
<file path=[Content_Types].xml><?xml version="1.0" encoding="utf-8"?>
<Types xmlns="http://schemas.openxmlformats.org/package/2006/content-types">
  <Default Extension="bin" ContentType="application/vnd.openxmlformats-officedocument.spreadsheetml.printerSettings"/>
  <Default Extension="png" ContentType="image/png"/>
  <Default Extension="svg" ContentType="image/svg+xml"/>
  <Default Extension="jpeg" ContentType="image/jpeg"/>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embeddings/oleObject1.bin" ContentType="application/vnd.openxmlformats-officedocument.oleObject"/>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theme/themeOverride1.xml" ContentType="application/vnd.openxmlformats-officedocument.themeOverride+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charts/chart15.xml" ContentType="application/vnd.openxmlformats-officedocument.drawingml.chart+xml"/>
  <Override PartName="/xl/charts/style15.xml" ContentType="application/vnd.ms-office.chartstyle+xml"/>
  <Override PartName="/xl/charts/colors15.xml" ContentType="application/vnd.ms-office.chartcolorstyle+xml"/>
  <Override PartName="/xl/theme/themeOverride2.xml" ContentType="application/vnd.openxmlformats-officedocument.themeOverride+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richData/rdrichvalue.xml" ContentType="application/vnd.ms-excel.rdrichvalue+xml"/>
  <Override PartName="/xl/richData/rdRichValueTypes.xml" ContentType="application/vnd.ms-excel.rdrichvaluetypes+xml"/>
  <Override PartName="/xl/richData/rdrichvaluestructure.xml" ContentType="application/vnd.ms-excel.rdrichvaluestructure+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updateLinks="never" codeName="ThisWorkbook" hidePivotFieldList="1"/>
  <mc:AlternateContent xmlns:mc="http://schemas.openxmlformats.org/markup-compatibility/2006">
    <mc:Choice Requires="x15">
      <x15ac:absPath xmlns:x15ac="http://schemas.microsoft.com/office/spreadsheetml/2010/11/ac" url="C:\Program Files (x86)\Mimecast\PATI\temp\a0102256-4722-4177-9efb-4c56f1091613\"/>
    </mc:Choice>
  </mc:AlternateContent>
  <xr:revisionPtr revIDLastSave="0" documentId="8_{9560F210-3C90-47E7-B003-C330CEEB9B6C}" xr6:coauthVersionLast="36" xr6:coauthVersionMax="36" xr10:uidLastSave="{00000000-0000-0000-0000-000000000000}"/>
  <bookViews>
    <workbookView xWindow="28680" yWindow="-1800" windowWidth="29040" windowHeight="15720" tabRatio="741" firstSheet="1" activeTab="1" xr2:uid="{00000000-000D-0000-FFFF-FFFF00000000}"/>
  </bookViews>
  <sheets>
    <sheet name="Introduction" sheetId="101" r:id="rId1"/>
    <sheet name="Start" sheetId="96" r:id="rId2"/>
    <sheet name="Instructions" sheetId="89" r:id="rId3"/>
    <sheet name="Irreplaceable Habitats" sheetId="106" r:id="rId4"/>
    <sheet name="Main Menu" sheetId="78" r:id="rId5"/>
    <sheet name="Results" sheetId="79" r:id="rId6"/>
    <sheet name="Headline Results" sheetId="73" r:id="rId7"/>
    <sheet name="Detailed Results" sheetId="36" r:id="rId8"/>
    <sheet name="Trading Summary Area Habitats" sheetId="72" r:id="rId9"/>
    <sheet name="Trading Summary Hedgerows" sheetId="104" r:id="rId10"/>
    <sheet name="Trading Summary WaterC's" sheetId="105" r:id="rId11"/>
    <sheet name="Off-site gain site summary" sheetId="107" r:id="rId12"/>
    <sheet name="A-1 On-Site Habitat Baseline" sheetId="11" r:id="rId13"/>
    <sheet name="A-2 On-Site Habitat Creation" sheetId="46" r:id="rId14"/>
    <sheet name="A-3 On-Site Habitat Enhancement" sheetId="32" r:id="rId15"/>
    <sheet name="D-1 Off-Site Habitat Baseline" sheetId="59" r:id="rId16"/>
    <sheet name="D-2 Off-Site Habitat Creation" sheetId="71" r:id="rId17"/>
    <sheet name="D-3 Off-Site Habitat Enhancment" sheetId="50" r:id="rId18"/>
    <sheet name="B-1 On-Site Hedge Baseline" sheetId="52" r:id="rId19"/>
    <sheet name="B-2 On-Site Hedge Creation" sheetId="42" r:id="rId20"/>
    <sheet name="B-3 On-Site Hedge Enhancement" sheetId="53" r:id="rId21"/>
    <sheet name="E-1 Off-Site Hedge Baseline" sheetId="55" r:id="rId22"/>
    <sheet name="E-2 Off-Site Hedge Creation" sheetId="58" r:id="rId23"/>
    <sheet name="E-3 Off-Site Hedge Enhancement" sheetId="57" r:id="rId24"/>
    <sheet name="C-1 On-Site WaterC' Baseline" sheetId="63" r:id="rId25"/>
    <sheet name="C-2 On-Site WaterC' Creation" sheetId="64" r:id="rId26"/>
    <sheet name="C-3 On-Site WaterC' Enhancement" sheetId="65" r:id="rId27"/>
    <sheet name="F-1 Off-Site WaterC' Baseline" sheetId="67" r:id="rId28"/>
    <sheet name="F-2 Off-Site WaterC' Creation" sheetId="68" r:id="rId29"/>
    <sheet name="F-3 Off-Site WaterC Enhancement" sheetId="69" r:id="rId30"/>
    <sheet name="G-1 All Habitats" sheetId="29" r:id="rId31"/>
    <sheet name="G-2 Habitat groups" sheetId="22" r:id="rId32"/>
    <sheet name="G-3 Multipliers" sheetId="28" r:id="rId33"/>
    <sheet name="G-4 Temporal multipliers" sheetId="20" r:id="rId34"/>
    <sheet name="G-5 Enhancement Temporal" sheetId="33" r:id="rId35"/>
    <sheet name="G-6 Hedgerow Data" sheetId="39" r:id="rId36"/>
    <sheet name="G-7 WaterC' Data" sheetId="66" r:id="rId37"/>
    <sheet name="G-8 Condition Look up" sheetId="99" r:id="rId38"/>
    <sheet name="Phase 1 Translation Tool" sheetId="103" r:id="rId39"/>
    <sheet name="Technical Data" sheetId="95" r:id="rId40"/>
    <sheet name="Lists" sheetId="61" r:id="rId41"/>
  </sheets>
  <externalReferences>
    <externalReference r:id="rId42"/>
    <externalReference r:id="rId43"/>
    <externalReference r:id="rId44"/>
    <externalReference r:id="rId45"/>
  </externalReferences>
  <definedNames>
    <definedName name="_xlnm._FilterDatabase" localSheetId="12" hidden="1">'A-1 On-Site Habitat Baseline'!$E$10:$Q$259</definedName>
    <definedName name="_xlnm._FilterDatabase" localSheetId="13" hidden="1">'A-2 On-Site Habitat Creation'!$F$10:$AA$257</definedName>
    <definedName name="_xlnm._FilterDatabase" localSheetId="14" hidden="1">'A-3 On-Site Habitat Enhancement'!$E$11:$AP$261</definedName>
    <definedName name="_xlnm._FilterDatabase" localSheetId="18" hidden="1">'B-1 On-Site Hedge Baseline'!$C$9:$N$258</definedName>
    <definedName name="_xlnm._FilterDatabase" localSheetId="19" hidden="1">'B-2 On-Site Hedge Creation'!$B$11:$S$11</definedName>
    <definedName name="_xlnm._FilterDatabase" localSheetId="20" hidden="1">'B-3 On-Site Hedge Enhancement'!$B$11:$AD$261</definedName>
    <definedName name="_xlnm._FilterDatabase" localSheetId="24" hidden="1">'C-1 On-Site WaterC'' Baseline'!$C$9:$N$258</definedName>
    <definedName name="_xlnm._FilterDatabase" localSheetId="25" hidden="1">'C-2 On-Site WaterC'' Creation'!$C$11:$X$261</definedName>
    <definedName name="_xlnm._FilterDatabase" localSheetId="26" hidden="1">'C-3 On-Site WaterC'' Enhancement'!$B$11:$M$11</definedName>
    <definedName name="_xlnm._FilterDatabase" localSheetId="15" hidden="1">'D-1 Off-Site Habitat Baseline'!$E$10:$Q$259</definedName>
    <definedName name="_xlnm._FilterDatabase" localSheetId="16" hidden="1">'D-2 Off-Site Habitat Creation'!$F$10:$AD$10</definedName>
    <definedName name="_xlnm._FilterDatabase" localSheetId="17" hidden="1">'D-3 Off-Site Habitat Enhancment'!$E$11:$AS$495</definedName>
    <definedName name="_xlnm._FilterDatabase" localSheetId="21" hidden="1">'E-1 Off-Site Hedge Baseline'!$C$9:$N$258</definedName>
    <definedName name="_xlnm._FilterDatabase" localSheetId="22" hidden="1">'E-2 Off-Site Hedge Creation'!$B$11:$U$11</definedName>
    <definedName name="_xlnm._FilterDatabase" localSheetId="23" hidden="1">'E-3 Off-Site Hedge Enhancement'!$B$11:$AH$11</definedName>
    <definedName name="_xlnm._FilterDatabase" localSheetId="27" hidden="1">'F-1 Off-Site WaterC'' Baseline'!$C$9:$N$258</definedName>
    <definedName name="_xlnm._FilterDatabase" localSheetId="28" hidden="1">'F-2 Off-Site WaterC'' Creation'!$B$11:$AB$11</definedName>
    <definedName name="_xlnm._FilterDatabase" localSheetId="29" hidden="1">'F-3 Off-Site WaterC Enhancement'!$B$11:$AO$261</definedName>
    <definedName name="_xlnm._FilterDatabase" localSheetId="30" hidden="1">'G-1 All Habitats'!$B$2:$S$133</definedName>
    <definedName name="_xlnm._FilterDatabase" localSheetId="31" hidden="1">'G-2 Habitat groups'!$A$3:$R$81</definedName>
    <definedName name="_xlnm._FilterDatabase" localSheetId="32" hidden="1">'G-3 Multipliers'!$A$2:$E$124</definedName>
    <definedName name="_xlnm._FilterDatabase" localSheetId="33" hidden="1">'G-4 Temporal multipliers'!$F$3:$M$130</definedName>
    <definedName name="_xlnm._FilterDatabase" localSheetId="34" hidden="1">'G-5 Enhancement Temporal'!$C$3:$Y$134</definedName>
    <definedName name="_xlnm._FilterDatabase" localSheetId="37" hidden="1">'G-8 Condition Look up'!$A$3:$H$81</definedName>
    <definedName name="_xlnm._FilterDatabase" localSheetId="40" hidden="1">Lists!$D$1:$D$140</definedName>
    <definedName name="_xlnm._FilterDatabase" localSheetId="38" hidden="1">'Phase 1 Translation Tool'!$B$3:$D$154</definedName>
    <definedName name="_xlnm._FilterDatabase" localSheetId="8" hidden="1">'Trading Summary Area Habitats'!$B$12:$D$36</definedName>
    <definedName name="_xlnm._FilterDatabase" localSheetId="9" hidden="1">'Trading Summary Hedgerows'!#REF!</definedName>
    <definedName name="_xlnm._FilterDatabase" localSheetId="10" hidden="1">'Trading Summary WaterC''s'!$B$12:$D$17</definedName>
    <definedName name="AA">'G-7 WaterC'' Data'!$B$4</definedName>
    <definedName name="AllHabsSummaryData" localSheetId="11">'[1]G-2 Habitat groups'!$A$3:$AF$135</definedName>
    <definedName name="AllHabsSummaryData">'G-2 Habitat groups'!$A$3:$AF$135</definedName>
    <definedName name="BaselineHabOffsite" localSheetId="11">'[1]D-1 Off-Site Habitat Baseline'!$D$11:$AA$258</definedName>
    <definedName name="BaselineHabOffsite">'D-1 Off-Site Habitat Baseline'!$D$11:$AA$258</definedName>
    <definedName name="BaselineHabSite" localSheetId="11">'[1]A-1 On-Site Habitat Baseline'!$D$11:$X$258</definedName>
    <definedName name="BaselineHabSite">'A-1 On-Site Habitat Baseline'!$D$11:$X$258</definedName>
    <definedName name="baselineimage">Start!$D$39:$G$53</definedName>
    <definedName name="baselineimageOS" localSheetId="1">Start!$D$60:$G$65</definedName>
    <definedName name="Coastal_lagoons">'G-1 All Habitats'!$A$103</definedName>
    <definedName name="Coastal_saltmarsh">'G-1 All Habitats'!$A$112:$A$113</definedName>
    <definedName name="Cond1">'G-8 Condition Look up'!$J$5</definedName>
    <definedName name="Cond2">'G-8 Condition Look up'!$K$5</definedName>
    <definedName name="Cond3">'G-8 Condition Look up'!$L$5</definedName>
    <definedName name="Cond4">'G-8 Condition Look up'!$M$5:$M$9</definedName>
    <definedName name="Cond5">'G-8 Condition Look up'!$N$5</definedName>
    <definedName name="Condition" localSheetId="37">'G-8 Condition Look up'!$B$3:$H$3</definedName>
    <definedName name="ConditionData" localSheetId="37">'G-8 Condition Look up'!$A$4:$H$102</definedName>
    <definedName name="ConditionHabitats" localSheetId="37">'G-8 Condition Look up'!$A$4:$A$128</definedName>
    <definedName name="Cropland">'G-1 All Habitats'!$A$3:$A$12</definedName>
    <definedName name="Difficulty" localSheetId="11">'[1]G-3 Multipliers'!$P$3:$Q$6</definedName>
    <definedName name="Difficulty">'G-3 Multipliers'!$P$3:$Q$6</definedName>
    <definedName name="Encroachment1">'G-7 WaterC'' Data'!$AD$4:$AD$13</definedName>
    <definedName name="Encroachment2">'G-7 WaterC'' Data'!$AD$14</definedName>
    <definedName name="EnhanceCondition" localSheetId="11">'[1]G-5 Enhancement Temporal'!$C$4:$X$4</definedName>
    <definedName name="EnhanceCondition">'G-5 Enhancement Temporal'!$C$4:$X$4</definedName>
    <definedName name="EnhanceHabitat" localSheetId="11">'[1]G-5 Enhancement Temporal'!$C$4:$C$136</definedName>
    <definedName name="EnhanceHabitat">'G-5 Enhancement Temporal'!$C$4:$C$136</definedName>
    <definedName name="EnhanceTemporal" localSheetId="11">'[1]G-5 Enhancement Temporal'!$C$4:$X$136</definedName>
    <definedName name="EnhanceTemporal">'G-5 Enhancement Temporal'!$C$4:$X$136</definedName>
    <definedName name="Grassland">'G-1 All Habitats'!$A$13:$A$25</definedName>
    <definedName name="Heathland_and_shrub">'G-1 All Habitats'!$A$26:$A$38</definedName>
    <definedName name="HedgeCond">'G-6 Hedgerow Data'!$B$2:$T$2</definedName>
    <definedName name="Hedgecond1">'G-6 Hedgerow Data'!$BK$3:$BK$5</definedName>
    <definedName name="Hedgecond2">'G-6 Hedgerow Data'!$BL$3</definedName>
    <definedName name="HedgeData">'G-6 Hedgerow Data'!$B$2:$T$15</definedName>
    <definedName name="HedgeType">'G-6 Hedgerow Data'!$B$2:$B$15</definedName>
    <definedName name="Individual_trees">'G-1 All Habitats'!$A$80:$A$81</definedName>
    <definedName name="Individualtrees">'G-1 All Habitats'!$A$79:$A$80</definedName>
    <definedName name="Intertidal_hard_structures">'G-1 All Habitats'!$A$131:$A$133</definedName>
    <definedName name="Intertidal_sediment">'G-1 All Habitats'!$A$114:$A$130</definedName>
    <definedName name="Lakes">'G-1 All Habitats'!$A$39:$A$49</definedName>
    <definedName name="LPAList">Lists!$A$1:$A$378</definedName>
    <definedName name="postdevelopmentimage">Start!$I$39:$O$53</definedName>
    <definedName name="postdevelopmentimageOS">Start!$I$60:$O$65</definedName>
    <definedName name="RetCatChecks">'A-1 On-Site Habitat Baseline'!$AE$11:$AH$258</definedName>
    <definedName name="riparianencroachment1">'G-7 WaterC'' Data'!$AA$4:$AA$6</definedName>
    <definedName name="riparianencroachment2">'G-7 WaterC'' Data'!$AA$7</definedName>
    <definedName name="Rivercond1">'G-7 WaterC'' Data'!$BB$3:$BB$7</definedName>
    <definedName name="Rivercond2">'G-7 WaterC'' Data'!$BC$3</definedName>
    <definedName name="RiverCondition">'G-7 WaterC'' Data'!$B$3:$X$3</definedName>
    <definedName name="RiverEnhanceTemporal">'G-7 WaterC'' Data'!$B$4:$X$12</definedName>
    <definedName name="RiverHabitat">'G-7 WaterC'' Data'!$B$4:$B$14</definedName>
    <definedName name="RiversEnhancment">'G-7 WaterC'' Data'!$O$3:$X$5</definedName>
    <definedName name="Rocky_shore">'G-1 All Habitats'!$A$104:$A$111</definedName>
    <definedName name="Sparsely_vegetated_land">'G-1 All Habitats'!$A$50:$A$58</definedName>
    <definedName name="TemporalConditions" localSheetId="11">'[1]G-4 Temporal multipliers'!$F$3:$M$3</definedName>
    <definedName name="TemporalConditions">'G-4 Temporal multipliers'!$F$3:$M$3</definedName>
    <definedName name="TemporalData" localSheetId="11">'[1]G-4 Temporal multipliers'!$F$3:$M$135</definedName>
    <definedName name="TemporalData">'G-4 Temporal multipliers'!$F$3:$M$135</definedName>
    <definedName name="TemporalHabitats" localSheetId="11">'[1]G-4 Temporal multipliers'!$F$3:$F$135</definedName>
    <definedName name="TemporalHabitats">'G-4 Temporal multipliers'!$F$3:$F$135</definedName>
    <definedName name="TemporalMultipliers" localSheetId="11">'[1]G-4 Temporal multipliers'!$A$4:$C$36</definedName>
    <definedName name="TemporalMultipliers">'G-4 Temporal multipliers'!$A$4:$C$36</definedName>
    <definedName name="Urban">'G-1 All Habitats'!$A$59:$A$79</definedName>
    <definedName name="Watercourse_footprint">'G-1 All Habitats'!$A$134</definedName>
    <definedName name="Wetland">'G-1 All Habitats'!$A$82:$A$89</definedName>
    <definedName name="Woodland_and_forest">'G-1 All Habitats'!$A$90:$A$102</definedName>
  </definedNames>
  <calcPr calcId="191028"/>
  <customWorkbookViews>
    <customWorkbookView name="h" guid="{8BDA793C-C9C5-4FC6-A0A5-F1109F6D4F22}" includePrintSettings="0" includeHiddenRowCol="0" maximized="1" xWindow="-1928" yWindow="-314" windowWidth="1936" windowHeight="1056" tabRatio="760" activeSheetId="78"/>
  </customWorkbookViews>
</workbook>
</file>

<file path=xl/calcChain.xml><?xml version="1.0" encoding="utf-8"?>
<calcChain xmlns="http://schemas.openxmlformats.org/spreadsheetml/2006/main">
  <c r="H11" i="11" l="1"/>
  <c r="S24" i="11"/>
  <c r="H24" i="11"/>
  <c r="G19" i="46"/>
  <c r="G14" i="46"/>
  <c r="G16" i="46"/>
  <c r="S12" i="11"/>
  <c r="K18" i="73"/>
  <c r="J53" i="73"/>
  <c r="K30" i="73" l="1"/>
  <c r="J30" i="73"/>
  <c r="J18" i="73"/>
  <c r="J151" i="22"/>
  <c r="J152" i="22"/>
  <c r="J154" i="22"/>
  <c r="J155" i="22"/>
  <c r="J157" i="22"/>
  <c r="J158" i="22"/>
  <c r="J161" i="22"/>
  <c r="B103" i="22"/>
  <c r="C108" i="72" l="1"/>
  <c r="B108" i="72"/>
  <c r="B134" i="22"/>
  <c r="B135" i="22"/>
  <c r="B76" i="22"/>
  <c r="G257" i="71" l="1"/>
  <c r="AN13" i="69"/>
  <c r="AN14" i="69"/>
  <c r="AN15" i="69"/>
  <c r="AN16" i="69"/>
  <c r="AN17" i="69"/>
  <c r="AN18" i="69"/>
  <c r="AN19" i="69"/>
  <c r="AN20" i="69"/>
  <c r="AN21" i="69"/>
  <c r="AN22" i="69"/>
  <c r="AN23" i="69"/>
  <c r="AN24" i="69"/>
  <c r="AN25" i="69"/>
  <c r="AN26" i="69"/>
  <c r="AN27" i="69"/>
  <c r="AN28" i="69"/>
  <c r="AN29" i="69"/>
  <c r="AN30" i="69"/>
  <c r="AN31" i="69"/>
  <c r="AN32" i="69"/>
  <c r="AN33" i="69"/>
  <c r="AN34" i="69"/>
  <c r="AN35" i="69"/>
  <c r="AN36" i="69"/>
  <c r="AN37" i="69"/>
  <c r="AN38" i="69"/>
  <c r="AN39" i="69"/>
  <c r="AN40" i="69"/>
  <c r="AN41" i="69"/>
  <c r="AN42" i="69"/>
  <c r="AN43" i="69"/>
  <c r="AN44" i="69"/>
  <c r="AN45" i="69"/>
  <c r="AN46" i="69"/>
  <c r="AN47" i="69"/>
  <c r="AN48" i="69"/>
  <c r="AN49" i="69"/>
  <c r="AN50" i="69"/>
  <c r="AN51" i="69"/>
  <c r="AN52" i="69"/>
  <c r="AN53" i="69"/>
  <c r="AN54" i="69"/>
  <c r="AN55" i="69"/>
  <c r="AN56" i="69"/>
  <c r="AN57" i="69"/>
  <c r="AN58" i="69"/>
  <c r="AN59" i="69"/>
  <c r="AN60" i="69"/>
  <c r="AN61" i="69"/>
  <c r="AN62" i="69"/>
  <c r="AN63" i="69"/>
  <c r="AN64" i="69"/>
  <c r="AN65" i="69"/>
  <c r="AN66" i="69"/>
  <c r="AN67" i="69"/>
  <c r="AN68" i="69"/>
  <c r="AN69" i="69"/>
  <c r="AN70" i="69"/>
  <c r="AN71" i="69"/>
  <c r="AN72" i="69"/>
  <c r="AN73" i="69"/>
  <c r="AN74" i="69"/>
  <c r="AN75" i="69"/>
  <c r="AN76" i="69"/>
  <c r="AN77" i="69"/>
  <c r="AN78" i="69"/>
  <c r="AN79" i="69"/>
  <c r="AN80" i="69"/>
  <c r="AN81" i="69"/>
  <c r="AN82" i="69"/>
  <c r="AN83" i="69"/>
  <c r="AN84" i="69"/>
  <c r="AN85" i="69"/>
  <c r="AN86" i="69"/>
  <c r="AN87" i="69"/>
  <c r="AN88" i="69"/>
  <c r="AN89" i="69"/>
  <c r="AN90" i="69"/>
  <c r="AN91" i="69"/>
  <c r="AN92" i="69"/>
  <c r="AN93" i="69"/>
  <c r="AN94" i="69"/>
  <c r="AN95" i="69"/>
  <c r="AN96" i="69"/>
  <c r="AN97" i="69"/>
  <c r="AN98" i="69"/>
  <c r="AN99" i="69"/>
  <c r="AN100" i="69"/>
  <c r="AN101" i="69"/>
  <c r="AN102" i="69"/>
  <c r="AN103" i="69"/>
  <c r="AN104" i="69"/>
  <c r="AN105" i="69"/>
  <c r="AN106" i="69"/>
  <c r="AN107" i="69"/>
  <c r="AN108" i="69"/>
  <c r="AN109" i="69"/>
  <c r="AN110" i="69"/>
  <c r="AN111" i="69"/>
  <c r="AN112" i="69"/>
  <c r="AN113" i="69"/>
  <c r="AN114" i="69"/>
  <c r="AN115" i="69"/>
  <c r="AN116" i="69"/>
  <c r="AN117" i="69"/>
  <c r="AN118" i="69"/>
  <c r="AN119" i="69"/>
  <c r="AN120" i="69"/>
  <c r="AN121" i="69"/>
  <c r="AN122" i="69"/>
  <c r="AN123" i="69"/>
  <c r="AN124" i="69"/>
  <c r="AN125" i="69"/>
  <c r="AN126" i="69"/>
  <c r="AN127" i="69"/>
  <c r="AN128" i="69"/>
  <c r="AN129" i="69"/>
  <c r="AN130" i="69"/>
  <c r="AN131" i="69"/>
  <c r="AN132" i="69"/>
  <c r="AN133" i="69"/>
  <c r="AN134" i="69"/>
  <c r="AN135" i="69"/>
  <c r="AN136" i="69"/>
  <c r="AN137" i="69"/>
  <c r="AN138" i="69"/>
  <c r="AN139" i="69"/>
  <c r="AN140" i="69"/>
  <c r="AN141" i="69"/>
  <c r="AN142" i="69"/>
  <c r="AN143" i="69"/>
  <c r="AN144" i="69"/>
  <c r="AN145" i="69"/>
  <c r="AN146" i="69"/>
  <c r="AN147" i="69"/>
  <c r="AN148" i="69"/>
  <c r="AN149" i="69"/>
  <c r="AN150" i="69"/>
  <c r="AN151" i="69"/>
  <c r="AN152" i="69"/>
  <c r="AN153" i="69"/>
  <c r="AN154" i="69"/>
  <c r="AN155" i="69"/>
  <c r="AN156" i="69"/>
  <c r="AN157" i="69"/>
  <c r="AN158" i="69"/>
  <c r="AN159" i="69"/>
  <c r="AN160" i="69"/>
  <c r="AN161" i="69"/>
  <c r="AN162" i="69"/>
  <c r="AN163" i="69"/>
  <c r="AN164" i="69"/>
  <c r="AN165" i="69"/>
  <c r="AN166" i="69"/>
  <c r="AN167" i="69"/>
  <c r="AN168" i="69"/>
  <c r="AN169" i="69"/>
  <c r="AN170" i="69"/>
  <c r="AN171" i="69"/>
  <c r="AN172" i="69"/>
  <c r="AN173" i="69"/>
  <c r="AN174" i="69"/>
  <c r="AN175" i="69"/>
  <c r="AN176" i="69"/>
  <c r="AN177" i="69"/>
  <c r="AN178" i="69"/>
  <c r="AN179" i="69"/>
  <c r="AN180" i="69"/>
  <c r="AN181" i="69"/>
  <c r="AN182" i="69"/>
  <c r="AN183" i="69"/>
  <c r="AN184" i="69"/>
  <c r="AN185" i="69"/>
  <c r="AN186" i="69"/>
  <c r="AN187" i="69"/>
  <c r="AN188" i="69"/>
  <c r="AN189" i="69"/>
  <c r="AN190" i="69"/>
  <c r="AN191" i="69"/>
  <c r="AN192" i="69"/>
  <c r="AN193" i="69"/>
  <c r="AN194" i="69"/>
  <c r="AN195" i="69"/>
  <c r="AN196" i="69"/>
  <c r="AN197" i="69"/>
  <c r="AN198" i="69"/>
  <c r="AN199" i="69"/>
  <c r="AN200" i="69"/>
  <c r="AN201" i="69"/>
  <c r="AN202" i="69"/>
  <c r="AN203" i="69"/>
  <c r="AN204" i="69"/>
  <c r="AN205" i="69"/>
  <c r="AN206" i="69"/>
  <c r="AN207" i="69"/>
  <c r="AN208" i="69"/>
  <c r="AN209" i="69"/>
  <c r="AN210" i="69"/>
  <c r="AN211" i="69"/>
  <c r="AN212" i="69"/>
  <c r="AN213" i="69"/>
  <c r="AN214" i="69"/>
  <c r="AN215" i="69"/>
  <c r="AN216" i="69"/>
  <c r="AN217" i="69"/>
  <c r="AN218" i="69"/>
  <c r="AN219" i="69"/>
  <c r="AN220" i="69"/>
  <c r="AN221" i="69"/>
  <c r="AN222" i="69"/>
  <c r="AN223" i="69"/>
  <c r="AN224" i="69"/>
  <c r="AN225" i="69"/>
  <c r="AN226" i="69"/>
  <c r="AN227" i="69"/>
  <c r="AN228" i="69"/>
  <c r="AN229" i="69"/>
  <c r="AN230" i="69"/>
  <c r="AN231" i="69"/>
  <c r="AN232" i="69"/>
  <c r="AN233" i="69"/>
  <c r="AN234" i="69"/>
  <c r="AN235" i="69"/>
  <c r="AN236" i="69"/>
  <c r="AN237" i="69"/>
  <c r="AN238" i="69"/>
  <c r="AN239" i="69"/>
  <c r="AN240" i="69"/>
  <c r="AN241" i="69"/>
  <c r="AN242" i="69"/>
  <c r="AN243" i="69"/>
  <c r="AN244" i="69"/>
  <c r="AN245" i="69"/>
  <c r="AN246" i="69"/>
  <c r="AN247" i="69"/>
  <c r="AN248" i="69"/>
  <c r="AN249" i="69"/>
  <c r="AN250" i="69"/>
  <c r="AN251" i="69"/>
  <c r="AN252" i="69"/>
  <c r="AN253" i="69"/>
  <c r="AN254" i="69"/>
  <c r="AN255" i="69"/>
  <c r="AN256" i="69"/>
  <c r="AN257" i="69"/>
  <c r="AN12" i="69"/>
  <c r="AA13" i="68"/>
  <c r="AA14" i="68"/>
  <c r="AA15" i="68"/>
  <c r="AA16" i="68"/>
  <c r="AA17" i="68"/>
  <c r="AA18" i="68"/>
  <c r="AA19" i="68"/>
  <c r="AA20" i="68"/>
  <c r="AA21" i="68"/>
  <c r="AA22" i="68"/>
  <c r="AA23" i="68"/>
  <c r="AA24" i="68"/>
  <c r="AA25" i="68"/>
  <c r="AA26" i="68"/>
  <c r="AA27" i="68"/>
  <c r="AA28" i="68"/>
  <c r="AA29" i="68"/>
  <c r="AA30" i="68"/>
  <c r="AA31" i="68"/>
  <c r="AA32" i="68"/>
  <c r="AA33" i="68"/>
  <c r="AA34" i="68"/>
  <c r="AA35" i="68"/>
  <c r="AA36" i="68"/>
  <c r="AA37" i="68"/>
  <c r="AA38" i="68"/>
  <c r="AA39" i="68"/>
  <c r="AA40" i="68"/>
  <c r="AA41" i="68"/>
  <c r="AA42" i="68"/>
  <c r="AA43" i="68"/>
  <c r="AA44" i="68"/>
  <c r="AA45" i="68"/>
  <c r="AA46" i="68"/>
  <c r="AA47" i="68"/>
  <c r="AA48" i="68"/>
  <c r="AA49" i="68"/>
  <c r="AA50" i="68"/>
  <c r="AA51" i="68"/>
  <c r="AA52" i="68"/>
  <c r="AA53" i="68"/>
  <c r="AA54" i="68"/>
  <c r="AA55" i="68"/>
  <c r="AA56" i="68"/>
  <c r="AA57" i="68"/>
  <c r="AA58" i="68"/>
  <c r="AA59" i="68"/>
  <c r="AA60" i="68"/>
  <c r="AA61" i="68"/>
  <c r="AA62" i="68"/>
  <c r="AA63" i="68"/>
  <c r="AA64" i="68"/>
  <c r="AA65" i="68"/>
  <c r="AA66" i="68"/>
  <c r="AA67" i="68"/>
  <c r="AA68" i="68"/>
  <c r="AA69" i="68"/>
  <c r="AA70" i="68"/>
  <c r="AA71" i="68"/>
  <c r="AA72" i="68"/>
  <c r="AA73" i="68"/>
  <c r="AA74" i="68"/>
  <c r="AA75" i="68"/>
  <c r="AA76" i="68"/>
  <c r="AA77" i="68"/>
  <c r="AA78" i="68"/>
  <c r="AA79" i="68"/>
  <c r="AA80" i="68"/>
  <c r="AA81" i="68"/>
  <c r="AA82" i="68"/>
  <c r="AA83" i="68"/>
  <c r="AA84" i="68"/>
  <c r="AA85" i="68"/>
  <c r="AA86" i="68"/>
  <c r="AA87" i="68"/>
  <c r="AA88" i="68"/>
  <c r="AA89" i="68"/>
  <c r="AA90" i="68"/>
  <c r="AA91" i="68"/>
  <c r="AA92" i="68"/>
  <c r="AA93" i="68"/>
  <c r="AA94" i="68"/>
  <c r="AA95" i="68"/>
  <c r="AA96" i="68"/>
  <c r="AA97" i="68"/>
  <c r="AA98" i="68"/>
  <c r="AA99" i="68"/>
  <c r="AA100" i="68"/>
  <c r="AA101" i="68"/>
  <c r="AA102" i="68"/>
  <c r="AA103" i="68"/>
  <c r="AA104" i="68"/>
  <c r="AA105" i="68"/>
  <c r="AA106" i="68"/>
  <c r="AA107" i="68"/>
  <c r="AA108" i="68"/>
  <c r="AA109" i="68"/>
  <c r="AA110" i="68"/>
  <c r="AA111" i="68"/>
  <c r="AA112" i="68"/>
  <c r="AA113" i="68"/>
  <c r="AA114" i="68"/>
  <c r="AA115" i="68"/>
  <c r="AA116" i="68"/>
  <c r="AA117" i="68"/>
  <c r="AA118" i="68"/>
  <c r="AA119" i="68"/>
  <c r="AA120" i="68"/>
  <c r="AA121" i="68"/>
  <c r="AA122" i="68"/>
  <c r="AA123" i="68"/>
  <c r="AA124" i="68"/>
  <c r="AA125" i="68"/>
  <c r="AA126" i="68"/>
  <c r="AA127" i="68"/>
  <c r="AA128" i="68"/>
  <c r="AA129" i="68"/>
  <c r="AA130" i="68"/>
  <c r="AA131" i="68"/>
  <c r="AA132" i="68"/>
  <c r="AA133" i="68"/>
  <c r="AA134" i="68"/>
  <c r="AA135" i="68"/>
  <c r="AA136" i="68"/>
  <c r="AA137" i="68"/>
  <c r="AA138" i="68"/>
  <c r="AA139" i="68"/>
  <c r="AA140" i="68"/>
  <c r="AA141" i="68"/>
  <c r="AA142" i="68"/>
  <c r="AA143" i="68"/>
  <c r="AA144" i="68"/>
  <c r="AA145" i="68"/>
  <c r="AA146" i="68"/>
  <c r="AA147" i="68"/>
  <c r="AA148" i="68"/>
  <c r="AA149" i="68"/>
  <c r="AA150" i="68"/>
  <c r="AA151" i="68"/>
  <c r="AA152" i="68"/>
  <c r="AA153" i="68"/>
  <c r="AA154" i="68"/>
  <c r="AA155" i="68"/>
  <c r="AA156" i="68"/>
  <c r="AA157" i="68"/>
  <c r="AA158" i="68"/>
  <c r="AA159" i="68"/>
  <c r="AA160" i="68"/>
  <c r="AA161" i="68"/>
  <c r="AA162" i="68"/>
  <c r="AA163" i="68"/>
  <c r="AA164" i="68"/>
  <c r="AA165" i="68"/>
  <c r="AA166" i="68"/>
  <c r="AA167" i="68"/>
  <c r="AA168" i="68"/>
  <c r="AA169" i="68"/>
  <c r="AA170" i="68"/>
  <c r="AA171" i="68"/>
  <c r="AA172" i="68"/>
  <c r="AA173" i="68"/>
  <c r="AA174" i="68"/>
  <c r="AA175" i="68"/>
  <c r="AA176" i="68"/>
  <c r="AA177" i="68"/>
  <c r="AA178" i="68"/>
  <c r="AA179" i="68"/>
  <c r="AA180" i="68"/>
  <c r="AA181" i="68"/>
  <c r="AA182" i="68"/>
  <c r="AA183" i="68"/>
  <c r="AA184" i="68"/>
  <c r="AA185" i="68"/>
  <c r="AA186" i="68"/>
  <c r="AA187" i="68"/>
  <c r="AA188" i="68"/>
  <c r="AA189" i="68"/>
  <c r="AA190" i="68"/>
  <c r="AA191" i="68"/>
  <c r="AA192" i="68"/>
  <c r="AA193" i="68"/>
  <c r="AA194" i="68"/>
  <c r="AA195" i="68"/>
  <c r="AA196" i="68"/>
  <c r="AA197" i="68"/>
  <c r="AA198" i="68"/>
  <c r="AA199" i="68"/>
  <c r="AA200" i="68"/>
  <c r="AA201" i="68"/>
  <c r="AA202" i="68"/>
  <c r="AA203" i="68"/>
  <c r="AA204" i="68"/>
  <c r="AA205" i="68"/>
  <c r="AA206" i="68"/>
  <c r="AA207" i="68"/>
  <c r="AA208" i="68"/>
  <c r="AA209" i="68"/>
  <c r="AA210" i="68"/>
  <c r="AA211" i="68"/>
  <c r="AA212" i="68"/>
  <c r="AA213" i="68"/>
  <c r="AA214" i="68"/>
  <c r="AA215" i="68"/>
  <c r="AA216" i="68"/>
  <c r="AA217" i="68"/>
  <c r="AA218" i="68"/>
  <c r="AA219" i="68"/>
  <c r="AA220" i="68"/>
  <c r="AA221" i="68"/>
  <c r="AA222" i="68"/>
  <c r="AA223" i="68"/>
  <c r="AA224" i="68"/>
  <c r="AA225" i="68"/>
  <c r="AA226" i="68"/>
  <c r="AA227" i="68"/>
  <c r="AA228" i="68"/>
  <c r="AA229" i="68"/>
  <c r="AA230" i="68"/>
  <c r="AA231" i="68"/>
  <c r="AA232" i="68"/>
  <c r="AA233" i="68"/>
  <c r="AA234" i="68"/>
  <c r="AA235" i="68"/>
  <c r="AA236" i="68"/>
  <c r="AA237" i="68"/>
  <c r="AA238" i="68"/>
  <c r="AA239" i="68"/>
  <c r="AA240" i="68"/>
  <c r="AA241" i="68"/>
  <c r="AA242" i="68"/>
  <c r="AA243" i="68"/>
  <c r="AA244" i="68"/>
  <c r="AA245" i="68"/>
  <c r="AA246" i="68"/>
  <c r="AA247" i="68"/>
  <c r="AA248" i="68"/>
  <c r="AA249" i="68"/>
  <c r="AA250" i="68"/>
  <c r="AA251" i="68"/>
  <c r="AA252" i="68"/>
  <c r="AA253" i="68"/>
  <c r="AA254" i="68"/>
  <c r="AA255" i="68"/>
  <c r="AA256" i="68"/>
  <c r="AA257" i="68"/>
  <c r="AA258" i="68"/>
  <c r="AA259" i="68"/>
  <c r="AA12" i="68"/>
  <c r="T10" i="67"/>
  <c r="AI13" i="57"/>
  <c r="AI14" i="57"/>
  <c r="AI15" i="57"/>
  <c r="AI16" i="57"/>
  <c r="AI17" i="57"/>
  <c r="AI18" i="57"/>
  <c r="AI19" i="57"/>
  <c r="AI20" i="57"/>
  <c r="AI21" i="57"/>
  <c r="AI22" i="57"/>
  <c r="AI23" i="57"/>
  <c r="AI24" i="57"/>
  <c r="AI25" i="57"/>
  <c r="AI26" i="57"/>
  <c r="AI27" i="57"/>
  <c r="AI28" i="57"/>
  <c r="AI29" i="57"/>
  <c r="AI30" i="57"/>
  <c r="AI31" i="57"/>
  <c r="AI32" i="57"/>
  <c r="AI33" i="57"/>
  <c r="AI34" i="57"/>
  <c r="AI35" i="57"/>
  <c r="AI36" i="57"/>
  <c r="AI37" i="57"/>
  <c r="AI38" i="57"/>
  <c r="AI39" i="57"/>
  <c r="AI40" i="57"/>
  <c r="AI41" i="57"/>
  <c r="AI42" i="57"/>
  <c r="AI43" i="57"/>
  <c r="AI44" i="57"/>
  <c r="AI45" i="57"/>
  <c r="AI46" i="57"/>
  <c r="AI47" i="57"/>
  <c r="AI48" i="57"/>
  <c r="AI49" i="57"/>
  <c r="AI50" i="57"/>
  <c r="AI51" i="57"/>
  <c r="AI52" i="57"/>
  <c r="AI53" i="57"/>
  <c r="AI54" i="57"/>
  <c r="AI55" i="57"/>
  <c r="AI56" i="57"/>
  <c r="AI57" i="57"/>
  <c r="AI58" i="57"/>
  <c r="AI59" i="57"/>
  <c r="AI60" i="57"/>
  <c r="AI61" i="57"/>
  <c r="AI62" i="57"/>
  <c r="AI63" i="57"/>
  <c r="AI64" i="57"/>
  <c r="AI65" i="57"/>
  <c r="AI66" i="57"/>
  <c r="AI67" i="57"/>
  <c r="AI68" i="57"/>
  <c r="AI69" i="57"/>
  <c r="AI70" i="57"/>
  <c r="AI71" i="57"/>
  <c r="AI72" i="57"/>
  <c r="AI73" i="57"/>
  <c r="AI74" i="57"/>
  <c r="AI75" i="57"/>
  <c r="AI76" i="57"/>
  <c r="AI77" i="57"/>
  <c r="AI78" i="57"/>
  <c r="AI79" i="57"/>
  <c r="AI80" i="57"/>
  <c r="AI81" i="57"/>
  <c r="AI82" i="57"/>
  <c r="AI83" i="57"/>
  <c r="AI84" i="57"/>
  <c r="AI85" i="57"/>
  <c r="AI86" i="57"/>
  <c r="AI87" i="57"/>
  <c r="AI88" i="57"/>
  <c r="AI89" i="57"/>
  <c r="AI90" i="57"/>
  <c r="AI91" i="57"/>
  <c r="AI92" i="57"/>
  <c r="AI93" i="57"/>
  <c r="AI94" i="57"/>
  <c r="AI95" i="57"/>
  <c r="AI96" i="57"/>
  <c r="AI97" i="57"/>
  <c r="AI98" i="57"/>
  <c r="AI99" i="57"/>
  <c r="AI100" i="57"/>
  <c r="AI101" i="57"/>
  <c r="AI102" i="57"/>
  <c r="AI103" i="57"/>
  <c r="AI104" i="57"/>
  <c r="AI105" i="57"/>
  <c r="AI106" i="57"/>
  <c r="AI107" i="57"/>
  <c r="AI108" i="57"/>
  <c r="AI109" i="57"/>
  <c r="AI110" i="57"/>
  <c r="AI111" i="57"/>
  <c r="AI112" i="57"/>
  <c r="AI113" i="57"/>
  <c r="AI114" i="57"/>
  <c r="AI115" i="57"/>
  <c r="AI116" i="57"/>
  <c r="AI117" i="57"/>
  <c r="AI118" i="57"/>
  <c r="AI119" i="57"/>
  <c r="AI120" i="57"/>
  <c r="AI121" i="57"/>
  <c r="AI122" i="57"/>
  <c r="AI123" i="57"/>
  <c r="AI124" i="57"/>
  <c r="AI125" i="57"/>
  <c r="AI126" i="57"/>
  <c r="AI127" i="57"/>
  <c r="AI128" i="57"/>
  <c r="AI129" i="57"/>
  <c r="AI130" i="57"/>
  <c r="AI131" i="57"/>
  <c r="AI132" i="57"/>
  <c r="AI133" i="57"/>
  <c r="AI134" i="57"/>
  <c r="AI135" i="57"/>
  <c r="AI136" i="57"/>
  <c r="AI137" i="57"/>
  <c r="AI138" i="57"/>
  <c r="AI139" i="57"/>
  <c r="AI140" i="57"/>
  <c r="AI141" i="57"/>
  <c r="AI142" i="57"/>
  <c r="AI143" i="57"/>
  <c r="AI144" i="57"/>
  <c r="AI145" i="57"/>
  <c r="AI146" i="57"/>
  <c r="AI147" i="57"/>
  <c r="AI148" i="57"/>
  <c r="AI149" i="57"/>
  <c r="AI150" i="57"/>
  <c r="AI151" i="57"/>
  <c r="AI152" i="57"/>
  <c r="AI153" i="57"/>
  <c r="AI154" i="57"/>
  <c r="AI155" i="57"/>
  <c r="AI156" i="57"/>
  <c r="AI157" i="57"/>
  <c r="AI158" i="57"/>
  <c r="AI159" i="57"/>
  <c r="AI160" i="57"/>
  <c r="AI161" i="57"/>
  <c r="AI162" i="57"/>
  <c r="AI163" i="57"/>
  <c r="AI164" i="57"/>
  <c r="AI165" i="57"/>
  <c r="AI166" i="57"/>
  <c r="AI167" i="57"/>
  <c r="AI168" i="57"/>
  <c r="AI169" i="57"/>
  <c r="AI170" i="57"/>
  <c r="AI171" i="57"/>
  <c r="AI172" i="57"/>
  <c r="AI173" i="57"/>
  <c r="AI174" i="57"/>
  <c r="AI175" i="57"/>
  <c r="AI176" i="57"/>
  <c r="AI177" i="57"/>
  <c r="AI178" i="57"/>
  <c r="AI179" i="57"/>
  <c r="AI180" i="57"/>
  <c r="AI181" i="57"/>
  <c r="AI182" i="57"/>
  <c r="AI183" i="57"/>
  <c r="AI184" i="57"/>
  <c r="AI185" i="57"/>
  <c r="AI186" i="57"/>
  <c r="AI187" i="57"/>
  <c r="AI188" i="57"/>
  <c r="AI189" i="57"/>
  <c r="AI190" i="57"/>
  <c r="AI191" i="57"/>
  <c r="AI192" i="57"/>
  <c r="AI193" i="57"/>
  <c r="AI194" i="57"/>
  <c r="AI195" i="57"/>
  <c r="AI196" i="57"/>
  <c r="AI197" i="57"/>
  <c r="AI198" i="57"/>
  <c r="AI199" i="57"/>
  <c r="AI200" i="57"/>
  <c r="AI201" i="57"/>
  <c r="AI202" i="57"/>
  <c r="AI203" i="57"/>
  <c r="AI204" i="57"/>
  <c r="AI205" i="57"/>
  <c r="AI206" i="57"/>
  <c r="AI207" i="57"/>
  <c r="AI208" i="57"/>
  <c r="AI209" i="57"/>
  <c r="AI210" i="57"/>
  <c r="AI211" i="57"/>
  <c r="AI212" i="57"/>
  <c r="AI213" i="57"/>
  <c r="AI214" i="57"/>
  <c r="AI215" i="57"/>
  <c r="AI216" i="57"/>
  <c r="AI217" i="57"/>
  <c r="AI218" i="57"/>
  <c r="AI219" i="57"/>
  <c r="AI220" i="57"/>
  <c r="AI221" i="57"/>
  <c r="AI222" i="57"/>
  <c r="AI223" i="57"/>
  <c r="AI224" i="57"/>
  <c r="AI225" i="57"/>
  <c r="AI226" i="57"/>
  <c r="AI227" i="57"/>
  <c r="AI228" i="57"/>
  <c r="AI229" i="57"/>
  <c r="AI230" i="57"/>
  <c r="AI231" i="57"/>
  <c r="AI232" i="57"/>
  <c r="AI233" i="57"/>
  <c r="AI234" i="57"/>
  <c r="AI235" i="57"/>
  <c r="AI236" i="57"/>
  <c r="AI237" i="57"/>
  <c r="AI238" i="57"/>
  <c r="AI239" i="57"/>
  <c r="AI240" i="57"/>
  <c r="AI241" i="57"/>
  <c r="AI242" i="57"/>
  <c r="AI243" i="57"/>
  <c r="AI244" i="57"/>
  <c r="AI245" i="57"/>
  <c r="AI246" i="57"/>
  <c r="AI247" i="57"/>
  <c r="AI248" i="57"/>
  <c r="AI249" i="57"/>
  <c r="AI250" i="57"/>
  <c r="AI251" i="57"/>
  <c r="AI252" i="57"/>
  <c r="AI253" i="57"/>
  <c r="AI254" i="57"/>
  <c r="AI255" i="57"/>
  <c r="AI256" i="57"/>
  <c r="AI257" i="57"/>
  <c r="AI12" i="57"/>
  <c r="P10" i="55"/>
  <c r="N13" i="58"/>
  <c r="N14" i="58"/>
  <c r="N15" i="58"/>
  <c r="N16" i="58"/>
  <c r="N17" i="58"/>
  <c r="N18" i="58"/>
  <c r="N19" i="58"/>
  <c r="N20" i="58"/>
  <c r="N21" i="58"/>
  <c r="N22" i="58"/>
  <c r="N23" i="58"/>
  <c r="N24" i="58"/>
  <c r="N25" i="58"/>
  <c r="N26" i="58"/>
  <c r="N27" i="58"/>
  <c r="N28" i="58"/>
  <c r="N29" i="58"/>
  <c r="N30" i="58"/>
  <c r="N31" i="58"/>
  <c r="N32" i="58"/>
  <c r="N33" i="58"/>
  <c r="N34" i="58"/>
  <c r="N35" i="58"/>
  <c r="N36" i="58"/>
  <c r="N37" i="58"/>
  <c r="N38" i="58"/>
  <c r="N39" i="58"/>
  <c r="N40" i="58"/>
  <c r="N41" i="58"/>
  <c r="N42" i="58"/>
  <c r="N43" i="58"/>
  <c r="N44" i="58"/>
  <c r="N45" i="58"/>
  <c r="N46" i="58"/>
  <c r="N47" i="58"/>
  <c r="N48" i="58"/>
  <c r="N49" i="58"/>
  <c r="N50" i="58"/>
  <c r="N51" i="58"/>
  <c r="N52" i="58"/>
  <c r="N53" i="58"/>
  <c r="N54" i="58"/>
  <c r="N55" i="58"/>
  <c r="N56" i="58"/>
  <c r="N57" i="58"/>
  <c r="N58" i="58"/>
  <c r="N59" i="58"/>
  <c r="N60" i="58"/>
  <c r="N61" i="58"/>
  <c r="N62" i="58"/>
  <c r="N63" i="58"/>
  <c r="N64" i="58"/>
  <c r="N65" i="58"/>
  <c r="N66" i="58"/>
  <c r="N67" i="58"/>
  <c r="N68" i="58"/>
  <c r="N69" i="58"/>
  <c r="N70" i="58"/>
  <c r="N71" i="58"/>
  <c r="N72" i="58"/>
  <c r="N73" i="58"/>
  <c r="N74" i="58"/>
  <c r="N75" i="58"/>
  <c r="N76" i="58"/>
  <c r="N77" i="58"/>
  <c r="N78" i="58"/>
  <c r="N79" i="58"/>
  <c r="N80" i="58"/>
  <c r="N81" i="58"/>
  <c r="N82" i="58"/>
  <c r="N83" i="58"/>
  <c r="N84" i="58"/>
  <c r="N85" i="58"/>
  <c r="N86" i="58"/>
  <c r="N87" i="58"/>
  <c r="N88" i="58"/>
  <c r="N89" i="58"/>
  <c r="N90" i="58"/>
  <c r="N91" i="58"/>
  <c r="N92" i="58"/>
  <c r="N93" i="58"/>
  <c r="N94" i="58"/>
  <c r="N95" i="58"/>
  <c r="N96" i="58"/>
  <c r="N97" i="58"/>
  <c r="N98" i="58"/>
  <c r="N99" i="58"/>
  <c r="N100" i="58"/>
  <c r="N101" i="58"/>
  <c r="N102" i="58"/>
  <c r="N103" i="58"/>
  <c r="N104" i="58"/>
  <c r="N105" i="58"/>
  <c r="N106" i="58"/>
  <c r="N107" i="58"/>
  <c r="N108" i="58"/>
  <c r="N109" i="58"/>
  <c r="N110" i="58"/>
  <c r="N111" i="58"/>
  <c r="N112" i="58"/>
  <c r="N113" i="58"/>
  <c r="N114" i="58"/>
  <c r="N115" i="58"/>
  <c r="N116" i="58"/>
  <c r="N117" i="58"/>
  <c r="N118" i="58"/>
  <c r="N119" i="58"/>
  <c r="N120" i="58"/>
  <c r="N121" i="58"/>
  <c r="N122" i="58"/>
  <c r="N123" i="58"/>
  <c r="N124" i="58"/>
  <c r="N125" i="58"/>
  <c r="N126" i="58"/>
  <c r="N127" i="58"/>
  <c r="N128" i="58"/>
  <c r="N129" i="58"/>
  <c r="N130" i="58"/>
  <c r="N131" i="58"/>
  <c r="N132" i="58"/>
  <c r="N133" i="58"/>
  <c r="N134" i="58"/>
  <c r="N135" i="58"/>
  <c r="N136" i="58"/>
  <c r="N137" i="58"/>
  <c r="N138" i="58"/>
  <c r="N139" i="58"/>
  <c r="N140" i="58"/>
  <c r="N141" i="58"/>
  <c r="N142" i="58"/>
  <c r="N143" i="58"/>
  <c r="N144" i="58"/>
  <c r="N145" i="58"/>
  <c r="N146" i="58"/>
  <c r="N147" i="58"/>
  <c r="N148" i="58"/>
  <c r="N149" i="58"/>
  <c r="N150" i="58"/>
  <c r="N151" i="58"/>
  <c r="N152" i="58"/>
  <c r="N153" i="58"/>
  <c r="N154" i="58"/>
  <c r="N155" i="58"/>
  <c r="N156" i="58"/>
  <c r="N157" i="58"/>
  <c r="N158" i="58"/>
  <c r="N159" i="58"/>
  <c r="N160" i="58"/>
  <c r="N161" i="58"/>
  <c r="N162" i="58"/>
  <c r="N163" i="58"/>
  <c r="N164" i="58"/>
  <c r="N165" i="58"/>
  <c r="N166" i="58"/>
  <c r="N167" i="58"/>
  <c r="N168" i="58"/>
  <c r="N169" i="58"/>
  <c r="N170" i="58"/>
  <c r="N171" i="58"/>
  <c r="N172" i="58"/>
  <c r="N173" i="58"/>
  <c r="N174" i="58"/>
  <c r="N175" i="58"/>
  <c r="N176" i="58"/>
  <c r="N177" i="58"/>
  <c r="N178" i="58"/>
  <c r="N179" i="58"/>
  <c r="N180" i="58"/>
  <c r="N181" i="58"/>
  <c r="N182" i="58"/>
  <c r="N183" i="58"/>
  <c r="N184" i="58"/>
  <c r="N185" i="58"/>
  <c r="N186" i="58"/>
  <c r="N187" i="58"/>
  <c r="N188" i="58"/>
  <c r="N189" i="58"/>
  <c r="N190" i="58"/>
  <c r="N191" i="58"/>
  <c r="N192" i="58"/>
  <c r="N193" i="58"/>
  <c r="N194" i="58"/>
  <c r="N195" i="58"/>
  <c r="N196" i="58"/>
  <c r="N197" i="58"/>
  <c r="N198" i="58"/>
  <c r="N199" i="58"/>
  <c r="N200" i="58"/>
  <c r="N201" i="58"/>
  <c r="N202" i="58"/>
  <c r="N203" i="58"/>
  <c r="N204" i="58"/>
  <c r="N205" i="58"/>
  <c r="N206" i="58"/>
  <c r="N207" i="58"/>
  <c r="N208" i="58"/>
  <c r="N209" i="58"/>
  <c r="N210" i="58"/>
  <c r="N211" i="58"/>
  <c r="N212" i="58"/>
  <c r="N213" i="58"/>
  <c r="N214" i="58"/>
  <c r="N215" i="58"/>
  <c r="N216" i="58"/>
  <c r="N217" i="58"/>
  <c r="N218" i="58"/>
  <c r="N219" i="58"/>
  <c r="N220" i="58"/>
  <c r="N221" i="58"/>
  <c r="N222" i="58"/>
  <c r="N223" i="58"/>
  <c r="N224" i="58"/>
  <c r="N225" i="58"/>
  <c r="N226" i="58"/>
  <c r="N227" i="58"/>
  <c r="N228" i="58"/>
  <c r="N229" i="58"/>
  <c r="N230" i="58"/>
  <c r="N231" i="58"/>
  <c r="N232" i="58"/>
  <c r="N233" i="58"/>
  <c r="N234" i="58"/>
  <c r="N235" i="58"/>
  <c r="N236" i="58"/>
  <c r="N237" i="58"/>
  <c r="N238" i="58"/>
  <c r="N239" i="58"/>
  <c r="N240" i="58"/>
  <c r="N241" i="58"/>
  <c r="N242" i="58"/>
  <c r="N243" i="58"/>
  <c r="N244" i="58"/>
  <c r="N245" i="58"/>
  <c r="N246" i="58"/>
  <c r="N247" i="58"/>
  <c r="N248" i="58"/>
  <c r="N249" i="58"/>
  <c r="N250" i="58"/>
  <c r="N251" i="58"/>
  <c r="N252" i="58"/>
  <c r="N253" i="58"/>
  <c r="N254" i="58"/>
  <c r="N255" i="58"/>
  <c r="N256" i="58"/>
  <c r="N257" i="58"/>
  <c r="N258" i="58"/>
  <c r="N259" i="58"/>
  <c r="N12" i="58"/>
  <c r="C82" i="72" l="1"/>
  <c r="C13" i="72"/>
  <c r="V747" i="107"/>
  <c r="V748" i="107"/>
  <c r="V504" i="107"/>
  <c r="V505" i="107"/>
  <c r="V506" i="107"/>
  <c r="V507" i="107"/>
  <c r="V508" i="107"/>
  <c r="V509" i="107"/>
  <c r="V510" i="107"/>
  <c r="V511" i="107"/>
  <c r="V512" i="107"/>
  <c r="V513" i="107"/>
  <c r="V514" i="107"/>
  <c r="V515" i="107"/>
  <c r="V516" i="107"/>
  <c r="V517" i="107"/>
  <c r="V518" i="107"/>
  <c r="V519" i="107"/>
  <c r="V520" i="107"/>
  <c r="V521" i="107"/>
  <c r="V522" i="107"/>
  <c r="V523" i="107"/>
  <c r="V524" i="107"/>
  <c r="V525" i="107"/>
  <c r="V526" i="107"/>
  <c r="V527" i="107"/>
  <c r="V528" i="107"/>
  <c r="V529" i="107"/>
  <c r="V530" i="107"/>
  <c r="V531" i="107"/>
  <c r="V532" i="107"/>
  <c r="V533" i="107"/>
  <c r="V534" i="107"/>
  <c r="V535" i="107"/>
  <c r="V536" i="107"/>
  <c r="V537" i="107"/>
  <c r="V538" i="107"/>
  <c r="V539" i="107"/>
  <c r="V540" i="107"/>
  <c r="V541" i="107"/>
  <c r="V542" i="107"/>
  <c r="V543" i="107"/>
  <c r="V544" i="107"/>
  <c r="V545" i="107"/>
  <c r="V546" i="107"/>
  <c r="V547" i="107"/>
  <c r="V548" i="107"/>
  <c r="V549" i="107"/>
  <c r="V550" i="107"/>
  <c r="V551" i="107"/>
  <c r="V552" i="107"/>
  <c r="V553" i="107"/>
  <c r="V554" i="107"/>
  <c r="V555" i="107"/>
  <c r="V556" i="107"/>
  <c r="V557" i="107"/>
  <c r="V558" i="107"/>
  <c r="V559" i="107"/>
  <c r="V560" i="107"/>
  <c r="V561" i="107"/>
  <c r="V562" i="107"/>
  <c r="V563" i="107"/>
  <c r="V564" i="107"/>
  <c r="V565" i="107"/>
  <c r="V566" i="107"/>
  <c r="V567" i="107"/>
  <c r="V568" i="107"/>
  <c r="V569" i="107"/>
  <c r="V570" i="107"/>
  <c r="V571" i="107"/>
  <c r="V572" i="107"/>
  <c r="V573" i="107"/>
  <c r="V574" i="107"/>
  <c r="V575" i="107"/>
  <c r="V576" i="107"/>
  <c r="V577" i="107"/>
  <c r="V578" i="107"/>
  <c r="V579" i="107"/>
  <c r="V580" i="107"/>
  <c r="V581" i="107"/>
  <c r="V582" i="107"/>
  <c r="V583" i="107"/>
  <c r="V584" i="107"/>
  <c r="V585" i="107"/>
  <c r="V586" i="107"/>
  <c r="V587" i="107"/>
  <c r="V588" i="107"/>
  <c r="V589" i="107"/>
  <c r="V590" i="107"/>
  <c r="V591" i="107"/>
  <c r="V592" i="107"/>
  <c r="V593" i="107"/>
  <c r="V594" i="107"/>
  <c r="V595" i="107"/>
  <c r="V596" i="107"/>
  <c r="V597" i="107"/>
  <c r="V598" i="107"/>
  <c r="V599" i="107"/>
  <c r="V600" i="107"/>
  <c r="V601" i="107"/>
  <c r="V602" i="107"/>
  <c r="V603" i="107"/>
  <c r="V604" i="107"/>
  <c r="V605" i="107"/>
  <c r="V606" i="107"/>
  <c r="V607" i="107"/>
  <c r="V608" i="107"/>
  <c r="V609" i="107"/>
  <c r="V610" i="107"/>
  <c r="V611" i="107"/>
  <c r="V612" i="107"/>
  <c r="V613" i="107"/>
  <c r="V614" i="107"/>
  <c r="V615" i="107"/>
  <c r="V616" i="107"/>
  <c r="V617" i="107"/>
  <c r="V618" i="107"/>
  <c r="V619" i="107"/>
  <c r="V620" i="107"/>
  <c r="V621" i="107"/>
  <c r="V622" i="107"/>
  <c r="V623" i="107"/>
  <c r="V624" i="107"/>
  <c r="V625" i="107"/>
  <c r="V626" i="107"/>
  <c r="V627" i="107"/>
  <c r="V628" i="107"/>
  <c r="V629" i="107"/>
  <c r="V630" i="107"/>
  <c r="V631" i="107"/>
  <c r="V632" i="107"/>
  <c r="V633" i="107"/>
  <c r="V634" i="107"/>
  <c r="V635" i="107"/>
  <c r="V636" i="107"/>
  <c r="V637" i="107"/>
  <c r="V638" i="107"/>
  <c r="V639" i="107"/>
  <c r="V640" i="107"/>
  <c r="V641" i="107"/>
  <c r="V642" i="107"/>
  <c r="V643" i="107"/>
  <c r="V644" i="107"/>
  <c r="V645" i="107"/>
  <c r="V646" i="107"/>
  <c r="V647" i="107"/>
  <c r="V648" i="107"/>
  <c r="V649" i="107"/>
  <c r="V650" i="107"/>
  <c r="V651" i="107"/>
  <c r="V652" i="107"/>
  <c r="V653" i="107"/>
  <c r="V654" i="107"/>
  <c r="V655" i="107"/>
  <c r="V656" i="107"/>
  <c r="V657" i="107"/>
  <c r="V658" i="107"/>
  <c r="V659" i="107"/>
  <c r="V660" i="107"/>
  <c r="V661" i="107"/>
  <c r="V662" i="107"/>
  <c r="V663" i="107"/>
  <c r="V664" i="107"/>
  <c r="V665" i="107"/>
  <c r="V666" i="107"/>
  <c r="V667" i="107"/>
  <c r="V668" i="107"/>
  <c r="V669" i="107"/>
  <c r="V670" i="107"/>
  <c r="V671" i="107"/>
  <c r="V672" i="107"/>
  <c r="V673" i="107"/>
  <c r="V674" i="107"/>
  <c r="V675" i="107"/>
  <c r="V676" i="107"/>
  <c r="V677" i="107"/>
  <c r="V678" i="107"/>
  <c r="V679" i="107"/>
  <c r="V680" i="107"/>
  <c r="V681" i="107"/>
  <c r="V682" i="107"/>
  <c r="V683" i="107"/>
  <c r="V684" i="107"/>
  <c r="V685" i="107"/>
  <c r="V686" i="107"/>
  <c r="V687" i="107"/>
  <c r="V688" i="107"/>
  <c r="V689" i="107"/>
  <c r="V690" i="107"/>
  <c r="V691" i="107"/>
  <c r="V692" i="107"/>
  <c r="V693" i="107"/>
  <c r="V694" i="107"/>
  <c r="V695" i="107"/>
  <c r="V696" i="107"/>
  <c r="V697" i="107"/>
  <c r="V698" i="107"/>
  <c r="V699" i="107"/>
  <c r="V700" i="107"/>
  <c r="V701" i="107"/>
  <c r="V702" i="107"/>
  <c r="V703" i="107"/>
  <c r="V704" i="107"/>
  <c r="V705" i="107"/>
  <c r="V706" i="107"/>
  <c r="V707" i="107"/>
  <c r="V708" i="107"/>
  <c r="V709" i="107"/>
  <c r="V710" i="107"/>
  <c r="V711" i="107"/>
  <c r="V712" i="107"/>
  <c r="V713" i="107"/>
  <c r="V714" i="107"/>
  <c r="V715" i="107"/>
  <c r="V716" i="107"/>
  <c r="V717" i="107"/>
  <c r="V718" i="107"/>
  <c r="V719" i="107"/>
  <c r="V720" i="107"/>
  <c r="V721" i="107"/>
  <c r="V722" i="107"/>
  <c r="V723" i="107"/>
  <c r="V724" i="107"/>
  <c r="V725" i="107"/>
  <c r="V726" i="107"/>
  <c r="V727" i="107"/>
  <c r="V728" i="107"/>
  <c r="V729" i="107"/>
  <c r="V730" i="107"/>
  <c r="V731" i="107"/>
  <c r="V732" i="107"/>
  <c r="V733" i="107"/>
  <c r="V734" i="107"/>
  <c r="V735" i="107"/>
  <c r="V736" i="107"/>
  <c r="V737" i="107"/>
  <c r="V738" i="107"/>
  <c r="V739" i="107"/>
  <c r="V740" i="107"/>
  <c r="V741" i="107"/>
  <c r="V742" i="107"/>
  <c r="V743" i="107"/>
  <c r="V744" i="107"/>
  <c r="V745" i="107"/>
  <c r="V746" i="107"/>
  <c r="V503" i="107"/>
  <c r="V256" i="107"/>
  <c r="V257" i="107"/>
  <c r="V258" i="107"/>
  <c r="V259" i="107"/>
  <c r="V260" i="107"/>
  <c r="V261" i="107"/>
  <c r="V262" i="107"/>
  <c r="V263" i="107"/>
  <c r="V264" i="107"/>
  <c r="V265" i="107"/>
  <c r="V266" i="107"/>
  <c r="V267" i="107"/>
  <c r="V268" i="107"/>
  <c r="V269" i="107"/>
  <c r="V270" i="107"/>
  <c r="V271" i="107"/>
  <c r="V272" i="107"/>
  <c r="V273" i="107"/>
  <c r="V274" i="107"/>
  <c r="V275" i="107"/>
  <c r="V276" i="107"/>
  <c r="V277" i="107"/>
  <c r="V278" i="107"/>
  <c r="V279" i="107"/>
  <c r="V280" i="107"/>
  <c r="V281" i="107"/>
  <c r="V282" i="107"/>
  <c r="V283" i="107"/>
  <c r="V284" i="107"/>
  <c r="V285" i="107"/>
  <c r="V286" i="107"/>
  <c r="V287" i="107"/>
  <c r="V288" i="107"/>
  <c r="V289" i="107"/>
  <c r="V290" i="107"/>
  <c r="V291" i="107"/>
  <c r="V292" i="107"/>
  <c r="V293" i="107"/>
  <c r="V294" i="107"/>
  <c r="V295" i="107"/>
  <c r="V296" i="107"/>
  <c r="V297" i="107"/>
  <c r="V298" i="107"/>
  <c r="V299" i="107"/>
  <c r="V300" i="107"/>
  <c r="V301" i="107"/>
  <c r="V302" i="107"/>
  <c r="V303" i="107"/>
  <c r="V304" i="107"/>
  <c r="V305" i="107"/>
  <c r="V306" i="107"/>
  <c r="V307" i="107"/>
  <c r="V308" i="107"/>
  <c r="V309" i="107"/>
  <c r="V310" i="107"/>
  <c r="V311" i="107"/>
  <c r="V312" i="107"/>
  <c r="V313" i="107"/>
  <c r="V314" i="107"/>
  <c r="V315" i="107"/>
  <c r="V316" i="107"/>
  <c r="V317" i="107"/>
  <c r="V318" i="107"/>
  <c r="V319" i="107"/>
  <c r="V320" i="107"/>
  <c r="V321" i="107"/>
  <c r="V322" i="107"/>
  <c r="V323" i="107"/>
  <c r="V324" i="107"/>
  <c r="V325" i="107"/>
  <c r="V326" i="107"/>
  <c r="V327" i="107"/>
  <c r="V328" i="107"/>
  <c r="V329" i="107"/>
  <c r="V330" i="107"/>
  <c r="V331" i="107"/>
  <c r="V332" i="107"/>
  <c r="V333" i="107"/>
  <c r="V334" i="107"/>
  <c r="V335" i="107"/>
  <c r="V336" i="107"/>
  <c r="V337" i="107"/>
  <c r="V338" i="107"/>
  <c r="V339" i="107"/>
  <c r="V340" i="107"/>
  <c r="V341" i="107"/>
  <c r="V342" i="107"/>
  <c r="V343" i="107"/>
  <c r="V344" i="107"/>
  <c r="V345" i="107"/>
  <c r="V346" i="107"/>
  <c r="V347" i="107"/>
  <c r="V348" i="107"/>
  <c r="V349" i="107"/>
  <c r="V350" i="107"/>
  <c r="V351" i="107"/>
  <c r="V352" i="107"/>
  <c r="V353" i="107"/>
  <c r="V354" i="107"/>
  <c r="V355" i="107"/>
  <c r="V356" i="107"/>
  <c r="V357" i="107"/>
  <c r="V358" i="107"/>
  <c r="V359" i="107"/>
  <c r="V360" i="107"/>
  <c r="V361" i="107"/>
  <c r="V362" i="107"/>
  <c r="V363" i="107"/>
  <c r="V364" i="107"/>
  <c r="V365" i="107"/>
  <c r="V366" i="107"/>
  <c r="V367" i="107"/>
  <c r="V368" i="107"/>
  <c r="V369" i="107"/>
  <c r="V370" i="107"/>
  <c r="V371" i="107"/>
  <c r="V372" i="107"/>
  <c r="V373" i="107"/>
  <c r="V374" i="107"/>
  <c r="V375" i="107"/>
  <c r="V376" i="107"/>
  <c r="V377" i="107"/>
  <c r="V378" i="107"/>
  <c r="V379" i="107"/>
  <c r="V380" i="107"/>
  <c r="V381" i="107"/>
  <c r="V382" i="107"/>
  <c r="V383" i="107"/>
  <c r="V384" i="107"/>
  <c r="V385" i="107"/>
  <c r="V386" i="107"/>
  <c r="V387" i="107"/>
  <c r="V388" i="107"/>
  <c r="V389" i="107"/>
  <c r="V390" i="107"/>
  <c r="V391" i="107"/>
  <c r="V392" i="107"/>
  <c r="V393" i="107"/>
  <c r="V394" i="107"/>
  <c r="V395" i="107"/>
  <c r="V396" i="107"/>
  <c r="V397" i="107"/>
  <c r="V398" i="107"/>
  <c r="V399" i="107"/>
  <c r="V400" i="107"/>
  <c r="V401" i="107"/>
  <c r="V402" i="107"/>
  <c r="V403" i="107"/>
  <c r="V404" i="107"/>
  <c r="V405" i="107"/>
  <c r="V406" i="107"/>
  <c r="V407" i="107"/>
  <c r="V408" i="107"/>
  <c r="V409" i="107"/>
  <c r="V410" i="107"/>
  <c r="V411" i="107"/>
  <c r="V412" i="107"/>
  <c r="V413" i="107"/>
  <c r="V414" i="107"/>
  <c r="V415" i="107"/>
  <c r="V416" i="107"/>
  <c r="V417" i="107"/>
  <c r="V418" i="107"/>
  <c r="V419" i="107"/>
  <c r="V420" i="107"/>
  <c r="V421" i="107"/>
  <c r="V422" i="107"/>
  <c r="V423" i="107"/>
  <c r="V424" i="107"/>
  <c r="V425" i="107"/>
  <c r="V426" i="107"/>
  <c r="V427" i="107"/>
  <c r="V428" i="107"/>
  <c r="V429" i="107"/>
  <c r="V430" i="107"/>
  <c r="V431" i="107"/>
  <c r="V432" i="107"/>
  <c r="V433" i="107"/>
  <c r="V434" i="107"/>
  <c r="V435" i="107"/>
  <c r="V436" i="107"/>
  <c r="V437" i="107"/>
  <c r="V438" i="107"/>
  <c r="V439" i="107"/>
  <c r="V440" i="107"/>
  <c r="V441" i="107"/>
  <c r="V442" i="107"/>
  <c r="V443" i="107"/>
  <c r="V444" i="107"/>
  <c r="V445" i="107"/>
  <c r="V446" i="107"/>
  <c r="V447" i="107"/>
  <c r="V448" i="107"/>
  <c r="V449" i="107"/>
  <c r="V450" i="107"/>
  <c r="V451" i="107"/>
  <c r="V452" i="107"/>
  <c r="V453" i="107"/>
  <c r="V454" i="107"/>
  <c r="V455" i="107"/>
  <c r="V456" i="107"/>
  <c r="V457" i="107"/>
  <c r="V458" i="107"/>
  <c r="V459" i="107"/>
  <c r="V460" i="107"/>
  <c r="V461" i="107"/>
  <c r="V462" i="107"/>
  <c r="V463" i="107"/>
  <c r="V464" i="107"/>
  <c r="V465" i="107"/>
  <c r="V466" i="107"/>
  <c r="V467" i="107"/>
  <c r="V468" i="107"/>
  <c r="V469" i="107"/>
  <c r="V470" i="107"/>
  <c r="V471" i="107"/>
  <c r="V472" i="107"/>
  <c r="V473" i="107"/>
  <c r="V474" i="107"/>
  <c r="V475" i="107"/>
  <c r="V476" i="107"/>
  <c r="V477" i="107"/>
  <c r="V478" i="107"/>
  <c r="V479" i="107"/>
  <c r="V480" i="107"/>
  <c r="V481" i="107"/>
  <c r="V482" i="107"/>
  <c r="V483" i="107"/>
  <c r="V484" i="107"/>
  <c r="V485" i="107"/>
  <c r="V486" i="107"/>
  <c r="V487" i="107"/>
  <c r="V488" i="107"/>
  <c r="V489" i="107"/>
  <c r="V490" i="107"/>
  <c r="V491" i="107"/>
  <c r="V492" i="107"/>
  <c r="V493" i="107"/>
  <c r="V494" i="107"/>
  <c r="V495" i="107"/>
  <c r="V496" i="107"/>
  <c r="V497" i="107"/>
  <c r="V498" i="107"/>
  <c r="V499" i="107"/>
  <c r="V500" i="107"/>
  <c r="V501" i="107"/>
  <c r="V502" i="107"/>
  <c r="V255" i="107"/>
  <c r="V251" i="107"/>
  <c r="V252" i="107"/>
  <c r="V253" i="107"/>
  <c r="V254" i="107"/>
  <c r="V248" i="107"/>
  <c r="V249" i="107"/>
  <c r="V250" i="107"/>
  <c r="V224" i="107"/>
  <c r="V225" i="107"/>
  <c r="V226" i="107"/>
  <c r="V227" i="107"/>
  <c r="V228" i="107"/>
  <c r="V229" i="107"/>
  <c r="V230" i="107"/>
  <c r="V231" i="107"/>
  <c r="V232" i="107"/>
  <c r="V233" i="107"/>
  <c r="V234" i="107"/>
  <c r="V235" i="107"/>
  <c r="V236" i="107"/>
  <c r="V237" i="107"/>
  <c r="V238" i="107"/>
  <c r="V239" i="107"/>
  <c r="V240" i="107"/>
  <c r="V241" i="107"/>
  <c r="V242" i="107"/>
  <c r="V243" i="107"/>
  <c r="V244" i="107"/>
  <c r="V245" i="107"/>
  <c r="V246" i="107"/>
  <c r="V247" i="107"/>
  <c r="V8" i="107"/>
  <c r="V9" i="107"/>
  <c r="V10" i="107"/>
  <c r="V11" i="107"/>
  <c r="V12" i="107"/>
  <c r="V13" i="107"/>
  <c r="V14" i="107"/>
  <c r="V15" i="107"/>
  <c r="V16" i="107"/>
  <c r="V17" i="107"/>
  <c r="V18" i="107"/>
  <c r="V19" i="107"/>
  <c r="V20" i="107"/>
  <c r="V21" i="107"/>
  <c r="V22" i="107"/>
  <c r="V23" i="107"/>
  <c r="V24" i="107"/>
  <c r="V25" i="107"/>
  <c r="V26" i="107"/>
  <c r="V27" i="107"/>
  <c r="V28" i="107"/>
  <c r="V29" i="107"/>
  <c r="V30" i="107"/>
  <c r="V31" i="107"/>
  <c r="V32" i="107"/>
  <c r="V33" i="107"/>
  <c r="V34" i="107"/>
  <c r="V35" i="107"/>
  <c r="V36" i="107"/>
  <c r="V37" i="107"/>
  <c r="V38" i="107"/>
  <c r="V39" i="107"/>
  <c r="V40" i="107"/>
  <c r="V41" i="107"/>
  <c r="V42" i="107"/>
  <c r="V43" i="107"/>
  <c r="V44" i="107"/>
  <c r="V45" i="107"/>
  <c r="V46" i="107"/>
  <c r="V47" i="107"/>
  <c r="V48" i="107"/>
  <c r="V49" i="107"/>
  <c r="V50" i="107"/>
  <c r="V51" i="107"/>
  <c r="V52" i="107"/>
  <c r="V53" i="107"/>
  <c r="V54" i="107"/>
  <c r="V55" i="107"/>
  <c r="V56" i="107"/>
  <c r="V57" i="107"/>
  <c r="V58" i="107"/>
  <c r="V59" i="107"/>
  <c r="V60" i="107"/>
  <c r="V61" i="107"/>
  <c r="V62" i="107"/>
  <c r="V63" i="107"/>
  <c r="V64" i="107"/>
  <c r="V65" i="107"/>
  <c r="V66" i="107"/>
  <c r="V67" i="107"/>
  <c r="V68" i="107"/>
  <c r="V69" i="107"/>
  <c r="V70" i="107"/>
  <c r="V71" i="107"/>
  <c r="V72" i="107"/>
  <c r="V73" i="107"/>
  <c r="V74" i="107"/>
  <c r="V75" i="107"/>
  <c r="V76" i="107"/>
  <c r="V77" i="107"/>
  <c r="V78" i="107"/>
  <c r="V79" i="107"/>
  <c r="V80" i="107"/>
  <c r="V81" i="107"/>
  <c r="V82" i="107"/>
  <c r="V83" i="107"/>
  <c r="V84" i="107"/>
  <c r="V85" i="107"/>
  <c r="V86" i="107"/>
  <c r="V87" i="107"/>
  <c r="V88" i="107"/>
  <c r="V89" i="107"/>
  <c r="V90" i="107"/>
  <c r="V91" i="107"/>
  <c r="V92" i="107"/>
  <c r="V93" i="107"/>
  <c r="V94" i="107"/>
  <c r="V95" i="107"/>
  <c r="V96" i="107"/>
  <c r="V97" i="107"/>
  <c r="V98" i="107"/>
  <c r="V99" i="107"/>
  <c r="V100" i="107"/>
  <c r="V101" i="107"/>
  <c r="V102" i="107"/>
  <c r="V103" i="107"/>
  <c r="V104" i="107"/>
  <c r="V105" i="107"/>
  <c r="V106" i="107"/>
  <c r="V107" i="107"/>
  <c r="V108" i="107"/>
  <c r="V109" i="107"/>
  <c r="V110" i="107"/>
  <c r="V111" i="107"/>
  <c r="V112" i="107"/>
  <c r="V113" i="107"/>
  <c r="V114" i="107"/>
  <c r="V115" i="107"/>
  <c r="V116" i="107"/>
  <c r="V117" i="107"/>
  <c r="V118" i="107"/>
  <c r="V119" i="107"/>
  <c r="V120" i="107"/>
  <c r="V121" i="107"/>
  <c r="V122" i="107"/>
  <c r="V123" i="107"/>
  <c r="V124" i="107"/>
  <c r="V125" i="107"/>
  <c r="V126" i="107"/>
  <c r="V127" i="107"/>
  <c r="V128" i="107"/>
  <c r="V129" i="107"/>
  <c r="V130" i="107"/>
  <c r="V131" i="107"/>
  <c r="V132" i="107"/>
  <c r="V133" i="107"/>
  <c r="V134" i="107"/>
  <c r="V135" i="107"/>
  <c r="V136" i="107"/>
  <c r="V137" i="107"/>
  <c r="V138" i="107"/>
  <c r="V139" i="107"/>
  <c r="V140" i="107"/>
  <c r="V141" i="107"/>
  <c r="V142" i="107"/>
  <c r="V143" i="107"/>
  <c r="V144" i="107"/>
  <c r="V145" i="107"/>
  <c r="V146" i="107"/>
  <c r="V147" i="107"/>
  <c r="V148" i="107"/>
  <c r="V149" i="107"/>
  <c r="V150" i="107"/>
  <c r="V151" i="107"/>
  <c r="V152" i="107"/>
  <c r="V153" i="107"/>
  <c r="V154" i="107"/>
  <c r="V155" i="107"/>
  <c r="V156" i="107"/>
  <c r="V157" i="107"/>
  <c r="V158" i="107"/>
  <c r="V159" i="107"/>
  <c r="V160" i="107"/>
  <c r="V161" i="107"/>
  <c r="V162" i="107"/>
  <c r="V163" i="107"/>
  <c r="V164" i="107"/>
  <c r="V165" i="107"/>
  <c r="V166" i="107"/>
  <c r="V167" i="107"/>
  <c r="V168" i="107"/>
  <c r="V169" i="107"/>
  <c r="V170" i="107"/>
  <c r="V171" i="107"/>
  <c r="V172" i="107"/>
  <c r="V173" i="107"/>
  <c r="V174" i="107"/>
  <c r="V175" i="107"/>
  <c r="V176" i="107"/>
  <c r="V177" i="107"/>
  <c r="V178" i="107"/>
  <c r="V179" i="107"/>
  <c r="V180" i="107"/>
  <c r="V181" i="107"/>
  <c r="V182" i="107"/>
  <c r="V183" i="107"/>
  <c r="V184" i="107"/>
  <c r="V185" i="107"/>
  <c r="V186" i="107"/>
  <c r="V187" i="107"/>
  <c r="V188" i="107"/>
  <c r="V189" i="107"/>
  <c r="V190" i="107"/>
  <c r="V191" i="107"/>
  <c r="V192" i="107"/>
  <c r="V193" i="107"/>
  <c r="V194" i="107"/>
  <c r="V195" i="107"/>
  <c r="V196" i="107"/>
  <c r="V197" i="107"/>
  <c r="V198" i="107"/>
  <c r="V199" i="107"/>
  <c r="V200" i="107"/>
  <c r="V201" i="107"/>
  <c r="V202" i="107"/>
  <c r="V203" i="107"/>
  <c r="V204" i="107"/>
  <c r="V205" i="107"/>
  <c r="V206" i="107"/>
  <c r="V207" i="107"/>
  <c r="V208" i="107"/>
  <c r="V209" i="107"/>
  <c r="V210" i="107"/>
  <c r="V211" i="107"/>
  <c r="V212" i="107"/>
  <c r="V213" i="107"/>
  <c r="V214" i="107"/>
  <c r="V215" i="107"/>
  <c r="V216" i="107"/>
  <c r="V217" i="107"/>
  <c r="V218" i="107"/>
  <c r="V219" i="107"/>
  <c r="V220" i="107"/>
  <c r="V221" i="107"/>
  <c r="V222" i="107"/>
  <c r="V223" i="107"/>
  <c r="V7" i="107"/>
  <c r="M501" i="107"/>
  <c r="M502" i="107"/>
  <c r="M503" i="107"/>
  <c r="M504" i="107"/>
  <c r="M505" i="107"/>
  <c r="M506" i="107"/>
  <c r="M507" i="107"/>
  <c r="M508" i="107"/>
  <c r="M509" i="107"/>
  <c r="M510" i="107"/>
  <c r="M511" i="107"/>
  <c r="M512" i="107"/>
  <c r="M513" i="107"/>
  <c r="M514" i="107"/>
  <c r="M515" i="107"/>
  <c r="M516" i="107"/>
  <c r="M517" i="107"/>
  <c r="M518" i="107"/>
  <c r="M519" i="107"/>
  <c r="M520" i="107"/>
  <c r="M521" i="107"/>
  <c r="M522" i="107"/>
  <c r="M523" i="107"/>
  <c r="M524" i="107"/>
  <c r="M525" i="107"/>
  <c r="M526" i="107"/>
  <c r="M527" i="107"/>
  <c r="M528" i="107"/>
  <c r="M529" i="107"/>
  <c r="M530" i="107"/>
  <c r="M531" i="107"/>
  <c r="M532" i="107"/>
  <c r="M533" i="107"/>
  <c r="M534" i="107"/>
  <c r="M535" i="107"/>
  <c r="M536" i="107"/>
  <c r="M537" i="107"/>
  <c r="M538" i="107"/>
  <c r="M539" i="107"/>
  <c r="M540" i="107"/>
  <c r="M541" i="107"/>
  <c r="M542" i="107"/>
  <c r="M543" i="107"/>
  <c r="M544" i="107"/>
  <c r="M545" i="107"/>
  <c r="M546" i="107"/>
  <c r="M547" i="107"/>
  <c r="M548" i="107"/>
  <c r="M549" i="107"/>
  <c r="M550" i="107"/>
  <c r="M551" i="107"/>
  <c r="M552" i="107"/>
  <c r="M553" i="107"/>
  <c r="M554" i="107"/>
  <c r="M555" i="107"/>
  <c r="M556" i="107"/>
  <c r="M557" i="107"/>
  <c r="M558" i="107"/>
  <c r="M559" i="107"/>
  <c r="M560" i="107"/>
  <c r="M561" i="107"/>
  <c r="M562" i="107"/>
  <c r="M563" i="107"/>
  <c r="M564" i="107"/>
  <c r="M565" i="107"/>
  <c r="M566" i="107"/>
  <c r="M567" i="107"/>
  <c r="M568" i="107"/>
  <c r="M569" i="107"/>
  <c r="M570" i="107"/>
  <c r="M571" i="107"/>
  <c r="M572" i="107"/>
  <c r="M573" i="107"/>
  <c r="M574" i="107"/>
  <c r="M575" i="107"/>
  <c r="M576" i="107"/>
  <c r="M577" i="107"/>
  <c r="M578" i="107"/>
  <c r="M579" i="107"/>
  <c r="M580" i="107"/>
  <c r="M581" i="107"/>
  <c r="M582" i="107"/>
  <c r="M583" i="107"/>
  <c r="M584" i="107"/>
  <c r="M585" i="107"/>
  <c r="M586" i="107"/>
  <c r="M587" i="107"/>
  <c r="M588" i="107"/>
  <c r="M589" i="107"/>
  <c r="M590" i="107"/>
  <c r="M591" i="107"/>
  <c r="M592" i="107"/>
  <c r="M593" i="107"/>
  <c r="M594" i="107"/>
  <c r="M595" i="107"/>
  <c r="M596" i="107"/>
  <c r="M597" i="107"/>
  <c r="M598" i="107"/>
  <c r="M599" i="107"/>
  <c r="M600" i="107"/>
  <c r="M601" i="107"/>
  <c r="M602" i="107"/>
  <c r="M603" i="107"/>
  <c r="M604" i="107"/>
  <c r="M605" i="107"/>
  <c r="M606" i="107"/>
  <c r="M607" i="107"/>
  <c r="M608" i="107"/>
  <c r="M609" i="107"/>
  <c r="M610" i="107"/>
  <c r="M611" i="107"/>
  <c r="M612" i="107"/>
  <c r="M613" i="107"/>
  <c r="M614" i="107"/>
  <c r="M615" i="107"/>
  <c r="M616" i="107"/>
  <c r="M617" i="107"/>
  <c r="M618" i="107"/>
  <c r="M619" i="107"/>
  <c r="M620" i="107"/>
  <c r="M621" i="107"/>
  <c r="M622" i="107"/>
  <c r="M623" i="107"/>
  <c r="M624" i="107"/>
  <c r="M625" i="107"/>
  <c r="M626" i="107"/>
  <c r="M627" i="107"/>
  <c r="M628" i="107"/>
  <c r="M629" i="107"/>
  <c r="M630" i="107"/>
  <c r="M631" i="107"/>
  <c r="M632" i="107"/>
  <c r="M633" i="107"/>
  <c r="M634" i="107"/>
  <c r="M635" i="107"/>
  <c r="M636" i="107"/>
  <c r="M637" i="107"/>
  <c r="M638" i="107"/>
  <c r="M639" i="107"/>
  <c r="M640" i="107"/>
  <c r="M641" i="107"/>
  <c r="M642" i="107"/>
  <c r="M643" i="107"/>
  <c r="M644" i="107"/>
  <c r="M645" i="107"/>
  <c r="M646" i="107"/>
  <c r="M647" i="107"/>
  <c r="M648" i="107"/>
  <c r="M649" i="107"/>
  <c r="M650" i="107"/>
  <c r="M651" i="107"/>
  <c r="M652" i="107"/>
  <c r="M653" i="107"/>
  <c r="M654" i="107"/>
  <c r="M655" i="107"/>
  <c r="M656" i="107"/>
  <c r="M657" i="107"/>
  <c r="M658" i="107"/>
  <c r="M659" i="107"/>
  <c r="M660" i="107"/>
  <c r="M661" i="107"/>
  <c r="M662" i="107"/>
  <c r="M663" i="107"/>
  <c r="M664" i="107"/>
  <c r="M665" i="107"/>
  <c r="M666" i="107"/>
  <c r="M667" i="107"/>
  <c r="M668" i="107"/>
  <c r="M669" i="107"/>
  <c r="M670" i="107"/>
  <c r="M671" i="107"/>
  <c r="M672" i="107"/>
  <c r="M673" i="107"/>
  <c r="M674" i="107"/>
  <c r="M675" i="107"/>
  <c r="M676" i="107"/>
  <c r="M677" i="107"/>
  <c r="M678" i="107"/>
  <c r="M679" i="107"/>
  <c r="M680" i="107"/>
  <c r="M681" i="107"/>
  <c r="M682" i="107"/>
  <c r="M683" i="107"/>
  <c r="M684" i="107"/>
  <c r="M685" i="107"/>
  <c r="M686" i="107"/>
  <c r="M687" i="107"/>
  <c r="M688" i="107"/>
  <c r="M689" i="107"/>
  <c r="M690" i="107"/>
  <c r="M691" i="107"/>
  <c r="M692" i="107"/>
  <c r="M693" i="107"/>
  <c r="M694" i="107"/>
  <c r="M695" i="107"/>
  <c r="M696" i="107"/>
  <c r="M697" i="107"/>
  <c r="M698" i="107"/>
  <c r="M699" i="107"/>
  <c r="M700" i="107"/>
  <c r="M701" i="107"/>
  <c r="M702" i="107"/>
  <c r="M703" i="107"/>
  <c r="M704" i="107"/>
  <c r="M705" i="107"/>
  <c r="M706" i="107"/>
  <c r="M707" i="107"/>
  <c r="M708" i="107"/>
  <c r="M709" i="107"/>
  <c r="M710" i="107"/>
  <c r="M711" i="107"/>
  <c r="M712" i="107"/>
  <c r="M713" i="107"/>
  <c r="M714" i="107"/>
  <c r="M715" i="107"/>
  <c r="M716" i="107"/>
  <c r="M717" i="107"/>
  <c r="M718" i="107"/>
  <c r="M719" i="107"/>
  <c r="M720" i="107"/>
  <c r="M721" i="107"/>
  <c r="M722" i="107"/>
  <c r="M723" i="107"/>
  <c r="M724" i="107"/>
  <c r="M725" i="107"/>
  <c r="M726" i="107"/>
  <c r="M727" i="107"/>
  <c r="M728" i="107"/>
  <c r="M729" i="107"/>
  <c r="M730" i="107"/>
  <c r="M731" i="107"/>
  <c r="M732" i="107"/>
  <c r="M733" i="107"/>
  <c r="M734" i="107"/>
  <c r="M735" i="107"/>
  <c r="M736" i="107"/>
  <c r="M737" i="107"/>
  <c r="M738" i="107"/>
  <c r="M739" i="107"/>
  <c r="M740" i="107"/>
  <c r="M741" i="107"/>
  <c r="M742" i="107"/>
  <c r="M743" i="107"/>
  <c r="M744" i="107"/>
  <c r="M745" i="107"/>
  <c r="M500" i="107"/>
  <c r="M256" i="107"/>
  <c r="M257" i="107"/>
  <c r="M258" i="107"/>
  <c r="M259" i="107"/>
  <c r="M260" i="107"/>
  <c r="M261" i="107"/>
  <c r="M262" i="107"/>
  <c r="M263" i="107"/>
  <c r="M264" i="107"/>
  <c r="M265" i="107"/>
  <c r="M266" i="107"/>
  <c r="M267" i="107"/>
  <c r="M268" i="107"/>
  <c r="M269" i="107"/>
  <c r="M270" i="107"/>
  <c r="M271" i="107"/>
  <c r="M272" i="107"/>
  <c r="M273" i="107"/>
  <c r="M274" i="107"/>
  <c r="M275" i="107"/>
  <c r="M276" i="107"/>
  <c r="M277" i="107"/>
  <c r="M278" i="107"/>
  <c r="M279" i="107"/>
  <c r="M280" i="107"/>
  <c r="M281" i="107"/>
  <c r="M282" i="107"/>
  <c r="M283" i="107"/>
  <c r="M284" i="107"/>
  <c r="M285" i="107"/>
  <c r="M286" i="107"/>
  <c r="M287" i="107"/>
  <c r="M288" i="107"/>
  <c r="M289" i="107"/>
  <c r="M290" i="107"/>
  <c r="M291" i="107"/>
  <c r="M292" i="107"/>
  <c r="M293" i="107"/>
  <c r="M294" i="107"/>
  <c r="M295" i="107"/>
  <c r="M296" i="107"/>
  <c r="M297" i="107"/>
  <c r="M298" i="107"/>
  <c r="M299" i="107"/>
  <c r="M300" i="107"/>
  <c r="M301" i="107"/>
  <c r="M302" i="107"/>
  <c r="M303" i="107"/>
  <c r="M304" i="107"/>
  <c r="M305" i="107"/>
  <c r="M306" i="107"/>
  <c r="M307" i="107"/>
  <c r="M308" i="107"/>
  <c r="M309" i="107"/>
  <c r="M310" i="107"/>
  <c r="M311" i="107"/>
  <c r="M312" i="107"/>
  <c r="M313" i="107"/>
  <c r="M314" i="107"/>
  <c r="M315" i="107"/>
  <c r="M316" i="107"/>
  <c r="M317" i="107"/>
  <c r="M318" i="107"/>
  <c r="M319" i="107"/>
  <c r="M320" i="107"/>
  <c r="M321" i="107"/>
  <c r="M322" i="107"/>
  <c r="M323" i="107"/>
  <c r="M324" i="107"/>
  <c r="M325" i="107"/>
  <c r="M326" i="107"/>
  <c r="M327" i="107"/>
  <c r="M328" i="107"/>
  <c r="M329" i="107"/>
  <c r="M330" i="107"/>
  <c r="M331" i="107"/>
  <c r="M332" i="107"/>
  <c r="M333" i="107"/>
  <c r="M334" i="107"/>
  <c r="M335" i="107"/>
  <c r="M336" i="107"/>
  <c r="M337" i="107"/>
  <c r="M338" i="107"/>
  <c r="M339" i="107"/>
  <c r="M340" i="107"/>
  <c r="M341" i="107"/>
  <c r="M342" i="107"/>
  <c r="M343" i="107"/>
  <c r="M344" i="107"/>
  <c r="M345" i="107"/>
  <c r="M346" i="107"/>
  <c r="M347" i="107"/>
  <c r="M348" i="107"/>
  <c r="M349" i="107"/>
  <c r="M350" i="107"/>
  <c r="M351" i="107"/>
  <c r="M352" i="107"/>
  <c r="M353" i="107"/>
  <c r="M354" i="107"/>
  <c r="M355" i="107"/>
  <c r="M356" i="107"/>
  <c r="M357" i="107"/>
  <c r="M358" i="107"/>
  <c r="M359" i="107"/>
  <c r="M360" i="107"/>
  <c r="M361" i="107"/>
  <c r="M362" i="107"/>
  <c r="M363" i="107"/>
  <c r="M364" i="107"/>
  <c r="M365" i="107"/>
  <c r="M366" i="107"/>
  <c r="M367" i="107"/>
  <c r="M368" i="107"/>
  <c r="M369" i="107"/>
  <c r="M370" i="107"/>
  <c r="M371" i="107"/>
  <c r="M372" i="107"/>
  <c r="M373" i="107"/>
  <c r="M374" i="107"/>
  <c r="M375" i="107"/>
  <c r="M376" i="107"/>
  <c r="M377" i="107"/>
  <c r="M378" i="107"/>
  <c r="M379" i="107"/>
  <c r="M380" i="107"/>
  <c r="M381" i="107"/>
  <c r="M382" i="107"/>
  <c r="M383" i="107"/>
  <c r="M384" i="107"/>
  <c r="M385" i="107"/>
  <c r="M386" i="107"/>
  <c r="M387" i="107"/>
  <c r="M388" i="107"/>
  <c r="M389" i="107"/>
  <c r="M390" i="107"/>
  <c r="M391" i="107"/>
  <c r="M392" i="107"/>
  <c r="M393" i="107"/>
  <c r="M394" i="107"/>
  <c r="M395" i="107"/>
  <c r="M396" i="107"/>
  <c r="M397" i="107"/>
  <c r="M398" i="107"/>
  <c r="M399" i="107"/>
  <c r="M400" i="107"/>
  <c r="M401" i="107"/>
  <c r="M402" i="107"/>
  <c r="M403" i="107"/>
  <c r="M404" i="107"/>
  <c r="M405" i="107"/>
  <c r="M406" i="107"/>
  <c r="M407" i="107"/>
  <c r="M408" i="107"/>
  <c r="M409" i="107"/>
  <c r="M410" i="107"/>
  <c r="M411" i="107"/>
  <c r="M412" i="107"/>
  <c r="M413" i="107"/>
  <c r="M414" i="107"/>
  <c r="M415" i="107"/>
  <c r="M416" i="107"/>
  <c r="M417" i="107"/>
  <c r="M418" i="107"/>
  <c r="M419" i="107"/>
  <c r="M420" i="107"/>
  <c r="M421" i="107"/>
  <c r="M422" i="107"/>
  <c r="M423" i="107"/>
  <c r="M424" i="107"/>
  <c r="M425" i="107"/>
  <c r="M426" i="107"/>
  <c r="M427" i="107"/>
  <c r="M428" i="107"/>
  <c r="M429" i="107"/>
  <c r="M430" i="107"/>
  <c r="M431" i="107"/>
  <c r="M432" i="107"/>
  <c r="M433" i="107"/>
  <c r="M434" i="107"/>
  <c r="M435" i="107"/>
  <c r="M436" i="107"/>
  <c r="M437" i="107"/>
  <c r="M438" i="107"/>
  <c r="M439" i="107"/>
  <c r="M440" i="107"/>
  <c r="M441" i="107"/>
  <c r="M442" i="107"/>
  <c r="M443" i="107"/>
  <c r="M444" i="107"/>
  <c r="M445" i="107"/>
  <c r="M446" i="107"/>
  <c r="M447" i="107"/>
  <c r="M448" i="107"/>
  <c r="M449" i="107"/>
  <c r="M450" i="107"/>
  <c r="M451" i="107"/>
  <c r="M452" i="107"/>
  <c r="M453" i="107"/>
  <c r="M454" i="107"/>
  <c r="M455" i="107"/>
  <c r="M456" i="107"/>
  <c r="M457" i="107"/>
  <c r="M458" i="107"/>
  <c r="M459" i="107"/>
  <c r="M460" i="107"/>
  <c r="M461" i="107"/>
  <c r="M462" i="107"/>
  <c r="M463" i="107"/>
  <c r="M464" i="107"/>
  <c r="M465" i="107"/>
  <c r="M466" i="107"/>
  <c r="M467" i="107"/>
  <c r="M468" i="107"/>
  <c r="M469" i="107"/>
  <c r="M470" i="107"/>
  <c r="M471" i="107"/>
  <c r="M472" i="107"/>
  <c r="M473" i="107"/>
  <c r="M474" i="107"/>
  <c r="M475" i="107"/>
  <c r="M476" i="107"/>
  <c r="M477" i="107"/>
  <c r="M478" i="107"/>
  <c r="M479" i="107"/>
  <c r="M480" i="107"/>
  <c r="M481" i="107"/>
  <c r="M482" i="107"/>
  <c r="M483" i="107"/>
  <c r="M484" i="107"/>
  <c r="M485" i="107"/>
  <c r="M486" i="107"/>
  <c r="M487" i="107"/>
  <c r="M488" i="107"/>
  <c r="M489" i="107"/>
  <c r="M490" i="107"/>
  <c r="M491" i="107"/>
  <c r="M492" i="107"/>
  <c r="M493" i="107"/>
  <c r="M494" i="107"/>
  <c r="M495" i="107"/>
  <c r="M496" i="107"/>
  <c r="M497" i="107"/>
  <c r="M498" i="107"/>
  <c r="M499" i="107"/>
  <c r="M255" i="107"/>
  <c r="M8" i="107"/>
  <c r="M9" i="107"/>
  <c r="M10" i="107"/>
  <c r="M11" i="107"/>
  <c r="M12" i="107"/>
  <c r="M13" i="107"/>
  <c r="M14" i="107"/>
  <c r="M15" i="107"/>
  <c r="M16" i="107"/>
  <c r="M17" i="107"/>
  <c r="M18" i="107"/>
  <c r="M19" i="107"/>
  <c r="M20" i="107"/>
  <c r="M21" i="107"/>
  <c r="M22" i="107"/>
  <c r="M23" i="107"/>
  <c r="M24" i="107"/>
  <c r="M25" i="107"/>
  <c r="M26" i="107"/>
  <c r="M27" i="107"/>
  <c r="M28" i="107"/>
  <c r="M29" i="107"/>
  <c r="M30" i="107"/>
  <c r="M31" i="107"/>
  <c r="M32" i="107"/>
  <c r="M33" i="107"/>
  <c r="M34" i="107"/>
  <c r="M35" i="107"/>
  <c r="M36" i="107"/>
  <c r="M37" i="107"/>
  <c r="M38" i="107"/>
  <c r="M39" i="107"/>
  <c r="M40" i="107"/>
  <c r="M41" i="107"/>
  <c r="M42" i="107"/>
  <c r="M43" i="107"/>
  <c r="M44" i="107"/>
  <c r="M45" i="107"/>
  <c r="M46" i="107"/>
  <c r="M47" i="107"/>
  <c r="M48" i="107"/>
  <c r="M49" i="107"/>
  <c r="M50" i="107"/>
  <c r="M51" i="107"/>
  <c r="M52" i="107"/>
  <c r="M53" i="107"/>
  <c r="M54" i="107"/>
  <c r="M55" i="107"/>
  <c r="M56" i="107"/>
  <c r="M57" i="107"/>
  <c r="M58" i="107"/>
  <c r="M59" i="107"/>
  <c r="M60" i="107"/>
  <c r="M61" i="107"/>
  <c r="M62" i="107"/>
  <c r="M63" i="107"/>
  <c r="M64" i="107"/>
  <c r="M65" i="107"/>
  <c r="M66" i="107"/>
  <c r="M67" i="107"/>
  <c r="M68" i="107"/>
  <c r="M69" i="107"/>
  <c r="M70" i="107"/>
  <c r="M71" i="107"/>
  <c r="M72" i="107"/>
  <c r="M73" i="107"/>
  <c r="M74" i="107"/>
  <c r="M75" i="107"/>
  <c r="M76" i="107"/>
  <c r="M77" i="107"/>
  <c r="M78" i="107"/>
  <c r="M79" i="107"/>
  <c r="M80" i="107"/>
  <c r="M81" i="107"/>
  <c r="M82" i="107"/>
  <c r="M83" i="107"/>
  <c r="M84" i="107"/>
  <c r="M85" i="107"/>
  <c r="M86" i="107"/>
  <c r="M87" i="107"/>
  <c r="M88" i="107"/>
  <c r="M89" i="107"/>
  <c r="M90" i="107"/>
  <c r="M91" i="107"/>
  <c r="M92" i="107"/>
  <c r="M93" i="107"/>
  <c r="M94" i="107"/>
  <c r="M95" i="107"/>
  <c r="M96" i="107"/>
  <c r="M97" i="107"/>
  <c r="M98" i="107"/>
  <c r="M99" i="107"/>
  <c r="M100" i="107"/>
  <c r="M101" i="107"/>
  <c r="M102" i="107"/>
  <c r="M103" i="107"/>
  <c r="M104" i="107"/>
  <c r="M105" i="107"/>
  <c r="M106" i="107"/>
  <c r="M107" i="107"/>
  <c r="M108" i="107"/>
  <c r="M109" i="107"/>
  <c r="M110" i="107"/>
  <c r="M111" i="107"/>
  <c r="M112" i="107"/>
  <c r="M113" i="107"/>
  <c r="M114" i="107"/>
  <c r="M115" i="107"/>
  <c r="M116" i="107"/>
  <c r="M117" i="107"/>
  <c r="M118" i="107"/>
  <c r="M119" i="107"/>
  <c r="M120" i="107"/>
  <c r="M121" i="107"/>
  <c r="M122" i="107"/>
  <c r="M123" i="107"/>
  <c r="M124" i="107"/>
  <c r="M125" i="107"/>
  <c r="M126" i="107"/>
  <c r="M127" i="107"/>
  <c r="M128" i="107"/>
  <c r="M129" i="107"/>
  <c r="M130" i="107"/>
  <c r="M131" i="107"/>
  <c r="M132" i="107"/>
  <c r="M133" i="107"/>
  <c r="M134" i="107"/>
  <c r="M135" i="107"/>
  <c r="M136" i="107"/>
  <c r="M137" i="107"/>
  <c r="M138" i="107"/>
  <c r="M139" i="107"/>
  <c r="M140" i="107"/>
  <c r="M141" i="107"/>
  <c r="M142" i="107"/>
  <c r="M143" i="107"/>
  <c r="M144" i="107"/>
  <c r="M145" i="107"/>
  <c r="M146" i="107"/>
  <c r="M147" i="107"/>
  <c r="M148" i="107"/>
  <c r="M149" i="107"/>
  <c r="M150" i="107"/>
  <c r="M151" i="107"/>
  <c r="M152" i="107"/>
  <c r="M153" i="107"/>
  <c r="M154" i="107"/>
  <c r="M155" i="107"/>
  <c r="M156" i="107"/>
  <c r="M157" i="107"/>
  <c r="M158" i="107"/>
  <c r="M159" i="107"/>
  <c r="M160" i="107"/>
  <c r="M161" i="107"/>
  <c r="M162" i="107"/>
  <c r="M163" i="107"/>
  <c r="M164" i="107"/>
  <c r="M165" i="107"/>
  <c r="M166" i="107"/>
  <c r="M167" i="107"/>
  <c r="M168" i="107"/>
  <c r="M169" i="107"/>
  <c r="M170" i="107"/>
  <c r="M171" i="107"/>
  <c r="M172" i="107"/>
  <c r="M173" i="107"/>
  <c r="M174" i="107"/>
  <c r="M175" i="107"/>
  <c r="M176" i="107"/>
  <c r="M177" i="107"/>
  <c r="M178" i="107"/>
  <c r="M179" i="107"/>
  <c r="M180" i="107"/>
  <c r="M181" i="107"/>
  <c r="M182" i="107"/>
  <c r="M183" i="107"/>
  <c r="M184" i="107"/>
  <c r="M185" i="107"/>
  <c r="M186" i="107"/>
  <c r="M187" i="107"/>
  <c r="M188" i="107"/>
  <c r="M189" i="107"/>
  <c r="M190" i="107"/>
  <c r="M191" i="107"/>
  <c r="M192" i="107"/>
  <c r="M193" i="107"/>
  <c r="M194" i="107"/>
  <c r="M195" i="107"/>
  <c r="M196" i="107"/>
  <c r="M197" i="107"/>
  <c r="M198" i="107"/>
  <c r="M199" i="107"/>
  <c r="M200" i="107"/>
  <c r="M201" i="107"/>
  <c r="M202" i="107"/>
  <c r="M203" i="107"/>
  <c r="M204" i="107"/>
  <c r="M205" i="107"/>
  <c r="M206" i="107"/>
  <c r="M207" i="107"/>
  <c r="M208" i="107"/>
  <c r="M209" i="107"/>
  <c r="M210" i="107"/>
  <c r="M211" i="107"/>
  <c r="M212" i="107"/>
  <c r="M213" i="107"/>
  <c r="M214" i="107"/>
  <c r="M215" i="107"/>
  <c r="M216" i="107"/>
  <c r="M217" i="107"/>
  <c r="M218" i="107"/>
  <c r="M219" i="107"/>
  <c r="M220" i="107"/>
  <c r="M221" i="107"/>
  <c r="M222" i="107"/>
  <c r="M223" i="107"/>
  <c r="M224" i="107"/>
  <c r="M225" i="107"/>
  <c r="M226" i="107"/>
  <c r="M227" i="107"/>
  <c r="M228" i="107"/>
  <c r="M229" i="107"/>
  <c r="M230" i="107"/>
  <c r="M231" i="107"/>
  <c r="M232" i="107"/>
  <c r="M233" i="107"/>
  <c r="M234" i="107"/>
  <c r="M235" i="107"/>
  <c r="M236" i="107"/>
  <c r="M237" i="107"/>
  <c r="M238" i="107"/>
  <c r="M239" i="107"/>
  <c r="M240" i="107"/>
  <c r="M241" i="107"/>
  <c r="M242" i="107"/>
  <c r="M243" i="107"/>
  <c r="M244" i="107"/>
  <c r="M245" i="107"/>
  <c r="M246" i="107"/>
  <c r="M247" i="107"/>
  <c r="M248" i="107"/>
  <c r="M249" i="107"/>
  <c r="M250" i="107"/>
  <c r="M251" i="107"/>
  <c r="M252" i="107"/>
  <c r="M253" i="107"/>
  <c r="M254" i="107"/>
  <c r="M7" i="107"/>
  <c r="A502" i="107"/>
  <c r="A503" i="107"/>
  <c r="A504" i="107"/>
  <c r="A505" i="107"/>
  <c r="A506" i="107"/>
  <c r="A507" i="107"/>
  <c r="A508" i="107"/>
  <c r="A509" i="107"/>
  <c r="A510" i="107"/>
  <c r="A511" i="107"/>
  <c r="A512" i="107"/>
  <c r="A513" i="107"/>
  <c r="A514" i="107"/>
  <c r="A515" i="107"/>
  <c r="A516" i="107"/>
  <c r="A517" i="107"/>
  <c r="A518" i="107"/>
  <c r="A519" i="107"/>
  <c r="A520" i="107"/>
  <c r="A521" i="107"/>
  <c r="A522" i="107"/>
  <c r="A523" i="107"/>
  <c r="A524" i="107"/>
  <c r="A525" i="107"/>
  <c r="A526" i="107"/>
  <c r="A527" i="107"/>
  <c r="A528" i="107"/>
  <c r="A529" i="107"/>
  <c r="A530" i="107"/>
  <c r="A531" i="107"/>
  <c r="A532" i="107"/>
  <c r="A533" i="107"/>
  <c r="A534" i="107"/>
  <c r="A535" i="107"/>
  <c r="A536" i="107"/>
  <c r="A537" i="107"/>
  <c r="A538" i="107"/>
  <c r="A539" i="107"/>
  <c r="A540" i="107"/>
  <c r="A541" i="107"/>
  <c r="A542" i="107"/>
  <c r="A543" i="107"/>
  <c r="A544" i="107"/>
  <c r="A545" i="107"/>
  <c r="A546" i="107"/>
  <c r="A547" i="107"/>
  <c r="A548" i="107"/>
  <c r="A549" i="107"/>
  <c r="A550" i="107"/>
  <c r="A551" i="107"/>
  <c r="A552" i="107"/>
  <c r="A553" i="107"/>
  <c r="A554" i="107"/>
  <c r="A555" i="107"/>
  <c r="A556" i="107"/>
  <c r="A557" i="107"/>
  <c r="A558" i="107"/>
  <c r="A559" i="107"/>
  <c r="A560" i="107"/>
  <c r="A561" i="107"/>
  <c r="A562" i="107"/>
  <c r="A563" i="107"/>
  <c r="A564" i="107"/>
  <c r="A565" i="107"/>
  <c r="A566" i="107"/>
  <c r="A567" i="107"/>
  <c r="A568" i="107"/>
  <c r="A569" i="107"/>
  <c r="A570" i="107"/>
  <c r="A571" i="107"/>
  <c r="A572" i="107"/>
  <c r="A573" i="107"/>
  <c r="A574" i="107"/>
  <c r="A575" i="107"/>
  <c r="A576" i="107"/>
  <c r="A577" i="107"/>
  <c r="A578" i="107"/>
  <c r="A579" i="107"/>
  <c r="A580" i="107"/>
  <c r="A581" i="107"/>
  <c r="A582" i="107"/>
  <c r="A583" i="107"/>
  <c r="A584" i="107"/>
  <c r="A585" i="107"/>
  <c r="A586" i="107"/>
  <c r="A587" i="107"/>
  <c r="A588" i="107"/>
  <c r="A589" i="107"/>
  <c r="A590" i="107"/>
  <c r="A591" i="107"/>
  <c r="A592" i="107"/>
  <c r="A593" i="107"/>
  <c r="A594" i="107"/>
  <c r="A595" i="107"/>
  <c r="A596" i="107"/>
  <c r="A597" i="107"/>
  <c r="A598" i="107"/>
  <c r="A599" i="107"/>
  <c r="A600" i="107"/>
  <c r="A601" i="107"/>
  <c r="A602" i="107"/>
  <c r="A603" i="107"/>
  <c r="A604" i="107"/>
  <c r="A605" i="107"/>
  <c r="A606" i="107"/>
  <c r="A607" i="107"/>
  <c r="A608" i="107"/>
  <c r="A609" i="107"/>
  <c r="A610" i="107"/>
  <c r="A611" i="107"/>
  <c r="A612" i="107"/>
  <c r="A613" i="107"/>
  <c r="A614" i="107"/>
  <c r="A615" i="107"/>
  <c r="A616" i="107"/>
  <c r="A617" i="107"/>
  <c r="A618" i="107"/>
  <c r="A619" i="107"/>
  <c r="A620" i="107"/>
  <c r="A621" i="107"/>
  <c r="A622" i="107"/>
  <c r="A623" i="107"/>
  <c r="A624" i="107"/>
  <c r="A625" i="107"/>
  <c r="A626" i="107"/>
  <c r="A627" i="107"/>
  <c r="A628" i="107"/>
  <c r="A629" i="107"/>
  <c r="A630" i="107"/>
  <c r="A631" i="107"/>
  <c r="A632" i="107"/>
  <c r="A633" i="107"/>
  <c r="A634" i="107"/>
  <c r="A635" i="107"/>
  <c r="A636" i="107"/>
  <c r="A637" i="107"/>
  <c r="A638" i="107"/>
  <c r="A639" i="107"/>
  <c r="A640" i="107"/>
  <c r="A641" i="107"/>
  <c r="A642" i="107"/>
  <c r="A643" i="107"/>
  <c r="A644" i="107"/>
  <c r="A645" i="107"/>
  <c r="A646" i="107"/>
  <c r="A647" i="107"/>
  <c r="A648" i="107"/>
  <c r="A649" i="107"/>
  <c r="A650" i="107"/>
  <c r="A651" i="107"/>
  <c r="A652" i="107"/>
  <c r="A653" i="107"/>
  <c r="A654" i="107"/>
  <c r="A655" i="107"/>
  <c r="A656" i="107"/>
  <c r="A657" i="107"/>
  <c r="A658" i="107"/>
  <c r="A659" i="107"/>
  <c r="A660" i="107"/>
  <c r="A661" i="107"/>
  <c r="A662" i="107"/>
  <c r="A663" i="107"/>
  <c r="A664" i="107"/>
  <c r="A665" i="107"/>
  <c r="A666" i="107"/>
  <c r="A667" i="107"/>
  <c r="A668" i="107"/>
  <c r="A669" i="107"/>
  <c r="A670" i="107"/>
  <c r="A671" i="107"/>
  <c r="A672" i="107"/>
  <c r="A673" i="107"/>
  <c r="A674" i="107"/>
  <c r="A675" i="107"/>
  <c r="A676" i="107"/>
  <c r="A677" i="107"/>
  <c r="A678" i="107"/>
  <c r="A679" i="107"/>
  <c r="A680" i="107"/>
  <c r="A681" i="107"/>
  <c r="A682" i="107"/>
  <c r="A683" i="107"/>
  <c r="A684" i="107"/>
  <c r="A685" i="107"/>
  <c r="A686" i="107"/>
  <c r="A687" i="107"/>
  <c r="A688" i="107"/>
  <c r="A689" i="107"/>
  <c r="A690" i="107"/>
  <c r="A691" i="107"/>
  <c r="A692" i="107"/>
  <c r="A693" i="107"/>
  <c r="A694" i="107"/>
  <c r="A695" i="107"/>
  <c r="A696" i="107"/>
  <c r="A697" i="107"/>
  <c r="A698" i="107"/>
  <c r="A699" i="107"/>
  <c r="A700" i="107"/>
  <c r="A701" i="107"/>
  <c r="A702" i="107"/>
  <c r="A703" i="107"/>
  <c r="A704" i="107"/>
  <c r="A705" i="107"/>
  <c r="A706" i="107"/>
  <c r="A707" i="107"/>
  <c r="A708" i="107"/>
  <c r="A709" i="107"/>
  <c r="A710" i="107"/>
  <c r="A711" i="107"/>
  <c r="A712" i="107"/>
  <c r="A713" i="107"/>
  <c r="A714" i="107"/>
  <c r="A715" i="107"/>
  <c r="A716" i="107"/>
  <c r="A717" i="107"/>
  <c r="A718" i="107"/>
  <c r="A719" i="107"/>
  <c r="A720" i="107"/>
  <c r="A721" i="107"/>
  <c r="A722" i="107"/>
  <c r="A723" i="107"/>
  <c r="A724" i="107"/>
  <c r="A725" i="107"/>
  <c r="A726" i="107"/>
  <c r="A727" i="107"/>
  <c r="A728" i="107"/>
  <c r="A729" i="107"/>
  <c r="A730" i="107"/>
  <c r="A731" i="107"/>
  <c r="A732" i="107"/>
  <c r="A733" i="107"/>
  <c r="A734" i="107"/>
  <c r="A735" i="107"/>
  <c r="A736" i="107"/>
  <c r="A737" i="107"/>
  <c r="A738" i="107"/>
  <c r="A739" i="107"/>
  <c r="A740" i="107"/>
  <c r="A741" i="107"/>
  <c r="A742" i="107"/>
  <c r="A743" i="107"/>
  <c r="A744" i="107"/>
  <c r="A745" i="107"/>
  <c r="A746" i="107"/>
  <c r="A747" i="107"/>
  <c r="A501" i="107"/>
  <c r="A491" i="107"/>
  <c r="A492" i="107"/>
  <c r="A493" i="107"/>
  <c r="A494" i="107"/>
  <c r="A495" i="107"/>
  <c r="A496" i="107"/>
  <c r="A497" i="107"/>
  <c r="A498" i="107"/>
  <c r="A499" i="107"/>
  <c r="A500" i="107"/>
  <c r="A444" i="107"/>
  <c r="A445" i="107"/>
  <c r="A446" i="107"/>
  <c r="A447" i="107"/>
  <c r="A448" i="107"/>
  <c r="A449" i="107"/>
  <c r="A450" i="107"/>
  <c r="A451" i="107"/>
  <c r="A452" i="107"/>
  <c r="A453" i="107"/>
  <c r="A454" i="107"/>
  <c r="A455" i="107"/>
  <c r="A456" i="107"/>
  <c r="A457" i="107"/>
  <c r="A458" i="107"/>
  <c r="A459" i="107"/>
  <c r="A460" i="107"/>
  <c r="A461" i="107"/>
  <c r="A462" i="107"/>
  <c r="A463" i="107"/>
  <c r="A464" i="107"/>
  <c r="A465" i="107"/>
  <c r="A466" i="107"/>
  <c r="A467" i="107"/>
  <c r="A468" i="107"/>
  <c r="A469" i="107"/>
  <c r="A470" i="107"/>
  <c r="A471" i="107"/>
  <c r="A472" i="107"/>
  <c r="A473" i="107"/>
  <c r="A474" i="107"/>
  <c r="A475" i="107"/>
  <c r="A476" i="107"/>
  <c r="A477" i="107"/>
  <c r="A478" i="107"/>
  <c r="A479" i="107"/>
  <c r="A480" i="107"/>
  <c r="A481" i="107"/>
  <c r="A482" i="107"/>
  <c r="A483" i="107"/>
  <c r="A484" i="107"/>
  <c r="A485" i="107"/>
  <c r="A486" i="107"/>
  <c r="A487" i="107"/>
  <c r="A488" i="107"/>
  <c r="A489" i="107"/>
  <c r="A490" i="107"/>
  <c r="A256" i="107"/>
  <c r="A257" i="107"/>
  <c r="A258" i="107"/>
  <c r="A259" i="107"/>
  <c r="A260" i="107"/>
  <c r="A261" i="107"/>
  <c r="A262" i="107"/>
  <c r="A263" i="107"/>
  <c r="A264" i="107"/>
  <c r="A265" i="107"/>
  <c r="A266" i="107"/>
  <c r="A267" i="107"/>
  <c r="A268" i="107"/>
  <c r="A269" i="107"/>
  <c r="A270" i="107"/>
  <c r="A271" i="107"/>
  <c r="A272" i="107"/>
  <c r="A273" i="107"/>
  <c r="A274" i="107"/>
  <c r="A275" i="107"/>
  <c r="A276" i="107"/>
  <c r="A277" i="107"/>
  <c r="A278" i="107"/>
  <c r="A279" i="107"/>
  <c r="A280" i="107"/>
  <c r="A281" i="107"/>
  <c r="A282" i="107"/>
  <c r="A283" i="107"/>
  <c r="A284" i="107"/>
  <c r="A285" i="107"/>
  <c r="A286" i="107"/>
  <c r="A287" i="107"/>
  <c r="A288" i="107"/>
  <c r="A289" i="107"/>
  <c r="A290" i="107"/>
  <c r="A291" i="107"/>
  <c r="A292" i="107"/>
  <c r="A293" i="107"/>
  <c r="A294" i="107"/>
  <c r="A295" i="107"/>
  <c r="A296" i="107"/>
  <c r="A297" i="107"/>
  <c r="A298" i="107"/>
  <c r="A299" i="107"/>
  <c r="A300" i="107"/>
  <c r="A301" i="107"/>
  <c r="A302" i="107"/>
  <c r="A303" i="107"/>
  <c r="A304" i="107"/>
  <c r="A305" i="107"/>
  <c r="A306" i="107"/>
  <c r="A307" i="107"/>
  <c r="A308" i="107"/>
  <c r="A309" i="107"/>
  <c r="A310" i="107"/>
  <c r="A311" i="107"/>
  <c r="A312" i="107"/>
  <c r="A313" i="107"/>
  <c r="A314" i="107"/>
  <c r="A315" i="107"/>
  <c r="A316" i="107"/>
  <c r="A317" i="107"/>
  <c r="A318" i="107"/>
  <c r="A319" i="107"/>
  <c r="A320" i="107"/>
  <c r="A321" i="107"/>
  <c r="A322" i="107"/>
  <c r="A323" i="107"/>
  <c r="A324" i="107"/>
  <c r="A325" i="107"/>
  <c r="A326" i="107"/>
  <c r="A327" i="107"/>
  <c r="A328" i="107"/>
  <c r="A329" i="107"/>
  <c r="A330" i="107"/>
  <c r="A331" i="107"/>
  <c r="A332" i="107"/>
  <c r="A333" i="107"/>
  <c r="A334" i="107"/>
  <c r="A335" i="107"/>
  <c r="A336" i="107"/>
  <c r="A337" i="107"/>
  <c r="A338" i="107"/>
  <c r="A339" i="107"/>
  <c r="A340" i="107"/>
  <c r="A341" i="107"/>
  <c r="A342" i="107"/>
  <c r="A343" i="107"/>
  <c r="A344" i="107"/>
  <c r="A345" i="107"/>
  <c r="A346" i="107"/>
  <c r="A347" i="107"/>
  <c r="A348" i="107"/>
  <c r="A349" i="107"/>
  <c r="A350" i="107"/>
  <c r="A351" i="107"/>
  <c r="A352" i="107"/>
  <c r="A353" i="107"/>
  <c r="A354" i="107"/>
  <c r="A355" i="107"/>
  <c r="A356" i="107"/>
  <c r="A357" i="107"/>
  <c r="A358" i="107"/>
  <c r="A359" i="107"/>
  <c r="A360" i="107"/>
  <c r="A361" i="107"/>
  <c r="A362" i="107"/>
  <c r="A363" i="107"/>
  <c r="A364" i="107"/>
  <c r="A365" i="107"/>
  <c r="A366" i="107"/>
  <c r="A367" i="107"/>
  <c r="A368" i="107"/>
  <c r="A369" i="107"/>
  <c r="A370" i="107"/>
  <c r="A371" i="107"/>
  <c r="A372" i="107"/>
  <c r="A373" i="107"/>
  <c r="A374" i="107"/>
  <c r="A375" i="107"/>
  <c r="A376" i="107"/>
  <c r="A377" i="107"/>
  <c r="A378" i="107"/>
  <c r="A379" i="107"/>
  <c r="A380" i="107"/>
  <c r="A381" i="107"/>
  <c r="A382" i="107"/>
  <c r="A383" i="107"/>
  <c r="A384" i="107"/>
  <c r="A385" i="107"/>
  <c r="A386" i="107"/>
  <c r="A387" i="107"/>
  <c r="A388" i="107"/>
  <c r="A389" i="107"/>
  <c r="A390" i="107"/>
  <c r="A391" i="107"/>
  <c r="A392" i="107"/>
  <c r="A393" i="107"/>
  <c r="A394" i="107"/>
  <c r="A395" i="107"/>
  <c r="A396" i="107"/>
  <c r="A397" i="107"/>
  <c r="A398" i="107"/>
  <c r="A399" i="107"/>
  <c r="A400" i="107"/>
  <c r="A401" i="107"/>
  <c r="A402" i="107"/>
  <c r="A403" i="107"/>
  <c r="A404" i="107"/>
  <c r="A405" i="107"/>
  <c r="A406" i="107"/>
  <c r="A407" i="107"/>
  <c r="A408" i="107"/>
  <c r="A409" i="107"/>
  <c r="A410" i="107"/>
  <c r="A411" i="107"/>
  <c r="A412" i="107"/>
  <c r="A413" i="107"/>
  <c r="A414" i="107"/>
  <c r="A415" i="107"/>
  <c r="A416" i="107"/>
  <c r="A417" i="107"/>
  <c r="A418" i="107"/>
  <c r="A419" i="107"/>
  <c r="A420" i="107"/>
  <c r="A421" i="107"/>
  <c r="A422" i="107"/>
  <c r="A423" i="107"/>
  <c r="A424" i="107"/>
  <c r="A425" i="107"/>
  <c r="A426" i="107"/>
  <c r="A427" i="107"/>
  <c r="A428" i="107"/>
  <c r="A429" i="107"/>
  <c r="A430" i="107"/>
  <c r="A431" i="107"/>
  <c r="A432" i="107"/>
  <c r="A433" i="107"/>
  <c r="A434" i="107"/>
  <c r="A435" i="107"/>
  <c r="A436" i="107"/>
  <c r="A437" i="107"/>
  <c r="A438" i="107"/>
  <c r="A439" i="107"/>
  <c r="A440" i="107"/>
  <c r="A441" i="107"/>
  <c r="A442" i="107"/>
  <c r="A443" i="107"/>
  <c r="A255" i="107"/>
  <c r="A142" i="107"/>
  <c r="A143" i="107"/>
  <c r="A144" i="107"/>
  <c r="A145" i="107"/>
  <c r="A146" i="107"/>
  <c r="A147" i="107"/>
  <c r="A148" i="107"/>
  <c r="A149" i="107"/>
  <c r="A150" i="107"/>
  <c r="A151" i="107"/>
  <c r="A152" i="107"/>
  <c r="A153" i="107"/>
  <c r="A154" i="107"/>
  <c r="A155" i="107"/>
  <c r="A156" i="107"/>
  <c r="A157" i="107"/>
  <c r="A158" i="107"/>
  <c r="A159" i="107"/>
  <c r="A160" i="107"/>
  <c r="A161" i="107"/>
  <c r="A162" i="107"/>
  <c r="A163" i="107"/>
  <c r="A164" i="107"/>
  <c r="A165" i="107"/>
  <c r="A166" i="107"/>
  <c r="A167" i="107"/>
  <c r="A168" i="107"/>
  <c r="A169" i="107"/>
  <c r="A170" i="107"/>
  <c r="A171" i="107"/>
  <c r="A172" i="107"/>
  <c r="A173" i="107"/>
  <c r="A174" i="107"/>
  <c r="A175" i="107"/>
  <c r="A176" i="107"/>
  <c r="A177" i="107"/>
  <c r="A178" i="107"/>
  <c r="A179" i="107"/>
  <c r="A180" i="107"/>
  <c r="A181" i="107"/>
  <c r="A182" i="107"/>
  <c r="A183" i="107"/>
  <c r="A184" i="107"/>
  <c r="A185" i="107"/>
  <c r="A186" i="107"/>
  <c r="A187" i="107"/>
  <c r="A188" i="107"/>
  <c r="A189" i="107"/>
  <c r="A190" i="107"/>
  <c r="A191" i="107"/>
  <c r="A192" i="107"/>
  <c r="A193" i="107"/>
  <c r="A194" i="107"/>
  <c r="A195" i="107"/>
  <c r="A196" i="107"/>
  <c r="A197" i="107"/>
  <c r="A198" i="107"/>
  <c r="A199" i="107"/>
  <c r="A200" i="107"/>
  <c r="A201" i="107"/>
  <c r="A202" i="107"/>
  <c r="A203" i="107"/>
  <c r="A204" i="107"/>
  <c r="A205" i="107"/>
  <c r="A206" i="107"/>
  <c r="A207" i="107"/>
  <c r="A208" i="107"/>
  <c r="A209" i="107"/>
  <c r="A210" i="107"/>
  <c r="A211" i="107"/>
  <c r="A212" i="107"/>
  <c r="A213" i="107"/>
  <c r="A214" i="107"/>
  <c r="A215" i="107"/>
  <c r="A216" i="107"/>
  <c r="A217" i="107"/>
  <c r="A218" i="107"/>
  <c r="A219" i="107"/>
  <c r="A220" i="107"/>
  <c r="A221" i="107"/>
  <c r="A222" i="107"/>
  <c r="A223" i="107"/>
  <c r="A224" i="107"/>
  <c r="A225" i="107"/>
  <c r="A226" i="107"/>
  <c r="A227" i="107"/>
  <c r="A228" i="107"/>
  <c r="A229" i="107"/>
  <c r="A230" i="107"/>
  <c r="A231" i="107"/>
  <c r="A232" i="107"/>
  <c r="A233" i="107"/>
  <c r="A234" i="107"/>
  <c r="A235" i="107"/>
  <c r="A236" i="107"/>
  <c r="A237" i="107"/>
  <c r="A238" i="107"/>
  <c r="A239" i="107"/>
  <c r="A240" i="107"/>
  <c r="A241" i="107"/>
  <c r="A242" i="107"/>
  <c r="A243" i="107"/>
  <c r="A244" i="107"/>
  <c r="A245" i="107"/>
  <c r="A246" i="107"/>
  <c r="A247" i="107"/>
  <c r="A248" i="107"/>
  <c r="A249" i="107"/>
  <c r="A250" i="107"/>
  <c r="A251" i="107"/>
  <c r="A252" i="107"/>
  <c r="A253" i="107"/>
  <c r="A254" i="107"/>
  <c r="A36" i="107"/>
  <c r="A37" i="107"/>
  <c r="A38" i="107"/>
  <c r="A39" i="107"/>
  <c r="A40" i="107"/>
  <c r="A41" i="107"/>
  <c r="A42" i="107"/>
  <c r="A43" i="107"/>
  <c r="A44" i="107"/>
  <c r="A45" i="107"/>
  <c r="A46" i="107"/>
  <c r="A47" i="107"/>
  <c r="A48" i="107"/>
  <c r="A49" i="107"/>
  <c r="A50" i="107"/>
  <c r="A51" i="107"/>
  <c r="A52" i="107"/>
  <c r="A53" i="107"/>
  <c r="A54" i="107"/>
  <c r="A55" i="107"/>
  <c r="A56" i="107"/>
  <c r="A57" i="107"/>
  <c r="A58" i="107"/>
  <c r="A59" i="107"/>
  <c r="A60" i="107"/>
  <c r="A61" i="107"/>
  <c r="A62" i="107"/>
  <c r="A63" i="107"/>
  <c r="A64" i="107"/>
  <c r="A65" i="107"/>
  <c r="A66" i="107"/>
  <c r="A67" i="107"/>
  <c r="A68" i="107"/>
  <c r="A69" i="107"/>
  <c r="A70" i="107"/>
  <c r="A71" i="107"/>
  <c r="A72" i="107"/>
  <c r="A73" i="107"/>
  <c r="A74" i="107"/>
  <c r="A75" i="107"/>
  <c r="A76" i="107"/>
  <c r="A77" i="107"/>
  <c r="A78" i="107"/>
  <c r="A79" i="107"/>
  <c r="A80" i="107"/>
  <c r="A81" i="107"/>
  <c r="A82" i="107"/>
  <c r="A83" i="107"/>
  <c r="A84" i="107"/>
  <c r="A85" i="107"/>
  <c r="A86" i="107"/>
  <c r="A87" i="107"/>
  <c r="A88" i="107"/>
  <c r="A89" i="107"/>
  <c r="A90" i="107"/>
  <c r="A91" i="107"/>
  <c r="A92" i="107"/>
  <c r="A93" i="107"/>
  <c r="A94" i="107"/>
  <c r="A95" i="107"/>
  <c r="A96" i="107"/>
  <c r="A97" i="107"/>
  <c r="A98" i="107"/>
  <c r="A99" i="107"/>
  <c r="A100" i="107"/>
  <c r="A101" i="107"/>
  <c r="A102" i="107"/>
  <c r="A103" i="107"/>
  <c r="A104" i="107"/>
  <c r="A105" i="107"/>
  <c r="A106" i="107"/>
  <c r="A107" i="107"/>
  <c r="A108" i="107"/>
  <c r="A109" i="107"/>
  <c r="A110" i="107"/>
  <c r="A111" i="107"/>
  <c r="A112" i="107"/>
  <c r="A113" i="107"/>
  <c r="A114" i="107"/>
  <c r="A115" i="107"/>
  <c r="A116" i="107"/>
  <c r="A117" i="107"/>
  <c r="A118" i="107"/>
  <c r="A119" i="107"/>
  <c r="A120" i="107"/>
  <c r="A121" i="107"/>
  <c r="A122" i="107"/>
  <c r="A123" i="107"/>
  <c r="A124" i="107"/>
  <c r="A125" i="107"/>
  <c r="A126" i="107"/>
  <c r="A127" i="107"/>
  <c r="A128" i="107"/>
  <c r="A129" i="107"/>
  <c r="A130" i="107"/>
  <c r="A131" i="107"/>
  <c r="A132" i="107"/>
  <c r="A133" i="107"/>
  <c r="A134" i="107"/>
  <c r="A135" i="107"/>
  <c r="A136" i="107"/>
  <c r="A137" i="107"/>
  <c r="A138" i="107"/>
  <c r="A139" i="107"/>
  <c r="A140" i="107"/>
  <c r="A141" i="107"/>
  <c r="A8" i="107"/>
  <c r="A9" i="107"/>
  <c r="A10" i="107"/>
  <c r="A11" i="107"/>
  <c r="A12" i="107"/>
  <c r="A13" i="107"/>
  <c r="A14" i="107"/>
  <c r="A15" i="107"/>
  <c r="A16" i="107"/>
  <c r="A17" i="107"/>
  <c r="A18" i="107"/>
  <c r="A19" i="107"/>
  <c r="A20" i="107"/>
  <c r="A21" i="107"/>
  <c r="A22" i="107"/>
  <c r="A23" i="107"/>
  <c r="A24" i="107"/>
  <c r="A25" i="107"/>
  <c r="A26" i="107"/>
  <c r="A27" i="107"/>
  <c r="A28" i="107"/>
  <c r="A29" i="107"/>
  <c r="A30" i="107"/>
  <c r="A31" i="107"/>
  <c r="A32" i="107"/>
  <c r="A33" i="107"/>
  <c r="A34" i="107"/>
  <c r="A35" i="107"/>
  <c r="A7" i="107"/>
  <c r="R11" i="67"/>
  <c r="R12" i="67"/>
  <c r="R13" i="67"/>
  <c r="R14" i="67"/>
  <c r="R15" i="67"/>
  <c r="R16" i="67"/>
  <c r="R17" i="67"/>
  <c r="R18" i="67"/>
  <c r="R19" i="67"/>
  <c r="R20" i="67"/>
  <c r="R21" i="67"/>
  <c r="R22" i="67"/>
  <c r="R23" i="67"/>
  <c r="R24" i="67"/>
  <c r="R25" i="67"/>
  <c r="R26" i="67"/>
  <c r="R27" i="67"/>
  <c r="R28" i="67"/>
  <c r="R29" i="67"/>
  <c r="R30" i="67"/>
  <c r="R31" i="67"/>
  <c r="R32" i="67"/>
  <c r="R33" i="67"/>
  <c r="R34" i="67"/>
  <c r="R35" i="67"/>
  <c r="R36" i="67"/>
  <c r="R37" i="67"/>
  <c r="R38" i="67"/>
  <c r="R39" i="67"/>
  <c r="R40" i="67"/>
  <c r="R41" i="67"/>
  <c r="R42" i="67"/>
  <c r="R43" i="67"/>
  <c r="R44" i="67"/>
  <c r="R45" i="67"/>
  <c r="R46" i="67"/>
  <c r="R47" i="67"/>
  <c r="R48" i="67"/>
  <c r="R49" i="67"/>
  <c r="R50" i="67"/>
  <c r="R51" i="67"/>
  <c r="R52" i="67"/>
  <c r="R53" i="67"/>
  <c r="R54" i="67"/>
  <c r="R55" i="67"/>
  <c r="R56" i="67"/>
  <c r="R57" i="67"/>
  <c r="R58" i="67"/>
  <c r="R59" i="67"/>
  <c r="R60" i="67"/>
  <c r="R61" i="67"/>
  <c r="R62" i="67"/>
  <c r="R63" i="67"/>
  <c r="R64" i="67"/>
  <c r="R65" i="67"/>
  <c r="R66" i="67"/>
  <c r="R67" i="67"/>
  <c r="R68" i="67"/>
  <c r="R69" i="67"/>
  <c r="R70" i="67"/>
  <c r="R71" i="67"/>
  <c r="R72" i="67"/>
  <c r="R73" i="67"/>
  <c r="R74" i="67"/>
  <c r="R75" i="67"/>
  <c r="R76" i="67"/>
  <c r="R77" i="67"/>
  <c r="R78" i="67"/>
  <c r="R79" i="67"/>
  <c r="R80" i="67"/>
  <c r="R81" i="67"/>
  <c r="R82" i="67"/>
  <c r="R83" i="67"/>
  <c r="R84" i="67"/>
  <c r="R85" i="67"/>
  <c r="R86" i="67"/>
  <c r="R87" i="67"/>
  <c r="R88" i="67"/>
  <c r="R89" i="67"/>
  <c r="R90" i="67"/>
  <c r="R91" i="67"/>
  <c r="R92" i="67"/>
  <c r="R93" i="67"/>
  <c r="R94" i="67"/>
  <c r="R95" i="67"/>
  <c r="R96" i="67"/>
  <c r="R97" i="67"/>
  <c r="R98" i="67"/>
  <c r="R99" i="67"/>
  <c r="R100" i="67"/>
  <c r="R101" i="67"/>
  <c r="R102" i="67"/>
  <c r="R103" i="67"/>
  <c r="R104" i="67"/>
  <c r="R105" i="67"/>
  <c r="R106" i="67"/>
  <c r="R107" i="67"/>
  <c r="R108" i="67"/>
  <c r="R109" i="67"/>
  <c r="R110" i="67"/>
  <c r="R111" i="67"/>
  <c r="R112" i="67"/>
  <c r="R113" i="67"/>
  <c r="R114" i="67"/>
  <c r="R115" i="67"/>
  <c r="R116" i="67"/>
  <c r="R117" i="67"/>
  <c r="R118" i="67"/>
  <c r="R119" i="67"/>
  <c r="R120" i="67"/>
  <c r="R121" i="67"/>
  <c r="R122" i="67"/>
  <c r="R123" i="67"/>
  <c r="R124" i="67"/>
  <c r="R125" i="67"/>
  <c r="R126" i="67"/>
  <c r="R127" i="67"/>
  <c r="R128" i="67"/>
  <c r="R129" i="67"/>
  <c r="R130" i="67"/>
  <c r="R131" i="67"/>
  <c r="R132" i="67"/>
  <c r="R133" i="67"/>
  <c r="R134" i="67"/>
  <c r="R135" i="67"/>
  <c r="R136" i="67"/>
  <c r="R137" i="67"/>
  <c r="R138" i="67"/>
  <c r="R139" i="67"/>
  <c r="R140" i="67"/>
  <c r="R141" i="67"/>
  <c r="R142" i="67"/>
  <c r="R143" i="67"/>
  <c r="R144" i="67"/>
  <c r="R145" i="67"/>
  <c r="R146" i="67"/>
  <c r="R147" i="67"/>
  <c r="R148" i="67"/>
  <c r="R149" i="67"/>
  <c r="R150" i="67"/>
  <c r="R151" i="67"/>
  <c r="R152" i="67"/>
  <c r="R153" i="67"/>
  <c r="R154" i="67"/>
  <c r="R155" i="67"/>
  <c r="R156" i="67"/>
  <c r="R157" i="67"/>
  <c r="R158" i="67"/>
  <c r="R159" i="67"/>
  <c r="R160" i="67"/>
  <c r="R161" i="67"/>
  <c r="R162" i="67"/>
  <c r="R163" i="67"/>
  <c r="R164" i="67"/>
  <c r="R165" i="67"/>
  <c r="R166" i="67"/>
  <c r="R167" i="67"/>
  <c r="R168" i="67"/>
  <c r="R169" i="67"/>
  <c r="R170" i="67"/>
  <c r="R171" i="67"/>
  <c r="R172" i="67"/>
  <c r="R173" i="67"/>
  <c r="R174" i="67"/>
  <c r="R175" i="67"/>
  <c r="R176" i="67"/>
  <c r="R177" i="67"/>
  <c r="R178" i="67"/>
  <c r="R179" i="67"/>
  <c r="R180" i="67"/>
  <c r="R181" i="67"/>
  <c r="R182" i="67"/>
  <c r="R183" i="67"/>
  <c r="R184" i="67"/>
  <c r="R185" i="67"/>
  <c r="R186" i="67"/>
  <c r="R187" i="67"/>
  <c r="R188" i="67"/>
  <c r="R189" i="67"/>
  <c r="R190" i="67"/>
  <c r="R191" i="67"/>
  <c r="R192" i="67"/>
  <c r="R193" i="67"/>
  <c r="R194" i="67"/>
  <c r="R195" i="67"/>
  <c r="R196" i="67"/>
  <c r="R197" i="67"/>
  <c r="R198" i="67"/>
  <c r="R199" i="67"/>
  <c r="R200" i="67"/>
  <c r="R201" i="67"/>
  <c r="R202" i="67"/>
  <c r="R203" i="67"/>
  <c r="R204" i="67"/>
  <c r="R205" i="67"/>
  <c r="R206" i="67"/>
  <c r="R207" i="67"/>
  <c r="R208" i="67"/>
  <c r="R209" i="67"/>
  <c r="R210" i="67"/>
  <c r="R211" i="67"/>
  <c r="R212" i="67"/>
  <c r="R213" i="67"/>
  <c r="R214" i="67"/>
  <c r="R215" i="67"/>
  <c r="R216" i="67"/>
  <c r="R217" i="67"/>
  <c r="R218" i="67"/>
  <c r="R219" i="67"/>
  <c r="R220" i="67"/>
  <c r="R221" i="67"/>
  <c r="R222" i="67"/>
  <c r="R223" i="67"/>
  <c r="R224" i="67"/>
  <c r="R225" i="67"/>
  <c r="R226" i="67"/>
  <c r="R227" i="67"/>
  <c r="R228" i="67"/>
  <c r="R229" i="67"/>
  <c r="R230" i="67"/>
  <c r="R231" i="67"/>
  <c r="R232" i="67"/>
  <c r="R233" i="67"/>
  <c r="R234" i="67"/>
  <c r="R235" i="67"/>
  <c r="R236" i="67"/>
  <c r="R237" i="67"/>
  <c r="R238" i="67"/>
  <c r="R239" i="67"/>
  <c r="R240" i="67"/>
  <c r="R241" i="67"/>
  <c r="R242" i="67"/>
  <c r="R243" i="67"/>
  <c r="R244" i="67"/>
  <c r="R245" i="67"/>
  <c r="R246" i="67"/>
  <c r="R247" i="67"/>
  <c r="R248" i="67"/>
  <c r="R249" i="67"/>
  <c r="R250" i="67"/>
  <c r="R251" i="67"/>
  <c r="R252" i="67"/>
  <c r="R253" i="67"/>
  <c r="R254" i="67"/>
  <c r="R255" i="67"/>
  <c r="R256" i="67"/>
  <c r="R257" i="67"/>
  <c r="U11" i="67"/>
  <c r="U12" i="67"/>
  <c r="U13" i="67"/>
  <c r="U14" i="67"/>
  <c r="U15" i="67"/>
  <c r="U16" i="67"/>
  <c r="U17" i="67"/>
  <c r="U18" i="67"/>
  <c r="U19" i="67"/>
  <c r="U20" i="67"/>
  <c r="U21" i="67"/>
  <c r="U22" i="67"/>
  <c r="U23" i="67"/>
  <c r="U24" i="67"/>
  <c r="U25" i="67"/>
  <c r="U26" i="67"/>
  <c r="U27" i="67"/>
  <c r="U28" i="67"/>
  <c r="U29" i="67"/>
  <c r="U30" i="67"/>
  <c r="U31" i="67"/>
  <c r="U32" i="67"/>
  <c r="U33" i="67"/>
  <c r="U34" i="67"/>
  <c r="U35" i="67"/>
  <c r="U36" i="67"/>
  <c r="U37" i="67"/>
  <c r="U38" i="67"/>
  <c r="U39" i="67"/>
  <c r="U40" i="67"/>
  <c r="U41" i="67"/>
  <c r="U42" i="67"/>
  <c r="U43" i="67"/>
  <c r="U44" i="67"/>
  <c r="U45" i="67"/>
  <c r="U46" i="67"/>
  <c r="U47" i="67"/>
  <c r="U48" i="67"/>
  <c r="U49" i="67"/>
  <c r="U50" i="67"/>
  <c r="U51" i="67"/>
  <c r="U52" i="67"/>
  <c r="U53" i="67"/>
  <c r="U54" i="67"/>
  <c r="U55" i="67"/>
  <c r="U56" i="67"/>
  <c r="U57" i="67"/>
  <c r="U58" i="67"/>
  <c r="U59" i="67"/>
  <c r="U60" i="67"/>
  <c r="U61" i="67"/>
  <c r="U62" i="67"/>
  <c r="U63" i="67"/>
  <c r="U64" i="67"/>
  <c r="U65" i="67"/>
  <c r="U66" i="67"/>
  <c r="U67" i="67"/>
  <c r="U68" i="67"/>
  <c r="U69" i="67"/>
  <c r="U70" i="67"/>
  <c r="U71" i="67"/>
  <c r="U72" i="67"/>
  <c r="U73" i="67"/>
  <c r="U74" i="67"/>
  <c r="U75" i="67"/>
  <c r="U76" i="67"/>
  <c r="U77" i="67"/>
  <c r="U78" i="67"/>
  <c r="U79" i="67"/>
  <c r="U80" i="67"/>
  <c r="U81" i="67"/>
  <c r="U82" i="67"/>
  <c r="U83" i="67"/>
  <c r="U84" i="67"/>
  <c r="U85" i="67"/>
  <c r="U86" i="67"/>
  <c r="U87" i="67"/>
  <c r="U88" i="67"/>
  <c r="U89" i="67"/>
  <c r="U90" i="67"/>
  <c r="U91" i="67"/>
  <c r="U92" i="67"/>
  <c r="U93" i="67"/>
  <c r="U94" i="67"/>
  <c r="U95" i="67"/>
  <c r="U96" i="67"/>
  <c r="U97" i="67"/>
  <c r="U98" i="67"/>
  <c r="U99" i="67"/>
  <c r="U100" i="67"/>
  <c r="U101" i="67"/>
  <c r="U102" i="67"/>
  <c r="U103" i="67"/>
  <c r="U104" i="67"/>
  <c r="U105" i="67"/>
  <c r="U106" i="67"/>
  <c r="U107" i="67"/>
  <c r="U108" i="67"/>
  <c r="U109" i="67"/>
  <c r="U110" i="67"/>
  <c r="U111" i="67"/>
  <c r="U112" i="67"/>
  <c r="U113" i="67"/>
  <c r="U114" i="67"/>
  <c r="U115" i="67"/>
  <c r="U116" i="67"/>
  <c r="U117" i="67"/>
  <c r="U118" i="67"/>
  <c r="U119" i="67"/>
  <c r="U120" i="67"/>
  <c r="U121" i="67"/>
  <c r="U122" i="67"/>
  <c r="U123" i="67"/>
  <c r="U124" i="67"/>
  <c r="U125" i="67"/>
  <c r="U126" i="67"/>
  <c r="U127" i="67"/>
  <c r="U128" i="67"/>
  <c r="U129" i="67"/>
  <c r="U130" i="67"/>
  <c r="U131" i="67"/>
  <c r="U132" i="67"/>
  <c r="U133" i="67"/>
  <c r="U134" i="67"/>
  <c r="U135" i="67"/>
  <c r="U136" i="67"/>
  <c r="U137" i="67"/>
  <c r="U138" i="67"/>
  <c r="U139" i="67"/>
  <c r="U140" i="67"/>
  <c r="U141" i="67"/>
  <c r="U142" i="67"/>
  <c r="U143" i="67"/>
  <c r="U144" i="67"/>
  <c r="U145" i="67"/>
  <c r="U146" i="67"/>
  <c r="U147" i="67"/>
  <c r="U148" i="67"/>
  <c r="U149" i="67"/>
  <c r="U150" i="67"/>
  <c r="U151" i="67"/>
  <c r="U152" i="67"/>
  <c r="U153" i="67"/>
  <c r="U154" i="67"/>
  <c r="U155" i="67"/>
  <c r="U156" i="67"/>
  <c r="U157" i="67"/>
  <c r="U158" i="67"/>
  <c r="U159" i="67"/>
  <c r="U160" i="67"/>
  <c r="U161" i="67"/>
  <c r="U162" i="67"/>
  <c r="U163" i="67"/>
  <c r="U164" i="67"/>
  <c r="U165" i="67"/>
  <c r="U166" i="67"/>
  <c r="U167" i="67"/>
  <c r="U168" i="67"/>
  <c r="U169" i="67"/>
  <c r="U170" i="67"/>
  <c r="U171" i="67"/>
  <c r="U172" i="67"/>
  <c r="U173" i="67"/>
  <c r="U174" i="67"/>
  <c r="U175" i="67"/>
  <c r="U176" i="67"/>
  <c r="U177" i="67"/>
  <c r="U178" i="67"/>
  <c r="U179" i="67"/>
  <c r="U180" i="67"/>
  <c r="U181" i="67"/>
  <c r="U182" i="67"/>
  <c r="U183" i="67"/>
  <c r="U184" i="67"/>
  <c r="U185" i="67"/>
  <c r="U186" i="67"/>
  <c r="U187" i="67"/>
  <c r="U188" i="67"/>
  <c r="U189" i="67"/>
  <c r="U190" i="67"/>
  <c r="U191" i="67"/>
  <c r="U192" i="67"/>
  <c r="U193" i="67"/>
  <c r="U194" i="67"/>
  <c r="U195" i="67"/>
  <c r="U196" i="67"/>
  <c r="U197" i="67"/>
  <c r="U198" i="67"/>
  <c r="U199" i="67"/>
  <c r="U200" i="67"/>
  <c r="U201" i="67"/>
  <c r="U202" i="67"/>
  <c r="U203" i="67"/>
  <c r="U204" i="67"/>
  <c r="U205" i="67"/>
  <c r="U206" i="67"/>
  <c r="U207" i="67"/>
  <c r="U208" i="67"/>
  <c r="U209" i="67"/>
  <c r="U210" i="67"/>
  <c r="U211" i="67"/>
  <c r="U212" i="67"/>
  <c r="U213" i="67"/>
  <c r="U214" i="67"/>
  <c r="U215" i="67"/>
  <c r="U216" i="67"/>
  <c r="U217" i="67"/>
  <c r="U218" i="67"/>
  <c r="U219" i="67"/>
  <c r="U220" i="67"/>
  <c r="U221" i="67"/>
  <c r="U222" i="67"/>
  <c r="U223" i="67"/>
  <c r="U224" i="67"/>
  <c r="U225" i="67"/>
  <c r="U226" i="67"/>
  <c r="U227" i="67"/>
  <c r="U228" i="67"/>
  <c r="U229" i="67"/>
  <c r="U230" i="67"/>
  <c r="U231" i="67"/>
  <c r="U232" i="67"/>
  <c r="U233" i="67"/>
  <c r="U234" i="67"/>
  <c r="U235" i="67"/>
  <c r="U236" i="67"/>
  <c r="U237" i="67"/>
  <c r="U238" i="67"/>
  <c r="U239" i="67"/>
  <c r="U240" i="67"/>
  <c r="U241" i="67"/>
  <c r="U242" i="67"/>
  <c r="U243" i="67"/>
  <c r="U244" i="67"/>
  <c r="U245" i="67"/>
  <c r="U246" i="67"/>
  <c r="U247" i="67"/>
  <c r="U248" i="67"/>
  <c r="U249" i="67"/>
  <c r="U250" i="67"/>
  <c r="U251" i="67"/>
  <c r="U252" i="67"/>
  <c r="U253" i="67"/>
  <c r="U254" i="67"/>
  <c r="U255" i="67"/>
  <c r="U256" i="67"/>
  <c r="U257" i="67"/>
  <c r="R12" i="63"/>
  <c r="R13" i="63"/>
  <c r="R14" i="63"/>
  <c r="R15" i="63"/>
  <c r="R16" i="63"/>
  <c r="R17" i="63"/>
  <c r="R18" i="63"/>
  <c r="R19" i="63"/>
  <c r="R20" i="63"/>
  <c r="R21" i="63"/>
  <c r="R22" i="63"/>
  <c r="R23" i="63"/>
  <c r="R24" i="63"/>
  <c r="R25" i="63"/>
  <c r="R26" i="63"/>
  <c r="R27" i="63"/>
  <c r="R28" i="63"/>
  <c r="R29" i="63"/>
  <c r="R30" i="63"/>
  <c r="R31" i="63"/>
  <c r="R32" i="63"/>
  <c r="R33" i="63"/>
  <c r="R34" i="63"/>
  <c r="R35" i="63"/>
  <c r="R36" i="63"/>
  <c r="R37" i="63"/>
  <c r="R38" i="63"/>
  <c r="R39" i="63"/>
  <c r="R40" i="63"/>
  <c r="R41" i="63"/>
  <c r="R42" i="63"/>
  <c r="R43" i="63"/>
  <c r="R44" i="63"/>
  <c r="R45" i="63"/>
  <c r="R46" i="63"/>
  <c r="R47" i="63"/>
  <c r="R48" i="63"/>
  <c r="R49" i="63"/>
  <c r="R50" i="63"/>
  <c r="R51" i="63"/>
  <c r="R52" i="63"/>
  <c r="R53" i="63"/>
  <c r="R54" i="63"/>
  <c r="R55" i="63"/>
  <c r="R56" i="63"/>
  <c r="R57" i="63"/>
  <c r="R58" i="63"/>
  <c r="R59" i="63"/>
  <c r="R60" i="63"/>
  <c r="R61" i="63"/>
  <c r="R62" i="63"/>
  <c r="R63" i="63"/>
  <c r="R64" i="63"/>
  <c r="R65" i="63"/>
  <c r="R66" i="63"/>
  <c r="R67" i="63"/>
  <c r="R68" i="63"/>
  <c r="R69" i="63"/>
  <c r="R70" i="63"/>
  <c r="R71" i="63"/>
  <c r="R72" i="63"/>
  <c r="R73" i="63"/>
  <c r="R74" i="63"/>
  <c r="R75" i="63"/>
  <c r="R76" i="63"/>
  <c r="R77" i="63"/>
  <c r="R78" i="63"/>
  <c r="R79" i="63"/>
  <c r="R80" i="63"/>
  <c r="R81" i="63"/>
  <c r="R82" i="63"/>
  <c r="R83" i="63"/>
  <c r="R84" i="63"/>
  <c r="R85" i="63"/>
  <c r="R86" i="63"/>
  <c r="R87" i="63"/>
  <c r="R88" i="63"/>
  <c r="R89" i="63"/>
  <c r="R90" i="63"/>
  <c r="R91" i="63"/>
  <c r="R92" i="63"/>
  <c r="R93" i="63"/>
  <c r="R94" i="63"/>
  <c r="R95" i="63"/>
  <c r="R96" i="63"/>
  <c r="R97" i="63"/>
  <c r="R98" i="63"/>
  <c r="R99" i="63"/>
  <c r="R100" i="63"/>
  <c r="R101" i="63"/>
  <c r="R102" i="63"/>
  <c r="R103" i="63"/>
  <c r="R104" i="63"/>
  <c r="R105" i="63"/>
  <c r="R106" i="63"/>
  <c r="R107" i="63"/>
  <c r="R108" i="63"/>
  <c r="R109" i="63"/>
  <c r="R110" i="63"/>
  <c r="R111" i="63"/>
  <c r="R112" i="63"/>
  <c r="R113" i="63"/>
  <c r="R114" i="63"/>
  <c r="R115" i="63"/>
  <c r="R116" i="63"/>
  <c r="R117" i="63"/>
  <c r="R118" i="63"/>
  <c r="R119" i="63"/>
  <c r="R120" i="63"/>
  <c r="R121" i="63"/>
  <c r="R122" i="63"/>
  <c r="R123" i="63"/>
  <c r="R124" i="63"/>
  <c r="R125" i="63"/>
  <c r="R126" i="63"/>
  <c r="R127" i="63"/>
  <c r="R128" i="63"/>
  <c r="R129" i="63"/>
  <c r="R130" i="63"/>
  <c r="R131" i="63"/>
  <c r="R132" i="63"/>
  <c r="R133" i="63"/>
  <c r="R134" i="63"/>
  <c r="R135" i="63"/>
  <c r="R136" i="63"/>
  <c r="R137" i="63"/>
  <c r="R138" i="63"/>
  <c r="R139" i="63"/>
  <c r="R140" i="63"/>
  <c r="R141" i="63"/>
  <c r="R142" i="63"/>
  <c r="R143" i="63"/>
  <c r="R144" i="63"/>
  <c r="R145" i="63"/>
  <c r="R146" i="63"/>
  <c r="R147" i="63"/>
  <c r="R148" i="63"/>
  <c r="R149" i="63"/>
  <c r="R150" i="63"/>
  <c r="R151" i="63"/>
  <c r="R152" i="63"/>
  <c r="R153" i="63"/>
  <c r="R154" i="63"/>
  <c r="R155" i="63"/>
  <c r="R156" i="63"/>
  <c r="R157" i="63"/>
  <c r="R158" i="63"/>
  <c r="R159" i="63"/>
  <c r="R160" i="63"/>
  <c r="R161" i="63"/>
  <c r="R162" i="63"/>
  <c r="R163" i="63"/>
  <c r="R164" i="63"/>
  <c r="R165" i="63"/>
  <c r="R166" i="63"/>
  <c r="R167" i="63"/>
  <c r="R168" i="63"/>
  <c r="R169" i="63"/>
  <c r="R170" i="63"/>
  <c r="R171" i="63"/>
  <c r="R172" i="63"/>
  <c r="R173" i="63"/>
  <c r="R174" i="63"/>
  <c r="R175" i="63"/>
  <c r="R176" i="63"/>
  <c r="R177" i="63"/>
  <c r="R178" i="63"/>
  <c r="R179" i="63"/>
  <c r="R180" i="63"/>
  <c r="R181" i="63"/>
  <c r="R182" i="63"/>
  <c r="R183" i="63"/>
  <c r="R184" i="63"/>
  <c r="R185" i="63"/>
  <c r="R186" i="63"/>
  <c r="R187" i="63"/>
  <c r="R188" i="63"/>
  <c r="R189" i="63"/>
  <c r="R190" i="63"/>
  <c r="R191" i="63"/>
  <c r="R192" i="63"/>
  <c r="R193" i="63"/>
  <c r="R194" i="63"/>
  <c r="R195" i="63"/>
  <c r="R196" i="63"/>
  <c r="R197" i="63"/>
  <c r="R198" i="63"/>
  <c r="R199" i="63"/>
  <c r="R200" i="63"/>
  <c r="R201" i="63"/>
  <c r="R202" i="63"/>
  <c r="R203" i="63"/>
  <c r="R204" i="63"/>
  <c r="R205" i="63"/>
  <c r="R206" i="63"/>
  <c r="R207" i="63"/>
  <c r="R208" i="63"/>
  <c r="R209" i="63"/>
  <c r="R210" i="63"/>
  <c r="R211" i="63"/>
  <c r="R212" i="63"/>
  <c r="R213" i="63"/>
  <c r="R214" i="63"/>
  <c r="R215" i="63"/>
  <c r="R216" i="63"/>
  <c r="R217" i="63"/>
  <c r="R218" i="63"/>
  <c r="R219" i="63"/>
  <c r="R220" i="63"/>
  <c r="R221" i="63"/>
  <c r="R222" i="63"/>
  <c r="R223" i="63"/>
  <c r="R224" i="63"/>
  <c r="R225" i="63"/>
  <c r="R226" i="63"/>
  <c r="R227" i="63"/>
  <c r="R228" i="63"/>
  <c r="R229" i="63"/>
  <c r="R230" i="63"/>
  <c r="R231" i="63"/>
  <c r="R232" i="63"/>
  <c r="R233" i="63"/>
  <c r="R234" i="63"/>
  <c r="R235" i="63"/>
  <c r="R236" i="63"/>
  <c r="R237" i="63"/>
  <c r="R238" i="63"/>
  <c r="R239" i="63"/>
  <c r="R240" i="63"/>
  <c r="R241" i="63"/>
  <c r="R242" i="63"/>
  <c r="R243" i="63"/>
  <c r="R244" i="63"/>
  <c r="R245" i="63"/>
  <c r="R246" i="63"/>
  <c r="R247" i="63"/>
  <c r="R248" i="63"/>
  <c r="R249" i="63"/>
  <c r="R250" i="63"/>
  <c r="R251" i="63"/>
  <c r="R252" i="63"/>
  <c r="R253" i="63"/>
  <c r="R254" i="63"/>
  <c r="R255" i="63"/>
  <c r="R256" i="63"/>
  <c r="R257" i="63"/>
  <c r="W12" i="68"/>
  <c r="AL13" i="69"/>
  <c r="AL14" i="69"/>
  <c r="AL15" i="69"/>
  <c r="AL16" i="69"/>
  <c r="AL17" i="69"/>
  <c r="AL18" i="69"/>
  <c r="AL19" i="69"/>
  <c r="AL20" i="69"/>
  <c r="AL21" i="69"/>
  <c r="AL22" i="69"/>
  <c r="AL23" i="69"/>
  <c r="AL24" i="69"/>
  <c r="AL25" i="69"/>
  <c r="AL26" i="69"/>
  <c r="AL27" i="69"/>
  <c r="AL28" i="69"/>
  <c r="AL29" i="69"/>
  <c r="AL30" i="69"/>
  <c r="AL31" i="69"/>
  <c r="AL32" i="69"/>
  <c r="AL33" i="69"/>
  <c r="AL34" i="69"/>
  <c r="AL35" i="69"/>
  <c r="AL36" i="69"/>
  <c r="AL37" i="69"/>
  <c r="AL38" i="69"/>
  <c r="AL39" i="69"/>
  <c r="AL40" i="69"/>
  <c r="AL41" i="69"/>
  <c r="AL42" i="69"/>
  <c r="AL43" i="69"/>
  <c r="AL44" i="69"/>
  <c r="AL45" i="69"/>
  <c r="AL46" i="69"/>
  <c r="AL47" i="69"/>
  <c r="AL48" i="69"/>
  <c r="AL49" i="69"/>
  <c r="AL50" i="69"/>
  <c r="AL51" i="69"/>
  <c r="AL52" i="69"/>
  <c r="AL53" i="69"/>
  <c r="AL54" i="69"/>
  <c r="AL55" i="69"/>
  <c r="AL56" i="69"/>
  <c r="AL57" i="69"/>
  <c r="AL58" i="69"/>
  <c r="AL59" i="69"/>
  <c r="AL60" i="69"/>
  <c r="AL61" i="69"/>
  <c r="AL62" i="69"/>
  <c r="AL63" i="69"/>
  <c r="AL64" i="69"/>
  <c r="AL65" i="69"/>
  <c r="AL66" i="69"/>
  <c r="AL67" i="69"/>
  <c r="AL68" i="69"/>
  <c r="AL69" i="69"/>
  <c r="AL70" i="69"/>
  <c r="AL71" i="69"/>
  <c r="AL72" i="69"/>
  <c r="AL73" i="69"/>
  <c r="AL74" i="69"/>
  <c r="AL75" i="69"/>
  <c r="AL76" i="69"/>
  <c r="AL77" i="69"/>
  <c r="AL78" i="69"/>
  <c r="AL79" i="69"/>
  <c r="AL80" i="69"/>
  <c r="AL81" i="69"/>
  <c r="AL82" i="69"/>
  <c r="AL83" i="69"/>
  <c r="AL84" i="69"/>
  <c r="AL85" i="69"/>
  <c r="AL86" i="69"/>
  <c r="AL87" i="69"/>
  <c r="AL88" i="69"/>
  <c r="AL89" i="69"/>
  <c r="AL90" i="69"/>
  <c r="AL91" i="69"/>
  <c r="AL92" i="69"/>
  <c r="AL93" i="69"/>
  <c r="AL94" i="69"/>
  <c r="AL95" i="69"/>
  <c r="AL96" i="69"/>
  <c r="AL97" i="69"/>
  <c r="AL98" i="69"/>
  <c r="AL99" i="69"/>
  <c r="AL100" i="69"/>
  <c r="AL101" i="69"/>
  <c r="AL102" i="69"/>
  <c r="AL103" i="69"/>
  <c r="AL104" i="69"/>
  <c r="AL105" i="69"/>
  <c r="AL106" i="69"/>
  <c r="AL107" i="69"/>
  <c r="AL108" i="69"/>
  <c r="AL109" i="69"/>
  <c r="AL110" i="69"/>
  <c r="AL111" i="69"/>
  <c r="AL112" i="69"/>
  <c r="AL113" i="69"/>
  <c r="AL114" i="69"/>
  <c r="AL115" i="69"/>
  <c r="AL116" i="69"/>
  <c r="AL117" i="69"/>
  <c r="AL118" i="69"/>
  <c r="AL119" i="69"/>
  <c r="AL120" i="69"/>
  <c r="AL121" i="69"/>
  <c r="AL122" i="69"/>
  <c r="AL123" i="69"/>
  <c r="AL124" i="69"/>
  <c r="AL125" i="69"/>
  <c r="AL126" i="69"/>
  <c r="AL127" i="69"/>
  <c r="AL128" i="69"/>
  <c r="AL129" i="69"/>
  <c r="AL130" i="69"/>
  <c r="AL131" i="69"/>
  <c r="AL132" i="69"/>
  <c r="AL133" i="69"/>
  <c r="AL134" i="69"/>
  <c r="AL135" i="69"/>
  <c r="AL136" i="69"/>
  <c r="AL137" i="69"/>
  <c r="AL138" i="69"/>
  <c r="AL139" i="69"/>
  <c r="AL140" i="69"/>
  <c r="AL141" i="69"/>
  <c r="AL142" i="69"/>
  <c r="AL143" i="69"/>
  <c r="AL144" i="69"/>
  <c r="AL145" i="69"/>
  <c r="AL146" i="69"/>
  <c r="AL147" i="69"/>
  <c r="AL148" i="69"/>
  <c r="AL149" i="69"/>
  <c r="AL150" i="69"/>
  <c r="AL151" i="69"/>
  <c r="AL152" i="69"/>
  <c r="AL153" i="69"/>
  <c r="AL154" i="69"/>
  <c r="AL155" i="69"/>
  <c r="AL156" i="69"/>
  <c r="AL157" i="69"/>
  <c r="AL158" i="69"/>
  <c r="AL159" i="69"/>
  <c r="AL160" i="69"/>
  <c r="AL161" i="69"/>
  <c r="AL162" i="69"/>
  <c r="AL163" i="69"/>
  <c r="AL164" i="69"/>
  <c r="AL165" i="69"/>
  <c r="AL166" i="69"/>
  <c r="AL167" i="69"/>
  <c r="AL168" i="69"/>
  <c r="AL169" i="69"/>
  <c r="AL170" i="69"/>
  <c r="AL171" i="69"/>
  <c r="AL172" i="69"/>
  <c r="AL173" i="69"/>
  <c r="AL174" i="69"/>
  <c r="AL175" i="69"/>
  <c r="AL176" i="69"/>
  <c r="AL177" i="69"/>
  <c r="AL178" i="69"/>
  <c r="AL179" i="69"/>
  <c r="AL180" i="69"/>
  <c r="AL181" i="69"/>
  <c r="AL182" i="69"/>
  <c r="AL183" i="69"/>
  <c r="AL184" i="69"/>
  <c r="AL185" i="69"/>
  <c r="AL186" i="69"/>
  <c r="AL187" i="69"/>
  <c r="AL188" i="69"/>
  <c r="AL189" i="69"/>
  <c r="AL190" i="69"/>
  <c r="AL191" i="69"/>
  <c r="AL192" i="69"/>
  <c r="AL193" i="69"/>
  <c r="AL194" i="69"/>
  <c r="AL195" i="69"/>
  <c r="AL196" i="69"/>
  <c r="AL197" i="69"/>
  <c r="AL198" i="69"/>
  <c r="AL199" i="69"/>
  <c r="AL200" i="69"/>
  <c r="AL201" i="69"/>
  <c r="AL202" i="69"/>
  <c r="AL203" i="69"/>
  <c r="AL204" i="69"/>
  <c r="AL205" i="69"/>
  <c r="AL206" i="69"/>
  <c r="AL207" i="69"/>
  <c r="AL208" i="69"/>
  <c r="AL209" i="69"/>
  <c r="AL210" i="69"/>
  <c r="AL211" i="69"/>
  <c r="AL212" i="69"/>
  <c r="AL213" i="69"/>
  <c r="AL214" i="69"/>
  <c r="AL215" i="69"/>
  <c r="AL216" i="69"/>
  <c r="AL217" i="69"/>
  <c r="AL218" i="69"/>
  <c r="AL219" i="69"/>
  <c r="AL220" i="69"/>
  <c r="AL221" i="69"/>
  <c r="AL222" i="69"/>
  <c r="AL223" i="69"/>
  <c r="AL224" i="69"/>
  <c r="AL225" i="69"/>
  <c r="AL226" i="69"/>
  <c r="AL227" i="69"/>
  <c r="AL228" i="69"/>
  <c r="AL229" i="69"/>
  <c r="AL230" i="69"/>
  <c r="AL231" i="69"/>
  <c r="AL232" i="69"/>
  <c r="AL233" i="69"/>
  <c r="AL234" i="69"/>
  <c r="AL235" i="69"/>
  <c r="AL236" i="69"/>
  <c r="AL237" i="69"/>
  <c r="AL238" i="69"/>
  <c r="AL239" i="69"/>
  <c r="AL240" i="69"/>
  <c r="AL241" i="69"/>
  <c r="AL242" i="69"/>
  <c r="AL243" i="69"/>
  <c r="AL244" i="69"/>
  <c r="AL245" i="69"/>
  <c r="AL246" i="69"/>
  <c r="AL247" i="69"/>
  <c r="AL248" i="69"/>
  <c r="AL249" i="69"/>
  <c r="AL250" i="69"/>
  <c r="AL251" i="69"/>
  <c r="AL252" i="69"/>
  <c r="AL253" i="69"/>
  <c r="AL254" i="69"/>
  <c r="AL255" i="69"/>
  <c r="AL256" i="69"/>
  <c r="AL257" i="69"/>
  <c r="AL12" i="69"/>
  <c r="Y13" i="68"/>
  <c r="Y14" i="68"/>
  <c r="Y15" i="68"/>
  <c r="Y16" i="68"/>
  <c r="Y17" i="68"/>
  <c r="Y18" i="68"/>
  <c r="Y19" i="68"/>
  <c r="Y20" i="68"/>
  <c r="Y21" i="68"/>
  <c r="Y22" i="68"/>
  <c r="Y23" i="68"/>
  <c r="Y24" i="68"/>
  <c r="Y25" i="68"/>
  <c r="Y26" i="68"/>
  <c r="Y27" i="68"/>
  <c r="Y28" i="68"/>
  <c r="Y29" i="68"/>
  <c r="Y30" i="68"/>
  <c r="Y31" i="68"/>
  <c r="Y32" i="68"/>
  <c r="Y33" i="68"/>
  <c r="Y34" i="68"/>
  <c r="Y35" i="68"/>
  <c r="Y36" i="68"/>
  <c r="Y37" i="68"/>
  <c r="Y38" i="68"/>
  <c r="Y39" i="68"/>
  <c r="Y40" i="68"/>
  <c r="Y41" i="68"/>
  <c r="Y42" i="68"/>
  <c r="Y43" i="68"/>
  <c r="Y44" i="68"/>
  <c r="Y45" i="68"/>
  <c r="Y46" i="68"/>
  <c r="Y47" i="68"/>
  <c r="Y48" i="68"/>
  <c r="Y49" i="68"/>
  <c r="Y50" i="68"/>
  <c r="Y51" i="68"/>
  <c r="Y52" i="68"/>
  <c r="Y53" i="68"/>
  <c r="Y54" i="68"/>
  <c r="Y55" i="68"/>
  <c r="Y56" i="68"/>
  <c r="Y57" i="68"/>
  <c r="Y58" i="68"/>
  <c r="Y59" i="68"/>
  <c r="Y60" i="68"/>
  <c r="Y61" i="68"/>
  <c r="Y62" i="68"/>
  <c r="Y63" i="68"/>
  <c r="Y64" i="68"/>
  <c r="Y65" i="68"/>
  <c r="Y66" i="68"/>
  <c r="Y67" i="68"/>
  <c r="Y68" i="68"/>
  <c r="Y69" i="68"/>
  <c r="Y70" i="68"/>
  <c r="Y71" i="68"/>
  <c r="Y72" i="68"/>
  <c r="Y73" i="68"/>
  <c r="Y74" i="68"/>
  <c r="Y75" i="68"/>
  <c r="Y76" i="68"/>
  <c r="Y77" i="68"/>
  <c r="Y78" i="68"/>
  <c r="Y79" i="68"/>
  <c r="Y80" i="68"/>
  <c r="Y81" i="68"/>
  <c r="Y82" i="68"/>
  <c r="Y83" i="68"/>
  <c r="Y84" i="68"/>
  <c r="Y85" i="68"/>
  <c r="Y86" i="68"/>
  <c r="Y87" i="68"/>
  <c r="Y88" i="68"/>
  <c r="Y89" i="68"/>
  <c r="Y90" i="68"/>
  <c r="Y91" i="68"/>
  <c r="Y92" i="68"/>
  <c r="Y93" i="68"/>
  <c r="Y94" i="68"/>
  <c r="Y95" i="68"/>
  <c r="Y96" i="68"/>
  <c r="Y97" i="68"/>
  <c r="Y98" i="68"/>
  <c r="Y99" i="68"/>
  <c r="Y100" i="68"/>
  <c r="Y101" i="68"/>
  <c r="Y102" i="68"/>
  <c r="Y103" i="68"/>
  <c r="Y104" i="68"/>
  <c r="Y105" i="68"/>
  <c r="Y106" i="68"/>
  <c r="Y107" i="68"/>
  <c r="Y108" i="68"/>
  <c r="Y109" i="68"/>
  <c r="Y110" i="68"/>
  <c r="Y111" i="68"/>
  <c r="Y112" i="68"/>
  <c r="Y113" i="68"/>
  <c r="Y114" i="68"/>
  <c r="Y115" i="68"/>
  <c r="Y116" i="68"/>
  <c r="Y117" i="68"/>
  <c r="Y118" i="68"/>
  <c r="Y119" i="68"/>
  <c r="Y120" i="68"/>
  <c r="Y121" i="68"/>
  <c r="Y122" i="68"/>
  <c r="Y123" i="68"/>
  <c r="Y124" i="68"/>
  <c r="Y125" i="68"/>
  <c r="Y126" i="68"/>
  <c r="Y127" i="68"/>
  <c r="Y128" i="68"/>
  <c r="Y129" i="68"/>
  <c r="Y130" i="68"/>
  <c r="Y131" i="68"/>
  <c r="Y132" i="68"/>
  <c r="Y133" i="68"/>
  <c r="Y134" i="68"/>
  <c r="Y135" i="68"/>
  <c r="Y136" i="68"/>
  <c r="Y137" i="68"/>
  <c r="Y138" i="68"/>
  <c r="Y139" i="68"/>
  <c r="Y140" i="68"/>
  <c r="Y141" i="68"/>
  <c r="Y142" i="68"/>
  <c r="Y143" i="68"/>
  <c r="Y144" i="68"/>
  <c r="Y145" i="68"/>
  <c r="Y146" i="68"/>
  <c r="Y147" i="68"/>
  <c r="Y148" i="68"/>
  <c r="Y149" i="68"/>
  <c r="Y150" i="68"/>
  <c r="Y151" i="68"/>
  <c r="Y152" i="68"/>
  <c r="Y153" i="68"/>
  <c r="Y154" i="68"/>
  <c r="Y155" i="68"/>
  <c r="Y156" i="68"/>
  <c r="Y157" i="68"/>
  <c r="Y158" i="68"/>
  <c r="Y159" i="68"/>
  <c r="Y160" i="68"/>
  <c r="Y161" i="68"/>
  <c r="Y162" i="68"/>
  <c r="Y163" i="68"/>
  <c r="Y164" i="68"/>
  <c r="Y165" i="68"/>
  <c r="Y166" i="68"/>
  <c r="Y167" i="68"/>
  <c r="Y168" i="68"/>
  <c r="Y169" i="68"/>
  <c r="Y170" i="68"/>
  <c r="Y171" i="68"/>
  <c r="Y172" i="68"/>
  <c r="Y173" i="68"/>
  <c r="Y174" i="68"/>
  <c r="Y175" i="68"/>
  <c r="Y176" i="68"/>
  <c r="Y177" i="68"/>
  <c r="Y178" i="68"/>
  <c r="Y179" i="68"/>
  <c r="Y180" i="68"/>
  <c r="Y181" i="68"/>
  <c r="Y182" i="68"/>
  <c r="Y183" i="68"/>
  <c r="Y184" i="68"/>
  <c r="Y185" i="68"/>
  <c r="Y186" i="68"/>
  <c r="Y187" i="68"/>
  <c r="Y188" i="68"/>
  <c r="Y189" i="68"/>
  <c r="Y190" i="68"/>
  <c r="Y191" i="68"/>
  <c r="Y192" i="68"/>
  <c r="Y193" i="68"/>
  <c r="Y194" i="68"/>
  <c r="Y195" i="68"/>
  <c r="Y196" i="68"/>
  <c r="Y197" i="68"/>
  <c r="Y198" i="68"/>
  <c r="Y199" i="68"/>
  <c r="Y200" i="68"/>
  <c r="Y201" i="68"/>
  <c r="Y202" i="68"/>
  <c r="Y203" i="68"/>
  <c r="Y204" i="68"/>
  <c r="Y205" i="68"/>
  <c r="Y206" i="68"/>
  <c r="Y207" i="68"/>
  <c r="Y208" i="68"/>
  <c r="Y209" i="68"/>
  <c r="Y210" i="68"/>
  <c r="Y211" i="68"/>
  <c r="Y212" i="68"/>
  <c r="Y213" i="68"/>
  <c r="Y214" i="68"/>
  <c r="Y215" i="68"/>
  <c r="Y216" i="68"/>
  <c r="Y217" i="68"/>
  <c r="Y218" i="68"/>
  <c r="Y219" i="68"/>
  <c r="Y220" i="68"/>
  <c r="Y221" i="68"/>
  <c r="Y222" i="68"/>
  <c r="Y223" i="68"/>
  <c r="Y224" i="68"/>
  <c r="Y225" i="68"/>
  <c r="Y226" i="68"/>
  <c r="Y227" i="68"/>
  <c r="Y228" i="68"/>
  <c r="Y229" i="68"/>
  <c r="Y230" i="68"/>
  <c r="Y231" i="68"/>
  <c r="Y232" i="68"/>
  <c r="Y233" i="68"/>
  <c r="Y234" i="68"/>
  <c r="Y235" i="68"/>
  <c r="Y236" i="68"/>
  <c r="Y237" i="68"/>
  <c r="Y238" i="68"/>
  <c r="Y239" i="68"/>
  <c r="Y240" i="68"/>
  <c r="Y241" i="68"/>
  <c r="Y242" i="68"/>
  <c r="Y243" i="68"/>
  <c r="Y244" i="68"/>
  <c r="Y245" i="68"/>
  <c r="Y246" i="68"/>
  <c r="Y247" i="68"/>
  <c r="Y248" i="68"/>
  <c r="Y249" i="68"/>
  <c r="Y250" i="68"/>
  <c r="Y251" i="68"/>
  <c r="Y252" i="68"/>
  <c r="Y253" i="68"/>
  <c r="Y254" i="68"/>
  <c r="Y255" i="68"/>
  <c r="Y256" i="68"/>
  <c r="Y257" i="68"/>
  <c r="Y258" i="68"/>
  <c r="Y259" i="68"/>
  <c r="Y12" i="68"/>
  <c r="P11" i="67"/>
  <c r="P12" i="67"/>
  <c r="P13" i="67"/>
  <c r="P14" i="67"/>
  <c r="P15" i="67"/>
  <c r="P16" i="67"/>
  <c r="P17" i="67"/>
  <c r="P18" i="67"/>
  <c r="P19" i="67"/>
  <c r="P20" i="67"/>
  <c r="P21" i="67"/>
  <c r="P22" i="67"/>
  <c r="P23" i="67"/>
  <c r="P24" i="67"/>
  <c r="P25" i="67"/>
  <c r="P26" i="67"/>
  <c r="P27" i="67"/>
  <c r="P28" i="67"/>
  <c r="P29" i="67"/>
  <c r="P30" i="67"/>
  <c r="P31" i="67"/>
  <c r="P32" i="67"/>
  <c r="P33" i="67"/>
  <c r="P34" i="67"/>
  <c r="P35" i="67"/>
  <c r="P36" i="67"/>
  <c r="P37" i="67"/>
  <c r="P38" i="67"/>
  <c r="P39" i="67"/>
  <c r="P40" i="67"/>
  <c r="P41" i="67"/>
  <c r="P42" i="67"/>
  <c r="P43" i="67"/>
  <c r="P44" i="67"/>
  <c r="P45" i="67"/>
  <c r="P46" i="67"/>
  <c r="P47" i="67"/>
  <c r="P48" i="67"/>
  <c r="P49" i="67"/>
  <c r="P50" i="67"/>
  <c r="P51" i="67"/>
  <c r="P52" i="67"/>
  <c r="P53" i="67"/>
  <c r="P54" i="67"/>
  <c r="P55" i="67"/>
  <c r="P56" i="67"/>
  <c r="P57" i="67"/>
  <c r="P58" i="67"/>
  <c r="P59" i="67"/>
  <c r="P60" i="67"/>
  <c r="P61" i="67"/>
  <c r="P62" i="67"/>
  <c r="P63" i="67"/>
  <c r="P64" i="67"/>
  <c r="P65" i="67"/>
  <c r="P66" i="67"/>
  <c r="P67" i="67"/>
  <c r="P68" i="67"/>
  <c r="P69" i="67"/>
  <c r="P70" i="67"/>
  <c r="P71" i="67"/>
  <c r="P72" i="67"/>
  <c r="P73" i="67"/>
  <c r="P74" i="67"/>
  <c r="P75" i="67"/>
  <c r="P76" i="67"/>
  <c r="P77" i="67"/>
  <c r="P78" i="67"/>
  <c r="P79" i="67"/>
  <c r="P80" i="67"/>
  <c r="P81" i="67"/>
  <c r="P82" i="67"/>
  <c r="P83" i="67"/>
  <c r="P84" i="67"/>
  <c r="P85" i="67"/>
  <c r="P86" i="67"/>
  <c r="P87" i="67"/>
  <c r="P88" i="67"/>
  <c r="P89" i="67"/>
  <c r="P90" i="67"/>
  <c r="P91" i="67"/>
  <c r="P92" i="67"/>
  <c r="P93" i="67"/>
  <c r="P94" i="67"/>
  <c r="P95" i="67"/>
  <c r="P96" i="67"/>
  <c r="P97" i="67"/>
  <c r="P98" i="67"/>
  <c r="P99" i="67"/>
  <c r="P100" i="67"/>
  <c r="P101" i="67"/>
  <c r="P102" i="67"/>
  <c r="P103" i="67"/>
  <c r="P104" i="67"/>
  <c r="P105" i="67"/>
  <c r="P106" i="67"/>
  <c r="P107" i="67"/>
  <c r="P108" i="67"/>
  <c r="P109" i="67"/>
  <c r="P110" i="67"/>
  <c r="P111" i="67"/>
  <c r="P112" i="67"/>
  <c r="P113" i="67"/>
  <c r="P114" i="67"/>
  <c r="P115" i="67"/>
  <c r="P116" i="67"/>
  <c r="P117" i="67"/>
  <c r="P118" i="67"/>
  <c r="P119" i="67"/>
  <c r="P120" i="67"/>
  <c r="P121" i="67"/>
  <c r="P122" i="67"/>
  <c r="P123" i="67"/>
  <c r="P124" i="67"/>
  <c r="P125" i="67"/>
  <c r="P126" i="67"/>
  <c r="P127" i="67"/>
  <c r="P128" i="67"/>
  <c r="P129" i="67"/>
  <c r="P130" i="67"/>
  <c r="P131" i="67"/>
  <c r="P132" i="67"/>
  <c r="P133" i="67"/>
  <c r="P134" i="67"/>
  <c r="P135" i="67"/>
  <c r="P136" i="67"/>
  <c r="P137" i="67"/>
  <c r="P138" i="67"/>
  <c r="P139" i="67"/>
  <c r="P140" i="67"/>
  <c r="P141" i="67"/>
  <c r="P142" i="67"/>
  <c r="P143" i="67"/>
  <c r="P144" i="67"/>
  <c r="P145" i="67"/>
  <c r="P146" i="67"/>
  <c r="P147" i="67"/>
  <c r="P148" i="67"/>
  <c r="P149" i="67"/>
  <c r="P150" i="67"/>
  <c r="P151" i="67"/>
  <c r="P152" i="67"/>
  <c r="P153" i="67"/>
  <c r="P154" i="67"/>
  <c r="P155" i="67"/>
  <c r="P156" i="67"/>
  <c r="P157" i="67"/>
  <c r="P158" i="67"/>
  <c r="P159" i="67"/>
  <c r="P160" i="67"/>
  <c r="P161" i="67"/>
  <c r="P162" i="67"/>
  <c r="P163" i="67"/>
  <c r="P164" i="67"/>
  <c r="P165" i="67"/>
  <c r="P166" i="67"/>
  <c r="P167" i="67"/>
  <c r="P168" i="67"/>
  <c r="P169" i="67"/>
  <c r="P170" i="67"/>
  <c r="P171" i="67"/>
  <c r="P172" i="67"/>
  <c r="P173" i="67"/>
  <c r="P174" i="67"/>
  <c r="P175" i="67"/>
  <c r="P176" i="67"/>
  <c r="P177" i="67"/>
  <c r="P178" i="67"/>
  <c r="P179" i="67"/>
  <c r="P180" i="67"/>
  <c r="P181" i="67"/>
  <c r="P182" i="67"/>
  <c r="P183" i="67"/>
  <c r="P184" i="67"/>
  <c r="P185" i="67"/>
  <c r="P186" i="67"/>
  <c r="P187" i="67"/>
  <c r="P188" i="67"/>
  <c r="P189" i="67"/>
  <c r="P190" i="67"/>
  <c r="P191" i="67"/>
  <c r="P192" i="67"/>
  <c r="P193" i="67"/>
  <c r="P194" i="67"/>
  <c r="P195" i="67"/>
  <c r="P196" i="67"/>
  <c r="P197" i="67"/>
  <c r="P198" i="67"/>
  <c r="P199" i="67"/>
  <c r="P200" i="67"/>
  <c r="P201" i="67"/>
  <c r="P202" i="67"/>
  <c r="P203" i="67"/>
  <c r="P204" i="67"/>
  <c r="P205" i="67"/>
  <c r="P206" i="67"/>
  <c r="P207" i="67"/>
  <c r="P208" i="67"/>
  <c r="P209" i="67"/>
  <c r="P210" i="67"/>
  <c r="P211" i="67"/>
  <c r="P212" i="67"/>
  <c r="P213" i="67"/>
  <c r="P214" i="67"/>
  <c r="P215" i="67"/>
  <c r="P216" i="67"/>
  <c r="P217" i="67"/>
  <c r="P218" i="67"/>
  <c r="P219" i="67"/>
  <c r="P220" i="67"/>
  <c r="P221" i="67"/>
  <c r="P222" i="67"/>
  <c r="P223" i="67"/>
  <c r="P224" i="67"/>
  <c r="P225" i="67"/>
  <c r="P226" i="67"/>
  <c r="P227" i="67"/>
  <c r="P228" i="67"/>
  <c r="P229" i="67"/>
  <c r="P230" i="67"/>
  <c r="P231" i="67"/>
  <c r="P232" i="67"/>
  <c r="P233" i="67"/>
  <c r="P234" i="67"/>
  <c r="P235" i="67"/>
  <c r="P236" i="67"/>
  <c r="P237" i="67"/>
  <c r="P238" i="67"/>
  <c r="P239" i="67"/>
  <c r="P240" i="67"/>
  <c r="P241" i="67"/>
  <c r="P242" i="67"/>
  <c r="P243" i="67"/>
  <c r="P244" i="67"/>
  <c r="P245" i="67"/>
  <c r="P246" i="67"/>
  <c r="P247" i="67"/>
  <c r="P248" i="67"/>
  <c r="P249" i="67"/>
  <c r="P250" i="67"/>
  <c r="P251" i="67"/>
  <c r="P252" i="67"/>
  <c r="P253" i="67"/>
  <c r="P254" i="67"/>
  <c r="P255" i="67"/>
  <c r="P256" i="67"/>
  <c r="P257" i="67"/>
  <c r="P10" i="67"/>
  <c r="AL13" i="65"/>
  <c r="AL14" i="65"/>
  <c r="AL15" i="65"/>
  <c r="AL16" i="65"/>
  <c r="AL17" i="65"/>
  <c r="AL18" i="65"/>
  <c r="AL19" i="65"/>
  <c r="AL20" i="65"/>
  <c r="AL21" i="65"/>
  <c r="AL22" i="65"/>
  <c r="AL23" i="65"/>
  <c r="AL24" i="65"/>
  <c r="AL25" i="65"/>
  <c r="AL26" i="65"/>
  <c r="AL27" i="65"/>
  <c r="AL28" i="65"/>
  <c r="AL29" i="65"/>
  <c r="AL30" i="65"/>
  <c r="AL31" i="65"/>
  <c r="AL32" i="65"/>
  <c r="AL33" i="65"/>
  <c r="AL34" i="65"/>
  <c r="AL35" i="65"/>
  <c r="AL36" i="65"/>
  <c r="AL37" i="65"/>
  <c r="AL38" i="65"/>
  <c r="AL39" i="65"/>
  <c r="AL40" i="65"/>
  <c r="AL41" i="65"/>
  <c r="AL42" i="65"/>
  <c r="AL43" i="65"/>
  <c r="AL44" i="65"/>
  <c r="AL45" i="65"/>
  <c r="AL46" i="65"/>
  <c r="AL47" i="65"/>
  <c r="AL48" i="65"/>
  <c r="AL49" i="65"/>
  <c r="AL50" i="65"/>
  <c r="AL51" i="65"/>
  <c r="AL52" i="65"/>
  <c r="AL53" i="65"/>
  <c r="AL54" i="65"/>
  <c r="AL55" i="65"/>
  <c r="AL56" i="65"/>
  <c r="AL57" i="65"/>
  <c r="AL58" i="65"/>
  <c r="AL59" i="65"/>
  <c r="AL60" i="65"/>
  <c r="AL61" i="65"/>
  <c r="AL62" i="65"/>
  <c r="AL63" i="65"/>
  <c r="AL64" i="65"/>
  <c r="AL65" i="65"/>
  <c r="AL66" i="65"/>
  <c r="AL67" i="65"/>
  <c r="AL68" i="65"/>
  <c r="AL69" i="65"/>
  <c r="AL70" i="65"/>
  <c r="AL71" i="65"/>
  <c r="AL72" i="65"/>
  <c r="AL73" i="65"/>
  <c r="AL74" i="65"/>
  <c r="AL75" i="65"/>
  <c r="AL76" i="65"/>
  <c r="AL77" i="65"/>
  <c r="AL78" i="65"/>
  <c r="AL79" i="65"/>
  <c r="AL80" i="65"/>
  <c r="AL81" i="65"/>
  <c r="AL82" i="65"/>
  <c r="AL83" i="65"/>
  <c r="AL84" i="65"/>
  <c r="AL85" i="65"/>
  <c r="AL86" i="65"/>
  <c r="AL87" i="65"/>
  <c r="AL88" i="65"/>
  <c r="AL89" i="65"/>
  <c r="AL90" i="65"/>
  <c r="AL91" i="65"/>
  <c r="AL92" i="65"/>
  <c r="AL93" i="65"/>
  <c r="AL94" i="65"/>
  <c r="AL95" i="65"/>
  <c r="AL96" i="65"/>
  <c r="AL97" i="65"/>
  <c r="AL98" i="65"/>
  <c r="AL99" i="65"/>
  <c r="AL100" i="65"/>
  <c r="AL101" i="65"/>
  <c r="AL102" i="65"/>
  <c r="AL103" i="65"/>
  <c r="AL104" i="65"/>
  <c r="AL105" i="65"/>
  <c r="AL106" i="65"/>
  <c r="AL107" i="65"/>
  <c r="AL108" i="65"/>
  <c r="AL109" i="65"/>
  <c r="AL110" i="65"/>
  <c r="AL111" i="65"/>
  <c r="AL112" i="65"/>
  <c r="AL113" i="65"/>
  <c r="AL114" i="65"/>
  <c r="AL115" i="65"/>
  <c r="AL116" i="65"/>
  <c r="AL117" i="65"/>
  <c r="AL118" i="65"/>
  <c r="AL119" i="65"/>
  <c r="AL120" i="65"/>
  <c r="AL121" i="65"/>
  <c r="AL122" i="65"/>
  <c r="AL123" i="65"/>
  <c r="AL124" i="65"/>
  <c r="AL125" i="65"/>
  <c r="AL126" i="65"/>
  <c r="AL127" i="65"/>
  <c r="AL128" i="65"/>
  <c r="AL129" i="65"/>
  <c r="AL130" i="65"/>
  <c r="AL131" i="65"/>
  <c r="AL132" i="65"/>
  <c r="AL133" i="65"/>
  <c r="AL134" i="65"/>
  <c r="AL135" i="65"/>
  <c r="AL136" i="65"/>
  <c r="AL137" i="65"/>
  <c r="AL138" i="65"/>
  <c r="AL139" i="65"/>
  <c r="AL140" i="65"/>
  <c r="AL141" i="65"/>
  <c r="AL142" i="65"/>
  <c r="AL143" i="65"/>
  <c r="AL144" i="65"/>
  <c r="AL145" i="65"/>
  <c r="AL146" i="65"/>
  <c r="AL147" i="65"/>
  <c r="AL148" i="65"/>
  <c r="AL149" i="65"/>
  <c r="AL150" i="65"/>
  <c r="AL151" i="65"/>
  <c r="AL152" i="65"/>
  <c r="AL153" i="65"/>
  <c r="AL154" i="65"/>
  <c r="AL155" i="65"/>
  <c r="AL156" i="65"/>
  <c r="AL157" i="65"/>
  <c r="AL158" i="65"/>
  <c r="AL159" i="65"/>
  <c r="AL160" i="65"/>
  <c r="AL161" i="65"/>
  <c r="AL162" i="65"/>
  <c r="AL163" i="65"/>
  <c r="AL164" i="65"/>
  <c r="AL165" i="65"/>
  <c r="AL166" i="65"/>
  <c r="AL167" i="65"/>
  <c r="AL168" i="65"/>
  <c r="AL169" i="65"/>
  <c r="AL170" i="65"/>
  <c r="AL171" i="65"/>
  <c r="AL172" i="65"/>
  <c r="AL173" i="65"/>
  <c r="AL174" i="65"/>
  <c r="AL175" i="65"/>
  <c r="AL176" i="65"/>
  <c r="AL177" i="65"/>
  <c r="AL178" i="65"/>
  <c r="AL179" i="65"/>
  <c r="AL180" i="65"/>
  <c r="AL181" i="65"/>
  <c r="AL182" i="65"/>
  <c r="AL183" i="65"/>
  <c r="AL184" i="65"/>
  <c r="AL185" i="65"/>
  <c r="AL186" i="65"/>
  <c r="AL187" i="65"/>
  <c r="AL188" i="65"/>
  <c r="AL189" i="65"/>
  <c r="AL190" i="65"/>
  <c r="AL191" i="65"/>
  <c r="AL192" i="65"/>
  <c r="AL193" i="65"/>
  <c r="AL194" i="65"/>
  <c r="AL195" i="65"/>
  <c r="AL196" i="65"/>
  <c r="AL197" i="65"/>
  <c r="AL198" i="65"/>
  <c r="AL199" i="65"/>
  <c r="AL200" i="65"/>
  <c r="AL201" i="65"/>
  <c r="AL202" i="65"/>
  <c r="AL203" i="65"/>
  <c r="AL204" i="65"/>
  <c r="AL205" i="65"/>
  <c r="AL206" i="65"/>
  <c r="AL207" i="65"/>
  <c r="AL208" i="65"/>
  <c r="AL209" i="65"/>
  <c r="AL210" i="65"/>
  <c r="AL211" i="65"/>
  <c r="AL212" i="65"/>
  <c r="AL213" i="65"/>
  <c r="AL214" i="65"/>
  <c r="AL215" i="65"/>
  <c r="AL216" i="65"/>
  <c r="AL217" i="65"/>
  <c r="AL218" i="65"/>
  <c r="AL219" i="65"/>
  <c r="AL220" i="65"/>
  <c r="AL221" i="65"/>
  <c r="AL222" i="65"/>
  <c r="AL223" i="65"/>
  <c r="AL224" i="65"/>
  <c r="AL225" i="65"/>
  <c r="AL226" i="65"/>
  <c r="AL227" i="65"/>
  <c r="AL228" i="65"/>
  <c r="AL229" i="65"/>
  <c r="AL230" i="65"/>
  <c r="AL231" i="65"/>
  <c r="AL232" i="65"/>
  <c r="AL233" i="65"/>
  <c r="AL234" i="65"/>
  <c r="AL235" i="65"/>
  <c r="AL236" i="65"/>
  <c r="AL237" i="65"/>
  <c r="AL238" i="65"/>
  <c r="AL239" i="65"/>
  <c r="AL240" i="65"/>
  <c r="AL241" i="65"/>
  <c r="AL242" i="65"/>
  <c r="AL243" i="65"/>
  <c r="AL244" i="65"/>
  <c r="AL245" i="65"/>
  <c r="AL246" i="65"/>
  <c r="AL247" i="65"/>
  <c r="AL248" i="65"/>
  <c r="AL249" i="65"/>
  <c r="AL250" i="65"/>
  <c r="AL251" i="65"/>
  <c r="AL252" i="65"/>
  <c r="AL253" i="65"/>
  <c r="AL254" i="65"/>
  <c r="AL255" i="65"/>
  <c r="AL256" i="65"/>
  <c r="AL257" i="65"/>
  <c r="AL12" i="65"/>
  <c r="Y13" i="64"/>
  <c r="Y14" i="64"/>
  <c r="Y15" i="64"/>
  <c r="Y16" i="64"/>
  <c r="Y17" i="64"/>
  <c r="Y18" i="64"/>
  <c r="Y19" i="64"/>
  <c r="Y20" i="64"/>
  <c r="Y21" i="64"/>
  <c r="Y22" i="64"/>
  <c r="Y23" i="64"/>
  <c r="Y24" i="64"/>
  <c r="Y25" i="64"/>
  <c r="Y26" i="64"/>
  <c r="Y27" i="64"/>
  <c r="Y28" i="64"/>
  <c r="Y29" i="64"/>
  <c r="Y30" i="64"/>
  <c r="Y31" i="64"/>
  <c r="Y32" i="64"/>
  <c r="Y33" i="64"/>
  <c r="Y34" i="64"/>
  <c r="Y35" i="64"/>
  <c r="Y36" i="64"/>
  <c r="Y37" i="64"/>
  <c r="Y38" i="64"/>
  <c r="Y39" i="64"/>
  <c r="Y40" i="64"/>
  <c r="Y41" i="64"/>
  <c r="Y42" i="64"/>
  <c r="Y43" i="64"/>
  <c r="Y44" i="64"/>
  <c r="Y45" i="64"/>
  <c r="Y46" i="64"/>
  <c r="Y47" i="64"/>
  <c r="Y48" i="64"/>
  <c r="Y49" i="64"/>
  <c r="Y50" i="64"/>
  <c r="Y51" i="64"/>
  <c r="Y52" i="64"/>
  <c r="Y53" i="64"/>
  <c r="Y54" i="64"/>
  <c r="Y55" i="64"/>
  <c r="Y56" i="64"/>
  <c r="Y57" i="64"/>
  <c r="Y58" i="64"/>
  <c r="Y59" i="64"/>
  <c r="Y60" i="64"/>
  <c r="Y61" i="64"/>
  <c r="Y62" i="64"/>
  <c r="Y63" i="64"/>
  <c r="Y64" i="64"/>
  <c r="Y65" i="64"/>
  <c r="Y66" i="64"/>
  <c r="Y67" i="64"/>
  <c r="Y68" i="64"/>
  <c r="Y69" i="64"/>
  <c r="Y70" i="64"/>
  <c r="Y71" i="64"/>
  <c r="Y72" i="64"/>
  <c r="Y73" i="64"/>
  <c r="Y74" i="64"/>
  <c r="Y75" i="64"/>
  <c r="Y76" i="64"/>
  <c r="Y77" i="64"/>
  <c r="Y78" i="64"/>
  <c r="Y79" i="64"/>
  <c r="Y80" i="64"/>
  <c r="Y81" i="64"/>
  <c r="Y82" i="64"/>
  <c r="Y83" i="64"/>
  <c r="Y84" i="64"/>
  <c r="Y85" i="64"/>
  <c r="Y86" i="64"/>
  <c r="Y87" i="64"/>
  <c r="Y88" i="64"/>
  <c r="Y89" i="64"/>
  <c r="Y90" i="64"/>
  <c r="Y91" i="64"/>
  <c r="Y92" i="64"/>
  <c r="Y93" i="64"/>
  <c r="Y94" i="64"/>
  <c r="Y95" i="64"/>
  <c r="Y96" i="64"/>
  <c r="Y97" i="64"/>
  <c r="Y98" i="64"/>
  <c r="Y99" i="64"/>
  <c r="Y100" i="64"/>
  <c r="Y101" i="64"/>
  <c r="Y102" i="64"/>
  <c r="Y103" i="64"/>
  <c r="Y104" i="64"/>
  <c r="Y105" i="64"/>
  <c r="Y106" i="64"/>
  <c r="Y107" i="64"/>
  <c r="Y108" i="64"/>
  <c r="Y109" i="64"/>
  <c r="Y110" i="64"/>
  <c r="Y111" i="64"/>
  <c r="Y112" i="64"/>
  <c r="Y113" i="64"/>
  <c r="Y114" i="64"/>
  <c r="Y115" i="64"/>
  <c r="Y116" i="64"/>
  <c r="Y117" i="64"/>
  <c r="Y118" i="64"/>
  <c r="Y119" i="64"/>
  <c r="Y120" i="64"/>
  <c r="Y121" i="64"/>
  <c r="Y122" i="64"/>
  <c r="Y123" i="64"/>
  <c r="Y124" i="64"/>
  <c r="Y125" i="64"/>
  <c r="Y126" i="64"/>
  <c r="Y127" i="64"/>
  <c r="Y128" i="64"/>
  <c r="Y129" i="64"/>
  <c r="Y130" i="64"/>
  <c r="Y131" i="64"/>
  <c r="Y132" i="64"/>
  <c r="Y133" i="64"/>
  <c r="Y134" i="64"/>
  <c r="Y135" i="64"/>
  <c r="Y136" i="64"/>
  <c r="Y137" i="64"/>
  <c r="Y138" i="64"/>
  <c r="Y139" i="64"/>
  <c r="Y140" i="64"/>
  <c r="Y141" i="64"/>
  <c r="Y142" i="64"/>
  <c r="Y143" i="64"/>
  <c r="Y144" i="64"/>
  <c r="Y145" i="64"/>
  <c r="Y146" i="64"/>
  <c r="Y147" i="64"/>
  <c r="Y148" i="64"/>
  <c r="Y149" i="64"/>
  <c r="Y150" i="64"/>
  <c r="Y151" i="64"/>
  <c r="Y152" i="64"/>
  <c r="Y153" i="64"/>
  <c r="Y154" i="64"/>
  <c r="Y155" i="64"/>
  <c r="Y156" i="64"/>
  <c r="Y157" i="64"/>
  <c r="Y158" i="64"/>
  <c r="Y159" i="64"/>
  <c r="Y160" i="64"/>
  <c r="Y161" i="64"/>
  <c r="Y162" i="64"/>
  <c r="Y163" i="64"/>
  <c r="Y164" i="64"/>
  <c r="Y165" i="64"/>
  <c r="Y166" i="64"/>
  <c r="Y167" i="64"/>
  <c r="Y168" i="64"/>
  <c r="Y169" i="64"/>
  <c r="Y170" i="64"/>
  <c r="Y171" i="64"/>
  <c r="Y172" i="64"/>
  <c r="Y173" i="64"/>
  <c r="Y174" i="64"/>
  <c r="Y175" i="64"/>
  <c r="Y176" i="64"/>
  <c r="Y177" i="64"/>
  <c r="Y178" i="64"/>
  <c r="Y179" i="64"/>
  <c r="Y180" i="64"/>
  <c r="Y181" i="64"/>
  <c r="Y182" i="64"/>
  <c r="Y183" i="64"/>
  <c r="Y184" i="64"/>
  <c r="Y185" i="64"/>
  <c r="Y186" i="64"/>
  <c r="Y187" i="64"/>
  <c r="Y188" i="64"/>
  <c r="Y189" i="64"/>
  <c r="Y190" i="64"/>
  <c r="Y191" i="64"/>
  <c r="Y192" i="64"/>
  <c r="Y193" i="64"/>
  <c r="Y194" i="64"/>
  <c r="Y195" i="64"/>
  <c r="Y196" i="64"/>
  <c r="Y197" i="64"/>
  <c r="Y198" i="64"/>
  <c r="Y199" i="64"/>
  <c r="Y200" i="64"/>
  <c r="Y201" i="64"/>
  <c r="Y202" i="64"/>
  <c r="Y203" i="64"/>
  <c r="Y204" i="64"/>
  <c r="Y205" i="64"/>
  <c r="Y206" i="64"/>
  <c r="Y207" i="64"/>
  <c r="Y208" i="64"/>
  <c r="Y209" i="64"/>
  <c r="Y210" i="64"/>
  <c r="Y211" i="64"/>
  <c r="Y212" i="64"/>
  <c r="Y213" i="64"/>
  <c r="Y214" i="64"/>
  <c r="Y215" i="64"/>
  <c r="Y216" i="64"/>
  <c r="Y217" i="64"/>
  <c r="Y218" i="64"/>
  <c r="Y219" i="64"/>
  <c r="Y220" i="64"/>
  <c r="Y221" i="64"/>
  <c r="Y222" i="64"/>
  <c r="Y223" i="64"/>
  <c r="Y224" i="64"/>
  <c r="Y225" i="64"/>
  <c r="Y226" i="64"/>
  <c r="Y227" i="64"/>
  <c r="Y228" i="64"/>
  <c r="Y229" i="64"/>
  <c r="Y230" i="64"/>
  <c r="Y231" i="64"/>
  <c r="Y232" i="64"/>
  <c r="Y233" i="64"/>
  <c r="Y234" i="64"/>
  <c r="Y235" i="64"/>
  <c r="Y236" i="64"/>
  <c r="Y237" i="64"/>
  <c r="Y238" i="64"/>
  <c r="Y239" i="64"/>
  <c r="Y240" i="64"/>
  <c r="Y241" i="64"/>
  <c r="Y242" i="64"/>
  <c r="Y243" i="64"/>
  <c r="Y244" i="64"/>
  <c r="Y245" i="64"/>
  <c r="Y246" i="64"/>
  <c r="Y247" i="64"/>
  <c r="Y248" i="64"/>
  <c r="Y249" i="64"/>
  <c r="Y250" i="64"/>
  <c r="Y251" i="64"/>
  <c r="Y252" i="64"/>
  <c r="Y253" i="64"/>
  <c r="Y254" i="64"/>
  <c r="Y255" i="64"/>
  <c r="Y256" i="64"/>
  <c r="Y257" i="64"/>
  <c r="Y258" i="64"/>
  <c r="Y259" i="64"/>
  <c r="Y12" i="64"/>
  <c r="P11" i="63"/>
  <c r="P12" i="63"/>
  <c r="P13" i="63"/>
  <c r="P14" i="63"/>
  <c r="P15" i="63"/>
  <c r="P16" i="63"/>
  <c r="P17" i="63"/>
  <c r="P18" i="63"/>
  <c r="P19" i="63"/>
  <c r="P20" i="63"/>
  <c r="P21" i="63"/>
  <c r="P22" i="63"/>
  <c r="P23" i="63"/>
  <c r="P24" i="63"/>
  <c r="P25" i="63"/>
  <c r="P26" i="63"/>
  <c r="P27" i="63"/>
  <c r="P28" i="63"/>
  <c r="P29" i="63"/>
  <c r="P30" i="63"/>
  <c r="P31" i="63"/>
  <c r="P32" i="63"/>
  <c r="P33" i="63"/>
  <c r="P34" i="63"/>
  <c r="P35" i="63"/>
  <c r="P36" i="63"/>
  <c r="P37" i="63"/>
  <c r="P38" i="63"/>
  <c r="P39" i="63"/>
  <c r="P40" i="63"/>
  <c r="P41" i="63"/>
  <c r="P42" i="63"/>
  <c r="P43" i="63"/>
  <c r="P44" i="63"/>
  <c r="P45" i="63"/>
  <c r="P46" i="63"/>
  <c r="P47" i="63"/>
  <c r="P48" i="63"/>
  <c r="P49" i="63"/>
  <c r="P50" i="63"/>
  <c r="P51" i="63"/>
  <c r="P52" i="63"/>
  <c r="P53" i="63"/>
  <c r="P54" i="63"/>
  <c r="P55" i="63"/>
  <c r="P56" i="63"/>
  <c r="P57" i="63"/>
  <c r="P58" i="63"/>
  <c r="P59" i="63"/>
  <c r="P60" i="63"/>
  <c r="P61" i="63"/>
  <c r="P62" i="63"/>
  <c r="P63" i="63"/>
  <c r="P64" i="63"/>
  <c r="P65" i="63"/>
  <c r="P66" i="63"/>
  <c r="P67" i="63"/>
  <c r="P68" i="63"/>
  <c r="P69" i="63"/>
  <c r="P70" i="63"/>
  <c r="P71" i="63"/>
  <c r="P72" i="63"/>
  <c r="P73" i="63"/>
  <c r="P74" i="63"/>
  <c r="P75" i="63"/>
  <c r="P76" i="63"/>
  <c r="P77" i="63"/>
  <c r="P78" i="63"/>
  <c r="P79" i="63"/>
  <c r="P80" i="63"/>
  <c r="P81" i="63"/>
  <c r="P82" i="63"/>
  <c r="P83" i="63"/>
  <c r="P84" i="63"/>
  <c r="P85" i="63"/>
  <c r="P86" i="63"/>
  <c r="P87" i="63"/>
  <c r="P88" i="63"/>
  <c r="P89" i="63"/>
  <c r="P90" i="63"/>
  <c r="P91" i="63"/>
  <c r="P92" i="63"/>
  <c r="P93" i="63"/>
  <c r="P94" i="63"/>
  <c r="P95" i="63"/>
  <c r="P96" i="63"/>
  <c r="P97" i="63"/>
  <c r="P98" i="63"/>
  <c r="P99" i="63"/>
  <c r="P100" i="63"/>
  <c r="P101" i="63"/>
  <c r="P102" i="63"/>
  <c r="P103" i="63"/>
  <c r="P104" i="63"/>
  <c r="P105" i="63"/>
  <c r="P106" i="63"/>
  <c r="P107" i="63"/>
  <c r="P108" i="63"/>
  <c r="P109" i="63"/>
  <c r="P110" i="63"/>
  <c r="P111" i="63"/>
  <c r="P112" i="63"/>
  <c r="P113" i="63"/>
  <c r="P114" i="63"/>
  <c r="P115" i="63"/>
  <c r="P116" i="63"/>
  <c r="P117" i="63"/>
  <c r="P118" i="63"/>
  <c r="P119" i="63"/>
  <c r="P120" i="63"/>
  <c r="P121" i="63"/>
  <c r="P122" i="63"/>
  <c r="P123" i="63"/>
  <c r="P124" i="63"/>
  <c r="P125" i="63"/>
  <c r="P126" i="63"/>
  <c r="P127" i="63"/>
  <c r="P128" i="63"/>
  <c r="P129" i="63"/>
  <c r="P130" i="63"/>
  <c r="P131" i="63"/>
  <c r="P132" i="63"/>
  <c r="P133" i="63"/>
  <c r="P134" i="63"/>
  <c r="P135" i="63"/>
  <c r="P136" i="63"/>
  <c r="P137" i="63"/>
  <c r="P138" i="63"/>
  <c r="P139" i="63"/>
  <c r="P140" i="63"/>
  <c r="P141" i="63"/>
  <c r="P142" i="63"/>
  <c r="P143" i="63"/>
  <c r="P144" i="63"/>
  <c r="P145" i="63"/>
  <c r="P146" i="63"/>
  <c r="P147" i="63"/>
  <c r="P148" i="63"/>
  <c r="P149" i="63"/>
  <c r="P150" i="63"/>
  <c r="P151" i="63"/>
  <c r="P152" i="63"/>
  <c r="P153" i="63"/>
  <c r="P154" i="63"/>
  <c r="P155" i="63"/>
  <c r="P156" i="63"/>
  <c r="P157" i="63"/>
  <c r="P158" i="63"/>
  <c r="P159" i="63"/>
  <c r="P160" i="63"/>
  <c r="P161" i="63"/>
  <c r="P162" i="63"/>
  <c r="P163" i="63"/>
  <c r="P164" i="63"/>
  <c r="P165" i="63"/>
  <c r="P166" i="63"/>
  <c r="P167" i="63"/>
  <c r="P168" i="63"/>
  <c r="P169" i="63"/>
  <c r="P170" i="63"/>
  <c r="P171" i="63"/>
  <c r="P172" i="63"/>
  <c r="P173" i="63"/>
  <c r="P174" i="63"/>
  <c r="P175" i="63"/>
  <c r="P176" i="63"/>
  <c r="P177" i="63"/>
  <c r="P178" i="63"/>
  <c r="P179" i="63"/>
  <c r="P180" i="63"/>
  <c r="P181" i="63"/>
  <c r="P182" i="63"/>
  <c r="P183" i="63"/>
  <c r="P184" i="63"/>
  <c r="P185" i="63"/>
  <c r="P186" i="63"/>
  <c r="P187" i="63"/>
  <c r="P188" i="63"/>
  <c r="P189" i="63"/>
  <c r="P190" i="63"/>
  <c r="P191" i="63"/>
  <c r="P192" i="63"/>
  <c r="P193" i="63"/>
  <c r="P194" i="63"/>
  <c r="P195" i="63"/>
  <c r="P196" i="63"/>
  <c r="P197" i="63"/>
  <c r="P198" i="63"/>
  <c r="P199" i="63"/>
  <c r="P200" i="63"/>
  <c r="P201" i="63"/>
  <c r="P202" i="63"/>
  <c r="P203" i="63"/>
  <c r="P204" i="63"/>
  <c r="P205" i="63"/>
  <c r="P206" i="63"/>
  <c r="P207" i="63"/>
  <c r="P208" i="63"/>
  <c r="P209" i="63"/>
  <c r="P210" i="63"/>
  <c r="P211" i="63"/>
  <c r="P212" i="63"/>
  <c r="P213" i="63"/>
  <c r="P214" i="63"/>
  <c r="P215" i="63"/>
  <c r="P216" i="63"/>
  <c r="P217" i="63"/>
  <c r="P218" i="63"/>
  <c r="P219" i="63"/>
  <c r="P220" i="63"/>
  <c r="P221" i="63"/>
  <c r="P222" i="63"/>
  <c r="P223" i="63"/>
  <c r="P224" i="63"/>
  <c r="P225" i="63"/>
  <c r="P226" i="63"/>
  <c r="P227" i="63"/>
  <c r="P228" i="63"/>
  <c r="P229" i="63"/>
  <c r="P230" i="63"/>
  <c r="P231" i="63"/>
  <c r="P232" i="63"/>
  <c r="P233" i="63"/>
  <c r="P234" i="63"/>
  <c r="P235" i="63"/>
  <c r="P236" i="63"/>
  <c r="P237" i="63"/>
  <c r="P238" i="63"/>
  <c r="P239" i="63"/>
  <c r="P240" i="63"/>
  <c r="P241" i="63"/>
  <c r="P242" i="63"/>
  <c r="P243" i="63"/>
  <c r="P244" i="63"/>
  <c r="P245" i="63"/>
  <c r="P246" i="63"/>
  <c r="P247" i="63"/>
  <c r="P248" i="63"/>
  <c r="P249" i="63"/>
  <c r="P250" i="63"/>
  <c r="P251" i="63"/>
  <c r="P252" i="63"/>
  <c r="P253" i="63"/>
  <c r="P254" i="63"/>
  <c r="P255" i="63"/>
  <c r="P256" i="63"/>
  <c r="P257" i="63"/>
  <c r="P10" i="63"/>
  <c r="N7" i="107" l="1" a="1"/>
  <c r="N7" i="107" s="1"/>
  <c r="Q7" i="107" s="1"/>
  <c r="W7" i="107" a="1"/>
  <c r="W7" i="107" s="1"/>
  <c r="AC7" i="107" s="1"/>
  <c r="B7" i="107" a="1"/>
  <c r="B7" i="107" s="1"/>
  <c r="K7" i="107" s="1"/>
  <c r="T13" i="58"/>
  <c r="T14" i="58"/>
  <c r="T15" i="58"/>
  <c r="T16" i="58"/>
  <c r="T17" i="58"/>
  <c r="T18" i="58"/>
  <c r="T19" i="58"/>
  <c r="T20" i="58"/>
  <c r="T21" i="58"/>
  <c r="T22" i="58"/>
  <c r="T23" i="58"/>
  <c r="T24" i="58"/>
  <c r="T25" i="58"/>
  <c r="T26" i="58"/>
  <c r="T27" i="58"/>
  <c r="T28" i="58"/>
  <c r="T29" i="58"/>
  <c r="T30" i="58"/>
  <c r="T31" i="58"/>
  <c r="T32" i="58"/>
  <c r="T33" i="58"/>
  <c r="T34" i="58"/>
  <c r="T35" i="58"/>
  <c r="T36" i="58"/>
  <c r="T37" i="58"/>
  <c r="T38" i="58"/>
  <c r="T39" i="58"/>
  <c r="T40" i="58"/>
  <c r="T41" i="58"/>
  <c r="T42" i="58"/>
  <c r="T43" i="58"/>
  <c r="T44" i="58"/>
  <c r="T45" i="58"/>
  <c r="T46" i="58"/>
  <c r="T47" i="58"/>
  <c r="T48" i="58"/>
  <c r="T49" i="58"/>
  <c r="T50" i="58"/>
  <c r="T51" i="58"/>
  <c r="T52" i="58"/>
  <c r="T53" i="58"/>
  <c r="T54" i="58"/>
  <c r="T55" i="58"/>
  <c r="T56" i="58"/>
  <c r="T57" i="58"/>
  <c r="T58" i="58"/>
  <c r="T59" i="58"/>
  <c r="T60" i="58"/>
  <c r="T61" i="58"/>
  <c r="T62" i="58"/>
  <c r="T63" i="58"/>
  <c r="T64" i="58"/>
  <c r="T65" i="58"/>
  <c r="T66" i="58"/>
  <c r="T67" i="58"/>
  <c r="T68" i="58"/>
  <c r="T69" i="58"/>
  <c r="T70" i="58"/>
  <c r="T71" i="58"/>
  <c r="T72" i="58"/>
  <c r="T73" i="58"/>
  <c r="T74" i="58"/>
  <c r="T75" i="58"/>
  <c r="T76" i="58"/>
  <c r="T77" i="58"/>
  <c r="T78" i="58"/>
  <c r="T79" i="58"/>
  <c r="T80" i="58"/>
  <c r="T81" i="58"/>
  <c r="T82" i="58"/>
  <c r="T83" i="58"/>
  <c r="T84" i="58"/>
  <c r="T85" i="58"/>
  <c r="T86" i="58"/>
  <c r="T87" i="58"/>
  <c r="T88" i="58"/>
  <c r="T89" i="58"/>
  <c r="T90" i="58"/>
  <c r="T91" i="58"/>
  <c r="T92" i="58"/>
  <c r="T93" i="58"/>
  <c r="T94" i="58"/>
  <c r="T95" i="58"/>
  <c r="T96" i="58"/>
  <c r="T97" i="58"/>
  <c r="T98" i="58"/>
  <c r="T99" i="58"/>
  <c r="T100" i="58"/>
  <c r="T101" i="58"/>
  <c r="T102" i="58"/>
  <c r="T103" i="58"/>
  <c r="T104" i="58"/>
  <c r="T105" i="58"/>
  <c r="T106" i="58"/>
  <c r="T107" i="58"/>
  <c r="T108" i="58"/>
  <c r="T109" i="58"/>
  <c r="T110" i="58"/>
  <c r="T111" i="58"/>
  <c r="T112" i="58"/>
  <c r="T113" i="58"/>
  <c r="T114" i="58"/>
  <c r="T115" i="58"/>
  <c r="T116" i="58"/>
  <c r="T117" i="58"/>
  <c r="T118" i="58"/>
  <c r="T119" i="58"/>
  <c r="T120" i="58"/>
  <c r="T121" i="58"/>
  <c r="T122" i="58"/>
  <c r="T123" i="58"/>
  <c r="T124" i="58"/>
  <c r="T125" i="58"/>
  <c r="T126" i="58"/>
  <c r="T127" i="58"/>
  <c r="T128" i="58"/>
  <c r="T129" i="58"/>
  <c r="T130" i="58"/>
  <c r="T131" i="58"/>
  <c r="T132" i="58"/>
  <c r="T133" i="58"/>
  <c r="T134" i="58"/>
  <c r="T135" i="58"/>
  <c r="T136" i="58"/>
  <c r="T137" i="58"/>
  <c r="T138" i="58"/>
  <c r="T139" i="58"/>
  <c r="T140" i="58"/>
  <c r="T141" i="58"/>
  <c r="T142" i="58"/>
  <c r="T143" i="58"/>
  <c r="T144" i="58"/>
  <c r="T145" i="58"/>
  <c r="T146" i="58"/>
  <c r="T147" i="58"/>
  <c r="T148" i="58"/>
  <c r="T149" i="58"/>
  <c r="T150" i="58"/>
  <c r="T151" i="58"/>
  <c r="T152" i="58"/>
  <c r="T153" i="58"/>
  <c r="T154" i="58"/>
  <c r="T155" i="58"/>
  <c r="T156" i="58"/>
  <c r="T157" i="58"/>
  <c r="T158" i="58"/>
  <c r="T159" i="58"/>
  <c r="T160" i="58"/>
  <c r="T161" i="58"/>
  <c r="T162" i="58"/>
  <c r="T163" i="58"/>
  <c r="T164" i="58"/>
  <c r="T165" i="58"/>
  <c r="T166" i="58"/>
  <c r="T167" i="58"/>
  <c r="T168" i="58"/>
  <c r="T169" i="58"/>
  <c r="T170" i="58"/>
  <c r="T171" i="58"/>
  <c r="T172" i="58"/>
  <c r="T173" i="58"/>
  <c r="T174" i="58"/>
  <c r="T175" i="58"/>
  <c r="T176" i="58"/>
  <c r="T177" i="58"/>
  <c r="T178" i="58"/>
  <c r="T179" i="58"/>
  <c r="T180" i="58"/>
  <c r="T181" i="58"/>
  <c r="T182" i="58"/>
  <c r="T183" i="58"/>
  <c r="T184" i="58"/>
  <c r="T185" i="58"/>
  <c r="T186" i="58"/>
  <c r="T187" i="58"/>
  <c r="T188" i="58"/>
  <c r="T189" i="58"/>
  <c r="T190" i="58"/>
  <c r="T191" i="58"/>
  <c r="T192" i="58"/>
  <c r="T193" i="58"/>
  <c r="T194" i="58"/>
  <c r="T195" i="58"/>
  <c r="T196" i="58"/>
  <c r="T197" i="58"/>
  <c r="T198" i="58"/>
  <c r="T199" i="58"/>
  <c r="T200" i="58"/>
  <c r="T201" i="58"/>
  <c r="T202" i="58"/>
  <c r="T203" i="58"/>
  <c r="T204" i="58"/>
  <c r="T205" i="58"/>
  <c r="T206" i="58"/>
  <c r="T207" i="58"/>
  <c r="T208" i="58"/>
  <c r="T209" i="58"/>
  <c r="T210" i="58"/>
  <c r="T211" i="58"/>
  <c r="T212" i="58"/>
  <c r="T213" i="58"/>
  <c r="T214" i="58"/>
  <c r="T215" i="58"/>
  <c r="T216" i="58"/>
  <c r="T217" i="58"/>
  <c r="T218" i="58"/>
  <c r="T219" i="58"/>
  <c r="T220" i="58"/>
  <c r="T221" i="58"/>
  <c r="T222" i="58"/>
  <c r="T223" i="58"/>
  <c r="T224" i="58"/>
  <c r="T225" i="58"/>
  <c r="T226" i="58"/>
  <c r="T227" i="58"/>
  <c r="T228" i="58"/>
  <c r="T229" i="58"/>
  <c r="T230" i="58"/>
  <c r="T231" i="58"/>
  <c r="T232" i="58"/>
  <c r="T233" i="58"/>
  <c r="T234" i="58"/>
  <c r="T235" i="58"/>
  <c r="T236" i="58"/>
  <c r="T237" i="58"/>
  <c r="T238" i="58"/>
  <c r="T239" i="58"/>
  <c r="T240" i="58"/>
  <c r="T241" i="58"/>
  <c r="T242" i="58"/>
  <c r="T243" i="58"/>
  <c r="T244" i="58"/>
  <c r="T245" i="58"/>
  <c r="T246" i="58"/>
  <c r="T247" i="58"/>
  <c r="T248" i="58"/>
  <c r="T249" i="58"/>
  <c r="T250" i="58"/>
  <c r="T251" i="58"/>
  <c r="T252" i="58"/>
  <c r="T253" i="58"/>
  <c r="T254" i="58"/>
  <c r="T255" i="58"/>
  <c r="T256" i="58"/>
  <c r="T257" i="58"/>
  <c r="T258" i="58"/>
  <c r="T259" i="58"/>
  <c r="AB232" i="67"/>
  <c r="AA11" i="67"/>
  <c r="AA12" i="67"/>
  <c r="AA13" i="67"/>
  <c r="AA14" i="67"/>
  <c r="AA15" i="67"/>
  <c r="AA16" i="67"/>
  <c r="AA17" i="67"/>
  <c r="AA18" i="67"/>
  <c r="AA19" i="67"/>
  <c r="AA20" i="67"/>
  <c r="AA21" i="67"/>
  <c r="AA22" i="67"/>
  <c r="AA23" i="67"/>
  <c r="AA24" i="67"/>
  <c r="AA25" i="67"/>
  <c r="AA26" i="67"/>
  <c r="AA27" i="67"/>
  <c r="AA28" i="67"/>
  <c r="AA29" i="67"/>
  <c r="AA30" i="67"/>
  <c r="AA31" i="67"/>
  <c r="AA32" i="67"/>
  <c r="AA33" i="67"/>
  <c r="AA34" i="67"/>
  <c r="AA35" i="67"/>
  <c r="AA36" i="67"/>
  <c r="AA37" i="67"/>
  <c r="AA38" i="67"/>
  <c r="AA39" i="67"/>
  <c r="AA40" i="67"/>
  <c r="AA41" i="67"/>
  <c r="AA42" i="67"/>
  <c r="AA43" i="67"/>
  <c r="AA44" i="67"/>
  <c r="AA45" i="67"/>
  <c r="AA46" i="67"/>
  <c r="AA47" i="67"/>
  <c r="AA48" i="67"/>
  <c r="AA49" i="67"/>
  <c r="AA50" i="67"/>
  <c r="AA51" i="67"/>
  <c r="AA52" i="67"/>
  <c r="AA53" i="67"/>
  <c r="AA54" i="67"/>
  <c r="AA55" i="67"/>
  <c r="AA56" i="67"/>
  <c r="AA57" i="67"/>
  <c r="AA58" i="67"/>
  <c r="AA59" i="67"/>
  <c r="AA60" i="67"/>
  <c r="AA61" i="67"/>
  <c r="AA62" i="67"/>
  <c r="AA63" i="67"/>
  <c r="AA64" i="67"/>
  <c r="AA65" i="67"/>
  <c r="AA66" i="67"/>
  <c r="AA67" i="67"/>
  <c r="AA68" i="67"/>
  <c r="AA69" i="67"/>
  <c r="AA70" i="67"/>
  <c r="AA71" i="67"/>
  <c r="AA72" i="67"/>
  <c r="AA73" i="67"/>
  <c r="AA74" i="67"/>
  <c r="AA75" i="67"/>
  <c r="AA76" i="67"/>
  <c r="AA77" i="67"/>
  <c r="AA78" i="67"/>
  <c r="AA79" i="67"/>
  <c r="AA80" i="67"/>
  <c r="AA81" i="67"/>
  <c r="AA82" i="67"/>
  <c r="AA83" i="67"/>
  <c r="AA84" i="67"/>
  <c r="AA85" i="67"/>
  <c r="AA86" i="67"/>
  <c r="AA87" i="67"/>
  <c r="AA88" i="67"/>
  <c r="AA89" i="67"/>
  <c r="AA90" i="67"/>
  <c r="AA91" i="67"/>
  <c r="AA92" i="67"/>
  <c r="AA93" i="67"/>
  <c r="AA94" i="67"/>
  <c r="AA95" i="67"/>
  <c r="AA96" i="67"/>
  <c r="AA97" i="67"/>
  <c r="AA98" i="67"/>
  <c r="AA99" i="67"/>
  <c r="AA100" i="67"/>
  <c r="AA101" i="67"/>
  <c r="AA102" i="67"/>
  <c r="AA103" i="67"/>
  <c r="AA104" i="67"/>
  <c r="AA105" i="67"/>
  <c r="AA106" i="67"/>
  <c r="AA107" i="67"/>
  <c r="AA108" i="67"/>
  <c r="AA109" i="67"/>
  <c r="AA110" i="67"/>
  <c r="AA111" i="67"/>
  <c r="AA112" i="67"/>
  <c r="AA113" i="67"/>
  <c r="AA114" i="67"/>
  <c r="AA115" i="67"/>
  <c r="AA116" i="67"/>
  <c r="AA117" i="67"/>
  <c r="AA118" i="67"/>
  <c r="AA119" i="67"/>
  <c r="AA120" i="67"/>
  <c r="AA121" i="67"/>
  <c r="AA122" i="67"/>
  <c r="AA123" i="67"/>
  <c r="AA124" i="67"/>
  <c r="AA125" i="67"/>
  <c r="AA126" i="67"/>
  <c r="AA127" i="67"/>
  <c r="AA128" i="67"/>
  <c r="AA129" i="67"/>
  <c r="AA130" i="67"/>
  <c r="AA131" i="67"/>
  <c r="AA132" i="67"/>
  <c r="AA133" i="67"/>
  <c r="AA134" i="67"/>
  <c r="AA135" i="67"/>
  <c r="AA136" i="67"/>
  <c r="AA137" i="67"/>
  <c r="AA138" i="67"/>
  <c r="AA139" i="67"/>
  <c r="AA140" i="67"/>
  <c r="AA141" i="67"/>
  <c r="AA142" i="67"/>
  <c r="AA143" i="67"/>
  <c r="AA144" i="67"/>
  <c r="AA145" i="67"/>
  <c r="AA146" i="67"/>
  <c r="AA147" i="67"/>
  <c r="AA148" i="67"/>
  <c r="AA149" i="67"/>
  <c r="AA150" i="67"/>
  <c r="AA151" i="67"/>
  <c r="AA152" i="67"/>
  <c r="AA153" i="67"/>
  <c r="AA154" i="67"/>
  <c r="AA155" i="67"/>
  <c r="AA156" i="67"/>
  <c r="AA157" i="67"/>
  <c r="AA158" i="67"/>
  <c r="AA159" i="67"/>
  <c r="AA160" i="67"/>
  <c r="AA161" i="67"/>
  <c r="AA162" i="67"/>
  <c r="AA163" i="67"/>
  <c r="AA164" i="67"/>
  <c r="AA165" i="67"/>
  <c r="AA166" i="67"/>
  <c r="AA167" i="67"/>
  <c r="AA168" i="67"/>
  <c r="AA169" i="67"/>
  <c r="AA170" i="67"/>
  <c r="AA171" i="67"/>
  <c r="AA172" i="67"/>
  <c r="AA173" i="67"/>
  <c r="AA174" i="67"/>
  <c r="AA175" i="67"/>
  <c r="AA176" i="67"/>
  <c r="AA177" i="67"/>
  <c r="AA178" i="67"/>
  <c r="AA179" i="67"/>
  <c r="AA180" i="67"/>
  <c r="AA181" i="67"/>
  <c r="AA182" i="67"/>
  <c r="AA183" i="67"/>
  <c r="AA184" i="67"/>
  <c r="AA185" i="67"/>
  <c r="AA186" i="67"/>
  <c r="AA187" i="67"/>
  <c r="AA188" i="67"/>
  <c r="AA189" i="67"/>
  <c r="AA190" i="67"/>
  <c r="AA191" i="67"/>
  <c r="AA192" i="67"/>
  <c r="AA193" i="67"/>
  <c r="AA194" i="67"/>
  <c r="AA195" i="67"/>
  <c r="AA196" i="67"/>
  <c r="AA197" i="67"/>
  <c r="AA198" i="67"/>
  <c r="AA199" i="67"/>
  <c r="AA200" i="67"/>
  <c r="AA201" i="67"/>
  <c r="AA202" i="67"/>
  <c r="AA203" i="67"/>
  <c r="AA204" i="67"/>
  <c r="AA205" i="67"/>
  <c r="AA206" i="67"/>
  <c r="AA207" i="67"/>
  <c r="AA208" i="67"/>
  <c r="AA209" i="67"/>
  <c r="AA210" i="67"/>
  <c r="AA211" i="67"/>
  <c r="AA212" i="67"/>
  <c r="AA213" i="67"/>
  <c r="AA214" i="67"/>
  <c r="AA215" i="67"/>
  <c r="AA216" i="67"/>
  <c r="AA217" i="67"/>
  <c r="AA218" i="67"/>
  <c r="AA219" i="67"/>
  <c r="AA220" i="67"/>
  <c r="AA221" i="67"/>
  <c r="AA222" i="67"/>
  <c r="AA223" i="67"/>
  <c r="AA224" i="67"/>
  <c r="AA225" i="67"/>
  <c r="AA226" i="67"/>
  <c r="AA227" i="67"/>
  <c r="AA228" i="67"/>
  <c r="AA229" i="67"/>
  <c r="AA230" i="67"/>
  <c r="AA231" i="67"/>
  <c r="AA232" i="67"/>
  <c r="AA233" i="67"/>
  <c r="AA234" i="67"/>
  <c r="AA235" i="67"/>
  <c r="AA236" i="67"/>
  <c r="AA237" i="67"/>
  <c r="AA238" i="67"/>
  <c r="AA239" i="67"/>
  <c r="AA240" i="67"/>
  <c r="AA241" i="67"/>
  <c r="AA242" i="67"/>
  <c r="AA243" i="67"/>
  <c r="AA244" i="67"/>
  <c r="AA245" i="67"/>
  <c r="AA246" i="67"/>
  <c r="AA247" i="67"/>
  <c r="AA248" i="67"/>
  <c r="AA249" i="67"/>
  <c r="AA250" i="67"/>
  <c r="AA251" i="67"/>
  <c r="AA252" i="67"/>
  <c r="AA253" i="67"/>
  <c r="AA254" i="67"/>
  <c r="AA255" i="67"/>
  <c r="AA256" i="67"/>
  <c r="AA257" i="67"/>
  <c r="AB11" i="67"/>
  <c r="AB12" i="67"/>
  <c r="AB13" i="67"/>
  <c r="AB14" i="67"/>
  <c r="AB15" i="67"/>
  <c r="AB16" i="67"/>
  <c r="AB17" i="67"/>
  <c r="AB18" i="67"/>
  <c r="AB19" i="67"/>
  <c r="AB20" i="67"/>
  <c r="AB21" i="67"/>
  <c r="AB22" i="67"/>
  <c r="AB23" i="67"/>
  <c r="AB24" i="67"/>
  <c r="AB25" i="67"/>
  <c r="AB26" i="67"/>
  <c r="AB27" i="67"/>
  <c r="AB28" i="67"/>
  <c r="AB29" i="67"/>
  <c r="AB30" i="67"/>
  <c r="AB31" i="67"/>
  <c r="AB32" i="67"/>
  <c r="AB33" i="67"/>
  <c r="AB34" i="67"/>
  <c r="AB35" i="67"/>
  <c r="AB36" i="67"/>
  <c r="AB37" i="67"/>
  <c r="AB38" i="67"/>
  <c r="AB39" i="67"/>
  <c r="AB40" i="67"/>
  <c r="AB41" i="67"/>
  <c r="AB42" i="67"/>
  <c r="AB43" i="67"/>
  <c r="AB44" i="67"/>
  <c r="AB45" i="67"/>
  <c r="AB46" i="67"/>
  <c r="AB47" i="67"/>
  <c r="AB48" i="67"/>
  <c r="AB49" i="67"/>
  <c r="AB50" i="67"/>
  <c r="AB51" i="67"/>
  <c r="AB52" i="67"/>
  <c r="AB53" i="67"/>
  <c r="AB54" i="67"/>
  <c r="AB55" i="67"/>
  <c r="AB56" i="67"/>
  <c r="AB57" i="67"/>
  <c r="AB58" i="67"/>
  <c r="AB59" i="67"/>
  <c r="AB60" i="67"/>
  <c r="AB61" i="67"/>
  <c r="AB62" i="67"/>
  <c r="AB63" i="67"/>
  <c r="AB64" i="67"/>
  <c r="AB65" i="67"/>
  <c r="AB66" i="67"/>
  <c r="AB67" i="67"/>
  <c r="AB68" i="67"/>
  <c r="AB69" i="67"/>
  <c r="AB70" i="67"/>
  <c r="AB71" i="67"/>
  <c r="AB72" i="67"/>
  <c r="AB73" i="67"/>
  <c r="AB74" i="67"/>
  <c r="AB75" i="67"/>
  <c r="AB76" i="67"/>
  <c r="AB77" i="67"/>
  <c r="AB78" i="67"/>
  <c r="AB79" i="67"/>
  <c r="AB80" i="67"/>
  <c r="AB81" i="67"/>
  <c r="AB82" i="67"/>
  <c r="AB83" i="67"/>
  <c r="AB84" i="67"/>
  <c r="AB85" i="67"/>
  <c r="AB86" i="67"/>
  <c r="AB87" i="67"/>
  <c r="AB88" i="67"/>
  <c r="AB89" i="67"/>
  <c r="AB90" i="67"/>
  <c r="AB91" i="67"/>
  <c r="AB92" i="67"/>
  <c r="AB93" i="67"/>
  <c r="AB94" i="67"/>
  <c r="AB95" i="67"/>
  <c r="AB96" i="67"/>
  <c r="AB97" i="67"/>
  <c r="AB98" i="67"/>
  <c r="AB99" i="67"/>
  <c r="AB100" i="67"/>
  <c r="AB101" i="67"/>
  <c r="AB102" i="67"/>
  <c r="AB103" i="67"/>
  <c r="AB104" i="67"/>
  <c r="AB105" i="67"/>
  <c r="AB106" i="67"/>
  <c r="AB107" i="67"/>
  <c r="AB108" i="67"/>
  <c r="AB109" i="67"/>
  <c r="AB110" i="67"/>
  <c r="AB111" i="67"/>
  <c r="AB112" i="67"/>
  <c r="AB113" i="67"/>
  <c r="AB114" i="67"/>
  <c r="AB115" i="67"/>
  <c r="AB116" i="67"/>
  <c r="AB117" i="67"/>
  <c r="AB118" i="67"/>
  <c r="AB119" i="67"/>
  <c r="AB120" i="67"/>
  <c r="AB121" i="67"/>
  <c r="AB122" i="67"/>
  <c r="AB123" i="67"/>
  <c r="AB124" i="67"/>
  <c r="AB125" i="67"/>
  <c r="AB126" i="67"/>
  <c r="AB127" i="67"/>
  <c r="AB128" i="67"/>
  <c r="AB129" i="67"/>
  <c r="AB130" i="67"/>
  <c r="AB131" i="67"/>
  <c r="AB132" i="67"/>
  <c r="AB133" i="67"/>
  <c r="AB134" i="67"/>
  <c r="AB135" i="67"/>
  <c r="AB136" i="67"/>
  <c r="AB137" i="67"/>
  <c r="AB138" i="67"/>
  <c r="AB139" i="67"/>
  <c r="AB140" i="67"/>
  <c r="AB141" i="67"/>
  <c r="AB142" i="67"/>
  <c r="AB143" i="67"/>
  <c r="AB144" i="67"/>
  <c r="AB145" i="67"/>
  <c r="AB146" i="67"/>
  <c r="AB147" i="67"/>
  <c r="AB148" i="67"/>
  <c r="AB149" i="67"/>
  <c r="AB150" i="67"/>
  <c r="AB151" i="67"/>
  <c r="AB152" i="67"/>
  <c r="AB153" i="67"/>
  <c r="AB154" i="67"/>
  <c r="AB155" i="67"/>
  <c r="AB156" i="67"/>
  <c r="AB157" i="67"/>
  <c r="AB158" i="67"/>
  <c r="AB159" i="67"/>
  <c r="AB160" i="67"/>
  <c r="AB161" i="67"/>
  <c r="AB162" i="67"/>
  <c r="AB163" i="67"/>
  <c r="AB164" i="67"/>
  <c r="AB165" i="67"/>
  <c r="AB166" i="67"/>
  <c r="AB167" i="67"/>
  <c r="AB168" i="67"/>
  <c r="AB169" i="67"/>
  <c r="AB170" i="67"/>
  <c r="AB171" i="67"/>
  <c r="AB172" i="67"/>
  <c r="AB173" i="67"/>
  <c r="AB174" i="67"/>
  <c r="AB175" i="67"/>
  <c r="AB176" i="67"/>
  <c r="AB177" i="67"/>
  <c r="AB178" i="67"/>
  <c r="AB179" i="67"/>
  <c r="AB180" i="67"/>
  <c r="AB181" i="67"/>
  <c r="AB182" i="67"/>
  <c r="AB183" i="67"/>
  <c r="AB184" i="67"/>
  <c r="AB185" i="67"/>
  <c r="AB186" i="67"/>
  <c r="AB187" i="67"/>
  <c r="AB188" i="67"/>
  <c r="AB189" i="67"/>
  <c r="AB190" i="67"/>
  <c r="AB191" i="67"/>
  <c r="AB192" i="67"/>
  <c r="AB193" i="67"/>
  <c r="AB194" i="67"/>
  <c r="AB195" i="67"/>
  <c r="AB196" i="67"/>
  <c r="AB197" i="67"/>
  <c r="AB198" i="67"/>
  <c r="AB199" i="67"/>
  <c r="AB200" i="67"/>
  <c r="AB201" i="67"/>
  <c r="AB202" i="67"/>
  <c r="AB203" i="67"/>
  <c r="AB204" i="67"/>
  <c r="AB205" i="67"/>
  <c r="AB206" i="67"/>
  <c r="AB207" i="67"/>
  <c r="AB208" i="67"/>
  <c r="AB209" i="67"/>
  <c r="AB210" i="67"/>
  <c r="AB211" i="67"/>
  <c r="AB212" i="67"/>
  <c r="AB213" i="67"/>
  <c r="AB214" i="67"/>
  <c r="AB215" i="67"/>
  <c r="AB216" i="67"/>
  <c r="AB217" i="67"/>
  <c r="AB218" i="67"/>
  <c r="AB219" i="67"/>
  <c r="AB220" i="67"/>
  <c r="AB221" i="67"/>
  <c r="AB222" i="67"/>
  <c r="AB223" i="67"/>
  <c r="AB224" i="67"/>
  <c r="AB225" i="67"/>
  <c r="AB226" i="67"/>
  <c r="AB227" i="67"/>
  <c r="AB228" i="67"/>
  <c r="AB229" i="67"/>
  <c r="AB230" i="67"/>
  <c r="AB231" i="67"/>
  <c r="AB233" i="67"/>
  <c r="AB234" i="67"/>
  <c r="AB235" i="67"/>
  <c r="AB236" i="67"/>
  <c r="AB237" i="67"/>
  <c r="AB238" i="67"/>
  <c r="AB239" i="67"/>
  <c r="AB240" i="67"/>
  <c r="AB241" i="67"/>
  <c r="AB242" i="67"/>
  <c r="AB243" i="67"/>
  <c r="AB244" i="67"/>
  <c r="AB245" i="67"/>
  <c r="AB246" i="67"/>
  <c r="AB247" i="67"/>
  <c r="AB248" i="67"/>
  <c r="AB249" i="67"/>
  <c r="AB250" i="67"/>
  <c r="AB251" i="67"/>
  <c r="AB252" i="67"/>
  <c r="AB253" i="67"/>
  <c r="AB254" i="67"/>
  <c r="AB255" i="67"/>
  <c r="AB256" i="67"/>
  <c r="AB257" i="67"/>
  <c r="X14" i="63"/>
  <c r="X15" i="63"/>
  <c r="X16" i="63"/>
  <c r="X17" i="63"/>
  <c r="X18" i="63"/>
  <c r="X19" i="63"/>
  <c r="X20" i="63"/>
  <c r="X21" i="63"/>
  <c r="X22" i="63"/>
  <c r="X23" i="63"/>
  <c r="X24" i="63"/>
  <c r="X25" i="63"/>
  <c r="X26" i="63"/>
  <c r="X27" i="63"/>
  <c r="X28" i="63"/>
  <c r="X29" i="63"/>
  <c r="X30" i="63"/>
  <c r="X31" i="63"/>
  <c r="X32" i="63"/>
  <c r="X33" i="63"/>
  <c r="X34" i="63"/>
  <c r="X35" i="63"/>
  <c r="X36" i="63"/>
  <c r="X37" i="63"/>
  <c r="X38" i="63"/>
  <c r="X39" i="63"/>
  <c r="X40" i="63"/>
  <c r="X41" i="63"/>
  <c r="X42" i="63"/>
  <c r="X43" i="63"/>
  <c r="X44" i="63"/>
  <c r="X45" i="63"/>
  <c r="X46" i="63"/>
  <c r="X47" i="63"/>
  <c r="X48" i="63"/>
  <c r="X49" i="63"/>
  <c r="X50" i="63"/>
  <c r="X51" i="63"/>
  <c r="X52" i="63"/>
  <c r="X53" i="63"/>
  <c r="X54" i="63"/>
  <c r="X55" i="63"/>
  <c r="X56" i="63"/>
  <c r="X57" i="63"/>
  <c r="X58" i="63"/>
  <c r="X59" i="63"/>
  <c r="X60" i="63"/>
  <c r="X61" i="63"/>
  <c r="X62" i="63"/>
  <c r="X63" i="63"/>
  <c r="X64" i="63"/>
  <c r="X65" i="63"/>
  <c r="X66" i="63"/>
  <c r="X67" i="63"/>
  <c r="X68" i="63"/>
  <c r="X69" i="63"/>
  <c r="X70" i="63"/>
  <c r="X71" i="63"/>
  <c r="X72" i="63"/>
  <c r="X73" i="63"/>
  <c r="X74" i="63"/>
  <c r="X75" i="63"/>
  <c r="X76" i="63"/>
  <c r="X77" i="63"/>
  <c r="X78" i="63"/>
  <c r="X79" i="63"/>
  <c r="X80" i="63"/>
  <c r="X81" i="63"/>
  <c r="X82" i="63"/>
  <c r="X83" i="63"/>
  <c r="X84" i="63"/>
  <c r="X85" i="63"/>
  <c r="X86" i="63"/>
  <c r="X87" i="63"/>
  <c r="X88" i="63"/>
  <c r="X89" i="63"/>
  <c r="X90" i="63"/>
  <c r="X91" i="63"/>
  <c r="X92" i="63"/>
  <c r="X93" i="63"/>
  <c r="X94" i="63"/>
  <c r="X95" i="63"/>
  <c r="X96" i="63"/>
  <c r="X97" i="63"/>
  <c r="X98" i="63"/>
  <c r="X99" i="63"/>
  <c r="X100" i="63"/>
  <c r="X101" i="63"/>
  <c r="X102" i="63"/>
  <c r="X103" i="63"/>
  <c r="X104" i="63"/>
  <c r="X105" i="63"/>
  <c r="X106" i="63"/>
  <c r="X107" i="63"/>
  <c r="X108" i="63"/>
  <c r="X109" i="63"/>
  <c r="X110" i="63"/>
  <c r="X111" i="63"/>
  <c r="X112" i="63"/>
  <c r="X113" i="63"/>
  <c r="X114" i="63"/>
  <c r="X115" i="63"/>
  <c r="X116" i="63"/>
  <c r="X117" i="63"/>
  <c r="X118" i="63"/>
  <c r="X119" i="63"/>
  <c r="X120" i="63"/>
  <c r="X121" i="63"/>
  <c r="X122" i="63"/>
  <c r="X123" i="63"/>
  <c r="X124" i="63"/>
  <c r="X125" i="63"/>
  <c r="X126" i="63"/>
  <c r="X127" i="63"/>
  <c r="X128" i="63"/>
  <c r="X129" i="63"/>
  <c r="X130" i="63"/>
  <c r="X131" i="63"/>
  <c r="X132" i="63"/>
  <c r="X133" i="63"/>
  <c r="X134" i="63"/>
  <c r="X135" i="63"/>
  <c r="X136" i="63"/>
  <c r="X137" i="63"/>
  <c r="X138" i="63"/>
  <c r="X139" i="63"/>
  <c r="X140" i="63"/>
  <c r="X141" i="63"/>
  <c r="X142" i="63"/>
  <c r="X143" i="63"/>
  <c r="X144" i="63"/>
  <c r="X145" i="63"/>
  <c r="X146" i="63"/>
  <c r="X147" i="63"/>
  <c r="X148" i="63"/>
  <c r="X149" i="63"/>
  <c r="X150" i="63"/>
  <c r="X151" i="63"/>
  <c r="X152" i="63"/>
  <c r="X153" i="63"/>
  <c r="X154" i="63"/>
  <c r="X155" i="63"/>
  <c r="X156" i="63"/>
  <c r="X157" i="63"/>
  <c r="X158" i="63"/>
  <c r="X159" i="63"/>
  <c r="X160" i="63"/>
  <c r="X161" i="63"/>
  <c r="X162" i="63"/>
  <c r="X163" i="63"/>
  <c r="X164" i="63"/>
  <c r="X165" i="63"/>
  <c r="X166" i="63"/>
  <c r="X167" i="63"/>
  <c r="X168" i="63"/>
  <c r="X169" i="63"/>
  <c r="X170" i="63"/>
  <c r="X171" i="63"/>
  <c r="X172" i="63"/>
  <c r="X173" i="63"/>
  <c r="X174" i="63"/>
  <c r="X175" i="63"/>
  <c r="X176" i="63"/>
  <c r="X177" i="63"/>
  <c r="X178" i="63"/>
  <c r="X179" i="63"/>
  <c r="X180" i="63"/>
  <c r="X181" i="63"/>
  <c r="X182" i="63"/>
  <c r="X183" i="63"/>
  <c r="X184" i="63"/>
  <c r="X185" i="63"/>
  <c r="X186" i="63"/>
  <c r="X187" i="63"/>
  <c r="X188" i="63"/>
  <c r="X189" i="63"/>
  <c r="X190" i="63"/>
  <c r="X191" i="63"/>
  <c r="X192" i="63"/>
  <c r="X193" i="63"/>
  <c r="X194" i="63"/>
  <c r="X195" i="63"/>
  <c r="X196" i="63"/>
  <c r="X197" i="63"/>
  <c r="X198" i="63"/>
  <c r="X199" i="63"/>
  <c r="X200" i="63"/>
  <c r="X201" i="63"/>
  <c r="X202" i="63"/>
  <c r="X203" i="63"/>
  <c r="X204" i="63"/>
  <c r="X205" i="63"/>
  <c r="X206" i="63"/>
  <c r="X207" i="63"/>
  <c r="X208" i="63"/>
  <c r="X209" i="63"/>
  <c r="X210" i="63"/>
  <c r="X211" i="63"/>
  <c r="X212" i="63"/>
  <c r="X213" i="63"/>
  <c r="X214" i="63"/>
  <c r="X215" i="63"/>
  <c r="X216" i="63"/>
  <c r="X217" i="63"/>
  <c r="X218" i="63"/>
  <c r="X219" i="63"/>
  <c r="X220" i="63"/>
  <c r="X221" i="63"/>
  <c r="X222" i="63"/>
  <c r="X223" i="63"/>
  <c r="X224" i="63"/>
  <c r="X225" i="63"/>
  <c r="X226" i="63"/>
  <c r="X227" i="63"/>
  <c r="X228" i="63"/>
  <c r="X229" i="63"/>
  <c r="X230" i="63"/>
  <c r="X231" i="63"/>
  <c r="X232" i="63"/>
  <c r="X233" i="63"/>
  <c r="X234" i="63"/>
  <c r="X235" i="63"/>
  <c r="X236" i="63"/>
  <c r="X237" i="63"/>
  <c r="X238" i="63"/>
  <c r="X239" i="63"/>
  <c r="X240" i="63"/>
  <c r="X241" i="63"/>
  <c r="X242" i="63"/>
  <c r="X243" i="63"/>
  <c r="X244" i="63"/>
  <c r="X245" i="63"/>
  <c r="X246" i="63"/>
  <c r="X247" i="63"/>
  <c r="X248" i="63"/>
  <c r="X249" i="63"/>
  <c r="X250" i="63"/>
  <c r="X251" i="63"/>
  <c r="X252" i="63"/>
  <c r="X253" i="63"/>
  <c r="X254" i="63"/>
  <c r="X255" i="63"/>
  <c r="X256" i="63"/>
  <c r="X257" i="63"/>
  <c r="Y14" i="63"/>
  <c r="Y15" i="63"/>
  <c r="Y16" i="63"/>
  <c r="Y17" i="63"/>
  <c r="Y18" i="63"/>
  <c r="Y19" i="63"/>
  <c r="Y20" i="63"/>
  <c r="Y21" i="63"/>
  <c r="Y22" i="63"/>
  <c r="Y23" i="63"/>
  <c r="Y24" i="63"/>
  <c r="Y25" i="63"/>
  <c r="Y26" i="63"/>
  <c r="Y27" i="63"/>
  <c r="Y28" i="63"/>
  <c r="Y29" i="63"/>
  <c r="Y30" i="63"/>
  <c r="Y31" i="63"/>
  <c r="Y32" i="63"/>
  <c r="Y33" i="63"/>
  <c r="Y34" i="63"/>
  <c r="Y35" i="63"/>
  <c r="Y36" i="63"/>
  <c r="Y37" i="63"/>
  <c r="Y38" i="63"/>
  <c r="Y39" i="63"/>
  <c r="Y40" i="63"/>
  <c r="Y41" i="63"/>
  <c r="Y42" i="63"/>
  <c r="Y43" i="63"/>
  <c r="Y44" i="63"/>
  <c r="Y45" i="63"/>
  <c r="Y46" i="63"/>
  <c r="Y47" i="63"/>
  <c r="Y48" i="63"/>
  <c r="Y49" i="63"/>
  <c r="Y50" i="63"/>
  <c r="Y51" i="63"/>
  <c r="Y52" i="63"/>
  <c r="Y53" i="63"/>
  <c r="Y54" i="63"/>
  <c r="Y55" i="63"/>
  <c r="Y56" i="63"/>
  <c r="Y57" i="63"/>
  <c r="Y58" i="63"/>
  <c r="Y59" i="63"/>
  <c r="Y60" i="63"/>
  <c r="Y61" i="63"/>
  <c r="Y62" i="63"/>
  <c r="Y63" i="63"/>
  <c r="Y64" i="63"/>
  <c r="Y65" i="63"/>
  <c r="Y66" i="63"/>
  <c r="Y67" i="63"/>
  <c r="Y68" i="63"/>
  <c r="Y69" i="63"/>
  <c r="Y70" i="63"/>
  <c r="Y71" i="63"/>
  <c r="Y72" i="63"/>
  <c r="Y73" i="63"/>
  <c r="Y74" i="63"/>
  <c r="Y75" i="63"/>
  <c r="Y76" i="63"/>
  <c r="Y77" i="63"/>
  <c r="Y78" i="63"/>
  <c r="Y79" i="63"/>
  <c r="Y80" i="63"/>
  <c r="Y81" i="63"/>
  <c r="Y82" i="63"/>
  <c r="Y83" i="63"/>
  <c r="Y84" i="63"/>
  <c r="Y85" i="63"/>
  <c r="Y86" i="63"/>
  <c r="Y87" i="63"/>
  <c r="Y88" i="63"/>
  <c r="Y89" i="63"/>
  <c r="Y90" i="63"/>
  <c r="Y91" i="63"/>
  <c r="Y92" i="63"/>
  <c r="Y93" i="63"/>
  <c r="Y94" i="63"/>
  <c r="Y95" i="63"/>
  <c r="Y96" i="63"/>
  <c r="Y97" i="63"/>
  <c r="Y98" i="63"/>
  <c r="Y99" i="63"/>
  <c r="Y100" i="63"/>
  <c r="Y101" i="63"/>
  <c r="Y102" i="63"/>
  <c r="Y103" i="63"/>
  <c r="Y104" i="63"/>
  <c r="Y105" i="63"/>
  <c r="Y106" i="63"/>
  <c r="Y107" i="63"/>
  <c r="Y108" i="63"/>
  <c r="Y109" i="63"/>
  <c r="Y110" i="63"/>
  <c r="Y111" i="63"/>
  <c r="Y112" i="63"/>
  <c r="Y113" i="63"/>
  <c r="Y114" i="63"/>
  <c r="Y115" i="63"/>
  <c r="Y116" i="63"/>
  <c r="Y117" i="63"/>
  <c r="Y118" i="63"/>
  <c r="Y119" i="63"/>
  <c r="Y120" i="63"/>
  <c r="Y121" i="63"/>
  <c r="Y122" i="63"/>
  <c r="Y123" i="63"/>
  <c r="Y124" i="63"/>
  <c r="Y125" i="63"/>
  <c r="Y126" i="63"/>
  <c r="Y127" i="63"/>
  <c r="Y128" i="63"/>
  <c r="Y129" i="63"/>
  <c r="Y130" i="63"/>
  <c r="Y131" i="63"/>
  <c r="Y132" i="63"/>
  <c r="Y133" i="63"/>
  <c r="Y134" i="63"/>
  <c r="Y135" i="63"/>
  <c r="Y136" i="63"/>
  <c r="Y137" i="63"/>
  <c r="Y138" i="63"/>
  <c r="Y139" i="63"/>
  <c r="Y140" i="63"/>
  <c r="Y141" i="63"/>
  <c r="Y142" i="63"/>
  <c r="Y143" i="63"/>
  <c r="Y144" i="63"/>
  <c r="Y145" i="63"/>
  <c r="Y146" i="63"/>
  <c r="Y147" i="63"/>
  <c r="Y148" i="63"/>
  <c r="Y149" i="63"/>
  <c r="Y150" i="63"/>
  <c r="Y151" i="63"/>
  <c r="Y152" i="63"/>
  <c r="Y153" i="63"/>
  <c r="Y154" i="63"/>
  <c r="Y155" i="63"/>
  <c r="Y156" i="63"/>
  <c r="Y157" i="63"/>
  <c r="Y158" i="63"/>
  <c r="Y159" i="63"/>
  <c r="Y160" i="63"/>
  <c r="Y161" i="63"/>
  <c r="Y162" i="63"/>
  <c r="Y163" i="63"/>
  <c r="Y164" i="63"/>
  <c r="Y165" i="63"/>
  <c r="Y166" i="63"/>
  <c r="Y167" i="63"/>
  <c r="Y168" i="63"/>
  <c r="Y169" i="63"/>
  <c r="Y170" i="63"/>
  <c r="Y171" i="63"/>
  <c r="Y172" i="63"/>
  <c r="Y173" i="63"/>
  <c r="Y174" i="63"/>
  <c r="Y175" i="63"/>
  <c r="Y176" i="63"/>
  <c r="Y177" i="63"/>
  <c r="Y178" i="63"/>
  <c r="Y179" i="63"/>
  <c r="Y180" i="63"/>
  <c r="Y181" i="63"/>
  <c r="Y182" i="63"/>
  <c r="Y183" i="63"/>
  <c r="Y184" i="63"/>
  <c r="Y185" i="63"/>
  <c r="Y186" i="63"/>
  <c r="Y187" i="63"/>
  <c r="Y188" i="63"/>
  <c r="Y189" i="63"/>
  <c r="Y190" i="63"/>
  <c r="Y191" i="63"/>
  <c r="Y192" i="63"/>
  <c r="Y193" i="63"/>
  <c r="Y194" i="63"/>
  <c r="Y195" i="63"/>
  <c r="Y196" i="63"/>
  <c r="Y197" i="63"/>
  <c r="Y198" i="63"/>
  <c r="Y199" i="63"/>
  <c r="Y200" i="63"/>
  <c r="Y201" i="63"/>
  <c r="Y202" i="63"/>
  <c r="Y203" i="63"/>
  <c r="Y204" i="63"/>
  <c r="Y205" i="63"/>
  <c r="Y206" i="63"/>
  <c r="Y207" i="63"/>
  <c r="Y208" i="63"/>
  <c r="Y209" i="63"/>
  <c r="Y210" i="63"/>
  <c r="Y211" i="63"/>
  <c r="Y212" i="63"/>
  <c r="Y213" i="63"/>
  <c r="Y214" i="63"/>
  <c r="Y215" i="63"/>
  <c r="Y216" i="63"/>
  <c r="Y217" i="63"/>
  <c r="Y218" i="63"/>
  <c r="Y219" i="63"/>
  <c r="Y220" i="63"/>
  <c r="Y221" i="63"/>
  <c r="Y222" i="63"/>
  <c r="Y223" i="63"/>
  <c r="Y224" i="63"/>
  <c r="Y225" i="63"/>
  <c r="Y226" i="63"/>
  <c r="Y227" i="63"/>
  <c r="Y228" i="63"/>
  <c r="Y229" i="63"/>
  <c r="Y230" i="63"/>
  <c r="Y231" i="63"/>
  <c r="Y232" i="63"/>
  <c r="Y233" i="63"/>
  <c r="Y234" i="63"/>
  <c r="Y235" i="63"/>
  <c r="Y236" i="63"/>
  <c r="Y237" i="63"/>
  <c r="Y238" i="63"/>
  <c r="Y239" i="63"/>
  <c r="Y240" i="63"/>
  <c r="Y241" i="63"/>
  <c r="Y242" i="63"/>
  <c r="Y243" i="63"/>
  <c r="Y244" i="63"/>
  <c r="Y245" i="63"/>
  <c r="Y246" i="63"/>
  <c r="Y247" i="63"/>
  <c r="Y248" i="63"/>
  <c r="Y249" i="63"/>
  <c r="Y250" i="63"/>
  <c r="Y251" i="63"/>
  <c r="Y252" i="63"/>
  <c r="Y253" i="63"/>
  <c r="Y254" i="63"/>
  <c r="Y255" i="63"/>
  <c r="Y256" i="63"/>
  <c r="Y257" i="63"/>
  <c r="W28" i="11"/>
  <c r="W29" i="11"/>
  <c r="W30" i="11"/>
  <c r="W31" i="11"/>
  <c r="W32" i="11"/>
  <c r="W33" i="11"/>
  <c r="W34" i="11"/>
  <c r="W35" i="11"/>
  <c r="W36" i="11"/>
  <c r="W37" i="11"/>
  <c r="W38" i="11"/>
  <c r="W39" i="11"/>
  <c r="W40" i="11"/>
  <c r="W41" i="11"/>
  <c r="W42" i="11"/>
  <c r="W43" i="11"/>
  <c r="W44" i="11"/>
  <c r="W45" i="11"/>
  <c r="W46" i="11"/>
  <c r="W47" i="11"/>
  <c r="W48" i="11"/>
  <c r="W49" i="11"/>
  <c r="W50" i="11"/>
  <c r="W51" i="11"/>
  <c r="W52" i="11"/>
  <c r="W53" i="11"/>
  <c r="W54" i="11"/>
  <c r="W55" i="11"/>
  <c r="W56" i="11"/>
  <c r="W57" i="11"/>
  <c r="W58" i="11"/>
  <c r="W59" i="11"/>
  <c r="W60" i="11"/>
  <c r="W61" i="11"/>
  <c r="W62" i="11"/>
  <c r="W63" i="11"/>
  <c r="W64" i="11"/>
  <c r="W65" i="11"/>
  <c r="W66" i="11"/>
  <c r="W67" i="11"/>
  <c r="W68" i="11"/>
  <c r="W69" i="11"/>
  <c r="W70" i="11"/>
  <c r="W71" i="11"/>
  <c r="W72" i="11"/>
  <c r="W73" i="11"/>
  <c r="W74" i="11"/>
  <c r="W75" i="11"/>
  <c r="W76" i="11"/>
  <c r="W77" i="11"/>
  <c r="W78" i="11"/>
  <c r="W79" i="11"/>
  <c r="W80" i="11"/>
  <c r="W81" i="11"/>
  <c r="W82" i="11"/>
  <c r="W83" i="11"/>
  <c r="W84" i="11"/>
  <c r="W85" i="11"/>
  <c r="W86" i="11"/>
  <c r="W87" i="11"/>
  <c r="W88" i="11"/>
  <c r="W89" i="11"/>
  <c r="W90" i="11"/>
  <c r="W91" i="11"/>
  <c r="W92" i="11"/>
  <c r="W93" i="11"/>
  <c r="W94" i="11"/>
  <c r="W95" i="11"/>
  <c r="W96" i="11"/>
  <c r="W97" i="11"/>
  <c r="W98" i="11"/>
  <c r="W99" i="11"/>
  <c r="W100" i="11"/>
  <c r="W101" i="11"/>
  <c r="W102" i="11"/>
  <c r="W103" i="11"/>
  <c r="W104" i="11"/>
  <c r="W105" i="11"/>
  <c r="W106" i="11"/>
  <c r="W107" i="11"/>
  <c r="W108" i="11"/>
  <c r="W109" i="11"/>
  <c r="W110" i="11"/>
  <c r="W111" i="11"/>
  <c r="W112" i="11"/>
  <c r="W113" i="11"/>
  <c r="W114" i="11"/>
  <c r="W115" i="11"/>
  <c r="W116" i="11"/>
  <c r="W117" i="11"/>
  <c r="W118" i="11"/>
  <c r="W119" i="11"/>
  <c r="W120" i="11"/>
  <c r="W121" i="11"/>
  <c r="W122" i="11"/>
  <c r="W123" i="11"/>
  <c r="W124" i="11"/>
  <c r="W125" i="11"/>
  <c r="W126" i="11"/>
  <c r="W127" i="11"/>
  <c r="W128" i="11"/>
  <c r="W129" i="11"/>
  <c r="W130" i="11"/>
  <c r="W131" i="11"/>
  <c r="W132" i="11"/>
  <c r="W133" i="11"/>
  <c r="W134" i="11"/>
  <c r="W135" i="11"/>
  <c r="W136" i="11"/>
  <c r="W137" i="11"/>
  <c r="W138" i="11"/>
  <c r="W139" i="11"/>
  <c r="W140" i="11"/>
  <c r="W141" i="11"/>
  <c r="W142" i="11"/>
  <c r="W143" i="11"/>
  <c r="W144" i="11"/>
  <c r="W145" i="11"/>
  <c r="W146" i="11"/>
  <c r="W147" i="11"/>
  <c r="W148" i="11"/>
  <c r="W149" i="11"/>
  <c r="W150" i="11"/>
  <c r="W151" i="11"/>
  <c r="W152" i="11"/>
  <c r="W153" i="11"/>
  <c r="W154" i="11"/>
  <c r="W155" i="11"/>
  <c r="W156" i="11"/>
  <c r="W157" i="11"/>
  <c r="W158" i="11"/>
  <c r="W159" i="11"/>
  <c r="W160" i="11"/>
  <c r="W161" i="11"/>
  <c r="W162" i="11"/>
  <c r="W163" i="11"/>
  <c r="W164" i="11"/>
  <c r="W165" i="11"/>
  <c r="W166" i="11"/>
  <c r="W167" i="11"/>
  <c r="W168" i="11"/>
  <c r="W169" i="11"/>
  <c r="W170" i="11"/>
  <c r="W171" i="11"/>
  <c r="W172" i="11"/>
  <c r="W173" i="11"/>
  <c r="W174" i="11"/>
  <c r="W175" i="11"/>
  <c r="W176" i="11"/>
  <c r="W177" i="11"/>
  <c r="W178" i="11"/>
  <c r="W179" i="11"/>
  <c r="W180" i="11"/>
  <c r="W181" i="11"/>
  <c r="W182" i="11"/>
  <c r="W183" i="11"/>
  <c r="W184" i="11"/>
  <c r="W185" i="11"/>
  <c r="W186" i="11"/>
  <c r="W187" i="11"/>
  <c r="W188" i="11"/>
  <c r="W189" i="11"/>
  <c r="W190" i="11"/>
  <c r="W191" i="11"/>
  <c r="W192" i="11"/>
  <c r="W193" i="11"/>
  <c r="W194" i="11"/>
  <c r="W195" i="11"/>
  <c r="W196" i="11"/>
  <c r="W197" i="11"/>
  <c r="W198" i="11"/>
  <c r="W199" i="11"/>
  <c r="W200" i="11"/>
  <c r="W201" i="11"/>
  <c r="W202" i="11"/>
  <c r="W203" i="11"/>
  <c r="W204" i="11"/>
  <c r="W205" i="11"/>
  <c r="W206" i="11"/>
  <c r="W207" i="11"/>
  <c r="W208" i="11"/>
  <c r="W209" i="11"/>
  <c r="W210" i="11"/>
  <c r="W211" i="11"/>
  <c r="W212" i="11"/>
  <c r="W213" i="11"/>
  <c r="W214" i="11"/>
  <c r="W215" i="11"/>
  <c r="W216" i="11"/>
  <c r="W217" i="11"/>
  <c r="W218" i="11"/>
  <c r="W219" i="11"/>
  <c r="W220" i="11"/>
  <c r="W221" i="11"/>
  <c r="W222" i="11"/>
  <c r="W223" i="11"/>
  <c r="W224" i="11"/>
  <c r="W225" i="11"/>
  <c r="W226" i="11"/>
  <c r="W227" i="11"/>
  <c r="W228" i="11"/>
  <c r="W229" i="11"/>
  <c r="W230" i="11"/>
  <c r="W231" i="11"/>
  <c r="W232" i="11"/>
  <c r="W233" i="11"/>
  <c r="W234" i="11"/>
  <c r="W235" i="11"/>
  <c r="W236" i="11"/>
  <c r="W237" i="11"/>
  <c r="W238" i="11"/>
  <c r="W239" i="11"/>
  <c r="W240" i="11"/>
  <c r="W241" i="11"/>
  <c r="W242" i="11"/>
  <c r="W243" i="11"/>
  <c r="W244" i="11"/>
  <c r="W245" i="11"/>
  <c r="W246" i="11"/>
  <c r="W247" i="11"/>
  <c r="W248" i="11"/>
  <c r="W249" i="11"/>
  <c r="W250" i="11"/>
  <c r="W251" i="11"/>
  <c r="W252" i="11"/>
  <c r="W253" i="11"/>
  <c r="W254" i="11"/>
  <c r="W255" i="11"/>
  <c r="W256" i="11"/>
  <c r="W257" i="11"/>
  <c r="W258" i="11"/>
  <c r="AC12" i="68"/>
  <c r="AC13" i="68"/>
  <c r="AC14" i="68"/>
  <c r="AC15" i="68"/>
  <c r="AC16" i="68"/>
  <c r="AC17" i="68"/>
  <c r="AC18" i="68"/>
  <c r="AC19" i="68"/>
  <c r="AC20" i="68"/>
  <c r="AC21" i="68"/>
  <c r="AC22" i="68"/>
  <c r="AC23" i="68"/>
  <c r="AC24" i="68"/>
  <c r="AC25" i="68"/>
  <c r="AC26" i="68"/>
  <c r="AC27" i="68"/>
  <c r="AC28" i="68"/>
  <c r="AC29" i="68"/>
  <c r="AC30" i="68"/>
  <c r="AC31" i="68"/>
  <c r="AC32" i="68"/>
  <c r="AC33" i="68"/>
  <c r="AC34" i="68"/>
  <c r="AC35" i="68"/>
  <c r="AC36" i="68"/>
  <c r="AC37" i="68"/>
  <c r="AC38" i="68"/>
  <c r="AC39" i="68"/>
  <c r="AC40" i="68"/>
  <c r="AC41" i="68"/>
  <c r="AC42" i="68"/>
  <c r="AC43" i="68"/>
  <c r="AC44" i="68"/>
  <c r="AC45" i="68"/>
  <c r="AC46" i="68"/>
  <c r="AC47" i="68"/>
  <c r="AC48" i="68"/>
  <c r="AC49" i="68"/>
  <c r="AC50" i="68"/>
  <c r="AC51" i="68"/>
  <c r="AC52" i="68"/>
  <c r="AC53" i="68"/>
  <c r="AC54" i="68"/>
  <c r="AC55" i="68"/>
  <c r="AC56" i="68"/>
  <c r="AC57" i="68"/>
  <c r="AC58" i="68"/>
  <c r="AC59" i="68"/>
  <c r="AC60" i="68"/>
  <c r="AC61" i="68"/>
  <c r="AC62" i="68"/>
  <c r="AC63" i="68"/>
  <c r="AC64" i="68"/>
  <c r="AC65" i="68"/>
  <c r="AC66" i="68"/>
  <c r="AC67" i="68"/>
  <c r="AC68" i="68"/>
  <c r="AC69" i="68"/>
  <c r="AC70" i="68"/>
  <c r="AC71" i="68"/>
  <c r="AC72" i="68"/>
  <c r="AC73" i="68"/>
  <c r="AC74" i="68"/>
  <c r="AC75" i="68"/>
  <c r="AC76" i="68"/>
  <c r="AC77" i="68"/>
  <c r="AC78" i="68"/>
  <c r="AC79" i="68"/>
  <c r="AC80" i="68"/>
  <c r="AC81" i="68"/>
  <c r="AC82" i="68"/>
  <c r="AC83" i="68"/>
  <c r="AC84" i="68"/>
  <c r="AC85" i="68"/>
  <c r="AC86" i="68"/>
  <c r="AC87" i="68"/>
  <c r="AC88" i="68"/>
  <c r="AC89" i="68"/>
  <c r="AC90" i="68"/>
  <c r="AC91" i="68"/>
  <c r="AC92" i="68"/>
  <c r="AC93" i="68"/>
  <c r="AC94" i="68"/>
  <c r="AC95" i="68"/>
  <c r="AC96" i="68"/>
  <c r="AC97" i="68"/>
  <c r="AC98" i="68"/>
  <c r="AC99" i="68"/>
  <c r="AC100" i="68"/>
  <c r="AC101" i="68"/>
  <c r="AC102" i="68"/>
  <c r="AC103" i="68"/>
  <c r="AC104" i="68"/>
  <c r="AC105" i="68"/>
  <c r="AC106" i="68"/>
  <c r="AC107" i="68"/>
  <c r="AC108" i="68"/>
  <c r="AC109" i="68"/>
  <c r="AC110" i="68"/>
  <c r="AC111" i="68"/>
  <c r="AC112" i="68"/>
  <c r="AC113" i="68"/>
  <c r="AC114" i="68"/>
  <c r="AC115" i="68"/>
  <c r="AC116" i="68"/>
  <c r="AC117" i="68"/>
  <c r="AC118" i="68"/>
  <c r="AC119" i="68"/>
  <c r="AC120" i="68"/>
  <c r="AC121" i="68"/>
  <c r="AC122" i="68"/>
  <c r="AC123" i="68"/>
  <c r="AC124" i="68"/>
  <c r="AC125" i="68"/>
  <c r="AC126" i="68"/>
  <c r="AC127" i="68"/>
  <c r="AC128" i="68"/>
  <c r="AC129" i="68"/>
  <c r="AC130" i="68"/>
  <c r="AC131" i="68"/>
  <c r="AC132" i="68"/>
  <c r="AC133" i="68"/>
  <c r="AC134" i="68"/>
  <c r="AC135" i="68"/>
  <c r="AC136" i="68"/>
  <c r="AC137" i="68"/>
  <c r="AC138" i="68"/>
  <c r="AC139" i="68"/>
  <c r="AC140" i="68"/>
  <c r="AC141" i="68"/>
  <c r="AC142" i="68"/>
  <c r="AC143" i="68"/>
  <c r="AC144" i="68"/>
  <c r="AC145" i="68"/>
  <c r="AC146" i="68"/>
  <c r="AC147" i="68"/>
  <c r="AC148" i="68"/>
  <c r="AC149" i="68"/>
  <c r="AC150" i="68"/>
  <c r="AC151" i="68"/>
  <c r="AC152" i="68"/>
  <c r="AC153" i="68"/>
  <c r="AC154" i="68"/>
  <c r="AC155" i="68"/>
  <c r="AC156" i="68"/>
  <c r="AC157" i="68"/>
  <c r="AC158" i="68"/>
  <c r="AC159" i="68"/>
  <c r="AC160" i="68"/>
  <c r="AC161" i="68"/>
  <c r="AC162" i="68"/>
  <c r="AC163" i="68"/>
  <c r="AC164" i="68"/>
  <c r="AC165" i="68"/>
  <c r="AC166" i="68"/>
  <c r="AC167" i="68"/>
  <c r="AC168" i="68"/>
  <c r="AC169" i="68"/>
  <c r="AC170" i="68"/>
  <c r="AC171" i="68"/>
  <c r="AC172" i="68"/>
  <c r="AC173" i="68"/>
  <c r="AC174" i="68"/>
  <c r="AC175" i="68"/>
  <c r="AC176" i="68"/>
  <c r="AC177" i="68"/>
  <c r="AC178" i="68"/>
  <c r="AC179" i="68"/>
  <c r="AC180" i="68"/>
  <c r="AC181" i="68"/>
  <c r="AC182" i="68"/>
  <c r="AC183" i="68"/>
  <c r="AC184" i="68"/>
  <c r="AC185" i="68"/>
  <c r="AC186" i="68"/>
  <c r="AC187" i="68"/>
  <c r="AC188" i="68"/>
  <c r="AC189" i="68"/>
  <c r="AC190" i="68"/>
  <c r="AC191" i="68"/>
  <c r="AC192" i="68"/>
  <c r="AC193" i="68"/>
  <c r="AC194" i="68"/>
  <c r="AC195" i="68"/>
  <c r="AC196" i="68"/>
  <c r="AC197" i="68"/>
  <c r="AC198" i="68"/>
  <c r="AC199" i="68"/>
  <c r="AC200" i="68"/>
  <c r="AC201" i="68"/>
  <c r="AC202" i="68"/>
  <c r="AC203" i="68"/>
  <c r="AC204" i="68"/>
  <c r="AC205" i="68"/>
  <c r="AC206" i="68"/>
  <c r="AC207" i="68"/>
  <c r="AC208" i="68"/>
  <c r="AC209" i="68"/>
  <c r="AC210" i="68"/>
  <c r="AC211" i="68"/>
  <c r="AC212" i="68"/>
  <c r="AC213" i="68"/>
  <c r="AC214" i="68"/>
  <c r="AC215" i="68"/>
  <c r="AC216" i="68"/>
  <c r="AC217" i="68"/>
  <c r="AC218" i="68"/>
  <c r="AC219" i="68"/>
  <c r="AC220" i="68"/>
  <c r="AC221" i="68"/>
  <c r="AC222" i="68"/>
  <c r="AC223" i="68"/>
  <c r="AC224" i="68"/>
  <c r="AC225" i="68"/>
  <c r="AC226" i="68"/>
  <c r="AC227" i="68"/>
  <c r="AC228" i="68"/>
  <c r="AC229" i="68"/>
  <c r="AC230" i="68"/>
  <c r="AC231" i="68"/>
  <c r="AC232" i="68"/>
  <c r="AC233" i="68"/>
  <c r="AC234" i="68"/>
  <c r="AC235" i="68"/>
  <c r="AC236" i="68"/>
  <c r="AC237" i="68"/>
  <c r="AC238" i="68"/>
  <c r="AC239" i="68"/>
  <c r="AC240" i="68"/>
  <c r="AC241" i="68"/>
  <c r="AC242" i="68"/>
  <c r="AC243" i="68"/>
  <c r="AC244" i="68"/>
  <c r="AC245" i="68"/>
  <c r="AC246" i="68"/>
  <c r="AC247" i="68"/>
  <c r="AC248" i="68"/>
  <c r="AC249" i="68"/>
  <c r="AC250" i="68"/>
  <c r="AC251" i="68"/>
  <c r="AC252" i="68"/>
  <c r="AC253" i="68"/>
  <c r="AC254" i="68"/>
  <c r="AC255" i="68"/>
  <c r="AC256" i="68"/>
  <c r="AC257" i="68"/>
  <c r="AC258" i="68"/>
  <c r="AC259" i="68"/>
  <c r="Z13" i="58"/>
  <c r="Z14" i="58"/>
  <c r="Z15" i="58"/>
  <c r="Z16" i="58"/>
  <c r="Z17" i="58"/>
  <c r="Z18" i="58"/>
  <c r="Z19" i="58"/>
  <c r="Z20" i="58"/>
  <c r="Z21" i="58"/>
  <c r="Z22" i="58"/>
  <c r="Z23" i="58"/>
  <c r="Z24" i="58"/>
  <c r="Z25" i="58"/>
  <c r="Z26" i="58"/>
  <c r="Z27" i="58"/>
  <c r="Z28" i="58"/>
  <c r="Z29" i="58"/>
  <c r="Z30" i="58"/>
  <c r="Z31" i="58"/>
  <c r="Z32" i="58"/>
  <c r="Z33" i="58"/>
  <c r="Z34" i="58"/>
  <c r="Z35" i="58"/>
  <c r="Z36" i="58"/>
  <c r="Z37" i="58"/>
  <c r="Z38" i="58"/>
  <c r="Z39" i="58"/>
  <c r="Z40" i="58"/>
  <c r="Z41" i="58"/>
  <c r="Z42" i="58"/>
  <c r="Z43" i="58"/>
  <c r="Z44" i="58"/>
  <c r="Z45" i="58"/>
  <c r="Z46" i="58"/>
  <c r="Z47" i="58"/>
  <c r="Z48" i="58"/>
  <c r="Z49" i="58"/>
  <c r="Z50" i="58"/>
  <c r="Z51" i="58"/>
  <c r="Z52" i="58"/>
  <c r="Z53" i="58"/>
  <c r="Z54" i="58"/>
  <c r="Z55" i="58"/>
  <c r="Z56" i="58"/>
  <c r="Z57" i="58"/>
  <c r="Z58" i="58"/>
  <c r="Z59" i="58"/>
  <c r="Z60" i="58"/>
  <c r="Z61" i="58"/>
  <c r="Z62" i="58"/>
  <c r="Z63" i="58"/>
  <c r="Z64" i="58"/>
  <c r="Z65" i="58"/>
  <c r="Z66" i="58"/>
  <c r="Z67" i="58"/>
  <c r="Z68" i="58"/>
  <c r="Z69" i="58"/>
  <c r="Z70" i="58"/>
  <c r="Z71" i="58"/>
  <c r="Z72" i="58"/>
  <c r="Z73" i="58"/>
  <c r="Z74" i="58"/>
  <c r="Z75" i="58"/>
  <c r="Z76" i="58"/>
  <c r="Z77" i="58"/>
  <c r="Z78" i="58"/>
  <c r="Z79" i="58"/>
  <c r="Z80" i="58"/>
  <c r="Z81" i="58"/>
  <c r="Z82" i="58"/>
  <c r="Z83" i="58"/>
  <c r="Z84" i="58"/>
  <c r="Z85" i="58"/>
  <c r="Z86" i="58"/>
  <c r="Z87" i="58"/>
  <c r="Z88" i="58"/>
  <c r="Z89" i="58"/>
  <c r="Z90" i="58"/>
  <c r="Z91" i="58"/>
  <c r="Z92" i="58"/>
  <c r="Z93" i="58"/>
  <c r="Z94" i="58"/>
  <c r="Z95" i="58"/>
  <c r="Z96" i="58"/>
  <c r="Z97" i="58"/>
  <c r="Z98" i="58"/>
  <c r="Z99" i="58"/>
  <c r="Z100" i="58"/>
  <c r="Z101" i="58"/>
  <c r="Z102" i="58"/>
  <c r="Z103" i="58"/>
  <c r="Z104" i="58"/>
  <c r="Z105" i="58"/>
  <c r="Z106" i="58"/>
  <c r="Z107" i="58"/>
  <c r="Z108" i="58"/>
  <c r="Z109" i="58"/>
  <c r="Z110" i="58"/>
  <c r="Z111" i="58"/>
  <c r="Z112" i="58"/>
  <c r="Z113" i="58"/>
  <c r="Z114" i="58"/>
  <c r="Z115" i="58"/>
  <c r="Z116" i="58"/>
  <c r="Z117" i="58"/>
  <c r="Z118" i="58"/>
  <c r="Z119" i="58"/>
  <c r="Z120" i="58"/>
  <c r="Z121" i="58"/>
  <c r="Z122" i="58"/>
  <c r="Z123" i="58"/>
  <c r="Z124" i="58"/>
  <c r="Z125" i="58"/>
  <c r="Z126" i="58"/>
  <c r="Z127" i="58"/>
  <c r="Z128" i="58"/>
  <c r="Z129" i="58"/>
  <c r="Z130" i="58"/>
  <c r="Z131" i="58"/>
  <c r="Z132" i="58"/>
  <c r="Z133" i="58"/>
  <c r="Z134" i="58"/>
  <c r="Z135" i="58"/>
  <c r="Z136" i="58"/>
  <c r="Z137" i="58"/>
  <c r="Z138" i="58"/>
  <c r="Z139" i="58"/>
  <c r="Z140" i="58"/>
  <c r="Z141" i="58"/>
  <c r="Z142" i="58"/>
  <c r="Z143" i="58"/>
  <c r="Z144" i="58"/>
  <c r="Z145" i="58"/>
  <c r="Z146" i="58"/>
  <c r="Z147" i="58"/>
  <c r="Z148" i="58"/>
  <c r="Z149" i="58"/>
  <c r="Z150" i="58"/>
  <c r="Z151" i="58"/>
  <c r="Z152" i="58"/>
  <c r="Z153" i="58"/>
  <c r="Z154" i="58"/>
  <c r="Z155" i="58"/>
  <c r="Z156" i="58"/>
  <c r="Z157" i="58"/>
  <c r="Z158" i="58"/>
  <c r="Z159" i="58"/>
  <c r="Z160" i="58"/>
  <c r="Z161" i="58"/>
  <c r="Z162" i="58"/>
  <c r="Z163" i="58"/>
  <c r="Z164" i="58"/>
  <c r="Z165" i="58"/>
  <c r="Z166" i="58"/>
  <c r="Z167" i="58"/>
  <c r="Z168" i="58"/>
  <c r="Z169" i="58"/>
  <c r="Z170" i="58"/>
  <c r="Z171" i="58"/>
  <c r="Z172" i="58"/>
  <c r="Z173" i="58"/>
  <c r="Z174" i="58"/>
  <c r="Z175" i="58"/>
  <c r="Z176" i="58"/>
  <c r="Z177" i="58"/>
  <c r="Z178" i="58"/>
  <c r="Z179" i="58"/>
  <c r="Z180" i="58"/>
  <c r="Z181" i="58"/>
  <c r="Z182" i="58"/>
  <c r="Z183" i="58"/>
  <c r="Z184" i="58"/>
  <c r="Z185" i="58"/>
  <c r="Z186" i="58"/>
  <c r="Z187" i="58"/>
  <c r="Z188" i="58"/>
  <c r="Z189" i="58"/>
  <c r="Z190" i="58"/>
  <c r="Z191" i="58"/>
  <c r="Z192" i="58"/>
  <c r="Z193" i="58"/>
  <c r="Z194" i="58"/>
  <c r="Z195" i="58"/>
  <c r="Z196" i="58"/>
  <c r="Z197" i="58"/>
  <c r="Z198" i="58"/>
  <c r="Z199" i="58"/>
  <c r="Z200" i="58"/>
  <c r="Z201" i="58"/>
  <c r="Z202" i="58"/>
  <c r="Z203" i="58"/>
  <c r="Z204" i="58"/>
  <c r="Z205" i="58"/>
  <c r="Z206" i="58"/>
  <c r="Z207" i="58"/>
  <c r="Z208" i="58"/>
  <c r="Z209" i="58"/>
  <c r="Z210" i="58"/>
  <c r="Z211" i="58"/>
  <c r="Z212" i="58"/>
  <c r="Z213" i="58"/>
  <c r="Z214" i="58"/>
  <c r="Z215" i="58"/>
  <c r="Z216" i="58"/>
  <c r="Z217" i="58"/>
  <c r="Z218" i="58"/>
  <c r="Z219" i="58"/>
  <c r="Z220" i="58"/>
  <c r="Z221" i="58"/>
  <c r="Z222" i="58"/>
  <c r="Z223" i="58"/>
  <c r="Z224" i="58"/>
  <c r="Z225" i="58"/>
  <c r="Z226" i="58"/>
  <c r="Z227" i="58"/>
  <c r="Z228" i="58"/>
  <c r="Z229" i="58"/>
  <c r="Z230" i="58"/>
  <c r="Z231" i="58"/>
  <c r="Z232" i="58"/>
  <c r="Z233" i="58"/>
  <c r="Z234" i="58"/>
  <c r="Z235" i="58"/>
  <c r="Z236" i="58"/>
  <c r="Z237" i="58"/>
  <c r="Z238" i="58"/>
  <c r="Z239" i="58"/>
  <c r="Z240" i="58"/>
  <c r="Z241" i="58"/>
  <c r="Z242" i="58"/>
  <c r="Z243" i="58"/>
  <c r="Z244" i="58"/>
  <c r="Z245" i="58"/>
  <c r="Z246" i="58"/>
  <c r="Z247" i="58"/>
  <c r="Z248" i="58"/>
  <c r="Z249" i="58"/>
  <c r="Z250" i="58"/>
  <c r="Z251" i="58"/>
  <c r="Z252" i="58"/>
  <c r="Z253" i="58"/>
  <c r="Z254" i="58"/>
  <c r="Z255" i="58"/>
  <c r="Z256" i="58"/>
  <c r="Z257" i="58"/>
  <c r="Z258" i="58"/>
  <c r="Z259" i="58"/>
  <c r="Z12" i="58"/>
  <c r="Q11" i="55"/>
  <c r="Q12" i="55"/>
  <c r="Q13" i="55"/>
  <c r="Q14" i="55"/>
  <c r="Q15" i="55"/>
  <c r="Q16" i="55"/>
  <c r="Q17" i="55"/>
  <c r="Q18" i="55"/>
  <c r="Q19" i="55"/>
  <c r="Q20" i="55"/>
  <c r="Q21" i="55"/>
  <c r="Q22" i="55"/>
  <c r="Q23" i="55"/>
  <c r="Q24" i="55"/>
  <c r="Q25" i="55"/>
  <c r="Q26" i="55"/>
  <c r="Q27" i="55"/>
  <c r="Q28" i="55"/>
  <c r="Q29" i="55"/>
  <c r="Q30" i="55"/>
  <c r="Q31" i="55"/>
  <c r="Q32" i="55"/>
  <c r="Q33" i="55"/>
  <c r="Q34" i="55"/>
  <c r="Q35" i="55"/>
  <c r="Q36" i="55"/>
  <c r="Q37" i="55"/>
  <c r="Q38" i="55"/>
  <c r="Q39" i="55"/>
  <c r="Q40" i="55"/>
  <c r="Q41" i="55"/>
  <c r="Q42" i="55"/>
  <c r="Q43" i="55"/>
  <c r="Q44" i="55"/>
  <c r="Q45" i="55"/>
  <c r="Q46" i="55"/>
  <c r="Q47" i="55"/>
  <c r="Q48" i="55"/>
  <c r="Q49" i="55"/>
  <c r="Q50" i="55"/>
  <c r="Q51" i="55"/>
  <c r="Q52" i="55"/>
  <c r="Q53" i="55"/>
  <c r="Q54" i="55"/>
  <c r="Q55" i="55"/>
  <c r="Q56" i="55"/>
  <c r="Q57" i="55"/>
  <c r="Q58" i="55"/>
  <c r="Q59" i="55"/>
  <c r="Q60" i="55"/>
  <c r="Q61" i="55"/>
  <c r="Q62" i="55"/>
  <c r="Q63" i="55"/>
  <c r="Q64" i="55"/>
  <c r="Q65" i="55"/>
  <c r="Q66" i="55"/>
  <c r="Q67" i="55"/>
  <c r="Q68" i="55"/>
  <c r="Q69" i="55"/>
  <c r="Q70" i="55"/>
  <c r="Q71" i="55"/>
  <c r="Q72" i="55"/>
  <c r="Q73" i="55"/>
  <c r="Q74" i="55"/>
  <c r="Q75" i="55"/>
  <c r="Q76" i="55"/>
  <c r="Q77" i="55"/>
  <c r="Q78" i="55"/>
  <c r="Q79" i="55"/>
  <c r="Q80" i="55"/>
  <c r="Q81" i="55"/>
  <c r="Q82" i="55"/>
  <c r="Q83" i="55"/>
  <c r="Q84" i="55"/>
  <c r="Q85" i="55"/>
  <c r="Q86" i="55"/>
  <c r="Q87" i="55"/>
  <c r="Q88" i="55"/>
  <c r="Q89" i="55"/>
  <c r="Q90" i="55"/>
  <c r="Q91" i="55"/>
  <c r="Q92" i="55"/>
  <c r="Q93" i="55"/>
  <c r="Q94" i="55"/>
  <c r="Q95" i="55"/>
  <c r="Q96" i="55"/>
  <c r="Q97" i="55"/>
  <c r="Q98" i="55"/>
  <c r="Q99" i="55"/>
  <c r="Q100" i="55"/>
  <c r="Q101" i="55"/>
  <c r="Q102" i="55"/>
  <c r="Q103" i="55"/>
  <c r="Q104" i="55"/>
  <c r="Q105" i="55"/>
  <c r="Q106" i="55"/>
  <c r="Q107" i="55"/>
  <c r="Q108" i="55"/>
  <c r="Q109" i="55"/>
  <c r="Q110" i="55"/>
  <c r="Q111" i="55"/>
  <c r="Q112" i="55"/>
  <c r="Q113" i="55"/>
  <c r="Q114" i="55"/>
  <c r="Q115" i="55"/>
  <c r="Q116" i="55"/>
  <c r="Q117" i="55"/>
  <c r="Q118" i="55"/>
  <c r="Q119" i="55"/>
  <c r="Q120" i="55"/>
  <c r="Q121" i="55"/>
  <c r="Q122" i="55"/>
  <c r="Q123" i="55"/>
  <c r="Q124" i="55"/>
  <c r="Q125" i="55"/>
  <c r="Q126" i="55"/>
  <c r="Q127" i="55"/>
  <c r="Q128" i="55"/>
  <c r="Q129" i="55"/>
  <c r="Q130" i="55"/>
  <c r="Q131" i="55"/>
  <c r="Q132" i="55"/>
  <c r="Q133" i="55"/>
  <c r="Q134" i="55"/>
  <c r="Q135" i="55"/>
  <c r="Q136" i="55"/>
  <c r="Q137" i="55"/>
  <c r="Q138" i="55"/>
  <c r="Q139" i="55"/>
  <c r="Q140" i="55"/>
  <c r="Q141" i="55"/>
  <c r="Q142" i="55"/>
  <c r="Q143" i="55"/>
  <c r="Q144" i="55"/>
  <c r="Q145" i="55"/>
  <c r="Q146" i="55"/>
  <c r="Q147" i="55"/>
  <c r="Q148" i="55"/>
  <c r="Q149" i="55"/>
  <c r="Q150" i="55"/>
  <c r="Q151" i="55"/>
  <c r="Q152" i="55"/>
  <c r="Q153" i="55"/>
  <c r="Q154" i="55"/>
  <c r="Q155" i="55"/>
  <c r="Q156" i="55"/>
  <c r="Q157" i="55"/>
  <c r="Q158" i="55"/>
  <c r="Q159" i="55"/>
  <c r="Q160" i="55"/>
  <c r="Q161" i="55"/>
  <c r="Q162" i="55"/>
  <c r="Q163" i="55"/>
  <c r="Q164" i="55"/>
  <c r="Q165" i="55"/>
  <c r="Q166" i="55"/>
  <c r="Q167" i="55"/>
  <c r="Q168" i="55"/>
  <c r="Q169" i="55"/>
  <c r="Q170" i="55"/>
  <c r="Q171" i="55"/>
  <c r="Q172" i="55"/>
  <c r="Q173" i="55"/>
  <c r="Q174" i="55"/>
  <c r="Q175" i="55"/>
  <c r="Q176" i="55"/>
  <c r="Q177" i="55"/>
  <c r="Q178" i="55"/>
  <c r="Q179" i="55"/>
  <c r="Q180" i="55"/>
  <c r="Q181" i="55"/>
  <c r="Q182" i="55"/>
  <c r="Q183" i="55"/>
  <c r="Q184" i="55"/>
  <c r="Q185" i="55"/>
  <c r="Q186" i="55"/>
  <c r="Q187" i="55"/>
  <c r="Q188" i="55"/>
  <c r="Q189" i="55"/>
  <c r="Q190" i="55"/>
  <c r="Q191" i="55"/>
  <c r="Q192" i="55"/>
  <c r="Q193" i="55"/>
  <c r="Q194" i="55"/>
  <c r="Q195" i="55"/>
  <c r="Q196" i="55"/>
  <c r="Q197" i="55"/>
  <c r="Q198" i="55"/>
  <c r="Q199" i="55"/>
  <c r="Q200" i="55"/>
  <c r="Q201" i="55"/>
  <c r="Q202" i="55"/>
  <c r="Q203" i="55"/>
  <c r="Q204" i="55"/>
  <c r="Q205" i="55"/>
  <c r="Q206" i="55"/>
  <c r="Q207" i="55"/>
  <c r="Q208" i="55"/>
  <c r="Q209" i="55"/>
  <c r="Q210" i="55"/>
  <c r="Q211" i="55"/>
  <c r="Q212" i="55"/>
  <c r="Q213" i="55"/>
  <c r="Q214" i="55"/>
  <c r="Q215" i="55"/>
  <c r="Q216" i="55"/>
  <c r="Q217" i="55"/>
  <c r="Q218" i="55"/>
  <c r="Q219" i="55"/>
  <c r="Q220" i="55"/>
  <c r="Q221" i="55"/>
  <c r="Q222" i="55"/>
  <c r="Q223" i="55"/>
  <c r="Q224" i="55"/>
  <c r="Q225" i="55"/>
  <c r="Q226" i="55"/>
  <c r="Q227" i="55"/>
  <c r="Q228" i="55"/>
  <c r="Q229" i="55"/>
  <c r="Q230" i="55"/>
  <c r="Q231" i="55"/>
  <c r="Q232" i="55"/>
  <c r="Q233" i="55"/>
  <c r="Q234" i="55"/>
  <c r="Q235" i="55"/>
  <c r="Q236" i="55"/>
  <c r="Q237" i="55"/>
  <c r="Q238" i="55"/>
  <c r="Q239" i="55"/>
  <c r="Q240" i="55"/>
  <c r="Q241" i="55"/>
  <c r="Q242" i="55"/>
  <c r="Q243" i="55"/>
  <c r="Q244" i="55"/>
  <c r="Q245" i="55"/>
  <c r="Q246" i="55"/>
  <c r="Q247" i="55"/>
  <c r="Q248" i="55"/>
  <c r="Q249" i="55"/>
  <c r="Q250" i="55"/>
  <c r="Q251" i="55"/>
  <c r="Q252" i="55"/>
  <c r="Q253" i="55"/>
  <c r="Q254" i="55"/>
  <c r="Q255" i="55"/>
  <c r="Q256" i="55"/>
  <c r="Q257" i="55"/>
  <c r="AQ13" i="50"/>
  <c r="AQ14" i="50"/>
  <c r="AQ15" i="50"/>
  <c r="AQ16" i="50"/>
  <c r="AQ17" i="50"/>
  <c r="AQ18" i="50"/>
  <c r="AQ19" i="50"/>
  <c r="AQ20" i="50"/>
  <c r="AQ21" i="50"/>
  <c r="AQ22" i="50"/>
  <c r="AQ23" i="50"/>
  <c r="AQ24" i="50"/>
  <c r="AQ25" i="50"/>
  <c r="AQ26" i="50"/>
  <c r="AQ27" i="50"/>
  <c r="AQ28" i="50"/>
  <c r="AQ29" i="50"/>
  <c r="AQ30" i="50"/>
  <c r="AQ31" i="50"/>
  <c r="AQ32" i="50"/>
  <c r="AQ33" i="50"/>
  <c r="AQ34" i="50"/>
  <c r="AQ35" i="50"/>
  <c r="AQ36" i="50"/>
  <c r="AQ37" i="50"/>
  <c r="AQ38" i="50"/>
  <c r="AQ39" i="50"/>
  <c r="AQ40" i="50"/>
  <c r="AQ41" i="50"/>
  <c r="AQ42" i="50"/>
  <c r="AQ43" i="50"/>
  <c r="AQ44" i="50"/>
  <c r="AQ45" i="50"/>
  <c r="AQ46" i="50"/>
  <c r="AQ47" i="50"/>
  <c r="AQ48" i="50"/>
  <c r="AQ49" i="50"/>
  <c r="AQ50" i="50"/>
  <c r="AQ51" i="50"/>
  <c r="AQ52" i="50"/>
  <c r="AQ53" i="50"/>
  <c r="AQ54" i="50"/>
  <c r="AQ55" i="50"/>
  <c r="AQ56" i="50"/>
  <c r="AQ57" i="50"/>
  <c r="AQ58" i="50"/>
  <c r="AQ59" i="50"/>
  <c r="AQ60" i="50"/>
  <c r="AQ61" i="50"/>
  <c r="AQ62" i="50"/>
  <c r="AQ63" i="50"/>
  <c r="AQ64" i="50"/>
  <c r="AQ65" i="50"/>
  <c r="AQ66" i="50"/>
  <c r="AQ67" i="50"/>
  <c r="AQ68" i="50"/>
  <c r="AQ69" i="50"/>
  <c r="AQ70" i="50"/>
  <c r="AQ71" i="50"/>
  <c r="AQ72" i="50"/>
  <c r="AQ73" i="50"/>
  <c r="AQ74" i="50"/>
  <c r="AQ75" i="50"/>
  <c r="AQ76" i="50"/>
  <c r="AQ77" i="50"/>
  <c r="AQ78" i="50"/>
  <c r="AQ79" i="50"/>
  <c r="AQ80" i="50"/>
  <c r="AQ81" i="50"/>
  <c r="AQ82" i="50"/>
  <c r="AQ83" i="50"/>
  <c r="AQ84" i="50"/>
  <c r="AQ85" i="50"/>
  <c r="AQ86" i="50"/>
  <c r="AQ87" i="50"/>
  <c r="AQ88" i="50"/>
  <c r="AQ89" i="50"/>
  <c r="AQ90" i="50"/>
  <c r="AQ91" i="50"/>
  <c r="AQ92" i="50"/>
  <c r="AQ93" i="50"/>
  <c r="AQ94" i="50"/>
  <c r="AQ95" i="50"/>
  <c r="AQ96" i="50"/>
  <c r="AQ97" i="50"/>
  <c r="AQ98" i="50"/>
  <c r="AQ99" i="50"/>
  <c r="AQ100" i="50"/>
  <c r="AQ101" i="50"/>
  <c r="AQ102" i="50"/>
  <c r="AQ103" i="50"/>
  <c r="AQ104" i="50"/>
  <c r="AQ105" i="50"/>
  <c r="AQ106" i="50"/>
  <c r="AQ107" i="50"/>
  <c r="AQ108" i="50"/>
  <c r="AQ109" i="50"/>
  <c r="AQ110" i="50"/>
  <c r="AQ111" i="50"/>
  <c r="AQ112" i="50"/>
  <c r="AQ113" i="50"/>
  <c r="AQ114" i="50"/>
  <c r="AQ115" i="50"/>
  <c r="AQ116" i="50"/>
  <c r="AQ117" i="50"/>
  <c r="AQ118" i="50"/>
  <c r="AQ119" i="50"/>
  <c r="AQ120" i="50"/>
  <c r="AQ121" i="50"/>
  <c r="AQ122" i="50"/>
  <c r="AQ123" i="50"/>
  <c r="AQ124" i="50"/>
  <c r="AQ125" i="50"/>
  <c r="AQ126" i="50"/>
  <c r="AQ127" i="50"/>
  <c r="AQ128" i="50"/>
  <c r="AQ129" i="50"/>
  <c r="AQ130" i="50"/>
  <c r="AQ131" i="50"/>
  <c r="AQ132" i="50"/>
  <c r="AQ133" i="50"/>
  <c r="AQ134" i="50"/>
  <c r="AQ135" i="50"/>
  <c r="AQ136" i="50"/>
  <c r="AQ137" i="50"/>
  <c r="AQ138" i="50"/>
  <c r="AQ139" i="50"/>
  <c r="AQ140" i="50"/>
  <c r="AQ141" i="50"/>
  <c r="AQ142" i="50"/>
  <c r="AQ143" i="50"/>
  <c r="AQ144" i="50"/>
  <c r="AQ145" i="50"/>
  <c r="AQ146" i="50"/>
  <c r="AQ147" i="50"/>
  <c r="AQ148" i="50"/>
  <c r="AQ149" i="50"/>
  <c r="AQ150" i="50"/>
  <c r="AQ151" i="50"/>
  <c r="AQ152" i="50"/>
  <c r="AQ153" i="50"/>
  <c r="AQ154" i="50"/>
  <c r="AQ155" i="50"/>
  <c r="AQ156" i="50"/>
  <c r="AQ157" i="50"/>
  <c r="AQ158" i="50"/>
  <c r="AQ159" i="50"/>
  <c r="AQ160" i="50"/>
  <c r="AQ161" i="50"/>
  <c r="AQ162" i="50"/>
  <c r="AQ163" i="50"/>
  <c r="AQ164" i="50"/>
  <c r="AQ165" i="50"/>
  <c r="AQ166" i="50"/>
  <c r="AQ167" i="50"/>
  <c r="AQ168" i="50"/>
  <c r="AQ169" i="50"/>
  <c r="AQ170" i="50"/>
  <c r="AQ171" i="50"/>
  <c r="AQ172" i="50"/>
  <c r="AQ173" i="50"/>
  <c r="AQ174" i="50"/>
  <c r="AQ175" i="50"/>
  <c r="AQ176" i="50"/>
  <c r="AQ177" i="50"/>
  <c r="AQ178" i="50"/>
  <c r="AQ179" i="50"/>
  <c r="AQ180" i="50"/>
  <c r="AQ181" i="50"/>
  <c r="AQ182" i="50"/>
  <c r="AQ183" i="50"/>
  <c r="AQ184" i="50"/>
  <c r="AQ185" i="50"/>
  <c r="AQ186" i="50"/>
  <c r="AQ187" i="50"/>
  <c r="AQ188" i="50"/>
  <c r="AQ189" i="50"/>
  <c r="AQ190" i="50"/>
  <c r="AQ191" i="50"/>
  <c r="AQ192" i="50"/>
  <c r="AQ193" i="50"/>
  <c r="AQ194" i="50"/>
  <c r="AQ195" i="50"/>
  <c r="AQ196" i="50"/>
  <c r="AQ197" i="50"/>
  <c r="AQ198" i="50"/>
  <c r="AQ199" i="50"/>
  <c r="AQ200" i="50"/>
  <c r="AQ201" i="50"/>
  <c r="AQ202" i="50"/>
  <c r="AQ203" i="50"/>
  <c r="AQ204" i="50"/>
  <c r="AQ205" i="50"/>
  <c r="AQ206" i="50"/>
  <c r="AQ207" i="50"/>
  <c r="AQ208" i="50"/>
  <c r="AQ209" i="50"/>
  <c r="AQ210" i="50"/>
  <c r="AQ211" i="50"/>
  <c r="AQ212" i="50"/>
  <c r="AQ213" i="50"/>
  <c r="AQ214" i="50"/>
  <c r="AQ215" i="50"/>
  <c r="AQ216" i="50"/>
  <c r="AQ217" i="50"/>
  <c r="AQ218" i="50"/>
  <c r="AQ219" i="50"/>
  <c r="AQ220" i="50"/>
  <c r="AQ221" i="50"/>
  <c r="AQ222" i="50"/>
  <c r="AQ223" i="50"/>
  <c r="AQ224" i="50"/>
  <c r="AQ225" i="50"/>
  <c r="AQ226" i="50"/>
  <c r="AQ227" i="50"/>
  <c r="AQ228" i="50"/>
  <c r="AQ229" i="50"/>
  <c r="AQ230" i="50"/>
  <c r="AQ231" i="50"/>
  <c r="AQ232" i="50"/>
  <c r="AQ233" i="50"/>
  <c r="AQ234" i="50"/>
  <c r="AQ235" i="50"/>
  <c r="AQ236" i="50"/>
  <c r="AQ237" i="50"/>
  <c r="AQ238" i="50"/>
  <c r="AQ239" i="50"/>
  <c r="AQ240" i="50"/>
  <c r="AQ241" i="50"/>
  <c r="AQ242" i="50"/>
  <c r="AQ243" i="50"/>
  <c r="AQ244" i="50"/>
  <c r="AQ245" i="50"/>
  <c r="AQ246" i="50"/>
  <c r="AQ247" i="50"/>
  <c r="AQ248" i="50"/>
  <c r="AQ249" i="50"/>
  <c r="AQ250" i="50"/>
  <c r="AQ251" i="50"/>
  <c r="AQ252" i="50"/>
  <c r="AQ253" i="50"/>
  <c r="AQ254" i="50"/>
  <c r="AQ255" i="50"/>
  <c r="AQ256" i="50"/>
  <c r="AQ257" i="50"/>
  <c r="AQ258" i="50"/>
  <c r="AB17" i="71"/>
  <c r="AB18" i="71"/>
  <c r="AB19" i="71"/>
  <c r="AB20" i="71"/>
  <c r="AB21" i="71"/>
  <c r="AB22" i="71"/>
  <c r="AB23" i="71"/>
  <c r="AB24" i="71"/>
  <c r="AB25" i="71"/>
  <c r="AB26" i="71"/>
  <c r="AB27" i="71"/>
  <c r="AB28" i="71"/>
  <c r="AB29" i="71"/>
  <c r="AB30" i="71"/>
  <c r="AB31" i="71"/>
  <c r="AB32" i="71"/>
  <c r="AB33" i="71"/>
  <c r="AB34" i="71"/>
  <c r="AB35" i="71"/>
  <c r="AB36" i="71"/>
  <c r="AB37" i="71"/>
  <c r="AB38" i="71"/>
  <c r="AB39" i="71"/>
  <c r="AB40" i="71"/>
  <c r="AB41" i="71"/>
  <c r="AB42" i="71"/>
  <c r="AB43" i="71"/>
  <c r="AB44" i="71"/>
  <c r="AB45" i="71"/>
  <c r="AB46" i="71"/>
  <c r="AB47" i="71"/>
  <c r="AB48" i="71"/>
  <c r="AB49" i="71"/>
  <c r="AB50" i="71"/>
  <c r="AB51" i="71"/>
  <c r="AB52" i="71"/>
  <c r="AB53" i="71"/>
  <c r="AB54" i="71"/>
  <c r="AB55" i="71"/>
  <c r="AB56" i="71"/>
  <c r="AB57" i="71"/>
  <c r="AB58" i="71"/>
  <c r="AB59" i="71"/>
  <c r="AB60" i="71"/>
  <c r="AB61" i="71"/>
  <c r="AB62" i="71"/>
  <c r="AB63" i="71"/>
  <c r="AB64" i="71"/>
  <c r="AB65" i="71"/>
  <c r="AB66" i="71"/>
  <c r="AB67" i="71"/>
  <c r="AB68" i="71"/>
  <c r="AB69" i="71"/>
  <c r="AB70" i="71"/>
  <c r="AB71" i="71"/>
  <c r="AB72" i="71"/>
  <c r="AB73" i="71"/>
  <c r="AB74" i="71"/>
  <c r="AB75" i="71"/>
  <c r="AB76" i="71"/>
  <c r="AB77" i="71"/>
  <c r="AB78" i="71"/>
  <c r="AB79" i="71"/>
  <c r="AB80" i="71"/>
  <c r="AB81" i="71"/>
  <c r="AB82" i="71"/>
  <c r="AB83" i="71"/>
  <c r="AB84" i="71"/>
  <c r="AB85" i="71"/>
  <c r="AB86" i="71"/>
  <c r="AB87" i="71"/>
  <c r="AB88" i="71"/>
  <c r="AB89" i="71"/>
  <c r="AB90" i="71"/>
  <c r="AB91" i="71"/>
  <c r="AB92" i="71"/>
  <c r="AB93" i="71"/>
  <c r="AB94" i="71"/>
  <c r="AB95" i="71"/>
  <c r="AB96" i="71"/>
  <c r="AB97" i="71"/>
  <c r="AB98" i="71"/>
  <c r="AB99" i="71"/>
  <c r="AB100" i="71"/>
  <c r="AB101" i="71"/>
  <c r="AB102" i="71"/>
  <c r="AB103" i="71"/>
  <c r="AB104" i="71"/>
  <c r="AB105" i="71"/>
  <c r="AB106" i="71"/>
  <c r="AB107" i="71"/>
  <c r="AB108" i="71"/>
  <c r="AB109" i="71"/>
  <c r="AB110" i="71"/>
  <c r="AB111" i="71"/>
  <c r="AB112" i="71"/>
  <c r="AB113" i="71"/>
  <c r="AB114" i="71"/>
  <c r="AB115" i="71"/>
  <c r="AB116" i="71"/>
  <c r="AB117" i="71"/>
  <c r="AB118" i="71"/>
  <c r="AB119" i="71"/>
  <c r="AB120" i="71"/>
  <c r="AB121" i="71"/>
  <c r="AB122" i="71"/>
  <c r="AB123" i="71"/>
  <c r="AB124" i="71"/>
  <c r="AB125" i="71"/>
  <c r="AB126" i="71"/>
  <c r="AB127" i="71"/>
  <c r="AB128" i="71"/>
  <c r="AB129" i="71"/>
  <c r="AB130" i="71"/>
  <c r="AB131" i="71"/>
  <c r="AB132" i="71"/>
  <c r="AB133" i="71"/>
  <c r="AB134" i="71"/>
  <c r="AB135" i="71"/>
  <c r="AB136" i="71"/>
  <c r="AB137" i="71"/>
  <c r="AB138" i="71"/>
  <c r="AB139" i="71"/>
  <c r="AB140" i="71"/>
  <c r="AB141" i="71"/>
  <c r="AB142" i="71"/>
  <c r="AB143" i="71"/>
  <c r="AB144" i="71"/>
  <c r="AB145" i="71"/>
  <c r="AB146" i="71"/>
  <c r="AB147" i="71"/>
  <c r="AB148" i="71"/>
  <c r="AB149" i="71"/>
  <c r="AB150" i="71"/>
  <c r="AB151" i="71"/>
  <c r="AB152" i="71"/>
  <c r="AB153" i="71"/>
  <c r="AB154" i="71"/>
  <c r="AB155" i="71"/>
  <c r="AB156" i="71"/>
  <c r="AB157" i="71"/>
  <c r="AB158" i="71"/>
  <c r="AB159" i="71"/>
  <c r="AB160" i="71"/>
  <c r="AB161" i="71"/>
  <c r="AB162" i="71"/>
  <c r="AB163" i="71"/>
  <c r="AB164" i="71"/>
  <c r="AB165" i="71"/>
  <c r="AB166" i="71"/>
  <c r="AB167" i="71"/>
  <c r="AB168" i="71"/>
  <c r="AB169" i="71"/>
  <c r="AB170" i="71"/>
  <c r="AB171" i="71"/>
  <c r="AB172" i="71"/>
  <c r="AB173" i="71"/>
  <c r="AB174" i="71"/>
  <c r="AB175" i="71"/>
  <c r="AB176" i="71"/>
  <c r="AB177" i="71"/>
  <c r="AB178" i="71"/>
  <c r="AB179" i="71"/>
  <c r="AB180" i="71"/>
  <c r="AB181" i="71"/>
  <c r="AB182" i="71"/>
  <c r="AB183" i="71"/>
  <c r="AB184" i="71"/>
  <c r="AB185" i="71"/>
  <c r="AB186" i="71"/>
  <c r="AB187" i="71"/>
  <c r="AB188" i="71"/>
  <c r="AB189" i="71"/>
  <c r="AB190" i="71"/>
  <c r="AB191" i="71"/>
  <c r="AB192" i="71"/>
  <c r="AB193" i="71"/>
  <c r="AB194" i="71"/>
  <c r="AB195" i="71"/>
  <c r="AB196" i="71"/>
  <c r="AB197" i="71"/>
  <c r="AB198" i="71"/>
  <c r="AB199" i="71"/>
  <c r="AB200" i="71"/>
  <c r="AB201" i="71"/>
  <c r="AB202" i="71"/>
  <c r="AB203" i="71"/>
  <c r="AB204" i="71"/>
  <c r="AB205" i="71"/>
  <c r="AB206" i="71"/>
  <c r="AB207" i="71"/>
  <c r="AB208" i="71"/>
  <c r="AB209" i="71"/>
  <c r="AB210" i="71"/>
  <c r="AB211" i="71"/>
  <c r="AB212" i="71"/>
  <c r="AB213" i="71"/>
  <c r="AB214" i="71"/>
  <c r="AB215" i="71"/>
  <c r="AB216" i="71"/>
  <c r="AB217" i="71"/>
  <c r="AB218" i="71"/>
  <c r="AB219" i="71"/>
  <c r="AB220" i="71"/>
  <c r="AB221" i="71"/>
  <c r="AB222" i="71"/>
  <c r="AB223" i="71"/>
  <c r="AB224" i="71"/>
  <c r="AB225" i="71"/>
  <c r="AB226" i="71"/>
  <c r="AB227" i="71"/>
  <c r="AB228" i="71"/>
  <c r="AB229" i="71"/>
  <c r="AB230" i="71"/>
  <c r="AB231" i="71"/>
  <c r="AB232" i="71"/>
  <c r="AB233" i="71"/>
  <c r="AB234" i="71"/>
  <c r="AB235" i="71"/>
  <c r="AB236" i="71"/>
  <c r="AB237" i="71"/>
  <c r="AB238" i="71"/>
  <c r="AB239" i="71"/>
  <c r="AB240" i="71"/>
  <c r="AB241" i="71"/>
  <c r="AB242" i="71"/>
  <c r="AB243" i="71"/>
  <c r="AB244" i="71"/>
  <c r="AB245" i="71"/>
  <c r="AB246" i="71"/>
  <c r="AB247" i="71"/>
  <c r="AB248" i="71"/>
  <c r="AB249" i="71"/>
  <c r="AB250" i="71"/>
  <c r="AB251" i="71"/>
  <c r="AB252" i="71"/>
  <c r="AB253" i="71"/>
  <c r="AB254" i="71"/>
  <c r="AB255" i="71"/>
  <c r="AB256" i="71"/>
  <c r="AA16" i="59"/>
  <c r="AA17" i="59"/>
  <c r="AA18" i="59"/>
  <c r="AA19" i="59"/>
  <c r="AA20" i="59"/>
  <c r="AA21" i="59"/>
  <c r="AA22" i="59"/>
  <c r="AA23" i="59"/>
  <c r="AA24" i="59"/>
  <c r="AA25" i="59"/>
  <c r="AA26" i="59"/>
  <c r="AA27" i="59"/>
  <c r="AA28" i="59"/>
  <c r="AA29" i="59"/>
  <c r="AA30" i="59"/>
  <c r="AA31" i="59"/>
  <c r="AA32" i="59"/>
  <c r="AA33" i="59"/>
  <c r="AA34" i="59"/>
  <c r="AA35" i="59"/>
  <c r="AA36" i="59"/>
  <c r="AA37" i="59"/>
  <c r="AA38" i="59"/>
  <c r="AA39" i="59"/>
  <c r="AA40" i="59"/>
  <c r="AA41" i="59"/>
  <c r="AA42" i="59"/>
  <c r="AA43" i="59"/>
  <c r="AA44" i="59"/>
  <c r="AA45" i="59"/>
  <c r="AA46" i="59"/>
  <c r="AA47" i="59"/>
  <c r="AA48" i="59"/>
  <c r="AA49" i="59"/>
  <c r="AA50" i="59"/>
  <c r="AA51" i="59"/>
  <c r="AA52" i="59"/>
  <c r="AA53" i="59"/>
  <c r="AA54" i="59"/>
  <c r="AA55" i="59"/>
  <c r="AA56" i="59"/>
  <c r="AA57" i="59"/>
  <c r="AA58" i="59"/>
  <c r="AA59" i="59"/>
  <c r="AA60" i="59"/>
  <c r="AA61" i="59"/>
  <c r="AA62" i="59"/>
  <c r="AA63" i="59"/>
  <c r="AA64" i="59"/>
  <c r="AA65" i="59"/>
  <c r="AA66" i="59"/>
  <c r="AA67" i="59"/>
  <c r="AA68" i="59"/>
  <c r="AA69" i="59"/>
  <c r="AA70" i="59"/>
  <c r="AA71" i="59"/>
  <c r="AA72" i="59"/>
  <c r="AA73" i="59"/>
  <c r="AA74" i="59"/>
  <c r="AA75" i="59"/>
  <c r="AA76" i="59"/>
  <c r="AA77" i="59"/>
  <c r="AA78" i="59"/>
  <c r="AA79" i="59"/>
  <c r="AA80" i="59"/>
  <c r="AA81" i="59"/>
  <c r="AA82" i="59"/>
  <c r="AA83" i="59"/>
  <c r="AA84" i="59"/>
  <c r="AA85" i="59"/>
  <c r="AA86" i="59"/>
  <c r="AA87" i="59"/>
  <c r="AA88" i="59"/>
  <c r="AA89" i="59"/>
  <c r="AA90" i="59"/>
  <c r="AA91" i="59"/>
  <c r="AA92" i="59"/>
  <c r="AA93" i="59"/>
  <c r="AA94" i="59"/>
  <c r="AA95" i="59"/>
  <c r="AA96" i="59"/>
  <c r="AA97" i="59"/>
  <c r="AA98" i="59"/>
  <c r="AA99" i="59"/>
  <c r="AA100" i="59"/>
  <c r="AA101" i="59"/>
  <c r="AA102" i="59"/>
  <c r="AA103" i="59"/>
  <c r="AA104" i="59"/>
  <c r="AA105" i="59"/>
  <c r="AA106" i="59"/>
  <c r="AA107" i="59"/>
  <c r="AA108" i="59"/>
  <c r="AA109" i="59"/>
  <c r="AA110" i="59"/>
  <c r="AA111" i="59"/>
  <c r="AA112" i="59"/>
  <c r="AA113" i="59"/>
  <c r="AA114" i="59"/>
  <c r="AA115" i="59"/>
  <c r="AA116" i="59"/>
  <c r="AA117" i="59"/>
  <c r="AA118" i="59"/>
  <c r="AA119" i="59"/>
  <c r="AA120" i="59"/>
  <c r="AA121" i="59"/>
  <c r="AA122" i="59"/>
  <c r="AA123" i="59"/>
  <c r="AA124" i="59"/>
  <c r="AA125" i="59"/>
  <c r="AA126" i="59"/>
  <c r="AA127" i="59"/>
  <c r="AA128" i="59"/>
  <c r="AA129" i="59"/>
  <c r="AA130" i="59"/>
  <c r="AA131" i="59"/>
  <c r="AA132" i="59"/>
  <c r="AA133" i="59"/>
  <c r="AA134" i="59"/>
  <c r="AA135" i="59"/>
  <c r="AA136" i="59"/>
  <c r="AA137" i="59"/>
  <c r="AA138" i="59"/>
  <c r="AA139" i="59"/>
  <c r="AA140" i="59"/>
  <c r="AA141" i="59"/>
  <c r="AA142" i="59"/>
  <c r="AA143" i="59"/>
  <c r="AA144" i="59"/>
  <c r="AA145" i="59"/>
  <c r="AA146" i="59"/>
  <c r="AA147" i="59"/>
  <c r="AA148" i="59"/>
  <c r="AA149" i="59"/>
  <c r="AA150" i="59"/>
  <c r="AA151" i="59"/>
  <c r="AA152" i="59"/>
  <c r="AA153" i="59"/>
  <c r="AA154" i="59"/>
  <c r="AA155" i="59"/>
  <c r="AA156" i="59"/>
  <c r="AA157" i="59"/>
  <c r="AA158" i="59"/>
  <c r="AA159" i="59"/>
  <c r="AA160" i="59"/>
  <c r="AA161" i="59"/>
  <c r="AA162" i="59"/>
  <c r="AA163" i="59"/>
  <c r="AA164" i="59"/>
  <c r="AA165" i="59"/>
  <c r="AA166" i="59"/>
  <c r="AA167" i="59"/>
  <c r="AA168" i="59"/>
  <c r="AA169" i="59"/>
  <c r="AA170" i="59"/>
  <c r="AA171" i="59"/>
  <c r="AA172" i="59"/>
  <c r="AA173" i="59"/>
  <c r="AA174" i="59"/>
  <c r="AA175" i="59"/>
  <c r="AA176" i="59"/>
  <c r="AA177" i="59"/>
  <c r="AA178" i="59"/>
  <c r="AA179" i="59"/>
  <c r="AA180" i="59"/>
  <c r="AA181" i="59"/>
  <c r="AA182" i="59"/>
  <c r="AA183" i="59"/>
  <c r="AA184" i="59"/>
  <c r="AA185" i="59"/>
  <c r="AA186" i="59"/>
  <c r="AA187" i="59"/>
  <c r="AA188" i="59"/>
  <c r="AA189" i="59"/>
  <c r="AA190" i="59"/>
  <c r="AA191" i="59"/>
  <c r="AA192" i="59"/>
  <c r="AA193" i="59"/>
  <c r="AA194" i="59"/>
  <c r="AA195" i="59"/>
  <c r="AA196" i="59"/>
  <c r="AA197" i="59"/>
  <c r="AA198" i="59"/>
  <c r="AA199" i="59"/>
  <c r="AA200" i="59"/>
  <c r="AA201" i="59"/>
  <c r="AA202" i="59"/>
  <c r="AA203" i="59"/>
  <c r="AA204" i="59"/>
  <c r="AA205" i="59"/>
  <c r="AA206" i="59"/>
  <c r="AA207" i="59"/>
  <c r="AA208" i="59"/>
  <c r="AA209" i="59"/>
  <c r="AA210" i="59"/>
  <c r="AA211" i="59"/>
  <c r="AA212" i="59"/>
  <c r="AA213" i="59"/>
  <c r="AA214" i="59"/>
  <c r="AA215" i="59"/>
  <c r="AA216" i="59"/>
  <c r="AA217" i="59"/>
  <c r="AA218" i="59"/>
  <c r="AA219" i="59"/>
  <c r="AA220" i="59"/>
  <c r="AA221" i="59"/>
  <c r="AA222" i="59"/>
  <c r="AA223" i="59"/>
  <c r="AA224" i="59"/>
  <c r="AA225" i="59"/>
  <c r="AA226" i="59"/>
  <c r="AA227" i="59"/>
  <c r="AA228" i="59"/>
  <c r="AA229" i="59"/>
  <c r="AA230" i="59"/>
  <c r="AA231" i="59"/>
  <c r="AA232" i="59"/>
  <c r="AA233" i="59"/>
  <c r="AA234" i="59"/>
  <c r="AA235" i="59"/>
  <c r="AA236" i="59"/>
  <c r="AA237" i="59"/>
  <c r="AA238" i="59"/>
  <c r="AA239" i="59"/>
  <c r="AA240" i="59"/>
  <c r="AA241" i="59"/>
  <c r="AA242" i="59"/>
  <c r="AA243" i="59"/>
  <c r="AA244" i="59"/>
  <c r="AA245" i="59"/>
  <c r="AA246" i="59"/>
  <c r="AA247" i="59"/>
  <c r="AA248" i="59"/>
  <c r="AA249" i="59"/>
  <c r="AA250" i="59"/>
  <c r="AA251" i="59"/>
  <c r="AA252" i="59"/>
  <c r="AA253" i="59"/>
  <c r="AA254" i="59"/>
  <c r="AA255" i="59"/>
  <c r="AA256" i="59"/>
  <c r="AA257" i="59"/>
  <c r="AA258" i="59"/>
  <c r="I22" i="96"/>
  <c r="AA11" i="107"/>
  <c r="AA12" i="107"/>
  <c r="AA13" i="107"/>
  <c r="AA14" i="107"/>
  <c r="AA15" i="107"/>
  <c r="AA16" i="107"/>
  <c r="AA17" i="107"/>
  <c r="AA18" i="107"/>
  <c r="AA19" i="107"/>
  <c r="AA20" i="107"/>
  <c r="AA21" i="107"/>
  <c r="AA22" i="107"/>
  <c r="AA23" i="107"/>
  <c r="AA24" i="107"/>
  <c r="AA25" i="107"/>
  <c r="AA26" i="107"/>
  <c r="AA27" i="107"/>
  <c r="AA28" i="107"/>
  <c r="AA29" i="107"/>
  <c r="AA30" i="107"/>
  <c r="AA31" i="107"/>
  <c r="AA32" i="107"/>
  <c r="AA33" i="107"/>
  <c r="AA34" i="107"/>
  <c r="AA35" i="107"/>
  <c r="AA36" i="107"/>
  <c r="AA37" i="107"/>
  <c r="AA38" i="107"/>
  <c r="AA39" i="107"/>
  <c r="AA40" i="107"/>
  <c r="AA41" i="107"/>
  <c r="AA42" i="107"/>
  <c r="AA43" i="107"/>
  <c r="AA44" i="107"/>
  <c r="AA45" i="107"/>
  <c r="AA46" i="107"/>
  <c r="AA47" i="107"/>
  <c r="AA48" i="107"/>
  <c r="AA49" i="107"/>
  <c r="AA50" i="107"/>
  <c r="AA51" i="107"/>
  <c r="AA52" i="107"/>
  <c r="AA53" i="107"/>
  <c r="AA54" i="107"/>
  <c r="AA55" i="107"/>
  <c r="AA56" i="107"/>
  <c r="AA57" i="107"/>
  <c r="AA58" i="107"/>
  <c r="AA59" i="107"/>
  <c r="AA60" i="107"/>
  <c r="AA61" i="107"/>
  <c r="AA62" i="107"/>
  <c r="AA63" i="107"/>
  <c r="AA64" i="107"/>
  <c r="AA65" i="107"/>
  <c r="AA66" i="107"/>
  <c r="AA67" i="107"/>
  <c r="AA68" i="107"/>
  <c r="AA69" i="107"/>
  <c r="AA70" i="107"/>
  <c r="AA71" i="107"/>
  <c r="AA72" i="107"/>
  <c r="AA73" i="107"/>
  <c r="AA74" i="107"/>
  <c r="AA75" i="107"/>
  <c r="AA76" i="107"/>
  <c r="AA77" i="107"/>
  <c r="AA78" i="107"/>
  <c r="AA79" i="107"/>
  <c r="AA80" i="107"/>
  <c r="AA81" i="107"/>
  <c r="AA82" i="107"/>
  <c r="AA83" i="107"/>
  <c r="AA84" i="107"/>
  <c r="AA85" i="107"/>
  <c r="AA86" i="107"/>
  <c r="AA87" i="107"/>
  <c r="AA88" i="107"/>
  <c r="AA89" i="107"/>
  <c r="AA90" i="107"/>
  <c r="AA91" i="107"/>
  <c r="AA92" i="107"/>
  <c r="AA93" i="107"/>
  <c r="AA94" i="107"/>
  <c r="AA95" i="107"/>
  <c r="AA96" i="107"/>
  <c r="AA97" i="107"/>
  <c r="AA98" i="107"/>
  <c r="AA99" i="107"/>
  <c r="AA100" i="107"/>
  <c r="AA101" i="107"/>
  <c r="AA102" i="107"/>
  <c r="AA103" i="107"/>
  <c r="AA104" i="107"/>
  <c r="AA105" i="107"/>
  <c r="AA106" i="107"/>
  <c r="AA107" i="107"/>
  <c r="Z11" i="107"/>
  <c r="Z12" i="107"/>
  <c r="Z13" i="107"/>
  <c r="Z14" i="107"/>
  <c r="Z15" i="107"/>
  <c r="Z16" i="107"/>
  <c r="Z17" i="107"/>
  <c r="Z18" i="107"/>
  <c r="Z19" i="107"/>
  <c r="Z20" i="107"/>
  <c r="Z21" i="107"/>
  <c r="Z22" i="107"/>
  <c r="Z23" i="107"/>
  <c r="Z24" i="107"/>
  <c r="Z25" i="107"/>
  <c r="Z26" i="107"/>
  <c r="Z27" i="107"/>
  <c r="Z28" i="107"/>
  <c r="Z29" i="107"/>
  <c r="Z30" i="107"/>
  <c r="Z31" i="107"/>
  <c r="Z32" i="107"/>
  <c r="Z33" i="107"/>
  <c r="Z34" i="107"/>
  <c r="Z35" i="107"/>
  <c r="Z36" i="107"/>
  <c r="Z37" i="107"/>
  <c r="Z38" i="107"/>
  <c r="Z39" i="107"/>
  <c r="Z40" i="107"/>
  <c r="Z41" i="107"/>
  <c r="Z42" i="107"/>
  <c r="Z43" i="107"/>
  <c r="Z44" i="107"/>
  <c r="Z45" i="107"/>
  <c r="Z46" i="107"/>
  <c r="Z47" i="107"/>
  <c r="Z48" i="107"/>
  <c r="Z49" i="107"/>
  <c r="Z50" i="107"/>
  <c r="Z51" i="107"/>
  <c r="Z52" i="107"/>
  <c r="Z53" i="107"/>
  <c r="Z54" i="107"/>
  <c r="Z55" i="107"/>
  <c r="Z56" i="107"/>
  <c r="Z57" i="107"/>
  <c r="Z58" i="107"/>
  <c r="Z59" i="107"/>
  <c r="Z60" i="107"/>
  <c r="Z61" i="107"/>
  <c r="Z62" i="107"/>
  <c r="Z63" i="107"/>
  <c r="Z64" i="107"/>
  <c r="Z65" i="107"/>
  <c r="Z66" i="107"/>
  <c r="Z67" i="107"/>
  <c r="Z68" i="107"/>
  <c r="Z69" i="107"/>
  <c r="Z70" i="107"/>
  <c r="Z71" i="107"/>
  <c r="Z72" i="107"/>
  <c r="Z73" i="107"/>
  <c r="Z74" i="107"/>
  <c r="Z75" i="107"/>
  <c r="Z76" i="107"/>
  <c r="Z77" i="107"/>
  <c r="Z78" i="107"/>
  <c r="Z79" i="107"/>
  <c r="Z80" i="107"/>
  <c r="Z81" i="107"/>
  <c r="Z82" i="107"/>
  <c r="Z83" i="107"/>
  <c r="Z84" i="107"/>
  <c r="Z85" i="107"/>
  <c r="Z86" i="107"/>
  <c r="Z87" i="107"/>
  <c r="Z88" i="107"/>
  <c r="Z89" i="107"/>
  <c r="Z90" i="107"/>
  <c r="Z91" i="107"/>
  <c r="Z92" i="107"/>
  <c r="Z93" i="107"/>
  <c r="Z94" i="107"/>
  <c r="Z95" i="107"/>
  <c r="Z96" i="107"/>
  <c r="Z97" i="107"/>
  <c r="Z98" i="107"/>
  <c r="Z99" i="107"/>
  <c r="Z100" i="107"/>
  <c r="Z101" i="107"/>
  <c r="Z102" i="107"/>
  <c r="Z103" i="107"/>
  <c r="Z104" i="107"/>
  <c r="Z105" i="107"/>
  <c r="Z106" i="107"/>
  <c r="Z107" i="107"/>
  <c r="Y11" i="107"/>
  <c r="Y12" i="107"/>
  <c r="Y13" i="107"/>
  <c r="Y14" i="107"/>
  <c r="Y15" i="107"/>
  <c r="Y16" i="107"/>
  <c r="Y17" i="107"/>
  <c r="Y18" i="107"/>
  <c r="Y19" i="107"/>
  <c r="Y20" i="107"/>
  <c r="Y21" i="107"/>
  <c r="Y22" i="107"/>
  <c r="Y23" i="107"/>
  <c r="Y24" i="107"/>
  <c r="Y25" i="107"/>
  <c r="Y26" i="107"/>
  <c r="Y27" i="107"/>
  <c r="Y28" i="107"/>
  <c r="Y29" i="107"/>
  <c r="Y30" i="107"/>
  <c r="Y31" i="107"/>
  <c r="Y32" i="107"/>
  <c r="Y33" i="107"/>
  <c r="Y34" i="107"/>
  <c r="Y35" i="107"/>
  <c r="Y36" i="107"/>
  <c r="Y37" i="107"/>
  <c r="Y38" i="107"/>
  <c r="Y39" i="107"/>
  <c r="Y40" i="107"/>
  <c r="Y41" i="107"/>
  <c r="Y42" i="107"/>
  <c r="Y43" i="107"/>
  <c r="Y44" i="107"/>
  <c r="Y45" i="107"/>
  <c r="Y46" i="107"/>
  <c r="Y47" i="107"/>
  <c r="Y48" i="107"/>
  <c r="Y49" i="107"/>
  <c r="Y50" i="107"/>
  <c r="Y51" i="107"/>
  <c r="Y52" i="107"/>
  <c r="Y53" i="107"/>
  <c r="Y54" i="107"/>
  <c r="Y55" i="107"/>
  <c r="Y56" i="107"/>
  <c r="Y57" i="107"/>
  <c r="Y58" i="107"/>
  <c r="Y59" i="107"/>
  <c r="Y60" i="107"/>
  <c r="Y61" i="107"/>
  <c r="Y62" i="107"/>
  <c r="Y63" i="107"/>
  <c r="Y64" i="107"/>
  <c r="Y65" i="107"/>
  <c r="Y66" i="107"/>
  <c r="Y67" i="107"/>
  <c r="Y68" i="107"/>
  <c r="Y69" i="107"/>
  <c r="Y70" i="107"/>
  <c r="Y71" i="107"/>
  <c r="Y72" i="107"/>
  <c r="Y73" i="107"/>
  <c r="Y74" i="107"/>
  <c r="Y75" i="107"/>
  <c r="Y76" i="107"/>
  <c r="Y77" i="107"/>
  <c r="Y78" i="107"/>
  <c r="Y79" i="107"/>
  <c r="Y80" i="107"/>
  <c r="Y81" i="107"/>
  <c r="Y82" i="107"/>
  <c r="Y83" i="107"/>
  <c r="Y84" i="107"/>
  <c r="Y85" i="107"/>
  <c r="Y86" i="107"/>
  <c r="Y87" i="107"/>
  <c r="Y88" i="107"/>
  <c r="Y89" i="107"/>
  <c r="Y90" i="107"/>
  <c r="Y91" i="107"/>
  <c r="Y92" i="107"/>
  <c r="Y93" i="107"/>
  <c r="Y94" i="107"/>
  <c r="Y95" i="107"/>
  <c r="Y96" i="107"/>
  <c r="Y97" i="107"/>
  <c r="Y98" i="107"/>
  <c r="Y99" i="107"/>
  <c r="Y100" i="107"/>
  <c r="Y101" i="107"/>
  <c r="Y102" i="107"/>
  <c r="Y103" i="107"/>
  <c r="Y104" i="107"/>
  <c r="Y105" i="107"/>
  <c r="Y106" i="107"/>
  <c r="Y107" i="107"/>
  <c r="X11" i="107"/>
  <c r="X12" i="107"/>
  <c r="X13" i="107"/>
  <c r="X14" i="107"/>
  <c r="X15" i="107"/>
  <c r="X16" i="107"/>
  <c r="X17" i="107"/>
  <c r="X18" i="107"/>
  <c r="X19" i="107"/>
  <c r="X20" i="107"/>
  <c r="X21" i="107"/>
  <c r="X22" i="107"/>
  <c r="X23" i="107"/>
  <c r="X24" i="107"/>
  <c r="X25" i="107"/>
  <c r="X26" i="107"/>
  <c r="X27" i="107"/>
  <c r="X28" i="107"/>
  <c r="X29" i="107"/>
  <c r="X30" i="107"/>
  <c r="X31" i="107"/>
  <c r="X32" i="107"/>
  <c r="X33" i="107"/>
  <c r="X34" i="107"/>
  <c r="X35" i="107"/>
  <c r="X36" i="107"/>
  <c r="X37" i="107"/>
  <c r="X38" i="107"/>
  <c r="X39" i="107"/>
  <c r="X40" i="107"/>
  <c r="X41" i="107"/>
  <c r="X42" i="107"/>
  <c r="X43" i="107"/>
  <c r="X44" i="107"/>
  <c r="X45" i="107"/>
  <c r="X46" i="107"/>
  <c r="X47" i="107"/>
  <c r="X48" i="107"/>
  <c r="X49" i="107"/>
  <c r="X50" i="107"/>
  <c r="X51" i="107"/>
  <c r="X52" i="107"/>
  <c r="X53" i="107"/>
  <c r="X54" i="107"/>
  <c r="X55" i="107"/>
  <c r="X56" i="107"/>
  <c r="X57" i="107"/>
  <c r="X58" i="107"/>
  <c r="X59" i="107"/>
  <c r="X60" i="107"/>
  <c r="X61" i="107"/>
  <c r="X62" i="107"/>
  <c r="X63" i="107"/>
  <c r="X64" i="107"/>
  <c r="X65" i="107"/>
  <c r="X66" i="107"/>
  <c r="X67" i="107"/>
  <c r="X68" i="107"/>
  <c r="X69" i="107"/>
  <c r="X70" i="107"/>
  <c r="X71" i="107"/>
  <c r="X72" i="107"/>
  <c r="X73" i="107"/>
  <c r="X74" i="107"/>
  <c r="X75" i="107"/>
  <c r="X76" i="107"/>
  <c r="X77" i="107"/>
  <c r="X78" i="107"/>
  <c r="X79" i="107"/>
  <c r="X80" i="107"/>
  <c r="X81" i="107"/>
  <c r="X82" i="107"/>
  <c r="X83" i="107"/>
  <c r="X84" i="107"/>
  <c r="X85" i="107"/>
  <c r="X86" i="107"/>
  <c r="X87" i="107"/>
  <c r="X88" i="107"/>
  <c r="X89" i="107"/>
  <c r="X90" i="107"/>
  <c r="X91" i="107"/>
  <c r="X92" i="107"/>
  <c r="X93" i="107"/>
  <c r="X94" i="107"/>
  <c r="X95" i="107"/>
  <c r="X96" i="107"/>
  <c r="X97" i="107"/>
  <c r="X98" i="107"/>
  <c r="X99" i="107"/>
  <c r="X100" i="107"/>
  <c r="X101" i="107"/>
  <c r="X102" i="107"/>
  <c r="X103" i="107"/>
  <c r="X104" i="107"/>
  <c r="X105" i="107"/>
  <c r="X106" i="107"/>
  <c r="X107" i="107"/>
  <c r="AA31" i="106"/>
  <c r="AA30" i="106"/>
  <c r="AA29" i="106"/>
  <c r="AA28" i="106"/>
  <c r="AA27" i="106"/>
  <c r="AA26" i="106"/>
  <c r="AA25" i="106"/>
  <c r="AA24" i="106"/>
  <c r="AA23" i="106"/>
  <c r="AA22" i="106"/>
  <c r="AA21" i="106"/>
  <c r="AA20" i="106"/>
  <c r="AA19" i="106"/>
  <c r="AA18" i="106"/>
  <c r="AA17" i="106"/>
  <c r="AA16" i="106"/>
  <c r="AA15" i="106"/>
  <c r="AA14" i="106"/>
  <c r="AA13" i="106"/>
  <c r="AA12" i="106"/>
  <c r="AA11" i="106"/>
  <c r="AA10" i="106"/>
  <c r="I10" i="63"/>
  <c r="C19" i="107"/>
  <c r="C27" i="107"/>
  <c r="C35" i="107"/>
  <c r="C43" i="107"/>
  <c r="C51" i="107"/>
  <c r="C15" i="107"/>
  <c r="C23" i="107"/>
  <c r="C31" i="107"/>
  <c r="C39" i="107"/>
  <c r="C47" i="107"/>
  <c r="C55" i="107"/>
  <c r="C56" i="107"/>
  <c r="C57" i="107"/>
  <c r="C58" i="107"/>
  <c r="C59" i="107"/>
  <c r="C60" i="107"/>
  <c r="C61" i="107"/>
  <c r="C62" i="107"/>
  <c r="C63" i="107"/>
  <c r="C64" i="107"/>
  <c r="C65" i="107"/>
  <c r="C66" i="107"/>
  <c r="C67" i="107"/>
  <c r="C68" i="107"/>
  <c r="C69" i="107"/>
  <c r="C70" i="107"/>
  <c r="C71" i="107"/>
  <c r="C72" i="107"/>
  <c r="C73" i="107"/>
  <c r="C74" i="107"/>
  <c r="C75" i="107"/>
  <c r="C76" i="107"/>
  <c r="C77" i="107"/>
  <c r="C78" i="107"/>
  <c r="C79" i="107"/>
  <c r="C80" i="107"/>
  <c r="C81" i="107"/>
  <c r="C82" i="107"/>
  <c r="C83" i="107"/>
  <c r="C84" i="107"/>
  <c r="C85" i="107"/>
  <c r="C86" i="107"/>
  <c r="C87" i="107"/>
  <c r="C88" i="107"/>
  <c r="C89" i="107"/>
  <c r="C90" i="107"/>
  <c r="C91" i="107"/>
  <c r="C92" i="107"/>
  <c r="C93" i="107"/>
  <c r="C94" i="107"/>
  <c r="C95" i="107"/>
  <c r="C96" i="107"/>
  <c r="C97" i="107"/>
  <c r="C98" i="107"/>
  <c r="C99" i="107"/>
  <c r="C100" i="107"/>
  <c r="C101" i="107"/>
  <c r="C102" i="107"/>
  <c r="C103" i="107"/>
  <c r="C104" i="107"/>
  <c r="C105" i="107"/>
  <c r="C106" i="107"/>
  <c r="C107" i="107"/>
  <c r="R7" i="107" l="1"/>
  <c r="AB107" i="107"/>
  <c r="AD107" i="107" s="1"/>
  <c r="AB99" i="107"/>
  <c r="AD99" i="107" s="1"/>
  <c r="AB91" i="107"/>
  <c r="AD91" i="107" s="1"/>
  <c r="AB83" i="107"/>
  <c r="AD83" i="107" s="1"/>
  <c r="AB75" i="107"/>
  <c r="AD75" i="107" s="1"/>
  <c r="AB67" i="107"/>
  <c r="AD67" i="107" s="1"/>
  <c r="AB59" i="107"/>
  <c r="AD59" i="107" s="1"/>
  <c r="AB51" i="107"/>
  <c r="AD51" i="107" s="1"/>
  <c r="AB43" i="107"/>
  <c r="AD43" i="107" s="1"/>
  <c r="AB35" i="107"/>
  <c r="AD35" i="107" s="1"/>
  <c r="AB27" i="107"/>
  <c r="AD27" i="107" s="1"/>
  <c r="AB19" i="107"/>
  <c r="AD19" i="107" s="1"/>
  <c r="AB11" i="107"/>
  <c r="AD11" i="107" s="1"/>
  <c r="AB98" i="107"/>
  <c r="AD98" i="107" s="1"/>
  <c r="AB34" i="107"/>
  <c r="AD34" i="107" s="1"/>
  <c r="AB105" i="107"/>
  <c r="AD105" i="107" s="1"/>
  <c r="AB97" i="107"/>
  <c r="AD97" i="107" s="1"/>
  <c r="AB89" i="107"/>
  <c r="AD89" i="107" s="1"/>
  <c r="AB81" i="107"/>
  <c r="AD81" i="107" s="1"/>
  <c r="AB73" i="107"/>
  <c r="AD73" i="107" s="1"/>
  <c r="AB65" i="107"/>
  <c r="AD65" i="107" s="1"/>
  <c r="AB57" i="107"/>
  <c r="AD57" i="107" s="1"/>
  <c r="AB49" i="107"/>
  <c r="AD49" i="107" s="1"/>
  <c r="AB41" i="107"/>
  <c r="AD41" i="107" s="1"/>
  <c r="AB33" i="107"/>
  <c r="AD33" i="107" s="1"/>
  <c r="AB25" i="107"/>
  <c r="AD25" i="107" s="1"/>
  <c r="AB17" i="107"/>
  <c r="AD17" i="107" s="1"/>
  <c r="AB42" i="107"/>
  <c r="AD42" i="107" s="1"/>
  <c r="AB104" i="107"/>
  <c r="AD104" i="107" s="1"/>
  <c r="AB96" i="107"/>
  <c r="AD96" i="107" s="1"/>
  <c r="AB88" i="107"/>
  <c r="AD88" i="107" s="1"/>
  <c r="AB80" i="107"/>
  <c r="AD80" i="107" s="1"/>
  <c r="AB72" i="107"/>
  <c r="AD72" i="107" s="1"/>
  <c r="AB64" i="107"/>
  <c r="AD64" i="107" s="1"/>
  <c r="AB56" i="107"/>
  <c r="AD56" i="107" s="1"/>
  <c r="AB48" i="107"/>
  <c r="AD48" i="107" s="1"/>
  <c r="AB40" i="107"/>
  <c r="AD40" i="107" s="1"/>
  <c r="AB32" i="107"/>
  <c r="AD32" i="107" s="1"/>
  <c r="AB24" i="107"/>
  <c r="AD24" i="107" s="1"/>
  <c r="AB16" i="107"/>
  <c r="AD16" i="107" s="1"/>
  <c r="AB82" i="107"/>
  <c r="AD82" i="107" s="1"/>
  <c r="AB50" i="107"/>
  <c r="AD50" i="107" s="1"/>
  <c r="AB18" i="107"/>
  <c r="AD18" i="107" s="1"/>
  <c r="AB103" i="107"/>
  <c r="AD103" i="107" s="1"/>
  <c r="AB95" i="107"/>
  <c r="AD95" i="107" s="1"/>
  <c r="AB87" i="107"/>
  <c r="AD87" i="107" s="1"/>
  <c r="AB79" i="107"/>
  <c r="AD79" i="107" s="1"/>
  <c r="AB71" i="107"/>
  <c r="AD71" i="107" s="1"/>
  <c r="AB63" i="107"/>
  <c r="AD63" i="107" s="1"/>
  <c r="AB55" i="107"/>
  <c r="AB47" i="107"/>
  <c r="AD47" i="107" s="1"/>
  <c r="AB39" i="107"/>
  <c r="AD39" i="107" s="1"/>
  <c r="AB31" i="107"/>
  <c r="AD31" i="107" s="1"/>
  <c r="AB23" i="107"/>
  <c r="AD23" i="107" s="1"/>
  <c r="AB15" i="107"/>
  <c r="AD15" i="107" s="1"/>
  <c r="AB74" i="107"/>
  <c r="AD74" i="107" s="1"/>
  <c r="AB102" i="107"/>
  <c r="AD102" i="107" s="1"/>
  <c r="AB94" i="107"/>
  <c r="AD94" i="107" s="1"/>
  <c r="AB86" i="107"/>
  <c r="AD86" i="107" s="1"/>
  <c r="AB78" i="107"/>
  <c r="AD78" i="107" s="1"/>
  <c r="AB70" i="107"/>
  <c r="AD70" i="107" s="1"/>
  <c r="AB62" i="107"/>
  <c r="AD62" i="107" s="1"/>
  <c r="AB54" i="107"/>
  <c r="AD54" i="107" s="1"/>
  <c r="AB46" i="107"/>
  <c r="AD46" i="107" s="1"/>
  <c r="AB38" i="107"/>
  <c r="AD38" i="107" s="1"/>
  <c r="AB30" i="107"/>
  <c r="AD30" i="107" s="1"/>
  <c r="AB22" i="107"/>
  <c r="AD22" i="107" s="1"/>
  <c r="AB14" i="107"/>
  <c r="AD14" i="107" s="1"/>
  <c r="AB90" i="107"/>
  <c r="AD90" i="107" s="1"/>
  <c r="AB58" i="107"/>
  <c r="AD58" i="107" s="1"/>
  <c r="AB26" i="107"/>
  <c r="AD26" i="107" s="1"/>
  <c r="AB101" i="107"/>
  <c r="AD101" i="107" s="1"/>
  <c r="AB93" i="107"/>
  <c r="AD93" i="107" s="1"/>
  <c r="AB85" i="107"/>
  <c r="AD85" i="107" s="1"/>
  <c r="AB77" i="107"/>
  <c r="AD77" i="107" s="1"/>
  <c r="AB69" i="107"/>
  <c r="AD69" i="107" s="1"/>
  <c r="AB61" i="107"/>
  <c r="AD61" i="107" s="1"/>
  <c r="AB53" i="107"/>
  <c r="AD53" i="107" s="1"/>
  <c r="AB45" i="107"/>
  <c r="AD45" i="107" s="1"/>
  <c r="AB37" i="107"/>
  <c r="AD37" i="107" s="1"/>
  <c r="AB29" i="107"/>
  <c r="AD29" i="107" s="1"/>
  <c r="AB21" i="107"/>
  <c r="AD21" i="107" s="1"/>
  <c r="AB13" i="107"/>
  <c r="AD13" i="107" s="1"/>
  <c r="AB106" i="107"/>
  <c r="AD106" i="107" s="1"/>
  <c r="AB66" i="107"/>
  <c r="AD66" i="107" s="1"/>
  <c r="AB100" i="107"/>
  <c r="AD100" i="107" s="1"/>
  <c r="AB92" i="107"/>
  <c r="AD92" i="107" s="1"/>
  <c r="AB84" i="107"/>
  <c r="AD84" i="107" s="1"/>
  <c r="AB76" i="107"/>
  <c r="AD76" i="107" s="1"/>
  <c r="AB68" i="107"/>
  <c r="AD68" i="107" s="1"/>
  <c r="AB60" i="107"/>
  <c r="AD60" i="107" s="1"/>
  <c r="AB52" i="107"/>
  <c r="AD52" i="107" s="1"/>
  <c r="AB44" i="107"/>
  <c r="AD44" i="107" s="1"/>
  <c r="AB36" i="107"/>
  <c r="AD36" i="107" s="1"/>
  <c r="AB28" i="107"/>
  <c r="AD28" i="107" s="1"/>
  <c r="AB20" i="107"/>
  <c r="AD20" i="107" s="1"/>
  <c r="AB12" i="107"/>
  <c r="AD12" i="107" s="1"/>
  <c r="AD55" i="107"/>
  <c r="AA10" i="107"/>
  <c r="Z9" i="107"/>
  <c r="Y8" i="107"/>
  <c r="X8" i="107"/>
  <c r="Z10" i="107"/>
  <c r="Y9" i="107"/>
  <c r="X9" i="107"/>
  <c r="AA9" i="107"/>
  <c r="Z8" i="107"/>
  <c r="AA8" i="107"/>
  <c r="Y10" i="107"/>
  <c r="X10" i="107"/>
  <c r="R60" i="107"/>
  <c r="P53" i="107"/>
  <c r="P82" i="107"/>
  <c r="P32" i="107"/>
  <c r="O89" i="107"/>
  <c r="P90" i="107"/>
  <c r="P24" i="107"/>
  <c r="P88" i="107"/>
  <c r="O95" i="107"/>
  <c r="P61" i="107"/>
  <c r="R31" i="107"/>
  <c r="O71" i="107"/>
  <c r="Q82" i="107"/>
  <c r="Q53" i="107"/>
  <c r="P26" i="107"/>
  <c r="O72" i="107"/>
  <c r="R103" i="107"/>
  <c r="R74" i="107"/>
  <c r="Q47" i="107"/>
  <c r="Q18" i="107"/>
  <c r="O49" i="107"/>
  <c r="Q103" i="107"/>
  <c r="Q74" i="107"/>
  <c r="Q45" i="107"/>
  <c r="P18" i="107"/>
  <c r="O48" i="107"/>
  <c r="P96" i="107"/>
  <c r="R68" i="107"/>
  <c r="R39" i="107"/>
  <c r="R10" i="107"/>
  <c r="O31" i="107"/>
  <c r="R95" i="107"/>
  <c r="R66" i="107"/>
  <c r="Q39" i="107"/>
  <c r="Q10" i="107"/>
  <c r="O25" i="107"/>
  <c r="Q101" i="107"/>
  <c r="Q95" i="107"/>
  <c r="R87" i="107"/>
  <c r="P80" i="107"/>
  <c r="P74" i="107"/>
  <c r="Q66" i="107"/>
  <c r="R58" i="107"/>
  <c r="R52" i="107"/>
  <c r="P45" i="107"/>
  <c r="Q37" i="107"/>
  <c r="Q31" i="107"/>
  <c r="R23" i="107"/>
  <c r="P16" i="107"/>
  <c r="P10" i="107"/>
  <c r="O88" i="107"/>
  <c r="O65" i="107"/>
  <c r="O47" i="107"/>
  <c r="O24" i="107"/>
  <c r="P101" i="107"/>
  <c r="Q93" i="107"/>
  <c r="Q87" i="107"/>
  <c r="R79" i="107"/>
  <c r="P72" i="107"/>
  <c r="P66" i="107"/>
  <c r="Q58" i="107"/>
  <c r="R50" i="107"/>
  <c r="R44" i="107"/>
  <c r="P37" i="107"/>
  <c r="Q29" i="107"/>
  <c r="Q23" i="107"/>
  <c r="R15" i="107"/>
  <c r="O105" i="107"/>
  <c r="O87" i="107"/>
  <c r="O64" i="107"/>
  <c r="O41" i="107"/>
  <c r="O23" i="107"/>
  <c r="R106" i="107"/>
  <c r="R100" i="107"/>
  <c r="P93" i="107"/>
  <c r="Q85" i="107"/>
  <c r="Q79" i="107"/>
  <c r="R71" i="107"/>
  <c r="P64" i="107"/>
  <c r="P58" i="107"/>
  <c r="Q50" i="107"/>
  <c r="R42" i="107"/>
  <c r="R36" i="107"/>
  <c r="P29" i="107"/>
  <c r="Q21" i="107"/>
  <c r="Q15" i="107"/>
  <c r="O104" i="107"/>
  <c r="O81" i="107"/>
  <c r="O63" i="107"/>
  <c r="O40" i="107"/>
  <c r="O17" i="107"/>
  <c r="Q106" i="107"/>
  <c r="R98" i="107"/>
  <c r="R92" i="107"/>
  <c r="P85" i="107"/>
  <c r="Q77" i="107"/>
  <c r="Q71" i="107"/>
  <c r="R63" i="107"/>
  <c r="P56" i="107"/>
  <c r="P50" i="107"/>
  <c r="Q42" i="107"/>
  <c r="R34" i="107"/>
  <c r="R28" i="107"/>
  <c r="P21" i="107"/>
  <c r="Q13" i="107"/>
  <c r="O103" i="107"/>
  <c r="O80" i="107"/>
  <c r="O57" i="107"/>
  <c r="O39" i="107"/>
  <c r="O16" i="107"/>
  <c r="P106" i="107"/>
  <c r="Q98" i="107"/>
  <c r="R90" i="107"/>
  <c r="R84" i="107"/>
  <c r="P77" i="107"/>
  <c r="Q69" i="107"/>
  <c r="Q63" i="107"/>
  <c r="R55" i="107"/>
  <c r="P48" i="107"/>
  <c r="P42" i="107"/>
  <c r="Q34" i="107"/>
  <c r="R26" i="107"/>
  <c r="R20" i="107"/>
  <c r="P13" i="107"/>
  <c r="O97" i="107"/>
  <c r="O79" i="107"/>
  <c r="O56" i="107"/>
  <c r="O33" i="107"/>
  <c r="O15" i="107"/>
  <c r="P104" i="107"/>
  <c r="P98" i="107"/>
  <c r="Q90" i="107"/>
  <c r="R82" i="107"/>
  <c r="R76" i="107"/>
  <c r="P69" i="107"/>
  <c r="Q61" i="107"/>
  <c r="Q55" i="107"/>
  <c r="R47" i="107"/>
  <c r="P40" i="107"/>
  <c r="P34" i="107"/>
  <c r="Q26" i="107"/>
  <c r="R18" i="107"/>
  <c r="R12" i="107"/>
  <c r="O96" i="107"/>
  <c r="O73" i="107"/>
  <c r="O55" i="107"/>
  <c r="O32" i="107"/>
  <c r="O9" i="107"/>
  <c r="R105" i="107"/>
  <c r="P103" i="107"/>
  <c r="Q100" i="107"/>
  <c r="R97" i="107"/>
  <c r="P95" i="107"/>
  <c r="Q92" i="107"/>
  <c r="R89" i="107"/>
  <c r="P87" i="107"/>
  <c r="Q84" i="107"/>
  <c r="R81" i="107"/>
  <c r="P79" i="107"/>
  <c r="Q76" i="107"/>
  <c r="R73" i="107"/>
  <c r="P71" i="107"/>
  <c r="Q68" i="107"/>
  <c r="R65" i="107"/>
  <c r="P63" i="107"/>
  <c r="Q60" i="107"/>
  <c r="R57" i="107"/>
  <c r="P55" i="107"/>
  <c r="Q52" i="107"/>
  <c r="R49" i="107"/>
  <c r="P47" i="107"/>
  <c r="Q44" i="107"/>
  <c r="R41" i="107"/>
  <c r="P39" i="107"/>
  <c r="Q36" i="107"/>
  <c r="R33" i="107"/>
  <c r="P31" i="107"/>
  <c r="Q28" i="107"/>
  <c r="R25" i="107"/>
  <c r="P23" i="107"/>
  <c r="Q20" i="107"/>
  <c r="R17" i="107"/>
  <c r="P15" i="107"/>
  <c r="Q12" i="107"/>
  <c r="R9" i="107"/>
  <c r="O102" i="107"/>
  <c r="O94" i="107"/>
  <c r="O86" i="107"/>
  <c r="O78" i="107"/>
  <c r="O70" i="107"/>
  <c r="O62" i="107"/>
  <c r="O54" i="107"/>
  <c r="O46" i="107"/>
  <c r="O38" i="107"/>
  <c r="O30" i="107"/>
  <c r="O22" i="107"/>
  <c r="O14" i="107"/>
  <c r="Q105" i="107"/>
  <c r="R102" i="107"/>
  <c r="P100" i="107"/>
  <c r="Q97" i="107"/>
  <c r="R94" i="107"/>
  <c r="P92" i="107"/>
  <c r="Q89" i="107"/>
  <c r="R86" i="107"/>
  <c r="P84" i="107"/>
  <c r="Q81" i="107"/>
  <c r="R78" i="107"/>
  <c r="P76" i="107"/>
  <c r="Q73" i="107"/>
  <c r="R70" i="107"/>
  <c r="P68" i="107"/>
  <c r="Q65" i="107"/>
  <c r="R62" i="107"/>
  <c r="P60" i="107"/>
  <c r="Q57" i="107"/>
  <c r="R54" i="107"/>
  <c r="P52" i="107"/>
  <c r="Q49" i="107"/>
  <c r="R46" i="107"/>
  <c r="P44" i="107"/>
  <c r="Q41" i="107"/>
  <c r="R38" i="107"/>
  <c r="P36" i="107"/>
  <c r="Q33" i="107"/>
  <c r="R30" i="107"/>
  <c r="P28" i="107"/>
  <c r="Q25" i="107"/>
  <c r="R22" i="107"/>
  <c r="P20" i="107"/>
  <c r="Q17" i="107"/>
  <c r="R14" i="107"/>
  <c r="P12" i="107"/>
  <c r="Q9" i="107"/>
  <c r="O101" i="107"/>
  <c r="O93" i="107"/>
  <c r="O85" i="107"/>
  <c r="O77" i="107"/>
  <c r="O69" i="107"/>
  <c r="O61" i="107"/>
  <c r="O53" i="107"/>
  <c r="O45" i="107"/>
  <c r="O37" i="107"/>
  <c r="O29" i="107"/>
  <c r="O21" i="107"/>
  <c r="O13" i="107"/>
  <c r="R107" i="107"/>
  <c r="P105" i="107"/>
  <c r="Q102" i="107"/>
  <c r="R99" i="107"/>
  <c r="P97" i="107"/>
  <c r="Q94" i="107"/>
  <c r="R91" i="107"/>
  <c r="P89" i="107"/>
  <c r="Q86" i="107"/>
  <c r="R83" i="107"/>
  <c r="P81" i="107"/>
  <c r="Q78" i="107"/>
  <c r="R75" i="107"/>
  <c r="P73" i="107"/>
  <c r="Q70" i="107"/>
  <c r="R67" i="107"/>
  <c r="P65" i="107"/>
  <c r="Q62" i="107"/>
  <c r="R59" i="107"/>
  <c r="P57" i="107"/>
  <c r="Q54" i="107"/>
  <c r="R51" i="107"/>
  <c r="P49" i="107"/>
  <c r="Q46" i="107"/>
  <c r="R43" i="107"/>
  <c r="P41" i="107"/>
  <c r="Q38" i="107"/>
  <c r="R35" i="107"/>
  <c r="P33" i="107"/>
  <c r="Q30" i="107"/>
  <c r="R27" i="107"/>
  <c r="P25" i="107"/>
  <c r="Q22" i="107"/>
  <c r="R19" i="107"/>
  <c r="P17" i="107"/>
  <c r="Q14" i="107"/>
  <c r="R11" i="107"/>
  <c r="P9" i="107"/>
  <c r="O100" i="107"/>
  <c r="O92" i="107"/>
  <c r="O84" i="107"/>
  <c r="O76" i="107"/>
  <c r="O68" i="107"/>
  <c r="O60" i="107"/>
  <c r="O52" i="107"/>
  <c r="O44" i="107"/>
  <c r="O36" i="107"/>
  <c r="O28" i="107"/>
  <c r="O20" i="107"/>
  <c r="O12" i="107"/>
  <c r="Q107" i="107"/>
  <c r="R104" i="107"/>
  <c r="P102" i="107"/>
  <c r="Q99" i="107"/>
  <c r="R96" i="107"/>
  <c r="P94" i="107"/>
  <c r="Q91" i="107"/>
  <c r="R88" i="107"/>
  <c r="P86" i="107"/>
  <c r="Q83" i="107"/>
  <c r="R80" i="107"/>
  <c r="P78" i="107"/>
  <c r="Q75" i="107"/>
  <c r="R72" i="107"/>
  <c r="P70" i="107"/>
  <c r="Q67" i="107"/>
  <c r="R64" i="107"/>
  <c r="P62" i="107"/>
  <c r="Q59" i="107"/>
  <c r="R56" i="107"/>
  <c r="P54" i="107"/>
  <c r="Q51" i="107"/>
  <c r="R48" i="107"/>
  <c r="P46" i="107"/>
  <c r="Q43" i="107"/>
  <c r="R40" i="107"/>
  <c r="P38" i="107"/>
  <c r="Q35" i="107"/>
  <c r="R32" i="107"/>
  <c r="P30" i="107"/>
  <c r="Q27" i="107"/>
  <c r="R24" i="107"/>
  <c r="P22" i="107"/>
  <c r="Q19" i="107"/>
  <c r="R16" i="107"/>
  <c r="P14" i="107"/>
  <c r="Q11" i="107"/>
  <c r="O107" i="107"/>
  <c r="O99" i="107"/>
  <c r="O91" i="107"/>
  <c r="O83" i="107"/>
  <c r="O75" i="107"/>
  <c r="O67" i="107"/>
  <c r="O59" i="107"/>
  <c r="O51" i="107"/>
  <c r="O43" i="107"/>
  <c r="O35" i="107"/>
  <c r="O27" i="107"/>
  <c r="O19" i="107"/>
  <c r="O11" i="107"/>
  <c r="P107" i="107"/>
  <c r="Q104" i="107"/>
  <c r="R101" i="107"/>
  <c r="P99" i="107"/>
  <c r="Q96" i="107"/>
  <c r="R93" i="107"/>
  <c r="P91" i="107"/>
  <c r="Q88" i="107"/>
  <c r="R85" i="107"/>
  <c r="P83" i="107"/>
  <c r="Q80" i="107"/>
  <c r="R77" i="107"/>
  <c r="P75" i="107"/>
  <c r="Q72" i="107"/>
  <c r="R69" i="107"/>
  <c r="P67" i="107"/>
  <c r="Q64" i="107"/>
  <c r="R61" i="107"/>
  <c r="P59" i="107"/>
  <c r="Q56" i="107"/>
  <c r="R53" i="107"/>
  <c r="P51" i="107"/>
  <c r="Q48" i="107"/>
  <c r="R45" i="107"/>
  <c r="P43" i="107"/>
  <c r="Q40" i="107"/>
  <c r="R37" i="107"/>
  <c r="P35" i="107"/>
  <c r="Q32" i="107"/>
  <c r="R29" i="107"/>
  <c r="P27" i="107"/>
  <c r="Q24" i="107"/>
  <c r="R21" i="107"/>
  <c r="P19" i="107"/>
  <c r="Q16" i="107"/>
  <c r="R13" i="107"/>
  <c r="P11" i="107"/>
  <c r="O106" i="107"/>
  <c r="O98" i="107"/>
  <c r="O90" i="107"/>
  <c r="O82" i="107"/>
  <c r="O74" i="107"/>
  <c r="O66" i="107"/>
  <c r="O58" i="107"/>
  <c r="O50" i="107"/>
  <c r="O42" i="107"/>
  <c r="O34" i="107"/>
  <c r="O26" i="107"/>
  <c r="O18" i="107"/>
  <c r="O10" i="107"/>
  <c r="C52" i="107"/>
  <c r="C46" i="107"/>
  <c r="C33" i="107"/>
  <c r="C20" i="107"/>
  <c r="C53" i="107"/>
  <c r="C40" i="107"/>
  <c r="C34" i="107"/>
  <c r="C21" i="107"/>
  <c r="C14" i="107"/>
  <c r="C45" i="107"/>
  <c r="C32" i="107"/>
  <c r="C26" i="107"/>
  <c r="C13" i="107"/>
  <c r="C44" i="107"/>
  <c r="C38" i="107"/>
  <c r="C25" i="107"/>
  <c r="C50" i="107"/>
  <c r="C37" i="107"/>
  <c r="C24" i="107"/>
  <c r="C18" i="107"/>
  <c r="C49" i="107"/>
  <c r="C36" i="107"/>
  <c r="C30" i="107"/>
  <c r="C17" i="107"/>
  <c r="C12" i="107"/>
  <c r="C48" i="107"/>
  <c r="C42" i="107"/>
  <c r="C29" i="107"/>
  <c r="C16" i="107"/>
  <c r="C10" i="107"/>
  <c r="C54" i="107"/>
  <c r="C41" i="107"/>
  <c r="C28" i="107"/>
  <c r="C22" i="107"/>
  <c r="S64" i="107" l="1"/>
  <c r="U64" i="107" s="1"/>
  <c r="S96" i="107"/>
  <c r="U96" i="107" s="1"/>
  <c r="AB10" i="107"/>
  <c r="AD10" i="107" s="1"/>
  <c r="AB8" i="107"/>
  <c r="AD8" i="107" s="1"/>
  <c r="AB9" i="107"/>
  <c r="AD9" i="107" s="1"/>
  <c r="S32" i="107"/>
  <c r="U32" i="107" s="1"/>
  <c r="S56" i="107"/>
  <c r="U56" i="107" s="1"/>
  <c r="S72" i="107"/>
  <c r="U72" i="107" s="1"/>
  <c r="S62" i="107"/>
  <c r="U62" i="107" s="1"/>
  <c r="S49" i="107"/>
  <c r="U49" i="107" s="1"/>
  <c r="S67" i="107"/>
  <c r="U67" i="107" s="1"/>
  <c r="S65" i="107"/>
  <c r="U65" i="107" s="1"/>
  <c r="S59" i="107"/>
  <c r="U59" i="107" s="1"/>
  <c r="S54" i="107"/>
  <c r="U54" i="107" s="1"/>
  <c r="S68" i="107"/>
  <c r="U68" i="107" s="1"/>
  <c r="S10" i="107"/>
  <c r="U10" i="107" s="1"/>
  <c r="S47" i="107"/>
  <c r="U47" i="107" s="1"/>
  <c r="S9" i="107"/>
  <c r="U9" i="107" s="1"/>
  <c r="S73" i="107"/>
  <c r="U73" i="107" s="1"/>
  <c r="S92" i="107"/>
  <c r="U92" i="107" s="1"/>
  <c r="S23" i="107"/>
  <c r="U23" i="107" s="1"/>
  <c r="S66" i="107"/>
  <c r="U66" i="107" s="1"/>
  <c r="S39" i="107"/>
  <c r="U39" i="107" s="1"/>
  <c r="S52" i="107"/>
  <c r="U52" i="107" s="1"/>
  <c r="S34" i="107"/>
  <c r="U34" i="107" s="1"/>
  <c r="S71" i="107"/>
  <c r="U71" i="107" s="1"/>
  <c r="S50" i="107"/>
  <c r="U50" i="107" s="1"/>
  <c r="S76" i="107"/>
  <c r="U76" i="107" s="1"/>
  <c r="S27" i="107"/>
  <c r="U27" i="107" s="1"/>
  <c r="S91" i="107"/>
  <c r="U91" i="107" s="1"/>
  <c r="S22" i="107"/>
  <c r="U22" i="107" s="1"/>
  <c r="S86" i="107"/>
  <c r="U86" i="107" s="1"/>
  <c r="S17" i="107"/>
  <c r="U17" i="107" s="1"/>
  <c r="S81" i="107"/>
  <c r="U81" i="107" s="1"/>
  <c r="S100" i="107"/>
  <c r="U100" i="107" s="1"/>
  <c r="S74" i="107"/>
  <c r="U74" i="107" s="1"/>
  <c r="S51" i="107"/>
  <c r="U51" i="107" s="1"/>
  <c r="S46" i="107"/>
  <c r="U46" i="107" s="1"/>
  <c r="S60" i="107"/>
  <c r="U60" i="107" s="1"/>
  <c r="S16" i="107"/>
  <c r="U16" i="107" s="1"/>
  <c r="S80" i="107"/>
  <c r="U80" i="107" s="1"/>
  <c r="S11" i="107"/>
  <c r="U11" i="107" s="1"/>
  <c r="S75" i="107"/>
  <c r="U75" i="107" s="1"/>
  <c r="S70" i="107"/>
  <c r="U70" i="107" s="1"/>
  <c r="S20" i="107"/>
  <c r="U20" i="107" s="1"/>
  <c r="S84" i="107"/>
  <c r="U84" i="107" s="1"/>
  <c r="S26" i="107"/>
  <c r="U26" i="107" s="1"/>
  <c r="S63" i="107"/>
  <c r="U63" i="107" s="1"/>
  <c r="S42" i="107"/>
  <c r="U42" i="107" s="1"/>
  <c r="S21" i="107"/>
  <c r="U21" i="107" s="1"/>
  <c r="S79" i="107"/>
  <c r="U79" i="107" s="1"/>
  <c r="S58" i="107"/>
  <c r="U58" i="107" s="1"/>
  <c r="S101" i="107"/>
  <c r="U101" i="107" s="1"/>
  <c r="S82" i="107"/>
  <c r="U82" i="107" s="1"/>
  <c r="S40" i="107"/>
  <c r="U40" i="107" s="1"/>
  <c r="S104" i="107"/>
  <c r="U104" i="107" s="1"/>
  <c r="S35" i="107"/>
  <c r="U35" i="107" s="1"/>
  <c r="S99" i="107"/>
  <c r="U99" i="107" s="1"/>
  <c r="S30" i="107"/>
  <c r="U30" i="107" s="1"/>
  <c r="S94" i="107"/>
  <c r="U94" i="107" s="1"/>
  <c r="S25" i="107"/>
  <c r="U25" i="107" s="1"/>
  <c r="S89" i="107"/>
  <c r="U89" i="107" s="1"/>
  <c r="S44" i="107"/>
  <c r="U44" i="107" s="1"/>
  <c r="S90" i="107"/>
  <c r="U90" i="107" s="1"/>
  <c r="S69" i="107"/>
  <c r="U69" i="107" s="1"/>
  <c r="S106" i="107"/>
  <c r="U106" i="107" s="1"/>
  <c r="S85" i="107"/>
  <c r="U85" i="107" s="1"/>
  <c r="S18" i="107"/>
  <c r="U18" i="107" s="1"/>
  <c r="S24" i="107"/>
  <c r="U24" i="107" s="1"/>
  <c r="S19" i="107"/>
  <c r="U19" i="107" s="1"/>
  <c r="S14" i="107"/>
  <c r="U14" i="107" s="1"/>
  <c r="S28" i="107"/>
  <c r="U28" i="107" s="1"/>
  <c r="S88" i="107"/>
  <c r="U88" i="107" s="1"/>
  <c r="S83" i="107"/>
  <c r="U83" i="107" s="1"/>
  <c r="S78" i="107"/>
  <c r="U78" i="107" s="1"/>
  <c r="S48" i="107"/>
  <c r="U48" i="107" s="1"/>
  <c r="S43" i="107"/>
  <c r="U43" i="107" s="1"/>
  <c r="S107" i="107"/>
  <c r="U107" i="107" s="1"/>
  <c r="S38" i="107"/>
  <c r="U38" i="107" s="1"/>
  <c r="S102" i="107"/>
  <c r="U102" i="107" s="1"/>
  <c r="S33" i="107"/>
  <c r="U33" i="107" s="1"/>
  <c r="S97" i="107"/>
  <c r="U97" i="107" s="1"/>
  <c r="S55" i="107"/>
  <c r="U55" i="107" s="1"/>
  <c r="S13" i="107"/>
  <c r="U13" i="107" s="1"/>
  <c r="S29" i="107"/>
  <c r="U29" i="107" s="1"/>
  <c r="S87" i="107"/>
  <c r="U87" i="107" s="1"/>
  <c r="S57" i="107"/>
  <c r="U57" i="107" s="1"/>
  <c r="S12" i="107"/>
  <c r="U12" i="107" s="1"/>
  <c r="S61" i="107"/>
  <c r="U61" i="107" s="1"/>
  <c r="S98" i="107"/>
  <c r="U98" i="107" s="1"/>
  <c r="S77" i="107"/>
  <c r="U77" i="107" s="1"/>
  <c r="S93" i="107"/>
  <c r="U93" i="107" s="1"/>
  <c r="S45" i="107"/>
  <c r="U45" i="107" s="1"/>
  <c r="S36" i="107"/>
  <c r="U36" i="107" s="1"/>
  <c r="S31" i="107"/>
  <c r="U31" i="107" s="1"/>
  <c r="S41" i="107"/>
  <c r="U41" i="107" s="1"/>
  <c r="S105" i="107"/>
  <c r="U105" i="107" s="1"/>
  <c r="S15" i="107"/>
  <c r="U15" i="107" s="1"/>
  <c r="S37" i="107"/>
  <c r="U37" i="107" s="1"/>
  <c r="S95" i="107"/>
  <c r="U95" i="107" s="1"/>
  <c r="S103" i="107"/>
  <c r="U103" i="107" s="1"/>
  <c r="S53" i="107"/>
  <c r="U53" i="107" s="1"/>
  <c r="X7" i="107"/>
  <c r="Y7" i="107"/>
  <c r="Z7" i="107"/>
  <c r="AA7" i="107"/>
  <c r="AB7" i="107" l="1"/>
  <c r="AD7" i="107" s="1"/>
  <c r="T11" i="67"/>
  <c r="AC8" i="107" s="1"/>
  <c r="T12" i="67"/>
  <c r="AC9" i="107" s="1"/>
  <c r="T13" i="67"/>
  <c r="AC10" i="107" s="1"/>
  <c r="T14" i="67"/>
  <c r="AC11" i="107" s="1"/>
  <c r="T15" i="67"/>
  <c r="AC12" i="107" s="1"/>
  <c r="T16" i="67"/>
  <c r="AC13" i="107" s="1"/>
  <c r="T17" i="67"/>
  <c r="AC14" i="107" s="1"/>
  <c r="T18" i="67"/>
  <c r="AC15" i="107" s="1"/>
  <c r="T19" i="67"/>
  <c r="AC16" i="107" s="1"/>
  <c r="T20" i="67"/>
  <c r="AC17" i="107" s="1"/>
  <c r="T21" i="67"/>
  <c r="AC18" i="107" s="1"/>
  <c r="T22" i="67"/>
  <c r="AC19" i="107" s="1"/>
  <c r="T23" i="67"/>
  <c r="AC20" i="107" s="1"/>
  <c r="T24" i="67"/>
  <c r="AC21" i="107" s="1"/>
  <c r="T25" i="67"/>
  <c r="AC22" i="107" s="1"/>
  <c r="T26" i="67"/>
  <c r="AC23" i="107" s="1"/>
  <c r="T27" i="67"/>
  <c r="AC24" i="107" s="1"/>
  <c r="T28" i="67"/>
  <c r="AC25" i="107" s="1"/>
  <c r="T29" i="67"/>
  <c r="AC26" i="107" s="1"/>
  <c r="T30" i="67"/>
  <c r="AC27" i="107" s="1"/>
  <c r="T31" i="67"/>
  <c r="AC28" i="107" s="1"/>
  <c r="T32" i="67"/>
  <c r="AC29" i="107" s="1"/>
  <c r="T33" i="67"/>
  <c r="AC30" i="107" s="1"/>
  <c r="T34" i="67"/>
  <c r="AC31" i="107" s="1"/>
  <c r="T35" i="67"/>
  <c r="AC32" i="107" s="1"/>
  <c r="T36" i="67"/>
  <c r="AC33" i="107" s="1"/>
  <c r="T37" i="67"/>
  <c r="AC34" i="107" s="1"/>
  <c r="T38" i="67"/>
  <c r="AC35" i="107" s="1"/>
  <c r="T39" i="67"/>
  <c r="AC36" i="107" s="1"/>
  <c r="T40" i="67"/>
  <c r="AC37" i="107" s="1"/>
  <c r="T41" i="67"/>
  <c r="AC38" i="107" s="1"/>
  <c r="T42" i="67"/>
  <c r="AC39" i="107" s="1"/>
  <c r="T43" i="67"/>
  <c r="AC40" i="107" s="1"/>
  <c r="T44" i="67"/>
  <c r="AC41" i="107" s="1"/>
  <c r="T45" i="67"/>
  <c r="AC42" i="107" s="1"/>
  <c r="T46" i="67"/>
  <c r="AC43" i="107" s="1"/>
  <c r="T47" i="67"/>
  <c r="AC44" i="107" s="1"/>
  <c r="T48" i="67"/>
  <c r="AC45" i="107" s="1"/>
  <c r="T49" i="67"/>
  <c r="AC46" i="107" s="1"/>
  <c r="T50" i="67"/>
  <c r="AC47" i="107" s="1"/>
  <c r="T51" i="67"/>
  <c r="AC48" i="107" s="1"/>
  <c r="T52" i="67"/>
  <c r="AC49" i="107" s="1"/>
  <c r="T53" i="67"/>
  <c r="AC50" i="107" s="1"/>
  <c r="T54" i="67"/>
  <c r="AC51" i="107" s="1"/>
  <c r="T55" i="67"/>
  <c r="AC52" i="107" s="1"/>
  <c r="T56" i="67"/>
  <c r="AC53" i="107" s="1"/>
  <c r="T57" i="67"/>
  <c r="AC54" i="107" s="1"/>
  <c r="T58" i="67"/>
  <c r="AC55" i="107" s="1"/>
  <c r="T59" i="67"/>
  <c r="AC56" i="107" s="1"/>
  <c r="T60" i="67"/>
  <c r="AC57" i="107" s="1"/>
  <c r="T61" i="67"/>
  <c r="AC58" i="107" s="1"/>
  <c r="T62" i="67"/>
  <c r="AC59" i="107" s="1"/>
  <c r="T63" i="67"/>
  <c r="AC60" i="107" s="1"/>
  <c r="T64" i="67"/>
  <c r="AC61" i="107" s="1"/>
  <c r="T65" i="67"/>
  <c r="AC62" i="107" s="1"/>
  <c r="T66" i="67"/>
  <c r="AC63" i="107" s="1"/>
  <c r="T67" i="67"/>
  <c r="AC64" i="107" s="1"/>
  <c r="T68" i="67"/>
  <c r="AC65" i="107" s="1"/>
  <c r="T69" i="67"/>
  <c r="AC66" i="107" s="1"/>
  <c r="T70" i="67"/>
  <c r="AC67" i="107" s="1"/>
  <c r="T71" i="67"/>
  <c r="AC68" i="107" s="1"/>
  <c r="T72" i="67"/>
  <c r="AC69" i="107" s="1"/>
  <c r="T73" i="67"/>
  <c r="AC70" i="107" s="1"/>
  <c r="T74" i="67"/>
  <c r="AC71" i="107" s="1"/>
  <c r="T75" i="67"/>
  <c r="AC72" i="107" s="1"/>
  <c r="T76" i="67"/>
  <c r="AC73" i="107" s="1"/>
  <c r="T77" i="67"/>
  <c r="AC74" i="107" s="1"/>
  <c r="T78" i="67"/>
  <c r="AC75" i="107" s="1"/>
  <c r="T79" i="67"/>
  <c r="AC76" i="107" s="1"/>
  <c r="T80" i="67"/>
  <c r="AC77" i="107" s="1"/>
  <c r="T81" i="67"/>
  <c r="AC78" i="107" s="1"/>
  <c r="T82" i="67"/>
  <c r="AC79" i="107" s="1"/>
  <c r="T83" i="67"/>
  <c r="AC80" i="107" s="1"/>
  <c r="T84" i="67"/>
  <c r="AC81" i="107" s="1"/>
  <c r="T85" i="67"/>
  <c r="AC82" i="107" s="1"/>
  <c r="T86" i="67"/>
  <c r="AC83" i="107" s="1"/>
  <c r="T87" i="67"/>
  <c r="AC84" i="107" s="1"/>
  <c r="T88" i="67"/>
  <c r="AC85" i="107" s="1"/>
  <c r="T89" i="67"/>
  <c r="AC86" i="107" s="1"/>
  <c r="T90" i="67"/>
  <c r="AC87" i="107" s="1"/>
  <c r="T91" i="67"/>
  <c r="AC88" i="107" s="1"/>
  <c r="T92" i="67"/>
  <c r="AC89" i="107" s="1"/>
  <c r="T93" i="67"/>
  <c r="AC90" i="107" s="1"/>
  <c r="T94" i="67"/>
  <c r="AC91" i="107" s="1"/>
  <c r="T95" i="67"/>
  <c r="AC92" i="107" s="1"/>
  <c r="T96" i="67"/>
  <c r="AC93" i="107" s="1"/>
  <c r="T97" i="67"/>
  <c r="AC94" i="107" s="1"/>
  <c r="T98" i="67"/>
  <c r="AC95" i="107" s="1"/>
  <c r="T99" i="67"/>
  <c r="AC96" i="107" s="1"/>
  <c r="T100" i="67"/>
  <c r="AC97" i="107" s="1"/>
  <c r="T101" i="67"/>
  <c r="AC98" i="107" s="1"/>
  <c r="T102" i="67"/>
  <c r="AC99" i="107" s="1"/>
  <c r="T103" i="67"/>
  <c r="AC100" i="107" s="1"/>
  <c r="T104" i="67"/>
  <c r="AC101" i="107" s="1"/>
  <c r="T105" i="67"/>
  <c r="AC102" i="107" s="1"/>
  <c r="T106" i="67"/>
  <c r="AC103" i="107" s="1"/>
  <c r="T107" i="67"/>
  <c r="AC104" i="107" s="1"/>
  <c r="T108" i="67"/>
  <c r="AC105" i="107" s="1"/>
  <c r="T109" i="67"/>
  <c r="AC106" i="107" s="1"/>
  <c r="T110" i="67"/>
  <c r="AC107" i="107" s="1"/>
  <c r="T111" i="67"/>
  <c r="T112" i="67"/>
  <c r="T113" i="67"/>
  <c r="T114" i="67"/>
  <c r="T115" i="67"/>
  <c r="T116" i="67"/>
  <c r="T117" i="67"/>
  <c r="T118" i="67"/>
  <c r="T119" i="67"/>
  <c r="T120" i="67"/>
  <c r="T121" i="67"/>
  <c r="T122" i="67"/>
  <c r="T123" i="67"/>
  <c r="T124" i="67"/>
  <c r="T125" i="67"/>
  <c r="T126" i="67"/>
  <c r="T127" i="67"/>
  <c r="T128" i="67"/>
  <c r="T129" i="67"/>
  <c r="T130" i="67"/>
  <c r="T131" i="67"/>
  <c r="T132" i="67"/>
  <c r="T133" i="67"/>
  <c r="T134" i="67"/>
  <c r="T135" i="67"/>
  <c r="T136" i="67"/>
  <c r="T137" i="67"/>
  <c r="T138" i="67"/>
  <c r="T139" i="67"/>
  <c r="T140" i="67"/>
  <c r="T141" i="67"/>
  <c r="T142" i="67"/>
  <c r="T143" i="67"/>
  <c r="T144" i="67"/>
  <c r="T145" i="67"/>
  <c r="T146" i="67"/>
  <c r="T147" i="67"/>
  <c r="T148" i="67"/>
  <c r="T149" i="67"/>
  <c r="T150" i="67"/>
  <c r="T151" i="67"/>
  <c r="T152" i="67"/>
  <c r="T153" i="67"/>
  <c r="T154" i="67"/>
  <c r="T155" i="67"/>
  <c r="T156" i="67"/>
  <c r="T157" i="67"/>
  <c r="T158" i="67"/>
  <c r="T159" i="67"/>
  <c r="T160" i="67"/>
  <c r="T161" i="67"/>
  <c r="T162" i="67"/>
  <c r="T163" i="67"/>
  <c r="T164" i="67"/>
  <c r="T165" i="67"/>
  <c r="T166" i="67"/>
  <c r="T167" i="67"/>
  <c r="T168" i="67"/>
  <c r="T169" i="67"/>
  <c r="T170" i="67"/>
  <c r="T171" i="67"/>
  <c r="T172" i="67"/>
  <c r="T173" i="67"/>
  <c r="T174" i="67"/>
  <c r="T175" i="67"/>
  <c r="T176" i="67"/>
  <c r="T177" i="67"/>
  <c r="T178" i="67"/>
  <c r="T179" i="67"/>
  <c r="T180" i="67"/>
  <c r="T181" i="67"/>
  <c r="T182" i="67"/>
  <c r="T183" i="67"/>
  <c r="T184" i="67"/>
  <c r="T185" i="67"/>
  <c r="T186" i="67"/>
  <c r="T187" i="67"/>
  <c r="T188" i="67"/>
  <c r="T189" i="67"/>
  <c r="T190" i="67"/>
  <c r="T191" i="67"/>
  <c r="T192" i="67"/>
  <c r="T193" i="67"/>
  <c r="T194" i="67"/>
  <c r="T195" i="67"/>
  <c r="T196" i="67"/>
  <c r="T197" i="67"/>
  <c r="T198" i="67"/>
  <c r="T199" i="67"/>
  <c r="T200" i="67"/>
  <c r="T201" i="67"/>
  <c r="T202" i="67"/>
  <c r="T203" i="67"/>
  <c r="T204" i="67"/>
  <c r="T205" i="67"/>
  <c r="T206" i="67"/>
  <c r="T207" i="67"/>
  <c r="T208" i="67"/>
  <c r="T209" i="67"/>
  <c r="T210" i="67"/>
  <c r="T211" i="67"/>
  <c r="T212" i="67"/>
  <c r="T213" i="67"/>
  <c r="T214" i="67"/>
  <c r="T215" i="67"/>
  <c r="T216" i="67"/>
  <c r="T217" i="67"/>
  <c r="T218" i="67"/>
  <c r="T219" i="67"/>
  <c r="T220" i="67"/>
  <c r="T221" i="67"/>
  <c r="T222" i="67"/>
  <c r="T223" i="67"/>
  <c r="T224" i="67"/>
  <c r="T225" i="67"/>
  <c r="T226" i="67"/>
  <c r="T227" i="67"/>
  <c r="T228" i="67"/>
  <c r="T229" i="67"/>
  <c r="T230" i="67"/>
  <c r="T231" i="67"/>
  <c r="T232" i="67"/>
  <c r="T233" i="67"/>
  <c r="T234" i="67"/>
  <c r="T235" i="67"/>
  <c r="T236" i="67"/>
  <c r="T237" i="67"/>
  <c r="T238" i="67"/>
  <c r="T239" i="67"/>
  <c r="T240" i="67"/>
  <c r="T241" i="67"/>
  <c r="T242" i="67"/>
  <c r="T243" i="67"/>
  <c r="T244" i="67"/>
  <c r="T245" i="67"/>
  <c r="T246" i="67"/>
  <c r="T247" i="67"/>
  <c r="T248" i="67"/>
  <c r="T249" i="67"/>
  <c r="T250" i="67"/>
  <c r="T251" i="67"/>
  <c r="T252" i="67"/>
  <c r="T253" i="67"/>
  <c r="T254" i="67"/>
  <c r="T255" i="67"/>
  <c r="T256" i="67"/>
  <c r="T257" i="67"/>
  <c r="I53" i="106"/>
  <c r="I52" i="106"/>
  <c r="I51" i="106"/>
  <c r="H10" i="107"/>
  <c r="H11" i="107"/>
  <c r="H12" i="107"/>
  <c r="H13" i="107"/>
  <c r="H14" i="107"/>
  <c r="H15" i="107"/>
  <c r="H16" i="107"/>
  <c r="H17" i="107"/>
  <c r="H18" i="107"/>
  <c r="H19" i="107"/>
  <c r="H20" i="107"/>
  <c r="H21" i="107"/>
  <c r="H22" i="107"/>
  <c r="H23" i="107"/>
  <c r="H24" i="107"/>
  <c r="H25" i="107"/>
  <c r="H26" i="107"/>
  <c r="H27" i="107"/>
  <c r="H28" i="107"/>
  <c r="H29" i="107"/>
  <c r="H30" i="107"/>
  <c r="H31" i="107"/>
  <c r="H32" i="107"/>
  <c r="H33" i="107"/>
  <c r="H34" i="107"/>
  <c r="H35" i="107"/>
  <c r="H36" i="107"/>
  <c r="H37" i="107"/>
  <c r="H38" i="107"/>
  <c r="H39" i="107"/>
  <c r="H40" i="107"/>
  <c r="H41" i="107"/>
  <c r="H42" i="107"/>
  <c r="H43" i="107"/>
  <c r="H44" i="107"/>
  <c r="H45" i="107"/>
  <c r="H46" i="107"/>
  <c r="H47" i="107"/>
  <c r="H48" i="107"/>
  <c r="H49" i="107"/>
  <c r="H50" i="107"/>
  <c r="H51" i="107"/>
  <c r="H52" i="107"/>
  <c r="H53" i="107"/>
  <c r="H54" i="107"/>
  <c r="H55" i="107"/>
  <c r="H56" i="107"/>
  <c r="H57" i="107"/>
  <c r="H58" i="107"/>
  <c r="H59" i="107"/>
  <c r="H60" i="107"/>
  <c r="H61" i="107"/>
  <c r="H62" i="107"/>
  <c r="H63" i="107"/>
  <c r="H64" i="107"/>
  <c r="H65" i="107"/>
  <c r="H66" i="107"/>
  <c r="H67" i="107"/>
  <c r="H68" i="107"/>
  <c r="H69" i="107"/>
  <c r="H70" i="107"/>
  <c r="H71" i="107"/>
  <c r="H72" i="107"/>
  <c r="H73" i="107"/>
  <c r="H74" i="107"/>
  <c r="H75" i="107"/>
  <c r="H76" i="107"/>
  <c r="H77" i="107"/>
  <c r="H78" i="107"/>
  <c r="H79" i="107"/>
  <c r="H80" i="107"/>
  <c r="H81" i="107"/>
  <c r="H82" i="107"/>
  <c r="H83" i="107"/>
  <c r="H84" i="107"/>
  <c r="H85" i="107"/>
  <c r="H86" i="107"/>
  <c r="H87" i="107"/>
  <c r="H88" i="107"/>
  <c r="H89" i="107"/>
  <c r="H90" i="107"/>
  <c r="H91" i="107"/>
  <c r="H92" i="107"/>
  <c r="H93" i="107"/>
  <c r="H94" i="107"/>
  <c r="H95" i="107"/>
  <c r="H96" i="107"/>
  <c r="H97" i="107"/>
  <c r="H98" i="107"/>
  <c r="H99" i="107"/>
  <c r="H100" i="107"/>
  <c r="H101" i="107"/>
  <c r="H102" i="107"/>
  <c r="H103" i="107"/>
  <c r="H104" i="107"/>
  <c r="H105" i="107"/>
  <c r="H106" i="107"/>
  <c r="H107" i="107"/>
  <c r="F10" i="107"/>
  <c r="F11" i="107"/>
  <c r="F12" i="107"/>
  <c r="F13" i="107"/>
  <c r="F14" i="107"/>
  <c r="F15" i="107"/>
  <c r="F16" i="107"/>
  <c r="F17" i="107"/>
  <c r="F18" i="107"/>
  <c r="F19" i="107"/>
  <c r="F20" i="107"/>
  <c r="F21" i="107"/>
  <c r="F22" i="107"/>
  <c r="F23" i="107"/>
  <c r="F24" i="107"/>
  <c r="F25" i="107"/>
  <c r="F26" i="107"/>
  <c r="F27" i="107"/>
  <c r="F28" i="107"/>
  <c r="F29" i="107"/>
  <c r="F30" i="107"/>
  <c r="F31" i="107"/>
  <c r="F32" i="107"/>
  <c r="F33" i="107"/>
  <c r="F34" i="107"/>
  <c r="F35" i="107"/>
  <c r="F36" i="107"/>
  <c r="F37" i="107"/>
  <c r="F38" i="107"/>
  <c r="F39" i="107"/>
  <c r="F40" i="107"/>
  <c r="F41" i="107"/>
  <c r="F42" i="107"/>
  <c r="F43" i="107"/>
  <c r="F44" i="107"/>
  <c r="F45" i="107"/>
  <c r="F46" i="107"/>
  <c r="F47" i="107"/>
  <c r="F48" i="107"/>
  <c r="F49" i="107"/>
  <c r="F50" i="107"/>
  <c r="F51" i="107"/>
  <c r="F52" i="107"/>
  <c r="F53" i="107"/>
  <c r="F54" i="107"/>
  <c r="F55" i="107"/>
  <c r="F56" i="107"/>
  <c r="F57" i="107"/>
  <c r="F58" i="107"/>
  <c r="F59" i="107"/>
  <c r="F60" i="107"/>
  <c r="F61" i="107"/>
  <c r="F62" i="107"/>
  <c r="F63" i="107"/>
  <c r="F64" i="107"/>
  <c r="F65" i="107"/>
  <c r="F66" i="107"/>
  <c r="F67" i="107"/>
  <c r="F68" i="107"/>
  <c r="F69" i="107"/>
  <c r="F70" i="107"/>
  <c r="F71" i="107"/>
  <c r="F72" i="107"/>
  <c r="F73" i="107"/>
  <c r="F74" i="107"/>
  <c r="F75" i="107"/>
  <c r="F76" i="107"/>
  <c r="F77" i="107"/>
  <c r="F78" i="107"/>
  <c r="F79" i="107"/>
  <c r="F80" i="107"/>
  <c r="F81" i="107"/>
  <c r="F82" i="107"/>
  <c r="F83" i="107"/>
  <c r="F84" i="107"/>
  <c r="F85" i="107"/>
  <c r="F86" i="107"/>
  <c r="F87" i="107"/>
  <c r="F88" i="107"/>
  <c r="F89" i="107"/>
  <c r="F90" i="107"/>
  <c r="F91" i="107"/>
  <c r="F92" i="107"/>
  <c r="F93" i="107"/>
  <c r="F94" i="107"/>
  <c r="F95" i="107"/>
  <c r="F96" i="107"/>
  <c r="F97" i="107"/>
  <c r="F98" i="107"/>
  <c r="F99" i="107"/>
  <c r="F100" i="107"/>
  <c r="F101" i="107"/>
  <c r="F102" i="107"/>
  <c r="F103" i="107"/>
  <c r="F104" i="107"/>
  <c r="F105" i="107"/>
  <c r="F106" i="107"/>
  <c r="F107" i="107"/>
  <c r="O8" i="107" l="1"/>
  <c r="P8" i="107"/>
  <c r="Q8" i="107"/>
  <c r="R8" i="107"/>
  <c r="C9" i="107"/>
  <c r="H9" i="107"/>
  <c r="F9" i="107"/>
  <c r="F8" i="107"/>
  <c r="F7" i="107"/>
  <c r="S8" i="107" l="1"/>
  <c r="U8" i="107" s="1"/>
  <c r="Q257" i="67"/>
  <c r="E80" i="28"/>
  <c r="D80" i="28"/>
  <c r="C80" i="28"/>
  <c r="B80" i="28"/>
  <c r="A80" i="28"/>
  <c r="W21" i="46"/>
  <c r="W22" i="46"/>
  <c r="W23" i="46"/>
  <c r="W24" i="46"/>
  <c r="W25" i="46"/>
  <c r="W26" i="46"/>
  <c r="W27" i="46"/>
  <c r="W28" i="46"/>
  <c r="W29" i="46"/>
  <c r="W30" i="46"/>
  <c r="W31" i="46"/>
  <c r="W32" i="46"/>
  <c r="W33" i="46"/>
  <c r="W34" i="46"/>
  <c r="W35" i="46"/>
  <c r="W36" i="46"/>
  <c r="W37" i="46"/>
  <c r="W38" i="46"/>
  <c r="W39" i="46"/>
  <c r="W40" i="46"/>
  <c r="W41" i="46"/>
  <c r="W42" i="46"/>
  <c r="W43" i="46"/>
  <c r="W44" i="46"/>
  <c r="W45" i="46"/>
  <c r="W46" i="46"/>
  <c r="W47" i="46"/>
  <c r="W48" i="46"/>
  <c r="W49" i="46"/>
  <c r="W50" i="46"/>
  <c r="W51" i="46"/>
  <c r="W52" i="46"/>
  <c r="W53" i="46"/>
  <c r="W54" i="46"/>
  <c r="W55" i="46"/>
  <c r="W56" i="46"/>
  <c r="W57" i="46"/>
  <c r="W58" i="46"/>
  <c r="W59" i="46"/>
  <c r="W60" i="46"/>
  <c r="W61" i="46"/>
  <c r="W62" i="46"/>
  <c r="W63" i="46"/>
  <c r="W64" i="46"/>
  <c r="W65" i="46"/>
  <c r="W66" i="46"/>
  <c r="W67" i="46"/>
  <c r="W68" i="46"/>
  <c r="W69" i="46"/>
  <c r="W70" i="46"/>
  <c r="W71" i="46"/>
  <c r="W72" i="46"/>
  <c r="W73" i="46"/>
  <c r="W74" i="46"/>
  <c r="W75" i="46"/>
  <c r="W76" i="46"/>
  <c r="W77" i="46"/>
  <c r="W78" i="46"/>
  <c r="W79" i="46"/>
  <c r="W80" i="46"/>
  <c r="W81" i="46"/>
  <c r="W82" i="46"/>
  <c r="W83" i="46"/>
  <c r="W84" i="46"/>
  <c r="W85" i="46"/>
  <c r="W86" i="46"/>
  <c r="W87" i="46"/>
  <c r="W88" i="46"/>
  <c r="W89" i="46"/>
  <c r="W90" i="46"/>
  <c r="W91" i="46"/>
  <c r="W92" i="46"/>
  <c r="W93" i="46"/>
  <c r="W94" i="46"/>
  <c r="W95" i="46"/>
  <c r="W96" i="46"/>
  <c r="W97" i="46"/>
  <c r="W98" i="46"/>
  <c r="W99" i="46"/>
  <c r="W100" i="46"/>
  <c r="W101" i="46"/>
  <c r="W102" i="46"/>
  <c r="W103" i="46"/>
  <c r="W104" i="46"/>
  <c r="W105" i="46"/>
  <c r="W106" i="46"/>
  <c r="W107" i="46"/>
  <c r="W108" i="46"/>
  <c r="W109" i="46"/>
  <c r="W110" i="46"/>
  <c r="W111" i="46"/>
  <c r="W112" i="46"/>
  <c r="W113" i="46"/>
  <c r="W114" i="46"/>
  <c r="W115" i="46"/>
  <c r="W116" i="46"/>
  <c r="W117" i="46"/>
  <c r="W118" i="46"/>
  <c r="W119" i="46"/>
  <c r="W120" i="46"/>
  <c r="W121" i="46"/>
  <c r="W122" i="46"/>
  <c r="W123" i="46"/>
  <c r="W124" i="46"/>
  <c r="W125" i="46"/>
  <c r="W126" i="46"/>
  <c r="W127" i="46"/>
  <c r="W128" i="46"/>
  <c r="W129" i="46"/>
  <c r="W130" i="46"/>
  <c r="W131" i="46"/>
  <c r="W132" i="46"/>
  <c r="W133" i="46"/>
  <c r="W134" i="46"/>
  <c r="W135" i="46"/>
  <c r="W136" i="46"/>
  <c r="W137" i="46"/>
  <c r="W138" i="46"/>
  <c r="W139" i="46"/>
  <c r="W140" i="46"/>
  <c r="W141" i="46"/>
  <c r="W142" i="46"/>
  <c r="W143" i="46"/>
  <c r="W144" i="46"/>
  <c r="W145" i="46"/>
  <c r="W146" i="46"/>
  <c r="W147" i="46"/>
  <c r="W148" i="46"/>
  <c r="W149" i="46"/>
  <c r="W150" i="46"/>
  <c r="W151" i="46"/>
  <c r="W152" i="46"/>
  <c r="W153" i="46"/>
  <c r="W154" i="46"/>
  <c r="W155" i="46"/>
  <c r="W156" i="46"/>
  <c r="W157" i="46"/>
  <c r="W158" i="46"/>
  <c r="W159" i="46"/>
  <c r="W160" i="46"/>
  <c r="W161" i="46"/>
  <c r="W162" i="46"/>
  <c r="W163" i="46"/>
  <c r="W164" i="46"/>
  <c r="W165" i="46"/>
  <c r="W166" i="46"/>
  <c r="W167" i="46"/>
  <c r="W168" i="46"/>
  <c r="W169" i="46"/>
  <c r="W170" i="46"/>
  <c r="W171" i="46"/>
  <c r="W172" i="46"/>
  <c r="W173" i="46"/>
  <c r="W174" i="46"/>
  <c r="W175" i="46"/>
  <c r="W176" i="46"/>
  <c r="W177" i="46"/>
  <c r="W178" i="46"/>
  <c r="W179" i="46"/>
  <c r="W180" i="46"/>
  <c r="W181" i="46"/>
  <c r="W182" i="46"/>
  <c r="W183" i="46"/>
  <c r="W184" i="46"/>
  <c r="W185" i="46"/>
  <c r="W186" i="46"/>
  <c r="W187" i="46"/>
  <c r="W188" i="46"/>
  <c r="W189" i="46"/>
  <c r="W190" i="46"/>
  <c r="W191" i="46"/>
  <c r="W192" i="46"/>
  <c r="W193" i="46"/>
  <c r="W194" i="46"/>
  <c r="W195" i="46"/>
  <c r="W196" i="46"/>
  <c r="W197" i="46"/>
  <c r="W198" i="46"/>
  <c r="W199" i="46"/>
  <c r="W200" i="46"/>
  <c r="W201" i="46"/>
  <c r="W202" i="46"/>
  <c r="W203" i="46"/>
  <c r="W204" i="46"/>
  <c r="W205" i="46"/>
  <c r="W206" i="46"/>
  <c r="W207" i="46"/>
  <c r="W208" i="46"/>
  <c r="W209" i="46"/>
  <c r="W210" i="46"/>
  <c r="W211" i="46"/>
  <c r="W212" i="46"/>
  <c r="W213" i="46"/>
  <c r="W214" i="46"/>
  <c r="W215" i="46"/>
  <c r="W216" i="46"/>
  <c r="W217" i="46"/>
  <c r="W218" i="46"/>
  <c r="W219" i="46"/>
  <c r="W220" i="46"/>
  <c r="W221" i="46"/>
  <c r="W222" i="46"/>
  <c r="W223" i="46"/>
  <c r="W224" i="46"/>
  <c r="W225" i="46"/>
  <c r="W226" i="46"/>
  <c r="W227" i="46"/>
  <c r="W228" i="46"/>
  <c r="W229" i="46"/>
  <c r="W230" i="46"/>
  <c r="W231" i="46"/>
  <c r="W232" i="46"/>
  <c r="W233" i="46"/>
  <c r="W234" i="46"/>
  <c r="W235" i="46"/>
  <c r="W236" i="46"/>
  <c r="W237" i="46"/>
  <c r="W238" i="46"/>
  <c r="W239" i="46"/>
  <c r="W240" i="46"/>
  <c r="W241" i="46"/>
  <c r="W242" i="46"/>
  <c r="W243" i="46"/>
  <c r="W244" i="46"/>
  <c r="W245" i="46"/>
  <c r="W246" i="46"/>
  <c r="W247" i="46"/>
  <c r="W248" i="46"/>
  <c r="W249" i="46"/>
  <c r="W250" i="46"/>
  <c r="W251" i="46"/>
  <c r="W252" i="46"/>
  <c r="W253" i="46"/>
  <c r="W254" i="46"/>
  <c r="W255" i="46"/>
  <c r="W256" i="46"/>
  <c r="AH257" i="67" l="1"/>
  <c r="AI257" i="67"/>
  <c r="B56" i="73"/>
  <c r="I27" i="96"/>
  <c r="AR11" i="63"/>
  <c r="AR12" i="63"/>
  <c r="AR13" i="63"/>
  <c r="AR14" i="63"/>
  <c r="AR15" i="63"/>
  <c r="AR16" i="63"/>
  <c r="AR17" i="63"/>
  <c r="AR18" i="63"/>
  <c r="AR19" i="63"/>
  <c r="AR20" i="63"/>
  <c r="AR21" i="63"/>
  <c r="AR22" i="63"/>
  <c r="AR23" i="63"/>
  <c r="AR24" i="63"/>
  <c r="AR25" i="63"/>
  <c r="AR26" i="63"/>
  <c r="AR27" i="63"/>
  <c r="AR28" i="63"/>
  <c r="AR29" i="63"/>
  <c r="AR30" i="63"/>
  <c r="AR31" i="63"/>
  <c r="AR32" i="63"/>
  <c r="AR33" i="63"/>
  <c r="AR34" i="63"/>
  <c r="AR35" i="63"/>
  <c r="AR36" i="63"/>
  <c r="AR37" i="63"/>
  <c r="AR38" i="63"/>
  <c r="AR39" i="63"/>
  <c r="AR40" i="63"/>
  <c r="AR41" i="63"/>
  <c r="AR42" i="63"/>
  <c r="AR43" i="63"/>
  <c r="AR44" i="63"/>
  <c r="AR45" i="63"/>
  <c r="AR46" i="63"/>
  <c r="AR47" i="63"/>
  <c r="AR48" i="63"/>
  <c r="AR49" i="63"/>
  <c r="AR50" i="63"/>
  <c r="AR51" i="63"/>
  <c r="AR52" i="63"/>
  <c r="AR53" i="63"/>
  <c r="AR54" i="63"/>
  <c r="AR55" i="63"/>
  <c r="AR56" i="63"/>
  <c r="AR57" i="63"/>
  <c r="AR58" i="63"/>
  <c r="AR59" i="63"/>
  <c r="AR60" i="63"/>
  <c r="AR61" i="63"/>
  <c r="AR62" i="63"/>
  <c r="AR63" i="63"/>
  <c r="AR64" i="63"/>
  <c r="AR65" i="63"/>
  <c r="AR66" i="63"/>
  <c r="AR67" i="63"/>
  <c r="AR68" i="63"/>
  <c r="AR69" i="63"/>
  <c r="AR70" i="63"/>
  <c r="AR71" i="63"/>
  <c r="AR72" i="63"/>
  <c r="AR73" i="63"/>
  <c r="AR74" i="63"/>
  <c r="AR75" i="63"/>
  <c r="AR76" i="63"/>
  <c r="AR77" i="63"/>
  <c r="AR78" i="63"/>
  <c r="AR79" i="63"/>
  <c r="AR80" i="63"/>
  <c r="AR81" i="63"/>
  <c r="AR82" i="63"/>
  <c r="AR83" i="63"/>
  <c r="AR84" i="63"/>
  <c r="AR85" i="63"/>
  <c r="AR86" i="63"/>
  <c r="AR87" i="63"/>
  <c r="AR88" i="63"/>
  <c r="AR89" i="63"/>
  <c r="AR90" i="63"/>
  <c r="AR91" i="63"/>
  <c r="AR92" i="63"/>
  <c r="AR93" i="63"/>
  <c r="AR94" i="63"/>
  <c r="AR95" i="63"/>
  <c r="AR96" i="63"/>
  <c r="AR97" i="63"/>
  <c r="AR98" i="63"/>
  <c r="AR99" i="63"/>
  <c r="AR100" i="63"/>
  <c r="AR101" i="63"/>
  <c r="AR102" i="63"/>
  <c r="AR103" i="63"/>
  <c r="AR104" i="63"/>
  <c r="AR105" i="63"/>
  <c r="AR106" i="63"/>
  <c r="AR107" i="63"/>
  <c r="AR108" i="63"/>
  <c r="AR109" i="63"/>
  <c r="AR110" i="63"/>
  <c r="AR111" i="63"/>
  <c r="AR112" i="63"/>
  <c r="AR113" i="63"/>
  <c r="AR114" i="63"/>
  <c r="AR115" i="63"/>
  <c r="AR116" i="63"/>
  <c r="AR117" i="63"/>
  <c r="AR118" i="63"/>
  <c r="AR119" i="63"/>
  <c r="AR120" i="63"/>
  <c r="AR121" i="63"/>
  <c r="AR122" i="63"/>
  <c r="AR123" i="63"/>
  <c r="AR124" i="63"/>
  <c r="AR125" i="63"/>
  <c r="AR126" i="63"/>
  <c r="AR127" i="63"/>
  <c r="AR128" i="63"/>
  <c r="AR129" i="63"/>
  <c r="AR130" i="63"/>
  <c r="AR131" i="63"/>
  <c r="AR132" i="63"/>
  <c r="AR133" i="63"/>
  <c r="AR134" i="63"/>
  <c r="AR135" i="63"/>
  <c r="AR136" i="63"/>
  <c r="AR137" i="63"/>
  <c r="AR138" i="63"/>
  <c r="AR139" i="63"/>
  <c r="AR140" i="63"/>
  <c r="AR141" i="63"/>
  <c r="AR142" i="63"/>
  <c r="AR143" i="63"/>
  <c r="AR144" i="63"/>
  <c r="AR145" i="63"/>
  <c r="AR146" i="63"/>
  <c r="AR147" i="63"/>
  <c r="AR148" i="63"/>
  <c r="AR149" i="63"/>
  <c r="AR150" i="63"/>
  <c r="AR151" i="63"/>
  <c r="AR152" i="63"/>
  <c r="AR153" i="63"/>
  <c r="AR154" i="63"/>
  <c r="AR155" i="63"/>
  <c r="AR156" i="63"/>
  <c r="AR157" i="63"/>
  <c r="AR158" i="63"/>
  <c r="AR159" i="63"/>
  <c r="AR160" i="63"/>
  <c r="AR161" i="63"/>
  <c r="AR162" i="63"/>
  <c r="AR163" i="63"/>
  <c r="AR164" i="63"/>
  <c r="AR165" i="63"/>
  <c r="AR166" i="63"/>
  <c r="AR167" i="63"/>
  <c r="AR168" i="63"/>
  <c r="AR169" i="63"/>
  <c r="AR170" i="63"/>
  <c r="AR171" i="63"/>
  <c r="AR172" i="63"/>
  <c r="AR173" i="63"/>
  <c r="AR174" i="63"/>
  <c r="AR175" i="63"/>
  <c r="AR176" i="63"/>
  <c r="AR177" i="63"/>
  <c r="AR178" i="63"/>
  <c r="AR179" i="63"/>
  <c r="AR180" i="63"/>
  <c r="AR181" i="63"/>
  <c r="AR182" i="63"/>
  <c r="AR183" i="63"/>
  <c r="AR184" i="63"/>
  <c r="AR185" i="63"/>
  <c r="AR186" i="63"/>
  <c r="AR187" i="63"/>
  <c r="AR188" i="63"/>
  <c r="AR189" i="63"/>
  <c r="AR190" i="63"/>
  <c r="AR191" i="63"/>
  <c r="AR192" i="63"/>
  <c r="AR193" i="63"/>
  <c r="AR194" i="63"/>
  <c r="AR195" i="63"/>
  <c r="AR196" i="63"/>
  <c r="AR197" i="63"/>
  <c r="AR198" i="63"/>
  <c r="AR199" i="63"/>
  <c r="AR200" i="63"/>
  <c r="AR201" i="63"/>
  <c r="AR202" i="63"/>
  <c r="AR203" i="63"/>
  <c r="AR204" i="63"/>
  <c r="AR205" i="63"/>
  <c r="AR206" i="63"/>
  <c r="AR207" i="63"/>
  <c r="AR208" i="63"/>
  <c r="AR209" i="63"/>
  <c r="AR210" i="63"/>
  <c r="AR211" i="63"/>
  <c r="AR212" i="63"/>
  <c r="AR213" i="63"/>
  <c r="AR214" i="63"/>
  <c r="AR215" i="63"/>
  <c r="AR216" i="63"/>
  <c r="AR217" i="63"/>
  <c r="AR218" i="63"/>
  <c r="AR219" i="63"/>
  <c r="AR220" i="63"/>
  <c r="AR221" i="63"/>
  <c r="AR222" i="63"/>
  <c r="AR223" i="63"/>
  <c r="AR224" i="63"/>
  <c r="AR225" i="63"/>
  <c r="AR226" i="63"/>
  <c r="AR227" i="63"/>
  <c r="AR228" i="63"/>
  <c r="AR229" i="63"/>
  <c r="AR230" i="63"/>
  <c r="AR231" i="63"/>
  <c r="AR232" i="63"/>
  <c r="AR233" i="63"/>
  <c r="AR234" i="63"/>
  <c r="AR235" i="63"/>
  <c r="AR236" i="63"/>
  <c r="AR237" i="63"/>
  <c r="AR238" i="63"/>
  <c r="AR239" i="63"/>
  <c r="AR240" i="63"/>
  <c r="AR241" i="63"/>
  <c r="AR242" i="63"/>
  <c r="AR243" i="63"/>
  <c r="AR244" i="63"/>
  <c r="AR245" i="63"/>
  <c r="AR246" i="63"/>
  <c r="AR247" i="63"/>
  <c r="AR248" i="63"/>
  <c r="AR249" i="63"/>
  <c r="AR250" i="63"/>
  <c r="AR251" i="63"/>
  <c r="AR252" i="63"/>
  <c r="AR253" i="63"/>
  <c r="AR254" i="63"/>
  <c r="AR255" i="63"/>
  <c r="AR256" i="63"/>
  <c r="AR257" i="63"/>
  <c r="AR10" i="63"/>
  <c r="AQ10" i="63"/>
  <c r="S38" i="106"/>
  <c r="I23" i="96"/>
  <c r="B57" i="73" s="1"/>
  <c r="AJ259" i="65" l="1"/>
  <c r="O11" i="11"/>
  <c r="AB11" i="106"/>
  <c r="AB12" i="106"/>
  <c r="AB13" i="106"/>
  <c r="AB14" i="106"/>
  <c r="AB15" i="106"/>
  <c r="AB16" i="106"/>
  <c r="AB17" i="106"/>
  <c r="AB18" i="106"/>
  <c r="AB19" i="106"/>
  <c r="AB20" i="106"/>
  <c r="AB21" i="106"/>
  <c r="AB22" i="106"/>
  <c r="AB23" i="106"/>
  <c r="AB24" i="106"/>
  <c r="AB25" i="106"/>
  <c r="AB26" i="106"/>
  <c r="AB27" i="106"/>
  <c r="AB28" i="106"/>
  <c r="AB29" i="106"/>
  <c r="AB30" i="106"/>
  <c r="AB31" i="106"/>
  <c r="AB10" i="106"/>
  <c r="B58" i="73" l="1" a="1"/>
  <c r="B58" i="73" s="1"/>
  <c r="F2" i="73" s="1"/>
  <c r="I6" i="11" l="1" a="1"/>
  <c r="I6" i="11" s="1"/>
  <c r="S36" i="106"/>
  <c r="W35" i="106"/>
  <c r="I54" i="106"/>
  <c r="I47" i="106"/>
  <c r="I49" i="106"/>
  <c r="I48" i="106"/>
  <c r="I46" i="106"/>
  <c r="I42" i="106"/>
  <c r="I44" i="106"/>
  <c r="I43" i="106"/>
  <c r="T13" i="53" l="1"/>
  <c r="T14" i="53"/>
  <c r="T15" i="53"/>
  <c r="T16" i="53"/>
  <c r="T17" i="53"/>
  <c r="T18" i="53"/>
  <c r="T19" i="53"/>
  <c r="T20" i="53"/>
  <c r="T21" i="53"/>
  <c r="T22" i="53"/>
  <c r="T23" i="53"/>
  <c r="T24" i="53"/>
  <c r="T25" i="53"/>
  <c r="T26" i="53"/>
  <c r="T27" i="53"/>
  <c r="T28" i="53"/>
  <c r="T29" i="53"/>
  <c r="T30" i="53"/>
  <c r="T31" i="53"/>
  <c r="T32" i="53"/>
  <c r="T33" i="53"/>
  <c r="T34" i="53"/>
  <c r="T35" i="53"/>
  <c r="T36" i="53"/>
  <c r="T37" i="53"/>
  <c r="T38" i="53"/>
  <c r="T39" i="53"/>
  <c r="T40" i="53"/>
  <c r="T41" i="53"/>
  <c r="T42" i="53"/>
  <c r="T43" i="53"/>
  <c r="T44" i="53"/>
  <c r="T45" i="53"/>
  <c r="T46" i="53"/>
  <c r="T47" i="53"/>
  <c r="T48" i="53"/>
  <c r="T49" i="53"/>
  <c r="T50" i="53"/>
  <c r="T51" i="53"/>
  <c r="T52" i="53"/>
  <c r="T53" i="53"/>
  <c r="T54" i="53"/>
  <c r="T55" i="53"/>
  <c r="T56" i="53"/>
  <c r="T57" i="53"/>
  <c r="T58" i="53"/>
  <c r="T59" i="53"/>
  <c r="T60" i="53"/>
  <c r="T61" i="53"/>
  <c r="T62" i="53"/>
  <c r="T63" i="53"/>
  <c r="T64" i="53"/>
  <c r="T65" i="53"/>
  <c r="T66" i="53"/>
  <c r="T67" i="53"/>
  <c r="T68" i="53"/>
  <c r="T69" i="53"/>
  <c r="T70" i="53"/>
  <c r="T71" i="53"/>
  <c r="T72" i="53"/>
  <c r="T73" i="53"/>
  <c r="T74" i="53"/>
  <c r="T75" i="53"/>
  <c r="T76" i="53"/>
  <c r="T77" i="53"/>
  <c r="T78" i="53"/>
  <c r="T79" i="53"/>
  <c r="T80" i="53"/>
  <c r="T81" i="53"/>
  <c r="T82" i="53"/>
  <c r="T83" i="53"/>
  <c r="T84" i="53"/>
  <c r="T85" i="53"/>
  <c r="T86" i="53"/>
  <c r="T87" i="53"/>
  <c r="T88" i="53"/>
  <c r="T89" i="53"/>
  <c r="T90" i="53"/>
  <c r="T91" i="53"/>
  <c r="T92" i="53"/>
  <c r="T93" i="53"/>
  <c r="T94" i="53"/>
  <c r="T95" i="53"/>
  <c r="T96" i="53"/>
  <c r="T97" i="53"/>
  <c r="T98" i="53"/>
  <c r="T99" i="53"/>
  <c r="T100" i="53"/>
  <c r="T101" i="53"/>
  <c r="T102" i="53"/>
  <c r="T103" i="53"/>
  <c r="T104" i="53"/>
  <c r="T105" i="53"/>
  <c r="T106" i="53"/>
  <c r="T107" i="53"/>
  <c r="T108" i="53"/>
  <c r="T109" i="53"/>
  <c r="T110" i="53"/>
  <c r="T111" i="53"/>
  <c r="T112" i="53"/>
  <c r="T113" i="53"/>
  <c r="T114" i="53"/>
  <c r="T115" i="53"/>
  <c r="T116" i="53"/>
  <c r="T117" i="53"/>
  <c r="T118" i="53"/>
  <c r="T119" i="53"/>
  <c r="T120" i="53"/>
  <c r="T121" i="53"/>
  <c r="T122" i="53"/>
  <c r="T123" i="53"/>
  <c r="T124" i="53"/>
  <c r="T125" i="53"/>
  <c r="T126" i="53"/>
  <c r="T127" i="53"/>
  <c r="T128" i="53"/>
  <c r="T129" i="53"/>
  <c r="T130" i="53"/>
  <c r="T131" i="53"/>
  <c r="T132" i="53"/>
  <c r="T133" i="53"/>
  <c r="T134" i="53"/>
  <c r="T135" i="53"/>
  <c r="T136" i="53"/>
  <c r="T137" i="53"/>
  <c r="T138" i="53"/>
  <c r="T139" i="53"/>
  <c r="T140" i="53"/>
  <c r="T141" i="53"/>
  <c r="T142" i="53"/>
  <c r="T143" i="53"/>
  <c r="T144" i="53"/>
  <c r="T145" i="53"/>
  <c r="T146" i="53"/>
  <c r="T147" i="53"/>
  <c r="T148" i="53"/>
  <c r="T149" i="53"/>
  <c r="T150" i="53"/>
  <c r="T151" i="53"/>
  <c r="T152" i="53"/>
  <c r="T153" i="53"/>
  <c r="T154" i="53"/>
  <c r="T155" i="53"/>
  <c r="T156" i="53"/>
  <c r="T157" i="53"/>
  <c r="T158" i="53"/>
  <c r="T159" i="53"/>
  <c r="T160" i="53"/>
  <c r="T161" i="53"/>
  <c r="T162" i="53"/>
  <c r="T163" i="53"/>
  <c r="T164" i="53"/>
  <c r="T165" i="53"/>
  <c r="T166" i="53"/>
  <c r="T167" i="53"/>
  <c r="T168" i="53"/>
  <c r="T169" i="53"/>
  <c r="T170" i="53"/>
  <c r="T171" i="53"/>
  <c r="T172" i="53"/>
  <c r="T173" i="53"/>
  <c r="T174" i="53"/>
  <c r="T175" i="53"/>
  <c r="T176" i="53"/>
  <c r="T177" i="53"/>
  <c r="T178" i="53"/>
  <c r="T179" i="53"/>
  <c r="T180" i="53"/>
  <c r="T181" i="53"/>
  <c r="T182" i="53"/>
  <c r="T183" i="53"/>
  <c r="T184" i="53"/>
  <c r="T185" i="53"/>
  <c r="T186" i="53"/>
  <c r="T187" i="53"/>
  <c r="T188" i="53"/>
  <c r="T189" i="53"/>
  <c r="T190" i="53"/>
  <c r="T191" i="53"/>
  <c r="T192" i="53"/>
  <c r="T193" i="53"/>
  <c r="T194" i="53"/>
  <c r="T195" i="53"/>
  <c r="T196" i="53"/>
  <c r="T197" i="53"/>
  <c r="T198" i="53"/>
  <c r="T199" i="53"/>
  <c r="T200" i="53"/>
  <c r="T201" i="53"/>
  <c r="T202" i="53"/>
  <c r="T203" i="53"/>
  <c r="T204" i="53"/>
  <c r="T205" i="53"/>
  <c r="T206" i="53"/>
  <c r="T207" i="53"/>
  <c r="T208" i="53"/>
  <c r="T209" i="53"/>
  <c r="T210" i="53"/>
  <c r="T211" i="53"/>
  <c r="T212" i="53"/>
  <c r="T213" i="53"/>
  <c r="T214" i="53"/>
  <c r="T215" i="53"/>
  <c r="T216" i="53"/>
  <c r="T217" i="53"/>
  <c r="T218" i="53"/>
  <c r="T219" i="53"/>
  <c r="T220" i="53"/>
  <c r="T221" i="53"/>
  <c r="T222" i="53"/>
  <c r="T223" i="53"/>
  <c r="T224" i="53"/>
  <c r="T225" i="53"/>
  <c r="T226" i="53"/>
  <c r="T227" i="53"/>
  <c r="T228" i="53"/>
  <c r="T229" i="53"/>
  <c r="T230" i="53"/>
  <c r="T231" i="53"/>
  <c r="T232" i="53"/>
  <c r="T233" i="53"/>
  <c r="T234" i="53"/>
  <c r="T235" i="53"/>
  <c r="T236" i="53"/>
  <c r="T237" i="53"/>
  <c r="T238" i="53"/>
  <c r="T239" i="53"/>
  <c r="T240" i="53"/>
  <c r="T241" i="53"/>
  <c r="T242" i="53"/>
  <c r="T243" i="53"/>
  <c r="T244" i="53"/>
  <c r="T245" i="53"/>
  <c r="T246" i="53"/>
  <c r="T247" i="53"/>
  <c r="T248" i="53"/>
  <c r="T249" i="53"/>
  <c r="T250" i="53"/>
  <c r="T251" i="53"/>
  <c r="T252" i="53"/>
  <c r="T253" i="53"/>
  <c r="T254" i="53"/>
  <c r="T255" i="53"/>
  <c r="T256" i="53"/>
  <c r="T257" i="53"/>
  <c r="T11" i="52"/>
  <c r="T12" i="52"/>
  <c r="T13" i="52"/>
  <c r="T14" i="52"/>
  <c r="T15" i="52"/>
  <c r="T16" i="52"/>
  <c r="T17" i="52"/>
  <c r="T18" i="52"/>
  <c r="T19" i="52"/>
  <c r="T20" i="52"/>
  <c r="T21" i="52"/>
  <c r="T22" i="52"/>
  <c r="T23" i="52"/>
  <c r="T24" i="52"/>
  <c r="T25" i="52"/>
  <c r="T26" i="52"/>
  <c r="T27" i="52"/>
  <c r="T28" i="52"/>
  <c r="T29" i="52"/>
  <c r="T30" i="52"/>
  <c r="T31" i="52"/>
  <c r="T32" i="52"/>
  <c r="T33" i="52"/>
  <c r="T34" i="52"/>
  <c r="T35" i="52"/>
  <c r="T36" i="52"/>
  <c r="T37" i="52"/>
  <c r="T38" i="52"/>
  <c r="T39" i="52"/>
  <c r="T40" i="52"/>
  <c r="T41" i="52"/>
  <c r="T42" i="52"/>
  <c r="T43" i="52"/>
  <c r="T44" i="52"/>
  <c r="T45" i="52"/>
  <c r="T46" i="52"/>
  <c r="T47" i="52"/>
  <c r="T48" i="52"/>
  <c r="T49" i="52"/>
  <c r="T50" i="52"/>
  <c r="T51" i="52"/>
  <c r="T52" i="52"/>
  <c r="T53" i="52"/>
  <c r="T54" i="52"/>
  <c r="T55" i="52"/>
  <c r="T56" i="52"/>
  <c r="T57" i="52"/>
  <c r="T58" i="52"/>
  <c r="T59" i="52"/>
  <c r="T60" i="52"/>
  <c r="T61" i="52"/>
  <c r="T62" i="52"/>
  <c r="T63" i="52"/>
  <c r="T64" i="52"/>
  <c r="T65" i="52"/>
  <c r="T66" i="52"/>
  <c r="T67" i="52"/>
  <c r="T68" i="52"/>
  <c r="T69" i="52"/>
  <c r="T70" i="52"/>
  <c r="T71" i="52"/>
  <c r="T72" i="52"/>
  <c r="T73" i="52"/>
  <c r="T74" i="52"/>
  <c r="T75" i="52"/>
  <c r="T76" i="52"/>
  <c r="T77" i="52"/>
  <c r="T78" i="52"/>
  <c r="T79" i="52"/>
  <c r="T80" i="52"/>
  <c r="T81" i="52"/>
  <c r="T82" i="52"/>
  <c r="T83" i="52"/>
  <c r="T84" i="52"/>
  <c r="T85" i="52"/>
  <c r="T86" i="52"/>
  <c r="T87" i="52"/>
  <c r="T88" i="52"/>
  <c r="T89" i="52"/>
  <c r="T90" i="52"/>
  <c r="T91" i="52"/>
  <c r="T92" i="52"/>
  <c r="T93" i="52"/>
  <c r="T94" i="52"/>
  <c r="T95" i="52"/>
  <c r="T96" i="52"/>
  <c r="T97" i="52"/>
  <c r="T98" i="52"/>
  <c r="T99" i="52"/>
  <c r="T100" i="52"/>
  <c r="T101" i="52"/>
  <c r="T102" i="52"/>
  <c r="T103" i="52"/>
  <c r="T104" i="52"/>
  <c r="T105" i="52"/>
  <c r="T106" i="52"/>
  <c r="T107" i="52"/>
  <c r="T108" i="52"/>
  <c r="T109" i="52"/>
  <c r="T110" i="52"/>
  <c r="T111" i="52"/>
  <c r="T112" i="52"/>
  <c r="T113" i="52"/>
  <c r="T114" i="52"/>
  <c r="T115" i="52"/>
  <c r="T116" i="52"/>
  <c r="T117" i="52"/>
  <c r="T118" i="52"/>
  <c r="T119" i="52"/>
  <c r="T120" i="52"/>
  <c r="T121" i="52"/>
  <c r="T122" i="52"/>
  <c r="T123" i="52"/>
  <c r="T124" i="52"/>
  <c r="T125" i="52"/>
  <c r="T126" i="52"/>
  <c r="T127" i="52"/>
  <c r="T128" i="52"/>
  <c r="T129" i="52"/>
  <c r="T130" i="52"/>
  <c r="T131" i="52"/>
  <c r="T132" i="52"/>
  <c r="T133" i="52"/>
  <c r="T134" i="52"/>
  <c r="T135" i="52"/>
  <c r="T136" i="52"/>
  <c r="T137" i="52"/>
  <c r="T138" i="52"/>
  <c r="T139" i="52"/>
  <c r="T140" i="52"/>
  <c r="T141" i="52"/>
  <c r="T142" i="52"/>
  <c r="T143" i="52"/>
  <c r="T144" i="52"/>
  <c r="T145" i="52"/>
  <c r="T146" i="52"/>
  <c r="T147" i="52"/>
  <c r="T148" i="52"/>
  <c r="T149" i="52"/>
  <c r="T150" i="52"/>
  <c r="T151" i="52"/>
  <c r="T152" i="52"/>
  <c r="T153" i="52"/>
  <c r="T154" i="52"/>
  <c r="T155" i="52"/>
  <c r="T156" i="52"/>
  <c r="T157" i="52"/>
  <c r="T158" i="52"/>
  <c r="T159" i="52"/>
  <c r="T160" i="52"/>
  <c r="T161" i="52"/>
  <c r="T162" i="52"/>
  <c r="T163" i="52"/>
  <c r="T164" i="52"/>
  <c r="T165" i="52"/>
  <c r="T166" i="52"/>
  <c r="T167" i="52"/>
  <c r="T168" i="52"/>
  <c r="T169" i="52"/>
  <c r="T170" i="52"/>
  <c r="T171" i="52"/>
  <c r="T172" i="52"/>
  <c r="T173" i="52"/>
  <c r="T174" i="52"/>
  <c r="T175" i="52"/>
  <c r="T176" i="52"/>
  <c r="T177" i="52"/>
  <c r="T178" i="52"/>
  <c r="T179" i="52"/>
  <c r="T180" i="52"/>
  <c r="T181" i="52"/>
  <c r="T182" i="52"/>
  <c r="T183" i="52"/>
  <c r="T184" i="52"/>
  <c r="T185" i="52"/>
  <c r="T186" i="52"/>
  <c r="T187" i="52"/>
  <c r="T188" i="52"/>
  <c r="T189" i="52"/>
  <c r="T190" i="52"/>
  <c r="T191" i="52"/>
  <c r="T192" i="52"/>
  <c r="T193" i="52"/>
  <c r="T194" i="52"/>
  <c r="T195" i="52"/>
  <c r="T196" i="52"/>
  <c r="T197" i="52"/>
  <c r="T198" i="52"/>
  <c r="T199" i="52"/>
  <c r="T200" i="52"/>
  <c r="T201" i="52"/>
  <c r="T202" i="52"/>
  <c r="T203" i="52"/>
  <c r="T204" i="52"/>
  <c r="T205" i="52"/>
  <c r="T206" i="52"/>
  <c r="T207" i="52"/>
  <c r="T208" i="52"/>
  <c r="T209" i="52"/>
  <c r="T210" i="52"/>
  <c r="T211" i="52"/>
  <c r="T212" i="52"/>
  <c r="T213" i="52"/>
  <c r="T214" i="52"/>
  <c r="T215" i="52"/>
  <c r="T216" i="52"/>
  <c r="T217" i="52"/>
  <c r="T218" i="52"/>
  <c r="T219" i="52"/>
  <c r="T220" i="52"/>
  <c r="T221" i="52"/>
  <c r="T222" i="52"/>
  <c r="T223" i="52"/>
  <c r="T224" i="52"/>
  <c r="T225" i="52"/>
  <c r="T226" i="52"/>
  <c r="T227" i="52"/>
  <c r="T228" i="52"/>
  <c r="T229" i="52"/>
  <c r="T230" i="52"/>
  <c r="T231" i="52"/>
  <c r="T232" i="52"/>
  <c r="T233" i="52"/>
  <c r="T234" i="52"/>
  <c r="T235" i="52"/>
  <c r="T236" i="52"/>
  <c r="T237" i="52"/>
  <c r="T238" i="52"/>
  <c r="T239" i="52"/>
  <c r="T240" i="52"/>
  <c r="T241" i="52"/>
  <c r="T242" i="52"/>
  <c r="T243" i="52"/>
  <c r="T244" i="52"/>
  <c r="T245" i="52"/>
  <c r="T246" i="52"/>
  <c r="T247" i="52"/>
  <c r="T248" i="52"/>
  <c r="T249" i="52"/>
  <c r="T250" i="52"/>
  <c r="T251" i="52"/>
  <c r="T252" i="52"/>
  <c r="T253" i="52"/>
  <c r="T254" i="52"/>
  <c r="T255" i="52"/>
  <c r="T256" i="52"/>
  <c r="T257" i="52"/>
  <c r="I11" i="52"/>
  <c r="I12" i="52"/>
  <c r="I13" i="52"/>
  <c r="I14" i="52"/>
  <c r="I15" i="52"/>
  <c r="I16" i="52"/>
  <c r="I17" i="52"/>
  <c r="I18" i="52"/>
  <c r="I19" i="52"/>
  <c r="I20" i="52"/>
  <c r="I21" i="52"/>
  <c r="I22" i="52"/>
  <c r="I23" i="52"/>
  <c r="I24" i="52"/>
  <c r="I25" i="52"/>
  <c r="I26" i="52"/>
  <c r="I27" i="52"/>
  <c r="I28" i="52"/>
  <c r="I29" i="52"/>
  <c r="I30" i="52"/>
  <c r="I31" i="52"/>
  <c r="I32" i="52"/>
  <c r="I33" i="52"/>
  <c r="I34" i="52"/>
  <c r="I35" i="52"/>
  <c r="I36" i="52"/>
  <c r="I37" i="52"/>
  <c r="I38" i="52"/>
  <c r="I39" i="52"/>
  <c r="I40" i="52"/>
  <c r="I41" i="52"/>
  <c r="I42" i="52"/>
  <c r="I43" i="52"/>
  <c r="I44" i="52"/>
  <c r="I45" i="52"/>
  <c r="I46" i="52"/>
  <c r="I47" i="52"/>
  <c r="I48" i="52"/>
  <c r="I49" i="52"/>
  <c r="I50" i="52"/>
  <c r="I51" i="52"/>
  <c r="I52" i="52"/>
  <c r="I53" i="52"/>
  <c r="I54" i="52"/>
  <c r="I55" i="52"/>
  <c r="I56" i="52"/>
  <c r="I57" i="52"/>
  <c r="I58" i="52"/>
  <c r="I59" i="52"/>
  <c r="I60" i="52"/>
  <c r="I61" i="52"/>
  <c r="I62" i="52"/>
  <c r="I63" i="52"/>
  <c r="I64" i="52"/>
  <c r="I65" i="52"/>
  <c r="I66" i="52"/>
  <c r="I67" i="52"/>
  <c r="I68" i="52"/>
  <c r="I69" i="52"/>
  <c r="I70" i="52"/>
  <c r="I71" i="52"/>
  <c r="I72" i="52"/>
  <c r="I73" i="52"/>
  <c r="I74" i="52"/>
  <c r="I75" i="52"/>
  <c r="I76" i="52"/>
  <c r="I77" i="52"/>
  <c r="I78" i="52"/>
  <c r="I79" i="52"/>
  <c r="I80" i="52"/>
  <c r="I81" i="52"/>
  <c r="I82" i="52"/>
  <c r="I83" i="52"/>
  <c r="I84" i="52"/>
  <c r="I85" i="52"/>
  <c r="I86" i="52"/>
  <c r="I87" i="52"/>
  <c r="I88" i="52"/>
  <c r="I89" i="52"/>
  <c r="I90" i="52"/>
  <c r="I91" i="52"/>
  <c r="I92" i="52"/>
  <c r="I93" i="52"/>
  <c r="I94" i="52"/>
  <c r="I95" i="52"/>
  <c r="I96" i="52"/>
  <c r="I97" i="52"/>
  <c r="I98" i="52"/>
  <c r="I99" i="52"/>
  <c r="I100" i="52"/>
  <c r="I101" i="52"/>
  <c r="I102" i="52"/>
  <c r="I103" i="52"/>
  <c r="I104" i="52"/>
  <c r="I105" i="52"/>
  <c r="I106" i="52"/>
  <c r="I107" i="52"/>
  <c r="I108" i="52"/>
  <c r="I109" i="52"/>
  <c r="I110" i="52"/>
  <c r="I111" i="52"/>
  <c r="I112" i="52"/>
  <c r="I113" i="52"/>
  <c r="I114" i="52"/>
  <c r="I115" i="52"/>
  <c r="I116" i="52"/>
  <c r="I117" i="52"/>
  <c r="I118" i="52"/>
  <c r="I119" i="52"/>
  <c r="I120" i="52"/>
  <c r="I121" i="52"/>
  <c r="I122" i="52"/>
  <c r="I123" i="52"/>
  <c r="I124" i="52"/>
  <c r="I125" i="52"/>
  <c r="I126" i="52"/>
  <c r="I127" i="52"/>
  <c r="I128" i="52"/>
  <c r="I129" i="52"/>
  <c r="I130" i="52"/>
  <c r="I131" i="52"/>
  <c r="I132" i="52"/>
  <c r="I133" i="52"/>
  <c r="I134" i="52"/>
  <c r="I135" i="52"/>
  <c r="I136" i="52"/>
  <c r="I137" i="52"/>
  <c r="I138" i="52"/>
  <c r="I139" i="52"/>
  <c r="I140" i="52"/>
  <c r="I141" i="52"/>
  <c r="I142" i="52"/>
  <c r="I143" i="52"/>
  <c r="I144" i="52"/>
  <c r="I145" i="52"/>
  <c r="I146" i="52"/>
  <c r="I147" i="52"/>
  <c r="I148" i="52"/>
  <c r="I149" i="52"/>
  <c r="I150" i="52"/>
  <c r="I151" i="52"/>
  <c r="I152" i="52"/>
  <c r="I153" i="52"/>
  <c r="I154" i="52"/>
  <c r="I155" i="52"/>
  <c r="I156" i="52"/>
  <c r="I157" i="52"/>
  <c r="I158" i="52"/>
  <c r="I159" i="52"/>
  <c r="I160" i="52"/>
  <c r="I161" i="52"/>
  <c r="I162" i="52"/>
  <c r="I163" i="52"/>
  <c r="I164" i="52"/>
  <c r="I165" i="52"/>
  <c r="I166" i="52"/>
  <c r="I167" i="52"/>
  <c r="I168" i="52"/>
  <c r="I169" i="52"/>
  <c r="I170" i="52"/>
  <c r="I171" i="52"/>
  <c r="I172" i="52"/>
  <c r="I173" i="52"/>
  <c r="I174" i="52"/>
  <c r="I175" i="52"/>
  <c r="I176" i="52"/>
  <c r="I177" i="52"/>
  <c r="I178" i="52"/>
  <c r="I179" i="52"/>
  <c r="I180" i="52"/>
  <c r="I181" i="52"/>
  <c r="I182" i="52"/>
  <c r="I183" i="52"/>
  <c r="I184" i="52"/>
  <c r="I185" i="52"/>
  <c r="I186" i="52"/>
  <c r="I187" i="52"/>
  <c r="I188" i="52"/>
  <c r="I189" i="52"/>
  <c r="I190" i="52"/>
  <c r="I191" i="52"/>
  <c r="I192" i="52"/>
  <c r="I193" i="52"/>
  <c r="I194" i="52"/>
  <c r="I195" i="52"/>
  <c r="I196" i="52"/>
  <c r="I197" i="52"/>
  <c r="I198" i="52"/>
  <c r="I199" i="52"/>
  <c r="I200" i="52"/>
  <c r="I201" i="52"/>
  <c r="I202" i="52"/>
  <c r="I203" i="52"/>
  <c r="I204" i="52"/>
  <c r="I205" i="52"/>
  <c r="I206" i="52"/>
  <c r="I207" i="52"/>
  <c r="I208" i="52"/>
  <c r="I209" i="52"/>
  <c r="I210" i="52"/>
  <c r="I211" i="52"/>
  <c r="I212" i="52"/>
  <c r="I213" i="52"/>
  <c r="I214" i="52"/>
  <c r="I215" i="52"/>
  <c r="I216" i="52"/>
  <c r="I217" i="52"/>
  <c r="I218" i="52"/>
  <c r="I219" i="52"/>
  <c r="I220" i="52"/>
  <c r="I221" i="52"/>
  <c r="I222" i="52"/>
  <c r="I223" i="52"/>
  <c r="I224" i="52"/>
  <c r="I225" i="52"/>
  <c r="I226" i="52"/>
  <c r="I227" i="52"/>
  <c r="I228" i="52"/>
  <c r="I229" i="52"/>
  <c r="I230" i="52"/>
  <c r="I231" i="52"/>
  <c r="I232" i="52"/>
  <c r="I233" i="52"/>
  <c r="I234" i="52"/>
  <c r="I235" i="52"/>
  <c r="I236" i="52"/>
  <c r="I237" i="52"/>
  <c r="I238" i="52"/>
  <c r="I239" i="52"/>
  <c r="I240" i="52"/>
  <c r="I241" i="52"/>
  <c r="I242" i="52"/>
  <c r="I243" i="52"/>
  <c r="I244" i="52"/>
  <c r="I245" i="52"/>
  <c r="I246" i="52"/>
  <c r="I247" i="52"/>
  <c r="I248" i="52"/>
  <c r="I249" i="52"/>
  <c r="I250" i="52"/>
  <c r="I251" i="52"/>
  <c r="I252" i="52"/>
  <c r="I253" i="52"/>
  <c r="I254" i="52"/>
  <c r="I255" i="52"/>
  <c r="I256" i="52"/>
  <c r="I257" i="52"/>
  <c r="R17" i="71"/>
  <c r="R18" i="71"/>
  <c r="R19" i="71"/>
  <c r="R20" i="71"/>
  <c r="R21" i="71"/>
  <c r="R22" i="71"/>
  <c r="R23" i="71"/>
  <c r="R24" i="71"/>
  <c r="R25" i="71"/>
  <c r="R26" i="71"/>
  <c r="R27" i="71"/>
  <c r="R28" i="71"/>
  <c r="R29" i="71"/>
  <c r="R30" i="71"/>
  <c r="R31" i="71"/>
  <c r="R32" i="71"/>
  <c r="R33" i="71"/>
  <c r="R34" i="71"/>
  <c r="R35" i="71"/>
  <c r="R36" i="71"/>
  <c r="R37" i="71"/>
  <c r="R38" i="71"/>
  <c r="R39" i="71"/>
  <c r="R40" i="71"/>
  <c r="R41" i="71"/>
  <c r="R42" i="71"/>
  <c r="R43" i="71"/>
  <c r="R44" i="71"/>
  <c r="R45" i="71"/>
  <c r="R46" i="71"/>
  <c r="R47" i="71"/>
  <c r="R48" i="71"/>
  <c r="R49" i="71"/>
  <c r="R50" i="71"/>
  <c r="R51" i="71"/>
  <c r="R52" i="71"/>
  <c r="R53" i="71"/>
  <c r="R54" i="71"/>
  <c r="R55" i="71"/>
  <c r="R56" i="71"/>
  <c r="R57" i="71"/>
  <c r="R58" i="71"/>
  <c r="R59" i="71"/>
  <c r="R60" i="71"/>
  <c r="R61" i="71"/>
  <c r="R62" i="71"/>
  <c r="R63" i="71"/>
  <c r="R64" i="71"/>
  <c r="R65" i="71"/>
  <c r="R66" i="71"/>
  <c r="R67" i="71"/>
  <c r="R68" i="71"/>
  <c r="R69" i="71"/>
  <c r="R70" i="71"/>
  <c r="R71" i="71"/>
  <c r="R72" i="71"/>
  <c r="R73" i="71"/>
  <c r="R74" i="71"/>
  <c r="R75" i="71"/>
  <c r="R76" i="71"/>
  <c r="R77" i="71"/>
  <c r="R78" i="71"/>
  <c r="R79" i="71"/>
  <c r="R80" i="71"/>
  <c r="R81" i="71"/>
  <c r="R82" i="71"/>
  <c r="R83" i="71"/>
  <c r="R84" i="71"/>
  <c r="R85" i="71"/>
  <c r="R86" i="71"/>
  <c r="R87" i="71"/>
  <c r="R88" i="71"/>
  <c r="R89" i="71"/>
  <c r="R90" i="71"/>
  <c r="R91" i="71"/>
  <c r="R92" i="71"/>
  <c r="R93" i="71"/>
  <c r="R94" i="71"/>
  <c r="R95" i="71"/>
  <c r="R96" i="71"/>
  <c r="R97" i="71"/>
  <c r="R98" i="71"/>
  <c r="R99" i="71"/>
  <c r="R100" i="71"/>
  <c r="R101" i="71"/>
  <c r="R102" i="71"/>
  <c r="R103" i="71"/>
  <c r="R104" i="71"/>
  <c r="R105" i="71"/>
  <c r="R106" i="71"/>
  <c r="R107" i="71"/>
  <c r="R108" i="71"/>
  <c r="R109" i="71"/>
  <c r="R110" i="71"/>
  <c r="R111" i="71"/>
  <c r="R112" i="71"/>
  <c r="R113" i="71"/>
  <c r="R114" i="71"/>
  <c r="R115" i="71"/>
  <c r="R116" i="71"/>
  <c r="R117" i="71"/>
  <c r="R118" i="71"/>
  <c r="R119" i="71"/>
  <c r="R120" i="71"/>
  <c r="R121" i="71"/>
  <c r="R122" i="71"/>
  <c r="R123" i="71"/>
  <c r="R124" i="71"/>
  <c r="R125" i="71"/>
  <c r="R126" i="71"/>
  <c r="R127" i="71"/>
  <c r="R128" i="71"/>
  <c r="R129" i="71"/>
  <c r="R130" i="71"/>
  <c r="R131" i="71"/>
  <c r="R132" i="71"/>
  <c r="R133" i="71"/>
  <c r="R134" i="71"/>
  <c r="R135" i="71"/>
  <c r="R136" i="71"/>
  <c r="R137" i="71"/>
  <c r="R138" i="71"/>
  <c r="R139" i="71"/>
  <c r="R140" i="71"/>
  <c r="R141" i="71"/>
  <c r="R142" i="71"/>
  <c r="R143" i="71"/>
  <c r="R144" i="71"/>
  <c r="R145" i="71"/>
  <c r="R146" i="71"/>
  <c r="R147" i="71"/>
  <c r="R148" i="71"/>
  <c r="R149" i="71"/>
  <c r="R150" i="71"/>
  <c r="R151" i="71"/>
  <c r="R152" i="71"/>
  <c r="R153" i="71"/>
  <c r="R154" i="71"/>
  <c r="R155" i="71"/>
  <c r="R156" i="71"/>
  <c r="R157" i="71"/>
  <c r="R158" i="71"/>
  <c r="R159" i="71"/>
  <c r="R160" i="71"/>
  <c r="R161" i="71"/>
  <c r="R162" i="71"/>
  <c r="R163" i="71"/>
  <c r="R164" i="71"/>
  <c r="R165" i="71"/>
  <c r="R166" i="71"/>
  <c r="R167" i="71"/>
  <c r="R168" i="71"/>
  <c r="R169" i="71"/>
  <c r="R170" i="71"/>
  <c r="R171" i="71"/>
  <c r="R172" i="71"/>
  <c r="R173" i="71"/>
  <c r="R174" i="71"/>
  <c r="R175" i="71"/>
  <c r="R176" i="71"/>
  <c r="R177" i="71"/>
  <c r="R178" i="71"/>
  <c r="R179" i="71"/>
  <c r="R180" i="71"/>
  <c r="R181" i="71"/>
  <c r="R182" i="71"/>
  <c r="R183" i="71"/>
  <c r="R184" i="71"/>
  <c r="R185" i="71"/>
  <c r="R186" i="71"/>
  <c r="R187" i="71"/>
  <c r="R188" i="71"/>
  <c r="R189" i="71"/>
  <c r="R190" i="71"/>
  <c r="R191" i="71"/>
  <c r="R192" i="71"/>
  <c r="R193" i="71"/>
  <c r="R194" i="71"/>
  <c r="R195" i="71"/>
  <c r="R196" i="71"/>
  <c r="R197" i="71"/>
  <c r="R198" i="71"/>
  <c r="R199" i="71"/>
  <c r="R200" i="71"/>
  <c r="R201" i="71"/>
  <c r="R202" i="71"/>
  <c r="R203" i="71"/>
  <c r="R204" i="71"/>
  <c r="R205" i="71"/>
  <c r="R206" i="71"/>
  <c r="R207" i="71"/>
  <c r="R208" i="71"/>
  <c r="R209" i="71"/>
  <c r="R210" i="71"/>
  <c r="R211" i="71"/>
  <c r="R212" i="71"/>
  <c r="R213" i="71"/>
  <c r="R214" i="71"/>
  <c r="R215" i="71"/>
  <c r="R216" i="71"/>
  <c r="R217" i="71"/>
  <c r="R218" i="71"/>
  <c r="R219" i="71"/>
  <c r="R220" i="71"/>
  <c r="R221" i="71"/>
  <c r="R222" i="71"/>
  <c r="R223" i="71"/>
  <c r="R224" i="71"/>
  <c r="R225" i="71"/>
  <c r="R226" i="71"/>
  <c r="R227" i="71"/>
  <c r="R228" i="71"/>
  <c r="R229" i="71"/>
  <c r="R230" i="71"/>
  <c r="R231" i="71"/>
  <c r="R232" i="71"/>
  <c r="R233" i="71"/>
  <c r="R234" i="71"/>
  <c r="R235" i="71"/>
  <c r="R236" i="71"/>
  <c r="R237" i="71"/>
  <c r="R238" i="71"/>
  <c r="R239" i="71"/>
  <c r="R240" i="71"/>
  <c r="R241" i="71"/>
  <c r="R242" i="71"/>
  <c r="R243" i="71"/>
  <c r="R244" i="71"/>
  <c r="R245" i="71"/>
  <c r="R246" i="71"/>
  <c r="R247" i="71"/>
  <c r="R248" i="71"/>
  <c r="R249" i="71"/>
  <c r="R250" i="71"/>
  <c r="R251" i="71"/>
  <c r="R252" i="71"/>
  <c r="R253" i="71"/>
  <c r="R254" i="71"/>
  <c r="R255" i="71"/>
  <c r="R256" i="71"/>
  <c r="Z16" i="59"/>
  <c r="Z17" i="59"/>
  <c r="Z18" i="59"/>
  <c r="Z19" i="59"/>
  <c r="Z20" i="59"/>
  <c r="Z21" i="59"/>
  <c r="Z22" i="59"/>
  <c r="Z23" i="59"/>
  <c r="Z24" i="59"/>
  <c r="Z25" i="59"/>
  <c r="Z26" i="59"/>
  <c r="Z27" i="59"/>
  <c r="Z28" i="59"/>
  <c r="Z29" i="59"/>
  <c r="Z30" i="59"/>
  <c r="Z31" i="59"/>
  <c r="Z32" i="59"/>
  <c r="Z33" i="59"/>
  <c r="Z34" i="59"/>
  <c r="Z35" i="59"/>
  <c r="Z36" i="59"/>
  <c r="Z37" i="59"/>
  <c r="Z38" i="59"/>
  <c r="Z39" i="59"/>
  <c r="Z40" i="59"/>
  <c r="Z41" i="59"/>
  <c r="Z42" i="59"/>
  <c r="Z43" i="59"/>
  <c r="Z44" i="59"/>
  <c r="Z45" i="59"/>
  <c r="Z46" i="59"/>
  <c r="Z47" i="59"/>
  <c r="Z48" i="59"/>
  <c r="Z49" i="59"/>
  <c r="Z50" i="59"/>
  <c r="Z51" i="59"/>
  <c r="Z52" i="59"/>
  <c r="Z53" i="59"/>
  <c r="Z54" i="59"/>
  <c r="Z55" i="59"/>
  <c r="Z56" i="59"/>
  <c r="Z57" i="59"/>
  <c r="Z58" i="59"/>
  <c r="Z59" i="59"/>
  <c r="Z60" i="59"/>
  <c r="Z61" i="59"/>
  <c r="Z62" i="59"/>
  <c r="Z63" i="59"/>
  <c r="Z64" i="59"/>
  <c r="Z65" i="59"/>
  <c r="Z66" i="59"/>
  <c r="Z67" i="59"/>
  <c r="Z68" i="59"/>
  <c r="Z69" i="59"/>
  <c r="Z70" i="59"/>
  <c r="Z71" i="59"/>
  <c r="Z72" i="59"/>
  <c r="Z73" i="59"/>
  <c r="Z74" i="59"/>
  <c r="Z75" i="59"/>
  <c r="Z76" i="59"/>
  <c r="Z77" i="59"/>
  <c r="Z78" i="59"/>
  <c r="Z79" i="59"/>
  <c r="Z80" i="59"/>
  <c r="Z81" i="59"/>
  <c r="Z82" i="59"/>
  <c r="Z83" i="59"/>
  <c r="Z84" i="59"/>
  <c r="Z85" i="59"/>
  <c r="Z86" i="59"/>
  <c r="Z87" i="59"/>
  <c r="Z88" i="59"/>
  <c r="Z89" i="59"/>
  <c r="Z90" i="59"/>
  <c r="Z91" i="59"/>
  <c r="Z92" i="59"/>
  <c r="Z93" i="59"/>
  <c r="Z94" i="59"/>
  <c r="Z95" i="59"/>
  <c r="Z96" i="59"/>
  <c r="Z97" i="59"/>
  <c r="Z98" i="59"/>
  <c r="Z99" i="59"/>
  <c r="Z100" i="59"/>
  <c r="Z101" i="59"/>
  <c r="Z102" i="59"/>
  <c r="Z103" i="59"/>
  <c r="Z104" i="59"/>
  <c r="Z105" i="59"/>
  <c r="Z106" i="59"/>
  <c r="Z107" i="59"/>
  <c r="Z108" i="59"/>
  <c r="Z109" i="59"/>
  <c r="Z110" i="59"/>
  <c r="Z111" i="59"/>
  <c r="Z112" i="59"/>
  <c r="Z113" i="59"/>
  <c r="Z114" i="59"/>
  <c r="Z115" i="59"/>
  <c r="Z116" i="59"/>
  <c r="Z117" i="59"/>
  <c r="Z118" i="59"/>
  <c r="Z119" i="59"/>
  <c r="Z120" i="59"/>
  <c r="Z121" i="59"/>
  <c r="Z122" i="59"/>
  <c r="Z123" i="59"/>
  <c r="Z124" i="59"/>
  <c r="Z125" i="59"/>
  <c r="Z126" i="59"/>
  <c r="Z127" i="59"/>
  <c r="Z128" i="59"/>
  <c r="Z129" i="59"/>
  <c r="Z130" i="59"/>
  <c r="Z131" i="59"/>
  <c r="Z132" i="59"/>
  <c r="Z133" i="59"/>
  <c r="Z134" i="59"/>
  <c r="Z135" i="59"/>
  <c r="Z136" i="59"/>
  <c r="Z137" i="59"/>
  <c r="Z138" i="59"/>
  <c r="Z139" i="59"/>
  <c r="Z140" i="59"/>
  <c r="Z141" i="59"/>
  <c r="Z142" i="59"/>
  <c r="Z143" i="59"/>
  <c r="Z144" i="59"/>
  <c r="Z145" i="59"/>
  <c r="Z146" i="59"/>
  <c r="Z147" i="59"/>
  <c r="Z148" i="59"/>
  <c r="Z149" i="59"/>
  <c r="Z150" i="59"/>
  <c r="Z151" i="59"/>
  <c r="Z152" i="59"/>
  <c r="Z153" i="59"/>
  <c r="Z154" i="59"/>
  <c r="Z155" i="59"/>
  <c r="Z156" i="59"/>
  <c r="Z157" i="59"/>
  <c r="Z158" i="59"/>
  <c r="Z159" i="59"/>
  <c r="Z160" i="59"/>
  <c r="Z161" i="59"/>
  <c r="Z162" i="59"/>
  <c r="Z163" i="59"/>
  <c r="Z164" i="59"/>
  <c r="Z165" i="59"/>
  <c r="Z166" i="59"/>
  <c r="Z167" i="59"/>
  <c r="Z168" i="59"/>
  <c r="Z169" i="59"/>
  <c r="Z170" i="59"/>
  <c r="Z171" i="59"/>
  <c r="Z172" i="59"/>
  <c r="Z173" i="59"/>
  <c r="Z174" i="59"/>
  <c r="Z175" i="59"/>
  <c r="Z176" i="59"/>
  <c r="Z177" i="59"/>
  <c r="Z178" i="59"/>
  <c r="Z179" i="59"/>
  <c r="Z180" i="59"/>
  <c r="Z181" i="59"/>
  <c r="Z182" i="59"/>
  <c r="Z183" i="59"/>
  <c r="Z184" i="59"/>
  <c r="Z185" i="59"/>
  <c r="Z186" i="59"/>
  <c r="Z187" i="59"/>
  <c r="Z188" i="59"/>
  <c r="Z189" i="59"/>
  <c r="Z190" i="59"/>
  <c r="Z191" i="59"/>
  <c r="Z192" i="59"/>
  <c r="Z193" i="59"/>
  <c r="Z194" i="59"/>
  <c r="Z195" i="59"/>
  <c r="Z196" i="59"/>
  <c r="Z197" i="59"/>
  <c r="Z198" i="59"/>
  <c r="Z199" i="59"/>
  <c r="Z200" i="59"/>
  <c r="Z201" i="59"/>
  <c r="Z202" i="59"/>
  <c r="Z203" i="59"/>
  <c r="Z204" i="59"/>
  <c r="Z205" i="59"/>
  <c r="Z206" i="59"/>
  <c r="Z207" i="59"/>
  <c r="Z208" i="59"/>
  <c r="Z209" i="59"/>
  <c r="Z210" i="59"/>
  <c r="Z211" i="59"/>
  <c r="Z212" i="59"/>
  <c r="Z213" i="59"/>
  <c r="Z214" i="59"/>
  <c r="Z215" i="59"/>
  <c r="Z216" i="59"/>
  <c r="Z217" i="59"/>
  <c r="Z218" i="59"/>
  <c r="Z219" i="59"/>
  <c r="Z220" i="59"/>
  <c r="Z221" i="59"/>
  <c r="Z222" i="59"/>
  <c r="Z223" i="59"/>
  <c r="Z224" i="59"/>
  <c r="Z225" i="59"/>
  <c r="Z226" i="59"/>
  <c r="Z227" i="59"/>
  <c r="Z228" i="59"/>
  <c r="Z229" i="59"/>
  <c r="Z231" i="59"/>
  <c r="Z232" i="59"/>
  <c r="Z233" i="59"/>
  <c r="Z234" i="59"/>
  <c r="Z235" i="59"/>
  <c r="Z236" i="59"/>
  <c r="Z237" i="59"/>
  <c r="Z238" i="59"/>
  <c r="Z239" i="59"/>
  <c r="Z240" i="59"/>
  <c r="Z241" i="59"/>
  <c r="Z242" i="59"/>
  <c r="Z243" i="59"/>
  <c r="Z244" i="59"/>
  <c r="Z245" i="59"/>
  <c r="Z246" i="59"/>
  <c r="Z247" i="59"/>
  <c r="Z248" i="59"/>
  <c r="Z249" i="59"/>
  <c r="Z250" i="59"/>
  <c r="Z251" i="59"/>
  <c r="Z252" i="59"/>
  <c r="Z253" i="59"/>
  <c r="Z254" i="59"/>
  <c r="Z255" i="59"/>
  <c r="Z256" i="59"/>
  <c r="Z257" i="59"/>
  <c r="Z258" i="59"/>
  <c r="R21" i="46"/>
  <c r="R22" i="46"/>
  <c r="R23" i="46"/>
  <c r="R24" i="46"/>
  <c r="R25" i="46"/>
  <c r="R26" i="46"/>
  <c r="R27" i="46"/>
  <c r="R28" i="46"/>
  <c r="R29" i="46"/>
  <c r="R30" i="46"/>
  <c r="R31" i="46"/>
  <c r="R32" i="46"/>
  <c r="R33" i="46"/>
  <c r="R34" i="46"/>
  <c r="R35" i="46"/>
  <c r="R36" i="46"/>
  <c r="R37" i="46"/>
  <c r="R38" i="46"/>
  <c r="R39" i="46"/>
  <c r="R40" i="46"/>
  <c r="R41" i="46"/>
  <c r="R42" i="46"/>
  <c r="R43" i="46"/>
  <c r="R44" i="46"/>
  <c r="R45" i="46"/>
  <c r="R46" i="46"/>
  <c r="R47" i="46"/>
  <c r="R48" i="46"/>
  <c r="R49" i="46"/>
  <c r="R50" i="46"/>
  <c r="R51" i="46"/>
  <c r="R52" i="46"/>
  <c r="R53" i="46"/>
  <c r="R54" i="46"/>
  <c r="R55" i="46"/>
  <c r="R56" i="46"/>
  <c r="R57" i="46"/>
  <c r="R58" i="46"/>
  <c r="R59" i="46"/>
  <c r="R60" i="46"/>
  <c r="R61" i="46"/>
  <c r="R62" i="46"/>
  <c r="R63" i="46"/>
  <c r="R64" i="46"/>
  <c r="R65" i="46"/>
  <c r="R66" i="46"/>
  <c r="R67" i="46"/>
  <c r="R68" i="46"/>
  <c r="R69" i="46"/>
  <c r="R70" i="46"/>
  <c r="R71" i="46"/>
  <c r="R72" i="46"/>
  <c r="R73" i="46"/>
  <c r="R74" i="46"/>
  <c r="R75" i="46"/>
  <c r="R76" i="46"/>
  <c r="R77" i="46"/>
  <c r="R78" i="46"/>
  <c r="R79" i="46"/>
  <c r="R80" i="46"/>
  <c r="R81" i="46"/>
  <c r="R82" i="46"/>
  <c r="R83" i="46"/>
  <c r="R84" i="46"/>
  <c r="R85" i="46"/>
  <c r="R86" i="46"/>
  <c r="R87" i="46"/>
  <c r="R88" i="46"/>
  <c r="R89" i="46"/>
  <c r="R90" i="46"/>
  <c r="R91" i="46"/>
  <c r="R92" i="46"/>
  <c r="R93" i="46"/>
  <c r="R94" i="46"/>
  <c r="R95" i="46"/>
  <c r="R96" i="46"/>
  <c r="R97" i="46"/>
  <c r="R98" i="46"/>
  <c r="R99" i="46"/>
  <c r="R100" i="46"/>
  <c r="R101" i="46"/>
  <c r="R102" i="46"/>
  <c r="R103" i="46"/>
  <c r="R104" i="46"/>
  <c r="R105" i="46"/>
  <c r="R106" i="46"/>
  <c r="R107" i="46"/>
  <c r="R108" i="46"/>
  <c r="R109" i="46"/>
  <c r="R110" i="46"/>
  <c r="R111" i="46"/>
  <c r="R112" i="46"/>
  <c r="R113" i="46"/>
  <c r="R114" i="46"/>
  <c r="R115" i="46"/>
  <c r="R116" i="46"/>
  <c r="R117" i="46"/>
  <c r="R118" i="46"/>
  <c r="R119" i="46"/>
  <c r="R120" i="46"/>
  <c r="R121" i="46"/>
  <c r="R122" i="46"/>
  <c r="R123" i="46"/>
  <c r="R124" i="46"/>
  <c r="R125" i="46"/>
  <c r="R126" i="46"/>
  <c r="R127" i="46"/>
  <c r="R128" i="46"/>
  <c r="R129" i="46"/>
  <c r="R130" i="46"/>
  <c r="R131" i="46"/>
  <c r="R132" i="46"/>
  <c r="R133" i="46"/>
  <c r="R134" i="46"/>
  <c r="R135" i="46"/>
  <c r="R136" i="46"/>
  <c r="R137" i="46"/>
  <c r="R138" i="46"/>
  <c r="R139" i="46"/>
  <c r="R140" i="46"/>
  <c r="R141" i="46"/>
  <c r="R142" i="46"/>
  <c r="R143" i="46"/>
  <c r="R144" i="46"/>
  <c r="R145" i="46"/>
  <c r="R146" i="46"/>
  <c r="R147" i="46"/>
  <c r="R148" i="46"/>
  <c r="R149" i="46"/>
  <c r="R150" i="46"/>
  <c r="R151" i="46"/>
  <c r="R152" i="46"/>
  <c r="R153" i="46"/>
  <c r="R154" i="46"/>
  <c r="R155" i="46"/>
  <c r="R156" i="46"/>
  <c r="R157" i="46"/>
  <c r="R158" i="46"/>
  <c r="R159" i="46"/>
  <c r="R160" i="46"/>
  <c r="R161" i="46"/>
  <c r="R162" i="46"/>
  <c r="R163" i="46"/>
  <c r="R164" i="46"/>
  <c r="R165" i="46"/>
  <c r="R166" i="46"/>
  <c r="R167" i="46"/>
  <c r="R168" i="46"/>
  <c r="R169" i="46"/>
  <c r="R170" i="46"/>
  <c r="R171" i="46"/>
  <c r="R172" i="46"/>
  <c r="R173" i="46"/>
  <c r="R174" i="46"/>
  <c r="R175" i="46"/>
  <c r="R176" i="46"/>
  <c r="R177" i="46"/>
  <c r="R178" i="46"/>
  <c r="R179" i="46"/>
  <c r="R180" i="46"/>
  <c r="R181" i="46"/>
  <c r="R182" i="46"/>
  <c r="R183" i="46"/>
  <c r="R184" i="46"/>
  <c r="R185" i="46"/>
  <c r="R186" i="46"/>
  <c r="R187" i="46"/>
  <c r="R188" i="46"/>
  <c r="R189" i="46"/>
  <c r="R190" i="46"/>
  <c r="R191" i="46"/>
  <c r="R192" i="46"/>
  <c r="R193" i="46"/>
  <c r="R194" i="46"/>
  <c r="R195" i="46"/>
  <c r="R196" i="46"/>
  <c r="R197" i="46"/>
  <c r="R198" i="46"/>
  <c r="R199" i="46"/>
  <c r="R200" i="46"/>
  <c r="R201" i="46"/>
  <c r="R202" i="46"/>
  <c r="R203" i="46"/>
  <c r="R204" i="46"/>
  <c r="R205" i="46"/>
  <c r="R206" i="46"/>
  <c r="R207" i="46"/>
  <c r="R208" i="46"/>
  <c r="R209" i="46"/>
  <c r="R210" i="46"/>
  <c r="R211" i="46"/>
  <c r="R212" i="46"/>
  <c r="R213" i="46"/>
  <c r="R214" i="46"/>
  <c r="R215" i="46"/>
  <c r="R216" i="46"/>
  <c r="R217" i="46"/>
  <c r="R218" i="46"/>
  <c r="R219" i="46"/>
  <c r="R220" i="46"/>
  <c r="R221" i="46"/>
  <c r="R222" i="46"/>
  <c r="R223" i="46"/>
  <c r="R224" i="46"/>
  <c r="R225" i="46"/>
  <c r="R226" i="46"/>
  <c r="R227" i="46"/>
  <c r="R228" i="46"/>
  <c r="R229" i="46"/>
  <c r="R230" i="46"/>
  <c r="R231" i="46"/>
  <c r="R232" i="46"/>
  <c r="R233" i="46"/>
  <c r="R234" i="46"/>
  <c r="R235" i="46"/>
  <c r="R236" i="46"/>
  <c r="R237" i="46"/>
  <c r="R238" i="46"/>
  <c r="R239" i="46"/>
  <c r="R240" i="46"/>
  <c r="R241" i="46"/>
  <c r="R242" i="46"/>
  <c r="R243" i="46"/>
  <c r="R244" i="46"/>
  <c r="R245" i="46"/>
  <c r="R246" i="46"/>
  <c r="R247" i="46"/>
  <c r="R248" i="46"/>
  <c r="R249" i="46"/>
  <c r="R250" i="46"/>
  <c r="R251" i="46"/>
  <c r="R252" i="46"/>
  <c r="R253" i="46"/>
  <c r="R254" i="46"/>
  <c r="R255" i="46"/>
  <c r="R256" i="46"/>
  <c r="X26" i="11"/>
  <c r="X27" i="11"/>
  <c r="X28" i="11"/>
  <c r="X29" i="11"/>
  <c r="X30" i="11"/>
  <c r="X31" i="11"/>
  <c r="X32" i="11"/>
  <c r="X33" i="11"/>
  <c r="X34" i="11"/>
  <c r="X35" i="11"/>
  <c r="X36" i="11"/>
  <c r="X37" i="11"/>
  <c r="X38" i="11"/>
  <c r="X39" i="11"/>
  <c r="X40" i="11"/>
  <c r="X41" i="11"/>
  <c r="X42" i="11"/>
  <c r="X43" i="11"/>
  <c r="X44" i="11"/>
  <c r="X45" i="11"/>
  <c r="X46" i="11"/>
  <c r="X47" i="11"/>
  <c r="X48" i="11"/>
  <c r="X49" i="11"/>
  <c r="X50" i="11"/>
  <c r="X51" i="11"/>
  <c r="X52" i="11"/>
  <c r="X53" i="11"/>
  <c r="X54" i="11"/>
  <c r="X55" i="11"/>
  <c r="X56" i="11"/>
  <c r="X57" i="11"/>
  <c r="X58" i="11"/>
  <c r="X59" i="11"/>
  <c r="X60" i="11"/>
  <c r="X61" i="11"/>
  <c r="X62" i="11"/>
  <c r="X63" i="11"/>
  <c r="X64" i="11"/>
  <c r="X65" i="11"/>
  <c r="X66" i="11"/>
  <c r="X67" i="11"/>
  <c r="X68" i="11"/>
  <c r="X69" i="11"/>
  <c r="X70" i="11"/>
  <c r="X71" i="11"/>
  <c r="X72" i="11"/>
  <c r="X73" i="11"/>
  <c r="X74" i="11"/>
  <c r="X75" i="11"/>
  <c r="X76" i="11"/>
  <c r="X77" i="11"/>
  <c r="X78" i="11"/>
  <c r="X79" i="11"/>
  <c r="X80" i="11"/>
  <c r="X81" i="11"/>
  <c r="X82" i="11"/>
  <c r="X83" i="11"/>
  <c r="X84" i="11"/>
  <c r="X85" i="11"/>
  <c r="X86" i="11"/>
  <c r="X87" i="11"/>
  <c r="X88" i="11"/>
  <c r="X89" i="11"/>
  <c r="X90" i="11"/>
  <c r="X91" i="11"/>
  <c r="X92" i="11"/>
  <c r="X93" i="11"/>
  <c r="X94" i="11"/>
  <c r="X95" i="11"/>
  <c r="X96" i="11"/>
  <c r="X97" i="11"/>
  <c r="X98" i="11"/>
  <c r="X99" i="11"/>
  <c r="X100" i="11"/>
  <c r="X101" i="11"/>
  <c r="X102" i="11"/>
  <c r="X103" i="11"/>
  <c r="X104" i="11"/>
  <c r="X105" i="11"/>
  <c r="X106" i="11"/>
  <c r="X107" i="11"/>
  <c r="X108" i="11"/>
  <c r="X109" i="11"/>
  <c r="X110" i="11"/>
  <c r="X111" i="11"/>
  <c r="X112" i="11"/>
  <c r="X113" i="11"/>
  <c r="X114" i="11"/>
  <c r="X115" i="11"/>
  <c r="X116" i="11"/>
  <c r="X117" i="11"/>
  <c r="X118" i="11"/>
  <c r="X119" i="11"/>
  <c r="X120" i="11"/>
  <c r="X121" i="11"/>
  <c r="X122" i="11"/>
  <c r="X123" i="11"/>
  <c r="X124" i="11"/>
  <c r="X125" i="11"/>
  <c r="X126" i="11"/>
  <c r="X127" i="11"/>
  <c r="X128" i="11"/>
  <c r="X129" i="11"/>
  <c r="X130" i="11"/>
  <c r="X131" i="11"/>
  <c r="X132" i="11"/>
  <c r="X133" i="11"/>
  <c r="X134" i="11"/>
  <c r="X135" i="11"/>
  <c r="X136" i="11"/>
  <c r="X137" i="11"/>
  <c r="X138" i="11"/>
  <c r="X139" i="11"/>
  <c r="X140" i="11"/>
  <c r="X141" i="11"/>
  <c r="X142" i="11"/>
  <c r="X143" i="11"/>
  <c r="X144" i="11"/>
  <c r="X145" i="11"/>
  <c r="X146" i="11"/>
  <c r="X147" i="11"/>
  <c r="X148" i="11"/>
  <c r="X149" i="11"/>
  <c r="X150" i="11"/>
  <c r="X151" i="11"/>
  <c r="X152" i="11"/>
  <c r="X153" i="11"/>
  <c r="X154" i="11"/>
  <c r="X155" i="11"/>
  <c r="X156" i="11"/>
  <c r="X157" i="11"/>
  <c r="X158" i="11"/>
  <c r="X159" i="11"/>
  <c r="X160" i="11"/>
  <c r="X161" i="11"/>
  <c r="X162" i="11"/>
  <c r="X163" i="11"/>
  <c r="X164" i="11"/>
  <c r="X165" i="11"/>
  <c r="X166" i="11"/>
  <c r="X167" i="11"/>
  <c r="X168" i="11"/>
  <c r="X169" i="11"/>
  <c r="X170" i="11"/>
  <c r="X171" i="11"/>
  <c r="X172" i="11"/>
  <c r="X173" i="11"/>
  <c r="X174" i="11"/>
  <c r="X175" i="11"/>
  <c r="X176" i="11"/>
  <c r="X177" i="11"/>
  <c r="X178" i="11"/>
  <c r="X179" i="11"/>
  <c r="X180" i="11"/>
  <c r="X181" i="11"/>
  <c r="X182" i="11"/>
  <c r="X183" i="11"/>
  <c r="X184" i="11"/>
  <c r="X185" i="11"/>
  <c r="X186" i="11"/>
  <c r="X187" i="11"/>
  <c r="X188" i="11"/>
  <c r="X189" i="11"/>
  <c r="X190" i="11"/>
  <c r="X191" i="11"/>
  <c r="X192" i="11"/>
  <c r="X193" i="11"/>
  <c r="X194" i="11"/>
  <c r="X195" i="11"/>
  <c r="X196" i="11"/>
  <c r="X197" i="11"/>
  <c r="X198" i="11"/>
  <c r="X199" i="11"/>
  <c r="X200" i="11"/>
  <c r="X201" i="11"/>
  <c r="X202" i="11"/>
  <c r="X203" i="11"/>
  <c r="X204" i="11"/>
  <c r="X205" i="11"/>
  <c r="X206" i="11"/>
  <c r="X207" i="11"/>
  <c r="X208" i="11"/>
  <c r="X209" i="11"/>
  <c r="X210" i="11"/>
  <c r="X211" i="11"/>
  <c r="X212" i="11"/>
  <c r="X213" i="11"/>
  <c r="X214" i="11"/>
  <c r="X215" i="11"/>
  <c r="X216" i="11"/>
  <c r="X217" i="11"/>
  <c r="X218" i="11"/>
  <c r="X219" i="11"/>
  <c r="X220" i="11"/>
  <c r="X221" i="11"/>
  <c r="X222" i="11"/>
  <c r="X223" i="11"/>
  <c r="X224" i="11"/>
  <c r="X225" i="11"/>
  <c r="X226" i="11"/>
  <c r="X227" i="11"/>
  <c r="X228" i="11"/>
  <c r="X229" i="11"/>
  <c r="X230" i="11"/>
  <c r="X231" i="11"/>
  <c r="X232" i="11"/>
  <c r="X233" i="11"/>
  <c r="X234" i="11"/>
  <c r="X235" i="11"/>
  <c r="X236" i="11"/>
  <c r="X237" i="11"/>
  <c r="X238" i="11"/>
  <c r="X239" i="11"/>
  <c r="X240" i="11"/>
  <c r="X241" i="11"/>
  <c r="X242" i="11"/>
  <c r="X243" i="11"/>
  <c r="X244" i="11"/>
  <c r="X245" i="11"/>
  <c r="X246" i="11"/>
  <c r="X247" i="11"/>
  <c r="X248" i="11"/>
  <c r="X249" i="11"/>
  <c r="X250" i="11"/>
  <c r="X251" i="11"/>
  <c r="X252" i="11"/>
  <c r="X253" i="11"/>
  <c r="X254" i="11"/>
  <c r="X255" i="11"/>
  <c r="X256" i="11"/>
  <c r="X257" i="11"/>
  <c r="X258" i="11"/>
  <c r="H262" i="71" l="1"/>
  <c r="I262" i="71"/>
  <c r="J264" i="59"/>
  <c r="I264" i="59"/>
  <c r="I262" i="46"/>
  <c r="H262" i="46"/>
  <c r="J265" i="11"/>
  <c r="I265" i="11" l="1"/>
  <c r="F11" i="46"/>
  <c r="F12" i="46"/>
  <c r="F13" i="46"/>
  <c r="F14" i="46"/>
  <c r="F15" i="46"/>
  <c r="F16" i="46"/>
  <c r="F17" i="46"/>
  <c r="U17" i="46" s="1"/>
  <c r="F18" i="46"/>
  <c r="F19" i="46"/>
  <c r="F20" i="46"/>
  <c r="F21" i="46"/>
  <c r="F22" i="46"/>
  <c r="F23" i="46"/>
  <c r="F24" i="46"/>
  <c r="U24" i="46" s="1"/>
  <c r="F25" i="46"/>
  <c r="H25" i="46" s="1"/>
  <c r="F26" i="46"/>
  <c r="F27" i="46"/>
  <c r="F28" i="46"/>
  <c r="F29" i="46"/>
  <c r="F30" i="46"/>
  <c r="F31" i="46"/>
  <c r="F32" i="46"/>
  <c r="U32" i="46" s="1"/>
  <c r="F33" i="46"/>
  <c r="H33" i="46" s="1"/>
  <c r="F34" i="46"/>
  <c r="F35" i="46"/>
  <c r="C11" i="46"/>
  <c r="C12" i="46"/>
  <c r="C13" i="46"/>
  <c r="F16" i="63"/>
  <c r="L78" i="29"/>
  <c r="M78" i="29"/>
  <c r="C136" i="72"/>
  <c r="C135" i="72"/>
  <c r="B136" i="72"/>
  <c r="C139" i="72"/>
  <c r="C138" i="72"/>
  <c r="C137" i="72"/>
  <c r="B138" i="72"/>
  <c r="C109" i="72"/>
  <c r="B109" i="72"/>
  <c r="C99" i="72"/>
  <c r="C100" i="72"/>
  <c r="B100" i="72"/>
  <c r="W20" i="71"/>
  <c r="W21" i="71"/>
  <c r="W22" i="71"/>
  <c r="W23" i="71"/>
  <c r="W24" i="71"/>
  <c r="W25" i="71"/>
  <c r="W26" i="71"/>
  <c r="W27" i="71"/>
  <c r="W28" i="71"/>
  <c r="W29" i="71"/>
  <c r="W30" i="71"/>
  <c r="W31" i="71"/>
  <c r="W32" i="71"/>
  <c r="W33" i="71"/>
  <c r="W34" i="71"/>
  <c r="W35" i="71"/>
  <c r="W36" i="71"/>
  <c r="W37" i="71"/>
  <c r="W38" i="71"/>
  <c r="W39" i="71"/>
  <c r="W40" i="71"/>
  <c r="W41" i="71"/>
  <c r="W42" i="71"/>
  <c r="W43" i="71"/>
  <c r="W44" i="71"/>
  <c r="W45" i="71"/>
  <c r="W46" i="71"/>
  <c r="W47" i="71"/>
  <c r="W48" i="71"/>
  <c r="W49" i="71"/>
  <c r="W50" i="71"/>
  <c r="W51" i="71"/>
  <c r="W52" i="71"/>
  <c r="W53" i="71"/>
  <c r="W54" i="71"/>
  <c r="W55" i="71"/>
  <c r="W56" i="71"/>
  <c r="W57" i="71"/>
  <c r="W58" i="71"/>
  <c r="W59" i="71"/>
  <c r="W60" i="71"/>
  <c r="W61" i="71"/>
  <c r="W62" i="71"/>
  <c r="W63" i="71"/>
  <c r="W64" i="71"/>
  <c r="W65" i="71"/>
  <c r="W66" i="71"/>
  <c r="W67" i="71"/>
  <c r="W68" i="71"/>
  <c r="W69" i="71"/>
  <c r="W70" i="71"/>
  <c r="W71" i="71"/>
  <c r="W72" i="71"/>
  <c r="W73" i="71"/>
  <c r="W74" i="71"/>
  <c r="W75" i="71"/>
  <c r="W76" i="71"/>
  <c r="W77" i="71"/>
  <c r="W78" i="71"/>
  <c r="W79" i="71"/>
  <c r="W80" i="71"/>
  <c r="W81" i="71"/>
  <c r="W82" i="71"/>
  <c r="W83" i="71"/>
  <c r="W84" i="71"/>
  <c r="W85" i="71"/>
  <c r="W86" i="71"/>
  <c r="W87" i="71"/>
  <c r="W88" i="71"/>
  <c r="W89" i="71"/>
  <c r="W90" i="71"/>
  <c r="W91" i="71"/>
  <c r="W92" i="71"/>
  <c r="W93" i="71"/>
  <c r="W94" i="71"/>
  <c r="W95" i="71"/>
  <c r="W96" i="71"/>
  <c r="W97" i="71"/>
  <c r="W98" i="71"/>
  <c r="W99" i="71"/>
  <c r="W100" i="71"/>
  <c r="W101" i="71"/>
  <c r="W102" i="71"/>
  <c r="W103" i="71"/>
  <c r="W104" i="71"/>
  <c r="W105" i="71"/>
  <c r="W106" i="71"/>
  <c r="W107" i="71"/>
  <c r="W108" i="71"/>
  <c r="W109" i="71"/>
  <c r="W110" i="71"/>
  <c r="W111" i="71"/>
  <c r="W112" i="71"/>
  <c r="W113" i="71"/>
  <c r="W114" i="71"/>
  <c r="W115" i="71"/>
  <c r="W116" i="71"/>
  <c r="W117" i="71"/>
  <c r="W118" i="71"/>
  <c r="W119" i="71"/>
  <c r="W120" i="71"/>
  <c r="W121" i="71"/>
  <c r="W122" i="71"/>
  <c r="W123" i="71"/>
  <c r="W124" i="71"/>
  <c r="W125" i="71"/>
  <c r="W126" i="71"/>
  <c r="W127" i="71"/>
  <c r="W128" i="71"/>
  <c r="W129" i="71"/>
  <c r="W130" i="71"/>
  <c r="W131" i="71"/>
  <c r="W132" i="71"/>
  <c r="W133" i="71"/>
  <c r="W134" i="71"/>
  <c r="W135" i="71"/>
  <c r="W136" i="71"/>
  <c r="W137" i="71"/>
  <c r="W138" i="71"/>
  <c r="W139" i="71"/>
  <c r="W140" i="71"/>
  <c r="W141" i="71"/>
  <c r="W142" i="71"/>
  <c r="W143" i="71"/>
  <c r="W144" i="71"/>
  <c r="W145" i="71"/>
  <c r="W146" i="71"/>
  <c r="W147" i="71"/>
  <c r="W148" i="71"/>
  <c r="W149" i="71"/>
  <c r="W150" i="71"/>
  <c r="W151" i="71"/>
  <c r="W152" i="71"/>
  <c r="W153" i="71"/>
  <c r="W154" i="71"/>
  <c r="W155" i="71"/>
  <c r="W156" i="71"/>
  <c r="W157" i="71"/>
  <c r="W158" i="71"/>
  <c r="W159" i="71"/>
  <c r="W160" i="71"/>
  <c r="W161" i="71"/>
  <c r="W162" i="71"/>
  <c r="W163" i="71"/>
  <c r="W164" i="71"/>
  <c r="W165" i="71"/>
  <c r="W166" i="71"/>
  <c r="W167" i="71"/>
  <c r="W168" i="71"/>
  <c r="W169" i="71"/>
  <c r="W170" i="71"/>
  <c r="W171" i="71"/>
  <c r="W172" i="71"/>
  <c r="W173" i="71"/>
  <c r="W174" i="71"/>
  <c r="W175" i="71"/>
  <c r="W176" i="71"/>
  <c r="W177" i="71"/>
  <c r="W178" i="71"/>
  <c r="W179" i="71"/>
  <c r="W180" i="71"/>
  <c r="W181" i="71"/>
  <c r="W182" i="71"/>
  <c r="W183" i="71"/>
  <c r="W184" i="71"/>
  <c r="W185" i="71"/>
  <c r="W186" i="71"/>
  <c r="W187" i="71"/>
  <c r="W188" i="71"/>
  <c r="W189" i="71"/>
  <c r="W190" i="71"/>
  <c r="W191" i="71"/>
  <c r="W192" i="71"/>
  <c r="W193" i="71"/>
  <c r="W194" i="71"/>
  <c r="W195" i="71"/>
  <c r="W196" i="71"/>
  <c r="W197" i="71"/>
  <c r="W198" i="71"/>
  <c r="W199" i="71"/>
  <c r="W200" i="71"/>
  <c r="W201" i="71"/>
  <c r="W202" i="71"/>
  <c r="W203" i="71"/>
  <c r="W204" i="71"/>
  <c r="W205" i="71"/>
  <c r="W206" i="71"/>
  <c r="W207" i="71"/>
  <c r="W208" i="71"/>
  <c r="W209" i="71"/>
  <c r="W210" i="71"/>
  <c r="W211" i="71"/>
  <c r="W212" i="71"/>
  <c r="W213" i="71"/>
  <c r="W214" i="71"/>
  <c r="W215" i="71"/>
  <c r="W216" i="71"/>
  <c r="W217" i="71"/>
  <c r="W218" i="71"/>
  <c r="W219" i="71"/>
  <c r="W220" i="71"/>
  <c r="W221" i="71"/>
  <c r="W222" i="71"/>
  <c r="W223" i="71"/>
  <c r="W224" i="71"/>
  <c r="W225" i="71"/>
  <c r="W226" i="71"/>
  <c r="W227" i="71"/>
  <c r="W228" i="71"/>
  <c r="W229" i="71"/>
  <c r="W230" i="71"/>
  <c r="W231" i="71"/>
  <c r="W232" i="71"/>
  <c r="W233" i="71"/>
  <c r="W234" i="71"/>
  <c r="W235" i="71"/>
  <c r="W236" i="71"/>
  <c r="W237" i="71"/>
  <c r="W238" i="71"/>
  <c r="W239" i="71"/>
  <c r="W240" i="71"/>
  <c r="W241" i="71"/>
  <c r="W242" i="71"/>
  <c r="W243" i="71"/>
  <c r="W244" i="71"/>
  <c r="W245" i="71"/>
  <c r="W246" i="71"/>
  <c r="W247" i="71"/>
  <c r="W248" i="71"/>
  <c r="W249" i="71"/>
  <c r="W250" i="71"/>
  <c r="W251" i="71"/>
  <c r="W252" i="71"/>
  <c r="W253" i="71"/>
  <c r="W254" i="71"/>
  <c r="W255" i="71"/>
  <c r="W256" i="71"/>
  <c r="F12" i="71"/>
  <c r="F13" i="71"/>
  <c r="F14" i="71"/>
  <c r="F15" i="71"/>
  <c r="F16" i="71"/>
  <c r="F17" i="71"/>
  <c r="F18" i="71"/>
  <c r="F19" i="71"/>
  <c r="F20" i="71"/>
  <c r="F21" i="71"/>
  <c r="F22" i="71"/>
  <c r="F23" i="71"/>
  <c r="F24" i="71"/>
  <c r="F25" i="71"/>
  <c r="F26" i="71"/>
  <c r="F27" i="71"/>
  <c r="F28" i="71"/>
  <c r="F29" i="71"/>
  <c r="F30" i="71"/>
  <c r="F31" i="71"/>
  <c r="F32" i="71"/>
  <c r="F33" i="71"/>
  <c r="F34" i="71"/>
  <c r="F35" i="71"/>
  <c r="F36" i="71"/>
  <c r="F37" i="71"/>
  <c r="F38" i="71"/>
  <c r="F39" i="71"/>
  <c r="F40" i="71"/>
  <c r="F41" i="71"/>
  <c r="F42" i="71"/>
  <c r="F43" i="71"/>
  <c r="F44" i="71"/>
  <c r="F45" i="71"/>
  <c r="F46" i="71"/>
  <c r="F47" i="71"/>
  <c r="F48" i="71"/>
  <c r="F49" i="71"/>
  <c r="F50" i="71"/>
  <c r="F51" i="71"/>
  <c r="F52" i="71"/>
  <c r="F53" i="71"/>
  <c r="F54" i="71"/>
  <c r="F55" i="71"/>
  <c r="F56" i="71"/>
  <c r="F57" i="71"/>
  <c r="F58" i="71"/>
  <c r="F59" i="71"/>
  <c r="F60" i="71"/>
  <c r="F61" i="71"/>
  <c r="F62" i="71"/>
  <c r="F63" i="71"/>
  <c r="F64" i="71"/>
  <c r="F65" i="71"/>
  <c r="F66" i="71"/>
  <c r="F67" i="71"/>
  <c r="F68" i="71"/>
  <c r="F69" i="71"/>
  <c r="F70" i="71"/>
  <c r="F71" i="71"/>
  <c r="F72" i="71"/>
  <c r="F73" i="71"/>
  <c r="F74" i="71"/>
  <c r="F75" i="71"/>
  <c r="F76" i="71"/>
  <c r="F77" i="71"/>
  <c r="F78" i="71"/>
  <c r="F79" i="71"/>
  <c r="F80" i="71"/>
  <c r="F81" i="71"/>
  <c r="F82" i="71"/>
  <c r="F83" i="71"/>
  <c r="F84" i="71"/>
  <c r="F85" i="71"/>
  <c r="F86" i="71"/>
  <c r="F87" i="71"/>
  <c r="F88" i="71"/>
  <c r="F89" i="71"/>
  <c r="F90" i="71"/>
  <c r="F91" i="71"/>
  <c r="F92" i="71"/>
  <c r="F93" i="71"/>
  <c r="F94" i="71"/>
  <c r="F95" i="71"/>
  <c r="F96" i="71"/>
  <c r="F97" i="71"/>
  <c r="F98" i="71"/>
  <c r="F99" i="71"/>
  <c r="F100" i="71"/>
  <c r="F101" i="71"/>
  <c r="F102" i="71"/>
  <c r="F103" i="71"/>
  <c r="F104" i="71"/>
  <c r="F105" i="71"/>
  <c r="F106" i="71"/>
  <c r="F107" i="71"/>
  <c r="F108" i="71"/>
  <c r="F109" i="71"/>
  <c r="F110" i="71"/>
  <c r="F111" i="71"/>
  <c r="F112" i="71"/>
  <c r="F113" i="71"/>
  <c r="F114" i="71"/>
  <c r="F115" i="71"/>
  <c r="F116" i="71"/>
  <c r="F117" i="71"/>
  <c r="F118" i="71"/>
  <c r="F119" i="71"/>
  <c r="F120" i="71"/>
  <c r="F121" i="71"/>
  <c r="F122" i="71"/>
  <c r="F123" i="71"/>
  <c r="F124" i="71"/>
  <c r="F125" i="71"/>
  <c r="F126" i="71"/>
  <c r="F127" i="71"/>
  <c r="F128" i="71"/>
  <c r="F129" i="71"/>
  <c r="F130" i="71"/>
  <c r="F131" i="71"/>
  <c r="F132" i="71"/>
  <c r="F133" i="71"/>
  <c r="F134" i="71"/>
  <c r="F135" i="71"/>
  <c r="F136" i="71"/>
  <c r="F137" i="71"/>
  <c r="F138" i="71"/>
  <c r="F139" i="71"/>
  <c r="F140" i="71"/>
  <c r="F141" i="71"/>
  <c r="F142" i="71"/>
  <c r="F143" i="71"/>
  <c r="F144" i="71"/>
  <c r="F145" i="71"/>
  <c r="F146" i="71"/>
  <c r="F147" i="71"/>
  <c r="F148" i="71"/>
  <c r="F149" i="71"/>
  <c r="F150" i="71"/>
  <c r="F151" i="71"/>
  <c r="F152" i="71"/>
  <c r="F153" i="71"/>
  <c r="F154" i="71"/>
  <c r="F155" i="71"/>
  <c r="F156" i="71"/>
  <c r="F157" i="71"/>
  <c r="F158" i="71"/>
  <c r="F159" i="71"/>
  <c r="F160" i="71"/>
  <c r="F161" i="71"/>
  <c r="F162" i="71"/>
  <c r="F163" i="71"/>
  <c r="F164" i="71"/>
  <c r="F165" i="71"/>
  <c r="F166" i="71"/>
  <c r="F167" i="71"/>
  <c r="F168" i="71"/>
  <c r="F169" i="71"/>
  <c r="F170" i="71"/>
  <c r="F171" i="71"/>
  <c r="F172" i="71"/>
  <c r="F173" i="71"/>
  <c r="F174" i="71"/>
  <c r="F175" i="71"/>
  <c r="F176" i="71"/>
  <c r="F177" i="71"/>
  <c r="F178" i="71"/>
  <c r="F179" i="71"/>
  <c r="F180" i="71"/>
  <c r="F181" i="71"/>
  <c r="F182" i="71"/>
  <c r="F183" i="71"/>
  <c r="F184" i="71"/>
  <c r="F185" i="71"/>
  <c r="F186" i="71"/>
  <c r="F187" i="71"/>
  <c r="F188" i="71"/>
  <c r="F189" i="71"/>
  <c r="F190" i="71"/>
  <c r="F191" i="71"/>
  <c r="F192" i="71"/>
  <c r="F193" i="71"/>
  <c r="F194" i="71"/>
  <c r="F195" i="71"/>
  <c r="F196" i="71"/>
  <c r="F197" i="71"/>
  <c r="F198" i="71"/>
  <c r="F199" i="71"/>
  <c r="F200" i="71"/>
  <c r="F201" i="71"/>
  <c r="F202" i="71"/>
  <c r="F203" i="71"/>
  <c r="F204" i="71"/>
  <c r="F205" i="71"/>
  <c r="F206" i="71"/>
  <c r="F207" i="71"/>
  <c r="F208" i="71"/>
  <c r="F209" i="71"/>
  <c r="F210" i="71"/>
  <c r="F211" i="71"/>
  <c r="F212" i="71"/>
  <c r="F213" i="71"/>
  <c r="F214" i="71"/>
  <c r="F215" i="71"/>
  <c r="F216" i="71"/>
  <c r="F217" i="71"/>
  <c r="F218" i="71"/>
  <c r="F219" i="71"/>
  <c r="F220" i="71"/>
  <c r="F221" i="71"/>
  <c r="F222" i="71"/>
  <c r="F223" i="71"/>
  <c r="F224" i="71"/>
  <c r="F225" i="71"/>
  <c r="F226" i="71"/>
  <c r="F227" i="71"/>
  <c r="F228" i="71"/>
  <c r="F229" i="71"/>
  <c r="F230" i="71"/>
  <c r="F231" i="71"/>
  <c r="F232" i="71"/>
  <c r="F233" i="71"/>
  <c r="F234" i="71"/>
  <c r="F235" i="71"/>
  <c r="F236" i="71"/>
  <c r="F237" i="71"/>
  <c r="F238" i="71"/>
  <c r="F239" i="71"/>
  <c r="F240" i="71"/>
  <c r="F241" i="71"/>
  <c r="F242" i="71"/>
  <c r="F243" i="71"/>
  <c r="F244" i="71"/>
  <c r="F245" i="71"/>
  <c r="F246" i="71"/>
  <c r="F247" i="71"/>
  <c r="F248" i="71"/>
  <c r="F249" i="71"/>
  <c r="F250" i="71"/>
  <c r="F251" i="71"/>
  <c r="F252" i="71"/>
  <c r="F253" i="71"/>
  <c r="F254" i="71"/>
  <c r="F255" i="71"/>
  <c r="F256" i="71"/>
  <c r="F11" i="71"/>
  <c r="C12" i="71"/>
  <c r="C13" i="71"/>
  <c r="C14" i="71"/>
  <c r="C15" i="71"/>
  <c r="C16" i="71"/>
  <c r="C17" i="71"/>
  <c r="C18" i="71"/>
  <c r="C19" i="71"/>
  <c r="C20" i="71"/>
  <c r="C21" i="71"/>
  <c r="C22" i="71"/>
  <c r="C23" i="71"/>
  <c r="C24" i="71"/>
  <c r="C25" i="71"/>
  <c r="C26" i="71"/>
  <c r="C27" i="71"/>
  <c r="C28" i="71"/>
  <c r="C29" i="71"/>
  <c r="C30" i="71"/>
  <c r="C31" i="71"/>
  <c r="C32" i="71"/>
  <c r="C33" i="71"/>
  <c r="C34" i="71"/>
  <c r="C35" i="71"/>
  <c r="C36" i="71"/>
  <c r="C37" i="71"/>
  <c r="C38" i="71"/>
  <c r="C39" i="71"/>
  <c r="C40" i="71"/>
  <c r="C41" i="71"/>
  <c r="C42" i="71"/>
  <c r="C43" i="71"/>
  <c r="C44" i="71"/>
  <c r="C45" i="71"/>
  <c r="C46" i="71"/>
  <c r="C47" i="71"/>
  <c r="C48" i="71"/>
  <c r="C49" i="71"/>
  <c r="C50" i="71"/>
  <c r="C51" i="71"/>
  <c r="C52" i="71"/>
  <c r="C53" i="71"/>
  <c r="C54" i="71"/>
  <c r="C55" i="71"/>
  <c r="C56" i="71"/>
  <c r="C57" i="71"/>
  <c r="C58" i="71"/>
  <c r="C59" i="71"/>
  <c r="C60" i="71"/>
  <c r="C61" i="71"/>
  <c r="C62" i="71"/>
  <c r="C63" i="71"/>
  <c r="C64" i="71"/>
  <c r="C65" i="71"/>
  <c r="C66" i="71"/>
  <c r="C67" i="71"/>
  <c r="C68" i="71"/>
  <c r="C69" i="71"/>
  <c r="C70" i="71"/>
  <c r="C71" i="71"/>
  <c r="C72" i="71"/>
  <c r="C73" i="71"/>
  <c r="C74" i="71"/>
  <c r="C75" i="71"/>
  <c r="C76" i="71"/>
  <c r="C77" i="71"/>
  <c r="C78" i="71"/>
  <c r="C79" i="71"/>
  <c r="C80" i="71"/>
  <c r="C81" i="71"/>
  <c r="C82" i="71"/>
  <c r="C83" i="71"/>
  <c r="C84" i="71"/>
  <c r="C85" i="71"/>
  <c r="C86" i="71"/>
  <c r="C87" i="71"/>
  <c r="C88" i="71"/>
  <c r="C89" i="71"/>
  <c r="C90" i="71"/>
  <c r="C91" i="71"/>
  <c r="C92" i="71"/>
  <c r="C93" i="71"/>
  <c r="C94" i="71"/>
  <c r="C95" i="71"/>
  <c r="C96" i="71"/>
  <c r="C97" i="71"/>
  <c r="C98" i="71"/>
  <c r="C99" i="71"/>
  <c r="C100" i="71"/>
  <c r="C101" i="71"/>
  <c r="C102" i="71"/>
  <c r="C103" i="71"/>
  <c r="C104" i="71"/>
  <c r="C105" i="71"/>
  <c r="C106" i="71"/>
  <c r="C107" i="71"/>
  <c r="C108" i="71"/>
  <c r="C109" i="71"/>
  <c r="C110" i="71"/>
  <c r="C111" i="71"/>
  <c r="C112" i="71"/>
  <c r="C113" i="71"/>
  <c r="C114" i="71"/>
  <c r="C115" i="71"/>
  <c r="C116" i="71"/>
  <c r="C117" i="71"/>
  <c r="C118" i="71"/>
  <c r="C119" i="71"/>
  <c r="C120" i="71"/>
  <c r="C121" i="71"/>
  <c r="C122" i="71"/>
  <c r="C123" i="71"/>
  <c r="C124" i="71"/>
  <c r="C125" i="71"/>
  <c r="C126" i="71"/>
  <c r="C127" i="71"/>
  <c r="C128" i="71"/>
  <c r="C129" i="71"/>
  <c r="C130" i="71"/>
  <c r="C131" i="71"/>
  <c r="C132" i="71"/>
  <c r="C133" i="71"/>
  <c r="C134" i="71"/>
  <c r="C135" i="71"/>
  <c r="C136" i="71"/>
  <c r="C137" i="71"/>
  <c r="C138" i="71"/>
  <c r="C139" i="71"/>
  <c r="C140" i="71"/>
  <c r="C141" i="71"/>
  <c r="C142" i="71"/>
  <c r="C143" i="71"/>
  <c r="C144" i="71"/>
  <c r="C145" i="71"/>
  <c r="C146" i="71"/>
  <c r="C147" i="71"/>
  <c r="C148" i="71"/>
  <c r="C149" i="71"/>
  <c r="C150" i="71"/>
  <c r="C151" i="71"/>
  <c r="C152" i="71"/>
  <c r="C153" i="71"/>
  <c r="C154" i="71"/>
  <c r="C155" i="71"/>
  <c r="C156" i="71"/>
  <c r="C157" i="71"/>
  <c r="C158" i="71"/>
  <c r="C159" i="71"/>
  <c r="C160" i="71"/>
  <c r="C161" i="71"/>
  <c r="C162" i="71"/>
  <c r="C163" i="71"/>
  <c r="C164" i="71"/>
  <c r="C165" i="71"/>
  <c r="C166" i="71"/>
  <c r="C167" i="71"/>
  <c r="C168" i="71"/>
  <c r="C169" i="71"/>
  <c r="C170" i="71"/>
  <c r="C171" i="71"/>
  <c r="C172" i="71"/>
  <c r="C173" i="71"/>
  <c r="C174" i="71"/>
  <c r="C175" i="71"/>
  <c r="C176" i="71"/>
  <c r="C177" i="71"/>
  <c r="C178" i="71"/>
  <c r="C179" i="71"/>
  <c r="C180" i="71"/>
  <c r="C181" i="71"/>
  <c r="C182" i="71"/>
  <c r="C183" i="71"/>
  <c r="C184" i="71"/>
  <c r="C185" i="71"/>
  <c r="C186" i="71"/>
  <c r="C187" i="71"/>
  <c r="C188" i="71"/>
  <c r="C189" i="71"/>
  <c r="C190" i="71"/>
  <c r="C191" i="71"/>
  <c r="C192" i="71"/>
  <c r="C193" i="71"/>
  <c r="C194" i="71"/>
  <c r="C195" i="71"/>
  <c r="C196" i="71"/>
  <c r="C197" i="71"/>
  <c r="C198" i="71"/>
  <c r="C199" i="71"/>
  <c r="C200" i="71"/>
  <c r="C201" i="71"/>
  <c r="C202" i="71"/>
  <c r="C203" i="71"/>
  <c r="C204" i="71"/>
  <c r="C205" i="71"/>
  <c r="C206" i="71"/>
  <c r="C207" i="71"/>
  <c r="C208" i="71"/>
  <c r="C209" i="71"/>
  <c r="C210" i="71"/>
  <c r="C211" i="71"/>
  <c r="C212" i="71"/>
  <c r="C213" i="71"/>
  <c r="C214" i="71"/>
  <c r="C215" i="71"/>
  <c r="C216" i="71"/>
  <c r="C217" i="71"/>
  <c r="C218" i="71"/>
  <c r="C219" i="71"/>
  <c r="C220" i="71"/>
  <c r="C221" i="71"/>
  <c r="C222" i="71"/>
  <c r="C223" i="71"/>
  <c r="C224" i="71"/>
  <c r="C225" i="71"/>
  <c r="C226" i="71"/>
  <c r="C227" i="71"/>
  <c r="C228" i="71"/>
  <c r="C229" i="71"/>
  <c r="C230" i="71"/>
  <c r="C231" i="71"/>
  <c r="C232" i="71"/>
  <c r="C233" i="71"/>
  <c r="C234" i="71"/>
  <c r="C235" i="71"/>
  <c r="C236" i="71"/>
  <c r="C237" i="71"/>
  <c r="C238" i="71"/>
  <c r="C239" i="71"/>
  <c r="C240" i="71"/>
  <c r="C241" i="71"/>
  <c r="C242" i="71"/>
  <c r="C243" i="71"/>
  <c r="C244" i="71"/>
  <c r="C245" i="71"/>
  <c r="C246" i="71"/>
  <c r="C247" i="71"/>
  <c r="C248" i="71"/>
  <c r="C249" i="71"/>
  <c r="C250" i="71"/>
  <c r="C251" i="71"/>
  <c r="C252" i="71"/>
  <c r="C253" i="71"/>
  <c r="C254" i="71"/>
  <c r="C255" i="71"/>
  <c r="C256" i="71"/>
  <c r="C11" i="71"/>
  <c r="G12" i="59"/>
  <c r="P12" i="59" s="1"/>
  <c r="G13" i="59"/>
  <c r="P13" i="59" s="1"/>
  <c r="G14" i="59"/>
  <c r="P14" i="59" s="1"/>
  <c r="G15" i="59"/>
  <c r="P15" i="59" s="1"/>
  <c r="G16" i="59"/>
  <c r="P16" i="59" s="1"/>
  <c r="Q16" i="59" s="1"/>
  <c r="G17" i="59"/>
  <c r="P17" i="59" s="1"/>
  <c r="Q17" i="59" s="1"/>
  <c r="G18" i="59"/>
  <c r="P18" i="59" s="1"/>
  <c r="Q18" i="59" s="1"/>
  <c r="G19" i="59"/>
  <c r="P19" i="59" s="1"/>
  <c r="Q19" i="59" s="1"/>
  <c r="G20" i="59"/>
  <c r="P20" i="59" s="1"/>
  <c r="Q20" i="59" s="1"/>
  <c r="G21" i="59"/>
  <c r="P21" i="59" s="1"/>
  <c r="Q21" i="59" s="1"/>
  <c r="G22" i="59"/>
  <c r="P22" i="59" s="1"/>
  <c r="Q22" i="59" s="1"/>
  <c r="G23" i="59"/>
  <c r="P23" i="59" s="1"/>
  <c r="Q23" i="59" s="1"/>
  <c r="G24" i="59"/>
  <c r="P24" i="59" s="1"/>
  <c r="Q24" i="59" s="1"/>
  <c r="G25" i="59"/>
  <c r="P25" i="59" s="1"/>
  <c r="Q25" i="59" s="1"/>
  <c r="G26" i="59"/>
  <c r="P26" i="59" s="1"/>
  <c r="Q26" i="59" s="1"/>
  <c r="G27" i="59"/>
  <c r="P27" i="59" s="1"/>
  <c r="Q27" i="59" s="1"/>
  <c r="G28" i="59"/>
  <c r="P28" i="59" s="1"/>
  <c r="Q28" i="59" s="1"/>
  <c r="G29" i="59"/>
  <c r="P29" i="59" s="1"/>
  <c r="Q29" i="59" s="1"/>
  <c r="G30" i="59"/>
  <c r="P30" i="59" s="1"/>
  <c r="Q30" i="59" s="1"/>
  <c r="G31" i="59"/>
  <c r="P31" i="59" s="1"/>
  <c r="Q31" i="59" s="1"/>
  <c r="G32" i="59"/>
  <c r="P32" i="59" s="1"/>
  <c r="Q32" i="59" s="1"/>
  <c r="G33" i="59"/>
  <c r="P33" i="59" s="1"/>
  <c r="Q33" i="59" s="1"/>
  <c r="G34" i="59"/>
  <c r="P34" i="59" s="1"/>
  <c r="Q34" i="59" s="1"/>
  <c r="G35" i="59"/>
  <c r="P35" i="59" s="1"/>
  <c r="Q35" i="59" s="1"/>
  <c r="G36" i="59"/>
  <c r="P36" i="59" s="1"/>
  <c r="Q36" i="59" s="1"/>
  <c r="G37" i="59"/>
  <c r="P37" i="59" s="1"/>
  <c r="Q37" i="59" s="1"/>
  <c r="G38" i="59"/>
  <c r="P38" i="59" s="1"/>
  <c r="Q38" i="59" s="1"/>
  <c r="G39" i="59"/>
  <c r="P39" i="59" s="1"/>
  <c r="Q39" i="59" s="1"/>
  <c r="G40" i="59"/>
  <c r="P40" i="59" s="1"/>
  <c r="Q40" i="59" s="1"/>
  <c r="G41" i="59"/>
  <c r="P41" i="59" s="1"/>
  <c r="Q41" i="59" s="1"/>
  <c r="G42" i="59"/>
  <c r="P42" i="59" s="1"/>
  <c r="Q42" i="59" s="1"/>
  <c r="G43" i="59"/>
  <c r="P43" i="59" s="1"/>
  <c r="Q43" i="59" s="1"/>
  <c r="G44" i="59"/>
  <c r="P44" i="59" s="1"/>
  <c r="Q44" i="59" s="1"/>
  <c r="G45" i="59"/>
  <c r="P45" i="59" s="1"/>
  <c r="Q45" i="59" s="1"/>
  <c r="G46" i="59"/>
  <c r="P46" i="59" s="1"/>
  <c r="Q46" i="59" s="1"/>
  <c r="G47" i="59"/>
  <c r="P47" i="59" s="1"/>
  <c r="Q47" i="59" s="1"/>
  <c r="G48" i="59"/>
  <c r="P48" i="59" s="1"/>
  <c r="Q48" i="59" s="1"/>
  <c r="G49" i="59"/>
  <c r="P49" i="59" s="1"/>
  <c r="Q49" i="59" s="1"/>
  <c r="G50" i="59"/>
  <c r="P50" i="59" s="1"/>
  <c r="Q50" i="59" s="1"/>
  <c r="G51" i="59"/>
  <c r="P51" i="59" s="1"/>
  <c r="Q51" i="59" s="1"/>
  <c r="G52" i="59"/>
  <c r="P52" i="59" s="1"/>
  <c r="Q52" i="59" s="1"/>
  <c r="G53" i="59"/>
  <c r="P53" i="59" s="1"/>
  <c r="Q53" i="59" s="1"/>
  <c r="G54" i="59"/>
  <c r="P54" i="59" s="1"/>
  <c r="Q54" i="59" s="1"/>
  <c r="G55" i="59"/>
  <c r="P55" i="59" s="1"/>
  <c r="Q55" i="59" s="1"/>
  <c r="G56" i="59"/>
  <c r="P56" i="59" s="1"/>
  <c r="Q56" i="59" s="1"/>
  <c r="G57" i="59"/>
  <c r="P57" i="59" s="1"/>
  <c r="Q57" i="59" s="1"/>
  <c r="G58" i="59"/>
  <c r="P58" i="59" s="1"/>
  <c r="Q58" i="59" s="1"/>
  <c r="G59" i="59"/>
  <c r="P59" i="59" s="1"/>
  <c r="Q59" i="59" s="1"/>
  <c r="G60" i="59"/>
  <c r="P60" i="59" s="1"/>
  <c r="Q60" i="59" s="1"/>
  <c r="G61" i="59"/>
  <c r="P61" i="59" s="1"/>
  <c r="Q61" i="59" s="1"/>
  <c r="G62" i="59"/>
  <c r="P62" i="59" s="1"/>
  <c r="Q62" i="59" s="1"/>
  <c r="G63" i="59"/>
  <c r="P63" i="59" s="1"/>
  <c r="Q63" i="59" s="1"/>
  <c r="G64" i="59"/>
  <c r="P64" i="59" s="1"/>
  <c r="Q64" i="59" s="1"/>
  <c r="G65" i="59"/>
  <c r="P65" i="59" s="1"/>
  <c r="Q65" i="59" s="1"/>
  <c r="G66" i="59"/>
  <c r="P66" i="59" s="1"/>
  <c r="Q66" i="59" s="1"/>
  <c r="G67" i="59"/>
  <c r="P67" i="59" s="1"/>
  <c r="Q67" i="59" s="1"/>
  <c r="G68" i="59"/>
  <c r="P68" i="59" s="1"/>
  <c r="Q68" i="59" s="1"/>
  <c r="G69" i="59"/>
  <c r="P69" i="59" s="1"/>
  <c r="Q69" i="59" s="1"/>
  <c r="G70" i="59"/>
  <c r="P70" i="59" s="1"/>
  <c r="Q70" i="59" s="1"/>
  <c r="G71" i="59"/>
  <c r="P71" i="59" s="1"/>
  <c r="Q71" i="59" s="1"/>
  <c r="G72" i="59"/>
  <c r="P72" i="59" s="1"/>
  <c r="Q72" i="59" s="1"/>
  <c r="G73" i="59"/>
  <c r="P73" i="59" s="1"/>
  <c r="Q73" i="59" s="1"/>
  <c r="G74" i="59"/>
  <c r="P74" i="59" s="1"/>
  <c r="Q74" i="59" s="1"/>
  <c r="G75" i="59"/>
  <c r="P75" i="59" s="1"/>
  <c r="Q75" i="59" s="1"/>
  <c r="G76" i="59"/>
  <c r="P76" i="59" s="1"/>
  <c r="Q76" i="59" s="1"/>
  <c r="G77" i="59"/>
  <c r="P77" i="59" s="1"/>
  <c r="Q77" i="59" s="1"/>
  <c r="G78" i="59"/>
  <c r="P78" i="59" s="1"/>
  <c r="Q78" i="59" s="1"/>
  <c r="G79" i="59"/>
  <c r="P79" i="59" s="1"/>
  <c r="Q79" i="59" s="1"/>
  <c r="G80" i="59"/>
  <c r="P80" i="59" s="1"/>
  <c r="Q80" i="59" s="1"/>
  <c r="G81" i="59"/>
  <c r="P81" i="59" s="1"/>
  <c r="Q81" i="59" s="1"/>
  <c r="G82" i="59"/>
  <c r="P82" i="59" s="1"/>
  <c r="Q82" i="59" s="1"/>
  <c r="G83" i="59"/>
  <c r="P83" i="59" s="1"/>
  <c r="Q83" i="59" s="1"/>
  <c r="G84" i="59"/>
  <c r="P84" i="59" s="1"/>
  <c r="Q84" i="59" s="1"/>
  <c r="G85" i="59"/>
  <c r="P85" i="59" s="1"/>
  <c r="Q85" i="59" s="1"/>
  <c r="G86" i="59"/>
  <c r="P86" i="59" s="1"/>
  <c r="Q86" i="59" s="1"/>
  <c r="G87" i="59"/>
  <c r="P87" i="59" s="1"/>
  <c r="Q87" i="59" s="1"/>
  <c r="G88" i="59"/>
  <c r="P88" i="59" s="1"/>
  <c r="Q88" i="59" s="1"/>
  <c r="G89" i="59"/>
  <c r="P89" i="59" s="1"/>
  <c r="Q89" i="59" s="1"/>
  <c r="G90" i="59"/>
  <c r="P90" i="59" s="1"/>
  <c r="Q90" i="59" s="1"/>
  <c r="G91" i="59"/>
  <c r="P91" i="59" s="1"/>
  <c r="Q91" i="59" s="1"/>
  <c r="G92" i="59"/>
  <c r="P92" i="59" s="1"/>
  <c r="Q92" i="59" s="1"/>
  <c r="G93" i="59"/>
  <c r="P93" i="59" s="1"/>
  <c r="Q93" i="59" s="1"/>
  <c r="G94" i="59"/>
  <c r="P94" i="59" s="1"/>
  <c r="Q94" i="59" s="1"/>
  <c r="G95" i="59"/>
  <c r="P95" i="59" s="1"/>
  <c r="Q95" i="59" s="1"/>
  <c r="G96" i="59"/>
  <c r="P96" i="59" s="1"/>
  <c r="Q96" i="59" s="1"/>
  <c r="G97" i="59"/>
  <c r="P97" i="59" s="1"/>
  <c r="Q97" i="59" s="1"/>
  <c r="G98" i="59"/>
  <c r="P98" i="59" s="1"/>
  <c r="Q98" i="59" s="1"/>
  <c r="G99" i="59"/>
  <c r="P99" i="59" s="1"/>
  <c r="Q99" i="59" s="1"/>
  <c r="G100" i="59"/>
  <c r="P100" i="59" s="1"/>
  <c r="Q100" i="59" s="1"/>
  <c r="G101" i="59"/>
  <c r="P101" i="59" s="1"/>
  <c r="Q101" i="59" s="1"/>
  <c r="G102" i="59"/>
  <c r="P102" i="59" s="1"/>
  <c r="Q102" i="59" s="1"/>
  <c r="G103" i="59"/>
  <c r="P103" i="59" s="1"/>
  <c r="Q103" i="59" s="1"/>
  <c r="G104" i="59"/>
  <c r="P104" i="59" s="1"/>
  <c r="Q104" i="59" s="1"/>
  <c r="G105" i="59"/>
  <c r="P105" i="59" s="1"/>
  <c r="Q105" i="59" s="1"/>
  <c r="G106" i="59"/>
  <c r="P106" i="59" s="1"/>
  <c r="Q106" i="59" s="1"/>
  <c r="G107" i="59"/>
  <c r="P107" i="59" s="1"/>
  <c r="Q107" i="59" s="1"/>
  <c r="G108" i="59"/>
  <c r="P108" i="59" s="1"/>
  <c r="Q108" i="59" s="1"/>
  <c r="G109" i="59"/>
  <c r="P109" i="59" s="1"/>
  <c r="Q109" i="59" s="1"/>
  <c r="G110" i="59"/>
  <c r="P110" i="59" s="1"/>
  <c r="Q110" i="59" s="1"/>
  <c r="G111" i="59"/>
  <c r="P111" i="59" s="1"/>
  <c r="Q111" i="59" s="1"/>
  <c r="G112" i="59"/>
  <c r="P112" i="59" s="1"/>
  <c r="Q112" i="59" s="1"/>
  <c r="G113" i="59"/>
  <c r="P113" i="59" s="1"/>
  <c r="Q113" i="59" s="1"/>
  <c r="G114" i="59"/>
  <c r="P114" i="59" s="1"/>
  <c r="Q114" i="59" s="1"/>
  <c r="G115" i="59"/>
  <c r="P115" i="59" s="1"/>
  <c r="Q115" i="59" s="1"/>
  <c r="G116" i="59"/>
  <c r="P116" i="59" s="1"/>
  <c r="Q116" i="59" s="1"/>
  <c r="G117" i="59"/>
  <c r="P117" i="59" s="1"/>
  <c r="Q117" i="59" s="1"/>
  <c r="G118" i="59"/>
  <c r="P118" i="59" s="1"/>
  <c r="Q118" i="59" s="1"/>
  <c r="G119" i="59"/>
  <c r="P119" i="59" s="1"/>
  <c r="Q119" i="59" s="1"/>
  <c r="G120" i="59"/>
  <c r="P120" i="59" s="1"/>
  <c r="Q120" i="59" s="1"/>
  <c r="G121" i="59"/>
  <c r="P121" i="59" s="1"/>
  <c r="Q121" i="59" s="1"/>
  <c r="G122" i="59"/>
  <c r="P122" i="59" s="1"/>
  <c r="Q122" i="59" s="1"/>
  <c r="G123" i="59"/>
  <c r="P123" i="59" s="1"/>
  <c r="Q123" i="59" s="1"/>
  <c r="G124" i="59"/>
  <c r="P124" i="59" s="1"/>
  <c r="Q124" i="59" s="1"/>
  <c r="G125" i="59"/>
  <c r="P125" i="59" s="1"/>
  <c r="Q125" i="59" s="1"/>
  <c r="G126" i="59"/>
  <c r="P126" i="59" s="1"/>
  <c r="Q126" i="59" s="1"/>
  <c r="G127" i="59"/>
  <c r="P127" i="59" s="1"/>
  <c r="Q127" i="59" s="1"/>
  <c r="G128" i="59"/>
  <c r="P128" i="59" s="1"/>
  <c r="Q128" i="59" s="1"/>
  <c r="G129" i="59"/>
  <c r="P129" i="59" s="1"/>
  <c r="Q129" i="59" s="1"/>
  <c r="G130" i="59"/>
  <c r="P130" i="59" s="1"/>
  <c r="Q130" i="59" s="1"/>
  <c r="G131" i="59"/>
  <c r="P131" i="59" s="1"/>
  <c r="Q131" i="59" s="1"/>
  <c r="G132" i="59"/>
  <c r="P132" i="59" s="1"/>
  <c r="Q132" i="59" s="1"/>
  <c r="G133" i="59"/>
  <c r="P133" i="59" s="1"/>
  <c r="Q133" i="59" s="1"/>
  <c r="G134" i="59"/>
  <c r="P134" i="59" s="1"/>
  <c r="Q134" i="59" s="1"/>
  <c r="G135" i="59"/>
  <c r="P135" i="59" s="1"/>
  <c r="Q135" i="59" s="1"/>
  <c r="G136" i="59"/>
  <c r="P136" i="59" s="1"/>
  <c r="Q136" i="59" s="1"/>
  <c r="G137" i="59"/>
  <c r="P137" i="59" s="1"/>
  <c r="Q137" i="59" s="1"/>
  <c r="G138" i="59"/>
  <c r="P138" i="59" s="1"/>
  <c r="Q138" i="59" s="1"/>
  <c r="G139" i="59"/>
  <c r="P139" i="59" s="1"/>
  <c r="Q139" i="59" s="1"/>
  <c r="G140" i="59"/>
  <c r="P140" i="59" s="1"/>
  <c r="Q140" i="59" s="1"/>
  <c r="G141" i="59"/>
  <c r="P141" i="59" s="1"/>
  <c r="Q141" i="59" s="1"/>
  <c r="G142" i="59"/>
  <c r="P142" i="59" s="1"/>
  <c r="Q142" i="59" s="1"/>
  <c r="G143" i="59"/>
  <c r="P143" i="59" s="1"/>
  <c r="Q143" i="59" s="1"/>
  <c r="G144" i="59"/>
  <c r="P144" i="59" s="1"/>
  <c r="Q144" i="59" s="1"/>
  <c r="G145" i="59"/>
  <c r="P145" i="59" s="1"/>
  <c r="Q145" i="59" s="1"/>
  <c r="G146" i="59"/>
  <c r="P146" i="59" s="1"/>
  <c r="Q146" i="59" s="1"/>
  <c r="G147" i="59"/>
  <c r="P147" i="59" s="1"/>
  <c r="Q147" i="59" s="1"/>
  <c r="G148" i="59"/>
  <c r="P148" i="59" s="1"/>
  <c r="Q148" i="59" s="1"/>
  <c r="G149" i="59"/>
  <c r="P149" i="59" s="1"/>
  <c r="Q149" i="59" s="1"/>
  <c r="G150" i="59"/>
  <c r="P150" i="59" s="1"/>
  <c r="Q150" i="59" s="1"/>
  <c r="G151" i="59"/>
  <c r="P151" i="59" s="1"/>
  <c r="Q151" i="59" s="1"/>
  <c r="G152" i="59"/>
  <c r="P152" i="59" s="1"/>
  <c r="Q152" i="59" s="1"/>
  <c r="G153" i="59"/>
  <c r="P153" i="59" s="1"/>
  <c r="Q153" i="59" s="1"/>
  <c r="G154" i="59"/>
  <c r="P154" i="59" s="1"/>
  <c r="Q154" i="59" s="1"/>
  <c r="G155" i="59"/>
  <c r="P155" i="59" s="1"/>
  <c r="Q155" i="59" s="1"/>
  <c r="G156" i="59"/>
  <c r="P156" i="59" s="1"/>
  <c r="Q156" i="59" s="1"/>
  <c r="G157" i="59"/>
  <c r="P157" i="59" s="1"/>
  <c r="Q157" i="59" s="1"/>
  <c r="G158" i="59"/>
  <c r="P158" i="59" s="1"/>
  <c r="Q158" i="59" s="1"/>
  <c r="G159" i="59"/>
  <c r="P159" i="59" s="1"/>
  <c r="Q159" i="59" s="1"/>
  <c r="G160" i="59"/>
  <c r="P160" i="59" s="1"/>
  <c r="Q160" i="59" s="1"/>
  <c r="G161" i="59"/>
  <c r="P161" i="59" s="1"/>
  <c r="Q161" i="59" s="1"/>
  <c r="G162" i="59"/>
  <c r="P162" i="59" s="1"/>
  <c r="Q162" i="59" s="1"/>
  <c r="G163" i="59"/>
  <c r="P163" i="59" s="1"/>
  <c r="Q163" i="59" s="1"/>
  <c r="G164" i="59"/>
  <c r="P164" i="59" s="1"/>
  <c r="Q164" i="59" s="1"/>
  <c r="G165" i="59"/>
  <c r="P165" i="59" s="1"/>
  <c r="Q165" i="59" s="1"/>
  <c r="G166" i="59"/>
  <c r="P166" i="59" s="1"/>
  <c r="Q166" i="59" s="1"/>
  <c r="G167" i="59"/>
  <c r="P167" i="59" s="1"/>
  <c r="Q167" i="59" s="1"/>
  <c r="G168" i="59"/>
  <c r="P168" i="59" s="1"/>
  <c r="Q168" i="59" s="1"/>
  <c r="G169" i="59"/>
  <c r="P169" i="59" s="1"/>
  <c r="Q169" i="59" s="1"/>
  <c r="G170" i="59"/>
  <c r="P170" i="59" s="1"/>
  <c r="Q170" i="59" s="1"/>
  <c r="G171" i="59"/>
  <c r="P171" i="59" s="1"/>
  <c r="Q171" i="59" s="1"/>
  <c r="G172" i="59"/>
  <c r="P172" i="59" s="1"/>
  <c r="Q172" i="59" s="1"/>
  <c r="G173" i="59"/>
  <c r="P173" i="59" s="1"/>
  <c r="Q173" i="59" s="1"/>
  <c r="G174" i="59"/>
  <c r="P174" i="59" s="1"/>
  <c r="Q174" i="59" s="1"/>
  <c r="G175" i="59"/>
  <c r="P175" i="59" s="1"/>
  <c r="Q175" i="59" s="1"/>
  <c r="G176" i="59"/>
  <c r="P176" i="59" s="1"/>
  <c r="Q176" i="59" s="1"/>
  <c r="G177" i="59"/>
  <c r="P177" i="59" s="1"/>
  <c r="Q177" i="59" s="1"/>
  <c r="G178" i="59"/>
  <c r="P178" i="59" s="1"/>
  <c r="Q178" i="59" s="1"/>
  <c r="G179" i="59"/>
  <c r="P179" i="59" s="1"/>
  <c r="Q179" i="59" s="1"/>
  <c r="G180" i="59"/>
  <c r="P180" i="59" s="1"/>
  <c r="Q180" i="59" s="1"/>
  <c r="G181" i="59"/>
  <c r="P181" i="59" s="1"/>
  <c r="Q181" i="59" s="1"/>
  <c r="G182" i="59"/>
  <c r="P182" i="59" s="1"/>
  <c r="Q182" i="59" s="1"/>
  <c r="G183" i="59"/>
  <c r="P183" i="59" s="1"/>
  <c r="Q183" i="59" s="1"/>
  <c r="G184" i="59"/>
  <c r="P184" i="59" s="1"/>
  <c r="Q184" i="59" s="1"/>
  <c r="G185" i="59"/>
  <c r="P185" i="59" s="1"/>
  <c r="Q185" i="59" s="1"/>
  <c r="G186" i="59"/>
  <c r="P186" i="59" s="1"/>
  <c r="Q186" i="59" s="1"/>
  <c r="G187" i="59"/>
  <c r="P187" i="59" s="1"/>
  <c r="Q187" i="59" s="1"/>
  <c r="G188" i="59"/>
  <c r="P188" i="59" s="1"/>
  <c r="Q188" i="59" s="1"/>
  <c r="G189" i="59"/>
  <c r="P189" i="59" s="1"/>
  <c r="Q189" i="59" s="1"/>
  <c r="G190" i="59"/>
  <c r="P190" i="59" s="1"/>
  <c r="Q190" i="59" s="1"/>
  <c r="G191" i="59"/>
  <c r="P191" i="59" s="1"/>
  <c r="Q191" i="59" s="1"/>
  <c r="G192" i="59"/>
  <c r="P192" i="59" s="1"/>
  <c r="Q192" i="59" s="1"/>
  <c r="G193" i="59"/>
  <c r="P193" i="59" s="1"/>
  <c r="Q193" i="59" s="1"/>
  <c r="G194" i="59"/>
  <c r="P194" i="59" s="1"/>
  <c r="Q194" i="59" s="1"/>
  <c r="G195" i="59"/>
  <c r="P195" i="59" s="1"/>
  <c r="Q195" i="59" s="1"/>
  <c r="G196" i="59"/>
  <c r="P196" i="59" s="1"/>
  <c r="Q196" i="59" s="1"/>
  <c r="G197" i="59"/>
  <c r="P197" i="59" s="1"/>
  <c r="Q197" i="59" s="1"/>
  <c r="G198" i="59"/>
  <c r="P198" i="59" s="1"/>
  <c r="Q198" i="59" s="1"/>
  <c r="G199" i="59"/>
  <c r="P199" i="59" s="1"/>
  <c r="Q199" i="59" s="1"/>
  <c r="G200" i="59"/>
  <c r="P200" i="59" s="1"/>
  <c r="Q200" i="59" s="1"/>
  <c r="G201" i="59"/>
  <c r="P201" i="59" s="1"/>
  <c r="Q201" i="59" s="1"/>
  <c r="G202" i="59"/>
  <c r="P202" i="59" s="1"/>
  <c r="Q202" i="59" s="1"/>
  <c r="G203" i="59"/>
  <c r="P203" i="59" s="1"/>
  <c r="Q203" i="59" s="1"/>
  <c r="G204" i="59"/>
  <c r="P204" i="59" s="1"/>
  <c r="Q204" i="59" s="1"/>
  <c r="G205" i="59"/>
  <c r="P205" i="59" s="1"/>
  <c r="Q205" i="59" s="1"/>
  <c r="G206" i="59"/>
  <c r="P206" i="59" s="1"/>
  <c r="Q206" i="59" s="1"/>
  <c r="G207" i="59"/>
  <c r="P207" i="59" s="1"/>
  <c r="Q207" i="59" s="1"/>
  <c r="G208" i="59"/>
  <c r="P208" i="59" s="1"/>
  <c r="Q208" i="59" s="1"/>
  <c r="G209" i="59"/>
  <c r="P209" i="59" s="1"/>
  <c r="Q209" i="59" s="1"/>
  <c r="G210" i="59"/>
  <c r="P210" i="59" s="1"/>
  <c r="Q210" i="59" s="1"/>
  <c r="G211" i="59"/>
  <c r="P211" i="59" s="1"/>
  <c r="Q211" i="59" s="1"/>
  <c r="G212" i="59"/>
  <c r="P212" i="59" s="1"/>
  <c r="Q212" i="59" s="1"/>
  <c r="G213" i="59"/>
  <c r="P213" i="59" s="1"/>
  <c r="Q213" i="59" s="1"/>
  <c r="G214" i="59"/>
  <c r="P214" i="59" s="1"/>
  <c r="Q214" i="59" s="1"/>
  <c r="G215" i="59"/>
  <c r="P215" i="59" s="1"/>
  <c r="Q215" i="59" s="1"/>
  <c r="G216" i="59"/>
  <c r="P216" i="59" s="1"/>
  <c r="Q216" i="59" s="1"/>
  <c r="G217" i="59"/>
  <c r="P217" i="59" s="1"/>
  <c r="Q217" i="59" s="1"/>
  <c r="G218" i="59"/>
  <c r="P218" i="59" s="1"/>
  <c r="Q218" i="59" s="1"/>
  <c r="G219" i="59"/>
  <c r="P219" i="59" s="1"/>
  <c r="Q219" i="59" s="1"/>
  <c r="G220" i="59"/>
  <c r="P220" i="59" s="1"/>
  <c r="Q220" i="59" s="1"/>
  <c r="G221" i="59"/>
  <c r="P221" i="59" s="1"/>
  <c r="Q221" i="59" s="1"/>
  <c r="G222" i="59"/>
  <c r="P222" i="59" s="1"/>
  <c r="Q222" i="59" s="1"/>
  <c r="G223" i="59"/>
  <c r="P223" i="59" s="1"/>
  <c r="Q223" i="59" s="1"/>
  <c r="G224" i="59"/>
  <c r="P224" i="59" s="1"/>
  <c r="Q224" i="59" s="1"/>
  <c r="G225" i="59"/>
  <c r="P225" i="59" s="1"/>
  <c r="Q225" i="59" s="1"/>
  <c r="G226" i="59"/>
  <c r="P226" i="59" s="1"/>
  <c r="Q226" i="59" s="1"/>
  <c r="G227" i="59"/>
  <c r="P227" i="59" s="1"/>
  <c r="Q227" i="59" s="1"/>
  <c r="G228" i="59"/>
  <c r="P228" i="59" s="1"/>
  <c r="Q228" i="59" s="1"/>
  <c r="G229" i="59"/>
  <c r="P229" i="59" s="1"/>
  <c r="Q229" i="59" s="1"/>
  <c r="G230" i="59"/>
  <c r="P230" i="59" s="1"/>
  <c r="Q230" i="59" s="1"/>
  <c r="G231" i="59"/>
  <c r="P231" i="59" s="1"/>
  <c r="Q231" i="59" s="1"/>
  <c r="G232" i="59"/>
  <c r="P232" i="59" s="1"/>
  <c r="Q232" i="59" s="1"/>
  <c r="G233" i="59"/>
  <c r="P233" i="59" s="1"/>
  <c r="Q233" i="59" s="1"/>
  <c r="G234" i="59"/>
  <c r="P234" i="59" s="1"/>
  <c r="Q234" i="59" s="1"/>
  <c r="G235" i="59"/>
  <c r="P235" i="59" s="1"/>
  <c r="Q235" i="59" s="1"/>
  <c r="G236" i="59"/>
  <c r="P236" i="59" s="1"/>
  <c r="Q236" i="59" s="1"/>
  <c r="G237" i="59"/>
  <c r="P237" i="59" s="1"/>
  <c r="Q237" i="59" s="1"/>
  <c r="G238" i="59"/>
  <c r="P238" i="59" s="1"/>
  <c r="Q238" i="59" s="1"/>
  <c r="G239" i="59"/>
  <c r="P239" i="59" s="1"/>
  <c r="Q239" i="59" s="1"/>
  <c r="G240" i="59"/>
  <c r="P240" i="59" s="1"/>
  <c r="Q240" i="59" s="1"/>
  <c r="G241" i="59"/>
  <c r="P241" i="59" s="1"/>
  <c r="Q241" i="59" s="1"/>
  <c r="G242" i="59"/>
  <c r="P242" i="59" s="1"/>
  <c r="Q242" i="59" s="1"/>
  <c r="G243" i="59"/>
  <c r="P243" i="59" s="1"/>
  <c r="Q243" i="59" s="1"/>
  <c r="G244" i="59"/>
  <c r="P244" i="59" s="1"/>
  <c r="Q244" i="59" s="1"/>
  <c r="G245" i="59"/>
  <c r="P245" i="59" s="1"/>
  <c r="Q245" i="59" s="1"/>
  <c r="G246" i="59"/>
  <c r="P246" i="59" s="1"/>
  <c r="Q246" i="59" s="1"/>
  <c r="G247" i="59"/>
  <c r="P247" i="59" s="1"/>
  <c r="Q247" i="59" s="1"/>
  <c r="G248" i="59"/>
  <c r="P248" i="59" s="1"/>
  <c r="Q248" i="59" s="1"/>
  <c r="G249" i="59"/>
  <c r="P249" i="59" s="1"/>
  <c r="Q249" i="59" s="1"/>
  <c r="G250" i="59"/>
  <c r="P250" i="59" s="1"/>
  <c r="Q250" i="59" s="1"/>
  <c r="G251" i="59"/>
  <c r="P251" i="59" s="1"/>
  <c r="Q251" i="59" s="1"/>
  <c r="G252" i="59"/>
  <c r="P252" i="59" s="1"/>
  <c r="Q252" i="59" s="1"/>
  <c r="G253" i="59"/>
  <c r="P253" i="59" s="1"/>
  <c r="Q253" i="59" s="1"/>
  <c r="G254" i="59"/>
  <c r="P254" i="59" s="1"/>
  <c r="Q254" i="59" s="1"/>
  <c r="G255" i="59"/>
  <c r="P255" i="59" s="1"/>
  <c r="Q255" i="59" s="1"/>
  <c r="G256" i="59"/>
  <c r="P256" i="59" s="1"/>
  <c r="Q256" i="59" s="1"/>
  <c r="G257" i="59"/>
  <c r="P257" i="59" s="1"/>
  <c r="Q257" i="59" s="1"/>
  <c r="G258" i="59"/>
  <c r="P258" i="59" s="1"/>
  <c r="Q258" i="59" s="1"/>
  <c r="G11" i="59"/>
  <c r="A12" i="59"/>
  <c r="A13" i="59"/>
  <c r="A14" i="59"/>
  <c r="A15" i="59"/>
  <c r="A16" i="59"/>
  <c r="A17" i="59"/>
  <c r="A18" i="59"/>
  <c r="A19" i="59"/>
  <c r="A20" i="59"/>
  <c r="A21" i="59"/>
  <c r="A22" i="59"/>
  <c r="A23" i="59"/>
  <c r="A24" i="59"/>
  <c r="A25" i="59"/>
  <c r="A26" i="59"/>
  <c r="A27" i="59"/>
  <c r="A28" i="59"/>
  <c r="A29" i="59"/>
  <c r="A30" i="59"/>
  <c r="A31" i="59"/>
  <c r="A32" i="59"/>
  <c r="A33" i="59"/>
  <c r="A34" i="59"/>
  <c r="A35" i="59"/>
  <c r="A36" i="59"/>
  <c r="A37" i="59"/>
  <c r="A38" i="59"/>
  <c r="A39" i="59"/>
  <c r="A40" i="59"/>
  <c r="A41" i="59"/>
  <c r="A42" i="59"/>
  <c r="A43" i="59"/>
  <c r="A44" i="59"/>
  <c r="A45" i="59"/>
  <c r="A46" i="59"/>
  <c r="A47" i="59"/>
  <c r="A48" i="59"/>
  <c r="A49" i="59"/>
  <c r="A50" i="59"/>
  <c r="A51" i="59"/>
  <c r="A52" i="59"/>
  <c r="A53" i="59"/>
  <c r="A54" i="59"/>
  <c r="A55" i="59"/>
  <c r="A56" i="59"/>
  <c r="A57" i="59"/>
  <c r="A58" i="59"/>
  <c r="A59" i="59"/>
  <c r="A60" i="59"/>
  <c r="A61" i="59"/>
  <c r="A62" i="59"/>
  <c r="A63" i="59"/>
  <c r="A64" i="59"/>
  <c r="A65" i="59"/>
  <c r="A66" i="59"/>
  <c r="A67" i="59"/>
  <c r="A68" i="59"/>
  <c r="A69" i="59"/>
  <c r="A70" i="59"/>
  <c r="A71" i="59"/>
  <c r="A72" i="59"/>
  <c r="A73" i="59"/>
  <c r="A74" i="59"/>
  <c r="A75" i="59"/>
  <c r="A76" i="59"/>
  <c r="A77" i="59"/>
  <c r="A78" i="59"/>
  <c r="A79" i="59"/>
  <c r="A80" i="59"/>
  <c r="A81" i="59"/>
  <c r="A82" i="59"/>
  <c r="A83" i="59"/>
  <c r="A84" i="59"/>
  <c r="A85" i="59"/>
  <c r="A86" i="59"/>
  <c r="A87" i="59"/>
  <c r="A88" i="59"/>
  <c r="A89" i="59"/>
  <c r="A90" i="59"/>
  <c r="A91" i="59"/>
  <c r="A92" i="59"/>
  <c r="A93" i="59"/>
  <c r="A94" i="59"/>
  <c r="A95" i="59"/>
  <c r="A96" i="59"/>
  <c r="A97" i="59"/>
  <c r="A98" i="59"/>
  <c r="A99" i="59"/>
  <c r="A100" i="59"/>
  <c r="A101" i="59"/>
  <c r="A102" i="59"/>
  <c r="A103" i="59"/>
  <c r="A104" i="59"/>
  <c r="A105" i="59"/>
  <c r="A106" i="59"/>
  <c r="A107" i="59"/>
  <c r="A108" i="59"/>
  <c r="A109" i="59"/>
  <c r="A110" i="59"/>
  <c r="A111" i="59"/>
  <c r="A112" i="59"/>
  <c r="A113" i="59"/>
  <c r="A114" i="59"/>
  <c r="A115" i="59"/>
  <c r="A116" i="59"/>
  <c r="A117" i="59"/>
  <c r="A118" i="59"/>
  <c r="A119" i="59"/>
  <c r="A120" i="59"/>
  <c r="A121" i="59"/>
  <c r="A122" i="59"/>
  <c r="A123" i="59"/>
  <c r="A124" i="59"/>
  <c r="A125" i="59"/>
  <c r="A126" i="59"/>
  <c r="A127" i="59"/>
  <c r="A128" i="59"/>
  <c r="A129" i="59"/>
  <c r="A130" i="59"/>
  <c r="A131" i="59"/>
  <c r="A132" i="59"/>
  <c r="A133" i="59"/>
  <c r="A134" i="59"/>
  <c r="A135" i="59"/>
  <c r="A136" i="59"/>
  <c r="A137" i="59"/>
  <c r="A138" i="59"/>
  <c r="A139" i="59"/>
  <c r="A140" i="59"/>
  <c r="A141" i="59"/>
  <c r="A142" i="59"/>
  <c r="A143" i="59"/>
  <c r="A144" i="59"/>
  <c r="A145" i="59"/>
  <c r="A146" i="59"/>
  <c r="A147" i="59"/>
  <c r="A148" i="59"/>
  <c r="A149" i="59"/>
  <c r="A150" i="59"/>
  <c r="A151" i="59"/>
  <c r="A152" i="59"/>
  <c r="A153" i="59"/>
  <c r="A154" i="59"/>
  <c r="A155" i="59"/>
  <c r="A156" i="59"/>
  <c r="A157" i="59"/>
  <c r="A158" i="59"/>
  <c r="A159" i="59"/>
  <c r="A160" i="59"/>
  <c r="A161" i="59"/>
  <c r="A162" i="59"/>
  <c r="A163" i="59"/>
  <c r="A164" i="59"/>
  <c r="A165" i="59"/>
  <c r="A166" i="59"/>
  <c r="A167" i="59"/>
  <c r="A168" i="59"/>
  <c r="A169" i="59"/>
  <c r="A170" i="59"/>
  <c r="A171" i="59"/>
  <c r="A172" i="59"/>
  <c r="A173" i="59"/>
  <c r="A174" i="59"/>
  <c r="A175" i="59"/>
  <c r="A176" i="59"/>
  <c r="A177" i="59"/>
  <c r="A178" i="59"/>
  <c r="A179" i="59"/>
  <c r="A180" i="59"/>
  <c r="A181" i="59"/>
  <c r="A182" i="59"/>
  <c r="A183" i="59"/>
  <c r="A184" i="59"/>
  <c r="A185" i="59"/>
  <c r="A186" i="59"/>
  <c r="A187" i="59"/>
  <c r="A188" i="59"/>
  <c r="A189" i="59"/>
  <c r="A190" i="59"/>
  <c r="A191" i="59"/>
  <c r="A192" i="59"/>
  <c r="A193" i="59"/>
  <c r="A194" i="59"/>
  <c r="A195" i="59"/>
  <c r="A196" i="59"/>
  <c r="A197" i="59"/>
  <c r="A198" i="59"/>
  <c r="A199" i="59"/>
  <c r="A200" i="59"/>
  <c r="A201" i="59"/>
  <c r="A202" i="59"/>
  <c r="A203" i="59"/>
  <c r="A204" i="59"/>
  <c r="A205" i="59"/>
  <c r="A206" i="59"/>
  <c r="A207" i="59"/>
  <c r="A208" i="59"/>
  <c r="A209" i="59"/>
  <c r="A210" i="59"/>
  <c r="A211" i="59"/>
  <c r="A212" i="59"/>
  <c r="A213" i="59"/>
  <c r="A214" i="59"/>
  <c r="A215" i="59"/>
  <c r="A216" i="59"/>
  <c r="A217" i="59"/>
  <c r="A218" i="59"/>
  <c r="A219" i="59"/>
  <c r="A220" i="59"/>
  <c r="A221" i="59"/>
  <c r="A222" i="59"/>
  <c r="A223" i="59"/>
  <c r="A224" i="59"/>
  <c r="A225" i="59"/>
  <c r="A226" i="59"/>
  <c r="A227" i="59"/>
  <c r="A228" i="59"/>
  <c r="A229" i="59"/>
  <c r="A230" i="59"/>
  <c r="A231" i="59"/>
  <c r="A232" i="59"/>
  <c r="A233" i="59"/>
  <c r="A234" i="59"/>
  <c r="A235" i="59"/>
  <c r="A236" i="59"/>
  <c r="A237" i="59"/>
  <c r="A238" i="59"/>
  <c r="A239" i="59"/>
  <c r="A240" i="59"/>
  <c r="A241" i="59"/>
  <c r="A242" i="59"/>
  <c r="A243" i="59"/>
  <c r="A244" i="59"/>
  <c r="A245" i="59"/>
  <c r="A246" i="59"/>
  <c r="A247" i="59"/>
  <c r="A248" i="59"/>
  <c r="A249" i="59"/>
  <c r="A250" i="59"/>
  <c r="A251" i="59"/>
  <c r="A252" i="59"/>
  <c r="A253" i="59"/>
  <c r="A254" i="59"/>
  <c r="A255" i="59"/>
  <c r="A256" i="59"/>
  <c r="A257" i="59"/>
  <c r="A258" i="59"/>
  <c r="A11" i="59"/>
  <c r="C136" i="33"/>
  <c r="C135" i="33"/>
  <c r="D134" i="28"/>
  <c r="B134" i="28"/>
  <c r="A134" i="28"/>
  <c r="I135" i="99"/>
  <c r="F135" i="20"/>
  <c r="F134" i="20"/>
  <c r="H32" i="46"/>
  <c r="U16" i="46"/>
  <c r="F36" i="46"/>
  <c r="F37" i="46"/>
  <c r="F38" i="46"/>
  <c r="F39" i="46"/>
  <c r="F40" i="46"/>
  <c r="F41" i="46"/>
  <c r="F42" i="46"/>
  <c r="F43" i="46"/>
  <c r="F44" i="46"/>
  <c r="F45" i="46"/>
  <c r="F46" i="46"/>
  <c r="F47" i="46"/>
  <c r="F48" i="46"/>
  <c r="F49" i="46"/>
  <c r="F50" i="46"/>
  <c r="F51" i="46"/>
  <c r="F52" i="46"/>
  <c r="F53" i="46"/>
  <c r="F54" i="46"/>
  <c r="F55" i="46"/>
  <c r="F56" i="46"/>
  <c r="F57" i="46"/>
  <c r="F58" i="46"/>
  <c r="F59" i="46"/>
  <c r="F60" i="46"/>
  <c r="F61" i="46"/>
  <c r="F62" i="46"/>
  <c r="F63" i="46"/>
  <c r="F64" i="46"/>
  <c r="F65" i="46"/>
  <c r="F66" i="46"/>
  <c r="F67" i="46"/>
  <c r="F68" i="46"/>
  <c r="F69" i="46"/>
  <c r="F70" i="46"/>
  <c r="F71" i="46"/>
  <c r="F72" i="46"/>
  <c r="F73" i="46"/>
  <c r="F74" i="46"/>
  <c r="F75" i="46"/>
  <c r="F76" i="46"/>
  <c r="F77" i="46"/>
  <c r="F78" i="46"/>
  <c r="F79" i="46"/>
  <c r="F80" i="46"/>
  <c r="F81" i="46"/>
  <c r="F82" i="46"/>
  <c r="F83" i="46"/>
  <c r="F84" i="46"/>
  <c r="F85" i="46"/>
  <c r="F86" i="46"/>
  <c r="F87" i="46"/>
  <c r="F88" i="46"/>
  <c r="F89" i="46"/>
  <c r="F90" i="46"/>
  <c r="F91" i="46"/>
  <c r="F92" i="46"/>
  <c r="F93" i="46"/>
  <c r="F94" i="46"/>
  <c r="F95" i="46"/>
  <c r="F96" i="46"/>
  <c r="F97" i="46"/>
  <c r="F98" i="46"/>
  <c r="F99" i="46"/>
  <c r="F100" i="46"/>
  <c r="F101" i="46"/>
  <c r="F102" i="46"/>
  <c r="F103" i="46"/>
  <c r="F104" i="46"/>
  <c r="F105" i="46"/>
  <c r="F106" i="46"/>
  <c r="F107" i="46"/>
  <c r="F108" i="46"/>
  <c r="F109" i="46"/>
  <c r="F110" i="46"/>
  <c r="F111" i="46"/>
  <c r="F112" i="46"/>
  <c r="F113" i="46"/>
  <c r="F114" i="46"/>
  <c r="F115" i="46"/>
  <c r="F116" i="46"/>
  <c r="F117" i="46"/>
  <c r="F118" i="46"/>
  <c r="F119" i="46"/>
  <c r="F120" i="46"/>
  <c r="F121" i="46"/>
  <c r="F122" i="46"/>
  <c r="F123" i="46"/>
  <c r="F124" i="46"/>
  <c r="F125" i="46"/>
  <c r="F126" i="46"/>
  <c r="F127" i="46"/>
  <c r="F128" i="46"/>
  <c r="F129" i="46"/>
  <c r="F130" i="46"/>
  <c r="F131" i="46"/>
  <c r="F132" i="46"/>
  <c r="F133" i="46"/>
  <c r="F134" i="46"/>
  <c r="F135" i="46"/>
  <c r="F136" i="46"/>
  <c r="F137" i="46"/>
  <c r="F138" i="46"/>
  <c r="F139" i="46"/>
  <c r="F140" i="46"/>
  <c r="F141" i="46"/>
  <c r="F142" i="46"/>
  <c r="F143" i="46"/>
  <c r="F144" i="46"/>
  <c r="F145" i="46"/>
  <c r="F146" i="46"/>
  <c r="F147" i="46"/>
  <c r="F148" i="46"/>
  <c r="F149" i="46"/>
  <c r="F150" i="46"/>
  <c r="F151" i="46"/>
  <c r="F152" i="46"/>
  <c r="F153" i="46"/>
  <c r="F154" i="46"/>
  <c r="F155" i="46"/>
  <c r="F156" i="46"/>
  <c r="F157" i="46"/>
  <c r="F158" i="46"/>
  <c r="F159" i="46"/>
  <c r="F160" i="46"/>
  <c r="F161" i="46"/>
  <c r="F162" i="46"/>
  <c r="F163" i="46"/>
  <c r="F164" i="46"/>
  <c r="F165" i="46"/>
  <c r="F166" i="46"/>
  <c r="F167" i="46"/>
  <c r="F168" i="46"/>
  <c r="F169" i="46"/>
  <c r="F170" i="46"/>
  <c r="F171" i="46"/>
  <c r="F172" i="46"/>
  <c r="F173" i="46"/>
  <c r="F174" i="46"/>
  <c r="F175" i="46"/>
  <c r="F176" i="46"/>
  <c r="F177" i="46"/>
  <c r="F178" i="46"/>
  <c r="F179" i="46"/>
  <c r="F180" i="46"/>
  <c r="F181" i="46"/>
  <c r="F182" i="46"/>
  <c r="F183" i="46"/>
  <c r="F184" i="46"/>
  <c r="F185" i="46"/>
  <c r="F186" i="46"/>
  <c r="F187" i="46"/>
  <c r="F188" i="46"/>
  <c r="F189" i="46"/>
  <c r="F190" i="46"/>
  <c r="F191" i="46"/>
  <c r="F192" i="46"/>
  <c r="F193" i="46"/>
  <c r="F194" i="46"/>
  <c r="F195" i="46"/>
  <c r="F196" i="46"/>
  <c r="F197" i="46"/>
  <c r="F198" i="46"/>
  <c r="F199" i="46"/>
  <c r="F200" i="46"/>
  <c r="F201" i="46"/>
  <c r="F202" i="46"/>
  <c r="F203" i="46"/>
  <c r="F204" i="46"/>
  <c r="F205" i="46"/>
  <c r="F206" i="46"/>
  <c r="F207" i="46"/>
  <c r="F208" i="46"/>
  <c r="F209" i="46"/>
  <c r="F210" i="46"/>
  <c r="F211" i="46"/>
  <c r="F212" i="46"/>
  <c r="F213" i="46"/>
  <c r="F214" i="46"/>
  <c r="F215" i="46"/>
  <c r="F216" i="46"/>
  <c r="F217" i="46"/>
  <c r="F218" i="46"/>
  <c r="F219" i="46"/>
  <c r="F220" i="46"/>
  <c r="F221" i="46"/>
  <c r="F222" i="46"/>
  <c r="F223" i="46"/>
  <c r="F224" i="46"/>
  <c r="F225" i="46"/>
  <c r="F226" i="46"/>
  <c r="F227" i="46"/>
  <c r="F228" i="46"/>
  <c r="F229" i="46"/>
  <c r="F230" i="46"/>
  <c r="F231" i="46"/>
  <c r="F232" i="46"/>
  <c r="F233" i="46"/>
  <c r="F234" i="46"/>
  <c r="F235" i="46"/>
  <c r="F236" i="46"/>
  <c r="F237" i="46"/>
  <c r="F238" i="46"/>
  <c r="F239" i="46"/>
  <c r="F240" i="46"/>
  <c r="F241" i="46"/>
  <c r="F242" i="46"/>
  <c r="F243" i="46"/>
  <c r="F244" i="46"/>
  <c r="F245" i="46"/>
  <c r="F246" i="46"/>
  <c r="F247" i="46"/>
  <c r="F248" i="46"/>
  <c r="F249" i="46"/>
  <c r="F250" i="46"/>
  <c r="F251" i="46"/>
  <c r="F252" i="46"/>
  <c r="F253" i="46"/>
  <c r="F254" i="46"/>
  <c r="F255" i="46"/>
  <c r="F256" i="46"/>
  <c r="C14" i="46"/>
  <c r="C15" i="46"/>
  <c r="C16" i="46"/>
  <c r="C17" i="46"/>
  <c r="C18" i="46"/>
  <c r="C19" i="46"/>
  <c r="C20" i="46"/>
  <c r="C21" i="46"/>
  <c r="C22" i="46"/>
  <c r="C23" i="46"/>
  <c r="C24" i="46"/>
  <c r="C25" i="46"/>
  <c r="C26" i="46"/>
  <c r="C27" i="46"/>
  <c r="C28" i="46"/>
  <c r="C29" i="46"/>
  <c r="C30" i="46"/>
  <c r="C31" i="46"/>
  <c r="C32" i="46"/>
  <c r="C33" i="46"/>
  <c r="C34" i="46"/>
  <c r="C35" i="46"/>
  <c r="C36" i="46"/>
  <c r="C37" i="46"/>
  <c r="C38" i="46"/>
  <c r="C39" i="46"/>
  <c r="C40" i="46"/>
  <c r="C41" i="46"/>
  <c r="C42" i="46"/>
  <c r="C43" i="46"/>
  <c r="C44" i="46"/>
  <c r="C45" i="46"/>
  <c r="C46" i="46"/>
  <c r="C47" i="46"/>
  <c r="C48" i="46"/>
  <c r="C49" i="46"/>
  <c r="C50" i="46"/>
  <c r="C51" i="46"/>
  <c r="C52" i="46"/>
  <c r="C53" i="46"/>
  <c r="C54" i="46"/>
  <c r="C55" i="46"/>
  <c r="C56" i="46"/>
  <c r="C57" i="46"/>
  <c r="C58" i="46"/>
  <c r="C59" i="46"/>
  <c r="C60" i="46"/>
  <c r="C61" i="46"/>
  <c r="C62" i="46"/>
  <c r="C63" i="46"/>
  <c r="C64" i="46"/>
  <c r="C65" i="46"/>
  <c r="C66" i="46"/>
  <c r="C67" i="46"/>
  <c r="C68" i="46"/>
  <c r="C69" i="46"/>
  <c r="C70" i="46"/>
  <c r="C71" i="46"/>
  <c r="C72" i="46"/>
  <c r="C73" i="46"/>
  <c r="C74" i="46"/>
  <c r="C75" i="46"/>
  <c r="C76" i="46"/>
  <c r="C77" i="46"/>
  <c r="C78" i="46"/>
  <c r="C79" i="46"/>
  <c r="C80" i="46"/>
  <c r="C81" i="46"/>
  <c r="C82" i="46"/>
  <c r="C83" i="46"/>
  <c r="C84" i="46"/>
  <c r="C85" i="46"/>
  <c r="C86" i="46"/>
  <c r="C87" i="46"/>
  <c r="C88" i="46"/>
  <c r="C89" i="46"/>
  <c r="C90" i="46"/>
  <c r="C91" i="46"/>
  <c r="C92" i="46"/>
  <c r="C93" i="46"/>
  <c r="C94" i="46"/>
  <c r="C95" i="46"/>
  <c r="C96" i="46"/>
  <c r="C97" i="46"/>
  <c r="C98" i="46"/>
  <c r="C99" i="46"/>
  <c r="C100" i="46"/>
  <c r="C101" i="46"/>
  <c r="C102" i="46"/>
  <c r="C103" i="46"/>
  <c r="C104" i="46"/>
  <c r="C105" i="46"/>
  <c r="C106" i="46"/>
  <c r="C107" i="46"/>
  <c r="C108" i="46"/>
  <c r="C109" i="46"/>
  <c r="C110" i="46"/>
  <c r="C111" i="46"/>
  <c r="C112" i="46"/>
  <c r="C113" i="46"/>
  <c r="C114" i="46"/>
  <c r="C115" i="46"/>
  <c r="C116" i="46"/>
  <c r="C117" i="46"/>
  <c r="C118" i="46"/>
  <c r="C119" i="46"/>
  <c r="C120" i="46"/>
  <c r="C121" i="46"/>
  <c r="C122" i="46"/>
  <c r="C123" i="46"/>
  <c r="C124" i="46"/>
  <c r="C125" i="46"/>
  <c r="C126" i="46"/>
  <c r="C127" i="46"/>
  <c r="C128" i="46"/>
  <c r="C129" i="46"/>
  <c r="C130" i="46"/>
  <c r="C131" i="46"/>
  <c r="C132" i="46"/>
  <c r="C133" i="46"/>
  <c r="C134" i="46"/>
  <c r="C135" i="46"/>
  <c r="C136" i="46"/>
  <c r="C137" i="46"/>
  <c r="C138" i="46"/>
  <c r="C139" i="46"/>
  <c r="C140" i="46"/>
  <c r="C141" i="46"/>
  <c r="C142" i="46"/>
  <c r="C143" i="46"/>
  <c r="C144" i="46"/>
  <c r="C145" i="46"/>
  <c r="C146" i="46"/>
  <c r="C147" i="46"/>
  <c r="C148" i="46"/>
  <c r="C149" i="46"/>
  <c r="C150" i="46"/>
  <c r="C151" i="46"/>
  <c r="C152" i="46"/>
  <c r="C153" i="46"/>
  <c r="C154" i="46"/>
  <c r="C155" i="46"/>
  <c r="C156" i="46"/>
  <c r="C157" i="46"/>
  <c r="C158" i="46"/>
  <c r="C159" i="46"/>
  <c r="C160" i="46"/>
  <c r="C161" i="46"/>
  <c r="C162" i="46"/>
  <c r="C163" i="46"/>
  <c r="C164" i="46"/>
  <c r="C165" i="46"/>
  <c r="C166" i="46"/>
  <c r="C167" i="46"/>
  <c r="C168" i="46"/>
  <c r="C169" i="46"/>
  <c r="C170" i="46"/>
  <c r="C171" i="46"/>
  <c r="C172" i="46"/>
  <c r="C173" i="46"/>
  <c r="C174" i="46"/>
  <c r="C175" i="46"/>
  <c r="C176" i="46"/>
  <c r="C177" i="46"/>
  <c r="C178" i="46"/>
  <c r="C179" i="46"/>
  <c r="C180" i="46"/>
  <c r="C181" i="46"/>
  <c r="C182" i="46"/>
  <c r="C183" i="46"/>
  <c r="C184" i="46"/>
  <c r="C185" i="46"/>
  <c r="C186" i="46"/>
  <c r="C187" i="46"/>
  <c r="C188" i="46"/>
  <c r="C189" i="46"/>
  <c r="C190" i="46"/>
  <c r="C191" i="46"/>
  <c r="C192" i="46"/>
  <c r="C193" i="46"/>
  <c r="C194" i="46"/>
  <c r="C195" i="46"/>
  <c r="C196" i="46"/>
  <c r="C197" i="46"/>
  <c r="C198" i="46"/>
  <c r="C199" i="46"/>
  <c r="C200" i="46"/>
  <c r="C201" i="46"/>
  <c r="C202" i="46"/>
  <c r="C203" i="46"/>
  <c r="C204" i="46"/>
  <c r="C205" i="46"/>
  <c r="C206" i="46"/>
  <c r="C207" i="46"/>
  <c r="C208" i="46"/>
  <c r="C209" i="46"/>
  <c r="C210" i="46"/>
  <c r="C211" i="46"/>
  <c r="C212" i="46"/>
  <c r="C213" i="46"/>
  <c r="C214" i="46"/>
  <c r="C215" i="46"/>
  <c r="C216" i="46"/>
  <c r="C217" i="46"/>
  <c r="C218" i="46"/>
  <c r="C219" i="46"/>
  <c r="C220" i="46"/>
  <c r="C221" i="46"/>
  <c r="C222" i="46"/>
  <c r="C223" i="46"/>
  <c r="C224" i="46"/>
  <c r="C225" i="46"/>
  <c r="C226" i="46"/>
  <c r="C227" i="46"/>
  <c r="C228" i="46"/>
  <c r="C229" i="46"/>
  <c r="C230" i="46"/>
  <c r="C231" i="46"/>
  <c r="C232" i="46"/>
  <c r="C233" i="46"/>
  <c r="C234" i="46"/>
  <c r="C235" i="46"/>
  <c r="C236" i="46"/>
  <c r="C237" i="46"/>
  <c r="C238" i="46"/>
  <c r="C239" i="46"/>
  <c r="C240" i="46"/>
  <c r="C241" i="46"/>
  <c r="C242" i="46"/>
  <c r="C243" i="46"/>
  <c r="C244" i="46"/>
  <c r="C245" i="46"/>
  <c r="C246" i="46"/>
  <c r="C247" i="46"/>
  <c r="C248" i="46"/>
  <c r="C249" i="46"/>
  <c r="C250" i="46"/>
  <c r="C251" i="46"/>
  <c r="C252" i="46"/>
  <c r="C253" i="46"/>
  <c r="C254" i="46"/>
  <c r="C255" i="46"/>
  <c r="C256" i="46"/>
  <c r="G14" i="11"/>
  <c r="G15" i="11"/>
  <c r="G16" i="11"/>
  <c r="G17" i="11"/>
  <c r="G18" i="11"/>
  <c r="G19" i="11"/>
  <c r="G20" i="11"/>
  <c r="G21" i="11"/>
  <c r="G22" i="11"/>
  <c r="G23" i="11"/>
  <c r="G24" i="11"/>
  <c r="G25" i="11"/>
  <c r="G26" i="11"/>
  <c r="G27" i="11"/>
  <c r="G28" i="11"/>
  <c r="G29" i="11"/>
  <c r="G30" i="11"/>
  <c r="G31" i="11"/>
  <c r="G32" i="11"/>
  <c r="G33" i="11"/>
  <c r="G34" i="11"/>
  <c r="G35" i="11"/>
  <c r="G36" i="11"/>
  <c r="G37" i="11"/>
  <c r="G38" i="11"/>
  <c r="G39" i="11"/>
  <c r="G40" i="11"/>
  <c r="G41" i="11"/>
  <c r="G42" i="11"/>
  <c r="G43" i="11"/>
  <c r="G44" i="11"/>
  <c r="G45" i="11"/>
  <c r="G46" i="11"/>
  <c r="G47" i="11"/>
  <c r="G48" i="11"/>
  <c r="G49" i="11"/>
  <c r="G50" i="11"/>
  <c r="G51" i="11"/>
  <c r="G52" i="11"/>
  <c r="G53" i="11"/>
  <c r="G54" i="11"/>
  <c r="G55" i="11"/>
  <c r="G56" i="11"/>
  <c r="G57" i="11"/>
  <c r="G58" i="11"/>
  <c r="G59" i="11"/>
  <c r="G60" i="11"/>
  <c r="G61" i="11"/>
  <c r="G62" i="11"/>
  <c r="G63" i="11"/>
  <c r="G64" i="11"/>
  <c r="G65" i="11"/>
  <c r="G66" i="11"/>
  <c r="G67" i="11"/>
  <c r="G68" i="11"/>
  <c r="G69" i="11"/>
  <c r="G70" i="11"/>
  <c r="G71" i="11"/>
  <c r="G72" i="11"/>
  <c r="G73" i="11"/>
  <c r="G74" i="11"/>
  <c r="G75" i="11"/>
  <c r="G76" i="11"/>
  <c r="G77" i="11"/>
  <c r="G78" i="11"/>
  <c r="G79" i="11"/>
  <c r="G80" i="11"/>
  <c r="G81" i="11"/>
  <c r="G82" i="11"/>
  <c r="G83" i="11"/>
  <c r="G84" i="11"/>
  <c r="G85" i="11"/>
  <c r="G86" i="11"/>
  <c r="G87" i="11"/>
  <c r="G88" i="11"/>
  <c r="G89" i="11"/>
  <c r="G90" i="11"/>
  <c r="G91" i="11"/>
  <c r="G92" i="11"/>
  <c r="G93" i="11"/>
  <c r="G94" i="11"/>
  <c r="G95" i="11"/>
  <c r="G96" i="11"/>
  <c r="G97" i="11"/>
  <c r="G98" i="11"/>
  <c r="G99" i="11"/>
  <c r="G100" i="11"/>
  <c r="G101" i="11"/>
  <c r="G102" i="11"/>
  <c r="G103" i="11"/>
  <c r="G104" i="11"/>
  <c r="G105" i="11"/>
  <c r="G106" i="11"/>
  <c r="G107" i="11"/>
  <c r="G108" i="11"/>
  <c r="G109" i="11"/>
  <c r="G110" i="11"/>
  <c r="G111" i="11"/>
  <c r="G112" i="11"/>
  <c r="G113" i="11"/>
  <c r="G114" i="11"/>
  <c r="G115" i="11"/>
  <c r="G116" i="11"/>
  <c r="G117" i="11"/>
  <c r="G118" i="11"/>
  <c r="G119" i="11"/>
  <c r="G120" i="11"/>
  <c r="G121" i="11"/>
  <c r="G122" i="11"/>
  <c r="G123" i="11"/>
  <c r="G124" i="11"/>
  <c r="G125" i="11"/>
  <c r="G126" i="11"/>
  <c r="G127" i="11"/>
  <c r="G128" i="11"/>
  <c r="G129" i="11"/>
  <c r="G130" i="11"/>
  <c r="G131" i="11"/>
  <c r="G132" i="11"/>
  <c r="G133" i="11"/>
  <c r="G134" i="11"/>
  <c r="G135" i="11"/>
  <c r="G136" i="11"/>
  <c r="G137" i="11"/>
  <c r="G138" i="11"/>
  <c r="G139" i="11"/>
  <c r="G140" i="11"/>
  <c r="G141" i="11"/>
  <c r="G142" i="11"/>
  <c r="G143" i="11"/>
  <c r="G144" i="11"/>
  <c r="G145" i="11"/>
  <c r="G146" i="11"/>
  <c r="G147" i="11"/>
  <c r="G148" i="11"/>
  <c r="G149" i="11"/>
  <c r="G150" i="11"/>
  <c r="G151" i="11"/>
  <c r="G152" i="11"/>
  <c r="G153" i="11"/>
  <c r="G154" i="11"/>
  <c r="G155" i="11"/>
  <c r="G156" i="11"/>
  <c r="G157" i="11"/>
  <c r="G158" i="11"/>
  <c r="G159" i="11"/>
  <c r="G160" i="11"/>
  <c r="G161" i="11"/>
  <c r="G162" i="11"/>
  <c r="G163" i="11"/>
  <c r="G164" i="11"/>
  <c r="G165" i="11"/>
  <c r="G166" i="11"/>
  <c r="G167" i="11"/>
  <c r="G168" i="11"/>
  <c r="G169" i="11"/>
  <c r="G170" i="11"/>
  <c r="G171" i="11"/>
  <c r="G172" i="11"/>
  <c r="G173" i="11"/>
  <c r="G174" i="11"/>
  <c r="G175" i="11"/>
  <c r="G176" i="11"/>
  <c r="G177" i="11"/>
  <c r="G178" i="11"/>
  <c r="G179" i="11"/>
  <c r="G180" i="11"/>
  <c r="G181" i="11"/>
  <c r="G182" i="11"/>
  <c r="G183" i="11"/>
  <c r="G184" i="11"/>
  <c r="G185" i="11"/>
  <c r="G186" i="11"/>
  <c r="G187" i="11"/>
  <c r="G188" i="11"/>
  <c r="G189" i="11"/>
  <c r="G190" i="11"/>
  <c r="G191" i="11"/>
  <c r="G192" i="11"/>
  <c r="G193" i="11"/>
  <c r="G194" i="11"/>
  <c r="G195" i="11"/>
  <c r="G196" i="11"/>
  <c r="G197" i="11"/>
  <c r="G198" i="11"/>
  <c r="G199" i="11"/>
  <c r="G200" i="11"/>
  <c r="G201" i="11"/>
  <c r="G202" i="11"/>
  <c r="G203" i="11"/>
  <c r="G204" i="11"/>
  <c r="G205" i="11"/>
  <c r="G206" i="11"/>
  <c r="G207" i="11"/>
  <c r="G208" i="11"/>
  <c r="G209" i="11"/>
  <c r="G210" i="11"/>
  <c r="G211" i="11"/>
  <c r="G212" i="11"/>
  <c r="G213" i="11"/>
  <c r="G214" i="11"/>
  <c r="G215" i="11"/>
  <c r="G216" i="11"/>
  <c r="G217" i="11"/>
  <c r="G218" i="11"/>
  <c r="G219" i="11"/>
  <c r="G220" i="11"/>
  <c r="G221" i="11"/>
  <c r="G222" i="11"/>
  <c r="G223" i="11"/>
  <c r="G224" i="11"/>
  <c r="G225" i="11"/>
  <c r="G226" i="11"/>
  <c r="G227" i="11"/>
  <c r="G228" i="11"/>
  <c r="G229" i="11"/>
  <c r="G230" i="11"/>
  <c r="G231" i="11"/>
  <c r="G232" i="11"/>
  <c r="G233" i="11"/>
  <c r="G234" i="11"/>
  <c r="G235" i="11"/>
  <c r="G236" i="11"/>
  <c r="G237" i="11"/>
  <c r="G238" i="11"/>
  <c r="G239" i="11"/>
  <c r="G240" i="11"/>
  <c r="G241" i="11"/>
  <c r="G242" i="11"/>
  <c r="G243" i="11"/>
  <c r="G244" i="11"/>
  <c r="G245" i="11"/>
  <c r="G246" i="11"/>
  <c r="G247" i="11"/>
  <c r="G248" i="11"/>
  <c r="G249" i="11"/>
  <c r="G250" i="11"/>
  <c r="G251" i="11"/>
  <c r="G252" i="11"/>
  <c r="G253" i="11"/>
  <c r="G254" i="11"/>
  <c r="G255" i="11"/>
  <c r="G256" i="11"/>
  <c r="G257" i="11"/>
  <c r="G258" i="11"/>
  <c r="G11" i="11"/>
  <c r="G12" i="11"/>
  <c r="G13" i="11"/>
  <c r="A14" i="11"/>
  <c r="A15" i="11"/>
  <c r="A16" i="11"/>
  <c r="A17" i="11"/>
  <c r="A18" i="11"/>
  <c r="A19" i="11"/>
  <c r="A20" i="11"/>
  <c r="A21" i="11"/>
  <c r="A22" i="11"/>
  <c r="A23" i="11"/>
  <c r="A24" i="11"/>
  <c r="A25" i="11"/>
  <c r="A26" i="11"/>
  <c r="A27" i="11"/>
  <c r="A28" i="11"/>
  <c r="A29" i="11"/>
  <c r="A30" i="11"/>
  <c r="A31" i="11"/>
  <c r="A32" i="11"/>
  <c r="A33" i="11"/>
  <c r="A34" i="11"/>
  <c r="A35" i="11"/>
  <c r="A36" i="11"/>
  <c r="A37" i="11"/>
  <c r="A38" i="11"/>
  <c r="A39" i="11"/>
  <c r="A40" i="11"/>
  <c r="A41" i="11"/>
  <c r="A42" i="11"/>
  <c r="A43" i="11"/>
  <c r="A44" i="11"/>
  <c r="A45" i="11"/>
  <c r="A46" i="11"/>
  <c r="A47" i="11"/>
  <c r="A48" i="11"/>
  <c r="A49" i="11"/>
  <c r="A50" i="11"/>
  <c r="A51" i="11"/>
  <c r="A52" i="11"/>
  <c r="A53" i="11"/>
  <c r="A54" i="11"/>
  <c r="A55" i="11"/>
  <c r="A56" i="11"/>
  <c r="A57" i="11"/>
  <c r="A58" i="11"/>
  <c r="A59" i="11"/>
  <c r="A60" i="11"/>
  <c r="A61" i="11"/>
  <c r="A62" i="11"/>
  <c r="A63" i="11"/>
  <c r="A64" i="11"/>
  <c r="A65" i="11"/>
  <c r="A66" i="11"/>
  <c r="A67" i="11"/>
  <c r="A68" i="11"/>
  <c r="A69" i="11"/>
  <c r="A70" i="11"/>
  <c r="A71" i="11"/>
  <c r="A72" i="11"/>
  <c r="A73" i="11"/>
  <c r="A74" i="11"/>
  <c r="A75" i="11"/>
  <c r="A76" i="11"/>
  <c r="A77" i="11"/>
  <c r="A78" i="11"/>
  <c r="A79" i="11"/>
  <c r="A80" i="11"/>
  <c r="A81" i="11"/>
  <c r="A82" i="11"/>
  <c r="A83" i="11"/>
  <c r="A84" i="11"/>
  <c r="A85" i="11"/>
  <c r="A86" i="11"/>
  <c r="A87" i="11"/>
  <c r="A88" i="11"/>
  <c r="A89" i="11"/>
  <c r="A90" i="11"/>
  <c r="A91" i="11"/>
  <c r="A92" i="11"/>
  <c r="A93" i="11"/>
  <c r="A94" i="11"/>
  <c r="A95" i="11"/>
  <c r="A96" i="11"/>
  <c r="A97" i="11"/>
  <c r="A98" i="11"/>
  <c r="A99" i="11"/>
  <c r="A100" i="11"/>
  <c r="A101" i="11"/>
  <c r="A102" i="11"/>
  <c r="A103" i="11"/>
  <c r="A104" i="11"/>
  <c r="A105" i="11"/>
  <c r="A106" i="11"/>
  <c r="A107" i="11"/>
  <c r="A108" i="11"/>
  <c r="A109" i="11"/>
  <c r="A110" i="11"/>
  <c r="A111" i="11"/>
  <c r="A112" i="11"/>
  <c r="A113" i="11"/>
  <c r="A114" i="11"/>
  <c r="A115" i="11"/>
  <c r="A116" i="11"/>
  <c r="A117" i="11"/>
  <c r="A118" i="11"/>
  <c r="A119" i="11"/>
  <c r="A120" i="11"/>
  <c r="A121" i="11"/>
  <c r="A122" i="11"/>
  <c r="A123" i="11"/>
  <c r="A124" i="11"/>
  <c r="A125" i="11"/>
  <c r="A126" i="11"/>
  <c r="A127" i="11"/>
  <c r="A128" i="11"/>
  <c r="A129" i="11"/>
  <c r="A130" i="11"/>
  <c r="A131" i="11"/>
  <c r="A132" i="11"/>
  <c r="A133" i="11"/>
  <c r="A134" i="11"/>
  <c r="A135" i="11"/>
  <c r="A136" i="11"/>
  <c r="A137" i="11"/>
  <c r="A138" i="11"/>
  <c r="A139" i="11"/>
  <c r="A140" i="11"/>
  <c r="A141" i="11"/>
  <c r="A142" i="11"/>
  <c r="A143" i="11"/>
  <c r="A144" i="11"/>
  <c r="A145" i="11"/>
  <c r="A146" i="11"/>
  <c r="A147" i="11"/>
  <c r="A148" i="11"/>
  <c r="A149" i="11"/>
  <c r="A150" i="11"/>
  <c r="A151" i="11"/>
  <c r="A152" i="11"/>
  <c r="A153" i="11"/>
  <c r="A154" i="11"/>
  <c r="A155" i="11"/>
  <c r="A156" i="11"/>
  <c r="A157" i="11"/>
  <c r="A158" i="11"/>
  <c r="A159" i="11"/>
  <c r="A160" i="11"/>
  <c r="A161" i="11"/>
  <c r="A162" i="11"/>
  <c r="A163" i="11"/>
  <c r="A164" i="11"/>
  <c r="A165" i="11"/>
  <c r="A166" i="11"/>
  <c r="A167" i="11"/>
  <c r="A168" i="11"/>
  <c r="A169" i="11"/>
  <c r="A170" i="11"/>
  <c r="A171" i="11"/>
  <c r="A172" i="11"/>
  <c r="A173" i="11"/>
  <c r="A174" i="11"/>
  <c r="A175" i="11"/>
  <c r="A176" i="11"/>
  <c r="A177" i="11"/>
  <c r="A178" i="11"/>
  <c r="A179" i="11"/>
  <c r="A180" i="11"/>
  <c r="A181" i="11"/>
  <c r="A182" i="11"/>
  <c r="A183" i="11"/>
  <c r="A184" i="11"/>
  <c r="A185" i="11"/>
  <c r="A186" i="11"/>
  <c r="A187" i="11"/>
  <c r="A188" i="11"/>
  <c r="A189" i="11"/>
  <c r="A190" i="11"/>
  <c r="A191" i="11"/>
  <c r="A192" i="11"/>
  <c r="A193" i="11"/>
  <c r="A194" i="11"/>
  <c r="A195" i="11"/>
  <c r="A196" i="11"/>
  <c r="A197" i="11"/>
  <c r="A198" i="11"/>
  <c r="A199" i="11"/>
  <c r="A200" i="11"/>
  <c r="A201" i="11"/>
  <c r="A202" i="11"/>
  <c r="A203" i="11"/>
  <c r="A204" i="11"/>
  <c r="A205" i="11"/>
  <c r="A206" i="11"/>
  <c r="A207" i="11"/>
  <c r="A208" i="11"/>
  <c r="A209" i="11"/>
  <c r="A210" i="11"/>
  <c r="A211" i="11"/>
  <c r="A212" i="11"/>
  <c r="A213" i="11"/>
  <c r="A214" i="11"/>
  <c r="A215" i="11"/>
  <c r="A216" i="11"/>
  <c r="A217" i="11"/>
  <c r="A218" i="11"/>
  <c r="A219" i="11"/>
  <c r="A220" i="11"/>
  <c r="A221" i="11"/>
  <c r="A222" i="11"/>
  <c r="A223" i="11"/>
  <c r="A224" i="11"/>
  <c r="A225" i="11"/>
  <c r="A226" i="11"/>
  <c r="A227" i="11"/>
  <c r="A228" i="11"/>
  <c r="A229" i="11"/>
  <c r="A230" i="11"/>
  <c r="A231" i="11"/>
  <c r="A232" i="11"/>
  <c r="A233" i="11"/>
  <c r="A234" i="11"/>
  <c r="A235" i="11"/>
  <c r="A236" i="11"/>
  <c r="A237" i="11"/>
  <c r="A238" i="11"/>
  <c r="A239" i="11"/>
  <c r="A240" i="11"/>
  <c r="A241" i="11"/>
  <c r="A242" i="11"/>
  <c r="A243" i="11"/>
  <c r="A244" i="11"/>
  <c r="A245" i="11"/>
  <c r="A246" i="11"/>
  <c r="A247" i="11"/>
  <c r="A248" i="11"/>
  <c r="A249" i="11"/>
  <c r="A250" i="11"/>
  <c r="A251" i="11"/>
  <c r="A252" i="11"/>
  <c r="A253" i="11"/>
  <c r="A254" i="11"/>
  <c r="A255" i="11"/>
  <c r="A256" i="11"/>
  <c r="A257" i="11"/>
  <c r="A258" i="11"/>
  <c r="A11" i="11"/>
  <c r="A12" i="11"/>
  <c r="A13" i="11"/>
  <c r="Q81" i="29"/>
  <c r="E134" i="28" s="1"/>
  <c r="O81" i="29"/>
  <c r="C134" i="28" s="1"/>
  <c r="M81" i="29"/>
  <c r="L81" i="29"/>
  <c r="D63" i="73"/>
  <c r="D62" i="73"/>
  <c r="D61" i="73"/>
  <c r="Z12" i="59" l="1"/>
  <c r="Z14" i="59"/>
  <c r="Z15" i="59"/>
  <c r="U11" i="71"/>
  <c r="X38" i="22"/>
  <c r="X134" i="22"/>
  <c r="X55" i="22"/>
  <c r="X80" i="22"/>
  <c r="T38" i="22"/>
  <c r="T134" i="22"/>
  <c r="T80" i="22"/>
  <c r="E134" i="22"/>
  <c r="P255" i="11"/>
  <c r="P235" i="11"/>
  <c r="P223" i="11"/>
  <c r="P203" i="11"/>
  <c r="P191" i="11"/>
  <c r="P179" i="11"/>
  <c r="P159" i="11"/>
  <c r="P257" i="11"/>
  <c r="P249" i="11"/>
  <c r="P241" i="11"/>
  <c r="P233" i="11"/>
  <c r="P225" i="11"/>
  <c r="P217" i="11"/>
  <c r="P209" i="11"/>
  <c r="P201" i="11"/>
  <c r="P193" i="11"/>
  <c r="P185" i="11"/>
  <c r="P177" i="11"/>
  <c r="P169" i="11"/>
  <c r="P161" i="11"/>
  <c r="P153" i="11"/>
  <c r="P145" i="11"/>
  <c r="P141" i="11"/>
  <c r="P133" i="11"/>
  <c r="P125" i="11"/>
  <c r="P117" i="11"/>
  <c r="P109" i="11"/>
  <c r="P101" i="11"/>
  <c r="P93" i="11"/>
  <c r="P85" i="11"/>
  <c r="P77" i="11"/>
  <c r="P69" i="11"/>
  <c r="P61" i="11"/>
  <c r="P53" i="11"/>
  <c r="P45" i="11"/>
  <c r="P37" i="11"/>
  <c r="P33" i="11"/>
  <c r="P29" i="11"/>
  <c r="P21" i="11"/>
  <c r="W21" i="11" s="1"/>
  <c r="P17" i="11"/>
  <c r="W17" i="11" s="1"/>
  <c r="U255" i="46"/>
  <c r="H239" i="46"/>
  <c r="P12" i="11"/>
  <c r="P256" i="11"/>
  <c r="P252" i="11"/>
  <c r="I248" i="11"/>
  <c r="P248" i="11"/>
  <c r="P244" i="11"/>
  <c r="P240" i="11"/>
  <c r="P236" i="11"/>
  <c r="P232" i="11"/>
  <c r="P228" i="11"/>
  <c r="P224" i="11"/>
  <c r="P220" i="11"/>
  <c r="I216" i="11"/>
  <c r="P216" i="11"/>
  <c r="P212" i="11"/>
  <c r="P208" i="11"/>
  <c r="P204" i="11"/>
  <c r="P200" i="11"/>
  <c r="P196" i="11"/>
  <c r="P192" i="11"/>
  <c r="P188" i="11"/>
  <c r="P184" i="11"/>
  <c r="P180" i="11"/>
  <c r="P176" i="11"/>
  <c r="P172" i="11"/>
  <c r="P168" i="11"/>
  <c r="P164" i="11"/>
  <c r="P160" i="11"/>
  <c r="P156" i="11"/>
  <c r="P152" i="11"/>
  <c r="P148" i="11"/>
  <c r="P144" i="11"/>
  <c r="P140" i="11"/>
  <c r="P136" i="11"/>
  <c r="P132" i="11"/>
  <c r="P128" i="11"/>
  <c r="P124" i="11"/>
  <c r="P120" i="11"/>
  <c r="P116" i="11"/>
  <c r="P112" i="11"/>
  <c r="P108" i="11"/>
  <c r="P104" i="11"/>
  <c r="P100" i="11"/>
  <c r="P96" i="11"/>
  <c r="P92" i="11"/>
  <c r="P88" i="11"/>
  <c r="P84" i="11"/>
  <c r="P80" i="11"/>
  <c r="P76" i="11"/>
  <c r="P72" i="11"/>
  <c r="P68" i="11"/>
  <c r="P64" i="11"/>
  <c r="P60" i="11"/>
  <c r="P56" i="11"/>
  <c r="P52" i="11"/>
  <c r="P48" i="11"/>
  <c r="P44" i="11"/>
  <c r="P40" i="11"/>
  <c r="P36" i="11"/>
  <c r="P32" i="11"/>
  <c r="P28" i="11"/>
  <c r="P24" i="11"/>
  <c r="W24" i="11" s="1"/>
  <c r="P20" i="11"/>
  <c r="W20" i="11" s="1"/>
  <c r="P16" i="11"/>
  <c r="W16" i="11" s="1"/>
  <c r="H242" i="46"/>
  <c r="H178" i="46"/>
  <c r="U162" i="46"/>
  <c r="U146" i="46"/>
  <c r="H106" i="46"/>
  <c r="U98" i="46"/>
  <c r="T258" i="59"/>
  <c r="T254" i="59"/>
  <c r="I250" i="59"/>
  <c r="T250" i="59"/>
  <c r="I246" i="59"/>
  <c r="T246" i="59"/>
  <c r="T242" i="59"/>
  <c r="T238" i="59"/>
  <c r="T234" i="59"/>
  <c r="I230" i="59"/>
  <c r="T230" i="59"/>
  <c r="T226" i="59"/>
  <c r="T222" i="59"/>
  <c r="T218" i="59"/>
  <c r="I214" i="59"/>
  <c r="T214" i="59"/>
  <c r="T210" i="59"/>
  <c r="I206" i="59"/>
  <c r="T206" i="59"/>
  <c r="T202" i="59"/>
  <c r="T198" i="59"/>
  <c r="T194" i="59"/>
  <c r="T190" i="59"/>
  <c r="T186" i="59"/>
  <c r="I182" i="59"/>
  <c r="T182" i="59"/>
  <c r="T178" i="59"/>
  <c r="T174" i="59"/>
  <c r="T170" i="59"/>
  <c r="I166" i="59"/>
  <c r="T166" i="59"/>
  <c r="T162" i="59"/>
  <c r="T158" i="59"/>
  <c r="T154" i="59"/>
  <c r="I150" i="59"/>
  <c r="T150" i="59"/>
  <c r="T146" i="59"/>
  <c r="I142" i="59"/>
  <c r="T142" i="59"/>
  <c r="T138" i="59"/>
  <c r="T134" i="59"/>
  <c r="T130" i="59"/>
  <c r="T126" i="59"/>
  <c r="T122" i="59"/>
  <c r="I118" i="59"/>
  <c r="T118" i="59"/>
  <c r="T114" i="59"/>
  <c r="T110" i="59"/>
  <c r="T106" i="59"/>
  <c r="T102" i="59"/>
  <c r="T98" i="59"/>
  <c r="T94" i="59"/>
  <c r="T90" i="59"/>
  <c r="T86" i="59"/>
  <c r="T82" i="59"/>
  <c r="T78" i="59"/>
  <c r="T74" i="59"/>
  <c r="T70" i="59"/>
  <c r="T66" i="59"/>
  <c r="I62" i="59"/>
  <c r="T62" i="59"/>
  <c r="I58" i="59"/>
  <c r="T58" i="59"/>
  <c r="I54" i="59"/>
  <c r="T54" i="59"/>
  <c r="T50" i="59"/>
  <c r="I46" i="59"/>
  <c r="T46" i="59"/>
  <c r="T42" i="59"/>
  <c r="T38" i="59"/>
  <c r="T34" i="59"/>
  <c r="I30" i="59"/>
  <c r="T30" i="59"/>
  <c r="T26" i="59"/>
  <c r="T22" i="59"/>
  <c r="T18" i="59"/>
  <c r="U250" i="71"/>
  <c r="U242" i="71"/>
  <c r="U234" i="71"/>
  <c r="U226" i="71"/>
  <c r="U218" i="71"/>
  <c r="U210" i="71"/>
  <c r="U202" i="71"/>
  <c r="U194" i="71"/>
  <c r="U190" i="71"/>
  <c r="U186" i="71"/>
  <c r="U182" i="71"/>
  <c r="U178" i="71"/>
  <c r="U174" i="71"/>
  <c r="U170" i="71"/>
  <c r="U166" i="71"/>
  <c r="U162" i="71"/>
  <c r="U158" i="71"/>
  <c r="U154" i="71"/>
  <c r="U150" i="71"/>
  <c r="U146" i="71"/>
  <c r="U142" i="71"/>
  <c r="U138" i="71"/>
  <c r="U134" i="71"/>
  <c r="U130" i="71"/>
  <c r="U126" i="71"/>
  <c r="U122" i="71"/>
  <c r="U118" i="71"/>
  <c r="U114" i="71"/>
  <c r="U110" i="71"/>
  <c r="U106" i="71"/>
  <c r="U102" i="71"/>
  <c r="U98" i="71"/>
  <c r="U94" i="71"/>
  <c r="U90" i="71"/>
  <c r="U86" i="71"/>
  <c r="U82" i="71"/>
  <c r="U78" i="71"/>
  <c r="U74" i="71"/>
  <c r="U70" i="71"/>
  <c r="U66" i="71"/>
  <c r="U62" i="71"/>
  <c r="U58" i="71"/>
  <c r="U54" i="71"/>
  <c r="U50" i="71"/>
  <c r="U46" i="71"/>
  <c r="U42" i="71"/>
  <c r="U38" i="71"/>
  <c r="U34" i="71"/>
  <c r="U30" i="71"/>
  <c r="U26" i="71"/>
  <c r="U22" i="71"/>
  <c r="U18" i="71"/>
  <c r="U14" i="71"/>
  <c r="P243" i="11"/>
  <c r="P227" i="11"/>
  <c r="P211" i="11"/>
  <c r="P199" i="11"/>
  <c r="P183" i="11"/>
  <c r="P167" i="11"/>
  <c r="P155" i="11"/>
  <c r="P147" i="11"/>
  <c r="P139" i="11"/>
  <c r="P131" i="11"/>
  <c r="P123" i="11"/>
  <c r="P115" i="11"/>
  <c r="P107" i="11"/>
  <c r="P99" i="11"/>
  <c r="P91" i="11"/>
  <c r="P83" i="11"/>
  <c r="P75" i="11"/>
  <c r="P67" i="11"/>
  <c r="P59" i="11"/>
  <c r="P51" i="11"/>
  <c r="P43" i="11"/>
  <c r="P35" i="11"/>
  <c r="P31" i="11"/>
  <c r="P23" i="11"/>
  <c r="W23" i="11" s="1"/>
  <c r="P19" i="11"/>
  <c r="W19" i="11" s="1"/>
  <c r="P15" i="11"/>
  <c r="W15" i="11" s="1"/>
  <c r="U245" i="46"/>
  <c r="U181" i="46"/>
  <c r="U117" i="46"/>
  <c r="T257" i="59"/>
  <c r="T253" i="59"/>
  <c r="T249" i="59"/>
  <c r="T245" i="59"/>
  <c r="T241" i="59"/>
  <c r="T237" i="59"/>
  <c r="T233" i="59"/>
  <c r="T229" i="59"/>
  <c r="T225" i="59"/>
  <c r="T221" i="59"/>
  <c r="T217" i="59"/>
  <c r="T213" i="59"/>
  <c r="T209" i="59"/>
  <c r="T205" i="59"/>
  <c r="T201" i="59"/>
  <c r="T197" i="59"/>
  <c r="T193" i="59"/>
  <c r="T189" i="59"/>
  <c r="I185" i="59"/>
  <c r="T185" i="59"/>
  <c r="I181" i="59"/>
  <c r="T181" i="59"/>
  <c r="I177" i="59"/>
  <c r="T177" i="59"/>
  <c r="T173" i="59"/>
  <c r="T169" i="59"/>
  <c r="I165" i="59"/>
  <c r="T165" i="59"/>
  <c r="T161" i="59"/>
  <c r="T157" i="59"/>
  <c r="T153" i="59"/>
  <c r="T149" i="59"/>
  <c r="T145" i="59"/>
  <c r="T141" i="59"/>
  <c r="T137" i="59"/>
  <c r="T133" i="59"/>
  <c r="I129" i="59"/>
  <c r="T129" i="59"/>
  <c r="T125" i="59"/>
  <c r="I121" i="59"/>
  <c r="T121" i="59"/>
  <c r="I117" i="59"/>
  <c r="T117" i="59"/>
  <c r="I113" i="59"/>
  <c r="T113" i="59"/>
  <c r="T109" i="59"/>
  <c r="T105" i="59"/>
  <c r="I101" i="59"/>
  <c r="T101" i="59"/>
  <c r="T97" i="59"/>
  <c r="T93" i="59"/>
  <c r="T89" i="59"/>
  <c r="I85" i="59"/>
  <c r="T85" i="59"/>
  <c r="T81" i="59"/>
  <c r="T77" i="59"/>
  <c r="T73" i="59"/>
  <c r="T69" i="59"/>
  <c r="I65" i="59"/>
  <c r="T65" i="59"/>
  <c r="I61" i="59"/>
  <c r="T61" i="59"/>
  <c r="I57" i="59"/>
  <c r="T57" i="59"/>
  <c r="I53" i="59"/>
  <c r="T53" i="59"/>
  <c r="T49" i="59"/>
  <c r="I45" i="59"/>
  <c r="T45" i="59"/>
  <c r="T41" i="59"/>
  <c r="T37" i="59"/>
  <c r="T33" i="59"/>
  <c r="T29" i="59"/>
  <c r="T25" i="59"/>
  <c r="T21" i="59"/>
  <c r="T17" i="59"/>
  <c r="U241" i="71"/>
  <c r="U233" i="71"/>
  <c r="U225" i="71"/>
  <c r="U217" i="71"/>
  <c r="U209" i="71"/>
  <c r="U201" i="71"/>
  <c r="U193" i="71"/>
  <c r="U189" i="71"/>
  <c r="U185" i="71"/>
  <c r="U177" i="71"/>
  <c r="U169" i="71"/>
  <c r="U165" i="71"/>
  <c r="U153" i="71"/>
  <c r="U149" i="71"/>
  <c r="U145" i="71"/>
  <c r="U137" i="71"/>
  <c r="U129" i="71"/>
  <c r="U125" i="71"/>
  <c r="U121" i="71"/>
  <c r="U113" i="71"/>
  <c r="U105" i="71"/>
  <c r="U101" i="71"/>
  <c r="U89" i="71"/>
  <c r="U81" i="71"/>
  <c r="U77" i="71"/>
  <c r="U73" i="71"/>
  <c r="U65" i="71"/>
  <c r="U57" i="71"/>
  <c r="U49" i="71"/>
  <c r="U45" i="71"/>
  <c r="U41" i="71"/>
  <c r="U33" i="71"/>
  <c r="U25" i="71"/>
  <c r="U17" i="71"/>
  <c r="U13" i="71"/>
  <c r="P251" i="11"/>
  <c r="P239" i="11"/>
  <c r="P219" i="11"/>
  <c r="P207" i="11"/>
  <c r="P187" i="11"/>
  <c r="P175" i="11"/>
  <c r="P163" i="11"/>
  <c r="P151" i="11"/>
  <c r="P143" i="11"/>
  <c r="P135" i="11"/>
  <c r="P127" i="11"/>
  <c r="P119" i="11"/>
  <c r="P111" i="11"/>
  <c r="P103" i="11"/>
  <c r="P95" i="11"/>
  <c r="P87" i="11"/>
  <c r="P79" i="11"/>
  <c r="P71" i="11"/>
  <c r="P63" i="11"/>
  <c r="P55" i="11"/>
  <c r="P47" i="11"/>
  <c r="P39" i="11"/>
  <c r="P27" i="11"/>
  <c r="I258" i="11"/>
  <c r="P258" i="11"/>
  <c r="P254" i="11"/>
  <c r="P250" i="11"/>
  <c r="P246" i="11"/>
  <c r="P242" i="11"/>
  <c r="P238" i="11"/>
  <c r="P234" i="11"/>
  <c r="P230" i="11"/>
  <c r="I226" i="11"/>
  <c r="P226" i="11"/>
  <c r="P222" i="11"/>
  <c r="P218" i="11"/>
  <c r="P214" i="11"/>
  <c r="P210" i="11"/>
  <c r="P206" i="11"/>
  <c r="P202" i="11"/>
  <c r="P198" i="11"/>
  <c r="I194" i="11"/>
  <c r="P194" i="11"/>
  <c r="P190" i="11"/>
  <c r="P186" i="11"/>
  <c r="P182" i="11"/>
  <c r="P178" i="11"/>
  <c r="P174" i="11"/>
  <c r="P170" i="11"/>
  <c r="P166" i="11"/>
  <c r="P162" i="11"/>
  <c r="P158" i="11"/>
  <c r="P154" i="11"/>
  <c r="P150" i="11"/>
  <c r="P146" i="11"/>
  <c r="P142" i="11"/>
  <c r="I138" i="11"/>
  <c r="P138" i="11"/>
  <c r="P134" i="11"/>
  <c r="I130" i="11"/>
  <c r="P130" i="11"/>
  <c r="P126" i="11"/>
  <c r="P122" i="11"/>
  <c r="P118" i="11"/>
  <c r="P114" i="11"/>
  <c r="P110" i="11"/>
  <c r="P106" i="11"/>
  <c r="P102" i="11"/>
  <c r="P98" i="11"/>
  <c r="P94" i="11"/>
  <c r="P90" i="11"/>
  <c r="P86" i="11"/>
  <c r="P82" i="11"/>
  <c r="P78" i="11"/>
  <c r="I74" i="11"/>
  <c r="P74" i="11"/>
  <c r="P70" i="11"/>
  <c r="I66" i="11"/>
  <c r="P66" i="11"/>
  <c r="P62" i="11"/>
  <c r="P58" i="11"/>
  <c r="P54" i="11"/>
  <c r="P50" i="11"/>
  <c r="P46" i="11"/>
  <c r="P42" i="11"/>
  <c r="P38" i="11"/>
  <c r="P34" i="11"/>
  <c r="P30" i="11"/>
  <c r="I26" i="11"/>
  <c r="P26" i="11"/>
  <c r="W26" i="11" s="1"/>
  <c r="P22" i="11"/>
  <c r="W22" i="11" s="1"/>
  <c r="P18" i="11"/>
  <c r="W18" i="11" s="1"/>
  <c r="P14" i="11"/>
  <c r="U256" i="46"/>
  <c r="H252" i="46"/>
  <c r="U248" i="46"/>
  <c r="H244" i="46"/>
  <c r="U240" i="46"/>
  <c r="U236" i="46"/>
  <c r="U232" i="46"/>
  <c r="H228" i="46"/>
  <c r="U224" i="46"/>
  <c r="H220" i="46"/>
  <c r="U216" i="46"/>
  <c r="H212" i="46"/>
  <c r="U208" i="46"/>
  <c r="U200" i="46"/>
  <c r="H196" i="46"/>
  <c r="U192" i="46"/>
  <c r="H188" i="46"/>
  <c r="H180" i="46"/>
  <c r="H176" i="46"/>
  <c r="H172" i="46"/>
  <c r="H160" i="46"/>
  <c r="H156" i="46"/>
  <c r="H148" i="46"/>
  <c r="U144" i="46"/>
  <c r="H128" i="46"/>
  <c r="U108" i="46"/>
  <c r="H104" i="46"/>
  <c r="U80" i="46"/>
  <c r="H64" i="46"/>
  <c r="U44" i="46"/>
  <c r="T256" i="59"/>
  <c r="T252" i="59"/>
  <c r="T248" i="59"/>
  <c r="T244" i="59"/>
  <c r="T240" i="59"/>
  <c r="T236" i="59"/>
  <c r="T232" i="59"/>
  <c r="T228" i="59"/>
  <c r="I224" i="59"/>
  <c r="T224" i="59"/>
  <c r="T220" i="59"/>
  <c r="I216" i="59"/>
  <c r="T216" i="59"/>
  <c r="T212" i="59"/>
  <c r="I208" i="59"/>
  <c r="T208" i="59"/>
  <c r="T204" i="59"/>
  <c r="T200" i="59"/>
  <c r="T196" i="59"/>
  <c r="T192" i="59"/>
  <c r="T188" i="59"/>
  <c r="T184" i="59"/>
  <c r="T180" i="59"/>
  <c r="T176" i="59"/>
  <c r="T172" i="59"/>
  <c r="I168" i="59"/>
  <c r="T168" i="59"/>
  <c r="T164" i="59"/>
  <c r="I160" i="59"/>
  <c r="T160" i="59"/>
  <c r="T156" i="59"/>
  <c r="I152" i="59"/>
  <c r="T152" i="59"/>
  <c r="T148" i="59"/>
  <c r="I144" i="59"/>
  <c r="T144" i="59"/>
  <c r="T140" i="59"/>
  <c r="T136" i="59"/>
  <c r="T132" i="59"/>
  <c r="T128" i="59"/>
  <c r="T124" i="59"/>
  <c r="I120" i="59"/>
  <c r="T120" i="59"/>
  <c r="T116" i="59"/>
  <c r="T112" i="59"/>
  <c r="T108" i="59"/>
  <c r="I104" i="59"/>
  <c r="T104" i="59"/>
  <c r="T100" i="59"/>
  <c r="I96" i="59"/>
  <c r="T96" i="59"/>
  <c r="T92" i="59"/>
  <c r="I88" i="59"/>
  <c r="T88" i="59"/>
  <c r="T84" i="59"/>
  <c r="I80" i="59"/>
  <c r="T80" i="59"/>
  <c r="T76" i="59"/>
  <c r="T72" i="59"/>
  <c r="I68" i="59"/>
  <c r="T68" i="59"/>
  <c r="T64" i="59"/>
  <c r="T60" i="59"/>
  <c r="T56" i="59"/>
  <c r="T52" i="59"/>
  <c r="T48" i="59"/>
  <c r="T44" i="59"/>
  <c r="T40" i="59"/>
  <c r="T36" i="59"/>
  <c r="T32" i="59"/>
  <c r="T28" i="59"/>
  <c r="T24" i="59"/>
  <c r="T20" i="59"/>
  <c r="T16" i="59"/>
  <c r="I12" i="59"/>
  <c r="U192" i="71"/>
  <c r="U176" i="71"/>
  <c r="U168" i="71"/>
  <c r="U152" i="71"/>
  <c r="U144" i="71"/>
  <c r="U136" i="71"/>
  <c r="U128" i="71"/>
  <c r="U112" i="71"/>
  <c r="U104" i="71"/>
  <c r="U88" i="71"/>
  <c r="U80" i="71"/>
  <c r="U72" i="71"/>
  <c r="U64" i="71"/>
  <c r="U56" i="71"/>
  <c r="U48" i="71"/>
  <c r="U40" i="71"/>
  <c r="U32" i="71"/>
  <c r="U24" i="71"/>
  <c r="U16" i="71"/>
  <c r="P247" i="11"/>
  <c r="P231" i="11"/>
  <c r="P215" i="11"/>
  <c r="P195" i="11"/>
  <c r="P171" i="11"/>
  <c r="P13" i="11"/>
  <c r="W13" i="11" s="1"/>
  <c r="P253" i="11"/>
  <c r="P245" i="11"/>
  <c r="P237" i="11"/>
  <c r="P229" i="11"/>
  <c r="P221" i="11"/>
  <c r="P213" i="11"/>
  <c r="P205" i="11"/>
  <c r="P197" i="11"/>
  <c r="P189" i="11"/>
  <c r="P181" i="11"/>
  <c r="P173" i="11"/>
  <c r="P165" i="11"/>
  <c r="P157" i="11"/>
  <c r="P149" i="11"/>
  <c r="P137" i="11"/>
  <c r="P129" i="11"/>
  <c r="P121" i="11"/>
  <c r="P113" i="11"/>
  <c r="P105" i="11"/>
  <c r="P97" i="11"/>
  <c r="P89" i="11"/>
  <c r="P81" i="11"/>
  <c r="P73" i="11"/>
  <c r="P65" i="11"/>
  <c r="P57" i="11"/>
  <c r="P49" i="11"/>
  <c r="P41" i="11"/>
  <c r="P25" i="11"/>
  <c r="W25" i="11" s="1"/>
  <c r="H215" i="46"/>
  <c r="H199" i="46"/>
  <c r="U191" i="46"/>
  <c r="U183" i="46"/>
  <c r="H175" i="46"/>
  <c r="U171" i="46"/>
  <c r="H159" i="46"/>
  <c r="H143" i="46"/>
  <c r="U135" i="46"/>
  <c r="H127" i="46"/>
  <c r="H103" i="46"/>
  <c r="H87" i="46"/>
  <c r="H79" i="46"/>
  <c r="U71" i="46"/>
  <c r="H63" i="46"/>
  <c r="T255" i="59"/>
  <c r="T251" i="59"/>
  <c r="T247" i="59"/>
  <c r="T243" i="59"/>
  <c r="T239" i="59"/>
  <c r="T235" i="59"/>
  <c r="T231" i="59"/>
  <c r="T227" i="59"/>
  <c r="T223" i="59"/>
  <c r="T219" i="59"/>
  <c r="T215" i="59"/>
  <c r="T211" i="59"/>
  <c r="T207" i="59"/>
  <c r="T203" i="59"/>
  <c r="T199" i="59"/>
  <c r="T195" i="59"/>
  <c r="T191" i="59"/>
  <c r="T187" i="59"/>
  <c r="T183" i="59"/>
  <c r="T179" i="59"/>
  <c r="T175" i="59"/>
  <c r="T171" i="59"/>
  <c r="T167" i="59"/>
  <c r="T163" i="59"/>
  <c r="I159" i="59"/>
  <c r="T159" i="59"/>
  <c r="T155" i="59"/>
  <c r="T151" i="59"/>
  <c r="T147" i="59"/>
  <c r="T143" i="59"/>
  <c r="T139" i="59"/>
  <c r="T135" i="59"/>
  <c r="T131" i="59"/>
  <c r="T127" i="59"/>
  <c r="T123" i="59"/>
  <c r="T119" i="59"/>
  <c r="T115" i="59"/>
  <c r="T111" i="59"/>
  <c r="T107" i="59"/>
  <c r="T103" i="59"/>
  <c r="T99" i="59"/>
  <c r="T95" i="59"/>
  <c r="T91" i="59"/>
  <c r="T87" i="59"/>
  <c r="T83" i="59"/>
  <c r="T79" i="59"/>
  <c r="T75" i="59"/>
  <c r="T71" i="59"/>
  <c r="T67" i="59"/>
  <c r="T63" i="59"/>
  <c r="T59" i="59"/>
  <c r="T55" i="59"/>
  <c r="T51" i="59"/>
  <c r="T47" i="59"/>
  <c r="T43" i="59"/>
  <c r="T39" i="59"/>
  <c r="T35" i="59"/>
  <c r="T31" i="59"/>
  <c r="T27" i="59"/>
  <c r="T23" i="59"/>
  <c r="T19" i="59"/>
  <c r="U191" i="71"/>
  <c r="U183" i="71"/>
  <c r="U175" i="71"/>
  <c r="U167" i="71"/>
  <c r="U159" i="71"/>
  <c r="U151" i="71"/>
  <c r="U143" i="71"/>
  <c r="U135" i="71"/>
  <c r="U127" i="71"/>
  <c r="U119" i="71"/>
  <c r="U111" i="71"/>
  <c r="U103" i="71"/>
  <c r="U95" i="71"/>
  <c r="U87" i="71"/>
  <c r="U79" i="71"/>
  <c r="U71" i="71"/>
  <c r="U63" i="71"/>
  <c r="U55" i="71"/>
  <c r="U47" i="71"/>
  <c r="U39" i="71"/>
  <c r="U31" i="71"/>
  <c r="U23" i="71"/>
  <c r="U15" i="71"/>
  <c r="U249" i="71"/>
  <c r="U34" i="46"/>
  <c r="I56" i="59"/>
  <c r="I157" i="59"/>
  <c r="I49" i="59"/>
  <c r="I248" i="59"/>
  <c r="I102" i="59"/>
  <c r="I232" i="59"/>
  <c r="I95" i="59"/>
  <c r="I18" i="11"/>
  <c r="H24" i="46"/>
  <c r="I141" i="59"/>
  <c r="I93" i="59"/>
  <c r="I47" i="59"/>
  <c r="H16" i="46"/>
  <c r="I86" i="59"/>
  <c r="I40" i="59"/>
  <c r="I184" i="59"/>
  <c r="I77" i="59"/>
  <c r="I38" i="59"/>
  <c r="I31" i="59"/>
  <c r="I111" i="59"/>
  <c r="I29" i="59"/>
  <c r="I22" i="59"/>
  <c r="I172" i="11"/>
  <c r="I164" i="11"/>
  <c r="I156" i="11"/>
  <c r="I148" i="11"/>
  <c r="I140" i="11"/>
  <c r="I132" i="11"/>
  <c r="I124" i="11"/>
  <c r="I116" i="11"/>
  <c r="I108" i="11"/>
  <c r="I100" i="11"/>
  <c r="I92" i="11"/>
  <c r="I84" i="11"/>
  <c r="I76" i="11"/>
  <c r="I68" i="11"/>
  <c r="I60" i="11"/>
  <c r="I52" i="11"/>
  <c r="I44" i="11"/>
  <c r="I36" i="11"/>
  <c r="I238" i="11"/>
  <c r="I236" i="11"/>
  <c r="I180" i="11"/>
  <c r="I11" i="11"/>
  <c r="I251" i="11"/>
  <c r="I243" i="11"/>
  <c r="I235" i="11"/>
  <c r="I227" i="11"/>
  <c r="I219" i="11"/>
  <c r="I211" i="11"/>
  <c r="I203" i="11"/>
  <c r="I195" i="11"/>
  <c r="I187" i="11"/>
  <c r="I179" i="11"/>
  <c r="I171" i="11"/>
  <c r="I163" i="11"/>
  <c r="I155" i="11"/>
  <c r="I147" i="11"/>
  <c r="I139" i="11"/>
  <c r="I131" i="11"/>
  <c r="I123" i="11"/>
  <c r="I115" i="11"/>
  <c r="I107" i="11"/>
  <c r="I99" i="11"/>
  <c r="I91" i="11"/>
  <c r="I83" i="11"/>
  <c r="I75" i="11"/>
  <c r="I67" i="11"/>
  <c r="I59" i="11"/>
  <c r="I51" i="11"/>
  <c r="I43" i="11"/>
  <c r="I35" i="11"/>
  <c r="I27" i="11"/>
  <c r="I256" i="11"/>
  <c r="I224" i="11"/>
  <c r="I192" i="11"/>
  <c r="I246" i="11"/>
  <c r="I244" i="11"/>
  <c r="I204" i="11"/>
  <c r="I42" i="11"/>
  <c r="I34" i="11"/>
  <c r="I250" i="11"/>
  <c r="I218" i="11"/>
  <c r="I186" i="11"/>
  <c r="I122" i="11"/>
  <c r="I58" i="11"/>
  <c r="I230" i="11"/>
  <c r="I252" i="11"/>
  <c r="I212" i="11"/>
  <c r="I257" i="11"/>
  <c r="I249" i="11"/>
  <c r="I241" i="11"/>
  <c r="I233" i="11"/>
  <c r="I225" i="11"/>
  <c r="I217" i="11"/>
  <c r="I209" i="11"/>
  <c r="I201" i="11"/>
  <c r="I193" i="11"/>
  <c r="I185" i="11"/>
  <c r="I177" i="11"/>
  <c r="I169" i="11"/>
  <c r="I161" i="11"/>
  <c r="I153" i="11"/>
  <c r="I145" i="11"/>
  <c r="I137" i="11"/>
  <c r="I129" i="11"/>
  <c r="I121" i="11"/>
  <c r="I113" i="11"/>
  <c r="I105" i="11"/>
  <c r="I97" i="11"/>
  <c r="I89" i="11"/>
  <c r="I81" i="11"/>
  <c r="I73" i="11"/>
  <c r="I65" i="11"/>
  <c r="I57" i="11"/>
  <c r="I49" i="11"/>
  <c r="I41" i="11"/>
  <c r="I33" i="11"/>
  <c r="I25" i="11"/>
  <c r="I17" i="11"/>
  <c r="I178" i="11"/>
  <c r="I114" i="11"/>
  <c r="I50" i="11"/>
  <c r="I12" i="11"/>
  <c r="I220" i="11"/>
  <c r="I196" i="11"/>
  <c r="I184" i="11"/>
  <c r="I176" i="11"/>
  <c r="I168" i="11"/>
  <c r="I160" i="11"/>
  <c r="I152" i="11"/>
  <c r="I144" i="11"/>
  <c r="I136" i="11"/>
  <c r="I128" i="11"/>
  <c r="I120" i="11"/>
  <c r="I112" i="11"/>
  <c r="I104" i="11"/>
  <c r="I96" i="11"/>
  <c r="I88" i="11"/>
  <c r="I80" i="11"/>
  <c r="I72" i="11"/>
  <c r="I64" i="11"/>
  <c r="I56" i="11"/>
  <c r="I48" i="11"/>
  <c r="I40" i="11"/>
  <c r="I32" i="11"/>
  <c r="I24" i="11"/>
  <c r="I16" i="11"/>
  <c r="I242" i="11"/>
  <c r="I210" i="11"/>
  <c r="I170" i="11"/>
  <c r="I106" i="11"/>
  <c r="I222" i="11"/>
  <c r="I228" i="11"/>
  <c r="I188" i="11"/>
  <c r="I255" i="11"/>
  <c r="I247" i="11"/>
  <c r="I239" i="11"/>
  <c r="I231" i="11"/>
  <c r="I223" i="11"/>
  <c r="I215" i="11"/>
  <c r="I207" i="11"/>
  <c r="I199" i="11"/>
  <c r="I191" i="11"/>
  <c r="I183" i="11"/>
  <c r="I175" i="11"/>
  <c r="I167" i="11"/>
  <c r="I159" i="11"/>
  <c r="I151" i="11"/>
  <c r="I143" i="11"/>
  <c r="I135" i="11"/>
  <c r="I127" i="11"/>
  <c r="I119" i="11"/>
  <c r="I111" i="11"/>
  <c r="I103" i="11"/>
  <c r="I95" i="11"/>
  <c r="I87" i="11"/>
  <c r="I79" i="11"/>
  <c r="I71" i="11"/>
  <c r="I63" i="11"/>
  <c r="I55" i="11"/>
  <c r="I47" i="11"/>
  <c r="I39" i="11"/>
  <c r="I31" i="11"/>
  <c r="I23" i="11"/>
  <c r="I15" i="11"/>
  <c r="I240" i="11"/>
  <c r="I208" i="11"/>
  <c r="I162" i="11"/>
  <c r="I98" i="11"/>
  <c r="I254" i="11"/>
  <c r="I214" i="11"/>
  <c r="I206" i="11"/>
  <c r="I198" i="11"/>
  <c r="I190" i="11"/>
  <c r="I182" i="11"/>
  <c r="I174" i="11"/>
  <c r="I166" i="11"/>
  <c r="I158" i="11"/>
  <c r="I150" i="11"/>
  <c r="I142" i="11"/>
  <c r="I134" i="11"/>
  <c r="I126" i="11"/>
  <c r="I118" i="11"/>
  <c r="I110" i="11"/>
  <c r="I102" i="11"/>
  <c r="I94" i="11"/>
  <c r="I86" i="11"/>
  <c r="I78" i="11"/>
  <c r="I70" i="11"/>
  <c r="I62" i="11"/>
  <c r="I54" i="11"/>
  <c r="I46" i="11"/>
  <c r="I38" i="11"/>
  <c r="I30" i="11"/>
  <c r="I234" i="11"/>
  <c r="I202" i="11"/>
  <c r="I154" i="11"/>
  <c r="I90" i="11"/>
  <c r="I13" i="11"/>
  <c r="I253" i="11"/>
  <c r="I245" i="11"/>
  <c r="I237" i="11"/>
  <c r="I229" i="11"/>
  <c r="I221" i="11"/>
  <c r="I213" i="11"/>
  <c r="I205" i="11"/>
  <c r="I197" i="11"/>
  <c r="I189" i="11"/>
  <c r="I181" i="11"/>
  <c r="I173" i="11"/>
  <c r="I165" i="11"/>
  <c r="I157" i="11"/>
  <c r="I149" i="11"/>
  <c r="I141" i="11"/>
  <c r="I133" i="11"/>
  <c r="I125" i="11"/>
  <c r="I117" i="11"/>
  <c r="I109" i="11"/>
  <c r="I101" i="11"/>
  <c r="I93" i="11"/>
  <c r="I85" i="11"/>
  <c r="I77" i="11"/>
  <c r="I69" i="11"/>
  <c r="I61" i="11"/>
  <c r="I53" i="11"/>
  <c r="I45" i="11"/>
  <c r="I37" i="11"/>
  <c r="I29" i="11"/>
  <c r="I21" i="11"/>
  <c r="I232" i="11"/>
  <c r="I200" i="11"/>
  <c r="I146" i="11"/>
  <c r="I82" i="11"/>
  <c r="I22" i="11"/>
  <c r="I28" i="11"/>
  <c r="I20" i="11"/>
  <c r="I14" i="11"/>
  <c r="I19" i="11"/>
  <c r="U251" i="46"/>
  <c r="U243" i="46"/>
  <c r="U235" i="46"/>
  <c r="U219" i="46"/>
  <c r="U211" i="46"/>
  <c r="U203" i="46"/>
  <c r="U195" i="46"/>
  <c r="U187" i="46"/>
  <c r="U179" i="46"/>
  <c r="H163" i="46"/>
  <c r="U155" i="46"/>
  <c r="H155" i="46"/>
  <c r="U147" i="46"/>
  <c r="H147" i="46"/>
  <c r="U139" i="46"/>
  <c r="H139" i="46"/>
  <c r="H131" i="46"/>
  <c r="U131" i="46"/>
  <c r="H123" i="46"/>
  <c r="U123" i="46"/>
  <c r="H115" i="46"/>
  <c r="U115" i="46"/>
  <c r="H107" i="46"/>
  <c r="U107" i="46"/>
  <c r="H99" i="46"/>
  <c r="U91" i="46"/>
  <c r="H91" i="46"/>
  <c r="U83" i="46"/>
  <c r="H83" i="46"/>
  <c r="U75" i="46"/>
  <c r="H75" i="46"/>
  <c r="H67" i="46"/>
  <c r="U67" i="46"/>
  <c r="H59" i="46"/>
  <c r="U59" i="46"/>
  <c r="H51" i="46"/>
  <c r="U51" i="46"/>
  <c r="H43" i="46"/>
  <c r="U43" i="46"/>
  <c r="H35" i="46"/>
  <c r="U27" i="46"/>
  <c r="H27" i="46"/>
  <c r="U19" i="46"/>
  <c r="H19" i="46"/>
  <c r="H255" i="46"/>
  <c r="H216" i="46"/>
  <c r="H203" i="46"/>
  <c r="H191" i="46"/>
  <c r="H164" i="46"/>
  <c r="H34" i="46"/>
  <c r="H11" i="46"/>
  <c r="U250" i="46"/>
  <c r="U242" i="46"/>
  <c r="U234" i="46"/>
  <c r="U226" i="46"/>
  <c r="U210" i="46"/>
  <c r="U202" i="46"/>
  <c r="U194" i="46"/>
  <c r="U186" i="46"/>
  <c r="U178" i="46"/>
  <c r="U170" i="46"/>
  <c r="U138" i="46"/>
  <c r="U130" i="46"/>
  <c r="U122" i="46"/>
  <c r="U114" i="46"/>
  <c r="U106" i="46"/>
  <c r="U82" i="46"/>
  <c r="U74" i="46"/>
  <c r="U66" i="46"/>
  <c r="U58" i="46"/>
  <c r="U50" i="46"/>
  <c r="U42" i="46"/>
  <c r="U18" i="46"/>
  <c r="H240" i="46"/>
  <c r="H227" i="46"/>
  <c r="H202" i="46"/>
  <c r="H162" i="46"/>
  <c r="H146" i="46"/>
  <c r="H82" i="46"/>
  <c r="U35" i="46"/>
  <c r="H12" i="46"/>
  <c r="U12" i="46"/>
  <c r="H249" i="46"/>
  <c r="U249" i="46"/>
  <c r="H241" i="46"/>
  <c r="U241" i="46"/>
  <c r="H233" i="46"/>
  <c r="U233" i="46"/>
  <c r="H225" i="46"/>
  <c r="U225" i="46"/>
  <c r="H217" i="46"/>
  <c r="U217" i="46"/>
  <c r="H209" i="46"/>
  <c r="U201" i="46"/>
  <c r="H201" i="46"/>
  <c r="H193" i="46"/>
  <c r="U193" i="46"/>
  <c r="H185" i="46"/>
  <c r="U185" i="46"/>
  <c r="H177" i="46"/>
  <c r="U177" i="46"/>
  <c r="H169" i="46"/>
  <c r="U169" i="46"/>
  <c r="H161" i="46"/>
  <c r="U161" i="46"/>
  <c r="H153" i="46"/>
  <c r="U153" i="46"/>
  <c r="H145" i="46"/>
  <c r="U137" i="46"/>
  <c r="H137" i="46"/>
  <c r="H129" i="46"/>
  <c r="U129" i="46"/>
  <c r="H121" i="46"/>
  <c r="U121" i="46"/>
  <c r="H113" i="46"/>
  <c r="U113" i="46"/>
  <c r="H105" i="46"/>
  <c r="U105" i="46"/>
  <c r="H97" i="46"/>
  <c r="U97" i="46"/>
  <c r="H89" i="46"/>
  <c r="U89" i="46"/>
  <c r="H81" i="46"/>
  <c r="U73" i="46"/>
  <c r="H73" i="46"/>
  <c r="H65" i="46"/>
  <c r="U65" i="46"/>
  <c r="H57" i="46"/>
  <c r="U57" i="46"/>
  <c r="H49" i="46"/>
  <c r="U49" i="46"/>
  <c r="H41" i="46"/>
  <c r="U41" i="46"/>
  <c r="H251" i="46"/>
  <c r="H226" i="46"/>
  <c r="H200" i="46"/>
  <c r="H187" i="46"/>
  <c r="H144" i="46"/>
  <c r="H122" i="46"/>
  <c r="H80" i="46"/>
  <c r="H58" i="46"/>
  <c r="H26" i="46"/>
  <c r="U172" i="46"/>
  <c r="U99" i="46"/>
  <c r="U26" i="46"/>
  <c r="U184" i="46"/>
  <c r="U176" i="46"/>
  <c r="U168" i="46"/>
  <c r="U160" i="46"/>
  <c r="U152" i="46"/>
  <c r="U128" i="46"/>
  <c r="U120" i="46"/>
  <c r="U112" i="46"/>
  <c r="U104" i="46"/>
  <c r="U96" i="46"/>
  <c r="U88" i="46"/>
  <c r="U64" i="46"/>
  <c r="U56" i="46"/>
  <c r="U48" i="46"/>
  <c r="U40" i="46"/>
  <c r="H250" i="46"/>
  <c r="H236" i="46"/>
  <c r="H224" i="46"/>
  <c r="H211" i="46"/>
  <c r="H186" i="46"/>
  <c r="H120" i="46"/>
  <c r="H98" i="46"/>
  <c r="H56" i="46"/>
  <c r="U163" i="46"/>
  <c r="U90" i="46"/>
  <c r="U247" i="46"/>
  <c r="U239" i="46"/>
  <c r="U231" i="46"/>
  <c r="U223" i="46"/>
  <c r="U215" i="46"/>
  <c r="U207" i="46"/>
  <c r="U199" i="46"/>
  <c r="U175" i="46"/>
  <c r="U167" i="46"/>
  <c r="U159" i="46"/>
  <c r="U151" i="46"/>
  <c r="U143" i="46"/>
  <c r="U119" i="46"/>
  <c r="U111" i="46"/>
  <c r="U103" i="46"/>
  <c r="U95" i="46"/>
  <c r="U87" i="46"/>
  <c r="U79" i="46"/>
  <c r="U55" i="46"/>
  <c r="H55" i="46"/>
  <c r="U47" i="46"/>
  <c r="H47" i="46"/>
  <c r="U39" i="46"/>
  <c r="H39" i="46"/>
  <c r="U31" i="46"/>
  <c r="H31" i="46"/>
  <c r="U23" i="46"/>
  <c r="H23" i="46"/>
  <c r="U15" i="46"/>
  <c r="H15" i="46"/>
  <c r="H248" i="46"/>
  <c r="H235" i="46"/>
  <c r="H223" i="46"/>
  <c r="H210" i="46"/>
  <c r="H184" i="46"/>
  <c r="H171" i="46"/>
  <c r="H138" i="46"/>
  <c r="H119" i="46"/>
  <c r="H96" i="46"/>
  <c r="H74" i="46"/>
  <c r="H50" i="46"/>
  <c r="H18" i="46"/>
  <c r="U227" i="46"/>
  <c r="U154" i="46"/>
  <c r="U81" i="46"/>
  <c r="U254" i="46"/>
  <c r="H254" i="46"/>
  <c r="U246" i="46"/>
  <c r="H246" i="46"/>
  <c r="U238" i="46"/>
  <c r="H238" i="46"/>
  <c r="U230" i="46"/>
  <c r="H230" i="46"/>
  <c r="U222" i="46"/>
  <c r="H222" i="46"/>
  <c r="U214" i="46"/>
  <c r="H214" i="46"/>
  <c r="U206" i="46"/>
  <c r="H206" i="46"/>
  <c r="U198" i="46"/>
  <c r="H198" i="46"/>
  <c r="U190" i="46"/>
  <c r="H190" i="46"/>
  <c r="U182" i="46"/>
  <c r="H182" i="46"/>
  <c r="U174" i="46"/>
  <c r="H174" i="46"/>
  <c r="U166" i="46"/>
  <c r="H166" i="46"/>
  <c r="U158" i="46"/>
  <c r="H158" i="46"/>
  <c r="U150" i="46"/>
  <c r="H150" i="46"/>
  <c r="U142" i="46"/>
  <c r="H142" i="46"/>
  <c r="U134" i="46"/>
  <c r="H134" i="46"/>
  <c r="U126" i="46"/>
  <c r="H126" i="46"/>
  <c r="U118" i="46"/>
  <c r="H118" i="46"/>
  <c r="U110" i="46"/>
  <c r="H110" i="46"/>
  <c r="U102" i="46"/>
  <c r="H102" i="46"/>
  <c r="U94" i="46"/>
  <c r="H94" i="46"/>
  <c r="U86" i="46"/>
  <c r="H86" i="46"/>
  <c r="U78" i="46"/>
  <c r="H78" i="46"/>
  <c r="U70" i="46"/>
  <c r="H70" i="46"/>
  <c r="U62" i="46"/>
  <c r="H62" i="46"/>
  <c r="U54" i="46"/>
  <c r="H54" i="46"/>
  <c r="U46" i="46"/>
  <c r="H46" i="46"/>
  <c r="U38" i="46"/>
  <c r="H38" i="46"/>
  <c r="U30" i="46"/>
  <c r="H30" i="46"/>
  <c r="U22" i="46"/>
  <c r="H22" i="46"/>
  <c r="U14" i="46"/>
  <c r="H14" i="46"/>
  <c r="H247" i="46"/>
  <c r="H234" i="46"/>
  <c r="H208" i="46"/>
  <c r="H195" i="46"/>
  <c r="H183" i="46"/>
  <c r="H170" i="46"/>
  <c r="H154" i="46"/>
  <c r="H136" i="46"/>
  <c r="H114" i="46"/>
  <c r="H95" i="46"/>
  <c r="H72" i="46"/>
  <c r="H48" i="46"/>
  <c r="U218" i="46"/>
  <c r="U145" i="46"/>
  <c r="U72" i="46"/>
  <c r="H253" i="46"/>
  <c r="U253" i="46"/>
  <c r="H245" i="46"/>
  <c r="U237" i="46"/>
  <c r="H237" i="46"/>
  <c r="U229" i="46"/>
  <c r="H229" i="46"/>
  <c r="U221" i="46"/>
  <c r="H221" i="46"/>
  <c r="U213" i="46"/>
  <c r="H213" i="46"/>
  <c r="U205" i="46"/>
  <c r="H205" i="46"/>
  <c r="H197" i="46"/>
  <c r="U197" i="46"/>
  <c r="H189" i="46"/>
  <c r="U189" i="46"/>
  <c r="H181" i="46"/>
  <c r="U173" i="46"/>
  <c r="H173" i="46"/>
  <c r="U165" i="46"/>
  <c r="H165" i="46"/>
  <c r="U157" i="46"/>
  <c r="H157" i="46"/>
  <c r="U149" i="46"/>
  <c r="H149" i="46"/>
  <c r="U141" i="46"/>
  <c r="H141" i="46"/>
  <c r="H133" i="46"/>
  <c r="U133" i="46"/>
  <c r="H125" i="46"/>
  <c r="U125" i="46"/>
  <c r="H117" i="46"/>
  <c r="U109" i="46"/>
  <c r="H109" i="46"/>
  <c r="U101" i="46"/>
  <c r="H101" i="46"/>
  <c r="U93" i="46"/>
  <c r="H93" i="46"/>
  <c r="U85" i="46"/>
  <c r="H85" i="46"/>
  <c r="U77" i="46"/>
  <c r="H77" i="46"/>
  <c r="H69" i="46"/>
  <c r="U69" i="46"/>
  <c r="H61" i="46"/>
  <c r="U61" i="46"/>
  <c r="H53" i="46"/>
  <c r="U45" i="46"/>
  <c r="H45" i="46"/>
  <c r="U37" i="46"/>
  <c r="H37" i="46"/>
  <c r="U29" i="46"/>
  <c r="H29" i="46"/>
  <c r="U21" i="46"/>
  <c r="H21" i="46"/>
  <c r="U13" i="46"/>
  <c r="H13" i="46"/>
  <c r="H232" i="46"/>
  <c r="H219" i="46"/>
  <c r="H207" i="46"/>
  <c r="H194" i="46"/>
  <c r="H168" i="46"/>
  <c r="H152" i="46"/>
  <c r="H135" i="46"/>
  <c r="H112" i="46"/>
  <c r="H90" i="46"/>
  <c r="H71" i="46"/>
  <c r="H42" i="46"/>
  <c r="U209" i="46"/>
  <c r="U136" i="46"/>
  <c r="U63" i="46"/>
  <c r="U252" i="46"/>
  <c r="U244" i="46"/>
  <c r="U228" i="46"/>
  <c r="U220" i="46"/>
  <c r="U212" i="46"/>
  <c r="U204" i="46"/>
  <c r="U196" i="46"/>
  <c r="U188" i="46"/>
  <c r="U180" i="46"/>
  <c r="U164" i="46"/>
  <c r="U156" i="46"/>
  <c r="U148" i="46"/>
  <c r="U140" i="46"/>
  <c r="H140" i="46"/>
  <c r="H132" i="46"/>
  <c r="U132" i="46"/>
  <c r="H124" i="46"/>
  <c r="U124" i="46"/>
  <c r="H116" i="46"/>
  <c r="U116" i="46"/>
  <c r="H108" i="46"/>
  <c r="U100" i="46"/>
  <c r="H100" i="46"/>
  <c r="U92" i="46"/>
  <c r="H92" i="46"/>
  <c r="U84" i="46"/>
  <c r="H84" i="46"/>
  <c r="U76" i="46"/>
  <c r="H76" i="46"/>
  <c r="H68" i="46"/>
  <c r="U68" i="46"/>
  <c r="H60" i="46"/>
  <c r="U60" i="46"/>
  <c r="H52" i="46"/>
  <c r="U52" i="46"/>
  <c r="H44" i="46"/>
  <c r="U36" i="46"/>
  <c r="H36" i="46"/>
  <c r="U28" i="46"/>
  <c r="H28" i="46"/>
  <c r="H256" i="46"/>
  <c r="H243" i="46"/>
  <c r="H231" i="46"/>
  <c r="H218" i="46"/>
  <c r="H204" i="46"/>
  <c r="H192" i="46"/>
  <c r="H179" i="46"/>
  <c r="H167" i="46"/>
  <c r="H151" i="46"/>
  <c r="H130" i="46"/>
  <c r="H111" i="46"/>
  <c r="H88" i="46"/>
  <c r="H66" i="46"/>
  <c r="H40" i="46"/>
  <c r="U127" i="46"/>
  <c r="U53" i="46"/>
  <c r="U25" i="46"/>
  <c r="U33" i="46"/>
  <c r="H20" i="46"/>
  <c r="U20" i="46"/>
  <c r="I253" i="59"/>
  <c r="I245" i="59"/>
  <c r="I237" i="59"/>
  <c r="I229" i="59"/>
  <c r="I221" i="59"/>
  <c r="I213" i="59"/>
  <c r="I205" i="59"/>
  <c r="H17" i="46"/>
  <c r="I252" i="59"/>
  <c r="I244" i="59"/>
  <c r="I236" i="59"/>
  <c r="I228" i="59"/>
  <c r="I220" i="59"/>
  <c r="I212" i="59"/>
  <c r="I204" i="59"/>
  <c r="I188" i="59"/>
  <c r="I180" i="59"/>
  <c r="I172" i="59"/>
  <c r="I164" i="59"/>
  <c r="I156" i="59"/>
  <c r="I148" i="59"/>
  <c r="I140" i="59"/>
  <c r="I124" i="59"/>
  <c r="I116" i="59"/>
  <c r="I108" i="59"/>
  <c r="I100" i="59"/>
  <c r="I92" i="59"/>
  <c r="I84" i="59"/>
  <c r="I76" i="59"/>
  <c r="I60" i="59"/>
  <c r="I52" i="59"/>
  <c r="I44" i="59"/>
  <c r="I36" i="59"/>
  <c r="I28" i="59"/>
  <c r="I20" i="59"/>
  <c r="I196" i="59"/>
  <c r="I258" i="59"/>
  <c r="I242" i="59"/>
  <c r="I234" i="59"/>
  <c r="I226" i="59"/>
  <c r="I218" i="59"/>
  <c r="I210" i="59"/>
  <c r="I202" i="59"/>
  <c r="I194" i="59"/>
  <c r="I178" i="59"/>
  <c r="I170" i="59"/>
  <c r="I162" i="59"/>
  <c r="I154" i="59"/>
  <c r="I146" i="59"/>
  <c r="I138" i="59"/>
  <c r="I130" i="59"/>
  <c r="I114" i="59"/>
  <c r="I106" i="59"/>
  <c r="I98" i="59"/>
  <c r="I90" i="59"/>
  <c r="I82" i="59"/>
  <c r="I74" i="59"/>
  <c r="I66" i="59"/>
  <c r="I50" i="59"/>
  <c r="I42" i="59"/>
  <c r="I34" i="59"/>
  <c r="I26" i="59"/>
  <c r="I186" i="59"/>
  <c r="I257" i="59"/>
  <c r="I249" i="59"/>
  <c r="I233" i="59"/>
  <c r="I225" i="59"/>
  <c r="I217" i="59"/>
  <c r="I209" i="59"/>
  <c r="I201" i="59"/>
  <c r="I193" i="59"/>
  <c r="I241" i="59"/>
  <c r="I132" i="59"/>
  <c r="I255" i="59"/>
  <c r="I247" i="59"/>
  <c r="I239" i="59"/>
  <c r="I231" i="59"/>
  <c r="I215" i="59"/>
  <c r="I207" i="59"/>
  <c r="I199" i="59"/>
  <c r="I191" i="59"/>
  <c r="I183" i="59"/>
  <c r="I175" i="59"/>
  <c r="I167" i="59"/>
  <c r="I151" i="59"/>
  <c r="I143" i="59"/>
  <c r="I122" i="59"/>
  <c r="I223" i="59"/>
  <c r="I251" i="59"/>
  <c r="I243" i="59"/>
  <c r="I235" i="59"/>
  <c r="I227" i="59"/>
  <c r="I219" i="59"/>
  <c r="I211" i="59"/>
  <c r="I203" i="59"/>
  <c r="I195" i="59"/>
  <c r="I187" i="59"/>
  <c r="I179" i="59"/>
  <c r="I171" i="59"/>
  <c r="I163" i="59"/>
  <c r="I155" i="59"/>
  <c r="I147" i="59"/>
  <c r="I139" i="59"/>
  <c r="I131" i="59"/>
  <c r="I123" i="59"/>
  <c r="I115" i="59"/>
  <c r="I107" i="59"/>
  <c r="I99" i="59"/>
  <c r="I91" i="59"/>
  <c r="I83" i="59"/>
  <c r="I75" i="59"/>
  <c r="I67" i="59"/>
  <c r="I59" i="59"/>
  <c r="I51" i="59"/>
  <c r="I43" i="59"/>
  <c r="I35" i="59"/>
  <c r="I27" i="59"/>
  <c r="I19" i="59"/>
  <c r="I240" i="59"/>
  <c r="I222" i="59"/>
  <c r="I176" i="59"/>
  <c r="I158" i="59"/>
  <c r="I149" i="59"/>
  <c r="I112" i="59"/>
  <c r="I103" i="59"/>
  <c r="I94" i="59"/>
  <c r="I48" i="59"/>
  <c r="I39" i="59"/>
  <c r="I21" i="59"/>
  <c r="I256" i="59"/>
  <c r="I238" i="59"/>
  <c r="I192" i="59"/>
  <c r="I174" i="59"/>
  <c r="I137" i="59"/>
  <c r="I128" i="59"/>
  <c r="I119" i="59"/>
  <c r="I110" i="59"/>
  <c r="I73" i="59"/>
  <c r="I64" i="59"/>
  <c r="I55" i="59"/>
  <c r="I37" i="59"/>
  <c r="I18" i="59"/>
  <c r="I200" i="59"/>
  <c r="I173" i="59"/>
  <c r="I145" i="59"/>
  <c r="I136" i="59"/>
  <c r="I127" i="59"/>
  <c r="I109" i="59"/>
  <c r="I81" i="59"/>
  <c r="I72" i="59"/>
  <c r="I63" i="59"/>
  <c r="I17" i="59"/>
  <c r="I254" i="59"/>
  <c r="I190" i="59"/>
  <c r="I153" i="59"/>
  <c r="I135" i="59"/>
  <c r="I126" i="59"/>
  <c r="I89" i="59"/>
  <c r="I71" i="59"/>
  <c r="I25" i="59"/>
  <c r="I16" i="59"/>
  <c r="I14" i="59"/>
  <c r="I198" i="59"/>
  <c r="I189" i="59"/>
  <c r="I161" i="59"/>
  <c r="I134" i="59"/>
  <c r="I125" i="59"/>
  <c r="I97" i="59"/>
  <c r="I79" i="59"/>
  <c r="I70" i="59"/>
  <c r="I33" i="59"/>
  <c r="I24" i="59"/>
  <c r="I15" i="59"/>
  <c r="I197" i="59"/>
  <c r="I169" i="59"/>
  <c r="I133" i="59"/>
  <c r="I105" i="59"/>
  <c r="I87" i="59"/>
  <c r="I78" i="59"/>
  <c r="I69" i="59"/>
  <c r="I41" i="59"/>
  <c r="I32" i="59"/>
  <c r="I23" i="59"/>
  <c r="I13" i="59"/>
  <c r="U252" i="71"/>
  <c r="U244" i="71"/>
  <c r="U236" i="71"/>
  <c r="U228" i="71"/>
  <c r="U220" i="71"/>
  <c r="U212" i="71"/>
  <c r="U204" i="71"/>
  <c r="U196" i="71"/>
  <c r="U188" i="71"/>
  <c r="U180" i="71"/>
  <c r="U172" i="71"/>
  <c r="U164" i="71"/>
  <c r="U156" i="71"/>
  <c r="U148" i="71"/>
  <c r="U140" i="71"/>
  <c r="U132" i="71"/>
  <c r="U124" i="71"/>
  <c r="U116" i="71"/>
  <c r="U108" i="71"/>
  <c r="U100" i="71"/>
  <c r="U92" i="71"/>
  <c r="U84" i="71"/>
  <c r="U76" i="71"/>
  <c r="U68" i="71"/>
  <c r="U60" i="71"/>
  <c r="U52" i="71"/>
  <c r="U44" i="71"/>
  <c r="U36" i="71"/>
  <c r="U28" i="71"/>
  <c r="U20" i="71"/>
  <c r="U12" i="71"/>
  <c r="U195" i="71"/>
  <c r="U187" i="71"/>
  <c r="U179" i="71"/>
  <c r="U171" i="71"/>
  <c r="U163" i="71"/>
  <c r="U155" i="71"/>
  <c r="U147" i="71"/>
  <c r="U139" i="71"/>
  <c r="U131" i="71"/>
  <c r="U123" i="71"/>
  <c r="U115" i="71"/>
  <c r="U107" i="71"/>
  <c r="U99" i="71"/>
  <c r="U91" i="71"/>
  <c r="U83" i="71"/>
  <c r="U75" i="71"/>
  <c r="U67" i="71"/>
  <c r="U59" i="71"/>
  <c r="U51" i="71"/>
  <c r="U43" i="71"/>
  <c r="U35" i="71"/>
  <c r="U27" i="71"/>
  <c r="U19" i="71"/>
  <c r="H11" i="71"/>
  <c r="U256" i="71"/>
  <c r="U248" i="71"/>
  <c r="U240" i="71"/>
  <c r="U232" i="71"/>
  <c r="U224" i="71"/>
  <c r="U216" i="71"/>
  <c r="U208" i="71"/>
  <c r="U200" i="71"/>
  <c r="U184" i="71"/>
  <c r="U161" i="71"/>
  <c r="U141" i="71"/>
  <c r="U120" i="71"/>
  <c r="U97" i="71"/>
  <c r="U69" i="71"/>
  <c r="U37" i="71"/>
  <c r="U255" i="71"/>
  <c r="U247" i="71"/>
  <c r="U239" i="71"/>
  <c r="U231" i="71"/>
  <c r="U223" i="71"/>
  <c r="U215" i="71"/>
  <c r="U207" i="71"/>
  <c r="U199" i="71"/>
  <c r="U181" i="71"/>
  <c r="U160" i="71"/>
  <c r="U117" i="71"/>
  <c r="U96" i="71"/>
  <c r="U254" i="71"/>
  <c r="U246" i="71"/>
  <c r="U238" i="71"/>
  <c r="U230" i="71"/>
  <c r="U222" i="71"/>
  <c r="U214" i="71"/>
  <c r="U206" i="71"/>
  <c r="U198" i="71"/>
  <c r="U157" i="71"/>
  <c r="U93" i="71"/>
  <c r="U61" i="71"/>
  <c r="U29" i="71"/>
  <c r="U253" i="71"/>
  <c r="U245" i="71"/>
  <c r="U237" i="71"/>
  <c r="U229" i="71"/>
  <c r="U221" i="71"/>
  <c r="U213" i="71"/>
  <c r="U205" i="71"/>
  <c r="U197" i="71"/>
  <c r="U133" i="71"/>
  <c r="U173" i="71"/>
  <c r="U109" i="71"/>
  <c r="U85" i="71"/>
  <c r="U53" i="71"/>
  <c r="U21" i="71"/>
  <c r="U251" i="71"/>
  <c r="U243" i="71"/>
  <c r="U235" i="71"/>
  <c r="U227" i="71"/>
  <c r="U219" i="71"/>
  <c r="U211" i="71"/>
  <c r="U203" i="71"/>
  <c r="I11" i="59"/>
  <c r="P11" i="59"/>
  <c r="AD15" i="11" l="1"/>
  <c r="AD13" i="11"/>
  <c r="Q171" i="11"/>
  <c r="AD171" i="11"/>
  <c r="Q178" i="11"/>
  <c r="AD178" i="11"/>
  <c r="Q115" i="11"/>
  <c r="AD115" i="11"/>
  <c r="Q192" i="11"/>
  <c r="AD192" i="11"/>
  <c r="Q81" i="11"/>
  <c r="AD81" i="11"/>
  <c r="Q149" i="11"/>
  <c r="AD149" i="11"/>
  <c r="Q213" i="11"/>
  <c r="AD213" i="11"/>
  <c r="Q195" i="11"/>
  <c r="AD195" i="11"/>
  <c r="Q38" i="11"/>
  <c r="AD38" i="11"/>
  <c r="Q94" i="11"/>
  <c r="AD94" i="11"/>
  <c r="Q126" i="11"/>
  <c r="AD126" i="11"/>
  <c r="Q150" i="11"/>
  <c r="AD150" i="11"/>
  <c r="Q182" i="11"/>
  <c r="AD182" i="11"/>
  <c r="Q210" i="11"/>
  <c r="AD210" i="11"/>
  <c r="Q238" i="11"/>
  <c r="AD238" i="11"/>
  <c r="Q39" i="11"/>
  <c r="AD39" i="11"/>
  <c r="Q103" i="11"/>
  <c r="AD103" i="11"/>
  <c r="Q175" i="11"/>
  <c r="AD175" i="11"/>
  <c r="Q59" i="11"/>
  <c r="AD59" i="11"/>
  <c r="Q123" i="11"/>
  <c r="AD123" i="11"/>
  <c r="Q211" i="11"/>
  <c r="AD211" i="11"/>
  <c r="Q36" i="11"/>
  <c r="AD36" i="11"/>
  <c r="Q68" i="11"/>
  <c r="AD68" i="11"/>
  <c r="Q100" i="11"/>
  <c r="AD100" i="11"/>
  <c r="Q132" i="11"/>
  <c r="AD132" i="11"/>
  <c r="Q164" i="11"/>
  <c r="AD164" i="11"/>
  <c r="Q196" i="11"/>
  <c r="AD196" i="11"/>
  <c r="Q224" i="11"/>
  <c r="AD224" i="11"/>
  <c r="Q252" i="11"/>
  <c r="AD252" i="11"/>
  <c r="Q33" i="11"/>
  <c r="AD33" i="11"/>
  <c r="Q93" i="11"/>
  <c r="AD93" i="11"/>
  <c r="Q153" i="11"/>
  <c r="AD153" i="11"/>
  <c r="Q217" i="11"/>
  <c r="AD217" i="11"/>
  <c r="Q191" i="11"/>
  <c r="AD191" i="11"/>
  <c r="Q66" i="11"/>
  <c r="AD66" i="11"/>
  <c r="Q163" i="11"/>
  <c r="AD163" i="11"/>
  <c r="Q96" i="11"/>
  <c r="AD96" i="11"/>
  <c r="Q85" i="11"/>
  <c r="AD85" i="11"/>
  <c r="Q89" i="11"/>
  <c r="AD89" i="11"/>
  <c r="Q157" i="11"/>
  <c r="AD157" i="11"/>
  <c r="Q221" i="11"/>
  <c r="AD221" i="11"/>
  <c r="Q215" i="11"/>
  <c r="AD215" i="11"/>
  <c r="Q42" i="11"/>
  <c r="AD42" i="11"/>
  <c r="Q70" i="11"/>
  <c r="AD70" i="11"/>
  <c r="Q98" i="11"/>
  <c r="AD98" i="11"/>
  <c r="Q130" i="11"/>
  <c r="AD130" i="11"/>
  <c r="Q154" i="11"/>
  <c r="AD154" i="11"/>
  <c r="Q186" i="11"/>
  <c r="AD186" i="11"/>
  <c r="Q214" i="11"/>
  <c r="AD214" i="11"/>
  <c r="Q242" i="11"/>
  <c r="AD242" i="11"/>
  <c r="Q47" i="11"/>
  <c r="AD47" i="11"/>
  <c r="Q111" i="11"/>
  <c r="AD111" i="11"/>
  <c r="Q187" i="11"/>
  <c r="AD187" i="11"/>
  <c r="Q67" i="11"/>
  <c r="AD67" i="11"/>
  <c r="Q131" i="11"/>
  <c r="AD131" i="11"/>
  <c r="Q227" i="11"/>
  <c r="AD227" i="11"/>
  <c r="Q40" i="11"/>
  <c r="AD40" i="11"/>
  <c r="Q72" i="11"/>
  <c r="AD72" i="11"/>
  <c r="Q104" i="11"/>
  <c r="AD104" i="11"/>
  <c r="Q136" i="11"/>
  <c r="AD136" i="11"/>
  <c r="Q168" i="11"/>
  <c r="AD168" i="11"/>
  <c r="Q200" i="11"/>
  <c r="AD200" i="11"/>
  <c r="Q228" i="11"/>
  <c r="AD228" i="11"/>
  <c r="Q256" i="11"/>
  <c r="AD256" i="11"/>
  <c r="Q37" i="11"/>
  <c r="AD37" i="11"/>
  <c r="Q101" i="11"/>
  <c r="AD101" i="11"/>
  <c r="Q161" i="11"/>
  <c r="AD161" i="11"/>
  <c r="Q225" i="11"/>
  <c r="AD225" i="11"/>
  <c r="Q203" i="11"/>
  <c r="AD203" i="11"/>
  <c r="Q205" i="11"/>
  <c r="AD205" i="11"/>
  <c r="Q206" i="11"/>
  <c r="AD206" i="11"/>
  <c r="Q199" i="11"/>
  <c r="AD199" i="11"/>
  <c r="Q220" i="11"/>
  <c r="AD220" i="11"/>
  <c r="AD25" i="11"/>
  <c r="Q97" i="11"/>
  <c r="AD97" i="11"/>
  <c r="Q165" i="11"/>
  <c r="AD165" i="11"/>
  <c r="Q229" i="11"/>
  <c r="AD229" i="11"/>
  <c r="Q231" i="11"/>
  <c r="AD231" i="11"/>
  <c r="AD18" i="11"/>
  <c r="Q46" i="11"/>
  <c r="AD46" i="11"/>
  <c r="Q74" i="11"/>
  <c r="AD74" i="11"/>
  <c r="Q102" i="11"/>
  <c r="AD102" i="11"/>
  <c r="Q158" i="11"/>
  <c r="AD158" i="11"/>
  <c r="Q190" i="11"/>
  <c r="AD190" i="11"/>
  <c r="Q218" i="11"/>
  <c r="AD218" i="11"/>
  <c r="Q246" i="11"/>
  <c r="AD246" i="11"/>
  <c r="Q55" i="11"/>
  <c r="AD55" i="11"/>
  <c r="Q119" i="11"/>
  <c r="AD119" i="11"/>
  <c r="Q207" i="11"/>
  <c r="AD207" i="11"/>
  <c r="AD19" i="11"/>
  <c r="Q75" i="11"/>
  <c r="AD75" i="11"/>
  <c r="Q139" i="11"/>
  <c r="AD139" i="11"/>
  <c r="Q243" i="11"/>
  <c r="AD243" i="11"/>
  <c r="Q44" i="11"/>
  <c r="AD44" i="11"/>
  <c r="Q76" i="11"/>
  <c r="AD76" i="11"/>
  <c r="Q108" i="11"/>
  <c r="AD108" i="11"/>
  <c r="Q140" i="11"/>
  <c r="AD140" i="11"/>
  <c r="Q172" i="11"/>
  <c r="AD172" i="11"/>
  <c r="Q204" i="11"/>
  <c r="AD204" i="11"/>
  <c r="Q232" i="11"/>
  <c r="AD232" i="11"/>
  <c r="Q45" i="11"/>
  <c r="AD45" i="11"/>
  <c r="Q109" i="11"/>
  <c r="AD109" i="11"/>
  <c r="Q169" i="11"/>
  <c r="AD169" i="11"/>
  <c r="Q233" i="11"/>
  <c r="AD233" i="11"/>
  <c r="Q223" i="11"/>
  <c r="AD223" i="11"/>
  <c r="Q137" i="11"/>
  <c r="AD137" i="11"/>
  <c r="Q146" i="11"/>
  <c r="AD146" i="11"/>
  <c r="Q51" i="11"/>
  <c r="AD51" i="11"/>
  <c r="Q128" i="11"/>
  <c r="AD128" i="11"/>
  <c r="Q179" i="11"/>
  <c r="AD179" i="11"/>
  <c r="Q41" i="11"/>
  <c r="AD41" i="11"/>
  <c r="Q105" i="11"/>
  <c r="AD105" i="11"/>
  <c r="Q173" i="11"/>
  <c r="AD173" i="11"/>
  <c r="Q237" i="11"/>
  <c r="AD237" i="11"/>
  <c r="Q247" i="11"/>
  <c r="AD247" i="11"/>
  <c r="AD22" i="11"/>
  <c r="Q50" i="11"/>
  <c r="AD50" i="11"/>
  <c r="Q106" i="11"/>
  <c r="AD106" i="11"/>
  <c r="Q134" i="11"/>
  <c r="AD134" i="11"/>
  <c r="Q162" i="11"/>
  <c r="AD162" i="11"/>
  <c r="Q194" i="11"/>
  <c r="AD194" i="11"/>
  <c r="Q222" i="11"/>
  <c r="AD222" i="11"/>
  <c r="Q250" i="11"/>
  <c r="AD250" i="11"/>
  <c r="Q63" i="11"/>
  <c r="AD63" i="11"/>
  <c r="Q127" i="11"/>
  <c r="AD127" i="11"/>
  <c r="Q219" i="11"/>
  <c r="AD219" i="11"/>
  <c r="AD23" i="11"/>
  <c r="Q83" i="11"/>
  <c r="AD83" i="11"/>
  <c r="Q147" i="11"/>
  <c r="AD147" i="11"/>
  <c r="AD16" i="11"/>
  <c r="Q48" i="11"/>
  <c r="AD48" i="11"/>
  <c r="Q80" i="11"/>
  <c r="AD80" i="11"/>
  <c r="Q112" i="11"/>
  <c r="AD112" i="11"/>
  <c r="Q144" i="11"/>
  <c r="AD144" i="11"/>
  <c r="Q176" i="11"/>
  <c r="AD176" i="11"/>
  <c r="Q208" i="11"/>
  <c r="AD208" i="11"/>
  <c r="Q236" i="11"/>
  <c r="AD236" i="11"/>
  <c r="Q53" i="11"/>
  <c r="AD53" i="11"/>
  <c r="Q117" i="11"/>
  <c r="AD117" i="11"/>
  <c r="Q177" i="11"/>
  <c r="AD177" i="11"/>
  <c r="Q241" i="11"/>
  <c r="AD241" i="11"/>
  <c r="Q235" i="11"/>
  <c r="AD235" i="11"/>
  <c r="Q73" i="11"/>
  <c r="AD73" i="11"/>
  <c r="Q122" i="11"/>
  <c r="AD122" i="11"/>
  <c r="Q95" i="11"/>
  <c r="AD95" i="11"/>
  <c r="Q160" i="11"/>
  <c r="AD160" i="11"/>
  <c r="Q209" i="11"/>
  <c r="AD209" i="11"/>
  <c r="Q49" i="11"/>
  <c r="AD49" i="11"/>
  <c r="Q113" i="11"/>
  <c r="AD113" i="11"/>
  <c r="Q181" i="11"/>
  <c r="AD181" i="11"/>
  <c r="Q245" i="11"/>
  <c r="AD245" i="11"/>
  <c r="AD26" i="11"/>
  <c r="Q54" i="11"/>
  <c r="AD54" i="11"/>
  <c r="Q78" i="11"/>
  <c r="AD78" i="11"/>
  <c r="Q110" i="11"/>
  <c r="AD110" i="11"/>
  <c r="Q138" i="11"/>
  <c r="AD138" i="11"/>
  <c r="Q166" i="11"/>
  <c r="AD166" i="11"/>
  <c r="Q226" i="11"/>
  <c r="AD226" i="11"/>
  <c r="Q254" i="11"/>
  <c r="AD254" i="11"/>
  <c r="Q71" i="11"/>
  <c r="AD71" i="11"/>
  <c r="Q135" i="11"/>
  <c r="AD135" i="11"/>
  <c r="Q239" i="11"/>
  <c r="AD239" i="11"/>
  <c r="Q31" i="11"/>
  <c r="AD31" i="11"/>
  <c r="Q91" i="11"/>
  <c r="AD91" i="11"/>
  <c r="Q155" i="11"/>
  <c r="AD155" i="11"/>
  <c r="AD20" i="11"/>
  <c r="Q52" i="11"/>
  <c r="AD52" i="11"/>
  <c r="Q84" i="11"/>
  <c r="AD84" i="11"/>
  <c r="Q116" i="11"/>
  <c r="AD116" i="11"/>
  <c r="Q148" i="11"/>
  <c r="AD148" i="11"/>
  <c r="Q180" i="11"/>
  <c r="AD180" i="11"/>
  <c r="Q212" i="11"/>
  <c r="AD212" i="11"/>
  <c r="Q240" i="11"/>
  <c r="AD240" i="11"/>
  <c r="Q61" i="11"/>
  <c r="AD61" i="11"/>
  <c r="Q125" i="11"/>
  <c r="AD125" i="11"/>
  <c r="Q185" i="11"/>
  <c r="AD185" i="11"/>
  <c r="Q249" i="11"/>
  <c r="AD249" i="11"/>
  <c r="Q255" i="11"/>
  <c r="AD255" i="11"/>
  <c r="Q90" i="11"/>
  <c r="AD90" i="11"/>
  <c r="Q64" i="11"/>
  <c r="AD64" i="11"/>
  <c r="Q145" i="11"/>
  <c r="AD145" i="11"/>
  <c r="Q57" i="11"/>
  <c r="AD57" i="11"/>
  <c r="Q121" i="11"/>
  <c r="AD121" i="11"/>
  <c r="Q189" i="11"/>
  <c r="AD189" i="11"/>
  <c r="Q253" i="11"/>
  <c r="AD253" i="11"/>
  <c r="Q58" i="11"/>
  <c r="AD58" i="11"/>
  <c r="Q82" i="11"/>
  <c r="AD82" i="11"/>
  <c r="Q114" i="11"/>
  <c r="AD114" i="11"/>
  <c r="Q170" i="11"/>
  <c r="AD170" i="11"/>
  <c r="Q198" i="11"/>
  <c r="AD198" i="11"/>
  <c r="Q258" i="11"/>
  <c r="AD258" i="11"/>
  <c r="Q79" i="11"/>
  <c r="AD79" i="11"/>
  <c r="Q143" i="11"/>
  <c r="AD143" i="11"/>
  <c r="Q251" i="11"/>
  <c r="AD251" i="11"/>
  <c r="Q35" i="11"/>
  <c r="AD35" i="11"/>
  <c r="Q99" i="11"/>
  <c r="AD99" i="11"/>
  <c r="Q167" i="11"/>
  <c r="AD167" i="11"/>
  <c r="AD24" i="11"/>
  <c r="Q56" i="11"/>
  <c r="AD56" i="11"/>
  <c r="Q88" i="11"/>
  <c r="AD88" i="11"/>
  <c r="Q120" i="11"/>
  <c r="AD120" i="11"/>
  <c r="Q152" i="11"/>
  <c r="AD152" i="11"/>
  <c r="Q184" i="11"/>
  <c r="AD184" i="11"/>
  <c r="Q216" i="11"/>
  <c r="AD216" i="11"/>
  <c r="Q244" i="11"/>
  <c r="AD244" i="11"/>
  <c r="AD17" i="11"/>
  <c r="Q69" i="11"/>
  <c r="AD69" i="11"/>
  <c r="Q133" i="11"/>
  <c r="AD133" i="11"/>
  <c r="Q193" i="11"/>
  <c r="AD193" i="11"/>
  <c r="Q257" i="11"/>
  <c r="AD257" i="11"/>
  <c r="Q34" i="11"/>
  <c r="AD34" i="11"/>
  <c r="Q234" i="11"/>
  <c r="AD234" i="11"/>
  <c r="Q32" i="11"/>
  <c r="AD32" i="11"/>
  <c r="Q29" i="11"/>
  <c r="AD29" i="11"/>
  <c r="Q65" i="11"/>
  <c r="AD65" i="11"/>
  <c r="Q129" i="11"/>
  <c r="AD129" i="11"/>
  <c r="Q197" i="11"/>
  <c r="AD197" i="11"/>
  <c r="Q30" i="11"/>
  <c r="AD30" i="11"/>
  <c r="Q62" i="11"/>
  <c r="AD62" i="11"/>
  <c r="Q86" i="11"/>
  <c r="AD86" i="11"/>
  <c r="Q118" i="11"/>
  <c r="AD118" i="11"/>
  <c r="Q142" i="11"/>
  <c r="AD142" i="11"/>
  <c r="Q174" i="11"/>
  <c r="AD174" i="11"/>
  <c r="Q202" i="11"/>
  <c r="AD202" i="11"/>
  <c r="Q230" i="11"/>
  <c r="AD230" i="11"/>
  <c r="Q87" i="11"/>
  <c r="AD87" i="11"/>
  <c r="Q151" i="11"/>
  <c r="AD151" i="11"/>
  <c r="Q43" i="11"/>
  <c r="AD43" i="11"/>
  <c r="Q107" i="11"/>
  <c r="AD107" i="11"/>
  <c r="Q183" i="11"/>
  <c r="AD183" i="11"/>
  <c r="Q28" i="11"/>
  <c r="AD28" i="11"/>
  <c r="Q60" i="11"/>
  <c r="AD60" i="11"/>
  <c r="Q92" i="11"/>
  <c r="AD92" i="11"/>
  <c r="Q124" i="11"/>
  <c r="AD124" i="11"/>
  <c r="Q156" i="11"/>
  <c r="AD156" i="11"/>
  <c r="Q188" i="11"/>
  <c r="AD188" i="11"/>
  <c r="Q248" i="11"/>
  <c r="AD248" i="11"/>
  <c r="AD21" i="11"/>
  <c r="Q77" i="11"/>
  <c r="AD77" i="11"/>
  <c r="Q141" i="11"/>
  <c r="AD141" i="11"/>
  <c r="Q201" i="11"/>
  <c r="AD201" i="11"/>
  <c r="Q159" i="11"/>
  <c r="AD159" i="11"/>
  <c r="J11" i="11"/>
  <c r="AH11" i="11"/>
  <c r="Z230" i="59"/>
  <c r="Z13" i="59"/>
  <c r="U6" i="71" a="1"/>
  <c r="U6" i="71" s="1"/>
  <c r="H83" i="71"/>
  <c r="H85" i="71"/>
  <c r="H86" i="71"/>
  <c r="H88" i="71"/>
  <c r="H89" i="71"/>
  <c r="H90" i="71"/>
  <c r="H92" i="71"/>
  <c r="H93" i="71"/>
  <c r="H94" i="71"/>
  <c r="H96" i="71"/>
  <c r="H97" i="71"/>
  <c r="H98" i="71"/>
  <c r="H100" i="71"/>
  <c r="H101" i="71"/>
  <c r="H102" i="71"/>
  <c r="H104" i="71"/>
  <c r="H105" i="71"/>
  <c r="H106" i="71"/>
  <c r="H108" i="71"/>
  <c r="H109" i="71"/>
  <c r="H110" i="71"/>
  <c r="H112" i="71"/>
  <c r="H113" i="71"/>
  <c r="H114" i="71"/>
  <c r="H116" i="71"/>
  <c r="H117" i="71"/>
  <c r="H118" i="71"/>
  <c r="H120" i="71"/>
  <c r="H121" i="71"/>
  <c r="H122" i="71"/>
  <c r="H124" i="71"/>
  <c r="H125" i="71"/>
  <c r="H126" i="71"/>
  <c r="H128" i="71"/>
  <c r="H129" i="71"/>
  <c r="H130" i="71"/>
  <c r="H132" i="71"/>
  <c r="H133" i="71"/>
  <c r="H134" i="71"/>
  <c r="H136" i="71"/>
  <c r="H137" i="71"/>
  <c r="H138" i="71"/>
  <c r="H140" i="71"/>
  <c r="H141" i="71"/>
  <c r="H142" i="71"/>
  <c r="H144" i="71"/>
  <c r="H145" i="71"/>
  <c r="H146" i="71"/>
  <c r="H148" i="71"/>
  <c r="H149" i="71"/>
  <c r="H150" i="71"/>
  <c r="H152" i="71"/>
  <c r="H153" i="71"/>
  <c r="H154" i="71"/>
  <c r="H156" i="71"/>
  <c r="H157" i="71"/>
  <c r="H158" i="71"/>
  <c r="H160" i="71"/>
  <c r="H161" i="71"/>
  <c r="H162" i="71"/>
  <c r="H164" i="71"/>
  <c r="H165" i="71"/>
  <c r="H166" i="71"/>
  <c r="H168" i="71"/>
  <c r="H169" i="71"/>
  <c r="H170" i="71"/>
  <c r="H172" i="71"/>
  <c r="H173" i="71"/>
  <c r="H174" i="71"/>
  <c r="H176" i="71"/>
  <c r="H177" i="71"/>
  <c r="H178" i="71"/>
  <c r="H180" i="71"/>
  <c r="H181" i="71"/>
  <c r="H182" i="71"/>
  <c r="H184" i="71"/>
  <c r="H185" i="71"/>
  <c r="H186" i="71"/>
  <c r="H188" i="71"/>
  <c r="H189" i="71"/>
  <c r="H190" i="71"/>
  <c r="H192" i="71"/>
  <c r="H193" i="71"/>
  <c r="H194" i="71"/>
  <c r="H196" i="71"/>
  <c r="H197" i="71"/>
  <c r="H198" i="71"/>
  <c r="H200" i="71"/>
  <c r="H201" i="71"/>
  <c r="H202" i="71"/>
  <c r="H204" i="71"/>
  <c r="H205" i="71"/>
  <c r="H206" i="71"/>
  <c r="H208" i="71"/>
  <c r="H209" i="71"/>
  <c r="H210" i="71"/>
  <c r="H212" i="71"/>
  <c r="H213" i="71"/>
  <c r="H214" i="71"/>
  <c r="H216" i="71"/>
  <c r="H217" i="71"/>
  <c r="H218" i="71"/>
  <c r="H220" i="71"/>
  <c r="H221" i="71"/>
  <c r="H222" i="71"/>
  <c r="H224" i="71"/>
  <c r="H225" i="71"/>
  <c r="H226" i="71"/>
  <c r="H228" i="71"/>
  <c r="H229" i="71"/>
  <c r="H230" i="71"/>
  <c r="H232" i="71"/>
  <c r="H233" i="71"/>
  <c r="H234" i="71"/>
  <c r="H236" i="71"/>
  <c r="H237" i="71"/>
  <c r="H238" i="71"/>
  <c r="H240" i="71"/>
  <c r="H241" i="71"/>
  <c r="H242" i="71"/>
  <c r="H244" i="71"/>
  <c r="H245" i="71"/>
  <c r="H246" i="71"/>
  <c r="H248" i="71"/>
  <c r="H249" i="71"/>
  <c r="H250" i="71"/>
  <c r="H252" i="71"/>
  <c r="H253" i="71"/>
  <c r="H254" i="71"/>
  <c r="H256" i="71"/>
  <c r="I6" i="59" a="1"/>
  <c r="I6" i="59" s="1"/>
  <c r="H7" i="46" a="1"/>
  <c r="H7" i="46" s="1"/>
  <c r="J15" i="11"/>
  <c r="J18" i="11"/>
  <c r="J19" i="11"/>
  <c r="J21" i="11"/>
  <c r="J23" i="11"/>
  <c r="J27" i="11"/>
  <c r="J31" i="11"/>
  <c r="J35" i="11"/>
  <c r="J37" i="11"/>
  <c r="J43" i="11"/>
  <c r="J47" i="11"/>
  <c r="J49" i="11"/>
  <c r="J51" i="11"/>
  <c r="J58" i="11"/>
  <c r="J59" i="11"/>
  <c r="J63" i="11"/>
  <c r="J67" i="11"/>
  <c r="J71" i="11"/>
  <c r="J75" i="11"/>
  <c r="J79" i="11"/>
  <c r="J82" i="11"/>
  <c r="J83" i="11"/>
  <c r="J84" i="11"/>
  <c r="J87" i="11"/>
  <c r="J91" i="11"/>
  <c r="J95" i="11"/>
  <c r="J99" i="11"/>
  <c r="J105" i="11"/>
  <c r="J109" i="11"/>
  <c r="J110" i="11"/>
  <c r="J113" i="11"/>
  <c r="J125" i="11"/>
  <c r="J129" i="11"/>
  <c r="J130" i="11"/>
  <c r="J141" i="11"/>
  <c r="J145" i="11"/>
  <c r="J149" i="11"/>
  <c r="J157" i="11"/>
  <c r="J161" i="11"/>
  <c r="J162" i="11"/>
  <c r="J170" i="11"/>
  <c r="J173" i="11"/>
  <c r="J174" i="11"/>
  <c r="J177" i="11"/>
  <c r="J181" i="11"/>
  <c r="J186" i="11"/>
  <c r="J189" i="11"/>
  <c r="J190" i="11"/>
  <c r="J193" i="11"/>
  <c r="J202" i="11"/>
  <c r="J205" i="11"/>
  <c r="J209" i="11"/>
  <c r="J221" i="11"/>
  <c r="J225" i="11"/>
  <c r="J226" i="11"/>
  <c r="J237" i="11"/>
  <c r="J238" i="11"/>
  <c r="J241" i="11"/>
  <c r="J247" i="11"/>
  <c r="J253" i="11"/>
  <c r="J254" i="11"/>
  <c r="J257" i="11"/>
  <c r="J16" i="11"/>
  <c r="J22" i="11"/>
  <c r="J28" i="11"/>
  <c r="J30" i="11"/>
  <c r="J42" i="11"/>
  <c r="J46" i="11"/>
  <c r="J62" i="11"/>
  <c r="J68" i="11"/>
  <c r="J70" i="11"/>
  <c r="J78" i="11"/>
  <c r="J86" i="11"/>
  <c r="J98" i="11"/>
  <c r="J100" i="11"/>
  <c r="J102" i="11"/>
  <c r="J107" i="11"/>
  <c r="J111" i="11"/>
  <c r="J114" i="11"/>
  <c r="J115" i="11"/>
  <c r="J119" i="11"/>
  <c r="J121" i="11"/>
  <c r="J122" i="11"/>
  <c r="J123" i="11"/>
  <c r="J126" i="11"/>
  <c r="J127" i="11"/>
  <c r="J131" i="11"/>
  <c r="J133" i="11"/>
  <c r="J135" i="11"/>
  <c r="J139" i="11"/>
  <c r="J143" i="11"/>
  <c r="J147" i="11"/>
  <c r="J151" i="11"/>
  <c r="J153" i="11"/>
  <c r="J154" i="11"/>
  <c r="J155" i="11"/>
  <c r="J158" i="11"/>
  <c r="J159" i="11"/>
  <c r="J163" i="11"/>
  <c r="J165" i="11"/>
  <c r="J167" i="11"/>
  <c r="J171" i="11"/>
  <c r="J175" i="11"/>
  <c r="J179" i="11"/>
  <c r="J183" i="11"/>
  <c r="J185" i="11"/>
  <c r="J187" i="11"/>
  <c r="J191" i="11"/>
  <c r="J195" i="11"/>
  <c r="J197" i="11"/>
  <c r="J199" i="11"/>
  <c r="J203" i="11"/>
  <c r="J207" i="11"/>
  <c r="J210" i="11"/>
  <c r="J211" i="11"/>
  <c r="J215" i="11"/>
  <c r="J217" i="11"/>
  <c r="J218" i="11"/>
  <c r="J219" i="11"/>
  <c r="J223" i="11"/>
  <c r="J227" i="11"/>
  <c r="J229" i="11"/>
  <c r="J231" i="11"/>
  <c r="J239" i="11"/>
  <c r="J243" i="11"/>
  <c r="J249" i="11"/>
  <c r="J251" i="11"/>
  <c r="J255" i="11"/>
  <c r="L134" i="29"/>
  <c r="M134" i="29"/>
  <c r="O134" i="29"/>
  <c r="Q134" i="29"/>
  <c r="I134" i="99"/>
  <c r="I80" i="99"/>
  <c r="I54" i="99"/>
  <c r="B55" i="22"/>
  <c r="M54" i="29"/>
  <c r="I38" i="99"/>
  <c r="I37" i="99"/>
  <c r="J250" i="11" l="1"/>
  <c r="J242" i="11"/>
  <c r="J106" i="11"/>
  <c r="J235" i="11"/>
  <c r="J178" i="11"/>
  <c r="J138" i="11"/>
  <c r="J74" i="11"/>
  <c r="J222" i="11"/>
  <c r="J146" i="11"/>
  <c r="J101" i="11"/>
  <c r="J73" i="11"/>
  <c r="J234" i="11"/>
  <c r="J85" i="11"/>
  <c r="J258" i="11"/>
  <c r="J245" i="11"/>
  <c r="J233" i="11"/>
  <c r="J213" i="11"/>
  <c r="J206" i="11"/>
  <c r="J201" i="11"/>
  <c r="J194" i="11"/>
  <c r="J169" i="11"/>
  <c r="J142" i="11"/>
  <c r="J137" i="11"/>
  <c r="J117" i="11"/>
  <c r="J94" i="11"/>
  <c r="J69" i="11"/>
  <c r="J57" i="11"/>
  <c r="J89" i="11"/>
  <c r="J246" i="11"/>
  <c r="J230" i="11"/>
  <c r="J214" i="11"/>
  <c r="J198" i="11"/>
  <c r="J182" i="11"/>
  <c r="J166" i="11"/>
  <c r="J150" i="11"/>
  <c r="J134" i="11"/>
  <c r="J118" i="11"/>
  <c r="J90" i="11"/>
  <c r="J66" i="11"/>
  <c r="J54" i="11"/>
  <c r="J50" i="11"/>
  <c r="J38" i="11"/>
  <c r="J34" i="11"/>
  <c r="J26" i="11"/>
  <c r="J14" i="11"/>
  <c r="J103" i="11"/>
  <c r="J55" i="11"/>
  <c r="J39" i="11"/>
  <c r="J108" i="11"/>
  <c r="J88" i="11"/>
  <c r="J72" i="11"/>
  <c r="J40" i="11"/>
  <c r="J32" i="11"/>
  <c r="J24" i="11"/>
  <c r="J36" i="11"/>
  <c r="J104" i="11"/>
  <c r="J92" i="11"/>
  <c r="J76" i="11"/>
  <c r="J60" i="11"/>
  <c r="J56" i="11"/>
  <c r="J48" i="11"/>
  <c r="J20" i="11"/>
  <c r="J12" i="11"/>
  <c r="J96" i="11"/>
  <c r="J80" i="11"/>
  <c r="J64" i="11"/>
  <c r="J44" i="11"/>
  <c r="J256" i="11"/>
  <c r="J252" i="11"/>
  <c r="J248" i="11"/>
  <c r="J244" i="11"/>
  <c r="J240" i="11"/>
  <c r="J236" i="11"/>
  <c r="J232" i="11"/>
  <c r="J228" i="11"/>
  <c r="J224" i="11"/>
  <c r="J220" i="11"/>
  <c r="J216" i="11"/>
  <c r="J212" i="11"/>
  <c r="J208" i="11"/>
  <c r="J204" i="11"/>
  <c r="J200" i="11"/>
  <c r="J196" i="11"/>
  <c r="J192" i="11"/>
  <c r="J188" i="11"/>
  <c r="J184" i="11"/>
  <c r="J180" i="11"/>
  <c r="J176" i="11"/>
  <c r="J172" i="11"/>
  <c r="J168" i="11"/>
  <c r="J164" i="11"/>
  <c r="J160" i="11"/>
  <c r="J156" i="11"/>
  <c r="J152" i="11"/>
  <c r="J148" i="11"/>
  <c r="J144" i="11"/>
  <c r="J140" i="11"/>
  <c r="J136" i="11"/>
  <c r="J132" i="11"/>
  <c r="J128" i="11"/>
  <c r="J124" i="11"/>
  <c r="J120" i="11"/>
  <c r="J116" i="11"/>
  <c r="J112" i="11"/>
  <c r="J52" i="11"/>
  <c r="J97" i="11"/>
  <c r="J93" i="11"/>
  <c r="J81" i="11"/>
  <c r="J77" i="11"/>
  <c r="J65" i="11"/>
  <c r="J61" i="11"/>
  <c r="J53" i="11"/>
  <c r="J45" i="11"/>
  <c r="J41" i="11"/>
  <c r="J33" i="11"/>
  <c r="J29" i="11"/>
  <c r="J25" i="11"/>
  <c r="J17" i="11"/>
  <c r="J13" i="11"/>
  <c r="H255" i="71"/>
  <c r="H251" i="71"/>
  <c r="H247" i="71"/>
  <c r="H243" i="71"/>
  <c r="H239" i="71"/>
  <c r="H235" i="71"/>
  <c r="H231" i="71"/>
  <c r="H227" i="71"/>
  <c r="H223" i="71"/>
  <c r="H219" i="71"/>
  <c r="H215" i="71"/>
  <c r="H211" i="71"/>
  <c r="H207" i="71"/>
  <c r="H203" i="71"/>
  <c r="H199" i="71"/>
  <c r="H195" i="71"/>
  <c r="H191" i="71"/>
  <c r="H187" i="71"/>
  <c r="H183" i="71"/>
  <c r="H179" i="71"/>
  <c r="H175" i="71"/>
  <c r="H171" i="71"/>
  <c r="H167" i="71"/>
  <c r="H163" i="71"/>
  <c r="H159" i="71"/>
  <c r="H155" i="71"/>
  <c r="H151" i="71"/>
  <c r="H147" i="71"/>
  <c r="H143" i="71"/>
  <c r="H139" i="71"/>
  <c r="H135" i="71"/>
  <c r="H131" i="71"/>
  <c r="H127" i="71"/>
  <c r="H123" i="71"/>
  <c r="H119" i="71"/>
  <c r="H115" i="71"/>
  <c r="H111" i="71"/>
  <c r="H107" i="71"/>
  <c r="H103" i="71"/>
  <c r="H99" i="71"/>
  <c r="H95" i="71"/>
  <c r="H91" i="71"/>
  <c r="H87" i="71"/>
  <c r="H79" i="71"/>
  <c r="H75" i="71"/>
  <c r="H71" i="71"/>
  <c r="H67" i="71"/>
  <c r="H63" i="71"/>
  <c r="H59" i="71"/>
  <c r="H55" i="71"/>
  <c r="H51" i="71"/>
  <c r="H47" i="71"/>
  <c r="H43" i="71"/>
  <c r="H39" i="71"/>
  <c r="H35" i="71"/>
  <c r="H31" i="71"/>
  <c r="H27" i="71"/>
  <c r="H23" i="71"/>
  <c r="H19" i="71"/>
  <c r="H15" i="71"/>
  <c r="H82" i="71"/>
  <c r="H78" i="71"/>
  <c r="H74" i="71"/>
  <c r="H70" i="71"/>
  <c r="H66" i="71"/>
  <c r="H62" i="71"/>
  <c r="H58" i="71"/>
  <c r="H54" i="71"/>
  <c r="H50" i="71"/>
  <c r="H46" i="71"/>
  <c r="H42" i="71"/>
  <c r="H38" i="71"/>
  <c r="H34" i="71"/>
  <c r="H30" i="71"/>
  <c r="H26" i="71"/>
  <c r="H22" i="71"/>
  <c r="H18" i="71"/>
  <c r="H14" i="71"/>
  <c r="H81" i="71"/>
  <c r="H77" i="71"/>
  <c r="H73" i="71"/>
  <c r="H69" i="71"/>
  <c r="H65" i="71"/>
  <c r="H61" i="71"/>
  <c r="H57" i="71"/>
  <c r="H53" i="71"/>
  <c r="H49" i="71"/>
  <c r="H45" i="71"/>
  <c r="H41" i="71"/>
  <c r="H37" i="71"/>
  <c r="H33" i="71"/>
  <c r="H29" i="71"/>
  <c r="H25" i="71"/>
  <c r="H21" i="71"/>
  <c r="H17" i="71"/>
  <c r="H13" i="71"/>
  <c r="H84" i="71"/>
  <c r="H80" i="71"/>
  <c r="H76" i="71"/>
  <c r="H72" i="71"/>
  <c r="H68" i="71"/>
  <c r="H64" i="71"/>
  <c r="H60" i="71"/>
  <c r="H56" i="71"/>
  <c r="H52" i="71"/>
  <c r="H48" i="71"/>
  <c r="H44" i="71"/>
  <c r="H40" i="71"/>
  <c r="H36" i="71"/>
  <c r="H32" i="71"/>
  <c r="H28" i="71"/>
  <c r="H24" i="71"/>
  <c r="H20" i="71"/>
  <c r="H16" i="71"/>
  <c r="H12" i="71"/>
  <c r="M32" i="106"/>
  <c r="I40" i="106" s="1"/>
  <c r="K32" i="106"/>
  <c r="I39" i="106" s="1"/>
  <c r="B47" i="72"/>
  <c r="B55" i="72"/>
  <c r="J24" i="96" l="1"/>
  <c r="S37" i="106"/>
  <c r="I41" i="106"/>
  <c r="X13" i="69"/>
  <c r="X14" i="69"/>
  <c r="X15" i="69"/>
  <c r="X16" i="69"/>
  <c r="X17" i="69"/>
  <c r="X18" i="69"/>
  <c r="X19" i="69"/>
  <c r="X20" i="69"/>
  <c r="X21" i="69"/>
  <c r="X22" i="69"/>
  <c r="X23" i="69"/>
  <c r="X24" i="69"/>
  <c r="X25" i="69"/>
  <c r="X26" i="69"/>
  <c r="X27" i="69"/>
  <c r="X28" i="69"/>
  <c r="X29" i="69"/>
  <c r="X30" i="69"/>
  <c r="X31" i="69"/>
  <c r="X32" i="69"/>
  <c r="X33" i="69"/>
  <c r="X34" i="69"/>
  <c r="X35" i="69"/>
  <c r="X36" i="69"/>
  <c r="X37" i="69"/>
  <c r="X38" i="69"/>
  <c r="X39" i="69"/>
  <c r="X40" i="69"/>
  <c r="X41" i="69"/>
  <c r="X42" i="69"/>
  <c r="X43" i="69"/>
  <c r="X44" i="69"/>
  <c r="X45" i="69"/>
  <c r="X46" i="69"/>
  <c r="X47" i="69"/>
  <c r="X48" i="69"/>
  <c r="X49" i="69"/>
  <c r="X50" i="69"/>
  <c r="X51" i="69"/>
  <c r="X52" i="69"/>
  <c r="X53" i="69"/>
  <c r="X54" i="69"/>
  <c r="X55" i="69"/>
  <c r="X56" i="69"/>
  <c r="X57" i="69"/>
  <c r="X58" i="69"/>
  <c r="X59" i="69"/>
  <c r="X60" i="69"/>
  <c r="X61" i="69"/>
  <c r="X62" i="69"/>
  <c r="X63" i="69"/>
  <c r="X64" i="69"/>
  <c r="X65" i="69"/>
  <c r="X66" i="69"/>
  <c r="X67" i="69"/>
  <c r="X68" i="69"/>
  <c r="X69" i="69"/>
  <c r="X70" i="69"/>
  <c r="X71" i="69"/>
  <c r="X72" i="69"/>
  <c r="X73" i="69"/>
  <c r="X74" i="69"/>
  <c r="X75" i="69"/>
  <c r="X76" i="69"/>
  <c r="X77" i="69"/>
  <c r="X78" i="69"/>
  <c r="X79" i="69"/>
  <c r="X80" i="69"/>
  <c r="X81" i="69"/>
  <c r="X82" i="69"/>
  <c r="X83" i="69"/>
  <c r="X84" i="69"/>
  <c r="X85" i="69"/>
  <c r="X86" i="69"/>
  <c r="X87" i="69"/>
  <c r="X88" i="69"/>
  <c r="X89" i="69"/>
  <c r="X90" i="69"/>
  <c r="X91" i="69"/>
  <c r="X92" i="69"/>
  <c r="X93" i="69"/>
  <c r="X94" i="69"/>
  <c r="X95" i="69"/>
  <c r="X96" i="69"/>
  <c r="X97" i="69"/>
  <c r="X98" i="69"/>
  <c r="X99" i="69"/>
  <c r="X100" i="69"/>
  <c r="X101" i="69"/>
  <c r="X102" i="69"/>
  <c r="X103" i="69"/>
  <c r="X104" i="69"/>
  <c r="X105" i="69"/>
  <c r="X106" i="69"/>
  <c r="X107" i="69"/>
  <c r="X108" i="69"/>
  <c r="X109" i="69"/>
  <c r="X110" i="69"/>
  <c r="X111" i="69"/>
  <c r="X112" i="69"/>
  <c r="X113" i="69"/>
  <c r="X114" i="69"/>
  <c r="X115" i="69"/>
  <c r="X116" i="69"/>
  <c r="X117" i="69"/>
  <c r="X118" i="69"/>
  <c r="X119" i="69"/>
  <c r="X120" i="69"/>
  <c r="X121" i="69"/>
  <c r="X122" i="69"/>
  <c r="X123" i="69"/>
  <c r="X124" i="69"/>
  <c r="X125" i="69"/>
  <c r="X126" i="69"/>
  <c r="X127" i="69"/>
  <c r="X128" i="69"/>
  <c r="X129" i="69"/>
  <c r="X130" i="69"/>
  <c r="X131" i="69"/>
  <c r="X132" i="69"/>
  <c r="X133" i="69"/>
  <c r="X134" i="69"/>
  <c r="X135" i="69"/>
  <c r="X136" i="69"/>
  <c r="X137" i="69"/>
  <c r="X138" i="69"/>
  <c r="X139" i="69"/>
  <c r="X140" i="69"/>
  <c r="X141" i="69"/>
  <c r="X142" i="69"/>
  <c r="X143" i="69"/>
  <c r="X144" i="69"/>
  <c r="X145" i="69"/>
  <c r="X146" i="69"/>
  <c r="X147" i="69"/>
  <c r="X148" i="69"/>
  <c r="X149" i="69"/>
  <c r="X150" i="69"/>
  <c r="X151" i="69"/>
  <c r="X152" i="69"/>
  <c r="X153" i="69"/>
  <c r="X154" i="69"/>
  <c r="X155" i="69"/>
  <c r="X156" i="69"/>
  <c r="X157" i="69"/>
  <c r="X158" i="69"/>
  <c r="X159" i="69"/>
  <c r="X160" i="69"/>
  <c r="X161" i="69"/>
  <c r="X162" i="69"/>
  <c r="X163" i="69"/>
  <c r="X164" i="69"/>
  <c r="X165" i="69"/>
  <c r="X166" i="69"/>
  <c r="X167" i="69"/>
  <c r="X168" i="69"/>
  <c r="X169" i="69"/>
  <c r="X170" i="69"/>
  <c r="X171" i="69"/>
  <c r="X172" i="69"/>
  <c r="X173" i="69"/>
  <c r="X174" i="69"/>
  <c r="X175" i="69"/>
  <c r="X176" i="69"/>
  <c r="X177" i="69"/>
  <c r="X178" i="69"/>
  <c r="X179" i="69"/>
  <c r="X180" i="69"/>
  <c r="X181" i="69"/>
  <c r="X182" i="69"/>
  <c r="X183" i="69"/>
  <c r="X184" i="69"/>
  <c r="X185" i="69"/>
  <c r="X186" i="69"/>
  <c r="X187" i="69"/>
  <c r="X188" i="69"/>
  <c r="X189" i="69"/>
  <c r="X190" i="69"/>
  <c r="X191" i="69"/>
  <c r="X192" i="69"/>
  <c r="X193" i="69"/>
  <c r="X194" i="69"/>
  <c r="X195" i="69"/>
  <c r="X196" i="69"/>
  <c r="X197" i="69"/>
  <c r="X198" i="69"/>
  <c r="X199" i="69"/>
  <c r="X200" i="69"/>
  <c r="X201" i="69"/>
  <c r="X202" i="69"/>
  <c r="X203" i="69"/>
  <c r="X204" i="69"/>
  <c r="X205" i="69"/>
  <c r="X206" i="69"/>
  <c r="X207" i="69"/>
  <c r="X208" i="69"/>
  <c r="X209" i="69"/>
  <c r="X210" i="69"/>
  <c r="X211" i="69"/>
  <c r="X212" i="69"/>
  <c r="X213" i="69"/>
  <c r="X214" i="69"/>
  <c r="X215" i="69"/>
  <c r="X216" i="69"/>
  <c r="X217" i="69"/>
  <c r="X218" i="69"/>
  <c r="X219" i="69"/>
  <c r="X220" i="69"/>
  <c r="X221" i="69"/>
  <c r="X222" i="69"/>
  <c r="X223" i="69"/>
  <c r="X224" i="69"/>
  <c r="X225" i="69"/>
  <c r="X226" i="69"/>
  <c r="X227" i="69"/>
  <c r="X228" i="69"/>
  <c r="X229" i="69"/>
  <c r="X230" i="69"/>
  <c r="X231" i="69"/>
  <c r="X232" i="69"/>
  <c r="X233" i="69"/>
  <c r="X234" i="69"/>
  <c r="X235" i="69"/>
  <c r="X236" i="69"/>
  <c r="X237" i="69"/>
  <c r="X238" i="69"/>
  <c r="X239" i="69"/>
  <c r="X240" i="69"/>
  <c r="X241" i="69"/>
  <c r="X242" i="69"/>
  <c r="X243" i="69"/>
  <c r="X244" i="69"/>
  <c r="X245" i="69"/>
  <c r="X246" i="69"/>
  <c r="X247" i="69"/>
  <c r="X248" i="69"/>
  <c r="X249" i="69"/>
  <c r="X250" i="69"/>
  <c r="X251" i="69"/>
  <c r="X252" i="69"/>
  <c r="X253" i="69"/>
  <c r="X254" i="69"/>
  <c r="X255" i="69"/>
  <c r="X256" i="69"/>
  <c r="X257" i="69"/>
  <c r="W13" i="69"/>
  <c r="W14" i="69"/>
  <c r="W15" i="69"/>
  <c r="W16" i="69"/>
  <c r="W17" i="69"/>
  <c r="W18" i="69"/>
  <c r="W19" i="69"/>
  <c r="W20" i="69"/>
  <c r="W21" i="69"/>
  <c r="W22" i="69"/>
  <c r="W23" i="69"/>
  <c r="W24" i="69"/>
  <c r="W25" i="69"/>
  <c r="W26" i="69"/>
  <c r="W27" i="69"/>
  <c r="W28" i="69"/>
  <c r="W29" i="69"/>
  <c r="W30" i="69"/>
  <c r="W31" i="69"/>
  <c r="W32" i="69"/>
  <c r="W33" i="69"/>
  <c r="W34" i="69"/>
  <c r="W35" i="69"/>
  <c r="W36" i="69"/>
  <c r="W37" i="69"/>
  <c r="W38" i="69"/>
  <c r="W39" i="69"/>
  <c r="W40" i="69"/>
  <c r="W41" i="69"/>
  <c r="W42" i="69"/>
  <c r="W43" i="69"/>
  <c r="W44" i="69"/>
  <c r="W45" i="69"/>
  <c r="W46" i="69"/>
  <c r="W47" i="69"/>
  <c r="W48" i="69"/>
  <c r="W49" i="69"/>
  <c r="W50" i="69"/>
  <c r="W51" i="69"/>
  <c r="W52" i="69"/>
  <c r="W53" i="69"/>
  <c r="W54" i="69"/>
  <c r="W55" i="69"/>
  <c r="W56" i="69"/>
  <c r="W57" i="69"/>
  <c r="W58" i="69"/>
  <c r="W59" i="69"/>
  <c r="W60" i="69"/>
  <c r="W61" i="69"/>
  <c r="W62" i="69"/>
  <c r="W63" i="69"/>
  <c r="W64" i="69"/>
  <c r="W65" i="69"/>
  <c r="W66" i="69"/>
  <c r="W67" i="69"/>
  <c r="W68" i="69"/>
  <c r="W69" i="69"/>
  <c r="W70" i="69"/>
  <c r="W71" i="69"/>
  <c r="W72" i="69"/>
  <c r="W73" i="69"/>
  <c r="W74" i="69"/>
  <c r="W75" i="69"/>
  <c r="W76" i="69"/>
  <c r="W77" i="69"/>
  <c r="W78" i="69"/>
  <c r="W79" i="69"/>
  <c r="W80" i="69"/>
  <c r="W81" i="69"/>
  <c r="W82" i="69"/>
  <c r="W83" i="69"/>
  <c r="W84" i="69"/>
  <c r="W85" i="69"/>
  <c r="W86" i="69"/>
  <c r="W87" i="69"/>
  <c r="W88" i="69"/>
  <c r="W89" i="69"/>
  <c r="W90" i="69"/>
  <c r="W91" i="69"/>
  <c r="W92" i="69"/>
  <c r="W93" i="69"/>
  <c r="W94" i="69"/>
  <c r="W95" i="69"/>
  <c r="W96" i="69"/>
  <c r="W97" i="69"/>
  <c r="W98" i="69"/>
  <c r="W99" i="69"/>
  <c r="W100" i="69"/>
  <c r="W101" i="69"/>
  <c r="W102" i="69"/>
  <c r="W103" i="69"/>
  <c r="W104" i="69"/>
  <c r="W105" i="69"/>
  <c r="W106" i="69"/>
  <c r="W107" i="69"/>
  <c r="W108" i="69"/>
  <c r="W109" i="69"/>
  <c r="W110" i="69"/>
  <c r="W111" i="69"/>
  <c r="W112" i="69"/>
  <c r="W113" i="69"/>
  <c r="W114" i="69"/>
  <c r="W115" i="69"/>
  <c r="W116" i="69"/>
  <c r="W117" i="69"/>
  <c r="W118" i="69"/>
  <c r="W119" i="69"/>
  <c r="W120" i="69"/>
  <c r="W121" i="69"/>
  <c r="W122" i="69"/>
  <c r="W123" i="69"/>
  <c r="W124" i="69"/>
  <c r="W125" i="69"/>
  <c r="W126" i="69"/>
  <c r="W127" i="69"/>
  <c r="W128" i="69"/>
  <c r="W129" i="69"/>
  <c r="W130" i="69"/>
  <c r="W131" i="69"/>
  <c r="W132" i="69"/>
  <c r="W133" i="69"/>
  <c r="W134" i="69"/>
  <c r="W135" i="69"/>
  <c r="W136" i="69"/>
  <c r="W137" i="69"/>
  <c r="W138" i="69"/>
  <c r="W139" i="69"/>
  <c r="W140" i="69"/>
  <c r="W141" i="69"/>
  <c r="W142" i="69"/>
  <c r="W143" i="69"/>
  <c r="W144" i="69"/>
  <c r="W145" i="69"/>
  <c r="W146" i="69"/>
  <c r="W147" i="69"/>
  <c r="W148" i="69"/>
  <c r="W149" i="69"/>
  <c r="W150" i="69"/>
  <c r="W151" i="69"/>
  <c r="W152" i="69"/>
  <c r="W153" i="69"/>
  <c r="W154" i="69"/>
  <c r="W155" i="69"/>
  <c r="W156" i="69"/>
  <c r="W157" i="69"/>
  <c r="W158" i="69"/>
  <c r="W159" i="69"/>
  <c r="W160" i="69"/>
  <c r="W161" i="69"/>
  <c r="W162" i="69"/>
  <c r="W163" i="69"/>
  <c r="W164" i="69"/>
  <c r="W165" i="69"/>
  <c r="W166" i="69"/>
  <c r="W167" i="69"/>
  <c r="W168" i="69"/>
  <c r="W169" i="69"/>
  <c r="W170" i="69"/>
  <c r="W171" i="69"/>
  <c r="W172" i="69"/>
  <c r="W173" i="69"/>
  <c r="W174" i="69"/>
  <c r="W175" i="69"/>
  <c r="W176" i="69"/>
  <c r="W177" i="69"/>
  <c r="W178" i="69"/>
  <c r="W179" i="69"/>
  <c r="W180" i="69"/>
  <c r="W181" i="69"/>
  <c r="W182" i="69"/>
  <c r="W183" i="69"/>
  <c r="W184" i="69"/>
  <c r="W185" i="69"/>
  <c r="W186" i="69"/>
  <c r="W187" i="69"/>
  <c r="W188" i="69"/>
  <c r="W189" i="69"/>
  <c r="W190" i="69"/>
  <c r="W191" i="69"/>
  <c r="W192" i="69"/>
  <c r="W193" i="69"/>
  <c r="W194" i="69"/>
  <c r="W195" i="69"/>
  <c r="W196" i="69"/>
  <c r="W197" i="69"/>
  <c r="W198" i="69"/>
  <c r="W199" i="69"/>
  <c r="W200" i="69"/>
  <c r="W201" i="69"/>
  <c r="W202" i="69"/>
  <c r="W203" i="69"/>
  <c r="W204" i="69"/>
  <c r="W205" i="69"/>
  <c r="W206" i="69"/>
  <c r="W207" i="69"/>
  <c r="W208" i="69"/>
  <c r="W209" i="69"/>
  <c r="W210" i="69"/>
  <c r="W211" i="69"/>
  <c r="W212" i="69"/>
  <c r="W213" i="69"/>
  <c r="W214" i="69"/>
  <c r="W215" i="69"/>
  <c r="W216" i="69"/>
  <c r="W217" i="69"/>
  <c r="W218" i="69"/>
  <c r="W219" i="69"/>
  <c r="W220" i="69"/>
  <c r="W221" i="69"/>
  <c r="W222" i="69"/>
  <c r="W223" i="69"/>
  <c r="W224" i="69"/>
  <c r="W225" i="69"/>
  <c r="W226" i="69"/>
  <c r="W227" i="69"/>
  <c r="W228" i="69"/>
  <c r="W229" i="69"/>
  <c r="W230" i="69"/>
  <c r="W231" i="69"/>
  <c r="W232" i="69"/>
  <c r="W233" i="69"/>
  <c r="W234" i="69"/>
  <c r="W235" i="69"/>
  <c r="W236" i="69"/>
  <c r="W237" i="69"/>
  <c r="W238" i="69"/>
  <c r="W239" i="69"/>
  <c r="W240" i="69"/>
  <c r="W241" i="69"/>
  <c r="W242" i="69"/>
  <c r="W243" i="69"/>
  <c r="W244" i="69"/>
  <c r="W245" i="69"/>
  <c r="W246" i="69"/>
  <c r="W247" i="69"/>
  <c r="W248" i="69"/>
  <c r="W249" i="69"/>
  <c r="W250" i="69"/>
  <c r="W251" i="69"/>
  <c r="W252" i="69"/>
  <c r="W253" i="69"/>
  <c r="W254" i="69"/>
  <c r="W255" i="69"/>
  <c r="W256" i="69"/>
  <c r="W257" i="69"/>
  <c r="X12" i="69"/>
  <c r="W12" i="69"/>
  <c r="J13" i="68"/>
  <c r="J14" i="68"/>
  <c r="J15" i="68"/>
  <c r="J16" i="68"/>
  <c r="J17" i="68"/>
  <c r="J18" i="68"/>
  <c r="J19" i="68"/>
  <c r="J20" i="68"/>
  <c r="J21" i="68"/>
  <c r="J22" i="68"/>
  <c r="J23" i="68"/>
  <c r="J24" i="68"/>
  <c r="J25" i="68"/>
  <c r="J26" i="68"/>
  <c r="J27" i="68"/>
  <c r="J28" i="68"/>
  <c r="J29" i="68"/>
  <c r="J30" i="68"/>
  <c r="J31" i="68"/>
  <c r="J32" i="68"/>
  <c r="J33" i="68"/>
  <c r="J34" i="68"/>
  <c r="J35" i="68"/>
  <c r="J36" i="68"/>
  <c r="J37" i="68"/>
  <c r="J38" i="68"/>
  <c r="J39" i="68"/>
  <c r="J40" i="68"/>
  <c r="J41" i="68"/>
  <c r="J42" i="68"/>
  <c r="J43" i="68"/>
  <c r="J44" i="68"/>
  <c r="J45" i="68"/>
  <c r="J46" i="68"/>
  <c r="J47" i="68"/>
  <c r="J48" i="68"/>
  <c r="J49" i="68"/>
  <c r="J50" i="68"/>
  <c r="J51" i="68"/>
  <c r="J52" i="68"/>
  <c r="J53" i="68"/>
  <c r="J54" i="68"/>
  <c r="J55" i="68"/>
  <c r="J56" i="68"/>
  <c r="J57" i="68"/>
  <c r="J58" i="68"/>
  <c r="J59" i="68"/>
  <c r="J60" i="68"/>
  <c r="J61" i="68"/>
  <c r="J62" i="68"/>
  <c r="J63" i="68"/>
  <c r="J64" i="68"/>
  <c r="J65" i="68"/>
  <c r="J66" i="68"/>
  <c r="J67" i="68"/>
  <c r="J68" i="68"/>
  <c r="J69" i="68"/>
  <c r="J70" i="68"/>
  <c r="J71" i="68"/>
  <c r="J72" i="68"/>
  <c r="J73" i="68"/>
  <c r="J74" i="68"/>
  <c r="J75" i="68"/>
  <c r="J76" i="68"/>
  <c r="J77" i="68"/>
  <c r="J78" i="68"/>
  <c r="J79" i="68"/>
  <c r="J80" i="68"/>
  <c r="J81" i="68"/>
  <c r="J82" i="68"/>
  <c r="J83" i="68"/>
  <c r="J84" i="68"/>
  <c r="J85" i="68"/>
  <c r="J86" i="68"/>
  <c r="J87" i="68"/>
  <c r="J88" i="68"/>
  <c r="J89" i="68"/>
  <c r="J90" i="68"/>
  <c r="J91" i="68"/>
  <c r="J92" i="68"/>
  <c r="J93" i="68"/>
  <c r="J94" i="68"/>
  <c r="J95" i="68"/>
  <c r="J96" i="68"/>
  <c r="J97" i="68"/>
  <c r="J98" i="68"/>
  <c r="J99" i="68"/>
  <c r="J100" i="68"/>
  <c r="J101" i="68"/>
  <c r="J102" i="68"/>
  <c r="J103" i="68"/>
  <c r="J104" i="68"/>
  <c r="J105" i="68"/>
  <c r="J106" i="68"/>
  <c r="J107" i="68"/>
  <c r="J108" i="68"/>
  <c r="J109" i="68"/>
  <c r="J110" i="68"/>
  <c r="J111" i="68"/>
  <c r="J112" i="68"/>
  <c r="J113" i="68"/>
  <c r="J114" i="68"/>
  <c r="J115" i="68"/>
  <c r="J116" i="68"/>
  <c r="J117" i="68"/>
  <c r="J118" i="68"/>
  <c r="J119" i="68"/>
  <c r="J120" i="68"/>
  <c r="J121" i="68"/>
  <c r="J122" i="68"/>
  <c r="J123" i="68"/>
  <c r="J124" i="68"/>
  <c r="J125" i="68"/>
  <c r="J126" i="68"/>
  <c r="J127" i="68"/>
  <c r="J128" i="68"/>
  <c r="J129" i="68"/>
  <c r="J130" i="68"/>
  <c r="J131" i="68"/>
  <c r="J132" i="68"/>
  <c r="J133" i="68"/>
  <c r="J134" i="68"/>
  <c r="J135" i="68"/>
  <c r="J136" i="68"/>
  <c r="J137" i="68"/>
  <c r="J138" i="68"/>
  <c r="J139" i="68"/>
  <c r="J140" i="68"/>
  <c r="J141" i="68"/>
  <c r="J142" i="68"/>
  <c r="J143" i="68"/>
  <c r="J144" i="68"/>
  <c r="J145" i="68"/>
  <c r="J146" i="68"/>
  <c r="J147" i="68"/>
  <c r="J148" i="68"/>
  <c r="J149" i="68"/>
  <c r="J150" i="68"/>
  <c r="J151" i="68"/>
  <c r="J152" i="68"/>
  <c r="J153" i="68"/>
  <c r="J154" i="68"/>
  <c r="J155" i="68"/>
  <c r="J156" i="68"/>
  <c r="J157" i="68"/>
  <c r="J158" i="68"/>
  <c r="J159" i="68"/>
  <c r="J160" i="68"/>
  <c r="J161" i="68"/>
  <c r="J162" i="68"/>
  <c r="J163" i="68"/>
  <c r="J164" i="68"/>
  <c r="J165" i="68"/>
  <c r="J166" i="68"/>
  <c r="J167" i="68"/>
  <c r="J168" i="68"/>
  <c r="J169" i="68"/>
  <c r="J170" i="68"/>
  <c r="J171" i="68"/>
  <c r="J172" i="68"/>
  <c r="J173" i="68"/>
  <c r="J174" i="68"/>
  <c r="J175" i="68"/>
  <c r="J176" i="68"/>
  <c r="J177" i="68"/>
  <c r="J178" i="68"/>
  <c r="J179" i="68"/>
  <c r="J180" i="68"/>
  <c r="J181" i="68"/>
  <c r="J182" i="68"/>
  <c r="J183" i="68"/>
  <c r="J184" i="68"/>
  <c r="J185" i="68"/>
  <c r="J186" i="68"/>
  <c r="J187" i="68"/>
  <c r="J188" i="68"/>
  <c r="J189" i="68"/>
  <c r="J190" i="68"/>
  <c r="J191" i="68"/>
  <c r="J192" i="68"/>
  <c r="J193" i="68"/>
  <c r="J194" i="68"/>
  <c r="J195" i="68"/>
  <c r="J196" i="68"/>
  <c r="J197" i="68"/>
  <c r="J198" i="68"/>
  <c r="J199" i="68"/>
  <c r="J200" i="68"/>
  <c r="J201" i="68"/>
  <c r="J202" i="68"/>
  <c r="J203" i="68"/>
  <c r="J204" i="68"/>
  <c r="J205" i="68"/>
  <c r="J206" i="68"/>
  <c r="J207" i="68"/>
  <c r="J208" i="68"/>
  <c r="J209" i="68"/>
  <c r="J210" i="68"/>
  <c r="J211" i="68"/>
  <c r="J212" i="68"/>
  <c r="J213" i="68"/>
  <c r="J214" i="68"/>
  <c r="J215" i="68"/>
  <c r="J216" i="68"/>
  <c r="J217" i="68"/>
  <c r="J218" i="68"/>
  <c r="J219" i="68"/>
  <c r="J220" i="68"/>
  <c r="J221" i="68"/>
  <c r="J222" i="68"/>
  <c r="J223" i="68"/>
  <c r="J224" i="68"/>
  <c r="J225" i="68"/>
  <c r="J226" i="68"/>
  <c r="J227" i="68"/>
  <c r="J228" i="68"/>
  <c r="J229" i="68"/>
  <c r="J230" i="68"/>
  <c r="J231" i="68"/>
  <c r="J232" i="68"/>
  <c r="J233" i="68"/>
  <c r="J234" i="68"/>
  <c r="J235" i="68"/>
  <c r="J236" i="68"/>
  <c r="J237" i="68"/>
  <c r="J238" i="68"/>
  <c r="J239" i="68"/>
  <c r="J240" i="68"/>
  <c r="J241" i="68"/>
  <c r="J242" i="68"/>
  <c r="J243" i="68"/>
  <c r="J244" i="68"/>
  <c r="J245" i="68"/>
  <c r="J246" i="68"/>
  <c r="J247" i="68"/>
  <c r="J248" i="68"/>
  <c r="J249" i="68"/>
  <c r="J250" i="68"/>
  <c r="J251" i="68"/>
  <c r="J252" i="68"/>
  <c r="J253" i="68"/>
  <c r="J254" i="68"/>
  <c r="J255" i="68"/>
  <c r="J256" i="68"/>
  <c r="J257" i="68"/>
  <c r="J258" i="68"/>
  <c r="J259" i="68"/>
  <c r="K13" i="68"/>
  <c r="K14" i="68"/>
  <c r="K15" i="68"/>
  <c r="K16" i="68"/>
  <c r="K17" i="68"/>
  <c r="K18" i="68"/>
  <c r="K19" i="68"/>
  <c r="K20" i="68"/>
  <c r="K21" i="68"/>
  <c r="K22" i="68"/>
  <c r="K23" i="68"/>
  <c r="K24" i="68"/>
  <c r="K25" i="68"/>
  <c r="K26" i="68"/>
  <c r="K27" i="68"/>
  <c r="K28" i="68"/>
  <c r="K29" i="68"/>
  <c r="K30" i="68"/>
  <c r="K31" i="68"/>
  <c r="K32" i="68"/>
  <c r="K33" i="68"/>
  <c r="K34" i="68"/>
  <c r="K35" i="68"/>
  <c r="K36" i="68"/>
  <c r="K37" i="68"/>
  <c r="K38" i="68"/>
  <c r="K39" i="68"/>
  <c r="K40" i="68"/>
  <c r="K41" i="68"/>
  <c r="K42" i="68"/>
  <c r="K43" i="68"/>
  <c r="K44" i="68"/>
  <c r="K45" i="68"/>
  <c r="K46" i="68"/>
  <c r="K47" i="68"/>
  <c r="K48" i="68"/>
  <c r="K49" i="68"/>
  <c r="K50" i="68"/>
  <c r="K51" i="68"/>
  <c r="K52" i="68"/>
  <c r="K53" i="68"/>
  <c r="K54" i="68"/>
  <c r="K55" i="68"/>
  <c r="K56" i="68"/>
  <c r="K57" i="68"/>
  <c r="K58" i="68"/>
  <c r="K59" i="68"/>
  <c r="K60" i="68"/>
  <c r="K61" i="68"/>
  <c r="K62" i="68"/>
  <c r="K63" i="68"/>
  <c r="K64" i="68"/>
  <c r="K65" i="68"/>
  <c r="K66" i="68"/>
  <c r="K67" i="68"/>
  <c r="K68" i="68"/>
  <c r="K69" i="68"/>
  <c r="K70" i="68"/>
  <c r="K71" i="68"/>
  <c r="K72" i="68"/>
  <c r="K73" i="68"/>
  <c r="K74" i="68"/>
  <c r="K75" i="68"/>
  <c r="K76" i="68"/>
  <c r="K77" i="68"/>
  <c r="K78" i="68"/>
  <c r="K79" i="68"/>
  <c r="K80" i="68"/>
  <c r="K81" i="68"/>
  <c r="K82" i="68"/>
  <c r="K83" i="68"/>
  <c r="K84" i="68"/>
  <c r="K85" i="68"/>
  <c r="K86" i="68"/>
  <c r="K87" i="68"/>
  <c r="K88" i="68"/>
  <c r="K89" i="68"/>
  <c r="K90" i="68"/>
  <c r="K91" i="68"/>
  <c r="K92" i="68"/>
  <c r="K93" i="68"/>
  <c r="K94" i="68"/>
  <c r="K95" i="68"/>
  <c r="K96" i="68"/>
  <c r="K97" i="68"/>
  <c r="K98" i="68"/>
  <c r="K99" i="68"/>
  <c r="K100" i="68"/>
  <c r="K101" i="68"/>
  <c r="K102" i="68"/>
  <c r="K103" i="68"/>
  <c r="K104" i="68"/>
  <c r="K105" i="68"/>
  <c r="K106" i="68"/>
  <c r="K107" i="68"/>
  <c r="K108" i="68"/>
  <c r="K109" i="68"/>
  <c r="K110" i="68"/>
  <c r="K111" i="68"/>
  <c r="K112" i="68"/>
  <c r="K113" i="68"/>
  <c r="K114" i="68"/>
  <c r="K115" i="68"/>
  <c r="K116" i="68"/>
  <c r="K117" i="68"/>
  <c r="K118" i="68"/>
  <c r="K119" i="68"/>
  <c r="K120" i="68"/>
  <c r="K121" i="68"/>
  <c r="K122" i="68"/>
  <c r="K123" i="68"/>
  <c r="K124" i="68"/>
  <c r="K125" i="68"/>
  <c r="K126" i="68"/>
  <c r="K127" i="68"/>
  <c r="K128" i="68"/>
  <c r="K129" i="68"/>
  <c r="K130" i="68"/>
  <c r="K131" i="68"/>
  <c r="K132" i="68"/>
  <c r="K133" i="68"/>
  <c r="K134" i="68"/>
  <c r="K135" i="68"/>
  <c r="K136" i="68"/>
  <c r="K137" i="68"/>
  <c r="K138" i="68"/>
  <c r="K139" i="68"/>
  <c r="K140" i="68"/>
  <c r="K141" i="68"/>
  <c r="K142" i="68"/>
  <c r="K143" i="68"/>
  <c r="K144" i="68"/>
  <c r="K145" i="68"/>
  <c r="K146" i="68"/>
  <c r="K147" i="68"/>
  <c r="K148" i="68"/>
  <c r="K149" i="68"/>
  <c r="K150" i="68"/>
  <c r="K151" i="68"/>
  <c r="K152" i="68"/>
  <c r="K153" i="68"/>
  <c r="K154" i="68"/>
  <c r="K155" i="68"/>
  <c r="K156" i="68"/>
  <c r="K157" i="68"/>
  <c r="K158" i="68"/>
  <c r="K159" i="68"/>
  <c r="K160" i="68"/>
  <c r="K161" i="68"/>
  <c r="K162" i="68"/>
  <c r="K163" i="68"/>
  <c r="K164" i="68"/>
  <c r="K165" i="68"/>
  <c r="K166" i="68"/>
  <c r="K167" i="68"/>
  <c r="K168" i="68"/>
  <c r="K169" i="68"/>
  <c r="K170" i="68"/>
  <c r="K171" i="68"/>
  <c r="K172" i="68"/>
  <c r="K173" i="68"/>
  <c r="K174" i="68"/>
  <c r="K175" i="68"/>
  <c r="K176" i="68"/>
  <c r="K177" i="68"/>
  <c r="K178" i="68"/>
  <c r="K179" i="68"/>
  <c r="K180" i="68"/>
  <c r="K181" i="68"/>
  <c r="K182" i="68"/>
  <c r="K183" i="68"/>
  <c r="K184" i="68"/>
  <c r="K185" i="68"/>
  <c r="K186" i="68"/>
  <c r="K187" i="68"/>
  <c r="K188" i="68"/>
  <c r="K189" i="68"/>
  <c r="K190" i="68"/>
  <c r="K191" i="68"/>
  <c r="K192" i="68"/>
  <c r="K193" i="68"/>
  <c r="K194" i="68"/>
  <c r="K195" i="68"/>
  <c r="K196" i="68"/>
  <c r="K197" i="68"/>
  <c r="K198" i="68"/>
  <c r="K199" i="68"/>
  <c r="K200" i="68"/>
  <c r="K201" i="68"/>
  <c r="K202" i="68"/>
  <c r="K203" i="68"/>
  <c r="K204" i="68"/>
  <c r="K205" i="68"/>
  <c r="K206" i="68"/>
  <c r="K207" i="68"/>
  <c r="K208" i="68"/>
  <c r="K209" i="68"/>
  <c r="K210" i="68"/>
  <c r="K211" i="68"/>
  <c r="K212" i="68"/>
  <c r="K213" i="68"/>
  <c r="K214" i="68"/>
  <c r="K215" i="68"/>
  <c r="K216" i="68"/>
  <c r="K217" i="68"/>
  <c r="K218" i="68"/>
  <c r="K219" i="68"/>
  <c r="K220" i="68"/>
  <c r="K221" i="68"/>
  <c r="K222" i="68"/>
  <c r="K223" i="68"/>
  <c r="K224" i="68"/>
  <c r="K225" i="68"/>
  <c r="K226" i="68"/>
  <c r="K227" i="68"/>
  <c r="K228" i="68"/>
  <c r="K229" i="68"/>
  <c r="K230" i="68"/>
  <c r="K231" i="68"/>
  <c r="K232" i="68"/>
  <c r="K233" i="68"/>
  <c r="K234" i="68"/>
  <c r="K235" i="68"/>
  <c r="K236" i="68"/>
  <c r="K237" i="68"/>
  <c r="K238" i="68"/>
  <c r="K239" i="68"/>
  <c r="K240" i="68"/>
  <c r="K241" i="68"/>
  <c r="K242" i="68"/>
  <c r="K243" i="68"/>
  <c r="K244" i="68"/>
  <c r="K245" i="68"/>
  <c r="K246" i="68"/>
  <c r="K247" i="68"/>
  <c r="K248" i="68"/>
  <c r="K249" i="68"/>
  <c r="K250" i="68"/>
  <c r="K251" i="68"/>
  <c r="K252" i="68"/>
  <c r="K253" i="68"/>
  <c r="K254" i="68"/>
  <c r="K255" i="68"/>
  <c r="K256" i="68"/>
  <c r="K257" i="68"/>
  <c r="K258" i="68"/>
  <c r="K259" i="68"/>
  <c r="K12" i="68"/>
  <c r="J12" i="68"/>
  <c r="X13" i="65"/>
  <c r="X14" i="65"/>
  <c r="X15" i="65"/>
  <c r="X16" i="65"/>
  <c r="X17" i="65"/>
  <c r="X18" i="65"/>
  <c r="X19" i="65"/>
  <c r="X20" i="65"/>
  <c r="X21" i="65"/>
  <c r="X22" i="65"/>
  <c r="X23" i="65"/>
  <c r="X24" i="65"/>
  <c r="X25" i="65"/>
  <c r="X26" i="65"/>
  <c r="X27" i="65"/>
  <c r="X28" i="65"/>
  <c r="X29" i="65"/>
  <c r="X30" i="65"/>
  <c r="X31" i="65"/>
  <c r="X32" i="65"/>
  <c r="X33" i="65"/>
  <c r="X34" i="65"/>
  <c r="X35" i="65"/>
  <c r="X36" i="65"/>
  <c r="X37" i="65"/>
  <c r="X38" i="65"/>
  <c r="X39" i="65"/>
  <c r="X40" i="65"/>
  <c r="X41" i="65"/>
  <c r="X42" i="65"/>
  <c r="X43" i="65"/>
  <c r="X44" i="65"/>
  <c r="X45" i="65"/>
  <c r="X46" i="65"/>
  <c r="X47" i="65"/>
  <c r="X48" i="65"/>
  <c r="X49" i="65"/>
  <c r="X50" i="65"/>
  <c r="X51" i="65"/>
  <c r="X52" i="65"/>
  <c r="X53" i="65"/>
  <c r="X54" i="65"/>
  <c r="X55" i="65"/>
  <c r="X56" i="65"/>
  <c r="X57" i="65"/>
  <c r="X58" i="65"/>
  <c r="X59" i="65"/>
  <c r="X60" i="65"/>
  <c r="X61" i="65"/>
  <c r="X62" i="65"/>
  <c r="X63" i="65"/>
  <c r="X64" i="65"/>
  <c r="X65" i="65"/>
  <c r="X66" i="65"/>
  <c r="X67" i="65"/>
  <c r="X68" i="65"/>
  <c r="X69" i="65"/>
  <c r="X70" i="65"/>
  <c r="X71" i="65"/>
  <c r="X72" i="65"/>
  <c r="X73" i="65"/>
  <c r="X74" i="65"/>
  <c r="X75" i="65"/>
  <c r="X76" i="65"/>
  <c r="X77" i="65"/>
  <c r="X78" i="65"/>
  <c r="X79" i="65"/>
  <c r="X80" i="65"/>
  <c r="X81" i="65"/>
  <c r="X82" i="65"/>
  <c r="X83" i="65"/>
  <c r="X84" i="65"/>
  <c r="X85" i="65"/>
  <c r="X86" i="65"/>
  <c r="X87" i="65"/>
  <c r="X88" i="65"/>
  <c r="X89" i="65"/>
  <c r="X90" i="65"/>
  <c r="X91" i="65"/>
  <c r="X92" i="65"/>
  <c r="X93" i="65"/>
  <c r="X94" i="65"/>
  <c r="X95" i="65"/>
  <c r="X96" i="65"/>
  <c r="X97" i="65"/>
  <c r="X98" i="65"/>
  <c r="X99" i="65"/>
  <c r="X100" i="65"/>
  <c r="X101" i="65"/>
  <c r="X102" i="65"/>
  <c r="X103" i="65"/>
  <c r="X104" i="65"/>
  <c r="X105" i="65"/>
  <c r="X106" i="65"/>
  <c r="X107" i="65"/>
  <c r="X108" i="65"/>
  <c r="X109" i="65"/>
  <c r="X110" i="65"/>
  <c r="X111" i="65"/>
  <c r="X112" i="65"/>
  <c r="X113" i="65"/>
  <c r="X114" i="65"/>
  <c r="X115" i="65"/>
  <c r="X116" i="65"/>
  <c r="X117" i="65"/>
  <c r="X118" i="65"/>
  <c r="X119" i="65"/>
  <c r="X120" i="65"/>
  <c r="X121" i="65"/>
  <c r="X122" i="65"/>
  <c r="X123" i="65"/>
  <c r="X124" i="65"/>
  <c r="X125" i="65"/>
  <c r="X126" i="65"/>
  <c r="X127" i="65"/>
  <c r="X128" i="65"/>
  <c r="X129" i="65"/>
  <c r="X130" i="65"/>
  <c r="X131" i="65"/>
  <c r="X132" i="65"/>
  <c r="X133" i="65"/>
  <c r="X134" i="65"/>
  <c r="X135" i="65"/>
  <c r="X136" i="65"/>
  <c r="X137" i="65"/>
  <c r="X138" i="65"/>
  <c r="X139" i="65"/>
  <c r="X140" i="65"/>
  <c r="X141" i="65"/>
  <c r="X142" i="65"/>
  <c r="X143" i="65"/>
  <c r="X144" i="65"/>
  <c r="X145" i="65"/>
  <c r="X146" i="65"/>
  <c r="X147" i="65"/>
  <c r="X148" i="65"/>
  <c r="X149" i="65"/>
  <c r="X150" i="65"/>
  <c r="X151" i="65"/>
  <c r="X152" i="65"/>
  <c r="X153" i="65"/>
  <c r="X154" i="65"/>
  <c r="X155" i="65"/>
  <c r="X156" i="65"/>
  <c r="X157" i="65"/>
  <c r="X158" i="65"/>
  <c r="X159" i="65"/>
  <c r="X160" i="65"/>
  <c r="X161" i="65"/>
  <c r="X162" i="65"/>
  <c r="X163" i="65"/>
  <c r="X164" i="65"/>
  <c r="X165" i="65"/>
  <c r="X166" i="65"/>
  <c r="X167" i="65"/>
  <c r="X168" i="65"/>
  <c r="X169" i="65"/>
  <c r="X170" i="65"/>
  <c r="X171" i="65"/>
  <c r="X172" i="65"/>
  <c r="X173" i="65"/>
  <c r="X174" i="65"/>
  <c r="X175" i="65"/>
  <c r="X176" i="65"/>
  <c r="X177" i="65"/>
  <c r="X178" i="65"/>
  <c r="X179" i="65"/>
  <c r="X180" i="65"/>
  <c r="X181" i="65"/>
  <c r="X182" i="65"/>
  <c r="X183" i="65"/>
  <c r="X184" i="65"/>
  <c r="X185" i="65"/>
  <c r="X186" i="65"/>
  <c r="X187" i="65"/>
  <c r="X188" i="65"/>
  <c r="X189" i="65"/>
  <c r="X190" i="65"/>
  <c r="X191" i="65"/>
  <c r="X192" i="65"/>
  <c r="X193" i="65"/>
  <c r="X194" i="65"/>
  <c r="X195" i="65"/>
  <c r="X196" i="65"/>
  <c r="X197" i="65"/>
  <c r="X198" i="65"/>
  <c r="X199" i="65"/>
  <c r="X200" i="65"/>
  <c r="X201" i="65"/>
  <c r="X202" i="65"/>
  <c r="X203" i="65"/>
  <c r="X204" i="65"/>
  <c r="X205" i="65"/>
  <c r="X206" i="65"/>
  <c r="X207" i="65"/>
  <c r="X208" i="65"/>
  <c r="X209" i="65"/>
  <c r="X210" i="65"/>
  <c r="X211" i="65"/>
  <c r="X212" i="65"/>
  <c r="X213" i="65"/>
  <c r="X214" i="65"/>
  <c r="X215" i="65"/>
  <c r="X216" i="65"/>
  <c r="X217" i="65"/>
  <c r="X218" i="65"/>
  <c r="X219" i="65"/>
  <c r="X220" i="65"/>
  <c r="X221" i="65"/>
  <c r="X222" i="65"/>
  <c r="X223" i="65"/>
  <c r="X224" i="65"/>
  <c r="X225" i="65"/>
  <c r="X226" i="65"/>
  <c r="X227" i="65"/>
  <c r="X228" i="65"/>
  <c r="X229" i="65"/>
  <c r="X230" i="65"/>
  <c r="X231" i="65"/>
  <c r="X232" i="65"/>
  <c r="X233" i="65"/>
  <c r="X234" i="65"/>
  <c r="X235" i="65"/>
  <c r="X236" i="65"/>
  <c r="X237" i="65"/>
  <c r="X238" i="65"/>
  <c r="X239" i="65"/>
  <c r="X240" i="65"/>
  <c r="X241" i="65"/>
  <c r="X242" i="65"/>
  <c r="X243" i="65"/>
  <c r="X244" i="65"/>
  <c r="X245" i="65"/>
  <c r="X246" i="65"/>
  <c r="X247" i="65"/>
  <c r="X248" i="65"/>
  <c r="X249" i="65"/>
  <c r="X250" i="65"/>
  <c r="X251" i="65"/>
  <c r="X252" i="65"/>
  <c r="X253" i="65"/>
  <c r="X254" i="65"/>
  <c r="X255" i="65"/>
  <c r="X256" i="65"/>
  <c r="X257" i="65"/>
  <c r="X12" i="65"/>
  <c r="W12" i="65"/>
  <c r="W13" i="65"/>
  <c r="W14" i="65"/>
  <c r="W15" i="65"/>
  <c r="W16" i="65"/>
  <c r="W17" i="65"/>
  <c r="W18" i="65"/>
  <c r="W19" i="65"/>
  <c r="W20" i="65"/>
  <c r="W21" i="65"/>
  <c r="W22" i="65"/>
  <c r="W23" i="65"/>
  <c r="W24" i="65"/>
  <c r="W25" i="65"/>
  <c r="W26" i="65"/>
  <c r="W27" i="65"/>
  <c r="W28" i="65"/>
  <c r="W29" i="65"/>
  <c r="W30" i="65"/>
  <c r="W31" i="65"/>
  <c r="W32" i="65"/>
  <c r="W33" i="65"/>
  <c r="W34" i="65"/>
  <c r="W35" i="65"/>
  <c r="W36" i="65"/>
  <c r="W37" i="65"/>
  <c r="W38" i="65"/>
  <c r="W39" i="65"/>
  <c r="W40" i="65"/>
  <c r="W41" i="65"/>
  <c r="W42" i="65"/>
  <c r="W43" i="65"/>
  <c r="W44" i="65"/>
  <c r="W45" i="65"/>
  <c r="W46" i="65"/>
  <c r="W47" i="65"/>
  <c r="W48" i="65"/>
  <c r="W49" i="65"/>
  <c r="W50" i="65"/>
  <c r="W51" i="65"/>
  <c r="W52" i="65"/>
  <c r="W53" i="65"/>
  <c r="W54" i="65"/>
  <c r="W55" i="65"/>
  <c r="W56" i="65"/>
  <c r="W57" i="65"/>
  <c r="W58" i="65"/>
  <c r="W59" i="65"/>
  <c r="W60" i="65"/>
  <c r="W61" i="65"/>
  <c r="W62" i="65"/>
  <c r="W63" i="65"/>
  <c r="W64" i="65"/>
  <c r="W65" i="65"/>
  <c r="W66" i="65"/>
  <c r="W67" i="65"/>
  <c r="W68" i="65"/>
  <c r="W69" i="65"/>
  <c r="W70" i="65"/>
  <c r="W71" i="65"/>
  <c r="W72" i="65"/>
  <c r="W73" i="65"/>
  <c r="W74" i="65"/>
  <c r="W75" i="65"/>
  <c r="W76" i="65"/>
  <c r="W77" i="65"/>
  <c r="W78" i="65"/>
  <c r="W79" i="65"/>
  <c r="W80" i="65"/>
  <c r="W81" i="65"/>
  <c r="W82" i="65"/>
  <c r="W83" i="65"/>
  <c r="W84" i="65"/>
  <c r="W85" i="65"/>
  <c r="W86" i="65"/>
  <c r="W87" i="65"/>
  <c r="W88" i="65"/>
  <c r="W89" i="65"/>
  <c r="W90" i="65"/>
  <c r="W91" i="65"/>
  <c r="W92" i="65"/>
  <c r="W93" i="65"/>
  <c r="W94" i="65"/>
  <c r="W95" i="65"/>
  <c r="W96" i="65"/>
  <c r="W97" i="65"/>
  <c r="W98" i="65"/>
  <c r="W99" i="65"/>
  <c r="W100" i="65"/>
  <c r="W101" i="65"/>
  <c r="W102" i="65"/>
  <c r="W103" i="65"/>
  <c r="W104" i="65"/>
  <c r="W105" i="65"/>
  <c r="W106" i="65"/>
  <c r="W107" i="65"/>
  <c r="W108" i="65"/>
  <c r="W109" i="65"/>
  <c r="W110" i="65"/>
  <c r="W111" i="65"/>
  <c r="W112" i="65"/>
  <c r="W113" i="65"/>
  <c r="W114" i="65"/>
  <c r="W115" i="65"/>
  <c r="W116" i="65"/>
  <c r="W117" i="65"/>
  <c r="W118" i="65"/>
  <c r="W119" i="65"/>
  <c r="W120" i="65"/>
  <c r="W121" i="65"/>
  <c r="W122" i="65"/>
  <c r="W123" i="65"/>
  <c r="W124" i="65"/>
  <c r="W125" i="65"/>
  <c r="W126" i="65"/>
  <c r="W127" i="65"/>
  <c r="W128" i="65"/>
  <c r="W129" i="65"/>
  <c r="W130" i="65"/>
  <c r="W131" i="65"/>
  <c r="W132" i="65"/>
  <c r="W133" i="65"/>
  <c r="W134" i="65"/>
  <c r="W135" i="65"/>
  <c r="W136" i="65"/>
  <c r="W137" i="65"/>
  <c r="W138" i="65"/>
  <c r="W139" i="65"/>
  <c r="W140" i="65"/>
  <c r="W141" i="65"/>
  <c r="W142" i="65"/>
  <c r="W143" i="65"/>
  <c r="W144" i="65"/>
  <c r="W145" i="65"/>
  <c r="W146" i="65"/>
  <c r="W147" i="65"/>
  <c r="W148" i="65"/>
  <c r="W149" i="65"/>
  <c r="W150" i="65"/>
  <c r="W151" i="65"/>
  <c r="W152" i="65"/>
  <c r="W153" i="65"/>
  <c r="W154" i="65"/>
  <c r="W155" i="65"/>
  <c r="W156" i="65"/>
  <c r="W157" i="65"/>
  <c r="W158" i="65"/>
  <c r="W159" i="65"/>
  <c r="W160" i="65"/>
  <c r="W161" i="65"/>
  <c r="W162" i="65"/>
  <c r="W163" i="65"/>
  <c r="W164" i="65"/>
  <c r="W165" i="65"/>
  <c r="W166" i="65"/>
  <c r="W167" i="65"/>
  <c r="W168" i="65"/>
  <c r="W169" i="65"/>
  <c r="W170" i="65"/>
  <c r="W171" i="65"/>
  <c r="W172" i="65"/>
  <c r="W173" i="65"/>
  <c r="W174" i="65"/>
  <c r="W175" i="65"/>
  <c r="W176" i="65"/>
  <c r="W177" i="65"/>
  <c r="W178" i="65"/>
  <c r="W179" i="65"/>
  <c r="W180" i="65"/>
  <c r="W181" i="65"/>
  <c r="W182" i="65"/>
  <c r="W183" i="65"/>
  <c r="W184" i="65"/>
  <c r="W185" i="65"/>
  <c r="W186" i="65"/>
  <c r="W187" i="65"/>
  <c r="W188" i="65"/>
  <c r="W189" i="65"/>
  <c r="W190" i="65"/>
  <c r="W191" i="65"/>
  <c r="W192" i="65"/>
  <c r="W193" i="65"/>
  <c r="W194" i="65"/>
  <c r="W195" i="65"/>
  <c r="W196" i="65"/>
  <c r="W197" i="65"/>
  <c r="W198" i="65"/>
  <c r="W199" i="65"/>
  <c r="W200" i="65"/>
  <c r="W201" i="65"/>
  <c r="W202" i="65"/>
  <c r="W203" i="65"/>
  <c r="W204" i="65"/>
  <c r="W205" i="65"/>
  <c r="W206" i="65"/>
  <c r="W207" i="65"/>
  <c r="W208" i="65"/>
  <c r="W209" i="65"/>
  <c r="W210" i="65"/>
  <c r="W211" i="65"/>
  <c r="W212" i="65"/>
  <c r="W213" i="65"/>
  <c r="W214" i="65"/>
  <c r="W215" i="65"/>
  <c r="W216" i="65"/>
  <c r="W217" i="65"/>
  <c r="W218" i="65"/>
  <c r="W219" i="65"/>
  <c r="W220" i="65"/>
  <c r="W221" i="65"/>
  <c r="W222" i="65"/>
  <c r="W223" i="65"/>
  <c r="W224" i="65"/>
  <c r="W225" i="65"/>
  <c r="W226" i="65"/>
  <c r="W227" i="65"/>
  <c r="W228" i="65"/>
  <c r="W229" i="65"/>
  <c r="W230" i="65"/>
  <c r="W231" i="65"/>
  <c r="W232" i="65"/>
  <c r="W233" i="65"/>
  <c r="W234" i="65"/>
  <c r="W235" i="65"/>
  <c r="W236" i="65"/>
  <c r="W237" i="65"/>
  <c r="W238" i="65"/>
  <c r="W239" i="65"/>
  <c r="W240" i="65"/>
  <c r="W241" i="65"/>
  <c r="W242" i="65"/>
  <c r="W243" i="65"/>
  <c r="W244" i="65"/>
  <c r="W245" i="65"/>
  <c r="W246" i="65"/>
  <c r="W247" i="65"/>
  <c r="W248" i="65"/>
  <c r="W249" i="65"/>
  <c r="W250" i="65"/>
  <c r="W251" i="65"/>
  <c r="W252" i="65"/>
  <c r="W253" i="65"/>
  <c r="W254" i="65"/>
  <c r="W255" i="65"/>
  <c r="W256" i="65"/>
  <c r="W257" i="65"/>
  <c r="K13" i="64"/>
  <c r="K14" i="64"/>
  <c r="K15" i="64"/>
  <c r="K16" i="64"/>
  <c r="K17" i="64"/>
  <c r="K18" i="64"/>
  <c r="K19" i="64"/>
  <c r="K20" i="64"/>
  <c r="K21" i="64"/>
  <c r="K22" i="64"/>
  <c r="K23" i="64"/>
  <c r="K24" i="64"/>
  <c r="K25" i="64"/>
  <c r="K26" i="64"/>
  <c r="K27" i="64"/>
  <c r="K28" i="64"/>
  <c r="K29" i="64"/>
  <c r="K30" i="64"/>
  <c r="K31" i="64"/>
  <c r="K32" i="64"/>
  <c r="K33" i="64"/>
  <c r="K34" i="64"/>
  <c r="K35" i="64"/>
  <c r="K36" i="64"/>
  <c r="K37" i="64"/>
  <c r="K38" i="64"/>
  <c r="K39" i="64"/>
  <c r="K40" i="64"/>
  <c r="K41" i="64"/>
  <c r="K42" i="64"/>
  <c r="K43" i="64"/>
  <c r="K44" i="64"/>
  <c r="K45" i="64"/>
  <c r="K46" i="64"/>
  <c r="K47" i="64"/>
  <c r="K48" i="64"/>
  <c r="K49" i="64"/>
  <c r="K50" i="64"/>
  <c r="K51" i="64"/>
  <c r="K52" i="64"/>
  <c r="K53" i="64"/>
  <c r="K54" i="64"/>
  <c r="K55" i="64"/>
  <c r="K56" i="64"/>
  <c r="K57" i="64"/>
  <c r="K58" i="64"/>
  <c r="K59" i="64"/>
  <c r="K60" i="64"/>
  <c r="K61" i="64"/>
  <c r="K62" i="64"/>
  <c r="K63" i="64"/>
  <c r="K64" i="64"/>
  <c r="K65" i="64"/>
  <c r="K66" i="64"/>
  <c r="K67" i="64"/>
  <c r="K68" i="64"/>
  <c r="K69" i="64"/>
  <c r="K70" i="64"/>
  <c r="K71" i="64"/>
  <c r="K72" i="64"/>
  <c r="K73" i="64"/>
  <c r="K74" i="64"/>
  <c r="K75" i="64"/>
  <c r="K76" i="64"/>
  <c r="K77" i="64"/>
  <c r="K78" i="64"/>
  <c r="K79" i="64"/>
  <c r="K80" i="64"/>
  <c r="K81" i="64"/>
  <c r="K82" i="64"/>
  <c r="K83" i="64"/>
  <c r="K84" i="64"/>
  <c r="K85" i="64"/>
  <c r="K86" i="64"/>
  <c r="K87" i="64"/>
  <c r="K88" i="64"/>
  <c r="K89" i="64"/>
  <c r="K90" i="64"/>
  <c r="K91" i="64"/>
  <c r="K92" i="64"/>
  <c r="K93" i="64"/>
  <c r="K94" i="64"/>
  <c r="K95" i="64"/>
  <c r="K96" i="64"/>
  <c r="K97" i="64"/>
  <c r="K98" i="64"/>
  <c r="K99" i="64"/>
  <c r="K100" i="64"/>
  <c r="K101" i="64"/>
  <c r="K102" i="64"/>
  <c r="K103" i="64"/>
  <c r="K104" i="64"/>
  <c r="K105" i="64"/>
  <c r="K106" i="64"/>
  <c r="K107" i="64"/>
  <c r="K108" i="64"/>
  <c r="K109" i="64"/>
  <c r="K110" i="64"/>
  <c r="K111" i="64"/>
  <c r="K112" i="64"/>
  <c r="K113" i="64"/>
  <c r="K114" i="64"/>
  <c r="K115" i="64"/>
  <c r="K116" i="64"/>
  <c r="K117" i="64"/>
  <c r="K118" i="64"/>
  <c r="K119" i="64"/>
  <c r="K120" i="64"/>
  <c r="K121" i="64"/>
  <c r="K122" i="64"/>
  <c r="K123" i="64"/>
  <c r="K124" i="64"/>
  <c r="K125" i="64"/>
  <c r="K126" i="64"/>
  <c r="K127" i="64"/>
  <c r="K128" i="64"/>
  <c r="K129" i="64"/>
  <c r="K130" i="64"/>
  <c r="K131" i="64"/>
  <c r="K132" i="64"/>
  <c r="K133" i="64"/>
  <c r="K134" i="64"/>
  <c r="K135" i="64"/>
  <c r="K136" i="64"/>
  <c r="K137" i="64"/>
  <c r="K138" i="64"/>
  <c r="K139" i="64"/>
  <c r="K140" i="64"/>
  <c r="K141" i="64"/>
  <c r="K142" i="64"/>
  <c r="K143" i="64"/>
  <c r="K144" i="64"/>
  <c r="K145" i="64"/>
  <c r="K146" i="64"/>
  <c r="K147" i="64"/>
  <c r="K148" i="64"/>
  <c r="K149" i="64"/>
  <c r="K150" i="64"/>
  <c r="K151" i="64"/>
  <c r="K152" i="64"/>
  <c r="K153" i="64"/>
  <c r="K154" i="64"/>
  <c r="K155" i="64"/>
  <c r="K156" i="64"/>
  <c r="K157" i="64"/>
  <c r="K158" i="64"/>
  <c r="K159" i="64"/>
  <c r="K160" i="64"/>
  <c r="K161" i="64"/>
  <c r="K162" i="64"/>
  <c r="K163" i="64"/>
  <c r="K164" i="64"/>
  <c r="K165" i="64"/>
  <c r="K166" i="64"/>
  <c r="K167" i="64"/>
  <c r="K168" i="64"/>
  <c r="K169" i="64"/>
  <c r="K170" i="64"/>
  <c r="K171" i="64"/>
  <c r="K172" i="64"/>
  <c r="K173" i="64"/>
  <c r="K174" i="64"/>
  <c r="K175" i="64"/>
  <c r="K176" i="64"/>
  <c r="K177" i="64"/>
  <c r="K178" i="64"/>
  <c r="K179" i="64"/>
  <c r="K180" i="64"/>
  <c r="K181" i="64"/>
  <c r="K182" i="64"/>
  <c r="K183" i="64"/>
  <c r="K184" i="64"/>
  <c r="K185" i="64"/>
  <c r="K186" i="64"/>
  <c r="K187" i="64"/>
  <c r="K188" i="64"/>
  <c r="K189" i="64"/>
  <c r="K190" i="64"/>
  <c r="K191" i="64"/>
  <c r="K192" i="64"/>
  <c r="K193" i="64"/>
  <c r="K194" i="64"/>
  <c r="K195" i="64"/>
  <c r="K196" i="64"/>
  <c r="K197" i="64"/>
  <c r="K198" i="64"/>
  <c r="K199" i="64"/>
  <c r="K200" i="64"/>
  <c r="K201" i="64"/>
  <c r="K202" i="64"/>
  <c r="K203" i="64"/>
  <c r="K204" i="64"/>
  <c r="K205" i="64"/>
  <c r="K206" i="64"/>
  <c r="K207" i="64"/>
  <c r="K208" i="64"/>
  <c r="K209" i="64"/>
  <c r="K210" i="64"/>
  <c r="K211" i="64"/>
  <c r="K212" i="64"/>
  <c r="K213" i="64"/>
  <c r="K214" i="64"/>
  <c r="K215" i="64"/>
  <c r="K216" i="64"/>
  <c r="K217" i="64"/>
  <c r="K218" i="64"/>
  <c r="K219" i="64"/>
  <c r="K220" i="64"/>
  <c r="K221" i="64"/>
  <c r="K222" i="64"/>
  <c r="K223" i="64"/>
  <c r="K224" i="64"/>
  <c r="K225" i="64"/>
  <c r="K226" i="64"/>
  <c r="K227" i="64"/>
  <c r="K228" i="64"/>
  <c r="K229" i="64"/>
  <c r="K230" i="64"/>
  <c r="K231" i="64"/>
  <c r="K232" i="64"/>
  <c r="K233" i="64"/>
  <c r="K234" i="64"/>
  <c r="K235" i="64"/>
  <c r="K236" i="64"/>
  <c r="K237" i="64"/>
  <c r="K238" i="64"/>
  <c r="K239" i="64"/>
  <c r="K240" i="64"/>
  <c r="K241" i="64"/>
  <c r="K242" i="64"/>
  <c r="K243" i="64"/>
  <c r="K244" i="64"/>
  <c r="K245" i="64"/>
  <c r="K246" i="64"/>
  <c r="K247" i="64"/>
  <c r="K248" i="64"/>
  <c r="K249" i="64"/>
  <c r="K250" i="64"/>
  <c r="K251" i="64"/>
  <c r="K252" i="64"/>
  <c r="K253" i="64"/>
  <c r="K254" i="64"/>
  <c r="K255" i="64"/>
  <c r="K256" i="64"/>
  <c r="K257" i="64"/>
  <c r="K258" i="64"/>
  <c r="K259" i="64"/>
  <c r="J13" i="64"/>
  <c r="J14" i="64"/>
  <c r="J15" i="64"/>
  <c r="J16" i="64"/>
  <c r="J17" i="64"/>
  <c r="J18" i="64"/>
  <c r="J19" i="64"/>
  <c r="J20" i="64"/>
  <c r="J21" i="64"/>
  <c r="J22" i="64"/>
  <c r="J23" i="64"/>
  <c r="J24" i="64"/>
  <c r="J25" i="64"/>
  <c r="J26" i="64"/>
  <c r="J27" i="64"/>
  <c r="J28" i="64"/>
  <c r="J29" i="64"/>
  <c r="J30" i="64"/>
  <c r="J31" i="64"/>
  <c r="J32" i="64"/>
  <c r="J33" i="64"/>
  <c r="J34" i="64"/>
  <c r="J35" i="64"/>
  <c r="J36" i="64"/>
  <c r="J37" i="64"/>
  <c r="J38" i="64"/>
  <c r="J39" i="64"/>
  <c r="J40" i="64"/>
  <c r="J41" i="64"/>
  <c r="J42" i="64"/>
  <c r="J43" i="64"/>
  <c r="J44" i="64"/>
  <c r="J45" i="64"/>
  <c r="J46" i="64"/>
  <c r="J47" i="64"/>
  <c r="J48" i="64"/>
  <c r="J49" i="64"/>
  <c r="J50" i="64"/>
  <c r="J51" i="64"/>
  <c r="J52" i="64"/>
  <c r="J53" i="64"/>
  <c r="J54" i="64"/>
  <c r="J55" i="64"/>
  <c r="J56" i="64"/>
  <c r="J57" i="64"/>
  <c r="J58" i="64"/>
  <c r="J59" i="64"/>
  <c r="J60" i="64"/>
  <c r="J61" i="64"/>
  <c r="J62" i="64"/>
  <c r="J63" i="64"/>
  <c r="J64" i="64"/>
  <c r="J65" i="64"/>
  <c r="J66" i="64"/>
  <c r="J67" i="64"/>
  <c r="J68" i="64"/>
  <c r="J69" i="64"/>
  <c r="J70" i="64"/>
  <c r="J71" i="64"/>
  <c r="J72" i="64"/>
  <c r="J73" i="64"/>
  <c r="J74" i="64"/>
  <c r="J75" i="64"/>
  <c r="J76" i="64"/>
  <c r="J77" i="64"/>
  <c r="J78" i="64"/>
  <c r="J79" i="64"/>
  <c r="J80" i="64"/>
  <c r="J81" i="64"/>
  <c r="J82" i="64"/>
  <c r="J83" i="64"/>
  <c r="J84" i="64"/>
  <c r="J85" i="64"/>
  <c r="J86" i="64"/>
  <c r="J87" i="64"/>
  <c r="J88" i="64"/>
  <c r="J89" i="64"/>
  <c r="J90" i="64"/>
  <c r="J91" i="64"/>
  <c r="J92" i="64"/>
  <c r="J93" i="64"/>
  <c r="J94" i="64"/>
  <c r="J95" i="64"/>
  <c r="J96" i="64"/>
  <c r="J97" i="64"/>
  <c r="J98" i="64"/>
  <c r="J99" i="64"/>
  <c r="J100" i="64"/>
  <c r="J101" i="64"/>
  <c r="J102" i="64"/>
  <c r="J103" i="64"/>
  <c r="J104" i="64"/>
  <c r="J105" i="64"/>
  <c r="J106" i="64"/>
  <c r="J107" i="64"/>
  <c r="J108" i="64"/>
  <c r="J109" i="64"/>
  <c r="J110" i="64"/>
  <c r="J111" i="64"/>
  <c r="J112" i="64"/>
  <c r="J113" i="64"/>
  <c r="J114" i="64"/>
  <c r="J115" i="64"/>
  <c r="J116" i="64"/>
  <c r="J117" i="64"/>
  <c r="J118" i="64"/>
  <c r="J119" i="64"/>
  <c r="J120" i="64"/>
  <c r="J121" i="64"/>
  <c r="J122" i="64"/>
  <c r="J123" i="64"/>
  <c r="J124" i="64"/>
  <c r="J125" i="64"/>
  <c r="J126" i="64"/>
  <c r="J127" i="64"/>
  <c r="J128" i="64"/>
  <c r="J129" i="64"/>
  <c r="J130" i="64"/>
  <c r="J131" i="64"/>
  <c r="J132" i="64"/>
  <c r="J133" i="64"/>
  <c r="J134" i="64"/>
  <c r="J135" i="64"/>
  <c r="J136" i="64"/>
  <c r="J137" i="64"/>
  <c r="J138" i="64"/>
  <c r="J139" i="64"/>
  <c r="J140" i="64"/>
  <c r="J141" i="64"/>
  <c r="J142" i="64"/>
  <c r="J143" i="64"/>
  <c r="J144" i="64"/>
  <c r="J145" i="64"/>
  <c r="J146" i="64"/>
  <c r="J147" i="64"/>
  <c r="J148" i="64"/>
  <c r="J149" i="64"/>
  <c r="J150" i="64"/>
  <c r="J151" i="64"/>
  <c r="J152" i="64"/>
  <c r="J153" i="64"/>
  <c r="J154" i="64"/>
  <c r="J155" i="64"/>
  <c r="J156" i="64"/>
  <c r="J157" i="64"/>
  <c r="J158" i="64"/>
  <c r="J159" i="64"/>
  <c r="J160" i="64"/>
  <c r="J161" i="64"/>
  <c r="J162" i="64"/>
  <c r="J163" i="64"/>
  <c r="J164" i="64"/>
  <c r="J165" i="64"/>
  <c r="J166" i="64"/>
  <c r="J167" i="64"/>
  <c r="J168" i="64"/>
  <c r="J169" i="64"/>
  <c r="J170" i="64"/>
  <c r="J171" i="64"/>
  <c r="J172" i="64"/>
  <c r="J173" i="64"/>
  <c r="J174" i="64"/>
  <c r="J175" i="64"/>
  <c r="J176" i="64"/>
  <c r="J177" i="64"/>
  <c r="J178" i="64"/>
  <c r="J179" i="64"/>
  <c r="J180" i="64"/>
  <c r="J181" i="64"/>
  <c r="J182" i="64"/>
  <c r="J183" i="64"/>
  <c r="J184" i="64"/>
  <c r="J185" i="64"/>
  <c r="J186" i="64"/>
  <c r="J187" i="64"/>
  <c r="J188" i="64"/>
  <c r="J189" i="64"/>
  <c r="J190" i="64"/>
  <c r="J191" i="64"/>
  <c r="J192" i="64"/>
  <c r="J193" i="64"/>
  <c r="J194" i="64"/>
  <c r="J195" i="64"/>
  <c r="J196" i="64"/>
  <c r="J197" i="64"/>
  <c r="J198" i="64"/>
  <c r="J199" i="64"/>
  <c r="J200" i="64"/>
  <c r="J201" i="64"/>
  <c r="J202" i="64"/>
  <c r="J203" i="64"/>
  <c r="J204" i="64"/>
  <c r="J205" i="64"/>
  <c r="J206" i="64"/>
  <c r="J207" i="64"/>
  <c r="J208" i="64"/>
  <c r="J209" i="64"/>
  <c r="J210" i="64"/>
  <c r="J211" i="64"/>
  <c r="J212" i="64"/>
  <c r="J213" i="64"/>
  <c r="J214" i="64"/>
  <c r="J215" i="64"/>
  <c r="J216" i="64"/>
  <c r="J217" i="64"/>
  <c r="J218" i="64"/>
  <c r="J219" i="64"/>
  <c r="J220" i="64"/>
  <c r="J221" i="64"/>
  <c r="J222" i="64"/>
  <c r="J223" i="64"/>
  <c r="J224" i="64"/>
  <c r="J225" i="64"/>
  <c r="J226" i="64"/>
  <c r="J227" i="64"/>
  <c r="J228" i="64"/>
  <c r="J229" i="64"/>
  <c r="J230" i="64"/>
  <c r="J231" i="64"/>
  <c r="J232" i="64"/>
  <c r="J233" i="64"/>
  <c r="J234" i="64"/>
  <c r="J235" i="64"/>
  <c r="J236" i="64"/>
  <c r="J237" i="64"/>
  <c r="J238" i="64"/>
  <c r="J239" i="64"/>
  <c r="J240" i="64"/>
  <c r="J241" i="64"/>
  <c r="J242" i="64"/>
  <c r="J243" i="64"/>
  <c r="J244" i="64"/>
  <c r="J245" i="64"/>
  <c r="J246" i="64"/>
  <c r="J247" i="64"/>
  <c r="J248" i="64"/>
  <c r="J249" i="64"/>
  <c r="J250" i="64"/>
  <c r="J251" i="64"/>
  <c r="J252" i="64"/>
  <c r="J253" i="64"/>
  <c r="J254" i="64"/>
  <c r="J255" i="64"/>
  <c r="J256" i="64"/>
  <c r="J257" i="64"/>
  <c r="J258" i="64"/>
  <c r="J259" i="64"/>
  <c r="K12" i="64"/>
  <c r="J12" i="64"/>
  <c r="K10" i="63"/>
  <c r="K11" i="63"/>
  <c r="K12" i="63"/>
  <c r="K13" i="63"/>
  <c r="K14" i="63"/>
  <c r="K15" i="63"/>
  <c r="K16" i="63"/>
  <c r="K17" i="63"/>
  <c r="K18" i="63"/>
  <c r="K19" i="63"/>
  <c r="K20" i="63"/>
  <c r="K21" i="63"/>
  <c r="K22" i="63"/>
  <c r="K23" i="63"/>
  <c r="K24" i="63"/>
  <c r="K25" i="63"/>
  <c r="K26" i="63"/>
  <c r="K27" i="63"/>
  <c r="K28" i="63"/>
  <c r="K29" i="63"/>
  <c r="K30" i="63"/>
  <c r="K31" i="63"/>
  <c r="K32" i="63"/>
  <c r="K33" i="63"/>
  <c r="K34" i="63"/>
  <c r="K35" i="63"/>
  <c r="K36" i="63"/>
  <c r="K37" i="63"/>
  <c r="K38" i="63"/>
  <c r="K39" i="63"/>
  <c r="K40" i="63"/>
  <c r="K41" i="63"/>
  <c r="K42" i="63"/>
  <c r="K43" i="63"/>
  <c r="K44" i="63"/>
  <c r="K45" i="63"/>
  <c r="K46" i="63"/>
  <c r="K47" i="63"/>
  <c r="K48" i="63"/>
  <c r="K49" i="63"/>
  <c r="K50" i="63"/>
  <c r="K51" i="63"/>
  <c r="K52" i="63"/>
  <c r="K53" i="63"/>
  <c r="K54" i="63"/>
  <c r="K55" i="63"/>
  <c r="K56" i="63"/>
  <c r="K57" i="63"/>
  <c r="K58" i="63"/>
  <c r="K59" i="63"/>
  <c r="K60" i="63"/>
  <c r="K61" i="63"/>
  <c r="K62" i="63"/>
  <c r="K63" i="63"/>
  <c r="K64" i="63"/>
  <c r="K65" i="63"/>
  <c r="K66" i="63"/>
  <c r="K67" i="63"/>
  <c r="K68" i="63"/>
  <c r="K69" i="63"/>
  <c r="K70" i="63"/>
  <c r="K71" i="63"/>
  <c r="K72" i="63"/>
  <c r="K73" i="63"/>
  <c r="K74" i="63"/>
  <c r="K75" i="63"/>
  <c r="K76" i="63"/>
  <c r="K77" i="63"/>
  <c r="K78" i="63"/>
  <c r="K79" i="63"/>
  <c r="K80" i="63"/>
  <c r="K81" i="63"/>
  <c r="K82" i="63"/>
  <c r="K83" i="63"/>
  <c r="K84" i="63"/>
  <c r="K85" i="63"/>
  <c r="K86" i="63"/>
  <c r="K87" i="63"/>
  <c r="K88" i="63"/>
  <c r="K89" i="63"/>
  <c r="K90" i="63"/>
  <c r="K91" i="63"/>
  <c r="K92" i="63"/>
  <c r="K93" i="63"/>
  <c r="K94" i="63"/>
  <c r="K95" i="63"/>
  <c r="K96" i="63"/>
  <c r="K97" i="63"/>
  <c r="K98" i="63"/>
  <c r="K99" i="63"/>
  <c r="K100" i="63"/>
  <c r="K101" i="63"/>
  <c r="K102" i="63"/>
  <c r="K103" i="63"/>
  <c r="K104" i="63"/>
  <c r="K105" i="63"/>
  <c r="K106" i="63"/>
  <c r="K107" i="63"/>
  <c r="K108" i="63"/>
  <c r="K109" i="63"/>
  <c r="K110" i="63"/>
  <c r="K111" i="63"/>
  <c r="K112" i="63"/>
  <c r="K113" i="63"/>
  <c r="K114" i="63"/>
  <c r="K115" i="63"/>
  <c r="K116" i="63"/>
  <c r="K117" i="63"/>
  <c r="K118" i="63"/>
  <c r="K119" i="63"/>
  <c r="K120" i="63"/>
  <c r="K121" i="63"/>
  <c r="K122" i="63"/>
  <c r="K123" i="63"/>
  <c r="K124" i="63"/>
  <c r="K125" i="63"/>
  <c r="K126" i="63"/>
  <c r="K127" i="63"/>
  <c r="K128" i="63"/>
  <c r="K129" i="63"/>
  <c r="K130" i="63"/>
  <c r="K131" i="63"/>
  <c r="K132" i="63"/>
  <c r="K133" i="63"/>
  <c r="K134" i="63"/>
  <c r="K135" i="63"/>
  <c r="K136" i="63"/>
  <c r="K137" i="63"/>
  <c r="K138" i="63"/>
  <c r="K139" i="63"/>
  <c r="K140" i="63"/>
  <c r="K141" i="63"/>
  <c r="K142" i="63"/>
  <c r="K143" i="63"/>
  <c r="K144" i="63"/>
  <c r="K145" i="63"/>
  <c r="K146" i="63"/>
  <c r="K147" i="63"/>
  <c r="K148" i="63"/>
  <c r="K149" i="63"/>
  <c r="K150" i="63"/>
  <c r="K151" i="63"/>
  <c r="K152" i="63"/>
  <c r="K153" i="63"/>
  <c r="K154" i="63"/>
  <c r="K155" i="63"/>
  <c r="K156" i="63"/>
  <c r="K157" i="63"/>
  <c r="K158" i="63"/>
  <c r="K159" i="63"/>
  <c r="K160" i="63"/>
  <c r="K161" i="63"/>
  <c r="K162" i="63"/>
  <c r="K163" i="63"/>
  <c r="K164" i="63"/>
  <c r="K165" i="63"/>
  <c r="K166" i="63"/>
  <c r="K167" i="63"/>
  <c r="K168" i="63"/>
  <c r="K169" i="63"/>
  <c r="K171" i="63"/>
  <c r="K172" i="63"/>
  <c r="K173" i="63"/>
  <c r="K174" i="63"/>
  <c r="K175" i="63"/>
  <c r="K176" i="63"/>
  <c r="K177" i="63"/>
  <c r="K178" i="63"/>
  <c r="K179" i="63"/>
  <c r="K180" i="63"/>
  <c r="K181" i="63"/>
  <c r="K182" i="63"/>
  <c r="K183" i="63"/>
  <c r="K184" i="63"/>
  <c r="K185" i="63"/>
  <c r="K186" i="63"/>
  <c r="K187" i="63"/>
  <c r="K188" i="63"/>
  <c r="K189" i="63"/>
  <c r="K190" i="63"/>
  <c r="K191" i="63"/>
  <c r="K192" i="63"/>
  <c r="K193" i="63"/>
  <c r="K194" i="63"/>
  <c r="K195" i="63"/>
  <c r="K196" i="63"/>
  <c r="K197" i="63"/>
  <c r="K198" i="63"/>
  <c r="K199" i="63"/>
  <c r="K200" i="63"/>
  <c r="K201" i="63"/>
  <c r="K202" i="63"/>
  <c r="K203" i="63"/>
  <c r="K204" i="63"/>
  <c r="K205" i="63"/>
  <c r="K206" i="63"/>
  <c r="K207" i="63"/>
  <c r="K208" i="63"/>
  <c r="K209" i="63"/>
  <c r="K210" i="63"/>
  <c r="K211" i="63"/>
  <c r="K212" i="63"/>
  <c r="K213" i="63"/>
  <c r="K214" i="63"/>
  <c r="K215" i="63"/>
  <c r="K216" i="63"/>
  <c r="K217" i="63"/>
  <c r="K218" i="63"/>
  <c r="K219" i="63"/>
  <c r="K220" i="63"/>
  <c r="K221" i="63"/>
  <c r="K222" i="63"/>
  <c r="K223" i="63"/>
  <c r="K224" i="63"/>
  <c r="K225" i="63"/>
  <c r="K226" i="63"/>
  <c r="K227" i="63"/>
  <c r="K228" i="63"/>
  <c r="K229" i="63"/>
  <c r="K230" i="63"/>
  <c r="K231" i="63"/>
  <c r="K232" i="63"/>
  <c r="K233" i="63"/>
  <c r="K234" i="63"/>
  <c r="K235" i="63"/>
  <c r="K236" i="63"/>
  <c r="K237" i="63"/>
  <c r="K238" i="63"/>
  <c r="K239" i="63"/>
  <c r="K240" i="63"/>
  <c r="K241" i="63"/>
  <c r="K242" i="63"/>
  <c r="K243" i="63"/>
  <c r="K244" i="63"/>
  <c r="K245" i="63"/>
  <c r="K246" i="63"/>
  <c r="K247" i="63"/>
  <c r="K248" i="63"/>
  <c r="K249" i="63"/>
  <c r="K250" i="63"/>
  <c r="K251" i="63"/>
  <c r="K252" i="63"/>
  <c r="K253" i="63"/>
  <c r="K254" i="63"/>
  <c r="K255" i="63"/>
  <c r="K256" i="63"/>
  <c r="K257" i="63"/>
  <c r="K170" i="63"/>
  <c r="L11" i="67"/>
  <c r="L12" i="67"/>
  <c r="L13" i="67"/>
  <c r="L14" i="67"/>
  <c r="L15" i="67"/>
  <c r="L16" i="67"/>
  <c r="L17" i="67"/>
  <c r="L18" i="67"/>
  <c r="L19" i="67"/>
  <c r="L20" i="67"/>
  <c r="L21" i="67"/>
  <c r="L22" i="67"/>
  <c r="L23" i="67"/>
  <c r="L24" i="67"/>
  <c r="L25" i="67"/>
  <c r="L26" i="67"/>
  <c r="L27" i="67"/>
  <c r="L28" i="67"/>
  <c r="L29" i="67"/>
  <c r="L30" i="67"/>
  <c r="L31" i="67"/>
  <c r="L32" i="67"/>
  <c r="L33" i="67"/>
  <c r="L34" i="67"/>
  <c r="L35" i="67"/>
  <c r="L36" i="67"/>
  <c r="L37" i="67"/>
  <c r="L38" i="67"/>
  <c r="L39" i="67"/>
  <c r="L40" i="67"/>
  <c r="L41" i="67"/>
  <c r="L42" i="67"/>
  <c r="L43" i="67"/>
  <c r="L44" i="67"/>
  <c r="L45" i="67"/>
  <c r="L46" i="67"/>
  <c r="L47" i="67"/>
  <c r="L48" i="67"/>
  <c r="L49" i="67"/>
  <c r="L50" i="67"/>
  <c r="L51" i="67"/>
  <c r="L52" i="67"/>
  <c r="L53" i="67"/>
  <c r="L54" i="67"/>
  <c r="L55" i="67"/>
  <c r="L56" i="67"/>
  <c r="L57" i="67"/>
  <c r="L58" i="67"/>
  <c r="L59" i="67"/>
  <c r="L60" i="67"/>
  <c r="L61" i="67"/>
  <c r="L62" i="67"/>
  <c r="L63" i="67"/>
  <c r="L64" i="67"/>
  <c r="L65" i="67"/>
  <c r="L66" i="67"/>
  <c r="L67" i="67"/>
  <c r="L68" i="67"/>
  <c r="L69" i="67"/>
  <c r="L70" i="67"/>
  <c r="L71" i="67"/>
  <c r="L72" i="67"/>
  <c r="L73" i="67"/>
  <c r="L74" i="67"/>
  <c r="L75" i="67"/>
  <c r="L76" i="67"/>
  <c r="L77" i="67"/>
  <c r="L78" i="67"/>
  <c r="L79" i="67"/>
  <c r="L80" i="67"/>
  <c r="L81" i="67"/>
  <c r="L82" i="67"/>
  <c r="L83" i="67"/>
  <c r="L84" i="67"/>
  <c r="L85" i="67"/>
  <c r="L86" i="67"/>
  <c r="L87" i="67"/>
  <c r="L88" i="67"/>
  <c r="L89" i="67"/>
  <c r="L90" i="67"/>
  <c r="L91" i="67"/>
  <c r="L92" i="67"/>
  <c r="L93" i="67"/>
  <c r="L94" i="67"/>
  <c r="L95" i="67"/>
  <c r="L96" i="67"/>
  <c r="L97" i="67"/>
  <c r="L98" i="67"/>
  <c r="L99" i="67"/>
  <c r="L100" i="67"/>
  <c r="L101" i="67"/>
  <c r="L102" i="67"/>
  <c r="L103" i="67"/>
  <c r="L104" i="67"/>
  <c r="L105" i="67"/>
  <c r="L106" i="67"/>
  <c r="L107" i="67"/>
  <c r="L108" i="67"/>
  <c r="L109" i="67"/>
  <c r="L110" i="67"/>
  <c r="L111" i="67"/>
  <c r="L112" i="67"/>
  <c r="L113" i="67"/>
  <c r="L114" i="67"/>
  <c r="L115" i="67"/>
  <c r="L116" i="67"/>
  <c r="L117" i="67"/>
  <c r="L118" i="67"/>
  <c r="L119" i="67"/>
  <c r="L120" i="67"/>
  <c r="L121" i="67"/>
  <c r="L122" i="67"/>
  <c r="L123" i="67"/>
  <c r="L124" i="67"/>
  <c r="L125" i="67"/>
  <c r="L126" i="67"/>
  <c r="L127" i="67"/>
  <c r="L128" i="67"/>
  <c r="L129" i="67"/>
  <c r="L130" i="67"/>
  <c r="L131" i="67"/>
  <c r="L132" i="67"/>
  <c r="L133" i="67"/>
  <c r="L134" i="67"/>
  <c r="L135" i="67"/>
  <c r="L136" i="67"/>
  <c r="L137" i="67"/>
  <c r="L138" i="67"/>
  <c r="L139" i="67"/>
  <c r="L140" i="67"/>
  <c r="L141" i="67"/>
  <c r="L142" i="67"/>
  <c r="L143" i="67"/>
  <c r="L144" i="67"/>
  <c r="L145" i="67"/>
  <c r="L146" i="67"/>
  <c r="L147" i="67"/>
  <c r="L148" i="67"/>
  <c r="L149" i="67"/>
  <c r="L150" i="67"/>
  <c r="L151" i="67"/>
  <c r="L152" i="67"/>
  <c r="L153" i="67"/>
  <c r="L154" i="67"/>
  <c r="L155" i="67"/>
  <c r="L156" i="67"/>
  <c r="L157" i="67"/>
  <c r="L158" i="67"/>
  <c r="L159" i="67"/>
  <c r="L160" i="67"/>
  <c r="L161" i="67"/>
  <c r="L162" i="67"/>
  <c r="L163" i="67"/>
  <c r="L164" i="67"/>
  <c r="L165" i="67"/>
  <c r="L166" i="67"/>
  <c r="L167" i="67"/>
  <c r="L168" i="67"/>
  <c r="L169" i="67"/>
  <c r="L170" i="67"/>
  <c r="L171" i="67"/>
  <c r="L172" i="67"/>
  <c r="L173" i="67"/>
  <c r="L174" i="67"/>
  <c r="L175" i="67"/>
  <c r="L176" i="67"/>
  <c r="L177" i="67"/>
  <c r="L178" i="67"/>
  <c r="L179" i="67"/>
  <c r="L180" i="67"/>
  <c r="L181" i="67"/>
  <c r="L182" i="67"/>
  <c r="L183" i="67"/>
  <c r="L184" i="67"/>
  <c r="L185" i="67"/>
  <c r="L186" i="67"/>
  <c r="L187" i="67"/>
  <c r="L188" i="67"/>
  <c r="L189" i="67"/>
  <c r="L190" i="67"/>
  <c r="L191" i="67"/>
  <c r="L192" i="67"/>
  <c r="L193" i="67"/>
  <c r="L194" i="67"/>
  <c r="L195" i="67"/>
  <c r="L196" i="67"/>
  <c r="L197" i="67"/>
  <c r="L198" i="67"/>
  <c r="L199" i="67"/>
  <c r="L200" i="67"/>
  <c r="L201" i="67"/>
  <c r="L202" i="67"/>
  <c r="L203" i="67"/>
  <c r="L204" i="67"/>
  <c r="L205" i="67"/>
  <c r="L206" i="67"/>
  <c r="L207" i="67"/>
  <c r="L208" i="67"/>
  <c r="L209" i="67"/>
  <c r="L210" i="67"/>
  <c r="L211" i="67"/>
  <c r="L212" i="67"/>
  <c r="L213" i="67"/>
  <c r="L214" i="67"/>
  <c r="L215" i="67"/>
  <c r="L216" i="67"/>
  <c r="L217" i="67"/>
  <c r="L218" i="67"/>
  <c r="L219" i="67"/>
  <c r="L220" i="67"/>
  <c r="L221" i="67"/>
  <c r="L222" i="67"/>
  <c r="L223" i="67"/>
  <c r="L224" i="67"/>
  <c r="L225" i="67"/>
  <c r="L226" i="67"/>
  <c r="L227" i="67"/>
  <c r="L228" i="67"/>
  <c r="L229" i="67"/>
  <c r="L230" i="67"/>
  <c r="L231" i="67"/>
  <c r="L232" i="67"/>
  <c r="L233" i="67"/>
  <c r="L234" i="67"/>
  <c r="L235" i="67"/>
  <c r="L236" i="67"/>
  <c r="L237" i="67"/>
  <c r="L238" i="67"/>
  <c r="L239" i="67"/>
  <c r="L240" i="67"/>
  <c r="L241" i="67"/>
  <c r="L242" i="67"/>
  <c r="L243" i="67"/>
  <c r="L244" i="67"/>
  <c r="L245" i="67"/>
  <c r="L246" i="67"/>
  <c r="L247" i="67"/>
  <c r="L248" i="67"/>
  <c r="L249" i="67"/>
  <c r="L250" i="67"/>
  <c r="L251" i="67"/>
  <c r="L252" i="67"/>
  <c r="L253" i="67"/>
  <c r="L254" i="67"/>
  <c r="L255" i="67"/>
  <c r="L256" i="67"/>
  <c r="L257" i="67"/>
  <c r="K11" i="67"/>
  <c r="K12" i="67"/>
  <c r="K13" i="67"/>
  <c r="K14" i="67"/>
  <c r="K15" i="67"/>
  <c r="K16" i="67"/>
  <c r="K17" i="67"/>
  <c r="K18" i="67"/>
  <c r="K19" i="67"/>
  <c r="K20" i="67"/>
  <c r="K21" i="67"/>
  <c r="K22" i="67"/>
  <c r="K23" i="67"/>
  <c r="K24" i="67"/>
  <c r="K25" i="67"/>
  <c r="K26" i="67"/>
  <c r="K27" i="67"/>
  <c r="K28" i="67"/>
  <c r="K29" i="67"/>
  <c r="K30" i="67"/>
  <c r="K31" i="67"/>
  <c r="K32" i="67"/>
  <c r="K33" i="67"/>
  <c r="K34" i="67"/>
  <c r="K35" i="67"/>
  <c r="K36" i="67"/>
  <c r="K37" i="67"/>
  <c r="K38" i="67"/>
  <c r="K39" i="67"/>
  <c r="K40" i="67"/>
  <c r="K41" i="67"/>
  <c r="K42" i="67"/>
  <c r="K43" i="67"/>
  <c r="K44" i="67"/>
  <c r="K45" i="67"/>
  <c r="K46" i="67"/>
  <c r="K47" i="67"/>
  <c r="K48" i="67"/>
  <c r="K49" i="67"/>
  <c r="K50" i="67"/>
  <c r="K51" i="67"/>
  <c r="K52" i="67"/>
  <c r="K53" i="67"/>
  <c r="K54" i="67"/>
  <c r="K55" i="67"/>
  <c r="K56" i="67"/>
  <c r="K57" i="67"/>
  <c r="K58" i="67"/>
  <c r="K59" i="67"/>
  <c r="K60" i="67"/>
  <c r="K61" i="67"/>
  <c r="K62" i="67"/>
  <c r="K63" i="67"/>
  <c r="K64" i="67"/>
  <c r="K65" i="67"/>
  <c r="K66" i="67"/>
  <c r="K67" i="67"/>
  <c r="K68" i="67"/>
  <c r="K69" i="67"/>
  <c r="K70" i="67"/>
  <c r="K71" i="67"/>
  <c r="K72" i="67"/>
  <c r="K73" i="67"/>
  <c r="K74" i="67"/>
  <c r="K75" i="67"/>
  <c r="K76" i="67"/>
  <c r="K77" i="67"/>
  <c r="K78" i="67"/>
  <c r="K79" i="67"/>
  <c r="K80" i="67"/>
  <c r="K81" i="67"/>
  <c r="K82" i="67"/>
  <c r="K83" i="67"/>
  <c r="K84" i="67"/>
  <c r="K85" i="67"/>
  <c r="K86" i="67"/>
  <c r="K87" i="67"/>
  <c r="K88" i="67"/>
  <c r="K89" i="67"/>
  <c r="K90" i="67"/>
  <c r="K91" i="67"/>
  <c r="K92" i="67"/>
  <c r="K93" i="67"/>
  <c r="K94" i="67"/>
  <c r="K95" i="67"/>
  <c r="K96" i="67"/>
  <c r="K97" i="67"/>
  <c r="K98" i="67"/>
  <c r="K99" i="67"/>
  <c r="K100" i="67"/>
  <c r="K101" i="67"/>
  <c r="K102" i="67"/>
  <c r="K103" i="67"/>
  <c r="K104" i="67"/>
  <c r="K105" i="67"/>
  <c r="K106" i="67"/>
  <c r="K107" i="67"/>
  <c r="K108" i="67"/>
  <c r="K109" i="67"/>
  <c r="K110" i="67"/>
  <c r="K111" i="67"/>
  <c r="K112" i="67"/>
  <c r="K113" i="67"/>
  <c r="K114" i="67"/>
  <c r="K115" i="67"/>
  <c r="K116" i="67"/>
  <c r="K117" i="67"/>
  <c r="K118" i="67"/>
  <c r="K119" i="67"/>
  <c r="K120" i="67"/>
  <c r="K121" i="67"/>
  <c r="K122" i="67"/>
  <c r="K123" i="67"/>
  <c r="K124" i="67"/>
  <c r="K125" i="67"/>
  <c r="K126" i="67"/>
  <c r="K127" i="67"/>
  <c r="K128" i="67"/>
  <c r="K129" i="67"/>
  <c r="K130" i="67"/>
  <c r="K131" i="67"/>
  <c r="K132" i="67"/>
  <c r="K133" i="67"/>
  <c r="K134" i="67"/>
  <c r="K135" i="67"/>
  <c r="K136" i="67"/>
  <c r="K137" i="67"/>
  <c r="K138" i="67"/>
  <c r="K139" i="67"/>
  <c r="K140" i="67"/>
  <c r="K141" i="67"/>
  <c r="K142" i="67"/>
  <c r="K143" i="67"/>
  <c r="K144" i="67"/>
  <c r="K145" i="67"/>
  <c r="K146" i="67"/>
  <c r="K147" i="67"/>
  <c r="K148" i="67"/>
  <c r="K149" i="67"/>
  <c r="K150" i="67"/>
  <c r="K151" i="67"/>
  <c r="K152" i="67"/>
  <c r="K153" i="67"/>
  <c r="K154" i="67"/>
  <c r="K155" i="67"/>
  <c r="K156" i="67"/>
  <c r="K157" i="67"/>
  <c r="K158" i="67"/>
  <c r="K159" i="67"/>
  <c r="K160" i="67"/>
  <c r="K161" i="67"/>
  <c r="K162" i="67"/>
  <c r="K163" i="67"/>
  <c r="K164" i="67"/>
  <c r="K165" i="67"/>
  <c r="K166" i="67"/>
  <c r="K167" i="67"/>
  <c r="K168" i="67"/>
  <c r="K169" i="67"/>
  <c r="K170" i="67"/>
  <c r="K171" i="67"/>
  <c r="K172" i="67"/>
  <c r="K173" i="67"/>
  <c r="K174" i="67"/>
  <c r="K175" i="67"/>
  <c r="K176" i="67"/>
  <c r="K177" i="67"/>
  <c r="K178" i="67"/>
  <c r="K179" i="67"/>
  <c r="K180" i="67"/>
  <c r="K181" i="67"/>
  <c r="K182" i="67"/>
  <c r="K183" i="67"/>
  <c r="K184" i="67"/>
  <c r="K185" i="67"/>
  <c r="K186" i="67"/>
  <c r="K187" i="67"/>
  <c r="K188" i="67"/>
  <c r="K189" i="67"/>
  <c r="K190" i="67"/>
  <c r="K191" i="67"/>
  <c r="K192" i="67"/>
  <c r="K193" i="67"/>
  <c r="K194" i="67"/>
  <c r="K195" i="67"/>
  <c r="K196" i="67"/>
  <c r="K197" i="67"/>
  <c r="K198" i="67"/>
  <c r="K199" i="67"/>
  <c r="K200" i="67"/>
  <c r="K201" i="67"/>
  <c r="K202" i="67"/>
  <c r="K203" i="67"/>
  <c r="K204" i="67"/>
  <c r="K205" i="67"/>
  <c r="K206" i="67"/>
  <c r="K207" i="67"/>
  <c r="K208" i="67"/>
  <c r="K209" i="67"/>
  <c r="K210" i="67"/>
  <c r="K211" i="67"/>
  <c r="K212" i="67"/>
  <c r="K213" i="67"/>
  <c r="K214" i="67"/>
  <c r="K215" i="67"/>
  <c r="K216" i="67"/>
  <c r="K217" i="67"/>
  <c r="K218" i="67"/>
  <c r="K219" i="67"/>
  <c r="K220" i="67"/>
  <c r="K221" i="67"/>
  <c r="K222" i="67"/>
  <c r="K223" i="67"/>
  <c r="K224" i="67"/>
  <c r="K225" i="67"/>
  <c r="K226" i="67"/>
  <c r="K227" i="67"/>
  <c r="K228" i="67"/>
  <c r="K229" i="67"/>
  <c r="K230" i="67"/>
  <c r="K231" i="67"/>
  <c r="K232" i="67"/>
  <c r="K233" i="67"/>
  <c r="K234" i="67"/>
  <c r="K235" i="67"/>
  <c r="K236" i="67"/>
  <c r="K237" i="67"/>
  <c r="K238" i="67"/>
  <c r="K239" i="67"/>
  <c r="K240" i="67"/>
  <c r="K241" i="67"/>
  <c r="K242" i="67"/>
  <c r="K243" i="67"/>
  <c r="K244" i="67"/>
  <c r="K245" i="67"/>
  <c r="K246" i="67"/>
  <c r="K247" i="67"/>
  <c r="K248" i="67"/>
  <c r="K249" i="67"/>
  <c r="K250" i="67"/>
  <c r="K251" i="67"/>
  <c r="K252" i="67"/>
  <c r="K253" i="67"/>
  <c r="K254" i="67"/>
  <c r="K255" i="67"/>
  <c r="K256" i="67"/>
  <c r="K257" i="67"/>
  <c r="L10" i="67"/>
  <c r="K10" i="67"/>
  <c r="L11" i="63"/>
  <c r="L12" i="63"/>
  <c r="L13" i="63"/>
  <c r="L14" i="63"/>
  <c r="L15" i="63"/>
  <c r="L16" i="63"/>
  <c r="L17" i="63"/>
  <c r="L18" i="63"/>
  <c r="L19" i="63"/>
  <c r="L20" i="63"/>
  <c r="L21" i="63"/>
  <c r="L22" i="63"/>
  <c r="L23" i="63"/>
  <c r="L24" i="63"/>
  <c r="L25" i="63"/>
  <c r="L26" i="63"/>
  <c r="L27" i="63"/>
  <c r="L28" i="63"/>
  <c r="L29" i="63"/>
  <c r="L30" i="63"/>
  <c r="L31" i="63"/>
  <c r="L32" i="63"/>
  <c r="L33" i="63"/>
  <c r="L34" i="63"/>
  <c r="L35" i="63"/>
  <c r="L36" i="63"/>
  <c r="L37" i="63"/>
  <c r="L38" i="63"/>
  <c r="L39" i="63"/>
  <c r="L40" i="63"/>
  <c r="L41" i="63"/>
  <c r="L42" i="63"/>
  <c r="L43" i="63"/>
  <c r="L44" i="63"/>
  <c r="L45" i="63"/>
  <c r="L46" i="63"/>
  <c r="L47" i="63"/>
  <c r="L48" i="63"/>
  <c r="L49" i="63"/>
  <c r="L50" i="63"/>
  <c r="L51" i="63"/>
  <c r="L52" i="63"/>
  <c r="L53" i="63"/>
  <c r="L54" i="63"/>
  <c r="L55" i="63"/>
  <c r="L56" i="63"/>
  <c r="L57" i="63"/>
  <c r="L58" i="63"/>
  <c r="L59" i="63"/>
  <c r="L60" i="63"/>
  <c r="L61" i="63"/>
  <c r="L62" i="63"/>
  <c r="L63" i="63"/>
  <c r="L64" i="63"/>
  <c r="L65" i="63"/>
  <c r="L66" i="63"/>
  <c r="L67" i="63"/>
  <c r="L68" i="63"/>
  <c r="L69" i="63"/>
  <c r="L70" i="63"/>
  <c r="L71" i="63"/>
  <c r="L72" i="63"/>
  <c r="L73" i="63"/>
  <c r="L74" i="63"/>
  <c r="L75" i="63"/>
  <c r="L76" i="63"/>
  <c r="L77" i="63"/>
  <c r="L78" i="63"/>
  <c r="L79" i="63"/>
  <c r="L80" i="63"/>
  <c r="L81" i="63"/>
  <c r="L82" i="63"/>
  <c r="L83" i="63"/>
  <c r="L84" i="63"/>
  <c r="L85" i="63"/>
  <c r="L86" i="63"/>
  <c r="L87" i="63"/>
  <c r="L88" i="63"/>
  <c r="L89" i="63"/>
  <c r="L90" i="63"/>
  <c r="L91" i="63"/>
  <c r="L92" i="63"/>
  <c r="L93" i="63"/>
  <c r="L94" i="63"/>
  <c r="L95" i="63"/>
  <c r="L96" i="63"/>
  <c r="L97" i="63"/>
  <c r="L98" i="63"/>
  <c r="L99" i="63"/>
  <c r="L100" i="63"/>
  <c r="L101" i="63"/>
  <c r="L102" i="63"/>
  <c r="L103" i="63"/>
  <c r="L104" i="63"/>
  <c r="L105" i="63"/>
  <c r="L106" i="63"/>
  <c r="L107" i="63"/>
  <c r="L108" i="63"/>
  <c r="L109" i="63"/>
  <c r="L110" i="63"/>
  <c r="L111" i="63"/>
  <c r="L112" i="63"/>
  <c r="L113" i="63"/>
  <c r="L114" i="63"/>
  <c r="L115" i="63"/>
  <c r="L116" i="63"/>
  <c r="L117" i="63"/>
  <c r="L118" i="63"/>
  <c r="L119" i="63"/>
  <c r="L120" i="63"/>
  <c r="L121" i="63"/>
  <c r="L122" i="63"/>
  <c r="L123" i="63"/>
  <c r="L124" i="63"/>
  <c r="L125" i="63"/>
  <c r="L126" i="63"/>
  <c r="L127" i="63"/>
  <c r="L128" i="63"/>
  <c r="L129" i="63"/>
  <c r="L130" i="63"/>
  <c r="L131" i="63"/>
  <c r="L132" i="63"/>
  <c r="L133" i="63"/>
  <c r="L134" i="63"/>
  <c r="L135" i="63"/>
  <c r="L136" i="63"/>
  <c r="L137" i="63"/>
  <c r="L138" i="63"/>
  <c r="L139" i="63"/>
  <c r="L140" i="63"/>
  <c r="L141" i="63"/>
  <c r="L142" i="63"/>
  <c r="L143" i="63"/>
  <c r="L144" i="63"/>
  <c r="L145" i="63"/>
  <c r="L146" i="63"/>
  <c r="L147" i="63"/>
  <c r="L148" i="63"/>
  <c r="L149" i="63"/>
  <c r="L150" i="63"/>
  <c r="L151" i="63"/>
  <c r="L152" i="63"/>
  <c r="L153" i="63"/>
  <c r="L154" i="63"/>
  <c r="L155" i="63"/>
  <c r="L156" i="63"/>
  <c r="L157" i="63"/>
  <c r="L158" i="63"/>
  <c r="L159" i="63"/>
  <c r="L160" i="63"/>
  <c r="L161" i="63"/>
  <c r="L162" i="63"/>
  <c r="L163" i="63"/>
  <c r="L164" i="63"/>
  <c r="L165" i="63"/>
  <c r="L166" i="63"/>
  <c r="L167" i="63"/>
  <c r="L168" i="63"/>
  <c r="L169" i="63"/>
  <c r="L170" i="63"/>
  <c r="L171" i="63"/>
  <c r="L172" i="63"/>
  <c r="L173" i="63"/>
  <c r="L174" i="63"/>
  <c r="L175" i="63"/>
  <c r="L176" i="63"/>
  <c r="L177" i="63"/>
  <c r="L178" i="63"/>
  <c r="L179" i="63"/>
  <c r="L180" i="63"/>
  <c r="L181" i="63"/>
  <c r="L182" i="63"/>
  <c r="L183" i="63"/>
  <c r="L184" i="63"/>
  <c r="L185" i="63"/>
  <c r="L186" i="63"/>
  <c r="L187" i="63"/>
  <c r="L188" i="63"/>
  <c r="L189" i="63"/>
  <c r="L190" i="63"/>
  <c r="L191" i="63"/>
  <c r="L192" i="63"/>
  <c r="L193" i="63"/>
  <c r="L194" i="63"/>
  <c r="L195" i="63"/>
  <c r="L196" i="63"/>
  <c r="L197" i="63"/>
  <c r="L198" i="63"/>
  <c r="L199" i="63"/>
  <c r="L200" i="63"/>
  <c r="L201" i="63"/>
  <c r="L202" i="63"/>
  <c r="L203" i="63"/>
  <c r="L204" i="63"/>
  <c r="L205" i="63"/>
  <c r="L206" i="63"/>
  <c r="L207" i="63"/>
  <c r="L208" i="63"/>
  <c r="L209" i="63"/>
  <c r="L210" i="63"/>
  <c r="L211" i="63"/>
  <c r="L212" i="63"/>
  <c r="L213" i="63"/>
  <c r="L214" i="63"/>
  <c r="L215" i="63"/>
  <c r="L216" i="63"/>
  <c r="L217" i="63"/>
  <c r="L218" i="63"/>
  <c r="L219" i="63"/>
  <c r="L220" i="63"/>
  <c r="L221" i="63"/>
  <c r="L222" i="63"/>
  <c r="L223" i="63"/>
  <c r="L224" i="63"/>
  <c r="L225" i="63"/>
  <c r="L226" i="63"/>
  <c r="L227" i="63"/>
  <c r="L228" i="63"/>
  <c r="L229" i="63"/>
  <c r="L230" i="63"/>
  <c r="L231" i="63"/>
  <c r="L232" i="63"/>
  <c r="L233" i="63"/>
  <c r="L234" i="63"/>
  <c r="L235" i="63"/>
  <c r="L236" i="63"/>
  <c r="L237" i="63"/>
  <c r="L238" i="63"/>
  <c r="L239" i="63"/>
  <c r="L240" i="63"/>
  <c r="L241" i="63"/>
  <c r="L242" i="63"/>
  <c r="L243" i="63"/>
  <c r="L244" i="63"/>
  <c r="L245" i="63"/>
  <c r="L246" i="63"/>
  <c r="L247" i="63"/>
  <c r="L248" i="63"/>
  <c r="L249" i="63"/>
  <c r="L250" i="63"/>
  <c r="L251" i="63"/>
  <c r="L252" i="63"/>
  <c r="L253" i="63"/>
  <c r="L254" i="63"/>
  <c r="L255" i="63"/>
  <c r="L256" i="63"/>
  <c r="L257" i="63"/>
  <c r="L10" i="63"/>
  <c r="AH13" i="58"/>
  <c r="I11" i="67"/>
  <c r="I12" i="67"/>
  <c r="I13" i="67"/>
  <c r="I14" i="67"/>
  <c r="I15" i="67"/>
  <c r="I16" i="67"/>
  <c r="I17" i="67"/>
  <c r="I18" i="67"/>
  <c r="I19" i="67"/>
  <c r="I20" i="67"/>
  <c r="I21" i="67"/>
  <c r="I22" i="67"/>
  <c r="I23" i="67"/>
  <c r="I24" i="67"/>
  <c r="I25" i="67"/>
  <c r="I26" i="67"/>
  <c r="I27" i="67"/>
  <c r="I28" i="67"/>
  <c r="I29" i="67"/>
  <c r="I30" i="67"/>
  <c r="I31" i="67"/>
  <c r="I32" i="67"/>
  <c r="I33" i="67"/>
  <c r="I34" i="67"/>
  <c r="I35" i="67"/>
  <c r="I36" i="67"/>
  <c r="I37" i="67"/>
  <c r="I38" i="67"/>
  <c r="I39" i="67"/>
  <c r="I40" i="67"/>
  <c r="I41" i="67"/>
  <c r="I42" i="67"/>
  <c r="I43" i="67"/>
  <c r="I44" i="67"/>
  <c r="I45" i="67"/>
  <c r="I46" i="67"/>
  <c r="I47" i="67"/>
  <c r="I48" i="67"/>
  <c r="I49" i="67"/>
  <c r="I50" i="67"/>
  <c r="I51" i="67"/>
  <c r="I52" i="67"/>
  <c r="I53" i="67"/>
  <c r="I54" i="67"/>
  <c r="I55" i="67"/>
  <c r="I56" i="67"/>
  <c r="I57" i="67"/>
  <c r="I58" i="67"/>
  <c r="I59" i="67"/>
  <c r="I60" i="67"/>
  <c r="I61" i="67"/>
  <c r="I62" i="67"/>
  <c r="I63" i="67"/>
  <c r="I64" i="67"/>
  <c r="I65" i="67"/>
  <c r="I66" i="67"/>
  <c r="I67" i="67"/>
  <c r="I68" i="67"/>
  <c r="I69" i="67"/>
  <c r="I70" i="67"/>
  <c r="I71" i="67"/>
  <c r="I72" i="67"/>
  <c r="I73" i="67"/>
  <c r="I74" i="67"/>
  <c r="I75" i="67"/>
  <c r="I76" i="67"/>
  <c r="I77" i="67"/>
  <c r="I78" i="67"/>
  <c r="I79" i="67"/>
  <c r="I80" i="67"/>
  <c r="I81" i="67"/>
  <c r="I82" i="67"/>
  <c r="I83" i="67"/>
  <c r="I84" i="67"/>
  <c r="I85" i="67"/>
  <c r="I86" i="67"/>
  <c r="I87" i="67"/>
  <c r="I88" i="67"/>
  <c r="I89" i="67"/>
  <c r="I90" i="67"/>
  <c r="I91" i="67"/>
  <c r="I92" i="67"/>
  <c r="I93" i="67"/>
  <c r="I94" i="67"/>
  <c r="I95" i="67"/>
  <c r="I96" i="67"/>
  <c r="I97" i="67"/>
  <c r="I98" i="67"/>
  <c r="I99" i="67"/>
  <c r="I100" i="67"/>
  <c r="I101" i="67"/>
  <c r="I102" i="67"/>
  <c r="I103" i="67"/>
  <c r="I104" i="67"/>
  <c r="I105" i="67"/>
  <c r="I106" i="67"/>
  <c r="I107" i="67"/>
  <c r="I108" i="67"/>
  <c r="I109" i="67"/>
  <c r="I110" i="67"/>
  <c r="I111" i="67"/>
  <c r="I112" i="67"/>
  <c r="I113" i="67"/>
  <c r="I114" i="67"/>
  <c r="I115" i="67"/>
  <c r="I116" i="67"/>
  <c r="I117" i="67"/>
  <c r="I118" i="67"/>
  <c r="I119" i="67"/>
  <c r="I120" i="67"/>
  <c r="I121" i="67"/>
  <c r="I122" i="67"/>
  <c r="I123" i="67"/>
  <c r="I124" i="67"/>
  <c r="I125" i="67"/>
  <c r="I126" i="67"/>
  <c r="I127" i="67"/>
  <c r="I128" i="67"/>
  <c r="I129" i="67"/>
  <c r="I130" i="67"/>
  <c r="I131" i="67"/>
  <c r="I132" i="67"/>
  <c r="I133" i="67"/>
  <c r="I134" i="67"/>
  <c r="I135" i="67"/>
  <c r="I136" i="67"/>
  <c r="I137" i="67"/>
  <c r="I138" i="67"/>
  <c r="I139" i="67"/>
  <c r="I140" i="67"/>
  <c r="I141" i="67"/>
  <c r="I142" i="67"/>
  <c r="I143" i="67"/>
  <c r="I144" i="67"/>
  <c r="I145" i="67"/>
  <c r="I146" i="67"/>
  <c r="I147" i="67"/>
  <c r="I148" i="67"/>
  <c r="I149" i="67"/>
  <c r="I150" i="67"/>
  <c r="I151" i="67"/>
  <c r="I152" i="67"/>
  <c r="I153" i="67"/>
  <c r="I154" i="67"/>
  <c r="I155" i="67"/>
  <c r="I156" i="67"/>
  <c r="I157" i="67"/>
  <c r="I158" i="67"/>
  <c r="I159" i="67"/>
  <c r="I160" i="67"/>
  <c r="I161" i="67"/>
  <c r="I162" i="67"/>
  <c r="I163" i="67"/>
  <c r="I164" i="67"/>
  <c r="I165" i="67"/>
  <c r="I166" i="67"/>
  <c r="I167" i="67"/>
  <c r="I168" i="67"/>
  <c r="I169" i="67"/>
  <c r="I170" i="67"/>
  <c r="I171" i="67"/>
  <c r="I172" i="67"/>
  <c r="I173" i="67"/>
  <c r="I174" i="67"/>
  <c r="I175" i="67"/>
  <c r="I176" i="67"/>
  <c r="I177" i="67"/>
  <c r="I178" i="67"/>
  <c r="I179" i="67"/>
  <c r="I180" i="67"/>
  <c r="I181" i="67"/>
  <c r="I182" i="67"/>
  <c r="I183" i="67"/>
  <c r="I184" i="67"/>
  <c r="I185" i="67"/>
  <c r="I186" i="67"/>
  <c r="I187" i="67"/>
  <c r="I188" i="67"/>
  <c r="I189" i="67"/>
  <c r="I190" i="67"/>
  <c r="I191" i="67"/>
  <c r="I192" i="67"/>
  <c r="I193" i="67"/>
  <c r="I194" i="67"/>
  <c r="I195" i="67"/>
  <c r="I196" i="67"/>
  <c r="I197" i="67"/>
  <c r="I198" i="67"/>
  <c r="I199" i="67"/>
  <c r="I200" i="67"/>
  <c r="I201" i="67"/>
  <c r="I202" i="67"/>
  <c r="I203" i="67"/>
  <c r="I204" i="67"/>
  <c r="I205" i="67"/>
  <c r="I206" i="67"/>
  <c r="I207" i="67"/>
  <c r="I208" i="67"/>
  <c r="I209" i="67"/>
  <c r="I210" i="67"/>
  <c r="I211" i="67"/>
  <c r="I212" i="67"/>
  <c r="I213" i="67"/>
  <c r="I214" i="67"/>
  <c r="I215" i="67"/>
  <c r="I216" i="67"/>
  <c r="I217" i="67"/>
  <c r="I218" i="67"/>
  <c r="I219" i="67"/>
  <c r="I220" i="67"/>
  <c r="I221" i="67"/>
  <c r="I222" i="67"/>
  <c r="I223" i="67"/>
  <c r="I224" i="67"/>
  <c r="I225" i="67"/>
  <c r="I226" i="67"/>
  <c r="I227" i="67"/>
  <c r="I228" i="67"/>
  <c r="I229" i="67"/>
  <c r="I230" i="67"/>
  <c r="I231" i="67"/>
  <c r="I232" i="67"/>
  <c r="I233" i="67"/>
  <c r="I234" i="67"/>
  <c r="I235" i="67"/>
  <c r="I236" i="67"/>
  <c r="I237" i="67"/>
  <c r="I238" i="67"/>
  <c r="I239" i="67"/>
  <c r="I240" i="67"/>
  <c r="I241" i="67"/>
  <c r="I242" i="67"/>
  <c r="I243" i="67"/>
  <c r="I244" i="67"/>
  <c r="I245" i="67"/>
  <c r="I246" i="67"/>
  <c r="I247" i="67"/>
  <c r="I248" i="67"/>
  <c r="I249" i="67"/>
  <c r="I250" i="67"/>
  <c r="I251" i="67"/>
  <c r="I252" i="67"/>
  <c r="I253" i="67"/>
  <c r="I254" i="67"/>
  <c r="I255" i="67"/>
  <c r="I256" i="67"/>
  <c r="I257" i="67"/>
  <c r="I11" i="63"/>
  <c r="I12" i="63"/>
  <c r="I13" i="63"/>
  <c r="I14" i="63"/>
  <c r="I15" i="63"/>
  <c r="I16" i="63"/>
  <c r="I17" i="63"/>
  <c r="I18" i="63"/>
  <c r="I19" i="63"/>
  <c r="I20" i="63"/>
  <c r="I21" i="63"/>
  <c r="I22" i="63"/>
  <c r="I23" i="63"/>
  <c r="I24" i="63"/>
  <c r="I25" i="63"/>
  <c r="I26" i="63"/>
  <c r="I27" i="63"/>
  <c r="I28" i="63"/>
  <c r="I29" i="63"/>
  <c r="I30" i="63"/>
  <c r="I31" i="63"/>
  <c r="I32" i="63"/>
  <c r="I33" i="63"/>
  <c r="I34" i="63"/>
  <c r="I35" i="63"/>
  <c r="I36" i="63"/>
  <c r="I37" i="63"/>
  <c r="I38" i="63"/>
  <c r="I39" i="63"/>
  <c r="I40" i="63"/>
  <c r="I41" i="63"/>
  <c r="I42" i="63"/>
  <c r="I43" i="63"/>
  <c r="I44" i="63"/>
  <c r="I45" i="63"/>
  <c r="I46" i="63"/>
  <c r="I47" i="63"/>
  <c r="I48" i="63"/>
  <c r="I49" i="63"/>
  <c r="I50" i="63"/>
  <c r="I51" i="63"/>
  <c r="I52" i="63"/>
  <c r="I53" i="63"/>
  <c r="I54" i="63"/>
  <c r="I55" i="63"/>
  <c r="I56" i="63"/>
  <c r="I57" i="63"/>
  <c r="I58" i="63"/>
  <c r="I59" i="63"/>
  <c r="I60" i="63"/>
  <c r="I61" i="63"/>
  <c r="I62" i="63"/>
  <c r="I63" i="63"/>
  <c r="I64" i="63"/>
  <c r="I65" i="63"/>
  <c r="I66" i="63"/>
  <c r="I67" i="63"/>
  <c r="I68" i="63"/>
  <c r="I69" i="63"/>
  <c r="I70" i="63"/>
  <c r="I71" i="63"/>
  <c r="I72" i="63"/>
  <c r="I73" i="63"/>
  <c r="I74" i="63"/>
  <c r="I75" i="63"/>
  <c r="I76" i="63"/>
  <c r="I77" i="63"/>
  <c r="I78" i="63"/>
  <c r="I79" i="63"/>
  <c r="I80" i="63"/>
  <c r="I81" i="63"/>
  <c r="I82" i="63"/>
  <c r="I83" i="63"/>
  <c r="I84" i="63"/>
  <c r="I85" i="63"/>
  <c r="I86" i="63"/>
  <c r="I87" i="63"/>
  <c r="I88" i="63"/>
  <c r="I89" i="63"/>
  <c r="I90" i="63"/>
  <c r="I91" i="63"/>
  <c r="I92" i="63"/>
  <c r="I93" i="63"/>
  <c r="I94" i="63"/>
  <c r="I95" i="63"/>
  <c r="I96" i="63"/>
  <c r="I97" i="63"/>
  <c r="I98" i="63"/>
  <c r="I99" i="63"/>
  <c r="I100" i="63"/>
  <c r="I101" i="63"/>
  <c r="I102" i="63"/>
  <c r="I103" i="63"/>
  <c r="I104" i="63"/>
  <c r="I105" i="63"/>
  <c r="I106" i="63"/>
  <c r="I107" i="63"/>
  <c r="I108" i="63"/>
  <c r="I109" i="63"/>
  <c r="I110" i="63"/>
  <c r="I111" i="63"/>
  <c r="I112" i="63"/>
  <c r="I113" i="63"/>
  <c r="I114" i="63"/>
  <c r="I115" i="63"/>
  <c r="I116" i="63"/>
  <c r="I117" i="63"/>
  <c r="I118" i="63"/>
  <c r="I119" i="63"/>
  <c r="I120" i="63"/>
  <c r="I121" i="63"/>
  <c r="I122" i="63"/>
  <c r="I123" i="63"/>
  <c r="I124" i="63"/>
  <c r="I125" i="63"/>
  <c r="I126" i="63"/>
  <c r="I127" i="63"/>
  <c r="I128" i="63"/>
  <c r="I129" i="63"/>
  <c r="I130" i="63"/>
  <c r="I131" i="63"/>
  <c r="I132" i="63"/>
  <c r="I133" i="63"/>
  <c r="I134" i="63"/>
  <c r="I135" i="63"/>
  <c r="I136" i="63"/>
  <c r="I137" i="63"/>
  <c r="I138" i="63"/>
  <c r="I139" i="63"/>
  <c r="I140" i="63"/>
  <c r="I141" i="63"/>
  <c r="I142" i="63"/>
  <c r="I143" i="63"/>
  <c r="I144" i="63"/>
  <c r="I145" i="63"/>
  <c r="I146" i="63"/>
  <c r="I147" i="63"/>
  <c r="I148" i="63"/>
  <c r="I149" i="63"/>
  <c r="I150" i="63"/>
  <c r="I151" i="63"/>
  <c r="I152" i="63"/>
  <c r="I153" i="63"/>
  <c r="I154" i="63"/>
  <c r="I155" i="63"/>
  <c r="I156" i="63"/>
  <c r="I157" i="63"/>
  <c r="I158" i="63"/>
  <c r="I159" i="63"/>
  <c r="I160" i="63"/>
  <c r="I161" i="63"/>
  <c r="I162" i="63"/>
  <c r="I163" i="63"/>
  <c r="I164" i="63"/>
  <c r="I165" i="63"/>
  <c r="I166" i="63"/>
  <c r="I167" i="63"/>
  <c r="I168" i="63"/>
  <c r="I169" i="63"/>
  <c r="I170" i="63"/>
  <c r="I171" i="63"/>
  <c r="I172" i="63"/>
  <c r="I173" i="63"/>
  <c r="I174" i="63"/>
  <c r="I175" i="63"/>
  <c r="I176" i="63"/>
  <c r="I177" i="63"/>
  <c r="I178" i="63"/>
  <c r="I179" i="63"/>
  <c r="I180" i="63"/>
  <c r="I181" i="63"/>
  <c r="I182" i="63"/>
  <c r="I183" i="63"/>
  <c r="I184" i="63"/>
  <c r="I185" i="63"/>
  <c r="I186" i="63"/>
  <c r="I187" i="63"/>
  <c r="I188" i="63"/>
  <c r="I189" i="63"/>
  <c r="I190" i="63"/>
  <c r="I191" i="63"/>
  <c r="I192" i="63"/>
  <c r="I193" i="63"/>
  <c r="I194" i="63"/>
  <c r="I195" i="63"/>
  <c r="I196" i="63"/>
  <c r="I197" i="63"/>
  <c r="I198" i="63"/>
  <c r="I199" i="63"/>
  <c r="I200" i="63"/>
  <c r="I201" i="63"/>
  <c r="I202" i="63"/>
  <c r="I203" i="63"/>
  <c r="I204" i="63"/>
  <c r="I205" i="63"/>
  <c r="I206" i="63"/>
  <c r="I207" i="63"/>
  <c r="I208" i="63"/>
  <c r="I209" i="63"/>
  <c r="I210" i="63"/>
  <c r="I211" i="63"/>
  <c r="I212" i="63"/>
  <c r="I213" i="63"/>
  <c r="I214" i="63"/>
  <c r="I215" i="63"/>
  <c r="I216" i="63"/>
  <c r="I217" i="63"/>
  <c r="I218" i="63"/>
  <c r="I219" i="63"/>
  <c r="I220" i="63"/>
  <c r="I221" i="63"/>
  <c r="I222" i="63"/>
  <c r="I223" i="63"/>
  <c r="I224" i="63"/>
  <c r="I225" i="63"/>
  <c r="I226" i="63"/>
  <c r="I227" i="63"/>
  <c r="I228" i="63"/>
  <c r="I229" i="63"/>
  <c r="I230" i="63"/>
  <c r="I231" i="63"/>
  <c r="I232" i="63"/>
  <c r="I233" i="63"/>
  <c r="I234" i="63"/>
  <c r="I235" i="63"/>
  <c r="I236" i="63"/>
  <c r="I237" i="63"/>
  <c r="I238" i="63"/>
  <c r="I239" i="63"/>
  <c r="I240" i="63"/>
  <c r="I241" i="63"/>
  <c r="I242" i="63"/>
  <c r="I243" i="63"/>
  <c r="I244" i="63"/>
  <c r="I245" i="63"/>
  <c r="I246" i="63"/>
  <c r="I247" i="63"/>
  <c r="I248" i="63"/>
  <c r="I249" i="63"/>
  <c r="I250" i="63"/>
  <c r="I251" i="63"/>
  <c r="I252" i="63"/>
  <c r="I253" i="63"/>
  <c r="I254" i="63"/>
  <c r="I255" i="63"/>
  <c r="I256" i="63"/>
  <c r="I257" i="63"/>
  <c r="I13" i="42"/>
  <c r="I14" i="42"/>
  <c r="I15" i="42"/>
  <c r="I16" i="42"/>
  <c r="I17" i="42"/>
  <c r="I18" i="42"/>
  <c r="I19" i="42"/>
  <c r="I20" i="42"/>
  <c r="I21" i="42"/>
  <c r="I22" i="42"/>
  <c r="I23" i="42"/>
  <c r="I24" i="42"/>
  <c r="I25" i="42"/>
  <c r="I26" i="42"/>
  <c r="I27" i="42"/>
  <c r="I28" i="42"/>
  <c r="I29" i="42"/>
  <c r="I30" i="42"/>
  <c r="I31" i="42"/>
  <c r="I32" i="42"/>
  <c r="I33" i="42"/>
  <c r="I34" i="42"/>
  <c r="I35" i="42"/>
  <c r="I36" i="42"/>
  <c r="I37" i="42"/>
  <c r="I38" i="42"/>
  <c r="I39" i="42"/>
  <c r="I40" i="42"/>
  <c r="I41" i="42"/>
  <c r="I42" i="42"/>
  <c r="I43" i="42"/>
  <c r="I44" i="42"/>
  <c r="I45" i="42"/>
  <c r="I46" i="42"/>
  <c r="I47" i="42"/>
  <c r="I48" i="42"/>
  <c r="I49" i="42"/>
  <c r="I50" i="42"/>
  <c r="I51" i="42"/>
  <c r="I52" i="42"/>
  <c r="I53" i="42"/>
  <c r="I54" i="42"/>
  <c r="I55" i="42"/>
  <c r="I56" i="42"/>
  <c r="I57" i="42"/>
  <c r="I58" i="42"/>
  <c r="I59" i="42"/>
  <c r="I60" i="42"/>
  <c r="I61" i="42"/>
  <c r="I62" i="42"/>
  <c r="I63" i="42"/>
  <c r="I64" i="42"/>
  <c r="I65" i="42"/>
  <c r="I66" i="42"/>
  <c r="I67" i="42"/>
  <c r="I68" i="42"/>
  <c r="I69" i="42"/>
  <c r="I70" i="42"/>
  <c r="I71" i="42"/>
  <c r="I72" i="42"/>
  <c r="I73" i="42"/>
  <c r="I74" i="42"/>
  <c r="I75" i="42"/>
  <c r="I76" i="42"/>
  <c r="I77" i="42"/>
  <c r="I78" i="42"/>
  <c r="I79" i="42"/>
  <c r="I80" i="42"/>
  <c r="I81" i="42"/>
  <c r="I82" i="42"/>
  <c r="I83" i="42"/>
  <c r="I84" i="42"/>
  <c r="I85" i="42"/>
  <c r="I86" i="42"/>
  <c r="I87" i="42"/>
  <c r="I88" i="42"/>
  <c r="I89" i="42"/>
  <c r="I90" i="42"/>
  <c r="I91" i="42"/>
  <c r="I92" i="42"/>
  <c r="I93" i="42"/>
  <c r="I94" i="42"/>
  <c r="I95" i="42"/>
  <c r="I96" i="42"/>
  <c r="I97" i="42"/>
  <c r="I98" i="42"/>
  <c r="I99" i="42"/>
  <c r="I100" i="42"/>
  <c r="I101" i="42"/>
  <c r="I102" i="42"/>
  <c r="I103" i="42"/>
  <c r="I104" i="42"/>
  <c r="I105" i="42"/>
  <c r="I106" i="42"/>
  <c r="I107" i="42"/>
  <c r="I108" i="42"/>
  <c r="I109" i="42"/>
  <c r="I110" i="42"/>
  <c r="I111" i="42"/>
  <c r="I112" i="42"/>
  <c r="I113" i="42"/>
  <c r="I114" i="42"/>
  <c r="I115" i="42"/>
  <c r="I116" i="42"/>
  <c r="I117" i="42"/>
  <c r="I118" i="42"/>
  <c r="I119" i="42"/>
  <c r="I120" i="42"/>
  <c r="I121" i="42"/>
  <c r="I122" i="42"/>
  <c r="I123" i="42"/>
  <c r="I124" i="42"/>
  <c r="I125" i="42"/>
  <c r="I126" i="42"/>
  <c r="I127" i="42"/>
  <c r="I128" i="42"/>
  <c r="I129" i="42"/>
  <c r="I130" i="42"/>
  <c r="I131" i="42"/>
  <c r="I132" i="42"/>
  <c r="I133" i="42"/>
  <c r="I134" i="42"/>
  <c r="I135" i="42"/>
  <c r="I136" i="42"/>
  <c r="I137" i="42"/>
  <c r="I138" i="42"/>
  <c r="I139" i="42"/>
  <c r="I140" i="42"/>
  <c r="I141" i="42"/>
  <c r="I142" i="42"/>
  <c r="I143" i="42"/>
  <c r="I144" i="42"/>
  <c r="I145" i="42"/>
  <c r="I146" i="42"/>
  <c r="I147" i="42"/>
  <c r="I148" i="42"/>
  <c r="I149" i="42"/>
  <c r="I150" i="42"/>
  <c r="I151" i="42"/>
  <c r="I152" i="42"/>
  <c r="I153" i="42"/>
  <c r="I154" i="42"/>
  <c r="I155" i="42"/>
  <c r="I156" i="42"/>
  <c r="I157" i="42"/>
  <c r="I158" i="42"/>
  <c r="I159" i="42"/>
  <c r="I160" i="42"/>
  <c r="I161" i="42"/>
  <c r="I162" i="42"/>
  <c r="I163" i="42"/>
  <c r="I164" i="42"/>
  <c r="I165" i="42"/>
  <c r="I166" i="42"/>
  <c r="I167" i="42"/>
  <c r="I168" i="42"/>
  <c r="I169" i="42"/>
  <c r="I170" i="42"/>
  <c r="I171" i="42"/>
  <c r="I172" i="42"/>
  <c r="I173" i="42"/>
  <c r="I174" i="42"/>
  <c r="I175" i="42"/>
  <c r="I176" i="42"/>
  <c r="I177" i="42"/>
  <c r="I178" i="42"/>
  <c r="I179" i="42"/>
  <c r="I180" i="42"/>
  <c r="I181" i="42"/>
  <c r="I182" i="42"/>
  <c r="I183" i="42"/>
  <c r="I184" i="42"/>
  <c r="I185" i="42"/>
  <c r="I186" i="42"/>
  <c r="I187" i="42"/>
  <c r="I188" i="42"/>
  <c r="I189" i="42"/>
  <c r="I190" i="42"/>
  <c r="I191" i="42"/>
  <c r="I192" i="42"/>
  <c r="I193" i="42"/>
  <c r="I194" i="42"/>
  <c r="I195" i="42"/>
  <c r="I196" i="42"/>
  <c r="I197" i="42"/>
  <c r="I198" i="42"/>
  <c r="I199" i="42"/>
  <c r="I200" i="42"/>
  <c r="I201" i="42"/>
  <c r="I202" i="42"/>
  <c r="I203" i="42"/>
  <c r="I204" i="42"/>
  <c r="I205" i="42"/>
  <c r="I206" i="42"/>
  <c r="I207" i="42"/>
  <c r="I208" i="42"/>
  <c r="I209" i="42"/>
  <c r="I210" i="42"/>
  <c r="I211" i="42"/>
  <c r="I212" i="42"/>
  <c r="I213" i="42"/>
  <c r="I214" i="42"/>
  <c r="I215" i="42"/>
  <c r="I216" i="42"/>
  <c r="I217" i="42"/>
  <c r="I218" i="42"/>
  <c r="I219" i="42"/>
  <c r="I220" i="42"/>
  <c r="I221" i="42"/>
  <c r="I222" i="42"/>
  <c r="I223" i="42"/>
  <c r="I224" i="42"/>
  <c r="I225" i="42"/>
  <c r="I226" i="42"/>
  <c r="I227" i="42"/>
  <c r="I228" i="42"/>
  <c r="I229" i="42"/>
  <c r="I230" i="42"/>
  <c r="I231" i="42"/>
  <c r="I232" i="42"/>
  <c r="I233" i="42"/>
  <c r="I234" i="42"/>
  <c r="I235" i="42"/>
  <c r="I236" i="42"/>
  <c r="I237" i="42"/>
  <c r="I238" i="42"/>
  <c r="I239" i="42"/>
  <c r="I240" i="42"/>
  <c r="I241" i="42"/>
  <c r="I242" i="42"/>
  <c r="I243" i="42"/>
  <c r="I244" i="42"/>
  <c r="I245" i="42"/>
  <c r="I246" i="42"/>
  <c r="I247" i="42"/>
  <c r="I248" i="42"/>
  <c r="I249" i="42"/>
  <c r="I250" i="42"/>
  <c r="I251" i="42"/>
  <c r="I252" i="42"/>
  <c r="I253" i="42"/>
  <c r="I254" i="42"/>
  <c r="I255" i="42"/>
  <c r="I256" i="42"/>
  <c r="I257" i="42"/>
  <c r="I258" i="42"/>
  <c r="I259" i="42"/>
  <c r="P257" i="55" l="1"/>
  <c r="P256" i="55"/>
  <c r="P255" i="55"/>
  <c r="P254" i="55"/>
  <c r="P253" i="55"/>
  <c r="P252" i="55"/>
  <c r="P251" i="55"/>
  <c r="P250" i="55"/>
  <c r="P249" i="55"/>
  <c r="P248" i="55"/>
  <c r="P247" i="55"/>
  <c r="P246" i="55"/>
  <c r="P245" i="55"/>
  <c r="P244" i="55"/>
  <c r="P243" i="55"/>
  <c r="P242" i="55"/>
  <c r="P241" i="55"/>
  <c r="P240" i="55"/>
  <c r="P239" i="55"/>
  <c r="P238" i="55"/>
  <c r="P237" i="55"/>
  <c r="P236" i="55"/>
  <c r="P235" i="55"/>
  <c r="P234" i="55"/>
  <c r="P233" i="55"/>
  <c r="P232" i="55"/>
  <c r="P231" i="55"/>
  <c r="P230" i="55"/>
  <c r="P229" i="55"/>
  <c r="P228" i="55"/>
  <c r="P227" i="55"/>
  <c r="P226" i="55"/>
  <c r="P225" i="55"/>
  <c r="P224" i="55"/>
  <c r="P223" i="55"/>
  <c r="P222" i="55"/>
  <c r="P221" i="55"/>
  <c r="P220" i="55"/>
  <c r="P219" i="55"/>
  <c r="P218" i="55"/>
  <c r="P217" i="55"/>
  <c r="P216" i="55"/>
  <c r="P215" i="55"/>
  <c r="P214" i="55"/>
  <c r="P213" i="55"/>
  <c r="P212" i="55"/>
  <c r="P211" i="55"/>
  <c r="P210" i="55"/>
  <c r="P209" i="55"/>
  <c r="P208" i="55"/>
  <c r="P207" i="55"/>
  <c r="P206" i="55"/>
  <c r="P205" i="55"/>
  <c r="P204" i="55"/>
  <c r="P203" i="55"/>
  <c r="P202" i="55"/>
  <c r="P201" i="55"/>
  <c r="P200" i="55"/>
  <c r="P199" i="55"/>
  <c r="P198" i="55"/>
  <c r="P197" i="55"/>
  <c r="P196" i="55"/>
  <c r="P195" i="55"/>
  <c r="P194" i="55"/>
  <c r="P193" i="55"/>
  <c r="P192" i="55"/>
  <c r="P191" i="55"/>
  <c r="P190" i="55"/>
  <c r="P189" i="55"/>
  <c r="P188" i="55"/>
  <c r="P187" i="55"/>
  <c r="P186" i="55"/>
  <c r="P185" i="55"/>
  <c r="P184" i="55"/>
  <c r="P183" i="55"/>
  <c r="P182" i="55"/>
  <c r="P181" i="55"/>
  <c r="P180" i="55"/>
  <c r="P179" i="55"/>
  <c r="P178" i="55"/>
  <c r="P177" i="55"/>
  <c r="P176" i="55"/>
  <c r="P175" i="55"/>
  <c r="P174" i="55"/>
  <c r="P173" i="55"/>
  <c r="P172" i="55"/>
  <c r="P171" i="55"/>
  <c r="P170" i="55"/>
  <c r="P169" i="55"/>
  <c r="P168" i="55"/>
  <c r="P167" i="55"/>
  <c r="P166" i="55"/>
  <c r="P165" i="55"/>
  <c r="P164" i="55"/>
  <c r="P163" i="55"/>
  <c r="P162" i="55"/>
  <c r="P161" i="55"/>
  <c r="P160" i="55"/>
  <c r="P159" i="55"/>
  <c r="P158" i="55"/>
  <c r="P157" i="55"/>
  <c r="P156" i="55"/>
  <c r="P155" i="55"/>
  <c r="P154" i="55"/>
  <c r="P153" i="55"/>
  <c r="P152" i="55"/>
  <c r="P151" i="55"/>
  <c r="P150" i="55"/>
  <c r="P149" i="55"/>
  <c r="P148" i="55"/>
  <c r="P147" i="55"/>
  <c r="P146" i="55"/>
  <c r="P145" i="55"/>
  <c r="P144" i="55"/>
  <c r="P143" i="55"/>
  <c r="P142" i="55"/>
  <c r="P141" i="55"/>
  <c r="P140" i="55"/>
  <c r="P139" i="55"/>
  <c r="P138" i="55"/>
  <c r="P137" i="55"/>
  <c r="P136" i="55"/>
  <c r="P135" i="55"/>
  <c r="P134" i="55"/>
  <c r="P133" i="55"/>
  <c r="P132" i="55"/>
  <c r="P131" i="55"/>
  <c r="P130" i="55"/>
  <c r="P129" i="55"/>
  <c r="P128" i="55"/>
  <c r="P127" i="55"/>
  <c r="P126" i="55"/>
  <c r="P125" i="55"/>
  <c r="P124" i="55"/>
  <c r="P123" i="55"/>
  <c r="P122" i="55"/>
  <c r="P121" i="55"/>
  <c r="P120" i="55"/>
  <c r="P119" i="55"/>
  <c r="P118" i="55"/>
  <c r="P117" i="55"/>
  <c r="P116" i="55"/>
  <c r="P115" i="55"/>
  <c r="P114" i="55"/>
  <c r="P113" i="55"/>
  <c r="P112" i="55"/>
  <c r="P111" i="55"/>
  <c r="P110" i="55"/>
  <c r="P109" i="55"/>
  <c r="P108" i="55"/>
  <c r="P107" i="55"/>
  <c r="P106" i="55"/>
  <c r="P105" i="55"/>
  <c r="P104" i="55"/>
  <c r="P103" i="55"/>
  <c r="P102" i="55"/>
  <c r="P101" i="55"/>
  <c r="P100" i="55"/>
  <c r="P99" i="55"/>
  <c r="P98" i="55"/>
  <c r="P97" i="55"/>
  <c r="P96" i="55"/>
  <c r="P95" i="55"/>
  <c r="P94" i="55"/>
  <c r="P93" i="55"/>
  <c r="P92" i="55"/>
  <c r="P91" i="55"/>
  <c r="P90" i="55"/>
  <c r="P89" i="55"/>
  <c r="P88" i="55"/>
  <c r="P87" i="55"/>
  <c r="P86" i="55"/>
  <c r="P85" i="55"/>
  <c r="P84" i="55"/>
  <c r="P83" i="55"/>
  <c r="P82" i="55"/>
  <c r="P81" i="55"/>
  <c r="P80" i="55"/>
  <c r="P79" i="55"/>
  <c r="P78" i="55"/>
  <c r="P77" i="55"/>
  <c r="P76" i="55"/>
  <c r="P75" i="55"/>
  <c r="P74" i="55"/>
  <c r="P73" i="55"/>
  <c r="P72" i="55"/>
  <c r="P71" i="55"/>
  <c r="P70" i="55"/>
  <c r="P69" i="55"/>
  <c r="P68" i="55"/>
  <c r="P67" i="55"/>
  <c r="P66" i="55"/>
  <c r="P65" i="55"/>
  <c r="P64" i="55"/>
  <c r="P63" i="55"/>
  <c r="P62" i="55"/>
  <c r="P61" i="55"/>
  <c r="P60" i="55"/>
  <c r="P59" i="55"/>
  <c r="P58" i="55"/>
  <c r="P57" i="55"/>
  <c r="P56" i="55"/>
  <c r="P55" i="55"/>
  <c r="P54" i="55"/>
  <c r="P53" i="55"/>
  <c r="P52" i="55"/>
  <c r="P51" i="55"/>
  <c r="P50" i="55"/>
  <c r="P49" i="55"/>
  <c r="P48" i="55"/>
  <c r="P47" i="55"/>
  <c r="P46" i="55"/>
  <c r="P45" i="55"/>
  <c r="P44" i="55"/>
  <c r="P43" i="55"/>
  <c r="P42" i="55"/>
  <c r="P41" i="55"/>
  <c r="P40" i="55"/>
  <c r="P39" i="55"/>
  <c r="P38" i="55"/>
  <c r="P37" i="55"/>
  <c r="P36" i="55"/>
  <c r="P35" i="55"/>
  <c r="P34" i="55"/>
  <c r="P33" i="55"/>
  <c r="P32" i="55"/>
  <c r="P31" i="55"/>
  <c r="P30" i="55"/>
  <c r="P29" i="55"/>
  <c r="P28" i="55"/>
  <c r="P27" i="55"/>
  <c r="P26" i="55"/>
  <c r="P25" i="55"/>
  <c r="P24" i="55"/>
  <c r="P23" i="55"/>
  <c r="P22" i="55"/>
  <c r="P21" i="55"/>
  <c r="P20" i="55"/>
  <c r="P19" i="55"/>
  <c r="P18" i="55"/>
  <c r="P17" i="55"/>
  <c r="P16" i="55"/>
  <c r="P15" i="55"/>
  <c r="P14" i="55"/>
  <c r="P13" i="55"/>
  <c r="P12" i="55"/>
  <c r="P11" i="55"/>
  <c r="T7" i="107"/>
  <c r="S258" i="59"/>
  <c r="S257" i="59"/>
  <c r="S256" i="59"/>
  <c r="S255" i="59"/>
  <c r="S254" i="59"/>
  <c r="S253" i="59"/>
  <c r="S252" i="59"/>
  <c r="S251" i="59"/>
  <c r="S250" i="59"/>
  <c r="S249" i="59"/>
  <c r="S248" i="59"/>
  <c r="S247" i="59"/>
  <c r="S246" i="59"/>
  <c r="S245" i="59"/>
  <c r="S244" i="59"/>
  <c r="S243" i="59"/>
  <c r="S242" i="59"/>
  <c r="S241" i="59"/>
  <c r="S240" i="59"/>
  <c r="S239" i="59"/>
  <c r="S238" i="59"/>
  <c r="S237" i="59"/>
  <c r="S236" i="59"/>
  <c r="S235" i="59"/>
  <c r="S234" i="59"/>
  <c r="S233" i="59"/>
  <c r="S232" i="59"/>
  <c r="S231" i="59"/>
  <c r="S230" i="59"/>
  <c r="S229" i="59"/>
  <c r="S228" i="59"/>
  <c r="S227" i="59"/>
  <c r="S226" i="59"/>
  <c r="S225" i="59"/>
  <c r="S224" i="59"/>
  <c r="S223" i="59"/>
  <c r="S222" i="59"/>
  <c r="S221" i="59"/>
  <c r="S220" i="59"/>
  <c r="S219" i="59"/>
  <c r="S218" i="59"/>
  <c r="S217" i="59"/>
  <c r="S216" i="59"/>
  <c r="S215" i="59"/>
  <c r="S214" i="59"/>
  <c r="S213" i="59"/>
  <c r="S212" i="59"/>
  <c r="S211" i="59"/>
  <c r="S210" i="59"/>
  <c r="S209" i="59"/>
  <c r="S208" i="59"/>
  <c r="S207" i="59"/>
  <c r="S206" i="59"/>
  <c r="S205" i="59"/>
  <c r="S204" i="59"/>
  <c r="S203" i="59"/>
  <c r="S202" i="59"/>
  <c r="S201" i="59"/>
  <c r="S200" i="59"/>
  <c r="S199" i="59"/>
  <c r="S198" i="59"/>
  <c r="S197" i="59"/>
  <c r="S196" i="59"/>
  <c r="S195" i="59"/>
  <c r="S194" i="59"/>
  <c r="S193" i="59"/>
  <c r="S192" i="59"/>
  <c r="S191" i="59"/>
  <c r="S190" i="59"/>
  <c r="S189" i="59"/>
  <c r="S188" i="59"/>
  <c r="S187" i="59"/>
  <c r="S186" i="59"/>
  <c r="S185" i="59"/>
  <c r="S184" i="59"/>
  <c r="S183" i="59"/>
  <c r="S182" i="59"/>
  <c r="S181" i="59"/>
  <c r="S180" i="59"/>
  <c r="S179" i="59"/>
  <c r="S178" i="59"/>
  <c r="S177" i="59"/>
  <c r="S176" i="59"/>
  <c r="S175" i="59"/>
  <c r="S174" i="59"/>
  <c r="S173" i="59"/>
  <c r="S172" i="59"/>
  <c r="S171" i="59"/>
  <c r="S170" i="59"/>
  <c r="S169" i="59"/>
  <c r="S168" i="59"/>
  <c r="S167" i="59"/>
  <c r="S166" i="59"/>
  <c r="S165" i="59"/>
  <c r="S164" i="59"/>
  <c r="S163" i="59"/>
  <c r="S162" i="59"/>
  <c r="S161" i="59"/>
  <c r="S160" i="59"/>
  <c r="S159" i="59"/>
  <c r="S158" i="59"/>
  <c r="S157" i="59"/>
  <c r="S156" i="59"/>
  <c r="S155" i="59"/>
  <c r="S154" i="59"/>
  <c r="S153" i="59"/>
  <c r="S152" i="59"/>
  <c r="S151" i="59"/>
  <c r="S150" i="59"/>
  <c r="S149" i="59"/>
  <c r="S148" i="59"/>
  <c r="S147" i="59"/>
  <c r="S146" i="59"/>
  <c r="S145" i="59"/>
  <c r="S144" i="59"/>
  <c r="S143" i="59"/>
  <c r="S142" i="59"/>
  <c r="S141" i="59"/>
  <c r="S140" i="59"/>
  <c r="S139" i="59"/>
  <c r="S138" i="59"/>
  <c r="S137" i="59"/>
  <c r="S136" i="59"/>
  <c r="S135" i="59"/>
  <c r="S134" i="59"/>
  <c r="S133" i="59"/>
  <c r="S132" i="59"/>
  <c r="S131" i="59"/>
  <c r="S130" i="59"/>
  <c r="S129" i="59"/>
  <c r="S128" i="59"/>
  <c r="S127" i="59"/>
  <c r="S126" i="59"/>
  <c r="S125" i="59"/>
  <c r="S124" i="59"/>
  <c r="S123" i="59"/>
  <c r="S122" i="59"/>
  <c r="S121" i="59"/>
  <c r="S120" i="59"/>
  <c r="S119" i="59"/>
  <c r="S118" i="59"/>
  <c r="S117" i="59"/>
  <c r="S116" i="59"/>
  <c r="S115" i="59"/>
  <c r="S114" i="59"/>
  <c r="S113" i="59"/>
  <c r="S112" i="59"/>
  <c r="S111" i="59"/>
  <c r="S110" i="59"/>
  <c r="S109" i="59"/>
  <c r="S108" i="59"/>
  <c r="S107" i="59"/>
  <c r="S106" i="59"/>
  <c r="S105" i="59"/>
  <c r="S104" i="59"/>
  <c r="S103" i="59"/>
  <c r="S102" i="59"/>
  <c r="S101" i="59"/>
  <c r="S100" i="59"/>
  <c r="S99" i="59"/>
  <c r="S98" i="59"/>
  <c r="S97" i="59"/>
  <c r="S96" i="59"/>
  <c r="S95" i="59"/>
  <c r="S94" i="59"/>
  <c r="S93" i="59"/>
  <c r="S92" i="59"/>
  <c r="S91" i="59"/>
  <c r="S90" i="59"/>
  <c r="S89" i="59"/>
  <c r="S88" i="59"/>
  <c r="S87" i="59"/>
  <c r="S86" i="59"/>
  <c r="S85" i="59"/>
  <c r="S84" i="59"/>
  <c r="S83" i="59"/>
  <c r="S82" i="59"/>
  <c r="S81" i="59"/>
  <c r="S80" i="59"/>
  <c r="S79" i="59"/>
  <c r="S78" i="59"/>
  <c r="S77" i="59"/>
  <c r="S76" i="59"/>
  <c r="S75" i="59"/>
  <c r="S74" i="59"/>
  <c r="S73" i="59"/>
  <c r="S72" i="59"/>
  <c r="S71" i="59"/>
  <c r="S70" i="59"/>
  <c r="S69" i="59"/>
  <c r="S68" i="59"/>
  <c r="S67" i="59"/>
  <c r="S66" i="59"/>
  <c r="S65" i="59"/>
  <c r="S64" i="59"/>
  <c r="S63" i="59"/>
  <c r="S62" i="59"/>
  <c r="S61" i="59"/>
  <c r="S60" i="59"/>
  <c r="S59" i="59"/>
  <c r="S58" i="59"/>
  <c r="S57" i="59"/>
  <c r="S56" i="59"/>
  <c r="S55" i="59"/>
  <c r="S54" i="59"/>
  <c r="S53" i="59"/>
  <c r="S52" i="59"/>
  <c r="S51" i="59"/>
  <c r="S50" i="59"/>
  <c r="S49" i="59"/>
  <c r="S48" i="59"/>
  <c r="S47" i="59"/>
  <c r="S46" i="59"/>
  <c r="S45" i="59"/>
  <c r="S44" i="59"/>
  <c r="S43" i="59"/>
  <c r="S42" i="59"/>
  <c r="S41" i="59"/>
  <c r="S40" i="59"/>
  <c r="S39" i="59"/>
  <c r="S38" i="59"/>
  <c r="S37" i="59"/>
  <c r="S36" i="59"/>
  <c r="S35" i="59"/>
  <c r="S34" i="59"/>
  <c r="S33" i="59"/>
  <c r="S32" i="59"/>
  <c r="S31" i="59"/>
  <c r="S30" i="59"/>
  <c r="S29" i="59"/>
  <c r="S28" i="59"/>
  <c r="S27" i="59"/>
  <c r="S26" i="59"/>
  <c r="S25" i="59"/>
  <c r="S24" i="59"/>
  <c r="S23" i="59"/>
  <c r="S22" i="59"/>
  <c r="S21" i="59"/>
  <c r="S20" i="59"/>
  <c r="S19" i="59"/>
  <c r="S18" i="59"/>
  <c r="S17" i="59"/>
  <c r="S16" i="59"/>
  <c r="S15" i="59"/>
  <c r="S14" i="59"/>
  <c r="S13" i="59"/>
  <c r="S12" i="59"/>
  <c r="S11" i="59"/>
  <c r="AK11" i="59" l="1"/>
  <c r="O2" i="59" a="1"/>
  <c r="O2" i="59" s="1"/>
  <c r="B2" i="69" l="1"/>
  <c r="B2" i="68"/>
  <c r="B2" i="67"/>
  <c r="B2" i="65"/>
  <c r="B2" i="64"/>
  <c r="B2" i="63"/>
  <c r="B2" i="57"/>
  <c r="B2" i="55"/>
  <c r="B2" i="58"/>
  <c r="B2" i="53"/>
  <c r="B2" i="42"/>
  <c r="B2" i="52"/>
  <c r="E2" i="50"/>
  <c r="D2" i="71"/>
  <c r="D2" i="59"/>
  <c r="E2" i="32"/>
  <c r="D2" i="46"/>
  <c r="D2" i="11"/>
  <c r="R3" i="69" a="1"/>
  <c r="R3" i="69" s="1"/>
  <c r="V2" i="68" a="1"/>
  <c r="V2" i="68" s="1"/>
  <c r="O2" i="67" a="1"/>
  <c r="O2" i="67" s="1"/>
  <c r="S2" i="65" a="1"/>
  <c r="S2" i="65" s="1"/>
  <c r="V5" i="64" a="1"/>
  <c r="V5" i="64" s="1"/>
  <c r="Q2" i="11" a="1"/>
  <c r="Q2" i="11" s="1"/>
  <c r="L2" i="63" a="1"/>
  <c r="L2" i="63" s="1"/>
  <c r="V2" i="50" a="1"/>
  <c r="V2" i="50" s="1"/>
  <c r="U2" i="71" a="1"/>
  <c r="U2" i="71" s="1"/>
  <c r="S2" i="46" l="1" a="1"/>
  <c r="S2" i="46" s="1"/>
  <c r="V2" i="32" a="1"/>
  <c r="V2" i="32" s="1"/>
  <c r="U22" i="64" l="1"/>
  <c r="U23" i="64"/>
  <c r="U24" i="64"/>
  <c r="U25" i="64"/>
  <c r="U26" i="64"/>
  <c r="U27" i="64"/>
  <c r="U28" i="64"/>
  <c r="U29" i="64"/>
  <c r="U30" i="64"/>
  <c r="U31" i="64"/>
  <c r="U32" i="64"/>
  <c r="U33" i="64"/>
  <c r="U34" i="64"/>
  <c r="U35" i="64"/>
  <c r="U36" i="64"/>
  <c r="U37" i="64"/>
  <c r="U38" i="64"/>
  <c r="U39" i="64"/>
  <c r="U40" i="64"/>
  <c r="U41" i="64"/>
  <c r="U42" i="64"/>
  <c r="U43" i="64"/>
  <c r="U44" i="64"/>
  <c r="U45" i="64"/>
  <c r="U46" i="64"/>
  <c r="U47" i="64"/>
  <c r="U48" i="64"/>
  <c r="U49" i="64"/>
  <c r="U50" i="64"/>
  <c r="U51" i="64"/>
  <c r="U52" i="64"/>
  <c r="U53" i="64"/>
  <c r="U54" i="64"/>
  <c r="U55" i="64"/>
  <c r="U56" i="64"/>
  <c r="U57" i="64"/>
  <c r="U58" i="64"/>
  <c r="U59" i="64"/>
  <c r="U60" i="64"/>
  <c r="U61" i="64"/>
  <c r="U62" i="64"/>
  <c r="U63" i="64"/>
  <c r="U64" i="64"/>
  <c r="U65" i="64"/>
  <c r="U66" i="64"/>
  <c r="U67" i="64"/>
  <c r="U68" i="64"/>
  <c r="U69" i="64"/>
  <c r="U70" i="64"/>
  <c r="U71" i="64"/>
  <c r="U72" i="64"/>
  <c r="U73" i="64"/>
  <c r="U74" i="64"/>
  <c r="U75" i="64"/>
  <c r="U76" i="64"/>
  <c r="U77" i="64"/>
  <c r="U78" i="64"/>
  <c r="U79" i="64"/>
  <c r="U80" i="64"/>
  <c r="U81" i="64"/>
  <c r="U82" i="64"/>
  <c r="U83" i="64"/>
  <c r="U84" i="64"/>
  <c r="U85" i="64"/>
  <c r="U86" i="64"/>
  <c r="U87" i="64"/>
  <c r="U88" i="64"/>
  <c r="U89" i="64"/>
  <c r="U90" i="64"/>
  <c r="U91" i="64"/>
  <c r="U92" i="64"/>
  <c r="U93" i="64"/>
  <c r="U94" i="64"/>
  <c r="U95" i="64"/>
  <c r="U96" i="64"/>
  <c r="U97" i="64"/>
  <c r="U98" i="64"/>
  <c r="U99" i="64"/>
  <c r="U100" i="64"/>
  <c r="U101" i="64"/>
  <c r="U102" i="64"/>
  <c r="U103" i="64"/>
  <c r="U104" i="64"/>
  <c r="U105" i="64"/>
  <c r="U106" i="64"/>
  <c r="U107" i="64"/>
  <c r="U108" i="64"/>
  <c r="U109" i="64"/>
  <c r="U110" i="64"/>
  <c r="U111" i="64"/>
  <c r="U112" i="64"/>
  <c r="U113" i="64"/>
  <c r="U114" i="64"/>
  <c r="U115" i="64"/>
  <c r="U116" i="64"/>
  <c r="U117" i="64"/>
  <c r="U118" i="64"/>
  <c r="U119" i="64"/>
  <c r="U120" i="64"/>
  <c r="U121" i="64"/>
  <c r="U122" i="64"/>
  <c r="U123" i="64"/>
  <c r="U124" i="64"/>
  <c r="U125" i="64"/>
  <c r="U126" i="64"/>
  <c r="U127" i="64"/>
  <c r="U128" i="64"/>
  <c r="U129" i="64"/>
  <c r="U130" i="64"/>
  <c r="U131" i="64"/>
  <c r="U132" i="64"/>
  <c r="U133" i="64"/>
  <c r="U134" i="64"/>
  <c r="U135" i="64"/>
  <c r="U136" i="64"/>
  <c r="U137" i="64"/>
  <c r="U138" i="64"/>
  <c r="U139" i="64"/>
  <c r="U140" i="64"/>
  <c r="U141" i="64"/>
  <c r="U142" i="64"/>
  <c r="U143" i="64"/>
  <c r="U144" i="64"/>
  <c r="U145" i="64"/>
  <c r="U146" i="64"/>
  <c r="U147" i="64"/>
  <c r="U148" i="64"/>
  <c r="U149" i="64"/>
  <c r="U150" i="64"/>
  <c r="U151" i="64"/>
  <c r="U152" i="64"/>
  <c r="U153" i="64"/>
  <c r="U154" i="64"/>
  <c r="U155" i="64"/>
  <c r="U156" i="64"/>
  <c r="U157" i="64"/>
  <c r="U158" i="64"/>
  <c r="U159" i="64"/>
  <c r="U160" i="64"/>
  <c r="U161" i="64"/>
  <c r="U162" i="64"/>
  <c r="U163" i="64"/>
  <c r="U164" i="64"/>
  <c r="U165" i="64"/>
  <c r="U166" i="64"/>
  <c r="U167" i="64"/>
  <c r="U168" i="64"/>
  <c r="U169" i="64"/>
  <c r="U170" i="64"/>
  <c r="U171" i="64"/>
  <c r="U172" i="64"/>
  <c r="U173" i="64"/>
  <c r="U174" i="64"/>
  <c r="U175" i="64"/>
  <c r="U176" i="64"/>
  <c r="U177" i="64"/>
  <c r="U178" i="64"/>
  <c r="U179" i="64"/>
  <c r="U180" i="64"/>
  <c r="U181" i="64"/>
  <c r="U182" i="64"/>
  <c r="U183" i="64"/>
  <c r="U184" i="64"/>
  <c r="U185" i="64"/>
  <c r="U186" i="64"/>
  <c r="U187" i="64"/>
  <c r="U188" i="64"/>
  <c r="U189" i="64"/>
  <c r="U190" i="64"/>
  <c r="U191" i="64"/>
  <c r="U192" i="64"/>
  <c r="U193" i="64"/>
  <c r="U194" i="64"/>
  <c r="U195" i="64"/>
  <c r="U196" i="64"/>
  <c r="U197" i="64"/>
  <c r="U198" i="64"/>
  <c r="U199" i="64"/>
  <c r="U200" i="64"/>
  <c r="U201" i="64"/>
  <c r="U202" i="64"/>
  <c r="U203" i="64"/>
  <c r="U204" i="64"/>
  <c r="U205" i="64"/>
  <c r="U206" i="64"/>
  <c r="U207" i="64"/>
  <c r="U208" i="64"/>
  <c r="U209" i="64"/>
  <c r="U210" i="64"/>
  <c r="U211" i="64"/>
  <c r="U212" i="64"/>
  <c r="U213" i="64"/>
  <c r="U214" i="64"/>
  <c r="U215" i="64"/>
  <c r="U216" i="64"/>
  <c r="U217" i="64"/>
  <c r="U218" i="64"/>
  <c r="U219" i="64"/>
  <c r="U220" i="64"/>
  <c r="U221" i="64"/>
  <c r="U222" i="64"/>
  <c r="U223" i="64"/>
  <c r="U224" i="64"/>
  <c r="U225" i="64"/>
  <c r="U226" i="64"/>
  <c r="U227" i="64"/>
  <c r="U228" i="64"/>
  <c r="U229" i="64"/>
  <c r="U230" i="64"/>
  <c r="U231" i="64"/>
  <c r="U232" i="64"/>
  <c r="U233" i="64"/>
  <c r="U234" i="64"/>
  <c r="U235" i="64"/>
  <c r="U236" i="64"/>
  <c r="U237" i="64"/>
  <c r="U238" i="64"/>
  <c r="U239" i="64"/>
  <c r="U240" i="64"/>
  <c r="U241" i="64"/>
  <c r="U242" i="64"/>
  <c r="U243" i="64"/>
  <c r="U244" i="64"/>
  <c r="U245" i="64"/>
  <c r="U246" i="64"/>
  <c r="U247" i="64"/>
  <c r="U248" i="64"/>
  <c r="U249" i="64"/>
  <c r="U250" i="64"/>
  <c r="U251" i="64"/>
  <c r="U252" i="64"/>
  <c r="U253" i="64"/>
  <c r="U254" i="64"/>
  <c r="U255" i="64"/>
  <c r="U256" i="64"/>
  <c r="U257" i="64"/>
  <c r="U258" i="64"/>
  <c r="U259" i="64"/>
  <c r="U22" i="68"/>
  <c r="U23" i="68"/>
  <c r="U24" i="68"/>
  <c r="U25" i="68"/>
  <c r="U26" i="68"/>
  <c r="U27" i="68"/>
  <c r="U28" i="68"/>
  <c r="U29" i="68"/>
  <c r="U30" i="68"/>
  <c r="U31" i="68"/>
  <c r="U32" i="68"/>
  <c r="U33" i="68"/>
  <c r="U34" i="68"/>
  <c r="U35" i="68"/>
  <c r="U36" i="68"/>
  <c r="U37" i="68"/>
  <c r="U38" i="68"/>
  <c r="U39" i="68"/>
  <c r="U40" i="68"/>
  <c r="U41" i="68"/>
  <c r="U42" i="68"/>
  <c r="U43" i="68"/>
  <c r="U44" i="68"/>
  <c r="U45" i="68"/>
  <c r="U46" i="68"/>
  <c r="U47" i="68"/>
  <c r="U48" i="68"/>
  <c r="U49" i="68"/>
  <c r="U50" i="68"/>
  <c r="U51" i="68"/>
  <c r="U52" i="68"/>
  <c r="U53" i="68"/>
  <c r="U54" i="68"/>
  <c r="U55" i="68"/>
  <c r="U56" i="68"/>
  <c r="U57" i="68"/>
  <c r="U58" i="68"/>
  <c r="U59" i="68"/>
  <c r="U60" i="68"/>
  <c r="U61" i="68"/>
  <c r="U62" i="68"/>
  <c r="U63" i="68"/>
  <c r="U64" i="68"/>
  <c r="U65" i="68"/>
  <c r="U66" i="68"/>
  <c r="U67" i="68"/>
  <c r="U68" i="68"/>
  <c r="U69" i="68"/>
  <c r="U70" i="68"/>
  <c r="U71" i="68"/>
  <c r="U72" i="68"/>
  <c r="U73" i="68"/>
  <c r="U74" i="68"/>
  <c r="U75" i="68"/>
  <c r="U76" i="68"/>
  <c r="U77" i="68"/>
  <c r="U78" i="68"/>
  <c r="U79" i="68"/>
  <c r="U80" i="68"/>
  <c r="U81" i="68"/>
  <c r="U82" i="68"/>
  <c r="U83" i="68"/>
  <c r="U84" i="68"/>
  <c r="U85" i="68"/>
  <c r="U86" i="68"/>
  <c r="U87" i="68"/>
  <c r="U88" i="68"/>
  <c r="U89" i="68"/>
  <c r="U90" i="68"/>
  <c r="U91" i="68"/>
  <c r="U92" i="68"/>
  <c r="U93" i="68"/>
  <c r="U94" i="68"/>
  <c r="U95" i="68"/>
  <c r="U96" i="68"/>
  <c r="U97" i="68"/>
  <c r="U98" i="68"/>
  <c r="U99" i="68"/>
  <c r="U100" i="68"/>
  <c r="U101" i="68"/>
  <c r="U102" i="68"/>
  <c r="U103" i="68"/>
  <c r="U104" i="68"/>
  <c r="U105" i="68"/>
  <c r="U106" i="68"/>
  <c r="U107" i="68"/>
  <c r="U108" i="68"/>
  <c r="U109" i="68"/>
  <c r="U110" i="68"/>
  <c r="U111" i="68"/>
  <c r="U112" i="68"/>
  <c r="U113" i="68"/>
  <c r="U114" i="68"/>
  <c r="U115" i="68"/>
  <c r="U116" i="68"/>
  <c r="U117" i="68"/>
  <c r="U118" i="68"/>
  <c r="U119" i="68"/>
  <c r="U120" i="68"/>
  <c r="U121" i="68"/>
  <c r="U122" i="68"/>
  <c r="U123" i="68"/>
  <c r="U124" i="68"/>
  <c r="U125" i="68"/>
  <c r="U126" i="68"/>
  <c r="U127" i="68"/>
  <c r="U128" i="68"/>
  <c r="U129" i="68"/>
  <c r="U130" i="68"/>
  <c r="U131" i="68"/>
  <c r="U132" i="68"/>
  <c r="U133" i="68"/>
  <c r="U134" i="68"/>
  <c r="U135" i="68"/>
  <c r="U136" i="68"/>
  <c r="U137" i="68"/>
  <c r="U138" i="68"/>
  <c r="U139" i="68"/>
  <c r="U140" i="68"/>
  <c r="U141" i="68"/>
  <c r="U142" i="68"/>
  <c r="U143" i="68"/>
  <c r="U144" i="68"/>
  <c r="U145" i="68"/>
  <c r="U146" i="68"/>
  <c r="U147" i="68"/>
  <c r="U148" i="68"/>
  <c r="U149" i="68"/>
  <c r="U150" i="68"/>
  <c r="U151" i="68"/>
  <c r="U152" i="68"/>
  <c r="U153" i="68"/>
  <c r="U154" i="68"/>
  <c r="U155" i="68"/>
  <c r="U156" i="68"/>
  <c r="U157" i="68"/>
  <c r="U158" i="68"/>
  <c r="U159" i="68"/>
  <c r="U160" i="68"/>
  <c r="U161" i="68"/>
  <c r="U162" i="68"/>
  <c r="U163" i="68"/>
  <c r="U164" i="68"/>
  <c r="U165" i="68"/>
  <c r="U166" i="68"/>
  <c r="U167" i="68"/>
  <c r="U168" i="68"/>
  <c r="U169" i="68"/>
  <c r="U170" i="68"/>
  <c r="U171" i="68"/>
  <c r="U172" i="68"/>
  <c r="U173" i="68"/>
  <c r="U174" i="68"/>
  <c r="U175" i="68"/>
  <c r="U176" i="68"/>
  <c r="U177" i="68"/>
  <c r="U178" i="68"/>
  <c r="U179" i="68"/>
  <c r="U180" i="68"/>
  <c r="U181" i="68"/>
  <c r="U182" i="68"/>
  <c r="U183" i="68"/>
  <c r="U184" i="68"/>
  <c r="U185" i="68"/>
  <c r="U186" i="68"/>
  <c r="U187" i="68"/>
  <c r="U188" i="68"/>
  <c r="U189" i="68"/>
  <c r="U190" i="68"/>
  <c r="U191" i="68"/>
  <c r="U192" i="68"/>
  <c r="U193" i="68"/>
  <c r="U194" i="68"/>
  <c r="U195" i="68"/>
  <c r="U196" i="68"/>
  <c r="U197" i="68"/>
  <c r="U198" i="68"/>
  <c r="U199" i="68"/>
  <c r="U200" i="68"/>
  <c r="U201" i="68"/>
  <c r="U202" i="68"/>
  <c r="U203" i="68"/>
  <c r="U204" i="68"/>
  <c r="U205" i="68"/>
  <c r="U206" i="68"/>
  <c r="U207" i="68"/>
  <c r="U208" i="68"/>
  <c r="U209" i="68"/>
  <c r="U210" i="68"/>
  <c r="U211" i="68"/>
  <c r="U212" i="68"/>
  <c r="U213" i="68"/>
  <c r="U214" i="68"/>
  <c r="U215" i="68"/>
  <c r="U216" i="68"/>
  <c r="U217" i="68"/>
  <c r="U218" i="68"/>
  <c r="U219" i="68"/>
  <c r="U220" i="68"/>
  <c r="U221" i="68"/>
  <c r="U222" i="68"/>
  <c r="U223" i="68"/>
  <c r="U224" i="68"/>
  <c r="U225" i="68"/>
  <c r="U226" i="68"/>
  <c r="U227" i="68"/>
  <c r="U228" i="68"/>
  <c r="U229" i="68"/>
  <c r="U230" i="68"/>
  <c r="U231" i="68"/>
  <c r="U232" i="68"/>
  <c r="U233" i="68"/>
  <c r="U234" i="68"/>
  <c r="U235" i="68"/>
  <c r="U236" i="68"/>
  <c r="U237" i="68"/>
  <c r="U238" i="68"/>
  <c r="U239" i="68"/>
  <c r="U240" i="68"/>
  <c r="U241" i="68"/>
  <c r="U242" i="68"/>
  <c r="U243" i="68"/>
  <c r="U244" i="68"/>
  <c r="U245" i="68"/>
  <c r="U246" i="68"/>
  <c r="U247" i="68"/>
  <c r="U248" i="68"/>
  <c r="U249" i="68"/>
  <c r="U250" i="68"/>
  <c r="U251" i="68"/>
  <c r="U252" i="68"/>
  <c r="U253" i="68"/>
  <c r="U254" i="68"/>
  <c r="U255" i="68"/>
  <c r="U256" i="68"/>
  <c r="U257" i="68"/>
  <c r="U258" i="68"/>
  <c r="U259" i="68"/>
  <c r="D3" i="59" l="1"/>
  <c r="M12" i="42"/>
  <c r="X256" i="71" l="1"/>
  <c r="X255" i="71"/>
  <c r="X254" i="71"/>
  <c r="X253" i="71"/>
  <c r="X252" i="71"/>
  <c r="X251" i="71"/>
  <c r="X250" i="71"/>
  <c r="X249" i="71"/>
  <c r="X248" i="71"/>
  <c r="X247" i="71"/>
  <c r="X246" i="71"/>
  <c r="X245" i="71"/>
  <c r="X244" i="71"/>
  <c r="X243" i="71"/>
  <c r="X242" i="71"/>
  <c r="X241" i="71"/>
  <c r="X240" i="71"/>
  <c r="X239" i="71"/>
  <c r="X238" i="71"/>
  <c r="X237" i="71"/>
  <c r="X236" i="71"/>
  <c r="X235" i="71"/>
  <c r="X234" i="71"/>
  <c r="X233" i="71"/>
  <c r="X232" i="71"/>
  <c r="X231" i="71"/>
  <c r="X230" i="71"/>
  <c r="X229" i="71"/>
  <c r="X228" i="71"/>
  <c r="X227" i="71"/>
  <c r="X226" i="71"/>
  <c r="X225" i="71"/>
  <c r="X224" i="71"/>
  <c r="X223" i="71"/>
  <c r="X222" i="71"/>
  <c r="X221" i="71"/>
  <c r="X220" i="71"/>
  <c r="X219" i="71"/>
  <c r="X218" i="71"/>
  <c r="X217" i="71"/>
  <c r="X216" i="71"/>
  <c r="X215" i="71"/>
  <c r="X214" i="71"/>
  <c r="X213" i="71"/>
  <c r="X212" i="71"/>
  <c r="X211" i="71"/>
  <c r="X210" i="71"/>
  <c r="X209" i="71"/>
  <c r="X208" i="71"/>
  <c r="X207" i="71"/>
  <c r="X206" i="71"/>
  <c r="X205" i="71"/>
  <c r="X204" i="71"/>
  <c r="X203" i="71"/>
  <c r="X202" i="71"/>
  <c r="X201" i="71"/>
  <c r="X200" i="71"/>
  <c r="X199" i="71"/>
  <c r="X198" i="71"/>
  <c r="X197" i="71"/>
  <c r="X196" i="71"/>
  <c r="X195" i="71"/>
  <c r="X194" i="71"/>
  <c r="X193" i="71"/>
  <c r="X192" i="71"/>
  <c r="X191" i="71"/>
  <c r="X190" i="71"/>
  <c r="X189" i="71"/>
  <c r="X188" i="71"/>
  <c r="X187" i="71"/>
  <c r="X186" i="71"/>
  <c r="X185" i="71"/>
  <c r="X184" i="71"/>
  <c r="X183" i="71"/>
  <c r="X182" i="71"/>
  <c r="X181" i="71"/>
  <c r="X180" i="71"/>
  <c r="X179" i="71"/>
  <c r="X178" i="71"/>
  <c r="X177" i="71"/>
  <c r="X176" i="71"/>
  <c r="X175" i="71"/>
  <c r="X174" i="71"/>
  <c r="X173" i="71"/>
  <c r="X172" i="71"/>
  <c r="X171" i="71"/>
  <c r="X170" i="71"/>
  <c r="X169" i="71"/>
  <c r="X168" i="71"/>
  <c r="X167" i="71"/>
  <c r="X166" i="71"/>
  <c r="X165" i="71"/>
  <c r="X164" i="71"/>
  <c r="X163" i="71"/>
  <c r="X162" i="71"/>
  <c r="X161" i="71"/>
  <c r="X160" i="71"/>
  <c r="X159" i="71"/>
  <c r="X158" i="71"/>
  <c r="X157" i="71"/>
  <c r="X156" i="71"/>
  <c r="X155" i="71"/>
  <c r="X154" i="71"/>
  <c r="X153" i="71"/>
  <c r="X152" i="71"/>
  <c r="X151" i="71"/>
  <c r="X150" i="71"/>
  <c r="X149" i="71"/>
  <c r="X148" i="71"/>
  <c r="X147" i="71"/>
  <c r="X146" i="71"/>
  <c r="X145" i="71"/>
  <c r="X144" i="71"/>
  <c r="X143" i="71"/>
  <c r="X142" i="71"/>
  <c r="X141" i="71"/>
  <c r="X140" i="71"/>
  <c r="X139" i="71"/>
  <c r="X138" i="71"/>
  <c r="X137" i="71"/>
  <c r="X136" i="71"/>
  <c r="X135" i="71"/>
  <c r="X134" i="71"/>
  <c r="X133" i="71"/>
  <c r="X132" i="71"/>
  <c r="X131" i="71"/>
  <c r="X130" i="71"/>
  <c r="X129" i="71"/>
  <c r="X128" i="71"/>
  <c r="X127" i="71"/>
  <c r="X126" i="71"/>
  <c r="X125" i="71"/>
  <c r="X124" i="71"/>
  <c r="X123" i="71"/>
  <c r="X122" i="71"/>
  <c r="X121" i="71"/>
  <c r="X120" i="71"/>
  <c r="X119" i="71"/>
  <c r="X118" i="71"/>
  <c r="X117" i="71"/>
  <c r="X116" i="71"/>
  <c r="X115" i="71"/>
  <c r="X114" i="71"/>
  <c r="X113" i="71"/>
  <c r="X112" i="71"/>
  <c r="X111" i="71"/>
  <c r="X110" i="71"/>
  <c r="X109" i="71"/>
  <c r="X108" i="71"/>
  <c r="X107" i="71"/>
  <c r="X106" i="71"/>
  <c r="X105" i="71"/>
  <c r="X104" i="71"/>
  <c r="X103" i="71"/>
  <c r="X102" i="71"/>
  <c r="X101" i="71"/>
  <c r="X100" i="71"/>
  <c r="X99" i="71"/>
  <c r="X98" i="71"/>
  <c r="X97" i="71"/>
  <c r="X96" i="71"/>
  <c r="X95" i="71"/>
  <c r="X94" i="71"/>
  <c r="X93" i="71"/>
  <c r="X92" i="71"/>
  <c r="X91" i="71"/>
  <c r="X90" i="71"/>
  <c r="X89" i="71"/>
  <c r="X88" i="71"/>
  <c r="X87" i="71"/>
  <c r="X86" i="71"/>
  <c r="X85" i="71"/>
  <c r="X84" i="71"/>
  <c r="X83" i="71"/>
  <c r="X82" i="71"/>
  <c r="X81" i="71"/>
  <c r="X80" i="71"/>
  <c r="X79" i="71"/>
  <c r="X78" i="71"/>
  <c r="X77" i="71"/>
  <c r="X76" i="71"/>
  <c r="X75" i="71"/>
  <c r="X74" i="71"/>
  <c r="X73" i="71"/>
  <c r="X72" i="71"/>
  <c r="X71" i="71"/>
  <c r="X70" i="71"/>
  <c r="X69" i="71"/>
  <c r="X68" i="71"/>
  <c r="X67" i="71"/>
  <c r="X66" i="71"/>
  <c r="X65" i="71"/>
  <c r="X64" i="71"/>
  <c r="X63" i="71"/>
  <c r="X62" i="71"/>
  <c r="X61" i="71"/>
  <c r="X60" i="71"/>
  <c r="X59" i="71"/>
  <c r="X58" i="71"/>
  <c r="X57" i="71"/>
  <c r="X56" i="71"/>
  <c r="X55" i="71"/>
  <c r="X54" i="71"/>
  <c r="X53" i="71"/>
  <c r="X52" i="71"/>
  <c r="X51" i="71"/>
  <c r="X50" i="71"/>
  <c r="X49" i="71"/>
  <c r="X48" i="71"/>
  <c r="X47" i="71"/>
  <c r="X46" i="71"/>
  <c r="X45" i="71"/>
  <c r="X44" i="71"/>
  <c r="X43" i="71"/>
  <c r="X42" i="71"/>
  <c r="X41" i="71"/>
  <c r="X40" i="71"/>
  <c r="X39" i="71"/>
  <c r="X38" i="71"/>
  <c r="X37" i="71"/>
  <c r="X36" i="71"/>
  <c r="X35" i="71"/>
  <c r="X34" i="71"/>
  <c r="X33" i="71"/>
  <c r="X32" i="71"/>
  <c r="X31" i="71"/>
  <c r="X30" i="71"/>
  <c r="X29" i="71"/>
  <c r="X28" i="71"/>
  <c r="X27" i="71"/>
  <c r="X26" i="71"/>
  <c r="X25" i="71"/>
  <c r="X24" i="71"/>
  <c r="X23" i="71"/>
  <c r="X22" i="71"/>
  <c r="X21" i="71"/>
  <c r="X20" i="71"/>
  <c r="X256" i="46"/>
  <c r="X255" i="46"/>
  <c r="X254" i="46"/>
  <c r="X253" i="46"/>
  <c r="X252" i="46"/>
  <c r="X251" i="46"/>
  <c r="X250" i="46"/>
  <c r="X249" i="46"/>
  <c r="X248" i="46"/>
  <c r="X247" i="46"/>
  <c r="X246" i="46"/>
  <c r="X245" i="46"/>
  <c r="X244" i="46"/>
  <c r="X243" i="46"/>
  <c r="X242" i="46"/>
  <c r="X241" i="46"/>
  <c r="X240" i="46"/>
  <c r="X239" i="46"/>
  <c r="X238" i="46"/>
  <c r="X237" i="46"/>
  <c r="X236" i="46"/>
  <c r="X235" i="46"/>
  <c r="X234" i="46"/>
  <c r="X233" i="46"/>
  <c r="X232" i="46"/>
  <c r="X231" i="46"/>
  <c r="X230" i="46"/>
  <c r="X229" i="46"/>
  <c r="X228" i="46"/>
  <c r="X227" i="46"/>
  <c r="X226" i="46"/>
  <c r="X225" i="46"/>
  <c r="X224" i="46"/>
  <c r="X223" i="46"/>
  <c r="X222" i="46"/>
  <c r="X221" i="46"/>
  <c r="X220" i="46"/>
  <c r="X219" i="46"/>
  <c r="X218" i="46"/>
  <c r="X217" i="46"/>
  <c r="X216" i="46"/>
  <c r="X215" i="46"/>
  <c r="X214" i="46"/>
  <c r="X213" i="46"/>
  <c r="X212" i="46"/>
  <c r="X211" i="46"/>
  <c r="X210" i="46"/>
  <c r="X209" i="46"/>
  <c r="X208" i="46"/>
  <c r="X207" i="46"/>
  <c r="X206" i="46"/>
  <c r="X205" i="46"/>
  <c r="X204" i="46"/>
  <c r="X203" i="46"/>
  <c r="X202" i="46"/>
  <c r="X201" i="46"/>
  <c r="X200" i="46"/>
  <c r="X199" i="46"/>
  <c r="X198" i="46"/>
  <c r="X197" i="46"/>
  <c r="X196" i="46"/>
  <c r="X195" i="46"/>
  <c r="X194" i="46"/>
  <c r="X193" i="46"/>
  <c r="X192" i="46"/>
  <c r="X191" i="46"/>
  <c r="X190" i="46"/>
  <c r="X189" i="46"/>
  <c r="X188" i="46"/>
  <c r="X187" i="46"/>
  <c r="X186" i="46"/>
  <c r="X185" i="46"/>
  <c r="X184" i="46"/>
  <c r="X183" i="46"/>
  <c r="X182" i="46"/>
  <c r="X181" i="46"/>
  <c r="X180" i="46"/>
  <c r="X179" i="46"/>
  <c r="X178" i="46"/>
  <c r="X177" i="46"/>
  <c r="X176" i="46"/>
  <c r="X175" i="46"/>
  <c r="X174" i="46"/>
  <c r="X172" i="46"/>
  <c r="X171" i="46"/>
  <c r="X170" i="46"/>
  <c r="X169" i="46"/>
  <c r="X168" i="46"/>
  <c r="X167" i="46"/>
  <c r="X166" i="46"/>
  <c r="X165" i="46"/>
  <c r="X164" i="46"/>
  <c r="X163" i="46"/>
  <c r="X162" i="46"/>
  <c r="X161" i="46"/>
  <c r="X160" i="46"/>
  <c r="X159" i="46"/>
  <c r="X158" i="46"/>
  <c r="X157" i="46"/>
  <c r="X156" i="46"/>
  <c r="X155" i="46"/>
  <c r="X154" i="46"/>
  <c r="X153" i="46"/>
  <c r="X152" i="46"/>
  <c r="X151" i="46"/>
  <c r="X150" i="46"/>
  <c r="X149" i="46"/>
  <c r="X148" i="46"/>
  <c r="X147" i="46"/>
  <c r="X146" i="46"/>
  <c r="X145" i="46"/>
  <c r="X144" i="46"/>
  <c r="X143" i="46"/>
  <c r="X142" i="46"/>
  <c r="X141" i="46"/>
  <c r="X140" i="46"/>
  <c r="X139" i="46"/>
  <c r="X138" i="46"/>
  <c r="X137" i="46"/>
  <c r="X136" i="46"/>
  <c r="X135" i="46"/>
  <c r="X134" i="46"/>
  <c r="X133" i="46"/>
  <c r="X132" i="46"/>
  <c r="X131" i="46"/>
  <c r="X130" i="46"/>
  <c r="X129" i="46"/>
  <c r="X128" i="46"/>
  <c r="X127" i="46"/>
  <c r="X126" i="46"/>
  <c r="X125" i="46"/>
  <c r="X124" i="46"/>
  <c r="X123" i="46"/>
  <c r="X122" i="46"/>
  <c r="X121" i="46"/>
  <c r="X120" i="46"/>
  <c r="X119" i="46"/>
  <c r="X118" i="46"/>
  <c r="X117" i="46"/>
  <c r="X116" i="46"/>
  <c r="X115" i="46"/>
  <c r="X114" i="46"/>
  <c r="X113" i="46"/>
  <c r="X112" i="46"/>
  <c r="X111" i="46"/>
  <c r="X110" i="46"/>
  <c r="X109" i="46"/>
  <c r="X108" i="46"/>
  <c r="X107" i="46"/>
  <c r="X106" i="46"/>
  <c r="X105" i="46"/>
  <c r="X104" i="46"/>
  <c r="X103" i="46"/>
  <c r="X102" i="46"/>
  <c r="X101" i="46"/>
  <c r="X100" i="46"/>
  <c r="X99" i="46"/>
  <c r="X98" i="46"/>
  <c r="X97" i="46"/>
  <c r="X96" i="46"/>
  <c r="X95" i="46"/>
  <c r="X94" i="46"/>
  <c r="X93" i="46"/>
  <c r="X92" i="46"/>
  <c r="X91" i="46"/>
  <c r="X90" i="46"/>
  <c r="X89" i="46"/>
  <c r="X88" i="46"/>
  <c r="X87" i="46"/>
  <c r="X86" i="46"/>
  <c r="X85" i="46"/>
  <c r="X84" i="46"/>
  <c r="X83" i="46"/>
  <c r="X82" i="46"/>
  <c r="X81" i="46"/>
  <c r="X80" i="46"/>
  <c r="X79" i="46"/>
  <c r="X78" i="46"/>
  <c r="X77" i="46"/>
  <c r="X76" i="46"/>
  <c r="X75" i="46"/>
  <c r="X74" i="46"/>
  <c r="X73" i="46"/>
  <c r="X72" i="46"/>
  <c r="X71" i="46"/>
  <c r="X70" i="46"/>
  <c r="X69" i="46"/>
  <c r="X68" i="46"/>
  <c r="X67" i="46"/>
  <c r="X66" i="46"/>
  <c r="X65" i="46"/>
  <c r="X64" i="46"/>
  <c r="X63" i="46"/>
  <c r="X62" i="46"/>
  <c r="X61" i="46"/>
  <c r="X60" i="46"/>
  <c r="X59" i="46"/>
  <c r="X58" i="46"/>
  <c r="X57" i="46"/>
  <c r="X56" i="46"/>
  <c r="X55" i="46"/>
  <c r="X54" i="46"/>
  <c r="X53" i="46"/>
  <c r="X52" i="46"/>
  <c r="X51" i="46"/>
  <c r="X50" i="46"/>
  <c r="X49" i="46"/>
  <c r="X48" i="46"/>
  <c r="X47" i="46"/>
  <c r="X46" i="46"/>
  <c r="X45" i="46"/>
  <c r="X44" i="46"/>
  <c r="X43" i="46"/>
  <c r="X42" i="46"/>
  <c r="X41" i="46"/>
  <c r="X40" i="46"/>
  <c r="X39" i="46"/>
  <c r="X38" i="46"/>
  <c r="X37" i="46"/>
  <c r="X36" i="46"/>
  <c r="X35" i="46"/>
  <c r="X34" i="46"/>
  <c r="X33" i="46"/>
  <c r="X32" i="46"/>
  <c r="X31" i="46"/>
  <c r="X30" i="46"/>
  <c r="X29" i="46"/>
  <c r="X28" i="46"/>
  <c r="X27" i="46"/>
  <c r="X26" i="46"/>
  <c r="R172" i="58"/>
  <c r="R228" i="58"/>
  <c r="R236" i="58"/>
  <c r="O13" i="58"/>
  <c r="S13" i="58" s="1"/>
  <c r="O14" i="58"/>
  <c r="S14" i="58" s="1"/>
  <c r="O15" i="58"/>
  <c r="S15" i="58" s="1"/>
  <c r="O16" i="58"/>
  <c r="S16" i="58" s="1"/>
  <c r="O17" i="58"/>
  <c r="S17" i="58" s="1"/>
  <c r="O18" i="58"/>
  <c r="S18" i="58" s="1"/>
  <c r="O19" i="58"/>
  <c r="S19" i="58" s="1"/>
  <c r="O20" i="58"/>
  <c r="S20" i="58" s="1"/>
  <c r="O21" i="58"/>
  <c r="S21" i="58" s="1"/>
  <c r="O22" i="58"/>
  <c r="S22" i="58" s="1"/>
  <c r="O23" i="58"/>
  <c r="S23" i="58" s="1"/>
  <c r="O24" i="58"/>
  <c r="S24" i="58" s="1"/>
  <c r="O25" i="58"/>
  <c r="S25" i="58" s="1"/>
  <c r="O26" i="58"/>
  <c r="S26" i="58" s="1"/>
  <c r="O27" i="58"/>
  <c r="S27" i="58" s="1"/>
  <c r="O28" i="58"/>
  <c r="S28" i="58" s="1"/>
  <c r="O29" i="58"/>
  <c r="S29" i="58" s="1"/>
  <c r="O30" i="58"/>
  <c r="S30" i="58" s="1"/>
  <c r="O31" i="58"/>
  <c r="S31" i="58" s="1"/>
  <c r="O32" i="58"/>
  <c r="S32" i="58" s="1"/>
  <c r="O33" i="58"/>
  <c r="S33" i="58" s="1"/>
  <c r="O34" i="58"/>
  <c r="S34" i="58" s="1"/>
  <c r="O35" i="58"/>
  <c r="S35" i="58" s="1"/>
  <c r="O36" i="58"/>
  <c r="S36" i="58" s="1"/>
  <c r="O37" i="58"/>
  <c r="S37" i="58" s="1"/>
  <c r="O38" i="58"/>
  <c r="S38" i="58" s="1"/>
  <c r="O39" i="58"/>
  <c r="S39" i="58" s="1"/>
  <c r="O40" i="58"/>
  <c r="S40" i="58" s="1"/>
  <c r="O41" i="58"/>
  <c r="S41" i="58" s="1"/>
  <c r="O42" i="58"/>
  <c r="S42" i="58" s="1"/>
  <c r="O43" i="58"/>
  <c r="S43" i="58" s="1"/>
  <c r="O44" i="58"/>
  <c r="S44" i="58" s="1"/>
  <c r="O45" i="58"/>
  <c r="S45" i="58" s="1"/>
  <c r="O46" i="58"/>
  <c r="S46" i="58" s="1"/>
  <c r="O47" i="58"/>
  <c r="S47" i="58" s="1"/>
  <c r="O48" i="58"/>
  <c r="S48" i="58" s="1"/>
  <c r="O49" i="58"/>
  <c r="S49" i="58" s="1"/>
  <c r="O50" i="58"/>
  <c r="S50" i="58" s="1"/>
  <c r="O51" i="58"/>
  <c r="S51" i="58" s="1"/>
  <c r="O52" i="58"/>
  <c r="S52" i="58" s="1"/>
  <c r="O53" i="58"/>
  <c r="S53" i="58" s="1"/>
  <c r="O54" i="58"/>
  <c r="S54" i="58" s="1"/>
  <c r="O55" i="58"/>
  <c r="S55" i="58" s="1"/>
  <c r="O56" i="58"/>
  <c r="S56" i="58" s="1"/>
  <c r="O57" i="58"/>
  <c r="S57" i="58" s="1"/>
  <c r="O58" i="58"/>
  <c r="S58" i="58" s="1"/>
  <c r="O59" i="58"/>
  <c r="S59" i="58" s="1"/>
  <c r="O60" i="58"/>
  <c r="S60" i="58" s="1"/>
  <c r="O61" i="58"/>
  <c r="S61" i="58" s="1"/>
  <c r="O62" i="58"/>
  <c r="S62" i="58" s="1"/>
  <c r="O63" i="58"/>
  <c r="S63" i="58" s="1"/>
  <c r="O64" i="58"/>
  <c r="S64" i="58" s="1"/>
  <c r="O65" i="58"/>
  <c r="S65" i="58" s="1"/>
  <c r="O66" i="58"/>
  <c r="S66" i="58" s="1"/>
  <c r="O67" i="58"/>
  <c r="S67" i="58" s="1"/>
  <c r="O68" i="58"/>
  <c r="S68" i="58" s="1"/>
  <c r="O69" i="58"/>
  <c r="S69" i="58" s="1"/>
  <c r="O70" i="58"/>
  <c r="S70" i="58" s="1"/>
  <c r="O71" i="58"/>
  <c r="S71" i="58" s="1"/>
  <c r="O72" i="58"/>
  <c r="S72" i="58" s="1"/>
  <c r="O73" i="58"/>
  <c r="S73" i="58" s="1"/>
  <c r="O74" i="58"/>
  <c r="S74" i="58" s="1"/>
  <c r="O75" i="58"/>
  <c r="S75" i="58" s="1"/>
  <c r="O76" i="58"/>
  <c r="S76" i="58" s="1"/>
  <c r="O77" i="58"/>
  <c r="S77" i="58" s="1"/>
  <c r="O78" i="58"/>
  <c r="S78" i="58" s="1"/>
  <c r="O79" i="58"/>
  <c r="S79" i="58" s="1"/>
  <c r="O80" i="58"/>
  <c r="S80" i="58" s="1"/>
  <c r="O81" i="58"/>
  <c r="S81" i="58" s="1"/>
  <c r="O82" i="58"/>
  <c r="S82" i="58" s="1"/>
  <c r="O83" i="58"/>
  <c r="S83" i="58" s="1"/>
  <c r="O84" i="58"/>
  <c r="S84" i="58" s="1"/>
  <c r="O85" i="58"/>
  <c r="S85" i="58" s="1"/>
  <c r="O86" i="58"/>
  <c r="S86" i="58" s="1"/>
  <c r="O87" i="58"/>
  <c r="S87" i="58" s="1"/>
  <c r="O88" i="58"/>
  <c r="S88" i="58" s="1"/>
  <c r="O89" i="58"/>
  <c r="S89" i="58" s="1"/>
  <c r="O90" i="58"/>
  <c r="S90" i="58" s="1"/>
  <c r="O91" i="58"/>
  <c r="S91" i="58" s="1"/>
  <c r="O92" i="58"/>
  <c r="S92" i="58" s="1"/>
  <c r="O93" i="58"/>
  <c r="S93" i="58" s="1"/>
  <c r="O94" i="58"/>
  <c r="S94" i="58" s="1"/>
  <c r="O95" i="58"/>
  <c r="S95" i="58" s="1"/>
  <c r="O96" i="58"/>
  <c r="S96" i="58" s="1"/>
  <c r="O97" i="58"/>
  <c r="S97" i="58" s="1"/>
  <c r="O98" i="58"/>
  <c r="S98" i="58" s="1"/>
  <c r="O99" i="58"/>
  <c r="S99" i="58" s="1"/>
  <c r="O100" i="58"/>
  <c r="S100" i="58" s="1"/>
  <c r="O101" i="58"/>
  <c r="S101" i="58" s="1"/>
  <c r="O102" i="58"/>
  <c r="S102" i="58" s="1"/>
  <c r="O103" i="58"/>
  <c r="S103" i="58" s="1"/>
  <c r="O104" i="58"/>
  <c r="S104" i="58" s="1"/>
  <c r="O105" i="58"/>
  <c r="S105" i="58" s="1"/>
  <c r="O106" i="58"/>
  <c r="S106" i="58" s="1"/>
  <c r="O107" i="58"/>
  <c r="S107" i="58" s="1"/>
  <c r="O108" i="58"/>
  <c r="S108" i="58" s="1"/>
  <c r="O109" i="58"/>
  <c r="S109" i="58" s="1"/>
  <c r="O110" i="58"/>
  <c r="S110" i="58" s="1"/>
  <c r="O111" i="58"/>
  <c r="S111" i="58" s="1"/>
  <c r="O112" i="58"/>
  <c r="S112" i="58" s="1"/>
  <c r="O113" i="58"/>
  <c r="S113" i="58" s="1"/>
  <c r="O114" i="58"/>
  <c r="S114" i="58" s="1"/>
  <c r="O115" i="58"/>
  <c r="S115" i="58" s="1"/>
  <c r="O116" i="58"/>
  <c r="S116" i="58" s="1"/>
  <c r="O117" i="58"/>
  <c r="S117" i="58" s="1"/>
  <c r="O118" i="58"/>
  <c r="S118" i="58" s="1"/>
  <c r="O119" i="58"/>
  <c r="S119" i="58" s="1"/>
  <c r="O120" i="58"/>
  <c r="S120" i="58" s="1"/>
  <c r="O121" i="58"/>
  <c r="S121" i="58" s="1"/>
  <c r="O122" i="58"/>
  <c r="S122" i="58" s="1"/>
  <c r="O123" i="58"/>
  <c r="S123" i="58" s="1"/>
  <c r="O124" i="58"/>
  <c r="S124" i="58" s="1"/>
  <c r="O125" i="58"/>
  <c r="S125" i="58" s="1"/>
  <c r="O126" i="58"/>
  <c r="S126" i="58" s="1"/>
  <c r="O127" i="58"/>
  <c r="S127" i="58" s="1"/>
  <c r="O128" i="58"/>
  <c r="S128" i="58" s="1"/>
  <c r="O129" i="58"/>
  <c r="S129" i="58" s="1"/>
  <c r="O130" i="58"/>
  <c r="S130" i="58" s="1"/>
  <c r="O131" i="58"/>
  <c r="S131" i="58" s="1"/>
  <c r="O132" i="58"/>
  <c r="S132" i="58" s="1"/>
  <c r="O133" i="58"/>
  <c r="S133" i="58" s="1"/>
  <c r="O134" i="58"/>
  <c r="S134" i="58" s="1"/>
  <c r="O135" i="58"/>
  <c r="S135" i="58" s="1"/>
  <c r="O136" i="58"/>
  <c r="S136" i="58" s="1"/>
  <c r="O137" i="58"/>
  <c r="S137" i="58" s="1"/>
  <c r="O138" i="58"/>
  <c r="S138" i="58" s="1"/>
  <c r="O139" i="58"/>
  <c r="S139" i="58" s="1"/>
  <c r="O140" i="58"/>
  <c r="S140" i="58" s="1"/>
  <c r="O141" i="58"/>
  <c r="S141" i="58" s="1"/>
  <c r="O142" i="58"/>
  <c r="S142" i="58" s="1"/>
  <c r="O143" i="58"/>
  <c r="S143" i="58" s="1"/>
  <c r="O144" i="58"/>
  <c r="S144" i="58" s="1"/>
  <c r="O145" i="58"/>
  <c r="S145" i="58" s="1"/>
  <c r="O146" i="58"/>
  <c r="S146" i="58" s="1"/>
  <c r="O147" i="58"/>
  <c r="S147" i="58" s="1"/>
  <c r="O148" i="58"/>
  <c r="S148" i="58" s="1"/>
  <c r="O149" i="58"/>
  <c r="S149" i="58" s="1"/>
  <c r="O150" i="58"/>
  <c r="S150" i="58" s="1"/>
  <c r="O151" i="58"/>
  <c r="S151" i="58" s="1"/>
  <c r="O152" i="58"/>
  <c r="S152" i="58" s="1"/>
  <c r="O153" i="58"/>
  <c r="S153" i="58" s="1"/>
  <c r="O154" i="58"/>
  <c r="S154" i="58" s="1"/>
  <c r="O155" i="58"/>
  <c r="S155" i="58" s="1"/>
  <c r="O156" i="58"/>
  <c r="S156" i="58" s="1"/>
  <c r="O157" i="58"/>
  <c r="S157" i="58" s="1"/>
  <c r="O158" i="58"/>
  <c r="S158" i="58" s="1"/>
  <c r="O159" i="58"/>
  <c r="S159" i="58" s="1"/>
  <c r="O160" i="58"/>
  <c r="S160" i="58" s="1"/>
  <c r="O161" i="58"/>
  <c r="S161" i="58" s="1"/>
  <c r="O162" i="58"/>
  <c r="S162" i="58" s="1"/>
  <c r="O163" i="58"/>
  <c r="S163" i="58" s="1"/>
  <c r="O164" i="58"/>
  <c r="S164" i="58" s="1"/>
  <c r="O165" i="58"/>
  <c r="S165" i="58" s="1"/>
  <c r="O166" i="58"/>
  <c r="S166" i="58" s="1"/>
  <c r="O167" i="58"/>
  <c r="S167" i="58" s="1"/>
  <c r="O168" i="58"/>
  <c r="S168" i="58" s="1"/>
  <c r="O169" i="58"/>
  <c r="S169" i="58" s="1"/>
  <c r="O170" i="58"/>
  <c r="S170" i="58" s="1"/>
  <c r="O171" i="58"/>
  <c r="S171" i="58" s="1"/>
  <c r="O172" i="58"/>
  <c r="S172" i="58" s="1"/>
  <c r="O173" i="58"/>
  <c r="S173" i="58" s="1"/>
  <c r="O174" i="58"/>
  <c r="S174" i="58" s="1"/>
  <c r="O175" i="58"/>
  <c r="S175" i="58" s="1"/>
  <c r="O176" i="58"/>
  <c r="S176" i="58" s="1"/>
  <c r="O177" i="58"/>
  <c r="S177" i="58" s="1"/>
  <c r="O178" i="58"/>
  <c r="S178" i="58" s="1"/>
  <c r="O179" i="58"/>
  <c r="S179" i="58" s="1"/>
  <c r="O180" i="58"/>
  <c r="S180" i="58" s="1"/>
  <c r="O181" i="58"/>
  <c r="S181" i="58" s="1"/>
  <c r="O182" i="58"/>
  <c r="S182" i="58" s="1"/>
  <c r="O183" i="58"/>
  <c r="S183" i="58" s="1"/>
  <c r="O184" i="58"/>
  <c r="S184" i="58" s="1"/>
  <c r="O185" i="58"/>
  <c r="S185" i="58" s="1"/>
  <c r="O186" i="58"/>
  <c r="S186" i="58" s="1"/>
  <c r="O187" i="58"/>
  <c r="S187" i="58" s="1"/>
  <c r="O188" i="58"/>
  <c r="S188" i="58" s="1"/>
  <c r="O189" i="58"/>
  <c r="S189" i="58" s="1"/>
  <c r="O190" i="58"/>
  <c r="S190" i="58" s="1"/>
  <c r="O191" i="58"/>
  <c r="S191" i="58" s="1"/>
  <c r="O192" i="58"/>
  <c r="S192" i="58" s="1"/>
  <c r="O193" i="58"/>
  <c r="S193" i="58" s="1"/>
  <c r="O194" i="58"/>
  <c r="S194" i="58" s="1"/>
  <c r="O195" i="58"/>
  <c r="S195" i="58" s="1"/>
  <c r="O196" i="58"/>
  <c r="S196" i="58" s="1"/>
  <c r="O197" i="58"/>
  <c r="S197" i="58" s="1"/>
  <c r="O198" i="58"/>
  <c r="S198" i="58" s="1"/>
  <c r="O199" i="58"/>
  <c r="S199" i="58" s="1"/>
  <c r="O200" i="58"/>
  <c r="S200" i="58" s="1"/>
  <c r="O201" i="58"/>
  <c r="S201" i="58" s="1"/>
  <c r="O202" i="58"/>
  <c r="S202" i="58" s="1"/>
  <c r="O203" i="58"/>
  <c r="S203" i="58" s="1"/>
  <c r="O204" i="58"/>
  <c r="S204" i="58" s="1"/>
  <c r="O205" i="58"/>
  <c r="S205" i="58" s="1"/>
  <c r="O206" i="58"/>
  <c r="S206" i="58" s="1"/>
  <c r="O207" i="58"/>
  <c r="S207" i="58" s="1"/>
  <c r="O208" i="58"/>
  <c r="S208" i="58" s="1"/>
  <c r="O209" i="58"/>
  <c r="S209" i="58" s="1"/>
  <c r="O210" i="58"/>
  <c r="S210" i="58" s="1"/>
  <c r="O211" i="58"/>
  <c r="S211" i="58" s="1"/>
  <c r="O212" i="58"/>
  <c r="S212" i="58" s="1"/>
  <c r="O213" i="58"/>
  <c r="S213" i="58" s="1"/>
  <c r="O214" i="58"/>
  <c r="S214" i="58" s="1"/>
  <c r="O215" i="58"/>
  <c r="S215" i="58" s="1"/>
  <c r="O216" i="58"/>
  <c r="S216" i="58" s="1"/>
  <c r="O217" i="58"/>
  <c r="S217" i="58" s="1"/>
  <c r="O218" i="58"/>
  <c r="S218" i="58" s="1"/>
  <c r="O219" i="58"/>
  <c r="S219" i="58" s="1"/>
  <c r="O220" i="58"/>
  <c r="S220" i="58" s="1"/>
  <c r="O221" i="58"/>
  <c r="S221" i="58" s="1"/>
  <c r="O222" i="58"/>
  <c r="S222" i="58" s="1"/>
  <c r="O223" i="58"/>
  <c r="S223" i="58" s="1"/>
  <c r="O224" i="58"/>
  <c r="S224" i="58" s="1"/>
  <c r="O225" i="58"/>
  <c r="S225" i="58" s="1"/>
  <c r="O226" i="58"/>
  <c r="S226" i="58" s="1"/>
  <c r="O227" i="58"/>
  <c r="S227" i="58" s="1"/>
  <c r="O228" i="58"/>
  <c r="S228" i="58" s="1"/>
  <c r="O229" i="58"/>
  <c r="S229" i="58" s="1"/>
  <c r="O230" i="58"/>
  <c r="S230" i="58" s="1"/>
  <c r="O231" i="58"/>
  <c r="S231" i="58" s="1"/>
  <c r="O232" i="58"/>
  <c r="S232" i="58" s="1"/>
  <c r="O233" i="58"/>
  <c r="S233" i="58" s="1"/>
  <c r="O234" i="58"/>
  <c r="S234" i="58" s="1"/>
  <c r="O235" i="58"/>
  <c r="S235" i="58" s="1"/>
  <c r="O236" i="58"/>
  <c r="S236" i="58" s="1"/>
  <c r="O237" i="58"/>
  <c r="S237" i="58" s="1"/>
  <c r="O238" i="58"/>
  <c r="S238" i="58" s="1"/>
  <c r="O239" i="58"/>
  <c r="S239" i="58" s="1"/>
  <c r="O240" i="58"/>
  <c r="S240" i="58" s="1"/>
  <c r="O241" i="58"/>
  <c r="S241" i="58" s="1"/>
  <c r="O242" i="58"/>
  <c r="S242" i="58" s="1"/>
  <c r="O243" i="58"/>
  <c r="S243" i="58" s="1"/>
  <c r="O244" i="58"/>
  <c r="S244" i="58" s="1"/>
  <c r="O245" i="58"/>
  <c r="S245" i="58" s="1"/>
  <c r="O246" i="58"/>
  <c r="S246" i="58" s="1"/>
  <c r="O247" i="58"/>
  <c r="S247" i="58" s="1"/>
  <c r="O248" i="58"/>
  <c r="S248" i="58" s="1"/>
  <c r="O249" i="58"/>
  <c r="S249" i="58" s="1"/>
  <c r="O250" i="58"/>
  <c r="S250" i="58" s="1"/>
  <c r="O251" i="58"/>
  <c r="S251" i="58" s="1"/>
  <c r="O252" i="58"/>
  <c r="S252" i="58" s="1"/>
  <c r="O253" i="58"/>
  <c r="S253" i="58" s="1"/>
  <c r="O254" i="58"/>
  <c r="S254" i="58" s="1"/>
  <c r="O255" i="58"/>
  <c r="S255" i="58" s="1"/>
  <c r="O256" i="58"/>
  <c r="S256" i="58" s="1"/>
  <c r="O257" i="58"/>
  <c r="S257" i="58" s="1"/>
  <c r="O258" i="58"/>
  <c r="S258" i="58" s="1"/>
  <c r="O259" i="58"/>
  <c r="S259" i="58" s="1"/>
  <c r="O12" i="58"/>
  <c r="T8" i="107"/>
  <c r="T9" i="107"/>
  <c r="T10" i="107"/>
  <c r="T11" i="107"/>
  <c r="T12" i="107"/>
  <c r="T13" i="107"/>
  <c r="T14" i="107"/>
  <c r="T15" i="107"/>
  <c r="T16" i="107"/>
  <c r="T17" i="107"/>
  <c r="T18" i="107"/>
  <c r="T19" i="107"/>
  <c r="T20" i="107"/>
  <c r="T21" i="107"/>
  <c r="T22" i="107"/>
  <c r="T23" i="107"/>
  <c r="T24" i="107"/>
  <c r="T25" i="107"/>
  <c r="T26" i="107"/>
  <c r="T27" i="107"/>
  <c r="T28" i="107"/>
  <c r="T29" i="107"/>
  <c r="T30" i="107"/>
  <c r="T31" i="107"/>
  <c r="T32" i="107"/>
  <c r="T33" i="107"/>
  <c r="T34" i="107"/>
  <c r="T35" i="107"/>
  <c r="T36" i="107"/>
  <c r="T37" i="107"/>
  <c r="T38" i="107"/>
  <c r="T39" i="107"/>
  <c r="T40" i="107"/>
  <c r="T41" i="107"/>
  <c r="T42" i="107"/>
  <c r="T43" i="107"/>
  <c r="T44" i="107"/>
  <c r="T45" i="107"/>
  <c r="T46" i="107"/>
  <c r="T47" i="107"/>
  <c r="T48" i="107"/>
  <c r="T49" i="107"/>
  <c r="T50" i="107"/>
  <c r="T51" i="107"/>
  <c r="T52" i="107"/>
  <c r="T53" i="107"/>
  <c r="T54" i="107"/>
  <c r="T55" i="107"/>
  <c r="T56" i="107"/>
  <c r="T57" i="107"/>
  <c r="T58" i="107"/>
  <c r="T59" i="107"/>
  <c r="T60" i="107"/>
  <c r="T61" i="107"/>
  <c r="T62" i="107"/>
  <c r="T63" i="107"/>
  <c r="T64" i="107"/>
  <c r="T65" i="107"/>
  <c r="T66" i="107"/>
  <c r="T67" i="107"/>
  <c r="T68" i="107"/>
  <c r="T69" i="107"/>
  <c r="T70" i="107"/>
  <c r="T71" i="107"/>
  <c r="T72" i="107"/>
  <c r="T73" i="107"/>
  <c r="T74" i="107"/>
  <c r="T75" i="107"/>
  <c r="T76" i="107"/>
  <c r="T77" i="107"/>
  <c r="T78" i="107"/>
  <c r="T79" i="107"/>
  <c r="T80" i="107"/>
  <c r="T81" i="107"/>
  <c r="T82" i="107"/>
  <c r="T83" i="107"/>
  <c r="T84" i="107"/>
  <c r="T85" i="107"/>
  <c r="T86" i="107"/>
  <c r="T87" i="107"/>
  <c r="T88" i="107"/>
  <c r="T89" i="107"/>
  <c r="T90" i="107"/>
  <c r="T91" i="107"/>
  <c r="T92" i="107"/>
  <c r="T93" i="107"/>
  <c r="T94" i="107"/>
  <c r="T95" i="107"/>
  <c r="T96" i="107"/>
  <c r="T97" i="107"/>
  <c r="T98" i="107"/>
  <c r="T99" i="107"/>
  <c r="T100" i="107"/>
  <c r="T101" i="107"/>
  <c r="T102" i="107"/>
  <c r="T103" i="107"/>
  <c r="T104" i="107"/>
  <c r="T105" i="107"/>
  <c r="T106" i="107"/>
  <c r="T107" i="107"/>
  <c r="C130" i="72"/>
  <c r="B130" i="72"/>
  <c r="AJ13" i="69"/>
  <c r="AJ14" i="69"/>
  <c r="AJ15" i="69"/>
  <c r="AJ16" i="69"/>
  <c r="AJ17" i="69"/>
  <c r="AJ18" i="69"/>
  <c r="AJ19" i="69"/>
  <c r="AJ20" i="69"/>
  <c r="AJ21" i="69"/>
  <c r="AJ22" i="69"/>
  <c r="AJ23" i="69"/>
  <c r="AJ24" i="69"/>
  <c r="AJ25" i="69"/>
  <c r="AJ26" i="69"/>
  <c r="AJ27" i="69"/>
  <c r="AJ28" i="69"/>
  <c r="AJ29" i="69"/>
  <c r="AJ30" i="69"/>
  <c r="AJ31" i="69"/>
  <c r="AJ32" i="69"/>
  <c r="AJ33" i="69"/>
  <c r="AJ34" i="69"/>
  <c r="AJ35" i="69"/>
  <c r="AJ36" i="69"/>
  <c r="AJ37" i="69"/>
  <c r="AJ38" i="69"/>
  <c r="AJ39" i="69"/>
  <c r="AJ40" i="69"/>
  <c r="AJ41" i="69"/>
  <c r="AJ42" i="69"/>
  <c r="AJ43" i="69"/>
  <c r="AJ44" i="69"/>
  <c r="AJ45" i="69"/>
  <c r="AJ46" i="69"/>
  <c r="AJ47" i="69"/>
  <c r="AJ48" i="69"/>
  <c r="AJ49" i="69"/>
  <c r="AJ50" i="69"/>
  <c r="AJ51" i="69"/>
  <c r="AJ52" i="69"/>
  <c r="AJ53" i="69"/>
  <c r="AJ54" i="69"/>
  <c r="AJ55" i="69"/>
  <c r="AJ56" i="69"/>
  <c r="AJ57" i="69"/>
  <c r="AJ58" i="69"/>
  <c r="AJ59" i="69"/>
  <c r="AJ60" i="69"/>
  <c r="AJ61" i="69"/>
  <c r="AJ62" i="69"/>
  <c r="AJ63" i="69"/>
  <c r="AJ64" i="69"/>
  <c r="AJ65" i="69"/>
  <c r="AJ66" i="69"/>
  <c r="AJ67" i="69"/>
  <c r="AJ68" i="69"/>
  <c r="AJ69" i="69"/>
  <c r="AJ70" i="69"/>
  <c r="AJ71" i="69"/>
  <c r="AJ72" i="69"/>
  <c r="AJ73" i="69"/>
  <c r="AJ74" i="69"/>
  <c r="AJ75" i="69"/>
  <c r="AJ76" i="69"/>
  <c r="AJ77" i="69"/>
  <c r="AJ78" i="69"/>
  <c r="AJ79" i="69"/>
  <c r="AJ80" i="69"/>
  <c r="AJ81" i="69"/>
  <c r="AJ82" i="69"/>
  <c r="AJ83" i="69"/>
  <c r="AJ84" i="69"/>
  <c r="AJ85" i="69"/>
  <c r="AJ86" i="69"/>
  <c r="AJ87" i="69"/>
  <c r="AJ88" i="69"/>
  <c r="AJ89" i="69"/>
  <c r="AJ90" i="69"/>
  <c r="AJ91" i="69"/>
  <c r="AJ92" i="69"/>
  <c r="AJ93" i="69"/>
  <c r="AJ94" i="69"/>
  <c r="AJ95" i="69"/>
  <c r="AJ96" i="69"/>
  <c r="AJ97" i="69"/>
  <c r="AJ98" i="69"/>
  <c r="AJ99" i="69"/>
  <c r="AJ100" i="69"/>
  <c r="AJ101" i="69"/>
  <c r="AJ102" i="69"/>
  <c r="AJ103" i="69"/>
  <c r="AJ104" i="69"/>
  <c r="AJ105" i="69"/>
  <c r="AJ106" i="69"/>
  <c r="AJ107" i="69"/>
  <c r="AJ108" i="69"/>
  <c r="AJ109" i="69"/>
  <c r="AJ110" i="69"/>
  <c r="AJ111" i="69"/>
  <c r="AJ112" i="69"/>
  <c r="AJ113" i="69"/>
  <c r="AJ114" i="69"/>
  <c r="AJ115" i="69"/>
  <c r="AJ116" i="69"/>
  <c r="AJ117" i="69"/>
  <c r="AJ118" i="69"/>
  <c r="AJ119" i="69"/>
  <c r="AJ120" i="69"/>
  <c r="AJ121" i="69"/>
  <c r="AJ122" i="69"/>
  <c r="AJ123" i="69"/>
  <c r="AJ124" i="69"/>
  <c r="AJ125" i="69"/>
  <c r="AJ126" i="69"/>
  <c r="AJ127" i="69"/>
  <c r="AJ128" i="69"/>
  <c r="AJ129" i="69"/>
  <c r="AJ130" i="69"/>
  <c r="AJ131" i="69"/>
  <c r="AJ132" i="69"/>
  <c r="AJ133" i="69"/>
  <c r="AJ134" i="69"/>
  <c r="AJ135" i="69"/>
  <c r="AJ136" i="69"/>
  <c r="AJ137" i="69"/>
  <c r="AJ138" i="69"/>
  <c r="AJ139" i="69"/>
  <c r="AJ140" i="69"/>
  <c r="AJ141" i="69"/>
  <c r="AJ142" i="69"/>
  <c r="AJ143" i="69"/>
  <c r="AJ144" i="69"/>
  <c r="AJ145" i="69"/>
  <c r="AJ146" i="69"/>
  <c r="AJ147" i="69"/>
  <c r="AJ148" i="69"/>
  <c r="AJ149" i="69"/>
  <c r="AJ150" i="69"/>
  <c r="AJ151" i="69"/>
  <c r="AJ152" i="69"/>
  <c r="AJ153" i="69"/>
  <c r="AJ154" i="69"/>
  <c r="AJ155" i="69"/>
  <c r="AJ156" i="69"/>
  <c r="AJ157" i="69"/>
  <c r="AJ158" i="69"/>
  <c r="AJ159" i="69"/>
  <c r="AJ160" i="69"/>
  <c r="AJ161" i="69"/>
  <c r="AJ162" i="69"/>
  <c r="AJ163" i="69"/>
  <c r="AJ164" i="69"/>
  <c r="AJ165" i="69"/>
  <c r="AJ166" i="69"/>
  <c r="AJ167" i="69"/>
  <c r="AJ168" i="69"/>
  <c r="AJ169" i="69"/>
  <c r="AJ170" i="69"/>
  <c r="AJ171" i="69"/>
  <c r="AJ172" i="69"/>
  <c r="AJ173" i="69"/>
  <c r="AJ174" i="69"/>
  <c r="AJ175" i="69"/>
  <c r="AJ176" i="69"/>
  <c r="AJ177" i="69"/>
  <c r="AJ178" i="69"/>
  <c r="AJ179" i="69"/>
  <c r="AJ180" i="69"/>
  <c r="AJ181" i="69"/>
  <c r="AJ182" i="69"/>
  <c r="AJ183" i="69"/>
  <c r="AJ184" i="69"/>
  <c r="AJ185" i="69"/>
  <c r="AJ186" i="69"/>
  <c r="AJ187" i="69"/>
  <c r="AJ188" i="69"/>
  <c r="AJ189" i="69"/>
  <c r="AJ190" i="69"/>
  <c r="AJ191" i="69"/>
  <c r="AJ192" i="69"/>
  <c r="AJ193" i="69"/>
  <c r="AJ194" i="69"/>
  <c r="AJ195" i="69"/>
  <c r="AJ196" i="69"/>
  <c r="AJ197" i="69"/>
  <c r="AJ198" i="69"/>
  <c r="AJ199" i="69"/>
  <c r="AJ200" i="69"/>
  <c r="AJ201" i="69"/>
  <c r="AJ202" i="69"/>
  <c r="AJ203" i="69"/>
  <c r="AJ204" i="69"/>
  <c r="AJ205" i="69"/>
  <c r="AJ206" i="69"/>
  <c r="AJ207" i="69"/>
  <c r="AJ208" i="69"/>
  <c r="AJ209" i="69"/>
  <c r="AJ210" i="69"/>
  <c r="AJ211" i="69"/>
  <c r="AJ212" i="69"/>
  <c r="AJ213" i="69"/>
  <c r="AJ214" i="69"/>
  <c r="AJ215" i="69"/>
  <c r="AJ216" i="69"/>
  <c r="AJ217" i="69"/>
  <c r="AJ218" i="69"/>
  <c r="AJ219" i="69"/>
  <c r="AJ220" i="69"/>
  <c r="AJ221" i="69"/>
  <c r="AJ222" i="69"/>
  <c r="AJ223" i="69"/>
  <c r="AJ224" i="69"/>
  <c r="AJ225" i="69"/>
  <c r="AJ226" i="69"/>
  <c r="AJ227" i="69"/>
  <c r="AJ228" i="69"/>
  <c r="AJ229" i="69"/>
  <c r="AJ230" i="69"/>
  <c r="AJ231" i="69"/>
  <c r="AJ232" i="69"/>
  <c r="AJ233" i="69"/>
  <c r="AJ234" i="69"/>
  <c r="AJ235" i="69"/>
  <c r="AJ236" i="69"/>
  <c r="AJ237" i="69"/>
  <c r="AJ238" i="69"/>
  <c r="AJ239" i="69"/>
  <c r="AJ240" i="69"/>
  <c r="AJ241" i="69"/>
  <c r="AJ242" i="69"/>
  <c r="AJ243" i="69"/>
  <c r="AJ244" i="69"/>
  <c r="AJ245" i="69"/>
  <c r="AJ246" i="69"/>
  <c r="AJ247" i="69"/>
  <c r="AJ248" i="69"/>
  <c r="AJ249" i="69"/>
  <c r="AJ250" i="69"/>
  <c r="AJ251" i="69"/>
  <c r="AJ252" i="69"/>
  <c r="AJ253" i="69"/>
  <c r="AJ254" i="69"/>
  <c r="AJ255" i="69"/>
  <c r="AJ256" i="69"/>
  <c r="AJ257" i="69"/>
  <c r="AJ12" i="69"/>
  <c r="W13" i="68"/>
  <c r="W14" i="68"/>
  <c r="W15" i="68"/>
  <c r="W16" i="68"/>
  <c r="W17" i="68"/>
  <c r="W18" i="68"/>
  <c r="W19" i="68"/>
  <c r="W20" i="68"/>
  <c r="W21" i="68"/>
  <c r="W22" i="68"/>
  <c r="W23" i="68"/>
  <c r="W24" i="68"/>
  <c r="W25" i="68"/>
  <c r="W26" i="68"/>
  <c r="W27" i="68"/>
  <c r="W28" i="68"/>
  <c r="W29" i="68"/>
  <c r="W30" i="68"/>
  <c r="W31" i="68"/>
  <c r="W32" i="68"/>
  <c r="W33" i="68"/>
  <c r="W34" i="68"/>
  <c r="W35" i="68"/>
  <c r="W36" i="68"/>
  <c r="W37" i="68"/>
  <c r="W38" i="68"/>
  <c r="W39" i="68"/>
  <c r="W40" i="68"/>
  <c r="W41" i="68"/>
  <c r="W42" i="68"/>
  <c r="W43" i="68"/>
  <c r="W44" i="68"/>
  <c r="W45" i="68"/>
  <c r="W46" i="68"/>
  <c r="W47" i="68"/>
  <c r="W48" i="68"/>
  <c r="W49" i="68"/>
  <c r="W50" i="68"/>
  <c r="W51" i="68"/>
  <c r="W52" i="68"/>
  <c r="W53" i="68"/>
  <c r="W54" i="68"/>
  <c r="W55" i="68"/>
  <c r="W56" i="68"/>
  <c r="W57" i="68"/>
  <c r="W58" i="68"/>
  <c r="W59" i="68"/>
  <c r="W60" i="68"/>
  <c r="W61" i="68"/>
  <c r="W62" i="68"/>
  <c r="W63" i="68"/>
  <c r="W64" i="68"/>
  <c r="W65" i="68"/>
  <c r="W66" i="68"/>
  <c r="W67" i="68"/>
  <c r="W68" i="68"/>
  <c r="W69" i="68"/>
  <c r="W70" i="68"/>
  <c r="W71" i="68"/>
  <c r="W72" i="68"/>
  <c r="W73" i="68"/>
  <c r="W74" i="68"/>
  <c r="W75" i="68"/>
  <c r="W76" i="68"/>
  <c r="W77" i="68"/>
  <c r="W78" i="68"/>
  <c r="W79" i="68"/>
  <c r="W80" i="68"/>
  <c r="W81" i="68"/>
  <c r="W82" i="68"/>
  <c r="W83" i="68"/>
  <c r="W84" i="68"/>
  <c r="W85" i="68"/>
  <c r="W86" i="68"/>
  <c r="W87" i="68"/>
  <c r="W88" i="68"/>
  <c r="W89" i="68"/>
  <c r="W90" i="68"/>
  <c r="W91" i="68"/>
  <c r="W92" i="68"/>
  <c r="W93" i="68"/>
  <c r="W94" i="68"/>
  <c r="W95" i="68"/>
  <c r="W96" i="68"/>
  <c r="W97" i="68"/>
  <c r="W98" i="68"/>
  <c r="W99" i="68"/>
  <c r="W100" i="68"/>
  <c r="W101" i="68"/>
  <c r="W102" i="68"/>
  <c r="W103" i="68"/>
  <c r="W104" i="68"/>
  <c r="W105" i="68"/>
  <c r="W106" i="68"/>
  <c r="W107" i="68"/>
  <c r="W108" i="68"/>
  <c r="W109" i="68"/>
  <c r="W110" i="68"/>
  <c r="W111" i="68"/>
  <c r="W112" i="68"/>
  <c r="W113" i="68"/>
  <c r="W114" i="68"/>
  <c r="W115" i="68"/>
  <c r="W116" i="68"/>
  <c r="W117" i="68"/>
  <c r="W118" i="68"/>
  <c r="W119" i="68"/>
  <c r="W120" i="68"/>
  <c r="W121" i="68"/>
  <c r="W122" i="68"/>
  <c r="W123" i="68"/>
  <c r="W124" i="68"/>
  <c r="W125" i="68"/>
  <c r="W126" i="68"/>
  <c r="W127" i="68"/>
  <c r="W128" i="68"/>
  <c r="W129" i="68"/>
  <c r="W130" i="68"/>
  <c r="W131" i="68"/>
  <c r="W132" i="68"/>
  <c r="W133" i="68"/>
  <c r="W134" i="68"/>
  <c r="W135" i="68"/>
  <c r="W136" i="68"/>
  <c r="W137" i="68"/>
  <c r="W138" i="68"/>
  <c r="W139" i="68"/>
  <c r="W140" i="68"/>
  <c r="W141" i="68"/>
  <c r="W142" i="68"/>
  <c r="W143" i="68"/>
  <c r="W144" i="68"/>
  <c r="W145" i="68"/>
  <c r="W146" i="68"/>
  <c r="W147" i="68"/>
  <c r="W148" i="68"/>
  <c r="W149" i="68"/>
  <c r="W150" i="68"/>
  <c r="W151" i="68"/>
  <c r="W152" i="68"/>
  <c r="W153" i="68"/>
  <c r="W154" i="68"/>
  <c r="W155" i="68"/>
  <c r="W156" i="68"/>
  <c r="W157" i="68"/>
  <c r="W158" i="68"/>
  <c r="W159" i="68"/>
  <c r="W160" i="68"/>
  <c r="W161" i="68"/>
  <c r="W162" i="68"/>
  <c r="W163" i="68"/>
  <c r="W164" i="68"/>
  <c r="W165" i="68"/>
  <c r="W166" i="68"/>
  <c r="W167" i="68"/>
  <c r="W168" i="68"/>
  <c r="W169" i="68"/>
  <c r="W170" i="68"/>
  <c r="W171" i="68"/>
  <c r="W172" i="68"/>
  <c r="W173" i="68"/>
  <c r="W174" i="68"/>
  <c r="W175" i="68"/>
  <c r="W176" i="68"/>
  <c r="W177" i="68"/>
  <c r="W178" i="68"/>
  <c r="W179" i="68"/>
  <c r="W180" i="68"/>
  <c r="W181" i="68"/>
  <c r="W182" i="68"/>
  <c r="W183" i="68"/>
  <c r="W184" i="68"/>
  <c r="W185" i="68"/>
  <c r="W186" i="68"/>
  <c r="W187" i="68"/>
  <c r="W188" i="68"/>
  <c r="W189" i="68"/>
  <c r="W190" i="68"/>
  <c r="W191" i="68"/>
  <c r="W192" i="68"/>
  <c r="W193" i="68"/>
  <c r="W194" i="68"/>
  <c r="W195" i="68"/>
  <c r="W196" i="68"/>
  <c r="W197" i="68"/>
  <c r="W198" i="68"/>
  <c r="W199" i="68"/>
  <c r="W200" i="68"/>
  <c r="W201" i="68"/>
  <c r="W202" i="68"/>
  <c r="W203" i="68"/>
  <c r="W204" i="68"/>
  <c r="W205" i="68"/>
  <c r="W206" i="68"/>
  <c r="W207" i="68"/>
  <c r="W208" i="68"/>
  <c r="W209" i="68"/>
  <c r="W210" i="68"/>
  <c r="W211" i="68"/>
  <c r="W212" i="68"/>
  <c r="W213" i="68"/>
  <c r="W214" i="68"/>
  <c r="W215" i="68"/>
  <c r="W216" i="68"/>
  <c r="W217" i="68"/>
  <c r="W218" i="68"/>
  <c r="W219" i="68"/>
  <c r="W220" i="68"/>
  <c r="W221" i="68"/>
  <c r="W222" i="68"/>
  <c r="W223" i="68"/>
  <c r="W224" i="68"/>
  <c r="W225" i="68"/>
  <c r="W226" i="68"/>
  <c r="W227" i="68"/>
  <c r="W228" i="68"/>
  <c r="W229" i="68"/>
  <c r="W230" i="68"/>
  <c r="W231" i="68"/>
  <c r="W232" i="68"/>
  <c r="W233" i="68"/>
  <c r="W234" i="68"/>
  <c r="W235" i="68"/>
  <c r="W236" i="68"/>
  <c r="W237" i="68"/>
  <c r="W238" i="68"/>
  <c r="W239" i="68"/>
  <c r="W240" i="68"/>
  <c r="W241" i="68"/>
  <c r="W242" i="68"/>
  <c r="W243" i="68"/>
  <c r="W244" i="68"/>
  <c r="W245" i="68"/>
  <c r="W246" i="68"/>
  <c r="W247" i="68"/>
  <c r="W248" i="68"/>
  <c r="W249" i="68"/>
  <c r="W250" i="68"/>
  <c r="W251" i="68"/>
  <c r="W252" i="68"/>
  <c r="W253" i="68"/>
  <c r="W254" i="68"/>
  <c r="W255" i="68"/>
  <c r="W256" i="68"/>
  <c r="W257" i="68"/>
  <c r="W258" i="68"/>
  <c r="W259" i="68"/>
  <c r="S22" i="68"/>
  <c r="S23" i="68"/>
  <c r="S24" i="68"/>
  <c r="S25" i="68"/>
  <c r="S26" i="68"/>
  <c r="S27" i="68"/>
  <c r="S28" i="68"/>
  <c r="S29" i="68"/>
  <c r="S30" i="68"/>
  <c r="S31" i="68"/>
  <c r="S32" i="68"/>
  <c r="S33" i="68"/>
  <c r="S34" i="68"/>
  <c r="S35" i="68"/>
  <c r="S36" i="68"/>
  <c r="S37" i="68"/>
  <c r="S38" i="68"/>
  <c r="S39" i="68"/>
  <c r="S40" i="68"/>
  <c r="S41" i="68"/>
  <c r="S42" i="68"/>
  <c r="S43" i="68"/>
  <c r="S44" i="68"/>
  <c r="S45" i="68"/>
  <c r="S46" i="68"/>
  <c r="S47" i="68"/>
  <c r="S48" i="68"/>
  <c r="S49" i="68"/>
  <c r="S50" i="68"/>
  <c r="S51" i="68"/>
  <c r="S52" i="68"/>
  <c r="S53" i="68"/>
  <c r="S54" i="68"/>
  <c r="S55" i="68"/>
  <c r="S56" i="68"/>
  <c r="S57" i="68"/>
  <c r="S58" i="68"/>
  <c r="S59" i="68"/>
  <c r="S60" i="68"/>
  <c r="S61" i="68"/>
  <c r="S62" i="68"/>
  <c r="S63" i="68"/>
  <c r="S64" i="68"/>
  <c r="S65" i="68"/>
  <c r="S66" i="68"/>
  <c r="S67" i="68"/>
  <c r="S68" i="68"/>
  <c r="S69" i="68"/>
  <c r="S70" i="68"/>
  <c r="S71" i="68"/>
  <c r="S72" i="68"/>
  <c r="S73" i="68"/>
  <c r="S74" i="68"/>
  <c r="S75" i="68"/>
  <c r="S76" i="68"/>
  <c r="S77" i="68"/>
  <c r="S78" i="68"/>
  <c r="S79" i="68"/>
  <c r="S80" i="68"/>
  <c r="S81" i="68"/>
  <c r="S82" i="68"/>
  <c r="S83" i="68"/>
  <c r="S84" i="68"/>
  <c r="S85" i="68"/>
  <c r="S86" i="68"/>
  <c r="S87" i="68"/>
  <c r="S88" i="68"/>
  <c r="S89" i="68"/>
  <c r="S90" i="68"/>
  <c r="S91" i="68"/>
  <c r="S92" i="68"/>
  <c r="S93" i="68"/>
  <c r="S94" i="68"/>
  <c r="S95" i="68"/>
  <c r="S96" i="68"/>
  <c r="S97" i="68"/>
  <c r="S98" i="68"/>
  <c r="S99" i="68"/>
  <c r="S100" i="68"/>
  <c r="S101" i="68"/>
  <c r="S102" i="68"/>
  <c r="S103" i="68"/>
  <c r="S104" i="68"/>
  <c r="S105" i="68"/>
  <c r="S106" i="68"/>
  <c r="S107" i="68"/>
  <c r="S108" i="68"/>
  <c r="S109" i="68"/>
  <c r="S110" i="68"/>
  <c r="S111" i="68"/>
  <c r="S112" i="68"/>
  <c r="S113" i="68"/>
  <c r="S114" i="68"/>
  <c r="S115" i="68"/>
  <c r="S116" i="68"/>
  <c r="S117" i="68"/>
  <c r="S118" i="68"/>
  <c r="S119" i="68"/>
  <c r="S120" i="68"/>
  <c r="S121" i="68"/>
  <c r="S122" i="68"/>
  <c r="S123" i="68"/>
  <c r="S124" i="68"/>
  <c r="S125" i="68"/>
  <c r="S126" i="68"/>
  <c r="S127" i="68"/>
  <c r="S128" i="68"/>
  <c r="S129" i="68"/>
  <c r="S130" i="68"/>
  <c r="S131" i="68"/>
  <c r="S132" i="68"/>
  <c r="S133" i="68"/>
  <c r="S134" i="68"/>
  <c r="S135" i="68"/>
  <c r="S136" i="68"/>
  <c r="S137" i="68"/>
  <c r="S138" i="68"/>
  <c r="S139" i="68"/>
  <c r="S140" i="68"/>
  <c r="S141" i="68"/>
  <c r="S142" i="68"/>
  <c r="S143" i="68"/>
  <c r="S144" i="68"/>
  <c r="S145" i="68"/>
  <c r="S146" i="68"/>
  <c r="S147" i="68"/>
  <c r="S148" i="68"/>
  <c r="S149" i="68"/>
  <c r="S150" i="68"/>
  <c r="S151" i="68"/>
  <c r="S152" i="68"/>
  <c r="S153" i="68"/>
  <c r="S154" i="68"/>
  <c r="S155" i="68"/>
  <c r="S156" i="68"/>
  <c r="S157" i="68"/>
  <c r="S158" i="68"/>
  <c r="S159" i="68"/>
  <c r="S160" i="68"/>
  <c r="S161" i="68"/>
  <c r="S162" i="68"/>
  <c r="S163" i="68"/>
  <c r="S164" i="68"/>
  <c r="S165" i="68"/>
  <c r="S166" i="68"/>
  <c r="S167" i="68"/>
  <c r="S168" i="68"/>
  <c r="S169" i="68"/>
  <c r="S170" i="68"/>
  <c r="S171" i="68"/>
  <c r="S172" i="68"/>
  <c r="S173" i="68"/>
  <c r="S174" i="68"/>
  <c r="S175" i="68"/>
  <c r="S176" i="68"/>
  <c r="S177" i="68"/>
  <c r="S178" i="68"/>
  <c r="S179" i="68"/>
  <c r="S180" i="68"/>
  <c r="S181" i="68"/>
  <c r="S182" i="68"/>
  <c r="S183" i="68"/>
  <c r="S184" i="68"/>
  <c r="S185" i="68"/>
  <c r="S186" i="68"/>
  <c r="S187" i="68"/>
  <c r="S188" i="68"/>
  <c r="S189" i="68"/>
  <c r="S190" i="68"/>
  <c r="S191" i="68"/>
  <c r="S192" i="68"/>
  <c r="S193" i="68"/>
  <c r="S194" i="68"/>
  <c r="S195" i="68"/>
  <c r="S196" i="68"/>
  <c r="S197" i="68"/>
  <c r="S198" i="68"/>
  <c r="S199" i="68"/>
  <c r="S200" i="68"/>
  <c r="S201" i="68"/>
  <c r="S202" i="68"/>
  <c r="S203" i="68"/>
  <c r="S204" i="68"/>
  <c r="S205" i="68"/>
  <c r="S206" i="68"/>
  <c r="S207" i="68"/>
  <c r="S208" i="68"/>
  <c r="S209" i="68"/>
  <c r="S210" i="68"/>
  <c r="S211" i="68"/>
  <c r="S212" i="68"/>
  <c r="S213" i="68"/>
  <c r="S214" i="68"/>
  <c r="S215" i="68"/>
  <c r="S216" i="68"/>
  <c r="S217" i="68"/>
  <c r="S218" i="68"/>
  <c r="S219" i="68"/>
  <c r="S220" i="68"/>
  <c r="S221" i="68"/>
  <c r="S222" i="68"/>
  <c r="S223" i="68"/>
  <c r="S224" i="68"/>
  <c r="S225" i="68"/>
  <c r="S226" i="68"/>
  <c r="S227" i="68"/>
  <c r="S228" i="68"/>
  <c r="S229" i="68"/>
  <c r="S230" i="68"/>
  <c r="S231" i="68"/>
  <c r="S232" i="68"/>
  <c r="S233" i="68"/>
  <c r="S234" i="68"/>
  <c r="S235" i="68"/>
  <c r="S236" i="68"/>
  <c r="S237" i="68"/>
  <c r="S238" i="68"/>
  <c r="S239" i="68"/>
  <c r="S240" i="68"/>
  <c r="S241" i="68"/>
  <c r="S242" i="68"/>
  <c r="S243" i="68"/>
  <c r="S244" i="68"/>
  <c r="S245" i="68"/>
  <c r="S246" i="68"/>
  <c r="S247" i="68"/>
  <c r="S248" i="68"/>
  <c r="S249" i="68"/>
  <c r="S250" i="68"/>
  <c r="S251" i="68"/>
  <c r="S252" i="68"/>
  <c r="S253" i="68"/>
  <c r="S254" i="68"/>
  <c r="S255" i="68"/>
  <c r="S256" i="68"/>
  <c r="S257" i="68"/>
  <c r="S258" i="68"/>
  <c r="S259" i="68"/>
  <c r="R150" i="58" l="1"/>
  <c r="R134" i="58"/>
  <c r="R220" i="58"/>
  <c r="R212" i="58"/>
  <c r="R204" i="58"/>
  <c r="R196" i="58"/>
  <c r="R164" i="58"/>
  <c r="R100" i="58"/>
  <c r="R36" i="58"/>
  <c r="R12" i="58"/>
  <c r="S12" i="58" s="1"/>
  <c r="V146" i="58"/>
  <c r="V256" i="58"/>
  <c r="V192" i="58"/>
  <c r="V114" i="58"/>
  <c r="V239" i="58"/>
  <c r="V175" i="58"/>
  <c r="V226" i="58"/>
  <c r="V185" i="58"/>
  <c r="V150" i="58"/>
  <c r="V134" i="58"/>
  <c r="V102" i="58"/>
  <c r="R114" i="58"/>
  <c r="V177" i="58"/>
  <c r="V221" i="58"/>
  <c r="R94" i="58"/>
  <c r="V209" i="58"/>
  <c r="V236" i="58"/>
  <c r="V228" i="58"/>
  <c r="V220" i="58"/>
  <c r="V212" i="58"/>
  <c r="V204" i="58"/>
  <c r="V196" i="58"/>
  <c r="V172" i="58"/>
  <c r="R252" i="58"/>
  <c r="R188" i="58"/>
  <c r="V188" i="58" s="1"/>
  <c r="R57" i="58"/>
  <c r="V57" i="58" s="1"/>
  <c r="R162" i="58"/>
  <c r="V259" i="58"/>
  <c r="V195" i="58"/>
  <c r="R244" i="58"/>
  <c r="V244" i="58" s="1"/>
  <c r="R180" i="58"/>
  <c r="V100" i="58"/>
  <c r="R141" i="58"/>
  <c r="V141" i="58" s="1"/>
  <c r="R119" i="58"/>
  <c r="V119" i="58" s="1"/>
  <c r="R111" i="58"/>
  <c r="R103" i="58"/>
  <c r="R95" i="58"/>
  <c r="V95" i="58" s="1"/>
  <c r="R87" i="58"/>
  <c r="V87" i="58" s="1"/>
  <c r="R79" i="58"/>
  <c r="R71" i="58"/>
  <c r="R63" i="58"/>
  <c r="V63" i="58" s="1"/>
  <c r="R55" i="58"/>
  <c r="V55" i="58" s="1"/>
  <c r="R47" i="58"/>
  <c r="R39" i="58"/>
  <c r="R31" i="58"/>
  <c r="V31" i="58" s="1"/>
  <c r="R23" i="58"/>
  <c r="R15" i="58"/>
  <c r="R254" i="58"/>
  <c r="R246" i="58"/>
  <c r="R238" i="58"/>
  <c r="R230" i="58"/>
  <c r="R222" i="58"/>
  <c r="R214" i="58"/>
  <c r="R206" i="58"/>
  <c r="R198" i="58"/>
  <c r="R190" i="58"/>
  <c r="R182" i="58"/>
  <c r="R174" i="58"/>
  <c r="R166" i="58"/>
  <c r="V166" i="58" s="1"/>
  <c r="R153" i="58"/>
  <c r="V153" i="58" s="1"/>
  <c r="R137" i="58"/>
  <c r="R121" i="58"/>
  <c r="V121" i="58" s="1"/>
  <c r="R98" i="58"/>
  <c r="R73" i="58"/>
  <c r="V86" i="58"/>
  <c r="R86" i="58"/>
  <c r="V78" i="58"/>
  <c r="R78" i="58"/>
  <c r="V70" i="58"/>
  <c r="R70" i="58"/>
  <c r="V62" i="58"/>
  <c r="R62" i="58"/>
  <c r="V54" i="58"/>
  <c r="R54" i="58"/>
  <c r="V46" i="58"/>
  <c r="R46" i="58"/>
  <c r="V38" i="58"/>
  <c r="R38" i="58"/>
  <c r="V30" i="58"/>
  <c r="R30" i="58"/>
  <c r="R22" i="58"/>
  <c r="V22" i="58" s="1"/>
  <c r="R14" i="58"/>
  <c r="R253" i="58"/>
  <c r="V253" i="58" s="1"/>
  <c r="R245" i="58"/>
  <c r="V245" i="58" s="1"/>
  <c r="R237" i="58"/>
  <c r="V237" i="58" s="1"/>
  <c r="R229" i="58"/>
  <c r="V229" i="58" s="1"/>
  <c r="R221" i="58"/>
  <c r="R213" i="58"/>
  <c r="R205" i="58"/>
  <c r="R197" i="58"/>
  <c r="V197" i="58" s="1"/>
  <c r="R189" i="58"/>
  <c r="V189" i="58" s="1"/>
  <c r="R181" i="58"/>
  <c r="V181" i="58" s="1"/>
  <c r="R173" i="58"/>
  <c r="V173" i="58" s="1"/>
  <c r="R165" i="58"/>
  <c r="V165" i="58" s="1"/>
  <c r="R151" i="58"/>
  <c r="R135" i="58"/>
  <c r="R118" i="58"/>
  <c r="V118" i="58" s="1"/>
  <c r="R97" i="58"/>
  <c r="V97" i="58" s="1"/>
  <c r="R65" i="58"/>
  <c r="V65" i="58" s="1"/>
  <c r="V164" i="58"/>
  <c r="R117" i="58"/>
  <c r="V77" i="58"/>
  <c r="R77" i="58"/>
  <c r="V61" i="58"/>
  <c r="R61" i="58"/>
  <c r="V29" i="58"/>
  <c r="R29" i="58"/>
  <c r="R156" i="58"/>
  <c r="V156" i="58" s="1"/>
  <c r="R148" i="58"/>
  <c r="V148" i="58" s="1"/>
  <c r="R140" i="58"/>
  <c r="V140" i="58" s="1"/>
  <c r="R132" i="58"/>
  <c r="V132" i="58"/>
  <c r="V124" i="58"/>
  <c r="R124" i="58"/>
  <c r="V116" i="58"/>
  <c r="R116" i="58"/>
  <c r="V108" i="58"/>
  <c r="R108" i="58"/>
  <c r="R92" i="58"/>
  <c r="V92" i="58" s="1"/>
  <c r="R84" i="58"/>
  <c r="V84" i="58"/>
  <c r="R76" i="58"/>
  <c r="V76" i="58" s="1"/>
  <c r="R68" i="58"/>
  <c r="V68" i="58"/>
  <c r="V60" i="58"/>
  <c r="R60" i="58"/>
  <c r="R52" i="58"/>
  <c r="V52" i="58" s="1"/>
  <c r="V44" i="58"/>
  <c r="R44" i="58"/>
  <c r="R28" i="58"/>
  <c r="V28" i="58"/>
  <c r="R20" i="58"/>
  <c r="R259" i="58"/>
  <c r="R251" i="58"/>
  <c r="R243" i="58"/>
  <c r="V243" i="58" s="1"/>
  <c r="R235" i="58"/>
  <c r="V235" i="58" s="1"/>
  <c r="R227" i="58"/>
  <c r="V227" i="58" s="1"/>
  <c r="R219" i="58"/>
  <c r="V219" i="58" s="1"/>
  <c r="R211" i="58"/>
  <c r="V211" i="58" s="1"/>
  <c r="R203" i="58"/>
  <c r="V203" i="58" s="1"/>
  <c r="R195" i="58"/>
  <c r="R187" i="58"/>
  <c r="R179" i="58"/>
  <c r="V179" i="58" s="1"/>
  <c r="R171" i="58"/>
  <c r="V171" i="58" s="1"/>
  <c r="R161" i="58"/>
  <c r="R146" i="58"/>
  <c r="R130" i="58"/>
  <c r="R113" i="58"/>
  <c r="R90" i="58"/>
  <c r="R49" i="58"/>
  <c r="V49" i="58" s="1"/>
  <c r="V36" i="58"/>
  <c r="V149" i="58"/>
  <c r="R149" i="58"/>
  <c r="R125" i="58"/>
  <c r="R101" i="58"/>
  <c r="V101" i="58" s="1"/>
  <c r="V69" i="58"/>
  <c r="R69" i="58"/>
  <c r="V37" i="58"/>
  <c r="R37" i="58"/>
  <c r="R163" i="58"/>
  <c r="R155" i="58"/>
  <c r="V155" i="58" s="1"/>
  <c r="V147" i="58"/>
  <c r="R147" i="58"/>
  <c r="V139" i="58"/>
  <c r="R139" i="58"/>
  <c r="R131" i="58"/>
  <c r="R123" i="58"/>
  <c r="V123" i="58" s="1"/>
  <c r="V115" i="58"/>
  <c r="R115" i="58"/>
  <c r="V107" i="58"/>
  <c r="R107" i="58"/>
  <c r="R99" i="58"/>
  <c r="R91" i="58"/>
  <c r="V83" i="58"/>
  <c r="R83" i="58"/>
  <c r="V75" i="58"/>
  <c r="R75" i="58"/>
  <c r="R67" i="58"/>
  <c r="R59" i="58"/>
  <c r="V51" i="58"/>
  <c r="R51" i="58"/>
  <c r="V43" i="58"/>
  <c r="R43" i="58"/>
  <c r="R35" i="58"/>
  <c r="R27" i="58"/>
  <c r="R19" i="58"/>
  <c r="R258" i="58"/>
  <c r="V258" i="58" s="1"/>
  <c r="R250" i="58"/>
  <c r="V250" i="58" s="1"/>
  <c r="R242" i="58"/>
  <c r="R234" i="58"/>
  <c r="R226" i="58"/>
  <c r="R218" i="58"/>
  <c r="R210" i="58"/>
  <c r="V210" i="58" s="1"/>
  <c r="R202" i="58"/>
  <c r="V202" i="58" s="1"/>
  <c r="R194" i="58"/>
  <c r="V194" i="58" s="1"/>
  <c r="R186" i="58"/>
  <c r="R178" i="58"/>
  <c r="R170" i="58"/>
  <c r="R159" i="58"/>
  <c r="R145" i="58"/>
  <c r="R129" i="58"/>
  <c r="R110" i="58"/>
  <c r="V110" i="58" s="1"/>
  <c r="R89" i="58"/>
  <c r="V89" i="58" s="1"/>
  <c r="R41" i="58"/>
  <c r="R93" i="58"/>
  <c r="R66" i="58"/>
  <c r="V58" i="58"/>
  <c r="R58" i="58"/>
  <c r="V50" i="58"/>
  <c r="R50" i="58"/>
  <c r="R42" i="58"/>
  <c r="R34" i="58"/>
  <c r="R26" i="58"/>
  <c r="V26" i="58" s="1"/>
  <c r="R18" i="58"/>
  <c r="R257" i="58"/>
  <c r="V257" i="58" s="1"/>
  <c r="R249" i="58"/>
  <c r="R241" i="58"/>
  <c r="V241" i="58" s="1"/>
  <c r="R233" i="58"/>
  <c r="R225" i="58"/>
  <c r="R217" i="58"/>
  <c r="V217" i="58" s="1"/>
  <c r="R209" i="58"/>
  <c r="R201" i="58"/>
  <c r="V201" i="58" s="1"/>
  <c r="R193" i="58"/>
  <c r="R185" i="58"/>
  <c r="R177" i="58"/>
  <c r="R169" i="58"/>
  <c r="R158" i="58"/>
  <c r="R143" i="58"/>
  <c r="V143" i="58" s="1"/>
  <c r="R127" i="58"/>
  <c r="V127" i="58" s="1"/>
  <c r="R106" i="58"/>
  <c r="V106" i="58" s="1"/>
  <c r="R82" i="58"/>
  <c r="R33" i="58"/>
  <c r="R133" i="58"/>
  <c r="V85" i="58"/>
  <c r="R85" i="58"/>
  <c r="V45" i="58"/>
  <c r="R45" i="58"/>
  <c r="R256" i="58"/>
  <c r="R248" i="58"/>
  <c r="R240" i="58"/>
  <c r="R232" i="58"/>
  <c r="R224" i="58"/>
  <c r="R216" i="58"/>
  <c r="V216" i="58" s="1"/>
  <c r="R208" i="58"/>
  <c r="V208" i="58" s="1"/>
  <c r="R200" i="58"/>
  <c r="V200" i="58" s="1"/>
  <c r="R192" i="58"/>
  <c r="R184" i="58"/>
  <c r="R176" i="58"/>
  <c r="R168" i="58"/>
  <c r="R157" i="58"/>
  <c r="R142" i="58"/>
  <c r="V142" i="58" s="1"/>
  <c r="R126" i="58"/>
  <c r="V126" i="58" s="1"/>
  <c r="R105" i="58"/>
  <c r="R81" i="58"/>
  <c r="V81" i="58" s="1"/>
  <c r="R25" i="58"/>
  <c r="R109" i="58"/>
  <c r="V53" i="58"/>
  <c r="R53" i="58"/>
  <c r="R21" i="58"/>
  <c r="V21" i="58" s="1"/>
  <c r="R13" i="58"/>
  <c r="R160" i="58"/>
  <c r="V152" i="58"/>
  <c r="R152" i="58"/>
  <c r="V144" i="58"/>
  <c r="R144" i="58"/>
  <c r="R136" i="58"/>
  <c r="R128" i="58"/>
  <c r="V120" i="58"/>
  <c r="R120" i="58"/>
  <c r="V112" i="58"/>
  <c r="R112" i="58"/>
  <c r="R104" i="58"/>
  <c r="R96" i="58"/>
  <c r="V88" i="58"/>
  <c r="R88" i="58"/>
  <c r="V80" i="58"/>
  <c r="R80" i="58"/>
  <c r="R72" i="58"/>
  <c r="R64" i="58"/>
  <c r="V56" i="58"/>
  <c r="R56" i="58"/>
  <c r="V48" i="58"/>
  <c r="R48" i="58"/>
  <c r="R40" i="58"/>
  <c r="R32" i="58"/>
  <c r="R24" i="58"/>
  <c r="V24" i="58" s="1"/>
  <c r="R16" i="58"/>
  <c r="R255" i="58"/>
  <c r="V255" i="58" s="1"/>
  <c r="R247" i="58"/>
  <c r="V247" i="58" s="1"/>
  <c r="R239" i="58"/>
  <c r="R231" i="58"/>
  <c r="R223" i="58"/>
  <c r="R215" i="58"/>
  <c r="V215" i="58" s="1"/>
  <c r="R207" i="58"/>
  <c r="V207" i="58" s="1"/>
  <c r="R199" i="58"/>
  <c r="V199" i="58" s="1"/>
  <c r="R191" i="58"/>
  <c r="V191" i="58" s="1"/>
  <c r="R183" i="58"/>
  <c r="V183" i="58" s="1"/>
  <c r="R175" i="58"/>
  <c r="R167" i="58"/>
  <c r="R154" i="58"/>
  <c r="R138" i="58"/>
  <c r="V138" i="58" s="1"/>
  <c r="R122" i="58"/>
  <c r="V122" i="58" s="1"/>
  <c r="R102" i="58"/>
  <c r="R74" i="58"/>
  <c r="V74" i="58" s="1"/>
  <c r="R17" i="58"/>
  <c r="W11" i="55"/>
  <c r="W12" i="55"/>
  <c r="W13" i="55"/>
  <c r="W14" i="55"/>
  <c r="W15" i="55"/>
  <c r="W16" i="55"/>
  <c r="W17" i="55"/>
  <c r="W18" i="55"/>
  <c r="W19" i="55"/>
  <c r="W20" i="55"/>
  <c r="W21" i="55"/>
  <c r="W22" i="55"/>
  <c r="W23" i="55"/>
  <c r="W24" i="55"/>
  <c r="W25" i="55"/>
  <c r="W26" i="55"/>
  <c r="W27" i="55"/>
  <c r="W28" i="55"/>
  <c r="W29" i="55"/>
  <c r="W30" i="55"/>
  <c r="W31" i="55"/>
  <c r="W32" i="55"/>
  <c r="W33" i="55"/>
  <c r="W34" i="55"/>
  <c r="W35" i="55"/>
  <c r="W36" i="55"/>
  <c r="W37" i="55"/>
  <c r="W38" i="55"/>
  <c r="W39" i="55"/>
  <c r="W40" i="55"/>
  <c r="W41" i="55"/>
  <c r="W42" i="55"/>
  <c r="W43" i="55"/>
  <c r="W44" i="55"/>
  <c r="W45" i="55"/>
  <c r="W46" i="55"/>
  <c r="W47" i="55"/>
  <c r="W48" i="55"/>
  <c r="W49" i="55"/>
  <c r="W50" i="55"/>
  <c r="W51" i="55"/>
  <c r="W52" i="55"/>
  <c r="W53" i="55"/>
  <c r="W54" i="55"/>
  <c r="W55" i="55"/>
  <c r="W56" i="55"/>
  <c r="W57" i="55"/>
  <c r="W58" i="55"/>
  <c r="W59" i="55"/>
  <c r="W60" i="55"/>
  <c r="W61" i="55"/>
  <c r="W62" i="55"/>
  <c r="W63" i="55"/>
  <c r="W64" i="55"/>
  <c r="W65" i="55"/>
  <c r="W66" i="55"/>
  <c r="W67" i="55"/>
  <c r="W68" i="55"/>
  <c r="W69" i="55"/>
  <c r="W70" i="55"/>
  <c r="W71" i="55"/>
  <c r="W72" i="55"/>
  <c r="W73" i="55"/>
  <c r="W74" i="55"/>
  <c r="W75" i="55"/>
  <c r="W76" i="55"/>
  <c r="W77" i="55"/>
  <c r="W78" i="55"/>
  <c r="W79" i="55"/>
  <c r="W80" i="55"/>
  <c r="W81" i="55"/>
  <c r="W82" i="55"/>
  <c r="W83" i="55"/>
  <c r="W84" i="55"/>
  <c r="W85" i="55"/>
  <c r="W86" i="55"/>
  <c r="W87" i="55"/>
  <c r="W88" i="55"/>
  <c r="W89" i="55"/>
  <c r="W90" i="55"/>
  <c r="W91" i="55"/>
  <c r="W92" i="55"/>
  <c r="W93" i="55"/>
  <c r="W94" i="55"/>
  <c r="W95" i="55"/>
  <c r="W96" i="55"/>
  <c r="W97" i="55"/>
  <c r="W98" i="55"/>
  <c r="W99" i="55"/>
  <c r="W100" i="55"/>
  <c r="W101" i="55"/>
  <c r="W102" i="55"/>
  <c r="W103" i="55"/>
  <c r="W104" i="55"/>
  <c r="W105" i="55"/>
  <c r="W106" i="55"/>
  <c r="W107" i="55"/>
  <c r="W108" i="55"/>
  <c r="W109" i="55"/>
  <c r="W110" i="55"/>
  <c r="W111" i="55"/>
  <c r="W112" i="55"/>
  <c r="W113" i="55"/>
  <c r="W114" i="55"/>
  <c r="W115" i="55"/>
  <c r="W116" i="55"/>
  <c r="W117" i="55"/>
  <c r="W118" i="55"/>
  <c r="W119" i="55"/>
  <c r="W120" i="55"/>
  <c r="W121" i="55"/>
  <c r="W122" i="55"/>
  <c r="W123" i="55"/>
  <c r="W124" i="55"/>
  <c r="W125" i="55"/>
  <c r="W126" i="55"/>
  <c r="W127" i="55"/>
  <c r="W128" i="55"/>
  <c r="W129" i="55"/>
  <c r="W130" i="55"/>
  <c r="W131" i="55"/>
  <c r="W132" i="55"/>
  <c r="W133" i="55"/>
  <c r="W134" i="55"/>
  <c r="W135" i="55"/>
  <c r="W136" i="55"/>
  <c r="W137" i="55"/>
  <c r="W138" i="55"/>
  <c r="W139" i="55"/>
  <c r="W140" i="55"/>
  <c r="W141" i="55"/>
  <c r="W142" i="55"/>
  <c r="W143" i="55"/>
  <c r="W144" i="55"/>
  <c r="W145" i="55"/>
  <c r="W146" i="55"/>
  <c r="W147" i="55"/>
  <c r="W148" i="55"/>
  <c r="W149" i="55"/>
  <c r="W150" i="55"/>
  <c r="W151" i="55"/>
  <c r="W152" i="55"/>
  <c r="W153" i="55"/>
  <c r="W154" i="55"/>
  <c r="W155" i="55"/>
  <c r="W156" i="55"/>
  <c r="W157" i="55"/>
  <c r="W158" i="55"/>
  <c r="W159" i="55"/>
  <c r="W160" i="55"/>
  <c r="W161" i="55"/>
  <c r="W162" i="55"/>
  <c r="W163" i="55"/>
  <c r="W164" i="55"/>
  <c r="W165" i="55"/>
  <c r="W166" i="55"/>
  <c r="W167" i="55"/>
  <c r="W168" i="55"/>
  <c r="W169" i="55"/>
  <c r="W170" i="55"/>
  <c r="W171" i="55"/>
  <c r="W172" i="55"/>
  <c r="W173" i="55"/>
  <c r="W174" i="55"/>
  <c r="W175" i="55"/>
  <c r="W176" i="55"/>
  <c r="W177" i="55"/>
  <c r="W178" i="55"/>
  <c r="W179" i="55"/>
  <c r="W180" i="55"/>
  <c r="W181" i="55"/>
  <c r="W182" i="55"/>
  <c r="W183" i="55"/>
  <c r="W184" i="55"/>
  <c r="W185" i="55"/>
  <c r="W186" i="55"/>
  <c r="W187" i="55"/>
  <c r="W188" i="55"/>
  <c r="W189" i="55"/>
  <c r="W190" i="55"/>
  <c r="W191" i="55"/>
  <c r="W192" i="55"/>
  <c r="W193" i="55"/>
  <c r="W194" i="55"/>
  <c r="W195" i="55"/>
  <c r="W196" i="55"/>
  <c r="W197" i="55"/>
  <c r="W198" i="55"/>
  <c r="W199" i="55"/>
  <c r="W200" i="55"/>
  <c r="W201" i="55"/>
  <c r="W202" i="55"/>
  <c r="W203" i="55"/>
  <c r="W204" i="55"/>
  <c r="W205" i="55"/>
  <c r="W206" i="55"/>
  <c r="W207" i="55"/>
  <c r="W208" i="55"/>
  <c r="W209" i="55"/>
  <c r="W210" i="55"/>
  <c r="W211" i="55"/>
  <c r="W212" i="55"/>
  <c r="W213" i="55"/>
  <c r="W214" i="55"/>
  <c r="W215" i="55"/>
  <c r="W216" i="55"/>
  <c r="W217" i="55"/>
  <c r="W218" i="55"/>
  <c r="W219" i="55"/>
  <c r="W220" i="55"/>
  <c r="W221" i="55"/>
  <c r="W222" i="55"/>
  <c r="W223" i="55"/>
  <c r="W224" i="55"/>
  <c r="W225" i="55"/>
  <c r="W226" i="55"/>
  <c r="W227" i="55"/>
  <c r="W228" i="55"/>
  <c r="W229" i="55"/>
  <c r="W230" i="55"/>
  <c r="W231" i="55"/>
  <c r="W232" i="55"/>
  <c r="W233" i="55"/>
  <c r="W234" i="55"/>
  <c r="W235" i="55"/>
  <c r="W236" i="55"/>
  <c r="W237" i="55"/>
  <c r="W238" i="55"/>
  <c r="W239" i="55"/>
  <c r="W240" i="55"/>
  <c r="W241" i="55"/>
  <c r="W242" i="55"/>
  <c r="W243" i="55"/>
  <c r="W244" i="55"/>
  <c r="W245" i="55"/>
  <c r="W246" i="55"/>
  <c r="W247" i="55"/>
  <c r="W248" i="55"/>
  <c r="W249" i="55"/>
  <c r="W250" i="55"/>
  <c r="W251" i="55"/>
  <c r="W252" i="55"/>
  <c r="W253" i="55"/>
  <c r="W254" i="55"/>
  <c r="W255" i="55"/>
  <c r="W256" i="55"/>
  <c r="W257" i="55"/>
  <c r="W10" i="55"/>
  <c r="L11" i="55"/>
  <c r="L12" i="55"/>
  <c r="L13" i="55"/>
  <c r="L14" i="55"/>
  <c r="L15" i="55"/>
  <c r="L16" i="55"/>
  <c r="L17" i="55"/>
  <c r="L18" i="55"/>
  <c r="L19" i="55"/>
  <c r="L20" i="55"/>
  <c r="L21" i="55"/>
  <c r="L22" i="55"/>
  <c r="L23" i="55"/>
  <c r="L24" i="55"/>
  <c r="L25" i="55"/>
  <c r="L26" i="55"/>
  <c r="L27" i="55"/>
  <c r="L28" i="55"/>
  <c r="L29" i="55"/>
  <c r="L30" i="55"/>
  <c r="L31" i="55"/>
  <c r="L32" i="55"/>
  <c r="L33" i="55"/>
  <c r="L34" i="55"/>
  <c r="L35" i="55"/>
  <c r="L36" i="55"/>
  <c r="L37" i="55"/>
  <c r="L38" i="55"/>
  <c r="L39" i="55"/>
  <c r="L40" i="55"/>
  <c r="L41" i="55"/>
  <c r="L42" i="55"/>
  <c r="L43" i="55"/>
  <c r="L44" i="55"/>
  <c r="L45" i="55"/>
  <c r="L46" i="55"/>
  <c r="L47" i="55"/>
  <c r="L48" i="55"/>
  <c r="L49" i="55"/>
  <c r="L50" i="55"/>
  <c r="L51" i="55"/>
  <c r="L52" i="55"/>
  <c r="L53" i="55"/>
  <c r="L54" i="55"/>
  <c r="L55" i="55"/>
  <c r="L56" i="55"/>
  <c r="L57" i="55"/>
  <c r="L58" i="55"/>
  <c r="L59" i="55"/>
  <c r="L60" i="55"/>
  <c r="L61" i="55"/>
  <c r="L62" i="55"/>
  <c r="L63" i="55"/>
  <c r="L64" i="55"/>
  <c r="L65" i="55"/>
  <c r="L66" i="55"/>
  <c r="L67" i="55"/>
  <c r="L68" i="55"/>
  <c r="L69" i="55"/>
  <c r="L70" i="55"/>
  <c r="L71" i="55"/>
  <c r="L72" i="55"/>
  <c r="L73" i="55"/>
  <c r="L74" i="55"/>
  <c r="L75" i="55"/>
  <c r="L76" i="55"/>
  <c r="L77" i="55"/>
  <c r="L78" i="55"/>
  <c r="L79" i="55"/>
  <c r="L80" i="55"/>
  <c r="L81" i="55"/>
  <c r="L82" i="55"/>
  <c r="L83" i="55"/>
  <c r="L84" i="55"/>
  <c r="L85" i="55"/>
  <c r="L86" i="55"/>
  <c r="L87" i="55"/>
  <c r="L88" i="55"/>
  <c r="L89" i="55"/>
  <c r="L90" i="55"/>
  <c r="L91" i="55"/>
  <c r="L92" i="55"/>
  <c r="L93" i="55"/>
  <c r="L94" i="55"/>
  <c r="L95" i="55"/>
  <c r="L96" i="55"/>
  <c r="L97" i="55"/>
  <c r="L98" i="55"/>
  <c r="L99" i="55"/>
  <c r="L100" i="55"/>
  <c r="L101" i="55"/>
  <c r="L102" i="55"/>
  <c r="L103" i="55"/>
  <c r="L104" i="55"/>
  <c r="L105" i="55"/>
  <c r="L106" i="55"/>
  <c r="L107" i="55"/>
  <c r="L108" i="55"/>
  <c r="L109" i="55"/>
  <c r="L110" i="55"/>
  <c r="L111" i="55"/>
  <c r="L112" i="55"/>
  <c r="L113" i="55"/>
  <c r="L114" i="55"/>
  <c r="L115" i="55"/>
  <c r="L116" i="55"/>
  <c r="L117" i="55"/>
  <c r="L118" i="55"/>
  <c r="L119" i="55"/>
  <c r="L120" i="55"/>
  <c r="L121" i="55"/>
  <c r="L122" i="55"/>
  <c r="L123" i="55"/>
  <c r="L124" i="55"/>
  <c r="L125" i="55"/>
  <c r="L126" i="55"/>
  <c r="L127" i="55"/>
  <c r="L128" i="55"/>
  <c r="L129" i="55"/>
  <c r="L130" i="55"/>
  <c r="L131" i="55"/>
  <c r="L132" i="55"/>
  <c r="L133" i="55"/>
  <c r="L134" i="55"/>
  <c r="L135" i="55"/>
  <c r="L136" i="55"/>
  <c r="L137" i="55"/>
  <c r="L138" i="55"/>
  <c r="L139" i="55"/>
  <c r="L140" i="55"/>
  <c r="L141" i="55"/>
  <c r="L142" i="55"/>
  <c r="L143" i="55"/>
  <c r="L144" i="55"/>
  <c r="L145" i="55"/>
  <c r="L146" i="55"/>
  <c r="L147" i="55"/>
  <c r="L148" i="55"/>
  <c r="L149" i="55"/>
  <c r="L150" i="55"/>
  <c r="L151" i="55"/>
  <c r="L152" i="55"/>
  <c r="L153" i="55"/>
  <c r="L154" i="55"/>
  <c r="L155" i="55"/>
  <c r="L156" i="55"/>
  <c r="L157" i="55"/>
  <c r="L158" i="55"/>
  <c r="L159" i="55"/>
  <c r="L160" i="55"/>
  <c r="L161" i="55"/>
  <c r="L162" i="55"/>
  <c r="L163" i="55"/>
  <c r="L164" i="55"/>
  <c r="L165" i="55"/>
  <c r="L166" i="55"/>
  <c r="L167" i="55"/>
  <c r="L168" i="55"/>
  <c r="L169" i="55"/>
  <c r="L170" i="55"/>
  <c r="L171" i="55"/>
  <c r="L172" i="55"/>
  <c r="L173" i="55"/>
  <c r="L174" i="55"/>
  <c r="L175" i="55"/>
  <c r="L176" i="55"/>
  <c r="L177" i="55"/>
  <c r="L178" i="55"/>
  <c r="L179" i="55"/>
  <c r="L180" i="55"/>
  <c r="L181" i="55"/>
  <c r="L182" i="55"/>
  <c r="L183" i="55"/>
  <c r="L184" i="55"/>
  <c r="L185" i="55"/>
  <c r="L186" i="55"/>
  <c r="L187" i="55"/>
  <c r="L188" i="55"/>
  <c r="L189" i="55"/>
  <c r="L190" i="55"/>
  <c r="L191" i="55"/>
  <c r="L192" i="55"/>
  <c r="L193" i="55"/>
  <c r="L194" i="55"/>
  <c r="L195" i="55"/>
  <c r="L196" i="55"/>
  <c r="L197" i="55"/>
  <c r="L198" i="55"/>
  <c r="L199" i="55"/>
  <c r="L200" i="55"/>
  <c r="L201" i="55"/>
  <c r="L202" i="55"/>
  <c r="L203" i="55"/>
  <c r="L204" i="55"/>
  <c r="L205" i="55"/>
  <c r="L206" i="55"/>
  <c r="L207" i="55"/>
  <c r="L208" i="55"/>
  <c r="L209" i="55"/>
  <c r="L210" i="55"/>
  <c r="L211" i="55"/>
  <c r="L212" i="55"/>
  <c r="L213" i="55"/>
  <c r="L214" i="55"/>
  <c r="L215" i="55"/>
  <c r="L216" i="55"/>
  <c r="L217" i="55"/>
  <c r="L218" i="55"/>
  <c r="L219" i="55"/>
  <c r="L220" i="55"/>
  <c r="L221" i="55"/>
  <c r="L222" i="55"/>
  <c r="L223" i="55"/>
  <c r="L224" i="55"/>
  <c r="L225" i="55"/>
  <c r="L226" i="55"/>
  <c r="L227" i="55"/>
  <c r="L228" i="55"/>
  <c r="L229" i="55"/>
  <c r="L230" i="55"/>
  <c r="L231" i="55"/>
  <c r="L232" i="55"/>
  <c r="L233" i="55"/>
  <c r="L234" i="55"/>
  <c r="L235" i="55"/>
  <c r="L236" i="55"/>
  <c r="L237" i="55"/>
  <c r="L238" i="55"/>
  <c r="L239" i="55"/>
  <c r="L240" i="55"/>
  <c r="L241" i="55"/>
  <c r="L242" i="55"/>
  <c r="L243" i="55"/>
  <c r="L244" i="55"/>
  <c r="L245" i="55"/>
  <c r="L246" i="55"/>
  <c r="L247" i="55"/>
  <c r="L248" i="55"/>
  <c r="L249" i="55"/>
  <c r="L250" i="55"/>
  <c r="L251" i="55"/>
  <c r="L252" i="55"/>
  <c r="L253" i="55"/>
  <c r="L254" i="55"/>
  <c r="L255" i="55"/>
  <c r="L256" i="55"/>
  <c r="L257" i="55"/>
  <c r="L10" i="55"/>
  <c r="K11" i="55"/>
  <c r="K12" i="55"/>
  <c r="K13" i="55"/>
  <c r="K14" i="55"/>
  <c r="K15" i="55"/>
  <c r="K16" i="55"/>
  <c r="K17" i="55"/>
  <c r="K18" i="55"/>
  <c r="K19" i="55"/>
  <c r="K20" i="55"/>
  <c r="K21" i="55"/>
  <c r="K22" i="55"/>
  <c r="K23" i="55"/>
  <c r="K24" i="55"/>
  <c r="K25" i="55"/>
  <c r="K26" i="55"/>
  <c r="K27" i="55"/>
  <c r="K28" i="55"/>
  <c r="K29" i="55"/>
  <c r="K30" i="55"/>
  <c r="K31" i="55"/>
  <c r="K32" i="55"/>
  <c r="K33" i="55"/>
  <c r="K34" i="55"/>
  <c r="K35" i="55"/>
  <c r="K36" i="55"/>
  <c r="K37" i="55"/>
  <c r="K38" i="55"/>
  <c r="K39" i="55"/>
  <c r="K40" i="55"/>
  <c r="K41" i="55"/>
  <c r="K42" i="55"/>
  <c r="K43" i="55"/>
  <c r="K44" i="55"/>
  <c r="K45" i="55"/>
  <c r="K46" i="55"/>
  <c r="K47" i="55"/>
  <c r="K48" i="55"/>
  <c r="K49" i="55"/>
  <c r="K50" i="55"/>
  <c r="K51" i="55"/>
  <c r="K52" i="55"/>
  <c r="K53" i="55"/>
  <c r="K54" i="55"/>
  <c r="K55" i="55"/>
  <c r="K56" i="55"/>
  <c r="K57" i="55"/>
  <c r="K58" i="55"/>
  <c r="K59" i="55"/>
  <c r="K60" i="55"/>
  <c r="K61" i="55"/>
  <c r="K62" i="55"/>
  <c r="K63" i="55"/>
  <c r="K64" i="55"/>
  <c r="K65" i="55"/>
  <c r="K66" i="55"/>
  <c r="K67" i="55"/>
  <c r="K68" i="55"/>
  <c r="K69" i="55"/>
  <c r="K70" i="55"/>
  <c r="K71" i="55"/>
  <c r="K72" i="55"/>
  <c r="K73" i="55"/>
  <c r="K74" i="55"/>
  <c r="K75" i="55"/>
  <c r="K76" i="55"/>
  <c r="K77" i="55"/>
  <c r="K78" i="55"/>
  <c r="K79" i="55"/>
  <c r="K80" i="55"/>
  <c r="K81" i="55"/>
  <c r="K82" i="55"/>
  <c r="K83" i="55"/>
  <c r="K84" i="55"/>
  <c r="K85" i="55"/>
  <c r="K86" i="55"/>
  <c r="K87" i="55"/>
  <c r="K88" i="55"/>
  <c r="K89" i="55"/>
  <c r="K90" i="55"/>
  <c r="K91" i="55"/>
  <c r="K92" i="55"/>
  <c r="K93" i="55"/>
  <c r="K94" i="55"/>
  <c r="K95" i="55"/>
  <c r="K96" i="55"/>
  <c r="K97" i="55"/>
  <c r="K98" i="55"/>
  <c r="K99" i="55"/>
  <c r="K100" i="55"/>
  <c r="K101" i="55"/>
  <c r="K102" i="55"/>
  <c r="K103" i="55"/>
  <c r="K104" i="55"/>
  <c r="K105" i="55"/>
  <c r="K106" i="55"/>
  <c r="K107" i="55"/>
  <c r="K108" i="55"/>
  <c r="K109" i="55"/>
  <c r="K110" i="55"/>
  <c r="K111" i="55"/>
  <c r="K112" i="55"/>
  <c r="K113" i="55"/>
  <c r="K114" i="55"/>
  <c r="K115" i="55"/>
  <c r="K116" i="55"/>
  <c r="K117" i="55"/>
  <c r="K118" i="55"/>
  <c r="K119" i="55"/>
  <c r="K120" i="55"/>
  <c r="K121" i="55"/>
  <c r="K122" i="55"/>
  <c r="K123" i="55"/>
  <c r="K124" i="55"/>
  <c r="K125" i="55"/>
  <c r="K126" i="55"/>
  <c r="K127" i="55"/>
  <c r="K128" i="55"/>
  <c r="K129" i="55"/>
  <c r="K130" i="55"/>
  <c r="K131" i="55"/>
  <c r="K132" i="55"/>
  <c r="K133" i="55"/>
  <c r="K134" i="55"/>
  <c r="K135" i="55"/>
  <c r="K136" i="55"/>
  <c r="K137" i="55"/>
  <c r="K138" i="55"/>
  <c r="K139" i="55"/>
  <c r="K140" i="55"/>
  <c r="K141" i="55"/>
  <c r="K142" i="55"/>
  <c r="K143" i="55"/>
  <c r="K144" i="55"/>
  <c r="K145" i="55"/>
  <c r="K146" i="55"/>
  <c r="K147" i="55"/>
  <c r="K148" i="55"/>
  <c r="K149" i="55"/>
  <c r="K150" i="55"/>
  <c r="K151" i="55"/>
  <c r="K152" i="55"/>
  <c r="K153" i="55"/>
  <c r="K154" i="55"/>
  <c r="K155" i="55"/>
  <c r="K156" i="55"/>
  <c r="K157" i="55"/>
  <c r="K158" i="55"/>
  <c r="K159" i="55"/>
  <c r="K160" i="55"/>
  <c r="K161" i="55"/>
  <c r="K162" i="55"/>
  <c r="K163" i="55"/>
  <c r="K164" i="55"/>
  <c r="K165" i="55"/>
  <c r="K166" i="55"/>
  <c r="K167" i="55"/>
  <c r="K168" i="55"/>
  <c r="K169" i="55"/>
  <c r="K170" i="55"/>
  <c r="K171" i="55"/>
  <c r="K172" i="55"/>
  <c r="K173" i="55"/>
  <c r="K174" i="55"/>
  <c r="K175" i="55"/>
  <c r="K176" i="55"/>
  <c r="K177" i="55"/>
  <c r="K178" i="55"/>
  <c r="K179" i="55"/>
  <c r="K180" i="55"/>
  <c r="K181" i="55"/>
  <c r="K182" i="55"/>
  <c r="K183" i="55"/>
  <c r="K184" i="55"/>
  <c r="K185" i="55"/>
  <c r="K186" i="55"/>
  <c r="K187" i="55"/>
  <c r="K188" i="55"/>
  <c r="K189" i="55"/>
  <c r="K190" i="55"/>
  <c r="K191" i="55"/>
  <c r="K192" i="55"/>
  <c r="K193" i="55"/>
  <c r="K194" i="55"/>
  <c r="K195" i="55"/>
  <c r="K196" i="55"/>
  <c r="K197" i="55"/>
  <c r="K198" i="55"/>
  <c r="K199" i="55"/>
  <c r="K200" i="55"/>
  <c r="K201" i="55"/>
  <c r="K202" i="55"/>
  <c r="K203" i="55"/>
  <c r="K204" i="55"/>
  <c r="K205" i="55"/>
  <c r="K206" i="55"/>
  <c r="K207" i="55"/>
  <c r="K208" i="55"/>
  <c r="K209" i="55"/>
  <c r="K210" i="55"/>
  <c r="K211" i="55"/>
  <c r="K212" i="55"/>
  <c r="K213" i="55"/>
  <c r="K214" i="55"/>
  <c r="K215" i="55"/>
  <c r="K216" i="55"/>
  <c r="K217" i="55"/>
  <c r="K218" i="55"/>
  <c r="K219" i="55"/>
  <c r="K220" i="55"/>
  <c r="K221" i="55"/>
  <c r="K222" i="55"/>
  <c r="K223" i="55"/>
  <c r="K224" i="55"/>
  <c r="K225" i="55"/>
  <c r="K226" i="55"/>
  <c r="K227" i="55"/>
  <c r="K228" i="55"/>
  <c r="K229" i="55"/>
  <c r="K230" i="55"/>
  <c r="K231" i="55"/>
  <c r="K232" i="55"/>
  <c r="K233" i="55"/>
  <c r="K234" i="55"/>
  <c r="K235" i="55"/>
  <c r="K236" i="55"/>
  <c r="K237" i="55"/>
  <c r="K238" i="55"/>
  <c r="K239" i="55"/>
  <c r="K240" i="55"/>
  <c r="K241" i="55"/>
  <c r="K242" i="55"/>
  <c r="K243" i="55"/>
  <c r="K244" i="55"/>
  <c r="K245" i="55"/>
  <c r="K246" i="55"/>
  <c r="K247" i="55"/>
  <c r="K248" i="55"/>
  <c r="K249" i="55"/>
  <c r="K250" i="55"/>
  <c r="K251" i="55"/>
  <c r="K252" i="55"/>
  <c r="K253" i="55"/>
  <c r="K254" i="55"/>
  <c r="K255" i="55"/>
  <c r="K256" i="55"/>
  <c r="K257" i="55"/>
  <c r="K10" i="55"/>
  <c r="O12" i="59"/>
  <c r="O13" i="59"/>
  <c r="O14" i="59"/>
  <c r="O15" i="59"/>
  <c r="O16" i="59"/>
  <c r="O17" i="59"/>
  <c r="O18" i="59"/>
  <c r="O19" i="59"/>
  <c r="O20" i="59"/>
  <c r="O21" i="59"/>
  <c r="O22" i="59"/>
  <c r="O23" i="59"/>
  <c r="O24" i="59"/>
  <c r="O25" i="59"/>
  <c r="O26" i="59"/>
  <c r="O27" i="59"/>
  <c r="O28" i="59"/>
  <c r="O29" i="59"/>
  <c r="O30" i="59"/>
  <c r="O31" i="59"/>
  <c r="O32" i="59"/>
  <c r="O33" i="59"/>
  <c r="O34" i="59"/>
  <c r="O35" i="59"/>
  <c r="O36" i="59"/>
  <c r="O37" i="59"/>
  <c r="O38" i="59"/>
  <c r="O39" i="59"/>
  <c r="O40" i="59"/>
  <c r="O41" i="59"/>
  <c r="O42" i="59"/>
  <c r="O43" i="59"/>
  <c r="O44" i="59"/>
  <c r="O45" i="59"/>
  <c r="O46" i="59"/>
  <c r="O47" i="59"/>
  <c r="O48" i="59"/>
  <c r="O49" i="59"/>
  <c r="O50" i="59"/>
  <c r="O51" i="59"/>
  <c r="O52" i="59"/>
  <c r="O53" i="59"/>
  <c r="O54" i="59"/>
  <c r="O55" i="59"/>
  <c r="O56" i="59"/>
  <c r="O57" i="59"/>
  <c r="O58" i="59"/>
  <c r="O59" i="59"/>
  <c r="O60" i="59"/>
  <c r="O61" i="59"/>
  <c r="O62" i="59"/>
  <c r="O63" i="59"/>
  <c r="O64" i="59"/>
  <c r="O65" i="59"/>
  <c r="O66" i="59"/>
  <c r="O67" i="59"/>
  <c r="O68" i="59"/>
  <c r="O69" i="59"/>
  <c r="O70" i="59"/>
  <c r="O71" i="59"/>
  <c r="O72" i="59"/>
  <c r="O73" i="59"/>
  <c r="O74" i="59"/>
  <c r="O75" i="59"/>
  <c r="O76" i="59"/>
  <c r="O77" i="59"/>
  <c r="O78" i="59"/>
  <c r="O79" i="59"/>
  <c r="O80" i="59"/>
  <c r="O81" i="59"/>
  <c r="O82" i="59"/>
  <c r="O83" i="59"/>
  <c r="O84" i="59"/>
  <c r="O85" i="59"/>
  <c r="O86" i="59"/>
  <c r="O87" i="59"/>
  <c r="O88" i="59"/>
  <c r="O89" i="59"/>
  <c r="O90" i="59"/>
  <c r="O91" i="59"/>
  <c r="O92" i="59"/>
  <c r="O93" i="59"/>
  <c r="O94" i="59"/>
  <c r="O95" i="59"/>
  <c r="O96" i="59"/>
  <c r="O97" i="59"/>
  <c r="O98" i="59"/>
  <c r="O99" i="59"/>
  <c r="O100" i="59"/>
  <c r="O101" i="59"/>
  <c r="O102" i="59"/>
  <c r="O103" i="59"/>
  <c r="O104" i="59"/>
  <c r="O105" i="59"/>
  <c r="O106" i="59"/>
  <c r="O107" i="59"/>
  <c r="O108" i="59"/>
  <c r="O109" i="59"/>
  <c r="O110" i="59"/>
  <c r="O111" i="59"/>
  <c r="O112" i="59"/>
  <c r="O113" i="59"/>
  <c r="O114" i="59"/>
  <c r="O115" i="59"/>
  <c r="O116" i="59"/>
  <c r="O117" i="59"/>
  <c r="O118" i="59"/>
  <c r="O119" i="59"/>
  <c r="O120" i="59"/>
  <c r="O121" i="59"/>
  <c r="O122" i="59"/>
  <c r="O123" i="59"/>
  <c r="O124" i="59"/>
  <c r="O125" i="59"/>
  <c r="O126" i="59"/>
  <c r="O127" i="59"/>
  <c r="O128" i="59"/>
  <c r="O129" i="59"/>
  <c r="O130" i="59"/>
  <c r="O131" i="59"/>
  <c r="O132" i="59"/>
  <c r="O133" i="59"/>
  <c r="O134" i="59"/>
  <c r="O135" i="59"/>
  <c r="O136" i="59"/>
  <c r="O137" i="59"/>
  <c r="O138" i="59"/>
  <c r="O139" i="59"/>
  <c r="O140" i="59"/>
  <c r="O141" i="59"/>
  <c r="O142" i="59"/>
  <c r="O143" i="59"/>
  <c r="O144" i="59"/>
  <c r="O145" i="59"/>
  <c r="O146" i="59"/>
  <c r="O147" i="59"/>
  <c r="O148" i="59"/>
  <c r="O149" i="59"/>
  <c r="O150" i="59"/>
  <c r="O151" i="59"/>
  <c r="O152" i="59"/>
  <c r="O153" i="59"/>
  <c r="O154" i="59"/>
  <c r="O155" i="59"/>
  <c r="O156" i="59"/>
  <c r="O157" i="59"/>
  <c r="O158" i="59"/>
  <c r="O159" i="59"/>
  <c r="O160" i="59"/>
  <c r="O161" i="59"/>
  <c r="O162" i="59"/>
  <c r="O163" i="59"/>
  <c r="O164" i="59"/>
  <c r="O165" i="59"/>
  <c r="O166" i="59"/>
  <c r="O167" i="59"/>
  <c r="O168" i="59"/>
  <c r="O169" i="59"/>
  <c r="O170" i="59"/>
  <c r="O171" i="59"/>
  <c r="O172" i="59"/>
  <c r="O173" i="59"/>
  <c r="O174" i="59"/>
  <c r="O175" i="59"/>
  <c r="O176" i="59"/>
  <c r="O177" i="59"/>
  <c r="O178" i="59"/>
  <c r="O179" i="59"/>
  <c r="O180" i="59"/>
  <c r="O181" i="59"/>
  <c r="O182" i="59"/>
  <c r="O183" i="59"/>
  <c r="O184" i="59"/>
  <c r="O185" i="59"/>
  <c r="O186" i="59"/>
  <c r="O187" i="59"/>
  <c r="O188" i="59"/>
  <c r="O189" i="59"/>
  <c r="O190" i="59"/>
  <c r="O191" i="59"/>
  <c r="O192" i="59"/>
  <c r="O193" i="59"/>
  <c r="O194" i="59"/>
  <c r="O195" i="59"/>
  <c r="O196" i="59"/>
  <c r="O197" i="59"/>
  <c r="O198" i="59"/>
  <c r="O199" i="59"/>
  <c r="O200" i="59"/>
  <c r="O201" i="59"/>
  <c r="O202" i="59"/>
  <c r="O203" i="59"/>
  <c r="O204" i="59"/>
  <c r="O205" i="59"/>
  <c r="O206" i="59"/>
  <c r="O207" i="59"/>
  <c r="O208" i="59"/>
  <c r="O209" i="59"/>
  <c r="O210" i="59"/>
  <c r="O211" i="59"/>
  <c r="O212" i="59"/>
  <c r="O213" i="59"/>
  <c r="O214" i="59"/>
  <c r="O215" i="59"/>
  <c r="O216" i="59"/>
  <c r="O217" i="59"/>
  <c r="O218" i="59"/>
  <c r="O219" i="59"/>
  <c r="O220" i="59"/>
  <c r="O221" i="59"/>
  <c r="O222" i="59"/>
  <c r="O223" i="59"/>
  <c r="O224" i="59"/>
  <c r="O225" i="59"/>
  <c r="O226" i="59"/>
  <c r="O227" i="59"/>
  <c r="O228" i="59"/>
  <c r="O229" i="59"/>
  <c r="O230" i="59"/>
  <c r="O231" i="59"/>
  <c r="O232" i="59"/>
  <c r="O233" i="59"/>
  <c r="O234" i="59"/>
  <c r="O235" i="59"/>
  <c r="O236" i="59"/>
  <c r="O237" i="59"/>
  <c r="O238" i="59"/>
  <c r="O239" i="59"/>
  <c r="O240" i="59"/>
  <c r="O241" i="59"/>
  <c r="O242" i="59"/>
  <c r="O243" i="59"/>
  <c r="O244" i="59"/>
  <c r="O245" i="59"/>
  <c r="O246" i="59"/>
  <c r="O247" i="59"/>
  <c r="O248" i="59"/>
  <c r="O249" i="59"/>
  <c r="O250" i="59"/>
  <c r="O251" i="59"/>
  <c r="O252" i="59"/>
  <c r="O253" i="59"/>
  <c r="O254" i="59"/>
  <c r="O255" i="59"/>
  <c r="O256" i="59"/>
  <c r="O257" i="59"/>
  <c r="O258" i="59"/>
  <c r="O11" i="59"/>
  <c r="N12" i="59"/>
  <c r="N13" i="59"/>
  <c r="N14" i="59"/>
  <c r="N15" i="59"/>
  <c r="N16" i="59"/>
  <c r="N17" i="59"/>
  <c r="N18" i="59"/>
  <c r="N19" i="59"/>
  <c r="N20" i="59"/>
  <c r="N21" i="59"/>
  <c r="N22" i="59"/>
  <c r="N23" i="59"/>
  <c r="N24" i="59"/>
  <c r="N25" i="59"/>
  <c r="N26" i="59"/>
  <c r="N27" i="59"/>
  <c r="N28" i="59"/>
  <c r="N29" i="59"/>
  <c r="N30" i="59"/>
  <c r="N31" i="59"/>
  <c r="N32" i="59"/>
  <c r="N33" i="59"/>
  <c r="N34" i="59"/>
  <c r="N35" i="59"/>
  <c r="N36" i="59"/>
  <c r="N37" i="59"/>
  <c r="N38" i="59"/>
  <c r="N39" i="59"/>
  <c r="N40" i="59"/>
  <c r="N41" i="59"/>
  <c r="N42" i="59"/>
  <c r="N43" i="59"/>
  <c r="N44" i="59"/>
  <c r="N45" i="59"/>
  <c r="N46" i="59"/>
  <c r="N47" i="59"/>
  <c r="N48" i="59"/>
  <c r="N49" i="59"/>
  <c r="N50" i="59"/>
  <c r="N51" i="59"/>
  <c r="N52" i="59"/>
  <c r="N53" i="59"/>
  <c r="N54" i="59"/>
  <c r="N55" i="59"/>
  <c r="N56" i="59"/>
  <c r="N57" i="59"/>
  <c r="N58" i="59"/>
  <c r="N59" i="59"/>
  <c r="N60" i="59"/>
  <c r="N61" i="59"/>
  <c r="N62" i="59"/>
  <c r="N63" i="59"/>
  <c r="N64" i="59"/>
  <c r="N65" i="59"/>
  <c r="N66" i="59"/>
  <c r="N67" i="59"/>
  <c r="N68" i="59"/>
  <c r="N69" i="59"/>
  <c r="N70" i="59"/>
  <c r="N71" i="59"/>
  <c r="N72" i="59"/>
  <c r="N73" i="59"/>
  <c r="N74" i="59"/>
  <c r="N75" i="59"/>
  <c r="N76" i="59"/>
  <c r="N77" i="59"/>
  <c r="N78" i="59"/>
  <c r="N79" i="59"/>
  <c r="N80" i="59"/>
  <c r="N81" i="59"/>
  <c r="N82" i="59"/>
  <c r="N83" i="59"/>
  <c r="N84" i="59"/>
  <c r="N85" i="59"/>
  <c r="N86" i="59"/>
  <c r="N87" i="59"/>
  <c r="N88" i="59"/>
  <c r="N89" i="59"/>
  <c r="N90" i="59"/>
  <c r="N91" i="59"/>
  <c r="N92" i="59"/>
  <c r="N93" i="59"/>
  <c r="N94" i="59"/>
  <c r="N95" i="59"/>
  <c r="N96" i="59"/>
  <c r="N97" i="59"/>
  <c r="N98" i="59"/>
  <c r="N99" i="59"/>
  <c r="N100" i="59"/>
  <c r="N101" i="59"/>
  <c r="N102" i="59"/>
  <c r="N103" i="59"/>
  <c r="N104" i="59"/>
  <c r="N105" i="59"/>
  <c r="N106" i="59"/>
  <c r="N107" i="59"/>
  <c r="N108" i="59"/>
  <c r="N109" i="59"/>
  <c r="N110" i="59"/>
  <c r="N111" i="59"/>
  <c r="N112" i="59"/>
  <c r="N113" i="59"/>
  <c r="N114" i="59"/>
  <c r="N115" i="59"/>
  <c r="N116" i="59"/>
  <c r="N117" i="59"/>
  <c r="N118" i="59"/>
  <c r="N119" i="59"/>
  <c r="N120" i="59"/>
  <c r="N121" i="59"/>
  <c r="N122" i="59"/>
  <c r="N123" i="59"/>
  <c r="N124" i="59"/>
  <c r="N125" i="59"/>
  <c r="N126" i="59"/>
  <c r="N127" i="59"/>
  <c r="N128" i="59"/>
  <c r="N129" i="59"/>
  <c r="N130" i="59"/>
  <c r="N131" i="59"/>
  <c r="N132" i="59"/>
  <c r="N133" i="59"/>
  <c r="N134" i="59"/>
  <c r="N135" i="59"/>
  <c r="N136" i="59"/>
  <c r="N137" i="59"/>
  <c r="N138" i="59"/>
  <c r="N139" i="59"/>
  <c r="N140" i="59"/>
  <c r="N141" i="59"/>
  <c r="N142" i="59"/>
  <c r="N143" i="59"/>
  <c r="N144" i="59"/>
  <c r="N145" i="59"/>
  <c r="N146" i="59"/>
  <c r="N147" i="59"/>
  <c r="N148" i="59"/>
  <c r="N149" i="59"/>
  <c r="N150" i="59"/>
  <c r="N151" i="59"/>
  <c r="N152" i="59"/>
  <c r="N153" i="59"/>
  <c r="N154" i="59"/>
  <c r="N155" i="59"/>
  <c r="N156" i="59"/>
  <c r="N157" i="59"/>
  <c r="N158" i="59"/>
  <c r="N159" i="59"/>
  <c r="N160" i="59"/>
  <c r="N161" i="59"/>
  <c r="N162" i="59"/>
  <c r="N163" i="59"/>
  <c r="N164" i="59"/>
  <c r="N165" i="59"/>
  <c r="N166" i="59"/>
  <c r="N167" i="59"/>
  <c r="N168" i="59"/>
  <c r="N169" i="59"/>
  <c r="N170" i="59"/>
  <c r="N171" i="59"/>
  <c r="N172" i="59"/>
  <c r="N173" i="59"/>
  <c r="N174" i="59"/>
  <c r="N175" i="59"/>
  <c r="N176" i="59"/>
  <c r="N177" i="59"/>
  <c r="N178" i="59"/>
  <c r="N179" i="59"/>
  <c r="N180" i="59"/>
  <c r="N181" i="59"/>
  <c r="N182" i="59"/>
  <c r="N183" i="59"/>
  <c r="N184" i="59"/>
  <c r="N185" i="59"/>
  <c r="N186" i="59"/>
  <c r="N187" i="59"/>
  <c r="N188" i="59"/>
  <c r="N189" i="59"/>
  <c r="N190" i="59"/>
  <c r="N191" i="59"/>
  <c r="N192" i="59"/>
  <c r="N193" i="59"/>
  <c r="N194" i="59"/>
  <c r="N195" i="59"/>
  <c r="N196" i="59"/>
  <c r="N197" i="59"/>
  <c r="N198" i="59"/>
  <c r="N199" i="59"/>
  <c r="N200" i="59"/>
  <c r="N201" i="59"/>
  <c r="N202" i="59"/>
  <c r="N203" i="59"/>
  <c r="N204" i="59"/>
  <c r="N205" i="59"/>
  <c r="N206" i="59"/>
  <c r="N207" i="59"/>
  <c r="N208" i="59"/>
  <c r="N209" i="59"/>
  <c r="N210" i="59"/>
  <c r="N211" i="59"/>
  <c r="N212" i="59"/>
  <c r="N213" i="59"/>
  <c r="N214" i="59"/>
  <c r="N215" i="59"/>
  <c r="N216" i="59"/>
  <c r="N217" i="59"/>
  <c r="N218" i="59"/>
  <c r="N219" i="59"/>
  <c r="N220" i="59"/>
  <c r="N221" i="59"/>
  <c r="N222" i="59"/>
  <c r="N223" i="59"/>
  <c r="N224" i="59"/>
  <c r="N225" i="59"/>
  <c r="N226" i="59"/>
  <c r="N227" i="59"/>
  <c r="N228" i="59"/>
  <c r="N229" i="59"/>
  <c r="N230" i="59"/>
  <c r="N231" i="59"/>
  <c r="N232" i="59"/>
  <c r="N233" i="59"/>
  <c r="N234" i="59"/>
  <c r="N235" i="59"/>
  <c r="N236" i="59"/>
  <c r="N237" i="59"/>
  <c r="N238" i="59"/>
  <c r="N239" i="59"/>
  <c r="N240" i="59"/>
  <c r="N241" i="59"/>
  <c r="N242" i="59"/>
  <c r="N243" i="59"/>
  <c r="N244" i="59"/>
  <c r="N245" i="59"/>
  <c r="N246" i="59"/>
  <c r="N247" i="59"/>
  <c r="N248" i="59"/>
  <c r="N249" i="59"/>
  <c r="N250" i="59"/>
  <c r="N251" i="59"/>
  <c r="N252" i="59"/>
  <c r="N253" i="59"/>
  <c r="N254" i="59"/>
  <c r="N255" i="59"/>
  <c r="N256" i="59"/>
  <c r="N257" i="59"/>
  <c r="N258" i="59"/>
  <c r="N11" i="59"/>
  <c r="N11" i="67"/>
  <c r="N12" i="67"/>
  <c r="N13" i="67"/>
  <c r="N14" i="67"/>
  <c r="N15" i="67"/>
  <c r="N16" i="67"/>
  <c r="N17" i="67"/>
  <c r="N18" i="67"/>
  <c r="N19" i="67"/>
  <c r="N20" i="67"/>
  <c r="N21" i="67"/>
  <c r="N22" i="67"/>
  <c r="N23" i="67"/>
  <c r="N24" i="67"/>
  <c r="N25" i="67"/>
  <c r="N26" i="67"/>
  <c r="N27" i="67"/>
  <c r="N28" i="67"/>
  <c r="N29" i="67"/>
  <c r="N30" i="67"/>
  <c r="N31" i="67"/>
  <c r="N32" i="67"/>
  <c r="N33" i="67"/>
  <c r="N34" i="67"/>
  <c r="N35" i="67"/>
  <c r="N36" i="67"/>
  <c r="N37" i="67"/>
  <c r="N38" i="67"/>
  <c r="N39" i="67"/>
  <c r="N40" i="67"/>
  <c r="N41" i="67"/>
  <c r="N42" i="67"/>
  <c r="N43" i="67"/>
  <c r="N44" i="67"/>
  <c r="N45" i="67"/>
  <c r="N46" i="67"/>
  <c r="N47" i="67"/>
  <c r="N48" i="67"/>
  <c r="N49" i="67"/>
  <c r="N50" i="67"/>
  <c r="N51" i="67"/>
  <c r="N52" i="67"/>
  <c r="N53" i="67"/>
  <c r="N54" i="67"/>
  <c r="N55" i="67"/>
  <c r="N56" i="67"/>
  <c r="N57" i="67"/>
  <c r="N58" i="67"/>
  <c r="N59" i="67"/>
  <c r="N60" i="67"/>
  <c r="N61" i="67"/>
  <c r="N62" i="67"/>
  <c r="N63" i="67"/>
  <c r="N64" i="67"/>
  <c r="N65" i="67"/>
  <c r="N66" i="67"/>
  <c r="N67" i="67"/>
  <c r="N68" i="67"/>
  <c r="N69" i="67"/>
  <c r="N70" i="67"/>
  <c r="N71" i="67"/>
  <c r="N72" i="67"/>
  <c r="N73" i="67"/>
  <c r="N74" i="67"/>
  <c r="N75" i="67"/>
  <c r="N76" i="67"/>
  <c r="N77" i="67"/>
  <c r="N78" i="67"/>
  <c r="N79" i="67"/>
  <c r="N80" i="67"/>
  <c r="N81" i="67"/>
  <c r="N82" i="67"/>
  <c r="N83" i="67"/>
  <c r="N84" i="67"/>
  <c r="N85" i="67"/>
  <c r="N86" i="67"/>
  <c r="N87" i="67"/>
  <c r="N88" i="67"/>
  <c r="N89" i="67"/>
  <c r="N90" i="67"/>
  <c r="N91" i="67"/>
  <c r="N92" i="67"/>
  <c r="N93" i="67"/>
  <c r="N94" i="67"/>
  <c r="N95" i="67"/>
  <c r="N96" i="67"/>
  <c r="N97" i="67"/>
  <c r="N98" i="67"/>
  <c r="N99" i="67"/>
  <c r="N100" i="67"/>
  <c r="N101" i="67"/>
  <c r="N102" i="67"/>
  <c r="N103" i="67"/>
  <c r="N104" i="67"/>
  <c r="N105" i="67"/>
  <c r="N106" i="67"/>
  <c r="N107" i="67"/>
  <c r="N108" i="67"/>
  <c r="N109" i="67"/>
  <c r="N110" i="67"/>
  <c r="N111" i="67"/>
  <c r="N112" i="67"/>
  <c r="N113" i="67"/>
  <c r="N114" i="67"/>
  <c r="N115" i="67"/>
  <c r="N116" i="67"/>
  <c r="N117" i="67"/>
  <c r="N118" i="67"/>
  <c r="N119" i="67"/>
  <c r="N120" i="67"/>
  <c r="N121" i="67"/>
  <c r="N122" i="67"/>
  <c r="N123" i="67"/>
  <c r="N124" i="67"/>
  <c r="N125" i="67"/>
  <c r="N126" i="67"/>
  <c r="N127" i="67"/>
  <c r="N128" i="67"/>
  <c r="N129" i="67"/>
  <c r="N130" i="67"/>
  <c r="N131" i="67"/>
  <c r="N132" i="67"/>
  <c r="N133" i="67"/>
  <c r="N134" i="67"/>
  <c r="N135" i="67"/>
  <c r="N136" i="67"/>
  <c r="N137" i="67"/>
  <c r="N138" i="67"/>
  <c r="N139" i="67"/>
  <c r="N140" i="67"/>
  <c r="N141" i="67"/>
  <c r="N142" i="67"/>
  <c r="N143" i="67"/>
  <c r="N144" i="67"/>
  <c r="N145" i="67"/>
  <c r="N146" i="67"/>
  <c r="N147" i="67"/>
  <c r="N148" i="67"/>
  <c r="N149" i="67"/>
  <c r="N150" i="67"/>
  <c r="N151" i="67"/>
  <c r="N152" i="67"/>
  <c r="N153" i="67"/>
  <c r="N154" i="67"/>
  <c r="N155" i="67"/>
  <c r="N156" i="67"/>
  <c r="N157" i="67"/>
  <c r="N158" i="67"/>
  <c r="N159" i="67"/>
  <c r="N160" i="67"/>
  <c r="N161" i="67"/>
  <c r="N162" i="67"/>
  <c r="N163" i="67"/>
  <c r="N164" i="67"/>
  <c r="N165" i="67"/>
  <c r="N166" i="67"/>
  <c r="N167" i="67"/>
  <c r="N168" i="67"/>
  <c r="N169" i="67"/>
  <c r="N170" i="67"/>
  <c r="N171" i="67"/>
  <c r="N172" i="67"/>
  <c r="N173" i="67"/>
  <c r="N174" i="67"/>
  <c r="N175" i="67"/>
  <c r="N176" i="67"/>
  <c r="N177" i="67"/>
  <c r="N178" i="67"/>
  <c r="N179" i="67"/>
  <c r="N180" i="67"/>
  <c r="N181" i="67"/>
  <c r="N182" i="67"/>
  <c r="N183" i="67"/>
  <c r="N184" i="67"/>
  <c r="N185" i="67"/>
  <c r="N186" i="67"/>
  <c r="N187" i="67"/>
  <c r="N188" i="67"/>
  <c r="N189" i="67"/>
  <c r="N190" i="67"/>
  <c r="N191" i="67"/>
  <c r="N192" i="67"/>
  <c r="N193" i="67"/>
  <c r="N194" i="67"/>
  <c r="N195" i="67"/>
  <c r="N196" i="67"/>
  <c r="N197" i="67"/>
  <c r="N198" i="67"/>
  <c r="N199" i="67"/>
  <c r="N200" i="67"/>
  <c r="N201" i="67"/>
  <c r="N202" i="67"/>
  <c r="N203" i="67"/>
  <c r="N204" i="67"/>
  <c r="N205" i="67"/>
  <c r="N206" i="67"/>
  <c r="N207" i="67"/>
  <c r="N208" i="67"/>
  <c r="N209" i="67"/>
  <c r="N210" i="67"/>
  <c r="N211" i="67"/>
  <c r="N212" i="67"/>
  <c r="N213" i="67"/>
  <c r="N214" i="67"/>
  <c r="N215" i="67"/>
  <c r="N216" i="67"/>
  <c r="N217" i="67"/>
  <c r="N218" i="67"/>
  <c r="N219" i="67"/>
  <c r="N220" i="67"/>
  <c r="N221" i="67"/>
  <c r="N222" i="67"/>
  <c r="N223" i="67"/>
  <c r="N224" i="67"/>
  <c r="N225" i="67"/>
  <c r="N226" i="67"/>
  <c r="N227" i="67"/>
  <c r="N228" i="67"/>
  <c r="N229" i="67"/>
  <c r="N230" i="67"/>
  <c r="N231" i="67"/>
  <c r="N232" i="67"/>
  <c r="N233" i="67"/>
  <c r="N234" i="67"/>
  <c r="N235" i="67"/>
  <c r="N236" i="67"/>
  <c r="N237" i="67"/>
  <c r="N238" i="67"/>
  <c r="N239" i="67"/>
  <c r="N240" i="67"/>
  <c r="N241" i="67"/>
  <c r="N242" i="67"/>
  <c r="N243" i="67"/>
  <c r="N244" i="67"/>
  <c r="N245" i="67"/>
  <c r="N246" i="67"/>
  <c r="N247" i="67"/>
  <c r="N248" i="67"/>
  <c r="N249" i="67"/>
  <c r="N250" i="67"/>
  <c r="N251" i="67"/>
  <c r="N252" i="67"/>
  <c r="N253" i="67"/>
  <c r="N254" i="67"/>
  <c r="N255" i="67"/>
  <c r="N256" i="67"/>
  <c r="N257" i="67"/>
  <c r="N10" i="67"/>
  <c r="I10" i="67"/>
  <c r="AJ12" i="65"/>
  <c r="AJ13" i="65"/>
  <c r="AJ14" i="65"/>
  <c r="AJ15" i="65"/>
  <c r="AJ16" i="65"/>
  <c r="AJ17" i="65"/>
  <c r="AJ18" i="65"/>
  <c r="AJ19" i="65"/>
  <c r="AJ20" i="65"/>
  <c r="AJ21" i="65"/>
  <c r="AJ22" i="65"/>
  <c r="AJ23" i="65"/>
  <c r="AJ24" i="65"/>
  <c r="AJ25" i="65"/>
  <c r="AJ26" i="65"/>
  <c r="AJ27" i="65"/>
  <c r="AJ28" i="65"/>
  <c r="AJ29" i="65"/>
  <c r="AJ30" i="65"/>
  <c r="AJ31" i="65"/>
  <c r="AJ32" i="65"/>
  <c r="AJ33" i="65"/>
  <c r="AJ34" i="65"/>
  <c r="AJ35" i="65"/>
  <c r="AJ36" i="65"/>
  <c r="AJ37" i="65"/>
  <c r="AJ38" i="65"/>
  <c r="AJ39" i="65"/>
  <c r="AJ40" i="65"/>
  <c r="AJ41" i="65"/>
  <c r="AJ42" i="65"/>
  <c r="AJ43" i="65"/>
  <c r="AJ44" i="65"/>
  <c r="AJ45" i="65"/>
  <c r="AJ46" i="65"/>
  <c r="AJ47" i="65"/>
  <c r="AJ48" i="65"/>
  <c r="AJ49" i="65"/>
  <c r="AJ50" i="65"/>
  <c r="AJ51" i="65"/>
  <c r="AJ52" i="65"/>
  <c r="AJ53" i="65"/>
  <c r="AJ54" i="65"/>
  <c r="AJ55" i="65"/>
  <c r="AJ56" i="65"/>
  <c r="AJ57" i="65"/>
  <c r="AJ58" i="65"/>
  <c r="AJ59" i="65"/>
  <c r="AJ60" i="65"/>
  <c r="AJ61" i="65"/>
  <c r="AJ62" i="65"/>
  <c r="AJ63" i="65"/>
  <c r="AJ64" i="65"/>
  <c r="AJ65" i="65"/>
  <c r="AJ66" i="65"/>
  <c r="AJ67" i="65"/>
  <c r="AJ68" i="65"/>
  <c r="AJ69" i="65"/>
  <c r="AJ70" i="65"/>
  <c r="AJ71" i="65"/>
  <c r="AJ72" i="65"/>
  <c r="AJ73" i="65"/>
  <c r="AJ74" i="65"/>
  <c r="AJ75" i="65"/>
  <c r="AJ76" i="65"/>
  <c r="AJ77" i="65"/>
  <c r="AJ78" i="65"/>
  <c r="AJ79" i="65"/>
  <c r="AJ80" i="65"/>
  <c r="AJ81" i="65"/>
  <c r="AJ82" i="65"/>
  <c r="AJ83" i="65"/>
  <c r="AJ84" i="65"/>
  <c r="AJ85" i="65"/>
  <c r="AJ86" i="65"/>
  <c r="AJ87" i="65"/>
  <c r="AJ88" i="65"/>
  <c r="AJ89" i="65"/>
  <c r="AJ90" i="65"/>
  <c r="AJ91" i="65"/>
  <c r="AJ92" i="65"/>
  <c r="AJ93" i="65"/>
  <c r="AJ94" i="65"/>
  <c r="AJ95" i="65"/>
  <c r="AJ96" i="65"/>
  <c r="AJ97" i="65"/>
  <c r="AJ98" i="65"/>
  <c r="AJ99" i="65"/>
  <c r="AJ100" i="65"/>
  <c r="AJ101" i="65"/>
  <c r="AJ102" i="65"/>
  <c r="AJ103" i="65"/>
  <c r="AJ104" i="65"/>
  <c r="AJ105" i="65"/>
  <c r="AJ106" i="65"/>
  <c r="AJ107" i="65"/>
  <c r="AJ108" i="65"/>
  <c r="AJ109" i="65"/>
  <c r="AJ110" i="65"/>
  <c r="AJ111" i="65"/>
  <c r="AJ112" i="65"/>
  <c r="AJ113" i="65"/>
  <c r="AJ114" i="65"/>
  <c r="AJ115" i="65"/>
  <c r="AJ116" i="65"/>
  <c r="AJ117" i="65"/>
  <c r="AJ118" i="65"/>
  <c r="AJ119" i="65"/>
  <c r="AJ120" i="65"/>
  <c r="AJ121" i="65"/>
  <c r="AJ122" i="65"/>
  <c r="AJ123" i="65"/>
  <c r="AJ124" i="65"/>
  <c r="AJ125" i="65"/>
  <c r="AJ126" i="65"/>
  <c r="AJ127" i="65"/>
  <c r="AJ128" i="65"/>
  <c r="AJ129" i="65"/>
  <c r="AJ130" i="65"/>
  <c r="AJ131" i="65"/>
  <c r="AJ132" i="65"/>
  <c r="AJ133" i="65"/>
  <c r="AJ134" i="65"/>
  <c r="AJ135" i="65"/>
  <c r="AJ136" i="65"/>
  <c r="AJ137" i="65"/>
  <c r="AJ138" i="65"/>
  <c r="AJ139" i="65"/>
  <c r="AJ140" i="65"/>
  <c r="AJ141" i="65"/>
  <c r="AJ142" i="65"/>
  <c r="AJ143" i="65"/>
  <c r="AJ144" i="65"/>
  <c r="AJ145" i="65"/>
  <c r="AJ146" i="65"/>
  <c r="AJ147" i="65"/>
  <c r="AJ148" i="65"/>
  <c r="AJ149" i="65"/>
  <c r="AJ150" i="65"/>
  <c r="AJ151" i="65"/>
  <c r="AJ152" i="65"/>
  <c r="AJ153" i="65"/>
  <c r="AJ154" i="65"/>
  <c r="AJ155" i="65"/>
  <c r="AJ156" i="65"/>
  <c r="AJ157" i="65"/>
  <c r="AJ158" i="65"/>
  <c r="AJ159" i="65"/>
  <c r="AJ160" i="65"/>
  <c r="AJ161" i="65"/>
  <c r="AJ162" i="65"/>
  <c r="AJ163" i="65"/>
  <c r="AJ164" i="65"/>
  <c r="AJ165" i="65"/>
  <c r="AJ166" i="65"/>
  <c r="AJ167" i="65"/>
  <c r="AJ168" i="65"/>
  <c r="AJ169" i="65"/>
  <c r="AJ170" i="65"/>
  <c r="AJ171" i="65"/>
  <c r="AJ172" i="65"/>
  <c r="AJ173" i="65"/>
  <c r="AJ174" i="65"/>
  <c r="AJ175" i="65"/>
  <c r="AJ176" i="65"/>
  <c r="AJ177" i="65"/>
  <c r="AJ178" i="65"/>
  <c r="AJ179" i="65"/>
  <c r="AJ180" i="65"/>
  <c r="AJ181" i="65"/>
  <c r="AJ182" i="65"/>
  <c r="AJ183" i="65"/>
  <c r="AJ184" i="65"/>
  <c r="AJ185" i="65"/>
  <c r="AJ186" i="65"/>
  <c r="AJ187" i="65"/>
  <c r="AJ188" i="65"/>
  <c r="AJ189" i="65"/>
  <c r="AJ190" i="65"/>
  <c r="AJ191" i="65"/>
  <c r="AJ192" i="65"/>
  <c r="AJ193" i="65"/>
  <c r="AJ194" i="65"/>
  <c r="AJ195" i="65"/>
  <c r="AJ196" i="65"/>
  <c r="AJ197" i="65"/>
  <c r="AJ198" i="65"/>
  <c r="AJ199" i="65"/>
  <c r="AJ200" i="65"/>
  <c r="AJ201" i="65"/>
  <c r="AJ202" i="65"/>
  <c r="AJ203" i="65"/>
  <c r="AJ204" i="65"/>
  <c r="AJ205" i="65"/>
  <c r="AJ206" i="65"/>
  <c r="AJ207" i="65"/>
  <c r="AJ208" i="65"/>
  <c r="AJ209" i="65"/>
  <c r="AJ210" i="65"/>
  <c r="AJ211" i="65"/>
  <c r="AJ212" i="65"/>
  <c r="AJ213" i="65"/>
  <c r="AJ214" i="65"/>
  <c r="AJ215" i="65"/>
  <c r="AJ216" i="65"/>
  <c r="AJ217" i="65"/>
  <c r="AJ218" i="65"/>
  <c r="AJ219" i="65"/>
  <c r="AJ220" i="65"/>
  <c r="AJ221" i="65"/>
  <c r="AJ222" i="65"/>
  <c r="AJ223" i="65"/>
  <c r="AJ224" i="65"/>
  <c r="AJ225" i="65"/>
  <c r="AJ226" i="65"/>
  <c r="AJ227" i="65"/>
  <c r="AJ228" i="65"/>
  <c r="AJ229" i="65"/>
  <c r="AJ230" i="65"/>
  <c r="AJ231" i="65"/>
  <c r="AJ232" i="65"/>
  <c r="AJ233" i="65"/>
  <c r="AJ234" i="65"/>
  <c r="AJ235" i="65"/>
  <c r="AJ236" i="65"/>
  <c r="AJ237" i="65"/>
  <c r="AJ238" i="65"/>
  <c r="AJ239" i="65"/>
  <c r="AJ240" i="65"/>
  <c r="AJ241" i="65"/>
  <c r="AJ242" i="65"/>
  <c r="AJ243" i="65"/>
  <c r="AJ244" i="65"/>
  <c r="AJ245" i="65"/>
  <c r="AJ246" i="65"/>
  <c r="AJ247" i="65"/>
  <c r="AJ248" i="65"/>
  <c r="AJ249" i="65"/>
  <c r="AJ250" i="65"/>
  <c r="AJ251" i="65"/>
  <c r="AJ252" i="65"/>
  <c r="AJ253" i="65"/>
  <c r="AJ254" i="65"/>
  <c r="AJ255" i="65"/>
  <c r="AJ256" i="65"/>
  <c r="AJ257" i="65"/>
  <c r="W13" i="64"/>
  <c r="W14" i="64"/>
  <c r="W15" i="64"/>
  <c r="W16" i="64"/>
  <c r="W17" i="64"/>
  <c r="W18" i="64"/>
  <c r="W19" i="64"/>
  <c r="W20" i="64"/>
  <c r="W21" i="64"/>
  <c r="W22" i="64"/>
  <c r="W23" i="64"/>
  <c r="W24" i="64"/>
  <c r="W25" i="64"/>
  <c r="W26" i="64"/>
  <c r="W27" i="64"/>
  <c r="W28" i="64"/>
  <c r="W29" i="64"/>
  <c r="W30" i="64"/>
  <c r="W31" i="64"/>
  <c r="W32" i="64"/>
  <c r="W33" i="64"/>
  <c r="W34" i="64"/>
  <c r="W35" i="64"/>
  <c r="W36" i="64"/>
  <c r="W37" i="64"/>
  <c r="W38" i="64"/>
  <c r="W39" i="64"/>
  <c r="W40" i="64"/>
  <c r="W41" i="64"/>
  <c r="W42" i="64"/>
  <c r="W43" i="64"/>
  <c r="W44" i="64"/>
  <c r="W45" i="64"/>
  <c r="W46" i="64"/>
  <c r="W47" i="64"/>
  <c r="W48" i="64"/>
  <c r="W49" i="64"/>
  <c r="W50" i="64"/>
  <c r="W51" i="64"/>
  <c r="W52" i="64"/>
  <c r="W53" i="64"/>
  <c r="W54" i="64"/>
  <c r="W55" i="64"/>
  <c r="W56" i="64"/>
  <c r="W57" i="64"/>
  <c r="W58" i="64"/>
  <c r="W59" i="64"/>
  <c r="W60" i="64"/>
  <c r="W61" i="64"/>
  <c r="W62" i="64"/>
  <c r="W63" i="64"/>
  <c r="W64" i="64"/>
  <c r="W65" i="64"/>
  <c r="W66" i="64"/>
  <c r="W67" i="64"/>
  <c r="W68" i="64"/>
  <c r="W69" i="64"/>
  <c r="W70" i="64"/>
  <c r="W71" i="64"/>
  <c r="W72" i="64"/>
  <c r="W73" i="64"/>
  <c r="W74" i="64"/>
  <c r="W75" i="64"/>
  <c r="W76" i="64"/>
  <c r="W77" i="64"/>
  <c r="W78" i="64"/>
  <c r="W79" i="64"/>
  <c r="W80" i="64"/>
  <c r="W81" i="64"/>
  <c r="W82" i="64"/>
  <c r="W83" i="64"/>
  <c r="W84" i="64"/>
  <c r="W85" i="64"/>
  <c r="W86" i="64"/>
  <c r="W87" i="64"/>
  <c r="W88" i="64"/>
  <c r="W89" i="64"/>
  <c r="W90" i="64"/>
  <c r="W91" i="64"/>
  <c r="W92" i="64"/>
  <c r="W93" i="64"/>
  <c r="W94" i="64"/>
  <c r="W95" i="64"/>
  <c r="W96" i="64"/>
  <c r="W97" i="64"/>
  <c r="W98" i="64"/>
  <c r="W99" i="64"/>
  <c r="W100" i="64"/>
  <c r="W101" i="64"/>
  <c r="W102" i="64"/>
  <c r="W103" i="64"/>
  <c r="W104" i="64"/>
  <c r="W105" i="64"/>
  <c r="W106" i="64"/>
  <c r="W107" i="64"/>
  <c r="W108" i="64"/>
  <c r="W109" i="64"/>
  <c r="W110" i="64"/>
  <c r="W111" i="64"/>
  <c r="W112" i="64"/>
  <c r="W113" i="64"/>
  <c r="W114" i="64"/>
  <c r="W115" i="64"/>
  <c r="W116" i="64"/>
  <c r="W117" i="64"/>
  <c r="W118" i="64"/>
  <c r="W119" i="64"/>
  <c r="W120" i="64"/>
  <c r="W121" i="64"/>
  <c r="W122" i="64"/>
  <c r="W123" i="64"/>
  <c r="W124" i="64"/>
  <c r="W125" i="64"/>
  <c r="W126" i="64"/>
  <c r="W127" i="64"/>
  <c r="W128" i="64"/>
  <c r="W129" i="64"/>
  <c r="W130" i="64"/>
  <c r="W131" i="64"/>
  <c r="W132" i="64"/>
  <c r="W133" i="64"/>
  <c r="W134" i="64"/>
  <c r="W135" i="64"/>
  <c r="W136" i="64"/>
  <c r="W137" i="64"/>
  <c r="W138" i="64"/>
  <c r="W139" i="64"/>
  <c r="W140" i="64"/>
  <c r="W141" i="64"/>
  <c r="W142" i="64"/>
  <c r="W143" i="64"/>
  <c r="W144" i="64"/>
  <c r="W145" i="64"/>
  <c r="W146" i="64"/>
  <c r="W147" i="64"/>
  <c r="W148" i="64"/>
  <c r="W149" i="64"/>
  <c r="W150" i="64"/>
  <c r="W151" i="64"/>
  <c r="W152" i="64"/>
  <c r="W153" i="64"/>
  <c r="W154" i="64"/>
  <c r="W155" i="64"/>
  <c r="W156" i="64"/>
  <c r="W157" i="64"/>
  <c r="W158" i="64"/>
  <c r="W159" i="64"/>
  <c r="W160" i="64"/>
  <c r="W161" i="64"/>
  <c r="W162" i="64"/>
  <c r="W163" i="64"/>
  <c r="W164" i="64"/>
  <c r="W165" i="64"/>
  <c r="W166" i="64"/>
  <c r="W167" i="64"/>
  <c r="W168" i="64"/>
  <c r="W169" i="64"/>
  <c r="W170" i="64"/>
  <c r="W171" i="64"/>
  <c r="W172" i="64"/>
  <c r="W173" i="64"/>
  <c r="W174" i="64"/>
  <c r="W175" i="64"/>
  <c r="W176" i="64"/>
  <c r="W177" i="64"/>
  <c r="W178" i="64"/>
  <c r="W179" i="64"/>
  <c r="W180" i="64"/>
  <c r="W181" i="64"/>
  <c r="W182" i="64"/>
  <c r="W183" i="64"/>
  <c r="W184" i="64"/>
  <c r="W185" i="64"/>
  <c r="W186" i="64"/>
  <c r="W187" i="64"/>
  <c r="W188" i="64"/>
  <c r="W189" i="64"/>
  <c r="W190" i="64"/>
  <c r="W191" i="64"/>
  <c r="W192" i="64"/>
  <c r="W193" i="64"/>
  <c r="W194" i="64"/>
  <c r="W195" i="64"/>
  <c r="W196" i="64"/>
  <c r="W197" i="64"/>
  <c r="W198" i="64"/>
  <c r="W199" i="64"/>
  <c r="W200" i="64"/>
  <c r="W201" i="64"/>
  <c r="W202" i="64"/>
  <c r="W203" i="64"/>
  <c r="W204" i="64"/>
  <c r="W205" i="64"/>
  <c r="W206" i="64"/>
  <c r="W207" i="64"/>
  <c r="W208" i="64"/>
  <c r="W209" i="64"/>
  <c r="W210" i="64"/>
  <c r="W211" i="64"/>
  <c r="W212" i="64"/>
  <c r="W213" i="64"/>
  <c r="W214" i="64"/>
  <c r="W215" i="64"/>
  <c r="W216" i="64"/>
  <c r="W217" i="64"/>
  <c r="W218" i="64"/>
  <c r="W219" i="64"/>
  <c r="W220" i="64"/>
  <c r="W221" i="64"/>
  <c r="W222" i="64"/>
  <c r="W223" i="64"/>
  <c r="W224" i="64"/>
  <c r="W225" i="64"/>
  <c r="W226" i="64"/>
  <c r="W227" i="64"/>
  <c r="W228" i="64"/>
  <c r="W229" i="64"/>
  <c r="W230" i="64"/>
  <c r="W231" i="64"/>
  <c r="W232" i="64"/>
  <c r="W233" i="64"/>
  <c r="W234" i="64"/>
  <c r="W235" i="64"/>
  <c r="W236" i="64"/>
  <c r="W237" i="64"/>
  <c r="W238" i="64"/>
  <c r="W239" i="64"/>
  <c r="W240" i="64"/>
  <c r="W241" i="64"/>
  <c r="W242" i="64"/>
  <c r="W243" i="64"/>
  <c r="W244" i="64"/>
  <c r="W245" i="64"/>
  <c r="W246" i="64"/>
  <c r="W247" i="64"/>
  <c r="W248" i="64"/>
  <c r="W249" i="64"/>
  <c r="W250" i="64"/>
  <c r="W251" i="64"/>
  <c r="W252" i="64"/>
  <c r="W253" i="64"/>
  <c r="W254" i="64"/>
  <c r="W255" i="64"/>
  <c r="W256" i="64"/>
  <c r="W257" i="64"/>
  <c r="W258" i="64"/>
  <c r="W259" i="64"/>
  <c r="W12" i="64"/>
  <c r="S22" i="64"/>
  <c r="S23" i="64"/>
  <c r="S24" i="64"/>
  <c r="S25" i="64"/>
  <c r="S26" i="64"/>
  <c r="S27" i="64"/>
  <c r="S28" i="64"/>
  <c r="S29" i="64"/>
  <c r="S30" i="64"/>
  <c r="S31" i="64"/>
  <c r="S32" i="64"/>
  <c r="S33" i="64"/>
  <c r="S34" i="64"/>
  <c r="S35" i="64"/>
  <c r="S36" i="64"/>
  <c r="S37" i="64"/>
  <c r="S38" i="64"/>
  <c r="S39" i="64"/>
  <c r="S40" i="64"/>
  <c r="S41" i="64"/>
  <c r="S42" i="64"/>
  <c r="S43" i="64"/>
  <c r="S45" i="64"/>
  <c r="S46" i="64"/>
  <c r="S47" i="64"/>
  <c r="S48" i="64"/>
  <c r="S49" i="64"/>
  <c r="S50" i="64"/>
  <c r="S51" i="64"/>
  <c r="S52" i="64"/>
  <c r="S53" i="64"/>
  <c r="S54" i="64"/>
  <c r="S55" i="64"/>
  <c r="S56" i="64"/>
  <c r="S57" i="64"/>
  <c r="S58" i="64"/>
  <c r="S59" i="64"/>
  <c r="S60" i="64"/>
  <c r="S61" i="64"/>
  <c r="S62" i="64"/>
  <c r="S63" i="64"/>
  <c r="S64" i="64"/>
  <c r="S65" i="64"/>
  <c r="S66" i="64"/>
  <c r="S67" i="64"/>
  <c r="S68" i="64"/>
  <c r="S69" i="64"/>
  <c r="S70" i="64"/>
  <c r="S71" i="64"/>
  <c r="S72" i="64"/>
  <c r="S73" i="64"/>
  <c r="S74" i="64"/>
  <c r="S75" i="64"/>
  <c r="S76" i="64"/>
  <c r="S77" i="64"/>
  <c r="S78" i="64"/>
  <c r="S79" i="64"/>
  <c r="S80" i="64"/>
  <c r="S81" i="64"/>
  <c r="S82" i="64"/>
  <c r="S83" i="64"/>
  <c r="S84" i="64"/>
  <c r="S85" i="64"/>
  <c r="S86" i="64"/>
  <c r="S87" i="64"/>
  <c r="S88" i="64"/>
  <c r="S89" i="64"/>
  <c r="S90" i="64"/>
  <c r="S91" i="64"/>
  <c r="S92" i="64"/>
  <c r="S93" i="64"/>
  <c r="S94" i="64"/>
  <c r="S95" i="64"/>
  <c r="S96" i="64"/>
  <c r="S97" i="64"/>
  <c r="S98" i="64"/>
  <c r="S99" i="64"/>
  <c r="S100" i="64"/>
  <c r="S101" i="64"/>
  <c r="S102" i="64"/>
  <c r="S103" i="64"/>
  <c r="S104" i="64"/>
  <c r="S105" i="64"/>
  <c r="S106" i="64"/>
  <c r="S107" i="64"/>
  <c r="S108" i="64"/>
  <c r="S109" i="64"/>
  <c r="S110" i="64"/>
  <c r="S111" i="64"/>
  <c r="S112" i="64"/>
  <c r="S113" i="64"/>
  <c r="S114" i="64"/>
  <c r="S115" i="64"/>
  <c r="S116" i="64"/>
  <c r="S117" i="64"/>
  <c r="S118" i="64"/>
  <c r="S119" i="64"/>
  <c r="S120" i="64"/>
  <c r="S121" i="64"/>
  <c r="S122" i="64"/>
  <c r="S123" i="64"/>
  <c r="S124" i="64"/>
  <c r="S125" i="64"/>
  <c r="S126" i="64"/>
  <c r="S127" i="64"/>
  <c r="S128" i="64"/>
  <c r="S129" i="64"/>
  <c r="S130" i="64"/>
  <c r="S131" i="64"/>
  <c r="S132" i="64"/>
  <c r="S133" i="64"/>
  <c r="S134" i="64"/>
  <c r="S135" i="64"/>
  <c r="S136" i="64"/>
  <c r="S137" i="64"/>
  <c r="S138" i="64"/>
  <c r="S139" i="64"/>
  <c r="S140" i="64"/>
  <c r="S141" i="64"/>
  <c r="S142" i="64"/>
  <c r="S143" i="64"/>
  <c r="S144" i="64"/>
  <c r="S145" i="64"/>
  <c r="S146" i="64"/>
  <c r="S147" i="64"/>
  <c r="S148" i="64"/>
  <c r="S149" i="64"/>
  <c r="S150" i="64"/>
  <c r="S151" i="64"/>
  <c r="S152" i="64"/>
  <c r="S153" i="64"/>
  <c r="S154" i="64"/>
  <c r="S155" i="64"/>
  <c r="S156" i="64"/>
  <c r="S157" i="64"/>
  <c r="S158" i="64"/>
  <c r="S159" i="64"/>
  <c r="S160" i="64"/>
  <c r="S161" i="64"/>
  <c r="S162" i="64"/>
  <c r="S163" i="64"/>
  <c r="S164" i="64"/>
  <c r="S165" i="64"/>
  <c r="S166" i="64"/>
  <c r="S167" i="64"/>
  <c r="S168" i="64"/>
  <c r="S169" i="64"/>
  <c r="S170" i="64"/>
  <c r="S171" i="64"/>
  <c r="S172" i="64"/>
  <c r="S173" i="64"/>
  <c r="S174" i="64"/>
  <c r="S175" i="64"/>
  <c r="S176" i="64"/>
  <c r="S177" i="64"/>
  <c r="S178" i="64"/>
  <c r="S179" i="64"/>
  <c r="S180" i="64"/>
  <c r="S181" i="64"/>
  <c r="S182" i="64"/>
  <c r="S183" i="64"/>
  <c r="S184" i="64"/>
  <c r="S185" i="64"/>
  <c r="S186" i="64"/>
  <c r="S187" i="64"/>
  <c r="S188" i="64"/>
  <c r="S189" i="64"/>
  <c r="S190" i="64"/>
  <c r="S191" i="64"/>
  <c r="S192" i="64"/>
  <c r="S193" i="64"/>
  <c r="S194" i="64"/>
  <c r="S195" i="64"/>
  <c r="S196" i="64"/>
  <c r="S197" i="64"/>
  <c r="S198" i="64"/>
  <c r="S199" i="64"/>
  <c r="S200" i="64"/>
  <c r="S201" i="64"/>
  <c r="S202" i="64"/>
  <c r="S203" i="64"/>
  <c r="S204" i="64"/>
  <c r="S205" i="64"/>
  <c r="S206" i="64"/>
  <c r="S207" i="64"/>
  <c r="S208" i="64"/>
  <c r="S209" i="64"/>
  <c r="S210" i="64"/>
  <c r="S211" i="64"/>
  <c r="S212" i="64"/>
  <c r="S213" i="64"/>
  <c r="S214" i="64"/>
  <c r="S215" i="64"/>
  <c r="S216" i="64"/>
  <c r="S217" i="64"/>
  <c r="S218" i="64"/>
  <c r="S219" i="64"/>
  <c r="S220" i="64"/>
  <c r="S221" i="64"/>
  <c r="S222" i="64"/>
  <c r="S223" i="64"/>
  <c r="S224" i="64"/>
  <c r="S225" i="64"/>
  <c r="S226" i="64"/>
  <c r="S227" i="64"/>
  <c r="S228" i="64"/>
  <c r="S229" i="64"/>
  <c r="S230" i="64"/>
  <c r="S231" i="64"/>
  <c r="S232" i="64"/>
  <c r="S233" i="64"/>
  <c r="S234" i="64"/>
  <c r="S235" i="64"/>
  <c r="S236" i="64"/>
  <c r="S237" i="64"/>
  <c r="S238" i="64"/>
  <c r="S239" i="64"/>
  <c r="S240" i="64"/>
  <c r="S241" i="64"/>
  <c r="S242" i="64"/>
  <c r="S243" i="64"/>
  <c r="S244" i="64"/>
  <c r="S245" i="64"/>
  <c r="S246" i="64"/>
  <c r="S247" i="64"/>
  <c r="S248" i="64"/>
  <c r="S249" i="64"/>
  <c r="S250" i="64"/>
  <c r="S251" i="64"/>
  <c r="S252" i="64"/>
  <c r="S253" i="64"/>
  <c r="S254" i="64"/>
  <c r="S255" i="64"/>
  <c r="S256" i="64"/>
  <c r="S257" i="64"/>
  <c r="S258" i="64"/>
  <c r="S259" i="64"/>
  <c r="N11" i="63"/>
  <c r="N12" i="63"/>
  <c r="N13" i="63"/>
  <c r="N14" i="63"/>
  <c r="N15" i="63"/>
  <c r="N16" i="63"/>
  <c r="N17" i="63"/>
  <c r="N18" i="63"/>
  <c r="N19" i="63"/>
  <c r="N20" i="63"/>
  <c r="N21" i="63"/>
  <c r="N22" i="63"/>
  <c r="N23" i="63"/>
  <c r="N24" i="63"/>
  <c r="N25" i="63"/>
  <c r="N26" i="63"/>
  <c r="N27" i="63"/>
  <c r="N28" i="63"/>
  <c r="N29" i="63"/>
  <c r="N30" i="63"/>
  <c r="N31" i="63"/>
  <c r="N32" i="63"/>
  <c r="N33" i="63"/>
  <c r="N34" i="63"/>
  <c r="N35" i="63"/>
  <c r="N36" i="63"/>
  <c r="N37" i="63"/>
  <c r="N38" i="63"/>
  <c r="N39" i="63"/>
  <c r="N40" i="63"/>
  <c r="N41" i="63"/>
  <c r="N42" i="63"/>
  <c r="N43" i="63"/>
  <c r="N44" i="63"/>
  <c r="N45" i="63"/>
  <c r="N46" i="63"/>
  <c r="N47" i="63"/>
  <c r="N48" i="63"/>
  <c r="N49" i="63"/>
  <c r="N50" i="63"/>
  <c r="N51" i="63"/>
  <c r="N52" i="63"/>
  <c r="N53" i="63"/>
  <c r="N54" i="63"/>
  <c r="N55" i="63"/>
  <c r="N56" i="63"/>
  <c r="N57" i="63"/>
  <c r="N58" i="63"/>
  <c r="N59" i="63"/>
  <c r="N60" i="63"/>
  <c r="N61" i="63"/>
  <c r="N62" i="63"/>
  <c r="N63" i="63"/>
  <c r="N64" i="63"/>
  <c r="N65" i="63"/>
  <c r="N66" i="63"/>
  <c r="N67" i="63"/>
  <c r="N68" i="63"/>
  <c r="N69" i="63"/>
  <c r="N70" i="63"/>
  <c r="N71" i="63"/>
  <c r="N72" i="63"/>
  <c r="N73" i="63"/>
  <c r="N74" i="63"/>
  <c r="N75" i="63"/>
  <c r="N76" i="63"/>
  <c r="N77" i="63"/>
  <c r="N78" i="63"/>
  <c r="N79" i="63"/>
  <c r="N80" i="63"/>
  <c r="N81" i="63"/>
  <c r="N82" i="63"/>
  <c r="N83" i="63"/>
  <c r="N84" i="63"/>
  <c r="N85" i="63"/>
  <c r="N86" i="63"/>
  <c r="N87" i="63"/>
  <c r="N88" i="63"/>
  <c r="N89" i="63"/>
  <c r="N90" i="63"/>
  <c r="N91" i="63"/>
  <c r="N92" i="63"/>
  <c r="N93" i="63"/>
  <c r="N94" i="63"/>
  <c r="N95" i="63"/>
  <c r="N96" i="63"/>
  <c r="N97" i="63"/>
  <c r="N98" i="63"/>
  <c r="N99" i="63"/>
  <c r="N100" i="63"/>
  <c r="N101" i="63"/>
  <c r="N102" i="63"/>
  <c r="N103" i="63"/>
  <c r="N104" i="63"/>
  <c r="N105" i="63"/>
  <c r="N106" i="63"/>
  <c r="N107" i="63"/>
  <c r="N108" i="63"/>
  <c r="N109" i="63"/>
  <c r="N110" i="63"/>
  <c r="N111" i="63"/>
  <c r="N112" i="63"/>
  <c r="N113" i="63"/>
  <c r="N114" i="63"/>
  <c r="N115" i="63"/>
  <c r="N116" i="63"/>
  <c r="N117" i="63"/>
  <c r="N118" i="63"/>
  <c r="N119" i="63"/>
  <c r="N120" i="63"/>
  <c r="N121" i="63"/>
  <c r="N122" i="63"/>
  <c r="N123" i="63"/>
  <c r="N124" i="63"/>
  <c r="N125" i="63"/>
  <c r="N126" i="63"/>
  <c r="N127" i="63"/>
  <c r="N128" i="63"/>
  <c r="N129" i="63"/>
  <c r="N130" i="63"/>
  <c r="N131" i="63"/>
  <c r="N132" i="63"/>
  <c r="N133" i="63"/>
  <c r="N134" i="63"/>
  <c r="N135" i="63"/>
  <c r="N136" i="63"/>
  <c r="N137" i="63"/>
  <c r="N138" i="63"/>
  <c r="N139" i="63"/>
  <c r="N140" i="63"/>
  <c r="N141" i="63"/>
  <c r="N142" i="63"/>
  <c r="N143" i="63"/>
  <c r="N144" i="63"/>
  <c r="N145" i="63"/>
  <c r="N146" i="63"/>
  <c r="N147" i="63"/>
  <c r="N148" i="63"/>
  <c r="N149" i="63"/>
  <c r="N150" i="63"/>
  <c r="N151" i="63"/>
  <c r="N152" i="63"/>
  <c r="N153" i="63"/>
  <c r="N154" i="63"/>
  <c r="N155" i="63"/>
  <c r="N156" i="63"/>
  <c r="N157" i="63"/>
  <c r="N158" i="63"/>
  <c r="N159" i="63"/>
  <c r="N160" i="63"/>
  <c r="N161" i="63"/>
  <c r="N162" i="63"/>
  <c r="N163" i="63"/>
  <c r="N164" i="63"/>
  <c r="N165" i="63"/>
  <c r="N166" i="63"/>
  <c r="N167" i="63"/>
  <c r="N168" i="63"/>
  <c r="N169" i="63"/>
  <c r="N170" i="63"/>
  <c r="N171" i="63"/>
  <c r="N172" i="63"/>
  <c r="N173" i="63"/>
  <c r="N174" i="63"/>
  <c r="N175" i="63"/>
  <c r="N176" i="63"/>
  <c r="N177" i="63"/>
  <c r="N178" i="63"/>
  <c r="N179" i="63"/>
  <c r="N180" i="63"/>
  <c r="N181" i="63"/>
  <c r="N182" i="63"/>
  <c r="N183" i="63"/>
  <c r="N184" i="63"/>
  <c r="N185" i="63"/>
  <c r="N186" i="63"/>
  <c r="N187" i="63"/>
  <c r="N188" i="63"/>
  <c r="N189" i="63"/>
  <c r="N190" i="63"/>
  <c r="N191" i="63"/>
  <c r="N192" i="63"/>
  <c r="N193" i="63"/>
  <c r="N194" i="63"/>
  <c r="N195" i="63"/>
  <c r="N196" i="63"/>
  <c r="N197" i="63"/>
  <c r="N198" i="63"/>
  <c r="N199" i="63"/>
  <c r="N200" i="63"/>
  <c r="N201" i="63"/>
  <c r="N202" i="63"/>
  <c r="N203" i="63"/>
  <c r="N204" i="63"/>
  <c r="N205" i="63"/>
  <c r="N206" i="63"/>
  <c r="N207" i="63"/>
  <c r="N208" i="63"/>
  <c r="N209" i="63"/>
  <c r="N210" i="63"/>
  <c r="N211" i="63"/>
  <c r="N212" i="63"/>
  <c r="N213" i="63"/>
  <c r="N214" i="63"/>
  <c r="N215" i="63"/>
  <c r="N216" i="63"/>
  <c r="N217" i="63"/>
  <c r="N218" i="63"/>
  <c r="N219" i="63"/>
  <c r="N220" i="63"/>
  <c r="N221" i="63"/>
  <c r="N222" i="63"/>
  <c r="N223" i="63"/>
  <c r="N224" i="63"/>
  <c r="N225" i="63"/>
  <c r="N226" i="63"/>
  <c r="N227" i="63"/>
  <c r="N228" i="63"/>
  <c r="N229" i="63"/>
  <c r="N230" i="63"/>
  <c r="N231" i="63"/>
  <c r="N232" i="63"/>
  <c r="N233" i="63"/>
  <c r="N234" i="63"/>
  <c r="N235" i="63"/>
  <c r="N236" i="63"/>
  <c r="N237" i="63"/>
  <c r="N238" i="63"/>
  <c r="N239" i="63"/>
  <c r="N240" i="63"/>
  <c r="N241" i="63"/>
  <c r="N242" i="63"/>
  <c r="N243" i="63"/>
  <c r="N244" i="63"/>
  <c r="N245" i="63"/>
  <c r="N246" i="63"/>
  <c r="N247" i="63"/>
  <c r="N248" i="63"/>
  <c r="N249" i="63"/>
  <c r="N250" i="63"/>
  <c r="N251" i="63"/>
  <c r="N252" i="63"/>
  <c r="N253" i="63"/>
  <c r="N254" i="63"/>
  <c r="N255" i="63"/>
  <c r="N256" i="63"/>
  <c r="N257" i="63"/>
  <c r="N10" i="63"/>
  <c r="W13" i="57"/>
  <c r="W14" i="57"/>
  <c r="W15" i="57"/>
  <c r="W16" i="57"/>
  <c r="W17" i="57"/>
  <c r="W18" i="57"/>
  <c r="W19" i="57"/>
  <c r="W20" i="57"/>
  <c r="W21" i="57"/>
  <c r="W22" i="57"/>
  <c r="W23" i="57"/>
  <c r="W24" i="57"/>
  <c r="W25" i="57"/>
  <c r="W26" i="57"/>
  <c r="W27" i="57"/>
  <c r="W28" i="57"/>
  <c r="W29" i="57"/>
  <c r="W30" i="57"/>
  <c r="W31" i="57"/>
  <c r="W32" i="57"/>
  <c r="W33" i="57"/>
  <c r="W34" i="57"/>
  <c r="W35" i="57"/>
  <c r="W36" i="57"/>
  <c r="W37" i="57"/>
  <c r="W38" i="57"/>
  <c r="W39" i="57"/>
  <c r="W40" i="57"/>
  <c r="W41" i="57"/>
  <c r="W42" i="57"/>
  <c r="W43" i="57"/>
  <c r="W44" i="57"/>
  <c r="W45" i="57"/>
  <c r="W46" i="57"/>
  <c r="W47" i="57"/>
  <c r="W48" i="57"/>
  <c r="W49" i="57"/>
  <c r="W50" i="57"/>
  <c r="W51" i="57"/>
  <c r="W52" i="57"/>
  <c r="W53" i="57"/>
  <c r="W54" i="57"/>
  <c r="W55" i="57"/>
  <c r="W56" i="57"/>
  <c r="W57" i="57"/>
  <c r="W58" i="57"/>
  <c r="W59" i="57"/>
  <c r="W60" i="57"/>
  <c r="W61" i="57"/>
  <c r="W62" i="57"/>
  <c r="W63" i="57"/>
  <c r="W64" i="57"/>
  <c r="W65" i="57"/>
  <c r="W66" i="57"/>
  <c r="W67" i="57"/>
  <c r="W68" i="57"/>
  <c r="W69" i="57"/>
  <c r="W70" i="57"/>
  <c r="W71" i="57"/>
  <c r="W72" i="57"/>
  <c r="W73" i="57"/>
  <c r="W74" i="57"/>
  <c r="W75" i="57"/>
  <c r="W76" i="57"/>
  <c r="W77" i="57"/>
  <c r="W78" i="57"/>
  <c r="W79" i="57"/>
  <c r="W80" i="57"/>
  <c r="W81" i="57"/>
  <c r="W82" i="57"/>
  <c r="W83" i="57"/>
  <c r="W84" i="57"/>
  <c r="W85" i="57"/>
  <c r="W86" i="57"/>
  <c r="W87" i="57"/>
  <c r="W88" i="57"/>
  <c r="W89" i="57"/>
  <c r="W90" i="57"/>
  <c r="W91" i="57"/>
  <c r="W92" i="57"/>
  <c r="W93" i="57"/>
  <c r="W94" i="57"/>
  <c r="W95" i="57"/>
  <c r="W96" i="57"/>
  <c r="W97" i="57"/>
  <c r="W98" i="57"/>
  <c r="W99" i="57"/>
  <c r="W100" i="57"/>
  <c r="W101" i="57"/>
  <c r="W102" i="57"/>
  <c r="W103" i="57"/>
  <c r="W104" i="57"/>
  <c r="W105" i="57"/>
  <c r="W106" i="57"/>
  <c r="W107" i="57"/>
  <c r="W108" i="57"/>
  <c r="W109" i="57"/>
  <c r="W110" i="57"/>
  <c r="W111" i="57"/>
  <c r="W112" i="57"/>
  <c r="W113" i="57"/>
  <c r="W114" i="57"/>
  <c r="W115" i="57"/>
  <c r="W116" i="57"/>
  <c r="W117" i="57"/>
  <c r="W118" i="57"/>
  <c r="W119" i="57"/>
  <c r="W120" i="57"/>
  <c r="W121" i="57"/>
  <c r="W122" i="57"/>
  <c r="W123" i="57"/>
  <c r="W124" i="57"/>
  <c r="W125" i="57"/>
  <c r="W126" i="57"/>
  <c r="W127" i="57"/>
  <c r="W128" i="57"/>
  <c r="W129" i="57"/>
  <c r="W130" i="57"/>
  <c r="W131" i="57"/>
  <c r="W132" i="57"/>
  <c r="W133" i="57"/>
  <c r="W134" i="57"/>
  <c r="W135" i="57"/>
  <c r="W136" i="57"/>
  <c r="W137" i="57"/>
  <c r="W138" i="57"/>
  <c r="W139" i="57"/>
  <c r="W140" i="57"/>
  <c r="W141" i="57"/>
  <c r="W142" i="57"/>
  <c r="W143" i="57"/>
  <c r="W144" i="57"/>
  <c r="W145" i="57"/>
  <c r="W146" i="57"/>
  <c r="W147" i="57"/>
  <c r="W148" i="57"/>
  <c r="W149" i="57"/>
  <c r="W150" i="57"/>
  <c r="W151" i="57"/>
  <c r="W152" i="57"/>
  <c r="W153" i="57"/>
  <c r="W154" i="57"/>
  <c r="W155" i="57"/>
  <c r="W156" i="57"/>
  <c r="W157" i="57"/>
  <c r="W158" i="57"/>
  <c r="W159" i="57"/>
  <c r="W160" i="57"/>
  <c r="W161" i="57"/>
  <c r="W162" i="57"/>
  <c r="W163" i="57"/>
  <c r="W164" i="57"/>
  <c r="W165" i="57"/>
  <c r="W166" i="57"/>
  <c r="W167" i="57"/>
  <c r="W168" i="57"/>
  <c r="W169" i="57"/>
  <c r="W170" i="57"/>
  <c r="W171" i="57"/>
  <c r="W172" i="57"/>
  <c r="W173" i="57"/>
  <c r="W174" i="57"/>
  <c r="W175" i="57"/>
  <c r="W176" i="57"/>
  <c r="W177" i="57"/>
  <c r="W178" i="57"/>
  <c r="W179" i="57"/>
  <c r="W180" i="57"/>
  <c r="W181" i="57"/>
  <c r="W182" i="57"/>
  <c r="W183" i="57"/>
  <c r="W184" i="57"/>
  <c r="W185" i="57"/>
  <c r="W186" i="57"/>
  <c r="W187" i="57"/>
  <c r="W188" i="57"/>
  <c r="W189" i="57"/>
  <c r="W190" i="57"/>
  <c r="W191" i="57"/>
  <c r="W192" i="57"/>
  <c r="W193" i="57"/>
  <c r="W194" i="57"/>
  <c r="W195" i="57"/>
  <c r="W196" i="57"/>
  <c r="W197" i="57"/>
  <c r="W198" i="57"/>
  <c r="W199" i="57"/>
  <c r="W200" i="57"/>
  <c r="W201" i="57"/>
  <c r="W202" i="57"/>
  <c r="W203" i="57"/>
  <c r="W204" i="57"/>
  <c r="W205" i="57"/>
  <c r="W206" i="57"/>
  <c r="W207" i="57"/>
  <c r="W208" i="57"/>
  <c r="W209" i="57"/>
  <c r="W210" i="57"/>
  <c r="W211" i="57"/>
  <c r="W212" i="57"/>
  <c r="W213" i="57"/>
  <c r="W214" i="57"/>
  <c r="W215" i="57"/>
  <c r="W216" i="57"/>
  <c r="W217" i="57"/>
  <c r="W218" i="57"/>
  <c r="W219" i="57"/>
  <c r="W220" i="57"/>
  <c r="W221" i="57"/>
  <c r="W222" i="57"/>
  <c r="W223" i="57"/>
  <c r="W224" i="57"/>
  <c r="W225" i="57"/>
  <c r="W226" i="57"/>
  <c r="W227" i="57"/>
  <c r="W228" i="57"/>
  <c r="W229" i="57"/>
  <c r="W230" i="57"/>
  <c r="W231" i="57"/>
  <c r="W232" i="57"/>
  <c r="W233" i="57"/>
  <c r="W234" i="57"/>
  <c r="W235" i="57"/>
  <c r="W236" i="57"/>
  <c r="W237" i="57"/>
  <c r="W238" i="57"/>
  <c r="W239" i="57"/>
  <c r="W240" i="57"/>
  <c r="W241" i="57"/>
  <c r="W242" i="57"/>
  <c r="W243" i="57"/>
  <c r="W244" i="57"/>
  <c r="W245" i="57"/>
  <c r="W246" i="57"/>
  <c r="W247" i="57"/>
  <c r="W248" i="57"/>
  <c r="W249" i="57"/>
  <c r="W250" i="57"/>
  <c r="W251" i="57"/>
  <c r="W252" i="57"/>
  <c r="W253" i="57"/>
  <c r="W254" i="57"/>
  <c r="W255" i="57"/>
  <c r="W256" i="57"/>
  <c r="W257" i="57"/>
  <c r="W12" i="57"/>
  <c r="V13" i="57"/>
  <c r="V14" i="57"/>
  <c r="V15" i="57"/>
  <c r="V16" i="57"/>
  <c r="V17" i="57"/>
  <c r="V18" i="57"/>
  <c r="V19" i="57"/>
  <c r="V20" i="57"/>
  <c r="V21" i="57"/>
  <c r="V22" i="57"/>
  <c r="V23" i="57"/>
  <c r="V24" i="57"/>
  <c r="V25" i="57"/>
  <c r="V26" i="57"/>
  <c r="V27" i="57"/>
  <c r="V28" i="57"/>
  <c r="V29" i="57"/>
  <c r="V30" i="57"/>
  <c r="V31" i="57"/>
  <c r="V32" i="57"/>
  <c r="V33" i="57"/>
  <c r="V34" i="57"/>
  <c r="V35" i="57"/>
  <c r="V36" i="57"/>
  <c r="V37" i="57"/>
  <c r="V38" i="57"/>
  <c r="V39" i="57"/>
  <c r="V40" i="57"/>
  <c r="V41" i="57"/>
  <c r="V42" i="57"/>
  <c r="V43" i="57"/>
  <c r="V44" i="57"/>
  <c r="V45" i="57"/>
  <c r="V46" i="57"/>
  <c r="V47" i="57"/>
  <c r="V48" i="57"/>
  <c r="V49" i="57"/>
  <c r="V50" i="57"/>
  <c r="V51" i="57"/>
  <c r="V52" i="57"/>
  <c r="V53" i="57"/>
  <c r="V54" i="57"/>
  <c r="V55" i="57"/>
  <c r="V56" i="57"/>
  <c r="V57" i="57"/>
  <c r="V58" i="57"/>
  <c r="V59" i="57"/>
  <c r="V60" i="57"/>
  <c r="V61" i="57"/>
  <c r="V62" i="57"/>
  <c r="V63" i="57"/>
  <c r="V64" i="57"/>
  <c r="V65" i="57"/>
  <c r="V66" i="57"/>
  <c r="V67" i="57"/>
  <c r="V68" i="57"/>
  <c r="V69" i="57"/>
  <c r="V70" i="57"/>
  <c r="V71" i="57"/>
  <c r="V72" i="57"/>
  <c r="V73" i="57"/>
  <c r="V74" i="57"/>
  <c r="V75" i="57"/>
  <c r="V76" i="57"/>
  <c r="V77" i="57"/>
  <c r="V78" i="57"/>
  <c r="V79" i="57"/>
  <c r="V80" i="57"/>
  <c r="V81" i="57"/>
  <c r="V82" i="57"/>
  <c r="V83" i="57"/>
  <c r="V84" i="57"/>
  <c r="V85" i="57"/>
  <c r="V86" i="57"/>
  <c r="V87" i="57"/>
  <c r="V88" i="57"/>
  <c r="V89" i="57"/>
  <c r="V90" i="57"/>
  <c r="V91" i="57"/>
  <c r="V92" i="57"/>
  <c r="V93" i="57"/>
  <c r="V94" i="57"/>
  <c r="V95" i="57"/>
  <c r="V96" i="57"/>
  <c r="V97" i="57"/>
  <c r="V98" i="57"/>
  <c r="V99" i="57"/>
  <c r="V100" i="57"/>
  <c r="V101" i="57"/>
  <c r="V102" i="57"/>
  <c r="V103" i="57"/>
  <c r="V104" i="57"/>
  <c r="V105" i="57"/>
  <c r="V106" i="57"/>
  <c r="V107" i="57"/>
  <c r="V108" i="57"/>
  <c r="V109" i="57"/>
  <c r="V110" i="57"/>
  <c r="V111" i="57"/>
  <c r="V112" i="57"/>
  <c r="V113" i="57"/>
  <c r="V114" i="57"/>
  <c r="V115" i="57"/>
  <c r="V116" i="57"/>
  <c r="V117" i="57"/>
  <c r="V118" i="57"/>
  <c r="V119" i="57"/>
  <c r="V120" i="57"/>
  <c r="V121" i="57"/>
  <c r="V122" i="57"/>
  <c r="V123" i="57"/>
  <c r="V124" i="57"/>
  <c r="V125" i="57"/>
  <c r="V126" i="57"/>
  <c r="V127" i="57"/>
  <c r="V128" i="57"/>
  <c r="V129" i="57"/>
  <c r="V130" i="57"/>
  <c r="V131" i="57"/>
  <c r="V132" i="57"/>
  <c r="V133" i="57"/>
  <c r="V134" i="57"/>
  <c r="V135" i="57"/>
  <c r="V136" i="57"/>
  <c r="V137" i="57"/>
  <c r="V138" i="57"/>
  <c r="V139" i="57"/>
  <c r="V140" i="57"/>
  <c r="V141" i="57"/>
  <c r="V142" i="57"/>
  <c r="V143" i="57"/>
  <c r="V144" i="57"/>
  <c r="V145" i="57"/>
  <c r="V146" i="57"/>
  <c r="V147" i="57"/>
  <c r="V148" i="57"/>
  <c r="V149" i="57"/>
  <c r="V150" i="57"/>
  <c r="V151" i="57"/>
  <c r="V152" i="57"/>
  <c r="V153" i="57"/>
  <c r="V154" i="57"/>
  <c r="V155" i="57"/>
  <c r="V156" i="57"/>
  <c r="V157" i="57"/>
  <c r="V158" i="57"/>
  <c r="V159" i="57"/>
  <c r="V160" i="57"/>
  <c r="V161" i="57"/>
  <c r="V162" i="57"/>
  <c r="V163" i="57"/>
  <c r="V164" i="57"/>
  <c r="V165" i="57"/>
  <c r="V166" i="57"/>
  <c r="V167" i="57"/>
  <c r="V168" i="57"/>
  <c r="V169" i="57"/>
  <c r="V170" i="57"/>
  <c r="V171" i="57"/>
  <c r="V172" i="57"/>
  <c r="V173" i="57"/>
  <c r="V174" i="57"/>
  <c r="V175" i="57"/>
  <c r="V176" i="57"/>
  <c r="V177" i="57"/>
  <c r="V178" i="57"/>
  <c r="V179" i="57"/>
  <c r="V180" i="57"/>
  <c r="V181" i="57"/>
  <c r="V182" i="57"/>
  <c r="V183" i="57"/>
  <c r="V184" i="57"/>
  <c r="V185" i="57"/>
  <c r="V186" i="57"/>
  <c r="V187" i="57"/>
  <c r="V188" i="57"/>
  <c r="V189" i="57"/>
  <c r="V190" i="57"/>
  <c r="V191" i="57"/>
  <c r="V192" i="57"/>
  <c r="V193" i="57"/>
  <c r="V194" i="57"/>
  <c r="V195" i="57"/>
  <c r="V196" i="57"/>
  <c r="V197" i="57"/>
  <c r="V198" i="57"/>
  <c r="V199" i="57"/>
  <c r="V200" i="57"/>
  <c r="V201" i="57"/>
  <c r="V202" i="57"/>
  <c r="V203" i="57"/>
  <c r="V204" i="57"/>
  <c r="V205" i="57"/>
  <c r="V206" i="57"/>
  <c r="V207" i="57"/>
  <c r="V208" i="57"/>
  <c r="V209" i="57"/>
  <c r="V210" i="57"/>
  <c r="V211" i="57"/>
  <c r="V212" i="57"/>
  <c r="V213" i="57"/>
  <c r="V214" i="57"/>
  <c r="V215" i="57"/>
  <c r="V216" i="57"/>
  <c r="V217" i="57"/>
  <c r="V218" i="57"/>
  <c r="V219" i="57"/>
  <c r="V220" i="57"/>
  <c r="V221" i="57"/>
  <c r="V222" i="57"/>
  <c r="V223" i="57"/>
  <c r="V224" i="57"/>
  <c r="V225" i="57"/>
  <c r="V226" i="57"/>
  <c r="V227" i="57"/>
  <c r="V228" i="57"/>
  <c r="V229" i="57"/>
  <c r="V230" i="57"/>
  <c r="V231" i="57"/>
  <c r="V232" i="57"/>
  <c r="V233" i="57"/>
  <c r="V234" i="57"/>
  <c r="V235" i="57"/>
  <c r="V236" i="57"/>
  <c r="V237" i="57"/>
  <c r="V238" i="57"/>
  <c r="V239" i="57"/>
  <c r="V240" i="57"/>
  <c r="V241" i="57"/>
  <c r="V242" i="57"/>
  <c r="V243" i="57"/>
  <c r="V244" i="57"/>
  <c r="V245" i="57"/>
  <c r="V246" i="57"/>
  <c r="V247" i="57"/>
  <c r="V248" i="57"/>
  <c r="V249" i="57"/>
  <c r="V250" i="57"/>
  <c r="V251" i="57"/>
  <c r="V252" i="57"/>
  <c r="V253" i="57"/>
  <c r="V254" i="57"/>
  <c r="V255" i="57"/>
  <c r="V256" i="57"/>
  <c r="V257" i="57"/>
  <c r="V12" i="57"/>
  <c r="W257" i="53"/>
  <c r="W14" i="53"/>
  <c r="W15" i="53"/>
  <c r="W16" i="53"/>
  <c r="W17" i="53"/>
  <c r="W18" i="53"/>
  <c r="W19" i="53"/>
  <c r="W20" i="53"/>
  <c r="W21" i="53"/>
  <c r="W22" i="53"/>
  <c r="W23" i="53"/>
  <c r="W24" i="53"/>
  <c r="W25" i="53"/>
  <c r="W26" i="53"/>
  <c r="W27" i="53"/>
  <c r="W28" i="53"/>
  <c r="W29" i="53"/>
  <c r="W30" i="53"/>
  <c r="W31" i="53"/>
  <c r="W32" i="53"/>
  <c r="W33" i="53"/>
  <c r="W34" i="53"/>
  <c r="W35" i="53"/>
  <c r="W36" i="53"/>
  <c r="W37" i="53"/>
  <c r="W38" i="53"/>
  <c r="W39" i="53"/>
  <c r="W40" i="53"/>
  <c r="W41" i="53"/>
  <c r="W42" i="53"/>
  <c r="W43" i="53"/>
  <c r="W44" i="53"/>
  <c r="W45" i="53"/>
  <c r="W46" i="53"/>
  <c r="W47" i="53"/>
  <c r="W48" i="53"/>
  <c r="W49" i="53"/>
  <c r="W50" i="53"/>
  <c r="W51" i="53"/>
  <c r="W52" i="53"/>
  <c r="W53" i="53"/>
  <c r="W54" i="53"/>
  <c r="W55" i="53"/>
  <c r="W56" i="53"/>
  <c r="W57" i="53"/>
  <c r="W58" i="53"/>
  <c r="W59" i="53"/>
  <c r="W60" i="53"/>
  <c r="W61" i="53"/>
  <c r="W62" i="53"/>
  <c r="W63" i="53"/>
  <c r="W64" i="53"/>
  <c r="W65" i="53"/>
  <c r="W66" i="53"/>
  <c r="W67" i="53"/>
  <c r="W68" i="53"/>
  <c r="W69" i="53"/>
  <c r="W70" i="53"/>
  <c r="W71" i="53"/>
  <c r="W72" i="53"/>
  <c r="W73" i="53"/>
  <c r="W74" i="53"/>
  <c r="W75" i="53"/>
  <c r="W76" i="53"/>
  <c r="W77" i="53"/>
  <c r="W78" i="53"/>
  <c r="W79" i="53"/>
  <c r="W80" i="53"/>
  <c r="W81" i="53"/>
  <c r="W82" i="53"/>
  <c r="W83" i="53"/>
  <c r="W84" i="53"/>
  <c r="W85" i="53"/>
  <c r="W86" i="53"/>
  <c r="W87" i="53"/>
  <c r="W88" i="53"/>
  <c r="W89" i="53"/>
  <c r="W90" i="53"/>
  <c r="W91" i="53"/>
  <c r="W92" i="53"/>
  <c r="W93" i="53"/>
  <c r="W94" i="53"/>
  <c r="W95" i="53"/>
  <c r="W96" i="53"/>
  <c r="W97" i="53"/>
  <c r="W98" i="53"/>
  <c r="W99" i="53"/>
  <c r="W100" i="53"/>
  <c r="W101" i="53"/>
  <c r="W102" i="53"/>
  <c r="W103" i="53"/>
  <c r="W104" i="53"/>
  <c r="W105" i="53"/>
  <c r="W106" i="53"/>
  <c r="W107" i="53"/>
  <c r="W108" i="53"/>
  <c r="W109" i="53"/>
  <c r="W110" i="53"/>
  <c r="W111" i="53"/>
  <c r="W112" i="53"/>
  <c r="W113" i="53"/>
  <c r="W114" i="53"/>
  <c r="W115" i="53"/>
  <c r="W116" i="53"/>
  <c r="W117" i="53"/>
  <c r="W118" i="53"/>
  <c r="W119" i="53"/>
  <c r="W120" i="53"/>
  <c r="W121" i="53"/>
  <c r="W122" i="53"/>
  <c r="W123" i="53"/>
  <c r="W124" i="53"/>
  <c r="W125" i="53"/>
  <c r="W126" i="53"/>
  <c r="W127" i="53"/>
  <c r="W128" i="53"/>
  <c r="W129" i="53"/>
  <c r="W130" i="53"/>
  <c r="W131" i="53"/>
  <c r="W132" i="53"/>
  <c r="W133" i="53"/>
  <c r="W134" i="53"/>
  <c r="W135" i="53"/>
  <c r="W136" i="53"/>
  <c r="W137" i="53"/>
  <c r="W138" i="53"/>
  <c r="W139" i="53"/>
  <c r="W140" i="53"/>
  <c r="W141" i="53"/>
  <c r="W142" i="53"/>
  <c r="W143" i="53"/>
  <c r="W144" i="53"/>
  <c r="W145" i="53"/>
  <c r="W146" i="53"/>
  <c r="W147" i="53"/>
  <c r="W148" i="53"/>
  <c r="W149" i="53"/>
  <c r="W150" i="53"/>
  <c r="W151" i="53"/>
  <c r="W152" i="53"/>
  <c r="W153" i="53"/>
  <c r="W154" i="53"/>
  <c r="W155" i="53"/>
  <c r="W156" i="53"/>
  <c r="W157" i="53"/>
  <c r="W158" i="53"/>
  <c r="W159" i="53"/>
  <c r="W160" i="53"/>
  <c r="W161" i="53"/>
  <c r="W162" i="53"/>
  <c r="W163" i="53"/>
  <c r="W164" i="53"/>
  <c r="W165" i="53"/>
  <c r="W166" i="53"/>
  <c r="W167" i="53"/>
  <c r="W168" i="53"/>
  <c r="W169" i="53"/>
  <c r="W170" i="53"/>
  <c r="W171" i="53"/>
  <c r="W172" i="53"/>
  <c r="W173" i="53"/>
  <c r="W174" i="53"/>
  <c r="W175" i="53"/>
  <c r="W176" i="53"/>
  <c r="W177" i="53"/>
  <c r="W178" i="53"/>
  <c r="W179" i="53"/>
  <c r="W180" i="53"/>
  <c r="W181" i="53"/>
  <c r="W182" i="53"/>
  <c r="W183" i="53"/>
  <c r="W184" i="53"/>
  <c r="W185" i="53"/>
  <c r="W186" i="53"/>
  <c r="W187" i="53"/>
  <c r="W188" i="53"/>
  <c r="W189" i="53"/>
  <c r="W190" i="53"/>
  <c r="W191" i="53"/>
  <c r="W192" i="53"/>
  <c r="W193" i="53"/>
  <c r="W194" i="53"/>
  <c r="W195" i="53"/>
  <c r="W196" i="53"/>
  <c r="W197" i="53"/>
  <c r="W198" i="53"/>
  <c r="W199" i="53"/>
  <c r="W200" i="53"/>
  <c r="W201" i="53"/>
  <c r="W202" i="53"/>
  <c r="W203" i="53"/>
  <c r="W204" i="53"/>
  <c r="W205" i="53"/>
  <c r="W206" i="53"/>
  <c r="W207" i="53"/>
  <c r="W208" i="53"/>
  <c r="W209" i="53"/>
  <c r="W210" i="53"/>
  <c r="W211" i="53"/>
  <c r="W212" i="53"/>
  <c r="W213" i="53"/>
  <c r="W214" i="53"/>
  <c r="W215" i="53"/>
  <c r="W216" i="53"/>
  <c r="W217" i="53"/>
  <c r="W218" i="53"/>
  <c r="W219" i="53"/>
  <c r="W220" i="53"/>
  <c r="W221" i="53"/>
  <c r="W222" i="53"/>
  <c r="W223" i="53"/>
  <c r="W224" i="53"/>
  <c r="W225" i="53"/>
  <c r="W226" i="53"/>
  <c r="W227" i="53"/>
  <c r="W228" i="53"/>
  <c r="W229" i="53"/>
  <c r="W230" i="53"/>
  <c r="W231" i="53"/>
  <c r="W232" i="53"/>
  <c r="W233" i="53"/>
  <c r="W234" i="53"/>
  <c r="W235" i="53"/>
  <c r="W236" i="53"/>
  <c r="W237" i="53"/>
  <c r="W238" i="53"/>
  <c r="W239" i="53"/>
  <c r="W240" i="53"/>
  <c r="W241" i="53"/>
  <c r="W242" i="53"/>
  <c r="W243" i="53"/>
  <c r="W244" i="53"/>
  <c r="W245" i="53"/>
  <c r="W246" i="53"/>
  <c r="W247" i="53"/>
  <c r="W248" i="53"/>
  <c r="W249" i="53"/>
  <c r="W250" i="53"/>
  <c r="W251" i="53"/>
  <c r="W252" i="53"/>
  <c r="W253" i="53"/>
  <c r="W254" i="53"/>
  <c r="W255" i="53"/>
  <c r="W256" i="53"/>
  <c r="W13" i="53"/>
  <c r="W12" i="53"/>
  <c r="V257" i="53"/>
  <c r="V13" i="53"/>
  <c r="V14" i="53"/>
  <c r="V15" i="53"/>
  <c r="V16" i="53"/>
  <c r="V17" i="53"/>
  <c r="V18" i="53"/>
  <c r="V19" i="53"/>
  <c r="V20" i="53"/>
  <c r="V21" i="53"/>
  <c r="V22" i="53"/>
  <c r="V23" i="53"/>
  <c r="V24" i="53"/>
  <c r="V25" i="53"/>
  <c r="V26" i="53"/>
  <c r="V27" i="53"/>
  <c r="V28" i="53"/>
  <c r="V29" i="53"/>
  <c r="V30" i="53"/>
  <c r="V31" i="53"/>
  <c r="V32" i="53"/>
  <c r="V33" i="53"/>
  <c r="V34" i="53"/>
  <c r="V35" i="53"/>
  <c r="V36" i="53"/>
  <c r="V37" i="53"/>
  <c r="V38" i="53"/>
  <c r="V39" i="53"/>
  <c r="V40" i="53"/>
  <c r="V41" i="53"/>
  <c r="V42" i="53"/>
  <c r="V43" i="53"/>
  <c r="V44" i="53"/>
  <c r="V45" i="53"/>
  <c r="V46" i="53"/>
  <c r="V47" i="53"/>
  <c r="V48" i="53"/>
  <c r="V49" i="53"/>
  <c r="V50" i="53"/>
  <c r="V51" i="53"/>
  <c r="V52" i="53"/>
  <c r="V53" i="53"/>
  <c r="V54" i="53"/>
  <c r="V55" i="53"/>
  <c r="V56" i="53"/>
  <c r="V57" i="53"/>
  <c r="V58" i="53"/>
  <c r="V59" i="53"/>
  <c r="V60" i="53"/>
  <c r="V61" i="53"/>
  <c r="V62" i="53"/>
  <c r="V63" i="53"/>
  <c r="V64" i="53"/>
  <c r="V65" i="53"/>
  <c r="V66" i="53"/>
  <c r="V67" i="53"/>
  <c r="V68" i="53"/>
  <c r="V69" i="53"/>
  <c r="V70" i="53"/>
  <c r="V71" i="53"/>
  <c r="V72" i="53"/>
  <c r="V73" i="53"/>
  <c r="V74" i="53"/>
  <c r="V75" i="53"/>
  <c r="V76" i="53"/>
  <c r="V77" i="53"/>
  <c r="V78" i="53"/>
  <c r="V79" i="53"/>
  <c r="V80" i="53"/>
  <c r="V81" i="53"/>
  <c r="V82" i="53"/>
  <c r="V83" i="53"/>
  <c r="V84" i="53"/>
  <c r="V85" i="53"/>
  <c r="V86" i="53"/>
  <c r="V87" i="53"/>
  <c r="V88" i="53"/>
  <c r="V89" i="53"/>
  <c r="V90" i="53"/>
  <c r="V91" i="53"/>
  <c r="V92" i="53"/>
  <c r="V93" i="53"/>
  <c r="V94" i="53"/>
  <c r="V95" i="53"/>
  <c r="V96" i="53"/>
  <c r="V97" i="53"/>
  <c r="V98" i="53"/>
  <c r="V99" i="53"/>
  <c r="V100" i="53"/>
  <c r="V101" i="53"/>
  <c r="V102" i="53"/>
  <c r="V103" i="53"/>
  <c r="V104" i="53"/>
  <c r="V105" i="53"/>
  <c r="V106" i="53"/>
  <c r="V107" i="53"/>
  <c r="V108" i="53"/>
  <c r="V109" i="53"/>
  <c r="V110" i="53"/>
  <c r="V111" i="53"/>
  <c r="V112" i="53"/>
  <c r="V113" i="53"/>
  <c r="V114" i="53"/>
  <c r="V115" i="53"/>
  <c r="V116" i="53"/>
  <c r="V117" i="53"/>
  <c r="V118" i="53"/>
  <c r="V119" i="53"/>
  <c r="V120" i="53"/>
  <c r="V121" i="53"/>
  <c r="V122" i="53"/>
  <c r="V123" i="53"/>
  <c r="V124" i="53"/>
  <c r="V125" i="53"/>
  <c r="V126" i="53"/>
  <c r="V127" i="53"/>
  <c r="V128" i="53"/>
  <c r="V129" i="53"/>
  <c r="V130" i="53"/>
  <c r="V131" i="53"/>
  <c r="V132" i="53"/>
  <c r="V133" i="53"/>
  <c r="V134" i="53"/>
  <c r="V135" i="53"/>
  <c r="V136" i="53"/>
  <c r="V137" i="53"/>
  <c r="V138" i="53"/>
  <c r="V139" i="53"/>
  <c r="V140" i="53"/>
  <c r="V141" i="53"/>
  <c r="V142" i="53"/>
  <c r="V143" i="53"/>
  <c r="V144" i="53"/>
  <c r="V145" i="53"/>
  <c r="V146" i="53"/>
  <c r="V147" i="53"/>
  <c r="V148" i="53"/>
  <c r="V149" i="53"/>
  <c r="V150" i="53"/>
  <c r="V151" i="53"/>
  <c r="V152" i="53"/>
  <c r="V153" i="53"/>
  <c r="V154" i="53"/>
  <c r="V155" i="53"/>
  <c r="V156" i="53"/>
  <c r="V157" i="53"/>
  <c r="V158" i="53"/>
  <c r="V159" i="53"/>
  <c r="V160" i="53"/>
  <c r="V161" i="53"/>
  <c r="V162" i="53"/>
  <c r="V163" i="53"/>
  <c r="V164" i="53"/>
  <c r="V165" i="53"/>
  <c r="V166" i="53"/>
  <c r="V167" i="53"/>
  <c r="V168" i="53"/>
  <c r="V169" i="53"/>
  <c r="V170" i="53"/>
  <c r="V171" i="53"/>
  <c r="V172" i="53"/>
  <c r="V173" i="53"/>
  <c r="V174" i="53"/>
  <c r="V175" i="53"/>
  <c r="V176" i="53"/>
  <c r="V177" i="53"/>
  <c r="V178" i="53"/>
  <c r="V179" i="53"/>
  <c r="V180" i="53"/>
  <c r="V181" i="53"/>
  <c r="V182" i="53"/>
  <c r="V183" i="53"/>
  <c r="V184" i="53"/>
  <c r="V185" i="53"/>
  <c r="V186" i="53"/>
  <c r="V187" i="53"/>
  <c r="V188" i="53"/>
  <c r="V189" i="53"/>
  <c r="V190" i="53"/>
  <c r="V191" i="53"/>
  <c r="V192" i="53"/>
  <c r="V193" i="53"/>
  <c r="V194" i="53"/>
  <c r="V195" i="53"/>
  <c r="V196" i="53"/>
  <c r="V197" i="53"/>
  <c r="V198" i="53"/>
  <c r="V199" i="53"/>
  <c r="V200" i="53"/>
  <c r="V201" i="53"/>
  <c r="V202" i="53"/>
  <c r="V203" i="53"/>
  <c r="V204" i="53"/>
  <c r="V205" i="53"/>
  <c r="V206" i="53"/>
  <c r="V207" i="53"/>
  <c r="V208" i="53"/>
  <c r="V209" i="53"/>
  <c r="V210" i="53"/>
  <c r="V211" i="53"/>
  <c r="V212" i="53"/>
  <c r="V213" i="53"/>
  <c r="V214" i="53"/>
  <c r="V215" i="53"/>
  <c r="V216" i="53"/>
  <c r="V217" i="53"/>
  <c r="V218" i="53"/>
  <c r="V219" i="53"/>
  <c r="V220" i="53"/>
  <c r="V221" i="53"/>
  <c r="V222" i="53"/>
  <c r="V223" i="53"/>
  <c r="V224" i="53"/>
  <c r="V225" i="53"/>
  <c r="V226" i="53"/>
  <c r="V227" i="53"/>
  <c r="V228" i="53"/>
  <c r="V229" i="53"/>
  <c r="V230" i="53"/>
  <c r="V231" i="53"/>
  <c r="V232" i="53"/>
  <c r="V233" i="53"/>
  <c r="V234" i="53"/>
  <c r="V235" i="53"/>
  <c r="V236" i="53"/>
  <c r="V237" i="53"/>
  <c r="V238" i="53"/>
  <c r="V239" i="53"/>
  <c r="V240" i="53"/>
  <c r="V241" i="53"/>
  <c r="V242" i="53"/>
  <c r="V243" i="53"/>
  <c r="V244" i="53"/>
  <c r="V245" i="53"/>
  <c r="V246" i="53"/>
  <c r="V247" i="53"/>
  <c r="V248" i="53"/>
  <c r="V249" i="53"/>
  <c r="V250" i="53"/>
  <c r="V251" i="53"/>
  <c r="V252" i="53"/>
  <c r="V253" i="53"/>
  <c r="V254" i="53"/>
  <c r="V255" i="53"/>
  <c r="V256" i="53"/>
  <c r="V12" i="53"/>
  <c r="M11" i="71"/>
  <c r="T38" i="42"/>
  <c r="T39" i="42"/>
  <c r="T40" i="42"/>
  <c r="T41" i="42"/>
  <c r="T42" i="42"/>
  <c r="T43" i="42"/>
  <c r="T44" i="42"/>
  <c r="T45" i="42"/>
  <c r="T46" i="42"/>
  <c r="T47" i="42"/>
  <c r="T48" i="42"/>
  <c r="T49" i="42"/>
  <c r="T50" i="42"/>
  <c r="T51" i="42"/>
  <c r="T52" i="42"/>
  <c r="T53" i="42"/>
  <c r="T54" i="42"/>
  <c r="T55" i="42"/>
  <c r="T56" i="42"/>
  <c r="T57" i="42"/>
  <c r="T58" i="42"/>
  <c r="T59" i="42"/>
  <c r="T60" i="42"/>
  <c r="T61" i="42"/>
  <c r="T62" i="42"/>
  <c r="T63" i="42"/>
  <c r="T64" i="42"/>
  <c r="T65" i="42"/>
  <c r="T66" i="42"/>
  <c r="T67" i="42"/>
  <c r="T68" i="42"/>
  <c r="T69" i="42"/>
  <c r="T70" i="42"/>
  <c r="T71" i="42"/>
  <c r="T72" i="42"/>
  <c r="T73" i="42"/>
  <c r="T74" i="42"/>
  <c r="T75" i="42"/>
  <c r="T76" i="42"/>
  <c r="T77" i="42"/>
  <c r="T78" i="42"/>
  <c r="T79" i="42"/>
  <c r="T80" i="42"/>
  <c r="T81" i="42"/>
  <c r="T82" i="42"/>
  <c r="T83" i="42"/>
  <c r="T84" i="42"/>
  <c r="T85" i="42"/>
  <c r="T86" i="42"/>
  <c r="T87" i="42"/>
  <c r="T88" i="42"/>
  <c r="T89" i="42"/>
  <c r="T90" i="42"/>
  <c r="T91" i="42"/>
  <c r="T92" i="42"/>
  <c r="T93" i="42"/>
  <c r="T94" i="42"/>
  <c r="T95" i="42"/>
  <c r="T96" i="42"/>
  <c r="T97" i="42"/>
  <c r="T98" i="42"/>
  <c r="T99" i="42"/>
  <c r="T100" i="42"/>
  <c r="T101" i="42"/>
  <c r="T102" i="42"/>
  <c r="T103" i="42"/>
  <c r="T104" i="42"/>
  <c r="T105" i="42"/>
  <c r="T106" i="42"/>
  <c r="T107" i="42"/>
  <c r="T108" i="42"/>
  <c r="T109" i="42"/>
  <c r="T110" i="42"/>
  <c r="T111" i="42"/>
  <c r="T112" i="42"/>
  <c r="T113" i="42"/>
  <c r="T114" i="42"/>
  <c r="T115" i="42"/>
  <c r="T116" i="42"/>
  <c r="T117" i="42"/>
  <c r="T118" i="42"/>
  <c r="T119" i="42"/>
  <c r="T120" i="42"/>
  <c r="T121" i="42"/>
  <c r="T122" i="42"/>
  <c r="T123" i="42"/>
  <c r="T124" i="42"/>
  <c r="T125" i="42"/>
  <c r="T126" i="42"/>
  <c r="T127" i="42"/>
  <c r="T128" i="42"/>
  <c r="T129" i="42"/>
  <c r="T130" i="42"/>
  <c r="T131" i="42"/>
  <c r="T132" i="42"/>
  <c r="T133" i="42"/>
  <c r="T134" i="42"/>
  <c r="T135" i="42"/>
  <c r="T136" i="42"/>
  <c r="T137" i="42"/>
  <c r="T138" i="42"/>
  <c r="T139" i="42"/>
  <c r="T140" i="42"/>
  <c r="T141" i="42"/>
  <c r="T142" i="42"/>
  <c r="T143" i="42"/>
  <c r="T144" i="42"/>
  <c r="T145" i="42"/>
  <c r="T146" i="42"/>
  <c r="T147" i="42"/>
  <c r="T148" i="42"/>
  <c r="T149" i="42"/>
  <c r="T150" i="42"/>
  <c r="T151" i="42"/>
  <c r="T152" i="42"/>
  <c r="T153" i="42"/>
  <c r="T154" i="42"/>
  <c r="T155" i="42"/>
  <c r="T156" i="42"/>
  <c r="T157" i="42"/>
  <c r="T158" i="42"/>
  <c r="T159" i="42"/>
  <c r="T160" i="42"/>
  <c r="T161" i="42"/>
  <c r="T162" i="42"/>
  <c r="T163" i="42"/>
  <c r="T164" i="42"/>
  <c r="T165" i="42"/>
  <c r="T166" i="42"/>
  <c r="T167" i="42"/>
  <c r="T168" i="42"/>
  <c r="T169" i="42"/>
  <c r="T170" i="42"/>
  <c r="T171" i="42"/>
  <c r="T172" i="42"/>
  <c r="T173" i="42"/>
  <c r="T174" i="42"/>
  <c r="T175" i="42"/>
  <c r="T176" i="42"/>
  <c r="T177" i="42"/>
  <c r="T178" i="42"/>
  <c r="T179" i="42"/>
  <c r="T180" i="42"/>
  <c r="T181" i="42"/>
  <c r="T182" i="42"/>
  <c r="T183" i="42"/>
  <c r="T184" i="42"/>
  <c r="T185" i="42"/>
  <c r="T186" i="42"/>
  <c r="T187" i="42"/>
  <c r="T188" i="42"/>
  <c r="T189" i="42"/>
  <c r="T190" i="42"/>
  <c r="T191" i="42"/>
  <c r="T192" i="42"/>
  <c r="T193" i="42"/>
  <c r="T194" i="42"/>
  <c r="T195" i="42"/>
  <c r="T196" i="42"/>
  <c r="T197" i="42"/>
  <c r="T198" i="42"/>
  <c r="T199" i="42"/>
  <c r="T200" i="42"/>
  <c r="T201" i="42"/>
  <c r="T202" i="42"/>
  <c r="T203" i="42"/>
  <c r="T204" i="42"/>
  <c r="T205" i="42"/>
  <c r="T206" i="42"/>
  <c r="T207" i="42"/>
  <c r="T208" i="42"/>
  <c r="T209" i="42"/>
  <c r="T210" i="42"/>
  <c r="T211" i="42"/>
  <c r="T212" i="42"/>
  <c r="T213" i="42"/>
  <c r="T214" i="42"/>
  <c r="T215" i="42"/>
  <c r="T216" i="42"/>
  <c r="T217" i="42"/>
  <c r="T218" i="42"/>
  <c r="T219" i="42"/>
  <c r="T220" i="42"/>
  <c r="T221" i="42"/>
  <c r="T222" i="42"/>
  <c r="T223" i="42"/>
  <c r="T224" i="42"/>
  <c r="T225" i="42"/>
  <c r="T226" i="42"/>
  <c r="T227" i="42"/>
  <c r="T228" i="42"/>
  <c r="T229" i="42"/>
  <c r="T230" i="42"/>
  <c r="T231" i="42"/>
  <c r="T232" i="42"/>
  <c r="T233" i="42"/>
  <c r="T234" i="42"/>
  <c r="T235" i="42"/>
  <c r="T236" i="42"/>
  <c r="T237" i="42"/>
  <c r="T238" i="42"/>
  <c r="T239" i="42"/>
  <c r="T240" i="42"/>
  <c r="T241" i="42"/>
  <c r="T242" i="42"/>
  <c r="T243" i="42"/>
  <c r="T244" i="42"/>
  <c r="T245" i="42"/>
  <c r="T246" i="42"/>
  <c r="T247" i="42"/>
  <c r="T248" i="42"/>
  <c r="T249" i="42"/>
  <c r="T250" i="42"/>
  <c r="T251" i="42"/>
  <c r="T252" i="42"/>
  <c r="T253" i="42"/>
  <c r="T254" i="42"/>
  <c r="T255" i="42"/>
  <c r="T256" i="42"/>
  <c r="T257" i="42"/>
  <c r="T258" i="42"/>
  <c r="T259" i="42"/>
  <c r="L259" i="42"/>
  <c r="L14" i="42"/>
  <c r="L15" i="42"/>
  <c r="L16" i="42"/>
  <c r="L17" i="42"/>
  <c r="L18" i="42"/>
  <c r="L19" i="42"/>
  <c r="L20" i="42"/>
  <c r="L21" i="42"/>
  <c r="L22" i="42"/>
  <c r="L23" i="42"/>
  <c r="L24" i="42"/>
  <c r="L25" i="42"/>
  <c r="L26" i="42"/>
  <c r="L27" i="42"/>
  <c r="L28" i="42"/>
  <c r="L29" i="42"/>
  <c r="L30" i="42"/>
  <c r="L31" i="42"/>
  <c r="L32" i="42"/>
  <c r="L33" i="42"/>
  <c r="L34" i="42"/>
  <c r="L35" i="42"/>
  <c r="L36" i="42"/>
  <c r="L37" i="42"/>
  <c r="L38" i="42"/>
  <c r="L39" i="42"/>
  <c r="L40" i="42"/>
  <c r="L41" i="42"/>
  <c r="L42" i="42"/>
  <c r="L43" i="42"/>
  <c r="L44" i="42"/>
  <c r="L45" i="42"/>
  <c r="L46" i="42"/>
  <c r="L47" i="42"/>
  <c r="L48" i="42"/>
  <c r="L49" i="42"/>
  <c r="L50" i="42"/>
  <c r="L51" i="42"/>
  <c r="L52" i="42"/>
  <c r="L53" i="42"/>
  <c r="L54" i="42"/>
  <c r="L55" i="42"/>
  <c r="L56" i="42"/>
  <c r="L57" i="42"/>
  <c r="L58" i="42"/>
  <c r="L59" i="42"/>
  <c r="L60" i="42"/>
  <c r="L61" i="42"/>
  <c r="L62" i="42"/>
  <c r="L63" i="42"/>
  <c r="L64" i="42"/>
  <c r="L65" i="42"/>
  <c r="L66" i="42"/>
  <c r="L67" i="42"/>
  <c r="L68" i="42"/>
  <c r="L69" i="42"/>
  <c r="L70" i="42"/>
  <c r="L71" i="42"/>
  <c r="L72" i="42"/>
  <c r="L73" i="42"/>
  <c r="L74" i="42"/>
  <c r="L75" i="42"/>
  <c r="L76" i="42"/>
  <c r="L77" i="42"/>
  <c r="L78" i="42"/>
  <c r="L79" i="42"/>
  <c r="L80" i="42"/>
  <c r="L81" i="42"/>
  <c r="L82" i="42"/>
  <c r="L83" i="42"/>
  <c r="L84" i="42"/>
  <c r="L85" i="42"/>
  <c r="L86" i="42"/>
  <c r="L87" i="42"/>
  <c r="L88" i="42"/>
  <c r="L89" i="42"/>
  <c r="L90" i="42"/>
  <c r="L91" i="42"/>
  <c r="L92" i="42"/>
  <c r="L93" i="42"/>
  <c r="L94" i="42"/>
  <c r="L95" i="42"/>
  <c r="L96" i="42"/>
  <c r="L97" i="42"/>
  <c r="L98" i="42"/>
  <c r="L99" i="42"/>
  <c r="L100" i="42"/>
  <c r="L101" i="42"/>
  <c r="L102" i="42"/>
  <c r="L103" i="42"/>
  <c r="L104" i="42"/>
  <c r="L105" i="42"/>
  <c r="L106" i="42"/>
  <c r="L107" i="42"/>
  <c r="L108" i="42"/>
  <c r="L109" i="42"/>
  <c r="L110" i="42"/>
  <c r="L111" i="42"/>
  <c r="L112" i="42"/>
  <c r="L113" i="42"/>
  <c r="L114" i="42"/>
  <c r="L115" i="42"/>
  <c r="L116" i="42"/>
  <c r="L117" i="42"/>
  <c r="L118" i="42"/>
  <c r="L119" i="42"/>
  <c r="L120" i="42"/>
  <c r="L121" i="42"/>
  <c r="L122" i="42"/>
  <c r="L123" i="42"/>
  <c r="L124" i="42"/>
  <c r="L125" i="42"/>
  <c r="L126" i="42"/>
  <c r="L127" i="42"/>
  <c r="L128" i="42"/>
  <c r="L129" i="42"/>
  <c r="L130" i="42"/>
  <c r="L131" i="42"/>
  <c r="L132" i="42"/>
  <c r="L133" i="42"/>
  <c r="L134" i="42"/>
  <c r="L135" i="42"/>
  <c r="L136" i="42"/>
  <c r="L137" i="42"/>
  <c r="L138" i="42"/>
  <c r="L139" i="42"/>
  <c r="L140" i="42"/>
  <c r="L141" i="42"/>
  <c r="L142" i="42"/>
  <c r="L143" i="42"/>
  <c r="L144" i="42"/>
  <c r="L145" i="42"/>
  <c r="L146" i="42"/>
  <c r="L147" i="42"/>
  <c r="L148" i="42"/>
  <c r="L149" i="42"/>
  <c r="L150" i="42"/>
  <c r="L151" i="42"/>
  <c r="L152" i="42"/>
  <c r="L153" i="42"/>
  <c r="L154" i="42"/>
  <c r="L155" i="42"/>
  <c r="L156" i="42"/>
  <c r="L157" i="42"/>
  <c r="L158" i="42"/>
  <c r="L159" i="42"/>
  <c r="L160" i="42"/>
  <c r="L161" i="42"/>
  <c r="L162" i="42"/>
  <c r="L163" i="42"/>
  <c r="L164" i="42"/>
  <c r="L165" i="42"/>
  <c r="L166" i="42"/>
  <c r="L167" i="42"/>
  <c r="L168" i="42"/>
  <c r="L169" i="42"/>
  <c r="L170" i="42"/>
  <c r="L171" i="42"/>
  <c r="L172" i="42"/>
  <c r="L173" i="42"/>
  <c r="L174" i="42"/>
  <c r="L175" i="42"/>
  <c r="L176" i="42"/>
  <c r="L177" i="42"/>
  <c r="L178" i="42"/>
  <c r="L179" i="42"/>
  <c r="L180" i="42"/>
  <c r="L181" i="42"/>
  <c r="L182" i="42"/>
  <c r="L183" i="42"/>
  <c r="L184" i="42"/>
  <c r="L185" i="42"/>
  <c r="L186" i="42"/>
  <c r="L187" i="42"/>
  <c r="L188" i="42"/>
  <c r="L189" i="42"/>
  <c r="L190" i="42"/>
  <c r="L191" i="42"/>
  <c r="L192" i="42"/>
  <c r="L193" i="42"/>
  <c r="L194" i="42"/>
  <c r="L195" i="42"/>
  <c r="L196" i="42"/>
  <c r="L197" i="42"/>
  <c r="L198" i="42"/>
  <c r="L199" i="42"/>
  <c r="L200" i="42"/>
  <c r="L201" i="42"/>
  <c r="L202" i="42"/>
  <c r="L203" i="42"/>
  <c r="L204" i="42"/>
  <c r="L205" i="42"/>
  <c r="L206" i="42"/>
  <c r="L207" i="42"/>
  <c r="L208" i="42"/>
  <c r="L209" i="42"/>
  <c r="L210" i="42"/>
  <c r="L211" i="42"/>
  <c r="L212" i="42"/>
  <c r="L213" i="42"/>
  <c r="L214" i="42"/>
  <c r="L215" i="42"/>
  <c r="L216" i="42"/>
  <c r="L217" i="42"/>
  <c r="L218" i="42"/>
  <c r="L219" i="42"/>
  <c r="L220" i="42"/>
  <c r="L221" i="42"/>
  <c r="L222" i="42"/>
  <c r="L223" i="42"/>
  <c r="L224" i="42"/>
  <c r="L225" i="42"/>
  <c r="L226" i="42"/>
  <c r="L227" i="42"/>
  <c r="L228" i="42"/>
  <c r="L229" i="42"/>
  <c r="L230" i="42"/>
  <c r="L231" i="42"/>
  <c r="L232" i="42"/>
  <c r="L233" i="42"/>
  <c r="L234" i="42"/>
  <c r="L235" i="42"/>
  <c r="L236" i="42"/>
  <c r="L237" i="42"/>
  <c r="L238" i="42"/>
  <c r="L239" i="42"/>
  <c r="L240" i="42"/>
  <c r="L241" i="42"/>
  <c r="L242" i="42"/>
  <c r="L243" i="42"/>
  <c r="L244" i="42"/>
  <c r="L245" i="42"/>
  <c r="L246" i="42"/>
  <c r="L247" i="42"/>
  <c r="L248" i="42"/>
  <c r="L249" i="42"/>
  <c r="L250" i="42"/>
  <c r="L251" i="42"/>
  <c r="L252" i="42"/>
  <c r="L253" i="42"/>
  <c r="L254" i="42"/>
  <c r="L255" i="42"/>
  <c r="L256" i="42"/>
  <c r="L257" i="42"/>
  <c r="L258" i="42"/>
  <c r="L13" i="42"/>
  <c r="L12" i="42"/>
  <c r="K259" i="42"/>
  <c r="K14" i="42"/>
  <c r="K15" i="42"/>
  <c r="K16" i="42"/>
  <c r="K17" i="42"/>
  <c r="K18" i="42"/>
  <c r="K19" i="42"/>
  <c r="K20" i="42"/>
  <c r="K21" i="42"/>
  <c r="K22" i="42"/>
  <c r="K23" i="42"/>
  <c r="K24" i="42"/>
  <c r="K25" i="42"/>
  <c r="K26" i="42"/>
  <c r="K27" i="42"/>
  <c r="K28" i="42"/>
  <c r="K29" i="42"/>
  <c r="K30" i="42"/>
  <c r="K31" i="42"/>
  <c r="K32" i="42"/>
  <c r="K33" i="42"/>
  <c r="K34" i="42"/>
  <c r="K35" i="42"/>
  <c r="K36" i="42"/>
  <c r="K37" i="42"/>
  <c r="K38" i="42"/>
  <c r="K39" i="42"/>
  <c r="K40" i="42"/>
  <c r="K41" i="42"/>
  <c r="K42" i="42"/>
  <c r="K43" i="42"/>
  <c r="K44" i="42"/>
  <c r="K45" i="42"/>
  <c r="K46" i="42"/>
  <c r="K47" i="42"/>
  <c r="K48" i="42"/>
  <c r="K49" i="42"/>
  <c r="K50" i="42"/>
  <c r="K51" i="42"/>
  <c r="K52" i="42"/>
  <c r="K53" i="42"/>
  <c r="K54" i="42"/>
  <c r="K55" i="42"/>
  <c r="K56" i="42"/>
  <c r="K57" i="42"/>
  <c r="K58" i="42"/>
  <c r="K59" i="42"/>
  <c r="K60" i="42"/>
  <c r="K61" i="42"/>
  <c r="K62" i="42"/>
  <c r="K63" i="42"/>
  <c r="K64" i="42"/>
  <c r="K65" i="42"/>
  <c r="K66" i="42"/>
  <c r="K67" i="42"/>
  <c r="K68" i="42"/>
  <c r="K69" i="42"/>
  <c r="K70" i="42"/>
  <c r="K71" i="42"/>
  <c r="K72" i="42"/>
  <c r="K73" i="42"/>
  <c r="K74" i="42"/>
  <c r="K75" i="42"/>
  <c r="K76" i="42"/>
  <c r="K77" i="42"/>
  <c r="K78" i="42"/>
  <c r="K79" i="42"/>
  <c r="K80" i="42"/>
  <c r="K81" i="42"/>
  <c r="K82" i="42"/>
  <c r="K83" i="42"/>
  <c r="K84" i="42"/>
  <c r="K85" i="42"/>
  <c r="K86" i="42"/>
  <c r="K87" i="42"/>
  <c r="K88" i="42"/>
  <c r="K89" i="42"/>
  <c r="K90" i="42"/>
  <c r="K91" i="42"/>
  <c r="K92" i="42"/>
  <c r="K93" i="42"/>
  <c r="K94" i="42"/>
  <c r="K95" i="42"/>
  <c r="K96" i="42"/>
  <c r="K97" i="42"/>
  <c r="K98" i="42"/>
  <c r="K99" i="42"/>
  <c r="K100" i="42"/>
  <c r="K101" i="42"/>
  <c r="K102" i="42"/>
  <c r="K103" i="42"/>
  <c r="K104" i="42"/>
  <c r="K105" i="42"/>
  <c r="K106" i="42"/>
  <c r="K107" i="42"/>
  <c r="K108" i="42"/>
  <c r="K109" i="42"/>
  <c r="K110" i="42"/>
  <c r="K111" i="42"/>
  <c r="K112" i="42"/>
  <c r="K113" i="42"/>
  <c r="K114" i="42"/>
  <c r="K115" i="42"/>
  <c r="K116" i="42"/>
  <c r="K117" i="42"/>
  <c r="K118" i="42"/>
  <c r="K119" i="42"/>
  <c r="K120" i="42"/>
  <c r="K121" i="42"/>
  <c r="K122" i="42"/>
  <c r="K123" i="42"/>
  <c r="K124" i="42"/>
  <c r="K125" i="42"/>
  <c r="K126" i="42"/>
  <c r="K127" i="42"/>
  <c r="K128" i="42"/>
  <c r="K129" i="42"/>
  <c r="K130" i="42"/>
  <c r="K131" i="42"/>
  <c r="K132" i="42"/>
  <c r="K133" i="42"/>
  <c r="K134" i="42"/>
  <c r="K135" i="42"/>
  <c r="K136" i="42"/>
  <c r="K137" i="42"/>
  <c r="K138" i="42"/>
  <c r="K139" i="42"/>
  <c r="K140" i="42"/>
  <c r="K141" i="42"/>
  <c r="K142" i="42"/>
  <c r="K143" i="42"/>
  <c r="K144" i="42"/>
  <c r="K145" i="42"/>
  <c r="K146" i="42"/>
  <c r="K147" i="42"/>
  <c r="K148" i="42"/>
  <c r="K149" i="42"/>
  <c r="K150" i="42"/>
  <c r="K151" i="42"/>
  <c r="K152" i="42"/>
  <c r="K153" i="42"/>
  <c r="K154" i="42"/>
  <c r="K155" i="42"/>
  <c r="K156" i="42"/>
  <c r="K157" i="42"/>
  <c r="K158" i="42"/>
  <c r="K159" i="42"/>
  <c r="K160" i="42"/>
  <c r="K161" i="42"/>
  <c r="K162" i="42"/>
  <c r="K163" i="42"/>
  <c r="K164" i="42"/>
  <c r="K165" i="42"/>
  <c r="K166" i="42"/>
  <c r="K167" i="42"/>
  <c r="K168" i="42"/>
  <c r="K169" i="42"/>
  <c r="K170" i="42"/>
  <c r="K171" i="42"/>
  <c r="K172" i="42"/>
  <c r="K173" i="42"/>
  <c r="K174" i="42"/>
  <c r="K175" i="42"/>
  <c r="K176" i="42"/>
  <c r="K177" i="42"/>
  <c r="K178" i="42"/>
  <c r="K179" i="42"/>
  <c r="K180" i="42"/>
  <c r="K181" i="42"/>
  <c r="K182" i="42"/>
  <c r="K183" i="42"/>
  <c r="K184" i="42"/>
  <c r="K185" i="42"/>
  <c r="K186" i="42"/>
  <c r="K187" i="42"/>
  <c r="K188" i="42"/>
  <c r="K189" i="42"/>
  <c r="K190" i="42"/>
  <c r="K191" i="42"/>
  <c r="K192" i="42"/>
  <c r="K193" i="42"/>
  <c r="K194" i="42"/>
  <c r="K195" i="42"/>
  <c r="K196" i="42"/>
  <c r="K197" i="42"/>
  <c r="K198" i="42"/>
  <c r="K199" i="42"/>
  <c r="K200" i="42"/>
  <c r="K201" i="42"/>
  <c r="K202" i="42"/>
  <c r="K203" i="42"/>
  <c r="K204" i="42"/>
  <c r="K205" i="42"/>
  <c r="K206" i="42"/>
  <c r="K207" i="42"/>
  <c r="K208" i="42"/>
  <c r="K209" i="42"/>
  <c r="K210" i="42"/>
  <c r="K211" i="42"/>
  <c r="K212" i="42"/>
  <c r="K213" i="42"/>
  <c r="K214" i="42"/>
  <c r="K215" i="42"/>
  <c r="K216" i="42"/>
  <c r="K217" i="42"/>
  <c r="K218" i="42"/>
  <c r="K219" i="42"/>
  <c r="K220" i="42"/>
  <c r="K221" i="42"/>
  <c r="K222" i="42"/>
  <c r="K223" i="42"/>
  <c r="K224" i="42"/>
  <c r="K225" i="42"/>
  <c r="K226" i="42"/>
  <c r="K227" i="42"/>
  <c r="K228" i="42"/>
  <c r="K229" i="42"/>
  <c r="K230" i="42"/>
  <c r="K231" i="42"/>
  <c r="K232" i="42"/>
  <c r="K233" i="42"/>
  <c r="K234" i="42"/>
  <c r="K235" i="42"/>
  <c r="K236" i="42"/>
  <c r="K237" i="42"/>
  <c r="K238" i="42"/>
  <c r="K239" i="42"/>
  <c r="K240" i="42"/>
  <c r="K241" i="42"/>
  <c r="K242" i="42"/>
  <c r="K243" i="42"/>
  <c r="K244" i="42"/>
  <c r="K245" i="42"/>
  <c r="K246" i="42"/>
  <c r="K247" i="42"/>
  <c r="K248" i="42"/>
  <c r="K249" i="42"/>
  <c r="K250" i="42"/>
  <c r="K251" i="42"/>
  <c r="K252" i="42"/>
  <c r="K253" i="42"/>
  <c r="K254" i="42"/>
  <c r="K255" i="42"/>
  <c r="K256" i="42"/>
  <c r="K257" i="42"/>
  <c r="K258" i="42"/>
  <c r="K13" i="42"/>
  <c r="K12" i="42"/>
  <c r="L254" i="52"/>
  <c r="T10" i="52"/>
  <c r="L257" i="52"/>
  <c r="L12" i="52"/>
  <c r="L13" i="52"/>
  <c r="L14" i="52"/>
  <c r="L15" i="52"/>
  <c r="L16" i="52"/>
  <c r="L17" i="52"/>
  <c r="L18" i="52"/>
  <c r="L19" i="52"/>
  <c r="L20" i="52"/>
  <c r="L21" i="52"/>
  <c r="L22" i="52"/>
  <c r="L23" i="52"/>
  <c r="L24" i="52"/>
  <c r="L25" i="52"/>
  <c r="L26" i="52"/>
  <c r="L27" i="52"/>
  <c r="L28" i="52"/>
  <c r="L29" i="52"/>
  <c r="L30" i="52"/>
  <c r="L31" i="52"/>
  <c r="L32" i="52"/>
  <c r="L33" i="52"/>
  <c r="L34" i="52"/>
  <c r="L35" i="52"/>
  <c r="L36" i="52"/>
  <c r="L37" i="52"/>
  <c r="L38" i="52"/>
  <c r="L39" i="52"/>
  <c r="L40" i="52"/>
  <c r="L41" i="52"/>
  <c r="L42" i="52"/>
  <c r="L43" i="52"/>
  <c r="L44" i="52"/>
  <c r="L45" i="52"/>
  <c r="L46" i="52"/>
  <c r="L47" i="52"/>
  <c r="L48" i="52"/>
  <c r="L49" i="52"/>
  <c r="L50" i="52"/>
  <c r="L51" i="52"/>
  <c r="L52" i="52"/>
  <c r="L53" i="52"/>
  <c r="L54" i="52"/>
  <c r="L55" i="52"/>
  <c r="L56" i="52"/>
  <c r="L57" i="52"/>
  <c r="L58" i="52"/>
  <c r="L59" i="52"/>
  <c r="L60" i="52"/>
  <c r="L61" i="52"/>
  <c r="L62" i="52"/>
  <c r="L63" i="52"/>
  <c r="L64" i="52"/>
  <c r="L65" i="52"/>
  <c r="L66" i="52"/>
  <c r="L67" i="52"/>
  <c r="L68" i="52"/>
  <c r="L69" i="52"/>
  <c r="L70" i="52"/>
  <c r="L71" i="52"/>
  <c r="L72" i="52"/>
  <c r="L73" i="52"/>
  <c r="L74" i="52"/>
  <c r="L75" i="52"/>
  <c r="L76" i="52"/>
  <c r="L77" i="52"/>
  <c r="L78" i="52"/>
  <c r="L79" i="52"/>
  <c r="L80" i="52"/>
  <c r="L81" i="52"/>
  <c r="L82" i="52"/>
  <c r="L83" i="52"/>
  <c r="L84" i="52"/>
  <c r="L85" i="52"/>
  <c r="L86" i="52"/>
  <c r="L87" i="52"/>
  <c r="L88" i="52"/>
  <c r="L89" i="52"/>
  <c r="L90" i="52"/>
  <c r="L91" i="52"/>
  <c r="L92" i="52"/>
  <c r="L93" i="52"/>
  <c r="L94" i="52"/>
  <c r="L95" i="52"/>
  <c r="L96" i="52"/>
  <c r="L97" i="52"/>
  <c r="L98" i="52"/>
  <c r="L99" i="52"/>
  <c r="L100" i="52"/>
  <c r="L101" i="52"/>
  <c r="L102" i="52"/>
  <c r="L103" i="52"/>
  <c r="L104" i="52"/>
  <c r="L105" i="52"/>
  <c r="L106" i="52"/>
  <c r="L107" i="52"/>
  <c r="L108" i="52"/>
  <c r="L109" i="52"/>
  <c r="L110" i="52"/>
  <c r="L111" i="52"/>
  <c r="L112" i="52"/>
  <c r="L113" i="52"/>
  <c r="L114" i="52"/>
  <c r="L115" i="52"/>
  <c r="L116" i="52"/>
  <c r="L117" i="52"/>
  <c r="L118" i="52"/>
  <c r="L119" i="52"/>
  <c r="L120" i="52"/>
  <c r="L121" i="52"/>
  <c r="L122" i="52"/>
  <c r="L123" i="52"/>
  <c r="L124" i="52"/>
  <c r="L125" i="52"/>
  <c r="L126" i="52"/>
  <c r="L127" i="52"/>
  <c r="L128" i="52"/>
  <c r="L129" i="52"/>
  <c r="L130" i="52"/>
  <c r="L131" i="52"/>
  <c r="L132" i="52"/>
  <c r="L133" i="52"/>
  <c r="L134" i="52"/>
  <c r="L135" i="52"/>
  <c r="L136" i="52"/>
  <c r="L137" i="52"/>
  <c r="L138" i="52"/>
  <c r="L139" i="52"/>
  <c r="L140" i="52"/>
  <c r="L141" i="52"/>
  <c r="L142" i="52"/>
  <c r="L143" i="52"/>
  <c r="L144" i="52"/>
  <c r="L145" i="52"/>
  <c r="L146" i="52"/>
  <c r="L147" i="52"/>
  <c r="L148" i="52"/>
  <c r="L149" i="52"/>
  <c r="L150" i="52"/>
  <c r="L151" i="52"/>
  <c r="L152" i="52"/>
  <c r="L153" i="52"/>
  <c r="L154" i="52"/>
  <c r="L155" i="52"/>
  <c r="L156" i="52"/>
  <c r="L157" i="52"/>
  <c r="L158" i="52"/>
  <c r="L159" i="52"/>
  <c r="L160" i="52"/>
  <c r="L161" i="52"/>
  <c r="L162" i="52"/>
  <c r="L163" i="52"/>
  <c r="L164" i="52"/>
  <c r="L165" i="52"/>
  <c r="L166" i="52"/>
  <c r="L167" i="52"/>
  <c r="L168" i="52"/>
  <c r="L169" i="52"/>
  <c r="L170" i="52"/>
  <c r="L171" i="52"/>
  <c r="L172" i="52"/>
  <c r="L173" i="52"/>
  <c r="L174" i="52"/>
  <c r="L175" i="52"/>
  <c r="L176" i="52"/>
  <c r="L177" i="52"/>
  <c r="L178" i="52"/>
  <c r="L179" i="52"/>
  <c r="L180" i="52"/>
  <c r="L181" i="52"/>
  <c r="L182" i="52"/>
  <c r="L183" i="52"/>
  <c r="L184" i="52"/>
  <c r="L185" i="52"/>
  <c r="L186" i="52"/>
  <c r="L187" i="52"/>
  <c r="L188" i="52"/>
  <c r="L189" i="52"/>
  <c r="L190" i="52"/>
  <c r="L191" i="52"/>
  <c r="L192" i="52"/>
  <c r="L193" i="52"/>
  <c r="L194" i="52"/>
  <c r="L195" i="52"/>
  <c r="L196" i="52"/>
  <c r="L197" i="52"/>
  <c r="L198" i="52"/>
  <c r="L199" i="52"/>
  <c r="L200" i="52"/>
  <c r="L201" i="52"/>
  <c r="L202" i="52"/>
  <c r="L203" i="52"/>
  <c r="L204" i="52"/>
  <c r="L205" i="52"/>
  <c r="L206" i="52"/>
  <c r="L207" i="52"/>
  <c r="L208" i="52"/>
  <c r="L209" i="52"/>
  <c r="L210" i="52"/>
  <c r="L211" i="52"/>
  <c r="L212" i="52"/>
  <c r="L213" i="52"/>
  <c r="L214" i="52"/>
  <c r="L215" i="52"/>
  <c r="L216" i="52"/>
  <c r="L217" i="52"/>
  <c r="L218" i="52"/>
  <c r="L219" i="52"/>
  <c r="L220" i="52"/>
  <c r="L221" i="52"/>
  <c r="L222" i="52"/>
  <c r="L223" i="52"/>
  <c r="L224" i="52"/>
  <c r="L225" i="52"/>
  <c r="L226" i="52"/>
  <c r="L227" i="52"/>
  <c r="L228" i="52"/>
  <c r="L229" i="52"/>
  <c r="L230" i="52"/>
  <c r="L231" i="52"/>
  <c r="L232" i="52"/>
  <c r="L233" i="52"/>
  <c r="L234" i="52"/>
  <c r="L235" i="52"/>
  <c r="L236" i="52"/>
  <c r="L237" i="52"/>
  <c r="L238" i="52"/>
  <c r="L239" i="52"/>
  <c r="L240" i="52"/>
  <c r="L241" i="52"/>
  <c r="L242" i="52"/>
  <c r="L243" i="52"/>
  <c r="L244" i="52"/>
  <c r="L245" i="52"/>
  <c r="L246" i="52"/>
  <c r="L247" i="52"/>
  <c r="L248" i="52"/>
  <c r="L249" i="52"/>
  <c r="L250" i="52"/>
  <c r="L251" i="52"/>
  <c r="L252" i="52"/>
  <c r="L253" i="52"/>
  <c r="L255" i="52"/>
  <c r="L256" i="52"/>
  <c r="L11" i="52"/>
  <c r="L10" i="52"/>
  <c r="K257" i="52"/>
  <c r="K213" i="52"/>
  <c r="K214" i="52"/>
  <c r="K215" i="52"/>
  <c r="K216" i="52"/>
  <c r="K217" i="52"/>
  <c r="K218" i="52"/>
  <c r="K219" i="52"/>
  <c r="K220" i="52"/>
  <c r="K221" i="52"/>
  <c r="K222" i="52"/>
  <c r="K223" i="52"/>
  <c r="K224" i="52"/>
  <c r="K225" i="52"/>
  <c r="K226" i="52"/>
  <c r="K227" i="52"/>
  <c r="K228" i="52"/>
  <c r="K229" i="52"/>
  <c r="K230" i="52"/>
  <c r="K231" i="52"/>
  <c r="K232" i="52"/>
  <c r="K233" i="52"/>
  <c r="K234" i="52"/>
  <c r="K235" i="52"/>
  <c r="K236" i="52"/>
  <c r="K237" i="52"/>
  <c r="K238" i="52"/>
  <c r="K239" i="52"/>
  <c r="K240" i="52"/>
  <c r="K241" i="52"/>
  <c r="K242" i="52"/>
  <c r="K243" i="52"/>
  <c r="K244" i="52"/>
  <c r="K245" i="52"/>
  <c r="K246" i="52"/>
  <c r="K247" i="52"/>
  <c r="K248" i="52"/>
  <c r="K249" i="52"/>
  <c r="K250" i="52"/>
  <c r="K251" i="52"/>
  <c r="K252" i="52"/>
  <c r="K253" i="52"/>
  <c r="K254" i="52"/>
  <c r="K255" i="52"/>
  <c r="K256" i="52"/>
  <c r="K212" i="52"/>
  <c r="K211" i="52"/>
  <c r="N12" i="11"/>
  <c r="N13" i="11"/>
  <c r="N14" i="11"/>
  <c r="N15" i="11"/>
  <c r="N16" i="11"/>
  <c r="N17" i="11"/>
  <c r="N18" i="11"/>
  <c r="N19" i="11"/>
  <c r="N20" i="11"/>
  <c r="N21" i="11"/>
  <c r="N22" i="11"/>
  <c r="N23" i="11"/>
  <c r="N24" i="11"/>
  <c r="N25" i="11"/>
  <c r="N26" i="11"/>
  <c r="N27" i="11"/>
  <c r="N28" i="11"/>
  <c r="N29" i="11"/>
  <c r="N30" i="11"/>
  <c r="N31" i="11"/>
  <c r="N32" i="11"/>
  <c r="N33" i="11"/>
  <c r="N34" i="11"/>
  <c r="N35" i="11"/>
  <c r="N36" i="11"/>
  <c r="N37" i="11"/>
  <c r="N38" i="11"/>
  <c r="N39" i="11"/>
  <c r="N40" i="11"/>
  <c r="N41" i="11"/>
  <c r="N42" i="11"/>
  <c r="N43" i="11"/>
  <c r="N44" i="11"/>
  <c r="N45" i="11"/>
  <c r="N46" i="11"/>
  <c r="N47" i="11"/>
  <c r="N48" i="11"/>
  <c r="N49" i="11"/>
  <c r="N50" i="11"/>
  <c r="N51" i="11"/>
  <c r="N52" i="11"/>
  <c r="N53" i="11"/>
  <c r="N54" i="11"/>
  <c r="N55" i="11"/>
  <c r="N56" i="11"/>
  <c r="N57" i="11"/>
  <c r="N58" i="11"/>
  <c r="N59" i="11"/>
  <c r="N60" i="11"/>
  <c r="N61" i="11"/>
  <c r="N62" i="11"/>
  <c r="N63" i="11"/>
  <c r="N64" i="11"/>
  <c r="N65" i="11"/>
  <c r="N66" i="11"/>
  <c r="N67" i="11"/>
  <c r="N68" i="11"/>
  <c r="N69" i="11"/>
  <c r="N70" i="11"/>
  <c r="N71" i="11"/>
  <c r="N72" i="11"/>
  <c r="N73" i="11"/>
  <c r="N74" i="11"/>
  <c r="N75" i="11"/>
  <c r="N76" i="11"/>
  <c r="N77" i="11"/>
  <c r="N78" i="11"/>
  <c r="N79" i="11"/>
  <c r="N80" i="11"/>
  <c r="N81" i="11"/>
  <c r="N82" i="11"/>
  <c r="N83" i="11"/>
  <c r="N84" i="11"/>
  <c r="N85" i="11"/>
  <c r="N86" i="11"/>
  <c r="N87" i="11"/>
  <c r="N88" i="11"/>
  <c r="N89" i="11"/>
  <c r="N90" i="11"/>
  <c r="N91" i="11"/>
  <c r="N92" i="11"/>
  <c r="N93" i="11"/>
  <c r="N94" i="11"/>
  <c r="N95" i="11"/>
  <c r="N96" i="11"/>
  <c r="N97" i="11"/>
  <c r="N98" i="11"/>
  <c r="N99" i="11"/>
  <c r="N100" i="11"/>
  <c r="N101" i="11"/>
  <c r="N102" i="11"/>
  <c r="N103" i="11"/>
  <c r="N104" i="11"/>
  <c r="N105" i="11"/>
  <c r="N106" i="11"/>
  <c r="N107" i="11"/>
  <c r="N108" i="11"/>
  <c r="N109" i="11"/>
  <c r="N110" i="11"/>
  <c r="N111" i="11"/>
  <c r="N112" i="11"/>
  <c r="N113" i="11"/>
  <c r="N114" i="11"/>
  <c r="N115" i="11"/>
  <c r="N116" i="11"/>
  <c r="N117" i="11"/>
  <c r="N118" i="11"/>
  <c r="N119" i="11"/>
  <c r="N120" i="11"/>
  <c r="N121" i="11"/>
  <c r="N122" i="11"/>
  <c r="N123" i="11"/>
  <c r="N124" i="11"/>
  <c r="N125" i="11"/>
  <c r="N126" i="11"/>
  <c r="N127" i="11"/>
  <c r="N128" i="11"/>
  <c r="N129" i="11"/>
  <c r="N130" i="11"/>
  <c r="N131" i="11"/>
  <c r="N132" i="11"/>
  <c r="N133" i="11"/>
  <c r="N134" i="11"/>
  <c r="N135" i="11"/>
  <c r="N136" i="11"/>
  <c r="N137" i="11"/>
  <c r="N138" i="11"/>
  <c r="N139" i="11"/>
  <c r="N140" i="11"/>
  <c r="N141" i="11"/>
  <c r="N142" i="11"/>
  <c r="N143" i="11"/>
  <c r="N144" i="11"/>
  <c r="N145" i="11"/>
  <c r="N146" i="11"/>
  <c r="N147" i="11"/>
  <c r="N148" i="11"/>
  <c r="N149" i="11"/>
  <c r="N150" i="11"/>
  <c r="N151" i="11"/>
  <c r="N152" i="11"/>
  <c r="N153" i="11"/>
  <c r="N154" i="11"/>
  <c r="N155" i="11"/>
  <c r="N156" i="11"/>
  <c r="N157" i="11"/>
  <c r="N158" i="11"/>
  <c r="N159" i="11"/>
  <c r="N160" i="11"/>
  <c r="N161" i="11"/>
  <c r="N162" i="11"/>
  <c r="N163" i="11"/>
  <c r="N164" i="11"/>
  <c r="N165" i="11"/>
  <c r="N166" i="11"/>
  <c r="N167" i="11"/>
  <c r="N168" i="11"/>
  <c r="N169" i="11"/>
  <c r="N170" i="11"/>
  <c r="N171" i="11"/>
  <c r="N172" i="11"/>
  <c r="N173" i="11"/>
  <c r="N174" i="11"/>
  <c r="N175" i="11"/>
  <c r="N176" i="11"/>
  <c r="N177" i="11"/>
  <c r="N178" i="11"/>
  <c r="N179" i="11"/>
  <c r="N180" i="11"/>
  <c r="N181" i="11"/>
  <c r="N182" i="11"/>
  <c r="N183" i="11"/>
  <c r="N184" i="11"/>
  <c r="N185" i="11"/>
  <c r="N186" i="11"/>
  <c r="N187" i="11"/>
  <c r="N188" i="11"/>
  <c r="N189" i="11"/>
  <c r="N190" i="11"/>
  <c r="N191" i="11"/>
  <c r="N192" i="11"/>
  <c r="N193" i="11"/>
  <c r="N194" i="11"/>
  <c r="N195" i="11"/>
  <c r="N196" i="11"/>
  <c r="N197" i="11"/>
  <c r="N198" i="11"/>
  <c r="N199" i="11"/>
  <c r="N200" i="11"/>
  <c r="N201" i="11"/>
  <c r="N202" i="11"/>
  <c r="N203" i="11"/>
  <c r="N204" i="11"/>
  <c r="N205" i="11"/>
  <c r="N206" i="11"/>
  <c r="N207" i="11"/>
  <c r="N208" i="11"/>
  <c r="N209" i="11"/>
  <c r="N210" i="11"/>
  <c r="N211" i="11"/>
  <c r="N212" i="11"/>
  <c r="N213" i="11"/>
  <c r="N214" i="11"/>
  <c r="N215" i="11"/>
  <c r="N216" i="11"/>
  <c r="N217" i="11"/>
  <c r="N218" i="11"/>
  <c r="N219" i="11"/>
  <c r="N220" i="11"/>
  <c r="N221" i="11"/>
  <c r="N222" i="11"/>
  <c r="N223" i="11"/>
  <c r="N224" i="11"/>
  <c r="N225" i="11"/>
  <c r="N226" i="11"/>
  <c r="N227" i="11"/>
  <c r="N228" i="11"/>
  <c r="N229" i="11"/>
  <c r="N230" i="11"/>
  <c r="N231" i="11"/>
  <c r="N232" i="11"/>
  <c r="N233" i="11"/>
  <c r="N234" i="11"/>
  <c r="N235" i="11"/>
  <c r="N236" i="11"/>
  <c r="N237" i="11"/>
  <c r="N238" i="11"/>
  <c r="N239" i="11"/>
  <c r="N240" i="11"/>
  <c r="N241" i="11"/>
  <c r="N242" i="11"/>
  <c r="N243" i="11"/>
  <c r="N244" i="11"/>
  <c r="N245" i="11"/>
  <c r="N246" i="11"/>
  <c r="N247" i="11"/>
  <c r="N248" i="11"/>
  <c r="N249" i="11"/>
  <c r="N250" i="11"/>
  <c r="N251" i="11"/>
  <c r="N252" i="11"/>
  <c r="N253" i="11"/>
  <c r="N254" i="11"/>
  <c r="N255" i="11"/>
  <c r="N256" i="11"/>
  <c r="O258" i="11"/>
  <c r="O103" i="11"/>
  <c r="O104" i="11"/>
  <c r="O105" i="11"/>
  <c r="O106" i="11"/>
  <c r="O107" i="11"/>
  <c r="O108" i="11"/>
  <c r="O109" i="11"/>
  <c r="O110" i="11"/>
  <c r="O111" i="11"/>
  <c r="O112" i="11"/>
  <c r="O113" i="11"/>
  <c r="O114" i="11"/>
  <c r="O115" i="11"/>
  <c r="O116" i="11"/>
  <c r="O117" i="11"/>
  <c r="O118" i="11"/>
  <c r="O119" i="11"/>
  <c r="O120" i="11"/>
  <c r="O121" i="11"/>
  <c r="O122" i="11"/>
  <c r="O123" i="11"/>
  <c r="O124" i="11"/>
  <c r="O125" i="11"/>
  <c r="O126" i="11"/>
  <c r="O127" i="11"/>
  <c r="O128" i="11"/>
  <c r="O129" i="11"/>
  <c r="O130" i="11"/>
  <c r="O131" i="11"/>
  <c r="O132" i="11"/>
  <c r="O133" i="11"/>
  <c r="O134" i="11"/>
  <c r="O135" i="11"/>
  <c r="O136" i="11"/>
  <c r="O137" i="11"/>
  <c r="O138" i="11"/>
  <c r="O139" i="11"/>
  <c r="O140" i="11"/>
  <c r="O141" i="11"/>
  <c r="O142" i="11"/>
  <c r="O143" i="11"/>
  <c r="O144" i="11"/>
  <c r="O145" i="11"/>
  <c r="O146" i="11"/>
  <c r="O147" i="11"/>
  <c r="O148" i="11"/>
  <c r="O149" i="11"/>
  <c r="O150" i="11"/>
  <c r="O151" i="11"/>
  <c r="O152" i="11"/>
  <c r="O153" i="11"/>
  <c r="O154" i="11"/>
  <c r="O155" i="11"/>
  <c r="O156" i="11"/>
  <c r="O157" i="11"/>
  <c r="O158" i="11"/>
  <c r="O159" i="11"/>
  <c r="O160" i="11"/>
  <c r="O161" i="11"/>
  <c r="O162" i="11"/>
  <c r="O163" i="11"/>
  <c r="O164" i="11"/>
  <c r="O165" i="11"/>
  <c r="O166" i="11"/>
  <c r="O167" i="11"/>
  <c r="O168" i="11"/>
  <c r="O169" i="11"/>
  <c r="O170" i="11"/>
  <c r="O171" i="11"/>
  <c r="O172" i="11"/>
  <c r="O173" i="11"/>
  <c r="O174" i="11"/>
  <c r="O175" i="11"/>
  <c r="O176" i="11"/>
  <c r="O177" i="11"/>
  <c r="O178" i="11"/>
  <c r="O179" i="11"/>
  <c r="O180" i="11"/>
  <c r="O181" i="11"/>
  <c r="O182" i="11"/>
  <c r="O183" i="11"/>
  <c r="O184" i="11"/>
  <c r="O185" i="11"/>
  <c r="O186" i="11"/>
  <c r="O187" i="11"/>
  <c r="O188" i="11"/>
  <c r="O189" i="11"/>
  <c r="O190" i="11"/>
  <c r="O191" i="11"/>
  <c r="O192" i="11"/>
  <c r="O193" i="11"/>
  <c r="O194" i="11"/>
  <c r="O195" i="11"/>
  <c r="O196" i="11"/>
  <c r="O197" i="11"/>
  <c r="O198" i="11"/>
  <c r="O199" i="11"/>
  <c r="O200" i="11"/>
  <c r="O201" i="11"/>
  <c r="O202" i="11"/>
  <c r="O203" i="11"/>
  <c r="O204" i="11"/>
  <c r="O205" i="11"/>
  <c r="O206" i="11"/>
  <c r="O207" i="11"/>
  <c r="O208" i="11"/>
  <c r="O209" i="11"/>
  <c r="O210" i="11"/>
  <c r="O211" i="11"/>
  <c r="O212" i="11"/>
  <c r="O213" i="11"/>
  <c r="O214" i="11"/>
  <c r="O215" i="11"/>
  <c r="O216" i="11"/>
  <c r="O217" i="11"/>
  <c r="O218" i="11"/>
  <c r="O219" i="11"/>
  <c r="O220" i="11"/>
  <c r="O221" i="11"/>
  <c r="O222" i="11"/>
  <c r="O223" i="11"/>
  <c r="O224" i="11"/>
  <c r="O225" i="11"/>
  <c r="O226" i="11"/>
  <c r="O227" i="11"/>
  <c r="O228" i="11"/>
  <c r="O229" i="11"/>
  <c r="O230" i="11"/>
  <c r="O231" i="11"/>
  <c r="O232" i="11"/>
  <c r="O233" i="11"/>
  <c r="O234" i="11"/>
  <c r="O235" i="11"/>
  <c r="O236" i="11"/>
  <c r="O237" i="11"/>
  <c r="O238" i="11"/>
  <c r="O239" i="11"/>
  <c r="O240" i="11"/>
  <c r="O241" i="11"/>
  <c r="O242" i="11"/>
  <c r="O243" i="11"/>
  <c r="O244" i="11"/>
  <c r="O245" i="11"/>
  <c r="O246" i="11"/>
  <c r="O247" i="11"/>
  <c r="O248" i="11"/>
  <c r="O249" i="11"/>
  <c r="O250" i="11"/>
  <c r="O251" i="11"/>
  <c r="O252" i="11"/>
  <c r="O253" i="11"/>
  <c r="O254" i="11"/>
  <c r="O255" i="11"/>
  <c r="O256" i="11"/>
  <c r="O257" i="11"/>
  <c r="O102" i="11"/>
  <c r="O101" i="11"/>
  <c r="P12" i="42" l="1"/>
  <c r="V23" i="58"/>
  <c r="V20" i="58"/>
  <c r="V16" i="58"/>
  <c r="V19" i="58"/>
  <c r="V18" i="58"/>
  <c r="V14" i="58"/>
  <c r="V174" i="58"/>
  <c r="V238" i="58"/>
  <c r="V233" i="58"/>
  <c r="V162" i="58"/>
  <c r="V32" i="58"/>
  <c r="V64" i="58"/>
  <c r="V96" i="58"/>
  <c r="V128" i="58"/>
  <c r="V160" i="58"/>
  <c r="V109" i="58"/>
  <c r="V133" i="58"/>
  <c r="V34" i="58"/>
  <c r="V66" i="58"/>
  <c r="V27" i="58"/>
  <c r="V59" i="58"/>
  <c r="V91" i="58"/>
  <c r="V182" i="58"/>
  <c r="V246" i="58"/>
  <c r="V39" i="58"/>
  <c r="V71" i="58"/>
  <c r="V103" i="58"/>
  <c r="V180" i="58"/>
  <c r="V130" i="58"/>
  <c r="V190" i="58"/>
  <c r="V254" i="58"/>
  <c r="V135" i="58"/>
  <c r="V33" i="58"/>
  <c r="V218" i="58"/>
  <c r="V169" i="58"/>
  <c r="V230" i="58"/>
  <c r="V40" i="58"/>
  <c r="V72" i="58"/>
  <c r="V104" i="58"/>
  <c r="V136" i="58"/>
  <c r="V13" i="58"/>
  <c r="V42" i="58"/>
  <c r="V93" i="58"/>
  <c r="V35" i="58"/>
  <c r="V67" i="58"/>
  <c r="V99" i="58"/>
  <c r="V131" i="58"/>
  <c r="V163" i="58"/>
  <c r="V125" i="58"/>
  <c r="V117" i="58"/>
  <c r="V113" i="58"/>
  <c r="V252" i="58"/>
  <c r="V178" i="58"/>
  <c r="V170" i="58"/>
  <c r="V198" i="58"/>
  <c r="V17" i="58"/>
  <c r="V98" i="58"/>
  <c r="V224" i="58"/>
  <c r="V15" i="58"/>
  <c r="V47" i="58"/>
  <c r="V79" i="58"/>
  <c r="V111" i="58"/>
  <c r="V41" i="58"/>
  <c r="V25" i="58"/>
  <c r="V234" i="58"/>
  <c r="V206" i="58"/>
  <c r="V151" i="58"/>
  <c r="V161" i="58"/>
  <c r="V168" i="58"/>
  <c r="V232" i="58"/>
  <c r="V225" i="58"/>
  <c r="V157" i="58"/>
  <c r="V193" i="58"/>
  <c r="V105" i="58"/>
  <c r="V242" i="58"/>
  <c r="V205" i="58"/>
  <c r="V73" i="58"/>
  <c r="V214" i="58"/>
  <c r="V154" i="58"/>
  <c r="V159" i="58"/>
  <c r="V223" i="58"/>
  <c r="V249" i="58"/>
  <c r="V176" i="58"/>
  <c r="V240" i="58"/>
  <c r="V187" i="58"/>
  <c r="V251" i="58"/>
  <c r="V145" i="58"/>
  <c r="V213" i="58"/>
  <c r="V129" i="58"/>
  <c r="V94" i="58"/>
  <c r="V158" i="58"/>
  <c r="V222" i="58"/>
  <c r="V137" i="58"/>
  <c r="V186" i="58"/>
  <c r="V167" i="58"/>
  <c r="V231" i="58"/>
  <c r="V90" i="58"/>
  <c r="V184" i="58"/>
  <c r="V248" i="58"/>
  <c r="V82" i="58"/>
  <c r="AO13" i="50"/>
  <c r="Q12" i="42" l="1"/>
  <c r="R12" i="42" s="1"/>
  <c r="V12" i="58"/>
  <c r="T12" i="58"/>
  <c r="O2" i="58"/>
  <c r="AO14" i="50"/>
  <c r="AO15" i="50"/>
  <c r="AO16" i="50"/>
  <c r="AO17" i="50"/>
  <c r="AO18" i="50"/>
  <c r="AO19" i="50"/>
  <c r="AO20" i="50"/>
  <c r="AO21" i="50"/>
  <c r="AO22" i="50"/>
  <c r="AO23" i="50"/>
  <c r="AO24" i="50"/>
  <c r="AO25" i="50"/>
  <c r="AO26" i="50"/>
  <c r="AO27" i="50"/>
  <c r="AO28" i="50"/>
  <c r="AO29" i="50"/>
  <c r="AO30" i="50"/>
  <c r="AO31" i="50"/>
  <c r="AO32" i="50"/>
  <c r="AO33" i="50"/>
  <c r="AO34" i="50"/>
  <c r="AO35" i="50"/>
  <c r="AO36" i="50"/>
  <c r="AO37" i="50"/>
  <c r="AO38" i="50"/>
  <c r="AO39" i="50"/>
  <c r="AO40" i="50"/>
  <c r="AO41" i="50"/>
  <c r="AO42" i="50"/>
  <c r="AO43" i="50"/>
  <c r="AO44" i="50"/>
  <c r="AO45" i="50"/>
  <c r="AO46" i="50"/>
  <c r="AO47" i="50"/>
  <c r="AO48" i="50"/>
  <c r="AO49" i="50"/>
  <c r="AO50" i="50"/>
  <c r="AO51" i="50"/>
  <c r="AO52" i="50"/>
  <c r="AO53" i="50"/>
  <c r="AO54" i="50"/>
  <c r="AO55" i="50"/>
  <c r="AO56" i="50"/>
  <c r="AO57" i="50"/>
  <c r="AO58" i="50"/>
  <c r="AO59" i="50"/>
  <c r="AO60" i="50"/>
  <c r="AO61" i="50"/>
  <c r="AO62" i="50"/>
  <c r="AO63" i="50"/>
  <c r="AO64" i="50"/>
  <c r="AO65" i="50"/>
  <c r="AO66" i="50"/>
  <c r="AO67" i="50"/>
  <c r="AO68" i="50"/>
  <c r="AO69" i="50"/>
  <c r="AO70" i="50"/>
  <c r="AO71" i="50"/>
  <c r="AO72" i="50"/>
  <c r="AO73" i="50"/>
  <c r="AO74" i="50"/>
  <c r="AO75" i="50"/>
  <c r="AO76" i="50"/>
  <c r="AO77" i="50"/>
  <c r="AO78" i="50"/>
  <c r="AO79" i="50"/>
  <c r="AO80" i="50"/>
  <c r="AO81" i="50"/>
  <c r="AO82" i="50"/>
  <c r="AO83" i="50"/>
  <c r="AO84" i="50"/>
  <c r="AO85" i="50"/>
  <c r="AO86" i="50"/>
  <c r="AO87" i="50"/>
  <c r="AO88" i="50"/>
  <c r="AO89" i="50"/>
  <c r="AO90" i="50"/>
  <c r="AO91" i="50"/>
  <c r="AO92" i="50"/>
  <c r="AO93" i="50"/>
  <c r="AO94" i="50"/>
  <c r="AO95" i="50"/>
  <c r="AO96" i="50"/>
  <c r="AO97" i="50"/>
  <c r="AO98" i="50"/>
  <c r="AO99" i="50"/>
  <c r="AO100" i="50"/>
  <c r="AO101" i="50"/>
  <c r="AO102" i="50"/>
  <c r="AO103" i="50"/>
  <c r="AO104" i="50"/>
  <c r="AO105" i="50"/>
  <c r="AO106" i="50"/>
  <c r="AO107" i="50"/>
  <c r="AO108" i="50"/>
  <c r="AO109" i="50"/>
  <c r="AO110" i="50"/>
  <c r="AO111" i="50"/>
  <c r="AO112" i="50"/>
  <c r="AO113" i="50"/>
  <c r="AO114" i="50"/>
  <c r="AO115" i="50"/>
  <c r="AO116" i="50"/>
  <c r="AO117" i="50"/>
  <c r="AO118" i="50"/>
  <c r="AO119" i="50"/>
  <c r="AO120" i="50"/>
  <c r="AO121" i="50"/>
  <c r="AO122" i="50"/>
  <c r="AO123" i="50"/>
  <c r="AO124" i="50"/>
  <c r="AO125" i="50"/>
  <c r="AO126" i="50"/>
  <c r="AO127" i="50"/>
  <c r="AO128" i="50"/>
  <c r="AO129" i="50"/>
  <c r="AO130" i="50"/>
  <c r="AO131" i="50"/>
  <c r="AO132" i="50"/>
  <c r="AO133" i="50"/>
  <c r="AO134" i="50"/>
  <c r="AO135" i="50"/>
  <c r="AO136" i="50"/>
  <c r="AO137" i="50"/>
  <c r="AO138" i="50"/>
  <c r="AO139" i="50"/>
  <c r="AO140" i="50"/>
  <c r="AO141" i="50"/>
  <c r="AO142" i="50"/>
  <c r="AO143" i="50"/>
  <c r="AO144" i="50"/>
  <c r="AO145" i="50"/>
  <c r="AO146" i="50"/>
  <c r="AO147" i="50"/>
  <c r="AO148" i="50"/>
  <c r="AO149" i="50"/>
  <c r="AO150" i="50"/>
  <c r="AO151" i="50"/>
  <c r="AO152" i="50"/>
  <c r="AO153" i="50"/>
  <c r="AO154" i="50"/>
  <c r="AO155" i="50"/>
  <c r="AO156" i="50"/>
  <c r="AO157" i="50"/>
  <c r="AO158" i="50"/>
  <c r="AO159" i="50"/>
  <c r="AO160" i="50"/>
  <c r="AO161" i="50"/>
  <c r="AO162" i="50"/>
  <c r="AO163" i="50"/>
  <c r="AO164" i="50"/>
  <c r="AO165" i="50"/>
  <c r="AO166" i="50"/>
  <c r="AO167" i="50"/>
  <c r="AO168" i="50"/>
  <c r="AO169" i="50"/>
  <c r="AO170" i="50"/>
  <c r="AO171" i="50"/>
  <c r="AO172" i="50"/>
  <c r="AO173" i="50"/>
  <c r="AO174" i="50"/>
  <c r="AO175" i="50"/>
  <c r="AO176" i="50"/>
  <c r="AO177" i="50"/>
  <c r="AO178" i="50"/>
  <c r="AO179" i="50"/>
  <c r="AO180" i="50"/>
  <c r="AO181" i="50"/>
  <c r="AO182" i="50"/>
  <c r="AO183" i="50"/>
  <c r="AO184" i="50"/>
  <c r="AO185" i="50"/>
  <c r="AO186" i="50"/>
  <c r="AO187" i="50"/>
  <c r="AO188" i="50"/>
  <c r="AO189" i="50"/>
  <c r="AO190" i="50"/>
  <c r="AO191" i="50"/>
  <c r="AO192" i="50"/>
  <c r="AO193" i="50"/>
  <c r="AO194" i="50"/>
  <c r="AO195" i="50"/>
  <c r="AO196" i="50"/>
  <c r="AO197" i="50"/>
  <c r="AO198" i="50"/>
  <c r="AO199" i="50"/>
  <c r="AO200" i="50"/>
  <c r="AO201" i="50"/>
  <c r="AO202" i="50"/>
  <c r="AO203" i="50"/>
  <c r="AO204" i="50"/>
  <c r="AO205" i="50"/>
  <c r="AO206" i="50"/>
  <c r="AO207" i="50"/>
  <c r="AO208" i="50"/>
  <c r="AO209" i="50"/>
  <c r="AO210" i="50"/>
  <c r="AO211" i="50"/>
  <c r="AO212" i="50"/>
  <c r="AO213" i="50"/>
  <c r="AO214" i="50"/>
  <c r="AO215" i="50"/>
  <c r="AO216" i="50"/>
  <c r="AO217" i="50"/>
  <c r="AO218" i="50"/>
  <c r="AO219" i="50"/>
  <c r="AO220" i="50"/>
  <c r="AO221" i="50"/>
  <c r="AO222" i="50"/>
  <c r="AO223" i="50"/>
  <c r="AO224" i="50"/>
  <c r="AO225" i="50"/>
  <c r="AO226" i="50"/>
  <c r="AO227" i="50"/>
  <c r="AO228" i="50"/>
  <c r="AO229" i="50"/>
  <c r="AO230" i="50"/>
  <c r="AO231" i="50"/>
  <c r="AO232" i="50"/>
  <c r="AO233" i="50"/>
  <c r="AO234" i="50"/>
  <c r="AO235" i="50"/>
  <c r="AO236" i="50"/>
  <c r="AO237" i="50"/>
  <c r="AO238" i="50"/>
  <c r="AO239" i="50"/>
  <c r="AO240" i="50"/>
  <c r="AO241" i="50"/>
  <c r="AO242" i="50"/>
  <c r="AO243" i="50"/>
  <c r="AO244" i="50"/>
  <c r="AO245" i="50"/>
  <c r="AO246" i="50"/>
  <c r="AO247" i="50"/>
  <c r="AO248" i="50"/>
  <c r="AO249" i="50"/>
  <c r="AO250" i="50"/>
  <c r="AO251" i="50"/>
  <c r="AO252" i="50"/>
  <c r="AO253" i="50"/>
  <c r="AO254" i="50"/>
  <c r="AO255" i="50"/>
  <c r="AO256" i="50"/>
  <c r="AO257" i="50"/>
  <c r="AO258" i="50"/>
  <c r="AO12" i="50"/>
  <c r="AC13" i="50"/>
  <c r="AC14" i="50"/>
  <c r="AC15" i="50"/>
  <c r="AC16" i="50"/>
  <c r="AC17" i="50"/>
  <c r="AC18" i="50"/>
  <c r="AC19" i="50"/>
  <c r="AC20" i="50"/>
  <c r="AC21" i="50"/>
  <c r="AC22" i="50"/>
  <c r="AC23" i="50"/>
  <c r="AC24" i="50"/>
  <c r="AC25" i="50"/>
  <c r="AC26" i="50"/>
  <c r="AC27" i="50"/>
  <c r="AC28" i="50"/>
  <c r="AC29" i="50"/>
  <c r="AC30" i="50"/>
  <c r="AC31" i="50"/>
  <c r="AC32" i="50"/>
  <c r="AC33" i="50"/>
  <c r="AC34" i="50"/>
  <c r="AC35" i="50"/>
  <c r="AC36" i="50"/>
  <c r="AC37" i="50"/>
  <c r="AC38" i="50"/>
  <c r="AC39" i="50"/>
  <c r="AC40" i="50"/>
  <c r="AC41" i="50"/>
  <c r="AC42" i="50"/>
  <c r="AC43" i="50"/>
  <c r="AC44" i="50"/>
  <c r="AC45" i="50"/>
  <c r="AC46" i="50"/>
  <c r="AC47" i="50"/>
  <c r="AC48" i="50"/>
  <c r="AC49" i="50"/>
  <c r="AC50" i="50"/>
  <c r="AC51" i="50"/>
  <c r="AC52" i="50"/>
  <c r="AC53" i="50"/>
  <c r="AC54" i="50"/>
  <c r="AC55" i="50"/>
  <c r="AC56" i="50"/>
  <c r="AC57" i="50"/>
  <c r="AC58" i="50"/>
  <c r="AC59" i="50"/>
  <c r="AC60" i="50"/>
  <c r="AC61" i="50"/>
  <c r="AC62" i="50"/>
  <c r="AC63" i="50"/>
  <c r="AC64" i="50"/>
  <c r="AC65" i="50"/>
  <c r="AC66" i="50"/>
  <c r="AC67" i="50"/>
  <c r="AC68" i="50"/>
  <c r="AC69" i="50"/>
  <c r="AC70" i="50"/>
  <c r="AC71" i="50"/>
  <c r="AC72" i="50"/>
  <c r="AC73" i="50"/>
  <c r="AC74" i="50"/>
  <c r="AC75" i="50"/>
  <c r="AC76" i="50"/>
  <c r="AC77" i="50"/>
  <c r="AC78" i="50"/>
  <c r="AC79" i="50"/>
  <c r="AC80" i="50"/>
  <c r="AC81" i="50"/>
  <c r="AC82" i="50"/>
  <c r="AC83" i="50"/>
  <c r="AC84" i="50"/>
  <c r="AC85" i="50"/>
  <c r="AC86" i="50"/>
  <c r="AC87" i="50"/>
  <c r="AC88" i="50"/>
  <c r="AC89" i="50"/>
  <c r="AC90" i="50"/>
  <c r="AC91" i="50"/>
  <c r="AC92" i="50"/>
  <c r="AC93" i="50"/>
  <c r="AC94" i="50"/>
  <c r="AC95" i="50"/>
  <c r="AC96" i="50"/>
  <c r="AC97" i="50"/>
  <c r="AC98" i="50"/>
  <c r="AC99" i="50"/>
  <c r="AC100" i="50"/>
  <c r="AC101" i="50"/>
  <c r="AC102" i="50"/>
  <c r="AC103" i="50"/>
  <c r="AC104" i="50"/>
  <c r="AC105" i="50"/>
  <c r="AC106" i="50"/>
  <c r="AC107" i="50"/>
  <c r="AC108" i="50"/>
  <c r="AC109" i="50"/>
  <c r="AC110" i="50"/>
  <c r="AC111" i="50"/>
  <c r="AC112" i="50"/>
  <c r="AC113" i="50"/>
  <c r="AC114" i="50"/>
  <c r="AC115" i="50"/>
  <c r="AC116" i="50"/>
  <c r="AC117" i="50"/>
  <c r="AC118" i="50"/>
  <c r="AC119" i="50"/>
  <c r="AC120" i="50"/>
  <c r="AC121" i="50"/>
  <c r="AC122" i="50"/>
  <c r="AC123" i="50"/>
  <c r="AC124" i="50"/>
  <c r="AC125" i="50"/>
  <c r="AC126" i="50"/>
  <c r="AC127" i="50"/>
  <c r="AC128" i="50"/>
  <c r="AC129" i="50"/>
  <c r="AC130" i="50"/>
  <c r="AC131" i="50"/>
  <c r="AC132" i="50"/>
  <c r="AC133" i="50"/>
  <c r="AC134" i="50"/>
  <c r="AC135" i="50"/>
  <c r="AC136" i="50"/>
  <c r="AC137" i="50"/>
  <c r="AC138" i="50"/>
  <c r="AC139" i="50"/>
  <c r="AC140" i="50"/>
  <c r="AC141" i="50"/>
  <c r="AC142" i="50"/>
  <c r="AC143" i="50"/>
  <c r="AC144" i="50"/>
  <c r="AC145" i="50"/>
  <c r="AC146" i="50"/>
  <c r="AC147" i="50"/>
  <c r="AC148" i="50"/>
  <c r="AC149" i="50"/>
  <c r="AC150" i="50"/>
  <c r="AC151" i="50"/>
  <c r="AC152" i="50"/>
  <c r="AC153" i="50"/>
  <c r="AC154" i="50"/>
  <c r="AC155" i="50"/>
  <c r="AC156" i="50"/>
  <c r="AC157" i="50"/>
  <c r="AC158" i="50"/>
  <c r="AC159" i="50"/>
  <c r="AC160" i="50"/>
  <c r="AC161" i="50"/>
  <c r="AC162" i="50"/>
  <c r="AC163" i="50"/>
  <c r="AC164" i="50"/>
  <c r="AC165" i="50"/>
  <c r="AC166" i="50"/>
  <c r="AC167" i="50"/>
  <c r="AC168" i="50"/>
  <c r="AC169" i="50"/>
  <c r="AC170" i="50"/>
  <c r="AC171" i="50"/>
  <c r="AC172" i="50"/>
  <c r="AC173" i="50"/>
  <c r="AC174" i="50"/>
  <c r="AC175" i="50"/>
  <c r="AC176" i="50"/>
  <c r="AC177" i="50"/>
  <c r="AC178" i="50"/>
  <c r="AC179" i="50"/>
  <c r="AC180" i="50"/>
  <c r="AC181" i="50"/>
  <c r="AC182" i="50"/>
  <c r="AC183" i="50"/>
  <c r="AC184" i="50"/>
  <c r="AC185" i="50"/>
  <c r="AC186" i="50"/>
  <c r="AC187" i="50"/>
  <c r="AC188" i="50"/>
  <c r="AC189" i="50"/>
  <c r="AC190" i="50"/>
  <c r="AC191" i="50"/>
  <c r="AC192" i="50"/>
  <c r="AC193" i="50"/>
  <c r="AC194" i="50"/>
  <c r="AC195" i="50"/>
  <c r="AC196" i="50"/>
  <c r="AC197" i="50"/>
  <c r="AC198" i="50"/>
  <c r="AC199" i="50"/>
  <c r="AC200" i="50"/>
  <c r="AC201" i="50"/>
  <c r="AC202" i="50"/>
  <c r="AC203" i="50"/>
  <c r="AC204" i="50"/>
  <c r="AC205" i="50"/>
  <c r="AC206" i="50"/>
  <c r="AC207" i="50"/>
  <c r="AC208" i="50"/>
  <c r="AC209" i="50"/>
  <c r="AC210" i="50"/>
  <c r="AC211" i="50"/>
  <c r="AC212" i="50"/>
  <c r="AC213" i="50"/>
  <c r="AC214" i="50"/>
  <c r="AC215" i="50"/>
  <c r="AC216" i="50"/>
  <c r="AC217" i="50"/>
  <c r="AC218" i="50"/>
  <c r="AC219" i="50"/>
  <c r="AC220" i="50"/>
  <c r="AC221" i="50"/>
  <c r="AC222" i="50"/>
  <c r="AC223" i="50"/>
  <c r="AC224" i="50"/>
  <c r="AC225" i="50"/>
  <c r="AC226" i="50"/>
  <c r="AC227" i="50"/>
  <c r="AC228" i="50"/>
  <c r="AC229" i="50"/>
  <c r="AC230" i="50"/>
  <c r="AC231" i="50"/>
  <c r="AC232" i="50"/>
  <c r="AC233" i="50"/>
  <c r="AC234" i="50"/>
  <c r="AC235" i="50"/>
  <c r="AC236" i="50"/>
  <c r="AC237" i="50"/>
  <c r="AC238" i="50"/>
  <c r="AC239" i="50"/>
  <c r="AC240" i="50"/>
  <c r="AC241" i="50"/>
  <c r="AC242" i="50"/>
  <c r="AC243" i="50"/>
  <c r="AC244" i="50"/>
  <c r="AC245" i="50"/>
  <c r="AC246" i="50"/>
  <c r="AC247" i="50"/>
  <c r="AC248" i="50"/>
  <c r="AC249" i="50"/>
  <c r="AC250" i="50"/>
  <c r="AC251" i="50"/>
  <c r="AC252" i="50"/>
  <c r="AC253" i="50"/>
  <c r="AC254" i="50"/>
  <c r="AC255" i="50"/>
  <c r="AC256" i="50"/>
  <c r="AC257" i="50"/>
  <c r="AC258" i="50"/>
  <c r="AC12" i="50"/>
  <c r="AB13" i="50"/>
  <c r="AB14" i="50"/>
  <c r="AB15" i="50"/>
  <c r="AB16" i="50"/>
  <c r="AB17" i="50"/>
  <c r="AB18" i="50"/>
  <c r="AB19" i="50"/>
  <c r="AB20" i="50"/>
  <c r="AB21" i="50"/>
  <c r="AB22" i="50"/>
  <c r="AB23" i="50"/>
  <c r="AB24" i="50"/>
  <c r="AB25" i="50"/>
  <c r="AB26" i="50"/>
  <c r="AB27" i="50"/>
  <c r="AB28" i="50"/>
  <c r="AB29" i="50"/>
  <c r="AB30" i="50"/>
  <c r="AB31" i="50"/>
  <c r="AB32" i="50"/>
  <c r="AB33" i="50"/>
  <c r="AB34" i="50"/>
  <c r="AB35" i="50"/>
  <c r="AB36" i="50"/>
  <c r="AB37" i="50"/>
  <c r="AB38" i="50"/>
  <c r="AB39" i="50"/>
  <c r="AB40" i="50"/>
  <c r="AB41" i="50"/>
  <c r="AB42" i="50"/>
  <c r="AB43" i="50"/>
  <c r="AB44" i="50"/>
  <c r="AB45" i="50"/>
  <c r="AB46" i="50"/>
  <c r="AB47" i="50"/>
  <c r="AB48" i="50"/>
  <c r="AB49" i="50"/>
  <c r="AB50" i="50"/>
  <c r="AB51" i="50"/>
  <c r="AB52" i="50"/>
  <c r="AB53" i="50"/>
  <c r="AB54" i="50"/>
  <c r="AB55" i="50"/>
  <c r="AB56" i="50"/>
  <c r="AB57" i="50"/>
  <c r="AB58" i="50"/>
  <c r="AB59" i="50"/>
  <c r="AB60" i="50"/>
  <c r="AB61" i="50"/>
  <c r="AB62" i="50"/>
  <c r="AB63" i="50"/>
  <c r="AB64" i="50"/>
  <c r="AB65" i="50"/>
  <c r="AB66" i="50"/>
  <c r="AB67" i="50"/>
  <c r="AB68" i="50"/>
  <c r="AB69" i="50"/>
  <c r="AB70" i="50"/>
  <c r="AB71" i="50"/>
  <c r="AB72" i="50"/>
  <c r="AB73" i="50"/>
  <c r="AB74" i="50"/>
  <c r="AB75" i="50"/>
  <c r="AB76" i="50"/>
  <c r="AB77" i="50"/>
  <c r="AB78" i="50"/>
  <c r="AB79" i="50"/>
  <c r="AB80" i="50"/>
  <c r="AB81" i="50"/>
  <c r="AB82" i="50"/>
  <c r="AB83" i="50"/>
  <c r="AB84" i="50"/>
  <c r="AB85" i="50"/>
  <c r="AB86" i="50"/>
  <c r="AB87" i="50"/>
  <c r="AB88" i="50"/>
  <c r="AB89" i="50"/>
  <c r="AB90" i="50"/>
  <c r="AB91" i="50"/>
  <c r="AB92" i="50"/>
  <c r="AB93" i="50"/>
  <c r="AB94" i="50"/>
  <c r="AB95" i="50"/>
  <c r="AB96" i="50"/>
  <c r="AB97" i="50"/>
  <c r="AB98" i="50"/>
  <c r="AB99" i="50"/>
  <c r="AB100" i="50"/>
  <c r="AB101" i="50"/>
  <c r="AB102" i="50"/>
  <c r="AB103" i="50"/>
  <c r="AB104" i="50"/>
  <c r="AB105" i="50"/>
  <c r="AB106" i="50"/>
  <c r="AB107" i="50"/>
  <c r="AB108" i="50"/>
  <c r="AB109" i="50"/>
  <c r="AB110" i="50"/>
  <c r="AB111" i="50"/>
  <c r="AB112" i="50"/>
  <c r="AB113" i="50"/>
  <c r="AB114" i="50"/>
  <c r="AB115" i="50"/>
  <c r="AB116" i="50"/>
  <c r="AB117" i="50"/>
  <c r="AB118" i="50"/>
  <c r="AB119" i="50"/>
  <c r="AB120" i="50"/>
  <c r="AB121" i="50"/>
  <c r="AB122" i="50"/>
  <c r="AB123" i="50"/>
  <c r="AB124" i="50"/>
  <c r="AB125" i="50"/>
  <c r="AB126" i="50"/>
  <c r="AB127" i="50"/>
  <c r="AB128" i="50"/>
  <c r="AB129" i="50"/>
  <c r="AB130" i="50"/>
  <c r="AB131" i="50"/>
  <c r="AB132" i="50"/>
  <c r="AB133" i="50"/>
  <c r="AB134" i="50"/>
  <c r="AB135" i="50"/>
  <c r="AB136" i="50"/>
  <c r="AB137" i="50"/>
  <c r="AB138" i="50"/>
  <c r="AB139" i="50"/>
  <c r="AB140" i="50"/>
  <c r="AB141" i="50"/>
  <c r="AB142" i="50"/>
  <c r="AB143" i="50"/>
  <c r="AB144" i="50"/>
  <c r="AB145" i="50"/>
  <c r="AB146" i="50"/>
  <c r="AB147" i="50"/>
  <c r="AB148" i="50"/>
  <c r="AB149" i="50"/>
  <c r="AB150" i="50"/>
  <c r="AB151" i="50"/>
  <c r="AB152" i="50"/>
  <c r="AB153" i="50"/>
  <c r="AB154" i="50"/>
  <c r="AB155" i="50"/>
  <c r="AB156" i="50"/>
  <c r="AB157" i="50"/>
  <c r="AB158" i="50"/>
  <c r="AB159" i="50"/>
  <c r="AB160" i="50"/>
  <c r="AB161" i="50"/>
  <c r="AB162" i="50"/>
  <c r="AB163" i="50"/>
  <c r="AB164" i="50"/>
  <c r="AB165" i="50"/>
  <c r="AB166" i="50"/>
  <c r="AB167" i="50"/>
  <c r="AB168" i="50"/>
  <c r="AB169" i="50"/>
  <c r="AB170" i="50"/>
  <c r="AB171" i="50"/>
  <c r="AB172" i="50"/>
  <c r="AB173" i="50"/>
  <c r="AB174" i="50"/>
  <c r="AB175" i="50"/>
  <c r="AB176" i="50"/>
  <c r="AB177" i="50"/>
  <c r="AB178" i="50"/>
  <c r="AB179" i="50"/>
  <c r="AB180" i="50"/>
  <c r="AB181" i="50"/>
  <c r="AB182" i="50"/>
  <c r="AB183" i="50"/>
  <c r="AB184" i="50"/>
  <c r="AB185" i="50"/>
  <c r="AB186" i="50"/>
  <c r="AB187" i="50"/>
  <c r="AB188" i="50"/>
  <c r="AB189" i="50"/>
  <c r="AB190" i="50"/>
  <c r="AB191" i="50"/>
  <c r="AB192" i="50"/>
  <c r="AB193" i="50"/>
  <c r="AB194" i="50"/>
  <c r="AB195" i="50"/>
  <c r="AB196" i="50"/>
  <c r="AB197" i="50"/>
  <c r="AB198" i="50"/>
  <c r="AB199" i="50"/>
  <c r="AB200" i="50"/>
  <c r="AB201" i="50"/>
  <c r="AB202" i="50"/>
  <c r="AB203" i="50"/>
  <c r="AB204" i="50"/>
  <c r="AB205" i="50"/>
  <c r="AB206" i="50"/>
  <c r="AB207" i="50"/>
  <c r="AB208" i="50"/>
  <c r="AB209" i="50"/>
  <c r="AB210" i="50"/>
  <c r="AB211" i="50"/>
  <c r="AB212" i="50"/>
  <c r="AB213" i="50"/>
  <c r="AB214" i="50"/>
  <c r="AB215" i="50"/>
  <c r="AB216" i="50"/>
  <c r="AB217" i="50"/>
  <c r="AB218" i="50"/>
  <c r="AB219" i="50"/>
  <c r="AB220" i="50"/>
  <c r="AB221" i="50"/>
  <c r="AB222" i="50"/>
  <c r="AB223" i="50"/>
  <c r="AB224" i="50"/>
  <c r="AB225" i="50"/>
  <c r="AB226" i="50"/>
  <c r="AB227" i="50"/>
  <c r="AB228" i="50"/>
  <c r="AB229" i="50"/>
  <c r="AB230" i="50"/>
  <c r="AB231" i="50"/>
  <c r="AB232" i="50"/>
  <c r="AB233" i="50"/>
  <c r="AB234" i="50"/>
  <c r="AB235" i="50"/>
  <c r="AB236" i="50"/>
  <c r="AB237" i="50"/>
  <c r="AB238" i="50"/>
  <c r="AB239" i="50"/>
  <c r="AB240" i="50"/>
  <c r="AB241" i="50"/>
  <c r="AB242" i="50"/>
  <c r="AB243" i="50"/>
  <c r="AB244" i="50"/>
  <c r="AB245" i="50"/>
  <c r="AB246" i="50"/>
  <c r="AB247" i="50"/>
  <c r="AB248" i="50"/>
  <c r="AB249" i="50"/>
  <c r="AB250" i="50"/>
  <c r="AB251" i="50"/>
  <c r="AB252" i="50"/>
  <c r="AB253" i="50"/>
  <c r="AB254" i="50"/>
  <c r="AB255" i="50"/>
  <c r="AB256" i="50"/>
  <c r="AB257" i="50"/>
  <c r="AB258" i="50"/>
  <c r="AB12" i="50"/>
  <c r="M252" i="71"/>
  <c r="Z12" i="71"/>
  <c r="Z13" i="71"/>
  <c r="Z14" i="71"/>
  <c r="Z15" i="71"/>
  <c r="Z16" i="71"/>
  <c r="Z17" i="71"/>
  <c r="Z18" i="71"/>
  <c r="Z19" i="71"/>
  <c r="Z20" i="71"/>
  <c r="Z21" i="71"/>
  <c r="Z22" i="71"/>
  <c r="Z23" i="71"/>
  <c r="Z24" i="71"/>
  <c r="Z25" i="71"/>
  <c r="Z26" i="71"/>
  <c r="Z27" i="71"/>
  <c r="Z28" i="71"/>
  <c r="Z29" i="71"/>
  <c r="Z30" i="71"/>
  <c r="Z31" i="71"/>
  <c r="Z32" i="71"/>
  <c r="Z33" i="71"/>
  <c r="Z34" i="71"/>
  <c r="Z35" i="71"/>
  <c r="Z36" i="71"/>
  <c r="Z37" i="71"/>
  <c r="Z38" i="71"/>
  <c r="Z39" i="71"/>
  <c r="Z40" i="71"/>
  <c r="Z41" i="71"/>
  <c r="Z42" i="71"/>
  <c r="Z43" i="71"/>
  <c r="Z44" i="71"/>
  <c r="Z45" i="71"/>
  <c r="Z46" i="71"/>
  <c r="Z47" i="71"/>
  <c r="Z48" i="71"/>
  <c r="Z49" i="71"/>
  <c r="Z50" i="71"/>
  <c r="Z51" i="71"/>
  <c r="Z52" i="71"/>
  <c r="Z53" i="71"/>
  <c r="Z54" i="71"/>
  <c r="Z55" i="71"/>
  <c r="Z56" i="71"/>
  <c r="Z57" i="71"/>
  <c r="Z58" i="71"/>
  <c r="Z59" i="71"/>
  <c r="Z60" i="71"/>
  <c r="Z61" i="71"/>
  <c r="Z62" i="71"/>
  <c r="Z63" i="71"/>
  <c r="Z64" i="71"/>
  <c r="Z65" i="71"/>
  <c r="Z66" i="71"/>
  <c r="Z67" i="71"/>
  <c r="Z68" i="71"/>
  <c r="Z69" i="71"/>
  <c r="Z70" i="71"/>
  <c r="Z71" i="71"/>
  <c r="Z72" i="71"/>
  <c r="Z73" i="71"/>
  <c r="Z74" i="71"/>
  <c r="Z75" i="71"/>
  <c r="Z76" i="71"/>
  <c r="Z77" i="71"/>
  <c r="Z78" i="71"/>
  <c r="Z79" i="71"/>
  <c r="Z80" i="71"/>
  <c r="Z81" i="71"/>
  <c r="Z82" i="71"/>
  <c r="Z83" i="71"/>
  <c r="Z84" i="71"/>
  <c r="Z85" i="71"/>
  <c r="Z86" i="71"/>
  <c r="Z87" i="71"/>
  <c r="Z88" i="71"/>
  <c r="Z89" i="71"/>
  <c r="Z90" i="71"/>
  <c r="Z91" i="71"/>
  <c r="Z92" i="71"/>
  <c r="Z93" i="71"/>
  <c r="Z94" i="71"/>
  <c r="Z95" i="71"/>
  <c r="Z96" i="71"/>
  <c r="Z97" i="71"/>
  <c r="Z98" i="71"/>
  <c r="Z99" i="71"/>
  <c r="Z100" i="71"/>
  <c r="Z101" i="71"/>
  <c r="Z102" i="71"/>
  <c r="Z103" i="71"/>
  <c r="Z104" i="71"/>
  <c r="Z105" i="71"/>
  <c r="Z106" i="71"/>
  <c r="Z107" i="71"/>
  <c r="Z108" i="71"/>
  <c r="Z109" i="71"/>
  <c r="Z110" i="71"/>
  <c r="Z111" i="71"/>
  <c r="Z112" i="71"/>
  <c r="Z113" i="71"/>
  <c r="Z114" i="71"/>
  <c r="Z115" i="71"/>
  <c r="Z116" i="71"/>
  <c r="Z117" i="71"/>
  <c r="Z118" i="71"/>
  <c r="Z119" i="71"/>
  <c r="Z120" i="71"/>
  <c r="Z121" i="71"/>
  <c r="Z122" i="71"/>
  <c r="Z123" i="71"/>
  <c r="Z124" i="71"/>
  <c r="Z125" i="71"/>
  <c r="Z126" i="71"/>
  <c r="Z127" i="71"/>
  <c r="Z128" i="71"/>
  <c r="Z129" i="71"/>
  <c r="Z130" i="71"/>
  <c r="Z131" i="71"/>
  <c r="Z132" i="71"/>
  <c r="Z133" i="71"/>
  <c r="Z134" i="71"/>
  <c r="Z135" i="71"/>
  <c r="Z136" i="71"/>
  <c r="Z137" i="71"/>
  <c r="Z138" i="71"/>
  <c r="Z139" i="71"/>
  <c r="Z140" i="71"/>
  <c r="Z141" i="71"/>
  <c r="Z142" i="71"/>
  <c r="Z143" i="71"/>
  <c r="Z144" i="71"/>
  <c r="Z145" i="71"/>
  <c r="Z146" i="71"/>
  <c r="Z147" i="71"/>
  <c r="Z148" i="71"/>
  <c r="Z149" i="71"/>
  <c r="Z150" i="71"/>
  <c r="Z151" i="71"/>
  <c r="Z152" i="71"/>
  <c r="Z153" i="71"/>
  <c r="Z154" i="71"/>
  <c r="Z155" i="71"/>
  <c r="Z156" i="71"/>
  <c r="Z157" i="71"/>
  <c r="Z158" i="71"/>
  <c r="Z159" i="71"/>
  <c r="Z160" i="71"/>
  <c r="Z161" i="71"/>
  <c r="Z162" i="71"/>
  <c r="Z163" i="71"/>
  <c r="Z164" i="71"/>
  <c r="Z165" i="71"/>
  <c r="Z166" i="71"/>
  <c r="Z167" i="71"/>
  <c r="Z168" i="71"/>
  <c r="Z169" i="71"/>
  <c r="Z170" i="71"/>
  <c r="Z171" i="71"/>
  <c r="Z172" i="71"/>
  <c r="Z173" i="71"/>
  <c r="Z174" i="71"/>
  <c r="Z175" i="71"/>
  <c r="Z176" i="71"/>
  <c r="Z177" i="71"/>
  <c r="Z178" i="71"/>
  <c r="Z179" i="71"/>
  <c r="Z180" i="71"/>
  <c r="Z181" i="71"/>
  <c r="Z182" i="71"/>
  <c r="Z183" i="71"/>
  <c r="Z184" i="71"/>
  <c r="Z185" i="71"/>
  <c r="Z186" i="71"/>
  <c r="Z187" i="71"/>
  <c r="Z188" i="71"/>
  <c r="Z189" i="71"/>
  <c r="Z190" i="71"/>
  <c r="Z191" i="71"/>
  <c r="Z192" i="71"/>
  <c r="Z193" i="71"/>
  <c r="Z194" i="71"/>
  <c r="Z195" i="71"/>
  <c r="Z196" i="71"/>
  <c r="Z197" i="71"/>
  <c r="Z198" i="71"/>
  <c r="Z199" i="71"/>
  <c r="Z200" i="71"/>
  <c r="Z201" i="71"/>
  <c r="Z202" i="71"/>
  <c r="Z203" i="71"/>
  <c r="Z204" i="71"/>
  <c r="Z205" i="71"/>
  <c r="Z206" i="71"/>
  <c r="Z207" i="71"/>
  <c r="Z208" i="71"/>
  <c r="Z209" i="71"/>
  <c r="Z210" i="71"/>
  <c r="Z211" i="71"/>
  <c r="Z212" i="71"/>
  <c r="Z213" i="71"/>
  <c r="Z214" i="71"/>
  <c r="Z215" i="71"/>
  <c r="Z216" i="71"/>
  <c r="Z217" i="71"/>
  <c r="Z218" i="71"/>
  <c r="Z219" i="71"/>
  <c r="Z220" i="71"/>
  <c r="Z221" i="71"/>
  <c r="Z222" i="71"/>
  <c r="Z223" i="71"/>
  <c r="Z224" i="71"/>
  <c r="Z225" i="71"/>
  <c r="Z226" i="71"/>
  <c r="Z227" i="71"/>
  <c r="Z228" i="71"/>
  <c r="Z229" i="71"/>
  <c r="Z230" i="71"/>
  <c r="Z231" i="71"/>
  <c r="Z232" i="71"/>
  <c r="Z233" i="71"/>
  <c r="Z234" i="71"/>
  <c r="Z235" i="71"/>
  <c r="Z236" i="71"/>
  <c r="Z237" i="71"/>
  <c r="Z238" i="71"/>
  <c r="Z239" i="71"/>
  <c r="Z240" i="71"/>
  <c r="Z241" i="71"/>
  <c r="Z242" i="71"/>
  <c r="Z243" i="71"/>
  <c r="Z244" i="71"/>
  <c r="Z245" i="71"/>
  <c r="Z246" i="71"/>
  <c r="Z247" i="71"/>
  <c r="Z248" i="71"/>
  <c r="Z249" i="71"/>
  <c r="Z250" i="71"/>
  <c r="Z251" i="71"/>
  <c r="Z252" i="71"/>
  <c r="Z253" i="71"/>
  <c r="Z254" i="71"/>
  <c r="Z255" i="71"/>
  <c r="Z256" i="71"/>
  <c r="Z11" i="71"/>
  <c r="N11" i="71"/>
  <c r="N12" i="71"/>
  <c r="N13" i="71"/>
  <c r="N14" i="71"/>
  <c r="N15" i="71"/>
  <c r="N16" i="71"/>
  <c r="N17" i="71"/>
  <c r="N18" i="71"/>
  <c r="N19" i="71"/>
  <c r="N20" i="71"/>
  <c r="N21" i="71"/>
  <c r="N22" i="71"/>
  <c r="N23" i="71"/>
  <c r="N24" i="71"/>
  <c r="N25" i="71"/>
  <c r="N26" i="71"/>
  <c r="N27" i="71"/>
  <c r="N28" i="71"/>
  <c r="N29" i="71"/>
  <c r="N30" i="71"/>
  <c r="N31" i="71"/>
  <c r="N32" i="71"/>
  <c r="N33" i="71"/>
  <c r="N34" i="71"/>
  <c r="N35" i="71"/>
  <c r="N36" i="71"/>
  <c r="N37" i="71"/>
  <c r="N38" i="71"/>
  <c r="N39" i="71"/>
  <c r="N40" i="71"/>
  <c r="N41" i="71"/>
  <c r="N42" i="71"/>
  <c r="N43" i="71"/>
  <c r="N44" i="71"/>
  <c r="N45" i="71"/>
  <c r="N46" i="71"/>
  <c r="N47" i="71"/>
  <c r="N48" i="71"/>
  <c r="N49" i="71"/>
  <c r="N50" i="71"/>
  <c r="N51" i="71"/>
  <c r="N52" i="71"/>
  <c r="N53" i="71"/>
  <c r="N54" i="71"/>
  <c r="N55" i="71"/>
  <c r="N56" i="71"/>
  <c r="N57" i="71"/>
  <c r="N58" i="71"/>
  <c r="N59" i="71"/>
  <c r="N60" i="71"/>
  <c r="N61" i="71"/>
  <c r="N62" i="71"/>
  <c r="N63" i="71"/>
  <c r="N64" i="71"/>
  <c r="N65" i="71"/>
  <c r="N66" i="71"/>
  <c r="N67" i="71"/>
  <c r="N68" i="71"/>
  <c r="N69" i="71"/>
  <c r="N70" i="71"/>
  <c r="N71" i="71"/>
  <c r="N72" i="71"/>
  <c r="N73" i="71"/>
  <c r="N74" i="71"/>
  <c r="N75" i="71"/>
  <c r="N76" i="71"/>
  <c r="N77" i="71"/>
  <c r="N78" i="71"/>
  <c r="N79" i="71"/>
  <c r="N80" i="71"/>
  <c r="N81" i="71"/>
  <c r="N82" i="71"/>
  <c r="N83" i="71"/>
  <c r="N84" i="71"/>
  <c r="N85" i="71"/>
  <c r="N86" i="71"/>
  <c r="N87" i="71"/>
  <c r="N88" i="71"/>
  <c r="N89" i="71"/>
  <c r="N90" i="71"/>
  <c r="N91" i="71"/>
  <c r="N92" i="71"/>
  <c r="N93" i="71"/>
  <c r="N94" i="71"/>
  <c r="N95" i="71"/>
  <c r="N96" i="71"/>
  <c r="N97" i="71"/>
  <c r="N98" i="71"/>
  <c r="N99" i="71"/>
  <c r="N100" i="71"/>
  <c r="N101" i="71"/>
  <c r="N102" i="71"/>
  <c r="N103" i="71"/>
  <c r="N104" i="71"/>
  <c r="N105" i="71"/>
  <c r="N106" i="71"/>
  <c r="N107" i="71"/>
  <c r="N108" i="71"/>
  <c r="N109" i="71"/>
  <c r="N110" i="71"/>
  <c r="N111" i="71"/>
  <c r="N112" i="71"/>
  <c r="N113" i="71"/>
  <c r="N114" i="71"/>
  <c r="N115" i="71"/>
  <c r="N116" i="71"/>
  <c r="N117" i="71"/>
  <c r="N118" i="71"/>
  <c r="N119" i="71"/>
  <c r="N120" i="71"/>
  <c r="N121" i="71"/>
  <c r="N122" i="71"/>
  <c r="N123" i="71"/>
  <c r="N124" i="71"/>
  <c r="N125" i="71"/>
  <c r="N126" i="71"/>
  <c r="N127" i="71"/>
  <c r="N128" i="71"/>
  <c r="N129" i="71"/>
  <c r="N130" i="71"/>
  <c r="N131" i="71"/>
  <c r="N132" i="71"/>
  <c r="N133" i="71"/>
  <c r="N134" i="71"/>
  <c r="N135" i="71"/>
  <c r="N136" i="71"/>
  <c r="N137" i="71"/>
  <c r="N138" i="71"/>
  <c r="N139" i="71"/>
  <c r="N140" i="71"/>
  <c r="N141" i="71"/>
  <c r="N142" i="71"/>
  <c r="N143" i="71"/>
  <c r="N144" i="71"/>
  <c r="N145" i="71"/>
  <c r="N146" i="71"/>
  <c r="N147" i="71"/>
  <c r="N148" i="71"/>
  <c r="N149" i="71"/>
  <c r="N150" i="71"/>
  <c r="N151" i="71"/>
  <c r="N152" i="71"/>
  <c r="N153" i="71"/>
  <c r="N154" i="71"/>
  <c r="N155" i="71"/>
  <c r="N156" i="71"/>
  <c r="N157" i="71"/>
  <c r="N158" i="71"/>
  <c r="N159" i="71"/>
  <c r="N160" i="71"/>
  <c r="N161" i="71"/>
  <c r="N162" i="71"/>
  <c r="N163" i="71"/>
  <c r="N164" i="71"/>
  <c r="N165" i="71"/>
  <c r="N166" i="71"/>
  <c r="N167" i="71"/>
  <c r="N168" i="71"/>
  <c r="N169" i="71"/>
  <c r="N170" i="71"/>
  <c r="N171" i="71"/>
  <c r="N172" i="71"/>
  <c r="N173" i="71"/>
  <c r="N174" i="71"/>
  <c r="N175" i="71"/>
  <c r="N176" i="71"/>
  <c r="N177" i="71"/>
  <c r="N178" i="71"/>
  <c r="N179" i="71"/>
  <c r="N180" i="71"/>
  <c r="N181" i="71"/>
  <c r="N182" i="71"/>
  <c r="N183" i="71"/>
  <c r="N184" i="71"/>
  <c r="N185" i="71"/>
  <c r="N186" i="71"/>
  <c r="N187" i="71"/>
  <c r="N188" i="71"/>
  <c r="N189" i="71"/>
  <c r="N190" i="71"/>
  <c r="N191" i="71"/>
  <c r="N192" i="71"/>
  <c r="N193" i="71"/>
  <c r="N194" i="71"/>
  <c r="N195" i="71"/>
  <c r="N196" i="71"/>
  <c r="N197" i="71"/>
  <c r="N198" i="71"/>
  <c r="N199" i="71"/>
  <c r="N200" i="71"/>
  <c r="N201" i="71"/>
  <c r="N202" i="71"/>
  <c r="N203" i="71"/>
  <c r="N204" i="71"/>
  <c r="N205" i="71"/>
  <c r="N206" i="71"/>
  <c r="N207" i="71"/>
  <c r="N208" i="71"/>
  <c r="N209" i="71"/>
  <c r="N210" i="71"/>
  <c r="N211" i="71"/>
  <c r="N212" i="71"/>
  <c r="N213" i="71"/>
  <c r="N214" i="71"/>
  <c r="N215" i="71"/>
  <c r="N216" i="71"/>
  <c r="N217" i="71"/>
  <c r="N218" i="71"/>
  <c r="N219" i="71"/>
  <c r="N220" i="71"/>
  <c r="N221" i="71"/>
  <c r="N222" i="71"/>
  <c r="N223" i="71"/>
  <c r="N224" i="71"/>
  <c r="N225" i="71"/>
  <c r="N226" i="71"/>
  <c r="N227" i="71"/>
  <c r="N228" i="71"/>
  <c r="N229" i="71"/>
  <c r="N230" i="71"/>
  <c r="N231" i="71"/>
  <c r="N232" i="71"/>
  <c r="N233" i="71"/>
  <c r="N234" i="71"/>
  <c r="N235" i="71"/>
  <c r="N236" i="71"/>
  <c r="N237" i="71"/>
  <c r="N238" i="71"/>
  <c r="N239" i="71"/>
  <c r="N240" i="71"/>
  <c r="N241" i="71"/>
  <c r="N242" i="71"/>
  <c r="N243" i="71"/>
  <c r="N244" i="71"/>
  <c r="N245" i="71"/>
  <c r="N246" i="71"/>
  <c r="N247" i="71"/>
  <c r="N248" i="71"/>
  <c r="N249" i="71"/>
  <c r="N250" i="71"/>
  <c r="N251" i="71"/>
  <c r="N252" i="71"/>
  <c r="N253" i="71"/>
  <c r="N254" i="71"/>
  <c r="N255" i="71"/>
  <c r="N256" i="71"/>
  <c r="M12" i="71"/>
  <c r="M13" i="71"/>
  <c r="M14" i="71"/>
  <c r="M15" i="71"/>
  <c r="M16" i="71"/>
  <c r="M17" i="71"/>
  <c r="M18" i="71"/>
  <c r="M19" i="71"/>
  <c r="M20" i="71"/>
  <c r="M21" i="71"/>
  <c r="M22" i="71"/>
  <c r="M23" i="71"/>
  <c r="M24" i="71"/>
  <c r="M25" i="71"/>
  <c r="M26" i="71"/>
  <c r="M27" i="71"/>
  <c r="M28" i="71"/>
  <c r="M29" i="71"/>
  <c r="M30" i="71"/>
  <c r="M31" i="71"/>
  <c r="M32" i="71"/>
  <c r="M33" i="71"/>
  <c r="M34" i="71"/>
  <c r="M35" i="71"/>
  <c r="M36" i="71"/>
  <c r="M37" i="71"/>
  <c r="M38" i="71"/>
  <c r="M39" i="71"/>
  <c r="M40" i="71"/>
  <c r="M41" i="71"/>
  <c r="M42" i="71"/>
  <c r="M43" i="71"/>
  <c r="M44" i="71"/>
  <c r="M45" i="71"/>
  <c r="M46" i="71"/>
  <c r="M47" i="71"/>
  <c r="M48" i="71"/>
  <c r="M49" i="71"/>
  <c r="M50" i="71"/>
  <c r="M51" i="71"/>
  <c r="M52" i="71"/>
  <c r="M53" i="71"/>
  <c r="M54" i="71"/>
  <c r="M55" i="71"/>
  <c r="M56" i="71"/>
  <c r="M57" i="71"/>
  <c r="M58" i="71"/>
  <c r="M59" i="71"/>
  <c r="M60" i="71"/>
  <c r="M61" i="71"/>
  <c r="M62" i="71"/>
  <c r="M63" i="71"/>
  <c r="M64" i="71"/>
  <c r="M65" i="71"/>
  <c r="M66" i="71"/>
  <c r="M67" i="71"/>
  <c r="M68" i="71"/>
  <c r="M69" i="71"/>
  <c r="M70" i="71"/>
  <c r="M71" i="71"/>
  <c r="M72" i="71"/>
  <c r="M73" i="71"/>
  <c r="M74" i="71"/>
  <c r="M75" i="71"/>
  <c r="M76" i="71"/>
  <c r="M77" i="71"/>
  <c r="M78" i="71"/>
  <c r="M79" i="71"/>
  <c r="M80" i="71"/>
  <c r="M81" i="71"/>
  <c r="M82" i="71"/>
  <c r="M83" i="71"/>
  <c r="M84" i="71"/>
  <c r="M85" i="71"/>
  <c r="M86" i="71"/>
  <c r="M87" i="71"/>
  <c r="M88" i="71"/>
  <c r="M89" i="71"/>
  <c r="M90" i="71"/>
  <c r="M91" i="71"/>
  <c r="M92" i="71"/>
  <c r="M93" i="71"/>
  <c r="M94" i="71"/>
  <c r="M95" i="71"/>
  <c r="M96" i="71"/>
  <c r="M97" i="71"/>
  <c r="M98" i="71"/>
  <c r="M99" i="71"/>
  <c r="M100" i="71"/>
  <c r="M101" i="71"/>
  <c r="M102" i="71"/>
  <c r="M103" i="71"/>
  <c r="M104" i="71"/>
  <c r="M105" i="71"/>
  <c r="M106" i="71"/>
  <c r="M107" i="71"/>
  <c r="M108" i="71"/>
  <c r="M109" i="71"/>
  <c r="M110" i="71"/>
  <c r="M111" i="71"/>
  <c r="M112" i="71"/>
  <c r="M113" i="71"/>
  <c r="M114" i="71"/>
  <c r="M115" i="71"/>
  <c r="M116" i="71"/>
  <c r="M117" i="71"/>
  <c r="M118" i="71"/>
  <c r="M119" i="71"/>
  <c r="M120" i="71"/>
  <c r="M121" i="71"/>
  <c r="M122" i="71"/>
  <c r="M123" i="71"/>
  <c r="M124" i="71"/>
  <c r="M125" i="71"/>
  <c r="M126" i="71"/>
  <c r="M127" i="71"/>
  <c r="M128" i="71"/>
  <c r="M129" i="71"/>
  <c r="M130" i="71"/>
  <c r="M131" i="71"/>
  <c r="M132" i="71"/>
  <c r="M133" i="71"/>
  <c r="M134" i="71"/>
  <c r="M135" i="71"/>
  <c r="M136" i="71"/>
  <c r="M137" i="71"/>
  <c r="M138" i="71"/>
  <c r="M139" i="71"/>
  <c r="M140" i="71"/>
  <c r="M141" i="71"/>
  <c r="M142" i="71"/>
  <c r="M143" i="71"/>
  <c r="M144" i="71"/>
  <c r="M145" i="71"/>
  <c r="M146" i="71"/>
  <c r="M147" i="71"/>
  <c r="M148" i="71"/>
  <c r="M149" i="71"/>
  <c r="M150" i="71"/>
  <c r="M151" i="71"/>
  <c r="M152" i="71"/>
  <c r="M153" i="71"/>
  <c r="M154" i="71"/>
  <c r="M155" i="71"/>
  <c r="M156" i="71"/>
  <c r="M157" i="71"/>
  <c r="M158" i="71"/>
  <c r="M159" i="71"/>
  <c r="M160" i="71"/>
  <c r="M161" i="71"/>
  <c r="M162" i="71"/>
  <c r="M163" i="71"/>
  <c r="M164" i="71"/>
  <c r="M165" i="71"/>
  <c r="M166" i="71"/>
  <c r="M167" i="71"/>
  <c r="M168" i="71"/>
  <c r="M169" i="71"/>
  <c r="M170" i="71"/>
  <c r="M171" i="71"/>
  <c r="M172" i="71"/>
  <c r="M173" i="71"/>
  <c r="M174" i="71"/>
  <c r="M175" i="71"/>
  <c r="M176" i="71"/>
  <c r="M177" i="71"/>
  <c r="M178" i="71"/>
  <c r="M179" i="71"/>
  <c r="M180" i="71"/>
  <c r="M181" i="71"/>
  <c r="M182" i="71"/>
  <c r="M183" i="71"/>
  <c r="M184" i="71"/>
  <c r="M185" i="71"/>
  <c r="M186" i="71"/>
  <c r="M187" i="71"/>
  <c r="M188" i="71"/>
  <c r="M189" i="71"/>
  <c r="M190" i="71"/>
  <c r="M191" i="71"/>
  <c r="M192" i="71"/>
  <c r="M193" i="71"/>
  <c r="M194" i="71"/>
  <c r="M195" i="71"/>
  <c r="M196" i="71"/>
  <c r="M197" i="71"/>
  <c r="M198" i="71"/>
  <c r="M199" i="71"/>
  <c r="M200" i="71"/>
  <c r="M201" i="71"/>
  <c r="M202" i="71"/>
  <c r="M203" i="71"/>
  <c r="M204" i="71"/>
  <c r="M205" i="71"/>
  <c r="M206" i="71"/>
  <c r="M207" i="71"/>
  <c r="M208" i="71"/>
  <c r="M209" i="71"/>
  <c r="M210" i="71"/>
  <c r="M211" i="71"/>
  <c r="M212" i="71"/>
  <c r="M213" i="71"/>
  <c r="M214" i="71"/>
  <c r="M215" i="71"/>
  <c r="M216" i="71"/>
  <c r="M217" i="71"/>
  <c r="M218" i="71"/>
  <c r="M219" i="71"/>
  <c r="M220" i="71"/>
  <c r="M221" i="71"/>
  <c r="M222" i="71"/>
  <c r="M223" i="71"/>
  <c r="M224" i="71"/>
  <c r="M225" i="71"/>
  <c r="M226" i="71"/>
  <c r="M227" i="71"/>
  <c r="M228" i="71"/>
  <c r="M229" i="71"/>
  <c r="M230" i="71"/>
  <c r="M231" i="71"/>
  <c r="M232" i="71"/>
  <c r="M233" i="71"/>
  <c r="M234" i="71"/>
  <c r="M235" i="71"/>
  <c r="M236" i="71"/>
  <c r="M237" i="71"/>
  <c r="M238" i="71"/>
  <c r="M239" i="71"/>
  <c r="M240" i="71"/>
  <c r="M241" i="71"/>
  <c r="M242" i="71"/>
  <c r="M243" i="71"/>
  <c r="M244" i="71"/>
  <c r="M245" i="71"/>
  <c r="M246" i="71"/>
  <c r="M247" i="71"/>
  <c r="M248" i="71"/>
  <c r="M249" i="71"/>
  <c r="M250" i="71"/>
  <c r="M251" i="71"/>
  <c r="M253" i="71"/>
  <c r="M254" i="71"/>
  <c r="M255" i="71"/>
  <c r="M256" i="71"/>
  <c r="AB12" i="32"/>
  <c r="N13" i="46"/>
  <c r="N14" i="46"/>
  <c r="N15" i="46"/>
  <c r="N16" i="46"/>
  <c r="N17" i="46"/>
  <c r="N18" i="46"/>
  <c r="N19" i="46"/>
  <c r="N20" i="46"/>
  <c r="N21" i="46"/>
  <c r="N22" i="46"/>
  <c r="N23" i="46"/>
  <c r="N24" i="46"/>
  <c r="N25" i="46"/>
  <c r="N26" i="46"/>
  <c r="N27" i="46"/>
  <c r="N28" i="46"/>
  <c r="N29" i="46"/>
  <c r="N30" i="46"/>
  <c r="N31" i="46"/>
  <c r="N32" i="46"/>
  <c r="N33" i="46"/>
  <c r="N34" i="46"/>
  <c r="N35" i="46"/>
  <c r="N36" i="46"/>
  <c r="N37" i="46"/>
  <c r="N38" i="46"/>
  <c r="N39" i="46"/>
  <c r="N40" i="46"/>
  <c r="N41" i="46"/>
  <c r="N42" i="46"/>
  <c r="N43" i="46"/>
  <c r="N44" i="46"/>
  <c r="N45" i="46"/>
  <c r="N46" i="46"/>
  <c r="N47" i="46"/>
  <c r="N48" i="46"/>
  <c r="N49" i="46"/>
  <c r="N50" i="46"/>
  <c r="N51" i="46"/>
  <c r="N52" i="46"/>
  <c r="N53" i="46"/>
  <c r="N54" i="46"/>
  <c r="N55" i="46"/>
  <c r="N56" i="46"/>
  <c r="N57" i="46"/>
  <c r="N58" i="46"/>
  <c r="N59" i="46"/>
  <c r="N60" i="46"/>
  <c r="N61" i="46"/>
  <c r="N62" i="46"/>
  <c r="N63" i="46"/>
  <c r="N64" i="46"/>
  <c r="N65" i="46"/>
  <c r="N66" i="46"/>
  <c r="N67" i="46"/>
  <c r="N68" i="46"/>
  <c r="N69" i="46"/>
  <c r="N70" i="46"/>
  <c r="N71" i="46"/>
  <c r="N72" i="46"/>
  <c r="N73" i="46"/>
  <c r="N74" i="46"/>
  <c r="N75" i="46"/>
  <c r="N76" i="46"/>
  <c r="N77" i="46"/>
  <c r="N78" i="46"/>
  <c r="N79" i="46"/>
  <c r="N80" i="46"/>
  <c r="N81" i="46"/>
  <c r="N82" i="46"/>
  <c r="N83" i="46"/>
  <c r="N84" i="46"/>
  <c r="N85" i="46"/>
  <c r="N86" i="46"/>
  <c r="N87" i="46"/>
  <c r="N88" i="46"/>
  <c r="N89" i="46"/>
  <c r="N90" i="46"/>
  <c r="N91" i="46"/>
  <c r="N92" i="46"/>
  <c r="N93" i="46"/>
  <c r="N94" i="46"/>
  <c r="N95" i="46"/>
  <c r="N96" i="46"/>
  <c r="N97" i="46"/>
  <c r="N98" i="46"/>
  <c r="N99" i="46"/>
  <c r="N100" i="46"/>
  <c r="N101" i="46"/>
  <c r="N102" i="46"/>
  <c r="N103" i="46"/>
  <c r="N104" i="46"/>
  <c r="N105" i="46"/>
  <c r="N106" i="46"/>
  <c r="N107" i="46"/>
  <c r="N108" i="46"/>
  <c r="N109" i="46"/>
  <c r="N110" i="46"/>
  <c r="N111" i="46"/>
  <c r="N112" i="46"/>
  <c r="N113" i="46"/>
  <c r="N114" i="46"/>
  <c r="N115" i="46"/>
  <c r="N116" i="46"/>
  <c r="N117" i="46"/>
  <c r="N118" i="46"/>
  <c r="N119" i="46"/>
  <c r="N120" i="46"/>
  <c r="N121" i="46"/>
  <c r="N122" i="46"/>
  <c r="N123" i="46"/>
  <c r="N124" i="46"/>
  <c r="N125" i="46"/>
  <c r="N126" i="46"/>
  <c r="N127" i="46"/>
  <c r="N128" i="46"/>
  <c r="N129" i="46"/>
  <c r="N130" i="46"/>
  <c r="N131" i="46"/>
  <c r="N132" i="46"/>
  <c r="N133" i="46"/>
  <c r="N134" i="46"/>
  <c r="N135" i="46"/>
  <c r="N136" i="46"/>
  <c r="N137" i="46"/>
  <c r="N138" i="46"/>
  <c r="N139" i="46"/>
  <c r="N140" i="46"/>
  <c r="N141" i="46"/>
  <c r="N142" i="46"/>
  <c r="N143" i="46"/>
  <c r="N144" i="46"/>
  <c r="N145" i="46"/>
  <c r="N146" i="46"/>
  <c r="N147" i="46"/>
  <c r="N148" i="46"/>
  <c r="N149" i="46"/>
  <c r="N150" i="46"/>
  <c r="N151" i="46"/>
  <c r="N152" i="46"/>
  <c r="N153" i="46"/>
  <c r="N154" i="46"/>
  <c r="N155" i="46"/>
  <c r="N156" i="46"/>
  <c r="N157" i="46"/>
  <c r="N158" i="46"/>
  <c r="N159" i="46"/>
  <c r="N160" i="46"/>
  <c r="N161" i="46"/>
  <c r="N162" i="46"/>
  <c r="N163" i="46"/>
  <c r="N164" i="46"/>
  <c r="N165" i="46"/>
  <c r="N166" i="46"/>
  <c r="N167" i="46"/>
  <c r="N168" i="46"/>
  <c r="N169" i="46"/>
  <c r="N170" i="46"/>
  <c r="N171" i="46"/>
  <c r="N172" i="46"/>
  <c r="N173" i="46"/>
  <c r="N174" i="46"/>
  <c r="N175" i="46"/>
  <c r="N176" i="46"/>
  <c r="N177" i="46"/>
  <c r="N178" i="46"/>
  <c r="N179" i="46"/>
  <c r="N180" i="46"/>
  <c r="N181" i="46"/>
  <c r="N182" i="46"/>
  <c r="N183" i="46"/>
  <c r="N184" i="46"/>
  <c r="N185" i="46"/>
  <c r="N186" i="46"/>
  <c r="N187" i="46"/>
  <c r="N188" i="46"/>
  <c r="N189" i="46"/>
  <c r="N190" i="46"/>
  <c r="N191" i="46"/>
  <c r="N192" i="46"/>
  <c r="N193" i="46"/>
  <c r="N194" i="46"/>
  <c r="N195" i="46"/>
  <c r="N196" i="46"/>
  <c r="N197" i="46"/>
  <c r="N198" i="46"/>
  <c r="N199" i="46"/>
  <c r="N200" i="46"/>
  <c r="N201" i="46"/>
  <c r="N202" i="46"/>
  <c r="N203" i="46"/>
  <c r="N204" i="46"/>
  <c r="N205" i="46"/>
  <c r="N206" i="46"/>
  <c r="N207" i="46"/>
  <c r="N208" i="46"/>
  <c r="N209" i="46"/>
  <c r="N210" i="46"/>
  <c r="N211" i="46"/>
  <c r="N212" i="46"/>
  <c r="N213" i="46"/>
  <c r="N214" i="46"/>
  <c r="N215" i="46"/>
  <c r="N216" i="46"/>
  <c r="N217" i="46"/>
  <c r="N218" i="46"/>
  <c r="N219" i="46"/>
  <c r="N220" i="46"/>
  <c r="N221" i="46"/>
  <c r="N222" i="46"/>
  <c r="N223" i="46"/>
  <c r="N224" i="46"/>
  <c r="N225" i="46"/>
  <c r="N226" i="46"/>
  <c r="N227" i="46"/>
  <c r="N228" i="46"/>
  <c r="N229" i="46"/>
  <c r="N230" i="46"/>
  <c r="N231" i="46"/>
  <c r="N232" i="46"/>
  <c r="N233" i="46"/>
  <c r="N234" i="46"/>
  <c r="N235" i="46"/>
  <c r="N236" i="46"/>
  <c r="N237" i="46"/>
  <c r="N238" i="46"/>
  <c r="N239" i="46"/>
  <c r="N240" i="46"/>
  <c r="N241" i="46"/>
  <c r="N242" i="46"/>
  <c r="N243" i="46"/>
  <c r="N244" i="46"/>
  <c r="N245" i="46"/>
  <c r="N246" i="46"/>
  <c r="N247" i="46"/>
  <c r="N248" i="46"/>
  <c r="N249" i="46"/>
  <c r="N250" i="46"/>
  <c r="N251" i="46"/>
  <c r="N252" i="46"/>
  <c r="N253" i="46"/>
  <c r="N254" i="46"/>
  <c r="N255" i="46"/>
  <c r="N256" i="46"/>
  <c r="N12" i="46"/>
  <c r="N11" i="46"/>
  <c r="N257" i="11"/>
  <c r="N258" i="11"/>
  <c r="N11" i="11"/>
  <c r="AC257" i="32"/>
  <c r="AC14" i="32"/>
  <c r="AC15" i="32"/>
  <c r="AC16" i="32"/>
  <c r="AC17" i="32"/>
  <c r="AC18" i="32"/>
  <c r="AC19" i="32"/>
  <c r="AC20" i="32"/>
  <c r="AC21" i="32"/>
  <c r="AC22" i="32"/>
  <c r="AC23" i="32"/>
  <c r="AC24" i="32"/>
  <c r="AC25" i="32"/>
  <c r="AC26" i="32"/>
  <c r="AC27" i="32"/>
  <c r="AC28" i="32"/>
  <c r="AC29" i="32"/>
  <c r="AC30" i="32"/>
  <c r="AC31" i="32"/>
  <c r="AC32" i="32"/>
  <c r="AC33" i="32"/>
  <c r="AC34" i="32"/>
  <c r="AC35" i="32"/>
  <c r="AC36" i="32"/>
  <c r="AC37" i="32"/>
  <c r="AC38" i="32"/>
  <c r="AC39" i="32"/>
  <c r="AC40" i="32"/>
  <c r="AC41" i="32"/>
  <c r="AC42" i="32"/>
  <c r="AC43" i="32"/>
  <c r="AC44" i="32"/>
  <c r="AC45" i="32"/>
  <c r="AC46" i="32"/>
  <c r="AC47" i="32"/>
  <c r="AC48" i="32"/>
  <c r="AC49" i="32"/>
  <c r="AC50" i="32"/>
  <c r="AC51" i="32"/>
  <c r="AC52" i="32"/>
  <c r="AC53" i="32"/>
  <c r="AC54" i="32"/>
  <c r="AC55" i="32"/>
  <c r="AC56" i="32"/>
  <c r="AC57" i="32"/>
  <c r="AC58" i="32"/>
  <c r="AC59" i="32"/>
  <c r="AC60" i="32"/>
  <c r="AC61" i="32"/>
  <c r="AC62" i="32"/>
  <c r="AC63" i="32"/>
  <c r="AC64" i="32"/>
  <c r="AC65" i="32"/>
  <c r="AC66" i="32"/>
  <c r="AC67" i="32"/>
  <c r="AC68" i="32"/>
  <c r="AC69" i="32"/>
  <c r="AC70" i="32"/>
  <c r="AC71" i="32"/>
  <c r="AC72" i="32"/>
  <c r="AC73" i="32"/>
  <c r="AC74" i="32"/>
  <c r="AC75" i="32"/>
  <c r="AC76" i="32"/>
  <c r="AC77" i="32"/>
  <c r="AC78" i="32"/>
  <c r="AC79" i="32"/>
  <c r="AC80" i="32"/>
  <c r="AC81" i="32"/>
  <c r="AC82" i="32"/>
  <c r="AC83" i="32"/>
  <c r="AC84" i="32"/>
  <c r="AC85" i="32"/>
  <c r="AC86" i="32"/>
  <c r="AC87" i="32"/>
  <c r="AC88" i="32"/>
  <c r="AC89" i="32"/>
  <c r="AC90" i="32"/>
  <c r="AC91" i="32"/>
  <c r="AC92" i="32"/>
  <c r="AC93" i="32"/>
  <c r="AC94" i="32"/>
  <c r="AC95" i="32"/>
  <c r="AC96" i="32"/>
  <c r="AC97" i="32"/>
  <c r="AC98" i="32"/>
  <c r="AC99" i="32"/>
  <c r="AC100" i="32"/>
  <c r="AC101" i="32"/>
  <c r="AC102" i="32"/>
  <c r="AC103" i="32"/>
  <c r="AC104" i="32"/>
  <c r="AC105" i="32"/>
  <c r="AC106" i="32"/>
  <c r="AC107" i="32"/>
  <c r="AC108" i="32"/>
  <c r="AC109" i="32"/>
  <c r="AC110" i="32"/>
  <c r="AC111" i="32"/>
  <c r="AC112" i="32"/>
  <c r="AC113" i="32"/>
  <c r="AC114" i="32"/>
  <c r="AC115" i="32"/>
  <c r="AC116" i="32"/>
  <c r="AC117" i="32"/>
  <c r="AC118" i="32"/>
  <c r="AC119" i="32"/>
  <c r="AC120" i="32"/>
  <c r="AC121" i="32"/>
  <c r="AC122" i="32"/>
  <c r="AC123" i="32"/>
  <c r="AC124" i="32"/>
  <c r="AC125" i="32"/>
  <c r="AC126" i="32"/>
  <c r="AC127" i="32"/>
  <c r="AC128" i="32"/>
  <c r="AC129" i="32"/>
  <c r="AC130" i="32"/>
  <c r="AC131" i="32"/>
  <c r="AC132" i="32"/>
  <c r="AC133" i="32"/>
  <c r="AC134" i="32"/>
  <c r="AC135" i="32"/>
  <c r="AC136" i="32"/>
  <c r="AC137" i="32"/>
  <c r="AC138" i="32"/>
  <c r="AC139" i="32"/>
  <c r="AC140" i="32"/>
  <c r="AC141" i="32"/>
  <c r="AC142" i="32"/>
  <c r="AC143" i="32"/>
  <c r="AC144" i="32"/>
  <c r="AC145" i="32"/>
  <c r="AC146" i="32"/>
  <c r="AC147" i="32"/>
  <c r="AC148" i="32"/>
  <c r="AC149" i="32"/>
  <c r="AC150" i="32"/>
  <c r="AC151" i="32"/>
  <c r="AC152" i="32"/>
  <c r="AC153" i="32"/>
  <c r="AC154" i="32"/>
  <c r="AC155" i="32"/>
  <c r="AC156" i="32"/>
  <c r="AC157" i="32"/>
  <c r="AC158" i="32"/>
  <c r="AC159" i="32"/>
  <c r="AC160" i="32"/>
  <c r="AC161" i="32"/>
  <c r="AC162" i="32"/>
  <c r="AC163" i="32"/>
  <c r="AC164" i="32"/>
  <c r="AC165" i="32"/>
  <c r="AC166" i="32"/>
  <c r="AC167" i="32"/>
  <c r="AC168" i="32"/>
  <c r="AC169" i="32"/>
  <c r="AC170" i="32"/>
  <c r="AC171" i="32"/>
  <c r="AC172" i="32"/>
  <c r="AC173" i="32"/>
  <c r="AC174" i="32"/>
  <c r="AC175" i="32"/>
  <c r="AC176" i="32"/>
  <c r="AC177" i="32"/>
  <c r="AC178" i="32"/>
  <c r="AC179" i="32"/>
  <c r="AC180" i="32"/>
  <c r="AC181" i="32"/>
  <c r="AC182" i="32"/>
  <c r="AC183" i="32"/>
  <c r="AC184" i="32"/>
  <c r="AC185" i="32"/>
  <c r="AC186" i="32"/>
  <c r="AC187" i="32"/>
  <c r="AC188" i="32"/>
  <c r="AC189" i="32"/>
  <c r="AC190" i="32"/>
  <c r="AC191" i="32"/>
  <c r="AC192" i="32"/>
  <c r="AC193" i="32"/>
  <c r="AC194" i="32"/>
  <c r="AC195" i="32"/>
  <c r="AC196" i="32"/>
  <c r="AC197" i="32"/>
  <c r="AC198" i="32"/>
  <c r="AC199" i="32"/>
  <c r="AC200" i="32"/>
  <c r="AC201" i="32"/>
  <c r="AC202" i="32"/>
  <c r="AC203" i="32"/>
  <c r="AC204" i="32"/>
  <c r="AC205" i="32"/>
  <c r="AC206" i="32"/>
  <c r="AC207" i="32"/>
  <c r="AC208" i="32"/>
  <c r="AC209" i="32"/>
  <c r="AC210" i="32"/>
  <c r="AC211" i="32"/>
  <c r="AC212" i="32"/>
  <c r="AC213" i="32"/>
  <c r="AC214" i="32"/>
  <c r="AC215" i="32"/>
  <c r="AC216" i="32"/>
  <c r="AC217" i="32"/>
  <c r="AC218" i="32"/>
  <c r="AC219" i="32"/>
  <c r="AC220" i="32"/>
  <c r="AC221" i="32"/>
  <c r="AC222" i="32"/>
  <c r="AC223" i="32"/>
  <c r="AC224" i="32"/>
  <c r="AC225" i="32"/>
  <c r="AC226" i="32"/>
  <c r="AC227" i="32"/>
  <c r="AC228" i="32"/>
  <c r="AC229" i="32"/>
  <c r="AC230" i="32"/>
  <c r="AC231" i="32"/>
  <c r="AC232" i="32"/>
  <c r="AC233" i="32"/>
  <c r="AC234" i="32"/>
  <c r="AC235" i="32"/>
  <c r="AC236" i="32"/>
  <c r="AC237" i="32"/>
  <c r="AC238" i="32"/>
  <c r="AC239" i="32"/>
  <c r="AC240" i="32"/>
  <c r="AC241" i="32"/>
  <c r="AC242" i="32"/>
  <c r="AC243" i="32"/>
  <c r="AC244" i="32"/>
  <c r="AC245" i="32"/>
  <c r="AC246" i="32"/>
  <c r="AC247" i="32"/>
  <c r="AC248" i="32"/>
  <c r="AC249" i="32"/>
  <c r="AC250" i="32"/>
  <c r="AC251" i="32"/>
  <c r="AC252" i="32"/>
  <c r="AC253" i="32"/>
  <c r="AC254" i="32"/>
  <c r="AC255" i="32"/>
  <c r="AC256" i="32"/>
  <c r="AC13" i="32"/>
  <c r="AC12" i="32"/>
  <c r="AB13" i="32"/>
  <c r="AB14" i="32"/>
  <c r="AB15" i="32"/>
  <c r="AB16" i="32"/>
  <c r="AB17" i="32"/>
  <c r="AB18" i="32"/>
  <c r="AB19" i="32"/>
  <c r="AB20" i="32"/>
  <c r="AB21" i="32"/>
  <c r="AB22" i="32"/>
  <c r="AB23" i="32"/>
  <c r="AB24" i="32"/>
  <c r="AB25" i="32"/>
  <c r="AB26" i="32"/>
  <c r="AB27" i="32"/>
  <c r="AB28" i="32"/>
  <c r="AB29" i="32"/>
  <c r="AB30" i="32"/>
  <c r="AB31" i="32"/>
  <c r="AB32" i="32"/>
  <c r="AB33" i="32"/>
  <c r="AB34" i="32"/>
  <c r="AB35" i="32"/>
  <c r="AB36" i="32"/>
  <c r="AB37" i="32"/>
  <c r="AB38" i="32"/>
  <c r="AB39" i="32"/>
  <c r="AB40" i="32"/>
  <c r="AB41" i="32"/>
  <c r="AB42" i="32"/>
  <c r="AB43" i="32"/>
  <c r="AB44" i="32"/>
  <c r="AB45" i="32"/>
  <c r="AB46" i="32"/>
  <c r="AB47" i="32"/>
  <c r="AB48" i="32"/>
  <c r="AB49" i="32"/>
  <c r="AB50" i="32"/>
  <c r="AB51" i="32"/>
  <c r="AB52" i="32"/>
  <c r="AB53" i="32"/>
  <c r="AB54" i="32"/>
  <c r="AB55" i="32"/>
  <c r="AB56" i="32"/>
  <c r="AB57" i="32"/>
  <c r="AB58" i="32"/>
  <c r="AB59" i="32"/>
  <c r="AB60" i="32"/>
  <c r="AB61" i="32"/>
  <c r="AB62" i="32"/>
  <c r="AB63" i="32"/>
  <c r="AB64" i="32"/>
  <c r="AB65" i="32"/>
  <c r="AB66" i="32"/>
  <c r="AB67" i="32"/>
  <c r="AB68" i="32"/>
  <c r="AB69" i="32"/>
  <c r="AB70" i="32"/>
  <c r="AB71" i="32"/>
  <c r="AB72" i="32"/>
  <c r="AB73" i="32"/>
  <c r="AB74" i="32"/>
  <c r="AB75" i="32"/>
  <c r="AB76" i="32"/>
  <c r="AB77" i="32"/>
  <c r="AB78" i="32"/>
  <c r="AB79" i="32"/>
  <c r="AB80" i="32"/>
  <c r="AB81" i="32"/>
  <c r="AB82" i="32"/>
  <c r="AB83" i="32"/>
  <c r="AB84" i="32"/>
  <c r="AB85" i="32"/>
  <c r="AB86" i="32"/>
  <c r="AB87" i="32"/>
  <c r="AB88" i="32"/>
  <c r="AB89" i="32"/>
  <c r="AB90" i="32"/>
  <c r="AB91" i="32"/>
  <c r="AB92" i="32"/>
  <c r="AB93" i="32"/>
  <c r="AB94" i="32"/>
  <c r="AB95" i="32"/>
  <c r="AB96" i="32"/>
  <c r="AB97" i="32"/>
  <c r="AB98" i="32"/>
  <c r="AB99" i="32"/>
  <c r="AB100" i="32"/>
  <c r="AB101" i="32"/>
  <c r="AB102" i="32"/>
  <c r="AB103" i="32"/>
  <c r="AB104" i="32"/>
  <c r="AB105" i="32"/>
  <c r="AB106" i="32"/>
  <c r="AB107" i="32"/>
  <c r="AB108" i="32"/>
  <c r="AB109" i="32"/>
  <c r="AB110" i="32"/>
  <c r="AB111" i="32"/>
  <c r="AB112" i="32"/>
  <c r="AB113" i="32"/>
  <c r="AB114" i="32"/>
  <c r="AB115" i="32"/>
  <c r="AB116" i="32"/>
  <c r="AB117" i="32"/>
  <c r="AB118" i="32"/>
  <c r="AB119" i="32"/>
  <c r="AB120" i="32"/>
  <c r="AB121" i="32"/>
  <c r="AB122" i="32"/>
  <c r="AB123" i="32"/>
  <c r="AB124" i="32"/>
  <c r="AB125" i="32"/>
  <c r="AB126" i="32"/>
  <c r="AB127" i="32"/>
  <c r="AB128" i="32"/>
  <c r="AB129" i="32"/>
  <c r="AB130" i="32"/>
  <c r="AB131" i="32"/>
  <c r="AB132" i="32"/>
  <c r="AB133" i="32"/>
  <c r="AB134" i="32"/>
  <c r="AB135" i="32"/>
  <c r="AB136" i="32"/>
  <c r="AB137" i="32"/>
  <c r="AB138" i="32"/>
  <c r="AB139" i="32"/>
  <c r="AB140" i="32"/>
  <c r="AB141" i="32"/>
  <c r="AB142" i="32"/>
  <c r="AB143" i="32"/>
  <c r="AB144" i="32"/>
  <c r="AB145" i="32"/>
  <c r="AB146" i="32"/>
  <c r="AB147" i="32"/>
  <c r="AB148" i="32"/>
  <c r="AB149" i="32"/>
  <c r="AB150" i="32"/>
  <c r="AB151" i="32"/>
  <c r="AB152" i="32"/>
  <c r="AB153" i="32"/>
  <c r="AB154" i="32"/>
  <c r="AB155" i="32"/>
  <c r="AB156" i="32"/>
  <c r="AB157" i="32"/>
  <c r="AB158" i="32"/>
  <c r="AB159" i="32"/>
  <c r="AB160" i="32"/>
  <c r="AB161" i="32"/>
  <c r="AB162" i="32"/>
  <c r="AB163" i="32"/>
  <c r="AB164" i="32"/>
  <c r="AB165" i="32"/>
  <c r="AB166" i="32"/>
  <c r="AB167" i="32"/>
  <c r="AB168" i="32"/>
  <c r="AB169" i="32"/>
  <c r="AB170" i="32"/>
  <c r="AB171" i="32"/>
  <c r="AB172" i="32"/>
  <c r="AB173" i="32"/>
  <c r="AB174" i="32"/>
  <c r="AB175" i="32"/>
  <c r="AB176" i="32"/>
  <c r="AB177" i="32"/>
  <c r="AB178" i="32"/>
  <c r="AB179" i="32"/>
  <c r="AB180" i="32"/>
  <c r="AB181" i="32"/>
  <c r="AB182" i="32"/>
  <c r="AB183" i="32"/>
  <c r="AB184" i="32"/>
  <c r="AB185" i="32"/>
  <c r="AB186" i="32"/>
  <c r="AB187" i="32"/>
  <c r="AB188" i="32"/>
  <c r="AB189" i="32"/>
  <c r="AB190" i="32"/>
  <c r="AB191" i="32"/>
  <c r="AB192" i="32"/>
  <c r="AB193" i="32"/>
  <c r="AB194" i="32"/>
  <c r="AB195" i="32"/>
  <c r="AB196" i="32"/>
  <c r="AB197" i="32"/>
  <c r="AB198" i="32"/>
  <c r="AB199" i="32"/>
  <c r="AB200" i="32"/>
  <c r="AB201" i="32"/>
  <c r="AB202" i="32"/>
  <c r="AB203" i="32"/>
  <c r="AB204" i="32"/>
  <c r="AB205" i="32"/>
  <c r="AB206" i="32"/>
  <c r="AB207" i="32"/>
  <c r="AB208" i="32"/>
  <c r="AB209" i="32"/>
  <c r="AB210" i="32"/>
  <c r="AB211" i="32"/>
  <c r="AB212" i="32"/>
  <c r="AB213" i="32"/>
  <c r="AB214" i="32"/>
  <c r="AB215" i="32"/>
  <c r="AB216" i="32"/>
  <c r="AB217" i="32"/>
  <c r="AB218" i="32"/>
  <c r="AB219" i="32"/>
  <c r="AB220" i="32"/>
  <c r="AB221" i="32"/>
  <c r="AB222" i="32"/>
  <c r="AB223" i="32"/>
  <c r="AB224" i="32"/>
  <c r="AB225" i="32"/>
  <c r="AB226" i="32"/>
  <c r="AB227" i="32"/>
  <c r="AB228" i="32"/>
  <c r="AB229" i="32"/>
  <c r="AB230" i="32"/>
  <c r="AB231" i="32"/>
  <c r="AB232" i="32"/>
  <c r="AB233" i="32"/>
  <c r="AB234" i="32"/>
  <c r="AB235" i="32"/>
  <c r="AB236" i="32"/>
  <c r="AB237" i="32"/>
  <c r="AB238" i="32"/>
  <c r="AB239" i="32"/>
  <c r="AB240" i="32"/>
  <c r="AB241" i="32"/>
  <c r="AB242" i="32"/>
  <c r="AB243" i="32"/>
  <c r="AB244" i="32"/>
  <c r="AB245" i="32"/>
  <c r="AB246" i="32"/>
  <c r="AB247" i="32"/>
  <c r="AB248" i="32"/>
  <c r="AB249" i="32"/>
  <c r="AB250" i="32"/>
  <c r="AB251" i="32"/>
  <c r="AB252" i="32"/>
  <c r="AB253" i="32"/>
  <c r="AB254" i="32"/>
  <c r="AB255" i="32"/>
  <c r="AB256" i="32"/>
  <c r="AB257" i="32"/>
  <c r="O13" i="11"/>
  <c r="O14" i="11"/>
  <c r="O15" i="11"/>
  <c r="O16" i="11"/>
  <c r="O17" i="11"/>
  <c r="O18" i="11"/>
  <c r="O19" i="11"/>
  <c r="O20" i="11"/>
  <c r="O21" i="11"/>
  <c r="O22" i="11"/>
  <c r="O23" i="11"/>
  <c r="O24" i="11"/>
  <c r="O25" i="11"/>
  <c r="O26" i="11"/>
  <c r="O27" i="11"/>
  <c r="O28" i="11"/>
  <c r="O29" i="11"/>
  <c r="O30" i="11"/>
  <c r="O31" i="11"/>
  <c r="O32" i="11"/>
  <c r="O33" i="11"/>
  <c r="O34" i="11"/>
  <c r="O35" i="11"/>
  <c r="O36" i="11"/>
  <c r="O37" i="11"/>
  <c r="O38" i="11"/>
  <c r="O39" i="11"/>
  <c r="O40" i="11"/>
  <c r="O41" i="11"/>
  <c r="O42" i="11"/>
  <c r="O43" i="11"/>
  <c r="O44" i="11"/>
  <c r="O45" i="11"/>
  <c r="O46" i="11"/>
  <c r="O47" i="11"/>
  <c r="O48" i="11"/>
  <c r="O49" i="11"/>
  <c r="O50" i="11"/>
  <c r="O51" i="11"/>
  <c r="O52" i="11"/>
  <c r="O53" i="11"/>
  <c r="O54" i="11"/>
  <c r="O55" i="11"/>
  <c r="O56" i="11"/>
  <c r="O57" i="11"/>
  <c r="O58" i="11"/>
  <c r="O59" i="11"/>
  <c r="O60" i="11"/>
  <c r="O61" i="11"/>
  <c r="O62" i="11"/>
  <c r="O63" i="11"/>
  <c r="O64" i="11"/>
  <c r="O65" i="11"/>
  <c r="O66" i="11"/>
  <c r="O67" i="11"/>
  <c r="O68" i="11"/>
  <c r="O69" i="11"/>
  <c r="O70" i="11"/>
  <c r="O71" i="11"/>
  <c r="O72" i="11"/>
  <c r="O73" i="11"/>
  <c r="O74" i="11"/>
  <c r="O75" i="11"/>
  <c r="O76" i="11"/>
  <c r="O77" i="11"/>
  <c r="O78" i="11"/>
  <c r="O79" i="11"/>
  <c r="O80" i="11"/>
  <c r="O81" i="11"/>
  <c r="O82" i="11"/>
  <c r="O83" i="11"/>
  <c r="O84" i="11"/>
  <c r="O85" i="11"/>
  <c r="O86" i="11"/>
  <c r="O87" i="11"/>
  <c r="O88" i="11"/>
  <c r="O89" i="11"/>
  <c r="O90" i="11"/>
  <c r="O91" i="11"/>
  <c r="O92" i="11"/>
  <c r="O93" i="11"/>
  <c r="O94" i="11"/>
  <c r="O95" i="11"/>
  <c r="O96" i="11"/>
  <c r="O97" i="11"/>
  <c r="O98" i="11"/>
  <c r="O99" i="11"/>
  <c r="O100" i="11"/>
  <c r="O12" i="11"/>
  <c r="K13" i="107" l="1"/>
  <c r="K12" i="107"/>
  <c r="K10" i="107"/>
  <c r="K9" i="107"/>
  <c r="K11" i="107"/>
  <c r="K8" i="107"/>
  <c r="K14" i="107"/>
  <c r="K22" i="107"/>
  <c r="K30" i="107"/>
  <c r="K38" i="107"/>
  <c r="K46" i="107"/>
  <c r="K54" i="107"/>
  <c r="K62" i="107"/>
  <c r="K70" i="107"/>
  <c r="K78" i="107"/>
  <c r="K86" i="107"/>
  <c r="K94" i="107"/>
  <c r="K102" i="107"/>
  <c r="K36" i="107"/>
  <c r="K21" i="107"/>
  <c r="K69" i="107"/>
  <c r="K93" i="107"/>
  <c r="K15" i="107"/>
  <c r="K23" i="107"/>
  <c r="K31" i="107"/>
  <c r="K39" i="107"/>
  <c r="K47" i="107"/>
  <c r="K55" i="107"/>
  <c r="K63" i="107"/>
  <c r="K71" i="107"/>
  <c r="K79" i="107"/>
  <c r="K87" i="107"/>
  <c r="K95" i="107"/>
  <c r="K103" i="107"/>
  <c r="K60" i="107"/>
  <c r="K68" i="107"/>
  <c r="K84" i="107"/>
  <c r="K29" i="107"/>
  <c r="K53" i="107"/>
  <c r="K77" i="107"/>
  <c r="K101" i="107"/>
  <c r="K16" i="107"/>
  <c r="K24" i="107"/>
  <c r="K32" i="107"/>
  <c r="K40" i="107"/>
  <c r="K48" i="107"/>
  <c r="K56" i="107"/>
  <c r="K64" i="107"/>
  <c r="K72" i="107"/>
  <c r="K80" i="107"/>
  <c r="K88" i="107"/>
  <c r="K96" i="107"/>
  <c r="K104" i="107"/>
  <c r="K52" i="107"/>
  <c r="K45" i="107"/>
  <c r="K17" i="107"/>
  <c r="K25" i="107"/>
  <c r="K33" i="107"/>
  <c r="K41" i="107"/>
  <c r="K49" i="107"/>
  <c r="K57" i="107"/>
  <c r="K65" i="107"/>
  <c r="K73" i="107"/>
  <c r="K81" i="107"/>
  <c r="K89" i="107"/>
  <c r="K97" i="107"/>
  <c r="K105" i="107"/>
  <c r="K44" i="107"/>
  <c r="K18" i="107"/>
  <c r="K26" i="107"/>
  <c r="K34" i="107"/>
  <c r="K42" i="107"/>
  <c r="K50" i="107"/>
  <c r="K58" i="107"/>
  <c r="K66" i="107"/>
  <c r="K74" i="107"/>
  <c r="K82" i="107"/>
  <c r="K90" i="107"/>
  <c r="K98" i="107"/>
  <c r="K106" i="107"/>
  <c r="K28" i="107"/>
  <c r="K19" i="107"/>
  <c r="K27" i="107"/>
  <c r="K35" i="107"/>
  <c r="K43" i="107"/>
  <c r="K51" i="107"/>
  <c r="K59" i="107"/>
  <c r="K67" i="107"/>
  <c r="K75" i="107"/>
  <c r="K83" i="107"/>
  <c r="K91" i="107"/>
  <c r="K99" i="107"/>
  <c r="K107" i="107"/>
  <c r="K20" i="107"/>
  <c r="K76" i="107"/>
  <c r="K92" i="107"/>
  <c r="K100" i="107"/>
  <c r="K37" i="107"/>
  <c r="K61" i="107"/>
  <c r="K85" i="107"/>
  <c r="G257" i="46"/>
  <c r="C144" i="72"/>
  <c r="B144" i="72"/>
  <c r="V9" i="78"/>
  <c r="T9" i="78"/>
  <c r="A52" i="28" l="1"/>
  <c r="I75" i="99" l="1"/>
  <c r="G13" i="58"/>
  <c r="G14" i="58"/>
  <c r="G15" i="58"/>
  <c r="G16" i="58"/>
  <c r="G17" i="58"/>
  <c r="G18" i="58"/>
  <c r="G19" i="58"/>
  <c r="G20" i="58"/>
  <c r="G21" i="58"/>
  <c r="G22" i="58"/>
  <c r="G23" i="58"/>
  <c r="G24" i="58"/>
  <c r="G25" i="58"/>
  <c r="G26" i="58"/>
  <c r="G27" i="58"/>
  <c r="G28" i="58"/>
  <c r="G29" i="58"/>
  <c r="G30" i="58"/>
  <c r="G31" i="58"/>
  <c r="G32" i="58"/>
  <c r="G33" i="58"/>
  <c r="G34" i="58"/>
  <c r="G35" i="58"/>
  <c r="G36" i="58"/>
  <c r="G37" i="58"/>
  <c r="G38" i="58"/>
  <c r="G39" i="58"/>
  <c r="G40" i="58"/>
  <c r="G41" i="58"/>
  <c r="G42" i="58"/>
  <c r="G43" i="58"/>
  <c r="G44" i="58"/>
  <c r="G45" i="58"/>
  <c r="G46" i="58"/>
  <c r="G47" i="58"/>
  <c r="G48" i="58"/>
  <c r="G49" i="58"/>
  <c r="G50" i="58"/>
  <c r="G51" i="58"/>
  <c r="G52" i="58"/>
  <c r="G53" i="58"/>
  <c r="G54" i="58"/>
  <c r="G55" i="58"/>
  <c r="G56" i="58"/>
  <c r="G57" i="58"/>
  <c r="G58" i="58"/>
  <c r="G59" i="58"/>
  <c r="G60" i="58"/>
  <c r="G61" i="58"/>
  <c r="G62" i="58"/>
  <c r="G63" i="58"/>
  <c r="G64" i="58"/>
  <c r="G65" i="58"/>
  <c r="G66" i="58"/>
  <c r="G67" i="58"/>
  <c r="G68" i="58"/>
  <c r="G69" i="58"/>
  <c r="G70" i="58"/>
  <c r="G71" i="58"/>
  <c r="G72" i="58"/>
  <c r="G73" i="58"/>
  <c r="G74" i="58"/>
  <c r="G75" i="58"/>
  <c r="G76" i="58"/>
  <c r="G77" i="58"/>
  <c r="G78" i="58"/>
  <c r="G79" i="58"/>
  <c r="G80" i="58"/>
  <c r="G81" i="58"/>
  <c r="G82" i="58"/>
  <c r="G83" i="58"/>
  <c r="G84" i="58"/>
  <c r="G85" i="58"/>
  <c r="G86" i="58"/>
  <c r="G87" i="58"/>
  <c r="G88" i="58"/>
  <c r="G89" i="58"/>
  <c r="G90" i="58"/>
  <c r="G91" i="58"/>
  <c r="G92" i="58"/>
  <c r="G93" i="58"/>
  <c r="G94" i="58"/>
  <c r="G95" i="58"/>
  <c r="G96" i="58"/>
  <c r="G97" i="58"/>
  <c r="G98" i="58"/>
  <c r="G99" i="58"/>
  <c r="G100" i="58"/>
  <c r="G101" i="58"/>
  <c r="G102" i="58"/>
  <c r="G103" i="58"/>
  <c r="G104" i="58"/>
  <c r="G105" i="58"/>
  <c r="G106" i="58"/>
  <c r="G107" i="58"/>
  <c r="G108" i="58"/>
  <c r="G109" i="58"/>
  <c r="G110" i="58"/>
  <c r="G111" i="58"/>
  <c r="G112" i="58"/>
  <c r="G113" i="58"/>
  <c r="G114" i="58"/>
  <c r="G115" i="58"/>
  <c r="G116" i="58"/>
  <c r="G117" i="58"/>
  <c r="G118" i="58"/>
  <c r="G119" i="58"/>
  <c r="G120" i="58"/>
  <c r="G121" i="58"/>
  <c r="G122" i="58"/>
  <c r="G123" i="58"/>
  <c r="G124" i="58"/>
  <c r="G125" i="58"/>
  <c r="G126" i="58"/>
  <c r="G127" i="58"/>
  <c r="G128" i="58"/>
  <c r="G129" i="58"/>
  <c r="G130" i="58"/>
  <c r="G131" i="58"/>
  <c r="G132" i="58"/>
  <c r="G133" i="58"/>
  <c r="G134" i="58"/>
  <c r="G135" i="58"/>
  <c r="G136" i="58"/>
  <c r="G137" i="58"/>
  <c r="G138" i="58"/>
  <c r="G139" i="58"/>
  <c r="G140" i="58"/>
  <c r="G141" i="58"/>
  <c r="G142" i="58"/>
  <c r="G143" i="58"/>
  <c r="G144" i="58"/>
  <c r="G145" i="58"/>
  <c r="G146" i="58"/>
  <c r="G147" i="58"/>
  <c r="G148" i="58"/>
  <c r="G149" i="58"/>
  <c r="G150" i="58"/>
  <c r="G151" i="58"/>
  <c r="G152" i="58"/>
  <c r="G153" i="58"/>
  <c r="G154" i="58"/>
  <c r="G155" i="58"/>
  <c r="G156" i="58"/>
  <c r="G157" i="58"/>
  <c r="G158" i="58"/>
  <c r="G159" i="58"/>
  <c r="G160" i="58"/>
  <c r="G161" i="58"/>
  <c r="G162" i="58"/>
  <c r="G163" i="58"/>
  <c r="G164" i="58"/>
  <c r="G165" i="58"/>
  <c r="G166" i="58"/>
  <c r="G167" i="58"/>
  <c r="G168" i="58"/>
  <c r="G169" i="58"/>
  <c r="G170" i="58"/>
  <c r="G171" i="58"/>
  <c r="G172" i="58"/>
  <c r="G173" i="58"/>
  <c r="G174" i="58"/>
  <c r="G175" i="58"/>
  <c r="G176" i="58"/>
  <c r="G177" i="58"/>
  <c r="G178" i="58"/>
  <c r="G179" i="58"/>
  <c r="G180" i="58"/>
  <c r="G181" i="58"/>
  <c r="G182" i="58"/>
  <c r="G183" i="58"/>
  <c r="G184" i="58"/>
  <c r="G185" i="58"/>
  <c r="G186" i="58"/>
  <c r="G187" i="58"/>
  <c r="G188" i="58"/>
  <c r="G189" i="58"/>
  <c r="G190" i="58"/>
  <c r="G191" i="58"/>
  <c r="G192" i="58"/>
  <c r="G193" i="58"/>
  <c r="G194" i="58"/>
  <c r="G195" i="58"/>
  <c r="G196" i="58"/>
  <c r="G197" i="58"/>
  <c r="G198" i="58"/>
  <c r="G199" i="58"/>
  <c r="G200" i="58"/>
  <c r="G201" i="58"/>
  <c r="G202" i="58"/>
  <c r="G203" i="58"/>
  <c r="G204" i="58"/>
  <c r="G205" i="58"/>
  <c r="G206" i="58"/>
  <c r="G207" i="58"/>
  <c r="G208" i="58"/>
  <c r="G209" i="58"/>
  <c r="G210" i="58"/>
  <c r="G211" i="58"/>
  <c r="G212" i="58"/>
  <c r="G213" i="58"/>
  <c r="G214" i="58"/>
  <c r="G215" i="58"/>
  <c r="G216" i="58"/>
  <c r="G217" i="58"/>
  <c r="G218" i="58"/>
  <c r="G219" i="58"/>
  <c r="G220" i="58"/>
  <c r="G221" i="58"/>
  <c r="G222" i="58"/>
  <c r="G223" i="58"/>
  <c r="G224" i="58"/>
  <c r="G225" i="58"/>
  <c r="G226" i="58"/>
  <c r="G227" i="58"/>
  <c r="G228" i="58"/>
  <c r="G229" i="58"/>
  <c r="G230" i="58"/>
  <c r="G231" i="58"/>
  <c r="G232" i="58"/>
  <c r="G233" i="58"/>
  <c r="G234" i="58"/>
  <c r="G235" i="58"/>
  <c r="G236" i="58"/>
  <c r="G237" i="58"/>
  <c r="G238" i="58"/>
  <c r="G239" i="58"/>
  <c r="G240" i="58"/>
  <c r="G241" i="58"/>
  <c r="G242" i="58"/>
  <c r="G243" i="58"/>
  <c r="G244" i="58"/>
  <c r="G245" i="58"/>
  <c r="G246" i="58"/>
  <c r="G247" i="58"/>
  <c r="G248" i="58"/>
  <c r="G249" i="58"/>
  <c r="G250" i="58"/>
  <c r="G251" i="58"/>
  <c r="G252" i="58"/>
  <c r="G253" i="58"/>
  <c r="G254" i="58"/>
  <c r="G255" i="58"/>
  <c r="G256" i="58"/>
  <c r="G257" i="58"/>
  <c r="G258" i="58"/>
  <c r="G259" i="58"/>
  <c r="G12" i="58"/>
  <c r="F12" i="58"/>
  <c r="I12" i="58" s="1"/>
  <c r="G13" i="42"/>
  <c r="G14" i="42"/>
  <c r="G15" i="42"/>
  <c r="G16" i="42"/>
  <c r="G17" i="42"/>
  <c r="G18" i="42"/>
  <c r="G19" i="42"/>
  <c r="G20" i="42"/>
  <c r="G21" i="42"/>
  <c r="G22" i="42"/>
  <c r="G23" i="42"/>
  <c r="G24" i="42"/>
  <c r="G25" i="42"/>
  <c r="G26" i="42"/>
  <c r="G27" i="42"/>
  <c r="G28" i="42"/>
  <c r="G29" i="42"/>
  <c r="G30" i="42"/>
  <c r="G31" i="42"/>
  <c r="G32" i="42"/>
  <c r="G33" i="42"/>
  <c r="G34" i="42"/>
  <c r="G35" i="42"/>
  <c r="G36" i="42"/>
  <c r="G37" i="42"/>
  <c r="G38" i="42"/>
  <c r="G39" i="42"/>
  <c r="G40" i="42"/>
  <c r="G41" i="42"/>
  <c r="G42" i="42"/>
  <c r="G43" i="42"/>
  <c r="G44" i="42"/>
  <c r="G45" i="42"/>
  <c r="G46" i="42"/>
  <c r="G47" i="42"/>
  <c r="G48" i="42"/>
  <c r="G49" i="42"/>
  <c r="G50" i="42"/>
  <c r="G51" i="42"/>
  <c r="G52" i="42"/>
  <c r="G53" i="42"/>
  <c r="G54" i="42"/>
  <c r="G55" i="42"/>
  <c r="G56" i="42"/>
  <c r="G57" i="42"/>
  <c r="G58" i="42"/>
  <c r="G59" i="42"/>
  <c r="G60" i="42"/>
  <c r="G61" i="42"/>
  <c r="G62" i="42"/>
  <c r="G63" i="42"/>
  <c r="G64" i="42"/>
  <c r="G65" i="42"/>
  <c r="G66" i="42"/>
  <c r="G67" i="42"/>
  <c r="G68" i="42"/>
  <c r="G69" i="42"/>
  <c r="G70" i="42"/>
  <c r="G71" i="42"/>
  <c r="G72" i="42"/>
  <c r="G73" i="42"/>
  <c r="G74" i="42"/>
  <c r="G75" i="42"/>
  <c r="G76" i="42"/>
  <c r="G77" i="42"/>
  <c r="G78" i="42"/>
  <c r="G79" i="42"/>
  <c r="G80" i="42"/>
  <c r="G81" i="42"/>
  <c r="G82" i="42"/>
  <c r="G83" i="42"/>
  <c r="G84" i="42"/>
  <c r="G85" i="42"/>
  <c r="G86" i="42"/>
  <c r="G87" i="42"/>
  <c r="G88" i="42"/>
  <c r="G89" i="42"/>
  <c r="G90" i="42"/>
  <c r="G91" i="42"/>
  <c r="G92" i="42"/>
  <c r="G93" i="42"/>
  <c r="G94" i="42"/>
  <c r="G95" i="42"/>
  <c r="G96" i="42"/>
  <c r="G97" i="42"/>
  <c r="G98" i="42"/>
  <c r="G99" i="42"/>
  <c r="G100" i="42"/>
  <c r="G101" i="42"/>
  <c r="G102" i="42"/>
  <c r="G103" i="42"/>
  <c r="G104" i="42"/>
  <c r="G105" i="42"/>
  <c r="G106" i="42"/>
  <c r="G107" i="42"/>
  <c r="G108" i="42"/>
  <c r="G109" i="42"/>
  <c r="G110" i="42"/>
  <c r="G111" i="42"/>
  <c r="G112" i="42"/>
  <c r="G113" i="42"/>
  <c r="G114" i="42"/>
  <c r="G115" i="42"/>
  <c r="G116" i="42"/>
  <c r="G117" i="42"/>
  <c r="G118" i="42"/>
  <c r="G119" i="42"/>
  <c r="G120" i="42"/>
  <c r="G121" i="42"/>
  <c r="G122" i="42"/>
  <c r="G123" i="42"/>
  <c r="G124" i="42"/>
  <c r="G125" i="42"/>
  <c r="G126" i="42"/>
  <c r="G127" i="42"/>
  <c r="G128" i="42"/>
  <c r="G129" i="42"/>
  <c r="G130" i="42"/>
  <c r="G131" i="42"/>
  <c r="G132" i="42"/>
  <c r="G133" i="42"/>
  <c r="G134" i="42"/>
  <c r="G135" i="42"/>
  <c r="G136" i="42"/>
  <c r="G137" i="42"/>
  <c r="G138" i="42"/>
  <c r="G139" i="42"/>
  <c r="G140" i="42"/>
  <c r="G141" i="42"/>
  <c r="G142" i="42"/>
  <c r="G143" i="42"/>
  <c r="G144" i="42"/>
  <c r="G145" i="42"/>
  <c r="G146" i="42"/>
  <c r="G147" i="42"/>
  <c r="G148" i="42"/>
  <c r="G149" i="42"/>
  <c r="G150" i="42"/>
  <c r="G151" i="42"/>
  <c r="G152" i="42"/>
  <c r="G153" i="42"/>
  <c r="G154" i="42"/>
  <c r="G155" i="42"/>
  <c r="G156" i="42"/>
  <c r="G157" i="42"/>
  <c r="G158" i="42"/>
  <c r="G159" i="42"/>
  <c r="G160" i="42"/>
  <c r="G161" i="42"/>
  <c r="G162" i="42"/>
  <c r="G163" i="42"/>
  <c r="G164" i="42"/>
  <c r="G165" i="42"/>
  <c r="G166" i="42"/>
  <c r="G167" i="42"/>
  <c r="G168" i="42"/>
  <c r="G169" i="42"/>
  <c r="G170" i="42"/>
  <c r="G171" i="42"/>
  <c r="G172" i="42"/>
  <c r="G173" i="42"/>
  <c r="G174" i="42"/>
  <c r="G175" i="42"/>
  <c r="G176" i="42"/>
  <c r="G177" i="42"/>
  <c r="G178" i="42"/>
  <c r="G179" i="42"/>
  <c r="G180" i="42"/>
  <c r="G181" i="42"/>
  <c r="G182" i="42"/>
  <c r="G183" i="42"/>
  <c r="G184" i="42"/>
  <c r="G185" i="42"/>
  <c r="G186" i="42"/>
  <c r="G187" i="42"/>
  <c r="G188" i="42"/>
  <c r="G189" i="42"/>
  <c r="G190" i="42"/>
  <c r="G191" i="42"/>
  <c r="G192" i="42"/>
  <c r="G193" i="42"/>
  <c r="G194" i="42"/>
  <c r="G195" i="42"/>
  <c r="G196" i="42"/>
  <c r="G197" i="42"/>
  <c r="G198" i="42"/>
  <c r="G199" i="42"/>
  <c r="G200" i="42"/>
  <c r="G201" i="42"/>
  <c r="G202" i="42"/>
  <c r="G203" i="42"/>
  <c r="G204" i="42"/>
  <c r="G205" i="42"/>
  <c r="G206" i="42"/>
  <c r="G207" i="42"/>
  <c r="G208" i="42"/>
  <c r="G209" i="42"/>
  <c r="G210" i="42"/>
  <c r="G211" i="42"/>
  <c r="G212" i="42"/>
  <c r="G213" i="42"/>
  <c r="G214" i="42"/>
  <c r="G215" i="42"/>
  <c r="G216" i="42"/>
  <c r="G217" i="42"/>
  <c r="G218" i="42"/>
  <c r="G219" i="42"/>
  <c r="G220" i="42"/>
  <c r="G221" i="42"/>
  <c r="G222" i="42"/>
  <c r="G223" i="42"/>
  <c r="G224" i="42"/>
  <c r="G225" i="42"/>
  <c r="G226" i="42"/>
  <c r="G227" i="42"/>
  <c r="G228" i="42"/>
  <c r="G229" i="42"/>
  <c r="G230" i="42"/>
  <c r="G231" i="42"/>
  <c r="G232" i="42"/>
  <c r="G233" i="42"/>
  <c r="G234" i="42"/>
  <c r="G235" i="42"/>
  <c r="G236" i="42"/>
  <c r="G237" i="42"/>
  <c r="G238" i="42"/>
  <c r="G239" i="42"/>
  <c r="G240" i="42"/>
  <c r="G241" i="42"/>
  <c r="G242" i="42"/>
  <c r="G243" i="42"/>
  <c r="G244" i="42"/>
  <c r="G245" i="42"/>
  <c r="G246" i="42"/>
  <c r="G247" i="42"/>
  <c r="G248" i="42"/>
  <c r="G249" i="42"/>
  <c r="G250" i="42"/>
  <c r="G251" i="42"/>
  <c r="G252" i="42"/>
  <c r="G253" i="42"/>
  <c r="G254" i="42"/>
  <c r="G255" i="42"/>
  <c r="G256" i="42"/>
  <c r="G257" i="42"/>
  <c r="G258" i="42"/>
  <c r="G259" i="42"/>
  <c r="G12" i="42"/>
  <c r="F12" i="42"/>
  <c r="G11" i="55"/>
  <c r="G12" i="55"/>
  <c r="G13" i="55"/>
  <c r="G14" i="55"/>
  <c r="G15" i="55"/>
  <c r="G16" i="55"/>
  <c r="G17" i="55"/>
  <c r="G18" i="55"/>
  <c r="G19" i="55"/>
  <c r="G20" i="55"/>
  <c r="G21" i="55"/>
  <c r="G22" i="55"/>
  <c r="G23" i="55"/>
  <c r="G24" i="55"/>
  <c r="G25" i="55"/>
  <c r="G26" i="55"/>
  <c r="G27" i="55"/>
  <c r="G28" i="55"/>
  <c r="G29" i="55"/>
  <c r="G30" i="55"/>
  <c r="G31" i="55"/>
  <c r="G32" i="55"/>
  <c r="G33" i="55"/>
  <c r="G34" i="55"/>
  <c r="G35" i="55"/>
  <c r="G36" i="55"/>
  <c r="G37" i="55"/>
  <c r="G38" i="55"/>
  <c r="G39" i="55"/>
  <c r="G40" i="55"/>
  <c r="G41" i="55"/>
  <c r="G42" i="55"/>
  <c r="G43" i="55"/>
  <c r="G44" i="55"/>
  <c r="G45" i="55"/>
  <c r="G46" i="55"/>
  <c r="G47" i="55"/>
  <c r="G48" i="55"/>
  <c r="G49" i="55"/>
  <c r="G50" i="55"/>
  <c r="G51" i="55"/>
  <c r="G52" i="55"/>
  <c r="G53" i="55"/>
  <c r="G54" i="55"/>
  <c r="G55" i="55"/>
  <c r="G56" i="55"/>
  <c r="G57" i="55"/>
  <c r="G58" i="55"/>
  <c r="G59" i="55"/>
  <c r="G60" i="55"/>
  <c r="G61" i="55"/>
  <c r="G62" i="55"/>
  <c r="G63" i="55"/>
  <c r="G64" i="55"/>
  <c r="G65" i="55"/>
  <c r="G66" i="55"/>
  <c r="G67" i="55"/>
  <c r="G68" i="55"/>
  <c r="G69" i="55"/>
  <c r="G70" i="55"/>
  <c r="G71" i="55"/>
  <c r="G72" i="55"/>
  <c r="G73" i="55"/>
  <c r="G74" i="55"/>
  <c r="G75" i="55"/>
  <c r="G76" i="55"/>
  <c r="G77" i="55"/>
  <c r="G78" i="55"/>
  <c r="G79" i="55"/>
  <c r="G80" i="55"/>
  <c r="G81" i="55"/>
  <c r="G82" i="55"/>
  <c r="G83" i="55"/>
  <c r="G84" i="55"/>
  <c r="G85" i="55"/>
  <c r="G86" i="55"/>
  <c r="G87" i="55"/>
  <c r="G88" i="55"/>
  <c r="G89" i="55"/>
  <c r="G90" i="55"/>
  <c r="G91" i="55"/>
  <c r="G92" i="55"/>
  <c r="G93" i="55"/>
  <c r="G94" i="55"/>
  <c r="G95" i="55"/>
  <c r="G96" i="55"/>
  <c r="G97" i="55"/>
  <c r="G98" i="55"/>
  <c r="G99" i="55"/>
  <c r="G100" i="55"/>
  <c r="G101" i="55"/>
  <c r="G102" i="55"/>
  <c r="G103" i="55"/>
  <c r="G104" i="55"/>
  <c r="G105" i="55"/>
  <c r="G106" i="55"/>
  <c r="G107" i="55"/>
  <c r="G108" i="55"/>
  <c r="G109" i="55"/>
  <c r="G110" i="55"/>
  <c r="G111" i="55"/>
  <c r="G112" i="55"/>
  <c r="G113" i="55"/>
  <c r="G114" i="55"/>
  <c r="G115" i="55"/>
  <c r="G116" i="55"/>
  <c r="G117" i="55"/>
  <c r="G118" i="55"/>
  <c r="G119" i="55"/>
  <c r="G120" i="55"/>
  <c r="G121" i="55"/>
  <c r="G122" i="55"/>
  <c r="G123" i="55"/>
  <c r="G124" i="55"/>
  <c r="G125" i="55"/>
  <c r="G126" i="55"/>
  <c r="G127" i="55"/>
  <c r="G128" i="55"/>
  <c r="G129" i="55"/>
  <c r="G130" i="55"/>
  <c r="G131" i="55"/>
  <c r="G132" i="55"/>
  <c r="G133" i="55"/>
  <c r="G134" i="55"/>
  <c r="G135" i="55"/>
  <c r="G136" i="55"/>
  <c r="G137" i="55"/>
  <c r="G138" i="55"/>
  <c r="G139" i="55"/>
  <c r="G140" i="55"/>
  <c r="G141" i="55"/>
  <c r="G142" i="55"/>
  <c r="G143" i="55"/>
  <c r="G144" i="55"/>
  <c r="G145" i="55"/>
  <c r="G146" i="55"/>
  <c r="G147" i="55"/>
  <c r="G148" i="55"/>
  <c r="G149" i="55"/>
  <c r="G150" i="55"/>
  <c r="G151" i="55"/>
  <c r="G152" i="55"/>
  <c r="G153" i="55"/>
  <c r="G154" i="55"/>
  <c r="G155" i="55"/>
  <c r="G156" i="55"/>
  <c r="G157" i="55"/>
  <c r="G158" i="55"/>
  <c r="G159" i="55"/>
  <c r="G160" i="55"/>
  <c r="G161" i="55"/>
  <c r="G162" i="55"/>
  <c r="G163" i="55"/>
  <c r="G164" i="55"/>
  <c r="G165" i="55"/>
  <c r="G166" i="55"/>
  <c r="G167" i="55"/>
  <c r="G168" i="55"/>
  <c r="G169" i="55"/>
  <c r="G170" i="55"/>
  <c r="G171" i="55"/>
  <c r="G172" i="55"/>
  <c r="G173" i="55"/>
  <c r="G174" i="55"/>
  <c r="G175" i="55"/>
  <c r="G176" i="55"/>
  <c r="G177" i="55"/>
  <c r="G178" i="55"/>
  <c r="G179" i="55"/>
  <c r="G180" i="55"/>
  <c r="G181" i="55"/>
  <c r="G182" i="55"/>
  <c r="G183" i="55"/>
  <c r="G184" i="55"/>
  <c r="G185" i="55"/>
  <c r="G186" i="55"/>
  <c r="G187" i="55"/>
  <c r="G188" i="55"/>
  <c r="G189" i="55"/>
  <c r="G190" i="55"/>
  <c r="G191" i="55"/>
  <c r="G192" i="55"/>
  <c r="G193" i="55"/>
  <c r="G194" i="55"/>
  <c r="G195" i="55"/>
  <c r="G196" i="55"/>
  <c r="G197" i="55"/>
  <c r="G198" i="55"/>
  <c r="G199" i="55"/>
  <c r="G200" i="55"/>
  <c r="G201" i="55"/>
  <c r="G202" i="55"/>
  <c r="G203" i="55"/>
  <c r="G204" i="55"/>
  <c r="G205" i="55"/>
  <c r="G206" i="55"/>
  <c r="G207" i="55"/>
  <c r="G208" i="55"/>
  <c r="G209" i="55"/>
  <c r="G210" i="55"/>
  <c r="G211" i="55"/>
  <c r="G212" i="55"/>
  <c r="G213" i="55"/>
  <c r="G214" i="55"/>
  <c r="G215" i="55"/>
  <c r="G216" i="55"/>
  <c r="G217" i="55"/>
  <c r="G218" i="55"/>
  <c r="G219" i="55"/>
  <c r="G220" i="55"/>
  <c r="G221" i="55"/>
  <c r="G222" i="55"/>
  <c r="G223" i="55"/>
  <c r="G224" i="55"/>
  <c r="G225" i="55"/>
  <c r="G226" i="55"/>
  <c r="G227" i="55"/>
  <c r="G228" i="55"/>
  <c r="G229" i="55"/>
  <c r="G230" i="55"/>
  <c r="G231" i="55"/>
  <c r="G232" i="55"/>
  <c r="G233" i="55"/>
  <c r="G234" i="55"/>
  <c r="G235" i="55"/>
  <c r="G236" i="55"/>
  <c r="G237" i="55"/>
  <c r="G238" i="55"/>
  <c r="G239" i="55"/>
  <c r="G240" i="55"/>
  <c r="G241" i="55"/>
  <c r="G242" i="55"/>
  <c r="G243" i="55"/>
  <c r="G244" i="55"/>
  <c r="G245" i="55"/>
  <c r="G246" i="55"/>
  <c r="G247" i="55"/>
  <c r="G248" i="55"/>
  <c r="G249" i="55"/>
  <c r="G250" i="55"/>
  <c r="G251" i="55"/>
  <c r="G252" i="55"/>
  <c r="G253" i="55"/>
  <c r="G254" i="55"/>
  <c r="G255" i="55"/>
  <c r="G256" i="55"/>
  <c r="G257" i="55"/>
  <c r="G10" i="55"/>
  <c r="F10" i="55"/>
  <c r="I10" i="55" s="1"/>
  <c r="G11" i="52"/>
  <c r="G12" i="52"/>
  <c r="G13" i="52"/>
  <c r="G14" i="52"/>
  <c r="G15" i="52"/>
  <c r="G16" i="52"/>
  <c r="G17" i="52"/>
  <c r="G18" i="52"/>
  <c r="G19" i="52"/>
  <c r="G20" i="52"/>
  <c r="G21" i="52"/>
  <c r="G22" i="52"/>
  <c r="G23" i="52"/>
  <c r="G24" i="52"/>
  <c r="G25" i="52"/>
  <c r="G26" i="52"/>
  <c r="G27" i="52"/>
  <c r="G28" i="52"/>
  <c r="G29" i="52"/>
  <c r="G30" i="52"/>
  <c r="G31" i="52"/>
  <c r="G32" i="52"/>
  <c r="G33" i="52"/>
  <c r="G34" i="52"/>
  <c r="G35" i="52"/>
  <c r="G36" i="52"/>
  <c r="G37" i="52"/>
  <c r="G38" i="52"/>
  <c r="G39" i="52"/>
  <c r="G40" i="52"/>
  <c r="G41" i="52"/>
  <c r="G42" i="52"/>
  <c r="G43" i="52"/>
  <c r="G44" i="52"/>
  <c r="G45" i="52"/>
  <c r="G46" i="52"/>
  <c r="G47" i="52"/>
  <c r="G48" i="52"/>
  <c r="G49" i="52"/>
  <c r="G50" i="52"/>
  <c r="G51" i="52"/>
  <c r="G52" i="52"/>
  <c r="G53" i="52"/>
  <c r="G54" i="52"/>
  <c r="G55" i="52"/>
  <c r="G56" i="52"/>
  <c r="G57" i="52"/>
  <c r="G58" i="52"/>
  <c r="G59" i="52"/>
  <c r="G60" i="52"/>
  <c r="G61" i="52"/>
  <c r="G62" i="52"/>
  <c r="G63" i="52"/>
  <c r="G64" i="52"/>
  <c r="G65" i="52"/>
  <c r="G66" i="52"/>
  <c r="G67" i="52"/>
  <c r="G68" i="52"/>
  <c r="G69" i="52"/>
  <c r="G70" i="52"/>
  <c r="G71" i="52"/>
  <c r="G72" i="52"/>
  <c r="G73" i="52"/>
  <c r="G74" i="52"/>
  <c r="G75" i="52"/>
  <c r="G76" i="52"/>
  <c r="G77" i="52"/>
  <c r="G78" i="52"/>
  <c r="G79" i="52"/>
  <c r="G80" i="52"/>
  <c r="G81" i="52"/>
  <c r="G82" i="52"/>
  <c r="G83" i="52"/>
  <c r="G84" i="52"/>
  <c r="G85" i="52"/>
  <c r="G86" i="52"/>
  <c r="G87" i="52"/>
  <c r="G88" i="52"/>
  <c r="G89" i="52"/>
  <c r="G90" i="52"/>
  <c r="G91" i="52"/>
  <c r="G92" i="52"/>
  <c r="G93" i="52"/>
  <c r="G94" i="52"/>
  <c r="G95" i="52"/>
  <c r="G96" i="52"/>
  <c r="G97" i="52"/>
  <c r="G98" i="52"/>
  <c r="G99" i="52"/>
  <c r="G100" i="52"/>
  <c r="G101" i="52"/>
  <c r="G102" i="52"/>
  <c r="G103" i="52"/>
  <c r="G104" i="52"/>
  <c r="G105" i="52"/>
  <c r="G106" i="52"/>
  <c r="G107" i="52"/>
  <c r="G108" i="52"/>
  <c r="G109" i="52"/>
  <c r="G110" i="52"/>
  <c r="G111" i="52"/>
  <c r="G112" i="52"/>
  <c r="G113" i="52"/>
  <c r="G114" i="52"/>
  <c r="G115" i="52"/>
  <c r="G116" i="52"/>
  <c r="G117" i="52"/>
  <c r="G118" i="52"/>
  <c r="G119" i="52"/>
  <c r="G120" i="52"/>
  <c r="G121" i="52"/>
  <c r="G122" i="52"/>
  <c r="G123" i="52"/>
  <c r="G124" i="52"/>
  <c r="G125" i="52"/>
  <c r="G126" i="52"/>
  <c r="G127" i="52"/>
  <c r="G128" i="52"/>
  <c r="G129" i="52"/>
  <c r="G130" i="52"/>
  <c r="G131" i="52"/>
  <c r="G132" i="52"/>
  <c r="G133" i="52"/>
  <c r="G134" i="52"/>
  <c r="G135" i="52"/>
  <c r="G136" i="52"/>
  <c r="G137" i="52"/>
  <c r="G138" i="52"/>
  <c r="G139" i="52"/>
  <c r="G140" i="52"/>
  <c r="G141" i="52"/>
  <c r="G142" i="52"/>
  <c r="G143" i="52"/>
  <c r="G144" i="52"/>
  <c r="G145" i="52"/>
  <c r="G146" i="52"/>
  <c r="G147" i="52"/>
  <c r="G148" i="52"/>
  <c r="G149" i="52"/>
  <c r="G150" i="52"/>
  <c r="G151" i="52"/>
  <c r="G152" i="52"/>
  <c r="G153" i="52"/>
  <c r="G154" i="52"/>
  <c r="G155" i="52"/>
  <c r="G156" i="52"/>
  <c r="G157" i="52"/>
  <c r="G158" i="52"/>
  <c r="G159" i="52"/>
  <c r="G160" i="52"/>
  <c r="G161" i="52"/>
  <c r="G162" i="52"/>
  <c r="G163" i="52"/>
  <c r="G164" i="52"/>
  <c r="G165" i="52"/>
  <c r="G166" i="52"/>
  <c r="G167" i="52"/>
  <c r="G168" i="52"/>
  <c r="G169" i="52"/>
  <c r="G170" i="52"/>
  <c r="G171" i="52"/>
  <c r="G172" i="52"/>
  <c r="G173" i="52"/>
  <c r="G174" i="52"/>
  <c r="G175" i="52"/>
  <c r="G176" i="52"/>
  <c r="G177" i="52"/>
  <c r="G178" i="52"/>
  <c r="G179" i="52"/>
  <c r="G180" i="52"/>
  <c r="G181" i="52"/>
  <c r="G182" i="52"/>
  <c r="G183" i="52"/>
  <c r="G184" i="52"/>
  <c r="G185" i="52"/>
  <c r="G186" i="52"/>
  <c r="G187" i="52"/>
  <c r="G188" i="52"/>
  <c r="G189" i="52"/>
  <c r="G190" i="52"/>
  <c r="G191" i="52"/>
  <c r="G192" i="52"/>
  <c r="G193" i="52"/>
  <c r="G194" i="52"/>
  <c r="G195" i="52"/>
  <c r="G196" i="52"/>
  <c r="G197" i="52"/>
  <c r="G198" i="52"/>
  <c r="G199" i="52"/>
  <c r="G200" i="52"/>
  <c r="G201" i="52"/>
  <c r="G202" i="52"/>
  <c r="G203" i="52"/>
  <c r="G204" i="52"/>
  <c r="G205" i="52"/>
  <c r="G206" i="52"/>
  <c r="G207" i="52"/>
  <c r="G208" i="52"/>
  <c r="G209" i="52"/>
  <c r="G210" i="52"/>
  <c r="G211" i="52"/>
  <c r="G212" i="52"/>
  <c r="G213" i="52"/>
  <c r="G214" i="52"/>
  <c r="G215" i="52"/>
  <c r="G216" i="52"/>
  <c r="G217" i="52"/>
  <c r="G218" i="52"/>
  <c r="G219" i="52"/>
  <c r="G220" i="52"/>
  <c r="G221" i="52"/>
  <c r="G222" i="52"/>
  <c r="G223" i="52"/>
  <c r="G224" i="52"/>
  <c r="G225" i="52"/>
  <c r="G226" i="52"/>
  <c r="G227" i="52"/>
  <c r="G228" i="52"/>
  <c r="G229" i="52"/>
  <c r="G230" i="52"/>
  <c r="G231" i="52"/>
  <c r="G232" i="52"/>
  <c r="G233" i="52"/>
  <c r="G234" i="52"/>
  <c r="G235" i="52"/>
  <c r="G236" i="52"/>
  <c r="G237" i="52"/>
  <c r="G238" i="52"/>
  <c r="G239" i="52"/>
  <c r="G240" i="52"/>
  <c r="G241" i="52"/>
  <c r="G242" i="52"/>
  <c r="G243" i="52"/>
  <c r="G244" i="52"/>
  <c r="G245" i="52"/>
  <c r="G246" i="52"/>
  <c r="G247" i="52"/>
  <c r="G248" i="52"/>
  <c r="G249" i="52"/>
  <c r="G250" i="52"/>
  <c r="G251" i="52"/>
  <c r="G252" i="52"/>
  <c r="G253" i="52"/>
  <c r="G254" i="52"/>
  <c r="G255" i="52"/>
  <c r="G256" i="52"/>
  <c r="G257" i="52"/>
  <c r="G10" i="52"/>
  <c r="F10" i="52"/>
  <c r="Q10" i="55" l="1"/>
  <c r="O7" i="107" s="1"/>
  <c r="AY10" i="55"/>
  <c r="U10" i="55"/>
  <c r="N10" i="55"/>
  <c r="AK11" i="67"/>
  <c r="AK12" i="67"/>
  <c r="AK13" i="67"/>
  <c r="AK14" i="67"/>
  <c r="AK15" i="67"/>
  <c r="AK16" i="67"/>
  <c r="AK17" i="67"/>
  <c r="AK18" i="67"/>
  <c r="AK19" i="67"/>
  <c r="AK20" i="67"/>
  <c r="AK21" i="67"/>
  <c r="AK22" i="67"/>
  <c r="AK23" i="67"/>
  <c r="AK24" i="67"/>
  <c r="AK25" i="67"/>
  <c r="AK26" i="67"/>
  <c r="AK27" i="67"/>
  <c r="AK28" i="67"/>
  <c r="AK29" i="67"/>
  <c r="AK30" i="67"/>
  <c r="AK31" i="67"/>
  <c r="AK32" i="67"/>
  <c r="AK33" i="67"/>
  <c r="AK34" i="67"/>
  <c r="AK35" i="67"/>
  <c r="AK36" i="67"/>
  <c r="AK37" i="67"/>
  <c r="AK38" i="67"/>
  <c r="AK39" i="67"/>
  <c r="AK40" i="67"/>
  <c r="AK41" i="67"/>
  <c r="AK42" i="67"/>
  <c r="AK43" i="67"/>
  <c r="AK44" i="67"/>
  <c r="AK45" i="67"/>
  <c r="AK46" i="67"/>
  <c r="AK47" i="67"/>
  <c r="AK48" i="67"/>
  <c r="AK49" i="67"/>
  <c r="AK50" i="67"/>
  <c r="AK51" i="67"/>
  <c r="AK52" i="67"/>
  <c r="AK53" i="67"/>
  <c r="AK54" i="67"/>
  <c r="AK55" i="67"/>
  <c r="AK56" i="67"/>
  <c r="AK57" i="67"/>
  <c r="AK58" i="67"/>
  <c r="AK59" i="67"/>
  <c r="AK60" i="67"/>
  <c r="AK61" i="67"/>
  <c r="AK62" i="67"/>
  <c r="AK63" i="67"/>
  <c r="AK64" i="67"/>
  <c r="AK65" i="67"/>
  <c r="AK66" i="67"/>
  <c r="AK67" i="67"/>
  <c r="AK68" i="67"/>
  <c r="AK69" i="67"/>
  <c r="AK70" i="67"/>
  <c r="AK71" i="67"/>
  <c r="AK72" i="67"/>
  <c r="AK73" i="67"/>
  <c r="AK74" i="67"/>
  <c r="AK75" i="67"/>
  <c r="AK76" i="67"/>
  <c r="AK77" i="67"/>
  <c r="AK78" i="67"/>
  <c r="AK79" i="67"/>
  <c r="AK80" i="67"/>
  <c r="AK81" i="67"/>
  <c r="AK82" i="67"/>
  <c r="AK83" i="67"/>
  <c r="AK84" i="67"/>
  <c r="AK85" i="67"/>
  <c r="AK86" i="67"/>
  <c r="AK87" i="67"/>
  <c r="AK88" i="67"/>
  <c r="AK89" i="67"/>
  <c r="AK90" i="67"/>
  <c r="AK91" i="67"/>
  <c r="AK92" i="67"/>
  <c r="AK93" i="67"/>
  <c r="AK94" i="67"/>
  <c r="AK95" i="67"/>
  <c r="AK96" i="67"/>
  <c r="AK97" i="67"/>
  <c r="AK98" i="67"/>
  <c r="AK99" i="67"/>
  <c r="AK100" i="67"/>
  <c r="AK101" i="67"/>
  <c r="AK102" i="67"/>
  <c r="AK103" i="67"/>
  <c r="AK104" i="67"/>
  <c r="AK105" i="67"/>
  <c r="AK106" i="67"/>
  <c r="AK107" i="67"/>
  <c r="AK108" i="67"/>
  <c r="AK109" i="67"/>
  <c r="AK110" i="67"/>
  <c r="AK111" i="67"/>
  <c r="AK112" i="67"/>
  <c r="AK113" i="67"/>
  <c r="AK114" i="67"/>
  <c r="AK115" i="67"/>
  <c r="AK116" i="67"/>
  <c r="AK117" i="67"/>
  <c r="AK118" i="67"/>
  <c r="AK119" i="67"/>
  <c r="AK120" i="67"/>
  <c r="AK121" i="67"/>
  <c r="AK122" i="67"/>
  <c r="AK123" i="67"/>
  <c r="AK124" i="67"/>
  <c r="AK125" i="67"/>
  <c r="AK126" i="67"/>
  <c r="AK127" i="67"/>
  <c r="AK128" i="67"/>
  <c r="AK129" i="67"/>
  <c r="AK130" i="67"/>
  <c r="AK131" i="67"/>
  <c r="AK132" i="67"/>
  <c r="AK133" i="67"/>
  <c r="AK134" i="67"/>
  <c r="AK135" i="67"/>
  <c r="AK136" i="67"/>
  <c r="AK137" i="67"/>
  <c r="AK138" i="67"/>
  <c r="AK139" i="67"/>
  <c r="AK140" i="67"/>
  <c r="AK141" i="67"/>
  <c r="AK142" i="67"/>
  <c r="AK143" i="67"/>
  <c r="AK144" i="67"/>
  <c r="AK145" i="67"/>
  <c r="AK146" i="67"/>
  <c r="AK147" i="67"/>
  <c r="AK148" i="67"/>
  <c r="AK149" i="67"/>
  <c r="AK150" i="67"/>
  <c r="AK151" i="67"/>
  <c r="AK152" i="67"/>
  <c r="AK153" i="67"/>
  <c r="AK154" i="67"/>
  <c r="AK155" i="67"/>
  <c r="AK156" i="67"/>
  <c r="AK157" i="67"/>
  <c r="AK158" i="67"/>
  <c r="AK159" i="67"/>
  <c r="AK160" i="67"/>
  <c r="AK161" i="67"/>
  <c r="AK162" i="67"/>
  <c r="AK163" i="67"/>
  <c r="AK164" i="67"/>
  <c r="AK165" i="67"/>
  <c r="AK166" i="67"/>
  <c r="AK167" i="67"/>
  <c r="AK168" i="67"/>
  <c r="AK169" i="67"/>
  <c r="AK170" i="67"/>
  <c r="AK171" i="67"/>
  <c r="AK172" i="67"/>
  <c r="AK173" i="67"/>
  <c r="AK174" i="67"/>
  <c r="AK175" i="67"/>
  <c r="AK176" i="67"/>
  <c r="AK177" i="67"/>
  <c r="AK178" i="67"/>
  <c r="AK179" i="67"/>
  <c r="AK180" i="67"/>
  <c r="AK181" i="67"/>
  <c r="AK182" i="67"/>
  <c r="AK183" i="67"/>
  <c r="AK184" i="67"/>
  <c r="AK185" i="67"/>
  <c r="AK186" i="67"/>
  <c r="AK187" i="67"/>
  <c r="AK188" i="67"/>
  <c r="AK189" i="67"/>
  <c r="AK190" i="67"/>
  <c r="AK191" i="67"/>
  <c r="AK192" i="67"/>
  <c r="AK193" i="67"/>
  <c r="AK194" i="67"/>
  <c r="AK195" i="67"/>
  <c r="AK196" i="67"/>
  <c r="AK197" i="67"/>
  <c r="AK198" i="67"/>
  <c r="AK199" i="67"/>
  <c r="AK200" i="67"/>
  <c r="AK201" i="67"/>
  <c r="AK202" i="67"/>
  <c r="AK203" i="67"/>
  <c r="AK204" i="67"/>
  <c r="AK205" i="67"/>
  <c r="AK206" i="67"/>
  <c r="AK207" i="67"/>
  <c r="AK208" i="67"/>
  <c r="AK209" i="67"/>
  <c r="AK210" i="67"/>
  <c r="AK211" i="67"/>
  <c r="AK212" i="67"/>
  <c r="AK213" i="67"/>
  <c r="AK214" i="67"/>
  <c r="AK215" i="67"/>
  <c r="AK216" i="67"/>
  <c r="AK217" i="67"/>
  <c r="AK218" i="67"/>
  <c r="AK219" i="67"/>
  <c r="AK220" i="67"/>
  <c r="AK221" i="67"/>
  <c r="AK222" i="67"/>
  <c r="AK223" i="67"/>
  <c r="AK224" i="67"/>
  <c r="AK225" i="67"/>
  <c r="AK226" i="67"/>
  <c r="AK227" i="67"/>
  <c r="AK228" i="67"/>
  <c r="AK229" i="67"/>
  <c r="AK230" i="67"/>
  <c r="AK231" i="67"/>
  <c r="AK232" i="67"/>
  <c r="AK233" i="67"/>
  <c r="AK234" i="67"/>
  <c r="AK235" i="67"/>
  <c r="AK236" i="67"/>
  <c r="AK237" i="67"/>
  <c r="AK238" i="67"/>
  <c r="AK239" i="67"/>
  <c r="AK240" i="67"/>
  <c r="AK241" i="67"/>
  <c r="AK242" i="67"/>
  <c r="AK243" i="67"/>
  <c r="AK244" i="67"/>
  <c r="AK245" i="67"/>
  <c r="AK246" i="67"/>
  <c r="AK247" i="67"/>
  <c r="AK248" i="67"/>
  <c r="AK249" i="67"/>
  <c r="AK250" i="67"/>
  <c r="AK251" i="67"/>
  <c r="AK252" i="67"/>
  <c r="AK253" i="67"/>
  <c r="AK254" i="67"/>
  <c r="AK255" i="67"/>
  <c r="AK256" i="67"/>
  <c r="AK257" i="67"/>
  <c r="AK10" i="67"/>
  <c r="AH10" i="63"/>
  <c r="W4" i="67" l="1"/>
  <c r="AH11" i="63"/>
  <c r="AH12" i="63"/>
  <c r="AH13" i="63"/>
  <c r="AH14" i="63"/>
  <c r="AH15" i="63"/>
  <c r="AH16" i="63"/>
  <c r="AH17" i="63"/>
  <c r="AH18" i="63"/>
  <c r="AH19" i="63"/>
  <c r="AH20" i="63"/>
  <c r="AH21" i="63"/>
  <c r="AH22" i="63"/>
  <c r="AH23" i="63"/>
  <c r="AH24" i="63"/>
  <c r="AH25" i="63"/>
  <c r="AH26" i="63"/>
  <c r="AH27" i="63"/>
  <c r="AH28" i="63"/>
  <c r="AH29" i="63"/>
  <c r="AH30" i="63"/>
  <c r="AH31" i="63"/>
  <c r="AH32" i="63"/>
  <c r="AH33" i="63"/>
  <c r="AH34" i="63"/>
  <c r="AH35" i="63"/>
  <c r="AH36" i="63"/>
  <c r="AH37" i="63"/>
  <c r="AH38" i="63"/>
  <c r="AH39" i="63"/>
  <c r="AH40" i="63"/>
  <c r="AH41" i="63"/>
  <c r="AH42" i="63"/>
  <c r="AH43" i="63"/>
  <c r="AH44" i="63"/>
  <c r="AH45" i="63"/>
  <c r="AH46" i="63"/>
  <c r="AH47" i="63"/>
  <c r="AH48" i="63"/>
  <c r="AH49" i="63"/>
  <c r="AH50" i="63"/>
  <c r="AH51" i="63"/>
  <c r="AH52" i="63"/>
  <c r="AH53" i="63"/>
  <c r="AH54" i="63"/>
  <c r="AH55" i="63"/>
  <c r="AH56" i="63"/>
  <c r="AH57" i="63"/>
  <c r="AH58" i="63"/>
  <c r="AH59" i="63"/>
  <c r="AH60" i="63"/>
  <c r="AH61" i="63"/>
  <c r="AH62" i="63"/>
  <c r="AH63" i="63"/>
  <c r="AH64" i="63"/>
  <c r="AH65" i="63"/>
  <c r="AH66" i="63"/>
  <c r="AH67" i="63"/>
  <c r="AH68" i="63"/>
  <c r="AH69" i="63"/>
  <c r="AH70" i="63"/>
  <c r="AH71" i="63"/>
  <c r="AH72" i="63"/>
  <c r="AH73" i="63"/>
  <c r="AH74" i="63"/>
  <c r="AH75" i="63"/>
  <c r="AH76" i="63"/>
  <c r="AH77" i="63"/>
  <c r="AH78" i="63"/>
  <c r="AH79" i="63"/>
  <c r="AH80" i="63"/>
  <c r="AH81" i="63"/>
  <c r="AH82" i="63"/>
  <c r="AH83" i="63"/>
  <c r="AH84" i="63"/>
  <c r="AH85" i="63"/>
  <c r="AH86" i="63"/>
  <c r="AH87" i="63"/>
  <c r="AH88" i="63"/>
  <c r="AH89" i="63"/>
  <c r="AH90" i="63"/>
  <c r="AH91" i="63"/>
  <c r="AH92" i="63"/>
  <c r="AH93" i="63"/>
  <c r="AH94" i="63"/>
  <c r="AH95" i="63"/>
  <c r="AH96" i="63"/>
  <c r="AH97" i="63"/>
  <c r="AH98" i="63"/>
  <c r="AH99" i="63"/>
  <c r="AH100" i="63"/>
  <c r="AH101" i="63"/>
  <c r="AH102" i="63"/>
  <c r="AH103" i="63"/>
  <c r="AH104" i="63"/>
  <c r="AH105" i="63"/>
  <c r="AH106" i="63"/>
  <c r="AH107" i="63"/>
  <c r="AH108" i="63"/>
  <c r="AH109" i="63"/>
  <c r="AH110" i="63"/>
  <c r="AH111" i="63"/>
  <c r="AH112" i="63"/>
  <c r="AH113" i="63"/>
  <c r="AH114" i="63"/>
  <c r="AH115" i="63"/>
  <c r="AH116" i="63"/>
  <c r="AH117" i="63"/>
  <c r="AH118" i="63"/>
  <c r="AH119" i="63"/>
  <c r="AH120" i="63"/>
  <c r="AH121" i="63"/>
  <c r="AH122" i="63"/>
  <c r="AH123" i="63"/>
  <c r="AH124" i="63"/>
  <c r="AH125" i="63"/>
  <c r="AH126" i="63"/>
  <c r="AH127" i="63"/>
  <c r="AH128" i="63"/>
  <c r="AH129" i="63"/>
  <c r="AH130" i="63"/>
  <c r="AH131" i="63"/>
  <c r="AH132" i="63"/>
  <c r="AH133" i="63"/>
  <c r="AH134" i="63"/>
  <c r="AH135" i="63"/>
  <c r="AH136" i="63"/>
  <c r="AH137" i="63"/>
  <c r="AH138" i="63"/>
  <c r="AH139" i="63"/>
  <c r="AH140" i="63"/>
  <c r="AH141" i="63"/>
  <c r="AH142" i="63"/>
  <c r="AH143" i="63"/>
  <c r="AH144" i="63"/>
  <c r="AH145" i="63"/>
  <c r="AH146" i="63"/>
  <c r="AH147" i="63"/>
  <c r="AH148" i="63"/>
  <c r="AH149" i="63"/>
  <c r="AH150" i="63"/>
  <c r="AH151" i="63"/>
  <c r="AH152" i="63"/>
  <c r="AH153" i="63"/>
  <c r="AH154" i="63"/>
  <c r="AH155" i="63"/>
  <c r="AH156" i="63"/>
  <c r="AH157" i="63"/>
  <c r="AH158" i="63"/>
  <c r="AH159" i="63"/>
  <c r="AH160" i="63"/>
  <c r="AH161" i="63"/>
  <c r="AH162" i="63"/>
  <c r="AH163" i="63"/>
  <c r="AH164" i="63"/>
  <c r="AH165" i="63"/>
  <c r="AH166" i="63"/>
  <c r="AH167" i="63"/>
  <c r="AH168" i="63"/>
  <c r="AH169" i="63"/>
  <c r="AH170" i="63"/>
  <c r="AH171" i="63"/>
  <c r="AH172" i="63"/>
  <c r="AH173" i="63"/>
  <c r="AH174" i="63"/>
  <c r="AH175" i="63"/>
  <c r="AH176" i="63"/>
  <c r="AH177" i="63"/>
  <c r="AH178" i="63"/>
  <c r="AH179" i="63"/>
  <c r="AH180" i="63"/>
  <c r="AH181" i="63"/>
  <c r="AH182" i="63"/>
  <c r="AH183" i="63"/>
  <c r="AH184" i="63"/>
  <c r="AH185" i="63"/>
  <c r="AH186" i="63"/>
  <c r="AH187" i="63"/>
  <c r="AH188" i="63"/>
  <c r="AH189" i="63"/>
  <c r="AH190" i="63"/>
  <c r="AH191" i="63"/>
  <c r="AH192" i="63"/>
  <c r="AH193" i="63"/>
  <c r="AH194" i="63"/>
  <c r="AH195" i="63"/>
  <c r="AH196" i="63"/>
  <c r="AH197" i="63"/>
  <c r="AH198" i="63"/>
  <c r="AH199" i="63"/>
  <c r="AH200" i="63"/>
  <c r="AH201" i="63"/>
  <c r="AH202" i="63"/>
  <c r="AH203" i="63"/>
  <c r="AH204" i="63"/>
  <c r="AH205" i="63"/>
  <c r="AH206" i="63"/>
  <c r="AH207" i="63"/>
  <c r="AH208" i="63"/>
  <c r="AH209" i="63"/>
  <c r="AH210" i="63"/>
  <c r="AH211" i="63"/>
  <c r="AH212" i="63"/>
  <c r="AH213" i="63"/>
  <c r="AH214" i="63"/>
  <c r="AH215" i="63"/>
  <c r="AH216" i="63"/>
  <c r="AH217" i="63"/>
  <c r="AH218" i="63"/>
  <c r="AH219" i="63"/>
  <c r="AH220" i="63"/>
  <c r="AH221" i="63"/>
  <c r="AH222" i="63"/>
  <c r="AH223" i="63"/>
  <c r="AH224" i="63"/>
  <c r="AH225" i="63"/>
  <c r="AH226" i="63"/>
  <c r="AH227" i="63"/>
  <c r="AH228" i="63"/>
  <c r="AH229" i="63"/>
  <c r="AH230" i="63"/>
  <c r="AH231" i="63"/>
  <c r="AH232" i="63"/>
  <c r="AH233" i="63"/>
  <c r="AH234" i="63"/>
  <c r="AH235" i="63"/>
  <c r="AH236" i="63"/>
  <c r="AH237" i="63"/>
  <c r="AH238" i="63"/>
  <c r="AH239" i="63"/>
  <c r="AH240" i="63"/>
  <c r="AH241" i="63"/>
  <c r="AH242" i="63"/>
  <c r="AH243" i="63"/>
  <c r="AH244" i="63"/>
  <c r="AH245" i="63"/>
  <c r="AH246" i="63"/>
  <c r="AH247" i="63"/>
  <c r="AH248" i="63"/>
  <c r="AH249" i="63"/>
  <c r="AH250" i="63"/>
  <c r="AH251" i="63"/>
  <c r="AH252" i="63"/>
  <c r="AH253" i="63"/>
  <c r="AH254" i="63"/>
  <c r="AH255" i="63"/>
  <c r="AH256" i="63"/>
  <c r="AH257" i="63"/>
  <c r="T5" i="63" l="1"/>
  <c r="Z20" i="67" l="1"/>
  <c r="Z21" i="67"/>
  <c r="Z22" i="67"/>
  <c r="Z23" i="67"/>
  <c r="Z24" i="67"/>
  <c r="Z25" i="67"/>
  <c r="Z26" i="67"/>
  <c r="Z27" i="67"/>
  <c r="Z28" i="67"/>
  <c r="Z29" i="67"/>
  <c r="Z30" i="67"/>
  <c r="Z31" i="67"/>
  <c r="Z32" i="67"/>
  <c r="Z33" i="67"/>
  <c r="Z34" i="67"/>
  <c r="Z35" i="67"/>
  <c r="Z36" i="67"/>
  <c r="Z37" i="67"/>
  <c r="Z38" i="67"/>
  <c r="Z39" i="67"/>
  <c r="Z40" i="67"/>
  <c r="Z41" i="67"/>
  <c r="Z42" i="67"/>
  <c r="Z43" i="67"/>
  <c r="Z44" i="67"/>
  <c r="Z45" i="67"/>
  <c r="Z46" i="67"/>
  <c r="Z47" i="67"/>
  <c r="Z48" i="67"/>
  <c r="Z49" i="67"/>
  <c r="Z50" i="67"/>
  <c r="Z51" i="67"/>
  <c r="Z52" i="67"/>
  <c r="Z53" i="67"/>
  <c r="Z55" i="67"/>
  <c r="Z56" i="67"/>
  <c r="Z57" i="67"/>
  <c r="Z58" i="67"/>
  <c r="Z59" i="67"/>
  <c r="Z60" i="67"/>
  <c r="Z61" i="67"/>
  <c r="Z62" i="67"/>
  <c r="Z63" i="67"/>
  <c r="Z64" i="67"/>
  <c r="Z65" i="67"/>
  <c r="Z66" i="67"/>
  <c r="Z67" i="67"/>
  <c r="Z68" i="67"/>
  <c r="Z69" i="67"/>
  <c r="Z70" i="67"/>
  <c r="Z71" i="67"/>
  <c r="Z72" i="67"/>
  <c r="Z73" i="67"/>
  <c r="Z74" i="67"/>
  <c r="Z75" i="67"/>
  <c r="Z76" i="67"/>
  <c r="Z77" i="67"/>
  <c r="Z78" i="67"/>
  <c r="Z79" i="67"/>
  <c r="Z80" i="67"/>
  <c r="Z81" i="67"/>
  <c r="Z82" i="67"/>
  <c r="Z83" i="67"/>
  <c r="Z84" i="67"/>
  <c r="Z85" i="67"/>
  <c r="Z86" i="67"/>
  <c r="Z87" i="67"/>
  <c r="Z88" i="67"/>
  <c r="Z89" i="67"/>
  <c r="Z90" i="67"/>
  <c r="Z91" i="67"/>
  <c r="Z92" i="67"/>
  <c r="Z93" i="67"/>
  <c r="Z94" i="67"/>
  <c r="Z95" i="67"/>
  <c r="Z96" i="67"/>
  <c r="Z97" i="67"/>
  <c r="Z98" i="67"/>
  <c r="Z99" i="67"/>
  <c r="Z100" i="67"/>
  <c r="Z101" i="67"/>
  <c r="Z102" i="67"/>
  <c r="Z103" i="67"/>
  <c r="Z104" i="67"/>
  <c r="Z105" i="67"/>
  <c r="Z106" i="67"/>
  <c r="Z107" i="67"/>
  <c r="Z108" i="67"/>
  <c r="Z109" i="67"/>
  <c r="Z110" i="67"/>
  <c r="Z111" i="67"/>
  <c r="Z112" i="67"/>
  <c r="Z113" i="67"/>
  <c r="Z114" i="67"/>
  <c r="Z115" i="67"/>
  <c r="Z116" i="67"/>
  <c r="Z117" i="67"/>
  <c r="Z118" i="67"/>
  <c r="Z119" i="67"/>
  <c r="Z120" i="67"/>
  <c r="Z121" i="67"/>
  <c r="Z122" i="67"/>
  <c r="Z123" i="67"/>
  <c r="Z124" i="67"/>
  <c r="Z125" i="67"/>
  <c r="Z126" i="67"/>
  <c r="Z127" i="67"/>
  <c r="Z128" i="67"/>
  <c r="Z129" i="67"/>
  <c r="Z130" i="67"/>
  <c r="Z131" i="67"/>
  <c r="Z132" i="67"/>
  <c r="Z133" i="67"/>
  <c r="Z134" i="67"/>
  <c r="Z135" i="67"/>
  <c r="Z136" i="67"/>
  <c r="Z137" i="67"/>
  <c r="Z138" i="67"/>
  <c r="Z139" i="67"/>
  <c r="Z140" i="67"/>
  <c r="Z141" i="67"/>
  <c r="Z142" i="67"/>
  <c r="Z143" i="67"/>
  <c r="Z144" i="67"/>
  <c r="Z145" i="67"/>
  <c r="Z146" i="67"/>
  <c r="Z147" i="67"/>
  <c r="Z148" i="67"/>
  <c r="Z149" i="67"/>
  <c r="Z150" i="67"/>
  <c r="Z151" i="67"/>
  <c r="Z152" i="67"/>
  <c r="Z153" i="67"/>
  <c r="Z154" i="67"/>
  <c r="Z155" i="67"/>
  <c r="Z156" i="67"/>
  <c r="Z157" i="67"/>
  <c r="Z158" i="67"/>
  <c r="Z159" i="67"/>
  <c r="Z160" i="67"/>
  <c r="Z161" i="67"/>
  <c r="Z162" i="67"/>
  <c r="Z163" i="67"/>
  <c r="Z164" i="67"/>
  <c r="Z165" i="67"/>
  <c r="Z166" i="67"/>
  <c r="Z167" i="67"/>
  <c r="Z168" i="67"/>
  <c r="Z169" i="67"/>
  <c r="Z170" i="67"/>
  <c r="Z171" i="67"/>
  <c r="Z172" i="67"/>
  <c r="Z173" i="67"/>
  <c r="Z174" i="67"/>
  <c r="Z175" i="67"/>
  <c r="Z176" i="67"/>
  <c r="Z177" i="67"/>
  <c r="Z178" i="67"/>
  <c r="Z179" i="67"/>
  <c r="Z180" i="67"/>
  <c r="Z181" i="67"/>
  <c r="Z182" i="67"/>
  <c r="Z183" i="67"/>
  <c r="Z184" i="67"/>
  <c r="Z185" i="67"/>
  <c r="Z186" i="67"/>
  <c r="Z187" i="67"/>
  <c r="Z188" i="67"/>
  <c r="Z189" i="67"/>
  <c r="Z190" i="67"/>
  <c r="Z191" i="67"/>
  <c r="Z192" i="67"/>
  <c r="Z193" i="67"/>
  <c r="Z194" i="67"/>
  <c r="Z195" i="67"/>
  <c r="Z196" i="67"/>
  <c r="Z197" i="67"/>
  <c r="Z198" i="67"/>
  <c r="Z199" i="67"/>
  <c r="Z200" i="67"/>
  <c r="Z201" i="67"/>
  <c r="Z202" i="67"/>
  <c r="Z203" i="67"/>
  <c r="Z204" i="67"/>
  <c r="Z205" i="67"/>
  <c r="Z206" i="67"/>
  <c r="Z207" i="67"/>
  <c r="Z208" i="67"/>
  <c r="Z209" i="67"/>
  <c r="Z210" i="67"/>
  <c r="Z211" i="67"/>
  <c r="Z212" i="67"/>
  <c r="Z213" i="67"/>
  <c r="Z214" i="67"/>
  <c r="Z215" i="67"/>
  <c r="Z216" i="67"/>
  <c r="Z217" i="67"/>
  <c r="Z218" i="67"/>
  <c r="Z219" i="67"/>
  <c r="Z220" i="67"/>
  <c r="Z221" i="67"/>
  <c r="Z222" i="67"/>
  <c r="Z223" i="67"/>
  <c r="Z224" i="67"/>
  <c r="Z225" i="67"/>
  <c r="Z226" i="67"/>
  <c r="Z227" i="67"/>
  <c r="Z228" i="67"/>
  <c r="Z229" i="67"/>
  <c r="Z230" i="67"/>
  <c r="Z231" i="67"/>
  <c r="Z232" i="67"/>
  <c r="Z233" i="67"/>
  <c r="Z234" i="67"/>
  <c r="Z235" i="67"/>
  <c r="Z236" i="67"/>
  <c r="Z237" i="67"/>
  <c r="Z238" i="67"/>
  <c r="Z239" i="67"/>
  <c r="Z240" i="67"/>
  <c r="Z241" i="67"/>
  <c r="Z242" i="67"/>
  <c r="Z243" i="67"/>
  <c r="Z244" i="67"/>
  <c r="Z245" i="67"/>
  <c r="Z246" i="67"/>
  <c r="Z247" i="67"/>
  <c r="Z248" i="67"/>
  <c r="Z249" i="67"/>
  <c r="Z250" i="67"/>
  <c r="Z251" i="67"/>
  <c r="Z252" i="67"/>
  <c r="Z253" i="67"/>
  <c r="Z254" i="67"/>
  <c r="Z255" i="67"/>
  <c r="Z256" i="67"/>
  <c r="Z257" i="67"/>
  <c r="W33" i="63"/>
  <c r="W34" i="63"/>
  <c r="W35" i="63"/>
  <c r="W36" i="63"/>
  <c r="W37" i="63"/>
  <c r="W39" i="63"/>
  <c r="W40" i="63"/>
  <c r="W41" i="63"/>
  <c r="W42" i="63"/>
  <c r="W43" i="63"/>
  <c r="W44" i="63"/>
  <c r="W45" i="63"/>
  <c r="W46" i="63"/>
  <c r="W48" i="63"/>
  <c r="W49" i="63"/>
  <c r="W50" i="63"/>
  <c r="W51" i="63"/>
  <c r="W52" i="63"/>
  <c r="W53" i="63"/>
  <c r="W54" i="63"/>
  <c r="W55" i="63"/>
  <c r="W56" i="63"/>
  <c r="W57" i="63"/>
  <c r="W58" i="63"/>
  <c r="W59" i="63"/>
  <c r="W60" i="63"/>
  <c r="W61" i="63"/>
  <c r="W62" i="63"/>
  <c r="W63" i="63"/>
  <c r="W64" i="63"/>
  <c r="W65" i="63"/>
  <c r="W66" i="63"/>
  <c r="W67" i="63"/>
  <c r="W68" i="63"/>
  <c r="W69" i="63"/>
  <c r="W70" i="63"/>
  <c r="W71" i="63"/>
  <c r="W72" i="63"/>
  <c r="W73" i="63"/>
  <c r="W74" i="63"/>
  <c r="W75" i="63"/>
  <c r="W76" i="63"/>
  <c r="W77" i="63"/>
  <c r="W78" i="63"/>
  <c r="W79" i="63"/>
  <c r="W80" i="63"/>
  <c r="W81" i="63"/>
  <c r="W82" i="63"/>
  <c r="W83" i="63"/>
  <c r="W84" i="63"/>
  <c r="W85" i="63"/>
  <c r="W86" i="63"/>
  <c r="W87" i="63"/>
  <c r="W88" i="63"/>
  <c r="W89" i="63"/>
  <c r="W90" i="63"/>
  <c r="W91" i="63"/>
  <c r="W92" i="63"/>
  <c r="W93" i="63"/>
  <c r="W94" i="63"/>
  <c r="W95" i="63"/>
  <c r="W96" i="63"/>
  <c r="W97" i="63"/>
  <c r="W98" i="63"/>
  <c r="W99" i="63"/>
  <c r="W100" i="63"/>
  <c r="W101" i="63"/>
  <c r="W102" i="63"/>
  <c r="W103" i="63"/>
  <c r="W104" i="63"/>
  <c r="W105" i="63"/>
  <c r="W106" i="63"/>
  <c r="W107" i="63"/>
  <c r="W108" i="63"/>
  <c r="W109" i="63"/>
  <c r="W110" i="63"/>
  <c r="W111" i="63"/>
  <c r="W112" i="63"/>
  <c r="W113" i="63"/>
  <c r="W114" i="63"/>
  <c r="W115" i="63"/>
  <c r="W116" i="63"/>
  <c r="W117" i="63"/>
  <c r="W118" i="63"/>
  <c r="W119" i="63"/>
  <c r="W120" i="63"/>
  <c r="W121" i="63"/>
  <c r="W122" i="63"/>
  <c r="W123" i="63"/>
  <c r="W124" i="63"/>
  <c r="W125" i="63"/>
  <c r="W126" i="63"/>
  <c r="W127" i="63"/>
  <c r="W128" i="63"/>
  <c r="W129" i="63"/>
  <c r="W130" i="63"/>
  <c r="W131" i="63"/>
  <c r="W132" i="63"/>
  <c r="W133" i="63"/>
  <c r="W134" i="63"/>
  <c r="W135" i="63"/>
  <c r="W136" i="63"/>
  <c r="W137" i="63"/>
  <c r="W138" i="63"/>
  <c r="W139" i="63"/>
  <c r="W140" i="63"/>
  <c r="W141" i="63"/>
  <c r="W142" i="63"/>
  <c r="W143" i="63"/>
  <c r="W144" i="63"/>
  <c r="W145" i="63"/>
  <c r="W146" i="63"/>
  <c r="W147" i="63"/>
  <c r="W148" i="63"/>
  <c r="W149" i="63"/>
  <c r="W150" i="63"/>
  <c r="W151" i="63"/>
  <c r="W152" i="63"/>
  <c r="W153" i="63"/>
  <c r="W154" i="63"/>
  <c r="W155" i="63"/>
  <c r="W156" i="63"/>
  <c r="W157" i="63"/>
  <c r="W158" i="63"/>
  <c r="W159" i="63"/>
  <c r="W160" i="63"/>
  <c r="W161" i="63"/>
  <c r="W162" i="63"/>
  <c r="W163" i="63"/>
  <c r="W164" i="63"/>
  <c r="W165" i="63"/>
  <c r="W166" i="63"/>
  <c r="W167" i="63"/>
  <c r="W168" i="63"/>
  <c r="W169" i="63"/>
  <c r="W171" i="63"/>
  <c r="W172" i="63"/>
  <c r="W173" i="63"/>
  <c r="W174" i="63"/>
  <c r="W175" i="63"/>
  <c r="W176" i="63"/>
  <c r="W177" i="63"/>
  <c r="W178" i="63"/>
  <c r="W179" i="63"/>
  <c r="W180" i="63"/>
  <c r="W181" i="63"/>
  <c r="W182" i="63"/>
  <c r="W183" i="63"/>
  <c r="W184" i="63"/>
  <c r="W185" i="63"/>
  <c r="W186" i="63"/>
  <c r="W187" i="63"/>
  <c r="W188" i="63"/>
  <c r="W189" i="63"/>
  <c r="W190" i="63"/>
  <c r="W191" i="63"/>
  <c r="W192" i="63"/>
  <c r="W193" i="63"/>
  <c r="W194" i="63"/>
  <c r="W195" i="63"/>
  <c r="W196" i="63"/>
  <c r="W197" i="63"/>
  <c r="W198" i="63"/>
  <c r="W199" i="63"/>
  <c r="W200" i="63"/>
  <c r="W201" i="63"/>
  <c r="W202" i="63"/>
  <c r="W203" i="63"/>
  <c r="W204" i="63"/>
  <c r="W205" i="63"/>
  <c r="W206" i="63"/>
  <c r="W207" i="63"/>
  <c r="W208" i="63"/>
  <c r="W209" i="63"/>
  <c r="W210" i="63"/>
  <c r="W211" i="63"/>
  <c r="W212" i="63"/>
  <c r="W213" i="63"/>
  <c r="W214" i="63"/>
  <c r="W215" i="63"/>
  <c r="W216" i="63"/>
  <c r="W217" i="63"/>
  <c r="W218" i="63"/>
  <c r="W219" i="63"/>
  <c r="W220" i="63"/>
  <c r="W221" i="63"/>
  <c r="W222" i="63"/>
  <c r="W223" i="63"/>
  <c r="W224" i="63"/>
  <c r="W225" i="63"/>
  <c r="W226" i="63"/>
  <c r="W227" i="63"/>
  <c r="W228" i="63"/>
  <c r="W229" i="63"/>
  <c r="W230" i="63"/>
  <c r="W231" i="63"/>
  <c r="W232" i="63"/>
  <c r="W233" i="63"/>
  <c r="W234" i="63"/>
  <c r="W235" i="63"/>
  <c r="W236" i="63"/>
  <c r="W237" i="63"/>
  <c r="W238" i="63"/>
  <c r="W239" i="63"/>
  <c r="W240" i="63"/>
  <c r="W241" i="63"/>
  <c r="W242" i="63"/>
  <c r="W243" i="63"/>
  <c r="W244" i="63"/>
  <c r="W245" i="63"/>
  <c r="W246" i="63"/>
  <c r="W247" i="63"/>
  <c r="W249" i="63"/>
  <c r="W250" i="63"/>
  <c r="W251" i="63"/>
  <c r="W252" i="63"/>
  <c r="W253" i="63"/>
  <c r="W254" i="63"/>
  <c r="W255" i="63"/>
  <c r="W257" i="63"/>
  <c r="M3" i="29"/>
  <c r="C74" i="72" l="1"/>
  <c r="B74" i="72"/>
  <c r="C140" i="72"/>
  <c r="B140" i="72"/>
  <c r="C134" i="72"/>
  <c r="C162" i="72"/>
  <c r="B162" i="72"/>
  <c r="C81" i="72"/>
  <c r="B81" i="72"/>
  <c r="C62" i="72"/>
  <c r="B62" i="72"/>
  <c r="C32" i="72"/>
  <c r="B32" i="72"/>
  <c r="C31" i="72"/>
  <c r="C30" i="72"/>
  <c r="C29" i="72"/>
  <c r="C28" i="72"/>
  <c r="C27" i="72"/>
  <c r="C26" i="72"/>
  <c r="C25" i="72"/>
  <c r="C24" i="72"/>
  <c r="C23" i="72"/>
  <c r="C22" i="72"/>
  <c r="C21" i="72"/>
  <c r="C20" i="72"/>
  <c r="C19" i="72"/>
  <c r="C18" i="72"/>
  <c r="C17" i="72"/>
  <c r="C16" i="72"/>
  <c r="C15" i="72"/>
  <c r="C14" i="72"/>
  <c r="L103" i="29"/>
  <c r="M103" i="29"/>
  <c r="L104" i="29"/>
  <c r="M104" i="29"/>
  <c r="L105" i="29"/>
  <c r="M105" i="29"/>
  <c r="L106" i="29"/>
  <c r="M106" i="29"/>
  <c r="L107" i="29"/>
  <c r="M107" i="29"/>
  <c r="L108" i="29"/>
  <c r="M108" i="29"/>
  <c r="L109" i="29"/>
  <c r="M109" i="29"/>
  <c r="L110" i="29"/>
  <c r="M110" i="29"/>
  <c r="L111" i="29"/>
  <c r="M111" i="29"/>
  <c r="L112" i="29"/>
  <c r="M112" i="29"/>
  <c r="L113" i="29"/>
  <c r="M113" i="29"/>
  <c r="AU258" i="59" l="1"/>
  <c r="AU257" i="59"/>
  <c r="AU256" i="59"/>
  <c r="AU254" i="59"/>
  <c r="AU253" i="59"/>
  <c r="AU252" i="59"/>
  <c r="AU251" i="59"/>
  <c r="AU250" i="59"/>
  <c r="AU249" i="59"/>
  <c r="AU248" i="59"/>
  <c r="AU247" i="59"/>
  <c r="AU246" i="59"/>
  <c r="AU245" i="59"/>
  <c r="AU244" i="59"/>
  <c r="AU243" i="59"/>
  <c r="AU242" i="59"/>
  <c r="AU241" i="59"/>
  <c r="AU240" i="59"/>
  <c r="AU239" i="59"/>
  <c r="AU238" i="59"/>
  <c r="AU237" i="59"/>
  <c r="AU236" i="59"/>
  <c r="AU235" i="59"/>
  <c r="AU234" i="59"/>
  <c r="AU233" i="59"/>
  <c r="AU232" i="59"/>
  <c r="AU231" i="59"/>
  <c r="AU229" i="59"/>
  <c r="AU228" i="59"/>
  <c r="AU227" i="59"/>
  <c r="AU226" i="59"/>
  <c r="AU225" i="59"/>
  <c r="AU224" i="59"/>
  <c r="AU223" i="59"/>
  <c r="AU222" i="59"/>
  <c r="AU221" i="59"/>
  <c r="AU220" i="59"/>
  <c r="AU219" i="59"/>
  <c r="AU218" i="59"/>
  <c r="AU217" i="59"/>
  <c r="AU216" i="59"/>
  <c r="AU215" i="59"/>
  <c r="AU214" i="59"/>
  <c r="AU213" i="59"/>
  <c r="AU212" i="59"/>
  <c r="AU211" i="59"/>
  <c r="AU210" i="59"/>
  <c r="AU209" i="59"/>
  <c r="AU208" i="59"/>
  <c r="AU207" i="59"/>
  <c r="AU206" i="59"/>
  <c r="AU205" i="59"/>
  <c r="AU204" i="59"/>
  <c r="AU203" i="59"/>
  <c r="AU202" i="59"/>
  <c r="AU201" i="59"/>
  <c r="AU200" i="59"/>
  <c r="AU199" i="59"/>
  <c r="AU198" i="59"/>
  <c r="AU197" i="59"/>
  <c r="AU196" i="59"/>
  <c r="AU195" i="59"/>
  <c r="AU194" i="59"/>
  <c r="AU193" i="59"/>
  <c r="AU192" i="59"/>
  <c r="AU191" i="59"/>
  <c r="AU190" i="59"/>
  <c r="AU189" i="59"/>
  <c r="AU188" i="59"/>
  <c r="AU187" i="59"/>
  <c r="AU186" i="59"/>
  <c r="AU185" i="59"/>
  <c r="AU184" i="59"/>
  <c r="AU183" i="59"/>
  <c r="AU182" i="59"/>
  <c r="AU181" i="59"/>
  <c r="AU180" i="59"/>
  <c r="AU179" i="59"/>
  <c r="AU178" i="59"/>
  <c r="AU177" i="59"/>
  <c r="AU176" i="59"/>
  <c r="AU175" i="59"/>
  <c r="AU174" i="59"/>
  <c r="AU173" i="59"/>
  <c r="AU172" i="59"/>
  <c r="AU171" i="59"/>
  <c r="AU170" i="59"/>
  <c r="AU169" i="59"/>
  <c r="AU168" i="59"/>
  <c r="AU167" i="59"/>
  <c r="AU166" i="59"/>
  <c r="AU165" i="59"/>
  <c r="AU164" i="59"/>
  <c r="AU163" i="59"/>
  <c r="AU162" i="59"/>
  <c r="AU161" i="59"/>
  <c r="AU160" i="59"/>
  <c r="AU159" i="59"/>
  <c r="AU158" i="59"/>
  <c r="AU157" i="59"/>
  <c r="AU156" i="59"/>
  <c r="AU155" i="59"/>
  <c r="AU154" i="59"/>
  <c r="AU153" i="59"/>
  <c r="AU152" i="59"/>
  <c r="AU151" i="59"/>
  <c r="AU150" i="59"/>
  <c r="AU149" i="59"/>
  <c r="AU148" i="59"/>
  <c r="AU147" i="59"/>
  <c r="AU146" i="59"/>
  <c r="AU145" i="59"/>
  <c r="AU144" i="59"/>
  <c r="AU143" i="59"/>
  <c r="AU142" i="59"/>
  <c r="AU141" i="59"/>
  <c r="AU140" i="59"/>
  <c r="AU139" i="59"/>
  <c r="AU138" i="59"/>
  <c r="AU137" i="59"/>
  <c r="AU136" i="59"/>
  <c r="AU135" i="59"/>
  <c r="AU134" i="59"/>
  <c r="AU133" i="59"/>
  <c r="AU132" i="59"/>
  <c r="AU131" i="59"/>
  <c r="AU130" i="59"/>
  <c r="AU129" i="59"/>
  <c r="AU128" i="59"/>
  <c r="AU127" i="59"/>
  <c r="AU126" i="59"/>
  <c r="AU125" i="59"/>
  <c r="AU124" i="59"/>
  <c r="AU123" i="59"/>
  <c r="AU122" i="59"/>
  <c r="AU121" i="59"/>
  <c r="AU120" i="59"/>
  <c r="AU119" i="59"/>
  <c r="AU118" i="59"/>
  <c r="AU117" i="59"/>
  <c r="AU116" i="59"/>
  <c r="AU115" i="59"/>
  <c r="AU114" i="59"/>
  <c r="AU113" i="59"/>
  <c r="AU112" i="59"/>
  <c r="AU111" i="59"/>
  <c r="AU110" i="59"/>
  <c r="AU109" i="59"/>
  <c r="AU108" i="59"/>
  <c r="AU107" i="59"/>
  <c r="AU106" i="59"/>
  <c r="AU105" i="59"/>
  <c r="AU104" i="59"/>
  <c r="AU103" i="59"/>
  <c r="AU102" i="59"/>
  <c r="AU101" i="59"/>
  <c r="AU100" i="59"/>
  <c r="AU99" i="59"/>
  <c r="AU98" i="59"/>
  <c r="AU97" i="59"/>
  <c r="AU96" i="59"/>
  <c r="AU95" i="59"/>
  <c r="AU94" i="59"/>
  <c r="AU93" i="59"/>
  <c r="AU92" i="59"/>
  <c r="AU91" i="59"/>
  <c r="AU90" i="59"/>
  <c r="AU89" i="59"/>
  <c r="AU88" i="59"/>
  <c r="AU87" i="59"/>
  <c r="AU86" i="59"/>
  <c r="AU85" i="59"/>
  <c r="AU84" i="59"/>
  <c r="AU83" i="59"/>
  <c r="AU82" i="59"/>
  <c r="AU81" i="59"/>
  <c r="AU80" i="59"/>
  <c r="AU79" i="59"/>
  <c r="AU78" i="59"/>
  <c r="AU77" i="59"/>
  <c r="AU76" i="59"/>
  <c r="AU75" i="59"/>
  <c r="AU74" i="59"/>
  <c r="AU73" i="59"/>
  <c r="AU72" i="59"/>
  <c r="AU71" i="59"/>
  <c r="AU70" i="59"/>
  <c r="AU69" i="59"/>
  <c r="AU68" i="59"/>
  <c r="AU67" i="59"/>
  <c r="AU66" i="59"/>
  <c r="AU65" i="59"/>
  <c r="AU64" i="59"/>
  <c r="AU63" i="59"/>
  <c r="AU62" i="59"/>
  <c r="AU61" i="59"/>
  <c r="AU60" i="59"/>
  <c r="AU59" i="59"/>
  <c r="AU58" i="59"/>
  <c r="AU57" i="59"/>
  <c r="AU56" i="59"/>
  <c r="AU55" i="59"/>
  <c r="AU54" i="59"/>
  <c r="AU53" i="59"/>
  <c r="AQ258" i="11" l="1"/>
  <c r="AQ257" i="11"/>
  <c r="AQ256" i="11"/>
  <c r="AQ255" i="11"/>
  <c r="AQ254" i="11"/>
  <c r="AQ253" i="11"/>
  <c r="AQ252" i="11"/>
  <c r="AQ251" i="11"/>
  <c r="AQ250" i="11"/>
  <c r="AQ249" i="11"/>
  <c r="AQ248" i="11"/>
  <c r="AQ247" i="11"/>
  <c r="AQ246" i="11"/>
  <c r="AQ245" i="11"/>
  <c r="AQ244" i="11"/>
  <c r="AQ243" i="11"/>
  <c r="AQ242" i="11"/>
  <c r="AQ241" i="11"/>
  <c r="AQ240" i="11"/>
  <c r="AQ239" i="11"/>
  <c r="AQ238" i="11"/>
  <c r="AQ237" i="11"/>
  <c r="AQ236" i="11"/>
  <c r="AQ235" i="11"/>
  <c r="AQ234" i="11"/>
  <c r="AQ233" i="11"/>
  <c r="AQ232" i="11"/>
  <c r="AQ231" i="11"/>
  <c r="AQ230" i="11"/>
  <c r="AQ229" i="11"/>
  <c r="AQ228" i="11"/>
  <c r="AQ227" i="11"/>
  <c r="AQ226" i="11"/>
  <c r="AQ225" i="11"/>
  <c r="AQ224" i="11"/>
  <c r="AQ223" i="11"/>
  <c r="AQ222" i="11"/>
  <c r="AQ221" i="11"/>
  <c r="AQ220" i="11"/>
  <c r="AQ219" i="11"/>
  <c r="AQ218" i="11"/>
  <c r="AQ217" i="11"/>
  <c r="AQ216" i="11"/>
  <c r="AQ215" i="11"/>
  <c r="AQ214" i="11"/>
  <c r="AQ213" i="11"/>
  <c r="AQ212" i="11"/>
  <c r="AQ211" i="11"/>
  <c r="AQ210" i="11"/>
  <c r="AQ209" i="11"/>
  <c r="AQ208" i="11"/>
  <c r="AQ207" i="11"/>
  <c r="AQ206" i="11"/>
  <c r="AQ205" i="11"/>
  <c r="AQ204" i="11"/>
  <c r="AQ203" i="11"/>
  <c r="AQ202" i="11"/>
  <c r="AQ201" i="11"/>
  <c r="AQ200" i="11"/>
  <c r="AQ199" i="11"/>
  <c r="AQ198" i="11"/>
  <c r="AQ197" i="11"/>
  <c r="AQ196" i="11"/>
  <c r="AQ195" i="11"/>
  <c r="AQ194" i="11"/>
  <c r="AQ193" i="11"/>
  <c r="AQ192" i="11"/>
  <c r="AQ191" i="11"/>
  <c r="AQ190" i="11"/>
  <c r="AQ189" i="11"/>
  <c r="AQ188" i="11"/>
  <c r="AQ187" i="11"/>
  <c r="AQ186" i="11"/>
  <c r="AQ185" i="11"/>
  <c r="AQ184" i="11"/>
  <c r="AQ183" i="11"/>
  <c r="AQ182" i="11"/>
  <c r="AQ181" i="11"/>
  <c r="AQ180" i="11"/>
  <c r="AQ179" i="11"/>
  <c r="AQ178" i="11"/>
  <c r="AQ177" i="11"/>
  <c r="AQ176" i="11"/>
  <c r="AQ175" i="11"/>
  <c r="AQ174" i="11"/>
  <c r="AQ173" i="11"/>
  <c r="AQ172" i="11"/>
  <c r="AQ171" i="11"/>
  <c r="AQ170" i="11"/>
  <c r="AQ169" i="11"/>
  <c r="AQ168" i="11"/>
  <c r="AQ167" i="11"/>
  <c r="AQ166" i="11"/>
  <c r="AQ165" i="11"/>
  <c r="AQ164" i="11"/>
  <c r="AQ163" i="11"/>
  <c r="AQ162" i="11"/>
  <c r="AQ161" i="11"/>
  <c r="AQ160" i="11"/>
  <c r="AQ159" i="11"/>
  <c r="AQ158" i="11"/>
  <c r="AQ157" i="11"/>
  <c r="AQ156" i="11"/>
  <c r="AQ155" i="11"/>
  <c r="AQ154" i="11"/>
  <c r="AQ153" i="11"/>
  <c r="AQ152" i="11"/>
  <c r="AQ151" i="11"/>
  <c r="AQ150" i="11"/>
  <c r="AQ149" i="11"/>
  <c r="AQ148" i="11"/>
  <c r="AQ147" i="11"/>
  <c r="AQ146" i="11"/>
  <c r="AQ145" i="11"/>
  <c r="B102" i="28" l="1"/>
  <c r="J170" i="36" l="1"/>
  <c r="J168" i="36"/>
  <c r="J166" i="36"/>
  <c r="J164" i="36"/>
  <c r="J105" i="36"/>
  <c r="D176" i="22"/>
  <c r="D175" i="22"/>
  <c r="D174" i="22"/>
  <c r="D173" i="22"/>
  <c r="D172" i="22"/>
  <c r="C176" i="22"/>
  <c r="C175" i="22"/>
  <c r="C174" i="22"/>
  <c r="C173" i="22"/>
  <c r="C172" i="22"/>
  <c r="A176" i="22"/>
  <c r="A175" i="22"/>
  <c r="A174" i="22"/>
  <c r="A173" i="22"/>
  <c r="A172" i="22"/>
  <c r="B42" i="105" l="1"/>
  <c r="X176" i="22"/>
  <c r="B13" i="105"/>
  <c r="X172" i="22"/>
  <c r="B22" i="105"/>
  <c r="X173" i="22"/>
  <c r="B30" i="105"/>
  <c r="X174" i="22"/>
  <c r="T174" i="22"/>
  <c r="B31" i="105"/>
  <c r="X175" i="22"/>
  <c r="T175" i="22"/>
  <c r="K172" i="22"/>
  <c r="W172" i="22"/>
  <c r="U172" i="22"/>
  <c r="W174" i="22"/>
  <c r="U174" i="22"/>
  <c r="U173" i="22"/>
  <c r="W173" i="22"/>
  <c r="W175" i="22"/>
  <c r="U175" i="22"/>
  <c r="W176" i="22"/>
  <c r="U176" i="22"/>
  <c r="K175" i="22"/>
  <c r="K174" i="22"/>
  <c r="K176" i="22"/>
  <c r="S172" i="22"/>
  <c r="C183" i="36" s="1"/>
  <c r="S173" i="22"/>
  <c r="C184" i="36" s="1"/>
  <c r="S174" i="22"/>
  <c r="C185" i="36" s="1"/>
  <c r="S175" i="22"/>
  <c r="C186" i="36" s="1"/>
  <c r="K173" i="22"/>
  <c r="S176" i="22"/>
  <c r="C187" i="36" s="1"/>
  <c r="J109" i="36"/>
  <c r="J107" i="36"/>
  <c r="J103" i="36"/>
  <c r="J101" i="36"/>
  <c r="A150" i="22" l="1"/>
  <c r="W150" i="22" s="1"/>
  <c r="A151" i="22"/>
  <c r="A152" i="22"/>
  <c r="A153" i="22"/>
  <c r="A154" i="22"/>
  <c r="A155" i="22"/>
  <c r="A156" i="22"/>
  <c r="A157" i="22"/>
  <c r="A158" i="22"/>
  <c r="A159" i="22"/>
  <c r="A160" i="22"/>
  <c r="A161" i="22"/>
  <c r="A162" i="22"/>
  <c r="W158" i="22" l="1"/>
  <c r="X158" i="22"/>
  <c r="T158" i="22"/>
  <c r="B34" i="104"/>
  <c r="W156" i="22"/>
  <c r="X156" i="22"/>
  <c r="B33" i="104"/>
  <c r="W155" i="22"/>
  <c r="X155" i="22"/>
  <c r="T155" i="22"/>
  <c r="B32" i="104"/>
  <c r="W154" i="22"/>
  <c r="T154" i="22"/>
  <c r="W161" i="22"/>
  <c r="X161" i="22"/>
  <c r="T161" i="22"/>
  <c r="W153" i="22"/>
  <c r="X153" i="22"/>
  <c r="T153" i="22"/>
  <c r="W162" i="22"/>
  <c r="X162" i="22"/>
  <c r="T162" i="22"/>
  <c r="B45" i="104"/>
  <c r="W160" i="22"/>
  <c r="X160" i="22"/>
  <c r="T160" i="22"/>
  <c r="B23" i="104"/>
  <c r="W152" i="22"/>
  <c r="X152" i="22"/>
  <c r="T152" i="22"/>
  <c r="B35" i="104"/>
  <c r="W157" i="22"/>
  <c r="X157" i="22"/>
  <c r="T157" i="22"/>
  <c r="B44" i="104"/>
  <c r="W159" i="22"/>
  <c r="X159" i="22"/>
  <c r="T159" i="22"/>
  <c r="T151" i="22"/>
  <c r="W151" i="22"/>
  <c r="K150" i="22"/>
  <c r="X150" i="22"/>
  <c r="T150" i="22"/>
  <c r="E158" i="22"/>
  <c r="C108" i="36" s="1"/>
  <c r="B36" i="104"/>
  <c r="I158" i="22"/>
  <c r="B37" i="104"/>
  <c r="G150" i="22"/>
  <c r="E150" i="22"/>
  <c r="C100" i="36" s="1"/>
  <c r="S156" i="22"/>
  <c r="C126" i="36" s="1"/>
  <c r="S155" i="22"/>
  <c r="C125" i="36" s="1"/>
  <c r="E162" i="22"/>
  <c r="C112" i="36" s="1"/>
  <c r="B47" i="104"/>
  <c r="I161" i="22"/>
  <c r="B46" i="104"/>
  <c r="S158" i="22"/>
  <c r="C128" i="36" s="1"/>
  <c r="B25" i="104"/>
  <c r="K157" i="22"/>
  <c r="G154" i="22"/>
  <c r="S153" i="22"/>
  <c r="C123" i="36" s="1"/>
  <c r="B24" i="104"/>
  <c r="E151" i="22"/>
  <c r="C101" i="36" s="1"/>
  <c r="B22" i="104"/>
  <c r="S150" i="22"/>
  <c r="C120" i="36" s="1"/>
  <c r="B14" i="104"/>
  <c r="G158" i="22"/>
  <c r="K158" i="22"/>
  <c r="G156" i="22"/>
  <c r="E156" i="22"/>
  <c r="C106" i="36" s="1"/>
  <c r="K156" i="22"/>
  <c r="G155" i="22"/>
  <c r="E154" i="22"/>
  <c r="C104" i="36" s="1"/>
  <c r="E155" i="22"/>
  <c r="C105" i="36" s="1"/>
  <c r="K155" i="22"/>
  <c r="G159" i="22"/>
  <c r="E160" i="22"/>
  <c r="C110" i="36" s="1"/>
  <c r="I159" i="22"/>
  <c r="E161" i="22"/>
  <c r="C111" i="36" s="1"/>
  <c r="G161" i="22"/>
  <c r="K153" i="22"/>
  <c r="E153" i="22"/>
  <c r="C103" i="36" s="1"/>
  <c r="S161" i="22"/>
  <c r="C131" i="36" s="1"/>
  <c r="G153" i="22"/>
  <c r="K161" i="22"/>
  <c r="E152" i="22"/>
  <c r="C102" i="36" s="1"/>
  <c r="K154" i="22"/>
  <c r="K162" i="22"/>
  <c r="S154" i="22"/>
  <c r="C124" i="36" s="1"/>
  <c r="S159" i="22"/>
  <c r="C129" i="36" s="1"/>
  <c r="S157" i="22"/>
  <c r="C127" i="36" s="1"/>
  <c r="G151" i="22"/>
  <c r="G160" i="22"/>
  <c r="G152" i="22"/>
  <c r="G162" i="22"/>
  <c r="K151" i="22"/>
  <c r="K159" i="22"/>
  <c r="S151" i="22"/>
  <c r="C121" i="36" s="1"/>
  <c r="S160" i="22"/>
  <c r="C130" i="36" s="1"/>
  <c r="E159" i="22"/>
  <c r="C109" i="36" s="1"/>
  <c r="K152" i="22"/>
  <c r="K160" i="22"/>
  <c r="S152" i="22"/>
  <c r="C122" i="36" s="1"/>
  <c r="U156" i="22"/>
  <c r="U157" i="22"/>
  <c r="U155" i="22"/>
  <c r="G157" i="22"/>
  <c r="U162" i="22"/>
  <c r="U154" i="22"/>
  <c r="U161" i="22"/>
  <c r="U153" i="22"/>
  <c r="I157" i="22"/>
  <c r="U160" i="22"/>
  <c r="U152" i="22"/>
  <c r="E157" i="22"/>
  <c r="C107" i="36" s="1"/>
  <c r="S162" i="22"/>
  <c r="C132" i="36" s="1"/>
  <c r="U159" i="22"/>
  <c r="U151" i="22"/>
  <c r="U158" i="22"/>
  <c r="U150" i="22"/>
  <c r="D162" i="22"/>
  <c r="D161" i="22"/>
  <c r="D160" i="22"/>
  <c r="D159" i="22"/>
  <c r="D158" i="22"/>
  <c r="D157" i="22"/>
  <c r="D156" i="22"/>
  <c r="D155" i="22"/>
  <c r="D154" i="22"/>
  <c r="D153" i="22"/>
  <c r="D152" i="22"/>
  <c r="D151" i="22"/>
  <c r="D150" i="22"/>
  <c r="C162" i="22"/>
  <c r="C161" i="22"/>
  <c r="C160" i="22"/>
  <c r="C159" i="22"/>
  <c r="C158" i="22"/>
  <c r="C157" i="22"/>
  <c r="C156" i="22"/>
  <c r="C155" i="22"/>
  <c r="C154" i="22"/>
  <c r="C153" i="22"/>
  <c r="C152" i="22"/>
  <c r="C151" i="22"/>
  <c r="C150" i="22"/>
  <c r="C148" i="36" l="1"/>
  <c r="C140" i="36"/>
  <c r="C145" i="36"/>
  <c r="C146" i="36"/>
  <c r="C152" i="36"/>
  <c r="C143" i="36"/>
  <c r="C141" i="36"/>
  <c r="C144" i="36"/>
  <c r="C147" i="36"/>
  <c r="C150" i="36"/>
  <c r="C149" i="36"/>
  <c r="C142" i="36"/>
  <c r="C151" i="36"/>
  <c r="AJ258" i="65" l="1"/>
  <c r="AL13" i="68"/>
  <c r="AL14" i="68"/>
  <c r="AL15" i="68"/>
  <c r="AL16" i="68"/>
  <c r="AL17" i="68"/>
  <c r="AL18" i="68"/>
  <c r="AL19" i="68"/>
  <c r="AL20" i="68"/>
  <c r="AL21" i="68"/>
  <c r="AL22" i="68"/>
  <c r="AL23" i="68"/>
  <c r="AL24" i="68"/>
  <c r="AL25" i="68"/>
  <c r="AL26" i="68"/>
  <c r="AL27" i="68"/>
  <c r="AL28" i="68"/>
  <c r="AL29" i="68"/>
  <c r="AL30" i="68"/>
  <c r="AL31" i="68"/>
  <c r="AL32" i="68"/>
  <c r="AL33" i="68"/>
  <c r="AL34" i="68"/>
  <c r="AL35" i="68"/>
  <c r="AL36" i="68"/>
  <c r="AL37" i="68"/>
  <c r="AL38" i="68"/>
  <c r="AL39" i="68"/>
  <c r="AL40" i="68"/>
  <c r="AL41" i="68"/>
  <c r="AL42" i="68"/>
  <c r="AL43" i="68"/>
  <c r="AL44" i="68"/>
  <c r="AL45" i="68"/>
  <c r="AL46" i="68"/>
  <c r="AL47" i="68"/>
  <c r="AL48" i="68"/>
  <c r="AL49" i="68"/>
  <c r="AL50" i="68"/>
  <c r="AL51" i="68"/>
  <c r="AL52" i="68"/>
  <c r="AL53" i="68"/>
  <c r="AL54" i="68"/>
  <c r="AL55" i="68"/>
  <c r="AL56" i="68"/>
  <c r="AL57" i="68"/>
  <c r="AL58" i="68"/>
  <c r="AL59" i="68"/>
  <c r="AL60" i="68"/>
  <c r="AL61" i="68"/>
  <c r="AL62" i="68"/>
  <c r="AL63" i="68"/>
  <c r="AL64" i="68"/>
  <c r="AL65" i="68"/>
  <c r="AL66" i="68"/>
  <c r="AL67" i="68"/>
  <c r="AL68" i="68"/>
  <c r="AL69" i="68"/>
  <c r="AL70" i="68"/>
  <c r="AL71" i="68"/>
  <c r="AL72" i="68"/>
  <c r="AL73" i="68"/>
  <c r="AL74" i="68"/>
  <c r="AL75" i="68"/>
  <c r="AL76" i="68"/>
  <c r="AL77" i="68"/>
  <c r="AL78" i="68"/>
  <c r="AL79" i="68"/>
  <c r="AL80" i="68"/>
  <c r="AL81" i="68"/>
  <c r="AL82" i="68"/>
  <c r="AL83" i="68"/>
  <c r="AL84" i="68"/>
  <c r="AL85" i="68"/>
  <c r="AL86" i="68"/>
  <c r="AL87" i="68"/>
  <c r="AL88" i="68"/>
  <c r="AL89" i="68"/>
  <c r="AL90" i="68"/>
  <c r="AL91" i="68"/>
  <c r="AL92" i="68"/>
  <c r="AL93" i="68"/>
  <c r="AL94" i="68"/>
  <c r="AL95" i="68"/>
  <c r="AL96" i="68"/>
  <c r="AL97" i="68"/>
  <c r="AL98" i="68"/>
  <c r="AL99" i="68"/>
  <c r="AL100" i="68"/>
  <c r="AL101" i="68"/>
  <c r="AL102" i="68"/>
  <c r="AL103" i="68"/>
  <c r="AL104" i="68"/>
  <c r="AL105" i="68"/>
  <c r="AL106" i="68"/>
  <c r="AL107" i="68"/>
  <c r="AL108" i="68"/>
  <c r="AL109" i="68"/>
  <c r="AL110" i="68"/>
  <c r="AL111" i="68"/>
  <c r="AL112" i="68"/>
  <c r="AL113" i="68"/>
  <c r="AL114" i="68"/>
  <c r="AL115" i="68"/>
  <c r="AL116" i="68"/>
  <c r="AL117" i="68"/>
  <c r="AL118" i="68"/>
  <c r="AL119" i="68"/>
  <c r="AL120" i="68"/>
  <c r="AL121" i="68"/>
  <c r="AL122" i="68"/>
  <c r="AL123" i="68"/>
  <c r="AL124" i="68"/>
  <c r="AL125" i="68"/>
  <c r="AL126" i="68"/>
  <c r="AL127" i="68"/>
  <c r="AL128" i="68"/>
  <c r="AL129" i="68"/>
  <c r="AL130" i="68"/>
  <c r="AL131" i="68"/>
  <c r="AL132" i="68"/>
  <c r="AL133" i="68"/>
  <c r="AL134" i="68"/>
  <c r="AL135" i="68"/>
  <c r="AL136" i="68"/>
  <c r="AL137" i="68"/>
  <c r="AL138" i="68"/>
  <c r="AL139" i="68"/>
  <c r="AL140" i="68"/>
  <c r="AL141" i="68"/>
  <c r="AL142" i="68"/>
  <c r="AL143" i="68"/>
  <c r="AL144" i="68"/>
  <c r="AL145" i="68"/>
  <c r="AL146" i="68"/>
  <c r="AL147" i="68"/>
  <c r="AL148" i="68"/>
  <c r="AL149" i="68"/>
  <c r="AL150" i="68"/>
  <c r="AL151" i="68"/>
  <c r="AL152" i="68"/>
  <c r="AL153" i="68"/>
  <c r="AL154" i="68"/>
  <c r="AL155" i="68"/>
  <c r="AL156" i="68"/>
  <c r="AL157" i="68"/>
  <c r="AL158" i="68"/>
  <c r="AL159" i="68"/>
  <c r="AL160" i="68"/>
  <c r="AL161" i="68"/>
  <c r="AL162" i="68"/>
  <c r="AL163" i="68"/>
  <c r="AL164" i="68"/>
  <c r="AL165" i="68"/>
  <c r="AL166" i="68"/>
  <c r="AL167" i="68"/>
  <c r="AL168" i="68"/>
  <c r="AL169" i="68"/>
  <c r="AL170" i="68"/>
  <c r="AL171" i="68"/>
  <c r="AL172" i="68"/>
  <c r="AL173" i="68"/>
  <c r="AL174" i="68"/>
  <c r="AL175" i="68"/>
  <c r="AL176" i="68"/>
  <c r="AL177" i="68"/>
  <c r="AL178" i="68"/>
  <c r="AL179" i="68"/>
  <c r="AL180" i="68"/>
  <c r="AL181" i="68"/>
  <c r="AL182" i="68"/>
  <c r="AL183" i="68"/>
  <c r="AL184" i="68"/>
  <c r="AL185" i="68"/>
  <c r="AL186" i="68"/>
  <c r="AL187" i="68"/>
  <c r="AL188" i="68"/>
  <c r="AL189" i="68"/>
  <c r="AL190" i="68"/>
  <c r="AL191" i="68"/>
  <c r="AL192" i="68"/>
  <c r="AL193" i="68"/>
  <c r="AL194" i="68"/>
  <c r="AL195" i="68"/>
  <c r="AL196" i="68"/>
  <c r="AL197" i="68"/>
  <c r="AL198" i="68"/>
  <c r="AL199" i="68"/>
  <c r="AL200" i="68"/>
  <c r="AL201" i="68"/>
  <c r="AL202" i="68"/>
  <c r="AL203" i="68"/>
  <c r="AL204" i="68"/>
  <c r="AL205" i="68"/>
  <c r="AL206" i="68"/>
  <c r="AL207" i="68"/>
  <c r="AL208" i="68"/>
  <c r="AL209" i="68"/>
  <c r="AL210" i="68"/>
  <c r="AL211" i="68"/>
  <c r="AL212" i="68"/>
  <c r="AL213" i="68"/>
  <c r="AL214" i="68"/>
  <c r="AL215" i="68"/>
  <c r="AL216" i="68"/>
  <c r="AL217" i="68"/>
  <c r="AL218" i="68"/>
  <c r="AL219" i="68"/>
  <c r="AL220" i="68"/>
  <c r="AL221" i="68"/>
  <c r="AL222" i="68"/>
  <c r="AL223" i="68"/>
  <c r="AL224" i="68"/>
  <c r="AL225" i="68"/>
  <c r="AL226" i="68"/>
  <c r="AL227" i="68"/>
  <c r="AL228" i="68"/>
  <c r="AL229" i="68"/>
  <c r="AL230" i="68"/>
  <c r="AL231" i="68"/>
  <c r="AL232" i="68"/>
  <c r="AL233" i="68"/>
  <c r="AL234" i="68"/>
  <c r="AL235" i="68"/>
  <c r="AL236" i="68"/>
  <c r="AL237" i="68"/>
  <c r="AL238" i="68"/>
  <c r="AL239" i="68"/>
  <c r="AL240" i="68"/>
  <c r="AL241" i="68"/>
  <c r="AL242" i="68"/>
  <c r="AL243" i="68"/>
  <c r="AL244" i="68"/>
  <c r="AL245" i="68"/>
  <c r="AL246" i="68"/>
  <c r="AL247" i="68"/>
  <c r="AL248" i="68"/>
  <c r="AL249" i="68"/>
  <c r="AL250" i="68"/>
  <c r="AL251" i="68"/>
  <c r="AL252" i="68"/>
  <c r="AL253" i="68"/>
  <c r="AL254" i="68"/>
  <c r="AL255" i="68"/>
  <c r="AL256" i="68"/>
  <c r="AL257" i="68"/>
  <c r="AL258" i="68"/>
  <c r="AL259" i="68"/>
  <c r="AL12" i="68"/>
  <c r="AJ11" i="67"/>
  <c r="AJ12" i="67"/>
  <c r="AJ13" i="67"/>
  <c r="AJ14" i="67"/>
  <c r="AJ15" i="67"/>
  <c r="AJ16" i="67"/>
  <c r="AJ17" i="67"/>
  <c r="AJ18" i="67"/>
  <c r="AJ19" i="67"/>
  <c r="AJ20" i="67"/>
  <c r="AJ21" i="67"/>
  <c r="AJ22" i="67"/>
  <c r="AJ23" i="67"/>
  <c r="AJ24" i="67"/>
  <c r="AJ25" i="67"/>
  <c r="AJ26" i="67"/>
  <c r="AJ27" i="67"/>
  <c r="AJ28" i="67"/>
  <c r="AJ29" i="67"/>
  <c r="AJ30" i="67"/>
  <c r="AJ31" i="67"/>
  <c r="AJ32" i="67"/>
  <c r="AJ33" i="67"/>
  <c r="AJ34" i="67"/>
  <c r="AJ35" i="67"/>
  <c r="AJ36" i="67"/>
  <c r="AJ37" i="67"/>
  <c r="AJ38" i="67"/>
  <c r="AJ39" i="67"/>
  <c r="AJ40" i="67"/>
  <c r="AJ41" i="67"/>
  <c r="AJ42" i="67"/>
  <c r="AJ43" i="67"/>
  <c r="AJ44" i="67"/>
  <c r="AJ45" i="67"/>
  <c r="AJ46" i="67"/>
  <c r="AJ47" i="67"/>
  <c r="AJ48" i="67"/>
  <c r="AJ49" i="67"/>
  <c r="AJ50" i="67"/>
  <c r="AJ51" i="67"/>
  <c r="AJ52" i="67"/>
  <c r="AJ53" i="67"/>
  <c r="AJ54" i="67"/>
  <c r="AJ55" i="67"/>
  <c r="AJ56" i="67"/>
  <c r="AJ57" i="67"/>
  <c r="AJ58" i="67"/>
  <c r="AJ59" i="67"/>
  <c r="AJ60" i="67"/>
  <c r="AJ61" i="67"/>
  <c r="AJ62" i="67"/>
  <c r="AJ63" i="67"/>
  <c r="AJ64" i="67"/>
  <c r="AJ65" i="67"/>
  <c r="AJ66" i="67"/>
  <c r="AJ67" i="67"/>
  <c r="AJ68" i="67"/>
  <c r="AJ69" i="67"/>
  <c r="AJ70" i="67"/>
  <c r="AJ71" i="67"/>
  <c r="AJ72" i="67"/>
  <c r="AJ73" i="67"/>
  <c r="AJ74" i="67"/>
  <c r="AJ75" i="67"/>
  <c r="AJ76" i="67"/>
  <c r="AJ77" i="67"/>
  <c r="AJ78" i="67"/>
  <c r="AJ79" i="67"/>
  <c r="AJ80" i="67"/>
  <c r="AJ81" i="67"/>
  <c r="AJ82" i="67"/>
  <c r="AJ83" i="67"/>
  <c r="AJ84" i="67"/>
  <c r="AJ85" i="67"/>
  <c r="AJ86" i="67"/>
  <c r="AJ87" i="67"/>
  <c r="AJ88" i="67"/>
  <c r="AJ89" i="67"/>
  <c r="AJ90" i="67"/>
  <c r="AJ91" i="67"/>
  <c r="AJ92" i="67"/>
  <c r="AJ93" i="67"/>
  <c r="AJ94" i="67"/>
  <c r="AJ95" i="67"/>
  <c r="AJ96" i="67"/>
  <c r="AJ97" i="67"/>
  <c r="AJ98" i="67"/>
  <c r="AJ99" i="67"/>
  <c r="AJ100" i="67"/>
  <c r="AJ101" i="67"/>
  <c r="AJ102" i="67"/>
  <c r="AJ103" i="67"/>
  <c r="AJ104" i="67"/>
  <c r="AJ105" i="67"/>
  <c r="AJ106" i="67"/>
  <c r="AJ107" i="67"/>
  <c r="AJ108" i="67"/>
  <c r="AJ109" i="67"/>
  <c r="AJ110" i="67"/>
  <c r="AJ111" i="67"/>
  <c r="AJ112" i="67"/>
  <c r="AJ113" i="67"/>
  <c r="AJ114" i="67"/>
  <c r="AJ115" i="67"/>
  <c r="AJ116" i="67"/>
  <c r="AJ117" i="67"/>
  <c r="AJ118" i="67"/>
  <c r="AJ119" i="67"/>
  <c r="AJ120" i="67"/>
  <c r="AJ121" i="67"/>
  <c r="AJ122" i="67"/>
  <c r="AJ123" i="67"/>
  <c r="AJ124" i="67"/>
  <c r="AJ125" i="67"/>
  <c r="AJ126" i="67"/>
  <c r="AJ127" i="67"/>
  <c r="AJ128" i="67"/>
  <c r="AJ129" i="67"/>
  <c r="AJ130" i="67"/>
  <c r="AJ131" i="67"/>
  <c r="AJ132" i="67"/>
  <c r="AJ133" i="67"/>
  <c r="AJ134" i="67"/>
  <c r="AJ135" i="67"/>
  <c r="AJ136" i="67"/>
  <c r="AJ137" i="67"/>
  <c r="AJ138" i="67"/>
  <c r="AJ139" i="67"/>
  <c r="AJ140" i="67"/>
  <c r="AJ141" i="67"/>
  <c r="AJ142" i="67"/>
  <c r="AJ143" i="67"/>
  <c r="AJ144" i="67"/>
  <c r="AJ145" i="67"/>
  <c r="AJ146" i="67"/>
  <c r="AJ147" i="67"/>
  <c r="AJ148" i="67"/>
  <c r="AJ149" i="67"/>
  <c r="AJ150" i="67"/>
  <c r="AJ151" i="67"/>
  <c r="AJ152" i="67"/>
  <c r="AJ153" i="67"/>
  <c r="AJ154" i="67"/>
  <c r="AJ155" i="67"/>
  <c r="AJ156" i="67"/>
  <c r="AJ157" i="67"/>
  <c r="AJ158" i="67"/>
  <c r="AJ159" i="67"/>
  <c r="AJ160" i="67"/>
  <c r="AJ161" i="67"/>
  <c r="AJ162" i="67"/>
  <c r="AJ163" i="67"/>
  <c r="AJ164" i="67"/>
  <c r="AJ165" i="67"/>
  <c r="AJ166" i="67"/>
  <c r="AJ167" i="67"/>
  <c r="AJ168" i="67"/>
  <c r="AJ169" i="67"/>
  <c r="AJ170" i="67"/>
  <c r="AJ171" i="67"/>
  <c r="AJ172" i="67"/>
  <c r="AJ173" i="67"/>
  <c r="AJ174" i="67"/>
  <c r="AJ175" i="67"/>
  <c r="AJ176" i="67"/>
  <c r="AJ177" i="67"/>
  <c r="AJ178" i="67"/>
  <c r="AJ179" i="67"/>
  <c r="AJ180" i="67"/>
  <c r="AJ181" i="67"/>
  <c r="AJ182" i="67"/>
  <c r="AJ183" i="67"/>
  <c r="AJ184" i="67"/>
  <c r="AJ185" i="67"/>
  <c r="AJ186" i="67"/>
  <c r="AJ187" i="67"/>
  <c r="AJ188" i="67"/>
  <c r="AJ189" i="67"/>
  <c r="AJ190" i="67"/>
  <c r="AJ191" i="67"/>
  <c r="AJ192" i="67"/>
  <c r="AJ193" i="67"/>
  <c r="AJ194" i="67"/>
  <c r="AJ195" i="67"/>
  <c r="AJ196" i="67"/>
  <c r="AJ197" i="67"/>
  <c r="AJ198" i="67"/>
  <c r="AJ199" i="67"/>
  <c r="AJ200" i="67"/>
  <c r="AJ201" i="67"/>
  <c r="AJ202" i="67"/>
  <c r="AJ203" i="67"/>
  <c r="AJ204" i="67"/>
  <c r="AJ205" i="67"/>
  <c r="AJ206" i="67"/>
  <c r="AJ207" i="67"/>
  <c r="AJ208" i="67"/>
  <c r="AJ209" i="67"/>
  <c r="AJ210" i="67"/>
  <c r="AJ211" i="67"/>
  <c r="AJ212" i="67"/>
  <c r="AJ213" i="67"/>
  <c r="AJ214" i="67"/>
  <c r="AJ215" i="67"/>
  <c r="AJ216" i="67"/>
  <c r="AJ217" i="67"/>
  <c r="AJ218" i="67"/>
  <c r="AJ219" i="67"/>
  <c r="AJ220" i="67"/>
  <c r="AJ221" i="67"/>
  <c r="AJ222" i="67"/>
  <c r="AJ223" i="67"/>
  <c r="AJ224" i="67"/>
  <c r="AJ225" i="67"/>
  <c r="AJ226" i="67"/>
  <c r="AJ227" i="67"/>
  <c r="AJ228" i="67"/>
  <c r="AJ229" i="67"/>
  <c r="AJ230" i="67"/>
  <c r="AJ231" i="67"/>
  <c r="AJ232" i="67"/>
  <c r="AJ233" i="67"/>
  <c r="AJ234" i="67"/>
  <c r="AJ235" i="67"/>
  <c r="AJ236" i="67"/>
  <c r="AJ237" i="67"/>
  <c r="AJ238" i="67"/>
  <c r="AJ239" i="67"/>
  <c r="AJ240" i="67"/>
  <c r="AJ241" i="67"/>
  <c r="AJ242" i="67"/>
  <c r="AJ243" i="67"/>
  <c r="AJ244" i="67"/>
  <c r="AJ245" i="67"/>
  <c r="AJ246" i="67"/>
  <c r="AJ247" i="67"/>
  <c r="AJ248" i="67"/>
  <c r="AJ249" i="67"/>
  <c r="AJ250" i="67"/>
  <c r="AJ251" i="67"/>
  <c r="AJ252" i="67"/>
  <c r="AJ253" i="67"/>
  <c r="AJ254" i="67"/>
  <c r="AJ255" i="67"/>
  <c r="AJ256" i="67"/>
  <c r="AJ257" i="67"/>
  <c r="AJ10" i="67"/>
  <c r="AH14" i="58" l="1"/>
  <c r="AH15" i="58"/>
  <c r="AH16" i="58"/>
  <c r="AH17" i="58"/>
  <c r="AH18" i="58"/>
  <c r="AH19" i="58"/>
  <c r="AH20" i="58"/>
  <c r="AH21" i="58"/>
  <c r="AH22" i="58"/>
  <c r="AH23" i="58"/>
  <c r="AH24" i="58"/>
  <c r="AH25" i="58"/>
  <c r="AH26" i="58"/>
  <c r="AH27" i="58"/>
  <c r="AH28" i="58"/>
  <c r="AH29" i="58"/>
  <c r="AH30" i="58"/>
  <c r="AH31" i="58"/>
  <c r="AH32" i="58"/>
  <c r="AH33" i="58"/>
  <c r="AH34" i="58"/>
  <c r="AH35" i="58"/>
  <c r="AH36" i="58"/>
  <c r="AH37" i="58"/>
  <c r="AH38" i="58"/>
  <c r="AH39" i="58"/>
  <c r="AH40" i="58"/>
  <c r="AH41" i="58"/>
  <c r="AH42" i="58"/>
  <c r="AH43" i="58"/>
  <c r="AH44" i="58"/>
  <c r="AH45" i="58"/>
  <c r="AH46" i="58"/>
  <c r="AH47" i="58"/>
  <c r="AH48" i="58"/>
  <c r="AH49" i="58"/>
  <c r="AH50" i="58"/>
  <c r="AH51" i="58"/>
  <c r="AH52" i="58"/>
  <c r="AH53" i="58"/>
  <c r="AH54" i="58"/>
  <c r="AH55" i="58"/>
  <c r="AH56" i="58"/>
  <c r="AH57" i="58"/>
  <c r="AH58" i="58"/>
  <c r="AH59" i="58"/>
  <c r="AH60" i="58"/>
  <c r="AH61" i="58"/>
  <c r="AH62" i="58"/>
  <c r="AH63" i="58"/>
  <c r="AH64" i="58"/>
  <c r="AH65" i="58"/>
  <c r="AH66" i="58"/>
  <c r="AH67" i="58"/>
  <c r="AH68" i="58"/>
  <c r="AH69" i="58"/>
  <c r="AH70" i="58"/>
  <c r="AH71" i="58"/>
  <c r="AH72" i="58"/>
  <c r="AH73" i="58"/>
  <c r="AH74" i="58"/>
  <c r="AH75" i="58"/>
  <c r="AH76" i="58"/>
  <c r="AH77" i="58"/>
  <c r="AH78" i="58"/>
  <c r="AH79" i="58"/>
  <c r="AH80" i="58"/>
  <c r="AH81" i="58"/>
  <c r="AH82" i="58"/>
  <c r="AH83" i="58"/>
  <c r="AH84" i="58"/>
  <c r="AH85" i="58"/>
  <c r="AH86" i="58"/>
  <c r="AH87" i="58"/>
  <c r="AH88" i="58"/>
  <c r="AH89" i="58"/>
  <c r="AH90" i="58"/>
  <c r="AH91" i="58"/>
  <c r="AH92" i="58"/>
  <c r="AH93" i="58"/>
  <c r="AH94" i="58"/>
  <c r="AH95" i="58"/>
  <c r="AH96" i="58"/>
  <c r="AH97" i="58"/>
  <c r="AH98" i="58"/>
  <c r="AH99" i="58"/>
  <c r="AH100" i="58"/>
  <c r="AH101" i="58"/>
  <c r="AH102" i="58"/>
  <c r="AH103" i="58"/>
  <c r="AH104" i="58"/>
  <c r="AH105" i="58"/>
  <c r="AH106" i="58"/>
  <c r="AH107" i="58"/>
  <c r="AH108" i="58"/>
  <c r="AH109" i="58"/>
  <c r="AH110" i="58"/>
  <c r="AH111" i="58"/>
  <c r="AH112" i="58"/>
  <c r="AH113" i="58"/>
  <c r="AH114" i="58"/>
  <c r="AH115" i="58"/>
  <c r="AH116" i="58"/>
  <c r="AH117" i="58"/>
  <c r="AH118" i="58"/>
  <c r="AH119" i="58"/>
  <c r="AH120" i="58"/>
  <c r="AH121" i="58"/>
  <c r="AH122" i="58"/>
  <c r="AH123" i="58"/>
  <c r="AH124" i="58"/>
  <c r="AH125" i="58"/>
  <c r="AH126" i="58"/>
  <c r="AH127" i="58"/>
  <c r="AH128" i="58"/>
  <c r="AH129" i="58"/>
  <c r="AH130" i="58"/>
  <c r="AH131" i="58"/>
  <c r="AH132" i="58"/>
  <c r="AH133" i="58"/>
  <c r="AH134" i="58"/>
  <c r="AH135" i="58"/>
  <c r="AH136" i="58"/>
  <c r="AH137" i="58"/>
  <c r="AH138" i="58"/>
  <c r="AH139" i="58"/>
  <c r="AH140" i="58"/>
  <c r="AH141" i="58"/>
  <c r="AH142" i="58"/>
  <c r="AH143" i="58"/>
  <c r="AH144" i="58"/>
  <c r="AH145" i="58"/>
  <c r="AH146" i="58"/>
  <c r="AH147" i="58"/>
  <c r="AH148" i="58"/>
  <c r="AH149" i="58"/>
  <c r="AH150" i="58"/>
  <c r="AH151" i="58"/>
  <c r="AH152" i="58"/>
  <c r="AH153" i="58"/>
  <c r="AH154" i="58"/>
  <c r="AH155" i="58"/>
  <c r="AH156" i="58"/>
  <c r="AH157" i="58"/>
  <c r="AH158" i="58"/>
  <c r="AH159" i="58"/>
  <c r="AH160" i="58"/>
  <c r="AH161" i="58"/>
  <c r="AH162" i="58"/>
  <c r="AH163" i="58"/>
  <c r="AH164" i="58"/>
  <c r="AH165" i="58"/>
  <c r="AH166" i="58"/>
  <c r="AH167" i="58"/>
  <c r="AH168" i="58"/>
  <c r="AH169" i="58"/>
  <c r="AH170" i="58"/>
  <c r="AH171" i="58"/>
  <c r="AH172" i="58"/>
  <c r="AH173" i="58"/>
  <c r="AH174" i="58"/>
  <c r="AH175" i="58"/>
  <c r="AH176" i="58"/>
  <c r="AH177" i="58"/>
  <c r="AH178" i="58"/>
  <c r="AH179" i="58"/>
  <c r="AH180" i="58"/>
  <c r="AH181" i="58"/>
  <c r="AH182" i="58"/>
  <c r="AH183" i="58"/>
  <c r="AH184" i="58"/>
  <c r="AH185" i="58"/>
  <c r="AH186" i="58"/>
  <c r="AH187" i="58"/>
  <c r="AH188" i="58"/>
  <c r="AH189" i="58"/>
  <c r="AH190" i="58"/>
  <c r="AH191" i="58"/>
  <c r="AH192" i="58"/>
  <c r="AH193" i="58"/>
  <c r="AH194" i="58"/>
  <c r="AH195" i="58"/>
  <c r="AH196" i="58"/>
  <c r="AH197" i="58"/>
  <c r="AH198" i="58"/>
  <c r="AH199" i="58"/>
  <c r="AH200" i="58"/>
  <c r="AH201" i="58"/>
  <c r="AH202" i="58"/>
  <c r="AH203" i="58"/>
  <c r="AH204" i="58"/>
  <c r="AH205" i="58"/>
  <c r="AH206" i="58"/>
  <c r="AH207" i="58"/>
  <c r="AH208" i="58"/>
  <c r="AH209" i="58"/>
  <c r="AH210" i="58"/>
  <c r="AH211" i="58"/>
  <c r="AH212" i="58"/>
  <c r="AH213" i="58"/>
  <c r="AH214" i="58"/>
  <c r="AH215" i="58"/>
  <c r="AH216" i="58"/>
  <c r="AH217" i="58"/>
  <c r="AH218" i="58"/>
  <c r="AH219" i="58"/>
  <c r="AH220" i="58"/>
  <c r="AH221" i="58"/>
  <c r="AH222" i="58"/>
  <c r="AH223" i="58"/>
  <c r="AH224" i="58"/>
  <c r="AH225" i="58"/>
  <c r="AH226" i="58"/>
  <c r="AH227" i="58"/>
  <c r="AH228" i="58"/>
  <c r="AH229" i="58"/>
  <c r="AH230" i="58"/>
  <c r="AH231" i="58"/>
  <c r="AH232" i="58"/>
  <c r="AH233" i="58"/>
  <c r="AH234" i="58"/>
  <c r="AH235" i="58"/>
  <c r="AH236" i="58"/>
  <c r="AH237" i="58"/>
  <c r="AH238" i="58"/>
  <c r="AH239" i="58"/>
  <c r="AH240" i="58"/>
  <c r="AH241" i="58"/>
  <c r="AH242" i="58"/>
  <c r="AH243" i="58"/>
  <c r="AH244" i="58"/>
  <c r="AH245" i="58"/>
  <c r="AH246" i="58"/>
  <c r="AH247" i="58"/>
  <c r="AH248" i="58"/>
  <c r="AH249" i="58"/>
  <c r="AH250" i="58"/>
  <c r="AH251" i="58"/>
  <c r="AH252" i="58"/>
  <c r="AH253" i="58"/>
  <c r="AH254" i="58"/>
  <c r="AH255" i="58"/>
  <c r="AH256" i="58"/>
  <c r="AH257" i="58"/>
  <c r="AH258" i="58"/>
  <c r="AH259" i="58"/>
  <c r="AH12" i="58"/>
  <c r="M11" i="55"/>
  <c r="M12" i="55"/>
  <c r="M13" i="55"/>
  <c r="M14" i="55"/>
  <c r="M15" i="55"/>
  <c r="M16" i="55"/>
  <c r="M17" i="55"/>
  <c r="M18" i="55"/>
  <c r="M19" i="55"/>
  <c r="M20" i="55"/>
  <c r="M21" i="55"/>
  <c r="M22" i="55"/>
  <c r="M23" i="55"/>
  <c r="M24" i="55"/>
  <c r="M25" i="55"/>
  <c r="M26" i="55"/>
  <c r="M27" i="55"/>
  <c r="M28" i="55"/>
  <c r="M29" i="55"/>
  <c r="M30" i="55"/>
  <c r="M31" i="55"/>
  <c r="M32" i="55"/>
  <c r="M33" i="55"/>
  <c r="M34" i="55"/>
  <c r="M35" i="55"/>
  <c r="M36" i="55"/>
  <c r="M37" i="55"/>
  <c r="M38" i="55"/>
  <c r="M39" i="55"/>
  <c r="M40" i="55"/>
  <c r="M41" i="55"/>
  <c r="M42" i="55"/>
  <c r="M43" i="55"/>
  <c r="M44" i="55"/>
  <c r="M45" i="55"/>
  <c r="M46" i="55"/>
  <c r="M47" i="55"/>
  <c r="M48" i="55"/>
  <c r="M49" i="55"/>
  <c r="M50" i="55"/>
  <c r="M51" i="55"/>
  <c r="M52" i="55"/>
  <c r="M53" i="55"/>
  <c r="M54" i="55"/>
  <c r="M55" i="55"/>
  <c r="M56" i="55"/>
  <c r="M57" i="55"/>
  <c r="M58" i="55"/>
  <c r="M59" i="55"/>
  <c r="M60" i="55"/>
  <c r="M61" i="55"/>
  <c r="M62" i="55"/>
  <c r="M63" i="55"/>
  <c r="M64" i="55"/>
  <c r="M65" i="55"/>
  <c r="M66" i="55"/>
  <c r="M67" i="55"/>
  <c r="M68" i="55"/>
  <c r="M69" i="55"/>
  <c r="M70" i="55"/>
  <c r="M71" i="55"/>
  <c r="M72" i="55"/>
  <c r="M73" i="55"/>
  <c r="M74" i="55"/>
  <c r="M75" i="55"/>
  <c r="M76" i="55"/>
  <c r="M77" i="55"/>
  <c r="M78" i="55"/>
  <c r="M79" i="55"/>
  <c r="M80" i="55"/>
  <c r="M81" i="55"/>
  <c r="M82" i="55"/>
  <c r="M83" i="55"/>
  <c r="M84" i="55"/>
  <c r="M85" i="55"/>
  <c r="M86" i="55"/>
  <c r="M87" i="55"/>
  <c r="M88" i="55"/>
  <c r="M89" i="55"/>
  <c r="M90" i="55"/>
  <c r="M91" i="55"/>
  <c r="M92" i="55"/>
  <c r="M93" i="55"/>
  <c r="M94" i="55"/>
  <c r="M95" i="55"/>
  <c r="M96" i="55"/>
  <c r="M97" i="55"/>
  <c r="M98" i="55"/>
  <c r="M99" i="55"/>
  <c r="M100" i="55"/>
  <c r="M101" i="55"/>
  <c r="M102" i="55"/>
  <c r="M103" i="55"/>
  <c r="M104" i="55"/>
  <c r="M105" i="55"/>
  <c r="M106" i="55"/>
  <c r="M107" i="55"/>
  <c r="M108" i="55"/>
  <c r="M109" i="55"/>
  <c r="M110" i="55"/>
  <c r="M111" i="55"/>
  <c r="M112" i="55"/>
  <c r="M113" i="55"/>
  <c r="M114" i="55"/>
  <c r="M115" i="55"/>
  <c r="M116" i="55"/>
  <c r="M117" i="55"/>
  <c r="M118" i="55"/>
  <c r="M119" i="55"/>
  <c r="M120" i="55"/>
  <c r="M121" i="55"/>
  <c r="M122" i="55"/>
  <c r="M123" i="55"/>
  <c r="M124" i="55"/>
  <c r="M125" i="55"/>
  <c r="M126" i="55"/>
  <c r="M127" i="55"/>
  <c r="M128" i="55"/>
  <c r="M129" i="55"/>
  <c r="M130" i="55"/>
  <c r="M131" i="55"/>
  <c r="M132" i="55"/>
  <c r="M133" i="55"/>
  <c r="M134" i="55"/>
  <c r="M135" i="55"/>
  <c r="M136" i="55"/>
  <c r="M137" i="55"/>
  <c r="M138" i="55"/>
  <c r="M139" i="55"/>
  <c r="M140" i="55"/>
  <c r="M141" i="55"/>
  <c r="M142" i="55"/>
  <c r="M143" i="55"/>
  <c r="M144" i="55"/>
  <c r="M145" i="55"/>
  <c r="M146" i="55"/>
  <c r="M147" i="55"/>
  <c r="M148" i="55"/>
  <c r="M149" i="55"/>
  <c r="M150" i="55"/>
  <c r="M151" i="55"/>
  <c r="M152" i="55"/>
  <c r="M153" i="55"/>
  <c r="M154" i="55"/>
  <c r="M155" i="55"/>
  <c r="M156" i="55"/>
  <c r="M157" i="55"/>
  <c r="M158" i="55"/>
  <c r="M159" i="55"/>
  <c r="M160" i="55"/>
  <c r="M161" i="55"/>
  <c r="M162" i="55"/>
  <c r="M163" i="55"/>
  <c r="M164" i="55"/>
  <c r="M165" i="55"/>
  <c r="M166" i="55"/>
  <c r="M167" i="55"/>
  <c r="M168" i="55"/>
  <c r="M169" i="55"/>
  <c r="M170" i="55"/>
  <c r="M171" i="55"/>
  <c r="M172" i="55"/>
  <c r="M173" i="55"/>
  <c r="M174" i="55"/>
  <c r="M175" i="55"/>
  <c r="M176" i="55"/>
  <c r="M177" i="55"/>
  <c r="M178" i="55"/>
  <c r="M179" i="55"/>
  <c r="M180" i="55"/>
  <c r="M181" i="55"/>
  <c r="M182" i="55"/>
  <c r="M183" i="55"/>
  <c r="M184" i="55"/>
  <c r="M185" i="55"/>
  <c r="M186" i="55"/>
  <c r="M187" i="55"/>
  <c r="M188" i="55"/>
  <c r="M189" i="55"/>
  <c r="M190" i="55"/>
  <c r="M191" i="55"/>
  <c r="M192" i="55"/>
  <c r="M193" i="55"/>
  <c r="M194" i="55"/>
  <c r="M195" i="55"/>
  <c r="M196" i="55"/>
  <c r="M197" i="55"/>
  <c r="M198" i="55"/>
  <c r="M199" i="55"/>
  <c r="M200" i="55"/>
  <c r="M201" i="55"/>
  <c r="M202" i="55"/>
  <c r="M203" i="55"/>
  <c r="M204" i="55"/>
  <c r="M205" i="55"/>
  <c r="M206" i="55"/>
  <c r="M207" i="55"/>
  <c r="M208" i="55"/>
  <c r="M209" i="55"/>
  <c r="M210" i="55"/>
  <c r="M211" i="55"/>
  <c r="M212" i="55"/>
  <c r="M213" i="55"/>
  <c r="M214" i="55"/>
  <c r="M215" i="55"/>
  <c r="M216" i="55"/>
  <c r="M217" i="55"/>
  <c r="M218" i="55"/>
  <c r="M219" i="55"/>
  <c r="M220" i="55"/>
  <c r="M221" i="55"/>
  <c r="M222" i="55"/>
  <c r="M223" i="55"/>
  <c r="M224" i="55"/>
  <c r="M225" i="55"/>
  <c r="M226" i="55"/>
  <c r="M227" i="55"/>
  <c r="M228" i="55"/>
  <c r="M229" i="55"/>
  <c r="M230" i="55"/>
  <c r="M231" i="55"/>
  <c r="M232" i="55"/>
  <c r="M233" i="55"/>
  <c r="M234" i="55"/>
  <c r="M235" i="55"/>
  <c r="M236" i="55"/>
  <c r="M237" i="55"/>
  <c r="M238" i="55"/>
  <c r="M239" i="55"/>
  <c r="M240" i="55"/>
  <c r="M241" i="55"/>
  <c r="M242" i="55"/>
  <c r="M243" i="55"/>
  <c r="M244" i="55"/>
  <c r="M245" i="55"/>
  <c r="M246" i="55"/>
  <c r="M247" i="55"/>
  <c r="M248" i="55"/>
  <c r="M249" i="55"/>
  <c r="M250" i="55"/>
  <c r="M251" i="55"/>
  <c r="M252" i="55"/>
  <c r="M253" i="55"/>
  <c r="M254" i="55"/>
  <c r="M255" i="55"/>
  <c r="M256" i="55"/>
  <c r="M257" i="55"/>
  <c r="M10" i="55"/>
  <c r="AE17" i="55"/>
  <c r="AE18" i="55"/>
  <c r="AE19" i="55"/>
  <c r="AE20" i="55"/>
  <c r="AE21" i="55"/>
  <c r="AE22" i="55"/>
  <c r="AE23" i="55"/>
  <c r="AE24" i="55"/>
  <c r="AE25" i="55"/>
  <c r="AE26" i="55"/>
  <c r="AE27" i="55"/>
  <c r="AE28" i="55"/>
  <c r="AE29" i="55"/>
  <c r="AE30" i="55"/>
  <c r="AE31" i="55"/>
  <c r="AE32" i="55"/>
  <c r="AE33" i="55"/>
  <c r="AE34" i="55"/>
  <c r="AE35" i="55"/>
  <c r="AE36" i="55"/>
  <c r="AE37" i="55"/>
  <c r="AE38" i="55"/>
  <c r="AE39" i="55"/>
  <c r="AE40" i="55"/>
  <c r="AE41" i="55"/>
  <c r="AE42" i="55"/>
  <c r="AE43" i="55"/>
  <c r="AE44" i="55"/>
  <c r="AE45" i="55"/>
  <c r="AE46" i="55"/>
  <c r="AE47" i="55"/>
  <c r="AE48" i="55"/>
  <c r="AE49" i="55"/>
  <c r="AE50" i="55"/>
  <c r="AE51" i="55"/>
  <c r="AE52" i="55"/>
  <c r="AE53" i="55"/>
  <c r="AE54" i="55"/>
  <c r="AE55" i="55"/>
  <c r="AE56" i="55"/>
  <c r="AE57" i="55"/>
  <c r="AE58" i="55"/>
  <c r="AE59" i="55"/>
  <c r="AE60" i="55"/>
  <c r="AE61" i="55"/>
  <c r="AE62" i="55"/>
  <c r="AE63" i="55"/>
  <c r="AE64" i="55"/>
  <c r="AE65" i="55"/>
  <c r="AE66" i="55"/>
  <c r="AE67" i="55"/>
  <c r="AE68" i="55"/>
  <c r="AE69" i="55"/>
  <c r="AE70" i="55"/>
  <c r="AE71" i="55"/>
  <c r="AE72" i="55"/>
  <c r="AE73" i="55"/>
  <c r="AE74" i="55"/>
  <c r="AE75" i="55"/>
  <c r="AE76" i="55"/>
  <c r="AE77" i="55"/>
  <c r="AE78" i="55"/>
  <c r="AE79" i="55"/>
  <c r="AE80" i="55"/>
  <c r="AE81" i="55"/>
  <c r="AE82" i="55"/>
  <c r="AE83" i="55"/>
  <c r="AE84" i="55"/>
  <c r="AE85" i="55"/>
  <c r="AE86" i="55"/>
  <c r="AE87" i="55"/>
  <c r="AE88" i="55"/>
  <c r="AE89" i="55"/>
  <c r="AE90" i="55"/>
  <c r="AE91" i="55"/>
  <c r="AE92" i="55"/>
  <c r="AE93" i="55"/>
  <c r="AE94" i="55"/>
  <c r="AE95" i="55"/>
  <c r="AE96" i="55"/>
  <c r="AE97" i="55"/>
  <c r="AE98" i="55"/>
  <c r="AE99" i="55"/>
  <c r="AE100" i="55"/>
  <c r="AE101" i="55"/>
  <c r="AE102" i="55"/>
  <c r="AE103" i="55"/>
  <c r="AE104" i="55"/>
  <c r="AE105" i="55"/>
  <c r="AE106" i="55"/>
  <c r="AE107" i="55"/>
  <c r="AE108" i="55"/>
  <c r="AE109" i="55"/>
  <c r="AE110" i="55"/>
  <c r="AE111" i="55"/>
  <c r="AE112" i="55"/>
  <c r="AE113" i="55"/>
  <c r="AE114" i="55"/>
  <c r="AE115" i="55"/>
  <c r="AE116" i="55"/>
  <c r="AE117" i="55"/>
  <c r="AE118" i="55"/>
  <c r="AE119" i="55"/>
  <c r="AE120" i="55"/>
  <c r="AE121" i="55"/>
  <c r="AE122" i="55"/>
  <c r="AE123" i="55"/>
  <c r="AE124" i="55"/>
  <c r="AE125" i="55"/>
  <c r="AE126" i="55"/>
  <c r="AE127" i="55"/>
  <c r="AE128" i="55"/>
  <c r="AE129" i="55"/>
  <c r="AE130" i="55"/>
  <c r="AE131" i="55"/>
  <c r="AE132" i="55"/>
  <c r="AE133" i="55"/>
  <c r="AE134" i="55"/>
  <c r="AE135" i="55"/>
  <c r="AE136" i="55"/>
  <c r="AE137" i="55"/>
  <c r="AE138" i="55"/>
  <c r="AE139" i="55"/>
  <c r="AE140" i="55"/>
  <c r="AE141" i="55"/>
  <c r="AE142" i="55"/>
  <c r="AE143" i="55"/>
  <c r="AE144" i="55"/>
  <c r="AE145" i="55"/>
  <c r="AE146" i="55"/>
  <c r="AE147" i="55"/>
  <c r="AE148" i="55"/>
  <c r="AE149" i="55"/>
  <c r="AE150" i="55"/>
  <c r="AE151" i="55"/>
  <c r="AE152" i="55"/>
  <c r="AE153" i="55"/>
  <c r="AE154" i="55"/>
  <c r="AE155" i="55"/>
  <c r="AE156" i="55"/>
  <c r="AE157" i="55"/>
  <c r="AE158" i="55"/>
  <c r="AE159" i="55"/>
  <c r="AE160" i="55"/>
  <c r="AE161" i="55"/>
  <c r="AE162" i="55"/>
  <c r="AE163" i="55"/>
  <c r="AE164" i="55"/>
  <c r="AE165" i="55"/>
  <c r="AE166" i="55"/>
  <c r="AE167" i="55"/>
  <c r="AE168" i="55"/>
  <c r="AE169" i="55"/>
  <c r="AE170" i="55"/>
  <c r="AE171" i="55"/>
  <c r="AE172" i="55"/>
  <c r="AE173" i="55"/>
  <c r="AE174" i="55"/>
  <c r="AE175" i="55"/>
  <c r="AE176" i="55"/>
  <c r="AE177" i="55"/>
  <c r="AE178" i="55"/>
  <c r="AE179" i="55"/>
  <c r="AE180" i="55"/>
  <c r="AE181" i="55"/>
  <c r="AE182" i="55"/>
  <c r="AE183" i="55"/>
  <c r="AE184" i="55"/>
  <c r="AE185" i="55"/>
  <c r="AE186" i="55"/>
  <c r="AE187" i="55"/>
  <c r="AE188" i="55"/>
  <c r="AE189" i="55"/>
  <c r="AE190" i="55"/>
  <c r="AE191" i="55"/>
  <c r="AE192" i="55"/>
  <c r="AE193" i="55"/>
  <c r="AE194" i="55"/>
  <c r="AE195" i="55"/>
  <c r="AE196" i="55"/>
  <c r="AE197" i="55"/>
  <c r="AE198" i="55"/>
  <c r="AE199" i="55"/>
  <c r="AE200" i="55"/>
  <c r="AE201" i="55"/>
  <c r="AE202" i="55"/>
  <c r="AE203" i="55"/>
  <c r="AE204" i="55"/>
  <c r="AE205" i="55"/>
  <c r="AE206" i="55"/>
  <c r="AE207" i="55"/>
  <c r="AE208" i="55"/>
  <c r="AE209" i="55"/>
  <c r="AE210" i="55"/>
  <c r="AE211" i="55"/>
  <c r="AE212" i="55"/>
  <c r="AE213" i="55"/>
  <c r="AE214" i="55"/>
  <c r="AE215" i="55"/>
  <c r="AE216" i="55"/>
  <c r="AE217" i="55"/>
  <c r="AE218" i="55"/>
  <c r="AE219" i="55"/>
  <c r="AE220" i="55"/>
  <c r="AE221" i="55"/>
  <c r="AE222" i="55"/>
  <c r="AE223" i="55"/>
  <c r="AE224" i="55"/>
  <c r="AE225" i="55"/>
  <c r="AE226" i="55"/>
  <c r="AE227" i="55"/>
  <c r="AE228" i="55"/>
  <c r="AE229" i="55"/>
  <c r="AE230" i="55"/>
  <c r="AE231" i="55"/>
  <c r="AE232" i="55"/>
  <c r="AE233" i="55"/>
  <c r="AE234" i="55"/>
  <c r="AE235" i="55"/>
  <c r="AE236" i="55"/>
  <c r="AE237" i="55"/>
  <c r="AE238" i="55"/>
  <c r="AE239" i="55"/>
  <c r="AE240" i="55"/>
  <c r="AE241" i="55"/>
  <c r="AE242" i="55"/>
  <c r="AE243" i="55"/>
  <c r="AE244" i="55"/>
  <c r="AE245" i="55"/>
  <c r="AE246" i="55"/>
  <c r="AE247" i="55"/>
  <c r="AE248" i="55"/>
  <c r="AE249" i="55"/>
  <c r="AE250" i="55"/>
  <c r="AE251" i="55"/>
  <c r="AE252" i="55"/>
  <c r="AE253" i="55"/>
  <c r="AE254" i="55"/>
  <c r="AE255" i="55"/>
  <c r="AE256" i="55"/>
  <c r="AE257" i="55"/>
  <c r="AE11" i="55"/>
  <c r="AE12" i="55"/>
  <c r="AE13" i="55"/>
  <c r="AE14" i="55"/>
  <c r="AE15" i="55"/>
  <c r="AE16" i="55"/>
  <c r="AE10" i="55"/>
  <c r="Z22" i="64" l="1"/>
  <c r="Z23" i="64"/>
  <c r="Z24" i="64"/>
  <c r="Z25" i="64"/>
  <c r="Z26" i="64"/>
  <c r="Z27" i="64"/>
  <c r="Z28" i="64"/>
  <c r="Z29" i="64"/>
  <c r="Z30" i="64"/>
  <c r="Z31" i="64"/>
  <c r="Z32" i="64"/>
  <c r="Z33" i="64"/>
  <c r="Z34" i="64"/>
  <c r="Z35" i="64"/>
  <c r="Z36" i="64"/>
  <c r="Z37" i="64"/>
  <c r="Z38" i="64"/>
  <c r="Z39" i="64"/>
  <c r="Z40" i="64"/>
  <c r="Z41" i="64"/>
  <c r="Z42" i="64"/>
  <c r="Z43" i="64"/>
  <c r="Z45" i="64"/>
  <c r="Z46" i="64"/>
  <c r="Z47" i="64"/>
  <c r="Z48" i="64"/>
  <c r="Z49" i="64"/>
  <c r="Z50" i="64"/>
  <c r="Z51" i="64"/>
  <c r="Z52" i="64"/>
  <c r="Z53" i="64"/>
  <c r="Z54" i="64"/>
  <c r="Z55" i="64"/>
  <c r="Z56" i="64"/>
  <c r="Z57" i="64"/>
  <c r="Z58" i="64"/>
  <c r="Z59" i="64"/>
  <c r="Z60" i="64"/>
  <c r="Z61" i="64"/>
  <c r="Z62" i="64"/>
  <c r="Z63" i="64"/>
  <c r="Z64" i="64"/>
  <c r="Z65" i="64"/>
  <c r="Z66" i="64"/>
  <c r="Z67" i="64"/>
  <c r="Z68" i="64"/>
  <c r="Z69" i="64"/>
  <c r="Z70" i="64"/>
  <c r="Z71" i="64"/>
  <c r="Z72" i="64"/>
  <c r="Z73" i="64"/>
  <c r="Z74" i="64"/>
  <c r="Z75" i="64"/>
  <c r="Z76" i="64"/>
  <c r="Z77" i="64"/>
  <c r="Z78" i="64"/>
  <c r="Z79" i="64"/>
  <c r="Z80" i="64"/>
  <c r="Z81" i="64"/>
  <c r="Z82" i="64"/>
  <c r="Z83" i="64"/>
  <c r="Z84" i="64"/>
  <c r="Z85" i="64"/>
  <c r="Z86" i="64"/>
  <c r="Z87" i="64"/>
  <c r="Z88" i="64"/>
  <c r="Z89" i="64"/>
  <c r="Z90" i="64"/>
  <c r="Z91" i="64"/>
  <c r="Z92" i="64"/>
  <c r="Z93" i="64"/>
  <c r="Z94" i="64"/>
  <c r="Z95" i="64"/>
  <c r="Z96" i="64"/>
  <c r="Z97" i="64"/>
  <c r="Z98" i="64"/>
  <c r="Z99" i="64"/>
  <c r="Z100" i="64"/>
  <c r="Z101" i="64"/>
  <c r="Z102" i="64"/>
  <c r="Z103" i="64"/>
  <c r="Z104" i="64"/>
  <c r="Z105" i="64"/>
  <c r="Z106" i="64"/>
  <c r="Z107" i="64"/>
  <c r="Z108" i="64"/>
  <c r="Z109" i="64"/>
  <c r="Z110" i="64"/>
  <c r="Z111" i="64"/>
  <c r="Z112" i="64"/>
  <c r="Z113" i="64"/>
  <c r="Z114" i="64"/>
  <c r="Z115" i="64"/>
  <c r="Z116" i="64"/>
  <c r="Z117" i="64"/>
  <c r="Z118" i="64"/>
  <c r="Z119" i="64"/>
  <c r="Z120" i="64"/>
  <c r="Z121" i="64"/>
  <c r="Z122" i="64"/>
  <c r="Z123" i="64"/>
  <c r="Z124" i="64"/>
  <c r="Z125" i="64"/>
  <c r="Z126" i="64"/>
  <c r="Z127" i="64"/>
  <c r="Z128" i="64"/>
  <c r="Z129" i="64"/>
  <c r="Z130" i="64"/>
  <c r="Z131" i="64"/>
  <c r="Z132" i="64"/>
  <c r="Z133" i="64"/>
  <c r="Z134" i="64"/>
  <c r="Z135" i="64"/>
  <c r="Z136" i="64"/>
  <c r="Z137" i="64"/>
  <c r="Z138" i="64"/>
  <c r="Z139" i="64"/>
  <c r="Z140" i="64"/>
  <c r="Z141" i="64"/>
  <c r="Z142" i="64"/>
  <c r="Z143" i="64"/>
  <c r="Z144" i="64"/>
  <c r="Z145" i="64"/>
  <c r="Z146" i="64"/>
  <c r="Z147" i="64"/>
  <c r="Z148" i="64"/>
  <c r="Z149" i="64"/>
  <c r="Z150" i="64"/>
  <c r="Z151" i="64"/>
  <c r="Z152" i="64"/>
  <c r="Z153" i="64"/>
  <c r="Z154" i="64"/>
  <c r="Z155" i="64"/>
  <c r="Z156" i="64"/>
  <c r="Z157" i="64"/>
  <c r="Z158" i="64"/>
  <c r="Z159" i="64"/>
  <c r="Z160" i="64"/>
  <c r="Z161" i="64"/>
  <c r="Z162" i="64"/>
  <c r="Z163" i="64"/>
  <c r="Z164" i="64"/>
  <c r="Z165" i="64"/>
  <c r="Z166" i="64"/>
  <c r="Z167" i="64"/>
  <c r="Z168" i="64"/>
  <c r="Z169" i="64"/>
  <c r="Z170" i="64"/>
  <c r="Z171" i="64"/>
  <c r="Z172" i="64"/>
  <c r="Z173" i="64"/>
  <c r="Z174" i="64"/>
  <c r="Z175" i="64"/>
  <c r="Z176" i="64"/>
  <c r="Z177" i="64"/>
  <c r="Z178" i="64"/>
  <c r="Z179" i="64"/>
  <c r="Z180" i="64"/>
  <c r="Z181" i="64"/>
  <c r="Z182" i="64"/>
  <c r="Z183" i="64"/>
  <c r="Z184" i="64"/>
  <c r="Z185" i="64"/>
  <c r="Z186" i="64"/>
  <c r="Z187" i="64"/>
  <c r="Z188" i="64"/>
  <c r="Z189" i="64"/>
  <c r="Z190" i="64"/>
  <c r="Z191" i="64"/>
  <c r="Z192" i="64"/>
  <c r="Z193" i="64"/>
  <c r="Z194" i="64"/>
  <c r="Z195" i="64"/>
  <c r="Z196" i="64"/>
  <c r="Z197" i="64"/>
  <c r="Z198" i="64"/>
  <c r="Z199" i="64"/>
  <c r="Z200" i="64"/>
  <c r="Z201" i="64"/>
  <c r="Z202" i="64"/>
  <c r="Z203" i="64"/>
  <c r="Z204" i="64"/>
  <c r="Z205" i="64"/>
  <c r="Z206" i="64"/>
  <c r="Z207" i="64"/>
  <c r="Z208" i="64"/>
  <c r="Z209" i="64"/>
  <c r="Z210" i="64"/>
  <c r="Z211" i="64"/>
  <c r="Z212" i="64"/>
  <c r="Z213" i="64"/>
  <c r="Z214" i="64"/>
  <c r="Z215" i="64"/>
  <c r="Z216" i="64"/>
  <c r="Z217" i="64"/>
  <c r="Z218" i="64"/>
  <c r="Z219" i="64"/>
  <c r="Z220" i="64"/>
  <c r="Z221" i="64"/>
  <c r="Z222" i="64"/>
  <c r="Z223" i="64"/>
  <c r="Z224" i="64"/>
  <c r="Z225" i="64"/>
  <c r="Z226" i="64"/>
  <c r="Z227" i="64"/>
  <c r="Z228" i="64"/>
  <c r="Z229" i="64"/>
  <c r="Z230" i="64"/>
  <c r="Z231" i="64"/>
  <c r="Z232" i="64"/>
  <c r="Z233" i="64"/>
  <c r="Z234" i="64"/>
  <c r="Z235" i="64"/>
  <c r="Z236" i="64"/>
  <c r="Z237" i="64"/>
  <c r="Z238" i="64"/>
  <c r="Z239" i="64"/>
  <c r="Z240" i="64"/>
  <c r="Z241" i="64"/>
  <c r="Z242" i="64"/>
  <c r="Z243" i="64"/>
  <c r="Z244" i="64"/>
  <c r="Z245" i="64"/>
  <c r="Z246" i="64"/>
  <c r="Z247" i="64"/>
  <c r="Z248" i="64"/>
  <c r="Z249" i="64"/>
  <c r="Z250" i="64"/>
  <c r="Z251" i="64"/>
  <c r="Z252" i="64"/>
  <c r="Z253" i="64"/>
  <c r="Z254" i="64"/>
  <c r="Z255" i="64"/>
  <c r="Z256" i="64"/>
  <c r="Z257" i="64"/>
  <c r="Z258" i="64"/>
  <c r="Z259" i="64"/>
  <c r="AH13" i="64"/>
  <c r="AH14" i="64"/>
  <c r="AH15" i="64"/>
  <c r="AH16" i="64"/>
  <c r="AH17" i="64"/>
  <c r="AH18" i="64"/>
  <c r="AH19" i="64"/>
  <c r="AH20" i="64"/>
  <c r="AH21" i="64"/>
  <c r="AH22" i="64"/>
  <c r="AH23" i="64"/>
  <c r="AH24" i="64"/>
  <c r="AH25" i="64"/>
  <c r="AH26" i="64"/>
  <c r="AH27" i="64"/>
  <c r="AH28" i="64"/>
  <c r="AH29" i="64"/>
  <c r="AH30" i="64"/>
  <c r="AH31" i="64"/>
  <c r="AH32" i="64"/>
  <c r="AH33" i="64"/>
  <c r="AH34" i="64"/>
  <c r="AH35" i="64"/>
  <c r="AH36" i="64"/>
  <c r="AH37" i="64"/>
  <c r="AH38" i="64"/>
  <c r="AH39" i="64"/>
  <c r="AH40" i="64"/>
  <c r="AH41" i="64"/>
  <c r="AH42" i="64"/>
  <c r="AH43" i="64"/>
  <c r="AH44" i="64"/>
  <c r="AH45" i="64"/>
  <c r="AH46" i="64"/>
  <c r="AH47" i="64"/>
  <c r="AH48" i="64"/>
  <c r="AH49" i="64"/>
  <c r="AH50" i="64"/>
  <c r="AH51" i="64"/>
  <c r="AH52" i="64"/>
  <c r="AH53" i="64"/>
  <c r="AH54" i="64"/>
  <c r="AH55" i="64"/>
  <c r="AH56" i="64"/>
  <c r="AH57" i="64"/>
  <c r="AH58" i="64"/>
  <c r="AH59" i="64"/>
  <c r="AH60" i="64"/>
  <c r="AH61" i="64"/>
  <c r="AH62" i="64"/>
  <c r="AH63" i="64"/>
  <c r="AH64" i="64"/>
  <c r="AH65" i="64"/>
  <c r="AH66" i="64"/>
  <c r="AH67" i="64"/>
  <c r="AH68" i="64"/>
  <c r="AH69" i="64"/>
  <c r="AH70" i="64"/>
  <c r="AH71" i="64"/>
  <c r="AH72" i="64"/>
  <c r="AH73" i="64"/>
  <c r="AH74" i="64"/>
  <c r="AH75" i="64"/>
  <c r="AH76" i="64"/>
  <c r="AH77" i="64"/>
  <c r="AH78" i="64"/>
  <c r="AH79" i="64"/>
  <c r="AH80" i="64"/>
  <c r="AH81" i="64"/>
  <c r="AH82" i="64"/>
  <c r="AH83" i="64"/>
  <c r="AH84" i="64"/>
  <c r="AH85" i="64"/>
  <c r="AH86" i="64"/>
  <c r="AH87" i="64"/>
  <c r="AH88" i="64"/>
  <c r="AH89" i="64"/>
  <c r="AH90" i="64"/>
  <c r="AH91" i="64"/>
  <c r="AH92" i="64"/>
  <c r="AH93" i="64"/>
  <c r="AH94" i="64"/>
  <c r="AH95" i="64"/>
  <c r="AH96" i="64"/>
  <c r="AH97" i="64"/>
  <c r="AH98" i="64"/>
  <c r="AH99" i="64"/>
  <c r="AH100" i="64"/>
  <c r="AH101" i="64"/>
  <c r="AH102" i="64"/>
  <c r="AH103" i="64"/>
  <c r="AH104" i="64"/>
  <c r="AH105" i="64"/>
  <c r="AH106" i="64"/>
  <c r="AH107" i="64"/>
  <c r="AH108" i="64"/>
  <c r="AH109" i="64"/>
  <c r="AH110" i="64"/>
  <c r="AH111" i="64"/>
  <c r="AH112" i="64"/>
  <c r="AH113" i="64"/>
  <c r="AH114" i="64"/>
  <c r="AH115" i="64"/>
  <c r="AH116" i="64"/>
  <c r="AH117" i="64"/>
  <c r="AH118" i="64"/>
  <c r="AH119" i="64"/>
  <c r="AH120" i="64"/>
  <c r="AH121" i="64"/>
  <c r="AH122" i="64"/>
  <c r="AH123" i="64"/>
  <c r="AH124" i="64"/>
  <c r="AH125" i="64"/>
  <c r="AH126" i="64"/>
  <c r="AH127" i="64"/>
  <c r="AH128" i="64"/>
  <c r="AH129" i="64"/>
  <c r="AH130" i="64"/>
  <c r="AH131" i="64"/>
  <c r="AH132" i="64"/>
  <c r="AH133" i="64"/>
  <c r="AH134" i="64"/>
  <c r="AH135" i="64"/>
  <c r="AH136" i="64"/>
  <c r="AH137" i="64"/>
  <c r="AH138" i="64"/>
  <c r="AH139" i="64"/>
  <c r="AH140" i="64"/>
  <c r="AH141" i="64"/>
  <c r="AH142" i="64"/>
  <c r="AH143" i="64"/>
  <c r="AH144" i="64"/>
  <c r="AH145" i="64"/>
  <c r="AH146" i="64"/>
  <c r="AH147" i="64"/>
  <c r="AH148" i="64"/>
  <c r="AH149" i="64"/>
  <c r="AH150" i="64"/>
  <c r="AH151" i="64"/>
  <c r="AH152" i="64"/>
  <c r="AH153" i="64"/>
  <c r="AH154" i="64"/>
  <c r="AH155" i="64"/>
  <c r="AH156" i="64"/>
  <c r="AH157" i="64"/>
  <c r="AH158" i="64"/>
  <c r="AH159" i="64"/>
  <c r="AH160" i="64"/>
  <c r="AH161" i="64"/>
  <c r="AH162" i="64"/>
  <c r="AH163" i="64"/>
  <c r="AH164" i="64"/>
  <c r="AH165" i="64"/>
  <c r="AH166" i="64"/>
  <c r="AH167" i="64"/>
  <c r="AH168" i="64"/>
  <c r="AH169" i="64"/>
  <c r="AH170" i="64"/>
  <c r="AH171" i="64"/>
  <c r="AH172" i="64"/>
  <c r="AH173" i="64"/>
  <c r="AH174" i="64"/>
  <c r="AH175" i="64"/>
  <c r="AH176" i="64"/>
  <c r="AH177" i="64"/>
  <c r="AH178" i="64"/>
  <c r="AH179" i="64"/>
  <c r="AH180" i="64"/>
  <c r="AH181" i="64"/>
  <c r="AH182" i="64"/>
  <c r="AH183" i="64"/>
  <c r="AH184" i="64"/>
  <c r="AH185" i="64"/>
  <c r="AH186" i="64"/>
  <c r="AH187" i="64"/>
  <c r="AH188" i="64"/>
  <c r="AH189" i="64"/>
  <c r="AH190" i="64"/>
  <c r="AH191" i="64"/>
  <c r="AH192" i="64"/>
  <c r="AH193" i="64"/>
  <c r="AH194" i="64"/>
  <c r="AH195" i="64"/>
  <c r="AH196" i="64"/>
  <c r="AH197" i="64"/>
  <c r="AH198" i="64"/>
  <c r="AH199" i="64"/>
  <c r="AH200" i="64"/>
  <c r="AH201" i="64"/>
  <c r="AH202" i="64"/>
  <c r="AH203" i="64"/>
  <c r="AH204" i="64"/>
  <c r="AH205" i="64"/>
  <c r="AH206" i="64"/>
  <c r="AH207" i="64"/>
  <c r="AH208" i="64"/>
  <c r="AH209" i="64"/>
  <c r="AH210" i="64"/>
  <c r="AH211" i="64"/>
  <c r="AH212" i="64"/>
  <c r="AH213" i="64"/>
  <c r="AH214" i="64"/>
  <c r="AH215" i="64"/>
  <c r="AH216" i="64"/>
  <c r="AH217" i="64"/>
  <c r="AH218" i="64"/>
  <c r="AH219" i="64"/>
  <c r="AH220" i="64"/>
  <c r="AH221" i="64"/>
  <c r="AH222" i="64"/>
  <c r="AH223" i="64"/>
  <c r="AH224" i="64"/>
  <c r="AH225" i="64"/>
  <c r="AH226" i="64"/>
  <c r="AH227" i="64"/>
  <c r="AH228" i="64"/>
  <c r="AH229" i="64"/>
  <c r="AH230" i="64"/>
  <c r="AH231" i="64"/>
  <c r="AH232" i="64"/>
  <c r="AH233" i="64"/>
  <c r="AH234" i="64"/>
  <c r="AH235" i="64"/>
  <c r="AH236" i="64"/>
  <c r="AH237" i="64"/>
  <c r="AH238" i="64"/>
  <c r="AH239" i="64"/>
  <c r="AH240" i="64"/>
  <c r="AH241" i="64"/>
  <c r="AH242" i="64"/>
  <c r="AH243" i="64"/>
  <c r="AH244" i="64"/>
  <c r="AH245" i="64"/>
  <c r="AH246" i="64"/>
  <c r="AH247" i="64"/>
  <c r="AH248" i="64"/>
  <c r="AH249" i="64"/>
  <c r="AH250" i="64"/>
  <c r="AH251" i="64"/>
  <c r="AH252" i="64"/>
  <c r="AH253" i="64"/>
  <c r="AH254" i="64"/>
  <c r="AH255" i="64"/>
  <c r="AH256" i="64"/>
  <c r="AH257" i="64"/>
  <c r="AH258" i="64"/>
  <c r="AH259" i="64"/>
  <c r="AH12" i="64"/>
  <c r="AQ19" i="63"/>
  <c r="AQ20" i="63"/>
  <c r="AQ21" i="63"/>
  <c r="AQ22" i="63"/>
  <c r="AQ23" i="63"/>
  <c r="AQ24" i="63"/>
  <c r="AQ25" i="63"/>
  <c r="AQ26" i="63"/>
  <c r="AQ27" i="63"/>
  <c r="AQ28" i="63"/>
  <c r="AQ29" i="63"/>
  <c r="AQ30" i="63"/>
  <c r="AQ31" i="63"/>
  <c r="AQ32" i="63"/>
  <c r="AQ33" i="63"/>
  <c r="AQ34" i="63"/>
  <c r="AQ35" i="63"/>
  <c r="AQ36" i="63"/>
  <c r="AQ37" i="63"/>
  <c r="AQ38" i="63"/>
  <c r="AQ39" i="63"/>
  <c r="AQ40" i="63"/>
  <c r="AQ41" i="63"/>
  <c r="AQ42" i="63"/>
  <c r="AQ43" i="63"/>
  <c r="AQ44" i="63"/>
  <c r="AQ45" i="63"/>
  <c r="AQ46" i="63"/>
  <c r="AQ47" i="63"/>
  <c r="AQ48" i="63"/>
  <c r="AQ49" i="63"/>
  <c r="AQ50" i="63"/>
  <c r="AQ51" i="63"/>
  <c r="AQ52" i="63"/>
  <c r="AQ53" i="63"/>
  <c r="AQ54" i="63"/>
  <c r="AQ55" i="63"/>
  <c r="AQ56" i="63"/>
  <c r="AQ57" i="63"/>
  <c r="AQ58" i="63"/>
  <c r="AQ59" i="63"/>
  <c r="AQ60" i="63"/>
  <c r="AQ61" i="63"/>
  <c r="AQ62" i="63"/>
  <c r="AQ63" i="63"/>
  <c r="AQ64" i="63"/>
  <c r="AQ65" i="63"/>
  <c r="AQ66" i="63"/>
  <c r="AQ67" i="63"/>
  <c r="AQ68" i="63"/>
  <c r="AQ69" i="63"/>
  <c r="AQ70" i="63"/>
  <c r="AQ71" i="63"/>
  <c r="AQ72" i="63"/>
  <c r="AQ73" i="63"/>
  <c r="AQ74" i="63"/>
  <c r="AQ75" i="63"/>
  <c r="AQ76" i="63"/>
  <c r="AQ77" i="63"/>
  <c r="AQ78" i="63"/>
  <c r="AQ79" i="63"/>
  <c r="AQ80" i="63"/>
  <c r="AQ81" i="63"/>
  <c r="AQ82" i="63"/>
  <c r="AQ83" i="63"/>
  <c r="AQ84" i="63"/>
  <c r="AQ85" i="63"/>
  <c r="AQ86" i="63"/>
  <c r="AQ87" i="63"/>
  <c r="AQ88" i="63"/>
  <c r="AQ89" i="63"/>
  <c r="AQ90" i="63"/>
  <c r="AQ91" i="63"/>
  <c r="AQ92" i="63"/>
  <c r="AQ93" i="63"/>
  <c r="AQ94" i="63"/>
  <c r="AQ95" i="63"/>
  <c r="AQ96" i="63"/>
  <c r="AQ97" i="63"/>
  <c r="AQ98" i="63"/>
  <c r="AQ99" i="63"/>
  <c r="AQ100" i="63"/>
  <c r="AQ101" i="63"/>
  <c r="AQ102" i="63"/>
  <c r="AQ103" i="63"/>
  <c r="AQ104" i="63"/>
  <c r="AQ105" i="63"/>
  <c r="AQ106" i="63"/>
  <c r="AQ107" i="63"/>
  <c r="AQ108" i="63"/>
  <c r="AQ109" i="63"/>
  <c r="AQ110" i="63"/>
  <c r="AQ111" i="63"/>
  <c r="AQ112" i="63"/>
  <c r="AQ113" i="63"/>
  <c r="AQ114" i="63"/>
  <c r="AQ115" i="63"/>
  <c r="AQ116" i="63"/>
  <c r="AQ117" i="63"/>
  <c r="AQ118" i="63"/>
  <c r="AQ119" i="63"/>
  <c r="AQ120" i="63"/>
  <c r="AQ121" i="63"/>
  <c r="AQ122" i="63"/>
  <c r="AQ123" i="63"/>
  <c r="AQ124" i="63"/>
  <c r="AQ125" i="63"/>
  <c r="AQ126" i="63"/>
  <c r="AQ127" i="63"/>
  <c r="AQ128" i="63"/>
  <c r="AQ129" i="63"/>
  <c r="AQ130" i="63"/>
  <c r="AQ131" i="63"/>
  <c r="AQ132" i="63"/>
  <c r="AQ133" i="63"/>
  <c r="AQ134" i="63"/>
  <c r="AQ135" i="63"/>
  <c r="AQ136" i="63"/>
  <c r="AQ137" i="63"/>
  <c r="AQ138" i="63"/>
  <c r="AQ139" i="63"/>
  <c r="AQ140" i="63"/>
  <c r="AQ141" i="63"/>
  <c r="AQ142" i="63"/>
  <c r="AQ143" i="63"/>
  <c r="AQ144" i="63"/>
  <c r="AQ145" i="63"/>
  <c r="AQ146" i="63"/>
  <c r="AQ147" i="63"/>
  <c r="AQ148" i="63"/>
  <c r="AQ149" i="63"/>
  <c r="AQ150" i="63"/>
  <c r="AQ151" i="63"/>
  <c r="AQ152" i="63"/>
  <c r="AQ153" i="63"/>
  <c r="AQ154" i="63"/>
  <c r="AQ155" i="63"/>
  <c r="AQ156" i="63"/>
  <c r="AQ157" i="63"/>
  <c r="AQ158" i="63"/>
  <c r="AQ159" i="63"/>
  <c r="AQ160" i="63"/>
  <c r="AQ161" i="63"/>
  <c r="AQ162" i="63"/>
  <c r="AQ163" i="63"/>
  <c r="AQ164" i="63"/>
  <c r="AQ165" i="63"/>
  <c r="AQ166" i="63"/>
  <c r="AQ167" i="63"/>
  <c r="AQ168" i="63"/>
  <c r="AQ169" i="63"/>
  <c r="AQ170" i="63"/>
  <c r="AQ171" i="63"/>
  <c r="AQ172" i="63"/>
  <c r="AQ173" i="63"/>
  <c r="AQ174" i="63"/>
  <c r="AQ175" i="63"/>
  <c r="AQ176" i="63"/>
  <c r="AQ177" i="63"/>
  <c r="AQ178" i="63"/>
  <c r="AQ179" i="63"/>
  <c r="AQ180" i="63"/>
  <c r="AQ181" i="63"/>
  <c r="AQ182" i="63"/>
  <c r="AQ183" i="63"/>
  <c r="AQ184" i="63"/>
  <c r="AQ185" i="63"/>
  <c r="AQ186" i="63"/>
  <c r="AQ187" i="63"/>
  <c r="AQ188" i="63"/>
  <c r="AQ189" i="63"/>
  <c r="AQ190" i="63"/>
  <c r="AQ191" i="63"/>
  <c r="AQ192" i="63"/>
  <c r="AQ193" i="63"/>
  <c r="AQ194" i="63"/>
  <c r="AQ195" i="63"/>
  <c r="AQ196" i="63"/>
  <c r="AQ197" i="63"/>
  <c r="AQ198" i="63"/>
  <c r="AQ199" i="63"/>
  <c r="AQ200" i="63"/>
  <c r="AQ201" i="63"/>
  <c r="AQ202" i="63"/>
  <c r="AQ203" i="63"/>
  <c r="AQ204" i="63"/>
  <c r="AQ205" i="63"/>
  <c r="AQ206" i="63"/>
  <c r="AQ207" i="63"/>
  <c r="AQ208" i="63"/>
  <c r="AQ209" i="63"/>
  <c r="AQ210" i="63"/>
  <c r="AQ211" i="63"/>
  <c r="AQ212" i="63"/>
  <c r="AQ213" i="63"/>
  <c r="AQ214" i="63"/>
  <c r="AQ215" i="63"/>
  <c r="AQ216" i="63"/>
  <c r="AQ217" i="63"/>
  <c r="AQ218" i="63"/>
  <c r="AQ219" i="63"/>
  <c r="AQ220" i="63"/>
  <c r="AQ221" i="63"/>
  <c r="AQ222" i="63"/>
  <c r="AQ223" i="63"/>
  <c r="AQ224" i="63"/>
  <c r="AQ225" i="63"/>
  <c r="AQ226" i="63"/>
  <c r="AQ227" i="63"/>
  <c r="AQ228" i="63"/>
  <c r="AQ229" i="63"/>
  <c r="AQ230" i="63"/>
  <c r="AQ231" i="63"/>
  <c r="AQ232" i="63"/>
  <c r="AQ233" i="63"/>
  <c r="AQ234" i="63"/>
  <c r="AQ235" i="63"/>
  <c r="AQ236" i="63"/>
  <c r="AQ237" i="63"/>
  <c r="AQ238" i="63"/>
  <c r="AQ239" i="63"/>
  <c r="AQ240" i="63"/>
  <c r="AQ241" i="63"/>
  <c r="AQ242" i="63"/>
  <c r="AQ243" i="63"/>
  <c r="AQ244" i="63"/>
  <c r="AQ245" i="63"/>
  <c r="AQ246" i="63"/>
  <c r="AQ247" i="63"/>
  <c r="AQ248" i="63"/>
  <c r="AQ249" i="63"/>
  <c r="AQ250" i="63"/>
  <c r="AQ251" i="63"/>
  <c r="AQ252" i="63"/>
  <c r="AQ253" i="63"/>
  <c r="AQ254" i="63"/>
  <c r="AQ255" i="63"/>
  <c r="AQ256" i="63"/>
  <c r="AQ257" i="63"/>
  <c r="AQ11" i="63"/>
  <c r="AQ12" i="63"/>
  <c r="AQ13" i="63"/>
  <c r="AQ15" i="63"/>
  <c r="AQ16" i="63"/>
  <c r="AQ17" i="63"/>
  <c r="AQ18" i="63"/>
  <c r="AL10" i="52"/>
  <c r="T12" i="53"/>
  <c r="AG12" i="42"/>
  <c r="I12" i="42" l="1"/>
  <c r="AG13" i="42"/>
  <c r="AG14" i="42"/>
  <c r="AG15" i="42"/>
  <c r="AG16" i="42"/>
  <c r="AG17" i="42"/>
  <c r="AG18" i="42"/>
  <c r="AG19" i="42"/>
  <c r="AG20" i="42"/>
  <c r="AG21" i="42"/>
  <c r="AG22" i="42"/>
  <c r="AG23" i="42"/>
  <c r="AG24" i="42"/>
  <c r="AG25" i="42"/>
  <c r="AG26" i="42"/>
  <c r="AG27" i="42"/>
  <c r="AG28" i="42"/>
  <c r="AG29" i="42"/>
  <c r="AG30" i="42"/>
  <c r="AG31" i="42"/>
  <c r="AG32" i="42"/>
  <c r="AG33" i="42"/>
  <c r="AG34" i="42"/>
  <c r="AG35" i="42"/>
  <c r="AG36" i="42"/>
  <c r="AG37" i="42"/>
  <c r="AG38" i="42"/>
  <c r="AG39" i="42"/>
  <c r="AG40" i="42"/>
  <c r="AG41" i="42"/>
  <c r="AG42" i="42"/>
  <c r="AG43" i="42"/>
  <c r="AG44" i="42"/>
  <c r="AG45" i="42"/>
  <c r="AG46" i="42"/>
  <c r="AG47" i="42"/>
  <c r="AG48" i="42"/>
  <c r="AG49" i="42"/>
  <c r="AG50" i="42"/>
  <c r="AG51" i="42"/>
  <c r="AG52" i="42"/>
  <c r="AG53" i="42"/>
  <c r="AG54" i="42"/>
  <c r="AG55" i="42"/>
  <c r="AG56" i="42"/>
  <c r="AG57" i="42"/>
  <c r="AG58" i="42"/>
  <c r="AG59" i="42"/>
  <c r="AG60" i="42"/>
  <c r="AG61" i="42"/>
  <c r="AG62" i="42"/>
  <c r="AG63" i="42"/>
  <c r="AG64" i="42"/>
  <c r="AG65" i="42"/>
  <c r="AG66" i="42"/>
  <c r="AG67" i="42"/>
  <c r="AG68" i="42"/>
  <c r="AG69" i="42"/>
  <c r="AG70" i="42"/>
  <c r="AG71" i="42"/>
  <c r="AG72" i="42"/>
  <c r="AG73" i="42"/>
  <c r="AG74" i="42"/>
  <c r="AG75" i="42"/>
  <c r="AG76" i="42"/>
  <c r="AG77" i="42"/>
  <c r="AG78" i="42"/>
  <c r="AG79" i="42"/>
  <c r="AG80" i="42"/>
  <c r="AG81" i="42"/>
  <c r="AG82" i="42"/>
  <c r="AG83" i="42"/>
  <c r="AG84" i="42"/>
  <c r="AG85" i="42"/>
  <c r="AG86" i="42"/>
  <c r="AG87" i="42"/>
  <c r="AG88" i="42"/>
  <c r="AG89" i="42"/>
  <c r="AG90" i="42"/>
  <c r="AG91" i="42"/>
  <c r="AG92" i="42"/>
  <c r="AG93" i="42"/>
  <c r="AG94" i="42"/>
  <c r="AG95" i="42"/>
  <c r="AG96" i="42"/>
  <c r="AG97" i="42"/>
  <c r="AG98" i="42"/>
  <c r="AG99" i="42"/>
  <c r="AG100" i="42"/>
  <c r="AG101" i="42"/>
  <c r="AG102" i="42"/>
  <c r="AG103" i="42"/>
  <c r="AG104" i="42"/>
  <c r="AG105" i="42"/>
  <c r="AG106" i="42"/>
  <c r="AG107" i="42"/>
  <c r="AG108" i="42"/>
  <c r="AG109" i="42"/>
  <c r="AG110" i="42"/>
  <c r="AG111" i="42"/>
  <c r="AG112" i="42"/>
  <c r="AG113" i="42"/>
  <c r="AG114" i="42"/>
  <c r="AG115" i="42"/>
  <c r="AG116" i="42"/>
  <c r="AG117" i="42"/>
  <c r="AG118" i="42"/>
  <c r="AG119" i="42"/>
  <c r="AG120" i="42"/>
  <c r="AG121" i="42"/>
  <c r="AG122" i="42"/>
  <c r="AG123" i="42"/>
  <c r="AG124" i="42"/>
  <c r="AG125" i="42"/>
  <c r="AG126" i="42"/>
  <c r="AG127" i="42"/>
  <c r="AG128" i="42"/>
  <c r="AG129" i="42"/>
  <c r="AG130" i="42"/>
  <c r="AG131" i="42"/>
  <c r="AG132" i="42"/>
  <c r="AG133" i="42"/>
  <c r="AG134" i="42"/>
  <c r="AG135" i="42"/>
  <c r="AG136" i="42"/>
  <c r="AG137" i="42"/>
  <c r="AG138" i="42"/>
  <c r="AG139" i="42"/>
  <c r="AG140" i="42"/>
  <c r="AG141" i="42"/>
  <c r="AG142" i="42"/>
  <c r="AG143" i="42"/>
  <c r="AG144" i="42"/>
  <c r="AG145" i="42"/>
  <c r="AG146" i="42"/>
  <c r="AG147" i="42"/>
  <c r="AG148" i="42"/>
  <c r="AG149" i="42"/>
  <c r="AG150" i="42"/>
  <c r="AG151" i="42"/>
  <c r="AG152" i="42"/>
  <c r="AG153" i="42"/>
  <c r="AG154" i="42"/>
  <c r="AG155" i="42"/>
  <c r="AG156" i="42"/>
  <c r="AG157" i="42"/>
  <c r="AG158" i="42"/>
  <c r="AG159" i="42"/>
  <c r="AG160" i="42"/>
  <c r="AG161" i="42"/>
  <c r="AG162" i="42"/>
  <c r="AG163" i="42"/>
  <c r="AG164" i="42"/>
  <c r="AG165" i="42"/>
  <c r="AG166" i="42"/>
  <c r="AG167" i="42"/>
  <c r="AG168" i="42"/>
  <c r="AG169" i="42"/>
  <c r="AG170" i="42"/>
  <c r="AG171" i="42"/>
  <c r="AG172" i="42"/>
  <c r="AG173" i="42"/>
  <c r="AG174" i="42"/>
  <c r="AG175" i="42"/>
  <c r="AG176" i="42"/>
  <c r="AG177" i="42"/>
  <c r="AG178" i="42"/>
  <c r="AG179" i="42"/>
  <c r="AG180" i="42"/>
  <c r="AG181" i="42"/>
  <c r="AG182" i="42"/>
  <c r="AG183" i="42"/>
  <c r="AG184" i="42"/>
  <c r="AG185" i="42"/>
  <c r="AG186" i="42"/>
  <c r="AG187" i="42"/>
  <c r="AG188" i="42"/>
  <c r="AG189" i="42"/>
  <c r="AG190" i="42"/>
  <c r="AG191" i="42"/>
  <c r="AG192" i="42"/>
  <c r="AG193" i="42"/>
  <c r="AG194" i="42"/>
  <c r="AG195" i="42"/>
  <c r="AG196" i="42"/>
  <c r="AG197" i="42"/>
  <c r="AG198" i="42"/>
  <c r="AG199" i="42"/>
  <c r="AG200" i="42"/>
  <c r="AG201" i="42"/>
  <c r="AG202" i="42"/>
  <c r="AG203" i="42"/>
  <c r="AG204" i="42"/>
  <c r="AG205" i="42"/>
  <c r="AG206" i="42"/>
  <c r="AG207" i="42"/>
  <c r="AG208" i="42"/>
  <c r="AG209" i="42"/>
  <c r="AG210" i="42"/>
  <c r="AG211" i="42"/>
  <c r="AG212" i="42"/>
  <c r="AG213" i="42"/>
  <c r="AG214" i="42"/>
  <c r="AG215" i="42"/>
  <c r="AG216" i="42"/>
  <c r="AG217" i="42"/>
  <c r="AG218" i="42"/>
  <c r="AG219" i="42"/>
  <c r="AG220" i="42"/>
  <c r="AG221" i="42"/>
  <c r="AG222" i="42"/>
  <c r="AG223" i="42"/>
  <c r="AG224" i="42"/>
  <c r="AG225" i="42"/>
  <c r="AG226" i="42"/>
  <c r="AG227" i="42"/>
  <c r="AG228" i="42"/>
  <c r="AG229" i="42"/>
  <c r="AG230" i="42"/>
  <c r="AG231" i="42"/>
  <c r="AG232" i="42"/>
  <c r="AG233" i="42"/>
  <c r="AG234" i="42"/>
  <c r="AG235" i="42"/>
  <c r="AG236" i="42"/>
  <c r="AG237" i="42"/>
  <c r="AG238" i="42"/>
  <c r="AG239" i="42"/>
  <c r="AG240" i="42"/>
  <c r="AG241" i="42"/>
  <c r="AG242" i="42"/>
  <c r="AG243" i="42"/>
  <c r="AG244" i="42"/>
  <c r="AG245" i="42"/>
  <c r="AG246" i="42"/>
  <c r="AG247" i="42"/>
  <c r="AG248" i="42"/>
  <c r="AG249" i="42"/>
  <c r="AG250" i="42"/>
  <c r="AG251" i="42"/>
  <c r="AG252" i="42"/>
  <c r="AG253" i="42"/>
  <c r="AG254" i="42"/>
  <c r="AG255" i="42"/>
  <c r="AG256" i="42"/>
  <c r="AG257" i="42"/>
  <c r="AG258" i="42"/>
  <c r="AG259" i="42"/>
  <c r="I10" i="52"/>
  <c r="AL11" i="52"/>
  <c r="AL12" i="52"/>
  <c r="AL13" i="52"/>
  <c r="AL14" i="52"/>
  <c r="AL15" i="52"/>
  <c r="AL16" i="52"/>
  <c r="AL17" i="52"/>
  <c r="AL18" i="52"/>
  <c r="AL19" i="52"/>
  <c r="AL20" i="52"/>
  <c r="AL21" i="52"/>
  <c r="AL22" i="52"/>
  <c r="AL23" i="52"/>
  <c r="AL24" i="52"/>
  <c r="AL25" i="52"/>
  <c r="AL26" i="52"/>
  <c r="AL27" i="52"/>
  <c r="AL28" i="52"/>
  <c r="AL29" i="52"/>
  <c r="AL30" i="52"/>
  <c r="AL31" i="52"/>
  <c r="AL32" i="52"/>
  <c r="AL33" i="52"/>
  <c r="AL34" i="52"/>
  <c r="AL35" i="52"/>
  <c r="AL36" i="52"/>
  <c r="AL37" i="52"/>
  <c r="AL38" i="52"/>
  <c r="AL39" i="52"/>
  <c r="AL40" i="52"/>
  <c r="AL41" i="52"/>
  <c r="AL42" i="52"/>
  <c r="AL43" i="52"/>
  <c r="AL44" i="52"/>
  <c r="AL45" i="52"/>
  <c r="AL46" i="52"/>
  <c r="AL47" i="52"/>
  <c r="AL48" i="52"/>
  <c r="AL49" i="52"/>
  <c r="AL50" i="52"/>
  <c r="AL51" i="52"/>
  <c r="AL52" i="52"/>
  <c r="AL53" i="52"/>
  <c r="AL54" i="52"/>
  <c r="AL55" i="52"/>
  <c r="AL56" i="52"/>
  <c r="AL57" i="52"/>
  <c r="AL58" i="52"/>
  <c r="AL59" i="52"/>
  <c r="AL60" i="52"/>
  <c r="AL61" i="52"/>
  <c r="AL62" i="52"/>
  <c r="AL63" i="52"/>
  <c r="AL64" i="52"/>
  <c r="AL65" i="52"/>
  <c r="AL66" i="52"/>
  <c r="AL67" i="52"/>
  <c r="AL68" i="52"/>
  <c r="AL69" i="52"/>
  <c r="AL70" i="52"/>
  <c r="AL71" i="52"/>
  <c r="AL72" i="52"/>
  <c r="AL73" i="52"/>
  <c r="AL74" i="52"/>
  <c r="AL75" i="52"/>
  <c r="AL76" i="52"/>
  <c r="AL77" i="52"/>
  <c r="AL78" i="52"/>
  <c r="AL79" i="52"/>
  <c r="AL80" i="52"/>
  <c r="AL81" i="52"/>
  <c r="AL82" i="52"/>
  <c r="AL83" i="52"/>
  <c r="AL84" i="52"/>
  <c r="AL85" i="52"/>
  <c r="AL86" i="52"/>
  <c r="AL87" i="52"/>
  <c r="AL88" i="52"/>
  <c r="AL89" i="52"/>
  <c r="AL90" i="52"/>
  <c r="AL91" i="52"/>
  <c r="AL92" i="52"/>
  <c r="AL93" i="52"/>
  <c r="AL94" i="52"/>
  <c r="AL95" i="52"/>
  <c r="AL96" i="52"/>
  <c r="AL97" i="52"/>
  <c r="AL98" i="52"/>
  <c r="AL99" i="52"/>
  <c r="AL100" i="52"/>
  <c r="AL101" i="52"/>
  <c r="AL102" i="52"/>
  <c r="AL103" i="52"/>
  <c r="AL104" i="52"/>
  <c r="AL105" i="52"/>
  <c r="AL106" i="52"/>
  <c r="AL107" i="52"/>
  <c r="AL108" i="52"/>
  <c r="AL109" i="52"/>
  <c r="AL110" i="52"/>
  <c r="AL111" i="52"/>
  <c r="AL112" i="52"/>
  <c r="AL113" i="52"/>
  <c r="AL114" i="52"/>
  <c r="AL115" i="52"/>
  <c r="AL116" i="52"/>
  <c r="AL117" i="52"/>
  <c r="AL118" i="52"/>
  <c r="AL119" i="52"/>
  <c r="AL120" i="52"/>
  <c r="AL121" i="52"/>
  <c r="AL122" i="52"/>
  <c r="AL123" i="52"/>
  <c r="AL124" i="52"/>
  <c r="AL125" i="52"/>
  <c r="AL126" i="52"/>
  <c r="AL127" i="52"/>
  <c r="AL128" i="52"/>
  <c r="AL129" i="52"/>
  <c r="AL130" i="52"/>
  <c r="AL131" i="52"/>
  <c r="AL132" i="52"/>
  <c r="AL133" i="52"/>
  <c r="AL134" i="52"/>
  <c r="AL135" i="52"/>
  <c r="AL136" i="52"/>
  <c r="AL137" i="52"/>
  <c r="AL138" i="52"/>
  <c r="AL139" i="52"/>
  <c r="AL140" i="52"/>
  <c r="AL141" i="52"/>
  <c r="AL142" i="52"/>
  <c r="AL143" i="52"/>
  <c r="AL144" i="52"/>
  <c r="AL145" i="52"/>
  <c r="AL146" i="52"/>
  <c r="AL147" i="52"/>
  <c r="AL148" i="52"/>
  <c r="AL149" i="52"/>
  <c r="AL150" i="52"/>
  <c r="AL151" i="52"/>
  <c r="AL152" i="52"/>
  <c r="AL153" i="52"/>
  <c r="AL154" i="52"/>
  <c r="AL155" i="52"/>
  <c r="AL156" i="52"/>
  <c r="AL157" i="52"/>
  <c r="AL158" i="52"/>
  <c r="AL159" i="52"/>
  <c r="AL160" i="52"/>
  <c r="AL161" i="52"/>
  <c r="AL162" i="52"/>
  <c r="AL163" i="52"/>
  <c r="AL164" i="52"/>
  <c r="AL165" i="52"/>
  <c r="AL166" i="52"/>
  <c r="AL167" i="52"/>
  <c r="AL168" i="52"/>
  <c r="AL169" i="52"/>
  <c r="AL170" i="52"/>
  <c r="AL171" i="52"/>
  <c r="AL172" i="52"/>
  <c r="AL173" i="52"/>
  <c r="AL174" i="52"/>
  <c r="AL175" i="52"/>
  <c r="AL176" i="52"/>
  <c r="AL177" i="52"/>
  <c r="AL178" i="52"/>
  <c r="AL179" i="52"/>
  <c r="AL180" i="52"/>
  <c r="AL181" i="52"/>
  <c r="AL182" i="52"/>
  <c r="AL183" i="52"/>
  <c r="AL184" i="52"/>
  <c r="AL185" i="52"/>
  <c r="AL186" i="52"/>
  <c r="AL187" i="52"/>
  <c r="AL188" i="52"/>
  <c r="AL189" i="52"/>
  <c r="AL190" i="52"/>
  <c r="AL191" i="52"/>
  <c r="AL192" i="52"/>
  <c r="AL193" i="52"/>
  <c r="AL194" i="52"/>
  <c r="AL195" i="52"/>
  <c r="AL196" i="52"/>
  <c r="AL197" i="52"/>
  <c r="AL198" i="52"/>
  <c r="AL199" i="52"/>
  <c r="AL200" i="52"/>
  <c r="AL201" i="52"/>
  <c r="AL202" i="52"/>
  <c r="AL203" i="52"/>
  <c r="AL204" i="52"/>
  <c r="AL205" i="52"/>
  <c r="AL206" i="52"/>
  <c r="AL207" i="52"/>
  <c r="AL208" i="52"/>
  <c r="AL209" i="52"/>
  <c r="AL210" i="52"/>
  <c r="AL211" i="52"/>
  <c r="AL212" i="52"/>
  <c r="AL213" i="52"/>
  <c r="AL214" i="52"/>
  <c r="AL215" i="52"/>
  <c r="AL216" i="52"/>
  <c r="AL217" i="52"/>
  <c r="AL218" i="52"/>
  <c r="AL219" i="52"/>
  <c r="AL220" i="52"/>
  <c r="AL221" i="52"/>
  <c r="AL222" i="52"/>
  <c r="AL223" i="52"/>
  <c r="AL224" i="52"/>
  <c r="AL225" i="52"/>
  <c r="AL226" i="52"/>
  <c r="AL227" i="52"/>
  <c r="AL228" i="52"/>
  <c r="AL229" i="52"/>
  <c r="AL230" i="52"/>
  <c r="AL231" i="52"/>
  <c r="AL232" i="52"/>
  <c r="AL233" i="52"/>
  <c r="AL234" i="52"/>
  <c r="AL235" i="52"/>
  <c r="AL236" i="52"/>
  <c r="AL237" i="52"/>
  <c r="AL238" i="52"/>
  <c r="AL239" i="52"/>
  <c r="AL240" i="52"/>
  <c r="AL241" i="52"/>
  <c r="AL242" i="52"/>
  <c r="AL243" i="52"/>
  <c r="AL244" i="52"/>
  <c r="AL245" i="52"/>
  <c r="AL246" i="52"/>
  <c r="AL247" i="52"/>
  <c r="AL248" i="52"/>
  <c r="AL249" i="52"/>
  <c r="AL250" i="52"/>
  <c r="AL251" i="52"/>
  <c r="AL252" i="52"/>
  <c r="AL253" i="52"/>
  <c r="AL254" i="52"/>
  <c r="AL255" i="52"/>
  <c r="AL256" i="52"/>
  <c r="AL257" i="52"/>
  <c r="I5" i="99" l="1"/>
  <c r="I6" i="99"/>
  <c r="I7" i="99"/>
  <c r="I8" i="99"/>
  <c r="I9" i="99"/>
  <c r="I10" i="99"/>
  <c r="I11" i="99"/>
  <c r="I12" i="99"/>
  <c r="I13" i="99"/>
  <c r="I14" i="99"/>
  <c r="I15" i="99"/>
  <c r="I16" i="99"/>
  <c r="I17" i="99"/>
  <c r="I18" i="99"/>
  <c r="I19" i="99"/>
  <c r="I20" i="99"/>
  <c r="I21" i="99"/>
  <c r="I22" i="99"/>
  <c r="I23" i="99"/>
  <c r="I24" i="99"/>
  <c r="I25" i="99"/>
  <c r="I26" i="99"/>
  <c r="I27" i="99"/>
  <c r="I28" i="99"/>
  <c r="I29" i="99"/>
  <c r="I30" i="99"/>
  <c r="I31" i="99"/>
  <c r="I32" i="99"/>
  <c r="I33" i="99"/>
  <c r="I34" i="99"/>
  <c r="I35" i="99"/>
  <c r="I36" i="99"/>
  <c r="I39" i="99"/>
  <c r="I40" i="99"/>
  <c r="I41" i="99"/>
  <c r="I42" i="99"/>
  <c r="I43" i="99"/>
  <c r="I44" i="99"/>
  <c r="I45" i="99"/>
  <c r="I46" i="99"/>
  <c r="I47" i="99"/>
  <c r="I48" i="99"/>
  <c r="I49" i="99"/>
  <c r="I50" i="99"/>
  <c r="I51" i="99"/>
  <c r="I52" i="99"/>
  <c r="I53" i="99"/>
  <c r="I55" i="99"/>
  <c r="I56" i="99"/>
  <c r="I57" i="99"/>
  <c r="I58" i="99"/>
  <c r="I59" i="99"/>
  <c r="I60" i="99"/>
  <c r="I61" i="99"/>
  <c r="I62" i="99"/>
  <c r="I63" i="99"/>
  <c r="I64" i="99"/>
  <c r="I65" i="99"/>
  <c r="I66" i="99"/>
  <c r="I67" i="99"/>
  <c r="I68" i="99"/>
  <c r="I69" i="99"/>
  <c r="I70" i="99"/>
  <c r="I71" i="99"/>
  <c r="I72" i="99"/>
  <c r="I73" i="99"/>
  <c r="I74" i="99"/>
  <c r="I76" i="99"/>
  <c r="I77" i="99"/>
  <c r="I78" i="99"/>
  <c r="I79" i="99"/>
  <c r="I81" i="99"/>
  <c r="I82" i="99"/>
  <c r="I83" i="99"/>
  <c r="I84" i="99"/>
  <c r="I85" i="99"/>
  <c r="I86" i="99"/>
  <c r="I87" i="99"/>
  <c r="I88" i="99"/>
  <c r="I89" i="99"/>
  <c r="I91" i="99"/>
  <c r="I92" i="99"/>
  <c r="I93" i="99"/>
  <c r="I94" i="99"/>
  <c r="I95" i="99"/>
  <c r="I96" i="99"/>
  <c r="I97" i="99"/>
  <c r="I98" i="99"/>
  <c r="I99" i="99"/>
  <c r="I100" i="99"/>
  <c r="I101" i="99"/>
  <c r="I102" i="99"/>
  <c r="I103" i="99"/>
  <c r="I104" i="99"/>
  <c r="I105" i="99"/>
  <c r="I106" i="99"/>
  <c r="I107" i="99"/>
  <c r="I108" i="99"/>
  <c r="I109" i="99"/>
  <c r="I110" i="99"/>
  <c r="I111" i="99"/>
  <c r="I112" i="99"/>
  <c r="I113" i="99"/>
  <c r="I114" i="99"/>
  <c r="I115" i="99"/>
  <c r="I116" i="99"/>
  <c r="I117" i="99"/>
  <c r="I118" i="99"/>
  <c r="I119" i="99"/>
  <c r="I120" i="99"/>
  <c r="I121" i="99"/>
  <c r="I122" i="99"/>
  <c r="I123" i="99"/>
  <c r="I124" i="99"/>
  <c r="I125" i="99"/>
  <c r="I126" i="99"/>
  <c r="I127" i="99"/>
  <c r="I128" i="99"/>
  <c r="I129" i="99"/>
  <c r="I130" i="99"/>
  <c r="I131" i="99"/>
  <c r="I132" i="99"/>
  <c r="I133" i="99"/>
  <c r="I4" i="99"/>
  <c r="R13" i="68"/>
  <c r="R14" i="68"/>
  <c r="R15" i="68"/>
  <c r="R16" i="68"/>
  <c r="R17" i="68"/>
  <c r="R18" i="68"/>
  <c r="R19" i="68"/>
  <c r="R20" i="68"/>
  <c r="R21" i="68"/>
  <c r="R22" i="68"/>
  <c r="R23" i="68"/>
  <c r="R24" i="68"/>
  <c r="R25" i="68"/>
  <c r="R26" i="68"/>
  <c r="R27" i="68"/>
  <c r="R28" i="68"/>
  <c r="R29" i="68"/>
  <c r="R30" i="68"/>
  <c r="R31" i="68"/>
  <c r="R32" i="68"/>
  <c r="R33" i="68"/>
  <c r="R34" i="68"/>
  <c r="R35" i="68"/>
  <c r="R36" i="68"/>
  <c r="R37" i="68"/>
  <c r="R38" i="68"/>
  <c r="R39" i="68"/>
  <c r="R40" i="68"/>
  <c r="R41" i="68"/>
  <c r="R42" i="68"/>
  <c r="R43" i="68"/>
  <c r="R44" i="68"/>
  <c r="R45" i="68"/>
  <c r="R46" i="68"/>
  <c r="R47" i="68"/>
  <c r="R48" i="68"/>
  <c r="R49" i="68"/>
  <c r="R50" i="68"/>
  <c r="R51" i="68"/>
  <c r="R52" i="68"/>
  <c r="R53" i="68"/>
  <c r="R54" i="68"/>
  <c r="R55" i="68"/>
  <c r="R56" i="68"/>
  <c r="R57" i="68"/>
  <c r="R58" i="68"/>
  <c r="R59" i="68"/>
  <c r="R60" i="68"/>
  <c r="R61" i="68"/>
  <c r="R62" i="68"/>
  <c r="R63" i="68"/>
  <c r="R64" i="68"/>
  <c r="R65" i="68"/>
  <c r="R66" i="68"/>
  <c r="R67" i="68"/>
  <c r="R68" i="68"/>
  <c r="R69" i="68"/>
  <c r="R70" i="68"/>
  <c r="R71" i="68"/>
  <c r="R72" i="68"/>
  <c r="R73" i="68"/>
  <c r="R74" i="68"/>
  <c r="R75" i="68"/>
  <c r="R76" i="68"/>
  <c r="R77" i="68"/>
  <c r="R78" i="68"/>
  <c r="R79" i="68"/>
  <c r="R80" i="68"/>
  <c r="R81" i="68"/>
  <c r="R82" i="68"/>
  <c r="R83" i="68"/>
  <c r="R84" i="68"/>
  <c r="R85" i="68"/>
  <c r="R86" i="68"/>
  <c r="R87" i="68"/>
  <c r="R88" i="68"/>
  <c r="R89" i="68"/>
  <c r="R90" i="68"/>
  <c r="R91" i="68"/>
  <c r="R92" i="68"/>
  <c r="R93" i="68"/>
  <c r="R94" i="68"/>
  <c r="R95" i="68"/>
  <c r="R96" i="68"/>
  <c r="R97" i="68"/>
  <c r="R98" i="68"/>
  <c r="R99" i="68"/>
  <c r="R100" i="68"/>
  <c r="R101" i="68"/>
  <c r="R102" i="68"/>
  <c r="R103" i="68"/>
  <c r="R104" i="68"/>
  <c r="R105" i="68"/>
  <c r="R106" i="68"/>
  <c r="R107" i="68"/>
  <c r="R108" i="68"/>
  <c r="R109" i="68"/>
  <c r="R110" i="68"/>
  <c r="R111" i="68"/>
  <c r="R112" i="68"/>
  <c r="R113" i="68"/>
  <c r="R114" i="68"/>
  <c r="R115" i="68"/>
  <c r="R116" i="68"/>
  <c r="R117" i="68"/>
  <c r="R118" i="68"/>
  <c r="R119" i="68"/>
  <c r="R120" i="68"/>
  <c r="R121" i="68"/>
  <c r="R122" i="68"/>
  <c r="R123" i="68"/>
  <c r="R124" i="68"/>
  <c r="R125" i="68"/>
  <c r="R126" i="68"/>
  <c r="R127" i="68"/>
  <c r="R128" i="68"/>
  <c r="R129" i="68"/>
  <c r="R130" i="68"/>
  <c r="R131" i="68"/>
  <c r="R132" i="68"/>
  <c r="R133" i="68"/>
  <c r="R134" i="68"/>
  <c r="R135" i="68"/>
  <c r="R136" i="68"/>
  <c r="R137" i="68"/>
  <c r="R138" i="68"/>
  <c r="R139" i="68"/>
  <c r="R140" i="68"/>
  <c r="R141" i="68"/>
  <c r="R142" i="68"/>
  <c r="R143" i="68"/>
  <c r="R144" i="68"/>
  <c r="R145" i="68"/>
  <c r="R146" i="68"/>
  <c r="R147" i="68"/>
  <c r="R148" i="68"/>
  <c r="R149" i="68"/>
  <c r="R150" i="68"/>
  <c r="R151" i="68"/>
  <c r="R152" i="68"/>
  <c r="R153" i="68"/>
  <c r="R154" i="68"/>
  <c r="R155" i="68"/>
  <c r="R156" i="68"/>
  <c r="R157" i="68"/>
  <c r="R158" i="68"/>
  <c r="R159" i="68"/>
  <c r="R160" i="68"/>
  <c r="R161" i="68"/>
  <c r="R162" i="68"/>
  <c r="R163" i="68"/>
  <c r="R164" i="68"/>
  <c r="R165" i="68"/>
  <c r="R166" i="68"/>
  <c r="R167" i="68"/>
  <c r="R168" i="68"/>
  <c r="R169" i="68"/>
  <c r="R170" i="68"/>
  <c r="R171" i="68"/>
  <c r="R172" i="68"/>
  <c r="R173" i="68"/>
  <c r="R174" i="68"/>
  <c r="R175" i="68"/>
  <c r="R176" i="68"/>
  <c r="R177" i="68"/>
  <c r="R178" i="68"/>
  <c r="R179" i="68"/>
  <c r="R180" i="68"/>
  <c r="R181" i="68"/>
  <c r="R182" i="68"/>
  <c r="R183" i="68"/>
  <c r="R184" i="68"/>
  <c r="R185" i="68"/>
  <c r="R186" i="68"/>
  <c r="R187" i="68"/>
  <c r="R188" i="68"/>
  <c r="R189" i="68"/>
  <c r="R190" i="68"/>
  <c r="R191" i="68"/>
  <c r="R192" i="68"/>
  <c r="R193" i="68"/>
  <c r="R194" i="68"/>
  <c r="R195" i="68"/>
  <c r="R196" i="68"/>
  <c r="R197" i="68"/>
  <c r="R198" i="68"/>
  <c r="R199" i="68"/>
  <c r="R200" i="68"/>
  <c r="R201" i="68"/>
  <c r="R202" i="68"/>
  <c r="R203" i="68"/>
  <c r="R204" i="68"/>
  <c r="R205" i="68"/>
  <c r="R206" i="68"/>
  <c r="R207" i="68"/>
  <c r="R208" i="68"/>
  <c r="R209" i="68"/>
  <c r="R210" i="68"/>
  <c r="R211" i="68"/>
  <c r="R212" i="68"/>
  <c r="R213" i="68"/>
  <c r="R214" i="68"/>
  <c r="R215" i="68"/>
  <c r="R216" i="68"/>
  <c r="R217" i="68"/>
  <c r="R218" i="68"/>
  <c r="R219" i="68"/>
  <c r="R220" i="68"/>
  <c r="R221" i="68"/>
  <c r="R222" i="68"/>
  <c r="R223" i="68"/>
  <c r="R224" i="68"/>
  <c r="R225" i="68"/>
  <c r="R226" i="68"/>
  <c r="R227" i="68"/>
  <c r="R228" i="68"/>
  <c r="R229" i="68"/>
  <c r="R230" i="68"/>
  <c r="R231" i="68"/>
  <c r="R232" i="68"/>
  <c r="R233" i="68"/>
  <c r="R234" i="68"/>
  <c r="R235" i="68"/>
  <c r="R236" i="68"/>
  <c r="R237" i="68"/>
  <c r="R238" i="68"/>
  <c r="R239" i="68"/>
  <c r="R240" i="68"/>
  <c r="R241" i="68"/>
  <c r="R242" i="68"/>
  <c r="R243" i="68"/>
  <c r="R244" i="68"/>
  <c r="R245" i="68"/>
  <c r="R246" i="68"/>
  <c r="R247" i="68"/>
  <c r="R248" i="68"/>
  <c r="R249" i="68"/>
  <c r="R250" i="68"/>
  <c r="R251" i="68"/>
  <c r="R252" i="68"/>
  <c r="R253" i="68"/>
  <c r="R254" i="68"/>
  <c r="R255" i="68"/>
  <c r="R256" i="68"/>
  <c r="R257" i="68"/>
  <c r="R258" i="68"/>
  <c r="R259" i="68"/>
  <c r="R12" i="68"/>
  <c r="R13" i="64"/>
  <c r="R14" i="64"/>
  <c r="R15" i="64"/>
  <c r="R16" i="64"/>
  <c r="R17" i="64"/>
  <c r="R18" i="64"/>
  <c r="R19" i="64"/>
  <c r="R20" i="64"/>
  <c r="R21" i="64"/>
  <c r="R22" i="64"/>
  <c r="R23" i="64"/>
  <c r="R24" i="64"/>
  <c r="R25" i="64"/>
  <c r="R26" i="64"/>
  <c r="R27" i="64"/>
  <c r="R28" i="64"/>
  <c r="R29" i="64"/>
  <c r="R30" i="64"/>
  <c r="R31" i="64"/>
  <c r="R32" i="64"/>
  <c r="R33" i="64"/>
  <c r="R34" i="64"/>
  <c r="R35" i="64"/>
  <c r="R36" i="64"/>
  <c r="R37" i="64"/>
  <c r="R38" i="64"/>
  <c r="R39" i="64"/>
  <c r="R40" i="64"/>
  <c r="R41" i="64"/>
  <c r="R42" i="64"/>
  <c r="R43" i="64"/>
  <c r="R44" i="64"/>
  <c r="R45" i="64"/>
  <c r="R46" i="64"/>
  <c r="R47" i="64"/>
  <c r="R48" i="64"/>
  <c r="R49" i="64"/>
  <c r="R50" i="64"/>
  <c r="R51" i="64"/>
  <c r="R52" i="64"/>
  <c r="R53" i="64"/>
  <c r="R54" i="64"/>
  <c r="R55" i="64"/>
  <c r="R56" i="64"/>
  <c r="R57" i="64"/>
  <c r="R58" i="64"/>
  <c r="R59" i="64"/>
  <c r="R60" i="64"/>
  <c r="R61" i="64"/>
  <c r="R62" i="64"/>
  <c r="R63" i="64"/>
  <c r="R64" i="64"/>
  <c r="R65" i="64"/>
  <c r="R66" i="64"/>
  <c r="R67" i="64"/>
  <c r="R68" i="64"/>
  <c r="R69" i="64"/>
  <c r="R70" i="64"/>
  <c r="R71" i="64"/>
  <c r="R72" i="64"/>
  <c r="R73" i="64"/>
  <c r="R74" i="64"/>
  <c r="R75" i="64"/>
  <c r="R76" i="64"/>
  <c r="R77" i="64"/>
  <c r="R78" i="64"/>
  <c r="R79" i="64"/>
  <c r="R80" i="64"/>
  <c r="R81" i="64"/>
  <c r="R82" i="64"/>
  <c r="R83" i="64"/>
  <c r="R84" i="64"/>
  <c r="R85" i="64"/>
  <c r="R86" i="64"/>
  <c r="R87" i="64"/>
  <c r="R88" i="64"/>
  <c r="R89" i="64"/>
  <c r="R90" i="64"/>
  <c r="R91" i="64"/>
  <c r="R92" i="64"/>
  <c r="R93" i="64"/>
  <c r="R94" i="64"/>
  <c r="R95" i="64"/>
  <c r="R96" i="64"/>
  <c r="R97" i="64"/>
  <c r="R98" i="64"/>
  <c r="R99" i="64"/>
  <c r="R100" i="64"/>
  <c r="R101" i="64"/>
  <c r="R102" i="64"/>
  <c r="R103" i="64"/>
  <c r="R104" i="64"/>
  <c r="R105" i="64"/>
  <c r="R106" i="64"/>
  <c r="R107" i="64"/>
  <c r="R108" i="64"/>
  <c r="R109" i="64"/>
  <c r="R110" i="64"/>
  <c r="R111" i="64"/>
  <c r="R112" i="64"/>
  <c r="R113" i="64"/>
  <c r="R114" i="64"/>
  <c r="R115" i="64"/>
  <c r="R116" i="64"/>
  <c r="R117" i="64"/>
  <c r="R118" i="64"/>
  <c r="R119" i="64"/>
  <c r="R120" i="64"/>
  <c r="R121" i="64"/>
  <c r="R122" i="64"/>
  <c r="R123" i="64"/>
  <c r="R124" i="64"/>
  <c r="R125" i="64"/>
  <c r="R126" i="64"/>
  <c r="R127" i="64"/>
  <c r="R128" i="64"/>
  <c r="R129" i="64"/>
  <c r="R130" i="64"/>
  <c r="R131" i="64"/>
  <c r="R132" i="64"/>
  <c r="R133" i="64"/>
  <c r="R134" i="64"/>
  <c r="R135" i="64"/>
  <c r="R136" i="64"/>
  <c r="R137" i="64"/>
  <c r="R138" i="64"/>
  <c r="R139" i="64"/>
  <c r="R140" i="64"/>
  <c r="R141" i="64"/>
  <c r="R142" i="64"/>
  <c r="R143" i="64"/>
  <c r="R144" i="64"/>
  <c r="R145" i="64"/>
  <c r="R146" i="64"/>
  <c r="R147" i="64"/>
  <c r="R148" i="64"/>
  <c r="R149" i="64"/>
  <c r="R150" i="64"/>
  <c r="R151" i="64"/>
  <c r="R152" i="64"/>
  <c r="R153" i="64"/>
  <c r="R154" i="64"/>
  <c r="R155" i="64"/>
  <c r="R156" i="64"/>
  <c r="R157" i="64"/>
  <c r="R158" i="64"/>
  <c r="R159" i="64"/>
  <c r="R160" i="64"/>
  <c r="R161" i="64"/>
  <c r="R162" i="64"/>
  <c r="R163" i="64"/>
  <c r="R164" i="64"/>
  <c r="R165" i="64"/>
  <c r="R166" i="64"/>
  <c r="R167" i="64"/>
  <c r="R168" i="64"/>
  <c r="R169" i="64"/>
  <c r="R170" i="64"/>
  <c r="R171" i="64"/>
  <c r="R172" i="64"/>
  <c r="R173" i="64"/>
  <c r="R174" i="64"/>
  <c r="R175" i="64"/>
  <c r="R176" i="64"/>
  <c r="R177" i="64"/>
  <c r="R178" i="64"/>
  <c r="R179" i="64"/>
  <c r="R180" i="64"/>
  <c r="R181" i="64"/>
  <c r="R182" i="64"/>
  <c r="R183" i="64"/>
  <c r="R184" i="64"/>
  <c r="R185" i="64"/>
  <c r="R186" i="64"/>
  <c r="R187" i="64"/>
  <c r="R188" i="64"/>
  <c r="R189" i="64"/>
  <c r="R190" i="64"/>
  <c r="R191" i="64"/>
  <c r="R192" i="64"/>
  <c r="R193" i="64"/>
  <c r="R194" i="64"/>
  <c r="R195" i="64"/>
  <c r="R196" i="64"/>
  <c r="R197" i="64"/>
  <c r="R198" i="64"/>
  <c r="R199" i="64"/>
  <c r="R200" i="64"/>
  <c r="R201" i="64"/>
  <c r="R202" i="64"/>
  <c r="R203" i="64"/>
  <c r="R204" i="64"/>
  <c r="R205" i="64"/>
  <c r="R206" i="64"/>
  <c r="R207" i="64"/>
  <c r="R208" i="64"/>
  <c r="R209" i="64"/>
  <c r="R210" i="64"/>
  <c r="R211" i="64"/>
  <c r="R212" i="64"/>
  <c r="R213" i="64"/>
  <c r="R214" i="64"/>
  <c r="R215" i="64"/>
  <c r="R216" i="64"/>
  <c r="R217" i="64"/>
  <c r="R218" i="64"/>
  <c r="R219" i="64"/>
  <c r="R220" i="64"/>
  <c r="R221" i="64"/>
  <c r="R222" i="64"/>
  <c r="R223" i="64"/>
  <c r="R224" i="64"/>
  <c r="R225" i="64"/>
  <c r="R226" i="64"/>
  <c r="R227" i="64"/>
  <c r="R228" i="64"/>
  <c r="R229" i="64"/>
  <c r="R230" i="64"/>
  <c r="R231" i="64"/>
  <c r="R232" i="64"/>
  <c r="R233" i="64"/>
  <c r="R234" i="64"/>
  <c r="R235" i="64"/>
  <c r="R236" i="64"/>
  <c r="R237" i="64"/>
  <c r="R238" i="64"/>
  <c r="R239" i="64"/>
  <c r="R240" i="64"/>
  <c r="R241" i="64"/>
  <c r="R242" i="64"/>
  <c r="R243" i="64"/>
  <c r="R244" i="64"/>
  <c r="R245" i="64"/>
  <c r="R246" i="64"/>
  <c r="R247" i="64"/>
  <c r="R248" i="64"/>
  <c r="R249" i="64"/>
  <c r="R250" i="64"/>
  <c r="R251" i="64"/>
  <c r="R252" i="64"/>
  <c r="R253" i="64"/>
  <c r="R254" i="64"/>
  <c r="R255" i="64"/>
  <c r="R256" i="64"/>
  <c r="R257" i="64"/>
  <c r="R258" i="64"/>
  <c r="R259" i="64"/>
  <c r="R12" i="64"/>
  <c r="U13" i="58" l="1"/>
  <c r="U14" i="58"/>
  <c r="U15" i="58"/>
  <c r="U16" i="58"/>
  <c r="U17" i="58"/>
  <c r="U18" i="58"/>
  <c r="U19" i="58"/>
  <c r="U20" i="58"/>
  <c r="U21" i="58"/>
  <c r="U22" i="58"/>
  <c r="U23" i="58"/>
  <c r="U24" i="58"/>
  <c r="U25" i="58"/>
  <c r="U26" i="58"/>
  <c r="U27" i="58"/>
  <c r="U28" i="58"/>
  <c r="U29" i="58"/>
  <c r="U30" i="58"/>
  <c r="U31" i="58"/>
  <c r="U32" i="58"/>
  <c r="U33" i="58"/>
  <c r="U34" i="58"/>
  <c r="U35" i="58"/>
  <c r="U36" i="58"/>
  <c r="U37" i="58"/>
  <c r="U38" i="58"/>
  <c r="U39" i="58"/>
  <c r="U40" i="58"/>
  <c r="U41" i="58"/>
  <c r="U42" i="58"/>
  <c r="U43" i="58"/>
  <c r="U44" i="58"/>
  <c r="U45" i="58"/>
  <c r="U46" i="58"/>
  <c r="U47" i="58"/>
  <c r="U48" i="58"/>
  <c r="U49" i="58"/>
  <c r="U50" i="58"/>
  <c r="U51" i="58"/>
  <c r="U52" i="58"/>
  <c r="U53" i="58"/>
  <c r="U54" i="58"/>
  <c r="U55" i="58"/>
  <c r="U56" i="58"/>
  <c r="U57" i="58"/>
  <c r="U58" i="58"/>
  <c r="U59" i="58"/>
  <c r="U60" i="58"/>
  <c r="U61" i="58"/>
  <c r="U62" i="58"/>
  <c r="U63" i="58"/>
  <c r="U64" i="58"/>
  <c r="U65" i="58"/>
  <c r="U66" i="58"/>
  <c r="U67" i="58"/>
  <c r="U68" i="58"/>
  <c r="U69" i="58"/>
  <c r="U70" i="58"/>
  <c r="U71" i="58"/>
  <c r="U72" i="58"/>
  <c r="U73" i="58"/>
  <c r="U74" i="58"/>
  <c r="U75" i="58"/>
  <c r="U76" i="58"/>
  <c r="U77" i="58"/>
  <c r="U78" i="58"/>
  <c r="U79" i="58"/>
  <c r="U80" i="58"/>
  <c r="U81" i="58"/>
  <c r="U82" i="58"/>
  <c r="U83" i="58"/>
  <c r="U84" i="58"/>
  <c r="U85" i="58"/>
  <c r="U86" i="58"/>
  <c r="U87" i="58"/>
  <c r="U88" i="58"/>
  <c r="U89" i="58"/>
  <c r="U90" i="58"/>
  <c r="U91" i="58"/>
  <c r="U92" i="58"/>
  <c r="U93" i="58"/>
  <c r="U94" i="58"/>
  <c r="U95" i="58"/>
  <c r="U96" i="58"/>
  <c r="U97" i="58"/>
  <c r="U98" i="58"/>
  <c r="U99" i="58"/>
  <c r="U100" i="58"/>
  <c r="U101" i="58"/>
  <c r="U102" i="58"/>
  <c r="U103" i="58"/>
  <c r="U104" i="58"/>
  <c r="U105" i="58"/>
  <c r="U106" i="58"/>
  <c r="U107" i="58"/>
  <c r="U108" i="58"/>
  <c r="U109" i="58"/>
  <c r="U110" i="58"/>
  <c r="U111" i="58"/>
  <c r="U112" i="58"/>
  <c r="U113" i="58"/>
  <c r="U114" i="58"/>
  <c r="U115" i="58"/>
  <c r="U116" i="58"/>
  <c r="U117" i="58"/>
  <c r="U118" i="58"/>
  <c r="U119" i="58"/>
  <c r="U120" i="58"/>
  <c r="U121" i="58"/>
  <c r="U122" i="58"/>
  <c r="U123" i="58"/>
  <c r="U124" i="58"/>
  <c r="U125" i="58"/>
  <c r="U126" i="58"/>
  <c r="U127" i="58"/>
  <c r="U128" i="58"/>
  <c r="U129" i="58"/>
  <c r="U130" i="58"/>
  <c r="U131" i="58"/>
  <c r="U132" i="58"/>
  <c r="U133" i="58"/>
  <c r="U134" i="58"/>
  <c r="U135" i="58"/>
  <c r="U136" i="58"/>
  <c r="U137" i="58"/>
  <c r="U138" i="58"/>
  <c r="U139" i="58"/>
  <c r="U140" i="58"/>
  <c r="U141" i="58"/>
  <c r="U142" i="58"/>
  <c r="U143" i="58"/>
  <c r="U144" i="58"/>
  <c r="U145" i="58"/>
  <c r="U146" i="58"/>
  <c r="U147" i="58"/>
  <c r="U148" i="58"/>
  <c r="U149" i="58"/>
  <c r="U150" i="58"/>
  <c r="U151" i="58"/>
  <c r="U152" i="58"/>
  <c r="U153" i="58"/>
  <c r="U154" i="58"/>
  <c r="U155" i="58"/>
  <c r="U156" i="58"/>
  <c r="U157" i="58"/>
  <c r="U158" i="58"/>
  <c r="U159" i="58"/>
  <c r="U160" i="58"/>
  <c r="U161" i="58"/>
  <c r="U162" i="58"/>
  <c r="U163" i="58"/>
  <c r="U164" i="58"/>
  <c r="U165" i="58"/>
  <c r="U166" i="58"/>
  <c r="U167" i="58"/>
  <c r="U168" i="58"/>
  <c r="U169" i="58"/>
  <c r="U170" i="58"/>
  <c r="U171" i="58"/>
  <c r="U172" i="58"/>
  <c r="U173" i="58"/>
  <c r="U174" i="58"/>
  <c r="U175" i="58"/>
  <c r="U176" i="58"/>
  <c r="U177" i="58"/>
  <c r="U178" i="58"/>
  <c r="U179" i="58"/>
  <c r="U180" i="58"/>
  <c r="U181" i="58"/>
  <c r="U182" i="58"/>
  <c r="U183" i="58"/>
  <c r="U184" i="58"/>
  <c r="U185" i="58"/>
  <c r="U186" i="58"/>
  <c r="U187" i="58"/>
  <c r="U188" i="58"/>
  <c r="U189" i="58"/>
  <c r="U190" i="58"/>
  <c r="U191" i="58"/>
  <c r="U192" i="58"/>
  <c r="U193" i="58"/>
  <c r="U194" i="58"/>
  <c r="U195" i="58"/>
  <c r="U196" i="58"/>
  <c r="U197" i="58"/>
  <c r="U198" i="58"/>
  <c r="U199" i="58"/>
  <c r="U200" i="58"/>
  <c r="U201" i="58"/>
  <c r="U202" i="58"/>
  <c r="U203" i="58"/>
  <c r="U204" i="58"/>
  <c r="U205" i="58"/>
  <c r="U206" i="58"/>
  <c r="U207" i="58"/>
  <c r="U208" i="58"/>
  <c r="U209" i="58"/>
  <c r="U210" i="58"/>
  <c r="U211" i="58"/>
  <c r="U212" i="58"/>
  <c r="U213" i="58"/>
  <c r="U214" i="58"/>
  <c r="U215" i="58"/>
  <c r="U216" i="58"/>
  <c r="U217" i="58"/>
  <c r="U218" i="58"/>
  <c r="U219" i="58"/>
  <c r="U220" i="58"/>
  <c r="U221" i="58"/>
  <c r="U222" i="58"/>
  <c r="U223" i="58"/>
  <c r="U224" i="58"/>
  <c r="U225" i="58"/>
  <c r="U226" i="58"/>
  <c r="U227" i="58"/>
  <c r="U228" i="58"/>
  <c r="U229" i="58"/>
  <c r="U230" i="58"/>
  <c r="U231" i="58"/>
  <c r="U232" i="58"/>
  <c r="U233" i="58"/>
  <c r="U234" i="58"/>
  <c r="U235" i="58"/>
  <c r="U236" i="58"/>
  <c r="U237" i="58"/>
  <c r="U238" i="58"/>
  <c r="U239" i="58"/>
  <c r="U240" i="58"/>
  <c r="U241" i="58"/>
  <c r="U242" i="58"/>
  <c r="U243" i="58"/>
  <c r="U244" i="58"/>
  <c r="U245" i="58"/>
  <c r="U246" i="58"/>
  <c r="U247" i="58"/>
  <c r="U248" i="58"/>
  <c r="U249" i="58"/>
  <c r="U250" i="58"/>
  <c r="U251" i="58"/>
  <c r="U252" i="58"/>
  <c r="U253" i="58"/>
  <c r="U254" i="58"/>
  <c r="U255" i="58"/>
  <c r="U256" i="58"/>
  <c r="U257" i="58"/>
  <c r="U258" i="58"/>
  <c r="W258" i="58" s="1"/>
  <c r="U259" i="58"/>
  <c r="U12" i="58"/>
  <c r="S13" i="42"/>
  <c r="V13" i="42" s="1"/>
  <c r="S14" i="42"/>
  <c r="V14" i="42" s="1"/>
  <c r="S15" i="42"/>
  <c r="V15" i="42" s="1"/>
  <c r="S16" i="42"/>
  <c r="V16" i="42" s="1"/>
  <c r="S17" i="42"/>
  <c r="V17" i="42" s="1"/>
  <c r="S18" i="42"/>
  <c r="V18" i="42" s="1"/>
  <c r="S19" i="42"/>
  <c r="V19" i="42" s="1"/>
  <c r="S20" i="42"/>
  <c r="V20" i="42" s="1"/>
  <c r="S21" i="42"/>
  <c r="V21" i="42" s="1"/>
  <c r="S22" i="42"/>
  <c r="V22" i="42" s="1"/>
  <c r="S23" i="42"/>
  <c r="V23" i="42" s="1"/>
  <c r="S24" i="42"/>
  <c r="V24" i="42" s="1"/>
  <c r="S25" i="42"/>
  <c r="V25" i="42" s="1"/>
  <c r="S26" i="42"/>
  <c r="V26" i="42" s="1"/>
  <c r="S27" i="42"/>
  <c r="V27" i="42" s="1"/>
  <c r="S28" i="42"/>
  <c r="V28" i="42" s="1"/>
  <c r="S29" i="42"/>
  <c r="V29" i="42" s="1"/>
  <c r="S30" i="42"/>
  <c r="V30" i="42" s="1"/>
  <c r="S31" i="42"/>
  <c r="V31" i="42" s="1"/>
  <c r="S32" i="42"/>
  <c r="V32" i="42" s="1"/>
  <c r="S33" i="42"/>
  <c r="V33" i="42" s="1"/>
  <c r="S34" i="42"/>
  <c r="V34" i="42" s="1"/>
  <c r="S35" i="42"/>
  <c r="V35" i="42" s="1"/>
  <c r="S36" i="42"/>
  <c r="V36" i="42" s="1"/>
  <c r="S37" i="42"/>
  <c r="V37" i="42" s="1"/>
  <c r="S38" i="42"/>
  <c r="V38" i="42"/>
  <c r="S39" i="42"/>
  <c r="V39" i="42"/>
  <c r="S40" i="42"/>
  <c r="V40" i="42"/>
  <c r="S41" i="42"/>
  <c r="V41" i="42"/>
  <c r="S42" i="42"/>
  <c r="V42" i="42"/>
  <c r="S43" i="42"/>
  <c r="V43" i="42"/>
  <c r="S44" i="42"/>
  <c r="V44" i="42"/>
  <c r="S45" i="42"/>
  <c r="V45" i="42"/>
  <c r="S46" i="42"/>
  <c r="V46" i="42"/>
  <c r="S47" i="42"/>
  <c r="V47" i="42"/>
  <c r="S48" i="42"/>
  <c r="V48" i="42"/>
  <c r="S49" i="42"/>
  <c r="V49" i="42"/>
  <c r="S50" i="42"/>
  <c r="V50" i="42"/>
  <c r="S51" i="42"/>
  <c r="V51" i="42"/>
  <c r="S52" i="42"/>
  <c r="V52" i="42"/>
  <c r="S53" i="42"/>
  <c r="V53" i="42"/>
  <c r="S54" i="42"/>
  <c r="V54" i="42"/>
  <c r="S55" i="42"/>
  <c r="V55" i="42"/>
  <c r="S56" i="42"/>
  <c r="V56" i="42"/>
  <c r="S57" i="42"/>
  <c r="V57" i="42"/>
  <c r="S58" i="42"/>
  <c r="V58" i="42"/>
  <c r="S59" i="42"/>
  <c r="V59" i="42"/>
  <c r="S60" i="42"/>
  <c r="V60" i="42"/>
  <c r="S61" i="42"/>
  <c r="V61" i="42"/>
  <c r="S62" i="42"/>
  <c r="V62" i="42"/>
  <c r="S63" i="42"/>
  <c r="V63" i="42"/>
  <c r="S64" i="42"/>
  <c r="V64" i="42"/>
  <c r="S65" i="42"/>
  <c r="V65" i="42"/>
  <c r="S66" i="42"/>
  <c r="V66" i="42"/>
  <c r="S67" i="42"/>
  <c r="V67" i="42"/>
  <c r="S68" i="42"/>
  <c r="V68" i="42"/>
  <c r="S69" i="42"/>
  <c r="V69" i="42"/>
  <c r="S70" i="42"/>
  <c r="V70" i="42"/>
  <c r="S71" i="42"/>
  <c r="V71" i="42"/>
  <c r="S72" i="42"/>
  <c r="V72" i="42"/>
  <c r="S73" i="42"/>
  <c r="V73" i="42"/>
  <c r="S74" i="42"/>
  <c r="V74" i="42"/>
  <c r="S75" i="42"/>
  <c r="V75" i="42"/>
  <c r="S76" i="42"/>
  <c r="V76" i="42"/>
  <c r="S77" i="42"/>
  <c r="V77" i="42"/>
  <c r="S78" i="42"/>
  <c r="V78" i="42"/>
  <c r="S79" i="42"/>
  <c r="V79" i="42"/>
  <c r="S80" i="42"/>
  <c r="V80" i="42"/>
  <c r="S81" i="42"/>
  <c r="V81" i="42"/>
  <c r="S82" i="42"/>
  <c r="V82" i="42"/>
  <c r="S83" i="42"/>
  <c r="V83" i="42"/>
  <c r="S84" i="42"/>
  <c r="V84" i="42"/>
  <c r="S85" i="42"/>
  <c r="V85" i="42"/>
  <c r="S86" i="42"/>
  <c r="V86" i="42"/>
  <c r="S87" i="42"/>
  <c r="V87" i="42"/>
  <c r="S88" i="42"/>
  <c r="V88" i="42"/>
  <c r="S89" i="42"/>
  <c r="V89" i="42"/>
  <c r="S90" i="42"/>
  <c r="V90" i="42"/>
  <c r="S91" i="42"/>
  <c r="V91" i="42"/>
  <c r="S92" i="42"/>
  <c r="V92" i="42"/>
  <c r="S93" i="42"/>
  <c r="V93" i="42"/>
  <c r="S94" i="42"/>
  <c r="V94" i="42"/>
  <c r="S95" i="42"/>
  <c r="V95" i="42"/>
  <c r="S96" i="42"/>
  <c r="V96" i="42"/>
  <c r="S97" i="42"/>
  <c r="V97" i="42"/>
  <c r="S98" i="42"/>
  <c r="V98" i="42"/>
  <c r="S99" i="42"/>
  <c r="V99" i="42"/>
  <c r="S100" i="42"/>
  <c r="V100" i="42"/>
  <c r="S101" i="42"/>
  <c r="V101" i="42"/>
  <c r="S102" i="42"/>
  <c r="V102" i="42"/>
  <c r="S103" i="42"/>
  <c r="V103" i="42"/>
  <c r="S104" i="42"/>
  <c r="V104" i="42"/>
  <c r="S105" i="42"/>
  <c r="V105" i="42"/>
  <c r="S106" i="42"/>
  <c r="V106" i="42"/>
  <c r="S107" i="42"/>
  <c r="V107" i="42"/>
  <c r="S108" i="42"/>
  <c r="V108" i="42"/>
  <c r="S109" i="42"/>
  <c r="V109" i="42"/>
  <c r="S110" i="42"/>
  <c r="V110" i="42"/>
  <c r="S111" i="42"/>
  <c r="V111" i="42"/>
  <c r="S112" i="42"/>
  <c r="V112" i="42"/>
  <c r="S113" i="42"/>
  <c r="V113" i="42"/>
  <c r="S114" i="42"/>
  <c r="V114" i="42"/>
  <c r="S115" i="42"/>
  <c r="V115" i="42"/>
  <c r="S116" i="42"/>
  <c r="V116" i="42"/>
  <c r="S117" i="42"/>
  <c r="V117" i="42"/>
  <c r="S118" i="42"/>
  <c r="V118" i="42"/>
  <c r="S119" i="42"/>
  <c r="V119" i="42"/>
  <c r="S120" i="42"/>
  <c r="V120" i="42"/>
  <c r="S121" i="42"/>
  <c r="V121" i="42"/>
  <c r="S122" i="42"/>
  <c r="V122" i="42"/>
  <c r="S123" i="42"/>
  <c r="V123" i="42"/>
  <c r="S124" i="42"/>
  <c r="V124" i="42"/>
  <c r="S125" i="42"/>
  <c r="V125" i="42"/>
  <c r="S126" i="42"/>
  <c r="V126" i="42"/>
  <c r="S127" i="42"/>
  <c r="V127" i="42"/>
  <c r="S128" i="42"/>
  <c r="V128" i="42"/>
  <c r="S129" i="42"/>
  <c r="V129" i="42"/>
  <c r="S130" i="42"/>
  <c r="V130" i="42"/>
  <c r="S131" i="42"/>
  <c r="V131" i="42"/>
  <c r="S132" i="42"/>
  <c r="V132" i="42"/>
  <c r="S133" i="42"/>
  <c r="V133" i="42"/>
  <c r="S134" i="42"/>
  <c r="V134" i="42"/>
  <c r="S135" i="42"/>
  <c r="V135" i="42"/>
  <c r="S136" i="42"/>
  <c r="V136" i="42"/>
  <c r="S137" i="42"/>
  <c r="V137" i="42"/>
  <c r="S138" i="42"/>
  <c r="V138" i="42"/>
  <c r="S139" i="42"/>
  <c r="V139" i="42"/>
  <c r="S140" i="42"/>
  <c r="V140" i="42"/>
  <c r="S141" i="42"/>
  <c r="V141" i="42"/>
  <c r="S142" i="42"/>
  <c r="V142" i="42"/>
  <c r="S143" i="42"/>
  <c r="V143" i="42"/>
  <c r="S144" i="42"/>
  <c r="V144" i="42"/>
  <c r="S145" i="42"/>
  <c r="V145" i="42"/>
  <c r="S146" i="42"/>
  <c r="V146" i="42"/>
  <c r="S147" i="42"/>
  <c r="V147" i="42"/>
  <c r="S148" i="42"/>
  <c r="V148" i="42"/>
  <c r="S149" i="42"/>
  <c r="V149" i="42"/>
  <c r="S150" i="42"/>
  <c r="V150" i="42"/>
  <c r="S151" i="42"/>
  <c r="V151" i="42"/>
  <c r="S152" i="42"/>
  <c r="V152" i="42"/>
  <c r="S153" i="42"/>
  <c r="V153" i="42"/>
  <c r="S154" i="42"/>
  <c r="V154" i="42"/>
  <c r="S155" i="42"/>
  <c r="V155" i="42"/>
  <c r="S156" i="42"/>
  <c r="V156" i="42"/>
  <c r="S157" i="42"/>
  <c r="V157" i="42"/>
  <c r="S158" i="42"/>
  <c r="V158" i="42"/>
  <c r="S159" i="42"/>
  <c r="V159" i="42"/>
  <c r="S160" i="42"/>
  <c r="V160" i="42"/>
  <c r="S161" i="42"/>
  <c r="V161" i="42"/>
  <c r="S162" i="42"/>
  <c r="V162" i="42"/>
  <c r="S163" i="42"/>
  <c r="V163" i="42"/>
  <c r="S164" i="42"/>
  <c r="V164" i="42"/>
  <c r="S165" i="42"/>
  <c r="V165" i="42"/>
  <c r="S166" i="42"/>
  <c r="V166" i="42"/>
  <c r="S167" i="42"/>
  <c r="V167" i="42"/>
  <c r="S168" i="42"/>
  <c r="V168" i="42"/>
  <c r="S169" i="42"/>
  <c r="V169" i="42"/>
  <c r="S170" i="42"/>
  <c r="V170" i="42"/>
  <c r="S171" i="42"/>
  <c r="V171" i="42"/>
  <c r="S172" i="42"/>
  <c r="V172" i="42"/>
  <c r="S173" i="42"/>
  <c r="V173" i="42"/>
  <c r="S174" i="42"/>
  <c r="V174" i="42"/>
  <c r="S175" i="42"/>
  <c r="V175" i="42"/>
  <c r="S176" i="42"/>
  <c r="V176" i="42"/>
  <c r="S177" i="42"/>
  <c r="V177" i="42"/>
  <c r="S178" i="42"/>
  <c r="V178" i="42"/>
  <c r="S179" i="42"/>
  <c r="V179" i="42"/>
  <c r="S180" i="42"/>
  <c r="V180" i="42"/>
  <c r="S181" i="42"/>
  <c r="V181" i="42"/>
  <c r="S182" i="42"/>
  <c r="V182" i="42"/>
  <c r="S183" i="42"/>
  <c r="V183" i="42"/>
  <c r="S184" i="42"/>
  <c r="V184" i="42"/>
  <c r="S185" i="42"/>
  <c r="V185" i="42"/>
  <c r="S186" i="42"/>
  <c r="V186" i="42"/>
  <c r="S187" i="42"/>
  <c r="V187" i="42"/>
  <c r="S188" i="42"/>
  <c r="V188" i="42"/>
  <c r="S189" i="42"/>
  <c r="V189" i="42"/>
  <c r="S190" i="42"/>
  <c r="V190" i="42"/>
  <c r="S191" i="42"/>
  <c r="V191" i="42"/>
  <c r="S192" i="42"/>
  <c r="V192" i="42"/>
  <c r="S193" i="42"/>
  <c r="V193" i="42"/>
  <c r="S194" i="42"/>
  <c r="V194" i="42"/>
  <c r="S195" i="42"/>
  <c r="V195" i="42"/>
  <c r="S196" i="42"/>
  <c r="V196" i="42"/>
  <c r="S197" i="42"/>
  <c r="V197" i="42"/>
  <c r="S198" i="42"/>
  <c r="V198" i="42"/>
  <c r="S199" i="42"/>
  <c r="V199" i="42"/>
  <c r="S200" i="42"/>
  <c r="V200" i="42"/>
  <c r="S201" i="42"/>
  <c r="V201" i="42"/>
  <c r="S202" i="42"/>
  <c r="V202" i="42"/>
  <c r="S203" i="42"/>
  <c r="V203" i="42"/>
  <c r="S204" i="42"/>
  <c r="V204" i="42"/>
  <c r="S205" i="42"/>
  <c r="V205" i="42"/>
  <c r="S206" i="42"/>
  <c r="V206" i="42"/>
  <c r="S207" i="42"/>
  <c r="V207" i="42"/>
  <c r="S208" i="42"/>
  <c r="V208" i="42"/>
  <c r="S209" i="42"/>
  <c r="V209" i="42"/>
  <c r="S210" i="42"/>
  <c r="V210" i="42"/>
  <c r="S211" i="42"/>
  <c r="V211" i="42"/>
  <c r="S212" i="42"/>
  <c r="V212" i="42"/>
  <c r="S213" i="42"/>
  <c r="V213" i="42"/>
  <c r="S214" i="42"/>
  <c r="V214" i="42"/>
  <c r="S215" i="42"/>
  <c r="V215" i="42"/>
  <c r="S216" i="42"/>
  <c r="V216" i="42"/>
  <c r="S217" i="42"/>
  <c r="V217" i="42"/>
  <c r="S218" i="42"/>
  <c r="V218" i="42"/>
  <c r="S219" i="42"/>
  <c r="V219" i="42"/>
  <c r="S220" i="42"/>
  <c r="V220" i="42"/>
  <c r="S221" i="42"/>
  <c r="V221" i="42"/>
  <c r="S222" i="42"/>
  <c r="V222" i="42"/>
  <c r="S223" i="42"/>
  <c r="V223" i="42"/>
  <c r="S224" i="42"/>
  <c r="V224" i="42"/>
  <c r="S225" i="42"/>
  <c r="V225" i="42"/>
  <c r="S226" i="42"/>
  <c r="V226" i="42"/>
  <c r="S227" i="42"/>
  <c r="V227" i="42"/>
  <c r="S228" i="42"/>
  <c r="V228" i="42"/>
  <c r="S229" i="42"/>
  <c r="V229" i="42"/>
  <c r="S230" i="42"/>
  <c r="V230" i="42"/>
  <c r="S231" i="42"/>
  <c r="V231" i="42"/>
  <c r="S232" i="42"/>
  <c r="V232" i="42"/>
  <c r="S233" i="42"/>
  <c r="V233" i="42"/>
  <c r="S234" i="42"/>
  <c r="V234" i="42"/>
  <c r="S235" i="42"/>
  <c r="V235" i="42"/>
  <c r="S236" i="42"/>
  <c r="V236" i="42"/>
  <c r="S237" i="42"/>
  <c r="V237" i="42"/>
  <c r="S238" i="42"/>
  <c r="V238" i="42"/>
  <c r="S239" i="42"/>
  <c r="V239" i="42"/>
  <c r="S240" i="42"/>
  <c r="V240" i="42"/>
  <c r="S241" i="42"/>
  <c r="V241" i="42"/>
  <c r="S242" i="42"/>
  <c r="V242" i="42"/>
  <c r="S243" i="42"/>
  <c r="V243" i="42"/>
  <c r="S244" i="42"/>
  <c r="V244" i="42"/>
  <c r="S245" i="42"/>
  <c r="V245" i="42"/>
  <c r="S246" i="42"/>
  <c r="V246" i="42"/>
  <c r="S247" i="42"/>
  <c r="V247" i="42"/>
  <c r="S248" i="42"/>
  <c r="V248" i="42"/>
  <c r="S249" i="42"/>
  <c r="V249" i="42"/>
  <c r="S250" i="42"/>
  <c r="V250" i="42"/>
  <c r="S251" i="42"/>
  <c r="V251" i="42"/>
  <c r="S252" i="42"/>
  <c r="V252" i="42"/>
  <c r="S253" i="42"/>
  <c r="V253" i="42"/>
  <c r="S254" i="42"/>
  <c r="V254" i="42"/>
  <c r="S255" i="42"/>
  <c r="V255" i="42"/>
  <c r="S256" i="42"/>
  <c r="V256" i="42"/>
  <c r="S257" i="42"/>
  <c r="V257" i="42"/>
  <c r="S258" i="42"/>
  <c r="V258" i="42"/>
  <c r="S259" i="42"/>
  <c r="V259" i="42"/>
  <c r="I162" i="22" l="1"/>
  <c r="I154" i="22"/>
  <c r="I153" i="22"/>
  <c r="I152" i="22"/>
  <c r="I151" i="22" l="1"/>
  <c r="I155" i="22"/>
  <c r="I156" i="22"/>
  <c r="I160" i="22"/>
  <c r="C79" i="72"/>
  <c r="B79" i="72"/>
  <c r="C78" i="72"/>
  <c r="B78" i="72"/>
  <c r="C115" i="72"/>
  <c r="B115" i="72"/>
  <c r="C114" i="72"/>
  <c r="B114" i="72"/>
  <c r="C113" i="72"/>
  <c r="B113" i="72"/>
  <c r="C133" i="72"/>
  <c r="B133" i="72"/>
  <c r="B134" i="72"/>
  <c r="C132" i="72"/>
  <c r="B132" i="72"/>
  <c r="C152" i="72"/>
  <c r="B152" i="72"/>
  <c r="B139" i="72"/>
  <c r="C125" i="72"/>
  <c r="C103" i="72"/>
  <c r="B103" i="72"/>
  <c r="C91" i="72"/>
  <c r="C90" i="72"/>
  <c r="B91" i="72"/>
  <c r="D3" i="46" l="1"/>
  <c r="V26" i="46"/>
  <c r="V27" i="46"/>
  <c r="V28" i="46"/>
  <c r="V29" i="46"/>
  <c r="V30" i="46"/>
  <c r="V31" i="46"/>
  <c r="V32" i="46"/>
  <c r="V33" i="46"/>
  <c r="V34" i="46"/>
  <c r="V35" i="46"/>
  <c r="V36" i="46"/>
  <c r="V37" i="46"/>
  <c r="V38" i="46"/>
  <c r="V39" i="46"/>
  <c r="V40" i="46"/>
  <c r="V41" i="46"/>
  <c r="V42" i="46"/>
  <c r="V43" i="46"/>
  <c r="V44" i="46"/>
  <c r="V45" i="46"/>
  <c r="V46" i="46"/>
  <c r="V47" i="46"/>
  <c r="V48" i="46"/>
  <c r="V49" i="46"/>
  <c r="V50" i="46"/>
  <c r="V51" i="46"/>
  <c r="V52" i="46"/>
  <c r="V53" i="46"/>
  <c r="V54" i="46"/>
  <c r="V55" i="46"/>
  <c r="V56" i="46"/>
  <c r="V57" i="46"/>
  <c r="V58" i="46"/>
  <c r="V59" i="46"/>
  <c r="V60" i="46"/>
  <c r="V61" i="46"/>
  <c r="V62" i="46"/>
  <c r="V63" i="46"/>
  <c r="V64" i="46"/>
  <c r="V65" i="46"/>
  <c r="V66" i="46"/>
  <c r="V67" i="46"/>
  <c r="V68" i="46"/>
  <c r="V69" i="46"/>
  <c r="V70" i="46"/>
  <c r="V71" i="46"/>
  <c r="V72" i="46"/>
  <c r="V73" i="46"/>
  <c r="V74" i="46"/>
  <c r="V75" i="46"/>
  <c r="V76" i="46"/>
  <c r="V77" i="46"/>
  <c r="V78" i="46"/>
  <c r="V79" i="46"/>
  <c r="V80" i="46"/>
  <c r="V81" i="46"/>
  <c r="V82" i="46"/>
  <c r="V83" i="46"/>
  <c r="V84" i="46"/>
  <c r="V85" i="46"/>
  <c r="V86" i="46"/>
  <c r="V87" i="46"/>
  <c r="V88" i="46"/>
  <c r="V89" i="46"/>
  <c r="V90" i="46"/>
  <c r="V91" i="46"/>
  <c r="V92" i="46"/>
  <c r="V93" i="46"/>
  <c r="V94" i="46"/>
  <c r="V95" i="46"/>
  <c r="V96" i="46"/>
  <c r="V97" i="46"/>
  <c r="V98" i="46"/>
  <c r="V99" i="46"/>
  <c r="V100" i="46"/>
  <c r="V101" i="46"/>
  <c r="V102" i="46"/>
  <c r="V103" i="46"/>
  <c r="V104" i="46"/>
  <c r="V105" i="46"/>
  <c r="V106" i="46"/>
  <c r="V107" i="46"/>
  <c r="V108" i="46"/>
  <c r="V109" i="46"/>
  <c r="V110" i="46"/>
  <c r="V111" i="46"/>
  <c r="V112" i="46"/>
  <c r="V113" i="46"/>
  <c r="V114" i="46"/>
  <c r="V115" i="46"/>
  <c r="V116" i="46"/>
  <c r="V117" i="46"/>
  <c r="V118" i="46"/>
  <c r="V119" i="46"/>
  <c r="V120" i="46"/>
  <c r="V121" i="46"/>
  <c r="V122" i="46"/>
  <c r="V123" i="46"/>
  <c r="V124" i="46"/>
  <c r="V125" i="46"/>
  <c r="V126" i="46"/>
  <c r="V127" i="46"/>
  <c r="V128" i="46"/>
  <c r="V129" i="46"/>
  <c r="V130" i="46"/>
  <c r="V131" i="46"/>
  <c r="V132" i="46"/>
  <c r="V133" i="46"/>
  <c r="V134" i="46"/>
  <c r="V135" i="46"/>
  <c r="V136" i="46"/>
  <c r="V137" i="46"/>
  <c r="V138" i="46"/>
  <c r="V139" i="46"/>
  <c r="V140" i="46"/>
  <c r="V141" i="46"/>
  <c r="V142" i="46"/>
  <c r="V143" i="46"/>
  <c r="V144" i="46"/>
  <c r="V145" i="46"/>
  <c r="V146" i="46"/>
  <c r="V147" i="46"/>
  <c r="V148" i="46"/>
  <c r="V149" i="46"/>
  <c r="V150" i="46"/>
  <c r="V151" i="46"/>
  <c r="V152" i="46"/>
  <c r="V153" i="46"/>
  <c r="V154" i="46"/>
  <c r="V155" i="46"/>
  <c r="V156" i="46"/>
  <c r="V157" i="46"/>
  <c r="V158" i="46"/>
  <c r="V159" i="46"/>
  <c r="V160" i="46"/>
  <c r="V161" i="46"/>
  <c r="V162" i="46"/>
  <c r="V163" i="46"/>
  <c r="V164" i="46"/>
  <c r="V165" i="46"/>
  <c r="V166" i="46"/>
  <c r="V167" i="46"/>
  <c r="V168" i="46"/>
  <c r="V169" i="46"/>
  <c r="V170" i="46"/>
  <c r="V171" i="46"/>
  <c r="V172" i="46"/>
  <c r="V174" i="46"/>
  <c r="V175" i="46"/>
  <c r="V176" i="46"/>
  <c r="V177" i="46"/>
  <c r="V178" i="46"/>
  <c r="V179" i="46"/>
  <c r="V180" i="46"/>
  <c r="V181" i="46"/>
  <c r="V182" i="46"/>
  <c r="V183" i="46"/>
  <c r="V184" i="46"/>
  <c r="V185" i="46"/>
  <c r="V186" i="46"/>
  <c r="V187" i="46"/>
  <c r="V188" i="46"/>
  <c r="V189" i="46"/>
  <c r="V190" i="46"/>
  <c r="V191" i="46"/>
  <c r="V192" i="46"/>
  <c r="V193" i="46"/>
  <c r="V194" i="46"/>
  <c r="V195" i="46"/>
  <c r="V196" i="46"/>
  <c r="V197" i="46"/>
  <c r="V198" i="46"/>
  <c r="V199" i="46"/>
  <c r="V200" i="46"/>
  <c r="V201" i="46"/>
  <c r="V202" i="46"/>
  <c r="V203" i="46"/>
  <c r="V204" i="46"/>
  <c r="V205" i="46"/>
  <c r="V206" i="46"/>
  <c r="V207" i="46"/>
  <c r="V208" i="46"/>
  <c r="V209" i="46"/>
  <c r="V210" i="46"/>
  <c r="V211" i="46"/>
  <c r="V212" i="46"/>
  <c r="V213" i="46"/>
  <c r="V214" i="46"/>
  <c r="V215" i="46"/>
  <c r="V216" i="46"/>
  <c r="V217" i="46"/>
  <c r="V218" i="46"/>
  <c r="V219" i="46"/>
  <c r="V220" i="46"/>
  <c r="V221" i="46"/>
  <c r="V222" i="46"/>
  <c r="V223" i="46"/>
  <c r="V224" i="46"/>
  <c r="V225" i="46"/>
  <c r="V226" i="46"/>
  <c r="V227" i="46"/>
  <c r="V228" i="46"/>
  <c r="V229" i="46"/>
  <c r="V230" i="46"/>
  <c r="V231" i="46"/>
  <c r="V232" i="46"/>
  <c r="V233" i="46"/>
  <c r="V234" i="46"/>
  <c r="V235" i="46"/>
  <c r="V236" i="46"/>
  <c r="V237" i="46"/>
  <c r="V238" i="46"/>
  <c r="V239" i="46"/>
  <c r="V240" i="46"/>
  <c r="V241" i="46"/>
  <c r="V242" i="46"/>
  <c r="V243" i="46"/>
  <c r="V244" i="46"/>
  <c r="V245" i="46"/>
  <c r="V246" i="46"/>
  <c r="V247" i="46"/>
  <c r="V248" i="46"/>
  <c r="V249" i="46"/>
  <c r="V250" i="46"/>
  <c r="V251" i="46"/>
  <c r="V252" i="46"/>
  <c r="V253" i="46"/>
  <c r="V254" i="46"/>
  <c r="V255" i="46"/>
  <c r="V256" i="46"/>
  <c r="G134" i="22" l="1"/>
  <c r="K134" i="22"/>
  <c r="S134" i="22"/>
  <c r="V134" i="22"/>
  <c r="U134" i="22"/>
  <c r="W134" i="22"/>
  <c r="G80" i="22"/>
  <c r="E80" i="22"/>
  <c r="K80" i="22"/>
  <c r="U80" i="22"/>
  <c r="V80" i="22"/>
  <c r="S80" i="22"/>
  <c r="W80" i="22"/>
  <c r="G55" i="22"/>
  <c r="E55" i="22"/>
  <c r="K55" i="22"/>
  <c r="U55" i="22"/>
  <c r="S55" i="22"/>
  <c r="W55" i="22"/>
  <c r="E38" i="22"/>
  <c r="G38" i="22"/>
  <c r="L38" i="22"/>
  <c r="K38" i="22"/>
  <c r="V38" i="22"/>
  <c r="S38" i="22"/>
  <c r="U38" i="22"/>
  <c r="W38" i="22"/>
  <c r="V235" i="71"/>
  <c r="V223" i="71"/>
  <c r="V211" i="71"/>
  <c r="V191" i="71"/>
  <c r="V179" i="71"/>
  <c r="V171" i="71"/>
  <c r="V163" i="71"/>
  <c r="V155" i="71"/>
  <c r="V147" i="71"/>
  <c r="V143" i="71"/>
  <c r="V139" i="71"/>
  <c r="V135" i="71"/>
  <c r="V131" i="71"/>
  <c r="V123" i="71"/>
  <c r="V119" i="71"/>
  <c r="V115" i="71"/>
  <c r="V111" i="71"/>
  <c r="V107" i="71"/>
  <c r="V103" i="71"/>
  <c r="V99" i="71"/>
  <c r="V95" i="71"/>
  <c r="V91" i="71"/>
  <c r="V87" i="71"/>
  <c r="V83" i="71"/>
  <c r="V79" i="71"/>
  <c r="V75" i="71"/>
  <c r="V71" i="71"/>
  <c r="V67" i="71"/>
  <c r="V63" i="71"/>
  <c r="V59" i="71"/>
  <c r="V55" i="71"/>
  <c r="V51" i="71"/>
  <c r="V47" i="71"/>
  <c r="V43" i="71"/>
  <c r="V39" i="71"/>
  <c r="V35" i="71"/>
  <c r="V31" i="71"/>
  <c r="V23" i="71"/>
  <c r="V251" i="71"/>
  <c r="V231" i="71"/>
  <c r="V219" i="71"/>
  <c r="V203" i="71"/>
  <c r="V187" i="71"/>
  <c r="V183" i="71"/>
  <c r="V175" i="71"/>
  <c r="V167" i="71"/>
  <c r="V159" i="71"/>
  <c r="V151" i="71"/>
  <c r="V127" i="71"/>
  <c r="V227" i="71"/>
  <c r="V254" i="71"/>
  <c r="V246" i="71"/>
  <c r="V242" i="71"/>
  <c r="V238" i="71"/>
  <c r="V234" i="71"/>
  <c r="V226" i="71"/>
  <c r="V222" i="71"/>
  <c r="V218" i="71"/>
  <c r="V214" i="71"/>
  <c r="V210" i="71"/>
  <c r="V206" i="71"/>
  <c r="V202" i="71"/>
  <c r="V198" i="71"/>
  <c r="V194" i="71"/>
  <c r="V190" i="71"/>
  <c r="V186" i="71"/>
  <c r="V182" i="71"/>
  <c r="V178" i="71"/>
  <c r="V174" i="71"/>
  <c r="V170" i="71"/>
  <c r="V166" i="71"/>
  <c r="V162" i="71"/>
  <c r="V158" i="71"/>
  <c r="V154" i="71"/>
  <c r="V150" i="71"/>
  <c r="V146" i="71"/>
  <c r="V142" i="71"/>
  <c r="V138" i="71"/>
  <c r="V134" i="71"/>
  <c r="V130" i="71"/>
  <c r="V126" i="71"/>
  <c r="V122" i="71"/>
  <c r="V118" i="71"/>
  <c r="V114" i="71"/>
  <c r="V110" i="71"/>
  <c r="V106" i="71"/>
  <c r="V102" i="71"/>
  <c r="V98" i="71"/>
  <c r="V94" i="71"/>
  <c r="V90" i="71"/>
  <c r="V86" i="71"/>
  <c r="V82" i="71"/>
  <c r="V78" i="71"/>
  <c r="V74" i="71"/>
  <c r="V70" i="71"/>
  <c r="V66" i="71"/>
  <c r="V62" i="71"/>
  <c r="V58" i="71"/>
  <c r="V54" i="71"/>
  <c r="V50" i="71"/>
  <c r="V46" i="71"/>
  <c r="V42" i="71"/>
  <c r="V38" i="71"/>
  <c r="V34" i="71"/>
  <c r="V30" i="71"/>
  <c r="V26" i="71"/>
  <c r="V22" i="71"/>
  <c r="V250" i="71"/>
  <c r="V230" i="71"/>
  <c r="V255" i="71"/>
  <c r="V215" i="71"/>
  <c r="V253" i="71"/>
  <c r="V245" i="71"/>
  <c r="V241" i="71"/>
  <c r="V237" i="71"/>
  <c r="V229" i="71"/>
  <c r="V225" i="71"/>
  <c r="V221" i="71"/>
  <c r="V217" i="71"/>
  <c r="V213" i="71"/>
  <c r="V209" i="71"/>
  <c r="V205" i="71"/>
  <c r="V201" i="71"/>
  <c r="V197" i="71"/>
  <c r="V193" i="71"/>
  <c r="V189" i="71"/>
  <c r="V185" i="71"/>
  <c r="V181" i="71"/>
  <c r="V177" i="71"/>
  <c r="V173" i="71"/>
  <c r="V169" i="71"/>
  <c r="V165" i="71"/>
  <c r="V161" i="71"/>
  <c r="V157" i="71"/>
  <c r="V153" i="71"/>
  <c r="V149" i="71"/>
  <c r="V145" i="71"/>
  <c r="V141" i="71"/>
  <c r="V137" i="71"/>
  <c r="V133" i="71"/>
  <c r="V129" i="71"/>
  <c r="V125" i="71"/>
  <c r="V121" i="71"/>
  <c r="V117" i="71"/>
  <c r="V113" i="71"/>
  <c r="V109" i="71"/>
  <c r="V105" i="71"/>
  <c r="V101" i="71"/>
  <c r="V97" i="71"/>
  <c r="V93" i="71"/>
  <c r="V89" i="71"/>
  <c r="V85" i="71"/>
  <c r="V81" i="71"/>
  <c r="V77" i="71"/>
  <c r="V73" i="71"/>
  <c r="V69" i="71"/>
  <c r="V65" i="71"/>
  <c r="V61" i="71"/>
  <c r="V57" i="71"/>
  <c r="V53" i="71"/>
  <c r="V49" i="71"/>
  <c r="V45" i="71"/>
  <c r="V41" i="71"/>
  <c r="V37" i="71"/>
  <c r="V33" i="71"/>
  <c r="V29" i="71"/>
  <c r="V25" i="71"/>
  <c r="V21" i="71"/>
  <c r="V243" i="71"/>
  <c r="V199" i="71"/>
  <c r="V249" i="71"/>
  <c r="V233" i="71"/>
  <c r="V239" i="71"/>
  <c r="V195" i="71"/>
  <c r="V252" i="71"/>
  <c r="V244" i="71"/>
  <c r="V240" i="71"/>
  <c r="V236" i="71"/>
  <c r="V228" i="71"/>
  <c r="V224" i="71"/>
  <c r="V220" i="71"/>
  <c r="V216" i="71"/>
  <c r="V212" i="71"/>
  <c r="V208" i="71"/>
  <c r="V204" i="71"/>
  <c r="V200" i="71"/>
  <c r="V196" i="71"/>
  <c r="V192" i="71"/>
  <c r="V188" i="71"/>
  <c r="V184" i="71"/>
  <c r="V180" i="71"/>
  <c r="V176" i="71"/>
  <c r="V172" i="71"/>
  <c r="V168" i="71"/>
  <c r="V164" i="71"/>
  <c r="V160" i="71"/>
  <c r="V156" i="71"/>
  <c r="V152" i="71"/>
  <c r="V148" i="71"/>
  <c r="V144" i="71"/>
  <c r="V140" i="71"/>
  <c r="V136" i="71"/>
  <c r="V132" i="71"/>
  <c r="V128" i="71"/>
  <c r="V124" i="71"/>
  <c r="V120" i="71"/>
  <c r="V116" i="71"/>
  <c r="V112" i="71"/>
  <c r="V108" i="71"/>
  <c r="V104" i="71"/>
  <c r="V100" i="71"/>
  <c r="V96" i="71"/>
  <c r="V92" i="71"/>
  <c r="V88" i="71"/>
  <c r="V84" i="71"/>
  <c r="V80" i="71"/>
  <c r="V76" i="71"/>
  <c r="V72" i="71"/>
  <c r="V68" i="71"/>
  <c r="V64" i="71"/>
  <c r="V60" i="71"/>
  <c r="V56" i="71"/>
  <c r="V52" i="71"/>
  <c r="V48" i="71"/>
  <c r="V44" i="71"/>
  <c r="V40" i="71"/>
  <c r="V36" i="71"/>
  <c r="V32" i="71"/>
  <c r="V28" i="71"/>
  <c r="V24" i="71"/>
  <c r="V20" i="71"/>
  <c r="V247" i="71"/>
  <c r="V207" i="71"/>
  <c r="V256" i="71"/>
  <c r="V248" i="71"/>
  <c r="V232" i="71"/>
  <c r="AJ11" i="59"/>
  <c r="L259" i="58"/>
  <c r="K259" i="58"/>
  <c r="F259" i="58"/>
  <c r="I259" i="58" s="1"/>
  <c r="L258" i="58"/>
  <c r="K258" i="58"/>
  <c r="F258" i="58"/>
  <c r="I258" i="58" s="1"/>
  <c r="L257" i="58"/>
  <c r="K257" i="58"/>
  <c r="F257" i="58"/>
  <c r="I257" i="58" s="1"/>
  <c r="L256" i="58"/>
  <c r="K256" i="58"/>
  <c r="F256" i="58"/>
  <c r="I256" i="58" s="1"/>
  <c r="L255" i="58"/>
  <c r="K255" i="58"/>
  <c r="F255" i="58"/>
  <c r="I255" i="58" s="1"/>
  <c r="L254" i="58"/>
  <c r="K254" i="58"/>
  <c r="F254" i="58"/>
  <c r="I254" i="58" s="1"/>
  <c r="L253" i="58"/>
  <c r="K253" i="58"/>
  <c r="F253" i="58"/>
  <c r="I253" i="58" s="1"/>
  <c r="L252" i="58"/>
  <c r="K252" i="58"/>
  <c r="F252" i="58"/>
  <c r="I252" i="58" s="1"/>
  <c r="L251" i="58"/>
  <c r="K251" i="58"/>
  <c r="F251" i="58"/>
  <c r="I251" i="58" s="1"/>
  <c r="L250" i="58"/>
  <c r="K250" i="58"/>
  <c r="F250" i="58"/>
  <c r="I250" i="58" s="1"/>
  <c r="L249" i="58"/>
  <c r="K249" i="58"/>
  <c r="F249" i="58"/>
  <c r="I249" i="58" s="1"/>
  <c r="L248" i="58"/>
  <c r="K248" i="58"/>
  <c r="F248" i="58"/>
  <c r="I248" i="58" s="1"/>
  <c r="L247" i="58"/>
  <c r="K247" i="58"/>
  <c r="F247" i="58"/>
  <c r="I247" i="58" s="1"/>
  <c r="L246" i="58"/>
  <c r="K246" i="58"/>
  <c r="F246" i="58"/>
  <c r="I246" i="58" s="1"/>
  <c r="L245" i="58"/>
  <c r="K245" i="58"/>
  <c r="F245" i="58"/>
  <c r="I245" i="58" s="1"/>
  <c r="L244" i="58"/>
  <c r="K244" i="58"/>
  <c r="F244" i="58"/>
  <c r="I244" i="58" s="1"/>
  <c r="L243" i="58"/>
  <c r="K243" i="58"/>
  <c r="F243" i="58"/>
  <c r="I243" i="58" s="1"/>
  <c r="L242" i="58"/>
  <c r="K242" i="58"/>
  <c r="F242" i="58"/>
  <c r="I242" i="58" s="1"/>
  <c r="L241" i="58"/>
  <c r="K241" i="58"/>
  <c r="F241" i="58"/>
  <c r="I241" i="58" s="1"/>
  <c r="L240" i="58"/>
  <c r="K240" i="58"/>
  <c r="F240" i="58"/>
  <c r="I240" i="58" s="1"/>
  <c r="L239" i="58"/>
  <c r="K239" i="58"/>
  <c r="F239" i="58"/>
  <c r="I239" i="58" s="1"/>
  <c r="L238" i="58"/>
  <c r="K238" i="58"/>
  <c r="F238" i="58"/>
  <c r="I238" i="58" s="1"/>
  <c r="L237" i="58"/>
  <c r="K237" i="58"/>
  <c r="F237" i="58"/>
  <c r="I237" i="58" s="1"/>
  <c r="L236" i="58"/>
  <c r="K236" i="58"/>
  <c r="F236" i="58"/>
  <c r="I236" i="58" s="1"/>
  <c r="L235" i="58"/>
  <c r="K235" i="58"/>
  <c r="F235" i="58"/>
  <c r="I235" i="58" s="1"/>
  <c r="L234" i="58"/>
  <c r="K234" i="58"/>
  <c r="F234" i="58"/>
  <c r="I234" i="58" s="1"/>
  <c r="L233" i="58"/>
  <c r="K233" i="58"/>
  <c r="F233" i="58"/>
  <c r="I233" i="58" s="1"/>
  <c r="L232" i="58"/>
  <c r="K232" i="58"/>
  <c r="F232" i="58"/>
  <c r="I232" i="58" s="1"/>
  <c r="L231" i="58"/>
  <c r="K231" i="58"/>
  <c r="F231" i="58"/>
  <c r="I231" i="58" s="1"/>
  <c r="L230" i="58"/>
  <c r="K230" i="58"/>
  <c r="F230" i="58"/>
  <c r="I230" i="58" s="1"/>
  <c r="L229" i="58"/>
  <c r="K229" i="58"/>
  <c r="F229" i="58"/>
  <c r="I229" i="58" s="1"/>
  <c r="L228" i="58"/>
  <c r="K228" i="58"/>
  <c r="F228" i="58"/>
  <c r="I228" i="58" s="1"/>
  <c r="L227" i="58"/>
  <c r="K227" i="58"/>
  <c r="F227" i="58"/>
  <c r="I227" i="58" s="1"/>
  <c r="L226" i="58"/>
  <c r="K226" i="58"/>
  <c r="F226" i="58"/>
  <c r="I226" i="58" s="1"/>
  <c r="L225" i="58"/>
  <c r="K225" i="58"/>
  <c r="F225" i="58"/>
  <c r="I225" i="58" s="1"/>
  <c r="L224" i="58"/>
  <c r="K224" i="58"/>
  <c r="F224" i="58"/>
  <c r="I224" i="58" s="1"/>
  <c r="L223" i="58"/>
  <c r="K223" i="58"/>
  <c r="F223" i="58"/>
  <c r="I223" i="58" s="1"/>
  <c r="L222" i="58"/>
  <c r="K222" i="58"/>
  <c r="F222" i="58"/>
  <c r="I222" i="58" s="1"/>
  <c r="L221" i="58"/>
  <c r="K221" i="58"/>
  <c r="F221" i="58"/>
  <c r="I221" i="58" s="1"/>
  <c r="L220" i="58"/>
  <c r="K220" i="58"/>
  <c r="F220" i="58"/>
  <c r="I220" i="58" s="1"/>
  <c r="L219" i="58"/>
  <c r="K219" i="58"/>
  <c r="F219" i="58"/>
  <c r="I219" i="58" s="1"/>
  <c r="L218" i="58"/>
  <c r="K218" i="58"/>
  <c r="F218" i="58"/>
  <c r="I218" i="58" s="1"/>
  <c r="L217" i="58"/>
  <c r="K217" i="58"/>
  <c r="F217" i="58"/>
  <c r="I217" i="58" s="1"/>
  <c r="L216" i="58"/>
  <c r="K216" i="58"/>
  <c r="F216" i="58"/>
  <c r="I216" i="58" s="1"/>
  <c r="L215" i="58"/>
  <c r="K215" i="58"/>
  <c r="F215" i="58"/>
  <c r="I215" i="58" s="1"/>
  <c r="L214" i="58"/>
  <c r="K214" i="58"/>
  <c r="F214" i="58"/>
  <c r="I214" i="58" s="1"/>
  <c r="L213" i="58"/>
  <c r="K213" i="58"/>
  <c r="F213" i="58"/>
  <c r="I213" i="58" s="1"/>
  <c r="L212" i="58"/>
  <c r="K212" i="58"/>
  <c r="F212" i="58"/>
  <c r="I212" i="58" s="1"/>
  <c r="L211" i="58"/>
  <c r="K211" i="58"/>
  <c r="F211" i="58"/>
  <c r="I211" i="58" s="1"/>
  <c r="L210" i="58"/>
  <c r="K210" i="58"/>
  <c r="F210" i="58"/>
  <c r="I210" i="58" s="1"/>
  <c r="L209" i="58"/>
  <c r="K209" i="58"/>
  <c r="F209" i="58"/>
  <c r="I209" i="58" s="1"/>
  <c r="L208" i="58"/>
  <c r="K208" i="58"/>
  <c r="F208" i="58"/>
  <c r="I208" i="58" s="1"/>
  <c r="L207" i="58"/>
  <c r="K207" i="58"/>
  <c r="F207" i="58"/>
  <c r="I207" i="58" s="1"/>
  <c r="L206" i="58"/>
  <c r="K206" i="58"/>
  <c r="F206" i="58"/>
  <c r="I206" i="58" s="1"/>
  <c r="L205" i="58"/>
  <c r="K205" i="58"/>
  <c r="F205" i="58"/>
  <c r="I205" i="58" s="1"/>
  <c r="L204" i="58"/>
  <c r="K204" i="58"/>
  <c r="F204" i="58"/>
  <c r="I204" i="58" s="1"/>
  <c r="L203" i="58"/>
  <c r="K203" i="58"/>
  <c r="F203" i="58"/>
  <c r="I203" i="58" s="1"/>
  <c r="L202" i="58"/>
  <c r="K202" i="58"/>
  <c r="F202" i="58"/>
  <c r="I202" i="58" s="1"/>
  <c r="L201" i="58"/>
  <c r="K201" i="58"/>
  <c r="F201" i="58"/>
  <c r="I201" i="58" s="1"/>
  <c r="L200" i="58"/>
  <c r="K200" i="58"/>
  <c r="F200" i="58"/>
  <c r="I200" i="58" s="1"/>
  <c r="L199" i="58"/>
  <c r="K199" i="58"/>
  <c r="F199" i="58"/>
  <c r="I199" i="58" s="1"/>
  <c r="L198" i="58"/>
  <c r="K198" i="58"/>
  <c r="F198" i="58"/>
  <c r="I198" i="58" s="1"/>
  <c r="L197" i="58"/>
  <c r="K197" i="58"/>
  <c r="F197" i="58"/>
  <c r="I197" i="58" s="1"/>
  <c r="L196" i="58"/>
  <c r="K196" i="58"/>
  <c r="F196" i="58"/>
  <c r="I196" i="58" s="1"/>
  <c r="L195" i="58"/>
  <c r="K195" i="58"/>
  <c r="F195" i="58"/>
  <c r="I195" i="58" s="1"/>
  <c r="L194" i="58"/>
  <c r="K194" i="58"/>
  <c r="F194" i="58"/>
  <c r="I194" i="58" s="1"/>
  <c r="L193" i="58"/>
  <c r="K193" i="58"/>
  <c r="F193" i="58"/>
  <c r="I193" i="58" s="1"/>
  <c r="L192" i="58"/>
  <c r="K192" i="58"/>
  <c r="F192" i="58"/>
  <c r="I192" i="58" s="1"/>
  <c r="L191" i="58"/>
  <c r="K191" i="58"/>
  <c r="F191" i="58"/>
  <c r="I191" i="58" s="1"/>
  <c r="L190" i="58"/>
  <c r="K190" i="58"/>
  <c r="F190" i="58"/>
  <c r="I190" i="58" s="1"/>
  <c r="L189" i="58"/>
  <c r="K189" i="58"/>
  <c r="F189" i="58"/>
  <c r="I189" i="58" s="1"/>
  <c r="L188" i="58"/>
  <c r="K188" i="58"/>
  <c r="F188" i="58"/>
  <c r="I188" i="58" s="1"/>
  <c r="L187" i="58"/>
  <c r="K187" i="58"/>
  <c r="F187" i="58"/>
  <c r="I187" i="58" s="1"/>
  <c r="L186" i="58"/>
  <c r="K186" i="58"/>
  <c r="F186" i="58"/>
  <c r="I186" i="58" s="1"/>
  <c r="L185" i="58"/>
  <c r="K185" i="58"/>
  <c r="F185" i="58"/>
  <c r="I185" i="58" s="1"/>
  <c r="L184" i="58"/>
  <c r="K184" i="58"/>
  <c r="F184" i="58"/>
  <c r="I184" i="58" s="1"/>
  <c r="L183" i="58"/>
  <c r="K183" i="58"/>
  <c r="F183" i="58"/>
  <c r="I183" i="58" s="1"/>
  <c r="L182" i="58"/>
  <c r="K182" i="58"/>
  <c r="F182" i="58"/>
  <c r="I182" i="58" s="1"/>
  <c r="L181" i="58"/>
  <c r="K181" i="58"/>
  <c r="F181" i="58"/>
  <c r="I181" i="58" s="1"/>
  <c r="L180" i="58"/>
  <c r="K180" i="58"/>
  <c r="F180" i="58"/>
  <c r="I180" i="58" s="1"/>
  <c r="L179" i="58"/>
  <c r="K179" i="58"/>
  <c r="F179" i="58"/>
  <c r="I179" i="58" s="1"/>
  <c r="L178" i="58"/>
  <c r="K178" i="58"/>
  <c r="F178" i="58"/>
  <c r="I178" i="58" s="1"/>
  <c r="L177" i="58"/>
  <c r="K177" i="58"/>
  <c r="F177" i="58"/>
  <c r="I177" i="58" s="1"/>
  <c r="L176" i="58"/>
  <c r="K176" i="58"/>
  <c r="F176" i="58"/>
  <c r="I176" i="58" s="1"/>
  <c r="L175" i="58"/>
  <c r="K175" i="58"/>
  <c r="F175" i="58"/>
  <c r="I175" i="58" s="1"/>
  <c r="L174" i="58"/>
  <c r="K174" i="58"/>
  <c r="F174" i="58"/>
  <c r="I174" i="58" s="1"/>
  <c r="L173" i="58"/>
  <c r="K173" i="58"/>
  <c r="F173" i="58"/>
  <c r="I173" i="58" s="1"/>
  <c r="L172" i="58"/>
  <c r="K172" i="58"/>
  <c r="F172" i="58"/>
  <c r="I172" i="58" s="1"/>
  <c r="L171" i="58"/>
  <c r="K171" i="58"/>
  <c r="F171" i="58"/>
  <c r="I171" i="58" s="1"/>
  <c r="L170" i="58"/>
  <c r="K170" i="58"/>
  <c r="F170" i="58"/>
  <c r="I170" i="58" s="1"/>
  <c r="L169" i="58"/>
  <c r="K169" i="58"/>
  <c r="F169" i="58"/>
  <c r="I169" i="58" s="1"/>
  <c r="L168" i="58"/>
  <c r="K168" i="58"/>
  <c r="F168" i="58"/>
  <c r="I168" i="58" s="1"/>
  <c r="L167" i="58"/>
  <c r="K167" i="58"/>
  <c r="F167" i="58"/>
  <c r="I167" i="58" s="1"/>
  <c r="L166" i="58"/>
  <c r="K166" i="58"/>
  <c r="F166" i="58"/>
  <c r="I166" i="58" s="1"/>
  <c r="L165" i="58"/>
  <c r="K165" i="58"/>
  <c r="F165" i="58"/>
  <c r="I165" i="58" s="1"/>
  <c r="L164" i="58"/>
  <c r="K164" i="58"/>
  <c r="F164" i="58"/>
  <c r="I164" i="58" s="1"/>
  <c r="L163" i="58"/>
  <c r="K163" i="58"/>
  <c r="F163" i="58"/>
  <c r="I163" i="58" s="1"/>
  <c r="L162" i="58"/>
  <c r="K162" i="58"/>
  <c r="F162" i="58"/>
  <c r="I162" i="58" s="1"/>
  <c r="L161" i="58"/>
  <c r="K161" i="58"/>
  <c r="F161" i="58"/>
  <c r="I161" i="58" s="1"/>
  <c r="L160" i="58"/>
  <c r="K160" i="58"/>
  <c r="F160" i="58"/>
  <c r="I160" i="58" s="1"/>
  <c r="L159" i="58"/>
  <c r="K159" i="58"/>
  <c r="F159" i="58"/>
  <c r="I159" i="58" s="1"/>
  <c r="L158" i="58"/>
  <c r="K158" i="58"/>
  <c r="F158" i="58"/>
  <c r="I158" i="58" s="1"/>
  <c r="L157" i="58"/>
  <c r="K157" i="58"/>
  <c r="F157" i="58"/>
  <c r="I157" i="58" s="1"/>
  <c r="L156" i="58"/>
  <c r="K156" i="58"/>
  <c r="F156" i="58"/>
  <c r="I156" i="58" s="1"/>
  <c r="L155" i="58"/>
  <c r="K155" i="58"/>
  <c r="F155" i="58"/>
  <c r="I155" i="58" s="1"/>
  <c r="L154" i="58"/>
  <c r="K154" i="58"/>
  <c r="F154" i="58"/>
  <c r="I154" i="58" s="1"/>
  <c r="L153" i="58"/>
  <c r="K153" i="58"/>
  <c r="F153" i="58"/>
  <c r="I153" i="58" s="1"/>
  <c r="L152" i="58"/>
  <c r="K152" i="58"/>
  <c r="F152" i="58"/>
  <c r="I152" i="58" s="1"/>
  <c r="L151" i="58"/>
  <c r="K151" i="58"/>
  <c r="F151" i="58"/>
  <c r="I151" i="58" s="1"/>
  <c r="L150" i="58"/>
  <c r="K150" i="58"/>
  <c r="F150" i="58"/>
  <c r="I150" i="58" s="1"/>
  <c r="L149" i="58"/>
  <c r="K149" i="58"/>
  <c r="F149" i="58"/>
  <c r="I149" i="58" s="1"/>
  <c r="L148" i="58"/>
  <c r="K148" i="58"/>
  <c r="F148" i="58"/>
  <c r="I148" i="58" s="1"/>
  <c r="L147" i="58"/>
  <c r="K147" i="58"/>
  <c r="F147" i="58"/>
  <c r="I147" i="58" s="1"/>
  <c r="L146" i="58"/>
  <c r="K146" i="58"/>
  <c r="F146" i="58"/>
  <c r="I146" i="58" s="1"/>
  <c r="L145" i="58"/>
  <c r="K145" i="58"/>
  <c r="F145" i="58"/>
  <c r="I145" i="58" s="1"/>
  <c r="L144" i="58"/>
  <c r="K144" i="58"/>
  <c r="F144" i="58"/>
  <c r="I144" i="58" s="1"/>
  <c r="L143" i="58"/>
  <c r="K143" i="58"/>
  <c r="F143" i="58"/>
  <c r="I143" i="58" s="1"/>
  <c r="L142" i="58"/>
  <c r="K142" i="58"/>
  <c r="F142" i="58"/>
  <c r="I142" i="58" s="1"/>
  <c r="L141" i="58"/>
  <c r="K141" i="58"/>
  <c r="F141" i="58"/>
  <c r="I141" i="58" s="1"/>
  <c r="L140" i="58"/>
  <c r="K140" i="58"/>
  <c r="F140" i="58"/>
  <c r="I140" i="58" s="1"/>
  <c r="L139" i="58"/>
  <c r="K139" i="58"/>
  <c r="F139" i="58"/>
  <c r="I139" i="58" s="1"/>
  <c r="L138" i="58"/>
  <c r="K138" i="58"/>
  <c r="F138" i="58"/>
  <c r="I138" i="58" s="1"/>
  <c r="L137" i="58"/>
  <c r="K137" i="58"/>
  <c r="F137" i="58"/>
  <c r="I137" i="58" s="1"/>
  <c r="L136" i="58"/>
  <c r="K136" i="58"/>
  <c r="F136" i="58"/>
  <c r="I136" i="58" s="1"/>
  <c r="L135" i="58"/>
  <c r="K135" i="58"/>
  <c r="F135" i="58"/>
  <c r="I135" i="58" s="1"/>
  <c r="L134" i="58"/>
  <c r="K134" i="58"/>
  <c r="F134" i="58"/>
  <c r="I134" i="58" s="1"/>
  <c r="L133" i="58"/>
  <c r="K133" i="58"/>
  <c r="F133" i="58"/>
  <c r="I133" i="58" s="1"/>
  <c r="L132" i="58"/>
  <c r="K132" i="58"/>
  <c r="F132" i="58"/>
  <c r="I132" i="58" s="1"/>
  <c r="L131" i="58"/>
  <c r="K131" i="58"/>
  <c r="F131" i="58"/>
  <c r="I131" i="58" s="1"/>
  <c r="L130" i="58"/>
  <c r="K130" i="58"/>
  <c r="F130" i="58"/>
  <c r="I130" i="58" s="1"/>
  <c r="L129" i="58"/>
  <c r="K129" i="58"/>
  <c r="F129" i="58"/>
  <c r="I129" i="58" s="1"/>
  <c r="L128" i="58"/>
  <c r="K128" i="58"/>
  <c r="F128" i="58"/>
  <c r="I128" i="58" s="1"/>
  <c r="L127" i="58"/>
  <c r="K127" i="58"/>
  <c r="F127" i="58"/>
  <c r="I127" i="58" s="1"/>
  <c r="L126" i="58"/>
  <c r="K126" i="58"/>
  <c r="F126" i="58"/>
  <c r="I126" i="58" s="1"/>
  <c r="L125" i="58"/>
  <c r="K125" i="58"/>
  <c r="F125" i="58"/>
  <c r="I125" i="58" s="1"/>
  <c r="L124" i="58"/>
  <c r="K124" i="58"/>
  <c r="F124" i="58"/>
  <c r="I124" i="58" s="1"/>
  <c r="L123" i="58"/>
  <c r="K123" i="58"/>
  <c r="F123" i="58"/>
  <c r="I123" i="58" s="1"/>
  <c r="L122" i="58"/>
  <c r="K122" i="58"/>
  <c r="F122" i="58"/>
  <c r="I122" i="58" s="1"/>
  <c r="L121" i="58"/>
  <c r="K121" i="58"/>
  <c r="F121" i="58"/>
  <c r="I121" i="58" s="1"/>
  <c r="L120" i="58"/>
  <c r="K120" i="58"/>
  <c r="F120" i="58"/>
  <c r="I120" i="58" s="1"/>
  <c r="L119" i="58"/>
  <c r="K119" i="58"/>
  <c r="F119" i="58"/>
  <c r="I119" i="58" s="1"/>
  <c r="L118" i="58"/>
  <c r="K118" i="58"/>
  <c r="F118" i="58"/>
  <c r="I118" i="58" s="1"/>
  <c r="L117" i="58"/>
  <c r="K117" i="58"/>
  <c r="F117" i="58"/>
  <c r="I117" i="58" s="1"/>
  <c r="L116" i="58"/>
  <c r="K116" i="58"/>
  <c r="F116" i="58"/>
  <c r="I116" i="58" s="1"/>
  <c r="L115" i="58"/>
  <c r="K115" i="58"/>
  <c r="F115" i="58"/>
  <c r="I115" i="58" s="1"/>
  <c r="L114" i="58"/>
  <c r="K114" i="58"/>
  <c r="F114" i="58"/>
  <c r="I114" i="58" s="1"/>
  <c r="L113" i="58"/>
  <c r="K113" i="58"/>
  <c r="F113" i="58"/>
  <c r="I113" i="58" s="1"/>
  <c r="L112" i="58"/>
  <c r="K112" i="58"/>
  <c r="F112" i="58"/>
  <c r="I112" i="58" s="1"/>
  <c r="L111" i="58"/>
  <c r="K111" i="58"/>
  <c r="F111" i="58"/>
  <c r="I111" i="58" s="1"/>
  <c r="L110" i="58"/>
  <c r="K110" i="58"/>
  <c r="F110" i="58"/>
  <c r="I110" i="58" s="1"/>
  <c r="L109" i="58"/>
  <c r="K109" i="58"/>
  <c r="F109" i="58"/>
  <c r="I109" i="58" s="1"/>
  <c r="L108" i="58"/>
  <c r="K108" i="58"/>
  <c r="F108" i="58"/>
  <c r="I108" i="58" s="1"/>
  <c r="L107" i="58"/>
  <c r="K107" i="58"/>
  <c r="F107" i="58"/>
  <c r="I107" i="58" s="1"/>
  <c r="L106" i="58"/>
  <c r="K106" i="58"/>
  <c r="F106" i="58"/>
  <c r="I106" i="58" s="1"/>
  <c r="L105" i="58"/>
  <c r="K105" i="58"/>
  <c r="F105" i="58"/>
  <c r="I105" i="58" s="1"/>
  <c r="L104" i="58"/>
  <c r="K104" i="58"/>
  <c r="F104" i="58"/>
  <c r="I104" i="58" s="1"/>
  <c r="L103" i="58"/>
  <c r="K103" i="58"/>
  <c r="F103" i="58"/>
  <c r="I103" i="58" s="1"/>
  <c r="L102" i="58"/>
  <c r="K102" i="58"/>
  <c r="F102" i="58"/>
  <c r="I102" i="58" s="1"/>
  <c r="L101" i="58"/>
  <c r="K101" i="58"/>
  <c r="F101" i="58"/>
  <c r="I101" i="58" s="1"/>
  <c r="L100" i="58"/>
  <c r="K100" i="58"/>
  <c r="F100" i="58"/>
  <c r="I100" i="58" s="1"/>
  <c r="L99" i="58"/>
  <c r="K99" i="58"/>
  <c r="F99" i="58"/>
  <c r="I99" i="58" s="1"/>
  <c r="L98" i="58"/>
  <c r="K98" i="58"/>
  <c r="F98" i="58"/>
  <c r="I98" i="58" s="1"/>
  <c r="L97" i="58"/>
  <c r="K97" i="58"/>
  <c r="F97" i="58"/>
  <c r="I97" i="58" s="1"/>
  <c r="L96" i="58"/>
  <c r="K96" i="58"/>
  <c r="F96" i="58"/>
  <c r="I96" i="58" s="1"/>
  <c r="L95" i="58"/>
  <c r="K95" i="58"/>
  <c r="F95" i="58"/>
  <c r="I95" i="58" s="1"/>
  <c r="L94" i="58"/>
  <c r="K94" i="58"/>
  <c r="F94" i="58"/>
  <c r="I94" i="58" s="1"/>
  <c r="L93" i="58"/>
  <c r="K93" i="58"/>
  <c r="F93" i="58"/>
  <c r="I93" i="58" s="1"/>
  <c r="L92" i="58"/>
  <c r="K92" i="58"/>
  <c r="F92" i="58"/>
  <c r="I92" i="58" s="1"/>
  <c r="L91" i="58"/>
  <c r="K91" i="58"/>
  <c r="F91" i="58"/>
  <c r="I91" i="58" s="1"/>
  <c r="L90" i="58"/>
  <c r="K90" i="58"/>
  <c r="F90" i="58"/>
  <c r="I90" i="58" s="1"/>
  <c r="L89" i="58"/>
  <c r="K89" i="58"/>
  <c r="F89" i="58"/>
  <c r="I89" i="58" s="1"/>
  <c r="L88" i="58"/>
  <c r="K88" i="58"/>
  <c r="F88" i="58"/>
  <c r="I88" i="58" s="1"/>
  <c r="L87" i="58"/>
  <c r="K87" i="58"/>
  <c r="F87" i="58"/>
  <c r="I87" i="58" s="1"/>
  <c r="L86" i="58"/>
  <c r="K86" i="58"/>
  <c r="F86" i="58"/>
  <c r="I86" i="58" s="1"/>
  <c r="L85" i="58"/>
  <c r="K85" i="58"/>
  <c r="F85" i="58"/>
  <c r="I85" i="58" s="1"/>
  <c r="L84" i="58"/>
  <c r="K84" i="58"/>
  <c r="F84" i="58"/>
  <c r="I84" i="58" s="1"/>
  <c r="L83" i="58"/>
  <c r="K83" i="58"/>
  <c r="F83" i="58"/>
  <c r="I83" i="58" s="1"/>
  <c r="L82" i="58"/>
  <c r="K82" i="58"/>
  <c r="F82" i="58"/>
  <c r="I82" i="58" s="1"/>
  <c r="L81" i="58"/>
  <c r="K81" i="58"/>
  <c r="F81" i="58"/>
  <c r="I81" i="58" s="1"/>
  <c r="L80" i="58"/>
  <c r="K80" i="58"/>
  <c r="F80" i="58"/>
  <c r="I80" i="58" s="1"/>
  <c r="L79" i="58"/>
  <c r="K79" i="58"/>
  <c r="F79" i="58"/>
  <c r="I79" i="58" s="1"/>
  <c r="L78" i="58"/>
  <c r="K78" i="58"/>
  <c r="F78" i="58"/>
  <c r="I78" i="58" s="1"/>
  <c r="L77" i="58"/>
  <c r="K77" i="58"/>
  <c r="F77" i="58"/>
  <c r="I77" i="58" s="1"/>
  <c r="L76" i="58"/>
  <c r="K76" i="58"/>
  <c r="F76" i="58"/>
  <c r="I76" i="58" s="1"/>
  <c r="L75" i="58"/>
  <c r="K75" i="58"/>
  <c r="F75" i="58"/>
  <c r="I75" i="58" s="1"/>
  <c r="L74" i="58"/>
  <c r="K74" i="58"/>
  <c r="F74" i="58"/>
  <c r="I74" i="58" s="1"/>
  <c r="L73" i="58"/>
  <c r="K73" i="58"/>
  <c r="F73" i="58"/>
  <c r="I73" i="58" s="1"/>
  <c r="L72" i="58"/>
  <c r="K72" i="58"/>
  <c r="F72" i="58"/>
  <c r="I72" i="58" s="1"/>
  <c r="L71" i="58"/>
  <c r="K71" i="58"/>
  <c r="F71" i="58"/>
  <c r="I71" i="58" s="1"/>
  <c r="L70" i="58"/>
  <c r="K70" i="58"/>
  <c r="F70" i="58"/>
  <c r="I70" i="58" s="1"/>
  <c r="L69" i="58"/>
  <c r="K69" i="58"/>
  <c r="F69" i="58"/>
  <c r="I69" i="58" s="1"/>
  <c r="L68" i="58"/>
  <c r="K68" i="58"/>
  <c r="F68" i="58"/>
  <c r="I68" i="58" s="1"/>
  <c r="L67" i="58"/>
  <c r="K67" i="58"/>
  <c r="F67" i="58"/>
  <c r="I67" i="58" s="1"/>
  <c r="L66" i="58"/>
  <c r="K66" i="58"/>
  <c r="F66" i="58"/>
  <c r="I66" i="58" s="1"/>
  <c r="L65" i="58"/>
  <c r="K65" i="58"/>
  <c r="F65" i="58"/>
  <c r="I65" i="58" s="1"/>
  <c r="L64" i="58"/>
  <c r="K64" i="58"/>
  <c r="F64" i="58"/>
  <c r="I64" i="58" s="1"/>
  <c r="L63" i="58"/>
  <c r="K63" i="58"/>
  <c r="F63" i="58"/>
  <c r="I63" i="58" s="1"/>
  <c r="L62" i="58"/>
  <c r="K62" i="58"/>
  <c r="F62" i="58"/>
  <c r="I62" i="58" s="1"/>
  <c r="L61" i="58"/>
  <c r="K61" i="58"/>
  <c r="F61" i="58"/>
  <c r="I61" i="58" s="1"/>
  <c r="L60" i="58"/>
  <c r="K60" i="58"/>
  <c r="F60" i="58"/>
  <c r="I60" i="58" s="1"/>
  <c r="L59" i="58"/>
  <c r="K59" i="58"/>
  <c r="F59" i="58"/>
  <c r="I59" i="58" s="1"/>
  <c r="L58" i="58"/>
  <c r="K58" i="58"/>
  <c r="F58" i="58"/>
  <c r="I58" i="58" s="1"/>
  <c r="L57" i="58"/>
  <c r="K57" i="58"/>
  <c r="F57" i="58"/>
  <c r="I57" i="58" s="1"/>
  <c r="L56" i="58"/>
  <c r="K56" i="58"/>
  <c r="F56" i="58"/>
  <c r="I56" i="58" s="1"/>
  <c r="L55" i="58"/>
  <c r="K55" i="58"/>
  <c r="F55" i="58"/>
  <c r="I55" i="58" s="1"/>
  <c r="L54" i="58"/>
  <c r="K54" i="58"/>
  <c r="F54" i="58"/>
  <c r="I54" i="58" s="1"/>
  <c r="L53" i="58"/>
  <c r="K53" i="58"/>
  <c r="F53" i="58"/>
  <c r="I53" i="58" s="1"/>
  <c r="L52" i="58"/>
  <c r="K52" i="58"/>
  <c r="F52" i="58"/>
  <c r="I52" i="58" s="1"/>
  <c r="L51" i="58"/>
  <c r="K51" i="58"/>
  <c r="F51" i="58"/>
  <c r="I51" i="58" s="1"/>
  <c r="L50" i="58"/>
  <c r="K50" i="58"/>
  <c r="F50" i="58"/>
  <c r="I50" i="58" s="1"/>
  <c r="L49" i="58"/>
  <c r="K49" i="58"/>
  <c r="F49" i="58"/>
  <c r="I49" i="58" s="1"/>
  <c r="L48" i="58"/>
  <c r="K48" i="58"/>
  <c r="F48" i="58"/>
  <c r="I48" i="58" s="1"/>
  <c r="L47" i="58"/>
  <c r="K47" i="58"/>
  <c r="F47" i="58"/>
  <c r="I47" i="58" s="1"/>
  <c r="L46" i="58"/>
  <c r="K46" i="58"/>
  <c r="F46" i="58"/>
  <c r="I46" i="58" s="1"/>
  <c r="L45" i="58"/>
  <c r="K45" i="58"/>
  <c r="F45" i="58"/>
  <c r="I45" i="58" s="1"/>
  <c r="L44" i="58"/>
  <c r="K44" i="58"/>
  <c r="F44" i="58"/>
  <c r="I44" i="58" s="1"/>
  <c r="L43" i="58"/>
  <c r="K43" i="58"/>
  <c r="F43" i="58"/>
  <c r="I43" i="58" s="1"/>
  <c r="L42" i="58"/>
  <c r="K42" i="58"/>
  <c r="F42" i="58"/>
  <c r="I42" i="58" s="1"/>
  <c r="L41" i="58"/>
  <c r="K41" i="58"/>
  <c r="F41" i="58"/>
  <c r="I41" i="58" s="1"/>
  <c r="L40" i="58"/>
  <c r="K40" i="58"/>
  <c r="F40" i="58"/>
  <c r="I40" i="58" s="1"/>
  <c r="L39" i="58"/>
  <c r="K39" i="58"/>
  <c r="F39" i="58"/>
  <c r="I39" i="58" s="1"/>
  <c r="L38" i="58"/>
  <c r="K38" i="58"/>
  <c r="F38" i="58"/>
  <c r="I38" i="58" s="1"/>
  <c r="L37" i="58"/>
  <c r="K37" i="58"/>
  <c r="F37" i="58"/>
  <c r="I37" i="58" s="1"/>
  <c r="L36" i="58"/>
  <c r="K36" i="58"/>
  <c r="F36" i="58"/>
  <c r="I36" i="58" s="1"/>
  <c r="L35" i="58"/>
  <c r="K35" i="58"/>
  <c r="F35" i="58"/>
  <c r="I35" i="58" s="1"/>
  <c r="L34" i="58"/>
  <c r="K34" i="58"/>
  <c r="F34" i="58"/>
  <c r="I34" i="58" s="1"/>
  <c r="L33" i="58"/>
  <c r="K33" i="58"/>
  <c r="F33" i="58"/>
  <c r="I33" i="58" s="1"/>
  <c r="L32" i="58"/>
  <c r="K32" i="58"/>
  <c r="F32" i="58"/>
  <c r="I32" i="58" s="1"/>
  <c r="L31" i="58"/>
  <c r="K31" i="58"/>
  <c r="F31" i="58"/>
  <c r="I31" i="58" s="1"/>
  <c r="L30" i="58"/>
  <c r="K30" i="58"/>
  <c r="F30" i="58"/>
  <c r="I30" i="58" s="1"/>
  <c r="L29" i="58"/>
  <c r="K29" i="58"/>
  <c r="F29" i="58"/>
  <c r="I29" i="58" s="1"/>
  <c r="L28" i="58"/>
  <c r="K28" i="58"/>
  <c r="F28" i="58"/>
  <c r="I28" i="58" s="1"/>
  <c r="L27" i="58"/>
  <c r="K27" i="58"/>
  <c r="F27" i="58"/>
  <c r="I27" i="58" s="1"/>
  <c r="L26" i="58"/>
  <c r="K26" i="58"/>
  <c r="F26" i="58"/>
  <c r="I26" i="58" s="1"/>
  <c r="L25" i="58"/>
  <c r="K25" i="58"/>
  <c r="F25" i="58"/>
  <c r="I25" i="58" s="1"/>
  <c r="L24" i="58"/>
  <c r="K24" i="58"/>
  <c r="F24" i="58"/>
  <c r="I24" i="58" s="1"/>
  <c r="L23" i="58"/>
  <c r="K23" i="58"/>
  <c r="F23" i="58"/>
  <c r="I23" i="58" s="1"/>
  <c r="L22" i="58"/>
  <c r="K22" i="58"/>
  <c r="F22" i="58"/>
  <c r="I22" i="58" s="1"/>
  <c r="L21" i="58"/>
  <c r="K21" i="58"/>
  <c r="F21" i="58"/>
  <c r="I21" i="58" s="1"/>
  <c r="L20" i="58"/>
  <c r="K20" i="58"/>
  <c r="F20" i="58"/>
  <c r="I20" i="58" s="1"/>
  <c r="L19" i="58"/>
  <c r="K19" i="58"/>
  <c r="F19" i="58"/>
  <c r="I19" i="58" s="1"/>
  <c r="L18" i="58"/>
  <c r="K18" i="58"/>
  <c r="F18" i="58"/>
  <c r="I18" i="58" s="1"/>
  <c r="L17" i="58"/>
  <c r="K17" i="58"/>
  <c r="F17" i="58"/>
  <c r="I17" i="58" s="1"/>
  <c r="L16" i="58"/>
  <c r="K16" i="58"/>
  <c r="F16" i="58"/>
  <c r="I16" i="58" s="1"/>
  <c r="L15" i="58"/>
  <c r="K15" i="58"/>
  <c r="F15" i="58"/>
  <c r="I15" i="58" s="1"/>
  <c r="L14" i="58"/>
  <c r="K14" i="58"/>
  <c r="F14" i="58"/>
  <c r="I14" i="58" s="1"/>
  <c r="L13" i="58"/>
  <c r="K13" i="58"/>
  <c r="F13" i="58"/>
  <c r="I13" i="58" s="1"/>
  <c r="X112" i="58" l="1"/>
  <c r="X120" i="58"/>
  <c r="X128" i="58"/>
  <c r="X136" i="58"/>
  <c r="X144" i="58"/>
  <c r="X152" i="58"/>
  <c r="X160" i="58"/>
  <c r="X168" i="58"/>
  <c r="X91" i="58"/>
  <c r="X107" i="58"/>
  <c r="X139" i="58"/>
  <c r="X171" i="58"/>
  <c r="X187" i="58"/>
  <c r="X203" i="58"/>
  <c r="X219" i="58"/>
  <c r="X235" i="58"/>
  <c r="X251" i="58"/>
  <c r="X126" i="58"/>
  <c r="X158" i="58"/>
  <c r="X190" i="58"/>
  <c r="X108" i="58"/>
  <c r="X116" i="58"/>
  <c r="X124" i="58"/>
  <c r="X132" i="58"/>
  <c r="X140" i="58"/>
  <c r="X148" i="58"/>
  <c r="X156" i="58"/>
  <c r="X164" i="58"/>
  <c r="X172" i="58"/>
  <c r="X180" i="58"/>
  <c r="X196" i="58"/>
  <c r="X212" i="58"/>
  <c r="X228" i="58"/>
  <c r="X244" i="58"/>
  <c r="X135" i="58"/>
  <c r="X21" i="58"/>
  <c r="X37" i="58"/>
  <c r="X53" i="58"/>
  <c r="X69" i="58"/>
  <c r="X109" i="58"/>
  <c r="X141" i="58"/>
  <c r="X173" i="58"/>
  <c r="X181" i="58"/>
  <c r="X189" i="58"/>
  <c r="X197" i="58"/>
  <c r="X205" i="58"/>
  <c r="X213" i="58"/>
  <c r="X221" i="58"/>
  <c r="X229" i="58"/>
  <c r="X237" i="58"/>
  <c r="X245" i="58"/>
  <c r="W38" i="58"/>
  <c r="W174" i="58"/>
  <c r="W198" i="58"/>
  <c r="W214" i="58"/>
  <c r="W17" i="58"/>
  <c r="W25" i="58"/>
  <c r="W33" i="58"/>
  <c r="W41" i="58"/>
  <c r="W49" i="58"/>
  <c r="W57" i="58"/>
  <c r="W65" i="58"/>
  <c r="W73" i="58"/>
  <c r="W81" i="58"/>
  <c r="W89" i="58"/>
  <c r="W97" i="58"/>
  <c r="W105" i="58"/>
  <c r="W113" i="58"/>
  <c r="W121" i="58"/>
  <c r="W129" i="58"/>
  <c r="W137" i="58"/>
  <c r="W145" i="58"/>
  <c r="W153" i="58"/>
  <c r="W161" i="58"/>
  <c r="W169" i="58"/>
  <c r="W177" i="58"/>
  <c r="W185" i="58"/>
  <c r="W193" i="58"/>
  <c r="W201" i="58"/>
  <c r="W209" i="58"/>
  <c r="W217" i="58"/>
  <c r="W225" i="58"/>
  <c r="W233" i="58"/>
  <c r="W241" i="58"/>
  <c r="W249" i="58"/>
  <c r="W257" i="58"/>
  <c r="W54" i="58"/>
  <c r="W102" i="58"/>
  <c r="W134" i="58"/>
  <c r="W182" i="58"/>
  <c r="W206" i="58"/>
  <c r="W222" i="58"/>
  <c r="W19" i="58"/>
  <c r="W27" i="58"/>
  <c r="W35" i="58"/>
  <c r="W43" i="58"/>
  <c r="W51" i="58"/>
  <c r="W59" i="58"/>
  <c r="W67" i="58"/>
  <c r="W75" i="58"/>
  <c r="W83" i="58"/>
  <c r="W91" i="58"/>
  <c r="W99" i="58"/>
  <c r="W107" i="58"/>
  <c r="W115" i="58"/>
  <c r="W123" i="58"/>
  <c r="W131" i="58"/>
  <c r="W139" i="58"/>
  <c r="W147" i="58"/>
  <c r="W155" i="58"/>
  <c r="W163" i="58"/>
  <c r="W171" i="58"/>
  <c r="W179" i="58"/>
  <c r="W187" i="58"/>
  <c r="W195" i="58"/>
  <c r="W203" i="58"/>
  <c r="W211" i="58"/>
  <c r="W219" i="58"/>
  <c r="W227" i="58"/>
  <c r="W235" i="58"/>
  <c r="W243" i="58"/>
  <c r="W251" i="58"/>
  <c r="W259" i="58"/>
  <c r="W22" i="58"/>
  <c r="W46" i="58"/>
  <c r="W86" i="58"/>
  <c r="W118" i="58"/>
  <c r="W166" i="58"/>
  <c r="W16" i="58"/>
  <c r="W24" i="58"/>
  <c r="W32" i="58"/>
  <c r="W40" i="58"/>
  <c r="W48" i="58"/>
  <c r="W56" i="58"/>
  <c r="W64" i="58"/>
  <c r="W72" i="58"/>
  <c r="W80" i="58"/>
  <c r="W88" i="58"/>
  <c r="W96" i="58"/>
  <c r="W104" i="58"/>
  <c r="W112" i="58"/>
  <c r="W120" i="58"/>
  <c r="W128" i="58"/>
  <c r="W136" i="58"/>
  <c r="W144" i="58"/>
  <c r="W152" i="58"/>
  <c r="W160" i="58"/>
  <c r="W168" i="58"/>
  <c r="W176" i="58"/>
  <c r="W184" i="58"/>
  <c r="W192" i="58"/>
  <c r="W200" i="58"/>
  <c r="W208" i="58"/>
  <c r="W216" i="58"/>
  <c r="W224" i="58"/>
  <c r="W232" i="58"/>
  <c r="W240" i="58"/>
  <c r="W248" i="58"/>
  <c r="W256" i="58"/>
  <c r="W70" i="58"/>
  <c r="W158" i="58"/>
  <c r="W230" i="58"/>
  <c r="W254" i="58"/>
  <c r="W13" i="58"/>
  <c r="W21" i="58"/>
  <c r="W29" i="58"/>
  <c r="W37" i="58"/>
  <c r="W45" i="58"/>
  <c r="W53" i="58"/>
  <c r="W61" i="58"/>
  <c r="W69" i="58"/>
  <c r="W77" i="58"/>
  <c r="W85" i="58"/>
  <c r="W93" i="58"/>
  <c r="W101" i="58"/>
  <c r="W109" i="58"/>
  <c r="W117" i="58"/>
  <c r="W125" i="58"/>
  <c r="W133" i="58"/>
  <c r="W141" i="58"/>
  <c r="W149" i="58"/>
  <c r="W157" i="58"/>
  <c r="W165" i="58"/>
  <c r="W173" i="58"/>
  <c r="W181" i="58"/>
  <c r="W189" i="58"/>
  <c r="W197" i="58"/>
  <c r="W205" i="58"/>
  <c r="W213" i="58"/>
  <c r="W221" i="58"/>
  <c r="W229" i="58"/>
  <c r="W237" i="58"/>
  <c r="W245" i="58"/>
  <c r="W253" i="58"/>
  <c r="W62" i="58"/>
  <c r="W142" i="58"/>
  <c r="W190" i="58"/>
  <c r="W18" i="58"/>
  <c r="W26" i="58"/>
  <c r="W34" i="58"/>
  <c r="W42" i="58"/>
  <c r="W50" i="58"/>
  <c r="W58" i="58"/>
  <c r="W66" i="58"/>
  <c r="W74" i="58"/>
  <c r="W82" i="58"/>
  <c r="W90" i="58"/>
  <c r="W98" i="58"/>
  <c r="W106" i="58"/>
  <c r="W114" i="58"/>
  <c r="W122" i="58"/>
  <c r="W130" i="58"/>
  <c r="W138" i="58"/>
  <c r="W146" i="58"/>
  <c r="W154" i="58"/>
  <c r="W162" i="58"/>
  <c r="W170" i="58"/>
  <c r="W178" i="58"/>
  <c r="W186" i="58"/>
  <c r="W194" i="58"/>
  <c r="W202" i="58"/>
  <c r="W210" i="58"/>
  <c r="W218" i="58"/>
  <c r="W226" i="58"/>
  <c r="W234" i="58"/>
  <c r="W242" i="58"/>
  <c r="W250" i="58"/>
  <c r="W78" i="58"/>
  <c r="W94" i="58"/>
  <c r="W126" i="58"/>
  <c r="W150" i="58"/>
  <c r="W238" i="58"/>
  <c r="W15" i="58"/>
  <c r="W23" i="58"/>
  <c r="W31" i="58"/>
  <c r="W39" i="58"/>
  <c r="W47" i="58"/>
  <c r="W55" i="58"/>
  <c r="W63" i="58"/>
  <c r="W71" i="58"/>
  <c r="W79" i="58"/>
  <c r="W87" i="58"/>
  <c r="W95" i="58"/>
  <c r="W103" i="58"/>
  <c r="W111" i="58"/>
  <c r="W119" i="58"/>
  <c r="W127" i="58"/>
  <c r="W135" i="58"/>
  <c r="W143" i="58"/>
  <c r="W151" i="58"/>
  <c r="W159" i="58"/>
  <c r="W167" i="58"/>
  <c r="W175" i="58"/>
  <c r="W183" i="58"/>
  <c r="W191" i="58"/>
  <c r="W199" i="58"/>
  <c r="W207" i="58"/>
  <c r="W215" i="58"/>
  <c r="W223" i="58"/>
  <c r="W231" i="58"/>
  <c r="W239" i="58"/>
  <c r="W247" i="58"/>
  <c r="W255" i="58"/>
  <c r="W14" i="58"/>
  <c r="W30" i="58"/>
  <c r="W110" i="58"/>
  <c r="W246" i="58"/>
  <c r="W20" i="58"/>
  <c r="W28" i="58"/>
  <c r="W36" i="58"/>
  <c r="W44" i="58"/>
  <c r="W52" i="58"/>
  <c r="W60" i="58"/>
  <c r="W68" i="58"/>
  <c r="W76" i="58"/>
  <c r="W84" i="58"/>
  <c r="W92" i="58"/>
  <c r="W100" i="58"/>
  <c r="W108" i="58"/>
  <c r="W116" i="58"/>
  <c r="W124" i="58"/>
  <c r="W132" i="58"/>
  <c r="W140" i="58"/>
  <c r="W148" i="58"/>
  <c r="W156" i="58"/>
  <c r="W164" i="58"/>
  <c r="W172" i="58"/>
  <c r="W180" i="58"/>
  <c r="W188" i="58"/>
  <c r="W196" i="58"/>
  <c r="W204" i="58"/>
  <c r="W212" i="58"/>
  <c r="W220" i="58"/>
  <c r="W228" i="58"/>
  <c r="W236" i="58"/>
  <c r="W244" i="58"/>
  <c r="W252" i="58"/>
  <c r="X15" i="58"/>
  <c r="X17" i="58"/>
  <c r="X14" i="58"/>
  <c r="X16" i="58"/>
  <c r="X13" i="58"/>
  <c r="X29" i="58"/>
  <c r="X45" i="58"/>
  <c r="X56" i="58"/>
  <c r="X64" i="58"/>
  <c r="X72" i="58"/>
  <c r="X80" i="58"/>
  <c r="X99" i="58"/>
  <c r="X115" i="58"/>
  <c r="X123" i="58"/>
  <c r="X131" i="58"/>
  <c r="Y131" i="58" s="1"/>
  <c r="X150" i="58"/>
  <c r="X175" i="58"/>
  <c r="X183" i="58"/>
  <c r="X211" i="58"/>
  <c r="X222" i="58"/>
  <c r="X230" i="58"/>
  <c r="X241" i="58"/>
  <c r="X249" i="58"/>
  <c r="X257" i="58"/>
  <c r="X18" i="58"/>
  <c r="X26" i="58"/>
  <c r="X34" i="58"/>
  <c r="X42" i="58"/>
  <c r="X61" i="58"/>
  <c r="X77" i="58"/>
  <c r="X88" i="58"/>
  <c r="X96" i="58"/>
  <c r="X104" i="58"/>
  <c r="X147" i="58"/>
  <c r="X161" i="58"/>
  <c r="X169" i="58"/>
  <c r="X188" i="58"/>
  <c r="X194" i="58"/>
  <c r="X202" i="58"/>
  <c r="Y202" i="58" s="1"/>
  <c r="X208" i="58"/>
  <c r="X227" i="58"/>
  <c r="X238" i="58"/>
  <c r="X246" i="58"/>
  <c r="X254" i="58"/>
  <c r="X23" i="58"/>
  <c r="X31" i="58"/>
  <c r="X39" i="58"/>
  <c r="X47" i="58"/>
  <c r="X50" i="58"/>
  <c r="X58" i="58"/>
  <c r="X66" i="58"/>
  <c r="Y66" i="58" s="1"/>
  <c r="X74" i="58"/>
  <c r="X82" i="58"/>
  <c r="X85" i="58"/>
  <c r="X93" i="58"/>
  <c r="X101" i="58"/>
  <c r="X117" i="58"/>
  <c r="X125" i="58"/>
  <c r="X133" i="58"/>
  <c r="X155" i="58"/>
  <c r="X166" i="58"/>
  <c r="X177" i="58"/>
  <c r="X185" i="58"/>
  <c r="X191" i="58"/>
  <c r="X199" i="58"/>
  <c r="X216" i="58"/>
  <c r="X224" i="58"/>
  <c r="X232" i="58"/>
  <c r="X243" i="58"/>
  <c r="X259" i="58"/>
  <c r="X20" i="58"/>
  <c r="X28" i="58"/>
  <c r="X36" i="58"/>
  <c r="X44" i="58"/>
  <c r="X55" i="58"/>
  <c r="X63" i="58"/>
  <c r="X71" i="58"/>
  <c r="X79" i="58"/>
  <c r="X90" i="58"/>
  <c r="X98" i="58"/>
  <c r="X106" i="58"/>
  <c r="X114" i="58"/>
  <c r="X122" i="58"/>
  <c r="X130" i="58"/>
  <c r="X138" i="58"/>
  <c r="X149" i="58"/>
  <c r="X163" i="58"/>
  <c r="X174" i="58"/>
  <c r="X182" i="58"/>
  <c r="X210" i="58"/>
  <c r="X240" i="58"/>
  <c r="X248" i="58"/>
  <c r="X256" i="58"/>
  <c r="X25" i="58"/>
  <c r="X33" i="58"/>
  <c r="X41" i="58"/>
  <c r="X49" i="58"/>
  <c r="X52" i="58"/>
  <c r="X60" i="58"/>
  <c r="X68" i="58"/>
  <c r="X76" i="58"/>
  <c r="X87" i="58"/>
  <c r="X95" i="58"/>
  <c r="X103" i="58"/>
  <c r="X111" i="58"/>
  <c r="X119" i="58"/>
  <c r="X127" i="58"/>
  <c r="X146" i="58"/>
  <c r="X154" i="58"/>
  <c r="X157" i="58"/>
  <c r="X179" i="58"/>
  <c r="X193" i="58"/>
  <c r="X201" i="58"/>
  <c r="X204" i="58"/>
  <c r="X207" i="58"/>
  <c r="X218" i="58"/>
  <c r="X226" i="58"/>
  <c r="X234" i="58"/>
  <c r="X253" i="58"/>
  <c r="X22" i="58"/>
  <c r="X30" i="58"/>
  <c r="X38" i="58"/>
  <c r="X46" i="58"/>
  <c r="X57" i="58"/>
  <c r="X65" i="58"/>
  <c r="X73" i="58"/>
  <c r="X81" i="58"/>
  <c r="X84" i="58"/>
  <c r="X92" i="58"/>
  <c r="X100" i="58"/>
  <c r="X143" i="58"/>
  <c r="X151" i="58"/>
  <c r="X165" i="58"/>
  <c r="X176" i="58"/>
  <c r="X184" i="58"/>
  <c r="X198" i="58"/>
  <c r="X215" i="58"/>
  <c r="X223" i="58"/>
  <c r="X231" i="58"/>
  <c r="X242" i="58"/>
  <c r="X250" i="58"/>
  <c r="X258" i="58"/>
  <c r="X19" i="58"/>
  <c r="X27" i="58"/>
  <c r="X35" i="58"/>
  <c r="X43" i="58"/>
  <c r="X54" i="58"/>
  <c r="X62" i="58"/>
  <c r="X70" i="58"/>
  <c r="X78" i="58"/>
  <c r="X89" i="58"/>
  <c r="X97" i="58"/>
  <c r="X105" i="58"/>
  <c r="X113" i="58"/>
  <c r="X121" i="58"/>
  <c r="X129" i="58"/>
  <c r="X137" i="58"/>
  <c r="X159" i="58"/>
  <c r="X162" i="58"/>
  <c r="X195" i="58"/>
  <c r="X206" i="58"/>
  <c r="X209" i="58"/>
  <c r="X220" i="58"/>
  <c r="X239" i="58"/>
  <c r="X247" i="58"/>
  <c r="X255" i="58"/>
  <c r="X24" i="58"/>
  <c r="X32" i="58"/>
  <c r="X40" i="58"/>
  <c r="X48" i="58"/>
  <c r="X51" i="58"/>
  <c r="X59" i="58"/>
  <c r="X67" i="58"/>
  <c r="X75" i="58"/>
  <c r="X83" i="58"/>
  <c r="X86" i="58"/>
  <c r="X94" i="58"/>
  <c r="X102" i="58"/>
  <c r="X110" i="58"/>
  <c r="X118" i="58"/>
  <c r="X134" i="58"/>
  <c r="X142" i="58"/>
  <c r="X145" i="58"/>
  <c r="X153" i="58"/>
  <c r="X167" i="58"/>
  <c r="X170" i="58"/>
  <c r="X178" i="58"/>
  <c r="X186" i="58"/>
  <c r="X192" i="58"/>
  <c r="X200" i="58"/>
  <c r="X214" i="58"/>
  <c r="X217" i="58"/>
  <c r="X225" i="58"/>
  <c r="X233" i="58"/>
  <c r="X236" i="58"/>
  <c r="X252" i="58"/>
  <c r="Y185" i="58" l="1"/>
  <c r="Y161" i="58"/>
  <c r="Y249" i="58"/>
  <c r="Y33" i="58"/>
  <c r="Y20" i="58"/>
  <c r="Y240" i="58"/>
  <c r="Y127" i="58"/>
  <c r="Y133" i="58"/>
  <c r="Y95" i="58"/>
  <c r="Y50" i="58"/>
  <c r="Y49" i="58"/>
  <c r="Y40" i="58"/>
  <c r="Y36" i="58"/>
  <c r="Y166" i="58"/>
  <c r="Y85" i="58"/>
  <c r="Y100" i="58"/>
  <c r="Y87" i="58"/>
  <c r="Y204" i="58"/>
  <c r="Y198" i="58"/>
  <c r="Y134" i="58"/>
  <c r="Y163" i="58"/>
  <c r="Y82" i="58"/>
  <c r="Y153" i="58"/>
  <c r="Y162" i="58"/>
  <c r="Y138" i="58"/>
  <c r="Y214" i="58"/>
  <c r="Y83" i="58"/>
  <c r="Y64" i="58"/>
  <c r="Y89" i="58"/>
  <c r="Y256" i="58"/>
  <c r="Y24" i="58"/>
  <c r="Y188" i="58"/>
  <c r="Y121" i="58"/>
  <c r="Y106" i="58"/>
  <c r="Y230" i="58"/>
  <c r="Y84" i="58"/>
  <c r="Y130" i="58"/>
  <c r="Y257" i="58"/>
  <c r="Y241" i="58"/>
  <c r="Y194" i="58"/>
  <c r="Y17" i="58"/>
  <c r="Y125" i="58"/>
  <c r="Y79" i="58"/>
  <c r="Y258" i="58"/>
  <c r="Y182" i="58"/>
  <c r="Y38" i="58"/>
  <c r="Y22" i="58"/>
  <c r="Y80" i="58"/>
  <c r="Y55" i="58"/>
  <c r="Y39" i="58"/>
  <c r="Y23" i="58"/>
  <c r="Y243" i="58"/>
  <c r="Y179" i="58"/>
  <c r="Y61" i="58"/>
  <c r="Y218" i="58"/>
  <c r="Y192" i="58"/>
  <c r="Y175" i="58"/>
  <c r="Y111" i="58"/>
  <c r="Y247" i="58"/>
  <c r="Y81" i="58"/>
  <c r="Y71" i="58"/>
  <c r="Y246" i="58"/>
  <c r="Y234" i="58"/>
  <c r="Y67" i="58"/>
  <c r="Y51" i="58"/>
  <c r="Y35" i="58"/>
  <c r="Y19" i="58"/>
  <c r="Y211" i="58"/>
  <c r="Y117" i="58"/>
  <c r="Y115" i="58"/>
  <c r="Y122" i="58"/>
  <c r="Y224" i="58"/>
  <c r="Y45" i="58"/>
  <c r="Y199" i="58"/>
  <c r="Y73" i="58"/>
  <c r="Y129" i="58"/>
  <c r="Y242" i="58"/>
  <c r="Y238" i="58"/>
  <c r="Y154" i="58"/>
  <c r="Y78" i="58"/>
  <c r="Y190" i="58"/>
  <c r="Y200" i="58"/>
  <c r="Y30" i="58"/>
  <c r="Y62" i="58"/>
  <c r="Y46" i="58"/>
  <c r="Y72" i="58"/>
  <c r="Y43" i="58"/>
  <c r="Y27" i="58"/>
  <c r="Y26" i="58"/>
  <c r="Y195" i="58"/>
  <c r="Y254" i="58"/>
  <c r="Y98" i="58"/>
  <c r="Y99" i="58"/>
  <c r="Y248" i="58"/>
  <c r="Y63" i="58"/>
  <c r="Y165" i="58"/>
  <c r="Y65" i="58"/>
  <c r="Y222" i="58"/>
  <c r="Y58" i="58"/>
  <c r="Y42" i="58"/>
  <c r="Y56" i="58"/>
  <c r="Y259" i="58"/>
  <c r="Y184" i="58"/>
  <c r="Y226" i="58"/>
  <c r="Y74" i="58"/>
  <c r="Y77" i="58"/>
  <c r="Y123" i="58"/>
  <c r="Y96" i="58"/>
  <c r="Y68" i="58"/>
  <c r="Y52" i="58"/>
  <c r="Y149" i="58"/>
  <c r="Y147" i="58"/>
  <c r="Y86" i="58"/>
  <c r="Y207" i="58"/>
  <c r="Y101" i="58"/>
  <c r="Y183" i="58"/>
  <c r="Y119" i="58"/>
  <c r="Y114" i="58"/>
  <c r="Y90" i="58"/>
  <c r="Y151" i="58"/>
  <c r="Y209" i="58"/>
  <c r="Y146" i="58"/>
  <c r="Y193" i="58"/>
  <c r="Y103" i="58"/>
  <c r="Y57" i="58"/>
  <c r="Y41" i="58"/>
  <c r="Y118" i="58"/>
  <c r="Y253" i="58"/>
  <c r="Y25" i="58"/>
  <c r="Y97" i="58"/>
  <c r="Y236" i="58"/>
  <c r="Y142" i="58"/>
  <c r="Y159" i="58"/>
  <c r="Y169" i="58"/>
  <c r="Y206" i="58"/>
  <c r="Y14" i="58"/>
  <c r="Y16" i="58"/>
  <c r="Y13" i="58"/>
  <c r="Y105" i="58"/>
  <c r="Y48" i="58"/>
  <c r="Y32" i="58"/>
  <c r="Y186" i="58"/>
  <c r="Y239" i="58"/>
  <c r="Y155" i="58"/>
  <c r="Y201" i="58"/>
  <c r="Y34" i="58"/>
  <c r="Y76" i="58"/>
  <c r="Y60" i="58"/>
  <c r="Y44" i="58"/>
  <c r="Y28" i="58"/>
  <c r="Y150" i="58"/>
  <c r="Y255" i="58"/>
  <c r="Y220" i="58"/>
  <c r="Y92" i="58"/>
  <c r="Y208" i="58"/>
  <c r="Y225" i="58"/>
  <c r="Y170" i="58"/>
  <c r="Y216" i="58"/>
  <c r="Y47" i="58"/>
  <c r="Y31" i="58"/>
  <c r="Y157" i="58"/>
  <c r="Y70" i="58"/>
  <c r="Y59" i="58"/>
  <c r="Y93" i="58"/>
  <c r="Y54" i="58"/>
  <c r="Y177" i="58"/>
  <c r="Y233" i="58"/>
  <c r="Y18" i="58"/>
  <c r="Y227" i="58"/>
  <c r="Y231" i="58"/>
  <c r="Y210" i="58"/>
  <c r="Y232" i="58"/>
  <c r="Y88" i="58"/>
  <c r="Y29" i="58"/>
  <c r="Y252" i="58"/>
  <c r="Y215" i="58"/>
  <c r="Y104" i="58"/>
  <c r="Y191" i="58"/>
  <c r="Y174" i="58"/>
  <c r="Y75" i="58"/>
  <c r="Y217" i="58"/>
  <c r="Y250" i="58"/>
  <c r="Y143" i="58"/>
  <c r="Y178" i="58"/>
  <c r="Y107" i="58"/>
  <c r="Y110" i="58"/>
  <c r="Y145" i="58"/>
  <c r="Y223" i="58"/>
  <c r="Y102" i="58"/>
  <c r="Y137" i="58"/>
  <c r="Y94" i="58"/>
  <c r="Y176" i="58"/>
  <c r="Y113" i="58"/>
  <c r="Y189" i="58"/>
  <c r="Y167" i="58"/>
  <c r="Y173" i="58"/>
  <c r="Y237" i="58"/>
  <c r="Y245" i="58"/>
  <c r="Y181" i="58"/>
  <c r="Y112" i="58"/>
  <c r="Y205" i="58"/>
  <c r="Y221" i="58"/>
  <c r="Y244" i="58"/>
  <c r="Y197" i="58"/>
  <c r="Y158" i="58"/>
  <c r="Y124" i="58"/>
  <c r="Y91" i="58"/>
  <c r="Y212" i="58"/>
  <c r="Y141" i="58"/>
  <c r="Y203" i="58"/>
  <c r="Y172" i="58"/>
  <c r="Y53" i="58"/>
  <c r="Y126" i="58"/>
  <c r="Y37" i="58"/>
  <c r="Y171" i="58"/>
  <c r="Y21" i="58"/>
  <c r="Y135" i="58"/>
  <c r="Y140" i="58"/>
  <c r="Y213" i="58"/>
  <c r="Y196" i="58"/>
  <c r="Y156" i="58"/>
  <c r="Y229" i="58"/>
  <c r="Y228" i="58"/>
  <c r="Y251" i="58"/>
  <c r="Y139" i="58"/>
  <c r="Y109" i="58"/>
  <c r="Y219" i="58"/>
  <c r="Y69" i="58"/>
  <c r="Y187" i="58"/>
  <c r="Y235" i="58"/>
  <c r="Y148" i="58"/>
  <c r="Y116" i="58"/>
  <c r="Y128" i="58"/>
  <c r="Y152" i="58"/>
  <c r="Y120" i="58"/>
  <c r="Y144" i="58"/>
  <c r="Y164" i="58"/>
  <c r="Y132" i="58"/>
  <c r="Y108" i="58"/>
  <c r="Y168" i="58"/>
  <c r="Y136" i="58"/>
  <c r="Y180" i="58"/>
  <c r="Y160" i="58"/>
  <c r="Y15" i="58" l="1"/>
  <c r="S12" i="42"/>
  <c r="F13" i="42"/>
  <c r="F14" i="42"/>
  <c r="F15" i="42"/>
  <c r="F16" i="42"/>
  <c r="F17" i="42"/>
  <c r="F18" i="42"/>
  <c r="F19" i="42"/>
  <c r="F20" i="42"/>
  <c r="F21" i="42"/>
  <c r="F22" i="42"/>
  <c r="F23" i="42"/>
  <c r="F24" i="42"/>
  <c r="F25" i="42"/>
  <c r="F26" i="42"/>
  <c r="F27" i="42"/>
  <c r="F28" i="42"/>
  <c r="F29" i="42"/>
  <c r="F30" i="42"/>
  <c r="F31" i="42"/>
  <c r="F32" i="42"/>
  <c r="F33" i="42"/>
  <c r="F34" i="42"/>
  <c r="F35" i="42"/>
  <c r="F36" i="42"/>
  <c r="F37" i="42"/>
  <c r="F38" i="42"/>
  <c r="F39" i="42"/>
  <c r="F40" i="42"/>
  <c r="F41" i="42"/>
  <c r="F42" i="42"/>
  <c r="F43" i="42"/>
  <c r="F44" i="42"/>
  <c r="F45" i="42"/>
  <c r="F46" i="42"/>
  <c r="F47" i="42"/>
  <c r="F48" i="42"/>
  <c r="F49" i="42"/>
  <c r="F50" i="42"/>
  <c r="F51" i="42"/>
  <c r="F52" i="42"/>
  <c r="F53" i="42"/>
  <c r="F54" i="42"/>
  <c r="F55" i="42"/>
  <c r="F56" i="42"/>
  <c r="F57" i="42"/>
  <c r="F58" i="42"/>
  <c r="F59" i="42"/>
  <c r="F60" i="42"/>
  <c r="F61" i="42"/>
  <c r="F62" i="42"/>
  <c r="F63" i="42"/>
  <c r="F64" i="42"/>
  <c r="F65" i="42"/>
  <c r="F66" i="42"/>
  <c r="F67" i="42"/>
  <c r="F68" i="42"/>
  <c r="F69" i="42"/>
  <c r="F70" i="42"/>
  <c r="F71" i="42"/>
  <c r="F72" i="42"/>
  <c r="F73" i="42"/>
  <c r="F74" i="42"/>
  <c r="F75" i="42"/>
  <c r="F76" i="42"/>
  <c r="F77" i="42"/>
  <c r="F78" i="42"/>
  <c r="F79" i="42"/>
  <c r="F80" i="42"/>
  <c r="F81" i="42"/>
  <c r="F82" i="42"/>
  <c r="F83" i="42"/>
  <c r="F84" i="42"/>
  <c r="F85" i="42"/>
  <c r="F86" i="42"/>
  <c r="F87" i="42"/>
  <c r="F88" i="42"/>
  <c r="F89" i="42"/>
  <c r="F90" i="42"/>
  <c r="F91" i="42"/>
  <c r="F92" i="42"/>
  <c r="F93" i="42"/>
  <c r="F94" i="42"/>
  <c r="F95" i="42"/>
  <c r="F96" i="42"/>
  <c r="F97" i="42"/>
  <c r="F98" i="42"/>
  <c r="F99" i="42"/>
  <c r="F100" i="42"/>
  <c r="F101" i="42"/>
  <c r="F102" i="42"/>
  <c r="F103" i="42"/>
  <c r="F104" i="42"/>
  <c r="F105" i="42"/>
  <c r="F106" i="42"/>
  <c r="F107" i="42"/>
  <c r="F108" i="42"/>
  <c r="F109" i="42"/>
  <c r="F110" i="42"/>
  <c r="F111" i="42"/>
  <c r="F112" i="42"/>
  <c r="F113" i="42"/>
  <c r="F114" i="42"/>
  <c r="F115" i="42"/>
  <c r="F116" i="42"/>
  <c r="F117" i="42"/>
  <c r="F118" i="42"/>
  <c r="F119" i="42"/>
  <c r="F120" i="42"/>
  <c r="F121" i="42"/>
  <c r="F122" i="42"/>
  <c r="F123" i="42"/>
  <c r="F124" i="42"/>
  <c r="F125" i="42"/>
  <c r="F126" i="42"/>
  <c r="F127" i="42"/>
  <c r="F128" i="42"/>
  <c r="F129" i="42"/>
  <c r="F130" i="42"/>
  <c r="F131" i="42"/>
  <c r="F132" i="42"/>
  <c r="F133" i="42"/>
  <c r="F134" i="42"/>
  <c r="F135" i="42"/>
  <c r="F136" i="42"/>
  <c r="F137" i="42"/>
  <c r="F138" i="42"/>
  <c r="F139" i="42"/>
  <c r="F140" i="42"/>
  <c r="F141" i="42"/>
  <c r="F142" i="42"/>
  <c r="F143" i="42"/>
  <c r="F144" i="42"/>
  <c r="F145" i="42"/>
  <c r="F146" i="42"/>
  <c r="F147" i="42"/>
  <c r="F148" i="42"/>
  <c r="F149" i="42"/>
  <c r="F150" i="42"/>
  <c r="F151" i="42"/>
  <c r="F152" i="42"/>
  <c r="F153" i="42"/>
  <c r="F154" i="42"/>
  <c r="F155" i="42"/>
  <c r="F156" i="42"/>
  <c r="F157" i="42"/>
  <c r="F158" i="42"/>
  <c r="F159" i="42"/>
  <c r="F160" i="42"/>
  <c r="F161" i="42"/>
  <c r="F162" i="42"/>
  <c r="F163" i="42"/>
  <c r="F164" i="42"/>
  <c r="F165" i="42"/>
  <c r="F166" i="42"/>
  <c r="F167" i="42"/>
  <c r="F168" i="42"/>
  <c r="F169" i="42"/>
  <c r="F170" i="42"/>
  <c r="F171" i="42"/>
  <c r="F172" i="42"/>
  <c r="F173" i="42"/>
  <c r="F174" i="42"/>
  <c r="F175" i="42"/>
  <c r="F176" i="42"/>
  <c r="F177" i="42"/>
  <c r="F178" i="42"/>
  <c r="F179" i="42"/>
  <c r="F180" i="42"/>
  <c r="F181" i="42"/>
  <c r="F182" i="42"/>
  <c r="F183" i="42"/>
  <c r="F184" i="42"/>
  <c r="F185" i="42"/>
  <c r="F186" i="42"/>
  <c r="F187" i="42"/>
  <c r="F188" i="42"/>
  <c r="F189" i="42"/>
  <c r="F190" i="42"/>
  <c r="F191" i="42"/>
  <c r="F192" i="42"/>
  <c r="F193" i="42"/>
  <c r="F194" i="42"/>
  <c r="F195" i="42"/>
  <c r="F196" i="42"/>
  <c r="F197" i="42"/>
  <c r="F198" i="42"/>
  <c r="F199" i="42"/>
  <c r="F200" i="42"/>
  <c r="F201" i="42"/>
  <c r="F202" i="42"/>
  <c r="F203" i="42"/>
  <c r="F204" i="42"/>
  <c r="F205" i="42"/>
  <c r="F206" i="42"/>
  <c r="F207" i="42"/>
  <c r="F208" i="42"/>
  <c r="F209" i="42"/>
  <c r="F210" i="42"/>
  <c r="F211" i="42"/>
  <c r="F212" i="42"/>
  <c r="F213" i="42"/>
  <c r="F214" i="42"/>
  <c r="F215" i="42"/>
  <c r="F216" i="42"/>
  <c r="F217" i="42"/>
  <c r="F218" i="42"/>
  <c r="F219" i="42"/>
  <c r="F220" i="42"/>
  <c r="F221" i="42"/>
  <c r="F222" i="42"/>
  <c r="F223" i="42"/>
  <c r="F224" i="42"/>
  <c r="F225" i="42"/>
  <c r="F226" i="42"/>
  <c r="F227" i="42"/>
  <c r="F228" i="42"/>
  <c r="F229" i="42"/>
  <c r="F230" i="42"/>
  <c r="F231" i="42"/>
  <c r="F232" i="42"/>
  <c r="F233" i="42"/>
  <c r="F234" i="42"/>
  <c r="F235" i="42"/>
  <c r="F236" i="42"/>
  <c r="F237" i="42"/>
  <c r="F238" i="42"/>
  <c r="F239" i="42"/>
  <c r="F240" i="42"/>
  <c r="F241" i="42"/>
  <c r="F242" i="42"/>
  <c r="F243" i="42"/>
  <c r="F244" i="42"/>
  <c r="F245" i="42"/>
  <c r="F246" i="42"/>
  <c r="F247" i="42"/>
  <c r="F248" i="42"/>
  <c r="F249" i="42"/>
  <c r="F250" i="42"/>
  <c r="F251" i="42"/>
  <c r="F252" i="42"/>
  <c r="F253" i="42"/>
  <c r="F254" i="42"/>
  <c r="F255" i="42"/>
  <c r="F256" i="42"/>
  <c r="F257" i="42"/>
  <c r="F258" i="42"/>
  <c r="F259" i="42"/>
  <c r="M11" i="52"/>
  <c r="M12" i="52"/>
  <c r="M13" i="52"/>
  <c r="M14" i="52"/>
  <c r="M15" i="52"/>
  <c r="M16" i="52"/>
  <c r="M17" i="52"/>
  <c r="M18" i="52"/>
  <c r="M19" i="52"/>
  <c r="M20" i="52"/>
  <c r="M21" i="52"/>
  <c r="M22" i="52"/>
  <c r="M23" i="52"/>
  <c r="M24" i="52"/>
  <c r="M25" i="52"/>
  <c r="M26" i="52"/>
  <c r="M27" i="52"/>
  <c r="M28" i="52"/>
  <c r="M29" i="52"/>
  <c r="M30" i="52"/>
  <c r="M31" i="52"/>
  <c r="M32" i="52"/>
  <c r="M33" i="52"/>
  <c r="M34" i="52"/>
  <c r="M35" i="52"/>
  <c r="M36" i="52"/>
  <c r="M37" i="52"/>
  <c r="M38" i="52"/>
  <c r="M39" i="52"/>
  <c r="M40" i="52"/>
  <c r="M41" i="52"/>
  <c r="M42" i="52"/>
  <c r="M43" i="52"/>
  <c r="M44" i="52"/>
  <c r="M45" i="52"/>
  <c r="M46" i="52"/>
  <c r="M47" i="52"/>
  <c r="M48" i="52"/>
  <c r="M49" i="52"/>
  <c r="M50" i="52"/>
  <c r="M51" i="52"/>
  <c r="M52" i="52"/>
  <c r="M53" i="52"/>
  <c r="M54" i="52"/>
  <c r="M55" i="52"/>
  <c r="M56" i="52"/>
  <c r="M57" i="52"/>
  <c r="M58" i="52"/>
  <c r="M59" i="52"/>
  <c r="M60" i="52"/>
  <c r="M61" i="52"/>
  <c r="M62" i="52"/>
  <c r="M63" i="52"/>
  <c r="M64" i="52"/>
  <c r="M65" i="52"/>
  <c r="M66" i="52"/>
  <c r="M67" i="52"/>
  <c r="M68" i="52"/>
  <c r="M69" i="52"/>
  <c r="M70" i="52"/>
  <c r="M71" i="52"/>
  <c r="M72" i="52"/>
  <c r="M73" i="52"/>
  <c r="M74" i="52"/>
  <c r="M75" i="52"/>
  <c r="M76" i="52"/>
  <c r="M77" i="52"/>
  <c r="M78" i="52"/>
  <c r="M79" i="52"/>
  <c r="M80" i="52"/>
  <c r="M81" i="52"/>
  <c r="M82" i="52"/>
  <c r="M83" i="52"/>
  <c r="M84" i="52"/>
  <c r="M85" i="52"/>
  <c r="M86" i="52"/>
  <c r="M87" i="52"/>
  <c r="M88" i="52"/>
  <c r="M89" i="52"/>
  <c r="M90" i="52"/>
  <c r="M91" i="52"/>
  <c r="M92" i="52"/>
  <c r="M93" i="52"/>
  <c r="M94" i="52"/>
  <c r="M95" i="52"/>
  <c r="M96" i="52"/>
  <c r="M97" i="52"/>
  <c r="M98" i="52"/>
  <c r="M99" i="52"/>
  <c r="M100" i="52"/>
  <c r="M101" i="52"/>
  <c r="M102" i="52"/>
  <c r="M103" i="52"/>
  <c r="M104" i="52"/>
  <c r="M105" i="52"/>
  <c r="M106" i="52"/>
  <c r="M107" i="52"/>
  <c r="M108" i="52"/>
  <c r="M109" i="52"/>
  <c r="M110" i="52"/>
  <c r="M111" i="52"/>
  <c r="M112" i="52"/>
  <c r="M113" i="52"/>
  <c r="M114" i="52"/>
  <c r="M115" i="52"/>
  <c r="M116" i="52"/>
  <c r="M117" i="52"/>
  <c r="M118" i="52"/>
  <c r="M119" i="52"/>
  <c r="M120" i="52"/>
  <c r="M121" i="52"/>
  <c r="M122" i="52"/>
  <c r="M123" i="52"/>
  <c r="M124" i="52"/>
  <c r="M125" i="52"/>
  <c r="M126" i="52"/>
  <c r="M127" i="52"/>
  <c r="M128" i="52"/>
  <c r="M129" i="52"/>
  <c r="M130" i="52"/>
  <c r="M131" i="52"/>
  <c r="M132" i="52"/>
  <c r="M133" i="52"/>
  <c r="M134" i="52"/>
  <c r="M135" i="52"/>
  <c r="M136" i="52"/>
  <c r="M137" i="52"/>
  <c r="M138" i="52"/>
  <c r="M139" i="52"/>
  <c r="M140" i="52"/>
  <c r="M141" i="52"/>
  <c r="M142" i="52"/>
  <c r="M143" i="52"/>
  <c r="M144" i="52"/>
  <c r="M145" i="52"/>
  <c r="M146" i="52"/>
  <c r="M147" i="52"/>
  <c r="M148" i="52"/>
  <c r="M149" i="52"/>
  <c r="M150" i="52"/>
  <c r="M151" i="52"/>
  <c r="M152" i="52"/>
  <c r="M153" i="52"/>
  <c r="M154" i="52"/>
  <c r="M155" i="52"/>
  <c r="M156" i="52"/>
  <c r="M157" i="52"/>
  <c r="M158" i="52"/>
  <c r="M159" i="52"/>
  <c r="M160" i="52"/>
  <c r="M161" i="52"/>
  <c r="M162" i="52"/>
  <c r="M163" i="52"/>
  <c r="M164" i="52"/>
  <c r="M165" i="52"/>
  <c r="M166" i="52"/>
  <c r="M167" i="52"/>
  <c r="M168" i="52"/>
  <c r="M169" i="52"/>
  <c r="M170" i="52"/>
  <c r="M171" i="52"/>
  <c r="M172" i="52"/>
  <c r="M173" i="52"/>
  <c r="M174" i="52"/>
  <c r="M175" i="52"/>
  <c r="M176" i="52"/>
  <c r="M177" i="52"/>
  <c r="M178" i="52"/>
  <c r="M179" i="52"/>
  <c r="M180" i="52"/>
  <c r="M181" i="52"/>
  <c r="M182" i="52"/>
  <c r="M183" i="52"/>
  <c r="M184" i="52"/>
  <c r="M185" i="52"/>
  <c r="M186" i="52"/>
  <c r="M187" i="52"/>
  <c r="M188" i="52"/>
  <c r="M189" i="52"/>
  <c r="M190" i="52"/>
  <c r="M191" i="52"/>
  <c r="M192" i="52"/>
  <c r="M193" i="52"/>
  <c r="M194" i="52"/>
  <c r="M195" i="52"/>
  <c r="M196" i="52"/>
  <c r="M197" i="52"/>
  <c r="M198" i="52"/>
  <c r="M199" i="52"/>
  <c r="M200" i="52"/>
  <c r="M201" i="52"/>
  <c r="M202" i="52"/>
  <c r="M203" i="52"/>
  <c r="M204" i="52"/>
  <c r="M205" i="52"/>
  <c r="M206" i="52"/>
  <c r="M207" i="52"/>
  <c r="M208" i="52"/>
  <c r="M209" i="52"/>
  <c r="M210" i="52"/>
  <c r="M211" i="52"/>
  <c r="M212" i="52"/>
  <c r="M213" i="52"/>
  <c r="M214" i="52"/>
  <c r="M215" i="52"/>
  <c r="M216" i="52"/>
  <c r="M217" i="52"/>
  <c r="M218" i="52"/>
  <c r="M219" i="52"/>
  <c r="M220" i="52"/>
  <c r="M221" i="52"/>
  <c r="M222" i="52"/>
  <c r="M223" i="52"/>
  <c r="M224" i="52"/>
  <c r="M225" i="52"/>
  <c r="M226" i="52"/>
  <c r="M227" i="52"/>
  <c r="M228" i="52"/>
  <c r="M229" i="52"/>
  <c r="M230" i="52"/>
  <c r="M231" i="52"/>
  <c r="M232" i="52"/>
  <c r="M233" i="52"/>
  <c r="M234" i="52"/>
  <c r="M235" i="52"/>
  <c r="M236" i="52"/>
  <c r="M237" i="52"/>
  <c r="M238" i="52"/>
  <c r="M239" i="52"/>
  <c r="M240" i="52"/>
  <c r="M241" i="52"/>
  <c r="M242" i="52"/>
  <c r="M243" i="52"/>
  <c r="M244" i="52"/>
  <c r="M245" i="52"/>
  <c r="M246" i="52"/>
  <c r="M247" i="52"/>
  <c r="M248" i="52"/>
  <c r="M249" i="52"/>
  <c r="M250" i="52"/>
  <c r="M251" i="52"/>
  <c r="M252" i="52"/>
  <c r="M253" i="52"/>
  <c r="M254" i="52"/>
  <c r="M255" i="52"/>
  <c r="M256" i="52"/>
  <c r="M257" i="52"/>
  <c r="M10" i="52"/>
  <c r="F11" i="52"/>
  <c r="F12" i="52"/>
  <c r="F13" i="52"/>
  <c r="F14" i="52"/>
  <c r="F15" i="52"/>
  <c r="F16" i="52"/>
  <c r="F17" i="52"/>
  <c r="F18" i="52"/>
  <c r="F19" i="52"/>
  <c r="F20" i="52"/>
  <c r="F21" i="52"/>
  <c r="F22" i="52"/>
  <c r="F23" i="52"/>
  <c r="F24" i="52"/>
  <c r="F25" i="52"/>
  <c r="F26" i="52"/>
  <c r="F27" i="52"/>
  <c r="F28" i="52"/>
  <c r="F29" i="52"/>
  <c r="F30" i="52"/>
  <c r="F31" i="52"/>
  <c r="F32" i="52"/>
  <c r="F33" i="52"/>
  <c r="F34" i="52"/>
  <c r="F35" i="52"/>
  <c r="F36" i="52"/>
  <c r="F37" i="52"/>
  <c r="F38" i="52"/>
  <c r="F39" i="52"/>
  <c r="F40" i="52"/>
  <c r="F41" i="52"/>
  <c r="F42" i="52"/>
  <c r="F43" i="52"/>
  <c r="F44" i="52"/>
  <c r="F45" i="52"/>
  <c r="F46" i="52"/>
  <c r="F47" i="52"/>
  <c r="F48" i="52"/>
  <c r="F49" i="52"/>
  <c r="F50" i="52"/>
  <c r="F51" i="52"/>
  <c r="F52" i="52"/>
  <c r="F53" i="52"/>
  <c r="F54" i="52"/>
  <c r="F55" i="52"/>
  <c r="F56" i="52"/>
  <c r="F57" i="52"/>
  <c r="F58" i="52"/>
  <c r="F59" i="52"/>
  <c r="F60" i="52"/>
  <c r="F61" i="52"/>
  <c r="F62" i="52"/>
  <c r="F63" i="52"/>
  <c r="F64" i="52"/>
  <c r="F65" i="52"/>
  <c r="F66" i="52"/>
  <c r="F67" i="52"/>
  <c r="F68" i="52"/>
  <c r="F69" i="52"/>
  <c r="F70" i="52"/>
  <c r="F71" i="52"/>
  <c r="F72" i="52"/>
  <c r="F73" i="52"/>
  <c r="F74" i="52"/>
  <c r="F75" i="52"/>
  <c r="F76" i="52"/>
  <c r="F77" i="52"/>
  <c r="F78" i="52"/>
  <c r="F79" i="52"/>
  <c r="F80" i="52"/>
  <c r="F81" i="52"/>
  <c r="F82" i="52"/>
  <c r="F83" i="52"/>
  <c r="F84" i="52"/>
  <c r="F85" i="52"/>
  <c r="F86" i="52"/>
  <c r="F87" i="52"/>
  <c r="F88" i="52"/>
  <c r="F89" i="52"/>
  <c r="F90" i="52"/>
  <c r="F91" i="52"/>
  <c r="F92" i="52"/>
  <c r="F93" i="52"/>
  <c r="F94" i="52"/>
  <c r="F95" i="52"/>
  <c r="F96" i="52"/>
  <c r="F97" i="52"/>
  <c r="F98" i="52"/>
  <c r="F99" i="52"/>
  <c r="F100" i="52"/>
  <c r="F101" i="52"/>
  <c r="F102" i="52"/>
  <c r="F103" i="52"/>
  <c r="F104" i="52"/>
  <c r="F105" i="52"/>
  <c r="F106" i="52"/>
  <c r="F107" i="52"/>
  <c r="F108" i="52"/>
  <c r="F109" i="52"/>
  <c r="F110" i="52"/>
  <c r="F111" i="52"/>
  <c r="F112" i="52"/>
  <c r="F113" i="52"/>
  <c r="F114" i="52"/>
  <c r="F115" i="52"/>
  <c r="F116" i="52"/>
  <c r="F117" i="52"/>
  <c r="F118" i="52"/>
  <c r="F119" i="52"/>
  <c r="F120" i="52"/>
  <c r="F121" i="52"/>
  <c r="F122" i="52"/>
  <c r="F123" i="52"/>
  <c r="F124" i="52"/>
  <c r="F125" i="52"/>
  <c r="F126" i="52"/>
  <c r="F127" i="52"/>
  <c r="F128" i="52"/>
  <c r="F129" i="52"/>
  <c r="F130" i="52"/>
  <c r="F131" i="52"/>
  <c r="F132" i="52"/>
  <c r="F133" i="52"/>
  <c r="F134" i="52"/>
  <c r="F135" i="52"/>
  <c r="F136" i="52"/>
  <c r="F137" i="52"/>
  <c r="F138" i="52"/>
  <c r="F139" i="52"/>
  <c r="F140" i="52"/>
  <c r="F141" i="52"/>
  <c r="F142" i="52"/>
  <c r="F143" i="52"/>
  <c r="F144" i="52"/>
  <c r="F145" i="52"/>
  <c r="F146" i="52"/>
  <c r="F147" i="52"/>
  <c r="F148" i="52"/>
  <c r="F149" i="52"/>
  <c r="F150" i="52"/>
  <c r="F151" i="52"/>
  <c r="F152" i="52"/>
  <c r="F153" i="52"/>
  <c r="F154" i="52"/>
  <c r="F155" i="52"/>
  <c r="F156" i="52"/>
  <c r="F157" i="52"/>
  <c r="F158" i="52"/>
  <c r="F159" i="52"/>
  <c r="F160" i="52"/>
  <c r="F161" i="52"/>
  <c r="F162" i="52"/>
  <c r="F163" i="52"/>
  <c r="F164" i="52"/>
  <c r="F165" i="52"/>
  <c r="F166" i="52"/>
  <c r="F167" i="52"/>
  <c r="F168" i="52"/>
  <c r="F169" i="52"/>
  <c r="F170" i="52"/>
  <c r="F171" i="52"/>
  <c r="F172" i="52"/>
  <c r="F173" i="52"/>
  <c r="F174" i="52"/>
  <c r="F175" i="52"/>
  <c r="F176" i="52"/>
  <c r="F177" i="52"/>
  <c r="F178" i="52"/>
  <c r="F179" i="52"/>
  <c r="F180" i="52"/>
  <c r="F181" i="52"/>
  <c r="F182" i="52"/>
  <c r="F183" i="52"/>
  <c r="F184" i="52"/>
  <c r="F185" i="52"/>
  <c r="F186" i="52"/>
  <c r="F187" i="52"/>
  <c r="F188" i="52"/>
  <c r="F189" i="52"/>
  <c r="F190" i="52"/>
  <c r="F191" i="52"/>
  <c r="F192" i="52"/>
  <c r="F193" i="52"/>
  <c r="F194" i="52"/>
  <c r="F195" i="52"/>
  <c r="F196" i="52"/>
  <c r="F197" i="52"/>
  <c r="F198" i="52"/>
  <c r="F199" i="52"/>
  <c r="F200" i="52"/>
  <c r="F201" i="52"/>
  <c r="F202" i="52"/>
  <c r="F203" i="52"/>
  <c r="F204" i="52"/>
  <c r="F205" i="52"/>
  <c r="F206" i="52"/>
  <c r="F207" i="52"/>
  <c r="F208" i="52"/>
  <c r="F209" i="52"/>
  <c r="F210" i="52"/>
  <c r="F211" i="52"/>
  <c r="F212" i="52"/>
  <c r="F213" i="52"/>
  <c r="F214" i="52"/>
  <c r="F215" i="52"/>
  <c r="F216" i="52"/>
  <c r="F217" i="52"/>
  <c r="F218" i="52"/>
  <c r="F219" i="52"/>
  <c r="F220" i="52"/>
  <c r="F221" i="52"/>
  <c r="F222" i="52"/>
  <c r="F223" i="52"/>
  <c r="F224" i="52"/>
  <c r="F225" i="52"/>
  <c r="F226" i="52"/>
  <c r="F227" i="52"/>
  <c r="F228" i="52"/>
  <c r="F229" i="52"/>
  <c r="F230" i="52"/>
  <c r="F231" i="52"/>
  <c r="F232" i="52"/>
  <c r="F233" i="52"/>
  <c r="F234" i="52"/>
  <c r="F235" i="52"/>
  <c r="F236" i="52"/>
  <c r="F237" i="52"/>
  <c r="F238" i="52"/>
  <c r="F239" i="52"/>
  <c r="F240" i="52"/>
  <c r="F241" i="52"/>
  <c r="F242" i="52"/>
  <c r="F243" i="52"/>
  <c r="F244" i="52"/>
  <c r="F245" i="52"/>
  <c r="F246" i="52"/>
  <c r="F247" i="52"/>
  <c r="F248" i="52"/>
  <c r="F249" i="52"/>
  <c r="F250" i="52"/>
  <c r="F251" i="52"/>
  <c r="F252" i="52"/>
  <c r="F253" i="52"/>
  <c r="F254" i="52"/>
  <c r="F255" i="52"/>
  <c r="F256" i="52"/>
  <c r="F257" i="52"/>
  <c r="B3" i="57"/>
  <c r="L12" i="58"/>
  <c r="K12" i="58"/>
  <c r="E260" i="58"/>
  <c r="B3" i="58"/>
  <c r="F11" i="55"/>
  <c r="I11" i="55" s="1"/>
  <c r="AY11" i="55" s="1"/>
  <c r="F12" i="55"/>
  <c r="I12" i="55" s="1"/>
  <c r="AY12" i="55" s="1"/>
  <c r="F13" i="55"/>
  <c r="I13" i="55" s="1"/>
  <c r="AY13" i="55" s="1"/>
  <c r="F14" i="55"/>
  <c r="I14" i="55" s="1"/>
  <c r="AY14" i="55" s="1"/>
  <c r="F15" i="55"/>
  <c r="I15" i="55" s="1"/>
  <c r="AY15" i="55" s="1"/>
  <c r="F16" i="55"/>
  <c r="I16" i="55" s="1"/>
  <c r="AY16" i="55" s="1"/>
  <c r="F17" i="55"/>
  <c r="I17" i="55" s="1"/>
  <c r="AY17" i="55" s="1"/>
  <c r="F18" i="55"/>
  <c r="I18" i="55" s="1"/>
  <c r="AY18" i="55" s="1"/>
  <c r="F19" i="55"/>
  <c r="I19" i="55" s="1"/>
  <c r="AY19" i="55" s="1"/>
  <c r="F20" i="55"/>
  <c r="I20" i="55" s="1"/>
  <c r="AY20" i="55" s="1"/>
  <c r="F21" i="55"/>
  <c r="I21" i="55" s="1"/>
  <c r="AY21" i="55" s="1"/>
  <c r="F22" i="55"/>
  <c r="I22" i="55" s="1"/>
  <c r="AY22" i="55" s="1"/>
  <c r="F23" i="55"/>
  <c r="I23" i="55" s="1"/>
  <c r="AY23" i="55" s="1"/>
  <c r="F24" i="55"/>
  <c r="I24" i="55" s="1"/>
  <c r="AY24" i="55" s="1"/>
  <c r="F25" i="55"/>
  <c r="I25" i="55" s="1"/>
  <c r="AY25" i="55" s="1"/>
  <c r="F26" i="55"/>
  <c r="I26" i="55" s="1"/>
  <c r="AY26" i="55" s="1"/>
  <c r="F27" i="55"/>
  <c r="I27" i="55" s="1"/>
  <c r="AY27" i="55" s="1"/>
  <c r="F28" i="55"/>
  <c r="I28" i="55" s="1"/>
  <c r="AY28" i="55" s="1"/>
  <c r="F29" i="55"/>
  <c r="I29" i="55" s="1"/>
  <c r="AY29" i="55" s="1"/>
  <c r="F30" i="55"/>
  <c r="I30" i="55" s="1"/>
  <c r="AY30" i="55" s="1"/>
  <c r="F31" i="55"/>
  <c r="I31" i="55" s="1"/>
  <c r="AY31" i="55" s="1"/>
  <c r="F32" i="55"/>
  <c r="I32" i="55" s="1"/>
  <c r="AY32" i="55" s="1"/>
  <c r="F33" i="55"/>
  <c r="I33" i="55" s="1"/>
  <c r="AY33" i="55" s="1"/>
  <c r="F34" i="55"/>
  <c r="I34" i="55" s="1"/>
  <c r="AY34" i="55" s="1"/>
  <c r="F35" i="55"/>
  <c r="I35" i="55" s="1"/>
  <c r="AY35" i="55" s="1"/>
  <c r="F36" i="55"/>
  <c r="I36" i="55" s="1"/>
  <c r="AY36" i="55" s="1"/>
  <c r="F37" i="55"/>
  <c r="I37" i="55" s="1"/>
  <c r="AY37" i="55" s="1"/>
  <c r="F38" i="55"/>
  <c r="I38" i="55" s="1"/>
  <c r="AY38" i="55" s="1"/>
  <c r="F39" i="55"/>
  <c r="I39" i="55" s="1"/>
  <c r="AY39" i="55" s="1"/>
  <c r="F40" i="55"/>
  <c r="I40" i="55" s="1"/>
  <c r="AY40" i="55" s="1"/>
  <c r="F41" i="55"/>
  <c r="I41" i="55" s="1"/>
  <c r="AY41" i="55" s="1"/>
  <c r="F42" i="55"/>
  <c r="I42" i="55" s="1"/>
  <c r="AY42" i="55" s="1"/>
  <c r="F43" i="55"/>
  <c r="I43" i="55" s="1"/>
  <c r="AY43" i="55" s="1"/>
  <c r="F44" i="55"/>
  <c r="I44" i="55" s="1"/>
  <c r="AY44" i="55" s="1"/>
  <c r="F45" i="55"/>
  <c r="I45" i="55" s="1"/>
  <c r="AY45" i="55" s="1"/>
  <c r="F46" i="55"/>
  <c r="I46" i="55" s="1"/>
  <c r="AY46" i="55" s="1"/>
  <c r="F47" i="55"/>
  <c r="I47" i="55" s="1"/>
  <c r="AY47" i="55" s="1"/>
  <c r="F48" i="55"/>
  <c r="I48" i="55" s="1"/>
  <c r="AY48" i="55" s="1"/>
  <c r="F49" i="55"/>
  <c r="I49" i="55" s="1"/>
  <c r="AY49" i="55" s="1"/>
  <c r="F50" i="55"/>
  <c r="I50" i="55" s="1"/>
  <c r="AY50" i="55" s="1"/>
  <c r="F51" i="55"/>
  <c r="I51" i="55" s="1"/>
  <c r="AY51" i="55" s="1"/>
  <c r="F52" i="55"/>
  <c r="I52" i="55" s="1"/>
  <c r="AY52" i="55" s="1"/>
  <c r="F53" i="55"/>
  <c r="I53" i="55" s="1"/>
  <c r="AY53" i="55" s="1"/>
  <c r="F54" i="55"/>
  <c r="I54" i="55" s="1"/>
  <c r="AY54" i="55" s="1"/>
  <c r="F55" i="55"/>
  <c r="I55" i="55" s="1"/>
  <c r="AY55" i="55" s="1"/>
  <c r="F56" i="55"/>
  <c r="I56" i="55" s="1"/>
  <c r="AY56" i="55" s="1"/>
  <c r="F57" i="55"/>
  <c r="I57" i="55" s="1"/>
  <c r="AY57" i="55" s="1"/>
  <c r="F58" i="55"/>
  <c r="I58" i="55" s="1"/>
  <c r="AY58" i="55" s="1"/>
  <c r="F59" i="55"/>
  <c r="I59" i="55" s="1"/>
  <c r="AY59" i="55" s="1"/>
  <c r="F60" i="55"/>
  <c r="I60" i="55" s="1"/>
  <c r="AY60" i="55" s="1"/>
  <c r="F61" i="55"/>
  <c r="I61" i="55" s="1"/>
  <c r="AY61" i="55" s="1"/>
  <c r="F62" i="55"/>
  <c r="I62" i="55" s="1"/>
  <c r="AY62" i="55" s="1"/>
  <c r="F63" i="55"/>
  <c r="I63" i="55" s="1"/>
  <c r="AY63" i="55" s="1"/>
  <c r="F64" i="55"/>
  <c r="I64" i="55" s="1"/>
  <c r="AY64" i="55" s="1"/>
  <c r="F65" i="55"/>
  <c r="I65" i="55" s="1"/>
  <c r="AY65" i="55" s="1"/>
  <c r="F66" i="55"/>
  <c r="I66" i="55" s="1"/>
  <c r="AY66" i="55" s="1"/>
  <c r="F67" i="55"/>
  <c r="I67" i="55" s="1"/>
  <c r="AY67" i="55" s="1"/>
  <c r="F68" i="55"/>
  <c r="I68" i="55" s="1"/>
  <c r="AY68" i="55" s="1"/>
  <c r="F69" i="55"/>
  <c r="I69" i="55" s="1"/>
  <c r="AY69" i="55" s="1"/>
  <c r="F70" i="55"/>
  <c r="I70" i="55" s="1"/>
  <c r="AY70" i="55" s="1"/>
  <c r="F71" i="55"/>
  <c r="I71" i="55" s="1"/>
  <c r="AY71" i="55" s="1"/>
  <c r="F72" i="55"/>
  <c r="I72" i="55" s="1"/>
  <c r="AY72" i="55" s="1"/>
  <c r="F73" i="55"/>
  <c r="I73" i="55" s="1"/>
  <c r="AY73" i="55" s="1"/>
  <c r="F74" i="55"/>
  <c r="I74" i="55" s="1"/>
  <c r="AY74" i="55" s="1"/>
  <c r="F75" i="55"/>
  <c r="I75" i="55" s="1"/>
  <c r="AY75" i="55" s="1"/>
  <c r="F76" i="55"/>
  <c r="I76" i="55" s="1"/>
  <c r="AY76" i="55" s="1"/>
  <c r="F77" i="55"/>
  <c r="I77" i="55" s="1"/>
  <c r="AY77" i="55" s="1"/>
  <c r="F78" i="55"/>
  <c r="I78" i="55" s="1"/>
  <c r="AY78" i="55" s="1"/>
  <c r="F79" i="55"/>
  <c r="I79" i="55" s="1"/>
  <c r="AY79" i="55" s="1"/>
  <c r="F80" i="55"/>
  <c r="I80" i="55" s="1"/>
  <c r="AY80" i="55" s="1"/>
  <c r="F81" i="55"/>
  <c r="I81" i="55" s="1"/>
  <c r="AY81" i="55" s="1"/>
  <c r="F82" i="55"/>
  <c r="I82" i="55" s="1"/>
  <c r="AY82" i="55" s="1"/>
  <c r="F83" i="55"/>
  <c r="I83" i="55" s="1"/>
  <c r="AY83" i="55" s="1"/>
  <c r="F84" i="55"/>
  <c r="I84" i="55" s="1"/>
  <c r="AY84" i="55" s="1"/>
  <c r="F85" i="55"/>
  <c r="I85" i="55" s="1"/>
  <c r="AY85" i="55" s="1"/>
  <c r="F86" i="55"/>
  <c r="I86" i="55" s="1"/>
  <c r="AY86" i="55" s="1"/>
  <c r="F87" i="55"/>
  <c r="I87" i="55" s="1"/>
  <c r="AY87" i="55" s="1"/>
  <c r="F88" i="55"/>
  <c r="I88" i="55" s="1"/>
  <c r="AY88" i="55" s="1"/>
  <c r="F89" i="55"/>
  <c r="I89" i="55" s="1"/>
  <c r="AY89" i="55" s="1"/>
  <c r="F90" i="55"/>
  <c r="I90" i="55" s="1"/>
  <c r="AY90" i="55" s="1"/>
  <c r="F91" i="55"/>
  <c r="I91" i="55" s="1"/>
  <c r="AY91" i="55" s="1"/>
  <c r="F92" i="55"/>
  <c r="I92" i="55" s="1"/>
  <c r="AY92" i="55" s="1"/>
  <c r="F93" i="55"/>
  <c r="I93" i="55" s="1"/>
  <c r="AY93" i="55" s="1"/>
  <c r="F94" i="55"/>
  <c r="I94" i="55" s="1"/>
  <c r="AY94" i="55" s="1"/>
  <c r="F95" i="55"/>
  <c r="I95" i="55" s="1"/>
  <c r="AY95" i="55" s="1"/>
  <c r="F96" i="55"/>
  <c r="I96" i="55" s="1"/>
  <c r="AY96" i="55" s="1"/>
  <c r="F97" i="55"/>
  <c r="I97" i="55" s="1"/>
  <c r="AY97" i="55" s="1"/>
  <c r="F98" i="55"/>
  <c r="I98" i="55" s="1"/>
  <c r="AY98" i="55" s="1"/>
  <c r="F99" i="55"/>
  <c r="I99" i="55" s="1"/>
  <c r="AY99" i="55" s="1"/>
  <c r="F100" i="55"/>
  <c r="I100" i="55" s="1"/>
  <c r="AY100" i="55" s="1"/>
  <c r="F101" i="55"/>
  <c r="I101" i="55" s="1"/>
  <c r="AY101" i="55" s="1"/>
  <c r="F102" i="55"/>
  <c r="I102" i="55" s="1"/>
  <c r="AY102" i="55" s="1"/>
  <c r="F103" i="55"/>
  <c r="I103" i="55" s="1"/>
  <c r="AY103" i="55" s="1"/>
  <c r="F104" i="55"/>
  <c r="I104" i="55" s="1"/>
  <c r="AY104" i="55" s="1"/>
  <c r="F105" i="55"/>
  <c r="I105" i="55" s="1"/>
  <c r="AY105" i="55" s="1"/>
  <c r="F106" i="55"/>
  <c r="I106" i="55" s="1"/>
  <c r="AY106" i="55" s="1"/>
  <c r="F107" i="55"/>
  <c r="I107" i="55" s="1"/>
  <c r="AY107" i="55" s="1"/>
  <c r="F108" i="55"/>
  <c r="I108" i="55" s="1"/>
  <c r="AY108" i="55" s="1"/>
  <c r="F109" i="55"/>
  <c r="I109" i="55" s="1"/>
  <c r="AY109" i="55" s="1"/>
  <c r="F110" i="55"/>
  <c r="I110" i="55" s="1"/>
  <c r="AY110" i="55" s="1"/>
  <c r="F111" i="55"/>
  <c r="I111" i="55" s="1"/>
  <c r="AY111" i="55" s="1"/>
  <c r="F112" i="55"/>
  <c r="I112" i="55" s="1"/>
  <c r="AY112" i="55" s="1"/>
  <c r="F113" i="55"/>
  <c r="I113" i="55" s="1"/>
  <c r="AY113" i="55" s="1"/>
  <c r="F114" i="55"/>
  <c r="I114" i="55" s="1"/>
  <c r="AY114" i="55" s="1"/>
  <c r="F115" i="55"/>
  <c r="I115" i="55" s="1"/>
  <c r="AY115" i="55" s="1"/>
  <c r="F116" i="55"/>
  <c r="I116" i="55" s="1"/>
  <c r="AY116" i="55" s="1"/>
  <c r="F117" i="55"/>
  <c r="I117" i="55" s="1"/>
  <c r="AY117" i="55" s="1"/>
  <c r="F118" i="55"/>
  <c r="I118" i="55" s="1"/>
  <c r="AY118" i="55" s="1"/>
  <c r="F119" i="55"/>
  <c r="I119" i="55" s="1"/>
  <c r="AY119" i="55" s="1"/>
  <c r="F120" i="55"/>
  <c r="I120" i="55" s="1"/>
  <c r="AY120" i="55" s="1"/>
  <c r="F121" i="55"/>
  <c r="I121" i="55" s="1"/>
  <c r="AY121" i="55" s="1"/>
  <c r="F122" i="55"/>
  <c r="I122" i="55" s="1"/>
  <c r="AY122" i="55" s="1"/>
  <c r="F123" i="55"/>
  <c r="I123" i="55" s="1"/>
  <c r="AY123" i="55" s="1"/>
  <c r="F124" i="55"/>
  <c r="I124" i="55" s="1"/>
  <c r="AY124" i="55" s="1"/>
  <c r="F125" i="55"/>
  <c r="I125" i="55" s="1"/>
  <c r="AY125" i="55" s="1"/>
  <c r="F126" i="55"/>
  <c r="I126" i="55" s="1"/>
  <c r="AY126" i="55" s="1"/>
  <c r="F127" i="55"/>
  <c r="I127" i="55" s="1"/>
  <c r="AY127" i="55" s="1"/>
  <c r="F128" i="55"/>
  <c r="I128" i="55" s="1"/>
  <c r="AY128" i="55" s="1"/>
  <c r="F129" i="55"/>
  <c r="I129" i="55" s="1"/>
  <c r="AY129" i="55" s="1"/>
  <c r="F130" i="55"/>
  <c r="I130" i="55" s="1"/>
  <c r="AY130" i="55" s="1"/>
  <c r="F131" i="55"/>
  <c r="I131" i="55" s="1"/>
  <c r="AY131" i="55" s="1"/>
  <c r="F132" i="55"/>
  <c r="I132" i="55" s="1"/>
  <c r="AY132" i="55" s="1"/>
  <c r="F133" i="55"/>
  <c r="I133" i="55" s="1"/>
  <c r="AY133" i="55" s="1"/>
  <c r="F134" i="55"/>
  <c r="I134" i="55" s="1"/>
  <c r="AY134" i="55" s="1"/>
  <c r="F135" i="55"/>
  <c r="I135" i="55" s="1"/>
  <c r="AY135" i="55" s="1"/>
  <c r="F136" i="55"/>
  <c r="I136" i="55" s="1"/>
  <c r="AY136" i="55" s="1"/>
  <c r="F137" i="55"/>
  <c r="I137" i="55" s="1"/>
  <c r="AY137" i="55" s="1"/>
  <c r="F138" i="55"/>
  <c r="I138" i="55" s="1"/>
  <c r="AY138" i="55" s="1"/>
  <c r="F139" i="55"/>
  <c r="I139" i="55" s="1"/>
  <c r="AY139" i="55" s="1"/>
  <c r="F140" i="55"/>
  <c r="I140" i="55" s="1"/>
  <c r="AY140" i="55" s="1"/>
  <c r="F141" i="55"/>
  <c r="I141" i="55" s="1"/>
  <c r="AY141" i="55" s="1"/>
  <c r="F142" i="55"/>
  <c r="I142" i="55" s="1"/>
  <c r="AY142" i="55" s="1"/>
  <c r="F143" i="55"/>
  <c r="I143" i="55" s="1"/>
  <c r="AY143" i="55" s="1"/>
  <c r="F144" i="55"/>
  <c r="I144" i="55" s="1"/>
  <c r="AY144" i="55" s="1"/>
  <c r="F145" i="55"/>
  <c r="I145" i="55" s="1"/>
  <c r="AY145" i="55" s="1"/>
  <c r="F146" i="55"/>
  <c r="I146" i="55" s="1"/>
  <c r="AY146" i="55" s="1"/>
  <c r="F147" i="55"/>
  <c r="I147" i="55" s="1"/>
  <c r="AY147" i="55" s="1"/>
  <c r="F148" i="55"/>
  <c r="I148" i="55" s="1"/>
  <c r="AY148" i="55" s="1"/>
  <c r="F149" i="55"/>
  <c r="I149" i="55" s="1"/>
  <c r="AY149" i="55" s="1"/>
  <c r="F150" i="55"/>
  <c r="I150" i="55" s="1"/>
  <c r="AY150" i="55" s="1"/>
  <c r="F151" i="55"/>
  <c r="I151" i="55" s="1"/>
  <c r="AY151" i="55" s="1"/>
  <c r="F152" i="55"/>
  <c r="I152" i="55" s="1"/>
  <c r="AY152" i="55" s="1"/>
  <c r="F153" i="55"/>
  <c r="I153" i="55" s="1"/>
  <c r="AY153" i="55" s="1"/>
  <c r="F154" i="55"/>
  <c r="I154" i="55" s="1"/>
  <c r="AY154" i="55" s="1"/>
  <c r="F155" i="55"/>
  <c r="I155" i="55" s="1"/>
  <c r="AY155" i="55" s="1"/>
  <c r="F156" i="55"/>
  <c r="I156" i="55" s="1"/>
  <c r="AY156" i="55" s="1"/>
  <c r="F157" i="55"/>
  <c r="I157" i="55" s="1"/>
  <c r="AY157" i="55" s="1"/>
  <c r="F158" i="55"/>
  <c r="I158" i="55" s="1"/>
  <c r="AY158" i="55" s="1"/>
  <c r="F159" i="55"/>
  <c r="I159" i="55" s="1"/>
  <c r="AY159" i="55" s="1"/>
  <c r="F160" i="55"/>
  <c r="I160" i="55" s="1"/>
  <c r="AY160" i="55" s="1"/>
  <c r="F161" i="55"/>
  <c r="I161" i="55" s="1"/>
  <c r="AY161" i="55" s="1"/>
  <c r="F162" i="55"/>
  <c r="I162" i="55" s="1"/>
  <c r="AY162" i="55" s="1"/>
  <c r="F163" i="55"/>
  <c r="I163" i="55" s="1"/>
  <c r="AY163" i="55" s="1"/>
  <c r="F164" i="55"/>
  <c r="I164" i="55" s="1"/>
  <c r="AY164" i="55" s="1"/>
  <c r="F165" i="55"/>
  <c r="I165" i="55" s="1"/>
  <c r="AY165" i="55" s="1"/>
  <c r="F166" i="55"/>
  <c r="I166" i="55" s="1"/>
  <c r="AY166" i="55" s="1"/>
  <c r="F167" i="55"/>
  <c r="I167" i="55" s="1"/>
  <c r="AY167" i="55" s="1"/>
  <c r="F168" i="55"/>
  <c r="I168" i="55" s="1"/>
  <c r="AY168" i="55" s="1"/>
  <c r="F169" i="55"/>
  <c r="I169" i="55" s="1"/>
  <c r="AY169" i="55" s="1"/>
  <c r="F170" i="55"/>
  <c r="I170" i="55" s="1"/>
  <c r="AY170" i="55" s="1"/>
  <c r="F171" i="55"/>
  <c r="I171" i="55" s="1"/>
  <c r="AY171" i="55" s="1"/>
  <c r="F172" i="55"/>
  <c r="I172" i="55" s="1"/>
  <c r="AY172" i="55" s="1"/>
  <c r="F173" i="55"/>
  <c r="I173" i="55" s="1"/>
  <c r="AY173" i="55" s="1"/>
  <c r="F174" i="55"/>
  <c r="I174" i="55" s="1"/>
  <c r="AY174" i="55" s="1"/>
  <c r="F175" i="55"/>
  <c r="I175" i="55" s="1"/>
  <c r="AY175" i="55" s="1"/>
  <c r="F176" i="55"/>
  <c r="I176" i="55" s="1"/>
  <c r="AY176" i="55" s="1"/>
  <c r="F177" i="55"/>
  <c r="I177" i="55" s="1"/>
  <c r="AY177" i="55" s="1"/>
  <c r="F178" i="55"/>
  <c r="I178" i="55" s="1"/>
  <c r="AY178" i="55" s="1"/>
  <c r="F179" i="55"/>
  <c r="I179" i="55" s="1"/>
  <c r="AY179" i="55" s="1"/>
  <c r="F180" i="55"/>
  <c r="I180" i="55" s="1"/>
  <c r="AY180" i="55" s="1"/>
  <c r="F181" i="55"/>
  <c r="I181" i="55" s="1"/>
  <c r="AY181" i="55" s="1"/>
  <c r="F182" i="55"/>
  <c r="I182" i="55" s="1"/>
  <c r="AY182" i="55" s="1"/>
  <c r="F183" i="55"/>
  <c r="I183" i="55" s="1"/>
  <c r="AY183" i="55" s="1"/>
  <c r="F184" i="55"/>
  <c r="I184" i="55" s="1"/>
  <c r="AY184" i="55" s="1"/>
  <c r="F185" i="55"/>
  <c r="I185" i="55" s="1"/>
  <c r="AY185" i="55" s="1"/>
  <c r="F186" i="55"/>
  <c r="I186" i="55" s="1"/>
  <c r="AY186" i="55" s="1"/>
  <c r="F187" i="55"/>
  <c r="I187" i="55" s="1"/>
  <c r="AY187" i="55" s="1"/>
  <c r="F188" i="55"/>
  <c r="I188" i="55" s="1"/>
  <c r="AY188" i="55" s="1"/>
  <c r="F189" i="55"/>
  <c r="I189" i="55" s="1"/>
  <c r="AY189" i="55" s="1"/>
  <c r="F190" i="55"/>
  <c r="I190" i="55" s="1"/>
  <c r="AY190" i="55" s="1"/>
  <c r="F191" i="55"/>
  <c r="I191" i="55" s="1"/>
  <c r="AY191" i="55" s="1"/>
  <c r="F192" i="55"/>
  <c r="I192" i="55" s="1"/>
  <c r="AY192" i="55" s="1"/>
  <c r="F193" i="55"/>
  <c r="I193" i="55" s="1"/>
  <c r="AY193" i="55" s="1"/>
  <c r="F194" i="55"/>
  <c r="I194" i="55" s="1"/>
  <c r="AY194" i="55" s="1"/>
  <c r="F195" i="55"/>
  <c r="I195" i="55" s="1"/>
  <c r="AY195" i="55" s="1"/>
  <c r="F196" i="55"/>
  <c r="I196" i="55" s="1"/>
  <c r="AY196" i="55" s="1"/>
  <c r="F197" i="55"/>
  <c r="I197" i="55" s="1"/>
  <c r="AY197" i="55" s="1"/>
  <c r="F198" i="55"/>
  <c r="I198" i="55" s="1"/>
  <c r="AY198" i="55" s="1"/>
  <c r="F199" i="55"/>
  <c r="I199" i="55" s="1"/>
  <c r="AY199" i="55" s="1"/>
  <c r="F200" i="55"/>
  <c r="I200" i="55" s="1"/>
  <c r="AY200" i="55" s="1"/>
  <c r="F201" i="55"/>
  <c r="I201" i="55" s="1"/>
  <c r="AY201" i="55" s="1"/>
  <c r="F202" i="55"/>
  <c r="I202" i="55" s="1"/>
  <c r="AY202" i="55" s="1"/>
  <c r="F203" i="55"/>
  <c r="I203" i="55" s="1"/>
  <c r="AY203" i="55" s="1"/>
  <c r="F204" i="55"/>
  <c r="I204" i="55" s="1"/>
  <c r="AY204" i="55" s="1"/>
  <c r="F205" i="55"/>
  <c r="I205" i="55" s="1"/>
  <c r="AY205" i="55" s="1"/>
  <c r="F206" i="55"/>
  <c r="I206" i="55" s="1"/>
  <c r="AY206" i="55" s="1"/>
  <c r="F207" i="55"/>
  <c r="I207" i="55" s="1"/>
  <c r="AY207" i="55" s="1"/>
  <c r="F208" i="55"/>
  <c r="I208" i="55" s="1"/>
  <c r="AY208" i="55" s="1"/>
  <c r="F209" i="55"/>
  <c r="I209" i="55" s="1"/>
  <c r="AY209" i="55" s="1"/>
  <c r="F210" i="55"/>
  <c r="I210" i="55" s="1"/>
  <c r="AY210" i="55" s="1"/>
  <c r="F211" i="55"/>
  <c r="I211" i="55" s="1"/>
  <c r="AY211" i="55" s="1"/>
  <c r="F212" i="55"/>
  <c r="I212" i="55" s="1"/>
  <c r="AY212" i="55" s="1"/>
  <c r="F213" i="55"/>
  <c r="I213" i="55" s="1"/>
  <c r="AY213" i="55" s="1"/>
  <c r="F214" i="55"/>
  <c r="I214" i="55" s="1"/>
  <c r="AY214" i="55" s="1"/>
  <c r="F215" i="55"/>
  <c r="I215" i="55" s="1"/>
  <c r="AY215" i="55" s="1"/>
  <c r="F216" i="55"/>
  <c r="I216" i="55" s="1"/>
  <c r="AY216" i="55" s="1"/>
  <c r="F217" i="55"/>
  <c r="I217" i="55" s="1"/>
  <c r="AY217" i="55" s="1"/>
  <c r="F218" i="55"/>
  <c r="I218" i="55" s="1"/>
  <c r="AY218" i="55" s="1"/>
  <c r="F219" i="55"/>
  <c r="I219" i="55" s="1"/>
  <c r="AY219" i="55" s="1"/>
  <c r="F220" i="55"/>
  <c r="I220" i="55" s="1"/>
  <c r="AY220" i="55" s="1"/>
  <c r="F221" i="55"/>
  <c r="I221" i="55" s="1"/>
  <c r="AY221" i="55" s="1"/>
  <c r="F222" i="55"/>
  <c r="I222" i="55" s="1"/>
  <c r="AY222" i="55" s="1"/>
  <c r="F223" i="55"/>
  <c r="I223" i="55" s="1"/>
  <c r="AY223" i="55" s="1"/>
  <c r="F224" i="55"/>
  <c r="I224" i="55" s="1"/>
  <c r="AY224" i="55" s="1"/>
  <c r="F225" i="55"/>
  <c r="I225" i="55" s="1"/>
  <c r="AY225" i="55" s="1"/>
  <c r="F226" i="55"/>
  <c r="I226" i="55" s="1"/>
  <c r="AY226" i="55" s="1"/>
  <c r="F227" i="55"/>
  <c r="I227" i="55" s="1"/>
  <c r="AY227" i="55" s="1"/>
  <c r="F228" i="55"/>
  <c r="I228" i="55" s="1"/>
  <c r="AY228" i="55" s="1"/>
  <c r="F229" i="55"/>
  <c r="I229" i="55" s="1"/>
  <c r="AY229" i="55" s="1"/>
  <c r="F230" i="55"/>
  <c r="I230" i="55" s="1"/>
  <c r="AY230" i="55" s="1"/>
  <c r="F231" i="55"/>
  <c r="I231" i="55" s="1"/>
  <c r="AY231" i="55" s="1"/>
  <c r="F232" i="55"/>
  <c r="I232" i="55" s="1"/>
  <c r="AY232" i="55" s="1"/>
  <c r="F233" i="55"/>
  <c r="I233" i="55" s="1"/>
  <c r="AY233" i="55" s="1"/>
  <c r="F234" i="55"/>
  <c r="I234" i="55" s="1"/>
  <c r="AY234" i="55" s="1"/>
  <c r="F235" i="55"/>
  <c r="I235" i="55" s="1"/>
  <c r="AY235" i="55" s="1"/>
  <c r="F236" i="55"/>
  <c r="I236" i="55" s="1"/>
  <c r="AY236" i="55" s="1"/>
  <c r="F237" i="55"/>
  <c r="I237" i="55" s="1"/>
  <c r="AY237" i="55" s="1"/>
  <c r="F238" i="55"/>
  <c r="I238" i="55" s="1"/>
  <c r="AY238" i="55" s="1"/>
  <c r="F239" i="55"/>
  <c r="I239" i="55" s="1"/>
  <c r="AY239" i="55" s="1"/>
  <c r="F240" i="55"/>
  <c r="I240" i="55" s="1"/>
  <c r="AY240" i="55" s="1"/>
  <c r="F241" i="55"/>
  <c r="I241" i="55" s="1"/>
  <c r="AY241" i="55" s="1"/>
  <c r="F242" i="55"/>
  <c r="I242" i="55" s="1"/>
  <c r="AY242" i="55" s="1"/>
  <c r="F243" i="55"/>
  <c r="I243" i="55" s="1"/>
  <c r="AY243" i="55" s="1"/>
  <c r="F244" i="55"/>
  <c r="I244" i="55" s="1"/>
  <c r="AY244" i="55" s="1"/>
  <c r="F245" i="55"/>
  <c r="I245" i="55" s="1"/>
  <c r="AY245" i="55" s="1"/>
  <c r="F246" i="55"/>
  <c r="I246" i="55" s="1"/>
  <c r="AY246" i="55" s="1"/>
  <c r="F247" i="55"/>
  <c r="I247" i="55" s="1"/>
  <c r="AY247" i="55" s="1"/>
  <c r="F248" i="55"/>
  <c r="I248" i="55" s="1"/>
  <c r="AY248" i="55" s="1"/>
  <c r="F249" i="55"/>
  <c r="I249" i="55" s="1"/>
  <c r="AY249" i="55" s="1"/>
  <c r="F250" i="55"/>
  <c r="I250" i="55" s="1"/>
  <c r="AY250" i="55" s="1"/>
  <c r="F251" i="55"/>
  <c r="I251" i="55" s="1"/>
  <c r="AY251" i="55" s="1"/>
  <c r="F252" i="55"/>
  <c r="I252" i="55" s="1"/>
  <c r="AY252" i="55" s="1"/>
  <c r="F253" i="55"/>
  <c r="I253" i="55" s="1"/>
  <c r="AY253" i="55" s="1"/>
  <c r="F254" i="55"/>
  <c r="I254" i="55" s="1"/>
  <c r="AY254" i="55" s="1"/>
  <c r="F255" i="55"/>
  <c r="I255" i="55" s="1"/>
  <c r="AY255" i="55" s="1"/>
  <c r="F256" i="55"/>
  <c r="I256" i="55" s="1"/>
  <c r="AY256" i="55" s="1"/>
  <c r="F257" i="55"/>
  <c r="I257" i="55" s="1"/>
  <c r="AY257" i="55" s="1"/>
  <c r="T258" i="55"/>
  <c r="S258" i="55"/>
  <c r="E258" i="55"/>
  <c r="AI257" i="55"/>
  <c r="AH257" i="55"/>
  <c r="AI256" i="55"/>
  <c r="AH256" i="55"/>
  <c r="AI255" i="55"/>
  <c r="AH255" i="55"/>
  <c r="AI254" i="55"/>
  <c r="AH254" i="55"/>
  <c r="AI253" i="55"/>
  <c r="AH253" i="55"/>
  <c r="AI252" i="55"/>
  <c r="AH252" i="55"/>
  <c r="AI251" i="55"/>
  <c r="AH251" i="55"/>
  <c r="AI250" i="55"/>
  <c r="AH250" i="55"/>
  <c r="AI249" i="55"/>
  <c r="AH249" i="55"/>
  <c r="AI248" i="55"/>
  <c r="AH248" i="55"/>
  <c r="AI247" i="55"/>
  <c r="AH247" i="55"/>
  <c r="AI246" i="55"/>
  <c r="AH246" i="55"/>
  <c r="AI245" i="55"/>
  <c r="AH245" i="55"/>
  <c r="AI244" i="55"/>
  <c r="AH244" i="55"/>
  <c r="AI243" i="55"/>
  <c r="AH243" i="55"/>
  <c r="AI242" i="55"/>
  <c r="AH242" i="55"/>
  <c r="AI241" i="55"/>
  <c r="AH241" i="55"/>
  <c r="AI240" i="55"/>
  <c r="AH240" i="55"/>
  <c r="AI239" i="55"/>
  <c r="AH239" i="55"/>
  <c r="AI238" i="55"/>
  <c r="AH238" i="55"/>
  <c r="AI237" i="55"/>
  <c r="AH237" i="55"/>
  <c r="AI236" i="55"/>
  <c r="AH236" i="55"/>
  <c r="AI235" i="55"/>
  <c r="AH235" i="55"/>
  <c r="AI234" i="55"/>
  <c r="AH234" i="55"/>
  <c r="AI233" i="55"/>
  <c r="AH233" i="55"/>
  <c r="AI232" i="55"/>
  <c r="AH232" i="55"/>
  <c r="AI231" i="55"/>
  <c r="AH231" i="55"/>
  <c r="AI230" i="55"/>
  <c r="AH230" i="55"/>
  <c r="AI229" i="55"/>
  <c r="AH229" i="55"/>
  <c r="AI228" i="55"/>
  <c r="AH228" i="55"/>
  <c r="AI227" i="55"/>
  <c r="AH227" i="55"/>
  <c r="AI226" i="55"/>
  <c r="AH226" i="55"/>
  <c r="AI225" i="55"/>
  <c r="AH225" i="55"/>
  <c r="AI224" i="55"/>
  <c r="AH224" i="55"/>
  <c r="AI223" i="55"/>
  <c r="AH223" i="55"/>
  <c r="AI222" i="55"/>
  <c r="AH222" i="55"/>
  <c r="AI221" i="55"/>
  <c r="AH221" i="55"/>
  <c r="AI220" i="55"/>
  <c r="AH220" i="55"/>
  <c r="AI219" i="55"/>
  <c r="AH219" i="55"/>
  <c r="AI218" i="55"/>
  <c r="AH218" i="55"/>
  <c r="AI217" i="55"/>
  <c r="AH217" i="55"/>
  <c r="AI216" i="55"/>
  <c r="AH216" i="55"/>
  <c r="AI215" i="55"/>
  <c r="AH215" i="55"/>
  <c r="AI214" i="55"/>
  <c r="AH214" i="55"/>
  <c r="AI213" i="55"/>
  <c r="AH213" i="55"/>
  <c r="AI212" i="55"/>
  <c r="AH212" i="55"/>
  <c r="AI211" i="55"/>
  <c r="AH211" i="55"/>
  <c r="AI210" i="55"/>
  <c r="AH210" i="55"/>
  <c r="AI209" i="55"/>
  <c r="AH209" i="55"/>
  <c r="AI208" i="55"/>
  <c r="AH208" i="55"/>
  <c r="AI207" i="55"/>
  <c r="AH207" i="55"/>
  <c r="AI206" i="55"/>
  <c r="AH206" i="55"/>
  <c r="AI205" i="55"/>
  <c r="AH205" i="55"/>
  <c r="AI204" i="55"/>
  <c r="AH204" i="55"/>
  <c r="AI203" i="55"/>
  <c r="AH203" i="55"/>
  <c r="AI202" i="55"/>
  <c r="AH202" i="55"/>
  <c r="AI201" i="55"/>
  <c r="AH201" i="55"/>
  <c r="AI200" i="55"/>
  <c r="AH200" i="55"/>
  <c r="AI199" i="55"/>
  <c r="AH199" i="55"/>
  <c r="AI198" i="55"/>
  <c r="AH198" i="55"/>
  <c r="AI197" i="55"/>
  <c r="AH197" i="55"/>
  <c r="AI196" i="55"/>
  <c r="AH196" i="55"/>
  <c r="AI195" i="55"/>
  <c r="AH195" i="55"/>
  <c r="AI194" i="55"/>
  <c r="AH194" i="55"/>
  <c r="AI193" i="55"/>
  <c r="AH193" i="55"/>
  <c r="AI192" i="55"/>
  <c r="AH192" i="55"/>
  <c r="AI191" i="55"/>
  <c r="AH191" i="55"/>
  <c r="AI190" i="55"/>
  <c r="AH190" i="55"/>
  <c r="AI189" i="55"/>
  <c r="AH189" i="55"/>
  <c r="AI188" i="55"/>
  <c r="AH188" i="55"/>
  <c r="AI187" i="55"/>
  <c r="AH187" i="55"/>
  <c r="AI186" i="55"/>
  <c r="AH186" i="55"/>
  <c r="AI185" i="55"/>
  <c r="AH185" i="55"/>
  <c r="AI184" i="55"/>
  <c r="AH184" i="55"/>
  <c r="AI183" i="55"/>
  <c r="AH183" i="55"/>
  <c r="AI182" i="55"/>
  <c r="AH182" i="55"/>
  <c r="AI181" i="55"/>
  <c r="AH181" i="55"/>
  <c r="AI180" i="55"/>
  <c r="AH180" i="55"/>
  <c r="AI179" i="55"/>
  <c r="AH179" i="55"/>
  <c r="AI178" i="55"/>
  <c r="AH178" i="55"/>
  <c r="AI177" i="55"/>
  <c r="AH177" i="55"/>
  <c r="AI176" i="55"/>
  <c r="AH176" i="55"/>
  <c r="AI175" i="55"/>
  <c r="AH175" i="55"/>
  <c r="AI174" i="55"/>
  <c r="AH174" i="55"/>
  <c r="AI173" i="55"/>
  <c r="AH173" i="55"/>
  <c r="AI172" i="55"/>
  <c r="AH172" i="55"/>
  <c r="AI171" i="55"/>
  <c r="AH171" i="55"/>
  <c r="AI170" i="55"/>
  <c r="AH170" i="55"/>
  <c r="AI169" i="55"/>
  <c r="AH169" i="55"/>
  <c r="AI168" i="55"/>
  <c r="AH168" i="55"/>
  <c r="AI167" i="55"/>
  <c r="AH167" i="55"/>
  <c r="AI166" i="55"/>
  <c r="AH166" i="55"/>
  <c r="AI165" i="55"/>
  <c r="AH165" i="55"/>
  <c r="AI164" i="55"/>
  <c r="AH164" i="55"/>
  <c r="AI163" i="55"/>
  <c r="AH163" i="55"/>
  <c r="AI162" i="55"/>
  <c r="AH162" i="55"/>
  <c r="AI161" i="55"/>
  <c r="AH161" i="55"/>
  <c r="AI160" i="55"/>
  <c r="AH160" i="55"/>
  <c r="AI159" i="55"/>
  <c r="AH159" i="55"/>
  <c r="AI158" i="55"/>
  <c r="AH158" i="55"/>
  <c r="AI157" i="55"/>
  <c r="AH157" i="55"/>
  <c r="AI156" i="55"/>
  <c r="AH156" i="55"/>
  <c r="AI155" i="55"/>
  <c r="AH155" i="55"/>
  <c r="AI154" i="55"/>
  <c r="AH154" i="55"/>
  <c r="AI153" i="55"/>
  <c r="AH153" i="55"/>
  <c r="AI152" i="55"/>
  <c r="AH152" i="55"/>
  <c r="AI151" i="55"/>
  <c r="AH151" i="55"/>
  <c r="AI150" i="55"/>
  <c r="AH150" i="55"/>
  <c r="AI149" i="55"/>
  <c r="AH149" i="55"/>
  <c r="AI148" i="55"/>
  <c r="AH148" i="55"/>
  <c r="AI147" i="55"/>
  <c r="AH147" i="55"/>
  <c r="AI146" i="55"/>
  <c r="AH146" i="55"/>
  <c r="AI145" i="55"/>
  <c r="AH145" i="55"/>
  <c r="AI144" i="55"/>
  <c r="AH144" i="55"/>
  <c r="AI143" i="55"/>
  <c r="AH143" i="55"/>
  <c r="AI142" i="55"/>
  <c r="AH142" i="55"/>
  <c r="AI141" i="55"/>
  <c r="AH141" i="55"/>
  <c r="AI140" i="55"/>
  <c r="AH140" i="55"/>
  <c r="AI139" i="55"/>
  <c r="AH139" i="55"/>
  <c r="AI138" i="55"/>
  <c r="AH138" i="55"/>
  <c r="AI137" i="55"/>
  <c r="AH137" i="55"/>
  <c r="AI136" i="55"/>
  <c r="AH136" i="55"/>
  <c r="AI135" i="55"/>
  <c r="AH135" i="55"/>
  <c r="AI134" i="55"/>
  <c r="AH134" i="55"/>
  <c r="AI133" i="55"/>
  <c r="AH133" i="55"/>
  <c r="AI132" i="55"/>
  <c r="AH132" i="55"/>
  <c r="AI131" i="55"/>
  <c r="AH131" i="55"/>
  <c r="AI130" i="55"/>
  <c r="AH130" i="55"/>
  <c r="AI129" i="55"/>
  <c r="AH129" i="55"/>
  <c r="AI128" i="55"/>
  <c r="AH128" i="55"/>
  <c r="AI127" i="55"/>
  <c r="AH127" i="55"/>
  <c r="AI126" i="55"/>
  <c r="AH126" i="55"/>
  <c r="AI125" i="55"/>
  <c r="AH125" i="55"/>
  <c r="AI124" i="55"/>
  <c r="AH124" i="55"/>
  <c r="AI123" i="55"/>
  <c r="AH123" i="55"/>
  <c r="AI122" i="55"/>
  <c r="AH122" i="55"/>
  <c r="AI121" i="55"/>
  <c r="AH121" i="55"/>
  <c r="AI120" i="55"/>
  <c r="AH120" i="55"/>
  <c r="AI119" i="55"/>
  <c r="AH119" i="55"/>
  <c r="AI118" i="55"/>
  <c r="AH118" i="55"/>
  <c r="AI117" i="55"/>
  <c r="AH117" i="55"/>
  <c r="AI116" i="55"/>
  <c r="AH116" i="55"/>
  <c r="AI115" i="55"/>
  <c r="AH115" i="55"/>
  <c r="AI114" i="55"/>
  <c r="AH114" i="55"/>
  <c r="AI113" i="55"/>
  <c r="AH113" i="55"/>
  <c r="AI112" i="55"/>
  <c r="AH112" i="55"/>
  <c r="AI111" i="55"/>
  <c r="AH111" i="55"/>
  <c r="AI110" i="55"/>
  <c r="AH110" i="55"/>
  <c r="AI109" i="55"/>
  <c r="AH109" i="55"/>
  <c r="AI108" i="55"/>
  <c r="AH108" i="55"/>
  <c r="AI107" i="55"/>
  <c r="AH107" i="55"/>
  <c r="AI106" i="55"/>
  <c r="AH106" i="55"/>
  <c r="AI105" i="55"/>
  <c r="AH105" i="55"/>
  <c r="AI104" i="55"/>
  <c r="AH104" i="55"/>
  <c r="AI103" i="55"/>
  <c r="AH103" i="55"/>
  <c r="AI102" i="55"/>
  <c r="AH102" i="55"/>
  <c r="AI101" i="55"/>
  <c r="AH101" i="55"/>
  <c r="AI100" i="55"/>
  <c r="AH100" i="55"/>
  <c r="AI99" i="55"/>
  <c r="AH99" i="55"/>
  <c r="AI98" i="55"/>
  <c r="AH98" i="55"/>
  <c r="AI97" i="55"/>
  <c r="AH97" i="55"/>
  <c r="AI96" i="55"/>
  <c r="AH96" i="55"/>
  <c r="AI95" i="55"/>
  <c r="AH95" i="55"/>
  <c r="AI94" i="55"/>
  <c r="AH94" i="55"/>
  <c r="AI93" i="55"/>
  <c r="AH93" i="55"/>
  <c r="AI92" i="55"/>
  <c r="AH92" i="55"/>
  <c r="AI91" i="55"/>
  <c r="AH91" i="55"/>
  <c r="AI90" i="55"/>
  <c r="AH90" i="55"/>
  <c r="AI89" i="55"/>
  <c r="AH89" i="55"/>
  <c r="AI88" i="55"/>
  <c r="AH88" i="55"/>
  <c r="AI87" i="55"/>
  <c r="AH87" i="55"/>
  <c r="AI86" i="55"/>
  <c r="AH86" i="55"/>
  <c r="AI85" i="55"/>
  <c r="AH85" i="55"/>
  <c r="AI84" i="55"/>
  <c r="AH84" i="55"/>
  <c r="AI83" i="55"/>
  <c r="AH83" i="55"/>
  <c r="AI82" i="55"/>
  <c r="AH82" i="55"/>
  <c r="AI81" i="55"/>
  <c r="AH81" i="55"/>
  <c r="AI80" i="55"/>
  <c r="AH80" i="55"/>
  <c r="AI79" i="55"/>
  <c r="AH79" i="55"/>
  <c r="AI78" i="55"/>
  <c r="AH78" i="55"/>
  <c r="AI77" i="55"/>
  <c r="AH77" i="55"/>
  <c r="AI76" i="55"/>
  <c r="AH76" i="55"/>
  <c r="AI75" i="55"/>
  <c r="AH75" i="55"/>
  <c r="AI74" i="55"/>
  <c r="AH74" i="55"/>
  <c r="AI73" i="55"/>
  <c r="AH73" i="55"/>
  <c r="AI72" i="55"/>
  <c r="AH72" i="55"/>
  <c r="AI71" i="55"/>
  <c r="AH71" i="55"/>
  <c r="AI70" i="55"/>
  <c r="AH70" i="55"/>
  <c r="AI69" i="55"/>
  <c r="AH69" i="55"/>
  <c r="AI68" i="55"/>
  <c r="AH68" i="55"/>
  <c r="AI67" i="55"/>
  <c r="AH67" i="55"/>
  <c r="AI66" i="55"/>
  <c r="AH66" i="55"/>
  <c r="AI65" i="55"/>
  <c r="AH65" i="55"/>
  <c r="AI64" i="55"/>
  <c r="AH64" i="55"/>
  <c r="AI63" i="55"/>
  <c r="AH63" i="55"/>
  <c r="AI62" i="55"/>
  <c r="AH62" i="55"/>
  <c r="AI61" i="55"/>
  <c r="AH61" i="55"/>
  <c r="AI60" i="55"/>
  <c r="AH60" i="55"/>
  <c r="AI59" i="55"/>
  <c r="AH59" i="55"/>
  <c r="AI58" i="55"/>
  <c r="AH58" i="55"/>
  <c r="AI57" i="55"/>
  <c r="AH57" i="55"/>
  <c r="AI56" i="55"/>
  <c r="AH56" i="55"/>
  <c r="AI55" i="55"/>
  <c r="AH55" i="55"/>
  <c r="AI54" i="55"/>
  <c r="AH54" i="55"/>
  <c r="AI53" i="55"/>
  <c r="AH53" i="55"/>
  <c r="AI52" i="55"/>
  <c r="AH52" i="55"/>
  <c r="AI51" i="55"/>
  <c r="AH51" i="55"/>
  <c r="AI50" i="55"/>
  <c r="AH50" i="55"/>
  <c r="AI49" i="55"/>
  <c r="AH49" i="55"/>
  <c r="AI48" i="55"/>
  <c r="AH48" i="55"/>
  <c r="AI47" i="55"/>
  <c r="AH47" i="55"/>
  <c r="AI46" i="55"/>
  <c r="AH46" i="55"/>
  <c r="AI45" i="55"/>
  <c r="AH45" i="55"/>
  <c r="AI44" i="55"/>
  <c r="AH44" i="55"/>
  <c r="AI43" i="55"/>
  <c r="AH43" i="55"/>
  <c r="AI42" i="55"/>
  <c r="AH42" i="55"/>
  <c r="AI41" i="55"/>
  <c r="AH41" i="55"/>
  <c r="AI40" i="55"/>
  <c r="AH40" i="55"/>
  <c r="AI39" i="55"/>
  <c r="AH39" i="55"/>
  <c r="AI38" i="55"/>
  <c r="AH38" i="55"/>
  <c r="AI37" i="55"/>
  <c r="AH37" i="55"/>
  <c r="AI36" i="55"/>
  <c r="AH36" i="55"/>
  <c r="AI35" i="55"/>
  <c r="AH35" i="55"/>
  <c r="AI34" i="55"/>
  <c r="AH34" i="55"/>
  <c r="AI33" i="55"/>
  <c r="AH33" i="55"/>
  <c r="AI32" i="55"/>
  <c r="AH32" i="55"/>
  <c r="AI31" i="55"/>
  <c r="AH31" i="55"/>
  <c r="AI30" i="55"/>
  <c r="AH30" i="55"/>
  <c r="AI29" i="55"/>
  <c r="AH29" i="55"/>
  <c r="AI28" i="55"/>
  <c r="AH28" i="55"/>
  <c r="AI27" i="55"/>
  <c r="AH27" i="55"/>
  <c r="AI26" i="55"/>
  <c r="AH26" i="55"/>
  <c r="AI25" i="55"/>
  <c r="AH25" i="55"/>
  <c r="AI24" i="55"/>
  <c r="AH24" i="55"/>
  <c r="AI23" i="55"/>
  <c r="AH23" i="55"/>
  <c r="AI22" i="55"/>
  <c r="AH22" i="55"/>
  <c r="AI21" i="55"/>
  <c r="AH21" i="55"/>
  <c r="AI20" i="55"/>
  <c r="AH20" i="55"/>
  <c r="AI19" i="55"/>
  <c r="AH19" i="55"/>
  <c r="AI18" i="55"/>
  <c r="AH18" i="55"/>
  <c r="AI17" i="55"/>
  <c r="AH17" i="55"/>
  <c r="AI16" i="55"/>
  <c r="AH16" i="55"/>
  <c r="AI15" i="55"/>
  <c r="AH15" i="55"/>
  <c r="AI14" i="55"/>
  <c r="AH14" i="55"/>
  <c r="AI13" i="55"/>
  <c r="AH13" i="55"/>
  <c r="AI12" i="55"/>
  <c r="AH12" i="55"/>
  <c r="AI11" i="55"/>
  <c r="AH11" i="55"/>
  <c r="AI10" i="55"/>
  <c r="AH10" i="55"/>
  <c r="B3" i="55"/>
  <c r="B3" i="53"/>
  <c r="M13" i="42"/>
  <c r="P13" i="42" s="1"/>
  <c r="M14" i="42"/>
  <c r="P14" i="42" s="1"/>
  <c r="M15" i="42"/>
  <c r="P15" i="42" s="1"/>
  <c r="M16" i="42"/>
  <c r="P16" i="42" s="1"/>
  <c r="M17" i="42"/>
  <c r="P17" i="42" s="1"/>
  <c r="M18" i="42"/>
  <c r="P18" i="42" s="1"/>
  <c r="M19" i="42"/>
  <c r="P19" i="42" s="1"/>
  <c r="M20" i="42"/>
  <c r="P20" i="42" s="1"/>
  <c r="M21" i="42"/>
  <c r="P21" i="42" s="1"/>
  <c r="M22" i="42"/>
  <c r="M23" i="42"/>
  <c r="M24" i="42"/>
  <c r="M25" i="42"/>
  <c r="M26" i="42"/>
  <c r="M27" i="42"/>
  <c r="M28" i="42"/>
  <c r="M29" i="42"/>
  <c r="M30" i="42"/>
  <c r="M31" i="42"/>
  <c r="M32" i="42"/>
  <c r="M33" i="42"/>
  <c r="M34" i="42"/>
  <c r="M35" i="42"/>
  <c r="M36" i="42"/>
  <c r="M37" i="42"/>
  <c r="M38" i="42"/>
  <c r="M39" i="42"/>
  <c r="M40" i="42"/>
  <c r="M41" i="42"/>
  <c r="M42" i="42"/>
  <c r="M43" i="42"/>
  <c r="M44" i="42"/>
  <c r="M45" i="42"/>
  <c r="M46" i="42"/>
  <c r="M47" i="42"/>
  <c r="M48" i="42"/>
  <c r="M49" i="42"/>
  <c r="M50" i="42"/>
  <c r="M51" i="42"/>
  <c r="M52" i="42"/>
  <c r="M53" i="42"/>
  <c r="M54" i="42"/>
  <c r="M55" i="42"/>
  <c r="M56" i="42"/>
  <c r="M57" i="42"/>
  <c r="M58" i="42"/>
  <c r="M59" i="42"/>
  <c r="M60" i="42"/>
  <c r="M61" i="42"/>
  <c r="M62" i="42"/>
  <c r="M63" i="42"/>
  <c r="M64" i="42"/>
  <c r="M65" i="42"/>
  <c r="M66" i="42"/>
  <c r="M67" i="42"/>
  <c r="M68" i="42"/>
  <c r="M69" i="42"/>
  <c r="M70" i="42"/>
  <c r="M71" i="42"/>
  <c r="M72" i="42"/>
  <c r="M73" i="42"/>
  <c r="M74" i="42"/>
  <c r="M75" i="42"/>
  <c r="M76" i="42"/>
  <c r="M77" i="42"/>
  <c r="M78" i="42"/>
  <c r="M79" i="42"/>
  <c r="M80" i="42"/>
  <c r="M81" i="42"/>
  <c r="M82" i="42"/>
  <c r="M83" i="42"/>
  <c r="M84" i="42"/>
  <c r="M85" i="42"/>
  <c r="M86" i="42"/>
  <c r="M87" i="42"/>
  <c r="M88" i="42"/>
  <c r="M89" i="42"/>
  <c r="M90" i="42"/>
  <c r="M91" i="42"/>
  <c r="M92" i="42"/>
  <c r="M93" i="42"/>
  <c r="M94" i="42"/>
  <c r="M95" i="42"/>
  <c r="M96" i="42"/>
  <c r="M97" i="42"/>
  <c r="M98" i="42"/>
  <c r="M99" i="42"/>
  <c r="M100" i="42"/>
  <c r="M101" i="42"/>
  <c r="M102" i="42"/>
  <c r="M103" i="42"/>
  <c r="M104" i="42"/>
  <c r="M105" i="42"/>
  <c r="M106" i="42"/>
  <c r="M107" i="42"/>
  <c r="M108" i="42"/>
  <c r="M109" i="42"/>
  <c r="M110" i="42"/>
  <c r="M111" i="42"/>
  <c r="M112" i="42"/>
  <c r="M113" i="42"/>
  <c r="M114" i="42"/>
  <c r="M115" i="42"/>
  <c r="M116" i="42"/>
  <c r="M117" i="42"/>
  <c r="M118" i="42"/>
  <c r="M119" i="42"/>
  <c r="M120" i="42"/>
  <c r="M121" i="42"/>
  <c r="M122" i="42"/>
  <c r="M123" i="42"/>
  <c r="M124" i="42"/>
  <c r="M125" i="42"/>
  <c r="M126" i="42"/>
  <c r="M127" i="42"/>
  <c r="M128" i="42"/>
  <c r="M129" i="42"/>
  <c r="M130" i="42"/>
  <c r="M131" i="42"/>
  <c r="M132" i="42"/>
  <c r="M133" i="42"/>
  <c r="M134" i="42"/>
  <c r="M135" i="42"/>
  <c r="M136" i="42"/>
  <c r="M137" i="42"/>
  <c r="M138" i="42"/>
  <c r="M139" i="42"/>
  <c r="M140" i="42"/>
  <c r="M141" i="42"/>
  <c r="M142" i="42"/>
  <c r="M143" i="42"/>
  <c r="M144" i="42"/>
  <c r="M145" i="42"/>
  <c r="M146" i="42"/>
  <c r="M147" i="42"/>
  <c r="M148" i="42"/>
  <c r="M149" i="42"/>
  <c r="M150" i="42"/>
  <c r="M151" i="42"/>
  <c r="M152" i="42"/>
  <c r="M153" i="42"/>
  <c r="M154" i="42"/>
  <c r="M155" i="42"/>
  <c r="M156" i="42"/>
  <c r="M157" i="42"/>
  <c r="M158" i="42"/>
  <c r="M159" i="42"/>
  <c r="M160" i="42"/>
  <c r="M161" i="42"/>
  <c r="M162" i="42"/>
  <c r="M163" i="42"/>
  <c r="M164" i="42"/>
  <c r="M165" i="42"/>
  <c r="M166" i="42"/>
  <c r="M167" i="42"/>
  <c r="M168" i="42"/>
  <c r="M169" i="42"/>
  <c r="M170" i="42"/>
  <c r="M171" i="42"/>
  <c r="M172" i="42"/>
  <c r="M173" i="42"/>
  <c r="M174" i="42"/>
  <c r="M175" i="42"/>
  <c r="M176" i="42"/>
  <c r="M177" i="42"/>
  <c r="M178" i="42"/>
  <c r="M179" i="42"/>
  <c r="M180" i="42"/>
  <c r="M181" i="42"/>
  <c r="M182" i="42"/>
  <c r="M183" i="42"/>
  <c r="M184" i="42"/>
  <c r="M185" i="42"/>
  <c r="M186" i="42"/>
  <c r="M187" i="42"/>
  <c r="M188" i="42"/>
  <c r="M189" i="42"/>
  <c r="M190" i="42"/>
  <c r="M191" i="42"/>
  <c r="M192" i="42"/>
  <c r="M193" i="42"/>
  <c r="M194" i="42"/>
  <c r="M195" i="42"/>
  <c r="M196" i="42"/>
  <c r="M197" i="42"/>
  <c r="M198" i="42"/>
  <c r="M199" i="42"/>
  <c r="M200" i="42"/>
  <c r="M201" i="42"/>
  <c r="M202" i="42"/>
  <c r="M203" i="42"/>
  <c r="M204" i="42"/>
  <c r="M205" i="42"/>
  <c r="M206" i="42"/>
  <c r="M207" i="42"/>
  <c r="M208" i="42"/>
  <c r="M209" i="42"/>
  <c r="M210" i="42"/>
  <c r="M211" i="42"/>
  <c r="M212" i="42"/>
  <c r="M213" i="42"/>
  <c r="M214" i="42"/>
  <c r="M215" i="42"/>
  <c r="M216" i="42"/>
  <c r="M217" i="42"/>
  <c r="M218" i="42"/>
  <c r="M219" i="42"/>
  <c r="M220" i="42"/>
  <c r="M221" i="42"/>
  <c r="M222" i="42"/>
  <c r="M223" i="42"/>
  <c r="M224" i="42"/>
  <c r="M225" i="42"/>
  <c r="M226" i="42"/>
  <c r="M227" i="42"/>
  <c r="M228" i="42"/>
  <c r="M229" i="42"/>
  <c r="M230" i="42"/>
  <c r="M231" i="42"/>
  <c r="M232" i="42"/>
  <c r="M233" i="42"/>
  <c r="M234" i="42"/>
  <c r="M235" i="42"/>
  <c r="M236" i="42"/>
  <c r="M237" i="42"/>
  <c r="M238" i="42"/>
  <c r="M239" i="42"/>
  <c r="M240" i="42"/>
  <c r="M241" i="42"/>
  <c r="M242" i="42"/>
  <c r="M243" i="42"/>
  <c r="M244" i="42"/>
  <c r="M245" i="42"/>
  <c r="M246" i="42"/>
  <c r="M247" i="42"/>
  <c r="M248" i="42"/>
  <c r="M249" i="42"/>
  <c r="M250" i="42"/>
  <c r="M251" i="42"/>
  <c r="M252" i="42"/>
  <c r="M253" i="42"/>
  <c r="M254" i="42"/>
  <c r="M255" i="42"/>
  <c r="M256" i="42"/>
  <c r="M257" i="42"/>
  <c r="M258" i="42"/>
  <c r="M259" i="42"/>
  <c r="E260" i="42"/>
  <c r="B3" i="42"/>
  <c r="K11" i="52"/>
  <c r="K12" i="52"/>
  <c r="K13" i="52"/>
  <c r="K14" i="52"/>
  <c r="K15" i="52"/>
  <c r="K16" i="52"/>
  <c r="K17" i="52"/>
  <c r="K18" i="52"/>
  <c r="K19" i="52"/>
  <c r="K20" i="52"/>
  <c r="K21" i="52"/>
  <c r="K22" i="52"/>
  <c r="K23" i="52"/>
  <c r="K24" i="52"/>
  <c r="K25" i="52"/>
  <c r="K26" i="52"/>
  <c r="K27" i="52"/>
  <c r="K28" i="52"/>
  <c r="K29" i="52"/>
  <c r="K30" i="52"/>
  <c r="K31" i="52"/>
  <c r="K32" i="52"/>
  <c r="K33" i="52"/>
  <c r="K34" i="52"/>
  <c r="K35" i="52"/>
  <c r="K36" i="52"/>
  <c r="K37" i="52"/>
  <c r="K38" i="52"/>
  <c r="K39" i="52"/>
  <c r="K40" i="52"/>
  <c r="K41" i="52"/>
  <c r="K42" i="52"/>
  <c r="K43" i="52"/>
  <c r="K44" i="52"/>
  <c r="K45" i="52"/>
  <c r="K46" i="52"/>
  <c r="K47" i="52"/>
  <c r="K48" i="52"/>
  <c r="K49" i="52"/>
  <c r="K50" i="52"/>
  <c r="K51" i="52"/>
  <c r="K52" i="52"/>
  <c r="K53" i="52"/>
  <c r="K54" i="52"/>
  <c r="K55" i="52"/>
  <c r="K56" i="52"/>
  <c r="K57" i="52"/>
  <c r="K58" i="52"/>
  <c r="K59" i="52"/>
  <c r="K60" i="52"/>
  <c r="K61" i="52"/>
  <c r="K62" i="52"/>
  <c r="K63" i="52"/>
  <c r="K64" i="52"/>
  <c r="K65" i="52"/>
  <c r="K66" i="52"/>
  <c r="K67" i="52"/>
  <c r="K68" i="52"/>
  <c r="K69" i="52"/>
  <c r="K70" i="52"/>
  <c r="K71" i="52"/>
  <c r="K72" i="52"/>
  <c r="K73" i="52"/>
  <c r="K74" i="52"/>
  <c r="K75" i="52"/>
  <c r="K76" i="52"/>
  <c r="K77" i="52"/>
  <c r="K78" i="52"/>
  <c r="K79" i="52"/>
  <c r="K80" i="52"/>
  <c r="K81" i="52"/>
  <c r="K82" i="52"/>
  <c r="K83" i="52"/>
  <c r="K84" i="52"/>
  <c r="K85" i="52"/>
  <c r="K86" i="52"/>
  <c r="K87" i="52"/>
  <c r="K88" i="52"/>
  <c r="K89" i="52"/>
  <c r="K90" i="52"/>
  <c r="K91" i="52"/>
  <c r="K92" i="52"/>
  <c r="K93" i="52"/>
  <c r="K94" i="52"/>
  <c r="K95" i="52"/>
  <c r="K96" i="52"/>
  <c r="K97" i="52"/>
  <c r="K98" i="52"/>
  <c r="K99" i="52"/>
  <c r="K100" i="52"/>
  <c r="K101" i="52"/>
  <c r="K102" i="52"/>
  <c r="K103" i="52"/>
  <c r="K104" i="52"/>
  <c r="K105" i="52"/>
  <c r="K106" i="52"/>
  <c r="K107" i="52"/>
  <c r="K108" i="52"/>
  <c r="K109" i="52"/>
  <c r="K110" i="52"/>
  <c r="K111" i="52"/>
  <c r="K112" i="52"/>
  <c r="K113" i="52"/>
  <c r="K114" i="52"/>
  <c r="K115" i="52"/>
  <c r="K116" i="52"/>
  <c r="K117" i="52"/>
  <c r="K118" i="52"/>
  <c r="K119" i="52"/>
  <c r="K120" i="52"/>
  <c r="K121" i="52"/>
  <c r="K122" i="52"/>
  <c r="K123" i="52"/>
  <c r="K124" i="52"/>
  <c r="K125" i="52"/>
  <c r="K126" i="52"/>
  <c r="K127" i="52"/>
  <c r="K128" i="52"/>
  <c r="K129" i="52"/>
  <c r="K130" i="52"/>
  <c r="K131" i="52"/>
  <c r="K132" i="52"/>
  <c r="K133" i="52"/>
  <c r="K134" i="52"/>
  <c r="K135" i="52"/>
  <c r="K136" i="52"/>
  <c r="K137" i="52"/>
  <c r="K138" i="52"/>
  <c r="K139" i="52"/>
  <c r="K140" i="52"/>
  <c r="K141" i="52"/>
  <c r="K142" i="52"/>
  <c r="K143" i="52"/>
  <c r="K144" i="52"/>
  <c r="K145" i="52"/>
  <c r="K146" i="52"/>
  <c r="K147" i="52"/>
  <c r="K148" i="52"/>
  <c r="K149" i="52"/>
  <c r="K150" i="52"/>
  <c r="K151" i="52"/>
  <c r="K152" i="52"/>
  <c r="K153" i="52"/>
  <c r="K154" i="52"/>
  <c r="K155" i="52"/>
  <c r="K156" i="52"/>
  <c r="K157" i="52"/>
  <c r="K158" i="52"/>
  <c r="K159" i="52"/>
  <c r="K160" i="52"/>
  <c r="K161" i="52"/>
  <c r="K162" i="52"/>
  <c r="K163" i="52"/>
  <c r="K164" i="52"/>
  <c r="K165" i="52"/>
  <c r="K166" i="52"/>
  <c r="K167" i="52"/>
  <c r="K168" i="52"/>
  <c r="K169" i="52"/>
  <c r="K170" i="52"/>
  <c r="K171" i="52"/>
  <c r="K172" i="52"/>
  <c r="K173" i="52"/>
  <c r="K174" i="52"/>
  <c r="K175" i="52"/>
  <c r="K176" i="52"/>
  <c r="K177" i="52"/>
  <c r="K178" i="52"/>
  <c r="K179" i="52"/>
  <c r="K180" i="52"/>
  <c r="K181" i="52"/>
  <c r="K182" i="52"/>
  <c r="K183" i="52"/>
  <c r="K184" i="52"/>
  <c r="K185" i="52"/>
  <c r="K186" i="52"/>
  <c r="K187" i="52"/>
  <c r="K188" i="52"/>
  <c r="K189" i="52"/>
  <c r="K190" i="52"/>
  <c r="K191" i="52"/>
  <c r="K192" i="52"/>
  <c r="K193" i="52"/>
  <c r="K194" i="52"/>
  <c r="K195" i="52"/>
  <c r="K196" i="52"/>
  <c r="K197" i="52"/>
  <c r="K198" i="52"/>
  <c r="K199" i="52"/>
  <c r="K200" i="52"/>
  <c r="K201" i="52"/>
  <c r="K202" i="52"/>
  <c r="K203" i="52"/>
  <c r="K204" i="52"/>
  <c r="K205" i="52"/>
  <c r="K206" i="52"/>
  <c r="K207" i="52"/>
  <c r="K208" i="52"/>
  <c r="K209" i="52"/>
  <c r="K210" i="52"/>
  <c r="K10" i="52"/>
  <c r="Q258" i="52"/>
  <c r="P258" i="52"/>
  <c r="E258" i="52"/>
  <c r="AF257" i="52"/>
  <c r="AE257" i="52"/>
  <c r="AF256" i="52"/>
  <c r="AE256" i="52"/>
  <c r="AF255" i="52"/>
  <c r="AE255" i="52"/>
  <c r="AF254" i="52"/>
  <c r="AE254" i="52"/>
  <c r="AF253" i="52"/>
  <c r="AE253" i="52"/>
  <c r="AF252" i="52"/>
  <c r="AE252" i="52"/>
  <c r="AF251" i="52"/>
  <c r="AE251" i="52"/>
  <c r="AF250" i="52"/>
  <c r="AE250" i="52"/>
  <c r="AF249" i="52"/>
  <c r="AE249" i="52"/>
  <c r="AF248" i="52"/>
  <c r="AE248" i="52"/>
  <c r="AF247" i="52"/>
  <c r="AE247" i="52"/>
  <c r="AF246" i="52"/>
  <c r="AE246" i="52"/>
  <c r="AF245" i="52"/>
  <c r="AE245" i="52"/>
  <c r="AF244" i="52"/>
  <c r="AE244" i="52"/>
  <c r="AF243" i="52"/>
  <c r="AE243" i="52"/>
  <c r="AF242" i="52"/>
  <c r="AE242" i="52"/>
  <c r="AF241" i="52"/>
  <c r="AE241" i="52"/>
  <c r="AF240" i="52"/>
  <c r="AE240" i="52"/>
  <c r="AF239" i="52"/>
  <c r="AE239" i="52"/>
  <c r="AF238" i="52"/>
  <c r="AE238" i="52"/>
  <c r="AF237" i="52"/>
  <c r="AE237" i="52"/>
  <c r="AF236" i="52"/>
  <c r="AE236" i="52"/>
  <c r="AF235" i="52"/>
  <c r="AE235" i="52"/>
  <c r="AF234" i="52"/>
  <c r="AE234" i="52"/>
  <c r="AF233" i="52"/>
  <c r="AE233" i="52"/>
  <c r="AF232" i="52"/>
  <c r="AE232" i="52"/>
  <c r="AF231" i="52"/>
  <c r="AE231" i="52"/>
  <c r="AF230" i="52"/>
  <c r="AE230" i="52"/>
  <c r="AF229" i="52"/>
  <c r="AE229" i="52"/>
  <c r="AF228" i="52"/>
  <c r="AE228" i="52"/>
  <c r="AF227" i="52"/>
  <c r="AE227" i="52"/>
  <c r="AF226" i="52"/>
  <c r="AE226" i="52"/>
  <c r="AF225" i="52"/>
  <c r="AE225" i="52"/>
  <c r="AF224" i="52"/>
  <c r="AE224" i="52"/>
  <c r="AF223" i="52"/>
  <c r="AE223" i="52"/>
  <c r="AF222" i="52"/>
  <c r="AE222" i="52"/>
  <c r="AF221" i="52"/>
  <c r="AE221" i="52"/>
  <c r="AF220" i="52"/>
  <c r="AE220" i="52"/>
  <c r="AF219" i="52"/>
  <c r="AE219" i="52"/>
  <c r="AF218" i="52"/>
  <c r="AE218" i="52"/>
  <c r="AF217" i="52"/>
  <c r="AE217" i="52"/>
  <c r="AF216" i="52"/>
  <c r="AE216" i="52"/>
  <c r="AF215" i="52"/>
  <c r="AE215" i="52"/>
  <c r="AF214" i="52"/>
  <c r="AE214" i="52"/>
  <c r="AF213" i="52"/>
  <c r="AE213" i="52"/>
  <c r="AF212" i="52"/>
  <c r="AE212" i="52"/>
  <c r="AF211" i="52"/>
  <c r="AE211" i="52"/>
  <c r="AF210" i="52"/>
  <c r="AE210" i="52"/>
  <c r="AF209" i="52"/>
  <c r="AE209" i="52"/>
  <c r="AF208" i="52"/>
  <c r="AE208" i="52"/>
  <c r="AF207" i="52"/>
  <c r="AE207" i="52"/>
  <c r="AF206" i="52"/>
  <c r="AE206" i="52"/>
  <c r="AF205" i="52"/>
  <c r="AE205" i="52"/>
  <c r="AF204" i="52"/>
  <c r="AE204" i="52"/>
  <c r="AF203" i="52"/>
  <c r="AE203" i="52"/>
  <c r="AF202" i="52"/>
  <c r="AE202" i="52"/>
  <c r="AF201" i="52"/>
  <c r="AE201" i="52"/>
  <c r="AF200" i="52"/>
  <c r="AE200" i="52"/>
  <c r="AF199" i="52"/>
  <c r="AE199" i="52"/>
  <c r="AF198" i="52"/>
  <c r="AE198" i="52"/>
  <c r="AF197" i="52"/>
  <c r="AE197" i="52"/>
  <c r="AF196" i="52"/>
  <c r="AE196" i="52"/>
  <c r="AF195" i="52"/>
  <c r="AE195" i="52"/>
  <c r="AF194" i="52"/>
  <c r="AE194" i="52"/>
  <c r="AF193" i="52"/>
  <c r="AE193" i="52"/>
  <c r="AF192" i="52"/>
  <c r="AE192" i="52"/>
  <c r="AF191" i="52"/>
  <c r="AE191" i="52"/>
  <c r="AF190" i="52"/>
  <c r="AE190" i="52"/>
  <c r="AF189" i="52"/>
  <c r="AE189" i="52"/>
  <c r="AF188" i="52"/>
  <c r="AE188" i="52"/>
  <c r="AF187" i="52"/>
  <c r="AE187" i="52"/>
  <c r="AF186" i="52"/>
  <c r="AE186" i="52"/>
  <c r="AF185" i="52"/>
  <c r="AE185" i="52"/>
  <c r="AF184" i="52"/>
  <c r="AE184" i="52"/>
  <c r="AF183" i="52"/>
  <c r="AE183" i="52"/>
  <c r="AF182" i="52"/>
  <c r="AE182" i="52"/>
  <c r="AF181" i="52"/>
  <c r="AE181" i="52"/>
  <c r="AF180" i="52"/>
  <c r="AE180" i="52"/>
  <c r="AF179" i="52"/>
  <c r="AE179" i="52"/>
  <c r="AF178" i="52"/>
  <c r="AE178" i="52"/>
  <c r="AF177" i="52"/>
  <c r="AE177" i="52"/>
  <c r="AF176" i="52"/>
  <c r="AE176" i="52"/>
  <c r="AF175" i="52"/>
  <c r="AE175" i="52"/>
  <c r="AF174" i="52"/>
  <c r="AE174" i="52"/>
  <c r="AF173" i="52"/>
  <c r="AE173" i="52"/>
  <c r="AF172" i="52"/>
  <c r="AE172" i="52"/>
  <c r="AF171" i="52"/>
  <c r="AE171" i="52"/>
  <c r="AF170" i="52"/>
  <c r="AE170" i="52"/>
  <c r="AF169" i="52"/>
  <c r="AE169" i="52"/>
  <c r="AF168" i="52"/>
  <c r="AE168" i="52"/>
  <c r="AF167" i="52"/>
  <c r="AE167" i="52"/>
  <c r="AF166" i="52"/>
  <c r="AE166" i="52"/>
  <c r="AF165" i="52"/>
  <c r="AE165" i="52"/>
  <c r="AF164" i="52"/>
  <c r="AE164" i="52"/>
  <c r="AF163" i="52"/>
  <c r="AE163" i="52"/>
  <c r="AF162" i="52"/>
  <c r="AE162" i="52"/>
  <c r="AF161" i="52"/>
  <c r="AE161" i="52"/>
  <c r="AF160" i="52"/>
  <c r="AE160" i="52"/>
  <c r="AF159" i="52"/>
  <c r="AE159" i="52"/>
  <c r="AF158" i="52"/>
  <c r="AE158" i="52"/>
  <c r="AF157" i="52"/>
  <c r="AE157" i="52"/>
  <c r="AF156" i="52"/>
  <c r="AE156" i="52"/>
  <c r="AF155" i="52"/>
  <c r="AE155" i="52"/>
  <c r="AF154" i="52"/>
  <c r="AE154" i="52"/>
  <c r="AF153" i="52"/>
  <c r="AE153" i="52"/>
  <c r="AF152" i="52"/>
  <c r="AE152" i="52"/>
  <c r="AF151" i="52"/>
  <c r="AE151" i="52"/>
  <c r="AF150" i="52"/>
  <c r="AE150" i="52"/>
  <c r="AF149" i="52"/>
  <c r="AE149" i="52"/>
  <c r="AF148" i="52"/>
  <c r="AE148" i="52"/>
  <c r="AF147" i="52"/>
  <c r="AE147" i="52"/>
  <c r="AF146" i="52"/>
  <c r="AE146" i="52"/>
  <c r="AF145" i="52"/>
  <c r="AE145" i="52"/>
  <c r="AF144" i="52"/>
  <c r="AE144" i="52"/>
  <c r="AF143" i="52"/>
  <c r="AE143" i="52"/>
  <c r="AF142" i="52"/>
  <c r="AE142" i="52"/>
  <c r="AF141" i="52"/>
  <c r="AE141" i="52"/>
  <c r="AF140" i="52"/>
  <c r="AE140" i="52"/>
  <c r="AF139" i="52"/>
  <c r="AE139" i="52"/>
  <c r="AF138" i="52"/>
  <c r="AE138" i="52"/>
  <c r="AF137" i="52"/>
  <c r="AE137" i="52"/>
  <c r="AF136" i="52"/>
  <c r="AE136" i="52"/>
  <c r="AF135" i="52"/>
  <c r="AE135" i="52"/>
  <c r="AF134" i="52"/>
  <c r="AE134" i="52"/>
  <c r="AF133" i="52"/>
  <c r="AE133" i="52"/>
  <c r="AF132" i="52"/>
  <c r="AE132" i="52"/>
  <c r="AF131" i="52"/>
  <c r="AE131" i="52"/>
  <c r="AF130" i="52"/>
  <c r="AE130" i="52"/>
  <c r="AF129" i="52"/>
  <c r="AE129" i="52"/>
  <c r="AF128" i="52"/>
  <c r="AE128" i="52"/>
  <c r="AF127" i="52"/>
  <c r="AE127" i="52"/>
  <c r="AF126" i="52"/>
  <c r="AE126" i="52"/>
  <c r="AF125" i="52"/>
  <c r="AE125" i="52"/>
  <c r="AF124" i="52"/>
  <c r="AE124" i="52"/>
  <c r="AF123" i="52"/>
  <c r="AE123" i="52"/>
  <c r="AF122" i="52"/>
  <c r="AE122" i="52"/>
  <c r="AF121" i="52"/>
  <c r="AE121" i="52"/>
  <c r="AF120" i="52"/>
  <c r="AE120" i="52"/>
  <c r="AF119" i="52"/>
  <c r="AE119" i="52"/>
  <c r="AF118" i="52"/>
  <c r="AE118" i="52"/>
  <c r="AF117" i="52"/>
  <c r="AE117" i="52"/>
  <c r="AF116" i="52"/>
  <c r="AE116" i="52"/>
  <c r="AF115" i="52"/>
  <c r="AE115" i="52"/>
  <c r="AF114" i="52"/>
  <c r="AE114" i="52"/>
  <c r="AF113" i="52"/>
  <c r="AE113" i="52"/>
  <c r="AF112" i="52"/>
  <c r="AE112" i="52"/>
  <c r="AF111" i="52"/>
  <c r="AE111" i="52"/>
  <c r="AF110" i="52"/>
  <c r="AE110" i="52"/>
  <c r="AF109" i="52"/>
  <c r="AE109" i="52"/>
  <c r="AF108" i="52"/>
  <c r="AE108" i="52"/>
  <c r="AF107" i="52"/>
  <c r="AE107" i="52"/>
  <c r="AF106" i="52"/>
  <c r="AE106" i="52"/>
  <c r="AF105" i="52"/>
  <c r="AE105" i="52"/>
  <c r="AF104" i="52"/>
  <c r="AE104" i="52"/>
  <c r="AF103" i="52"/>
  <c r="AE103" i="52"/>
  <c r="AF102" i="52"/>
  <c r="AE102" i="52"/>
  <c r="AF101" i="52"/>
  <c r="AE101" i="52"/>
  <c r="AF100" i="52"/>
  <c r="AE100" i="52"/>
  <c r="AF99" i="52"/>
  <c r="AE99" i="52"/>
  <c r="AF98" i="52"/>
  <c r="AE98" i="52"/>
  <c r="AF97" i="52"/>
  <c r="AE97" i="52"/>
  <c r="AF96" i="52"/>
  <c r="AE96" i="52"/>
  <c r="AF95" i="52"/>
  <c r="AE95" i="52"/>
  <c r="AF94" i="52"/>
  <c r="AE94" i="52"/>
  <c r="AF93" i="52"/>
  <c r="AE93" i="52"/>
  <c r="AF92" i="52"/>
  <c r="AE92" i="52"/>
  <c r="AF91" i="52"/>
  <c r="AE91" i="52"/>
  <c r="AF90" i="52"/>
  <c r="AE90" i="52"/>
  <c r="AF89" i="52"/>
  <c r="AE89" i="52"/>
  <c r="AF88" i="52"/>
  <c r="AE88" i="52"/>
  <c r="AF87" i="52"/>
  <c r="AE87" i="52"/>
  <c r="AF86" i="52"/>
  <c r="AE86" i="52"/>
  <c r="AF85" i="52"/>
  <c r="AE85" i="52"/>
  <c r="AF84" i="52"/>
  <c r="AE84" i="52"/>
  <c r="AF83" i="52"/>
  <c r="AE83" i="52"/>
  <c r="AF82" i="52"/>
  <c r="AE82" i="52"/>
  <c r="AF81" i="52"/>
  <c r="AE81" i="52"/>
  <c r="AF80" i="52"/>
  <c r="AE80" i="52"/>
  <c r="AF79" i="52"/>
  <c r="AE79" i="52"/>
  <c r="AF78" i="52"/>
  <c r="AE78" i="52"/>
  <c r="AF77" i="52"/>
  <c r="AE77" i="52"/>
  <c r="AF76" i="52"/>
  <c r="AE76" i="52"/>
  <c r="AF75" i="52"/>
  <c r="AE75" i="52"/>
  <c r="AF74" i="52"/>
  <c r="AE74" i="52"/>
  <c r="AF73" i="52"/>
  <c r="AE73" i="52"/>
  <c r="AF72" i="52"/>
  <c r="AE72" i="52"/>
  <c r="AF71" i="52"/>
  <c r="AE71" i="52"/>
  <c r="AF70" i="52"/>
  <c r="AE70" i="52"/>
  <c r="AF69" i="52"/>
  <c r="AE69" i="52"/>
  <c r="AF68" i="52"/>
  <c r="AE68" i="52"/>
  <c r="AF67" i="52"/>
  <c r="AE67" i="52"/>
  <c r="AF66" i="52"/>
  <c r="AE66" i="52"/>
  <c r="AF65" i="52"/>
  <c r="AE65" i="52"/>
  <c r="AF64" i="52"/>
  <c r="AE64" i="52"/>
  <c r="AF63" i="52"/>
  <c r="AE63" i="52"/>
  <c r="AF62" i="52"/>
  <c r="AE62" i="52"/>
  <c r="AF61" i="52"/>
  <c r="AE61" i="52"/>
  <c r="AF60" i="52"/>
  <c r="AE60" i="52"/>
  <c r="AF59" i="52"/>
  <c r="AE59" i="52"/>
  <c r="AF58" i="52"/>
  <c r="AE58" i="52"/>
  <c r="AF57" i="52"/>
  <c r="AE57" i="52"/>
  <c r="AF56" i="52"/>
  <c r="AE56" i="52"/>
  <c r="AF55" i="52"/>
  <c r="AE55" i="52"/>
  <c r="AF54" i="52"/>
  <c r="AE54" i="52"/>
  <c r="AF53" i="52"/>
  <c r="AE53" i="52"/>
  <c r="AF52" i="52"/>
  <c r="AE52" i="52"/>
  <c r="AF51" i="52"/>
  <c r="AE51" i="52"/>
  <c r="AF50" i="52"/>
  <c r="AE50" i="52"/>
  <c r="AF49" i="52"/>
  <c r="AE49" i="52"/>
  <c r="AF48" i="52"/>
  <c r="AE48" i="52"/>
  <c r="AF47" i="52"/>
  <c r="AE47" i="52"/>
  <c r="AF46" i="52"/>
  <c r="AE46" i="52"/>
  <c r="AF45" i="52"/>
  <c r="AE45" i="52"/>
  <c r="AF44" i="52"/>
  <c r="AE44" i="52"/>
  <c r="AF43" i="52"/>
  <c r="AE43" i="52"/>
  <c r="AF42" i="52"/>
  <c r="AE42" i="52"/>
  <c r="AF41" i="52"/>
  <c r="AE41" i="52"/>
  <c r="AF40" i="52"/>
  <c r="AE40" i="52"/>
  <c r="AF39" i="52"/>
  <c r="AE39" i="52"/>
  <c r="AF38" i="52"/>
  <c r="AE38" i="52"/>
  <c r="AF37" i="52"/>
  <c r="AE37" i="52"/>
  <c r="AF36" i="52"/>
  <c r="AE36" i="52"/>
  <c r="AF35" i="52"/>
  <c r="AE35" i="52"/>
  <c r="AF34" i="52"/>
  <c r="AE34" i="52"/>
  <c r="AF33" i="52"/>
  <c r="AE33" i="52"/>
  <c r="AF32" i="52"/>
  <c r="AE32" i="52"/>
  <c r="AF31" i="52"/>
  <c r="AE31" i="52"/>
  <c r="AF30" i="52"/>
  <c r="AE30" i="52"/>
  <c r="AF29" i="52"/>
  <c r="AE29" i="52"/>
  <c r="AF28" i="52"/>
  <c r="AE28" i="52"/>
  <c r="AF27" i="52"/>
  <c r="AE27" i="52"/>
  <c r="AF26" i="52"/>
  <c r="AE26" i="52"/>
  <c r="AF25" i="52"/>
  <c r="AE25" i="52"/>
  <c r="AF24" i="52"/>
  <c r="AE24" i="52"/>
  <c r="AF23" i="52"/>
  <c r="AE23" i="52"/>
  <c r="AF22" i="52"/>
  <c r="AE22" i="52"/>
  <c r="AF21" i="52"/>
  <c r="AE21" i="52"/>
  <c r="AF20" i="52"/>
  <c r="AE20" i="52"/>
  <c r="AF19" i="52"/>
  <c r="AE19" i="52"/>
  <c r="AF18" i="52"/>
  <c r="AE18" i="52"/>
  <c r="AF17" i="52"/>
  <c r="AE17" i="52"/>
  <c r="AF16" i="52"/>
  <c r="AE16" i="52"/>
  <c r="AF15" i="52"/>
  <c r="AE15" i="52"/>
  <c r="AF14" i="52"/>
  <c r="AE14" i="52"/>
  <c r="AF13" i="52"/>
  <c r="AE13" i="52"/>
  <c r="AF12" i="52"/>
  <c r="AE12" i="52"/>
  <c r="AF11" i="52"/>
  <c r="AE11" i="52"/>
  <c r="AF10" i="52"/>
  <c r="AE10" i="52"/>
  <c r="B3" i="52"/>
  <c r="Q252" i="42" l="1"/>
  <c r="U252" i="42" s="1"/>
  <c r="P252" i="42"/>
  <c r="Q240" i="42"/>
  <c r="P240" i="42"/>
  <c r="Q232" i="42"/>
  <c r="U232" i="42" s="1"/>
  <c r="P232" i="42"/>
  <c r="Q220" i="42"/>
  <c r="U220" i="42" s="1"/>
  <c r="P220" i="42"/>
  <c r="Q212" i="42"/>
  <c r="U212" i="42" s="1"/>
  <c r="P212" i="42"/>
  <c r="Q200" i="42"/>
  <c r="P200" i="42"/>
  <c r="Q196" i="42"/>
  <c r="U196" i="42" s="1"/>
  <c r="P196" i="42"/>
  <c r="Q184" i="42"/>
  <c r="U184" i="42" s="1"/>
  <c r="P184" i="42"/>
  <c r="Q176" i="42"/>
  <c r="U176" i="42" s="1"/>
  <c r="P176" i="42"/>
  <c r="Q164" i="42"/>
  <c r="P164" i="42"/>
  <c r="Q156" i="42"/>
  <c r="U156" i="42" s="1"/>
  <c r="P156" i="42"/>
  <c r="Q144" i="42"/>
  <c r="P144" i="42"/>
  <c r="Q136" i="42"/>
  <c r="U136" i="42" s="1"/>
  <c r="P136" i="42"/>
  <c r="Q128" i="42"/>
  <c r="P128" i="42"/>
  <c r="Q120" i="42"/>
  <c r="U120" i="42" s="1"/>
  <c r="P120" i="42"/>
  <c r="Q108" i="42"/>
  <c r="U108" i="42" s="1"/>
  <c r="P108" i="42"/>
  <c r="Q92" i="42"/>
  <c r="U92" i="42" s="1"/>
  <c r="P92" i="42"/>
  <c r="Q84" i="42"/>
  <c r="P84" i="42"/>
  <c r="Q72" i="42"/>
  <c r="U72" i="42" s="1"/>
  <c r="P72" i="42"/>
  <c r="Q259" i="42"/>
  <c r="U259" i="42" s="1"/>
  <c r="P259" i="42"/>
  <c r="Q255" i="42"/>
  <c r="U255" i="42" s="1"/>
  <c r="P255" i="42"/>
  <c r="Q251" i="42"/>
  <c r="P251" i="42"/>
  <c r="Q247" i="42"/>
  <c r="U247" i="42" s="1"/>
  <c r="P247" i="42"/>
  <c r="Q243" i="42"/>
  <c r="U243" i="42" s="1"/>
  <c r="P243" i="42"/>
  <c r="Q239" i="42"/>
  <c r="P239" i="42"/>
  <c r="Q235" i="42"/>
  <c r="P235" i="42"/>
  <c r="Q231" i="42"/>
  <c r="U231" i="42" s="1"/>
  <c r="P231" i="42"/>
  <c r="Q227" i="42"/>
  <c r="U227" i="42" s="1"/>
  <c r="P227" i="42"/>
  <c r="Q223" i="42"/>
  <c r="U223" i="42" s="1"/>
  <c r="P223" i="42"/>
  <c r="Q219" i="42"/>
  <c r="P219" i="42"/>
  <c r="Q215" i="42"/>
  <c r="U215" i="42" s="1"/>
  <c r="P215" i="42"/>
  <c r="Q211" i="42"/>
  <c r="P211" i="42"/>
  <c r="Q207" i="42"/>
  <c r="P207" i="42"/>
  <c r="Q203" i="42"/>
  <c r="P203" i="42"/>
  <c r="Q199" i="42"/>
  <c r="U199" i="42" s="1"/>
  <c r="P199" i="42"/>
  <c r="Q195" i="42"/>
  <c r="U195" i="42" s="1"/>
  <c r="P195" i="42"/>
  <c r="Q191" i="42"/>
  <c r="U191" i="42" s="1"/>
  <c r="P191" i="42"/>
  <c r="Q187" i="42"/>
  <c r="P187" i="42"/>
  <c r="Q183" i="42"/>
  <c r="U183" i="42" s="1"/>
  <c r="P183" i="42"/>
  <c r="Q179" i="42"/>
  <c r="U179" i="42" s="1"/>
  <c r="P179" i="42"/>
  <c r="Q175" i="42"/>
  <c r="P175" i="42"/>
  <c r="Q171" i="42"/>
  <c r="P171" i="42"/>
  <c r="Q167" i="42"/>
  <c r="U167" i="42" s="1"/>
  <c r="P167" i="42"/>
  <c r="Q163" i="42"/>
  <c r="U163" i="42" s="1"/>
  <c r="P163" i="42"/>
  <c r="Q159" i="42"/>
  <c r="U159" i="42" s="1"/>
  <c r="P159" i="42"/>
  <c r="Q155" i="42"/>
  <c r="P155" i="42"/>
  <c r="Q151" i="42"/>
  <c r="U151" i="42" s="1"/>
  <c r="P151" i="42"/>
  <c r="Q147" i="42"/>
  <c r="P147" i="42"/>
  <c r="Q143" i="42"/>
  <c r="P143" i="42"/>
  <c r="Q139" i="42"/>
  <c r="P139" i="42"/>
  <c r="Q135" i="42"/>
  <c r="U135" i="42" s="1"/>
  <c r="P135" i="42"/>
  <c r="Q131" i="42"/>
  <c r="U131" i="42" s="1"/>
  <c r="P131" i="42"/>
  <c r="Q127" i="42"/>
  <c r="U127" i="42" s="1"/>
  <c r="P127" i="42"/>
  <c r="Q123" i="42"/>
  <c r="P123" i="42"/>
  <c r="Q119" i="42"/>
  <c r="U119" i="42" s="1"/>
  <c r="P119" i="42"/>
  <c r="Q115" i="42"/>
  <c r="U115" i="42" s="1"/>
  <c r="P115" i="42"/>
  <c r="Q111" i="42"/>
  <c r="P111" i="42"/>
  <c r="Q107" i="42"/>
  <c r="P107" i="42"/>
  <c r="Q103" i="42"/>
  <c r="U103" i="42" s="1"/>
  <c r="P103" i="42"/>
  <c r="Q99" i="42"/>
  <c r="U99" i="42" s="1"/>
  <c r="P99" i="42"/>
  <c r="Q95" i="42"/>
  <c r="U95" i="42" s="1"/>
  <c r="P95" i="42"/>
  <c r="Q91" i="42"/>
  <c r="P91" i="42"/>
  <c r="Q87" i="42"/>
  <c r="U87" i="42" s="1"/>
  <c r="P87" i="42"/>
  <c r="Q83" i="42"/>
  <c r="P83" i="42"/>
  <c r="Q79" i="42"/>
  <c r="P79" i="42"/>
  <c r="Q75" i="42"/>
  <c r="P75" i="42"/>
  <c r="Q71" i="42"/>
  <c r="U71" i="42" s="1"/>
  <c r="P71" i="42"/>
  <c r="Q67" i="42"/>
  <c r="U67" i="42" s="1"/>
  <c r="P67" i="42"/>
  <c r="Q63" i="42"/>
  <c r="U63" i="42" s="1"/>
  <c r="P63" i="42"/>
  <c r="Q59" i="42"/>
  <c r="P59" i="42"/>
  <c r="Q55" i="42"/>
  <c r="U55" i="42" s="1"/>
  <c r="P55" i="42"/>
  <c r="Q51" i="42"/>
  <c r="U51" i="42" s="1"/>
  <c r="P51" i="42"/>
  <c r="Q47" i="42"/>
  <c r="P47" i="42"/>
  <c r="Q43" i="42"/>
  <c r="P43" i="42"/>
  <c r="Q39" i="42"/>
  <c r="U39" i="42" s="1"/>
  <c r="P39" i="42"/>
  <c r="Q35" i="42"/>
  <c r="P35" i="42"/>
  <c r="Q31" i="42"/>
  <c r="P31" i="42"/>
  <c r="Q27" i="42"/>
  <c r="P27" i="42"/>
  <c r="Q23" i="42"/>
  <c r="P23" i="42"/>
  <c r="Q248" i="42"/>
  <c r="U248" i="42" s="1"/>
  <c r="P248" i="42"/>
  <c r="Q224" i="42"/>
  <c r="P224" i="42"/>
  <c r="Q208" i="42"/>
  <c r="P208" i="42"/>
  <c r="Q188" i="42"/>
  <c r="U188" i="42" s="1"/>
  <c r="P188" i="42"/>
  <c r="Q168" i="42"/>
  <c r="U168" i="42" s="1"/>
  <c r="P168" i="42"/>
  <c r="Q152" i="42"/>
  <c r="U152" i="42" s="1"/>
  <c r="P152" i="42"/>
  <c r="Q132" i="42"/>
  <c r="P132" i="42"/>
  <c r="Q112" i="42"/>
  <c r="U112" i="42" s="1"/>
  <c r="P112" i="42"/>
  <c r="Q100" i="42"/>
  <c r="U100" i="42" s="1"/>
  <c r="P100" i="42"/>
  <c r="Q80" i="42"/>
  <c r="U80" i="42" s="1"/>
  <c r="P80" i="42"/>
  <c r="Q64" i="42"/>
  <c r="P64" i="42"/>
  <c r="Q52" i="42"/>
  <c r="U52" i="42" s="1"/>
  <c r="P52" i="42"/>
  <c r="Q40" i="42"/>
  <c r="U40" i="42" s="1"/>
  <c r="P40" i="42"/>
  <c r="Q24" i="42"/>
  <c r="P24" i="42"/>
  <c r="Q250" i="42"/>
  <c r="P250" i="42"/>
  <c r="Q238" i="42"/>
  <c r="U238" i="42" s="1"/>
  <c r="P238" i="42"/>
  <c r="Q230" i="42"/>
  <c r="U230" i="42" s="1"/>
  <c r="P230" i="42"/>
  <c r="Q218" i="42"/>
  <c r="U218" i="42" s="1"/>
  <c r="P218" i="42"/>
  <c r="Q206" i="42"/>
  <c r="P206" i="42"/>
  <c r="Q198" i="42"/>
  <c r="U198" i="42" s="1"/>
  <c r="P198" i="42"/>
  <c r="Q186" i="42"/>
  <c r="U186" i="42" s="1"/>
  <c r="P186" i="42"/>
  <c r="Q174" i="42"/>
  <c r="U174" i="42" s="1"/>
  <c r="P174" i="42"/>
  <c r="Q162" i="42"/>
  <c r="P162" i="42"/>
  <c r="Q150" i="42"/>
  <c r="P150" i="42"/>
  <c r="Q138" i="42"/>
  <c r="P138" i="42"/>
  <c r="Q130" i="42"/>
  <c r="U130" i="42" s="1"/>
  <c r="P130" i="42"/>
  <c r="Q118" i="42"/>
  <c r="P118" i="42"/>
  <c r="Q106" i="42"/>
  <c r="U106" i="42" s="1"/>
  <c r="P106" i="42"/>
  <c r="Q94" i="42"/>
  <c r="U94" i="42" s="1"/>
  <c r="P94" i="42"/>
  <c r="Q86" i="42"/>
  <c r="P86" i="42"/>
  <c r="Q74" i="42"/>
  <c r="P74" i="42"/>
  <c r="Q58" i="42"/>
  <c r="U58" i="42" s="1"/>
  <c r="P58" i="42"/>
  <c r="Q22" i="42"/>
  <c r="P22" i="42"/>
  <c r="Q256" i="42"/>
  <c r="P256" i="42"/>
  <c r="Q244" i="42"/>
  <c r="P244" i="42"/>
  <c r="Q236" i="42"/>
  <c r="P236" i="42"/>
  <c r="Q228" i="42"/>
  <c r="U228" i="42" s="1"/>
  <c r="P228" i="42"/>
  <c r="Q216" i="42"/>
  <c r="U216" i="42" s="1"/>
  <c r="P216" i="42"/>
  <c r="Q204" i="42"/>
  <c r="P204" i="42"/>
  <c r="Q192" i="42"/>
  <c r="P192" i="42"/>
  <c r="Q180" i="42"/>
  <c r="U180" i="42" s="1"/>
  <c r="P180" i="42"/>
  <c r="Q172" i="42"/>
  <c r="P172" i="42"/>
  <c r="Q160" i="42"/>
  <c r="P160" i="42"/>
  <c r="Q148" i="42"/>
  <c r="U148" i="42" s="1"/>
  <c r="P148" i="42"/>
  <c r="Q140" i="42"/>
  <c r="P140" i="42"/>
  <c r="Q124" i="42"/>
  <c r="U124" i="42" s="1"/>
  <c r="P124" i="42"/>
  <c r="Q116" i="42"/>
  <c r="P116" i="42"/>
  <c r="Q104" i="42"/>
  <c r="U104" i="42" s="1"/>
  <c r="P104" i="42"/>
  <c r="Q96" i="42"/>
  <c r="U96" i="42" s="1"/>
  <c r="P96" i="42"/>
  <c r="Q88" i="42"/>
  <c r="U88" i="42" s="1"/>
  <c r="P88" i="42"/>
  <c r="Q76" i="42"/>
  <c r="P76" i="42"/>
  <c r="Q68" i="42"/>
  <c r="U68" i="42" s="1"/>
  <c r="P68" i="42"/>
  <c r="Q60" i="42"/>
  <c r="U60" i="42" s="1"/>
  <c r="P60" i="42"/>
  <c r="Q56" i="42"/>
  <c r="U56" i="42" s="1"/>
  <c r="P56" i="42"/>
  <c r="Q48" i="42"/>
  <c r="P48" i="42"/>
  <c r="Q44" i="42"/>
  <c r="P44" i="42"/>
  <c r="Q36" i="42"/>
  <c r="P36" i="42"/>
  <c r="Q32" i="42"/>
  <c r="P32" i="42"/>
  <c r="Q28" i="42"/>
  <c r="P28" i="42"/>
  <c r="Q258" i="42"/>
  <c r="P258" i="42"/>
  <c r="Q254" i="42"/>
  <c r="U254" i="42" s="1"/>
  <c r="P254" i="42"/>
  <c r="Q246" i="42"/>
  <c r="P246" i="42"/>
  <c r="Q242" i="42"/>
  <c r="P242" i="42"/>
  <c r="Q234" i="42"/>
  <c r="U234" i="42" s="1"/>
  <c r="P234" i="42"/>
  <c r="Q226" i="42"/>
  <c r="U226" i="42" s="1"/>
  <c r="P226" i="42"/>
  <c r="Q222" i="42"/>
  <c r="U222" i="42" s="1"/>
  <c r="P222" i="42"/>
  <c r="Q214" i="42"/>
  <c r="P214" i="42"/>
  <c r="Q210" i="42"/>
  <c r="U210" i="42" s="1"/>
  <c r="P210" i="42"/>
  <c r="Q202" i="42"/>
  <c r="U202" i="42" s="1"/>
  <c r="P202" i="42"/>
  <c r="Q194" i="42"/>
  <c r="U194" i="42" s="1"/>
  <c r="P194" i="42"/>
  <c r="Q190" i="42"/>
  <c r="P190" i="42"/>
  <c r="Q182" i="42"/>
  <c r="P182" i="42"/>
  <c r="Q178" i="42"/>
  <c r="U178" i="42" s="1"/>
  <c r="P178" i="42"/>
  <c r="Q170" i="42"/>
  <c r="U170" i="42" s="1"/>
  <c r="P170" i="42"/>
  <c r="Q166" i="42"/>
  <c r="P166" i="42"/>
  <c r="Q158" i="42"/>
  <c r="U158" i="42" s="1"/>
  <c r="P158" i="42"/>
  <c r="Q154" i="42"/>
  <c r="U154" i="42" s="1"/>
  <c r="P154" i="42"/>
  <c r="Q146" i="42"/>
  <c r="P146" i="42"/>
  <c r="Q142" i="42"/>
  <c r="P142" i="42"/>
  <c r="Q134" i="42"/>
  <c r="U134" i="42" s="1"/>
  <c r="P134" i="42"/>
  <c r="Q126" i="42"/>
  <c r="U126" i="42" s="1"/>
  <c r="P126" i="42"/>
  <c r="Q122" i="42"/>
  <c r="U122" i="42" s="1"/>
  <c r="P122" i="42"/>
  <c r="Q114" i="42"/>
  <c r="P114" i="42"/>
  <c r="Q110" i="42"/>
  <c r="U110" i="42" s="1"/>
  <c r="P110" i="42"/>
  <c r="Q102" i="42"/>
  <c r="U102" i="42" s="1"/>
  <c r="P102" i="42"/>
  <c r="Q98" i="42"/>
  <c r="U98" i="42" s="1"/>
  <c r="P98" i="42"/>
  <c r="Q90" i="42"/>
  <c r="P90" i="42"/>
  <c r="Q82" i="42"/>
  <c r="P82" i="42"/>
  <c r="Q78" i="42"/>
  <c r="P78" i="42"/>
  <c r="Q70" i="42"/>
  <c r="U70" i="42" s="1"/>
  <c r="P70" i="42"/>
  <c r="Q66" i="42"/>
  <c r="P66" i="42"/>
  <c r="Q62" i="42"/>
  <c r="U62" i="42" s="1"/>
  <c r="P62" i="42"/>
  <c r="Q54" i="42"/>
  <c r="U54" i="42" s="1"/>
  <c r="P54" i="42"/>
  <c r="Q50" i="42"/>
  <c r="P50" i="42"/>
  <c r="Q46" i="42"/>
  <c r="P46" i="42"/>
  <c r="Q42" i="42"/>
  <c r="U42" i="42" s="1"/>
  <c r="P42" i="42"/>
  <c r="Q38" i="42"/>
  <c r="U38" i="42" s="1"/>
  <c r="P38" i="42"/>
  <c r="Q34" i="42"/>
  <c r="P34" i="42"/>
  <c r="Q30" i="42"/>
  <c r="P30" i="42"/>
  <c r="Q26" i="42"/>
  <c r="P26" i="42"/>
  <c r="Q257" i="42"/>
  <c r="U257" i="42" s="1"/>
  <c r="P257" i="42"/>
  <c r="Q253" i="42"/>
  <c r="U253" i="42" s="1"/>
  <c r="P253" i="42"/>
  <c r="Q249" i="42"/>
  <c r="P249" i="42"/>
  <c r="Q245" i="42"/>
  <c r="P245" i="42"/>
  <c r="Q241" i="42"/>
  <c r="U241" i="42" s="1"/>
  <c r="P241" i="42"/>
  <c r="Q237" i="42"/>
  <c r="U237" i="42" s="1"/>
  <c r="P237" i="42"/>
  <c r="Q233" i="42"/>
  <c r="P233" i="42"/>
  <c r="Q229" i="42"/>
  <c r="U229" i="42" s="1"/>
  <c r="P229" i="42"/>
  <c r="Q225" i="42"/>
  <c r="U225" i="42" s="1"/>
  <c r="P225" i="42"/>
  <c r="Q221" i="42"/>
  <c r="P221" i="42"/>
  <c r="Q217" i="42"/>
  <c r="P217" i="42"/>
  <c r="Q213" i="42"/>
  <c r="U213" i="42" s="1"/>
  <c r="P213" i="42"/>
  <c r="Q209" i="42"/>
  <c r="P209" i="42"/>
  <c r="Q205" i="42"/>
  <c r="U205" i="42" s="1"/>
  <c r="P205" i="42"/>
  <c r="Q201" i="42"/>
  <c r="P201" i="42"/>
  <c r="Q197" i="42"/>
  <c r="U197" i="42" s="1"/>
  <c r="P197" i="42"/>
  <c r="Q193" i="42"/>
  <c r="U193" i="42" s="1"/>
  <c r="P193" i="42"/>
  <c r="Q189" i="42"/>
  <c r="P189" i="42"/>
  <c r="Q185" i="42"/>
  <c r="U185" i="42" s="1"/>
  <c r="P185" i="42"/>
  <c r="Q181" i="42"/>
  <c r="U181" i="42" s="1"/>
  <c r="P181" i="42"/>
  <c r="Q177" i="42"/>
  <c r="U177" i="42" s="1"/>
  <c r="P177" i="42"/>
  <c r="Q173" i="42"/>
  <c r="U173" i="42" s="1"/>
  <c r="P173" i="42"/>
  <c r="Q169" i="42"/>
  <c r="P169" i="42"/>
  <c r="Q165" i="42"/>
  <c r="U165" i="42" s="1"/>
  <c r="P165" i="42"/>
  <c r="Q161" i="42"/>
  <c r="U161" i="42" s="1"/>
  <c r="P161" i="42"/>
  <c r="Q157" i="42"/>
  <c r="U157" i="42" s="1"/>
  <c r="P157" i="42"/>
  <c r="Q153" i="42"/>
  <c r="U153" i="42" s="1"/>
  <c r="P153" i="42"/>
  <c r="Q149" i="42"/>
  <c r="P149" i="42"/>
  <c r="Q145" i="42"/>
  <c r="U145" i="42" s="1"/>
  <c r="P145" i="42"/>
  <c r="Q141" i="42"/>
  <c r="U141" i="42" s="1"/>
  <c r="P141" i="42"/>
  <c r="Q137" i="42"/>
  <c r="P137" i="42"/>
  <c r="Q133" i="42"/>
  <c r="U133" i="42" s="1"/>
  <c r="P133" i="42"/>
  <c r="Q129" i="42"/>
  <c r="U129" i="42" s="1"/>
  <c r="P129" i="42"/>
  <c r="Q125" i="42"/>
  <c r="U125" i="42" s="1"/>
  <c r="P125" i="42"/>
  <c r="Q121" i="42"/>
  <c r="U121" i="42" s="1"/>
  <c r="P121" i="42"/>
  <c r="Q117" i="42"/>
  <c r="U117" i="42" s="1"/>
  <c r="P117" i="42"/>
  <c r="Q113" i="42"/>
  <c r="P113" i="42"/>
  <c r="Q109" i="42"/>
  <c r="U109" i="42" s="1"/>
  <c r="P109" i="42"/>
  <c r="Q105" i="42"/>
  <c r="P105" i="42"/>
  <c r="Q101" i="42"/>
  <c r="U101" i="42" s="1"/>
  <c r="P101" i="42"/>
  <c r="Q97" i="42"/>
  <c r="U97" i="42" s="1"/>
  <c r="P97" i="42"/>
  <c r="Q93" i="42"/>
  <c r="U93" i="42" s="1"/>
  <c r="P93" i="42"/>
  <c r="Q89" i="42"/>
  <c r="P89" i="42"/>
  <c r="Q85" i="42"/>
  <c r="U85" i="42" s="1"/>
  <c r="P85" i="42"/>
  <c r="Q81" i="42"/>
  <c r="U81" i="42" s="1"/>
  <c r="P81" i="42"/>
  <c r="Q77" i="42"/>
  <c r="U77" i="42" s="1"/>
  <c r="P77" i="42"/>
  <c r="Q73" i="42"/>
  <c r="P73" i="42"/>
  <c r="Q69" i="42"/>
  <c r="U69" i="42" s="1"/>
  <c r="P69" i="42"/>
  <c r="Q65" i="42"/>
  <c r="U65" i="42" s="1"/>
  <c r="P65" i="42"/>
  <c r="Q61" i="42"/>
  <c r="U61" i="42" s="1"/>
  <c r="P61" i="42"/>
  <c r="Q57" i="42"/>
  <c r="P57" i="42"/>
  <c r="Q53" i="42"/>
  <c r="U53" i="42" s="1"/>
  <c r="P53" i="42"/>
  <c r="Q49" i="42"/>
  <c r="U49" i="42" s="1"/>
  <c r="P49" i="42"/>
  <c r="Q45" i="42"/>
  <c r="U45" i="42" s="1"/>
  <c r="P45" i="42"/>
  <c r="Q41" i="42"/>
  <c r="U41" i="42" s="1"/>
  <c r="P41" i="42"/>
  <c r="Q37" i="42"/>
  <c r="P37" i="42"/>
  <c r="Q33" i="42"/>
  <c r="P33" i="42"/>
  <c r="Q29" i="42"/>
  <c r="P29" i="42"/>
  <c r="Q25" i="42"/>
  <c r="P25" i="42"/>
  <c r="N254" i="55"/>
  <c r="X254" i="55" s="1"/>
  <c r="N234" i="55"/>
  <c r="X234" i="55" s="1"/>
  <c r="N222" i="55"/>
  <c r="X222" i="55" s="1"/>
  <c r="N202" i="55"/>
  <c r="X202" i="55" s="1"/>
  <c r="N182" i="55"/>
  <c r="X182" i="55" s="1"/>
  <c r="N162" i="55"/>
  <c r="X162" i="55" s="1"/>
  <c r="N142" i="55"/>
  <c r="X142" i="55" s="1"/>
  <c r="N122" i="55"/>
  <c r="X122" i="55" s="1"/>
  <c r="N102" i="55"/>
  <c r="X102" i="55" s="1"/>
  <c r="N86" i="55"/>
  <c r="X86" i="55" s="1"/>
  <c r="N62" i="55"/>
  <c r="X62" i="55" s="1"/>
  <c r="N50" i="55"/>
  <c r="X50" i="55" s="1"/>
  <c r="N30" i="55"/>
  <c r="X30" i="55" s="1"/>
  <c r="N18" i="55"/>
  <c r="X18" i="55" s="1"/>
  <c r="N14" i="55"/>
  <c r="X14" i="55" s="1"/>
  <c r="N257" i="55"/>
  <c r="X257" i="55" s="1"/>
  <c r="N253" i="55"/>
  <c r="X253" i="55" s="1"/>
  <c r="N249" i="55"/>
  <c r="X249" i="55" s="1"/>
  <c r="N245" i="55"/>
  <c r="X245" i="55" s="1"/>
  <c r="N241" i="55"/>
  <c r="X241" i="55" s="1"/>
  <c r="N237" i="55"/>
  <c r="X237" i="55" s="1"/>
  <c r="N233" i="55"/>
  <c r="X233" i="55" s="1"/>
  <c r="N229" i="55"/>
  <c r="X229" i="55" s="1"/>
  <c r="N225" i="55"/>
  <c r="X225" i="55" s="1"/>
  <c r="N221" i="55"/>
  <c r="X221" i="55" s="1"/>
  <c r="N217" i="55"/>
  <c r="X217" i="55" s="1"/>
  <c r="N213" i="55"/>
  <c r="X213" i="55" s="1"/>
  <c r="N209" i="55"/>
  <c r="X209" i="55" s="1"/>
  <c r="N205" i="55"/>
  <c r="X205" i="55" s="1"/>
  <c r="N201" i="55"/>
  <c r="X201" i="55" s="1"/>
  <c r="N197" i="55"/>
  <c r="X197" i="55" s="1"/>
  <c r="N193" i="55"/>
  <c r="X193" i="55" s="1"/>
  <c r="N189" i="55"/>
  <c r="X189" i="55" s="1"/>
  <c r="N185" i="55"/>
  <c r="X185" i="55" s="1"/>
  <c r="N181" i="55"/>
  <c r="X181" i="55" s="1"/>
  <c r="N177" i="55"/>
  <c r="X177" i="55" s="1"/>
  <c r="N173" i="55"/>
  <c r="X173" i="55" s="1"/>
  <c r="N169" i="55"/>
  <c r="X169" i="55" s="1"/>
  <c r="N165" i="55"/>
  <c r="X165" i="55" s="1"/>
  <c r="N161" i="55"/>
  <c r="X161" i="55" s="1"/>
  <c r="N157" i="55"/>
  <c r="X157" i="55" s="1"/>
  <c r="N153" i="55"/>
  <c r="X153" i="55" s="1"/>
  <c r="N149" i="55"/>
  <c r="X149" i="55" s="1"/>
  <c r="N145" i="55"/>
  <c r="X145" i="55" s="1"/>
  <c r="N141" i="55"/>
  <c r="X141" i="55" s="1"/>
  <c r="N137" i="55"/>
  <c r="X137" i="55" s="1"/>
  <c r="N133" i="55"/>
  <c r="X133" i="55" s="1"/>
  <c r="N129" i="55"/>
  <c r="X129" i="55" s="1"/>
  <c r="N125" i="55"/>
  <c r="X125" i="55" s="1"/>
  <c r="N121" i="55"/>
  <c r="X121" i="55" s="1"/>
  <c r="N117" i="55"/>
  <c r="X117" i="55" s="1"/>
  <c r="N113" i="55"/>
  <c r="X113" i="55" s="1"/>
  <c r="N109" i="55"/>
  <c r="X109" i="55" s="1"/>
  <c r="N105" i="55"/>
  <c r="X105" i="55" s="1"/>
  <c r="N101" i="55"/>
  <c r="X101" i="55" s="1"/>
  <c r="N97" i="55"/>
  <c r="X97" i="55" s="1"/>
  <c r="N93" i="55"/>
  <c r="X93" i="55" s="1"/>
  <c r="N89" i="55"/>
  <c r="X89" i="55" s="1"/>
  <c r="N85" i="55"/>
  <c r="X85" i="55" s="1"/>
  <c r="N81" i="55"/>
  <c r="X81" i="55" s="1"/>
  <c r="N77" i="55"/>
  <c r="X77" i="55" s="1"/>
  <c r="N73" i="55"/>
  <c r="X73" i="55" s="1"/>
  <c r="N69" i="55"/>
  <c r="X69" i="55" s="1"/>
  <c r="N65" i="55"/>
  <c r="X65" i="55" s="1"/>
  <c r="N61" i="55"/>
  <c r="X61" i="55" s="1"/>
  <c r="N57" i="55"/>
  <c r="X57" i="55" s="1"/>
  <c r="N53" i="55"/>
  <c r="X53" i="55" s="1"/>
  <c r="N49" i="55"/>
  <c r="X49" i="55" s="1"/>
  <c r="N45" i="55"/>
  <c r="X45" i="55" s="1"/>
  <c r="N41" i="55"/>
  <c r="X41" i="55" s="1"/>
  <c r="N37" i="55"/>
  <c r="X37" i="55" s="1"/>
  <c r="N33" i="55"/>
  <c r="X33" i="55" s="1"/>
  <c r="N29" i="55"/>
  <c r="X29" i="55" s="1"/>
  <c r="N25" i="55"/>
  <c r="X25" i="55" s="1"/>
  <c r="N21" i="55"/>
  <c r="X21" i="55" s="1"/>
  <c r="N17" i="55"/>
  <c r="X17" i="55" s="1"/>
  <c r="N13" i="55"/>
  <c r="X13" i="55" s="1"/>
  <c r="N250" i="55"/>
  <c r="X250" i="55" s="1"/>
  <c r="N238" i="55"/>
  <c r="X238" i="55" s="1"/>
  <c r="N226" i="55"/>
  <c r="X226" i="55" s="1"/>
  <c r="N214" i="55"/>
  <c r="X214" i="55" s="1"/>
  <c r="N206" i="55"/>
  <c r="X206" i="55" s="1"/>
  <c r="N198" i="55"/>
  <c r="X198" i="55" s="1"/>
  <c r="N186" i="55"/>
  <c r="X186" i="55" s="1"/>
  <c r="N178" i="55"/>
  <c r="X178" i="55" s="1"/>
  <c r="N166" i="55"/>
  <c r="X166" i="55" s="1"/>
  <c r="N154" i="55"/>
  <c r="X154" i="55" s="1"/>
  <c r="N150" i="55"/>
  <c r="X150" i="55" s="1"/>
  <c r="N138" i="55"/>
  <c r="X138" i="55" s="1"/>
  <c r="N130" i="55"/>
  <c r="X130" i="55" s="1"/>
  <c r="N114" i="55"/>
  <c r="X114" i="55" s="1"/>
  <c r="N106" i="55"/>
  <c r="X106" i="55" s="1"/>
  <c r="N94" i="55"/>
  <c r="X94" i="55" s="1"/>
  <c r="N82" i="55"/>
  <c r="X82" i="55" s="1"/>
  <c r="N74" i="55"/>
  <c r="X74" i="55" s="1"/>
  <c r="N66" i="55"/>
  <c r="X66" i="55" s="1"/>
  <c r="N54" i="55"/>
  <c r="X54" i="55" s="1"/>
  <c r="N42" i="55"/>
  <c r="X42" i="55" s="1"/>
  <c r="N34" i="55"/>
  <c r="X34" i="55" s="1"/>
  <c r="N22" i="55"/>
  <c r="X22" i="55" s="1"/>
  <c r="N256" i="55"/>
  <c r="X256" i="55" s="1"/>
  <c r="N252" i="55"/>
  <c r="X252" i="55" s="1"/>
  <c r="N248" i="55"/>
  <c r="X248" i="55" s="1"/>
  <c r="N244" i="55"/>
  <c r="X244" i="55" s="1"/>
  <c r="N240" i="55"/>
  <c r="X240" i="55" s="1"/>
  <c r="N236" i="55"/>
  <c r="X236" i="55" s="1"/>
  <c r="N232" i="55"/>
  <c r="X232" i="55" s="1"/>
  <c r="N228" i="55"/>
  <c r="X228" i="55" s="1"/>
  <c r="N224" i="55"/>
  <c r="X224" i="55" s="1"/>
  <c r="N220" i="55"/>
  <c r="X220" i="55" s="1"/>
  <c r="N216" i="55"/>
  <c r="X216" i="55" s="1"/>
  <c r="N212" i="55"/>
  <c r="X212" i="55" s="1"/>
  <c r="N208" i="55"/>
  <c r="X208" i="55" s="1"/>
  <c r="N204" i="55"/>
  <c r="X204" i="55" s="1"/>
  <c r="N200" i="55"/>
  <c r="X200" i="55" s="1"/>
  <c r="N196" i="55"/>
  <c r="X196" i="55" s="1"/>
  <c r="N192" i="55"/>
  <c r="X192" i="55" s="1"/>
  <c r="N188" i="55"/>
  <c r="X188" i="55" s="1"/>
  <c r="N184" i="55"/>
  <c r="X184" i="55" s="1"/>
  <c r="N180" i="55"/>
  <c r="X180" i="55" s="1"/>
  <c r="N176" i="55"/>
  <c r="X176" i="55" s="1"/>
  <c r="N172" i="55"/>
  <c r="X172" i="55" s="1"/>
  <c r="N168" i="55"/>
  <c r="X168" i="55" s="1"/>
  <c r="N164" i="55"/>
  <c r="X164" i="55" s="1"/>
  <c r="N160" i="55"/>
  <c r="X160" i="55" s="1"/>
  <c r="N156" i="55"/>
  <c r="X156" i="55" s="1"/>
  <c r="N152" i="55"/>
  <c r="X152" i="55" s="1"/>
  <c r="N148" i="55"/>
  <c r="X148" i="55" s="1"/>
  <c r="N144" i="55"/>
  <c r="X144" i="55" s="1"/>
  <c r="N140" i="55"/>
  <c r="X140" i="55" s="1"/>
  <c r="N136" i="55"/>
  <c r="X136" i="55" s="1"/>
  <c r="N132" i="55"/>
  <c r="X132" i="55" s="1"/>
  <c r="N128" i="55"/>
  <c r="X128" i="55" s="1"/>
  <c r="N124" i="55"/>
  <c r="X124" i="55" s="1"/>
  <c r="N120" i="55"/>
  <c r="X120" i="55" s="1"/>
  <c r="N116" i="55"/>
  <c r="X116" i="55" s="1"/>
  <c r="N112" i="55"/>
  <c r="X112" i="55" s="1"/>
  <c r="N108" i="55"/>
  <c r="X108" i="55" s="1"/>
  <c r="N104" i="55"/>
  <c r="X104" i="55" s="1"/>
  <c r="N100" i="55"/>
  <c r="X100" i="55" s="1"/>
  <c r="N96" i="55"/>
  <c r="X96" i="55" s="1"/>
  <c r="N92" i="55"/>
  <c r="X92" i="55" s="1"/>
  <c r="N88" i="55"/>
  <c r="X88" i="55" s="1"/>
  <c r="N84" i="55"/>
  <c r="X84" i="55" s="1"/>
  <c r="N80" i="55"/>
  <c r="X80" i="55" s="1"/>
  <c r="N76" i="55"/>
  <c r="X76" i="55" s="1"/>
  <c r="N72" i="55"/>
  <c r="X72" i="55" s="1"/>
  <c r="N68" i="55"/>
  <c r="X68" i="55" s="1"/>
  <c r="N64" i="55"/>
  <c r="X64" i="55" s="1"/>
  <c r="N60" i="55"/>
  <c r="X60" i="55" s="1"/>
  <c r="N56" i="55"/>
  <c r="X56" i="55" s="1"/>
  <c r="N52" i="55"/>
  <c r="X52" i="55" s="1"/>
  <c r="N48" i="55"/>
  <c r="X48" i="55" s="1"/>
  <c r="N44" i="55"/>
  <c r="X44" i="55" s="1"/>
  <c r="N40" i="55"/>
  <c r="X40" i="55" s="1"/>
  <c r="N36" i="55"/>
  <c r="X36" i="55" s="1"/>
  <c r="N32" i="55"/>
  <c r="X32" i="55" s="1"/>
  <c r="N28" i="55"/>
  <c r="X28" i="55" s="1"/>
  <c r="N24" i="55"/>
  <c r="X24" i="55" s="1"/>
  <c r="N20" i="55"/>
  <c r="X20" i="55" s="1"/>
  <c r="N16" i="55"/>
  <c r="X16" i="55" s="1"/>
  <c r="N12" i="55"/>
  <c r="X12" i="55" s="1"/>
  <c r="N246" i="55"/>
  <c r="X246" i="55" s="1"/>
  <c r="N242" i="55"/>
  <c r="X242" i="55" s="1"/>
  <c r="N230" i="55"/>
  <c r="X230" i="55" s="1"/>
  <c r="N218" i="55"/>
  <c r="X218" i="55" s="1"/>
  <c r="N210" i="55"/>
  <c r="X210" i="55" s="1"/>
  <c r="N194" i="55"/>
  <c r="X194" i="55" s="1"/>
  <c r="N190" i="55"/>
  <c r="X190" i="55" s="1"/>
  <c r="N174" i="55"/>
  <c r="X174" i="55" s="1"/>
  <c r="N170" i="55"/>
  <c r="X170" i="55" s="1"/>
  <c r="N158" i="55"/>
  <c r="X158" i="55" s="1"/>
  <c r="N146" i="55"/>
  <c r="X146" i="55" s="1"/>
  <c r="N134" i="55"/>
  <c r="X134" i="55" s="1"/>
  <c r="N126" i="55"/>
  <c r="X126" i="55" s="1"/>
  <c r="N118" i="55"/>
  <c r="X118" i="55" s="1"/>
  <c r="N110" i="55"/>
  <c r="X110" i="55" s="1"/>
  <c r="N98" i="55"/>
  <c r="X98" i="55" s="1"/>
  <c r="N90" i="55"/>
  <c r="X90" i="55" s="1"/>
  <c r="N78" i="55"/>
  <c r="X78" i="55" s="1"/>
  <c r="N70" i="55"/>
  <c r="X70" i="55" s="1"/>
  <c r="N58" i="55"/>
  <c r="X58" i="55" s="1"/>
  <c r="N46" i="55"/>
  <c r="X46" i="55" s="1"/>
  <c r="N38" i="55"/>
  <c r="X38" i="55" s="1"/>
  <c r="N26" i="55"/>
  <c r="X26" i="55" s="1"/>
  <c r="N255" i="55"/>
  <c r="X255" i="55" s="1"/>
  <c r="N251" i="55"/>
  <c r="X251" i="55" s="1"/>
  <c r="N247" i="55"/>
  <c r="X247" i="55" s="1"/>
  <c r="N243" i="55"/>
  <c r="X243" i="55" s="1"/>
  <c r="N239" i="55"/>
  <c r="X239" i="55" s="1"/>
  <c r="N235" i="55"/>
  <c r="X235" i="55" s="1"/>
  <c r="N231" i="55"/>
  <c r="X231" i="55" s="1"/>
  <c r="N227" i="55"/>
  <c r="X227" i="55" s="1"/>
  <c r="N223" i="55"/>
  <c r="X223" i="55" s="1"/>
  <c r="N219" i="55"/>
  <c r="X219" i="55" s="1"/>
  <c r="N215" i="55"/>
  <c r="X215" i="55" s="1"/>
  <c r="N211" i="55"/>
  <c r="X211" i="55" s="1"/>
  <c r="N207" i="55"/>
  <c r="X207" i="55" s="1"/>
  <c r="N203" i="55"/>
  <c r="X203" i="55" s="1"/>
  <c r="N199" i="55"/>
  <c r="X199" i="55" s="1"/>
  <c r="N195" i="55"/>
  <c r="X195" i="55" s="1"/>
  <c r="N191" i="55"/>
  <c r="X191" i="55" s="1"/>
  <c r="N187" i="55"/>
  <c r="X187" i="55" s="1"/>
  <c r="N183" i="55"/>
  <c r="X183" i="55" s="1"/>
  <c r="N179" i="55"/>
  <c r="X179" i="55" s="1"/>
  <c r="N175" i="55"/>
  <c r="X175" i="55" s="1"/>
  <c r="N171" i="55"/>
  <c r="X171" i="55" s="1"/>
  <c r="N167" i="55"/>
  <c r="X167" i="55" s="1"/>
  <c r="N163" i="55"/>
  <c r="X163" i="55" s="1"/>
  <c r="N159" i="55"/>
  <c r="X159" i="55" s="1"/>
  <c r="N155" i="55"/>
  <c r="X155" i="55" s="1"/>
  <c r="N151" i="55"/>
  <c r="X151" i="55" s="1"/>
  <c r="N147" i="55"/>
  <c r="X147" i="55" s="1"/>
  <c r="N143" i="55"/>
  <c r="X143" i="55" s="1"/>
  <c r="N139" i="55"/>
  <c r="X139" i="55" s="1"/>
  <c r="N135" i="55"/>
  <c r="X135" i="55" s="1"/>
  <c r="N131" i="55"/>
  <c r="X131" i="55" s="1"/>
  <c r="N127" i="55"/>
  <c r="X127" i="55" s="1"/>
  <c r="N123" i="55"/>
  <c r="X123" i="55" s="1"/>
  <c r="N119" i="55"/>
  <c r="X119" i="55" s="1"/>
  <c r="N115" i="55"/>
  <c r="X115" i="55" s="1"/>
  <c r="N111" i="55"/>
  <c r="X111" i="55" s="1"/>
  <c r="N107" i="55"/>
  <c r="X107" i="55" s="1"/>
  <c r="N103" i="55"/>
  <c r="X103" i="55" s="1"/>
  <c r="N99" i="55"/>
  <c r="X99" i="55" s="1"/>
  <c r="N95" i="55"/>
  <c r="X95" i="55" s="1"/>
  <c r="N91" i="55"/>
  <c r="X91" i="55" s="1"/>
  <c r="N87" i="55"/>
  <c r="X87" i="55" s="1"/>
  <c r="N83" i="55"/>
  <c r="X83" i="55" s="1"/>
  <c r="N79" i="55"/>
  <c r="X79" i="55" s="1"/>
  <c r="N75" i="55"/>
  <c r="X75" i="55" s="1"/>
  <c r="N71" i="55"/>
  <c r="X71" i="55" s="1"/>
  <c r="N67" i="55"/>
  <c r="X67" i="55" s="1"/>
  <c r="N63" i="55"/>
  <c r="X63" i="55" s="1"/>
  <c r="N59" i="55"/>
  <c r="X59" i="55" s="1"/>
  <c r="N55" i="55"/>
  <c r="X55" i="55" s="1"/>
  <c r="N51" i="55"/>
  <c r="X51" i="55" s="1"/>
  <c r="N47" i="55"/>
  <c r="X47" i="55" s="1"/>
  <c r="N43" i="55"/>
  <c r="X43" i="55" s="1"/>
  <c r="N39" i="55"/>
  <c r="X39" i="55" s="1"/>
  <c r="N35" i="55"/>
  <c r="X35" i="55" s="1"/>
  <c r="N31" i="55"/>
  <c r="X31" i="55" s="1"/>
  <c r="N27" i="55"/>
  <c r="X27" i="55" s="1"/>
  <c r="N23" i="55"/>
  <c r="X23" i="55" s="1"/>
  <c r="N19" i="55"/>
  <c r="X19" i="55" s="1"/>
  <c r="N15" i="55"/>
  <c r="X15" i="55" s="1"/>
  <c r="T156" i="22"/>
  <c r="N11" i="55"/>
  <c r="X11" i="55" s="1"/>
  <c r="U11" i="55"/>
  <c r="R257" i="42"/>
  <c r="W257" i="42" s="1"/>
  <c r="R253" i="42"/>
  <c r="W253" i="42" s="1"/>
  <c r="R249" i="42"/>
  <c r="W249" i="42" s="1"/>
  <c r="R245" i="42"/>
  <c r="W245" i="42" s="1"/>
  <c r="R241" i="42"/>
  <c r="W241" i="42" s="1"/>
  <c r="R237" i="42"/>
  <c r="W237" i="42" s="1"/>
  <c r="R233" i="42"/>
  <c r="W233" i="42" s="1"/>
  <c r="R229" i="42"/>
  <c r="W229" i="42" s="1"/>
  <c r="R225" i="42"/>
  <c r="W225" i="42" s="1"/>
  <c r="R221" i="42"/>
  <c r="W221" i="42" s="1"/>
  <c r="R217" i="42"/>
  <c r="W217" i="42" s="1"/>
  <c r="R213" i="42"/>
  <c r="W213" i="42" s="1"/>
  <c r="R209" i="42"/>
  <c r="W209" i="42" s="1"/>
  <c r="R205" i="42"/>
  <c r="W205" i="42" s="1"/>
  <c r="R201" i="42"/>
  <c r="W201" i="42" s="1"/>
  <c r="R197" i="42"/>
  <c r="W197" i="42" s="1"/>
  <c r="R193" i="42"/>
  <c r="W193" i="42" s="1"/>
  <c r="R189" i="42"/>
  <c r="W189" i="42" s="1"/>
  <c r="R185" i="42"/>
  <c r="W185" i="42" s="1"/>
  <c r="R181" i="42"/>
  <c r="W181" i="42" s="1"/>
  <c r="R177" i="42"/>
  <c r="W177" i="42" s="1"/>
  <c r="R173" i="42"/>
  <c r="W173" i="42" s="1"/>
  <c r="R169" i="42"/>
  <c r="W169" i="42" s="1"/>
  <c r="R165" i="42"/>
  <c r="W165" i="42" s="1"/>
  <c r="R161" i="42"/>
  <c r="W161" i="42" s="1"/>
  <c r="R157" i="42"/>
  <c r="W157" i="42" s="1"/>
  <c r="R153" i="42"/>
  <c r="W153" i="42" s="1"/>
  <c r="R149" i="42"/>
  <c r="W149" i="42" s="1"/>
  <c r="R145" i="42"/>
  <c r="W145" i="42" s="1"/>
  <c r="R141" i="42"/>
  <c r="W141" i="42" s="1"/>
  <c r="R137" i="42"/>
  <c r="W137" i="42" s="1"/>
  <c r="R133" i="42"/>
  <c r="W133" i="42" s="1"/>
  <c r="R129" i="42"/>
  <c r="W129" i="42" s="1"/>
  <c r="R125" i="42"/>
  <c r="W125" i="42" s="1"/>
  <c r="R121" i="42"/>
  <c r="W121" i="42" s="1"/>
  <c r="R117" i="42"/>
  <c r="W117" i="42" s="1"/>
  <c r="R113" i="42"/>
  <c r="W113" i="42" s="1"/>
  <c r="R109" i="42"/>
  <c r="W109" i="42" s="1"/>
  <c r="R105" i="42"/>
  <c r="W105" i="42" s="1"/>
  <c r="R101" i="42"/>
  <c r="W101" i="42" s="1"/>
  <c r="R97" i="42"/>
  <c r="W97" i="42" s="1"/>
  <c r="R93" i="42"/>
  <c r="W93" i="42" s="1"/>
  <c r="R89" i="42"/>
  <c r="W89" i="42" s="1"/>
  <c r="R85" i="42"/>
  <c r="W85" i="42" s="1"/>
  <c r="R81" i="42"/>
  <c r="W81" i="42" s="1"/>
  <c r="R77" i="42"/>
  <c r="W77" i="42" s="1"/>
  <c r="R73" i="42"/>
  <c r="W73" i="42" s="1"/>
  <c r="R69" i="42"/>
  <c r="W69" i="42" s="1"/>
  <c r="R65" i="42"/>
  <c r="W65" i="42" s="1"/>
  <c r="R61" i="42"/>
  <c r="W61" i="42" s="1"/>
  <c r="R57" i="42"/>
  <c r="W57" i="42" s="1"/>
  <c r="R53" i="42"/>
  <c r="W53" i="42" s="1"/>
  <c r="R49" i="42"/>
  <c r="W49" i="42" s="1"/>
  <c r="R45" i="42"/>
  <c r="W45" i="42" s="1"/>
  <c r="R41" i="42"/>
  <c r="W41" i="42" s="1"/>
  <c r="R37" i="42"/>
  <c r="W37" i="42" s="1"/>
  <c r="R33" i="42"/>
  <c r="W33" i="42" s="1"/>
  <c r="R29" i="42"/>
  <c r="W29" i="42" s="1"/>
  <c r="R25" i="42"/>
  <c r="W25" i="42" s="1"/>
  <c r="R256" i="42"/>
  <c r="W256" i="42" s="1"/>
  <c r="R252" i="42"/>
  <c r="W252" i="42" s="1"/>
  <c r="R248" i="42"/>
  <c r="W248" i="42" s="1"/>
  <c r="R244" i="42"/>
  <c r="W244" i="42" s="1"/>
  <c r="R240" i="42"/>
  <c r="W240" i="42" s="1"/>
  <c r="R236" i="42"/>
  <c r="W236" i="42" s="1"/>
  <c r="R232" i="42"/>
  <c r="W232" i="42" s="1"/>
  <c r="R228" i="42"/>
  <c r="W228" i="42" s="1"/>
  <c r="R224" i="42"/>
  <c r="W224" i="42" s="1"/>
  <c r="R220" i="42"/>
  <c r="W220" i="42" s="1"/>
  <c r="R216" i="42"/>
  <c r="W216" i="42" s="1"/>
  <c r="R212" i="42"/>
  <c r="W212" i="42" s="1"/>
  <c r="R208" i="42"/>
  <c r="W208" i="42" s="1"/>
  <c r="R204" i="42"/>
  <c r="W204" i="42" s="1"/>
  <c r="R200" i="42"/>
  <c r="W200" i="42" s="1"/>
  <c r="R196" i="42"/>
  <c r="W196" i="42" s="1"/>
  <c r="R192" i="42"/>
  <c r="W192" i="42" s="1"/>
  <c r="R188" i="42"/>
  <c r="W188" i="42" s="1"/>
  <c r="R184" i="42"/>
  <c r="W184" i="42" s="1"/>
  <c r="R180" i="42"/>
  <c r="W180" i="42" s="1"/>
  <c r="R176" i="42"/>
  <c r="W176" i="42" s="1"/>
  <c r="R172" i="42"/>
  <c r="W172" i="42" s="1"/>
  <c r="R168" i="42"/>
  <c r="W168" i="42" s="1"/>
  <c r="R164" i="42"/>
  <c r="W164" i="42" s="1"/>
  <c r="R160" i="42"/>
  <c r="W160" i="42" s="1"/>
  <c r="R156" i="42"/>
  <c r="W156" i="42" s="1"/>
  <c r="R152" i="42"/>
  <c r="W152" i="42" s="1"/>
  <c r="R148" i="42"/>
  <c r="W148" i="42" s="1"/>
  <c r="R144" i="42"/>
  <c r="W144" i="42" s="1"/>
  <c r="R140" i="42"/>
  <c r="W140" i="42" s="1"/>
  <c r="R136" i="42"/>
  <c r="W136" i="42" s="1"/>
  <c r="R132" i="42"/>
  <c r="W132" i="42" s="1"/>
  <c r="R128" i="42"/>
  <c r="W128" i="42" s="1"/>
  <c r="R124" i="42"/>
  <c r="W124" i="42" s="1"/>
  <c r="R120" i="42"/>
  <c r="W120" i="42" s="1"/>
  <c r="R116" i="42"/>
  <c r="W116" i="42" s="1"/>
  <c r="R112" i="42"/>
  <c r="W112" i="42" s="1"/>
  <c r="R108" i="42"/>
  <c r="W108" i="42" s="1"/>
  <c r="R104" i="42"/>
  <c r="W104" i="42" s="1"/>
  <c r="R100" i="42"/>
  <c r="W100" i="42" s="1"/>
  <c r="R96" i="42"/>
  <c r="W96" i="42" s="1"/>
  <c r="R92" i="42"/>
  <c r="W92" i="42" s="1"/>
  <c r="R88" i="42"/>
  <c r="W88" i="42" s="1"/>
  <c r="R84" i="42"/>
  <c r="W84" i="42" s="1"/>
  <c r="R80" i="42"/>
  <c r="W80" i="42" s="1"/>
  <c r="R76" i="42"/>
  <c r="W76" i="42" s="1"/>
  <c r="R72" i="42"/>
  <c r="W72" i="42" s="1"/>
  <c r="R68" i="42"/>
  <c r="W68" i="42" s="1"/>
  <c r="R64" i="42"/>
  <c r="W64" i="42" s="1"/>
  <c r="R60" i="42"/>
  <c r="W60" i="42" s="1"/>
  <c r="R56" i="42"/>
  <c r="W56" i="42" s="1"/>
  <c r="R52" i="42"/>
  <c r="W52" i="42" s="1"/>
  <c r="R48" i="42"/>
  <c r="W48" i="42" s="1"/>
  <c r="R44" i="42"/>
  <c r="W44" i="42" s="1"/>
  <c r="R40" i="42"/>
  <c r="W40" i="42" s="1"/>
  <c r="R36" i="42"/>
  <c r="W36" i="42" s="1"/>
  <c r="R32" i="42"/>
  <c r="W32" i="42" s="1"/>
  <c r="R28" i="42"/>
  <c r="W28" i="42" s="1"/>
  <c r="R24" i="42"/>
  <c r="W24" i="42" s="1"/>
  <c r="R259" i="42"/>
  <c r="W259" i="42" s="1"/>
  <c r="R255" i="42"/>
  <c r="W255" i="42" s="1"/>
  <c r="R251" i="42"/>
  <c r="W251" i="42" s="1"/>
  <c r="R247" i="42"/>
  <c r="W247" i="42" s="1"/>
  <c r="R243" i="42"/>
  <c r="W243" i="42" s="1"/>
  <c r="R239" i="42"/>
  <c r="W239" i="42" s="1"/>
  <c r="R235" i="42"/>
  <c r="W235" i="42" s="1"/>
  <c r="R231" i="42"/>
  <c r="W231" i="42" s="1"/>
  <c r="R227" i="42"/>
  <c r="W227" i="42" s="1"/>
  <c r="R223" i="42"/>
  <c r="W223" i="42" s="1"/>
  <c r="R219" i="42"/>
  <c r="W219" i="42" s="1"/>
  <c r="R215" i="42"/>
  <c r="W215" i="42" s="1"/>
  <c r="R211" i="42"/>
  <c r="W211" i="42" s="1"/>
  <c r="R207" i="42"/>
  <c r="W207" i="42" s="1"/>
  <c r="R203" i="42"/>
  <c r="W203" i="42" s="1"/>
  <c r="R199" i="42"/>
  <c r="W199" i="42" s="1"/>
  <c r="R195" i="42"/>
  <c r="W195" i="42" s="1"/>
  <c r="R191" i="42"/>
  <c r="W191" i="42" s="1"/>
  <c r="R187" i="42"/>
  <c r="W187" i="42" s="1"/>
  <c r="R183" i="42"/>
  <c r="W183" i="42" s="1"/>
  <c r="R179" i="42"/>
  <c r="W179" i="42" s="1"/>
  <c r="R175" i="42"/>
  <c r="W175" i="42" s="1"/>
  <c r="R171" i="42"/>
  <c r="W171" i="42" s="1"/>
  <c r="R167" i="42"/>
  <c r="W167" i="42" s="1"/>
  <c r="R163" i="42"/>
  <c r="W163" i="42" s="1"/>
  <c r="R159" i="42"/>
  <c r="W159" i="42" s="1"/>
  <c r="R155" i="42"/>
  <c r="W155" i="42" s="1"/>
  <c r="R151" i="42"/>
  <c r="W151" i="42" s="1"/>
  <c r="R147" i="42"/>
  <c r="W147" i="42" s="1"/>
  <c r="R143" i="42"/>
  <c r="W143" i="42" s="1"/>
  <c r="R139" i="42"/>
  <c r="W139" i="42" s="1"/>
  <c r="R135" i="42"/>
  <c r="W135" i="42" s="1"/>
  <c r="R131" i="42"/>
  <c r="W131" i="42" s="1"/>
  <c r="R127" i="42"/>
  <c r="W127" i="42" s="1"/>
  <c r="R123" i="42"/>
  <c r="W123" i="42" s="1"/>
  <c r="R119" i="42"/>
  <c r="W119" i="42" s="1"/>
  <c r="R115" i="42"/>
  <c r="W115" i="42" s="1"/>
  <c r="R111" i="42"/>
  <c r="W111" i="42" s="1"/>
  <c r="R107" i="42"/>
  <c r="W107" i="42" s="1"/>
  <c r="R103" i="42"/>
  <c r="W103" i="42" s="1"/>
  <c r="R99" i="42"/>
  <c r="W99" i="42" s="1"/>
  <c r="R95" i="42"/>
  <c r="W95" i="42" s="1"/>
  <c r="R91" i="42"/>
  <c r="W91" i="42" s="1"/>
  <c r="R87" i="42"/>
  <c r="W87" i="42" s="1"/>
  <c r="R83" i="42"/>
  <c r="W83" i="42" s="1"/>
  <c r="R79" i="42"/>
  <c r="W79" i="42" s="1"/>
  <c r="R75" i="42"/>
  <c r="W75" i="42" s="1"/>
  <c r="R71" i="42"/>
  <c r="W71" i="42" s="1"/>
  <c r="R67" i="42"/>
  <c r="W67" i="42" s="1"/>
  <c r="R63" i="42"/>
  <c r="W63" i="42" s="1"/>
  <c r="R59" i="42"/>
  <c r="W59" i="42" s="1"/>
  <c r="R55" i="42"/>
  <c r="W55" i="42" s="1"/>
  <c r="R51" i="42"/>
  <c r="W51" i="42" s="1"/>
  <c r="R47" i="42"/>
  <c r="W47" i="42" s="1"/>
  <c r="R43" i="42"/>
  <c r="W43" i="42" s="1"/>
  <c r="R39" i="42"/>
  <c r="W39" i="42" s="1"/>
  <c r="R35" i="42"/>
  <c r="W35" i="42" s="1"/>
  <c r="R31" i="42"/>
  <c r="W31" i="42" s="1"/>
  <c r="R27" i="42"/>
  <c r="W27" i="42" s="1"/>
  <c r="R23" i="42"/>
  <c r="W23" i="42" s="1"/>
  <c r="R258" i="42"/>
  <c r="W258" i="42" s="1"/>
  <c r="R254" i="42"/>
  <c r="W254" i="42" s="1"/>
  <c r="R250" i="42"/>
  <c r="W250" i="42" s="1"/>
  <c r="R246" i="42"/>
  <c r="W246" i="42" s="1"/>
  <c r="R242" i="42"/>
  <c r="W242" i="42" s="1"/>
  <c r="R238" i="42"/>
  <c r="W238" i="42" s="1"/>
  <c r="R234" i="42"/>
  <c r="W234" i="42" s="1"/>
  <c r="R230" i="42"/>
  <c r="W230" i="42" s="1"/>
  <c r="R226" i="42"/>
  <c r="W226" i="42" s="1"/>
  <c r="R222" i="42"/>
  <c r="W222" i="42" s="1"/>
  <c r="R218" i="42"/>
  <c r="W218" i="42" s="1"/>
  <c r="R214" i="42"/>
  <c r="W214" i="42" s="1"/>
  <c r="R210" i="42"/>
  <c r="W210" i="42" s="1"/>
  <c r="R206" i="42"/>
  <c r="W206" i="42" s="1"/>
  <c r="R202" i="42"/>
  <c r="W202" i="42" s="1"/>
  <c r="R198" i="42"/>
  <c r="W198" i="42" s="1"/>
  <c r="R194" i="42"/>
  <c r="W194" i="42" s="1"/>
  <c r="R190" i="42"/>
  <c r="W190" i="42" s="1"/>
  <c r="R186" i="42"/>
  <c r="W186" i="42" s="1"/>
  <c r="R182" i="42"/>
  <c r="W182" i="42" s="1"/>
  <c r="R178" i="42"/>
  <c r="W178" i="42" s="1"/>
  <c r="R174" i="42"/>
  <c r="W174" i="42" s="1"/>
  <c r="R170" i="42"/>
  <c r="W170" i="42" s="1"/>
  <c r="R166" i="42"/>
  <c r="W166" i="42" s="1"/>
  <c r="R162" i="42"/>
  <c r="W162" i="42" s="1"/>
  <c r="R158" i="42"/>
  <c r="W158" i="42" s="1"/>
  <c r="R154" i="42"/>
  <c r="W154" i="42" s="1"/>
  <c r="R150" i="42"/>
  <c r="W150" i="42" s="1"/>
  <c r="R146" i="42"/>
  <c r="W146" i="42" s="1"/>
  <c r="R142" i="42"/>
  <c r="W142" i="42" s="1"/>
  <c r="R138" i="42"/>
  <c r="W138" i="42" s="1"/>
  <c r="R134" i="42"/>
  <c r="W134" i="42" s="1"/>
  <c r="R130" i="42"/>
  <c r="W130" i="42" s="1"/>
  <c r="R126" i="42"/>
  <c r="W126" i="42" s="1"/>
  <c r="R122" i="42"/>
  <c r="W122" i="42" s="1"/>
  <c r="R118" i="42"/>
  <c r="W118" i="42" s="1"/>
  <c r="R114" i="42"/>
  <c r="W114" i="42" s="1"/>
  <c r="R110" i="42"/>
  <c r="W110" i="42" s="1"/>
  <c r="R106" i="42"/>
  <c r="W106" i="42" s="1"/>
  <c r="R102" i="42"/>
  <c r="W102" i="42" s="1"/>
  <c r="R98" i="42"/>
  <c r="W98" i="42" s="1"/>
  <c r="R94" i="42"/>
  <c r="W94" i="42" s="1"/>
  <c r="R90" i="42"/>
  <c r="W90" i="42" s="1"/>
  <c r="R86" i="42"/>
  <c r="W86" i="42" s="1"/>
  <c r="R82" i="42"/>
  <c r="W82" i="42" s="1"/>
  <c r="R78" i="42"/>
  <c r="W78" i="42" s="1"/>
  <c r="R74" i="42"/>
  <c r="W74" i="42" s="1"/>
  <c r="R70" i="42"/>
  <c r="W70" i="42" s="1"/>
  <c r="R66" i="42"/>
  <c r="W66" i="42" s="1"/>
  <c r="R62" i="42"/>
  <c r="W62" i="42" s="1"/>
  <c r="R58" i="42"/>
  <c r="W58" i="42" s="1"/>
  <c r="R54" i="42"/>
  <c r="W54" i="42" s="1"/>
  <c r="R50" i="42"/>
  <c r="W50" i="42" s="1"/>
  <c r="R46" i="42"/>
  <c r="W46" i="42" s="1"/>
  <c r="R42" i="42"/>
  <c r="W42" i="42" s="1"/>
  <c r="R38" i="42"/>
  <c r="W38" i="42" s="1"/>
  <c r="R34" i="42"/>
  <c r="W34" i="42" s="1"/>
  <c r="R30" i="42"/>
  <c r="W30" i="42" s="1"/>
  <c r="R26" i="42"/>
  <c r="W26" i="42" s="1"/>
  <c r="R22" i="42"/>
  <c r="W22" i="42" s="1"/>
  <c r="F24" i="36"/>
  <c r="U256" i="42"/>
  <c r="U240" i="42"/>
  <c r="U224" i="42"/>
  <c r="U208" i="42"/>
  <c r="U200" i="42"/>
  <c r="U192" i="42"/>
  <c r="U160" i="42"/>
  <c r="U144" i="42"/>
  <c r="U128" i="42"/>
  <c r="U64" i="42"/>
  <c r="U48" i="42"/>
  <c r="T32" i="42"/>
  <c r="U32" i="42" s="1"/>
  <c r="T24" i="42"/>
  <c r="U239" i="42"/>
  <c r="U207" i="42"/>
  <c r="U175" i="42"/>
  <c r="U143" i="42"/>
  <c r="U111" i="42"/>
  <c r="U79" i="42"/>
  <c r="U47" i="42"/>
  <c r="T31" i="42"/>
  <c r="T23" i="42"/>
  <c r="U221" i="42"/>
  <c r="U246" i="42"/>
  <c r="U214" i="42"/>
  <c r="U206" i="42"/>
  <c r="U190" i="42"/>
  <c r="U182" i="42"/>
  <c r="U166" i="42"/>
  <c r="U150" i="42"/>
  <c r="U142" i="42"/>
  <c r="U118" i="42"/>
  <c r="U86" i="42"/>
  <c r="U78" i="42"/>
  <c r="U46" i="42"/>
  <c r="T22" i="42"/>
  <c r="U245" i="42"/>
  <c r="Q13" i="42"/>
  <c r="R13" i="42" s="1"/>
  <c r="W13" i="42" s="1"/>
  <c r="U244" i="42"/>
  <c r="U236" i="42"/>
  <c r="U204" i="42"/>
  <c r="U172" i="42"/>
  <c r="U164" i="42"/>
  <c r="U140" i="42"/>
  <c r="U132" i="42"/>
  <c r="U116" i="42"/>
  <c r="U84" i="42"/>
  <c r="U76" i="42"/>
  <c r="U44" i="42"/>
  <c r="U251" i="42"/>
  <c r="U235" i="42"/>
  <c r="U219" i="42"/>
  <c r="U211" i="42"/>
  <c r="U203" i="42"/>
  <c r="U187" i="42"/>
  <c r="U171" i="42"/>
  <c r="U155" i="42"/>
  <c r="U147" i="42"/>
  <c r="U139" i="42"/>
  <c r="U123" i="42"/>
  <c r="U107" i="42"/>
  <c r="U91" i="42"/>
  <c r="U83" i="42"/>
  <c r="U75" i="42"/>
  <c r="U59" i="42"/>
  <c r="U43" i="42"/>
  <c r="Q19" i="42"/>
  <c r="R19" i="42" s="1"/>
  <c r="W19" i="42" s="1"/>
  <c r="U189" i="42"/>
  <c r="T29" i="42"/>
  <c r="U250" i="42"/>
  <c r="U162" i="42"/>
  <c r="U146" i="42"/>
  <c r="U138" i="42"/>
  <c r="U114" i="42"/>
  <c r="U90" i="42"/>
  <c r="U82" i="42"/>
  <c r="U74" i="42"/>
  <c r="U66" i="42"/>
  <c r="U50" i="42"/>
  <c r="U149" i="42"/>
  <c r="U258" i="42"/>
  <c r="U242" i="42"/>
  <c r="U249" i="42"/>
  <c r="U233" i="42"/>
  <c r="U217" i="42"/>
  <c r="U209" i="42"/>
  <c r="U201" i="42"/>
  <c r="U169" i="42"/>
  <c r="U137" i="42"/>
  <c r="U113" i="42"/>
  <c r="U105" i="42"/>
  <c r="U89" i="42"/>
  <c r="U73" i="42"/>
  <c r="U57" i="42"/>
  <c r="V12" i="42"/>
  <c r="N238" i="52"/>
  <c r="U238" i="52" s="1"/>
  <c r="N154" i="52"/>
  <c r="U154" i="52" s="1"/>
  <c r="N174" i="52"/>
  <c r="U174" i="52" s="1"/>
  <c r="N90" i="52"/>
  <c r="U90" i="52" s="1"/>
  <c r="K101" i="36"/>
  <c r="N110" i="52"/>
  <c r="U110" i="52" s="1"/>
  <c r="N26" i="52"/>
  <c r="U26" i="52" s="1"/>
  <c r="N218" i="52"/>
  <c r="U218" i="52" s="1"/>
  <c r="N46" i="52"/>
  <c r="U46" i="52" s="1"/>
  <c r="N100" i="52"/>
  <c r="U100" i="52" s="1"/>
  <c r="N214" i="52"/>
  <c r="U214" i="52" s="1"/>
  <c r="N204" i="52"/>
  <c r="U204" i="52" s="1"/>
  <c r="N194" i="52"/>
  <c r="U194" i="52" s="1"/>
  <c r="N150" i="52"/>
  <c r="U150" i="52" s="1"/>
  <c r="N140" i="52"/>
  <c r="U140" i="52" s="1"/>
  <c r="N130" i="52"/>
  <c r="U130" i="52" s="1"/>
  <c r="N228" i="52"/>
  <c r="U228" i="52" s="1"/>
  <c r="N164" i="52"/>
  <c r="U164" i="52" s="1"/>
  <c r="N36" i="52"/>
  <c r="U36" i="52" s="1"/>
  <c r="N208" i="52"/>
  <c r="U208" i="52" s="1"/>
  <c r="N144" i="52"/>
  <c r="U144" i="52" s="1"/>
  <c r="N80" i="52"/>
  <c r="U80" i="52" s="1"/>
  <c r="N250" i="52"/>
  <c r="U250" i="52" s="1"/>
  <c r="N240" i="52"/>
  <c r="U240" i="52" s="1"/>
  <c r="N206" i="52"/>
  <c r="U206" i="52" s="1"/>
  <c r="N196" i="52"/>
  <c r="U196" i="52" s="1"/>
  <c r="N186" i="52"/>
  <c r="U186" i="52" s="1"/>
  <c r="N176" i="52"/>
  <c r="U176" i="52" s="1"/>
  <c r="N142" i="52"/>
  <c r="U142" i="52" s="1"/>
  <c r="N132" i="52"/>
  <c r="U132" i="52" s="1"/>
  <c r="N122" i="52"/>
  <c r="U122" i="52" s="1"/>
  <c r="N112" i="52"/>
  <c r="U112" i="52" s="1"/>
  <c r="N78" i="52"/>
  <c r="U78" i="52" s="1"/>
  <c r="N68" i="52"/>
  <c r="U68" i="52" s="1"/>
  <c r="N58" i="52"/>
  <c r="U58" i="52" s="1"/>
  <c r="N48" i="52"/>
  <c r="U48" i="52" s="1"/>
  <c r="N236" i="52"/>
  <c r="U236" i="52" s="1"/>
  <c r="N226" i="52"/>
  <c r="U226" i="52" s="1"/>
  <c r="N10" i="52"/>
  <c r="I150" i="22"/>
  <c r="K109" i="36"/>
  <c r="K107" i="36"/>
  <c r="K105" i="36"/>
  <c r="K103" i="36"/>
  <c r="N16" i="52"/>
  <c r="U16" i="52" s="1"/>
  <c r="F21" i="36"/>
  <c r="N216" i="52"/>
  <c r="U216" i="52" s="1"/>
  <c r="N184" i="52"/>
  <c r="U184" i="52" s="1"/>
  <c r="N152" i="52"/>
  <c r="U152" i="52" s="1"/>
  <c r="N120" i="52"/>
  <c r="U120" i="52" s="1"/>
  <c r="N88" i="52"/>
  <c r="U88" i="52" s="1"/>
  <c r="N66" i="52"/>
  <c r="U66" i="52" s="1"/>
  <c r="N56" i="52"/>
  <c r="U56" i="52" s="1"/>
  <c r="N24" i="52"/>
  <c r="U24" i="52" s="1"/>
  <c r="N224" i="52"/>
  <c r="U224" i="52" s="1"/>
  <c r="N192" i="52"/>
  <c r="U192" i="52" s="1"/>
  <c r="N160" i="52"/>
  <c r="U160" i="52" s="1"/>
  <c r="N128" i="52"/>
  <c r="U128" i="52" s="1"/>
  <c r="N96" i="52"/>
  <c r="U96" i="52" s="1"/>
  <c r="N64" i="52"/>
  <c r="U64" i="52" s="1"/>
  <c r="N42" i="52"/>
  <c r="U42" i="52" s="1"/>
  <c r="N32" i="52"/>
  <c r="U32" i="52" s="1"/>
  <c r="N248" i="52"/>
  <c r="U248" i="52" s="1"/>
  <c r="N256" i="52"/>
  <c r="U256" i="52" s="1"/>
  <c r="N232" i="52"/>
  <c r="U232" i="52" s="1"/>
  <c r="N200" i="52"/>
  <c r="U200" i="52" s="1"/>
  <c r="N168" i="52"/>
  <c r="U168" i="52" s="1"/>
  <c r="N136" i="52"/>
  <c r="U136" i="52" s="1"/>
  <c r="N104" i="52"/>
  <c r="U104" i="52" s="1"/>
  <c r="N72" i="52"/>
  <c r="U72" i="52" s="1"/>
  <c r="N40" i="52"/>
  <c r="U40" i="52" s="1"/>
  <c r="N86" i="52"/>
  <c r="U86" i="52" s="1"/>
  <c r="N76" i="52"/>
  <c r="U76" i="52" s="1"/>
  <c r="N22" i="52"/>
  <c r="U22" i="52" s="1"/>
  <c r="N254" i="52"/>
  <c r="U254" i="52" s="1"/>
  <c r="N244" i="52"/>
  <c r="U244" i="52" s="1"/>
  <c r="N234" i="52"/>
  <c r="U234" i="52" s="1"/>
  <c r="N190" i="52"/>
  <c r="U190" i="52" s="1"/>
  <c r="N180" i="52"/>
  <c r="U180" i="52" s="1"/>
  <c r="N170" i="52"/>
  <c r="U170" i="52" s="1"/>
  <c r="N126" i="52"/>
  <c r="U126" i="52" s="1"/>
  <c r="N116" i="52"/>
  <c r="U116" i="52" s="1"/>
  <c r="N106" i="52"/>
  <c r="U106" i="52" s="1"/>
  <c r="N62" i="52"/>
  <c r="U62" i="52" s="1"/>
  <c r="N52" i="52"/>
  <c r="U52" i="52" s="1"/>
  <c r="N246" i="52"/>
  <c r="U246" i="52" s="1"/>
  <c r="N182" i="52"/>
  <c r="U182" i="52" s="1"/>
  <c r="N172" i="52"/>
  <c r="U172" i="52" s="1"/>
  <c r="N162" i="52"/>
  <c r="U162" i="52" s="1"/>
  <c r="N118" i="52"/>
  <c r="U118" i="52" s="1"/>
  <c r="N108" i="52"/>
  <c r="U108" i="52" s="1"/>
  <c r="N98" i="52"/>
  <c r="U98" i="52" s="1"/>
  <c r="N54" i="52"/>
  <c r="U54" i="52" s="1"/>
  <c r="N44" i="52"/>
  <c r="U44" i="52" s="1"/>
  <c r="N34" i="52"/>
  <c r="U34" i="52" s="1"/>
  <c r="N252" i="52"/>
  <c r="U252" i="52" s="1"/>
  <c r="N242" i="52"/>
  <c r="U242" i="52" s="1"/>
  <c r="N198" i="52"/>
  <c r="U198" i="52" s="1"/>
  <c r="N188" i="52"/>
  <c r="U188" i="52" s="1"/>
  <c r="N178" i="52"/>
  <c r="U178" i="52" s="1"/>
  <c r="N134" i="52"/>
  <c r="U134" i="52" s="1"/>
  <c r="N124" i="52"/>
  <c r="U124" i="52" s="1"/>
  <c r="N114" i="52"/>
  <c r="U114" i="52" s="1"/>
  <c r="N70" i="52"/>
  <c r="U70" i="52" s="1"/>
  <c r="N60" i="52"/>
  <c r="U60" i="52" s="1"/>
  <c r="N50" i="52"/>
  <c r="U50" i="52" s="1"/>
  <c r="N230" i="52"/>
  <c r="U230" i="52" s="1"/>
  <c r="N220" i="52"/>
  <c r="U220" i="52" s="1"/>
  <c r="N210" i="52"/>
  <c r="U210" i="52" s="1"/>
  <c r="N166" i="52"/>
  <c r="U166" i="52" s="1"/>
  <c r="N156" i="52"/>
  <c r="U156" i="52" s="1"/>
  <c r="N146" i="52"/>
  <c r="U146" i="52" s="1"/>
  <c r="N102" i="52"/>
  <c r="U102" i="52" s="1"/>
  <c r="N92" i="52"/>
  <c r="U92" i="52" s="1"/>
  <c r="N82" i="52"/>
  <c r="U82" i="52" s="1"/>
  <c r="N38" i="52"/>
  <c r="U38" i="52" s="1"/>
  <c r="N28" i="52"/>
  <c r="U28" i="52" s="1"/>
  <c r="N18" i="52"/>
  <c r="U18" i="52" s="1"/>
  <c r="N222" i="52"/>
  <c r="U222" i="52" s="1"/>
  <c r="N212" i="52"/>
  <c r="U212" i="52" s="1"/>
  <c r="N202" i="52"/>
  <c r="U202" i="52" s="1"/>
  <c r="N158" i="52"/>
  <c r="U158" i="52" s="1"/>
  <c r="N148" i="52"/>
  <c r="U148" i="52" s="1"/>
  <c r="N138" i="52"/>
  <c r="U138" i="52" s="1"/>
  <c r="N94" i="52"/>
  <c r="U94" i="52" s="1"/>
  <c r="N84" i="52"/>
  <c r="U84" i="52" s="1"/>
  <c r="N74" i="52"/>
  <c r="U74" i="52" s="1"/>
  <c r="N30" i="52"/>
  <c r="U30" i="52" s="1"/>
  <c r="N20" i="52"/>
  <c r="U20" i="52" s="1"/>
  <c r="F27" i="36"/>
  <c r="N12" i="52"/>
  <c r="U12" i="52" s="1"/>
  <c r="N11" i="52"/>
  <c r="N14" i="52"/>
  <c r="U14" i="52" s="1"/>
  <c r="U227" i="55"/>
  <c r="X12" i="58"/>
  <c r="S238" i="52"/>
  <c r="R238" i="52"/>
  <c r="S206" i="52"/>
  <c r="R206" i="52"/>
  <c r="S158" i="52"/>
  <c r="R158" i="52"/>
  <c r="S142" i="52"/>
  <c r="R142" i="52"/>
  <c r="S250" i="52"/>
  <c r="R250" i="52"/>
  <c r="S234" i="52"/>
  <c r="R234" i="52"/>
  <c r="S218" i="52"/>
  <c r="R218" i="52"/>
  <c r="S202" i="52"/>
  <c r="R202" i="52"/>
  <c r="S186" i="52"/>
  <c r="R186" i="52"/>
  <c r="S170" i="52"/>
  <c r="R170" i="52"/>
  <c r="S154" i="52"/>
  <c r="R154" i="52"/>
  <c r="S138" i="52"/>
  <c r="R138" i="52"/>
  <c r="S122" i="52"/>
  <c r="R122" i="52"/>
  <c r="S106" i="52"/>
  <c r="R106" i="52"/>
  <c r="S90" i="52"/>
  <c r="R90" i="52"/>
  <c r="S74" i="52"/>
  <c r="R74" i="52"/>
  <c r="S58" i="52"/>
  <c r="R58" i="52"/>
  <c r="S42" i="52"/>
  <c r="R42" i="52"/>
  <c r="S26" i="52"/>
  <c r="R26" i="52"/>
  <c r="S144" i="52"/>
  <c r="R144" i="52"/>
  <c r="S80" i="52"/>
  <c r="R80" i="52"/>
  <c r="S64" i="52"/>
  <c r="R64" i="52"/>
  <c r="S224" i="52"/>
  <c r="R224" i="52"/>
  <c r="S48" i="52"/>
  <c r="R48" i="52"/>
  <c r="S32" i="52"/>
  <c r="R32" i="52"/>
  <c r="S16" i="52"/>
  <c r="R16" i="52"/>
  <c r="S246" i="52"/>
  <c r="R246" i="52"/>
  <c r="S230" i="52"/>
  <c r="R230" i="52"/>
  <c r="S214" i="52"/>
  <c r="R214" i="52"/>
  <c r="S198" i="52"/>
  <c r="R198" i="52"/>
  <c r="S182" i="52"/>
  <c r="R182" i="52"/>
  <c r="S166" i="52"/>
  <c r="R166" i="52"/>
  <c r="S150" i="52"/>
  <c r="R150" i="52"/>
  <c r="S134" i="52"/>
  <c r="R134" i="52"/>
  <c r="S118" i="52"/>
  <c r="R118" i="52"/>
  <c r="S102" i="52"/>
  <c r="R102" i="52"/>
  <c r="S86" i="52"/>
  <c r="R86" i="52"/>
  <c r="S70" i="52"/>
  <c r="R70" i="52"/>
  <c r="S54" i="52"/>
  <c r="R54" i="52"/>
  <c r="S38" i="52"/>
  <c r="R38" i="52"/>
  <c r="S22" i="52"/>
  <c r="R22" i="52"/>
  <c r="S236" i="52"/>
  <c r="R236" i="52"/>
  <c r="S220" i="52"/>
  <c r="R220" i="52"/>
  <c r="S204" i="52"/>
  <c r="R204" i="52"/>
  <c r="S188" i="52"/>
  <c r="R188" i="52"/>
  <c r="S172" i="52"/>
  <c r="R172" i="52"/>
  <c r="S156" i="52"/>
  <c r="R156" i="52"/>
  <c r="S140" i="52"/>
  <c r="R140" i="52"/>
  <c r="S124" i="52"/>
  <c r="R124" i="52"/>
  <c r="S108" i="52"/>
  <c r="R108" i="52"/>
  <c r="S92" i="52"/>
  <c r="R92" i="52"/>
  <c r="S76" i="52"/>
  <c r="R76" i="52"/>
  <c r="S60" i="52"/>
  <c r="R60" i="52"/>
  <c r="S44" i="52"/>
  <c r="R44" i="52"/>
  <c r="R28" i="52"/>
  <c r="S28" i="52"/>
  <c r="S12" i="52"/>
  <c r="R12" i="52"/>
  <c r="S240" i="52"/>
  <c r="R240" i="52"/>
  <c r="S208" i="52"/>
  <c r="R208" i="52"/>
  <c r="S112" i="52"/>
  <c r="R112" i="52"/>
  <c r="S96" i="52"/>
  <c r="R96" i="52"/>
  <c r="S252" i="52"/>
  <c r="R252" i="52"/>
  <c r="S242" i="52"/>
  <c r="R242" i="52"/>
  <c r="S226" i="52"/>
  <c r="R226" i="52"/>
  <c r="S210" i="52"/>
  <c r="R210" i="52"/>
  <c r="S194" i="52"/>
  <c r="R194" i="52"/>
  <c r="S178" i="52"/>
  <c r="R178" i="52"/>
  <c r="S162" i="52"/>
  <c r="R162" i="52"/>
  <c r="S146" i="52"/>
  <c r="R146" i="52"/>
  <c r="S130" i="52"/>
  <c r="R130" i="52"/>
  <c r="S114" i="52"/>
  <c r="R114" i="52"/>
  <c r="S98" i="52"/>
  <c r="R98" i="52"/>
  <c r="S82" i="52"/>
  <c r="R82" i="52"/>
  <c r="S66" i="52"/>
  <c r="R66" i="52"/>
  <c r="S50" i="52"/>
  <c r="R50" i="52"/>
  <c r="S34" i="52"/>
  <c r="R34" i="52"/>
  <c r="S18" i="52"/>
  <c r="R18" i="52"/>
  <c r="S192" i="52"/>
  <c r="R192" i="52"/>
  <c r="S128" i="52"/>
  <c r="R128" i="52"/>
  <c r="S248" i="52"/>
  <c r="R248" i="52"/>
  <c r="S232" i="52"/>
  <c r="R232" i="52"/>
  <c r="S216" i="52"/>
  <c r="R216" i="52"/>
  <c r="S200" i="52"/>
  <c r="R200" i="52"/>
  <c r="S184" i="52"/>
  <c r="R184" i="52"/>
  <c r="S168" i="52"/>
  <c r="R168" i="52"/>
  <c r="S152" i="52"/>
  <c r="R152" i="52"/>
  <c r="S136" i="52"/>
  <c r="R136" i="52"/>
  <c r="S120" i="52"/>
  <c r="R120" i="52"/>
  <c r="S104" i="52"/>
  <c r="R104" i="52"/>
  <c r="S88" i="52"/>
  <c r="R88" i="52"/>
  <c r="S72" i="52"/>
  <c r="R72" i="52"/>
  <c r="S56" i="52"/>
  <c r="R56" i="52"/>
  <c r="S40" i="52"/>
  <c r="R40" i="52"/>
  <c r="S24" i="52"/>
  <c r="R24" i="52"/>
  <c r="S256" i="52"/>
  <c r="R256" i="52"/>
  <c r="S176" i="52"/>
  <c r="R176" i="52"/>
  <c r="S254" i="52"/>
  <c r="R254" i="52"/>
  <c r="S222" i="52"/>
  <c r="R222" i="52"/>
  <c r="S190" i="52"/>
  <c r="R190" i="52"/>
  <c r="S126" i="52"/>
  <c r="R126" i="52"/>
  <c r="S110" i="52"/>
  <c r="R110" i="52"/>
  <c r="S94" i="52"/>
  <c r="R94" i="52"/>
  <c r="S78" i="52"/>
  <c r="R78" i="52"/>
  <c r="S62" i="52"/>
  <c r="R62" i="52"/>
  <c r="S46" i="52"/>
  <c r="R46" i="52"/>
  <c r="S30" i="52"/>
  <c r="R30" i="52"/>
  <c r="S14" i="52"/>
  <c r="R14" i="52"/>
  <c r="S160" i="52"/>
  <c r="R160" i="52"/>
  <c r="S174" i="52"/>
  <c r="R174" i="52"/>
  <c r="S244" i="52"/>
  <c r="R244" i="52"/>
  <c r="S228" i="52"/>
  <c r="R228" i="52"/>
  <c r="S212" i="52"/>
  <c r="R212" i="52"/>
  <c r="S196" i="52"/>
  <c r="R196" i="52"/>
  <c r="S180" i="52"/>
  <c r="R180" i="52"/>
  <c r="S164" i="52"/>
  <c r="R164" i="52"/>
  <c r="S148" i="52"/>
  <c r="R148" i="52"/>
  <c r="S132" i="52"/>
  <c r="R132" i="52"/>
  <c r="S116" i="52"/>
  <c r="R116" i="52"/>
  <c r="S100" i="52"/>
  <c r="R100" i="52"/>
  <c r="S84" i="52"/>
  <c r="R84" i="52"/>
  <c r="S68" i="52"/>
  <c r="R68" i="52"/>
  <c r="S52" i="52"/>
  <c r="R52" i="52"/>
  <c r="S36" i="52"/>
  <c r="R36" i="52"/>
  <c r="S20" i="52"/>
  <c r="R20" i="52"/>
  <c r="U245" i="55"/>
  <c r="U224" i="55"/>
  <c r="U197" i="55"/>
  <c r="U133" i="55"/>
  <c r="U88" i="55"/>
  <c r="V65" i="55"/>
  <c r="U44" i="55"/>
  <c r="U244" i="55"/>
  <c r="V221" i="55"/>
  <c r="V193" i="55"/>
  <c r="V161" i="55"/>
  <c r="V129" i="55"/>
  <c r="V105" i="55"/>
  <c r="U84" i="55"/>
  <c r="U41" i="55"/>
  <c r="U240" i="55"/>
  <c r="U217" i="55"/>
  <c r="U189" i="55"/>
  <c r="V157" i="55"/>
  <c r="U125" i="55"/>
  <c r="U104" i="55"/>
  <c r="U60" i="55"/>
  <c r="V40" i="55"/>
  <c r="U237" i="55"/>
  <c r="U216" i="55"/>
  <c r="U185" i="55"/>
  <c r="V153" i="55"/>
  <c r="U100" i="55"/>
  <c r="U80" i="55"/>
  <c r="V36" i="55"/>
  <c r="U16" i="55"/>
  <c r="U213" i="55"/>
  <c r="U181" i="55"/>
  <c r="V149" i="55"/>
  <c r="V97" i="55"/>
  <c r="U56" i="55"/>
  <c r="U232" i="55"/>
  <c r="V209" i="55"/>
  <c r="V145" i="55"/>
  <c r="V96" i="55"/>
  <c r="V73" i="55"/>
  <c r="V32" i="55"/>
  <c r="U256" i="55"/>
  <c r="U229" i="55"/>
  <c r="V173" i="55"/>
  <c r="U92" i="55"/>
  <c r="U49" i="55"/>
  <c r="V28" i="55"/>
  <c r="U249" i="55"/>
  <c r="U228" i="55"/>
  <c r="V137" i="55"/>
  <c r="V89" i="55"/>
  <c r="U68" i="55"/>
  <c r="V48" i="55"/>
  <c r="V253" i="55"/>
  <c r="U252" i="55"/>
  <c r="U236" i="55"/>
  <c r="U220" i="55"/>
  <c r="U212" i="55"/>
  <c r="V257" i="55"/>
  <c r="U241" i="55"/>
  <c r="V117" i="55"/>
  <c r="V109" i="55"/>
  <c r="U93" i="55"/>
  <c r="V85" i="55"/>
  <c r="V77" i="55"/>
  <c r="U69" i="55"/>
  <c r="U61" i="55"/>
  <c r="U53" i="55"/>
  <c r="U45" i="55"/>
  <c r="V29" i="55"/>
  <c r="U21" i="55"/>
  <c r="V111" i="55"/>
  <c r="V107" i="55"/>
  <c r="V103" i="55"/>
  <c r="V95" i="55"/>
  <c r="V91" i="55"/>
  <c r="V87" i="55"/>
  <c r="V83" i="55"/>
  <c r="V71" i="55"/>
  <c r="V67" i="55"/>
  <c r="V59" i="55"/>
  <c r="V55" i="55"/>
  <c r="U51" i="55"/>
  <c r="U47" i="55"/>
  <c r="U43" i="55"/>
  <c r="U35" i="55"/>
  <c r="U27" i="55"/>
  <c r="U19" i="55"/>
  <c r="U15" i="55"/>
  <c r="U250" i="55"/>
  <c r="V222" i="55"/>
  <c r="U218" i="55"/>
  <c r="U214" i="55"/>
  <c r="U210" i="55"/>
  <c r="U206" i="55"/>
  <c r="V202" i="55"/>
  <c r="U198" i="55"/>
  <c r="U194" i="55"/>
  <c r="V190" i="55"/>
  <c r="U186" i="55"/>
  <c r="U178" i="55"/>
  <c r="U174" i="55"/>
  <c r="U166" i="55"/>
  <c r="U162" i="55"/>
  <c r="V158" i="55"/>
  <c r="U154" i="55"/>
  <c r="U150" i="55"/>
  <c r="U146" i="55"/>
  <c r="U142" i="55"/>
  <c r="V138" i="55"/>
  <c r="U134" i="55"/>
  <c r="U130" i="55"/>
  <c r="V126" i="55"/>
  <c r="U122" i="55"/>
  <c r="N255" i="52"/>
  <c r="U255" i="52" s="1"/>
  <c r="N251" i="52"/>
  <c r="U251" i="52" s="1"/>
  <c r="N247" i="52"/>
  <c r="U247" i="52" s="1"/>
  <c r="N243" i="52"/>
  <c r="U243" i="52" s="1"/>
  <c r="N239" i="52"/>
  <c r="U239" i="52" s="1"/>
  <c r="N235" i="52"/>
  <c r="U235" i="52" s="1"/>
  <c r="N231" i="52"/>
  <c r="U231" i="52" s="1"/>
  <c r="N227" i="52"/>
  <c r="U227" i="52" s="1"/>
  <c r="N223" i="52"/>
  <c r="U223" i="52" s="1"/>
  <c r="N219" i="52"/>
  <c r="U219" i="52" s="1"/>
  <c r="N215" i="52"/>
  <c r="U215" i="52" s="1"/>
  <c r="N211" i="52"/>
  <c r="U211" i="52" s="1"/>
  <c r="N207" i="52"/>
  <c r="U207" i="52" s="1"/>
  <c r="N203" i="52"/>
  <c r="U203" i="52" s="1"/>
  <c r="N199" i="52"/>
  <c r="U199" i="52" s="1"/>
  <c r="N195" i="52"/>
  <c r="U195" i="52" s="1"/>
  <c r="N191" i="52"/>
  <c r="U191" i="52" s="1"/>
  <c r="N187" i="52"/>
  <c r="U187" i="52" s="1"/>
  <c r="N183" i="52"/>
  <c r="U183" i="52" s="1"/>
  <c r="N179" i="52"/>
  <c r="U179" i="52" s="1"/>
  <c r="N175" i="52"/>
  <c r="U175" i="52" s="1"/>
  <c r="N171" i="52"/>
  <c r="U171" i="52" s="1"/>
  <c r="N167" i="52"/>
  <c r="U167" i="52" s="1"/>
  <c r="N163" i="52"/>
  <c r="U163" i="52" s="1"/>
  <c r="N159" i="52"/>
  <c r="U159" i="52" s="1"/>
  <c r="N155" i="52"/>
  <c r="U155" i="52" s="1"/>
  <c r="N151" i="52"/>
  <c r="U151" i="52" s="1"/>
  <c r="N147" i="52"/>
  <c r="U147" i="52" s="1"/>
  <c r="N143" i="52"/>
  <c r="U143" i="52" s="1"/>
  <c r="N139" i="52"/>
  <c r="U139" i="52" s="1"/>
  <c r="N135" i="52"/>
  <c r="U135" i="52" s="1"/>
  <c r="N131" i="52"/>
  <c r="U131" i="52" s="1"/>
  <c r="N127" i="52"/>
  <c r="U127" i="52" s="1"/>
  <c r="N123" i="52"/>
  <c r="U123" i="52" s="1"/>
  <c r="N119" i="52"/>
  <c r="U119" i="52" s="1"/>
  <c r="N115" i="52"/>
  <c r="U115" i="52" s="1"/>
  <c r="N111" i="52"/>
  <c r="U111" i="52" s="1"/>
  <c r="N107" i="52"/>
  <c r="U107" i="52" s="1"/>
  <c r="N103" i="52"/>
  <c r="U103" i="52" s="1"/>
  <c r="N99" i="52"/>
  <c r="U99" i="52" s="1"/>
  <c r="N95" i="52"/>
  <c r="U95" i="52" s="1"/>
  <c r="N91" i="52"/>
  <c r="U91" i="52" s="1"/>
  <c r="N87" i="52"/>
  <c r="U87" i="52" s="1"/>
  <c r="N83" i="52"/>
  <c r="U83" i="52" s="1"/>
  <c r="N79" i="52"/>
  <c r="U79" i="52" s="1"/>
  <c r="N75" i="52"/>
  <c r="U75" i="52" s="1"/>
  <c r="N71" i="52"/>
  <c r="U71" i="52" s="1"/>
  <c r="N67" i="52"/>
  <c r="U67" i="52" s="1"/>
  <c r="N63" i="52"/>
  <c r="U63" i="52" s="1"/>
  <c r="N59" i="52"/>
  <c r="U59" i="52" s="1"/>
  <c r="N55" i="52"/>
  <c r="U55" i="52" s="1"/>
  <c r="N51" i="52"/>
  <c r="U51" i="52" s="1"/>
  <c r="N47" i="52"/>
  <c r="U47" i="52" s="1"/>
  <c r="N43" i="52"/>
  <c r="U43" i="52" s="1"/>
  <c r="N39" i="52"/>
  <c r="U39" i="52" s="1"/>
  <c r="N35" i="52"/>
  <c r="U35" i="52" s="1"/>
  <c r="N31" i="52"/>
  <c r="U31" i="52" s="1"/>
  <c r="N27" i="52"/>
  <c r="U27" i="52" s="1"/>
  <c r="N23" i="52"/>
  <c r="U23" i="52" s="1"/>
  <c r="N19" i="52"/>
  <c r="U19" i="52" s="1"/>
  <c r="N15" i="52"/>
  <c r="N257" i="52"/>
  <c r="U257" i="52" s="1"/>
  <c r="N253" i="52"/>
  <c r="U253" i="52" s="1"/>
  <c r="N249" i="52"/>
  <c r="U249" i="52" s="1"/>
  <c r="N245" i="52"/>
  <c r="U245" i="52" s="1"/>
  <c r="N241" i="52"/>
  <c r="U241" i="52" s="1"/>
  <c r="N237" i="52"/>
  <c r="U237" i="52" s="1"/>
  <c r="N233" i="52"/>
  <c r="U233" i="52" s="1"/>
  <c r="N229" i="52"/>
  <c r="U229" i="52" s="1"/>
  <c r="N225" i="52"/>
  <c r="U225" i="52" s="1"/>
  <c r="N221" i="52"/>
  <c r="U221" i="52" s="1"/>
  <c r="N217" i="52"/>
  <c r="U217" i="52" s="1"/>
  <c r="N213" i="52"/>
  <c r="U213" i="52" s="1"/>
  <c r="N209" i="52"/>
  <c r="U209" i="52" s="1"/>
  <c r="N205" i="52"/>
  <c r="U205" i="52" s="1"/>
  <c r="N201" i="52"/>
  <c r="U201" i="52" s="1"/>
  <c r="N197" i="52"/>
  <c r="U197" i="52" s="1"/>
  <c r="N193" i="52"/>
  <c r="U193" i="52" s="1"/>
  <c r="N189" i="52"/>
  <c r="U189" i="52" s="1"/>
  <c r="N185" i="52"/>
  <c r="U185" i="52" s="1"/>
  <c r="N181" i="52"/>
  <c r="U181" i="52" s="1"/>
  <c r="N177" i="52"/>
  <c r="U177" i="52" s="1"/>
  <c r="N173" i="52"/>
  <c r="U173" i="52" s="1"/>
  <c r="N169" i="52"/>
  <c r="U169" i="52" s="1"/>
  <c r="N165" i="52"/>
  <c r="U165" i="52" s="1"/>
  <c r="N161" i="52"/>
  <c r="U161" i="52" s="1"/>
  <c r="N157" i="52"/>
  <c r="U157" i="52" s="1"/>
  <c r="N153" i="52"/>
  <c r="U153" i="52" s="1"/>
  <c r="N149" i="52"/>
  <c r="U149" i="52" s="1"/>
  <c r="N145" i="52"/>
  <c r="U145" i="52" s="1"/>
  <c r="N141" i="52"/>
  <c r="U141" i="52" s="1"/>
  <c r="N137" i="52"/>
  <c r="U137" i="52" s="1"/>
  <c r="N133" i="52"/>
  <c r="U133" i="52" s="1"/>
  <c r="N129" i="52"/>
  <c r="U129" i="52" s="1"/>
  <c r="N125" i="52"/>
  <c r="U125" i="52" s="1"/>
  <c r="N121" i="52"/>
  <c r="U121" i="52" s="1"/>
  <c r="N117" i="52"/>
  <c r="U117" i="52" s="1"/>
  <c r="N113" i="52"/>
  <c r="U113" i="52" s="1"/>
  <c r="N109" i="52"/>
  <c r="U109" i="52" s="1"/>
  <c r="N105" i="52"/>
  <c r="U105" i="52" s="1"/>
  <c r="N101" i="52"/>
  <c r="U101" i="52" s="1"/>
  <c r="N97" i="52"/>
  <c r="U97" i="52" s="1"/>
  <c r="N93" i="52"/>
  <c r="U93" i="52" s="1"/>
  <c r="N89" i="52"/>
  <c r="U89" i="52" s="1"/>
  <c r="N85" i="52"/>
  <c r="U85" i="52" s="1"/>
  <c r="N81" i="52"/>
  <c r="U81" i="52" s="1"/>
  <c r="N77" i="52"/>
  <c r="U77" i="52" s="1"/>
  <c r="N73" i="52"/>
  <c r="U73" i="52" s="1"/>
  <c r="N69" i="52"/>
  <c r="U69" i="52" s="1"/>
  <c r="N65" i="52"/>
  <c r="U65" i="52" s="1"/>
  <c r="N61" i="52"/>
  <c r="U61" i="52" s="1"/>
  <c r="N57" i="52"/>
  <c r="U57" i="52" s="1"/>
  <c r="N53" i="52"/>
  <c r="U53" i="52" s="1"/>
  <c r="N49" i="52"/>
  <c r="U49" i="52" s="1"/>
  <c r="N45" i="52"/>
  <c r="U45" i="52" s="1"/>
  <c r="N41" i="52"/>
  <c r="U41" i="52" s="1"/>
  <c r="N37" i="52"/>
  <c r="U37" i="52" s="1"/>
  <c r="N33" i="52"/>
  <c r="U33" i="52" s="1"/>
  <c r="N29" i="52"/>
  <c r="U29" i="52" s="1"/>
  <c r="N25" i="52"/>
  <c r="U25" i="52" s="1"/>
  <c r="N21" i="52"/>
  <c r="U21" i="52" s="1"/>
  <c r="N17" i="52"/>
  <c r="U17" i="52" s="1"/>
  <c r="N13" i="52"/>
  <c r="U14" i="55"/>
  <c r="U13" i="55"/>
  <c r="V12" i="55"/>
  <c r="R11" i="52"/>
  <c r="AN10" i="55" a="1"/>
  <c r="AN10" i="55" s="1"/>
  <c r="B12" i="57" s="1"/>
  <c r="P12" i="57" s="1"/>
  <c r="AK10" i="52" a="1"/>
  <c r="AK10" i="52" s="1"/>
  <c r="AM10" i="55" a="1"/>
  <c r="AM10" i="55" s="1"/>
  <c r="AM11" i="55" s="1" a="1"/>
  <c r="AM11" i="55" s="1"/>
  <c r="W258" i="55"/>
  <c r="AJ10" i="52" a="1"/>
  <c r="AJ10" i="52" s="1"/>
  <c r="AJ11" i="52" s="1" a="1"/>
  <c r="AJ11" i="52" s="1"/>
  <c r="T258" i="52"/>
  <c r="U22" i="42" l="1"/>
  <c r="U23" i="42"/>
  <c r="U29" i="42"/>
  <c r="U31" i="42"/>
  <c r="U24" i="42"/>
  <c r="B12" i="53"/>
  <c r="F12" i="53" s="1"/>
  <c r="Q21" i="42"/>
  <c r="R21" i="42" s="1"/>
  <c r="Q20" i="42"/>
  <c r="R20" i="42" s="1"/>
  <c r="W20" i="42" s="1"/>
  <c r="Q18" i="42"/>
  <c r="R18" i="42" s="1"/>
  <c r="W18" i="42" s="1"/>
  <c r="Q17" i="42"/>
  <c r="R17" i="42" s="1"/>
  <c r="W17" i="42" s="1"/>
  <c r="Q16" i="42"/>
  <c r="R16" i="42" s="1"/>
  <c r="W16" i="42" s="1"/>
  <c r="Q15" i="42"/>
  <c r="R15" i="42" s="1"/>
  <c r="W15" i="42" s="1"/>
  <c r="Q14" i="42"/>
  <c r="R14" i="42" s="1"/>
  <c r="W14" i="42" s="1"/>
  <c r="Y12" i="58"/>
  <c r="X154" i="22"/>
  <c r="Q258" i="55"/>
  <c r="H21" i="73" s="1"/>
  <c r="F161" i="22"/>
  <c r="D111" i="36" s="1"/>
  <c r="F159" i="22"/>
  <c r="D109" i="36" s="1"/>
  <c r="T27" i="42"/>
  <c r="U27" i="42" s="1"/>
  <c r="T36" i="42"/>
  <c r="U36" i="42" s="1"/>
  <c r="T25" i="42"/>
  <c r="U25" i="42" s="1"/>
  <c r="T35" i="42"/>
  <c r="U35" i="42" s="1"/>
  <c r="T26" i="42"/>
  <c r="U26" i="42" s="1"/>
  <c r="T34" i="42"/>
  <c r="U34" i="42" s="1"/>
  <c r="T28" i="42"/>
  <c r="U28" i="42" s="1"/>
  <c r="T30" i="42"/>
  <c r="U30" i="42" s="1"/>
  <c r="T33" i="42"/>
  <c r="U33" i="42" s="1"/>
  <c r="T37" i="42"/>
  <c r="U37" i="42" s="1"/>
  <c r="T19" i="42"/>
  <c r="U19" i="42" s="1"/>
  <c r="T13" i="42"/>
  <c r="U13" i="42" s="1"/>
  <c r="F157" i="22"/>
  <c r="D107" i="36" s="1"/>
  <c r="F158" i="22"/>
  <c r="D108" i="36" s="1"/>
  <c r="C12" i="57"/>
  <c r="M12" i="57" s="1"/>
  <c r="F150" i="22"/>
  <c r="D100" i="36" s="1"/>
  <c r="R10" i="52"/>
  <c r="D120" i="36"/>
  <c r="D121" i="36"/>
  <c r="S10" i="52"/>
  <c r="F152" i="22"/>
  <c r="D102" i="36" s="1"/>
  <c r="F153" i="22"/>
  <c r="D103" i="36" s="1"/>
  <c r="F154" i="22"/>
  <c r="D104" i="36" s="1"/>
  <c r="F151" i="22"/>
  <c r="D101" i="36" s="1"/>
  <c r="F160" i="22"/>
  <c r="D110" i="36" s="1"/>
  <c r="V227" i="55"/>
  <c r="L105" i="36"/>
  <c r="L107" i="36"/>
  <c r="L101" i="36"/>
  <c r="F156" i="22"/>
  <c r="D106" i="36" s="1"/>
  <c r="L103" i="36"/>
  <c r="L109" i="36"/>
  <c r="F162" i="22"/>
  <c r="D112" i="36" s="1"/>
  <c r="F155" i="22"/>
  <c r="D105" i="36" s="1"/>
  <c r="F30" i="36"/>
  <c r="L12" i="57"/>
  <c r="V133" i="55"/>
  <c r="U96" i="55"/>
  <c r="V213" i="55"/>
  <c r="V245" i="55"/>
  <c r="U149" i="55"/>
  <c r="U157" i="55"/>
  <c r="U72" i="55"/>
  <c r="U173" i="55"/>
  <c r="U37" i="55"/>
  <c r="V69" i="55"/>
  <c r="U221" i="55"/>
  <c r="U120" i="55"/>
  <c r="V101" i="55"/>
  <c r="V237" i="55"/>
  <c r="S25" i="52"/>
  <c r="R25" i="52"/>
  <c r="S57" i="52"/>
  <c r="R57" i="52"/>
  <c r="S89" i="52"/>
  <c r="R89" i="52"/>
  <c r="S121" i="52"/>
  <c r="R121" i="52"/>
  <c r="S153" i="52"/>
  <c r="R153" i="52"/>
  <c r="S185" i="52"/>
  <c r="R185" i="52"/>
  <c r="S217" i="52"/>
  <c r="R217" i="52"/>
  <c r="S249" i="52"/>
  <c r="R249" i="52"/>
  <c r="S35" i="52"/>
  <c r="R35" i="52"/>
  <c r="S67" i="52"/>
  <c r="R67" i="52"/>
  <c r="S99" i="52"/>
  <c r="R99" i="52"/>
  <c r="S131" i="52"/>
  <c r="R131" i="52"/>
  <c r="S163" i="52"/>
  <c r="R163" i="52"/>
  <c r="S195" i="52"/>
  <c r="R195" i="52"/>
  <c r="S227" i="52"/>
  <c r="R227" i="52"/>
  <c r="U246" i="55"/>
  <c r="V246" i="55"/>
  <c r="V225" i="55"/>
  <c r="U225" i="55"/>
  <c r="V123" i="55"/>
  <c r="U123" i="55"/>
  <c r="V139" i="55"/>
  <c r="U139" i="55"/>
  <c r="V159" i="55"/>
  <c r="U159" i="55"/>
  <c r="V179" i="55"/>
  <c r="U179" i="55"/>
  <c r="V203" i="55"/>
  <c r="U203" i="55"/>
  <c r="V26" i="55"/>
  <c r="U26" i="55"/>
  <c r="V153" i="22" s="1"/>
  <c r="U70" i="55"/>
  <c r="V70" i="55"/>
  <c r="V175" i="55"/>
  <c r="U175" i="55"/>
  <c r="V223" i="55"/>
  <c r="U223" i="55"/>
  <c r="U29" i="55"/>
  <c r="V61" i="55"/>
  <c r="V93" i="55"/>
  <c r="V125" i="55"/>
  <c r="V189" i="55"/>
  <c r="U24" i="55"/>
  <c r="V56" i="55"/>
  <c r="V88" i="55"/>
  <c r="V120" i="55"/>
  <c r="V11" i="55"/>
  <c r="V43" i="55"/>
  <c r="U75" i="55"/>
  <c r="U107" i="55"/>
  <c r="V248" i="55"/>
  <c r="U126" i="55"/>
  <c r="U158" i="55"/>
  <c r="U190" i="55"/>
  <c r="U222" i="55"/>
  <c r="V17" i="55"/>
  <c r="V49" i="55"/>
  <c r="U81" i="55"/>
  <c r="U113" i="55"/>
  <c r="U145" i="55"/>
  <c r="U177" i="55"/>
  <c r="U209" i="55"/>
  <c r="U12" i="55"/>
  <c r="V44" i="55"/>
  <c r="U76" i="55"/>
  <c r="U108" i="55"/>
  <c r="V241" i="55"/>
  <c r="V15" i="55"/>
  <c r="V47" i="55"/>
  <c r="U79" i="55"/>
  <c r="U111" i="55"/>
  <c r="V252" i="55"/>
  <c r="U138" i="55"/>
  <c r="U170" i="55"/>
  <c r="U202" i="55"/>
  <c r="S165" i="52"/>
  <c r="R165" i="52"/>
  <c r="S47" i="52"/>
  <c r="R47" i="52"/>
  <c r="S29" i="52"/>
  <c r="R29" i="52"/>
  <c r="S61" i="52"/>
  <c r="R61" i="52"/>
  <c r="S93" i="52"/>
  <c r="R93" i="52"/>
  <c r="S125" i="52"/>
  <c r="R125" i="52"/>
  <c r="S157" i="52"/>
  <c r="R157" i="52"/>
  <c r="S189" i="52"/>
  <c r="R189" i="52"/>
  <c r="S221" i="52"/>
  <c r="R221" i="52"/>
  <c r="S253" i="52"/>
  <c r="R253" i="52"/>
  <c r="S39" i="52"/>
  <c r="R39" i="52"/>
  <c r="S71" i="52"/>
  <c r="R71" i="52"/>
  <c r="S103" i="52"/>
  <c r="R103" i="52"/>
  <c r="S135" i="52"/>
  <c r="R135" i="52"/>
  <c r="S167" i="52"/>
  <c r="R167" i="52"/>
  <c r="S199" i="52"/>
  <c r="R199" i="52"/>
  <c r="S231" i="52"/>
  <c r="R231" i="52"/>
  <c r="V255" i="55"/>
  <c r="U255" i="55"/>
  <c r="V247" i="55"/>
  <c r="U247" i="55"/>
  <c r="V38" i="55"/>
  <c r="U38" i="55"/>
  <c r="U58" i="55"/>
  <c r="V58" i="55"/>
  <c r="U102" i="55"/>
  <c r="V102" i="55"/>
  <c r="U132" i="55"/>
  <c r="V132" i="55"/>
  <c r="U148" i="55"/>
  <c r="V148" i="55"/>
  <c r="U164" i="55"/>
  <c r="V164" i="55"/>
  <c r="U180" i="55"/>
  <c r="V180" i="55"/>
  <c r="U196" i="55"/>
  <c r="V196" i="55"/>
  <c r="U98" i="55"/>
  <c r="V98" i="55"/>
  <c r="U233" i="55"/>
  <c r="V233" i="55"/>
  <c r="V37" i="55"/>
  <c r="U101" i="55"/>
  <c r="U165" i="55"/>
  <c r="V197" i="55"/>
  <c r="V234" i="55"/>
  <c r="V24" i="55"/>
  <c r="V75" i="55"/>
  <c r="U248" i="55"/>
  <c r="V134" i="55"/>
  <c r="V166" i="55"/>
  <c r="V198" i="55"/>
  <c r="U17" i="55"/>
  <c r="V81" i="55"/>
  <c r="V113" i="55"/>
  <c r="V177" i="55"/>
  <c r="U20" i="55"/>
  <c r="U52" i="55"/>
  <c r="V84" i="55"/>
  <c r="V116" i="55"/>
  <c r="V249" i="55"/>
  <c r="V79" i="55"/>
  <c r="V146" i="55"/>
  <c r="V178" i="55"/>
  <c r="V210" i="55"/>
  <c r="S33" i="52"/>
  <c r="R33" i="52"/>
  <c r="S65" i="52"/>
  <c r="R65" i="52"/>
  <c r="S97" i="52"/>
  <c r="R97" i="52"/>
  <c r="S129" i="52"/>
  <c r="R129" i="52"/>
  <c r="S161" i="52"/>
  <c r="R161" i="52"/>
  <c r="S193" i="52"/>
  <c r="R193" i="52"/>
  <c r="S225" i="52"/>
  <c r="R225" i="52"/>
  <c r="S257" i="52"/>
  <c r="R257" i="52"/>
  <c r="S43" i="52"/>
  <c r="R43" i="52"/>
  <c r="S75" i="52"/>
  <c r="R75" i="52"/>
  <c r="S107" i="52"/>
  <c r="R107" i="52"/>
  <c r="S139" i="52"/>
  <c r="R139" i="52"/>
  <c r="S171" i="52"/>
  <c r="R171" i="52"/>
  <c r="S203" i="52"/>
  <c r="R203" i="52"/>
  <c r="S235" i="52"/>
  <c r="R235" i="52"/>
  <c r="U226" i="55"/>
  <c r="V226" i="55"/>
  <c r="U230" i="55"/>
  <c r="V230" i="55"/>
  <c r="V127" i="55"/>
  <c r="U127" i="55"/>
  <c r="V143" i="55"/>
  <c r="U143" i="55"/>
  <c r="V163" i="55"/>
  <c r="U163" i="55"/>
  <c r="V183" i="55"/>
  <c r="U183" i="55"/>
  <c r="V207" i="55"/>
  <c r="U207" i="55"/>
  <c r="V30" i="55"/>
  <c r="U30" i="55"/>
  <c r="U74" i="55"/>
  <c r="V74" i="55"/>
  <c r="V191" i="55"/>
  <c r="U191" i="55"/>
  <c r="V165" i="55"/>
  <c r="U234" i="55"/>
  <c r="U32" i="55"/>
  <c r="V64" i="55"/>
  <c r="V216" i="55"/>
  <c r="V19" i="55"/>
  <c r="V51" i="55"/>
  <c r="U83" i="55"/>
  <c r="U115" i="55"/>
  <c r="V256" i="55"/>
  <c r="V25" i="55"/>
  <c r="U57" i="55"/>
  <c r="U89" i="55"/>
  <c r="U121" i="55"/>
  <c r="U153" i="55"/>
  <c r="V185" i="55"/>
  <c r="V217" i="55"/>
  <c r="V20" i="55"/>
  <c r="V52" i="55"/>
  <c r="U116" i="55"/>
  <c r="V23" i="55"/>
  <c r="U55" i="55"/>
  <c r="U87" i="55"/>
  <c r="V228" i="55"/>
  <c r="V13" i="55"/>
  <c r="V45" i="55"/>
  <c r="U77" i="55"/>
  <c r="U109" i="55"/>
  <c r="U141" i="55"/>
  <c r="U205" i="55"/>
  <c r="V250" i="55"/>
  <c r="U64" i="55"/>
  <c r="V115" i="55"/>
  <c r="V142" i="55"/>
  <c r="V174" i="55"/>
  <c r="V206" i="55"/>
  <c r="U235" i="55"/>
  <c r="U25" i="55"/>
  <c r="V57" i="55"/>
  <c r="V121" i="55"/>
  <c r="U28" i="55"/>
  <c r="V155" i="22" s="1"/>
  <c r="V60" i="55"/>
  <c r="V92" i="55"/>
  <c r="V212" i="55"/>
  <c r="U257" i="55"/>
  <c r="U23" i="55"/>
  <c r="V122" i="55"/>
  <c r="V154" i="55"/>
  <c r="V186" i="55"/>
  <c r="V218" i="55"/>
  <c r="S69" i="52"/>
  <c r="R69" i="52"/>
  <c r="S197" i="52"/>
  <c r="R197" i="52"/>
  <c r="S79" i="52"/>
  <c r="R79" i="52"/>
  <c r="S143" i="52"/>
  <c r="R143" i="52"/>
  <c r="S207" i="52"/>
  <c r="R207" i="52"/>
  <c r="V251" i="55"/>
  <c r="U251" i="55"/>
  <c r="V46" i="55"/>
  <c r="U46" i="55"/>
  <c r="U62" i="55"/>
  <c r="V62" i="55"/>
  <c r="U106" i="55"/>
  <c r="V106" i="55"/>
  <c r="U136" i="55"/>
  <c r="V136" i="55"/>
  <c r="U152" i="55"/>
  <c r="V152" i="55"/>
  <c r="U168" i="55"/>
  <c r="V168" i="55"/>
  <c r="U184" i="55"/>
  <c r="V184" i="55"/>
  <c r="U200" i="55"/>
  <c r="V200" i="55"/>
  <c r="V231" i="55"/>
  <c r="U231" i="55"/>
  <c r="V34" i="55"/>
  <c r="U34" i="55"/>
  <c r="V161" i="22" s="1"/>
  <c r="U118" i="55"/>
  <c r="V118" i="55"/>
  <c r="S41" i="52"/>
  <c r="R41" i="52"/>
  <c r="S73" i="52"/>
  <c r="R73" i="52"/>
  <c r="S105" i="52"/>
  <c r="R105" i="52"/>
  <c r="S137" i="52"/>
  <c r="R137" i="52"/>
  <c r="S169" i="52"/>
  <c r="R169" i="52"/>
  <c r="S201" i="52"/>
  <c r="R201" i="52"/>
  <c r="S233" i="52"/>
  <c r="R233" i="52"/>
  <c r="R19" i="52"/>
  <c r="S19" i="52"/>
  <c r="S51" i="52"/>
  <c r="R51" i="52"/>
  <c r="S83" i="52"/>
  <c r="R83" i="52"/>
  <c r="S115" i="52"/>
  <c r="R115" i="52"/>
  <c r="S147" i="52"/>
  <c r="R147" i="52"/>
  <c r="S179" i="52"/>
  <c r="R179" i="52"/>
  <c r="S211" i="52"/>
  <c r="R211" i="52"/>
  <c r="S243" i="52"/>
  <c r="R243" i="52"/>
  <c r="U238" i="55"/>
  <c r="V238" i="55"/>
  <c r="V131" i="55"/>
  <c r="U131" i="55"/>
  <c r="V147" i="55"/>
  <c r="U147" i="55"/>
  <c r="V167" i="55"/>
  <c r="U167" i="55"/>
  <c r="V187" i="55"/>
  <c r="U187" i="55"/>
  <c r="V211" i="55"/>
  <c r="U211" i="55"/>
  <c r="V42" i="55"/>
  <c r="U42" i="55"/>
  <c r="U78" i="55"/>
  <c r="V78" i="55"/>
  <c r="V195" i="55"/>
  <c r="U195" i="55"/>
  <c r="V141" i="55"/>
  <c r="V205" i="55"/>
  <c r="U40" i="55"/>
  <c r="V72" i="55"/>
  <c r="V104" i="55"/>
  <c r="V224" i="55"/>
  <c r="U253" i="55"/>
  <c r="V27" i="55"/>
  <c r="U59" i="55"/>
  <c r="U91" i="55"/>
  <c r="V232" i="55"/>
  <c r="V235" i="55"/>
  <c r="V33" i="55"/>
  <c r="U65" i="55"/>
  <c r="U97" i="55"/>
  <c r="U129" i="55"/>
  <c r="U161" i="55"/>
  <c r="U193" i="55"/>
  <c r="V254" i="55"/>
  <c r="V31" i="55"/>
  <c r="U63" i="55"/>
  <c r="U95" i="55"/>
  <c r="V236" i="55"/>
  <c r="S37" i="52"/>
  <c r="R37" i="52"/>
  <c r="S133" i="52"/>
  <c r="R133" i="52"/>
  <c r="S229" i="52"/>
  <c r="R229" i="52"/>
  <c r="S111" i="52"/>
  <c r="R111" i="52"/>
  <c r="S175" i="52"/>
  <c r="R175" i="52"/>
  <c r="S239" i="52"/>
  <c r="R239" i="52"/>
  <c r="R13" i="52"/>
  <c r="U13" i="52" s="1"/>
  <c r="S13" i="52"/>
  <c r="S45" i="52"/>
  <c r="R45" i="52"/>
  <c r="S77" i="52"/>
  <c r="R77" i="52"/>
  <c r="S109" i="52"/>
  <c r="R109" i="52"/>
  <c r="S141" i="52"/>
  <c r="R141" i="52"/>
  <c r="S173" i="52"/>
  <c r="R173" i="52"/>
  <c r="S205" i="52"/>
  <c r="R205" i="52"/>
  <c r="S237" i="52"/>
  <c r="R237" i="52"/>
  <c r="S23" i="52"/>
  <c r="R23" i="52"/>
  <c r="S55" i="52"/>
  <c r="R55" i="52"/>
  <c r="S87" i="52"/>
  <c r="R87" i="52"/>
  <c r="S119" i="52"/>
  <c r="R119" i="52"/>
  <c r="S151" i="52"/>
  <c r="R151" i="52"/>
  <c r="S183" i="52"/>
  <c r="R183" i="52"/>
  <c r="S215" i="52"/>
  <c r="R215" i="52"/>
  <c r="S247" i="52"/>
  <c r="R247" i="52"/>
  <c r="V18" i="55"/>
  <c r="U18" i="55"/>
  <c r="V50" i="55"/>
  <c r="U50" i="55"/>
  <c r="U86" i="55"/>
  <c r="V86" i="55"/>
  <c r="U110" i="55"/>
  <c r="V110" i="55"/>
  <c r="U124" i="55"/>
  <c r="V124" i="55"/>
  <c r="U140" i="55"/>
  <c r="V140" i="55"/>
  <c r="U156" i="55"/>
  <c r="V156" i="55"/>
  <c r="U172" i="55"/>
  <c r="V172" i="55"/>
  <c r="U188" i="55"/>
  <c r="V188" i="55"/>
  <c r="U204" i="55"/>
  <c r="V204" i="55"/>
  <c r="U82" i="55"/>
  <c r="V82" i="55"/>
  <c r="V243" i="55"/>
  <c r="U243" i="55"/>
  <c r="V21" i="55"/>
  <c r="V53" i="55"/>
  <c r="U85" i="55"/>
  <c r="U117" i="55"/>
  <c r="V181" i="55"/>
  <c r="V14" i="55"/>
  <c r="V150" i="55"/>
  <c r="V182" i="55"/>
  <c r="V214" i="55"/>
  <c r="U33" i="55"/>
  <c r="U254" i="55"/>
  <c r="S11" i="52"/>
  <c r="U11" i="52" s="1"/>
  <c r="J159" i="22" s="1"/>
  <c r="U36" i="55"/>
  <c r="V68" i="55"/>
  <c r="V100" i="55"/>
  <c r="V220" i="55"/>
  <c r="U31" i="55"/>
  <c r="V63" i="55"/>
  <c r="V130" i="55"/>
  <c r="V162" i="55"/>
  <c r="V194" i="55"/>
  <c r="U239" i="55"/>
  <c r="S101" i="52"/>
  <c r="R101" i="52"/>
  <c r="S15" i="52"/>
  <c r="R15" i="52"/>
  <c r="H155" i="22" s="1"/>
  <c r="R17" i="52"/>
  <c r="S17" i="52"/>
  <c r="S49" i="52"/>
  <c r="R49" i="52"/>
  <c r="S81" i="52"/>
  <c r="R81" i="52"/>
  <c r="S113" i="52"/>
  <c r="R113" i="52"/>
  <c r="S145" i="52"/>
  <c r="R145" i="52"/>
  <c r="S177" i="52"/>
  <c r="R177" i="52"/>
  <c r="S209" i="52"/>
  <c r="R209" i="52"/>
  <c r="S241" i="52"/>
  <c r="R241" i="52"/>
  <c r="S27" i="52"/>
  <c r="R27" i="52"/>
  <c r="H154" i="22" s="1"/>
  <c r="S59" i="52"/>
  <c r="R59" i="52"/>
  <c r="S91" i="52"/>
  <c r="R91" i="52"/>
  <c r="S123" i="52"/>
  <c r="R123" i="52"/>
  <c r="S155" i="52"/>
  <c r="R155" i="52"/>
  <c r="S187" i="52"/>
  <c r="R187" i="52"/>
  <c r="S219" i="52"/>
  <c r="R219" i="52"/>
  <c r="S251" i="52"/>
  <c r="R251" i="52"/>
  <c r="U242" i="55"/>
  <c r="V242" i="55"/>
  <c r="V119" i="55"/>
  <c r="U119" i="55"/>
  <c r="V135" i="55"/>
  <c r="U135" i="55"/>
  <c r="V151" i="55"/>
  <c r="U151" i="55"/>
  <c r="V171" i="55"/>
  <c r="U171" i="55"/>
  <c r="V199" i="55"/>
  <c r="U199" i="55"/>
  <c r="V215" i="55"/>
  <c r="U215" i="55"/>
  <c r="U66" i="55"/>
  <c r="V66" i="55"/>
  <c r="V155" i="55"/>
  <c r="U155" i="55"/>
  <c r="V219" i="55"/>
  <c r="U219" i="55"/>
  <c r="V16" i="55"/>
  <c r="U48" i="55"/>
  <c r="V80" i="55"/>
  <c r="V112" i="55"/>
  <c r="V229" i="55"/>
  <c r="V35" i="55"/>
  <c r="U67" i="55"/>
  <c r="U99" i="55"/>
  <c r="V240" i="55"/>
  <c r="U182" i="55"/>
  <c r="V41" i="55"/>
  <c r="U73" i="55"/>
  <c r="U105" i="55"/>
  <c r="U137" i="55"/>
  <c r="U169" i="55"/>
  <c r="V201" i="55"/>
  <c r="V39" i="55"/>
  <c r="U71" i="55"/>
  <c r="U103" i="55"/>
  <c r="V244" i="55"/>
  <c r="V239" i="55"/>
  <c r="R21" i="52"/>
  <c r="S21" i="52"/>
  <c r="S53" i="52"/>
  <c r="R53" i="52"/>
  <c r="S85" i="52"/>
  <c r="R85" i="52"/>
  <c r="S117" i="52"/>
  <c r="R117" i="52"/>
  <c r="S149" i="52"/>
  <c r="R149" i="52"/>
  <c r="S181" i="52"/>
  <c r="R181" i="52"/>
  <c r="S213" i="52"/>
  <c r="R213" i="52"/>
  <c r="S245" i="52"/>
  <c r="R245" i="52"/>
  <c r="S31" i="52"/>
  <c r="R31" i="52"/>
  <c r="S63" i="52"/>
  <c r="R63" i="52"/>
  <c r="S95" i="52"/>
  <c r="R95" i="52"/>
  <c r="S127" i="52"/>
  <c r="R127" i="52"/>
  <c r="S159" i="52"/>
  <c r="R159" i="52"/>
  <c r="S191" i="52"/>
  <c r="R191" i="52"/>
  <c r="S223" i="52"/>
  <c r="R223" i="52"/>
  <c r="S255" i="52"/>
  <c r="R255" i="52"/>
  <c r="V22" i="55"/>
  <c r="U22" i="55"/>
  <c r="V54" i="55"/>
  <c r="U54" i="55"/>
  <c r="U90" i="55"/>
  <c r="V90" i="55"/>
  <c r="U114" i="55"/>
  <c r="V114" i="55"/>
  <c r="U128" i="55"/>
  <c r="V128" i="55"/>
  <c r="U144" i="55"/>
  <c r="V144" i="55"/>
  <c r="U160" i="55"/>
  <c r="V160" i="55"/>
  <c r="U176" i="55"/>
  <c r="V176" i="55"/>
  <c r="U192" i="55"/>
  <c r="V192" i="55"/>
  <c r="U208" i="55"/>
  <c r="V208" i="55"/>
  <c r="U94" i="55"/>
  <c r="V94" i="55"/>
  <c r="U112" i="55"/>
  <c r="V99" i="55"/>
  <c r="V169" i="55"/>
  <c r="U201" i="55"/>
  <c r="V76" i="55"/>
  <c r="V108" i="55"/>
  <c r="U39" i="55"/>
  <c r="V170" i="55"/>
  <c r="J12" i="57"/>
  <c r="K12" i="57"/>
  <c r="I12" i="57"/>
  <c r="P7" i="107"/>
  <c r="S7" i="107" s="1"/>
  <c r="U7" i="107" s="1"/>
  <c r="V10" i="55"/>
  <c r="X10" i="55" s="1"/>
  <c r="AN11" i="55" a="1"/>
  <c r="AN11" i="55" s="1"/>
  <c r="B13" i="57" s="1"/>
  <c r="P13" i="57" s="1"/>
  <c r="H12" i="57"/>
  <c r="G12" i="57"/>
  <c r="F12" i="57"/>
  <c r="E12" i="57"/>
  <c r="D12" i="57"/>
  <c r="AK11" i="52" a="1"/>
  <c r="AK11" i="52" s="1"/>
  <c r="B13" i="53" s="1"/>
  <c r="M13" i="53" s="1"/>
  <c r="AM12" i="55" a="1"/>
  <c r="AM12" i="55" s="1"/>
  <c r="AM13" i="55" s="1" a="1"/>
  <c r="AM13" i="55" s="1"/>
  <c r="AJ12" i="52" a="1"/>
  <c r="AJ12" i="52" s="1"/>
  <c r="U15" i="52" l="1"/>
  <c r="J162" i="22" s="1"/>
  <c r="J153" i="22"/>
  <c r="J156" i="22"/>
  <c r="C12" i="53"/>
  <c r="J12" i="53"/>
  <c r="M12" i="53"/>
  <c r="R12" i="53" s="1"/>
  <c r="AY258" i="55" a="1"/>
  <c r="AY258" i="55" s="1"/>
  <c r="U258" i="55" a="1"/>
  <c r="U258" i="55" s="1"/>
  <c r="G12" i="53"/>
  <c r="E12" i="53"/>
  <c r="H12" i="53"/>
  <c r="P12" i="53"/>
  <c r="I12" i="53"/>
  <c r="K12" i="53"/>
  <c r="D12" i="53"/>
  <c r="O13" i="53"/>
  <c r="L12" i="53"/>
  <c r="V154" i="22"/>
  <c r="V159" i="22"/>
  <c r="Z260" i="58"/>
  <c r="X151" i="22"/>
  <c r="H161" i="22"/>
  <c r="L159" i="22"/>
  <c r="W21" i="42"/>
  <c r="I13" i="53"/>
  <c r="T21" i="42"/>
  <c r="U21" i="42" s="1"/>
  <c r="T20" i="42"/>
  <c r="U20" i="42" s="1"/>
  <c r="T18" i="42"/>
  <c r="U18" i="42" s="1"/>
  <c r="T17" i="42"/>
  <c r="U17" i="42" s="1"/>
  <c r="T16" i="42"/>
  <c r="U16" i="42" s="1"/>
  <c r="T15" i="42"/>
  <c r="U15" i="42" s="1"/>
  <c r="T14" i="42"/>
  <c r="U14" i="42" s="1"/>
  <c r="H153" i="22"/>
  <c r="V258" i="55" a="1"/>
  <c r="V258" i="55" s="1"/>
  <c r="R258" i="52" a="1"/>
  <c r="R258" i="52" s="1"/>
  <c r="S258" i="52" a="1"/>
  <c r="S258" i="52" s="1"/>
  <c r="H152" i="22"/>
  <c r="V156" i="22"/>
  <c r="D131" i="36"/>
  <c r="D151" i="36" s="1"/>
  <c r="V150" i="22"/>
  <c r="V160" i="22"/>
  <c r="V157" i="22"/>
  <c r="V158" i="22"/>
  <c r="V152" i="22"/>
  <c r="D127" i="36"/>
  <c r="D147" i="36" s="1"/>
  <c r="D123" i="36"/>
  <c r="D143" i="36" s="1"/>
  <c r="D125" i="36"/>
  <c r="D145" i="36" s="1"/>
  <c r="D124" i="36"/>
  <c r="D144" i="36" s="1"/>
  <c r="D126" i="36"/>
  <c r="D146" i="36" s="1"/>
  <c r="D129" i="36"/>
  <c r="D149" i="36" s="1"/>
  <c r="D128" i="36"/>
  <c r="D148" i="36" s="1"/>
  <c r="D122" i="36"/>
  <c r="D142" i="36" s="1"/>
  <c r="L155" i="22"/>
  <c r="L153" i="22"/>
  <c r="L156" i="22"/>
  <c r="T12" i="42"/>
  <c r="U12" i="42" s="1"/>
  <c r="M3" i="42"/>
  <c r="H158" i="22"/>
  <c r="H159" i="22"/>
  <c r="H150" i="22"/>
  <c r="H157" i="22"/>
  <c r="D130" i="36"/>
  <c r="D150" i="36" s="1"/>
  <c r="D132" i="36"/>
  <c r="D152" i="36" s="1"/>
  <c r="N12" i="57"/>
  <c r="N12" i="53"/>
  <c r="O12" i="53" s="1"/>
  <c r="U10" i="52"/>
  <c r="J160" i="22" s="1"/>
  <c r="H151" i="22"/>
  <c r="L13" i="57"/>
  <c r="Q12" i="57"/>
  <c r="T12" i="57" s="1"/>
  <c r="W12" i="42"/>
  <c r="L157" i="22" s="1"/>
  <c r="R12" i="57"/>
  <c r="W12" i="58"/>
  <c r="V151" i="22"/>
  <c r="V162" i="22"/>
  <c r="H162" i="22"/>
  <c r="D140" i="36"/>
  <c r="D141" i="36"/>
  <c r="H156" i="22"/>
  <c r="H160" i="22"/>
  <c r="AQ12" i="57"/>
  <c r="L13" i="53"/>
  <c r="K13" i="53"/>
  <c r="I13" i="57"/>
  <c r="G13" i="57"/>
  <c r="K13" i="57"/>
  <c r="D13" i="57"/>
  <c r="F13" i="57"/>
  <c r="J13" i="57"/>
  <c r="C13" i="57"/>
  <c r="M13" i="57" s="1"/>
  <c r="H13" i="57"/>
  <c r="E13" i="57"/>
  <c r="Y260" i="58"/>
  <c r="AN12" i="55" a="1"/>
  <c r="AN12" i="55" s="1"/>
  <c r="B14" i="57" s="1"/>
  <c r="P14" i="57" s="1"/>
  <c r="N258" i="52"/>
  <c r="AK12" i="52" a="1"/>
  <c r="AK12" i="52" s="1"/>
  <c r="B14" i="53" s="1"/>
  <c r="AM14" i="55" a="1"/>
  <c r="AM14" i="55" s="1"/>
  <c r="AM15" i="55" s="1" a="1"/>
  <c r="AM15" i="55" s="1"/>
  <c r="AM16" i="55" s="1" a="1"/>
  <c r="AM16" i="55" s="1"/>
  <c r="N258" i="55"/>
  <c r="L21" i="73" s="1"/>
  <c r="AJ13" i="52" a="1"/>
  <c r="AJ13" i="52" s="1"/>
  <c r="Q12" i="53" l="1"/>
  <c r="X12" i="53"/>
  <c r="M14" i="53"/>
  <c r="O14" i="53"/>
  <c r="AK13" i="57"/>
  <c r="H9" i="73"/>
  <c r="E62" i="73" s="1"/>
  <c r="F62" i="73" s="1"/>
  <c r="F22" i="36"/>
  <c r="E13" i="53"/>
  <c r="C13" i="53"/>
  <c r="F13" i="53"/>
  <c r="G13" i="53"/>
  <c r="D13" i="53"/>
  <c r="H13" i="53"/>
  <c r="J13" i="53"/>
  <c r="P13" i="53"/>
  <c r="N13" i="53"/>
  <c r="E14" i="53"/>
  <c r="L154" i="22"/>
  <c r="L158" i="22"/>
  <c r="J150" i="22"/>
  <c r="L152" i="22"/>
  <c r="L161" i="22"/>
  <c r="O12" i="57"/>
  <c r="X12" i="57" s="1"/>
  <c r="L14" i="57"/>
  <c r="L160" i="22"/>
  <c r="L151" i="22"/>
  <c r="R13" i="57"/>
  <c r="L150" i="22"/>
  <c r="L162" i="22"/>
  <c r="F28" i="36"/>
  <c r="F25" i="36"/>
  <c r="AC13" i="53"/>
  <c r="AD12" i="53"/>
  <c r="X258" i="55"/>
  <c r="AT12" i="53"/>
  <c r="W260" i="42"/>
  <c r="U258" i="52"/>
  <c r="AD12" i="57"/>
  <c r="K14" i="57"/>
  <c r="I14" i="57"/>
  <c r="H14" i="57"/>
  <c r="G14" i="57"/>
  <c r="E14" i="57"/>
  <c r="D14" i="57"/>
  <c r="C14" i="57"/>
  <c r="M14" i="57" s="1"/>
  <c r="F14" i="57"/>
  <c r="J14" i="57"/>
  <c r="AN13" i="55" a="1"/>
  <c r="AN13" i="55" s="1"/>
  <c r="B15" i="57" s="1"/>
  <c r="P15" i="57" s="1"/>
  <c r="AK13" i="52" a="1"/>
  <c r="AK13" i="52" s="1"/>
  <c r="B15" i="53" s="1"/>
  <c r="AM17" i="55" a="1"/>
  <c r="AM17" i="55" s="1"/>
  <c r="AJ14" i="52" a="1"/>
  <c r="AJ14" i="52" s="1"/>
  <c r="AJ15" i="52" s="1" a="1"/>
  <c r="AJ15" i="52" s="1"/>
  <c r="M15" i="53" l="1"/>
  <c r="AC15" i="53" s="1"/>
  <c r="O15" i="53"/>
  <c r="AK14" i="57"/>
  <c r="N15" i="53"/>
  <c r="K14" i="53"/>
  <c r="P14" i="53"/>
  <c r="G14" i="53"/>
  <c r="C14" i="53"/>
  <c r="AC14" i="53" s="1"/>
  <c r="H14" i="53"/>
  <c r="N14" i="53"/>
  <c r="L14" i="53"/>
  <c r="I14" i="53"/>
  <c r="D14" i="53"/>
  <c r="J14" i="53"/>
  <c r="F14" i="53"/>
  <c r="AA12" i="57"/>
  <c r="AA12" i="53"/>
  <c r="AE12" i="53" s="1"/>
  <c r="AF12" i="53" s="1"/>
  <c r="L15" i="57"/>
  <c r="R14" i="57"/>
  <c r="R13" i="53"/>
  <c r="X13" i="53" s="1"/>
  <c r="F31" i="36"/>
  <c r="AD13" i="57"/>
  <c r="AQ14" i="57"/>
  <c r="Q13" i="57"/>
  <c r="T13" i="57" s="1"/>
  <c r="AQ13" i="57"/>
  <c r="N13" i="57"/>
  <c r="N14" i="57"/>
  <c r="AT13" i="53"/>
  <c r="AD13" i="53"/>
  <c r="Q13" i="53"/>
  <c r="AD14" i="57"/>
  <c r="Q14" i="57"/>
  <c r="T14" i="57" s="1"/>
  <c r="AK14" i="52" a="1"/>
  <c r="AK14" i="52" s="1"/>
  <c r="B16" i="53" s="1"/>
  <c r="K15" i="57"/>
  <c r="I15" i="57"/>
  <c r="F15" i="57"/>
  <c r="C15" i="57"/>
  <c r="H15" i="57"/>
  <c r="D15" i="57"/>
  <c r="G15" i="57"/>
  <c r="E15" i="57"/>
  <c r="J15" i="57"/>
  <c r="AN14" i="55" a="1"/>
  <c r="AN14" i="55" s="1"/>
  <c r="B16" i="57" s="1"/>
  <c r="P16" i="57" s="1"/>
  <c r="AM18" i="55" a="1"/>
  <c r="AM18" i="55" s="1"/>
  <c r="AJ16" i="52" a="1"/>
  <c r="AJ16" i="52" s="1"/>
  <c r="M16" i="53" l="1"/>
  <c r="O16" i="53"/>
  <c r="M15" i="57"/>
  <c r="AK15" i="57" s="1"/>
  <c r="N16" i="53"/>
  <c r="R14" i="53"/>
  <c r="X14" i="53" s="1"/>
  <c r="Q14" i="53"/>
  <c r="AD14" i="53"/>
  <c r="AT14" i="53"/>
  <c r="AA13" i="53"/>
  <c r="AB13" i="53"/>
  <c r="AB12" i="57"/>
  <c r="AC12" i="57" s="1"/>
  <c r="AE12" i="57"/>
  <c r="AF12" i="57" s="1"/>
  <c r="AB12" i="53"/>
  <c r="AC12" i="53" s="1"/>
  <c r="AE13" i="53"/>
  <c r="O13" i="57"/>
  <c r="X13" i="57" s="1"/>
  <c r="O14" i="57"/>
  <c r="L16" i="57"/>
  <c r="AG12" i="53"/>
  <c r="AK15" i="52" a="1"/>
  <c r="AK15" i="52" s="1"/>
  <c r="B17" i="53" s="1"/>
  <c r="H16" i="57"/>
  <c r="G16" i="57"/>
  <c r="E16" i="57"/>
  <c r="D16" i="57"/>
  <c r="C16" i="57"/>
  <c r="K16" i="57"/>
  <c r="I16" i="57"/>
  <c r="F16" i="57"/>
  <c r="J16" i="57"/>
  <c r="K15" i="53"/>
  <c r="I15" i="53"/>
  <c r="H15" i="53"/>
  <c r="G15" i="53"/>
  <c r="P15" i="53"/>
  <c r="E15" i="53"/>
  <c r="L15" i="53"/>
  <c r="D15" i="53"/>
  <c r="C15" i="53"/>
  <c r="J15" i="53"/>
  <c r="F15" i="53"/>
  <c r="P16" i="53"/>
  <c r="H16" i="53"/>
  <c r="K16" i="53"/>
  <c r="G16" i="53"/>
  <c r="F16" i="53"/>
  <c r="J16" i="53"/>
  <c r="D16" i="53"/>
  <c r="C16" i="53"/>
  <c r="L16" i="53"/>
  <c r="I16" i="53"/>
  <c r="E16" i="53"/>
  <c r="AN15" i="55" a="1"/>
  <c r="AN15" i="55" s="1"/>
  <c r="B17" i="57" s="1"/>
  <c r="P17" i="57" s="1"/>
  <c r="AM19" i="55" a="1"/>
  <c r="AM19" i="55" s="1"/>
  <c r="AJ17" i="52" a="1"/>
  <c r="AJ17" i="52" s="1"/>
  <c r="X14" i="57" l="1"/>
  <c r="AB14" i="57" s="1"/>
  <c r="M17" i="53"/>
  <c r="O17" i="53"/>
  <c r="R15" i="57"/>
  <c r="M16" i="57"/>
  <c r="AK16" i="57" s="1"/>
  <c r="N17" i="53"/>
  <c r="AA14" i="53"/>
  <c r="AB14" i="53"/>
  <c r="AA13" i="57"/>
  <c r="AE13" i="57" s="1"/>
  <c r="AF13" i="57" s="1"/>
  <c r="AB13" i="57"/>
  <c r="AH12" i="53"/>
  <c r="AF13" i="53"/>
  <c r="AE14" i="53"/>
  <c r="AF14" i="53" s="1"/>
  <c r="AC13" i="57"/>
  <c r="L17" i="57"/>
  <c r="AQ15" i="57"/>
  <c r="AG12" i="57"/>
  <c r="AK12" i="57" s="1"/>
  <c r="AD15" i="57"/>
  <c r="Q15" i="57"/>
  <c r="T15" i="57" s="1"/>
  <c r="N15" i="57"/>
  <c r="AG13" i="57"/>
  <c r="AC16" i="53"/>
  <c r="AG13" i="53"/>
  <c r="C17" i="53"/>
  <c r="K17" i="53"/>
  <c r="G17" i="53"/>
  <c r="E17" i="53"/>
  <c r="I17" i="53"/>
  <c r="D17" i="53"/>
  <c r="H17" i="53"/>
  <c r="L17" i="53"/>
  <c r="P17" i="53"/>
  <c r="F17" i="53"/>
  <c r="J17" i="53"/>
  <c r="AK16" i="52" a="1"/>
  <c r="AK16" i="52" s="1"/>
  <c r="B18" i="53" s="1"/>
  <c r="K17" i="57"/>
  <c r="J17" i="57"/>
  <c r="E17" i="57"/>
  <c r="C17" i="57"/>
  <c r="I17" i="57"/>
  <c r="H17" i="57"/>
  <c r="F17" i="57"/>
  <c r="D17" i="57"/>
  <c r="G17" i="57"/>
  <c r="AN16" i="55" a="1"/>
  <c r="AN16" i="55" s="1"/>
  <c r="B18" i="57" s="1"/>
  <c r="P18" i="57" s="1"/>
  <c r="AM20" i="55" a="1"/>
  <c r="AM20" i="55" s="1"/>
  <c r="AJ18" i="52" a="1"/>
  <c r="AJ18" i="52" s="1"/>
  <c r="AJ19" i="52" s="1" a="1"/>
  <c r="AJ19" i="52" s="1"/>
  <c r="AA14" i="57" l="1"/>
  <c r="AE14" i="57" s="1"/>
  <c r="AF14" i="57" s="1"/>
  <c r="AC17" i="53"/>
  <c r="AQ16" i="57"/>
  <c r="R16" i="57"/>
  <c r="M18" i="53"/>
  <c r="O18" i="53"/>
  <c r="M17" i="57"/>
  <c r="AK17" i="57" s="1"/>
  <c r="AJ12" i="57"/>
  <c r="N18" i="53"/>
  <c r="AC14" i="57"/>
  <c r="O15" i="57"/>
  <c r="N17" i="57"/>
  <c r="R16" i="53"/>
  <c r="X16" i="53" s="1"/>
  <c r="R15" i="53"/>
  <c r="X15" i="53" s="1"/>
  <c r="R17" i="53"/>
  <c r="X17" i="53" s="1"/>
  <c r="Q16" i="53"/>
  <c r="AD15" i="53"/>
  <c r="L18" i="57"/>
  <c r="AJ13" i="57"/>
  <c r="AG14" i="57"/>
  <c r="N16" i="57"/>
  <c r="AD16" i="57"/>
  <c r="Q16" i="57"/>
  <c r="T16" i="57" s="1"/>
  <c r="AT15" i="53"/>
  <c r="Q15" i="53"/>
  <c r="AT16" i="53"/>
  <c r="AD16" i="53"/>
  <c r="AT17" i="53"/>
  <c r="AG14" i="53"/>
  <c r="AD17" i="53"/>
  <c r="G18" i="57"/>
  <c r="E18" i="57"/>
  <c r="D18" i="57"/>
  <c r="C18" i="57"/>
  <c r="K18" i="57"/>
  <c r="I18" i="57"/>
  <c r="H18" i="57"/>
  <c r="F18" i="57"/>
  <c r="J18" i="57"/>
  <c r="P18" i="53"/>
  <c r="H18" i="53"/>
  <c r="K18" i="53"/>
  <c r="C18" i="53"/>
  <c r="F18" i="53"/>
  <c r="I18" i="53"/>
  <c r="E18" i="53"/>
  <c r="G18" i="53"/>
  <c r="J18" i="53"/>
  <c r="L18" i="53"/>
  <c r="D18" i="53"/>
  <c r="Q17" i="53"/>
  <c r="AK17" i="52" a="1"/>
  <c r="AK17" i="52" s="1"/>
  <c r="B19" i="53" s="1"/>
  <c r="AN17" i="55" a="1"/>
  <c r="AN17" i="55" s="1"/>
  <c r="B19" i="57" s="1"/>
  <c r="P19" i="57" s="1"/>
  <c r="AM21" i="55" a="1"/>
  <c r="AM21" i="55" s="1"/>
  <c r="AM22" i="55" s="1" a="1"/>
  <c r="AM22" i="55" s="1"/>
  <c r="AM23" i="55" s="1" a="1"/>
  <c r="AM23" i="55" s="1"/>
  <c r="AM24" i="55" s="1" a="1"/>
  <c r="AM24" i="55" s="1"/>
  <c r="AM25" i="55" s="1" a="1"/>
  <c r="AM25" i="55" s="1"/>
  <c r="AM26" i="55" s="1" a="1"/>
  <c r="AM26" i="55" s="1"/>
  <c r="AM27" i="55" s="1" a="1"/>
  <c r="AM27" i="55" s="1"/>
  <c r="AM28" i="55" s="1" a="1"/>
  <c r="AM28" i="55" s="1"/>
  <c r="AM29" i="55" s="1" a="1"/>
  <c r="AM29" i="55" s="1"/>
  <c r="AM30" i="55" s="1" a="1"/>
  <c r="AM30" i="55" s="1"/>
  <c r="AM31" i="55" s="1" a="1"/>
  <c r="AM31" i="55" s="1"/>
  <c r="AM32" i="55" s="1" a="1"/>
  <c r="AM32" i="55" s="1"/>
  <c r="AM33" i="55" s="1" a="1"/>
  <c r="AM33" i="55" s="1"/>
  <c r="AM34" i="55" s="1" a="1"/>
  <c r="AM34" i="55" s="1"/>
  <c r="AM35" i="55" s="1" a="1"/>
  <c r="AM35" i="55" s="1"/>
  <c r="AM36" i="55" s="1" a="1"/>
  <c r="AM36" i="55" s="1"/>
  <c r="AM37" i="55" s="1" a="1"/>
  <c r="AM37" i="55" s="1"/>
  <c r="AM38" i="55" s="1" a="1"/>
  <c r="AM38" i="55" s="1"/>
  <c r="AM39" i="55" s="1" a="1"/>
  <c r="AM39" i="55" s="1"/>
  <c r="AM40" i="55" s="1" a="1"/>
  <c r="AM40" i="55" s="1"/>
  <c r="AM41" i="55" s="1" a="1"/>
  <c r="AM41" i="55" s="1"/>
  <c r="AM42" i="55" s="1" a="1"/>
  <c r="AM42" i="55" s="1"/>
  <c r="AM43" i="55" s="1" a="1"/>
  <c r="AM43" i="55" s="1"/>
  <c r="AM44" i="55" s="1" a="1"/>
  <c r="AM44" i="55" s="1"/>
  <c r="AM45" i="55" s="1" a="1"/>
  <c r="AM45" i="55" s="1"/>
  <c r="AM46" i="55" s="1" a="1"/>
  <c r="AM46" i="55" s="1"/>
  <c r="AM47" i="55" s="1" a="1"/>
  <c r="AM47" i="55" s="1"/>
  <c r="AM48" i="55" s="1" a="1"/>
  <c r="AM48" i="55" s="1"/>
  <c r="AM49" i="55" s="1" a="1"/>
  <c r="AM49" i="55" s="1"/>
  <c r="AM50" i="55" s="1" a="1"/>
  <c r="AM50" i="55" s="1"/>
  <c r="AM51" i="55" s="1" a="1"/>
  <c r="AM51" i="55" s="1"/>
  <c r="AM52" i="55" s="1" a="1"/>
  <c r="AM52" i="55" s="1"/>
  <c r="AM53" i="55" s="1" a="1"/>
  <c r="AM53" i="55" s="1"/>
  <c r="AM54" i="55" s="1" a="1"/>
  <c r="AM54" i="55" s="1"/>
  <c r="AM55" i="55" s="1" a="1"/>
  <c r="AM55" i="55" s="1"/>
  <c r="AM56" i="55" s="1" a="1"/>
  <c r="AM56" i="55" s="1"/>
  <c r="AM57" i="55" s="1" a="1"/>
  <c r="AM57" i="55" s="1"/>
  <c r="AM58" i="55" s="1" a="1"/>
  <c r="AM58" i="55" s="1"/>
  <c r="AM59" i="55" s="1" a="1"/>
  <c r="AM59" i="55" s="1"/>
  <c r="AM60" i="55" s="1" a="1"/>
  <c r="AM60" i="55" s="1"/>
  <c r="AM61" i="55" s="1" a="1"/>
  <c r="AM61" i="55" s="1"/>
  <c r="AM62" i="55" s="1" a="1"/>
  <c r="AM62" i="55" s="1"/>
  <c r="AM63" i="55" s="1" a="1"/>
  <c r="AM63" i="55" s="1"/>
  <c r="AM64" i="55" s="1" a="1"/>
  <c r="AM64" i="55" s="1"/>
  <c r="AM65" i="55" s="1" a="1"/>
  <c r="AM65" i="55" s="1"/>
  <c r="AM66" i="55" s="1" a="1"/>
  <c r="AM66" i="55" s="1"/>
  <c r="AM67" i="55" s="1" a="1"/>
  <c r="AM67" i="55" s="1"/>
  <c r="AM68" i="55" s="1" a="1"/>
  <c r="AM68" i="55" s="1"/>
  <c r="AM69" i="55" s="1" a="1"/>
  <c r="AM69" i="55" s="1"/>
  <c r="AM70" i="55" s="1" a="1"/>
  <c r="AM70" i="55" s="1"/>
  <c r="AM71" i="55" s="1" a="1"/>
  <c r="AM71" i="55" s="1"/>
  <c r="AM72" i="55" s="1" a="1"/>
  <c r="AM72" i="55" s="1"/>
  <c r="AM73" i="55" s="1" a="1"/>
  <c r="AM73" i="55" s="1"/>
  <c r="AM74" i="55" s="1" a="1"/>
  <c r="AM74" i="55" s="1"/>
  <c r="AM75" i="55" s="1" a="1"/>
  <c r="AM75" i="55" s="1"/>
  <c r="AM76" i="55" s="1" a="1"/>
  <c r="AM76" i="55" s="1"/>
  <c r="AM77" i="55" s="1" a="1"/>
  <c r="AM77" i="55" s="1"/>
  <c r="AM78" i="55" s="1" a="1"/>
  <c r="AM78" i="55" s="1"/>
  <c r="AM79" i="55" s="1" a="1"/>
  <c r="AM79" i="55" s="1"/>
  <c r="AM80" i="55" s="1" a="1"/>
  <c r="AM80" i="55" s="1"/>
  <c r="AM81" i="55" s="1" a="1"/>
  <c r="AM81" i="55" s="1"/>
  <c r="AM82" i="55" s="1" a="1"/>
  <c r="AM82" i="55" s="1"/>
  <c r="AM83" i="55" s="1" a="1"/>
  <c r="AM83" i="55" s="1"/>
  <c r="AM84" i="55" s="1" a="1"/>
  <c r="AM84" i="55" s="1"/>
  <c r="AM85" i="55" s="1" a="1"/>
  <c r="AM85" i="55" s="1"/>
  <c r="AM86" i="55" s="1" a="1"/>
  <c r="AM86" i="55" s="1"/>
  <c r="AM87" i="55" s="1" a="1"/>
  <c r="AM87" i="55" s="1"/>
  <c r="AM88" i="55" s="1" a="1"/>
  <c r="AM88" i="55" s="1"/>
  <c r="AM89" i="55" s="1" a="1"/>
  <c r="AM89" i="55" s="1"/>
  <c r="AM90" i="55" s="1" a="1"/>
  <c r="AM90" i="55" s="1"/>
  <c r="AM91" i="55" s="1" a="1"/>
  <c r="AM91" i="55" s="1"/>
  <c r="AM92" i="55" s="1" a="1"/>
  <c r="AM92" i="55" s="1"/>
  <c r="AM93" i="55" s="1" a="1"/>
  <c r="AM93" i="55" s="1"/>
  <c r="AM94" i="55" s="1" a="1"/>
  <c r="AM94" i="55" s="1"/>
  <c r="AM95" i="55" s="1" a="1"/>
  <c r="AM95" i="55" s="1"/>
  <c r="AM96" i="55" s="1" a="1"/>
  <c r="AM96" i="55" s="1"/>
  <c r="AM97" i="55" s="1" a="1"/>
  <c r="AM97" i="55" s="1"/>
  <c r="AM98" i="55" s="1" a="1"/>
  <c r="AM98" i="55" s="1"/>
  <c r="AM99" i="55" s="1" a="1"/>
  <c r="AM99" i="55" s="1"/>
  <c r="AM100" i="55" s="1" a="1"/>
  <c r="AM100" i="55" s="1"/>
  <c r="AM101" i="55" s="1" a="1"/>
  <c r="AM101" i="55" s="1"/>
  <c r="AM102" i="55" s="1" a="1"/>
  <c r="AM102" i="55" s="1"/>
  <c r="AM103" i="55" s="1" a="1"/>
  <c r="AM103" i="55" s="1"/>
  <c r="AM104" i="55" s="1" a="1"/>
  <c r="AM104" i="55" s="1"/>
  <c r="AM105" i="55" s="1" a="1"/>
  <c r="AM105" i="55" s="1"/>
  <c r="AM106" i="55" s="1" a="1"/>
  <c r="AM106" i="55" s="1"/>
  <c r="AM107" i="55" s="1" a="1"/>
  <c r="AM107" i="55" s="1"/>
  <c r="AM108" i="55" s="1" a="1"/>
  <c r="AM108" i="55" s="1"/>
  <c r="AM109" i="55" s="1" a="1"/>
  <c r="AM109" i="55" s="1"/>
  <c r="AM110" i="55" s="1" a="1"/>
  <c r="AM110" i="55" s="1"/>
  <c r="AM111" i="55" s="1" a="1"/>
  <c r="AM111" i="55" s="1"/>
  <c r="AM112" i="55" s="1" a="1"/>
  <c r="AM112" i="55" s="1"/>
  <c r="AM113" i="55" s="1" a="1"/>
  <c r="AM113" i="55" s="1"/>
  <c r="AM114" i="55" s="1" a="1"/>
  <c r="AM114" i="55" s="1"/>
  <c r="AM115" i="55" s="1" a="1"/>
  <c r="AM115" i="55" s="1"/>
  <c r="AM116" i="55" s="1" a="1"/>
  <c r="AM116" i="55" s="1"/>
  <c r="AM117" i="55" s="1" a="1"/>
  <c r="AM117" i="55" s="1"/>
  <c r="AM118" i="55" s="1" a="1"/>
  <c r="AM118" i="55" s="1"/>
  <c r="AM119" i="55" s="1" a="1"/>
  <c r="AM119" i="55" s="1"/>
  <c r="AM120" i="55" s="1" a="1"/>
  <c r="AM120" i="55" s="1"/>
  <c r="AM121" i="55" s="1" a="1"/>
  <c r="AM121" i="55" s="1"/>
  <c r="AM122" i="55" s="1" a="1"/>
  <c r="AM122" i="55" s="1"/>
  <c r="AM123" i="55" s="1" a="1"/>
  <c r="AM123" i="55" s="1"/>
  <c r="AM124" i="55" s="1" a="1"/>
  <c r="AM124" i="55" s="1"/>
  <c r="AM125" i="55" s="1" a="1"/>
  <c r="AM125" i="55" s="1"/>
  <c r="AM126" i="55" s="1" a="1"/>
  <c r="AM126" i="55" s="1"/>
  <c r="AM127" i="55" s="1" a="1"/>
  <c r="AM127" i="55" s="1"/>
  <c r="AM128" i="55" s="1" a="1"/>
  <c r="AM128" i="55" s="1"/>
  <c r="AM129" i="55" s="1" a="1"/>
  <c r="AM129" i="55" s="1"/>
  <c r="AM130" i="55" s="1" a="1"/>
  <c r="AM130" i="55" s="1"/>
  <c r="AM131" i="55" s="1" a="1"/>
  <c r="AM131" i="55" s="1"/>
  <c r="AM132" i="55" s="1" a="1"/>
  <c r="AM132" i="55" s="1"/>
  <c r="AM133" i="55" s="1" a="1"/>
  <c r="AM133" i="55" s="1"/>
  <c r="AM134" i="55" s="1" a="1"/>
  <c r="AM134" i="55" s="1"/>
  <c r="AM135" i="55" s="1" a="1"/>
  <c r="AM135" i="55" s="1"/>
  <c r="AM136" i="55" s="1" a="1"/>
  <c r="AM136" i="55" s="1"/>
  <c r="AM137" i="55" s="1" a="1"/>
  <c r="AM137" i="55" s="1"/>
  <c r="AM138" i="55" s="1" a="1"/>
  <c r="AM138" i="55" s="1"/>
  <c r="AM139" i="55" s="1" a="1"/>
  <c r="AM139" i="55" s="1"/>
  <c r="AM140" i="55" s="1" a="1"/>
  <c r="AM140" i="55" s="1"/>
  <c r="AM141" i="55" s="1" a="1"/>
  <c r="AM141" i="55" s="1"/>
  <c r="AM142" i="55" s="1" a="1"/>
  <c r="AM142" i="55" s="1"/>
  <c r="AM143" i="55" s="1" a="1"/>
  <c r="AM143" i="55" s="1"/>
  <c r="AM144" i="55" s="1" a="1"/>
  <c r="AM144" i="55" s="1"/>
  <c r="AM145" i="55" s="1" a="1"/>
  <c r="AM145" i="55" s="1"/>
  <c r="AM146" i="55" s="1" a="1"/>
  <c r="AM146" i="55" s="1"/>
  <c r="AM147" i="55" s="1" a="1"/>
  <c r="AM147" i="55" s="1"/>
  <c r="AM148" i="55" s="1" a="1"/>
  <c r="AM148" i="55" s="1"/>
  <c r="AM149" i="55" s="1" a="1"/>
  <c r="AM149" i="55" s="1"/>
  <c r="AM150" i="55" s="1" a="1"/>
  <c r="AM150" i="55" s="1"/>
  <c r="AM151" i="55" s="1" a="1"/>
  <c r="AM151" i="55" s="1"/>
  <c r="AM152" i="55" s="1" a="1"/>
  <c r="AM152" i="55" s="1"/>
  <c r="AM153" i="55" s="1" a="1"/>
  <c r="AM153" i="55" s="1"/>
  <c r="AM154" i="55" s="1" a="1"/>
  <c r="AM154" i="55" s="1"/>
  <c r="AM155" i="55" s="1" a="1"/>
  <c r="AM155" i="55" s="1"/>
  <c r="AM156" i="55" s="1" a="1"/>
  <c r="AM156" i="55" s="1"/>
  <c r="AM157" i="55" s="1" a="1"/>
  <c r="AM157" i="55" s="1"/>
  <c r="AM158" i="55" s="1" a="1"/>
  <c r="AM158" i="55" s="1"/>
  <c r="AM159" i="55" s="1" a="1"/>
  <c r="AM159" i="55" s="1"/>
  <c r="AM160" i="55" s="1" a="1"/>
  <c r="AM160" i="55" s="1"/>
  <c r="AM161" i="55" s="1" a="1"/>
  <c r="AM161" i="55" s="1"/>
  <c r="AM162" i="55" s="1" a="1"/>
  <c r="AM162" i="55" s="1"/>
  <c r="AM163" i="55" s="1" a="1"/>
  <c r="AM163" i="55" s="1"/>
  <c r="AM164" i="55" s="1" a="1"/>
  <c r="AM164" i="55" s="1"/>
  <c r="AM165" i="55" s="1" a="1"/>
  <c r="AM165" i="55" s="1"/>
  <c r="AM166" i="55" s="1" a="1"/>
  <c r="AM166" i="55" s="1"/>
  <c r="AM167" i="55" s="1" a="1"/>
  <c r="AM167" i="55" s="1"/>
  <c r="AM168" i="55" s="1" a="1"/>
  <c r="AM168" i="55" s="1"/>
  <c r="AM169" i="55" s="1" a="1"/>
  <c r="AM169" i="55" s="1"/>
  <c r="AM170" i="55" s="1" a="1"/>
  <c r="AM170" i="55" s="1"/>
  <c r="AM171" i="55" s="1" a="1"/>
  <c r="AM171" i="55" s="1"/>
  <c r="AM172" i="55" s="1" a="1"/>
  <c r="AM172" i="55" s="1"/>
  <c r="AM173" i="55" s="1" a="1"/>
  <c r="AM173" i="55" s="1"/>
  <c r="AM174" i="55" s="1" a="1"/>
  <c r="AM174" i="55" s="1"/>
  <c r="AM175" i="55" s="1" a="1"/>
  <c r="AM175" i="55" s="1"/>
  <c r="AM176" i="55" s="1" a="1"/>
  <c r="AM176" i="55" s="1"/>
  <c r="AM177" i="55" s="1" a="1"/>
  <c r="AM177" i="55" s="1"/>
  <c r="AM178" i="55" s="1" a="1"/>
  <c r="AM178" i="55" s="1"/>
  <c r="AM179" i="55" s="1" a="1"/>
  <c r="AM179" i="55" s="1"/>
  <c r="AM180" i="55" s="1" a="1"/>
  <c r="AM180" i="55" s="1"/>
  <c r="AM181" i="55" s="1" a="1"/>
  <c r="AM181" i="55" s="1"/>
  <c r="AM182" i="55" s="1" a="1"/>
  <c r="AM182" i="55" s="1"/>
  <c r="AM183" i="55" s="1" a="1"/>
  <c r="AM183" i="55" s="1"/>
  <c r="AM184" i="55" s="1" a="1"/>
  <c r="AM184" i="55" s="1"/>
  <c r="AM185" i="55" s="1" a="1"/>
  <c r="AM185" i="55" s="1"/>
  <c r="AM186" i="55" s="1" a="1"/>
  <c r="AM186" i="55" s="1"/>
  <c r="AM187" i="55" s="1" a="1"/>
  <c r="AM187" i="55" s="1"/>
  <c r="AM188" i="55" s="1" a="1"/>
  <c r="AM188" i="55" s="1"/>
  <c r="AM189" i="55" s="1" a="1"/>
  <c r="AM189" i="55" s="1"/>
  <c r="AM190" i="55" s="1" a="1"/>
  <c r="AM190" i="55" s="1"/>
  <c r="AM191" i="55" s="1" a="1"/>
  <c r="AM191" i="55" s="1"/>
  <c r="AM192" i="55" s="1" a="1"/>
  <c r="AM192" i="55" s="1"/>
  <c r="AM193" i="55" s="1" a="1"/>
  <c r="AM193" i="55" s="1"/>
  <c r="AM194" i="55" s="1" a="1"/>
  <c r="AM194" i="55" s="1"/>
  <c r="AM195" i="55" s="1" a="1"/>
  <c r="AM195" i="55" s="1"/>
  <c r="AM196" i="55" s="1" a="1"/>
  <c r="AM196" i="55" s="1"/>
  <c r="AM197" i="55" s="1" a="1"/>
  <c r="AM197" i="55" s="1"/>
  <c r="AM198" i="55" s="1" a="1"/>
  <c r="AM198" i="55" s="1"/>
  <c r="AM199" i="55" s="1" a="1"/>
  <c r="AM199" i="55" s="1"/>
  <c r="AM200" i="55" s="1" a="1"/>
  <c r="AM200" i="55" s="1"/>
  <c r="AM201" i="55" s="1" a="1"/>
  <c r="AM201" i="55" s="1"/>
  <c r="AM202" i="55" s="1" a="1"/>
  <c r="AM202" i="55" s="1"/>
  <c r="AM203" i="55" s="1" a="1"/>
  <c r="AM203" i="55" s="1"/>
  <c r="AM204" i="55" s="1" a="1"/>
  <c r="AM204" i="55" s="1"/>
  <c r="AM205" i="55" s="1" a="1"/>
  <c r="AM205" i="55" s="1"/>
  <c r="AM206" i="55" s="1" a="1"/>
  <c r="AM206" i="55" s="1"/>
  <c r="AM207" i="55" s="1" a="1"/>
  <c r="AM207" i="55" s="1"/>
  <c r="AM208" i="55" s="1" a="1"/>
  <c r="AM208" i="55" s="1"/>
  <c r="AM209" i="55" s="1" a="1"/>
  <c r="AM209" i="55" s="1"/>
  <c r="AM210" i="55" s="1" a="1"/>
  <c r="AM210" i="55" s="1"/>
  <c r="AM211" i="55" s="1" a="1"/>
  <c r="AM211" i="55" s="1"/>
  <c r="AM212" i="55" s="1" a="1"/>
  <c r="AM212" i="55" s="1"/>
  <c r="AM213" i="55" s="1" a="1"/>
  <c r="AM213" i="55" s="1"/>
  <c r="AM214" i="55" s="1" a="1"/>
  <c r="AM214" i="55" s="1"/>
  <c r="AM215" i="55" s="1" a="1"/>
  <c r="AM215" i="55" s="1"/>
  <c r="AM216" i="55" s="1" a="1"/>
  <c r="AM216" i="55" s="1"/>
  <c r="AM217" i="55" s="1" a="1"/>
  <c r="AM217" i="55" s="1"/>
  <c r="AM218" i="55" s="1" a="1"/>
  <c r="AM218" i="55" s="1"/>
  <c r="AM219" i="55" s="1" a="1"/>
  <c r="AM219" i="55" s="1"/>
  <c r="AM220" i="55" s="1" a="1"/>
  <c r="AM220" i="55" s="1"/>
  <c r="AM221" i="55" s="1" a="1"/>
  <c r="AM221" i="55" s="1"/>
  <c r="AM222" i="55" s="1" a="1"/>
  <c r="AM222" i="55" s="1"/>
  <c r="AM223" i="55" s="1" a="1"/>
  <c r="AM223" i="55" s="1"/>
  <c r="AM224" i="55" s="1" a="1"/>
  <c r="AM224" i="55" s="1"/>
  <c r="AM225" i="55" s="1" a="1"/>
  <c r="AM225" i="55" s="1"/>
  <c r="AM226" i="55" s="1" a="1"/>
  <c r="AM226" i="55" s="1"/>
  <c r="AM227" i="55" s="1" a="1"/>
  <c r="AM227" i="55" s="1"/>
  <c r="AM228" i="55" s="1" a="1"/>
  <c r="AM228" i="55" s="1"/>
  <c r="AM229" i="55" s="1" a="1"/>
  <c r="AM229" i="55" s="1"/>
  <c r="AM230" i="55" s="1" a="1"/>
  <c r="AM230" i="55" s="1"/>
  <c r="AM231" i="55" s="1" a="1"/>
  <c r="AM231" i="55" s="1"/>
  <c r="AM232" i="55" s="1" a="1"/>
  <c r="AM232" i="55" s="1"/>
  <c r="AM233" i="55" s="1" a="1"/>
  <c r="AM233" i="55" s="1"/>
  <c r="AM234" i="55" s="1" a="1"/>
  <c r="AM234" i="55" s="1"/>
  <c r="AM235" i="55" s="1" a="1"/>
  <c r="AM235" i="55" s="1"/>
  <c r="AM236" i="55" s="1" a="1"/>
  <c r="AM236" i="55" s="1"/>
  <c r="AM237" i="55" s="1" a="1"/>
  <c r="AM237" i="55" s="1"/>
  <c r="AM238" i="55" s="1" a="1"/>
  <c r="AM238" i="55" s="1"/>
  <c r="AM239" i="55" s="1" a="1"/>
  <c r="AM239" i="55" s="1"/>
  <c r="AM240" i="55" s="1" a="1"/>
  <c r="AM240" i="55" s="1"/>
  <c r="AM241" i="55" s="1" a="1"/>
  <c r="AM241" i="55" s="1"/>
  <c r="AM242" i="55" s="1" a="1"/>
  <c r="AM242" i="55" s="1"/>
  <c r="AM243" i="55" s="1" a="1"/>
  <c r="AM243" i="55" s="1"/>
  <c r="AM244" i="55" s="1" a="1"/>
  <c r="AM244" i="55" s="1"/>
  <c r="AM245" i="55" s="1" a="1"/>
  <c r="AM245" i="55" s="1"/>
  <c r="AM246" i="55" s="1" a="1"/>
  <c r="AM246" i="55" s="1"/>
  <c r="AM247" i="55" s="1" a="1"/>
  <c r="AM247" i="55" s="1"/>
  <c r="AM248" i="55" s="1" a="1"/>
  <c r="AM248" i="55" s="1"/>
  <c r="AM249" i="55" s="1" a="1"/>
  <c r="AM249" i="55" s="1"/>
  <c r="AM250" i="55" s="1" a="1"/>
  <c r="AM250" i="55" s="1"/>
  <c r="AM251" i="55" s="1" a="1"/>
  <c r="AM251" i="55" s="1"/>
  <c r="AM252" i="55" s="1" a="1"/>
  <c r="AM252" i="55" s="1"/>
  <c r="AM253" i="55" s="1" a="1"/>
  <c r="AM253" i="55" s="1"/>
  <c r="AM254" i="55" s="1" a="1"/>
  <c r="AM254" i="55" s="1"/>
  <c r="AM255" i="55" s="1" a="1"/>
  <c r="AM255" i="55" s="1"/>
  <c r="AM256" i="55" s="1" a="1"/>
  <c r="AM256" i="55" s="1"/>
  <c r="AM257" i="55" s="1" a="1"/>
  <c r="AM257" i="55" s="1"/>
  <c r="AJ20" i="52" a="1"/>
  <c r="AJ20" i="52" s="1"/>
  <c r="AJ21" i="52" s="1" a="1"/>
  <c r="AJ21" i="52" s="1"/>
  <c r="AJ22" i="52" s="1" a="1"/>
  <c r="AJ22" i="52" s="1"/>
  <c r="AJ23" i="52" s="1" a="1"/>
  <c r="AJ23" i="52" s="1"/>
  <c r="AJ24" i="52" s="1" a="1"/>
  <c r="AJ24" i="52" s="1"/>
  <c r="AJ25" i="52" s="1" a="1"/>
  <c r="AJ25" i="52" s="1"/>
  <c r="AJ26" i="52" s="1" a="1"/>
  <c r="AJ26" i="52" s="1"/>
  <c r="AJ27" i="52" s="1" a="1"/>
  <c r="AJ27" i="52" s="1"/>
  <c r="AJ28" i="52" s="1" a="1"/>
  <c r="AJ28" i="52" s="1"/>
  <c r="AJ29" i="52" s="1" a="1"/>
  <c r="AJ29" i="52" s="1"/>
  <c r="AJ30" i="52" s="1" a="1"/>
  <c r="AJ30" i="52" s="1"/>
  <c r="AJ31" i="52" s="1" a="1"/>
  <c r="AJ31" i="52" s="1"/>
  <c r="AJ32" i="52" s="1" a="1"/>
  <c r="AJ32" i="52" s="1"/>
  <c r="AJ33" i="52" s="1" a="1"/>
  <c r="AJ33" i="52" s="1"/>
  <c r="AJ34" i="52" s="1" a="1"/>
  <c r="AJ34" i="52" s="1"/>
  <c r="AJ35" i="52" s="1" a="1"/>
  <c r="AJ35" i="52" s="1"/>
  <c r="AJ36" i="52" s="1" a="1"/>
  <c r="AJ36" i="52" s="1"/>
  <c r="AJ37" i="52" s="1" a="1"/>
  <c r="AJ37" i="52" s="1"/>
  <c r="AJ38" i="52" s="1" a="1"/>
  <c r="AJ38" i="52" s="1"/>
  <c r="AJ39" i="52" s="1" a="1"/>
  <c r="AJ39" i="52" s="1"/>
  <c r="AJ40" i="52" s="1" a="1"/>
  <c r="AJ40" i="52" s="1"/>
  <c r="AJ41" i="52" s="1" a="1"/>
  <c r="AJ41" i="52" s="1"/>
  <c r="AJ42" i="52" s="1" a="1"/>
  <c r="AJ42" i="52" s="1"/>
  <c r="AJ43" i="52" s="1" a="1"/>
  <c r="AJ43" i="52" s="1"/>
  <c r="AJ44" i="52" s="1" a="1"/>
  <c r="AJ44" i="52" s="1"/>
  <c r="AJ45" i="52" s="1" a="1"/>
  <c r="AJ45" i="52" s="1"/>
  <c r="AJ46" i="52" s="1" a="1"/>
  <c r="AJ46" i="52" s="1"/>
  <c r="AJ47" i="52" s="1" a="1"/>
  <c r="AJ47" i="52" s="1"/>
  <c r="AJ48" i="52" s="1" a="1"/>
  <c r="AJ48" i="52" s="1"/>
  <c r="AJ49" i="52" s="1" a="1"/>
  <c r="AJ49" i="52" s="1"/>
  <c r="AJ50" i="52" s="1" a="1"/>
  <c r="AJ50" i="52" s="1"/>
  <c r="AJ51" i="52" s="1" a="1"/>
  <c r="AJ51" i="52" s="1"/>
  <c r="AJ52" i="52" s="1" a="1"/>
  <c r="AJ52" i="52" s="1"/>
  <c r="AJ53" i="52" s="1" a="1"/>
  <c r="AJ53" i="52" s="1"/>
  <c r="AJ54" i="52" s="1" a="1"/>
  <c r="AJ54" i="52" s="1"/>
  <c r="AJ55" i="52" s="1" a="1"/>
  <c r="AJ55" i="52" s="1"/>
  <c r="AJ56" i="52" s="1" a="1"/>
  <c r="AJ56" i="52" s="1"/>
  <c r="AJ57" i="52" s="1" a="1"/>
  <c r="AJ57" i="52" s="1"/>
  <c r="AJ58" i="52" s="1" a="1"/>
  <c r="AJ58" i="52" s="1"/>
  <c r="AJ59" i="52" s="1" a="1"/>
  <c r="AJ59" i="52" s="1"/>
  <c r="AJ60" i="52" s="1" a="1"/>
  <c r="AJ60" i="52" s="1"/>
  <c r="AJ61" i="52" s="1" a="1"/>
  <c r="AJ61" i="52" s="1"/>
  <c r="AJ62" i="52" s="1" a="1"/>
  <c r="AJ62" i="52" s="1"/>
  <c r="AJ63" i="52" s="1" a="1"/>
  <c r="AJ63" i="52" s="1"/>
  <c r="AJ64" i="52" s="1" a="1"/>
  <c r="AJ64" i="52" s="1"/>
  <c r="AJ65" i="52" s="1" a="1"/>
  <c r="AJ65" i="52" s="1"/>
  <c r="AJ66" i="52" s="1" a="1"/>
  <c r="AJ66" i="52" s="1"/>
  <c r="AJ67" i="52" s="1" a="1"/>
  <c r="AJ67" i="52" s="1"/>
  <c r="AJ68" i="52" s="1" a="1"/>
  <c r="AJ68" i="52" s="1"/>
  <c r="AJ69" i="52" s="1" a="1"/>
  <c r="AJ69" i="52" s="1"/>
  <c r="AJ70" i="52" s="1" a="1"/>
  <c r="AJ70" i="52" s="1"/>
  <c r="AJ71" i="52" s="1" a="1"/>
  <c r="AJ71" i="52" s="1"/>
  <c r="AJ72" i="52" s="1" a="1"/>
  <c r="AJ72" i="52" s="1"/>
  <c r="AJ73" i="52" s="1" a="1"/>
  <c r="AJ73" i="52" s="1"/>
  <c r="AJ74" i="52" s="1" a="1"/>
  <c r="AJ74" i="52" s="1"/>
  <c r="AJ75" i="52" s="1" a="1"/>
  <c r="AJ75" i="52" s="1"/>
  <c r="AJ76" i="52" s="1" a="1"/>
  <c r="AJ76" i="52" s="1"/>
  <c r="AJ77" i="52" s="1" a="1"/>
  <c r="AJ77" i="52" s="1"/>
  <c r="AJ78" i="52" s="1" a="1"/>
  <c r="AJ78" i="52" s="1"/>
  <c r="AJ79" i="52" s="1" a="1"/>
  <c r="AJ79" i="52" s="1"/>
  <c r="AJ80" i="52" s="1" a="1"/>
  <c r="AJ80" i="52" s="1"/>
  <c r="AJ81" i="52" s="1" a="1"/>
  <c r="AJ81" i="52" s="1"/>
  <c r="AJ82" i="52" s="1" a="1"/>
  <c r="AJ82" i="52" s="1"/>
  <c r="AJ83" i="52" s="1" a="1"/>
  <c r="AJ83" i="52" s="1"/>
  <c r="AJ84" i="52" s="1" a="1"/>
  <c r="AJ84" i="52" s="1"/>
  <c r="AJ85" i="52" s="1" a="1"/>
  <c r="AJ85" i="52" s="1"/>
  <c r="AJ86" i="52" s="1" a="1"/>
  <c r="AJ86" i="52" s="1"/>
  <c r="AJ87" i="52" s="1" a="1"/>
  <c r="AJ87" i="52" s="1"/>
  <c r="AJ88" i="52" s="1" a="1"/>
  <c r="AJ88" i="52" s="1"/>
  <c r="AJ89" i="52" s="1" a="1"/>
  <c r="AJ89" i="52" s="1"/>
  <c r="AJ90" i="52" s="1" a="1"/>
  <c r="AJ90" i="52" s="1"/>
  <c r="AJ91" i="52" s="1" a="1"/>
  <c r="AJ91" i="52" s="1"/>
  <c r="AJ92" i="52" s="1" a="1"/>
  <c r="AJ92" i="52" s="1"/>
  <c r="AJ93" i="52" s="1" a="1"/>
  <c r="AJ93" i="52" s="1"/>
  <c r="AJ94" i="52" s="1" a="1"/>
  <c r="AJ94" i="52" s="1"/>
  <c r="AJ95" i="52" s="1" a="1"/>
  <c r="AJ95" i="52" s="1"/>
  <c r="AJ96" i="52" s="1" a="1"/>
  <c r="AJ96" i="52" s="1"/>
  <c r="AJ97" i="52" s="1" a="1"/>
  <c r="AJ97" i="52" s="1"/>
  <c r="AJ98" i="52" s="1" a="1"/>
  <c r="AJ98" i="52" s="1"/>
  <c r="AJ99" i="52" s="1" a="1"/>
  <c r="AJ99" i="52" s="1"/>
  <c r="AJ100" i="52" s="1" a="1"/>
  <c r="AJ100" i="52" s="1"/>
  <c r="AJ101" i="52" s="1" a="1"/>
  <c r="AJ101" i="52" s="1"/>
  <c r="AJ102" i="52" s="1" a="1"/>
  <c r="AJ102" i="52" s="1"/>
  <c r="AJ103" i="52" s="1" a="1"/>
  <c r="AJ103" i="52" s="1"/>
  <c r="AJ104" i="52" s="1" a="1"/>
  <c r="AJ104" i="52" s="1"/>
  <c r="X15" i="57" l="1"/>
  <c r="AB15" i="57" s="1"/>
  <c r="R17" i="57"/>
  <c r="M19" i="53"/>
  <c r="AC19" i="53" s="1"/>
  <c r="O19" i="53"/>
  <c r="Q17" i="57"/>
  <c r="T17" i="57" s="1"/>
  <c r="AD17" i="57"/>
  <c r="AQ17" i="57"/>
  <c r="M18" i="57"/>
  <c r="AQ18" i="57" s="1"/>
  <c r="N19" i="53"/>
  <c r="AA17" i="53"/>
  <c r="AB17" i="53"/>
  <c r="AA15" i="53"/>
  <c r="AB15" i="53"/>
  <c r="AA16" i="53"/>
  <c r="AB16" i="53"/>
  <c r="AG17" i="53"/>
  <c r="O16" i="57"/>
  <c r="X16" i="57" s="1"/>
  <c r="O17" i="57"/>
  <c r="N18" i="57"/>
  <c r="AC18" i="53"/>
  <c r="L19" i="57"/>
  <c r="AH13" i="53"/>
  <c r="AK18" i="52" a="1"/>
  <c r="AK18" i="52" s="1"/>
  <c r="B20" i="53" s="1"/>
  <c r="I19" i="57"/>
  <c r="F19" i="57"/>
  <c r="E19" i="57"/>
  <c r="C19" i="57"/>
  <c r="K19" i="57"/>
  <c r="J19" i="57"/>
  <c r="G19" i="57"/>
  <c r="H19" i="57"/>
  <c r="D19" i="57"/>
  <c r="L19" i="53"/>
  <c r="K19" i="53"/>
  <c r="I19" i="53"/>
  <c r="H19" i="53"/>
  <c r="G19" i="53"/>
  <c r="C19" i="53"/>
  <c r="P19" i="53"/>
  <c r="E19" i="53"/>
  <c r="D19" i="53"/>
  <c r="F19" i="53"/>
  <c r="J19" i="53"/>
  <c r="AN18" i="55" a="1"/>
  <c r="AN18" i="55" s="1"/>
  <c r="B20" i="57" s="1"/>
  <c r="P20" i="57" s="1"/>
  <c r="AJ105" i="52" a="1"/>
  <c r="AJ105" i="52" s="1"/>
  <c r="AJ106" i="52" s="1" a="1"/>
  <c r="AJ106" i="52" s="1"/>
  <c r="AJ107" i="52" s="1" a="1"/>
  <c r="AJ107" i="52" s="1"/>
  <c r="AJ108" i="52" s="1" a="1"/>
  <c r="AJ108" i="52" s="1"/>
  <c r="AJ109" i="52" s="1" a="1"/>
  <c r="AJ109" i="52" s="1"/>
  <c r="AJ110" i="52" s="1" a="1"/>
  <c r="AJ110" i="52" s="1"/>
  <c r="AJ111" i="52" s="1" a="1"/>
  <c r="AJ111" i="52" s="1"/>
  <c r="AJ112" i="52" s="1" a="1"/>
  <c r="AJ112" i="52" s="1"/>
  <c r="AJ113" i="52" s="1" a="1"/>
  <c r="AJ113" i="52" s="1"/>
  <c r="AJ114" i="52" s="1" a="1"/>
  <c r="AJ114" i="52" s="1"/>
  <c r="AJ115" i="52" s="1" a="1"/>
  <c r="AJ115" i="52" s="1"/>
  <c r="AJ116" i="52" s="1" a="1"/>
  <c r="AJ116" i="52" s="1"/>
  <c r="AJ117" i="52" s="1" a="1"/>
  <c r="AJ117" i="52" s="1"/>
  <c r="AJ118" i="52" s="1" a="1"/>
  <c r="AJ118" i="52" s="1"/>
  <c r="AJ119" i="52" s="1" a="1"/>
  <c r="AJ119" i="52" s="1"/>
  <c r="AJ120" i="52" s="1" a="1"/>
  <c r="AJ120" i="52" s="1"/>
  <c r="AJ121" i="52" s="1" a="1"/>
  <c r="AJ121" i="52" s="1"/>
  <c r="AJ122" i="52" s="1" a="1"/>
  <c r="AJ122" i="52" s="1"/>
  <c r="AJ123" i="52" s="1" a="1"/>
  <c r="AJ123" i="52" s="1"/>
  <c r="AJ124" i="52" s="1" a="1"/>
  <c r="AJ124" i="52" s="1"/>
  <c r="AJ125" i="52" s="1" a="1"/>
  <c r="AJ125" i="52" s="1"/>
  <c r="AJ126" i="52" s="1" a="1"/>
  <c r="AJ126" i="52" s="1"/>
  <c r="AJ127" i="52" s="1" a="1"/>
  <c r="AJ127" i="52" s="1"/>
  <c r="AJ128" i="52" s="1" a="1"/>
  <c r="AJ128" i="52" s="1"/>
  <c r="AJ129" i="52" s="1" a="1"/>
  <c r="AJ129" i="52" s="1"/>
  <c r="AJ130" i="52" s="1" a="1"/>
  <c r="AJ130" i="52" s="1"/>
  <c r="AJ131" i="52" s="1" a="1"/>
  <c r="AJ131" i="52" s="1"/>
  <c r="AJ132" i="52" s="1" a="1"/>
  <c r="AJ132" i="52" s="1"/>
  <c r="AJ133" i="52" s="1" a="1"/>
  <c r="AJ133" i="52" s="1"/>
  <c r="AJ134" i="52" s="1" a="1"/>
  <c r="AJ134" i="52" s="1"/>
  <c r="AJ135" i="52" s="1" a="1"/>
  <c r="AJ135" i="52" s="1"/>
  <c r="AJ136" i="52" s="1" a="1"/>
  <c r="AJ136" i="52" s="1"/>
  <c r="AJ137" i="52" s="1" a="1"/>
  <c r="AJ137" i="52" s="1"/>
  <c r="AJ138" i="52" s="1" a="1"/>
  <c r="AJ138" i="52" s="1"/>
  <c r="AJ139" i="52" s="1" a="1"/>
  <c r="AJ139" i="52" s="1"/>
  <c r="AJ140" i="52" s="1" a="1"/>
  <c r="AJ140" i="52" s="1"/>
  <c r="AJ141" i="52" s="1" a="1"/>
  <c r="AJ141" i="52" s="1"/>
  <c r="AJ142" i="52" s="1" a="1"/>
  <c r="AJ142" i="52" s="1"/>
  <c r="AJ143" i="52" s="1" a="1"/>
  <c r="AJ143" i="52" s="1"/>
  <c r="AJ144" i="52" s="1" a="1"/>
  <c r="AJ144" i="52" s="1"/>
  <c r="AJ145" i="52" s="1" a="1"/>
  <c r="AJ145" i="52" s="1"/>
  <c r="AJ146" i="52" s="1" a="1"/>
  <c r="AJ146" i="52" s="1"/>
  <c r="AJ147" i="52" s="1" a="1"/>
  <c r="AJ147" i="52" s="1"/>
  <c r="AJ148" i="52" s="1" a="1"/>
  <c r="AJ148" i="52" s="1"/>
  <c r="AJ149" i="52" s="1" a="1"/>
  <c r="AJ149" i="52" s="1"/>
  <c r="AJ150" i="52" s="1" a="1"/>
  <c r="AJ150" i="52" s="1"/>
  <c r="AJ151" i="52" s="1" a="1"/>
  <c r="AJ151" i="52" s="1"/>
  <c r="AJ152" i="52" s="1" a="1"/>
  <c r="AJ152" i="52" s="1"/>
  <c r="AJ153" i="52" s="1" a="1"/>
  <c r="AJ153" i="52" s="1"/>
  <c r="AJ154" i="52" s="1" a="1"/>
  <c r="AJ154" i="52" s="1"/>
  <c r="AJ155" i="52" s="1" a="1"/>
  <c r="AJ155" i="52" s="1"/>
  <c r="AJ156" i="52" s="1" a="1"/>
  <c r="AJ156" i="52" s="1"/>
  <c r="AJ157" i="52" s="1" a="1"/>
  <c r="AJ157" i="52" s="1"/>
  <c r="AJ158" i="52" s="1" a="1"/>
  <c r="AJ158" i="52" s="1"/>
  <c r="AJ159" i="52" s="1" a="1"/>
  <c r="AJ159" i="52" s="1"/>
  <c r="AJ160" i="52" s="1" a="1"/>
  <c r="AJ160" i="52" s="1"/>
  <c r="AJ161" i="52" s="1" a="1"/>
  <c r="AJ161" i="52" s="1"/>
  <c r="AJ162" i="52" s="1" a="1"/>
  <c r="AJ162" i="52" s="1"/>
  <c r="AJ163" i="52" s="1" a="1"/>
  <c r="AJ163" i="52" s="1"/>
  <c r="AJ164" i="52" s="1" a="1"/>
  <c r="AJ164" i="52" s="1"/>
  <c r="AJ165" i="52" s="1" a="1"/>
  <c r="AJ165" i="52" s="1"/>
  <c r="AJ166" i="52" s="1" a="1"/>
  <c r="AJ166" i="52" s="1"/>
  <c r="AJ167" i="52" s="1" a="1"/>
  <c r="AJ167" i="52" s="1"/>
  <c r="AJ168" i="52" s="1" a="1"/>
  <c r="AJ168" i="52" s="1"/>
  <c r="AJ169" i="52" s="1" a="1"/>
  <c r="AJ169" i="52" s="1"/>
  <c r="AJ170" i="52" s="1" a="1"/>
  <c r="AJ170" i="52" s="1"/>
  <c r="AJ171" i="52" s="1" a="1"/>
  <c r="AJ171" i="52" s="1"/>
  <c r="AJ172" i="52" s="1" a="1"/>
  <c r="AJ172" i="52" s="1"/>
  <c r="AJ173" i="52" s="1" a="1"/>
  <c r="AJ173" i="52" s="1"/>
  <c r="AJ174" i="52" s="1" a="1"/>
  <c r="AJ174" i="52" s="1"/>
  <c r="AJ175" i="52" s="1" a="1"/>
  <c r="AJ175" i="52" s="1"/>
  <c r="AJ176" i="52" s="1" a="1"/>
  <c r="AJ176" i="52" s="1"/>
  <c r="AJ177" i="52" s="1" a="1"/>
  <c r="AJ177" i="52" s="1"/>
  <c r="AJ178" i="52" s="1" a="1"/>
  <c r="AJ178" i="52" s="1"/>
  <c r="AJ179" i="52" s="1" a="1"/>
  <c r="AJ179" i="52" s="1"/>
  <c r="AJ180" i="52" s="1" a="1"/>
  <c r="AJ180" i="52" s="1"/>
  <c r="AJ181" i="52" s="1" a="1"/>
  <c r="AJ181" i="52" s="1"/>
  <c r="AJ182" i="52" s="1" a="1"/>
  <c r="AJ182" i="52" s="1"/>
  <c r="AJ183" i="52" s="1" a="1"/>
  <c r="AJ183" i="52" s="1"/>
  <c r="AJ184" i="52" s="1" a="1"/>
  <c r="AJ184" i="52" s="1"/>
  <c r="AJ185" i="52" s="1" a="1"/>
  <c r="AJ185" i="52" s="1"/>
  <c r="AJ186" i="52" s="1" a="1"/>
  <c r="AJ186" i="52" s="1"/>
  <c r="AJ187" i="52" s="1" a="1"/>
  <c r="AJ187" i="52" s="1"/>
  <c r="AJ188" i="52" s="1" a="1"/>
  <c r="AJ188" i="52" s="1"/>
  <c r="AJ189" i="52" s="1" a="1"/>
  <c r="AJ189" i="52" s="1"/>
  <c r="AJ190" i="52" s="1" a="1"/>
  <c r="AJ190" i="52" s="1"/>
  <c r="AJ191" i="52" s="1" a="1"/>
  <c r="AJ191" i="52" s="1"/>
  <c r="AJ192" i="52" s="1" a="1"/>
  <c r="AJ192" i="52" s="1"/>
  <c r="AJ193" i="52" s="1" a="1"/>
  <c r="AJ193" i="52" s="1"/>
  <c r="AJ194" i="52" s="1" a="1"/>
  <c r="AJ194" i="52" s="1"/>
  <c r="AJ195" i="52" s="1" a="1"/>
  <c r="AJ195" i="52" s="1"/>
  <c r="AJ196" i="52" s="1" a="1"/>
  <c r="AJ196" i="52" s="1"/>
  <c r="AJ197" i="52" s="1" a="1"/>
  <c r="AJ197" i="52" s="1"/>
  <c r="AJ198" i="52" s="1" a="1"/>
  <c r="AJ198" i="52" s="1"/>
  <c r="AJ199" i="52" s="1" a="1"/>
  <c r="AJ199" i="52" s="1"/>
  <c r="AJ200" i="52" s="1" a="1"/>
  <c r="AJ200" i="52" s="1"/>
  <c r="AJ201" i="52" s="1" a="1"/>
  <c r="AJ201" i="52" s="1"/>
  <c r="AJ202" i="52" s="1" a="1"/>
  <c r="AJ202" i="52" s="1"/>
  <c r="AJ203" i="52" s="1" a="1"/>
  <c r="AJ203" i="52" s="1"/>
  <c r="AJ204" i="52" s="1" a="1"/>
  <c r="AJ204" i="52" s="1"/>
  <c r="AJ205" i="52" s="1" a="1"/>
  <c r="AJ205" i="52" s="1"/>
  <c r="AJ206" i="52" s="1" a="1"/>
  <c r="AJ206" i="52" s="1"/>
  <c r="AJ207" i="52" s="1" a="1"/>
  <c r="AJ207" i="52" s="1"/>
  <c r="AJ208" i="52" s="1" a="1"/>
  <c r="AJ208" i="52" s="1"/>
  <c r="AJ209" i="52" s="1" a="1"/>
  <c r="AJ209" i="52" s="1"/>
  <c r="AJ210" i="52" s="1" a="1"/>
  <c r="AJ210" i="52" s="1"/>
  <c r="AJ211" i="52" s="1" a="1"/>
  <c r="AJ211" i="52" s="1"/>
  <c r="AJ212" i="52" s="1" a="1"/>
  <c r="AJ212" i="52" s="1"/>
  <c r="AJ213" i="52" s="1" a="1"/>
  <c r="AJ213" i="52" s="1"/>
  <c r="AJ214" i="52" s="1" a="1"/>
  <c r="AJ214" i="52" s="1"/>
  <c r="AJ215" i="52" s="1" a="1"/>
  <c r="AJ215" i="52" s="1"/>
  <c r="AJ216" i="52" s="1" a="1"/>
  <c r="AJ216" i="52" s="1"/>
  <c r="AJ217" i="52" s="1" a="1"/>
  <c r="AJ217" i="52" s="1"/>
  <c r="AJ218" i="52" s="1" a="1"/>
  <c r="AJ218" i="52" s="1"/>
  <c r="AJ219" i="52" s="1" a="1"/>
  <c r="AJ219" i="52" s="1"/>
  <c r="AJ220" i="52" s="1" a="1"/>
  <c r="AJ220" i="52" s="1"/>
  <c r="AJ221" i="52" s="1" a="1"/>
  <c r="AJ221" i="52" s="1"/>
  <c r="AJ222" i="52" s="1" a="1"/>
  <c r="AJ222" i="52" s="1"/>
  <c r="AJ223" i="52" s="1" a="1"/>
  <c r="AJ223" i="52" s="1"/>
  <c r="AJ224" i="52" s="1" a="1"/>
  <c r="AJ224" i="52" s="1"/>
  <c r="AJ225" i="52" s="1" a="1"/>
  <c r="AJ225" i="52" s="1"/>
  <c r="AJ226" i="52" s="1" a="1"/>
  <c r="AJ226" i="52" s="1"/>
  <c r="AJ227" i="52" s="1" a="1"/>
  <c r="AJ227" i="52" s="1"/>
  <c r="AJ228" i="52" s="1" a="1"/>
  <c r="AJ228" i="52" s="1"/>
  <c r="AJ229" i="52" s="1" a="1"/>
  <c r="AJ229" i="52" s="1"/>
  <c r="AJ230" i="52" s="1" a="1"/>
  <c r="AJ230" i="52" s="1"/>
  <c r="AJ231" i="52" s="1" a="1"/>
  <c r="AJ231" i="52" s="1"/>
  <c r="AJ232" i="52" s="1" a="1"/>
  <c r="AJ232" i="52" s="1"/>
  <c r="AJ233" i="52" s="1" a="1"/>
  <c r="AJ233" i="52" s="1"/>
  <c r="AJ234" i="52" s="1" a="1"/>
  <c r="AJ234" i="52" s="1"/>
  <c r="AJ235" i="52" s="1" a="1"/>
  <c r="AJ235" i="52" s="1"/>
  <c r="AJ236" i="52" s="1" a="1"/>
  <c r="AJ236" i="52" s="1"/>
  <c r="AJ237" i="52" s="1" a="1"/>
  <c r="AJ237" i="52" s="1"/>
  <c r="AJ238" i="52" s="1" a="1"/>
  <c r="AJ238" i="52" s="1"/>
  <c r="AJ239" i="52" s="1" a="1"/>
  <c r="AJ239" i="52" s="1"/>
  <c r="AJ240" i="52" s="1" a="1"/>
  <c r="AJ240" i="52" s="1"/>
  <c r="AJ241" i="52" s="1" a="1"/>
  <c r="AJ241" i="52" s="1"/>
  <c r="AJ242" i="52" s="1" a="1"/>
  <c r="AJ242" i="52" s="1"/>
  <c r="AJ243" i="52" s="1" a="1"/>
  <c r="AJ243" i="52" s="1"/>
  <c r="AJ244" i="52" s="1" a="1"/>
  <c r="AJ244" i="52" s="1"/>
  <c r="AJ245" i="52" s="1" a="1"/>
  <c r="AJ245" i="52" s="1"/>
  <c r="AJ246" i="52" s="1" a="1"/>
  <c r="AJ246" i="52" s="1"/>
  <c r="AJ247" i="52" s="1" a="1"/>
  <c r="AJ247" i="52" s="1"/>
  <c r="AJ248" i="52" s="1" a="1"/>
  <c r="AJ248" i="52" s="1"/>
  <c r="AJ249" i="52" s="1" a="1"/>
  <c r="AJ249" i="52" s="1"/>
  <c r="AJ250" i="52" s="1" a="1"/>
  <c r="AJ250" i="52" s="1"/>
  <c r="AJ251" i="52" s="1" a="1"/>
  <c r="AJ251" i="52" s="1"/>
  <c r="AJ252" i="52" s="1" a="1"/>
  <c r="AJ252" i="52" s="1"/>
  <c r="AJ253" i="52" s="1" a="1"/>
  <c r="AJ253" i="52" s="1"/>
  <c r="AJ254" i="52" s="1" a="1"/>
  <c r="AJ254" i="52" s="1"/>
  <c r="AJ255" i="52" s="1" a="1"/>
  <c r="AJ255" i="52" s="1"/>
  <c r="AJ256" i="52" s="1" a="1"/>
  <c r="AJ256" i="52" s="1"/>
  <c r="AJ257" i="52" s="1" a="1"/>
  <c r="AJ257" i="52" s="1"/>
  <c r="AA15" i="57" l="1"/>
  <c r="AE15" i="57" s="1"/>
  <c r="AF15" i="57" s="1"/>
  <c r="AG17" i="57"/>
  <c r="X17" i="57"/>
  <c r="AB17" i="57" s="1"/>
  <c r="M20" i="53"/>
  <c r="AC20" i="53" s="1"/>
  <c r="O20" i="53"/>
  <c r="Q18" i="57"/>
  <c r="T18" i="57" s="1"/>
  <c r="AK18" i="57"/>
  <c r="AD18" i="57"/>
  <c r="R18" i="57"/>
  <c r="M19" i="57"/>
  <c r="R19" i="57" s="1"/>
  <c r="N20" i="53"/>
  <c r="AA16" i="57"/>
  <c r="AB16" i="57"/>
  <c r="AC15" i="57"/>
  <c r="AE17" i="53"/>
  <c r="AF17" i="53" s="1"/>
  <c r="R18" i="53"/>
  <c r="X18" i="53" s="1"/>
  <c r="Q18" i="53"/>
  <c r="AT18" i="53"/>
  <c r="N19" i="57"/>
  <c r="O18" i="57"/>
  <c r="AD18" i="53"/>
  <c r="AE16" i="53"/>
  <c r="AF16" i="53" s="1"/>
  <c r="AE15" i="53"/>
  <c r="AF15" i="53" s="1"/>
  <c r="AE16" i="57"/>
  <c r="AF16" i="57" s="1"/>
  <c r="AC16" i="57"/>
  <c r="L20" i="57"/>
  <c r="AG15" i="57"/>
  <c r="AJ14" i="57"/>
  <c r="AG16" i="57"/>
  <c r="AG15" i="53"/>
  <c r="AG16" i="53"/>
  <c r="L20" i="53"/>
  <c r="P20" i="53"/>
  <c r="H20" i="53"/>
  <c r="F20" i="53"/>
  <c r="D20" i="53"/>
  <c r="E20" i="53"/>
  <c r="J20" i="53"/>
  <c r="K20" i="53"/>
  <c r="G20" i="53"/>
  <c r="C20" i="53"/>
  <c r="I20" i="53"/>
  <c r="AK19" i="52" a="1"/>
  <c r="AK19" i="52" s="1"/>
  <c r="B21" i="53" s="1"/>
  <c r="I20" i="57"/>
  <c r="H20" i="57"/>
  <c r="G20" i="57"/>
  <c r="E20" i="57"/>
  <c r="D20" i="57"/>
  <c r="C20" i="57"/>
  <c r="K20" i="57"/>
  <c r="F20" i="57"/>
  <c r="J20" i="57"/>
  <c r="AN19" i="55" a="1"/>
  <c r="AN19" i="55" s="1"/>
  <c r="B21" i="57" s="1"/>
  <c r="P21" i="57" s="1"/>
  <c r="AL11" i="59"/>
  <c r="A133" i="99"/>
  <c r="A132" i="99"/>
  <c r="A131" i="99"/>
  <c r="A130" i="99"/>
  <c r="A129" i="99"/>
  <c r="A124" i="99"/>
  <c r="A123" i="99"/>
  <c r="A119" i="99"/>
  <c r="A116" i="99"/>
  <c r="C131" i="33"/>
  <c r="C130" i="33"/>
  <c r="C134" i="33"/>
  <c r="C133" i="33"/>
  <c r="C132" i="33"/>
  <c r="C125" i="33"/>
  <c r="C124" i="33"/>
  <c r="C120" i="33"/>
  <c r="C117" i="33"/>
  <c r="F133" i="20"/>
  <c r="F132" i="20"/>
  <c r="F131" i="20"/>
  <c r="F130" i="20"/>
  <c r="F129" i="20"/>
  <c r="F124" i="20"/>
  <c r="F123" i="20"/>
  <c r="F119" i="20"/>
  <c r="F116" i="20"/>
  <c r="D132" i="28"/>
  <c r="B132" i="28"/>
  <c r="A132" i="28"/>
  <c r="D131" i="28"/>
  <c r="B131" i="28"/>
  <c r="A131" i="28"/>
  <c r="D130" i="28"/>
  <c r="B130" i="28"/>
  <c r="A130" i="28"/>
  <c r="D129" i="28"/>
  <c r="B129" i="28"/>
  <c r="A129" i="28"/>
  <c r="D128" i="28"/>
  <c r="B128" i="28"/>
  <c r="A128" i="28"/>
  <c r="D127" i="28"/>
  <c r="B127" i="28"/>
  <c r="A127" i="28"/>
  <c r="D126" i="28"/>
  <c r="B126" i="28"/>
  <c r="A126" i="28"/>
  <c r="D125" i="28"/>
  <c r="B125" i="28"/>
  <c r="A125" i="28"/>
  <c r="A124" i="28"/>
  <c r="C124" i="22"/>
  <c r="B124" i="22"/>
  <c r="A124" i="22"/>
  <c r="C123" i="22"/>
  <c r="B123" i="22"/>
  <c r="A123" i="22"/>
  <c r="C116" i="22"/>
  <c r="B116" i="22"/>
  <c r="A116" i="22"/>
  <c r="C115" i="22"/>
  <c r="B115" i="22"/>
  <c r="A115" i="22"/>
  <c r="C119" i="22"/>
  <c r="B119" i="22"/>
  <c r="A119" i="22"/>
  <c r="L119" i="29"/>
  <c r="M119" i="29"/>
  <c r="D119" i="22" s="1"/>
  <c r="Q119" i="29"/>
  <c r="E130" i="28" s="1"/>
  <c r="O119" i="29"/>
  <c r="C130" i="28" s="1"/>
  <c r="Q113" i="29"/>
  <c r="E129" i="28" s="1"/>
  <c r="O113" i="29"/>
  <c r="C129" i="28" s="1"/>
  <c r="Q133" i="29"/>
  <c r="E128" i="28" s="1"/>
  <c r="O133" i="29"/>
  <c r="C128" i="28" s="1"/>
  <c r="Q132" i="29"/>
  <c r="E127" i="28" s="1"/>
  <c r="O132" i="29"/>
  <c r="C127" i="28" s="1"/>
  <c r="Q131" i="29"/>
  <c r="E126" i="28" s="1"/>
  <c r="O131" i="29"/>
  <c r="C126" i="28" s="1"/>
  <c r="Q130" i="29"/>
  <c r="E125" i="28" s="1"/>
  <c r="O130" i="29"/>
  <c r="C125" i="28" s="1"/>
  <c r="M130" i="29"/>
  <c r="L130" i="29"/>
  <c r="M124" i="29"/>
  <c r="D124" i="22" s="1"/>
  <c r="M123" i="29"/>
  <c r="D123" i="22" s="1"/>
  <c r="Q124" i="29"/>
  <c r="E132" i="28" s="1"/>
  <c r="Q123" i="29"/>
  <c r="E131" i="28" s="1"/>
  <c r="O124" i="29"/>
  <c r="C132" i="28" s="1"/>
  <c r="O123" i="29"/>
  <c r="C131" i="28" s="1"/>
  <c r="Q129" i="29"/>
  <c r="O129" i="29"/>
  <c r="F123" i="22" l="1"/>
  <c r="X123" i="22"/>
  <c r="T123" i="22"/>
  <c r="X115" i="22"/>
  <c r="T115" i="22"/>
  <c r="F124" i="22"/>
  <c r="X124" i="22"/>
  <c r="T124" i="22"/>
  <c r="X116" i="22"/>
  <c r="T116" i="22"/>
  <c r="F119" i="22"/>
  <c r="X119" i="22"/>
  <c r="T119" i="22"/>
  <c r="AG18" i="57"/>
  <c r="X18" i="57"/>
  <c r="AB18" i="57" s="1"/>
  <c r="M21" i="53"/>
  <c r="AC21" i="53" s="1"/>
  <c r="O21" i="53"/>
  <c r="AQ19" i="57"/>
  <c r="Q19" i="57"/>
  <c r="T19" i="57" s="1"/>
  <c r="AK19" i="57"/>
  <c r="AD19" i="57"/>
  <c r="M20" i="57"/>
  <c r="AK20" i="57" s="1"/>
  <c r="N21" i="53"/>
  <c r="AA18" i="53"/>
  <c r="AB18" i="53"/>
  <c r="AH17" i="53"/>
  <c r="AG18" i="53"/>
  <c r="AA17" i="57"/>
  <c r="AE17" i="57" s="1"/>
  <c r="AF17" i="57" s="1"/>
  <c r="Q19" i="53"/>
  <c r="AD19" i="53"/>
  <c r="AT19" i="53"/>
  <c r="R19" i="53"/>
  <c r="O19" i="57"/>
  <c r="N20" i="57"/>
  <c r="S119" i="22"/>
  <c r="E119" i="22"/>
  <c r="E123" i="22"/>
  <c r="S123" i="22"/>
  <c r="S115" i="22"/>
  <c r="E115" i="22"/>
  <c r="E124" i="22"/>
  <c r="S124" i="22"/>
  <c r="S116" i="22"/>
  <c r="E116" i="22"/>
  <c r="L21" i="57"/>
  <c r="AJ15" i="57"/>
  <c r="AH14" i="53"/>
  <c r="AK20" i="52" a="1"/>
  <c r="AK20" i="52" s="1"/>
  <c r="B22" i="53" s="1"/>
  <c r="G21" i="57"/>
  <c r="J21" i="57"/>
  <c r="F21" i="57"/>
  <c r="K21" i="57"/>
  <c r="C21" i="57"/>
  <c r="H21" i="57"/>
  <c r="E21" i="57"/>
  <c r="I21" i="57"/>
  <c r="D21" i="57"/>
  <c r="K21" i="53"/>
  <c r="I21" i="53"/>
  <c r="G21" i="53"/>
  <c r="E21" i="53"/>
  <c r="C21" i="53"/>
  <c r="H21" i="53"/>
  <c r="L21" i="53"/>
  <c r="P21" i="53"/>
  <c r="D21" i="53"/>
  <c r="J21" i="53"/>
  <c r="F21" i="53"/>
  <c r="AN20" i="55" a="1"/>
  <c r="AN20" i="55" s="1"/>
  <c r="B22" i="57" s="1"/>
  <c r="P22" i="57" s="1"/>
  <c r="W123" i="22"/>
  <c r="W124" i="22"/>
  <c r="G123" i="22"/>
  <c r="K123" i="22"/>
  <c r="U123" i="22"/>
  <c r="G124" i="22"/>
  <c r="K124" i="22"/>
  <c r="U124" i="22"/>
  <c r="L123" i="22"/>
  <c r="V123" i="22"/>
  <c r="L124" i="22"/>
  <c r="V124" i="22"/>
  <c r="K115" i="22"/>
  <c r="U115" i="22"/>
  <c r="K116" i="22"/>
  <c r="U116" i="22"/>
  <c r="L116" i="22"/>
  <c r="G116" i="22"/>
  <c r="G115" i="22"/>
  <c r="W116" i="22"/>
  <c r="W115" i="22"/>
  <c r="I119" i="22"/>
  <c r="W119" i="22"/>
  <c r="G119" i="22"/>
  <c r="K119" i="22"/>
  <c r="U119" i="22"/>
  <c r="X19" i="53" l="1"/>
  <c r="AA19" i="53" s="1"/>
  <c r="AG19" i="57"/>
  <c r="X19" i="57"/>
  <c r="AB19" i="57" s="1"/>
  <c r="AD20" i="57"/>
  <c r="M22" i="53"/>
  <c r="AC22" i="53" s="1"/>
  <c r="O22" i="53"/>
  <c r="Q20" i="57"/>
  <c r="T20" i="57" s="1"/>
  <c r="AQ20" i="57"/>
  <c r="R20" i="57"/>
  <c r="M21" i="57"/>
  <c r="AD21" i="57" s="1"/>
  <c r="N22" i="53"/>
  <c r="AC17" i="57"/>
  <c r="AJ17" i="57" s="1"/>
  <c r="AG19" i="53"/>
  <c r="AA18" i="57"/>
  <c r="AE18" i="57" s="1"/>
  <c r="AF18" i="57" s="1"/>
  <c r="AD20" i="53"/>
  <c r="R20" i="53"/>
  <c r="Q20" i="53"/>
  <c r="O20" i="57"/>
  <c r="N21" i="57"/>
  <c r="AT20" i="53"/>
  <c r="AE18" i="53"/>
  <c r="AF18" i="53" s="1"/>
  <c r="I123" i="22"/>
  <c r="I124" i="22"/>
  <c r="AH16" i="53"/>
  <c r="L22" i="57"/>
  <c r="AJ16" i="57"/>
  <c r="AK21" i="52" a="1"/>
  <c r="AK21" i="52" s="1"/>
  <c r="B23" i="53" s="1"/>
  <c r="L22" i="53"/>
  <c r="P22" i="53"/>
  <c r="H22" i="53"/>
  <c r="F22" i="53"/>
  <c r="D22" i="53"/>
  <c r="G22" i="53"/>
  <c r="C22" i="53"/>
  <c r="J22" i="53"/>
  <c r="I22" i="53"/>
  <c r="E22" i="53"/>
  <c r="K22" i="53"/>
  <c r="K22" i="57"/>
  <c r="I22" i="57"/>
  <c r="H22" i="57"/>
  <c r="G22" i="57"/>
  <c r="E22" i="57"/>
  <c r="D22" i="57"/>
  <c r="C22" i="57"/>
  <c r="F22" i="57"/>
  <c r="J22" i="57"/>
  <c r="AN21" i="55" a="1"/>
  <c r="AN21" i="55" s="1"/>
  <c r="B23" i="57" s="1"/>
  <c r="P23" i="57" s="1"/>
  <c r="X20" i="53" l="1"/>
  <c r="AA20" i="53" s="1"/>
  <c r="AG20" i="57"/>
  <c r="X20" i="57"/>
  <c r="AB20" i="57" s="1"/>
  <c r="AB19" i="53"/>
  <c r="M23" i="53"/>
  <c r="AC23" i="53" s="1"/>
  <c r="O23" i="53"/>
  <c r="Q21" i="57"/>
  <c r="T21" i="57" s="1"/>
  <c r="AQ21" i="57"/>
  <c r="R21" i="57"/>
  <c r="AK21" i="57"/>
  <c r="M22" i="57"/>
  <c r="AD22" i="57" s="1"/>
  <c r="N23" i="53"/>
  <c r="AC18" i="57"/>
  <c r="AJ18" i="57" s="1"/>
  <c r="AH18" i="53"/>
  <c r="AG20" i="53"/>
  <c r="AA19" i="57"/>
  <c r="AE19" i="57" s="1"/>
  <c r="AF19" i="57" s="1"/>
  <c r="O21" i="57"/>
  <c r="N22" i="57"/>
  <c r="AT21" i="53"/>
  <c r="Q21" i="53"/>
  <c r="R21" i="53"/>
  <c r="AD21" i="53"/>
  <c r="R22" i="53"/>
  <c r="L23" i="57"/>
  <c r="AH15" i="53"/>
  <c r="AT22" i="53"/>
  <c r="AD22" i="53"/>
  <c r="K23" i="57"/>
  <c r="I23" i="57"/>
  <c r="F23" i="57"/>
  <c r="C23" i="57"/>
  <c r="H23" i="57"/>
  <c r="D23" i="57"/>
  <c r="E23" i="57"/>
  <c r="G23" i="57"/>
  <c r="J23" i="57"/>
  <c r="Q22" i="53"/>
  <c r="AK22" i="52" a="1"/>
  <c r="AK22" i="52" s="1"/>
  <c r="B24" i="53" s="1"/>
  <c r="H23" i="53"/>
  <c r="G23" i="53"/>
  <c r="P23" i="53"/>
  <c r="E23" i="53"/>
  <c r="D23" i="53"/>
  <c r="C23" i="53"/>
  <c r="K23" i="53"/>
  <c r="I23" i="53"/>
  <c r="L23" i="53"/>
  <c r="F23" i="53"/>
  <c r="J23" i="53"/>
  <c r="AN22" i="55" a="1"/>
  <c r="AN22" i="55" s="1"/>
  <c r="B24" i="57" s="1"/>
  <c r="P24" i="57" s="1"/>
  <c r="L13" i="68"/>
  <c r="O13" i="68" s="1"/>
  <c r="P13" i="68" s="1"/>
  <c r="L14" i="68"/>
  <c r="L15" i="68"/>
  <c r="L16" i="68"/>
  <c r="L17" i="68"/>
  <c r="L18" i="68"/>
  <c r="L19" i="68"/>
  <c r="L20" i="68"/>
  <c r="L21" i="68"/>
  <c r="L22" i="68"/>
  <c r="L23" i="68"/>
  <c r="L24" i="68"/>
  <c r="L25" i="68"/>
  <c r="L26" i="68"/>
  <c r="L27" i="68"/>
  <c r="L28" i="68"/>
  <c r="L29" i="68"/>
  <c r="L30" i="68"/>
  <c r="L31" i="68"/>
  <c r="L32" i="68"/>
  <c r="L33" i="68"/>
  <c r="L34" i="68"/>
  <c r="L35" i="68"/>
  <c r="L36" i="68"/>
  <c r="L37" i="68"/>
  <c r="L38" i="68"/>
  <c r="L39" i="68"/>
  <c r="L40" i="68"/>
  <c r="L41" i="68"/>
  <c r="L42" i="68"/>
  <c r="L43" i="68"/>
  <c r="L44" i="68"/>
  <c r="L45" i="68"/>
  <c r="L46" i="68"/>
  <c r="L47" i="68"/>
  <c r="L48" i="68"/>
  <c r="L49" i="68"/>
  <c r="L50" i="68"/>
  <c r="L51" i="68"/>
  <c r="L52" i="68"/>
  <c r="L53" i="68"/>
  <c r="L54" i="68"/>
  <c r="L55" i="68"/>
  <c r="L56" i="68"/>
  <c r="L57" i="68"/>
  <c r="L58" i="68"/>
  <c r="L59" i="68"/>
  <c r="L60" i="68"/>
  <c r="L61" i="68"/>
  <c r="L62" i="68"/>
  <c r="L63" i="68"/>
  <c r="L64" i="68"/>
  <c r="L65" i="68"/>
  <c r="L66" i="68"/>
  <c r="L67" i="68"/>
  <c r="L68" i="68"/>
  <c r="L69" i="68"/>
  <c r="L70" i="68"/>
  <c r="L71" i="68"/>
  <c r="L72" i="68"/>
  <c r="L73" i="68"/>
  <c r="L74" i="68"/>
  <c r="L75" i="68"/>
  <c r="L76" i="68"/>
  <c r="L77" i="68"/>
  <c r="L78" i="68"/>
  <c r="L79" i="68"/>
  <c r="L80" i="68"/>
  <c r="L81" i="68"/>
  <c r="L82" i="68"/>
  <c r="L83" i="68"/>
  <c r="L84" i="68"/>
  <c r="L85" i="68"/>
  <c r="L86" i="68"/>
  <c r="L87" i="68"/>
  <c r="L88" i="68"/>
  <c r="L89" i="68"/>
  <c r="L90" i="68"/>
  <c r="L91" i="68"/>
  <c r="L92" i="68"/>
  <c r="L93" i="68"/>
  <c r="L94" i="68"/>
  <c r="L95" i="68"/>
  <c r="L96" i="68"/>
  <c r="L97" i="68"/>
  <c r="L98" i="68"/>
  <c r="L99" i="68"/>
  <c r="L100" i="68"/>
  <c r="L101" i="68"/>
  <c r="L102" i="68"/>
  <c r="L103" i="68"/>
  <c r="L104" i="68"/>
  <c r="L105" i="68"/>
  <c r="L106" i="68"/>
  <c r="L107" i="68"/>
  <c r="L108" i="68"/>
  <c r="L109" i="68"/>
  <c r="L110" i="68"/>
  <c r="L111" i="68"/>
  <c r="L112" i="68"/>
  <c r="L113" i="68"/>
  <c r="L114" i="68"/>
  <c r="L115" i="68"/>
  <c r="L116" i="68"/>
  <c r="L117" i="68"/>
  <c r="L118" i="68"/>
  <c r="L119" i="68"/>
  <c r="L120" i="68"/>
  <c r="L121" i="68"/>
  <c r="L122" i="68"/>
  <c r="L123" i="68"/>
  <c r="L124" i="68"/>
  <c r="L125" i="68"/>
  <c r="L126" i="68"/>
  <c r="L127" i="68"/>
  <c r="L128" i="68"/>
  <c r="L129" i="68"/>
  <c r="L130" i="68"/>
  <c r="L131" i="68"/>
  <c r="L132" i="68"/>
  <c r="L133" i="68"/>
  <c r="L134" i="68"/>
  <c r="L135" i="68"/>
  <c r="L136" i="68"/>
  <c r="L137" i="68"/>
  <c r="L138" i="68"/>
  <c r="L139" i="68"/>
  <c r="L140" i="68"/>
  <c r="L141" i="68"/>
  <c r="L142" i="68"/>
  <c r="L143" i="68"/>
  <c r="L144" i="68"/>
  <c r="L145" i="68"/>
  <c r="L146" i="68"/>
  <c r="L147" i="68"/>
  <c r="L148" i="68"/>
  <c r="L149" i="68"/>
  <c r="L150" i="68"/>
  <c r="L151" i="68"/>
  <c r="L152" i="68"/>
  <c r="L153" i="68"/>
  <c r="L154" i="68"/>
  <c r="L155" i="68"/>
  <c r="L156" i="68"/>
  <c r="L157" i="68"/>
  <c r="L158" i="68"/>
  <c r="L159" i="68"/>
  <c r="L160" i="68"/>
  <c r="L161" i="68"/>
  <c r="L162" i="68"/>
  <c r="L163" i="68"/>
  <c r="L164" i="68"/>
  <c r="L165" i="68"/>
  <c r="L166" i="68"/>
  <c r="L167" i="68"/>
  <c r="L168" i="68"/>
  <c r="L169" i="68"/>
  <c r="L170" i="68"/>
  <c r="L171" i="68"/>
  <c r="L172" i="68"/>
  <c r="L173" i="68"/>
  <c r="L174" i="68"/>
  <c r="L175" i="68"/>
  <c r="L176" i="68"/>
  <c r="L177" i="68"/>
  <c r="L178" i="68"/>
  <c r="L179" i="68"/>
  <c r="L180" i="68"/>
  <c r="L181" i="68"/>
  <c r="L182" i="68"/>
  <c r="L183" i="68"/>
  <c r="L184" i="68"/>
  <c r="L185" i="68"/>
  <c r="L186" i="68"/>
  <c r="L187" i="68"/>
  <c r="L188" i="68"/>
  <c r="L189" i="68"/>
  <c r="L190" i="68"/>
  <c r="L191" i="68"/>
  <c r="L192" i="68"/>
  <c r="L193" i="68"/>
  <c r="L194" i="68"/>
  <c r="L195" i="68"/>
  <c r="L196" i="68"/>
  <c r="L197" i="68"/>
  <c r="L198" i="68"/>
  <c r="L199" i="68"/>
  <c r="L200" i="68"/>
  <c r="L201" i="68"/>
  <c r="L202" i="68"/>
  <c r="L203" i="68"/>
  <c r="L204" i="68"/>
  <c r="L205" i="68"/>
  <c r="L206" i="68"/>
  <c r="L207" i="68"/>
  <c r="L208" i="68"/>
  <c r="L209" i="68"/>
  <c r="L210" i="68"/>
  <c r="L211" i="68"/>
  <c r="L212" i="68"/>
  <c r="L213" i="68"/>
  <c r="L214" i="68"/>
  <c r="L215" i="68"/>
  <c r="L216" i="68"/>
  <c r="L217" i="68"/>
  <c r="L218" i="68"/>
  <c r="L219" i="68"/>
  <c r="L220" i="68"/>
  <c r="L221" i="68"/>
  <c r="L222" i="68"/>
  <c r="L223" i="68"/>
  <c r="L224" i="68"/>
  <c r="L225" i="68"/>
  <c r="L226" i="68"/>
  <c r="L227" i="68"/>
  <c r="L228" i="68"/>
  <c r="L229" i="68"/>
  <c r="L230" i="68"/>
  <c r="L231" i="68"/>
  <c r="L232" i="68"/>
  <c r="L233" i="68"/>
  <c r="L234" i="68"/>
  <c r="L235" i="68"/>
  <c r="L236" i="68"/>
  <c r="L237" i="68"/>
  <c r="L238" i="68"/>
  <c r="L239" i="68"/>
  <c r="L240" i="68"/>
  <c r="L241" i="68"/>
  <c r="L242" i="68"/>
  <c r="L243" i="68"/>
  <c r="L244" i="68"/>
  <c r="L245" i="68"/>
  <c r="L246" i="68"/>
  <c r="L247" i="68"/>
  <c r="L248" i="68"/>
  <c r="L249" i="68"/>
  <c r="L250" i="68"/>
  <c r="L251" i="68"/>
  <c r="L252" i="68"/>
  <c r="L253" i="68"/>
  <c r="L254" i="68"/>
  <c r="L255" i="68"/>
  <c r="L256" i="68"/>
  <c r="L257" i="68"/>
  <c r="L258" i="68"/>
  <c r="L259" i="68"/>
  <c r="AB20" i="53" l="1"/>
  <c r="X21" i="53"/>
  <c r="AB21" i="53" s="1"/>
  <c r="AG21" i="57"/>
  <c r="X21" i="57"/>
  <c r="AB21" i="57" s="1"/>
  <c r="X22" i="53"/>
  <c r="AB22" i="53" s="1"/>
  <c r="M24" i="53"/>
  <c r="AC24" i="53" s="1"/>
  <c r="O24" i="53"/>
  <c r="R22" i="57"/>
  <c r="AK22" i="57"/>
  <c r="AQ22" i="57"/>
  <c r="Q22" i="57"/>
  <c r="T22" i="57" s="1"/>
  <c r="M23" i="57"/>
  <c r="AK23" i="57" s="1"/>
  <c r="N24" i="53"/>
  <c r="AE20" i="53"/>
  <c r="AF20" i="53" s="1"/>
  <c r="AC19" i="57"/>
  <c r="AJ19" i="57" s="1"/>
  <c r="AG22" i="53"/>
  <c r="AE19" i="53"/>
  <c r="AF19" i="53" s="1"/>
  <c r="AA20" i="57"/>
  <c r="AE20" i="57" s="1"/>
  <c r="AF20" i="57" s="1"/>
  <c r="O15" i="68"/>
  <c r="O14" i="68"/>
  <c r="O16" i="68"/>
  <c r="O259" i="68"/>
  <c r="T259" i="68"/>
  <c r="T255" i="68"/>
  <c r="O255" i="68"/>
  <c r="T251" i="68"/>
  <c r="O251" i="68"/>
  <c r="T247" i="68"/>
  <c r="O247" i="68"/>
  <c r="O243" i="68"/>
  <c r="T243" i="68"/>
  <c r="T239" i="68"/>
  <c r="O239" i="68"/>
  <c r="T235" i="68"/>
  <c r="O235" i="68"/>
  <c r="T231" i="68"/>
  <c r="O231" i="68"/>
  <c r="O227" i="68"/>
  <c r="T227" i="68"/>
  <c r="T223" i="68"/>
  <c r="O223" i="68"/>
  <c r="T219" i="68"/>
  <c r="O219" i="68"/>
  <c r="T215" i="68"/>
  <c r="O215" i="68"/>
  <c r="O211" i="68"/>
  <c r="T211" i="68"/>
  <c r="T207" i="68"/>
  <c r="O207" i="68"/>
  <c r="T203" i="68"/>
  <c r="O203" i="68"/>
  <c r="T199" i="68"/>
  <c r="O199" i="68"/>
  <c r="O195" i="68"/>
  <c r="T195" i="68"/>
  <c r="T191" i="68"/>
  <c r="O191" i="68"/>
  <c r="T187" i="68"/>
  <c r="O187" i="68"/>
  <c r="T183" i="68"/>
  <c r="O183" i="68"/>
  <c r="O179" i="68"/>
  <c r="T179" i="68"/>
  <c r="T175" i="68"/>
  <c r="O175" i="68"/>
  <c r="T171" i="68"/>
  <c r="O171" i="68"/>
  <c r="T167" i="68"/>
  <c r="O167" i="68"/>
  <c r="O163" i="68"/>
  <c r="T163" i="68"/>
  <c r="T159" i="68"/>
  <c r="O159" i="68"/>
  <c r="T155" i="68"/>
  <c r="O155" i="68"/>
  <c r="O151" i="68"/>
  <c r="T151" i="68"/>
  <c r="T147" i="68"/>
  <c r="O147" i="68"/>
  <c r="T143" i="68"/>
  <c r="O143" i="68"/>
  <c r="T139" i="68"/>
  <c r="O139" i="68"/>
  <c r="T135" i="68"/>
  <c r="O135" i="68"/>
  <c r="T131" i="68"/>
  <c r="O131" i="68"/>
  <c r="T127" i="68"/>
  <c r="O127" i="68"/>
  <c r="T123" i="68"/>
  <c r="O123" i="68"/>
  <c r="T119" i="68"/>
  <c r="O119" i="68"/>
  <c r="T115" i="68"/>
  <c r="O115" i="68"/>
  <c r="T111" i="68"/>
  <c r="O111" i="68"/>
  <c r="T107" i="68"/>
  <c r="O107" i="68"/>
  <c r="O103" i="68"/>
  <c r="T103" i="68"/>
  <c r="T99" i="68"/>
  <c r="O99" i="68"/>
  <c r="T95" i="68"/>
  <c r="O95" i="68"/>
  <c r="T91" i="68"/>
  <c r="O91" i="68"/>
  <c r="O87" i="68"/>
  <c r="T87" i="68"/>
  <c r="T83" i="68"/>
  <c r="O83" i="68"/>
  <c r="T79" i="68"/>
  <c r="O79" i="68"/>
  <c r="T75" i="68"/>
  <c r="O75" i="68"/>
  <c r="T71" i="68"/>
  <c r="O71" i="68"/>
  <c r="T67" i="68"/>
  <c r="O67" i="68"/>
  <c r="T63" i="68"/>
  <c r="O63" i="68"/>
  <c r="T59" i="68"/>
  <c r="O59" i="68"/>
  <c r="T55" i="68"/>
  <c r="O55" i="68"/>
  <c r="T51" i="68"/>
  <c r="O51" i="68"/>
  <c r="T47" i="68"/>
  <c r="O47" i="68"/>
  <c r="T43" i="68"/>
  <c r="O43" i="68"/>
  <c r="O39" i="68"/>
  <c r="T39" i="68"/>
  <c r="T35" i="68"/>
  <c r="O35" i="68"/>
  <c r="T31" i="68"/>
  <c r="O31" i="68"/>
  <c r="T27" i="68"/>
  <c r="O27" i="68"/>
  <c r="T23" i="68"/>
  <c r="O23" i="68"/>
  <c r="O19" i="68"/>
  <c r="O258" i="68"/>
  <c r="T258" i="68"/>
  <c r="O254" i="68"/>
  <c r="T254" i="68"/>
  <c r="O250" i="68"/>
  <c r="T250" i="68"/>
  <c r="O246" i="68"/>
  <c r="T246" i="68"/>
  <c r="O242" i="68"/>
  <c r="T242" i="68"/>
  <c r="O238" i="68"/>
  <c r="T238" i="68"/>
  <c r="O234" i="68"/>
  <c r="T234" i="68"/>
  <c r="O230" i="68"/>
  <c r="T230" i="68"/>
  <c r="O226" i="68"/>
  <c r="T226" i="68"/>
  <c r="O222" i="68"/>
  <c r="T222" i="68"/>
  <c r="O218" i="68"/>
  <c r="T218" i="68"/>
  <c r="O214" i="68"/>
  <c r="T214" i="68"/>
  <c r="O210" i="68"/>
  <c r="T210" i="68"/>
  <c r="O206" i="68"/>
  <c r="T206" i="68"/>
  <c r="O202" i="68"/>
  <c r="T202" i="68"/>
  <c r="O198" i="68"/>
  <c r="T198" i="68"/>
  <c r="O194" i="68"/>
  <c r="T194" i="68"/>
  <c r="O190" i="68"/>
  <c r="T190" i="68"/>
  <c r="O186" i="68"/>
  <c r="T186" i="68"/>
  <c r="O182" i="68"/>
  <c r="T182" i="68"/>
  <c r="O178" i="68"/>
  <c r="T178" i="68"/>
  <c r="O174" i="68"/>
  <c r="T174" i="68"/>
  <c r="O170" i="68"/>
  <c r="T170" i="68"/>
  <c r="O166" i="68"/>
  <c r="T166" i="68"/>
  <c r="O162" i="68"/>
  <c r="T162" i="68"/>
  <c r="O158" i="68"/>
  <c r="T158" i="68"/>
  <c r="O154" i="68"/>
  <c r="T154" i="68"/>
  <c r="O150" i="68"/>
  <c r="T150" i="68"/>
  <c r="O146" i="68"/>
  <c r="T146" i="68"/>
  <c r="O142" i="68"/>
  <c r="T142" i="68"/>
  <c r="O138" i="68"/>
  <c r="T138" i="68"/>
  <c r="O134" i="68"/>
  <c r="T134" i="68"/>
  <c r="O130" i="68"/>
  <c r="T130" i="68"/>
  <c r="O126" i="68"/>
  <c r="T126" i="68"/>
  <c r="O122" i="68"/>
  <c r="T122" i="68"/>
  <c r="O118" i="68"/>
  <c r="T118" i="68"/>
  <c r="O114" i="68"/>
  <c r="T114" i="68"/>
  <c r="O110" i="68"/>
  <c r="T110" i="68"/>
  <c r="O106" i="68"/>
  <c r="T106" i="68"/>
  <c r="O102" i="68"/>
  <c r="T102" i="68"/>
  <c r="O98" i="68"/>
  <c r="T98" i="68"/>
  <c r="O94" i="68"/>
  <c r="T94" i="68"/>
  <c r="O90" i="68"/>
  <c r="T90" i="68"/>
  <c r="O86" i="68"/>
  <c r="T86" i="68"/>
  <c r="O82" i="68"/>
  <c r="T82" i="68"/>
  <c r="O78" i="68"/>
  <c r="T78" i="68"/>
  <c r="O74" i="68"/>
  <c r="T74" i="68"/>
  <c r="O70" i="68"/>
  <c r="T70" i="68"/>
  <c r="O66" i="68"/>
  <c r="T66" i="68"/>
  <c r="O62" i="68"/>
  <c r="T62" i="68"/>
  <c r="O58" i="68"/>
  <c r="T58" i="68"/>
  <c r="O54" i="68"/>
  <c r="T54" i="68"/>
  <c r="O50" i="68"/>
  <c r="T50" i="68"/>
  <c r="O46" i="68"/>
  <c r="T46" i="68"/>
  <c r="O42" i="68"/>
  <c r="T42" i="68"/>
  <c r="O38" i="68"/>
  <c r="T38" i="68"/>
  <c r="O34" i="68"/>
  <c r="T34" i="68"/>
  <c r="O30" i="68"/>
  <c r="T30" i="68"/>
  <c r="O26" i="68"/>
  <c r="T26" i="68"/>
  <c r="O22" i="68"/>
  <c r="T22" i="68"/>
  <c r="O18" i="68"/>
  <c r="O257" i="68"/>
  <c r="T257" i="68"/>
  <c r="O253" i="68"/>
  <c r="T253" i="68"/>
  <c r="O249" i="68"/>
  <c r="T249" i="68"/>
  <c r="O245" i="68"/>
  <c r="T245" i="68"/>
  <c r="O241" i="68"/>
  <c r="T241" i="68"/>
  <c r="O237" i="68"/>
  <c r="T237" i="68"/>
  <c r="O233" i="68"/>
  <c r="T233" i="68"/>
  <c r="O229" i="68"/>
  <c r="T229" i="68"/>
  <c r="O225" i="68"/>
  <c r="T225" i="68"/>
  <c r="O221" i="68"/>
  <c r="T221" i="68"/>
  <c r="O217" i="68"/>
  <c r="T217" i="68"/>
  <c r="O213" i="68"/>
  <c r="T213" i="68"/>
  <c r="O209" i="68"/>
  <c r="T209" i="68"/>
  <c r="O205" i="68"/>
  <c r="T205" i="68"/>
  <c r="O201" i="68"/>
  <c r="T201" i="68"/>
  <c r="O197" i="68"/>
  <c r="T197" i="68"/>
  <c r="O193" i="68"/>
  <c r="T193" i="68"/>
  <c r="O189" i="68"/>
  <c r="T189" i="68"/>
  <c r="O185" i="68"/>
  <c r="T185" i="68"/>
  <c r="O181" i="68"/>
  <c r="T181" i="68"/>
  <c r="O177" i="68"/>
  <c r="T177" i="68"/>
  <c r="O173" i="68"/>
  <c r="T173" i="68"/>
  <c r="O169" i="68"/>
  <c r="T169" i="68"/>
  <c r="O165" i="68"/>
  <c r="T165" i="68"/>
  <c r="O161" i="68"/>
  <c r="T161" i="68"/>
  <c r="O157" i="68"/>
  <c r="T157" i="68"/>
  <c r="O153" i="68"/>
  <c r="T153" i="68"/>
  <c r="O149" i="68"/>
  <c r="T149" i="68"/>
  <c r="O145" i="68"/>
  <c r="T145" i="68"/>
  <c r="O141" i="68"/>
  <c r="T141" i="68"/>
  <c r="O137" i="68"/>
  <c r="T137" i="68"/>
  <c r="O133" i="68"/>
  <c r="T133" i="68"/>
  <c r="O129" i="68"/>
  <c r="T129" i="68"/>
  <c r="O125" i="68"/>
  <c r="T125" i="68"/>
  <c r="O121" i="68"/>
  <c r="T121" i="68"/>
  <c r="O117" i="68"/>
  <c r="T117" i="68"/>
  <c r="O113" i="68"/>
  <c r="T113" i="68"/>
  <c r="O109" i="68"/>
  <c r="T109" i="68"/>
  <c r="O105" i="68"/>
  <c r="T105" i="68"/>
  <c r="O101" i="68"/>
  <c r="T101" i="68"/>
  <c r="O97" i="68"/>
  <c r="T97" i="68"/>
  <c r="O93" i="68"/>
  <c r="T93" i="68"/>
  <c r="O89" i="68"/>
  <c r="T89" i="68"/>
  <c r="O85" i="68"/>
  <c r="T85" i="68"/>
  <c r="O81" i="68"/>
  <c r="T81" i="68"/>
  <c r="O77" i="68"/>
  <c r="T77" i="68"/>
  <c r="O73" i="68"/>
  <c r="T73" i="68"/>
  <c r="O69" i="68"/>
  <c r="T69" i="68"/>
  <c r="O65" i="68"/>
  <c r="T65" i="68"/>
  <c r="O61" i="68"/>
  <c r="T61" i="68"/>
  <c r="O57" i="68"/>
  <c r="T57" i="68"/>
  <c r="O53" i="68"/>
  <c r="T53" i="68"/>
  <c r="O49" i="68"/>
  <c r="T49" i="68"/>
  <c r="O45" i="68"/>
  <c r="T45" i="68"/>
  <c r="O41" i="68"/>
  <c r="T41" i="68"/>
  <c r="O37" i="68"/>
  <c r="T37" i="68"/>
  <c r="O33" i="68"/>
  <c r="T33" i="68"/>
  <c r="O29" i="68"/>
  <c r="T29" i="68"/>
  <c r="O25" i="68"/>
  <c r="T25" i="68"/>
  <c r="O21" i="68"/>
  <c r="O17" i="68"/>
  <c r="O256" i="68"/>
  <c r="T256" i="68"/>
  <c r="O252" i="68"/>
  <c r="T252" i="68"/>
  <c r="O248" i="68"/>
  <c r="T248" i="68"/>
  <c r="O244" i="68"/>
  <c r="T244" i="68"/>
  <c r="O240" i="68"/>
  <c r="T240" i="68"/>
  <c r="O236" i="68"/>
  <c r="T236" i="68"/>
  <c r="O232" i="68"/>
  <c r="T232" i="68"/>
  <c r="O228" i="68"/>
  <c r="T228" i="68"/>
  <c r="O224" i="68"/>
  <c r="T224" i="68"/>
  <c r="O220" i="68"/>
  <c r="T220" i="68"/>
  <c r="O216" i="68"/>
  <c r="T216" i="68"/>
  <c r="O212" i="68"/>
  <c r="T212" i="68"/>
  <c r="O208" i="68"/>
  <c r="T208" i="68"/>
  <c r="O204" i="68"/>
  <c r="T204" i="68"/>
  <c r="O200" i="68"/>
  <c r="T200" i="68"/>
  <c r="O196" i="68"/>
  <c r="T196" i="68"/>
  <c r="O192" i="68"/>
  <c r="T192" i="68"/>
  <c r="O188" i="68"/>
  <c r="T188" i="68"/>
  <c r="O184" i="68"/>
  <c r="T184" i="68"/>
  <c r="O180" i="68"/>
  <c r="T180" i="68"/>
  <c r="O176" i="68"/>
  <c r="T176" i="68"/>
  <c r="O172" i="68"/>
  <c r="T172" i="68"/>
  <c r="O168" i="68"/>
  <c r="T168" i="68"/>
  <c r="O164" i="68"/>
  <c r="T164" i="68"/>
  <c r="O160" i="68"/>
  <c r="T160" i="68"/>
  <c r="O156" i="68"/>
  <c r="T156" i="68"/>
  <c r="O152" i="68"/>
  <c r="T152" i="68"/>
  <c r="O148" i="68"/>
  <c r="T148" i="68"/>
  <c r="O144" i="68"/>
  <c r="T144" i="68"/>
  <c r="O140" i="68"/>
  <c r="T140" i="68"/>
  <c r="O136" i="68"/>
  <c r="T136" i="68"/>
  <c r="O132" i="68"/>
  <c r="T132" i="68"/>
  <c r="O128" i="68"/>
  <c r="T128" i="68"/>
  <c r="O124" i="68"/>
  <c r="T124" i="68"/>
  <c r="O120" i="68"/>
  <c r="T120" i="68"/>
  <c r="O116" i="68"/>
  <c r="T116" i="68"/>
  <c r="O112" i="68"/>
  <c r="T112" i="68"/>
  <c r="O108" i="68"/>
  <c r="T108" i="68"/>
  <c r="O104" i="68"/>
  <c r="T104" i="68"/>
  <c r="O100" i="68"/>
  <c r="T100" i="68"/>
  <c r="O96" i="68"/>
  <c r="T96" i="68"/>
  <c r="O92" i="68"/>
  <c r="T92" i="68"/>
  <c r="O88" i="68"/>
  <c r="T88" i="68"/>
  <c r="O84" i="68"/>
  <c r="T84" i="68"/>
  <c r="O80" i="68"/>
  <c r="T80" i="68"/>
  <c r="O76" i="68"/>
  <c r="T76" i="68"/>
  <c r="O72" i="68"/>
  <c r="T72" i="68"/>
  <c r="O68" i="68"/>
  <c r="T68" i="68"/>
  <c r="O64" i="68"/>
  <c r="T64" i="68"/>
  <c r="O60" i="68"/>
  <c r="T60" i="68"/>
  <c r="O56" i="68"/>
  <c r="T56" i="68"/>
  <c r="O52" i="68"/>
  <c r="T52" i="68"/>
  <c r="O48" i="68"/>
  <c r="T48" i="68"/>
  <c r="O44" i="68"/>
  <c r="T44" i="68"/>
  <c r="O40" i="68"/>
  <c r="T40" i="68"/>
  <c r="O36" i="68"/>
  <c r="T36" i="68"/>
  <c r="O32" i="68"/>
  <c r="T32" i="68"/>
  <c r="O28" i="68"/>
  <c r="T28" i="68"/>
  <c r="O24" i="68"/>
  <c r="T24" i="68"/>
  <c r="O20" i="68"/>
  <c r="S13" i="68"/>
  <c r="T13" i="68" s="1"/>
  <c r="U13" i="68" s="1"/>
  <c r="Q13" i="68"/>
  <c r="O22" i="57"/>
  <c r="N23" i="57"/>
  <c r="AE22" i="53"/>
  <c r="AG21" i="53"/>
  <c r="R23" i="53"/>
  <c r="L24" i="57"/>
  <c r="AT23" i="53"/>
  <c r="AD23" i="53"/>
  <c r="AK23" i="52" a="1"/>
  <c r="AK23" i="52" s="1"/>
  <c r="B25" i="53" s="1"/>
  <c r="H24" i="57"/>
  <c r="G24" i="57"/>
  <c r="E24" i="57"/>
  <c r="D24" i="57"/>
  <c r="C24" i="57"/>
  <c r="K24" i="57"/>
  <c r="I24" i="57"/>
  <c r="F24" i="57"/>
  <c r="J24" i="57"/>
  <c r="Q23" i="53"/>
  <c r="L24" i="53"/>
  <c r="H24" i="53"/>
  <c r="F24" i="53"/>
  <c r="D24" i="53"/>
  <c r="P24" i="53"/>
  <c r="G24" i="53"/>
  <c r="C24" i="53"/>
  <c r="I24" i="53"/>
  <c r="E24" i="53"/>
  <c r="J24" i="53"/>
  <c r="K24" i="53"/>
  <c r="AN23" i="55" a="1"/>
  <c r="AN23" i="55" s="1"/>
  <c r="B25" i="57" s="1"/>
  <c r="P25" i="57" s="1"/>
  <c r="L12" i="64"/>
  <c r="L13" i="64"/>
  <c r="O13" i="64" s="1"/>
  <c r="P13" i="64" s="1"/>
  <c r="L14" i="64"/>
  <c r="O14" i="64" s="1"/>
  <c r="P14" i="64" s="1"/>
  <c r="L15" i="64"/>
  <c r="O15" i="64" s="1"/>
  <c r="P15" i="64" s="1"/>
  <c r="L16" i="64"/>
  <c r="O16" i="64" s="1"/>
  <c r="P16" i="64" s="1"/>
  <c r="L17" i="64"/>
  <c r="O17" i="64" s="1"/>
  <c r="P17" i="64" s="1"/>
  <c r="L18" i="64"/>
  <c r="O18" i="64" s="1"/>
  <c r="P18" i="64" s="1"/>
  <c r="L19" i="64"/>
  <c r="O19" i="64" s="1"/>
  <c r="P19" i="64" s="1"/>
  <c r="L20" i="64"/>
  <c r="O20" i="64" s="1"/>
  <c r="P20" i="64" s="1"/>
  <c r="L21" i="64"/>
  <c r="O21" i="64" s="1"/>
  <c r="P21" i="64" s="1"/>
  <c r="L22" i="64"/>
  <c r="O22" i="64" s="1"/>
  <c r="P22" i="64" s="1"/>
  <c r="L23" i="64"/>
  <c r="O23" i="64" s="1"/>
  <c r="P23" i="64" s="1"/>
  <c r="L24" i="64"/>
  <c r="O24" i="64" s="1"/>
  <c r="P24" i="64" s="1"/>
  <c r="L25" i="64"/>
  <c r="O25" i="64" s="1"/>
  <c r="P25" i="64" s="1"/>
  <c r="L26" i="64"/>
  <c r="O26" i="64" s="1"/>
  <c r="P26" i="64" s="1"/>
  <c r="L27" i="64"/>
  <c r="O27" i="64" s="1"/>
  <c r="P27" i="64" s="1"/>
  <c r="L28" i="64"/>
  <c r="O28" i="64" s="1"/>
  <c r="P28" i="64" s="1"/>
  <c r="L29" i="64"/>
  <c r="O29" i="64" s="1"/>
  <c r="P29" i="64" s="1"/>
  <c r="L30" i="64"/>
  <c r="O30" i="64" s="1"/>
  <c r="P30" i="64" s="1"/>
  <c r="L31" i="64"/>
  <c r="O31" i="64" s="1"/>
  <c r="P31" i="64" s="1"/>
  <c r="L32" i="64"/>
  <c r="O32" i="64" s="1"/>
  <c r="P32" i="64" s="1"/>
  <c r="L33" i="64"/>
  <c r="O33" i="64" s="1"/>
  <c r="P33" i="64" s="1"/>
  <c r="L34" i="64"/>
  <c r="O34" i="64" s="1"/>
  <c r="P34" i="64" s="1"/>
  <c r="L35" i="64"/>
  <c r="O35" i="64" s="1"/>
  <c r="P35" i="64" s="1"/>
  <c r="L36" i="64"/>
  <c r="O36" i="64" s="1"/>
  <c r="P36" i="64" s="1"/>
  <c r="L37" i="64"/>
  <c r="O37" i="64" s="1"/>
  <c r="P37" i="64" s="1"/>
  <c r="L38" i="64"/>
  <c r="O38" i="64" s="1"/>
  <c r="P38" i="64" s="1"/>
  <c r="L39" i="64"/>
  <c r="O39" i="64" s="1"/>
  <c r="P39" i="64" s="1"/>
  <c r="L40" i="64"/>
  <c r="O40" i="64" s="1"/>
  <c r="P40" i="64" s="1"/>
  <c r="L41" i="64"/>
  <c r="O41" i="64" s="1"/>
  <c r="P41" i="64" s="1"/>
  <c r="L42" i="64"/>
  <c r="O42" i="64" s="1"/>
  <c r="P42" i="64" s="1"/>
  <c r="L43" i="64"/>
  <c r="O43" i="64" s="1"/>
  <c r="P43" i="64" s="1"/>
  <c r="L44" i="64"/>
  <c r="O44" i="64" s="1"/>
  <c r="P44" i="64" s="1"/>
  <c r="L45" i="64"/>
  <c r="O45" i="64" s="1"/>
  <c r="P45" i="64" s="1"/>
  <c r="L46" i="64"/>
  <c r="O46" i="64" s="1"/>
  <c r="P46" i="64" s="1"/>
  <c r="L47" i="64"/>
  <c r="O47" i="64" s="1"/>
  <c r="P47" i="64" s="1"/>
  <c r="L48" i="64"/>
  <c r="O48" i="64" s="1"/>
  <c r="P48" i="64" s="1"/>
  <c r="L49" i="64"/>
  <c r="O49" i="64" s="1"/>
  <c r="P49" i="64" s="1"/>
  <c r="L50" i="64"/>
  <c r="O50" i="64" s="1"/>
  <c r="P50" i="64" s="1"/>
  <c r="L51" i="64"/>
  <c r="O51" i="64" s="1"/>
  <c r="P51" i="64" s="1"/>
  <c r="L52" i="64"/>
  <c r="O52" i="64" s="1"/>
  <c r="P52" i="64" s="1"/>
  <c r="L53" i="64"/>
  <c r="O53" i="64" s="1"/>
  <c r="P53" i="64" s="1"/>
  <c r="L54" i="64"/>
  <c r="O54" i="64" s="1"/>
  <c r="P54" i="64" s="1"/>
  <c r="L55" i="64"/>
  <c r="O55" i="64" s="1"/>
  <c r="P55" i="64" s="1"/>
  <c r="L56" i="64"/>
  <c r="O56" i="64" s="1"/>
  <c r="P56" i="64" s="1"/>
  <c r="L57" i="64"/>
  <c r="O57" i="64" s="1"/>
  <c r="P57" i="64" s="1"/>
  <c r="L58" i="64"/>
  <c r="O58" i="64" s="1"/>
  <c r="P58" i="64" s="1"/>
  <c r="L59" i="64"/>
  <c r="O59" i="64" s="1"/>
  <c r="P59" i="64" s="1"/>
  <c r="L60" i="64"/>
  <c r="O60" i="64" s="1"/>
  <c r="P60" i="64" s="1"/>
  <c r="L61" i="64"/>
  <c r="O61" i="64" s="1"/>
  <c r="P61" i="64" s="1"/>
  <c r="L62" i="64"/>
  <c r="O62" i="64" s="1"/>
  <c r="P62" i="64" s="1"/>
  <c r="L63" i="64"/>
  <c r="O63" i="64" s="1"/>
  <c r="P63" i="64" s="1"/>
  <c r="L64" i="64"/>
  <c r="O64" i="64" s="1"/>
  <c r="P64" i="64" s="1"/>
  <c r="L65" i="64"/>
  <c r="O65" i="64" s="1"/>
  <c r="P65" i="64" s="1"/>
  <c r="L66" i="64"/>
  <c r="O66" i="64" s="1"/>
  <c r="P66" i="64" s="1"/>
  <c r="L67" i="64"/>
  <c r="O67" i="64" s="1"/>
  <c r="P67" i="64" s="1"/>
  <c r="L68" i="64"/>
  <c r="O68" i="64" s="1"/>
  <c r="P68" i="64" s="1"/>
  <c r="L69" i="64"/>
  <c r="O69" i="64" s="1"/>
  <c r="P69" i="64" s="1"/>
  <c r="L70" i="64"/>
  <c r="O70" i="64" s="1"/>
  <c r="P70" i="64" s="1"/>
  <c r="L71" i="64"/>
  <c r="O71" i="64" s="1"/>
  <c r="P71" i="64" s="1"/>
  <c r="L72" i="64"/>
  <c r="O72" i="64" s="1"/>
  <c r="P72" i="64" s="1"/>
  <c r="L73" i="64"/>
  <c r="O73" i="64" s="1"/>
  <c r="P73" i="64" s="1"/>
  <c r="L74" i="64"/>
  <c r="O74" i="64" s="1"/>
  <c r="P74" i="64" s="1"/>
  <c r="L75" i="64"/>
  <c r="O75" i="64" s="1"/>
  <c r="P75" i="64" s="1"/>
  <c r="L76" i="64"/>
  <c r="O76" i="64" s="1"/>
  <c r="P76" i="64" s="1"/>
  <c r="L77" i="64"/>
  <c r="O77" i="64" s="1"/>
  <c r="P77" i="64" s="1"/>
  <c r="L78" i="64"/>
  <c r="O78" i="64" s="1"/>
  <c r="P78" i="64" s="1"/>
  <c r="L79" i="64"/>
  <c r="O79" i="64" s="1"/>
  <c r="P79" i="64" s="1"/>
  <c r="L80" i="64"/>
  <c r="O80" i="64" s="1"/>
  <c r="P80" i="64" s="1"/>
  <c r="L81" i="64"/>
  <c r="O81" i="64" s="1"/>
  <c r="P81" i="64" s="1"/>
  <c r="L82" i="64"/>
  <c r="O82" i="64" s="1"/>
  <c r="P82" i="64" s="1"/>
  <c r="L83" i="64"/>
  <c r="O83" i="64" s="1"/>
  <c r="P83" i="64" s="1"/>
  <c r="L84" i="64"/>
  <c r="O84" i="64" s="1"/>
  <c r="P84" i="64" s="1"/>
  <c r="L85" i="64"/>
  <c r="O85" i="64" s="1"/>
  <c r="P85" i="64" s="1"/>
  <c r="L86" i="64"/>
  <c r="O86" i="64" s="1"/>
  <c r="P86" i="64" s="1"/>
  <c r="L87" i="64"/>
  <c r="O87" i="64" s="1"/>
  <c r="P87" i="64" s="1"/>
  <c r="L88" i="64"/>
  <c r="O88" i="64" s="1"/>
  <c r="P88" i="64" s="1"/>
  <c r="L89" i="64"/>
  <c r="O89" i="64" s="1"/>
  <c r="P89" i="64" s="1"/>
  <c r="L90" i="64"/>
  <c r="O90" i="64" s="1"/>
  <c r="P90" i="64" s="1"/>
  <c r="L91" i="64"/>
  <c r="O91" i="64" s="1"/>
  <c r="P91" i="64" s="1"/>
  <c r="L92" i="64"/>
  <c r="O92" i="64" s="1"/>
  <c r="P92" i="64" s="1"/>
  <c r="L93" i="64"/>
  <c r="O93" i="64" s="1"/>
  <c r="P93" i="64" s="1"/>
  <c r="L94" i="64"/>
  <c r="O94" i="64" s="1"/>
  <c r="P94" i="64" s="1"/>
  <c r="L95" i="64"/>
  <c r="O95" i="64" s="1"/>
  <c r="P95" i="64" s="1"/>
  <c r="L96" i="64"/>
  <c r="O96" i="64" s="1"/>
  <c r="P96" i="64" s="1"/>
  <c r="L97" i="64"/>
  <c r="O97" i="64" s="1"/>
  <c r="P97" i="64" s="1"/>
  <c r="L98" i="64"/>
  <c r="O98" i="64" s="1"/>
  <c r="P98" i="64" s="1"/>
  <c r="L99" i="64"/>
  <c r="O99" i="64" s="1"/>
  <c r="P99" i="64" s="1"/>
  <c r="L100" i="64"/>
  <c r="O100" i="64" s="1"/>
  <c r="P100" i="64" s="1"/>
  <c r="L101" i="64"/>
  <c r="O101" i="64" s="1"/>
  <c r="P101" i="64" s="1"/>
  <c r="L102" i="64"/>
  <c r="O102" i="64" s="1"/>
  <c r="P102" i="64" s="1"/>
  <c r="L103" i="64"/>
  <c r="O103" i="64" s="1"/>
  <c r="P103" i="64" s="1"/>
  <c r="L104" i="64"/>
  <c r="O104" i="64" s="1"/>
  <c r="P104" i="64" s="1"/>
  <c r="L105" i="64"/>
  <c r="O105" i="64" s="1"/>
  <c r="P105" i="64" s="1"/>
  <c r="L106" i="64"/>
  <c r="O106" i="64" s="1"/>
  <c r="P106" i="64" s="1"/>
  <c r="L107" i="64"/>
  <c r="O107" i="64" s="1"/>
  <c r="P107" i="64" s="1"/>
  <c r="L108" i="64"/>
  <c r="O108" i="64" s="1"/>
  <c r="P108" i="64" s="1"/>
  <c r="L109" i="64"/>
  <c r="O109" i="64" s="1"/>
  <c r="P109" i="64" s="1"/>
  <c r="L110" i="64"/>
  <c r="O110" i="64" s="1"/>
  <c r="P110" i="64" s="1"/>
  <c r="L111" i="64"/>
  <c r="O111" i="64" s="1"/>
  <c r="P111" i="64" s="1"/>
  <c r="L112" i="64"/>
  <c r="O112" i="64" s="1"/>
  <c r="P112" i="64" s="1"/>
  <c r="L113" i="64"/>
  <c r="O113" i="64" s="1"/>
  <c r="P113" i="64" s="1"/>
  <c r="L114" i="64"/>
  <c r="O114" i="64" s="1"/>
  <c r="P114" i="64" s="1"/>
  <c r="L115" i="64"/>
  <c r="O115" i="64" s="1"/>
  <c r="P115" i="64" s="1"/>
  <c r="L116" i="64"/>
  <c r="O116" i="64" s="1"/>
  <c r="P116" i="64" s="1"/>
  <c r="L117" i="64"/>
  <c r="O117" i="64" s="1"/>
  <c r="P117" i="64" s="1"/>
  <c r="L118" i="64"/>
  <c r="O118" i="64" s="1"/>
  <c r="P118" i="64" s="1"/>
  <c r="L119" i="64"/>
  <c r="O119" i="64" s="1"/>
  <c r="P119" i="64" s="1"/>
  <c r="L120" i="64"/>
  <c r="O120" i="64" s="1"/>
  <c r="P120" i="64" s="1"/>
  <c r="L121" i="64"/>
  <c r="O121" i="64" s="1"/>
  <c r="P121" i="64" s="1"/>
  <c r="L122" i="64"/>
  <c r="O122" i="64" s="1"/>
  <c r="P122" i="64" s="1"/>
  <c r="L123" i="64"/>
  <c r="O123" i="64" s="1"/>
  <c r="P123" i="64" s="1"/>
  <c r="L124" i="64"/>
  <c r="O124" i="64" s="1"/>
  <c r="P124" i="64" s="1"/>
  <c r="L125" i="64"/>
  <c r="O125" i="64" s="1"/>
  <c r="P125" i="64" s="1"/>
  <c r="L126" i="64"/>
  <c r="O126" i="64" s="1"/>
  <c r="P126" i="64" s="1"/>
  <c r="L127" i="64"/>
  <c r="O127" i="64" s="1"/>
  <c r="P127" i="64" s="1"/>
  <c r="L128" i="64"/>
  <c r="O128" i="64" s="1"/>
  <c r="P128" i="64" s="1"/>
  <c r="L129" i="64"/>
  <c r="O129" i="64" s="1"/>
  <c r="P129" i="64" s="1"/>
  <c r="L130" i="64"/>
  <c r="O130" i="64" s="1"/>
  <c r="P130" i="64" s="1"/>
  <c r="L131" i="64"/>
  <c r="O131" i="64" s="1"/>
  <c r="P131" i="64" s="1"/>
  <c r="L132" i="64"/>
  <c r="O132" i="64" s="1"/>
  <c r="P132" i="64" s="1"/>
  <c r="L133" i="64"/>
  <c r="O133" i="64" s="1"/>
  <c r="P133" i="64" s="1"/>
  <c r="L134" i="64"/>
  <c r="O134" i="64" s="1"/>
  <c r="P134" i="64" s="1"/>
  <c r="L135" i="64"/>
  <c r="O135" i="64" s="1"/>
  <c r="P135" i="64" s="1"/>
  <c r="L136" i="64"/>
  <c r="O136" i="64" s="1"/>
  <c r="P136" i="64" s="1"/>
  <c r="L137" i="64"/>
  <c r="O137" i="64" s="1"/>
  <c r="P137" i="64" s="1"/>
  <c r="L138" i="64"/>
  <c r="O138" i="64" s="1"/>
  <c r="P138" i="64" s="1"/>
  <c r="L139" i="64"/>
  <c r="O139" i="64" s="1"/>
  <c r="P139" i="64" s="1"/>
  <c r="L140" i="64"/>
  <c r="O140" i="64" s="1"/>
  <c r="P140" i="64" s="1"/>
  <c r="L141" i="64"/>
  <c r="O141" i="64" s="1"/>
  <c r="P141" i="64" s="1"/>
  <c r="L142" i="64"/>
  <c r="O142" i="64" s="1"/>
  <c r="P142" i="64" s="1"/>
  <c r="L143" i="64"/>
  <c r="O143" i="64" s="1"/>
  <c r="P143" i="64" s="1"/>
  <c r="L144" i="64"/>
  <c r="O144" i="64" s="1"/>
  <c r="P144" i="64" s="1"/>
  <c r="L145" i="64"/>
  <c r="O145" i="64" s="1"/>
  <c r="P145" i="64" s="1"/>
  <c r="L146" i="64"/>
  <c r="O146" i="64" s="1"/>
  <c r="P146" i="64" s="1"/>
  <c r="L147" i="64"/>
  <c r="O147" i="64" s="1"/>
  <c r="P147" i="64" s="1"/>
  <c r="L148" i="64"/>
  <c r="O148" i="64" s="1"/>
  <c r="P148" i="64" s="1"/>
  <c r="L149" i="64"/>
  <c r="O149" i="64" s="1"/>
  <c r="P149" i="64" s="1"/>
  <c r="L150" i="64"/>
  <c r="O150" i="64" s="1"/>
  <c r="P150" i="64" s="1"/>
  <c r="L151" i="64"/>
  <c r="O151" i="64" s="1"/>
  <c r="P151" i="64" s="1"/>
  <c r="L152" i="64"/>
  <c r="O152" i="64" s="1"/>
  <c r="P152" i="64" s="1"/>
  <c r="L153" i="64"/>
  <c r="O153" i="64" s="1"/>
  <c r="P153" i="64" s="1"/>
  <c r="L154" i="64"/>
  <c r="O154" i="64" s="1"/>
  <c r="P154" i="64" s="1"/>
  <c r="L155" i="64"/>
  <c r="O155" i="64" s="1"/>
  <c r="P155" i="64" s="1"/>
  <c r="L156" i="64"/>
  <c r="O156" i="64" s="1"/>
  <c r="P156" i="64" s="1"/>
  <c r="L157" i="64"/>
  <c r="O157" i="64" s="1"/>
  <c r="P157" i="64" s="1"/>
  <c r="L158" i="64"/>
  <c r="O158" i="64" s="1"/>
  <c r="P158" i="64" s="1"/>
  <c r="L159" i="64"/>
  <c r="O159" i="64" s="1"/>
  <c r="P159" i="64" s="1"/>
  <c r="L160" i="64"/>
  <c r="O160" i="64" s="1"/>
  <c r="P160" i="64" s="1"/>
  <c r="L161" i="64"/>
  <c r="O161" i="64" s="1"/>
  <c r="P161" i="64" s="1"/>
  <c r="L162" i="64"/>
  <c r="O162" i="64" s="1"/>
  <c r="P162" i="64" s="1"/>
  <c r="L163" i="64"/>
  <c r="O163" i="64" s="1"/>
  <c r="P163" i="64" s="1"/>
  <c r="L164" i="64"/>
  <c r="O164" i="64" s="1"/>
  <c r="P164" i="64" s="1"/>
  <c r="L165" i="64"/>
  <c r="O165" i="64" s="1"/>
  <c r="P165" i="64" s="1"/>
  <c r="L166" i="64"/>
  <c r="O166" i="64" s="1"/>
  <c r="P166" i="64" s="1"/>
  <c r="L167" i="64"/>
  <c r="O167" i="64" s="1"/>
  <c r="P167" i="64" s="1"/>
  <c r="L168" i="64"/>
  <c r="O168" i="64" s="1"/>
  <c r="P168" i="64" s="1"/>
  <c r="L169" i="64"/>
  <c r="O169" i="64" s="1"/>
  <c r="P169" i="64" s="1"/>
  <c r="L170" i="64"/>
  <c r="O170" i="64" s="1"/>
  <c r="P170" i="64" s="1"/>
  <c r="L171" i="64"/>
  <c r="O171" i="64" s="1"/>
  <c r="P171" i="64" s="1"/>
  <c r="L172" i="64"/>
  <c r="O172" i="64" s="1"/>
  <c r="P172" i="64" s="1"/>
  <c r="L173" i="64"/>
  <c r="O173" i="64" s="1"/>
  <c r="P173" i="64" s="1"/>
  <c r="L174" i="64"/>
  <c r="O174" i="64" s="1"/>
  <c r="P174" i="64" s="1"/>
  <c r="L175" i="64"/>
  <c r="O175" i="64" s="1"/>
  <c r="P175" i="64" s="1"/>
  <c r="L176" i="64"/>
  <c r="O176" i="64" s="1"/>
  <c r="P176" i="64" s="1"/>
  <c r="L177" i="64"/>
  <c r="O177" i="64" s="1"/>
  <c r="P177" i="64" s="1"/>
  <c r="L178" i="64"/>
  <c r="O178" i="64" s="1"/>
  <c r="P178" i="64" s="1"/>
  <c r="L179" i="64"/>
  <c r="O179" i="64" s="1"/>
  <c r="P179" i="64" s="1"/>
  <c r="L180" i="64"/>
  <c r="O180" i="64" s="1"/>
  <c r="P180" i="64" s="1"/>
  <c r="L181" i="64"/>
  <c r="O181" i="64" s="1"/>
  <c r="P181" i="64" s="1"/>
  <c r="L182" i="64"/>
  <c r="O182" i="64" s="1"/>
  <c r="P182" i="64" s="1"/>
  <c r="L183" i="64"/>
  <c r="O183" i="64" s="1"/>
  <c r="P183" i="64" s="1"/>
  <c r="L184" i="64"/>
  <c r="O184" i="64" s="1"/>
  <c r="P184" i="64" s="1"/>
  <c r="L185" i="64"/>
  <c r="O185" i="64" s="1"/>
  <c r="P185" i="64" s="1"/>
  <c r="L186" i="64"/>
  <c r="O186" i="64" s="1"/>
  <c r="P186" i="64" s="1"/>
  <c r="L187" i="64"/>
  <c r="O187" i="64" s="1"/>
  <c r="P187" i="64" s="1"/>
  <c r="L188" i="64"/>
  <c r="O188" i="64" s="1"/>
  <c r="P188" i="64" s="1"/>
  <c r="L189" i="64"/>
  <c r="O189" i="64" s="1"/>
  <c r="P189" i="64" s="1"/>
  <c r="L190" i="64"/>
  <c r="O190" i="64" s="1"/>
  <c r="P190" i="64" s="1"/>
  <c r="L191" i="64"/>
  <c r="O191" i="64" s="1"/>
  <c r="P191" i="64" s="1"/>
  <c r="L192" i="64"/>
  <c r="O192" i="64" s="1"/>
  <c r="P192" i="64" s="1"/>
  <c r="L193" i="64"/>
  <c r="O193" i="64" s="1"/>
  <c r="P193" i="64" s="1"/>
  <c r="L194" i="64"/>
  <c r="O194" i="64" s="1"/>
  <c r="P194" i="64" s="1"/>
  <c r="L195" i="64"/>
  <c r="O195" i="64" s="1"/>
  <c r="P195" i="64" s="1"/>
  <c r="L196" i="64"/>
  <c r="O196" i="64" s="1"/>
  <c r="P196" i="64" s="1"/>
  <c r="L197" i="64"/>
  <c r="O197" i="64" s="1"/>
  <c r="P197" i="64" s="1"/>
  <c r="L198" i="64"/>
  <c r="O198" i="64" s="1"/>
  <c r="P198" i="64" s="1"/>
  <c r="L199" i="64"/>
  <c r="O199" i="64" s="1"/>
  <c r="P199" i="64" s="1"/>
  <c r="L200" i="64"/>
  <c r="O200" i="64" s="1"/>
  <c r="P200" i="64" s="1"/>
  <c r="L201" i="64"/>
  <c r="O201" i="64" s="1"/>
  <c r="P201" i="64" s="1"/>
  <c r="L202" i="64"/>
  <c r="O202" i="64" s="1"/>
  <c r="P202" i="64" s="1"/>
  <c r="L203" i="64"/>
  <c r="O203" i="64" s="1"/>
  <c r="P203" i="64" s="1"/>
  <c r="L204" i="64"/>
  <c r="O204" i="64" s="1"/>
  <c r="P204" i="64" s="1"/>
  <c r="L205" i="64"/>
  <c r="O205" i="64" s="1"/>
  <c r="P205" i="64" s="1"/>
  <c r="L206" i="64"/>
  <c r="O206" i="64" s="1"/>
  <c r="P206" i="64" s="1"/>
  <c r="L207" i="64"/>
  <c r="O207" i="64" s="1"/>
  <c r="P207" i="64" s="1"/>
  <c r="L208" i="64"/>
  <c r="O208" i="64" s="1"/>
  <c r="P208" i="64" s="1"/>
  <c r="L209" i="64"/>
  <c r="O209" i="64" s="1"/>
  <c r="P209" i="64" s="1"/>
  <c r="L210" i="64"/>
  <c r="O210" i="64" s="1"/>
  <c r="P210" i="64" s="1"/>
  <c r="L211" i="64"/>
  <c r="O211" i="64" s="1"/>
  <c r="P211" i="64" s="1"/>
  <c r="L212" i="64"/>
  <c r="O212" i="64" s="1"/>
  <c r="P212" i="64" s="1"/>
  <c r="L213" i="64"/>
  <c r="O213" i="64" s="1"/>
  <c r="P213" i="64" s="1"/>
  <c r="L214" i="64"/>
  <c r="O214" i="64" s="1"/>
  <c r="P214" i="64" s="1"/>
  <c r="L215" i="64"/>
  <c r="O215" i="64" s="1"/>
  <c r="P215" i="64" s="1"/>
  <c r="L216" i="64"/>
  <c r="O216" i="64" s="1"/>
  <c r="P216" i="64" s="1"/>
  <c r="L217" i="64"/>
  <c r="O217" i="64" s="1"/>
  <c r="P217" i="64" s="1"/>
  <c r="L218" i="64"/>
  <c r="O218" i="64" s="1"/>
  <c r="P218" i="64" s="1"/>
  <c r="L219" i="64"/>
  <c r="O219" i="64" s="1"/>
  <c r="P219" i="64" s="1"/>
  <c r="L220" i="64"/>
  <c r="O220" i="64" s="1"/>
  <c r="P220" i="64" s="1"/>
  <c r="L221" i="64"/>
  <c r="O221" i="64" s="1"/>
  <c r="P221" i="64" s="1"/>
  <c r="L222" i="64"/>
  <c r="O222" i="64" s="1"/>
  <c r="P222" i="64" s="1"/>
  <c r="L223" i="64"/>
  <c r="O223" i="64" s="1"/>
  <c r="P223" i="64" s="1"/>
  <c r="L224" i="64"/>
  <c r="O224" i="64" s="1"/>
  <c r="P224" i="64" s="1"/>
  <c r="L225" i="64"/>
  <c r="O225" i="64" s="1"/>
  <c r="P225" i="64" s="1"/>
  <c r="L226" i="64"/>
  <c r="O226" i="64" s="1"/>
  <c r="P226" i="64" s="1"/>
  <c r="L227" i="64"/>
  <c r="O227" i="64" s="1"/>
  <c r="P227" i="64" s="1"/>
  <c r="L228" i="64"/>
  <c r="O228" i="64" s="1"/>
  <c r="P228" i="64" s="1"/>
  <c r="L229" i="64"/>
  <c r="O229" i="64" s="1"/>
  <c r="P229" i="64" s="1"/>
  <c r="L230" i="64"/>
  <c r="O230" i="64" s="1"/>
  <c r="P230" i="64" s="1"/>
  <c r="L231" i="64"/>
  <c r="O231" i="64" s="1"/>
  <c r="P231" i="64" s="1"/>
  <c r="L232" i="64"/>
  <c r="O232" i="64" s="1"/>
  <c r="P232" i="64" s="1"/>
  <c r="L233" i="64"/>
  <c r="O233" i="64" s="1"/>
  <c r="P233" i="64" s="1"/>
  <c r="L234" i="64"/>
  <c r="O234" i="64" s="1"/>
  <c r="P234" i="64" s="1"/>
  <c r="L235" i="64"/>
  <c r="O235" i="64" s="1"/>
  <c r="P235" i="64" s="1"/>
  <c r="L236" i="64"/>
  <c r="O236" i="64" s="1"/>
  <c r="P236" i="64" s="1"/>
  <c r="L237" i="64"/>
  <c r="O237" i="64" s="1"/>
  <c r="P237" i="64" s="1"/>
  <c r="L238" i="64"/>
  <c r="O238" i="64" s="1"/>
  <c r="P238" i="64" s="1"/>
  <c r="L239" i="64"/>
  <c r="O239" i="64" s="1"/>
  <c r="P239" i="64" s="1"/>
  <c r="L240" i="64"/>
  <c r="O240" i="64" s="1"/>
  <c r="P240" i="64" s="1"/>
  <c r="L241" i="64"/>
  <c r="O241" i="64" s="1"/>
  <c r="P241" i="64" s="1"/>
  <c r="L242" i="64"/>
  <c r="O242" i="64" s="1"/>
  <c r="P242" i="64" s="1"/>
  <c r="L243" i="64"/>
  <c r="O243" i="64" s="1"/>
  <c r="P243" i="64" s="1"/>
  <c r="L244" i="64"/>
  <c r="O244" i="64" s="1"/>
  <c r="P244" i="64" s="1"/>
  <c r="L245" i="64"/>
  <c r="O245" i="64" s="1"/>
  <c r="P245" i="64" s="1"/>
  <c r="L246" i="64"/>
  <c r="O246" i="64" s="1"/>
  <c r="P246" i="64" s="1"/>
  <c r="L247" i="64"/>
  <c r="O247" i="64" s="1"/>
  <c r="P247" i="64" s="1"/>
  <c r="L248" i="64"/>
  <c r="O248" i="64" s="1"/>
  <c r="P248" i="64" s="1"/>
  <c r="L249" i="64"/>
  <c r="O249" i="64" s="1"/>
  <c r="P249" i="64" s="1"/>
  <c r="L250" i="64"/>
  <c r="O250" i="64" s="1"/>
  <c r="P250" i="64" s="1"/>
  <c r="L251" i="64"/>
  <c r="O251" i="64" s="1"/>
  <c r="P251" i="64" s="1"/>
  <c r="L252" i="64"/>
  <c r="O252" i="64" s="1"/>
  <c r="P252" i="64" s="1"/>
  <c r="L253" i="64"/>
  <c r="O253" i="64" s="1"/>
  <c r="P253" i="64" s="1"/>
  <c r="L254" i="64"/>
  <c r="O254" i="64" s="1"/>
  <c r="P254" i="64" s="1"/>
  <c r="L255" i="64"/>
  <c r="O255" i="64" s="1"/>
  <c r="P255" i="64" s="1"/>
  <c r="L256" i="64"/>
  <c r="O256" i="64" s="1"/>
  <c r="P256" i="64" s="1"/>
  <c r="L257" i="64"/>
  <c r="O257" i="64" s="1"/>
  <c r="P257" i="64" s="1"/>
  <c r="E13" i="68"/>
  <c r="F13" i="68" s="1"/>
  <c r="H13" i="68"/>
  <c r="E14" i="68"/>
  <c r="F14" i="68" s="1"/>
  <c r="H14" i="68"/>
  <c r="E15" i="68"/>
  <c r="F15" i="68" s="1"/>
  <c r="H15" i="68"/>
  <c r="E16" i="68"/>
  <c r="F16" i="68" s="1"/>
  <c r="H16" i="68"/>
  <c r="E17" i="68"/>
  <c r="F17" i="68" s="1"/>
  <c r="H17" i="68"/>
  <c r="E18" i="68"/>
  <c r="F18" i="68" s="1"/>
  <c r="H18" i="68"/>
  <c r="E19" i="68"/>
  <c r="F19" i="68" s="1"/>
  <c r="H19" i="68"/>
  <c r="E20" i="68"/>
  <c r="F20" i="68" s="1"/>
  <c r="H20" i="68"/>
  <c r="E21" i="68"/>
  <c r="F21" i="68" s="1"/>
  <c r="H21" i="68"/>
  <c r="E22" i="68"/>
  <c r="F22" i="68" s="1"/>
  <c r="H22" i="68"/>
  <c r="E23" i="68"/>
  <c r="F23" i="68" s="1"/>
  <c r="H23" i="68"/>
  <c r="E24" i="68"/>
  <c r="F24" i="68" s="1"/>
  <c r="H24" i="68"/>
  <c r="E25" i="68"/>
  <c r="F25" i="68" s="1"/>
  <c r="H25" i="68"/>
  <c r="E26" i="68"/>
  <c r="F26" i="68" s="1"/>
  <c r="H26" i="68"/>
  <c r="E27" i="68"/>
  <c r="F27" i="68" s="1"/>
  <c r="H27" i="68"/>
  <c r="E28" i="68"/>
  <c r="F28" i="68" s="1"/>
  <c r="H28" i="68"/>
  <c r="E29" i="68"/>
  <c r="F29" i="68" s="1"/>
  <c r="H29" i="68"/>
  <c r="E30" i="68"/>
  <c r="F30" i="68" s="1"/>
  <c r="H30" i="68"/>
  <c r="E31" i="68"/>
  <c r="F31" i="68" s="1"/>
  <c r="H31" i="68"/>
  <c r="E32" i="68"/>
  <c r="F32" i="68" s="1"/>
  <c r="H32" i="68"/>
  <c r="E33" i="68"/>
  <c r="F33" i="68" s="1"/>
  <c r="H33" i="68"/>
  <c r="E34" i="68"/>
  <c r="F34" i="68" s="1"/>
  <c r="H34" i="68"/>
  <c r="E35" i="68"/>
  <c r="F35" i="68" s="1"/>
  <c r="H35" i="68"/>
  <c r="E36" i="68"/>
  <c r="F36" i="68" s="1"/>
  <c r="H36" i="68"/>
  <c r="E37" i="68"/>
  <c r="F37" i="68" s="1"/>
  <c r="H37" i="68"/>
  <c r="E38" i="68"/>
  <c r="F38" i="68" s="1"/>
  <c r="H38" i="68"/>
  <c r="E39" i="68"/>
  <c r="F39" i="68" s="1"/>
  <c r="H39" i="68"/>
  <c r="E40" i="68"/>
  <c r="F40" i="68" s="1"/>
  <c r="H40" i="68"/>
  <c r="E41" i="68"/>
  <c r="F41" i="68" s="1"/>
  <c r="H41" i="68"/>
  <c r="E42" i="68"/>
  <c r="F42" i="68" s="1"/>
  <c r="H42" i="68"/>
  <c r="E43" i="68"/>
  <c r="F43" i="68" s="1"/>
  <c r="H43" i="68"/>
  <c r="E44" i="68"/>
  <c r="F44" i="68" s="1"/>
  <c r="H44" i="68"/>
  <c r="E45" i="68"/>
  <c r="F45" i="68" s="1"/>
  <c r="H45" i="68"/>
  <c r="E46" i="68"/>
  <c r="F46" i="68" s="1"/>
  <c r="H46" i="68"/>
  <c r="E47" i="68"/>
  <c r="F47" i="68" s="1"/>
  <c r="H47" i="68"/>
  <c r="E48" i="68"/>
  <c r="F48" i="68" s="1"/>
  <c r="H48" i="68"/>
  <c r="E49" i="68"/>
  <c r="F49" i="68" s="1"/>
  <c r="H49" i="68"/>
  <c r="E50" i="68"/>
  <c r="F50" i="68" s="1"/>
  <c r="H50" i="68"/>
  <c r="E51" i="68"/>
  <c r="F51" i="68" s="1"/>
  <c r="H51" i="68"/>
  <c r="E52" i="68"/>
  <c r="F52" i="68" s="1"/>
  <c r="H52" i="68"/>
  <c r="E53" i="68"/>
  <c r="F53" i="68" s="1"/>
  <c r="H53" i="68"/>
  <c r="E54" i="68"/>
  <c r="F54" i="68" s="1"/>
  <c r="H54" i="68"/>
  <c r="E55" i="68"/>
  <c r="F55" i="68" s="1"/>
  <c r="H55" i="68"/>
  <c r="E56" i="68"/>
  <c r="F56" i="68" s="1"/>
  <c r="H56" i="68"/>
  <c r="E57" i="68"/>
  <c r="F57" i="68" s="1"/>
  <c r="H57" i="68"/>
  <c r="E58" i="68"/>
  <c r="F58" i="68" s="1"/>
  <c r="H58" i="68"/>
  <c r="E59" i="68"/>
  <c r="F59" i="68" s="1"/>
  <c r="H59" i="68"/>
  <c r="E60" i="68"/>
  <c r="F60" i="68" s="1"/>
  <c r="H60" i="68"/>
  <c r="E61" i="68"/>
  <c r="F61" i="68" s="1"/>
  <c r="H61" i="68"/>
  <c r="E62" i="68"/>
  <c r="F62" i="68" s="1"/>
  <c r="H62" i="68"/>
  <c r="E63" i="68"/>
  <c r="F63" i="68" s="1"/>
  <c r="H63" i="68"/>
  <c r="E64" i="68"/>
  <c r="F64" i="68" s="1"/>
  <c r="H64" i="68"/>
  <c r="E65" i="68"/>
  <c r="F65" i="68" s="1"/>
  <c r="H65" i="68"/>
  <c r="E66" i="68"/>
  <c r="F66" i="68" s="1"/>
  <c r="H66" i="68"/>
  <c r="E67" i="68"/>
  <c r="F67" i="68" s="1"/>
  <c r="H67" i="68"/>
  <c r="E68" i="68"/>
  <c r="F68" i="68" s="1"/>
  <c r="H68" i="68"/>
  <c r="E69" i="68"/>
  <c r="F69" i="68" s="1"/>
  <c r="H69" i="68"/>
  <c r="E70" i="68"/>
  <c r="F70" i="68" s="1"/>
  <c r="H70" i="68"/>
  <c r="E71" i="68"/>
  <c r="F71" i="68" s="1"/>
  <c r="H71" i="68"/>
  <c r="E72" i="68"/>
  <c r="F72" i="68" s="1"/>
  <c r="H72" i="68"/>
  <c r="E73" i="68"/>
  <c r="F73" i="68" s="1"/>
  <c r="H73" i="68"/>
  <c r="E74" i="68"/>
  <c r="F74" i="68" s="1"/>
  <c r="H74" i="68"/>
  <c r="E75" i="68"/>
  <c r="F75" i="68" s="1"/>
  <c r="H75" i="68"/>
  <c r="E76" i="68"/>
  <c r="F76" i="68" s="1"/>
  <c r="H76" i="68"/>
  <c r="E77" i="68"/>
  <c r="F77" i="68" s="1"/>
  <c r="H77" i="68"/>
  <c r="E78" i="68"/>
  <c r="F78" i="68" s="1"/>
  <c r="H78" i="68"/>
  <c r="E79" i="68"/>
  <c r="F79" i="68" s="1"/>
  <c r="H79" i="68"/>
  <c r="E80" i="68"/>
  <c r="F80" i="68" s="1"/>
  <c r="H80" i="68"/>
  <c r="E81" i="68"/>
  <c r="F81" i="68" s="1"/>
  <c r="H81" i="68"/>
  <c r="E82" i="68"/>
  <c r="F82" i="68" s="1"/>
  <c r="H82" i="68"/>
  <c r="E83" i="68"/>
  <c r="F83" i="68" s="1"/>
  <c r="H83" i="68"/>
  <c r="E84" i="68"/>
  <c r="F84" i="68" s="1"/>
  <c r="H84" i="68"/>
  <c r="E85" i="68"/>
  <c r="F85" i="68" s="1"/>
  <c r="H85" i="68"/>
  <c r="E86" i="68"/>
  <c r="F86" i="68" s="1"/>
  <c r="H86" i="68"/>
  <c r="E87" i="68"/>
  <c r="F87" i="68" s="1"/>
  <c r="H87" i="68"/>
  <c r="E88" i="68"/>
  <c r="F88" i="68" s="1"/>
  <c r="H88" i="68"/>
  <c r="E89" i="68"/>
  <c r="F89" i="68" s="1"/>
  <c r="H89" i="68"/>
  <c r="E90" i="68"/>
  <c r="F90" i="68" s="1"/>
  <c r="H90" i="68"/>
  <c r="E91" i="68"/>
  <c r="F91" i="68" s="1"/>
  <c r="H91" i="68"/>
  <c r="E92" i="68"/>
  <c r="F92" i="68" s="1"/>
  <c r="H92" i="68"/>
  <c r="E93" i="68"/>
  <c r="F93" i="68" s="1"/>
  <c r="H93" i="68"/>
  <c r="E94" i="68"/>
  <c r="F94" i="68" s="1"/>
  <c r="H94" i="68"/>
  <c r="E95" i="68"/>
  <c r="F95" i="68" s="1"/>
  <c r="H95" i="68"/>
  <c r="E96" i="68"/>
  <c r="F96" i="68" s="1"/>
  <c r="H96" i="68"/>
  <c r="E97" i="68"/>
  <c r="F97" i="68" s="1"/>
  <c r="H97" i="68"/>
  <c r="E98" i="68"/>
  <c r="F98" i="68" s="1"/>
  <c r="H98" i="68"/>
  <c r="E99" i="68"/>
  <c r="F99" i="68" s="1"/>
  <c r="H99" i="68"/>
  <c r="E100" i="68"/>
  <c r="F100" i="68" s="1"/>
  <c r="H100" i="68"/>
  <c r="E101" i="68"/>
  <c r="F101" i="68" s="1"/>
  <c r="H101" i="68"/>
  <c r="E102" i="68"/>
  <c r="F102" i="68" s="1"/>
  <c r="H102" i="68"/>
  <c r="E103" i="68"/>
  <c r="F103" i="68" s="1"/>
  <c r="H103" i="68"/>
  <c r="E104" i="68"/>
  <c r="F104" i="68" s="1"/>
  <c r="H104" i="68"/>
  <c r="E105" i="68"/>
  <c r="F105" i="68" s="1"/>
  <c r="H105" i="68"/>
  <c r="E106" i="68"/>
  <c r="F106" i="68" s="1"/>
  <c r="H106" i="68"/>
  <c r="E107" i="68"/>
  <c r="F107" i="68" s="1"/>
  <c r="H107" i="68"/>
  <c r="E108" i="68"/>
  <c r="F108" i="68" s="1"/>
  <c r="H108" i="68"/>
  <c r="E109" i="68"/>
  <c r="F109" i="68" s="1"/>
  <c r="H109" i="68"/>
  <c r="E110" i="68"/>
  <c r="F110" i="68" s="1"/>
  <c r="H110" i="68"/>
  <c r="E111" i="68"/>
  <c r="F111" i="68" s="1"/>
  <c r="H111" i="68"/>
  <c r="E112" i="68"/>
  <c r="F112" i="68" s="1"/>
  <c r="H112" i="68"/>
  <c r="E113" i="68"/>
  <c r="F113" i="68" s="1"/>
  <c r="H113" i="68"/>
  <c r="E114" i="68"/>
  <c r="F114" i="68" s="1"/>
  <c r="H114" i="68"/>
  <c r="E115" i="68"/>
  <c r="F115" i="68" s="1"/>
  <c r="H115" i="68"/>
  <c r="E116" i="68"/>
  <c r="F116" i="68" s="1"/>
  <c r="H116" i="68"/>
  <c r="E117" i="68"/>
  <c r="F117" i="68" s="1"/>
  <c r="H117" i="68"/>
  <c r="E118" i="68"/>
  <c r="F118" i="68" s="1"/>
  <c r="H118" i="68"/>
  <c r="E119" i="68"/>
  <c r="F119" i="68" s="1"/>
  <c r="H119" i="68"/>
  <c r="E120" i="68"/>
  <c r="F120" i="68" s="1"/>
  <c r="H120" i="68"/>
  <c r="E121" i="68"/>
  <c r="F121" i="68" s="1"/>
  <c r="H121" i="68"/>
  <c r="E122" i="68"/>
  <c r="F122" i="68" s="1"/>
  <c r="H122" i="68"/>
  <c r="E123" i="68"/>
  <c r="F123" i="68" s="1"/>
  <c r="H123" i="68"/>
  <c r="E124" i="68"/>
  <c r="F124" i="68" s="1"/>
  <c r="H124" i="68"/>
  <c r="E125" i="68"/>
  <c r="F125" i="68" s="1"/>
  <c r="H125" i="68"/>
  <c r="E126" i="68"/>
  <c r="F126" i="68" s="1"/>
  <c r="H126" i="68"/>
  <c r="E127" i="68"/>
  <c r="F127" i="68" s="1"/>
  <c r="H127" i="68"/>
  <c r="E128" i="68"/>
  <c r="F128" i="68" s="1"/>
  <c r="H128" i="68"/>
  <c r="E129" i="68"/>
  <c r="F129" i="68" s="1"/>
  <c r="H129" i="68"/>
  <c r="E130" i="68"/>
  <c r="F130" i="68" s="1"/>
  <c r="H130" i="68"/>
  <c r="E131" i="68"/>
  <c r="F131" i="68" s="1"/>
  <c r="H131" i="68"/>
  <c r="E132" i="68"/>
  <c r="F132" i="68" s="1"/>
  <c r="H132" i="68"/>
  <c r="E133" i="68"/>
  <c r="F133" i="68" s="1"/>
  <c r="H133" i="68"/>
  <c r="E134" i="68"/>
  <c r="F134" i="68" s="1"/>
  <c r="H134" i="68"/>
  <c r="E135" i="68"/>
  <c r="F135" i="68" s="1"/>
  <c r="H135" i="68"/>
  <c r="E136" i="68"/>
  <c r="F136" i="68" s="1"/>
  <c r="H136" i="68"/>
  <c r="E137" i="68"/>
  <c r="F137" i="68" s="1"/>
  <c r="H137" i="68"/>
  <c r="E138" i="68"/>
  <c r="F138" i="68" s="1"/>
  <c r="H138" i="68"/>
  <c r="E139" i="68"/>
  <c r="F139" i="68" s="1"/>
  <c r="H139" i="68"/>
  <c r="E140" i="68"/>
  <c r="F140" i="68" s="1"/>
  <c r="H140" i="68"/>
  <c r="E141" i="68"/>
  <c r="F141" i="68" s="1"/>
  <c r="H141" i="68"/>
  <c r="E142" i="68"/>
  <c r="F142" i="68" s="1"/>
  <c r="H142" i="68"/>
  <c r="E143" i="68"/>
  <c r="F143" i="68" s="1"/>
  <c r="H143" i="68"/>
  <c r="E144" i="68"/>
  <c r="F144" i="68" s="1"/>
  <c r="H144" i="68"/>
  <c r="E145" i="68"/>
  <c r="F145" i="68" s="1"/>
  <c r="H145" i="68"/>
  <c r="E146" i="68"/>
  <c r="F146" i="68" s="1"/>
  <c r="H146" i="68"/>
  <c r="E147" i="68"/>
  <c r="F147" i="68" s="1"/>
  <c r="H147" i="68"/>
  <c r="E148" i="68"/>
  <c r="F148" i="68" s="1"/>
  <c r="H148" i="68"/>
  <c r="E149" i="68"/>
  <c r="F149" i="68" s="1"/>
  <c r="H149" i="68"/>
  <c r="E150" i="68"/>
  <c r="F150" i="68" s="1"/>
  <c r="H150" i="68"/>
  <c r="E151" i="68"/>
  <c r="F151" i="68" s="1"/>
  <c r="H151" i="68"/>
  <c r="E152" i="68"/>
  <c r="F152" i="68" s="1"/>
  <c r="H152" i="68"/>
  <c r="E153" i="68"/>
  <c r="F153" i="68" s="1"/>
  <c r="H153" i="68"/>
  <c r="E154" i="68"/>
  <c r="F154" i="68" s="1"/>
  <c r="H154" i="68"/>
  <c r="E155" i="68"/>
  <c r="F155" i="68" s="1"/>
  <c r="H155" i="68"/>
  <c r="E156" i="68"/>
  <c r="F156" i="68" s="1"/>
  <c r="H156" i="68"/>
  <c r="E157" i="68"/>
  <c r="F157" i="68" s="1"/>
  <c r="H157" i="68"/>
  <c r="E158" i="68"/>
  <c r="F158" i="68" s="1"/>
  <c r="H158" i="68"/>
  <c r="E159" i="68"/>
  <c r="F159" i="68" s="1"/>
  <c r="H159" i="68"/>
  <c r="E160" i="68"/>
  <c r="F160" i="68" s="1"/>
  <c r="H160" i="68"/>
  <c r="E161" i="68"/>
  <c r="F161" i="68" s="1"/>
  <c r="H161" i="68"/>
  <c r="E162" i="68"/>
  <c r="F162" i="68" s="1"/>
  <c r="H162" i="68"/>
  <c r="E163" i="68"/>
  <c r="F163" i="68" s="1"/>
  <c r="H163" i="68"/>
  <c r="E164" i="68"/>
  <c r="F164" i="68" s="1"/>
  <c r="H164" i="68"/>
  <c r="E165" i="68"/>
  <c r="F165" i="68" s="1"/>
  <c r="H165" i="68"/>
  <c r="E166" i="68"/>
  <c r="F166" i="68" s="1"/>
  <c r="H166" i="68"/>
  <c r="E167" i="68"/>
  <c r="F167" i="68" s="1"/>
  <c r="H167" i="68"/>
  <c r="E168" i="68"/>
  <c r="F168" i="68" s="1"/>
  <c r="H168" i="68"/>
  <c r="E169" i="68"/>
  <c r="F169" i="68" s="1"/>
  <c r="H169" i="68"/>
  <c r="E170" i="68"/>
  <c r="F170" i="68" s="1"/>
  <c r="H170" i="68"/>
  <c r="E171" i="68"/>
  <c r="F171" i="68" s="1"/>
  <c r="H171" i="68"/>
  <c r="E172" i="68"/>
  <c r="F172" i="68" s="1"/>
  <c r="H172" i="68"/>
  <c r="E173" i="68"/>
  <c r="F173" i="68" s="1"/>
  <c r="H173" i="68"/>
  <c r="E174" i="68"/>
  <c r="F174" i="68" s="1"/>
  <c r="H174" i="68"/>
  <c r="E175" i="68"/>
  <c r="F175" i="68" s="1"/>
  <c r="H175" i="68"/>
  <c r="E176" i="68"/>
  <c r="F176" i="68" s="1"/>
  <c r="H176" i="68"/>
  <c r="E177" i="68"/>
  <c r="F177" i="68" s="1"/>
  <c r="H177" i="68"/>
  <c r="E178" i="68"/>
  <c r="F178" i="68" s="1"/>
  <c r="H178" i="68"/>
  <c r="E179" i="68"/>
  <c r="F179" i="68" s="1"/>
  <c r="H179" i="68"/>
  <c r="E180" i="68"/>
  <c r="F180" i="68" s="1"/>
  <c r="H180" i="68"/>
  <c r="E181" i="68"/>
  <c r="F181" i="68" s="1"/>
  <c r="H181" i="68"/>
  <c r="E182" i="68"/>
  <c r="F182" i="68" s="1"/>
  <c r="H182" i="68"/>
  <c r="E183" i="68"/>
  <c r="F183" i="68" s="1"/>
  <c r="H183" i="68"/>
  <c r="E184" i="68"/>
  <c r="F184" i="68" s="1"/>
  <c r="H184" i="68"/>
  <c r="E185" i="68"/>
  <c r="F185" i="68" s="1"/>
  <c r="H185" i="68"/>
  <c r="E186" i="68"/>
  <c r="F186" i="68" s="1"/>
  <c r="H186" i="68"/>
  <c r="E187" i="68"/>
  <c r="F187" i="68" s="1"/>
  <c r="H187" i="68"/>
  <c r="E188" i="68"/>
  <c r="F188" i="68" s="1"/>
  <c r="H188" i="68"/>
  <c r="E189" i="68"/>
  <c r="F189" i="68" s="1"/>
  <c r="H189" i="68"/>
  <c r="E190" i="68"/>
  <c r="F190" i="68" s="1"/>
  <c r="H190" i="68"/>
  <c r="E191" i="68"/>
  <c r="F191" i="68" s="1"/>
  <c r="H191" i="68"/>
  <c r="E192" i="68"/>
  <c r="F192" i="68" s="1"/>
  <c r="H192" i="68"/>
  <c r="E193" i="68"/>
  <c r="F193" i="68" s="1"/>
  <c r="H193" i="68"/>
  <c r="E194" i="68"/>
  <c r="F194" i="68" s="1"/>
  <c r="H194" i="68"/>
  <c r="E195" i="68"/>
  <c r="F195" i="68" s="1"/>
  <c r="H195" i="68"/>
  <c r="E196" i="68"/>
  <c r="F196" i="68" s="1"/>
  <c r="H196" i="68"/>
  <c r="E197" i="68"/>
  <c r="F197" i="68" s="1"/>
  <c r="H197" i="68"/>
  <c r="E198" i="68"/>
  <c r="F198" i="68" s="1"/>
  <c r="H198" i="68"/>
  <c r="E199" i="68"/>
  <c r="F199" i="68" s="1"/>
  <c r="H199" i="68"/>
  <c r="E200" i="68"/>
  <c r="F200" i="68" s="1"/>
  <c r="H200" i="68"/>
  <c r="E201" i="68"/>
  <c r="F201" i="68" s="1"/>
  <c r="H201" i="68"/>
  <c r="E202" i="68"/>
  <c r="F202" i="68" s="1"/>
  <c r="H202" i="68"/>
  <c r="E203" i="68"/>
  <c r="F203" i="68" s="1"/>
  <c r="H203" i="68"/>
  <c r="E204" i="68"/>
  <c r="F204" i="68" s="1"/>
  <c r="H204" i="68"/>
  <c r="E205" i="68"/>
  <c r="F205" i="68" s="1"/>
  <c r="H205" i="68"/>
  <c r="E206" i="68"/>
  <c r="F206" i="68" s="1"/>
  <c r="H206" i="68"/>
  <c r="E207" i="68"/>
  <c r="F207" i="68" s="1"/>
  <c r="H207" i="68"/>
  <c r="E208" i="68"/>
  <c r="F208" i="68" s="1"/>
  <c r="H208" i="68"/>
  <c r="E209" i="68"/>
  <c r="F209" i="68" s="1"/>
  <c r="H209" i="68"/>
  <c r="E210" i="68"/>
  <c r="F210" i="68" s="1"/>
  <c r="H210" i="68"/>
  <c r="E211" i="68"/>
  <c r="F211" i="68" s="1"/>
  <c r="H211" i="68"/>
  <c r="E212" i="68"/>
  <c r="F212" i="68" s="1"/>
  <c r="H212" i="68"/>
  <c r="E213" i="68"/>
  <c r="F213" i="68" s="1"/>
  <c r="H213" i="68"/>
  <c r="E214" i="68"/>
  <c r="F214" i="68" s="1"/>
  <c r="H214" i="68"/>
  <c r="E215" i="68"/>
  <c r="F215" i="68" s="1"/>
  <c r="H215" i="68"/>
  <c r="E216" i="68"/>
  <c r="F216" i="68" s="1"/>
  <c r="H216" i="68"/>
  <c r="E217" i="68"/>
  <c r="F217" i="68" s="1"/>
  <c r="H217" i="68"/>
  <c r="E218" i="68"/>
  <c r="F218" i="68" s="1"/>
  <c r="H218" i="68"/>
  <c r="E219" i="68"/>
  <c r="F219" i="68" s="1"/>
  <c r="H219" i="68"/>
  <c r="E220" i="68"/>
  <c r="F220" i="68" s="1"/>
  <c r="H220" i="68"/>
  <c r="E221" i="68"/>
  <c r="F221" i="68" s="1"/>
  <c r="H221" i="68"/>
  <c r="E222" i="68"/>
  <c r="F222" i="68" s="1"/>
  <c r="H222" i="68"/>
  <c r="E223" i="68"/>
  <c r="F223" i="68" s="1"/>
  <c r="H223" i="68"/>
  <c r="E224" i="68"/>
  <c r="F224" i="68" s="1"/>
  <c r="H224" i="68"/>
  <c r="E225" i="68"/>
  <c r="F225" i="68" s="1"/>
  <c r="H225" i="68"/>
  <c r="E226" i="68"/>
  <c r="F226" i="68" s="1"/>
  <c r="H226" i="68"/>
  <c r="E227" i="68"/>
  <c r="F227" i="68" s="1"/>
  <c r="H227" i="68"/>
  <c r="E228" i="68"/>
  <c r="F228" i="68" s="1"/>
  <c r="H228" i="68"/>
  <c r="E229" i="68"/>
  <c r="F229" i="68" s="1"/>
  <c r="H229" i="68"/>
  <c r="E230" i="68"/>
  <c r="F230" i="68" s="1"/>
  <c r="H230" i="68"/>
  <c r="E231" i="68"/>
  <c r="F231" i="68" s="1"/>
  <c r="H231" i="68"/>
  <c r="E232" i="68"/>
  <c r="F232" i="68" s="1"/>
  <c r="H232" i="68"/>
  <c r="E233" i="68"/>
  <c r="F233" i="68" s="1"/>
  <c r="H233" i="68"/>
  <c r="E234" i="68"/>
  <c r="F234" i="68" s="1"/>
  <c r="H234" i="68"/>
  <c r="E235" i="68"/>
  <c r="F235" i="68" s="1"/>
  <c r="H235" i="68"/>
  <c r="E236" i="68"/>
  <c r="F236" i="68" s="1"/>
  <c r="H236" i="68"/>
  <c r="E237" i="68"/>
  <c r="F237" i="68" s="1"/>
  <c r="H237" i="68"/>
  <c r="E238" i="68"/>
  <c r="F238" i="68" s="1"/>
  <c r="H238" i="68"/>
  <c r="E239" i="68"/>
  <c r="F239" i="68" s="1"/>
  <c r="H239" i="68"/>
  <c r="E240" i="68"/>
  <c r="F240" i="68" s="1"/>
  <c r="H240" i="68"/>
  <c r="E241" i="68"/>
  <c r="F241" i="68" s="1"/>
  <c r="H241" i="68"/>
  <c r="E242" i="68"/>
  <c r="F242" i="68" s="1"/>
  <c r="H242" i="68"/>
  <c r="E243" i="68"/>
  <c r="F243" i="68" s="1"/>
  <c r="H243" i="68"/>
  <c r="E244" i="68"/>
  <c r="F244" i="68" s="1"/>
  <c r="H244" i="68"/>
  <c r="E245" i="68"/>
  <c r="F245" i="68" s="1"/>
  <c r="H245" i="68"/>
  <c r="E246" i="68"/>
  <c r="F246" i="68" s="1"/>
  <c r="H246" i="68"/>
  <c r="E247" i="68"/>
  <c r="F247" i="68" s="1"/>
  <c r="H247" i="68"/>
  <c r="E248" i="68"/>
  <c r="F248" i="68" s="1"/>
  <c r="H248" i="68"/>
  <c r="E249" i="68"/>
  <c r="F249" i="68" s="1"/>
  <c r="H249" i="68"/>
  <c r="E250" i="68"/>
  <c r="F250" i="68" s="1"/>
  <c r="H250" i="68"/>
  <c r="E251" i="68"/>
  <c r="F251" i="68" s="1"/>
  <c r="H251" i="68"/>
  <c r="E252" i="68"/>
  <c r="F252" i="68" s="1"/>
  <c r="H252" i="68"/>
  <c r="E253" i="68"/>
  <c r="F253" i="68" s="1"/>
  <c r="H253" i="68"/>
  <c r="E254" i="68"/>
  <c r="F254" i="68" s="1"/>
  <c r="H254" i="68"/>
  <c r="E255" i="68"/>
  <c r="F255" i="68" s="1"/>
  <c r="H255" i="68"/>
  <c r="E256" i="68"/>
  <c r="F256" i="68" s="1"/>
  <c r="H256" i="68"/>
  <c r="E257" i="68"/>
  <c r="F257" i="68" s="1"/>
  <c r="H257" i="68"/>
  <c r="E258" i="68"/>
  <c r="F258" i="68" s="1"/>
  <c r="H258" i="68"/>
  <c r="E259" i="68"/>
  <c r="F259" i="68" s="1"/>
  <c r="H259" i="68"/>
  <c r="L12" i="68"/>
  <c r="O12" i="68" s="1"/>
  <c r="P12" i="68" s="1"/>
  <c r="H12" i="68"/>
  <c r="E12" i="68"/>
  <c r="F12" i="68" s="1"/>
  <c r="Q11" i="67"/>
  <c r="Q12" i="67"/>
  <c r="Q13" i="67"/>
  <c r="Q14" i="67"/>
  <c r="Q15" i="67"/>
  <c r="Q16" i="67"/>
  <c r="Q17" i="67"/>
  <c r="Q18" i="67"/>
  <c r="Q19" i="67"/>
  <c r="Q20" i="67"/>
  <c r="Q21" i="67"/>
  <c r="Q22" i="67"/>
  <c r="Q23" i="67"/>
  <c r="Q24" i="67"/>
  <c r="Q25" i="67"/>
  <c r="Q26" i="67"/>
  <c r="Q27" i="67"/>
  <c r="Q28" i="67"/>
  <c r="Q29" i="67"/>
  <c r="Q30" i="67"/>
  <c r="Q31" i="67"/>
  <c r="Q32" i="67"/>
  <c r="Q33" i="67"/>
  <c r="Q34" i="67"/>
  <c r="Q35" i="67"/>
  <c r="Q36" i="67"/>
  <c r="Q37" i="67"/>
  <c r="Q38" i="67"/>
  <c r="Q39" i="67"/>
  <c r="Q40" i="67"/>
  <c r="Q41" i="67"/>
  <c r="Q42" i="67"/>
  <c r="Q43" i="67"/>
  <c r="Q44" i="67"/>
  <c r="Q45" i="67"/>
  <c r="Q46" i="67"/>
  <c r="Q47" i="67"/>
  <c r="Q48" i="67"/>
  <c r="Q49" i="67"/>
  <c r="Q50" i="67"/>
  <c r="Q51" i="67"/>
  <c r="Q52" i="67"/>
  <c r="Q53" i="67"/>
  <c r="Q54" i="67"/>
  <c r="Q55" i="67"/>
  <c r="Q56" i="67"/>
  <c r="Q57" i="67"/>
  <c r="Q58" i="67"/>
  <c r="Q59" i="67"/>
  <c r="Q60" i="67"/>
  <c r="Q61" i="67"/>
  <c r="Q62" i="67"/>
  <c r="Q63" i="67"/>
  <c r="Q64" i="67"/>
  <c r="Q65" i="67"/>
  <c r="Q66" i="67"/>
  <c r="Q67" i="67"/>
  <c r="Q68" i="67"/>
  <c r="Q69" i="67"/>
  <c r="Q70" i="67"/>
  <c r="Q71" i="67"/>
  <c r="Q72" i="67"/>
  <c r="Q73" i="67"/>
  <c r="Q74" i="67"/>
  <c r="Q75" i="67"/>
  <c r="Q76" i="67"/>
  <c r="Q77" i="67"/>
  <c r="Q78" i="67"/>
  <c r="Q79" i="67"/>
  <c r="Q80" i="67"/>
  <c r="Q81" i="67"/>
  <c r="Q82" i="67"/>
  <c r="Q83" i="67"/>
  <c r="Q84" i="67"/>
  <c r="Q85" i="67"/>
  <c r="Q86" i="67"/>
  <c r="Q87" i="67"/>
  <c r="Q88" i="67"/>
  <c r="Q89" i="67"/>
  <c r="Q90" i="67"/>
  <c r="Q91" i="67"/>
  <c r="Q92" i="67"/>
  <c r="Q93" i="67"/>
  <c r="Q94" i="67"/>
  <c r="Q95" i="67"/>
  <c r="Q96" i="67"/>
  <c r="Q97" i="67"/>
  <c r="Q98" i="67"/>
  <c r="Q99" i="67"/>
  <c r="Q100" i="67"/>
  <c r="Q101" i="67"/>
  <c r="Q102" i="67"/>
  <c r="Q103" i="67"/>
  <c r="Q104" i="67"/>
  <c r="Q105" i="67"/>
  <c r="Q106" i="67"/>
  <c r="Q107" i="67"/>
  <c r="Q108" i="67"/>
  <c r="Q109" i="67"/>
  <c r="Q110" i="67"/>
  <c r="Q111" i="67"/>
  <c r="Q112" i="67"/>
  <c r="Q113" i="67"/>
  <c r="Q114" i="67"/>
  <c r="Q115" i="67"/>
  <c r="Q116" i="67"/>
  <c r="Q117" i="67"/>
  <c r="Q118" i="67"/>
  <c r="Q119" i="67"/>
  <c r="Q120" i="67"/>
  <c r="Q121" i="67"/>
  <c r="Q122" i="67"/>
  <c r="Q123" i="67"/>
  <c r="Q124" i="67"/>
  <c r="Q125" i="67"/>
  <c r="Q126" i="67"/>
  <c r="Q127" i="67"/>
  <c r="Q128" i="67"/>
  <c r="Q129" i="67"/>
  <c r="Q130" i="67"/>
  <c r="Q131" i="67"/>
  <c r="Q132" i="67"/>
  <c r="Q133" i="67"/>
  <c r="Q134" i="67"/>
  <c r="Q135" i="67"/>
  <c r="Q136" i="67"/>
  <c r="Q137" i="67"/>
  <c r="Q138" i="67"/>
  <c r="Q139" i="67"/>
  <c r="Q140" i="67"/>
  <c r="Q141" i="67"/>
  <c r="Q142" i="67"/>
  <c r="Q143" i="67"/>
  <c r="Q144" i="67"/>
  <c r="Q145" i="67"/>
  <c r="Q146" i="67"/>
  <c r="Q147" i="67"/>
  <c r="Q148" i="67"/>
  <c r="Q149" i="67"/>
  <c r="Q150" i="67"/>
  <c r="Q151" i="67"/>
  <c r="Q152" i="67"/>
  <c r="Q153" i="67"/>
  <c r="Q154" i="67"/>
  <c r="Q155" i="67"/>
  <c r="Q156" i="67"/>
  <c r="Q157" i="67"/>
  <c r="Q158" i="67"/>
  <c r="Q159" i="67"/>
  <c r="Q160" i="67"/>
  <c r="Q161" i="67"/>
  <c r="Q162" i="67"/>
  <c r="Q163" i="67"/>
  <c r="Q164" i="67"/>
  <c r="Q165" i="67"/>
  <c r="Q166" i="67"/>
  <c r="Q167" i="67"/>
  <c r="Q168" i="67"/>
  <c r="Q169" i="67"/>
  <c r="Q170" i="67"/>
  <c r="Q171" i="67"/>
  <c r="Q172" i="67"/>
  <c r="Q173" i="67"/>
  <c r="Q174" i="67"/>
  <c r="Q175" i="67"/>
  <c r="Q176" i="67"/>
  <c r="Q177" i="67"/>
  <c r="Q178" i="67"/>
  <c r="Q179" i="67"/>
  <c r="Q180" i="67"/>
  <c r="Q181" i="67"/>
  <c r="Q182" i="67"/>
  <c r="Q183" i="67"/>
  <c r="Q184" i="67"/>
  <c r="Q185" i="67"/>
  <c r="Q186" i="67"/>
  <c r="Q187" i="67"/>
  <c r="Q188" i="67"/>
  <c r="Q189" i="67"/>
  <c r="Q190" i="67"/>
  <c r="Q191" i="67"/>
  <c r="Q192" i="67"/>
  <c r="Q193" i="67"/>
  <c r="Q194" i="67"/>
  <c r="Q195" i="67"/>
  <c r="Q196" i="67"/>
  <c r="Q197" i="67"/>
  <c r="Q198" i="67"/>
  <c r="Q199" i="67"/>
  <c r="Q200" i="67"/>
  <c r="Q201" i="67"/>
  <c r="Q202" i="67"/>
  <c r="Q203" i="67"/>
  <c r="Q204" i="67"/>
  <c r="Q205" i="67"/>
  <c r="Q206" i="67"/>
  <c r="Q207" i="67"/>
  <c r="Q208" i="67"/>
  <c r="Q209" i="67"/>
  <c r="Q210" i="67"/>
  <c r="Q211" i="67"/>
  <c r="Q212" i="67"/>
  <c r="Q213" i="67"/>
  <c r="Q214" i="67"/>
  <c r="Q215" i="67"/>
  <c r="Q216" i="67"/>
  <c r="Q217" i="67"/>
  <c r="Q218" i="67"/>
  <c r="Q219" i="67"/>
  <c r="Q220" i="67"/>
  <c r="Q221" i="67"/>
  <c r="Q222" i="67"/>
  <c r="Q223" i="67"/>
  <c r="Q224" i="67"/>
  <c r="Q225" i="67"/>
  <c r="Q226" i="67"/>
  <c r="Q227" i="67"/>
  <c r="Q228" i="67"/>
  <c r="Q229" i="67"/>
  <c r="Q230" i="67"/>
  <c r="Q231" i="67"/>
  <c r="Q232" i="67"/>
  <c r="Q233" i="67"/>
  <c r="Q234" i="67"/>
  <c r="Q235" i="67"/>
  <c r="Q236" i="67"/>
  <c r="Q237" i="67"/>
  <c r="Q238" i="67"/>
  <c r="Q239" i="67"/>
  <c r="Q240" i="67"/>
  <c r="Q241" i="67"/>
  <c r="Q242" i="67"/>
  <c r="Q243" i="67"/>
  <c r="Q244" i="67"/>
  <c r="Q245" i="67"/>
  <c r="Q246" i="67"/>
  <c r="Q247" i="67"/>
  <c r="Q248" i="67"/>
  <c r="Q249" i="67"/>
  <c r="Q250" i="67"/>
  <c r="Q251" i="67"/>
  <c r="Q252" i="67"/>
  <c r="Q253" i="67"/>
  <c r="Q254" i="67"/>
  <c r="Q255" i="67"/>
  <c r="Q256" i="67"/>
  <c r="Q10" i="67"/>
  <c r="AH10" i="67" s="1"/>
  <c r="AI10" i="67" s="1"/>
  <c r="F11" i="67"/>
  <c r="G11" i="67" s="1"/>
  <c r="AZ11" i="67" s="1"/>
  <c r="F12" i="67"/>
  <c r="G12" i="67" s="1"/>
  <c r="AZ12" i="67" s="1"/>
  <c r="F13" i="67"/>
  <c r="G13" i="67" s="1"/>
  <c r="AZ13" i="67" s="1"/>
  <c r="F14" i="67"/>
  <c r="G14" i="67" s="1"/>
  <c r="AZ14" i="67" s="1"/>
  <c r="F15" i="67"/>
  <c r="G15" i="67" s="1"/>
  <c r="AZ15" i="67" s="1"/>
  <c r="F16" i="67"/>
  <c r="G16" i="67" s="1"/>
  <c r="AZ16" i="67" s="1"/>
  <c r="F17" i="67"/>
  <c r="G17" i="67" s="1"/>
  <c r="AZ17" i="67" s="1"/>
  <c r="F18" i="67"/>
  <c r="G18" i="67" s="1"/>
  <c r="AZ18" i="67" s="1"/>
  <c r="F19" i="67"/>
  <c r="G19" i="67" s="1"/>
  <c r="AZ19" i="67" s="1"/>
  <c r="F20" i="67"/>
  <c r="G20" i="67" s="1"/>
  <c r="F21" i="67"/>
  <c r="G21" i="67" s="1"/>
  <c r="F22" i="67"/>
  <c r="G22" i="67" s="1"/>
  <c r="F23" i="67"/>
  <c r="G23" i="67" s="1"/>
  <c r="F24" i="67"/>
  <c r="G24" i="67" s="1"/>
  <c r="F25" i="67"/>
  <c r="G25" i="67" s="1"/>
  <c r="F26" i="67"/>
  <c r="G26" i="67" s="1"/>
  <c r="F27" i="67"/>
  <c r="G27" i="67" s="1"/>
  <c r="F28" i="67"/>
  <c r="G28" i="67" s="1"/>
  <c r="F29" i="67"/>
  <c r="G29" i="67" s="1"/>
  <c r="F30" i="67"/>
  <c r="G30" i="67" s="1"/>
  <c r="F31" i="67"/>
  <c r="G31" i="67" s="1"/>
  <c r="F32" i="67"/>
  <c r="G32" i="67" s="1"/>
  <c r="F33" i="67"/>
  <c r="G33" i="67" s="1"/>
  <c r="F34" i="67"/>
  <c r="G34" i="67" s="1"/>
  <c r="F35" i="67"/>
  <c r="G35" i="67" s="1"/>
  <c r="F36" i="67"/>
  <c r="G36" i="67" s="1"/>
  <c r="F37" i="67"/>
  <c r="G37" i="67" s="1"/>
  <c r="F38" i="67"/>
  <c r="G38" i="67" s="1"/>
  <c r="F39" i="67"/>
  <c r="G39" i="67" s="1"/>
  <c r="F40" i="67"/>
  <c r="G40" i="67" s="1"/>
  <c r="F41" i="67"/>
  <c r="G41" i="67" s="1"/>
  <c r="F42" i="67"/>
  <c r="G42" i="67" s="1"/>
  <c r="F43" i="67"/>
  <c r="G43" i="67" s="1"/>
  <c r="F44" i="67"/>
  <c r="G44" i="67" s="1"/>
  <c r="F45" i="67"/>
  <c r="G45" i="67" s="1"/>
  <c r="F46" i="67"/>
  <c r="G46" i="67" s="1"/>
  <c r="F47" i="67"/>
  <c r="G47" i="67" s="1"/>
  <c r="F48" i="67"/>
  <c r="G48" i="67" s="1"/>
  <c r="F49" i="67"/>
  <c r="G49" i="67" s="1"/>
  <c r="F50" i="67"/>
  <c r="G50" i="67" s="1"/>
  <c r="F51" i="67"/>
  <c r="G51" i="67" s="1"/>
  <c r="F52" i="67"/>
  <c r="G52" i="67" s="1"/>
  <c r="F53" i="67"/>
  <c r="G53" i="67" s="1"/>
  <c r="F54" i="67"/>
  <c r="G54" i="67" s="1"/>
  <c r="F55" i="67"/>
  <c r="G55" i="67" s="1"/>
  <c r="F56" i="67"/>
  <c r="G56" i="67" s="1"/>
  <c r="F57" i="67"/>
  <c r="G57" i="67" s="1"/>
  <c r="F58" i="67"/>
  <c r="G58" i="67" s="1"/>
  <c r="F59" i="67"/>
  <c r="G59" i="67" s="1"/>
  <c r="F60" i="67"/>
  <c r="G60" i="67" s="1"/>
  <c r="F61" i="67"/>
  <c r="G61" i="67" s="1"/>
  <c r="F62" i="67"/>
  <c r="G62" i="67" s="1"/>
  <c r="F63" i="67"/>
  <c r="G63" i="67" s="1"/>
  <c r="F64" i="67"/>
  <c r="G64" i="67" s="1"/>
  <c r="F65" i="67"/>
  <c r="G65" i="67" s="1"/>
  <c r="F66" i="67"/>
  <c r="G66" i="67" s="1"/>
  <c r="F67" i="67"/>
  <c r="G67" i="67" s="1"/>
  <c r="F68" i="67"/>
  <c r="G68" i="67" s="1"/>
  <c r="F69" i="67"/>
  <c r="G69" i="67" s="1"/>
  <c r="F70" i="67"/>
  <c r="G70" i="67" s="1"/>
  <c r="F71" i="67"/>
  <c r="G71" i="67" s="1"/>
  <c r="F72" i="67"/>
  <c r="G72" i="67" s="1"/>
  <c r="F73" i="67"/>
  <c r="G73" i="67" s="1"/>
  <c r="F74" i="67"/>
  <c r="G74" i="67" s="1"/>
  <c r="F75" i="67"/>
  <c r="G75" i="67" s="1"/>
  <c r="F76" i="67"/>
  <c r="G76" i="67" s="1"/>
  <c r="F77" i="67"/>
  <c r="G77" i="67" s="1"/>
  <c r="F78" i="67"/>
  <c r="G78" i="67" s="1"/>
  <c r="F79" i="67"/>
  <c r="G79" i="67" s="1"/>
  <c r="F80" i="67"/>
  <c r="G80" i="67" s="1"/>
  <c r="F81" i="67"/>
  <c r="G81" i="67" s="1"/>
  <c r="F82" i="67"/>
  <c r="G82" i="67" s="1"/>
  <c r="F83" i="67"/>
  <c r="G83" i="67" s="1"/>
  <c r="F84" i="67"/>
  <c r="G84" i="67" s="1"/>
  <c r="F85" i="67"/>
  <c r="G85" i="67" s="1"/>
  <c r="F86" i="67"/>
  <c r="G86" i="67" s="1"/>
  <c r="F87" i="67"/>
  <c r="G87" i="67" s="1"/>
  <c r="F88" i="67"/>
  <c r="G88" i="67" s="1"/>
  <c r="F89" i="67"/>
  <c r="G89" i="67" s="1"/>
  <c r="F90" i="67"/>
  <c r="G90" i="67" s="1"/>
  <c r="F91" i="67"/>
  <c r="G91" i="67" s="1"/>
  <c r="F92" i="67"/>
  <c r="G92" i="67" s="1"/>
  <c r="F93" i="67"/>
  <c r="G93" i="67" s="1"/>
  <c r="F94" i="67"/>
  <c r="G94" i="67" s="1"/>
  <c r="F95" i="67"/>
  <c r="G95" i="67" s="1"/>
  <c r="F96" i="67"/>
  <c r="G96" i="67" s="1"/>
  <c r="F97" i="67"/>
  <c r="G97" i="67" s="1"/>
  <c r="F98" i="67"/>
  <c r="G98" i="67" s="1"/>
  <c r="F99" i="67"/>
  <c r="G99" i="67" s="1"/>
  <c r="F100" i="67"/>
  <c r="G100" i="67" s="1"/>
  <c r="F101" i="67"/>
  <c r="G101" i="67" s="1"/>
  <c r="F102" i="67"/>
  <c r="G102" i="67" s="1"/>
  <c r="F103" i="67"/>
  <c r="G103" i="67" s="1"/>
  <c r="F104" i="67"/>
  <c r="G104" i="67" s="1"/>
  <c r="F105" i="67"/>
  <c r="G105" i="67" s="1"/>
  <c r="F106" i="67"/>
  <c r="G106" i="67" s="1"/>
  <c r="F107" i="67"/>
  <c r="G107" i="67" s="1"/>
  <c r="F108" i="67"/>
  <c r="G108" i="67" s="1"/>
  <c r="F109" i="67"/>
  <c r="G109" i="67" s="1"/>
  <c r="F110" i="67"/>
  <c r="G110" i="67" s="1"/>
  <c r="F111" i="67"/>
  <c r="G111" i="67" s="1"/>
  <c r="F112" i="67"/>
  <c r="G112" i="67" s="1"/>
  <c r="F113" i="67"/>
  <c r="G113" i="67" s="1"/>
  <c r="F114" i="67"/>
  <c r="G114" i="67" s="1"/>
  <c r="F115" i="67"/>
  <c r="G115" i="67" s="1"/>
  <c r="F116" i="67"/>
  <c r="G116" i="67" s="1"/>
  <c r="F117" i="67"/>
  <c r="G117" i="67" s="1"/>
  <c r="F118" i="67"/>
  <c r="G118" i="67" s="1"/>
  <c r="F119" i="67"/>
  <c r="G119" i="67" s="1"/>
  <c r="F120" i="67"/>
  <c r="G120" i="67" s="1"/>
  <c r="F121" i="67"/>
  <c r="G121" i="67" s="1"/>
  <c r="F122" i="67"/>
  <c r="G122" i="67" s="1"/>
  <c r="F123" i="67"/>
  <c r="G123" i="67" s="1"/>
  <c r="F124" i="67"/>
  <c r="G124" i="67" s="1"/>
  <c r="F125" i="67"/>
  <c r="G125" i="67" s="1"/>
  <c r="F126" i="67"/>
  <c r="G126" i="67" s="1"/>
  <c r="F127" i="67"/>
  <c r="G127" i="67" s="1"/>
  <c r="F128" i="67"/>
  <c r="G128" i="67" s="1"/>
  <c r="F129" i="67"/>
  <c r="G129" i="67" s="1"/>
  <c r="F130" i="67"/>
  <c r="G130" i="67" s="1"/>
  <c r="F131" i="67"/>
  <c r="G131" i="67" s="1"/>
  <c r="F132" i="67"/>
  <c r="G132" i="67" s="1"/>
  <c r="F133" i="67"/>
  <c r="G133" i="67" s="1"/>
  <c r="F134" i="67"/>
  <c r="G134" i="67" s="1"/>
  <c r="F135" i="67"/>
  <c r="G135" i="67" s="1"/>
  <c r="F136" i="67"/>
  <c r="G136" i="67" s="1"/>
  <c r="F137" i="67"/>
  <c r="G137" i="67" s="1"/>
  <c r="F138" i="67"/>
  <c r="G138" i="67" s="1"/>
  <c r="F139" i="67"/>
  <c r="G139" i="67" s="1"/>
  <c r="F140" i="67"/>
  <c r="G140" i="67" s="1"/>
  <c r="F141" i="67"/>
  <c r="G141" i="67" s="1"/>
  <c r="F142" i="67"/>
  <c r="G142" i="67" s="1"/>
  <c r="F143" i="67"/>
  <c r="G143" i="67" s="1"/>
  <c r="F144" i="67"/>
  <c r="G144" i="67" s="1"/>
  <c r="F145" i="67"/>
  <c r="G145" i="67" s="1"/>
  <c r="F146" i="67"/>
  <c r="G146" i="67" s="1"/>
  <c r="F147" i="67"/>
  <c r="G147" i="67" s="1"/>
  <c r="F148" i="67"/>
  <c r="G148" i="67" s="1"/>
  <c r="F149" i="67"/>
  <c r="G149" i="67" s="1"/>
  <c r="F150" i="67"/>
  <c r="G150" i="67" s="1"/>
  <c r="F151" i="67"/>
  <c r="G151" i="67" s="1"/>
  <c r="F152" i="67"/>
  <c r="G152" i="67" s="1"/>
  <c r="F153" i="67"/>
  <c r="G153" i="67" s="1"/>
  <c r="F154" i="67"/>
  <c r="G154" i="67" s="1"/>
  <c r="F155" i="67"/>
  <c r="G155" i="67" s="1"/>
  <c r="F156" i="67"/>
  <c r="G156" i="67" s="1"/>
  <c r="F157" i="67"/>
  <c r="G157" i="67" s="1"/>
  <c r="F158" i="67"/>
  <c r="G158" i="67" s="1"/>
  <c r="F159" i="67"/>
  <c r="G159" i="67" s="1"/>
  <c r="F160" i="67"/>
  <c r="G160" i="67" s="1"/>
  <c r="F161" i="67"/>
  <c r="G161" i="67" s="1"/>
  <c r="F162" i="67"/>
  <c r="G162" i="67" s="1"/>
  <c r="F163" i="67"/>
  <c r="G163" i="67" s="1"/>
  <c r="F164" i="67"/>
  <c r="G164" i="67" s="1"/>
  <c r="F165" i="67"/>
  <c r="G165" i="67" s="1"/>
  <c r="F166" i="67"/>
  <c r="G166" i="67" s="1"/>
  <c r="F167" i="67"/>
  <c r="G167" i="67" s="1"/>
  <c r="F168" i="67"/>
  <c r="G168" i="67" s="1"/>
  <c r="F169" i="67"/>
  <c r="G169" i="67" s="1"/>
  <c r="F170" i="67"/>
  <c r="G170" i="67" s="1"/>
  <c r="F171" i="67"/>
  <c r="G171" i="67" s="1"/>
  <c r="F172" i="67"/>
  <c r="G172" i="67" s="1"/>
  <c r="F173" i="67"/>
  <c r="G173" i="67" s="1"/>
  <c r="F174" i="67"/>
  <c r="G174" i="67" s="1"/>
  <c r="F175" i="67"/>
  <c r="G175" i="67" s="1"/>
  <c r="F176" i="67"/>
  <c r="G176" i="67" s="1"/>
  <c r="F177" i="67"/>
  <c r="G177" i="67" s="1"/>
  <c r="F178" i="67"/>
  <c r="G178" i="67" s="1"/>
  <c r="F179" i="67"/>
  <c r="G179" i="67" s="1"/>
  <c r="F180" i="67"/>
  <c r="G180" i="67" s="1"/>
  <c r="F181" i="67"/>
  <c r="G181" i="67" s="1"/>
  <c r="F182" i="67"/>
  <c r="G182" i="67" s="1"/>
  <c r="F183" i="67"/>
  <c r="G183" i="67" s="1"/>
  <c r="F184" i="67"/>
  <c r="G184" i="67" s="1"/>
  <c r="F185" i="67"/>
  <c r="G185" i="67" s="1"/>
  <c r="F186" i="67"/>
  <c r="G186" i="67" s="1"/>
  <c r="F187" i="67"/>
  <c r="G187" i="67" s="1"/>
  <c r="F188" i="67"/>
  <c r="G188" i="67" s="1"/>
  <c r="F189" i="67"/>
  <c r="G189" i="67" s="1"/>
  <c r="F190" i="67"/>
  <c r="G190" i="67" s="1"/>
  <c r="F191" i="67"/>
  <c r="G191" i="67" s="1"/>
  <c r="F192" i="67"/>
  <c r="G192" i="67" s="1"/>
  <c r="F193" i="67"/>
  <c r="G193" i="67" s="1"/>
  <c r="F194" i="67"/>
  <c r="G194" i="67" s="1"/>
  <c r="F195" i="67"/>
  <c r="G195" i="67" s="1"/>
  <c r="F196" i="67"/>
  <c r="G196" i="67" s="1"/>
  <c r="F197" i="67"/>
  <c r="G197" i="67" s="1"/>
  <c r="F198" i="67"/>
  <c r="G198" i="67" s="1"/>
  <c r="F199" i="67"/>
  <c r="G199" i="67" s="1"/>
  <c r="F200" i="67"/>
  <c r="G200" i="67" s="1"/>
  <c r="F201" i="67"/>
  <c r="G201" i="67" s="1"/>
  <c r="F202" i="67"/>
  <c r="G202" i="67" s="1"/>
  <c r="F203" i="67"/>
  <c r="G203" i="67" s="1"/>
  <c r="F204" i="67"/>
  <c r="G204" i="67" s="1"/>
  <c r="F205" i="67"/>
  <c r="G205" i="67" s="1"/>
  <c r="F206" i="67"/>
  <c r="G206" i="67" s="1"/>
  <c r="F207" i="67"/>
  <c r="G207" i="67" s="1"/>
  <c r="F208" i="67"/>
  <c r="G208" i="67" s="1"/>
  <c r="F209" i="67"/>
  <c r="G209" i="67" s="1"/>
  <c r="F210" i="67"/>
  <c r="G210" i="67" s="1"/>
  <c r="F211" i="67"/>
  <c r="G211" i="67" s="1"/>
  <c r="F212" i="67"/>
  <c r="G212" i="67" s="1"/>
  <c r="F213" i="67"/>
  <c r="G213" i="67" s="1"/>
  <c r="F214" i="67"/>
  <c r="G214" i="67" s="1"/>
  <c r="F215" i="67"/>
  <c r="G215" i="67" s="1"/>
  <c r="F216" i="67"/>
  <c r="G216" i="67" s="1"/>
  <c r="F217" i="67"/>
  <c r="G217" i="67" s="1"/>
  <c r="F218" i="67"/>
  <c r="G218" i="67" s="1"/>
  <c r="F219" i="67"/>
  <c r="G219" i="67" s="1"/>
  <c r="F220" i="67"/>
  <c r="G220" i="67" s="1"/>
  <c r="F221" i="67"/>
  <c r="G221" i="67" s="1"/>
  <c r="F222" i="67"/>
  <c r="G222" i="67" s="1"/>
  <c r="F223" i="67"/>
  <c r="G223" i="67" s="1"/>
  <c r="F224" i="67"/>
  <c r="G224" i="67" s="1"/>
  <c r="F225" i="67"/>
  <c r="G225" i="67" s="1"/>
  <c r="F226" i="67"/>
  <c r="G226" i="67" s="1"/>
  <c r="F227" i="67"/>
  <c r="G227" i="67" s="1"/>
  <c r="F228" i="67"/>
  <c r="G228" i="67" s="1"/>
  <c r="F229" i="67"/>
  <c r="G229" i="67" s="1"/>
  <c r="F230" i="67"/>
  <c r="G230" i="67" s="1"/>
  <c r="F231" i="67"/>
  <c r="G231" i="67" s="1"/>
  <c r="F232" i="67"/>
  <c r="G232" i="67" s="1"/>
  <c r="F233" i="67"/>
  <c r="G233" i="67" s="1"/>
  <c r="F234" i="67"/>
  <c r="G234" i="67" s="1"/>
  <c r="F235" i="67"/>
  <c r="G235" i="67" s="1"/>
  <c r="F236" i="67"/>
  <c r="G236" i="67" s="1"/>
  <c r="F237" i="67"/>
  <c r="G237" i="67" s="1"/>
  <c r="F238" i="67"/>
  <c r="G238" i="67" s="1"/>
  <c r="F239" i="67"/>
  <c r="G239" i="67" s="1"/>
  <c r="F240" i="67"/>
  <c r="G240" i="67" s="1"/>
  <c r="F241" i="67"/>
  <c r="G241" i="67" s="1"/>
  <c r="F242" i="67"/>
  <c r="G242" i="67" s="1"/>
  <c r="F243" i="67"/>
  <c r="G243" i="67" s="1"/>
  <c r="F244" i="67"/>
  <c r="G244" i="67" s="1"/>
  <c r="F245" i="67"/>
  <c r="G245" i="67" s="1"/>
  <c r="F246" i="67"/>
  <c r="G246" i="67" s="1"/>
  <c r="F247" i="67"/>
  <c r="G247" i="67" s="1"/>
  <c r="F248" i="67"/>
  <c r="G248" i="67" s="1"/>
  <c r="F249" i="67"/>
  <c r="G249" i="67" s="1"/>
  <c r="F250" i="67"/>
  <c r="G250" i="67" s="1"/>
  <c r="F251" i="67"/>
  <c r="G251" i="67" s="1"/>
  <c r="F252" i="67"/>
  <c r="G252" i="67" s="1"/>
  <c r="F253" i="67"/>
  <c r="G253" i="67" s="1"/>
  <c r="F254" i="67"/>
  <c r="G254" i="67" s="1"/>
  <c r="F255" i="67"/>
  <c r="G255" i="67" s="1"/>
  <c r="F256" i="67"/>
  <c r="G256" i="67" s="1"/>
  <c r="F257" i="67"/>
  <c r="G257" i="67" s="1"/>
  <c r="F10" i="67"/>
  <c r="Y253" i="67" l="1"/>
  <c r="AZ253" i="67"/>
  <c r="Y197" i="67"/>
  <c r="AZ197" i="67"/>
  <c r="Y141" i="67"/>
  <c r="AZ141" i="67"/>
  <c r="Y85" i="67"/>
  <c r="AZ85" i="67"/>
  <c r="Y61" i="67"/>
  <c r="AZ61" i="67"/>
  <c r="Y252" i="67"/>
  <c r="AZ252" i="67"/>
  <c r="Y244" i="67"/>
  <c r="AZ244" i="67"/>
  <c r="Y236" i="67"/>
  <c r="AZ236" i="67"/>
  <c r="Y228" i="67"/>
  <c r="AZ228" i="67"/>
  <c r="Y220" i="67"/>
  <c r="AZ220" i="67"/>
  <c r="Y212" i="67"/>
  <c r="AZ212" i="67"/>
  <c r="Y204" i="67"/>
  <c r="AZ204" i="67"/>
  <c r="Y196" i="67"/>
  <c r="AZ196" i="67"/>
  <c r="Y188" i="67"/>
  <c r="AZ188" i="67"/>
  <c r="Y180" i="67"/>
  <c r="AZ180" i="67"/>
  <c r="Y172" i="67"/>
  <c r="AZ172" i="67"/>
  <c r="Y164" i="67"/>
  <c r="AZ164" i="67"/>
  <c r="Y156" i="67"/>
  <c r="AZ156" i="67"/>
  <c r="Y148" i="67"/>
  <c r="AZ148" i="67"/>
  <c r="Y140" i="67"/>
  <c r="AZ140" i="67"/>
  <c r="Y132" i="67"/>
  <c r="AZ132" i="67"/>
  <c r="Y124" i="67"/>
  <c r="AZ124" i="67"/>
  <c r="Y116" i="67"/>
  <c r="AZ116" i="67"/>
  <c r="Y108" i="67"/>
  <c r="AZ108" i="67"/>
  <c r="Y100" i="67"/>
  <c r="AZ100" i="67"/>
  <c r="Y92" i="67"/>
  <c r="AZ92" i="67"/>
  <c r="Y84" i="67"/>
  <c r="AZ84" i="67"/>
  <c r="Y76" i="67"/>
  <c r="AZ76" i="67"/>
  <c r="Y68" i="67"/>
  <c r="AZ68" i="67"/>
  <c r="Y60" i="67"/>
  <c r="AZ60" i="67"/>
  <c r="Y52" i="67"/>
  <c r="AZ52" i="67"/>
  <c r="Y44" i="67"/>
  <c r="AZ44" i="67"/>
  <c r="Y36" i="67"/>
  <c r="AZ36" i="67"/>
  <c r="Y28" i="67"/>
  <c r="AZ28" i="67"/>
  <c r="Y20" i="67"/>
  <c r="AZ20" i="67"/>
  <c r="Y237" i="67"/>
  <c r="AZ237" i="67"/>
  <c r="Y181" i="67"/>
  <c r="AZ181" i="67"/>
  <c r="Y117" i="67"/>
  <c r="AZ117" i="67"/>
  <c r="Y21" i="67"/>
  <c r="AZ21" i="67"/>
  <c r="Y251" i="67"/>
  <c r="AZ251" i="67"/>
  <c r="Y243" i="67"/>
  <c r="AZ243" i="67"/>
  <c r="Y235" i="67"/>
  <c r="AZ235" i="67"/>
  <c r="Y227" i="67"/>
  <c r="AZ227" i="67"/>
  <c r="Y219" i="67"/>
  <c r="AZ219" i="67"/>
  <c r="Y211" i="67"/>
  <c r="AZ211" i="67"/>
  <c r="Y203" i="67"/>
  <c r="AZ203" i="67"/>
  <c r="Y195" i="67"/>
  <c r="AZ195" i="67"/>
  <c r="Y187" i="67"/>
  <c r="AZ187" i="67"/>
  <c r="Y179" i="67"/>
  <c r="AZ179" i="67"/>
  <c r="Y171" i="67"/>
  <c r="AZ171" i="67"/>
  <c r="Y163" i="67"/>
  <c r="AZ163" i="67"/>
  <c r="Y155" i="67"/>
  <c r="AZ155" i="67"/>
  <c r="Y147" i="67"/>
  <c r="AZ147" i="67"/>
  <c r="Y139" i="67"/>
  <c r="AZ139" i="67"/>
  <c r="Y131" i="67"/>
  <c r="AZ131" i="67"/>
  <c r="Y123" i="67"/>
  <c r="AZ123" i="67"/>
  <c r="Y115" i="67"/>
  <c r="AZ115" i="67"/>
  <c r="Y107" i="67"/>
  <c r="AZ107" i="67"/>
  <c r="Y99" i="67"/>
  <c r="AZ99" i="67"/>
  <c r="Y91" i="67"/>
  <c r="AZ91" i="67"/>
  <c r="Y83" i="67"/>
  <c r="AZ83" i="67"/>
  <c r="Y75" i="67"/>
  <c r="AZ75" i="67"/>
  <c r="Y67" i="67"/>
  <c r="AZ67" i="67"/>
  <c r="Y59" i="67"/>
  <c r="AZ59" i="67"/>
  <c r="Y51" i="67"/>
  <c r="AZ51" i="67"/>
  <c r="Y43" i="67"/>
  <c r="AZ43" i="67"/>
  <c r="Y35" i="67"/>
  <c r="AZ35" i="67"/>
  <c r="Y27" i="67"/>
  <c r="AZ27" i="67"/>
  <c r="Y213" i="67"/>
  <c r="AZ213" i="67"/>
  <c r="Y149" i="67"/>
  <c r="AZ149" i="67"/>
  <c r="Y93" i="67"/>
  <c r="AZ93" i="67"/>
  <c r="Y69" i="67"/>
  <c r="AZ69" i="67"/>
  <c r="Y250" i="67"/>
  <c r="AZ250" i="67"/>
  <c r="Y242" i="67"/>
  <c r="AZ242" i="67"/>
  <c r="Y234" i="67"/>
  <c r="AZ234" i="67"/>
  <c r="Y226" i="67"/>
  <c r="AZ226" i="67"/>
  <c r="Y218" i="67"/>
  <c r="AZ218" i="67"/>
  <c r="Y210" i="67"/>
  <c r="AZ210" i="67"/>
  <c r="Y202" i="67"/>
  <c r="AZ202" i="67"/>
  <c r="Y194" i="67"/>
  <c r="AZ194" i="67"/>
  <c r="Y186" i="67"/>
  <c r="AZ186" i="67"/>
  <c r="Y178" i="67"/>
  <c r="AZ178" i="67"/>
  <c r="Y170" i="67"/>
  <c r="AZ170" i="67"/>
  <c r="Y162" i="67"/>
  <c r="AZ162" i="67"/>
  <c r="Y154" i="67"/>
  <c r="AZ154" i="67"/>
  <c r="Y146" i="67"/>
  <c r="AZ146" i="67"/>
  <c r="Y138" i="67"/>
  <c r="AZ138" i="67"/>
  <c r="Y130" i="67"/>
  <c r="AZ130" i="67"/>
  <c r="Y122" i="67"/>
  <c r="AZ122" i="67"/>
  <c r="Y114" i="67"/>
  <c r="AZ114" i="67"/>
  <c r="Y106" i="67"/>
  <c r="AZ106" i="67"/>
  <c r="Y98" i="67"/>
  <c r="AZ98" i="67"/>
  <c r="Y90" i="67"/>
  <c r="AZ90" i="67"/>
  <c r="Y82" i="67"/>
  <c r="AZ82" i="67"/>
  <c r="Y74" i="67"/>
  <c r="AZ74" i="67"/>
  <c r="Y66" i="67"/>
  <c r="AZ66" i="67"/>
  <c r="Y58" i="67"/>
  <c r="AZ58" i="67"/>
  <c r="Y50" i="67"/>
  <c r="AZ50" i="67"/>
  <c r="Y42" i="67"/>
  <c r="AZ42" i="67"/>
  <c r="Y34" i="67"/>
  <c r="AZ34" i="67"/>
  <c r="Y26" i="67"/>
  <c r="AZ26" i="67"/>
  <c r="Y229" i="67"/>
  <c r="AZ229" i="67"/>
  <c r="Y173" i="67"/>
  <c r="AZ173" i="67"/>
  <c r="Y125" i="67"/>
  <c r="AZ125" i="67"/>
  <c r="Y45" i="67"/>
  <c r="AZ45" i="67"/>
  <c r="Y249" i="67"/>
  <c r="AZ249" i="67"/>
  <c r="Y241" i="67"/>
  <c r="AZ241" i="67"/>
  <c r="Y233" i="67"/>
  <c r="AZ233" i="67"/>
  <c r="Y225" i="67"/>
  <c r="AZ225" i="67"/>
  <c r="Y217" i="67"/>
  <c r="AZ217" i="67"/>
  <c r="Y209" i="67"/>
  <c r="AZ209" i="67"/>
  <c r="Y201" i="67"/>
  <c r="AZ201" i="67"/>
  <c r="Y193" i="67"/>
  <c r="AZ193" i="67"/>
  <c r="Y185" i="67"/>
  <c r="AZ185" i="67"/>
  <c r="Y177" i="67"/>
  <c r="AZ177" i="67"/>
  <c r="Y169" i="67"/>
  <c r="AZ169" i="67"/>
  <c r="Y161" i="67"/>
  <c r="AZ161" i="67"/>
  <c r="Y153" i="67"/>
  <c r="AZ153" i="67"/>
  <c r="Y145" i="67"/>
  <c r="AZ145" i="67"/>
  <c r="Y137" i="67"/>
  <c r="AZ137" i="67"/>
  <c r="Y129" i="67"/>
  <c r="AZ129" i="67"/>
  <c r="Y121" i="67"/>
  <c r="AZ121" i="67"/>
  <c r="Y113" i="67"/>
  <c r="AZ113" i="67"/>
  <c r="Y105" i="67"/>
  <c r="AZ105" i="67"/>
  <c r="Y97" i="67"/>
  <c r="AZ97" i="67"/>
  <c r="Y89" i="67"/>
  <c r="AZ89" i="67"/>
  <c r="Y81" i="67"/>
  <c r="AZ81" i="67"/>
  <c r="Y73" i="67"/>
  <c r="AZ73" i="67"/>
  <c r="Y65" i="67"/>
  <c r="AZ65" i="67"/>
  <c r="Y57" i="67"/>
  <c r="AZ57" i="67"/>
  <c r="Y49" i="67"/>
  <c r="AZ49" i="67"/>
  <c r="Y41" i="67"/>
  <c r="AZ41" i="67"/>
  <c r="Y33" i="67"/>
  <c r="AZ33" i="67"/>
  <c r="Y25" i="67"/>
  <c r="AZ25" i="67"/>
  <c r="Y245" i="67"/>
  <c r="AZ245" i="67"/>
  <c r="Y205" i="67"/>
  <c r="AZ205" i="67"/>
  <c r="Y157" i="67"/>
  <c r="AZ157" i="67"/>
  <c r="Y109" i="67"/>
  <c r="AZ109" i="67"/>
  <c r="Y53" i="67"/>
  <c r="AZ53" i="67"/>
  <c r="Y257" i="67"/>
  <c r="AZ257" i="67"/>
  <c r="Y248" i="67"/>
  <c r="AZ248" i="67"/>
  <c r="Y240" i="67"/>
  <c r="AZ240" i="67"/>
  <c r="Y232" i="67"/>
  <c r="AZ232" i="67"/>
  <c r="Y224" i="67"/>
  <c r="AZ224" i="67"/>
  <c r="Y216" i="67"/>
  <c r="AZ216" i="67"/>
  <c r="Y208" i="67"/>
  <c r="AZ208" i="67"/>
  <c r="Y200" i="67"/>
  <c r="AZ200" i="67"/>
  <c r="Y192" i="67"/>
  <c r="AZ192" i="67"/>
  <c r="Y184" i="67"/>
  <c r="AZ184" i="67"/>
  <c r="Y176" i="67"/>
  <c r="AZ176" i="67"/>
  <c r="Y168" i="67"/>
  <c r="AZ168" i="67"/>
  <c r="Y160" i="67"/>
  <c r="AZ160" i="67"/>
  <c r="Y152" i="67"/>
  <c r="AZ152" i="67"/>
  <c r="Y144" i="67"/>
  <c r="AZ144" i="67"/>
  <c r="Y136" i="67"/>
  <c r="AZ136" i="67"/>
  <c r="Y128" i="67"/>
  <c r="AZ128" i="67"/>
  <c r="Y120" i="67"/>
  <c r="AZ120" i="67"/>
  <c r="Y112" i="67"/>
  <c r="AZ112" i="67"/>
  <c r="Y104" i="67"/>
  <c r="AZ104" i="67"/>
  <c r="Y96" i="67"/>
  <c r="AZ96" i="67"/>
  <c r="Y88" i="67"/>
  <c r="AZ88" i="67"/>
  <c r="Y80" i="67"/>
  <c r="AZ80" i="67"/>
  <c r="Y72" i="67"/>
  <c r="AZ72" i="67"/>
  <c r="Y64" i="67"/>
  <c r="AZ64" i="67"/>
  <c r="Y56" i="67"/>
  <c r="AZ56" i="67"/>
  <c r="Y48" i="67"/>
  <c r="AZ48" i="67"/>
  <c r="Y40" i="67"/>
  <c r="AZ40" i="67"/>
  <c r="Y32" i="67"/>
  <c r="AZ32" i="67"/>
  <c r="Y24" i="67"/>
  <c r="AZ24" i="67"/>
  <c r="Y189" i="67"/>
  <c r="AZ189" i="67"/>
  <c r="Y133" i="67"/>
  <c r="AZ133" i="67"/>
  <c r="Y77" i="67"/>
  <c r="AZ77" i="67"/>
  <c r="Y37" i="67"/>
  <c r="AZ37" i="67"/>
  <c r="Y255" i="67"/>
  <c r="AZ255" i="67"/>
  <c r="Y239" i="67"/>
  <c r="AZ239" i="67"/>
  <c r="Y231" i="67"/>
  <c r="AZ231" i="67"/>
  <c r="Y223" i="67"/>
  <c r="AZ223" i="67"/>
  <c r="Y215" i="67"/>
  <c r="AZ215" i="67"/>
  <c r="Y207" i="67"/>
  <c r="AZ207" i="67"/>
  <c r="Y199" i="67"/>
  <c r="AZ199" i="67"/>
  <c r="Y191" i="67"/>
  <c r="AZ191" i="67"/>
  <c r="Y183" i="67"/>
  <c r="AZ183" i="67"/>
  <c r="Y175" i="67"/>
  <c r="AZ175" i="67"/>
  <c r="Y167" i="67"/>
  <c r="AZ167" i="67"/>
  <c r="Y159" i="67"/>
  <c r="AZ159" i="67"/>
  <c r="Y151" i="67"/>
  <c r="AZ151" i="67"/>
  <c r="Y143" i="67"/>
  <c r="AZ143" i="67"/>
  <c r="Y135" i="67"/>
  <c r="AZ135" i="67"/>
  <c r="Y127" i="67"/>
  <c r="AZ127" i="67"/>
  <c r="Y119" i="67"/>
  <c r="AZ119" i="67"/>
  <c r="Y111" i="67"/>
  <c r="AZ111" i="67"/>
  <c r="Y103" i="67"/>
  <c r="AZ103" i="67"/>
  <c r="Y95" i="67"/>
  <c r="AZ95" i="67"/>
  <c r="Y87" i="67"/>
  <c r="AZ87" i="67"/>
  <c r="Y79" i="67"/>
  <c r="AZ79" i="67"/>
  <c r="Y71" i="67"/>
  <c r="AZ71" i="67"/>
  <c r="Y63" i="67"/>
  <c r="AZ63" i="67"/>
  <c r="Y55" i="67"/>
  <c r="AZ55" i="67"/>
  <c r="Y47" i="67"/>
  <c r="AZ47" i="67"/>
  <c r="Y39" i="67"/>
  <c r="AZ39" i="67"/>
  <c r="Y31" i="67"/>
  <c r="AZ31" i="67"/>
  <c r="Y23" i="67"/>
  <c r="AZ23" i="67"/>
  <c r="Y221" i="67"/>
  <c r="AZ221" i="67"/>
  <c r="Y165" i="67"/>
  <c r="AZ165" i="67"/>
  <c r="Y101" i="67"/>
  <c r="AZ101" i="67"/>
  <c r="Y29" i="67"/>
  <c r="AZ29" i="67"/>
  <c r="Y256" i="67"/>
  <c r="AZ256" i="67"/>
  <c r="Y247" i="67"/>
  <c r="AZ247" i="67"/>
  <c r="Y254" i="67"/>
  <c r="AZ254" i="67"/>
  <c r="Y246" i="67"/>
  <c r="AZ246" i="67"/>
  <c r="Y238" i="67"/>
  <c r="AZ238" i="67"/>
  <c r="Y230" i="67"/>
  <c r="AZ230" i="67"/>
  <c r="Y222" i="67"/>
  <c r="AZ222" i="67"/>
  <c r="Y214" i="67"/>
  <c r="AZ214" i="67"/>
  <c r="Y206" i="67"/>
  <c r="AZ206" i="67"/>
  <c r="Y198" i="67"/>
  <c r="AZ198" i="67"/>
  <c r="Y190" i="67"/>
  <c r="AZ190" i="67"/>
  <c r="Y182" i="67"/>
  <c r="AZ182" i="67"/>
  <c r="Y174" i="67"/>
  <c r="AZ174" i="67"/>
  <c r="Y166" i="67"/>
  <c r="AZ166" i="67"/>
  <c r="Y158" i="67"/>
  <c r="AZ158" i="67"/>
  <c r="Y150" i="67"/>
  <c r="AZ150" i="67"/>
  <c r="Y142" i="67"/>
  <c r="AZ142" i="67"/>
  <c r="Y134" i="67"/>
  <c r="AZ134" i="67"/>
  <c r="Y126" i="67"/>
  <c r="AZ126" i="67"/>
  <c r="Y118" i="67"/>
  <c r="AZ118" i="67"/>
  <c r="Y110" i="67"/>
  <c r="AZ110" i="67"/>
  <c r="Y102" i="67"/>
  <c r="AZ102" i="67"/>
  <c r="Y94" i="67"/>
  <c r="AZ94" i="67"/>
  <c r="Y86" i="67"/>
  <c r="AZ86" i="67"/>
  <c r="Y78" i="67"/>
  <c r="AZ78" i="67"/>
  <c r="Y70" i="67"/>
  <c r="AZ70" i="67"/>
  <c r="Y62" i="67"/>
  <c r="AZ62" i="67"/>
  <c r="Y54" i="67"/>
  <c r="AZ54" i="67"/>
  <c r="Y46" i="67"/>
  <c r="AZ46" i="67"/>
  <c r="Y38" i="67"/>
  <c r="AZ38" i="67"/>
  <c r="Y30" i="67"/>
  <c r="AZ30" i="67"/>
  <c r="Y22" i="67"/>
  <c r="AZ22" i="67"/>
  <c r="AH12" i="67"/>
  <c r="AI12" i="67"/>
  <c r="AH11" i="67"/>
  <c r="AI11" i="67"/>
  <c r="AI14" i="67"/>
  <c r="AH14" i="67"/>
  <c r="AI13" i="67"/>
  <c r="AH13" i="67"/>
  <c r="AI252" i="67"/>
  <c r="AH252" i="67"/>
  <c r="AI244" i="67"/>
  <c r="AH244" i="67"/>
  <c r="AH236" i="67"/>
  <c r="AI236" i="67"/>
  <c r="AI228" i="67"/>
  <c r="AH228" i="67"/>
  <c r="AI220" i="67"/>
  <c r="AH220" i="67"/>
  <c r="AH212" i="67"/>
  <c r="AI212" i="67"/>
  <c r="AI204" i="67"/>
  <c r="AH204" i="67"/>
  <c r="AI196" i="67"/>
  <c r="AH196" i="67"/>
  <c r="AH188" i="67"/>
  <c r="AI188" i="67"/>
  <c r="AI180" i="67"/>
  <c r="AH180" i="67"/>
  <c r="AH172" i="67"/>
  <c r="AI172" i="67"/>
  <c r="AI164" i="67"/>
  <c r="AH164" i="67"/>
  <c r="AH156" i="67"/>
  <c r="AI156" i="67"/>
  <c r="AH148" i="67"/>
  <c r="AI148" i="67"/>
  <c r="AH140" i="67"/>
  <c r="AI140" i="67"/>
  <c r="AH132" i="67"/>
  <c r="AI132" i="67"/>
  <c r="AH124" i="67"/>
  <c r="AI124" i="67"/>
  <c r="AH116" i="67"/>
  <c r="AI116" i="67"/>
  <c r="AH108" i="67"/>
  <c r="AI108" i="67"/>
  <c r="AH100" i="67"/>
  <c r="AI100" i="67"/>
  <c r="AH92" i="67"/>
  <c r="AI92" i="67"/>
  <c r="AH84" i="67"/>
  <c r="AI84" i="67"/>
  <c r="AH76" i="67"/>
  <c r="AI76" i="67"/>
  <c r="AH68" i="67"/>
  <c r="AI68" i="67"/>
  <c r="AH60" i="67"/>
  <c r="AI60" i="67"/>
  <c r="AH52" i="67"/>
  <c r="AI52" i="67"/>
  <c r="AH44" i="67"/>
  <c r="AI44" i="67"/>
  <c r="AH36" i="67"/>
  <c r="AI36" i="67"/>
  <c r="AH28" i="67"/>
  <c r="AI28" i="67"/>
  <c r="AH20" i="67"/>
  <c r="AI20" i="67"/>
  <c r="AH251" i="67"/>
  <c r="AI251" i="67"/>
  <c r="AH243" i="67"/>
  <c r="AI243" i="67"/>
  <c r="AH235" i="67"/>
  <c r="AI235" i="67"/>
  <c r="AH227" i="67"/>
  <c r="AI227" i="67"/>
  <c r="AH219" i="67"/>
  <c r="AI219" i="67"/>
  <c r="AH211" i="67"/>
  <c r="AI211" i="67"/>
  <c r="AH203" i="67"/>
  <c r="AI203" i="67"/>
  <c r="AH195" i="67"/>
  <c r="AI195" i="67"/>
  <c r="AH187" i="67"/>
  <c r="AI187" i="67"/>
  <c r="AH179" i="67"/>
  <c r="AI179" i="67"/>
  <c r="AH171" i="67"/>
  <c r="AI171" i="67"/>
  <c r="AH163" i="67"/>
  <c r="AI163" i="67"/>
  <c r="AH155" i="67"/>
  <c r="AI155" i="67"/>
  <c r="AH147" i="67"/>
  <c r="AI147" i="67"/>
  <c r="AH139" i="67"/>
  <c r="AI139" i="67"/>
  <c r="AH131" i="67"/>
  <c r="AI131" i="67"/>
  <c r="AH123" i="67"/>
  <c r="AI123" i="67"/>
  <c r="AH115" i="67"/>
  <c r="AI115" i="67"/>
  <c r="AH107" i="67"/>
  <c r="AI107" i="67"/>
  <c r="AH99" i="67"/>
  <c r="AI99" i="67"/>
  <c r="AH91" i="67"/>
  <c r="AI91" i="67"/>
  <c r="AH83" i="67"/>
  <c r="AI83" i="67"/>
  <c r="AH75" i="67"/>
  <c r="AI75" i="67"/>
  <c r="AH67" i="67"/>
  <c r="AI67" i="67"/>
  <c r="AH59" i="67"/>
  <c r="AI59" i="67"/>
  <c r="AH51" i="67"/>
  <c r="AI51" i="67"/>
  <c r="AH43" i="67"/>
  <c r="AI43" i="67"/>
  <c r="AH35" i="67"/>
  <c r="AI35" i="67"/>
  <c r="AH27" i="67"/>
  <c r="AI27" i="67"/>
  <c r="AH19" i="67"/>
  <c r="AI19" i="67"/>
  <c r="AH250" i="67"/>
  <c r="AI250" i="67"/>
  <c r="AH242" i="67"/>
  <c r="AI242" i="67"/>
  <c r="AH234" i="67"/>
  <c r="AI234" i="67"/>
  <c r="AH226" i="67"/>
  <c r="AI226" i="67"/>
  <c r="AH218" i="67"/>
  <c r="AI218" i="67"/>
  <c r="AH210" i="67"/>
  <c r="AI210" i="67"/>
  <c r="AH202" i="67"/>
  <c r="AI202" i="67"/>
  <c r="AH194" i="67"/>
  <c r="AI194" i="67"/>
  <c r="AH186" i="67"/>
  <c r="AI186" i="67"/>
  <c r="AH178" i="67"/>
  <c r="AI178" i="67"/>
  <c r="AH170" i="67"/>
  <c r="AI170" i="67"/>
  <c r="AH162" i="67"/>
  <c r="AI162" i="67"/>
  <c r="AH154" i="67"/>
  <c r="AI154" i="67"/>
  <c r="AH146" i="67"/>
  <c r="AI146" i="67"/>
  <c r="AH138" i="67"/>
  <c r="AI138" i="67"/>
  <c r="AH130" i="67"/>
  <c r="AI130" i="67"/>
  <c r="AH122" i="67"/>
  <c r="AI122" i="67"/>
  <c r="AH114" i="67"/>
  <c r="AI114" i="67"/>
  <c r="AH106" i="67"/>
  <c r="AI106" i="67"/>
  <c r="AH98" i="67"/>
  <c r="AI98" i="67"/>
  <c r="AH90" i="67"/>
  <c r="AI90" i="67"/>
  <c r="AH82" i="67"/>
  <c r="AI82" i="67"/>
  <c r="AH74" i="67"/>
  <c r="AI74" i="67"/>
  <c r="AH66" i="67"/>
  <c r="AI66" i="67"/>
  <c r="AH58" i="67"/>
  <c r="AI58" i="67"/>
  <c r="AH50" i="67"/>
  <c r="AI50" i="67"/>
  <c r="AH42" i="67"/>
  <c r="AI42" i="67"/>
  <c r="AH34" i="67"/>
  <c r="AI34" i="67"/>
  <c r="AH26" i="67"/>
  <c r="AI26" i="67"/>
  <c r="AH18" i="67"/>
  <c r="AI18" i="67"/>
  <c r="AH249" i="67"/>
  <c r="AI249" i="67"/>
  <c r="AH241" i="67"/>
  <c r="AI241" i="67"/>
  <c r="AH233" i="67"/>
  <c r="AI233" i="67"/>
  <c r="AH225" i="67"/>
  <c r="AI225" i="67"/>
  <c r="AH217" i="67"/>
  <c r="AI217" i="67"/>
  <c r="AH209" i="67"/>
  <c r="AI209" i="67"/>
  <c r="AH201" i="67"/>
  <c r="AI201" i="67"/>
  <c r="AH193" i="67"/>
  <c r="AI193" i="67"/>
  <c r="AH185" i="67"/>
  <c r="AI185" i="67"/>
  <c r="AH177" i="67"/>
  <c r="AI177" i="67"/>
  <c r="AH169" i="67"/>
  <c r="AI169" i="67"/>
  <c r="AH161" i="67"/>
  <c r="AI161" i="67"/>
  <c r="AH153" i="67"/>
  <c r="AI153" i="67"/>
  <c r="AH145" i="67"/>
  <c r="AI145" i="67"/>
  <c r="AH137" i="67"/>
  <c r="AI137" i="67"/>
  <c r="AH129" i="67"/>
  <c r="AI129" i="67"/>
  <c r="AH121" i="67"/>
  <c r="AI121" i="67"/>
  <c r="AH113" i="67"/>
  <c r="AI113" i="67"/>
  <c r="AH105" i="67"/>
  <c r="AI105" i="67"/>
  <c r="AH97" i="67"/>
  <c r="AI97" i="67"/>
  <c r="AH89" i="67"/>
  <c r="AI89" i="67"/>
  <c r="AH81" i="67"/>
  <c r="AI81" i="67"/>
  <c r="AH73" i="67"/>
  <c r="AI73" i="67"/>
  <c r="AH65" i="67"/>
  <c r="AI65" i="67"/>
  <c r="AH57" i="67"/>
  <c r="AI57" i="67"/>
  <c r="AH49" i="67"/>
  <c r="AI49" i="67"/>
  <c r="AH41" i="67"/>
  <c r="AI41" i="67"/>
  <c r="AH33" i="67"/>
  <c r="AI33" i="67"/>
  <c r="AH25" i="67"/>
  <c r="AI25" i="67"/>
  <c r="AH17" i="67"/>
  <c r="AI17" i="67"/>
  <c r="AH256" i="67"/>
  <c r="AI256" i="67"/>
  <c r="AH248" i="67"/>
  <c r="AI248" i="67"/>
  <c r="AH240" i="67"/>
  <c r="AI240" i="67"/>
  <c r="AH232" i="67"/>
  <c r="AI232" i="67"/>
  <c r="AH224" i="67"/>
  <c r="AI224" i="67"/>
  <c r="AH216" i="67"/>
  <c r="AI216" i="67"/>
  <c r="AH208" i="67"/>
  <c r="AI208" i="67"/>
  <c r="AH200" i="67"/>
  <c r="AI200" i="67"/>
  <c r="AH192" i="67"/>
  <c r="AI192" i="67"/>
  <c r="AH184" i="67"/>
  <c r="AI184" i="67"/>
  <c r="AH176" i="67"/>
  <c r="AI176" i="67"/>
  <c r="AH168" i="67"/>
  <c r="AI168" i="67"/>
  <c r="AH160" i="67"/>
  <c r="AI160" i="67"/>
  <c r="AH152" i="67"/>
  <c r="AI152" i="67"/>
  <c r="AH144" i="67"/>
  <c r="AI144" i="67"/>
  <c r="AH136" i="67"/>
  <c r="AI136" i="67"/>
  <c r="AH128" i="67"/>
  <c r="AI128" i="67"/>
  <c r="AH120" i="67"/>
  <c r="AI120" i="67"/>
  <c r="AH112" i="67"/>
  <c r="AI112" i="67"/>
  <c r="AH104" i="67"/>
  <c r="AI104" i="67"/>
  <c r="AH96" i="67"/>
  <c r="AI96" i="67"/>
  <c r="AH88" i="67"/>
  <c r="AI88" i="67"/>
  <c r="AH80" i="67"/>
  <c r="AI80" i="67"/>
  <c r="AH72" i="67"/>
  <c r="AI72" i="67"/>
  <c r="AH64" i="67"/>
  <c r="AI64" i="67"/>
  <c r="AH56" i="67"/>
  <c r="AI56" i="67"/>
  <c r="AH48" i="67"/>
  <c r="AI48" i="67"/>
  <c r="AH40" i="67"/>
  <c r="AI40" i="67"/>
  <c r="AH32" i="67"/>
  <c r="AI32" i="67"/>
  <c r="AH24" i="67"/>
  <c r="AI24" i="67"/>
  <c r="AH16" i="67"/>
  <c r="AI16" i="67"/>
  <c r="AH255" i="67"/>
  <c r="AI255" i="67"/>
  <c r="AH247" i="67"/>
  <c r="AI247" i="67"/>
  <c r="AH239" i="67"/>
  <c r="AI239" i="67"/>
  <c r="AH231" i="67"/>
  <c r="AI231" i="67"/>
  <c r="AH223" i="67"/>
  <c r="AI223" i="67"/>
  <c r="AH215" i="67"/>
  <c r="AI215" i="67"/>
  <c r="AH207" i="67"/>
  <c r="AI207" i="67"/>
  <c r="AH199" i="67"/>
  <c r="AI199" i="67"/>
  <c r="AH191" i="67"/>
  <c r="AI191" i="67"/>
  <c r="AH183" i="67"/>
  <c r="AI183" i="67"/>
  <c r="AH175" i="67"/>
  <c r="AI175" i="67"/>
  <c r="AH167" i="67"/>
  <c r="AI167" i="67"/>
  <c r="AH159" i="67"/>
  <c r="AI159" i="67"/>
  <c r="AH151" i="67"/>
  <c r="AI151" i="67"/>
  <c r="AH143" i="67"/>
  <c r="AI143" i="67"/>
  <c r="AH135" i="67"/>
  <c r="AI135" i="67"/>
  <c r="AH127" i="67"/>
  <c r="AI127" i="67"/>
  <c r="AH119" i="67"/>
  <c r="AI119" i="67"/>
  <c r="AH111" i="67"/>
  <c r="AI111" i="67"/>
  <c r="AH103" i="67"/>
  <c r="AI103" i="67"/>
  <c r="AH95" i="67"/>
  <c r="AI95" i="67"/>
  <c r="AH87" i="67"/>
  <c r="AI87" i="67"/>
  <c r="AH79" i="67"/>
  <c r="AI79" i="67"/>
  <c r="AH71" i="67"/>
  <c r="AI71" i="67"/>
  <c r="AH63" i="67"/>
  <c r="AI63" i="67"/>
  <c r="AH55" i="67"/>
  <c r="AI55" i="67"/>
  <c r="AH47" i="67"/>
  <c r="AI47" i="67"/>
  <c r="AH39" i="67"/>
  <c r="AI39" i="67"/>
  <c r="AH31" i="67"/>
  <c r="AI31" i="67"/>
  <c r="AH23" i="67"/>
  <c r="AI23" i="67"/>
  <c r="AH15" i="67"/>
  <c r="AI15" i="67"/>
  <c r="AH254" i="67"/>
  <c r="AI254" i="67"/>
  <c r="AH246" i="67"/>
  <c r="AI246" i="67"/>
  <c r="AH238" i="67"/>
  <c r="AI238" i="67"/>
  <c r="AH230" i="67"/>
  <c r="AI230" i="67"/>
  <c r="AH222" i="67"/>
  <c r="AI222" i="67"/>
  <c r="AH214" i="67"/>
  <c r="AI214" i="67"/>
  <c r="AH206" i="67"/>
  <c r="AI206" i="67"/>
  <c r="AH198" i="67"/>
  <c r="AI198" i="67"/>
  <c r="AH190" i="67"/>
  <c r="AI190" i="67"/>
  <c r="AH182" i="67"/>
  <c r="AI182" i="67"/>
  <c r="AH174" i="67"/>
  <c r="AI174" i="67"/>
  <c r="AH166" i="67"/>
  <c r="AI166" i="67"/>
  <c r="AH158" i="67"/>
  <c r="AI158" i="67"/>
  <c r="AH150" i="67"/>
  <c r="AI150" i="67"/>
  <c r="AH142" i="67"/>
  <c r="AI142" i="67"/>
  <c r="AH134" i="67"/>
  <c r="AI134" i="67"/>
  <c r="AH126" i="67"/>
  <c r="AI126" i="67"/>
  <c r="AH118" i="67"/>
  <c r="AI118" i="67"/>
  <c r="AH110" i="67"/>
  <c r="AI110" i="67"/>
  <c r="AH102" i="67"/>
  <c r="AI102" i="67"/>
  <c r="AH94" i="67"/>
  <c r="AI94" i="67"/>
  <c r="AH86" i="67"/>
  <c r="AI86" i="67"/>
  <c r="AH78" i="67"/>
  <c r="AI78" i="67"/>
  <c r="AH70" i="67"/>
  <c r="AI70" i="67"/>
  <c r="AH62" i="67"/>
  <c r="AI62" i="67"/>
  <c r="AH54" i="67"/>
  <c r="AI54" i="67"/>
  <c r="AH46" i="67"/>
  <c r="AI46" i="67"/>
  <c r="AH38" i="67"/>
  <c r="AI38" i="67"/>
  <c r="AH30" i="67"/>
  <c r="AI30" i="67"/>
  <c r="AH22" i="67"/>
  <c r="AI22" i="67"/>
  <c r="AI253" i="67"/>
  <c r="AH253" i="67"/>
  <c r="AI245" i="67"/>
  <c r="AH245" i="67"/>
  <c r="AI237" i="67"/>
  <c r="AH237" i="67"/>
  <c r="AI229" i="67"/>
  <c r="AH229" i="67"/>
  <c r="AI221" i="67"/>
  <c r="AH221" i="67"/>
  <c r="AI213" i="67"/>
  <c r="AH213" i="67"/>
  <c r="AI205" i="67"/>
  <c r="AH205" i="67"/>
  <c r="AI197" i="67"/>
  <c r="AH197" i="67"/>
  <c r="AI189" i="67"/>
  <c r="AH189" i="67"/>
  <c r="AI181" i="67"/>
  <c r="AH181" i="67"/>
  <c r="AI173" i="67"/>
  <c r="AH173" i="67"/>
  <c r="AI165" i="67"/>
  <c r="AH165" i="67"/>
  <c r="AI157" i="67"/>
  <c r="AH157" i="67"/>
  <c r="AI149" i="67"/>
  <c r="AH149" i="67"/>
  <c r="AI141" i="67"/>
  <c r="AH141" i="67"/>
  <c r="AI133" i="67"/>
  <c r="AH133" i="67"/>
  <c r="AI125" i="67"/>
  <c r="AH125" i="67"/>
  <c r="AI117" i="67"/>
  <c r="AH117" i="67"/>
  <c r="AI109" i="67"/>
  <c r="AH109" i="67"/>
  <c r="AI101" i="67"/>
  <c r="AH101" i="67"/>
  <c r="AI93" i="67"/>
  <c r="AH93" i="67"/>
  <c r="AI85" i="67"/>
  <c r="AH85" i="67"/>
  <c r="AI77" i="67"/>
  <c r="AH77" i="67"/>
  <c r="AI69" i="67"/>
  <c r="AH69" i="67"/>
  <c r="AI61" i="67"/>
  <c r="AH61" i="67"/>
  <c r="AI53" i="67"/>
  <c r="AH53" i="67"/>
  <c r="AI45" i="67"/>
  <c r="AH45" i="67"/>
  <c r="AI37" i="67"/>
  <c r="AH37" i="67"/>
  <c r="AI29" i="67"/>
  <c r="AH29" i="67"/>
  <c r="AI21" i="67"/>
  <c r="AH21" i="67"/>
  <c r="AF22" i="53"/>
  <c r="AA22" i="53"/>
  <c r="AA21" i="53"/>
  <c r="AG22" i="57"/>
  <c r="X22" i="57"/>
  <c r="AB22" i="57" s="1"/>
  <c r="X23" i="53"/>
  <c r="AA23" i="53" s="1"/>
  <c r="G10" i="67"/>
  <c r="AA10" i="67"/>
  <c r="AD23" i="57"/>
  <c r="M25" i="53"/>
  <c r="AC25" i="53" s="1"/>
  <c r="O25" i="53"/>
  <c r="AQ23" i="57"/>
  <c r="Q23" i="57"/>
  <c r="T23" i="57" s="1"/>
  <c r="R23" i="57"/>
  <c r="M24" i="57"/>
  <c r="AK24" i="57" s="1"/>
  <c r="N25" i="53"/>
  <c r="Y19" i="67"/>
  <c r="Z19" i="67"/>
  <c r="Y18" i="67"/>
  <c r="Z18" i="67"/>
  <c r="Y17" i="67"/>
  <c r="Z17" i="67"/>
  <c r="Y16" i="67"/>
  <c r="Z16" i="67"/>
  <c r="Y15" i="67"/>
  <c r="Z15" i="67"/>
  <c r="Y14" i="67"/>
  <c r="Z14" i="67"/>
  <c r="Y13" i="67"/>
  <c r="Z13" i="67"/>
  <c r="Y12" i="67"/>
  <c r="Z12" i="67"/>
  <c r="Y11" i="67"/>
  <c r="Z11" i="67"/>
  <c r="D185" i="36"/>
  <c r="O12" i="64"/>
  <c r="P20" i="68"/>
  <c r="P28" i="68"/>
  <c r="Q28" i="68" s="1"/>
  <c r="P36" i="68"/>
  <c r="Q36" i="68" s="1"/>
  <c r="P44" i="68"/>
  <c r="Q44" i="68" s="1"/>
  <c r="P52" i="68"/>
  <c r="Q52" i="68" s="1"/>
  <c r="P60" i="68"/>
  <c r="Q60" i="68" s="1"/>
  <c r="P68" i="68"/>
  <c r="Q68" i="68" s="1"/>
  <c r="AB68" i="68" s="1"/>
  <c r="P76" i="68"/>
  <c r="Q76" i="68" s="1"/>
  <c r="P84" i="68"/>
  <c r="Q84" i="68" s="1"/>
  <c r="AB84" i="68" s="1"/>
  <c r="P92" i="68"/>
  <c r="Q92" i="68" s="1"/>
  <c r="P100" i="68"/>
  <c r="Q100" i="68" s="1"/>
  <c r="P108" i="68"/>
  <c r="Q108" i="68" s="1"/>
  <c r="P116" i="68"/>
  <c r="Q116" i="68" s="1"/>
  <c r="AB116" i="68" s="1"/>
  <c r="P124" i="68"/>
  <c r="Q124" i="68" s="1"/>
  <c r="P132" i="68"/>
  <c r="Q132" i="68" s="1"/>
  <c r="AB132" i="68" s="1"/>
  <c r="P140" i="68"/>
  <c r="Q140" i="68" s="1"/>
  <c r="P148" i="68"/>
  <c r="Q148" i="68" s="1"/>
  <c r="AB148" i="68" s="1"/>
  <c r="P156" i="68"/>
  <c r="Q156" i="68" s="1"/>
  <c r="P164" i="68"/>
  <c r="Q164" i="68" s="1"/>
  <c r="P172" i="68"/>
  <c r="Q172" i="68" s="1"/>
  <c r="P180" i="68"/>
  <c r="Q180" i="68" s="1"/>
  <c r="P188" i="68"/>
  <c r="Q188" i="68" s="1"/>
  <c r="P196" i="68"/>
  <c r="Q196" i="68" s="1"/>
  <c r="AB196" i="68" s="1"/>
  <c r="P204" i="68"/>
  <c r="Q204" i="68" s="1"/>
  <c r="P212" i="68"/>
  <c r="Q212" i="68" s="1"/>
  <c r="AB212" i="68" s="1"/>
  <c r="P220" i="68"/>
  <c r="Q220" i="68" s="1"/>
  <c r="P228" i="68"/>
  <c r="Q228" i="68" s="1"/>
  <c r="P236" i="68"/>
  <c r="Q236" i="68" s="1"/>
  <c r="P244" i="68"/>
  <c r="Q244" i="68" s="1"/>
  <c r="P252" i="68"/>
  <c r="Q252" i="68" s="1"/>
  <c r="P17" i="68"/>
  <c r="P25" i="68"/>
  <c r="Q25" i="68" s="1"/>
  <c r="P33" i="68"/>
  <c r="Q33" i="68" s="1"/>
  <c r="AB33" i="68" s="1"/>
  <c r="P41" i="68"/>
  <c r="Q41" i="68" s="1"/>
  <c r="P49" i="68"/>
  <c r="Q49" i="68" s="1"/>
  <c r="P57" i="68"/>
  <c r="Q57" i="68" s="1"/>
  <c r="P65" i="68"/>
  <c r="Q65" i="68" s="1"/>
  <c r="AB65" i="68" s="1"/>
  <c r="P73" i="68"/>
  <c r="Q73" i="68" s="1"/>
  <c r="P81" i="68"/>
  <c r="Q81" i="68" s="1"/>
  <c r="AB81" i="68" s="1"/>
  <c r="P89" i="68"/>
  <c r="Q89" i="68" s="1"/>
  <c r="P97" i="68"/>
  <c r="Q97" i="68" s="1"/>
  <c r="P105" i="68"/>
  <c r="Q105" i="68" s="1"/>
  <c r="P113" i="68"/>
  <c r="Q113" i="68" s="1"/>
  <c r="P121" i="68"/>
  <c r="Q121" i="68" s="1"/>
  <c r="P129" i="68"/>
  <c r="Q129" i="68" s="1"/>
  <c r="AB129" i="68" s="1"/>
  <c r="P137" i="68"/>
  <c r="Q137" i="68" s="1"/>
  <c r="P145" i="68"/>
  <c r="Q145" i="68" s="1"/>
  <c r="AB145" i="68" s="1"/>
  <c r="P153" i="68"/>
  <c r="Q153" i="68" s="1"/>
  <c r="P161" i="68"/>
  <c r="Q161" i="68" s="1"/>
  <c r="AB161" i="68" s="1"/>
  <c r="P169" i="68"/>
  <c r="Q169" i="68" s="1"/>
  <c r="P177" i="68"/>
  <c r="Q177" i="68" s="1"/>
  <c r="P185" i="68"/>
  <c r="Q185" i="68" s="1"/>
  <c r="P193" i="68"/>
  <c r="Q193" i="68" s="1"/>
  <c r="AB193" i="68" s="1"/>
  <c r="P201" i="68"/>
  <c r="Q201" i="68" s="1"/>
  <c r="P209" i="68"/>
  <c r="Q209" i="68" s="1"/>
  <c r="AB209" i="68" s="1"/>
  <c r="P217" i="68"/>
  <c r="Q217" i="68" s="1"/>
  <c r="P225" i="68"/>
  <c r="Q225" i="68" s="1"/>
  <c r="AB225" i="68" s="1"/>
  <c r="P233" i="68"/>
  <c r="Q233" i="68" s="1"/>
  <c r="P241" i="68"/>
  <c r="Q241" i="68" s="1"/>
  <c r="P249" i="68"/>
  <c r="Q249" i="68" s="1"/>
  <c r="AB249" i="68" s="1"/>
  <c r="P257" i="68"/>
  <c r="Q257" i="68" s="1"/>
  <c r="P22" i="68"/>
  <c r="Q22" i="68" s="1"/>
  <c r="AB22" i="68" s="1"/>
  <c r="P30" i="68"/>
  <c r="Q30" i="68" s="1"/>
  <c r="AB30" i="68" s="1"/>
  <c r="P38" i="68"/>
  <c r="Q38" i="68" s="1"/>
  <c r="P46" i="68"/>
  <c r="Q46" i="68" s="1"/>
  <c r="AB46" i="68" s="1"/>
  <c r="P54" i="68"/>
  <c r="Q54" i="68" s="1"/>
  <c r="P62" i="68"/>
  <c r="Q62" i="68" s="1"/>
  <c r="P70" i="68"/>
  <c r="Q70" i="68" s="1"/>
  <c r="P78" i="68"/>
  <c r="Q78" i="68" s="1"/>
  <c r="AB78" i="68" s="1"/>
  <c r="P86" i="68"/>
  <c r="Q86" i="68" s="1"/>
  <c r="P94" i="68"/>
  <c r="Q94" i="68" s="1"/>
  <c r="AB94" i="68" s="1"/>
  <c r="P102" i="68"/>
  <c r="Q102" i="68" s="1"/>
  <c r="P110" i="68"/>
  <c r="Q110" i="68" s="1"/>
  <c r="AB110" i="68" s="1"/>
  <c r="P118" i="68"/>
  <c r="Q118" i="68" s="1"/>
  <c r="P126" i="68"/>
  <c r="Q126" i="68" s="1"/>
  <c r="P134" i="68"/>
  <c r="Q134" i="68" s="1"/>
  <c r="P142" i="68"/>
  <c r="Q142" i="68" s="1"/>
  <c r="P150" i="68"/>
  <c r="Q150" i="68" s="1"/>
  <c r="P158" i="68"/>
  <c r="Q158" i="68" s="1"/>
  <c r="AB158" i="68" s="1"/>
  <c r="P166" i="68"/>
  <c r="Q166" i="68" s="1"/>
  <c r="P174" i="68"/>
  <c r="Q174" i="68" s="1"/>
  <c r="AB174" i="68" s="1"/>
  <c r="P182" i="68"/>
  <c r="Q182" i="68" s="1"/>
  <c r="P190" i="68"/>
  <c r="Q190" i="68" s="1"/>
  <c r="P198" i="68"/>
  <c r="Q198" i="68" s="1"/>
  <c r="P206" i="68"/>
  <c r="Q206" i="68" s="1"/>
  <c r="AB206" i="68" s="1"/>
  <c r="P214" i="68"/>
  <c r="Q214" i="68" s="1"/>
  <c r="P222" i="68"/>
  <c r="Q222" i="68" s="1"/>
  <c r="AB222" i="68" s="1"/>
  <c r="P230" i="68"/>
  <c r="Q230" i="68" s="1"/>
  <c r="P238" i="68"/>
  <c r="Q238" i="68" s="1"/>
  <c r="P246" i="68"/>
  <c r="Q246" i="68" s="1"/>
  <c r="P254" i="68"/>
  <c r="Q254" i="68" s="1"/>
  <c r="P163" i="68"/>
  <c r="Q163" i="68" s="1"/>
  <c r="P179" i="68"/>
  <c r="Q179" i="68" s="1"/>
  <c r="AB179" i="68" s="1"/>
  <c r="P195" i="68"/>
  <c r="Q195" i="68" s="1"/>
  <c r="AB195" i="68" s="1"/>
  <c r="P211" i="68"/>
  <c r="Q211" i="68" s="1"/>
  <c r="AB211" i="68" s="1"/>
  <c r="P227" i="68"/>
  <c r="Q227" i="68" s="1"/>
  <c r="P243" i="68"/>
  <c r="Q243" i="68" s="1"/>
  <c r="AB243" i="68" s="1"/>
  <c r="P259" i="68"/>
  <c r="Q259" i="68" s="1"/>
  <c r="AB259" i="68" s="1"/>
  <c r="P14" i="68"/>
  <c r="P23" i="68"/>
  <c r="Q23" i="68" s="1"/>
  <c r="P31" i="68"/>
  <c r="Q31" i="68" s="1"/>
  <c r="AB31" i="68" s="1"/>
  <c r="P47" i="68"/>
  <c r="Q47" i="68" s="1"/>
  <c r="P55" i="68"/>
  <c r="Q55" i="68" s="1"/>
  <c r="AB55" i="68" s="1"/>
  <c r="P63" i="68"/>
  <c r="Q63" i="68" s="1"/>
  <c r="P71" i="68"/>
  <c r="Q71" i="68" s="1"/>
  <c r="AB71" i="68" s="1"/>
  <c r="P79" i="68"/>
  <c r="Q79" i="68" s="1"/>
  <c r="P95" i="68"/>
  <c r="Q95" i="68" s="1"/>
  <c r="P111" i="68"/>
  <c r="Q111" i="68" s="1"/>
  <c r="P119" i="68"/>
  <c r="Q119" i="68" s="1"/>
  <c r="AB119" i="68" s="1"/>
  <c r="P127" i="68"/>
  <c r="Q127" i="68" s="1"/>
  <c r="AB127" i="68" s="1"/>
  <c r="P135" i="68"/>
  <c r="Q135" i="68" s="1"/>
  <c r="AB135" i="68" s="1"/>
  <c r="P143" i="68"/>
  <c r="Q143" i="68" s="1"/>
  <c r="AB143" i="68" s="1"/>
  <c r="P159" i="68"/>
  <c r="Q159" i="68" s="1"/>
  <c r="P167" i="68"/>
  <c r="Q167" i="68" s="1"/>
  <c r="P175" i="68"/>
  <c r="Q175" i="68" s="1"/>
  <c r="P183" i="68"/>
  <c r="Q183" i="68" s="1"/>
  <c r="P191" i="68"/>
  <c r="Q191" i="68" s="1"/>
  <c r="AB191" i="68" s="1"/>
  <c r="P199" i="68"/>
  <c r="Q199" i="68" s="1"/>
  <c r="P207" i="68"/>
  <c r="Q207" i="68" s="1"/>
  <c r="AB207" i="68" s="1"/>
  <c r="P215" i="68"/>
  <c r="Q215" i="68" s="1"/>
  <c r="P223" i="68"/>
  <c r="Q223" i="68" s="1"/>
  <c r="AB223" i="68" s="1"/>
  <c r="P231" i="68"/>
  <c r="Q231" i="68" s="1"/>
  <c r="P239" i="68"/>
  <c r="Q239" i="68" s="1"/>
  <c r="P247" i="68"/>
  <c r="Q247" i="68" s="1"/>
  <c r="P255" i="68"/>
  <c r="Q255" i="68" s="1"/>
  <c r="AB255" i="68" s="1"/>
  <c r="P24" i="68"/>
  <c r="Q24" i="68" s="1"/>
  <c r="P32" i="68"/>
  <c r="Q32" i="68" s="1"/>
  <c r="AB32" i="68" s="1"/>
  <c r="P40" i="68"/>
  <c r="Q40" i="68" s="1"/>
  <c r="P48" i="68"/>
  <c r="Q48" i="68" s="1"/>
  <c r="AB48" i="68" s="1"/>
  <c r="P56" i="68"/>
  <c r="Q56" i="68" s="1"/>
  <c r="AB56" i="68" s="1"/>
  <c r="P64" i="68"/>
  <c r="Q64" i="68" s="1"/>
  <c r="P72" i="68"/>
  <c r="Q72" i="68" s="1"/>
  <c r="AB72" i="68" s="1"/>
  <c r="P80" i="68"/>
  <c r="Q80" i="68" s="1"/>
  <c r="P88" i="68"/>
  <c r="Q88" i="68" s="1"/>
  <c r="P96" i="68"/>
  <c r="Q96" i="68" s="1"/>
  <c r="AB96" i="68" s="1"/>
  <c r="P104" i="68"/>
  <c r="Q104" i="68" s="1"/>
  <c r="P112" i="68"/>
  <c r="Q112" i="68" s="1"/>
  <c r="AB112" i="68" s="1"/>
  <c r="P120" i="68"/>
  <c r="Q120" i="68" s="1"/>
  <c r="AB120" i="68" s="1"/>
  <c r="P128" i="68"/>
  <c r="Q128" i="68" s="1"/>
  <c r="P136" i="68"/>
  <c r="Q136" i="68" s="1"/>
  <c r="AB136" i="68" s="1"/>
  <c r="P144" i="68"/>
  <c r="Q144" i="68" s="1"/>
  <c r="AB144" i="68" s="1"/>
  <c r="P152" i="68"/>
  <c r="Q152" i="68" s="1"/>
  <c r="AB152" i="68" s="1"/>
  <c r="P160" i="68"/>
  <c r="Q160" i="68" s="1"/>
  <c r="AB160" i="68" s="1"/>
  <c r="P168" i="68"/>
  <c r="Q168" i="68" s="1"/>
  <c r="P176" i="68"/>
  <c r="Q176" i="68" s="1"/>
  <c r="AB176" i="68" s="1"/>
  <c r="P184" i="68"/>
  <c r="Q184" i="68" s="1"/>
  <c r="P192" i="68"/>
  <c r="Q192" i="68" s="1"/>
  <c r="P200" i="68"/>
  <c r="Q200" i="68" s="1"/>
  <c r="P208" i="68"/>
  <c r="Q208" i="68" s="1"/>
  <c r="AB208" i="68" s="1"/>
  <c r="P216" i="68"/>
  <c r="Q216" i="68" s="1"/>
  <c r="AB216" i="68" s="1"/>
  <c r="P224" i="68"/>
  <c r="Q224" i="68" s="1"/>
  <c r="AB224" i="68" s="1"/>
  <c r="P232" i="68"/>
  <c r="Q232" i="68" s="1"/>
  <c r="AB232" i="68" s="1"/>
  <c r="P240" i="68"/>
  <c r="Q240" i="68" s="1"/>
  <c r="AB240" i="68" s="1"/>
  <c r="P248" i="68"/>
  <c r="Q248" i="68" s="1"/>
  <c r="AB248" i="68" s="1"/>
  <c r="P256" i="68"/>
  <c r="Q256" i="68" s="1"/>
  <c r="P21" i="68"/>
  <c r="P29" i="68"/>
  <c r="Q29" i="68" s="1"/>
  <c r="AB29" i="68" s="1"/>
  <c r="P37" i="68"/>
  <c r="Q37" i="68" s="1"/>
  <c r="AB37" i="68" s="1"/>
  <c r="P45" i="68"/>
  <c r="Q45" i="68" s="1"/>
  <c r="AB45" i="68" s="1"/>
  <c r="P53" i="68"/>
  <c r="Q53" i="68" s="1"/>
  <c r="AB53" i="68" s="1"/>
  <c r="P61" i="68"/>
  <c r="Q61" i="68" s="1"/>
  <c r="AB61" i="68" s="1"/>
  <c r="P69" i="68"/>
  <c r="Q69" i="68" s="1"/>
  <c r="AB69" i="68" s="1"/>
  <c r="P77" i="68"/>
  <c r="Q77" i="68" s="1"/>
  <c r="P85" i="68"/>
  <c r="Q85" i="68" s="1"/>
  <c r="AB85" i="68" s="1"/>
  <c r="P93" i="68"/>
  <c r="Q93" i="68" s="1"/>
  <c r="AB93" i="68" s="1"/>
  <c r="P101" i="68"/>
  <c r="Q101" i="68" s="1"/>
  <c r="AB101" i="68" s="1"/>
  <c r="P109" i="68"/>
  <c r="Q109" i="68" s="1"/>
  <c r="AB109" i="68" s="1"/>
  <c r="P117" i="68"/>
  <c r="Q117" i="68" s="1"/>
  <c r="AB117" i="68" s="1"/>
  <c r="P125" i="68"/>
  <c r="Q125" i="68" s="1"/>
  <c r="P133" i="68"/>
  <c r="Q133" i="68" s="1"/>
  <c r="AB133" i="68" s="1"/>
  <c r="P141" i="68"/>
  <c r="Q141" i="68" s="1"/>
  <c r="AB141" i="68" s="1"/>
  <c r="P149" i="68"/>
  <c r="Q149" i="68" s="1"/>
  <c r="AB149" i="68" s="1"/>
  <c r="P157" i="68"/>
  <c r="Q157" i="68" s="1"/>
  <c r="AB157" i="68" s="1"/>
  <c r="P165" i="68"/>
  <c r="Q165" i="68" s="1"/>
  <c r="AB165" i="68" s="1"/>
  <c r="P173" i="68"/>
  <c r="Q173" i="68" s="1"/>
  <c r="AB173" i="68" s="1"/>
  <c r="P181" i="68"/>
  <c r="Q181" i="68" s="1"/>
  <c r="AB181" i="68" s="1"/>
  <c r="P189" i="68"/>
  <c r="Q189" i="68" s="1"/>
  <c r="AB189" i="68" s="1"/>
  <c r="P197" i="68"/>
  <c r="Q197" i="68" s="1"/>
  <c r="AB197" i="68" s="1"/>
  <c r="P205" i="68"/>
  <c r="Q205" i="68" s="1"/>
  <c r="AB205" i="68" s="1"/>
  <c r="P213" i="68"/>
  <c r="Q213" i="68" s="1"/>
  <c r="AB213" i="68" s="1"/>
  <c r="P221" i="68"/>
  <c r="Q221" i="68" s="1"/>
  <c r="AB221" i="68" s="1"/>
  <c r="P229" i="68"/>
  <c r="Q229" i="68" s="1"/>
  <c r="AB229" i="68" s="1"/>
  <c r="P237" i="68"/>
  <c r="Q237" i="68" s="1"/>
  <c r="AB237" i="68" s="1"/>
  <c r="P245" i="68"/>
  <c r="Q245" i="68" s="1"/>
  <c r="AB245" i="68" s="1"/>
  <c r="P253" i="68"/>
  <c r="Q253" i="68" s="1"/>
  <c r="AB253" i="68" s="1"/>
  <c r="P18" i="68"/>
  <c r="P26" i="68"/>
  <c r="Q26" i="68" s="1"/>
  <c r="AB26" i="68" s="1"/>
  <c r="P34" i="68"/>
  <c r="Q34" i="68" s="1"/>
  <c r="AB34" i="68" s="1"/>
  <c r="P42" i="68"/>
  <c r="Q42" i="68" s="1"/>
  <c r="AB42" i="68" s="1"/>
  <c r="P50" i="68"/>
  <c r="Q50" i="68" s="1"/>
  <c r="AB50" i="68" s="1"/>
  <c r="P58" i="68"/>
  <c r="Q58" i="68" s="1"/>
  <c r="AB58" i="68" s="1"/>
  <c r="P66" i="68"/>
  <c r="Q66" i="68" s="1"/>
  <c r="AB66" i="68" s="1"/>
  <c r="P74" i="68"/>
  <c r="Q74" i="68" s="1"/>
  <c r="AB74" i="68" s="1"/>
  <c r="P82" i="68"/>
  <c r="Q82" i="68" s="1"/>
  <c r="AB82" i="68" s="1"/>
  <c r="P90" i="68"/>
  <c r="Q90" i="68" s="1"/>
  <c r="AB90" i="68" s="1"/>
  <c r="P98" i="68"/>
  <c r="Q98" i="68" s="1"/>
  <c r="AB98" i="68" s="1"/>
  <c r="P106" i="68"/>
  <c r="Q106" i="68" s="1"/>
  <c r="AB106" i="68" s="1"/>
  <c r="P114" i="68"/>
  <c r="Q114" i="68" s="1"/>
  <c r="AB114" i="68" s="1"/>
  <c r="P122" i="68"/>
  <c r="Q122" i="68" s="1"/>
  <c r="AB122" i="68" s="1"/>
  <c r="P130" i="68"/>
  <c r="Q130" i="68" s="1"/>
  <c r="AB130" i="68" s="1"/>
  <c r="P138" i="68"/>
  <c r="Q138" i="68" s="1"/>
  <c r="AB138" i="68" s="1"/>
  <c r="P146" i="68"/>
  <c r="Q146" i="68" s="1"/>
  <c r="AB146" i="68" s="1"/>
  <c r="P154" i="68"/>
  <c r="Q154" i="68" s="1"/>
  <c r="AB154" i="68" s="1"/>
  <c r="P162" i="68"/>
  <c r="Q162" i="68" s="1"/>
  <c r="AB162" i="68" s="1"/>
  <c r="P170" i="68"/>
  <c r="Q170" i="68" s="1"/>
  <c r="AB170" i="68" s="1"/>
  <c r="P178" i="68"/>
  <c r="Q178" i="68" s="1"/>
  <c r="AB178" i="68" s="1"/>
  <c r="P186" i="68"/>
  <c r="Q186" i="68" s="1"/>
  <c r="AB186" i="68" s="1"/>
  <c r="P194" i="68"/>
  <c r="Q194" i="68" s="1"/>
  <c r="AB194" i="68" s="1"/>
  <c r="P202" i="68"/>
  <c r="Q202" i="68" s="1"/>
  <c r="AB202" i="68" s="1"/>
  <c r="P210" i="68"/>
  <c r="Q210" i="68" s="1"/>
  <c r="AB210" i="68" s="1"/>
  <c r="P218" i="68"/>
  <c r="Q218" i="68" s="1"/>
  <c r="AB218" i="68" s="1"/>
  <c r="P226" i="68"/>
  <c r="Q226" i="68" s="1"/>
  <c r="AB226" i="68" s="1"/>
  <c r="P234" i="68"/>
  <c r="Q234" i="68" s="1"/>
  <c r="AB234" i="68" s="1"/>
  <c r="P242" i="68"/>
  <c r="Q242" i="68" s="1"/>
  <c r="AB242" i="68" s="1"/>
  <c r="P250" i="68"/>
  <c r="Q250" i="68" s="1"/>
  <c r="AB250" i="68" s="1"/>
  <c r="P258" i="68"/>
  <c r="Q258" i="68" s="1"/>
  <c r="AB258" i="68" s="1"/>
  <c r="P39" i="68"/>
  <c r="Q39" i="68" s="1"/>
  <c r="AB39" i="68" s="1"/>
  <c r="P87" i="68"/>
  <c r="Q87" i="68" s="1"/>
  <c r="AB87" i="68" s="1"/>
  <c r="P103" i="68"/>
  <c r="Q103" i="68" s="1"/>
  <c r="AB103" i="68" s="1"/>
  <c r="P151" i="68"/>
  <c r="Q151" i="68" s="1"/>
  <c r="AB151" i="68" s="1"/>
  <c r="P16" i="68"/>
  <c r="P15" i="68"/>
  <c r="P19" i="68"/>
  <c r="P27" i="68"/>
  <c r="Q27" i="68" s="1"/>
  <c r="AB27" i="68" s="1"/>
  <c r="P35" i="68"/>
  <c r="Q35" i="68" s="1"/>
  <c r="AB35" i="68" s="1"/>
  <c r="P43" i="68"/>
  <c r="Q43" i="68" s="1"/>
  <c r="AB43" i="68" s="1"/>
  <c r="P51" i="68"/>
  <c r="Q51" i="68" s="1"/>
  <c r="AB51" i="68" s="1"/>
  <c r="P59" i="68"/>
  <c r="Q59" i="68" s="1"/>
  <c r="AB59" i="68" s="1"/>
  <c r="P67" i="68"/>
  <c r="Q67" i="68" s="1"/>
  <c r="AB67" i="68" s="1"/>
  <c r="P75" i="68"/>
  <c r="Q75" i="68" s="1"/>
  <c r="AB75" i="68" s="1"/>
  <c r="P83" i="68"/>
  <c r="Q83" i="68" s="1"/>
  <c r="AB83" i="68" s="1"/>
  <c r="P91" i="68"/>
  <c r="Q91" i="68" s="1"/>
  <c r="AB91" i="68" s="1"/>
  <c r="P99" i="68"/>
  <c r="Q99" i="68" s="1"/>
  <c r="AB99" i="68" s="1"/>
  <c r="P107" i="68"/>
  <c r="Q107" i="68" s="1"/>
  <c r="AB107" i="68" s="1"/>
  <c r="P115" i="68"/>
  <c r="Q115" i="68" s="1"/>
  <c r="AB115" i="68" s="1"/>
  <c r="P123" i="68"/>
  <c r="Q123" i="68" s="1"/>
  <c r="AB123" i="68" s="1"/>
  <c r="P131" i="68"/>
  <c r="Q131" i="68" s="1"/>
  <c r="AB131" i="68" s="1"/>
  <c r="P139" i="68"/>
  <c r="Q139" i="68" s="1"/>
  <c r="AB139" i="68" s="1"/>
  <c r="P147" i="68"/>
  <c r="Q147" i="68" s="1"/>
  <c r="AB147" i="68" s="1"/>
  <c r="P155" i="68"/>
  <c r="Q155" i="68" s="1"/>
  <c r="AB155" i="68" s="1"/>
  <c r="P171" i="68"/>
  <c r="Q171" i="68" s="1"/>
  <c r="AB171" i="68" s="1"/>
  <c r="P187" i="68"/>
  <c r="Q187" i="68" s="1"/>
  <c r="AB187" i="68" s="1"/>
  <c r="P203" i="68"/>
  <c r="Q203" i="68" s="1"/>
  <c r="AB203" i="68" s="1"/>
  <c r="P219" i="68"/>
  <c r="Q219" i="68" s="1"/>
  <c r="AB219" i="68" s="1"/>
  <c r="P235" i="68"/>
  <c r="Q235" i="68" s="1"/>
  <c r="AB235" i="68" s="1"/>
  <c r="P251" i="68"/>
  <c r="Q251" i="68" s="1"/>
  <c r="AB251" i="68" s="1"/>
  <c r="AC20" i="57"/>
  <c r="AJ20" i="57" s="1"/>
  <c r="N24" i="57"/>
  <c r="AH20" i="53"/>
  <c r="AH19" i="53"/>
  <c r="AG23" i="53"/>
  <c r="AA21" i="57"/>
  <c r="AE21" i="57" s="1"/>
  <c r="AF21" i="57" s="1"/>
  <c r="Z54" i="67"/>
  <c r="Q16" i="64"/>
  <c r="Q15" i="64"/>
  <c r="Q14" i="64"/>
  <c r="Q13" i="64"/>
  <c r="Q257" i="64"/>
  <c r="T257" i="64"/>
  <c r="Q249" i="64"/>
  <c r="T249" i="64"/>
  <c r="Q241" i="64"/>
  <c r="T241" i="64"/>
  <c r="Q233" i="64"/>
  <c r="T233" i="64"/>
  <c r="Q225" i="64"/>
  <c r="T225" i="64"/>
  <c r="Q217" i="64"/>
  <c r="T217" i="64"/>
  <c r="Q209" i="64"/>
  <c r="T209" i="64"/>
  <c r="Q201" i="64"/>
  <c r="T201" i="64"/>
  <c r="Q193" i="64"/>
  <c r="T193" i="64"/>
  <c r="Q185" i="64"/>
  <c r="T185" i="64"/>
  <c r="Q177" i="64"/>
  <c r="T177" i="64"/>
  <c r="Q169" i="64"/>
  <c r="T169" i="64"/>
  <c r="Q161" i="64"/>
  <c r="T161" i="64"/>
  <c r="Q153" i="64"/>
  <c r="T153" i="64"/>
  <c r="Q145" i="64"/>
  <c r="T145" i="64"/>
  <c r="Q137" i="64"/>
  <c r="T137" i="64"/>
  <c r="Q129" i="64"/>
  <c r="T129" i="64"/>
  <c r="Q121" i="64"/>
  <c r="T121" i="64"/>
  <c r="Q113" i="64"/>
  <c r="T113" i="64"/>
  <c r="Q105" i="64"/>
  <c r="T105" i="64"/>
  <c r="Q97" i="64"/>
  <c r="T97" i="64"/>
  <c r="Q89" i="64"/>
  <c r="T89" i="64"/>
  <c r="Q81" i="64"/>
  <c r="T81" i="64"/>
  <c r="Q73" i="64"/>
  <c r="T73" i="64"/>
  <c r="Q65" i="64"/>
  <c r="T65" i="64"/>
  <c r="Q57" i="64"/>
  <c r="T57" i="64"/>
  <c r="Q49" i="64"/>
  <c r="T49" i="64"/>
  <c r="Q41" i="64"/>
  <c r="T41" i="64"/>
  <c r="Q33" i="64"/>
  <c r="T33" i="64"/>
  <c r="Q25" i="64"/>
  <c r="T25" i="64"/>
  <c r="Q17" i="64"/>
  <c r="Q256" i="64"/>
  <c r="T256" i="64"/>
  <c r="Q248" i="64"/>
  <c r="T248" i="64"/>
  <c r="Q240" i="64"/>
  <c r="T240" i="64"/>
  <c r="Q232" i="64"/>
  <c r="T232" i="64"/>
  <c r="Q224" i="64"/>
  <c r="T224" i="64"/>
  <c r="Q216" i="64"/>
  <c r="T216" i="64"/>
  <c r="Q208" i="64"/>
  <c r="T208" i="64"/>
  <c r="Q200" i="64"/>
  <c r="T200" i="64"/>
  <c r="Q192" i="64"/>
  <c r="T192" i="64"/>
  <c r="Q184" i="64"/>
  <c r="T184" i="64"/>
  <c r="Q176" i="64"/>
  <c r="T176" i="64"/>
  <c r="Q168" i="64"/>
  <c r="T168" i="64"/>
  <c r="Q160" i="64"/>
  <c r="T160" i="64"/>
  <c r="Q152" i="64"/>
  <c r="T152" i="64"/>
  <c r="Q144" i="64"/>
  <c r="T144" i="64"/>
  <c r="Q136" i="64"/>
  <c r="T136" i="64"/>
  <c r="Q128" i="64"/>
  <c r="T128" i="64"/>
  <c r="Q120" i="64"/>
  <c r="T120" i="64"/>
  <c r="Q112" i="64"/>
  <c r="T112" i="64"/>
  <c r="Q104" i="64"/>
  <c r="T104" i="64"/>
  <c r="Q96" i="64"/>
  <c r="T96" i="64"/>
  <c r="Q88" i="64"/>
  <c r="T88" i="64"/>
  <c r="Q80" i="64"/>
  <c r="T80" i="64"/>
  <c r="Q72" i="64"/>
  <c r="T72" i="64"/>
  <c r="Q64" i="64"/>
  <c r="T64" i="64"/>
  <c r="Q56" i="64"/>
  <c r="T56" i="64"/>
  <c r="Q48" i="64"/>
  <c r="T48" i="64"/>
  <c r="Q40" i="64"/>
  <c r="T40" i="64"/>
  <c r="Q32" i="64"/>
  <c r="T32" i="64"/>
  <c r="Q24" i="64"/>
  <c r="T24" i="64"/>
  <c r="Q255" i="64"/>
  <c r="T255" i="64"/>
  <c r="Q247" i="64"/>
  <c r="T247" i="64"/>
  <c r="Q239" i="64"/>
  <c r="T239" i="64"/>
  <c r="Q231" i="64"/>
  <c r="T231" i="64"/>
  <c r="Q223" i="64"/>
  <c r="T223" i="64"/>
  <c r="Q215" i="64"/>
  <c r="T215" i="64"/>
  <c r="Q207" i="64"/>
  <c r="T207" i="64"/>
  <c r="Q199" i="64"/>
  <c r="T199" i="64"/>
  <c r="Q191" i="64"/>
  <c r="T191" i="64"/>
  <c r="Q183" i="64"/>
  <c r="T183" i="64"/>
  <c r="Q175" i="64"/>
  <c r="T175" i="64"/>
  <c r="Q167" i="64"/>
  <c r="T167" i="64"/>
  <c r="Q159" i="64"/>
  <c r="T159" i="64"/>
  <c r="Q151" i="64"/>
  <c r="T151" i="64"/>
  <c r="Q143" i="64"/>
  <c r="T143" i="64"/>
  <c r="Q135" i="64"/>
  <c r="T135" i="64"/>
  <c r="Q127" i="64"/>
  <c r="T127" i="64"/>
  <c r="Q119" i="64"/>
  <c r="T119" i="64"/>
  <c r="Q111" i="64"/>
  <c r="T111" i="64"/>
  <c r="Q103" i="64"/>
  <c r="T103" i="64"/>
  <c r="Q95" i="64"/>
  <c r="T95" i="64"/>
  <c r="Q87" i="64"/>
  <c r="T87" i="64"/>
  <c r="Q79" i="64"/>
  <c r="T79" i="64"/>
  <c r="Q71" i="64"/>
  <c r="T71" i="64"/>
  <c r="Q63" i="64"/>
  <c r="T63" i="64"/>
  <c r="Q55" i="64"/>
  <c r="T55" i="64"/>
  <c r="Q47" i="64"/>
  <c r="T47" i="64"/>
  <c r="Q39" i="64"/>
  <c r="T39" i="64"/>
  <c r="Q31" i="64"/>
  <c r="T31" i="64"/>
  <c r="Q23" i="64"/>
  <c r="T23" i="64"/>
  <c r="Q254" i="64"/>
  <c r="T254" i="64"/>
  <c r="Q246" i="64"/>
  <c r="T246" i="64"/>
  <c r="Q238" i="64"/>
  <c r="T238" i="64"/>
  <c r="Q230" i="64"/>
  <c r="T230" i="64"/>
  <c r="Q222" i="64"/>
  <c r="T222" i="64"/>
  <c r="Q214" i="64"/>
  <c r="T214" i="64"/>
  <c r="Q206" i="64"/>
  <c r="T206" i="64"/>
  <c r="Q198" i="64"/>
  <c r="T198" i="64"/>
  <c r="Q190" i="64"/>
  <c r="T190" i="64"/>
  <c r="Q182" i="64"/>
  <c r="T182" i="64"/>
  <c r="Q174" i="64"/>
  <c r="T174" i="64"/>
  <c r="Q166" i="64"/>
  <c r="T166" i="64"/>
  <c r="Q158" i="64"/>
  <c r="T158" i="64"/>
  <c r="Q150" i="64"/>
  <c r="T150" i="64"/>
  <c r="Q142" i="64"/>
  <c r="T142" i="64"/>
  <c r="Q134" i="64"/>
  <c r="T134" i="64"/>
  <c r="Q126" i="64"/>
  <c r="T126" i="64"/>
  <c r="Q118" i="64"/>
  <c r="T118" i="64"/>
  <c r="Q110" i="64"/>
  <c r="T110" i="64"/>
  <c r="Q102" i="64"/>
  <c r="T102" i="64"/>
  <c r="Q94" i="64"/>
  <c r="T94" i="64"/>
  <c r="Q86" i="64"/>
  <c r="T86" i="64"/>
  <c r="Q78" i="64"/>
  <c r="T78" i="64"/>
  <c r="Q70" i="64"/>
  <c r="T70" i="64"/>
  <c r="Q62" i="64"/>
  <c r="T62" i="64"/>
  <c r="Q54" i="64"/>
  <c r="T54" i="64"/>
  <c r="Q46" i="64"/>
  <c r="T46" i="64"/>
  <c r="Q38" i="64"/>
  <c r="T38" i="64"/>
  <c r="Q30" i="64"/>
  <c r="T30" i="64"/>
  <c r="Q22" i="64"/>
  <c r="T22" i="64"/>
  <c r="Q253" i="64"/>
  <c r="T253" i="64"/>
  <c r="Q245" i="64"/>
  <c r="T245" i="64"/>
  <c r="Q237" i="64"/>
  <c r="T237" i="64"/>
  <c r="Q229" i="64"/>
  <c r="T229" i="64"/>
  <c r="Q221" i="64"/>
  <c r="T221" i="64"/>
  <c r="Q213" i="64"/>
  <c r="T213" i="64"/>
  <c r="Q205" i="64"/>
  <c r="T205" i="64"/>
  <c r="Q197" i="64"/>
  <c r="T197" i="64"/>
  <c r="Q189" i="64"/>
  <c r="T189" i="64"/>
  <c r="Q181" i="64"/>
  <c r="T181" i="64"/>
  <c r="Q173" i="64"/>
  <c r="T173" i="64"/>
  <c r="Q165" i="64"/>
  <c r="T165" i="64"/>
  <c r="Q157" i="64"/>
  <c r="T157" i="64"/>
  <c r="Q149" i="64"/>
  <c r="T149" i="64"/>
  <c r="Q141" i="64"/>
  <c r="T141" i="64"/>
  <c r="Q133" i="64"/>
  <c r="T133" i="64"/>
  <c r="Q125" i="64"/>
  <c r="T125" i="64"/>
  <c r="Q117" i="64"/>
  <c r="T117" i="64"/>
  <c r="Q109" i="64"/>
  <c r="T109" i="64"/>
  <c r="Q101" i="64"/>
  <c r="T101" i="64"/>
  <c r="Q93" i="64"/>
  <c r="T93" i="64"/>
  <c r="Q85" i="64"/>
  <c r="T85" i="64"/>
  <c r="Q77" i="64"/>
  <c r="T77" i="64"/>
  <c r="Q69" i="64"/>
  <c r="T69" i="64"/>
  <c r="Q61" i="64"/>
  <c r="T61" i="64"/>
  <c r="Q53" i="64"/>
  <c r="T53" i="64"/>
  <c r="Q45" i="64"/>
  <c r="T45" i="64"/>
  <c r="Q37" i="64"/>
  <c r="T37" i="64"/>
  <c r="Q29" i="64"/>
  <c r="T29" i="64"/>
  <c r="Q21" i="64"/>
  <c r="Q252" i="64"/>
  <c r="T252" i="64"/>
  <c r="Q244" i="64"/>
  <c r="T244" i="64"/>
  <c r="Q236" i="64"/>
  <c r="T236" i="64"/>
  <c r="Q228" i="64"/>
  <c r="T228" i="64"/>
  <c r="Q220" i="64"/>
  <c r="T220" i="64"/>
  <c r="Q212" i="64"/>
  <c r="T212" i="64"/>
  <c r="Q204" i="64"/>
  <c r="T204" i="64"/>
  <c r="Q196" i="64"/>
  <c r="T196" i="64"/>
  <c r="Q188" i="64"/>
  <c r="T188" i="64"/>
  <c r="Q180" i="64"/>
  <c r="T180" i="64"/>
  <c r="Q172" i="64"/>
  <c r="T172" i="64"/>
  <c r="Q164" i="64"/>
  <c r="T164" i="64"/>
  <c r="Q156" i="64"/>
  <c r="T156" i="64"/>
  <c r="Q148" i="64"/>
  <c r="T148" i="64"/>
  <c r="Q140" i="64"/>
  <c r="T140" i="64"/>
  <c r="Q132" i="64"/>
  <c r="T132" i="64"/>
  <c r="Q124" i="64"/>
  <c r="T124" i="64"/>
  <c r="Q116" i="64"/>
  <c r="T116" i="64"/>
  <c r="Q108" i="64"/>
  <c r="T108" i="64"/>
  <c r="Q100" i="64"/>
  <c r="T100" i="64"/>
  <c r="Q92" i="64"/>
  <c r="T92" i="64"/>
  <c r="Q84" i="64"/>
  <c r="T84" i="64"/>
  <c r="Q76" i="64"/>
  <c r="T76" i="64"/>
  <c r="Q68" i="64"/>
  <c r="T68" i="64"/>
  <c r="Q60" i="64"/>
  <c r="T60" i="64"/>
  <c r="Q52" i="64"/>
  <c r="T52" i="64"/>
  <c r="Q44" i="64"/>
  <c r="Q36" i="64"/>
  <c r="T36" i="64"/>
  <c r="Q28" i="64"/>
  <c r="T28" i="64"/>
  <c r="Q20" i="64"/>
  <c r="Q251" i="64"/>
  <c r="T251" i="64"/>
  <c r="Q243" i="64"/>
  <c r="T243" i="64"/>
  <c r="Q235" i="64"/>
  <c r="T235" i="64"/>
  <c r="Q227" i="64"/>
  <c r="T227" i="64"/>
  <c r="Q219" i="64"/>
  <c r="T219" i="64"/>
  <c r="Q211" i="64"/>
  <c r="T211" i="64"/>
  <c r="Q203" i="64"/>
  <c r="T203" i="64"/>
  <c r="Q195" i="64"/>
  <c r="T195" i="64"/>
  <c r="Q187" i="64"/>
  <c r="T187" i="64"/>
  <c r="Q179" i="64"/>
  <c r="T179" i="64"/>
  <c r="Q171" i="64"/>
  <c r="T171" i="64"/>
  <c r="Q163" i="64"/>
  <c r="T163" i="64"/>
  <c r="Q155" i="64"/>
  <c r="T155" i="64"/>
  <c r="Q147" i="64"/>
  <c r="T147" i="64"/>
  <c r="Q139" i="64"/>
  <c r="T139" i="64"/>
  <c r="Q131" i="64"/>
  <c r="T131" i="64"/>
  <c r="Q123" i="64"/>
  <c r="T123" i="64"/>
  <c r="Q115" i="64"/>
  <c r="T115" i="64"/>
  <c r="Q107" i="64"/>
  <c r="T107" i="64"/>
  <c r="Q99" i="64"/>
  <c r="T99" i="64"/>
  <c r="Q91" i="64"/>
  <c r="T91" i="64"/>
  <c r="Q83" i="64"/>
  <c r="T83" i="64"/>
  <c r="Q75" i="64"/>
  <c r="T75" i="64"/>
  <c r="Q67" i="64"/>
  <c r="T67" i="64"/>
  <c r="Q59" i="64"/>
  <c r="T59" i="64"/>
  <c r="Q51" i="64"/>
  <c r="T51" i="64"/>
  <c r="Q43" i="64"/>
  <c r="T43" i="64"/>
  <c r="Q35" i="64"/>
  <c r="T35" i="64"/>
  <c r="Q27" i="64"/>
  <c r="T27" i="64"/>
  <c r="Q19" i="64"/>
  <c r="Q250" i="64"/>
  <c r="T250" i="64"/>
  <c r="Q242" i="64"/>
  <c r="T242" i="64"/>
  <c r="Q234" i="64"/>
  <c r="T234" i="64"/>
  <c r="Q226" i="64"/>
  <c r="T226" i="64"/>
  <c r="Q218" i="64"/>
  <c r="T218" i="64"/>
  <c r="Q210" i="64"/>
  <c r="T210" i="64"/>
  <c r="Q202" i="64"/>
  <c r="T202" i="64"/>
  <c r="Q194" i="64"/>
  <c r="T194" i="64"/>
  <c r="Q186" i="64"/>
  <c r="T186" i="64"/>
  <c r="Q178" i="64"/>
  <c r="T178" i="64"/>
  <c r="Q170" i="64"/>
  <c r="T170" i="64"/>
  <c r="Q162" i="64"/>
  <c r="T162" i="64"/>
  <c r="Q154" i="64"/>
  <c r="T154" i="64"/>
  <c r="Q146" i="64"/>
  <c r="T146" i="64"/>
  <c r="Q138" i="64"/>
  <c r="T138" i="64"/>
  <c r="Q130" i="64"/>
  <c r="T130" i="64"/>
  <c r="Q122" i="64"/>
  <c r="T122" i="64"/>
  <c r="Q114" i="64"/>
  <c r="T114" i="64"/>
  <c r="Q106" i="64"/>
  <c r="T106" i="64"/>
  <c r="Q98" i="64"/>
  <c r="T98" i="64"/>
  <c r="Q90" i="64"/>
  <c r="T90" i="64"/>
  <c r="Q82" i="64"/>
  <c r="T82" i="64"/>
  <c r="Q74" i="64"/>
  <c r="T74" i="64"/>
  <c r="Q66" i="64"/>
  <c r="T66" i="64"/>
  <c r="Q58" i="64"/>
  <c r="T58" i="64"/>
  <c r="Q50" i="64"/>
  <c r="T50" i="64"/>
  <c r="Q42" i="64"/>
  <c r="T42" i="64"/>
  <c r="Q34" i="64"/>
  <c r="T34" i="64"/>
  <c r="Q26" i="64"/>
  <c r="T26" i="64"/>
  <c r="Q18" i="64"/>
  <c r="S12" i="68"/>
  <c r="T12" i="68" s="1"/>
  <c r="U12" i="68" s="1"/>
  <c r="Q12" i="68"/>
  <c r="AH22" i="53"/>
  <c r="O23" i="57"/>
  <c r="R24" i="53"/>
  <c r="X24" i="53" s="1"/>
  <c r="V176" i="22"/>
  <c r="Z10" i="67"/>
  <c r="AB257" i="68"/>
  <c r="AB254" i="68"/>
  <c r="AB244" i="68"/>
  <c r="AB241" i="68"/>
  <c r="AB238" i="68"/>
  <c r="AB228" i="68"/>
  <c r="AB190" i="68"/>
  <c r="AB180" i="68"/>
  <c r="AB177" i="68"/>
  <c r="AB175" i="68"/>
  <c r="AB164" i="68"/>
  <c r="AB159" i="68"/>
  <c r="AB142" i="68"/>
  <c r="AB126" i="68"/>
  <c r="AB125" i="68"/>
  <c r="AB113" i="68"/>
  <c r="AB100" i="68"/>
  <c r="AB97" i="68"/>
  <c r="AB95" i="68"/>
  <c r="AB80" i="68"/>
  <c r="AB64" i="68"/>
  <c r="AB62" i="68"/>
  <c r="AB52" i="68"/>
  <c r="AB49" i="68"/>
  <c r="AB36" i="68"/>
  <c r="AB13" i="68"/>
  <c r="L25" i="57"/>
  <c r="AK24" i="52" a="1"/>
  <c r="AK24" i="52" s="1"/>
  <c r="B26" i="53" s="1"/>
  <c r="K25" i="57"/>
  <c r="J25" i="57"/>
  <c r="E25" i="57"/>
  <c r="H25" i="57"/>
  <c r="F25" i="57"/>
  <c r="D25" i="57"/>
  <c r="G25" i="57"/>
  <c r="C25" i="57"/>
  <c r="I25" i="57"/>
  <c r="E25" i="53"/>
  <c r="C25" i="53"/>
  <c r="K25" i="53"/>
  <c r="I25" i="53"/>
  <c r="G25" i="53"/>
  <c r="L25" i="53"/>
  <c r="F25" i="53"/>
  <c r="P25" i="53"/>
  <c r="J25" i="53"/>
  <c r="H25" i="53"/>
  <c r="D25" i="53"/>
  <c r="AN24" i="55" a="1"/>
  <c r="AN24" i="55" s="1"/>
  <c r="B26" i="57" s="1"/>
  <c r="P26" i="57" s="1"/>
  <c r="L258" i="64"/>
  <c r="O258" i="64" s="1"/>
  <c r="P258" i="64" s="1"/>
  <c r="L259" i="64"/>
  <c r="O259" i="64" s="1"/>
  <c r="P259" i="64" s="1"/>
  <c r="H13" i="64"/>
  <c r="H14" i="64"/>
  <c r="H15" i="64"/>
  <c r="H16" i="64"/>
  <c r="H17" i="64"/>
  <c r="H18" i="64"/>
  <c r="H19" i="64"/>
  <c r="H20" i="64"/>
  <c r="H21" i="64"/>
  <c r="H22" i="64"/>
  <c r="H23" i="64"/>
  <c r="H24" i="64"/>
  <c r="H25" i="64"/>
  <c r="H26" i="64"/>
  <c r="H27" i="64"/>
  <c r="H28" i="64"/>
  <c r="H29" i="64"/>
  <c r="H30" i="64"/>
  <c r="H31" i="64"/>
  <c r="H32" i="64"/>
  <c r="H33" i="64"/>
  <c r="H34" i="64"/>
  <c r="H35" i="64"/>
  <c r="H36" i="64"/>
  <c r="H37" i="64"/>
  <c r="H38" i="64"/>
  <c r="H39" i="64"/>
  <c r="H40" i="64"/>
  <c r="H41" i="64"/>
  <c r="H42" i="64"/>
  <c r="H43" i="64"/>
  <c r="H44" i="64"/>
  <c r="H45" i="64"/>
  <c r="H46" i="64"/>
  <c r="H47" i="64"/>
  <c r="H48" i="64"/>
  <c r="H49" i="64"/>
  <c r="H50" i="64"/>
  <c r="H51" i="64"/>
  <c r="H52" i="64"/>
  <c r="H53" i="64"/>
  <c r="H54" i="64"/>
  <c r="H55" i="64"/>
  <c r="H56" i="64"/>
  <c r="H57" i="64"/>
  <c r="H58" i="64"/>
  <c r="H59" i="64"/>
  <c r="H60" i="64"/>
  <c r="H61" i="64"/>
  <c r="H62" i="64"/>
  <c r="H63" i="64"/>
  <c r="H64" i="64"/>
  <c r="H65" i="64"/>
  <c r="H66" i="64"/>
  <c r="H67" i="64"/>
  <c r="H68" i="64"/>
  <c r="H69" i="64"/>
  <c r="H70" i="64"/>
  <c r="H71" i="64"/>
  <c r="H72" i="64"/>
  <c r="H73" i="64"/>
  <c r="H74" i="64"/>
  <c r="H75" i="64"/>
  <c r="H76" i="64"/>
  <c r="H77" i="64"/>
  <c r="H78" i="64"/>
  <c r="H79" i="64"/>
  <c r="H80" i="64"/>
  <c r="H81" i="64"/>
  <c r="H82" i="64"/>
  <c r="H83" i="64"/>
  <c r="H84" i="64"/>
  <c r="H85" i="64"/>
  <c r="H86" i="64"/>
  <c r="H87" i="64"/>
  <c r="H88" i="64"/>
  <c r="H89" i="64"/>
  <c r="H90" i="64"/>
  <c r="H91" i="64"/>
  <c r="H92" i="64"/>
  <c r="H93" i="64"/>
  <c r="H94" i="64"/>
  <c r="H95" i="64"/>
  <c r="H96" i="64"/>
  <c r="H97" i="64"/>
  <c r="H98" i="64"/>
  <c r="H99" i="64"/>
  <c r="H100" i="64"/>
  <c r="H101" i="64"/>
  <c r="H102" i="64"/>
  <c r="H103" i="64"/>
  <c r="H104" i="64"/>
  <c r="H105" i="64"/>
  <c r="H106" i="64"/>
  <c r="H107" i="64"/>
  <c r="H108" i="64"/>
  <c r="H109" i="64"/>
  <c r="H110" i="64"/>
  <c r="H111" i="64"/>
  <c r="H112" i="64"/>
  <c r="H113" i="64"/>
  <c r="H114" i="64"/>
  <c r="H115" i="64"/>
  <c r="H116" i="64"/>
  <c r="H117" i="64"/>
  <c r="H118" i="64"/>
  <c r="H119" i="64"/>
  <c r="H120" i="64"/>
  <c r="H121" i="64"/>
  <c r="H122" i="64"/>
  <c r="H123" i="64"/>
  <c r="H124" i="64"/>
  <c r="H125" i="64"/>
  <c r="H126" i="64"/>
  <c r="H127" i="64"/>
  <c r="H128" i="64"/>
  <c r="H129" i="64"/>
  <c r="H130" i="64"/>
  <c r="H131" i="64"/>
  <c r="H132" i="64"/>
  <c r="H133" i="64"/>
  <c r="H134" i="64"/>
  <c r="H135" i="64"/>
  <c r="H136" i="64"/>
  <c r="H137" i="64"/>
  <c r="H138" i="64"/>
  <c r="H139" i="64"/>
  <c r="H140" i="64"/>
  <c r="H141" i="64"/>
  <c r="H142" i="64"/>
  <c r="H143" i="64"/>
  <c r="H144" i="64"/>
  <c r="H145" i="64"/>
  <c r="H146" i="64"/>
  <c r="H147" i="64"/>
  <c r="H148" i="64"/>
  <c r="H149" i="64"/>
  <c r="H150" i="64"/>
  <c r="H151" i="64"/>
  <c r="H152" i="64"/>
  <c r="H153" i="64"/>
  <c r="H154" i="64"/>
  <c r="H155" i="64"/>
  <c r="H156" i="64"/>
  <c r="H157" i="64"/>
  <c r="H158" i="64"/>
  <c r="H159" i="64"/>
  <c r="H160" i="64"/>
  <c r="H161" i="64"/>
  <c r="H162" i="64"/>
  <c r="H163" i="64"/>
  <c r="H164" i="64"/>
  <c r="H165" i="64"/>
  <c r="H166" i="64"/>
  <c r="H167" i="64"/>
  <c r="H168" i="64"/>
  <c r="H169" i="64"/>
  <c r="H170" i="64"/>
  <c r="H171" i="64"/>
  <c r="H172" i="64"/>
  <c r="H173" i="64"/>
  <c r="H174" i="64"/>
  <c r="H175" i="64"/>
  <c r="H176" i="64"/>
  <c r="H177" i="64"/>
  <c r="H178" i="64"/>
  <c r="H179" i="64"/>
  <c r="H180" i="64"/>
  <c r="H181" i="64"/>
  <c r="H182" i="64"/>
  <c r="H183" i="64"/>
  <c r="H184" i="64"/>
  <c r="H185" i="64"/>
  <c r="H186" i="64"/>
  <c r="H187" i="64"/>
  <c r="H188" i="64"/>
  <c r="H189" i="64"/>
  <c r="H190" i="64"/>
  <c r="H191" i="64"/>
  <c r="H192" i="64"/>
  <c r="H193" i="64"/>
  <c r="H194" i="64"/>
  <c r="H195" i="64"/>
  <c r="H196" i="64"/>
  <c r="H197" i="64"/>
  <c r="H198" i="64"/>
  <c r="H199" i="64"/>
  <c r="H200" i="64"/>
  <c r="H201" i="64"/>
  <c r="H202" i="64"/>
  <c r="H203" i="64"/>
  <c r="H204" i="64"/>
  <c r="H205" i="64"/>
  <c r="H206" i="64"/>
  <c r="H207" i="64"/>
  <c r="H208" i="64"/>
  <c r="H209" i="64"/>
  <c r="H210" i="64"/>
  <c r="H211" i="64"/>
  <c r="H212" i="64"/>
  <c r="H213" i="64"/>
  <c r="H214" i="64"/>
  <c r="H215" i="64"/>
  <c r="H216" i="64"/>
  <c r="H217" i="64"/>
  <c r="H218" i="64"/>
  <c r="H219" i="64"/>
  <c r="H220" i="64"/>
  <c r="H221" i="64"/>
  <c r="H222" i="64"/>
  <c r="H223" i="64"/>
  <c r="H224" i="64"/>
  <c r="H225" i="64"/>
  <c r="H226" i="64"/>
  <c r="H227" i="64"/>
  <c r="H228" i="64"/>
  <c r="H229" i="64"/>
  <c r="H230" i="64"/>
  <c r="H231" i="64"/>
  <c r="H232" i="64"/>
  <c r="H233" i="64"/>
  <c r="H234" i="64"/>
  <c r="H235" i="64"/>
  <c r="H236" i="64"/>
  <c r="H237" i="64"/>
  <c r="H238" i="64"/>
  <c r="H239" i="64"/>
  <c r="H240" i="64"/>
  <c r="H241" i="64"/>
  <c r="H242" i="64"/>
  <c r="H243" i="64"/>
  <c r="H244" i="64"/>
  <c r="H245" i="64"/>
  <c r="H246" i="64"/>
  <c r="H247" i="64"/>
  <c r="H248" i="64"/>
  <c r="H249" i="64"/>
  <c r="H250" i="64"/>
  <c r="H251" i="64"/>
  <c r="H252" i="64"/>
  <c r="H253" i="64"/>
  <c r="H254" i="64"/>
  <c r="H255" i="64"/>
  <c r="H256" i="64"/>
  <c r="H257" i="64"/>
  <c r="H258" i="64"/>
  <c r="H259" i="64"/>
  <c r="H12" i="64"/>
  <c r="E13" i="64"/>
  <c r="E14" i="64"/>
  <c r="E15" i="64"/>
  <c r="E16" i="64"/>
  <c r="E17" i="64"/>
  <c r="E18" i="64"/>
  <c r="E19" i="64"/>
  <c r="E20" i="64"/>
  <c r="E21" i="64"/>
  <c r="E22" i="64"/>
  <c r="E23" i="64"/>
  <c r="E24" i="64"/>
  <c r="E25" i="64"/>
  <c r="E26" i="64"/>
  <c r="E27" i="64"/>
  <c r="E28" i="64"/>
  <c r="E29" i="64"/>
  <c r="E30" i="64"/>
  <c r="E31" i="64"/>
  <c r="E32" i="64"/>
  <c r="E33" i="64"/>
  <c r="E34" i="64"/>
  <c r="E35" i="64"/>
  <c r="E36" i="64"/>
  <c r="E37" i="64"/>
  <c r="E38" i="64"/>
  <c r="E39" i="64"/>
  <c r="E40" i="64"/>
  <c r="E41" i="64"/>
  <c r="E42" i="64"/>
  <c r="E43" i="64"/>
  <c r="E44" i="64"/>
  <c r="E45" i="64"/>
  <c r="E46" i="64"/>
  <c r="E47" i="64"/>
  <c r="E48" i="64"/>
  <c r="E49" i="64"/>
  <c r="E50" i="64"/>
  <c r="E51" i="64"/>
  <c r="E52" i="64"/>
  <c r="E53" i="64"/>
  <c r="E54" i="64"/>
  <c r="E55" i="64"/>
  <c r="E56" i="64"/>
  <c r="E57" i="64"/>
  <c r="E58" i="64"/>
  <c r="E59" i="64"/>
  <c r="E60" i="64"/>
  <c r="E61" i="64"/>
  <c r="E62" i="64"/>
  <c r="E63" i="64"/>
  <c r="E64" i="64"/>
  <c r="E65" i="64"/>
  <c r="E66" i="64"/>
  <c r="E67" i="64"/>
  <c r="E68" i="64"/>
  <c r="E69" i="64"/>
  <c r="E70" i="64"/>
  <c r="E71" i="64"/>
  <c r="E72" i="64"/>
  <c r="E73" i="64"/>
  <c r="E74" i="64"/>
  <c r="E75" i="64"/>
  <c r="E76" i="64"/>
  <c r="E77" i="64"/>
  <c r="E78" i="64"/>
  <c r="E79" i="64"/>
  <c r="E80" i="64"/>
  <c r="E81" i="64"/>
  <c r="E82" i="64"/>
  <c r="E83" i="64"/>
  <c r="E84" i="64"/>
  <c r="E85" i="64"/>
  <c r="E86" i="64"/>
  <c r="E87" i="64"/>
  <c r="E88" i="64"/>
  <c r="E89" i="64"/>
  <c r="E90" i="64"/>
  <c r="E91" i="64"/>
  <c r="E92" i="64"/>
  <c r="E93" i="64"/>
  <c r="E94" i="64"/>
  <c r="E95" i="64"/>
  <c r="E96" i="64"/>
  <c r="E97" i="64"/>
  <c r="E98" i="64"/>
  <c r="E99" i="64"/>
  <c r="E100" i="64"/>
  <c r="E101" i="64"/>
  <c r="E102" i="64"/>
  <c r="E103" i="64"/>
  <c r="E104" i="64"/>
  <c r="E105" i="64"/>
  <c r="E106" i="64"/>
  <c r="E107" i="64"/>
  <c r="E108" i="64"/>
  <c r="E109" i="64"/>
  <c r="E110" i="64"/>
  <c r="E111" i="64"/>
  <c r="E112" i="64"/>
  <c r="E113" i="64"/>
  <c r="E114" i="64"/>
  <c r="E115" i="64"/>
  <c r="E116" i="64"/>
  <c r="E117" i="64"/>
  <c r="E118" i="64"/>
  <c r="E119" i="64"/>
  <c r="E120" i="64"/>
  <c r="E121" i="64"/>
  <c r="E122" i="64"/>
  <c r="E123" i="64"/>
  <c r="E124" i="64"/>
  <c r="E125" i="64"/>
  <c r="E126" i="64"/>
  <c r="E127" i="64"/>
  <c r="E128" i="64"/>
  <c r="E129" i="64"/>
  <c r="E130" i="64"/>
  <c r="E131" i="64"/>
  <c r="E132" i="64"/>
  <c r="E133" i="64"/>
  <c r="E134" i="64"/>
  <c r="E135" i="64"/>
  <c r="E136" i="64"/>
  <c r="E137" i="64"/>
  <c r="E138" i="64"/>
  <c r="E139" i="64"/>
  <c r="E140" i="64"/>
  <c r="E141" i="64"/>
  <c r="E142" i="64"/>
  <c r="E143" i="64"/>
  <c r="E144" i="64"/>
  <c r="E145" i="64"/>
  <c r="E146" i="64"/>
  <c r="E147" i="64"/>
  <c r="E148" i="64"/>
  <c r="E149" i="64"/>
  <c r="E150" i="64"/>
  <c r="E151" i="64"/>
  <c r="E152" i="64"/>
  <c r="E153" i="64"/>
  <c r="E154" i="64"/>
  <c r="E155" i="64"/>
  <c r="E156" i="64"/>
  <c r="E157" i="64"/>
  <c r="E158" i="64"/>
  <c r="E159" i="64"/>
  <c r="E160" i="64"/>
  <c r="E161" i="64"/>
  <c r="E162" i="64"/>
  <c r="E163" i="64"/>
  <c r="E164" i="64"/>
  <c r="E165" i="64"/>
  <c r="E166" i="64"/>
  <c r="E167" i="64"/>
  <c r="E168" i="64"/>
  <c r="E169" i="64"/>
  <c r="E170" i="64"/>
  <c r="E171" i="64"/>
  <c r="E172" i="64"/>
  <c r="E173" i="64"/>
  <c r="E174" i="64"/>
  <c r="E175" i="64"/>
  <c r="E176" i="64"/>
  <c r="E177" i="64"/>
  <c r="E178" i="64"/>
  <c r="E179" i="64"/>
  <c r="E180" i="64"/>
  <c r="E181" i="64"/>
  <c r="E182" i="64"/>
  <c r="E183" i="64"/>
  <c r="E184" i="64"/>
  <c r="E185" i="64"/>
  <c r="E186" i="64"/>
  <c r="E187" i="64"/>
  <c r="E188" i="64"/>
  <c r="E189" i="64"/>
  <c r="E190" i="64"/>
  <c r="E191" i="64"/>
  <c r="E192" i="64"/>
  <c r="E193" i="64"/>
  <c r="E194" i="64"/>
  <c r="E195" i="64"/>
  <c r="E196" i="64"/>
  <c r="E197" i="64"/>
  <c r="E198" i="64"/>
  <c r="E199" i="64"/>
  <c r="E200" i="64"/>
  <c r="E201" i="64"/>
  <c r="E202" i="64"/>
  <c r="E203" i="64"/>
  <c r="E204" i="64"/>
  <c r="E205" i="64"/>
  <c r="E206" i="64"/>
  <c r="E207" i="64"/>
  <c r="E208" i="64"/>
  <c r="E209" i="64"/>
  <c r="E210" i="64"/>
  <c r="E211" i="64"/>
  <c r="E212" i="64"/>
  <c r="E213" i="64"/>
  <c r="E214" i="64"/>
  <c r="E215" i="64"/>
  <c r="E216" i="64"/>
  <c r="E217" i="64"/>
  <c r="E218" i="64"/>
  <c r="E219" i="64"/>
  <c r="E220" i="64"/>
  <c r="E221" i="64"/>
  <c r="E222" i="64"/>
  <c r="E223" i="64"/>
  <c r="E224" i="64"/>
  <c r="E225" i="64"/>
  <c r="E226" i="64"/>
  <c r="E227" i="64"/>
  <c r="E228" i="64"/>
  <c r="E229" i="64"/>
  <c r="E230" i="64"/>
  <c r="E231" i="64"/>
  <c r="E232" i="64"/>
  <c r="E233" i="64"/>
  <c r="E234" i="64"/>
  <c r="E235" i="64"/>
  <c r="E236" i="64"/>
  <c r="E237" i="64"/>
  <c r="E238" i="64"/>
  <c r="E239" i="64"/>
  <c r="E240" i="64"/>
  <c r="E241" i="64"/>
  <c r="E242" i="64"/>
  <c r="E243" i="64"/>
  <c r="E244" i="64"/>
  <c r="E245" i="64"/>
  <c r="E246" i="64"/>
  <c r="E247" i="64"/>
  <c r="E248" i="64"/>
  <c r="E249" i="64"/>
  <c r="E250" i="64"/>
  <c r="E251" i="64"/>
  <c r="E252" i="64"/>
  <c r="E253" i="64"/>
  <c r="E254" i="64"/>
  <c r="E255" i="64"/>
  <c r="E256" i="64"/>
  <c r="E257" i="64"/>
  <c r="E258" i="64"/>
  <c r="F258" i="64" s="1"/>
  <c r="E259" i="64"/>
  <c r="F259" i="64" s="1"/>
  <c r="E12" i="64"/>
  <c r="Q11" i="63"/>
  <c r="Q12" i="63"/>
  <c r="Q13" i="63"/>
  <c r="Q15" i="63"/>
  <c r="Q16" i="63"/>
  <c r="Q17" i="63"/>
  <c r="Q18" i="63"/>
  <c r="Q19" i="63"/>
  <c r="Q20" i="63"/>
  <c r="Q21" i="63"/>
  <c r="Q22" i="63"/>
  <c r="Q23" i="63"/>
  <c r="Q24" i="63"/>
  <c r="Q25" i="63"/>
  <c r="Q26" i="63"/>
  <c r="Q27" i="63"/>
  <c r="Q28" i="63"/>
  <c r="Q29" i="63"/>
  <c r="Q30" i="63"/>
  <c r="Q31" i="63"/>
  <c r="Q32" i="63"/>
  <c r="Q33" i="63"/>
  <c r="Q34" i="63"/>
  <c r="Q35" i="63"/>
  <c r="Q36" i="63"/>
  <c r="Q37" i="63"/>
  <c r="Q38" i="63"/>
  <c r="Q39" i="63"/>
  <c r="Q40" i="63"/>
  <c r="Q41" i="63"/>
  <c r="Q42" i="63"/>
  <c r="Q43" i="63"/>
  <c r="Q44" i="63"/>
  <c r="Q45" i="63"/>
  <c r="Q46" i="63"/>
  <c r="Q47" i="63"/>
  <c r="Q48" i="63"/>
  <c r="Q49" i="63"/>
  <c r="Q50" i="63"/>
  <c r="Q51" i="63"/>
  <c r="Q52" i="63"/>
  <c r="Q53" i="63"/>
  <c r="Q54" i="63"/>
  <c r="Q55" i="63"/>
  <c r="Q56" i="63"/>
  <c r="Q57" i="63"/>
  <c r="Q58" i="63"/>
  <c r="Q59" i="63"/>
  <c r="Q60" i="63"/>
  <c r="Q61" i="63"/>
  <c r="Q62" i="63"/>
  <c r="Q63" i="63"/>
  <c r="Q64" i="63"/>
  <c r="Q65" i="63"/>
  <c r="Q66" i="63"/>
  <c r="Q67" i="63"/>
  <c r="Q68" i="63"/>
  <c r="Q69" i="63"/>
  <c r="Q70" i="63"/>
  <c r="Q71" i="63"/>
  <c r="Q72" i="63"/>
  <c r="Q73" i="63"/>
  <c r="Q74" i="63"/>
  <c r="Q75" i="63"/>
  <c r="Q76" i="63"/>
  <c r="Q77" i="63"/>
  <c r="Q78" i="63"/>
  <c r="Q79" i="63"/>
  <c r="Q80" i="63"/>
  <c r="Q81" i="63"/>
  <c r="Q82" i="63"/>
  <c r="Q83" i="63"/>
  <c r="Q84" i="63"/>
  <c r="Q85" i="63"/>
  <c r="Q86" i="63"/>
  <c r="Q87" i="63"/>
  <c r="Q88" i="63"/>
  <c r="Q89" i="63"/>
  <c r="Q90" i="63"/>
  <c r="Q91" i="63"/>
  <c r="Q92" i="63"/>
  <c r="Q93" i="63"/>
  <c r="Q94" i="63"/>
  <c r="Q95" i="63"/>
  <c r="Q96" i="63"/>
  <c r="Q97" i="63"/>
  <c r="Q98" i="63"/>
  <c r="Q99" i="63"/>
  <c r="Q100" i="63"/>
  <c r="Q101" i="63"/>
  <c r="Q102" i="63"/>
  <c r="Q103" i="63"/>
  <c r="Q104" i="63"/>
  <c r="Q105" i="63"/>
  <c r="Q106" i="63"/>
  <c r="Q107" i="63"/>
  <c r="Q108" i="63"/>
  <c r="Q109" i="63"/>
  <c r="Q110" i="63"/>
  <c r="Q111" i="63"/>
  <c r="Q112" i="63"/>
  <c r="Q113" i="63"/>
  <c r="Q114" i="63"/>
  <c r="Q115" i="63"/>
  <c r="Q116" i="63"/>
  <c r="Q117" i="63"/>
  <c r="Q118" i="63"/>
  <c r="Q119" i="63"/>
  <c r="Q120" i="63"/>
  <c r="Q121" i="63"/>
  <c r="Q122" i="63"/>
  <c r="Q123" i="63"/>
  <c r="Q124" i="63"/>
  <c r="Q125" i="63"/>
  <c r="Q126" i="63"/>
  <c r="Q127" i="63"/>
  <c r="Q128" i="63"/>
  <c r="Q129" i="63"/>
  <c r="Q130" i="63"/>
  <c r="Q131" i="63"/>
  <c r="Q132" i="63"/>
  <c r="Q133" i="63"/>
  <c r="Q134" i="63"/>
  <c r="Q135" i="63"/>
  <c r="Q136" i="63"/>
  <c r="Q137" i="63"/>
  <c r="Q138" i="63"/>
  <c r="Q139" i="63"/>
  <c r="Q140" i="63"/>
  <c r="Q141" i="63"/>
  <c r="Q142" i="63"/>
  <c r="Q143" i="63"/>
  <c r="Q144" i="63"/>
  <c r="Q145" i="63"/>
  <c r="Q146" i="63"/>
  <c r="Q147" i="63"/>
  <c r="Q148" i="63"/>
  <c r="Q149" i="63"/>
  <c r="Q150" i="63"/>
  <c r="Q151" i="63"/>
  <c r="Q152" i="63"/>
  <c r="Q153" i="63"/>
  <c r="Q154" i="63"/>
  <c r="Q155" i="63"/>
  <c r="Q156" i="63"/>
  <c r="Q157" i="63"/>
  <c r="Q158" i="63"/>
  <c r="Q159" i="63"/>
  <c r="Q160" i="63"/>
  <c r="Q161" i="63"/>
  <c r="Q162" i="63"/>
  <c r="Q163" i="63"/>
  <c r="Q164" i="63"/>
  <c r="Q165" i="63"/>
  <c r="Q166" i="63"/>
  <c r="Q167" i="63"/>
  <c r="Q168" i="63"/>
  <c r="Q169" i="63"/>
  <c r="Q170" i="63"/>
  <c r="Q171" i="63"/>
  <c r="Q172" i="63"/>
  <c r="Q173" i="63"/>
  <c r="Q174" i="63"/>
  <c r="Q175" i="63"/>
  <c r="Q176" i="63"/>
  <c r="Q177" i="63"/>
  <c r="Q178" i="63"/>
  <c r="Q179" i="63"/>
  <c r="Q180" i="63"/>
  <c r="Q181" i="63"/>
  <c r="Q182" i="63"/>
  <c r="Q183" i="63"/>
  <c r="Q184" i="63"/>
  <c r="Q185" i="63"/>
  <c r="Q186" i="63"/>
  <c r="Q187" i="63"/>
  <c r="Q188" i="63"/>
  <c r="Q189" i="63"/>
  <c r="Q190" i="63"/>
  <c r="Q191" i="63"/>
  <c r="Q192" i="63"/>
  <c r="Q193" i="63"/>
  <c r="Q194" i="63"/>
  <c r="Q195" i="63"/>
  <c r="Q196" i="63"/>
  <c r="Q197" i="63"/>
  <c r="Q198" i="63"/>
  <c r="Q199" i="63"/>
  <c r="Q200" i="63"/>
  <c r="Q201" i="63"/>
  <c r="Q202" i="63"/>
  <c r="Q203" i="63"/>
  <c r="Q204" i="63"/>
  <c r="Q205" i="63"/>
  <c r="Q206" i="63"/>
  <c r="Q207" i="63"/>
  <c r="Q208" i="63"/>
  <c r="Q209" i="63"/>
  <c r="Q210" i="63"/>
  <c r="Q211" i="63"/>
  <c r="Q212" i="63"/>
  <c r="Q213" i="63"/>
  <c r="Q214" i="63"/>
  <c r="Q215" i="63"/>
  <c r="Q216" i="63"/>
  <c r="Q217" i="63"/>
  <c r="Q218" i="63"/>
  <c r="Q219" i="63"/>
  <c r="Q220" i="63"/>
  <c r="Q221" i="63"/>
  <c r="Q222" i="63"/>
  <c r="Q223" i="63"/>
  <c r="Q224" i="63"/>
  <c r="Q225" i="63"/>
  <c r="Q226" i="63"/>
  <c r="Q227" i="63"/>
  <c r="Q228" i="63"/>
  <c r="Q229" i="63"/>
  <c r="Q230" i="63"/>
  <c r="Q231" i="63"/>
  <c r="Q232" i="63"/>
  <c r="Q233" i="63"/>
  <c r="Q234" i="63"/>
  <c r="Q235" i="63"/>
  <c r="Q236" i="63"/>
  <c r="Q237" i="63"/>
  <c r="Q238" i="63"/>
  <c r="Q239" i="63"/>
  <c r="Q240" i="63"/>
  <c r="Q241" i="63"/>
  <c r="Q242" i="63"/>
  <c r="Q243" i="63"/>
  <c r="Q244" i="63"/>
  <c r="Q245" i="63"/>
  <c r="Q246" i="63"/>
  <c r="Q247" i="63"/>
  <c r="Q248" i="63"/>
  <c r="Q249" i="63"/>
  <c r="Q250" i="63"/>
  <c r="Q251" i="63"/>
  <c r="Q252" i="63"/>
  <c r="Q253" i="63"/>
  <c r="Q254" i="63"/>
  <c r="Q255" i="63"/>
  <c r="Q256" i="63"/>
  <c r="Q257" i="63"/>
  <c r="Q10" i="63"/>
  <c r="F11" i="63"/>
  <c r="F12" i="63"/>
  <c r="F13" i="63"/>
  <c r="F15" i="63"/>
  <c r="G15" i="63" s="1"/>
  <c r="V15" i="63" s="1"/>
  <c r="G16" i="63"/>
  <c r="V16" i="63" s="1"/>
  <c r="F17" i="63"/>
  <c r="G17" i="63" s="1"/>
  <c r="V17" i="63" s="1"/>
  <c r="F18" i="63"/>
  <c r="G18" i="63" s="1"/>
  <c r="V18" i="63" s="1"/>
  <c r="F19" i="63"/>
  <c r="G19" i="63" s="1"/>
  <c r="V19" i="63" s="1"/>
  <c r="F20" i="63"/>
  <c r="G20" i="63" s="1"/>
  <c r="V20" i="63" s="1"/>
  <c r="F21" i="63"/>
  <c r="G21" i="63" s="1"/>
  <c r="V21" i="63" s="1"/>
  <c r="F22" i="63"/>
  <c r="G22" i="63" s="1"/>
  <c r="V22" i="63" s="1"/>
  <c r="F23" i="63"/>
  <c r="G23" i="63" s="1"/>
  <c r="V23" i="63" s="1"/>
  <c r="F24" i="63"/>
  <c r="G24" i="63" s="1"/>
  <c r="V24" i="63" s="1"/>
  <c r="F25" i="63"/>
  <c r="G25" i="63" s="1"/>
  <c r="V25" i="63" s="1"/>
  <c r="F26" i="63"/>
  <c r="G26" i="63" s="1"/>
  <c r="V26" i="63" s="1"/>
  <c r="F27" i="63"/>
  <c r="G27" i="63" s="1"/>
  <c r="V27" i="63" s="1"/>
  <c r="F28" i="63"/>
  <c r="G28" i="63" s="1"/>
  <c r="V28" i="63" s="1"/>
  <c r="F29" i="63"/>
  <c r="G29" i="63" s="1"/>
  <c r="V29" i="63" s="1"/>
  <c r="F30" i="63"/>
  <c r="G30" i="63" s="1"/>
  <c r="V30" i="63" s="1"/>
  <c r="F31" i="63"/>
  <c r="G31" i="63" s="1"/>
  <c r="V31" i="63" s="1"/>
  <c r="F32" i="63"/>
  <c r="G32" i="63" s="1"/>
  <c r="V32" i="63" s="1"/>
  <c r="F33" i="63"/>
  <c r="G33" i="63" s="1"/>
  <c r="V33" i="63" s="1"/>
  <c r="F34" i="63"/>
  <c r="G34" i="63" s="1"/>
  <c r="V34" i="63" s="1"/>
  <c r="F35" i="63"/>
  <c r="G35" i="63" s="1"/>
  <c r="V35" i="63" s="1"/>
  <c r="F36" i="63"/>
  <c r="G36" i="63" s="1"/>
  <c r="V36" i="63" s="1"/>
  <c r="F37" i="63"/>
  <c r="G37" i="63" s="1"/>
  <c r="V37" i="63" s="1"/>
  <c r="F38" i="63"/>
  <c r="G38" i="63" s="1"/>
  <c r="V38" i="63" s="1"/>
  <c r="F39" i="63"/>
  <c r="G39" i="63" s="1"/>
  <c r="V39" i="63" s="1"/>
  <c r="F40" i="63"/>
  <c r="G40" i="63" s="1"/>
  <c r="V40" i="63" s="1"/>
  <c r="F41" i="63"/>
  <c r="G41" i="63" s="1"/>
  <c r="V41" i="63" s="1"/>
  <c r="F42" i="63"/>
  <c r="G42" i="63" s="1"/>
  <c r="V42" i="63" s="1"/>
  <c r="F43" i="63"/>
  <c r="G43" i="63" s="1"/>
  <c r="V43" i="63" s="1"/>
  <c r="F44" i="63"/>
  <c r="G44" i="63" s="1"/>
  <c r="V44" i="63" s="1"/>
  <c r="F45" i="63"/>
  <c r="G45" i="63" s="1"/>
  <c r="V45" i="63" s="1"/>
  <c r="F46" i="63"/>
  <c r="G46" i="63" s="1"/>
  <c r="V46" i="63" s="1"/>
  <c r="F47" i="63"/>
  <c r="G47" i="63" s="1"/>
  <c r="V47" i="63" s="1"/>
  <c r="F48" i="63"/>
  <c r="G48" i="63" s="1"/>
  <c r="V48" i="63" s="1"/>
  <c r="F49" i="63"/>
  <c r="G49" i="63" s="1"/>
  <c r="V49" i="63" s="1"/>
  <c r="F50" i="63"/>
  <c r="G50" i="63" s="1"/>
  <c r="V50" i="63" s="1"/>
  <c r="F51" i="63"/>
  <c r="G51" i="63" s="1"/>
  <c r="V51" i="63" s="1"/>
  <c r="F52" i="63"/>
  <c r="G52" i="63" s="1"/>
  <c r="V52" i="63" s="1"/>
  <c r="F53" i="63"/>
  <c r="G53" i="63" s="1"/>
  <c r="V53" i="63" s="1"/>
  <c r="F54" i="63"/>
  <c r="G54" i="63" s="1"/>
  <c r="V54" i="63" s="1"/>
  <c r="F55" i="63"/>
  <c r="G55" i="63" s="1"/>
  <c r="V55" i="63" s="1"/>
  <c r="F56" i="63"/>
  <c r="G56" i="63" s="1"/>
  <c r="V56" i="63" s="1"/>
  <c r="F57" i="63"/>
  <c r="G57" i="63" s="1"/>
  <c r="V57" i="63" s="1"/>
  <c r="F58" i="63"/>
  <c r="G58" i="63" s="1"/>
  <c r="V58" i="63" s="1"/>
  <c r="F59" i="63"/>
  <c r="G59" i="63" s="1"/>
  <c r="V59" i="63" s="1"/>
  <c r="F60" i="63"/>
  <c r="G60" i="63" s="1"/>
  <c r="V60" i="63" s="1"/>
  <c r="F61" i="63"/>
  <c r="G61" i="63" s="1"/>
  <c r="V61" i="63" s="1"/>
  <c r="F62" i="63"/>
  <c r="G62" i="63" s="1"/>
  <c r="V62" i="63" s="1"/>
  <c r="F63" i="63"/>
  <c r="G63" i="63" s="1"/>
  <c r="V63" i="63" s="1"/>
  <c r="F64" i="63"/>
  <c r="G64" i="63" s="1"/>
  <c r="V64" i="63" s="1"/>
  <c r="F65" i="63"/>
  <c r="G65" i="63" s="1"/>
  <c r="V65" i="63" s="1"/>
  <c r="F66" i="63"/>
  <c r="G66" i="63" s="1"/>
  <c r="V66" i="63" s="1"/>
  <c r="F67" i="63"/>
  <c r="G67" i="63" s="1"/>
  <c r="V67" i="63" s="1"/>
  <c r="F68" i="63"/>
  <c r="G68" i="63" s="1"/>
  <c r="V68" i="63" s="1"/>
  <c r="F69" i="63"/>
  <c r="G69" i="63" s="1"/>
  <c r="V69" i="63" s="1"/>
  <c r="F70" i="63"/>
  <c r="G70" i="63" s="1"/>
  <c r="V70" i="63" s="1"/>
  <c r="F71" i="63"/>
  <c r="G71" i="63" s="1"/>
  <c r="V71" i="63" s="1"/>
  <c r="F72" i="63"/>
  <c r="G72" i="63" s="1"/>
  <c r="V72" i="63" s="1"/>
  <c r="F73" i="63"/>
  <c r="G73" i="63" s="1"/>
  <c r="V73" i="63" s="1"/>
  <c r="F74" i="63"/>
  <c r="G74" i="63" s="1"/>
  <c r="V74" i="63" s="1"/>
  <c r="F75" i="63"/>
  <c r="G75" i="63" s="1"/>
  <c r="V75" i="63" s="1"/>
  <c r="F76" i="63"/>
  <c r="G76" i="63" s="1"/>
  <c r="V76" i="63" s="1"/>
  <c r="F77" i="63"/>
  <c r="G77" i="63" s="1"/>
  <c r="V77" i="63" s="1"/>
  <c r="F78" i="63"/>
  <c r="G78" i="63" s="1"/>
  <c r="V78" i="63" s="1"/>
  <c r="F79" i="63"/>
  <c r="G79" i="63" s="1"/>
  <c r="V79" i="63" s="1"/>
  <c r="F80" i="63"/>
  <c r="G80" i="63" s="1"/>
  <c r="V80" i="63" s="1"/>
  <c r="F81" i="63"/>
  <c r="G81" i="63" s="1"/>
  <c r="V81" i="63" s="1"/>
  <c r="F82" i="63"/>
  <c r="G82" i="63" s="1"/>
  <c r="V82" i="63" s="1"/>
  <c r="F83" i="63"/>
  <c r="G83" i="63" s="1"/>
  <c r="V83" i="63" s="1"/>
  <c r="F84" i="63"/>
  <c r="G84" i="63" s="1"/>
  <c r="V84" i="63" s="1"/>
  <c r="F85" i="63"/>
  <c r="G85" i="63" s="1"/>
  <c r="V85" i="63" s="1"/>
  <c r="F86" i="63"/>
  <c r="G86" i="63" s="1"/>
  <c r="V86" i="63" s="1"/>
  <c r="F87" i="63"/>
  <c r="G87" i="63" s="1"/>
  <c r="V87" i="63" s="1"/>
  <c r="F88" i="63"/>
  <c r="G88" i="63" s="1"/>
  <c r="V88" i="63" s="1"/>
  <c r="F89" i="63"/>
  <c r="G89" i="63" s="1"/>
  <c r="V89" i="63" s="1"/>
  <c r="F90" i="63"/>
  <c r="G90" i="63" s="1"/>
  <c r="V90" i="63" s="1"/>
  <c r="F91" i="63"/>
  <c r="G91" i="63" s="1"/>
  <c r="V91" i="63" s="1"/>
  <c r="F92" i="63"/>
  <c r="G92" i="63" s="1"/>
  <c r="V92" i="63" s="1"/>
  <c r="F93" i="63"/>
  <c r="G93" i="63" s="1"/>
  <c r="V93" i="63" s="1"/>
  <c r="F94" i="63"/>
  <c r="G94" i="63" s="1"/>
  <c r="V94" i="63" s="1"/>
  <c r="F95" i="63"/>
  <c r="G95" i="63" s="1"/>
  <c r="V95" i="63" s="1"/>
  <c r="F96" i="63"/>
  <c r="G96" i="63" s="1"/>
  <c r="V96" i="63" s="1"/>
  <c r="F97" i="63"/>
  <c r="G97" i="63" s="1"/>
  <c r="V97" i="63" s="1"/>
  <c r="F98" i="63"/>
  <c r="G98" i="63" s="1"/>
  <c r="V98" i="63" s="1"/>
  <c r="F99" i="63"/>
  <c r="G99" i="63" s="1"/>
  <c r="V99" i="63" s="1"/>
  <c r="F100" i="63"/>
  <c r="G100" i="63" s="1"/>
  <c r="V100" i="63" s="1"/>
  <c r="F101" i="63"/>
  <c r="G101" i="63" s="1"/>
  <c r="V101" i="63" s="1"/>
  <c r="F102" i="63"/>
  <c r="G102" i="63" s="1"/>
  <c r="V102" i="63" s="1"/>
  <c r="F103" i="63"/>
  <c r="G103" i="63" s="1"/>
  <c r="V103" i="63" s="1"/>
  <c r="F104" i="63"/>
  <c r="G104" i="63" s="1"/>
  <c r="V104" i="63" s="1"/>
  <c r="F105" i="63"/>
  <c r="G105" i="63" s="1"/>
  <c r="V105" i="63" s="1"/>
  <c r="F106" i="63"/>
  <c r="G106" i="63" s="1"/>
  <c r="V106" i="63" s="1"/>
  <c r="F107" i="63"/>
  <c r="G107" i="63" s="1"/>
  <c r="V107" i="63" s="1"/>
  <c r="F108" i="63"/>
  <c r="G108" i="63" s="1"/>
  <c r="V108" i="63" s="1"/>
  <c r="F109" i="63"/>
  <c r="G109" i="63" s="1"/>
  <c r="V109" i="63" s="1"/>
  <c r="F110" i="63"/>
  <c r="G110" i="63" s="1"/>
  <c r="V110" i="63" s="1"/>
  <c r="F111" i="63"/>
  <c r="G111" i="63" s="1"/>
  <c r="V111" i="63" s="1"/>
  <c r="F112" i="63"/>
  <c r="G112" i="63" s="1"/>
  <c r="V112" i="63" s="1"/>
  <c r="F113" i="63"/>
  <c r="G113" i="63" s="1"/>
  <c r="V113" i="63" s="1"/>
  <c r="F114" i="63"/>
  <c r="G114" i="63" s="1"/>
  <c r="V114" i="63" s="1"/>
  <c r="F115" i="63"/>
  <c r="G115" i="63" s="1"/>
  <c r="V115" i="63" s="1"/>
  <c r="F116" i="63"/>
  <c r="G116" i="63" s="1"/>
  <c r="V116" i="63" s="1"/>
  <c r="F117" i="63"/>
  <c r="G117" i="63" s="1"/>
  <c r="V117" i="63" s="1"/>
  <c r="F118" i="63"/>
  <c r="G118" i="63" s="1"/>
  <c r="V118" i="63" s="1"/>
  <c r="F119" i="63"/>
  <c r="G119" i="63" s="1"/>
  <c r="V119" i="63" s="1"/>
  <c r="F120" i="63"/>
  <c r="G120" i="63" s="1"/>
  <c r="V120" i="63" s="1"/>
  <c r="F121" i="63"/>
  <c r="G121" i="63" s="1"/>
  <c r="V121" i="63" s="1"/>
  <c r="F122" i="63"/>
  <c r="G122" i="63" s="1"/>
  <c r="V122" i="63" s="1"/>
  <c r="F123" i="63"/>
  <c r="G123" i="63" s="1"/>
  <c r="V123" i="63" s="1"/>
  <c r="F124" i="63"/>
  <c r="G124" i="63" s="1"/>
  <c r="V124" i="63" s="1"/>
  <c r="F125" i="63"/>
  <c r="G125" i="63" s="1"/>
  <c r="V125" i="63" s="1"/>
  <c r="F126" i="63"/>
  <c r="G126" i="63" s="1"/>
  <c r="V126" i="63" s="1"/>
  <c r="F127" i="63"/>
  <c r="G127" i="63" s="1"/>
  <c r="V127" i="63" s="1"/>
  <c r="F128" i="63"/>
  <c r="G128" i="63" s="1"/>
  <c r="V128" i="63" s="1"/>
  <c r="F129" i="63"/>
  <c r="G129" i="63" s="1"/>
  <c r="V129" i="63" s="1"/>
  <c r="F130" i="63"/>
  <c r="G130" i="63" s="1"/>
  <c r="V130" i="63" s="1"/>
  <c r="F131" i="63"/>
  <c r="G131" i="63" s="1"/>
  <c r="V131" i="63" s="1"/>
  <c r="F132" i="63"/>
  <c r="G132" i="63" s="1"/>
  <c r="V132" i="63" s="1"/>
  <c r="F133" i="63"/>
  <c r="G133" i="63" s="1"/>
  <c r="V133" i="63" s="1"/>
  <c r="F134" i="63"/>
  <c r="G134" i="63" s="1"/>
  <c r="V134" i="63" s="1"/>
  <c r="F135" i="63"/>
  <c r="G135" i="63" s="1"/>
  <c r="V135" i="63" s="1"/>
  <c r="F136" i="63"/>
  <c r="G136" i="63" s="1"/>
  <c r="V136" i="63" s="1"/>
  <c r="F137" i="63"/>
  <c r="G137" i="63" s="1"/>
  <c r="V137" i="63" s="1"/>
  <c r="F138" i="63"/>
  <c r="G138" i="63" s="1"/>
  <c r="V138" i="63" s="1"/>
  <c r="F139" i="63"/>
  <c r="G139" i="63" s="1"/>
  <c r="V139" i="63" s="1"/>
  <c r="F140" i="63"/>
  <c r="G140" i="63" s="1"/>
  <c r="V140" i="63" s="1"/>
  <c r="F141" i="63"/>
  <c r="G141" i="63" s="1"/>
  <c r="V141" i="63" s="1"/>
  <c r="F142" i="63"/>
  <c r="G142" i="63" s="1"/>
  <c r="V142" i="63" s="1"/>
  <c r="F143" i="63"/>
  <c r="G143" i="63" s="1"/>
  <c r="V143" i="63" s="1"/>
  <c r="F144" i="63"/>
  <c r="G144" i="63" s="1"/>
  <c r="V144" i="63" s="1"/>
  <c r="F145" i="63"/>
  <c r="G145" i="63" s="1"/>
  <c r="V145" i="63" s="1"/>
  <c r="F146" i="63"/>
  <c r="G146" i="63" s="1"/>
  <c r="V146" i="63" s="1"/>
  <c r="F147" i="63"/>
  <c r="G147" i="63" s="1"/>
  <c r="V147" i="63" s="1"/>
  <c r="F148" i="63"/>
  <c r="G148" i="63" s="1"/>
  <c r="V148" i="63" s="1"/>
  <c r="F149" i="63"/>
  <c r="G149" i="63" s="1"/>
  <c r="V149" i="63" s="1"/>
  <c r="F150" i="63"/>
  <c r="G150" i="63" s="1"/>
  <c r="V150" i="63" s="1"/>
  <c r="F151" i="63"/>
  <c r="G151" i="63" s="1"/>
  <c r="V151" i="63" s="1"/>
  <c r="F152" i="63"/>
  <c r="G152" i="63" s="1"/>
  <c r="V152" i="63" s="1"/>
  <c r="F153" i="63"/>
  <c r="G153" i="63" s="1"/>
  <c r="V153" i="63" s="1"/>
  <c r="F154" i="63"/>
  <c r="G154" i="63" s="1"/>
  <c r="V154" i="63" s="1"/>
  <c r="F155" i="63"/>
  <c r="G155" i="63" s="1"/>
  <c r="V155" i="63" s="1"/>
  <c r="F156" i="63"/>
  <c r="G156" i="63" s="1"/>
  <c r="V156" i="63" s="1"/>
  <c r="F157" i="63"/>
  <c r="G157" i="63" s="1"/>
  <c r="V157" i="63" s="1"/>
  <c r="F158" i="63"/>
  <c r="G158" i="63" s="1"/>
  <c r="V158" i="63" s="1"/>
  <c r="F159" i="63"/>
  <c r="G159" i="63" s="1"/>
  <c r="V159" i="63" s="1"/>
  <c r="F160" i="63"/>
  <c r="G160" i="63" s="1"/>
  <c r="V160" i="63" s="1"/>
  <c r="F161" i="63"/>
  <c r="G161" i="63" s="1"/>
  <c r="V161" i="63" s="1"/>
  <c r="F162" i="63"/>
  <c r="G162" i="63" s="1"/>
  <c r="V162" i="63" s="1"/>
  <c r="F163" i="63"/>
  <c r="G163" i="63" s="1"/>
  <c r="V163" i="63" s="1"/>
  <c r="F164" i="63"/>
  <c r="G164" i="63" s="1"/>
  <c r="V164" i="63" s="1"/>
  <c r="F165" i="63"/>
  <c r="G165" i="63" s="1"/>
  <c r="V165" i="63" s="1"/>
  <c r="F166" i="63"/>
  <c r="G166" i="63" s="1"/>
  <c r="V166" i="63" s="1"/>
  <c r="F167" i="63"/>
  <c r="G167" i="63" s="1"/>
  <c r="V167" i="63" s="1"/>
  <c r="F168" i="63"/>
  <c r="G168" i="63" s="1"/>
  <c r="V168" i="63" s="1"/>
  <c r="F169" i="63"/>
  <c r="G169" i="63" s="1"/>
  <c r="V169" i="63" s="1"/>
  <c r="F170" i="63"/>
  <c r="G170" i="63" s="1"/>
  <c r="V170" i="63" s="1"/>
  <c r="F171" i="63"/>
  <c r="G171" i="63" s="1"/>
  <c r="V171" i="63" s="1"/>
  <c r="F172" i="63"/>
  <c r="G172" i="63" s="1"/>
  <c r="V172" i="63" s="1"/>
  <c r="F173" i="63"/>
  <c r="G173" i="63" s="1"/>
  <c r="V173" i="63" s="1"/>
  <c r="F174" i="63"/>
  <c r="G174" i="63" s="1"/>
  <c r="V174" i="63" s="1"/>
  <c r="F175" i="63"/>
  <c r="G175" i="63" s="1"/>
  <c r="V175" i="63" s="1"/>
  <c r="F176" i="63"/>
  <c r="G176" i="63" s="1"/>
  <c r="V176" i="63" s="1"/>
  <c r="F177" i="63"/>
  <c r="G177" i="63" s="1"/>
  <c r="V177" i="63" s="1"/>
  <c r="F178" i="63"/>
  <c r="G178" i="63" s="1"/>
  <c r="V178" i="63" s="1"/>
  <c r="F179" i="63"/>
  <c r="G179" i="63" s="1"/>
  <c r="V179" i="63" s="1"/>
  <c r="F180" i="63"/>
  <c r="G180" i="63" s="1"/>
  <c r="V180" i="63" s="1"/>
  <c r="F181" i="63"/>
  <c r="G181" i="63" s="1"/>
  <c r="V181" i="63" s="1"/>
  <c r="F182" i="63"/>
  <c r="G182" i="63" s="1"/>
  <c r="V182" i="63" s="1"/>
  <c r="F183" i="63"/>
  <c r="G183" i="63" s="1"/>
  <c r="V183" i="63" s="1"/>
  <c r="F184" i="63"/>
  <c r="G184" i="63" s="1"/>
  <c r="V184" i="63" s="1"/>
  <c r="F185" i="63"/>
  <c r="G185" i="63" s="1"/>
  <c r="V185" i="63" s="1"/>
  <c r="F186" i="63"/>
  <c r="G186" i="63" s="1"/>
  <c r="V186" i="63" s="1"/>
  <c r="F187" i="63"/>
  <c r="G187" i="63" s="1"/>
  <c r="V187" i="63" s="1"/>
  <c r="F188" i="63"/>
  <c r="G188" i="63" s="1"/>
  <c r="V188" i="63" s="1"/>
  <c r="F189" i="63"/>
  <c r="G189" i="63" s="1"/>
  <c r="V189" i="63" s="1"/>
  <c r="F190" i="63"/>
  <c r="G190" i="63" s="1"/>
  <c r="V190" i="63" s="1"/>
  <c r="F191" i="63"/>
  <c r="G191" i="63" s="1"/>
  <c r="V191" i="63" s="1"/>
  <c r="F192" i="63"/>
  <c r="G192" i="63" s="1"/>
  <c r="V192" i="63" s="1"/>
  <c r="F193" i="63"/>
  <c r="G193" i="63" s="1"/>
  <c r="V193" i="63" s="1"/>
  <c r="F194" i="63"/>
  <c r="G194" i="63" s="1"/>
  <c r="V194" i="63" s="1"/>
  <c r="F195" i="63"/>
  <c r="G195" i="63" s="1"/>
  <c r="V195" i="63" s="1"/>
  <c r="F196" i="63"/>
  <c r="G196" i="63" s="1"/>
  <c r="V196" i="63" s="1"/>
  <c r="F197" i="63"/>
  <c r="G197" i="63" s="1"/>
  <c r="V197" i="63" s="1"/>
  <c r="F198" i="63"/>
  <c r="G198" i="63" s="1"/>
  <c r="V198" i="63" s="1"/>
  <c r="F199" i="63"/>
  <c r="G199" i="63" s="1"/>
  <c r="V199" i="63" s="1"/>
  <c r="F200" i="63"/>
  <c r="G200" i="63" s="1"/>
  <c r="V200" i="63" s="1"/>
  <c r="F201" i="63"/>
  <c r="G201" i="63" s="1"/>
  <c r="V201" i="63" s="1"/>
  <c r="F202" i="63"/>
  <c r="G202" i="63" s="1"/>
  <c r="V202" i="63" s="1"/>
  <c r="F203" i="63"/>
  <c r="G203" i="63" s="1"/>
  <c r="V203" i="63" s="1"/>
  <c r="F204" i="63"/>
  <c r="G204" i="63" s="1"/>
  <c r="V204" i="63" s="1"/>
  <c r="F205" i="63"/>
  <c r="G205" i="63" s="1"/>
  <c r="V205" i="63" s="1"/>
  <c r="F206" i="63"/>
  <c r="G206" i="63" s="1"/>
  <c r="V206" i="63" s="1"/>
  <c r="F207" i="63"/>
  <c r="G207" i="63" s="1"/>
  <c r="V207" i="63" s="1"/>
  <c r="F208" i="63"/>
  <c r="G208" i="63" s="1"/>
  <c r="V208" i="63" s="1"/>
  <c r="F209" i="63"/>
  <c r="G209" i="63" s="1"/>
  <c r="V209" i="63" s="1"/>
  <c r="F210" i="63"/>
  <c r="G210" i="63" s="1"/>
  <c r="V210" i="63" s="1"/>
  <c r="F211" i="63"/>
  <c r="G211" i="63" s="1"/>
  <c r="V211" i="63" s="1"/>
  <c r="F212" i="63"/>
  <c r="G212" i="63" s="1"/>
  <c r="V212" i="63" s="1"/>
  <c r="F213" i="63"/>
  <c r="G213" i="63" s="1"/>
  <c r="V213" i="63" s="1"/>
  <c r="F214" i="63"/>
  <c r="G214" i="63" s="1"/>
  <c r="V214" i="63" s="1"/>
  <c r="F215" i="63"/>
  <c r="G215" i="63" s="1"/>
  <c r="V215" i="63" s="1"/>
  <c r="F216" i="63"/>
  <c r="G216" i="63" s="1"/>
  <c r="V216" i="63" s="1"/>
  <c r="F217" i="63"/>
  <c r="G217" i="63" s="1"/>
  <c r="V217" i="63" s="1"/>
  <c r="F218" i="63"/>
  <c r="G218" i="63" s="1"/>
  <c r="V218" i="63" s="1"/>
  <c r="F219" i="63"/>
  <c r="G219" i="63" s="1"/>
  <c r="V219" i="63" s="1"/>
  <c r="F220" i="63"/>
  <c r="G220" i="63" s="1"/>
  <c r="V220" i="63" s="1"/>
  <c r="F221" i="63"/>
  <c r="G221" i="63" s="1"/>
  <c r="V221" i="63" s="1"/>
  <c r="F222" i="63"/>
  <c r="G222" i="63" s="1"/>
  <c r="V222" i="63" s="1"/>
  <c r="F223" i="63"/>
  <c r="G223" i="63" s="1"/>
  <c r="V223" i="63" s="1"/>
  <c r="F224" i="63"/>
  <c r="G224" i="63" s="1"/>
  <c r="V224" i="63" s="1"/>
  <c r="F225" i="63"/>
  <c r="G225" i="63" s="1"/>
  <c r="V225" i="63" s="1"/>
  <c r="F226" i="63"/>
  <c r="G226" i="63" s="1"/>
  <c r="V226" i="63" s="1"/>
  <c r="F227" i="63"/>
  <c r="G227" i="63" s="1"/>
  <c r="V227" i="63" s="1"/>
  <c r="F228" i="63"/>
  <c r="G228" i="63" s="1"/>
  <c r="V228" i="63" s="1"/>
  <c r="F229" i="63"/>
  <c r="G229" i="63" s="1"/>
  <c r="V229" i="63" s="1"/>
  <c r="F230" i="63"/>
  <c r="G230" i="63" s="1"/>
  <c r="V230" i="63" s="1"/>
  <c r="F231" i="63"/>
  <c r="G231" i="63" s="1"/>
  <c r="V231" i="63" s="1"/>
  <c r="F232" i="63"/>
  <c r="G232" i="63" s="1"/>
  <c r="V232" i="63" s="1"/>
  <c r="F233" i="63"/>
  <c r="G233" i="63" s="1"/>
  <c r="V233" i="63" s="1"/>
  <c r="F234" i="63"/>
  <c r="G234" i="63" s="1"/>
  <c r="V234" i="63" s="1"/>
  <c r="F235" i="63"/>
  <c r="G235" i="63" s="1"/>
  <c r="V235" i="63" s="1"/>
  <c r="F236" i="63"/>
  <c r="G236" i="63" s="1"/>
  <c r="V236" i="63" s="1"/>
  <c r="F237" i="63"/>
  <c r="G237" i="63" s="1"/>
  <c r="V237" i="63" s="1"/>
  <c r="F238" i="63"/>
  <c r="G238" i="63" s="1"/>
  <c r="V238" i="63" s="1"/>
  <c r="F239" i="63"/>
  <c r="G239" i="63" s="1"/>
  <c r="V239" i="63" s="1"/>
  <c r="F240" i="63"/>
  <c r="G240" i="63" s="1"/>
  <c r="V240" i="63" s="1"/>
  <c r="F241" i="63"/>
  <c r="G241" i="63" s="1"/>
  <c r="V241" i="63" s="1"/>
  <c r="F242" i="63"/>
  <c r="G242" i="63" s="1"/>
  <c r="V242" i="63" s="1"/>
  <c r="F243" i="63"/>
  <c r="G243" i="63" s="1"/>
  <c r="V243" i="63" s="1"/>
  <c r="F244" i="63"/>
  <c r="G244" i="63" s="1"/>
  <c r="V244" i="63" s="1"/>
  <c r="F245" i="63"/>
  <c r="G245" i="63" s="1"/>
  <c r="V245" i="63" s="1"/>
  <c r="F246" i="63"/>
  <c r="G246" i="63" s="1"/>
  <c r="V246" i="63" s="1"/>
  <c r="F247" i="63"/>
  <c r="G247" i="63" s="1"/>
  <c r="V247" i="63" s="1"/>
  <c r="F248" i="63"/>
  <c r="G248" i="63" s="1"/>
  <c r="V248" i="63" s="1"/>
  <c r="F249" i="63"/>
  <c r="G249" i="63" s="1"/>
  <c r="V249" i="63" s="1"/>
  <c r="F250" i="63"/>
  <c r="G250" i="63" s="1"/>
  <c r="V250" i="63" s="1"/>
  <c r="F251" i="63"/>
  <c r="G251" i="63" s="1"/>
  <c r="V251" i="63" s="1"/>
  <c r="F252" i="63"/>
  <c r="G252" i="63" s="1"/>
  <c r="V252" i="63" s="1"/>
  <c r="F253" i="63"/>
  <c r="G253" i="63" s="1"/>
  <c r="V253" i="63" s="1"/>
  <c r="F254" i="63"/>
  <c r="G254" i="63" s="1"/>
  <c r="V254" i="63" s="1"/>
  <c r="F255" i="63"/>
  <c r="G255" i="63" s="1"/>
  <c r="V255" i="63" s="1"/>
  <c r="F256" i="63"/>
  <c r="G256" i="63" s="1"/>
  <c r="V256" i="63" s="1"/>
  <c r="F257" i="63"/>
  <c r="G257" i="63" s="1"/>
  <c r="V257" i="63" s="1"/>
  <c r="F10" i="63"/>
  <c r="AJ259" i="69"/>
  <c r="AJ258" i="69"/>
  <c r="B3" i="69"/>
  <c r="D260" i="68"/>
  <c r="B3" i="68"/>
  <c r="AM257" i="67"/>
  <c r="AL257" i="67"/>
  <c r="AM256" i="67"/>
  <c r="AL256" i="67"/>
  <c r="AM255" i="67"/>
  <c r="AL255" i="67"/>
  <c r="AM254" i="67"/>
  <c r="AL254" i="67"/>
  <c r="AM253" i="67"/>
  <c r="AL253" i="67"/>
  <c r="AM252" i="67"/>
  <c r="AL252" i="67"/>
  <c r="AM251" i="67"/>
  <c r="AL251" i="67"/>
  <c r="AM250" i="67"/>
  <c r="AL250" i="67"/>
  <c r="AM249" i="67"/>
  <c r="AL249" i="67"/>
  <c r="AM248" i="67"/>
  <c r="AL248" i="67"/>
  <c r="AM247" i="67"/>
  <c r="AL247" i="67"/>
  <c r="AM246" i="67"/>
  <c r="AL246" i="67"/>
  <c r="AM245" i="67"/>
  <c r="AL245" i="67"/>
  <c r="AM244" i="67"/>
  <c r="AL244" i="67"/>
  <c r="AM243" i="67"/>
  <c r="AL243" i="67"/>
  <c r="AM242" i="67"/>
  <c r="AL242" i="67"/>
  <c r="AM241" i="67"/>
  <c r="AL241" i="67"/>
  <c r="AM240" i="67"/>
  <c r="AL240" i="67"/>
  <c r="AM239" i="67"/>
  <c r="AL239" i="67"/>
  <c r="AM238" i="67"/>
  <c r="AL238" i="67"/>
  <c r="AM237" i="67"/>
  <c r="AL237" i="67"/>
  <c r="AM236" i="67"/>
  <c r="AL236" i="67"/>
  <c r="AM235" i="67"/>
  <c r="AL235" i="67"/>
  <c r="AM234" i="67"/>
  <c r="AL234" i="67"/>
  <c r="AM233" i="67"/>
  <c r="AL233" i="67"/>
  <c r="AM232" i="67"/>
  <c r="AL232" i="67"/>
  <c r="AM231" i="67"/>
  <c r="AL231" i="67"/>
  <c r="AM230" i="67"/>
  <c r="AL230" i="67"/>
  <c r="AM229" i="67"/>
  <c r="AL229" i="67"/>
  <c r="AM228" i="67"/>
  <c r="AL228" i="67"/>
  <c r="AM227" i="67"/>
  <c r="AL227" i="67"/>
  <c r="AM226" i="67"/>
  <c r="AL226" i="67"/>
  <c r="AM225" i="67"/>
  <c r="AL225" i="67"/>
  <c r="AM224" i="67"/>
  <c r="AL224" i="67"/>
  <c r="AM223" i="67"/>
  <c r="AL223" i="67"/>
  <c r="AM222" i="67"/>
  <c r="AL222" i="67"/>
  <c r="AM221" i="67"/>
  <c r="AL221" i="67"/>
  <c r="AM220" i="67"/>
  <c r="AL220" i="67"/>
  <c r="AM219" i="67"/>
  <c r="AL219" i="67"/>
  <c r="AM218" i="67"/>
  <c r="AL218" i="67"/>
  <c r="AM217" i="67"/>
  <c r="AL217" i="67"/>
  <c r="AM216" i="67"/>
  <c r="AL216" i="67"/>
  <c r="AM215" i="67"/>
  <c r="AL215" i="67"/>
  <c r="AM214" i="67"/>
  <c r="AL214" i="67"/>
  <c r="AM213" i="67"/>
  <c r="AL213" i="67"/>
  <c r="AM212" i="67"/>
  <c r="AL212" i="67"/>
  <c r="AM211" i="67"/>
  <c r="AL211" i="67"/>
  <c r="AM210" i="67"/>
  <c r="AL210" i="67"/>
  <c r="AM209" i="67"/>
  <c r="AL209" i="67"/>
  <c r="AM208" i="67"/>
  <c r="AL208" i="67"/>
  <c r="AM207" i="67"/>
  <c r="AL207" i="67"/>
  <c r="AM206" i="67"/>
  <c r="AL206" i="67"/>
  <c r="AM205" i="67"/>
  <c r="AL205" i="67"/>
  <c r="AM204" i="67"/>
  <c r="AL204" i="67"/>
  <c r="AM203" i="67"/>
  <c r="AL203" i="67"/>
  <c r="AM202" i="67"/>
  <c r="AL202" i="67"/>
  <c r="AM201" i="67"/>
  <c r="AL201" i="67"/>
  <c r="AM200" i="67"/>
  <c r="AL200" i="67"/>
  <c r="AM199" i="67"/>
  <c r="AL199" i="67"/>
  <c r="AM198" i="67"/>
  <c r="AL198" i="67"/>
  <c r="AM197" i="67"/>
  <c r="AL197" i="67"/>
  <c r="AM196" i="67"/>
  <c r="AL196" i="67"/>
  <c r="AM195" i="67"/>
  <c r="AL195" i="67"/>
  <c r="AM194" i="67"/>
  <c r="AL194" i="67"/>
  <c r="AM193" i="67"/>
  <c r="AL193" i="67"/>
  <c r="AM192" i="67"/>
  <c r="AL192" i="67"/>
  <c r="AM191" i="67"/>
  <c r="AL191" i="67"/>
  <c r="AM190" i="67"/>
  <c r="AL190" i="67"/>
  <c r="AM189" i="67"/>
  <c r="AL189" i="67"/>
  <c r="AM188" i="67"/>
  <c r="AL188" i="67"/>
  <c r="AM187" i="67"/>
  <c r="AL187" i="67"/>
  <c r="AM186" i="67"/>
  <c r="AL186" i="67"/>
  <c r="AM185" i="67"/>
  <c r="AL185" i="67"/>
  <c r="AM184" i="67"/>
  <c r="AL184" i="67"/>
  <c r="AM183" i="67"/>
  <c r="AL183" i="67"/>
  <c r="AM182" i="67"/>
  <c r="AL182" i="67"/>
  <c r="AM181" i="67"/>
  <c r="AL181" i="67"/>
  <c r="AM180" i="67"/>
  <c r="AL180" i="67"/>
  <c r="AM179" i="67"/>
  <c r="AL179" i="67"/>
  <c r="AM178" i="67"/>
  <c r="AL178" i="67"/>
  <c r="AM177" i="67"/>
  <c r="AL177" i="67"/>
  <c r="AM176" i="67"/>
  <c r="AL176" i="67"/>
  <c r="AM175" i="67"/>
  <c r="AL175" i="67"/>
  <c r="AM174" i="67"/>
  <c r="AL174" i="67"/>
  <c r="AM173" i="67"/>
  <c r="AL173" i="67"/>
  <c r="AM172" i="67"/>
  <c r="AL172" i="67"/>
  <c r="AM171" i="67"/>
  <c r="AL171" i="67"/>
  <c r="AM170" i="67"/>
  <c r="AL170" i="67"/>
  <c r="AM169" i="67"/>
  <c r="AL169" i="67"/>
  <c r="AM168" i="67"/>
  <c r="AL168" i="67"/>
  <c r="AM167" i="67"/>
  <c r="AL167" i="67"/>
  <c r="AM166" i="67"/>
  <c r="AL166" i="67"/>
  <c r="AM165" i="67"/>
  <c r="AL165" i="67"/>
  <c r="AM164" i="67"/>
  <c r="AL164" i="67"/>
  <c r="AM163" i="67"/>
  <c r="AL163" i="67"/>
  <c r="AM162" i="67"/>
  <c r="AL162" i="67"/>
  <c r="AM161" i="67"/>
  <c r="AL161" i="67"/>
  <c r="AM160" i="67"/>
  <c r="AL160" i="67"/>
  <c r="AM159" i="67"/>
  <c r="AL159" i="67"/>
  <c r="AM158" i="67"/>
  <c r="AL158" i="67"/>
  <c r="AM157" i="67"/>
  <c r="AL157" i="67"/>
  <c r="AM156" i="67"/>
  <c r="AL156" i="67"/>
  <c r="AM155" i="67"/>
  <c r="AL155" i="67"/>
  <c r="AM154" i="67"/>
  <c r="AL154" i="67"/>
  <c r="AM153" i="67"/>
  <c r="AL153" i="67"/>
  <c r="AM152" i="67"/>
  <c r="AL152" i="67"/>
  <c r="AM151" i="67"/>
  <c r="AL151" i="67"/>
  <c r="AM150" i="67"/>
  <c r="AL150" i="67"/>
  <c r="AM149" i="67"/>
  <c r="AL149" i="67"/>
  <c r="AM148" i="67"/>
  <c r="AL148" i="67"/>
  <c r="AM147" i="67"/>
  <c r="AL147" i="67"/>
  <c r="AM146" i="67"/>
  <c r="AL146" i="67"/>
  <c r="AM145" i="67"/>
  <c r="AL145" i="67"/>
  <c r="AM144" i="67"/>
  <c r="AL144" i="67"/>
  <c r="AM143" i="67"/>
  <c r="AL143" i="67"/>
  <c r="AM142" i="67"/>
  <c r="AL142" i="67"/>
  <c r="AM141" i="67"/>
  <c r="AL141" i="67"/>
  <c r="AM140" i="67"/>
  <c r="AL140" i="67"/>
  <c r="AM139" i="67"/>
  <c r="AL139" i="67"/>
  <c r="AM138" i="67"/>
  <c r="AL138" i="67"/>
  <c r="AM137" i="67"/>
  <c r="AL137" i="67"/>
  <c r="AM136" i="67"/>
  <c r="AL136" i="67"/>
  <c r="AM135" i="67"/>
  <c r="AL135" i="67"/>
  <c r="AM134" i="67"/>
  <c r="AL134" i="67"/>
  <c r="AM133" i="67"/>
  <c r="AL133" i="67"/>
  <c r="AM132" i="67"/>
  <c r="AL132" i="67"/>
  <c r="AM131" i="67"/>
  <c r="AL131" i="67"/>
  <c r="AM130" i="67"/>
  <c r="AL130" i="67"/>
  <c r="AM129" i="67"/>
  <c r="AL129" i="67"/>
  <c r="AM128" i="67"/>
  <c r="AL128" i="67"/>
  <c r="AM127" i="67"/>
  <c r="AL127" i="67"/>
  <c r="AM126" i="67"/>
  <c r="AL126" i="67"/>
  <c r="AM125" i="67"/>
  <c r="AL125" i="67"/>
  <c r="AM124" i="67"/>
  <c r="AL124" i="67"/>
  <c r="AM123" i="67"/>
  <c r="AL123" i="67"/>
  <c r="AM122" i="67"/>
  <c r="AL122" i="67"/>
  <c r="AM121" i="67"/>
  <c r="AL121" i="67"/>
  <c r="AM120" i="67"/>
  <c r="AL120" i="67"/>
  <c r="AM119" i="67"/>
  <c r="AL119" i="67"/>
  <c r="AM118" i="67"/>
  <c r="AL118" i="67"/>
  <c r="AM117" i="67"/>
  <c r="AL117" i="67"/>
  <c r="AM116" i="67"/>
  <c r="AL116" i="67"/>
  <c r="AM115" i="67"/>
  <c r="AL115" i="67"/>
  <c r="AM114" i="67"/>
  <c r="AL114" i="67"/>
  <c r="AM113" i="67"/>
  <c r="AL113" i="67"/>
  <c r="AM112" i="67"/>
  <c r="AL112" i="67"/>
  <c r="AM111" i="67"/>
  <c r="AL111" i="67"/>
  <c r="AM110" i="67"/>
  <c r="AL110" i="67"/>
  <c r="AM109" i="67"/>
  <c r="AL109" i="67"/>
  <c r="AM108" i="67"/>
  <c r="AL108" i="67"/>
  <c r="AM107" i="67"/>
  <c r="AL107" i="67"/>
  <c r="AM106" i="67"/>
  <c r="AL106" i="67"/>
  <c r="AM105" i="67"/>
  <c r="AL105" i="67"/>
  <c r="AM104" i="67"/>
  <c r="AL104" i="67"/>
  <c r="AM103" i="67"/>
  <c r="AL103" i="67"/>
  <c r="AM102" i="67"/>
  <c r="AL102" i="67"/>
  <c r="AM101" i="67"/>
  <c r="AL101" i="67"/>
  <c r="AM100" i="67"/>
  <c r="AL100" i="67"/>
  <c r="AM99" i="67"/>
  <c r="AL99" i="67"/>
  <c r="AM98" i="67"/>
  <c r="AL98" i="67"/>
  <c r="AM97" i="67"/>
  <c r="AL97" i="67"/>
  <c r="AM96" i="67"/>
  <c r="AL96" i="67"/>
  <c r="AM95" i="67"/>
  <c r="AL95" i="67"/>
  <c r="AM94" i="67"/>
  <c r="AL94" i="67"/>
  <c r="AM93" i="67"/>
  <c r="AL93" i="67"/>
  <c r="AM92" i="67"/>
  <c r="AL92" i="67"/>
  <c r="AM91" i="67"/>
  <c r="AL91" i="67"/>
  <c r="AM90" i="67"/>
  <c r="AL90" i="67"/>
  <c r="AM89" i="67"/>
  <c r="AL89" i="67"/>
  <c r="AM88" i="67"/>
  <c r="AL88" i="67"/>
  <c r="AM87" i="67"/>
  <c r="AL87" i="67"/>
  <c r="AM86" i="67"/>
  <c r="AL86" i="67"/>
  <c r="AM85" i="67"/>
  <c r="AL85" i="67"/>
  <c r="AM84" i="67"/>
  <c r="AL84" i="67"/>
  <c r="AM83" i="67"/>
  <c r="AL83" i="67"/>
  <c r="AM82" i="67"/>
  <c r="AL82" i="67"/>
  <c r="AM81" i="67"/>
  <c r="AL81" i="67"/>
  <c r="AM80" i="67"/>
  <c r="AL80" i="67"/>
  <c r="AM79" i="67"/>
  <c r="AL79" i="67"/>
  <c r="AM78" i="67"/>
  <c r="AL78" i="67"/>
  <c r="AM77" i="67"/>
  <c r="AL77" i="67"/>
  <c r="AM76" i="67"/>
  <c r="AL76" i="67"/>
  <c r="AM75" i="67"/>
  <c r="AL75" i="67"/>
  <c r="AM74" i="67"/>
  <c r="AL74" i="67"/>
  <c r="AM73" i="67"/>
  <c r="AL73" i="67"/>
  <c r="AM72" i="67"/>
  <c r="AL72" i="67"/>
  <c r="AM71" i="67"/>
  <c r="AL71" i="67"/>
  <c r="AM70" i="67"/>
  <c r="AL70" i="67"/>
  <c r="AM69" i="67"/>
  <c r="AL69" i="67"/>
  <c r="AM68" i="67"/>
  <c r="AL68" i="67"/>
  <c r="AM67" i="67"/>
  <c r="AL67" i="67"/>
  <c r="AM66" i="67"/>
  <c r="AL66" i="67"/>
  <c r="AM65" i="67"/>
  <c r="AL65" i="67"/>
  <c r="AM64" i="67"/>
  <c r="AL64" i="67"/>
  <c r="AM63" i="67"/>
  <c r="AL63" i="67"/>
  <c r="AM62" i="67"/>
  <c r="AL62" i="67"/>
  <c r="AM61" i="67"/>
  <c r="AL61" i="67"/>
  <c r="AM60" i="67"/>
  <c r="AL60" i="67"/>
  <c r="AM59" i="67"/>
  <c r="AL59" i="67"/>
  <c r="AM58" i="67"/>
  <c r="AL58" i="67"/>
  <c r="AM57" i="67"/>
  <c r="AL57" i="67"/>
  <c r="AM56" i="67"/>
  <c r="AL56" i="67"/>
  <c r="AM55" i="67"/>
  <c r="AL55" i="67"/>
  <c r="AM54" i="67"/>
  <c r="AL54" i="67"/>
  <c r="AM53" i="67"/>
  <c r="AL53" i="67"/>
  <c r="AM52" i="67"/>
  <c r="AL52" i="67"/>
  <c r="AM51" i="67"/>
  <c r="AL51" i="67"/>
  <c r="AM50" i="67"/>
  <c r="AL50" i="67"/>
  <c r="AM49" i="67"/>
  <c r="AL49" i="67"/>
  <c r="AM48" i="67"/>
  <c r="AL48" i="67"/>
  <c r="AM47" i="67"/>
  <c r="AL47" i="67"/>
  <c r="AM46" i="67"/>
  <c r="AL46" i="67"/>
  <c r="AM45" i="67"/>
  <c r="AL45" i="67"/>
  <c r="AM44" i="67"/>
  <c r="AL44" i="67"/>
  <c r="AM43" i="67"/>
  <c r="AL43" i="67"/>
  <c r="AM42" i="67"/>
  <c r="AL42" i="67"/>
  <c r="AM41" i="67"/>
  <c r="AL41" i="67"/>
  <c r="AM40" i="67"/>
  <c r="AL40" i="67"/>
  <c r="AM39" i="67"/>
  <c r="AL39" i="67"/>
  <c r="AM38" i="67"/>
  <c r="AL38" i="67"/>
  <c r="AM37" i="67"/>
  <c r="AL37" i="67"/>
  <c r="AM36" i="67"/>
  <c r="AL36" i="67"/>
  <c r="AM35" i="67"/>
  <c r="AL35" i="67"/>
  <c r="AM34" i="67"/>
  <c r="AL34" i="67"/>
  <c r="AM33" i="67"/>
  <c r="AL33" i="67"/>
  <c r="AM32" i="67"/>
  <c r="AL32" i="67"/>
  <c r="AM31" i="67"/>
  <c r="AL31" i="67"/>
  <c r="AM30" i="67"/>
  <c r="AL30" i="67"/>
  <c r="AM29" i="67"/>
  <c r="AL29" i="67"/>
  <c r="AM28" i="67"/>
  <c r="AL28" i="67"/>
  <c r="AM27" i="67"/>
  <c r="AL27" i="67"/>
  <c r="AM26" i="67"/>
  <c r="AL26" i="67"/>
  <c r="AM25" i="67"/>
  <c r="AL25" i="67"/>
  <c r="AM24" i="67"/>
  <c r="AL24" i="67"/>
  <c r="AM23" i="67"/>
  <c r="AL23" i="67"/>
  <c r="AM22" i="67"/>
  <c r="AL22" i="67"/>
  <c r="AM21" i="67"/>
  <c r="AL21" i="67"/>
  <c r="AM20" i="67"/>
  <c r="AL20" i="67"/>
  <c r="AM19" i="67"/>
  <c r="AL19" i="67"/>
  <c r="AM18" i="67"/>
  <c r="AL18" i="67"/>
  <c r="AM17" i="67"/>
  <c r="AL17" i="67"/>
  <c r="AM16" i="67"/>
  <c r="AL16" i="67"/>
  <c r="AM15" i="67"/>
  <c r="AL15" i="67"/>
  <c r="AM14" i="67"/>
  <c r="AL14" i="67"/>
  <c r="AM13" i="67"/>
  <c r="AL13" i="67"/>
  <c r="AM12" i="67"/>
  <c r="AL12" i="67"/>
  <c r="AM11" i="67"/>
  <c r="AL11" i="67"/>
  <c r="AM10" i="67"/>
  <c r="AL10" i="67"/>
  <c r="B3" i="67"/>
  <c r="B3" i="65"/>
  <c r="D260" i="64"/>
  <c r="B3" i="64"/>
  <c r="AJ257" i="63"/>
  <c r="AI257" i="63"/>
  <c r="AJ256" i="63"/>
  <c r="AI256" i="63"/>
  <c r="AJ255" i="63"/>
  <c r="AI255" i="63"/>
  <c r="AJ254" i="63"/>
  <c r="AI254" i="63"/>
  <c r="AJ253" i="63"/>
  <c r="AI253" i="63"/>
  <c r="AJ252" i="63"/>
  <c r="AI252" i="63"/>
  <c r="AJ251" i="63"/>
  <c r="AI251" i="63"/>
  <c r="AJ250" i="63"/>
  <c r="AI250" i="63"/>
  <c r="AJ249" i="63"/>
  <c r="AI249" i="63"/>
  <c r="AJ248" i="63"/>
  <c r="AI248" i="63"/>
  <c r="AJ247" i="63"/>
  <c r="AI247" i="63"/>
  <c r="AJ246" i="63"/>
  <c r="AI246" i="63"/>
  <c r="AJ245" i="63"/>
  <c r="AI245" i="63"/>
  <c r="AJ244" i="63"/>
  <c r="AI244" i="63"/>
  <c r="AJ243" i="63"/>
  <c r="AI243" i="63"/>
  <c r="AJ242" i="63"/>
  <c r="AI242" i="63"/>
  <c r="AJ241" i="63"/>
  <c r="AI241" i="63"/>
  <c r="AJ240" i="63"/>
  <c r="AI240" i="63"/>
  <c r="AJ239" i="63"/>
  <c r="AI239" i="63"/>
  <c r="AJ238" i="63"/>
  <c r="AI238" i="63"/>
  <c r="AJ237" i="63"/>
  <c r="AI237" i="63"/>
  <c r="AJ236" i="63"/>
  <c r="AI236" i="63"/>
  <c r="AJ235" i="63"/>
  <c r="AI235" i="63"/>
  <c r="AJ234" i="63"/>
  <c r="AI234" i="63"/>
  <c r="AJ233" i="63"/>
  <c r="AI233" i="63"/>
  <c r="AJ232" i="63"/>
  <c r="AI232" i="63"/>
  <c r="AJ231" i="63"/>
  <c r="AI231" i="63"/>
  <c r="AJ230" i="63"/>
  <c r="AI230" i="63"/>
  <c r="AJ229" i="63"/>
  <c r="AI229" i="63"/>
  <c r="AJ228" i="63"/>
  <c r="AI228" i="63"/>
  <c r="AJ227" i="63"/>
  <c r="AI227" i="63"/>
  <c r="AJ226" i="63"/>
  <c r="AI226" i="63"/>
  <c r="AJ225" i="63"/>
  <c r="AI225" i="63"/>
  <c r="AJ224" i="63"/>
  <c r="AI224" i="63"/>
  <c r="AJ223" i="63"/>
  <c r="AI223" i="63"/>
  <c r="AJ222" i="63"/>
  <c r="AI222" i="63"/>
  <c r="AJ221" i="63"/>
  <c r="AI221" i="63"/>
  <c r="AJ220" i="63"/>
  <c r="AI220" i="63"/>
  <c r="AJ219" i="63"/>
  <c r="AI219" i="63"/>
  <c r="AJ218" i="63"/>
  <c r="AI218" i="63"/>
  <c r="AJ217" i="63"/>
  <c r="AI217" i="63"/>
  <c r="AJ216" i="63"/>
  <c r="AI216" i="63"/>
  <c r="AJ215" i="63"/>
  <c r="AI215" i="63"/>
  <c r="AJ214" i="63"/>
  <c r="AI214" i="63"/>
  <c r="AJ213" i="63"/>
  <c r="AI213" i="63"/>
  <c r="AJ212" i="63"/>
  <c r="AI212" i="63"/>
  <c r="AJ211" i="63"/>
  <c r="AI211" i="63"/>
  <c r="AJ210" i="63"/>
  <c r="AI210" i="63"/>
  <c r="AJ209" i="63"/>
  <c r="AI209" i="63"/>
  <c r="AJ208" i="63"/>
  <c r="AI208" i="63"/>
  <c r="AJ207" i="63"/>
  <c r="AI207" i="63"/>
  <c r="AJ206" i="63"/>
  <c r="AI206" i="63"/>
  <c r="AJ205" i="63"/>
  <c r="AI205" i="63"/>
  <c r="AJ204" i="63"/>
  <c r="AI204" i="63"/>
  <c r="AJ203" i="63"/>
  <c r="AI203" i="63"/>
  <c r="AJ202" i="63"/>
  <c r="AI202" i="63"/>
  <c r="AJ201" i="63"/>
  <c r="AI201" i="63"/>
  <c r="AJ200" i="63"/>
  <c r="AI200" i="63"/>
  <c r="AJ199" i="63"/>
  <c r="AI199" i="63"/>
  <c r="AJ198" i="63"/>
  <c r="AI198" i="63"/>
  <c r="AJ197" i="63"/>
  <c r="AI197" i="63"/>
  <c r="AJ196" i="63"/>
  <c r="AI196" i="63"/>
  <c r="AJ195" i="63"/>
  <c r="AI195" i="63"/>
  <c r="AJ194" i="63"/>
  <c r="AI194" i="63"/>
  <c r="AJ193" i="63"/>
  <c r="AI193" i="63"/>
  <c r="AJ192" i="63"/>
  <c r="AI192" i="63"/>
  <c r="AJ191" i="63"/>
  <c r="AI191" i="63"/>
  <c r="AJ190" i="63"/>
  <c r="AI190" i="63"/>
  <c r="AJ189" i="63"/>
  <c r="AI189" i="63"/>
  <c r="AJ188" i="63"/>
  <c r="AI188" i="63"/>
  <c r="AJ187" i="63"/>
  <c r="AI187" i="63"/>
  <c r="AJ186" i="63"/>
  <c r="AI186" i="63"/>
  <c r="AJ185" i="63"/>
  <c r="AI185" i="63"/>
  <c r="AJ184" i="63"/>
  <c r="AI184" i="63"/>
  <c r="AJ183" i="63"/>
  <c r="AI183" i="63"/>
  <c r="AJ182" i="63"/>
  <c r="AI182" i="63"/>
  <c r="AJ181" i="63"/>
  <c r="AI181" i="63"/>
  <c r="AJ180" i="63"/>
  <c r="AI180" i="63"/>
  <c r="AJ179" i="63"/>
  <c r="AI179" i="63"/>
  <c r="AJ178" i="63"/>
  <c r="AI178" i="63"/>
  <c r="AJ177" i="63"/>
  <c r="AI177" i="63"/>
  <c r="AJ176" i="63"/>
  <c r="AI176" i="63"/>
  <c r="AJ175" i="63"/>
  <c r="AI175" i="63"/>
  <c r="AJ174" i="63"/>
  <c r="AI174" i="63"/>
  <c r="AJ173" i="63"/>
  <c r="AI173" i="63"/>
  <c r="AJ172" i="63"/>
  <c r="AI172" i="63"/>
  <c r="AJ171" i="63"/>
  <c r="AI171" i="63"/>
  <c r="AJ170" i="63"/>
  <c r="AI170" i="63"/>
  <c r="AJ169" i="63"/>
  <c r="AI169" i="63"/>
  <c r="AJ168" i="63"/>
  <c r="AI168" i="63"/>
  <c r="AJ167" i="63"/>
  <c r="AI167" i="63"/>
  <c r="AJ166" i="63"/>
  <c r="AI166" i="63"/>
  <c r="AJ165" i="63"/>
  <c r="AI165" i="63"/>
  <c r="AJ164" i="63"/>
  <c r="AI164" i="63"/>
  <c r="AJ163" i="63"/>
  <c r="AI163" i="63"/>
  <c r="AJ162" i="63"/>
  <c r="AI162" i="63"/>
  <c r="AJ161" i="63"/>
  <c r="AI161" i="63"/>
  <c r="AJ160" i="63"/>
  <c r="AI160" i="63"/>
  <c r="AJ159" i="63"/>
  <c r="AI159" i="63"/>
  <c r="AJ158" i="63"/>
  <c r="AI158" i="63"/>
  <c r="AJ157" i="63"/>
  <c r="AI157" i="63"/>
  <c r="AJ156" i="63"/>
  <c r="AI156" i="63"/>
  <c r="AJ155" i="63"/>
  <c r="AI155" i="63"/>
  <c r="AJ154" i="63"/>
  <c r="AI154" i="63"/>
  <c r="AJ153" i="63"/>
  <c r="AI153" i="63"/>
  <c r="AJ152" i="63"/>
  <c r="AI152" i="63"/>
  <c r="AJ151" i="63"/>
  <c r="AI151" i="63"/>
  <c r="AJ150" i="63"/>
  <c r="AI150" i="63"/>
  <c r="AJ149" i="63"/>
  <c r="AI149" i="63"/>
  <c r="AJ148" i="63"/>
  <c r="AI148" i="63"/>
  <c r="AJ147" i="63"/>
  <c r="AI147" i="63"/>
  <c r="AJ146" i="63"/>
  <c r="AI146" i="63"/>
  <c r="AJ145" i="63"/>
  <c r="AI145" i="63"/>
  <c r="AJ144" i="63"/>
  <c r="AI144" i="63"/>
  <c r="AJ143" i="63"/>
  <c r="AI143" i="63"/>
  <c r="AJ142" i="63"/>
  <c r="AI142" i="63"/>
  <c r="AJ141" i="63"/>
  <c r="AI141" i="63"/>
  <c r="AJ140" i="63"/>
  <c r="AI140" i="63"/>
  <c r="AJ139" i="63"/>
  <c r="AI139" i="63"/>
  <c r="AJ138" i="63"/>
  <c r="AI138" i="63"/>
  <c r="AJ137" i="63"/>
  <c r="AI137" i="63"/>
  <c r="AJ136" i="63"/>
  <c r="AI136" i="63"/>
  <c r="AJ135" i="63"/>
  <c r="AI135" i="63"/>
  <c r="AJ134" i="63"/>
  <c r="AI134" i="63"/>
  <c r="AJ133" i="63"/>
  <c r="AI133" i="63"/>
  <c r="AJ132" i="63"/>
  <c r="AI132" i="63"/>
  <c r="AJ131" i="63"/>
  <c r="AI131" i="63"/>
  <c r="AJ130" i="63"/>
  <c r="AI130" i="63"/>
  <c r="AJ129" i="63"/>
  <c r="AI129" i="63"/>
  <c r="AJ128" i="63"/>
  <c r="AI128" i="63"/>
  <c r="AJ127" i="63"/>
  <c r="AI127" i="63"/>
  <c r="AJ126" i="63"/>
  <c r="AI126" i="63"/>
  <c r="AJ125" i="63"/>
  <c r="AI125" i="63"/>
  <c r="AJ124" i="63"/>
  <c r="AI124" i="63"/>
  <c r="AJ123" i="63"/>
  <c r="AI123" i="63"/>
  <c r="AJ122" i="63"/>
  <c r="AI122" i="63"/>
  <c r="AJ121" i="63"/>
  <c r="AI121" i="63"/>
  <c r="AJ120" i="63"/>
  <c r="AI120" i="63"/>
  <c r="AJ119" i="63"/>
  <c r="AI119" i="63"/>
  <c r="AJ118" i="63"/>
  <c r="AI118" i="63"/>
  <c r="AJ117" i="63"/>
  <c r="AI117" i="63"/>
  <c r="AJ116" i="63"/>
  <c r="AI116" i="63"/>
  <c r="AJ115" i="63"/>
  <c r="AI115" i="63"/>
  <c r="AJ114" i="63"/>
  <c r="AI114" i="63"/>
  <c r="AJ113" i="63"/>
  <c r="AI113" i="63"/>
  <c r="AJ112" i="63"/>
  <c r="AI112" i="63"/>
  <c r="AJ111" i="63"/>
  <c r="AI111" i="63"/>
  <c r="AJ110" i="63"/>
  <c r="AI110" i="63"/>
  <c r="AJ109" i="63"/>
  <c r="AI109" i="63"/>
  <c r="AJ108" i="63"/>
  <c r="AI108" i="63"/>
  <c r="AJ107" i="63"/>
  <c r="AI107" i="63"/>
  <c r="AJ106" i="63"/>
  <c r="AI106" i="63"/>
  <c r="AJ105" i="63"/>
  <c r="AI105" i="63"/>
  <c r="AJ104" i="63"/>
  <c r="AI104" i="63"/>
  <c r="AJ103" i="63"/>
  <c r="AI103" i="63"/>
  <c r="AJ102" i="63"/>
  <c r="AI102" i="63"/>
  <c r="AJ101" i="63"/>
  <c r="AI101" i="63"/>
  <c r="AJ100" i="63"/>
  <c r="AI100" i="63"/>
  <c r="AJ99" i="63"/>
  <c r="AI99" i="63"/>
  <c r="AJ98" i="63"/>
  <c r="AI98" i="63"/>
  <c r="AJ97" i="63"/>
  <c r="AI97" i="63"/>
  <c r="AJ96" i="63"/>
  <c r="AI96" i="63"/>
  <c r="AJ95" i="63"/>
  <c r="AI95" i="63"/>
  <c r="AJ94" i="63"/>
  <c r="AI94" i="63"/>
  <c r="AJ93" i="63"/>
  <c r="AI93" i="63"/>
  <c r="AJ92" i="63"/>
  <c r="AI92" i="63"/>
  <c r="AJ91" i="63"/>
  <c r="AI91" i="63"/>
  <c r="AJ90" i="63"/>
  <c r="AI90" i="63"/>
  <c r="AJ89" i="63"/>
  <c r="AI89" i="63"/>
  <c r="AJ88" i="63"/>
  <c r="AI88" i="63"/>
  <c r="AJ87" i="63"/>
  <c r="AI87" i="63"/>
  <c r="AJ86" i="63"/>
  <c r="AI86" i="63"/>
  <c r="AJ85" i="63"/>
  <c r="AI85" i="63"/>
  <c r="AJ84" i="63"/>
  <c r="AI84" i="63"/>
  <c r="AJ83" i="63"/>
  <c r="AI83" i="63"/>
  <c r="AJ82" i="63"/>
  <c r="AI82" i="63"/>
  <c r="AJ81" i="63"/>
  <c r="AI81" i="63"/>
  <c r="AJ80" i="63"/>
  <c r="AI80" i="63"/>
  <c r="AJ79" i="63"/>
  <c r="AI79" i="63"/>
  <c r="AJ78" i="63"/>
  <c r="AI78" i="63"/>
  <c r="AJ77" i="63"/>
  <c r="AI77" i="63"/>
  <c r="AJ76" i="63"/>
  <c r="AI76" i="63"/>
  <c r="AJ75" i="63"/>
  <c r="AI75" i="63"/>
  <c r="AJ74" i="63"/>
  <c r="AI74" i="63"/>
  <c r="AJ73" i="63"/>
  <c r="AI73" i="63"/>
  <c r="AJ72" i="63"/>
  <c r="AI72" i="63"/>
  <c r="AJ71" i="63"/>
  <c r="AI71" i="63"/>
  <c r="AJ70" i="63"/>
  <c r="AI70" i="63"/>
  <c r="AJ69" i="63"/>
  <c r="AI69" i="63"/>
  <c r="AJ68" i="63"/>
  <c r="AI68" i="63"/>
  <c r="AJ67" i="63"/>
  <c r="AI67" i="63"/>
  <c r="AJ66" i="63"/>
  <c r="AI66" i="63"/>
  <c r="AJ65" i="63"/>
  <c r="AI65" i="63"/>
  <c r="AJ64" i="63"/>
  <c r="AI64" i="63"/>
  <c r="AJ63" i="63"/>
  <c r="AI63" i="63"/>
  <c r="AJ62" i="63"/>
  <c r="AI62" i="63"/>
  <c r="AJ61" i="63"/>
  <c r="AI61" i="63"/>
  <c r="AJ60" i="63"/>
  <c r="AI60" i="63"/>
  <c r="AJ59" i="63"/>
  <c r="AI59" i="63"/>
  <c r="AJ58" i="63"/>
  <c r="AI58" i="63"/>
  <c r="AJ57" i="63"/>
  <c r="AI57" i="63"/>
  <c r="AJ56" i="63"/>
  <c r="AI56" i="63"/>
  <c r="AJ55" i="63"/>
  <c r="AI55" i="63"/>
  <c r="AJ54" i="63"/>
  <c r="AI54" i="63"/>
  <c r="AJ53" i="63"/>
  <c r="AI53" i="63"/>
  <c r="AJ52" i="63"/>
  <c r="AI52" i="63"/>
  <c r="AJ51" i="63"/>
  <c r="AI51" i="63"/>
  <c r="AJ50" i="63"/>
  <c r="AI50" i="63"/>
  <c r="AJ49" i="63"/>
  <c r="AI49" i="63"/>
  <c r="AJ48" i="63"/>
  <c r="AI48" i="63"/>
  <c r="AJ47" i="63"/>
  <c r="AI47" i="63"/>
  <c r="AJ46" i="63"/>
  <c r="AI46" i="63"/>
  <c r="AJ45" i="63"/>
  <c r="AI45" i="63"/>
  <c r="AJ44" i="63"/>
  <c r="AI44" i="63"/>
  <c r="AJ43" i="63"/>
  <c r="AI43" i="63"/>
  <c r="AJ42" i="63"/>
  <c r="AI42" i="63"/>
  <c r="AJ41" i="63"/>
  <c r="AI41" i="63"/>
  <c r="AJ40" i="63"/>
  <c r="AI40" i="63"/>
  <c r="AJ39" i="63"/>
  <c r="AI39" i="63"/>
  <c r="AJ38" i="63"/>
  <c r="AI38" i="63"/>
  <c r="AJ37" i="63"/>
  <c r="AI37" i="63"/>
  <c r="AJ36" i="63"/>
  <c r="AI36" i="63"/>
  <c r="AJ35" i="63"/>
  <c r="AI35" i="63"/>
  <c r="AJ34" i="63"/>
  <c r="AI34" i="63"/>
  <c r="AJ33" i="63"/>
  <c r="AI33" i="63"/>
  <c r="AJ32" i="63"/>
  <c r="AI32" i="63"/>
  <c r="AJ31" i="63"/>
  <c r="AI31" i="63"/>
  <c r="AJ30" i="63"/>
  <c r="AI30" i="63"/>
  <c r="AJ29" i="63"/>
  <c r="AI29" i="63"/>
  <c r="AJ28" i="63"/>
  <c r="AI28" i="63"/>
  <c r="AJ27" i="63"/>
  <c r="AI27" i="63"/>
  <c r="AJ26" i="63"/>
  <c r="AI26" i="63"/>
  <c r="AJ25" i="63"/>
  <c r="AI25" i="63"/>
  <c r="AJ24" i="63"/>
  <c r="AI24" i="63"/>
  <c r="AJ23" i="63"/>
  <c r="AI23" i="63"/>
  <c r="AJ22" i="63"/>
  <c r="AI22" i="63"/>
  <c r="AJ21" i="63"/>
  <c r="AI21" i="63"/>
  <c r="AJ20" i="63"/>
  <c r="AI20" i="63"/>
  <c r="AJ19" i="63"/>
  <c r="AI19" i="63"/>
  <c r="AJ18" i="63"/>
  <c r="AI18" i="63"/>
  <c r="AJ17" i="63"/>
  <c r="AI17" i="63"/>
  <c r="AJ16" i="63"/>
  <c r="AI16" i="63"/>
  <c r="AJ15" i="63"/>
  <c r="AI15" i="63"/>
  <c r="AJ13" i="63"/>
  <c r="AI13" i="63"/>
  <c r="AJ12" i="63"/>
  <c r="AI12" i="63"/>
  <c r="AJ11" i="63"/>
  <c r="AI11" i="63"/>
  <c r="AJ10" i="63"/>
  <c r="AI10" i="63"/>
  <c r="B3" i="63"/>
  <c r="AZ10" i="67" l="1"/>
  <c r="Y10" i="67"/>
  <c r="AE13" i="63"/>
  <c r="AD13" i="63"/>
  <c r="AE12" i="63"/>
  <c r="AD12" i="63"/>
  <c r="AD11" i="63"/>
  <c r="AE11" i="63"/>
  <c r="AD10" i="63"/>
  <c r="AE10" i="63"/>
  <c r="R10" i="67"/>
  <c r="U10" i="67"/>
  <c r="T173" i="22" s="1"/>
  <c r="D184" i="36" s="1"/>
  <c r="AE18" i="63"/>
  <c r="AD18" i="63"/>
  <c r="AE17" i="63"/>
  <c r="AD17" i="63"/>
  <c r="AE16" i="63"/>
  <c r="AD16" i="63"/>
  <c r="AE15" i="63"/>
  <c r="AD15" i="63"/>
  <c r="AD243" i="63"/>
  <c r="AE243" i="63"/>
  <c r="AD211" i="63"/>
  <c r="AE211" i="63"/>
  <c r="AD179" i="63"/>
  <c r="AE179" i="63"/>
  <c r="AD139" i="63"/>
  <c r="AE139" i="63"/>
  <c r="AD91" i="63"/>
  <c r="AE91" i="63"/>
  <c r="AD67" i="63"/>
  <c r="AE67" i="63"/>
  <c r="AD19" i="63"/>
  <c r="AE19" i="63"/>
  <c r="AE250" i="63"/>
  <c r="AD250" i="63"/>
  <c r="AE242" i="63"/>
  <c r="AD242" i="63"/>
  <c r="AE234" i="63"/>
  <c r="AD234" i="63"/>
  <c r="AE226" i="63"/>
  <c r="AD226" i="63"/>
  <c r="AE218" i="63"/>
  <c r="AD218" i="63"/>
  <c r="AE210" i="63"/>
  <c r="AD210" i="63"/>
  <c r="AE202" i="63"/>
  <c r="AD202" i="63"/>
  <c r="AE194" i="63"/>
  <c r="AD194" i="63"/>
  <c r="AE186" i="63"/>
  <c r="AD186" i="63"/>
  <c r="AE178" i="63"/>
  <c r="AD178" i="63"/>
  <c r="AE170" i="63"/>
  <c r="AD170" i="63"/>
  <c r="AE162" i="63"/>
  <c r="AD162" i="63"/>
  <c r="AE154" i="63"/>
  <c r="AD154" i="63"/>
  <c r="AE146" i="63"/>
  <c r="AD146" i="63"/>
  <c r="AE138" i="63"/>
  <c r="AD138" i="63"/>
  <c r="AE130" i="63"/>
  <c r="AD130" i="63"/>
  <c r="AE122" i="63"/>
  <c r="AD122" i="63"/>
  <c r="AE114" i="63"/>
  <c r="AD114" i="63"/>
  <c r="AE106" i="63"/>
  <c r="AD106" i="63"/>
  <c r="AE98" i="63"/>
  <c r="AD98" i="63"/>
  <c r="AE90" i="63"/>
  <c r="AD90" i="63"/>
  <c r="AE82" i="63"/>
  <c r="AD82" i="63"/>
  <c r="AE74" i="63"/>
  <c r="AD74" i="63"/>
  <c r="AE66" i="63"/>
  <c r="AD66" i="63"/>
  <c r="AE58" i="63"/>
  <c r="AD58" i="63"/>
  <c r="AE50" i="63"/>
  <c r="AD50" i="63"/>
  <c r="AE42" i="63"/>
  <c r="AD42" i="63"/>
  <c r="AE34" i="63"/>
  <c r="AD34" i="63"/>
  <c r="AE26" i="63"/>
  <c r="AD26" i="63"/>
  <c r="AD107" i="63"/>
  <c r="AE107" i="63"/>
  <c r="AE257" i="63"/>
  <c r="AD257" i="63"/>
  <c r="AE249" i="63"/>
  <c r="AD249" i="63"/>
  <c r="AD241" i="63"/>
  <c r="AE241" i="63"/>
  <c r="AD233" i="63"/>
  <c r="AE233" i="63"/>
  <c r="AE225" i="63"/>
  <c r="AD225" i="63"/>
  <c r="AE217" i="63"/>
  <c r="AD217" i="63"/>
  <c r="AE209" i="63"/>
  <c r="AD209" i="63"/>
  <c r="AE201" i="63"/>
  <c r="AD201" i="63"/>
  <c r="AD193" i="63"/>
  <c r="AE193" i="63"/>
  <c r="AE185" i="63"/>
  <c r="AD185" i="63"/>
  <c r="AD177" i="63"/>
  <c r="AE177" i="63"/>
  <c r="AD169" i="63"/>
  <c r="AE169" i="63"/>
  <c r="AD161" i="63"/>
  <c r="AE161" i="63"/>
  <c r="AD153" i="63"/>
  <c r="AE153" i="63"/>
  <c r="AD145" i="63"/>
  <c r="AE145" i="63"/>
  <c r="AD137" i="63"/>
  <c r="AE137" i="63"/>
  <c r="AD129" i="63"/>
  <c r="AE129" i="63"/>
  <c r="AD121" i="63"/>
  <c r="AE121" i="63"/>
  <c r="AD113" i="63"/>
  <c r="AE113" i="63"/>
  <c r="AD105" i="63"/>
  <c r="AE105" i="63"/>
  <c r="AD97" i="63"/>
  <c r="AE97" i="63"/>
  <c r="AD89" i="63"/>
  <c r="AE89" i="63"/>
  <c r="AD81" i="63"/>
  <c r="AE81" i="63"/>
  <c r="AD73" i="63"/>
  <c r="AE73" i="63"/>
  <c r="AD65" i="63"/>
  <c r="AE65" i="63"/>
  <c r="AD57" i="63"/>
  <c r="AE57" i="63"/>
  <c r="AD49" i="63"/>
  <c r="AE49" i="63"/>
  <c r="AD41" i="63"/>
  <c r="AE41" i="63"/>
  <c r="AD33" i="63"/>
  <c r="AE33" i="63"/>
  <c r="AD25" i="63"/>
  <c r="AE25" i="63"/>
  <c r="AD227" i="63"/>
  <c r="AE227" i="63"/>
  <c r="AD187" i="63"/>
  <c r="AE187" i="63"/>
  <c r="AD123" i="63"/>
  <c r="AE123" i="63"/>
  <c r="AD51" i="63"/>
  <c r="AE51" i="63"/>
  <c r="AE256" i="63"/>
  <c r="AD256" i="63"/>
  <c r="AD248" i="63"/>
  <c r="AE248" i="63"/>
  <c r="AE240" i="63"/>
  <c r="AD240" i="63"/>
  <c r="AD232" i="63"/>
  <c r="AE232" i="63"/>
  <c r="AE224" i="63"/>
  <c r="AD224" i="63"/>
  <c r="AD216" i="63"/>
  <c r="AE216" i="63"/>
  <c r="AE208" i="63"/>
  <c r="AD208" i="63"/>
  <c r="AE200" i="63"/>
  <c r="AD200" i="63"/>
  <c r="AE192" i="63"/>
  <c r="AD192" i="63"/>
  <c r="AD184" i="63"/>
  <c r="AE184" i="63"/>
  <c r="AE176" i="63"/>
  <c r="AD176" i="63"/>
  <c r="AD168" i="63"/>
  <c r="AE168" i="63"/>
  <c r="AE160" i="63"/>
  <c r="AD160" i="63"/>
  <c r="AD152" i="63"/>
  <c r="AE152" i="63"/>
  <c r="AE144" i="63"/>
  <c r="AD144" i="63"/>
  <c r="AD136" i="63"/>
  <c r="AE136" i="63"/>
  <c r="AE128" i="63"/>
  <c r="AD128" i="63"/>
  <c r="AD120" i="63"/>
  <c r="AE120" i="63"/>
  <c r="AE112" i="63"/>
  <c r="AD112" i="63"/>
  <c r="AD104" i="63"/>
  <c r="AE104" i="63"/>
  <c r="AD96" i="63"/>
  <c r="AE96" i="63"/>
  <c r="AE88" i="63"/>
  <c r="AD88" i="63"/>
  <c r="AE80" i="63"/>
  <c r="AD80" i="63"/>
  <c r="AD72" i="63"/>
  <c r="AE72" i="63"/>
  <c r="AE64" i="63"/>
  <c r="AD64" i="63"/>
  <c r="AD56" i="63"/>
  <c r="AE56" i="63"/>
  <c r="AE48" i="63"/>
  <c r="AD48" i="63"/>
  <c r="AD40" i="63"/>
  <c r="AE40" i="63"/>
  <c r="AD32" i="63"/>
  <c r="AE32" i="63"/>
  <c r="AD24" i="63"/>
  <c r="AE24" i="63"/>
  <c r="AD235" i="63"/>
  <c r="AE235" i="63"/>
  <c r="AD203" i="63"/>
  <c r="AE203" i="63"/>
  <c r="AD163" i="63"/>
  <c r="AE163" i="63"/>
  <c r="AD131" i="63"/>
  <c r="AE131" i="63"/>
  <c r="AD83" i="63"/>
  <c r="AE83" i="63"/>
  <c r="AD59" i="63"/>
  <c r="AE59" i="63"/>
  <c r="AD27" i="63"/>
  <c r="AE27" i="63"/>
  <c r="AD255" i="63"/>
  <c r="AE255" i="63"/>
  <c r="AD247" i="63"/>
  <c r="AE247" i="63"/>
  <c r="AD239" i="63"/>
  <c r="AE239" i="63"/>
  <c r="AD231" i="63"/>
  <c r="AE231" i="63"/>
  <c r="AD223" i="63"/>
  <c r="AE223" i="63"/>
  <c r="AD215" i="63"/>
  <c r="AE215" i="63"/>
  <c r="AD207" i="63"/>
  <c r="AE207" i="63"/>
  <c r="AD199" i="63"/>
  <c r="AE199" i="63"/>
  <c r="AD191" i="63"/>
  <c r="AE191" i="63"/>
  <c r="AD183" i="63"/>
  <c r="AE183" i="63"/>
  <c r="AD175" i="63"/>
  <c r="AE175" i="63"/>
  <c r="AD167" i="63"/>
  <c r="AE167" i="63"/>
  <c r="AD159" i="63"/>
  <c r="AE159" i="63"/>
  <c r="AD151" i="63"/>
  <c r="AE151" i="63"/>
  <c r="AD143" i="63"/>
  <c r="AE143" i="63"/>
  <c r="AD135" i="63"/>
  <c r="AE135" i="63"/>
  <c r="AD127" i="63"/>
  <c r="AE127" i="63"/>
  <c r="AD119" i="63"/>
  <c r="AE119" i="63"/>
  <c r="AD111" i="63"/>
  <c r="AE111" i="63"/>
  <c r="AD103" i="63"/>
  <c r="AE103" i="63"/>
  <c r="AD95" i="63"/>
  <c r="AE95" i="63"/>
  <c r="AD87" i="63"/>
  <c r="AE87" i="63"/>
  <c r="AD79" i="63"/>
  <c r="AE79" i="63"/>
  <c r="AD71" i="63"/>
  <c r="AE71" i="63"/>
  <c r="AD63" i="63"/>
  <c r="AE63" i="63"/>
  <c r="AD55" i="63"/>
  <c r="AE55" i="63"/>
  <c r="AD47" i="63"/>
  <c r="AE47" i="63"/>
  <c r="AD39" i="63"/>
  <c r="AE39" i="63"/>
  <c r="AD31" i="63"/>
  <c r="AE31" i="63"/>
  <c r="AD23" i="63"/>
  <c r="AE23" i="63"/>
  <c r="AD251" i="63"/>
  <c r="AE251" i="63"/>
  <c r="AD195" i="63"/>
  <c r="AE195" i="63"/>
  <c r="AD155" i="63"/>
  <c r="AE155" i="63"/>
  <c r="AD99" i="63"/>
  <c r="AE99" i="63"/>
  <c r="AD75" i="63"/>
  <c r="AE75" i="63"/>
  <c r="AD35" i="63"/>
  <c r="AE35" i="63"/>
  <c r="AD254" i="63"/>
  <c r="AE254" i="63"/>
  <c r="AD246" i="63"/>
  <c r="AE246" i="63"/>
  <c r="AD238" i="63"/>
  <c r="AE238" i="63"/>
  <c r="AD230" i="63"/>
  <c r="AE230" i="63"/>
  <c r="AD222" i="63"/>
  <c r="AE222" i="63"/>
  <c r="AD214" i="63"/>
  <c r="AE214" i="63"/>
  <c r="AD206" i="63"/>
  <c r="AE206" i="63"/>
  <c r="AD198" i="63"/>
  <c r="AE198" i="63"/>
  <c r="AD190" i="63"/>
  <c r="AE190" i="63"/>
  <c r="AD182" i="63"/>
  <c r="AE182" i="63"/>
  <c r="AD174" i="63"/>
  <c r="AE174" i="63"/>
  <c r="AD166" i="63"/>
  <c r="AE166" i="63"/>
  <c r="AD158" i="63"/>
  <c r="AE158" i="63"/>
  <c r="AD150" i="63"/>
  <c r="AE150" i="63"/>
  <c r="AD142" i="63"/>
  <c r="AE142" i="63"/>
  <c r="AD134" i="63"/>
  <c r="AE134" i="63"/>
  <c r="AD126" i="63"/>
  <c r="AE126" i="63"/>
  <c r="AD118" i="63"/>
  <c r="AE118" i="63"/>
  <c r="AD110" i="63"/>
  <c r="AE110" i="63"/>
  <c r="AD102" i="63"/>
  <c r="AE102" i="63"/>
  <c r="AD94" i="63"/>
  <c r="AE94" i="63"/>
  <c r="AD86" i="63"/>
  <c r="AE86" i="63"/>
  <c r="AD78" i="63"/>
  <c r="AE78" i="63"/>
  <c r="AD70" i="63"/>
  <c r="AE70" i="63"/>
  <c r="AD62" i="63"/>
  <c r="AE62" i="63"/>
  <c r="AD54" i="63"/>
  <c r="AE54" i="63"/>
  <c r="AD46" i="63"/>
  <c r="AE46" i="63"/>
  <c r="AD38" i="63"/>
  <c r="AE38" i="63"/>
  <c r="AD30" i="63"/>
  <c r="AE30" i="63"/>
  <c r="AD22" i="63"/>
  <c r="AE22" i="63"/>
  <c r="AD147" i="63"/>
  <c r="AE147" i="63"/>
  <c r="AD253" i="63"/>
  <c r="AE253" i="63"/>
  <c r="AD245" i="63"/>
  <c r="AE245" i="63"/>
  <c r="AD237" i="63"/>
  <c r="AE237" i="63"/>
  <c r="AD229" i="63"/>
  <c r="AE229" i="63"/>
  <c r="AD221" i="63"/>
  <c r="AE221" i="63"/>
  <c r="AD213" i="63"/>
  <c r="AE213" i="63"/>
  <c r="AD205" i="63"/>
  <c r="AE205" i="63"/>
  <c r="AD197" i="63"/>
  <c r="AE197" i="63"/>
  <c r="AD189" i="63"/>
  <c r="AE189" i="63"/>
  <c r="AD181" i="63"/>
  <c r="AE181" i="63"/>
  <c r="AD173" i="63"/>
  <c r="AE173" i="63"/>
  <c r="AD165" i="63"/>
  <c r="AE165" i="63"/>
  <c r="AD157" i="63"/>
  <c r="AE157" i="63"/>
  <c r="AD149" i="63"/>
  <c r="AE149" i="63"/>
  <c r="AD141" i="63"/>
  <c r="AE141" i="63"/>
  <c r="AD133" i="63"/>
  <c r="AE133" i="63"/>
  <c r="AD125" i="63"/>
  <c r="AE125" i="63"/>
  <c r="AD117" i="63"/>
  <c r="AE117" i="63"/>
  <c r="AD109" i="63"/>
  <c r="AE109" i="63"/>
  <c r="AD101" i="63"/>
  <c r="AE101" i="63"/>
  <c r="AD93" i="63"/>
  <c r="AE93" i="63"/>
  <c r="AD85" i="63"/>
  <c r="AE85" i="63"/>
  <c r="AD77" i="63"/>
  <c r="AE77" i="63"/>
  <c r="AD69" i="63"/>
  <c r="AE69" i="63"/>
  <c r="AD61" i="63"/>
  <c r="AE61" i="63"/>
  <c r="AD53" i="63"/>
  <c r="AE53" i="63"/>
  <c r="AD45" i="63"/>
  <c r="AE45" i="63"/>
  <c r="AD37" i="63"/>
  <c r="AE37" i="63"/>
  <c r="AD29" i="63"/>
  <c r="AE29" i="63"/>
  <c r="AD21" i="63"/>
  <c r="AE21" i="63"/>
  <c r="AD219" i="63"/>
  <c r="AE219" i="63"/>
  <c r="AD171" i="63"/>
  <c r="AE171" i="63"/>
  <c r="AD115" i="63"/>
  <c r="AE115" i="63"/>
  <c r="AD43" i="63"/>
  <c r="AE43" i="63"/>
  <c r="AD252" i="63"/>
  <c r="AE252" i="63"/>
  <c r="AD244" i="63"/>
  <c r="AE244" i="63"/>
  <c r="AD236" i="63"/>
  <c r="AE236" i="63"/>
  <c r="AD228" i="63"/>
  <c r="AE228" i="63"/>
  <c r="AD220" i="63"/>
  <c r="AE220" i="63"/>
  <c r="AD212" i="63"/>
  <c r="AE212" i="63"/>
  <c r="AD204" i="63"/>
  <c r="AE204" i="63"/>
  <c r="AD196" i="63"/>
  <c r="AE196" i="63"/>
  <c r="AD188" i="63"/>
  <c r="AE188" i="63"/>
  <c r="AD180" i="63"/>
  <c r="AE180" i="63"/>
  <c r="AD172" i="63"/>
  <c r="AE172" i="63"/>
  <c r="AD164" i="63"/>
  <c r="AE164" i="63"/>
  <c r="AD156" i="63"/>
  <c r="AE156" i="63"/>
  <c r="AD148" i="63"/>
  <c r="AE148" i="63"/>
  <c r="AD140" i="63"/>
  <c r="AE140" i="63"/>
  <c r="AD132" i="63"/>
  <c r="AE132" i="63"/>
  <c r="AD124" i="63"/>
  <c r="AE124" i="63"/>
  <c r="AD116" i="63"/>
  <c r="AE116" i="63"/>
  <c r="AD108" i="63"/>
  <c r="AE108" i="63"/>
  <c r="AD100" i="63"/>
  <c r="AE100" i="63"/>
  <c r="AD92" i="63"/>
  <c r="AE92" i="63"/>
  <c r="AD84" i="63"/>
  <c r="AE84" i="63"/>
  <c r="AD76" i="63"/>
  <c r="AE76" i="63"/>
  <c r="AD68" i="63"/>
  <c r="AE68" i="63"/>
  <c r="AD60" i="63"/>
  <c r="AE60" i="63"/>
  <c r="AD52" i="63"/>
  <c r="AE52" i="63"/>
  <c r="AD44" i="63"/>
  <c r="AE44" i="63"/>
  <c r="AD36" i="63"/>
  <c r="AE36" i="63"/>
  <c r="AD28" i="63"/>
  <c r="AE28" i="63"/>
  <c r="AD20" i="63"/>
  <c r="AE20" i="63"/>
  <c r="G13" i="63"/>
  <c r="V13" i="63" s="1"/>
  <c r="X13" i="63"/>
  <c r="G12" i="63"/>
  <c r="V12" i="63" s="1"/>
  <c r="X12" i="63"/>
  <c r="AB23" i="53"/>
  <c r="AG23" i="57"/>
  <c r="X23" i="57"/>
  <c r="AB23" i="57" s="1"/>
  <c r="G11" i="63"/>
  <c r="V11" i="63" s="1"/>
  <c r="X11" i="63"/>
  <c r="M26" i="53"/>
  <c r="AC26" i="53" s="1"/>
  <c r="O26" i="53"/>
  <c r="X10" i="63"/>
  <c r="AD24" i="57"/>
  <c r="Q24" i="57"/>
  <c r="T24" i="57" s="1"/>
  <c r="AQ24" i="57"/>
  <c r="R24" i="57"/>
  <c r="M25" i="57"/>
  <c r="AK25" i="57" s="1"/>
  <c r="P12" i="64"/>
  <c r="Q12" i="64" s="1"/>
  <c r="AB40" i="68"/>
  <c r="AB215" i="68"/>
  <c r="AB77" i="68"/>
  <c r="AB104" i="68"/>
  <c r="AB24" i="53"/>
  <c r="AA24" i="53"/>
  <c r="N26" i="53"/>
  <c r="AB128" i="68"/>
  <c r="AB192" i="68"/>
  <c r="AB239" i="68"/>
  <c r="AB256" i="68"/>
  <c r="AB23" i="68"/>
  <c r="Q21" i="68"/>
  <c r="S21" i="68"/>
  <c r="T21" i="68" s="1"/>
  <c r="U21" i="68" s="1"/>
  <c r="Q20" i="68"/>
  <c r="S20" i="68"/>
  <c r="T20" i="68" s="1"/>
  <c r="U20" i="68" s="1"/>
  <c r="Q19" i="68"/>
  <c r="S19" i="68"/>
  <c r="T19" i="68" s="1"/>
  <c r="U19" i="68" s="1"/>
  <c r="Q18" i="68"/>
  <c r="S18" i="68"/>
  <c r="T18" i="68" s="1"/>
  <c r="U18" i="68" s="1"/>
  <c r="Q17" i="68"/>
  <c r="S17" i="68"/>
  <c r="T17" i="68" s="1"/>
  <c r="U17" i="68" s="1"/>
  <c r="Q16" i="68"/>
  <c r="S16" i="68"/>
  <c r="T16" i="68" s="1"/>
  <c r="U16" i="68" s="1"/>
  <c r="Q15" i="68"/>
  <c r="S15" i="68"/>
  <c r="T15" i="68" s="1"/>
  <c r="U15" i="68" s="1"/>
  <c r="Q14" i="68"/>
  <c r="S14" i="68"/>
  <c r="T14" i="68" s="1"/>
  <c r="U14" i="68" s="1"/>
  <c r="V174" i="22"/>
  <c r="S21" i="64"/>
  <c r="T21" i="64" s="1"/>
  <c r="U21" i="64" s="1"/>
  <c r="S20" i="64"/>
  <c r="T20" i="64" s="1"/>
  <c r="U20" i="64" s="1"/>
  <c r="S19" i="64"/>
  <c r="T19" i="64" s="1"/>
  <c r="U19" i="64" s="1"/>
  <c r="S18" i="64"/>
  <c r="T18" i="64" s="1"/>
  <c r="U18" i="64" s="1"/>
  <c r="S17" i="64"/>
  <c r="T17" i="64" s="1"/>
  <c r="U17" i="64" s="1"/>
  <c r="S16" i="64"/>
  <c r="T16" i="64" s="1"/>
  <c r="U16" i="64" s="1"/>
  <c r="S15" i="64"/>
  <c r="T15" i="64" s="1"/>
  <c r="U15" i="64" s="1"/>
  <c r="S14" i="64"/>
  <c r="T14" i="64" s="1"/>
  <c r="U14" i="64" s="1"/>
  <c r="AB41" i="68"/>
  <c r="AB60" i="68"/>
  <c r="AB86" i="68"/>
  <c r="AB105" i="68"/>
  <c r="AB124" i="68"/>
  <c r="AB156" i="68"/>
  <c r="AB167" i="68"/>
  <c r="AB182" i="68"/>
  <c r="AB199" i="68"/>
  <c r="AB220" i="68"/>
  <c r="AB231" i="68"/>
  <c r="AB246" i="68"/>
  <c r="AB24" i="68"/>
  <c r="AB79" i="68"/>
  <c r="AB118" i="68"/>
  <c r="AB169" i="68"/>
  <c r="AB184" i="68"/>
  <c r="AB201" i="68"/>
  <c r="AB214" i="68"/>
  <c r="AB233" i="68"/>
  <c r="AB88" i="68"/>
  <c r="AB28" i="68"/>
  <c r="AB47" i="68"/>
  <c r="AB54" i="68"/>
  <c r="AB73" i="68"/>
  <c r="AB92" i="68"/>
  <c r="AB137" i="68"/>
  <c r="AB150" i="68"/>
  <c r="AB188" i="68"/>
  <c r="AB252" i="68"/>
  <c r="AB153" i="68"/>
  <c r="AB163" i="68"/>
  <c r="AB230" i="68"/>
  <c r="AB38" i="68"/>
  <c r="AB111" i="68"/>
  <c r="AB185" i="68"/>
  <c r="AB168" i="68"/>
  <c r="AB12" i="68"/>
  <c r="AB25" i="68"/>
  <c r="AB70" i="68"/>
  <c r="AB76" i="68"/>
  <c r="AB89" i="68"/>
  <c r="AB140" i="68"/>
  <c r="AB200" i="68"/>
  <c r="AB44" i="68"/>
  <c r="AB57" i="68"/>
  <c r="AB63" i="68"/>
  <c r="AB108" i="68"/>
  <c r="AB134" i="68"/>
  <c r="AB166" i="68"/>
  <c r="AB172" i="68"/>
  <c r="AB183" i="68"/>
  <c r="AB217" i="68"/>
  <c r="AB227" i="68"/>
  <c r="AB102" i="68"/>
  <c r="AB121" i="68"/>
  <c r="AB198" i="68"/>
  <c r="AB204" i="68"/>
  <c r="AB236" i="68"/>
  <c r="AB247" i="68"/>
  <c r="W170" i="63"/>
  <c r="P2" i="68"/>
  <c r="AC21" i="57"/>
  <c r="AJ21" i="57" s="1"/>
  <c r="O24" i="57"/>
  <c r="N25" i="57"/>
  <c r="AT24" i="53"/>
  <c r="Q24" i="53"/>
  <c r="AD24" i="53"/>
  <c r="AA22" i="57"/>
  <c r="AE22" i="57" s="1"/>
  <c r="AF22" i="57" s="1"/>
  <c r="S44" i="64"/>
  <c r="T44" i="64" s="1"/>
  <c r="V173" i="22"/>
  <c r="S13" i="64"/>
  <c r="T13" i="64" s="1"/>
  <c r="U13" i="64" s="1"/>
  <c r="W32" i="63"/>
  <c r="W31" i="63"/>
  <c r="W30" i="63"/>
  <c r="W29" i="63"/>
  <c r="W28" i="63"/>
  <c r="W27" i="63"/>
  <c r="W26" i="63"/>
  <c r="W25" i="63"/>
  <c r="W24" i="63"/>
  <c r="W23" i="63"/>
  <c r="W22" i="63"/>
  <c r="W21" i="63"/>
  <c r="W20" i="63"/>
  <c r="W19" i="63"/>
  <c r="W18" i="63"/>
  <c r="W17" i="63"/>
  <c r="W16" i="63"/>
  <c r="W256" i="63"/>
  <c r="W47" i="63"/>
  <c r="W38" i="63"/>
  <c r="Q259" i="64"/>
  <c r="T259" i="64"/>
  <c r="Q258" i="64"/>
  <c r="T258" i="64"/>
  <c r="W15" i="63"/>
  <c r="D186" i="36"/>
  <c r="V175" i="22"/>
  <c r="V172" i="22"/>
  <c r="W13" i="63"/>
  <c r="W12" i="63"/>
  <c r="AE21" i="53"/>
  <c r="AF21" i="53" s="1"/>
  <c r="W248" i="63"/>
  <c r="R25" i="53"/>
  <c r="X25" i="53" s="1"/>
  <c r="G10" i="63"/>
  <c r="V10" i="63" s="1"/>
  <c r="L26" i="57"/>
  <c r="AT25" i="53"/>
  <c r="AD25" i="53"/>
  <c r="Q25" i="53"/>
  <c r="AK25" i="52" a="1"/>
  <c r="AK25" i="52" s="1"/>
  <c r="B27" i="53" s="1"/>
  <c r="G26" i="57"/>
  <c r="E26" i="57"/>
  <c r="D26" i="57"/>
  <c r="C26" i="57"/>
  <c r="K26" i="57"/>
  <c r="I26" i="57"/>
  <c r="H26" i="57"/>
  <c r="F26" i="57"/>
  <c r="J26" i="57"/>
  <c r="P26" i="53"/>
  <c r="L26" i="53"/>
  <c r="H26" i="53"/>
  <c r="D26" i="53"/>
  <c r="F26" i="53"/>
  <c r="I26" i="53"/>
  <c r="E26" i="53"/>
  <c r="K26" i="53"/>
  <c r="J26" i="53"/>
  <c r="G26" i="53"/>
  <c r="C26" i="53"/>
  <c r="AN25" i="55" a="1"/>
  <c r="AN25" i="55" s="1"/>
  <c r="B27" i="57" s="1"/>
  <c r="P27" i="57" s="1"/>
  <c r="F255" i="64"/>
  <c r="F247" i="64"/>
  <c r="F239" i="64"/>
  <c r="F231" i="64"/>
  <c r="F223" i="64"/>
  <c r="F215" i="64"/>
  <c r="F207" i="64"/>
  <c r="F199" i="64"/>
  <c r="F191" i="64"/>
  <c r="F183" i="64"/>
  <c r="F175" i="64"/>
  <c r="F167" i="64"/>
  <c r="F159" i="64"/>
  <c r="F151" i="64"/>
  <c r="F143" i="64"/>
  <c r="F135" i="64"/>
  <c r="F127" i="64"/>
  <c r="F119" i="64"/>
  <c r="F111" i="64"/>
  <c r="F103" i="64"/>
  <c r="F95" i="64"/>
  <c r="F87" i="64"/>
  <c r="F79" i="64"/>
  <c r="F71" i="64"/>
  <c r="F63" i="64"/>
  <c r="F55" i="64"/>
  <c r="F47" i="64"/>
  <c r="F39" i="64"/>
  <c r="F31" i="64"/>
  <c r="F23" i="64"/>
  <c r="F15" i="64"/>
  <c r="F254" i="64"/>
  <c r="F246" i="64"/>
  <c r="F238" i="64"/>
  <c r="F230" i="64"/>
  <c r="F222" i="64"/>
  <c r="F214" i="64"/>
  <c r="F206" i="64"/>
  <c r="F198" i="64"/>
  <c r="F190" i="64"/>
  <c r="F182" i="64"/>
  <c r="F174" i="64"/>
  <c r="F166" i="64"/>
  <c r="F158" i="64"/>
  <c r="F150" i="64"/>
  <c r="F142" i="64"/>
  <c r="F134" i="64"/>
  <c r="F126" i="64"/>
  <c r="F118" i="64"/>
  <c r="F110" i="64"/>
  <c r="F102" i="64"/>
  <c r="F94" i="64"/>
  <c r="F86" i="64"/>
  <c r="F78" i="64"/>
  <c r="F70" i="64"/>
  <c r="F62" i="64"/>
  <c r="F54" i="64"/>
  <c r="F46" i="64"/>
  <c r="F38" i="64"/>
  <c r="F30" i="64"/>
  <c r="F22" i="64"/>
  <c r="F14" i="64"/>
  <c r="F253" i="64"/>
  <c r="F245" i="64"/>
  <c r="F237" i="64"/>
  <c r="F229" i="64"/>
  <c r="F221" i="64"/>
  <c r="F213" i="64"/>
  <c r="F205" i="64"/>
  <c r="F197" i="64"/>
  <c r="F189" i="64"/>
  <c r="F181" i="64"/>
  <c r="F173" i="64"/>
  <c r="F165" i="64"/>
  <c r="F157" i="64"/>
  <c r="F149" i="64"/>
  <c r="F141" i="64"/>
  <c r="F133" i="64"/>
  <c r="F125" i="64"/>
  <c r="F117" i="64"/>
  <c r="F109" i="64"/>
  <c r="F101" i="64"/>
  <c r="F93" i="64"/>
  <c r="F85" i="64"/>
  <c r="F77" i="64"/>
  <c r="F69" i="64"/>
  <c r="F61" i="64"/>
  <c r="F53" i="64"/>
  <c r="F45" i="64"/>
  <c r="F37" i="64"/>
  <c r="F29" i="64"/>
  <c r="F21" i="64"/>
  <c r="Z21" i="64" s="1"/>
  <c r="F13" i="64"/>
  <c r="F12" i="64"/>
  <c r="F252" i="64"/>
  <c r="F244" i="64"/>
  <c r="F236" i="64"/>
  <c r="F228" i="64"/>
  <c r="F220" i="64"/>
  <c r="F212" i="64"/>
  <c r="F204" i="64"/>
  <c r="F196" i="64"/>
  <c r="F188" i="64"/>
  <c r="F180" i="64"/>
  <c r="F172" i="64"/>
  <c r="F164" i="64"/>
  <c r="F156" i="64"/>
  <c r="F148" i="64"/>
  <c r="F140" i="64"/>
  <c r="F132" i="64"/>
  <c r="F124" i="64"/>
  <c r="F116" i="64"/>
  <c r="F108" i="64"/>
  <c r="F100" i="64"/>
  <c r="F92" i="64"/>
  <c r="F84" i="64"/>
  <c r="F76" i="64"/>
  <c r="F68" i="64"/>
  <c r="F60" i="64"/>
  <c r="F52" i="64"/>
  <c r="F44" i="64"/>
  <c r="F36" i="64"/>
  <c r="F28" i="64"/>
  <c r="F20" i="64"/>
  <c r="Z20" i="64" s="1"/>
  <c r="F251" i="64"/>
  <c r="F243" i="64"/>
  <c r="F235" i="64"/>
  <c r="F227" i="64"/>
  <c r="F219" i="64"/>
  <c r="F211" i="64"/>
  <c r="F203" i="64"/>
  <c r="F195" i="64"/>
  <c r="F187" i="64"/>
  <c r="F179" i="64"/>
  <c r="F171" i="64"/>
  <c r="F163" i="64"/>
  <c r="F155" i="64"/>
  <c r="F147" i="64"/>
  <c r="F139" i="64"/>
  <c r="F131" i="64"/>
  <c r="F123" i="64"/>
  <c r="F115" i="64"/>
  <c r="F107" i="64"/>
  <c r="F99" i="64"/>
  <c r="F91" i="64"/>
  <c r="F83" i="64"/>
  <c r="F75" i="64"/>
  <c r="F67" i="64"/>
  <c r="F59" i="64"/>
  <c r="F51" i="64"/>
  <c r="F43" i="64"/>
  <c r="F35" i="64"/>
  <c r="F27" i="64"/>
  <c r="F19" i="64"/>
  <c r="Z19" i="64" s="1"/>
  <c r="F250" i="64"/>
  <c r="F242" i="64"/>
  <c r="F234" i="64"/>
  <c r="F226" i="64"/>
  <c r="F218" i="64"/>
  <c r="F210" i="64"/>
  <c r="F202" i="64"/>
  <c r="F194" i="64"/>
  <c r="F186" i="64"/>
  <c r="F178" i="64"/>
  <c r="F170" i="64"/>
  <c r="F162" i="64"/>
  <c r="F154" i="64"/>
  <c r="F146" i="64"/>
  <c r="F138" i="64"/>
  <c r="F130" i="64"/>
  <c r="F122" i="64"/>
  <c r="F114" i="64"/>
  <c r="F106" i="64"/>
  <c r="F98" i="64"/>
  <c r="F90" i="64"/>
  <c r="F82" i="64"/>
  <c r="F74" i="64"/>
  <c r="F66" i="64"/>
  <c r="F58" i="64"/>
  <c r="F50" i="64"/>
  <c r="F42" i="64"/>
  <c r="F34" i="64"/>
  <c r="F26" i="64"/>
  <c r="F18" i="64"/>
  <c r="Z18" i="64" s="1"/>
  <c r="F257" i="64"/>
  <c r="F249" i="64"/>
  <c r="F241" i="64"/>
  <c r="F233" i="64"/>
  <c r="F225" i="64"/>
  <c r="F217" i="64"/>
  <c r="F209" i="64"/>
  <c r="F201" i="64"/>
  <c r="F193" i="64"/>
  <c r="F185" i="64"/>
  <c r="F177" i="64"/>
  <c r="F169" i="64"/>
  <c r="F161" i="64"/>
  <c r="F153" i="64"/>
  <c r="F145" i="64"/>
  <c r="F137" i="64"/>
  <c r="F129" i="64"/>
  <c r="F121" i="64"/>
  <c r="F113" i="64"/>
  <c r="F105" i="64"/>
  <c r="F97" i="64"/>
  <c r="F89" i="64"/>
  <c r="F81" i="64"/>
  <c r="F73" i="64"/>
  <c r="F65" i="64"/>
  <c r="F57" i="64"/>
  <c r="F49" i="64"/>
  <c r="F41" i="64"/>
  <c r="F33" i="64"/>
  <c r="F25" i="64"/>
  <c r="F17" i="64"/>
  <c r="F256" i="64"/>
  <c r="F248" i="64"/>
  <c r="F240" i="64"/>
  <c r="F232" i="64"/>
  <c r="F224" i="64"/>
  <c r="F216" i="64"/>
  <c r="F208" i="64"/>
  <c r="F200" i="64"/>
  <c r="F192" i="64"/>
  <c r="F184" i="64"/>
  <c r="F176" i="64"/>
  <c r="F168" i="64"/>
  <c r="F160" i="64"/>
  <c r="F152" i="64"/>
  <c r="F144" i="64"/>
  <c r="F136" i="64"/>
  <c r="F128" i="64"/>
  <c r="F120" i="64"/>
  <c r="F112" i="64"/>
  <c r="F104" i="64"/>
  <c r="F96" i="64"/>
  <c r="F88" i="64"/>
  <c r="F80" i="64"/>
  <c r="F72" i="64"/>
  <c r="F64" i="64"/>
  <c r="F56" i="64"/>
  <c r="F48" i="64"/>
  <c r="F40" i="64"/>
  <c r="F32" i="64"/>
  <c r="F24" i="64"/>
  <c r="F16" i="64"/>
  <c r="AQ10" i="67" a="1"/>
  <c r="AQ10" i="67" s="1"/>
  <c r="AQ11" i="67" s="1" a="1"/>
  <c r="AQ11" i="67" s="1"/>
  <c r="AQ12" i="67" s="1" a="1"/>
  <c r="AQ12" i="67" s="1"/>
  <c r="AR10" i="67" a="1"/>
  <c r="AR10" i="67" s="1"/>
  <c r="R11" i="63" l="1"/>
  <c r="R10" i="63"/>
  <c r="Y13" i="63"/>
  <c r="Y12" i="63"/>
  <c r="W11" i="63"/>
  <c r="T176" i="22"/>
  <c r="D187" i="36" s="1"/>
  <c r="AG24" i="57"/>
  <c r="X24" i="57"/>
  <c r="AB25" i="53"/>
  <c r="S12" i="64"/>
  <c r="T12" i="64" s="1"/>
  <c r="U12" i="64" s="1"/>
  <c r="Z12" i="64" s="1"/>
  <c r="M27" i="53"/>
  <c r="AC27" i="53" s="1"/>
  <c r="O27" i="53"/>
  <c r="AD25" i="57"/>
  <c r="R25" i="57"/>
  <c r="Q25" i="57"/>
  <c r="T25" i="57" s="1"/>
  <c r="AQ25" i="57"/>
  <c r="M26" i="57"/>
  <c r="AK26" i="57" s="1"/>
  <c r="AA25" i="53"/>
  <c r="N27" i="53"/>
  <c r="AB16" i="68"/>
  <c r="AB19" i="68"/>
  <c r="AB18" i="68"/>
  <c r="AB15" i="68"/>
  <c r="AB21" i="68"/>
  <c r="AB20" i="68"/>
  <c r="AB17" i="68"/>
  <c r="AB14" i="68"/>
  <c r="Z17" i="64"/>
  <c r="Z16" i="64"/>
  <c r="V2" i="64"/>
  <c r="AC22" i="57"/>
  <c r="AJ22" i="57" s="1"/>
  <c r="O25" i="57"/>
  <c r="N26" i="57"/>
  <c r="AG24" i="53"/>
  <c r="AH21" i="53"/>
  <c r="AE25" i="53"/>
  <c r="AF25" i="53" s="1"/>
  <c r="AE24" i="53"/>
  <c r="AF24" i="53" s="1"/>
  <c r="AE23" i="53"/>
  <c r="AF23" i="53" s="1"/>
  <c r="AA23" i="57"/>
  <c r="AE23" i="57" s="1"/>
  <c r="AF23" i="57" s="1"/>
  <c r="Z44" i="64"/>
  <c r="R26" i="53"/>
  <c r="X26" i="53" s="1"/>
  <c r="W10" i="63"/>
  <c r="Z15" i="64"/>
  <c r="Z14" i="64"/>
  <c r="Z13" i="64"/>
  <c r="L27" i="57"/>
  <c r="AT26" i="53"/>
  <c r="AD26" i="53"/>
  <c r="AK26" i="52" a="1"/>
  <c r="AK26" i="52" s="1"/>
  <c r="B28" i="53" s="1"/>
  <c r="Q26" i="53"/>
  <c r="H27" i="53"/>
  <c r="G27" i="53"/>
  <c r="P27" i="53"/>
  <c r="E27" i="53"/>
  <c r="D27" i="53"/>
  <c r="C27" i="53"/>
  <c r="L27" i="53"/>
  <c r="K27" i="53"/>
  <c r="I27" i="53"/>
  <c r="F27" i="53"/>
  <c r="J27" i="53"/>
  <c r="I27" i="57"/>
  <c r="F27" i="57"/>
  <c r="E27" i="57"/>
  <c r="C27" i="57"/>
  <c r="K27" i="57"/>
  <c r="J27" i="57"/>
  <c r="H27" i="57"/>
  <c r="D27" i="57"/>
  <c r="G27" i="57"/>
  <c r="AN26" i="55" a="1"/>
  <c r="AN26" i="55" s="1"/>
  <c r="B28" i="57" s="1"/>
  <c r="P28" i="57" s="1"/>
  <c r="AR11" i="67" a="1"/>
  <c r="AR11" i="67" s="1"/>
  <c r="B12" i="69"/>
  <c r="R258" i="67"/>
  <c r="L22" i="73" s="1"/>
  <c r="AQ13" i="67" a="1"/>
  <c r="AQ13" i="67" s="1"/>
  <c r="Y11" i="63" l="1"/>
  <c r="AA26" i="53"/>
  <c r="AG25" i="57"/>
  <c r="X25" i="57"/>
  <c r="Y10" i="63"/>
  <c r="M28" i="53"/>
  <c r="AC28" i="53" s="1"/>
  <c r="O28" i="53"/>
  <c r="AQ26" i="57"/>
  <c r="R26" i="57"/>
  <c r="Q26" i="57"/>
  <c r="T26" i="57" s="1"/>
  <c r="AD26" i="57"/>
  <c r="M27" i="57"/>
  <c r="AK27" i="57" s="1"/>
  <c r="AB26" i="53"/>
  <c r="N28" i="53"/>
  <c r="AC260" i="68"/>
  <c r="AB260" i="68"/>
  <c r="L12" i="69"/>
  <c r="L175" i="22"/>
  <c r="L174" i="22"/>
  <c r="AA24" i="57"/>
  <c r="AE24" i="57" s="1"/>
  <c r="AF24" i="57" s="1"/>
  <c r="AB24" i="57"/>
  <c r="AC24" i="57"/>
  <c r="AJ24" i="57" s="1"/>
  <c r="AC23" i="57"/>
  <c r="AJ23" i="57" s="1"/>
  <c r="O26" i="57"/>
  <c r="N27" i="57"/>
  <c r="AH24" i="53"/>
  <c r="AH23" i="53"/>
  <c r="AG25" i="53"/>
  <c r="AG26" i="53"/>
  <c r="L173" i="22"/>
  <c r="L172" i="22"/>
  <c r="L176" i="22"/>
  <c r="Z260" i="64"/>
  <c r="L28" i="57"/>
  <c r="P28" i="53"/>
  <c r="F28" i="53"/>
  <c r="K28" i="53"/>
  <c r="E28" i="53"/>
  <c r="I28" i="53"/>
  <c r="J28" i="53"/>
  <c r="G28" i="53"/>
  <c r="AK27" i="52" a="1"/>
  <c r="AK27" i="52" s="1"/>
  <c r="B29" i="53" s="1"/>
  <c r="C28" i="53"/>
  <c r="H28" i="53"/>
  <c r="D28" i="53"/>
  <c r="L28" i="53"/>
  <c r="I28" i="57"/>
  <c r="H28" i="57"/>
  <c r="G28" i="57"/>
  <c r="E28" i="57"/>
  <c r="D28" i="57"/>
  <c r="C28" i="57"/>
  <c r="K28" i="57"/>
  <c r="F28" i="57"/>
  <c r="J28" i="57"/>
  <c r="AN27" i="55" a="1"/>
  <c r="AN27" i="55" s="1"/>
  <c r="B29" i="57" s="1"/>
  <c r="P29" i="57" s="1"/>
  <c r="B13" i="69"/>
  <c r="L13" i="69" s="1"/>
  <c r="AR12" i="67" a="1"/>
  <c r="AR12" i="67" s="1"/>
  <c r="B14" i="69" s="1"/>
  <c r="L14" i="69" s="1"/>
  <c r="C12" i="69"/>
  <c r="AQ14" i="67" a="1"/>
  <c r="AQ14" i="67" s="1"/>
  <c r="AQ15" i="67" s="1" a="1"/>
  <c r="AQ15" i="67" s="1"/>
  <c r="L124" i="29"/>
  <c r="L123" i="29"/>
  <c r="M131" i="29"/>
  <c r="L131" i="29"/>
  <c r="M132" i="29"/>
  <c r="L132" i="29"/>
  <c r="M133" i="29"/>
  <c r="L133" i="29"/>
  <c r="N12" i="69" l="1"/>
  <c r="Q12" i="69" s="1"/>
  <c r="AG26" i="57"/>
  <c r="X26" i="57"/>
  <c r="Q27" i="57"/>
  <c r="T27" i="57" s="1"/>
  <c r="AD27" i="57"/>
  <c r="R27" i="57"/>
  <c r="M29" i="53"/>
  <c r="AC29" i="53" s="1"/>
  <c r="O29" i="53"/>
  <c r="AP12" i="69"/>
  <c r="AQ27" i="57"/>
  <c r="M28" i="57"/>
  <c r="AK28" i="57" s="1"/>
  <c r="N29" i="53"/>
  <c r="AA25" i="57"/>
  <c r="AE25" i="57" s="1"/>
  <c r="AF25" i="57" s="1"/>
  <c r="AB25" i="57"/>
  <c r="AC25" i="57"/>
  <c r="AJ25" i="57" s="1"/>
  <c r="O27" i="57"/>
  <c r="N28" i="57"/>
  <c r="AH25" i="53"/>
  <c r="AD27" i="53"/>
  <c r="Q27" i="53"/>
  <c r="AT27" i="53"/>
  <c r="R27" i="53"/>
  <c r="D116" i="22"/>
  <c r="L29" i="57"/>
  <c r="H29" i="53"/>
  <c r="F29" i="53"/>
  <c r="K29" i="53"/>
  <c r="C29" i="53"/>
  <c r="L29" i="53"/>
  <c r="G29" i="53"/>
  <c r="E29" i="53"/>
  <c r="D29" i="53"/>
  <c r="P29" i="53"/>
  <c r="AK28" i="52" a="1"/>
  <c r="AK28" i="52" s="1"/>
  <c r="B30" i="53" s="1"/>
  <c r="J29" i="53"/>
  <c r="I29" i="53"/>
  <c r="J29" i="57"/>
  <c r="G29" i="57"/>
  <c r="H29" i="57"/>
  <c r="D29" i="57"/>
  <c r="C29" i="57"/>
  <c r="F29" i="57"/>
  <c r="E29" i="57"/>
  <c r="K29" i="57"/>
  <c r="I29" i="57"/>
  <c r="AN28" i="55" a="1"/>
  <c r="AN28" i="55" s="1"/>
  <c r="B30" i="57" s="1"/>
  <c r="P30" i="57" s="1"/>
  <c r="AR13" i="67" a="1"/>
  <c r="AR13" i="67" s="1"/>
  <c r="D12" i="69"/>
  <c r="C14" i="69"/>
  <c r="P14" i="69" s="1"/>
  <c r="C13" i="69"/>
  <c r="P13" i="69" s="1"/>
  <c r="AQ16" i="67" a="1"/>
  <c r="AQ16" i="67" s="1"/>
  <c r="AQ17" i="67" s="1" a="1"/>
  <c r="AQ17" i="67" s="1"/>
  <c r="M129" i="29"/>
  <c r="L129" i="29"/>
  <c r="A133" i="22"/>
  <c r="A132" i="22"/>
  <c r="A131" i="22"/>
  <c r="D140" i="22"/>
  <c r="C140" i="22"/>
  <c r="B140" i="22"/>
  <c r="A140" i="22"/>
  <c r="D139" i="22"/>
  <c r="C139" i="22"/>
  <c r="B139" i="22"/>
  <c r="A139" i="22"/>
  <c r="D138" i="22"/>
  <c r="C138" i="22"/>
  <c r="B138" i="22"/>
  <c r="A138" i="22"/>
  <c r="D137" i="22"/>
  <c r="C137" i="22"/>
  <c r="B137" i="22"/>
  <c r="A137" i="22"/>
  <c r="D136" i="22"/>
  <c r="C136" i="22"/>
  <c r="B136" i="22"/>
  <c r="A136" i="22"/>
  <c r="D135" i="22"/>
  <c r="C135" i="22"/>
  <c r="E135" i="22" s="1"/>
  <c r="D133" i="22"/>
  <c r="C133" i="22"/>
  <c r="B133" i="22"/>
  <c r="D132" i="22"/>
  <c r="C132" i="22"/>
  <c r="B132" i="22"/>
  <c r="A130" i="22"/>
  <c r="A129" i="22"/>
  <c r="B129" i="22"/>
  <c r="C129" i="22"/>
  <c r="F137" i="22" l="1"/>
  <c r="X137" i="22"/>
  <c r="T137" i="22"/>
  <c r="F139" i="22"/>
  <c r="X139" i="22"/>
  <c r="T139" i="22"/>
  <c r="X131" i="22"/>
  <c r="T131" i="22"/>
  <c r="X132" i="22"/>
  <c r="T132" i="22"/>
  <c r="T133" i="22"/>
  <c r="X133" i="22"/>
  <c r="F130" i="22"/>
  <c r="T130" i="22"/>
  <c r="X130" i="22"/>
  <c r="F136" i="22"/>
  <c r="T136" i="22"/>
  <c r="X136" i="22"/>
  <c r="F138" i="22"/>
  <c r="X138" i="22"/>
  <c r="T138" i="22"/>
  <c r="F140" i="22"/>
  <c r="X140" i="22"/>
  <c r="T140" i="22"/>
  <c r="F129" i="22"/>
  <c r="X129" i="22"/>
  <c r="T129" i="22"/>
  <c r="X27" i="53"/>
  <c r="AA27" i="53" s="1"/>
  <c r="AG27" i="57"/>
  <c r="X27" i="57"/>
  <c r="M30" i="53"/>
  <c r="AC30" i="53" s="1"/>
  <c r="O30" i="53"/>
  <c r="AE12" i="69"/>
  <c r="AH12" i="69" s="1"/>
  <c r="AP13" i="69"/>
  <c r="N13" i="69"/>
  <c r="AP14" i="69"/>
  <c r="N14" i="69"/>
  <c r="U14" i="69" s="1"/>
  <c r="AD28" i="57"/>
  <c r="Q28" i="57"/>
  <c r="T28" i="57" s="1"/>
  <c r="M29" i="57"/>
  <c r="AK29" i="57" s="1"/>
  <c r="AQ28" i="57"/>
  <c r="R28" i="57"/>
  <c r="N30" i="53"/>
  <c r="E136" i="22"/>
  <c r="AA26" i="57"/>
  <c r="AE26" i="57" s="1"/>
  <c r="AF26" i="57" s="1"/>
  <c r="AB26" i="57"/>
  <c r="AC26" i="57"/>
  <c r="AJ26" i="57" s="1"/>
  <c r="O28" i="57"/>
  <c r="N29" i="57"/>
  <c r="R28" i="53"/>
  <c r="AD28" i="53"/>
  <c r="AT28" i="53"/>
  <c r="AG27" i="53"/>
  <c r="Q28" i="53"/>
  <c r="AE26" i="53"/>
  <c r="AF26" i="53" s="1"/>
  <c r="U12" i="69"/>
  <c r="R29" i="53"/>
  <c r="AY12" i="69"/>
  <c r="E129" i="22"/>
  <c r="S129" i="22"/>
  <c r="S133" i="22"/>
  <c r="E133" i="22"/>
  <c r="S136" i="22"/>
  <c r="E138" i="22"/>
  <c r="S138" i="22"/>
  <c r="E140" i="22"/>
  <c r="S140" i="22"/>
  <c r="S135" i="22"/>
  <c r="E137" i="22"/>
  <c r="S137" i="22"/>
  <c r="E139" i="22"/>
  <c r="S139" i="22"/>
  <c r="E132" i="22"/>
  <c r="S132" i="22"/>
  <c r="D129" i="22"/>
  <c r="I132" i="22"/>
  <c r="W136" i="22"/>
  <c r="I138" i="22"/>
  <c r="L30" i="57"/>
  <c r="AT29" i="53"/>
  <c r="L30" i="53"/>
  <c r="AD29" i="53"/>
  <c r="Q29" i="53"/>
  <c r="AK29" i="52" a="1"/>
  <c r="AK29" i="52" s="1"/>
  <c r="B31" i="53" s="1"/>
  <c r="G30" i="53"/>
  <c r="I30" i="53"/>
  <c r="P30" i="53"/>
  <c r="J30" i="53"/>
  <c r="D30" i="53"/>
  <c r="E30" i="53"/>
  <c r="K30" i="53"/>
  <c r="C30" i="53"/>
  <c r="F30" i="53"/>
  <c r="H30" i="53"/>
  <c r="K30" i="57"/>
  <c r="I30" i="57"/>
  <c r="H30" i="57"/>
  <c r="G30" i="57"/>
  <c r="E30" i="57"/>
  <c r="D30" i="57"/>
  <c r="C30" i="57"/>
  <c r="F30" i="57"/>
  <c r="J30" i="57"/>
  <c r="AN29" i="55" a="1"/>
  <c r="AN29" i="55" s="1"/>
  <c r="B31" i="57" s="1"/>
  <c r="P31" i="57" s="1"/>
  <c r="AR14" i="67" a="1"/>
  <c r="AR14" i="67" s="1"/>
  <c r="B16" i="69" s="1"/>
  <c r="L16" i="69" s="1"/>
  <c r="B15" i="69"/>
  <c r="L15" i="69" s="1"/>
  <c r="D13" i="69"/>
  <c r="E13" i="69" s="1"/>
  <c r="F13" i="69" s="1"/>
  <c r="G13" i="69" s="1"/>
  <c r="H13" i="69" s="1"/>
  <c r="I13" i="69" s="1"/>
  <c r="J13" i="69" s="1"/>
  <c r="K13" i="69" s="1"/>
  <c r="M13" i="69" s="1"/>
  <c r="D14" i="69"/>
  <c r="E14" i="69" s="1"/>
  <c r="F14" i="69" s="1"/>
  <c r="G14" i="69" s="1"/>
  <c r="H14" i="69" s="1"/>
  <c r="I14" i="69" s="1"/>
  <c r="J14" i="69" s="1"/>
  <c r="K14" i="69" s="1"/>
  <c r="M14" i="69" s="1"/>
  <c r="R12" i="69"/>
  <c r="S12" i="69" s="1"/>
  <c r="E12" i="69"/>
  <c r="F12" i="69" s="1"/>
  <c r="AQ18" i="67" a="1"/>
  <c r="AQ18" i="67" s="1"/>
  <c r="W135" i="22"/>
  <c r="W129" i="22"/>
  <c r="L129" i="22"/>
  <c r="I137" i="22"/>
  <c r="V129" i="22"/>
  <c r="W133" i="22"/>
  <c r="I136" i="22"/>
  <c r="W137" i="22"/>
  <c r="W132" i="22"/>
  <c r="V139" i="22"/>
  <c r="L139" i="22"/>
  <c r="H139" i="22"/>
  <c r="U139" i="22"/>
  <c r="K139" i="22"/>
  <c r="G139" i="22"/>
  <c r="V140" i="22"/>
  <c r="L140" i="22"/>
  <c r="H140" i="22"/>
  <c r="U140" i="22"/>
  <c r="K140" i="22"/>
  <c r="G140" i="22"/>
  <c r="V132" i="22"/>
  <c r="V136" i="22"/>
  <c r="L136" i="22"/>
  <c r="H136" i="22"/>
  <c r="J136" i="22"/>
  <c r="V137" i="22"/>
  <c r="L137" i="22"/>
  <c r="H137" i="22"/>
  <c r="J137" i="22"/>
  <c r="V138" i="22"/>
  <c r="L138" i="22"/>
  <c r="H138" i="22"/>
  <c r="U138" i="22"/>
  <c r="J138" i="22"/>
  <c r="K132" i="22"/>
  <c r="K133" i="22"/>
  <c r="K135" i="22"/>
  <c r="K136" i="22"/>
  <c r="K137" i="22"/>
  <c r="K138" i="22"/>
  <c r="W138" i="22"/>
  <c r="I139" i="22"/>
  <c r="W139" i="22"/>
  <c r="I140" i="22"/>
  <c r="W140" i="22"/>
  <c r="G132" i="22"/>
  <c r="U132" i="22"/>
  <c r="G133" i="22"/>
  <c r="U133" i="22"/>
  <c r="G135" i="22"/>
  <c r="U135" i="22"/>
  <c r="G136" i="22"/>
  <c r="U136" i="22"/>
  <c r="G137" i="22"/>
  <c r="U137" i="22"/>
  <c r="G138" i="22"/>
  <c r="J139" i="22"/>
  <c r="J140" i="22"/>
  <c r="U129" i="22"/>
  <c r="K129" i="22"/>
  <c r="G129" i="22"/>
  <c r="AG28" i="57" l="1"/>
  <c r="X28" i="57"/>
  <c r="X28" i="53"/>
  <c r="AA28" i="53" s="1"/>
  <c r="AB27" i="53"/>
  <c r="X29" i="53"/>
  <c r="AB29" i="53" s="1"/>
  <c r="R29" i="57"/>
  <c r="M31" i="53"/>
  <c r="AC31" i="53" s="1"/>
  <c r="O31" i="53"/>
  <c r="AD29" i="57"/>
  <c r="AQ29" i="57"/>
  <c r="Q29" i="57"/>
  <c r="T29" i="57" s="1"/>
  <c r="M30" i="57"/>
  <c r="AK30" i="57" s="1"/>
  <c r="U13" i="69"/>
  <c r="N31" i="53"/>
  <c r="Q14" i="69"/>
  <c r="Q13" i="69"/>
  <c r="AA27" i="57"/>
  <c r="AE27" i="57" s="1"/>
  <c r="AF27" i="57" s="1"/>
  <c r="AB27" i="57"/>
  <c r="O12" i="69"/>
  <c r="P12" i="69" s="1"/>
  <c r="AC27" i="57"/>
  <c r="AJ27" i="57" s="1"/>
  <c r="O29" i="57"/>
  <c r="N30" i="57"/>
  <c r="AH26" i="53"/>
  <c r="AG28" i="53"/>
  <c r="AG29" i="53"/>
  <c r="AE27" i="53"/>
  <c r="AF27" i="53" s="1"/>
  <c r="G12" i="69"/>
  <c r="H12" i="69" s="1"/>
  <c r="I12" i="69" s="1"/>
  <c r="J12" i="69" s="1"/>
  <c r="R30" i="53"/>
  <c r="X30" i="53" s="1"/>
  <c r="AY14" i="69"/>
  <c r="I129" i="22"/>
  <c r="AY13" i="69"/>
  <c r="L31" i="57"/>
  <c r="AT30" i="53"/>
  <c r="AD30" i="53"/>
  <c r="Q30" i="53"/>
  <c r="AK30" i="52" a="1"/>
  <c r="AK30" i="52" s="1"/>
  <c r="B32" i="53" s="1"/>
  <c r="F31" i="53"/>
  <c r="K31" i="53"/>
  <c r="P31" i="53"/>
  <c r="H31" i="53"/>
  <c r="L31" i="53"/>
  <c r="J31" i="53"/>
  <c r="I31" i="53"/>
  <c r="C31" i="53"/>
  <c r="E31" i="53"/>
  <c r="G31" i="53"/>
  <c r="D31" i="53"/>
  <c r="K31" i="57"/>
  <c r="I31" i="57"/>
  <c r="F31" i="57"/>
  <c r="C31" i="57"/>
  <c r="E31" i="57"/>
  <c r="J31" i="57"/>
  <c r="H31" i="57"/>
  <c r="D31" i="57"/>
  <c r="G31" i="57"/>
  <c r="AN30" i="55" a="1"/>
  <c r="AN30" i="55" s="1"/>
  <c r="B32" i="57" s="1"/>
  <c r="P32" i="57" s="1"/>
  <c r="AE14" i="69"/>
  <c r="AH14" i="69" s="1"/>
  <c r="R14" i="69"/>
  <c r="S14" i="69" s="1"/>
  <c r="AR15" i="67" a="1"/>
  <c r="AR15" i="67" s="1"/>
  <c r="AE13" i="69"/>
  <c r="AH13" i="69" s="1"/>
  <c r="R13" i="69"/>
  <c r="S13" i="69" s="1"/>
  <c r="C15" i="69"/>
  <c r="P15" i="69" s="1"/>
  <c r="C16" i="69"/>
  <c r="P16" i="69" s="1"/>
  <c r="AQ19" i="67" a="1"/>
  <c r="AQ19" i="67" s="1"/>
  <c r="E124" i="28"/>
  <c r="D124" i="28"/>
  <c r="C124" i="28"/>
  <c r="B124" i="28"/>
  <c r="D131" i="22"/>
  <c r="C131" i="22"/>
  <c r="B131" i="22"/>
  <c r="Y12" i="69" l="1"/>
  <c r="AB12" i="69" s="1"/>
  <c r="AC12" i="69" s="1"/>
  <c r="AB28" i="53"/>
  <c r="AA29" i="53"/>
  <c r="AG29" i="57"/>
  <c r="X29" i="57"/>
  <c r="AA30" i="53"/>
  <c r="R30" i="57"/>
  <c r="M32" i="53"/>
  <c r="O32" i="53"/>
  <c r="AP16" i="69"/>
  <c r="N16" i="69"/>
  <c r="U16" i="69" s="1"/>
  <c r="AP15" i="69"/>
  <c r="N15" i="69"/>
  <c r="AD30" i="57"/>
  <c r="AQ30" i="57"/>
  <c r="Q30" i="57"/>
  <c r="T30" i="57" s="1"/>
  <c r="M31" i="57"/>
  <c r="AK31" i="57" s="1"/>
  <c r="AB30" i="53"/>
  <c r="N32" i="53"/>
  <c r="O14" i="69"/>
  <c r="O13" i="69"/>
  <c r="M12" i="69"/>
  <c r="K12" i="69"/>
  <c r="AA28" i="57"/>
  <c r="AE28" i="57" s="1"/>
  <c r="AF28" i="57" s="1"/>
  <c r="AB28" i="57"/>
  <c r="AC28" i="57"/>
  <c r="AJ28" i="57" s="1"/>
  <c r="O30" i="57"/>
  <c r="N31" i="57"/>
  <c r="AE29" i="53"/>
  <c r="AF29" i="53" s="1"/>
  <c r="AH27" i="53"/>
  <c r="AE28" i="53"/>
  <c r="AF28" i="53" s="1"/>
  <c r="AG30" i="53"/>
  <c r="R31" i="53"/>
  <c r="X31" i="53" s="1"/>
  <c r="E131" i="22"/>
  <c r="S131" i="22"/>
  <c r="L32" i="57"/>
  <c r="AT31" i="53"/>
  <c r="AD31" i="53"/>
  <c r="AK31" i="52" a="1"/>
  <c r="AK31" i="52" s="1"/>
  <c r="B33" i="53" s="1"/>
  <c r="L32" i="53"/>
  <c r="C32" i="53"/>
  <c r="G32" i="53"/>
  <c r="P32" i="53"/>
  <c r="E32" i="53"/>
  <c r="F32" i="53"/>
  <c r="Q31" i="53"/>
  <c r="J32" i="53"/>
  <c r="I32" i="53"/>
  <c r="H32" i="53"/>
  <c r="D32" i="53"/>
  <c r="K32" i="53"/>
  <c r="H32" i="57"/>
  <c r="G32" i="57"/>
  <c r="E32" i="57"/>
  <c r="D32" i="57"/>
  <c r="C32" i="57"/>
  <c r="K32" i="57"/>
  <c r="I32" i="57"/>
  <c r="F32" i="57"/>
  <c r="J32" i="57"/>
  <c r="AN31" i="55" a="1"/>
  <c r="AN31" i="55" s="1"/>
  <c r="B33" i="57" s="1"/>
  <c r="P33" i="57" s="1"/>
  <c r="AR16" i="67" a="1"/>
  <c r="AR16" i="67" s="1"/>
  <c r="B18" i="69" s="1"/>
  <c r="L18" i="69" s="1"/>
  <c r="B17" i="69"/>
  <c r="L17" i="69" s="1"/>
  <c r="D16" i="69"/>
  <c r="E16" i="69" s="1"/>
  <c r="F16" i="69" s="1"/>
  <c r="G16" i="69" s="1"/>
  <c r="H16" i="69" s="1"/>
  <c r="I16" i="69" s="1"/>
  <c r="J16" i="69" s="1"/>
  <c r="K16" i="69" s="1"/>
  <c r="M16" i="69" s="1"/>
  <c r="D15" i="69"/>
  <c r="AQ20" i="67" a="1"/>
  <c r="AQ20" i="67" s="1"/>
  <c r="W131" i="22"/>
  <c r="G131" i="22"/>
  <c r="K131" i="22"/>
  <c r="U131" i="22"/>
  <c r="L131" i="22"/>
  <c r="V131" i="22"/>
  <c r="Y4" i="28"/>
  <c r="Z4" i="28" s="1"/>
  <c r="Y5" i="28"/>
  <c r="Z5" i="28" s="1"/>
  <c r="Y6" i="28"/>
  <c r="Z6" i="28" s="1"/>
  <c r="A3" i="28"/>
  <c r="B3" i="28"/>
  <c r="D3" i="28"/>
  <c r="A4" i="28"/>
  <c r="B4" i="28"/>
  <c r="D4" i="28"/>
  <c r="A5" i="28"/>
  <c r="B5" i="28"/>
  <c r="D5" i="28"/>
  <c r="A6" i="28"/>
  <c r="B6" i="28"/>
  <c r="D6" i="28"/>
  <c r="A7" i="28"/>
  <c r="B7" i="28"/>
  <c r="D7" i="28"/>
  <c r="A8" i="28"/>
  <c r="B8" i="28"/>
  <c r="D8" i="28"/>
  <c r="A9" i="28"/>
  <c r="B9" i="28"/>
  <c r="D9" i="28"/>
  <c r="A10" i="28"/>
  <c r="B10" i="28"/>
  <c r="D10" i="28"/>
  <c r="A11" i="28"/>
  <c r="B11" i="28"/>
  <c r="D11" i="28"/>
  <c r="A12" i="28"/>
  <c r="B12" i="28"/>
  <c r="D12" i="28"/>
  <c r="A13" i="28"/>
  <c r="B13" i="28"/>
  <c r="D13" i="28"/>
  <c r="A14" i="28"/>
  <c r="B14" i="28"/>
  <c r="D14" i="28"/>
  <c r="A15" i="28"/>
  <c r="B15" i="28"/>
  <c r="D15" i="28"/>
  <c r="A16" i="28"/>
  <c r="B16" i="28"/>
  <c r="D16" i="28"/>
  <c r="A17" i="28"/>
  <c r="B17" i="28"/>
  <c r="D17" i="28"/>
  <c r="A18" i="28"/>
  <c r="B18" i="28"/>
  <c r="D18" i="28"/>
  <c r="A19" i="28"/>
  <c r="B19" i="28"/>
  <c r="D19" i="28"/>
  <c r="A20" i="28"/>
  <c r="B20" i="28"/>
  <c r="D20" i="28"/>
  <c r="A21" i="28"/>
  <c r="B21" i="28"/>
  <c r="D21" i="28"/>
  <c r="A22" i="28"/>
  <c r="B22" i="28"/>
  <c r="D22" i="28"/>
  <c r="A23" i="28"/>
  <c r="B23" i="28"/>
  <c r="D23" i="28"/>
  <c r="A24" i="28"/>
  <c r="B24" i="28"/>
  <c r="D24" i="28"/>
  <c r="A25" i="28"/>
  <c r="B25" i="28"/>
  <c r="D25" i="28"/>
  <c r="A26" i="28"/>
  <c r="B26" i="28"/>
  <c r="D26" i="28"/>
  <c r="A27" i="28"/>
  <c r="B27" i="28"/>
  <c r="D27" i="28"/>
  <c r="A28" i="28"/>
  <c r="B28" i="28"/>
  <c r="D28" i="28"/>
  <c r="A29" i="28"/>
  <c r="B29" i="28"/>
  <c r="D29" i="28"/>
  <c r="A30" i="28"/>
  <c r="B30" i="28"/>
  <c r="D30" i="28"/>
  <c r="A31" i="28"/>
  <c r="B31" i="28"/>
  <c r="D31" i="28"/>
  <c r="A32" i="28"/>
  <c r="A34" i="28"/>
  <c r="B34" i="28"/>
  <c r="D34" i="28"/>
  <c r="A35" i="28"/>
  <c r="B35" i="28"/>
  <c r="D35" i="28"/>
  <c r="A36" i="28"/>
  <c r="B36" i="28"/>
  <c r="D36" i="28"/>
  <c r="A37" i="28"/>
  <c r="B37" i="28"/>
  <c r="D37" i="28"/>
  <c r="A38" i="28"/>
  <c r="B38" i="28"/>
  <c r="D38" i="28"/>
  <c r="A39" i="28"/>
  <c r="B39" i="28"/>
  <c r="D39" i="28"/>
  <c r="A40" i="28"/>
  <c r="B40" i="28"/>
  <c r="D40" i="28"/>
  <c r="A41" i="28"/>
  <c r="B41" i="28"/>
  <c r="D41" i="28"/>
  <c r="A42" i="28"/>
  <c r="B42" i="28"/>
  <c r="D42" i="28"/>
  <c r="A43" i="28"/>
  <c r="B43" i="28"/>
  <c r="D43" i="28"/>
  <c r="A44" i="28"/>
  <c r="B44" i="28"/>
  <c r="D44" i="28"/>
  <c r="A45" i="28"/>
  <c r="B45" i="28"/>
  <c r="D45" i="28"/>
  <c r="A46" i="28"/>
  <c r="B46" i="28"/>
  <c r="D46" i="28"/>
  <c r="A47" i="28"/>
  <c r="B47" i="28"/>
  <c r="D47" i="28"/>
  <c r="A48" i="28"/>
  <c r="B48" i="28"/>
  <c r="D48" i="28"/>
  <c r="A49" i="28"/>
  <c r="B49" i="28"/>
  <c r="D49" i="28"/>
  <c r="A50" i="28"/>
  <c r="B50" i="28"/>
  <c r="D50" i="28"/>
  <c r="A51" i="28"/>
  <c r="B51" i="28"/>
  <c r="D51" i="28"/>
  <c r="B52" i="28"/>
  <c r="D52" i="28"/>
  <c r="A53" i="28"/>
  <c r="B53" i="28"/>
  <c r="D53" i="28"/>
  <c r="A54" i="28"/>
  <c r="B54" i="28"/>
  <c r="D54" i="28"/>
  <c r="A55" i="28"/>
  <c r="B55" i="28"/>
  <c r="D55" i="28"/>
  <c r="A56" i="28"/>
  <c r="B56" i="28"/>
  <c r="D56" i="28"/>
  <c r="A57" i="28"/>
  <c r="B57" i="28"/>
  <c r="D57" i="28"/>
  <c r="A58" i="28"/>
  <c r="B58" i="28"/>
  <c r="D58" i="28"/>
  <c r="A59" i="28"/>
  <c r="B59" i="28"/>
  <c r="D59" i="28"/>
  <c r="A60" i="28"/>
  <c r="B60" i="28"/>
  <c r="D60" i="28"/>
  <c r="A61" i="28"/>
  <c r="B61" i="28"/>
  <c r="D61" i="28"/>
  <c r="A62" i="28"/>
  <c r="B62" i="28"/>
  <c r="D62" i="28"/>
  <c r="A63" i="28"/>
  <c r="B63" i="28"/>
  <c r="D63" i="28"/>
  <c r="A64" i="28"/>
  <c r="B64" i="28"/>
  <c r="D64" i="28"/>
  <c r="A65" i="28"/>
  <c r="B65" i="28"/>
  <c r="D65" i="28"/>
  <c r="A66" i="28"/>
  <c r="B66" i="28"/>
  <c r="D66" i="28"/>
  <c r="A67" i="28"/>
  <c r="B67" i="28"/>
  <c r="D67" i="28"/>
  <c r="A68" i="28"/>
  <c r="B68" i="28"/>
  <c r="D68" i="28"/>
  <c r="A69" i="28"/>
  <c r="B69" i="28"/>
  <c r="D69" i="28"/>
  <c r="A70" i="28"/>
  <c r="B70" i="28"/>
  <c r="D70" i="28"/>
  <c r="A71" i="28"/>
  <c r="B71" i="28"/>
  <c r="D71" i="28"/>
  <c r="A72" i="28"/>
  <c r="B72" i="28"/>
  <c r="D72" i="28"/>
  <c r="A73" i="28"/>
  <c r="B73" i="28"/>
  <c r="D73" i="28"/>
  <c r="A74" i="28"/>
  <c r="B74" i="28"/>
  <c r="D74" i="28"/>
  <c r="A75" i="28"/>
  <c r="B75" i="28"/>
  <c r="D75" i="28"/>
  <c r="A76" i="28"/>
  <c r="B76" i="28"/>
  <c r="D76" i="28"/>
  <c r="A77" i="28"/>
  <c r="B77" i="28"/>
  <c r="D77" i="28"/>
  <c r="A78" i="28"/>
  <c r="B78" i="28"/>
  <c r="D78" i="28"/>
  <c r="A79" i="28"/>
  <c r="B79" i="28"/>
  <c r="D79" i="28"/>
  <c r="A81" i="28"/>
  <c r="B81" i="28"/>
  <c r="D81" i="28"/>
  <c r="A83" i="28"/>
  <c r="B83" i="28"/>
  <c r="D83" i="28"/>
  <c r="A84" i="28"/>
  <c r="B84" i="28"/>
  <c r="D84" i="28"/>
  <c r="A85" i="28"/>
  <c r="B85" i="28"/>
  <c r="D85" i="28"/>
  <c r="A86" i="28"/>
  <c r="B86" i="28"/>
  <c r="D86" i="28"/>
  <c r="A87" i="28"/>
  <c r="B87" i="28"/>
  <c r="D87" i="28"/>
  <c r="A88" i="28"/>
  <c r="B88" i="28"/>
  <c r="D88" i="28"/>
  <c r="A89" i="28"/>
  <c r="B89" i="28"/>
  <c r="D89" i="28"/>
  <c r="A90" i="28"/>
  <c r="B90" i="28"/>
  <c r="D90" i="28"/>
  <c r="A91" i="28"/>
  <c r="B91" i="28"/>
  <c r="D91" i="28"/>
  <c r="A92" i="28"/>
  <c r="B92" i="28"/>
  <c r="D92" i="28"/>
  <c r="A93" i="28"/>
  <c r="B93" i="28"/>
  <c r="D93" i="28"/>
  <c r="A94" i="28"/>
  <c r="B94" i="28"/>
  <c r="D94" i="28"/>
  <c r="A95" i="28"/>
  <c r="B95" i="28"/>
  <c r="D95" i="28"/>
  <c r="A96" i="28"/>
  <c r="B96" i="28"/>
  <c r="D96" i="28"/>
  <c r="A97" i="28"/>
  <c r="B97" i="28"/>
  <c r="D97" i="28"/>
  <c r="A98" i="28"/>
  <c r="B98" i="28"/>
  <c r="D98" i="28"/>
  <c r="A99" i="28"/>
  <c r="B99" i="28"/>
  <c r="D99" i="28"/>
  <c r="A100" i="28"/>
  <c r="B100" i="28"/>
  <c r="D100" i="28"/>
  <c r="A101" i="28"/>
  <c r="B101" i="28"/>
  <c r="D101" i="28"/>
  <c r="A102" i="28"/>
  <c r="D102" i="28"/>
  <c r="A103" i="28"/>
  <c r="B103" i="28"/>
  <c r="D103" i="28"/>
  <c r="A104" i="28"/>
  <c r="B104" i="28"/>
  <c r="D104" i="28"/>
  <c r="A105" i="28"/>
  <c r="B105" i="28"/>
  <c r="D105" i="28"/>
  <c r="A106" i="28"/>
  <c r="B106" i="28"/>
  <c r="D106" i="28"/>
  <c r="A107" i="28"/>
  <c r="B107" i="28"/>
  <c r="D107" i="28"/>
  <c r="A108" i="28"/>
  <c r="B108" i="28"/>
  <c r="D108" i="28"/>
  <c r="A109" i="28"/>
  <c r="B109" i="28"/>
  <c r="D109" i="28"/>
  <c r="A110" i="28"/>
  <c r="B110" i="28"/>
  <c r="D110" i="28"/>
  <c r="A111" i="28"/>
  <c r="D111" i="28"/>
  <c r="A112" i="28"/>
  <c r="B112" i="28"/>
  <c r="D112" i="28"/>
  <c r="A113" i="28"/>
  <c r="B113" i="28"/>
  <c r="D113" i="28"/>
  <c r="A114" i="28"/>
  <c r="B114" i="28"/>
  <c r="D114" i="28"/>
  <c r="A115" i="28"/>
  <c r="B115" i="28"/>
  <c r="D115" i="28"/>
  <c r="A116" i="28"/>
  <c r="B116" i="28"/>
  <c r="D116" i="28"/>
  <c r="A117" i="28"/>
  <c r="B117" i="28"/>
  <c r="D117" i="28"/>
  <c r="A118" i="28"/>
  <c r="B118" i="28"/>
  <c r="D118" i="28"/>
  <c r="A119" i="28"/>
  <c r="B119" i="28"/>
  <c r="D119" i="28"/>
  <c r="A120" i="28"/>
  <c r="B120" i="28"/>
  <c r="D120" i="28"/>
  <c r="A121" i="28"/>
  <c r="B121" i="28"/>
  <c r="D121" i="28"/>
  <c r="A122" i="28"/>
  <c r="B122" i="28"/>
  <c r="D122" i="28"/>
  <c r="A123" i="28"/>
  <c r="B123" i="28"/>
  <c r="D123" i="28"/>
  <c r="Y13" i="69" l="1"/>
  <c r="AB13" i="69" s="1"/>
  <c r="AC13" i="69" s="1"/>
  <c r="Y14" i="69"/>
  <c r="AB14" i="69" s="1"/>
  <c r="AC14" i="69" s="1"/>
  <c r="AD14" i="69" s="1"/>
  <c r="AG30" i="57"/>
  <c r="X30" i="57"/>
  <c r="AA31" i="53"/>
  <c r="R31" i="57"/>
  <c r="M33" i="53"/>
  <c r="O33" i="53"/>
  <c r="AQ31" i="57"/>
  <c r="Q31" i="57"/>
  <c r="T31" i="57" s="1"/>
  <c r="AD31" i="57"/>
  <c r="M32" i="57"/>
  <c r="AK32" i="57" s="1"/>
  <c r="U15" i="69"/>
  <c r="AB31" i="53"/>
  <c r="N33" i="53"/>
  <c r="AF14" i="69"/>
  <c r="U11" i="46"/>
  <c r="Q15" i="69"/>
  <c r="Q16" i="69"/>
  <c r="AA29" i="57"/>
  <c r="AE29" i="57" s="1"/>
  <c r="AF29" i="57" s="1"/>
  <c r="AB29" i="57"/>
  <c r="AC29" i="57"/>
  <c r="AJ29" i="57" s="1"/>
  <c r="AH29" i="53"/>
  <c r="O31" i="57"/>
  <c r="N32" i="57"/>
  <c r="AH28" i="53"/>
  <c r="AG31" i="53"/>
  <c r="AC32" i="53"/>
  <c r="W8" i="78"/>
  <c r="U8" i="78"/>
  <c r="W7" i="78"/>
  <c r="U7" i="78"/>
  <c r="W6" i="78"/>
  <c r="U6" i="78"/>
  <c r="AY15" i="69"/>
  <c r="AY16" i="69"/>
  <c r="L33" i="57"/>
  <c r="K33" i="53"/>
  <c r="AK32" i="52" a="1"/>
  <c r="AK32" i="52" s="1"/>
  <c r="B34" i="53" s="1"/>
  <c r="H33" i="53"/>
  <c r="G33" i="53"/>
  <c r="L33" i="53"/>
  <c r="F33" i="53"/>
  <c r="I33" i="53"/>
  <c r="J33" i="53"/>
  <c r="E33" i="53"/>
  <c r="P33" i="53"/>
  <c r="D33" i="53"/>
  <c r="C33" i="53"/>
  <c r="K33" i="57"/>
  <c r="J33" i="57"/>
  <c r="E33" i="57"/>
  <c r="C33" i="57"/>
  <c r="H33" i="57"/>
  <c r="I33" i="57"/>
  <c r="D33" i="57"/>
  <c r="F33" i="57"/>
  <c r="G33" i="57"/>
  <c r="AN32" i="55" a="1"/>
  <c r="AN32" i="55" s="1"/>
  <c r="B34" i="57" s="1"/>
  <c r="P34" i="57" s="1"/>
  <c r="AR17" i="67" a="1"/>
  <c r="AR17" i="67" s="1"/>
  <c r="B19" i="69" s="1"/>
  <c r="C17" i="69"/>
  <c r="P17" i="69" s="1"/>
  <c r="C18" i="69"/>
  <c r="P18" i="69" s="1"/>
  <c r="AE16" i="69"/>
  <c r="AH16" i="69" s="1"/>
  <c r="R16" i="69"/>
  <c r="S16" i="69" s="1"/>
  <c r="AE15" i="69"/>
  <c r="AH15" i="69" s="1"/>
  <c r="R15" i="69"/>
  <c r="S15" i="69" s="1"/>
  <c r="E15" i="69"/>
  <c r="F15" i="69" s="1"/>
  <c r="AQ21" i="67" a="1"/>
  <c r="AQ21" i="67" s="1"/>
  <c r="AQ22" i="67" s="1" a="1"/>
  <c r="AQ22" i="67" s="1"/>
  <c r="AQ23" i="67" s="1" a="1"/>
  <c r="AQ23" i="67" s="1"/>
  <c r="AQ24" i="67" s="1" a="1"/>
  <c r="AQ24" i="67" s="1"/>
  <c r="AQ25" i="67" s="1" a="1"/>
  <c r="AQ25" i="67" s="1"/>
  <c r="AQ26" i="67" s="1" a="1"/>
  <c r="AQ26" i="67" s="1"/>
  <c r="AQ27" i="67" s="1" a="1"/>
  <c r="AQ27" i="67" s="1"/>
  <c r="AQ28" i="67" s="1" a="1"/>
  <c r="AQ28" i="67" s="1"/>
  <c r="AQ29" i="67" s="1" a="1"/>
  <c r="AQ29" i="67" s="1"/>
  <c r="AQ30" i="67" s="1" a="1"/>
  <c r="AQ30" i="67" s="1"/>
  <c r="AQ31" i="67" s="1" a="1"/>
  <c r="AQ31" i="67" s="1"/>
  <c r="AQ32" i="67" s="1" a="1"/>
  <c r="AQ32" i="67" s="1"/>
  <c r="AQ33" i="67" s="1" a="1"/>
  <c r="AQ33" i="67" s="1"/>
  <c r="AQ34" i="67" s="1" a="1"/>
  <c r="AQ34" i="67" s="1"/>
  <c r="AQ35" i="67" s="1" a="1"/>
  <c r="AQ35" i="67" s="1"/>
  <c r="AQ36" i="67" s="1" a="1"/>
  <c r="AQ36" i="67" s="1"/>
  <c r="AQ37" i="67" s="1" a="1"/>
  <c r="AQ37" i="67" s="1"/>
  <c r="AQ38" i="67" s="1" a="1"/>
  <c r="AQ38" i="67" s="1"/>
  <c r="AQ39" i="67" s="1" a="1"/>
  <c r="AQ39" i="67" s="1"/>
  <c r="AQ40" i="67" s="1" a="1"/>
  <c r="AQ40" i="67" s="1"/>
  <c r="AQ41" i="67" s="1" a="1"/>
  <c r="AQ41" i="67" s="1"/>
  <c r="AQ42" i="67" s="1" a="1"/>
  <c r="AQ42" i="67" s="1"/>
  <c r="AQ43" i="67" s="1" a="1"/>
  <c r="AQ43" i="67" s="1"/>
  <c r="AQ44" i="67" s="1" a="1"/>
  <c r="AQ44" i="67" s="1"/>
  <c r="AQ45" i="67" s="1" a="1"/>
  <c r="AQ45" i="67" s="1"/>
  <c r="AQ46" i="67" s="1" a="1"/>
  <c r="AQ46" i="67" s="1"/>
  <c r="AQ47" i="67" s="1" a="1"/>
  <c r="AQ47" i="67" s="1"/>
  <c r="AQ48" i="67" s="1" a="1"/>
  <c r="AQ48" i="67" s="1"/>
  <c r="AQ49" i="67" s="1" a="1"/>
  <c r="AQ49" i="67" s="1"/>
  <c r="AQ50" i="67" s="1" a="1"/>
  <c r="AQ50" i="67" s="1"/>
  <c r="AQ51" i="67" s="1" a="1"/>
  <c r="AQ51" i="67" s="1"/>
  <c r="AQ52" i="67" s="1" a="1"/>
  <c r="AQ52" i="67" s="1"/>
  <c r="AQ53" i="67" s="1" a="1"/>
  <c r="AQ53" i="67" s="1"/>
  <c r="AQ54" i="67" s="1" a="1"/>
  <c r="AQ54" i="67" s="1"/>
  <c r="AQ55" i="67" s="1" a="1"/>
  <c r="AQ55" i="67" s="1"/>
  <c r="AQ56" i="67" s="1" a="1"/>
  <c r="AQ56" i="67" s="1"/>
  <c r="AQ57" i="67" s="1" a="1"/>
  <c r="AQ57" i="67" s="1"/>
  <c r="AQ58" i="67" s="1" a="1"/>
  <c r="AQ58" i="67" s="1"/>
  <c r="AQ59" i="67" s="1" a="1"/>
  <c r="AQ59" i="67" s="1"/>
  <c r="AQ60" i="67" s="1" a="1"/>
  <c r="AQ60" i="67" s="1"/>
  <c r="AQ61" i="67" s="1" a="1"/>
  <c r="AQ61" i="67" s="1"/>
  <c r="AQ62" i="67" s="1" a="1"/>
  <c r="AQ62" i="67" s="1"/>
  <c r="AQ63" i="67" s="1" a="1"/>
  <c r="AQ63" i="67" s="1"/>
  <c r="AQ64" i="67" s="1" a="1"/>
  <c r="AQ64" i="67" s="1"/>
  <c r="AQ65" i="67" s="1" a="1"/>
  <c r="AQ65" i="67" s="1"/>
  <c r="AQ66" i="67" s="1" a="1"/>
  <c r="AQ66" i="67" s="1"/>
  <c r="AQ67" i="67" s="1" a="1"/>
  <c r="AQ67" i="67" s="1"/>
  <c r="AQ68" i="67" s="1" a="1"/>
  <c r="AQ68" i="67" s="1"/>
  <c r="AQ69" i="67" s="1" a="1"/>
  <c r="AQ69" i="67" s="1"/>
  <c r="AQ70" i="67" s="1" a="1"/>
  <c r="AQ70" i="67" s="1"/>
  <c r="AQ71" i="67" s="1" a="1"/>
  <c r="AQ71" i="67" s="1"/>
  <c r="AQ72" i="67" s="1" a="1"/>
  <c r="AQ72" i="67" s="1"/>
  <c r="AQ73" i="67" s="1" a="1"/>
  <c r="AQ73" i="67" s="1"/>
  <c r="AQ74" i="67" s="1" a="1"/>
  <c r="AQ74" i="67" s="1"/>
  <c r="AQ75" i="67" s="1" a="1"/>
  <c r="AQ75" i="67" s="1"/>
  <c r="AQ76" i="67" s="1" a="1"/>
  <c r="AQ76" i="67" s="1"/>
  <c r="AQ77" i="67" s="1" a="1"/>
  <c r="AQ77" i="67" s="1"/>
  <c r="AQ78" i="67" s="1" a="1"/>
  <c r="AQ78" i="67" s="1"/>
  <c r="AQ79" i="67" s="1" a="1"/>
  <c r="AQ79" i="67" s="1"/>
  <c r="AQ80" i="67" s="1" a="1"/>
  <c r="AQ80" i="67" s="1"/>
  <c r="AQ81" i="67" s="1" a="1"/>
  <c r="AQ81" i="67" s="1"/>
  <c r="AQ82" i="67" s="1" a="1"/>
  <c r="AQ82" i="67" s="1"/>
  <c r="AQ83" i="67" s="1" a="1"/>
  <c r="AQ83" i="67" s="1"/>
  <c r="AQ84" i="67" s="1" a="1"/>
  <c r="AQ84" i="67" s="1"/>
  <c r="AQ85" i="67" s="1" a="1"/>
  <c r="AQ85" i="67" s="1"/>
  <c r="AQ86" i="67" s="1" a="1"/>
  <c r="AQ86" i="67" s="1"/>
  <c r="AQ87" i="67" s="1" a="1"/>
  <c r="AQ87" i="67" s="1"/>
  <c r="AQ88" i="67" s="1" a="1"/>
  <c r="AQ88" i="67" s="1"/>
  <c r="AQ89" i="67" s="1" a="1"/>
  <c r="AQ89" i="67" s="1"/>
  <c r="AQ90" i="67" s="1" a="1"/>
  <c r="AQ90" i="67" s="1"/>
  <c r="AQ91" i="67" s="1" a="1"/>
  <c r="AQ91" i="67" s="1"/>
  <c r="AQ92" i="67" s="1" a="1"/>
  <c r="AQ92" i="67" s="1"/>
  <c r="AQ93" i="67" s="1" a="1"/>
  <c r="AQ93" i="67" s="1"/>
  <c r="AQ94" i="67" s="1" a="1"/>
  <c r="AQ94" i="67" s="1"/>
  <c r="AQ95" i="67" s="1" a="1"/>
  <c r="AQ95" i="67" s="1"/>
  <c r="AQ96" i="67" s="1" a="1"/>
  <c r="AQ96" i="67" s="1"/>
  <c r="AQ97" i="67" s="1" a="1"/>
  <c r="AQ97" i="67" s="1"/>
  <c r="AQ98" i="67" s="1" a="1"/>
  <c r="AQ98" i="67" s="1"/>
  <c r="AQ99" i="67" s="1" a="1"/>
  <c r="AQ99" i="67" s="1"/>
  <c r="AQ100" i="67" s="1" a="1"/>
  <c r="AQ100" i="67" s="1"/>
  <c r="AQ101" i="67" s="1" a="1"/>
  <c r="AQ101" i="67" s="1"/>
  <c r="AQ102" i="67" s="1" a="1"/>
  <c r="AQ102" i="67" s="1"/>
  <c r="AQ103" i="67" s="1" a="1"/>
  <c r="AQ103" i="67" s="1"/>
  <c r="AQ104" i="67" s="1" a="1"/>
  <c r="AQ104" i="67" s="1"/>
  <c r="AQ105" i="67" s="1" a="1"/>
  <c r="AQ105" i="67" s="1"/>
  <c r="AQ106" i="67" s="1" a="1"/>
  <c r="AQ106" i="67" s="1"/>
  <c r="AQ107" i="67" s="1" a="1"/>
  <c r="AQ107" i="67" s="1"/>
  <c r="AQ108" i="67" s="1" a="1"/>
  <c r="AQ108" i="67" s="1"/>
  <c r="AQ109" i="67" s="1" a="1"/>
  <c r="AQ109" i="67" s="1"/>
  <c r="AQ110" i="67" s="1" a="1"/>
  <c r="AQ110" i="67" s="1"/>
  <c r="AQ111" i="67" s="1" a="1"/>
  <c r="AQ111" i="67" s="1"/>
  <c r="AQ112" i="67" s="1" a="1"/>
  <c r="AQ112" i="67" s="1"/>
  <c r="AQ113" i="67" s="1" a="1"/>
  <c r="AQ113" i="67" s="1"/>
  <c r="AQ114" i="67" s="1" a="1"/>
  <c r="AQ114" i="67" s="1"/>
  <c r="AQ115" i="67" s="1" a="1"/>
  <c r="AQ115" i="67" s="1"/>
  <c r="AQ116" i="67" s="1" a="1"/>
  <c r="AQ116" i="67" s="1"/>
  <c r="AQ117" i="67" s="1" a="1"/>
  <c r="AQ117" i="67" s="1"/>
  <c r="AQ118" i="67" s="1" a="1"/>
  <c r="AQ118" i="67" s="1"/>
  <c r="AQ119" i="67" s="1" a="1"/>
  <c r="AQ119" i="67" s="1"/>
  <c r="AQ120" i="67" s="1" a="1"/>
  <c r="AQ120" i="67" s="1"/>
  <c r="AQ121" i="67" s="1" a="1"/>
  <c r="AQ121" i="67" s="1"/>
  <c r="AQ122" i="67" s="1" a="1"/>
  <c r="AQ122" i="67" s="1"/>
  <c r="AQ123" i="67" s="1" a="1"/>
  <c r="AQ123" i="67" s="1"/>
  <c r="AQ124" i="67" s="1" a="1"/>
  <c r="AQ124" i="67" s="1"/>
  <c r="AQ125" i="67" s="1" a="1"/>
  <c r="AQ125" i="67" s="1"/>
  <c r="AQ126" i="67" s="1" a="1"/>
  <c r="AQ126" i="67" s="1"/>
  <c r="AQ127" i="67" s="1" a="1"/>
  <c r="AQ127" i="67" s="1"/>
  <c r="AQ128" i="67" s="1" a="1"/>
  <c r="AQ128" i="67" s="1"/>
  <c r="AQ129" i="67" s="1" a="1"/>
  <c r="AQ129" i="67" s="1"/>
  <c r="AQ130" i="67" s="1" a="1"/>
  <c r="AQ130" i="67" s="1"/>
  <c r="AQ131" i="67" s="1" a="1"/>
  <c r="AQ131" i="67" s="1"/>
  <c r="AQ132" i="67" s="1" a="1"/>
  <c r="AQ132" i="67" s="1"/>
  <c r="AQ133" i="67" s="1" a="1"/>
  <c r="AQ133" i="67" s="1"/>
  <c r="AQ134" i="67" s="1" a="1"/>
  <c r="AQ134" i="67" s="1"/>
  <c r="AQ135" i="67" s="1" a="1"/>
  <c r="AQ135" i="67" s="1"/>
  <c r="AQ136" i="67" s="1" a="1"/>
  <c r="AQ136" i="67" s="1"/>
  <c r="AQ137" i="67" s="1" a="1"/>
  <c r="AQ137" i="67" s="1"/>
  <c r="AQ138" i="67" s="1" a="1"/>
  <c r="AQ138" i="67" s="1"/>
  <c r="AQ139" i="67" s="1" a="1"/>
  <c r="AQ139" i="67" s="1"/>
  <c r="AQ140" i="67" s="1" a="1"/>
  <c r="AQ140" i="67" s="1"/>
  <c r="AQ141" i="67" s="1" a="1"/>
  <c r="AQ141" i="67" s="1"/>
  <c r="AQ142" i="67" s="1" a="1"/>
  <c r="AQ142" i="67" s="1"/>
  <c r="AQ143" i="67" s="1" a="1"/>
  <c r="AQ143" i="67" s="1"/>
  <c r="AQ144" i="67" s="1" a="1"/>
  <c r="AQ144" i="67" s="1"/>
  <c r="AQ145" i="67" s="1" a="1"/>
  <c r="AQ145" i="67" s="1"/>
  <c r="AQ146" i="67" s="1" a="1"/>
  <c r="AQ146" i="67" s="1"/>
  <c r="AQ147" i="67" s="1" a="1"/>
  <c r="AQ147" i="67" s="1"/>
  <c r="AQ148" i="67" s="1" a="1"/>
  <c r="AQ148" i="67" s="1"/>
  <c r="AQ149" i="67" s="1" a="1"/>
  <c r="AQ149" i="67" s="1"/>
  <c r="AQ150" i="67" s="1" a="1"/>
  <c r="AQ150" i="67" s="1"/>
  <c r="AQ151" i="67" s="1" a="1"/>
  <c r="AQ151" i="67" s="1"/>
  <c r="AQ152" i="67" s="1" a="1"/>
  <c r="AQ152" i="67" s="1"/>
  <c r="AQ153" i="67" s="1" a="1"/>
  <c r="AQ153" i="67" s="1"/>
  <c r="AQ154" i="67" s="1" a="1"/>
  <c r="AQ154" i="67" s="1"/>
  <c r="AQ155" i="67" s="1" a="1"/>
  <c r="AQ155" i="67" s="1"/>
  <c r="AQ156" i="67" s="1" a="1"/>
  <c r="AQ156" i="67" s="1"/>
  <c r="AQ157" i="67" s="1" a="1"/>
  <c r="AQ157" i="67" s="1"/>
  <c r="AQ158" i="67" s="1" a="1"/>
  <c r="AQ158" i="67" s="1"/>
  <c r="AQ159" i="67" s="1" a="1"/>
  <c r="AQ159" i="67" s="1"/>
  <c r="AQ160" i="67" s="1" a="1"/>
  <c r="AQ160" i="67" s="1"/>
  <c r="AQ161" i="67" s="1" a="1"/>
  <c r="AQ161" i="67" s="1"/>
  <c r="AQ162" i="67" s="1" a="1"/>
  <c r="AQ162" i="67" s="1"/>
  <c r="AQ163" i="67" s="1" a="1"/>
  <c r="AQ163" i="67" s="1"/>
  <c r="AQ164" i="67" s="1" a="1"/>
  <c r="AQ164" i="67" s="1"/>
  <c r="AQ165" i="67" s="1" a="1"/>
  <c r="AQ165" i="67" s="1"/>
  <c r="AQ166" i="67" s="1" a="1"/>
  <c r="AQ166" i="67" s="1"/>
  <c r="AQ167" i="67" s="1" a="1"/>
  <c r="AQ167" i="67" s="1"/>
  <c r="AQ168" i="67" s="1" a="1"/>
  <c r="AQ168" i="67" s="1"/>
  <c r="AQ169" i="67" s="1" a="1"/>
  <c r="AQ169" i="67" s="1"/>
  <c r="AQ170" i="67" s="1" a="1"/>
  <c r="AQ170" i="67" s="1"/>
  <c r="AQ171" i="67" s="1" a="1"/>
  <c r="AQ171" i="67" s="1"/>
  <c r="AQ172" i="67" s="1" a="1"/>
  <c r="AQ172" i="67" s="1"/>
  <c r="AQ173" i="67" s="1" a="1"/>
  <c r="AQ173" i="67" s="1"/>
  <c r="AQ174" i="67" s="1" a="1"/>
  <c r="AQ174" i="67" s="1"/>
  <c r="AQ175" i="67" s="1" a="1"/>
  <c r="AQ175" i="67" s="1"/>
  <c r="AQ176" i="67" s="1" a="1"/>
  <c r="AQ176" i="67" s="1"/>
  <c r="AQ177" i="67" s="1" a="1"/>
  <c r="AQ177" i="67" s="1"/>
  <c r="AQ178" i="67" s="1" a="1"/>
  <c r="AQ178" i="67" s="1"/>
  <c r="AQ179" i="67" s="1" a="1"/>
  <c r="AQ179" i="67" s="1"/>
  <c r="AQ180" i="67" s="1" a="1"/>
  <c r="AQ180" i="67" s="1"/>
  <c r="AQ181" i="67" s="1" a="1"/>
  <c r="AQ181" i="67" s="1"/>
  <c r="AQ182" i="67" s="1" a="1"/>
  <c r="AQ182" i="67" s="1"/>
  <c r="AQ183" i="67" s="1" a="1"/>
  <c r="AQ183" i="67" s="1"/>
  <c r="AQ184" i="67" s="1" a="1"/>
  <c r="AQ184" i="67" s="1"/>
  <c r="AQ185" i="67" s="1" a="1"/>
  <c r="AQ185" i="67" s="1"/>
  <c r="AQ186" i="67" s="1" a="1"/>
  <c r="AQ186" i="67" s="1"/>
  <c r="AQ187" i="67" s="1" a="1"/>
  <c r="AQ187" i="67" s="1"/>
  <c r="AQ188" i="67" s="1" a="1"/>
  <c r="AQ188" i="67" s="1"/>
  <c r="AQ189" i="67" s="1" a="1"/>
  <c r="AQ189" i="67" s="1"/>
  <c r="AQ190" i="67" s="1" a="1"/>
  <c r="AQ190" i="67" s="1"/>
  <c r="AQ191" i="67" s="1" a="1"/>
  <c r="AQ191" i="67" s="1"/>
  <c r="AQ192" i="67" s="1" a="1"/>
  <c r="AQ192" i="67" s="1"/>
  <c r="AQ193" i="67" s="1" a="1"/>
  <c r="AQ193" i="67" s="1"/>
  <c r="AQ194" i="67" s="1" a="1"/>
  <c r="AQ194" i="67" s="1"/>
  <c r="AQ195" i="67" s="1" a="1"/>
  <c r="AQ195" i="67" s="1"/>
  <c r="AQ196" i="67" s="1" a="1"/>
  <c r="AQ196" i="67" s="1"/>
  <c r="AQ197" i="67" s="1" a="1"/>
  <c r="AQ197" i="67" s="1"/>
  <c r="AQ198" i="67" s="1" a="1"/>
  <c r="AQ198" i="67" s="1"/>
  <c r="AQ199" i="67" s="1" a="1"/>
  <c r="AQ199" i="67" s="1"/>
  <c r="AQ200" i="67" s="1" a="1"/>
  <c r="AQ200" i="67" s="1"/>
  <c r="AQ201" i="67" s="1" a="1"/>
  <c r="AQ201" i="67" s="1"/>
  <c r="AQ202" i="67" s="1" a="1"/>
  <c r="AQ202" i="67" s="1"/>
  <c r="AQ203" i="67" s="1" a="1"/>
  <c r="AQ203" i="67" s="1"/>
  <c r="AQ204" i="67" s="1" a="1"/>
  <c r="AQ204" i="67" s="1"/>
  <c r="AQ205" i="67" s="1" a="1"/>
  <c r="AQ205" i="67" s="1"/>
  <c r="AQ206" i="67" s="1" a="1"/>
  <c r="AQ206" i="67" s="1"/>
  <c r="AQ207" i="67" s="1" a="1"/>
  <c r="AQ207" i="67" s="1"/>
  <c r="AQ208" i="67" s="1" a="1"/>
  <c r="AQ208" i="67" s="1"/>
  <c r="AQ209" i="67" s="1" a="1"/>
  <c r="AQ209" i="67" s="1"/>
  <c r="AQ210" i="67" s="1" a="1"/>
  <c r="AQ210" i="67" s="1"/>
  <c r="AQ211" i="67" s="1" a="1"/>
  <c r="AQ211" i="67" s="1"/>
  <c r="AQ212" i="67" s="1" a="1"/>
  <c r="AQ212" i="67" s="1"/>
  <c r="AQ213" i="67" s="1" a="1"/>
  <c r="AQ213" i="67" s="1"/>
  <c r="AQ214" i="67" s="1" a="1"/>
  <c r="AQ214" i="67" s="1"/>
  <c r="AQ215" i="67" s="1" a="1"/>
  <c r="AQ215" i="67" s="1"/>
  <c r="AQ216" i="67" s="1" a="1"/>
  <c r="AQ216" i="67" s="1"/>
  <c r="AQ217" i="67" s="1" a="1"/>
  <c r="AQ217" i="67" s="1"/>
  <c r="AQ218" i="67" s="1" a="1"/>
  <c r="AQ218" i="67" s="1"/>
  <c r="AQ219" i="67" s="1" a="1"/>
  <c r="AQ219" i="67" s="1"/>
  <c r="AQ220" i="67" s="1" a="1"/>
  <c r="AQ220" i="67" s="1"/>
  <c r="AQ221" i="67" s="1" a="1"/>
  <c r="AQ221" i="67" s="1"/>
  <c r="AQ222" i="67" s="1" a="1"/>
  <c r="AQ222" i="67" s="1"/>
  <c r="AQ223" i="67" s="1" a="1"/>
  <c r="AQ223" i="67" s="1"/>
  <c r="AQ224" i="67" s="1" a="1"/>
  <c r="AQ224" i="67" s="1"/>
  <c r="AQ225" i="67" s="1" a="1"/>
  <c r="AQ225" i="67" s="1"/>
  <c r="AQ226" i="67" s="1" a="1"/>
  <c r="AQ226" i="67" s="1"/>
  <c r="AQ227" i="67" s="1" a="1"/>
  <c r="AQ227" i="67" s="1"/>
  <c r="AQ228" i="67" s="1" a="1"/>
  <c r="AQ228" i="67" s="1"/>
  <c r="AQ229" i="67" s="1" a="1"/>
  <c r="AQ229" i="67" s="1"/>
  <c r="AQ230" i="67" s="1" a="1"/>
  <c r="AQ230" i="67" s="1"/>
  <c r="AQ231" i="67" s="1" a="1"/>
  <c r="AQ231" i="67" s="1"/>
  <c r="AQ232" i="67" s="1" a="1"/>
  <c r="AQ232" i="67" s="1"/>
  <c r="AQ233" i="67" s="1" a="1"/>
  <c r="AQ233" i="67" s="1"/>
  <c r="AQ234" i="67" s="1" a="1"/>
  <c r="AQ234" i="67" s="1"/>
  <c r="AQ235" i="67" s="1" a="1"/>
  <c r="AQ235" i="67" s="1"/>
  <c r="AQ236" i="67" s="1" a="1"/>
  <c r="AQ236" i="67" s="1"/>
  <c r="AQ237" i="67" s="1" a="1"/>
  <c r="AQ237" i="67" s="1"/>
  <c r="AQ238" i="67" s="1" a="1"/>
  <c r="AQ238" i="67" s="1"/>
  <c r="AQ239" i="67" s="1" a="1"/>
  <c r="AQ239" i="67" s="1"/>
  <c r="AQ240" i="67" s="1" a="1"/>
  <c r="AQ240" i="67" s="1"/>
  <c r="AQ241" i="67" s="1" a="1"/>
  <c r="AQ241" i="67" s="1"/>
  <c r="AQ242" i="67" s="1" a="1"/>
  <c r="AQ242" i="67" s="1"/>
  <c r="AQ243" i="67" s="1" a="1"/>
  <c r="AQ243" i="67" s="1"/>
  <c r="AQ244" i="67" s="1" a="1"/>
  <c r="AQ244" i="67" s="1"/>
  <c r="AQ245" i="67" s="1" a="1"/>
  <c r="AQ245" i="67" s="1"/>
  <c r="AQ246" i="67" s="1" a="1"/>
  <c r="AQ246" i="67" s="1"/>
  <c r="AQ247" i="67" s="1" a="1"/>
  <c r="AQ247" i="67" s="1"/>
  <c r="AQ248" i="67" s="1" a="1"/>
  <c r="AQ248" i="67" s="1"/>
  <c r="AQ249" i="67" s="1" a="1"/>
  <c r="AQ249" i="67" s="1"/>
  <c r="AQ250" i="67" s="1" a="1"/>
  <c r="AQ250" i="67" s="1"/>
  <c r="AQ251" i="67" s="1" a="1"/>
  <c r="AQ251" i="67" s="1"/>
  <c r="AQ252" i="67" s="1" a="1"/>
  <c r="AQ252" i="67" s="1"/>
  <c r="AQ253" i="67" s="1" a="1"/>
  <c r="AQ253" i="67" s="1"/>
  <c r="AQ254" i="67" s="1" a="1"/>
  <c r="AQ254" i="67" s="1"/>
  <c r="AQ255" i="67" s="1" a="1"/>
  <c r="AQ255" i="67" s="1"/>
  <c r="AQ256" i="67" s="1" a="1"/>
  <c r="AQ256" i="67" s="1"/>
  <c r="AQ257" i="67" s="1" a="1"/>
  <c r="AQ257" i="67" s="1"/>
  <c r="C73" i="33"/>
  <c r="D2" i="61"/>
  <c r="D3" i="61"/>
  <c r="D4" i="61"/>
  <c r="D5" i="61"/>
  <c r="D6" i="61"/>
  <c r="D7" i="61"/>
  <c r="D8" i="61"/>
  <c r="D9" i="61"/>
  <c r="D10" i="61"/>
  <c r="D11" i="61"/>
  <c r="D12" i="61"/>
  <c r="D13" i="61"/>
  <c r="D14" i="61"/>
  <c r="D15" i="61"/>
  <c r="D16" i="61"/>
  <c r="D17" i="61"/>
  <c r="D18" i="61"/>
  <c r="D19" i="61"/>
  <c r="D20" i="61"/>
  <c r="D21" i="61"/>
  <c r="D22" i="61"/>
  <c r="D23" i="61"/>
  <c r="D24" i="61"/>
  <c r="D25" i="61"/>
  <c r="D26" i="61"/>
  <c r="D27" i="61"/>
  <c r="D28" i="61"/>
  <c r="D29" i="61"/>
  <c r="D30" i="61"/>
  <c r="D31" i="61"/>
  <c r="D32" i="61"/>
  <c r="D33" i="61"/>
  <c r="D34" i="61"/>
  <c r="D35" i="61"/>
  <c r="D36" i="61"/>
  <c r="D37" i="61"/>
  <c r="D38" i="61"/>
  <c r="D39" i="61"/>
  <c r="D40" i="61"/>
  <c r="D41" i="61"/>
  <c r="D42" i="61"/>
  <c r="D43" i="61"/>
  <c r="D44" i="61"/>
  <c r="D45" i="61"/>
  <c r="D46" i="61"/>
  <c r="D47" i="61"/>
  <c r="D48" i="61"/>
  <c r="D49" i="61"/>
  <c r="D50" i="61"/>
  <c r="D51" i="61"/>
  <c r="D52" i="61"/>
  <c r="D53" i="61"/>
  <c r="D54" i="61"/>
  <c r="D55" i="61"/>
  <c r="D56" i="61"/>
  <c r="D57" i="61"/>
  <c r="D58" i="61"/>
  <c r="D59" i="61"/>
  <c r="D60" i="61"/>
  <c r="D61" i="61"/>
  <c r="D62" i="61"/>
  <c r="D63" i="61"/>
  <c r="D64" i="61"/>
  <c r="D65" i="61"/>
  <c r="D66" i="61"/>
  <c r="D67" i="61"/>
  <c r="D68" i="61"/>
  <c r="D69" i="61"/>
  <c r="D70" i="61"/>
  <c r="D71" i="61"/>
  <c r="D72" i="61"/>
  <c r="D73" i="61"/>
  <c r="D74" i="61"/>
  <c r="D75" i="61"/>
  <c r="D76" i="61"/>
  <c r="D77" i="61"/>
  <c r="D78" i="61"/>
  <c r="D79" i="61"/>
  <c r="D80" i="61"/>
  <c r="D81" i="61"/>
  <c r="D82" i="61"/>
  <c r="D83" i="61"/>
  <c r="D84" i="61"/>
  <c r="D85" i="61"/>
  <c r="D86" i="61"/>
  <c r="D87" i="61"/>
  <c r="D88" i="61"/>
  <c r="D89" i="61"/>
  <c r="D90" i="61"/>
  <c r="D91" i="61"/>
  <c r="D92" i="61"/>
  <c r="D93" i="61"/>
  <c r="D94" i="61"/>
  <c r="D95" i="61"/>
  <c r="D96" i="61"/>
  <c r="D97" i="61"/>
  <c r="D98" i="61"/>
  <c r="D99" i="61"/>
  <c r="D100" i="61"/>
  <c r="D101" i="61"/>
  <c r="D102" i="61"/>
  <c r="D103" i="61"/>
  <c r="D104" i="61"/>
  <c r="D105" i="61"/>
  <c r="D106" i="61"/>
  <c r="D107" i="61"/>
  <c r="D108" i="61"/>
  <c r="D109" i="61"/>
  <c r="D110" i="61"/>
  <c r="D111" i="61"/>
  <c r="D112" i="61"/>
  <c r="D113" i="61"/>
  <c r="D114" i="61"/>
  <c r="D115" i="61"/>
  <c r="D116" i="61"/>
  <c r="D117" i="61"/>
  <c r="D118" i="61"/>
  <c r="D119" i="61"/>
  <c r="D120" i="61"/>
  <c r="D121" i="61"/>
  <c r="D122" i="61"/>
  <c r="D123" i="61"/>
  <c r="D124" i="61"/>
  <c r="D125" i="61"/>
  <c r="D126" i="61"/>
  <c r="D127" i="61"/>
  <c r="D128" i="61"/>
  <c r="D129" i="61"/>
  <c r="D130" i="61"/>
  <c r="D131" i="61"/>
  <c r="D132" i="61"/>
  <c r="D133" i="61"/>
  <c r="D134" i="61"/>
  <c r="D135" i="61"/>
  <c r="D136" i="61"/>
  <c r="D137" i="61"/>
  <c r="D138" i="61"/>
  <c r="D139" i="61"/>
  <c r="D140" i="61"/>
  <c r="AG14" i="69" l="1"/>
  <c r="AG31" i="57"/>
  <c r="X31" i="57"/>
  <c r="AD32" i="57"/>
  <c r="M34" i="53"/>
  <c r="O34" i="53"/>
  <c r="AP18" i="69"/>
  <c r="N18" i="69"/>
  <c r="U18" i="69" s="1"/>
  <c r="AP17" i="69"/>
  <c r="N17" i="69"/>
  <c r="AQ32" i="57"/>
  <c r="Q32" i="57"/>
  <c r="T32" i="57" s="1"/>
  <c r="R32" i="57"/>
  <c r="M33" i="57"/>
  <c r="AK33" i="57" s="1"/>
  <c r="N34" i="53"/>
  <c r="O16" i="69"/>
  <c r="O15" i="69"/>
  <c r="AO14" i="69"/>
  <c r="AD13" i="69"/>
  <c r="AF13" i="69"/>
  <c r="AG13" i="69" s="1"/>
  <c r="L19" i="69"/>
  <c r="U9" i="78"/>
  <c r="AA30" i="57"/>
  <c r="AE30" i="57" s="1"/>
  <c r="AF30" i="57" s="1"/>
  <c r="AB30" i="57"/>
  <c r="AD12" i="69"/>
  <c r="AF12" i="69"/>
  <c r="AG12" i="69" s="1"/>
  <c r="AC30" i="57"/>
  <c r="AJ30" i="57" s="1"/>
  <c r="O32" i="57"/>
  <c r="N33" i="57"/>
  <c r="Q32" i="53"/>
  <c r="R32" i="53"/>
  <c r="X32" i="53" s="1"/>
  <c r="AD32" i="53"/>
  <c r="AT32" i="53"/>
  <c r="AE30" i="53"/>
  <c r="AF30" i="53" s="1"/>
  <c r="AC33" i="53"/>
  <c r="G15" i="69"/>
  <c r="H15" i="69" s="1"/>
  <c r="I15" i="69" s="1"/>
  <c r="J15" i="69" s="1"/>
  <c r="K15" i="69" s="1"/>
  <c r="M15" i="69" s="1"/>
  <c r="W9" i="78"/>
  <c r="C19" i="69"/>
  <c r="P19" i="69" s="1"/>
  <c r="L34" i="57"/>
  <c r="AK33" i="52" a="1"/>
  <c r="AK33" i="52" s="1"/>
  <c r="B35" i="53" s="1"/>
  <c r="F34" i="53"/>
  <c r="H34" i="53"/>
  <c r="D34" i="53"/>
  <c r="C34" i="53"/>
  <c r="L34" i="53"/>
  <c r="I34" i="53"/>
  <c r="G34" i="53"/>
  <c r="P34" i="53"/>
  <c r="K34" i="53"/>
  <c r="J34" i="53"/>
  <c r="E34" i="53"/>
  <c r="G34" i="57"/>
  <c r="E34" i="57"/>
  <c r="D34" i="57"/>
  <c r="C34" i="57"/>
  <c r="K34" i="57"/>
  <c r="I34" i="57"/>
  <c r="H34" i="57"/>
  <c r="F34" i="57"/>
  <c r="J34" i="57"/>
  <c r="AN33" i="55" a="1"/>
  <c r="AN33" i="55" s="1"/>
  <c r="B35" i="57" s="1"/>
  <c r="P35" i="57" s="1"/>
  <c r="AR18" i="67" a="1"/>
  <c r="AR18" i="67" s="1"/>
  <c r="B20" i="69" s="1"/>
  <c r="D18" i="69"/>
  <c r="E18" i="69" s="1"/>
  <c r="F18" i="69" s="1"/>
  <c r="G18" i="69" s="1"/>
  <c r="H18" i="69" s="1"/>
  <c r="I18" i="69" s="1"/>
  <c r="J18" i="69" s="1"/>
  <c r="K18" i="69" s="1"/>
  <c r="M18" i="69" s="1"/>
  <c r="D17" i="69"/>
  <c r="Y15" i="69" l="1"/>
  <c r="Y16" i="69"/>
  <c r="AB16" i="69" s="1"/>
  <c r="AC16" i="69" s="1"/>
  <c r="AD16" i="69" s="1"/>
  <c r="AG32" i="57"/>
  <c r="X32" i="57"/>
  <c r="M35" i="53"/>
  <c r="O35" i="53"/>
  <c r="AP19" i="69"/>
  <c r="N19" i="69"/>
  <c r="U19" i="69" s="1"/>
  <c r="AD33" i="57"/>
  <c r="R33" i="57"/>
  <c r="AQ33" i="57"/>
  <c r="Q33" i="57"/>
  <c r="T33" i="57" s="1"/>
  <c r="M34" i="57"/>
  <c r="AK34" i="57" s="1"/>
  <c r="U17" i="69"/>
  <c r="N35" i="53"/>
  <c r="AA32" i="53"/>
  <c r="AB32" i="53"/>
  <c r="AF16" i="69"/>
  <c r="AO13" i="69"/>
  <c r="AO12" i="69"/>
  <c r="L20" i="69"/>
  <c r="Q17" i="69"/>
  <c r="Q18" i="69"/>
  <c r="AA31" i="57"/>
  <c r="AE31" i="57" s="1"/>
  <c r="AF31" i="57" s="1"/>
  <c r="AB31" i="57"/>
  <c r="AC31" i="57"/>
  <c r="AJ31" i="57" s="1"/>
  <c r="O33" i="57"/>
  <c r="N34" i="57"/>
  <c r="AH30" i="53"/>
  <c r="AG32" i="53"/>
  <c r="AD33" i="53"/>
  <c r="AE31" i="53"/>
  <c r="AF31" i="53" s="1"/>
  <c r="AT33" i="53"/>
  <c r="AE32" i="53"/>
  <c r="AF32" i="53" s="1"/>
  <c r="Q33" i="53"/>
  <c r="R33" i="53"/>
  <c r="X33" i="53" s="1"/>
  <c r="D19" i="69"/>
  <c r="E19" i="69" s="1"/>
  <c r="F19" i="69" s="1"/>
  <c r="G19" i="69" s="1"/>
  <c r="H19" i="69" s="1"/>
  <c r="I19" i="69" s="1"/>
  <c r="J19" i="69" s="1"/>
  <c r="K19" i="69" s="1"/>
  <c r="M19" i="69"/>
  <c r="AY18" i="69"/>
  <c r="AY17" i="69"/>
  <c r="L35" i="57"/>
  <c r="E35" i="53"/>
  <c r="AH17" i="69"/>
  <c r="J35" i="53"/>
  <c r="K35" i="53"/>
  <c r="P35" i="53"/>
  <c r="F35" i="53"/>
  <c r="D35" i="53"/>
  <c r="G35" i="53"/>
  <c r="H35" i="53"/>
  <c r="L35" i="53"/>
  <c r="AK34" i="52" a="1"/>
  <c r="AK34" i="52" s="1"/>
  <c r="B36" i="53" s="1"/>
  <c r="I35" i="53"/>
  <c r="C35" i="53"/>
  <c r="I35" i="57"/>
  <c r="F35" i="57"/>
  <c r="E35" i="57"/>
  <c r="C35" i="57"/>
  <c r="K35" i="57"/>
  <c r="J35" i="57"/>
  <c r="H35" i="57"/>
  <c r="D35" i="57"/>
  <c r="G35" i="57"/>
  <c r="AN34" i="55" a="1"/>
  <c r="AN34" i="55" s="1"/>
  <c r="B36" i="57" s="1"/>
  <c r="P36" i="57" s="1"/>
  <c r="AR19" i="67" a="1"/>
  <c r="AR19" i="67" s="1"/>
  <c r="B21" i="69" s="1"/>
  <c r="C20" i="69"/>
  <c r="P20" i="69" s="1"/>
  <c r="E17" i="69"/>
  <c r="F17" i="69" s="1"/>
  <c r="G17" i="69" s="1"/>
  <c r="H17" i="69" s="1"/>
  <c r="I17" i="69" s="1"/>
  <c r="J17" i="69" s="1"/>
  <c r="K17" i="69" s="1"/>
  <c r="M17" i="69" s="1"/>
  <c r="AE17" i="69"/>
  <c r="R17" i="69"/>
  <c r="S17" i="69" s="1"/>
  <c r="AE18" i="69"/>
  <c r="AH18" i="69" s="1"/>
  <c r="R18" i="69"/>
  <c r="S18" i="69" s="1"/>
  <c r="J40" i="36"/>
  <c r="J42" i="36"/>
  <c r="J44" i="36"/>
  <c r="J46" i="36"/>
  <c r="J48" i="36"/>
  <c r="AG16" i="69" l="1"/>
  <c r="AG33" i="57"/>
  <c r="X33" i="57"/>
  <c r="R34" i="57"/>
  <c r="M36" i="53"/>
  <c r="O36" i="53"/>
  <c r="AP20" i="69"/>
  <c r="N20" i="69"/>
  <c r="Q34" i="57"/>
  <c r="T34" i="57" s="1"/>
  <c r="AD34" i="57"/>
  <c r="M35" i="57"/>
  <c r="AK35" i="57" s="1"/>
  <c r="AQ34" i="57"/>
  <c r="N36" i="53"/>
  <c r="R34" i="53"/>
  <c r="AC34" i="53"/>
  <c r="AA33" i="53"/>
  <c r="AB33" i="53"/>
  <c r="O17" i="69"/>
  <c r="Y17" i="69" s="1"/>
  <c r="O18" i="69"/>
  <c r="AO16" i="69"/>
  <c r="L21" i="69"/>
  <c r="Q19" i="69"/>
  <c r="AA32" i="57"/>
  <c r="AE32" i="57" s="1"/>
  <c r="AF32" i="57" s="1"/>
  <c r="AB32" i="57"/>
  <c r="N35" i="57"/>
  <c r="AC32" i="57"/>
  <c r="AJ32" i="57" s="1"/>
  <c r="O34" i="57"/>
  <c r="AH31" i="53"/>
  <c r="Q34" i="53"/>
  <c r="AH32" i="53"/>
  <c r="AC35" i="53"/>
  <c r="AD34" i="53"/>
  <c r="AT34" i="53"/>
  <c r="AG33" i="53"/>
  <c r="AB15" i="69"/>
  <c r="R19" i="69"/>
  <c r="S19" i="69" s="1"/>
  <c r="AE19" i="69"/>
  <c r="AH19" i="69" s="1"/>
  <c r="AY19" i="69"/>
  <c r="D20" i="69"/>
  <c r="E20" i="69" s="1"/>
  <c r="F20" i="69" s="1"/>
  <c r="G20" i="69" s="1"/>
  <c r="H20" i="69" s="1"/>
  <c r="I20" i="69" s="1"/>
  <c r="J20" i="69" s="1"/>
  <c r="K20" i="69" s="1"/>
  <c r="M20" i="69"/>
  <c r="L36" i="57"/>
  <c r="L36" i="53"/>
  <c r="AK35" i="52" a="1"/>
  <c r="AK35" i="52" s="1"/>
  <c r="B37" i="53" s="1"/>
  <c r="C36" i="53"/>
  <c r="J36" i="53"/>
  <c r="F36" i="53"/>
  <c r="I36" i="53"/>
  <c r="G36" i="53"/>
  <c r="D36" i="53"/>
  <c r="H36" i="53"/>
  <c r="E36" i="53"/>
  <c r="K36" i="53"/>
  <c r="P36" i="53"/>
  <c r="I36" i="57"/>
  <c r="H36" i="57"/>
  <c r="G36" i="57"/>
  <c r="E36" i="57"/>
  <c r="D36" i="57"/>
  <c r="C36" i="57"/>
  <c r="K36" i="57"/>
  <c r="F36" i="57"/>
  <c r="J36" i="57"/>
  <c r="AN35" i="55" a="1"/>
  <c r="AN35" i="55" s="1"/>
  <c r="B37" i="57" s="1"/>
  <c r="P37" i="57" s="1"/>
  <c r="AR20" i="67" a="1"/>
  <c r="AR20" i="67" s="1"/>
  <c r="AR21" i="67" s="1" a="1"/>
  <c r="AR21" i="67" s="1"/>
  <c r="C21" i="69"/>
  <c r="P21" i="69" s="1"/>
  <c r="C161" i="72"/>
  <c r="B161" i="72"/>
  <c r="C160" i="72"/>
  <c r="B160" i="72"/>
  <c r="C159" i="72"/>
  <c r="B159" i="72"/>
  <c r="C158" i="72"/>
  <c r="B158" i="72"/>
  <c r="C157" i="72"/>
  <c r="B157" i="72"/>
  <c r="C156" i="72"/>
  <c r="B156" i="72"/>
  <c r="C155" i="72"/>
  <c r="B155" i="72"/>
  <c r="C154" i="72"/>
  <c r="B154" i="72"/>
  <c r="C153" i="72"/>
  <c r="B153" i="72"/>
  <c r="C80" i="72"/>
  <c r="C77" i="72"/>
  <c r="C76" i="72"/>
  <c r="C75" i="72"/>
  <c r="C73" i="72"/>
  <c r="C72" i="72"/>
  <c r="C71" i="72"/>
  <c r="B80" i="72"/>
  <c r="B77" i="72"/>
  <c r="B76" i="72"/>
  <c r="B75" i="72"/>
  <c r="B73" i="72"/>
  <c r="B72" i="72"/>
  <c r="B71" i="72"/>
  <c r="B31" i="72"/>
  <c r="B30" i="72"/>
  <c r="B29" i="72"/>
  <c r="B28" i="72"/>
  <c r="B27" i="72"/>
  <c r="I256" i="71"/>
  <c r="I255" i="71"/>
  <c r="I254" i="71"/>
  <c r="I253" i="71"/>
  <c r="I252" i="71"/>
  <c r="I251" i="71"/>
  <c r="I250" i="71"/>
  <c r="I249" i="71"/>
  <c r="I248" i="71"/>
  <c r="I247" i="71"/>
  <c r="I246" i="71"/>
  <c r="I245" i="71"/>
  <c r="I244" i="71"/>
  <c r="I243" i="71"/>
  <c r="I242" i="71"/>
  <c r="I241" i="71"/>
  <c r="I240" i="71"/>
  <c r="I239" i="71"/>
  <c r="I238" i="71"/>
  <c r="I237" i="71"/>
  <c r="I236" i="71"/>
  <c r="I235" i="71"/>
  <c r="I234" i="71"/>
  <c r="I233" i="71"/>
  <c r="I232" i="71"/>
  <c r="I231" i="71"/>
  <c r="I230" i="71"/>
  <c r="I229" i="71"/>
  <c r="I228" i="71"/>
  <c r="I227" i="71"/>
  <c r="I226" i="71"/>
  <c r="I225" i="71"/>
  <c r="I224" i="71"/>
  <c r="I223" i="71"/>
  <c r="I222" i="71"/>
  <c r="I221" i="71"/>
  <c r="I220" i="71"/>
  <c r="I219" i="71"/>
  <c r="I218" i="71"/>
  <c r="I217" i="71"/>
  <c r="I216" i="71"/>
  <c r="I215" i="71"/>
  <c r="I214" i="71"/>
  <c r="I213" i="71"/>
  <c r="I212" i="71"/>
  <c r="I211" i="71"/>
  <c r="I210" i="71"/>
  <c r="I209" i="71"/>
  <c r="I208" i="71"/>
  <c r="I207" i="71"/>
  <c r="I206" i="71"/>
  <c r="I205" i="71"/>
  <c r="I204" i="71"/>
  <c r="I203" i="71"/>
  <c r="I202" i="71"/>
  <c r="I201" i="71"/>
  <c r="I200" i="71"/>
  <c r="I199" i="71"/>
  <c r="I198" i="71"/>
  <c r="I197" i="71"/>
  <c r="I196" i="71"/>
  <c r="I195" i="71"/>
  <c r="I194" i="71"/>
  <c r="I193" i="71"/>
  <c r="I192" i="71"/>
  <c r="I191" i="71"/>
  <c r="I190" i="71"/>
  <c r="I189" i="71"/>
  <c r="I188" i="71"/>
  <c r="I187" i="71"/>
  <c r="I186" i="71"/>
  <c r="I185" i="71"/>
  <c r="I184" i="71"/>
  <c r="I183" i="71"/>
  <c r="I182" i="71"/>
  <c r="I181" i="71"/>
  <c r="I180" i="71"/>
  <c r="I179" i="71"/>
  <c r="I178" i="71"/>
  <c r="I177" i="71"/>
  <c r="I176" i="71"/>
  <c r="I175" i="71"/>
  <c r="I174" i="71"/>
  <c r="I173" i="71"/>
  <c r="I172" i="71"/>
  <c r="I171" i="71"/>
  <c r="I170" i="71"/>
  <c r="I169" i="71"/>
  <c r="I168" i="71"/>
  <c r="I167" i="71"/>
  <c r="I166" i="71"/>
  <c r="I165" i="71"/>
  <c r="I164" i="71"/>
  <c r="I163" i="71"/>
  <c r="I162" i="71"/>
  <c r="I161" i="71"/>
  <c r="I160" i="71"/>
  <c r="I159" i="71"/>
  <c r="I158" i="71"/>
  <c r="I157" i="71"/>
  <c r="I156" i="71"/>
  <c r="I155" i="71"/>
  <c r="I154" i="71"/>
  <c r="I153" i="71"/>
  <c r="I152" i="71"/>
  <c r="I151" i="71"/>
  <c r="I150" i="71"/>
  <c r="I149" i="71"/>
  <c r="I148" i="71"/>
  <c r="I147" i="71"/>
  <c r="I146" i="71"/>
  <c r="I145" i="71"/>
  <c r="I144" i="71"/>
  <c r="I143" i="71"/>
  <c r="I142" i="71"/>
  <c r="I141" i="71"/>
  <c r="I140" i="71"/>
  <c r="I139" i="71"/>
  <c r="I138" i="71"/>
  <c r="I137" i="71"/>
  <c r="I136" i="71"/>
  <c r="I135" i="71"/>
  <c r="I134" i="71"/>
  <c r="I133" i="71"/>
  <c r="I132" i="71"/>
  <c r="I131" i="71"/>
  <c r="I130" i="71"/>
  <c r="I129" i="71"/>
  <c r="I128" i="71"/>
  <c r="I127" i="71"/>
  <c r="I126" i="71"/>
  <c r="I125" i="71"/>
  <c r="I124" i="71"/>
  <c r="I123" i="71"/>
  <c r="I122" i="71"/>
  <c r="I121" i="71"/>
  <c r="I120" i="71"/>
  <c r="I119" i="71"/>
  <c r="I118" i="71"/>
  <c r="I117" i="71"/>
  <c r="I116" i="71"/>
  <c r="I115" i="71"/>
  <c r="I114" i="71"/>
  <c r="I113" i="71"/>
  <c r="I112" i="71"/>
  <c r="I111" i="71"/>
  <c r="I110" i="71"/>
  <c r="I109" i="71"/>
  <c r="I108" i="71"/>
  <c r="I107" i="71"/>
  <c r="I106" i="71"/>
  <c r="I105" i="71"/>
  <c r="I104" i="71"/>
  <c r="I103" i="71"/>
  <c r="I102" i="71"/>
  <c r="I101" i="71"/>
  <c r="I100" i="71"/>
  <c r="I99" i="71"/>
  <c r="I98" i="71"/>
  <c r="I97" i="71"/>
  <c r="I96" i="71"/>
  <c r="I95" i="71"/>
  <c r="I94" i="71"/>
  <c r="I93" i="71"/>
  <c r="I92" i="71"/>
  <c r="I91" i="71"/>
  <c r="I90" i="71"/>
  <c r="I89" i="71"/>
  <c r="I88" i="71"/>
  <c r="I87" i="71"/>
  <c r="I86" i="71"/>
  <c r="I85" i="71"/>
  <c r="I84" i="71"/>
  <c r="I83" i="71"/>
  <c r="I82" i="71"/>
  <c r="I81" i="71"/>
  <c r="I80" i="71"/>
  <c r="I79" i="71"/>
  <c r="I78" i="71"/>
  <c r="I77" i="71"/>
  <c r="I76" i="71"/>
  <c r="I75" i="71"/>
  <c r="I74" i="71"/>
  <c r="I73" i="71"/>
  <c r="I72" i="71"/>
  <c r="I71" i="71"/>
  <c r="I70" i="71"/>
  <c r="I69" i="71"/>
  <c r="I68" i="71"/>
  <c r="I67" i="71"/>
  <c r="I66" i="71"/>
  <c r="I65" i="71"/>
  <c r="I64" i="71"/>
  <c r="I63" i="71"/>
  <c r="I62" i="71"/>
  <c r="I61" i="71"/>
  <c r="I60" i="71"/>
  <c r="I59" i="71"/>
  <c r="I58" i="71"/>
  <c r="I57" i="71"/>
  <c r="I56" i="71"/>
  <c r="I55" i="71"/>
  <c r="I54" i="71"/>
  <c r="I53" i="71"/>
  <c r="I52" i="71"/>
  <c r="I51" i="71"/>
  <c r="I50" i="71"/>
  <c r="I49" i="71"/>
  <c r="I48" i="71"/>
  <c r="I47" i="71"/>
  <c r="I46" i="71"/>
  <c r="I45" i="71"/>
  <c r="I44" i="71"/>
  <c r="I43" i="71"/>
  <c r="I42" i="71"/>
  <c r="I41" i="71"/>
  <c r="I40" i="71"/>
  <c r="I39" i="71"/>
  <c r="I38" i="71"/>
  <c r="I37" i="71"/>
  <c r="I36" i="71"/>
  <c r="I35" i="71"/>
  <c r="I34" i="71"/>
  <c r="I33" i="71"/>
  <c r="I32" i="71"/>
  <c r="I31" i="71"/>
  <c r="I30" i="71"/>
  <c r="I29" i="71"/>
  <c r="I28" i="71"/>
  <c r="I27" i="71"/>
  <c r="I26" i="71"/>
  <c r="I25" i="71"/>
  <c r="I24" i="71"/>
  <c r="I23" i="71"/>
  <c r="I22" i="71"/>
  <c r="I21" i="71"/>
  <c r="I20" i="71"/>
  <c r="I19" i="71"/>
  <c r="I18" i="71"/>
  <c r="I17" i="71"/>
  <c r="I16" i="71"/>
  <c r="I15" i="71"/>
  <c r="I14" i="71"/>
  <c r="I13" i="71"/>
  <c r="I12" i="71"/>
  <c r="J258" i="59"/>
  <c r="J257" i="59"/>
  <c r="J256" i="59"/>
  <c r="J255" i="59"/>
  <c r="J254" i="59"/>
  <c r="J253" i="59"/>
  <c r="J252" i="59"/>
  <c r="J251" i="59"/>
  <c r="J250" i="59"/>
  <c r="J249" i="59"/>
  <c r="J248" i="59"/>
  <c r="J247" i="59"/>
  <c r="J246" i="59"/>
  <c r="J245" i="59"/>
  <c r="J244" i="59"/>
  <c r="J243" i="59"/>
  <c r="J242" i="59"/>
  <c r="J241" i="59"/>
  <c r="J240" i="59"/>
  <c r="J239" i="59"/>
  <c r="J238" i="59"/>
  <c r="J237" i="59"/>
  <c r="J236" i="59"/>
  <c r="J235" i="59"/>
  <c r="J234" i="59"/>
  <c r="J233" i="59"/>
  <c r="J232" i="59"/>
  <c r="J231" i="59"/>
  <c r="J230" i="59"/>
  <c r="J229" i="59"/>
  <c r="J228" i="59"/>
  <c r="J227" i="59"/>
  <c r="J226" i="59"/>
  <c r="J225" i="59"/>
  <c r="J224" i="59"/>
  <c r="J223" i="59"/>
  <c r="J222" i="59"/>
  <c r="J221" i="59"/>
  <c r="J220" i="59"/>
  <c r="J219" i="59"/>
  <c r="J218" i="59"/>
  <c r="J217" i="59"/>
  <c r="J216" i="59"/>
  <c r="J215" i="59"/>
  <c r="J214" i="59"/>
  <c r="J213" i="59"/>
  <c r="J212" i="59"/>
  <c r="J211" i="59"/>
  <c r="J210" i="59"/>
  <c r="J209" i="59"/>
  <c r="J208" i="59"/>
  <c r="J207" i="59"/>
  <c r="J206" i="59"/>
  <c r="J205" i="59"/>
  <c r="J204" i="59"/>
  <c r="J203" i="59"/>
  <c r="J202" i="59"/>
  <c r="J201" i="59"/>
  <c r="J200" i="59"/>
  <c r="J199" i="59"/>
  <c r="J198" i="59"/>
  <c r="J197" i="59"/>
  <c r="J196" i="59"/>
  <c r="J195" i="59"/>
  <c r="J194" i="59"/>
  <c r="J193" i="59"/>
  <c r="J192" i="59"/>
  <c r="J191" i="59"/>
  <c r="J190" i="59"/>
  <c r="J189" i="59"/>
  <c r="J188" i="59"/>
  <c r="J187" i="59"/>
  <c r="J186" i="59"/>
  <c r="J185" i="59"/>
  <c r="J184" i="59"/>
  <c r="J183" i="59"/>
  <c r="J182" i="59"/>
  <c r="J181" i="59"/>
  <c r="J180" i="59"/>
  <c r="J179" i="59"/>
  <c r="J178" i="59"/>
  <c r="J177" i="59"/>
  <c r="J176" i="59"/>
  <c r="J175" i="59"/>
  <c r="J174" i="59"/>
  <c r="J173" i="59"/>
  <c r="J172" i="59"/>
  <c r="J171" i="59"/>
  <c r="J170" i="59"/>
  <c r="J169" i="59"/>
  <c r="J168" i="59"/>
  <c r="J167" i="59"/>
  <c r="J166" i="59"/>
  <c r="J165" i="59"/>
  <c r="J164" i="59"/>
  <c r="J163" i="59"/>
  <c r="J162" i="59"/>
  <c r="J161" i="59"/>
  <c r="J160" i="59"/>
  <c r="J159" i="59"/>
  <c r="J158" i="59"/>
  <c r="J157" i="59"/>
  <c r="J156" i="59"/>
  <c r="J155" i="59"/>
  <c r="J154" i="59"/>
  <c r="J153" i="59"/>
  <c r="J152" i="59"/>
  <c r="J151" i="59"/>
  <c r="J150" i="59"/>
  <c r="J149" i="59"/>
  <c r="J148" i="59"/>
  <c r="J147" i="59"/>
  <c r="J146" i="59"/>
  <c r="J145" i="59"/>
  <c r="J144" i="59"/>
  <c r="J143" i="59"/>
  <c r="J142" i="59"/>
  <c r="J141" i="59"/>
  <c r="J140" i="59"/>
  <c r="J139" i="59"/>
  <c r="J138" i="59"/>
  <c r="J137" i="59"/>
  <c r="J136" i="59"/>
  <c r="J135" i="59"/>
  <c r="J134" i="59"/>
  <c r="J133" i="59"/>
  <c r="J132" i="59"/>
  <c r="J131" i="59"/>
  <c r="J130" i="59"/>
  <c r="J129" i="59"/>
  <c r="J128" i="59"/>
  <c r="J127" i="59"/>
  <c r="J126" i="59"/>
  <c r="J125" i="59"/>
  <c r="J124" i="59"/>
  <c r="J123" i="59"/>
  <c r="J122" i="59"/>
  <c r="J121" i="59"/>
  <c r="J120" i="59"/>
  <c r="J119" i="59"/>
  <c r="J118" i="59"/>
  <c r="J117" i="59"/>
  <c r="J116" i="59"/>
  <c r="J115" i="59"/>
  <c r="J114" i="59"/>
  <c r="J113" i="59"/>
  <c r="J112" i="59"/>
  <c r="J111" i="59"/>
  <c r="J110" i="59"/>
  <c r="J109" i="59"/>
  <c r="J108" i="59"/>
  <c r="J107" i="59"/>
  <c r="J106" i="59"/>
  <c r="J105" i="59"/>
  <c r="J104" i="59"/>
  <c r="J103" i="59"/>
  <c r="J102" i="59"/>
  <c r="J101" i="59"/>
  <c r="J100" i="59"/>
  <c r="J99" i="59"/>
  <c r="J98" i="59"/>
  <c r="J97" i="59"/>
  <c r="J96" i="59"/>
  <c r="J95" i="59"/>
  <c r="J94" i="59"/>
  <c r="J93" i="59"/>
  <c r="J92" i="59"/>
  <c r="J91" i="59"/>
  <c r="J90" i="59"/>
  <c r="J89" i="59"/>
  <c r="J88" i="59"/>
  <c r="J87" i="59"/>
  <c r="J86" i="59"/>
  <c r="J85" i="59"/>
  <c r="J84" i="59"/>
  <c r="J83" i="59"/>
  <c r="J82" i="59"/>
  <c r="J81" i="59"/>
  <c r="J80" i="59"/>
  <c r="J79" i="59"/>
  <c r="J78" i="59"/>
  <c r="J77" i="59"/>
  <c r="J76" i="59"/>
  <c r="J75" i="59"/>
  <c r="J74" i="59"/>
  <c r="J73" i="59"/>
  <c r="J72" i="59"/>
  <c r="J71" i="59"/>
  <c r="J70" i="59"/>
  <c r="J69" i="59"/>
  <c r="J68" i="59"/>
  <c r="J67" i="59"/>
  <c r="J66" i="59"/>
  <c r="J65" i="59"/>
  <c r="J64" i="59"/>
  <c r="J63" i="59"/>
  <c r="J62" i="59"/>
  <c r="J61" i="59"/>
  <c r="J60" i="59"/>
  <c r="J59" i="59"/>
  <c r="J58" i="59"/>
  <c r="J57" i="59"/>
  <c r="J56" i="59"/>
  <c r="J55" i="59"/>
  <c r="J54" i="59"/>
  <c r="J53" i="59"/>
  <c r="J52" i="59"/>
  <c r="J51" i="59"/>
  <c r="J50" i="59"/>
  <c r="J49" i="59"/>
  <c r="J48" i="59"/>
  <c r="J47" i="59"/>
  <c r="J46" i="59"/>
  <c r="J45" i="59"/>
  <c r="J44" i="59"/>
  <c r="J43" i="59"/>
  <c r="J42" i="59"/>
  <c r="J41" i="59"/>
  <c r="J40" i="59"/>
  <c r="J39" i="59"/>
  <c r="J38" i="59"/>
  <c r="J37" i="59"/>
  <c r="J36" i="59"/>
  <c r="J35" i="59"/>
  <c r="J34" i="59"/>
  <c r="J33" i="59"/>
  <c r="J32" i="59"/>
  <c r="J31" i="59"/>
  <c r="J30" i="59"/>
  <c r="J29" i="59"/>
  <c r="J28" i="59"/>
  <c r="J27" i="59"/>
  <c r="J26" i="59"/>
  <c r="J25" i="59"/>
  <c r="J24" i="59"/>
  <c r="J23" i="59"/>
  <c r="J22" i="59"/>
  <c r="J21" i="59"/>
  <c r="J20" i="59"/>
  <c r="J19" i="59"/>
  <c r="J18" i="59"/>
  <c r="J17" i="59"/>
  <c r="J16" i="59"/>
  <c r="J15" i="59"/>
  <c r="J14" i="59"/>
  <c r="J13" i="59"/>
  <c r="J12" i="59"/>
  <c r="M256" i="46"/>
  <c r="I256" i="46"/>
  <c r="M255" i="46"/>
  <c r="I255" i="46"/>
  <c r="M254" i="46"/>
  <c r="I254" i="46"/>
  <c r="M253" i="46"/>
  <c r="I253" i="46"/>
  <c r="M252" i="46"/>
  <c r="I252" i="46"/>
  <c r="M251" i="46"/>
  <c r="I251" i="46"/>
  <c r="M250" i="46"/>
  <c r="I250" i="46"/>
  <c r="M249" i="46"/>
  <c r="I249" i="46"/>
  <c r="M248" i="46"/>
  <c r="I248" i="46"/>
  <c r="M247" i="46"/>
  <c r="I247" i="46"/>
  <c r="M246" i="46"/>
  <c r="I246" i="46"/>
  <c r="M245" i="46"/>
  <c r="I245" i="46"/>
  <c r="M244" i="46"/>
  <c r="I244" i="46"/>
  <c r="M243" i="46"/>
  <c r="I243" i="46"/>
  <c r="M242" i="46"/>
  <c r="I242" i="46"/>
  <c r="M241" i="46"/>
  <c r="I241" i="46"/>
  <c r="M240" i="46"/>
  <c r="I240" i="46"/>
  <c r="M239" i="46"/>
  <c r="I239" i="46"/>
  <c r="M238" i="46"/>
  <c r="I238" i="46"/>
  <c r="M237" i="46"/>
  <c r="I237" i="46"/>
  <c r="M236" i="46"/>
  <c r="I236" i="46"/>
  <c r="M235" i="46"/>
  <c r="I235" i="46"/>
  <c r="M234" i="46"/>
  <c r="I234" i="46"/>
  <c r="M233" i="46"/>
  <c r="I233" i="46"/>
  <c r="M232" i="46"/>
  <c r="I232" i="46"/>
  <c r="M231" i="46"/>
  <c r="I231" i="46"/>
  <c r="M230" i="46"/>
  <c r="I230" i="46"/>
  <c r="M229" i="46"/>
  <c r="I229" i="46"/>
  <c r="M228" i="46"/>
  <c r="I228" i="46"/>
  <c r="M227" i="46"/>
  <c r="I227" i="46"/>
  <c r="M226" i="46"/>
  <c r="I226" i="46"/>
  <c r="M225" i="46"/>
  <c r="I225" i="46"/>
  <c r="M224" i="46"/>
  <c r="I224" i="46"/>
  <c r="M223" i="46"/>
  <c r="I223" i="46"/>
  <c r="M222" i="46"/>
  <c r="I222" i="46"/>
  <c r="M221" i="46"/>
  <c r="I221" i="46"/>
  <c r="M220" i="46"/>
  <c r="I220" i="46"/>
  <c r="M219" i="46"/>
  <c r="I219" i="46"/>
  <c r="M218" i="46"/>
  <c r="I218" i="46"/>
  <c r="M217" i="46"/>
  <c r="I217" i="46"/>
  <c r="M216" i="46"/>
  <c r="I216" i="46"/>
  <c r="M215" i="46"/>
  <c r="I215" i="46"/>
  <c r="M214" i="46"/>
  <c r="I214" i="46"/>
  <c r="M213" i="46"/>
  <c r="I213" i="46"/>
  <c r="M212" i="46"/>
  <c r="I212" i="46"/>
  <c r="M211" i="46"/>
  <c r="I211" i="46"/>
  <c r="M210" i="46"/>
  <c r="I210" i="46"/>
  <c r="M209" i="46"/>
  <c r="I209" i="46"/>
  <c r="M208" i="46"/>
  <c r="I208" i="46"/>
  <c r="M207" i="46"/>
  <c r="I207" i="46"/>
  <c r="M206" i="46"/>
  <c r="I206" i="46"/>
  <c r="M205" i="46"/>
  <c r="I205" i="46"/>
  <c r="M204" i="46"/>
  <c r="I204" i="46"/>
  <c r="M203" i="46"/>
  <c r="I203" i="46"/>
  <c r="M202" i="46"/>
  <c r="I202" i="46"/>
  <c r="M201" i="46"/>
  <c r="I201" i="46"/>
  <c r="M200" i="46"/>
  <c r="I200" i="46"/>
  <c r="M199" i="46"/>
  <c r="I199" i="46"/>
  <c r="M198" i="46"/>
  <c r="I198" i="46"/>
  <c r="M197" i="46"/>
  <c r="I197" i="46"/>
  <c r="M196" i="46"/>
  <c r="I196" i="46"/>
  <c r="M195" i="46"/>
  <c r="I195" i="46"/>
  <c r="M194" i="46"/>
  <c r="I194" i="46"/>
  <c r="M193" i="46"/>
  <c r="I193" i="46"/>
  <c r="M192" i="46"/>
  <c r="I192" i="46"/>
  <c r="M191" i="46"/>
  <c r="I191" i="46"/>
  <c r="M190" i="46"/>
  <c r="I190" i="46"/>
  <c r="M189" i="46"/>
  <c r="I189" i="46"/>
  <c r="M188" i="46"/>
  <c r="I188" i="46"/>
  <c r="M187" i="46"/>
  <c r="I187" i="46"/>
  <c r="M186" i="46"/>
  <c r="I186" i="46"/>
  <c r="M185" i="46"/>
  <c r="I185" i="46"/>
  <c r="M184" i="46"/>
  <c r="I184" i="46"/>
  <c r="M183" i="46"/>
  <c r="I183" i="46"/>
  <c r="M182" i="46"/>
  <c r="I182" i="46"/>
  <c r="M181" i="46"/>
  <c r="I181" i="46"/>
  <c r="M180" i="46"/>
  <c r="I180" i="46"/>
  <c r="M179" i="46"/>
  <c r="I179" i="46"/>
  <c r="M178" i="46"/>
  <c r="I178" i="46"/>
  <c r="M177" i="46"/>
  <c r="I177" i="46"/>
  <c r="M176" i="46"/>
  <c r="I176" i="46"/>
  <c r="M175" i="46"/>
  <c r="I175" i="46"/>
  <c r="M174" i="46"/>
  <c r="I174" i="46"/>
  <c r="M173" i="46"/>
  <c r="I173" i="46"/>
  <c r="M172" i="46"/>
  <c r="I172" i="46"/>
  <c r="M171" i="46"/>
  <c r="I171" i="46"/>
  <c r="M170" i="46"/>
  <c r="I170" i="46"/>
  <c r="M169" i="46"/>
  <c r="I169" i="46"/>
  <c r="M168" i="46"/>
  <c r="I168" i="46"/>
  <c r="M167" i="46"/>
  <c r="I167" i="46"/>
  <c r="M166" i="46"/>
  <c r="I166" i="46"/>
  <c r="M165" i="46"/>
  <c r="I165" i="46"/>
  <c r="M164" i="46"/>
  <c r="I164" i="46"/>
  <c r="M163" i="46"/>
  <c r="I163" i="46"/>
  <c r="M162" i="46"/>
  <c r="I162" i="46"/>
  <c r="M161" i="46"/>
  <c r="I161" i="46"/>
  <c r="M160" i="46"/>
  <c r="I160" i="46"/>
  <c r="M159" i="46"/>
  <c r="I159" i="46"/>
  <c r="M158" i="46"/>
  <c r="I158" i="46"/>
  <c r="M157" i="46"/>
  <c r="I157" i="46"/>
  <c r="M156" i="46"/>
  <c r="I156" i="46"/>
  <c r="M155" i="46"/>
  <c r="I155" i="46"/>
  <c r="M154" i="46"/>
  <c r="I154" i="46"/>
  <c r="M153" i="46"/>
  <c r="I153" i="46"/>
  <c r="M152" i="46"/>
  <c r="I152" i="46"/>
  <c r="M151" i="46"/>
  <c r="I151" i="46"/>
  <c r="M150" i="46"/>
  <c r="I150" i="46"/>
  <c r="M149" i="46"/>
  <c r="I149" i="46"/>
  <c r="M148" i="46"/>
  <c r="I148" i="46"/>
  <c r="M147" i="46"/>
  <c r="I147" i="46"/>
  <c r="M146" i="46"/>
  <c r="I146" i="46"/>
  <c r="M145" i="46"/>
  <c r="I145" i="46"/>
  <c r="M144" i="46"/>
  <c r="I144" i="46"/>
  <c r="M143" i="46"/>
  <c r="I143" i="46"/>
  <c r="M142" i="46"/>
  <c r="I142" i="46"/>
  <c r="M141" i="46"/>
  <c r="I141" i="46"/>
  <c r="M140" i="46"/>
  <c r="I140" i="46"/>
  <c r="M139" i="46"/>
  <c r="I139" i="46"/>
  <c r="M138" i="46"/>
  <c r="I138" i="46"/>
  <c r="M137" i="46"/>
  <c r="I137" i="46"/>
  <c r="M136" i="46"/>
  <c r="I136" i="46"/>
  <c r="M135" i="46"/>
  <c r="I135" i="46"/>
  <c r="M134" i="46"/>
  <c r="I134" i="46"/>
  <c r="M133" i="46"/>
  <c r="I133" i="46"/>
  <c r="M132" i="46"/>
  <c r="I132" i="46"/>
  <c r="M131" i="46"/>
  <c r="I131" i="46"/>
  <c r="M130" i="46"/>
  <c r="I130" i="46"/>
  <c r="M129" i="46"/>
  <c r="I129" i="46"/>
  <c r="M128" i="46"/>
  <c r="I128" i="46"/>
  <c r="M127" i="46"/>
  <c r="I127" i="46"/>
  <c r="M126" i="46"/>
  <c r="I126" i="46"/>
  <c r="M125" i="46"/>
  <c r="I125" i="46"/>
  <c r="M124" i="46"/>
  <c r="I124" i="46"/>
  <c r="M123" i="46"/>
  <c r="I123" i="46"/>
  <c r="M122" i="46"/>
  <c r="I122" i="46"/>
  <c r="M121" i="46"/>
  <c r="I121" i="46"/>
  <c r="M120" i="46"/>
  <c r="I120" i="46"/>
  <c r="M119" i="46"/>
  <c r="I119" i="46"/>
  <c r="M118" i="46"/>
  <c r="I118" i="46"/>
  <c r="M117" i="46"/>
  <c r="I117" i="46"/>
  <c r="M116" i="46"/>
  <c r="I116" i="46"/>
  <c r="M115" i="46"/>
  <c r="I115" i="46"/>
  <c r="M114" i="46"/>
  <c r="I114" i="46"/>
  <c r="M113" i="46"/>
  <c r="I113" i="46"/>
  <c r="M112" i="46"/>
  <c r="I112" i="46"/>
  <c r="M111" i="46"/>
  <c r="I111" i="46"/>
  <c r="M110" i="46"/>
  <c r="I110" i="46"/>
  <c r="M109" i="46"/>
  <c r="I109" i="46"/>
  <c r="M108" i="46"/>
  <c r="I108" i="46"/>
  <c r="M107" i="46"/>
  <c r="I107" i="46"/>
  <c r="M106" i="46"/>
  <c r="I106" i="46"/>
  <c r="M105" i="46"/>
  <c r="I105" i="46"/>
  <c r="M104" i="46"/>
  <c r="I104" i="46"/>
  <c r="M103" i="46"/>
  <c r="I103" i="46"/>
  <c r="M102" i="46"/>
  <c r="I102" i="46"/>
  <c r="M101" i="46"/>
  <c r="I101" i="46"/>
  <c r="M100" i="46"/>
  <c r="I100" i="46"/>
  <c r="M99" i="46"/>
  <c r="I99" i="46"/>
  <c r="M98" i="46"/>
  <c r="I98" i="46"/>
  <c r="M97" i="46"/>
  <c r="I97" i="46"/>
  <c r="M96" i="46"/>
  <c r="I96" i="46"/>
  <c r="M95" i="46"/>
  <c r="I95" i="46"/>
  <c r="M94" i="46"/>
  <c r="I94" i="46"/>
  <c r="M93" i="46"/>
  <c r="I93" i="46"/>
  <c r="M92" i="46"/>
  <c r="I92" i="46"/>
  <c r="M91" i="46"/>
  <c r="I91" i="46"/>
  <c r="M90" i="46"/>
  <c r="I90" i="46"/>
  <c r="M89" i="46"/>
  <c r="I89" i="46"/>
  <c r="M88" i="46"/>
  <c r="I88" i="46"/>
  <c r="M87" i="46"/>
  <c r="I87" i="46"/>
  <c r="M86" i="46"/>
  <c r="I86" i="46"/>
  <c r="M85" i="46"/>
  <c r="I85" i="46"/>
  <c r="M84" i="46"/>
  <c r="I84" i="46"/>
  <c r="M83" i="46"/>
  <c r="I83" i="46"/>
  <c r="M82" i="46"/>
  <c r="I82" i="46"/>
  <c r="M81" i="46"/>
  <c r="I81" i="46"/>
  <c r="M80" i="46"/>
  <c r="I80" i="46"/>
  <c r="M79" i="46"/>
  <c r="I79" i="46"/>
  <c r="M78" i="46"/>
  <c r="I78" i="46"/>
  <c r="M77" i="46"/>
  <c r="I77" i="46"/>
  <c r="M76" i="46"/>
  <c r="I76" i="46"/>
  <c r="M75" i="46"/>
  <c r="I75" i="46"/>
  <c r="M74" i="46"/>
  <c r="I74" i="46"/>
  <c r="M73" i="46"/>
  <c r="I73" i="46"/>
  <c r="M72" i="46"/>
  <c r="I72" i="46"/>
  <c r="M71" i="46"/>
  <c r="I71" i="46"/>
  <c r="M70" i="46"/>
  <c r="I70" i="46"/>
  <c r="M69" i="46"/>
  <c r="I69" i="46"/>
  <c r="M68" i="46"/>
  <c r="I68" i="46"/>
  <c r="M67" i="46"/>
  <c r="I67" i="46"/>
  <c r="M66" i="46"/>
  <c r="I66" i="46"/>
  <c r="M65" i="46"/>
  <c r="I65" i="46"/>
  <c r="M64" i="46"/>
  <c r="I64" i="46"/>
  <c r="M63" i="46"/>
  <c r="I63" i="46"/>
  <c r="M62" i="46"/>
  <c r="I62" i="46"/>
  <c r="M61" i="46"/>
  <c r="I61" i="46"/>
  <c r="M60" i="46"/>
  <c r="I60" i="46"/>
  <c r="M59" i="46"/>
  <c r="I59" i="46"/>
  <c r="M58" i="46"/>
  <c r="I58" i="46"/>
  <c r="M57" i="46"/>
  <c r="I57" i="46"/>
  <c r="M56" i="46"/>
  <c r="I56" i="46"/>
  <c r="M55" i="46"/>
  <c r="I55" i="46"/>
  <c r="M54" i="46"/>
  <c r="I54" i="46"/>
  <c r="M53" i="46"/>
  <c r="I53" i="46"/>
  <c r="M52" i="46"/>
  <c r="I52" i="46"/>
  <c r="M51" i="46"/>
  <c r="I51" i="46"/>
  <c r="M50" i="46"/>
  <c r="I50" i="46"/>
  <c r="M49" i="46"/>
  <c r="I49" i="46"/>
  <c r="M48" i="46"/>
  <c r="I48" i="46"/>
  <c r="M47" i="46"/>
  <c r="I47" i="46"/>
  <c r="M46" i="46"/>
  <c r="I46" i="46"/>
  <c r="M45" i="46"/>
  <c r="I45" i="46"/>
  <c r="M44" i="46"/>
  <c r="I44" i="46"/>
  <c r="M43" i="46"/>
  <c r="I43" i="46"/>
  <c r="M42" i="46"/>
  <c r="I42" i="46"/>
  <c r="M41" i="46"/>
  <c r="I41" i="46"/>
  <c r="M40" i="46"/>
  <c r="I40" i="46"/>
  <c r="M39" i="46"/>
  <c r="I39" i="46"/>
  <c r="M38" i="46"/>
  <c r="I38" i="46"/>
  <c r="M37" i="46"/>
  <c r="I37" i="46"/>
  <c r="M36" i="46"/>
  <c r="I36" i="46"/>
  <c r="M35" i="46"/>
  <c r="I35" i="46"/>
  <c r="M34" i="46"/>
  <c r="I34" i="46"/>
  <c r="M33" i="46"/>
  <c r="I33" i="46"/>
  <c r="M32" i="46"/>
  <c r="I32" i="46"/>
  <c r="M31" i="46"/>
  <c r="I31" i="46"/>
  <c r="M30" i="46"/>
  <c r="I30" i="46"/>
  <c r="M29" i="46"/>
  <c r="I29" i="46"/>
  <c r="M28" i="46"/>
  <c r="I28" i="46"/>
  <c r="M27" i="46"/>
  <c r="I27" i="46"/>
  <c r="M26" i="46"/>
  <c r="I26" i="46"/>
  <c r="M25" i="46"/>
  <c r="I25" i="46"/>
  <c r="M24" i="46"/>
  <c r="I24" i="46"/>
  <c r="M23" i="46"/>
  <c r="I23" i="46"/>
  <c r="M22" i="46"/>
  <c r="I22" i="46"/>
  <c r="M21" i="46"/>
  <c r="I21" i="46"/>
  <c r="M20" i="46"/>
  <c r="I20" i="46"/>
  <c r="M19" i="46"/>
  <c r="I19" i="46"/>
  <c r="M18" i="46"/>
  <c r="I18" i="46"/>
  <c r="R18" i="46" s="1"/>
  <c r="M17" i="46"/>
  <c r="I17" i="46"/>
  <c r="R17" i="46" s="1"/>
  <c r="M16" i="46"/>
  <c r="I16" i="46"/>
  <c r="M15" i="46"/>
  <c r="I15" i="46"/>
  <c r="M14" i="46"/>
  <c r="I14" i="46"/>
  <c r="M13" i="46"/>
  <c r="I13" i="46"/>
  <c r="M12" i="46"/>
  <c r="I12" i="46"/>
  <c r="Q103" i="29"/>
  <c r="E3" i="28" s="1"/>
  <c r="Q128" i="29"/>
  <c r="E41" i="28" s="1"/>
  <c r="O128" i="29"/>
  <c r="C41" i="28" s="1"/>
  <c r="M128" i="29"/>
  <c r="L128" i="29"/>
  <c r="Q127" i="29"/>
  <c r="E45" i="28" s="1"/>
  <c r="O127" i="29"/>
  <c r="C45" i="28" s="1"/>
  <c r="M127" i="29"/>
  <c r="L127" i="29"/>
  <c r="Q126" i="29"/>
  <c r="E43" i="28" s="1"/>
  <c r="O126" i="29"/>
  <c r="C43" i="28" s="1"/>
  <c r="M126" i="29"/>
  <c r="L126" i="29"/>
  <c r="Q125" i="29"/>
  <c r="E44" i="28" s="1"/>
  <c r="O125" i="29"/>
  <c r="C44" i="28" s="1"/>
  <c r="M125" i="29"/>
  <c r="L125" i="29"/>
  <c r="Q122" i="29"/>
  <c r="E42" i="28" s="1"/>
  <c r="O122" i="29"/>
  <c r="C42" i="28" s="1"/>
  <c r="M122" i="29"/>
  <c r="L122" i="29"/>
  <c r="Q121" i="29"/>
  <c r="E46" i="28" s="1"/>
  <c r="O121" i="29"/>
  <c r="C46" i="28" s="1"/>
  <c r="M121" i="29"/>
  <c r="L121" i="29"/>
  <c r="Q120" i="29"/>
  <c r="E47" i="28" s="1"/>
  <c r="O120" i="29"/>
  <c r="C47" i="28" s="1"/>
  <c r="M120" i="29"/>
  <c r="L120" i="29"/>
  <c r="Q118" i="29"/>
  <c r="E52" i="28" s="1"/>
  <c r="O118" i="29"/>
  <c r="C52" i="28" s="1"/>
  <c r="M118" i="29"/>
  <c r="L118" i="29"/>
  <c r="Q117" i="29"/>
  <c r="E51" i="28" s="1"/>
  <c r="O117" i="29"/>
  <c r="C51" i="28" s="1"/>
  <c r="M117" i="29"/>
  <c r="L117" i="29"/>
  <c r="Q112" i="29"/>
  <c r="E4" i="28" s="1"/>
  <c r="O112" i="29"/>
  <c r="C4" i="28" s="1"/>
  <c r="Q116" i="29"/>
  <c r="E49" i="28" s="1"/>
  <c r="O116" i="29"/>
  <c r="C49" i="28" s="1"/>
  <c r="M116" i="29"/>
  <c r="L116" i="29"/>
  <c r="Q115" i="29"/>
  <c r="E50" i="28" s="1"/>
  <c r="O115" i="29"/>
  <c r="C50" i="28" s="1"/>
  <c r="M115" i="29"/>
  <c r="L115" i="29"/>
  <c r="Q114" i="29"/>
  <c r="E48" i="28" s="1"/>
  <c r="O114" i="29"/>
  <c r="C48" i="28" s="1"/>
  <c r="M114" i="29"/>
  <c r="L114" i="29"/>
  <c r="Q111" i="29"/>
  <c r="E65" i="28" s="1"/>
  <c r="O111" i="29"/>
  <c r="C65" i="28" s="1"/>
  <c r="Q110" i="29"/>
  <c r="E64" i="28" s="1"/>
  <c r="O110" i="29"/>
  <c r="C64" i="28" s="1"/>
  <c r="Q109" i="29"/>
  <c r="E69" i="28" s="1"/>
  <c r="O109" i="29"/>
  <c r="C69" i="28" s="1"/>
  <c r="Q108" i="29"/>
  <c r="E68" i="28" s="1"/>
  <c r="O108" i="29"/>
  <c r="C68" i="28" s="1"/>
  <c r="Q107" i="29"/>
  <c r="E71" i="28" s="1"/>
  <c r="O107" i="29"/>
  <c r="C71" i="28" s="1"/>
  <c r="Q106" i="29"/>
  <c r="E70" i="28" s="1"/>
  <c r="O106" i="29"/>
  <c r="C70" i="28" s="1"/>
  <c r="Q105" i="29"/>
  <c r="E67" i="28" s="1"/>
  <c r="O105" i="29"/>
  <c r="C67" i="28" s="1"/>
  <c r="Q104" i="29"/>
  <c r="E66" i="28" s="1"/>
  <c r="O104" i="29"/>
  <c r="C66" i="28" s="1"/>
  <c r="O103" i="29"/>
  <c r="C3" i="28" s="1"/>
  <c r="Y18" i="69" l="1"/>
  <c r="AB18" i="69" s="1"/>
  <c r="AC18" i="69" s="1"/>
  <c r="AC36" i="53"/>
  <c r="AG34" i="57"/>
  <c r="X34" i="57"/>
  <c r="X34" i="53"/>
  <c r="AB34" i="53" s="1"/>
  <c r="M37" i="53"/>
  <c r="O37" i="53"/>
  <c r="AP21" i="69"/>
  <c r="N21" i="69"/>
  <c r="U21" i="69" s="1"/>
  <c r="Q35" i="57"/>
  <c r="T35" i="57" s="1"/>
  <c r="AQ35" i="57"/>
  <c r="AD35" i="57"/>
  <c r="M36" i="57"/>
  <c r="AK36" i="57" s="1"/>
  <c r="R35" i="57"/>
  <c r="U20" i="69"/>
  <c r="N37" i="53"/>
  <c r="O19" i="69"/>
  <c r="O35" i="57"/>
  <c r="Q20" i="69"/>
  <c r="AC15" i="69"/>
  <c r="AA33" i="57"/>
  <c r="AE33" i="57" s="1"/>
  <c r="AF33" i="57" s="1"/>
  <c r="AB33" i="57"/>
  <c r="AC33" i="57"/>
  <c r="AJ33" i="57" s="1"/>
  <c r="N36" i="57"/>
  <c r="AD35" i="53"/>
  <c r="AE33" i="53"/>
  <c r="AF33" i="53" s="1"/>
  <c r="AG34" i="53"/>
  <c r="Q35" i="53"/>
  <c r="AT35" i="53"/>
  <c r="R35" i="53"/>
  <c r="X35" i="53" s="1"/>
  <c r="AB17" i="69"/>
  <c r="R36" i="53"/>
  <c r="X36" i="53" s="1"/>
  <c r="D21" i="69"/>
  <c r="E21" i="69" s="1"/>
  <c r="F21" i="69" s="1"/>
  <c r="G21" i="69" s="1"/>
  <c r="H21" i="69" s="1"/>
  <c r="I21" i="69" s="1"/>
  <c r="J21" i="69" s="1"/>
  <c r="K21" i="69" s="1"/>
  <c r="D115" i="22"/>
  <c r="M21" i="69"/>
  <c r="AY20" i="69"/>
  <c r="L37" i="57"/>
  <c r="AT36" i="53"/>
  <c r="Q36" i="53"/>
  <c r="AD36" i="53"/>
  <c r="I37" i="53"/>
  <c r="C37" i="53"/>
  <c r="F37" i="53"/>
  <c r="L37" i="53"/>
  <c r="K37" i="53"/>
  <c r="E37" i="53"/>
  <c r="P37" i="53"/>
  <c r="H37" i="53"/>
  <c r="G37" i="53"/>
  <c r="AK36" i="52" a="1"/>
  <c r="AK36" i="52" s="1"/>
  <c r="B38" i="53" s="1"/>
  <c r="J37" i="53"/>
  <c r="D37" i="53"/>
  <c r="G37" i="57"/>
  <c r="I37" i="57"/>
  <c r="J37" i="57"/>
  <c r="F37" i="57"/>
  <c r="K37" i="57"/>
  <c r="H37" i="57"/>
  <c r="E37" i="57"/>
  <c r="D37" i="57"/>
  <c r="C37" i="57"/>
  <c r="AN36" i="55" a="1"/>
  <c r="AN36" i="55" s="1"/>
  <c r="B38" i="57" s="1"/>
  <c r="AE20" i="69"/>
  <c r="AH20" i="69" s="1"/>
  <c r="R20" i="69"/>
  <c r="S20" i="69" s="1"/>
  <c r="B22" i="69"/>
  <c r="AR22" i="67" a="1"/>
  <c r="AR22" i="67" s="1"/>
  <c r="B23" i="69"/>
  <c r="L23" i="69" s="1"/>
  <c r="Y19" i="69" l="1"/>
  <c r="AB19" i="69" s="1"/>
  <c r="AC19" i="69" s="1"/>
  <c r="AG35" i="57"/>
  <c r="X35" i="57"/>
  <c r="AB35" i="57" s="1"/>
  <c r="AA34" i="53"/>
  <c r="M38" i="53"/>
  <c r="AC38" i="53" s="1"/>
  <c r="O38" i="53"/>
  <c r="AD36" i="57"/>
  <c r="R36" i="57"/>
  <c r="Q36" i="57"/>
  <c r="T36" i="57" s="1"/>
  <c r="AQ36" i="57"/>
  <c r="M37" i="57"/>
  <c r="AK37" i="57" s="1"/>
  <c r="N38" i="53"/>
  <c r="AA36" i="53"/>
  <c r="AB36" i="53"/>
  <c r="AA35" i="53"/>
  <c r="AB35" i="53"/>
  <c r="O20" i="69"/>
  <c r="AD18" i="69"/>
  <c r="AF18" i="69"/>
  <c r="AG18" i="69" s="1"/>
  <c r="AD15" i="69"/>
  <c r="AF15" i="69"/>
  <c r="AG15" i="69" s="1"/>
  <c r="O22" i="69"/>
  <c r="L22" i="69"/>
  <c r="Q21" i="69"/>
  <c r="O38" i="57"/>
  <c r="P38" i="57"/>
  <c r="AC17" i="69"/>
  <c r="AA34" i="57"/>
  <c r="AE34" i="57" s="1"/>
  <c r="AF34" i="57" s="1"/>
  <c r="AB34" i="57"/>
  <c r="AC34" i="57"/>
  <c r="AJ34" i="57" s="1"/>
  <c r="O36" i="57"/>
  <c r="N37" i="57"/>
  <c r="AH33" i="53"/>
  <c r="AG36" i="53"/>
  <c r="AC37" i="53"/>
  <c r="AE34" i="53"/>
  <c r="AF34" i="53" s="1"/>
  <c r="AG35" i="53"/>
  <c r="O23" i="69"/>
  <c r="AY21" i="69"/>
  <c r="L38" i="57"/>
  <c r="N38" i="57"/>
  <c r="H38" i="53"/>
  <c r="AK37" i="52" a="1"/>
  <c r="AK37" i="52" s="1"/>
  <c r="B39" i="53" s="1"/>
  <c r="K38" i="53"/>
  <c r="D38" i="53"/>
  <c r="C38" i="53"/>
  <c r="G38" i="53"/>
  <c r="I38" i="53"/>
  <c r="F38" i="53"/>
  <c r="P38" i="53"/>
  <c r="L38" i="53"/>
  <c r="E38" i="53"/>
  <c r="J38" i="53"/>
  <c r="D38" i="57"/>
  <c r="K38" i="57"/>
  <c r="I38" i="57"/>
  <c r="H38" i="57"/>
  <c r="G38" i="57"/>
  <c r="E38" i="57"/>
  <c r="C38" i="57"/>
  <c r="F38" i="57"/>
  <c r="J38" i="57"/>
  <c r="AN37" i="55" a="1"/>
  <c r="AN37" i="55" s="1"/>
  <c r="B39" i="57" s="1"/>
  <c r="R21" i="69"/>
  <c r="S21" i="69" s="1"/>
  <c r="AE21" i="69"/>
  <c r="AH21" i="69" s="1"/>
  <c r="C22" i="69"/>
  <c r="P22" i="69" s="1"/>
  <c r="C23" i="69"/>
  <c r="P23" i="69" s="1"/>
  <c r="AR23" i="67" a="1"/>
  <c r="AR23" i="67" s="1"/>
  <c r="B24" i="69"/>
  <c r="L24" i="69" s="1"/>
  <c r="A128" i="99"/>
  <c r="A127" i="99"/>
  <c r="A126" i="99"/>
  <c r="A125" i="99"/>
  <c r="A122" i="99"/>
  <c r="A121" i="99"/>
  <c r="A120" i="99"/>
  <c r="A118" i="99"/>
  <c r="A117" i="99"/>
  <c r="A115" i="99"/>
  <c r="A114" i="99"/>
  <c r="A113" i="99"/>
  <c r="A112" i="99"/>
  <c r="A111" i="99"/>
  <c r="A110" i="99"/>
  <c r="A109" i="99"/>
  <c r="A108" i="99"/>
  <c r="A107" i="99"/>
  <c r="A106" i="99"/>
  <c r="A105" i="99"/>
  <c r="A104" i="99"/>
  <c r="A103" i="99"/>
  <c r="C129" i="33"/>
  <c r="C128" i="33"/>
  <c r="C127" i="33"/>
  <c r="C126" i="33"/>
  <c r="C123" i="33"/>
  <c r="C122" i="33"/>
  <c r="C121" i="33"/>
  <c r="C119" i="33"/>
  <c r="C118" i="33"/>
  <c r="C116" i="33"/>
  <c r="C115" i="33"/>
  <c r="C114" i="33"/>
  <c r="C113" i="33"/>
  <c r="C112" i="33"/>
  <c r="C111" i="33"/>
  <c r="C110" i="33"/>
  <c r="C109" i="33"/>
  <c r="C108" i="33"/>
  <c r="C107" i="33"/>
  <c r="C106" i="33"/>
  <c r="C105" i="33"/>
  <c r="C104" i="33"/>
  <c r="F128" i="20"/>
  <c r="F127" i="20"/>
  <c r="F126" i="20"/>
  <c r="F125" i="20"/>
  <c r="F122" i="20"/>
  <c r="F121" i="20"/>
  <c r="F120" i="20"/>
  <c r="F118" i="20"/>
  <c r="F117" i="20"/>
  <c r="F115" i="20"/>
  <c r="F114" i="20"/>
  <c r="F113" i="20"/>
  <c r="F112" i="20"/>
  <c r="F111" i="20"/>
  <c r="F110" i="20"/>
  <c r="F109" i="20"/>
  <c r="F108" i="20"/>
  <c r="F107" i="20"/>
  <c r="F106" i="20"/>
  <c r="F105" i="20"/>
  <c r="F104" i="20"/>
  <c r="F103" i="20"/>
  <c r="O11" i="46" s="1"/>
  <c r="D130" i="22"/>
  <c r="C130" i="22"/>
  <c r="B130" i="22"/>
  <c r="D128" i="22"/>
  <c r="C128" i="22"/>
  <c r="B128" i="22"/>
  <c r="A128" i="22"/>
  <c r="D127" i="22"/>
  <c r="C127" i="22"/>
  <c r="B127" i="22"/>
  <c r="A127" i="22"/>
  <c r="D126" i="22"/>
  <c r="C126" i="22"/>
  <c r="B126" i="22"/>
  <c r="A126" i="22"/>
  <c r="D125" i="22"/>
  <c r="C125" i="22"/>
  <c r="B125" i="22"/>
  <c r="A125" i="22"/>
  <c r="D122" i="22"/>
  <c r="C122" i="22"/>
  <c r="B122" i="22"/>
  <c r="A122" i="22"/>
  <c r="D121" i="22"/>
  <c r="C121" i="22"/>
  <c r="B121" i="22"/>
  <c r="A121" i="22"/>
  <c r="D120" i="22"/>
  <c r="C120" i="22"/>
  <c r="B120" i="22"/>
  <c r="A120" i="22"/>
  <c r="D118" i="22"/>
  <c r="C118" i="22"/>
  <c r="B118" i="22"/>
  <c r="A118" i="22"/>
  <c r="D117" i="22"/>
  <c r="C117" i="22"/>
  <c r="B117" i="22"/>
  <c r="A117" i="22"/>
  <c r="D114" i="22"/>
  <c r="C114" i="22"/>
  <c r="B114" i="22"/>
  <c r="A114" i="22"/>
  <c r="D113" i="22"/>
  <c r="C113" i="22"/>
  <c r="B113" i="22"/>
  <c r="A113" i="22"/>
  <c r="D112" i="22"/>
  <c r="C112" i="22"/>
  <c r="B112" i="22"/>
  <c r="A112" i="22"/>
  <c r="D111" i="22"/>
  <c r="C111" i="22"/>
  <c r="B111" i="22"/>
  <c r="A111" i="22"/>
  <c r="D110" i="22"/>
  <c r="C110" i="22"/>
  <c r="B110" i="22"/>
  <c r="A110" i="22"/>
  <c r="D109" i="22"/>
  <c r="C109" i="22"/>
  <c r="B109" i="22"/>
  <c r="A109" i="22"/>
  <c r="D108" i="22"/>
  <c r="C108" i="22"/>
  <c r="B108" i="22"/>
  <c r="A108" i="22"/>
  <c r="D107" i="22"/>
  <c r="C107" i="22"/>
  <c r="B107" i="22"/>
  <c r="A107" i="22"/>
  <c r="D106" i="22"/>
  <c r="C106" i="22"/>
  <c r="B106" i="22"/>
  <c r="A106" i="22"/>
  <c r="D105" i="22"/>
  <c r="C105" i="22"/>
  <c r="B105" i="22"/>
  <c r="A105" i="22"/>
  <c r="D104" i="22"/>
  <c r="C104" i="22"/>
  <c r="B104" i="22"/>
  <c r="A104" i="22"/>
  <c r="D103" i="22"/>
  <c r="C103" i="22"/>
  <c r="A103" i="22"/>
  <c r="F107" i="22" l="1"/>
  <c r="X107" i="22"/>
  <c r="T107" i="22"/>
  <c r="T109" i="22"/>
  <c r="X109" i="22"/>
  <c r="F111" i="22"/>
  <c r="X111" i="22"/>
  <c r="T111" i="22"/>
  <c r="T113" i="22"/>
  <c r="X113" i="22"/>
  <c r="T117" i="22"/>
  <c r="X117" i="22"/>
  <c r="F120" i="22"/>
  <c r="T120" i="22"/>
  <c r="X120" i="22"/>
  <c r="F122" i="22"/>
  <c r="X122" i="22"/>
  <c r="T122" i="22"/>
  <c r="F126" i="22"/>
  <c r="X126" i="22"/>
  <c r="T126" i="22"/>
  <c r="F128" i="22"/>
  <c r="T128" i="22"/>
  <c r="X128" i="22"/>
  <c r="F105" i="22"/>
  <c r="T105" i="22"/>
  <c r="X105" i="22"/>
  <c r="X103" i="22"/>
  <c r="T103" i="22"/>
  <c r="X104" i="22"/>
  <c r="T104" i="22"/>
  <c r="F106" i="22"/>
  <c r="T106" i="22"/>
  <c r="X106" i="22"/>
  <c r="F108" i="22"/>
  <c r="T108" i="22"/>
  <c r="X108" i="22"/>
  <c r="F110" i="22"/>
  <c r="T110" i="22"/>
  <c r="X110" i="22"/>
  <c r="F112" i="22"/>
  <c r="X112" i="22"/>
  <c r="T112" i="22"/>
  <c r="X114" i="22"/>
  <c r="T114" i="22"/>
  <c r="F118" i="22"/>
  <c r="X118" i="22"/>
  <c r="T118" i="22"/>
  <c r="F121" i="22"/>
  <c r="T121" i="22"/>
  <c r="X121" i="22"/>
  <c r="F125" i="22"/>
  <c r="T125" i="22"/>
  <c r="X125" i="22"/>
  <c r="F127" i="22"/>
  <c r="T127" i="22"/>
  <c r="X127" i="22"/>
  <c r="Y20" i="69"/>
  <c r="AB20" i="69" s="1"/>
  <c r="AC20" i="69" s="1"/>
  <c r="AD20" i="69" s="1"/>
  <c r="AG38" i="57"/>
  <c r="AG36" i="57"/>
  <c r="X36" i="57"/>
  <c r="M39" i="53"/>
  <c r="AC39" i="53" s="1"/>
  <c r="O39" i="53"/>
  <c r="AP23" i="69"/>
  <c r="N23" i="69"/>
  <c r="U23" i="69" s="1"/>
  <c r="AP22" i="69"/>
  <c r="N22" i="69"/>
  <c r="U22" i="69" s="1"/>
  <c r="Q37" i="57"/>
  <c r="T37" i="57" s="1"/>
  <c r="AQ37" i="57"/>
  <c r="R37" i="57"/>
  <c r="AD37" i="57"/>
  <c r="M38" i="57"/>
  <c r="AK38" i="57" s="1"/>
  <c r="N39" i="53"/>
  <c r="O21" i="69"/>
  <c r="AF20" i="69"/>
  <c r="AD19" i="69"/>
  <c r="AF19" i="69"/>
  <c r="AG19" i="69" s="1"/>
  <c r="AO18" i="69"/>
  <c r="AD17" i="69"/>
  <c r="AF17" i="69"/>
  <c r="AG17" i="69" s="1"/>
  <c r="AO15" i="69"/>
  <c r="AA35" i="57"/>
  <c r="AE35" i="57" s="1"/>
  <c r="AF35" i="57" s="1"/>
  <c r="O39" i="57"/>
  <c r="P39" i="57"/>
  <c r="AC35" i="57"/>
  <c r="AJ35" i="57" s="1"/>
  <c r="O37" i="57"/>
  <c r="AH34" i="53"/>
  <c r="AD37" i="53"/>
  <c r="R37" i="53"/>
  <c r="X37" i="53" s="1"/>
  <c r="AT37" i="53"/>
  <c r="Q37" i="53"/>
  <c r="O24" i="69"/>
  <c r="AO23" i="69"/>
  <c r="AE38" i="53"/>
  <c r="R38" i="53"/>
  <c r="X38" i="53" s="1"/>
  <c r="AO22" i="69"/>
  <c r="S103" i="22"/>
  <c r="E103" i="22"/>
  <c r="S105" i="22"/>
  <c r="E105" i="22"/>
  <c r="S107" i="22"/>
  <c r="E107" i="22"/>
  <c r="S111" i="22"/>
  <c r="E111" i="22"/>
  <c r="S113" i="22"/>
  <c r="E113" i="22"/>
  <c r="S117" i="22"/>
  <c r="E117" i="22"/>
  <c r="E120" i="22"/>
  <c r="S120" i="22"/>
  <c r="S130" i="22"/>
  <c r="E130" i="22"/>
  <c r="S104" i="22"/>
  <c r="E104" i="22"/>
  <c r="S106" i="22"/>
  <c r="E106" i="22"/>
  <c r="E108" i="22"/>
  <c r="S108" i="22"/>
  <c r="S110" i="22"/>
  <c r="E110" i="22"/>
  <c r="S112" i="22"/>
  <c r="E112" i="22"/>
  <c r="S114" i="22"/>
  <c r="E114" i="22"/>
  <c r="E118" i="22"/>
  <c r="S118" i="22"/>
  <c r="S121" i="22"/>
  <c r="E121" i="22"/>
  <c r="E125" i="22"/>
  <c r="S125" i="22"/>
  <c r="E127" i="22"/>
  <c r="S127" i="22"/>
  <c r="E109" i="22"/>
  <c r="S109" i="22"/>
  <c r="E122" i="22"/>
  <c r="S122" i="22"/>
  <c r="S126" i="22"/>
  <c r="E126" i="22"/>
  <c r="S128" i="22"/>
  <c r="E128" i="22"/>
  <c r="L39" i="57"/>
  <c r="AH38" i="53"/>
  <c r="AT38" i="53"/>
  <c r="AG38" i="53"/>
  <c r="N39" i="57"/>
  <c r="C39" i="53"/>
  <c r="AD38" i="53"/>
  <c r="Q38" i="53"/>
  <c r="F39" i="53"/>
  <c r="G39" i="53"/>
  <c r="K39" i="53"/>
  <c r="D39" i="53"/>
  <c r="H39" i="53"/>
  <c r="L39" i="53"/>
  <c r="AK38" i="52" a="1"/>
  <c r="AK38" i="52" s="1"/>
  <c r="B40" i="53" s="1"/>
  <c r="P39" i="53"/>
  <c r="J39" i="53"/>
  <c r="E39" i="53"/>
  <c r="I39" i="53"/>
  <c r="F39" i="57"/>
  <c r="K39" i="57"/>
  <c r="I39" i="57"/>
  <c r="C39" i="57"/>
  <c r="H39" i="57"/>
  <c r="D39" i="57"/>
  <c r="E39" i="57"/>
  <c r="G39" i="57"/>
  <c r="J39" i="57"/>
  <c r="AN38" i="55" a="1"/>
  <c r="AN38" i="55" s="1"/>
  <c r="B40" i="57" s="1"/>
  <c r="D22" i="69"/>
  <c r="E22" i="69" s="1"/>
  <c r="F22" i="69" s="1"/>
  <c r="G22" i="69" s="1"/>
  <c r="H22" i="69" s="1"/>
  <c r="I22" i="69" s="1"/>
  <c r="J22" i="69" s="1"/>
  <c r="K22" i="69" s="1"/>
  <c r="M22" i="69" s="1"/>
  <c r="AR24" i="67" a="1"/>
  <c r="AR24" i="67" s="1"/>
  <c r="B25" i="69"/>
  <c r="L25" i="69" s="1"/>
  <c r="D23" i="69"/>
  <c r="E23" i="69" s="1"/>
  <c r="F23" i="69" s="1"/>
  <c r="G23" i="69" s="1"/>
  <c r="H23" i="69" s="1"/>
  <c r="I23" i="69" s="1"/>
  <c r="J23" i="69" s="1"/>
  <c r="K23" i="69" s="1"/>
  <c r="M23" i="69" s="1"/>
  <c r="C24" i="69"/>
  <c r="P24" i="69" s="1"/>
  <c r="U108" i="22"/>
  <c r="W112" i="22"/>
  <c r="V112" i="22"/>
  <c r="U112" i="22"/>
  <c r="U110" i="22"/>
  <c r="W113" i="22"/>
  <c r="U113" i="22"/>
  <c r="V127" i="22"/>
  <c r="U127" i="22"/>
  <c r="U103" i="22"/>
  <c r="U105" i="22"/>
  <c r="V105" i="22"/>
  <c r="U107" i="22"/>
  <c r="V107" i="22"/>
  <c r="V109" i="22"/>
  <c r="U109" i="22"/>
  <c r="V111" i="22"/>
  <c r="U111" i="22"/>
  <c r="U114" i="22"/>
  <c r="U117" i="22"/>
  <c r="U120" i="22"/>
  <c r="U121" i="22"/>
  <c r="V126" i="22"/>
  <c r="U126" i="22"/>
  <c r="U128" i="22"/>
  <c r="U130" i="22"/>
  <c r="U106" i="22"/>
  <c r="V118" i="22"/>
  <c r="U118" i="22"/>
  <c r="V125" i="22"/>
  <c r="U125" i="22"/>
  <c r="U104" i="22"/>
  <c r="V122" i="22"/>
  <c r="U122" i="22"/>
  <c r="W118" i="22"/>
  <c r="W110" i="22"/>
  <c r="L110" i="22"/>
  <c r="W106" i="22"/>
  <c r="G108" i="22"/>
  <c r="L108" i="22"/>
  <c r="G106" i="22"/>
  <c r="G110" i="22"/>
  <c r="G118" i="22"/>
  <c r="L121" i="22"/>
  <c r="G126" i="22"/>
  <c r="W108" i="22"/>
  <c r="K105" i="22"/>
  <c r="K118" i="22"/>
  <c r="L120" i="22"/>
  <c r="G105" i="22"/>
  <c r="L105" i="22"/>
  <c r="K113" i="22"/>
  <c r="K112" i="22"/>
  <c r="K106" i="22"/>
  <c r="K108" i="22"/>
  <c r="K110" i="22"/>
  <c r="G112" i="22"/>
  <c r="L112" i="22"/>
  <c r="G113" i="22"/>
  <c r="I122" i="22"/>
  <c r="W103" i="22"/>
  <c r="G103" i="22"/>
  <c r="K103" i="22"/>
  <c r="W114" i="22"/>
  <c r="K114" i="22"/>
  <c r="G114" i="22"/>
  <c r="L111" i="22"/>
  <c r="L114" i="22"/>
  <c r="W117" i="22"/>
  <c r="K117" i="22"/>
  <c r="G117" i="22"/>
  <c r="W111" i="22"/>
  <c r="K111" i="22"/>
  <c r="G111" i="22"/>
  <c r="W125" i="22"/>
  <c r="K125" i="22"/>
  <c r="G125" i="22"/>
  <c r="L125" i="22"/>
  <c r="I125" i="22"/>
  <c r="W107" i="22"/>
  <c r="K107" i="22"/>
  <c r="G107" i="22"/>
  <c r="G104" i="22"/>
  <c r="K104" i="22"/>
  <c r="W104" i="22"/>
  <c r="W105" i="22"/>
  <c r="W109" i="22"/>
  <c r="K109" i="22"/>
  <c r="G109" i="22"/>
  <c r="I120" i="22"/>
  <c r="I121" i="22"/>
  <c r="L122" i="22"/>
  <c r="W122" i="22"/>
  <c r="K122" i="22"/>
  <c r="G122" i="22"/>
  <c r="I106" i="22"/>
  <c r="I108" i="22"/>
  <c r="I110" i="22"/>
  <c r="G120" i="22"/>
  <c r="K120" i="22"/>
  <c r="W120" i="22"/>
  <c r="G121" i="22"/>
  <c r="K121" i="22"/>
  <c r="W121" i="22"/>
  <c r="I126" i="22"/>
  <c r="G127" i="22"/>
  <c r="K127" i="22"/>
  <c r="W127" i="22"/>
  <c r="I128" i="22"/>
  <c r="G130" i="22"/>
  <c r="K130" i="22"/>
  <c r="W130" i="22"/>
  <c r="K126" i="22"/>
  <c r="W126" i="22"/>
  <c r="G128" i="22"/>
  <c r="K128" i="22"/>
  <c r="W128" i="22"/>
  <c r="I130" i="22"/>
  <c r="L126" i="22"/>
  <c r="L128" i="22"/>
  <c r="Y21" i="69" l="1"/>
  <c r="AB21" i="69" s="1"/>
  <c r="AC21" i="69" s="1"/>
  <c r="AG20" i="69"/>
  <c r="AG37" i="57"/>
  <c r="X37" i="57"/>
  <c r="AG39" i="57"/>
  <c r="AE38" i="57"/>
  <c r="M40" i="53"/>
  <c r="AC40" i="53" s="1"/>
  <c r="O40" i="53"/>
  <c r="AP24" i="69"/>
  <c r="N24" i="69"/>
  <c r="U24" i="69" s="1"/>
  <c r="AC38" i="57"/>
  <c r="Q38" i="57"/>
  <c r="T38" i="57" s="1"/>
  <c r="AD38" i="57"/>
  <c r="AQ38" i="57"/>
  <c r="AJ38" i="57"/>
  <c r="R38" i="57"/>
  <c r="M39" i="57"/>
  <c r="AK39" i="57" s="1"/>
  <c r="N40" i="53"/>
  <c r="AA37" i="53"/>
  <c r="AB37" i="53"/>
  <c r="AA38" i="53"/>
  <c r="AB38" i="53"/>
  <c r="AO20" i="69"/>
  <c r="AO19" i="69"/>
  <c r="AO17" i="69"/>
  <c r="AF22" i="69"/>
  <c r="Q22" i="69"/>
  <c r="AF23" i="69"/>
  <c r="Q23" i="69"/>
  <c r="O40" i="57"/>
  <c r="P40" i="57"/>
  <c r="AA36" i="57"/>
  <c r="AE36" i="57" s="1"/>
  <c r="AF36" i="57" s="1"/>
  <c r="AB36" i="57"/>
  <c r="AC36" i="57"/>
  <c r="AJ36" i="57" s="1"/>
  <c r="AG37" i="53"/>
  <c r="AE36" i="53"/>
  <c r="AF36" i="53" s="1"/>
  <c r="AE35" i="53"/>
  <c r="AF35" i="53" s="1"/>
  <c r="AO24" i="69"/>
  <c r="O25" i="69"/>
  <c r="AE39" i="53"/>
  <c r="AF38" i="53"/>
  <c r="R39" i="53"/>
  <c r="X39" i="53" s="1"/>
  <c r="AY22" i="69"/>
  <c r="AY23" i="69"/>
  <c r="L40" i="57"/>
  <c r="AH39" i="53"/>
  <c r="AT39" i="53"/>
  <c r="AG39" i="53"/>
  <c r="N40" i="57"/>
  <c r="H40" i="53"/>
  <c r="AH22" i="69"/>
  <c r="AH23" i="69"/>
  <c r="AD39" i="53"/>
  <c r="AK39" i="52" a="1"/>
  <c r="AK39" i="52" s="1"/>
  <c r="B41" i="53" s="1"/>
  <c r="G40" i="53"/>
  <c r="E40" i="53"/>
  <c r="D40" i="53"/>
  <c r="J40" i="53"/>
  <c r="F40" i="53"/>
  <c r="P40" i="53"/>
  <c r="Q39" i="53"/>
  <c r="K40" i="53"/>
  <c r="L40" i="53"/>
  <c r="I40" i="53"/>
  <c r="C40" i="53"/>
  <c r="K40" i="57"/>
  <c r="G40" i="57"/>
  <c r="E40" i="57"/>
  <c r="D40" i="57"/>
  <c r="C40" i="57"/>
  <c r="H40" i="57"/>
  <c r="I40" i="57"/>
  <c r="F40" i="57"/>
  <c r="J40" i="57"/>
  <c r="AN39" i="55" a="1"/>
  <c r="AN39" i="55" s="1"/>
  <c r="B41" i="57" s="1"/>
  <c r="AE22" i="69"/>
  <c r="R22" i="69"/>
  <c r="S22" i="69" s="1"/>
  <c r="D24" i="69"/>
  <c r="E24" i="69" s="1"/>
  <c r="F24" i="69" s="1"/>
  <c r="G24" i="69" s="1"/>
  <c r="H24" i="69" s="1"/>
  <c r="I24" i="69" s="1"/>
  <c r="J24" i="69" s="1"/>
  <c r="K24" i="69" s="1"/>
  <c r="M24" i="69" s="1"/>
  <c r="R23" i="69"/>
  <c r="S23" i="69" s="1"/>
  <c r="Y23" i="69" s="1"/>
  <c r="AE23" i="69"/>
  <c r="C25" i="69"/>
  <c r="P25" i="69" s="1"/>
  <c r="AR25" i="67" a="1"/>
  <c r="AR25" i="67" s="1"/>
  <c r="B26" i="69"/>
  <c r="L26" i="69" s="1"/>
  <c r="Y22" i="69" l="1"/>
  <c r="AB22" i="69" s="1"/>
  <c r="AC22" i="69" s="1"/>
  <c r="AD22" i="69" s="1"/>
  <c r="X38" i="57"/>
  <c r="AB38" i="57" s="1"/>
  <c r="AG40" i="57"/>
  <c r="M41" i="53"/>
  <c r="AC41" i="53" s="1"/>
  <c r="O41" i="53"/>
  <c r="AP25" i="69"/>
  <c r="N25" i="69"/>
  <c r="U25" i="69" s="1"/>
  <c r="AJ39" i="57"/>
  <c r="R39" i="57"/>
  <c r="AC39" i="57"/>
  <c r="Q39" i="57"/>
  <c r="T39" i="57" s="1"/>
  <c r="AD39" i="57"/>
  <c r="AQ39" i="57"/>
  <c r="AE39" i="57"/>
  <c r="M40" i="57"/>
  <c r="AK40" i="57" s="1"/>
  <c r="N41" i="53"/>
  <c r="AA39" i="53"/>
  <c r="AB39" i="53"/>
  <c r="AD21" i="69"/>
  <c r="AF21" i="69"/>
  <c r="AG21" i="69" s="1"/>
  <c r="AF24" i="69"/>
  <c r="Q24" i="69"/>
  <c r="O41" i="57"/>
  <c r="P41" i="57"/>
  <c r="AA37" i="57"/>
  <c r="AE37" i="57" s="1"/>
  <c r="AF37" i="57" s="1"/>
  <c r="AB37" i="57"/>
  <c r="AC37" i="57"/>
  <c r="AJ37" i="57" s="1"/>
  <c r="AH35" i="53"/>
  <c r="AH36" i="53"/>
  <c r="AE37" i="53"/>
  <c r="AF37" i="53" s="1"/>
  <c r="AH37" i="53"/>
  <c r="AB23" i="69"/>
  <c r="AG23" i="69"/>
  <c r="O26" i="69"/>
  <c r="AO25" i="69"/>
  <c r="AF39" i="53"/>
  <c r="AE40" i="53"/>
  <c r="R40" i="53"/>
  <c r="X40" i="53" s="1"/>
  <c r="AY24" i="69"/>
  <c r="L41" i="57"/>
  <c r="AG40" i="53"/>
  <c r="AH40" i="53"/>
  <c r="AT40" i="53"/>
  <c r="N41" i="57"/>
  <c r="I41" i="53"/>
  <c r="AH24" i="69"/>
  <c r="AD40" i="53"/>
  <c r="D41" i="53"/>
  <c r="K41" i="53"/>
  <c r="P41" i="53"/>
  <c r="J41" i="53"/>
  <c r="E41" i="53"/>
  <c r="L41" i="53"/>
  <c r="F41" i="53"/>
  <c r="G41" i="53"/>
  <c r="Q40" i="53"/>
  <c r="AK40" i="52" a="1"/>
  <c r="AK40" i="52" s="1"/>
  <c r="B42" i="53" s="1"/>
  <c r="H41" i="53"/>
  <c r="C41" i="53"/>
  <c r="K41" i="57"/>
  <c r="J41" i="57"/>
  <c r="E41" i="57"/>
  <c r="C41" i="57"/>
  <c r="I41" i="57"/>
  <c r="H41" i="57"/>
  <c r="D41" i="57"/>
  <c r="G41" i="57"/>
  <c r="F41" i="57"/>
  <c r="AN40" i="55" a="1"/>
  <c r="AN40" i="55" s="1"/>
  <c r="B42" i="57" s="1"/>
  <c r="AR26" i="67" a="1"/>
  <c r="AR26" i="67" s="1"/>
  <c r="B27" i="69"/>
  <c r="L27" i="69" s="1"/>
  <c r="D25" i="69"/>
  <c r="E25" i="69" s="1"/>
  <c r="F25" i="69" s="1"/>
  <c r="G25" i="69" s="1"/>
  <c r="H25" i="69" s="1"/>
  <c r="I25" i="69" s="1"/>
  <c r="J25" i="69" s="1"/>
  <c r="K25" i="69" s="1"/>
  <c r="M25" i="69" s="1"/>
  <c r="AE24" i="69"/>
  <c r="R24" i="69"/>
  <c r="S24" i="69" s="1"/>
  <c r="Y24" i="69" s="1"/>
  <c r="C26" i="69"/>
  <c r="P26" i="69" s="1"/>
  <c r="AG22" i="69" l="1"/>
  <c r="AB24" i="69"/>
  <c r="AC24" i="69" s="1"/>
  <c r="AD24" i="69" s="1"/>
  <c r="X39" i="57"/>
  <c r="AA39" i="57" s="1"/>
  <c r="AG41" i="57"/>
  <c r="M42" i="53"/>
  <c r="AC42" i="53" s="1"/>
  <c r="O42" i="53"/>
  <c r="AP26" i="69"/>
  <c r="N26" i="69"/>
  <c r="U26" i="69" s="1"/>
  <c r="AF38" i="57"/>
  <c r="AA38" i="57"/>
  <c r="AQ40" i="57"/>
  <c r="AD40" i="57"/>
  <c r="AJ40" i="57"/>
  <c r="R40" i="57"/>
  <c r="AE40" i="57"/>
  <c r="Q40" i="57"/>
  <c r="T40" i="57" s="1"/>
  <c r="AC40" i="57"/>
  <c r="M41" i="57"/>
  <c r="AK41" i="57" s="1"/>
  <c r="N42" i="53"/>
  <c r="AA40" i="53"/>
  <c r="AB40" i="53"/>
  <c r="AO21" i="69"/>
  <c r="AF25" i="69"/>
  <c r="Q25" i="69"/>
  <c r="O42" i="57"/>
  <c r="P42" i="57"/>
  <c r="AC23" i="69"/>
  <c r="AD23" i="69" s="1"/>
  <c r="O27" i="69"/>
  <c r="AG24" i="69"/>
  <c r="AO26" i="69"/>
  <c r="AE41" i="53"/>
  <c r="AF40" i="53"/>
  <c r="R41" i="53"/>
  <c r="X41" i="53" s="1"/>
  <c r="AY25" i="69"/>
  <c r="L42" i="57"/>
  <c r="AG41" i="53"/>
  <c r="AH41" i="53"/>
  <c r="AT41" i="53"/>
  <c r="N42" i="57"/>
  <c r="D42" i="53"/>
  <c r="AH25" i="69"/>
  <c r="AD41" i="53"/>
  <c r="K42" i="53"/>
  <c r="L42" i="53"/>
  <c r="H42" i="53"/>
  <c r="J42" i="53"/>
  <c r="P42" i="53"/>
  <c r="Q41" i="53"/>
  <c r="C42" i="53"/>
  <c r="G42" i="53"/>
  <c r="F42" i="53"/>
  <c r="AK41" i="52" a="1"/>
  <c r="AK41" i="52" s="1"/>
  <c r="B43" i="53" s="1"/>
  <c r="I42" i="53"/>
  <c r="E42" i="53"/>
  <c r="I42" i="57"/>
  <c r="E42" i="57"/>
  <c r="D42" i="57"/>
  <c r="C42" i="57"/>
  <c r="K42" i="57"/>
  <c r="H42" i="57"/>
  <c r="G42" i="57"/>
  <c r="F42" i="57"/>
  <c r="J42" i="57"/>
  <c r="AN41" i="55" a="1"/>
  <c r="AN41" i="55" s="1"/>
  <c r="B43" i="57" s="1"/>
  <c r="AR27" i="67" a="1"/>
  <c r="AR27" i="67" s="1"/>
  <c r="B28" i="69"/>
  <c r="L28" i="69" s="1"/>
  <c r="R25" i="69"/>
  <c r="S25" i="69" s="1"/>
  <c r="Y25" i="69" s="1"/>
  <c r="AE25" i="69"/>
  <c r="D26" i="69"/>
  <c r="E26" i="69" s="1"/>
  <c r="F26" i="69" s="1"/>
  <c r="G26" i="69" s="1"/>
  <c r="H26" i="69" s="1"/>
  <c r="I26" i="69" s="1"/>
  <c r="J26" i="69" s="1"/>
  <c r="K26" i="69" s="1"/>
  <c r="M26" i="69" s="1"/>
  <c r="C27" i="69"/>
  <c r="P27" i="69" s="1"/>
  <c r="X40" i="57" l="1"/>
  <c r="AB40" i="57" s="1"/>
  <c r="AG42" i="57"/>
  <c r="M43" i="53"/>
  <c r="AC43" i="53" s="1"/>
  <c r="O43" i="53"/>
  <c r="AP27" i="69"/>
  <c r="N27" i="69"/>
  <c r="U27" i="69" s="1"/>
  <c r="AF39" i="57"/>
  <c r="AB39" i="57"/>
  <c r="AJ41" i="57"/>
  <c r="R41" i="57"/>
  <c r="AD41" i="57"/>
  <c r="AE41" i="57"/>
  <c r="Q41" i="57"/>
  <c r="T41" i="57" s="1"/>
  <c r="AC41" i="57"/>
  <c r="AQ41" i="57"/>
  <c r="M42" i="57"/>
  <c r="AK42" i="57" s="1"/>
  <c r="N43" i="53"/>
  <c r="AA41" i="53"/>
  <c r="AB41" i="53"/>
  <c r="AF26" i="69"/>
  <c r="Q26" i="69"/>
  <c r="O43" i="57"/>
  <c r="P43" i="57"/>
  <c r="AB25" i="69"/>
  <c r="AG25" i="69"/>
  <c r="O28" i="69"/>
  <c r="AO27" i="69"/>
  <c r="AE42" i="53"/>
  <c r="AF41" i="53"/>
  <c r="R42" i="53"/>
  <c r="X42" i="53" s="1"/>
  <c r="AY26" i="69"/>
  <c r="L43" i="57"/>
  <c r="AH42" i="53"/>
  <c r="AT42" i="53"/>
  <c r="AG42" i="53"/>
  <c r="N43" i="57"/>
  <c r="L43" i="53"/>
  <c r="AH26" i="69"/>
  <c r="AD42" i="53"/>
  <c r="Q42" i="53"/>
  <c r="P43" i="53"/>
  <c r="K43" i="53"/>
  <c r="F43" i="53"/>
  <c r="E43" i="53"/>
  <c r="I43" i="53"/>
  <c r="C43" i="53"/>
  <c r="J43" i="53"/>
  <c r="G43" i="53"/>
  <c r="AK42" i="52" a="1"/>
  <c r="AK42" i="52" s="1"/>
  <c r="B44" i="53" s="1"/>
  <c r="D43" i="53"/>
  <c r="H43" i="53"/>
  <c r="K43" i="57"/>
  <c r="F43" i="57"/>
  <c r="E43" i="57"/>
  <c r="C43" i="57"/>
  <c r="J43" i="57"/>
  <c r="I43" i="57"/>
  <c r="H43" i="57"/>
  <c r="D43" i="57"/>
  <c r="G43" i="57"/>
  <c r="AN42" i="55" a="1"/>
  <c r="AN42" i="55" s="1"/>
  <c r="B44" i="57" s="1"/>
  <c r="D27" i="69"/>
  <c r="E27" i="69" s="1"/>
  <c r="F27" i="69" s="1"/>
  <c r="G27" i="69" s="1"/>
  <c r="H27" i="69" s="1"/>
  <c r="I27" i="69" s="1"/>
  <c r="J27" i="69" s="1"/>
  <c r="K27" i="69" s="1"/>
  <c r="M27" i="69" s="1"/>
  <c r="AE26" i="69"/>
  <c r="R26" i="69"/>
  <c r="S26" i="69" s="1"/>
  <c r="Y26" i="69" s="1"/>
  <c r="C28" i="69"/>
  <c r="P28" i="69" s="1"/>
  <c r="AR28" i="67" a="1"/>
  <c r="AR28" i="67" s="1"/>
  <c r="B29" i="69"/>
  <c r="L29" i="69" s="1"/>
  <c r="AG43" i="57" l="1"/>
  <c r="X41" i="57"/>
  <c r="AA41" i="57" s="1"/>
  <c r="M44" i="53"/>
  <c r="AC44" i="53" s="1"/>
  <c r="O44" i="53"/>
  <c r="AP28" i="69"/>
  <c r="N28" i="69"/>
  <c r="U28" i="69" s="1"/>
  <c r="AF40" i="57"/>
  <c r="AA40" i="57"/>
  <c r="Q42" i="57"/>
  <c r="T42" i="57" s="1"/>
  <c r="AQ42" i="57"/>
  <c r="AC42" i="57"/>
  <c r="AE42" i="57"/>
  <c r="AD42" i="57"/>
  <c r="AJ42" i="57"/>
  <c r="R42" i="57"/>
  <c r="M43" i="57"/>
  <c r="AE43" i="57" s="1"/>
  <c r="N44" i="53"/>
  <c r="AA42" i="53"/>
  <c r="AB42" i="53"/>
  <c r="AF27" i="69"/>
  <c r="Q27" i="69"/>
  <c r="O44" i="57"/>
  <c r="P44" i="57"/>
  <c r="AC25" i="69"/>
  <c r="AD25" i="69" s="1"/>
  <c r="AB26" i="69"/>
  <c r="AG26" i="69"/>
  <c r="AO28" i="69"/>
  <c r="O29" i="69"/>
  <c r="AF42" i="53"/>
  <c r="AE43" i="53"/>
  <c r="R43" i="53"/>
  <c r="X43" i="53" s="1"/>
  <c r="AY27" i="69"/>
  <c r="L44" i="57"/>
  <c r="AG43" i="53"/>
  <c r="AH43" i="53"/>
  <c r="AT43" i="53"/>
  <c r="N44" i="57"/>
  <c r="E44" i="53"/>
  <c r="AH27" i="69"/>
  <c r="Q43" i="53"/>
  <c r="AD43" i="53"/>
  <c r="AK43" i="52" a="1"/>
  <c r="AK43" i="52" s="1"/>
  <c r="B45" i="53" s="1"/>
  <c r="H44" i="53"/>
  <c r="D44" i="53"/>
  <c r="P44" i="53"/>
  <c r="F44" i="53"/>
  <c r="K44" i="53"/>
  <c r="I44" i="53"/>
  <c r="J44" i="53"/>
  <c r="C44" i="53"/>
  <c r="G44" i="53"/>
  <c r="L44" i="53"/>
  <c r="H44" i="57"/>
  <c r="G44" i="57"/>
  <c r="E44" i="57"/>
  <c r="D44" i="57"/>
  <c r="C44" i="57"/>
  <c r="K44" i="57"/>
  <c r="I44" i="57"/>
  <c r="F44" i="57"/>
  <c r="J44" i="57"/>
  <c r="AN43" i="55" a="1"/>
  <c r="AN43" i="55" s="1"/>
  <c r="B45" i="57" s="1"/>
  <c r="AR29" i="67" a="1"/>
  <c r="AR29" i="67" s="1"/>
  <c r="B30" i="69"/>
  <c r="L30" i="69" s="1"/>
  <c r="C29" i="69"/>
  <c r="P29" i="69" s="1"/>
  <c r="D28" i="69"/>
  <c r="E28" i="69" s="1"/>
  <c r="F28" i="69" s="1"/>
  <c r="G28" i="69" s="1"/>
  <c r="H28" i="69" s="1"/>
  <c r="I28" i="69" s="1"/>
  <c r="J28" i="69" s="1"/>
  <c r="K28" i="69" s="1"/>
  <c r="M28" i="69" s="1"/>
  <c r="AE27" i="69"/>
  <c r="R27" i="69"/>
  <c r="S27" i="69" s="1"/>
  <c r="C41" i="33"/>
  <c r="Y27" i="69" l="1"/>
  <c r="AB27" i="69" s="1"/>
  <c r="AC27" i="69" s="1"/>
  <c r="AD27" i="69" s="1"/>
  <c r="X42" i="57"/>
  <c r="AB42" i="57" s="1"/>
  <c r="AG44" i="57"/>
  <c r="M45" i="53"/>
  <c r="AC45" i="53" s="1"/>
  <c r="O45" i="53"/>
  <c r="AP29" i="69"/>
  <c r="N29" i="69"/>
  <c r="U29" i="69" s="1"/>
  <c r="AF41" i="57"/>
  <c r="AQ43" i="57"/>
  <c r="AB41" i="57"/>
  <c r="M44" i="57"/>
  <c r="AK44" i="57" s="1"/>
  <c r="AD43" i="57"/>
  <c r="AJ43" i="57"/>
  <c r="AK43" i="57"/>
  <c r="Q43" i="57"/>
  <c r="T43" i="57" s="1"/>
  <c r="AC43" i="57"/>
  <c r="R43" i="57"/>
  <c r="N45" i="53"/>
  <c r="AA43" i="53"/>
  <c r="AB43" i="53"/>
  <c r="AF28" i="69"/>
  <c r="Q28" i="69"/>
  <c r="O45" i="57"/>
  <c r="P45" i="57"/>
  <c r="AC26" i="69"/>
  <c r="AD26" i="69" s="1"/>
  <c r="O30" i="69"/>
  <c r="AO29" i="69"/>
  <c r="AE44" i="53"/>
  <c r="AF43" i="53"/>
  <c r="R44" i="53"/>
  <c r="X44" i="53" s="1"/>
  <c r="AY28" i="69"/>
  <c r="L45" i="57"/>
  <c r="AH44" i="53"/>
  <c r="AT44" i="53"/>
  <c r="AG44" i="53"/>
  <c r="N45" i="57"/>
  <c r="AH28" i="69"/>
  <c r="Q44" i="53"/>
  <c r="AD44" i="53"/>
  <c r="AK44" i="52" a="1"/>
  <c r="AK44" i="52" s="1"/>
  <c r="B46" i="53" s="1"/>
  <c r="L45" i="53"/>
  <c r="C45" i="53"/>
  <c r="I45" i="53"/>
  <c r="F45" i="53"/>
  <c r="K45" i="53"/>
  <c r="J45" i="53"/>
  <c r="D45" i="53"/>
  <c r="G45" i="53"/>
  <c r="P45" i="53"/>
  <c r="H45" i="53"/>
  <c r="E45" i="53"/>
  <c r="C45" i="57"/>
  <c r="J45" i="57"/>
  <c r="F45" i="57"/>
  <c r="I45" i="57"/>
  <c r="K45" i="57"/>
  <c r="H45" i="57"/>
  <c r="D45" i="57"/>
  <c r="G45" i="57"/>
  <c r="E45" i="57"/>
  <c r="AN44" i="55" a="1"/>
  <c r="AN44" i="55" s="1"/>
  <c r="B46" i="57" s="1"/>
  <c r="D29" i="69"/>
  <c r="E29" i="69" s="1"/>
  <c r="F29" i="69" s="1"/>
  <c r="G29" i="69" s="1"/>
  <c r="H29" i="69" s="1"/>
  <c r="I29" i="69" s="1"/>
  <c r="J29" i="69" s="1"/>
  <c r="K29" i="69" s="1"/>
  <c r="M29" i="69" s="1"/>
  <c r="AE28" i="69"/>
  <c r="R28" i="69"/>
  <c r="S28" i="69" s="1"/>
  <c r="Y28" i="69" s="1"/>
  <c r="C30" i="69"/>
  <c r="P30" i="69" s="1"/>
  <c r="AR30" i="67" a="1"/>
  <c r="AR30" i="67" s="1"/>
  <c r="B31" i="69"/>
  <c r="L31" i="69" s="1"/>
  <c r="B2" i="73"/>
  <c r="B2" i="36"/>
  <c r="AG27" i="69" l="1"/>
  <c r="X43" i="57"/>
  <c r="AB43" i="57" s="1"/>
  <c r="AG45" i="57"/>
  <c r="M46" i="53"/>
  <c r="AC46" i="53" s="1"/>
  <c r="O46" i="53"/>
  <c r="AP30" i="69"/>
  <c r="N30" i="69"/>
  <c r="U30" i="69" s="1"/>
  <c r="AQ44" i="57"/>
  <c r="Q44" i="57"/>
  <c r="T44" i="57" s="1"/>
  <c r="AD44" i="57"/>
  <c r="AA42" i="57"/>
  <c r="AF42" i="57"/>
  <c r="AJ44" i="57"/>
  <c r="R44" i="57"/>
  <c r="AE44" i="57"/>
  <c r="AC44" i="57"/>
  <c r="M45" i="57"/>
  <c r="AK45" i="57" s="1"/>
  <c r="N46" i="53"/>
  <c r="AA44" i="53"/>
  <c r="AB44" i="53"/>
  <c r="AF29" i="69"/>
  <c r="Q29" i="69"/>
  <c r="O46" i="57"/>
  <c r="P46" i="57"/>
  <c r="AB28" i="69"/>
  <c r="AG28" i="69"/>
  <c r="AO30" i="69"/>
  <c r="O31" i="69"/>
  <c r="AF44" i="53"/>
  <c r="AE45" i="53"/>
  <c r="R45" i="53"/>
  <c r="X45" i="53" s="1"/>
  <c r="AY29" i="69"/>
  <c r="L46" i="57"/>
  <c r="AG45" i="53"/>
  <c r="AD45" i="53"/>
  <c r="AH45" i="53"/>
  <c r="AT45" i="53"/>
  <c r="N46" i="57"/>
  <c r="Q45" i="53"/>
  <c r="H46" i="53"/>
  <c r="AH29" i="69"/>
  <c r="AK45" i="52" a="1"/>
  <c r="AK45" i="52" s="1"/>
  <c r="B47" i="53" s="1"/>
  <c r="K46" i="53"/>
  <c r="G46" i="53"/>
  <c r="D46" i="53"/>
  <c r="E46" i="53"/>
  <c r="J46" i="53"/>
  <c r="C46" i="53"/>
  <c r="P46" i="53"/>
  <c r="F46" i="53"/>
  <c r="I46" i="53"/>
  <c r="L46" i="53"/>
  <c r="D46" i="57"/>
  <c r="K46" i="57"/>
  <c r="I46" i="57"/>
  <c r="H46" i="57"/>
  <c r="G46" i="57"/>
  <c r="E46" i="57"/>
  <c r="C46" i="57"/>
  <c r="F46" i="57"/>
  <c r="J46" i="57"/>
  <c r="AN45" i="55" a="1"/>
  <c r="AN45" i="55" s="1"/>
  <c r="B47" i="57" s="1"/>
  <c r="AR31" i="67" a="1"/>
  <c r="AR31" i="67" s="1"/>
  <c r="B32" i="69"/>
  <c r="L32" i="69" s="1"/>
  <c r="R29" i="69"/>
  <c r="S29" i="69" s="1"/>
  <c r="Y29" i="69" s="1"/>
  <c r="AE29" i="69"/>
  <c r="D30" i="69"/>
  <c r="E30" i="69" s="1"/>
  <c r="F30" i="69" s="1"/>
  <c r="G30" i="69" s="1"/>
  <c r="H30" i="69" s="1"/>
  <c r="I30" i="69" s="1"/>
  <c r="J30" i="69" s="1"/>
  <c r="K30" i="69" s="1"/>
  <c r="M30" i="69" s="1"/>
  <c r="C31" i="69"/>
  <c r="P31" i="69" s="1"/>
  <c r="X44" i="57" l="1"/>
  <c r="AB44" i="57" s="1"/>
  <c r="AG46" i="57"/>
  <c r="M47" i="53"/>
  <c r="AC47" i="53" s="1"/>
  <c r="O47" i="53"/>
  <c r="AP31" i="69"/>
  <c r="N31" i="69"/>
  <c r="U31" i="69" s="1"/>
  <c r="AQ45" i="57"/>
  <c r="Q45" i="57"/>
  <c r="T45" i="57" s="1"/>
  <c r="AC45" i="57"/>
  <c r="AJ45" i="57"/>
  <c r="R45" i="57"/>
  <c r="AD45" i="57"/>
  <c r="AE45" i="57"/>
  <c r="AA43" i="57"/>
  <c r="AF43" i="57"/>
  <c r="M46" i="57"/>
  <c r="AK46" i="57" s="1"/>
  <c r="N47" i="53"/>
  <c r="AA45" i="53"/>
  <c r="AB45" i="53"/>
  <c r="AF30" i="69"/>
  <c r="Q30" i="69"/>
  <c r="O47" i="57"/>
  <c r="P47" i="57"/>
  <c r="AC28" i="69"/>
  <c r="AD28" i="69" s="1"/>
  <c r="AB29" i="69"/>
  <c r="AG29" i="69"/>
  <c r="AO31" i="69"/>
  <c r="O32" i="69"/>
  <c r="AE46" i="53"/>
  <c r="AF45" i="53"/>
  <c r="R46" i="53"/>
  <c r="X46" i="53" s="1"/>
  <c r="AY30" i="69"/>
  <c r="L47" i="57"/>
  <c r="AH46" i="53"/>
  <c r="AT46" i="53"/>
  <c r="AG46" i="53"/>
  <c r="N47" i="57"/>
  <c r="K47" i="53"/>
  <c r="AH30" i="69"/>
  <c r="AD46" i="53"/>
  <c r="Q46" i="53"/>
  <c r="J47" i="53"/>
  <c r="C47" i="53"/>
  <c r="G47" i="53"/>
  <c r="D47" i="53"/>
  <c r="H47" i="53"/>
  <c r="E47" i="53"/>
  <c r="I47" i="53"/>
  <c r="AK46" i="52" a="1"/>
  <c r="AK46" i="52" s="1"/>
  <c r="B48" i="53" s="1"/>
  <c r="L47" i="53"/>
  <c r="F47" i="53"/>
  <c r="P47" i="53"/>
  <c r="F47" i="57"/>
  <c r="K47" i="57"/>
  <c r="I47" i="57"/>
  <c r="C47" i="57"/>
  <c r="E47" i="57"/>
  <c r="J47" i="57"/>
  <c r="H47" i="57"/>
  <c r="D47" i="57"/>
  <c r="G47" i="57"/>
  <c r="AN46" i="55" a="1"/>
  <c r="AN46" i="55" s="1"/>
  <c r="B48" i="57" s="1"/>
  <c r="AR32" i="67" a="1"/>
  <c r="AR32" i="67" s="1"/>
  <c r="B33" i="69"/>
  <c r="L33" i="69" s="1"/>
  <c r="C32" i="69"/>
  <c r="P32" i="69" s="1"/>
  <c r="R30" i="69"/>
  <c r="S30" i="69" s="1"/>
  <c r="AE30" i="69"/>
  <c r="D31" i="69"/>
  <c r="E31" i="69" s="1"/>
  <c r="F31" i="69" s="1"/>
  <c r="G31" i="69" s="1"/>
  <c r="H31" i="69" s="1"/>
  <c r="I31" i="69" s="1"/>
  <c r="J31" i="69" s="1"/>
  <c r="K31" i="69" s="1"/>
  <c r="M31" i="69" s="1"/>
  <c r="H4" i="32"/>
  <c r="Y30" i="69" l="1"/>
  <c r="AB30" i="69" s="1"/>
  <c r="AC30" i="69" s="1"/>
  <c r="AD30" i="69" s="1"/>
  <c r="X45" i="57"/>
  <c r="AB45" i="57" s="1"/>
  <c r="AG47" i="57"/>
  <c r="M48" i="53"/>
  <c r="AC48" i="53" s="1"/>
  <c r="O48" i="53"/>
  <c r="AP32" i="69"/>
  <c r="N32" i="69"/>
  <c r="U32" i="69" s="1"/>
  <c r="AF44" i="57"/>
  <c r="AA44" i="57"/>
  <c r="AE46" i="57"/>
  <c r="AD46" i="57"/>
  <c r="AJ46" i="57"/>
  <c r="R46" i="57"/>
  <c r="Q46" i="57"/>
  <c r="T46" i="57" s="1"/>
  <c r="AC46" i="57"/>
  <c r="AQ46" i="57"/>
  <c r="M47" i="57"/>
  <c r="AK47" i="57" s="1"/>
  <c r="N48" i="53"/>
  <c r="AA46" i="53"/>
  <c r="AB46" i="53"/>
  <c r="AF31" i="69"/>
  <c r="Q31" i="69"/>
  <c r="O48" i="57"/>
  <c r="P48" i="57"/>
  <c r="AC29" i="69"/>
  <c r="AD29" i="69" s="1"/>
  <c r="AO32" i="69"/>
  <c r="O33" i="69"/>
  <c r="AF46" i="53"/>
  <c r="AE47" i="53"/>
  <c r="R47" i="53"/>
  <c r="X47" i="53" s="1"/>
  <c r="AY31" i="69"/>
  <c r="L48" i="57"/>
  <c r="AG47" i="53"/>
  <c r="AH47" i="53"/>
  <c r="AT47" i="53"/>
  <c r="N48" i="57"/>
  <c r="AH31" i="69"/>
  <c r="AD47" i="53"/>
  <c r="AK47" i="52" a="1"/>
  <c r="AK47" i="52" s="1"/>
  <c r="B49" i="53" s="1"/>
  <c r="F48" i="53"/>
  <c r="C48" i="53"/>
  <c r="P48" i="53"/>
  <c r="Q47" i="53"/>
  <c r="L48" i="53"/>
  <c r="J48" i="53"/>
  <c r="K48" i="53"/>
  <c r="H48" i="53"/>
  <c r="G48" i="53"/>
  <c r="I48" i="53"/>
  <c r="D48" i="53"/>
  <c r="E48" i="53"/>
  <c r="K48" i="57"/>
  <c r="G48" i="57"/>
  <c r="E48" i="57"/>
  <c r="D48" i="57"/>
  <c r="C48" i="57"/>
  <c r="I48" i="57"/>
  <c r="H48" i="57"/>
  <c r="F48" i="57"/>
  <c r="J48" i="57"/>
  <c r="AN47" i="55" a="1"/>
  <c r="AN47" i="55" s="1"/>
  <c r="B49" i="57" s="1"/>
  <c r="AR33" i="67" a="1"/>
  <c r="AR33" i="67" s="1"/>
  <c r="B34" i="69"/>
  <c r="L34" i="69" s="1"/>
  <c r="D32" i="69"/>
  <c r="E32" i="69" s="1"/>
  <c r="F32" i="69" s="1"/>
  <c r="G32" i="69" s="1"/>
  <c r="H32" i="69" s="1"/>
  <c r="I32" i="69" s="1"/>
  <c r="J32" i="69" s="1"/>
  <c r="K32" i="69" s="1"/>
  <c r="M32" i="69" s="1"/>
  <c r="AE31" i="69"/>
  <c r="R31" i="69"/>
  <c r="S31" i="69" s="1"/>
  <c r="Y31" i="69" s="1"/>
  <c r="C33" i="69"/>
  <c r="P33" i="69" s="1"/>
  <c r="AG30" i="69" l="1"/>
  <c r="X46" i="57"/>
  <c r="AB46" i="57" s="1"/>
  <c r="AG48" i="57"/>
  <c r="M49" i="53"/>
  <c r="AC49" i="53" s="1"/>
  <c r="O49" i="53"/>
  <c r="AP33" i="69"/>
  <c r="N33" i="69"/>
  <c r="U33" i="69" s="1"/>
  <c r="AF45" i="57"/>
  <c r="AA45" i="57"/>
  <c r="AJ47" i="57"/>
  <c r="R47" i="57"/>
  <c r="AC47" i="57"/>
  <c r="Q47" i="57"/>
  <c r="T47" i="57" s="1"/>
  <c r="AD47" i="57"/>
  <c r="AE47" i="57"/>
  <c r="AQ47" i="57"/>
  <c r="M48" i="57"/>
  <c r="AK48" i="57" s="1"/>
  <c r="N49" i="53"/>
  <c r="AA47" i="53"/>
  <c r="AB47" i="53"/>
  <c r="AF32" i="69"/>
  <c r="Q32" i="69"/>
  <c r="O49" i="57"/>
  <c r="P49" i="57"/>
  <c r="AB31" i="69"/>
  <c r="AG31" i="69"/>
  <c r="AO33" i="69"/>
  <c r="O34" i="69"/>
  <c r="AF47" i="53"/>
  <c r="AE48" i="53"/>
  <c r="R48" i="53"/>
  <c r="X48" i="53" s="1"/>
  <c r="AY32" i="69"/>
  <c r="L49" i="57"/>
  <c r="AG48" i="53"/>
  <c r="AH48" i="53"/>
  <c r="AT48" i="53"/>
  <c r="N49" i="57"/>
  <c r="AH32" i="69"/>
  <c r="AD48" i="53"/>
  <c r="Q48" i="53"/>
  <c r="F49" i="53"/>
  <c r="H49" i="53"/>
  <c r="I49" i="53"/>
  <c r="C49" i="53"/>
  <c r="D49" i="53"/>
  <c r="K49" i="53"/>
  <c r="P49" i="53"/>
  <c r="E49" i="53"/>
  <c r="AK48" i="52" a="1"/>
  <c r="AK48" i="52" s="1"/>
  <c r="B50" i="53" s="1"/>
  <c r="J49" i="53"/>
  <c r="L49" i="53"/>
  <c r="G49" i="53"/>
  <c r="E49" i="57"/>
  <c r="G49" i="57"/>
  <c r="F49" i="57"/>
  <c r="I49" i="57"/>
  <c r="H49" i="57"/>
  <c r="D49" i="57"/>
  <c r="C49" i="57"/>
  <c r="K49" i="57"/>
  <c r="J49" i="57"/>
  <c r="AN48" i="55" a="1"/>
  <c r="AN48" i="55" s="1"/>
  <c r="B50" i="57" s="1"/>
  <c r="AE32" i="69"/>
  <c r="R32" i="69"/>
  <c r="S32" i="69" s="1"/>
  <c r="Y32" i="69" s="1"/>
  <c r="D33" i="69"/>
  <c r="E33" i="69" s="1"/>
  <c r="F33" i="69" s="1"/>
  <c r="G33" i="69" s="1"/>
  <c r="H33" i="69" s="1"/>
  <c r="I33" i="69" s="1"/>
  <c r="J33" i="69" s="1"/>
  <c r="K33" i="69" s="1"/>
  <c r="M33" i="69" s="1"/>
  <c r="C34" i="69"/>
  <c r="P34" i="69" s="1"/>
  <c r="AR34" i="67" a="1"/>
  <c r="AR34" i="67" s="1"/>
  <c r="B35" i="69"/>
  <c r="L35" i="69" s="1"/>
  <c r="D3" i="71"/>
  <c r="X47" i="57" l="1"/>
  <c r="AB47" i="57" s="1"/>
  <c r="AG49" i="57"/>
  <c r="AF46" i="57"/>
  <c r="AA46" i="57"/>
  <c r="M50" i="53"/>
  <c r="AC50" i="53" s="1"/>
  <c r="O50" i="53"/>
  <c r="AP34" i="69"/>
  <c r="N34" i="69"/>
  <c r="U34" i="69" s="1"/>
  <c r="AD48" i="57"/>
  <c r="AQ48" i="57"/>
  <c r="AE48" i="57"/>
  <c r="Q48" i="57"/>
  <c r="T48" i="57" s="1"/>
  <c r="AC48" i="57"/>
  <c r="AJ48" i="57"/>
  <c r="R48" i="57"/>
  <c r="M49" i="57"/>
  <c r="AK49" i="57" s="1"/>
  <c r="N50" i="53"/>
  <c r="AA48" i="53"/>
  <c r="AB48" i="53"/>
  <c r="AF33" i="69"/>
  <c r="Q33" i="69"/>
  <c r="O50" i="57"/>
  <c r="P50" i="57"/>
  <c r="AC31" i="69"/>
  <c r="AD31" i="69" s="1"/>
  <c r="AB32" i="69"/>
  <c r="AG32" i="69"/>
  <c r="AO34" i="69"/>
  <c r="O35" i="69"/>
  <c r="AF48" i="53"/>
  <c r="AE49" i="53"/>
  <c r="R49" i="53"/>
  <c r="X49" i="53" s="1"/>
  <c r="AY33" i="69"/>
  <c r="L50" i="57"/>
  <c r="AH49" i="53"/>
  <c r="AT49" i="53"/>
  <c r="AG49" i="53"/>
  <c r="N50" i="57"/>
  <c r="H50" i="53"/>
  <c r="AH33" i="69"/>
  <c r="Q49" i="53"/>
  <c r="AD49" i="53"/>
  <c r="F50" i="53"/>
  <c r="K50" i="53"/>
  <c r="P50" i="53"/>
  <c r="L50" i="53"/>
  <c r="C50" i="53"/>
  <c r="E50" i="53"/>
  <c r="J50" i="53"/>
  <c r="AK49" i="52" a="1"/>
  <c r="AK49" i="52" s="1"/>
  <c r="B51" i="53" s="1"/>
  <c r="G50" i="53"/>
  <c r="I50" i="53"/>
  <c r="D50" i="53"/>
  <c r="H50" i="57"/>
  <c r="G50" i="57"/>
  <c r="E50" i="57"/>
  <c r="D50" i="57"/>
  <c r="C50" i="57"/>
  <c r="K50" i="57"/>
  <c r="I50" i="57"/>
  <c r="F50" i="57"/>
  <c r="J50" i="57"/>
  <c r="AN49" i="55" a="1"/>
  <c r="AN49" i="55" s="1"/>
  <c r="B51" i="57" s="1"/>
  <c r="AR35" i="67" a="1"/>
  <c r="AR35" i="67" s="1"/>
  <c r="B36" i="69"/>
  <c r="L36" i="69" s="1"/>
  <c r="D34" i="69"/>
  <c r="E34" i="69" s="1"/>
  <c r="F34" i="69" s="1"/>
  <c r="G34" i="69" s="1"/>
  <c r="H34" i="69" s="1"/>
  <c r="I34" i="69" s="1"/>
  <c r="J34" i="69" s="1"/>
  <c r="K34" i="69" s="1"/>
  <c r="M34" i="69" s="1"/>
  <c r="C35" i="69"/>
  <c r="P35" i="69" s="1"/>
  <c r="AE33" i="69"/>
  <c r="R33" i="69"/>
  <c r="S33" i="69" s="1"/>
  <c r="X48" i="57" l="1"/>
  <c r="AB48" i="57" s="1"/>
  <c r="Y33" i="69"/>
  <c r="AB33" i="69" s="1"/>
  <c r="AC33" i="69" s="1"/>
  <c r="AD33" i="69" s="1"/>
  <c r="AG50" i="57"/>
  <c r="M51" i="53"/>
  <c r="AC51" i="53" s="1"/>
  <c r="O51" i="53"/>
  <c r="AP35" i="69"/>
  <c r="N35" i="69"/>
  <c r="U35" i="69" s="1"/>
  <c r="AF47" i="57"/>
  <c r="AA47" i="57"/>
  <c r="AC49" i="57"/>
  <c r="AE49" i="57"/>
  <c r="AQ49" i="57"/>
  <c r="Q49" i="57"/>
  <c r="T49" i="57" s="1"/>
  <c r="AD49" i="57"/>
  <c r="AJ49" i="57"/>
  <c r="R49" i="57"/>
  <c r="M50" i="57"/>
  <c r="AK50" i="57" s="1"/>
  <c r="N51" i="53"/>
  <c r="AA49" i="53"/>
  <c r="AB49" i="53"/>
  <c r="AF34" i="69"/>
  <c r="Q34" i="69"/>
  <c r="O51" i="57"/>
  <c r="P51" i="57"/>
  <c r="AC32" i="69"/>
  <c r="AD32" i="69" s="1"/>
  <c r="AO35" i="69"/>
  <c r="O36" i="69"/>
  <c r="AE50" i="53"/>
  <c r="AF49" i="53"/>
  <c r="R50" i="53"/>
  <c r="X50" i="53" s="1"/>
  <c r="AY34" i="69"/>
  <c r="L51" i="57"/>
  <c r="AH50" i="53"/>
  <c r="AT50" i="53"/>
  <c r="AG50" i="53"/>
  <c r="N51" i="57"/>
  <c r="AH34" i="69"/>
  <c r="Q50" i="53"/>
  <c r="AD50" i="53"/>
  <c r="AK50" i="52" a="1"/>
  <c r="AK50" i="52" s="1"/>
  <c r="B52" i="53" s="1"/>
  <c r="P51" i="53"/>
  <c r="I51" i="53"/>
  <c r="F51" i="53"/>
  <c r="E51" i="53"/>
  <c r="H51" i="53"/>
  <c r="L51" i="53"/>
  <c r="C51" i="53"/>
  <c r="K51" i="53"/>
  <c r="J51" i="53"/>
  <c r="D51" i="53"/>
  <c r="G51" i="53"/>
  <c r="K51" i="57"/>
  <c r="I51" i="57"/>
  <c r="G51" i="57"/>
  <c r="E51" i="57"/>
  <c r="C51" i="57"/>
  <c r="J51" i="57"/>
  <c r="D51" i="57"/>
  <c r="H51" i="57"/>
  <c r="F51" i="57"/>
  <c r="AN50" i="55" a="1"/>
  <c r="AN50" i="55" s="1"/>
  <c r="B52" i="57" s="1"/>
  <c r="AR36" i="67" a="1"/>
  <c r="AR36" i="67" s="1"/>
  <c r="B37" i="69"/>
  <c r="L37" i="69" s="1"/>
  <c r="R34" i="69"/>
  <c r="S34" i="69" s="1"/>
  <c r="Y34" i="69" s="1"/>
  <c r="AE34" i="69"/>
  <c r="D35" i="69"/>
  <c r="E35" i="69" s="1"/>
  <c r="F35" i="69" s="1"/>
  <c r="G35" i="69" s="1"/>
  <c r="H35" i="69" s="1"/>
  <c r="I35" i="69" s="1"/>
  <c r="J35" i="69" s="1"/>
  <c r="K35" i="69" s="1"/>
  <c r="M35" i="69" s="1"/>
  <c r="C36" i="69"/>
  <c r="P36" i="69" s="1"/>
  <c r="R9" i="78"/>
  <c r="AG33" i="69" l="1"/>
  <c r="AB34" i="69"/>
  <c r="AC34" i="69" s="1"/>
  <c r="AD34" i="69" s="1"/>
  <c r="AG51" i="57"/>
  <c r="X49" i="57"/>
  <c r="AB49" i="57" s="1"/>
  <c r="M52" i="53"/>
  <c r="AC52" i="53" s="1"/>
  <c r="O52" i="53"/>
  <c r="AP36" i="69"/>
  <c r="N36" i="69"/>
  <c r="U36" i="69" s="1"/>
  <c r="AF48" i="57"/>
  <c r="AA48" i="57"/>
  <c r="AE50" i="57"/>
  <c r="AQ50" i="57"/>
  <c r="AJ50" i="57"/>
  <c r="R50" i="57"/>
  <c r="Q50" i="57"/>
  <c r="T50" i="57" s="1"/>
  <c r="AD50" i="57"/>
  <c r="AC50" i="57"/>
  <c r="M51" i="57"/>
  <c r="AK51" i="57" s="1"/>
  <c r="N52" i="53"/>
  <c r="AA50" i="53"/>
  <c r="AB50" i="53"/>
  <c r="AF35" i="69"/>
  <c r="Q35" i="69"/>
  <c r="O52" i="57"/>
  <c r="P52" i="57"/>
  <c r="O37" i="69"/>
  <c r="AO36" i="69"/>
  <c r="AG34" i="69"/>
  <c r="AF50" i="53"/>
  <c r="AE51" i="53"/>
  <c r="R51" i="53"/>
  <c r="X51" i="53" s="1"/>
  <c r="AY35" i="69"/>
  <c r="L52" i="57"/>
  <c r="AG51" i="53"/>
  <c r="AH51" i="53"/>
  <c r="AT51" i="53"/>
  <c r="N52" i="57"/>
  <c r="AH35" i="69"/>
  <c r="AD51" i="53"/>
  <c r="Q51" i="53"/>
  <c r="I52" i="53"/>
  <c r="K52" i="53"/>
  <c r="H52" i="53"/>
  <c r="L52" i="53"/>
  <c r="E52" i="53"/>
  <c r="C52" i="53"/>
  <c r="D52" i="53"/>
  <c r="P52" i="53"/>
  <c r="AK51" i="52" a="1"/>
  <c r="AK51" i="52" s="1"/>
  <c r="B53" i="53" s="1"/>
  <c r="J52" i="53"/>
  <c r="G52" i="53"/>
  <c r="F52" i="53"/>
  <c r="H52" i="57"/>
  <c r="G52" i="57"/>
  <c r="E52" i="57"/>
  <c r="D52" i="57"/>
  <c r="C52" i="57"/>
  <c r="K52" i="57"/>
  <c r="I52" i="57"/>
  <c r="J52" i="57"/>
  <c r="F52" i="57"/>
  <c r="AN51" i="55" a="1"/>
  <c r="AN51" i="55" s="1"/>
  <c r="B53" i="57" s="1"/>
  <c r="AE35" i="69"/>
  <c r="R35" i="69"/>
  <c r="S35" i="69" s="1"/>
  <c r="Y35" i="69" s="1"/>
  <c r="D36" i="69"/>
  <c r="E36" i="69" s="1"/>
  <c r="F36" i="69" s="1"/>
  <c r="G36" i="69" s="1"/>
  <c r="H36" i="69" s="1"/>
  <c r="I36" i="69" s="1"/>
  <c r="J36" i="69" s="1"/>
  <c r="K36" i="69" s="1"/>
  <c r="M36" i="69" s="1"/>
  <c r="C37" i="69"/>
  <c r="P37" i="69" s="1"/>
  <c r="AR37" i="67" a="1"/>
  <c r="AR37" i="67" s="1"/>
  <c r="B38" i="69"/>
  <c r="L38" i="69" s="1"/>
  <c r="A102" i="99"/>
  <c r="A101" i="99"/>
  <c r="A100" i="99"/>
  <c r="A99" i="99"/>
  <c r="A98" i="99"/>
  <c r="A97" i="99"/>
  <c r="A96" i="99"/>
  <c r="A95" i="99"/>
  <c r="A94" i="99"/>
  <c r="A93" i="99"/>
  <c r="A92" i="99"/>
  <c r="A91" i="99"/>
  <c r="A90" i="99"/>
  <c r="A89" i="99"/>
  <c r="A88" i="99"/>
  <c r="A87" i="99"/>
  <c r="A86" i="99"/>
  <c r="A85" i="99"/>
  <c r="A84" i="99"/>
  <c r="A83" i="99"/>
  <c r="A82" i="99"/>
  <c r="A81" i="99"/>
  <c r="A79" i="99"/>
  <c r="A78" i="99"/>
  <c r="A77" i="99"/>
  <c r="A76" i="99"/>
  <c r="A75" i="99"/>
  <c r="A74" i="99"/>
  <c r="A73" i="99"/>
  <c r="A72" i="99"/>
  <c r="A71" i="99"/>
  <c r="A70" i="99"/>
  <c r="A69" i="99"/>
  <c r="A68" i="99"/>
  <c r="A67" i="99"/>
  <c r="A66" i="99"/>
  <c r="A65" i="99"/>
  <c r="A64" i="99"/>
  <c r="A63" i="99"/>
  <c r="A62" i="99"/>
  <c r="A61" i="99"/>
  <c r="A60" i="99"/>
  <c r="A59" i="99"/>
  <c r="A58" i="99"/>
  <c r="A57" i="99"/>
  <c r="A56" i="99"/>
  <c r="A55" i="99"/>
  <c r="A53" i="99"/>
  <c r="A52" i="99"/>
  <c r="A51" i="99"/>
  <c r="A50" i="99"/>
  <c r="A49" i="99"/>
  <c r="A48" i="99"/>
  <c r="A47" i="99"/>
  <c r="A46" i="99"/>
  <c r="A45" i="99"/>
  <c r="A44" i="99"/>
  <c r="A43" i="99"/>
  <c r="A42" i="99"/>
  <c r="A41" i="99"/>
  <c r="A40" i="99"/>
  <c r="A39" i="99"/>
  <c r="A37" i="99"/>
  <c r="A36" i="99"/>
  <c r="A35" i="99"/>
  <c r="A34" i="99"/>
  <c r="A33" i="99"/>
  <c r="A32" i="99"/>
  <c r="A31" i="99"/>
  <c r="A30" i="99"/>
  <c r="A29" i="99"/>
  <c r="A28" i="99"/>
  <c r="A27" i="99"/>
  <c r="A26" i="99"/>
  <c r="A25" i="99"/>
  <c r="A24" i="99"/>
  <c r="A23" i="99"/>
  <c r="A22" i="99"/>
  <c r="A21" i="99"/>
  <c r="A20" i="99"/>
  <c r="A19" i="99"/>
  <c r="A18" i="99"/>
  <c r="A17" i="99"/>
  <c r="A16" i="99"/>
  <c r="A15" i="99"/>
  <c r="A14" i="99"/>
  <c r="A13" i="99"/>
  <c r="A12" i="99"/>
  <c r="A11" i="99"/>
  <c r="A10" i="99"/>
  <c r="A9" i="99"/>
  <c r="A8" i="99"/>
  <c r="A7" i="99"/>
  <c r="A6" i="99"/>
  <c r="A5" i="99"/>
  <c r="A4" i="99"/>
  <c r="X50" i="57" l="1"/>
  <c r="AF50" i="57" s="1"/>
  <c r="AG52" i="57"/>
  <c r="M53" i="53"/>
  <c r="AC53" i="53" s="1"/>
  <c r="O53" i="53"/>
  <c r="AP37" i="69"/>
  <c r="N37" i="69"/>
  <c r="U37" i="69" s="1"/>
  <c r="AA49" i="57"/>
  <c r="AF49" i="57"/>
  <c r="Q51" i="57"/>
  <c r="T51" i="57" s="1"/>
  <c r="AD51" i="57"/>
  <c r="AC51" i="57"/>
  <c r="AE51" i="57"/>
  <c r="AQ51" i="57"/>
  <c r="AJ51" i="57"/>
  <c r="R51" i="57"/>
  <c r="M52" i="57"/>
  <c r="AK52" i="57" s="1"/>
  <c r="N53" i="53"/>
  <c r="AA51" i="53"/>
  <c r="AB51" i="53"/>
  <c r="K247" i="46"/>
  <c r="K243" i="46"/>
  <c r="K231" i="46"/>
  <c r="K211" i="46"/>
  <c r="K119" i="46"/>
  <c r="K67" i="46"/>
  <c r="K255" i="71"/>
  <c r="K239" i="71"/>
  <c r="K223" i="71"/>
  <c r="K207" i="71"/>
  <c r="K187" i="71"/>
  <c r="K155" i="71"/>
  <c r="K123" i="71"/>
  <c r="K91" i="71"/>
  <c r="K59" i="71"/>
  <c r="K27" i="71"/>
  <c r="K25" i="46"/>
  <c r="K163" i="46"/>
  <c r="K83" i="46"/>
  <c r="K254" i="46"/>
  <c r="K234" i="46"/>
  <c r="K218" i="46"/>
  <c r="K202" i="46"/>
  <c r="K186" i="46"/>
  <c r="K166" i="46"/>
  <c r="K142" i="46"/>
  <c r="K126" i="46"/>
  <c r="K110" i="46"/>
  <c r="K86" i="46"/>
  <c r="K70" i="46"/>
  <c r="K54" i="46"/>
  <c r="K38" i="46"/>
  <c r="K230" i="71"/>
  <c r="K198" i="71"/>
  <c r="K20" i="46"/>
  <c r="K111" i="46"/>
  <c r="K217" i="46"/>
  <c r="K193" i="46"/>
  <c r="K173" i="46"/>
  <c r="K157" i="46"/>
  <c r="K141" i="46"/>
  <c r="K125" i="46"/>
  <c r="K105" i="46"/>
  <c r="K89" i="46"/>
  <c r="K73" i="46"/>
  <c r="K57" i="46"/>
  <c r="K41" i="46"/>
  <c r="K245" i="71"/>
  <c r="K213" i="71"/>
  <c r="K173" i="71"/>
  <c r="K133" i="71"/>
  <c r="K93" i="71"/>
  <c r="K53" i="71"/>
  <c r="K35" i="46"/>
  <c r="K19" i="46"/>
  <c r="K123" i="46"/>
  <c r="K237" i="46"/>
  <c r="K205" i="46"/>
  <c r="K164" i="46"/>
  <c r="K132" i="46"/>
  <c r="K112" i="46"/>
  <c r="K88" i="46"/>
  <c r="K68" i="46"/>
  <c r="K227" i="46"/>
  <c r="K223" i="46"/>
  <c r="K219" i="46"/>
  <c r="K179" i="46"/>
  <c r="K107" i="46"/>
  <c r="K55" i="46"/>
  <c r="K251" i="71"/>
  <c r="K235" i="71"/>
  <c r="K219" i="71"/>
  <c r="K203" i="71"/>
  <c r="K179" i="71"/>
  <c r="K147" i="71"/>
  <c r="K115" i="71"/>
  <c r="K83" i="71"/>
  <c r="K51" i="71"/>
  <c r="K19" i="71"/>
  <c r="K21" i="46"/>
  <c r="K139" i="46"/>
  <c r="K59" i="46"/>
  <c r="K250" i="46"/>
  <c r="K230" i="46"/>
  <c r="K214" i="46"/>
  <c r="K198" i="46"/>
  <c r="K182" i="46"/>
  <c r="K158" i="46"/>
  <c r="K138" i="46"/>
  <c r="K122" i="46"/>
  <c r="K102" i="46"/>
  <c r="K82" i="46"/>
  <c r="K66" i="46"/>
  <c r="K50" i="46"/>
  <c r="K254" i="71"/>
  <c r="K222" i="71"/>
  <c r="K32" i="46"/>
  <c r="K16" i="46"/>
  <c r="K249" i="46"/>
  <c r="K209" i="46"/>
  <c r="K189" i="46"/>
  <c r="K169" i="46"/>
  <c r="K153" i="46"/>
  <c r="K137" i="46"/>
  <c r="K121" i="46"/>
  <c r="K101" i="46"/>
  <c r="K85" i="46"/>
  <c r="K69" i="46"/>
  <c r="K53" i="46"/>
  <c r="K37" i="46"/>
  <c r="K237" i="71"/>
  <c r="K205" i="71"/>
  <c r="K161" i="71"/>
  <c r="K117" i="71"/>
  <c r="K85" i="71"/>
  <c r="K37" i="71"/>
  <c r="K31" i="46"/>
  <c r="K15" i="46"/>
  <c r="K99" i="46"/>
  <c r="K229" i="46"/>
  <c r="K204" i="46"/>
  <c r="K152" i="46"/>
  <c r="K124" i="46"/>
  <c r="K100" i="46"/>
  <c r="K84" i="46"/>
  <c r="K60" i="46"/>
  <c r="K40" i="46"/>
  <c r="K248" i="71"/>
  <c r="K232" i="71"/>
  <c r="K216" i="71"/>
  <c r="K200" i="71"/>
  <c r="K180" i="71"/>
  <c r="K156" i="71"/>
  <c r="K124" i="71"/>
  <c r="K100" i="71"/>
  <c r="K76" i="71"/>
  <c r="K44" i="71"/>
  <c r="K12" i="71"/>
  <c r="K18" i="46"/>
  <c r="L257" i="11"/>
  <c r="L241" i="11"/>
  <c r="L225" i="11"/>
  <c r="L209" i="11"/>
  <c r="L193" i="11"/>
  <c r="L177" i="11"/>
  <c r="L161" i="11"/>
  <c r="L145" i="11"/>
  <c r="L133" i="11"/>
  <c r="K207" i="46"/>
  <c r="K195" i="46"/>
  <c r="K203" i="46"/>
  <c r="K167" i="46"/>
  <c r="K91" i="46"/>
  <c r="K47" i="46"/>
  <c r="K247" i="71"/>
  <c r="K231" i="71"/>
  <c r="K215" i="71"/>
  <c r="K199" i="71"/>
  <c r="K171" i="71"/>
  <c r="K139" i="71"/>
  <c r="K107" i="71"/>
  <c r="K75" i="71"/>
  <c r="K43" i="71"/>
  <c r="K33" i="46"/>
  <c r="K17" i="46"/>
  <c r="K115" i="46"/>
  <c r="K51" i="46"/>
  <c r="K246" i="46"/>
  <c r="K226" i="46"/>
  <c r="K210" i="46"/>
  <c r="K194" i="46"/>
  <c r="K174" i="46"/>
  <c r="K154" i="46"/>
  <c r="K134" i="46"/>
  <c r="K118" i="46"/>
  <c r="K94" i="46"/>
  <c r="K78" i="46"/>
  <c r="K62" i="46"/>
  <c r="K46" i="46"/>
  <c r="K246" i="71"/>
  <c r="K214" i="71"/>
  <c r="K28" i="46"/>
  <c r="K12" i="46"/>
  <c r="K233" i="46"/>
  <c r="K201" i="46"/>
  <c r="K185" i="46"/>
  <c r="K165" i="46"/>
  <c r="K149" i="46"/>
  <c r="K133" i="46"/>
  <c r="K113" i="46"/>
  <c r="K97" i="46"/>
  <c r="K81" i="46"/>
  <c r="K65" i="46"/>
  <c r="K49" i="46"/>
  <c r="K253" i="71"/>
  <c r="K229" i="71"/>
  <c r="K197" i="71"/>
  <c r="K157" i="71"/>
  <c r="K109" i="71"/>
  <c r="K69" i="71"/>
  <c r="K29" i="71"/>
  <c r="K27" i="46"/>
  <c r="K155" i="46"/>
  <c r="K253" i="46"/>
  <c r="K221" i="46"/>
  <c r="K184" i="46"/>
  <c r="K140" i="46"/>
  <c r="K120" i="46"/>
  <c r="K96" i="46"/>
  <c r="K76" i="46"/>
  <c r="K56" i="46"/>
  <c r="K187" i="46"/>
  <c r="K251" i="46"/>
  <c r="K235" i="46"/>
  <c r="K151" i="46"/>
  <c r="K75" i="46"/>
  <c r="K39" i="46"/>
  <c r="K243" i="71"/>
  <c r="K227" i="71"/>
  <c r="K211" i="71"/>
  <c r="K195" i="71"/>
  <c r="K163" i="71"/>
  <c r="K131" i="71"/>
  <c r="K99" i="71"/>
  <c r="K67" i="71"/>
  <c r="K35" i="71"/>
  <c r="K29" i="46"/>
  <c r="K13" i="46"/>
  <c r="K95" i="46"/>
  <c r="K43" i="46"/>
  <c r="K238" i="46"/>
  <c r="K222" i="46"/>
  <c r="K206" i="46"/>
  <c r="K190" i="46"/>
  <c r="K170" i="46"/>
  <c r="K150" i="46"/>
  <c r="K130" i="46"/>
  <c r="K114" i="46"/>
  <c r="K90" i="46"/>
  <c r="K74" i="46"/>
  <c r="K58" i="46"/>
  <c r="K42" i="46"/>
  <c r="K238" i="71"/>
  <c r="K206" i="71"/>
  <c r="K24" i="46"/>
  <c r="K131" i="46"/>
  <c r="K225" i="46"/>
  <c r="K197" i="46"/>
  <c r="K177" i="46"/>
  <c r="K161" i="46"/>
  <c r="K145" i="46"/>
  <c r="K129" i="46"/>
  <c r="K109" i="46"/>
  <c r="K93" i="46"/>
  <c r="K77" i="46"/>
  <c r="K61" i="46"/>
  <c r="K45" i="46"/>
  <c r="K249" i="71"/>
  <c r="K221" i="71"/>
  <c r="K181" i="71"/>
  <c r="K141" i="71"/>
  <c r="K97" i="71"/>
  <c r="K61" i="71"/>
  <c r="K21" i="71"/>
  <c r="K23" i="46"/>
  <c r="K147" i="46"/>
  <c r="K241" i="46"/>
  <c r="K213" i="46"/>
  <c r="K168" i="46"/>
  <c r="K136" i="46"/>
  <c r="K116" i="46"/>
  <c r="K92" i="46"/>
  <c r="K72" i="46"/>
  <c r="K52" i="46"/>
  <c r="K256" i="71"/>
  <c r="K240" i="71"/>
  <c r="K224" i="71"/>
  <c r="K208" i="71"/>
  <c r="K188" i="71"/>
  <c r="K164" i="71"/>
  <c r="K140" i="71"/>
  <c r="K116" i="71"/>
  <c r="K92" i="71"/>
  <c r="K60" i="71"/>
  <c r="K28" i="71"/>
  <c r="K26" i="46"/>
  <c r="K48" i="46"/>
  <c r="K236" i="71"/>
  <c r="K204" i="71"/>
  <c r="K160" i="71"/>
  <c r="K108" i="71"/>
  <c r="K52" i="71"/>
  <c r="K22" i="46"/>
  <c r="L217" i="11"/>
  <c r="L153" i="11"/>
  <c r="L53" i="11"/>
  <c r="L37" i="11"/>
  <c r="L29" i="11"/>
  <c r="K239" i="46"/>
  <c r="L256" i="11"/>
  <c r="L212" i="11"/>
  <c r="L204" i="11"/>
  <c r="L196" i="11"/>
  <c r="L188" i="11"/>
  <c r="L180" i="11"/>
  <c r="L172" i="11"/>
  <c r="L164" i="11"/>
  <c r="L156" i="11"/>
  <c r="L148" i="11"/>
  <c r="L140" i="11"/>
  <c r="L132" i="11"/>
  <c r="L124" i="11"/>
  <c r="L116" i="11"/>
  <c r="L108" i="11"/>
  <c r="L100" i="11"/>
  <c r="L92" i="11"/>
  <c r="L84" i="11"/>
  <c r="L76" i="11"/>
  <c r="L68" i="11"/>
  <c r="L60" i="11"/>
  <c r="L52" i="11"/>
  <c r="L44" i="11"/>
  <c r="L36" i="11"/>
  <c r="L28" i="11"/>
  <c r="L20" i="11"/>
  <c r="K242" i="46"/>
  <c r="K162" i="46"/>
  <c r="K106" i="46"/>
  <c r="L250" i="59"/>
  <c r="AY250" i="59" s="1"/>
  <c r="L230" i="59"/>
  <c r="AY230" i="59" s="1"/>
  <c r="L222" i="59"/>
  <c r="AY222" i="59" s="1"/>
  <c r="L202" i="59"/>
  <c r="AY202" i="59" s="1"/>
  <c r="L194" i="59"/>
  <c r="AY194" i="59" s="1"/>
  <c r="L186" i="59"/>
  <c r="AY186" i="59" s="1"/>
  <c r="L146" i="59"/>
  <c r="AY146" i="59" s="1"/>
  <c r="L118" i="59"/>
  <c r="AY118" i="59" s="1"/>
  <c r="L110" i="59"/>
  <c r="AY110" i="59" s="1"/>
  <c r="L102" i="59"/>
  <c r="AY102" i="59" s="1"/>
  <c r="L94" i="59"/>
  <c r="AY94" i="59" s="1"/>
  <c r="L86" i="59"/>
  <c r="AY86" i="59" s="1"/>
  <c r="L78" i="59"/>
  <c r="AY78" i="59" s="1"/>
  <c r="L70" i="59"/>
  <c r="AY70" i="59" s="1"/>
  <c r="L58" i="59"/>
  <c r="AY58" i="59" s="1"/>
  <c r="L46" i="59"/>
  <c r="AY46" i="59" s="1"/>
  <c r="L38" i="59"/>
  <c r="AY38" i="59" s="1"/>
  <c r="K36" i="46"/>
  <c r="K228" i="71"/>
  <c r="K196" i="71"/>
  <c r="K148" i="71"/>
  <c r="K96" i="71"/>
  <c r="K36" i="71"/>
  <c r="K14" i="46"/>
  <c r="L235" i="11"/>
  <c r="L203" i="11"/>
  <c r="L179" i="11"/>
  <c r="L233" i="11"/>
  <c r="L169" i="11"/>
  <c r="L33" i="11"/>
  <c r="L248" i="11"/>
  <c r="L240" i="11"/>
  <c r="L232" i="11"/>
  <c r="L224" i="11"/>
  <c r="L254" i="59"/>
  <c r="AY254" i="59" s="1"/>
  <c r="L242" i="59"/>
  <c r="AY242" i="59" s="1"/>
  <c r="L234" i="59"/>
  <c r="AY234" i="59" s="1"/>
  <c r="L214" i="59"/>
  <c r="AY214" i="59" s="1"/>
  <c r="L178" i="59"/>
  <c r="AY178" i="59" s="1"/>
  <c r="L170" i="59"/>
  <c r="AY170" i="59" s="1"/>
  <c r="L166" i="59"/>
  <c r="AY166" i="59" s="1"/>
  <c r="L158" i="59"/>
  <c r="AY158" i="59" s="1"/>
  <c r="L138" i="59"/>
  <c r="AY138" i="59" s="1"/>
  <c r="L130" i="59"/>
  <c r="AY130" i="59" s="1"/>
  <c r="L122" i="59"/>
  <c r="AY122" i="59" s="1"/>
  <c r="K252" i="71"/>
  <c r="K220" i="71"/>
  <c r="K184" i="71"/>
  <c r="K132" i="71"/>
  <c r="K84" i="71"/>
  <c r="K20" i="71"/>
  <c r="L249" i="11"/>
  <c r="L185" i="11"/>
  <c r="L125" i="11"/>
  <c r="L109" i="11"/>
  <c r="L93" i="11"/>
  <c r="L77" i="11"/>
  <c r="L61" i="11"/>
  <c r="L45" i="11"/>
  <c r="L21" i="11"/>
  <c r="K255" i="46"/>
  <c r="L12" i="11"/>
  <c r="L252" i="11"/>
  <c r="L216" i="11"/>
  <c r="L208" i="11"/>
  <c r="L200" i="11"/>
  <c r="L192" i="11"/>
  <c r="L184" i="11"/>
  <c r="L176" i="11"/>
  <c r="L168" i="11"/>
  <c r="L160" i="11"/>
  <c r="L152" i="11"/>
  <c r="L144" i="11"/>
  <c r="L136" i="11"/>
  <c r="L128" i="11"/>
  <c r="L120" i="11"/>
  <c r="L112" i="11"/>
  <c r="L104" i="11"/>
  <c r="L96" i="11"/>
  <c r="L88" i="11"/>
  <c r="L80" i="11"/>
  <c r="L72" i="11"/>
  <c r="L64" i="11"/>
  <c r="L56" i="11"/>
  <c r="L48" i="11"/>
  <c r="L40" i="11"/>
  <c r="L32" i="11"/>
  <c r="L24" i="11"/>
  <c r="L16" i="11"/>
  <c r="K178" i="46"/>
  <c r="K146" i="46"/>
  <c r="K98" i="46"/>
  <c r="L226" i="59"/>
  <c r="AY226" i="59" s="1"/>
  <c r="L218" i="59"/>
  <c r="AY218" i="59" s="1"/>
  <c r="L206" i="59"/>
  <c r="AY206" i="59" s="1"/>
  <c r="L198" i="59"/>
  <c r="AY198" i="59" s="1"/>
  <c r="L190" i="59"/>
  <c r="AY190" i="59" s="1"/>
  <c r="L150" i="59"/>
  <c r="AY150" i="59" s="1"/>
  <c r="L114" i="59"/>
  <c r="AY114" i="59" s="1"/>
  <c r="L106" i="59"/>
  <c r="AY106" i="59" s="1"/>
  <c r="L98" i="59"/>
  <c r="AY98" i="59" s="1"/>
  <c r="L90" i="59"/>
  <c r="AY90" i="59" s="1"/>
  <c r="L82" i="59"/>
  <c r="AY82" i="59" s="1"/>
  <c r="L74" i="59"/>
  <c r="AY74" i="59" s="1"/>
  <c r="L66" i="59"/>
  <c r="AY66" i="59" s="1"/>
  <c r="L42" i="59"/>
  <c r="AY42" i="59" s="1"/>
  <c r="L34" i="59"/>
  <c r="AY34" i="59" s="1"/>
  <c r="L177" i="59"/>
  <c r="AY177" i="59" s="1"/>
  <c r="L169" i="59"/>
  <c r="AY169" i="59" s="1"/>
  <c r="L125" i="59"/>
  <c r="AY125" i="59" s="1"/>
  <c r="L101" i="59"/>
  <c r="AY101" i="59" s="1"/>
  <c r="K244" i="71"/>
  <c r="K212" i="71"/>
  <c r="K172" i="71"/>
  <c r="K120" i="71"/>
  <c r="K68" i="71"/>
  <c r="K30" i="46"/>
  <c r="L255" i="11"/>
  <c r="L223" i="11"/>
  <c r="L191" i="11"/>
  <c r="L159" i="11"/>
  <c r="L201" i="11"/>
  <c r="L141" i="11"/>
  <c r="L117" i="11"/>
  <c r="L101" i="11"/>
  <c r="L85" i="11"/>
  <c r="L69" i="11"/>
  <c r="L17" i="11"/>
  <c r="L244" i="11"/>
  <c r="L236" i="11"/>
  <c r="L228" i="11"/>
  <c r="L220" i="11"/>
  <c r="L258" i="59"/>
  <c r="AY258" i="59" s="1"/>
  <c r="L246" i="59"/>
  <c r="AY246" i="59" s="1"/>
  <c r="L238" i="59"/>
  <c r="AY238" i="59" s="1"/>
  <c r="L210" i="59"/>
  <c r="AY210" i="59" s="1"/>
  <c r="L182" i="59"/>
  <c r="AY182" i="59" s="1"/>
  <c r="L174" i="59"/>
  <c r="AY174" i="59" s="1"/>
  <c r="L162" i="59"/>
  <c r="AY162" i="59" s="1"/>
  <c r="L154" i="59"/>
  <c r="AY154" i="59" s="1"/>
  <c r="L142" i="59"/>
  <c r="AY142" i="59" s="1"/>
  <c r="L134" i="59"/>
  <c r="AY134" i="59" s="1"/>
  <c r="L126" i="59"/>
  <c r="AY126" i="59" s="1"/>
  <c r="L54" i="59"/>
  <c r="AY54" i="59" s="1"/>
  <c r="L26" i="59"/>
  <c r="AY26" i="59" s="1"/>
  <c r="L18" i="59"/>
  <c r="AY18" i="59" s="1"/>
  <c r="K250" i="71"/>
  <c r="K234" i="71"/>
  <c r="K218" i="71"/>
  <c r="K202" i="71"/>
  <c r="K190" i="71"/>
  <c r="K182" i="71"/>
  <c r="K174" i="71"/>
  <c r="K166" i="71"/>
  <c r="K158" i="71"/>
  <c r="K150" i="71"/>
  <c r="K142" i="71"/>
  <c r="K134" i="71"/>
  <c r="K126" i="71"/>
  <c r="K118" i="71"/>
  <c r="K110" i="71"/>
  <c r="K102" i="71"/>
  <c r="K94" i="71"/>
  <c r="K86" i="71"/>
  <c r="K78" i="71"/>
  <c r="K70" i="71"/>
  <c r="K62" i="71"/>
  <c r="K54" i="71"/>
  <c r="K46" i="71"/>
  <c r="K38" i="71"/>
  <c r="K30" i="71"/>
  <c r="K22" i="71"/>
  <c r="K14" i="71"/>
  <c r="L227" i="11"/>
  <c r="L199" i="11"/>
  <c r="L167" i="11"/>
  <c r="L147" i="11"/>
  <c r="L131" i="11"/>
  <c r="L115" i="11"/>
  <c r="L99" i="11"/>
  <c r="L83" i="11"/>
  <c r="L67" i="11"/>
  <c r="L51" i="11"/>
  <c r="L35" i="11"/>
  <c r="L23" i="11"/>
  <c r="L15" i="11"/>
  <c r="K181" i="46"/>
  <c r="L257" i="59"/>
  <c r="AY257" i="59" s="1"/>
  <c r="L249" i="59"/>
  <c r="AY249" i="59" s="1"/>
  <c r="L241" i="59"/>
  <c r="AY241" i="59" s="1"/>
  <c r="L233" i="59"/>
  <c r="AY233" i="59" s="1"/>
  <c r="L225" i="59"/>
  <c r="AY225" i="59" s="1"/>
  <c r="L217" i="59"/>
  <c r="AY217" i="59" s="1"/>
  <c r="L209" i="59"/>
  <c r="AY209" i="59" s="1"/>
  <c r="L201" i="59"/>
  <c r="AY201" i="59" s="1"/>
  <c r="L193" i="59"/>
  <c r="AY193" i="59" s="1"/>
  <c r="K242" i="71"/>
  <c r="K186" i="71"/>
  <c r="K154" i="71"/>
  <c r="K122" i="71"/>
  <c r="K90" i="71"/>
  <c r="K58" i="71"/>
  <c r="K26" i="71"/>
  <c r="L183" i="11"/>
  <c r="L107" i="11"/>
  <c r="L43" i="11"/>
  <c r="K117" i="46"/>
  <c r="L229" i="59"/>
  <c r="AY229" i="59" s="1"/>
  <c r="L197" i="59"/>
  <c r="AY197" i="59" s="1"/>
  <c r="L165" i="59"/>
  <c r="AY165" i="59" s="1"/>
  <c r="L157" i="59"/>
  <c r="AY157" i="59" s="1"/>
  <c r="L129" i="59"/>
  <c r="AY129" i="59" s="1"/>
  <c r="L121" i="59"/>
  <c r="AY121" i="59" s="1"/>
  <c r="L109" i="59"/>
  <c r="AY109" i="59" s="1"/>
  <c r="L65" i="59"/>
  <c r="AY65" i="59" s="1"/>
  <c r="L41" i="59"/>
  <c r="AY41" i="59" s="1"/>
  <c r="L33" i="59"/>
  <c r="AY33" i="59" s="1"/>
  <c r="L25" i="59"/>
  <c r="AY25" i="59" s="1"/>
  <c r="L17" i="59"/>
  <c r="AY17" i="59" s="1"/>
  <c r="K241" i="71"/>
  <c r="K225" i="71"/>
  <c r="K209" i="71"/>
  <c r="K193" i="71"/>
  <c r="K185" i="71"/>
  <c r="K169" i="71"/>
  <c r="K153" i="71"/>
  <c r="K145" i="71"/>
  <c r="K129" i="71"/>
  <c r="K121" i="71"/>
  <c r="K105" i="71"/>
  <c r="K89" i="71"/>
  <c r="K77" i="71"/>
  <c r="K65" i="71"/>
  <c r="K49" i="71"/>
  <c r="K41" i="71"/>
  <c r="K25" i="71"/>
  <c r="K13" i="71"/>
  <c r="L239" i="11"/>
  <c r="L207" i="11"/>
  <c r="L175" i="11"/>
  <c r="L151" i="11"/>
  <c r="L135" i="11"/>
  <c r="L119" i="11"/>
  <c r="L103" i="11"/>
  <c r="L87" i="11"/>
  <c r="L71" i="11"/>
  <c r="L55" i="11"/>
  <c r="L39" i="11"/>
  <c r="L258" i="11"/>
  <c r="L222" i="11"/>
  <c r="L206" i="11"/>
  <c r="L182" i="11"/>
  <c r="L166" i="11"/>
  <c r="L150" i="11"/>
  <c r="L138" i="11"/>
  <c r="L62" i="59"/>
  <c r="AY62" i="59" s="1"/>
  <c r="L14" i="59"/>
  <c r="AY14" i="59" s="1"/>
  <c r="K194" i="71"/>
  <c r="K162" i="71"/>
  <c r="K130" i="71"/>
  <c r="K98" i="71"/>
  <c r="K66" i="71"/>
  <c r="K34" i="71"/>
  <c r="L211" i="11"/>
  <c r="L123" i="11"/>
  <c r="L59" i="11"/>
  <c r="K245" i="46"/>
  <c r="L237" i="59"/>
  <c r="AY237" i="59" s="1"/>
  <c r="L205" i="59"/>
  <c r="AY205" i="59" s="1"/>
  <c r="L181" i="59"/>
  <c r="AY181" i="59" s="1"/>
  <c r="L173" i="59"/>
  <c r="AY173" i="59" s="1"/>
  <c r="L149" i="59"/>
  <c r="AY149" i="59" s="1"/>
  <c r="L141" i="59"/>
  <c r="AY141" i="59" s="1"/>
  <c r="L133" i="59"/>
  <c r="AY133" i="59" s="1"/>
  <c r="L85" i="59"/>
  <c r="AY85" i="59" s="1"/>
  <c r="L77" i="59"/>
  <c r="AY77" i="59" s="1"/>
  <c r="L69" i="59"/>
  <c r="AY69" i="59" s="1"/>
  <c r="L53" i="59"/>
  <c r="AY53" i="59" s="1"/>
  <c r="L250" i="11"/>
  <c r="L242" i="11"/>
  <c r="L234" i="11"/>
  <c r="L190" i="11"/>
  <c r="L174" i="11"/>
  <c r="L158" i="11"/>
  <c r="L142" i="11"/>
  <c r="L134" i="11"/>
  <c r="L130" i="11"/>
  <c r="L122" i="11"/>
  <c r="L114" i="11"/>
  <c r="L106" i="11"/>
  <c r="L98" i="11"/>
  <c r="L22" i="59"/>
  <c r="AY22" i="59" s="1"/>
  <c r="K210" i="71"/>
  <c r="K170" i="71"/>
  <c r="K138" i="71"/>
  <c r="K106" i="71"/>
  <c r="K74" i="71"/>
  <c r="K42" i="71"/>
  <c r="L243" i="11"/>
  <c r="L139" i="11"/>
  <c r="L75" i="11"/>
  <c r="L19" i="11"/>
  <c r="L245" i="59"/>
  <c r="AY245" i="59" s="1"/>
  <c r="L213" i="59"/>
  <c r="AY213" i="59" s="1"/>
  <c r="L185" i="59"/>
  <c r="AY185" i="59" s="1"/>
  <c r="L113" i="59"/>
  <c r="AY113" i="59" s="1"/>
  <c r="L105" i="59"/>
  <c r="AY105" i="59" s="1"/>
  <c r="L97" i="59"/>
  <c r="AY97" i="59" s="1"/>
  <c r="L89" i="59"/>
  <c r="AY89" i="59" s="1"/>
  <c r="L61" i="59"/>
  <c r="AY61" i="59" s="1"/>
  <c r="L57" i="59"/>
  <c r="AY57" i="59" s="1"/>
  <c r="L45" i="59"/>
  <c r="AY45" i="59" s="1"/>
  <c r="L37" i="59"/>
  <c r="AY37" i="59" s="1"/>
  <c r="L29" i="59"/>
  <c r="AY29" i="59" s="1"/>
  <c r="L21" i="59"/>
  <c r="AY21" i="59" s="1"/>
  <c r="L13" i="59"/>
  <c r="AY13" i="59" s="1"/>
  <c r="K233" i="71"/>
  <c r="K217" i="71"/>
  <c r="K201" i="71"/>
  <c r="K189" i="71"/>
  <c r="K177" i="71"/>
  <c r="K165" i="71"/>
  <c r="K149" i="71"/>
  <c r="K137" i="71"/>
  <c r="K125" i="71"/>
  <c r="K113" i="71"/>
  <c r="K101" i="71"/>
  <c r="K81" i="71"/>
  <c r="K73" i="71"/>
  <c r="K57" i="71"/>
  <c r="K45" i="71"/>
  <c r="K33" i="71"/>
  <c r="K17" i="71"/>
  <c r="L251" i="11"/>
  <c r="L219" i="11"/>
  <c r="L187" i="11"/>
  <c r="L163" i="11"/>
  <c r="L143" i="11"/>
  <c r="L127" i="11"/>
  <c r="L111" i="11"/>
  <c r="L95" i="11"/>
  <c r="L79" i="11"/>
  <c r="L63" i="11"/>
  <c r="L47" i="11"/>
  <c r="L27" i="11"/>
  <c r="L246" i="11"/>
  <c r="L230" i="11"/>
  <c r="L226" i="11"/>
  <c r="L218" i="11"/>
  <c r="L210" i="11"/>
  <c r="L202" i="11"/>
  <c r="L118" i="11"/>
  <c r="L102" i="11"/>
  <c r="L86" i="11"/>
  <c r="L74" i="11"/>
  <c r="L58" i="11"/>
  <c r="L50" i="11"/>
  <c r="L42" i="11"/>
  <c r="L34" i="11"/>
  <c r="K252" i="46"/>
  <c r="K244" i="46"/>
  <c r="K236" i="46"/>
  <c r="K228" i="46"/>
  <c r="K220" i="46"/>
  <c r="K212" i="46"/>
  <c r="K200" i="46"/>
  <c r="K192" i="46"/>
  <c r="K180" i="46"/>
  <c r="K172" i="46"/>
  <c r="K156" i="46"/>
  <c r="K144" i="46"/>
  <c r="K108" i="46"/>
  <c r="K80" i="46"/>
  <c r="K44" i="46"/>
  <c r="L220" i="59"/>
  <c r="AY220" i="59" s="1"/>
  <c r="L208" i="59"/>
  <c r="AY208" i="59" s="1"/>
  <c r="L50" i="59"/>
  <c r="AY50" i="59" s="1"/>
  <c r="L30" i="59"/>
  <c r="AY30" i="59" s="1"/>
  <c r="K226" i="71"/>
  <c r="K178" i="71"/>
  <c r="K146" i="71"/>
  <c r="K114" i="71"/>
  <c r="K82" i="71"/>
  <c r="K50" i="71"/>
  <c r="K18" i="71"/>
  <c r="L155" i="11"/>
  <c r="L91" i="11"/>
  <c r="L31" i="11"/>
  <c r="L253" i="59"/>
  <c r="AY253" i="59" s="1"/>
  <c r="L221" i="59"/>
  <c r="AY221" i="59" s="1"/>
  <c r="L189" i="59"/>
  <c r="AY189" i="59" s="1"/>
  <c r="L161" i="59"/>
  <c r="AY161" i="59" s="1"/>
  <c r="L153" i="59"/>
  <c r="AY153" i="59" s="1"/>
  <c r="L145" i="59"/>
  <c r="AY145" i="59" s="1"/>
  <c r="L137" i="59"/>
  <c r="AY137" i="59" s="1"/>
  <c r="L117" i="59"/>
  <c r="AY117" i="59" s="1"/>
  <c r="L93" i="59"/>
  <c r="AY93" i="59" s="1"/>
  <c r="L81" i="59"/>
  <c r="AY81" i="59" s="1"/>
  <c r="L73" i="59"/>
  <c r="AY73" i="59" s="1"/>
  <c r="L49" i="59"/>
  <c r="AY49" i="59" s="1"/>
  <c r="L254" i="11"/>
  <c r="L238" i="11"/>
  <c r="L214" i="11"/>
  <c r="L198" i="11"/>
  <c r="L194" i="11"/>
  <c r="L186" i="11"/>
  <c r="L178" i="11"/>
  <c r="L170" i="11"/>
  <c r="L162" i="11"/>
  <c r="L154" i="11"/>
  <c r="L146" i="11"/>
  <c r="L126" i="11"/>
  <c r="L110" i="11"/>
  <c r="L94" i="11"/>
  <c r="L78" i="11"/>
  <c r="L70" i="11"/>
  <c r="L66" i="11"/>
  <c r="L26" i="11"/>
  <c r="L18" i="11"/>
  <c r="L256" i="59"/>
  <c r="AY256" i="59" s="1"/>
  <c r="L248" i="59"/>
  <c r="AY248" i="59" s="1"/>
  <c r="L240" i="59"/>
  <c r="AY240" i="59" s="1"/>
  <c r="L232" i="59"/>
  <c r="AY232" i="59" s="1"/>
  <c r="L212" i="59"/>
  <c r="AY212" i="59" s="1"/>
  <c r="L168" i="59"/>
  <c r="AY168" i="59" s="1"/>
  <c r="L156" i="59"/>
  <c r="AY156" i="59" s="1"/>
  <c r="L128" i="59"/>
  <c r="AY128" i="59" s="1"/>
  <c r="L30" i="11"/>
  <c r="L22" i="11"/>
  <c r="K240" i="46"/>
  <c r="K208" i="46"/>
  <c r="K160" i="46"/>
  <c r="K64" i="46"/>
  <c r="L228" i="59"/>
  <c r="AY228" i="59" s="1"/>
  <c r="L204" i="59"/>
  <c r="AY204" i="59" s="1"/>
  <c r="L196" i="59"/>
  <c r="AY196" i="59" s="1"/>
  <c r="L188" i="59"/>
  <c r="AY188" i="59" s="1"/>
  <c r="L180" i="59"/>
  <c r="AY180" i="59" s="1"/>
  <c r="L172" i="59"/>
  <c r="AY172" i="59" s="1"/>
  <c r="L144" i="59"/>
  <c r="AY144" i="59" s="1"/>
  <c r="L136" i="59"/>
  <c r="AY136" i="59" s="1"/>
  <c r="L88" i="59"/>
  <c r="AY88" i="59" s="1"/>
  <c r="L72" i="59"/>
  <c r="AY72" i="59" s="1"/>
  <c r="L60" i="59"/>
  <c r="AY60" i="59" s="1"/>
  <c r="L52" i="59"/>
  <c r="AY52" i="59" s="1"/>
  <c r="L28" i="59"/>
  <c r="AY28" i="59" s="1"/>
  <c r="L20" i="59"/>
  <c r="AY20" i="59" s="1"/>
  <c r="L12" i="59"/>
  <c r="AY12" i="59" s="1"/>
  <c r="L163" i="59"/>
  <c r="AY163" i="59" s="1"/>
  <c r="L159" i="59"/>
  <c r="AY159" i="59" s="1"/>
  <c r="L151" i="59"/>
  <c r="AY151" i="59" s="1"/>
  <c r="L143" i="59"/>
  <c r="AY143" i="59" s="1"/>
  <c r="L135" i="59"/>
  <c r="AY135" i="59" s="1"/>
  <c r="L127" i="59"/>
  <c r="AY127" i="59" s="1"/>
  <c r="L119" i="59"/>
  <c r="AY119" i="59" s="1"/>
  <c r="L111" i="59"/>
  <c r="AY111" i="59" s="1"/>
  <c r="L95" i="59"/>
  <c r="AY95" i="59" s="1"/>
  <c r="L87" i="59"/>
  <c r="AY87" i="59" s="1"/>
  <c r="L71" i="59"/>
  <c r="AY71" i="59" s="1"/>
  <c r="L55" i="59"/>
  <c r="AY55" i="59" s="1"/>
  <c r="L39" i="59"/>
  <c r="AY39" i="59" s="1"/>
  <c r="L15" i="59"/>
  <c r="AY15" i="59" s="1"/>
  <c r="K183" i="71"/>
  <c r="K135" i="71"/>
  <c r="K103" i="71"/>
  <c r="K87" i="71"/>
  <c r="K55" i="71"/>
  <c r="L82" i="11"/>
  <c r="L62" i="11"/>
  <c r="L38" i="11"/>
  <c r="K248" i="46"/>
  <c r="K216" i="46"/>
  <c r="K176" i="46"/>
  <c r="K104" i="46"/>
  <c r="L236" i="59"/>
  <c r="AY236" i="59" s="1"/>
  <c r="L164" i="59"/>
  <c r="AY164" i="59" s="1"/>
  <c r="L120" i="59"/>
  <c r="AY120" i="59" s="1"/>
  <c r="L112" i="59"/>
  <c r="AY112" i="59" s="1"/>
  <c r="L104" i="59"/>
  <c r="AY104" i="59" s="1"/>
  <c r="L92" i="59"/>
  <c r="AY92" i="59" s="1"/>
  <c r="L80" i="59"/>
  <c r="AY80" i="59" s="1"/>
  <c r="L40" i="59"/>
  <c r="AY40" i="59" s="1"/>
  <c r="K176" i="71"/>
  <c r="K152" i="71"/>
  <c r="K136" i="71"/>
  <c r="K112" i="71"/>
  <c r="K88" i="71"/>
  <c r="K72" i="71"/>
  <c r="K56" i="71"/>
  <c r="K40" i="71"/>
  <c r="K24" i="71"/>
  <c r="L247" i="11"/>
  <c r="L215" i="11"/>
  <c r="L171" i="11"/>
  <c r="L253" i="11"/>
  <c r="L237" i="11"/>
  <c r="L221" i="11"/>
  <c r="L205" i="11"/>
  <c r="L189" i="11"/>
  <c r="L173" i="11"/>
  <c r="L157" i="11"/>
  <c r="L137" i="11"/>
  <c r="L121" i="11"/>
  <c r="L105" i="11"/>
  <c r="L89" i="11"/>
  <c r="L73" i="11"/>
  <c r="L57" i="11"/>
  <c r="L41" i="11"/>
  <c r="K215" i="46"/>
  <c r="K191" i="46"/>
  <c r="K175" i="46"/>
  <c r="K159" i="46"/>
  <c r="K135" i="46"/>
  <c r="K103" i="46"/>
  <c r="K79" i="46"/>
  <c r="K63" i="46"/>
  <c r="L251" i="59"/>
  <c r="AY251" i="59" s="1"/>
  <c r="L243" i="59"/>
  <c r="AY243" i="59" s="1"/>
  <c r="L235" i="59"/>
  <c r="AY235" i="59" s="1"/>
  <c r="L227" i="59"/>
  <c r="AY227" i="59" s="1"/>
  <c r="L219" i="59"/>
  <c r="AY219" i="59" s="1"/>
  <c r="L211" i="59"/>
  <c r="AY211" i="59" s="1"/>
  <c r="L203" i="59"/>
  <c r="AY203" i="59" s="1"/>
  <c r="L195" i="59"/>
  <c r="AY195" i="59" s="1"/>
  <c r="L187" i="59"/>
  <c r="AY187" i="59" s="1"/>
  <c r="L179" i="59"/>
  <c r="AY179" i="59" s="1"/>
  <c r="L171" i="59"/>
  <c r="AY171" i="59" s="1"/>
  <c r="L155" i="59"/>
  <c r="AY155" i="59" s="1"/>
  <c r="L147" i="59"/>
  <c r="AY147" i="59" s="1"/>
  <c r="L115" i="59"/>
  <c r="AY115" i="59" s="1"/>
  <c r="L51" i="59"/>
  <c r="AY51" i="59" s="1"/>
  <c r="L19" i="59"/>
  <c r="AY19" i="59" s="1"/>
  <c r="K34" i="46"/>
  <c r="K127" i="71"/>
  <c r="K95" i="71"/>
  <c r="K63" i="71"/>
  <c r="K31" i="71"/>
  <c r="K15" i="71"/>
  <c r="L90" i="11"/>
  <c r="L46" i="11"/>
  <c r="K256" i="46"/>
  <c r="K224" i="46"/>
  <c r="K188" i="46"/>
  <c r="K128" i="46"/>
  <c r="L244" i="59"/>
  <c r="AY244" i="59" s="1"/>
  <c r="L200" i="59"/>
  <c r="AY200" i="59" s="1"/>
  <c r="L192" i="59"/>
  <c r="AY192" i="59" s="1"/>
  <c r="L184" i="59"/>
  <c r="AY184" i="59" s="1"/>
  <c r="L176" i="59"/>
  <c r="AY176" i="59" s="1"/>
  <c r="L148" i="59"/>
  <c r="AY148" i="59" s="1"/>
  <c r="L132" i="59"/>
  <c r="AY132" i="59" s="1"/>
  <c r="L124" i="59"/>
  <c r="AY124" i="59" s="1"/>
  <c r="L108" i="59"/>
  <c r="AY108" i="59" s="1"/>
  <c r="L84" i="59"/>
  <c r="AY84" i="59" s="1"/>
  <c r="L76" i="59"/>
  <c r="AY76" i="59" s="1"/>
  <c r="L64" i="59"/>
  <c r="AY64" i="59" s="1"/>
  <c r="L56" i="59"/>
  <c r="AY56" i="59" s="1"/>
  <c r="L48" i="59"/>
  <c r="AY48" i="59" s="1"/>
  <c r="L32" i="59"/>
  <c r="AY32" i="59" s="1"/>
  <c r="L24" i="59"/>
  <c r="AY24" i="59" s="1"/>
  <c r="L16" i="59"/>
  <c r="AY16" i="59" s="1"/>
  <c r="L245" i="11"/>
  <c r="L229" i="11"/>
  <c r="L213" i="11"/>
  <c r="L197" i="11"/>
  <c r="L181" i="11"/>
  <c r="L165" i="11"/>
  <c r="L149" i="11"/>
  <c r="L129" i="11"/>
  <c r="L113" i="11"/>
  <c r="L97" i="11"/>
  <c r="L81" i="11"/>
  <c r="L65" i="11"/>
  <c r="L49" i="11"/>
  <c r="L139" i="59"/>
  <c r="AY139" i="59" s="1"/>
  <c r="L131" i="59"/>
  <c r="AY131" i="59" s="1"/>
  <c r="L123" i="59"/>
  <c r="AY123" i="59" s="1"/>
  <c r="L107" i="59"/>
  <c r="AY107" i="59" s="1"/>
  <c r="L99" i="59"/>
  <c r="AY99" i="59" s="1"/>
  <c r="L91" i="59"/>
  <c r="AY91" i="59" s="1"/>
  <c r="L83" i="59"/>
  <c r="AY83" i="59" s="1"/>
  <c r="L75" i="59"/>
  <c r="AY75" i="59" s="1"/>
  <c r="L67" i="59"/>
  <c r="AY67" i="59" s="1"/>
  <c r="L59" i="59"/>
  <c r="AY59" i="59" s="1"/>
  <c r="L43" i="59"/>
  <c r="AY43" i="59" s="1"/>
  <c r="L35" i="59"/>
  <c r="AY35" i="59" s="1"/>
  <c r="L27" i="59"/>
  <c r="AY27" i="59" s="1"/>
  <c r="K191" i="71"/>
  <c r="K175" i="71"/>
  <c r="K159" i="71"/>
  <c r="K143" i="71"/>
  <c r="K111" i="71"/>
  <c r="K79" i="71"/>
  <c r="K47" i="71"/>
  <c r="L54" i="11"/>
  <c r="L14" i="11"/>
  <c r="K232" i="46"/>
  <c r="K196" i="46"/>
  <c r="K148" i="46"/>
  <c r="L252" i="59"/>
  <c r="AY252" i="59" s="1"/>
  <c r="L224" i="59"/>
  <c r="AY224" i="59" s="1"/>
  <c r="L216" i="59"/>
  <c r="AY216" i="59" s="1"/>
  <c r="L160" i="59"/>
  <c r="AY160" i="59" s="1"/>
  <c r="L152" i="59"/>
  <c r="AY152" i="59" s="1"/>
  <c r="L140" i="59"/>
  <c r="AY140" i="59" s="1"/>
  <c r="L116" i="59"/>
  <c r="L100" i="59"/>
  <c r="AY100" i="59" s="1"/>
  <c r="L96" i="59"/>
  <c r="AY96" i="59" s="1"/>
  <c r="L68" i="59"/>
  <c r="AY68" i="59" s="1"/>
  <c r="L44" i="59"/>
  <c r="AY44" i="59" s="1"/>
  <c r="L36" i="59"/>
  <c r="AY36" i="59" s="1"/>
  <c r="K192" i="71"/>
  <c r="K168" i="71"/>
  <c r="K144" i="71"/>
  <c r="K128" i="71"/>
  <c r="K104" i="71"/>
  <c r="K80" i="71"/>
  <c r="K64" i="71"/>
  <c r="K48" i="71"/>
  <c r="K32" i="71"/>
  <c r="K16" i="71"/>
  <c r="L231" i="11"/>
  <c r="L195" i="11"/>
  <c r="L13" i="11"/>
  <c r="L25" i="11"/>
  <c r="K199" i="46"/>
  <c r="K183" i="46"/>
  <c r="K171" i="46"/>
  <c r="K143" i="46"/>
  <c r="K127" i="46"/>
  <c r="K87" i="46"/>
  <c r="K71" i="46"/>
  <c r="L255" i="59"/>
  <c r="AY255" i="59" s="1"/>
  <c r="L247" i="59"/>
  <c r="AY247" i="59" s="1"/>
  <c r="L239" i="59"/>
  <c r="AY239" i="59" s="1"/>
  <c r="L231" i="59"/>
  <c r="AY231" i="59" s="1"/>
  <c r="L223" i="59"/>
  <c r="AY223" i="59" s="1"/>
  <c r="L215" i="59"/>
  <c r="AY215" i="59" s="1"/>
  <c r="L207" i="59"/>
  <c r="AY207" i="59" s="1"/>
  <c r="L199" i="59"/>
  <c r="AY199" i="59" s="1"/>
  <c r="L191" i="59"/>
  <c r="AY191" i="59" s="1"/>
  <c r="L183" i="59"/>
  <c r="AY183" i="59" s="1"/>
  <c r="L175" i="59"/>
  <c r="AY175" i="59" s="1"/>
  <c r="L167" i="59"/>
  <c r="AY167" i="59" s="1"/>
  <c r="L79" i="59"/>
  <c r="AY79" i="59" s="1"/>
  <c r="L23" i="59"/>
  <c r="AY23" i="59" s="1"/>
  <c r="L103" i="59"/>
  <c r="AY103" i="59" s="1"/>
  <c r="L63" i="59"/>
  <c r="AY63" i="59" s="1"/>
  <c r="L47" i="59"/>
  <c r="AY47" i="59" s="1"/>
  <c r="L31" i="59"/>
  <c r="AY31" i="59" s="1"/>
  <c r="K167" i="71"/>
  <c r="K151" i="71"/>
  <c r="K119" i="71"/>
  <c r="K71" i="71"/>
  <c r="K39" i="71"/>
  <c r="K23" i="71"/>
  <c r="A12" i="46"/>
  <c r="A13" i="46"/>
  <c r="A11" i="46"/>
  <c r="B12" i="59"/>
  <c r="L11" i="11"/>
  <c r="B11" i="11"/>
  <c r="B12" i="11"/>
  <c r="A17" i="71"/>
  <c r="A26" i="71"/>
  <c r="A45" i="71"/>
  <c r="A54" i="71"/>
  <c r="A63" i="71"/>
  <c r="A72" i="71"/>
  <c r="A81" i="71"/>
  <c r="A90" i="71"/>
  <c r="A109" i="71"/>
  <c r="A118" i="71"/>
  <c r="A127" i="71"/>
  <c r="A136" i="71"/>
  <c r="A145" i="71"/>
  <c r="A154" i="71"/>
  <c r="A173" i="71"/>
  <c r="A182" i="71"/>
  <c r="A18" i="71"/>
  <c r="A37" i="71"/>
  <c r="A46" i="71"/>
  <c r="A55" i="71"/>
  <c r="A64" i="71"/>
  <c r="A73" i="71"/>
  <c r="A82" i="71"/>
  <c r="A101" i="71"/>
  <c r="A110" i="71"/>
  <c r="A119" i="71"/>
  <c r="A128" i="71"/>
  <c r="A137" i="71"/>
  <c r="A146" i="71"/>
  <c r="A165" i="71"/>
  <c r="A174" i="71"/>
  <c r="A183" i="71"/>
  <c r="A192" i="71"/>
  <c r="A201" i="71"/>
  <c r="A210" i="71"/>
  <c r="A229" i="71"/>
  <c r="A29" i="71"/>
  <c r="A38" i="71"/>
  <c r="A47" i="71"/>
  <c r="A56" i="71"/>
  <c r="A65" i="71"/>
  <c r="A74" i="71"/>
  <c r="A93" i="71"/>
  <c r="A102" i="71"/>
  <c r="A111" i="71"/>
  <c r="A120" i="71"/>
  <c r="A129" i="71"/>
  <c r="A138" i="71"/>
  <c r="A157" i="71"/>
  <c r="A166" i="71"/>
  <c r="A175" i="71"/>
  <c r="A184" i="71"/>
  <c r="A193" i="71"/>
  <c r="A202" i="71"/>
  <c r="A221" i="71"/>
  <c r="A230" i="71"/>
  <c r="A21" i="71"/>
  <c r="A30" i="71"/>
  <c r="A39" i="71"/>
  <c r="A48" i="71"/>
  <c r="A57" i="71"/>
  <c r="A66" i="71"/>
  <c r="A85" i="71"/>
  <c r="A94" i="71"/>
  <c r="A103" i="71"/>
  <c r="A112" i="71"/>
  <c r="A121" i="71"/>
  <c r="A130" i="71"/>
  <c r="A149" i="71"/>
  <c r="A158" i="71"/>
  <c r="A167" i="71"/>
  <c r="A176" i="71"/>
  <c r="A185" i="71"/>
  <c r="A194" i="71"/>
  <c r="A213" i="71"/>
  <c r="A222" i="71"/>
  <c r="A13" i="71"/>
  <c r="A22" i="71"/>
  <c r="A31" i="71"/>
  <c r="A40" i="71"/>
  <c r="A49" i="71"/>
  <c r="A14" i="71"/>
  <c r="A23" i="71"/>
  <c r="A32" i="71"/>
  <c r="A41" i="71"/>
  <c r="A50" i="71"/>
  <c r="A69" i="71"/>
  <c r="A78" i="71"/>
  <c r="A87" i="71"/>
  <c r="A96" i="71"/>
  <c r="A105" i="71"/>
  <c r="A114" i="71"/>
  <c r="A133" i="71"/>
  <c r="A142" i="71"/>
  <c r="A151" i="71"/>
  <c r="A160" i="71"/>
  <c r="A169" i="71"/>
  <c r="A178" i="71"/>
  <c r="A197" i="71"/>
  <c r="A206" i="71"/>
  <c r="A215" i="71"/>
  <c r="A15" i="71"/>
  <c r="A24" i="71"/>
  <c r="A33" i="71"/>
  <c r="A42" i="71"/>
  <c r="A61" i="71"/>
  <c r="A70" i="71"/>
  <c r="A79" i="71"/>
  <c r="A88" i="71"/>
  <c r="A97" i="71"/>
  <c r="A106" i="71"/>
  <c r="A125" i="71"/>
  <c r="A134" i="71"/>
  <c r="A143" i="71"/>
  <c r="A152" i="71"/>
  <c r="A62" i="71"/>
  <c r="A98" i="71"/>
  <c r="A135" i="71"/>
  <c r="A168" i="71"/>
  <c r="A190" i="71"/>
  <c r="A208" i="71"/>
  <c r="A225" i="71"/>
  <c r="A237" i="71"/>
  <c r="A246" i="71"/>
  <c r="A255" i="71"/>
  <c r="A68" i="71"/>
  <c r="A104" i="71"/>
  <c r="A141" i="71"/>
  <c r="A170" i="71"/>
  <c r="A191" i="71"/>
  <c r="A209" i="71"/>
  <c r="A226" i="71"/>
  <c r="A238" i="71"/>
  <c r="A247" i="71"/>
  <c r="A256" i="71"/>
  <c r="A16" i="71"/>
  <c r="A71" i="71"/>
  <c r="A108" i="71"/>
  <c r="A144" i="71"/>
  <c r="A172" i="71"/>
  <c r="A196" i="71"/>
  <c r="A214" i="71"/>
  <c r="A228" i="71"/>
  <c r="A239" i="71"/>
  <c r="A248" i="71"/>
  <c r="A25" i="71"/>
  <c r="A77" i="71"/>
  <c r="A113" i="71"/>
  <c r="A150" i="71"/>
  <c r="A177" i="71"/>
  <c r="A198" i="71"/>
  <c r="A216" i="71"/>
  <c r="A231" i="71"/>
  <c r="A86" i="71"/>
  <c r="A122" i="71"/>
  <c r="A159" i="71"/>
  <c r="A181" i="71"/>
  <c r="A200" i="71"/>
  <c r="A218" i="71"/>
  <c r="A233" i="71"/>
  <c r="A242" i="71"/>
  <c r="A53" i="71"/>
  <c r="A89" i="71"/>
  <c r="A126" i="71"/>
  <c r="A161" i="71"/>
  <c r="A186" i="71"/>
  <c r="A205" i="71"/>
  <c r="A223" i="71"/>
  <c r="A234" i="71"/>
  <c r="A244" i="71"/>
  <c r="A253" i="71"/>
  <c r="A153" i="71"/>
  <c r="A232" i="71"/>
  <c r="A162" i="71"/>
  <c r="A236" i="71"/>
  <c r="B14" i="59"/>
  <c r="B22" i="59"/>
  <c r="B30" i="59"/>
  <c r="B38" i="59"/>
  <c r="B46" i="59"/>
  <c r="B54" i="59"/>
  <c r="B62" i="59"/>
  <c r="B70" i="59"/>
  <c r="B78" i="59"/>
  <c r="B86" i="59"/>
  <c r="B94" i="59"/>
  <c r="B102" i="59"/>
  <c r="B110" i="59"/>
  <c r="B118" i="59"/>
  <c r="A34" i="71"/>
  <c r="A180" i="71"/>
  <c r="A240" i="71"/>
  <c r="A58" i="71"/>
  <c r="A189" i="71"/>
  <c r="A241" i="71"/>
  <c r="B16" i="59"/>
  <c r="B24" i="59"/>
  <c r="B32" i="59"/>
  <c r="B40" i="59"/>
  <c r="B48" i="59"/>
  <c r="B56" i="59"/>
  <c r="B64" i="59"/>
  <c r="B72" i="59"/>
  <c r="A80" i="71"/>
  <c r="A199" i="71"/>
  <c r="A245" i="71"/>
  <c r="A95" i="71"/>
  <c r="A207" i="71"/>
  <c r="A249" i="71"/>
  <c r="A117" i="71"/>
  <c r="A217" i="71"/>
  <c r="A250" i="71"/>
  <c r="B19" i="59"/>
  <c r="B27" i="59"/>
  <c r="B35" i="59"/>
  <c r="B43" i="59"/>
  <c r="B51" i="59"/>
  <c r="B59" i="59"/>
  <c r="B67" i="59"/>
  <c r="B75" i="59"/>
  <c r="B83" i="59"/>
  <c r="B91" i="59"/>
  <c r="B99" i="59"/>
  <c r="B107" i="59"/>
  <c r="B15" i="59"/>
  <c r="B28" i="59"/>
  <c r="B17" i="59"/>
  <c r="B29" i="59"/>
  <c r="B42" i="59"/>
  <c r="B55" i="59"/>
  <c r="B68" i="59"/>
  <c r="B80" i="59"/>
  <c r="B90" i="59"/>
  <c r="B101" i="59"/>
  <c r="B112" i="59"/>
  <c r="B121" i="59"/>
  <c r="B129" i="59"/>
  <c r="B137" i="59"/>
  <c r="B145" i="59"/>
  <c r="B153" i="59"/>
  <c r="B161" i="59"/>
  <c r="B169" i="59"/>
  <c r="B177" i="59"/>
  <c r="B185" i="59"/>
  <c r="B193" i="59"/>
  <c r="B201" i="59"/>
  <c r="B209" i="59"/>
  <c r="B217" i="59"/>
  <c r="B225" i="59"/>
  <c r="B233" i="59"/>
  <c r="B18" i="59"/>
  <c r="B31" i="59"/>
  <c r="B44" i="59"/>
  <c r="B57" i="59"/>
  <c r="B69" i="59"/>
  <c r="B81" i="59"/>
  <c r="B92" i="59"/>
  <c r="B103" i="59"/>
  <c r="B113" i="59"/>
  <c r="B122" i="59"/>
  <c r="B130" i="59"/>
  <c r="B138" i="59"/>
  <c r="B146" i="59"/>
  <c r="B20" i="59"/>
  <c r="B33" i="59"/>
  <c r="B45" i="59"/>
  <c r="B58" i="59"/>
  <c r="B71" i="59"/>
  <c r="B82" i="59"/>
  <c r="B93" i="59"/>
  <c r="B104" i="59"/>
  <c r="B114" i="59"/>
  <c r="B123" i="59"/>
  <c r="B131" i="59"/>
  <c r="B139" i="59"/>
  <c r="B147" i="59"/>
  <c r="B155" i="59"/>
  <c r="B163" i="59"/>
  <c r="B171" i="59"/>
  <c r="B179" i="59"/>
  <c r="B187" i="59"/>
  <c r="B195" i="59"/>
  <c r="B203" i="59"/>
  <c r="B211" i="59"/>
  <c r="B219" i="59"/>
  <c r="B227" i="59"/>
  <c r="B235" i="59"/>
  <c r="B243" i="59"/>
  <c r="B21" i="59"/>
  <c r="B34" i="59"/>
  <c r="B47" i="59"/>
  <c r="B60" i="59"/>
  <c r="B73" i="59"/>
  <c r="B84" i="59"/>
  <c r="B95" i="59"/>
  <c r="B105" i="59"/>
  <c r="B115" i="59"/>
  <c r="B124" i="59"/>
  <c r="B132" i="59"/>
  <c r="B140" i="59"/>
  <c r="B148" i="59"/>
  <c r="B156" i="59"/>
  <c r="B164" i="59"/>
  <c r="B172" i="59"/>
  <c r="B180" i="59"/>
  <c r="B188" i="59"/>
  <c r="B196" i="59"/>
  <c r="B204" i="59"/>
  <c r="A132" i="71"/>
  <c r="B23" i="59"/>
  <c r="B36" i="59"/>
  <c r="B49" i="59"/>
  <c r="B61" i="59"/>
  <c r="B74" i="59"/>
  <c r="B85" i="59"/>
  <c r="B96" i="59"/>
  <c r="B106" i="59"/>
  <c r="B116" i="59"/>
  <c r="B125" i="59"/>
  <c r="B133" i="59"/>
  <c r="B141" i="59"/>
  <c r="B149" i="59"/>
  <c r="B157" i="59"/>
  <c r="B165" i="59"/>
  <c r="B173" i="59"/>
  <c r="B181" i="59"/>
  <c r="B189" i="59"/>
  <c r="B197" i="59"/>
  <c r="A224" i="71"/>
  <c r="B25" i="59"/>
  <c r="B37" i="59"/>
  <c r="B50" i="59"/>
  <c r="B63" i="59"/>
  <c r="B76" i="59"/>
  <c r="B87" i="59"/>
  <c r="B97" i="59"/>
  <c r="B108" i="59"/>
  <c r="B117" i="59"/>
  <c r="B126" i="59"/>
  <c r="B134" i="59"/>
  <c r="B142" i="59"/>
  <c r="B150" i="59"/>
  <c r="B158" i="59"/>
  <c r="B166" i="59"/>
  <c r="B174" i="59"/>
  <c r="B182" i="59"/>
  <c r="B190" i="59"/>
  <c r="B198" i="59"/>
  <c r="B206" i="59"/>
  <c r="A254" i="71"/>
  <c r="B66" i="59"/>
  <c r="B111" i="59"/>
  <c r="B144" i="59"/>
  <c r="B168" i="59"/>
  <c r="B191" i="59"/>
  <c r="B210" i="59"/>
  <c r="B223" i="59"/>
  <c r="B236" i="59"/>
  <c r="B247" i="59"/>
  <c r="B256" i="59"/>
  <c r="B13" i="59"/>
  <c r="B77" i="59"/>
  <c r="B119" i="59"/>
  <c r="B151" i="59"/>
  <c r="B170" i="59"/>
  <c r="B192" i="59"/>
  <c r="B212" i="59"/>
  <c r="B224" i="59"/>
  <c r="B238" i="59"/>
  <c r="B248" i="59"/>
  <c r="B257" i="59"/>
  <c r="B26" i="59"/>
  <c r="B79" i="59"/>
  <c r="B120" i="59"/>
  <c r="B152" i="59"/>
  <c r="B175" i="59"/>
  <c r="B194" i="59"/>
  <c r="B214" i="59"/>
  <c r="B226" i="59"/>
  <c r="B239" i="59"/>
  <c r="B249" i="59"/>
  <c r="B258" i="59"/>
  <c r="B39" i="59"/>
  <c r="B88" i="59"/>
  <c r="B127" i="59"/>
  <c r="B154" i="59"/>
  <c r="B176" i="59"/>
  <c r="B199" i="59"/>
  <c r="B215" i="59"/>
  <c r="B228" i="59"/>
  <c r="B240" i="59"/>
  <c r="B250" i="59"/>
  <c r="B41" i="59"/>
  <c r="B89" i="59"/>
  <c r="B128" i="59"/>
  <c r="B159" i="59"/>
  <c r="B178" i="59"/>
  <c r="B200" i="59"/>
  <c r="B216" i="59"/>
  <c r="B230" i="59"/>
  <c r="B241" i="59"/>
  <c r="B251" i="59"/>
  <c r="B52" i="59"/>
  <c r="B98" i="59"/>
  <c r="B135" i="59"/>
  <c r="B160" i="59"/>
  <c r="B183" i="59"/>
  <c r="B202" i="59"/>
  <c r="B218" i="59"/>
  <c r="B231" i="59"/>
  <c r="B242" i="59"/>
  <c r="B252" i="59"/>
  <c r="B53" i="59"/>
  <c r="B100" i="59"/>
  <c r="B136" i="59"/>
  <c r="B162" i="59"/>
  <c r="B184" i="59"/>
  <c r="B207" i="59"/>
  <c r="B220" i="59"/>
  <c r="B232" i="59"/>
  <c r="B244" i="59"/>
  <c r="B254" i="59"/>
  <c r="B234" i="59"/>
  <c r="A16" i="46"/>
  <c r="A25" i="46"/>
  <c r="A34" i="46"/>
  <c r="A43" i="46"/>
  <c r="A53" i="46"/>
  <c r="A62" i="46"/>
  <c r="A71" i="46"/>
  <c r="A80" i="46"/>
  <c r="A89" i="46"/>
  <c r="A98" i="46"/>
  <c r="A107" i="46"/>
  <c r="A117" i="46"/>
  <c r="A126" i="46"/>
  <c r="A135" i="46"/>
  <c r="A144" i="46"/>
  <c r="A153" i="46"/>
  <c r="A162" i="46"/>
  <c r="A171" i="46"/>
  <c r="A181" i="46"/>
  <c r="A190" i="46"/>
  <c r="A199" i="46"/>
  <c r="A208" i="46"/>
  <c r="A217" i="46"/>
  <c r="A226" i="46"/>
  <c r="A235" i="46"/>
  <c r="A245" i="46"/>
  <c r="A254" i="46"/>
  <c r="B65" i="59"/>
  <c r="B246" i="59"/>
  <c r="A17" i="46"/>
  <c r="A26" i="46"/>
  <c r="A35" i="46"/>
  <c r="A45" i="46"/>
  <c r="A54" i="46"/>
  <c r="A63" i="46"/>
  <c r="A72" i="46"/>
  <c r="A81" i="46"/>
  <c r="A90" i="46"/>
  <c r="A99" i="46"/>
  <c r="A109" i="46"/>
  <c r="A118" i="46"/>
  <c r="A127" i="46"/>
  <c r="A136" i="46"/>
  <c r="A145" i="46"/>
  <c r="A154" i="46"/>
  <c r="A163" i="46"/>
  <c r="A173" i="46"/>
  <c r="A182" i="46"/>
  <c r="A191" i="46"/>
  <c r="A200" i="46"/>
  <c r="A209" i="46"/>
  <c r="A218" i="46"/>
  <c r="A227" i="46"/>
  <c r="A237" i="46"/>
  <c r="A246" i="46"/>
  <c r="A255" i="46"/>
  <c r="B109" i="59"/>
  <c r="B255" i="59"/>
  <c r="A18" i="46"/>
  <c r="A27" i="46"/>
  <c r="A37" i="46"/>
  <c r="A46" i="46"/>
  <c r="A55" i="46"/>
  <c r="A64" i="46"/>
  <c r="A73" i="46"/>
  <c r="A82" i="46"/>
  <c r="A91" i="46"/>
  <c r="A101" i="46"/>
  <c r="A110" i="46"/>
  <c r="A119" i="46"/>
  <c r="A128" i="46"/>
  <c r="A137" i="46"/>
  <c r="A146" i="46"/>
  <c r="A155" i="46"/>
  <c r="A165" i="46"/>
  <c r="A174" i="46"/>
  <c r="A183" i="46"/>
  <c r="A192" i="46"/>
  <c r="A201" i="46"/>
  <c r="A210" i="46"/>
  <c r="A219" i="46"/>
  <c r="A229" i="46"/>
  <c r="A238" i="46"/>
  <c r="A247" i="46"/>
  <c r="A256" i="46"/>
  <c r="B143" i="59"/>
  <c r="A19" i="46"/>
  <c r="A29" i="46"/>
  <c r="A38" i="46"/>
  <c r="A47" i="46"/>
  <c r="A56" i="46"/>
  <c r="A65" i="46"/>
  <c r="A74" i="46"/>
  <c r="A83" i="46"/>
  <c r="A93" i="46"/>
  <c r="A102" i="46"/>
  <c r="A111" i="46"/>
  <c r="A120" i="46"/>
  <c r="A129" i="46"/>
  <c r="A138" i="46"/>
  <c r="A147" i="46"/>
  <c r="A157" i="46"/>
  <c r="A166" i="46"/>
  <c r="A175" i="46"/>
  <c r="A184" i="46"/>
  <c r="A193" i="46"/>
  <c r="A202" i="46"/>
  <c r="A211" i="46"/>
  <c r="A221" i="46"/>
  <c r="A230" i="46"/>
  <c r="A239" i="46"/>
  <c r="A248" i="46"/>
  <c r="B167" i="59"/>
  <c r="A21" i="46"/>
  <c r="A30" i="46"/>
  <c r="A39" i="46"/>
  <c r="A48" i="46"/>
  <c r="A57" i="46"/>
  <c r="A66" i="46"/>
  <c r="A75" i="46"/>
  <c r="A85" i="46"/>
  <c r="A94" i="46"/>
  <c r="A103" i="46"/>
  <c r="A112" i="46"/>
  <c r="A121" i="46"/>
  <c r="A130" i="46"/>
  <c r="A139" i="46"/>
  <c r="A149" i="46"/>
  <c r="A158" i="46"/>
  <c r="A167" i="46"/>
  <c r="A176" i="46"/>
  <c r="A185" i="46"/>
  <c r="A194" i="46"/>
  <c r="A203" i="46"/>
  <c r="A213" i="46"/>
  <c r="A222" i="46"/>
  <c r="A231" i="46"/>
  <c r="A240" i="46"/>
  <c r="A249" i="46"/>
  <c r="B186" i="59"/>
  <c r="A22" i="46"/>
  <c r="A31" i="46"/>
  <c r="A40" i="46"/>
  <c r="A49" i="46"/>
  <c r="A58" i="46"/>
  <c r="A67" i="46"/>
  <c r="A77" i="46"/>
  <c r="A86" i="46"/>
  <c r="A95" i="46"/>
  <c r="A104" i="46"/>
  <c r="A113" i="46"/>
  <c r="A122" i="46"/>
  <c r="A131" i="46"/>
  <c r="A141" i="46"/>
  <c r="A150" i="46"/>
  <c r="A159" i="46"/>
  <c r="B208" i="59"/>
  <c r="A14" i="46"/>
  <c r="A23" i="46"/>
  <c r="A32" i="46"/>
  <c r="A41" i="46"/>
  <c r="A50" i="46"/>
  <c r="A59" i="46"/>
  <c r="A69" i="46"/>
  <c r="A78" i="46"/>
  <c r="A87" i="46"/>
  <c r="A96" i="46"/>
  <c r="A105" i="46"/>
  <c r="A114" i="46"/>
  <c r="A123" i="46"/>
  <c r="A133" i="46"/>
  <c r="A142" i="46"/>
  <c r="A151" i="46"/>
  <c r="A160" i="46"/>
  <c r="A169" i="46"/>
  <c r="A178" i="46"/>
  <c r="A187" i="46"/>
  <c r="A197" i="46"/>
  <c r="A206" i="46"/>
  <c r="A215" i="46"/>
  <c r="A224" i="46"/>
  <c r="B222" i="59"/>
  <c r="A15" i="46"/>
  <c r="A24" i="46"/>
  <c r="A33" i="46"/>
  <c r="A42" i="46"/>
  <c r="A51" i="46"/>
  <c r="A61" i="46"/>
  <c r="A70" i="46"/>
  <c r="A79" i="46"/>
  <c r="A88" i="46"/>
  <c r="A97" i="46"/>
  <c r="A106" i="46"/>
  <c r="A115" i="46"/>
  <c r="A125" i="46"/>
  <c r="A134" i="46"/>
  <c r="A143" i="46"/>
  <c r="A152" i="46"/>
  <c r="A161" i="46"/>
  <c r="A170" i="46"/>
  <c r="A179" i="46"/>
  <c r="A189" i="46"/>
  <c r="A198" i="46"/>
  <c r="A207" i="46"/>
  <c r="A216" i="46"/>
  <c r="A225" i="46"/>
  <c r="A234" i="46"/>
  <c r="A243" i="46"/>
  <c r="A253" i="46"/>
  <c r="A214" i="46"/>
  <c r="A223" i="46"/>
  <c r="A232" i="46"/>
  <c r="A168" i="46"/>
  <c r="A233" i="46"/>
  <c r="A177" i="46"/>
  <c r="A241" i="46"/>
  <c r="A186" i="46"/>
  <c r="A242" i="46"/>
  <c r="A195" i="46"/>
  <c r="A250" i="46"/>
  <c r="A205" i="46"/>
  <c r="A251" i="46"/>
  <c r="B18" i="11"/>
  <c r="B26" i="11"/>
  <c r="B193" i="11"/>
  <c r="B40" i="11"/>
  <c r="B206" i="11"/>
  <c r="B240" i="11"/>
  <c r="B172" i="11"/>
  <c r="B140" i="11"/>
  <c r="B108" i="11"/>
  <c r="B76" i="11"/>
  <c r="B258" i="11"/>
  <c r="B238" i="11"/>
  <c r="B196" i="11"/>
  <c r="B234" i="11"/>
  <c r="B58" i="11"/>
  <c r="B184" i="11"/>
  <c r="B178" i="11"/>
  <c r="B253" i="11"/>
  <c r="B221" i="11"/>
  <c r="B189" i="11"/>
  <c r="B157" i="11"/>
  <c r="B125" i="11"/>
  <c r="B93" i="11"/>
  <c r="B77" i="11"/>
  <c r="B61" i="11"/>
  <c r="B45" i="11"/>
  <c r="B29" i="11"/>
  <c r="B214" i="11"/>
  <c r="B16" i="11"/>
  <c r="B22" i="11"/>
  <c r="A188" i="46"/>
  <c r="A156" i="71"/>
  <c r="A203" i="71"/>
  <c r="B169" i="11"/>
  <c r="B32" i="11"/>
  <c r="B241" i="11"/>
  <c r="B168" i="11"/>
  <c r="B156" i="11"/>
  <c r="B92" i="11"/>
  <c r="B60" i="11"/>
  <c r="B44" i="11"/>
  <c r="B226" i="11"/>
  <c r="B236" i="11"/>
  <c r="B243" i="11"/>
  <c r="B211" i="11"/>
  <c r="B195" i="11"/>
  <c r="B179" i="11"/>
  <c r="B252" i="11"/>
  <c r="B186" i="11"/>
  <c r="B218" i="11"/>
  <c r="B161" i="11"/>
  <c r="B160" i="11"/>
  <c r="B198" i="11"/>
  <c r="B14" i="11"/>
  <c r="A252" i="46"/>
  <c r="A228" i="46"/>
  <c r="A156" i="46"/>
  <c r="A100" i="46"/>
  <c r="A84" i="46"/>
  <c r="A68" i="46"/>
  <c r="A52" i="46"/>
  <c r="B245" i="59"/>
  <c r="B229" i="59"/>
  <c r="B213" i="59"/>
  <c r="B11" i="59"/>
  <c r="A204" i="71"/>
  <c r="A84" i="71"/>
  <c r="A60" i="71"/>
  <c r="A36" i="71"/>
  <c r="A195" i="71"/>
  <c r="A163" i="71"/>
  <c r="A131" i="71"/>
  <c r="A99" i="71"/>
  <c r="A67" i="71"/>
  <c r="A35" i="71"/>
  <c r="B153" i="11"/>
  <c r="B257" i="11"/>
  <c r="B208" i="11"/>
  <c r="B242" i="11"/>
  <c r="B124" i="11"/>
  <c r="B194" i="11"/>
  <c r="B227" i="11"/>
  <c r="B163" i="11"/>
  <c r="B147" i="11"/>
  <c r="B131" i="11"/>
  <c r="B115" i="11"/>
  <c r="B99" i="11"/>
  <c r="B83" i="11"/>
  <c r="B51" i="11"/>
  <c r="B35" i="11"/>
  <c r="B146" i="11"/>
  <c r="B145" i="11"/>
  <c r="B202" i="11"/>
  <c r="B228" i="11"/>
  <c r="B239" i="11"/>
  <c r="B223" i="11"/>
  <c r="B207" i="11"/>
  <c r="B175" i="11"/>
  <c r="B143" i="11"/>
  <c r="B111" i="11"/>
  <c r="B79" i="11"/>
  <c r="B15" i="11"/>
  <c r="B138" i="11"/>
  <c r="B190" i="11"/>
  <c r="B174" i="11"/>
  <c r="B158" i="11"/>
  <c r="B142" i="11"/>
  <c r="B126" i="11"/>
  <c r="B110" i="11"/>
  <c r="B94" i="11"/>
  <c r="B78" i="11"/>
  <c r="B62" i="11"/>
  <c r="B46" i="11"/>
  <c r="B30" i="11"/>
  <c r="B137" i="11"/>
  <c r="B177" i="11"/>
  <c r="B19" i="11"/>
  <c r="A204" i="46"/>
  <c r="A220" i="71"/>
  <c r="A12" i="71"/>
  <c r="A251" i="71"/>
  <c r="A11" i="71"/>
  <c r="B66" i="11"/>
  <c r="B129" i="11"/>
  <c r="B224" i="11"/>
  <c r="B152" i="11"/>
  <c r="B210" i="11"/>
  <c r="B130" i="11"/>
  <c r="B67" i="11"/>
  <c r="B204" i="11"/>
  <c r="B98" i="11"/>
  <c r="B105" i="11"/>
  <c r="B89" i="11"/>
  <c r="B73" i="11"/>
  <c r="B57" i="11"/>
  <c r="B41" i="11"/>
  <c r="B25" i="11"/>
  <c r="B122" i="11"/>
  <c r="B185" i="11"/>
  <c r="B255" i="11"/>
  <c r="B191" i="11"/>
  <c r="B159" i="11"/>
  <c r="B127" i="11"/>
  <c r="B95" i="11"/>
  <c r="B63" i="11"/>
  <c r="B47" i="11"/>
  <c r="B31" i="11"/>
  <c r="B120" i="11"/>
  <c r="B114" i="11"/>
  <c r="B245" i="11"/>
  <c r="B213" i="11"/>
  <c r="B181" i="11"/>
  <c r="B149" i="11"/>
  <c r="B117" i="11"/>
  <c r="B85" i="11"/>
  <c r="B154" i="11"/>
  <c r="A180" i="46"/>
  <c r="A132" i="46"/>
  <c r="A116" i="46"/>
  <c r="A28" i="46"/>
  <c r="A148" i="71"/>
  <c r="A124" i="71"/>
  <c r="A100" i="71"/>
  <c r="A252" i="71"/>
  <c r="A243" i="71"/>
  <c r="A187" i="71"/>
  <c r="A155" i="71"/>
  <c r="A123" i="71"/>
  <c r="A91" i="71"/>
  <c r="A59" i="71"/>
  <c r="A27" i="71"/>
  <c r="B212" i="11"/>
  <c r="B209" i="11"/>
  <c r="B128" i="11"/>
  <c r="B222" i="11"/>
  <c r="B170" i="11"/>
  <c r="B132" i="11"/>
  <c r="B116" i="11"/>
  <c r="B52" i="11"/>
  <c r="B74" i="11"/>
  <c r="B176" i="11"/>
  <c r="B225" i="11"/>
  <c r="B256" i="11"/>
  <c r="B106" i="11"/>
  <c r="B164" i="11"/>
  <c r="B148" i="11"/>
  <c r="B100" i="11"/>
  <c r="B84" i="11"/>
  <c r="B68" i="11"/>
  <c r="B36" i="11"/>
  <c r="B180" i="11"/>
  <c r="B235" i="11"/>
  <c r="B203" i="11"/>
  <c r="B34" i="11"/>
  <c r="B220" i="11"/>
  <c r="B144" i="11"/>
  <c r="B233" i="11"/>
  <c r="B56" i="11"/>
  <c r="B232" i="11"/>
  <c r="B50" i="11"/>
  <c r="B13" i="11"/>
  <c r="B112" i="11"/>
  <c r="B20" i="11"/>
  <c r="A196" i="46"/>
  <c r="A172" i="46"/>
  <c r="A92" i="46"/>
  <c r="A76" i="46"/>
  <c r="A60" i="46"/>
  <c r="B253" i="59"/>
  <c r="B237" i="59"/>
  <c r="B221" i="59"/>
  <c r="A164" i="71"/>
  <c r="K11" i="71"/>
  <c r="A227" i="71"/>
  <c r="A179" i="71"/>
  <c r="A147" i="71"/>
  <c r="A115" i="71"/>
  <c r="A83" i="71"/>
  <c r="A51" i="71"/>
  <c r="A19" i="71"/>
  <c r="B96" i="11"/>
  <c r="B192" i="11"/>
  <c r="B104" i="11"/>
  <c r="B42" i="11"/>
  <c r="B219" i="11"/>
  <c r="B187" i="11"/>
  <c r="B171" i="11"/>
  <c r="B139" i="11"/>
  <c r="B107" i="11"/>
  <c r="B75" i="11"/>
  <c r="B59" i="11"/>
  <c r="B27" i="11"/>
  <c r="B121" i="11"/>
  <c r="B188" i="11"/>
  <c r="B247" i="11"/>
  <c r="B39" i="11"/>
  <c r="B217" i="11"/>
  <c r="B24" i="11"/>
  <c r="B182" i="11"/>
  <c r="B166" i="11"/>
  <c r="B150" i="11"/>
  <c r="B134" i="11"/>
  <c r="B118" i="11"/>
  <c r="B102" i="11"/>
  <c r="B86" i="11"/>
  <c r="B70" i="11"/>
  <c r="B54" i="11"/>
  <c r="B38" i="11"/>
  <c r="B216" i="11"/>
  <c r="B246" i="11"/>
  <c r="B80" i="11"/>
  <c r="K11" i="46"/>
  <c r="A108" i="46"/>
  <c r="A212" i="71"/>
  <c r="A188" i="71"/>
  <c r="A140" i="71"/>
  <c r="A116" i="71"/>
  <c r="A92" i="71"/>
  <c r="A219" i="71"/>
  <c r="B64" i="11"/>
  <c r="B72" i="11"/>
  <c r="B254" i="11"/>
  <c r="B251" i="11"/>
  <c r="B155" i="11"/>
  <c r="B123" i="11"/>
  <c r="B91" i="11"/>
  <c r="B43" i="11"/>
  <c r="B244" i="11"/>
  <c r="B113" i="11"/>
  <c r="B97" i="11"/>
  <c r="B81" i="11"/>
  <c r="B65" i="11"/>
  <c r="B49" i="11"/>
  <c r="B33" i="11"/>
  <c r="B17" i="11"/>
  <c r="B250" i="11"/>
  <c r="B90" i="11"/>
  <c r="B231" i="11"/>
  <c r="B215" i="11"/>
  <c r="B199" i="11"/>
  <c r="B183" i="11"/>
  <c r="B167" i="11"/>
  <c r="B151" i="11"/>
  <c r="B135" i="11"/>
  <c r="B119" i="11"/>
  <c r="B103" i="11"/>
  <c r="B87" i="11"/>
  <c r="B71" i="11"/>
  <c r="B55" i="11"/>
  <c r="B23" i="11"/>
  <c r="B201" i="11"/>
  <c r="B200" i="11"/>
  <c r="B237" i="11"/>
  <c r="B205" i="11"/>
  <c r="B173" i="11"/>
  <c r="B141" i="11"/>
  <c r="B109" i="11"/>
  <c r="B230" i="11"/>
  <c r="B48" i="11"/>
  <c r="A236" i="46"/>
  <c r="A212" i="46"/>
  <c r="A164" i="46"/>
  <c r="A140" i="46"/>
  <c r="A124" i="46"/>
  <c r="A36" i="46"/>
  <c r="A20" i="46"/>
  <c r="A20" i="71"/>
  <c r="A211" i="71"/>
  <c r="A171" i="71"/>
  <c r="A139" i="71"/>
  <c r="A107" i="71"/>
  <c r="A75" i="71"/>
  <c r="A43" i="71"/>
  <c r="L11" i="59"/>
  <c r="B249" i="11"/>
  <c r="B165" i="11"/>
  <c r="B37" i="11"/>
  <c r="B28" i="11"/>
  <c r="B88" i="11"/>
  <c r="A220" i="46"/>
  <c r="A44" i="71"/>
  <c r="B133" i="11"/>
  <c r="A52" i="71"/>
  <c r="B248" i="11"/>
  <c r="B53" i="11"/>
  <c r="A148" i="46"/>
  <c r="A235" i="71"/>
  <c r="B82" i="11"/>
  <c r="B229" i="11"/>
  <c r="B101" i="11"/>
  <c r="B162" i="11"/>
  <c r="B21" i="11"/>
  <c r="A44" i="46"/>
  <c r="B205" i="59"/>
  <c r="B197" i="11"/>
  <c r="B69" i="11"/>
  <c r="B136" i="11"/>
  <c r="A244" i="46"/>
  <c r="A76" i="71"/>
  <c r="A28" i="71"/>
  <c r="AF36" i="69"/>
  <c r="Q36" i="69"/>
  <c r="O53" i="57"/>
  <c r="P53" i="57"/>
  <c r="AB35" i="69"/>
  <c r="AG35" i="69"/>
  <c r="AO37" i="69"/>
  <c r="O38" i="69"/>
  <c r="AE52" i="53"/>
  <c r="AF51" i="53"/>
  <c r="R52" i="53"/>
  <c r="X52" i="53" s="1"/>
  <c r="AY36" i="69"/>
  <c r="L53" i="57"/>
  <c r="AH52" i="53"/>
  <c r="AT52" i="53"/>
  <c r="AG52" i="53"/>
  <c r="N53" i="57"/>
  <c r="AH36" i="69"/>
  <c r="AD52" i="53"/>
  <c r="Q52" i="53"/>
  <c r="C53" i="53"/>
  <c r="K53" i="53"/>
  <c r="AK52" i="52" a="1"/>
  <c r="AK52" i="52" s="1"/>
  <c r="B54" i="53" s="1"/>
  <c r="D53" i="53"/>
  <c r="H53" i="53"/>
  <c r="I53" i="53"/>
  <c r="F53" i="53"/>
  <c r="P53" i="53"/>
  <c r="E53" i="53"/>
  <c r="J53" i="53"/>
  <c r="L53" i="53"/>
  <c r="G53" i="53"/>
  <c r="K53" i="57"/>
  <c r="I53" i="57"/>
  <c r="G53" i="57"/>
  <c r="E53" i="57"/>
  <c r="C53" i="57"/>
  <c r="D53" i="57"/>
  <c r="F53" i="57"/>
  <c r="H53" i="57"/>
  <c r="J53" i="57"/>
  <c r="AN52" i="55" a="1"/>
  <c r="AN52" i="55" s="1"/>
  <c r="B54" i="57" s="1"/>
  <c r="AR38" i="67" a="1"/>
  <c r="AR38" i="67" s="1"/>
  <c r="B39" i="69"/>
  <c r="L39" i="69" s="1"/>
  <c r="D37" i="69"/>
  <c r="E37" i="69" s="1"/>
  <c r="F37" i="69" s="1"/>
  <c r="G37" i="69" s="1"/>
  <c r="H37" i="69" s="1"/>
  <c r="I37" i="69" s="1"/>
  <c r="J37" i="69" s="1"/>
  <c r="K37" i="69" s="1"/>
  <c r="M37" i="69" s="1"/>
  <c r="AE36" i="69"/>
  <c r="R36" i="69"/>
  <c r="S36" i="69" s="1"/>
  <c r="Y36" i="69" s="1"/>
  <c r="C38" i="69"/>
  <c r="P38" i="69" s="1"/>
  <c r="Y116" i="59" l="1"/>
  <c r="AY116" i="59"/>
  <c r="X51" i="57"/>
  <c r="AB51" i="57" s="1"/>
  <c r="AG53" i="57"/>
  <c r="AC52" i="57"/>
  <c r="M54" i="53"/>
  <c r="AC54" i="53" s="1"/>
  <c r="O54" i="53"/>
  <c r="AP38" i="69"/>
  <c r="N38" i="69"/>
  <c r="U38" i="69" s="1"/>
  <c r="AQ52" i="57"/>
  <c r="AE52" i="57"/>
  <c r="AD52" i="57"/>
  <c r="Q52" i="57"/>
  <c r="T52" i="57" s="1"/>
  <c r="AJ52" i="57"/>
  <c r="R52" i="57"/>
  <c r="AB50" i="57"/>
  <c r="AA50" i="57"/>
  <c r="M53" i="57"/>
  <c r="AK53" i="57" s="1"/>
  <c r="N54" i="53"/>
  <c r="AA52" i="53"/>
  <c r="AB52" i="53"/>
  <c r="AF37" i="69"/>
  <c r="Q37" i="69"/>
  <c r="O54" i="57"/>
  <c r="P54" i="57"/>
  <c r="AC35" i="69"/>
  <c r="AD35" i="69" s="1"/>
  <c r="AB36" i="69"/>
  <c r="AG36" i="69"/>
  <c r="O39" i="69"/>
  <c r="AO38" i="69"/>
  <c r="AF52" i="53"/>
  <c r="AE53" i="53"/>
  <c r="R53" i="53"/>
  <c r="X53" i="53" s="1"/>
  <c r="X12" i="59"/>
  <c r="V55" i="22" s="1"/>
  <c r="Y12" i="59"/>
  <c r="Y15" i="59"/>
  <c r="X15" i="59"/>
  <c r="Y13" i="59"/>
  <c r="X13" i="59"/>
  <c r="Y14" i="59"/>
  <c r="X14" i="59"/>
  <c r="Y150" i="59"/>
  <c r="X150" i="59"/>
  <c r="Y87" i="59"/>
  <c r="X87" i="59"/>
  <c r="Y215" i="59"/>
  <c r="X215" i="59"/>
  <c r="Y43" i="59"/>
  <c r="X43" i="59"/>
  <c r="V108" i="22" s="1"/>
  <c r="Y171" i="59"/>
  <c r="X171" i="59"/>
  <c r="Y108" i="59"/>
  <c r="X108" i="59"/>
  <c r="Y236" i="59"/>
  <c r="X236" i="59"/>
  <c r="Y46" i="59"/>
  <c r="X46" i="59"/>
  <c r="V114" i="22" s="1"/>
  <c r="Y174" i="59"/>
  <c r="X174" i="59"/>
  <c r="Y111" i="59"/>
  <c r="X111" i="59"/>
  <c r="Y239" i="59"/>
  <c r="X239" i="59"/>
  <c r="Y51" i="59"/>
  <c r="X51" i="59"/>
  <c r="V130" i="22" s="1"/>
  <c r="Y179" i="59"/>
  <c r="X179" i="59"/>
  <c r="X116" i="59"/>
  <c r="Y244" i="59"/>
  <c r="X244" i="59"/>
  <c r="Y16" i="59"/>
  <c r="X16" i="59"/>
  <c r="X80" i="59"/>
  <c r="Y80" i="59"/>
  <c r="Y144" i="59"/>
  <c r="X144" i="59"/>
  <c r="X208" i="59"/>
  <c r="Y208" i="59"/>
  <c r="X49" i="59"/>
  <c r="V120" i="22" s="1"/>
  <c r="Y49" i="59"/>
  <c r="X113" i="59"/>
  <c r="Y113" i="59"/>
  <c r="Y177" i="59"/>
  <c r="X177" i="59"/>
  <c r="Y241" i="59"/>
  <c r="X241" i="59"/>
  <c r="Y18" i="59"/>
  <c r="X18" i="59"/>
  <c r="Y82" i="59"/>
  <c r="X82" i="59"/>
  <c r="Y146" i="59"/>
  <c r="X146" i="59"/>
  <c r="Y210" i="59"/>
  <c r="X210" i="59"/>
  <c r="X53" i="59"/>
  <c r="Y53" i="59"/>
  <c r="X117" i="59"/>
  <c r="Y117" i="59"/>
  <c r="Y181" i="59"/>
  <c r="X181" i="59"/>
  <c r="Y245" i="59"/>
  <c r="X245" i="59"/>
  <c r="Y86" i="59"/>
  <c r="X86" i="59"/>
  <c r="Y166" i="59"/>
  <c r="X166" i="59"/>
  <c r="X103" i="59"/>
  <c r="Y103" i="59"/>
  <c r="X231" i="59"/>
  <c r="Y231" i="59"/>
  <c r="Y59" i="59"/>
  <c r="X59" i="59"/>
  <c r="X187" i="59"/>
  <c r="Y187" i="59"/>
  <c r="Y124" i="59"/>
  <c r="X124" i="59"/>
  <c r="Y252" i="59"/>
  <c r="X252" i="59"/>
  <c r="Y62" i="59"/>
  <c r="X62" i="59"/>
  <c r="Y190" i="59"/>
  <c r="X190" i="59"/>
  <c r="Y127" i="59"/>
  <c r="X127" i="59"/>
  <c r="Y67" i="59"/>
  <c r="X67" i="59"/>
  <c r="Y195" i="59"/>
  <c r="X195" i="59"/>
  <c r="Y132" i="59"/>
  <c r="X132" i="59"/>
  <c r="Y24" i="59"/>
  <c r="X24" i="59"/>
  <c r="X88" i="59"/>
  <c r="Y88" i="59"/>
  <c r="X152" i="59"/>
  <c r="Y152" i="59"/>
  <c r="X216" i="59"/>
  <c r="Y216" i="59"/>
  <c r="X57" i="59"/>
  <c r="Y57" i="59"/>
  <c r="X121" i="59"/>
  <c r="Y121" i="59"/>
  <c r="Y185" i="59"/>
  <c r="X185" i="59"/>
  <c r="Y249" i="59"/>
  <c r="X249" i="59"/>
  <c r="X26" i="59"/>
  <c r="Y26" i="59"/>
  <c r="X90" i="59"/>
  <c r="Y90" i="59"/>
  <c r="X154" i="59"/>
  <c r="Y154" i="59"/>
  <c r="Y218" i="59"/>
  <c r="X218" i="59"/>
  <c r="X61" i="59"/>
  <c r="Y61" i="59"/>
  <c r="X125" i="59"/>
  <c r="Y125" i="59"/>
  <c r="Y189" i="59"/>
  <c r="X189" i="59"/>
  <c r="Y253" i="59"/>
  <c r="X253" i="59"/>
  <c r="Y38" i="59"/>
  <c r="X38" i="59"/>
  <c r="Y54" i="59"/>
  <c r="X54" i="59"/>
  <c r="Y182" i="59"/>
  <c r="X182" i="59"/>
  <c r="Y119" i="59"/>
  <c r="X119" i="59"/>
  <c r="Y247" i="59"/>
  <c r="X247" i="59"/>
  <c r="Y75" i="59"/>
  <c r="X75" i="59"/>
  <c r="Y203" i="59"/>
  <c r="X203" i="59"/>
  <c r="Y140" i="59"/>
  <c r="X140" i="59"/>
  <c r="Y78" i="59"/>
  <c r="X78" i="59"/>
  <c r="Y206" i="59"/>
  <c r="X206" i="59"/>
  <c r="Y143" i="59"/>
  <c r="X143" i="59"/>
  <c r="Y83" i="59"/>
  <c r="X83" i="59"/>
  <c r="Y211" i="59"/>
  <c r="X211" i="59"/>
  <c r="Y20" i="59"/>
  <c r="X20" i="59"/>
  <c r="Y148" i="59"/>
  <c r="X148" i="59"/>
  <c r="Y32" i="59"/>
  <c r="X32" i="59"/>
  <c r="X96" i="59"/>
  <c r="Y96" i="59"/>
  <c r="X160" i="59"/>
  <c r="Y160" i="59"/>
  <c r="X224" i="59"/>
  <c r="Y224" i="59"/>
  <c r="X65" i="59"/>
  <c r="Y65" i="59"/>
  <c r="X129" i="59"/>
  <c r="Y129" i="59"/>
  <c r="Y193" i="59"/>
  <c r="X193" i="59"/>
  <c r="X257" i="59"/>
  <c r="Y257" i="59"/>
  <c r="Y34" i="59"/>
  <c r="X34" i="59"/>
  <c r="Y98" i="59"/>
  <c r="X98" i="59"/>
  <c r="Y162" i="59"/>
  <c r="X162" i="59"/>
  <c r="Y226" i="59"/>
  <c r="X226" i="59"/>
  <c r="X69" i="59"/>
  <c r="Y69" i="59"/>
  <c r="Y133" i="59"/>
  <c r="X133" i="59"/>
  <c r="X197" i="59"/>
  <c r="Y197" i="59"/>
  <c r="X22" i="59"/>
  <c r="Y22" i="59"/>
  <c r="Y70" i="59"/>
  <c r="X70" i="59"/>
  <c r="Y198" i="59"/>
  <c r="X198" i="59"/>
  <c r="X135" i="59"/>
  <c r="Y135" i="59"/>
  <c r="X91" i="59"/>
  <c r="Y91" i="59"/>
  <c r="Y219" i="59"/>
  <c r="X219" i="59"/>
  <c r="Y28" i="59"/>
  <c r="X28" i="59"/>
  <c r="Y156" i="59"/>
  <c r="X156" i="59"/>
  <c r="Y94" i="59"/>
  <c r="X94" i="59"/>
  <c r="Y222" i="59"/>
  <c r="X222" i="59"/>
  <c r="X31" i="59"/>
  <c r="Y31" i="59"/>
  <c r="Y159" i="59"/>
  <c r="X159" i="59"/>
  <c r="Y99" i="59"/>
  <c r="X99" i="59"/>
  <c r="Y227" i="59"/>
  <c r="X227" i="59"/>
  <c r="Y36" i="59"/>
  <c r="X36" i="59"/>
  <c r="Y164" i="59"/>
  <c r="X164" i="59"/>
  <c r="Y40" i="59"/>
  <c r="X40" i="59"/>
  <c r="X104" i="59"/>
  <c r="Y104" i="59"/>
  <c r="X168" i="59"/>
  <c r="Y168" i="59"/>
  <c r="X232" i="59"/>
  <c r="Y232" i="59"/>
  <c r="X73" i="59"/>
  <c r="Y73" i="59"/>
  <c r="X137" i="59"/>
  <c r="Y137" i="59"/>
  <c r="Y201" i="59"/>
  <c r="X201" i="59"/>
  <c r="X42" i="59"/>
  <c r="Y42" i="59"/>
  <c r="Y106" i="59"/>
  <c r="X106" i="59"/>
  <c r="Y170" i="59"/>
  <c r="X170" i="59"/>
  <c r="Y234" i="59"/>
  <c r="X234" i="59"/>
  <c r="X77" i="59"/>
  <c r="Y77" i="59"/>
  <c r="X141" i="59"/>
  <c r="Y141" i="59"/>
  <c r="Y205" i="59"/>
  <c r="X205" i="59"/>
  <c r="Y214" i="59"/>
  <c r="X214" i="59"/>
  <c r="Y23" i="59"/>
  <c r="X23" i="59"/>
  <c r="Y151" i="59"/>
  <c r="X151" i="59"/>
  <c r="Y107" i="59"/>
  <c r="X107" i="59"/>
  <c r="Y235" i="59"/>
  <c r="X235" i="59"/>
  <c r="Y44" i="59"/>
  <c r="X44" i="59"/>
  <c r="V110" i="22" s="1"/>
  <c r="Y172" i="59"/>
  <c r="X172" i="59"/>
  <c r="Y110" i="59"/>
  <c r="X110" i="59"/>
  <c r="Y238" i="59"/>
  <c r="X238" i="59"/>
  <c r="Y47" i="59"/>
  <c r="X47" i="59"/>
  <c r="V115" i="22" s="1"/>
  <c r="Y175" i="59"/>
  <c r="X175" i="59"/>
  <c r="Y115" i="59"/>
  <c r="X115" i="59"/>
  <c r="Y243" i="59"/>
  <c r="X243" i="59"/>
  <c r="Y52" i="59"/>
  <c r="X52" i="59"/>
  <c r="V117" i="22" s="1"/>
  <c r="X180" i="59"/>
  <c r="Y180" i="59"/>
  <c r="Y48" i="59"/>
  <c r="X48" i="59"/>
  <c r="V119" i="22" s="1"/>
  <c r="X112" i="59"/>
  <c r="Y112" i="59"/>
  <c r="Y176" i="59"/>
  <c r="X176" i="59"/>
  <c r="Y240" i="59"/>
  <c r="X240" i="59"/>
  <c r="Y17" i="59"/>
  <c r="X17" i="59"/>
  <c r="X81" i="59"/>
  <c r="Y81" i="59"/>
  <c r="X145" i="59"/>
  <c r="Y145" i="59"/>
  <c r="Y209" i="59"/>
  <c r="X209" i="59"/>
  <c r="X50" i="59"/>
  <c r="Y50" i="59"/>
  <c r="Y114" i="59"/>
  <c r="X114" i="59"/>
  <c r="Y178" i="59"/>
  <c r="X178" i="59"/>
  <c r="Y242" i="59"/>
  <c r="X242" i="59"/>
  <c r="Y21" i="59"/>
  <c r="X21" i="59"/>
  <c r="X85" i="59"/>
  <c r="Y85" i="59"/>
  <c r="X149" i="59"/>
  <c r="Y149" i="59"/>
  <c r="Y213" i="59"/>
  <c r="X213" i="59"/>
  <c r="Y230" i="59"/>
  <c r="X230" i="59"/>
  <c r="Y39" i="59"/>
  <c r="X39" i="59"/>
  <c r="Y167" i="59"/>
  <c r="X167" i="59"/>
  <c r="Y123" i="59"/>
  <c r="X123" i="59"/>
  <c r="Y251" i="59"/>
  <c r="X251" i="59"/>
  <c r="Y60" i="59"/>
  <c r="X60" i="59"/>
  <c r="Y188" i="59"/>
  <c r="X188" i="59"/>
  <c r="Y126" i="59"/>
  <c r="X126" i="59"/>
  <c r="Y254" i="59"/>
  <c r="X254" i="59"/>
  <c r="X63" i="59"/>
  <c r="Y63" i="59"/>
  <c r="Y191" i="59"/>
  <c r="X191" i="59"/>
  <c r="Y131" i="59"/>
  <c r="X131" i="59"/>
  <c r="Y68" i="59"/>
  <c r="X68" i="59"/>
  <c r="Y196" i="59"/>
  <c r="X196" i="59"/>
  <c r="Y56" i="59"/>
  <c r="X56" i="59"/>
  <c r="X120" i="59"/>
  <c r="Y120" i="59"/>
  <c r="X184" i="59"/>
  <c r="Y184" i="59"/>
  <c r="X248" i="59"/>
  <c r="Y248" i="59"/>
  <c r="Y25" i="59"/>
  <c r="X25" i="59"/>
  <c r="X89" i="59"/>
  <c r="Y89" i="59"/>
  <c r="X153" i="59"/>
  <c r="Y153" i="59"/>
  <c r="Y217" i="59"/>
  <c r="X217" i="59"/>
  <c r="Y58" i="59"/>
  <c r="X58" i="59"/>
  <c r="Y122" i="59"/>
  <c r="X122" i="59"/>
  <c r="Y186" i="59"/>
  <c r="X186" i="59"/>
  <c r="X250" i="59"/>
  <c r="Y250" i="59"/>
  <c r="Y29" i="59"/>
  <c r="X29" i="59"/>
  <c r="X93" i="59"/>
  <c r="Y93" i="59"/>
  <c r="Y157" i="59"/>
  <c r="X157" i="59"/>
  <c r="Y221" i="59"/>
  <c r="X221" i="59"/>
  <c r="Y102" i="59"/>
  <c r="X102" i="59"/>
  <c r="Y246" i="59"/>
  <c r="X246" i="59"/>
  <c r="Y55" i="59"/>
  <c r="X55" i="59"/>
  <c r="Y183" i="59"/>
  <c r="X183" i="59"/>
  <c r="Y139" i="59"/>
  <c r="X139" i="59"/>
  <c r="Y76" i="59"/>
  <c r="X76" i="59"/>
  <c r="Y204" i="59"/>
  <c r="X204" i="59"/>
  <c r="Y142" i="59"/>
  <c r="X142" i="59"/>
  <c r="Y79" i="59"/>
  <c r="X79" i="59"/>
  <c r="Y207" i="59"/>
  <c r="X207" i="59"/>
  <c r="Y19" i="59"/>
  <c r="X19" i="59"/>
  <c r="Y147" i="59"/>
  <c r="X147" i="59"/>
  <c r="Y84" i="59"/>
  <c r="X84" i="59"/>
  <c r="X212" i="59"/>
  <c r="Y212" i="59"/>
  <c r="Y64" i="59"/>
  <c r="X64" i="59"/>
  <c r="X128" i="59"/>
  <c r="Y128" i="59"/>
  <c r="X192" i="59"/>
  <c r="Y192" i="59"/>
  <c r="Y256" i="59"/>
  <c r="X256" i="59"/>
  <c r="X33" i="59"/>
  <c r="Y33" i="59"/>
  <c r="X97" i="59"/>
  <c r="Y97" i="59"/>
  <c r="Y161" i="59"/>
  <c r="X161" i="59"/>
  <c r="Y225" i="59"/>
  <c r="X225" i="59"/>
  <c r="Y66" i="59"/>
  <c r="X66" i="59"/>
  <c r="Y130" i="59"/>
  <c r="X130" i="59"/>
  <c r="Y194" i="59"/>
  <c r="X194" i="59"/>
  <c r="Y258" i="59"/>
  <c r="X258" i="59"/>
  <c r="Y37" i="59"/>
  <c r="X37" i="59"/>
  <c r="X101" i="59"/>
  <c r="Y101" i="59"/>
  <c r="Y165" i="59"/>
  <c r="X165" i="59"/>
  <c r="X229" i="59"/>
  <c r="Y229" i="59"/>
  <c r="Y118" i="59"/>
  <c r="X118" i="59"/>
  <c r="Y134" i="59"/>
  <c r="X134" i="59"/>
  <c r="Y71" i="59"/>
  <c r="X71" i="59"/>
  <c r="Y199" i="59"/>
  <c r="X199" i="59"/>
  <c r="Y27" i="59"/>
  <c r="X27" i="59"/>
  <c r="Y155" i="59"/>
  <c r="X155" i="59"/>
  <c r="Y92" i="59"/>
  <c r="X92" i="59"/>
  <c r="Y220" i="59"/>
  <c r="X220" i="59"/>
  <c r="X30" i="59"/>
  <c r="Y30" i="59"/>
  <c r="Y158" i="59"/>
  <c r="X158" i="59"/>
  <c r="Y95" i="59"/>
  <c r="X95" i="59"/>
  <c r="Y223" i="59"/>
  <c r="X223" i="59"/>
  <c r="X35" i="59"/>
  <c r="Y35" i="59"/>
  <c r="Y163" i="59"/>
  <c r="X163" i="59"/>
  <c r="Y100" i="59"/>
  <c r="X100" i="59"/>
  <c r="Y228" i="59"/>
  <c r="X228" i="59"/>
  <c r="Y72" i="59"/>
  <c r="X72" i="59"/>
  <c r="X136" i="59"/>
  <c r="Y136" i="59"/>
  <c r="X200" i="59"/>
  <c r="Y200" i="59"/>
  <c r="X41" i="59"/>
  <c r="V104" i="22" s="1"/>
  <c r="Y41" i="59"/>
  <c r="X105" i="59"/>
  <c r="Y105" i="59"/>
  <c r="Y169" i="59"/>
  <c r="X169" i="59"/>
  <c r="Y233" i="59"/>
  <c r="X233" i="59"/>
  <c r="X74" i="59"/>
  <c r="Y74" i="59"/>
  <c r="Y138" i="59"/>
  <c r="X138" i="59"/>
  <c r="Y202" i="59"/>
  <c r="X202" i="59"/>
  <c r="X45" i="59"/>
  <c r="Y45" i="59"/>
  <c r="X109" i="59"/>
  <c r="Y109" i="59"/>
  <c r="Y173" i="59"/>
  <c r="X173" i="59"/>
  <c r="Y237" i="59"/>
  <c r="X237" i="59"/>
  <c r="X255" i="59"/>
  <c r="Y255" i="59"/>
  <c r="AY37" i="69"/>
  <c r="L54" i="57"/>
  <c r="AG53" i="53"/>
  <c r="AH53" i="53"/>
  <c r="AT53" i="53"/>
  <c r="N54" i="57"/>
  <c r="L54" i="53"/>
  <c r="AH37" i="69"/>
  <c r="AD53" i="53"/>
  <c r="Q53" i="53"/>
  <c r="G54" i="53"/>
  <c r="D54" i="53"/>
  <c r="J54" i="53"/>
  <c r="AK53" i="52" a="1"/>
  <c r="AK53" i="52" s="1"/>
  <c r="B55" i="53" s="1"/>
  <c r="H54" i="53"/>
  <c r="C54" i="53"/>
  <c r="E54" i="53"/>
  <c r="P54" i="53"/>
  <c r="K54" i="53"/>
  <c r="I54" i="53"/>
  <c r="F54" i="53"/>
  <c r="V81" i="11"/>
  <c r="U81" i="11"/>
  <c r="V91" i="11"/>
  <c r="U91" i="11"/>
  <c r="V252" i="11"/>
  <c r="U252" i="11"/>
  <c r="V29" i="11"/>
  <c r="U29" i="11"/>
  <c r="V190" i="11"/>
  <c r="U190" i="11"/>
  <c r="V120" i="11"/>
  <c r="U120" i="11"/>
  <c r="V153" i="11"/>
  <c r="U153" i="11"/>
  <c r="V194" i="11"/>
  <c r="U194" i="11"/>
  <c r="V227" i="11"/>
  <c r="U227" i="11"/>
  <c r="V132" i="11"/>
  <c r="U132" i="11"/>
  <c r="V165" i="11"/>
  <c r="U165" i="11"/>
  <c r="V198" i="11"/>
  <c r="U198" i="11"/>
  <c r="V167" i="11"/>
  <c r="U167" i="11"/>
  <c r="V16" i="11"/>
  <c r="U16" i="11"/>
  <c r="V80" i="11"/>
  <c r="U80" i="11"/>
  <c r="V144" i="11"/>
  <c r="U144" i="11"/>
  <c r="V208" i="11"/>
  <c r="U208" i="11"/>
  <c r="V49" i="11"/>
  <c r="U49" i="11"/>
  <c r="H128" i="22" s="1"/>
  <c r="V113" i="11"/>
  <c r="U113" i="11"/>
  <c r="V177" i="11"/>
  <c r="U177" i="11"/>
  <c r="V241" i="11"/>
  <c r="U241" i="11"/>
  <c r="V26" i="11"/>
  <c r="U26" i="11"/>
  <c r="U90" i="11"/>
  <c r="V90" i="11"/>
  <c r="V154" i="11"/>
  <c r="U154" i="11"/>
  <c r="V218" i="11"/>
  <c r="U218" i="11"/>
  <c r="V59" i="11"/>
  <c r="U59" i="11"/>
  <c r="V123" i="11"/>
  <c r="U123" i="11"/>
  <c r="V187" i="11"/>
  <c r="U187" i="11"/>
  <c r="V251" i="11"/>
  <c r="U251" i="11"/>
  <c r="V28" i="11"/>
  <c r="U28" i="11"/>
  <c r="V92" i="11"/>
  <c r="U92" i="11"/>
  <c r="V156" i="11"/>
  <c r="U156" i="11"/>
  <c r="V220" i="11"/>
  <c r="U220" i="11"/>
  <c r="V61" i="11"/>
  <c r="U61" i="11"/>
  <c r="V125" i="11"/>
  <c r="U125" i="11"/>
  <c r="V189" i="11"/>
  <c r="U189" i="11"/>
  <c r="V253" i="11"/>
  <c r="U253" i="11"/>
  <c r="V30" i="11"/>
  <c r="U30" i="11"/>
  <c r="V94" i="11"/>
  <c r="U94" i="11"/>
  <c r="V158" i="11"/>
  <c r="U158" i="11"/>
  <c r="V222" i="11"/>
  <c r="U222" i="11"/>
  <c r="U63" i="11"/>
  <c r="V63" i="11"/>
  <c r="V127" i="11"/>
  <c r="U127" i="11"/>
  <c r="V191" i="11"/>
  <c r="U191" i="11"/>
  <c r="U255" i="11"/>
  <c r="V255" i="11"/>
  <c r="V176" i="11"/>
  <c r="U176" i="11"/>
  <c r="U17" i="11"/>
  <c r="V17" i="11"/>
  <c r="V186" i="11"/>
  <c r="U186" i="11"/>
  <c r="V60" i="11"/>
  <c r="U60" i="11"/>
  <c r="H121" i="22" s="1"/>
  <c r="V221" i="11"/>
  <c r="U221" i="11"/>
  <c r="V95" i="11"/>
  <c r="U95" i="11"/>
  <c r="V56" i="11"/>
  <c r="U56" i="11"/>
  <c r="H123" i="22" s="1"/>
  <c r="V89" i="11"/>
  <c r="U89" i="11"/>
  <c r="U130" i="11"/>
  <c r="V130" i="11"/>
  <c r="V99" i="11"/>
  <c r="U99" i="11"/>
  <c r="V24" i="11"/>
  <c r="U24" i="11"/>
  <c r="V88" i="11"/>
  <c r="U88" i="11"/>
  <c r="V152" i="11"/>
  <c r="U152" i="11"/>
  <c r="V216" i="11"/>
  <c r="U216" i="11"/>
  <c r="V57" i="11"/>
  <c r="U57" i="11"/>
  <c r="H119" i="22" s="1"/>
  <c r="U121" i="11"/>
  <c r="V121" i="11"/>
  <c r="V185" i="11"/>
  <c r="U185" i="11"/>
  <c r="V249" i="11"/>
  <c r="U249" i="11"/>
  <c r="U34" i="11"/>
  <c r="V34" i="11"/>
  <c r="V98" i="11"/>
  <c r="U98" i="11"/>
  <c r="V162" i="11"/>
  <c r="U162" i="11"/>
  <c r="U226" i="11"/>
  <c r="V226" i="11"/>
  <c r="V67" i="11"/>
  <c r="U67" i="11"/>
  <c r="H129" i="22" s="1"/>
  <c r="V131" i="11"/>
  <c r="U131" i="11"/>
  <c r="V195" i="11"/>
  <c r="U195" i="11"/>
  <c r="V36" i="11"/>
  <c r="U36" i="11"/>
  <c r="V100" i="11"/>
  <c r="U100" i="11"/>
  <c r="V164" i="11"/>
  <c r="U164" i="11"/>
  <c r="V228" i="11"/>
  <c r="U228" i="11"/>
  <c r="V69" i="11"/>
  <c r="U69" i="11"/>
  <c r="V133" i="11"/>
  <c r="U133" i="11"/>
  <c r="V197" i="11"/>
  <c r="U197" i="11"/>
  <c r="V38" i="11"/>
  <c r="U38" i="11"/>
  <c r="V102" i="11"/>
  <c r="U102" i="11"/>
  <c r="V166" i="11"/>
  <c r="U166" i="11"/>
  <c r="V230" i="11"/>
  <c r="U230" i="11"/>
  <c r="V71" i="11"/>
  <c r="U71" i="11"/>
  <c r="V135" i="11"/>
  <c r="U135" i="11"/>
  <c r="V199" i="11"/>
  <c r="U199" i="11"/>
  <c r="V32" i="11"/>
  <c r="U32" i="11"/>
  <c r="V96" i="11"/>
  <c r="U96" i="11"/>
  <c r="V160" i="11"/>
  <c r="U160" i="11"/>
  <c r="V224" i="11"/>
  <c r="U224" i="11"/>
  <c r="V65" i="11"/>
  <c r="U65" i="11"/>
  <c r="V129" i="11"/>
  <c r="U129" i="11"/>
  <c r="V193" i="11"/>
  <c r="U193" i="11"/>
  <c r="V257" i="11"/>
  <c r="U257" i="11"/>
  <c r="U42" i="11"/>
  <c r="V42" i="11"/>
  <c r="U106" i="11"/>
  <c r="V106" i="11"/>
  <c r="U170" i="11"/>
  <c r="V170" i="11"/>
  <c r="U234" i="11"/>
  <c r="V234" i="11"/>
  <c r="V75" i="11"/>
  <c r="U75" i="11"/>
  <c r="V139" i="11"/>
  <c r="U139" i="11"/>
  <c r="V203" i="11"/>
  <c r="U203" i="11"/>
  <c r="V44" i="11"/>
  <c r="U44" i="11"/>
  <c r="V108" i="11"/>
  <c r="U108" i="11"/>
  <c r="V172" i="11"/>
  <c r="U172" i="11"/>
  <c r="V236" i="11"/>
  <c r="U236" i="11"/>
  <c r="V13" i="11"/>
  <c r="U13" i="11"/>
  <c r="V77" i="11"/>
  <c r="U77" i="11"/>
  <c r="V141" i="11"/>
  <c r="U141" i="11"/>
  <c r="V205" i="11"/>
  <c r="U205" i="11"/>
  <c r="V46" i="11"/>
  <c r="U46" i="11"/>
  <c r="V110" i="11"/>
  <c r="U110" i="11"/>
  <c r="V174" i="11"/>
  <c r="U174" i="11"/>
  <c r="V238" i="11"/>
  <c r="U238" i="11"/>
  <c r="V15" i="11"/>
  <c r="U15" i="11"/>
  <c r="V79" i="11"/>
  <c r="U79" i="11"/>
  <c r="V143" i="11"/>
  <c r="U143" i="11"/>
  <c r="V207" i="11"/>
  <c r="U207" i="11"/>
  <c r="V40" i="11"/>
  <c r="U40" i="11"/>
  <c r="V104" i="11"/>
  <c r="U104" i="11"/>
  <c r="V168" i="11"/>
  <c r="U168" i="11"/>
  <c r="V232" i="11"/>
  <c r="U232" i="11"/>
  <c r="V73" i="11"/>
  <c r="U73" i="11"/>
  <c r="V137" i="11"/>
  <c r="U137" i="11"/>
  <c r="V201" i="11"/>
  <c r="U201" i="11"/>
  <c r="V50" i="11"/>
  <c r="U50" i="11"/>
  <c r="H122" i="22" s="1"/>
  <c r="V114" i="11"/>
  <c r="U114" i="11"/>
  <c r="V178" i="11"/>
  <c r="U178" i="11"/>
  <c r="V242" i="11"/>
  <c r="U242" i="11"/>
  <c r="V19" i="11"/>
  <c r="U19" i="11"/>
  <c r="V83" i="11"/>
  <c r="U83" i="11"/>
  <c r="V147" i="11"/>
  <c r="U147" i="11"/>
  <c r="V211" i="11"/>
  <c r="U211" i="11"/>
  <c r="V52" i="11"/>
  <c r="U52" i="11"/>
  <c r="V116" i="11"/>
  <c r="U116" i="11"/>
  <c r="V180" i="11"/>
  <c r="U180" i="11"/>
  <c r="V244" i="11"/>
  <c r="U244" i="11"/>
  <c r="V21" i="11"/>
  <c r="U21" i="11"/>
  <c r="V85" i="11"/>
  <c r="U85" i="11"/>
  <c r="V149" i="11"/>
  <c r="U149" i="11"/>
  <c r="V213" i="11"/>
  <c r="U213" i="11"/>
  <c r="V54" i="11"/>
  <c r="U54" i="11"/>
  <c r="H124" i="22" s="1"/>
  <c r="V118" i="11"/>
  <c r="U118" i="11"/>
  <c r="V182" i="11"/>
  <c r="U182" i="11"/>
  <c r="V246" i="11"/>
  <c r="U246" i="11"/>
  <c r="V23" i="11"/>
  <c r="U23" i="11"/>
  <c r="V87" i="11"/>
  <c r="U87" i="11"/>
  <c r="V151" i="11"/>
  <c r="U151" i="11"/>
  <c r="V215" i="11"/>
  <c r="U215" i="11"/>
  <c r="V145" i="11"/>
  <c r="U145" i="11"/>
  <c r="U250" i="11"/>
  <c r="V250" i="11"/>
  <c r="V27" i="11"/>
  <c r="U27" i="11"/>
  <c r="V188" i="11"/>
  <c r="U188" i="11"/>
  <c r="V126" i="11"/>
  <c r="U126" i="11"/>
  <c r="U31" i="11"/>
  <c r="V31" i="11"/>
  <c r="V48" i="11"/>
  <c r="U48" i="11"/>
  <c r="V209" i="11"/>
  <c r="U209" i="11"/>
  <c r="V155" i="11"/>
  <c r="U155" i="11"/>
  <c r="V93" i="11"/>
  <c r="U93" i="11"/>
  <c r="V254" i="11"/>
  <c r="U254" i="11"/>
  <c r="V223" i="11"/>
  <c r="U223" i="11"/>
  <c r="V184" i="11"/>
  <c r="U184" i="11"/>
  <c r="V217" i="11"/>
  <c r="U217" i="11"/>
  <c r="V35" i="11"/>
  <c r="U35" i="11"/>
  <c r="V196" i="11"/>
  <c r="U196" i="11"/>
  <c r="V229" i="11"/>
  <c r="U229" i="11"/>
  <c r="V39" i="11"/>
  <c r="U39" i="11"/>
  <c r="E54" i="57"/>
  <c r="K54" i="57"/>
  <c r="I54" i="57"/>
  <c r="H54" i="57"/>
  <c r="G54" i="57"/>
  <c r="D54" i="57"/>
  <c r="C54" i="57"/>
  <c r="F54" i="57"/>
  <c r="J54" i="57"/>
  <c r="V240" i="11"/>
  <c r="U240" i="11"/>
  <c r="V122" i="11"/>
  <c r="U122" i="11"/>
  <c r="U124" i="11"/>
  <c r="V124" i="11"/>
  <c r="V62" i="11"/>
  <c r="U62" i="11"/>
  <c r="H130" i="22" s="1"/>
  <c r="V159" i="11"/>
  <c r="U159" i="11"/>
  <c r="V25" i="11"/>
  <c r="U25" i="11"/>
  <c r="V66" i="11"/>
  <c r="U66" i="11"/>
  <c r="V163" i="11"/>
  <c r="U163" i="11"/>
  <c r="V68" i="11"/>
  <c r="U68" i="11"/>
  <c r="V37" i="11"/>
  <c r="U37" i="11"/>
  <c r="V70" i="11"/>
  <c r="U70" i="11"/>
  <c r="V103" i="11"/>
  <c r="U103" i="11"/>
  <c r="V64" i="11"/>
  <c r="U64" i="11"/>
  <c r="V128" i="11"/>
  <c r="U128" i="11"/>
  <c r="V192" i="11"/>
  <c r="U192" i="11"/>
  <c r="V256" i="11"/>
  <c r="U256" i="11"/>
  <c r="V33" i="11"/>
  <c r="U33" i="11"/>
  <c r="V97" i="11"/>
  <c r="U97" i="11"/>
  <c r="V161" i="11"/>
  <c r="U161" i="11"/>
  <c r="V225" i="11"/>
  <c r="U225" i="11"/>
  <c r="U74" i="11"/>
  <c r="V74" i="11"/>
  <c r="U138" i="11"/>
  <c r="V138" i="11"/>
  <c r="U202" i="11"/>
  <c r="V202" i="11"/>
  <c r="V43" i="11"/>
  <c r="U43" i="11"/>
  <c r="H110" i="22" s="1"/>
  <c r="V107" i="11"/>
  <c r="U107" i="11"/>
  <c r="V171" i="11"/>
  <c r="U171" i="11"/>
  <c r="V235" i="11"/>
  <c r="U235" i="11"/>
  <c r="V12" i="11"/>
  <c r="U12" i="11"/>
  <c r="V76" i="11"/>
  <c r="U76" i="11"/>
  <c r="V140" i="11"/>
  <c r="U140" i="11"/>
  <c r="V204" i="11"/>
  <c r="U204" i="11"/>
  <c r="V45" i="11"/>
  <c r="U45" i="11"/>
  <c r="V109" i="11"/>
  <c r="U109" i="11"/>
  <c r="V173" i="11"/>
  <c r="U173" i="11"/>
  <c r="V237" i="11"/>
  <c r="U237" i="11"/>
  <c r="V14" i="11"/>
  <c r="U14" i="11"/>
  <c r="V78" i="11"/>
  <c r="U78" i="11"/>
  <c r="V142" i="11"/>
  <c r="U142" i="11"/>
  <c r="V206" i="11"/>
  <c r="U206" i="11"/>
  <c r="V47" i="11"/>
  <c r="U47" i="11"/>
  <c r="V111" i="11"/>
  <c r="U111" i="11"/>
  <c r="V175" i="11"/>
  <c r="U175" i="11"/>
  <c r="V239" i="11"/>
  <c r="U239" i="11"/>
  <c r="V112" i="11"/>
  <c r="U112" i="11"/>
  <c r="V58" i="11"/>
  <c r="U58" i="11"/>
  <c r="H120" i="22" s="1"/>
  <c r="V219" i="11"/>
  <c r="U219" i="11"/>
  <c r="V157" i="11"/>
  <c r="U157" i="11"/>
  <c r="V248" i="11"/>
  <c r="U248" i="11"/>
  <c r="V258" i="11"/>
  <c r="U258" i="11"/>
  <c r="V101" i="11"/>
  <c r="U101" i="11"/>
  <c r="V134" i="11"/>
  <c r="U134" i="11"/>
  <c r="V231" i="11"/>
  <c r="U231" i="11"/>
  <c r="V72" i="11"/>
  <c r="U72" i="11"/>
  <c r="V136" i="11"/>
  <c r="U136" i="11"/>
  <c r="V200" i="11"/>
  <c r="U200" i="11"/>
  <c r="V41" i="11"/>
  <c r="U41" i="11"/>
  <c r="V105" i="11"/>
  <c r="U105" i="11"/>
  <c r="V169" i="11"/>
  <c r="U169" i="11"/>
  <c r="V233" i="11"/>
  <c r="U233" i="11"/>
  <c r="V18" i="11"/>
  <c r="U18" i="11"/>
  <c r="V82" i="11"/>
  <c r="U82" i="11"/>
  <c r="V146" i="11"/>
  <c r="U146" i="11"/>
  <c r="V210" i="11"/>
  <c r="U210" i="11"/>
  <c r="V51" i="11"/>
  <c r="U51" i="11"/>
  <c r="V115" i="11"/>
  <c r="U115" i="11"/>
  <c r="V179" i="11"/>
  <c r="U179" i="11"/>
  <c r="V243" i="11"/>
  <c r="U243" i="11"/>
  <c r="V20" i="11"/>
  <c r="U20" i="11"/>
  <c r="U84" i="11"/>
  <c r="V84" i="11"/>
  <c r="V148" i="11"/>
  <c r="U148" i="11"/>
  <c r="V212" i="11"/>
  <c r="U212" i="11"/>
  <c r="V53" i="11"/>
  <c r="U53" i="11"/>
  <c r="H125" i="22" s="1"/>
  <c r="V117" i="11"/>
  <c r="U117" i="11"/>
  <c r="V181" i="11"/>
  <c r="U181" i="11"/>
  <c r="V245" i="11"/>
  <c r="U245" i="11"/>
  <c r="V22" i="11"/>
  <c r="U22" i="11"/>
  <c r="H134" i="22" s="1"/>
  <c r="V86" i="11"/>
  <c r="U86" i="11"/>
  <c r="V150" i="11"/>
  <c r="U150" i="11"/>
  <c r="V214" i="11"/>
  <c r="U214" i="11"/>
  <c r="V55" i="11"/>
  <c r="U55" i="11"/>
  <c r="H126" i="22" s="1"/>
  <c r="V119" i="11"/>
  <c r="U119" i="11"/>
  <c r="V183" i="11"/>
  <c r="U183" i="11"/>
  <c r="V247" i="11"/>
  <c r="U247" i="11"/>
  <c r="AN53" i="55" a="1"/>
  <c r="AN53" i="55" s="1"/>
  <c r="B55" i="57" s="1"/>
  <c r="AE37" i="69"/>
  <c r="R37" i="69"/>
  <c r="S37" i="69" s="1"/>
  <c r="Y37" i="69" s="1"/>
  <c r="D38" i="69"/>
  <c r="E38" i="69" s="1"/>
  <c r="F38" i="69" s="1"/>
  <c r="G38" i="69" s="1"/>
  <c r="H38" i="69" s="1"/>
  <c r="I38" i="69" s="1"/>
  <c r="J38" i="69" s="1"/>
  <c r="K38" i="69" s="1"/>
  <c r="M38" i="69" s="1"/>
  <c r="C39" i="69"/>
  <c r="P39" i="69" s="1"/>
  <c r="AR39" i="67" a="1"/>
  <c r="AR39" i="67" s="1"/>
  <c r="B40" i="69"/>
  <c r="L40" i="69" s="1"/>
  <c r="B26" i="72"/>
  <c r="B25" i="72"/>
  <c r="B24" i="72"/>
  <c r="B23" i="72"/>
  <c r="B22" i="72"/>
  <c r="B21" i="72"/>
  <c r="B20" i="72"/>
  <c r="B19" i="72"/>
  <c r="B18" i="72"/>
  <c r="B17" i="72"/>
  <c r="H132" i="22" l="1"/>
  <c r="X52" i="57"/>
  <c r="AB52" i="57" s="1"/>
  <c r="AG54" i="57"/>
  <c r="M55" i="53"/>
  <c r="AC55" i="53" s="1"/>
  <c r="O55" i="53"/>
  <c r="AP39" i="69"/>
  <c r="N39" i="69"/>
  <c r="U39" i="69" s="1"/>
  <c r="AE53" i="57"/>
  <c r="AF51" i="57"/>
  <c r="AQ53" i="57"/>
  <c r="AD53" i="57"/>
  <c r="AJ53" i="57"/>
  <c r="AA51" i="57"/>
  <c r="Q53" i="57"/>
  <c r="T53" i="57" s="1"/>
  <c r="AC53" i="57"/>
  <c r="R53" i="57"/>
  <c r="M54" i="57"/>
  <c r="AK54" i="57" s="1"/>
  <c r="N55" i="53"/>
  <c r="AA53" i="53"/>
  <c r="AB53" i="53"/>
  <c r="AF38" i="69"/>
  <c r="Q38" i="69"/>
  <c r="O55" i="57"/>
  <c r="P55" i="57"/>
  <c r="AC36" i="69"/>
  <c r="AD36" i="69" s="1"/>
  <c r="AB37" i="69"/>
  <c r="AG37" i="69"/>
  <c r="O40" i="69"/>
  <c r="AO39" i="69"/>
  <c r="AF53" i="53"/>
  <c r="AE54" i="53"/>
  <c r="R54" i="53"/>
  <c r="X54" i="53" s="1"/>
  <c r="H112" i="22"/>
  <c r="H105" i="22"/>
  <c r="H107" i="22"/>
  <c r="H111" i="22"/>
  <c r="H118" i="22"/>
  <c r="V113" i="22"/>
  <c r="V116" i="22"/>
  <c r="V106" i="22"/>
  <c r="V103" i="22"/>
  <c r="H106" i="22"/>
  <c r="AY38" i="69"/>
  <c r="L55" i="57"/>
  <c r="AG54" i="53"/>
  <c r="AH54" i="53"/>
  <c r="AT54" i="53"/>
  <c r="H108" i="22"/>
  <c r="N55" i="57"/>
  <c r="G55" i="53"/>
  <c r="AH38" i="69"/>
  <c r="Q54" i="53"/>
  <c r="AD54" i="53"/>
  <c r="AK54" i="52" a="1"/>
  <c r="AK54" i="52" s="1"/>
  <c r="B56" i="53" s="1"/>
  <c r="F55" i="53"/>
  <c r="H55" i="53"/>
  <c r="I55" i="53"/>
  <c r="C55" i="53"/>
  <c r="E55" i="53"/>
  <c r="K55" i="53"/>
  <c r="P55" i="53"/>
  <c r="J55" i="53"/>
  <c r="L55" i="53"/>
  <c r="D55" i="53"/>
  <c r="G55" i="57"/>
  <c r="K55" i="57"/>
  <c r="I55" i="57"/>
  <c r="C55" i="57"/>
  <c r="E55" i="57"/>
  <c r="F55" i="57"/>
  <c r="J55" i="57"/>
  <c r="D55" i="57"/>
  <c r="H55" i="57"/>
  <c r="AN54" i="55" a="1"/>
  <c r="AN54" i="55" s="1"/>
  <c r="B56" i="57" s="1"/>
  <c r="AR40" i="67" a="1"/>
  <c r="AR40" i="67" s="1"/>
  <c r="B41" i="69"/>
  <c r="L41" i="69" s="1"/>
  <c r="D39" i="69"/>
  <c r="E39" i="69" s="1"/>
  <c r="F39" i="69" s="1"/>
  <c r="G39" i="69" s="1"/>
  <c r="H39" i="69" s="1"/>
  <c r="I39" i="69" s="1"/>
  <c r="J39" i="69" s="1"/>
  <c r="K39" i="69" s="1"/>
  <c r="M39" i="69" s="1"/>
  <c r="R38" i="69"/>
  <c r="S38" i="69" s="1"/>
  <c r="Y38" i="69" s="1"/>
  <c r="AE38" i="69"/>
  <c r="C40" i="69"/>
  <c r="P40" i="69" s="1"/>
  <c r="L15" i="29"/>
  <c r="X53" i="57" l="1"/>
  <c r="AB53" i="57" s="1"/>
  <c r="AG55" i="57"/>
  <c r="M56" i="53"/>
  <c r="AC56" i="53" s="1"/>
  <c r="O56" i="53"/>
  <c r="AP40" i="69"/>
  <c r="N40" i="69"/>
  <c r="U40" i="69" s="1"/>
  <c r="AF52" i="57"/>
  <c r="AA52" i="57"/>
  <c r="AJ54" i="57"/>
  <c r="AE54" i="57"/>
  <c r="R54" i="57"/>
  <c r="Q54" i="57"/>
  <c r="T54" i="57" s="1"/>
  <c r="AD54" i="57"/>
  <c r="AQ54" i="57"/>
  <c r="AC54" i="57"/>
  <c r="M55" i="57"/>
  <c r="AK55" i="57" s="1"/>
  <c r="N56" i="53"/>
  <c r="AA54" i="53"/>
  <c r="AB54" i="53"/>
  <c r="AF39" i="69"/>
  <c r="Q39" i="69"/>
  <c r="O56" i="57"/>
  <c r="P56" i="57"/>
  <c r="AC37" i="69"/>
  <c r="AD37" i="69" s="1"/>
  <c r="AB38" i="69"/>
  <c r="AG38" i="69"/>
  <c r="O41" i="69"/>
  <c r="AO40" i="69"/>
  <c r="AF54" i="53"/>
  <c r="AE55" i="53"/>
  <c r="R55" i="53"/>
  <c r="X55" i="53" s="1"/>
  <c r="AY39" i="69"/>
  <c r="L56" i="57"/>
  <c r="AG55" i="53"/>
  <c r="AH55" i="53"/>
  <c r="AT55" i="53"/>
  <c r="N56" i="57"/>
  <c r="F56" i="53"/>
  <c r="AH39" i="69"/>
  <c r="AD55" i="53"/>
  <c r="Q55" i="53"/>
  <c r="AK55" i="52" a="1"/>
  <c r="AK55" i="52" s="1"/>
  <c r="B57" i="53" s="1"/>
  <c r="D56" i="53"/>
  <c r="L56" i="53"/>
  <c r="I56" i="53"/>
  <c r="C56" i="53"/>
  <c r="G56" i="53"/>
  <c r="E56" i="53"/>
  <c r="P56" i="53"/>
  <c r="H56" i="53"/>
  <c r="J56" i="53"/>
  <c r="K56" i="53"/>
  <c r="I56" i="57"/>
  <c r="C56" i="57"/>
  <c r="K56" i="57"/>
  <c r="J56" i="57"/>
  <c r="F56" i="57"/>
  <c r="E56" i="57"/>
  <c r="H56" i="57"/>
  <c r="D56" i="57"/>
  <c r="G56" i="57"/>
  <c r="AN55" i="55" a="1"/>
  <c r="AN55" i="55" s="1"/>
  <c r="B57" i="57" s="1"/>
  <c r="AR41" i="67" a="1"/>
  <c r="AR41" i="67" s="1"/>
  <c r="B42" i="69"/>
  <c r="L42" i="69" s="1"/>
  <c r="C41" i="69"/>
  <c r="P41" i="69" s="1"/>
  <c r="D40" i="69"/>
  <c r="E40" i="69" s="1"/>
  <c r="F40" i="69" s="1"/>
  <c r="G40" i="69" s="1"/>
  <c r="H40" i="69" s="1"/>
  <c r="I40" i="69" s="1"/>
  <c r="J40" i="69" s="1"/>
  <c r="K40" i="69" s="1"/>
  <c r="M40" i="69" s="1"/>
  <c r="R39" i="69"/>
  <c r="S39" i="69" s="1"/>
  <c r="Y39" i="69" s="1"/>
  <c r="AE39" i="69"/>
  <c r="X54" i="57" l="1"/>
  <c r="AB54" i="57" s="1"/>
  <c r="AG56" i="57"/>
  <c r="M57" i="53"/>
  <c r="AC57" i="53" s="1"/>
  <c r="O57" i="53"/>
  <c r="AP41" i="69"/>
  <c r="N41" i="69"/>
  <c r="U41" i="69" s="1"/>
  <c r="AF53" i="57"/>
  <c r="AA53" i="57"/>
  <c r="AE55" i="57"/>
  <c r="AQ55" i="57"/>
  <c r="AD55" i="57"/>
  <c r="AJ55" i="57"/>
  <c r="R55" i="57"/>
  <c r="Q55" i="57"/>
  <c r="T55" i="57" s="1"/>
  <c r="AC55" i="57"/>
  <c r="M56" i="57"/>
  <c r="AK56" i="57" s="1"/>
  <c r="N57" i="53"/>
  <c r="AA55" i="53"/>
  <c r="AB55" i="53"/>
  <c r="AF40" i="69"/>
  <c r="Q40" i="69"/>
  <c r="O57" i="57"/>
  <c r="P57" i="57"/>
  <c r="AC38" i="69"/>
  <c r="AD38" i="69" s="1"/>
  <c r="AB39" i="69"/>
  <c r="AG39" i="69"/>
  <c r="AO41" i="69"/>
  <c r="O42" i="69"/>
  <c r="AE56" i="53"/>
  <c r="AF55" i="53"/>
  <c r="R56" i="53"/>
  <c r="X56" i="53" s="1"/>
  <c r="AY40" i="69"/>
  <c r="L57" i="57"/>
  <c r="AG56" i="53"/>
  <c r="AH56" i="53"/>
  <c r="AT56" i="53"/>
  <c r="N57" i="57"/>
  <c r="C57" i="53"/>
  <c r="AH40" i="69"/>
  <c r="Q56" i="53"/>
  <c r="AD56" i="53"/>
  <c r="H57" i="53"/>
  <c r="F57" i="53"/>
  <c r="K57" i="53"/>
  <c r="E57" i="53"/>
  <c r="L57" i="53"/>
  <c r="J57" i="53"/>
  <c r="G57" i="53"/>
  <c r="AK56" i="52" a="1"/>
  <c r="AK56" i="52" s="1"/>
  <c r="B58" i="53" s="1"/>
  <c r="D57" i="53"/>
  <c r="P57" i="53"/>
  <c r="I57" i="53"/>
  <c r="I57" i="57"/>
  <c r="E57" i="57"/>
  <c r="D57" i="57"/>
  <c r="C57" i="57"/>
  <c r="K57" i="57"/>
  <c r="H57" i="57"/>
  <c r="G57" i="57"/>
  <c r="F57" i="57"/>
  <c r="J57" i="57"/>
  <c r="AN56" i="55" a="1"/>
  <c r="AN56" i="55" s="1"/>
  <c r="B58" i="57" s="1"/>
  <c r="AE40" i="69"/>
  <c r="R40" i="69"/>
  <c r="S40" i="69" s="1"/>
  <c r="Y40" i="69" s="1"/>
  <c r="D41" i="69"/>
  <c r="E41" i="69" s="1"/>
  <c r="F41" i="69" s="1"/>
  <c r="G41" i="69" s="1"/>
  <c r="H41" i="69" s="1"/>
  <c r="I41" i="69" s="1"/>
  <c r="J41" i="69" s="1"/>
  <c r="K41" i="69" s="1"/>
  <c r="M41" i="69" s="1"/>
  <c r="C42" i="69"/>
  <c r="P42" i="69" s="1"/>
  <c r="AR42" i="67" a="1"/>
  <c r="AR42" i="67" s="1"/>
  <c r="B43" i="69"/>
  <c r="L43" i="69" s="1"/>
  <c r="B3" i="73"/>
  <c r="X55" i="57" l="1"/>
  <c r="AB55" i="57" s="1"/>
  <c r="AG57" i="57"/>
  <c r="M58" i="53"/>
  <c r="AC58" i="53" s="1"/>
  <c r="O58" i="53"/>
  <c r="AP42" i="69"/>
  <c r="N42" i="69"/>
  <c r="U42" i="69" s="1"/>
  <c r="AF54" i="57"/>
  <c r="AA54" i="57"/>
  <c r="AQ56" i="57"/>
  <c r="AC56" i="57"/>
  <c r="AE56" i="57"/>
  <c r="Q56" i="57"/>
  <c r="T56" i="57" s="1"/>
  <c r="AD56" i="57"/>
  <c r="AJ56" i="57"/>
  <c r="R56" i="57"/>
  <c r="M57" i="57"/>
  <c r="AK57" i="57" s="1"/>
  <c r="N58" i="53"/>
  <c r="AA56" i="53"/>
  <c r="AB56" i="53"/>
  <c r="AF41" i="69"/>
  <c r="Q41" i="69"/>
  <c r="O58" i="57"/>
  <c r="P58" i="57"/>
  <c r="AC39" i="69"/>
  <c r="AD39" i="69" s="1"/>
  <c r="AB40" i="69"/>
  <c r="AG40" i="69"/>
  <c r="O43" i="69"/>
  <c r="AO42" i="69"/>
  <c r="AE57" i="53"/>
  <c r="AF56" i="53"/>
  <c r="R57" i="53"/>
  <c r="X57" i="53" s="1"/>
  <c r="AY41" i="69"/>
  <c r="L58" i="57"/>
  <c r="AG57" i="53"/>
  <c r="AH57" i="53"/>
  <c r="AT57" i="53"/>
  <c r="N58" i="57"/>
  <c r="AH41" i="69"/>
  <c r="AD57" i="53"/>
  <c r="Q57" i="53"/>
  <c r="K58" i="53"/>
  <c r="P58" i="53"/>
  <c r="I58" i="53"/>
  <c r="E58" i="53"/>
  <c r="H58" i="53"/>
  <c r="AK57" i="52" a="1"/>
  <c r="AK57" i="52" s="1"/>
  <c r="B59" i="53" s="1"/>
  <c r="J58" i="53"/>
  <c r="D58" i="53"/>
  <c r="L58" i="53"/>
  <c r="C58" i="53"/>
  <c r="G58" i="53"/>
  <c r="F58" i="53"/>
  <c r="D58" i="57"/>
  <c r="G58" i="57"/>
  <c r="K58" i="57"/>
  <c r="F58" i="57"/>
  <c r="E58" i="57"/>
  <c r="I58" i="57"/>
  <c r="C58" i="57"/>
  <c r="H58" i="57"/>
  <c r="J58" i="57"/>
  <c r="AN57" i="55" a="1"/>
  <c r="AN57" i="55" s="1"/>
  <c r="B59" i="57" s="1"/>
  <c r="C43" i="69"/>
  <c r="P43" i="69" s="1"/>
  <c r="D42" i="69"/>
  <c r="E42" i="69" s="1"/>
  <c r="F42" i="69" s="1"/>
  <c r="G42" i="69" s="1"/>
  <c r="H42" i="69" s="1"/>
  <c r="I42" i="69" s="1"/>
  <c r="J42" i="69" s="1"/>
  <c r="K42" i="69" s="1"/>
  <c r="M42" i="69" s="1"/>
  <c r="R41" i="69"/>
  <c r="S41" i="69" s="1"/>
  <c r="Y41" i="69" s="1"/>
  <c r="AE41" i="69"/>
  <c r="AR43" i="67" a="1"/>
  <c r="AR43" i="67" s="1"/>
  <c r="B44" i="69"/>
  <c r="L44" i="69" s="1"/>
  <c r="X56" i="57" l="1"/>
  <c r="AB56" i="57" s="1"/>
  <c r="AG58" i="57"/>
  <c r="M59" i="53"/>
  <c r="AC59" i="53" s="1"/>
  <c r="O59" i="53"/>
  <c r="AP43" i="69"/>
  <c r="N43" i="69"/>
  <c r="U43" i="69" s="1"/>
  <c r="AF55" i="57"/>
  <c r="AA55" i="57"/>
  <c r="AQ57" i="57"/>
  <c r="AJ57" i="57"/>
  <c r="R57" i="57"/>
  <c r="Q57" i="57"/>
  <c r="T57" i="57" s="1"/>
  <c r="AD57" i="57"/>
  <c r="AE57" i="57"/>
  <c r="AC57" i="57"/>
  <c r="M58" i="57"/>
  <c r="AK58" i="57" s="1"/>
  <c r="N59" i="53"/>
  <c r="AA57" i="53"/>
  <c r="AB57" i="53"/>
  <c r="AF42" i="69"/>
  <c r="Q42" i="69"/>
  <c r="O59" i="57"/>
  <c r="P59" i="57"/>
  <c r="AC40" i="69"/>
  <c r="AD40" i="69" s="1"/>
  <c r="AB41" i="69"/>
  <c r="AG41" i="69"/>
  <c r="O44" i="69"/>
  <c r="AO43" i="69"/>
  <c r="AE58" i="53"/>
  <c r="AF57" i="53"/>
  <c r="R58" i="53"/>
  <c r="X58" i="53" s="1"/>
  <c r="AY42" i="69"/>
  <c r="L59" i="57"/>
  <c r="AG58" i="53"/>
  <c r="AH58" i="53"/>
  <c r="AT58" i="53"/>
  <c r="N59" i="57"/>
  <c r="H59" i="53"/>
  <c r="AH42" i="69"/>
  <c r="Q58" i="53"/>
  <c r="AD58" i="53"/>
  <c r="AK58" i="52" a="1"/>
  <c r="AK58" i="52" s="1"/>
  <c r="B60" i="53" s="1"/>
  <c r="K59" i="53"/>
  <c r="P59" i="53"/>
  <c r="I59" i="53"/>
  <c r="C59" i="53"/>
  <c r="E59" i="53"/>
  <c r="J59" i="53"/>
  <c r="L59" i="53"/>
  <c r="D59" i="53"/>
  <c r="G59" i="53"/>
  <c r="F59" i="53"/>
  <c r="K59" i="57"/>
  <c r="G59" i="57"/>
  <c r="E59" i="57"/>
  <c r="D59" i="57"/>
  <c r="C59" i="57"/>
  <c r="I59" i="57"/>
  <c r="H59" i="57"/>
  <c r="F59" i="57"/>
  <c r="J59" i="57"/>
  <c r="AN58" i="55" a="1"/>
  <c r="AN58" i="55" s="1"/>
  <c r="B60" i="57" s="1"/>
  <c r="C44" i="69"/>
  <c r="P44" i="69" s="1"/>
  <c r="D43" i="69"/>
  <c r="E43" i="69" s="1"/>
  <c r="F43" i="69" s="1"/>
  <c r="G43" i="69" s="1"/>
  <c r="H43" i="69" s="1"/>
  <c r="I43" i="69" s="1"/>
  <c r="J43" i="69" s="1"/>
  <c r="K43" i="69" s="1"/>
  <c r="M43" i="69" s="1"/>
  <c r="R42" i="69"/>
  <c r="S42" i="69" s="1"/>
  <c r="Y42" i="69" s="1"/>
  <c r="AE42" i="69"/>
  <c r="AR44" i="67" a="1"/>
  <c r="AR44" i="67" s="1"/>
  <c r="B45" i="69"/>
  <c r="L45" i="69" s="1"/>
  <c r="X57" i="57" l="1"/>
  <c r="AB57" i="57" s="1"/>
  <c r="AG59" i="57"/>
  <c r="AQ58" i="57"/>
  <c r="M60" i="53"/>
  <c r="AC60" i="53" s="1"/>
  <c r="O60" i="53"/>
  <c r="AP44" i="69"/>
  <c r="N44" i="69"/>
  <c r="U44" i="69" s="1"/>
  <c r="AA56" i="57"/>
  <c r="AF56" i="57"/>
  <c r="AJ58" i="57"/>
  <c r="Q58" i="57"/>
  <c r="T58" i="57" s="1"/>
  <c r="AC58" i="57"/>
  <c r="AD58" i="57"/>
  <c r="AE58" i="57"/>
  <c r="R58" i="57"/>
  <c r="M59" i="57"/>
  <c r="AK59" i="57" s="1"/>
  <c r="N60" i="53"/>
  <c r="AA58" i="53"/>
  <c r="AB58" i="53"/>
  <c r="AF43" i="69"/>
  <c r="Q43" i="69"/>
  <c r="O60" i="57"/>
  <c r="P60" i="57"/>
  <c r="AC41" i="69"/>
  <c r="AD41" i="69" s="1"/>
  <c r="AB42" i="69"/>
  <c r="AG42" i="69"/>
  <c r="AO44" i="69"/>
  <c r="O45" i="69"/>
  <c r="AE59" i="53"/>
  <c r="AF58" i="53"/>
  <c r="R59" i="53"/>
  <c r="X59" i="53" s="1"/>
  <c r="AY43" i="69"/>
  <c r="L60" i="57"/>
  <c r="AG59" i="53"/>
  <c r="AH59" i="53"/>
  <c r="AT59" i="53"/>
  <c r="N60" i="57"/>
  <c r="AH43" i="69"/>
  <c r="Q59" i="53"/>
  <c r="AD59" i="53"/>
  <c r="J60" i="53"/>
  <c r="K60" i="53"/>
  <c r="E60" i="53"/>
  <c r="F60" i="53"/>
  <c r="P60" i="53"/>
  <c r="I60" i="53"/>
  <c r="L60" i="53"/>
  <c r="C60" i="53"/>
  <c r="AK59" i="52" a="1"/>
  <c r="AK59" i="52" s="1"/>
  <c r="B61" i="53" s="1"/>
  <c r="D60" i="53"/>
  <c r="H60" i="53"/>
  <c r="G60" i="53"/>
  <c r="K60" i="57"/>
  <c r="I60" i="57"/>
  <c r="F60" i="57"/>
  <c r="C60" i="57"/>
  <c r="H60" i="57"/>
  <c r="D60" i="57"/>
  <c r="G60" i="57"/>
  <c r="E60" i="57"/>
  <c r="J60" i="57"/>
  <c r="AN59" i="55" a="1"/>
  <c r="AN59" i="55" s="1"/>
  <c r="B61" i="57" s="1"/>
  <c r="R43" i="69"/>
  <c r="S43" i="69" s="1"/>
  <c r="Y43" i="69" s="1"/>
  <c r="AE43" i="69"/>
  <c r="C45" i="69"/>
  <c r="P45" i="69" s="1"/>
  <c r="AR45" i="67" a="1"/>
  <c r="AR45" i="67" s="1"/>
  <c r="B46" i="69"/>
  <c r="L46" i="69" s="1"/>
  <c r="D44" i="69"/>
  <c r="E44" i="69" s="1"/>
  <c r="F44" i="69" s="1"/>
  <c r="G44" i="69" s="1"/>
  <c r="H44" i="69" s="1"/>
  <c r="I44" i="69" s="1"/>
  <c r="J44" i="69" s="1"/>
  <c r="K44" i="69" s="1"/>
  <c r="M44" i="69" s="1"/>
  <c r="AB43" i="69" l="1"/>
  <c r="AC43" i="69" s="1"/>
  <c r="AD43" i="69" s="1"/>
  <c r="AG60" i="57"/>
  <c r="X58" i="57"/>
  <c r="AB58" i="57" s="1"/>
  <c r="Q59" i="57"/>
  <c r="T59" i="57" s="1"/>
  <c r="M61" i="53"/>
  <c r="AC61" i="53" s="1"/>
  <c r="O61" i="53"/>
  <c r="AP45" i="69"/>
  <c r="N45" i="69"/>
  <c r="U45" i="69" s="1"/>
  <c r="AQ59" i="57"/>
  <c r="AJ59" i="57"/>
  <c r="R59" i="57"/>
  <c r="AF57" i="57"/>
  <c r="AA57" i="57"/>
  <c r="AD59" i="57"/>
  <c r="AC59" i="57"/>
  <c r="AE59" i="57"/>
  <c r="M60" i="57"/>
  <c r="AK60" i="57" s="1"/>
  <c r="N61" i="53"/>
  <c r="AA59" i="53"/>
  <c r="AB59" i="53"/>
  <c r="AF44" i="69"/>
  <c r="Q44" i="69"/>
  <c r="O61" i="57"/>
  <c r="P61" i="57"/>
  <c r="AC42" i="69"/>
  <c r="AD42" i="69" s="1"/>
  <c r="O46" i="69"/>
  <c r="AO45" i="69"/>
  <c r="AG43" i="69"/>
  <c r="AF59" i="53"/>
  <c r="AE60" i="53"/>
  <c r="R60" i="53"/>
  <c r="X60" i="53" s="1"/>
  <c r="AY44" i="69"/>
  <c r="L61" i="57"/>
  <c r="AT60" i="53"/>
  <c r="AH60" i="53"/>
  <c r="AG60" i="53"/>
  <c r="N61" i="57"/>
  <c r="AH44" i="69"/>
  <c r="AD60" i="53"/>
  <c r="Q60" i="53"/>
  <c r="AK60" i="52" a="1"/>
  <c r="AK60" i="52" s="1"/>
  <c r="B62" i="53" s="1"/>
  <c r="H61" i="53"/>
  <c r="F61" i="53"/>
  <c r="I61" i="53"/>
  <c r="C61" i="53"/>
  <c r="L61" i="53"/>
  <c r="P61" i="53"/>
  <c r="K61" i="53"/>
  <c r="E61" i="53"/>
  <c r="D61" i="53"/>
  <c r="J61" i="53"/>
  <c r="G61" i="53"/>
  <c r="G61" i="57"/>
  <c r="C61" i="57"/>
  <c r="K61" i="57"/>
  <c r="I61" i="57"/>
  <c r="H61" i="57"/>
  <c r="E61" i="57"/>
  <c r="D61" i="57"/>
  <c r="J61" i="57"/>
  <c r="F61" i="57"/>
  <c r="AN60" i="55" a="1"/>
  <c r="AN60" i="55" s="1"/>
  <c r="B62" i="57" s="1"/>
  <c r="R44" i="69"/>
  <c r="S44" i="69" s="1"/>
  <c r="Y44" i="69" s="1"/>
  <c r="AE44" i="69"/>
  <c r="C46" i="69"/>
  <c r="P46" i="69" s="1"/>
  <c r="AR46" i="67" a="1"/>
  <c r="AR46" i="67" s="1"/>
  <c r="B47" i="69"/>
  <c r="L47" i="69" s="1"/>
  <c r="D45" i="69"/>
  <c r="E45" i="69" s="1"/>
  <c r="F45" i="69" s="1"/>
  <c r="G45" i="69" s="1"/>
  <c r="H45" i="69" s="1"/>
  <c r="I45" i="69" s="1"/>
  <c r="J45" i="69" s="1"/>
  <c r="K45" i="69" s="1"/>
  <c r="M45" i="69" s="1"/>
  <c r="X59" i="57" l="1"/>
  <c r="AB59" i="57" s="1"/>
  <c r="AG61" i="57"/>
  <c r="M62" i="53"/>
  <c r="AC62" i="53" s="1"/>
  <c r="O62" i="53"/>
  <c r="AP46" i="69"/>
  <c r="N46" i="69"/>
  <c r="U46" i="69" s="1"/>
  <c r="AQ60" i="57"/>
  <c r="AE60" i="57"/>
  <c r="AA58" i="57"/>
  <c r="AF58" i="57"/>
  <c r="AD60" i="57"/>
  <c r="Q60" i="57"/>
  <c r="T60" i="57" s="1"/>
  <c r="AJ60" i="57"/>
  <c r="R60" i="57"/>
  <c r="AC60" i="57"/>
  <c r="M61" i="57"/>
  <c r="AK61" i="57" s="1"/>
  <c r="N62" i="53"/>
  <c r="AA60" i="53"/>
  <c r="AB60" i="53"/>
  <c r="AF45" i="69"/>
  <c r="Q45" i="69"/>
  <c r="O62" i="57"/>
  <c r="P62" i="57"/>
  <c r="AB44" i="69"/>
  <c r="AG44" i="69"/>
  <c r="O47" i="69"/>
  <c r="AO46" i="69"/>
  <c r="AE61" i="53"/>
  <c r="AF60" i="53"/>
  <c r="R61" i="53"/>
  <c r="X61" i="53" s="1"/>
  <c r="AY45" i="69"/>
  <c r="L62" i="57"/>
  <c r="AG61" i="53"/>
  <c r="AH61" i="53"/>
  <c r="AT61" i="53"/>
  <c r="N62" i="57"/>
  <c r="H62" i="53"/>
  <c r="AH45" i="69"/>
  <c r="AD61" i="53"/>
  <c r="Q61" i="53"/>
  <c r="F62" i="53"/>
  <c r="E62" i="53"/>
  <c r="I62" i="53"/>
  <c r="C62" i="53"/>
  <c r="G62" i="53"/>
  <c r="K62" i="53"/>
  <c r="J62" i="53"/>
  <c r="AK61" i="52" a="1"/>
  <c r="AK61" i="52" s="1"/>
  <c r="B63" i="53" s="1"/>
  <c r="L62" i="53"/>
  <c r="P62" i="53"/>
  <c r="D62" i="53"/>
  <c r="E62" i="57"/>
  <c r="J62" i="57"/>
  <c r="G62" i="57"/>
  <c r="C62" i="57"/>
  <c r="K62" i="57"/>
  <c r="F62" i="57"/>
  <c r="H62" i="57"/>
  <c r="D62" i="57"/>
  <c r="I62" i="57"/>
  <c r="AN61" i="55" a="1"/>
  <c r="AN61" i="55" s="1"/>
  <c r="B63" i="57" s="1"/>
  <c r="AR47" i="67" a="1"/>
  <c r="AR47" i="67" s="1"/>
  <c r="B48" i="69"/>
  <c r="L48" i="69" s="1"/>
  <c r="R45" i="69"/>
  <c r="S45" i="69" s="1"/>
  <c r="Y45" i="69" s="1"/>
  <c r="AE45" i="69"/>
  <c r="C47" i="69"/>
  <c r="P47" i="69" s="1"/>
  <c r="D46" i="69"/>
  <c r="E46" i="69" s="1"/>
  <c r="F46" i="69" s="1"/>
  <c r="G46" i="69" s="1"/>
  <c r="H46" i="69" s="1"/>
  <c r="I46" i="69" s="1"/>
  <c r="J46" i="69" s="1"/>
  <c r="K46" i="69" s="1"/>
  <c r="M46" i="69" s="1"/>
  <c r="B151" i="72"/>
  <c r="C151" i="72"/>
  <c r="B148" i="72"/>
  <c r="C148" i="72"/>
  <c r="B149" i="72"/>
  <c r="C149" i="72"/>
  <c r="B150" i="72"/>
  <c r="C150" i="72"/>
  <c r="B141" i="72"/>
  <c r="C141" i="72"/>
  <c r="B142" i="72"/>
  <c r="C142" i="72"/>
  <c r="B143" i="72"/>
  <c r="C143" i="72"/>
  <c r="B145" i="72"/>
  <c r="C145" i="72"/>
  <c r="B146" i="72"/>
  <c r="C146" i="72"/>
  <c r="B147" i="72"/>
  <c r="C147" i="72"/>
  <c r="B126" i="72"/>
  <c r="C126" i="72"/>
  <c r="B127" i="72"/>
  <c r="C127" i="72"/>
  <c r="B128" i="72"/>
  <c r="C128" i="72"/>
  <c r="B129" i="72"/>
  <c r="C129" i="72"/>
  <c r="B131" i="72"/>
  <c r="C131" i="72"/>
  <c r="B135" i="72"/>
  <c r="B137" i="72"/>
  <c r="B106" i="72"/>
  <c r="C106" i="72"/>
  <c r="B107" i="72"/>
  <c r="C107" i="72"/>
  <c r="B110" i="72"/>
  <c r="C110" i="72"/>
  <c r="B111" i="72"/>
  <c r="C111" i="72"/>
  <c r="B112" i="72"/>
  <c r="C112" i="72"/>
  <c r="B96" i="72"/>
  <c r="C96" i="72"/>
  <c r="B97" i="72"/>
  <c r="C97" i="72"/>
  <c r="B98" i="72"/>
  <c r="C98" i="72"/>
  <c r="B99" i="72"/>
  <c r="B101" i="72"/>
  <c r="C101" i="72"/>
  <c r="B102" i="72"/>
  <c r="C102" i="72"/>
  <c r="B104" i="72"/>
  <c r="C104" i="72"/>
  <c r="B105" i="72"/>
  <c r="C105" i="72"/>
  <c r="B90" i="72"/>
  <c r="B92" i="72"/>
  <c r="C92" i="72"/>
  <c r="B93" i="72"/>
  <c r="C93" i="72"/>
  <c r="B94" i="72"/>
  <c r="C94" i="72"/>
  <c r="B95" i="72"/>
  <c r="C95" i="72"/>
  <c r="C89" i="72"/>
  <c r="B89" i="72"/>
  <c r="B70" i="72"/>
  <c r="C70" i="72"/>
  <c r="B42" i="72"/>
  <c r="C42" i="72"/>
  <c r="B43" i="72"/>
  <c r="C43" i="72"/>
  <c r="B44" i="72"/>
  <c r="C44" i="72"/>
  <c r="B45" i="72"/>
  <c r="C45" i="72"/>
  <c r="B46" i="72"/>
  <c r="C46" i="72"/>
  <c r="C47" i="72"/>
  <c r="B48" i="72"/>
  <c r="C48" i="72"/>
  <c r="B49" i="72"/>
  <c r="C49" i="72"/>
  <c r="B50" i="72"/>
  <c r="C50" i="72"/>
  <c r="B51" i="72"/>
  <c r="C51" i="72"/>
  <c r="B52" i="72"/>
  <c r="C52" i="72"/>
  <c r="B53" i="72"/>
  <c r="C53" i="72"/>
  <c r="B54" i="72"/>
  <c r="C54" i="72"/>
  <c r="C55" i="72"/>
  <c r="B56" i="72"/>
  <c r="C56" i="72"/>
  <c r="B57" i="72"/>
  <c r="C57" i="72"/>
  <c r="B58" i="72"/>
  <c r="C58" i="72"/>
  <c r="B59" i="72"/>
  <c r="C59" i="72"/>
  <c r="B60" i="72"/>
  <c r="C60" i="72"/>
  <c r="B61" i="72"/>
  <c r="C61" i="72"/>
  <c r="B63" i="72"/>
  <c r="C63" i="72"/>
  <c r="B64" i="72"/>
  <c r="C64" i="72"/>
  <c r="B65" i="72"/>
  <c r="C65" i="72"/>
  <c r="B66" i="72"/>
  <c r="C66" i="72"/>
  <c r="B67" i="72"/>
  <c r="C67" i="72"/>
  <c r="B68" i="72"/>
  <c r="C68" i="72"/>
  <c r="B69" i="72"/>
  <c r="C69" i="72"/>
  <c r="C41" i="72"/>
  <c r="B41" i="72"/>
  <c r="B14" i="72"/>
  <c r="B15" i="72"/>
  <c r="B16" i="72"/>
  <c r="B13" i="72"/>
  <c r="X60" i="57" l="1"/>
  <c r="AB60" i="57" s="1"/>
  <c r="AG62" i="57"/>
  <c r="AF59" i="57"/>
  <c r="AA59" i="57"/>
  <c r="AD61" i="57"/>
  <c r="M63" i="53"/>
  <c r="AC63" i="53" s="1"/>
  <c r="O63" i="53"/>
  <c r="AP47" i="69"/>
  <c r="N47" i="69"/>
  <c r="U47" i="69" s="1"/>
  <c r="AJ61" i="57"/>
  <c r="R61" i="57"/>
  <c r="AQ61" i="57"/>
  <c r="Q61" i="57"/>
  <c r="T61" i="57" s="1"/>
  <c r="AE61" i="57"/>
  <c r="AC61" i="57"/>
  <c r="M62" i="57"/>
  <c r="AK62" i="57" s="1"/>
  <c r="N63" i="53"/>
  <c r="AA61" i="53"/>
  <c r="AB61" i="53"/>
  <c r="AF46" i="69"/>
  <c r="Q46" i="69"/>
  <c r="O63" i="57"/>
  <c r="P63" i="57"/>
  <c r="AC44" i="69"/>
  <c r="AD44" i="69" s="1"/>
  <c r="AB45" i="69"/>
  <c r="AG45" i="69"/>
  <c r="AO47" i="69"/>
  <c r="O48" i="69"/>
  <c r="AF61" i="53"/>
  <c r="AE62" i="53"/>
  <c r="R62" i="53"/>
  <c r="X62" i="53" s="1"/>
  <c r="AY46" i="69"/>
  <c r="L63" i="57"/>
  <c r="AG62" i="53"/>
  <c r="AH62" i="53"/>
  <c r="AT62" i="53"/>
  <c r="N63" i="57"/>
  <c r="P63" i="53"/>
  <c r="AH46" i="69"/>
  <c r="Q62" i="53"/>
  <c r="AD62" i="53"/>
  <c r="AK62" i="52" a="1"/>
  <c r="AK62" i="52" s="1"/>
  <c r="B64" i="53" s="1"/>
  <c r="J63" i="53"/>
  <c r="I63" i="53"/>
  <c r="C63" i="53"/>
  <c r="E63" i="53"/>
  <c r="G63" i="53"/>
  <c r="D63" i="53"/>
  <c r="H63" i="53"/>
  <c r="L63" i="53"/>
  <c r="F63" i="53"/>
  <c r="K63" i="53"/>
  <c r="D63" i="57"/>
  <c r="K63" i="57"/>
  <c r="I63" i="57"/>
  <c r="H63" i="57"/>
  <c r="G63" i="57"/>
  <c r="E63" i="57"/>
  <c r="C63" i="57"/>
  <c r="F63" i="57"/>
  <c r="J63" i="57"/>
  <c r="AN62" i="55" a="1"/>
  <c r="AN62" i="55" s="1"/>
  <c r="B64" i="57" s="1"/>
  <c r="AR48" i="67" a="1"/>
  <c r="AR48" i="67" s="1"/>
  <c r="B49" i="69"/>
  <c r="L49" i="69" s="1"/>
  <c r="R46" i="69"/>
  <c r="S46" i="69" s="1"/>
  <c r="Y46" i="69" s="1"/>
  <c r="AE46" i="69"/>
  <c r="C48" i="69"/>
  <c r="P48" i="69" s="1"/>
  <c r="D47" i="69"/>
  <c r="E47" i="69" s="1"/>
  <c r="F47" i="69" s="1"/>
  <c r="G47" i="69" s="1"/>
  <c r="H47" i="69" s="1"/>
  <c r="I47" i="69" s="1"/>
  <c r="J47" i="69" s="1"/>
  <c r="K47" i="69" s="1"/>
  <c r="M47" i="69" s="1"/>
  <c r="X61" i="57" l="1"/>
  <c r="AB61" i="57" s="1"/>
  <c r="AG63" i="57"/>
  <c r="M64" i="53"/>
  <c r="AC64" i="53" s="1"/>
  <c r="O64" i="53"/>
  <c r="AP48" i="69"/>
  <c r="N48" i="69"/>
  <c r="U48" i="69" s="1"/>
  <c r="Q62" i="57"/>
  <c r="T62" i="57" s="1"/>
  <c r="AC62" i="57"/>
  <c r="AF60" i="57"/>
  <c r="AA60" i="57"/>
  <c r="AE62" i="57"/>
  <c r="AQ62" i="57"/>
  <c r="AD62" i="57"/>
  <c r="AJ62" i="57"/>
  <c r="R62" i="57"/>
  <c r="M63" i="57"/>
  <c r="AK63" i="57" s="1"/>
  <c r="N64" i="53"/>
  <c r="AA62" i="53"/>
  <c r="AB62" i="53"/>
  <c r="AF47" i="69"/>
  <c r="Q47" i="69"/>
  <c r="O64" i="57"/>
  <c r="P64" i="57"/>
  <c r="AC45" i="69"/>
  <c r="AD45" i="69" s="1"/>
  <c r="AB46" i="69"/>
  <c r="AG46" i="69"/>
  <c r="AO48" i="69"/>
  <c r="O49" i="69"/>
  <c r="AF62" i="53"/>
  <c r="AE63" i="53"/>
  <c r="R63" i="53"/>
  <c r="X63" i="53" s="1"/>
  <c r="AY47" i="69"/>
  <c r="L64" i="57"/>
  <c r="AG63" i="53"/>
  <c r="AH63" i="53"/>
  <c r="AT63" i="53"/>
  <c r="N64" i="57"/>
  <c r="P64" i="53"/>
  <c r="AH47" i="69"/>
  <c r="Q63" i="53"/>
  <c r="AD63" i="53"/>
  <c r="G64" i="53"/>
  <c r="E64" i="53"/>
  <c r="C64" i="53"/>
  <c r="L64" i="53"/>
  <c r="H64" i="53"/>
  <c r="AK63" i="52" a="1"/>
  <c r="AK63" i="52" s="1"/>
  <c r="B65" i="53" s="1"/>
  <c r="F64" i="53"/>
  <c r="J64" i="53"/>
  <c r="I64" i="53"/>
  <c r="D64" i="53"/>
  <c r="K64" i="53"/>
  <c r="E64" i="57"/>
  <c r="K64" i="57"/>
  <c r="J64" i="57"/>
  <c r="I64" i="57"/>
  <c r="F64" i="57"/>
  <c r="C64" i="57"/>
  <c r="H64" i="57"/>
  <c r="D64" i="57"/>
  <c r="G64" i="57"/>
  <c r="AN63" i="55" a="1"/>
  <c r="AN63" i="55" s="1"/>
  <c r="B65" i="57" s="1"/>
  <c r="D48" i="69"/>
  <c r="E48" i="69" s="1"/>
  <c r="F48" i="69" s="1"/>
  <c r="G48" i="69" s="1"/>
  <c r="H48" i="69" s="1"/>
  <c r="I48" i="69" s="1"/>
  <c r="J48" i="69" s="1"/>
  <c r="K48" i="69" s="1"/>
  <c r="M48" i="69" s="1"/>
  <c r="AE47" i="69"/>
  <c r="R47" i="69"/>
  <c r="S47" i="69" s="1"/>
  <c r="Y47" i="69" s="1"/>
  <c r="C49" i="69"/>
  <c r="P49" i="69" s="1"/>
  <c r="AR49" i="67" a="1"/>
  <c r="AR49" i="67" s="1"/>
  <c r="B50" i="69"/>
  <c r="L50" i="69" s="1"/>
  <c r="M15" i="29"/>
  <c r="A96" i="22"/>
  <c r="T96" i="22" s="1"/>
  <c r="B96" i="22"/>
  <c r="C96" i="22"/>
  <c r="A97" i="22"/>
  <c r="B97" i="22"/>
  <c r="C97" i="22"/>
  <c r="A98" i="22"/>
  <c r="B98" i="22"/>
  <c r="C98" i="22"/>
  <c r="A99" i="22"/>
  <c r="B99" i="22"/>
  <c r="C99" i="22"/>
  <c r="A100" i="22"/>
  <c r="B100" i="22"/>
  <c r="C100" i="22"/>
  <c r="A101" i="22"/>
  <c r="B101" i="22"/>
  <c r="C101" i="22"/>
  <c r="A102" i="22"/>
  <c r="X102" i="22" s="1"/>
  <c r="B102" i="22"/>
  <c r="C102" i="22"/>
  <c r="A5" i="22"/>
  <c r="B5" i="22"/>
  <c r="C5" i="22"/>
  <c r="A6" i="22"/>
  <c r="B6" i="22"/>
  <c r="C6" i="22"/>
  <c r="A7" i="22"/>
  <c r="B7" i="22"/>
  <c r="C7" i="22"/>
  <c r="A8" i="22"/>
  <c r="X8" i="22" s="1"/>
  <c r="B8" i="22"/>
  <c r="C8" i="22"/>
  <c r="A9" i="22"/>
  <c r="B9" i="22"/>
  <c r="C9" i="22"/>
  <c r="A10" i="22"/>
  <c r="B10" i="22"/>
  <c r="C10" i="22"/>
  <c r="A11" i="22"/>
  <c r="B11" i="22"/>
  <c r="C11" i="22"/>
  <c r="A12" i="22"/>
  <c r="B12" i="22"/>
  <c r="C12" i="22"/>
  <c r="A13" i="22"/>
  <c r="B13" i="22"/>
  <c r="C13" i="22"/>
  <c r="A14" i="22"/>
  <c r="B14" i="22"/>
  <c r="C14" i="22"/>
  <c r="A15" i="22"/>
  <c r="X15" i="22" s="1"/>
  <c r="B15" i="22"/>
  <c r="C15" i="22"/>
  <c r="A16" i="22"/>
  <c r="B16" i="22"/>
  <c r="C16" i="22"/>
  <c r="A17" i="22"/>
  <c r="B17" i="22"/>
  <c r="C17" i="22"/>
  <c r="A18" i="22"/>
  <c r="T18" i="22" s="1"/>
  <c r="B18" i="22"/>
  <c r="C18" i="22"/>
  <c r="A19" i="22"/>
  <c r="B19" i="22"/>
  <c r="C19" i="22"/>
  <c r="A20" i="22"/>
  <c r="B20" i="22"/>
  <c r="C20" i="22"/>
  <c r="A21" i="22"/>
  <c r="B21" i="22"/>
  <c r="C21" i="22"/>
  <c r="A22" i="22"/>
  <c r="B22" i="22"/>
  <c r="C22" i="22"/>
  <c r="A23" i="22"/>
  <c r="B23" i="22"/>
  <c r="C23" i="22"/>
  <c r="A24" i="22"/>
  <c r="B24" i="22"/>
  <c r="C24" i="22"/>
  <c r="A25" i="22"/>
  <c r="B25" i="22"/>
  <c r="C25" i="22"/>
  <c r="A26" i="22"/>
  <c r="B26" i="22"/>
  <c r="C26" i="22"/>
  <c r="A27" i="22"/>
  <c r="B27" i="22"/>
  <c r="C27" i="22"/>
  <c r="A28" i="22"/>
  <c r="B28" i="22"/>
  <c r="C28" i="22"/>
  <c r="A29" i="22"/>
  <c r="B29" i="22"/>
  <c r="C29" i="22"/>
  <c r="A30" i="22"/>
  <c r="X30" i="22" s="1"/>
  <c r="B30" i="22"/>
  <c r="C30" i="22"/>
  <c r="A31" i="22"/>
  <c r="B31" i="22"/>
  <c r="C31" i="22"/>
  <c r="A32" i="22"/>
  <c r="T32" i="22" s="1"/>
  <c r="B32" i="22"/>
  <c r="C32" i="22"/>
  <c r="A33" i="22"/>
  <c r="B33" i="22"/>
  <c r="C33" i="22"/>
  <c r="A34" i="22"/>
  <c r="B34" i="22"/>
  <c r="C34" i="22"/>
  <c r="A35" i="22"/>
  <c r="B35" i="22"/>
  <c r="C35" i="22"/>
  <c r="A36" i="22"/>
  <c r="B36" i="22"/>
  <c r="C36" i="22"/>
  <c r="A37" i="22"/>
  <c r="B37" i="22"/>
  <c r="C37" i="22"/>
  <c r="A39" i="22"/>
  <c r="B39" i="22"/>
  <c r="C39" i="22"/>
  <c r="A40" i="22"/>
  <c r="B40" i="22"/>
  <c r="C40" i="22"/>
  <c r="A42" i="22"/>
  <c r="B42" i="22"/>
  <c r="C42" i="22"/>
  <c r="A43" i="22"/>
  <c r="B43" i="22"/>
  <c r="C43" i="22"/>
  <c r="A44" i="22"/>
  <c r="B44" i="22"/>
  <c r="C44" i="22"/>
  <c r="A45" i="22"/>
  <c r="B45" i="22"/>
  <c r="C45" i="22"/>
  <c r="A46" i="22"/>
  <c r="B46" i="22"/>
  <c r="C46" i="22"/>
  <c r="A47" i="22"/>
  <c r="B47" i="22"/>
  <c r="C47" i="22"/>
  <c r="A48" i="22"/>
  <c r="B48" i="22"/>
  <c r="C48" i="22"/>
  <c r="A49" i="22"/>
  <c r="B49" i="22"/>
  <c r="C49" i="22"/>
  <c r="A50" i="22"/>
  <c r="B50" i="22"/>
  <c r="C50" i="22"/>
  <c r="A51" i="22"/>
  <c r="B51" i="22"/>
  <c r="C51" i="22"/>
  <c r="A52" i="22"/>
  <c r="B52" i="22"/>
  <c r="C52" i="22"/>
  <c r="A53" i="22"/>
  <c r="B53" i="22"/>
  <c r="C53" i="22"/>
  <c r="A54" i="22"/>
  <c r="B54" i="22"/>
  <c r="C54" i="22"/>
  <c r="A56" i="22"/>
  <c r="B56" i="22"/>
  <c r="C56" i="22"/>
  <c r="A57" i="22"/>
  <c r="B57" i="22"/>
  <c r="C57" i="22"/>
  <c r="A58" i="22"/>
  <c r="B58" i="22"/>
  <c r="C58" i="22"/>
  <c r="A59" i="22"/>
  <c r="B59" i="22"/>
  <c r="C59" i="22"/>
  <c r="A60" i="22"/>
  <c r="B60" i="22"/>
  <c r="C60" i="22"/>
  <c r="A41" i="22"/>
  <c r="B41" i="22"/>
  <c r="C41" i="22"/>
  <c r="A61" i="22"/>
  <c r="B61" i="22"/>
  <c r="C61" i="22"/>
  <c r="A62" i="22"/>
  <c r="B62" i="22"/>
  <c r="C62" i="22"/>
  <c r="A63" i="22"/>
  <c r="B63" i="22"/>
  <c r="C63" i="22"/>
  <c r="A64" i="22"/>
  <c r="B64" i="22"/>
  <c r="C64" i="22"/>
  <c r="A65" i="22"/>
  <c r="B65" i="22"/>
  <c r="C65" i="22"/>
  <c r="A66" i="22"/>
  <c r="B66" i="22"/>
  <c r="C66" i="22"/>
  <c r="A67" i="22"/>
  <c r="B67" i="22"/>
  <c r="C67" i="22"/>
  <c r="A68" i="22"/>
  <c r="B68" i="22"/>
  <c r="C68" i="22"/>
  <c r="A69" i="22"/>
  <c r="B69" i="22"/>
  <c r="C69" i="22"/>
  <c r="A70" i="22"/>
  <c r="B70" i="22"/>
  <c r="C70" i="22"/>
  <c r="A71" i="22"/>
  <c r="B71" i="22"/>
  <c r="C71" i="22"/>
  <c r="A72" i="22"/>
  <c r="B72" i="22"/>
  <c r="C72" i="22"/>
  <c r="A73" i="22"/>
  <c r="B73" i="22"/>
  <c r="C73" i="22"/>
  <c r="A74" i="22"/>
  <c r="B74" i="22"/>
  <c r="C74" i="22"/>
  <c r="A75" i="22"/>
  <c r="B75" i="22"/>
  <c r="C75" i="22"/>
  <c r="A76" i="22"/>
  <c r="C76" i="22"/>
  <c r="A77" i="22"/>
  <c r="B77" i="22"/>
  <c r="C77" i="22"/>
  <c r="A78" i="22"/>
  <c r="B78" i="22"/>
  <c r="C78" i="22"/>
  <c r="A79" i="22"/>
  <c r="B79" i="22"/>
  <c r="C79" i="22"/>
  <c r="A81" i="22"/>
  <c r="B81" i="22"/>
  <c r="C81" i="22"/>
  <c r="A82" i="22"/>
  <c r="B82" i="22"/>
  <c r="C82" i="22"/>
  <c r="A83" i="22"/>
  <c r="B83" i="22"/>
  <c r="C83" i="22"/>
  <c r="A84" i="22"/>
  <c r="B84" i="22"/>
  <c r="C84" i="22"/>
  <c r="A85" i="22"/>
  <c r="B85" i="22"/>
  <c r="C85" i="22"/>
  <c r="A86" i="22"/>
  <c r="B86" i="22"/>
  <c r="C86" i="22"/>
  <c r="A87" i="22"/>
  <c r="T87" i="22" s="1"/>
  <c r="B87" i="22"/>
  <c r="C87" i="22"/>
  <c r="A88" i="22"/>
  <c r="B88" i="22"/>
  <c r="C88" i="22"/>
  <c r="A89" i="22"/>
  <c r="B89" i="22"/>
  <c r="C89" i="22"/>
  <c r="A90" i="22"/>
  <c r="B90" i="22"/>
  <c r="C90" i="22"/>
  <c r="A91" i="22"/>
  <c r="B91" i="22"/>
  <c r="C91" i="22"/>
  <c r="A92" i="22"/>
  <c r="B92" i="22"/>
  <c r="C92" i="22"/>
  <c r="A93" i="22"/>
  <c r="B93" i="22"/>
  <c r="C93" i="22"/>
  <c r="A94" i="22"/>
  <c r="B94" i="22"/>
  <c r="C94" i="22"/>
  <c r="A95" i="22"/>
  <c r="B95" i="22"/>
  <c r="C95" i="22"/>
  <c r="C4" i="22"/>
  <c r="B4" i="22"/>
  <c r="A4" i="22"/>
  <c r="X90" i="22" l="1"/>
  <c r="T90" i="22"/>
  <c r="T82" i="22"/>
  <c r="X82" i="22"/>
  <c r="F70" i="22"/>
  <c r="T70" i="22"/>
  <c r="X70" i="22"/>
  <c r="T62" i="22"/>
  <c r="X62" i="22"/>
  <c r="X54" i="22"/>
  <c r="T54" i="22"/>
  <c r="T46" i="22"/>
  <c r="X46" i="22"/>
  <c r="F36" i="22"/>
  <c r="T36" i="22"/>
  <c r="X36" i="22"/>
  <c r="T28" i="22"/>
  <c r="X28" i="22"/>
  <c r="X12" i="22"/>
  <c r="T12" i="22"/>
  <c r="T78" i="22"/>
  <c r="X78" i="22"/>
  <c r="X75" i="22"/>
  <c r="T75" i="22"/>
  <c r="X67" i="22"/>
  <c r="T67" i="22"/>
  <c r="X60" i="22"/>
  <c r="T60" i="22"/>
  <c r="F51" i="22"/>
  <c r="X51" i="22"/>
  <c r="T51" i="22"/>
  <c r="X43" i="22"/>
  <c r="T43" i="22"/>
  <c r="T33" i="22"/>
  <c r="X33" i="22"/>
  <c r="F25" i="22"/>
  <c r="T25" i="22"/>
  <c r="X25" i="22"/>
  <c r="F17" i="22"/>
  <c r="X17" i="22"/>
  <c r="T17" i="22"/>
  <c r="X9" i="22"/>
  <c r="T9" i="22"/>
  <c r="T99" i="22"/>
  <c r="X99" i="22"/>
  <c r="T93" i="22"/>
  <c r="X93" i="22"/>
  <c r="X92" i="22"/>
  <c r="T92" i="22"/>
  <c r="X84" i="22"/>
  <c r="T84" i="22"/>
  <c r="F72" i="22"/>
  <c r="T72" i="22"/>
  <c r="X72" i="22"/>
  <c r="T64" i="22"/>
  <c r="X64" i="22"/>
  <c r="T57" i="22"/>
  <c r="X57" i="22"/>
  <c r="X48" i="22"/>
  <c r="T48" i="22"/>
  <c r="F39" i="22"/>
  <c r="X39" i="22"/>
  <c r="T39" i="22"/>
  <c r="X22" i="22"/>
  <c r="T22" i="22"/>
  <c r="X6" i="22"/>
  <c r="T6" i="22"/>
  <c r="F89" i="22"/>
  <c r="T89" i="22"/>
  <c r="X89" i="22"/>
  <c r="F81" i="22"/>
  <c r="X81" i="22"/>
  <c r="T81" i="22"/>
  <c r="T69" i="22"/>
  <c r="X69" i="22"/>
  <c r="T61" i="22"/>
  <c r="X61" i="22"/>
  <c r="T53" i="22"/>
  <c r="X53" i="22"/>
  <c r="T45" i="22"/>
  <c r="X45" i="22"/>
  <c r="F35" i="22"/>
  <c r="T35" i="22"/>
  <c r="X35" i="22"/>
  <c r="F27" i="22"/>
  <c r="X27" i="22"/>
  <c r="T27" i="22"/>
  <c r="X19" i="22"/>
  <c r="T19" i="22"/>
  <c r="X11" i="22"/>
  <c r="T11" i="22"/>
  <c r="T101" i="22"/>
  <c r="X101" i="22"/>
  <c r="T95" i="22"/>
  <c r="X95" i="22"/>
  <c r="AW104" i="22"/>
  <c r="AW73" i="22"/>
  <c r="F86" i="22"/>
  <c r="T86" i="22"/>
  <c r="X86" i="22"/>
  <c r="F77" i="22"/>
  <c r="X77" i="22"/>
  <c r="T77" i="22"/>
  <c r="F74" i="22"/>
  <c r="T74" i="22"/>
  <c r="X74" i="22"/>
  <c r="T66" i="22"/>
  <c r="X66" i="22"/>
  <c r="F59" i="22"/>
  <c r="X59" i="22"/>
  <c r="T59" i="22"/>
  <c r="F50" i="22"/>
  <c r="X50" i="22"/>
  <c r="T50" i="22"/>
  <c r="T42" i="22"/>
  <c r="X42" i="22"/>
  <c r="X16" i="22"/>
  <c r="T16" i="22"/>
  <c r="T98" i="22"/>
  <c r="X98" i="22"/>
  <c r="F24" i="22"/>
  <c r="X24" i="22"/>
  <c r="T24" i="22"/>
  <c r="AK18" i="22"/>
  <c r="C52" i="36" s="1"/>
  <c r="AL35" i="22"/>
  <c r="D72" i="36" s="1"/>
  <c r="AK35" i="22"/>
  <c r="C72" i="36" s="1"/>
  <c r="X91" i="22"/>
  <c r="T91" i="22"/>
  <c r="F83" i="22"/>
  <c r="X83" i="22"/>
  <c r="T83" i="22"/>
  <c r="T71" i="22"/>
  <c r="X71" i="22"/>
  <c r="T63" i="22"/>
  <c r="X63" i="22"/>
  <c r="T56" i="22"/>
  <c r="X56" i="22"/>
  <c r="X47" i="22"/>
  <c r="T47" i="22"/>
  <c r="F37" i="22"/>
  <c r="T37" i="22"/>
  <c r="X37" i="22"/>
  <c r="T29" i="22"/>
  <c r="X29" i="22"/>
  <c r="F21" i="22"/>
  <c r="T21" i="22"/>
  <c r="X21" i="22"/>
  <c r="F13" i="22"/>
  <c r="X13" i="22"/>
  <c r="T13" i="22"/>
  <c r="F5" i="22"/>
  <c r="X5" i="22"/>
  <c r="T94" i="22"/>
  <c r="X94" i="22"/>
  <c r="X88" i="22"/>
  <c r="T88" i="22"/>
  <c r="T79" i="22"/>
  <c r="X79" i="22"/>
  <c r="X68" i="22"/>
  <c r="T68" i="22"/>
  <c r="T41" i="22"/>
  <c r="X41" i="22"/>
  <c r="X52" i="22"/>
  <c r="T52" i="22"/>
  <c r="X44" i="22"/>
  <c r="T44" i="22"/>
  <c r="X34" i="22"/>
  <c r="T34" i="22"/>
  <c r="T26" i="22"/>
  <c r="X26" i="22"/>
  <c r="F10" i="22"/>
  <c r="X10" i="22"/>
  <c r="T10" i="22"/>
  <c r="T100" i="22"/>
  <c r="X100" i="22"/>
  <c r="T85" i="22"/>
  <c r="X85" i="22"/>
  <c r="X73" i="22"/>
  <c r="T73" i="22"/>
  <c r="X65" i="22"/>
  <c r="T65" i="22"/>
  <c r="F58" i="22"/>
  <c r="T58" i="22"/>
  <c r="X58" i="22"/>
  <c r="F49" i="22"/>
  <c r="T49" i="22"/>
  <c r="X49" i="22"/>
  <c r="X40" i="22"/>
  <c r="T40" i="22"/>
  <c r="X31" i="22"/>
  <c r="T31" i="22"/>
  <c r="T23" i="22"/>
  <c r="X23" i="22"/>
  <c r="F7" i="22"/>
  <c r="T7" i="22"/>
  <c r="X7" i="22"/>
  <c r="T97" i="22"/>
  <c r="X97" i="22"/>
  <c r="AG64" i="57"/>
  <c r="X62" i="57"/>
  <c r="AB62" i="57" s="1"/>
  <c r="M65" i="53"/>
  <c r="AC65" i="53" s="1"/>
  <c r="O65" i="53"/>
  <c r="AP49" i="69"/>
  <c r="N49" i="69"/>
  <c r="U49" i="69" s="1"/>
  <c r="AA61" i="57"/>
  <c r="AF61" i="57"/>
  <c r="AQ63" i="57"/>
  <c r="AC63" i="57"/>
  <c r="AD63" i="57"/>
  <c r="AE63" i="57"/>
  <c r="Q63" i="57"/>
  <c r="T63" i="57" s="1"/>
  <c r="AJ63" i="57"/>
  <c r="R63" i="57"/>
  <c r="M64" i="57"/>
  <c r="AK64" i="57" s="1"/>
  <c r="N65" i="53"/>
  <c r="AA63" i="53"/>
  <c r="AB63" i="53"/>
  <c r="AW151" i="22"/>
  <c r="AW80" i="22"/>
  <c r="AW134" i="22"/>
  <c r="S4" i="22"/>
  <c r="AF48" i="69"/>
  <c r="Q48" i="69"/>
  <c r="O65" i="57"/>
  <c r="P65" i="57"/>
  <c r="AC46" i="69"/>
  <c r="AD46" i="69" s="1"/>
  <c r="AB47" i="69"/>
  <c r="AG47" i="69"/>
  <c r="O50" i="69"/>
  <c r="AO49" i="69"/>
  <c r="U4" i="22"/>
  <c r="AF63" i="53"/>
  <c r="AE64" i="53"/>
  <c r="R64" i="53"/>
  <c r="X64" i="53" s="1"/>
  <c r="E73" i="22"/>
  <c r="S73" i="22"/>
  <c r="E58" i="22"/>
  <c r="S58" i="22"/>
  <c r="S49" i="22"/>
  <c r="E49" i="22"/>
  <c r="S40" i="22"/>
  <c r="E40" i="22"/>
  <c r="E31" i="22"/>
  <c r="S31" i="22"/>
  <c r="E23" i="22"/>
  <c r="S23" i="22"/>
  <c r="E15" i="22"/>
  <c r="S15" i="22"/>
  <c r="S8" i="22"/>
  <c r="E8" i="22"/>
  <c r="S98" i="22"/>
  <c r="E98" i="22"/>
  <c r="S91" i="22"/>
  <c r="E91" i="22"/>
  <c r="E93" i="22"/>
  <c r="S93" i="22"/>
  <c r="S85" i="22"/>
  <c r="E85" i="22"/>
  <c r="E4" i="22"/>
  <c r="S90" i="22"/>
  <c r="E90" i="22"/>
  <c r="S65" i="22"/>
  <c r="E65" i="22"/>
  <c r="E95" i="22"/>
  <c r="S95" i="22"/>
  <c r="E87" i="22"/>
  <c r="S87" i="22"/>
  <c r="S78" i="22"/>
  <c r="E78" i="22"/>
  <c r="S70" i="22"/>
  <c r="E70" i="22"/>
  <c r="E62" i="22"/>
  <c r="S62" i="22"/>
  <c r="S54" i="22"/>
  <c r="E54" i="22"/>
  <c r="S46" i="22"/>
  <c r="E46" i="22"/>
  <c r="S36" i="22"/>
  <c r="E36" i="22"/>
  <c r="S28" i="22"/>
  <c r="E28" i="22"/>
  <c r="S20" i="22"/>
  <c r="E20" i="22"/>
  <c r="S12" i="22"/>
  <c r="E12" i="22"/>
  <c r="S5" i="22"/>
  <c r="E5" i="22"/>
  <c r="E82" i="22"/>
  <c r="S82" i="22"/>
  <c r="S92" i="22"/>
  <c r="E92" i="22"/>
  <c r="E84" i="22"/>
  <c r="S84" i="22"/>
  <c r="S75" i="22"/>
  <c r="E75" i="22"/>
  <c r="E67" i="22"/>
  <c r="S67" i="22"/>
  <c r="E60" i="22"/>
  <c r="S60" i="22"/>
  <c r="S51" i="22"/>
  <c r="E51" i="22"/>
  <c r="S43" i="22"/>
  <c r="E43" i="22"/>
  <c r="S33" i="22"/>
  <c r="E33" i="22"/>
  <c r="S25" i="22"/>
  <c r="E25" i="22"/>
  <c r="E17" i="22"/>
  <c r="S17" i="22"/>
  <c r="S9" i="22"/>
  <c r="E9" i="22"/>
  <c r="S100" i="22"/>
  <c r="E100" i="22"/>
  <c r="E89" i="22"/>
  <c r="S89" i="22"/>
  <c r="E81" i="22"/>
  <c r="S81" i="22"/>
  <c r="E72" i="22"/>
  <c r="S72" i="22"/>
  <c r="E64" i="22"/>
  <c r="S64" i="22"/>
  <c r="E57" i="22"/>
  <c r="S57" i="22"/>
  <c r="S48" i="22"/>
  <c r="E48" i="22"/>
  <c r="S39" i="22"/>
  <c r="E39" i="22"/>
  <c r="E30" i="22"/>
  <c r="S30" i="22"/>
  <c r="E22" i="22"/>
  <c r="S22" i="22"/>
  <c r="E14" i="22"/>
  <c r="S14" i="22"/>
  <c r="E7" i="22"/>
  <c r="S7" i="22"/>
  <c r="S97" i="22"/>
  <c r="E97" i="22"/>
  <c r="AW100" i="22" s="1"/>
  <c r="E94" i="22"/>
  <c r="S94" i="22"/>
  <c r="E86" i="22"/>
  <c r="S86" i="22"/>
  <c r="E77" i="22"/>
  <c r="S77" i="22"/>
  <c r="S69" i="22"/>
  <c r="E69" i="22"/>
  <c r="S61" i="22"/>
  <c r="E61" i="22"/>
  <c r="E53" i="22"/>
  <c r="S53" i="22"/>
  <c r="S45" i="22"/>
  <c r="E45" i="22"/>
  <c r="S35" i="22"/>
  <c r="E35" i="22"/>
  <c r="E27" i="22"/>
  <c r="S27" i="22"/>
  <c r="S19" i="22"/>
  <c r="E19" i="22"/>
  <c r="S11" i="22"/>
  <c r="E11" i="22"/>
  <c r="S102" i="22"/>
  <c r="E102" i="22"/>
  <c r="AW19" i="22" s="1"/>
  <c r="S83" i="22"/>
  <c r="E83" i="22"/>
  <c r="E74" i="22"/>
  <c r="S74" i="22"/>
  <c r="E66" i="22"/>
  <c r="S66" i="22"/>
  <c r="E59" i="22"/>
  <c r="S59" i="22"/>
  <c r="E50" i="22"/>
  <c r="S50" i="22"/>
  <c r="S42" i="22"/>
  <c r="E42" i="22"/>
  <c r="S32" i="22"/>
  <c r="E32" i="22"/>
  <c r="E24" i="22"/>
  <c r="S24" i="22"/>
  <c r="E16" i="22"/>
  <c r="S16" i="22"/>
  <c r="E99" i="22"/>
  <c r="S99" i="22"/>
  <c r="E88" i="22"/>
  <c r="S88" i="22"/>
  <c r="E79" i="22"/>
  <c r="S79" i="22"/>
  <c r="E71" i="22"/>
  <c r="S71" i="22"/>
  <c r="E63" i="22"/>
  <c r="AW150" i="22" s="1"/>
  <c r="S63" i="22"/>
  <c r="S56" i="22"/>
  <c r="E56" i="22"/>
  <c r="S47" i="22"/>
  <c r="E47" i="22"/>
  <c r="S37" i="22"/>
  <c r="E37" i="22"/>
  <c r="S29" i="22"/>
  <c r="E29" i="22"/>
  <c r="S21" i="22"/>
  <c r="E21" i="22"/>
  <c r="S13" i="22"/>
  <c r="E13" i="22"/>
  <c r="S6" i="22"/>
  <c r="E6" i="22"/>
  <c r="E96" i="22"/>
  <c r="AW99" i="22" s="1"/>
  <c r="S96" i="22"/>
  <c r="S76" i="22"/>
  <c r="AK34" i="22" s="1"/>
  <c r="C73" i="36" s="1"/>
  <c r="E76" i="22"/>
  <c r="S68" i="22"/>
  <c r="E68" i="22"/>
  <c r="S41" i="22"/>
  <c r="E41" i="22"/>
  <c r="S52" i="22"/>
  <c r="E52" i="22"/>
  <c r="S44" i="22"/>
  <c r="E44" i="22"/>
  <c r="E34" i="22"/>
  <c r="S34" i="22"/>
  <c r="S26" i="22"/>
  <c r="E26" i="22"/>
  <c r="S18" i="22"/>
  <c r="E18" i="22"/>
  <c r="E10" i="22"/>
  <c r="S10" i="22"/>
  <c r="E101" i="22"/>
  <c r="S101" i="22"/>
  <c r="AW71" i="22"/>
  <c r="AW70" i="22"/>
  <c r="AW66" i="22"/>
  <c r="AW62" i="22"/>
  <c r="AW69" i="22"/>
  <c r="AW65" i="22"/>
  <c r="AW72" i="22"/>
  <c r="AW68" i="22"/>
  <c r="AW64" i="22"/>
  <c r="AW67" i="22"/>
  <c r="AW63" i="22"/>
  <c r="BG24" i="22"/>
  <c r="AW24" i="22"/>
  <c r="D16" i="22"/>
  <c r="U29" i="22"/>
  <c r="U13" i="22"/>
  <c r="U22" i="22"/>
  <c r="U15" i="22"/>
  <c r="U8" i="22"/>
  <c r="U20" i="22"/>
  <c r="U19" i="22"/>
  <c r="AW103" i="22"/>
  <c r="AY48" i="69"/>
  <c r="L65" i="57"/>
  <c r="AG64" i="53"/>
  <c r="Q64" i="53"/>
  <c r="AH64" i="53"/>
  <c r="AT64" i="53"/>
  <c r="N65" i="57"/>
  <c r="I65" i="53"/>
  <c r="AH48" i="69"/>
  <c r="AD64" i="53"/>
  <c r="AK64" i="52" a="1"/>
  <c r="AK64" i="52" s="1"/>
  <c r="B66" i="53" s="1"/>
  <c r="J65" i="53"/>
  <c r="E65" i="53"/>
  <c r="H65" i="53"/>
  <c r="G65" i="53"/>
  <c r="P65" i="53"/>
  <c r="D65" i="53"/>
  <c r="C65" i="53"/>
  <c r="K65" i="53"/>
  <c r="L65" i="53"/>
  <c r="F65" i="53"/>
  <c r="G65" i="57"/>
  <c r="C65" i="57"/>
  <c r="K65" i="57"/>
  <c r="I65" i="57"/>
  <c r="H65" i="57"/>
  <c r="E65" i="57"/>
  <c r="D65" i="57"/>
  <c r="F65" i="57"/>
  <c r="J65" i="57"/>
  <c r="AW139" i="22"/>
  <c r="AW102" i="22"/>
  <c r="AW101" i="22"/>
  <c r="AK16" i="22"/>
  <c r="AK33" i="22"/>
  <c r="AN64" i="55" a="1"/>
  <c r="AN64" i="55" s="1"/>
  <c r="B66" i="57" s="1"/>
  <c r="D49" i="69"/>
  <c r="E49" i="69" s="1"/>
  <c r="F49" i="69" s="1"/>
  <c r="G49" i="69" s="1"/>
  <c r="H49" i="69" s="1"/>
  <c r="I49" i="69" s="1"/>
  <c r="J49" i="69" s="1"/>
  <c r="K49" i="69" s="1"/>
  <c r="M49" i="69" s="1"/>
  <c r="C50" i="69"/>
  <c r="P50" i="69" s="1"/>
  <c r="AR50" i="67" a="1"/>
  <c r="AR50" i="67" s="1"/>
  <c r="B51" i="69"/>
  <c r="L51" i="69" s="1"/>
  <c r="AE48" i="69"/>
  <c r="R48" i="69"/>
  <c r="S48" i="69" s="1"/>
  <c r="Y48" i="69" s="1"/>
  <c r="V97" i="22"/>
  <c r="U97" i="22"/>
  <c r="V49" i="22"/>
  <c r="U49" i="22"/>
  <c r="U81" i="22"/>
  <c r="V81" i="22"/>
  <c r="U60" i="22"/>
  <c r="V60" i="22"/>
  <c r="U43" i="22"/>
  <c r="V43" i="22"/>
  <c r="AK30" i="22"/>
  <c r="C68" i="36" s="1"/>
  <c r="AK32" i="22"/>
  <c r="C70" i="36" s="1"/>
  <c r="AK29" i="22"/>
  <c r="C67" i="36" s="1"/>
  <c r="AK31" i="22"/>
  <c r="C69" i="36" s="1"/>
  <c r="V21" i="22"/>
  <c r="U21" i="22"/>
  <c r="U6" i="22"/>
  <c r="U88" i="22"/>
  <c r="U67" i="22"/>
  <c r="U34" i="22"/>
  <c r="G101" i="22"/>
  <c r="V101" i="22"/>
  <c r="U101" i="22"/>
  <c r="V93" i="22"/>
  <c r="U93" i="22"/>
  <c r="V85" i="22"/>
  <c r="U85" i="22"/>
  <c r="V77" i="22"/>
  <c r="U77" i="22"/>
  <c r="V72" i="22"/>
  <c r="U72" i="22"/>
  <c r="V64" i="22"/>
  <c r="U64" i="22"/>
  <c r="V57" i="22"/>
  <c r="U57" i="22"/>
  <c r="U90" i="22"/>
  <c r="V90" i="22"/>
  <c r="U82" i="22"/>
  <c r="V82" i="22"/>
  <c r="U69" i="22"/>
  <c r="V69" i="22"/>
  <c r="U61" i="22"/>
  <c r="U53" i="22"/>
  <c r="V53" i="22"/>
  <c r="V36" i="22"/>
  <c r="U36" i="22"/>
  <c r="V5" i="22"/>
  <c r="U5" i="22"/>
  <c r="V46" i="22"/>
  <c r="U46" i="22"/>
  <c r="V26" i="22"/>
  <c r="U26" i="22"/>
  <c r="U18" i="22"/>
  <c r="U10" i="22"/>
  <c r="V48" i="22"/>
  <c r="U48" i="22"/>
  <c r="V40" i="22"/>
  <c r="U40" i="22"/>
  <c r="U31" i="22"/>
  <c r="V23" i="22"/>
  <c r="U23" i="22"/>
  <c r="V98" i="22"/>
  <c r="U98" i="22"/>
  <c r="U96" i="22"/>
  <c r="V96" i="22"/>
  <c r="U95" i="22"/>
  <c r="U87" i="22"/>
  <c r="V87" i="22"/>
  <c r="U79" i="22"/>
  <c r="V79" i="22"/>
  <c r="U73" i="22"/>
  <c r="V73" i="22"/>
  <c r="U66" i="22"/>
  <c r="V66" i="22"/>
  <c r="U59" i="22"/>
  <c r="U50" i="22"/>
  <c r="V50" i="22"/>
  <c r="U42" i="22"/>
  <c r="V42" i="22"/>
  <c r="U33" i="22"/>
  <c r="U25" i="22"/>
  <c r="V25" i="22"/>
  <c r="U17" i="22"/>
  <c r="U9" i="22"/>
  <c r="K100" i="22"/>
  <c r="V100" i="22"/>
  <c r="U100" i="22"/>
  <c r="V94" i="22"/>
  <c r="U94" i="22"/>
  <c r="V86" i="22"/>
  <c r="U86" i="22"/>
  <c r="U78" i="22"/>
  <c r="V65" i="22"/>
  <c r="U65" i="22"/>
  <c r="U24" i="22"/>
  <c r="V24" i="22"/>
  <c r="U16" i="22"/>
  <c r="V16" i="22"/>
  <c r="V91" i="22"/>
  <c r="U91" i="22"/>
  <c r="U76" i="22"/>
  <c r="V62" i="22"/>
  <c r="U62" i="22"/>
  <c r="U37" i="22"/>
  <c r="V75" i="22"/>
  <c r="U75" i="22"/>
  <c r="U45" i="22"/>
  <c r="V45" i="22"/>
  <c r="U28" i="22"/>
  <c r="U12" i="22"/>
  <c r="V12" i="22"/>
  <c r="U92" i="22"/>
  <c r="U84" i="22"/>
  <c r="V84" i="22"/>
  <c r="U71" i="22"/>
  <c r="U63" i="22"/>
  <c r="V56" i="22"/>
  <c r="U56" i="22"/>
  <c r="U47" i="22"/>
  <c r="V47" i="22"/>
  <c r="V39" i="22"/>
  <c r="U39" i="22"/>
  <c r="U30" i="22"/>
  <c r="U14" i="22"/>
  <c r="U7" i="22"/>
  <c r="V58" i="22"/>
  <c r="U58" i="22"/>
  <c r="U32" i="22"/>
  <c r="U99" i="22"/>
  <c r="V99" i="22"/>
  <c r="V83" i="22"/>
  <c r="U83" i="22"/>
  <c r="U70" i="22"/>
  <c r="V54" i="22"/>
  <c r="U54" i="22"/>
  <c r="U51" i="22"/>
  <c r="V51" i="22"/>
  <c r="V89" i="22"/>
  <c r="U89" i="22"/>
  <c r="V74" i="22"/>
  <c r="U74" i="22"/>
  <c r="U68" i="22"/>
  <c r="V41" i="22"/>
  <c r="U41" i="22"/>
  <c r="V52" i="22"/>
  <c r="U52" i="22"/>
  <c r="V44" i="22"/>
  <c r="U44" i="22"/>
  <c r="U35" i="22"/>
  <c r="V27" i="22"/>
  <c r="U27" i="22"/>
  <c r="V11" i="22"/>
  <c r="U11" i="22"/>
  <c r="K102" i="22"/>
  <c r="U102" i="22"/>
  <c r="AW21" i="22"/>
  <c r="BG21" i="22"/>
  <c r="BG23" i="22"/>
  <c r="BG22" i="22"/>
  <c r="AW147" i="22"/>
  <c r="AW146" i="22"/>
  <c r="AW23" i="22"/>
  <c r="AW148" i="22"/>
  <c r="AW144" i="22"/>
  <c r="AW22" i="22"/>
  <c r="AW140" i="22"/>
  <c r="AW145" i="22"/>
  <c r="AW143" i="22"/>
  <c r="AW141" i="22"/>
  <c r="AW142" i="22"/>
  <c r="AW20" i="22"/>
  <c r="AK12" i="22"/>
  <c r="AK13" i="22"/>
  <c r="AK14" i="22"/>
  <c r="AK15" i="22"/>
  <c r="K99" i="22"/>
  <c r="G98" i="22"/>
  <c r="W97" i="22"/>
  <c r="K97" i="22"/>
  <c r="G96" i="22"/>
  <c r="G102" i="22"/>
  <c r="W101" i="22"/>
  <c r="K101" i="22"/>
  <c r="G100" i="22"/>
  <c r="W99" i="22"/>
  <c r="W102" i="22"/>
  <c r="G99" i="22"/>
  <c r="W98" i="22"/>
  <c r="K98" i="22"/>
  <c r="G97" i="22"/>
  <c r="W96" i="22"/>
  <c r="K96" i="22"/>
  <c r="W100" i="22"/>
  <c r="Q4" i="29"/>
  <c r="E6" i="28" s="1"/>
  <c r="Q5" i="29"/>
  <c r="E7" i="28" s="1"/>
  <c r="Q6" i="29"/>
  <c r="E8" i="28" s="1"/>
  <c r="Q7" i="29"/>
  <c r="E9" i="28" s="1"/>
  <c r="Q8" i="29"/>
  <c r="E10" i="28" s="1"/>
  <c r="Q9" i="29"/>
  <c r="E11" i="28" s="1"/>
  <c r="Q10" i="29"/>
  <c r="E12" i="28" s="1"/>
  <c r="Q11" i="29"/>
  <c r="E13" i="28" s="1"/>
  <c r="Q12" i="29"/>
  <c r="E14" i="28" s="1"/>
  <c r="Q13" i="29"/>
  <c r="E15" i="28" s="1"/>
  <c r="Q14" i="29"/>
  <c r="E16" i="28" s="1"/>
  <c r="Q15" i="29"/>
  <c r="E17" i="28" s="1"/>
  <c r="Q16" i="29"/>
  <c r="E18" i="28" s="1"/>
  <c r="Q17" i="29"/>
  <c r="E19" i="28" s="1"/>
  <c r="Q18" i="29"/>
  <c r="E20" i="28" s="1"/>
  <c r="Q19" i="29"/>
  <c r="E21" i="28" s="1"/>
  <c r="Q20" i="29"/>
  <c r="E22" i="28" s="1"/>
  <c r="Q21" i="29"/>
  <c r="E23" i="28" s="1"/>
  <c r="Q22" i="29"/>
  <c r="E24" i="28" s="1"/>
  <c r="Q23" i="29"/>
  <c r="E25" i="28" s="1"/>
  <c r="Q24" i="29"/>
  <c r="E26" i="28" s="1"/>
  <c r="Q25" i="29"/>
  <c r="E27" i="28" s="1"/>
  <c r="Q26" i="29"/>
  <c r="E28" i="28" s="1"/>
  <c r="Q27" i="29"/>
  <c r="E29" i="28" s="1"/>
  <c r="Q28" i="29"/>
  <c r="E30" i="28" s="1"/>
  <c r="Q29" i="29"/>
  <c r="E31" i="28" s="1"/>
  <c r="Q30" i="29"/>
  <c r="E32" i="28" s="1"/>
  <c r="Q31" i="29"/>
  <c r="E34" i="28" s="1"/>
  <c r="Q32" i="29"/>
  <c r="E35" i="28" s="1"/>
  <c r="Q33" i="29"/>
  <c r="E36" i="28" s="1"/>
  <c r="Q34" i="29"/>
  <c r="E37" i="28" s="1"/>
  <c r="Q35" i="29"/>
  <c r="E38" i="28" s="1"/>
  <c r="Q36" i="29"/>
  <c r="E39" i="28" s="1"/>
  <c r="Q38" i="29"/>
  <c r="E40" i="28" s="1"/>
  <c r="Q39" i="29"/>
  <c r="E53" i="28" s="1"/>
  <c r="Q41" i="29"/>
  <c r="E55" i="28" s="1"/>
  <c r="Q42" i="29"/>
  <c r="E56" i="28" s="1"/>
  <c r="Q43" i="29"/>
  <c r="E57" i="28" s="1"/>
  <c r="Q44" i="29"/>
  <c r="E58" i="28" s="1"/>
  <c r="Q45" i="29"/>
  <c r="E59" i="28" s="1"/>
  <c r="Q46" i="29"/>
  <c r="E61" i="28" s="1"/>
  <c r="Q47" i="29"/>
  <c r="E60" i="28" s="1"/>
  <c r="Q48" i="29"/>
  <c r="E62" i="28" s="1"/>
  <c r="Q49" i="29"/>
  <c r="E63" i="28" s="1"/>
  <c r="Q50" i="29"/>
  <c r="E72" i="28" s="1"/>
  <c r="Q51" i="29"/>
  <c r="E73" i="28" s="1"/>
  <c r="Q52" i="29"/>
  <c r="E74" i="28" s="1"/>
  <c r="Q53" i="29"/>
  <c r="E79" i="28" s="1"/>
  <c r="Q55" i="29"/>
  <c r="E75" i="28" s="1"/>
  <c r="Q56" i="29"/>
  <c r="E76" i="28" s="1"/>
  <c r="Q57" i="29"/>
  <c r="E77" i="28" s="1"/>
  <c r="Q58" i="29"/>
  <c r="E78" i="28" s="1"/>
  <c r="Q59" i="29"/>
  <c r="E83" i="28" s="1"/>
  <c r="Q40" i="29"/>
  <c r="E54" i="28" s="1"/>
  <c r="Q60" i="29"/>
  <c r="E84" i="28" s="1"/>
  <c r="Q61" i="29"/>
  <c r="E85" i="28" s="1"/>
  <c r="Q62" i="29"/>
  <c r="E86" i="28" s="1"/>
  <c r="Q63" i="29"/>
  <c r="E87" i="28" s="1"/>
  <c r="Q64" i="29"/>
  <c r="E88" i="28" s="1"/>
  <c r="Q65" i="29"/>
  <c r="E89" i="28" s="1"/>
  <c r="Q66" i="29"/>
  <c r="E90" i="28" s="1"/>
  <c r="Q67" i="29"/>
  <c r="E91" i="28" s="1"/>
  <c r="Q68" i="29"/>
  <c r="E92" i="28" s="1"/>
  <c r="Q69" i="29"/>
  <c r="E93" i="28" s="1"/>
  <c r="Q70" i="29"/>
  <c r="E94" i="28" s="1"/>
  <c r="Q71" i="29"/>
  <c r="E95" i="28" s="1"/>
  <c r="Q72" i="29"/>
  <c r="E96" i="28" s="1"/>
  <c r="Q73" i="29"/>
  <c r="E97" i="28" s="1"/>
  <c r="Q74" i="29"/>
  <c r="E98" i="28" s="1"/>
  <c r="Q80" i="29"/>
  <c r="E99" i="28" s="1"/>
  <c r="Q75" i="29"/>
  <c r="E100" i="28" s="1"/>
  <c r="Q76" i="29"/>
  <c r="E101" i="28" s="1"/>
  <c r="Q77" i="29"/>
  <c r="E81" i="28" s="1"/>
  <c r="Q79" i="29"/>
  <c r="E102" i="28" s="1"/>
  <c r="Q82" i="29"/>
  <c r="E103" i="28" s="1"/>
  <c r="Q83" i="29"/>
  <c r="E104" i="28" s="1"/>
  <c r="Q84" i="29"/>
  <c r="E105" i="28" s="1"/>
  <c r="Q85" i="29"/>
  <c r="E106" i="28" s="1"/>
  <c r="Q86" i="29"/>
  <c r="E107" i="28" s="1"/>
  <c r="Q87" i="29"/>
  <c r="E108" i="28" s="1"/>
  <c r="Q88" i="29"/>
  <c r="E109" i="28" s="1"/>
  <c r="Q89" i="29"/>
  <c r="E110" i="28" s="1"/>
  <c r="Q90" i="29"/>
  <c r="E111" i="28" s="1"/>
  <c r="Q91" i="29"/>
  <c r="E112" i="28" s="1"/>
  <c r="Q92" i="29"/>
  <c r="E113" i="28" s="1"/>
  <c r="Q93" i="29"/>
  <c r="E114" i="28" s="1"/>
  <c r="Q94" i="29"/>
  <c r="E115" i="28" s="1"/>
  <c r="Q95" i="29"/>
  <c r="E116" i="28" s="1"/>
  <c r="Q96" i="29"/>
  <c r="E117" i="28" s="1"/>
  <c r="Q97" i="29"/>
  <c r="E118" i="28" s="1"/>
  <c r="Q98" i="29"/>
  <c r="E119" i="28" s="1"/>
  <c r="Q99" i="29"/>
  <c r="E120" i="28" s="1"/>
  <c r="Q100" i="29"/>
  <c r="E121" i="28" s="1"/>
  <c r="Q101" i="29"/>
  <c r="E122" i="28" s="1"/>
  <c r="Q102" i="29"/>
  <c r="E123" i="28" s="1"/>
  <c r="Q3" i="29"/>
  <c r="O4" i="29"/>
  <c r="C6" i="28" s="1"/>
  <c r="O5" i="29"/>
  <c r="C7" i="28" s="1"/>
  <c r="O6" i="29"/>
  <c r="C8" i="28" s="1"/>
  <c r="O7" i="29"/>
  <c r="O8" i="29"/>
  <c r="C10" i="28" s="1"/>
  <c r="O9" i="29"/>
  <c r="C11" i="28" s="1"/>
  <c r="O10" i="29"/>
  <c r="C12" i="28" s="1"/>
  <c r="O11" i="29"/>
  <c r="C13" i="28" s="1"/>
  <c r="O12" i="29"/>
  <c r="C14" i="28" s="1"/>
  <c r="O13" i="29"/>
  <c r="C15" i="28" s="1"/>
  <c r="O14" i="29"/>
  <c r="C16" i="28" s="1"/>
  <c r="O15" i="29"/>
  <c r="C17" i="28" s="1"/>
  <c r="O16" i="29"/>
  <c r="O17" i="29"/>
  <c r="C19" i="28" s="1"/>
  <c r="O18" i="29"/>
  <c r="C20" i="28" s="1"/>
  <c r="O19" i="29"/>
  <c r="C21" i="28" s="1"/>
  <c r="O20" i="29"/>
  <c r="C22" i="28" s="1"/>
  <c r="O21" i="29"/>
  <c r="C23" i="28" s="1"/>
  <c r="O22" i="29"/>
  <c r="C24" i="28" s="1"/>
  <c r="O23" i="29"/>
  <c r="C25" i="28" s="1"/>
  <c r="O24" i="29"/>
  <c r="C26" i="28" s="1"/>
  <c r="O25" i="29"/>
  <c r="C27" i="28" s="1"/>
  <c r="O26" i="29"/>
  <c r="C28" i="28" s="1"/>
  <c r="O27" i="29"/>
  <c r="C29" i="28" s="1"/>
  <c r="O28" i="29"/>
  <c r="C30" i="28" s="1"/>
  <c r="O29" i="29"/>
  <c r="C31" i="28" s="1"/>
  <c r="O30" i="29"/>
  <c r="C32" i="28" s="1"/>
  <c r="O31" i="29"/>
  <c r="C34" i="28" s="1"/>
  <c r="O32" i="29"/>
  <c r="C35" i="28" s="1"/>
  <c r="O33" i="29"/>
  <c r="C36" i="28" s="1"/>
  <c r="O34" i="29"/>
  <c r="C37" i="28" s="1"/>
  <c r="O35" i="29"/>
  <c r="C38" i="28" s="1"/>
  <c r="O36" i="29"/>
  <c r="C39" i="28" s="1"/>
  <c r="O38" i="29"/>
  <c r="C40" i="28" s="1"/>
  <c r="O39" i="29"/>
  <c r="C53" i="28" s="1"/>
  <c r="O41" i="29"/>
  <c r="C55" i="28" s="1"/>
  <c r="O42" i="29"/>
  <c r="C56" i="28" s="1"/>
  <c r="O43" i="29"/>
  <c r="C57" i="28" s="1"/>
  <c r="O44" i="29"/>
  <c r="C58" i="28" s="1"/>
  <c r="O45" i="29"/>
  <c r="C59" i="28" s="1"/>
  <c r="O46" i="29"/>
  <c r="C61" i="28" s="1"/>
  <c r="O47" i="29"/>
  <c r="C60" i="28" s="1"/>
  <c r="O48" i="29"/>
  <c r="C62" i="28" s="1"/>
  <c r="O49" i="29"/>
  <c r="C63" i="28" s="1"/>
  <c r="O50" i="29"/>
  <c r="C72" i="28" s="1"/>
  <c r="O51" i="29"/>
  <c r="C73" i="28" s="1"/>
  <c r="O52" i="29"/>
  <c r="C74" i="28" s="1"/>
  <c r="O53" i="29"/>
  <c r="C79" i="28" s="1"/>
  <c r="O55" i="29"/>
  <c r="C75" i="28" s="1"/>
  <c r="O56" i="29"/>
  <c r="C76" i="28" s="1"/>
  <c r="O57" i="29"/>
  <c r="C77" i="28" s="1"/>
  <c r="O58" i="29"/>
  <c r="C78" i="28" s="1"/>
  <c r="O59" i="29"/>
  <c r="C83" i="28" s="1"/>
  <c r="O40" i="29"/>
  <c r="C54" i="28" s="1"/>
  <c r="O60" i="29"/>
  <c r="C84" i="28" s="1"/>
  <c r="O61" i="29"/>
  <c r="C85" i="28" s="1"/>
  <c r="O62" i="29"/>
  <c r="C86" i="28" s="1"/>
  <c r="O63" i="29"/>
  <c r="C87" i="28" s="1"/>
  <c r="O64" i="29"/>
  <c r="C88" i="28" s="1"/>
  <c r="O65" i="29"/>
  <c r="C89" i="28" s="1"/>
  <c r="O66" i="29"/>
  <c r="C90" i="28" s="1"/>
  <c r="O67" i="29"/>
  <c r="C91" i="28" s="1"/>
  <c r="O68" i="29"/>
  <c r="C92" i="28" s="1"/>
  <c r="O69" i="29"/>
  <c r="C93" i="28" s="1"/>
  <c r="O70" i="29"/>
  <c r="C94" i="28" s="1"/>
  <c r="O71" i="29"/>
  <c r="C95" i="28" s="1"/>
  <c r="O72" i="29"/>
  <c r="C96" i="28" s="1"/>
  <c r="O73" i="29"/>
  <c r="C97" i="28" s="1"/>
  <c r="O74" i="29"/>
  <c r="C98" i="28" s="1"/>
  <c r="O80" i="29"/>
  <c r="C99" i="28" s="1"/>
  <c r="O75" i="29"/>
  <c r="C100" i="28" s="1"/>
  <c r="O76" i="29"/>
  <c r="C101" i="28" s="1"/>
  <c r="O77" i="29"/>
  <c r="C81" i="28" s="1"/>
  <c r="O79" i="29"/>
  <c r="C102" i="28" s="1"/>
  <c r="O82" i="29"/>
  <c r="C103" i="28" s="1"/>
  <c r="O83" i="29"/>
  <c r="C104" i="28" s="1"/>
  <c r="O84" i="29"/>
  <c r="C105" i="28" s="1"/>
  <c r="O85" i="29"/>
  <c r="C106" i="28" s="1"/>
  <c r="O86" i="29"/>
  <c r="C107" i="28" s="1"/>
  <c r="O87" i="29"/>
  <c r="C108" i="28" s="1"/>
  <c r="O88" i="29"/>
  <c r="C109" i="28" s="1"/>
  <c r="O89" i="29"/>
  <c r="C110" i="28" s="1"/>
  <c r="O90" i="29"/>
  <c r="C111" i="28" s="1"/>
  <c r="O91" i="29"/>
  <c r="C112" i="28" s="1"/>
  <c r="O92" i="29"/>
  <c r="C113" i="28" s="1"/>
  <c r="O93" i="29"/>
  <c r="C114" i="28" s="1"/>
  <c r="O94" i="29"/>
  <c r="C115" i="28" s="1"/>
  <c r="O95" i="29"/>
  <c r="C116" i="28" s="1"/>
  <c r="O96" i="29"/>
  <c r="C117" i="28" s="1"/>
  <c r="O97" i="29"/>
  <c r="C118" i="28" s="1"/>
  <c r="O98" i="29"/>
  <c r="C119" i="28" s="1"/>
  <c r="O99" i="29"/>
  <c r="C120" i="28" s="1"/>
  <c r="O100" i="29"/>
  <c r="C121" i="28" s="1"/>
  <c r="O101" i="29"/>
  <c r="C122" i="28" s="1"/>
  <c r="O102" i="29"/>
  <c r="C123" i="28" s="1"/>
  <c r="O3" i="29"/>
  <c r="C6" i="33"/>
  <c r="C7" i="33"/>
  <c r="C8" i="33"/>
  <c r="C9" i="33"/>
  <c r="C10" i="33"/>
  <c r="C11" i="33"/>
  <c r="C12" i="33"/>
  <c r="C13" i="33"/>
  <c r="C14" i="33"/>
  <c r="C15" i="33"/>
  <c r="C16" i="33"/>
  <c r="C17" i="33"/>
  <c r="C18" i="33"/>
  <c r="C19" i="33"/>
  <c r="C20" i="33"/>
  <c r="C21" i="33"/>
  <c r="C22" i="33"/>
  <c r="C23" i="33"/>
  <c r="C24" i="33"/>
  <c r="C25" i="33"/>
  <c r="C26" i="33"/>
  <c r="C27" i="33"/>
  <c r="C28" i="33"/>
  <c r="C29" i="33"/>
  <c r="C30" i="33"/>
  <c r="C31" i="33"/>
  <c r="C32" i="33"/>
  <c r="C34" i="33"/>
  <c r="C35" i="33"/>
  <c r="C36" i="33"/>
  <c r="C37" i="33"/>
  <c r="C38" i="33"/>
  <c r="C39" i="33"/>
  <c r="C40" i="33"/>
  <c r="C42" i="33"/>
  <c r="C43" i="33"/>
  <c r="C44" i="33"/>
  <c r="C45" i="33"/>
  <c r="C46" i="33"/>
  <c r="C47" i="33"/>
  <c r="C48" i="33"/>
  <c r="C49" i="33"/>
  <c r="C50" i="33"/>
  <c r="C51" i="33"/>
  <c r="C52" i="33"/>
  <c r="C53" i="33"/>
  <c r="C54" i="33"/>
  <c r="C56" i="33"/>
  <c r="C57" i="33"/>
  <c r="C58" i="33"/>
  <c r="C59" i="33"/>
  <c r="C60" i="33"/>
  <c r="C61" i="33"/>
  <c r="C62" i="33"/>
  <c r="C63" i="33"/>
  <c r="C64" i="33"/>
  <c r="C65" i="33"/>
  <c r="C66" i="33"/>
  <c r="C67" i="33"/>
  <c r="C68" i="33"/>
  <c r="C69" i="33"/>
  <c r="C70" i="33"/>
  <c r="C71" i="33"/>
  <c r="C72" i="33"/>
  <c r="C74" i="33"/>
  <c r="C75" i="33"/>
  <c r="C76" i="33"/>
  <c r="C77" i="33"/>
  <c r="C78" i="33"/>
  <c r="C79" i="33"/>
  <c r="C80" i="33"/>
  <c r="C82" i="33"/>
  <c r="C83" i="33"/>
  <c r="C84" i="33"/>
  <c r="C85" i="33"/>
  <c r="C86" i="33"/>
  <c r="C87" i="33"/>
  <c r="C88" i="33"/>
  <c r="C89" i="33"/>
  <c r="C90" i="33"/>
  <c r="C91" i="33"/>
  <c r="C92" i="33"/>
  <c r="C93" i="33"/>
  <c r="C94" i="33"/>
  <c r="C95" i="33"/>
  <c r="C96" i="33"/>
  <c r="C97" i="33"/>
  <c r="C98" i="33"/>
  <c r="C99" i="33"/>
  <c r="C100" i="33"/>
  <c r="C101" i="33"/>
  <c r="C102" i="33"/>
  <c r="C103" i="33"/>
  <c r="C5" i="33"/>
  <c r="F98" i="20"/>
  <c r="F99" i="20"/>
  <c r="F100" i="20"/>
  <c r="F101" i="20"/>
  <c r="F102" i="20"/>
  <c r="F5" i="20"/>
  <c r="F6" i="20"/>
  <c r="F7" i="20"/>
  <c r="F8" i="20"/>
  <c r="F9" i="20"/>
  <c r="F10" i="20"/>
  <c r="F11" i="20"/>
  <c r="F12" i="20"/>
  <c r="F13" i="20"/>
  <c r="F14" i="20"/>
  <c r="F15" i="20"/>
  <c r="F16" i="20"/>
  <c r="F17" i="20"/>
  <c r="F18" i="20"/>
  <c r="F19" i="20"/>
  <c r="F20" i="20"/>
  <c r="F21" i="20"/>
  <c r="F22" i="20"/>
  <c r="F23" i="20"/>
  <c r="F24" i="20"/>
  <c r="F25" i="20"/>
  <c r="F26" i="20"/>
  <c r="F27" i="20"/>
  <c r="F28" i="20"/>
  <c r="F29" i="20"/>
  <c r="F30" i="20"/>
  <c r="F31" i="20"/>
  <c r="F33" i="20"/>
  <c r="F34" i="20"/>
  <c r="F35" i="20"/>
  <c r="F36" i="20"/>
  <c r="F37" i="20"/>
  <c r="F38" i="20"/>
  <c r="F39" i="20"/>
  <c r="F40" i="20"/>
  <c r="F41" i="20"/>
  <c r="F42" i="20"/>
  <c r="F43" i="20"/>
  <c r="F44" i="20"/>
  <c r="F45" i="20"/>
  <c r="F46" i="20"/>
  <c r="F47" i="20"/>
  <c r="F48" i="20"/>
  <c r="F49" i="20"/>
  <c r="F50" i="20"/>
  <c r="F51" i="20"/>
  <c r="F52" i="20"/>
  <c r="F53" i="20"/>
  <c r="F55" i="20"/>
  <c r="F56" i="20"/>
  <c r="F57" i="20"/>
  <c r="F58" i="20"/>
  <c r="F59" i="20"/>
  <c r="F60" i="20"/>
  <c r="F61" i="20"/>
  <c r="F62" i="20"/>
  <c r="F63" i="20"/>
  <c r="F64" i="20"/>
  <c r="F65" i="20"/>
  <c r="F66" i="20"/>
  <c r="F67" i="20"/>
  <c r="F68" i="20"/>
  <c r="F69" i="20"/>
  <c r="F70" i="20"/>
  <c r="F71" i="20"/>
  <c r="F72" i="20"/>
  <c r="F73" i="20"/>
  <c r="F74" i="20"/>
  <c r="F75" i="20"/>
  <c r="F76" i="20"/>
  <c r="F77" i="20"/>
  <c r="F78" i="20"/>
  <c r="F79" i="20"/>
  <c r="F81" i="20"/>
  <c r="F82" i="20"/>
  <c r="F83" i="20"/>
  <c r="F84" i="20"/>
  <c r="F85" i="20"/>
  <c r="F86" i="20"/>
  <c r="F87" i="20"/>
  <c r="F88" i="20"/>
  <c r="F89" i="20"/>
  <c r="F90" i="20"/>
  <c r="F91" i="20"/>
  <c r="F92" i="20"/>
  <c r="F93" i="20"/>
  <c r="F94" i="20"/>
  <c r="F95" i="20"/>
  <c r="F96" i="20"/>
  <c r="F97" i="20"/>
  <c r="F4" i="20"/>
  <c r="L41" i="29"/>
  <c r="M41" i="29"/>
  <c r="L42" i="29"/>
  <c r="M42" i="29"/>
  <c r="L43" i="29"/>
  <c r="M43" i="29"/>
  <c r="L44" i="29"/>
  <c r="M44" i="29"/>
  <c r="L45" i="29"/>
  <c r="M45" i="29"/>
  <c r="L46" i="29"/>
  <c r="M46" i="29"/>
  <c r="L36" i="29"/>
  <c r="M36" i="29"/>
  <c r="AK17" i="22" l="1"/>
  <c r="C53" i="36" s="1"/>
  <c r="C92" i="36" s="1"/>
  <c r="AW105" i="22"/>
  <c r="AK26" i="22"/>
  <c r="AK9" i="22"/>
  <c r="X63" i="57"/>
  <c r="AB63" i="57" s="1"/>
  <c r="AG65" i="57"/>
  <c r="M66" i="53"/>
  <c r="AC66" i="53" s="1"/>
  <c r="O66" i="53"/>
  <c r="AP50" i="69"/>
  <c r="N50" i="69"/>
  <c r="U50" i="69" s="1"/>
  <c r="AF62" i="57"/>
  <c r="AA62" i="57"/>
  <c r="AD64" i="57"/>
  <c r="AQ64" i="57"/>
  <c r="AJ64" i="57"/>
  <c r="Q64" i="57"/>
  <c r="T64" i="57" s="1"/>
  <c r="R64" i="57"/>
  <c r="AE64" i="57"/>
  <c r="AC64" i="57"/>
  <c r="M65" i="57"/>
  <c r="AK65" i="57" s="1"/>
  <c r="N66" i="53"/>
  <c r="AA64" i="53"/>
  <c r="AB64" i="53"/>
  <c r="C71" i="36"/>
  <c r="C51" i="36"/>
  <c r="O11" i="71"/>
  <c r="AF49" i="69"/>
  <c r="Q49" i="69"/>
  <c r="O66" i="57"/>
  <c r="P66" i="57"/>
  <c r="AC47" i="69"/>
  <c r="AD47" i="69" s="1"/>
  <c r="AB48" i="69"/>
  <c r="AG48" i="69"/>
  <c r="O51" i="69"/>
  <c r="AO50" i="69"/>
  <c r="O187" i="71"/>
  <c r="O91" i="71"/>
  <c r="O75" i="71"/>
  <c r="O59" i="71"/>
  <c r="O43" i="71"/>
  <c r="O27" i="71"/>
  <c r="O147" i="71"/>
  <c r="O114" i="71"/>
  <c r="O154" i="71"/>
  <c r="O106" i="71"/>
  <c r="O252" i="71"/>
  <c r="O220" i="71"/>
  <c r="O188" i="71"/>
  <c r="O88" i="71"/>
  <c r="O72" i="71"/>
  <c r="O56" i="71"/>
  <c r="O40" i="71"/>
  <c r="O24" i="71"/>
  <c r="O248" i="71"/>
  <c r="O216" i="71"/>
  <c r="O184" i="71"/>
  <c r="O152" i="71"/>
  <c r="O104" i="71"/>
  <c r="O251" i="71"/>
  <c r="O219" i="71"/>
  <c r="O159" i="71"/>
  <c r="O127" i="71"/>
  <c r="O111" i="71"/>
  <c r="O247" i="71"/>
  <c r="O215" i="71"/>
  <c r="O183" i="71"/>
  <c r="O13" i="71"/>
  <c r="O230" i="71"/>
  <c r="O198" i="71"/>
  <c r="O166" i="71"/>
  <c r="O134" i="71"/>
  <c r="O94" i="71"/>
  <c r="O78" i="71"/>
  <c r="O62" i="71"/>
  <c r="O46" i="71"/>
  <c r="O30" i="71"/>
  <c r="O250" i="71"/>
  <c r="O218" i="71"/>
  <c r="O190" i="71"/>
  <c r="O233" i="71"/>
  <c r="O201" i="71"/>
  <c r="O169" i="71"/>
  <c r="O141" i="71"/>
  <c r="O117" i="71"/>
  <c r="O97" i="71"/>
  <c r="O81" i="71"/>
  <c r="O65" i="71"/>
  <c r="O49" i="71"/>
  <c r="O33" i="71"/>
  <c r="O17" i="71"/>
  <c r="V17" i="71" s="1"/>
  <c r="W17" i="71" s="1"/>
  <c r="X17" i="71" s="1"/>
  <c r="O229" i="71"/>
  <c r="O197" i="71"/>
  <c r="O161" i="71"/>
  <c r="O129" i="71"/>
  <c r="O148" i="71"/>
  <c r="O100" i="71"/>
  <c r="O84" i="71"/>
  <c r="O68" i="71"/>
  <c r="O52" i="71"/>
  <c r="O36" i="71"/>
  <c r="O20" i="71"/>
  <c r="O12" i="71"/>
  <c r="R12" i="71" s="1"/>
  <c r="O179" i="71"/>
  <c r="O123" i="71"/>
  <c r="O139" i="71"/>
  <c r="O90" i="71"/>
  <c r="O74" i="71"/>
  <c r="O58" i="71"/>
  <c r="O42" i="71"/>
  <c r="O26" i="71"/>
  <c r="O146" i="71"/>
  <c r="O244" i="71"/>
  <c r="O212" i="71"/>
  <c r="O180" i="71"/>
  <c r="O120" i="71"/>
  <c r="O240" i="71"/>
  <c r="O208" i="71"/>
  <c r="O176" i="71"/>
  <c r="O144" i="71"/>
  <c r="O243" i="71"/>
  <c r="O211" i="71"/>
  <c r="O151" i="71"/>
  <c r="O103" i="71"/>
  <c r="O87" i="71"/>
  <c r="O71" i="71"/>
  <c r="O55" i="71"/>
  <c r="O39" i="71"/>
  <c r="O23" i="71"/>
  <c r="O239" i="71"/>
  <c r="O207" i="71"/>
  <c r="O175" i="71"/>
  <c r="O254" i="71"/>
  <c r="O222" i="71"/>
  <c r="O186" i="71"/>
  <c r="O158" i="71"/>
  <c r="O126" i="71"/>
  <c r="O110" i="71"/>
  <c r="O242" i="71"/>
  <c r="O210" i="71"/>
  <c r="O182" i="71"/>
  <c r="O14" i="71"/>
  <c r="O225" i="71"/>
  <c r="O193" i="71"/>
  <c r="O165" i="71"/>
  <c r="O133" i="71"/>
  <c r="O113" i="71"/>
  <c r="O93" i="71"/>
  <c r="O77" i="71"/>
  <c r="O61" i="71"/>
  <c r="O45" i="71"/>
  <c r="O29" i="71"/>
  <c r="O253" i="71"/>
  <c r="O221" i="71"/>
  <c r="O189" i="71"/>
  <c r="O153" i="71"/>
  <c r="O105" i="71"/>
  <c r="O172" i="71"/>
  <c r="O140" i="71"/>
  <c r="O116" i="71"/>
  <c r="O203" i="71"/>
  <c r="O171" i="71"/>
  <c r="O99" i="71"/>
  <c r="O83" i="71"/>
  <c r="O67" i="71"/>
  <c r="O51" i="71"/>
  <c r="O35" i="71"/>
  <c r="O19" i="71"/>
  <c r="V19" i="71" s="1"/>
  <c r="W19" i="71" s="1"/>
  <c r="X19" i="71" s="1"/>
  <c r="O163" i="71"/>
  <c r="O131" i="71"/>
  <c r="O122" i="71"/>
  <c r="O138" i="71"/>
  <c r="O236" i="71"/>
  <c r="O204" i="71"/>
  <c r="O96" i="71"/>
  <c r="O80" i="71"/>
  <c r="O64" i="71"/>
  <c r="O48" i="71"/>
  <c r="O32" i="71"/>
  <c r="O16" i="71"/>
  <c r="O232" i="71"/>
  <c r="O200" i="71"/>
  <c r="O168" i="71"/>
  <c r="O136" i="71"/>
  <c r="O235" i="71"/>
  <c r="O143" i="71"/>
  <c r="O119" i="71"/>
  <c r="O231" i="71"/>
  <c r="O199" i="71"/>
  <c r="O246" i="71"/>
  <c r="O214" i="71"/>
  <c r="O178" i="71"/>
  <c r="O150" i="71"/>
  <c r="O102" i="71"/>
  <c r="O86" i="71"/>
  <c r="O70" i="71"/>
  <c r="O54" i="71"/>
  <c r="O38" i="71"/>
  <c r="O22" i="71"/>
  <c r="O234" i="71"/>
  <c r="O202" i="71"/>
  <c r="O174" i="71"/>
  <c r="O249" i="71"/>
  <c r="O217" i="71"/>
  <c r="O185" i="71"/>
  <c r="O157" i="71"/>
  <c r="O125" i="71"/>
  <c r="O109" i="71"/>
  <c r="O89" i="71"/>
  <c r="O73" i="71"/>
  <c r="O57" i="71"/>
  <c r="O41" i="71"/>
  <c r="O25" i="71"/>
  <c r="O245" i="71"/>
  <c r="O213" i="71"/>
  <c r="O181" i="71"/>
  <c r="O145" i="71"/>
  <c r="O164" i="71"/>
  <c r="O132" i="71"/>
  <c r="O92" i="71"/>
  <c r="O76" i="71"/>
  <c r="O60" i="71"/>
  <c r="O44" i="71"/>
  <c r="O28" i="71"/>
  <c r="O195" i="71"/>
  <c r="O115" i="71"/>
  <c r="O155" i="71"/>
  <c r="O107" i="71"/>
  <c r="O170" i="71"/>
  <c r="O98" i="71"/>
  <c r="O82" i="71"/>
  <c r="O66" i="71"/>
  <c r="O50" i="71"/>
  <c r="O34" i="71"/>
  <c r="O18" i="71"/>
  <c r="V18" i="71" s="1"/>
  <c r="W18" i="71" s="1"/>
  <c r="X18" i="71" s="1"/>
  <c r="O162" i="71"/>
  <c r="O130" i="71"/>
  <c r="O15" i="71"/>
  <c r="O228" i="71"/>
  <c r="O196" i="71"/>
  <c r="O112" i="71"/>
  <c r="O256" i="71"/>
  <c r="O224" i="71"/>
  <c r="O192" i="71"/>
  <c r="O160" i="71"/>
  <c r="O128" i="71"/>
  <c r="O227" i="71"/>
  <c r="O167" i="71"/>
  <c r="O135" i="71"/>
  <c r="O95" i="71"/>
  <c r="O79" i="71"/>
  <c r="O63" i="71"/>
  <c r="O47" i="71"/>
  <c r="O31" i="71"/>
  <c r="O255" i="71"/>
  <c r="O223" i="71"/>
  <c r="O191" i="71"/>
  <c r="O238" i="71"/>
  <c r="O206" i="71"/>
  <c r="O142" i="71"/>
  <c r="O118" i="71"/>
  <c r="O226" i="71"/>
  <c r="O194" i="71"/>
  <c r="O241" i="71"/>
  <c r="O209" i="71"/>
  <c r="O177" i="71"/>
  <c r="O149" i="71"/>
  <c r="O121" i="71"/>
  <c r="O101" i="71"/>
  <c r="O85" i="71"/>
  <c r="O69" i="71"/>
  <c r="O53" i="71"/>
  <c r="O37" i="71"/>
  <c r="O21" i="71"/>
  <c r="O237" i="71"/>
  <c r="O205" i="71"/>
  <c r="O173" i="71"/>
  <c r="O137" i="71"/>
  <c r="O156" i="71"/>
  <c r="O124" i="71"/>
  <c r="O108" i="71"/>
  <c r="AE65" i="53"/>
  <c r="AF64" i="53"/>
  <c r="R65" i="53"/>
  <c r="X65" i="53" s="1"/>
  <c r="AW61" i="22"/>
  <c r="D46" i="22"/>
  <c r="D42" i="22"/>
  <c r="D45" i="22"/>
  <c r="D37" i="22"/>
  <c r="D44" i="22"/>
  <c r="D47" i="22"/>
  <c r="D43" i="22"/>
  <c r="AE13" i="46"/>
  <c r="AE12" i="46"/>
  <c r="AE15" i="46"/>
  <c r="AE14" i="46"/>
  <c r="AE11" i="46"/>
  <c r="AE226" i="46"/>
  <c r="AE150" i="46"/>
  <c r="AE130" i="46"/>
  <c r="AE118" i="46"/>
  <c r="AE98" i="46"/>
  <c r="AE86" i="46"/>
  <c r="AE66" i="46"/>
  <c r="AE54" i="46"/>
  <c r="AE22" i="46"/>
  <c r="AE246" i="46"/>
  <c r="AE182" i="46"/>
  <c r="AE205" i="46"/>
  <c r="AE169" i="46"/>
  <c r="AE57" i="46"/>
  <c r="AE25" i="46"/>
  <c r="AE241" i="46"/>
  <c r="AE177" i="46"/>
  <c r="AE204" i="46"/>
  <c r="AE128" i="46"/>
  <c r="AE96" i="46"/>
  <c r="AE76" i="46"/>
  <c r="AE64" i="46"/>
  <c r="AE44" i="46"/>
  <c r="AE32" i="46"/>
  <c r="AE224" i="46"/>
  <c r="AE255" i="46"/>
  <c r="AE155" i="46"/>
  <c r="AE143" i="46"/>
  <c r="AE123" i="46"/>
  <c r="AE111" i="46"/>
  <c r="AE91" i="46"/>
  <c r="AE79" i="46"/>
  <c r="AE47" i="46"/>
  <c r="AE211" i="46"/>
  <c r="AE191" i="46"/>
  <c r="AE202" i="46"/>
  <c r="AE42" i="46"/>
  <c r="AE222" i="46"/>
  <c r="AE245" i="46"/>
  <c r="AE181" i="46"/>
  <c r="AE153" i="46"/>
  <c r="AE141" i="46"/>
  <c r="AE121" i="46"/>
  <c r="AE109" i="46"/>
  <c r="AE89" i="46"/>
  <c r="AE77" i="46"/>
  <c r="AE45" i="46"/>
  <c r="AE253" i="46"/>
  <c r="AE217" i="46"/>
  <c r="AE244" i="46"/>
  <c r="AE180" i="46"/>
  <c r="AE140" i="46"/>
  <c r="AE108" i="46"/>
  <c r="AE200" i="46"/>
  <c r="AE231" i="46"/>
  <c r="AE187" i="46"/>
  <c r="AE167" i="46"/>
  <c r="AE67" i="46"/>
  <c r="AE35" i="46"/>
  <c r="AE251" i="46"/>
  <c r="AE159" i="46"/>
  <c r="AE16" i="46"/>
  <c r="AE242" i="46"/>
  <c r="AE178" i="46"/>
  <c r="AE138" i="46"/>
  <c r="AE126" i="46"/>
  <c r="AE106" i="46"/>
  <c r="AE94" i="46"/>
  <c r="AE74" i="46"/>
  <c r="AE62" i="46"/>
  <c r="AE30" i="46"/>
  <c r="AE198" i="46"/>
  <c r="AE221" i="46"/>
  <c r="AE33" i="46"/>
  <c r="AE193" i="46"/>
  <c r="AE165" i="46"/>
  <c r="AE220" i="46"/>
  <c r="AE164" i="46"/>
  <c r="AE136" i="46"/>
  <c r="AE104" i="46"/>
  <c r="AE84" i="46"/>
  <c r="AE72" i="46"/>
  <c r="AE52" i="46"/>
  <c r="AE40" i="46"/>
  <c r="AE20" i="46"/>
  <c r="AE240" i="46"/>
  <c r="AE176" i="46"/>
  <c r="AE151" i="46"/>
  <c r="AE131" i="46"/>
  <c r="AE119" i="46"/>
  <c r="AE99" i="46"/>
  <c r="AE87" i="46"/>
  <c r="AE55" i="46"/>
  <c r="AE23" i="46"/>
  <c r="AE227" i="46"/>
  <c r="AE207" i="46"/>
  <c r="AE218" i="46"/>
  <c r="AE162" i="46"/>
  <c r="AE50" i="46"/>
  <c r="AE18" i="46"/>
  <c r="AE238" i="46"/>
  <c r="AE174" i="46"/>
  <c r="AE197" i="46"/>
  <c r="AE161" i="46"/>
  <c r="AE149" i="46"/>
  <c r="AE129" i="46"/>
  <c r="AE117" i="46"/>
  <c r="AE97" i="46"/>
  <c r="AE85" i="46"/>
  <c r="AE65" i="46"/>
  <c r="AE53" i="46"/>
  <c r="AE21" i="46"/>
  <c r="AE233" i="46"/>
  <c r="AE196" i="46"/>
  <c r="AE148" i="46"/>
  <c r="AE116" i="46"/>
  <c r="AE216" i="46"/>
  <c r="AE247" i="46"/>
  <c r="AE203" i="46"/>
  <c r="AE75" i="46"/>
  <c r="AE43" i="46"/>
  <c r="AE183" i="46"/>
  <c r="AE194" i="46"/>
  <c r="AE146" i="46"/>
  <c r="AE134" i="46"/>
  <c r="AE114" i="46"/>
  <c r="AE102" i="46"/>
  <c r="AE82" i="46"/>
  <c r="AE70" i="46"/>
  <c r="AE38" i="46"/>
  <c r="AE214" i="46"/>
  <c r="AE237" i="46"/>
  <c r="AE173" i="46"/>
  <c r="AE41" i="46"/>
  <c r="AE209" i="46"/>
  <c r="AE236" i="46"/>
  <c r="AE172" i="46"/>
  <c r="AE144" i="46"/>
  <c r="AE112" i="46"/>
  <c r="AE80" i="46"/>
  <c r="AE60" i="46"/>
  <c r="AE48" i="46"/>
  <c r="AE28" i="46"/>
  <c r="AE256" i="46"/>
  <c r="AE192" i="46"/>
  <c r="AE223" i="46"/>
  <c r="AE179" i="46"/>
  <c r="AE139" i="46"/>
  <c r="AE127" i="46"/>
  <c r="AE107" i="46"/>
  <c r="AE95" i="46"/>
  <c r="AE63" i="46"/>
  <c r="AE31" i="46"/>
  <c r="AE243" i="46"/>
  <c r="AE234" i="46"/>
  <c r="AE170" i="46"/>
  <c r="AE58" i="46"/>
  <c r="AE26" i="46"/>
  <c r="AE254" i="46"/>
  <c r="AE190" i="46"/>
  <c r="AE213" i="46"/>
  <c r="AE157" i="46"/>
  <c r="AE137" i="46"/>
  <c r="AE125" i="46"/>
  <c r="AE105" i="46"/>
  <c r="AE93" i="46"/>
  <c r="AE73" i="46"/>
  <c r="AE61" i="46"/>
  <c r="AE29" i="46"/>
  <c r="AE249" i="46"/>
  <c r="AE185" i="46"/>
  <c r="AE212" i="46"/>
  <c r="AE168" i="46"/>
  <c r="AE156" i="46"/>
  <c r="AE124" i="46"/>
  <c r="AE92" i="46"/>
  <c r="AE232" i="46"/>
  <c r="AE160" i="46"/>
  <c r="AE163" i="46"/>
  <c r="AE83" i="46"/>
  <c r="AE51" i="46"/>
  <c r="AE19" i="46"/>
  <c r="AE219" i="46"/>
  <c r="AE199" i="46"/>
  <c r="AE210" i="46"/>
  <c r="AE154" i="46"/>
  <c r="AE142" i="46"/>
  <c r="AE122" i="46"/>
  <c r="AE110" i="46"/>
  <c r="AE90" i="46"/>
  <c r="AE78" i="46"/>
  <c r="AE46" i="46"/>
  <c r="AE230" i="46"/>
  <c r="AE158" i="46"/>
  <c r="AE189" i="46"/>
  <c r="AE49" i="46"/>
  <c r="AE17" i="46"/>
  <c r="AE225" i="46"/>
  <c r="AE252" i="46"/>
  <c r="AE188" i="46"/>
  <c r="AE152" i="46"/>
  <c r="AE120" i="46"/>
  <c r="AE88" i="46"/>
  <c r="AE68" i="46"/>
  <c r="AE56" i="46"/>
  <c r="AE36" i="46"/>
  <c r="AE24" i="46"/>
  <c r="AE208" i="46"/>
  <c r="AE239" i="46"/>
  <c r="AE195" i="46"/>
  <c r="AE147" i="46"/>
  <c r="AE135" i="46"/>
  <c r="AE115" i="46"/>
  <c r="AE103" i="46"/>
  <c r="AE71" i="46"/>
  <c r="AE39" i="46"/>
  <c r="AE175" i="46"/>
  <c r="AE250" i="46"/>
  <c r="AE186" i="46"/>
  <c r="AE166" i="46"/>
  <c r="AE34" i="46"/>
  <c r="AE206" i="46"/>
  <c r="AE229" i="46"/>
  <c r="AE145" i="46"/>
  <c r="AE133" i="46"/>
  <c r="AE113" i="46"/>
  <c r="AE101" i="46"/>
  <c r="AE81" i="46"/>
  <c r="AE69" i="46"/>
  <c r="AE37" i="46"/>
  <c r="AE201" i="46"/>
  <c r="AE228" i="46"/>
  <c r="AE132" i="46"/>
  <c r="AE100" i="46"/>
  <c r="AE248" i="46"/>
  <c r="AE184" i="46"/>
  <c r="AE215" i="46"/>
  <c r="AE171" i="46"/>
  <c r="AE59" i="46"/>
  <c r="AE27" i="46"/>
  <c r="AE235" i="46"/>
  <c r="AY49" i="69"/>
  <c r="L66" i="57"/>
  <c r="AG65" i="53"/>
  <c r="AH65" i="53"/>
  <c r="AT65" i="53"/>
  <c r="N66" i="57"/>
  <c r="P66" i="53"/>
  <c r="AH49" i="69"/>
  <c r="AD65" i="53"/>
  <c r="Q65" i="53"/>
  <c r="G66" i="53"/>
  <c r="I66" i="53"/>
  <c r="AK65" i="52" a="1"/>
  <c r="AK65" i="52" s="1"/>
  <c r="B67" i="53" s="1"/>
  <c r="C66" i="53"/>
  <c r="F66" i="53"/>
  <c r="H66" i="53"/>
  <c r="L66" i="53"/>
  <c r="E66" i="53"/>
  <c r="K66" i="53"/>
  <c r="J66" i="53"/>
  <c r="D66" i="53"/>
  <c r="E66" i="57"/>
  <c r="J66" i="57"/>
  <c r="H66" i="57"/>
  <c r="D66" i="57"/>
  <c r="K66" i="57"/>
  <c r="F66" i="57"/>
  <c r="I66" i="57"/>
  <c r="C66" i="57"/>
  <c r="G66" i="57"/>
  <c r="AN65" i="55" a="1"/>
  <c r="AN65" i="55" s="1"/>
  <c r="B67" i="57" s="1"/>
  <c r="C51" i="69"/>
  <c r="P51" i="69" s="1"/>
  <c r="AR51" i="67" a="1"/>
  <c r="AR51" i="67" s="1"/>
  <c r="B52" i="69"/>
  <c r="L52" i="69" s="1"/>
  <c r="D50" i="69"/>
  <c r="E50" i="69" s="1"/>
  <c r="F50" i="69" s="1"/>
  <c r="G50" i="69" s="1"/>
  <c r="H50" i="69" s="1"/>
  <c r="I50" i="69" s="1"/>
  <c r="J50" i="69" s="1"/>
  <c r="K50" i="69" s="1"/>
  <c r="M50" i="69" s="1"/>
  <c r="R49" i="69"/>
  <c r="S49" i="69" s="1"/>
  <c r="Y49" i="69" s="1"/>
  <c r="AE49" i="69"/>
  <c r="C18" i="28"/>
  <c r="E5" i="28"/>
  <c r="C9" i="28"/>
  <c r="C5" i="28"/>
  <c r="O106" i="46"/>
  <c r="S106" i="46" s="1"/>
  <c r="T106" i="46" s="1"/>
  <c r="O90" i="46"/>
  <c r="S90" i="46" s="1"/>
  <c r="T90" i="46" s="1"/>
  <c r="O74" i="46"/>
  <c r="S74" i="46" s="1"/>
  <c r="T74" i="46" s="1"/>
  <c r="O58" i="46"/>
  <c r="S58" i="46" s="1"/>
  <c r="T58" i="46" s="1"/>
  <c r="O251" i="46"/>
  <c r="S251" i="46" s="1"/>
  <c r="T251" i="46" s="1"/>
  <c r="O217" i="46"/>
  <c r="S217" i="46" s="1"/>
  <c r="T217" i="46" s="1"/>
  <c r="O185" i="46"/>
  <c r="S185" i="46" s="1"/>
  <c r="T185" i="46" s="1"/>
  <c r="O153" i="46"/>
  <c r="S153" i="46" s="1"/>
  <c r="T153" i="46" s="1"/>
  <c r="O121" i="46"/>
  <c r="S121" i="46" s="1"/>
  <c r="T121" i="46" s="1"/>
  <c r="O71" i="46"/>
  <c r="S71" i="46" s="1"/>
  <c r="T71" i="46" s="1"/>
  <c r="O26" i="46"/>
  <c r="S26" i="46" s="1"/>
  <c r="T26" i="46" s="1"/>
  <c r="O253" i="46"/>
  <c r="S253" i="46" s="1"/>
  <c r="T253" i="46" s="1"/>
  <c r="O214" i="46"/>
  <c r="S214" i="46" s="1"/>
  <c r="T214" i="46" s="1"/>
  <c r="O182" i="46"/>
  <c r="S182" i="46" s="1"/>
  <c r="T182" i="46" s="1"/>
  <c r="O150" i="46"/>
  <c r="S150" i="46" s="1"/>
  <c r="T150" i="46" s="1"/>
  <c r="O118" i="46"/>
  <c r="S118" i="46" s="1"/>
  <c r="T118" i="46" s="1"/>
  <c r="O73" i="46"/>
  <c r="S73" i="46" s="1"/>
  <c r="T73" i="46" s="1"/>
  <c r="O23" i="46"/>
  <c r="O236" i="46"/>
  <c r="S236" i="46" s="1"/>
  <c r="T236" i="46" s="1"/>
  <c r="O173" i="46"/>
  <c r="O109" i="46"/>
  <c r="S109" i="46" s="1"/>
  <c r="T109" i="46" s="1"/>
  <c r="O14" i="46"/>
  <c r="R14" i="46" s="1"/>
  <c r="O197" i="46"/>
  <c r="S197" i="46" s="1"/>
  <c r="T197" i="46" s="1"/>
  <c r="O159" i="46"/>
  <c r="S159" i="46" s="1"/>
  <c r="T159" i="46" s="1"/>
  <c r="O85" i="46"/>
  <c r="S85" i="46" s="1"/>
  <c r="T85" i="46" s="1"/>
  <c r="O215" i="46"/>
  <c r="S215" i="46" s="1"/>
  <c r="T215" i="46" s="1"/>
  <c r="O151" i="46"/>
  <c r="S151" i="46" s="1"/>
  <c r="T151" i="46" s="1"/>
  <c r="O61" i="46"/>
  <c r="S61" i="46" s="1"/>
  <c r="T61" i="46" s="1"/>
  <c r="O160" i="46"/>
  <c r="S160" i="46" s="1"/>
  <c r="T160" i="46" s="1"/>
  <c r="O22" i="46"/>
  <c r="O175" i="46"/>
  <c r="S175" i="46" s="1"/>
  <c r="T175" i="46" s="1"/>
  <c r="O104" i="46"/>
  <c r="S104" i="46" s="1"/>
  <c r="T104" i="46" s="1"/>
  <c r="O88" i="46"/>
  <c r="S88" i="46" s="1"/>
  <c r="T88" i="46" s="1"/>
  <c r="O72" i="46"/>
  <c r="S72" i="46" s="1"/>
  <c r="T72" i="46" s="1"/>
  <c r="O56" i="46"/>
  <c r="S56" i="46" s="1"/>
  <c r="T56" i="46" s="1"/>
  <c r="O248" i="46"/>
  <c r="S248" i="46" s="1"/>
  <c r="T248" i="46" s="1"/>
  <c r="O212" i="46"/>
  <c r="S212" i="46" s="1"/>
  <c r="T212" i="46" s="1"/>
  <c r="O180" i="46"/>
  <c r="S180" i="46" s="1"/>
  <c r="T180" i="46" s="1"/>
  <c r="O148" i="46"/>
  <c r="S148" i="46" s="1"/>
  <c r="T148" i="46" s="1"/>
  <c r="O116" i="46"/>
  <c r="S116" i="46" s="1"/>
  <c r="T116" i="46" s="1"/>
  <c r="O63" i="46"/>
  <c r="S63" i="46" s="1"/>
  <c r="T63" i="46" s="1"/>
  <c r="O21" i="46"/>
  <c r="O250" i="46"/>
  <c r="S250" i="46" s="1"/>
  <c r="T250" i="46" s="1"/>
  <c r="O211" i="46"/>
  <c r="S211" i="46" s="1"/>
  <c r="T211" i="46" s="1"/>
  <c r="O179" i="46"/>
  <c r="S179" i="46" s="1"/>
  <c r="T179" i="46" s="1"/>
  <c r="O147" i="46"/>
  <c r="S147" i="46" s="1"/>
  <c r="T147" i="46" s="1"/>
  <c r="O115" i="46"/>
  <c r="S115" i="46" s="1"/>
  <c r="T115" i="46" s="1"/>
  <c r="O65" i="46"/>
  <c r="S65" i="46" s="1"/>
  <c r="T65" i="46" s="1"/>
  <c r="O20" i="46"/>
  <c r="R20" i="46" s="1"/>
  <c r="O226" i="46"/>
  <c r="S226" i="46" s="1"/>
  <c r="T226" i="46" s="1"/>
  <c r="O168" i="46"/>
  <c r="S168" i="46" s="1"/>
  <c r="T168" i="46" s="1"/>
  <c r="O99" i="46"/>
  <c r="S99" i="46" s="1"/>
  <c r="T99" i="46" s="1"/>
  <c r="O181" i="46"/>
  <c r="S181" i="46" s="1"/>
  <c r="T181" i="46" s="1"/>
  <c r="O154" i="46"/>
  <c r="S154" i="46" s="1"/>
  <c r="T154" i="46" s="1"/>
  <c r="O16" i="46"/>
  <c r="R16" i="46" s="1"/>
  <c r="O210" i="46"/>
  <c r="S210" i="46" s="1"/>
  <c r="T210" i="46" s="1"/>
  <c r="O146" i="46"/>
  <c r="S146" i="46" s="1"/>
  <c r="T146" i="46" s="1"/>
  <c r="O45" i="46"/>
  <c r="S45" i="46" s="1"/>
  <c r="T45" i="46" s="1"/>
  <c r="O149" i="46"/>
  <c r="S149" i="46" s="1"/>
  <c r="T149" i="46" s="1"/>
  <c r="O17" i="46"/>
  <c r="O170" i="46"/>
  <c r="S170" i="46" s="1"/>
  <c r="T170" i="46" s="1"/>
  <c r="O102" i="46"/>
  <c r="S102" i="46" s="1"/>
  <c r="T102" i="46" s="1"/>
  <c r="O86" i="46"/>
  <c r="S86" i="46" s="1"/>
  <c r="T86" i="46" s="1"/>
  <c r="O70" i="46"/>
  <c r="S70" i="46" s="1"/>
  <c r="T70" i="46" s="1"/>
  <c r="O54" i="46"/>
  <c r="S54" i="46" s="1"/>
  <c r="T54" i="46" s="1"/>
  <c r="O243" i="46"/>
  <c r="S243" i="46" s="1"/>
  <c r="T243" i="46" s="1"/>
  <c r="O209" i="46"/>
  <c r="S209" i="46" s="1"/>
  <c r="T209" i="46" s="1"/>
  <c r="O177" i="46"/>
  <c r="S177" i="46" s="1"/>
  <c r="T177" i="46" s="1"/>
  <c r="O100" i="46"/>
  <c r="S100" i="46" s="1"/>
  <c r="T100" i="46" s="1"/>
  <c r="O84" i="46"/>
  <c r="S84" i="46" s="1"/>
  <c r="T84" i="46" s="1"/>
  <c r="O68" i="46"/>
  <c r="S68" i="46" s="1"/>
  <c r="T68" i="46" s="1"/>
  <c r="O52" i="46"/>
  <c r="S52" i="46" s="1"/>
  <c r="T52" i="46" s="1"/>
  <c r="O240" i="46"/>
  <c r="S240" i="46" s="1"/>
  <c r="T240" i="46" s="1"/>
  <c r="O204" i="46"/>
  <c r="S204" i="46" s="1"/>
  <c r="T204" i="46" s="1"/>
  <c r="O172" i="46"/>
  <c r="S172" i="46" s="1"/>
  <c r="T172" i="46" s="1"/>
  <c r="O140" i="46"/>
  <c r="S140" i="46" s="1"/>
  <c r="T140" i="46" s="1"/>
  <c r="O108" i="46"/>
  <c r="S108" i="46" s="1"/>
  <c r="T108" i="46" s="1"/>
  <c r="O47" i="46"/>
  <c r="S47" i="46" s="1"/>
  <c r="T47" i="46" s="1"/>
  <c r="O13" i="46"/>
  <c r="R13" i="46" s="1"/>
  <c r="O242" i="46"/>
  <c r="S242" i="46" s="1"/>
  <c r="T242" i="46" s="1"/>
  <c r="O203" i="46"/>
  <c r="S203" i="46" s="1"/>
  <c r="T203" i="46" s="1"/>
  <c r="O171" i="46"/>
  <c r="S171" i="46" s="1"/>
  <c r="T171" i="46" s="1"/>
  <c r="O139" i="46"/>
  <c r="S139" i="46" s="1"/>
  <c r="T139" i="46" s="1"/>
  <c r="O107" i="46"/>
  <c r="S107" i="46" s="1"/>
  <c r="T107" i="46" s="1"/>
  <c r="O49" i="46"/>
  <c r="S49" i="46" s="1"/>
  <c r="T49" i="46" s="1"/>
  <c r="O12" i="46"/>
  <c r="R12" i="46" s="1"/>
  <c r="O216" i="46"/>
  <c r="S216" i="46" s="1"/>
  <c r="T216" i="46" s="1"/>
  <c r="O152" i="46"/>
  <c r="S152" i="46" s="1"/>
  <c r="T152" i="46" s="1"/>
  <c r="O67" i="46"/>
  <c r="S67" i="46" s="1"/>
  <c r="T67" i="46" s="1"/>
  <c r="O133" i="46"/>
  <c r="S133" i="46" s="1"/>
  <c r="T133" i="46" s="1"/>
  <c r="O254" i="46"/>
  <c r="S254" i="46" s="1"/>
  <c r="T254" i="46" s="1"/>
  <c r="O138" i="46"/>
  <c r="S138" i="46" s="1"/>
  <c r="T138" i="46" s="1"/>
  <c r="O194" i="46"/>
  <c r="S194" i="46" s="1"/>
  <c r="T194" i="46" s="1"/>
  <c r="O130" i="46"/>
  <c r="S130" i="46" s="1"/>
  <c r="T130" i="46" s="1"/>
  <c r="O35" i="46"/>
  <c r="S35" i="46" s="1"/>
  <c r="T35" i="46" s="1"/>
  <c r="O239" i="46"/>
  <c r="S239" i="46" s="1"/>
  <c r="T239" i="46" s="1"/>
  <c r="O117" i="46"/>
  <c r="S117" i="46" s="1"/>
  <c r="T117" i="46" s="1"/>
  <c r="O238" i="46"/>
  <c r="S238" i="46" s="1"/>
  <c r="T238" i="46" s="1"/>
  <c r="O53" i="46"/>
  <c r="S53" i="46" s="1"/>
  <c r="T53" i="46" s="1"/>
  <c r="O229" i="46"/>
  <c r="S229" i="46" s="1"/>
  <c r="T229" i="46" s="1"/>
  <c r="O94" i="46"/>
  <c r="S94" i="46" s="1"/>
  <c r="T94" i="46" s="1"/>
  <c r="O78" i="46"/>
  <c r="S78" i="46" s="1"/>
  <c r="T78" i="46" s="1"/>
  <c r="O62" i="46"/>
  <c r="S62" i="46" s="1"/>
  <c r="T62" i="46" s="1"/>
  <c r="O46" i="46"/>
  <c r="S46" i="46" s="1"/>
  <c r="T46" i="46" s="1"/>
  <c r="O225" i="46"/>
  <c r="S225" i="46" s="1"/>
  <c r="T225" i="46" s="1"/>
  <c r="O193" i="46"/>
  <c r="S193" i="46" s="1"/>
  <c r="T193" i="46" s="1"/>
  <c r="O161" i="46"/>
  <c r="S161" i="46" s="1"/>
  <c r="T161" i="46" s="1"/>
  <c r="O129" i="46"/>
  <c r="S129" i="46" s="1"/>
  <c r="T129" i="46" s="1"/>
  <c r="O87" i="46"/>
  <c r="S87" i="46" s="1"/>
  <c r="T87" i="46" s="1"/>
  <c r="O34" i="46"/>
  <c r="S34" i="46" s="1"/>
  <c r="T34" i="46" s="1"/>
  <c r="O227" i="46"/>
  <c r="S227" i="46" s="1"/>
  <c r="T227" i="46" s="1"/>
  <c r="O92" i="46"/>
  <c r="S92" i="46" s="1"/>
  <c r="T92" i="46" s="1"/>
  <c r="O76" i="46"/>
  <c r="S76" i="46" s="1"/>
  <c r="T76" i="46" s="1"/>
  <c r="O60" i="46"/>
  <c r="S60" i="46" s="1"/>
  <c r="T60" i="46" s="1"/>
  <c r="O44" i="46"/>
  <c r="S44" i="46" s="1"/>
  <c r="T44" i="46" s="1"/>
  <c r="O256" i="46"/>
  <c r="S256" i="46" s="1"/>
  <c r="T256" i="46" s="1"/>
  <c r="O220" i="46"/>
  <c r="S220" i="46" s="1"/>
  <c r="T220" i="46" s="1"/>
  <c r="O188" i="46"/>
  <c r="S188" i="46" s="1"/>
  <c r="T188" i="46" s="1"/>
  <c r="O156" i="46"/>
  <c r="S156" i="46" s="1"/>
  <c r="T156" i="46" s="1"/>
  <c r="O124" i="46"/>
  <c r="S124" i="46" s="1"/>
  <c r="T124" i="46" s="1"/>
  <c r="O79" i="46"/>
  <c r="S79" i="46" s="1"/>
  <c r="T79" i="46" s="1"/>
  <c r="O29" i="46"/>
  <c r="S29" i="46" s="1"/>
  <c r="T29" i="46" s="1"/>
  <c r="O219" i="46"/>
  <c r="S219" i="46" s="1"/>
  <c r="T219" i="46" s="1"/>
  <c r="O187" i="46"/>
  <c r="S187" i="46" s="1"/>
  <c r="T187" i="46" s="1"/>
  <c r="O155" i="46"/>
  <c r="S155" i="46" s="1"/>
  <c r="T155" i="46" s="1"/>
  <c r="O123" i="46"/>
  <c r="S123" i="46" s="1"/>
  <c r="T123" i="46" s="1"/>
  <c r="O81" i="46"/>
  <c r="S81" i="46" s="1"/>
  <c r="T81" i="46" s="1"/>
  <c r="O28" i="46"/>
  <c r="S28" i="46" s="1"/>
  <c r="T28" i="46" s="1"/>
  <c r="O247" i="46"/>
  <c r="S247" i="46" s="1"/>
  <c r="T247" i="46" s="1"/>
  <c r="O184" i="46"/>
  <c r="S184" i="46" s="1"/>
  <c r="T184" i="46" s="1"/>
  <c r="O120" i="46"/>
  <c r="S120" i="46" s="1"/>
  <c r="T120" i="46" s="1"/>
  <c r="O25" i="46"/>
  <c r="O224" i="46"/>
  <c r="S224" i="46" s="1"/>
  <c r="T224" i="46" s="1"/>
  <c r="O33" i="46"/>
  <c r="S33" i="46" s="1"/>
  <c r="T33" i="46" s="1"/>
  <c r="O202" i="46"/>
  <c r="S202" i="46" s="1"/>
  <c r="T202" i="46" s="1"/>
  <c r="O101" i="46"/>
  <c r="S101" i="46" s="1"/>
  <c r="T101" i="46" s="1"/>
  <c r="O241" i="46"/>
  <c r="S241" i="46" s="1"/>
  <c r="T241" i="46" s="1"/>
  <c r="O162" i="46"/>
  <c r="S162" i="46" s="1"/>
  <c r="T162" i="46" s="1"/>
  <c r="O77" i="46"/>
  <c r="S77" i="46" s="1"/>
  <c r="T77" i="46" s="1"/>
  <c r="O165" i="46"/>
  <c r="S165" i="46" s="1"/>
  <c r="T165" i="46" s="1"/>
  <c r="O38" i="46"/>
  <c r="S38" i="46" s="1"/>
  <c r="T38" i="46" s="1"/>
  <c r="O186" i="46"/>
  <c r="S186" i="46" s="1"/>
  <c r="T186" i="46" s="1"/>
  <c r="O66" i="46"/>
  <c r="S66" i="46" s="1"/>
  <c r="T66" i="46" s="1"/>
  <c r="O169" i="46"/>
  <c r="S169" i="46" s="1"/>
  <c r="T169" i="46" s="1"/>
  <c r="O55" i="46"/>
  <c r="S55" i="46" s="1"/>
  <c r="T55" i="46" s="1"/>
  <c r="O198" i="46"/>
  <c r="S198" i="46" s="1"/>
  <c r="T198" i="46" s="1"/>
  <c r="O134" i="46"/>
  <c r="S134" i="46" s="1"/>
  <c r="T134" i="46" s="1"/>
  <c r="O39" i="46"/>
  <c r="S39" i="46" s="1"/>
  <c r="T39" i="46" s="1"/>
  <c r="O205" i="46"/>
  <c r="S205" i="46" s="1"/>
  <c r="T205" i="46" s="1"/>
  <c r="O51" i="46"/>
  <c r="S51" i="46" s="1"/>
  <c r="T51" i="46" s="1"/>
  <c r="O128" i="46"/>
  <c r="S128" i="46" s="1"/>
  <c r="T128" i="46" s="1"/>
  <c r="O127" i="46"/>
  <c r="S127" i="46" s="1"/>
  <c r="T127" i="46" s="1"/>
  <c r="O183" i="46"/>
  <c r="S183" i="46" s="1"/>
  <c r="T183" i="46" s="1"/>
  <c r="O24" i="46"/>
  <c r="O112" i="46"/>
  <c r="S112" i="46" s="1"/>
  <c r="T112" i="46" s="1"/>
  <c r="O32" i="46"/>
  <c r="S32" i="46" s="1"/>
  <c r="T32" i="46" s="1"/>
  <c r="O64" i="46"/>
  <c r="S64" i="46" s="1"/>
  <c r="T64" i="46" s="1"/>
  <c r="O164" i="46"/>
  <c r="S164" i="46" s="1"/>
  <c r="T164" i="46" s="1"/>
  <c r="O42" i="46"/>
  <c r="S42" i="46" s="1"/>
  <c r="T42" i="46" s="1"/>
  <c r="O195" i="46"/>
  <c r="S195" i="46" s="1"/>
  <c r="T195" i="46" s="1"/>
  <c r="O131" i="46"/>
  <c r="S131" i="46" s="1"/>
  <c r="T131" i="46" s="1"/>
  <c r="O36" i="46"/>
  <c r="S36" i="46" s="1"/>
  <c r="T36" i="46" s="1"/>
  <c r="O200" i="46"/>
  <c r="S200" i="46" s="1"/>
  <c r="T200" i="46" s="1"/>
  <c r="O41" i="46"/>
  <c r="S41" i="46" s="1"/>
  <c r="T41" i="46" s="1"/>
  <c r="O91" i="46"/>
  <c r="S91" i="46" s="1"/>
  <c r="T91" i="46" s="1"/>
  <c r="O122" i="46"/>
  <c r="S122" i="46" s="1"/>
  <c r="T122" i="46" s="1"/>
  <c r="O178" i="46"/>
  <c r="S178" i="46" s="1"/>
  <c r="T178" i="46" s="1"/>
  <c r="O19" i="46"/>
  <c r="R19" i="46" s="1"/>
  <c r="O59" i="46"/>
  <c r="S59" i="46" s="1"/>
  <c r="T59" i="46" s="1"/>
  <c r="O27" i="46"/>
  <c r="S27" i="46" s="1"/>
  <c r="T27" i="46" s="1"/>
  <c r="O233" i="46"/>
  <c r="S233" i="46" s="1"/>
  <c r="T233" i="46" s="1"/>
  <c r="O50" i="46"/>
  <c r="S50" i="46" s="1"/>
  <c r="T50" i="46" s="1"/>
  <c r="O145" i="46"/>
  <c r="S145" i="46" s="1"/>
  <c r="T145" i="46" s="1"/>
  <c r="O37" i="46"/>
  <c r="S37" i="46" s="1"/>
  <c r="T37" i="46" s="1"/>
  <c r="O190" i="46"/>
  <c r="S190" i="46" s="1"/>
  <c r="T190" i="46" s="1"/>
  <c r="O126" i="46"/>
  <c r="S126" i="46" s="1"/>
  <c r="T126" i="46" s="1"/>
  <c r="O31" i="46"/>
  <c r="S31" i="46" s="1"/>
  <c r="T31" i="46" s="1"/>
  <c r="O189" i="46"/>
  <c r="S189" i="46" s="1"/>
  <c r="T189" i="46" s="1"/>
  <c r="O30" i="46"/>
  <c r="S30" i="46" s="1"/>
  <c r="T30" i="46" s="1"/>
  <c r="O75" i="46"/>
  <c r="S75" i="46" s="1"/>
  <c r="T75" i="46" s="1"/>
  <c r="O111" i="46"/>
  <c r="S111" i="46" s="1"/>
  <c r="T111" i="46" s="1"/>
  <c r="O167" i="46"/>
  <c r="S167" i="46" s="1"/>
  <c r="T167" i="46" s="1"/>
  <c r="O43" i="46"/>
  <c r="S43" i="46" s="1"/>
  <c r="T43" i="46" s="1"/>
  <c r="O231" i="46"/>
  <c r="S231" i="46" s="1"/>
  <c r="T231" i="46" s="1"/>
  <c r="O48" i="46"/>
  <c r="S48" i="46" s="1"/>
  <c r="T48" i="46" s="1"/>
  <c r="O137" i="46"/>
  <c r="S137" i="46" s="1"/>
  <c r="T137" i="46" s="1"/>
  <c r="O18" i="46"/>
  <c r="O245" i="46"/>
  <c r="S245" i="46" s="1"/>
  <c r="T245" i="46" s="1"/>
  <c r="O174" i="46"/>
  <c r="S174" i="46" s="1"/>
  <c r="T174" i="46" s="1"/>
  <c r="O110" i="46"/>
  <c r="S110" i="46" s="1"/>
  <c r="T110" i="46" s="1"/>
  <c r="O15" i="46"/>
  <c r="R15" i="46" s="1"/>
  <c r="O157" i="46"/>
  <c r="S157" i="46" s="1"/>
  <c r="T157" i="46" s="1"/>
  <c r="O135" i="46"/>
  <c r="S135" i="46" s="1"/>
  <c r="T135" i="46" s="1"/>
  <c r="O244" i="46"/>
  <c r="S244" i="46" s="1"/>
  <c r="T244" i="46" s="1"/>
  <c r="O98" i="46"/>
  <c r="S98" i="46" s="1"/>
  <c r="T98" i="46" s="1"/>
  <c r="O235" i="46"/>
  <c r="S235" i="46" s="1"/>
  <c r="T235" i="46" s="1"/>
  <c r="O132" i="46"/>
  <c r="S132" i="46" s="1"/>
  <c r="T132" i="46" s="1"/>
  <c r="O237" i="46"/>
  <c r="S237" i="46" s="1"/>
  <c r="T237" i="46" s="1"/>
  <c r="O166" i="46"/>
  <c r="S166" i="46" s="1"/>
  <c r="T166" i="46" s="1"/>
  <c r="O105" i="46"/>
  <c r="S105" i="46" s="1"/>
  <c r="T105" i="46" s="1"/>
  <c r="O141" i="46"/>
  <c r="S141" i="46" s="1"/>
  <c r="T141" i="46" s="1"/>
  <c r="O249" i="46"/>
  <c r="S249" i="46" s="1"/>
  <c r="T249" i="46" s="1"/>
  <c r="O119" i="46"/>
  <c r="S119" i="46" s="1"/>
  <c r="T119" i="46" s="1"/>
  <c r="O213" i="46"/>
  <c r="S213" i="46" s="1"/>
  <c r="T213" i="46" s="1"/>
  <c r="O223" i="46"/>
  <c r="S223" i="46" s="1"/>
  <c r="T223" i="46" s="1"/>
  <c r="O82" i="46"/>
  <c r="S82" i="46" s="1"/>
  <c r="T82" i="46" s="1"/>
  <c r="O201" i="46"/>
  <c r="S201" i="46" s="1"/>
  <c r="T201" i="46" s="1"/>
  <c r="O103" i="46"/>
  <c r="S103" i="46" s="1"/>
  <c r="T103" i="46" s="1"/>
  <c r="O222" i="46"/>
  <c r="S222" i="46" s="1"/>
  <c r="T222" i="46" s="1"/>
  <c r="O158" i="46"/>
  <c r="S158" i="46" s="1"/>
  <c r="T158" i="46" s="1"/>
  <c r="O89" i="46"/>
  <c r="S89" i="46" s="1"/>
  <c r="T89" i="46" s="1"/>
  <c r="O252" i="46"/>
  <c r="S252" i="46" s="1"/>
  <c r="T252" i="46" s="1"/>
  <c r="O125" i="46"/>
  <c r="S125" i="46" s="1"/>
  <c r="T125" i="46" s="1"/>
  <c r="O234" i="46"/>
  <c r="S234" i="46" s="1"/>
  <c r="T234" i="46" s="1"/>
  <c r="O207" i="46"/>
  <c r="S207" i="46" s="1"/>
  <c r="T207" i="46" s="1"/>
  <c r="O246" i="46"/>
  <c r="S246" i="46" s="1"/>
  <c r="T246" i="46" s="1"/>
  <c r="O93" i="46"/>
  <c r="S93" i="46" s="1"/>
  <c r="T93" i="46" s="1"/>
  <c r="O192" i="46"/>
  <c r="S192" i="46" s="1"/>
  <c r="T192" i="46" s="1"/>
  <c r="O191" i="46"/>
  <c r="S191" i="46" s="1"/>
  <c r="T191" i="46" s="1"/>
  <c r="O221" i="46"/>
  <c r="S221" i="46" s="1"/>
  <c r="T221" i="46" s="1"/>
  <c r="O199" i="46"/>
  <c r="S199" i="46" s="1"/>
  <c r="T199" i="46" s="1"/>
  <c r="O232" i="46"/>
  <c r="S232" i="46" s="1"/>
  <c r="T232" i="46" s="1"/>
  <c r="O136" i="46"/>
  <c r="S136" i="46" s="1"/>
  <c r="T136" i="46" s="1"/>
  <c r="O114" i="46"/>
  <c r="S114" i="46" s="1"/>
  <c r="T114" i="46" s="1"/>
  <c r="O206" i="46"/>
  <c r="S206" i="46" s="1"/>
  <c r="T206" i="46" s="1"/>
  <c r="O83" i="46"/>
  <c r="S83" i="46" s="1"/>
  <c r="T83" i="46" s="1"/>
  <c r="O40" i="46"/>
  <c r="S40" i="46" s="1"/>
  <c r="T40" i="46" s="1"/>
  <c r="O230" i="46"/>
  <c r="S230" i="46" s="1"/>
  <c r="T230" i="46" s="1"/>
  <c r="O163" i="46"/>
  <c r="S163" i="46" s="1"/>
  <c r="T163" i="46" s="1"/>
  <c r="O255" i="46"/>
  <c r="S255" i="46" s="1"/>
  <c r="T255" i="46" s="1"/>
  <c r="O208" i="46"/>
  <c r="S208" i="46" s="1"/>
  <c r="T208" i="46" s="1"/>
  <c r="O96" i="46"/>
  <c r="S96" i="46" s="1"/>
  <c r="T96" i="46" s="1"/>
  <c r="O113" i="46"/>
  <c r="S113" i="46" s="1"/>
  <c r="T113" i="46" s="1"/>
  <c r="O97" i="46"/>
  <c r="S97" i="46" s="1"/>
  <c r="T97" i="46" s="1"/>
  <c r="O228" i="46"/>
  <c r="S228" i="46" s="1"/>
  <c r="T228" i="46" s="1"/>
  <c r="O218" i="46"/>
  <c r="S218" i="46" s="1"/>
  <c r="T218" i="46" s="1"/>
  <c r="O80" i="46"/>
  <c r="S80" i="46" s="1"/>
  <c r="T80" i="46" s="1"/>
  <c r="O95" i="46"/>
  <c r="S95" i="46" s="1"/>
  <c r="T95" i="46" s="1"/>
  <c r="O57" i="46"/>
  <c r="S57" i="46" s="1"/>
  <c r="T57" i="46" s="1"/>
  <c r="O143" i="46"/>
  <c r="S143" i="46" s="1"/>
  <c r="T143" i="46" s="1"/>
  <c r="O69" i="46"/>
  <c r="S69" i="46" s="1"/>
  <c r="T69" i="46" s="1"/>
  <c r="O176" i="46"/>
  <c r="S176" i="46" s="1"/>
  <c r="T176" i="46" s="1"/>
  <c r="O144" i="46"/>
  <c r="S144" i="46" s="1"/>
  <c r="T144" i="46" s="1"/>
  <c r="O142" i="46"/>
  <c r="S142" i="46" s="1"/>
  <c r="T142" i="46" s="1"/>
  <c r="O196" i="46"/>
  <c r="S196" i="46" s="1"/>
  <c r="T196" i="46" s="1"/>
  <c r="M4" i="29"/>
  <c r="M5" i="29"/>
  <c r="M6" i="29"/>
  <c r="M7" i="29"/>
  <c r="M8" i="29"/>
  <c r="M9" i="29"/>
  <c r="M10" i="29"/>
  <c r="M11" i="29"/>
  <c r="M12" i="29"/>
  <c r="M13" i="29"/>
  <c r="M14" i="29"/>
  <c r="M16" i="29"/>
  <c r="M17" i="29"/>
  <c r="M18" i="29"/>
  <c r="M19" i="29"/>
  <c r="M20" i="29"/>
  <c r="M21" i="29"/>
  <c r="M22" i="29"/>
  <c r="M23" i="29"/>
  <c r="M24" i="29"/>
  <c r="M25" i="29"/>
  <c r="M26" i="29"/>
  <c r="M27" i="29"/>
  <c r="M28" i="29"/>
  <c r="M29" i="29"/>
  <c r="M30" i="29"/>
  <c r="M31" i="29"/>
  <c r="M32" i="29"/>
  <c r="M33" i="29"/>
  <c r="M34" i="29"/>
  <c r="M35" i="29"/>
  <c r="M38" i="29"/>
  <c r="M39" i="29"/>
  <c r="M47" i="29"/>
  <c r="M48" i="29"/>
  <c r="M49" i="29"/>
  <c r="M50" i="29"/>
  <c r="M51" i="29"/>
  <c r="M52" i="29"/>
  <c r="M53" i="29"/>
  <c r="M55" i="29"/>
  <c r="M56" i="29"/>
  <c r="M57" i="29"/>
  <c r="M58" i="29"/>
  <c r="M59" i="29"/>
  <c r="M40" i="29"/>
  <c r="M60" i="29"/>
  <c r="M61" i="29"/>
  <c r="M62" i="29"/>
  <c r="M63" i="29"/>
  <c r="M64" i="29"/>
  <c r="M65" i="29"/>
  <c r="M66" i="29"/>
  <c r="M67" i="29"/>
  <c r="D68" i="22" s="1"/>
  <c r="M68" i="29"/>
  <c r="M69" i="29"/>
  <c r="M70" i="29"/>
  <c r="M71" i="29"/>
  <c r="M72" i="29"/>
  <c r="M73" i="29"/>
  <c r="M74" i="29"/>
  <c r="M80" i="29"/>
  <c r="M75" i="29"/>
  <c r="M76" i="29"/>
  <c r="M77" i="29"/>
  <c r="M79" i="29"/>
  <c r="M82" i="29"/>
  <c r="M83" i="29"/>
  <c r="M84" i="29"/>
  <c r="M85" i="29"/>
  <c r="M86" i="29"/>
  <c r="D86" i="22" s="1"/>
  <c r="M87" i="29"/>
  <c r="M88" i="29"/>
  <c r="M89" i="29"/>
  <c r="M90" i="29"/>
  <c r="M91" i="29"/>
  <c r="D91" i="22" s="1"/>
  <c r="M92" i="29"/>
  <c r="M93" i="29"/>
  <c r="M94" i="29"/>
  <c r="M95" i="29"/>
  <c r="D95" i="22" s="1"/>
  <c r="M96" i="29"/>
  <c r="M97" i="29"/>
  <c r="M98" i="29"/>
  <c r="M99" i="29"/>
  <c r="D99" i="22" s="1"/>
  <c r="M100" i="29"/>
  <c r="M101" i="29"/>
  <c r="M102" i="29"/>
  <c r="W5" i="22"/>
  <c r="W6" i="22"/>
  <c r="W7" i="22"/>
  <c r="W8" i="22"/>
  <c r="W9" i="22"/>
  <c r="W10" i="22"/>
  <c r="W11" i="22"/>
  <c r="W12" i="22"/>
  <c r="W13" i="22"/>
  <c r="W14" i="22"/>
  <c r="W15" i="22"/>
  <c r="W16" i="22"/>
  <c r="W17" i="22"/>
  <c r="W18" i="22"/>
  <c r="W19" i="22"/>
  <c r="W20" i="22"/>
  <c r="W21" i="22"/>
  <c r="W22" i="22"/>
  <c r="W23" i="22"/>
  <c r="W24" i="22"/>
  <c r="W25" i="22"/>
  <c r="W26" i="22"/>
  <c r="W27" i="22"/>
  <c r="W28" i="22"/>
  <c r="W29" i="22"/>
  <c r="W30" i="22"/>
  <c r="W31" i="22"/>
  <c r="W32" i="22"/>
  <c r="W33" i="22"/>
  <c r="W34" i="22"/>
  <c r="W35" i="22"/>
  <c r="W36" i="22"/>
  <c r="W37" i="22"/>
  <c r="W39" i="22"/>
  <c r="W40" i="22"/>
  <c r="W42" i="22"/>
  <c r="W43" i="22"/>
  <c r="W44" i="22"/>
  <c r="W45" i="22"/>
  <c r="W46" i="22"/>
  <c r="W47" i="22"/>
  <c r="W48" i="22"/>
  <c r="W49" i="22"/>
  <c r="W50" i="22"/>
  <c r="W51" i="22"/>
  <c r="W52" i="22"/>
  <c r="W53" i="22"/>
  <c r="W54" i="22"/>
  <c r="W56" i="22"/>
  <c r="W57" i="22"/>
  <c r="W58" i="22"/>
  <c r="W59" i="22"/>
  <c r="W60" i="22"/>
  <c r="W41" i="22"/>
  <c r="W61" i="22"/>
  <c r="W62" i="22"/>
  <c r="W63" i="22"/>
  <c r="W64" i="22"/>
  <c r="W65" i="22"/>
  <c r="W66" i="22"/>
  <c r="W67" i="22"/>
  <c r="W68" i="22"/>
  <c r="W69" i="22"/>
  <c r="W70" i="22"/>
  <c r="W71" i="22"/>
  <c r="W72" i="22"/>
  <c r="W73" i="22"/>
  <c r="W74" i="22"/>
  <c r="W75" i="22"/>
  <c r="W76" i="22"/>
  <c r="W77" i="22"/>
  <c r="W78" i="22"/>
  <c r="W79" i="22"/>
  <c r="W81" i="22"/>
  <c r="W82" i="22"/>
  <c r="W83" i="22"/>
  <c r="W84" i="22"/>
  <c r="W85" i="22"/>
  <c r="W86" i="22"/>
  <c r="W87" i="22"/>
  <c r="W88" i="22"/>
  <c r="W89" i="22"/>
  <c r="W90" i="22"/>
  <c r="W91" i="22"/>
  <c r="W92" i="22"/>
  <c r="W93" i="22"/>
  <c r="W94" i="22"/>
  <c r="W95" i="22"/>
  <c r="W4" i="22"/>
  <c r="AW81" i="22"/>
  <c r="G5" i="22"/>
  <c r="K5" i="22"/>
  <c r="AW82" i="22"/>
  <c r="G6" i="22"/>
  <c r="K6" i="22"/>
  <c r="AW83" i="22"/>
  <c r="G7" i="22"/>
  <c r="K7" i="22"/>
  <c r="G8" i="22"/>
  <c r="K8" i="22"/>
  <c r="AW118" i="22"/>
  <c r="G9" i="22"/>
  <c r="K9" i="22"/>
  <c r="AW114" i="22"/>
  <c r="G10" i="22"/>
  <c r="K10" i="22"/>
  <c r="AW115" i="22"/>
  <c r="G11" i="22"/>
  <c r="K11" i="22"/>
  <c r="AW116" i="22"/>
  <c r="G12" i="22"/>
  <c r="K12" i="22"/>
  <c r="AW117" i="22"/>
  <c r="G13" i="22"/>
  <c r="K13" i="22"/>
  <c r="AW30" i="22"/>
  <c r="G14" i="22"/>
  <c r="K14" i="22"/>
  <c r="AW120" i="22"/>
  <c r="G15" i="22"/>
  <c r="K15" i="22"/>
  <c r="AW31" i="22"/>
  <c r="G16" i="22"/>
  <c r="K16" i="22"/>
  <c r="AW32" i="22"/>
  <c r="G17" i="22"/>
  <c r="K17" i="22"/>
  <c r="G18" i="22"/>
  <c r="K18" i="22"/>
  <c r="G19" i="22"/>
  <c r="K19" i="22"/>
  <c r="AW119" i="22"/>
  <c r="G20" i="22"/>
  <c r="K20" i="22"/>
  <c r="AW84" i="22"/>
  <c r="G21" i="22"/>
  <c r="K21" i="22"/>
  <c r="AW85" i="22"/>
  <c r="G22" i="22"/>
  <c r="K22" i="22"/>
  <c r="G23" i="22"/>
  <c r="K23" i="22"/>
  <c r="AW86" i="22"/>
  <c r="G24" i="22"/>
  <c r="K24" i="22"/>
  <c r="AW34" i="22"/>
  <c r="G25" i="22"/>
  <c r="K25" i="22"/>
  <c r="G26" i="22"/>
  <c r="K26" i="22"/>
  <c r="G27" i="22"/>
  <c r="K27" i="22"/>
  <c r="AW88" i="22"/>
  <c r="G28" i="22"/>
  <c r="K28" i="22"/>
  <c r="G29" i="22"/>
  <c r="K29" i="22"/>
  <c r="G30" i="22"/>
  <c r="K30" i="22"/>
  <c r="G31" i="22"/>
  <c r="K31" i="22"/>
  <c r="G32" i="22"/>
  <c r="K32" i="22"/>
  <c r="G33" i="22"/>
  <c r="K33" i="22"/>
  <c r="G34" i="22"/>
  <c r="K34" i="22"/>
  <c r="AW121" i="22"/>
  <c r="G35" i="22"/>
  <c r="K35" i="22"/>
  <c r="G36" i="22"/>
  <c r="K36" i="22"/>
  <c r="AW149" i="22"/>
  <c r="G37" i="22"/>
  <c r="K37" i="22"/>
  <c r="G39" i="22"/>
  <c r="K39" i="22"/>
  <c r="G40" i="22"/>
  <c r="K40" i="22"/>
  <c r="G42" i="22"/>
  <c r="K42" i="22"/>
  <c r="G43" i="22"/>
  <c r="K43" i="22"/>
  <c r="G44" i="22"/>
  <c r="K44" i="22"/>
  <c r="G45" i="22"/>
  <c r="K45" i="22"/>
  <c r="G46" i="22"/>
  <c r="K46" i="22"/>
  <c r="G47" i="22"/>
  <c r="K47" i="22"/>
  <c r="AW93" i="22"/>
  <c r="G48" i="22"/>
  <c r="K48" i="22"/>
  <c r="G49" i="22"/>
  <c r="K49" i="22"/>
  <c r="G50" i="22"/>
  <c r="K50" i="22"/>
  <c r="G51" i="22"/>
  <c r="K51" i="22"/>
  <c r="G52" i="22"/>
  <c r="K52" i="22"/>
  <c r="G53" i="22"/>
  <c r="K53" i="22"/>
  <c r="G54" i="22"/>
  <c r="K54" i="22"/>
  <c r="G56" i="22"/>
  <c r="K56" i="22"/>
  <c r="G57" i="22"/>
  <c r="K57" i="22"/>
  <c r="G58" i="22"/>
  <c r="K58" i="22"/>
  <c r="G59" i="22"/>
  <c r="K59" i="22"/>
  <c r="AW125" i="22"/>
  <c r="G60" i="22"/>
  <c r="K60" i="22"/>
  <c r="G41" i="22"/>
  <c r="K41" i="22"/>
  <c r="G61" i="22"/>
  <c r="K61" i="22"/>
  <c r="AW124" i="22"/>
  <c r="G62" i="22"/>
  <c r="K62" i="22"/>
  <c r="G63" i="22"/>
  <c r="K63" i="22"/>
  <c r="G64" i="22"/>
  <c r="K64" i="22"/>
  <c r="G65" i="22"/>
  <c r="K65" i="22"/>
  <c r="G66" i="22"/>
  <c r="K66" i="22"/>
  <c r="G67" i="22"/>
  <c r="K67" i="22"/>
  <c r="G68" i="22"/>
  <c r="K68" i="22"/>
  <c r="G69" i="22"/>
  <c r="K69" i="22"/>
  <c r="G70" i="22"/>
  <c r="K70" i="22"/>
  <c r="G71" i="22"/>
  <c r="K71" i="22"/>
  <c r="G72" i="22"/>
  <c r="K72" i="22"/>
  <c r="AW57" i="22"/>
  <c r="G73" i="22"/>
  <c r="K73" i="22"/>
  <c r="AW131" i="22"/>
  <c r="G74" i="22"/>
  <c r="K74" i="22"/>
  <c r="G75" i="22"/>
  <c r="K75" i="22"/>
  <c r="G76" i="22"/>
  <c r="K76" i="22"/>
  <c r="G77" i="22"/>
  <c r="K77" i="22"/>
  <c r="AW159" i="22"/>
  <c r="G78" i="22"/>
  <c r="K78" i="22"/>
  <c r="G79" i="22"/>
  <c r="K79" i="22"/>
  <c r="G81" i="22"/>
  <c r="K81" i="22"/>
  <c r="G82" i="22"/>
  <c r="K82" i="22"/>
  <c r="AW9" i="22"/>
  <c r="K83" i="22"/>
  <c r="G84" i="22"/>
  <c r="K84" i="22"/>
  <c r="G85" i="22"/>
  <c r="K85" i="22"/>
  <c r="G86" i="22"/>
  <c r="K86" i="22"/>
  <c r="G87" i="22"/>
  <c r="K87" i="22"/>
  <c r="AW58" i="22"/>
  <c r="G88" i="22"/>
  <c r="K88" i="22"/>
  <c r="G89" i="22"/>
  <c r="K89" i="22"/>
  <c r="AW52" i="22"/>
  <c r="G90" i="22"/>
  <c r="K90" i="22"/>
  <c r="AW60" i="22"/>
  <c r="G91" i="22"/>
  <c r="K91" i="22"/>
  <c r="G92" i="22"/>
  <c r="K92" i="22"/>
  <c r="G93" i="22"/>
  <c r="K93" i="22"/>
  <c r="G94" i="22"/>
  <c r="K94" i="22"/>
  <c r="AW98" i="22"/>
  <c r="G95" i="22"/>
  <c r="K95" i="22"/>
  <c r="K4" i="22"/>
  <c r="R16" i="71" l="1"/>
  <c r="V16" i="71" s="1"/>
  <c r="W16" i="71" s="1"/>
  <c r="X16" i="71" s="1"/>
  <c r="R15" i="71"/>
  <c r="V15" i="71" s="1"/>
  <c r="W15" i="71" s="1"/>
  <c r="X15" i="71" s="1"/>
  <c r="R14" i="71"/>
  <c r="V14" i="71" s="1"/>
  <c r="W14" i="71" s="1"/>
  <c r="X14" i="71" s="1"/>
  <c r="R13" i="71"/>
  <c r="V13" i="71" s="1"/>
  <c r="W13" i="71" s="1"/>
  <c r="X13" i="71" s="1"/>
  <c r="AG66" i="57"/>
  <c r="X64" i="57"/>
  <c r="AB64" i="57" s="1"/>
  <c r="AD65" i="57"/>
  <c r="M67" i="53"/>
  <c r="AC67" i="53" s="1"/>
  <c r="O67" i="53"/>
  <c r="AP51" i="69"/>
  <c r="N51" i="69"/>
  <c r="U51" i="69" s="1"/>
  <c r="P11" i="11"/>
  <c r="AJ65" i="57"/>
  <c r="AE65" i="57"/>
  <c r="AF63" i="57"/>
  <c r="AA63" i="57"/>
  <c r="Q65" i="57"/>
  <c r="T65" i="57" s="1"/>
  <c r="R65" i="57"/>
  <c r="AQ65" i="57"/>
  <c r="AC65" i="57"/>
  <c r="M66" i="57"/>
  <c r="AK66" i="57" s="1"/>
  <c r="N67" i="53"/>
  <c r="AA65" i="53"/>
  <c r="AB65" i="53"/>
  <c r="C90" i="36"/>
  <c r="V25" i="46"/>
  <c r="X25" i="46" s="1"/>
  <c r="V24" i="46"/>
  <c r="X24" i="46" s="1"/>
  <c r="V23" i="46"/>
  <c r="X23" i="46" s="1"/>
  <c r="V22" i="46"/>
  <c r="X22" i="46" s="1"/>
  <c r="V21" i="46"/>
  <c r="X21" i="46" s="1"/>
  <c r="V20" i="46"/>
  <c r="V19" i="46"/>
  <c r="V18" i="46"/>
  <c r="V17" i="46"/>
  <c r="V15" i="46"/>
  <c r="C91" i="36"/>
  <c r="V173" i="46"/>
  <c r="X173" i="46" s="1"/>
  <c r="AF50" i="69"/>
  <c r="Q50" i="69"/>
  <c r="O67" i="57"/>
  <c r="P67" i="57"/>
  <c r="AC48" i="69"/>
  <c r="AD48" i="69" s="1"/>
  <c r="S124" i="71"/>
  <c r="S205" i="71"/>
  <c r="S53" i="71"/>
  <c r="S121" i="71"/>
  <c r="S241" i="71"/>
  <c r="S142" i="71"/>
  <c r="S223" i="71"/>
  <c r="S63" i="71"/>
  <c r="S167" i="71"/>
  <c r="S192" i="71"/>
  <c r="S196" i="71"/>
  <c r="S162" i="71"/>
  <c r="S66" i="71"/>
  <c r="S107" i="71"/>
  <c r="S28" i="71"/>
  <c r="S92" i="71"/>
  <c r="S181" i="71"/>
  <c r="S41" i="71"/>
  <c r="S109" i="71"/>
  <c r="S217" i="71"/>
  <c r="S234" i="71"/>
  <c r="S70" i="71"/>
  <c r="S178" i="71"/>
  <c r="S231" i="71"/>
  <c r="S136" i="71"/>
  <c r="S80" i="71"/>
  <c r="S138" i="71"/>
  <c r="S19" i="71"/>
  <c r="S83" i="71"/>
  <c r="S116" i="71"/>
  <c r="S153" i="71"/>
  <c r="S29" i="71"/>
  <c r="S93" i="71"/>
  <c r="S193" i="71"/>
  <c r="S210" i="71"/>
  <c r="S158" i="71"/>
  <c r="S175" i="71"/>
  <c r="S39" i="71"/>
  <c r="S103" i="71"/>
  <c r="S144" i="71"/>
  <c r="S120" i="71"/>
  <c r="S146" i="71"/>
  <c r="S74" i="71"/>
  <c r="S179" i="71"/>
  <c r="S52" i="71"/>
  <c r="S148" i="71"/>
  <c r="S229" i="71"/>
  <c r="S65" i="71"/>
  <c r="S141" i="71"/>
  <c r="S190" i="71"/>
  <c r="S46" i="71"/>
  <c r="S134" i="71"/>
  <c r="S111" i="71"/>
  <c r="S251" i="71"/>
  <c r="S216" i="71"/>
  <c r="S56" i="71"/>
  <c r="S220" i="71"/>
  <c r="S114" i="71"/>
  <c r="S59" i="71"/>
  <c r="S156" i="71"/>
  <c r="S237" i="71"/>
  <c r="S69" i="71"/>
  <c r="S149" i="71"/>
  <c r="S194" i="71"/>
  <c r="S206" i="71"/>
  <c r="S255" i="71"/>
  <c r="S79" i="71"/>
  <c r="S227" i="71"/>
  <c r="S224" i="71"/>
  <c r="S228" i="71"/>
  <c r="S18" i="71"/>
  <c r="S82" i="71"/>
  <c r="S155" i="71"/>
  <c r="S44" i="71"/>
  <c r="S132" i="71"/>
  <c r="S213" i="71"/>
  <c r="S57" i="71"/>
  <c r="S125" i="71"/>
  <c r="S249" i="71"/>
  <c r="S22" i="71"/>
  <c r="S86" i="71"/>
  <c r="S214" i="71"/>
  <c r="S119" i="71"/>
  <c r="S168" i="71"/>
  <c r="S32" i="71"/>
  <c r="S96" i="71"/>
  <c r="S122" i="71"/>
  <c r="S35" i="71"/>
  <c r="S99" i="71"/>
  <c r="S140" i="71"/>
  <c r="S189" i="71"/>
  <c r="S45" i="71"/>
  <c r="S113" i="71"/>
  <c r="S225" i="71"/>
  <c r="S242" i="71"/>
  <c r="S186" i="71"/>
  <c r="S207" i="71"/>
  <c r="S55" i="71"/>
  <c r="S151" i="71"/>
  <c r="S176" i="71"/>
  <c r="S180" i="71"/>
  <c r="S26" i="71"/>
  <c r="S90" i="71"/>
  <c r="S68" i="71"/>
  <c r="S129" i="71"/>
  <c r="S17" i="71"/>
  <c r="S81" i="71"/>
  <c r="S169" i="71"/>
  <c r="S218" i="71"/>
  <c r="S62" i="71"/>
  <c r="S166" i="71"/>
  <c r="S183" i="71"/>
  <c r="S127" i="71"/>
  <c r="S104" i="71"/>
  <c r="S248" i="71"/>
  <c r="S72" i="71"/>
  <c r="S252" i="71"/>
  <c r="S147" i="71"/>
  <c r="S75" i="71"/>
  <c r="S137" i="71"/>
  <c r="S21" i="71"/>
  <c r="S85" i="71"/>
  <c r="S177" i="71"/>
  <c r="S226" i="71"/>
  <c r="S238" i="71"/>
  <c r="S31" i="71"/>
  <c r="S95" i="71"/>
  <c r="S128" i="71"/>
  <c r="S256" i="71"/>
  <c r="S34" i="71"/>
  <c r="S98" i="71"/>
  <c r="S115" i="71"/>
  <c r="S60" i="71"/>
  <c r="S164" i="71"/>
  <c r="S245" i="71"/>
  <c r="S73" i="71"/>
  <c r="S157" i="71"/>
  <c r="S174" i="71"/>
  <c r="S38" i="71"/>
  <c r="S102" i="71"/>
  <c r="S246" i="71"/>
  <c r="S143" i="71"/>
  <c r="S200" i="71"/>
  <c r="S48" i="71"/>
  <c r="S204" i="71"/>
  <c r="S131" i="71"/>
  <c r="S51" i="71"/>
  <c r="S171" i="71"/>
  <c r="S172" i="71"/>
  <c r="S221" i="71"/>
  <c r="S61" i="71"/>
  <c r="S133" i="71"/>
  <c r="S110" i="71"/>
  <c r="S222" i="71"/>
  <c r="S239" i="71"/>
  <c r="S71" i="71"/>
  <c r="S211" i="71"/>
  <c r="S208" i="71"/>
  <c r="S212" i="71"/>
  <c r="S42" i="71"/>
  <c r="S139" i="71"/>
  <c r="S20" i="71"/>
  <c r="S84" i="71"/>
  <c r="S161" i="71"/>
  <c r="S33" i="71"/>
  <c r="S97" i="71"/>
  <c r="S201" i="71"/>
  <c r="S250" i="71"/>
  <c r="S78" i="71"/>
  <c r="S198" i="71"/>
  <c r="S215" i="71"/>
  <c r="S159" i="71"/>
  <c r="S152" i="71"/>
  <c r="S24" i="71"/>
  <c r="S88" i="71"/>
  <c r="S106" i="71"/>
  <c r="S91" i="71"/>
  <c r="S108" i="71"/>
  <c r="S173" i="71"/>
  <c r="S37" i="71"/>
  <c r="S101" i="71"/>
  <c r="S209" i="71"/>
  <c r="S118" i="71"/>
  <c r="S191" i="71"/>
  <c r="S47" i="71"/>
  <c r="S135" i="71"/>
  <c r="S160" i="71"/>
  <c r="S112" i="71"/>
  <c r="S130" i="71"/>
  <c r="S50" i="71"/>
  <c r="S170" i="71"/>
  <c r="S195" i="71"/>
  <c r="S76" i="71"/>
  <c r="S145" i="71"/>
  <c r="S25" i="71"/>
  <c r="S89" i="71"/>
  <c r="S185" i="71"/>
  <c r="S202" i="71"/>
  <c r="S54" i="71"/>
  <c r="S150" i="71"/>
  <c r="S199" i="71"/>
  <c r="S235" i="71"/>
  <c r="S232" i="71"/>
  <c r="S64" i="71"/>
  <c r="S236" i="71"/>
  <c r="S163" i="71"/>
  <c r="S67" i="71"/>
  <c r="S203" i="71"/>
  <c r="S105" i="71"/>
  <c r="S253" i="71"/>
  <c r="S77" i="71"/>
  <c r="S165" i="71"/>
  <c r="S182" i="71"/>
  <c r="S126" i="71"/>
  <c r="S254" i="71"/>
  <c r="S23" i="71"/>
  <c r="S87" i="71"/>
  <c r="S243" i="71"/>
  <c r="S240" i="71"/>
  <c r="S244" i="71"/>
  <c r="S58" i="71"/>
  <c r="S123" i="71"/>
  <c r="S36" i="71"/>
  <c r="S100" i="71"/>
  <c r="S197" i="71"/>
  <c r="S49" i="71"/>
  <c r="S117" i="71"/>
  <c r="S233" i="71"/>
  <c r="S30" i="71"/>
  <c r="S94" i="71"/>
  <c r="S230" i="71"/>
  <c r="S247" i="71"/>
  <c r="S219" i="71"/>
  <c r="S184" i="71"/>
  <c r="S40" i="71"/>
  <c r="S188" i="71"/>
  <c r="S154" i="71"/>
  <c r="S43" i="71"/>
  <c r="S187" i="71"/>
  <c r="V13" i="46"/>
  <c r="W13" i="46" s="1"/>
  <c r="S12" i="71"/>
  <c r="AB49" i="69"/>
  <c r="AG49" i="69"/>
  <c r="AO51" i="69"/>
  <c r="O52" i="69"/>
  <c r="V12" i="46"/>
  <c r="W12" i="46" s="1"/>
  <c r="AF65" i="53"/>
  <c r="AE66" i="53"/>
  <c r="Y79" i="46"/>
  <c r="Y143" i="46"/>
  <c r="Y232" i="46"/>
  <c r="Y235" i="46"/>
  <c r="Y48" i="46"/>
  <c r="Y91" i="46"/>
  <c r="Y164" i="46"/>
  <c r="Y205" i="46"/>
  <c r="Y124" i="46"/>
  <c r="Y227" i="46"/>
  <c r="Y193" i="46"/>
  <c r="Y194" i="46"/>
  <c r="Y216" i="46"/>
  <c r="Y209" i="46"/>
  <c r="Y160" i="46"/>
  <c r="Y197" i="46"/>
  <c r="Y150" i="46"/>
  <c r="Y153" i="46"/>
  <c r="Y69" i="46"/>
  <c r="Y190" i="46"/>
  <c r="Y186" i="46"/>
  <c r="Y118" i="46"/>
  <c r="Y196" i="46"/>
  <c r="Y57" i="46"/>
  <c r="Y96" i="46"/>
  <c r="Y207" i="46"/>
  <c r="Y103" i="46"/>
  <c r="Y141" i="46"/>
  <c r="Y231" i="46"/>
  <c r="Y111" i="46"/>
  <c r="Y37" i="46"/>
  <c r="Y41" i="46"/>
  <c r="Y165" i="46"/>
  <c r="Y224" i="46"/>
  <c r="Y155" i="46"/>
  <c r="Y156" i="46"/>
  <c r="Y225" i="46"/>
  <c r="Y68" i="46"/>
  <c r="Y243" i="46"/>
  <c r="Y154" i="46"/>
  <c r="Y65" i="46"/>
  <c r="Y63" i="46"/>
  <c r="Y88" i="46"/>
  <c r="Y182" i="46"/>
  <c r="Y185" i="46"/>
  <c r="Y51" i="46"/>
  <c r="Y152" i="46"/>
  <c r="Y83" i="46"/>
  <c r="Y201" i="46"/>
  <c r="Y244" i="46"/>
  <c r="Y174" i="46"/>
  <c r="Y75" i="46"/>
  <c r="Y145" i="46"/>
  <c r="Y134" i="46"/>
  <c r="Y187" i="46"/>
  <c r="Y188" i="46"/>
  <c r="Y46" i="46"/>
  <c r="Y49" i="46"/>
  <c r="Y47" i="46"/>
  <c r="Y84" i="46"/>
  <c r="Y115" i="46"/>
  <c r="Y116" i="46"/>
  <c r="Y61" i="46"/>
  <c r="Y109" i="46"/>
  <c r="Y214" i="46"/>
  <c r="Y217" i="46"/>
  <c r="Y97" i="46"/>
  <c r="Y132" i="46"/>
  <c r="Y202" i="46"/>
  <c r="Y161" i="46"/>
  <c r="Y56" i="46"/>
  <c r="Y142" i="46"/>
  <c r="Y80" i="46"/>
  <c r="Y208" i="46"/>
  <c r="Y125" i="46"/>
  <c r="Y223" i="46"/>
  <c r="Y105" i="46"/>
  <c r="Y98" i="46"/>
  <c r="Y64" i="46"/>
  <c r="Y198" i="46"/>
  <c r="Y77" i="46"/>
  <c r="Y220" i="46"/>
  <c r="Y238" i="46"/>
  <c r="Y107" i="46"/>
  <c r="Y108" i="46"/>
  <c r="Y100" i="46"/>
  <c r="Y70" i="46"/>
  <c r="Y149" i="46"/>
  <c r="Y181" i="46"/>
  <c r="Y147" i="46"/>
  <c r="Y253" i="46"/>
  <c r="Y157" i="46"/>
  <c r="Y42" i="46"/>
  <c r="Y106" i="46"/>
  <c r="Y221" i="46"/>
  <c r="Y213" i="46"/>
  <c r="Y131" i="46"/>
  <c r="Y183" i="46"/>
  <c r="Y256" i="46"/>
  <c r="Y44" i="46"/>
  <c r="Y78" i="46"/>
  <c r="Y117" i="46"/>
  <c r="Y133" i="46"/>
  <c r="Y139" i="46"/>
  <c r="Y140" i="46"/>
  <c r="Y86" i="46"/>
  <c r="Y179" i="46"/>
  <c r="Y215" i="46"/>
  <c r="Y236" i="46"/>
  <c r="Y58" i="46"/>
  <c r="Y222" i="46"/>
  <c r="Y177" i="46"/>
  <c r="Y226" i="46"/>
  <c r="Y121" i="46"/>
  <c r="Y218" i="46"/>
  <c r="Y163" i="46"/>
  <c r="Y191" i="46"/>
  <c r="Y89" i="46"/>
  <c r="Y82" i="46"/>
  <c r="Y119" i="46"/>
  <c r="Y237" i="46"/>
  <c r="Y137" i="46"/>
  <c r="Y50" i="46"/>
  <c r="Y195" i="46"/>
  <c r="Y127" i="46"/>
  <c r="Y55" i="46"/>
  <c r="Y241" i="46"/>
  <c r="Y247" i="46"/>
  <c r="Y60" i="46"/>
  <c r="Y87" i="46"/>
  <c r="Y94" i="46"/>
  <c r="Y239" i="46"/>
  <c r="Y171" i="46"/>
  <c r="Y172" i="46"/>
  <c r="Y102" i="46"/>
  <c r="Y45" i="46"/>
  <c r="Y99" i="46"/>
  <c r="Y211" i="46"/>
  <c r="Y212" i="46"/>
  <c r="Y85" i="46"/>
  <c r="Y74" i="46"/>
  <c r="Y249" i="46"/>
  <c r="Y122" i="46"/>
  <c r="Y81" i="46"/>
  <c r="Y242" i="46"/>
  <c r="Y176" i="46"/>
  <c r="Y228" i="46"/>
  <c r="Y230" i="46"/>
  <c r="Y114" i="46"/>
  <c r="Y192" i="46"/>
  <c r="Y158" i="46"/>
  <c r="Y43" i="46"/>
  <c r="Y126" i="46"/>
  <c r="Y233" i="46"/>
  <c r="Y178" i="46"/>
  <c r="Y128" i="46"/>
  <c r="Y169" i="46"/>
  <c r="Y101" i="46"/>
  <c r="Y76" i="46"/>
  <c r="Y129" i="46"/>
  <c r="Y229" i="46"/>
  <c r="Y67" i="46"/>
  <c r="Y203" i="46"/>
  <c r="Y204" i="46"/>
  <c r="Y146" i="46"/>
  <c r="Y168" i="46"/>
  <c r="Y250" i="46"/>
  <c r="Y248" i="46"/>
  <c r="Y175" i="46"/>
  <c r="Y159" i="46"/>
  <c r="Y73" i="46"/>
  <c r="Y71" i="46"/>
  <c r="Y90" i="46"/>
  <c r="R66" i="53"/>
  <c r="X66" i="53" s="1"/>
  <c r="AW11" i="22"/>
  <c r="AW6" i="22"/>
  <c r="AW10" i="22"/>
  <c r="AW126" i="22"/>
  <c r="D88" i="22"/>
  <c r="D79" i="22"/>
  <c r="D71" i="22"/>
  <c r="D63" i="22"/>
  <c r="D56" i="22"/>
  <c r="D40" i="22"/>
  <c r="D30" i="22"/>
  <c r="D22" i="22"/>
  <c r="D13" i="22"/>
  <c r="D6" i="22"/>
  <c r="D87" i="22"/>
  <c r="D78" i="22"/>
  <c r="D62" i="22"/>
  <c r="D54" i="22"/>
  <c r="D39" i="22"/>
  <c r="D29" i="22"/>
  <c r="D21" i="22"/>
  <c r="D5" i="22"/>
  <c r="D102" i="22"/>
  <c r="D94" i="22"/>
  <c r="D77" i="22"/>
  <c r="D69" i="22"/>
  <c r="D61" i="22"/>
  <c r="D53" i="22"/>
  <c r="D36" i="22"/>
  <c r="D28" i="22"/>
  <c r="D20" i="22"/>
  <c r="D11" i="22"/>
  <c r="D101" i="22"/>
  <c r="D93" i="22"/>
  <c r="D41" i="22"/>
  <c r="D52" i="22"/>
  <c r="D35" i="22"/>
  <c r="D27" i="22"/>
  <c r="D19" i="22"/>
  <c r="D10" i="22"/>
  <c r="D100" i="22"/>
  <c r="D92" i="22"/>
  <c r="D84" i="22"/>
  <c r="D75" i="22"/>
  <c r="D67" i="22"/>
  <c r="D60" i="22"/>
  <c r="D51" i="22"/>
  <c r="D34" i="22"/>
  <c r="D26" i="22"/>
  <c r="D18" i="22"/>
  <c r="D9" i="22"/>
  <c r="D83" i="22"/>
  <c r="D74" i="22"/>
  <c r="D66" i="22"/>
  <c r="D59" i="22"/>
  <c r="D50" i="22"/>
  <c r="D33" i="22"/>
  <c r="D25" i="22"/>
  <c r="D98" i="22"/>
  <c r="D90" i="22"/>
  <c r="D82" i="22"/>
  <c r="D73" i="22"/>
  <c r="D65" i="22"/>
  <c r="D58" i="22"/>
  <c r="D49" i="22"/>
  <c r="D32" i="22"/>
  <c r="D24" i="22"/>
  <c r="D15" i="22"/>
  <c r="D8" i="22"/>
  <c r="D97" i="22"/>
  <c r="D89" i="22"/>
  <c r="D81" i="22"/>
  <c r="D72" i="22"/>
  <c r="D64" i="22"/>
  <c r="D57" i="22"/>
  <c r="D48" i="22"/>
  <c r="D23" i="22"/>
  <c r="D7" i="22"/>
  <c r="D85" i="22"/>
  <c r="D96" i="22"/>
  <c r="Y40" i="46"/>
  <c r="Y110" i="46"/>
  <c r="Y39" i="46"/>
  <c r="Y66" i="46"/>
  <c r="Y170" i="46"/>
  <c r="Y95" i="46"/>
  <c r="Y234" i="46"/>
  <c r="Y200" i="46"/>
  <c r="Y112" i="46"/>
  <c r="Y53" i="46"/>
  <c r="Y138" i="46"/>
  <c r="Y54" i="46"/>
  <c r="Y104" i="46"/>
  <c r="Y206" i="46"/>
  <c r="Y199" i="46"/>
  <c r="Y135" i="46"/>
  <c r="Y245" i="46"/>
  <c r="Y120" i="46"/>
  <c r="Y219" i="46"/>
  <c r="Y62" i="46"/>
  <c r="Y148" i="46"/>
  <c r="Y151" i="46"/>
  <c r="Y251" i="46"/>
  <c r="Y252" i="46"/>
  <c r="Y166" i="46"/>
  <c r="Y189" i="46"/>
  <c r="Y59" i="46"/>
  <c r="Y162" i="46"/>
  <c r="Y184" i="46"/>
  <c r="Y180" i="46"/>
  <c r="Y144" i="46"/>
  <c r="Y136" i="46"/>
  <c r="Y93" i="46"/>
  <c r="Y92" i="46"/>
  <c r="Y130" i="46"/>
  <c r="Y240" i="46"/>
  <c r="Y113" i="46"/>
  <c r="Y246" i="46"/>
  <c r="Y167" i="46"/>
  <c r="Y38" i="46"/>
  <c r="Y123" i="46"/>
  <c r="Y52" i="46"/>
  <c r="Y72" i="46"/>
  <c r="AY50" i="69"/>
  <c r="L67" i="57"/>
  <c r="AG66" i="53"/>
  <c r="AH66" i="53"/>
  <c r="AT66" i="53"/>
  <c r="N67" i="57"/>
  <c r="G67" i="53"/>
  <c r="AH50" i="69"/>
  <c r="AD66" i="53"/>
  <c r="D17" i="22"/>
  <c r="Q66" i="53"/>
  <c r="H67" i="53"/>
  <c r="C67" i="53"/>
  <c r="E67" i="53"/>
  <c r="J67" i="53"/>
  <c r="I67" i="53"/>
  <c r="P67" i="53"/>
  <c r="AK66" i="52" a="1"/>
  <c r="AK66" i="52" s="1"/>
  <c r="B68" i="53" s="1"/>
  <c r="L67" i="53"/>
  <c r="F67" i="53"/>
  <c r="K67" i="53"/>
  <c r="D67" i="53"/>
  <c r="L117" i="22"/>
  <c r="D31" i="22"/>
  <c r="D14" i="22"/>
  <c r="D67" i="57"/>
  <c r="K67" i="57"/>
  <c r="I67" i="57"/>
  <c r="H67" i="57"/>
  <c r="G67" i="57"/>
  <c r="E67" i="57"/>
  <c r="C67" i="57"/>
  <c r="F67" i="57"/>
  <c r="J67" i="57"/>
  <c r="AN66" i="55" a="1"/>
  <c r="AN66" i="55" s="1"/>
  <c r="B68" i="57" s="1"/>
  <c r="R50" i="69"/>
  <c r="S50" i="69" s="1"/>
  <c r="Y50" i="69" s="1"/>
  <c r="AE50" i="69"/>
  <c r="C52" i="69"/>
  <c r="P52" i="69" s="1"/>
  <c r="AR52" i="67" a="1"/>
  <c r="AR52" i="67" s="1"/>
  <c r="B53" i="69"/>
  <c r="L53" i="69" s="1"/>
  <c r="D51" i="69"/>
  <c r="E51" i="69" s="1"/>
  <c r="F51" i="69" s="1"/>
  <c r="G51" i="69" s="1"/>
  <c r="H51" i="69" s="1"/>
  <c r="I51" i="69" s="1"/>
  <c r="J51" i="69" s="1"/>
  <c r="K51" i="69" s="1"/>
  <c r="M51" i="69" s="1"/>
  <c r="D70" i="22"/>
  <c r="AK27" i="22"/>
  <c r="C65" i="36" s="1"/>
  <c r="AK24" i="22"/>
  <c r="C62" i="36" s="1"/>
  <c r="AK23" i="22"/>
  <c r="C61" i="36" s="1"/>
  <c r="AK22" i="22"/>
  <c r="C60" i="36" s="1"/>
  <c r="AK28" i="22"/>
  <c r="C66" i="36" s="1"/>
  <c r="AK21" i="22"/>
  <c r="C59" i="36" s="1"/>
  <c r="C64" i="36"/>
  <c r="AK25" i="22"/>
  <c r="C63" i="36" s="1"/>
  <c r="AK8" i="22"/>
  <c r="AK7" i="22"/>
  <c r="AW87" i="22"/>
  <c r="AK6" i="22"/>
  <c r="AK5" i="22"/>
  <c r="AK10" i="22"/>
  <c r="AK11" i="22"/>
  <c r="AW12" i="22"/>
  <c r="D76" i="22"/>
  <c r="D12" i="22"/>
  <c r="AW56" i="22"/>
  <c r="AW96" i="22"/>
  <c r="AW33" i="22"/>
  <c r="AW15" i="22"/>
  <c r="AW97" i="22"/>
  <c r="AW8" i="22"/>
  <c r="AW54" i="22"/>
  <c r="AW53" i="22"/>
  <c r="AW48" i="22"/>
  <c r="AW43" i="22"/>
  <c r="AW40" i="22"/>
  <c r="AW39" i="22"/>
  <c r="AW59" i="22"/>
  <c r="AW14" i="22"/>
  <c r="AW51" i="22"/>
  <c r="AW50" i="22"/>
  <c r="AW18" i="22"/>
  <c r="AW49" i="22"/>
  <c r="AW47" i="22"/>
  <c r="AW45" i="22"/>
  <c r="AW44" i="22"/>
  <c r="AW7" i="22"/>
  <c r="AW17" i="22"/>
  <c r="AW36" i="22"/>
  <c r="AW35" i="22"/>
  <c r="AW16" i="22"/>
  <c r="AW13" i="22"/>
  <c r="AW46" i="22"/>
  <c r="AW42" i="22"/>
  <c r="AW41" i="22"/>
  <c r="AW157" i="22"/>
  <c r="AW156" i="22"/>
  <c r="AW135" i="22"/>
  <c r="AW158" i="22"/>
  <c r="AW137" i="22"/>
  <c r="AW132" i="22"/>
  <c r="AW138" i="22"/>
  <c r="AW130" i="22"/>
  <c r="AW92" i="22"/>
  <c r="AW129" i="22"/>
  <c r="AW91" i="22"/>
  <c r="AW127" i="22"/>
  <c r="AW89" i="22"/>
  <c r="AW123" i="22"/>
  <c r="AW95" i="22"/>
  <c r="AW94" i="22"/>
  <c r="AW37" i="22"/>
  <c r="AW128" i="22"/>
  <c r="AW90" i="22"/>
  <c r="AW122" i="22"/>
  <c r="AW136" i="22"/>
  <c r="I11" i="71"/>
  <c r="R11" i="71" s="1"/>
  <c r="W20" i="46" l="1"/>
  <c r="X20" i="46" s="1"/>
  <c r="W19" i="46"/>
  <c r="X19" i="46" s="1"/>
  <c r="W18" i="46"/>
  <c r="X18" i="46" s="1"/>
  <c r="W17" i="46"/>
  <c r="X17" i="46" s="1"/>
  <c r="S15" i="71"/>
  <c r="S13" i="71"/>
  <c r="T13" i="71" s="1"/>
  <c r="AB13" i="71" s="1"/>
  <c r="X18" i="22" s="1"/>
  <c r="S14" i="71"/>
  <c r="S16" i="71"/>
  <c r="T16" i="71" s="1"/>
  <c r="AB16" i="71" s="1"/>
  <c r="W15" i="46"/>
  <c r="X15" i="46" s="1"/>
  <c r="AC11" i="11"/>
  <c r="X65" i="57"/>
  <c r="AB65" i="57" s="1"/>
  <c r="AG67" i="57"/>
  <c r="AA64" i="57"/>
  <c r="M68" i="53"/>
  <c r="AC68" i="53" s="1"/>
  <c r="O68" i="53"/>
  <c r="AP52" i="69"/>
  <c r="N52" i="69"/>
  <c r="U52" i="69" s="1"/>
  <c r="AF64" i="57"/>
  <c r="R66" i="57"/>
  <c r="AQ66" i="57"/>
  <c r="AD66" i="57"/>
  <c r="AJ66" i="57"/>
  <c r="Q66" i="57"/>
  <c r="T66" i="57" s="1"/>
  <c r="AC66" i="57"/>
  <c r="AE66" i="57"/>
  <c r="M67" i="57"/>
  <c r="AK67" i="57" s="1"/>
  <c r="N68" i="53"/>
  <c r="AA66" i="53"/>
  <c r="AB66" i="53"/>
  <c r="S25" i="46"/>
  <c r="T25" i="46" s="1"/>
  <c r="S24" i="46"/>
  <c r="T24" i="46" s="1"/>
  <c r="S23" i="46"/>
  <c r="T23" i="46" s="1"/>
  <c r="S22" i="46"/>
  <c r="T22" i="46" s="1"/>
  <c r="S21" i="46"/>
  <c r="T21" i="46" s="1"/>
  <c r="S20" i="46"/>
  <c r="T20" i="46" s="1"/>
  <c r="S19" i="46"/>
  <c r="T19" i="46" s="1"/>
  <c r="S18" i="46"/>
  <c r="T18" i="46" s="1"/>
  <c r="S17" i="46"/>
  <c r="T17" i="46" s="1"/>
  <c r="V16" i="46"/>
  <c r="S15" i="46"/>
  <c r="T15" i="46" s="1"/>
  <c r="V14" i="46"/>
  <c r="S173" i="46"/>
  <c r="T173" i="46" s="1"/>
  <c r="Y173" i="46" s="1"/>
  <c r="S11" i="71"/>
  <c r="T11" i="71" s="1"/>
  <c r="T43" i="71"/>
  <c r="T94" i="71"/>
  <c r="T123" i="71"/>
  <c r="T126" i="71"/>
  <c r="T163" i="71"/>
  <c r="T202" i="71"/>
  <c r="T50" i="71"/>
  <c r="T209" i="71"/>
  <c r="T24" i="71"/>
  <c r="T97" i="71"/>
  <c r="T208" i="71"/>
  <c r="T61" i="71"/>
  <c r="T200" i="71"/>
  <c r="T245" i="71"/>
  <c r="T128" i="71"/>
  <c r="T137" i="71"/>
  <c r="T183" i="71"/>
  <c r="T68" i="71"/>
  <c r="T186" i="71"/>
  <c r="T35" i="71"/>
  <c r="T22" i="71"/>
  <c r="T82" i="71"/>
  <c r="T194" i="71"/>
  <c r="T56" i="71"/>
  <c r="T141" i="71"/>
  <c r="T120" i="71"/>
  <c r="T93" i="71"/>
  <c r="T41" i="71"/>
  <c r="T192" i="71"/>
  <c r="T205" i="71"/>
  <c r="T154" i="71"/>
  <c r="T30" i="71"/>
  <c r="T58" i="71"/>
  <c r="T182" i="71"/>
  <c r="T236" i="71"/>
  <c r="T185" i="71"/>
  <c r="T130" i="71"/>
  <c r="T101" i="71"/>
  <c r="T152" i="71"/>
  <c r="T33" i="71"/>
  <c r="T211" i="71"/>
  <c r="T221" i="71"/>
  <c r="T143" i="71"/>
  <c r="T164" i="71"/>
  <c r="T95" i="71"/>
  <c r="T75" i="71"/>
  <c r="T166" i="71"/>
  <c r="T90" i="71"/>
  <c r="T242" i="71"/>
  <c r="T122" i="71"/>
  <c r="T249" i="71"/>
  <c r="T18" i="71"/>
  <c r="T149" i="71"/>
  <c r="T216" i="71"/>
  <c r="T65" i="71"/>
  <c r="T144" i="71"/>
  <c r="T29" i="71"/>
  <c r="T136" i="71"/>
  <c r="T181" i="71"/>
  <c r="T167" i="71"/>
  <c r="T124" i="71"/>
  <c r="T165" i="71"/>
  <c r="T112" i="71"/>
  <c r="T161" i="71"/>
  <c r="T246" i="71"/>
  <c r="T147" i="71"/>
  <c r="T26" i="71"/>
  <c r="T225" i="71"/>
  <c r="T96" i="71"/>
  <c r="T125" i="71"/>
  <c r="T69" i="71"/>
  <c r="T251" i="71"/>
  <c r="T103" i="71"/>
  <c r="T153" i="71"/>
  <c r="T231" i="71"/>
  <c r="T92" i="71"/>
  <c r="T63" i="71"/>
  <c r="T40" i="71"/>
  <c r="T117" i="71"/>
  <c r="T240" i="71"/>
  <c r="T77" i="71"/>
  <c r="T232" i="71"/>
  <c r="T25" i="71"/>
  <c r="T160" i="71"/>
  <c r="T173" i="71"/>
  <c r="T215" i="71"/>
  <c r="T84" i="71"/>
  <c r="T239" i="71"/>
  <c r="T171" i="71"/>
  <c r="T102" i="71"/>
  <c r="T115" i="71"/>
  <c r="T238" i="71"/>
  <c r="T252" i="71"/>
  <c r="T218" i="71"/>
  <c r="T180" i="71"/>
  <c r="T113" i="71"/>
  <c r="T32" i="71"/>
  <c r="T57" i="71"/>
  <c r="T224" i="71"/>
  <c r="T237" i="71"/>
  <c r="T111" i="71"/>
  <c r="T148" i="71"/>
  <c r="T39" i="71"/>
  <c r="T116" i="71"/>
  <c r="T178" i="71"/>
  <c r="T28" i="71"/>
  <c r="T223" i="71"/>
  <c r="T60" i="71"/>
  <c r="T184" i="71"/>
  <c r="T49" i="71"/>
  <c r="T243" i="71"/>
  <c r="T253" i="71"/>
  <c r="T235" i="71"/>
  <c r="T145" i="71"/>
  <c r="T135" i="71"/>
  <c r="T108" i="71"/>
  <c r="T198" i="71"/>
  <c r="T20" i="71"/>
  <c r="T222" i="71"/>
  <c r="T51" i="71"/>
  <c r="T38" i="71"/>
  <c r="T98" i="71"/>
  <c r="T226" i="71"/>
  <c r="T72" i="71"/>
  <c r="T169" i="71"/>
  <c r="T176" i="71"/>
  <c r="T45" i="71"/>
  <c r="T168" i="71"/>
  <c r="T213" i="71"/>
  <c r="T227" i="71"/>
  <c r="T156" i="71"/>
  <c r="T52" i="71"/>
  <c r="T175" i="71"/>
  <c r="T83" i="71"/>
  <c r="T70" i="71"/>
  <c r="T107" i="71"/>
  <c r="T142" i="71"/>
  <c r="T233" i="71"/>
  <c r="T64" i="71"/>
  <c r="T37" i="71"/>
  <c r="T172" i="71"/>
  <c r="T62" i="71"/>
  <c r="T229" i="71"/>
  <c r="T219" i="71"/>
  <c r="T197" i="71"/>
  <c r="T87" i="71"/>
  <c r="T105" i="71"/>
  <c r="T199" i="71"/>
  <c r="T76" i="71"/>
  <c r="T47" i="71"/>
  <c r="T91" i="71"/>
  <c r="T78" i="71"/>
  <c r="T139" i="71"/>
  <c r="T110" i="71"/>
  <c r="T131" i="71"/>
  <c r="T174" i="71"/>
  <c r="T34" i="71"/>
  <c r="T177" i="71"/>
  <c r="T248" i="71"/>
  <c r="T81" i="71"/>
  <c r="T151" i="71"/>
  <c r="T189" i="71"/>
  <c r="T119" i="71"/>
  <c r="T132" i="71"/>
  <c r="T79" i="71"/>
  <c r="T59" i="71"/>
  <c r="T134" i="71"/>
  <c r="T179" i="71"/>
  <c r="T158" i="71"/>
  <c r="T19" i="71"/>
  <c r="T234" i="71"/>
  <c r="T66" i="71"/>
  <c r="T241" i="71"/>
  <c r="T244" i="71"/>
  <c r="T89" i="71"/>
  <c r="T159" i="71"/>
  <c r="T71" i="71"/>
  <c r="T31" i="71"/>
  <c r="T228" i="71"/>
  <c r="T247" i="71"/>
  <c r="T100" i="71"/>
  <c r="T23" i="71"/>
  <c r="T203" i="71"/>
  <c r="T150" i="71"/>
  <c r="T195" i="71"/>
  <c r="T191" i="71"/>
  <c r="T106" i="71"/>
  <c r="T250" i="71"/>
  <c r="T42" i="71"/>
  <c r="T14" i="71"/>
  <c r="AB14" i="71" s="1"/>
  <c r="T204" i="71"/>
  <c r="T157" i="71"/>
  <c r="T15" i="71"/>
  <c r="AB15" i="71" s="1"/>
  <c r="T85" i="71"/>
  <c r="T104" i="71"/>
  <c r="T17" i="71"/>
  <c r="T55" i="71"/>
  <c r="T140" i="71"/>
  <c r="T214" i="71"/>
  <c r="T44" i="71"/>
  <c r="T255" i="71"/>
  <c r="T114" i="71"/>
  <c r="T46" i="71"/>
  <c r="T74" i="71"/>
  <c r="T210" i="71"/>
  <c r="T138" i="71"/>
  <c r="T217" i="71"/>
  <c r="T162" i="71"/>
  <c r="T121" i="71"/>
  <c r="T188" i="71"/>
  <c r="T187" i="71"/>
  <c r="T230" i="71"/>
  <c r="T36" i="71"/>
  <c r="T254" i="71"/>
  <c r="T67" i="71"/>
  <c r="T54" i="71"/>
  <c r="T170" i="71"/>
  <c r="T118" i="71"/>
  <c r="T88" i="71"/>
  <c r="T201" i="71"/>
  <c r="T212" i="71"/>
  <c r="T133" i="71"/>
  <c r="T48" i="71"/>
  <c r="T73" i="71"/>
  <c r="T256" i="71"/>
  <c r="T21" i="71"/>
  <c r="T127" i="71"/>
  <c r="T129" i="71"/>
  <c r="T207" i="71"/>
  <c r="T99" i="71"/>
  <c r="T86" i="71"/>
  <c r="T155" i="71"/>
  <c r="T206" i="71"/>
  <c r="T220" i="71"/>
  <c r="T190" i="71"/>
  <c r="T146" i="71"/>
  <c r="T193" i="71"/>
  <c r="T80" i="71"/>
  <c r="T109" i="71"/>
  <c r="T196" i="71"/>
  <c r="T53" i="71"/>
  <c r="AG11" i="59"/>
  <c r="X12" i="46"/>
  <c r="AF51" i="69"/>
  <c r="Q51" i="69"/>
  <c r="O68" i="57"/>
  <c r="P68" i="57"/>
  <c r="X13" i="46"/>
  <c r="S13" i="46"/>
  <c r="T13" i="46" s="1"/>
  <c r="S16" i="46"/>
  <c r="T16" i="46" s="1"/>
  <c r="AC49" i="69"/>
  <c r="AD49" i="69" s="1"/>
  <c r="V27" i="71"/>
  <c r="S27" i="71"/>
  <c r="V12" i="71"/>
  <c r="W12" i="71" s="1"/>
  <c r="X12" i="71" s="1"/>
  <c r="T12" i="71"/>
  <c r="AB50" i="69"/>
  <c r="AG50" i="69"/>
  <c r="O53" i="69"/>
  <c r="AO52" i="69"/>
  <c r="S14" i="46"/>
  <c r="T14" i="46" s="1"/>
  <c r="S12" i="46"/>
  <c r="T12" i="46" s="1"/>
  <c r="AE67" i="53"/>
  <c r="AF66" i="53"/>
  <c r="Y210" i="46"/>
  <c r="R67" i="53"/>
  <c r="X67" i="53" s="1"/>
  <c r="AQ127" i="11"/>
  <c r="Y255" i="46"/>
  <c r="Y254" i="46"/>
  <c r="AY51" i="69"/>
  <c r="L68" i="57"/>
  <c r="AG67" i="53"/>
  <c r="AH67" i="53"/>
  <c r="AT67" i="53"/>
  <c r="N68" i="57"/>
  <c r="H68" i="53"/>
  <c r="AH51" i="69"/>
  <c r="Q67" i="53"/>
  <c r="AD67" i="53"/>
  <c r="C68" i="53"/>
  <c r="P68" i="53"/>
  <c r="E68" i="53"/>
  <c r="G68" i="53"/>
  <c r="L68" i="53"/>
  <c r="AK67" i="52" a="1"/>
  <c r="AK67" i="52" s="1"/>
  <c r="B69" i="53" s="1"/>
  <c r="I68" i="53"/>
  <c r="K68" i="53"/>
  <c r="F68" i="53"/>
  <c r="J68" i="53"/>
  <c r="D68" i="53"/>
  <c r="F68" i="57"/>
  <c r="K68" i="57"/>
  <c r="I68" i="57"/>
  <c r="C68" i="57"/>
  <c r="D68" i="57"/>
  <c r="G68" i="57"/>
  <c r="E68" i="57"/>
  <c r="J68" i="57"/>
  <c r="H68" i="57"/>
  <c r="AN67" i="55" a="1"/>
  <c r="AN67" i="55" s="1"/>
  <c r="B69" i="57" s="1"/>
  <c r="L130" i="22"/>
  <c r="R51" i="69"/>
  <c r="S51" i="69" s="1"/>
  <c r="Y51" i="69" s="1"/>
  <c r="AE51" i="69"/>
  <c r="C53" i="69"/>
  <c r="P53" i="69" s="1"/>
  <c r="AR53" i="67" a="1"/>
  <c r="AR53" i="67" s="1"/>
  <c r="B54" i="69"/>
  <c r="L54" i="69" s="1"/>
  <c r="D52" i="69"/>
  <c r="E52" i="69" s="1"/>
  <c r="F52" i="69" s="1"/>
  <c r="G52" i="69" s="1"/>
  <c r="H52" i="69" s="1"/>
  <c r="I52" i="69" s="1"/>
  <c r="J52" i="69" s="1"/>
  <c r="K52" i="69" s="1"/>
  <c r="M52" i="69" s="1"/>
  <c r="AB12" i="71" l="1"/>
  <c r="X135" i="22" s="1"/>
  <c r="W16" i="46"/>
  <c r="X16" i="46" s="1"/>
  <c r="Y16" i="46" s="1"/>
  <c r="L107" i="22" s="1"/>
  <c r="W14" i="46"/>
  <c r="X14" i="46" s="1"/>
  <c r="Y14" i="46" s="1"/>
  <c r="X32" i="22"/>
  <c r="X87" i="22"/>
  <c r="AD11" i="11"/>
  <c r="AG68" i="57"/>
  <c r="X66" i="57"/>
  <c r="AB66" i="57" s="1"/>
  <c r="AA65" i="57"/>
  <c r="M69" i="53"/>
  <c r="AC69" i="53" s="1"/>
  <c r="O69" i="53"/>
  <c r="AP53" i="69"/>
  <c r="N53" i="69"/>
  <c r="U53" i="69" s="1"/>
  <c r="Q67" i="57"/>
  <c r="T67" i="57" s="1"/>
  <c r="AF65" i="57"/>
  <c r="AD67" i="57"/>
  <c r="AE67" i="57"/>
  <c r="R67" i="57"/>
  <c r="AQ67" i="57"/>
  <c r="AJ67" i="57"/>
  <c r="AC67" i="57"/>
  <c r="M68" i="57"/>
  <c r="AC68" i="57" s="1"/>
  <c r="Z11" i="59"/>
  <c r="N69" i="53"/>
  <c r="AA67" i="53"/>
  <c r="AB67" i="53"/>
  <c r="H8" i="107"/>
  <c r="AA23" i="71"/>
  <c r="AA20" i="71"/>
  <c r="AA13" i="71"/>
  <c r="AA16" i="71"/>
  <c r="AA22" i="71"/>
  <c r="V11" i="71"/>
  <c r="AA18" i="71"/>
  <c r="AA14" i="71"/>
  <c r="AA19" i="71"/>
  <c r="AA196" i="71"/>
  <c r="AA146" i="71"/>
  <c r="AA155" i="71"/>
  <c r="AA129" i="71"/>
  <c r="AA73" i="71"/>
  <c r="AA201" i="71"/>
  <c r="AA54" i="71"/>
  <c r="AA230" i="71"/>
  <c r="AA162" i="71"/>
  <c r="AA74" i="71"/>
  <c r="AA44" i="71"/>
  <c r="AA17" i="71"/>
  <c r="AA157" i="71"/>
  <c r="AA250" i="71"/>
  <c r="AA150" i="71"/>
  <c r="AA247" i="71"/>
  <c r="AA159" i="71"/>
  <c r="AA66" i="71"/>
  <c r="AA179" i="71"/>
  <c r="AA132" i="71"/>
  <c r="AA81" i="71"/>
  <c r="AA174" i="71"/>
  <c r="AA78" i="71"/>
  <c r="AA199" i="71"/>
  <c r="AA219" i="71"/>
  <c r="AA37" i="71"/>
  <c r="AA107" i="71"/>
  <c r="AA52" i="71"/>
  <c r="AA213" i="71"/>
  <c r="AA169" i="71"/>
  <c r="AA38" i="71"/>
  <c r="AA198" i="71"/>
  <c r="AA235" i="71"/>
  <c r="AA184" i="71"/>
  <c r="AA178" i="71"/>
  <c r="AA111" i="71"/>
  <c r="AA32" i="71"/>
  <c r="AA252" i="71"/>
  <c r="AA171" i="71"/>
  <c r="AA173" i="71"/>
  <c r="AA77" i="71"/>
  <c r="AA63" i="71"/>
  <c r="AA103" i="71"/>
  <c r="AA96" i="71"/>
  <c r="AA246" i="71"/>
  <c r="AA124" i="71"/>
  <c r="AA29" i="71"/>
  <c r="AA149" i="71"/>
  <c r="AA242" i="71"/>
  <c r="AA95" i="71"/>
  <c r="AA211" i="71"/>
  <c r="AA130" i="71"/>
  <c r="AA58" i="71"/>
  <c r="AA192" i="71"/>
  <c r="AA120" i="71"/>
  <c r="AA82" i="71"/>
  <c r="AA68" i="71"/>
  <c r="AA245" i="71"/>
  <c r="AA97" i="71"/>
  <c r="AA202" i="71"/>
  <c r="AA94" i="71"/>
  <c r="AA109" i="71"/>
  <c r="AA190" i="71"/>
  <c r="AA86" i="71"/>
  <c r="AA127" i="71"/>
  <c r="AA48" i="71"/>
  <c r="AA88" i="71"/>
  <c r="AA67" i="71"/>
  <c r="AA187" i="71"/>
  <c r="AA217" i="71"/>
  <c r="AA46" i="71"/>
  <c r="AA214" i="71"/>
  <c r="AA104" i="71"/>
  <c r="AA204" i="71"/>
  <c r="AA106" i="71"/>
  <c r="AA203" i="71"/>
  <c r="AA228" i="71"/>
  <c r="AA89" i="71"/>
  <c r="AA234" i="71"/>
  <c r="AA134" i="71"/>
  <c r="AA119" i="71"/>
  <c r="AA248" i="71"/>
  <c r="AA131" i="71"/>
  <c r="AA91" i="71"/>
  <c r="AA105" i="71"/>
  <c r="AA229" i="71"/>
  <c r="AA64" i="71"/>
  <c r="AA70" i="71"/>
  <c r="AA168" i="71"/>
  <c r="AA72" i="71"/>
  <c r="AA51" i="71"/>
  <c r="AA108" i="71"/>
  <c r="AA253" i="71"/>
  <c r="AA60" i="71"/>
  <c r="AA116" i="71"/>
  <c r="AA237" i="71"/>
  <c r="AA113" i="71"/>
  <c r="AA238" i="71"/>
  <c r="AA239" i="71"/>
  <c r="AA160" i="71"/>
  <c r="AA240" i="71"/>
  <c r="AA92" i="71"/>
  <c r="AA251" i="71"/>
  <c r="AA225" i="71"/>
  <c r="AA161" i="71"/>
  <c r="AA167" i="71"/>
  <c r="AA144" i="71"/>
  <c r="AA90" i="71"/>
  <c r="AA164" i="71"/>
  <c r="AA33" i="71"/>
  <c r="AA185" i="71"/>
  <c r="AA30" i="71"/>
  <c r="AA41" i="71"/>
  <c r="AA141" i="71"/>
  <c r="AA183" i="71"/>
  <c r="AA200" i="71"/>
  <c r="AA24" i="71"/>
  <c r="AA163" i="71"/>
  <c r="AA43" i="71"/>
  <c r="AA80" i="71"/>
  <c r="AA220" i="71"/>
  <c r="AA99" i="71"/>
  <c r="AA21" i="71"/>
  <c r="AA133" i="71"/>
  <c r="AA118" i="71"/>
  <c r="AA254" i="71"/>
  <c r="AA188" i="71"/>
  <c r="AA138" i="71"/>
  <c r="AA114" i="71"/>
  <c r="AA140" i="71"/>
  <c r="AA85" i="71"/>
  <c r="AA191" i="71"/>
  <c r="AA31" i="71"/>
  <c r="AA244" i="71"/>
  <c r="AA59" i="71"/>
  <c r="AA189" i="71"/>
  <c r="AA177" i="71"/>
  <c r="AA110" i="71"/>
  <c r="AA47" i="71"/>
  <c r="AA87" i="71"/>
  <c r="AA62" i="71"/>
  <c r="AA233" i="71"/>
  <c r="AA83" i="71"/>
  <c r="AA156" i="71"/>
  <c r="AA45" i="71"/>
  <c r="AA226" i="71"/>
  <c r="AA222" i="71"/>
  <c r="AA135" i="71"/>
  <c r="AA243" i="71"/>
  <c r="AA223" i="71"/>
  <c r="AA39" i="71"/>
  <c r="AA224" i="71"/>
  <c r="AA180" i="71"/>
  <c r="AA115" i="71"/>
  <c r="AA84" i="71"/>
  <c r="AA25" i="71"/>
  <c r="AA117" i="71"/>
  <c r="AA231" i="71"/>
  <c r="AA69" i="71"/>
  <c r="AA26" i="71"/>
  <c r="AA112" i="71"/>
  <c r="AA181" i="71"/>
  <c r="AA65" i="71"/>
  <c r="AA249" i="71"/>
  <c r="AA166" i="71"/>
  <c r="AA143" i="71"/>
  <c r="AA152" i="71"/>
  <c r="AA236" i="71"/>
  <c r="AA154" i="71"/>
  <c r="AA56" i="71"/>
  <c r="AA35" i="71"/>
  <c r="AA137" i="71"/>
  <c r="AA61" i="71"/>
  <c r="AA209" i="71"/>
  <c r="AA126" i="71"/>
  <c r="AA53" i="71"/>
  <c r="AA193" i="71"/>
  <c r="AA206" i="71"/>
  <c r="AA207" i="71"/>
  <c r="AA256" i="71"/>
  <c r="AA212" i="71"/>
  <c r="AA170" i="71"/>
  <c r="AA36" i="71"/>
  <c r="AA121" i="71"/>
  <c r="AA210" i="71"/>
  <c r="AA255" i="71"/>
  <c r="AA55" i="71"/>
  <c r="AA42" i="71"/>
  <c r="AA195" i="71"/>
  <c r="AA100" i="71"/>
  <c r="AA71" i="71"/>
  <c r="AA241" i="71"/>
  <c r="AA158" i="71"/>
  <c r="AA79" i="71"/>
  <c r="AA151" i="71"/>
  <c r="AA34" i="71"/>
  <c r="AA139" i="71"/>
  <c r="AA76" i="71"/>
  <c r="AA197" i="71"/>
  <c r="AA172" i="71"/>
  <c r="AA142" i="71"/>
  <c r="AA175" i="71"/>
  <c r="AA227" i="71"/>
  <c r="AA176" i="71"/>
  <c r="AA98" i="71"/>
  <c r="AA145" i="71"/>
  <c r="AA49" i="71"/>
  <c r="AA28" i="71"/>
  <c r="AA148" i="71"/>
  <c r="AA57" i="71"/>
  <c r="AA218" i="71"/>
  <c r="AA102" i="71"/>
  <c r="AA215" i="71"/>
  <c r="AA232" i="71"/>
  <c r="AA40" i="71"/>
  <c r="AA153" i="71"/>
  <c r="AA125" i="71"/>
  <c r="AA147" i="71"/>
  <c r="AA165" i="71"/>
  <c r="AA136" i="71"/>
  <c r="AA216" i="71"/>
  <c r="AA122" i="71"/>
  <c r="AA75" i="71"/>
  <c r="AA221" i="71"/>
  <c r="AA101" i="71"/>
  <c r="AA182" i="71"/>
  <c r="AA205" i="71"/>
  <c r="AA93" i="71"/>
  <c r="AA194" i="71"/>
  <c r="AA186" i="71"/>
  <c r="AA128" i="71"/>
  <c r="AA208" i="71"/>
  <c r="AA50" i="71"/>
  <c r="AA123" i="71"/>
  <c r="T27" i="71"/>
  <c r="AF52" i="69"/>
  <c r="Q52" i="69"/>
  <c r="O69" i="57"/>
  <c r="P69" i="57"/>
  <c r="AC50" i="69"/>
  <c r="AD50" i="69" s="1"/>
  <c r="O2" i="71"/>
  <c r="AA12" i="71"/>
  <c r="AB51" i="69"/>
  <c r="AG51" i="69"/>
  <c r="O54" i="69"/>
  <c r="AO53" i="69"/>
  <c r="AE68" i="53"/>
  <c r="AF67" i="53"/>
  <c r="Y32" i="46"/>
  <c r="Y17" i="46"/>
  <c r="L109" i="22" s="1"/>
  <c r="Y33" i="46"/>
  <c r="Y30" i="46"/>
  <c r="Y26" i="46"/>
  <c r="Y20" i="46"/>
  <c r="L106" i="22" s="1"/>
  <c r="Y29" i="46"/>
  <c r="Y36" i="46"/>
  <c r="Y27" i="46"/>
  <c r="Y28" i="46"/>
  <c r="Y34" i="46"/>
  <c r="Y35" i="46"/>
  <c r="Y19" i="46"/>
  <c r="Y25" i="46"/>
  <c r="Y22" i="46"/>
  <c r="L113" i="22" s="1"/>
  <c r="Y31" i="46"/>
  <c r="Y23" i="46"/>
  <c r="Y18" i="46"/>
  <c r="Y24" i="46"/>
  <c r="Y21" i="46"/>
  <c r="R68" i="53"/>
  <c r="X68" i="53" s="1"/>
  <c r="L115" i="22"/>
  <c r="L119" i="22"/>
  <c r="Y15" i="46"/>
  <c r="Y12" i="46"/>
  <c r="Y13" i="46"/>
  <c r="AY52" i="69"/>
  <c r="L69" i="57"/>
  <c r="AG68" i="53"/>
  <c r="AH68" i="53"/>
  <c r="AT68" i="53"/>
  <c r="N69" i="57"/>
  <c r="C69" i="53"/>
  <c r="AH52" i="69"/>
  <c r="Q68" i="53"/>
  <c r="AD68" i="53"/>
  <c r="P69" i="53"/>
  <c r="L69" i="53"/>
  <c r="I69" i="53"/>
  <c r="E69" i="53"/>
  <c r="F69" i="53"/>
  <c r="H69" i="53"/>
  <c r="K69" i="53"/>
  <c r="G69" i="53"/>
  <c r="J69" i="53"/>
  <c r="D69" i="53"/>
  <c r="AK68" i="52" a="1"/>
  <c r="AK68" i="52" s="1"/>
  <c r="B70" i="53" s="1"/>
  <c r="I69" i="57"/>
  <c r="E69" i="57"/>
  <c r="D69" i="57"/>
  <c r="C69" i="57"/>
  <c r="K69" i="57"/>
  <c r="H69" i="57"/>
  <c r="G69" i="57"/>
  <c r="J69" i="57"/>
  <c r="F69" i="57"/>
  <c r="AN68" i="55" a="1"/>
  <c r="AN68" i="55" s="1"/>
  <c r="B70" i="57" s="1"/>
  <c r="AR54" i="67" a="1"/>
  <c r="AR54" i="67" s="1"/>
  <c r="B55" i="69"/>
  <c r="L55" i="69" s="1"/>
  <c r="D53" i="69"/>
  <c r="E53" i="69" s="1"/>
  <c r="F53" i="69" s="1"/>
  <c r="G53" i="69" s="1"/>
  <c r="H53" i="69" s="1"/>
  <c r="I53" i="69" s="1"/>
  <c r="J53" i="69" s="1"/>
  <c r="K53" i="69" s="1"/>
  <c r="M53" i="69" s="1"/>
  <c r="C54" i="69"/>
  <c r="P54" i="69" s="1"/>
  <c r="R52" i="69"/>
  <c r="S52" i="69" s="1"/>
  <c r="Y52" i="69" s="1"/>
  <c r="AE52" i="69"/>
  <c r="AA66" i="57" l="1"/>
  <c r="AF66" i="57"/>
  <c r="AB52" i="69"/>
  <c r="AC52" i="69" s="1"/>
  <c r="AD52" i="69" s="1"/>
  <c r="AG69" i="57"/>
  <c r="X67" i="57"/>
  <c r="AB67" i="57" s="1"/>
  <c r="M70" i="53"/>
  <c r="AC70" i="53" s="1"/>
  <c r="O70" i="53"/>
  <c r="T30" i="22"/>
  <c r="AP54" i="69"/>
  <c r="N54" i="69"/>
  <c r="U54" i="69" s="1"/>
  <c r="R68" i="57"/>
  <c r="AQ68" i="57"/>
  <c r="AK68" i="57"/>
  <c r="AD68" i="57"/>
  <c r="AJ68" i="57"/>
  <c r="AE68" i="57"/>
  <c r="M69" i="57"/>
  <c r="AK69" i="57" s="1"/>
  <c r="Q68" i="57"/>
  <c r="T68" i="57" s="1"/>
  <c r="N70" i="53"/>
  <c r="AA68" i="53"/>
  <c r="AB68" i="53"/>
  <c r="W11" i="71"/>
  <c r="X11" i="71" s="1"/>
  <c r="AB11" i="71" s="1"/>
  <c r="L103" i="22"/>
  <c r="AA27" i="71"/>
  <c r="AF53" i="69"/>
  <c r="Q53" i="69"/>
  <c r="O70" i="57"/>
  <c r="P70" i="57"/>
  <c r="AC51" i="69"/>
  <c r="AD51" i="69" s="1"/>
  <c r="AO54" i="69"/>
  <c r="AG52" i="69"/>
  <c r="O55" i="69"/>
  <c r="AF68" i="53"/>
  <c r="AE69" i="53"/>
  <c r="R69" i="53"/>
  <c r="X69" i="53" s="1"/>
  <c r="AY53" i="69"/>
  <c r="L70" i="57"/>
  <c r="AA15" i="71"/>
  <c r="AH69" i="53"/>
  <c r="AT69" i="53"/>
  <c r="AG69" i="53"/>
  <c r="N70" i="57"/>
  <c r="P70" i="53"/>
  <c r="AH53" i="69"/>
  <c r="AD69" i="53"/>
  <c r="Q69" i="53"/>
  <c r="C70" i="53"/>
  <c r="D70" i="53"/>
  <c r="J70" i="53"/>
  <c r="E70" i="53"/>
  <c r="H70" i="53"/>
  <c r="F70" i="53"/>
  <c r="G70" i="53"/>
  <c r="I70" i="53"/>
  <c r="L70" i="53"/>
  <c r="AK69" i="52" a="1"/>
  <c r="AK69" i="52" s="1"/>
  <c r="B71" i="53" s="1"/>
  <c r="K70" i="53"/>
  <c r="F70" i="57"/>
  <c r="E70" i="57"/>
  <c r="H70" i="57"/>
  <c r="J70" i="57"/>
  <c r="D70" i="57"/>
  <c r="I70" i="57"/>
  <c r="C70" i="57"/>
  <c r="K70" i="57"/>
  <c r="G70" i="57"/>
  <c r="AN69" i="55" a="1"/>
  <c r="AN69" i="55" s="1"/>
  <c r="B71" i="57" s="1"/>
  <c r="D54" i="69"/>
  <c r="E54" i="69" s="1"/>
  <c r="F54" i="69" s="1"/>
  <c r="G54" i="69" s="1"/>
  <c r="H54" i="69" s="1"/>
  <c r="I54" i="69" s="1"/>
  <c r="J54" i="69" s="1"/>
  <c r="K54" i="69" s="1"/>
  <c r="M54" i="69" s="1"/>
  <c r="R53" i="69"/>
  <c r="S53" i="69" s="1"/>
  <c r="Y53" i="69" s="1"/>
  <c r="AE53" i="69"/>
  <c r="C55" i="69"/>
  <c r="P55" i="69" s="1"/>
  <c r="AR55" i="67" a="1"/>
  <c r="AR55" i="67" s="1"/>
  <c r="B56" i="69"/>
  <c r="L56" i="69" s="1"/>
  <c r="AK258" i="59"/>
  <c r="AJ258" i="59"/>
  <c r="AK257" i="59"/>
  <c r="AJ257" i="59"/>
  <c r="AK256" i="59"/>
  <c r="AJ256" i="59"/>
  <c r="AK255" i="59"/>
  <c r="AJ255" i="59"/>
  <c r="AG255" i="59"/>
  <c r="AK254" i="59"/>
  <c r="AJ254" i="59"/>
  <c r="AK253" i="59"/>
  <c r="AJ253" i="59"/>
  <c r="AK252" i="59"/>
  <c r="AJ252" i="59"/>
  <c r="AK251" i="59"/>
  <c r="AJ251" i="59"/>
  <c r="AG251" i="59"/>
  <c r="AH251" i="59" s="1"/>
  <c r="AK250" i="59"/>
  <c r="AJ250" i="59"/>
  <c r="AK249" i="59"/>
  <c r="AJ249" i="59"/>
  <c r="AK248" i="59"/>
  <c r="AJ248" i="59"/>
  <c r="AK247" i="59"/>
  <c r="AJ247" i="59"/>
  <c r="AG247" i="59"/>
  <c r="AH247" i="59" s="1"/>
  <c r="AK246" i="59"/>
  <c r="AJ246" i="59"/>
  <c r="AK245" i="59"/>
  <c r="AJ245" i="59"/>
  <c r="AK244" i="59"/>
  <c r="AJ244" i="59"/>
  <c r="AK243" i="59"/>
  <c r="AJ243" i="59"/>
  <c r="AG243" i="59"/>
  <c r="AH243" i="59" s="1"/>
  <c r="AK242" i="59"/>
  <c r="AJ242" i="59"/>
  <c r="AK241" i="59"/>
  <c r="AJ241" i="59"/>
  <c r="AK240" i="59"/>
  <c r="AJ240" i="59"/>
  <c r="AK239" i="59"/>
  <c r="AJ239" i="59"/>
  <c r="AG239" i="59"/>
  <c r="AH239" i="59" s="1"/>
  <c r="AK238" i="59"/>
  <c r="AJ238" i="59"/>
  <c r="AK237" i="59"/>
  <c r="AJ237" i="59"/>
  <c r="AK236" i="59"/>
  <c r="AJ236" i="59"/>
  <c r="AK235" i="59"/>
  <c r="AJ235" i="59"/>
  <c r="AG235" i="59"/>
  <c r="AH235" i="59" s="1"/>
  <c r="AK234" i="59"/>
  <c r="AJ234" i="59"/>
  <c r="AK233" i="59"/>
  <c r="AJ233" i="59"/>
  <c r="AK232" i="59"/>
  <c r="AJ232" i="59"/>
  <c r="AK231" i="59"/>
  <c r="AJ231" i="59"/>
  <c r="AG231" i="59"/>
  <c r="AH231" i="59" s="1"/>
  <c r="AK230" i="59"/>
  <c r="AJ230" i="59"/>
  <c r="AK229" i="59"/>
  <c r="AJ229" i="59"/>
  <c r="AK228" i="59"/>
  <c r="AJ228" i="59"/>
  <c r="AK227" i="59"/>
  <c r="AJ227" i="59"/>
  <c r="AG227" i="59"/>
  <c r="AH227" i="59" s="1"/>
  <c r="AK226" i="59"/>
  <c r="AJ226" i="59"/>
  <c r="AK225" i="59"/>
  <c r="AJ225" i="59"/>
  <c r="AK224" i="59"/>
  <c r="AJ224" i="59"/>
  <c r="AG224" i="59"/>
  <c r="AH224" i="59" s="1"/>
  <c r="AK223" i="59"/>
  <c r="AJ223" i="59"/>
  <c r="AG223" i="59"/>
  <c r="AH223" i="59" s="1"/>
  <c r="AK222" i="59"/>
  <c r="AJ222" i="59"/>
  <c r="AK221" i="59"/>
  <c r="AJ221" i="59"/>
  <c r="AK220" i="59"/>
  <c r="AJ220" i="59"/>
  <c r="AG220" i="59"/>
  <c r="AH220" i="59" s="1"/>
  <c r="AK219" i="59"/>
  <c r="AJ219" i="59"/>
  <c r="AG219" i="59"/>
  <c r="AH219" i="59" s="1"/>
  <c r="AK218" i="59"/>
  <c r="AJ218" i="59"/>
  <c r="AK217" i="59"/>
  <c r="AJ217" i="59"/>
  <c r="AK216" i="59"/>
  <c r="AJ216" i="59"/>
  <c r="AK215" i="59"/>
  <c r="AJ215" i="59"/>
  <c r="AG215" i="59"/>
  <c r="AH215" i="59" s="1"/>
  <c r="AK214" i="59"/>
  <c r="AJ214" i="59"/>
  <c r="AK213" i="59"/>
  <c r="AJ213" i="59"/>
  <c r="AK212" i="59"/>
  <c r="AJ212" i="59"/>
  <c r="AK211" i="59"/>
  <c r="AJ211" i="59"/>
  <c r="AG211" i="59"/>
  <c r="AH211" i="59" s="1"/>
  <c r="AK210" i="59"/>
  <c r="AJ210" i="59"/>
  <c r="AK209" i="59"/>
  <c r="AJ209" i="59"/>
  <c r="AK208" i="59"/>
  <c r="AJ208" i="59"/>
  <c r="AG208" i="59"/>
  <c r="AH208" i="59" s="1"/>
  <c r="AK207" i="59"/>
  <c r="AJ207" i="59"/>
  <c r="AG207" i="59"/>
  <c r="AH207" i="59" s="1"/>
  <c r="AK206" i="59"/>
  <c r="AJ206" i="59"/>
  <c r="AK205" i="59"/>
  <c r="AJ205" i="59"/>
  <c r="AK204" i="59"/>
  <c r="AJ204" i="59"/>
  <c r="AG204" i="59"/>
  <c r="AH204" i="59" s="1"/>
  <c r="AK203" i="59"/>
  <c r="AJ203" i="59"/>
  <c r="AK202" i="59"/>
  <c r="AJ202" i="59"/>
  <c r="AK201" i="59"/>
  <c r="AJ201" i="59"/>
  <c r="AK200" i="59"/>
  <c r="AJ200" i="59"/>
  <c r="AK199" i="59"/>
  <c r="AJ199" i="59"/>
  <c r="AG199" i="59"/>
  <c r="AH199" i="59" s="1"/>
  <c r="AK198" i="59"/>
  <c r="AJ198" i="59"/>
  <c r="AK197" i="59"/>
  <c r="AJ197" i="59"/>
  <c r="AK196" i="59"/>
  <c r="AJ196" i="59"/>
  <c r="AK195" i="59"/>
  <c r="AJ195" i="59"/>
  <c r="AG195" i="59"/>
  <c r="AH195" i="59" s="1"/>
  <c r="AK194" i="59"/>
  <c r="AJ194" i="59"/>
  <c r="AK193" i="59"/>
  <c r="AJ193" i="59"/>
  <c r="AK192" i="59"/>
  <c r="AJ192" i="59"/>
  <c r="AK191" i="59"/>
  <c r="AJ191" i="59"/>
  <c r="AG191" i="59"/>
  <c r="AH191" i="59" s="1"/>
  <c r="AK190" i="59"/>
  <c r="AJ190" i="59"/>
  <c r="AK189" i="59"/>
  <c r="AJ189" i="59"/>
  <c r="AK188" i="59"/>
  <c r="AJ188" i="59"/>
  <c r="AK187" i="59"/>
  <c r="AJ187" i="59"/>
  <c r="AK186" i="59"/>
  <c r="AJ186" i="59"/>
  <c r="AK185" i="59"/>
  <c r="AJ185" i="59"/>
  <c r="AK184" i="59"/>
  <c r="AJ184" i="59"/>
  <c r="AG184" i="59"/>
  <c r="AH184" i="59" s="1"/>
  <c r="AK183" i="59"/>
  <c r="AJ183" i="59"/>
  <c r="AK182" i="59"/>
  <c r="AJ182" i="59"/>
  <c r="AG182" i="59"/>
  <c r="AH182" i="59" s="1"/>
  <c r="AK181" i="59"/>
  <c r="AJ181" i="59"/>
  <c r="AK180" i="59"/>
  <c r="AJ180" i="59"/>
  <c r="AG180" i="59"/>
  <c r="AH180" i="59" s="1"/>
  <c r="AK179" i="59"/>
  <c r="AJ179" i="59"/>
  <c r="AK178" i="59"/>
  <c r="AJ178" i="59"/>
  <c r="AK177" i="59"/>
  <c r="AJ177" i="59"/>
  <c r="AK176" i="59"/>
  <c r="AJ176" i="59"/>
  <c r="AG176" i="59"/>
  <c r="AH176" i="59" s="1"/>
  <c r="AK175" i="59"/>
  <c r="AJ175" i="59"/>
  <c r="AK174" i="59"/>
  <c r="AJ174" i="59"/>
  <c r="AK173" i="59"/>
  <c r="AJ173" i="59"/>
  <c r="AK172" i="59"/>
  <c r="AJ172" i="59"/>
  <c r="AG172" i="59"/>
  <c r="AH172" i="59" s="1"/>
  <c r="AK171" i="59"/>
  <c r="AJ171" i="59"/>
  <c r="AK170" i="59"/>
  <c r="AJ170" i="59"/>
  <c r="AK169" i="59"/>
  <c r="AJ169" i="59"/>
  <c r="AK168" i="59"/>
  <c r="AJ168" i="59"/>
  <c r="AK167" i="59"/>
  <c r="AJ167" i="59"/>
  <c r="AK166" i="59"/>
  <c r="AJ166" i="59"/>
  <c r="AK165" i="59"/>
  <c r="AJ165" i="59"/>
  <c r="AK164" i="59"/>
  <c r="AJ164" i="59"/>
  <c r="AK163" i="59"/>
  <c r="AJ163" i="59"/>
  <c r="AK162" i="59"/>
  <c r="AJ162" i="59"/>
  <c r="AG162" i="59"/>
  <c r="AH162" i="59" s="1"/>
  <c r="AK161" i="59"/>
  <c r="AJ161" i="59"/>
  <c r="AG161" i="59"/>
  <c r="AH161" i="59" s="1"/>
  <c r="AK160" i="59"/>
  <c r="AJ160" i="59"/>
  <c r="AK159" i="59"/>
  <c r="AJ159" i="59"/>
  <c r="AK158" i="59"/>
  <c r="AJ158" i="59"/>
  <c r="AK157" i="59"/>
  <c r="AJ157" i="59"/>
  <c r="AG157" i="59"/>
  <c r="AH157" i="59" s="1"/>
  <c r="AK156" i="59"/>
  <c r="AJ156" i="59"/>
  <c r="AK155" i="59"/>
  <c r="AJ155" i="59"/>
  <c r="AK154" i="59"/>
  <c r="AJ154" i="59"/>
  <c r="AG154" i="59"/>
  <c r="AH154" i="59" s="1"/>
  <c r="AK153" i="59"/>
  <c r="AJ153" i="59"/>
  <c r="AG153" i="59"/>
  <c r="AH153" i="59" s="1"/>
  <c r="AK152" i="59"/>
  <c r="AJ152" i="59"/>
  <c r="AK151" i="59"/>
  <c r="AJ151" i="59"/>
  <c r="AK150" i="59"/>
  <c r="AJ150" i="59"/>
  <c r="AK149" i="59"/>
  <c r="AJ149" i="59"/>
  <c r="AG149" i="59"/>
  <c r="AH149" i="59" s="1"/>
  <c r="AK148" i="59"/>
  <c r="AJ148" i="59"/>
  <c r="AK147" i="59"/>
  <c r="AJ147" i="59"/>
  <c r="AK146" i="59"/>
  <c r="AJ146" i="59"/>
  <c r="AK145" i="59"/>
  <c r="AJ145" i="59"/>
  <c r="AG145" i="59"/>
  <c r="AH145" i="59" s="1"/>
  <c r="AK144" i="59"/>
  <c r="AJ144" i="59"/>
  <c r="AK143" i="59"/>
  <c r="AJ143" i="59"/>
  <c r="AG143" i="59"/>
  <c r="AH143" i="59" s="1"/>
  <c r="AK142" i="59"/>
  <c r="AJ142" i="59"/>
  <c r="AK141" i="59"/>
  <c r="AJ141" i="59"/>
  <c r="AK140" i="59"/>
  <c r="AJ140" i="59"/>
  <c r="AK139" i="59"/>
  <c r="AJ139" i="59"/>
  <c r="AK138" i="59"/>
  <c r="AJ138" i="59"/>
  <c r="AK137" i="59"/>
  <c r="AJ137" i="59"/>
  <c r="AG137" i="59"/>
  <c r="AH137" i="59" s="1"/>
  <c r="AK136" i="59"/>
  <c r="AJ136" i="59"/>
  <c r="AK135" i="59"/>
  <c r="AJ135" i="59"/>
  <c r="AK134" i="59"/>
  <c r="AJ134" i="59"/>
  <c r="AK133" i="59"/>
  <c r="AJ133" i="59"/>
  <c r="AG133" i="59"/>
  <c r="AH133" i="59" s="1"/>
  <c r="AK132" i="59"/>
  <c r="AJ132" i="59"/>
  <c r="AK131" i="59"/>
  <c r="AJ131" i="59"/>
  <c r="AK130" i="59"/>
  <c r="AJ130" i="59"/>
  <c r="AK129" i="59"/>
  <c r="AJ129" i="59"/>
  <c r="AK128" i="59"/>
  <c r="AJ128" i="59"/>
  <c r="AG128" i="59"/>
  <c r="AH128" i="59" s="1"/>
  <c r="AK127" i="59"/>
  <c r="AJ127" i="59"/>
  <c r="AK126" i="59"/>
  <c r="AJ126" i="59"/>
  <c r="AK125" i="59"/>
  <c r="AJ125" i="59"/>
  <c r="AG125" i="59"/>
  <c r="AH125" i="59" s="1"/>
  <c r="AK124" i="59"/>
  <c r="AJ124" i="59"/>
  <c r="AK123" i="59"/>
  <c r="AJ123" i="59"/>
  <c r="AK122" i="59"/>
  <c r="AJ122" i="59"/>
  <c r="AK121" i="59"/>
  <c r="AJ121" i="59"/>
  <c r="AG121" i="59"/>
  <c r="AH121" i="59" s="1"/>
  <c r="AK120" i="59"/>
  <c r="AJ120" i="59"/>
  <c r="AK119" i="59"/>
  <c r="AJ119" i="59"/>
  <c r="AK118" i="59"/>
  <c r="AJ118" i="59"/>
  <c r="AK117" i="59"/>
  <c r="AJ117" i="59"/>
  <c r="AG117" i="59"/>
  <c r="AH117" i="59" s="1"/>
  <c r="AK116" i="59"/>
  <c r="AJ116" i="59"/>
  <c r="AK115" i="59"/>
  <c r="AJ115" i="59"/>
  <c r="AK114" i="59"/>
  <c r="AJ114" i="59"/>
  <c r="AK113" i="59"/>
  <c r="AJ113" i="59"/>
  <c r="AG113" i="59"/>
  <c r="AH113" i="59" s="1"/>
  <c r="AK112" i="59"/>
  <c r="AJ112" i="59"/>
  <c r="AK111" i="59"/>
  <c r="AJ111" i="59"/>
  <c r="AG111" i="59"/>
  <c r="AH111" i="59" s="1"/>
  <c r="AK110" i="59"/>
  <c r="AJ110" i="59"/>
  <c r="AK109" i="59"/>
  <c r="AJ109" i="59"/>
  <c r="AK108" i="59"/>
  <c r="AJ108" i="59"/>
  <c r="AK107" i="59"/>
  <c r="AJ107" i="59"/>
  <c r="AK106" i="59"/>
  <c r="AJ106" i="59"/>
  <c r="AK105" i="59"/>
  <c r="AJ105" i="59"/>
  <c r="AG105" i="59"/>
  <c r="AH105" i="59" s="1"/>
  <c r="AK104" i="59"/>
  <c r="AJ104" i="59"/>
  <c r="AK103" i="59"/>
  <c r="AJ103" i="59"/>
  <c r="AK102" i="59"/>
  <c r="AJ102" i="59"/>
  <c r="AK101" i="59"/>
  <c r="AJ101" i="59"/>
  <c r="AG101" i="59"/>
  <c r="AH101" i="59" s="1"/>
  <c r="AK100" i="59"/>
  <c r="AJ100" i="59"/>
  <c r="AK99" i="59"/>
  <c r="AJ99" i="59"/>
  <c r="AK98" i="59"/>
  <c r="AJ98" i="59"/>
  <c r="AK97" i="59"/>
  <c r="AJ97" i="59"/>
  <c r="AG97" i="59"/>
  <c r="AH97" i="59" s="1"/>
  <c r="AK96" i="59"/>
  <c r="AJ96" i="59"/>
  <c r="AK95" i="59"/>
  <c r="AJ95" i="59"/>
  <c r="AK94" i="59"/>
  <c r="AJ94" i="59"/>
  <c r="AK93" i="59"/>
  <c r="AJ93" i="59"/>
  <c r="AG93" i="59"/>
  <c r="AH93" i="59" s="1"/>
  <c r="AK92" i="59"/>
  <c r="AJ92" i="59"/>
  <c r="AK91" i="59"/>
  <c r="AJ91" i="59"/>
  <c r="AG91" i="59"/>
  <c r="AH91" i="59" s="1"/>
  <c r="AK90" i="59"/>
  <c r="AJ90" i="59"/>
  <c r="AK89" i="59"/>
  <c r="AJ89" i="59"/>
  <c r="AG89" i="59"/>
  <c r="AH89" i="59" s="1"/>
  <c r="AK88" i="59"/>
  <c r="AJ88" i="59"/>
  <c r="AK87" i="59"/>
  <c r="AJ87" i="59"/>
  <c r="AG87" i="59"/>
  <c r="AH87" i="59" s="1"/>
  <c r="AK86" i="59"/>
  <c r="AJ86" i="59"/>
  <c r="AK85" i="59"/>
  <c r="AJ85" i="59"/>
  <c r="AG85" i="59"/>
  <c r="AH85" i="59" s="1"/>
  <c r="AK84" i="59"/>
  <c r="AJ84" i="59"/>
  <c r="AK83" i="59"/>
  <c r="AJ83" i="59"/>
  <c r="AK82" i="59"/>
  <c r="AJ82" i="59"/>
  <c r="AK81" i="59"/>
  <c r="AJ81" i="59"/>
  <c r="AG81" i="59"/>
  <c r="AH81" i="59" s="1"/>
  <c r="AK80" i="59"/>
  <c r="AJ80" i="59"/>
  <c r="AK79" i="59"/>
  <c r="AJ79" i="59"/>
  <c r="AK78" i="59"/>
  <c r="AJ78" i="59"/>
  <c r="AK77" i="59"/>
  <c r="AJ77" i="59"/>
  <c r="AG77" i="59"/>
  <c r="AH77" i="59" s="1"/>
  <c r="AK76" i="59"/>
  <c r="AJ76" i="59"/>
  <c r="AK75" i="59"/>
  <c r="AJ75" i="59"/>
  <c r="AK74" i="59"/>
  <c r="AJ74" i="59"/>
  <c r="AK73" i="59"/>
  <c r="AJ73" i="59"/>
  <c r="AK72" i="59"/>
  <c r="AJ72" i="59"/>
  <c r="AK71" i="59"/>
  <c r="AJ71" i="59"/>
  <c r="AK70" i="59"/>
  <c r="AJ70" i="59"/>
  <c r="AG70" i="59"/>
  <c r="AH70" i="59" s="1"/>
  <c r="AK69" i="59"/>
  <c r="AJ69" i="59"/>
  <c r="AG69" i="59"/>
  <c r="AH69" i="59" s="1"/>
  <c r="AK68" i="59"/>
  <c r="AJ68" i="59"/>
  <c r="AK67" i="59"/>
  <c r="AJ67" i="59"/>
  <c r="AK66" i="59"/>
  <c r="AJ66" i="59"/>
  <c r="AK65" i="59"/>
  <c r="AJ65" i="59"/>
  <c r="AK64" i="59"/>
  <c r="AJ64" i="59"/>
  <c r="AK63" i="59"/>
  <c r="AJ63" i="59"/>
  <c r="AK62" i="59"/>
  <c r="AJ62" i="59"/>
  <c r="AK61" i="59"/>
  <c r="AJ61" i="59"/>
  <c r="AK60" i="59"/>
  <c r="AJ60" i="59"/>
  <c r="AK59" i="59"/>
  <c r="AJ59" i="59"/>
  <c r="AG59" i="59"/>
  <c r="AH59" i="59" s="1"/>
  <c r="AK58" i="59"/>
  <c r="AJ58" i="59"/>
  <c r="AK57" i="59"/>
  <c r="AJ57" i="59"/>
  <c r="AK56" i="59"/>
  <c r="AJ56" i="59"/>
  <c r="AK55" i="59"/>
  <c r="AJ55" i="59"/>
  <c r="AK54" i="59"/>
  <c r="AJ54" i="59"/>
  <c r="AK53" i="59"/>
  <c r="AJ53" i="59"/>
  <c r="AG53" i="59"/>
  <c r="AH53" i="59" s="1"/>
  <c r="AK52" i="59"/>
  <c r="AJ52" i="59"/>
  <c r="AK51" i="59"/>
  <c r="AJ51" i="59"/>
  <c r="AK50" i="59"/>
  <c r="AJ50" i="59"/>
  <c r="AK49" i="59"/>
  <c r="AJ49" i="59"/>
  <c r="AK48" i="59"/>
  <c r="AJ48" i="59"/>
  <c r="AG48" i="59"/>
  <c r="AK47" i="59"/>
  <c r="AJ47" i="59"/>
  <c r="AG47" i="59"/>
  <c r="AK46" i="59"/>
  <c r="AJ46" i="59"/>
  <c r="AK45" i="59"/>
  <c r="AJ45" i="59"/>
  <c r="AK44" i="59"/>
  <c r="AJ44" i="59"/>
  <c r="AK43" i="59"/>
  <c r="AJ43" i="59"/>
  <c r="AK42" i="59"/>
  <c r="AJ42" i="59"/>
  <c r="AG42" i="59"/>
  <c r="AK41" i="59"/>
  <c r="AJ41" i="59"/>
  <c r="AK40" i="59"/>
  <c r="AJ40" i="59"/>
  <c r="AK39" i="59"/>
  <c r="AJ39" i="59"/>
  <c r="AK38" i="59"/>
  <c r="AJ38" i="59"/>
  <c r="AG38" i="59"/>
  <c r="AK37" i="59"/>
  <c r="AJ37" i="59"/>
  <c r="AK36" i="59"/>
  <c r="AJ36" i="59"/>
  <c r="AK35" i="59"/>
  <c r="AJ35" i="59"/>
  <c r="AK34" i="59"/>
  <c r="AJ34" i="59"/>
  <c r="AG34" i="59"/>
  <c r="AK33" i="59"/>
  <c r="AJ33" i="59"/>
  <c r="AK32" i="59"/>
  <c r="AJ32" i="59"/>
  <c r="AK31" i="59"/>
  <c r="AJ31" i="59"/>
  <c r="AK30" i="59"/>
  <c r="AJ30" i="59"/>
  <c r="AG30" i="59"/>
  <c r="AK29" i="59"/>
  <c r="AJ29" i="59"/>
  <c r="AK28" i="59"/>
  <c r="AJ28" i="59"/>
  <c r="AK27" i="59"/>
  <c r="AJ27" i="59"/>
  <c r="AK26" i="59"/>
  <c r="AJ26" i="59"/>
  <c r="AG26" i="59"/>
  <c r="AK25" i="59"/>
  <c r="AJ25" i="59"/>
  <c r="AK24" i="59"/>
  <c r="AJ24" i="59"/>
  <c r="AK23" i="59"/>
  <c r="AJ23" i="59"/>
  <c r="AK22" i="59"/>
  <c r="AJ22" i="59"/>
  <c r="AG22" i="59"/>
  <c r="AU22" i="59" s="1"/>
  <c r="AK21" i="59"/>
  <c r="AJ21" i="59"/>
  <c r="AK20" i="59"/>
  <c r="AJ20" i="59"/>
  <c r="AG20" i="59"/>
  <c r="AK19" i="59"/>
  <c r="AJ19" i="59"/>
  <c r="AK18" i="59"/>
  <c r="AJ18" i="59"/>
  <c r="AG18" i="59"/>
  <c r="AK17" i="59"/>
  <c r="AJ17" i="59"/>
  <c r="AK16" i="59"/>
  <c r="AJ16" i="59"/>
  <c r="AK15" i="59"/>
  <c r="AJ15" i="59"/>
  <c r="AK14" i="59"/>
  <c r="AJ14" i="59"/>
  <c r="AK13" i="59"/>
  <c r="AJ13" i="59"/>
  <c r="AK12" i="59"/>
  <c r="AJ12" i="59"/>
  <c r="AG12" i="59"/>
  <c r="X76" i="22" l="1"/>
  <c r="X4" i="22"/>
  <c r="X20" i="22"/>
  <c r="X14" i="22"/>
  <c r="C8" i="107"/>
  <c r="Q12" i="59"/>
  <c r="T12" i="59"/>
  <c r="AB53" i="69"/>
  <c r="AC53" i="69" s="1"/>
  <c r="AD53" i="69" s="1"/>
  <c r="AG70" i="57"/>
  <c r="X68" i="57"/>
  <c r="AB68" i="57" s="1"/>
  <c r="M71" i="53"/>
  <c r="AC71" i="53" s="1"/>
  <c r="O71" i="53"/>
  <c r="AP55" i="69"/>
  <c r="N55" i="69"/>
  <c r="U55" i="69" s="1"/>
  <c r="AA67" i="57"/>
  <c r="AF67" i="57"/>
  <c r="AE69" i="57"/>
  <c r="AQ69" i="57"/>
  <c r="AD69" i="57"/>
  <c r="AJ69" i="57"/>
  <c r="Q69" i="57"/>
  <c r="T69" i="57" s="1"/>
  <c r="R69" i="57"/>
  <c r="AC69" i="57"/>
  <c r="M70" i="57"/>
  <c r="AK70" i="57" s="1"/>
  <c r="N71" i="53"/>
  <c r="AA69" i="53"/>
  <c r="AB69" i="53"/>
  <c r="AA11" i="71"/>
  <c r="AA257" i="71" s="1"/>
  <c r="H7" i="107"/>
  <c r="AU20" i="59"/>
  <c r="AU18" i="59"/>
  <c r="AO11" i="59" a="1"/>
  <c r="AO11" i="59" s="1"/>
  <c r="AO12" i="59" s="1" a="1"/>
  <c r="AO12" i="59" s="1"/>
  <c r="AO13" i="59" s="1" a="1"/>
  <c r="AO13" i="59" s="1"/>
  <c r="AP11" i="59" a="1"/>
  <c r="AP11" i="59" s="1"/>
  <c r="AF54" i="69"/>
  <c r="Q54" i="69"/>
  <c r="O71" i="57"/>
  <c r="P71" i="57"/>
  <c r="AH34" i="59"/>
  <c r="AU34" i="59"/>
  <c r="AH48" i="59"/>
  <c r="AH38" i="59"/>
  <c r="AU38" i="59"/>
  <c r="AH47" i="59"/>
  <c r="AH30" i="59"/>
  <c r="AU30" i="59"/>
  <c r="AH26" i="59"/>
  <c r="AU26" i="59"/>
  <c r="AH42" i="59"/>
  <c r="AU42" i="59"/>
  <c r="AO55" i="69"/>
  <c r="O56" i="69"/>
  <c r="AG53" i="69"/>
  <c r="AE70" i="53"/>
  <c r="AF69" i="53"/>
  <c r="R70" i="53"/>
  <c r="X70" i="53" s="1"/>
  <c r="AH255" i="59"/>
  <c r="AH22" i="59"/>
  <c r="AH20" i="59"/>
  <c r="AH18" i="59"/>
  <c r="AY54" i="69"/>
  <c r="L71" i="57"/>
  <c r="Q70" i="53"/>
  <c r="AH70" i="53"/>
  <c r="AT70" i="53"/>
  <c r="AG70" i="53"/>
  <c r="N71" i="57"/>
  <c r="L71" i="53"/>
  <c r="AH54" i="69"/>
  <c r="AD70" i="53"/>
  <c r="AH12" i="59"/>
  <c r="J71" i="53"/>
  <c r="D71" i="53"/>
  <c r="I71" i="53"/>
  <c r="C71" i="53"/>
  <c r="F71" i="53"/>
  <c r="K71" i="53"/>
  <c r="E71" i="53"/>
  <c r="P71" i="53"/>
  <c r="AK70" i="52" a="1"/>
  <c r="AK70" i="52" s="1"/>
  <c r="B72" i="53" s="1"/>
  <c r="G71" i="53"/>
  <c r="H71" i="53"/>
  <c r="K71" i="57"/>
  <c r="G71" i="57"/>
  <c r="E71" i="57"/>
  <c r="D71" i="57"/>
  <c r="C71" i="57"/>
  <c r="I71" i="57"/>
  <c r="H71" i="57"/>
  <c r="F71" i="57"/>
  <c r="J71" i="57"/>
  <c r="AN70" i="55" a="1"/>
  <c r="AN70" i="55" s="1"/>
  <c r="B72" i="57" s="1"/>
  <c r="D55" i="69"/>
  <c r="E55" i="69" s="1"/>
  <c r="F55" i="69" s="1"/>
  <c r="G55" i="69" s="1"/>
  <c r="H55" i="69" s="1"/>
  <c r="I55" i="69" s="1"/>
  <c r="J55" i="69" s="1"/>
  <c r="K55" i="69" s="1"/>
  <c r="M55" i="69" s="1"/>
  <c r="AE54" i="69"/>
  <c r="R54" i="69"/>
  <c r="S54" i="69" s="1"/>
  <c r="Y54" i="69" s="1"/>
  <c r="C56" i="69"/>
  <c r="P56" i="69" s="1"/>
  <c r="AR56" i="67" a="1"/>
  <c r="AR56" i="67" s="1"/>
  <c r="B57" i="69"/>
  <c r="L57" i="69" s="1"/>
  <c r="AG65" i="59"/>
  <c r="AH65" i="59" s="1"/>
  <c r="AG61" i="59"/>
  <c r="AH61" i="59" s="1"/>
  <c r="AG57" i="59"/>
  <c r="AH57" i="59" s="1"/>
  <c r="AG92" i="59"/>
  <c r="AH92" i="59" s="1"/>
  <c r="AG150" i="59"/>
  <c r="AH150" i="59" s="1"/>
  <c r="AG19" i="59"/>
  <c r="AG216" i="59"/>
  <c r="AH216" i="59" s="1"/>
  <c r="AG217" i="59"/>
  <c r="AH217" i="59" s="1"/>
  <c r="AG55" i="59"/>
  <c r="AH55" i="59" s="1"/>
  <c r="AG86" i="59"/>
  <c r="AH86" i="59" s="1"/>
  <c r="AG103" i="59"/>
  <c r="AH103" i="59" s="1"/>
  <c r="AG17" i="59"/>
  <c r="AG119" i="59"/>
  <c r="AH119" i="59" s="1"/>
  <c r="AG15" i="59"/>
  <c r="AG132" i="59"/>
  <c r="AH132" i="59" s="1"/>
  <c r="AG156" i="59"/>
  <c r="AH156" i="59" s="1"/>
  <c r="AG252" i="59"/>
  <c r="AH252" i="59" s="1"/>
  <c r="AG66" i="59"/>
  <c r="AH66" i="59" s="1"/>
  <c r="AG75" i="59"/>
  <c r="AH75" i="59" s="1"/>
  <c r="AG160" i="59"/>
  <c r="AH160" i="59" s="1"/>
  <c r="AG248" i="59"/>
  <c r="AH248" i="59" s="1"/>
  <c r="AG54" i="59"/>
  <c r="AH54" i="59" s="1"/>
  <c r="AG21" i="59"/>
  <c r="AU21" i="59" s="1"/>
  <c r="AG64" i="59"/>
  <c r="AH64" i="59" s="1"/>
  <c r="AG107" i="59"/>
  <c r="AH107" i="59" s="1"/>
  <c r="AG130" i="59"/>
  <c r="AH130" i="59" s="1"/>
  <c r="AG139" i="59"/>
  <c r="AH139" i="59" s="1"/>
  <c r="AG178" i="59"/>
  <c r="AH178" i="59" s="1"/>
  <c r="AG52" i="59"/>
  <c r="AG83" i="59"/>
  <c r="AH83" i="59" s="1"/>
  <c r="AG122" i="59"/>
  <c r="AH122" i="59" s="1"/>
  <c r="AG166" i="59"/>
  <c r="AH166" i="59" s="1"/>
  <c r="AG181" i="59"/>
  <c r="AH181" i="59" s="1"/>
  <c r="AG185" i="59"/>
  <c r="AH185" i="59" s="1"/>
  <c r="AG13" i="59"/>
  <c r="AG96" i="59"/>
  <c r="AH96" i="59" s="1"/>
  <c r="AG147" i="59"/>
  <c r="AH147" i="59" s="1"/>
  <c r="AG14" i="59"/>
  <c r="AG62" i="59"/>
  <c r="AH62" i="59" s="1"/>
  <c r="AG16" i="59"/>
  <c r="AG27" i="59"/>
  <c r="AG49" i="59"/>
  <c r="AG84" i="59"/>
  <c r="AH84" i="59" s="1"/>
  <c r="AG114" i="59"/>
  <c r="AH114" i="59" s="1"/>
  <c r="AG51" i="59"/>
  <c r="AG58" i="59"/>
  <c r="AH58" i="59" s="1"/>
  <c r="AG151" i="59"/>
  <c r="AH151" i="59" s="1"/>
  <c r="AG23" i="59"/>
  <c r="AU23" i="59" s="1"/>
  <c r="AG31" i="59"/>
  <c r="AG79" i="59"/>
  <c r="AH79" i="59" s="1"/>
  <c r="AG129" i="59"/>
  <c r="AH129" i="59" s="1"/>
  <c r="AG165" i="59"/>
  <c r="AH165" i="59" s="1"/>
  <c r="AG90" i="59"/>
  <c r="AH90" i="59" s="1"/>
  <c r="AG98" i="59"/>
  <c r="AH98" i="59" s="1"/>
  <c r="AG158" i="59"/>
  <c r="AH158" i="59" s="1"/>
  <c r="AG100" i="59"/>
  <c r="AH100" i="59" s="1"/>
  <c r="AG118" i="59"/>
  <c r="AH118" i="59" s="1"/>
  <c r="AG124" i="59"/>
  <c r="AH124" i="59" s="1"/>
  <c r="AG212" i="59"/>
  <c r="AH212" i="59" s="1"/>
  <c r="AG170" i="59"/>
  <c r="AH170" i="59" s="1"/>
  <c r="AG179" i="59"/>
  <c r="AH179" i="59" s="1"/>
  <c r="AG228" i="59"/>
  <c r="AH228" i="59" s="1"/>
  <c r="AG186" i="59"/>
  <c r="AH186" i="59" s="1"/>
  <c r="AG190" i="59"/>
  <c r="AH190" i="59" s="1"/>
  <c r="AG200" i="59"/>
  <c r="AH200" i="59" s="1"/>
  <c r="AG213" i="59"/>
  <c r="AH213" i="59" s="1"/>
  <c r="AG229" i="59"/>
  <c r="AH229" i="59" s="1"/>
  <c r="AG240" i="59"/>
  <c r="AH240" i="59" s="1"/>
  <c r="AG135" i="59"/>
  <c r="AH135" i="59" s="1"/>
  <c r="AG146" i="59"/>
  <c r="AH146" i="59" s="1"/>
  <c r="AG197" i="59"/>
  <c r="AH197" i="59" s="1"/>
  <c r="AG201" i="59"/>
  <c r="AH201" i="59" s="1"/>
  <c r="AG174" i="59"/>
  <c r="AH174" i="59" s="1"/>
  <c r="AG187" i="59"/>
  <c r="AH187" i="59" s="1"/>
  <c r="AG232" i="59"/>
  <c r="AH232" i="59" s="1"/>
  <c r="AG244" i="59"/>
  <c r="AH244" i="59" s="1"/>
  <c r="AG36" i="59"/>
  <c r="AG39" i="59"/>
  <c r="AG40" i="59"/>
  <c r="AG43" i="59"/>
  <c r="AG44" i="59"/>
  <c r="AG63" i="59"/>
  <c r="AH63" i="59" s="1"/>
  <c r="AG25" i="59"/>
  <c r="AG46" i="59"/>
  <c r="AG29" i="59"/>
  <c r="AG24" i="59"/>
  <c r="AG33" i="59"/>
  <c r="AG50" i="59"/>
  <c r="AG28" i="59"/>
  <c r="AG37" i="59"/>
  <c r="AG72" i="59"/>
  <c r="AH72" i="59" s="1"/>
  <c r="AG73" i="59"/>
  <c r="AH73" i="59" s="1"/>
  <c r="AG74" i="59"/>
  <c r="AH74" i="59" s="1"/>
  <c r="AG94" i="59"/>
  <c r="AH94" i="59" s="1"/>
  <c r="AG32" i="59"/>
  <c r="AG35" i="59"/>
  <c r="AG41" i="59"/>
  <c r="AG45" i="59"/>
  <c r="AG76" i="59"/>
  <c r="AH76" i="59" s="1"/>
  <c r="AG56" i="59"/>
  <c r="AH56" i="59" s="1"/>
  <c r="AG67" i="59"/>
  <c r="AH67" i="59" s="1"/>
  <c r="AG78" i="59"/>
  <c r="AH78" i="59" s="1"/>
  <c r="AG88" i="59"/>
  <c r="AH88" i="59" s="1"/>
  <c r="AG99" i="59"/>
  <c r="AH99" i="59" s="1"/>
  <c r="AG169" i="59"/>
  <c r="AH169" i="59" s="1"/>
  <c r="AG68" i="59"/>
  <c r="AH68" i="59" s="1"/>
  <c r="AG80" i="59"/>
  <c r="AH80" i="59" s="1"/>
  <c r="AG140" i="59"/>
  <c r="AH140" i="59" s="1"/>
  <c r="AG141" i="59"/>
  <c r="AH141" i="59" s="1"/>
  <c r="AG142" i="59"/>
  <c r="AH142" i="59" s="1"/>
  <c r="AG60" i="59"/>
  <c r="AH60" i="59" s="1"/>
  <c r="AG71" i="59"/>
  <c r="AH71" i="59" s="1"/>
  <c r="AG82" i="59"/>
  <c r="AH82" i="59" s="1"/>
  <c r="AG95" i="59"/>
  <c r="AH95" i="59" s="1"/>
  <c r="AG108" i="59"/>
  <c r="AH108" i="59" s="1"/>
  <c r="AG109" i="59"/>
  <c r="AH109" i="59" s="1"/>
  <c r="AG110" i="59"/>
  <c r="AH110" i="59" s="1"/>
  <c r="AG131" i="59"/>
  <c r="AH131" i="59" s="1"/>
  <c r="AG163" i="59"/>
  <c r="AH163" i="59" s="1"/>
  <c r="AG102" i="59"/>
  <c r="AH102" i="59" s="1"/>
  <c r="AG112" i="59"/>
  <c r="AH112" i="59" s="1"/>
  <c r="AG123" i="59"/>
  <c r="AH123" i="59" s="1"/>
  <c r="AG134" i="59"/>
  <c r="AH134" i="59" s="1"/>
  <c r="AG144" i="59"/>
  <c r="AH144" i="59" s="1"/>
  <c r="AG155" i="59"/>
  <c r="AH155" i="59" s="1"/>
  <c r="AG104" i="59"/>
  <c r="AH104" i="59" s="1"/>
  <c r="AG115" i="59"/>
  <c r="AH115" i="59" s="1"/>
  <c r="AG126" i="59"/>
  <c r="AH126" i="59" s="1"/>
  <c r="AG136" i="59"/>
  <c r="AH136" i="59" s="1"/>
  <c r="AG167" i="59"/>
  <c r="AH167" i="59" s="1"/>
  <c r="AG106" i="59"/>
  <c r="AH106" i="59" s="1"/>
  <c r="AG116" i="59"/>
  <c r="AH116" i="59" s="1"/>
  <c r="AG127" i="59"/>
  <c r="AH127" i="59" s="1"/>
  <c r="AG138" i="59"/>
  <c r="AH138" i="59" s="1"/>
  <c r="AG148" i="59"/>
  <c r="AH148" i="59" s="1"/>
  <c r="AG159" i="59"/>
  <c r="AH159" i="59" s="1"/>
  <c r="AG168" i="59"/>
  <c r="AH168" i="59" s="1"/>
  <c r="AG120" i="59"/>
  <c r="AH120" i="59" s="1"/>
  <c r="AG152" i="59"/>
  <c r="AH152" i="59" s="1"/>
  <c r="AG164" i="59"/>
  <c r="AH164" i="59" s="1"/>
  <c r="AG177" i="59"/>
  <c r="AH177" i="59" s="1"/>
  <c r="AG205" i="59"/>
  <c r="AH205" i="59" s="1"/>
  <c r="AG206" i="59"/>
  <c r="AH206" i="59" s="1"/>
  <c r="AG188" i="59"/>
  <c r="AH188" i="59" s="1"/>
  <c r="AG171" i="59"/>
  <c r="AH171" i="59" s="1"/>
  <c r="AG192" i="59"/>
  <c r="AH192" i="59" s="1"/>
  <c r="AG173" i="59"/>
  <c r="AH173" i="59" s="1"/>
  <c r="AG183" i="59"/>
  <c r="AH183" i="59" s="1"/>
  <c r="AG189" i="59"/>
  <c r="AH189" i="59" s="1"/>
  <c r="AG175" i="59"/>
  <c r="AH175" i="59" s="1"/>
  <c r="AG203" i="59"/>
  <c r="AH203" i="59" s="1"/>
  <c r="AG194" i="59"/>
  <c r="AH194" i="59" s="1"/>
  <c r="AG210" i="59"/>
  <c r="AH210" i="59" s="1"/>
  <c r="AG221" i="59"/>
  <c r="AH221" i="59" s="1"/>
  <c r="AG226" i="59"/>
  <c r="AH226" i="59" s="1"/>
  <c r="AG253" i="59"/>
  <c r="AH253" i="59" s="1"/>
  <c r="AG256" i="59"/>
  <c r="AH256" i="59" s="1"/>
  <c r="AG234" i="59"/>
  <c r="AH234" i="59" s="1"/>
  <c r="AG257" i="59"/>
  <c r="AH257" i="59" s="1"/>
  <c r="AG222" i="59"/>
  <c r="AH222" i="59" s="1"/>
  <c r="AG238" i="59"/>
  <c r="AH238" i="59" s="1"/>
  <c r="AG233" i="59"/>
  <c r="AH233" i="59" s="1"/>
  <c r="AG236" i="59"/>
  <c r="AH236" i="59" s="1"/>
  <c r="AG242" i="59"/>
  <c r="AH242" i="59" s="1"/>
  <c r="AG196" i="59"/>
  <c r="AH196" i="59" s="1"/>
  <c r="AG202" i="59"/>
  <c r="AH202" i="59" s="1"/>
  <c r="AG218" i="59"/>
  <c r="AH218" i="59" s="1"/>
  <c r="AG237" i="59"/>
  <c r="AH237" i="59" s="1"/>
  <c r="AG246" i="59"/>
  <c r="AH246" i="59" s="1"/>
  <c r="AG241" i="59"/>
  <c r="AH241" i="59" s="1"/>
  <c r="AG250" i="59"/>
  <c r="AH250" i="59" s="1"/>
  <c r="AG193" i="59"/>
  <c r="AH193" i="59" s="1"/>
  <c r="AG198" i="59"/>
  <c r="AH198" i="59" s="1"/>
  <c r="AG209" i="59"/>
  <c r="AH209" i="59" s="1"/>
  <c r="AG214" i="59"/>
  <c r="AH214" i="59" s="1"/>
  <c r="AG225" i="59"/>
  <c r="AH225" i="59" s="1"/>
  <c r="AG230" i="59"/>
  <c r="AG245" i="59"/>
  <c r="AH245" i="59" s="1"/>
  <c r="AG254" i="59"/>
  <c r="AH254" i="59" s="1"/>
  <c r="AG249" i="59"/>
  <c r="AH249" i="59" s="1"/>
  <c r="AG258" i="59"/>
  <c r="AH258" i="59" s="1"/>
  <c r="S7" i="78"/>
  <c r="S8" i="78"/>
  <c r="S6" i="78"/>
  <c r="T55" i="22" l="1"/>
  <c r="AA12" i="59"/>
  <c r="Q13" i="59"/>
  <c r="T13" i="59"/>
  <c r="Q14" i="59"/>
  <c r="T14" i="59"/>
  <c r="Q15" i="59"/>
  <c r="T15" i="59"/>
  <c r="C11" i="107" s="1"/>
  <c r="AB54" i="69"/>
  <c r="AC54" i="69" s="1"/>
  <c r="AD54" i="69" s="1"/>
  <c r="X69" i="57"/>
  <c r="AB69" i="57" s="1"/>
  <c r="AG71" i="57"/>
  <c r="M72" i="53"/>
  <c r="AC72" i="53" s="1"/>
  <c r="O72" i="53"/>
  <c r="AP56" i="69"/>
  <c r="N56" i="69"/>
  <c r="U56" i="69" s="1"/>
  <c r="AF68" i="57"/>
  <c r="AA68" i="57"/>
  <c r="AJ70" i="57"/>
  <c r="R70" i="57"/>
  <c r="AC70" i="57"/>
  <c r="Q70" i="57"/>
  <c r="T70" i="57" s="1"/>
  <c r="AE70" i="57"/>
  <c r="AD70" i="57"/>
  <c r="AQ70" i="57"/>
  <c r="M71" i="57"/>
  <c r="AK71" i="57" s="1"/>
  <c r="AH230" i="59"/>
  <c r="AB257" i="71"/>
  <c r="X96" i="22"/>
  <c r="N72" i="53"/>
  <c r="AA70" i="53"/>
  <c r="AB70" i="53"/>
  <c r="AU19" i="59"/>
  <c r="AU17" i="59"/>
  <c r="AF55" i="69"/>
  <c r="Q55" i="69"/>
  <c r="O72" i="57"/>
  <c r="P72" i="57"/>
  <c r="AU47" i="59"/>
  <c r="AU48" i="59"/>
  <c r="AH41" i="59"/>
  <c r="AH28" i="59"/>
  <c r="AU28" i="59"/>
  <c r="AH29" i="59"/>
  <c r="AU29" i="59"/>
  <c r="AH44" i="59"/>
  <c r="AH36" i="59"/>
  <c r="AU36" i="59"/>
  <c r="AH31" i="59"/>
  <c r="AU31" i="59"/>
  <c r="AH49" i="59"/>
  <c r="AH45" i="59"/>
  <c r="AU45" i="59"/>
  <c r="AH37" i="59"/>
  <c r="AU37" i="59"/>
  <c r="AH24" i="59"/>
  <c r="AU24" i="59"/>
  <c r="AH39" i="59"/>
  <c r="AU39" i="59"/>
  <c r="AH35" i="59"/>
  <c r="AU35" i="59"/>
  <c r="AH50" i="59"/>
  <c r="AU50" i="59"/>
  <c r="AH46" i="59"/>
  <c r="AH43" i="59"/>
  <c r="AH51" i="59"/>
  <c r="AH27" i="59"/>
  <c r="AU27" i="59"/>
  <c r="AH52" i="59"/>
  <c r="AH32" i="59"/>
  <c r="AH33" i="59"/>
  <c r="AU33" i="59"/>
  <c r="AH25" i="59"/>
  <c r="AU25" i="59"/>
  <c r="AH40" i="59"/>
  <c r="AU40" i="59"/>
  <c r="AO56" i="69"/>
  <c r="AG54" i="69"/>
  <c r="O57" i="69"/>
  <c r="AF70" i="53"/>
  <c r="AE71" i="53"/>
  <c r="R71" i="53"/>
  <c r="X71" i="53" s="1"/>
  <c r="AU255" i="59"/>
  <c r="AH23" i="59"/>
  <c r="AH21" i="59"/>
  <c r="AH19" i="59"/>
  <c r="AH17" i="59"/>
  <c r="AH16" i="59"/>
  <c r="AY55" i="69"/>
  <c r="L72" i="57"/>
  <c r="AG71" i="53"/>
  <c r="AH71" i="53"/>
  <c r="AT71" i="53"/>
  <c r="AH15" i="59"/>
  <c r="AH14" i="59"/>
  <c r="N72" i="57"/>
  <c r="L72" i="53"/>
  <c r="AH55" i="69"/>
  <c r="AH13" i="59"/>
  <c r="AD71" i="53"/>
  <c r="Q71" i="53"/>
  <c r="AK71" i="52" a="1"/>
  <c r="AK71" i="52" s="1"/>
  <c r="B73" i="53" s="1"/>
  <c r="P72" i="53"/>
  <c r="E72" i="53"/>
  <c r="D72" i="53"/>
  <c r="C72" i="53"/>
  <c r="F72" i="53"/>
  <c r="K72" i="53"/>
  <c r="H72" i="53"/>
  <c r="G72" i="53"/>
  <c r="J72" i="53"/>
  <c r="I72" i="53"/>
  <c r="I72" i="57"/>
  <c r="F72" i="57"/>
  <c r="E72" i="57"/>
  <c r="C72" i="57"/>
  <c r="K72" i="57"/>
  <c r="J72" i="57"/>
  <c r="H72" i="57"/>
  <c r="D72" i="57"/>
  <c r="G72" i="57"/>
  <c r="AN71" i="55" a="1"/>
  <c r="AN71" i="55" s="1"/>
  <c r="B73" i="57" s="1"/>
  <c r="C57" i="69"/>
  <c r="P57" i="69" s="1"/>
  <c r="D56" i="69"/>
  <c r="E56" i="69" s="1"/>
  <c r="F56" i="69" s="1"/>
  <c r="G56" i="69" s="1"/>
  <c r="H56" i="69" s="1"/>
  <c r="I56" i="69" s="1"/>
  <c r="J56" i="69" s="1"/>
  <c r="K56" i="69" s="1"/>
  <c r="M56" i="69" s="1"/>
  <c r="AR57" i="67" a="1"/>
  <c r="AR57" i="67" s="1"/>
  <c r="B58" i="69"/>
  <c r="L58" i="69" s="1"/>
  <c r="AE55" i="69"/>
  <c r="R55" i="69"/>
  <c r="S55" i="69" s="1"/>
  <c r="Y55" i="69" s="1"/>
  <c r="S9" i="78"/>
  <c r="AP12" i="59" a="1"/>
  <c r="AP12" i="59" s="1"/>
  <c r="E13" i="50" s="1"/>
  <c r="E12" i="50"/>
  <c r="AO14" i="59" a="1"/>
  <c r="AO14" i="59" s="1"/>
  <c r="L7" i="29"/>
  <c r="T135" i="22" l="1"/>
  <c r="AA14" i="59"/>
  <c r="AU14" i="59" s="1"/>
  <c r="AA13" i="59"/>
  <c r="AU13" i="59" s="1"/>
  <c r="T8" i="22"/>
  <c r="AA15" i="59"/>
  <c r="AU15" i="59" s="1"/>
  <c r="X70" i="57"/>
  <c r="AB70" i="57" s="1"/>
  <c r="AG72" i="57"/>
  <c r="M73" i="53"/>
  <c r="AC73" i="53" s="1"/>
  <c r="O73" i="53"/>
  <c r="AP57" i="69"/>
  <c r="N57" i="69"/>
  <c r="U57" i="69" s="1"/>
  <c r="Q71" i="57"/>
  <c r="T71" i="57" s="1"/>
  <c r="R71" i="57"/>
  <c r="AD71" i="57"/>
  <c r="AF69" i="57"/>
  <c r="AA69" i="57"/>
  <c r="AQ71" i="57"/>
  <c r="AC71" i="57"/>
  <c r="AJ71" i="57"/>
  <c r="AE71" i="57"/>
  <c r="M72" i="57"/>
  <c r="AK72" i="57" s="1"/>
  <c r="T5" i="22"/>
  <c r="AU230" i="59"/>
  <c r="N73" i="53"/>
  <c r="O13" i="50"/>
  <c r="T13" i="50"/>
  <c r="AA71" i="53"/>
  <c r="AB71" i="53"/>
  <c r="AU16" i="59"/>
  <c r="O12" i="50"/>
  <c r="AF56" i="69"/>
  <c r="Q56" i="69"/>
  <c r="O73" i="57"/>
  <c r="P73" i="57"/>
  <c r="AU32" i="59"/>
  <c r="AU43" i="59"/>
  <c r="AU44" i="59"/>
  <c r="AU52" i="59"/>
  <c r="AU51" i="59"/>
  <c r="AU46" i="59"/>
  <c r="AU49" i="59"/>
  <c r="AU41" i="59"/>
  <c r="AB55" i="69"/>
  <c r="AG55" i="69"/>
  <c r="AO57" i="69"/>
  <c r="O58" i="69"/>
  <c r="AE72" i="53"/>
  <c r="AF71" i="53"/>
  <c r="R72" i="53"/>
  <c r="X72" i="53" s="1"/>
  <c r="AU12" i="59"/>
  <c r="AL30" i="22"/>
  <c r="AL32" i="22"/>
  <c r="AY56" i="69"/>
  <c r="L73" i="57"/>
  <c r="AH72" i="53"/>
  <c r="AT72" i="53"/>
  <c r="AG72" i="53"/>
  <c r="N73" i="57"/>
  <c r="AH56" i="69"/>
  <c r="Q72" i="53"/>
  <c r="AD72" i="53"/>
  <c r="P73" i="53"/>
  <c r="J73" i="53"/>
  <c r="G73" i="53"/>
  <c r="L73" i="53"/>
  <c r="F73" i="53"/>
  <c r="I73" i="53"/>
  <c r="AK72" i="52" a="1"/>
  <c r="AK72" i="52" s="1"/>
  <c r="B74" i="53" s="1"/>
  <c r="H73" i="53"/>
  <c r="C73" i="53"/>
  <c r="K73" i="53"/>
  <c r="D73" i="53"/>
  <c r="E73" i="53"/>
  <c r="A13" i="50"/>
  <c r="Q13" i="50" s="1"/>
  <c r="I13" i="50"/>
  <c r="M13" i="50"/>
  <c r="G13" i="50"/>
  <c r="B13" i="50"/>
  <c r="R13" i="50" s="1"/>
  <c r="K13" i="50"/>
  <c r="J13" i="50"/>
  <c r="N13" i="50"/>
  <c r="H13" i="50"/>
  <c r="L13" i="50"/>
  <c r="F13" i="50"/>
  <c r="U13" i="50" s="1"/>
  <c r="F12" i="50"/>
  <c r="B12" i="50"/>
  <c r="R12" i="50" s="1"/>
  <c r="A12" i="50"/>
  <c r="Q12" i="50" s="1"/>
  <c r="J12" i="50"/>
  <c r="H12" i="50"/>
  <c r="K12" i="50"/>
  <c r="G12" i="50"/>
  <c r="C73" i="57"/>
  <c r="I73" i="57"/>
  <c r="H73" i="57"/>
  <c r="G73" i="57"/>
  <c r="E73" i="57"/>
  <c r="D73" i="57"/>
  <c r="K73" i="57"/>
  <c r="F73" i="57"/>
  <c r="J73" i="57"/>
  <c r="AN72" i="55" a="1"/>
  <c r="AN72" i="55" s="1"/>
  <c r="B74" i="57" s="1"/>
  <c r="R56" i="69"/>
  <c r="S56" i="69" s="1"/>
  <c r="AE56" i="69"/>
  <c r="D57" i="69"/>
  <c r="E57" i="69" s="1"/>
  <c r="F57" i="69" s="1"/>
  <c r="G57" i="69" s="1"/>
  <c r="H57" i="69" s="1"/>
  <c r="I57" i="69" s="1"/>
  <c r="J57" i="69" s="1"/>
  <c r="K57" i="69" s="1"/>
  <c r="M57" i="69" s="1"/>
  <c r="C58" i="69"/>
  <c r="P58" i="69" s="1"/>
  <c r="AR58" i="67" a="1"/>
  <c r="AR58" i="67" s="1"/>
  <c r="B59" i="69"/>
  <c r="L59" i="69" s="1"/>
  <c r="AP13" i="59" a="1"/>
  <c r="AP13" i="59" s="1"/>
  <c r="E14" i="50" s="1"/>
  <c r="AO15" i="59" a="1"/>
  <c r="AO15" i="59" s="1"/>
  <c r="Y56" i="69" l="1"/>
  <c r="AB56" i="69" s="1"/>
  <c r="AC56" i="69" s="1"/>
  <c r="AD56" i="69" s="1"/>
  <c r="X71" i="57"/>
  <c r="AB71" i="57" s="1"/>
  <c r="AG73" i="57"/>
  <c r="M74" i="53"/>
  <c r="AC74" i="53" s="1"/>
  <c r="O74" i="53"/>
  <c r="AP58" i="69"/>
  <c r="N58" i="69"/>
  <c r="U58" i="69" s="1"/>
  <c r="AA70" i="57"/>
  <c r="AF70" i="57"/>
  <c r="AE72" i="57"/>
  <c r="Q72" i="57"/>
  <c r="T72" i="57" s="1"/>
  <c r="AQ72" i="57"/>
  <c r="R72" i="57"/>
  <c r="AD72" i="57"/>
  <c r="AJ72" i="57"/>
  <c r="AC72" i="57"/>
  <c r="M73" i="57"/>
  <c r="AK73" i="57" s="1"/>
  <c r="P12" i="50"/>
  <c r="P13" i="50"/>
  <c r="N74" i="53"/>
  <c r="T14" i="50"/>
  <c r="O14" i="50"/>
  <c r="AA72" i="53"/>
  <c r="AB72" i="53"/>
  <c r="S13" i="50"/>
  <c r="S12" i="50"/>
  <c r="AF57" i="69"/>
  <c r="Q57" i="69"/>
  <c r="O74" i="57"/>
  <c r="P74" i="57"/>
  <c r="AL31" i="22"/>
  <c r="AC55" i="69"/>
  <c r="AD55" i="69" s="1"/>
  <c r="O59" i="69"/>
  <c r="AO58" i="69"/>
  <c r="AF72" i="53"/>
  <c r="AE73" i="53"/>
  <c r="R73" i="53"/>
  <c r="X73" i="53" s="1"/>
  <c r="AY57" i="69"/>
  <c r="L74" i="57"/>
  <c r="AG73" i="53"/>
  <c r="AH73" i="53"/>
  <c r="AT73" i="53"/>
  <c r="Q73" i="53"/>
  <c r="N74" i="57"/>
  <c r="AD73" i="53"/>
  <c r="D74" i="53"/>
  <c r="AH57" i="69"/>
  <c r="I74" i="53"/>
  <c r="G74" i="53"/>
  <c r="F74" i="53"/>
  <c r="P74" i="53"/>
  <c r="K74" i="53"/>
  <c r="L74" i="53"/>
  <c r="AK73" i="52" a="1"/>
  <c r="AK73" i="52" s="1"/>
  <c r="B75" i="53" s="1"/>
  <c r="C74" i="53"/>
  <c r="E74" i="53"/>
  <c r="H74" i="53"/>
  <c r="J74" i="53"/>
  <c r="I14" i="50"/>
  <c r="B14" i="50"/>
  <c r="R14" i="50" s="1"/>
  <c r="H14" i="50"/>
  <c r="N14" i="50"/>
  <c r="F14" i="50"/>
  <c r="U14" i="50" s="1"/>
  <c r="L14" i="50"/>
  <c r="M14" i="50"/>
  <c r="A14" i="50"/>
  <c r="Q14" i="50" s="1"/>
  <c r="G14" i="50"/>
  <c r="K14" i="50"/>
  <c r="J14" i="50"/>
  <c r="J74" i="57"/>
  <c r="G74" i="57"/>
  <c r="D74" i="57"/>
  <c r="K74" i="57"/>
  <c r="F74" i="57"/>
  <c r="E74" i="57"/>
  <c r="I74" i="57"/>
  <c r="C74" i="57"/>
  <c r="H74" i="57"/>
  <c r="AN73" i="55" a="1"/>
  <c r="AN73" i="55" s="1"/>
  <c r="B75" i="57" s="1"/>
  <c r="AR59" i="67" a="1"/>
  <c r="AR59" i="67" s="1"/>
  <c r="B60" i="69"/>
  <c r="L60" i="69" s="1"/>
  <c r="D58" i="69"/>
  <c r="E58" i="69" s="1"/>
  <c r="F58" i="69" s="1"/>
  <c r="G58" i="69" s="1"/>
  <c r="H58" i="69" s="1"/>
  <c r="I58" i="69" s="1"/>
  <c r="J58" i="69" s="1"/>
  <c r="K58" i="69" s="1"/>
  <c r="M58" i="69" s="1"/>
  <c r="AE57" i="69"/>
  <c r="R57" i="69"/>
  <c r="S57" i="69" s="1"/>
  <c r="Y57" i="69" s="1"/>
  <c r="C59" i="69"/>
  <c r="P59" i="69" s="1"/>
  <c r="AP14" i="59" a="1"/>
  <c r="AP14" i="59" s="1"/>
  <c r="E15" i="50" s="1"/>
  <c r="AO16" i="59" a="1"/>
  <c r="AO16" i="59" s="1"/>
  <c r="AO17" i="59" s="1" a="1"/>
  <c r="AO17" i="59" s="1"/>
  <c r="AG56" i="69" l="1"/>
  <c r="X72" i="57"/>
  <c r="AA72" i="57" s="1"/>
  <c r="AG74" i="57"/>
  <c r="AC73" i="57"/>
  <c r="M75" i="53"/>
  <c r="AC75" i="53" s="1"/>
  <c r="O75" i="53"/>
  <c r="AP59" i="69"/>
  <c r="N59" i="69"/>
  <c r="U59" i="69" s="1"/>
  <c r="AA71" i="57"/>
  <c r="AJ73" i="57"/>
  <c r="R73" i="57"/>
  <c r="Q73" i="57"/>
  <c r="T73" i="57" s="1"/>
  <c r="AD73" i="57"/>
  <c r="AF71" i="57"/>
  <c r="AD5" i="50"/>
  <c r="AQ73" i="57"/>
  <c r="AE73" i="57"/>
  <c r="M74" i="57"/>
  <c r="AK74" i="57" s="1"/>
  <c r="P14" i="50"/>
  <c r="Z13" i="50"/>
  <c r="N75" i="53"/>
  <c r="T15" i="50"/>
  <c r="O15" i="50"/>
  <c r="AA73" i="53"/>
  <c r="AB73" i="53"/>
  <c r="AJ13" i="50"/>
  <c r="C13" i="50"/>
  <c r="S14" i="50"/>
  <c r="AJ12" i="50"/>
  <c r="Z12" i="50"/>
  <c r="W12" i="50"/>
  <c r="C12" i="50"/>
  <c r="W13" i="50"/>
  <c r="V12" i="50"/>
  <c r="V13" i="50"/>
  <c r="AF58" i="69"/>
  <c r="Q58" i="69"/>
  <c r="O75" i="57"/>
  <c r="P75" i="57"/>
  <c r="AB57" i="69"/>
  <c r="AG57" i="69"/>
  <c r="AO59" i="69"/>
  <c r="O60" i="69"/>
  <c r="AF73" i="53"/>
  <c r="AE74" i="53"/>
  <c r="R74" i="53"/>
  <c r="X74" i="53" s="1"/>
  <c r="AY58" i="69"/>
  <c r="L75" i="57"/>
  <c r="AH74" i="53"/>
  <c r="AT74" i="53"/>
  <c r="AG74" i="53"/>
  <c r="N75" i="57"/>
  <c r="E75" i="53"/>
  <c r="AH58" i="69"/>
  <c r="AD74" i="53"/>
  <c r="Q74" i="53"/>
  <c r="F75" i="53"/>
  <c r="H75" i="53"/>
  <c r="P75" i="53"/>
  <c r="J75" i="53"/>
  <c r="I75" i="53"/>
  <c r="D75" i="53"/>
  <c r="G75" i="53"/>
  <c r="K75" i="53"/>
  <c r="L75" i="53"/>
  <c r="AK74" i="52" a="1"/>
  <c r="AK74" i="52" s="1"/>
  <c r="B76" i="53" s="1"/>
  <c r="C75" i="53"/>
  <c r="K15" i="50"/>
  <c r="B15" i="50"/>
  <c r="R15" i="50" s="1"/>
  <c r="A15" i="50"/>
  <c r="Q15" i="50" s="1"/>
  <c r="F15" i="50"/>
  <c r="U15" i="50" s="1"/>
  <c r="M15" i="50"/>
  <c r="H15" i="50"/>
  <c r="I15" i="50"/>
  <c r="J15" i="50"/>
  <c r="N15" i="50"/>
  <c r="G15" i="50"/>
  <c r="L15" i="50"/>
  <c r="D75" i="57"/>
  <c r="K75" i="57"/>
  <c r="I75" i="57"/>
  <c r="H75" i="57"/>
  <c r="G75" i="57"/>
  <c r="E75" i="57"/>
  <c r="C75" i="57"/>
  <c r="F75" i="57"/>
  <c r="J75" i="57"/>
  <c r="AN74" i="55" a="1"/>
  <c r="AN74" i="55" s="1"/>
  <c r="B76" i="57" s="1"/>
  <c r="AR60" i="67" a="1"/>
  <c r="AR60" i="67" s="1"/>
  <c r="B61" i="69"/>
  <c r="L61" i="69" s="1"/>
  <c r="D59" i="69"/>
  <c r="E59" i="69" s="1"/>
  <c r="F59" i="69" s="1"/>
  <c r="G59" i="69" s="1"/>
  <c r="H59" i="69" s="1"/>
  <c r="I59" i="69" s="1"/>
  <c r="J59" i="69" s="1"/>
  <c r="K59" i="69" s="1"/>
  <c r="M59" i="69" s="1"/>
  <c r="AE58" i="69"/>
  <c r="R58" i="69"/>
  <c r="S58" i="69" s="1"/>
  <c r="C60" i="69"/>
  <c r="P60" i="69" s="1"/>
  <c r="AP15" i="59" a="1"/>
  <c r="AP15" i="59" s="1"/>
  <c r="E16" i="50" s="1"/>
  <c r="AO18" i="59" a="1"/>
  <c r="AO18" i="59" s="1"/>
  <c r="X73" i="57" l="1"/>
  <c r="AB73" i="57" s="1"/>
  <c r="Y58" i="69"/>
  <c r="AB58" i="69" s="1"/>
  <c r="AC58" i="69" s="1"/>
  <c r="AD58" i="69" s="1"/>
  <c r="AG75" i="57"/>
  <c r="M76" i="53"/>
  <c r="AC76" i="53" s="1"/>
  <c r="O76" i="53"/>
  <c r="AP60" i="69"/>
  <c r="N60" i="69"/>
  <c r="U60" i="69" s="1"/>
  <c r="AF72" i="57"/>
  <c r="AB72" i="57"/>
  <c r="AQ74" i="57"/>
  <c r="AD74" i="57"/>
  <c r="AJ74" i="57"/>
  <c r="R74" i="57"/>
  <c r="Q74" i="57"/>
  <c r="T74" i="57" s="1"/>
  <c r="AC74" i="57"/>
  <c r="AE74" i="57"/>
  <c r="M75" i="57"/>
  <c r="AK75" i="57" s="1"/>
  <c r="P15" i="50"/>
  <c r="N76" i="53"/>
  <c r="O16" i="50"/>
  <c r="T16" i="50"/>
  <c r="AA74" i="53"/>
  <c r="AB74" i="53"/>
  <c r="C14" i="50"/>
  <c r="Z14" i="50"/>
  <c r="AJ14" i="50"/>
  <c r="S15" i="50"/>
  <c r="W14" i="50"/>
  <c r="X13" i="50"/>
  <c r="AD13" i="50" s="1"/>
  <c r="V14" i="50"/>
  <c r="AF59" i="69"/>
  <c r="Q59" i="69"/>
  <c r="O76" i="57"/>
  <c r="P76" i="57"/>
  <c r="AC57" i="69"/>
  <c r="AD57" i="69" s="1"/>
  <c r="AO60" i="69"/>
  <c r="O61" i="69"/>
  <c r="AE75" i="53"/>
  <c r="AF74" i="53"/>
  <c r="R75" i="53"/>
  <c r="X75" i="53" s="1"/>
  <c r="AY59" i="69"/>
  <c r="L76" i="57"/>
  <c r="AG75" i="53"/>
  <c r="AH75" i="53"/>
  <c r="AT75" i="53"/>
  <c r="N76" i="57"/>
  <c r="AH59" i="69"/>
  <c r="AD75" i="53"/>
  <c r="Q75" i="53"/>
  <c r="H76" i="53"/>
  <c r="P76" i="53"/>
  <c r="E76" i="53"/>
  <c r="K76" i="53"/>
  <c r="C76" i="53"/>
  <c r="I76" i="53"/>
  <c r="D76" i="53"/>
  <c r="F76" i="53"/>
  <c r="L76" i="53"/>
  <c r="AK75" i="52" a="1"/>
  <c r="AK75" i="52" s="1"/>
  <c r="B77" i="53" s="1"/>
  <c r="G76" i="53"/>
  <c r="J76" i="53"/>
  <c r="B16" i="50"/>
  <c r="R16" i="50" s="1"/>
  <c r="M16" i="50"/>
  <c r="L16" i="50"/>
  <c r="K16" i="50"/>
  <c r="G16" i="50"/>
  <c r="N16" i="50"/>
  <c r="A16" i="50"/>
  <c r="Q16" i="50" s="1"/>
  <c r="F16" i="50"/>
  <c r="U16" i="50" s="1"/>
  <c r="H16" i="50"/>
  <c r="I16" i="50"/>
  <c r="J16" i="50"/>
  <c r="F76" i="57"/>
  <c r="K76" i="57"/>
  <c r="I76" i="57"/>
  <c r="C76" i="57"/>
  <c r="H76" i="57"/>
  <c r="D76" i="57"/>
  <c r="G76" i="57"/>
  <c r="E76" i="57"/>
  <c r="J76" i="57"/>
  <c r="AN75" i="55" a="1"/>
  <c r="AN75" i="55" s="1"/>
  <c r="B77" i="57" s="1"/>
  <c r="D60" i="69"/>
  <c r="E60" i="69" s="1"/>
  <c r="F60" i="69" s="1"/>
  <c r="G60" i="69" s="1"/>
  <c r="H60" i="69" s="1"/>
  <c r="I60" i="69" s="1"/>
  <c r="J60" i="69" s="1"/>
  <c r="K60" i="69" s="1"/>
  <c r="M60" i="69" s="1"/>
  <c r="AE59" i="69"/>
  <c r="R59" i="69"/>
  <c r="S59" i="69" s="1"/>
  <c r="Y59" i="69" s="1"/>
  <c r="C61" i="69"/>
  <c r="P61" i="69" s="1"/>
  <c r="AR61" i="67" a="1"/>
  <c r="AR61" i="67" s="1"/>
  <c r="B62" i="69"/>
  <c r="L62" i="69" s="1"/>
  <c r="AP16" i="59" a="1"/>
  <c r="AP16" i="59" s="1"/>
  <c r="E17" i="50" s="1"/>
  <c r="AO19" i="59" a="1"/>
  <c r="AO19" i="59" s="1"/>
  <c r="AG58" i="69" l="1"/>
  <c r="X74" i="57"/>
  <c r="AA74" i="57" s="1"/>
  <c r="AG76" i="57"/>
  <c r="AA73" i="57"/>
  <c r="M77" i="53"/>
  <c r="AC77" i="53" s="1"/>
  <c r="O77" i="53"/>
  <c r="AP61" i="69"/>
  <c r="N61" i="69"/>
  <c r="U61" i="69" s="1"/>
  <c r="Q75" i="57"/>
  <c r="T75" i="57" s="1"/>
  <c r="AF73" i="57"/>
  <c r="AQ75" i="57"/>
  <c r="AJ75" i="57"/>
  <c r="R75" i="57"/>
  <c r="AD75" i="57"/>
  <c r="AC75" i="57"/>
  <c r="AE75" i="57"/>
  <c r="M76" i="57"/>
  <c r="AK76" i="57" s="1"/>
  <c r="P16" i="50"/>
  <c r="Z15" i="50"/>
  <c r="N77" i="53"/>
  <c r="O17" i="50"/>
  <c r="T17" i="50"/>
  <c r="AA75" i="53"/>
  <c r="AB75" i="53"/>
  <c r="AJ15" i="50"/>
  <c r="C15" i="50"/>
  <c r="S16" i="50"/>
  <c r="W15" i="50"/>
  <c r="X14" i="50"/>
  <c r="AD14" i="50" s="1"/>
  <c r="V15" i="50"/>
  <c r="AF60" i="69"/>
  <c r="Q60" i="69"/>
  <c r="O77" i="57"/>
  <c r="P77" i="57"/>
  <c r="AB59" i="69"/>
  <c r="AG59" i="69"/>
  <c r="AO61" i="69"/>
  <c r="O62" i="69"/>
  <c r="AE76" i="53"/>
  <c r="AF75" i="53"/>
  <c r="R76" i="53"/>
  <c r="X76" i="53" s="1"/>
  <c r="AY60" i="69"/>
  <c r="L77" i="57"/>
  <c r="AH76" i="53"/>
  <c r="AT76" i="53"/>
  <c r="AG76" i="53"/>
  <c r="N77" i="57"/>
  <c r="C77" i="53"/>
  <c r="AH60" i="69"/>
  <c r="AD76" i="53"/>
  <c r="Q76" i="53"/>
  <c r="L77" i="53"/>
  <c r="I77" i="53"/>
  <c r="J77" i="53"/>
  <c r="D77" i="53"/>
  <c r="K77" i="53"/>
  <c r="F77" i="53"/>
  <c r="G77" i="53"/>
  <c r="AK76" i="52" a="1"/>
  <c r="AK76" i="52" s="1"/>
  <c r="B78" i="53" s="1"/>
  <c r="P77" i="53"/>
  <c r="H77" i="53"/>
  <c r="E77" i="53"/>
  <c r="M17" i="50"/>
  <c r="K17" i="50"/>
  <c r="H17" i="50"/>
  <c r="N17" i="50"/>
  <c r="B17" i="50"/>
  <c r="R17" i="50" s="1"/>
  <c r="L17" i="50"/>
  <c r="G17" i="50"/>
  <c r="I17" i="50"/>
  <c r="A17" i="50"/>
  <c r="Q17" i="50" s="1"/>
  <c r="J17" i="50"/>
  <c r="F17" i="50"/>
  <c r="U17" i="50" s="1"/>
  <c r="K77" i="57"/>
  <c r="G77" i="57"/>
  <c r="E77" i="57"/>
  <c r="D77" i="57"/>
  <c r="C77" i="57"/>
  <c r="I77" i="57"/>
  <c r="H77" i="57"/>
  <c r="F77" i="57"/>
  <c r="J77" i="57"/>
  <c r="AN76" i="55" a="1"/>
  <c r="AN76" i="55" s="1"/>
  <c r="B78" i="57" s="1"/>
  <c r="AR62" i="67" a="1"/>
  <c r="AR62" i="67" s="1"/>
  <c r="B63" i="69"/>
  <c r="L63" i="69" s="1"/>
  <c r="AE60" i="69"/>
  <c r="R60" i="69"/>
  <c r="S60" i="69" s="1"/>
  <c r="Y60" i="69" s="1"/>
  <c r="C62" i="69"/>
  <c r="P62" i="69" s="1"/>
  <c r="D61" i="69"/>
  <c r="E61" i="69" s="1"/>
  <c r="F61" i="69" s="1"/>
  <c r="G61" i="69" s="1"/>
  <c r="H61" i="69" s="1"/>
  <c r="I61" i="69" s="1"/>
  <c r="J61" i="69" s="1"/>
  <c r="K61" i="69" s="1"/>
  <c r="M61" i="69" s="1"/>
  <c r="AP17" i="59" a="1"/>
  <c r="AP17" i="59" s="1"/>
  <c r="E18" i="50" s="1"/>
  <c r="AO20" i="59" a="1"/>
  <c r="AO20" i="59" s="1"/>
  <c r="AO21" i="59" s="1" a="1"/>
  <c r="AO21" i="59" s="1"/>
  <c r="AO22" i="59" s="1" a="1"/>
  <c r="AO22" i="59" s="1"/>
  <c r="AO23" i="59" s="1" a="1"/>
  <c r="AO23" i="59" s="1"/>
  <c r="AO24" i="59" s="1" a="1"/>
  <c r="AO24" i="59" s="1"/>
  <c r="AO25" i="59" s="1" a="1"/>
  <c r="AO25" i="59" s="1"/>
  <c r="AO26" i="59" s="1" a="1"/>
  <c r="AO26" i="59" s="1"/>
  <c r="AO27" i="59" s="1" a="1"/>
  <c r="AO27" i="59" s="1"/>
  <c r="AO28" i="59" s="1" a="1"/>
  <c r="AO28" i="59" s="1"/>
  <c r="AO29" i="59" s="1" a="1"/>
  <c r="AO29" i="59" s="1"/>
  <c r="AO30" i="59" s="1" a="1"/>
  <c r="AO30" i="59" s="1"/>
  <c r="AO31" i="59" s="1" a="1"/>
  <c r="AO31" i="59" s="1"/>
  <c r="AO32" i="59" s="1" a="1"/>
  <c r="AO32" i="59" s="1"/>
  <c r="AO33" i="59" s="1" a="1"/>
  <c r="AO33" i="59" s="1"/>
  <c r="AO34" i="59" s="1" a="1"/>
  <c r="AO34" i="59" s="1"/>
  <c r="AO35" i="59" s="1" a="1"/>
  <c r="AO35" i="59" s="1"/>
  <c r="AO36" i="59" s="1" a="1"/>
  <c r="AO36" i="59" s="1"/>
  <c r="AO37" i="59" s="1" a="1"/>
  <c r="AO37" i="59" s="1"/>
  <c r="AO38" i="59" s="1" a="1"/>
  <c r="AO38" i="59" s="1"/>
  <c r="AO39" i="59" s="1" a="1"/>
  <c r="AO39" i="59" s="1"/>
  <c r="AO40" i="59" s="1" a="1"/>
  <c r="AO40" i="59" s="1"/>
  <c r="AO41" i="59" s="1" a="1"/>
  <c r="AO41" i="59" s="1"/>
  <c r="AO42" i="59" s="1" a="1"/>
  <c r="AO42" i="59" s="1"/>
  <c r="AO43" i="59" s="1" a="1"/>
  <c r="AO43" i="59" s="1"/>
  <c r="AO44" i="59" s="1" a="1"/>
  <c r="AO44" i="59" s="1"/>
  <c r="AO45" i="59" s="1" a="1"/>
  <c r="AO45" i="59" s="1"/>
  <c r="AO46" i="59" s="1" a="1"/>
  <c r="AO46" i="59" s="1"/>
  <c r="AO47" i="59" s="1" a="1"/>
  <c r="AO47" i="59" s="1"/>
  <c r="AO48" i="59" s="1" a="1"/>
  <c r="AO48" i="59" s="1"/>
  <c r="AO49" i="59" s="1" a="1"/>
  <c r="AO49" i="59" s="1"/>
  <c r="AO50" i="59" s="1" a="1"/>
  <c r="AO50" i="59" s="1"/>
  <c r="AO51" i="59" s="1" a="1"/>
  <c r="AO51" i="59" s="1"/>
  <c r="AO52" i="59" s="1" a="1"/>
  <c r="AO52" i="59" s="1"/>
  <c r="AO53" i="59" s="1" a="1"/>
  <c r="AO53" i="59" s="1"/>
  <c r="AO54" i="59" s="1" a="1"/>
  <c r="AO54" i="59" s="1"/>
  <c r="AO55" i="59" s="1" a="1"/>
  <c r="AO55" i="59" s="1"/>
  <c r="AO56" i="59" s="1" a="1"/>
  <c r="AO56" i="59" s="1"/>
  <c r="AO57" i="59" s="1" a="1"/>
  <c r="AO57" i="59" s="1"/>
  <c r="AO58" i="59" s="1" a="1"/>
  <c r="AO58" i="59" s="1"/>
  <c r="AO59" i="59" s="1" a="1"/>
  <c r="AO59" i="59" s="1"/>
  <c r="AO60" i="59" s="1" a="1"/>
  <c r="AO60" i="59" s="1"/>
  <c r="AO61" i="59" s="1" a="1"/>
  <c r="AO61" i="59" s="1"/>
  <c r="AO62" i="59" s="1" a="1"/>
  <c r="AO62" i="59" s="1"/>
  <c r="AO63" i="59" s="1" a="1"/>
  <c r="AO63" i="59" s="1"/>
  <c r="AO64" i="59" s="1" a="1"/>
  <c r="AO64" i="59" s="1"/>
  <c r="AO65" i="59" s="1" a="1"/>
  <c r="AO65" i="59" s="1"/>
  <c r="AO66" i="59" s="1" a="1"/>
  <c r="AO66" i="59" s="1"/>
  <c r="AO67" i="59" s="1" a="1"/>
  <c r="AO67" i="59" s="1"/>
  <c r="AO68" i="59" s="1" a="1"/>
  <c r="AO68" i="59" s="1"/>
  <c r="AO69" i="59" s="1" a="1"/>
  <c r="AO69" i="59" s="1"/>
  <c r="AO70" i="59" s="1" a="1"/>
  <c r="AO70" i="59" s="1"/>
  <c r="AO71" i="59" s="1" a="1"/>
  <c r="AO71" i="59" s="1"/>
  <c r="AO72" i="59" s="1" a="1"/>
  <c r="AO72" i="59" s="1"/>
  <c r="AO73" i="59" s="1" a="1"/>
  <c r="AO73" i="59" s="1"/>
  <c r="AO74" i="59" s="1" a="1"/>
  <c r="AO74" i="59" s="1"/>
  <c r="AO75" i="59" s="1" a="1"/>
  <c r="AO75" i="59" s="1"/>
  <c r="AO76" i="59" s="1" a="1"/>
  <c r="AO76" i="59" s="1"/>
  <c r="AO77" i="59" s="1" a="1"/>
  <c r="AO77" i="59" s="1"/>
  <c r="AO78" i="59" s="1" a="1"/>
  <c r="AO78" i="59" s="1"/>
  <c r="AO79" i="59" s="1" a="1"/>
  <c r="AO79" i="59" s="1"/>
  <c r="AO80" i="59" s="1" a="1"/>
  <c r="AO80" i="59" s="1"/>
  <c r="AO81" i="59" s="1" a="1"/>
  <c r="AO81" i="59" s="1"/>
  <c r="AO82" i="59" s="1" a="1"/>
  <c r="AO82" i="59" s="1"/>
  <c r="AO83" i="59" s="1" a="1"/>
  <c r="AO83" i="59" s="1"/>
  <c r="AO84" i="59" s="1" a="1"/>
  <c r="AO84" i="59" s="1"/>
  <c r="AO85" i="59" s="1" a="1"/>
  <c r="AO85" i="59" s="1"/>
  <c r="AO86" i="59" s="1" a="1"/>
  <c r="AO86" i="59" s="1"/>
  <c r="AO87" i="59" s="1" a="1"/>
  <c r="AO87" i="59" s="1"/>
  <c r="AO88" i="59" s="1" a="1"/>
  <c r="AO88" i="59" s="1"/>
  <c r="AO89" i="59" s="1" a="1"/>
  <c r="AO89" i="59" s="1"/>
  <c r="AO90" i="59" s="1" a="1"/>
  <c r="AO90" i="59" s="1"/>
  <c r="AO91" i="59" s="1" a="1"/>
  <c r="AO91" i="59" s="1"/>
  <c r="AO92" i="59" s="1" a="1"/>
  <c r="AO92" i="59" s="1"/>
  <c r="AO93" i="59" s="1" a="1"/>
  <c r="AO93" i="59" s="1"/>
  <c r="AO94" i="59" s="1" a="1"/>
  <c r="AO94" i="59" s="1"/>
  <c r="AO95" i="59" s="1" a="1"/>
  <c r="AO95" i="59" s="1"/>
  <c r="AO96" i="59" s="1" a="1"/>
  <c r="AO96" i="59" s="1"/>
  <c r="AO97" i="59" s="1" a="1"/>
  <c r="AO97" i="59" s="1"/>
  <c r="AO98" i="59" s="1" a="1"/>
  <c r="AO98" i="59" s="1"/>
  <c r="AO99" i="59" s="1" a="1"/>
  <c r="AO99" i="59" s="1"/>
  <c r="AO100" i="59" s="1" a="1"/>
  <c r="AO100" i="59" s="1"/>
  <c r="AO101" i="59" s="1" a="1"/>
  <c r="AO101" i="59" s="1"/>
  <c r="AO102" i="59" s="1" a="1"/>
  <c r="AO102" i="59" s="1"/>
  <c r="AO103" i="59" s="1" a="1"/>
  <c r="AO103" i="59" s="1"/>
  <c r="AO104" i="59" s="1" a="1"/>
  <c r="AO104" i="59" s="1"/>
  <c r="AO105" i="59" s="1" a="1"/>
  <c r="AO105" i="59" s="1"/>
  <c r="AO106" i="59" s="1" a="1"/>
  <c r="AO106" i="59" s="1"/>
  <c r="AO107" i="59" s="1" a="1"/>
  <c r="AO107" i="59" s="1"/>
  <c r="AO108" i="59" s="1" a="1"/>
  <c r="AO108" i="59" s="1"/>
  <c r="AO109" i="59" s="1" a="1"/>
  <c r="AO109" i="59" s="1"/>
  <c r="AO110" i="59" s="1" a="1"/>
  <c r="AO110" i="59" s="1"/>
  <c r="AO111" i="59" s="1" a="1"/>
  <c r="AO111" i="59" s="1"/>
  <c r="AO112" i="59" s="1" a="1"/>
  <c r="AO112" i="59" s="1"/>
  <c r="AO113" i="59" s="1" a="1"/>
  <c r="AO113" i="59" s="1"/>
  <c r="AO114" i="59" s="1" a="1"/>
  <c r="AO114" i="59" s="1"/>
  <c r="AO115" i="59" s="1" a="1"/>
  <c r="AO115" i="59" s="1"/>
  <c r="AO116" i="59" s="1" a="1"/>
  <c r="AO116" i="59" s="1"/>
  <c r="AO117" i="59" s="1" a="1"/>
  <c r="AO117" i="59" s="1"/>
  <c r="AO118" i="59" s="1" a="1"/>
  <c r="AO118" i="59" s="1"/>
  <c r="AO119" i="59" s="1" a="1"/>
  <c r="AO119" i="59" s="1"/>
  <c r="AO120" i="59" s="1" a="1"/>
  <c r="AO120" i="59" s="1"/>
  <c r="AO121" i="59" s="1" a="1"/>
  <c r="AO121" i="59" s="1"/>
  <c r="AO122" i="59" s="1" a="1"/>
  <c r="AO122" i="59" s="1"/>
  <c r="AO123" i="59" s="1" a="1"/>
  <c r="AO123" i="59" s="1"/>
  <c r="AO124" i="59" s="1" a="1"/>
  <c r="AO124" i="59" s="1"/>
  <c r="AO125" i="59" s="1" a="1"/>
  <c r="AO125" i="59" s="1"/>
  <c r="AO126" i="59" s="1" a="1"/>
  <c r="AO126" i="59" s="1"/>
  <c r="AO127" i="59" s="1" a="1"/>
  <c r="AO127" i="59" s="1"/>
  <c r="AO128" i="59" s="1" a="1"/>
  <c r="AO128" i="59" s="1"/>
  <c r="AO129" i="59" s="1" a="1"/>
  <c r="AO129" i="59" s="1"/>
  <c r="AO130" i="59" s="1" a="1"/>
  <c r="AO130" i="59" s="1"/>
  <c r="AO131" i="59" s="1" a="1"/>
  <c r="AO131" i="59" s="1"/>
  <c r="AO132" i="59" s="1" a="1"/>
  <c r="AO132" i="59" s="1"/>
  <c r="AO133" i="59" s="1" a="1"/>
  <c r="AO133" i="59" s="1"/>
  <c r="AO134" i="59" s="1" a="1"/>
  <c r="AO134" i="59" s="1"/>
  <c r="AO135" i="59" s="1" a="1"/>
  <c r="AO135" i="59" s="1"/>
  <c r="AO136" i="59" s="1" a="1"/>
  <c r="AO136" i="59" s="1"/>
  <c r="AO137" i="59" s="1" a="1"/>
  <c r="AO137" i="59" s="1"/>
  <c r="AO138" i="59" s="1" a="1"/>
  <c r="AO138" i="59" s="1"/>
  <c r="AO139" i="59" s="1" a="1"/>
  <c r="AO139" i="59" s="1"/>
  <c r="AO140" i="59" s="1" a="1"/>
  <c r="AO140" i="59" s="1"/>
  <c r="AO141" i="59" s="1" a="1"/>
  <c r="AO141" i="59" s="1"/>
  <c r="AO142" i="59" s="1" a="1"/>
  <c r="AO142" i="59" s="1"/>
  <c r="AO143" i="59" s="1" a="1"/>
  <c r="AO143" i="59" s="1"/>
  <c r="AO144" i="59" s="1" a="1"/>
  <c r="AO144" i="59" s="1"/>
  <c r="AO145" i="59" s="1" a="1"/>
  <c r="AO145" i="59" s="1"/>
  <c r="AO146" i="59" s="1" a="1"/>
  <c r="AO146" i="59" s="1"/>
  <c r="AO147" i="59" s="1" a="1"/>
  <c r="AO147" i="59" s="1"/>
  <c r="AO148" i="59" s="1" a="1"/>
  <c r="AO148" i="59" s="1"/>
  <c r="AO149" i="59" s="1" a="1"/>
  <c r="AO149" i="59" s="1"/>
  <c r="AO150" i="59" s="1" a="1"/>
  <c r="AO150" i="59" s="1"/>
  <c r="AO151" i="59" s="1" a="1"/>
  <c r="AO151" i="59" s="1"/>
  <c r="AO152" i="59" s="1" a="1"/>
  <c r="AO152" i="59" s="1"/>
  <c r="AO153" i="59" s="1" a="1"/>
  <c r="AO153" i="59" s="1"/>
  <c r="AO154" i="59" s="1" a="1"/>
  <c r="AO154" i="59" s="1"/>
  <c r="AO155" i="59" s="1" a="1"/>
  <c r="AO155" i="59" s="1"/>
  <c r="AO156" i="59" s="1" a="1"/>
  <c r="AO156" i="59" s="1"/>
  <c r="AO157" i="59" s="1" a="1"/>
  <c r="AO157" i="59" s="1"/>
  <c r="AO158" i="59" s="1" a="1"/>
  <c r="AO158" i="59" s="1"/>
  <c r="AO159" i="59" s="1" a="1"/>
  <c r="AO159" i="59" s="1"/>
  <c r="AO160" i="59" s="1" a="1"/>
  <c r="AO160" i="59" s="1"/>
  <c r="AO161" i="59" s="1" a="1"/>
  <c r="AO161" i="59" s="1"/>
  <c r="AO162" i="59" s="1" a="1"/>
  <c r="AO162" i="59" s="1"/>
  <c r="AO163" i="59" s="1" a="1"/>
  <c r="AO163" i="59" s="1"/>
  <c r="AO164" i="59" s="1" a="1"/>
  <c r="AO164" i="59" s="1"/>
  <c r="AO165" i="59" s="1" a="1"/>
  <c r="AO165" i="59" s="1"/>
  <c r="AO166" i="59" s="1" a="1"/>
  <c r="AO166" i="59" s="1"/>
  <c r="AO167" i="59" s="1" a="1"/>
  <c r="AO167" i="59" s="1"/>
  <c r="AO168" i="59" s="1" a="1"/>
  <c r="AO168" i="59" s="1"/>
  <c r="AO169" i="59" s="1" a="1"/>
  <c r="AO169" i="59" s="1"/>
  <c r="AO170" i="59" s="1" a="1"/>
  <c r="AO170" i="59" s="1"/>
  <c r="AO171" i="59" s="1" a="1"/>
  <c r="AO171" i="59" s="1"/>
  <c r="AO172" i="59" s="1" a="1"/>
  <c r="AO172" i="59" s="1"/>
  <c r="AO173" i="59" s="1" a="1"/>
  <c r="AO173" i="59" s="1"/>
  <c r="AO174" i="59" s="1" a="1"/>
  <c r="AO174" i="59" s="1"/>
  <c r="AO175" i="59" s="1" a="1"/>
  <c r="AO175" i="59" s="1"/>
  <c r="AO176" i="59" s="1" a="1"/>
  <c r="AO176" i="59" s="1"/>
  <c r="AO177" i="59" s="1" a="1"/>
  <c r="AO177" i="59" s="1"/>
  <c r="AO178" i="59" s="1" a="1"/>
  <c r="AO178" i="59" s="1"/>
  <c r="AO179" i="59" s="1" a="1"/>
  <c r="AO179" i="59" s="1"/>
  <c r="AO180" i="59" s="1" a="1"/>
  <c r="AO180" i="59" s="1"/>
  <c r="AO181" i="59" s="1" a="1"/>
  <c r="AO181" i="59" s="1"/>
  <c r="AO182" i="59" s="1" a="1"/>
  <c r="AO182" i="59" s="1"/>
  <c r="AO183" i="59" s="1" a="1"/>
  <c r="AO183" i="59" s="1"/>
  <c r="AO184" i="59" s="1" a="1"/>
  <c r="AO184" i="59" s="1"/>
  <c r="AO185" i="59" s="1" a="1"/>
  <c r="AO185" i="59" s="1"/>
  <c r="AO186" i="59" s="1" a="1"/>
  <c r="AO186" i="59" s="1"/>
  <c r="AO187" i="59" s="1" a="1"/>
  <c r="AO187" i="59" s="1"/>
  <c r="AO188" i="59" s="1" a="1"/>
  <c r="AO188" i="59" s="1"/>
  <c r="AO189" i="59" s="1" a="1"/>
  <c r="AO189" i="59" s="1"/>
  <c r="AO190" i="59" s="1" a="1"/>
  <c r="AO190" i="59" s="1"/>
  <c r="AO191" i="59" s="1" a="1"/>
  <c r="AO191" i="59" s="1"/>
  <c r="AO192" i="59" s="1" a="1"/>
  <c r="AO192" i="59" s="1"/>
  <c r="AO193" i="59" s="1" a="1"/>
  <c r="AO193" i="59" s="1"/>
  <c r="AO194" i="59" s="1" a="1"/>
  <c r="AO194" i="59" s="1"/>
  <c r="AO195" i="59" s="1" a="1"/>
  <c r="AO195" i="59" s="1"/>
  <c r="AO196" i="59" s="1" a="1"/>
  <c r="AO196" i="59" s="1"/>
  <c r="AO197" i="59" s="1" a="1"/>
  <c r="AO197" i="59" s="1"/>
  <c r="AO198" i="59" s="1" a="1"/>
  <c r="AO198" i="59" s="1"/>
  <c r="AO199" i="59" s="1" a="1"/>
  <c r="AO199" i="59" s="1"/>
  <c r="AO200" i="59" s="1" a="1"/>
  <c r="AO200" i="59" s="1"/>
  <c r="AO201" i="59" s="1" a="1"/>
  <c r="AO201" i="59" s="1"/>
  <c r="AO202" i="59" s="1" a="1"/>
  <c r="AO202" i="59" s="1"/>
  <c r="AO203" i="59" s="1" a="1"/>
  <c r="AO203" i="59" s="1"/>
  <c r="AO204" i="59" s="1" a="1"/>
  <c r="AO204" i="59" s="1"/>
  <c r="AO205" i="59" s="1" a="1"/>
  <c r="AO205" i="59" s="1"/>
  <c r="AO206" i="59" s="1" a="1"/>
  <c r="AO206" i="59" s="1"/>
  <c r="AO207" i="59" s="1" a="1"/>
  <c r="AO207" i="59" s="1"/>
  <c r="AO208" i="59" s="1" a="1"/>
  <c r="AO208" i="59" s="1"/>
  <c r="AO209" i="59" s="1" a="1"/>
  <c r="AO209" i="59" s="1"/>
  <c r="AO210" i="59" s="1" a="1"/>
  <c r="AO210" i="59" s="1"/>
  <c r="AO211" i="59" s="1" a="1"/>
  <c r="AO211" i="59" s="1"/>
  <c r="AO212" i="59" s="1" a="1"/>
  <c r="AO212" i="59" s="1"/>
  <c r="AO213" i="59" s="1" a="1"/>
  <c r="AO213" i="59" s="1"/>
  <c r="AO214" i="59" s="1" a="1"/>
  <c r="AO214" i="59" s="1"/>
  <c r="AO215" i="59" s="1" a="1"/>
  <c r="AO215" i="59" s="1"/>
  <c r="AO216" i="59" s="1" a="1"/>
  <c r="AO216" i="59" s="1"/>
  <c r="AO217" i="59" s="1" a="1"/>
  <c r="AO217" i="59" s="1"/>
  <c r="AO218" i="59" s="1" a="1"/>
  <c r="AO218" i="59" s="1"/>
  <c r="AO219" i="59" s="1" a="1"/>
  <c r="AO219" i="59" s="1"/>
  <c r="AO220" i="59" s="1" a="1"/>
  <c r="AO220" i="59" s="1"/>
  <c r="AO221" i="59" s="1" a="1"/>
  <c r="AO221" i="59" s="1"/>
  <c r="AO222" i="59" s="1" a="1"/>
  <c r="AO222" i="59" s="1"/>
  <c r="AO223" i="59" s="1" a="1"/>
  <c r="AO223" i="59" s="1"/>
  <c r="AO224" i="59" s="1" a="1"/>
  <c r="AO224" i="59" s="1"/>
  <c r="AO225" i="59" s="1" a="1"/>
  <c r="AO225" i="59" s="1"/>
  <c r="AO226" i="59" s="1" a="1"/>
  <c r="AO226" i="59" s="1"/>
  <c r="AO227" i="59" s="1" a="1"/>
  <c r="AO227" i="59" s="1"/>
  <c r="AO228" i="59" s="1" a="1"/>
  <c r="AO228" i="59" s="1"/>
  <c r="AO229" i="59" s="1" a="1"/>
  <c r="AO229" i="59" s="1"/>
  <c r="AO230" i="59" s="1" a="1"/>
  <c r="AO230" i="59" s="1"/>
  <c r="AO231" i="59" s="1" a="1"/>
  <c r="AO231" i="59" s="1"/>
  <c r="AO232" i="59" s="1" a="1"/>
  <c r="AO232" i="59" s="1"/>
  <c r="AO233" i="59" s="1" a="1"/>
  <c r="AO233" i="59" s="1"/>
  <c r="AO234" i="59" s="1" a="1"/>
  <c r="AO234" i="59" s="1"/>
  <c r="AO235" i="59" s="1" a="1"/>
  <c r="AO235" i="59" s="1"/>
  <c r="AO236" i="59" s="1" a="1"/>
  <c r="AO236" i="59" s="1"/>
  <c r="AO237" i="59" s="1" a="1"/>
  <c r="AO237" i="59" s="1"/>
  <c r="AO238" i="59" s="1" a="1"/>
  <c r="AO238" i="59" s="1"/>
  <c r="AO239" i="59" s="1" a="1"/>
  <c r="AO239" i="59" s="1"/>
  <c r="AO240" i="59" s="1" a="1"/>
  <c r="AO240" i="59" s="1"/>
  <c r="AO241" i="59" s="1" a="1"/>
  <c r="AO241" i="59" s="1"/>
  <c r="AO242" i="59" s="1" a="1"/>
  <c r="AO242" i="59" s="1"/>
  <c r="AO243" i="59" s="1" a="1"/>
  <c r="AO243" i="59" s="1"/>
  <c r="AO244" i="59" s="1" a="1"/>
  <c r="AO244" i="59" s="1"/>
  <c r="AO245" i="59" s="1" a="1"/>
  <c r="AO245" i="59" s="1"/>
  <c r="AO246" i="59" s="1" a="1"/>
  <c r="AO246" i="59" s="1"/>
  <c r="AO247" i="59" s="1" a="1"/>
  <c r="AO247" i="59" s="1"/>
  <c r="AO248" i="59" s="1" a="1"/>
  <c r="AO248" i="59" s="1"/>
  <c r="AO249" i="59" s="1" a="1"/>
  <c r="AO249" i="59" s="1"/>
  <c r="AO250" i="59" s="1" a="1"/>
  <c r="AO250" i="59" s="1"/>
  <c r="AO251" i="59" s="1" a="1"/>
  <c r="AO251" i="59" s="1"/>
  <c r="AO252" i="59" s="1" a="1"/>
  <c r="AO252" i="59" s="1"/>
  <c r="AO253" i="59" s="1" a="1"/>
  <c r="AO253" i="59" s="1"/>
  <c r="AO254" i="59" s="1" a="1"/>
  <c r="AO254" i="59" s="1"/>
  <c r="AO255" i="59" s="1" a="1"/>
  <c r="AO255" i="59" s="1"/>
  <c r="AO256" i="59" s="1" a="1"/>
  <c r="AO256" i="59" s="1"/>
  <c r="AO257" i="59" s="1" a="1"/>
  <c r="AO257" i="59" s="1"/>
  <c r="AO258" i="59" s="1" a="1"/>
  <c r="AO258" i="59" s="1"/>
  <c r="I104" i="22"/>
  <c r="AG77" i="57" l="1"/>
  <c r="X75" i="57"/>
  <c r="AB75" i="57" s="1"/>
  <c r="M78" i="53"/>
  <c r="AC78" i="53" s="1"/>
  <c r="O78" i="53"/>
  <c r="AP62" i="69"/>
  <c r="N62" i="69"/>
  <c r="U62" i="69" s="1"/>
  <c r="AQ76" i="57"/>
  <c r="AF74" i="57"/>
  <c r="AB74" i="57"/>
  <c r="AD76" i="57"/>
  <c r="AJ76" i="57"/>
  <c r="R76" i="57"/>
  <c r="Q76" i="57"/>
  <c r="T76" i="57" s="1"/>
  <c r="AE76" i="57"/>
  <c r="AC76" i="57"/>
  <c r="M77" i="57"/>
  <c r="AK77" i="57" s="1"/>
  <c r="P17" i="50"/>
  <c r="Z16" i="50"/>
  <c r="N78" i="53"/>
  <c r="T18" i="50"/>
  <c r="O18" i="50"/>
  <c r="AA76" i="53"/>
  <c r="AB76" i="53"/>
  <c r="AG13" i="50"/>
  <c r="AH13" i="50" s="1"/>
  <c r="AI13" i="50" s="1"/>
  <c r="AJ16" i="50"/>
  <c r="C16" i="50"/>
  <c r="S17" i="50"/>
  <c r="AK13" i="50"/>
  <c r="W16" i="50"/>
  <c r="X15" i="50"/>
  <c r="AD15" i="50" s="1"/>
  <c r="V16" i="50"/>
  <c r="AF61" i="69"/>
  <c r="Q61" i="69"/>
  <c r="O78" i="57"/>
  <c r="P78" i="57"/>
  <c r="AC59" i="69"/>
  <c r="AD59" i="69" s="1"/>
  <c r="AB60" i="69"/>
  <c r="AG60" i="69"/>
  <c r="AO62" i="69"/>
  <c r="O63" i="69"/>
  <c r="AE77" i="53"/>
  <c r="AF76" i="53"/>
  <c r="R77" i="53"/>
  <c r="X77" i="53" s="1"/>
  <c r="D4" i="22"/>
  <c r="AY61" i="69"/>
  <c r="L78" i="57"/>
  <c r="AG77" i="53"/>
  <c r="AH77" i="53"/>
  <c r="AT77" i="53"/>
  <c r="N78" i="57"/>
  <c r="P78" i="53"/>
  <c r="AH61" i="69"/>
  <c r="AD77" i="53"/>
  <c r="Q77" i="53"/>
  <c r="J78" i="53"/>
  <c r="C78" i="53"/>
  <c r="F78" i="53"/>
  <c r="G78" i="53"/>
  <c r="K78" i="53"/>
  <c r="L78" i="53"/>
  <c r="E78" i="53"/>
  <c r="D78" i="53"/>
  <c r="AK77" i="52" a="1"/>
  <c r="AK77" i="52" s="1"/>
  <c r="B79" i="53" s="1"/>
  <c r="H78" i="53"/>
  <c r="I78" i="53"/>
  <c r="F18" i="50"/>
  <c r="U18" i="50" s="1"/>
  <c r="L18" i="50"/>
  <c r="M18" i="50"/>
  <c r="B18" i="50"/>
  <c r="R18" i="50" s="1"/>
  <c r="A18" i="50"/>
  <c r="Q18" i="50" s="1"/>
  <c r="J18" i="50"/>
  <c r="H18" i="50"/>
  <c r="I18" i="50"/>
  <c r="N18" i="50"/>
  <c r="K18" i="50"/>
  <c r="G18" i="50"/>
  <c r="J78" i="57"/>
  <c r="E78" i="57"/>
  <c r="D78" i="57"/>
  <c r="G78" i="57"/>
  <c r="I78" i="57"/>
  <c r="C78" i="57"/>
  <c r="K78" i="57"/>
  <c r="F78" i="57"/>
  <c r="H78" i="57"/>
  <c r="AN77" i="55" a="1"/>
  <c r="AN77" i="55" s="1"/>
  <c r="B79" i="57" s="1"/>
  <c r="AE61" i="69"/>
  <c r="R61" i="69"/>
  <c r="S61" i="69" s="1"/>
  <c r="Y61" i="69" s="1"/>
  <c r="D62" i="69"/>
  <c r="E62" i="69" s="1"/>
  <c r="F62" i="69" s="1"/>
  <c r="G62" i="69" s="1"/>
  <c r="H62" i="69" s="1"/>
  <c r="I62" i="69" s="1"/>
  <c r="J62" i="69" s="1"/>
  <c r="K62" i="69" s="1"/>
  <c r="M62" i="69" s="1"/>
  <c r="C63" i="69"/>
  <c r="P63" i="69" s="1"/>
  <c r="AR63" i="67" a="1"/>
  <c r="AR63" i="67" s="1"/>
  <c r="B64" i="69"/>
  <c r="L64" i="69" s="1"/>
  <c r="I103" i="22"/>
  <c r="I27" i="22"/>
  <c r="I45" i="22"/>
  <c r="I65" i="22"/>
  <c r="I69" i="22"/>
  <c r="I78" i="22"/>
  <c r="I39" i="22"/>
  <c r="I67" i="22"/>
  <c r="I71" i="22"/>
  <c r="I81" i="22"/>
  <c r="I99" i="22"/>
  <c r="I35" i="22"/>
  <c r="I68" i="22"/>
  <c r="I72" i="22"/>
  <c r="I74" i="22"/>
  <c r="I77" i="22"/>
  <c r="I42" i="22"/>
  <c r="I79" i="22"/>
  <c r="I91" i="22"/>
  <c r="I61" i="22"/>
  <c r="AP18" i="59" a="1"/>
  <c r="AP18" i="59" s="1"/>
  <c r="E19" i="50" s="1"/>
  <c r="AC17" i="11"/>
  <c r="Q17" i="11" s="1"/>
  <c r="X17" i="11" s="1"/>
  <c r="AC14" i="11"/>
  <c r="AC20" i="11"/>
  <c r="Q20" i="11" s="1"/>
  <c r="AC32" i="11"/>
  <c r="AC44" i="11"/>
  <c r="AC60" i="11"/>
  <c r="AC76" i="11"/>
  <c r="AC92" i="11"/>
  <c r="AC108" i="11"/>
  <c r="AC120" i="11"/>
  <c r="AC136" i="11"/>
  <c r="AC148" i="11"/>
  <c r="AC164" i="11"/>
  <c r="AC184" i="11"/>
  <c r="AC192" i="11"/>
  <c r="AC208" i="11"/>
  <c r="AC224" i="11"/>
  <c r="AC244" i="11"/>
  <c r="AC256" i="11"/>
  <c r="AC16" i="11"/>
  <c r="Q16" i="11" s="1"/>
  <c r="AC25" i="11"/>
  <c r="Q25" i="11" s="1"/>
  <c r="AC29" i="11"/>
  <c r="AC33" i="11"/>
  <c r="AQ33" i="11" s="1"/>
  <c r="AC37" i="11"/>
  <c r="AC41" i="11"/>
  <c r="AC45" i="11"/>
  <c r="AC49" i="11"/>
  <c r="AC53" i="11"/>
  <c r="AC57" i="11"/>
  <c r="AC61" i="11"/>
  <c r="AC65" i="11"/>
  <c r="AC73" i="11"/>
  <c r="AC77" i="11"/>
  <c r="AC81" i="11"/>
  <c r="AC85" i="11"/>
  <c r="AC89" i="11"/>
  <c r="AC97" i="11"/>
  <c r="AC101" i="11"/>
  <c r="AQ101" i="11" s="1"/>
  <c r="AC105" i="11"/>
  <c r="AC109" i="11"/>
  <c r="AC113" i="11"/>
  <c r="AC117" i="11"/>
  <c r="AC121" i="11"/>
  <c r="AC125" i="11"/>
  <c r="AC129" i="11"/>
  <c r="AC133" i="11"/>
  <c r="AQ133" i="11" s="1"/>
  <c r="AC137" i="11"/>
  <c r="AC141" i="11"/>
  <c r="AC145" i="11"/>
  <c r="AC149" i="11"/>
  <c r="AC153" i="11"/>
  <c r="AC157" i="11"/>
  <c r="AC161" i="11"/>
  <c r="AC165" i="11"/>
  <c r="AC169" i="11"/>
  <c r="AC173" i="11"/>
  <c r="AC177" i="11"/>
  <c r="AC181" i="11"/>
  <c r="AC185" i="11"/>
  <c r="AC189" i="11"/>
  <c r="AC193" i="11"/>
  <c r="AC197" i="11"/>
  <c r="AC201" i="11"/>
  <c r="AC205" i="11"/>
  <c r="AC209" i="11"/>
  <c r="AC213" i="11"/>
  <c r="AC217" i="11"/>
  <c r="AC221" i="11"/>
  <c r="AC225" i="11"/>
  <c r="AC229" i="11"/>
  <c r="AC233" i="11"/>
  <c r="AC237" i="11"/>
  <c r="AC241" i="11"/>
  <c r="AC245" i="11"/>
  <c r="AC249" i="11"/>
  <c r="AC253" i="11"/>
  <c r="AC257" i="11"/>
  <c r="AC28" i="11"/>
  <c r="AQ28" i="11" s="1"/>
  <c r="AC48" i="11"/>
  <c r="AC56" i="11"/>
  <c r="AC72" i="11"/>
  <c r="AQ72" i="11" s="1"/>
  <c r="AC88" i="11"/>
  <c r="AC104" i="11"/>
  <c r="AQ104" i="11" s="1"/>
  <c r="AC116" i="11"/>
  <c r="AC132" i="11"/>
  <c r="AC152" i="11"/>
  <c r="AC168" i="11"/>
  <c r="AC180" i="11"/>
  <c r="AC196" i="11"/>
  <c r="AC212" i="11"/>
  <c r="AC228" i="11"/>
  <c r="AC240" i="11"/>
  <c r="AC252" i="11"/>
  <c r="AC26" i="11"/>
  <c r="Q26" i="11" s="1"/>
  <c r="F104" i="22" s="1"/>
  <c r="AC34" i="11"/>
  <c r="AC46" i="11"/>
  <c r="AC58" i="11"/>
  <c r="AC66" i="11"/>
  <c r="AC74" i="11"/>
  <c r="AC78" i="11"/>
  <c r="AC82" i="11"/>
  <c r="AC86" i="11"/>
  <c r="AC90" i="11"/>
  <c r="AC94" i="11"/>
  <c r="AC98" i="11"/>
  <c r="AC102" i="11"/>
  <c r="AC106" i="11"/>
  <c r="AQ106" i="11" s="1"/>
  <c r="AC110" i="11"/>
  <c r="AC114" i="11"/>
  <c r="AC118" i="11"/>
  <c r="AC122" i="11"/>
  <c r="AC126" i="11"/>
  <c r="AC130" i="11"/>
  <c r="AQ130" i="11" s="1"/>
  <c r="AC134" i="11"/>
  <c r="AQ134" i="11" s="1"/>
  <c r="AC138" i="11"/>
  <c r="AC146" i="11"/>
  <c r="AC150" i="11"/>
  <c r="AC154" i="11"/>
  <c r="AC158" i="11"/>
  <c r="AC162" i="11"/>
  <c r="AC166" i="11"/>
  <c r="AC170" i="11"/>
  <c r="AC174" i="11"/>
  <c r="AC178" i="11"/>
  <c r="AC182" i="11"/>
  <c r="AC186" i="11"/>
  <c r="AC190" i="11"/>
  <c r="AC194" i="11"/>
  <c r="AC198" i="11"/>
  <c r="AC202" i="11"/>
  <c r="AC206" i="11"/>
  <c r="AC210" i="11"/>
  <c r="AC214" i="11"/>
  <c r="AC218" i="11"/>
  <c r="AC222" i="11"/>
  <c r="AC226" i="11"/>
  <c r="AC230" i="11"/>
  <c r="AC234" i="11"/>
  <c r="AC238" i="11"/>
  <c r="AC242" i="11"/>
  <c r="AC246" i="11"/>
  <c r="AC250" i="11"/>
  <c r="AC254" i="11"/>
  <c r="AC258" i="11"/>
  <c r="AC19" i="11"/>
  <c r="Q19" i="11" s="1"/>
  <c r="AC24" i="11"/>
  <c r="Q24" i="11" s="1"/>
  <c r="AC36" i="11"/>
  <c r="AC40" i="11"/>
  <c r="AC52" i="11"/>
  <c r="AC64" i="11"/>
  <c r="AC68" i="11"/>
  <c r="AC80" i="11"/>
  <c r="AC84" i="11"/>
  <c r="AC96" i="11"/>
  <c r="AC100" i="11"/>
  <c r="AC112" i="11"/>
  <c r="AC124" i="11"/>
  <c r="AC128" i="11"/>
  <c r="AC140" i="11"/>
  <c r="AQ140" i="11" s="1"/>
  <c r="AC144" i="11"/>
  <c r="AC156" i="11"/>
  <c r="AC160" i="11"/>
  <c r="AC172" i="11"/>
  <c r="AC176" i="11"/>
  <c r="AC188" i="11"/>
  <c r="AC200" i="11"/>
  <c r="AC204" i="11"/>
  <c r="AC216" i="11"/>
  <c r="AC220" i="11"/>
  <c r="AC232" i="11"/>
  <c r="AC236" i="11"/>
  <c r="AC248" i="11"/>
  <c r="AC22" i="11"/>
  <c r="Q22" i="11" s="1"/>
  <c r="X22" i="11" s="1"/>
  <c r="AC30" i="11"/>
  <c r="AC38" i="11"/>
  <c r="AC42" i="11"/>
  <c r="AC50" i="11"/>
  <c r="AC54" i="11"/>
  <c r="AC62" i="11"/>
  <c r="AC23" i="11"/>
  <c r="Q23" i="11" s="1"/>
  <c r="X23" i="11" s="1"/>
  <c r="AC27" i="11"/>
  <c r="AC31" i="11"/>
  <c r="AC35" i="11"/>
  <c r="AC39" i="11"/>
  <c r="AC43" i="11"/>
  <c r="AC47" i="11"/>
  <c r="AC51" i="11"/>
  <c r="AC55" i="11"/>
  <c r="AC59" i="11"/>
  <c r="AC63" i="11"/>
  <c r="AC67" i="11"/>
  <c r="AC71" i="11"/>
  <c r="AC79" i="11"/>
  <c r="AC83" i="11"/>
  <c r="AC87" i="11"/>
  <c r="AC91" i="11"/>
  <c r="AQ91" i="11" s="1"/>
  <c r="AC95" i="11"/>
  <c r="AQ95" i="11" s="1"/>
  <c r="AC99" i="11"/>
  <c r="AC103" i="11"/>
  <c r="AC107" i="11"/>
  <c r="AC111" i="11"/>
  <c r="AC115" i="11"/>
  <c r="AC119" i="11"/>
  <c r="AC123" i="11"/>
  <c r="AC127" i="11"/>
  <c r="AC131" i="11"/>
  <c r="AC135" i="11"/>
  <c r="AQ135" i="11" s="1"/>
  <c r="AC139" i="11"/>
  <c r="AC147" i="11"/>
  <c r="AC151" i="11"/>
  <c r="AC155" i="11"/>
  <c r="AC159" i="11"/>
  <c r="AC163" i="11"/>
  <c r="AC167" i="11"/>
  <c r="AC171" i="11"/>
  <c r="AC175" i="11"/>
  <c r="AC179" i="11"/>
  <c r="AC183" i="11"/>
  <c r="AC187" i="11"/>
  <c r="AC191" i="11"/>
  <c r="AC195" i="11"/>
  <c r="AC199" i="11"/>
  <c r="AC203" i="11"/>
  <c r="AC207" i="11"/>
  <c r="AC211" i="11"/>
  <c r="AC215" i="11"/>
  <c r="AC219" i="11"/>
  <c r="AC223" i="11"/>
  <c r="AC227" i="11"/>
  <c r="AC231" i="11"/>
  <c r="AC235" i="11"/>
  <c r="AC239" i="11"/>
  <c r="AC243" i="11"/>
  <c r="AC247" i="11"/>
  <c r="AC251" i="11"/>
  <c r="AC255" i="11"/>
  <c r="AC18" i="11"/>
  <c r="Q18" i="11" s="1"/>
  <c r="X24" i="11" l="1"/>
  <c r="F22" i="22"/>
  <c r="F116" i="22"/>
  <c r="X25" i="11"/>
  <c r="X20" i="11"/>
  <c r="AQ20" i="11" s="1"/>
  <c r="F103" i="22"/>
  <c r="X19" i="11"/>
  <c r="X18" i="11"/>
  <c r="W27" i="11"/>
  <c r="Q27" i="11"/>
  <c r="AD27" i="11"/>
  <c r="W14" i="11"/>
  <c r="Q14" i="11" s="1"/>
  <c r="AD14" i="11"/>
  <c r="F69" i="22"/>
  <c r="X16" i="11"/>
  <c r="AF75" i="57"/>
  <c r="X76" i="57"/>
  <c r="AB76" i="57" s="1"/>
  <c r="AG78" i="57"/>
  <c r="AA75" i="57"/>
  <c r="AQ77" i="57"/>
  <c r="M79" i="53"/>
  <c r="AC79" i="53" s="1"/>
  <c r="O79" i="53"/>
  <c r="AP63" i="69"/>
  <c r="N63" i="69"/>
  <c r="U63" i="69" s="1"/>
  <c r="R77" i="57"/>
  <c r="AD77" i="57"/>
  <c r="AJ77" i="57"/>
  <c r="Q77" i="57"/>
  <c r="T77" i="57" s="1"/>
  <c r="AC77" i="57"/>
  <c r="AE77" i="57"/>
  <c r="M78" i="57"/>
  <c r="AK78" i="57" s="1"/>
  <c r="P18" i="50"/>
  <c r="N79" i="53"/>
  <c r="T19" i="50"/>
  <c r="O19" i="50"/>
  <c r="AA77" i="53"/>
  <c r="AB77" i="53"/>
  <c r="AK15" i="50"/>
  <c r="AL15" i="50" s="1"/>
  <c r="AG15" i="50"/>
  <c r="AH15" i="50" s="1"/>
  <c r="AK14" i="50"/>
  <c r="AL14" i="50" s="1"/>
  <c r="AG14" i="50"/>
  <c r="AH14" i="50" s="1"/>
  <c r="AI14" i="50" s="1"/>
  <c r="C17" i="50"/>
  <c r="Z17" i="50"/>
  <c r="S18" i="50"/>
  <c r="AJ17" i="50"/>
  <c r="F52" i="22"/>
  <c r="F6" i="22"/>
  <c r="F42" i="22"/>
  <c r="AQ26" i="11"/>
  <c r="W17" i="50"/>
  <c r="X16" i="50"/>
  <c r="V17" i="50"/>
  <c r="AF62" i="69"/>
  <c r="Q62" i="69"/>
  <c r="O79" i="57"/>
  <c r="P79" i="57"/>
  <c r="AD16" i="50"/>
  <c r="AC60" i="69"/>
  <c r="AD60" i="69" s="1"/>
  <c r="F88" i="22"/>
  <c r="AB61" i="69"/>
  <c r="AG61" i="69"/>
  <c r="AO63" i="69"/>
  <c r="O64" i="69"/>
  <c r="AE78" i="53"/>
  <c r="AF77" i="53"/>
  <c r="AC142" i="11"/>
  <c r="AQ142" i="11" s="1"/>
  <c r="AC69" i="11"/>
  <c r="AC70" i="11"/>
  <c r="AQ70" i="11" s="1"/>
  <c r="AC75" i="11"/>
  <c r="R78" i="53"/>
  <c r="X78" i="53" s="1"/>
  <c r="AC143" i="11"/>
  <c r="AQ40" i="11"/>
  <c r="AQ114" i="11"/>
  <c r="AQ82" i="11"/>
  <c r="AQ76" i="11"/>
  <c r="AQ23" i="11"/>
  <c r="AQ83" i="11"/>
  <c r="AQ36" i="11"/>
  <c r="AQ110" i="11"/>
  <c r="AQ78" i="11"/>
  <c r="AQ97" i="11"/>
  <c r="AQ29" i="11"/>
  <c r="AQ87" i="11"/>
  <c r="AQ51" i="11"/>
  <c r="AQ100" i="11"/>
  <c r="AQ111" i="11"/>
  <c r="AQ79" i="11"/>
  <c r="AQ47" i="11"/>
  <c r="AQ96" i="11"/>
  <c r="AQ24" i="11"/>
  <c r="AQ138" i="11"/>
  <c r="AQ74" i="11"/>
  <c r="AQ89" i="11"/>
  <c r="AQ84" i="11"/>
  <c r="AQ102" i="11"/>
  <c r="AQ85" i="11"/>
  <c r="AQ32" i="11"/>
  <c r="AQ112" i="11"/>
  <c r="AQ103" i="11"/>
  <c r="AQ39" i="11"/>
  <c r="I105" i="22"/>
  <c r="AQ80" i="11"/>
  <c r="AQ98" i="11"/>
  <c r="AQ88" i="11"/>
  <c r="AQ81" i="11"/>
  <c r="AQ136" i="11"/>
  <c r="AQ99" i="11"/>
  <c r="AQ35" i="11"/>
  <c r="AQ94" i="11"/>
  <c r="AQ113" i="11"/>
  <c r="AQ77" i="11"/>
  <c r="AQ45" i="11"/>
  <c r="AQ38" i="11"/>
  <c r="AQ63" i="11"/>
  <c r="AQ31" i="11"/>
  <c r="AQ30" i="11"/>
  <c r="AQ64" i="11"/>
  <c r="AQ90" i="11"/>
  <c r="I107" i="22"/>
  <c r="AQ141" i="11"/>
  <c r="AQ109" i="11"/>
  <c r="AQ73" i="11"/>
  <c r="AQ41" i="11"/>
  <c r="AQ108" i="11"/>
  <c r="AQ131" i="11"/>
  <c r="AQ123" i="11"/>
  <c r="AQ59" i="11"/>
  <c r="AQ27" i="11"/>
  <c r="AQ22" i="11"/>
  <c r="AQ52" i="11"/>
  <c r="AQ86" i="11"/>
  <c r="AQ34" i="11"/>
  <c r="AQ137" i="11"/>
  <c r="AQ105" i="11"/>
  <c r="AQ37" i="11"/>
  <c r="AQ92" i="11"/>
  <c r="AQ107" i="11"/>
  <c r="AQ144" i="11"/>
  <c r="AQ139" i="11"/>
  <c r="I118" i="22"/>
  <c r="I111" i="22"/>
  <c r="AQ121" i="11"/>
  <c r="AQ117" i="11"/>
  <c r="AQ119" i="11"/>
  <c r="AQ115" i="11"/>
  <c r="AQ126" i="11"/>
  <c r="AQ120" i="11"/>
  <c r="AQ122" i="11"/>
  <c r="AQ128" i="11"/>
  <c r="AQ124" i="11"/>
  <c r="AQ118" i="11"/>
  <c r="AQ69" i="11"/>
  <c r="AQ132" i="11"/>
  <c r="AQ129" i="11"/>
  <c r="AQ116" i="11"/>
  <c r="AQ125" i="11"/>
  <c r="AQ18" i="11"/>
  <c r="J106" i="22"/>
  <c r="AX63" i="22" s="1"/>
  <c r="AY62" i="69"/>
  <c r="L79" i="57"/>
  <c r="AG78" i="53"/>
  <c r="AH78" i="53"/>
  <c r="AT78" i="53"/>
  <c r="N79" i="57"/>
  <c r="AH62" i="69"/>
  <c r="AD78" i="53"/>
  <c r="H79" i="53"/>
  <c r="K79" i="53"/>
  <c r="AK78" i="52" a="1"/>
  <c r="AK78" i="52" s="1"/>
  <c r="B80" i="53" s="1"/>
  <c r="Q78" i="53"/>
  <c r="F79" i="53"/>
  <c r="E79" i="53"/>
  <c r="D79" i="53"/>
  <c r="G79" i="53"/>
  <c r="I79" i="53"/>
  <c r="C79" i="53"/>
  <c r="J79" i="53"/>
  <c r="P79" i="53"/>
  <c r="L79" i="53"/>
  <c r="F19" i="50"/>
  <c r="U19" i="50" s="1"/>
  <c r="M19" i="50"/>
  <c r="K19" i="50"/>
  <c r="A19" i="50"/>
  <c r="L19" i="50"/>
  <c r="H19" i="50"/>
  <c r="N19" i="50"/>
  <c r="I19" i="50"/>
  <c r="J19" i="50"/>
  <c r="G19" i="50"/>
  <c r="B19" i="50"/>
  <c r="R19" i="50" s="1"/>
  <c r="H79" i="57"/>
  <c r="D79" i="57"/>
  <c r="C79" i="57"/>
  <c r="K79" i="57"/>
  <c r="I79" i="57"/>
  <c r="G79" i="57"/>
  <c r="E79" i="57"/>
  <c r="F79" i="57"/>
  <c r="J79" i="57"/>
  <c r="AN78" i="55" a="1"/>
  <c r="AN78" i="55" s="1"/>
  <c r="B80" i="57" s="1"/>
  <c r="D63" i="69"/>
  <c r="E63" i="69" s="1"/>
  <c r="F63" i="69" s="1"/>
  <c r="G63" i="69" s="1"/>
  <c r="H63" i="69" s="1"/>
  <c r="I63" i="69" s="1"/>
  <c r="J63" i="69" s="1"/>
  <c r="K63" i="69" s="1"/>
  <c r="M63" i="69" s="1"/>
  <c r="AE62" i="69"/>
  <c r="R62" i="69"/>
  <c r="S62" i="69" s="1"/>
  <c r="C64" i="69"/>
  <c r="P64" i="69" s="1"/>
  <c r="AR64" i="67" a="1"/>
  <c r="AR64" i="67" s="1"/>
  <c r="B65" i="69"/>
  <c r="L65" i="69" s="1"/>
  <c r="I21" i="22"/>
  <c r="W11" i="11"/>
  <c r="Q11" i="11" s="1"/>
  <c r="I40" i="22"/>
  <c r="AP19" i="59" a="1"/>
  <c r="AP19" i="59" s="1"/>
  <c r="E20" i="50" s="1"/>
  <c r="I50" i="22"/>
  <c r="I24" i="22"/>
  <c r="I95" i="22"/>
  <c r="I73" i="22"/>
  <c r="AC15" i="11"/>
  <c r="Q15" i="11" s="1"/>
  <c r="X15" i="11" s="1"/>
  <c r="AC13" i="11"/>
  <c r="Q13" i="11" s="1"/>
  <c r="AC12" i="11"/>
  <c r="F12" i="22" l="1"/>
  <c r="X14" i="11"/>
  <c r="F84" i="22"/>
  <c r="X13" i="11"/>
  <c r="F31" i="22"/>
  <c r="I93" i="22"/>
  <c r="AD12" i="11"/>
  <c r="W12" i="11"/>
  <c r="I8" i="22" s="1"/>
  <c r="Y62" i="69"/>
  <c r="AB62" i="69" s="1"/>
  <c r="AC62" i="69" s="1"/>
  <c r="AD62" i="69" s="1"/>
  <c r="X77" i="57"/>
  <c r="AF77" i="57" s="1"/>
  <c r="AG79" i="57"/>
  <c r="I98" i="22"/>
  <c r="I117" i="22"/>
  <c r="K40" i="36"/>
  <c r="Z261" i="59" s="1"/>
  <c r="I64" i="22"/>
  <c r="AA76" i="57"/>
  <c r="AD78" i="57"/>
  <c r="M80" i="53"/>
  <c r="AC80" i="53" s="1"/>
  <c r="O80" i="53"/>
  <c r="AP64" i="69"/>
  <c r="N64" i="69"/>
  <c r="U64" i="69" s="1"/>
  <c r="AF76" i="57"/>
  <c r="R78" i="57"/>
  <c r="AE78" i="57"/>
  <c r="Q78" i="57"/>
  <c r="T78" i="57" s="1"/>
  <c r="AQ78" i="57"/>
  <c r="AJ78" i="57"/>
  <c r="AC78" i="57"/>
  <c r="M79" i="57"/>
  <c r="AK79" i="57" s="1"/>
  <c r="Q19" i="50"/>
  <c r="P19" i="50" s="1"/>
  <c r="Z18" i="50"/>
  <c r="N80" i="53"/>
  <c r="I41" i="22"/>
  <c r="O20" i="50"/>
  <c r="T20" i="50"/>
  <c r="AA78" i="53"/>
  <c r="AB78" i="53"/>
  <c r="AJ18" i="50"/>
  <c r="C18" i="50"/>
  <c r="S19" i="50"/>
  <c r="I113" i="22"/>
  <c r="I115" i="22"/>
  <c r="I54" i="22"/>
  <c r="I114" i="22"/>
  <c r="AM14" i="50"/>
  <c r="AQ25" i="11"/>
  <c r="AQ17" i="11"/>
  <c r="I94" i="22"/>
  <c r="F65" i="22"/>
  <c r="I30" i="22"/>
  <c r="I29" i="22"/>
  <c r="F45" i="22"/>
  <c r="I80" i="22"/>
  <c r="I44" i="22"/>
  <c r="W18" i="50"/>
  <c r="K48" i="36"/>
  <c r="I33" i="22"/>
  <c r="I55" i="22"/>
  <c r="I38" i="22"/>
  <c r="X17" i="50"/>
  <c r="AD17" i="50" s="1"/>
  <c r="V18" i="50"/>
  <c r="AF63" i="69"/>
  <c r="Q63" i="69"/>
  <c r="O80" i="57"/>
  <c r="P80" i="57"/>
  <c r="AI15" i="50"/>
  <c r="AM15" i="50"/>
  <c r="I56" i="22"/>
  <c r="AQ16" i="11"/>
  <c r="F68" i="22"/>
  <c r="AC61" i="69"/>
  <c r="AD61" i="69" s="1"/>
  <c r="O65" i="69"/>
  <c r="AO64" i="69"/>
  <c r="F11" i="22"/>
  <c r="AF78" i="53"/>
  <c r="AE79" i="53"/>
  <c r="I90" i="22"/>
  <c r="I109" i="22"/>
  <c r="I131" i="22"/>
  <c r="I75" i="22"/>
  <c r="R79" i="53"/>
  <c r="X79" i="53" s="1"/>
  <c r="J111" i="22"/>
  <c r="AX23" i="22" s="1"/>
  <c r="AQ44" i="11"/>
  <c r="J118" i="22"/>
  <c r="AX24" i="22" s="1"/>
  <c r="AQ65" i="11"/>
  <c r="AQ71" i="11"/>
  <c r="J123" i="22"/>
  <c r="AX141" i="22" s="1"/>
  <c r="AQ56" i="11"/>
  <c r="J129" i="22"/>
  <c r="AX102" i="22" s="1"/>
  <c r="AQ67" i="11"/>
  <c r="AQ58" i="11"/>
  <c r="J120" i="22"/>
  <c r="AX70" i="22" s="1"/>
  <c r="AQ43" i="11"/>
  <c r="J110" i="22"/>
  <c r="AX65" i="22" s="1"/>
  <c r="J119" i="22"/>
  <c r="AX69" i="22" s="1"/>
  <c r="AQ57" i="11"/>
  <c r="AQ62" i="11"/>
  <c r="J130" i="22"/>
  <c r="AX72" i="22" s="1"/>
  <c r="AQ48" i="11"/>
  <c r="AQ60" i="11"/>
  <c r="J121" i="22"/>
  <c r="AX71" i="22" s="1"/>
  <c r="J107" i="22"/>
  <c r="AX21" i="22" s="1"/>
  <c r="AQ46" i="11"/>
  <c r="AQ68" i="11"/>
  <c r="AQ66" i="11"/>
  <c r="J132" i="22"/>
  <c r="AX148" i="22" s="1"/>
  <c r="AQ53" i="11"/>
  <c r="J125" i="22"/>
  <c r="AX143" i="22" s="1"/>
  <c r="AQ55" i="11"/>
  <c r="J126" i="22"/>
  <c r="AX144" i="22" s="1"/>
  <c r="J124" i="22"/>
  <c r="AX142" i="22" s="1"/>
  <c r="AQ54" i="11"/>
  <c r="J105" i="22"/>
  <c r="AX20" i="22" s="1"/>
  <c r="AQ42" i="11"/>
  <c r="I84" i="22"/>
  <c r="AQ49" i="11"/>
  <c r="J128" i="22"/>
  <c r="AX146" i="22" s="1"/>
  <c r="AQ50" i="11"/>
  <c r="J122" i="22"/>
  <c r="AX140" i="22" s="1"/>
  <c r="AQ61" i="11"/>
  <c r="AQ143" i="11"/>
  <c r="BG20" i="22"/>
  <c r="AQ75" i="11"/>
  <c r="I63" i="22"/>
  <c r="I28" i="22"/>
  <c r="I96" i="22"/>
  <c r="K42" i="36"/>
  <c r="I101" i="22"/>
  <c r="I22" i="22"/>
  <c r="I112" i="22"/>
  <c r="AY63" i="69"/>
  <c r="L80" i="57"/>
  <c r="AG79" i="53"/>
  <c r="AH79" i="53"/>
  <c r="AT79" i="53"/>
  <c r="N80" i="57"/>
  <c r="P80" i="53"/>
  <c r="AH63" i="69"/>
  <c r="AD79" i="53"/>
  <c r="Q79" i="53"/>
  <c r="AK79" i="52" a="1"/>
  <c r="AK79" i="52" s="1"/>
  <c r="B81" i="53" s="1"/>
  <c r="K80" i="53"/>
  <c r="J80" i="53"/>
  <c r="F80" i="53"/>
  <c r="I80" i="53"/>
  <c r="H80" i="53"/>
  <c r="G80" i="53"/>
  <c r="D80" i="53"/>
  <c r="C80" i="53"/>
  <c r="L80" i="53"/>
  <c r="E80" i="53"/>
  <c r="I20" i="50"/>
  <c r="F20" i="50"/>
  <c r="U20" i="50" s="1"/>
  <c r="H20" i="50"/>
  <c r="M20" i="50"/>
  <c r="N20" i="50"/>
  <c r="G20" i="50"/>
  <c r="A20" i="50"/>
  <c r="J20" i="50"/>
  <c r="B20" i="50"/>
  <c r="R20" i="50" s="1"/>
  <c r="K20" i="50"/>
  <c r="L20" i="50"/>
  <c r="J108" i="22"/>
  <c r="AX64" i="22" s="1"/>
  <c r="J80" i="57"/>
  <c r="E80" i="57"/>
  <c r="C80" i="57"/>
  <c r="K80" i="57"/>
  <c r="I80" i="57"/>
  <c r="F80" i="57"/>
  <c r="H80" i="57"/>
  <c r="D80" i="57"/>
  <c r="G80" i="57"/>
  <c r="I88" i="22"/>
  <c r="AN79" i="55" a="1"/>
  <c r="AN79" i="55" s="1"/>
  <c r="B81" i="57" s="1"/>
  <c r="AR65" i="67" a="1"/>
  <c r="AR65" i="67" s="1"/>
  <c r="B66" i="69"/>
  <c r="L66" i="69" s="1"/>
  <c r="D64" i="69"/>
  <c r="E64" i="69" s="1"/>
  <c r="F64" i="69" s="1"/>
  <c r="G64" i="69" s="1"/>
  <c r="H64" i="69" s="1"/>
  <c r="I64" i="69" s="1"/>
  <c r="J64" i="69" s="1"/>
  <c r="K64" i="69" s="1"/>
  <c r="M64" i="69" s="1"/>
  <c r="AE63" i="69"/>
  <c r="R63" i="69"/>
  <c r="S63" i="69" s="1"/>
  <c r="Y63" i="69" s="1"/>
  <c r="C65" i="69"/>
  <c r="P65" i="69" s="1"/>
  <c r="I127" i="22"/>
  <c r="I32" i="22"/>
  <c r="I31" i="22"/>
  <c r="I25" i="22"/>
  <c r="I37" i="22"/>
  <c r="I12" i="22"/>
  <c r="I11" i="22"/>
  <c r="I9" i="22"/>
  <c r="I6" i="22"/>
  <c r="I89" i="22"/>
  <c r="I18" i="22"/>
  <c r="BG5" i="22" s="1"/>
  <c r="I34" i="22"/>
  <c r="I36" i="22"/>
  <c r="I97" i="22"/>
  <c r="I14" i="22"/>
  <c r="I85" i="22"/>
  <c r="I57" i="22"/>
  <c r="AP20" i="59" a="1"/>
  <c r="AP20" i="59" s="1"/>
  <c r="E21" i="50" s="1"/>
  <c r="I60" i="22"/>
  <c r="AF12" i="11"/>
  <c r="AG12" i="11"/>
  <c r="AF13" i="11"/>
  <c r="AG13" i="11"/>
  <c r="AF14" i="11"/>
  <c r="AG14" i="11"/>
  <c r="AF15" i="11"/>
  <c r="AG15" i="11"/>
  <c r="AF16" i="11"/>
  <c r="AG16" i="11"/>
  <c r="AF17" i="11"/>
  <c r="AG17" i="11"/>
  <c r="AF18" i="11"/>
  <c r="AG18" i="11"/>
  <c r="AF19" i="11"/>
  <c r="AG19" i="11"/>
  <c r="AF20" i="11"/>
  <c r="AG20" i="11"/>
  <c r="AF21" i="11"/>
  <c r="AG21" i="11"/>
  <c r="AF22" i="11"/>
  <c r="AG22" i="11"/>
  <c r="AF23" i="11"/>
  <c r="AG23" i="11"/>
  <c r="AF24" i="11"/>
  <c r="AG24" i="11"/>
  <c r="AF25" i="11"/>
  <c r="AG25" i="11"/>
  <c r="AF26" i="11"/>
  <c r="AG26" i="11"/>
  <c r="AF27" i="11"/>
  <c r="AG27" i="11"/>
  <c r="AF28" i="11"/>
  <c r="AG28" i="11"/>
  <c r="AF29" i="11"/>
  <c r="AG29" i="11"/>
  <c r="AF30" i="11"/>
  <c r="AG30" i="11"/>
  <c r="AF31" i="11"/>
  <c r="AG31" i="11"/>
  <c r="AF32" i="11"/>
  <c r="AG32" i="11"/>
  <c r="AF33" i="11"/>
  <c r="AG33" i="11"/>
  <c r="AF34" i="11"/>
  <c r="AG34" i="11"/>
  <c r="AF35" i="11"/>
  <c r="AG35" i="11"/>
  <c r="AF36" i="11"/>
  <c r="AG36" i="11"/>
  <c r="AF37" i="11"/>
  <c r="AG37" i="11"/>
  <c r="AF38" i="11"/>
  <c r="AG38" i="11"/>
  <c r="AF39" i="11"/>
  <c r="AG39" i="11"/>
  <c r="AF40" i="11"/>
  <c r="AG40" i="11"/>
  <c r="AF41" i="11"/>
  <c r="AG41" i="11"/>
  <c r="AF42" i="11"/>
  <c r="AG42" i="11"/>
  <c r="AF43" i="11"/>
  <c r="AG43" i="11"/>
  <c r="AF44" i="11"/>
  <c r="AG44" i="11"/>
  <c r="AF45" i="11"/>
  <c r="AG45" i="11"/>
  <c r="AF46" i="11"/>
  <c r="AG46" i="11"/>
  <c r="AF47" i="11"/>
  <c r="AG47" i="11"/>
  <c r="AF48" i="11"/>
  <c r="AG48" i="11"/>
  <c r="AF49" i="11"/>
  <c r="AG49" i="11"/>
  <c r="AF50" i="11"/>
  <c r="AG50" i="11"/>
  <c r="AF51" i="11"/>
  <c r="AG51" i="11"/>
  <c r="AF52" i="11"/>
  <c r="AG52" i="11"/>
  <c r="AF53" i="11"/>
  <c r="AG53" i="11"/>
  <c r="AF54" i="11"/>
  <c r="AG54" i="11"/>
  <c r="AF55" i="11"/>
  <c r="AG55" i="11"/>
  <c r="AF56" i="11"/>
  <c r="AG56" i="11"/>
  <c r="AF57" i="11"/>
  <c r="AG57" i="11"/>
  <c r="AF58" i="11"/>
  <c r="AG58" i="11"/>
  <c r="AF59" i="11"/>
  <c r="AG59" i="11"/>
  <c r="AF60" i="11"/>
  <c r="AG60" i="11"/>
  <c r="AF61" i="11"/>
  <c r="AG61" i="11"/>
  <c r="AF62" i="11"/>
  <c r="AG62" i="11"/>
  <c r="AF63" i="11"/>
  <c r="AG63" i="11"/>
  <c r="AF64" i="11"/>
  <c r="AG64" i="11"/>
  <c r="AF65" i="11"/>
  <c r="AG65" i="11"/>
  <c r="AF66" i="11"/>
  <c r="AG66" i="11"/>
  <c r="AF67" i="11"/>
  <c r="AG67" i="11"/>
  <c r="AF68" i="11"/>
  <c r="AG68" i="11"/>
  <c r="AF69" i="11"/>
  <c r="AG69" i="11"/>
  <c r="AF70" i="11"/>
  <c r="AG70" i="11"/>
  <c r="AF71" i="11"/>
  <c r="AG71" i="11"/>
  <c r="AF72" i="11"/>
  <c r="AG72" i="11"/>
  <c r="AF73" i="11"/>
  <c r="AG73" i="11"/>
  <c r="AF74" i="11"/>
  <c r="AG74" i="11"/>
  <c r="AF75" i="11"/>
  <c r="AG75" i="11"/>
  <c r="AF76" i="11"/>
  <c r="AG76" i="11"/>
  <c r="AF77" i="11"/>
  <c r="AG77" i="11"/>
  <c r="AF78" i="11"/>
  <c r="AG78" i="11"/>
  <c r="AF79" i="11"/>
  <c r="AG79" i="11"/>
  <c r="AF80" i="11"/>
  <c r="AG80" i="11"/>
  <c r="AF81" i="11"/>
  <c r="AG81" i="11"/>
  <c r="AF82" i="11"/>
  <c r="AG82" i="11"/>
  <c r="AF83" i="11"/>
  <c r="AG83" i="11"/>
  <c r="AF84" i="11"/>
  <c r="AG84" i="11"/>
  <c r="AF85" i="11"/>
  <c r="AG85" i="11"/>
  <c r="AF86" i="11"/>
  <c r="AG86" i="11"/>
  <c r="AF87" i="11"/>
  <c r="AG87" i="11"/>
  <c r="AF88" i="11"/>
  <c r="AG88" i="11"/>
  <c r="AF89" i="11"/>
  <c r="AG89" i="11"/>
  <c r="AF90" i="11"/>
  <c r="AG90" i="11"/>
  <c r="AF91" i="11"/>
  <c r="AG91" i="11"/>
  <c r="AF92" i="11"/>
  <c r="AG92" i="11"/>
  <c r="AG93" i="11"/>
  <c r="AF94" i="11"/>
  <c r="AG94" i="11"/>
  <c r="AF95" i="11"/>
  <c r="AG95" i="11"/>
  <c r="AF96" i="11"/>
  <c r="AG96" i="11"/>
  <c r="AF97" i="11"/>
  <c r="AG97" i="11"/>
  <c r="AF98" i="11"/>
  <c r="AG98" i="11"/>
  <c r="AF99" i="11"/>
  <c r="AG99" i="11"/>
  <c r="AF100" i="11"/>
  <c r="AG100" i="11"/>
  <c r="AF101" i="11"/>
  <c r="AG101" i="11"/>
  <c r="AF102" i="11"/>
  <c r="AG102" i="11"/>
  <c r="AF103" i="11"/>
  <c r="AG103" i="11"/>
  <c r="AF104" i="11"/>
  <c r="AG104" i="11"/>
  <c r="AF105" i="11"/>
  <c r="AG105" i="11"/>
  <c r="AF106" i="11"/>
  <c r="AG106" i="11"/>
  <c r="AF107" i="11"/>
  <c r="AG107" i="11"/>
  <c r="AF108" i="11"/>
  <c r="AG108" i="11"/>
  <c r="AF109" i="11"/>
  <c r="AG109" i="11"/>
  <c r="AF110" i="11"/>
  <c r="AG110" i="11"/>
  <c r="AF111" i="11"/>
  <c r="AG111" i="11"/>
  <c r="AF112" i="11"/>
  <c r="AG112" i="11"/>
  <c r="AF113" i="11"/>
  <c r="AG113" i="11"/>
  <c r="AF114" i="11"/>
  <c r="AG114" i="11"/>
  <c r="AF115" i="11"/>
  <c r="AG115" i="11"/>
  <c r="AF116" i="11"/>
  <c r="AG116" i="11"/>
  <c r="AF117" i="11"/>
  <c r="AG117" i="11"/>
  <c r="AF118" i="11"/>
  <c r="AG118" i="11"/>
  <c r="AF119" i="11"/>
  <c r="AG119" i="11"/>
  <c r="AF120" i="11"/>
  <c r="AG120" i="11"/>
  <c r="AF121" i="11"/>
  <c r="AG121" i="11"/>
  <c r="AF122" i="11"/>
  <c r="AG122" i="11"/>
  <c r="AF123" i="11"/>
  <c r="AG123" i="11"/>
  <c r="AF124" i="11"/>
  <c r="AG124" i="11"/>
  <c r="AF125" i="11"/>
  <c r="AG125" i="11"/>
  <c r="AF126" i="11"/>
  <c r="AG126" i="11"/>
  <c r="AF127" i="11"/>
  <c r="AG127" i="11"/>
  <c r="AF128" i="11"/>
  <c r="AG128" i="11"/>
  <c r="AF129" i="11"/>
  <c r="AG129" i="11"/>
  <c r="AF130" i="11"/>
  <c r="AG130" i="11"/>
  <c r="AF131" i="11"/>
  <c r="AG131" i="11"/>
  <c r="AF132" i="11"/>
  <c r="AG132" i="11"/>
  <c r="AF133" i="11"/>
  <c r="AG133" i="11"/>
  <c r="AF134" i="11"/>
  <c r="AG134" i="11"/>
  <c r="AF135" i="11"/>
  <c r="AG135" i="11"/>
  <c r="AF136" i="11"/>
  <c r="AG136" i="11"/>
  <c r="AF137" i="11"/>
  <c r="AG137" i="11"/>
  <c r="AF138" i="11"/>
  <c r="AG138" i="11"/>
  <c r="AF139" i="11"/>
  <c r="AG139" i="11"/>
  <c r="AF140" i="11"/>
  <c r="AG140" i="11"/>
  <c r="AF141" i="11"/>
  <c r="AG141" i="11"/>
  <c r="AF142" i="11"/>
  <c r="AG142" i="11"/>
  <c r="AF143" i="11"/>
  <c r="AG143" i="11"/>
  <c r="AF144" i="11"/>
  <c r="AG144" i="11"/>
  <c r="AF145" i="11"/>
  <c r="AG145" i="11"/>
  <c r="AF146" i="11"/>
  <c r="AG146" i="11"/>
  <c r="AF147" i="11"/>
  <c r="AG147" i="11"/>
  <c r="AF148" i="11"/>
  <c r="AG148" i="11"/>
  <c r="AF149" i="11"/>
  <c r="AG149" i="11"/>
  <c r="AF150" i="11"/>
  <c r="AG150" i="11"/>
  <c r="AF151" i="11"/>
  <c r="AG151" i="11"/>
  <c r="AF152" i="11"/>
  <c r="AG152" i="11"/>
  <c r="AF153" i="11"/>
  <c r="AG153" i="11"/>
  <c r="AF154" i="11"/>
  <c r="AG154" i="11"/>
  <c r="AF155" i="11"/>
  <c r="AG155" i="11"/>
  <c r="AF156" i="11"/>
  <c r="AG156" i="11"/>
  <c r="AF157" i="11"/>
  <c r="AG157" i="11"/>
  <c r="AF158" i="11"/>
  <c r="AG158" i="11"/>
  <c r="AF159" i="11"/>
  <c r="AG159" i="11"/>
  <c r="AF160" i="11"/>
  <c r="AG160" i="11"/>
  <c r="AF161" i="11"/>
  <c r="AG161" i="11"/>
  <c r="AF162" i="11"/>
  <c r="AG162" i="11"/>
  <c r="AF163" i="11"/>
  <c r="AG163" i="11"/>
  <c r="AF164" i="11"/>
  <c r="AG164" i="11"/>
  <c r="AF165" i="11"/>
  <c r="AG165" i="11"/>
  <c r="AF166" i="11"/>
  <c r="AG166" i="11"/>
  <c r="AF167" i="11"/>
  <c r="AG167" i="11"/>
  <c r="AF168" i="11"/>
  <c r="AG168" i="11"/>
  <c r="AF169" i="11"/>
  <c r="AG169" i="11"/>
  <c r="AF170" i="11"/>
  <c r="AG170" i="11"/>
  <c r="AF171" i="11"/>
  <c r="AG171" i="11"/>
  <c r="AF172" i="11"/>
  <c r="AG172" i="11"/>
  <c r="AF173" i="11"/>
  <c r="AG173" i="11"/>
  <c r="AF174" i="11"/>
  <c r="AG174" i="11"/>
  <c r="AF175" i="11"/>
  <c r="AG175" i="11"/>
  <c r="AF176" i="11"/>
  <c r="AG176" i="11"/>
  <c r="AF177" i="11"/>
  <c r="AG177" i="11"/>
  <c r="AF178" i="11"/>
  <c r="AG178" i="11"/>
  <c r="AF179" i="11"/>
  <c r="AG179" i="11"/>
  <c r="AF180" i="11"/>
  <c r="AG180" i="11"/>
  <c r="AF181" i="11"/>
  <c r="AG181" i="11"/>
  <c r="AF182" i="11"/>
  <c r="AG182" i="11"/>
  <c r="AF183" i="11"/>
  <c r="AG183" i="11"/>
  <c r="AF184" i="11"/>
  <c r="AG184" i="11"/>
  <c r="AF185" i="11"/>
  <c r="AG185" i="11"/>
  <c r="AF186" i="11"/>
  <c r="AG186" i="11"/>
  <c r="AF187" i="11"/>
  <c r="AG187" i="11"/>
  <c r="AF188" i="11"/>
  <c r="AG188" i="11"/>
  <c r="AF189" i="11"/>
  <c r="AG189" i="11"/>
  <c r="AF190" i="11"/>
  <c r="AG190" i="11"/>
  <c r="AF191" i="11"/>
  <c r="AG191" i="11"/>
  <c r="AF192" i="11"/>
  <c r="AG192" i="11"/>
  <c r="AF193" i="11"/>
  <c r="AG193" i="11"/>
  <c r="AF194" i="11"/>
  <c r="AG194" i="11"/>
  <c r="AF195" i="11"/>
  <c r="AG195" i="11"/>
  <c r="AF196" i="11"/>
  <c r="AG196" i="11"/>
  <c r="AF197" i="11"/>
  <c r="AG197" i="11"/>
  <c r="AF198" i="11"/>
  <c r="AG198" i="11"/>
  <c r="AF199" i="11"/>
  <c r="AG199" i="11"/>
  <c r="AF200" i="11"/>
  <c r="AG200" i="11"/>
  <c r="AF201" i="11"/>
  <c r="AG201" i="11"/>
  <c r="AF202" i="11"/>
  <c r="AG202" i="11"/>
  <c r="AF203" i="11"/>
  <c r="AG203" i="11"/>
  <c r="AF204" i="11"/>
  <c r="AG204" i="11"/>
  <c r="AF205" i="11"/>
  <c r="AG205" i="11"/>
  <c r="AF206" i="11"/>
  <c r="AG206" i="11"/>
  <c r="AF207" i="11"/>
  <c r="AG207" i="11"/>
  <c r="AF208" i="11"/>
  <c r="AG208" i="11"/>
  <c r="AF209" i="11"/>
  <c r="AG209" i="11"/>
  <c r="AF210" i="11"/>
  <c r="AG210" i="11"/>
  <c r="AF211" i="11"/>
  <c r="AG211" i="11"/>
  <c r="AF212" i="11"/>
  <c r="AG212" i="11"/>
  <c r="AF213" i="11"/>
  <c r="AG213" i="11"/>
  <c r="AF214" i="11"/>
  <c r="AG214" i="11"/>
  <c r="AF215" i="11"/>
  <c r="AG215" i="11"/>
  <c r="AF216" i="11"/>
  <c r="AG216" i="11"/>
  <c r="AF217" i="11"/>
  <c r="AG217" i="11"/>
  <c r="AF218" i="11"/>
  <c r="AG218" i="11"/>
  <c r="AF219" i="11"/>
  <c r="AG219" i="11"/>
  <c r="AF220" i="11"/>
  <c r="AG220" i="11"/>
  <c r="AF221" i="11"/>
  <c r="AG221" i="11"/>
  <c r="AF222" i="11"/>
  <c r="AG222" i="11"/>
  <c r="AF223" i="11"/>
  <c r="AG223" i="11"/>
  <c r="AF224" i="11"/>
  <c r="AG224" i="11"/>
  <c r="AF225" i="11"/>
  <c r="AG225" i="11"/>
  <c r="AF226" i="11"/>
  <c r="AG226" i="11"/>
  <c r="AF227" i="11"/>
  <c r="AG227" i="11"/>
  <c r="AF228" i="11"/>
  <c r="AG228" i="11"/>
  <c r="AF229" i="11"/>
  <c r="AG229" i="11"/>
  <c r="AF230" i="11"/>
  <c r="AG230" i="11"/>
  <c r="AF231" i="11"/>
  <c r="AG231" i="11"/>
  <c r="AF232" i="11"/>
  <c r="AG232" i="11"/>
  <c r="AF233" i="11"/>
  <c r="AG233" i="11"/>
  <c r="AF234" i="11"/>
  <c r="AG234" i="11"/>
  <c r="AF235" i="11"/>
  <c r="AG235" i="11"/>
  <c r="AF236" i="11"/>
  <c r="AG236" i="11"/>
  <c r="AF237" i="11"/>
  <c r="AG237" i="11"/>
  <c r="AF238" i="11"/>
  <c r="AG238" i="11"/>
  <c r="AF239" i="11"/>
  <c r="AG239" i="11"/>
  <c r="AF240" i="11"/>
  <c r="AG240" i="11"/>
  <c r="AF241" i="11"/>
  <c r="AG241" i="11"/>
  <c r="AF242" i="11"/>
  <c r="AG242" i="11"/>
  <c r="AF243" i="11"/>
  <c r="AG243" i="11"/>
  <c r="AF244" i="11"/>
  <c r="AG244" i="11"/>
  <c r="AF245" i="11"/>
  <c r="AG245" i="11"/>
  <c r="AF246" i="11"/>
  <c r="AG246" i="11"/>
  <c r="AF247" i="11"/>
  <c r="AG247" i="11"/>
  <c r="AF248" i="11"/>
  <c r="AG248" i="11"/>
  <c r="AF249" i="11"/>
  <c r="AG249" i="11"/>
  <c r="AF250" i="11"/>
  <c r="AG250" i="11"/>
  <c r="AF251" i="11"/>
  <c r="AG251" i="11"/>
  <c r="AF252" i="11"/>
  <c r="AG252" i="11"/>
  <c r="AF253" i="11"/>
  <c r="AG253" i="11"/>
  <c r="AF254" i="11"/>
  <c r="AG254" i="11"/>
  <c r="AF255" i="11"/>
  <c r="AG255" i="11"/>
  <c r="AF256" i="11"/>
  <c r="AG256" i="11"/>
  <c r="AF257" i="11"/>
  <c r="AG257" i="11"/>
  <c r="AF258" i="11"/>
  <c r="AG258" i="11"/>
  <c r="AG11" i="11"/>
  <c r="AF11" i="11"/>
  <c r="K46" i="36" l="1"/>
  <c r="Q12" i="11"/>
  <c r="X12" i="11" s="1"/>
  <c r="G259" i="46"/>
  <c r="W261" i="11"/>
  <c r="G259" i="71"/>
  <c r="H260" i="11"/>
  <c r="H261" i="59"/>
  <c r="H259" i="11"/>
  <c r="H259" i="59"/>
  <c r="W259" i="11"/>
  <c r="AG62" i="69"/>
  <c r="AG80" i="57"/>
  <c r="X78" i="57"/>
  <c r="AB78" i="57" s="1"/>
  <c r="T259" i="11"/>
  <c r="Z259" i="59"/>
  <c r="S259" i="11"/>
  <c r="W259" i="59"/>
  <c r="V259" i="59"/>
  <c r="AA77" i="57"/>
  <c r="M81" i="53"/>
  <c r="AC81" i="53" s="1"/>
  <c r="O81" i="53"/>
  <c r="AP65" i="69"/>
  <c r="N65" i="69"/>
  <c r="U65" i="69" s="1"/>
  <c r="AQ79" i="57"/>
  <c r="Q79" i="57"/>
  <c r="T79" i="57" s="1"/>
  <c r="AD79" i="57"/>
  <c r="AJ79" i="57"/>
  <c r="AB77" i="57"/>
  <c r="AE79" i="57"/>
  <c r="R79" i="57"/>
  <c r="AC79" i="57"/>
  <c r="M80" i="57"/>
  <c r="AK80" i="57" s="1"/>
  <c r="Q20" i="50"/>
  <c r="P20" i="50" s="1"/>
  <c r="Z19" i="50"/>
  <c r="I92" i="22"/>
  <c r="F100" i="22"/>
  <c r="F101" i="22"/>
  <c r="F99" i="22"/>
  <c r="F91" i="22"/>
  <c r="F97" i="22"/>
  <c r="AQ12" i="11"/>
  <c r="F93" i="22"/>
  <c r="I47" i="22"/>
  <c r="I48" i="22"/>
  <c r="I15" i="22"/>
  <c r="I134" i="22"/>
  <c r="F135" i="22"/>
  <c r="I76" i="22"/>
  <c r="K44" i="36"/>
  <c r="N81" i="53"/>
  <c r="O21" i="50"/>
  <c r="T21" i="50"/>
  <c r="AA79" i="53"/>
  <c r="AB79" i="53"/>
  <c r="AP14" i="50"/>
  <c r="AP15" i="50"/>
  <c r="AK17" i="50"/>
  <c r="AL17" i="50" s="1"/>
  <c r="AM17" i="50" s="1"/>
  <c r="AG17" i="50"/>
  <c r="AH17" i="50" s="1"/>
  <c r="AI17" i="50" s="1"/>
  <c r="AK16" i="50"/>
  <c r="AL16" i="50" s="1"/>
  <c r="AM16" i="50" s="1"/>
  <c r="AG16" i="50"/>
  <c r="AH16" i="50" s="1"/>
  <c r="AI16" i="50" s="1"/>
  <c r="AJ19" i="50"/>
  <c r="C19" i="50"/>
  <c r="S20" i="50"/>
  <c r="AQ14" i="11"/>
  <c r="F40" i="22"/>
  <c r="AQ19" i="11"/>
  <c r="I135" i="22"/>
  <c r="I43" i="22"/>
  <c r="F43" i="22"/>
  <c r="W19" i="50"/>
  <c r="X18" i="50"/>
  <c r="AD18" i="50" s="1"/>
  <c r="V19" i="50"/>
  <c r="AF64" i="69"/>
  <c r="Q64" i="69"/>
  <c r="O81" i="57"/>
  <c r="P81" i="57"/>
  <c r="I102" i="22"/>
  <c r="BG19" i="22" s="1"/>
  <c r="F87" i="22"/>
  <c r="AQ15" i="11"/>
  <c r="AB63" i="69"/>
  <c r="AG63" i="69"/>
  <c r="AO65" i="69"/>
  <c r="O66" i="69"/>
  <c r="I62" i="22"/>
  <c r="AE80" i="53"/>
  <c r="AF79" i="53"/>
  <c r="R80" i="53"/>
  <c r="X80" i="53" s="1"/>
  <c r="BG14" i="22"/>
  <c r="BG11" i="22"/>
  <c r="I86" i="22"/>
  <c r="J112" i="22"/>
  <c r="AX101" i="22" s="1"/>
  <c r="AY64" i="69"/>
  <c r="L81" i="57"/>
  <c r="AG80" i="53"/>
  <c r="AH80" i="53"/>
  <c r="AT80" i="53"/>
  <c r="N81" i="57"/>
  <c r="AH64" i="69"/>
  <c r="Q80" i="53"/>
  <c r="AD80" i="53"/>
  <c r="AK80" i="52" a="1"/>
  <c r="AK80" i="52" s="1"/>
  <c r="B82" i="53" s="1"/>
  <c r="F81" i="53"/>
  <c r="H81" i="53"/>
  <c r="I81" i="53"/>
  <c r="P81" i="53"/>
  <c r="K81" i="53"/>
  <c r="E81" i="53"/>
  <c r="J81" i="53"/>
  <c r="L81" i="53"/>
  <c r="G81" i="53"/>
  <c r="D81" i="53"/>
  <c r="C81" i="53"/>
  <c r="F21" i="50"/>
  <c r="U21" i="50" s="1"/>
  <c r="K21" i="50"/>
  <c r="A21" i="50"/>
  <c r="H21" i="50"/>
  <c r="B21" i="50"/>
  <c r="R21" i="50" s="1"/>
  <c r="L21" i="50"/>
  <c r="I21" i="50"/>
  <c r="M21" i="50"/>
  <c r="G21" i="50"/>
  <c r="J21" i="50"/>
  <c r="N21" i="50"/>
  <c r="K81" i="57"/>
  <c r="G81" i="57"/>
  <c r="E81" i="57"/>
  <c r="D81" i="57"/>
  <c r="C81" i="57"/>
  <c r="I81" i="57"/>
  <c r="H81" i="57"/>
  <c r="F81" i="57"/>
  <c r="J81" i="57"/>
  <c r="I133" i="22"/>
  <c r="I116" i="22"/>
  <c r="AN80" i="55" a="1"/>
  <c r="AN80" i="55" s="1"/>
  <c r="B82" i="57" s="1"/>
  <c r="D65" i="69"/>
  <c r="E65" i="69" s="1"/>
  <c r="F65" i="69" s="1"/>
  <c r="G65" i="69" s="1"/>
  <c r="H65" i="69" s="1"/>
  <c r="I65" i="69" s="1"/>
  <c r="J65" i="69" s="1"/>
  <c r="K65" i="69" s="1"/>
  <c r="M65" i="69" s="1"/>
  <c r="R64" i="69"/>
  <c r="S64" i="69" s="1"/>
  <c r="Y64" i="69" s="1"/>
  <c r="AE64" i="69"/>
  <c r="C66" i="69"/>
  <c r="P66" i="69" s="1"/>
  <c r="AR66" i="67" a="1"/>
  <c r="AR66" i="67" s="1"/>
  <c r="B67" i="69"/>
  <c r="L67" i="69" s="1"/>
  <c r="I70" i="22"/>
  <c r="I17" i="22"/>
  <c r="I100" i="22"/>
  <c r="I52" i="22"/>
  <c r="I87" i="22"/>
  <c r="I53" i="22"/>
  <c r="I51" i="22"/>
  <c r="J40" i="22"/>
  <c r="AX9" i="22" s="1"/>
  <c r="I16" i="22"/>
  <c r="I20" i="22"/>
  <c r="J89" i="22"/>
  <c r="AX18" i="22" s="1"/>
  <c r="AP21" i="59" a="1"/>
  <c r="AP21" i="59" s="1"/>
  <c r="E22" i="50" s="1"/>
  <c r="AL11" i="11" a="1"/>
  <c r="AL11" i="11" s="1"/>
  <c r="E12" i="32" s="1"/>
  <c r="K6" i="46" l="1"/>
  <c r="L6" i="71"/>
  <c r="X79" i="57"/>
  <c r="AB79" i="57" s="1"/>
  <c r="AG81" i="57"/>
  <c r="AF78" i="57"/>
  <c r="M82" i="53"/>
  <c r="AC82" i="53" s="1"/>
  <c r="O82" i="53"/>
  <c r="AP66" i="69"/>
  <c r="N66" i="69"/>
  <c r="U66" i="69" s="1"/>
  <c r="AA78" i="57"/>
  <c r="AD80" i="57"/>
  <c r="AQ80" i="57"/>
  <c r="AE80" i="57"/>
  <c r="AJ80" i="57"/>
  <c r="R80" i="57"/>
  <c r="Q80" i="57"/>
  <c r="T80" i="57" s="1"/>
  <c r="AC80" i="57"/>
  <c r="M81" i="57"/>
  <c r="AK81" i="57" s="1"/>
  <c r="Q21" i="50"/>
  <c r="P21" i="50" s="1"/>
  <c r="N82" i="53"/>
  <c r="T22" i="50"/>
  <c r="O22" i="50"/>
  <c r="AP17" i="50"/>
  <c r="AA80" i="53"/>
  <c r="AB80" i="53"/>
  <c r="AP16" i="50"/>
  <c r="AK18" i="50"/>
  <c r="AL18" i="50" s="1"/>
  <c r="AG18" i="50"/>
  <c r="AH18" i="50" s="1"/>
  <c r="C20" i="50"/>
  <c r="Z20" i="50"/>
  <c r="AJ20" i="50"/>
  <c r="S21" i="50"/>
  <c r="Z21" i="50" s="1"/>
  <c r="AQ13" i="11"/>
  <c r="W20" i="50"/>
  <c r="X19" i="50"/>
  <c r="AD19" i="50" s="1"/>
  <c r="V20" i="50"/>
  <c r="AF65" i="69"/>
  <c r="Q65" i="69"/>
  <c r="O82" i="57"/>
  <c r="P82" i="57"/>
  <c r="AC63" i="69"/>
  <c r="AD63" i="69" s="1"/>
  <c r="AB64" i="69"/>
  <c r="AG64" i="69"/>
  <c r="O67" i="69"/>
  <c r="AO66" i="69"/>
  <c r="AE81" i="53"/>
  <c r="AF80" i="53"/>
  <c r="R81" i="53"/>
  <c r="X81" i="53" s="1"/>
  <c r="BG18" i="22"/>
  <c r="BG10" i="22"/>
  <c r="BG17" i="22"/>
  <c r="AY65" i="69"/>
  <c r="L82" i="57"/>
  <c r="AG81" i="53"/>
  <c r="AH81" i="53"/>
  <c r="AT81" i="53"/>
  <c r="N82" i="57"/>
  <c r="H82" i="53"/>
  <c r="AH65" i="69"/>
  <c r="AD81" i="53"/>
  <c r="Q81" i="53"/>
  <c r="AK81" i="52" a="1"/>
  <c r="AK81" i="52" s="1"/>
  <c r="B83" i="53" s="1"/>
  <c r="K82" i="53"/>
  <c r="I82" i="53"/>
  <c r="P82" i="53"/>
  <c r="D82" i="53"/>
  <c r="F82" i="53"/>
  <c r="L82" i="53"/>
  <c r="G82" i="53"/>
  <c r="J82" i="53"/>
  <c r="C82" i="53"/>
  <c r="E82" i="53"/>
  <c r="I22" i="50"/>
  <c r="B22" i="50"/>
  <c r="R22" i="50" s="1"/>
  <c r="H22" i="50"/>
  <c r="G22" i="50"/>
  <c r="A22" i="50"/>
  <c r="M22" i="50"/>
  <c r="N22" i="50"/>
  <c r="K22" i="50"/>
  <c r="L22" i="50"/>
  <c r="F22" i="50"/>
  <c r="U22" i="50" s="1"/>
  <c r="J22" i="50"/>
  <c r="J82" i="57"/>
  <c r="G82" i="57"/>
  <c r="E82" i="57"/>
  <c r="H82" i="57"/>
  <c r="D82" i="57"/>
  <c r="K82" i="57"/>
  <c r="F82" i="57"/>
  <c r="I82" i="57"/>
  <c r="C82" i="57"/>
  <c r="AN81" i="55" a="1"/>
  <c r="AN81" i="55" s="1"/>
  <c r="B83" i="57" s="1"/>
  <c r="AR67" i="67" a="1"/>
  <c r="AR67" i="67" s="1"/>
  <c r="B68" i="69"/>
  <c r="L68" i="69" s="1"/>
  <c r="C67" i="69"/>
  <c r="P67" i="69" s="1"/>
  <c r="AE65" i="69"/>
  <c r="R65" i="69"/>
  <c r="S65" i="69" s="1"/>
  <c r="Y65" i="69" s="1"/>
  <c r="D66" i="69"/>
  <c r="E66" i="69" s="1"/>
  <c r="F66" i="69" s="1"/>
  <c r="G66" i="69" s="1"/>
  <c r="H66" i="69" s="1"/>
  <c r="I66" i="69" s="1"/>
  <c r="J66" i="69" s="1"/>
  <c r="K66" i="69" s="1"/>
  <c r="M66" i="69" s="1"/>
  <c r="AP22" i="59" a="1"/>
  <c r="AP22" i="59" s="1"/>
  <c r="E23" i="50" s="1"/>
  <c r="AL12" i="11" a="1"/>
  <c r="AL12" i="11" s="1"/>
  <c r="E13" i="32" s="1"/>
  <c r="AB65" i="69" l="1"/>
  <c r="AC65" i="69" s="1"/>
  <c r="AD65" i="69" s="1"/>
  <c r="X80" i="57"/>
  <c r="AB80" i="57" s="1"/>
  <c r="AG82" i="57"/>
  <c r="AJ81" i="57"/>
  <c r="AF79" i="57"/>
  <c r="AA79" i="57"/>
  <c r="M83" i="53"/>
  <c r="AC83" i="53" s="1"/>
  <c r="O83" i="53"/>
  <c r="AP67" i="69"/>
  <c r="N67" i="69"/>
  <c r="U67" i="69" s="1"/>
  <c r="AD81" i="57"/>
  <c r="Q81" i="57"/>
  <c r="T81" i="57" s="1"/>
  <c r="AC81" i="57"/>
  <c r="AQ81" i="57"/>
  <c r="R81" i="57"/>
  <c r="AE81" i="57"/>
  <c r="M82" i="57"/>
  <c r="AK82" i="57" s="1"/>
  <c r="Q22" i="50"/>
  <c r="P22" i="50" s="1"/>
  <c r="N83" i="53"/>
  <c r="T23" i="50"/>
  <c r="O23" i="50"/>
  <c r="AA81" i="53"/>
  <c r="AB81" i="53"/>
  <c r="AK19" i="50"/>
  <c r="AL19" i="50" s="1"/>
  <c r="AM19" i="50" s="1"/>
  <c r="AG19" i="50"/>
  <c r="AH19" i="50" s="1"/>
  <c r="AI19" i="50" s="1"/>
  <c r="AJ21" i="50"/>
  <c r="C21" i="50"/>
  <c r="S22" i="50"/>
  <c r="Z22" i="50" s="1"/>
  <c r="W21" i="50"/>
  <c r="X20" i="50"/>
  <c r="AD20" i="50" s="1"/>
  <c r="V21" i="50"/>
  <c r="AF66" i="69"/>
  <c r="Q66" i="69"/>
  <c r="O83" i="57"/>
  <c r="P83" i="57"/>
  <c r="AI18" i="50"/>
  <c r="AM18" i="50"/>
  <c r="AC64" i="69"/>
  <c r="AD64" i="69" s="1"/>
  <c r="AG65" i="69"/>
  <c r="O68" i="69"/>
  <c r="AO67" i="69"/>
  <c r="AE82" i="53"/>
  <c r="AF81" i="53"/>
  <c r="R82" i="53"/>
  <c r="X82" i="53" s="1"/>
  <c r="AY66" i="69"/>
  <c r="L83" i="57"/>
  <c r="AH82" i="53"/>
  <c r="AT82" i="53"/>
  <c r="AG82" i="53"/>
  <c r="N83" i="57"/>
  <c r="E83" i="53"/>
  <c r="AH66" i="69"/>
  <c r="AD82" i="53"/>
  <c r="Q82" i="53"/>
  <c r="F83" i="53"/>
  <c r="K83" i="53"/>
  <c r="P83" i="53"/>
  <c r="G83" i="53"/>
  <c r="D83" i="53"/>
  <c r="H83" i="53"/>
  <c r="L83" i="53"/>
  <c r="AK82" i="52" a="1"/>
  <c r="AK82" i="52" s="1"/>
  <c r="B84" i="53" s="1"/>
  <c r="J83" i="53"/>
  <c r="I83" i="53"/>
  <c r="C83" i="53"/>
  <c r="B23" i="50"/>
  <c r="R23" i="50" s="1"/>
  <c r="N23" i="50"/>
  <c r="M23" i="50"/>
  <c r="A23" i="50"/>
  <c r="L23" i="50"/>
  <c r="G23" i="50"/>
  <c r="K23" i="50"/>
  <c r="J23" i="50"/>
  <c r="I23" i="50"/>
  <c r="F23" i="50"/>
  <c r="U23" i="50" s="1"/>
  <c r="H23" i="50"/>
  <c r="H83" i="57"/>
  <c r="D83" i="57"/>
  <c r="C83" i="57"/>
  <c r="K83" i="57"/>
  <c r="I83" i="57"/>
  <c r="G83" i="57"/>
  <c r="E83" i="57"/>
  <c r="F83" i="57"/>
  <c r="J83" i="57"/>
  <c r="AN82" i="55" a="1"/>
  <c r="AN82" i="55" s="1"/>
  <c r="B84" i="57" s="1"/>
  <c r="D67" i="69"/>
  <c r="E67" i="69" s="1"/>
  <c r="F67" i="69" s="1"/>
  <c r="G67" i="69" s="1"/>
  <c r="H67" i="69" s="1"/>
  <c r="I67" i="69" s="1"/>
  <c r="J67" i="69" s="1"/>
  <c r="K67" i="69" s="1"/>
  <c r="M67" i="69" s="1"/>
  <c r="R66" i="69"/>
  <c r="S66" i="69" s="1"/>
  <c r="Y66" i="69" s="1"/>
  <c r="AE66" i="69"/>
  <c r="C68" i="69"/>
  <c r="P68" i="69" s="1"/>
  <c r="AR68" i="67" a="1"/>
  <c r="AR68" i="67" s="1"/>
  <c r="B69" i="69"/>
  <c r="L69" i="69" s="1"/>
  <c r="AP23" i="59" a="1"/>
  <c r="AP23" i="59" s="1"/>
  <c r="E24" i="50" s="1"/>
  <c r="AL13" i="11" a="1"/>
  <c r="AL13" i="11" s="1"/>
  <c r="E14" i="32" s="1"/>
  <c r="X81" i="57" l="1"/>
  <c r="AB81" i="57" s="1"/>
  <c r="AB66" i="69"/>
  <c r="AC66" i="69" s="1"/>
  <c r="AD66" i="69" s="1"/>
  <c r="AG83" i="57"/>
  <c r="M84" i="53"/>
  <c r="AC84" i="53" s="1"/>
  <c r="O84" i="53"/>
  <c r="AP68" i="69"/>
  <c r="N68" i="69"/>
  <c r="U68" i="69" s="1"/>
  <c r="AA80" i="57"/>
  <c r="AF80" i="57"/>
  <c r="Q82" i="57"/>
  <c r="T82" i="57" s="1"/>
  <c r="AE82" i="57"/>
  <c r="AQ82" i="57"/>
  <c r="AC82" i="57"/>
  <c r="AD82" i="57"/>
  <c r="AJ82" i="57"/>
  <c r="R82" i="57"/>
  <c r="M83" i="57"/>
  <c r="AK83" i="57" s="1"/>
  <c r="Q23" i="50"/>
  <c r="P23" i="50" s="1"/>
  <c r="N84" i="53"/>
  <c r="T14" i="32"/>
  <c r="O14" i="32"/>
  <c r="O24" i="50"/>
  <c r="T24" i="50"/>
  <c r="AA82" i="53"/>
  <c r="AB82" i="53"/>
  <c r="AP19" i="50"/>
  <c r="AP18" i="50"/>
  <c r="AK20" i="50"/>
  <c r="AL20" i="50" s="1"/>
  <c r="AM20" i="50" s="1"/>
  <c r="AG20" i="50"/>
  <c r="AH20" i="50" s="1"/>
  <c r="AI20" i="50" s="1"/>
  <c r="AJ22" i="50"/>
  <c r="C22" i="50"/>
  <c r="S23" i="50"/>
  <c r="Z23" i="50" s="1"/>
  <c r="W22" i="50"/>
  <c r="X21" i="50"/>
  <c r="V22" i="50"/>
  <c r="AF67" i="69"/>
  <c r="Q67" i="69"/>
  <c r="O84" i="57"/>
  <c r="P84" i="57"/>
  <c r="AD21" i="50"/>
  <c r="AO68" i="69"/>
  <c r="O69" i="69"/>
  <c r="AG66" i="69"/>
  <c r="AF82" i="53"/>
  <c r="AE83" i="53"/>
  <c r="R83" i="53"/>
  <c r="X83" i="53" s="1"/>
  <c r="AY67" i="69"/>
  <c r="L84" i="57"/>
  <c r="AG83" i="53"/>
  <c r="AH83" i="53"/>
  <c r="AT83" i="53"/>
  <c r="N84" i="57"/>
  <c r="D84" i="53"/>
  <c r="AH67" i="69"/>
  <c r="AD83" i="53"/>
  <c r="Q83" i="53"/>
  <c r="G84" i="53"/>
  <c r="P84" i="53"/>
  <c r="H84" i="53"/>
  <c r="F84" i="53"/>
  <c r="AK83" i="52" a="1"/>
  <c r="AK83" i="52" s="1"/>
  <c r="B85" i="53" s="1"/>
  <c r="K84" i="53"/>
  <c r="E84" i="53"/>
  <c r="L84" i="53"/>
  <c r="C84" i="53"/>
  <c r="J84" i="53"/>
  <c r="I84" i="53"/>
  <c r="F24" i="50"/>
  <c r="U24" i="50" s="1"/>
  <c r="J24" i="50"/>
  <c r="I24" i="50"/>
  <c r="M24" i="50"/>
  <c r="L24" i="50"/>
  <c r="B24" i="50"/>
  <c r="R24" i="50" s="1"/>
  <c r="K24" i="50"/>
  <c r="A24" i="50"/>
  <c r="G24" i="50"/>
  <c r="N24" i="50"/>
  <c r="H24" i="50"/>
  <c r="F84" i="57"/>
  <c r="C84" i="57"/>
  <c r="K84" i="57"/>
  <c r="I84" i="57"/>
  <c r="H84" i="57"/>
  <c r="D84" i="57"/>
  <c r="G84" i="57"/>
  <c r="E84" i="57"/>
  <c r="J84" i="57"/>
  <c r="AN83" i="55" a="1"/>
  <c r="AN83" i="55" s="1"/>
  <c r="B85" i="57" s="1"/>
  <c r="AR69" i="67" a="1"/>
  <c r="AR69" i="67" s="1"/>
  <c r="B70" i="69"/>
  <c r="L70" i="69" s="1"/>
  <c r="AE67" i="69"/>
  <c r="R67" i="69"/>
  <c r="S67" i="69" s="1"/>
  <c r="Y67" i="69" s="1"/>
  <c r="C69" i="69"/>
  <c r="P69" i="69" s="1"/>
  <c r="D68" i="69"/>
  <c r="E68" i="69" s="1"/>
  <c r="F68" i="69" s="1"/>
  <c r="G68" i="69" s="1"/>
  <c r="H68" i="69" s="1"/>
  <c r="I68" i="69" s="1"/>
  <c r="J68" i="69" s="1"/>
  <c r="K68" i="69" s="1"/>
  <c r="M68" i="69" s="1"/>
  <c r="AP24" i="59" a="1"/>
  <c r="AP24" i="59" s="1"/>
  <c r="E25" i="50" s="1"/>
  <c r="AL14" i="11" a="1"/>
  <c r="AL14" i="11" s="1"/>
  <c r="E15" i="32" s="1"/>
  <c r="AG84" i="57" l="1"/>
  <c r="X82" i="57"/>
  <c r="AF82" i="57" s="1"/>
  <c r="AA81" i="57"/>
  <c r="M85" i="53"/>
  <c r="AC85" i="53" s="1"/>
  <c r="O85" i="53"/>
  <c r="AP69" i="69"/>
  <c r="N69" i="69"/>
  <c r="U69" i="69" s="1"/>
  <c r="AF81" i="57"/>
  <c r="AQ83" i="57"/>
  <c r="AC83" i="57"/>
  <c r="Q83" i="57"/>
  <c r="T83" i="57" s="1"/>
  <c r="AE83" i="57"/>
  <c r="AD83" i="57"/>
  <c r="AJ83" i="57"/>
  <c r="R83" i="57"/>
  <c r="M84" i="57"/>
  <c r="AK84" i="57" s="1"/>
  <c r="Q24" i="50"/>
  <c r="P24" i="50" s="1"/>
  <c r="N85" i="53"/>
  <c r="T15" i="32"/>
  <c r="O15" i="32"/>
  <c r="O25" i="50"/>
  <c r="T25" i="50"/>
  <c r="AA83" i="53"/>
  <c r="AB83" i="53"/>
  <c r="AP20" i="50"/>
  <c r="AJ23" i="50"/>
  <c r="C23" i="50"/>
  <c r="S24" i="50"/>
  <c r="Z24" i="50" s="1"/>
  <c r="W23" i="50"/>
  <c r="X22" i="50"/>
  <c r="V23" i="50"/>
  <c r="AF68" i="69"/>
  <c r="Q68" i="69"/>
  <c r="O85" i="57"/>
  <c r="P85" i="57"/>
  <c r="AD22" i="50"/>
  <c r="AB67" i="69"/>
  <c r="AG67" i="69"/>
  <c r="O70" i="69"/>
  <c r="AO69" i="69"/>
  <c r="AF83" i="53"/>
  <c r="AE84" i="53"/>
  <c r="R84" i="53"/>
  <c r="X84" i="53" s="1"/>
  <c r="AY68" i="69"/>
  <c r="L85" i="57"/>
  <c r="AG84" i="53"/>
  <c r="AH84" i="53"/>
  <c r="AT84" i="53"/>
  <c r="N85" i="57"/>
  <c r="J85" i="53"/>
  <c r="AH68" i="69"/>
  <c r="AD84" i="53"/>
  <c r="Q84" i="53"/>
  <c r="E85" i="53"/>
  <c r="D85" i="53"/>
  <c r="P85" i="53"/>
  <c r="C85" i="53"/>
  <c r="AK84" i="52" a="1"/>
  <c r="AK84" i="52" s="1"/>
  <c r="B86" i="53" s="1"/>
  <c r="G85" i="53"/>
  <c r="H85" i="53"/>
  <c r="F85" i="53"/>
  <c r="L85" i="53"/>
  <c r="K85" i="53"/>
  <c r="I85" i="53"/>
  <c r="M25" i="50"/>
  <c r="J25" i="50"/>
  <c r="G25" i="50"/>
  <c r="L25" i="50"/>
  <c r="H25" i="50"/>
  <c r="I25" i="50"/>
  <c r="K25" i="50"/>
  <c r="B25" i="50"/>
  <c r="R25" i="50" s="1"/>
  <c r="F25" i="50"/>
  <c r="U25" i="50" s="1"/>
  <c r="A25" i="50"/>
  <c r="N25" i="50"/>
  <c r="C85" i="57"/>
  <c r="I85" i="57"/>
  <c r="H85" i="57"/>
  <c r="G85" i="57"/>
  <c r="E85" i="57"/>
  <c r="D85" i="57"/>
  <c r="K85" i="57"/>
  <c r="F85" i="57"/>
  <c r="J85" i="57"/>
  <c r="AN84" i="55" a="1"/>
  <c r="AN84" i="55" s="1"/>
  <c r="B86" i="57" s="1"/>
  <c r="D69" i="69"/>
  <c r="E69" i="69" s="1"/>
  <c r="F69" i="69" s="1"/>
  <c r="G69" i="69" s="1"/>
  <c r="H69" i="69" s="1"/>
  <c r="I69" i="69" s="1"/>
  <c r="J69" i="69" s="1"/>
  <c r="K69" i="69" s="1"/>
  <c r="M69" i="69" s="1"/>
  <c r="AE68" i="69"/>
  <c r="R68" i="69"/>
  <c r="S68" i="69" s="1"/>
  <c r="C70" i="69"/>
  <c r="P70" i="69" s="1"/>
  <c r="AR70" i="67" a="1"/>
  <c r="AR70" i="67" s="1"/>
  <c r="B71" i="69"/>
  <c r="L71" i="69" s="1"/>
  <c r="AP25" i="59" a="1"/>
  <c r="AP25" i="59" s="1"/>
  <c r="E26" i="50" s="1"/>
  <c r="AL15" i="11" a="1"/>
  <c r="AL15" i="11" s="1"/>
  <c r="E16" i="32" s="1"/>
  <c r="Y68" i="69" l="1"/>
  <c r="AG68" i="69" s="1"/>
  <c r="X83" i="57"/>
  <c r="AB83" i="57" s="1"/>
  <c r="AG85" i="57"/>
  <c r="M86" i="53"/>
  <c r="AC86" i="53" s="1"/>
  <c r="O86" i="53"/>
  <c r="AP70" i="69"/>
  <c r="N70" i="69"/>
  <c r="U70" i="69" s="1"/>
  <c r="AB82" i="57"/>
  <c r="AA82" i="57"/>
  <c r="Q84" i="57"/>
  <c r="T84" i="57" s="1"/>
  <c r="AC84" i="57"/>
  <c r="AQ84" i="57"/>
  <c r="AD84" i="57"/>
  <c r="AJ84" i="57"/>
  <c r="R84" i="57"/>
  <c r="AE84" i="57"/>
  <c r="M85" i="57"/>
  <c r="AK85" i="57" s="1"/>
  <c r="Q25" i="50"/>
  <c r="P25" i="50" s="1"/>
  <c r="N86" i="53"/>
  <c r="O16" i="32"/>
  <c r="T16" i="32"/>
  <c r="T26" i="50"/>
  <c r="O26" i="50"/>
  <c r="AA84" i="53"/>
  <c r="AB84" i="53"/>
  <c r="AK21" i="50"/>
  <c r="AL21" i="50" s="1"/>
  <c r="AM21" i="50" s="1"/>
  <c r="AG21" i="50"/>
  <c r="AH21" i="50" s="1"/>
  <c r="AI21" i="50" s="1"/>
  <c r="AJ24" i="50"/>
  <c r="C24" i="50"/>
  <c r="S25" i="50"/>
  <c r="Z25" i="50" s="1"/>
  <c r="W24" i="50"/>
  <c r="X23" i="50"/>
  <c r="V24" i="50"/>
  <c r="AF69" i="69"/>
  <c r="Q69" i="69"/>
  <c r="O86" i="57"/>
  <c r="P86" i="57"/>
  <c r="AD23" i="50"/>
  <c r="AC67" i="69"/>
  <c r="AD67" i="69" s="1"/>
  <c r="O71" i="69"/>
  <c r="AO70" i="69"/>
  <c r="AE85" i="53"/>
  <c r="AF84" i="53"/>
  <c r="R85" i="53"/>
  <c r="X85" i="53" s="1"/>
  <c r="AY69" i="69"/>
  <c r="L86" i="57"/>
  <c r="AH85" i="53"/>
  <c r="AT85" i="53"/>
  <c r="AG85" i="53"/>
  <c r="N86" i="57"/>
  <c r="AH69" i="69"/>
  <c r="AD85" i="53"/>
  <c r="Q85" i="53"/>
  <c r="C86" i="53"/>
  <c r="H86" i="53"/>
  <c r="AK85" i="52" a="1"/>
  <c r="AK85" i="52" s="1"/>
  <c r="B87" i="53" s="1"/>
  <c r="J86" i="53"/>
  <c r="E86" i="53"/>
  <c r="I86" i="53"/>
  <c r="F86" i="53"/>
  <c r="L86" i="53"/>
  <c r="P86" i="53"/>
  <c r="K86" i="53"/>
  <c r="D86" i="53"/>
  <c r="G86" i="53"/>
  <c r="A26" i="50"/>
  <c r="H26" i="50"/>
  <c r="J26" i="50"/>
  <c r="M26" i="50"/>
  <c r="G26" i="50"/>
  <c r="K26" i="50"/>
  <c r="N26" i="50"/>
  <c r="F26" i="50"/>
  <c r="U26" i="50" s="1"/>
  <c r="L26" i="50"/>
  <c r="B26" i="50"/>
  <c r="R26" i="50" s="1"/>
  <c r="I26" i="50"/>
  <c r="J86" i="57"/>
  <c r="G86" i="57"/>
  <c r="E86" i="57"/>
  <c r="H86" i="57"/>
  <c r="D86" i="57"/>
  <c r="I86" i="57"/>
  <c r="C86" i="57"/>
  <c r="K86" i="57"/>
  <c r="F86" i="57"/>
  <c r="AN85" i="55" a="1"/>
  <c r="AN85" i="55" s="1"/>
  <c r="B87" i="57" s="1"/>
  <c r="AR71" i="67" a="1"/>
  <c r="AR71" i="67" s="1"/>
  <c r="B72" i="69"/>
  <c r="L72" i="69" s="1"/>
  <c r="C71" i="69"/>
  <c r="P71" i="69" s="1"/>
  <c r="D70" i="69"/>
  <c r="E70" i="69" s="1"/>
  <c r="F70" i="69" s="1"/>
  <c r="G70" i="69" s="1"/>
  <c r="H70" i="69" s="1"/>
  <c r="I70" i="69" s="1"/>
  <c r="J70" i="69" s="1"/>
  <c r="K70" i="69" s="1"/>
  <c r="M70" i="69" s="1"/>
  <c r="AE69" i="69"/>
  <c r="R69" i="69"/>
  <c r="S69" i="69" s="1"/>
  <c r="Y69" i="69" s="1"/>
  <c r="AP26" i="59" a="1"/>
  <c r="AP26" i="59" s="1"/>
  <c r="E27" i="50" s="1"/>
  <c r="AL16" i="11" a="1"/>
  <c r="AL16" i="11" s="1"/>
  <c r="E17" i="32" s="1"/>
  <c r="AB68" i="69" l="1"/>
  <c r="AC68" i="69" s="1"/>
  <c r="AD68" i="69" s="1"/>
  <c r="X84" i="57"/>
  <c r="AB84" i="57" s="1"/>
  <c r="AG86" i="57"/>
  <c r="M87" i="53"/>
  <c r="AC87" i="53" s="1"/>
  <c r="O87" i="53"/>
  <c r="AP71" i="69"/>
  <c r="N71" i="69"/>
  <c r="U71" i="69" s="1"/>
  <c r="AQ85" i="57"/>
  <c r="AF83" i="57"/>
  <c r="AA83" i="57"/>
  <c r="AJ85" i="57"/>
  <c r="R85" i="57"/>
  <c r="AD85" i="57"/>
  <c r="AC85" i="57"/>
  <c r="Q85" i="57"/>
  <c r="T85" i="57" s="1"/>
  <c r="AE85" i="57"/>
  <c r="M86" i="57"/>
  <c r="AK86" i="57" s="1"/>
  <c r="Q26" i="50"/>
  <c r="P26" i="50" s="1"/>
  <c r="N87" i="53"/>
  <c r="I17" i="32"/>
  <c r="O17" i="32"/>
  <c r="T17" i="32"/>
  <c r="T27" i="50"/>
  <c r="O27" i="50"/>
  <c r="AA85" i="53"/>
  <c r="AB85" i="53"/>
  <c r="AP21" i="50"/>
  <c r="AK22" i="50"/>
  <c r="AL22" i="50" s="1"/>
  <c r="AG22" i="50"/>
  <c r="AH22" i="50" s="1"/>
  <c r="AI22" i="50" s="1"/>
  <c r="AJ25" i="50"/>
  <c r="C25" i="50"/>
  <c r="S26" i="50"/>
  <c r="Z26" i="50" s="1"/>
  <c r="W25" i="50"/>
  <c r="X24" i="50"/>
  <c r="AD24" i="50" s="1"/>
  <c r="V25" i="50"/>
  <c r="AF70" i="69"/>
  <c r="Q70" i="69"/>
  <c r="O87" i="57"/>
  <c r="P87" i="57"/>
  <c r="AM22" i="50"/>
  <c r="AB69" i="69"/>
  <c r="AG69" i="69"/>
  <c r="AO71" i="69"/>
  <c r="O72" i="69"/>
  <c r="AE86" i="53"/>
  <c r="AF85" i="53"/>
  <c r="R86" i="53"/>
  <c r="X86" i="53" s="1"/>
  <c r="AY70" i="69"/>
  <c r="L87" i="57"/>
  <c r="AH86" i="53"/>
  <c r="AT86" i="53"/>
  <c r="AG86" i="53"/>
  <c r="N87" i="57"/>
  <c r="J87" i="53"/>
  <c r="AH70" i="69"/>
  <c r="AD86" i="53"/>
  <c r="Q86" i="53"/>
  <c r="C87" i="53"/>
  <c r="D87" i="53"/>
  <c r="AK86" i="52" a="1"/>
  <c r="AK86" i="52" s="1"/>
  <c r="B88" i="53" s="1"/>
  <c r="L87" i="53"/>
  <c r="I87" i="53"/>
  <c r="G87" i="53"/>
  <c r="P87" i="53"/>
  <c r="K87" i="53"/>
  <c r="E87" i="53"/>
  <c r="H87" i="53"/>
  <c r="F87" i="53"/>
  <c r="F27" i="50"/>
  <c r="U27" i="50" s="1"/>
  <c r="A27" i="50"/>
  <c r="K27" i="50"/>
  <c r="M27" i="50"/>
  <c r="L27" i="50"/>
  <c r="B27" i="50"/>
  <c r="R27" i="50" s="1"/>
  <c r="I27" i="50"/>
  <c r="H27" i="50"/>
  <c r="J27" i="50"/>
  <c r="G27" i="50"/>
  <c r="N27" i="50"/>
  <c r="D87" i="57"/>
  <c r="C87" i="57"/>
  <c r="K87" i="57"/>
  <c r="I87" i="57"/>
  <c r="H87" i="57"/>
  <c r="G87" i="57"/>
  <c r="E87" i="57"/>
  <c r="F87" i="57"/>
  <c r="J87" i="57"/>
  <c r="AN86" i="55" a="1"/>
  <c r="AN86" i="55" s="1"/>
  <c r="B88" i="57" s="1"/>
  <c r="AR72" i="67" a="1"/>
  <c r="AR72" i="67" s="1"/>
  <c r="B73" i="69"/>
  <c r="L73" i="69" s="1"/>
  <c r="D71" i="69"/>
  <c r="E71" i="69" s="1"/>
  <c r="F71" i="69" s="1"/>
  <c r="G71" i="69" s="1"/>
  <c r="H71" i="69" s="1"/>
  <c r="I71" i="69" s="1"/>
  <c r="J71" i="69" s="1"/>
  <c r="K71" i="69" s="1"/>
  <c r="M71" i="69" s="1"/>
  <c r="AE70" i="69"/>
  <c r="R70" i="69"/>
  <c r="S70" i="69" s="1"/>
  <c r="Y70" i="69" s="1"/>
  <c r="C72" i="69"/>
  <c r="P72" i="69" s="1"/>
  <c r="AP27" i="59" a="1"/>
  <c r="AP27" i="59" s="1"/>
  <c r="E28" i="50" s="1"/>
  <c r="AL17" i="11" a="1"/>
  <c r="AL17" i="11" s="1"/>
  <c r="E18" i="32" s="1"/>
  <c r="X85" i="57" l="1"/>
  <c r="AB85" i="57" s="1"/>
  <c r="AG87" i="57"/>
  <c r="M88" i="53"/>
  <c r="AC88" i="53" s="1"/>
  <c r="O88" i="53"/>
  <c r="AP72" i="69"/>
  <c r="N72" i="69"/>
  <c r="U72" i="69" s="1"/>
  <c r="AF84" i="57"/>
  <c r="AA84" i="57"/>
  <c r="AQ86" i="57"/>
  <c r="AE86" i="57"/>
  <c r="Q86" i="57"/>
  <c r="T86" i="57" s="1"/>
  <c r="AD86" i="57"/>
  <c r="AJ86" i="57"/>
  <c r="R86" i="57"/>
  <c r="AC86" i="57"/>
  <c r="M87" i="57"/>
  <c r="AK87" i="57" s="1"/>
  <c r="Q27" i="50"/>
  <c r="P27" i="50" s="1"/>
  <c r="N88" i="53"/>
  <c r="T18" i="32"/>
  <c r="O18" i="32"/>
  <c r="O28" i="50"/>
  <c r="T28" i="50"/>
  <c r="AA86" i="53"/>
  <c r="AB86" i="53"/>
  <c r="AP22" i="50"/>
  <c r="AK24" i="50"/>
  <c r="AL24" i="50" s="1"/>
  <c r="AM24" i="50" s="1"/>
  <c r="AG24" i="50"/>
  <c r="AH24" i="50" s="1"/>
  <c r="AI24" i="50" s="1"/>
  <c r="AK23" i="50"/>
  <c r="AL23" i="50" s="1"/>
  <c r="AG23" i="50"/>
  <c r="AH23" i="50" s="1"/>
  <c r="AI23" i="50" s="1"/>
  <c r="C26" i="50"/>
  <c r="AJ26" i="50"/>
  <c r="S27" i="50"/>
  <c r="Z27" i="50" s="1"/>
  <c r="W26" i="50"/>
  <c r="X25" i="50"/>
  <c r="AD25" i="50" s="1"/>
  <c r="V26" i="50"/>
  <c r="AF71" i="69"/>
  <c r="Q71" i="69"/>
  <c r="O88" i="57"/>
  <c r="P88" i="57"/>
  <c r="AM23" i="50"/>
  <c r="AC69" i="69"/>
  <c r="AD69" i="69" s="1"/>
  <c r="AB70" i="69"/>
  <c r="AG70" i="69"/>
  <c r="O73" i="69"/>
  <c r="AO72" i="69"/>
  <c r="AF86" i="53"/>
  <c r="AE87" i="53"/>
  <c r="R87" i="53"/>
  <c r="X87" i="53" s="1"/>
  <c r="AY71" i="69"/>
  <c r="L88" i="57"/>
  <c r="AG87" i="53"/>
  <c r="AH87" i="53"/>
  <c r="AT87" i="53"/>
  <c r="N88" i="57"/>
  <c r="K88" i="53"/>
  <c r="AH71" i="69"/>
  <c r="AD87" i="53"/>
  <c r="Q87" i="53"/>
  <c r="P88" i="53"/>
  <c r="D88" i="53"/>
  <c r="C88" i="53"/>
  <c r="E88" i="53"/>
  <c r="H88" i="53"/>
  <c r="F88" i="53"/>
  <c r="AK87" i="52" a="1"/>
  <c r="AK87" i="52" s="1"/>
  <c r="B89" i="53" s="1"/>
  <c r="L88" i="53"/>
  <c r="I88" i="53"/>
  <c r="G88" i="53"/>
  <c r="J88" i="53"/>
  <c r="I28" i="50"/>
  <c r="N28" i="50"/>
  <c r="H28" i="50"/>
  <c r="M28" i="50"/>
  <c r="L28" i="50"/>
  <c r="K28" i="50"/>
  <c r="G28" i="50"/>
  <c r="F28" i="50"/>
  <c r="U28" i="50" s="1"/>
  <c r="J28" i="50"/>
  <c r="B28" i="50"/>
  <c r="R28" i="50" s="1"/>
  <c r="A28" i="50"/>
  <c r="E88" i="57"/>
  <c r="C88" i="57"/>
  <c r="K88" i="57"/>
  <c r="J88" i="57"/>
  <c r="I88" i="57"/>
  <c r="F88" i="57"/>
  <c r="H88" i="57"/>
  <c r="D88" i="57"/>
  <c r="G88" i="57"/>
  <c r="AN87" i="55" a="1"/>
  <c r="AN87" i="55" s="1"/>
  <c r="B89" i="57" s="1"/>
  <c r="AE71" i="69"/>
  <c r="R71" i="69"/>
  <c r="S71" i="69" s="1"/>
  <c r="D72" i="69"/>
  <c r="E72" i="69" s="1"/>
  <c r="F72" i="69" s="1"/>
  <c r="G72" i="69" s="1"/>
  <c r="H72" i="69" s="1"/>
  <c r="I72" i="69" s="1"/>
  <c r="J72" i="69" s="1"/>
  <c r="K72" i="69" s="1"/>
  <c r="M72" i="69" s="1"/>
  <c r="C73" i="69"/>
  <c r="P73" i="69" s="1"/>
  <c r="AR73" i="67" a="1"/>
  <c r="AR73" i="67" s="1"/>
  <c r="B74" i="69"/>
  <c r="L74" i="69" s="1"/>
  <c r="AP28" i="59" a="1"/>
  <c r="AP28" i="59" s="1"/>
  <c r="E29" i="50" s="1"/>
  <c r="AL18" i="11" a="1"/>
  <c r="AL18" i="11" s="1"/>
  <c r="E19" i="32" s="1"/>
  <c r="Y71" i="69" l="1"/>
  <c r="AB71" i="69" s="1"/>
  <c r="AC71" i="69" s="1"/>
  <c r="AD71" i="69" s="1"/>
  <c r="X86" i="57"/>
  <c r="AB86" i="57" s="1"/>
  <c r="AG88" i="57"/>
  <c r="AA85" i="57"/>
  <c r="M89" i="53"/>
  <c r="AC89" i="53" s="1"/>
  <c r="O89" i="53"/>
  <c r="AP73" i="69"/>
  <c r="N73" i="69"/>
  <c r="U73" i="69" s="1"/>
  <c r="AQ87" i="57"/>
  <c r="AF85" i="57"/>
  <c r="AD87" i="57"/>
  <c r="AJ87" i="57"/>
  <c r="R87" i="57"/>
  <c r="Q87" i="57"/>
  <c r="T87" i="57" s="1"/>
  <c r="AC87" i="57"/>
  <c r="AE87" i="57"/>
  <c r="M88" i="57"/>
  <c r="AK88" i="57" s="1"/>
  <c r="Q28" i="50"/>
  <c r="P28" i="50" s="1"/>
  <c r="N89" i="53"/>
  <c r="T19" i="32"/>
  <c r="O19" i="32"/>
  <c r="O29" i="50"/>
  <c r="T29" i="50"/>
  <c r="AA87" i="53"/>
  <c r="AB87" i="53"/>
  <c r="AP24" i="50"/>
  <c r="AP23" i="50"/>
  <c r="AK25" i="50"/>
  <c r="AL25" i="50" s="1"/>
  <c r="AG25" i="50"/>
  <c r="AH25" i="50" s="1"/>
  <c r="AI25" i="50" s="1"/>
  <c r="AJ27" i="50"/>
  <c r="C27" i="50"/>
  <c r="S28" i="50"/>
  <c r="Z28" i="50" s="1"/>
  <c r="W27" i="50"/>
  <c r="X26" i="50"/>
  <c r="AD26" i="50" s="1"/>
  <c r="V27" i="50"/>
  <c r="AF72" i="69"/>
  <c r="Q72" i="69"/>
  <c r="O89" i="57"/>
  <c r="P89" i="57"/>
  <c r="AM25" i="50"/>
  <c r="AC70" i="69"/>
  <c r="AD70" i="69" s="1"/>
  <c r="O74" i="69"/>
  <c r="AO73" i="69"/>
  <c r="AE88" i="53"/>
  <c r="AF87" i="53"/>
  <c r="R88" i="53"/>
  <c r="X88" i="53" s="1"/>
  <c r="AY72" i="69"/>
  <c r="L89" i="57"/>
  <c r="AG88" i="53"/>
  <c r="AH88" i="53"/>
  <c r="AT88" i="53"/>
  <c r="N89" i="57"/>
  <c r="J89" i="53"/>
  <c r="AH72" i="69"/>
  <c r="AD88" i="53"/>
  <c r="Q88" i="53"/>
  <c r="E89" i="53"/>
  <c r="L89" i="53"/>
  <c r="K89" i="53"/>
  <c r="C89" i="53"/>
  <c r="G89" i="53"/>
  <c r="D89" i="53"/>
  <c r="P89" i="53"/>
  <c r="H89" i="53"/>
  <c r="AK88" i="52" a="1"/>
  <c r="AK88" i="52" s="1"/>
  <c r="B90" i="53" s="1"/>
  <c r="I89" i="53"/>
  <c r="F89" i="53"/>
  <c r="B29" i="50"/>
  <c r="R29" i="50" s="1"/>
  <c r="I29" i="50"/>
  <c r="A29" i="50"/>
  <c r="M29" i="50"/>
  <c r="H29" i="50"/>
  <c r="K29" i="50"/>
  <c r="G29" i="50"/>
  <c r="F29" i="50"/>
  <c r="U29" i="50" s="1"/>
  <c r="J29" i="50"/>
  <c r="N29" i="50"/>
  <c r="L29" i="50"/>
  <c r="G89" i="57"/>
  <c r="E89" i="57"/>
  <c r="D89" i="57"/>
  <c r="C89" i="57"/>
  <c r="K89" i="57"/>
  <c r="I89" i="57"/>
  <c r="H89" i="57"/>
  <c r="F89" i="57"/>
  <c r="J89" i="57"/>
  <c r="AN88" i="55" a="1"/>
  <c r="AN88" i="55" s="1"/>
  <c r="B90" i="57" s="1"/>
  <c r="AR74" i="67" a="1"/>
  <c r="AR74" i="67" s="1"/>
  <c r="B75" i="69"/>
  <c r="L75" i="69" s="1"/>
  <c r="AE72" i="69"/>
  <c r="R72" i="69"/>
  <c r="S72" i="69" s="1"/>
  <c r="Y72" i="69" s="1"/>
  <c r="D73" i="69"/>
  <c r="E73" i="69" s="1"/>
  <c r="F73" i="69" s="1"/>
  <c r="G73" i="69" s="1"/>
  <c r="H73" i="69" s="1"/>
  <c r="I73" i="69" s="1"/>
  <c r="J73" i="69" s="1"/>
  <c r="K73" i="69" s="1"/>
  <c r="M73" i="69" s="1"/>
  <c r="C74" i="69"/>
  <c r="P74" i="69" s="1"/>
  <c r="AP29" i="59" a="1"/>
  <c r="AP29" i="59" s="1"/>
  <c r="E30" i="50" s="1"/>
  <c r="AL19" i="11" a="1"/>
  <c r="AL19" i="11" s="1"/>
  <c r="E20" i="32" s="1"/>
  <c r="AG71" i="69" l="1"/>
  <c r="X87" i="57"/>
  <c r="AB87" i="57" s="1"/>
  <c r="AG89" i="57"/>
  <c r="M90" i="53"/>
  <c r="O90" i="53"/>
  <c r="AP74" i="69"/>
  <c r="N74" i="69"/>
  <c r="U74" i="69" s="1"/>
  <c r="AF86" i="57"/>
  <c r="AA86" i="57"/>
  <c r="AQ88" i="57"/>
  <c r="AE88" i="57"/>
  <c r="AD88" i="57"/>
  <c r="AJ88" i="57"/>
  <c r="R88" i="57"/>
  <c r="Q88" i="57"/>
  <c r="T88" i="57" s="1"/>
  <c r="AC88" i="57"/>
  <c r="M89" i="57"/>
  <c r="AK89" i="57" s="1"/>
  <c r="Q29" i="50"/>
  <c r="P29" i="50" s="1"/>
  <c r="N90" i="53"/>
  <c r="O20" i="32"/>
  <c r="T20" i="32"/>
  <c r="T30" i="50"/>
  <c r="O30" i="50"/>
  <c r="AA88" i="53"/>
  <c r="AB88" i="53"/>
  <c r="AP25" i="50"/>
  <c r="AK26" i="50"/>
  <c r="AL26" i="50" s="1"/>
  <c r="AG26" i="50"/>
  <c r="AH26" i="50" s="1"/>
  <c r="AI26" i="50" s="1"/>
  <c r="C28" i="50"/>
  <c r="AJ28" i="50"/>
  <c r="S29" i="50"/>
  <c r="Z29" i="50" s="1"/>
  <c r="W28" i="50"/>
  <c r="X27" i="50"/>
  <c r="AD27" i="50" s="1"/>
  <c r="V28" i="50"/>
  <c r="AF73" i="69"/>
  <c r="Q73" i="69"/>
  <c r="O90" i="57"/>
  <c r="P90" i="57"/>
  <c r="AM26" i="50"/>
  <c r="AB72" i="69"/>
  <c r="AG72" i="69"/>
  <c r="AO74" i="69"/>
  <c r="O75" i="69"/>
  <c r="AF88" i="53"/>
  <c r="AE89" i="53"/>
  <c r="R89" i="53"/>
  <c r="X89" i="53" s="1"/>
  <c r="AY73" i="69"/>
  <c r="L90" i="57"/>
  <c r="AG89" i="53"/>
  <c r="AH89" i="53"/>
  <c r="AT89" i="53"/>
  <c r="N90" i="57"/>
  <c r="P90" i="53"/>
  <c r="AH73" i="69"/>
  <c r="AD89" i="53"/>
  <c r="Q89" i="53"/>
  <c r="F90" i="53"/>
  <c r="L90" i="53"/>
  <c r="D90" i="53"/>
  <c r="G90" i="53"/>
  <c r="H90" i="53"/>
  <c r="I90" i="53"/>
  <c r="C90" i="53"/>
  <c r="E90" i="53"/>
  <c r="AK89" i="52" a="1"/>
  <c r="AK89" i="52" s="1"/>
  <c r="B91" i="53" s="1"/>
  <c r="J90" i="53"/>
  <c r="K90" i="53"/>
  <c r="AC90" i="53"/>
  <c r="G30" i="50"/>
  <c r="B30" i="50"/>
  <c r="R30" i="50" s="1"/>
  <c r="M30" i="50"/>
  <c r="L30" i="50"/>
  <c r="F30" i="50"/>
  <c r="U30" i="50" s="1"/>
  <c r="A30" i="50"/>
  <c r="N30" i="50"/>
  <c r="H30" i="50"/>
  <c r="K30" i="50"/>
  <c r="J30" i="50"/>
  <c r="I30" i="50"/>
  <c r="C90" i="57"/>
  <c r="H90" i="57"/>
  <c r="J90" i="57"/>
  <c r="D90" i="57"/>
  <c r="G90" i="57"/>
  <c r="K90" i="57"/>
  <c r="E90" i="57"/>
  <c r="F90" i="57"/>
  <c r="I90" i="57"/>
  <c r="AN89" i="55" a="1"/>
  <c r="AN89" i="55" s="1"/>
  <c r="B91" i="57" s="1"/>
  <c r="D74" i="69"/>
  <c r="E74" i="69" s="1"/>
  <c r="F74" i="69" s="1"/>
  <c r="G74" i="69" s="1"/>
  <c r="H74" i="69" s="1"/>
  <c r="I74" i="69" s="1"/>
  <c r="J74" i="69" s="1"/>
  <c r="K74" i="69" s="1"/>
  <c r="M74" i="69" s="1"/>
  <c r="AE73" i="69"/>
  <c r="R73" i="69"/>
  <c r="S73" i="69" s="1"/>
  <c r="Y73" i="69" s="1"/>
  <c r="C75" i="69"/>
  <c r="P75" i="69" s="1"/>
  <c r="AR75" i="67" a="1"/>
  <c r="AR75" i="67" s="1"/>
  <c r="B76" i="69"/>
  <c r="L76" i="69" s="1"/>
  <c r="AP30" i="59" a="1"/>
  <c r="AP30" i="59" s="1"/>
  <c r="E31" i="50" s="1"/>
  <c r="AL20" i="11" a="1"/>
  <c r="AL20" i="11" s="1"/>
  <c r="E21" i="32" s="1"/>
  <c r="Q89" i="57" l="1"/>
  <c r="T89" i="57" s="1"/>
  <c r="X88" i="57"/>
  <c r="AB88" i="57" s="1"/>
  <c r="AG90" i="57"/>
  <c r="M91" i="53"/>
  <c r="AC91" i="53" s="1"/>
  <c r="O91" i="53"/>
  <c r="AP75" i="69"/>
  <c r="N75" i="69"/>
  <c r="U75" i="69" s="1"/>
  <c r="AJ89" i="57"/>
  <c r="R89" i="57"/>
  <c r="AD89" i="57"/>
  <c r="AF87" i="57"/>
  <c r="AA87" i="57"/>
  <c r="AQ89" i="57"/>
  <c r="AC89" i="57"/>
  <c r="M90" i="57"/>
  <c r="AK90" i="57" s="1"/>
  <c r="AE89" i="57"/>
  <c r="Q30" i="50"/>
  <c r="P30" i="50" s="1"/>
  <c r="N91" i="53"/>
  <c r="O21" i="32"/>
  <c r="T21" i="32"/>
  <c r="T31" i="50"/>
  <c r="O31" i="50"/>
  <c r="AA89" i="53"/>
  <c r="AB89" i="53"/>
  <c r="AP26" i="50"/>
  <c r="AK27" i="50"/>
  <c r="AL27" i="50" s="1"/>
  <c r="AG27" i="50"/>
  <c r="AH27" i="50" s="1"/>
  <c r="AI27" i="50" s="1"/>
  <c r="AJ29" i="50"/>
  <c r="C29" i="50"/>
  <c r="S30" i="50"/>
  <c r="Z30" i="50" s="1"/>
  <c r="W29" i="50"/>
  <c r="X28" i="50"/>
  <c r="AD28" i="50" s="1"/>
  <c r="V29" i="50"/>
  <c r="AF74" i="69"/>
  <c r="Q74" i="69"/>
  <c r="O91" i="57"/>
  <c r="P91" i="57"/>
  <c r="AM27" i="50"/>
  <c r="AC72" i="69"/>
  <c r="AD72" i="69" s="1"/>
  <c r="AB73" i="69"/>
  <c r="AG73" i="69"/>
  <c r="O76" i="69"/>
  <c r="AO75" i="69"/>
  <c r="AE90" i="53"/>
  <c r="AF89" i="53"/>
  <c r="R90" i="53"/>
  <c r="X90" i="53" s="1"/>
  <c r="AY74" i="69"/>
  <c r="L91" i="57"/>
  <c r="AH90" i="53"/>
  <c r="AT90" i="53"/>
  <c r="AG90" i="53"/>
  <c r="N91" i="57"/>
  <c r="G91" i="53"/>
  <c r="AH74" i="69"/>
  <c r="AD90" i="53"/>
  <c r="Q90" i="53"/>
  <c r="F91" i="53"/>
  <c r="H91" i="53"/>
  <c r="E91" i="53"/>
  <c r="J91" i="53"/>
  <c r="C91" i="53"/>
  <c r="I91" i="53"/>
  <c r="D91" i="53"/>
  <c r="AK90" i="52" a="1"/>
  <c r="AK90" i="52" s="1"/>
  <c r="B92" i="53" s="1"/>
  <c r="P91" i="53"/>
  <c r="L91" i="53"/>
  <c r="K91" i="53"/>
  <c r="M31" i="50"/>
  <c r="H31" i="50"/>
  <c r="I31" i="50"/>
  <c r="J31" i="50"/>
  <c r="N31" i="50"/>
  <c r="F31" i="50"/>
  <c r="U31" i="50" s="1"/>
  <c r="G31" i="50"/>
  <c r="K31" i="50"/>
  <c r="A31" i="50"/>
  <c r="L31" i="50"/>
  <c r="B31" i="50"/>
  <c r="R31" i="50" s="1"/>
  <c r="H91" i="57"/>
  <c r="G91" i="57"/>
  <c r="E91" i="57"/>
  <c r="D91" i="57"/>
  <c r="C91" i="57"/>
  <c r="K91" i="57"/>
  <c r="I91" i="57"/>
  <c r="F91" i="57"/>
  <c r="J91" i="57"/>
  <c r="AN90" i="55" a="1"/>
  <c r="AN90" i="55" s="1"/>
  <c r="B92" i="57" s="1"/>
  <c r="AR76" i="67" a="1"/>
  <c r="AR76" i="67" s="1"/>
  <c r="B77" i="69"/>
  <c r="L77" i="69" s="1"/>
  <c r="AE74" i="69"/>
  <c r="R74" i="69"/>
  <c r="S74" i="69" s="1"/>
  <c r="Y74" i="69" s="1"/>
  <c r="C76" i="69"/>
  <c r="P76" i="69" s="1"/>
  <c r="D75" i="69"/>
  <c r="E75" i="69" s="1"/>
  <c r="F75" i="69" s="1"/>
  <c r="G75" i="69" s="1"/>
  <c r="H75" i="69" s="1"/>
  <c r="I75" i="69" s="1"/>
  <c r="J75" i="69" s="1"/>
  <c r="K75" i="69" s="1"/>
  <c r="M75" i="69" s="1"/>
  <c r="AP31" i="59" a="1"/>
  <c r="AP31" i="59" s="1"/>
  <c r="E32" i="50" s="1"/>
  <c r="AL21" i="11" a="1"/>
  <c r="AL21" i="11" s="1"/>
  <c r="E22" i="32" s="1"/>
  <c r="X89" i="57" l="1"/>
  <c r="AA89" i="57" s="1"/>
  <c r="AG91" i="57"/>
  <c r="AA88" i="57"/>
  <c r="M92" i="53"/>
  <c r="AC92" i="53" s="1"/>
  <c r="O92" i="53"/>
  <c r="AP76" i="69"/>
  <c r="N76" i="69"/>
  <c r="U76" i="69" s="1"/>
  <c r="Q90" i="57"/>
  <c r="T90" i="57" s="1"/>
  <c r="AQ90" i="57"/>
  <c r="AE90" i="57"/>
  <c r="AF88" i="57"/>
  <c r="AD90" i="57"/>
  <c r="AJ90" i="57"/>
  <c r="R90" i="57"/>
  <c r="M91" i="57"/>
  <c r="AK91" i="57" s="1"/>
  <c r="AC90" i="57"/>
  <c r="Q31" i="50"/>
  <c r="P31" i="50" s="1"/>
  <c r="N92" i="53"/>
  <c r="T22" i="32"/>
  <c r="O22" i="32"/>
  <c r="O32" i="50"/>
  <c r="T32" i="50"/>
  <c r="AA90" i="53"/>
  <c r="AB90" i="53"/>
  <c r="AP27" i="50"/>
  <c r="AK28" i="50"/>
  <c r="AL28" i="50" s="1"/>
  <c r="AG28" i="50"/>
  <c r="AH28" i="50" s="1"/>
  <c r="AI28" i="50" s="1"/>
  <c r="AJ30" i="50"/>
  <c r="C30" i="50"/>
  <c r="S31" i="50"/>
  <c r="Z31" i="50" s="1"/>
  <c r="W30" i="50"/>
  <c r="X29" i="50"/>
  <c r="AD29" i="50" s="1"/>
  <c r="V30" i="50"/>
  <c r="AF75" i="69"/>
  <c r="Q75" i="69"/>
  <c r="O92" i="57"/>
  <c r="P92" i="57"/>
  <c r="AM28" i="50"/>
  <c r="AC73" i="69"/>
  <c r="AD73" i="69" s="1"/>
  <c r="AB74" i="69"/>
  <c r="AG74" i="69"/>
  <c r="O77" i="69"/>
  <c r="AO76" i="69"/>
  <c r="AF90" i="53"/>
  <c r="AE91" i="53"/>
  <c r="AK22" i="32"/>
  <c r="R91" i="53"/>
  <c r="X91" i="53" s="1"/>
  <c r="AY75" i="69"/>
  <c r="L92" i="57"/>
  <c r="AG91" i="53"/>
  <c r="AH91" i="53"/>
  <c r="AT91" i="53"/>
  <c r="N92" i="57"/>
  <c r="I92" i="53"/>
  <c r="AH75" i="69"/>
  <c r="Q91" i="53"/>
  <c r="AD91" i="53"/>
  <c r="G92" i="53"/>
  <c r="L92" i="53"/>
  <c r="J92" i="53"/>
  <c r="E92" i="53"/>
  <c r="H92" i="53"/>
  <c r="C92" i="53"/>
  <c r="P92" i="53"/>
  <c r="K92" i="53"/>
  <c r="F92" i="53"/>
  <c r="AK91" i="52" a="1"/>
  <c r="AK91" i="52" s="1"/>
  <c r="B93" i="53" s="1"/>
  <c r="D92" i="53"/>
  <c r="F32" i="50"/>
  <c r="U32" i="50" s="1"/>
  <c r="I32" i="50"/>
  <c r="J32" i="50"/>
  <c r="L32" i="50"/>
  <c r="M32" i="50"/>
  <c r="K32" i="50"/>
  <c r="N32" i="50"/>
  <c r="B32" i="50"/>
  <c r="R32" i="50" s="1"/>
  <c r="A32" i="50"/>
  <c r="G32" i="50"/>
  <c r="H32" i="50"/>
  <c r="K92" i="57"/>
  <c r="I92" i="57"/>
  <c r="F92" i="57"/>
  <c r="C92" i="57"/>
  <c r="G92" i="57"/>
  <c r="H92" i="57"/>
  <c r="E92" i="57"/>
  <c r="D92" i="57"/>
  <c r="J92" i="57"/>
  <c r="AN91" i="55" a="1"/>
  <c r="AN91" i="55" s="1"/>
  <c r="B93" i="57" s="1"/>
  <c r="C77" i="69"/>
  <c r="P77" i="69" s="1"/>
  <c r="AE75" i="69"/>
  <c r="R75" i="69"/>
  <c r="S75" i="69" s="1"/>
  <c r="Y75" i="69" s="1"/>
  <c r="D76" i="69"/>
  <c r="E76" i="69" s="1"/>
  <c r="F76" i="69" s="1"/>
  <c r="G76" i="69" s="1"/>
  <c r="H76" i="69" s="1"/>
  <c r="I76" i="69" s="1"/>
  <c r="J76" i="69" s="1"/>
  <c r="K76" i="69" s="1"/>
  <c r="M76" i="69" s="1"/>
  <c r="AR77" i="67" a="1"/>
  <c r="AR77" i="67" s="1"/>
  <c r="B78" i="69"/>
  <c r="L78" i="69" s="1"/>
  <c r="AP32" i="59" a="1"/>
  <c r="AP32" i="59" s="1"/>
  <c r="E33" i="50" s="1"/>
  <c r="AL22" i="11" a="1"/>
  <c r="AL22" i="11" s="1"/>
  <c r="E23" i="32" s="1"/>
  <c r="AF89" i="57" l="1"/>
  <c r="AB89" i="57"/>
  <c r="AG92" i="57"/>
  <c r="X90" i="57"/>
  <c r="AA90" i="57" s="1"/>
  <c r="M93" i="53"/>
  <c r="AC93" i="53" s="1"/>
  <c r="O93" i="53"/>
  <c r="AP77" i="69"/>
  <c r="N77" i="69"/>
  <c r="U77" i="69" s="1"/>
  <c r="AJ91" i="57"/>
  <c r="R91" i="57"/>
  <c r="AD91" i="57"/>
  <c r="AE91" i="57"/>
  <c r="Q91" i="57"/>
  <c r="T91" i="57" s="1"/>
  <c r="AC91" i="57"/>
  <c r="AQ91" i="57"/>
  <c r="M92" i="57"/>
  <c r="AK92" i="57" s="1"/>
  <c r="Q32" i="50"/>
  <c r="P32" i="50" s="1"/>
  <c r="N93" i="53"/>
  <c r="T23" i="32"/>
  <c r="O23" i="32"/>
  <c r="O33" i="50"/>
  <c r="T33" i="50"/>
  <c r="AA91" i="53"/>
  <c r="AB91" i="53"/>
  <c r="AP28" i="50"/>
  <c r="AK29" i="50"/>
  <c r="AL29" i="50" s="1"/>
  <c r="AG29" i="50"/>
  <c r="AH29" i="50" s="1"/>
  <c r="AI29" i="50" s="1"/>
  <c r="AJ31" i="50"/>
  <c r="C31" i="50"/>
  <c r="S32" i="50"/>
  <c r="Z32" i="50" s="1"/>
  <c r="W31" i="50"/>
  <c r="X30" i="50"/>
  <c r="AD30" i="50" s="1"/>
  <c r="V31" i="50"/>
  <c r="AF76" i="69"/>
  <c r="Q76" i="69"/>
  <c r="O93" i="57"/>
  <c r="P93" i="57"/>
  <c r="AM29" i="50"/>
  <c r="AC74" i="69"/>
  <c r="AD74" i="69" s="1"/>
  <c r="AB75" i="69"/>
  <c r="AG75" i="69"/>
  <c r="O78" i="69"/>
  <c r="AO77" i="69"/>
  <c r="AE92" i="53"/>
  <c r="AF91" i="53"/>
  <c r="AK23" i="32"/>
  <c r="R92" i="53"/>
  <c r="X92" i="53" s="1"/>
  <c r="AY76" i="69"/>
  <c r="L93" i="57"/>
  <c r="AG92" i="53"/>
  <c r="AH92" i="53"/>
  <c r="AT92" i="53"/>
  <c r="N93" i="57"/>
  <c r="C93" i="53"/>
  <c r="AH76" i="69"/>
  <c r="AD92" i="53"/>
  <c r="Q92" i="53"/>
  <c r="G93" i="53"/>
  <c r="F93" i="53"/>
  <c r="P93" i="53"/>
  <c r="I93" i="53"/>
  <c r="J93" i="53"/>
  <c r="K93" i="53"/>
  <c r="H93" i="53"/>
  <c r="E93" i="53"/>
  <c r="AK92" i="52" a="1"/>
  <c r="AK92" i="52" s="1"/>
  <c r="B94" i="53" s="1"/>
  <c r="L93" i="53"/>
  <c r="D93" i="53"/>
  <c r="M33" i="50"/>
  <c r="F33" i="50"/>
  <c r="U33" i="50" s="1"/>
  <c r="A33" i="50"/>
  <c r="B33" i="50"/>
  <c r="R33" i="50" s="1"/>
  <c r="L33" i="50"/>
  <c r="G33" i="50"/>
  <c r="H33" i="50"/>
  <c r="I33" i="50"/>
  <c r="K33" i="50"/>
  <c r="J33" i="50"/>
  <c r="N33" i="50"/>
  <c r="D93" i="57"/>
  <c r="C93" i="57"/>
  <c r="K93" i="57"/>
  <c r="I93" i="57"/>
  <c r="H93" i="57"/>
  <c r="G93" i="57"/>
  <c r="E93" i="57"/>
  <c r="F93" i="57"/>
  <c r="J93" i="57"/>
  <c r="AN92" i="55" a="1"/>
  <c r="AN92" i="55" s="1"/>
  <c r="B94" i="57" s="1"/>
  <c r="AR78" i="67" a="1"/>
  <c r="AR78" i="67" s="1"/>
  <c r="B79" i="69"/>
  <c r="L79" i="69" s="1"/>
  <c r="D77" i="69"/>
  <c r="E77" i="69" s="1"/>
  <c r="F77" i="69" s="1"/>
  <c r="G77" i="69" s="1"/>
  <c r="H77" i="69" s="1"/>
  <c r="I77" i="69" s="1"/>
  <c r="J77" i="69" s="1"/>
  <c r="K77" i="69" s="1"/>
  <c r="M77" i="69" s="1"/>
  <c r="C78" i="69"/>
  <c r="P78" i="69" s="1"/>
  <c r="AE76" i="69"/>
  <c r="R76" i="69"/>
  <c r="S76" i="69" s="1"/>
  <c r="Y76" i="69" s="1"/>
  <c r="AL23" i="11" a="1"/>
  <c r="AL23" i="11" s="1"/>
  <c r="E24" i="32" s="1"/>
  <c r="AP33" i="59" a="1"/>
  <c r="AP33" i="59" s="1"/>
  <c r="E34" i="50" s="1"/>
  <c r="X91" i="57" l="1"/>
  <c r="AF91" i="57" s="1"/>
  <c r="AG93" i="57"/>
  <c r="M94" i="53"/>
  <c r="AC94" i="53" s="1"/>
  <c r="O94" i="53"/>
  <c r="AP78" i="69"/>
  <c r="N78" i="69"/>
  <c r="U78" i="69" s="1"/>
  <c r="AF90" i="57"/>
  <c r="AB90" i="57"/>
  <c r="Q92" i="57"/>
  <c r="T92" i="57" s="1"/>
  <c r="AQ92" i="57"/>
  <c r="AD92" i="57"/>
  <c r="AJ92" i="57"/>
  <c r="R92" i="57"/>
  <c r="AC92" i="57"/>
  <c r="AE92" i="57"/>
  <c r="M93" i="57"/>
  <c r="AK93" i="57" s="1"/>
  <c r="Q33" i="50"/>
  <c r="P33" i="50" s="1"/>
  <c r="N94" i="53"/>
  <c r="O24" i="32"/>
  <c r="T24" i="32"/>
  <c r="T34" i="50"/>
  <c r="O34" i="50"/>
  <c r="AA92" i="53"/>
  <c r="AB92" i="53"/>
  <c r="AP29" i="50"/>
  <c r="AK30" i="50"/>
  <c r="AL30" i="50" s="1"/>
  <c r="AG30" i="50"/>
  <c r="AH30" i="50" s="1"/>
  <c r="AI30" i="50" s="1"/>
  <c r="AJ32" i="50"/>
  <c r="C32" i="50"/>
  <c r="S33" i="50"/>
  <c r="Z33" i="50" s="1"/>
  <c r="W32" i="50"/>
  <c r="X31" i="50"/>
  <c r="AD31" i="50" s="1"/>
  <c r="V32" i="50"/>
  <c r="AF77" i="69"/>
  <c r="Q77" i="69"/>
  <c r="O94" i="57"/>
  <c r="P94" i="57"/>
  <c r="AM30" i="50"/>
  <c r="AC75" i="69"/>
  <c r="AD75" i="69" s="1"/>
  <c r="AB76" i="69"/>
  <c r="AG76" i="69"/>
  <c r="O79" i="69"/>
  <c r="AO78" i="69"/>
  <c r="AE93" i="53"/>
  <c r="AF92" i="53"/>
  <c r="AK24" i="32"/>
  <c r="R93" i="53"/>
  <c r="X93" i="53" s="1"/>
  <c r="AY77" i="69"/>
  <c r="L94" i="57"/>
  <c r="AH93" i="53"/>
  <c r="AT93" i="53"/>
  <c r="AG93" i="53"/>
  <c r="N94" i="57"/>
  <c r="AH77" i="69"/>
  <c r="AD93" i="53"/>
  <c r="Q93" i="53"/>
  <c r="F94" i="53"/>
  <c r="K94" i="53"/>
  <c r="P94" i="53"/>
  <c r="H94" i="53"/>
  <c r="J94" i="53"/>
  <c r="G94" i="53"/>
  <c r="C94" i="53"/>
  <c r="E94" i="53"/>
  <c r="AK93" i="52" a="1"/>
  <c r="AK93" i="52" s="1"/>
  <c r="B95" i="53" s="1"/>
  <c r="I94" i="53"/>
  <c r="L94" i="53"/>
  <c r="D94" i="53"/>
  <c r="A34" i="50"/>
  <c r="M34" i="50"/>
  <c r="J34" i="50"/>
  <c r="N34" i="50"/>
  <c r="H34" i="50"/>
  <c r="B34" i="50"/>
  <c r="R34" i="50" s="1"/>
  <c r="I34" i="50"/>
  <c r="F34" i="50"/>
  <c r="U34" i="50" s="1"/>
  <c r="K34" i="50"/>
  <c r="L34" i="50"/>
  <c r="G34" i="50"/>
  <c r="J94" i="57"/>
  <c r="G94" i="57"/>
  <c r="E94" i="57"/>
  <c r="D94" i="57"/>
  <c r="I94" i="57"/>
  <c r="C94" i="57"/>
  <c r="K94" i="57"/>
  <c r="F94" i="57"/>
  <c r="H94" i="57"/>
  <c r="AN93" i="55" a="1"/>
  <c r="AN93" i="55" s="1"/>
  <c r="B95" i="57" s="1"/>
  <c r="C79" i="69"/>
  <c r="P79" i="69" s="1"/>
  <c r="D78" i="69"/>
  <c r="E78" i="69" s="1"/>
  <c r="F78" i="69" s="1"/>
  <c r="G78" i="69" s="1"/>
  <c r="H78" i="69" s="1"/>
  <c r="I78" i="69" s="1"/>
  <c r="J78" i="69" s="1"/>
  <c r="K78" i="69" s="1"/>
  <c r="M78" i="69" s="1"/>
  <c r="AE77" i="69"/>
  <c r="R77" i="69"/>
  <c r="S77" i="69" s="1"/>
  <c r="Y77" i="69" s="1"/>
  <c r="AR79" i="67" a="1"/>
  <c r="AR79" i="67" s="1"/>
  <c r="B80" i="69"/>
  <c r="L80" i="69" s="1"/>
  <c r="AL24" i="11" a="1"/>
  <c r="AL24" i="11" s="1"/>
  <c r="E25" i="32" s="1"/>
  <c r="AP34" i="59" a="1"/>
  <c r="AP34" i="59" s="1"/>
  <c r="E35" i="50" s="1"/>
  <c r="X92" i="57" l="1"/>
  <c r="AF92" i="57" s="1"/>
  <c r="AG94" i="57"/>
  <c r="M95" i="53"/>
  <c r="AC95" i="53" s="1"/>
  <c r="O95" i="53"/>
  <c r="AP79" i="69"/>
  <c r="N79" i="69"/>
  <c r="U79" i="69" s="1"/>
  <c r="AE93" i="57"/>
  <c r="AA91" i="57"/>
  <c r="AB91" i="57"/>
  <c r="Q93" i="57"/>
  <c r="T93" i="57" s="1"/>
  <c r="AQ93" i="57"/>
  <c r="AJ93" i="57"/>
  <c r="R93" i="57"/>
  <c r="AD93" i="57"/>
  <c r="AC93" i="57"/>
  <c r="M94" i="57"/>
  <c r="AQ94" i="57" s="1"/>
  <c r="Q34" i="50"/>
  <c r="P34" i="50" s="1"/>
  <c r="N95" i="53"/>
  <c r="O25" i="32"/>
  <c r="T25" i="32"/>
  <c r="T35" i="50"/>
  <c r="O35" i="50"/>
  <c r="AA93" i="53"/>
  <c r="AB93" i="53"/>
  <c r="AP30" i="50"/>
  <c r="AK31" i="50"/>
  <c r="AL31" i="50" s="1"/>
  <c r="AG31" i="50"/>
  <c r="AH31" i="50" s="1"/>
  <c r="AI31" i="50" s="1"/>
  <c r="C33" i="50"/>
  <c r="AJ33" i="50"/>
  <c r="S34" i="50"/>
  <c r="Z34" i="50" s="1"/>
  <c r="W33" i="50"/>
  <c r="X32" i="50"/>
  <c r="V33" i="50"/>
  <c r="AF78" i="69"/>
  <c r="Q78" i="69"/>
  <c r="O95" i="57"/>
  <c r="P95" i="57"/>
  <c r="AD32" i="50"/>
  <c r="AM31" i="50"/>
  <c r="AC76" i="69"/>
  <c r="AD76" i="69" s="1"/>
  <c r="AB77" i="69"/>
  <c r="AG77" i="69"/>
  <c r="O80" i="69"/>
  <c r="AO79" i="69"/>
  <c r="AE94" i="53"/>
  <c r="AF93" i="53"/>
  <c r="AK25" i="32"/>
  <c r="R94" i="53"/>
  <c r="X94" i="53" s="1"/>
  <c r="AY78" i="69"/>
  <c r="L95" i="57"/>
  <c r="AH94" i="53"/>
  <c r="AT94" i="53"/>
  <c r="AG94" i="53"/>
  <c r="N95" i="57"/>
  <c r="G95" i="53"/>
  <c r="AH78" i="69"/>
  <c r="AD94" i="53"/>
  <c r="Q94" i="53"/>
  <c r="I95" i="53"/>
  <c r="L95" i="53"/>
  <c r="F95" i="53"/>
  <c r="E95" i="53"/>
  <c r="AK94" i="52" a="1"/>
  <c r="AK94" i="52" s="1"/>
  <c r="B96" i="53" s="1"/>
  <c r="H95" i="53"/>
  <c r="K95" i="53"/>
  <c r="J95" i="53"/>
  <c r="C95" i="53"/>
  <c r="D95" i="53"/>
  <c r="P95" i="53"/>
  <c r="F35" i="50"/>
  <c r="U35" i="50" s="1"/>
  <c r="A35" i="50"/>
  <c r="M35" i="50"/>
  <c r="K35" i="50"/>
  <c r="L35" i="50"/>
  <c r="J35" i="50"/>
  <c r="I35" i="50"/>
  <c r="H35" i="50"/>
  <c r="N35" i="50"/>
  <c r="B35" i="50"/>
  <c r="R35" i="50" s="1"/>
  <c r="G35" i="50"/>
  <c r="E95" i="57"/>
  <c r="C95" i="57"/>
  <c r="K95" i="57"/>
  <c r="G95" i="57"/>
  <c r="H95" i="57"/>
  <c r="D95" i="57"/>
  <c r="I95" i="57"/>
  <c r="F95" i="57"/>
  <c r="J95" i="57"/>
  <c r="AN94" i="55" a="1"/>
  <c r="AN94" i="55" s="1"/>
  <c r="B96" i="57" s="1"/>
  <c r="AR80" i="67" a="1"/>
  <c r="AR80" i="67" s="1"/>
  <c r="B81" i="69"/>
  <c r="L81" i="69" s="1"/>
  <c r="D79" i="69"/>
  <c r="E79" i="69" s="1"/>
  <c r="F79" i="69" s="1"/>
  <c r="G79" i="69" s="1"/>
  <c r="H79" i="69" s="1"/>
  <c r="I79" i="69" s="1"/>
  <c r="J79" i="69" s="1"/>
  <c r="K79" i="69" s="1"/>
  <c r="M79" i="69" s="1"/>
  <c r="C80" i="69"/>
  <c r="P80" i="69" s="1"/>
  <c r="R78" i="69"/>
  <c r="S78" i="69" s="1"/>
  <c r="Y78" i="69" s="1"/>
  <c r="AE78" i="69"/>
  <c r="AL25" i="11" a="1"/>
  <c r="AL25" i="11" s="1"/>
  <c r="E26" i="32" s="1"/>
  <c r="AP35" i="59" a="1"/>
  <c r="AP35" i="59" s="1"/>
  <c r="E36" i="50" s="1"/>
  <c r="X93" i="57" l="1"/>
  <c r="AB93" i="57" s="1"/>
  <c r="AG95" i="57"/>
  <c r="AA92" i="57"/>
  <c r="M96" i="53"/>
  <c r="AC96" i="53" s="1"/>
  <c r="O96" i="53"/>
  <c r="AP80" i="69"/>
  <c r="N80" i="69"/>
  <c r="U80" i="69" s="1"/>
  <c r="AB92" i="57"/>
  <c r="AJ94" i="57"/>
  <c r="Q94" i="57"/>
  <c r="T94" i="57" s="1"/>
  <c r="R94" i="57"/>
  <c r="AD94" i="57"/>
  <c r="AC94" i="57"/>
  <c r="AK94" i="57"/>
  <c r="AE94" i="57"/>
  <c r="M95" i="57"/>
  <c r="AK95" i="57" s="1"/>
  <c r="Q35" i="50"/>
  <c r="P35" i="50" s="1"/>
  <c r="N96" i="53"/>
  <c r="T26" i="32"/>
  <c r="O26" i="32"/>
  <c r="O36" i="50"/>
  <c r="T36" i="50"/>
  <c r="AA94" i="53"/>
  <c r="AB94" i="53"/>
  <c r="AP31" i="50"/>
  <c r="AJ34" i="50"/>
  <c r="C34" i="50"/>
  <c r="S35" i="50"/>
  <c r="Z35" i="50" s="1"/>
  <c r="W34" i="50"/>
  <c r="X33" i="50"/>
  <c r="AD33" i="50" s="1"/>
  <c r="V34" i="50"/>
  <c r="AF79" i="69"/>
  <c r="Q79" i="69"/>
  <c r="O96" i="57"/>
  <c r="P96" i="57"/>
  <c r="AM32" i="50"/>
  <c r="AC77" i="69"/>
  <c r="AD77" i="69" s="1"/>
  <c r="AB78" i="69"/>
  <c r="AG78" i="69"/>
  <c r="AO80" i="69"/>
  <c r="O81" i="69"/>
  <c r="AF94" i="53"/>
  <c r="AE95" i="53"/>
  <c r="AK26" i="32"/>
  <c r="R95" i="53"/>
  <c r="X95" i="53" s="1"/>
  <c r="AY79" i="69"/>
  <c r="L96" i="57"/>
  <c r="AG95" i="53"/>
  <c r="AH95" i="53"/>
  <c r="AT95" i="53"/>
  <c r="N96" i="57"/>
  <c r="AH79" i="69"/>
  <c r="AD95" i="53"/>
  <c r="J96" i="53"/>
  <c r="F96" i="53"/>
  <c r="H96" i="53"/>
  <c r="I96" i="53"/>
  <c r="P96" i="53"/>
  <c r="G96" i="53"/>
  <c r="E96" i="53"/>
  <c r="K96" i="53"/>
  <c r="Q95" i="53"/>
  <c r="AK95" i="52" a="1"/>
  <c r="AK95" i="52" s="1"/>
  <c r="B97" i="53" s="1"/>
  <c r="L96" i="53"/>
  <c r="D96" i="53"/>
  <c r="C96" i="53"/>
  <c r="F36" i="50"/>
  <c r="U36" i="50" s="1"/>
  <c r="H36" i="50"/>
  <c r="M36" i="50"/>
  <c r="N36" i="50"/>
  <c r="G36" i="50"/>
  <c r="L36" i="50"/>
  <c r="K36" i="50"/>
  <c r="I36" i="50"/>
  <c r="J36" i="50"/>
  <c r="B36" i="50"/>
  <c r="R36" i="50" s="1"/>
  <c r="A36" i="50"/>
  <c r="F96" i="57"/>
  <c r="E96" i="57"/>
  <c r="C96" i="57"/>
  <c r="I96" i="57"/>
  <c r="J96" i="57"/>
  <c r="K96" i="57"/>
  <c r="H96" i="57"/>
  <c r="D96" i="57"/>
  <c r="G96" i="57"/>
  <c r="AN95" i="55" a="1"/>
  <c r="AN95" i="55" s="1"/>
  <c r="B97" i="57" s="1"/>
  <c r="AR81" i="67" a="1"/>
  <c r="AR81" i="67" s="1"/>
  <c r="B82" i="69"/>
  <c r="L82" i="69" s="1"/>
  <c r="C81" i="69"/>
  <c r="P81" i="69" s="1"/>
  <c r="D80" i="69"/>
  <c r="E80" i="69" s="1"/>
  <c r="F80" i="69" s="1"/>
  <c r="G80" i="69" s="1"/>
  <c r="H80" i="69" s="1"/>
  <c r="I80" i="69" s="1"/>
  <c r="J80" i="69" s="1"/>
  <c r="K80" i="69" s="1"/>
  <c r="M80" i="69" s="1"/>
  <c r="AE79" i="69"/>
  <c r="R79" i="69"/>
  <c r="S79" i="69" s="1"/>
  <c r="AL26" i="11" a="1"/>
  <c r="AL26" i="11" s="1"/>
  <c r="E27" i="32" s="1"/>
  <c r="AP36" i="59" a="1"/>
  <c r="AP36" i="59" s="1"/>
  <c r="E37" i="50" s="1"/>
  <c r="Y79" i="69" l="1"/>
  <c r="AG79" i="69" s="1"/>
  <c r="X94" i="57"/>
  <c r="AF94" i="57" s="1"/>
  <c r="AG96" i="57"/>
  <c r="M97" i="53"/>
  <c r="AC97" i="53" s="1"/>
  <c r="O97" i="53"/>
  <c r="AP81" i="69"/>
  <c r="N81" i="69"/>
  <c r="U81" i="69" s="1"/>
  <c r="AF93" i="57"/>
  <c r="AA93" i="57"/>
  <c r="AD95" i="57"/>
  <c r="Q95" i="57"/>
  <c r="T95" i="57" s="1"/>
  <c r="AJ95" i="57"/>
  <c r="AE95" i="57"/>
  <c r="R95" i="57"/>
  <c r="AC95" i="57"/>
  <c r="AQ95" i="57"/>
  <c r="M96" i="57"/>
  <c r="AK96" i="57" s="1"/>
  <c r="Q36" i="50"/>
  <c r="P36" i="50" s="1"/>
  <c r="N97" i="53"/>
  <c r="T27" i="32"/>
  <c r="O27" i="32"/>
  <c r="O37" i="50"/>
  <c r="T37" i="50"/>
  <c r="AA95" i="53"/>
  <c r="AB95" i="53"/>
  <c r="AK33" i="50"/>
  <c r="AL33" i="50" s="1"/>
  <c r="AG33" i="50"/>
  <c r="AH33" i="50" s="1"/>
  <c r="AI33" i="50" s="1"/>
  <c r="AK32" i="50"/>
  <c r="AL32" i="50" s="1"/>
  <c r="AG32" i="50"/>
  <c r="AH32" i="50" s="1"/>
  <c r="AI32" i="50" s="1"/>
  <c r="AJ35" i="50"/>
  <c r="C35" i="50"/>
  <c r="S36" i="50"/>
  <c r="Z36" i="50" s="1"/>
  <c r="W35" i="50"/>
  <c r="X34" i="50"/>
  <c r="AD34" i="50" s="1"/>
  <c r="V35" i="50"/>
  <c r="AF80" i="69"/>
  <c r="Q80" i="69"/>
  <c r="O97" i="57"/>
  <c r="P97" i="57"/>
  <c r="AM33" i="50"/>
  <c r="AC78" i="69"/>
  <c r="AD78" i="69" s="1"/>
  <c r="O82" i="69"/>
  <c r="AO81" i="69"/>
  <c r="AF95" i="53"/>
  <c r="AE96" i="53"/>
  <c r="AK27" i="32"/>
  <c r="R96" i="53"/>
  <c r="X96" i="53" s="1"/>
  <c r="AY80" i="69"/>
  <c r="L97" i="57"/>
  <c r="AG96" i="53"/>
  <c r="AH96" i="53"/>
  <c r="AT96" i="53"/>
  <c r="N97" i="57"/>
  <c r="J97" i="53"/>
  <c r="AH80" i="69"/>
  <c r="AD96" i="53"/>
  <c r="Q96" i="53"/>
  <c r="C97" i="53"/>
  <c r="E97" i="53"/>
  <c r="P97" i="53"/>
  <c r="G97" i="53"/>
  <c r="K97" i="53"/>
  <c r="F97" i="53"/>
  <c r="L97" i="53"/>
  <c r="H97" i="53"/>
  <c r="AK96" i="52" a="1"/>
  <c r="AK96" i="52" s="1"/>
  <c r="B98" i="53" s="1"/>
  <c r="I97" i="53"/>
  <c r="D97" i="53"/>
  <c r="B37" i="50"/>
  <c r="R37" i="50" s="1"/>
  <c r="K37" i="50"/>
  <c r="M37" i="50"/>
  <c r="I37" i="50"/>
  <c r="A37" i="50"/>
  <c r="H37" i="50"/>
  <c r="G37" i="50"/>
  <c r="F37" i="50"/>
  <c r="U37" i="50" s="1"/>
  <c r="N37" i="50"/>
  <c r="J37" i="50"/>
  <c r="L37" i="50"/>
  <c r="H97" i="57"/>
  <c r="G97" i="57"/>
  <c r="E97" i="57"/>
  <c r="D97" i="57"/>
  <c r="C97" i="57"/>
  <c r="I97" i="57"/>
  <c r="K97" i="57"/>
  <c r="F97" i="57"/>
  <c r="J97" i="57"/>
  <c r="AN96" i="55" a="1"/>
  <c r="AN96" i="55" s="1"/>
  <c r="B98" i="57" s="1"/>
  <c r="AE80" i="69"/>
  <c r="R80" i="69"/>
  <c r="S80" i="69" s="1"/>
  <c r="Y80" i="69" s="1"/>
  <c r="D81" i="69"/>
  <c r="E81" i="69" s="1"/>
  <c r="F81" i="69" s="1"/>
  <c r="G81" i="69" s="1"/>
  <c r="H81" i="69" s="1"/>
  <c r="I81" i="69" s="1"/>
  <c r="J81" i="69" s="1"/>
  <c r="K81" i="69" s="1"/>
  <c r="M81" i="69" s="1"/>
  <c r="C82" i="69"/>
  <c r="P82" i="69" s="1"/>
  <c r="AR82" i="67" a="1"/>
  <c r="AR82" i="67" s="1"/>
  <c r="B83" i="69"/>
  <c r="L83" i="69" s="1"/>
  <c r="AL27" i="11" a="1"/>
  <c r="AL27" i="11" s="1"/>
  <c r="E28" i="32" s="1"/>
  <c r="AP37" i="59" a="1"/>
  <c r="AP37" i="59" s="1"/>
  <c r="E38" i="50" s="1"/>
  <c r="AB79" i="69" l="1"/>
  <c r="AC79" i="69" s="1"/>
  <c r="AD79" i="69" s="1"/>
  <c r="AB80" i="69"/>
  <c r="AC80" i="69" s="1"/>
  <c r="AD80" i="69" s="1"/>
  <c r="X95" i="57"/>
  <c r="AB95" i="57" s="1"/>
  <c r="AG97" i="57"/>
  <c r="Q96" i="57"/>
  <c r="T96" i="57" s="1"/>
  <c r="M98" i="53"/>
  <c r="AC98" i="53" s="1"/>
  <c r="O98" i="53"/>
  <c r="AP82" i="69"/>
  <c r="N82" i="69"/>
  <c r="U82" i="69" s="1"/>
  <c r="AD96" i="57"/>
  <c r="AJ96" i="57"/>
  <c r="R96" i="57"/>
  <c r="AB94" i="57"/>
  <c r="AQ96" i="57"/>
  <c r="AA94" i="57"/>
  <c r="AE96" i="57"/>
  <c r="AC96" i="57"/>
  <c r="M97" i="57"/>
  <c r="AK97" i="57" s="1"/>
  <c r="Q37" i="50"/>
  <c r="P37" i="50" s="1"/>
  <c r="N98" i="53"/>
  <c r="O28" i="32"/>
  <c r="T28" i="32"/>
  <c r="T38" i="50"/>
  <c r="O38" i="50"/>
  <c r="AA96" i="53"/>
  <c r="AB96" i="53"/>
  <c r="AP33" i="50"/>
  <c r="AP32" i="50"/>
  <c r="AK34" i="50"/>
  <c r="AL34" i="50" s="1"/>
  <c r="AG34" i="50"/>
  <c r="AH34" i="50" s="1"/>
  <c r="AI34" i="50" s="1"/>
  <c r="C36" i="50"/>
  <c r="S37" i="50"/>
  <c r="Z37" i="50" s="1"/>
  <c r="AJ36" i="50"/>
  <c r="W36" i="50"/>
  <c r="X35" i="50"/>
  <c r="AD35" i="50" s="1"/>
  <c r="V36" i="50"/>
  <c r="AF81" i="69"/>
  <c r="Q81" i="69"/>
  <c r="O98" i="57"/>
  <c r="P98" i="57"/>
  <c r="AM34" i="50"/>
  <c r="O83" i="69"/>
  <c r="AO82" i="69"/>
  <c r="AG80" i="69"/>
  <c r="AE97" i="53"/>
  <c r="AF96" i="53"/>
  <c r="AK28" i="32"/>
  <c r="R97" i="53"/>
  <c r="X97" i="53" s="1"/>
  <c r="AY81" i="69"/>
  <c r="L98" i="57"/>
  <c r="AG97" i="53"/>
  <c r="AH97" i="53"/>
  <c r="AT97" i="53"/>
  <c r="N98" i="57"/>
  <c r="G98" i="53"/>
  <c r="AH81" i="69"/>
  <c r="AD97" i="53"/>
  <c r="Q97" i="53"/>
  <c r="J98" i="53"/>
  <c r="E98" i="53"/>
  <c r="I98" i="53"/>
  <c r="AK97" i="52" a="1"/>
  <c r="AK97" i="52" s="1"/>
  <c r="B99" i="53" s="1"/>
  <c r="K98" i="53"/>
  <c r="P98" i="53"/>
  <c r="F98" i="53"/>
  <c r="L98" i="53"/>
  <c r="H98" i="53"/>
  <c r="C98" i="53"/>
  <c r="D98" i="53"/>
  <c r="G38" i="50"/>
  <c r="F38" i="50"/>
  <c r="U38" i="50" s="1"/>
  <c r="M38" i="50"/>
  <c r="L38" i="50"/>
  <c r="K38" i="50"/>
  <c r="H38" i="50"/>
  <c r="B38" i="50"/>
  <c r="R38" i="50" s="1"/>
  <c r="N38" i="50"/>
  <c r="A38" i="50"/>
  <c r="J38" i="50"/>
  <c r="I38" i="50"/>
  <c r="J98" i="57"/>
  <c r="E98" i="57"/>
  <c r="H98" i="57"/>
  <c r="G98" i="57"/>
  <c r="D98" i="57"/>
  <c r="K98" i="57"/>
  <c r="F98" i="57"/>
  <c r="I98" i="57"/>
  <c r="C98" i="57"/>
  <c r="AN97" i="55" a="1"/>
  <c r="AN97" i="55" s="1"/>
  <c r="B99" i="57" s="1"/>
  <c r="D82" i="69"/>
  <c r="E82" i="69" s="1"/>
  <c r="F82" i="69" s="1"/>
  <c r="G82" i="69" s="1"/>
  <c r="H82" i="69" s="1"/>
  <c r="I82" i="69" s="1"/>
  <c r="J82" i="69" s="1"/>
  <c r="K82" i="69" s="1"/>
  <c r="M82" i="69" s="1"/>
  <c r="R81" i="69"/>
  <c r="S81" i="69" s="1"/>
  <c r="Y81" i="69" s="1"/>
  <c r="AE81" i="69"/>
  <c r="C83" i="69"/>
  <c r="P83" i="69" s="1"/>
  <c r="AR83" i="67" a="1"/>
  <c r="AR83" i="67" s="1"/>
  <c r="B84" i="69"/>
  <c r="L84" i="69" s="1"/>
  <c r="AL28" i="11" a="1"/>
  <c r="AL28" i="11" s="1"/>
  <c r="E29" i="32" s="1"/>
  <c r="AP38" i="59" a="1"/>
  <c r="AP38" i="59" s="1"/>
  <c r="E39" i="50" s="1"/>
  <c r="X96" i="57" l="1"/>
  <c r="AA96" i="57" s="1"/>
  <c r="AG98" i="57"/>
  <c r="AF95" i="57"/>
  <c r="AA95" i="57"/>
  <c r="AE97" i="57"/>
  <c r="M99" i="53"/>
  <c r="AC99" i="53" s="1"/>
  <c r="O99" i="53"/>
  <c r="AP83" i="69"/>
  <c r="N83" i="69"/>
  <c r="U83" i="69" s="1"/>
  <c r="Q97" i="57"/>
  <c r="T97" i="57" s="1"/>
  <c r="AQ97" i="57"/>
  <c r="AD97" i="57"/>
  <c r="AJ97" i="57"/>
  <c r="R97" i="57"/>
  <c r="AC97" i="57"/>
  <c r="M98" i="57"/>
  <c r="AK98" i="57" s="1"/>
  <c r="Q38" i="50"/>
  <c r="P38" i="50" s="1"/>
  <c r="N99" i="53"/>
  <c r="O29" i="32"/>
  <c r="T29" i="32"/>
  <c r="T39" i="50"/>
  <c r="O39" i="50"/>
  <c r="AA97" i="53"/>
  <c r="AB97" i="53"/>
  <c r="AP34" i="50"/>
  <c r="AK35" i="50"/>
  <c r="AL35" i="50" s="1"/>
  <c r="AG35" i="50"/>
  <c r="AH35" i="50" s="1"/>
  <c r="AI35" i="50" s="1"/>
  <c r="AJ37" i="50"/>
  <c r="C37" i="50"/>
  <c r="S38" i="50"/>
  <c r="Z38" i="50" s="1"/>
  <c r="W37" i="50"/>
  <c r="X36" i="50"/>
  <c r="AD36" i="50" s="1"/>
  <c r="V37" i="50"/>
  <c r="AF82" i="69"/>
  <c r="Q82" i="69"/>
  <c r="O99" i="57"/>
  <c r="P99" i="57"/>
  <c r="AM35" i="50"/>
  <c r="AB81" i="69"/>
  <c r="AG81" i="69"/>
  <c r="AO83" i="69"/>
  <c r="O84" i="69"/>
  <c r="AF97" i="53"/>
  <c r="AE98" i="53"/>
  <c r="AK29" i="32"/>
  <c r="R98" i="53"/>
  <c r="X98" i="53" s="1"/>
  <c r="AY82" i="69"/>
  <c r="L99" i="57"/>
  <c r="AH98" i="53"/>
  <c r="AT98" i="53"/>
  <c r="AG98" i="53"/>
  <c r="N99" i="57"/>
  <c r="L99" i="53"/>
  <c r="AH82" i="69"/>
  <c r="Q98" i="53"/>
  <c r="AD98" i="53"/>
  <c r="G99" i="53"/>
  <c r="C99" i="53"/>
  <c r="P99" i="53"/>
  <c r="I99" i="53"/>
  <c r="D99" i="53"/>
  <c r="J99" i="53"/>
  <c r="F99" i="53"/>
  <c r="H99" i="53"/>
  <c r="AK98" i="52" a="1"/>
  <c r="AK98" i="52" s="1"/>
  <c r="B100" i="53" s="1"/>
  <c r="K99" i="53"/>
  <c r="E99" i="53"/>
  <c r="J39" i="50"/>
  <c r="M39" i="50"/>
  <c r="F39" i="50"/>
  <c r="U39" i="50" s="1"/>
  <c r="N39" i="50"/>
  <c r="G39" i="50"/>
  <c r="K39" i="50"/>
  <c r="I39" i="50"/>
  <c r="A39" i="50"/>
  <c r="L39" i="50"/>
  <c r="H39" i="50"/>
  <c r="B39" i="50"/>
  <c r="R39" i="50" s="1"/>
  <c r="E99" i="57"/>
  <c r="D99" i="57"/>
  <c r="C99" i="57"/>
  <c r="K99" i="57"/>
  <c r="G99" i="57"/>
  <c r="I99" i="57"/>
  <c r="H99" i="57"/>
  <c r="F99" i="57"/>
  <c r="J99" i="57"/>
  <c r="AN98" i="55" a="1"/>
  <c r="AN98" i="55" s="1"/>
  <c r="B100" i="57" s="1"/>
  <c r="AR84" i="67" a="1"/>
  <c r="AR84" i="67" s="1"/>
  <c r="B85" i="69"/>
  <c r="L85" i="69" s="1"/>
  <c r="AE82" i="69"/>
  <c r="R82" i="69"/>
  <c r="S82" i="69" s="1"/>
  <c r="Y82" i="69" s="1"/>
  <c r="C84" i="69"/>
  <c r="P84" i="69" s="1"/>
  <c r="D83" i="69"/>
  <c r="E83" i="69" s="1"/>
  <c r="F83" i="69" s="1"/>
  <c r="G83" i="69" s="1"/>
  <c r="H83" i="69" s="1"/>
  <c r="I83" i="69" s="1"/>
  <c r="J83" i="69" s="1"/>
  <c r="K83" i="69" s="1"/>
  <c r="M83" i="69" s="1"/>
  <c r="AL29" i="11" a="1"/>
  <c r="AL29" i="11" s="1"/>
  <c r="E30" i="32" s="1"/>
  <c r="AP39" i="59" a="1"/>
  <c r="AP39" i="59" s="1"/>
  <c r="E40" i="50" s="1"/>
  <c r="AG99" i="57" l="1"/>
  <c r="X97" i="57"/>
  <c r="AF97" i="57" s="1"/>
  <c r="AF96" i="57"/>
  <c r="AB96" i="57"/>
  <c r="AQ98" i="57"/>
  <c r="AC98" i="57"/>
  <c r="AE98" i="57"/>
  <c r="M100" i="53"/>
  <c r="AC100" i="53" s="1"/>
  <c r="O100" i="53"/>
  <c r="AP84" i="69"/>
  <c r="N84" i="69"/>
  <c r="U84" i="69" s="1"/>
  <c r="Q98" i="57"/>
  <c r="T98" i="57" s="1"/>
  <c r="AD98" i="57"/>
  <c r="AJ98" i="57"/>
  <c r="R98" i="57"/>
  <c r="M99" i="57"/>
  <c r="AK99" i="57" s="1"/>
  <c r="Q39" i="50"/>
  <c r="P39" i="50" s="1"/>
  <c r="N100" i="53"/>
  <c r="T30" i="32"/>
  <c r="O30" i="32"/>
  <c r="O40" i="50"/>
  <c r="T40" i="50"/>
  <c r="AA98" i="53"/>
  <c r="AB98" i="53"/>
  <c r="AP35" i="50"/>
  <c r="AK36" i="50"/>
  <c r="AL36" i="50" s="1"/>
  <c r="AG36" i="50"/>
  <c r="AH36" i="50" s="1"/>
  <c r="AI36" i="50" s="1"/>
  <c r="AJ38" i="50"/>
  <c r="C38" i="50"/>
  <c r="S39" i="50"/>
  <c r="Z39" i="50" s="1"/>
  <c r="W38" i="50"/>
  <c r="X37" i="50"/>
  <c r="V38" i="50"/>
  <c r="AF83" i="69"/>
  <c r="Q83" i="69"/>
  <c r="O100" i="57"/>
  <c r="P100" i="57"/>
  <c r="AD37" i="50"/>
  <c r="AM36" i="50"/>
  <c r="AC81" i="69"/>
  <c r="AD81" i="69" s="1"/>
  <c r="AB82" i="69"/>
  <c r="AG82" i="69"/>
  <c r="O85" i="69"/>
  <c r="AO84" i="69"/>
  <c r="AE99" i="53"/>
  <c r="AF98" i="53"/>
  <c r="AK30" i="32"/>
  <c r="R99" i="53"/>
  <c r="X99" i="53" s="1"/>
  <c r="AY83" i="69"/>
  <c r="L100" i="57"/>
  <c r="AH99" i="53"/>
  <c r="AT99" i="53"/>
  <c r="AG99" i="53"/>
  <c r="N100" i="57"/>
  <c r="K100" i="53"/>
  <c r="AH83" i="69"/>
  <c r="Q99" i="53"/>
  <c r="AD99" i="53"/>
  <c r="L100" i="53"/>
  <c r="D100" i="53"/>
  <c r="G100" i="53"/>
  <c r="P100" i="53"/>
  <c r="F100" i="53"/>
  <c r="E100" i="53"/>
  <c r="J100" i="53"/>
  <c r="C100" i="53"/>
  <c r="I100" i="53"/>
  <c r="AK99" i="52" a="1"/>
  <c r="AK99" i="52" s="1"/>
  <c r="B101" i="53" s="1"/>
  <c r="H100" i="53"/>
  <c r="N40" i="50"/>
  <c r="I40" i="50"/>
  <c r="J40" i="50"/>
  <c r="G40" i="50"/>
  <c r="B40" i="50"/>
  <c r="R40" i="50" s="1"/>
  <c r="A40" i="50"/>
  <c r="H40" i="50"/>
  <c r="M40" i="50"/>
  <c r="K40" i="50"/>
  <c r="F40" i="50"/>
  <c r="U40" i="50" s="1"/>
  <c r="L40" i="50"/>
  <c r="I100" i="57"/>
  <c r="F100" i="57"/>
  <c r="C100" i="57"/>
  <c r="K100" i="57"/>
  <c r="H100" i="57"/>
  <c r="D100" i="57"/>
  <c r="G100" i="57"/>
  <c r="E100" i="57"/>
  <c r="J100" i="57"/>
  <c r="AN99" i="55" a="1"/>
  <c r="AN99" i="55" s="1"/>
  <c r="B101" i="57" s="1"/>
  <c r="R83" i="69"/>
  <c r="S83" i="69" s="1"/>
  <c r="Y83" i="69" s="1"/>
  <c r="AE83" i="69"/>
  <c r="D84" i="69"/>
  <c r="E84" i="69" s="1"/>
  <c r="F84" i="69" s="1"/>
  <c r="G84" i="69" s="1"/>
  <c r="H84" i="69" s="1"/>
  <c r="I84" i="69" s="1"/>
  <c r="J84" i="69" s="1"/>
  <c r="K84" i="69" s="1"/>
  <c r="M84" i="69" s="1"/>
  <c r="C85" i="69"/>
  <c r="P85" i="69" s="1"/>
  <c r="AR85" i="67" a="1"/>
  <c r="AR85" i="67" s="1"/>
  <c r="B86" i="69"/>
  <c r="L86" i="69" s="1"/>
  <c r="AL30" i="11" a="1"/>
  <c r="AL30" i="11" s="1"/>
  <c r="E31" i="32" s="1"/>
  <c r="AP40" i="59" a="1"/>
  <c r="AP40" i="59" s="1"/>
  <c r="E41" i="50" s="1"/>
  <c r="X98" i="57" l="1"/>
  <c r="AB98" i="57" s="1"/>
  <c r="AB83" i="69"/>
  <c r="AC83" i="69" s="1"/>
  <c r="AD83" i="69" s="1"/>
  <c r="AG100" i="57"/>
  <c r="AB97" i="57"/>
  <c r="AA97" i="57"/>
  <c r="M101" i="53"/>
  <c r="AC101" i="53" s="1"/>
  <c r="O101" i="53"/>
  <c r="AP85" i="69"/>
  <c r="N85" i="69"/>
  <c r="U85" i="69" s="1"/>
  <c r="AJ99" i="57"/>
  <c r="R99" i="57"/>
  <c r="AD99" i="57"/>
  <c r="AC99" i="57"/>
  <c r="Q99" i="57"/>
  <c r="T99" i="57" s="1"/>
  <c r="AE99" i="57"/>
  <c r="AQ99" i="57"/>
  <c r="M100" i="57"/>
  <c r="AK100" i="57" s="1"/>
  <c r="Q40" i="50"/>
  <c r="P40" i="50" s="1"/>
  <c r="N101" i="53"/>
  <c r="T31" i="32"/>
  <c r="O31" i="32"/>
  <c r="O41" i="50"/>
  <c r="T41" i="50"/>
  <c r="AA99" i="53"/>
  <c r="AB99" i="53"/>
  <c r="AP36" i="50"/>
  <c r="AJ39" i="50"/>
  <c r="C39" i="50"/>
  <c r="S40" i="50"/>
  <c r="Z40" i="50" s="1"/>
  <c r="W39" i="50"/>
  <c r="X38" i="50"/>
  <c r="AD38" i="50" s="1"/>
  <c r="V39" i="50"/>
  <c r="AF84" i="69"/>
  <c r="Q84" i="69"/>
  <c r="O101" i="57"/>
  <c r="P101" i="57"/>
  <c r="AC82" i="69"/>
  <c r="AD82" i="69" s="1"/>
  <c r="O86" i="69"/>
  <c r="AG83" i="69"/>
  <c r="AO85" i="69"/>
  <c r="AE100" i="53"/>
  <c r="AF99" i="53"/>
  <c r="AK31" i="32"/>
  <c r="R100" i="53"/>
  <c r="X100" i="53" s="1"/>
  <c r="AY84" i="69"/>
  <c r="L101" i="57"/>
  <c r="AH100" i="53"/>
  <c r="AT100" i="53"/>
  <c r="AG100" i="53"/>
  <c r="N101" i="57"/>
  <c r="AH84" i="69"/>
  <c r="AD100" i="53"/>
  <c r="Q100" i="53"/>
  <c r="K101" i="53"/>
  <c r="L101" i="53"/>
  <c r="C101" i="53"/>
  <c r="P101" i="53"/>
  <c r="AK100" i="52" a="1"/>
  <c r="AK100" i="52" s="1"/>
  <c r="B102" i="53" s="1"/>
  <c r="I101" i="53"/>
  <c r="F101" i="53"/>
  <c r="E101" i="53"/>
  <c r="D101" i="53"/>
  <c r="J101" i="53"/>
  <c r="G101" i="53"/>
  <c r="H101" i="53"/>
  <c r="M41" i="50"/>
  <c r="K41" i="50"/>
  <c r="H41" i="50"/>
  <c r="N41" i="50"/>
  <c r="I41" i="50"/>
  <c r="A41" i="50"/>
  <c r="B41" i="50"/>
  <c r="R41" i="50" s="1"/>
  <c r="L41" i="50"/>
  <c r="G41" i="50"/>
  <c r="J41" i="50"/>
  <c r="F41" i="50"/>
  <c r="U41" i="50" s="1"/>
  <c r="K101" i="57"/>
  <c r="I101" i="57"/>
  <c r="H101" i="57"/>
  <c r="G101" i="57"/>
  <c r="E101" i="57"/>
  <c r="D101" i="57"/>
  <c r="C101" i="57"/>
  <c r="F101" i="57"/>
  <c r="J101" i="57"/>
  <c r="AN100" i="55" a="1"/>
  <c r="AN100" i="55" s="1"/>
  <c r="B102" i="57" s="1"/>
  <c r="AR86" i="67" a="1"/>
  <c r="AR86" i="67" s="1"/>
  <c r="B87" i="69"/>
  <c r="L87" i="69" s="1"/>
  <c r="D85" i="69"/>
  <c r="E85" i="69" s="1"/>
  <c r="F85" i="69" s="1"/>
  <c r="G85" i="69" s="1"/>
  <c r="H85" i="69" s="1"/>
  <c r="I85" i="69" s="1"/>
  <c r="J85" i="69" s="1"/>
  <c r="K85" i="69" s="1"/>
  <c r="M85" i="69" s="1"/>
  <c r="C86" i="69"/>
  <c r="P86" i="69" s="1"/>
  <c r="AE84" i="69"/>
  <c r="R84" i="69"/>
  <c r="S84" i="69" s="1"/>
  <c r="Y84" i="69" s="1"/>
  <c r="AL31" i="11" a="1"/>
  <c r="AL31" i="11" s="1"/>
  <c r="E32" i="32" s="1"/>
  <c r="AP41" i="59" a="1"/>
  <c r="AP41" i="59" s="1"/>
  <c r="E42" i="50" s="1"/>
  <c r="X99" i="57" l="1"/>
  <c r="AF99" i="57" s="1"/>
  <c r="AG101" i="57"/>
  <c r="AF98" i="57"/>
  <c r="AA98" i="57"/>
  <c r="M102" i="53"/>
  <c r="AC102" i="53" s="1"/>
  <c r="O102" i="53"/>
  <c r="AP86" i="69"/>
  <c r="N86" i="69"/>
  <c r="U86" i="69" s="1"/>
  <c r="AD100" i="57"/>
  <c r="AQ100" i="57"/>
  <c r="AE100" i="57"/>
  <c r="Q100" i="57"/>
  <c r="T100" i="57" s="1"/>
  <c r="AC100" i="57"/>
  <c r="AJ100" i="57"/>
  <c r="R100" i="57"/>
  <c r="M101" i="57"/>
  <c r="AK101" i="57" s="1"/>
  <c r="Q41" i="50"/>
  <c r="P41" i="50" s="1"/>
  <c r="N102" i="53"/>
  <c r="O32" i="32"/>
  <c r="T32" i="32"/>
  <c r="T42" i="50"/>
  <c r="O42" i="50"/>
  <c r="AA100" i="53"/>
  <c r="AB100" i="53"/>
  <c r="AK37" i="50"/>
  <c r="AL37" i="50" s="1"/>
  <c r="AG37" i="50"/>
  <c r="AH37" i="50" s="1"/>
  <c r="AI37" i="50" s="1"/>
  <c r="AK38" i="50"/>
  <c r="AL38" i="50" s="1"/>
  <c r="AG38" i="50"/>
  <c r="AH38" i="50" s="1"/>
  <c r="AI38" i="50" s="1"/>
  <c r="C40" i="50"/>
  <c r="AJ40" i="50"/>
  <c r="S41" i="50"/>
  <c r="Z41" i="50" s="1"/>
  <c r="W40" i="50"/>
  <c r="X39" i="50"/>
  <c r="AD39" i="50" s="1"/>
  <c r="V40" i="50"/>
  <c r="AF85" i="69"/>
  <c r="Q85" i="69"/>
  <c r="O102" i="57"/>
  <c r="P102" i="57"/>
  <c r="AM37" i="50"/>
  <c r="AM38" i="50"/>
  <c r="AB84" i="69"/>
  <c r="AG84" i="69"/>
  <c r="O87" i="69"/>
  <c r="AO86" i="69"/>
  <c r="AE101" i="53"/>
  <c r="AF100" i="53"/>
  <c r="AK32" i="32"/>
  <c r="R101" i="53"/>
  <c r="X101" i="53" s="1"/>
  <c r="AY85" i="69"/>
  <c r="L102" i="57"/>
  <c r="AH101" i="53"/>
  <c r="AT101" i="53"/>
  <c r="AG101" i="53"/>
  <c r="N102" i="57"/>
  <c r="AH85" i="69"/>
  <c r="AD101" i="53"/>
  <c r="Q101" i="53"/>
  <c r="G102" i="53"/>
  <c r="I102" i="53"/>
  <c r="C102" i="53"/>
  <c r="H102" i="53"/>
  <c r="J102" i="53"/>
  <c r="E102" i="53"/>
  <c r="K102" i="53"/>
  <c r="D102" i="53"/>
  <c r="AK101" i="52" a="1"/>
  <c r="AK101" i="52" s="1"/>
  <c r="B103" i="53" s="1"/>
  <c r="F102" i="53"/>
  <c r="P102" i="53"/>
  <c r="L102" i="53"/>
  <c r="A42" i="50"/>
  <c r="M42" i="50"/>
  <c r="B42" i="50"/>
  <c r="R42" i="50" s="1"/>
  <c r="L42" i="50"/>
  <c r="K42" i="50"/>
  <c r="I42" i="50"/>
  <c r="F42" i="50"/>
  <c r="U42" i="50" s="1"/>
  <c r="H42" i="50"/>
  <c r="N42" i="50"/>
  <c r="J42" i="50"/>
  <c r="G42" i="50"/>
  <c r="I102" i="57"/>
  <c r="C102" i="57"/>
  <c r="E102" i="57"/>
  <c r="K102" i="57"/>
  <c r="G102" i="57"/>
  <c r="F102" i="57"/>
  <c r="H102" i="57"/>
  <c r="J102" i="57"/>
  <c r="D102" i="57"/>
  <c r="AN101" i="55" a="1"/>
  <c r="AN101" i="55" s="1"/>
  <c r="B103" i="57" s="1"/>
  <c r="AR87" i="67" a="1"/>
  <c r="AR87" i="67" s="1"/>
  <c r="B88" i="69"/>
  <c r="L88" i="69" s="1"/>
  <c r="D86" i="69"/>
  <c r="E86" i="69" s="1"/>
  <c r="F86" i="69" s="1"/>
  <c r="G86" i="69" s="1"/>
  <c r="H86" i="69" s="1"/>
  <c r="I86" i="69" s="1"/>
  <c r="J86" i="69" s="1"/>
  <c r="K86" i="69" s="1"/>
  <c r="M86" i="69" s="1"/>
  <c r="AE85" i="69"/>
  <c r="R85" i="69"/>
  <c r="S85" i="69" s="1"/>
  <c r="Y85" i="69" s="1"/>
  <c r="C87" i="69"/>
  <c r="P87" i="69" s="1"/>
  <c r="AL32" i="11" a="1"/>
  <c r="AL32" i="11" s="1"/>
  <c r="E33" i="32" s="1"/>
  <c r="AP42" i="59" a="1"/>
  <c r="AP42" i="59" s="1"/>
  <c r="E43" i="50" s="1"/>
  <c r="X100" i="57" l="1"/>
  <c r="AB100" i="57" s="1"/>
  <c r="AG102" i="57"/>
  <c r="M103" i="53"/>
  <c r="AC103" i="53" s="1"/>
  <c r="O103" i="53"/>
  <c r="AP87" i="69"/>
  <c r="N87" i="69"/>
  <c r="U87" i="69" s="1"/>
  <c r="AB99" i="57"/>
  <c r="Q101" i="57"/>
  <c r="T101" i="57" s="1"/>
  <c r="AQ101" i="57"/>
  <c r="AE101" i="57"/>
  <c r="AA99" i="57"/>
  <c r="AJ101" i="57"/>
  <c r="R101" i="57"/>
  <c r="AD101" i="57"/>
  <c r="AC101" i="57"/>
  <c r="M102" i="57"/>
  <c r="AK102" i="57" s="1"/>
  <c r="Q42" i="50"/>
  <c r="P42" i="50" s="1"/>
  <c r="N103" i="53"/>
  <c r="O33" i="32"/>
  <c r="T33" i="32"/>
  <c r="T43" i="50"/>
  <c r="O43" i="50"/>
  <c r="AA101" i="53"/>
  <c r="AB101" i="53"/>
  <c r="AP38" i="50"/>
  <c r="AP37" i="50"/>
  <c r="AK39" i="50"/>
  <c r="AL39" i="50" s="1"/>
  <c r="AG39" i="50"/>
  <c r="AH39" i="50" s="1"/>
  <c r="AI39" i="50" s="1"/>
  <c r="AJ41" i="50"/>
  <c r="C41" i="50"/>
  <c r="S42" i="50"/>
  <c r="W41" i="50"/>
  <c r="X40" i="50"/>
  <c r="AD40" i="50" s="1"/>
  <c r="V41" i="50"/>
  <c r="AF86" i="69"/>
  <c r="Q86" i="69"/>
  <c r="O103" i="57"/>
  <c r="P103" i="57"/>
  <c r="AM39" i="50"/>
  <c r="AC84" i="69"/>
  <c r="AD84" i="69" s="1"/>
  <c r="AB85" i="69"/>
  <c r="AG85" i="69"/>
  <c r="O88" i="69"/>
  <c r="AO87" i="69"/>
  <c r="AF101" i="53"/>
  <c r="AE102" i="53"/>
  <c r="AK33" i="32"/>
  <c r="R102" i="53"/>
  <c r="X102" i="53" s="1"/>
  <c r="AY86" i="69"/>
  <c r="L103" i="57"/>
  <c r="AG102" i="53"/>
  <c r="AH102" i="53"/>
  <c r="AT102" i="53"/>
  <c r="N103" i="57"/>
  <c r="AH86" i="69"/>
  <c r="Q102" i="53"/>
  <c r="AD102" i="53"/>
  <c r="J103" i="53"/>
  <c r="E103" i="53"/>
  <c r="AK102" i="52" a="1"/>
  <c r="AK102" i="52" s="1"/>
  <c r="B104" i="53" s="1"/>
  <c r="F103" i="53"/>
  <c r="D103" i="53"/>
  <c r="G103" i="53"/>
  <c r="K103" i="53"/>
  <c r="C103" i="53"/>
  <c r="P103" i="53"/>
  <c r="H103" i="53"/>
  <c r="I103" i="53"/>
  <c r="L103" i="53"/>
  <c r="F43" i="50"/>
  <c r="U43" i="50" s="1"/>
  <c r="M43" i="50"/>
  <c r="K43" i="50"/>
  <c r="J43" i="50"/>
  <c r="A43" i="50"/>
  <c r="N43" i="50"/>
  <c r="L43" i="50"/>
  <c r="B43" i="50"/>
  <c r="R43" i="50" s="1"/>
  <c r="I43" i="50"/>
  <c r="H43" i="50"/>
  <c r="G43" i="50"/>
  <c r="K103" i="57"/>
  <c r="I103" i="57"/>
  <c r="H103" i="57"/>
  <c r="G103" i="57"/>
  <c r="C103" i="57"/>
  <c r="E103" i="57"/>
  <c r="D103" i="57"/>
  <c r="F103" i="57"/>
  <c r="J103" i="57"/>
  <c r="AN102" i="55" a="1"/>
  <c r="AN102" i="55" s="1"/>
  <c r="B104" i="57" s="1"/>
  <c r="AR88" i="67" a="1"/>
  <c r="AR88" i="67" s="1"/>
  <c r="B89" i="69"/>
  <c r="L89" i="69" s="1"/>
  <c r="D87" i="69"/>
  <c r="E87" i="69" s="1"/>
  <c r="F87" i="69" s="1"/>
  <c r="G87" i="69" s="1"/>
  <c r="H87" i="69" s="1"/>
  <c r="I87" i="69" s="1"/>
  <c r="J87" i="69" s="1"/>
  <c r="K87" i="69" s="1"/>
  <c r="M87" i="69" s="1"/>
  <c r="C88" i="69"/>
  <c r="P88" i="69" s="1"/>
  <c r="AE86" i="69"/>
  <c r="R86" i="69"/>
  <c r="S86" i="69" s="1"/>
  <c r="AL33" i="11" a="1"/>
  <c r="AL33" i="11" s="1"/>
  <c r="E34" i="32" s="1"/>
  <c r="AP43" i="59" a="1"/>
  <c r="AP43" i="59" s="1"/>
  <c r="E44" i="50" s="1"/>
  <c r="Y86" i="69" l="1"/>
  <c r="AB86" i="69" s="1"/>
  <c r="AC86" i="69" s="1"/>
  <c r="AD86" i="69" s="1"/>
  <c r="AG103" i="57"/>
  <c r="X101" i="57"/>
  <c r="AA101" i="57" s="1"/>
  <c r="M104" i="53"/>
  <c r="AC104" i="53" s="1"/>
  <c r="O104" i="53"/>
  <c r="AP88" i="69"/>
  <c r="N88" i="69"/>
  <c r="U88" i="69" s="1"/>
  <c r="AQ102" i="57"/>
  <c r="AA100" i="57"/>
  <c r="AF100" i="57"/>
  <c r="AJ102" i="57"/>
  <c r="R102" i="57"/>
  <c r="AD102" i="57"/>
  <c r="AC102" i="57"/>
  <c r="M103" i="57"/>
  <c r="AK103" i="57" s="1"/>
  <c r="Q102" i="57"/>
  <c r="T102" i="57" s="1"/>
  <c r="AE102" i="57"/>
  <c r="Q43" i="50"/>
  <c r="P43" i="50" s="1"/>
  <c r="N104" i="53"/>
  <c r="T34" i="32"/>
  <c r="O34" i="32"/>
  <c r="O44" i="50"/>
  <c r="T44" i="50"/>
  <c r="AA102" i="53"/>
  <c r="AB102" i="53"/>
  <c r="AP39" i="50"/>
  <c r="AK40" i="50"/>
  <c r="AL40" i="50" s="1"/>
  <c r="AG40" i="50"/>
  <c r="AH40" i="50" s="1"/>
  <c r="AI40" i="50" s="1"/>
  <c r="C42" i="50"/>
  <c r="Z42" i="50"/>
  <c r="S43" i="50"/>
  <c r="Z43" i="50" s="1"/>
  <c r="AJ42" i="50"/>
  <c r="W42" i="50"/>
  <c r="X41" i="50"/>
  <c r="AD41" i="50" s="1"/>
  <c r="V42" i="50"/>
  <c r="AF87" i="69"/>
  <c r="Q87" i="69"/>
  <c r="O104" i="57"/>
  <c r="P104" i="57"/>
  <c r="AM40" i="50"/>
  <c r="AC85" i="69"/>
  <c r="AD85" i="69" s="1"/>
  <c r="AO88" i="69"/>
  <c r="O89" i="69"/>
  <c r="AE103" i="53"/>
  <c r="AF102" i="53"/>
  <c r="AK34" i="32"/>
  <c r="R103" i="53"/>
  <c r="X103" i="53" s="1"/>
  <c r="AY87" i="69"/>
  <c r="L104" i="57"/>
  <c r="AG103" i="53"/>
  <c r="AH103" i="53"/>
  <c r="AT103" i="53"/>
  <c r="N104" i="57"/>
  <c r="I104" i="53"/>
  <c r="AH87" i="69"/>
  <c r="AD103" i="53"/>
  <c r="Q103" i="53"/>
  <c r="D104" i="53"/>
  <c r="L104" i="53"/>
  <c r="H104" i="53"/>
  <c r="G104" i="53"/>
  <c r="AK103" i="52" a="1"/>
  <c r="AK103" i="52" s="1"/>
  <c r="B105" i="53" s="1"/>
  <c r="P104" i="53"/>
  <c r="K104" i="53"/>
  <c r="J104" i="53"/>
  <c r="E104" i="53"/>
  <c r="F104" i="53"/>
  <c r="C104" i="53"/>
  <c r="H44" i="50"/>
  <c r="F44" i="50"/>
  <c r="U44" i="50" s="1"/>
  <c r="M44" i="50"/>
  <c r="K44" i="50"/>
  <c r="J44" i="50"/>
  <c r="N44" i="50"/>
  <c r="A44" i="50"/>
  <c r="L44" i="50"/>
  <c r="B44" i="50"/>
  <c r="R44" i="50" s="1"/>
  <c r="I44" i="50"/>
  <c r="G44" i="50"/>
  <c r="K104" i="57"/>
  <c r="J104" i="57"/>
  <c r="I104" i="57"/>
  <c r="C104" i="57"/>
  <c r="F104" i="57"/>
  <c r="E104" i="57"/>
  <c r="H104" i="57"/>
  <c r="D104" i="57"/>
  <c r="G104" i="57"/>
  <c r="AN103" i="55" a="1"/>
  <c r="AN103" i="55" s="1"/>
  <c r="B105" i="57" s="1"/>
  <c r="AE87" i="69"/>
  <c r="R87" i="69"/>
  <c r="S87" i="69" s="1"/>
  <c r="Y87" i="69" s="1"/>
  <c r="D88" i="69"/>
  <c r="E88" i="69" s="1"/>
  <c r="F88" i="69" s="1"/>
  <c r="G88" i="69" s="1"/>
  <c r="H88" i="69" s="1"/>
  <c r="I88" i="69" s="1"/>
  <c r="J88" i="69" s="1"/>
  <c r="K88" i="69" s="1"/>
  <c r="M88" i="69" s="1"/>
  <c r="C89" i="69"/>
  <c r="P89" i="69" s="1"/>
  <c r="AR89" i="67" a="1"/>
  <c r="AR89" i="67" s="1"/>
  <c r="B90" i="69"/>
  <c r="L90" i="69" s="1"/>
  <c r="AL34" i="11" a="1"/>
  <c r="AL34" i="11" s="1"/>
  <c r="E35" i="32" s="1"/>
  <c r="AP44" i="59" a="1"/>
  <c r="AP44" i="59" s="1"/>
  <c r="E45" i="50" s="1"/>
  <c r="X102" i="57" l="1"/>
  <c r="AB102" i="57" s="1"/>
  <c r="AG86" i="69"/>
  <c r="AG104" i="57"/>
  <c r="AF101" i="57"/>
  <c r="AB101" i="57"/>
  <c r="M105" i="53"/>
  <c r="AC105" i="53" s="1"/>
  <c r="O105" i="53"/>
  <c r="AP89" i="69"/>
  <c r="N89" i="69"/>
  <c r="U89" i="69" s="1"/>
  <c r="AJ103" i="57"/>
  <c r="R103" i="57"/>
  <c r="AD103" i="57"/>
  <c r="AC103" i="57"/>
  <c r="Q103" i="57"/>
  <c r="T103" i="57" s="1"/>
  <c r="AE103" i="57"/>
  <c r="AQ103" i="57"/>
  <c r="M104" i="57"/>
  <c r="AK104" i="57" s="1"/>
  <c r="Q44" i="50"/>
  <c r="P44" i="50" s="1"/>
  <c r="N105" i="53"/>
  <c r="T35" i="32"/>
  <c r="O35" i="32"/>
  <c r="O45" i="50"/>
  <c r="T45" i="50"/>
  <c r="AA103" i="53"/>
  <c r="AB103" i="53"/>
  <c r="AP40" i="50"/>
  <c r="AK41" i="50"/>
  <c r="AL41" i="50" s="1"/>
  <c r="AG41" i="50"/>
  <c r="AH41" i="50" s="1"/>
  <c r="AI41" i="50" s="1"/>
  <c r="AJ43" i="50"/>
  <c r="C43" i="50"/>
  <c r="S44" i="50"/>
  <c r="Z44" i="50" s="1"/>
  <c r="W43" i="50"/>
  <c r="X42" i="50"/>
  <c r="AD42" i="50" s="1"/>
  <c r="V43" i="50"/>
  <c r="AF88" i="69"/>
  <c r="Q88" i="69"/>
  <c r="O105" i="57"/>
  <c r="P105" i="57"/>
  <c r="AM41" i="50"/>
  <c r="AB87" i="69"/>
  <c r="AG87" i="69"/>
  <c r="AO89" i="69"/>
  <c r="O90" i="69"/>
  <c r="AE104" i="53"/>
  <c r="AF103" i="53"/>
  <c r="AK35" i="32"/>
  <c r="R104" i="53"/>
  <c r="X104" i="53" s="1"/>
  <c r="AY88" i="69"/>
  <c r="L105" i="57"/>
  <c r="AH104" i="53"/>
  <c r="AT104" i="53"/>
  <c r="AG104" i="53"/>
  <c r="N105" i="57"/>
  <c r="F105" i="53"/>
  <c r="AH88" i="69"/>
  <c r="AD104" i="53"/>
  <c r="D105" i="53"/>
  <c r="E105" i="53"/>
  <c r="C105" i="53"/>
  <c r="G105" i="53"/>
  <c r="AK104" i="52" a="1"/>
  <c r="AK104" i="52" s="1"/>
  <c r="B106" i="53" s="1"/>
  <c r="P105" i="53"/>
  <c r="I105" i="53"/>
  <c r="Q104" i="53"/>
  <c r="L105" i="53"/>
  <c r="H105" i="53"/>
  <c r="K105" i="53"/>
  <c r="J105" i="53"/>
  <c r="M45" i="50"/>
  <c r="B45" i="50"/>
  <c r="R45" i="50" s="1"/>
  <c r="I45" i="50"/>
  <c r="A45" i="50"/>
  <c r="H45" i="50"/>
  <c r="G45" i="50"/>
  <c r="K45" i="50"/>
  <c r="J45" i="50"/>
  <c r="F45" i="50"/>
  <c r="U45" i="50" s="1"/>
  <c r="N45" i="50"/>
  <c r="L45" i="50"/>
  <c r="D105" i="57"/>
  <c r="C105" i="57"/>
  <c r="K105" i="57"/>
  <c r="I105" i="57"/>
  <c r="E105" i="57"/>
  <c r="G105" i="57"/>
  <c r="H105" i="57"/>
  <c r="F105" i="57"/>
  <c r="J105" i="57"/>
  <c r="AN104" i="55" a="1"/>
  <c r="AN104" i="55" s="1"/>
  <c r="B106" i="57" s="1"/>
  <c r="AR90" i="67" a="1"/>
  <c r="AR90" i="67" s="1"/>
  <c r="B91" i="69"/>
  <c r="L91" i="69" s="1"/>
  <c r="AE88" i="69"/>
  <c r="R88" i="69"/>
  <c r="S88" i="69" s="1"/>
  <c r="Y88" i="69" s="1"/>
  <c r="C90" i="69"/>
  <c r="P90" i="69" s="1"/>
  <c r="D89" i="69"/>
  <c r="E89" i="69" s="1"/>
  <c r="F89" i="69" s="1"/>
  <c r="G89" i="69" s="1"/>
  <c r="H89" i="69" s="1"/>
  <c r="I89" i="69" s="1"/>
  <c r="J89" i="69" s="1"/>
  <c r="K89" i="69" s="1"/>
  <c r="M89" i="69" s="1"/>
  <c r="AL35" i="11" a="1"/>
  <c r="AL35" i="11" s="1"/>
  <c r="E36" i="32" s="1"/>
  <c r="AP45" i="59" a="1"/>
  <c r="AP45" i="59" s="1"/>
  <c r="E46" i="50" s="1"/>
  <c r="AF102" i="57" l="1"/>
  <c r="AA102" i="57"/>
  <c r="X103" i="57"/>
  <c r="AB103" i="57" s="1"/>
  <c r="AG105" i="57"/>
  <c r="M106" i="53"/>
  <c r="AC106" i="53" s="1"/>
  <c r="O106" i="53"/>
  <c r="AP90" i="69"/>
  <c r="N90" i="69"/>
  <c r="U90" i="69" s="1"/>
  <c r="Q104" i="57"/>
  <c r="T104" i="57" s="1"/>
  <c r="AD104" i="57"/>
  <c r="AC104" i="57"/>
  <c r="AQ104" i="57"/>
  <c r="AE104" i="57"/>
  <c r="AJ104" i="57"/>
  <c r="R104" i="57"/>
  <c r="M105" i="57"/>
  <c r="AK105" i="57" s="1"/>
  <c r="Q45" i="50"/>
  <c r="P45" i="50" s="1"/>
  <c r="N106" i="53"/>
  <c r="O36" i="32"/>
  <c r="T36" i="32"/>
  <c r="T46" i="50"/>
  <c r="O46" i="50"/>
  <c r="AA104" i="53"/>
  <c r="AB104" i="53"/>
  <c r="AP41" i="50"/>
  <c r="AK42" i="50"/>
  <c r="AL42" i="50" s="1"/>
  <c r="AG42" i="50"/>
  <c r="AH42" i="50" s="1"/>
  <c r="AI42" i="50" s="1"/>
  <c r="AJ44" i="50"/>
  <c r="C44" i="50"/>
  <c r="S45" i="50"/>
  <c r="Z45" i="50" s="1"/>
  <c r="W44" i="50"/>
  <c r="X43" i="50"/>
  <c r="V44" i="50"/>
  <c r="AF89" i="69"/>
  <c r="Q89" i="69"/>
  <c r="O106" i="57"/>
  <c r="P106" i="57"/>
  <c r="AD43" i="50"/>
  <c r="AM42" i="50"/>
  <c r="AC87" i="69"/>
  <c r="AD87" i="69" s="1"/>
  <c r="AB88" i="69"/>
  <c r="AG88" i="69"/>
  <c r="O91" i="69"/>
  <c r="AO90" i="69"/>
  <c r="AF104" i="53"/>
  <c r="AE105" i="53"/>
  <c r="AK36" i="32"/>
  <c r="R105" i="53"/>
  <c r="X105" i="53" s="1"/>
  <c r="AY89" i="69"/>
  <c r="L106" i="57"/>
  <c r="AH105" i="53"/>
  <c r="AT105" i="53"/>
  <c r="AG105" i="53"/>
  <c r="N106" i="57"/>
  <c r="AH89" i="69"/>
  <c r="AD105" i="53"/>
  <c r="Q105" i="53"/>
  <c r="K106" i="53"/>
  <c r="D106" i="53"/>
  <c r="G106" i="53"/>
  <c r="J106" i="53"/>
  <c r="L106" i="53"/>
  <c r="H106" i="53"/>
  <c r="AK105" i="52" a="1"/>
  <c r="AK105" i="52" s="1"/>
  <c r="B107" i="53" s="1"/>
  <c r="F106" i="53"/>
  <c r="E106" i="53"/>
  <c r="I106" i="53"/>
  <c r="C106" i="53"/>
  <c r="P106" i="53"/>
  <c r="G46" i="50"/>
  <c r="H46" i="50"/>
  <c r="N46" i="50"/>
  <c r="M46" i="50"/>
  <c r="F46" i="50"/>
  <c r="U46" i="50" s="1"/>
  <c r="L46" i="50"/>
  <c r="A46" i="50"/>
  <c r="J46" i="50"/>
  <c r="K46" i="50"/>
  <c r="B46" i="50"/>
  <c r="R46" i="50" s="1"/>
  <c r="I46" i="50"/>
  <c r="J106" i="57"/>
  <c r="G106" i="57"/>
  <c r="C106" i="57"/>
  <c r="H106" i="57"/>
  <c r="D106" i="57"/>
  <c r="K106" i="57"/>
  <c r="F106" i="57"/>
  <c r="E106" i="57"/>
  <c r="I106" i="57"/>
  <c r="AN105" i="55" a="1"/>
  <c r="AN105" i="55" s="1"/>
  <c r="B107" i="57" s="1"/>
  <c r="AR91" i="67" a="1"/>
  <c r="AR91" i="67" s="1"/>
  <c r="B92" i="69"/>
  <c r="L92" i="69" s="1"/>
  <c r="D90" i="69"/>
  <c r="E90" i="69" s="1"/>
  <c r="F90" i="69" s="1"/>
  <c r="G90" i="69" s="1"/>
  <c r="H90" i="69" s="1"/>
  <c r="I90" i="69" s="1"/>
  <c r="J90" i="69" s="1"/>
  <c r="K90" i="69" s="1"/>
  <c r="M90" i="69" s="1"/>
  <c r="AE89" i="69"/>
  <c r="R89" i="69"/>
  <c r="S89" i="69" s="1"/>
  <c r="Y89" i="69" s="1"/>
  <c r="C91" i="69"/>
  <c r="P91" i="69" s="1"/>
  <c r="AL36" i="11" a="1"/>
  <c r="AL36" i="11" s="1"/>
  <c r="E37" i="32" s="1"/>
  <c r="AP46" i="59" a="1"/>
  <c r="AP46" i="59" s="1"/>
  <c r="E47" i="50" s="1"/>
  <c r="X104" i="57" l="1"/>
  <c r="AB104" i="57" s="1"/>
  <c r="AG106" i="57"/>
  <c r="M107" i="53"/>
  <c r="AC107" i="53" s="1"/>
  <c r="O107" i="53"/>
  <c r="AP91" i="69"/>
  <c r="N91" i="69"/>
  <c r="U91" i="69" s="1"/>
  <c r="AQ105" i="57"/>
  <c r="AF103" i="57"/>
  <c r="AA103" i="57"/>
  <c r="Q105" i="57"/>
  <c r="T105" i="57" s="1"/>
  <c r="AD105" i="57"/>
  <c r="AJ105" i="57"/>
  <c r="R105" i="57"/>
  <c r="AE105" i="57"/>
  <c r="AC105" i="57"/>
  <c r="M106" i="57"/>
  <c r="AK106" i="57" s="1"/>
  <c r="Q46" i="50"/>
  <c r="P46" i="50" s="1"/>
  <c r="N107" i="53"/>
  <c r="O37" i="32"/>
  <c r="T37" i="32"/>
  <c r="T47" i="50"/>
  <c r="O47" i="50"/>
  <c r="AA105" i="53"/>
  <c r="AB105" i="53"/>
  <c r="AP42" i="50"/>
  <c r="C45" i="50"/>
  <c r="AJ45" i="50"/>
  <c r="S46" i="50"/>
  <c r="Z46" i="50" s="1"/>
  <c r="W45" i="50"/>
  <c r="X44" i="50"/>
  <c r="AD44" i="50" s="1"/>
  <c r="V45" i="50"/>
  <c r="AF90" i="69"/>
  <c r="Q90" i="69"/>
  <c r="O107" i="57"/>
  <c r="P107" i="57"/>
  <c r="AM43" i="50"/>
  <c r="AC88" i="69"/>
  <c r="AD88" i="69" s="1"/>
  <c r="AB89" i="69"/>
  <c r="AG89" i="69"/>
  <c r="O92" i="69"/>
  <c r="AO91" i="69"/>
  <c r="AE106" i="53"/>
  <c r="AF105" i="53"/>
  <c r="AK37" i="32"/>
  <c r="R106" i="53"/>
  <c r="X106" i="53" s="1"/>
  <c r="AY90" i="69"/>
  <c r="L107" i="57"/>
  <c r="AH106" i="53"/>
  <c r="AT106" i="53"/>
  <c r="AG106" i="53"/>
  <c r="N107" i="57"/>
  <c r="H107" i="53"/>
  <c r="AH90" i="69"/>
  <c r="AD106" i="53"/>
  <c r="Q106" i="53"/>
  <c r="C107" i="53"/>
  <c r="J107" i="53"/>
  <c r="AK106" i="52" a="1"/>
  <c r="AK106" i="52" s="1"/>
  <c r="B108" i="53" s="1"/>
  <c r="G107" i="53"/>
  <c r="E107" i="53"/>
  <c r="F107" i="53"/>
  <c r="I107" i="53"/>
  <c r="D107" i="53"/>
  <c r="L107" i="53"/>
  <c r="K107" i="53"/>
  <c r="P107" i="53"/>
  <c r="G47" i="50"/>
  <c r="I47" i="50"/>
  <c r="M47" i="50"/>
  <c r="J47" i="50"/>
  <c r="F47" i="50"/>
  <c r="U47" i="50" s="1"/>
  <c r="N47" i="50"/>
  <c r="L47" i="50"/>
  <c r="B47" i="50"/>
  <c r="R47" i="50" s="1"/>
  <c r="H47" i="50"/>
  <c r="A47" i="50"/>
  <c r="K47" i="50"/>
  <c r="E107" i="57"/>
  <c r="D107" i="57"/>
  <c r="C107" i="57"/>
  <c r="K107" i="57"/>
  <c r="G107" i="57"/>
  <c r="I107" i="57"/>
  <c r="H107" i="57"/>
  <c r="F107" i="57"/>
  <c r="J107" i="57"/>
  <c r="AN106" i="55" a="1"/>
  <c r="AN106" i="55" s="1"/>
  <c r="B108" i="57" s="1"/>
  <c r="AR92" i="67" a="1"/>
  <c r="AR92" i="67" s="1"/>
  <c r="B93" i="69"/>
  <c r="L93" i="69" s="1"/>
  <c r="C92" i="69"/>
  <c r="P92" i="69" s="1"/>
  <c r="D91" i="69"/>
  <c r="E91" i="69" s="1"/>
  <c r="F91" i="69" s="1"/>
  <c r="G91" i="69" s="1"/>
  <c r="H91" i="69" s="1"/>
  <c r="I91" i="69" s="1"/>
  <c r="J91" i="69" s="1"/>
  <c r="K91" i="69" s="1"/>
  <c r="M91" i="69" s="1"/>
  <c r="AE90" i="69"/>
  <c r="R90" i="69"/>
  <c r="S90" i="69" s="1"/>
  <c r="Y90" i="69" s="1"/>
  <c r="AL37" i="11" a="1"/>
  <c r="AL37" i="11" s="1"/>
  <c r="E38" i="32" s="1"/>
  <c r="AP47" i="59" a="1"/>
  <c r="AP47" i="59" s="1"/>
  <c r="E48" i="50" s="1"/>
  <c r="X105" i="57" l="1"/>
  <c r="AB105" i="57" s="1"/>
  <c r="AG107" i="57"/>
  <c r="AF104" i="57"/>
  <c r="AA104" i="57"/>
  <c r="M108" i="53"/>
  <c r="AC108" i="53" s="1"/>
  <c r="O108" i="53"/>
  <c r="AP92" i="69"/>
  <c r="N92" i="69"/>
  <c r="U92" i="69" s="1"/>
  <c r="Q106" i="57"/>
  <c r="T106" i="57" s="1"/>
  <c r="AQ106" i="57"/>
  <c r="AC106" i="57"/>
  <c r="AD106" i="57"/>
  <c r="AJ106" i="57"/>
  <c r="R106" i="57"/>
  <c r="AE106" i="57"/>
  <c r="M107" i="57"/>
  <c r="AK107" i="57" s="1"/>
  <c r="Q47" i="50"/>
  <c r="P47" i="50" s="1"/>
  <c r="N108" i="53"/>
  <c r="T38" i="32"/>
  <c r="O38" i="32"/>
  <c r="O48" i="50"/>
  <c r="T48" i="50"/>
  <c r="AA106" i="53"/>
  <c r="AB106" i="53"/>
  <c r="AK44" i="50"/>
  <c r="AL44" i="50" s="1"/>
  <c r="AG44" i="50"/>
  <c r="AH44" i="50" s="1"/>
  <c r="AI44" i="50" s="1"/>
  <c r="AK43" i="50"/>
  <c r="AL43" i="50" s="1"/>
  <c r="AG43" i="50"/>
  <c r="AH43" i="50" s="1"/>
  <c r="AI43" i="50" s="1"/>
  <c r="AJ46" i="50"/>
  <c r="C46" i="50"/>
  <c r="S47" i="50"/>
  <c r="Z47" i="50" s="1"/>
  <c r="W46" i="50"/>
  <c r="X45" i="50"/>
  <c r="AD45" i="50" s="1"/>
  <c r="V46" i="50"/>
  <c r="AF91" i="69"/>
  <c r="Q91" i="69"/>
  <c r="O108" i="57"/>
  <c r="P108" i="57"/>
  <c r="AM44" i="50"/>
  <c r="AC89" i="69"/>
  <c r="AD89" i="69" s="1"/>
  <c r="AB90" i="69"/>
  <c r="AG90" i="69"/>
  <c r="O93" i="69"/>
  <c r="AO92" i="69"/>
  <c r="AF106" i="53"/>
  <c r="AE107" i="53"/>
  <c r="AK38" i="32"/>
  <c r="R107" i="53"/>
  <c r="X107" i="53" s="1"/>
  <c r="AY91" i="69"/>
  <c r="L108" i="57"/>
  <c r="AG107" i="53"/>
  <c r="AH107" i="53"/>
  <c r="AT107" i="53"/>
  <c r="N108" i="57"/>
  <c r="E108" i="53"/>
  <c r="AH91" i="69"/>
  <c r="AD107" i="53"/>
  <c r="H108" i="53"/>
  <c r="P108" i="53"/>
  <c r="G108" i="53"/>
  <c r="Q107" i="53"/>
  <c r="J108" i="53"/>
  <c r="L108" i="53"/>
  <c r="F108" i="53"/>
  <c r="I108" i="53"/>
  <c r="C108" i="53"/>
  <c r="AK107" i="52" a="1"/>
  <c r="AK107" i="52" s="1"/>
  <c r="B109" i="53" s="1"/>
  <c r="D108" i="53"/>
  <c r="K108" i="53"/>
  <c r="B48" i="50"/>
  <c r="R48" i="50" s="1"/>
  <c r="F48" i="50"/>
  <c r="U48" i="50" s="1"/>
  <c r="H48" i="50"/>
  <c r="L48" i="50"/>
  <c r="I48" i="50"/>
  <c r="N48" i="50"/>
  <c r="M48" i="50"/>
  <c r="J48" i="50"/>
  <c r="K48" i="50"/>
  <c r="G48" i="50"/>
  <c r="A48" i="50"/>
  <c r="I108" i="57"/>
  <c r="F108" i="57"/>
  <c r="C108" i="57"/>
  <c r="K108" i="57"/>
  <c r="H108" i="57"/>
  <c r="D108" i="57"/>
  <c r="G108" i="57"/>
  <c r="E108" i="57"/>
  <c r="J108" i="57"/>
  <c r="AN107" i="55" a="1"/>
  <c r="AN107" i="55" s="1"/>
  <c r="B109" i="57" s="1"/>
  <c r="C93" i="69"/>
  <c r="P93" i="69" s="1"/>
  <c r="AE91" i="69"/>
  <c r="R91" i="69"/>
  <c r="S91" i="69" s="1"/>
  <c r="Y91" i="69" s="1"/>
  <c r="D92" i="69"/>
  <c r="E92" i="69" s="1"/>
  <c r="F92" i="69" s="1"/>
  <c r="G92" i="69" s="1"/>
  <c r="H92" i="69" s="1"/>
  <c r="I92" i="69" s="1"/>
  <c r="J92" i="69" s="1"/>
  <c r="K92" i="69" s="1"/>
  <c r="M92" i="69" s="1"/>
  <c r="AR93" i="67" a="1"/>
  <c r="AR93" i="67" s="1"/>
  <c r="B94" i="69"/>
  <c r="L94" i="69" s="1"/>
  <c r="AL38" i="11" a="1"/>
  <c r="AL38" i="11" s="1"/>
  <c r="E39" i="32" s="1"/>
  <c r="AP48" i="59" a="1"/>
  <c r="AP48" i="59" s="1"/>
  <c r="E49" i="50" s="1"/>
  <c r="X106" i="57" l="1"/>
  <c r="AF106" i="57" s="1"/>
  <c r="AG108" i="57"/>
  <c r="M109" i="53"/>
  <c r="AC109" i="53" s="1"/>
  <c r="O109" i="53"/>
  <c r="AP93" i="69"/>
  <c r="N93" i="69"/>
  <c r="U93" i="69" s="1"/>
  <c r="AF105" i="57"/>
  <c r="AA105" i="57"/>
  <c r="AQ107" i="57"/>
  <c r="AD107" i="57"/>
  <c r="AJ107" i="57"/>
  <c r="R107" i="57"/>
  <c r="Q107" i="57"/>
  <c r="T107" i="57" s="1"/>
  <c r="AC107" i="57"/>
  <c r="AE107" i="57"/>
  <c r="M108" i="57"/>
  <c r="AK108" i="57" s="1"/>
  <c r="Q48" i="50"/>
  <c r="P48" i="50" s="1"/>
  <c r="N109" i="53"/>
  <c r="T39" i="32"/>
  <c r="O39" i="32"/>
  <c r="O49" i="50"/>
  <c r="T49" i="50"/>
  <c r="AA107" i="53"/>
  <c r="AB107" i="53"/>
  <c r="AP44" i="50"/>
  <c r="AP43" i="50"/>
  <c r="AK45" i="50"/>
  <c r="AL45" i="50" s="1"/>
  <c r="AG45" i="50"/>
  <c r="AH45" i="50" s="1"/>
  <c r="AI45" i="50" s="1"/>
  <c r="C47" i="50"/>
  <c r="AJ47" i="50"/>
  <c r="S48" i="50"/>
  <c r="Z48" i="50" s="1"/>
  <c r="W47" i="50"/>
  <c r="X46" i="50"/>
  <c r="AD46" i="50" s="1"/>
  <c r="V47" i="50"/>
  <c r="AF92" i="69"/>
  <c r="Q92" i="69"/>
  <c r="O109" i="57"/>
  <c r="P109" i="57"/>
  <c r="AM45" i="50"/>
  <c r="AC90" i="69"/>
  <c r="AD90" i="69" s="1"/>
  <c r="AB91" i="69"/>
  <c r="AG91" i="69"/>
  <c r="O94" i="69"/>
  <c r="AO93" i="69"/>
  <c r="AF107" i="53"/>
  <c r="AE108" i="53"/>
  <c r="AK39" i="32"/>
  <c r="R108" i="53"/>
  <c r="X108" i="53" s="1"/>
  <c r="AY92" i="69"/>
  <c r="L109" i="57"/>
  <c r="AH108" i="53"/>
  <c r="AT108" i="53"/>
  <c r="AG108" i="53"/>
  <c r="N109" i="57"/>
  <c r="P109" i="53"/>
  <c r="AH92" i="69"/>
  <c r="Q108" i="53"/>
  <c r="AD108" i="53"/>
  <c r="I109" i="53"/>
  <c r="G109" i="53"/>
  <c r="D109" i="53"/>
  <c r="L109" i="53"/>
  <c r="K109" i="53"/>
  <c r="J109" i="53"/>
  <c r="F109" i="53"/>
  <c r="AK108" i="52" a="1"/>
  <c r="AK108" i="52" s="1"/>
  <c r="B110" i="53" s="1"/>
  <c r="E109" i="53"/>
  <c r="C109" i="53"/>
  <c r="H109" i="53"/>
  <c r="M49" i="50"/>
  <c r="B49" i="50"/>
  <c r="R49" i="50" s="1"/>
  <c r="I49" i="50"/>
  <c r="H49" i="50"/>
  <c r="J49" i="50"/>
  <c r="K49" i="50"/>
  <c r="L49" i="50"/>
  <c r="F49" i="50"/>
  <c r="U49" i="50" s="1"/>
  <c r="G49" i="50"/>
  <c r="A49" i="50"/>
  <c r="N49" i="50"/>
  <c r="K109" i="57"/>
  <c r="I109" i="57"/>
  <c r="H109" i="57"/>
  <c r="G109" i="57"/>
  <c r="C109" i="57"/>
  <c r="E109" i="57"/>
  <c r="D109" i="57"/>
  <c r="F109" i="57"/>
  <c r="J109" i="57"/>
  <c r="AN108" i="55" a="1"/>
  <c r="AN108" i="55" s="1"/>
  <c r="B110" i="57" s="1"/>
  <c r="AR94" i="67" a="1"/>
  <c r="AR94" i="67" s="1"/>
  <c r="B95" i="69"/>
  <c r="L95" i="69" s="1"/>
  <c r="D93" i="69"/>
  <c r="E93" i="69" s="1"/>
  <c r="F93" i="69" s="1"/>
  <c r="G93" i="69" s="1"/>
  <c r="H93" i="69" s="1"/>
  <c r="I93" i="69" s="1"/>
  <c r="J93" i="69" s="1"/>
  <c r="K93" i="69" s="1"/>
  <c r="M93" i="69" s="1"/>
  <c r="AE92" i="69"/>
  <c r="R92" i="69"/>
  <c r="S92" i="69" s="1"/>
  <c r="Y92" i="69" s="1"/>
  <c r="C94" i="69"/>
  <c r="P94" i="69" s="1"/>
  <c r="AL39" i="11" a="1"/>
  <c r="AL39" i="11" s="1"/>
  <c r="E40" i="32" s="1"/>
  <c r="AP49" i="59" a="1"/>
  <c r="AP49" i="59" s="1"/>
  <c r="E50" i="50" s="1"/>
  <c r="X107" i="57" l="1"/>
  <c r="AB107" i="57" s="1"/>
  <c r="AG109" i="57"/>
  <c r="AA106" i="57"/>
  <c r="AB106" i="57"/>
  <c r="M110" i="53"/>
  <c r="AC110" i="53" s="1"/>
  <c r="O110" i="53"/>
  <c r="AP94" i="69"/>
  <c r="N94" i="69"/>
  <c r="U94" i="69" s="1"/>
  <c r="AJ108" i="57"/>
  <c r="R108" i="57"/>
  <c r="AD108" i="57"/>
  <c r="AC108" i="57"/>
  <c r="Q108" i="57"/>
  <c r="T108" i="57" s="1"/>
  <c r="AE108" i="57"/>
  <c r="AQ108" i="57"/>
  <c r="M109" i="57"/>
  <c r="AK109" i="57" s="1"/>
  <c r="Q49" i="50"/>
  <c r="P49" i="50" s="1"/>
  <c r="N110" i="53"/>
  <c r="O40" i="32"/>
  <c r="T40" i="32"/>
  <c r="T50" i="50"/>
  <c r="O50" i="50"/>
  <c r="AA108" i="53"/>
  <c r="AB108" i="53"/>
  <c r="AP45" i="50"/>
  <c r="AK46" i="50"/>
  <c r="AL46" i="50" s="1"/>
  <c r="AG46" i="50"/>
  <c r="AH46" i="50" s="1"/>
  <c r="AI46" i="50" s="1"/>
  <c r="AJ48" i="50"/>
  <c r="C48" i="50"/>
  <c r="S49" i="50"/>
  <c r="Z49" i="50" s="1"/>
  <c r="W48" i="50"/>
  <c r="X47" i="50"/>
  <c r="V48" i="50"/>
  <c r="AF93" i="69"/>
  <c r="Q93" i="69"/>
  <c r="O110" i="57"/>
  <c r="P110" i="57"/>
  <c r="AD47" i="50"/>
  <c r="AM46" i="50"/>
  <c r="AC91" i="69"/>
  <c r="AD91" i="69" s="1"/>
  <c r="AB92" i="69"/>
  <c r="AG92" i="69"/>
  <c r="AO94" i="69"/>
  <c r="O95" i="69"/>
  <c r="AF108" i="53"/>
  <c r="AE109" i="53"/>
  <c r="AK40" i="32"/>
  <c r="R109" i="53"/>
  <c r="X109" i="53" s="1"/>
  <c r="AY93" i="69"/>
  <c r="L110" i="57"/>
  <c r="AG109" i="53"/>
  <c r="AH109" i="53"/>
  <c r="AT109" i="53"/>
  <c r="N110" i="57"/>
  <c r="I110" i="53"/>
  <c r="AH93" i="69"/>
  <c r="AD109" i="53"/>
  <c r="Q109" i="53"/>
  <c r="C110" i="53"/>
  <c r="D110" i="53"/>
  <c r="G110" i="53"/>
  <c r="AK109" i="52" a="1"/>
  <c r="AK109" i="52" s="1"/>
  <c r="B111" i="53" s="1"/>
  <c r="K110" i="53"/>
  <c r="H110" i="53"/>
  <c r="F110" i="53"/>
  <c r="P110" i="53"/>
  <c r="J110" i="53"/>
  <c r="L110" i="53"/>
  <c r="E110" i="53"/>
  <c r="I50" i="50"/>
  <c r="F50" i="50"/>
  <c r="U50" i="50" s="1"/>
  <c r="G50" i="50"/>
  <c r="M50" i="50"/>
  <c r="A50" i="50"/>
  <c r="N50" i="50"/>
  <c r="H50" i="50"/>
  <c r="J50" i="50"/>
  <c r="K50" i="50"/>
  <c r="L50" i="50"/>
  <c r="B50" i="50"/>
  <c r="R50" i="50" s="1"/>
  <c r="J110" i="57"/>
  <c r="E110" i="57"/>
  <c r="H110" i="57"/>
  <c r="D110" i="57"/>
  <c r="I110" i="57"/>
  <c r="G110" i="57"/>
  <c r="C110" i="57"/>
  <c r="K110" i="57"/>
  <c r="F110" i="57"/>
  <c r="AN109" i="55" a="1"/>
  <c r="AN109" i="55" s="1"/>
  <c r="B111" i="57" s="1"/>
  <c r="AR95" i="67" a="1"/>
  <c r="AR95" i="67" s="1"/>
  <c r="B96" i="69"/>
  <c r="L96" i="69" s="1"/>
  <c r="AE93" i="69"/>
  <c r="R93" i="69"/>
  <c r="S93" i="69" s="1"/>
  <c r="Y93" i="69" s="1"/>
  <c r="D94" i="69"/>
  <c r="E94" i="69" s="1"/>
  <c r="F94" i="69" s="1"/>
  <c r="G94" i="69" s="1"/>
  <c r="H94" i="69" s="1"/>
  <c r="I94" i="69" s="1"/>
  <c r="J94" i="69" s="1"/>
  <c r="K94" i="69" s="1"/>
  <c r="M94" i="69" s="1"/>
  <c r="C95" i="69"/>
  <c r="P95" i="69" s="1"/>
  <c r="AL40" i="11" a="1"/>
  <c r="AL40" i="11" s="1"/>
  <c r="E41" i="32" s="1"/>
  <c r="AP50" i="59" a="1"/>
  <c r="AP50" i="59" s="1"/>
  <c r="E51" i="50" s="1"/>
  <c r="AB93" i="69" l="1"/>
  <c r="AC93" i="69" s="1"/>
  <c r="AD93" i="69" s="1"/>
  <c r="X108" i="57"/>
  <c r="AB108" i="57" s="1"/>
  <c r="AG110" i="57"/>
  <c r="M111" i="53"/>
  <c r="AC111" i="53" s="1"/>
  <c r="O111" i="53"/>
  <c r="AP95" i="69"/>
  <c r="N95" i="69"/>
  <c r="U95" i="69" s="1"/>
  <c r="AQ109" i="57"/>
  <c r="AA107" i="57"/>
  <c r="AF107" i="57"/>
  <c r="AJ109" i="57"/>
  <c r="R109" i="57"/>
  <c r="Q109" i="57"/>
  <c r="T109" i="57" s="1"/>
  <c r="AE109" i="57"/>
  <c r="AD109" i="57"/>
  <c r="AC109" i="57"/>
  <c r="M110" i="57"/>
  <c r="AK110" i="57" s="1"/>
  <c r="Q50" i="50"/>
  <c r="P50" i="50" s="1"/>
  <c r="N111" i="53"/>
  <c r="O41" i="32"/>
  <c r="T41" i="32"/>
  <c r="T51" i="50"/>
  <c r="O51" i="50"/>
  <c r="AA109" i="53"/>
  <c r="AB109" i="53"/>
  <c r="AP46" i="50"/>
  <c r="C49" i="50"/>
  <c r="AJ49" i="50"/>
  <c r="S50" i="50"/>
  <c r="Z50" i="50" s="1"/>
  <c r="W49" i="50"/>
  <c r="X48" i="50"/>
  <c r="V49" i="50"/>
  <c r="AF94" i="69"/>
  <c r="Q94" i="69"/>
  <c r="O111" i="57"/>
  <c r="P111" i="57"/>
  <c r="AD48" i="50"/>
  <c r="AM47" i="50"/>
  <c r="AC92" i="69"/>
  <c r="AD92" i="69" s="1"/>
  <c r="AG93" i="69"/>
  <c r="O96" i="69"/>
  <c r="AO95" i="69"/>
  <c r="AF109" i="53"/>
  <c r="AE110" i="53"/>
  <c r="AK41" i="32"/>
  <c r="R110" i="53"/>
  <c r="X110" i="53" s="1"/>
  <c r="AY94" i="69"/>
  <c r="L111" i="57"/>
  <c r="AH110" i="53"/>
  <c r="AT110" i="53"/>
  <c r="AG110" i="53"/>
  <c r="N111" i="57"/>
  <c r="AH94" i="69"/>
  <c r="Q110" i="53"/>
  <c r="AD110" i="53"/>
  <c r="AK110" i="52" a="1"/>
  <c r="AK110" i="52" s="1"/>
  <c r="B112" i="53" s="1"/>
  <c r="D111" i="53"/>
  <c r="G111" i="53"/>
  <c r="H111" i="53"/>
  <c r="L111" i="53"/>
  <c r="P111" i="53"/>
  <c r="K111" i="53"/>
  <c r="E111" i="53"/>
  <c r="J111" i="53"/>
  <c r="I111" i="53"/>
  <c r="C111" i="53"/>
  <c r="F111" i="53"/>
  <c r="F51" i="50"/>
  <c r="U51" i="50" s="1"/>
  <c r="A51" i="50"/>
  <c r="M51" i="50"/>
  <c r="K51" i="50"/>
  <c r="H51" i="50"/>
  <c r="L51" i="50"/>
  <c r="B51" i="50"/>
  <c r="R51" i="50" s="1"/>
  <c r="G51" i="50"/>
  <c r="N51" i="50"/>
  <c r="J51" i="50"/>
  <c r="I51" i="50"/>
  <c r="I111" i="57"/>
  <c r="H111" i="57"/>
  <c r="G111" i="57"/>
  <c r="E111" i="57"/>
  <c r="D111" i="57"/>
  <c r="K111" i="57"/>
  <c r="C111" i="57"/>
  <c r="F111" i="57"/>
  <c r="J111" i="57"/>
  <c r="AN110" i="55" a="1"/>
  <c r="AN110" i="55" s="1"/>
  <c r="B112" i="57" s="1"/>
  <c r="AR96" i="67" a="1"/>
  <c r="AR96" i="67" s="1"/>
  <c r="B97" i="69"/>
  <c r="L97" i="69" s="1"/>
  <c r="D95" i="69"/>
  <c r="E95" i="69" s="1"/>
  <c r="F95" i="69" s="1"/>
  <c r="G95" i="69" s="1"/>
  <c r="H95" i="69" s="1"/>
  <c r="I95" i="69" s="1"/>
  <c r="J95" i="69" s="1"/>
  <c r="K95" i="69" s="1"/>
  <c r="M95" i="69" s="1"/>
  <c r="R94" i="69"/>
  <c r="S94" i="69" s="1"/>
  <c r="Y94" i="69" s="1"/>
  <c r="AE94" i="69"/>
  <c r="C96" i="69"/>
  <c r="P96" i="69" s="1"/>
  <c r="AL41" i="11" a="1"/>
  <c r="AL41" i="11" s="1"/>
  <c r="E42" i="32" s="1"/>
  <c r="AP51" i="59" a="1"/>
  <c r="AP51" i="59" s="1"/>
  <c r="E52" i="50" s="1"/>
  <c r="AG111" i="57" l="1"/>
  <c r="X109" i="57"/>
  <c r="AB109" i="57" s="1"/>
  <c r="AF108" i="57"/>
  <c r="AA108" i="57"/>
  <c r="M112" i="53"/>
  <c r="AC112" i="53" s="1"/>
  <c r="O112" i="53"/>
  <c r="AP96" i="69"/>
  <c r="N96" i="69"/>
  <c r="U96" i="69" s="1"/>
  <c r="Q110" i="57"/>
  <c r="T110" i="57" s="1"/>
  <c r="AQ110" i="57"/>
  <c r="AC110" i="57"/>
  <c r="AE110" i="57"/>
  <c r="M111" i="57"/>
  <c r="AK111" i="57" s="1"/>
  <c r="AD110" i="57"/>
  <c r="AJ110" i="57"/>
  <c r="R110" i="57"/>
  <c r="Q51" i="50"/>
  <c r="P51" i="50" s="1"/>
  <c r="N112" i="53"/>
  <c r="T42" i="32"/>
  <c r="O42" i="32"/>
  <c r="O52" i="50"/>
  <c r="T52" i="50"/>
  <c r="AA110" i="53"/>
  <c r="AB110" i="53"/>
  <c r="AK47" i="50"/>
  <c r="AL47" i="50" s="1"/>
  <c r="AG47" i="50"/>
  <c r="AH47" i="50" s="1"/>
  <c r="AI47" i="50" s="1"/>
  <c r="AJ50" i="50"/>
  <c r="C50" i="50"/>
  <c r="S51" i="50"/>
  <c r="Z51" i="50" s="1"/>
  <c r="W50" i="50"/>
  <c r="X49" i="50"/>
  <c r="V50" i="50"/>
  <c r="AF95" i="69"/>
  <c r="Q95" i="69"/>
  <c r="O112" i="57"/>
  <c r="P112" i="57"/>
  <c r="AD49" i="50"/>
  <c r="AM48" i="50"/>
  <c r="AB94" i="69"/>
  <c r="AG94" i="69"/>
  <c r="AO96" i="69"/>
  <c r="O97" i="69"/>
  <c r="AE111" i="53"/>
  <c r="AF110" i="53"/>
  <c r="AK42" i="32"/>
  <c r="R111" i="53"/>
  <c r="X111" i="53" s="1"/>
  <c r="AY95" i="69"/>
  <c r="L112" i="57"/>
  <c r="AG111" i="53"/>
  <c r="Q111" i="53"/>
  <c r="AH111" i="53"/>
  <c r="AT111" i="53"/>
  <c r="N112" i="57"/>
  <c r="E112" i="53"/>
  <c r="AD111" i="53"/>
  <c r="AH95" i="69"/>
  <c r="H112" i="53"/>
  <c r="G112" i="53"/>
  <c r="J112" i="53"/>
  <c r="P112" i="53"/>
  <c r="L112" i="53"/>
  <c r="I112" i="53"/>
  <c r="C112" i="53"/>
  <c r="AK111" i="52" a="1"/>
  <c r="AK111" i="52" s="1"/>
  <c r="B113" i="53" s="1"/>
  <c r="F112" i="53"/>
  <c r="D112" i="53"/>
  <c r="K112" i="53"/>
  <c r="H52" i="50"/>
  <c r="N52" i="50"/>
  <c r="M52" i="50"/>
  <c r="F52" i="50"/>
  <c r="U52" i="50" s="1"/>
  <c r="L52" i="50"/>
  <c r="B52" i="50"/>
  <c r="R52" i="50" s="1"/>
  <c r="J52" i="50"/>
  <c r="I52" i="50"/>
  <c r="A52" i="50"/>
  <c r="G52" i="50"/>
  <c r="K52" i="50"/>
  <c r="K112" i="57"/>
  <c r="I112" i="57"/>
  <c r="F112" i="57"/>
  <c r="E112" i="57"/>
  <c r="C112" i="57"/>
  <c r="H112" i="57"/>
  <c r="D112" i="57"/>
  <c r="J112" i="57"/>
  <c r="G112" i="57"/>
  <c r="AN111" i="55" a="1"/>
  <c r="AN111" i="55" s="1"/>
  <c r="B113" i="57" s="1"/>
  <c r="D96" i="69"/>
  <c r="E96" i="69" s="1"/>
  <c r="F96" i="69" s="1"/>
  <c r="G96" i="69" s="1"/>
  <c r="H96" i="69" s="1"/>
  <c r="I96" i="69" s="1"/>
  <c r="J96" i="69" s="1"/>
  <c r="K96" i="69" s="1"/>
  <c r="M96" i="69" s="1"/>
  <c r="AE95" i="69"/>
  <c r="R95" i="69"/>
  <c r="S95" i="69" s="1"/>
  <c r="Y95" i="69" s="1"/>
  <c r="C97" i="69"/>
  <c r="P97" i="69" s="1"/>
  <c r="AR97" i="67" a="1"/>
  <c r="AR97" i="67" s="1"/>
  <c r="B98" i="69"/>
  <c r="L98" i="69" s="1"/>
  <c r="AL42" i="11" a="1"/>
  <c r="AL42" i="11" s="1"/>
  <c r="E43" i="32" s="1"/>
  <c r="AP52" i="59" a="1"/>
  <c r="AP52" i="59" s="1"/>
  <c r="E53" i="50" s="1"/>
  <c r="X110" i="57" l="1"/>
  <c r="AB110" i="57" s="1"/>
  <c r="AG112" i="57"/>
  <c r="AF109" i="57"/>
  <c r="AA109" i="57"/>
  <c r="Q111" i="57"/>
  <c r="T111" i="57" s="1"/>
  <c r="M113" i="53"/>
  <c r="AC113" i="53" s="1"/>
  <c r="O113" i="53"/>
  <c r="AP97" i="69"/>
  <c r="N97" i="69"/>
  <c r="U97" i="69" s="1"/>
  <c r="AJ111" i="57"/>
  <c r="R111" i="57"/>
  <c r="AD111" i="57"/>
  <c r="AC111" i="57"/>
  <c r="AE111" i="57"/>
  <c r="AQ111" i="57"/>
  <c r="M112" i="57"/>
  <c r="AK112" i="57" s="1"/>
  <c r="Q52" i="50"/>
  <c r="P52" i="50" s="1"/>
  <c r="N113" i="53"/>
  <c r="T43" i="32"/>
  <c r="O43" i="32"/>
  <c r="O53" i="50"/>
  <c r="T53" i="50"/>
  <c r="AA111" i="53"/>
  <c r="AB111" i="53"/>
  <c r="AP47" i="50"/>
  <c r="AK48" i="50"/>
  <c r="AL48" i="50" s="1"/>
  <c r="AG48" i="50"/>
  <c r="AH48" i="50" s="1"/>
  <c r="AI48" i="50" s="1"/>
  <c r="C51" i="50"/>
  <c r="AJ51" i="50"/>
  <c r="S52" i="50"/>
  <c r="Z52" i="50" s="1"/>
  <c r="W51" i="50"/>
  <c r="X50" i="50"/>
  <c r="AD50" i="50" s="1"/>
  <c r="V51" i="50"/>
  <c r="AF96" i="69"/>
  <c r="Q96" i="69"/>
  <c r="O113" i="57"/>
  <c r="P113" i="57"/>
  <c r="AM49" i="50"/>
  <c r="AC94" i="69"/>
  <c r="AD94" i="69" s="1"/>
  <c r="AB95" i="69"/>
  <c r="AG95" i="69"/>
  <c r="AO97" i="69"/>
  <c r="O98" i="69"/>
  <c r="AE112" i="53"/>
  <c r="AF111" i="53"/>
  <c r="AK43" i="32"/>
  <c r="R112" i="53"/>
  <c r="X112" i="53" s="1"/>
  <c r="AY96" i="69"/>
  <c r="L113" i="57"/>
  <c r="AH112" i="53"/>
  <c r="AT112" i="53"/>
  <c r="AG112" i="53"/>
  <c r="N113" i="57"/>
  <c r="E113" i="53"/>
  <c r="AH96" i="69"/>
  <c r="AD112" i="53"/>
  <c r="Q112" i="53"/>
  <c r="H113" i="53"/>
  <c r="F113" i="53"/>
  <c r="D113" i="53"/>
  <c r="P113" i="53"/>
  <c r="AK112" i="52" a="1"/>
  <c r="AK112" i="52" s="1"/>
  <c r="B114" i="53" s="1"/>
  <c r="I113" i="53"/>
  <c r="K113" i="53"/>
  <c r="L113" i="53"/>
  <c r="C113" i="53"/>
  <c r="J113" i="53"/>
  <c r="G113" i="53"/>
  <c r="B53" i="50"/>
  <c r="R53" i="50" s="1"/>
  <c r="I53" i="50"/>
  <c r="H53" i="50"/>
  <c r="A53" i="50"/>
  <c r="G53" i="50"/>
  <c r="K53" i="50"/>
  <c r="J53" i="50"/>
  <c r="L53" i="50"/>
  <c r="N53" i="50"/>
  <c r="F53" i="50"/>
  <c r="U53" i="50" s="1"/>
  <c r="M53" i="50"/>
  <c r="D113" i="57"/>
  <c r="C113" i="57"/>
  <c r="K113" i="57"/>
  <c r="I113" i="57"/>
  <c r="E113" i="57"/>
  <c r="H113" i="57"/>
  <c r="G113" i="57"/>
  <c r="F113" i="57"/>
  <c r="J113" i="57"/>
  <c r="AN112" i="55" a="1"/>
  <c r="AN112" i="55" s="1"/>
  <c r="B114" i="57" s="1"/>
  <c r="AR98" i="67" a="1"/>
  <c r="AR98" i="67" s="1"/>
  <c r="B99" i="69"/>
  <c r="L99" i="69" s="1"/>
  <c r="AE96" i="69"/>
  <c r="R96" i="69"/>
  <c r="S96" i="69" s="1"/>
  <c r="Y96" i="69" s="1"/>
  <c r="C98" i="69"/>
  <c r="P98" i="69" s="1"/>
  <c r="D97" i="69"/>
  <c r="E97" i="69" s="1"/>
  <c r="F97" i="69" s="1"/>
  <c r="G97" i="69" s="1"/>
  <c r="H97" i="69" s="1"/>
  <c r="I97" i="69" s="1"/>
  <c r="J97" i="69" s="1"/>
  <c r="K97" i="69" s="1"/>
  <c r="M97" i="69" s="1"/>
  <c r="AL43" i="11" a="1"/>
  <c r="AL43" i="11" s="1"/>
  <c r="E44" i="32" s="1"/>
  <c r="AP53" i="59" a="1"/>
  <c r="AP53" i="59" s="1"/>
  <c r="E54" i="50" s="1"/>
  <c r="AG113" i="57" l="1"/>
  <c r="X111" i="57"/>
  <c r="AB111" i="57" s="1"/>
  <c r="M114" i="53"/>
  <c r="AC114" i="53" s="1"/>
  <c r="O114" i="53"/>
  <c r="AP98" i="69"/>
  <c r="N98" i="69"/>
  <c r="U98" i="69" s="1"/>
  <c r="AF110" i="57"/>
  <c r="AA110" i="57"/>
  <c r="AQ112" i="57"/>
  <c r="AE112" i="57"/>
  <c r="AD112" i="57"/>
  <c r="AJ112" i="57"/>
  <c r="R112" i="57"/>
  <c r="Q112" i="57"/>
  <c r="T112" i="57" s="1"/>
  <c r="AC112" i="57"/>
  <c r="M113" i="57"/>
  <c r="AK113" i="57" s="1"/>
  <c r="Q53" i="50"/>
  <c r="P53" i="50" s="1"/>
  <c r="N114" i="53"/>
  <c r="O44" i="32"/>
  <c r="T44" i="32"/>
  <c r="T54" i="50"/>
  <c r="O54" i="50"/>
  <c r="AA112" i="53"/>
  <c r="AB112" i="53"/>
  <c r="AP48" i="50"/>
  <c r="AK50" i="50"/>
  <c r="AL50" i="50" s="1"/>
  <c r="AG50" i="50"/>
  <c r="AH50" i="50" s="1"/>
  <c r="AI50" i="50" s="1"/>
  <c r="AK49" i="50"/>
  <c r="AL49" i="50" s="1"/>
  <c r="AG49" i="50"/>
  <c r="AH49" i="50" s="1"/>
  <c r="AI49" i="50" s="1"/>
  <c r="AJ52" i="50"/>
  <c r="C52" i="50"/>
  <c r="S53" i="50"/>
  <c r="Z53" i="50" s="1"/>
  <c r="W52" i="50"/>
  <c r="X51" i="50"/>
  <c r="AD51" i="50" s="1"/>
  <c r="V52" i="50"/>
  <c r="AF97" i="69"/>
  <c r="Q97" i="69"/>
  <c r="O114" i="57"/>
  <c r="P114" i="57"/>
  <c r="AM50" i="50"/>
  <c r="AC95" i="69"/>
  <c r="AD95" i="69" s="1"/>
  <c r="AB96" i="69"/>
  <c r="AG96" i="69"/>
  <c r="O99" i="69"/>
  <c r="AO98" i="69"/>
  <c r="AK54" i="50"/>
  <c r="AE113" i="53"/>
  <c r="AF112" i="53"/>
  <c r="AK44" i="32"/>
  <c r="R113" i="53"/>
  <c r="X113" i="53" s="1"/>
  <c r="AY97" i="69"/>
  <c r="L114" i="57"/>
  <c r="AH113" i="53"/>
  <c r="AT113" i="53"/>
  <c r="AG113" i="53"/>
  <c r="N114" i="57"/>
  <c r="G114" i="53"/>
  <c r="AH97" i="69"/>
  <c r="AD113" i="53"/>
  <c r="Q113" i="53"/>
  <c r="F114" i="53"/>
  <c r="L114" i="53"/>
  <c r="H114" i="53"/>
  <c r="E114" i="53"/>
  <c r="I114" i="53"/>
  <c r="P114" i="53"/>
  <c r="AK113" i="52" a="1"/>
  <c r="AK113" i="52" s="1"/>
  <c r="B115" i="53" s="1"/>
  <c r="C114" i="53"/>
  <c r="J114" i="53"/>
  <c r="K114" i="53"/>
  <c r="D114" i="53"/>
  <c r="F54" i="50"/>
  <c r="U54" i="50" s="1"/>
  <c r="G54" i="50"/>
  <c r="H54" i="50"/>
  <c r="L54" i="50"/>
  <c r="J54" i="50"/>
  <c r="K54" i="50"/>
  <c r="M54" i="50"/>
  <c r="A54" i="50"/>
  <c r="I54" i="50"/>
  <c r="B54" i="50"/>
  <c r="R54" i="50" s="1"/>
  <c r="N54" i="50"/>
  <c r="E114" i="57"/>
  <c r="C114" i="57"/>
  <c r="G114" i="57"/>
  <c r="I114" i="57"/>
  <c r="K114" i="57"/>
  <c r="F114" i="57"/>
  <c r="J114" i="57"/>
  <c r="D114" i="57"/>
  <c r="H114" i="57"/>
  <c r="AN113" i="55" a="1"/>
  <c r="AN113" i="55" s="1"/>
  <c r="B115" i="57" s="1"/>
  <c r="C99" i="69"/>
  <c r="P99" i="69" s="1"/>
  <c r="D98" i="69"/>
  <c r="E98" i="69" s="1"/>
  <c r="F98" i="69" s="1"/>
  <c r="G98" i="69" s="1"/>
  <c r="H98" i="69" s="1"/>
  <c r="I98" i="69" s="1"/>
  <c r="J98" i="69" s="1"/>
  <c r="K98" i="69" s="1"/>
  <c r="M98" i="69" s="1"/>
  <c r="R97" i="69"/>
  <c r="S97" i="69" s="1"/>
  <c r="AE97" i="69"/>
  <c r="AR99" i="67" a="1"/>
  <c r="AR99" i="67" s="1"/>
  <c r="B100" i="69"/>
  <c r="L100" i="69" s="1"/>
  <c r="AL44" i="11" a="1"/>
  <c r="AL44" i="11" s="1"/>
  <c r="E45" i="32" s="1"/>
  <c r="AP54" i="59" a="1"/>
  <c r="AP54" i="59" s="1"/>
  <c r="E55" i="50" s="1"/>
  <c r="AA111" i="57" l="1"/>
  <c r="Y97" i="69"/>
  <c r="AB97" i="69" s="1"/>
  <c r="AC97" i="69" s="1"/>
  <c r="AD97" i="69" s="1"/>
  <c r="AG114" i="57"/>
  <c r="X112" i="57"/>
  <c r="AB112" i="57" s="1"/>
  <c r="AF111" i="57"/>
  <c r="M115" i="53"/>
  <c r="AC115" i="53" s="1"/>
  <c r="O115" i="53"/>
  <c r="AP99" i="69"/>
  <c r="N99" i="69"/>
  <c r="U99" i="69" s="1"/>
  <c r="AJ113" i="57"/>
  <c r="R113" i="57"/>
  <c r="AD113" i="57"/>
  <c r="AE113" i="57"/>
  <c r="Q113" i="57"/>
  <c r="T113" i="57" s="1"/>
  <c r="AC113" i="57"/>
  <c r="AQ113" i="57"/>
  <c r="M114" i="57"/>
  <c r="AK114" i="57" s="1"/>
  <c r="Q54" i="50"/>
  <c r="P54" i="50" s="1"/>
  <c r="N115" i="53"/>
  <c r="O45" i="32"/>
  <c r="T45" i="32"/>
  <c r="T55" i="50"/>
  <c r="O55" i="50"/>
  <c r="AA113" i="53"/>
  <c r="AB113" i="53"/>
  <c r="AP50" i="50"/>
  <c r="AP49" i="50"/>
  <c r="AK51" i="50"/>
  <c r="AL51" i="50" s="1"/>
  <c r="AG51" i="50"/>
  <c r="AH51" i="50" s="1"/>
  <c r="AI51" i="50" s="1"/>
  <c r="AJ53" i="50"/>
  <c r="C53" i="50"/>
  <c r="S54" i="50"/>
  <c r="W53" i="50"/>
  <c r="X52" i="50"/>
  <c r="V53" i="50"/>
  <c r="AF98" i="69"/>
  <c r="Q98" i="69"/>
  <c r="O115" i="57"/>
  <c r="P115" i="57"/>
  <c r="AD52" i="50"/>
  <c r="AM51" i="50"/>
  <c r="AC96" i="69"/>
  <c r="AD96" i="69" s="1"/>
  <c r="O100" i="69"/>
  <c r="AO99" i="69"/>
  <c r="AK55" i="50"/>
  <c r="AF113" i="53"/>
  <c r="AE114" i="53"/>
  <c r="AK45" i="32"/>
  <c r="AM54" i="50"/>
  <c r="R114" i="53"/>
  <c r="X114" i="53" s="1"/>
  <c r="AY98" i="69"/>
  <c r="L115" i="57"/>
  <c r="AG114" i="53"/>
  <c r="AH114" i="53"/>
  <c r="AT114" i="53"/>
  <c r="N115" i="57"/>
  <c r="AH98" i="69"/>
  <c r="AD114" i="53"/>
  <c r="Q114" i="53"/>
  <c r="G115" i="53"/>
  <c r="H115" i="53"/>
  <c r="E115" i="53"/>
  <c r="I115" i="53"/>
  <c r="K115" i="53"/>
  <c r="L115" i="53"/>
  <c r="F115" i="53"/>
  <c r="P115" i="53"/>
  <c r="AK114" i="52" a="1"/>
  <c r="AK114" i="52" s="1"/>
  <c r="B116" i="53" s="1"/>
  <c r="J115" i="53"/>
  <c r="C115" i="53"/>
  <c r="D115" i="53"/>
  <c r="J55" i="50"/>
  <c r="M55" i="50"/>
  <c r="I55" i="50"/>
  <c r="N55" i="50"/>
  <c r="G55" i="50"/>
  <c r="F55" i="50"/>
  <c r="U55" i="50" s="1"/>
  <c r="K55" i="50"/>
  <c r="B55" i="50"/>
  <c r="R55" i="50" s="1"/>
  <c r="H55" i="50"/>
  <c r="L55" i="50"/>
  <c r="A55" i="50"/>
  <c r="E115" i="57"/>
  <c r="D115" i="57"/>
  <c r="C115" i="57"/>
  <c r="K115" i="57"/>
  <c r="G115" i="57"/>
  <c r="I115" i="57"/>
  <c r="H115" i="57"/>
  <c r="F115" i="57"/>
  <c r="J115" i="57"/>
  <c r="AN114" i="55" a="1"/>
  <c r="AN114" i="55" s="1"/>
  <c r="B116" i="57" s="1"/>
  <c r="AR100" i="67" a="1"/>
  <c r="AR100" i="67" s="1"/>
  <c r="B101" i="69"/>
  <c r="L101" i="69" s="1"/>
  <c r="D99" i="69"/>
  <c r="E99" i="69" s="1"/>
  <c r="F99" i="69" s="1"/>
  <c r="G99" i="69" s="1"/>
  <c r="H99" i="69" s="1"/>
  <c r="I99" i="69" s="1"/>
  <c r="J99" i="69" s="1"/>
  <c r="K99" i="69" s="1"/>
  <c r="M99" i="69" s="1"/>
  <c r="C100" i="69"/>
  <c r="P100" i="69" s="1"/>
  <c r="R98" i="69"/>
  <c r="S98" i="69" s="1"/>
  <c r="AE98" i="69"/>
  <c r="AL45" i="11" a="1"/>
  <c r="AL45" i="11" s="1"/>
  <c r="E46" i="32" s="1"/>
  <c r="AP55" i="59" a="1"/>
  <c r="AP55" i="59" s="1"/>
  <c r="E56" i="50" s="1"/>
  <c r="AG97" i="69" l="1"/>
  <c r="Y98" i="69"/>
  <c r="AB98" i="69" s="1"/>
  <c r="AC98" i="69" s="1"/>
  <c r="AD98" i="69" s="1"/>
  <c r="AD54" i="50"/>
  <c r="AG54" i="50" s="1"/>
  <c r="X113" i="57"/>
  <c r="AA113" i="57" s="1"/>
  <c r="AG115" i="57"/>
  <c r="M116" i="53"/>
  <c r="AC116" i="53" s="1"/>
  <c r="O116" i="53"/>
  <c r="AP100" i="69"/>
  <c r="N100" i="69"/>
  <c r="U100" i="69" s="1"/>
  <c r="AA112" i="57"/>
  <c r="AF112" i="57"/>
  <c r="AQ114" i="57"/>
  <c r="AJ114" i="57"/>
  <c r="R114" i="57"/>
  <c r="AE114" i="57"/>
  <c r="AC114" i="57"/>
  <c r="Q114" i="57"/>
  <c r="T114" i="57" s="1"/>
  <c r="AD114" i="57"/>
  <c r="M115" i="57"/>
  <c r="AK115" i="57" s="1"/>
  <c r="Q55" i="50"/>
  <c r="P55" i="50" s="1"/>
  <c r="N116" i="53"/>
  <c r="T46" i="32"/>
  <c r="O46" i="32"/>
  <c r="O56" i="50"/>
  <c r="T56" i="50"/>
  <c r="AA114" i="53"/>
  <c r="AB114" i="53"/>
  <c r="AP51" i="50"/>
  <c r="C54" i="50"/>
  <c r="Z54" i="50"/>
  <c r="S55" i="50"/>
  <c r="Z55" i="50" s="1"/>
  <c r="AJ54" i="50"/>
  <c r="W54" i="50"/>
  <c r="X53" i="50"/>
  <c r="AD53" i="50" s="1"/>
  <c r="V54" i="50"/>
  <c r="AF99" i="69"/>
  <c r="Q99" i="69"/>
  <c r="O116" i="57"/>
  <c r="P116" i="57"/>
  <c r="AM52" i="50"/>
  <c r="AO100" i="69"/>
  <c r="O101" i="69"/>
  <c r="AK56" i="50"/>
  <c r="AE115" i="53"/>
  <c r="AF114" i="53"/>
  <c r="AK46" i="32"/>
  <c r="AM55" i="50"/>
  <c r="R115" i="53"/>
  <c r="X115" i="53" s="1"/>
  <c r="AY99" i="69"/>
  <c r="L116" i="57"/>
  <c r="AG115" i="53"/>
  <c r="AH115" i="53"/>
  <c r="AT115" i="53"/>
  <c r="N116" i="57"/>
  <c r="G116" i="53"/>
  <c r="AH99" i="69"/>
  <c r="AD115" i="53"/>
  <c r="Q115" i="53"/>
  <c r="P116" i="53"/>
  <c r="F116" i="53"/>
  <c r="C116" i="53"/>
  <c r="K116" i="53"/>
  <c r="AK115" i="52" a="1"/>
  <c r="AK115" i="52" s="1"/>
  <c r="B117" i="53" s="1"/>
  <c r="H116" i="53"/>
  <c r="E116" i="53"/>
  <c r="L116" i="53"/>
  <c r="J116" i="53"/>
  <c r="I116" i="53"/>
  <c r="D116" i="53"/>
  <c r="F56" i="50"/>
  <c r="U56" i="50" s="1"/>
  <c r="L56" i="50"/>
  <c r="B56" i="50"/>
  <c r="R56" i="50" s="1"/>
  <c r="J56" i="50"/>
  <c r="M56" i="50"/>
  <c r="I56" i="50"/>
  <c r="H56" i="50"/>
  <c r="N56" i="50"/>
  <c r="G56" i="50"/>
  <c r="K56" i="50"/>
  <c r="A56" i="50"/>
  <c r="G116" i="57"/>
  <c r="E116" i="57"/>
  <c r="C116" i="57"/>
  <c r="I116" i="57"/>
  <c r="K116" i="57"/>
  <c r="J116" i="57"/>
  <c r="F116" i="57"/>
  <c r="D116" i="57"/>
  <c r="H116" i="57"/>
  <c r="AN115" i="55" a="1"/>
  <c r="AN115" i="55" s="1"/>
  <c r="B117" i="57" s="1"/>
  <c r="R99" i="69"/>
  <c r="S99" i="69" s="1"/>
  <c r="Y99" i="69" s="1"/>
  <c r="AE99" i="69"/>
  <c r="C101" i="69"/>
  <c r="P101" i="69" s="1"/>
  <c r="D100" i="69"/>
  <c r="E100" i="69" s="1"/>
  <c r="F100" i="69" s="1"/>
  <c r="G100" i="69" s="1"/>
  <c r="H100" i="69" s="1"/>
  <c r="I100" i="69" s="1"/>
  <c r="J100" i="69" s="1"/>
  <c r="K100" i="69" s="1"/>
  <c r="M100" i="69" s="1"/>
  <c r="AR101" i="67" a="1"/>
  <c r="AR101" i="67" s="1"/>
  <c r="B102" i="69"/>
  <c r="L102" i="69" s="1"/>
  <c r="AL46" i="11" a="1"/>
  <c r="AL46" i="11" s="1"/>
  <c r="E47" i="32" s="1"/>
  <c r="AP56" i="59" a="1"/>
  <c r="AP56" i="59" s="1"/>
  <c r="E57" i="50" s="1"/>
  <c r="AG98" i="69" l="1"/>
  <c r="AD55" i="50"/>
  <c r="AG55" i="50" s="1"/>
  <c r="X114" i="57"/>
  <c r="AB114" i="57" s="1"/>
  <c r="AG116" i="57"/>
  <c r="AF113" i="57"/>
  <c r="AB113" i="57"/>
  <c r="M117" i="53"/>
  <c r="AC117" i="53" s="1"/>
  <c r="O117" i="53"/>
  <c r="AP101" i="69"/>
  <c r="N101" i="69"/>
  <c r="U101" i="69" s="1"/>
  <c r="AE115" i="57"/>
  <c r="AQ115" i="57"/>
  <c r="AD115" i="57"/>
  <c r="Q115" i="57"/>
  <c r="T115" i="57" s="1"/>
  <c r="AJ115" i="57"/>
  <c r="R115" i="57"/>
  <c r="AC115" i="57"/>
  <c r="M116" i="57"/>
  <c r="AK116" i="57" s="1"/>
  <c r="Q56" i="50"/>
  <c r="P56" i="50" s="1"/>
  <c r="N117" i="53"/>
  <c r="T47" i="32"/>
  <c r="O47" i="32"/>
  <c r="O57" i="50"/>
  <c r="T57" i="50"/>
  <c r="AA115" i="53"/>
  <c r="AB115" i="53"/>
  <c r="AK52" i="50"/>
  <c r="AL52" i="50" s="1"/>
  <c r="AG52" i="50"/>
  <c r="AH52" i="50" s="1"/>
  <c r="AI52" i="50" s="1"/>
  <c r="AK53" i="50"/>
  <c r="AL53" i="50" s="1"/>
  <c r="AG53" i="50"/>
  <c r="AH53" i="50" s="1"/>
  <c r="AI53" i="50" s="1"/>
  <c r="AJ55" i="50"/>
  <c r="C55" i="50"/>
  <c r="S56" i="50"/>
  <c r="Z56" i="50" s="1"/>
  <c r="W55" i="50"/>
  <c r="X54" i="50"/>
  <c r="V55" i="50"/>
  <c r="AF100" i="69"/>
  <c r="Q100" i="69"/>
  <c r="O117" i="57"/>
  <c r="P117" i="57"/>
  <c r="AM53" i="50"/>
  <c r="AH54" i="50"/>
  <c r="AI54" i="50" s="1"/>
  <c r="AB99" i="69"/>
  <c r="AG99" i="69"/>
  <c r="AO101" i="69"/>
  <c r="O102" i="69"/>
  <c r="AK57" i="50"/>
  <c r="AF115" i="53"/>
  <c r="AE116" i="53"/>
  <c r="AK47" i="32"/>
  <c r="AM56" i="50"/>
  <c r="R116" i="53"/>
  <c r="X116" i="53" s="1"/>
  <c r="AL54" i="50"/>
  <c r="AY100" i="69"/>
  <c r="L117" i="57"/>
  <c r="AH116" i="53"/>
  <c r="AT116" i="53"/>
  <c r="AG116" i="53"/>
  <c r="N117" i="57"/>
  <c r="L117" i="53"/>
  <c r="AH100" i="69"/>
  <c r="AD116" i="53"/>
  <c r="Q116" i="53"/>
  <c r="AK116" i="52" a="1"/>
  <c r="AK116" i="52" s="1"/>
  <c r="B118" i="53" s="1"/>
  <c r="K117" i="53"/>
  <c r="P117" i="53"/>
  <c r="D117" i="53"/>
  <c r="G117" i="53"/>
  <c r="E117" i="53"/>
  <c r="J117" i="53"/>
  <c r="H117" i="53"/>
  <c r="C117" i="53"/>
  <c r="I117" i="53"/>
  <c r="F117" i="53"/>
  <c r="M57" i="50"/>
  <c r="J57" i="50"/>
  <c r="G57" i="50"/>
  <c r="L57" i="50"/>
  <c r="H57" i="50"/>
  <c r="I57" i="50"/>
  <c r="K57" i="50"/>
  <c r="B57" i="50"/>
  <c r="R57" i="50" s="1"/>
  <c r="F57" i="50"/>
  <c r="U57" i="50" s="1"/>
  <c r="A57" i="50"/>
  <c r="N57" i="50"/>
  <c r="G117" i="57"/>
  <c r="E117" i="57"/>
  <c r="D117" i="57"/>
  <c r="C117" i="57"/>
  <c r="H117" i="57"/>
  <c r="K117" i="57"/>
  <c r="I117" i="57"/>
  <c r="F117" i="57"/>
  <c r="J117" i="57"/>
  <c r="AN116" i="55" a="1"/>
  <c r="AN116" i="55" s="1"/>
  <c r="B118" i="57" s="1"/>
  <c r="C102" i="69"/>
  <c r="P102" i="69" s="1"/>
  <c r="AE100" i="69"/>
  <c r="R100" i="69"/>
  <c r="S100" i="69" s="1"/>
  <c r="AR102" i="67" a="1"/>
  <c r="AR102" i="67" s="1"/>
  <c r="B103" i="69"/>
  <c r="L103" i="69" s="1"/>
  <c r="D101" i="69"/>
  <c r="E101" i="69" s="1"/>
  <c r="F101" i="69" s="1"/>
  <c r="G101" i="69" s="1"/>
  <c r="H101" i="69" s="1"/>
  <c r="I101" i="69" s="1"/>
  <c r="J101" i="69" s="1"/>
  <c r="K101" i="69" s="1"/>
  <c r="M101" i="69" s="1"/>
  <c r="AL47" i="11" a="1"/>
  <c r="AL47" i="11" s="1"/>
  <c r="E48" i="32" s="1"/>
  <c r="AP57" i="59" a="1"/>
  <c r="AP57" i="59" s="1"/>
  <c r="E58" i="50" s="1"/>
  <c r="Y100" i="69" l="1"/>
  <c r="AB100" i="69" s="1"/>
  <c r="AC100" i="69" s="1"/>
  <c r="AD100" i="69" s="1"/>
  <c r="AD56" i="50"/>
  <c r="AG56" i="50" s="1"/>
  <c r="AG117" i="57"/>
  <c r="X115" i="57"/>
  <c r="AB115" i="57" s="1"/>
  <c r="AF114" i="57"/>
  <c r="AA114" i="57"/>
  <c r="AJ116" i="57"/>
  <c r="M118" i="53"/>
  <c r="AC118" i="53" s="1"/>
  <c r="O118" i="53"/>
  <c r="AP102" i="69"/>
  <c r="N102" i="69"/>
  <c r="U102" i="69" s="1"/>
  <c r="AD116" i="57"/>
  <c r="AQ116" i="57"/>
  <c r="Q116" i="57"/>
  <c r="T116" i="57" s="1"/>
  <c r="R116" i="57"/>
  <c r="AE116" i="57"/>
  <c r="AC116" i="57"/>
  <c r="M117" i="57"/>
  <c r="AE117" i="57" s="1"/>
  <c r="Q57" i="50"/>
  <c r="P57" i="50" s="1"/>
  <c r="N118" i="53"/>
  <c r="O48" i="32"/>
  <c r="T48" i="32"/>
  <c r="T58" i="50"/>
  <c r="O58" i="50"/>
  <c r="AA116" i="53"/>
  <c r="AB116" i="53"/>
  <c r="AP54" i="50"/>
  <c r="AP53" i="50"/>
  <c r="AP52" i="50"/>
  <c r="S57" i="50"/>
  <c r="Z57" i="50" s="1"/>
  <c r="AJ56" i="50"/>
  <c r="C56" i="50"/>
  <c r="W56" i="50"/>
  <c r="X55" i="50"/>
  <c r="V56" i="50"/>
  <c r="AF101" i="69"/>
  <c r="Q101" i="69"/>
  <c r="O118" i="57"/>
  <c r="P118" i="57"/>
  <c r="AC99" i="69"/>
  <c r="AD99" i="69" s="1"/>
  <c r="AH55" i="50"/>
  <c r="AI55" i="50" s="1"/>
  <c r="O103" i="69"/>
  <c r="AO102" i="69"/>
  <c r="AK58" i="50"/>
  <c r="AE117" i="53"/>
  <c r="AF116" i="53"/>
  <c r="AK48" i="32"/>
  <c r="AM57" i="50"/>
  <c r="R117" i="53"/>
  <c r="X117" i="53" s="1"/>
  <c r="AL55" i="50"/>
  <c r="AY101" i="69"/>
  <c r="L118" i="57"/>
  <c r="AH117" i="53"/>
  <c r="AT117" i="53"/>
  <c r="AG117" i="53"/>
  <c r="N118" i="57"/>
  <c r="AH101" i="69"/>
  <c r="AD117" i="53"/>
  <c r="Q117" i="53"/>
  <c r="L118" i="53"/>
  <c r="J118" i="53"/>
  <c r="E118" i="53"/>
  <c r="G118" i="53"/>
  <c r="C118" i="53"/>
  <c r="AK117" i="52" a="1"/>
  <c r="AK117" i="52" s="1"/>
  <c r="B119" i="53" s="1"/>
  <c r="P118" i="53"/>
  <c r="K118" i="53"/>
  <c r="D118" i="53"/>
  <c r="F118" i="53"/>
  <c r="H118" i="53"/>
  <c r="I118" i="53"/>
  <c r="I58" i="50"/>
  <c r="J58" i="50"/>
  <c r="K58" i="50"/>
  <c r="M58" i="50"/>
  <c r="L58" i="50"/>
  <c r="N58" i="50"/>
  <c r="G58" i="50"/>
  <c r="F58" i="50"/>
  <c r="U58" i="50" s="1"/>
  <c r="A58" i="50"/>
  <c r="H58" i="50"/>
  <c r="B58" i="50"/>
  <c r="R58" i="50" s="1"/>
  <c r="I118" i="57"/>
  <c r="G118" i="57"/>
  <c r="E118" i="57"/>
  <c r="C118" i="57"/>
  <c r="K118" i="57"/>
  <c r="F118" i="57"/>
  <c r="J118" i="57"/>
  <c r="D118" i="57"/>
  <c r="H118" i="57"/>
  <c r="AN117" i="55" a="1"/>
  <c r="AN117" i="55" s="1"/>
  <c r="B119" i="57" s="1"/>
  <c r="C103" i="69"/>
  <c r="P103" i="69" s="1"/>
  <c r="R101" i="69"/>
  <c r="S101" i="69" s="1"/>
  <c r="Y101" i="69" s="1"/>
  <c r="AE101" i="69"/>
  <c r="AR103" i="67" a="1"/>
  <c r="AR103" i="67" s="1"/>
  <c r="B104" i="69"/>
  <c r="L104" i="69" s="1"/>
  <c r="D102" i="69"/>
  <c r="E102" i="69" s="1"/>
  <c r="F102" i="69" s="1"/>
  <c r="G102" i="69" s="1"/>
  <c r="H102" i="69" s="1"/>
  <c r="I102" i="69" s="1"/>
  <c r="J102" i="69" s="1"/>
  <c r="K102" i="69" s="1"/>
  <c r="M102" i="69" s="1"/>
  <c r="AL48" i="11" a="1"/>
  <c r="AL48" i="11" s="1"/>
  <c r="E49" i="32" s="1"/>
  <c r="AP58" i="59" a="1"/>
  <c r="AP58" i="59" s="1"/>
  <c r="E59" i="50" s="1"/>
  <c r="X116" i="57" l="1"/>
  <c r="AB116" i="57" s="1"/>
  <c r="AG100" i="69"/>
  <c r="AD57" i="50"/>
  <c r="AG57" i="50" s="1"/>
  <c r="AG118" i="57"/>
  <c r="M119" i="53"/>
  <c r="AC119" i="53" s="1"/>
  <c r="O119" i="53"/>
  <c r="AP103" i="69"/>
  <c r="N103" i="69"/>
  <c r="U103" i="69" s="1"/>
  <c r="AQ117" i="57"/>
  <c r="AD117" i="57"/>
  <c r="AC117" i="57"/>
  <c r="AJ117" i="57"/>
  <c r="AF115" i="57"/>
  <c r="AA115" i="57"/>
  <c r="M118" i="57"/>
  <c r="AK118" i="57" s="1"/>
  <c r="AK117" i="57"/>
  <c r="Q117" i="57"/>
  <c r="T117" i="57" s="1"/>
  <c r="R117" i="57"/>
  <c r="Q58" i="50"/>
  <c r="P58" i="50" s="1"/>
  <c r="N119" i="53"/>
  <c r="O49" i="32"/>
  <c r="T49" i="32"/>
  <c r="T59" i="50"/>
  <c r="O59" i="50"/>
  <c r="AA117" i="53"/>
  <c r="AB117" i="53"/>
  <c r="AP55" i="50"/>
  <c r="C57" i="50"/>
  <c r="AJ57" i="50"/>
  <c r="S58" i="50"/>
  <c r="W57" i="50"/>
  <c r="X56" i="50"/>
  <c r="V57" i="50"/>
  <c r="AF102" i="69"/>
  <c r="Q102" i="69"/>
  <c r="O119" i="57"/>
  <c r="P119" i="57"/>
  <c r="AH56" i="50"/>
  <c r="AI56" i="50" s="1"/>
  <c r="AB101" i="69"/>
  <c r="AG101" i="69"/>
  <c r="AO103" i="69"/>
  <c r="O104" i="69"/>
  <c r="AK59" i="50"/>
  <c r="AF117" i="53"/>
  <c r="AE118" i="53"/>
  <c r="AK49" i="32"/>
  <c r="AM58" i="50"/>
  <c r="R118" i="53"/>
  <c r="X118" i="53" s="1"/>
  <c r="AL56" i="50"/>
  <c r="AY102" i="69"/>
  <c r="L119" i="57"/>
  <c r="AH118" i="53"/>
  <c r="AT118" i="53"/>
  <c r="AG118" i="53"/>
  <c r="N119" i="57"/>
  <c r="Q118" i="53"/>
  <c r="AD118" i="53"/>
  <c r="AH102" i="69"/>
  <c r="AK118" i="52" a="1"/>
  <c r="AK118" i="52" s="1"/>
  <c r="B120" i="53" s="1"/>
  <c r="G119" i="53"/>
  <c r="E119" i="53"/>
  <c r="F119" i="53"/>
  <c r="K119" i="53"/>
  <c r="H119" i="53"/>
  <c r="I119" i="53"/>
  <c r="C119" i="53"/>
  <c r="P119" i="53"/>
  <c r="D119" i="53"/>
  <c r="L119" i="53"/>
  <c r="J119" i="53"/>
  <c r="F59" i="50"/>
  <c r="U59" i="50" s="1"/>
  <c r="M59" i="50"/>
  <c r="I59" i="50"/>
  <c r="K59" i="50"/>
  <c r="A59" i="50"/>
  <c r="J59" i="50"/>
  <c r="L59" i="50"/>
  <c r="B59" i="50"/>
  <c r="R59" i="50" s="1"/>
  <c r="H59" i="50"/>
  <c r="G59" i="50"/>
  <c r="N59" i="50"/>
  <c r="H119" i="57"/>
  <c r="G119" i="57"/>
  <c r="E119" i="57"/>
  <c r="D119" i="57"/>
  <c r="C119" i="57"/>
  <c r="I119" i="57"/>
  <c r="K119" i="57"/>
  <c r="F119" i="57"/>
  <c r="J119" i="57"/>
  <c r="AN118" i="55" a="1"/>
  <c r="AN118" i="55" s="1"/>
  <c r="B120" i="57" s="1"/>
  <c r="R102" i="69"/>
  <c r="S102" i="69" s="1"/>
  <c r="Y102" i="69" s="1"/>
  <c r="AE102" i="69"/>
  <c r="C104" i="69"/>
  <c r="P104" i="69" s="1"/>
  <c r="AR104" i="67" a="1"/>
  <c r="AR104" i="67" s="1"/>
  <c r="B105" i="69"/>
  <c r="L105" i="69" s="1"/>
  <c r="D103" i="69"/>
  <c r="E103" i="69" s="1"/>
  <c r="F103" i="69" s="1"/>
  <c r="G103" i="69" s="1"/>
  <c r="H103" i="69" s="1"/>
  <c r="I103" i="69" s="1"/>
  <c r="J103" i="69" s="1"/>
  <c r="K103" i="69" s="1"/>
  <c r="M103" i="69" s="1"/>
  <c r="AL49" i="11" a="1"/>
  <c r="AL49" i="11" s="1"/>
  <c r="E50" i="32" s="1"/>
  <c r="AP59" i="59" a="1"/>
  <c r="AP59" i="59" s="1"/>
  <c r="E60" i="50" s="1"/>
  <c r="AD58" i="50" l="1"/>
  <c r="AG58" i="50" s="1"/>
  <c r="X117" i="57"/>
  <c r="AA117" i="57" s="1"/>
  <c r="AG119" i="57"/>
  <c r="M120" i="53"/>
  <c r="AC120" i="53" s="1"/>
  <c r="O120" i="53"/>
  <c r="AP104" i="69"/>
  <c r="N104" i="69"/>
  <c r="U104" i="69" s="1"/>
  <c r="AA116" i="57"/>
  <c r="R118" i="57"/>
  <c r="AC118" i="57"/>
  <c r="AF116" i="57"/>
  <c r="AE118" i="57"/>
  <c r="Q118" i="57"/>
  <c r="T118" i="57" s="1"/>
  <c r="AJ118" i="57"/>
  <c r="AD118" i="57"/>
  <c r="AQ118" i="57"/>
  <c r="M119" i="57"/>
  <c r="AK119" i="57" s="1"/>
  <c r="Q59" i="50"/>
  <c r="P59" i="50" s="1"/>
  <c r="N120" i="53"/>
  <c r="T50" i="32"/>
  <c r="O50" i="32"/>
  <c r="O60" i="50"/>
  <c r="T60" i="50"/>
  <c r="AA118" i="53"/>
  <c r="AB118" i="53"/>
  <c r="AP56" i="50"/>
  <c r="AJ58" i="50"/>
  <c r="Z58" i="50"/>
  <c r="S59" i="50"/>
  <c r="Z59" i="50" s="1"/>
  <c r="C58" i="50"/>
  <c r="W58" i="50"/>
  <c r="X57" i="50"/>
  <c r="V58" i="50"/>
  <c r="AF103" i="69"/>
  <c r="Q103" i="69"/>
  <c r="O120" i="57"/>
  <c r="P120" i="57"/>
  <c r="AC101" i="69"/>
  <c r="AD101" i="69" s="1"/>
  <c r="AH57" i="50"/>
  <c r="AI57" i="50" s="1"/>
  <c r="AB102" i="69"/>
  <c r="AG102" i="69"/>
  <c r="AO104" i="69"/>
  <c r="O105" i="69"/>
  <c r="AK60" i="50"/>
  <c r="AE119" i="53"/>
  <c r="AF118" i="53"/>
  <c r="AK50" i="32"/>
  <c r="AM59" i="50"/>
  <c r="R119" i="53"/>
  <c r="X119" i="53" s="1"/>
  <c r="AL57" i="50"/>
  <c r="AY103" i="69"/>
  <c r="L120" i="57"/>
  <c r="AG119" i="53"/>
  <c r="AH119" i="53"/>
  <c r="AT119" i="53"/>
  <c r="N120" i="57"/>
  <c r="AH103" i="69"/>
  <c r="AD119" i="53"/>
  <c r="Q119" i="53"/>
  <c r="AK119" i="52" a="1"/>
  <c r="AK119" i="52" s="1"/>
  <c r="B121" i="53" s="1"/>
  <c r="H120" i="53"/>
  <c r="J120" i="53"/>
  <c r="E120" i="53"/>
  <c r="D120" i="53"/>
  <c r="K120" i="53"/>
  <c r="G120" i="53"/>
  <c r="C120" i="53"/>
  <c r="P120" i="53"/>
  <c r="I120" i="53"/>
  <c r="L120" i="53"/>
  <c r="F120" i="53"/>
  <c r="H60" i="50"/>
  <c r="N60" i="50"/>
  <c r="B60" i="50"/>
  <c r="R60" i="50" s="1"/>
  <c r="M60" i="50"/>
  <c r="L60" i="50"/>
  <c r="F60" i="50"/>
  <c r="U60" i="50" s="1"/>
  <c r="I60" i="50"/>
  <c r="K60" i="50"/>
  <c r="J60" i="50"/>
  <c r="G60" i="50"/>
  <c r="A60" i="50"/>
  <c r="K120" i="57"/>
  <c r="I120" i="57"/>
  <c r="G120" i="57"/>
  <c r="E120" i="57"/>
  <c r="C120" i="57"/>
  <c r="F120" i="57"/>
  <c r="J120" i="57"/>
  <c r="H120" i="57"/>
  <c r="D120" i="57"/>
  <c r="AN119" i="55" a="1"/>
  <c r="AN119" i="55" s="1"/>
  <c r="B121" i="57" s="1"/>
  <c r="C105" i="69"/>
  <c r="P105" i="69" s="1"/>
  <c r="AR105" i="67" a="1"/>
  <c r="AR105" i="67" s="1"/>
  <c r="B106" i="69"/>
  <c r="L106" i="69" s="1"/>
  <c r="D104" i="69"/>
  <c r="E104" i="69" s="1"/>
  <c r="F104" i="69" s="1"/>
  <c r="G104" i="69" s="1"/>
  <c r="H104" i="69" s="1"/>
  <c r="I104" i="69" s="1"/>
  <c r="J104" i="69" s="1"/>
  <c r="K104" i="69" s="1"/>
  <c r="M104" i="69" s="1"/>
  <c r="AE103" i="69"/>
  <c r="R103" i="69"/>
  <c r="S103" i="69" s="1"/>
  <c r="Y103" i="69" s="1"/>
  <c r="AL50" i="11" a="1"/>
  <c r="AL50" i="11" s="1"/>
  <c r="E51" i="32" s="1"/>
  <c r="AP60" i="59" a="1"/>
  <c r="AP60" i="59" s="1"/>
  <c r="E61" i="50" s="1"/>
  <c r="AE119" i="57" l="1"/>
  <c r="R119" i="57"/>
  <c r="AB103" i="69"/>
  <c r="AC103" i="69" s="1"/>
  <c r="AD103" i="69" s="1"/>
  <c r="AD59" i="50"/>
  <c r="AG59" i="50" s="1"/>
  <c r="AG120" i="57"/>
  <c r="X118" i="57"/>
  <c r="AA118" i="57" s="1"/>
  <c r="M121" i="53"/>
  <c r="AC121" i="53" s="1"/>
  <c r="O121" i="53"/>
  <c r="AP105" i="69"/>
  <c r="N105" i="69"/>
  <c r="U105" i="69" s="1"/>
  <c r="Q119" i="57"/>
  <c r="T119" i="57" s="1"/>
  <c r="AD119" i="57"/>
  <c r="AQ119" i="57"/>
  <c r="AB117" i="57"/>
  <c r="AF117" i="57"/>
  <c r="AJ119" i="57"/>
  <c r="AC119" i="57"/>
  <c r="M120" i="57"/>
  <c r="AK120" i="57" s="1"/>
  <c r="Q60" i="50"/>
  <c r="P60" i="50" s="1"/>
  <c r="N121" i="53"/>
  <c r="T51" i="32"/>
  <c r="O51" i="32"/>
  <c r="O61" i="50"/>
  <c r="T61" i="50"/>
  <c r="AA119" i="53"/>
  <c r="AB119" i="53"/>
  <c r="AP57" i="50"/>
  <c r="AJ59" i="50"/>
  <c r="C59" i="50"/>
  <c r="S60" i="50"/>
  <c r="Z60" i="50" s="1"/>
  <c r="W59" i="50"/>
  <c r="X58" i="50"/>
  <c r="V59" i="50"/>
  <c r="AF104" i="69"/>
  <c r="Q104" i="69"/>
  <c r="O121" i="57"/>
  <c r="P121" i="57"/>
  <c r="AC102" i="69"/>
  <c r="AD102" i="69" s="1"/>
  <c r="AH58" i="50"/>
  <c r="AI58" i="50" s="1"/>
  <c r="AG103" i="69"/>
  <c r="AO105" i="69"/>
  <c r="O106" i="69"/>
  <c r="AK61" i="50"/>
  <c r="AE120" i="53"/>
  <c r="AF119" i="53"/>
  <c r="AK51" i="32"/>
  <c r="AM60" i="50"/>
  <c r="R120" i="53"/>
  <c r="X120" i="53" s="1"/>
  <c r="AL58" i="50"/>
  <c r="AY104" i="69"/>
  <c r="L121" i="57"/>
  <c r="AH120" i="53"/>
  <c r="AT120" i="53"/>
  <c r="AG120" i="53"/>
  <c r="N121" i="57"/>
  <c r="F121" i="53"/>
  <c r="AH104" i="69"/>
  <c r="Q120" i="53"/>
  <c r="AD120" i="53"/>
  <c r="P121" i="53"/>
  <c r="K121" i="53"/>
  <c r="L121" i="53"/>
  <c r="D121" i="53"/>
  <c r="J121" i="53"/>
  <c r="E121" i="53"/>
  <c r="I121" i="53"/>
  <c r="C121" i="53"/>
  <c r="AK120" i="52" a="1"/>
  <c r="AK120" i="52" s="1"/>
  <c r="B122" i="53" s="1"/>
  <c r="H121" i="53"/>
  <c r="G121" i="53"/>
  <c r="B61" i="50"/>
  <c r="R61" i="50" s="1"/>
  <c r="A61" i="50"/>
  <c r="H61" i="50"/>
  <c r="K61" i="50"/>
  <c r="M61" i="50"/>
  <c r="I61" i="50"/>
  <c r="G61" i="50"/>
  <c r="J61" i="50"/>
  <c r="L61" i="50"/>
  <c r="N61" i="50"/>
  <c r="F61" i="50"/>
  <c r="U61" i="50" s="1"/>
  <c r="I121" i="57"/>
  <c r="H121" i="57"/>
  <c r="G121" i="57"/>
  <c r="E121" i="57"/>
  <c r="D121" i="57"/>
  <c r="K121" i="57"/>
  <c r="C121" i="57"/>
  <c r="F121" i="57"/>
  <c r="J121" i="57"/>
  <c r="AN120" i="55" a="1"/>
  <c r="AN120" i="55" s="1"/>
  <c r="B122" i="57" s="1"/>
  <c r="AR106" i="67" a="1"/>
  <c r="AR106" i="67" s="1"/>
  <c r="B107" i="69"/>
  <c r="L107" i="69" s="1"/>
  <c r="D105" i="69"/>
  <c r="E105" i="69" s="1"/>
  <c r="F105" i="69" s="1"/>
  <c r="G105" i="69" s="1"/>
  <c r="H105" i="69" s="1"/>
  <c r="I105" i="69" s="1"/>
  <c r="J105" i="69" s="1"/>
  <c r="K105" i="69" s="1"/>
  <c r="M105" i="69" s="1"/>
  <c r="AE104" i="69"/>
  <c r="R104" i="69"/>
  <c r="S104" i="69" s="1"/>
  <c r="Y104" i="69" s="1"/>
  <c r="C106" i="69"/>
  <c r="P106" i="69" s="1"/>
  <c r="AL51" i="11" a="1"/>
  <c r="AL51" i="11" s="1"/>
  <c r="E52" i="32" s="1"/>
  <c r="AP61" i="59" a="1"/>
  <c r="AP61" i="59" s="1"/>
  <c r="E62" i="50" s="1"/>
  <c r="X119" i="57" l="1"/>
  <c r="AA119" i="57" s="1"/>
  <c r="AD60" i="50"/>
  <c r="AG60" i="50" s="1"/>
  <c r="AF118" i="57"/>
  <c r="AG121" i="57"/>
  <c r="AB118" i="57"/>
  <c r="M122" i="53"/>
  <c r="AC122" i="53" s="1"/>
  <c r="O122" i="53"/>
  <c r="AP106" i="69"/>
  <c r="N106" i="69"/>
  <c r="U106" i="69" s="1"/>
  <c r="AD120" i="57"/>
  <c r="AJ120" i="57"/>
  <c r="AQ120" i="57"/>
  <c r="R120" i="57"/>
  <c r="AE120" i="57"/>
  <c r="Q120" i="57"/>
  <c r="T120" i="57" s="1"/>
  <c r="AC120" i="57"/>
  <c r="M121" i="57"/>
  <c r="AK121" i="57" s="1"/>
  <c r="Q61" i="50"/>
  <c r="P61" i="50" s="1"/>
  <c r="N122" i="53"/>
  <c r="O52" i="32"/>
  <c r="T52" i="32"/>
  <c r="T62" i="50"/>
  <c r="O62" i="50"/>
  <c r="AA120" i="53"/>
  <c r="AB120" i="53"/>
  <c r="AP58" i="50"/>
  <c r="AJ60" i="50"/>
  <c r="S61" i="50"/>
  <c r="Z61" i="50" s="1"/>
  <c r="C60" i="50"/>
  <c r="W60" i="50"/>
  <c r="X59" i="50"/>
  <c r="V60" i="50"/>
  <c r="AF105" i="69"/>
  <c r="Q105" i="69"/>
  <c r="O122" i="57"/>
  <c r="P122" i="57"/>
  <c r="AH59" i="50"/>
  <c r="AI59" i="50" s="1"/>
  <c r="AB104" i="69"/>
  <c r="AG104" i="69"/>
  <c r="AO106" i="69"/>
  <c r="O107" i="69"/>
  <c r="AK62" i="50"/>
  <c r="AE121" i="53"/>
  <c r="AF120" i="53"/>
  <c r="AK52" i="32"/>
  <c r="AM61" i="50"/>
  <c r="R121" i="53"/>
  <c r="X121" i="53" s="1"/>
  <c r="AL59" i="50"/>
  <c r="AY105" i="69"/>
  <c r="L122" i="57"/>
  <c r="AH121" i="53"/>
  <c r="AT121" i="53"/>
  <c r="AG121" i="53"/>
  <c r="N122" i="57"/>
  <c r="P122" i="53"/>
  <c r="AH105" i="69"/>
  <c r="AD121" i="53"/>
  <c r="Q121" i="53"/>
  <c r="C122" i="53"/>
  <c r="K122" i="53"/>
  <c r="D122" i="53"/>
  <c r="J122" i="53"/>
  <c r="G122" i="53"/>
  <c r="I122" i="53"/>
  <c r="E122" i="53"/>
  <c r="AK121" i="52" a="1"/>
  <c r="AK121" i="52" s="1"/>
  <c r="B123" i="53" s="1"/>
  <c r="F122" i="53"/>
  <c r="H122" i="53"/>
  <c r="L122" i="53"/>
  <c r="G62" i="50"/>
  <c r="L62" i="50"/>
  <c r="A62" i="50"/>
  <c r="B62" i="50"/>
  <c r="R62" i="50" s="1"/>
  <c r="F62" i="50"/>
  <c r="U62" i="50" s="1"/>
  <c r="H62" i="50"/>
  <c r="N62" i="50"/>
  <c r="K62" i="50"/>
  <c r="M62" i="50"/>
  <c r="J62" i="50"/>
  <c r="I62" i="50"/>
  <c r="K122" i="57"/>
  <c r="I122" i="57"/>
  <c r="G122" i="57"/>
  <c r="E122" i="57"/>
  <c r="C122" i="57"/>
  <c r="F122" i="57"/>
  <c r="J122" i="57"/>
  <c r="D122" i="57"/>
  <c r="H122" i="57"/>
  <c r="AN121" i="55" a="1"/>
  <c r="AN121" i="55" s="1"/>
  <c r="B123" i="57" s="1"/>
  <c r="D106" i="69"/>
  <c r="E106" i="69" s="1"/>
  <c r="F106" i="69" s="1"/>
  <c r="G106" i="69" s="1"/>
  <c r="H106" i="69" s="1"/>
  <c r="I106" i="69" s="1"/>
  <c r="J106" i="69" s="1"/>
  <c r="K106" i="69" s="1"/>
  <c r="M106" i="69" s="1"/>
  <c r="C107" i="69"/>
  <c r="P107" i="69" s="1"/>
  <c r="R105" i="69"/>
  <c r="S105" i="69" s="1"/>
  <c r="Y105" i="69" s="1"/>
  <c r="AE105" i="69"/>
  <c r="AR107" i="67" a="1"/>
  <c r="AR107" i="67" s="1"/>
  <c r="B108" i="69"/>
  <c r="L108" i="69" s="1"/>
  <c r="AL52" i="11" a="1"/>
  <c r="AL52" i="11" s="1"/>
  <c r="E53" i="32" s="1"/>
  <c r="AP62" i="59" a="1"/>
  <c r="AP62" i="59" s="1"/>
  <c r="E63" i="50" s="1"/>
  <c r="AF119" i="57" l="1"/>
  <c r="AB119" i="57"/>
  <c r="AD61" i="50"/>
  <c r="AG61" i="50" s="1"/>
  <c r="AG122" i="57"/>
  <c r="X120" i="57"/>
  <c r="AB120" i="57" s="1"/>
  <c r="M123" i="53"/>
  <c r="AC123" i="53" s="1"/>
  <c r="O123" i="53"/>
  <c r="AP107" i="69"/>
  <c r="N107" i="69"/>
  <c r="U107" i="69" s="1"/>
  <c r="Q121" i="57"/>
  <c r="T121" i="57" s="1"/>
  <c r="AQ121" i="57"/>
  <c r="R121" i="57"/>
  <c r="AE121" i="57"/>
  <c r="AC121" i="57"/>
  <c r="AD121" i="57"/>
  <c r="AJ121" i="57"/>
  <c r="M122" i="57"/>
  <c r="AK122" i="57" s="1"/>
  <c r="Q62" i="50"/>
  <c r="P62" i="50" s="1"/>
  <c r="N123" i="53"/>
  <c r="O53" i="32"/>
  <c r="T53" i="32"/>
  <c r="T63" i="50"/>
  <c r="O63" i="50"/>
  <c r="AA121" i="53"/>
  <c r="AB121" i="53"/>
  <c r="AP59" i="50"/>
  <c r="AJ61" i="50"/>
  <c r="C61" i="50"/>
  <c r="S62" i="50"/>
  <c r="Z62" i="50" s="1"/>
  <c r="W61" i="50"/>
  <c r="X60" i="50"/>
  <c r="V61" i="50"/>
  <c r="AF106" i="69"/>
  <c r="Q106" i="69"/>
  <c r="O123" i="57"/>
  <c r="P123" i="57"/>
  <c r="AC104" i="69"/>
  <c r="AD104" i="69" s="1"/>
  <c r="AH60" i="50"/>
  <c r="AI60" i="50" s="1"/>
  <c r="AB105" i="69"/>
  <c r="AG105" i="69"/>
  <c r="O108" i="69"/>
  <c r="AO107" i="69"/>
  <c r="AK63" i="50"/>
  <c r="AF121" i="53"/>
  <c r="AE122" i="53"/>
  <c r="AK53" i="32"/>
  <c r="AM62" i="50"/>
  <c r="R122" i="53"/>
  <c r="X122" i="53" s="1"/>
  <c r="AL60" i="50"/>
  <c r="AY106" i="69"/>
  <c r="L123" i="57"/>
  <c r="AH122" i="53"/>
  <c r="AT122" i="53"/>
  <c r="AG122" i="53"/>
  <c r="N123" i="57"/>
  <c r="AH106" i="69"/>
  <c r="Q122" i="53"/>
  <c r="AD122" i="53"/>
  <c r="C123" i="53"/>
  <c r="J123" i="53"/>
  <c r="P123" i="53"/>
  <c r="F123" i="53"/>
  <c r="I123" i="53"/>
  <c r="G123" i="53"/>
  <c r="H123" i="53"/>
  <c r="D123" i="53"/>
  <c r="AK122" i="52" a="1"/>
  <c r="AK122" i="52" s="1"/>
  <c r="B124" i="53" s="1"/>
  <c r="E123" i="53"/>
  <c r="K123" i="53"/>
  <c r="L123" i="53"/>
  <c r="I63" i="50"/>
  <c r="M63" i="50"/>
  <c r="G63" i="50"/>
  <c r="F63" i="50"/>
  <c r="U63" i="50" s="1"/>
  <c r="L63" i="50"/>
  <c r="K63" i="50"/>
  <c r="A63" i="50"/>
  <c r="H63" i="50"/>
  <c r="N63" i="50"/>
  <c r="J63" i="50"/>
  <c r="B63" i="50"/>
  <c r="R63" i="50" s="1"/>
  <c r="K123" i="57"/>
  <c r="I123" i="57"/>
  <c r="H123" i="57"/>
  <c r="G123" i="57"/>
  <c r="E123" i="57"/>
  <c r="D123" i="57"/>
  <c r="C123" i="57"/>
  <c r="J123" i="57"/>
  <c r="F123" i="57"/>
  <c r="AN122" i="55" a="1"/>
  <c r="AN122" i="55" s="1"/>
  <c r="B124" i="57" s="1"/>
  <c r="AR108" i="67" a="1"/>
  <c r="AR108" i="67" s="1"/>
  <c r="B109" i="69"/>
  <c r="L109" i="69" s="1"/>
  <c r="D107" i="69"/>
  <c r="E107" i="69" s="1"/>
  <c r="F107" i="69" s="1"/>
  <c r="G107" i="69" s="1"/>
  <c r="H107" i="69" s="1"/>
  <c r="I107" i="69" s="1"/>
  <c r="J107" i="69" s="1"/>
  <c r="K107" i="69" s="1"/>
  <c r="M107" i="69" s="1"/>
  <c r="AE106" i="69"/>
  <c r="R106" i="69"/>
  <c r="S106" i="69" s="1"/>
  <c r="C108" i="69"/>
  <c r="P108" i="69" s="1"/>
  <c r="AL53" i="11" a="1"/>
  <c r="AL53" i="11" s="1"/>
  <c r="E54" i="32" s="1"/>
  <c r="AP63" i="59" a="1"/>
  <c r="AP63" i="59" s="1"/>
  <c r="E64" i="50" s="1"/>
  <c r="Y106" i="69" l="1"/>
  <c r="AB106" i="69" s="1"/>
  <c r="AC106" i="69" s="1"/>
  <c r="AD106" i="69" s="1"/>
  <c r="AD62" i="50"/>
  <c r="AG62" i="50" s="1"/>
  <c r="AG123" i="57"/>
  <c r="X121" i="57"/>
  <c r="AB121" i="57" s="1"/>
  <c r="M124" i="53"/>
  <c r="AC124" i="53" s="1"/>
  <c r="O124" i="53"/>
  <c r="AP108" i="69"/>
  <c r="N108" i="69"/>
  <c r="U108" i="69" s="1"/>
  <c r="AA120" i="57"/>
  <c r="AF120" i="57"/>
  <c r="AQ122" i="57"/>
  <c r="AJ122" i="57"/>
  <c r="AD122" i="57"/>
  <c r="R122" i="57"/>
  <c r="AC122" i="57"/>
  <c r="Q122" i="57"/>
  <c r="T122" i="57" s="1"/>
  <c r="AE122" i="57"/>
  <c r="M123" i="57"/>
  <c r="AK123" i="57" s="1"/>
  <c r="Q63" i="50"/>
  <c r="P63" i="50" s="1"/>
  <c r="N124" i="53"/>
  <c r="T54" i="32"/>
  <c r="O54" i="32"/>
  <c r="O64" i="50"/>
  <c r="T64" i="50"/>
  <c r="AA122" i="53"/>
  <c r="AB122" i="53"/>
  <c r="AP60" i="50"/>
  <c r="C62" i="50"/>
  <c r="AJ62" i="50"/>
  <c r="S63" i="50"/>
  <c r="Z63" i="50" s="1"/>
  <c r="W62" i="50"/>
  <c r="X61" i="50"/>
  <c r="V62" i="50"/>
  <c r="AF107" i="69"/>
  <c r="Q107" i="69"/>
  <c r="O124" i="57"/>
  <c r="P124" i="57"/>
  <c r="AC105" i="69"/>
  <c r="AD105" i="69" s="1"/>
  <c r="AH61" i="50"/>
  <c r="AI61" i="50" s="1"/>
  <c r="AO108" i="69"/>
  <c r="O109" i="69"/>
  <c r="AK64" i="50"/>
  <c r="AE123" i="53"/>
  <c r="AF122" i="53"/>
  <c r="AK54" i="32"/>
  <c r="AM63" i="50"/>
  <c r="R123" i="53"/>
  <c r="X123" i="53" s="1"/>
  <c r="AL61" i="50"/>
  <c r="AY107" i="69"/>
  <c r="L124" i="57"/>
  <c r="AG123" i="53"/>
  <c r="AH123" i="53"/>
  <c r="AT123" i="53"/>
  <c r="N124" i="57"/>
  <c r="K124" i="53"/>
  <c r="AH107" i="69"/>
  <c r="Q123" i="53"/>
  <c r="AD123" i="53"/>
  <c r="P124" i="53"/>
  <c r="D124" i="53"/>
  <c r="J124" i="53"/>
  <c r="H124" i="53"/>
  <c r="I124" i="53"/>
  <c r="F124" i="53"/>
  <c r="E124" i="53"/>
  <c r="G124" i="53"/>
  <c r="AK123" i="52" a="1"/>
  <c r="AK123" i="52" s="1"/>
  <c r="B125" i="53" s="1"/>
  <c r="L124" i="53"/>
  <c r="C124" i="53"/>
  <c r="F64" i="50"/>
  <c r="U64" i="50" s="1"/>
  <c r="H64" i="50"/>
  <c r="J64" i="50"/>
  <c r="L64" i="50"/>
  <c r="B64" i="50"/>
  <c r="R64" i="50" s="1"/>
  <c r="I64" i="50"/>
  <c r="G64" i="50"/>
  <c r="K64" i="50"/>
  <c r="M64" i="50"/>
  <c r="N64" i="50"/>
  <c r="A64" i="50"/>
  <c r="K124" i="57"/>
  <c r="I124" i="57"/>
  <c r="G124" i="57"/>
  <c r="E124" i="57"/>
  <c r="C124" i="57"/>
  <c r="F124" i="57"/>
  <c r="J124" i="57"/>
  <c r="H124" i="57"/>
  <c r="D124" i="57"/>
  <c r="AN123" i="55" a="1"/>
  <c r="AN123" i="55" s="1"/>
  <c r="B125" i="57" s="1"/>
  <c r="C109" i="69"/>
  <c r="P109" i="69" s="1"/>
  <c r="D108" i="69"/>
  <c r="E108" i="69" s="1"/>
  <c r="F108" i="69" s="1"/>
  <c r="G108" i="69" s="1"/>
  <c r="H108" i="69" s="1"/>
  <c r="I108" i="69" s="1"/>
  <c r="J108" i="69" s="1"/>
  <c r="K108" i="69" s="1"/>
  <c r="M108" i="69" s="1"/>
  <c r="AE107" i="69"/>
  <c r="R107" i="69"/>
  <c r="S107" i="69" s="1"/>
  <c r="AR109" i="67" a="1"/>
  <c r="AR109" i="67" s="1"/>
  <c r="B110" i="69"/>
  <c r="L110" i="69" s="1"/>
  <c r="AL54" i="11" a="1"/>
  <c r="AL54" i="11" s="1"/>
  <c r="AP64" i="59" a="1"/>
  <c r="AP64" i="59" s="1"/>
  <c r="E65" i="50" s="1"/>
  <c r="Y107" i="69" l="1"/>
  <c r="AB107" i="69" s="1"/>
  <c r="AC107" i="69" s="1"/>
  <c r="AD107" i="69" s="1"/>
  <c r="AG106" i="69"/>
  <c r="AD63" i="50"/>
  <c r="AG63" i="50" s="1"/>
  <c r="X122" i="57"/>
  <c r="AF122" i="57" s="1"/>
  <c r="AG124" i="57"/>
  <c r="M125" i="53"/>
  <c r="AC125" i="53" s="1"/>
  <c r="O125" i="53"/>
  <c r="AP109" i="69"/>
  <c r="N109" i="69"/>
  <c r="U109" i="69" s="1"/>
  <c r="AF121" i="57"/>
  <c r="AA121" i="57"/>
  <c r="AQ123" i="57"/>
  <c r="AE123" i="57"/>
  <c r="AD123" i="57"/>
  <c r="AJ123" i="57"/>
  <c r="Q123" i="57"/>
  <c r="T123" i="57" s="1"/>
  <c r="R123" i="57"/>
  <c r="AC123" i="57"/>
  <c r="M124" i="57"/>
  <c r="AK124" i="57" s="1"/>
  <c r="Q64" i="50"/>
  <c r="P64" i="50" s="1"/>
  <c r="N125" i="53"/>
  <c r="O65" i="50"/>
  <c r="T65" i="50"/>
  <c r="AA123" i="53"/>
  <c r="AB123" i="53"/>
  <c r="AP61" i="50"/>
  <c r="AJ63" i="50"/>
  <c r="C63" i="50"/>
  <c r="S64" i="50"/>
  <c r="W63" i="50"/>
  <c r="X62" i="50"/>
  <c r="V63" i="50"/>
  <c r="AF108" i="69"/>
  <c r="Q108" i="69"/>
  <c r="O125" i="57"/>
  <c r="P125" i="57"/>
  <c r="AH62" i="50"/>
  <c r="AI62" i="50" s="1"/>
  <c r="O110" i="69"/>
  <c r="AO109" i="69"/>
  <c r="AK65" i="50"/>
  <c r="AE124" i="53"/>
  <c r="AF123" i="53"/>
  <c r="AM64" i="50"/>
  <c r="R124" i="53"/>
  <c r="X124" i="53" s="1"/>
  <c r="AL62" i="50"/>
  <c r="AY108" i="69"/>
  <c r="L125" i="57"/>
  <c r="AH124" i="53"/>
  <c r="AT124" i="53"/>
  <c r="AG124" i="53"/>
  <c r="N125" i="57"/>
  <c r="J125" i="53"/>
  <c r="AH108" i="69"/>
  <c r="AD124" i="53"/>
  <c r="Q124" i="53"/>
  <c r="E125" i="53"/>
  <c r="H125" i="53"/>
  <c r="G125" i="53"/>
  <c r="K125" i="53"/>
  <c r="D125" i="53"/>
  <c r="I125" i="53"/>
  <c r="C125" i="53"/>
  <c r="P125" i="53"/>
  <c r="AK124" i="52" a="1"/>
  <c r="AK124" i="52" s="1"/>
  <c r="B126" i="53" s="1"/>
  <c r="L125" i="53"/>
  <c r="F125" i="53"/>
  <c r="M65" i="50"/>
  <c r="I65" i="50"/>
  <c r="B65" i="50"/>
  <c r="R65" i="50" s="1"/>
  <c r="J65" i="50"/>
  <c r="A65" i="50"/>
  <c r="L65" i="50"/>
  <c r="F65" i="50"/>
  <c r="U65" i="50" s="1"/>
  <c r="G65" i="50"/>
  <c r="N65" i="50"/>
  <c r="H65" i="50"/>
  <c r="K65" i="50"/>
  <c r="K125" i="57"/>
  <c r="I125" i="57"/>
  <c r="H125" i="57"/>
  <c r="G125" i="57"/>
  <c r="C125" i="57"/>
  <c r="E125" i="57"/>
  <c r="D125" i="57"/>
  <c r="F125" i="57"/>
  <c r="J125" i="57"/>
  <c r="E55" i="32"/>
  <c r="AN124" i="55" a="1"/>
  <c r="AN124" i="55" s="1"/>
  <c r="B126" i="57" s="1"/>
  <c r="AR110" i="67" a="1"/>
  <c r="AR110" i="67" s="1"/>
  <c r="B111" i="69"/>
  <c r="L111" i="69" s="1"/>
  <c r="D109" i="69"/>
  <c r="E109" i="69" s="1"/>
  <c r="F109" i="69" s="1"/>
  <c r="G109" i="69" s="1"/>
  <c r="H109" i="69" s="1"/>
  <c r="I109" i="69" s="1"/>
  <c r="J109" i="69" s="1"/>
  <c r="K109" i="69" s="1"/>
  <c r="M109" i="69" s="1"/>
  <c r="C110" i="69"/>
  <c r="P110" i="69" s="1"/>
  <c r="AE108" i="69"/>
  <c r="R108" i="69"/>
  <c r="S108" i="69" s="1"/>
  <c r="Y108" i="69" s="1"/>
  <c r="AL55" i="11" a="1"/>
  <c r="AL55" i="11" s="1"/>
  <c r="E56" i="32" s="1"/>
  <c r="AP65" i="59" a="1"/>
  <c r="AP65" i="59" s="1"/>
  <c r="E66" i="50" s="1"/>
  <c r="AG107" i="69" l="1"/>
  <c r="AD64" i="50"/>
  <c r="AG64" i="50" s="1"/>
  <c r="X123" i="57"/>
  <c r="AB123" i="57" s="1"/>
  <c r="AG125" i="57"/>
  <c r="M126" i="53"/>
  <c r="AC126" i="53" s="1"/>
  <c r="O126" i="53"/>
  <c r="AP110" i="69"/>
  <c r="N110" i="69"/>
  <c r="U110" i="69" s="1"/>
  <c r="AB122" i="57"/>
  <c r="AA122" i="57"/>
  <c r="AE124" i="57"/>
  <c r="Q124" i="57"/>
  <c r="T124" i="57" s="1"/>
  <c r="AQ124" i="57"/>
  <c r="AD124" i="57"/>
  <c r="AJ124" i="57"/>
  <c r="R124" i="57"/>
  <c r="AC124" i="57"/>
  <c r="M125" i="57"/>
  <c r="AK125" i="57" s="1"/>
  <c r="Q65" i="50"/>
  <c r="P65" i="50" s="1"/>
  <c r="N126" i="53"/>
  <c r="T55" i="32"/>
  <c r="O55" i="32"/>
  <c r="O56" i="32"/>
  <c r="T56" i="32"/>
  <c r="T66" i="50"/>
  <c r="O66" i="50"/>
  <c r="AA124" i="53"/>
  <c r="AB124" i="53"/>
  <c r="AP62" i="50"/>
  <c r="AJ64" i="50"/>
  <c r="Z64" i="50"/>
  <c r="S65" i="50"/>
  <c r="Z65" i="50" s="1"/>
  <c r="C64" i="50"/>
  <c r="W64" i="50"/>
  <c r="X63" i="50"/>
  <c r="V64" i="50"/>
  <c r="AF109" i="69"/>
  <c r="Q109" i="69"/>
  <c r="O126" i="57"/>
  <c r="P126" i="57"/>
  <c r="AH63" i="50"/>
  <c r="AI63" i="50" s="1"/>
  <c r="AB108" i="69"/>
  <c r="AG108" i="69"/>
  <c r="O111" i="69"/>
  <c r="AO110" i="69"/>
  <c r="AK66" i="50"/>
  <c r="AE125" i="53"/>
  <c r="AF124" i="53"/>
  <c r="AK55" i="32"/>
  <c r="AK56" i="32"/>
  <c r="AM65" i="50"/>
  <c r="R125" i="53"/>
  <c r="X125" i="53" s="1"/>
  <c r="AL63" i="50"/>
  <c r="AY109" i="69"/>
  <c r="L126" i="57"/>
  <c r="AH125" i="53"/>
  <c r="AT125" i="53"/>
  <c r="AG125" i="53"/>
  <c r="N126" i="57"/>
  <c r="J126" i="53"/>
  <c r="AH109" i="69"/>
  <c r="Q125" i="53"/>
  <c r="AD125" i="53"/>
  <c r="I126" i="53"/>
  <c r="D126" i="53"/>
  <c r="F126" i="53"/>
  <c r="E126" i="53"/>
  <c r="L126" i="53"/>
  <c r="C126" i="53"/>
  <c r="K126" i="53"/>
  <c r="H126" i="53"/>
  <c r="G126" i="53"/>
  <c r="AK125" i="52" a="1"/>
  <c r="AK125" i="52" s="1"/>
  <c r="B127" i="53" s="1"/>
  <c r="P126" i="53"/>
  <c r="I66" i="50"/>
  <c r="A66" i="50"/>
  <c r="L66" i="50"/>
  <c r="K66" i="50"/>
  <c r="G66" i="50"/>
  <c r="N66" i="50"/>
  <c r="B66" i="50"/>
  <c r="R66" i="50" s="1"/>
  <c r="H66" i="50"/>
  <c r="J66" i="50"/>
  <c r="F66" i="50"/>
  <c r="U66" i="50" s="1"/>
  <c r="M66" i="50"/>
  <c r="K126" i="57"/>
  <c r="I126" i="57"/>
  <c r="C126" i="57"/>
  <c r="G126" i="57"/>
  <c r="E126" i="57"/>
  <c r="F126" i="57"/>
  <c r="J126" i="57"/>
  <c r="D126" i="57"/>
  <c r="H126" i="57"/>
  <c r="AN125" i="55" a="1"/>
  <c r="AN125" i="55" s="1"/>
  <c r="B127" i="57" s="1"/>
  <c r="C111" i="69"/>
  <c r="P111" i="69" s="1"/>
  <c r="AE109" i="69"/>
  <c r="R109" i="69"/>
  <c r="S109" i="69" s="1"/>
  <c r="Y109" i="69" s="1"/>
  <c r="D110" i="69"/>
  <c r="E110" i="69" s="1"/>
  <c r="F110" i="69" s="1"/>
  <c r="G110" i="69" s="1"/>
  <c r="H110" i="69" s="1"/>
  <c r="I110" i="69" s="1"/>
  <c r="J110" i="69" s="1"/>
  <c r="K110" i="69" s="1"/>
  <c r="M110" i="69" s="1"/>
  <c r="AR111" i="67" a="1"/>
  <c r="AR111" i="67" s="1"/>
  <c r="B112" i="69"/>
  <c r="L112" i="69" s="1"/>
  <c r="AL56" i="11" a="1"/>
  <c r="AL56" i="11" s="1"/>
  <c r="AP66" i="59" a="1"/>
  <c r="AP66" i="59" s="1"/>
  <c r="E67" i="50" s="1"/>
  <c r="AB109" i="69" l="1"/>
  <c r="AC109" i="69" s="1"/>
  <c r="AD109" i="69" s="1"/>
  <c r="AD65" i="50"/>
  <c r="AG65" i="50" s="1"/>
  <c r="AG126" i="57"/>
  <c r="X124" i="57"/>
  <c r="AB124" i="57" s="1"/>
  <c r="M127" i="53"/>
  <c r="AC127" i="53" s="1"/>
  <c r="O127" i="53"/>
  <c r="AP111" i="69"/>
  <c r="N111" i="69"/>
  <c r="U111" i="69" s="1"/>
  <c r="R125" i="57"/>
  <c r="AE125" i="57"/>
  <c r="Q125" i="57"/>
  <c r="T125" i="57" s="1"/>
  <c r="AA123" i="57"/>
  <c r="AF123" i="57"/>
  <c r="AD125" i="57"/>
  <c r="AJ125" i="57"/>
  <c r="AC125" i="57"/>
  <c r="AQ125" i="57"/>
  <c r="M126" i="57"/>
  <c r="AK126" i="57" s="1"/>
  <c r="Q66" i="50"/>
  <c r="P66" i="50" s="1"/>
  <c r="N127" i="53"/>
  <c r="T67" i="50"/>
  <c r="O67" i="50"/>
  <c r="AA125" i="53"/>
  <c r="AB125" i="53"/>
  <c r="AP63" i="50"/>
  <c r="AJ65" i="50"/>
  <c r="C65" i="50"/>
  <c r="S66" i="50"/>
  <c r="W65" i="50"/>
  <c r="X64" i="50"/>
  <c r="V65" i="50"/>
  <c r="AF110" i="69"/>
  <c r="Q110" i="69"/>
  <c r="O127" i="57"/>
  <c r="P127" i="57"/>
  <c r="AC108" i="69"/>
  <c r="AD108" i="69" s="1"/>
  <c r="AH64" i="50"/>
  <c r="AI64" i="50" s="1"/>
  <c r="AG109" i="69"/>
  <c r="O112" i="69"/>
  <c r="AO111" i="69"/>
  <c r="AK67" i="50"/>
  <c r="AE126" i="53"/>
  <c r="AF125" i="53"/>
  <c r="AM66" i="50"/>
  <c r="R126" i="53"/>
  <c r="X126" i="53" s="1"/>
  <c r="AL64" i="50"/>
  <c r="AY110" i="69"/>
  <c r="L127" i="57"/>
  <c r="AG126" i="53"/>
  <c r="AH126" i="53"/>
  <c r="AT126" i="53"/>
  <c r="N127" i="57"/>
  <c r="L127" i="53"/>
  <c r="AH110" i="69"/>
  <c r="AD126" i="53"/>
  <c r="J127" i="53"/>
  <c r="G127" i="53"/>
  <c r="P127" i="53"/>
  <c r="Q126" i="53"/>
  <c r="H127" i="53"/>
  <c r="K127" i="53"/>
  <c r="D127" i="53"/>
  <c r="AK126" i="52" a="1"/>
  <c r="AK126" i="52" s="1"/>
  <c r="B128" i="53" s="1"/>
  <c r="E127" i="53"/>
  <c r="F127" i="53"/>
  <c r="I127" i="53"/>
  <c r="C127" i="53"/>
  <c r="F67" i="50"/>
  <c r="U67" i="50" s="1"/>
  <c r="K67" i="50"/>
  <c r="M67" i="50"/>
  <c r="A67" i="50"/>
  <c r="I67" i="50"/>
  <c r="G67" i="50"/>
  <c r="L67" i="50"/>
  <c r="B67" i="50"/>
  <c r="R67" i="50" s="1"/>
  <c r="H67" i="50"/>
  <c r="N67" i="50"/>
  <c r="J67" i="50"/>
  <c r="C127" i="57"/>
  <c r="K127" i="57"/>
  <c r="I127" i="57"/>
  <c r="H127" i="57"/>
  <c r="D127" i="57"/>
  <c r="G127" i="57"/>
  <c r="E127" i="57"/>
  <c r="J127" i="57"/>
  <c r="F127" i="57"/>
  <c r="E57" i="32"/>
  <c r="AN126" i="55" a="1"/>
  <c r="AN126" i="55" s="1"/>
  <c r="B128" i="57" s="1"/>
  <c r="AR112" i="67" a="1"/>
  <c r="AR112" i="67" s="1"/>
  <c r="B113" i="69"/>
  <c r="L113" i="69" s="1"/>
  <c r="D111" i="69"/>
  <c r="E111" i="69" s="1"/>
  <c r="F111" i="69" s="1"/>
  <c r="G111" i="69" s="1"/>
  <c r="H111" i="69" s="1"/>
  <c r="I111" i="69" s="1"/>
  <c r="J111" i="69" s="1"/>
  <c r="K111" i="69" s="1"/>
  <c r="M111" i="69" s="1"/>
  <c r="C112" i="69"/>
  <c r="P112" i="69" s="1"/>
  <c r="R110" i="69"/>
  <c r="S110" i="69" s="1"/>
  <c r="AE110" i="69"/>
  <c r="AL57" i="11" a="1"/>
  <c r="AL57" i="11" s="1"/>
  <c r="E58" i="32" s="1"/>
  <c r="AP67" i="59" a="1"/>
  <c r="AP67" i="59" s="1"/>
  <c r="E68" i="50" s="1"/>
  <c r="Y110" i="69" l="1"/>
  <c r="AB110" i="69" s="1"/>
  <c r="AC110" i="69" s="1"/>
  <c r="AD110" i="69" s="1"/>
  <c r="AD66" i="50"/>
  <c r="AG66" i="50" s="1"/>
  <c r="X125" i="57"/>
  <c r="AB125" i="57" s="1"/>
  <c r="AG127" i="57"/>
  <c r="AA124" i="57"/>
  <c r="M128" i="53"/>
  <c r="AC128" i="53" s="1"/>
  <c r="O128" i="53"/>
  <c r="AP112" i="69"/>
  <c r="N112" i="69"/>
  <c r="U112" i="69" s="1"/>
  <c r="Q126" i="57"/>
  <c r="T126" i="57" s="1"/>
  <c r="AJ126" i="57"/>
  <c r="AE126" i="57"/>
  <c r="AF124" i="57"/>
  <c r="AD126" i="57"/>
  <c r="R126" i="57"/>
  <c r="AC126" i="57"/>
  <c r="AQ126" i="57"/>
  <c r="M127" i="57"/>
  <c r="AK127" i="57" s="1"/>
  <c r="Q67" i="50"/>
  <c r="P67" i="50" s="1"/>
  <c r="N128" i="53"/>
  <c r="T58" i="32"/>
  <c r="O58" i="32"/>
  <c r="O57" i="32"/>
  <c r="T57" i="32"/>
  <c r="O68" i="50"/>
  <c r="T68" i="50"/>
  <c r="AA126" i="53"/>
  <c r="AB126" i="53"/>
  <c r="AP64" i="50"/>
  <c r="C66" i="50"/>
  <c r="Z66" i="50"/>
  <c r="AJ66" i="50"/>
  <c r="S67" i="50"/>
  <c r="Z67" i="50" s="1"/>
  <c r="W66" i="50"/>
  <c r="X65" i="50"/>
  <c r="V66" i="50"/>
  <c r="AF111" i="69"/>
  <c r="Q111" i="69"/>
  <c r="O128" i="57"/>
  <c r="P128" i="57"/>
  <c r="AH65" i="50"/>
  <c r="AI65" i="50" s="1"/>
  <c r="O113" i="69"/>
  <c r="AO112" i="69"/>
  <c r="AK68" i="50"/>
  <c r="AE127" i="53"/>
  <c r="AF126" i="53"/>
  <c r="AK58" i="32"/>
  <c r="AK57" i="32"/>
  <c r="AM67" i="50"/>
  <c r="R127" i="53"/>
  <c r="X127" i="53" s="1"/>
  <c r="AL65" i="50"/>
  <c r="AY111" i="69"/>
  <c r="L128" i="57"/>
  <c r="AH127" i="53"/>
  <c r="AT127" i="53"/>
  <c r="AG127" i="53"/>
  <c r="N128" i="57"/>
  <c r="AH111" i="69"/>
  <c r="Q127" i="53"/>
  <c r="AD127" i="53"/>
  <c r="C128" i="53"/>
  <c r="I128" i="53"/>
  <c r="F128" i="53"/>
  <c r="G128" i="53"/>
  <c r="E128" i="53"/>
  <c r="J128" i="53"/>
  <c r="K128" i="53"/>
  <c r="L128" i="53"/>
  <c r="P128" i="53"/>
  <c r="AK127" i="52" a="1"/>
  <c r="AK127" i="52" s="1"/>
  <c r="B129" i="53" s="1"/>
  <c r="H128" i="53"/>
  <c r="D128" i="53"/>
  <c r="I68" i="50"/>
  <c r="N68" i="50"/>
  <c r="H68" i="50"/>
  <c r="M68" i="50"/>
  <c r="L68" i="50"/>
  <c r="F68" i="50"/>
  <c r="U68" i="50" s="1"/>
  <c r="B68" i="50"/>
  <c r="R68" i="50" s="1"/>
  <c r="K68" i="50"/>
  <c r="A68" i="50"/>
  <c r="J68" i="50"/>
  <c r="G68" i="50"/>
  <c r="C128" i="57"/>
  <c r="K128" i="57"/>
  <c r="E128" i="57"/>
  <c r="I128" i="57"/>
  <c r="G128" i="57"/>
  <c r="F128" i="57"/>
  <c r="J128" i="57"/>
  <c r="D128" i="57"/>
  <c r="H128" i="57"/>
  <c r="AN127" i="55" a="1"/>
  <c r="AN127" i="55" s="1"/>
  <c r="B129" i="57" s="1"/>
  <c r="AE111" i="69"/>
  <c r="R111" i="69"/>
  <c r="S111" i="69" s="1"/>
  <c r="D112" i="69"/>
  <c r="E112" i="69" s="1"/>
  <c r="F112" i="69" s="1"/>
  <c r="G112" i="69" s="1"/>
  <c r="H112" i="69" s="1"/>
  <c r="I112" i="69" s="1"/>
  <c r="J112" i="69" s="1"/>
  <c r="K112" i="69" s="1"/>
  <c r="M112" i="69" s="1"/>
  <c r="C113" i="69"/>
  <c r="P113" i="69" s="1"/>
  <c r="AR113" i="67" a="1"/>
  <c r="AR113" i="67" s="1"/>
  <c r="B114" i="69"/>
  <c r="L114" i="69" s="1"/>
  <c r="AL58" i="11" a="1"/>
  <c r="AL58" i="11" s="1"/>
  <c r="AP68" i="59" a="1"/>
  <c r="AP68" i="59" s="1"/>
  <c r="E69" i="50" s="1"/>
  <c r="X126" i="57" l="1"/>
  <c r="AB126" i="57" s="1"/>
  <c r="Y111" i="69"/>
  <c r="AB111" i="69" s="1"/>
  <c r="AC111" i="69" s="1"/>
  <c r="AD111" i="69" s="1"/>
  <c r="AG110" i="69"/>
  <c r="AD67" i="50"/>
  <c r="AG67" i="50" s="1"/>
  <c r="AG128" i="57"/>
  <c r="AA125" i="57"/>
  <c r="AF125" i="57"/>
  <c r="M129" i="53"/>
  <c r="AC129" i="53" s="1"/>
  <c r="O129" i="53"/>
  <c r="AP113" i="69"/>
  <c r="N113" i="69"/>
  <c r="U113" i="69" s="1"/>
  <c r="AQ127" i="57"/>
  <c r="AJ127" i="57"/>
  <c r="AE127" i="57"/>
  <c r="Q127" i="57"/>
  <c r="T127" i="57" s="1"/>
  <c r="AD127" i="57"/>
  <c r="R127" i="57"/>
  <c r="AC127" i="57"/>
  <c r="M128" i="57"/>
  <c r="AK128" i="57" s="1"/>
  <c r="Q68" i="50"/>
  <c r="P68" i="50" s="1"/>
  <c r="N129" i="53"/>
  <c r="O69" i="50"/>
  <c r="T69" i="50"/>
  <c r="AA127" i="53"/>
  <c r="AB127" i="53"/>
  <c r="AP65" i="50"/>
  <c r="AJ67" i="50"/>
  <c r="C67" i="50"/>
  <c r="S68" i="50"/>
  <c r="Z68" i="50" s="1"/>
  <c r="W67" i="50"/>
  <c r="X66" i="50"/>
  <c r="V67" i="50"/>
  <c r="AF112" i="69"/>
  <c r="Q112" i="69"/>
  <c r="O129" i="57"/>
  <c r="P129" i="57"/>
  <c r="AH66" i="50"/>
  <c r="AI66" i="50" s="1"/>
  <c r="O114" i="69"/>
  <c r="AO113" i="69"/>
  <c r="AK69" i="50"/>
  <c r="AE128" i="53"/>
  <c r="AF127" i="53"/>
  <c r="AM68" i="50"/>
  <c r="R128" i="53"/>
  <c r="X128" i="53" s="1"/>
  <c r="AL66" i="50"/>
  <c r="AY112" i="69"/>
  <c r="L129" i="57"/>
  <c r="AG128" i="53"/>
  <c r="AH128" i="53"/>
  <c r="AT128" i="53"/>
  <c r="N129" i="57"/>
  <c r="F129" i="53"/>
  <c r="AH112" i="69"/>
  <c r="AD128" i="53"/>
  <c r="Q128" i="53"/>
  <c r="I129" i="53"/>
  <c r="L129" i="53"/>
  <c r="H129" i="53"/>
  <c r="E129" i="53"/>
  <c r="G129" i="53"/>
  <c r="C129" i="53"/>
  <c r="P129" i="53"/>
  <c r="AK128" i="52" a="1"/>
  <c r="AK128" i="52" s="1"/>
  <c r="B130" i="53" s="1"/>
  <c r="J129" i="53"/>
  <c r="D129" i="53"/>
  <c r="K129" i="53"/>
  <c r="B69" i="50"/>
  <c r="R69" i="50" s="1"/>
  <c r="I69" i="50"/>
  <c r="G69" i="50"/>
  <c r="A69" i="50"/>
  <c r="M69" i="50"/>
  <c r="K69" i="50"/>
  <c r="H69" i="50"/>
  <c r="J69" i="50"/>
  <c r="F69" i="50"/>
  <c r="U69" i="50" s="1"/>
  <c r="L69" i="50"/>
  <c r="N69" i="50"/>
  <c r="D129" i="57"/>
  <c r="C129" i="57"/>
  <c r="K129" i="57"/>
  <c r="I129" i="57"/>
  <c r="E129" i="57"/>
  <c r="H129" i="57"/>
  <c r="G129" i="57"/>
  <c r="F129" i="57"/>
  <c r="J129" i="57"/>
  <c r="E59" i="32"/>
  <c r="AN128" i="55" a="1"/>
  <c r="AN128" i="55" s="1"/>
  <c r="B130" i="57" s="1"/>
  <c r="AR114" i="67" a="1"/>
  <c r="AR114" i="67" s="1"/>
  <c r="B115" i="69"/>
  <c r="L115" i="69" s="1"/>
  <c r="C114" i="69"/>
  <c r="P114" i="69" s="1"/>
  <c r="D113" i="69"/>
  <c r="E113" i="69" s="1"/>
  <c r="F113" i="69" s="1"/>
  <c r="G113" i="69" s="1"/>
  <c r="H113" i="69" s="1"/>
  <c r="I113" i="69" s="1"/>
  <c r="J113" i="69" s="1"/>
  <c r="K113" i="69" s="1"/>
  <c r="M113" i="69" s="1"/>
  <c r="AE112" i="69"/>
  <c r="R112" i="69"/>
  <c r="S112" i="69" s="1"/>
  <c r="Y112" i="69" s="1"/>
  <c r="AL59" i="11" a="1"/>
  <c r="AL59" i="11" s="1"/>
  <c r="AP69" i="59" a="1"/>
  <c r="AP69" i="59" s="1"/>
  <c r="E70" i="50" s="1"/>
  <c r="AG111" i="69" l="1"/>
  <c r="AD68" i="50"/>
  <c r="AG68" i="50" s="1"/>
  <c r="AG129" i="57"/>
  <c r="X127" i="57"/>
  <c r="AB127" i="57" s="1"/>
  <c r="AF126" i="57"/>
  <c r="AA126" i="57"/>
  <c r="M130" i="53"/>
  <c r="AC130" i="53" s="1"/>
  <c r="O130" i="53"/>
  <c r="AP114" i="69"/>
  <c r="N114" i="69"/>
  <c r="U114" i="69" s="1"/>
  <c r="Q128" i="57"/>
  <c r="T128" i="57" s="1"/>
  <c r="R128" i="57"/>
  <c r="AC128" i="57"/>
  <c r="AE128" i="57"/>
  <c r="AQ128" i="57"/>
  <c r="AD128" i="57"/>
  <c r="AJ128" i="57"/>
  <c r="M129" i="57"/>
  <c r="AK129" i="57" s="1"/>
  <c r="Q69" i="50"/>
  <c r="P69" i="50" s="1"/>
  <c r="N130" i="53"/>
  <c r="T59" i="32"/>
  <c r="O59" i="32"/>
  <c r="T70" i="50"/>
  <c r="O70" i="50"/>
  <c r="AA128" i="53"/>
  <c r="AB128" i="53"/>
  <c r="AP66" i="50"/>
  <c r="S69" i="50"/>
  <c r="Z69" i="50" s="1"/>
  <c r="AJ68" i="50"/>
  <c r="C68" i="50"/>
  <c r="W68" i="50"/>
  <c r="X67" i="50"/>
  <c r="V68" i="50"/>
  <c r="AF113" i="69"/>
  <c r="Q113" i="69"/>
  <c r="O130" i="57"/>
  <c r="P130" i="57"/>
  <c r="AH67" i="50"/>
  <c r="AI67" i="50" s="1"/>
  <c r="AB112" i="69"/>
  <c r="AG112" i="69"/>
  <c r="O115" i="69"/>
  <c r="AO114" i="69"/>
  <c r="AK70" i="50"/>
  <c r="AE129" i="53"/>
  <c r="AF128" i="53"/>
  <c r="AK59" i="32"/>
  <c r="AM69" i="50"/>
  <c r="R129" i="53"/>
  <c r="X129" i="53" s="1"/>
  <c r="AL67" i="50"/>
  <c r="AY113" i="69"/>
  <c r="L130" i="57"/>
  <c r="AG129" i="53"/>
  <c r="AH129" i="53"/>
  <c r="AT129" i="53"/>
  <c r="N130" i="57"/>
  <c r="G130" i="53"/>
  <c r="AH113" i="69"/>
  <c r="Q129" i="53"/>
  <c r="AD129" i="53"/>
  <c r="I130" i="53"/>
  <c r="E130" i="53"/>
  <c r="L130" i="53"/>
  <c r="K130" i="53"/>
  <c r="C130" i="53"/>
  <c r="D130" i="53"/>
  <c r="H130" i="53"/>
  <c r="P130" i="53"/>
  <c r="J130" i="53"/>
  <c r="AK129" i="52" a="1"/>
  <c r="AK129" i="52" s="1"/>
  <c r="B131" i="53" s="1"/>
  <c r="F130" i="53"/>
  <c r="I70" i="50"/>
  <c r="G70" i="50"/>
  <c r="N70" i="50"/>
  <c r="A70" i="50"/>
  <c r="L70" i="50"/>
  <c r="K70" i="50"/>
  <c r="F70" i="50"/>
  <c r="U70" i="50" s="1"/>
  <c r="J70" i="50"/>
  <c r="M70" i="50"/>
  <c r="B70" i="50"/>
  <c r="R70" i="50" s="1"/>
  <c r="H70" i="50"/>
  <c r="E130" i="57"/>
  <c r="C130" i="57"/>
  <c r="G130" i="57"/>
  <c r="K130" i="57"/>
  <c r="I130" i="57"/>
  <c r="F130" i="57"/>
  <c r="J130" i="57"/>
  <c r="D130" i="57"/>
  <c r="H130" i="57"/>
  <c r="E60" i="32"/>
  <c r="AN129" i="55" a="1"/>
  <c r="AN129" i="55" s="1"/>
  <c r="B131" i="57" s="1"/>
  <c r="D114" i="69"/>
  <c r="E114" i="69" s="1"/>
  <c r="F114" i="69" s="1"/>
  <c r="G114" i="69" s="1"/>
  <c r="H114" i="69" s="1"/>
  <c r="I114" i="69" s="1"/>
  <c r="J114" i="69" s="1"/>
  <c r="K114" i="69" s="1"/>
  <c r="M114" i="69" s="1"/>
  <c r="C115" i="69"/>
  <c r="P115" i="69" s="1"/>
  <c r="R113" i="69"/>
  <c r="S113" i="69" s="1"/>
  <c r="Y113" i="69" s="1"/>
  <c r="AE113" i="69"/>
  <c r="AR115" i="67" a="1"/>
  <c r="AR115" i="67" s="1"/>
  <c r="B116" i="69"/>
  <c r="L116" i="69" s="1"/>
  <c r="AL60" i="11" a="1"/>
  <c r="AL60" i="11" s="1"/>
  <c r="E61" i="32" s="1"/>
  <c r="AP70" i="59" a="1"/>
  <c r="AP70" i="59" s="1"/>
  <c r="E71" i="50" s="1"/>
  <c r="AD69" i="50" l="1"/>
  <c r="AG69" i="50" s="1"/>
  <c r="X128" i="57"/>
  <c r="AA128" i="57" s="1"/>
  <c r="AG130" i="57"/>
  <c r="M131" i="53"/>
  <c r="AC131" i="53" s="1"/>
  <c r="O131" i="53"/>
  <c r="AP115" i="69"/>
  <c r="N115" i="69"/>
  <c r="U115" i="69" s="1"/>
  <c r="AJ129" i="57"/>
  <c r="AD129" i="57"/>
  <c r="AA127" i="57"/>
  <c r="AF127" i="57"/>
  <c r="AQ129" i="57"/>
  <c r="Q129" i="57"/>
  <c r="T129" i="57" s="1"/>
  <c r="R129" i="57"/>
  <c r="AE129" i="57"/>
  <c r="AC129" i="57"/>
  <c r="M130" i="57"/>
  <c r="AK130" i="57" s="1"/>
  <c r="Q70" i="50"/>
  <c r="P70" i="50" s="1"/>
  <c r="N131" i="53"/>
  <c r="O61" i="32"/>
  <c r="T61" i="32"/>
  <c r="O60" i="32"/>
  <c r="T60" i="32"/>
  <c r="T71" i="50"/>
  <c r="O71" i="50"/>
  <c r="AA129" i="53"/>
  <c r="AB129" i="53"/>
  <c r="AP67" i="50"/>
  <c r="AJ69" i="50"/>
  <c r="C69" i="50"/>
  <c r="S70" i="50"/>
  <c r="Z70" i="50" s="1"/>
  <c r="W69" i="50"/>
  <c r="X68" i="50"/>
  <c r="V69" i="50"/>
  <c r="AF114" i="69"/>
  <c r="Q114" i="69"/>
  <c r="O131" i="57"/>
  <c r="P131" i="57"/>
  <c r="AC112" i="69"/>
  <c r="AD112" i="69" s="1"/>
  <c r="AH68" i="50"/>
  <c r="AI68" i="50" s="1"/>
  <c r="AB113" i="69"/>
  <c r="AG113" i="69"/>
  <c r="O116" i="69"/>
  <c r="AO115" i="69"/>
  <c r="AK71" i="50"/>
  <c r="AE130" i="53"/>
  <c r="AF129" i="53"/>
  <c r="AK61" i="32"/>
  <c r="AK60" i="32"/>
  <c r="AM70" i="50"/>
  <c r="R130" i="53"/>
  <c r="X130" i="53" s="1"/>
  <c r="AL68" i="50"/>
  <c r="AY114" i="69"/>
  <c r="L131" i="57"/>
  <c r="AH130" i="53"/>
  <c r="AT130" i="53"/>
  <c r="AG130" i="53"/>
  <c r="N131" i="57"/>
  <c r="J131" i="53"/>
  <c r="AH114" i="69"/>
  <c r="Q130" i="53"/>
  <c r="AD130" i="53"/>
  <c r="AK130" i="52" a="1"/>
  <c r="AK130" i="52" s="1"/>
  <c r="B132" i="53" s="1"/>
  <c r="E131" i="53"/>
  <c r="H131" i="53"/>
  <c r="D131" i="53"/>
  <c r="L131" i="53"/>
  <c r="G131" i="53"/>
  <c r="C131" i="53"/>
  <c r="I131" i="53"/>
  <c r="F131" i="53"/>
  <c r="K131" i="53"/>
  <c r="P131" i="53"/>
  <c r="F71" i="50"/>
  <c r="U71" i="50" s="1"/>
  <c r="N71" i="50"/>
  <c r="H71" i="50"/>
  <c r="G71" i="50"/>
  <c r="A71" i="50"/>
  <c r="K71" i="50"/>
  <c r="I71" i="50"/>
  <c r="B71" i="50"/>
  <c r="R71" i="50" s="1"/>
  <c r="L71" i="50"/>
  <c r="M71" i="50"/>
  <c r="J71" i="50"/>
  <c r="E131" i="57"/>
  <c r="D131" i="57"/>
  <c r="C131" i="57"/>
  <c r="K131" i="57"/>
  <c r="G131" i="57"/>
  <c r="I131" i="57"/>
  <c r="H131" i="57"/>
  <c r="F131" i="57"/>
  <c r="J131" i="57"/>
  <c r="AN130" i="55" a="1"/>
  <c r="AN130" i="55" s="1"/>
  <c r="B132" i="57" s="1"/>
  <c r="C116" i="69"/>
  <c r="P116" i="69" s="1"/>
  <c r="R114" i="69"/>
  <c r="S114" i="69" s="1"/>
  <c r="Y114" i="69" s="1"/>
  <c r="AE114" i="69"/>
  <c r="AR116" i="67" a="1"/>
  <c r="AR116" i="67" s="1"/>
  <c r="B117" i="69"/>
  <c r="L117" i="69" s="1"/>
  <c r="D115" i="69"/>
  <c r="E115" i="69" s="1"/>
  <c r="F115" i="69" s="1"/>
  <c r="G115" i="69" s="1"/>
  <c r="H115" i="69" s="1"/>
  <c r="I115" i="69" s="1"/>
  <c r="J115" i="69" s="1"/>
  <c r="K115" i="69" s="1"/>
  <c r="M115" i="69" s="1"/>
  <c r="AL61" i="11" a="1"/>
  <c r="AL61" i="11" s="1"/>
  <c r="E62" i="32" s="1"/>
  <c r="AP71" i="59" a="1"/>
  <c r="AP71" i="59" s="1"/>
  <c r="E72" i="50" s="1"/>
  <c r="AD70" i="50" l="1"/>
  <c r="AG70" i="50" s="1"/>
  <c r="X129" i="57"/>
  <c r="AB129" i="57" s="1"/>
  <c r="AG131" i="57"/>
  <c r="M132" i="53"/>
  <c r="AC132" i="53" s="1"/>
  <c r="O132" i="53"/>
  <c r="AP116" i="69"/>
  <c r="N116" i="69"/>
  <c r="U116" i="69" s="1"/>
  <c r="AB128" i="57"/>
  <c r="AF128" i="57"/>
  <c r="Q130" i="57"/>
  <c r="T130" i="57" s="1"/>
  <c r="AJ130" i="57"/>
  <c r="AE130" i="57"/>
  <c r="AD130" i="57"/>
  <c r="R130" i="57"/>
  <c r="AC130" i="57"/>
  <c r="AQ130" i="57"/>
  <c r="M131" i="57"/>
  <c r="AK131" i="57" s="1"/>
  <c r="Q71" i="50"/>
  <c r="P71" i="50" s="1"/>
  <c r="N132" i="53"/>
  <c r="T62" i="32"/>
  <c r="O62" i="32"/>
  <c r="O72" i="50"/>
  <c r="T72" i="50"/>
  <c r="AA130" i="53"/>
  <c r="AB130" i="53"/>
  <c r="AP68" i="50"/>
  <c r="AJ70" i="50"/>
  <c r="C70" i="50"/>
  <c r="S71" i="50"/>
  <c r="Z71" i="50" s="1"/>
  <c r="W70" i="50"/>
  <c r="X69" i="50"/>
  <c r="V70" i="50"/>
  <c r="AF115" i="69"/>
  <c r="Q115" i="69"/>
  <c r="O132" i="57"/>
  <c r="P132" i="57"/>
  <c r="AC113" i="69"/>
  <c r="AD113" i="69" s="1"/>
  <c r="AH69" i="50"/>
  <c r="AI69" i="50" s="1"/>
  <c r="AB114" i="69"/>
  <c r="AG114" i="69"/>
  <c r="AO116" i="69"/>
  <c r="O117" i="69"/>
  <c r="AK72" i="50"/>
  <c r="AE131" i="53"/>
  <c r="AF130" i="53"/>
  <c r="AK62" i="32"/>
  <c r="AM71" i="50"/>
  <c r="R131" i="53"/>
  <c r="X131" i="53" s="1"/>
  <c r="AL69" i="50"/>
  <c r="AY115" i="69"/>
  <c r="L132" i="57"/>
  <c r="AG131" i="53"/>
  <c r="AH131" i="53"/>
  <c r="AT131" i="53"/>
  <c r="N132" i="57"/>
  <c r="AH115" i="69"/>
  <c r="AD131" i="53"/>
  <c r="Q131" i="53"/>
  <c r="AK131" i="52" a="1"/>
  <c r="AK131" i="52" s="1"/>
  <c r="B133" i="53" s="1"/>
  <c r="J132" i="53"/>
  <c r="E132" i="53"/>
  <c r="H132" i="53"/>
  <c r="D132" i="53"/>
  <c r="I132" i="53"/>
  <c r="P132" i="53"/>
  <c r="C132" i="53"/>
  <c r="G132" i="53"/>
  <c r="F132" i="53"/>
  <c r="L132" i="53"/>
  <c r="K132" i="53"/>
  <c r="M72" i="50"/>
  <c r="B72" i="50"/>
  <c r="R72" i="50" s="1"/>
  <c r="G72" i="50"/>
  <c r="N72" i="50"/>
  <c r="I72" i="50"/>
  <c r="F72" i="50"/>
  <c r="U72" i="50" s="1"/>
  <c r="L72" i="50"/>
  <c r="J72" i="50"/>
  <c r="A72" i="50"/>
  <c r="H72" i="50"/>
  <c r="K72" i="50"/>
  <c r="G132" i="57"/>
  <c r="E132" i="57"/>
  <c r="C132" i="57"/>
  <c r="I132" i="57"/>
  <c r="K132" i="57"/>
  <c r="J132" i="57"/>
  <c r="D132" i="57"/>
  <c r="H132" i="57"/>
  <c r="F132" i="57"/>
  <c r="AN131" i="55" a="1"/>
  <c r="AN131" i="55" s="1"/>
  <c r="B133" i="57" s="1"/>
  <c r="AR117" i="67" a="1"/>
  <c r="AR117" i="67" s="1"/>
  <c r="B118" i="69"/>
  <c r="L118" i="69" s="1"/>
  <c r="R115" i="69"/>
  <c r="S115" i="69" s="1"/>
  <c r="Y115" i="69" s="1"/>
  <c r="AE115" i="69"/>
  <c r="D116" i="69"/>
  <c r="E116" i="69" s="1"/>
  <c r="F116" i="69" s="1"/>
  <c r="G116" i="69" s="1"/>
  <c r="H116" i="69" s="1"/>
  <c r="I116" i="69" s="1"/>
  <c r="J116" i="69" s="1"/>
  <c r="K116" i="69" s="1"/>
  <c r="M116" i="69" s="1"/>
  <c r="C117" i="69"/>
  <c r="P117" i="69" s="1"/>
  <c r="AL62" i="11" a="1"/>
  <c r="AL62" i="11" s="1"/>
  <c r="AP72" i="59" a="1"/>
  <c r="AP72" i="59" s="1"/>
  <c r="E73" i="50" s="1"/>
  <c r="AD71" i="50" l="1"/>
  <c r="AG71" i="50" s="1"/>
  <c r="AG132" i="57"/>
  <c r="X130" i="57"/>
  <c r="AB130" i="57" s="1"/>
  <c r="M133" i="53"/>
  <c r="AC133" i="53" s="1"/>
  <c r="O133" i="53"/>
  <c r="AP117" i="69"/>
  <c r="N117" i="69"/>
  <c r="AA129" i="57"/>
  <c r="AF129" i="57"/>
  <c r="AQ131" i="57"/>
  <c r="AJ131" i="57"/>
  <c r="Q131" i="57"/>
  <c r="T131" i="57" s="1"/>
  <c r="AD131" i="57"/>
  <c r="R131" i="57"/>
  <c r="AC131" i="57"/>
  <c r="AE131" i="57"/>
  <c r="M132" i="57"/>
  <c r="AK132" i="57" s="1"/>
  <c r="Q72" i="50"/>
  <c r="P72" i="50" s="1"/>
  <c r="N133" i="53"/>
  <c r="O73" i="50"/>
  <c r="T73" i="50"/>
  <c r="AA131" i="53"/>
  <c r="AB131" i="53"/>
  <c r="AP69" i="50"/>
  <c r="AJ71" i="50"/>
  <c r="C71" i="50"/>
  <c r="S72" i="50"/>
  <c r="Z72" i="50" s="1"/>
  <c r="W71" i="50"/>
  <c r="X70" i="50"/>
  <c r="V71" i="50"/>
  <c r="AF116" i="69"/>
  <c r="Q116" i="69"/>
  <c r="O133" i="57"/>
  <c r="P133" i="57"/>
  <c r="AC114" i="69"/>
  <c r="AD114" i="69" s="1"/>
  <c r="AH70" i="50"/>
  <c r="AI70" i="50" s="1"/>
  <c r="AB115" i="69"/>
  <c r="AG115" i="69"/>
  <c r="O118" i="69"/>
  <c r="AO117" i="69"/>
  <c r="AK73" i="50"/>
  <c r="AE132" i="53"/>
  <c r="AF131" i="53"/>
  <c r="AM72" i="50"/>
  <c r="R132" i="53"/>
  <c r="X132" i="53" s="1"/>
  <c r="AL70" i="50"/>
  <c r="AY116" i="69"/>
  <c r="L133" i="57"/>
  <c r="AG132" i="53"/>
  <c r="AH132" i="53"/>
  <c r="AT132" i="53"/>
  <c r="N133" i="57"/>
  <c r="J133" i="53"/>
  <c r="AH116" i="69"/>
  <c r="AD132" i="53"/>
  <c r="K133" i="53"/>
  <c r="C133" i="53"/>
  <c r="D133" i="53"/>
  <c r="L133" i="53"/>
  <c r="E133" i="53"/>
  <c r="Q132" i="53"/>
  <c r="P133" i="53"/>
  <c r="I133" i="53"/>
  <c r="H133" i="53"/>
  <c r="AK132" i="52" a="1"/>
  <c r="AK132" i="52" s="1"/>
  <c r="B134" i="53" s="1"/>
  <c r="G133" i="53"/>
  <c r="F133" i="53"/>
  <c r="G73" i="50"/>
  <c r="A73" i="50"/>
  <c r="L73" i="50"/>
  <c r="H73" i="50"/>
  <c r="I73" i="50"/>
  <c r="K73" i="50"/>
  <c r="F73" i="50"/>
  <c r="U73" i="50" s="1"/>
  <c r="N73" i="50"/>
  <c r="J73" i="50"/>
  <c r="B73" i="50"/>
  <c r="R73" i="50" s="1"/>
  <c r="M73" i="50"/>
  <c r="G133" i="57"/>
  <c r="E133" i="57"/>
  <c r="D133" i="57"/>
  <c r="C133" i="57"/>
  <c r="H133" i="57"/>
  <c r="I133" i="57"/>
  <c r="K133" i="57"/>
  <c r="F133" i="57"/>
  <c r="J133" i="57"/>
  <c r="E63" i="32"/>
  <c r="AN132" i="55" a="1"/>
  <c r="AN132" i="55" s="1"/>
  <c r="B134" i="57" s="1"/>
  <c r="AR118" i="67" a="1"/>
  <c r="AR118" i="67" s="1"/>
  <c r="B119" i="69"/>
  <c r="L119" i="69" s="1"/>
  <c r="AE116" i="69"/>
  <c r="R116" i="69"/>
  <c r="S116" i="69" s="1"/>
  <c r="Y116" i="69" s="1"/>
  <c r="D117" i="69"/>
  <c r="E117" i="69" s="1"/>
  <c r="F117" i="69" s="1"/>
  <c r="G117" i="69" s="1"/>
  <c r="H117" i="69" s="1"/>
  <c r="I117" i="69" s="1"/>
  <c r="J117" i="69" s="1"/>
  <c r="K117" i="69" s="1"/>
  <c r="M117" i="69" s="1"/>
  <c r="U117" i="69"/>
  <c r="C118" i="69"/>
  <c r="P118" i="69" s="1"/>
  <c r="AL63" i="11" a="1"/>
  <c r="AL63" i="11" s="1"/>
  <c r="E64" i="32" s="1"/>
  <c r="AP73" i="59" a="1"/>
  <c r="AP73" i="59" s="1"/>
  <c r="E74" i="50" s="1"/>
  <c r="AD72" i="50" l="1"/>
  <c r="AG72" i="50" s="1"/>
  <c r="AG133" i="57"/>
  <c r="X131" i="57"/>
  <c r="AB131" i="57" s="1"/>
  <c r="M134" i="53"/>
  <c r="AC134" i="53" s="1"/>
  <c r="O134" i="53"/>
  <c r="AP118" i="69"/>
  <c r="N118" i="69"/>
  <c r="U118" i="69" s="1"/>
  <c r="AF130" i="57"/>
  <c r="AA130" i="57"/>
  <c r="AJ132" i="57"/>
  <c r="AE132" i="57"/>
  <c r="AD132" i="57"/>
  <c r="Q132" i="57"/>
  <c r="T132" i="57" s="1"/>
  <c r="AQ132" i="57"/>
  <c r="R132" i="57"/>
  <c r="AC132" i="57"/>
  <c r="M133" i="57"/>
  <c r="AK133" i="57" s="1"/>
  <c r="Q73" i="50"/>
  <c r="P73" i="50" s="1"/>
  <c r="N134" i="53"/>
  <c r="O64" i="32"/>
  <c r="T64" i="32"/>
  <c r="T63" i="32"/>
  <c r="O63" i="32"/>
  <c r="T74" i="50"/>
  <c r="O74" i="50"/>
  <c r="AA132" i="53"/>
  <c r="AB132" i="53"/>
  <c r="AP70" i="50"/>
  <c r="AJ72" i="50"/>
  <c r="C72" i="50"/>
  <c r="S73" i="50"/>
  <c r="Z73" i="50" s="1"/>
  <c r="W72" i="50"/>
  <c r="X71" i="50"/>
  <c r="V72" i="50"/>
  <c r="AF117" i="69"/>
  <c r="Q117" i="69"/>
  <c r="O134" i="57"/>
  <c r="P134" i="57"/>
  <c r="AC115" i="69"/>
  <c r="AD115" i="69" s="1"/>
  <c r="AH71" i="50"/>
  <c r="AI71" i="50" s="1"/>
  <c r="AB116" i="69"/>
  <c r="AG116" i="69"/>
  <c r="AO118" i="69"/>
  <c r="O119" i="69"/>
  <c r="AK74" i="50"/>
  <c r="AF132" i="53"/>
  <c r="AE133" i="53"/>
  <c r="AK64" i="32"/>
  <c r="AK63" i="32"/>
  <c r="AM73" i="50"/>
  <c r="R133" i="53"/>
  <c r="X133" i="53" s="1"/>
  <c r="AL71" i="50"/>
  <c r="AY117" i="69"/>
  <c r="L134" i="57"/>
  <c r="AG133" i="53"/>
  <c r="AH133" i="53"/>
  <c r="AT133" i="53"/>
  <c r="N134" i="57"/>
  <c r="L134" i="53"/>
  <c r="AH117" i="69"/>
  <c r="AD133" i="53"/>
  <c r="Q133" i="53"/>
  <c r="I134" i="53"/>
  <c r="P134" i="53"/>
  <c r="H134" i="53"/>
  <c r="K134" i="53"/>
  <c r="E134" i="53"/>
  <c r="C134" i="53"/>
  <c r="F134" i="53"/>
  <c r="AK133" i="52" a="1"/>
  <c r="AK133" i="52" s="1"/>
  <c r="B135" i="53" s="1"/>
  <c r="G134" i="53"/>
  <c r="J134" i="53"/>
  <c r="D134" i="53"/>
  <c r="I74" i="50"/>
  <c r="N74" i="50"/>
  <c r="J74" i="50"/>
  <c r="H74" i="50"/>
  <c r="G74" i="50"/>
  <c r="K74" i="50"/>
  <c r="M74" i="50"/>
  <c r="B74" i="50"/>
  <c r="R74" i="50" s="1"/>
  <c r="F74" i="50"/>
  <c r="U74" i="50" s="1"/>
  <c r="A74" i="50"/>
  <c r="L74" i="50"/>
  <c r="I134" i="57"/>
  <c r="G134" i="57"/>
  <c r="E134" i="57"/>
  <c r="C134" i="57"/>
  <c r="K134" i="57"/>
  <c r="F134" i="57"/>
  <c r="J134" i="57"/>
  <c r="D134" i="57"/>
  <c r="H134" i="57"/>
  <c r="AN133" i="55" a="1"/>
  <c r="AN133" i="55" s="1"/>
  <c r="B135" i="57" s="1"/>
  <c r="C119" i="69"/>
  <c r="P119" i="69" s="1"/>
  <c r="D118" i="69"/>
  <c r="E118" i="69" s="1"/>
  <c r="F118" i="69" s="1"/>
  <c r="G118" i="69" s="1"/>
  <c r="H118" i="69" s="1"/>
  <c r="I118" i="69" s="1"/>
  <c r="J118" i="69" s="1"/>
  <c r="K118" i="69" s="1"/>
  <c r="M118" i="69" s="1"/>
  <c r="AE117" i="69"/>
  <c r="R117" i="69"/>
  <c r="S117" i="69" s="1"/>
  <c r="Y117" i="69" s="1"/>
  <c r="AR119" i="67" a="1"/>
  <c r="AR119" i="67" s="1"/>
  <c r="B120" i="69"/>
  <c r="L120" i="69" s="1"/>
  <c r="AL64" i="11" a="1"/>
  <c r="AL64" i="11" s="1"/>
  <c r="AP74" i="59" a="1"/>
  <c r="AP74" i="59" s="1"/>
  <c r="E75" i="50" s="1"/>
  <c r="AD73" i="50" l="1"/>
  <c r="AG73" i="50" s="1"/>
  <c r="X132" i="57"/>
  <c r="AB132" i="57" s="1"/>
  <c r="AG134" i="57"/>
  <c r="M135" i="53"/>
  <c r="AC135" i="53" s="1"/>
  <c r="O135" i="53"/>
  <c r="AP119" i="69"/>
  <c r="N119" i="69"/>
  <c r="U119" i="69" s="1"/>
  <c r="AF131" i="57"/>
  <c r="AA131" i="57"/>
  <c r="Q133" i="57"/>
  <c r="T133" i="57" s="1"/>
  <c r="AJ133" i="57"/>
  <c r="AD133" i="57"/>
  <c r="R133" i="57"/>
  <c r="AE133" i="57"/>
  <c r="AC133" i="57"/>
  <c r="AQ133" i="57"/>
  <c r="M134" i="57"/>
  <c r="AK134" i="57" s="1"/>
  <c r="Q74" i="50"/>
  <c r="P74" i="50" s="1"/>
  <c r="N135" i="53"/>
  <c r="T75" i="50"/>
  <c r="O75" i="50"/>
  <c r="AA133" i="53"/>
  <c r="AB133" i="53"/>
  <c r="AP71" i="50"/>
  <c r="AJ73" i="50"/>
  <c r="C73" i="50"/>
  <c r="S74" i="50"/>
  <c r="Z74" i="50" s="1"/>
  <c r="W73" i="50"/>
  <c r="X72" i="50"/>
  <c r="V73" i="50"/>
  <c r="AF118" i="69"/>
  <c r="Q118" i="69"/>
  <c r="O135" i="57"/>
  <c r="P135" i="57"/>
  <c r="AC116" i="69"/>
  <c r="AD116" i="69" s="1"/>
  <c r="AH72" i="50"/>
  <c r="AI72" i="50" s="1"/>
  <c r="AB117" i="69"/>
  <c r="AG117" i="69"/>
  <c r="O120" i="69"/>
  <c r="AO119" i="69"/>
  <c r="AK75" i="50"/>
  <c r="AE134" i="53"/>
  <c r="AF133" i="53"/>
  <c r="AM74" i="50"/>
  <c r="R134" i="53"/>
  <c r="X134" i="53" s="1"/>
  <c r="AL72" i="50"/>
  <c r="AY118" i="69"/>
  <c r="L135" i="57"/>
  <c r="AH134" i="53"/>
  <c r="AT134" i="53"/>
  <c r="AG134" i="53"/>
  <c r="N135" i="57"/>
  <c r="P135" i="53"/>
  <c r="AH118" i="69"/>
  <c r="AD134" i="53"/>
  <c r="Q134" i="53"/>
  <c r="F135" i="53"/>
  <c r="K135" i="53"/>
  <c r="I135" i="53"/>
  <c r="AK134" i="52" a="1"/>
  <c r="AK134" i="52" s="1"/>
  <c r="B136" i="53" s="1"/>
  <c r="D135" i="53"/>
  <c r="L135" i="53"/>
  <c r="E135" i="53"/>
  <c r="J135" i="53"/>
  <c r="G135" i="53"/>
  <c r="C135" i="53"/>
  <c r="H135" i="53"/>
  <c r="I75" i="50"/>
  <c r="H75" i="50"/>
  <c r="M75" i="50"/>
  <c r="K75" i="50"/>
  <c r="A75" i="50"/>
  <c r="L75" i="50"/>
  <c r="B75" i="50"/>
  <c r="R75" i="50" s="1"/>
  <c r="G75" i="50"/>
  <c r="J75" i="50"/>
  <c r="N75" i="50"/>
  <c r="F75" i="50"/>
  <c r="U75" i="50" s="1"/>
  <c r="H135" i="57"/>
  <c r="G135" i="57"/>
  <c r="E135" i="57"/>
  <c r="D135" i="57"/>
  <c r="C135" i="57"/>
  <c r="I135" i="57"/>
  <c r="K135" i="57"/>
  <c r="F135" i="57"/>
  <c r="J135" i="57"/>
  <c r="E65" i="32"/>
  <c r="AN134" i="55" a="1"/>
  <c r="AN134" i="55" s="1"/>
  <c r="B136" i="57" s="1"/>
  <c r="AR120" i="67" a="1"/>
  <c r="AR120" i="67" s="1"/>
  <c r="B121" i="69"/>
  <c r="L121" i="69" s="1"/>
  <c r="C120" i="69"/>
  <c r="P120" i="69" s="1"/>
  <c r="R118" i="69"/>
  <c r="S118" i="69" s="1"/>
  <c r="Y118" i="69" s="1"/>
  <c r="AE118" i="69"/>
  <c r="D119" i="69"/>
  <c r="E119" i="69" s="1"/>
  <c r="F119" i="69" s="1"/>
  <c r="G119" i="69" s="1"/>
  <c r="H119" i="69" s="1"/>
  <c r="I119" i="69" s="1"/>
  <c r="J119" i="69" s="1"/>
  <c r="K119" i="69" s="1"/>
  <c r="M119" i="69" s="1"/>
  <c r="AL65" i="11" a="1"/>
  <c r="AL65" i="11" s="1"/>
  <c r="AP75" i="59" a="1"/>
  <c r="AP75" i="59" s="1"/>
  <c r="E76" i="50" s="1"/>
  <c r="AD74" i="50" l="1"/>
  <c r="AG74" i="50" s="1"/>
  <c r="X133" i="57"/>
  <c r="AB133" i="57" s="1"/>
  <c r="AG135" i="57"/>
  <c r="AJ134" i="57"/>
  <c r="M136" i="53"/>
  <c r="AC136" i="53" s="1"/>
  <c r="O136" i="53"/>
  <c r="AP120" i="69"/>
  <c r="N120" i="69"/>
  <c r="U120" i="69" s="1"/>
  <c r="Q134" i="57"/>
  <c r="T134" i="57" s="1"/>
  <c r="AE134" i="57"/>
  <c r="AF132" i="57"/>
  <c r="AA132" i="57"/>
  <c r="AD134" i="57"/>
  <c r="R134" i="57"/>
  <c r="AC134" i="57"/>
  <c r="AQ134" i="57"/>
  <c r="M135" i="57"/>
  <c r="AJ135" i="57" s="1"/>
  <c r="Q75" i="50"/>
  <c r="P75" i="50" s="1"/>
  <c r="N136" i="53"/>
  <c r="O65" i="32"/>
  <c r="T65" i="32"/>
  <c r="O76" i="50"/>
  <c r="T76" i="50"/>
  <c r="AA134" i="53"/>
  <c r="AB134" i="53"/>
  <c r="AP72" i="50"/>
  <c r="AJ74" i="50"/>
  <c r="C74" i="50"/>
  <c r="S75" i="50"/>
  <c r="Z75" i="50" s="1"/>
  <c r="W74" i="50"/>
  <c r="X73" i="50"/>
  <c r="V74" i="50"/>
  <c r="AF119" i="69"/>
  <c r="Q119" i="69"/>
  <c r="O136" i="57"/>
  <c r="P136" i="57"/>
  <c r="AC117" i="69"/>
  <c r="AD117" i="69" s="1"/>
  <c r="AH73" i="50"/>
  <c r="AI73" i="50" s="1"/>
  <c r="AB118" i="69"/>
  <c r="AG118" i="69"/>
  <c r="AO120" i="69"/>
  <c r="O121" i="69"/>
  <c r="AK76" i="50"/>
  <c r="AF134" i="53"/>
  <c r="AE135" i="53"/>
  <c r="AK65" i="32"/>
  <c r="AM75" i="50"/>
  <c r="R135" i="53"/>
  <c r="X135" i="53" s="1"/>
  <c r="AL73" i="50"/>
  <c r="AY119" i="69"/>
  <c r="L136" i="57"/>
  <c r="AG135" i="53"/>
  <c r="AH135" i="53"/>
  <c r="AT135" i="53"/>
  <c r="N136" i="57"/>
  <c r="J136" i="53"/>
  <c r="AH119" i="69"/>
  <c r="Q135" i="53"/>
  <c r="AD135" i="53"/>
  <c r="AK135" i="52" a="1"/>
  <c r="AK135" i="52" s="1"/>
  <c r="B137" i="53" s="1"/>
  <c r="P136" i="53"/>
  <c r="D136" i="53"/>
  <c r="F136" i="53"/>
  <c r="G136" i="53"/>
  <c r="E136" i="53"/>
  <c r="L136" i="53"/>
  <c r="C136" i="53"/>
  <c r="K136" i="53"/>
  <c r="I136" i="53"/>
  <c r="H136" i="53"/>
  <c r="F76" i="50"/>
  <c r="U76" i="50" s="1"/>
  <c r="M76" i="50"/>
  <c r="I76" i="50"/>
  <c r="K76" i="50"/>
  <c r="B76" i="50"/>
  <c r="R76" i="50" s="1"/>
  <c r="J76" i="50"/>
  <c r="G76" i="50"/>
  <c r="H76" i="50"/>
  <c r="N76" i="50"/>
  <c r="A76" i="50"/>
  <c r="L76" i="50"/>
  <c r="K136" i="57"/>
  <c r="I136" i="57"/>
  <c r="G136" i="57"/>
  <c r="E136" i="57"/>
  <c r="C136" i="57"/>
  <c r="F136" i="57"/>
  <c r="J136" i="57"/>
  <c r="H136" i="57"/>
  <c r="D136" i="57"/>
  <c r="E66" i="32"/>
  <c r="AN135" i="55" a="1"/>
  <c r="AN135" i="55" s="1"/>
  <c r="B137" i="57" s="1"/>
  <c r="D120" i="69"/>
  <c r="E120" i="69" s="1"/>
  <c r="F120" i="69" s="1"/>
  <c r="G120" i="69" s="1"/>
  <c r="H120" i="69" s="1"/>
  <c r="I120" i="69" s="1"/>
  <c r="J120" i="69" s="1"/>
  <c r="K120" i="69" s="1"/>
  <c r="M120" i="69" s="1"/>
  <c r="AE119" i="69"/>
  <c r="R119" i="69"/>
  <c r="S119" i="69" s="1"/>
  <c r="C121" i="69"/>
  <c r="P121" i="69" s="1"/>
  <c r="AR121" i="67" a="1"/>
  <c r="AR121" i="67" s="1"/>
  <c r="B122" i="69"/>
  <c r="L122" i="69" s="1"/>
  <c r="AL66" i="11" a="1"/>
  <c r="AL66" i="11" s="1"/>
  <c r="E67" i="32" s="1"/>
  <c r="AP76" i="59" a="1"/>
  <c r="AP76" i="59" s="1"/>
  <c r="E77" i="50" s="1"/>
  <c r="X134" i="57" l="1"/>
  <c r="AB134" i="57" s="1"/>
  <c r="Y119" i="69"/>
  <c r="AB119" i="69" s="1"/>
  <c r="AC119" i="69" s="1"/>
  <c r="AD119" i="69" s="1"/>
  <c r="AD75" i="50"/>
  <c r="AG75" i="50" s="1"/>
  <c r="AG136" i="57"/>
  <c r="AE135" i="57"/>
  <c r="M137" i="53"/>
  <c r="AC137" i="53" s="1"/>
  <c r="O137" i="53"/>
  <c r="AP121" i="69"/>
  <c r="N121" i="69"/>
  <c r="U121" i="69" s="1"/>
  <c r="AA133" i="57"/>
  <c r="R135" i="57"/>
  <c r="AC135" i="57"/>
  <c r="AF133" i="57"/>
  <c r="Q135" i="57"/>
  <c r="T135" i="57" s="1"/>
  <c r="AK135" i="57"/>
  <c r="AQ135" i="57"/>
  <c r="AD135" i="57"/>
  <c r="M136" i="57"/>
  <c r="AK136" i="57" s="1"/>
  <c r="Q76" i="50"/>
  <c r="P76" i="50" s="1"/>
  <c r="N137" i="53"/>
  <c r="T67" i="32"/>
  <c r="O67" i="32"/>
  <c r="T66" i="32"/>
  <c r="O66" i="32"/>
  <c r="O77" i="50"/>
  <c r="T77" i="50"/>
  <c r="AA135" i="53"/>
  <c r="AB135" i="53"/>
  <c r="AP73" i="50"/>
  <c r="AJ75" i="50"/>
  <c r="C75" i="50"/>
  <c r="S76" i="50"/>
  <c r="Z76" i="50" s="1"/>
  <c r="W75" i="50"/>
  <c r="X74" i="50"/>
  <c r="V75" i="50"/>
  <c r="AF120" i="69"/>
  <c r="Q120" i="69"/>
  <c r="O137" i="57"/>
  <c r="P137" i="57"/>
  <c r="AC118" i="69"/>
  <c r="AD118" i="69" s="1"/>
  <c r="AH74" i="50"/>
  <c r="AI74" i="50" s="1"/>
  <c r="O122" i="69"/>
  <c r="AO121" i="69"/>
  <c r="AK77" i="50"/>
  <c r="AF135" i="53"/>
  <c r="AE136" i="53"/>
  <c r="AK67" i="32"/>
  <c r="AK66" i="32"/>
  <c r="AM76" i="50"/>
  <c r="R136" i="53"/>
  <c r="X136" i="53" s="1"/>
  <c r="AL74" i="50"/>
  <c r="AY120" i="69"/>
  <c r="L137" i="57"/>
  <c r="Q136" i="53"/>
  <c r="AH136" i="53"/>
  <c r="AT136" i="53"/>
  <c r="AG136" i="53"/>
  <c r="N137" i="57"/>
  <c r="K137" i="53"/>
  <c r="AH120" i="69"/>
  <c r="AD136" i="53"/>
  <c r="G137" i="53"/>
  <c r="C137" i="53"/>
  <c r="P137" i="53"/>
  <c r="D137" i="53"/>
  <c r="I137" i="53"/>
  <c r="E137" i="53"/>
  <c r="AK136" i="52" a="1"/>
  <c r="AK136" i="52" s="1"/>
  <c r="B138" i="53" s="1"/>
  <c r="F137" i="53"/>
  <c r="L137" i="53"/>
  <c r="H137" i="53"/>
  <c r="J137" i="53"/>
  <c r="G77" i="50"/>
  <c r="M77" i="50"/>
  <c r="K77" i="50"/>
  <c r="F77" i="50"/>
  <c r="U77" i="50" s="1"/>
  <c r="H77" i="50"/>
  <c r="J77" i="50"/>
  <c r="I77" i="50"/>
  <c r="L77" i="50"/>
  <c r="B77" i="50"/>
  <c r="R77" i="50" s="1"/>
  <c r="A77" i="50"/>
  <c r="N77" i="50"/>
  <c r="I137" i="57"/>
  <c r="H137" i="57"/>
  <c r="G137" i="57"/>
  <c r="E137" i="57"/>
  <c r="D137" i="57"/>
  <c r="K137" i="57"/>
  <c r="C137" i="57"/>
  <c r="F137" i="57"/>
  <c r="J137" i="57"/>
  <c r="AN136" i="55" a="1"/>
  <c r="AN136" i="55" s="1"/>
  <c r="B138" i="57" s="1"/>
  <c r="AR122" i="67" a="1"/>
  <c r="AR122" i="67" s="1"/>
  <c r="B123" i="69"/>
  <c r="L123" i="69" s="1"/>
  <c r="R120" i="69"/>
  <c r="S120" i="69" s="1"/>
  <c r="Y120" i="69" s="1"/>
  <c r="AE120" i="69"/>
  <c r="C122" i="69"/>
  <c r="P122" i="69" s="1"/>
  <c r="D121" i="69"/>
  <c r="E121" i="69" s="1"/>
  <c r="F121" i="69" s="1"/>
  <c r="G121" i="69" s="1"/>
  <c r="H121" i="69" s="1"/>
  <c r="I121" i="69" s="1"/>
  <c r="J121" i="69" s="1"/>
  <c r="K121" i="69" s="1"/>
  <c r="M121" i="69" s="1"/>
  <c r="AL67" i="11" a="1"/>
  <c r="AL67" i="11" s="1"/>
  <c r="E68" i="32" s="1"/>
  <c r="AP77" i="59" a="1"/>
  <c r="AP77" i="59" s="1"/>
  <c r="E78" i="50" s="1"/>
  <c r="X135" i="57" l="1"/>
  <c r="AA135" i="57" s="1"/>
  <c r="AD76" i="50"/>
  <c r="AG76" i="50" s="1"/>
  <c r="AG119" i="69"/>
  <c r="AB120" i="69"/>
  <c r="AC120" i="69" s="1"/>
  <c r="AD120" i="69" s="1"/>
  <c r="AG137" i="57"/>
  <c r="AF134" i="57"/>
  <c r="M138" i="53"/>
  <c r="AC138" i="53" s="1"/>
  <c r="O138" i="53"/>
  <c r="AP122" i="69"/>
  <c r="N122" i="69"/>
  <c r="U122" i="69" s="1"/>
  <c r="AA134" i="57"/>
  <c r="AJ136" i="57"/>
  <c r="R136" i="57"/>
  <c r="Q136" i="57"/>
  <c r="T136" i="57" s="1"/>
  <c r="AE136" i="57"/>
  <c r="AC136" i="57"/>
  <c r="AD136" i="57"/>
  <c r="AQ136" i="57"/>
  <c r="M137" i="57"/>
  <c r="AQ137" i="57" s="1"/>
  <c r="Q77" i="50"/>
  <c r="P77" i="50" s="1"/>
  <c r="N138" i="53"/>
  <c r="O68" i="32"/>
  <c r="T68" i="32"/>
  <c r="T78" i="50"/>
  <c r="O78" i="50"/>
  <c r="AA136" i="53"/>
  <c r="AB136" i="53"/>
  <c r="AP74" i="50"/>
  <c r="C76" i="50"/>
  <c r="AJ76" i="50"/>
  <c r="S77" i="50"/>
  <c r="Z77" i="50" s="1"/>
  <c r="W76" i="50"/>
  <c r="X75" i="50"/>
  <c r="V76" i="50"/>
  <c r="AF121" i="69"/>
  <c r="Q121" i="69"/>
  <c r="O138" i="57"/>
  <c r="P138" i="57"/>
  <c r="AH75" i="50"/>
  <c r="AI75" i="50" s="1"/>
  <c r="AG120" i="69"/>
  <c r="O123" i="69"/>
  <c r="AO122" i="69"/>
  <c r="AK78" i="50"/>
  <c r="AE137" i="53"/>
  <c r="AF136" i="53"/>
  <c r="AK68" i="32"/>
  <c r="AM77" i="50"/>
  <c r="R137" i="53"/>
  <c r="X137" i="53" s="1"/>
  <c r="AL75" i="50"/>
  <c r="AY121" i="69"/>
  <c r="L138" i="57"/>
  <c r="AH137" i="53"/>
  <c r="AT137" i="53"/>
  <c r="AG137" i="53"/>
  <c r="N138" i="57"/>
  <c r="I138" i="53"/>
  <c r="AH121" i="69"/>
  <c r="Q137" i="53"/>
  <c r="AD137" i="53"/>
  <c r="AK137" i="52" a="1"/>
  <c r="AK137" i="52" s="1"/>
  <c r="B139" i="53" s="1"/>
  <c r="G138" i="53"/>
  <c r="J138" i="53"/>
  <c r="P138" i="53"/>
  <c r="K138" i="53"/>
  <c r="H138" i="53"/>
  <c r="F138" i="53"/>
  <c r="L138" i="53"/>
  <c r="C138" i="53"/>
  <c r="D138" i="53"/>
  <c r="E138" i="53"/>
  <c r="F78" i="50"/>
  <c r="U78" i="50" s="1"/>
  <c r="A78" i="50"/>
  <c r="K78" i="50"/>
  <c r="H78" i="50"/>
  <c r="L78" i="50"/>
  <c r="M78" i="50"/>
  <c r="B78" i="50"/>
  <c r="R78" i="50" s="1"/>
  <c r="G78" i="50"/>
  <c r="N78" i="50"/>
  <c r="I78" i="50"/>
  <c r="J78" i="50"/>
  <c r="K138" i="57"/>
  <c r="I138" i="57"/>
  <c r="G138" i="57"/>
  <c r="E138" i="57"/>
  <c r="C138" i="57"/>
  <c r="F138" i="57"/>
  <c r="J138" i="57"/>
  <c r="D138" i="57"/>
  <c r="H138" i="57"/>
  <c r="AN137" i="55" a="1"/>
  <c r="AN137" i="55" s="1"/>
  <c r="B139" i="57" s="1"/>
  <c r="D122" i="69"/>
  <c r="E122" i="69" s="1"/>
  <c r="F122" i="69" s="1"/>
  <c r="G122" i="69" s="1"/>
  <c r="H122" i="69" s="1"/>
  <c r="I122" i="69" s="1"/>
  <c r="J122" i="69" s="1"/>
  <c r="K122" i="69" s="1"/>
  <c r="M122" i="69" s="1"/>
  <c r="C123" i="69"/>
  <c r="P123" i="69" s="1"/>
  <c r="AE121" i="69"/>
  <c r="R121" i="69"/>
  <c r="S121" i="69" s="1"/>
  <c r="Y121" i="69" s="1"/>
  <c r="AR123" i="67" a="1"/>
  <c r="AR123" i="67" s="1"/>
  <c r="B124" i="69"/>
  <c r="L124" i="69" s="1"/>
  <c r="AL68" i="11" a="1"/>
  <c r="AL68" i="11" s="1"/>
  <c r="AP78" i="59" a="1"/>
  <c r="AP78" i="59" s="1"/>
  <c r="E79" i="50" s="1"/>
  <c r="AD77" i="50" l="1"/>
  <c r="AG77" i="50" s="1"/>
  <c r="X136" i="57"/>
  <c r="AB136" i="57" s="1"/>
  <c r="AG138" i="57"/>
  <c r="M139" i="53"/>
  <c r="AC139" i="53" s="1"/>
  <c r="O139" i="53"/>
  <c r="AP123" i="69"/>
  <c r="N123" i="69"/>
  <c r="U123" i="69" s="1"/>
  <c r="AB135" i="57"/>
  <c r="AF135" i="57"/>
  <c r="Q137" i="57"/>
  <c r="T137" i="57" s="1"/>
  <c r="AJ137" i="57"/>
  <c r="AD137" i="57"/>
  <c r="R137" i="57"/>
  <c r="AE137" i="57"/>
  <c r="AC137" i="57"/>
  <c r="AK137" i="57"/>
  <c r="M138" i="57"/>
  <c r="AJ138" i="57" s="1"/>
  <c r="Q78" i="50"/>
  <c r="P78" i="50" s="1"/>
  <c r="N139" i="53"/>
  <c r="T79" i="50"/>
  <c r="O79" i="50"/>
  <c r="AA137" i="53"/>
  <c r="AB137" i="53"/>
  <c r="AP75" i="50"/>
  <c r="AJ77" i="50"/>
  <c r="C77" i="50"/>
  <c r="S78" i="50"/>
  <c r="Z78" i="50" s="1"/>
  <c r="W77" i="50"/>
  <c r="X76" i="50"/>
  <c r="V77" i="50"/>
  <c r="AF122" i="69"/>
  <c r="Q122" i="69"/>
  <c r="O139" i="57"/>
  <c r="P139" i="57"/>
  <c r="AH76" i="50"/>
  <c r="AI76" i="50" s="1"/>
  <c r="AB121" i="69"/>
  <c r="AG121" i="69"/>
  <c r="AO123" i="69"/>
  <c r="O124" i="69"/>
  <c r="AK79" i="50"/>
  <c r="AE138" i="53"/>
  <c r="AF137" i="53"/>
  <c r="AM78" i="50"/>
  <c r="R138" i="53"/>
  <c r="X138" i="53" s="1"/>
  <c r="AL76" i="50"/>
  <c r="AY122" i="69"/>
  <c r="L139" i="57"/>
  <c r="AH138" i="53"/>
  <c r="AT138" i="53"/>
  <c r="AG138" i="53"/>
  <c r="N139" i="57"/>
  <c r="AH122" i="69"/>
  <c r="AD138" i="53"/>
  <c r="Q138" i="53"/>
  <c r="AK138" i="52" a="1"/>
  <c r="AK138" i="52" s="1"/>
  <c r="B140" i="53" s="1"/>
  <c r="J139" i="53"/>
  <c r="K139" i="53"/>
  <c r="I139" i="53"/>
  <c r="L139" i="53"/>
  <c r="E139" i="53"/>
  <c r="G139" i="53"/>
  <c r="C139" i="53"/>
  <c r="H139" i="53"/>
  <c r="F139" i="53"/>
  <c r="D139" i="53"/>
  <c r="P139" i="53"/>
  <c r="A79" i="50"/>
  <c r="M79" i="50"/>
  <c r="B79" i="50"/>
  <c r="R79" i="50" s="1"/>
  <c r="L79" i="50"/>
  <c r="J79" i="50"/>
  <c r="N79" i="50"/>
  <c r="F79" i="50"/>
  <c r="U79" i="50" s="1"/>
  <c r="I79" i="50"/>
  <c r="G79" i="50"/>
  <c r="K79" i="50"/>
  <c r="H79" i="50"/>
  <c r="K139" i="57"/>
  <c r="I139" i="57"/>
  <c r="H139" i="57"/>
  <c r="G139" i="57"/>
  <c r="E139" i="57"/>
  <c r="C139" i="57"/>
  <c r="D139" i="57"/>
  <c r="J139" i="57"/>
  <c r="F139" i="57"/>
  <c r="E69" i="32"/>
  <c r="AN138" i="55" a="1"/>
  <c r="AN138" i="55" s="1"/>
  <c r="B140" i="57" s="1"/>
  <c r="AR124" i="67" a="1"/>
  <c r="AR124" i="67" s="1"/>
  <c r="B125" i="69"/>
  <c r="L125" i="69" s="1"/>
  <c r="C124" i="69"/>
  <c r="P124" i="69" s="1"/>
  <c r="D123" i="69"/>
  <c r="E123" i="69" s="1"/>
  <c r="F123" i="69" s="1"/>
  <c r="G123" i="69" s="1"/>
  <c r="H123" i="69" s="1"/>
  <c r="I123" i="69" s="1"/>
  <c r="J123" i="69" s="1"/>
  <c r="K123" i="69" s="1"/>
  <c r="M123" i="69" s="1"/>
  <c r="R122" i="69"/>
  <c r="S122" i="69" s="1"/>
  <c r="Y122" i="69" s="1"/>
  <c r="AE122" i="69"/>
  <c r="AL69" i="11" a="1"/>
  <c r="AL69" i="11" s="1"/>
  <c r="E70" i="32" s="1"/>
  <c r="AP79" i="59" a="1"/>
  <c r="AP79" i="59" s="1"/>
  <c r="E80" i="50" s="1"/>
  <c r="AD78" i="50" l="1"/>
  <c r="AG78" i="50" s="1"/>
  <c r="X137" i="57"/>
  <c r="AB137" i="57" s="1"/>
  <c r="AG139" i="57"/>
  <c r="AA136" i="57"/>
  <c r="M140" i="53"/>
  <c r="AC140" i="53" s="1"/>
  <c r="O140" i="53"/>
  <c r="AP124" i="69"/>
  <c r="N124" i="69"/>
  <c r="U124" i="69" s="1"/>
  <c r="AF136" i="57"/>
  <c r="R138" i="57"/>
  <c r="AC138" i="57"/>
  <c r="AD138" i="57"/>
  <c r="AE138" i="57"/>
  <c r="AK138" i="57"/>
  <c r="Q138" i="57"/>
  <c r="T138" i="57" s="1"/>
  <c r="AQ138" i="57"/>
  <c r="M139" i="57"/>
  <c r="AK139" i="57" s="1"/>
  <c r="Q79" i="50"/>
  <c r="P79" i="50" s="1"/>
  <c r="N140" i="53"/>
  <c r="T70" i="32"/>
  <c r="O70" i="32"/>
  <c r="O69" i="32"/>
  <c r="T69" i="32"/>
  <c r="O80" i="50"/>
  <c r="T80" i="50"/>
  <c r="AA138" i="53"/>
  <c r="AB138" i="53"/>
  <c r="AP76" i="50"/>
  <c r="AJ78" i="50"/>
  <c r="C78" i="50"/>
  <c r="S79" i="50"/>
  <c r="Z79" i="50" s="1"/>
  <c r="W78" i="50"/>
  <c r="X77" i="50"/>
  <c r="V78" i="50"/>
  <c r="AF123" i="69"/>
  <c r="Q123" i="69"/>
  <c r="O140" i="57"/>
  <c r="P140" i="57"/>
  <c r="AC121" i="69"/>
  <c r="AD121" i="69" s="1"/>
  <c r="AH77" i="50"/>
  <c r="AI77" i="50" s="1"/>
  <c r="AB122" i="69"/>
  <c r="AG122" i="69"/>
  <c r="O125" i="69"/>
  <c r="AO124" i="69"/>
  <c r="AK80" i="50"/>
  <c r="AE139" i="53"/>
  <c r="AF138" i="53"/>
  <c r="AK70" i="32"/>
  <c r="AK69" i="32"/>
  <c r="AM79" i="50"/>
  <c r="R139" i="53"/>
  <c r="X139" i="53" s="1"/>
  <c r="AL77" i="50"/>
  <c r="AY123" i="69"/>
  <c r="L140" i="57"/>
  <c r="AG139" i="53"/>
  <c r="AH139" i="53"/>
  <c r="AT139" i="53"/>
  <c r="N140" i="57"/>
  <c r="AH123" i="69"/>
  <c r="Q139" i="53"/>
  <c r="AD139" i="53"/>
  <c r="AK139" i="52" a="1"/>
  <c r="AK139" i="52" s="1"/>
  <c r="B141" i="53" s="1"/>
  <c r="H140" i="53"/>
  <c r="G140" i="53"/>
  <c r="I140" i="53"/>
  <c r="F140" i="53"/>
  <c r="P140" i="53"/>
  <c r="K140" i="53"/>
  <c r="E140" i="53"/>
  <c r="D140" i="53"/>
  <c r="C140" i="53"/>
  <c r="L140" i="53"/>
  <c r="J140" i="53"/>
  <c r="M80" i="50"/>
  <c r="A80" i="50"/>
  <c r="N80" i="50"/>
  <c r="G80" i="50"/>
  <c r="I80" i="50"/>
  <c r="J80" i="50"/>
  <c r="K80" i="50"/>
  <c r="F80" i="50"/>
  <c r="U80" i="50" s="1"/>
  <c r="L80" i="50"/>
  <c r="H80" i="50"/>
  <c r="B80" i="50"/>
  <c r="R80" i="50" s="1"/>
  <c r="K140" i="57"/>
  <c r="I140" i="57"/>
  <c r="G140" i="57"/>
  <c r="E140" i="57"/>
  <c r="C140" i="57"/>
  <c r="F140" i="57"/>
  <c r="J140" i="57"/>
  <c r="H140" i="57"/>
  <c r="D140" i="57"/>
  <c r="AN139" i="55" a="1"/>
  <c r="AN139" i="55" s="1"/>
  <c r="B141" i="57" s="1"/>
  <c r="R123" i="69"/>
  <c r="S123" i="69" s="1"/>
  <c r="Y123" i="69" s="1"/>
  <c r="AE123" i="69"/>
  <c r="C125" i="69"/>
  <c r="P125" i="69" s="1"/>
  <c r="D124" i="69"/>
  <c r="E124" i="69" s="1"/>
  <c r="F124" i="69" s="1"/>
  <c r="G124" i="69" s="1"/>
  <c r="H124" i="69" s="1"/>
  <c r="I124" i="69" s="1"/>
  <c r="J124" i="69" s="1"/>
  <c r="K124" i="69" s="1"/>
  <c r="M124" i="69" s="1"/>
  <c r="AR125" i="67" a="1"/>
  <c r="AR125" i="67" s="1"/>
  <c r="B126" i="69"/>
  <c r="L126" i="69" s="1"/>
  <c r="AL70" i="11" a="1"/>
  <c r="AL70" i="11" s="1"/>
  <c r="E71" i="32" s="1"/>
  <c r="AP80" i="59" a="1"/>
  <c r="AP80" i="59" s="1"/>
  <c r="E81" i="50" s="1"/>
  <c r="X138" i="57" l="1"/>
  <c r="AB138" i="57" s="1"/>
  <c r="AD79" i="50"/>
  <c r="AG79" i="50" s="1"/>
  <c r="AG140" i="57"/>
  <c r="M141" i="53"/>
  <c r="AC141" i="53" s="1"/>
  <c r="O141" i="53"/>
  <c r="AP125" i="69"/>
  <c r="N125" i="69"/>
  <c r="U125" i="69" s="1"/>
  <c r="Q139" i="57"/>
  <c r="T139" i="57" s="1"/>
  <c r="AF137" i="57"/>
  <c r="AA137" i="57"/>
  <c r="AJ139" i="57"/>
  <c r="R139" i="57"/>
  <c r="AC139" i="57"/>
  <c r="AD139" i="57"/>
  <c r="AE139" i="57"/>
  <c r="AQ139" i="57"/>
  <c r="M140" i="57"/>
  <c r="AK140" i="57" s="1"/>
  <c r="Q80" i="50"/>
  <c r="P80" i="50" s="1"/>
  <c r="N141" i="53"/>
  <c r="T71" i="32"/>
  <c r="O71" i="32"/>
  <c r="O81" i="50"/>
  <c r="T81" i="50"/>
  <c r="AA139" i="53"/>
  <c r="AB139" i="53"/>
  <c r="AP77" i="50"/>
  <c r="AJ79" i="50"/>
  <c r="C79" i="50"/>
  <c r="S80" i="50"/>
  <c r="Z80" i="50" s="1"/>
  <c r="W79" i="50"/>
  <c r="X78" i="50"/>
  <c r="V79" i="50"/>
  <c r="AF124" i="69"/>
  <c r="Q124" i="69"/>
  <c r="O141" i="57"/>
  <c r="P141" i="57"/>
  <c r="AC122" i="69"/>
  <c r="AD122" i="69" s="1"/>
  <c r="AH78" i="50"/>
  <c r="AI78" i="50" s="1"/>
  <c r="AB123" i="69"/>
  <c r="AG123" i="69"/>
  <c r="AO125" i="69"/>
  <c r="O126" i="69"/>
  <c r="AK81" i="50"/>
  <c r="AF139" i="53"/>
  <c r="AE140" i="53"/>
  <c r="AK71" i="32"/>
  <c r="AM80" i="50"/>
  <c r="R140" i="53"/>
  <c r="X140" i="53" s="1"/>
  <c r="AL78" i="50"/>
  <c r="AY124" i="69"/>
  <c r="L141" i="57"/>
  <c r="AH140" i="53"/>
  <c r="AT140" i="53"/>
  <c r="AG140" i="53"/>
  <c r="N141" i="57"/>
  <c r="AH124" i="69"/>
  <c r="Q140" i="53"/>
  <c r="AD140" i="53"/>
  <c r="J141" i="53"/>
  <c r="D141" i="53"/>
  <c r="G141" i="53"/>
  <c r="C141" i="53"/>
  <c r="H141" i="53"/>
  <c r="K141" i="53"/>
  <c r="F141" i="53"/>
  <c r="I141" i="53"/>
  <c r="L141" i="53"/>
  <c r="AK140" i="52" a="1"/>
  <c r="AK140" i="52" s="1"/>
  <c r="B142" i="53" s="1"/>
  <c r="E141" i="53"/>
  <c r="P141" i="53"/>
  <c r="F81" i="50"/>
  <c r="U81" i="50" s="1"/>
  <c r="B81" i="50"/>
  <c r="R81" i="50" s="1"/>
  <c r="H81" i="50"/>
  <c r="I81" i="50"/>
  <c r="L81" i="50"/>
  <c r="K81" i="50"/>
  <c r="A81" i="50"/>
  <c r="M81" i="50"/>
  <c r="J81" i="50"/>
  <c r="G81" i="50"/>
  <c r="N81" i="50"/>
  <c r="K141" i="57"/>
  <c r="I141" i="57"/>
  <c r="H141" i="57"/>
  <c r="G141" i="57"/>
  <c r="E141" i="57"/>
  <c r="C141" i="57"/>
  <c r="D141" i="57"/>
  <c r="F141" i="57"/>
  <c r="J141" i="57"/>
  <c r="AN140" i="55" a="1"/>
  <c r="AN140" i="55" s="1"/>
  <c r="B142" i="57" s="1"/>
  <c r="C126" i="69"/>
  <c r="P126" i="69" s="1"/>
  <c r="AE124" i="69"/>
  <c r="R124" i="69"/>
  <c r="S124" i="69" s="1"/>
  <c r="Y124" i="69" s="1"/>
  <c r="D125" i="69"/>
  <c r="E125" i="69" s="1"/>
  <c r="F125" i="69" s="1"/>
  <c r="G125" i="69" s="1"/>
  <c r="H125" i="69" s="1"/>
  <c r="I125" i="69" s="1"/>
  <c r="J125" i="69" s="1"/>
  <c r="K125" i="69" s="1"/>
  <c r="M125" i="69" s="1"/>
  <c r="AR126" i="67" a="1"/>
  <c r="AR126" i="67" s="1"/>
  <c r="B127" i="69"/>
  <c r="L127" i="69" s="1"/>
  <c r="AL71" i="11" a="1"/>
  <c r="AL71" i="11" s="1"/>
  <c r="E72" i="32" s="1"/>
  <c r="AP81" i="59" a="1"/>
  <c r="AP81" i="59" s="1"/>
  <c r="E82" i="50" s="1"/>
  <c r="AB124" i="69" l="1"/>
  <c r="AC124" i="69" s="1"/>
  <c r="AD124" i="69" s="1"/>
  <c r="AD80" i="50"/>
  <c r="AG80" i="50" s="1"/>
  <c r="AG141" i="57"/>
  <c r="X139" i="57"/>
  <c r="AB139" i="57" s="1"/>
  <c r="M142" i="53"/>
  <c r="AC142" i="53" s="1"/>
  <c r="O142" i="53"/>
  <c r="AP126" i="69"/>
  <c r="N126" i="69"/>
  <c r="U126" i="69" s="1"/>
  <c r="AF138" i="57"/>
  <c r="AA138" i="57"/>
  <c r="AJ140" i="57"/>
  <c r="R140" i="57"/>
  <c r="AC140" i="57"/>
  <c r="AD140" i="57"/>
  <c r="AE140" i="57"/>
  <c r="Q140" i="57"/>
  <c r="T140" i="57" s="1"/>
  <c r="AQ140" i="57"/>
  <c r="M141" i="57"/>
  <c r="AK141" i="57" s="1"/>
  <c r="Q81" i="50"/>
  <c r="P81" i="50" s="1"/>
  <c r="N142" i="53"/>
  <c r="O72" i="32"/>
  <c r="T72" i="32"/>
  <c r="T82" i="50"/>
  <c r="O82" i="50"/>
  <c r="AA140" i="53"/>
  <c r="AB140" i="53"/>
  <c r="AP78" i="50"/>
  <c r="AJ80" i="50"/>
  <c r="C80" i="50"/>
  <c r="S81" i="50"/>
  <c r="Z81" i="50" s="1"/>
  <c r="W80" i="50"/>
  <c r="X79" i="50"/>
  <c r="V80" i="50"/>
  <c r="AF125" i="69"/>
  <c r="Q125" i="69"/>
  <c r="O142" i="57"/>
  <c r="P142" i="57"/>
  <c r="AC123" i="69"/>
  <c r="AD123" i="69" s="1"/>
  <c r="AH79" i="50"/>
  <c r="AI79" i="50" s="1"/>
  <c r="O127" i="69"/>
  <c r="AO126" i="69"/>
  <c r="AG124" i="69"/>
  <c r="AK82" i="50"/>
  <c r="AE141" i="53"/>
  <c r="AF140" i="53"/>
  <c r="AK72" i="32"/>
  <c r="AM81" i="50"/>
  <c r="R141" i="53"/>
  <c r="X141" i="53" s="1"/>
  <c r="AL79" i="50"/>
  <c r="AY125" i="69"/>
  <c r="L142" i="57"/>
  <c r="AG141" i="53"/>
  <c r="AH141" i="53"/>
  <c r="AT141" i="53"/>
  <c r="N142" i="57"/>
  <c r="AH125" i="69"/>
  <c r="Q141" i="53"/>
  <c r="AD141" i="53"/>
  <c r="AK141" i="52" a="1"/>
  <c r="AK141" i="52" s="1"/>
  <c r="B143" i="53" s="1"/>
  <c r="L142" i="53"/>
  <c r="I142" i="53"/>
  <c r="D142" i="53"/>
  <c r="P142" i="53"/>
  <c r="F142" i="53"/>
  <c r="K142" i="53"/>
  <c r="H142" i="53"/>
  <c r="C142" i="53"/>
  <c r="E142" i="53"/>
  <c r="G142" i="53"/>
  <c r="J142" i="53"/>
  <c r="K82" i="50"/>
  <c r="B82" i="50"/>
  <c r="R82" i="50" s="1"/>
  <c r="M82" i="50"/>
  <c r="A82" i="50"/>
  <c r="I82" i="50"/>
  <c r="F82" i="50"/>
  <c r="U82" i="50" s="1"/>
  <c r="L82" i="50"/>
  <c r="H82" i="50"/>
  <c r="N82" i="50"/>
  <c r="J82" i="50"/>
  <c r="G82" i="50"/>
  <c r="K142" i="57"/>
  <c r="I142" i="57"/>
  <c r="G142" i="57"/>
  <c r="C142" i="57"/>
  <c r="E142" i="57"/>
  <c r="F142" i="57"/>
  <c r="D142" i="57"/>
  <c r="J142" i="57"/>
  <c r="H142" i="57"/>
  <c r="AN141" i="55" a="1"/>
  <c r="AN141" i="55" s="1"/>
  <c r="B143" i="57" s="1"/>
  <c r="AE125" i="69"/>
  <c r="R125" i="69"/>
  <c r="S125" i="69" s="1"/>
  <c r="Y125" i="69" s="1"/>
  <c r="D126" i="69"/>
  <c r="E126" i="69" s="1"/>
  <c r="F126" i="69" s="1"/>
  <c r="G126" i="69" s="1"/>
  <c r="H126" i="69" s="1"/>
  <c r="I126" i="69" s="1"/>
  <c r="J126" i="69" s="1"/>
  <c r="K126" i="69" s="1"/>
  <c r="M126" i="69" s="1"/>
  <c r="C127" i="69"/>
  <c r="P127" i="69" s="1"/>
  <c r="AR127" i="67" a="1"/>
  <c r="AR127" i="67" s="1"/>
  <c r="B128" i="69"/>
  <c r="L128" i="69" s="1"/>
  <c r="AL72" i="11" a="1"/>
  <c r="AL72" i="11" s="1"/>
  <c r="E73" i="32" s="1"/>
  <c r="AP82" i="59" a="1"/>
  <c r="AP82" i="59" s="1"/>
  <c r="E83" i="50" s="1"/>
  <c r="AA139" i="57" l="1"/>
  <c r="AD81" i="50"/>
  <c r="AG81" i="50" s="1"/>
  <c r="AG142" i="57"/>
  <c r="X140" i="57"/>
  <c r="AA140" i="57" s="1"/>
  <c r="AF139" i="57"/>
  <c r="M143" i="53"/>
  <c r="AC143" i="53" s="1"/>
  <c r="O143" i="53"/>
  <c r="AP127" i="69"/>
  <c r="N127" i="69"/>
  <c r="U127" i="69" s="1"/>
  <c r="AJ141" i="57"/>
  <c r="R141" i="57"/>
  <c r="AE141" i="57"/>
  <c r="Q141" i="57"/>
  <c r="T141" i="57" s="1"/>
  <c r="AD141" i="57"/>
  <c r="AC141" i="57"/>
  <c r="AQ141" i="57"/>
  <c r="M142" i="57"/>
  <c r="AK142" i="57" s="1"/>
  <c r="Q82" i="50"/>
  <c r="P82" i="50" s="1"/>
  <c r="N143" i="53"/>
  <c r="O73" i="32"/>
  <c r="T73" i="32"/>
  <c r="T83" i="50"/>
  <c r="O83" i="50"/>
  <c r="AA141" i="53"/>
  <c r="AB141" i="53"/>
  <c r="AP79" i="50"/>
  <c r="AJ81" i="50"/>
  <c r="C81" i="50"/>
  <c r="S82" i="50"/>
  <c r="Z82" i="50" s="1"/>
  <c r="W81" i="50"/>
  <c r="X80" i="50"/>
  <c r="V81" i="50"/>
  <c r="AF126" i="69"/>
  <c r="Q126" i="69"/>
  <c r="O143" i="57"/>
  <c r="P143" i="57"/>
  <c r="AH80" i="50"/>
  <c r="AI80" i="50" s="1"/>
  <c r="AB125" i="69"/>
  <c r="AG125" i="69"/>
  <c r="O128" i="69"/>
  <c r="AO127" i="69"/>
  <c r="AK83" i="50"/>
  <c r="AF141" i="53"/>
  <c r="AE142" i="53"/>
  <c r="AK73" i="32"/>
  <c r="AM82" i="50"/>
  <c r="R142" i="53"/>
  <c r="X142" i="53" s="1"/>
  <c r="AL80" i="50"/>
  <c r="AY126" i="69"/>
  <c r="L143" i="57"/>
  <c r="AG142" i="53"/>
  <c r="AH142" i="53"/>
  <c r="AT142" i="53"/>
  <c r="N143" i="57"/>
  <c r="AH126" i="69"/>
  <c r="AD142" i="53"/>
  <c r="Q142" i="53"/>
  <c r="F143" i="53"/>
  <c r="E143" i="53"/>
  <c r="H143" i="53"/>
  <c r="D143" i="53"/>
  <c r="J143" i="53"/>
  <c r="G143" i="53"/>
  <c r="K143" i="53"/>
  <c r="P143" i="53"/>
  <c r="I143" i="53"/>
  <c r="C143" i="53"/>
  <c r="AK142" i="52" a="1"/>
  <c r="AK142" i="52" s="1"/>
  <c r="B144" i="53" s="1"/>
  <c r="L143" i="53"/>
  <c r="B83" i="50"/>
  <c r="R83" i="50" s="1"/>
  <c r="J83" i="50"/>
  <c r="F83" i="50"/>
  <c r="U83" i="50" s="1"/>
  <c r="K83" i="50"/>
  <c r="A83" i="50"/>
  <c r="N83" i="50"/>
  <c r="I83" i="50"/>
  <c r="M83" i="50"/>
  <c r="H83" i="50"/>
  <c r="G83" i="50"/>
  <c r="L83" i="50"/>
  <c r="C143" i="57"/>
  <c r="K143" i="57"/>
  <c r="I143" i="57"/>
  <c r="H143" i="57"/>
  <c r="G143" i="57"/>
  <c r="D143" i="57"/>
  <c r="E143" i="57"/>
  <c r="J143" i="57"/>
  <c r="F143" i="57"/>
  <c r="AN142" i="55" a="1"/>
  <c r="AN142" i="55" s="1"/>
  <c r="B144" i="57" s="1"/>
  <c r="D127" i="69"/>
  <c r="E127" i="69" s="1"/>
  <c r="F127" i="69" s="1"/>
  <c r="G127" i="69" s="1"/>
  <c r="H127" i="69" s="1"/>
  <c r="I127" i="69" s="1"/>
  <c r="J127" i="69" s="1"/>
  <c r="K127" i="69" s="1"/>
  <c r="M127" i="69" s="1"/>
  <c r="C128" i="69"/>
  <c r="P128" i="69" s="1"/>
  <c r="AR128" i="67" a="1"/>
  <c r="AR128" i="67" s="1"/>
  <c r="B129" i="69"/>
  <c r="L129" i="69" s="1"/>
  <c r="R126" i="69"/>
  <c r="S126" i="69" s="1"/>
  <c r="Y126" i="69" s="1"/>
  <c r="AE126" i="69"/>
  <c r="AL73" i="11" a="1"/>
  <c r="AL73" i="11" s="1"/>
  <c r="AP83" i="59" a="1"/>
  <c r="AP83" i="59" s="1"/>
  <c r="E84" i="50" s="1"/>
  <c r="AD82" i="50" l="1"/>
  <c r="AG82" i="50" s="1"/>
  <c r="AF140" i="57"/>
  <c r="AB140" i="57"/>
  <c r="AG143" i="57"/>
  <c r="X141" i="57"/>
  <c r="AB141" i="57" s="1"/>
  <c r="M144" i="53"/>
  <c r="AC144" i="53" s="1"/>
  <c r="O144" i="53"/>
  <c r="AP128" i="69"/>
  <c r="N128" i="69"/>
  <c r="U128" i="69" s="1"/>
  <c r="AD142" i="57"/>
  <c r="Q142" i="57"/>
  <c r="T142" i="57" s="1"/>
  <c r="R142" i="57"/>
  <c r="AC142" i="57"/>
  <c r="AQ142" i="57"/>
  <c r="AJ142" i="57"/>
  <c r="AE142" i="57"/>
  <c r="M143" i="57"/>
  <c r="AK143" i="57" s="1"/>
  <c r="Q83" i="50"/>
  <c r="P83" i="50" s="1"/>
  <c r="N144" i="53"/>
  <c r="O84" i="50"/>
  <c r="T84" i="50"/>
  <c r="AA142" i="53"/>
  <c r="AB142" i="53"/>
  <c r="AP80" i="50"/>
  <c r="AJ82" i="50"/>
  <c r="C82" i="50"/>
  <c r="S83" i="50"/>
  <c r="Z83" i="50" s="1"/>
  <c r="W82" i="50"/>
  <c r="X81" i="50"/>
  <c r="V82" i="50"/>
  <c r="AF127" i="69"/>
  <c r="Q127" i="69"/>
  <c r="O144" i="57"/>
  <c r="P144" i="57"/>
  <c r="AC125" i="69"/>
  <c r="AD125" i="69" s="1"/>
  <c r="AH81" i="50"/>
  <c r="AI81" i="50" s="1"/>
  <c r="AB126" i="69"/>
  <c r="AG126" i="69"/>
  <c r="AO128" i="69"/>
  <c r="O129" i="69"/>
  <c r="AK84" i="50"/>
  <c r="AE143" i="53"/>
  <c r="AF142" i="53"/>
  <c r="AM83" i="50"/>
  <c r="R143" i="53"/>
  <c r="X143" i="53" s="1"/>
  <c r="AL81" i="50"/>
  <c r="AY127" i="69"/>
  <c r="L144" i="57"/>
  <c r="Q143" i="53"/>
  <c r="AH143" i="53"/>
  <c r="AT143" i="53"/>
  <c r="AG143" i="53"/>
  <c r="N144" i="57"/>
  <c r="D144" i="53"/>
  <c r="AD143" i="53"/>
  <c r="AH127" i="69"/>
  <c r="AK143" i="52" a="1"/>
  <c r="AK143" i="52" s="1"/>
  <c r="B145" i="53" s="1"/>
  <c r="F144" i="53"/>
  <c r="H144" i="53"/>
  <c r="P144" i="53"/>
  <c r="E144" i="53"/>
  <c r="G144" i="53"/>
  <c r="J144" i="53"/>
  <c r="C144" i="53"/>
  <c r="L144" i="53"/>
  <c r="I144" i="53"/>
  <c r="K144" i="53"/>
  <c r="J84" i="50"/>
  <c r="M84" i="50"/>
  <c r="I84" i="50"/>
  <c r="K84" i="50"/>
  <c r="A84" i="50"/>
  <c r="H84" i="50"/>
  <c r="F84" i="50"/>
  <c r="U84" i="50" s="1"/>
  <c r="N84" i="50"/>
  <c r="L84" i="50"/>
  <c r="G84" i="50"/>
  <c r="B84" i="50"/>
  <c r="R84" i="50" s="1"/>
  <c r="C144" i="57"/>
  <c r="K144" i="57"/>
  <c r="I144" i="57"/>
  <c r="E144" i="57"/>
  <c r="G144" i="57"/>
  <c r="F144" i="57"/>
  <c r="J144" i="57"/>
  <c r="D144" i="57"/>
  <c r="H144" i="57"/>
  <c r="E74" i="32"/>
  <c r="AN143" i="55" a="1"/>
  <c r="AN143" i="55" s="1"/>
  <c r="B145" i="57" s="1"/>
  <c r="D128" i="69"/>
  <c r="E128" i="69" s="1"/>
  <c r="F128" i="69" s="1"/>
  <c r="G128" i="69" s="1"/>
  <c r="H128" i="69" s="1"/>
  <c r="I128" i="69" s="1"/>
  <c r="J128" i="69" s="1"/>
  <c r="K128" i="69" s="1"/>
  <c r="M128" i="69" s="1"/>
  <c r="AR129" i="67" a="1"/>
  <c r="AR129" i="67" s="1"/>
  <c r="B130" i="69"/>
  <c r="L130" i="69" s="1"/>
  <c r="C129" i="69"/>
  <c r="P129" i="69" s="1"/>
  <c r="AE127" i="69"/>
  <c r="R127" i="69"/>
  <c r="S127" i="69" s="1"/>
  <c r="AL74" i="11" a="1"/>
  <c r="AL74" i="11" s="1"/>
  <c r="AP84" i="59" a="1"/>
  <c r="AP84" i="59" s="1"/>
  <c r="E85" i="50" s="1"/>
  <c r="Y127" i="69" l="1"/>
  <c r="AB127" i="69" s="1"/>
  <c r="AC127" i="69" s="1"/>
  <c r="AD127" i="69" s="1"/>
  <c r="AD83" i="50"/>
  <c r="AG83" i="50" s="1"/>
  <c r="X142" i="57"/>
  <c r="AF142" i="57" s="1"/>
  <c r="AG144" i="57"/>
  <c r="M145" i="53"/>
  <c r="AC145" i="53" s="1"/>
  <c r="O145" i="53"/>
  <c r="AP129" i="69"/>
  <c r="N129" i="69"/>
  <c r="U129" i="69" s="1"/>
  <c r="AQ143" i="57"/>
  <c r="AE143" i="57"/>
  <c r="AA141" i="57"/>
  <c r="AF141" i="57"/>
  <c r="AD143" i="57"/>
  <c r="AJ143" i="57"/>
  <c r="Q143" i="57"/>
  <c r="T143" i="57" s="1"/>
  <c r="R143" i="57"/>
  <c r="AC143" i="57"/>
  <c r="M144" i="57"/>
  <c r="AK144" i="57" s="1"/>
  <c r="Q84" i="50"/>
  <c r="P84" i="50" s="1"/>
  <c r="N145" i="53"/>
  <c r="T74" i="32"/>
  <c r="O74" i="32"/>
  <c r="O85" i="50"/>
  <c r="T85" i="50"/>
  <c r="AA143" i="53"/>
  <c r="AB143" i="53"/>
  <c r="AP81" i="50"/>
  <c r="AJ83" i="50"/>
  <c r="C83" i="50"/>
  <c r="S84" i="50"/>
  <c r="Z84" i="50" s="1"/>
  <c r="W83" i="50"/>
  <c r="X82" i="50"/>
  <c r="V83" i="50"/>
  <c r="AF128" i="69"/>
  <c r="Q128" i="69"/>
  <c r="O145" i="57"/>
  <c r="P145" i="57"/>
  <c r="AC126" i="69"/>
  <c r="AD126" i="69" s="1"/>
  <c r="AH82" i="50"/>
  <c r="AI82" i="50" s="1"/>
  <c r="AO129" i="69"/>
  <c r="O130" i="69"/>
  <c r="AK85" i="50"/>
  <c r="AF143" i="53"/>
  <c r="AE144" i="53"/>
  <c r="AK74" i="32"/>
  <c r="AM84" i="50"/>
  <c r="R144" i="53"/>
  <c r="X144" i="53" s="1"/>
  <c r="AL82" i="50"/>
  <c r="AY128" i="69"/>
  <c r="L145" i="57"/>
  <c r="AH144" i="53"/>
  <c r="AT144" i="53"/>
  <c r="AG144" i="53"/>
  <c r="N145" i="57"/>
  <c r="K145" i="53"/>
  <c r="AH128" i="69"/>
  <c r="Q144" i="53"/>
  <c r="AD144" i="53"/>
  <c r="AK144" i="52" a="1"/>
  <c r="AK144" i="52" s="1"/>
  <c r="B146" i="53" s="1"/>
  <c r="H145" i="53"/>
  <c r="J145" i="53"/>
  <c r="F145" i="53"/>
  <c r="L145" i="53"/>
  <c r="E145" i="53"/>
  <c r="G145" i="53"/>
  <c r="P145" i="53"/>
  <c r="I145" i="53"/>
  <c r="D145" i="53"/>
  <c r="C145" i="53"/>
  <c r="M85" i="50"/>
  <c r="F85" i="50"/>
  <c r="U85" i="50" s="1"/>
  <c r="N85" i="50"/>
  <c r="L85" i="50"/>
  <c r="G85" i="50"/>
  <c r="H85" i="50"/>
  <c r="B85" i="50"/>
  <c r="R85" i="50" s="1"/>
  <c r="J85" i="50"/>
  <c r="K85" i="50"/>
  <c r="A85" i="50"/>
  <c r="I85" i="50"/>
  <c r="D145" i="57"/>
  <c r="C145" i="57"/>
  <c r="K145" i="57"/>
  <c r="I145" i="57"/>
  <c r="H145" i="57"/>
  <c r="E145" i="57"/>
  <c r="G145" i="57"/>
  <c r="F145" i="57"/>
  <c r="J145" i="57"/>
  <c r="E75" i="32"/>
  <c r="AN144" i="55" a="1"/>
  <c r="AN144" i="55" s="1"/>
  <c r="B146" i="57" s="1"/>
  <c r="R128" i="69"/>
  <c r="S128" i="69" s="1"/>
  <c r="Y128" i="69" s="1"/>
  <c r="AE128" i="69"/>
  <c r="D129" i="69"/>
  <c r="E129" i="69" s="1"/>
  <c r="F129" i="69" s="1"/>
  <c r="G129" i="69" s="1"/>
  <c r="H129" i="69" s="1"/>
  <c r="I129" i="69" s="1"/>
  <c r="J129" i="69" s="1"/>
  <c r="K129" i="69" s="1"/>
  <c r="M129" i="69" s="1"/>
  <c r="C130" i="69"/>
  <c r="P130" i="69" s="1"/>
  <c r="AR130" i="67" a="1"/>
  <c r="AR130" i="67" s="1"/>
  <c r="B131" i="69"/>
  <c r="L131" i="69" s="1"/>
  <c r="AL75" i="11" a="1"/>
  <c r="AL75" i="11" s="1"/>
  <c r="E76" i="32" s="1"/>
  <c r="AP85" i="59" a="1"/>
  <c r="AP85" i="59" s="1"/>
  <c r="E86" i="50" s="1"/>
  <c r="AG127" i="69" l="1"/>
  <c r="AD84" i="50"/>
  <c r="AG84" i="50" s="1"/>
  <c r="X143" i="57"/>
  <c r="AB143" i="57" s="1"/>
  <c r="AG145" i="57"/>
  <c r="M146" i="53"/>
  <c r="AC146" i="53" s="1"/>
  <c r="O146" i="53"/>
  <c r="AP130" i="69"/>
  <c r="N130" i="69"/>
  <c r="U130" i="69" s="1"/>
  <c r="AB142" i="57"/>
  <c r="AA142" i="57"/>
  <c r="Q144" i="57"/>
  <c r="T144" i="57" s="1"/>
  <c r="R144" i="57"/>
  <c r="AC144" i="57"/>
  <c r="AE144" i="57"/>
  <c r="AQ144" i="57"/>
  <c r="AD144" i="57"/>
  <c r="AJ144" i="57"/>
  <c r="M145" i="57"/>
  <c r="AK145" i="57" s="1"/>
  <c r="Q85" i="50"/>
  <c r="P85" i="50" s="1"/>
  <c r="N146" i="53"/>
  <c r="O76" i="32"/>
  <c r="T76" i="32"/>
  <c r="T75" i="32"/>
  <c r="O75" i="32"/>
  <c r="T86" i="50"/>
  <c r="O86" i="50"/>
  <c r="AA144" i="53"/>
  <c r="AB144" i="53"/>
  <c r="AP82" i="50"/>
  <c r="AJ84" i="50"/>
  <c r="C84" i="50"/>
  <c r="S85" i="50"/>
  <c r="Z85" i="50" s="1"/>
  <c r="W84" i="50"/>
  <c r="X83" i="50"/>
  <c r="V84" i="50"/>
  <c r="AF129" i="69"/>
  <c r="Q129" i="69"/>
  <c r="O146" i="57"/>
  <c r="P146" i="57"/>
  <c r="AH83" i="50"/>
  <c r="AI83" i="50" s="1"/>
  <c r="AB128" i="69"/>
  <c r="AG128" i="69"/>
  <c r="AO130" i="69"/>
  <c r="O131" i="69"/>
  <c r="AK86" i="50"/>
  <c r="AF144" i="53"/>
  <c r="AE145" i="53"/>
  <c r="AK76" i="32"/>
  <c r="AK75" i="32"/>
  <c r="AM85" i="50"/>
  <c r="R145" i="53"/>
  <c r="X145" i="53" s="1"/>
  <c r="AL83" i="50"/>
  <c r="AY129" i="69"/>
  <c r="L146" i="57"/>
  <c r="AH145" i="53"/>
  <c r="AT145" i="53"/>
  <c r="AG145" i="53"/>
  <c r="N146" i="57"/>
  <c r="AH129" i="69"/>
  <c r="AD145" i="53"/>
  <c r="Q145" i="53"/>
  <c r="AK145" i="52" a="1"/>
  <c r="AK145" i="52" s="1"/>
  <c r="B147" i="53" s="1"/>
  <c r="G146" i="53"/>
  <c r="H146" i="53"/>
  <c r="P146" i="53"/>
  <c r="J146" i="53"/>
  <c r="E146" i="53"/>
  <c r="C146" i="53"/>
  <c r="F146" i="53"/>
  <c r="I146" i="53"/>
  <c r="L146" i="53"/>
  <c r="D146" i="53"/>
  <c r="K146" i="53"/>
  <c r="F86" i="50"/>
  <c r="U86" i="50" s="1"/>
  <c r="G86" i="50"/>
  <c r="J86" i="50"/>
  <c r="A86" i="50"/>
  <c r="H86" i="50"/>
  <c r="L86" i="50"/>
  <c r="N86" i="50"/>
  <c r="I86" i="50"/>
  <c r="M86" i="50"/>
  <c r="K86" i="50"/>
  <c r="B86" i="50"/>
  <c r="R86" i="50" s="1"/>
  <c r="C146" i="57"/>
  <c r="K146" i="57"/>
  <c r="I146" i="57"/>
  <c r="G146" i="57"/>
  <c r="E146" i="57"/>
  <c r="F146" i="57"/>
  <c r="J146" i="57"/>
  <c r="D146" i="57"/>
  <c r="H146" i="57"/>
  <c r="AN145" i="55" a="1"/>
  <c r="AN145" i="55" s="1"/>
  <c r="B147" i="57" s="1"/>
  <c r="D130" i="69"/>
  <c r="E130" i="69" s="1"/>
  <c r="F130" i="69" s="1"/>
  <c r="G130" i="69" s="1"/>
  <c r="H130" i="69" s="1"/>
  <c r="I130" i="69" s="1"/>
  <c r="J130" i="69" s="1"/>
  <c r="K130" i="69" s="1"/>
  <c r="M130" i="69" s="1"/>
  <c r="C131" i="69"/>
  <c r="P131" i="69" s="1"/>
  <c r="AR131" i="67" a="1"/>
  <c r="AR131" i="67" s="1"/>
  <c r="B132" i="69"/>
  <c r="L132" i="69" s="1"/>
  <c r="AE129" i="69"/>
  <c r="R129" i="69"/>
  <c r="S129" i="69" s="1"/>
  <c r="Y129" i="69" s="1"/>
  <c r="AL76" i="11" a="1"/>
  <c r="AL76" i="11" s="1"/>
  <c r="E77" i="32" s="1"/>
  <c r="AP86" i="59" a="1"/>
  <c r="AP86" i="59" s="1"/>
  <c r="E87" i="50" s="1"/>
  <c r="AD85" i="50" l="1"/>
  <c r="AG85" i="50" s="1"/>
  <c r="X144" i="57"/>
  <c r="AB144" i="57" s="1"/>
  <c r="AG146" i="57"/>
  <c r="AA143" i="57"/>
  <c r="M147" i="53"/>
  <c r="AC147" i="53" s="1"/>
  <c r="O147" i="53"/>
  <c r="AP131" i="69"/>
  <c r="N131" i="69"/>
  <c r="U131" i="69" s="1"/>
  <c r="AQ145" i="57"/>
  <c r="AD145" i="57"/>
  <c r="AJ145" i="57"/>
  <c r="AF143" i="57"/>
  <c r="Q145" i="57"/>
  <c r="T145" i="57" s="1"/>
  <c r="R145" i="57"/>
  <c r="AE145" i="57"/>
  <c r="AC145" i="57"/>
  <c r="M146" i="57"/>
  <c r="AK146" i="57" s="1"/>
  <c r="Q86" i="50"/>
  <c r="P86" i="50" s="1"/>
  <c r="N147" i="53"/>
  <c r="O77" i="32"/>
  <c r="T77" i="32"/>
  <c r="T87" i="50"/>
  <c r="O87" i="50"/>
  <c r="AA145" i="53"/>
  <c r="AB145" i="53"/>
  <c r="AP83" i="50"/>
  <c r="AJ85" i="50"/>
  <c r="C85" i="50"/>
  <c r="S86" i="50"/>
  <c r="Z86" i="50" s="1"/>
  <c r="W85" i="50"/>
  <c r="X84" i="50"/>
  <c r="V85" i="50"/>
  <c r="AF130" i="69"/>
  <c r="Q130" i="69"/>
  <c r="O147" i="57"/>
  <c r="P147" i="57"/>
  <c r="AC128" i="69"/>
  <c r="AD128" i="69" s="1"/>
  <c r="AH84" i="50"/>
  <c r="AI84" i="50" s="1"/>
  <c r="AB129" i="69"/>
  <c r="AG129" i="69"/>
  <c r="AO131" i="69"/>
  <c r="O132" i="69"/>
  <c r="AK87" i="50"/>
  <c r="AE146" i="53"/>
  <c r="AF145" i="53"/>
  <c r="AK77" i="32"/>
  <c r="AM86" i="50"/>
  <c r="R146" i="53"/>
  <c r="X146" i="53" s="1"/>
  <c r="AL84" i="50"/>
  <c r="AY130" i="69"/>
  <c r="L147" i="57"/>
  <c r="AG146" i="53"/>
  <c r="Q146" i="53"/>
  <c r="AH146" i="53"/>
  <c r="AT146" i="53"/>
  <c r="N147" i="57"/>
  <c r="AD146" i="53"/>
  <c r="G147" i="53"/>
  <c r="AH130" i="69"/>
  <c r="K147" i="53"/>
  <c r="C147" i="53"/>
  <c r="P147" i="53"/>
  <c r="H147" i="53"/>
  <c r="E147" i="53"/>
  <c r="J147" i="53"/>
  <c r="F147" i="53"/>
  <c r="D147" i="53"/>
  <c r="L147" i="53"/>
  <c r="AK146" i="52" a="1"/>
  <c r="AK146" i="52" s="1"/>
  <c r="B148" i="53" s="1"/>
  <c r="I147" i="53"/>
  <c r="J87" i="50"/>
  <c r="N87" i="50"/>
  <c r="B87" i="50"/>
  <c r="R87" i="50" s="1"/>
  <c r="M87" i="50"/>
  <c r="A87" i="50"/>
  <c r="L87" i="50"/>
  <c r="F87" i="50"/>
  <c r="U87" i="50" s="1"/>
  <c r="I87" i="50"/>
  <c r="K87" i="50"/>
  <c r="H87" i="50"/>
  <c r="G87" i="50"/>
  <c r="D147" i="57"/>
  <c r="C147" i="57"/>
  <c r="K147" i="57"/>
  <c r="I147" i="57"/>
  <c r="H147" i="57"/>
  <c r="G147" i="57"/>
  <c r="E147" i="57"/>
  <c r="F147" i="57"/>
  <c r="J147" i="57"/>
  <c r="AN146" i="55" a="1"/>
  <c r="AN146" i="55" s="1"/>
  <c r="B148" i="57" s="1"/>
  <c r="AR132" i="67" a="1"/>
  <c r="AR132" i="67" s="1"/>
  <c r="B133" i="69"/>
  <c r="L133" i="69" s="1"/>
  <c r="C132" i="69"/>
  <c r="P132" i="69" s="1"/>
  <c r="D131" i="69"/>
  <c r="E131" i="69" s="1"/>
  <c r="F131" i="69" s="1"/>
  <c r="G131" i="69" s="1"/>
  <c r="H131" i="69" s="1"/>
  <c r="I131" i="69" s="1"/>
  <c r="J131" i="69" s="1"/>
  <c r="K131" i="69" s="1"/>
  <c r="M131" i="69" s="1"/>
  <c r="AE130" i="69"/>
  <c r="R130" i="69"/>
  <c r="S130" i="69" s="1"/>
  <c r="Y130" i="69" s="1"/>
  <c r="AL77" i="11" a="1"/>
  <c r="AL77" i="11" s="1"/>
  <c r="E78" i="32" s="1"/>
  <c r="AP87" i="59" a="1"/>
  <c r="AP87" i="59" s="1"/>
  <c r="E88" i="50" s="1"/>
  <c r="AD86" i="50" l="1"/>
  <c r="AG86" i="50" s="1"/>
  <c r="X145" i="57"/>
  <c r="AB145" i="57" s="1"/>
  <c r="AG147" i="57"/>
  <c r="AQ146" i="57"/>
  <c r="AJ146" i="57"/>
  <c r="M148" i="53"/>
  <c r="AC148" i="53" s="1"/>
  <c r="O148" i="53"/>
  <c r="AP132" i="69"/>
  <c r="N132" i="69"/>
  <c r="U132" i="69" s="1"/>
  <c r="AA144" i="57"/>
  <c r="AF144" i="57"/>
  <c r="R146" i="57"/>
  <c r="AC146" i="57"/>
  <c r="Q146" i="57"/>
  <c r="T146" i="57" s="1"/>
  <c r="AD146" i="57"/>
  <c r="AE146" i="57"/>
  <c r="M147" i="57"/>
  <c r="AK147" i="57" s="1"/>
  <c r="Q87" i="50"/>
  <c r="P87" i="50" s="1"/>
  <c r="N148" i="53"/>
  <c r="T78" i="32"/>
  <c r="O78" i="32"/>
  <c r="O88" i="50"/>
  <c r="T88" i="50"/>
  <c r="AA146" i="53"/>
  <c r="AB146" i="53"/>
  <c r="AP84" i="50"/>
  <c r="AJ86" i="50"/>
  <c r="C86" i="50"/>
  <c r="S87" i="50"/>
  <c r="Z87" i="50" s="1"/>
  <c r="W86" i="50"/>
  <c r="X85" i="50"/>
  <c r="V86" i="50"/>
  <c r="AF131" i="69"/>
  <c r="Q131" i="69"/>
  <c r="O148" i="57"/>
  <c r="P148" i="57"/>
  <c r="AC129" i="69"/>
  <c r="AD129" i="69" s="1"/>
  <c r="AH85" i="50"/>
  <c r="AI85" i="50" s="1"/>
  <c r="AB130" i="69"/>
  <c r="AG130" i="69"/>
  <c r="O133" i="69"/>
  <c r="AO132" i="69"/>
  <c r="AK88" i="50"/>
  <c r="AE147" i="53"/>
  <c r="AF146" i="53"/>
  <c r="AK78" i="32"/>
  <c r="AM87" i="50"/>
  <c r="R147" i="53"/>
  <c r="X147" i="53" s="1"/>
  <c r="AL85" i="50"/>
  <c r="AY131" i="69"/>
  <c r="L148" i="57"/>
  <c r="AH147" i="53"/>
  <c r="AT147" i="53"/>
  <c r="AG147" i="53"/>
  <c r="N148" i="57"/>
  <c r="J148" i="53"/>
  <c r="AH131" i="69"/>
  <c r="AD147" i="53"/>
  <c r="Q147" i="53"/>
  <c r="D148" i="53"/>
  <c r="I148" i="53"/>
  <c r="E148" i="53"/>
  <c r="L148" i="53"/>
  <c r="K148" i="53"/>
  <c r="G148" i="53"/>
  <c r="P148" i="53"/>
  <c r="F148" i="53"/>
  <c r="C148" i="53"/>
  <c r="AK147" i="52" a="1"/>
  <c r="AK147" i="52" s="1"/>
  <c r="B149" i="53" s="1"/>
  <c r="H148" i="53"/>
  <c r="F88" i="50"/>
  <c r="U88" i="50" s="1"/>
  <c r="L88" i="50"/>
  <c r="N88" i="50"/>
  <c r="M88" i="50"/>
  <c r="H88" i="50"/>
  <c r="I88" i="50"/>
  <c r="G88" i="50"/>
  <c r="A88" i="50"/>
  <c r="K88" i="50"/>
  <c r="B88" i="50"/>
  <c r="R88" i="50" s="1"/>
  <c r="J88" i="50"/>
  <c r="F148" i="57"/>
  <c r="C148" i="57"/>
  <c r="K148" i="57"/>
  <c r="H148" i="57"/>
  <c r="E148" i="57"/>
  <c r="G148" i="57"/>
  <c r="I148" i="57"/>
  <c r="D148" i="57"/>
  <c r="J148" i="57"/>
  <c r="AN147" i="55" a="1"/>
  <c r="AN147" i="55" s="1"/>
  <c r="B149" i="57" s="1"/>
  <c r="AR133" i="67" a="1"/>
  <c r="AR133" i="67" s="1"/>
  <c r="B134" i="69"/>
  <c r="L134" i="69" s="1"/>
  <c r="C133" i="69"/>
  <c r="P133" i="69" s="1"/>
  <c r="R131" i="69"/>
  <c r="S131" i="69" s="1"/>
  <c r="Y131" i="69" s="1"/>
  <c r="AE131" i="69"/>
  <c r="D132" i="69"/>
  <c r="E132" i="69" s="1"/>
  <c r="F132" i="69" s="1"/>
  <c r="G132" i="69" s="1"/>
  <c r="H132" i="69" s="1"/>
  <c r="I132" i="69" s="1"/>
  <c r="J132" i="69" s="1"/>
  <c r="K132" i="69" s="1"/>
  <c r="M132" i="69" s="1"/>
  <c r="AL78" i="11" a="1"/>
  <c r="AL78" i="11" s="1"/>
  <c r="AP88" i="59" a="1"/>
  <c r="AP88" i="59" s="1"/>
  <c r="E89" i="50" s="1"/>
  <c r="AD87" i="50" l="1"/>
  <c r="AG87" i="50" s="1"/>
  <c r="X146" i="57"/>
  <c r="AF146" i="57" s="1"/>
  <c r="AG148" i="57"/>
  <c r="M149" i="53"/>
  <c r="AC149" i="53" s="1"/>
  <c r="O149" i="53"/>
  <c r="AP133" i="69"/>
  <c r="N133" i="69"/>
  <c r="U133" i="69" s="1"/>
  <c r="Q147" i="57"/>
  <c r="T147" i="57" s="1"/>
  <c r="AQ147" i="57"/>
  <c r="AA145" i="57"/>
  <c r="AF145" i="57"/>
  <c r="AD147" i="57"/>
  <c r="AJ147" i="57"/>
  <c r="R147" i="57"/>
  <c r="AC147" i="57"/>
  <c r="AE147" i="57"/>
  <c r="M148" i="57"/>
  <c r="AK148" i="57" s="1"/>
  <c r="Q88" i="50"/>
  <c r="P88" i="50" s="1"/>
  <c r="N149" i="53"/>
  <c r="O89" i="50"/>
  <c r="T89" i="50"/>
  <c r="AA147" i="53"/>
  <c r="AB147" i="53"/>
  <c r="AP85" i="50"/>
  <c r="AJ87" i="50"/>
  <c r="C87" i="50"/>
  <c r="S88" i="50"/>
  <c r="Z88" i="50" s="1"/>
  <c r="W87" i="50"/>
  <c r="X86" i="50"/>
  <c r="V87" i="50"/>
  <c r="AF132" i="69"/>
  <c r="Q132" i="69"/>
  <c r="O149" i="57"/>
  <c r="P149" i="57"/>
  <c r="AC130" i="69"/>
  <c r="AD130" i="69" s="1"/>
  <c r="AH86" i="50"/>
  <c r="AI86" i="50" s="1"/>
  <c r="AB131" i="69"/>
  <c r="AG131" i="69"/>
  <c r="AO133" i="69"/>
  <c r="O134" i="69"/>
  <c r="AK89" i="50"/>
  <c r="AF147" i="53"/>
  <c r="AE148" i="53"/>
  <c r="AM88" i="50"/>
  <c r="R148" i="53"/>
  <c r="X148" i="53" s="1"/>
  <c r="AL86" i="50"/>
  <c r="AY132" i="69"/>
  <c r="L149" i="57"/>
  <c r="AH148" i="53"/>
  <c r="AT148" i="53"/>
  <c r="AG148" i="53"/>
  <c r="N149" i="57"/>
  <c r="AH132" i="69"/>
  <c r="AD148" i="53"/>
  <c r="Q148" i="53"/>
  <c r="AK148" i="52" a="1"/>
  <c r="AK148" i="52" s="1"/>
  <c r="B150" i="53" s="1"/>
  <c r="I149" i="53"/>
  <c r="L149" i="53"/>
  <c r="K149" i="53"/>
  <c r="F149" i="53"/>
  <c r="C149" i="53"/>
  <c r="E149" i="53"/>
  <c r="P149" i="53"/>
  <c r="D149" i="53"/>
  <c r="J149" i="53"/>
  <c r="H149" i="53"/>
  <c r="G149" i="53"/>
  <c r="I89" i="50"/>
  <c r="K89" i="50"/>
  <c r="A89" i="50"/>
  <c r="L89" i="50"/>
  <c r="J89" i="50"/>
  <c r="B89" i="50"/>
  <c r="R89" i="50" s="1"/>
  <c r="M89" i="50"/>
  <c r="G89" i="50"/>
  <c r="N89" i="50"/>
  <c r="F89" i="50"/>
  <c r="U89" i="50" s="1"/>
  <c r="H89" i="50"/>
  <c r="J149" i="57"/>
  <c r="H149" i="57"/>
  <c r="E149" i="57"/>
  <c r="F149" i="57"/>
  <c r="K149" i="57"/>
  <c r="G149" i="57"/>
  <c r="C149" i="57"/>
  <c r="I149" i="57"/>
  <c r="D149" i="57"/>
  <c r="E79" i="32"/>
  <c r="AN148" i="55" a="1"/>
  <c r="AN148" i="55" s="1"/>
  <c r="B150" i="57" s="1"/>
  <c r="AE132" i="69"/>
  <c r="R132" i="69"/>
  <c r="S132" i="69" s="1"/>
  <c r="Y132" i="69" s="1"/>
  <c r="C134" i="69"/>
  <c r="P134" i="69" s="1"/>
  <c r="D133" i="69"/>
  <c r="E133" i="69" s="1"/>
  <c r="F133" i="69" s="1"/>
  <c r="G133" i="69" s="1"/>
  <c r="H133" i="69" s="1"/>
  <c r="I133" i="69" s="1"/>
  <c r="J133" i="69" s="1"/>
  <c r="K133" i="69" s="1"/>
  <c r="M133" i="69" s="1"/>
  <c r="AR134" i="67" a="1"/>
  <c r="AR134" i="67" s="1"/>
  <c r="B135" i="69"/>
  <c r="L135" i="69" s="1"/>
  <c r="AL79" i="11" a="1"/>
  <c r="AL79" i="11" s="1"/>
  <c r="AP89" i="59" a="1"/>
  <c r="AP89" i="59" s="1"/>
  <c r="E90" i="50" s="1"/>
  <c r="AB132" i="69" l="1"/>
  <c r="AC132" i="69" s="1"/>
  <c r="AD132" i="69" s="1"/>
  <c r="AD88" i="50"/>
  <c r="AG88" i="50" s="1"/>
  <c r="X147" i="57"/>
  <c r="AF147" i="57" s="1"/>
  <c r="AG149" i="57"/>
  <c r="AQ148" i="57"/>
  <c r="M150" i="53"/>
  <c r="AC150" i="53" s="1"/>
  <c r="O150" i="53"/>
  <c r="AP134" i="69"/>
  <c r="N134" i="69"/>
  <c r="U134" i="69" s="1"/>
  <c r="AJ148" i="57"/>
  <c r="AE148" i="57"/>
  <c r="AA146" i="57"/>
  <c r="Q148" i="57"/>
  <c r="T148" i="57" s="1"/>
  <c r="AD148" i="57"/>
  <c r="R148" i="57"/>
  <c r="AC148" i="57"/>
  <c r="AB146" i="57"/>
  <c r="M149" i="57"/>
  <c r="AK149" i="57" s="1"/>
  <c r="Q89" i="50"/>
  <c r="P89" i="50" s="1"/>
  <c r="N150" i="53"/>
  <c r="T79" i="32"/>
  <c r="O79" i="32"/>
  <c r="T90" i="50"/>
  <c r="O90" i="50"/>
  <c r="AA148" i="53"/>
  <c r="AB148" i="53"/>
  <c r="AP86" i="50"/>
  <c r="AJ88" i="50"/>
  <c r="C88" i="50"/>
  <c r="S89" i="50"/>
  <c r="Z89" i="50" s="1"/>
  <c r="W88" i="50"/>
  <c r="X87" i="50"/>
  <c r="V88" i="50"/>
  <c r="AF133" i="69"/>
  <c r="Q133" i="69"/>
  <c r="O150" i="57"/>
  <c r="P150" i="57"/>
  <c r="AC131" i="69"/>
  <c r="AD131" i="69" s="1"/>
  <c r="AH87" i="50"/>
  <c r="AI87" i="50" s="1"/>
  <c r="AG132" i="69"/>
  <c r="O135" i="69"/>
  <c r="AO134" i="69"/>
  <c r="AK90" i="50"/>
  <c r="AE149" i="53"/>
  <c r="AF148" i="53"/>
  <c r="AK79" i="32"/>
  <c r="AM89" i="50"/>
  <c r="R149" i="53"/>
  <c r="X149" i="53" s="1"/>
  <c r="AL87" i="50"/>
  <c r="AY133" i="69"/>
  <c r="L150" i="57"/>
  <c r="AG149" i="53"/>
  <c r="AH149" i="53"/>
  <c r="AT149" i="53"/>
  <c r="N150" i="57"/>
  <c r="AH133" i="69"/>
  <c r="Q149" i="53"/>
  <c r="AD149" i="53"/>
  <c r="AK149" i="52" a="1"/>
  <c r="AK149" i="52" s="1"/>
  <c r="B151" i="53" s="1"/>
  <c r="J150" i="53"/>
  <c r="G150" i="53"/>
  <c r="H150" i="53"/>
  <c r="D150" i="53"/>
  <c r="F150" i="53"/>
  <c r="I150" i="53"/>
  <c r="K150" i="53"/>
  <c r="E150" i="53"/>
  <c r="P150" i="53"/>
  <c r="L150" i="53"/>
  <c r="C150" i="53"/>
  <c r="K90" i="50"/>
  <c r="M90" i="50"/>
  <c r="A90" i="50"/>
  <c r="G90" i="50"/>
  <c r="F90" i="50"/>
  <c r="U90" i="50" s="1"/>
  <c r="J90" i="50"/>
  <c r="L90" i="50"/>
  <c r="N90" i="50"/>
  <c r="H90" i="50"/>
  <c r="I90" i="50"/>
  <c r="B90" i="50"/>
  <c r="R90" i="50" s="1"/>
  <c r="J150" i="57"/>
  <c r="D150" i="57"/>
  <c r="I150" i="57"/>
  <c r="E150" i="57"/>
  <c r="G150" i="57"/>
  <c r="K150" i="57"/>
  <c r="F150" i="57"/>
  <c r="H150" i="57"/>
  <c r="C150" i="57"/>
  <c r="E80" i="32"/>
  <c r="AN149" i="55" a="1"/>
  <c r="AN149" i="55" s="1"/>
  <c r="B151" i="57" s="1"/>
  <c r="AR135" i="67" a="1"/>
  <c r="AR135" i="67" s="1"/>
  <c r="B136" i="69"/>
  <c r="L136" i="69" s="1"/>
  <c r="C135" i="69"/>
  <c r="P135" i="69" s="1"/>
  <c r="AE133" i="69"/>
  <c r="R133" i="69"/>
  <c r="S133" i="69" s="1"/>
  <c r="Y133" i="69" s="1"/>
  <c r="D134" i="69"/>
  <c r="E134" i="69" s="1"/>
  <c r="F134" i="69" s="1"/>
  <c r="G134" i="69" s="1"/>
  <c r="H134" i="69" s="1"/>
  <c r="I134" i="69" s="1"/>
  <c r="J134" i="69" s="1"/>
  <c r="K134" i="69" s="1"/>
  <c r="M134" i="69" s="1"/>
  <c r="AL80" i="11" a="1"/>
  <c r="AL80" i="11" s="1"/>
  <c r="E81" i="32" s="1"/>
  <c r="AP90" i="59" a="1"/>
  <c r="AP90" i="59" s="1"/>
  <c r="E91" i="50" s="1"/>
  <c r="AD89" i="50" l="1"/>
  <c r="AG89" i="50" s="1"/>
  <c r="AG150" i="57"/>
  <c r="X148" i="57"/>
  <c r="AB148" i="57" s="1"/>
  <c r="Q149" i="57"/>
  <c r="T149" i="57" s="1"/>
  <c r="M151" i="53"/>
  <c r="AC151" i="53" s="1"/>
  <c r="O151" i="53"/>
  <c r="AP135" i="69"/>
  <c r="N135" i="69"/>
  <c r="U135" i="69" s="1"/>
  <c r="AA147" i="57"/>
  <c r="AB147" i="57"/>
  <c r="AD149" i="57"/>
  <c r="R149" i="57"/>
  <c r="AE149" i="57"/>
  <c r="AC149" i="57"/>
  <c r="AQ149" i="57"/>
  <c r="M150" i="57"/>
  <c r="AK150" i="57" s="1"/>
  <c r="AJ149" i="57"/>
  <c r="Q90" i="50"/>
  <c r="P90" i="50" s="1"/>
  <c r="N151" i="53"/>
  <c r="O81" i="32"/>
  <c r="T81" i="32"/>
  <c r="O80" i="32"/>
  <c r="T80" i="32"/>
  <c r="T91" i="50"/>
  <c r="O91" i="50"/>
  <c r="AA149" i="53"/>
  <c r="AB149" i="53"/>
  <c r="AP87" i="50"/>
  <c r="AJ89" i="50"/>
  <c r="C89" i="50"/>
  <c r="S90" i="50"/>
  <c r="Z90" i="50" s="1"/>
  <c r="W89" i="50"/>
  <c r="X88" i="50"/>
  <c r="V89" i="50"/>
  <c r="AF134" i="69"/>
  <c r="Q134" i="69"/>
  <c r="O151" i="57"/>
  <c r="P151" i="57"/>
  <c r="AH88" i="50"/>
  <c r="AI88" i="50" s="1"/>
  <c r="AB133" i="69"/>
  <c r="AG133" i="69"/>
  <c r="AO135" i="69"/>
  <c r="O136" i="69"/>
  <c r="AK91" i="50"/>
  <c r="AE150" i="53"/>
  <c r="AF149" i="53"/>
  <c r="AK81" i="32"/>
  <c r="AK80" i="32"/>
  <c r="AM90" i="50"/>
  <c r="R150" i="53"/>
  <c r="X150" i="53" s="1"/>
  <c r="AL88" i="50"/>
  <c r="AY134" i="69"/>
  <c r="L151" i="57"/>
  <c r="AH150" i="53"/>
  <c r="AT150" i="53"/>
  <c r="AG150" i="53"/>
  <c r="N151" i="57"/>
  <c r="P151" i="53"/>
  <c r="AH134" i="69"/>
  <c r="AD150" i="53"/>
  <c r="Q150" i="53"/>
  <c r="AK150" i="52" a="1"/>
  <c r="AK150" i="52" s="1"/>
  <c r="B152" i="53" s="1"/>
  <c r="L151" i="53"/>
  <c r="I151" i="53"/>
  <c r="C151" i="53"/>
  <c r="F151" i="53"/>
  <c r="E151" i="53"/>
  <c r="J151" i="53"/>
  <c r="H151" i="53"/>
  <c r="G151" i="53"/>
  <c r="K151" i="53"/>
  <c r="D151" i="53"/>
  <c r="I91" i="50"/>
  <c r="N91" i="50"/>
  <c r="H91" i="50"/>
  <c r="G91" i="50"/>
  <c r="B91" i="50"/>
  <c r="R91" i="50" s="1"/>
  <c r="A91" i="50"/>
  <c r="K91" i="50"/>
  <c r="M91" i="50"/>
  <c r="F91" i="50"/>
  <c r="U91" i="50" s="1"/>
  <c r="J91" i="50"/>
  <c r="L91" i="50"/>
  <c r="I151" i="57"/>
  <c r="F151" i="57"/>
  <c r="D151" i="57"/>
  <c r="K151" i="57"/>
  <c r="G151" i="57"/>
  <c r="C151" i="57"/>
  <c r="H151" i="57"/>
  <c r="E151" i="57"/>
  <c r="J151" i="57"/>
  <c r="AN150" i="55" a="1"/>
  <c r="AN150" i="55" s="1"/>
  <c r="B152" i="57" s="1"/>
  <c r="AR136" i="67" a="1"/>
  <c r="AR136" i="67" s="1"/>
  <c r="B137" i="69"/>
  <c r="L137" i="69" s="1"/>
  <c r="C136" i="69"/>
  <c r="P136" i="69" s="1"/>
  <c r="AE134" i="69"/>
  <c r="R134" i="69"/>
  <c r="S134" i="69" s="1"/>
  <c r="D135" i="69"/>
  <c r="E135" i="69" s="1"/>
  <c r="F135" i="69" s="1"/>
  <c r="G135" i="69" s="1"/>
  <c r="H135" i="69" s="1"/>
  <c r="I135" i="69" s="1"/>
  <c r="J135" i="69" s="1"/>
  <c r="K135" i="69" s="1"/>
  <c r="M135" i="69" s="1"/>
  <c r="AL81" i="11" a="1"/>
  <c r="AL81" i="11" s="1"/>
  <c r="E82" i="32" s="1"/>
  <c r="AP91" i="59" a="1"/>
  <c r="AP91" i="59" s="1"/>
  <c r="E92" i="50" s="1"/>
  <c r="Y134" i="69" l="1"/>
  <c r="AB134" i="69" s="1"/>
  <c r="AC134" i="69" s="1"/>
  <c r="AD134" i="69" s="1"/>
  <c r="AD90" i="50"/>
  <c r="AG90" i="50" s="1"/>
  <c r="AG151" i="57"/>
  <c r="X149" i="57"/>
  <c r="AB149" i="57" s="1"/>
  <c r="AF148" i="57"/>
  <c r="M152" i="53"/>
  <c r="AC152" i="53" s="1"/>
  <c r="O152" i="53"/>
  <c r="AP136" i="69"/>
  <c r="N136" i="69"/>
  <c r="U136" i="69" s="1"/>
  <c r="AA148" i="57"/>
  <c r="AJ150" i="57"/>
  <c r="AD150" i="57"/>
  <c r="Q150" i="57"/>
  <c r="T150" i="57" s="1"/>
  <c r="AE150" i="57"/>
  <c r="R150" i="57"/>
  <c r="AC150" i="57"/>
  <c r="AQ150" i="57"/>
  <c r="M151" i="57"/>
  <c r="AK151" i="57" s="1"/>
  <c r="Q91" i="50"/>
  <c r="P91" i="50" s="1"/>
  <c r="N152" i="53"/>
  <c r="T82" i="32"/>
  <c r="O82" i="32"/>
  <c r="O92" i="50"/>
  <c r="T92" i="50"/>
  <c r="AA150" i="53"/>
  <c r="AB150" i="53"/>
  <c r="AP88" i="50"/>
  <c r="AJ90" i="50"/>
  <c r="C90" i="50"/>
  <c r="S91" i="50"/>
  <c r="Z91" i="50" s="1"/>
  <c r="W90" i="50"/>
  <c r="X89" i="50"/>
  <c r="V90" i="50"/>
  <c r="AF135" i="69"/>
  <c r="Q135" i="69"/>
  <c r="O152" i="57"/>
  <c r="P152" i="57"/>
  <c r="AC133" i="69"/>
  <c r="AD133" i="69" s="1"/>
  <c r="AH89" i="50"/>
  <c r="AI89" i="50" s="1"/>
  <c r="O137" i="69"/>
  <c r="AO136" i="69"/>
  <c r="AK92" i="50"/>
  <c r="AF150" i="53"/>
  <c r="AE151" i="53"/>
  <c r="AK82" i="32"/>
  <c r="AM91" i="50"/>
  <c r="R151" i="53"/>
  <c r="X151" i="53" s="1"/>
  <c r="AL89" i="50"/>
  <c r="AY135" i="69"/>
  <c r="L152" i="57"/>
  <c r="AH151" i="53"/>
  <c r="AT151" i="53"/>
  <c r="AG151" i="53"/>
  <c r="N152" i="57"/>
  <c r="C152" i="53"/>
  <c r="AH135" i="69"/>
  <c r="Q151" i="53"/>
  <c r="AD151" i="53"/>
  <c r="D152" i="53"/>
  <c r="F152" i="53"/>
  <c r="E152" i="53"/>
  <c r="G152" i="53"/>
  <c r="K152" i="53"/>
  <c r="J152" i="53"/>
  <c r="H152" i="53"/>
  <c r="AK151" i="52" a="1"/>
  <c r="AK151" i="52" s="1"/>
  <c r="B153" i="53" s="1"/>
  <c r="L152" i="53"/>
  <c r="I152" i="53"/>
  <c r="P152" i="53"/>
  <c r="M92" i="50"/>
  <c r="I92" i="50"/>
  <c r="K92" i="50"/>
  <c r="G92" i="50"/>
  <c r="B92" i="50"/>
  <c r="R92" i="50" s="1"/>
  <c r="J92" i="50"/>
  <c r="A92" i="50"/>
  <c r="F92" i="50"/>
  <c r="U92" i="50" s="1"/>
  <c r="N92" i="50"/>
  <c r="H92" i="50"/>
  <c r="L92" i="50"/>
  <c r="K152" i="57"/>
  <c r="J152" i="57"/>
  <c r="H152" i="57"/>
  <c r="F152" i="57"/>
  <c r="D152" i="57"/>
  <c r="C152" i="57"/>
  <c r="I152" i="57"/>
  <c r="E152" i="57"/>
  <c r="G152" i="57"/>
  <c r="AN151" i="55" a="1"/>
  <c r="AN151" i="55" s="1"/>
  <c r="B153" i="57" s="1"/>
  <c r="AR137" i="67" a="1"/>
  <c r="AR137" i="67" s="1"/>
  <c r="B138" i="69"/>
  <c r="L138" i="69" s="1"/>
  <c r="D136" i="69"/>
  <c r="E136" i="69" s="1"/>
  <c r="F136" i="69" s="1"/>
  <c r="G136" i="69" s="1"/>
  <c r="H136" i="69" s="1"/>
  <c r="I136" i="69" s="1"/>
  <c r="J136" i="69" s="1"/>
  <c r="K136" i="69" s="1"/>
  <c r="M136" i="69" s="1"/>
  <c r="AE135" i="69"/>
  <c r="R135" i="69"/>
  <c r="S135" i="69" s="1"/>
  <c r="Y135" i="69" s="1"/>
  <c r="C137" i="69"/>
  <c r="P137" i="69" s="1"/>
  <c r="AL82" i="11" a="1"/>
  <c r="AL82" i="11" s="1"/>
  <c r="E83" i="32" s="1"/>
  <c r="AP92" i="59" a="1"/>
  <c r="AP92" i="59" s="1"/>
  <c r="E93" i="50" s="1"/>
  <c r="AG134" i="69" l="1"/>
  <c r="AB135" i="69"/>
  <c r="AC135" i="69" s="1"/>
  <c r="AD135" i="69" s="1"/>
  <c r="AD91" i="50"/>
  <c r="AG91" i="50" s="1"/>
  <c r="X150" i="57"/>
  <c r="AB150" i="57" s="1"/>
  <c r="AG152" i="57"/>
  <c r="AA149" i="57"/>
  <c r="AF149" i="57"/>
  <c r="M153" i="53"/>
  <c r="AC153" i="53" s="1"/>
  <c r="O153" i="53"/>
  <c r="AP137" i="69"/>
  <c r="N137" i="69"/>
  <c r="U137" i="69" s="1"/>
  <c r="AJ151" i="57"/>
  <c r="AD151" i="57"/>
  <c r="Q151" i="57"/>
  <c r="T151" i="57" s="1"/>
  <c r="R151" i="57"/>
  <c r="AC151" i="57"/>
  <c r="AE151" i="57"/>
  <c r="AQ151" i="57"/>
  <c r="M152" i="57"/>
  <c r="AK152" i="57" s="1"/>
  <c r="Q92" i="50"/>
  <c r="P92" i="50" s="1"/>
  <c r="N153" i="53"/>
  <c r="T83" i="32"/>
  <c r="O83" i="32"/>
  <c r="O93" i="50"/>
  <c r="T93" i="50"/>
  <c r="AA151" i="53"/>
  <c r="AB151" i="53"/>
  <c r="AP89" i="50"/>
  <c r="AJ91" i="50"/>
  <c r="C91" i="50"/>
  <c r="S92" i="50"/>
  <c r="Z92" i="50" s="1"/>
  <c r="W91" i="50"/>
  <c r="X90" i="50"/>
  <c r="V91" i="50"/>
  <c r="AF136" i="69"/>
  <c r="Q136" i="69"/>
  <c r="O153" i="57"/>
  <c r="P153" i="57"/>
  <c r="AH90" i="50"/>
  <c r="AI90" i="50" s="1"/>
  <c r="AG135" i="69"/>
  <c r="O138" i="69"/>
  <c r="AO137" i="69"/>
  <c r="AK93" i="50"/>
  <c r="AE152" i="53"/>
  <c r="AF151" i="53"/>
  <c r="AK83" i="32"/>
  <c r="AM92" i="50"/>
  <c r="R152" i="53"/>
  <c r="X152" i="53" s="1"/>
  <c r="AL90" i="50"/>
  <c r="AY136" i="69"/>
  <c r="L153" i="57"/>
  <c r="AG152" i="53"/>
  <c r="AH152" i="53"/>
  <c r="AT152" i="53"/>
  <c r="N153" i="57"/>
  <c r="AH136" i="69"/>
  <c r="AD152" i="53"/>
  <c r="Q152" i="53"/>
  <c r="D153" i="53"/>
  <c r="H153" i="53"/>
  <c r="F153" i="53"/>
  <c r="L153" i="53"/>
  <c r="I153" i="53"/>
  <c r="C153" i="53"/>
  <c r="K153" i="53"/>
  <c r="E153" i="53"/>
  <c r="J153" i="53"/>
  <c r="P153" i="53"/>
  <c r="AK152" i="52" a="1"/>
  <c r="AK152" i="52" s="1"/>
  <c r="B154" i="53" s="1"/>
  <c r="G153" i="53"/>
  <c r="J93" i="50"/>
  <c r="M93" i="50"/>
  <c r="I93" i="50"/>
  <c r="B93" i="50"/>
  <c r="R93" i="50" s="1"/>
  <c r="F93" i="50"/>
  <c r="U93" i="50" s="1"/>
  <c r="N93" i="50"/>
  <c r="L93" i="50"/>
  <c r="G93" i="50"/>
  <c r="H93" i="50"/>
  <c r="K93" i="50"/>
  <c r="A93" i="50"/>
  <c r="E153" i="57"/>
  <c r="J153" i="57"/>
  <c r="I153" i="57"/>
  <c r="D153" i="57"/>
  <c r="K153" i="57"/>
  <c r="G153" i="57"/>
  <c r="H153" i="57"/>
  <c r="C153" i="57"/>
  <c r="F153" i="57"/>
  <c r="AN152" i="55" a="1"/>
  <c r="AN152" i="55" s="1"/>
  <c r="B154" i="57" s="1"/>
  <c r="AE136" i="69"/>
  <c r="R136" i="69"/>
  <c r="S136" i="69" s="1"/>
  <c r="Y136" i="69" s="1"/>
  <c r="C138" i="69"/>
  <c r="P138" i="69" s="1"/>
  <c r="D137" i="69"/>
  <c r="E137" i="69" s="1"/>
  <c r="F137" i="69" s="1"/>
  <c r="G137" i="69" s="1"/>
  <c r="H137" i="69" s="1"/>
  <c r="I137" i="69" s="1"/>
  <c r="J137" i="69" s="1"/>
  <c r="K137" i="69" s="1"/>
  <c r="M137" i="69" s="1"/>
  <c r="AR138" i="67" a="1"/>
  <c r="AR138" i="67" s="1"/>
  <c r="B139" i="69"/>
  <c r="L139" i="69" s="1"/>
  <c r="AL83" i="11" a="1"/>
  <c r="AL83" i="11" s="1"/>
  <c r="E84" i="32" s="1"/>
  <c r="AP93" i="59" a="1"/>
  <c r="AP93" i="59" s="1"/>
  <c r="E94" i="50" s="1"/>
  <c r="AD92" i="50" l="1"/>
  <c r="AG92" i="50" s="1"/>
  <c r="X151" i="57"/>
  <c r="AB151" i="57" s="1"/>
  <c r="AG153" i="57"/>
  <c r="M154" i="53"/>
  <c r="AC154" i="53" s="1"/>
  <c r="O154" i="53"/>
  <c r="AP138" i="69"/>
  <c r="N138" i="69"/>
  <c r="U138" i="69" s="1"/>
  <c r="AF150" i="57"/>
  <c r="AA150" i="57"/>
  <c r="AJ152" i="57"/>
  <c r="AQ152" i="57"/>
  <c r="Q152" i="57"/>
  <c r="T152" i="57" s="1"/>
  <c r="AD152" i="57"/>
  <c r="R152" i="57"/>
  <c r="AC152" i="57"/>
  <c r="AE152" i="57"/>
  <c r="M153" i="57"/>
  <c r="AK153" i="57" s="1"/>
  <c r="Q93" i="50"/>
  <c r="P93" i="50" s="1"/>
  <c r="N154" i="53"/>
  <c r="O84" i="32"/>
  <c r="T84" i="32"/>
  <c r="T94" i="50"/>
  <c r="O94" i="50"/>
  <c r="AA152" i="53"/>
  <c r="AB152" i="53"/>
  <c r="AP90" i="50"/>
  <c r="AJ92" i="50"/>
  <c r="C92" i="50"/>
  <c r="S93" i="50"/>
  <c r="Z93" i="50" s="1"/>
  <c r="W92" i="50"/>
  <c r="X91" i="50"/>
  <c r="V92" i="50"/>
  <c r="AF137" i="69"/>
  <c r="Q137" i="69"/>
  <c r="O154" i="57"/>
  <c r="P154" i="57"/>
  <c r="AH91" i="50"/>
  <c r="AI91" i="50" s="1"/>
  <c r="AB136" i="69"/>
  <c r="AG136" i="69"/>
  <c r="AO138" i="69"/>
  <c r="O139" i="69"/>
  <c r="AK94" i="50"/>
  <c r="AF152" i="53"/>
  <c r="AE153" i="53"/>
  <c r="AK84" i="32"/>
  <c r="AM93" i="50"/>
  <c r="R153" i="53"/>
  <c r="X153" i="53" s="1"/>
  <c r="AL91" i="50"/>
  <c r="AY137" i="69"/>
  <c r="L154" i="57"/>
  <c r="AG153" i="53"/>
  <c r="AH153" i="53"/>
  <c r="AT153" i="53"/>
  <c r="N154" i="57"/>
  <c r="P154" i="53"/>
  <c r="AH137" i="69"/>
  <c r="AD153" i="53"/>
  <c r="Q153" i="53"/>
  <c r="AK153" i="52" a="1"/>
  <c r="AK153" i="52" s="1"/>
  <c r="B155" i="53" s="1"/>
  <c r="D154" i="53"/>
  <c r="H154" i="53"/>
  <c r="E154" i="53"/>
  <c r="F154" i="53"/>
  <c r="L154" i="53"/>
  <c r="C154" i="53"/>
  <c r="G154" i="53"/>
  <c r="J154" i="53"/>
  <c r="I154" i="53"/>
  <c r="K154" i="53"/>
  <c r="F94" i="50"/>
  <c r="U94" i="50" s="1"/>
  <c r="J94" i="50"/>
  <c r="K94" i="50"/>
  <c r="M94" i="50"/>
  <c r="A94" i="50"/>
  <c r="L94" i="50"/>
  <c r="B94" i="50"/>
  <c r="R94" i="50" s="1"/>
  <c r="H94" i="50"/>
  <c r="I94" i="50"/>
  <c r="G94" i="50"/>
  <c r="N94" i="50"/>
  <c r="J154" i="57"/>
  <c r="G154" i="57"/>
  <c r="D154" i="57"/>
  <c r="C154" i="57"/>
  <c r="K154" i="57"/>
  <c r="F154" i="57"/>
  <c r="I154" i="57"/>
  <c r="E154" i="57"/>
  <c r="H154" i="57"/>
  <c r="AN153" i="55" a="1"/>
  <c r="AN153" i="55" s="1"/>
  <c r="B155" i="57" s="1"/>
  <c r="C139" i="69"/>
  <c r="P139" i="69" s="1"/>
  <c r="D138" i="69"/>
  <c r="E138" i="69" s="1"/>
  <c r="F138" i="69" s="1"/>
  <c r="G138" i="69" s="1"/>
  <c r="H138" i="69" s="1"/>
  <c r="I138" i="69" s="1"/>
  <c r="J138" i="69" s="1"/>
  <c r="K138" i="69" s="1"/>
  <c r="M138" i="69" s="1"/>
  <c r="AR139" i="67" a="1"/>
  <c r="AR139" i="67" s="1"/>
  <c r="B140" i="69"/>
  <c r="L140" i="69" s="1"/>
  <c r="R137" i="69"/>
  <c r="S137" i="69" s="1"/>
  <c r="AE137" i="69"/>
  <c r="AL84" i="11" a="1"/>
  <c r="AL84" i="11" s="1"/>
  <c r="E85" i="32" s="1"/>
  <c r="AP94" i="59" a="1"/>
  <c r="AP94" i="59" s="1"/>
  <c r="E95" i="50" s="1"/>
  <c r="X152" i="57" l="1"/>
  <c r="AB152" i="57" s="1"/>
  <c r="Y137" i="69"/>
  <c r="AB137" i="69" s="1"/>
  <c r="AC137" i="69" s="1"/>
  <c r="AD137" i="69" s="1"/>
  <c r="AD93" i="50"/>
  <c r="AG93" i="50" s="1"/>
  <c r="AG154" i="57"/>
  <c r="AF151" i="57"/>
  <c r="M155" i="53"/>
  <c r="AC155" i="53" s="1"/>
  <c r="O155" i="53"/>
  <c r="AP139" i="69"/>
  <c r="N139" i="69"/>
  <c r="U139" i="69" s="1"/>
  <c r="AA151" i="57"/>
  <c r="Q153" i="57"/>
  <c r="T153" i="57" s="1"/>
  <c r="R153" i="57"/>
  <c r="AE153" i="57"/>
  <c r="AQ153" i="57"/>
  <c r="AD153" i="57"/>
  <c r="AJ153" i="57"/>
  <c r="AC153" i="57"/>
  <c r="M154" i="57"/>
  <c r="AK154" i="57" s="1"/>
  <c r="Q94" i="50"/>
  <c r="P94" i="50" s="1"/>
  <c r="N155" i="53"/>
  <c r="O85" i="32"/>
  <c r="T85" i="32"/>
  <c r="T95" i="50"/>
  <c r="O95" i="50"/>
  <c r="AA153" i="53"/>
  <c r="AB153" i="53"/>
  <c r="AP91" i="50"/>
  <c r="AJ93" i="50"/>
  <c r="C93" i="50"/>
  <c r="S94" i="50"/>
  <c r="Z94" i="50" s="1"/>
  <c r="W93" i="50"/>
  <c r="X92" i="50"/>
  <c r="V93" i="50"/>
  <c r="AF138" i="69"/>
  <c r="Q138" i="69"/>
  <c r="O155" i="57"/>
  <c r="P155" i="57"/>
  <c r="AC136" i="69"/>
  <c r="AD136" i="69" s="1"/>
  <c r="AH92" i="50"/>
  <c r="AI92" i="50" s="1"/>
  <c r="O140" i="69"/>
  <c r="AO139" i="69"/>
  <c r="AK95" i="50"/>
  <c r="AE154" i="53"/>
  <c r="AF153" i="53"/>
  <c r="AK85" i="32"/>
  <c r="AM94" i="50"/>
  <c r="R154" i="53"/>
  <c r="X154" i="53" s="1"/>
  <c r="AL92" i="50"/>
  <c r="AY138" i="69"/>
  <c r="L155" i="57"/>
  <c r="AH154" i="53"/>
  <c r="AT154" i="53"/>
  <c r="AG154" i="53"/>
  <c r="N155" i="57"/>
  <c r="P155" i="53"/>
  <c r="AH138" i="69"/>
  <c r="AD154" i="53"/>
  <c r="AK154" i="52" a="1"/>
  <c r="AK154" i="52" s="1"/>
  <c r="B156" i="53" s="1"/>
  <c r="Q154" i="53"/>
  <c r="C155" i="53"/>
  <c r="H155" i="53"/>
  <c r="I155" i="53"/>
  <c r="K155" i="53"/>
  <c r="E155" i="53"/>
  <c r="D155" i="53"/>
  <c r="L155" i="53"/>
  <c r="F155" i="53"/>
  <c r="J155" i="53"/>
  <c r="G155" i="53"/>
  <c r="B95" i="50"/>
  <c r="R95" i="50" s="1"/>
  <c r="L95" i="50"/>
  <c r="A95" i="50"/>
  <c r="J95" i="50"/>
  <c r="F95" i="50"/>
  <c r="U95" i="50" s="1"/>
  <c r="M95" i="50"/>
  <c r="N95" i="50"/>
  <c r="I95" i="50"/>
  <c r="K95" i="50"/>
  <c r="G95" i="50"/>
  <c r="H95" i="50"/>
  <c r="J155" i="57"/>
  <c r="I155" i="57"/>
  <c r="F155" i="57"/>
  <c r="E155" i="57"/>
  <c r="D155" i="57"/>
  <c r="C155" i="57"/>
  <c r="H155" i="57"/>
  <c r="K155" i="57"/>
  <c r="G155" i="57"/>
  <c r="AN154" i="55" a="1"/>
  <c r="AN154" i="55" s="1"/>
  <c r="B156" i="57" s="1"/>
  <c r="R138" i="69"/>
  <c r="S138" i="69" s="1"/>
  <c r="Y138" i="69" s="1"/>
  <c r="AE138" i="69"/>
  <c r="AR140" i="67" a="1"/>
  <c r="AR140" i="67" s="1"/>
  <c r="B141" i="69"/>
  <c r="L141" i="69" s="1"/>
  <c r="C140" i="69"/>
  <c r="P140" i="69" s="1"/>
  <c r="D139" i="69"/>
  <c r="E139" i="69" s="1"/>
  <c r="F139" i="69" s="1"/>
  <c r="G139" i="69" s="1"/>
  <c r="H139" i="69" s="1"/>
  <c r="I139" i="69" s="1"/>
  <c r="J139" i="69" s="1"/>
  <c r="K139" i="69" s="1"/>
  <c r="M139" i="69" s="1"/>
  <c r="AL85" i="11" a="1"/>
  <c r="AL85" i="11" s="1"/>
  <c r="E86" i="32" s="1"/>
  <c r="AP95" i="59" a="1"/>
  <c r="AP95" i="59" s="1"/>
  <c r="E96" i="50" s="1"/>
  <c r="AG137" i="69" l="1"/>
  <c r="AD94" i="50"/>
  <c r="AG94" i="50" s="1"/>
  <c r="X153" i="57"/>
  <c r="AB153" i="57" s="1"/>
  <c r="AG155" i="57"/>
  <c r="AF152" i="57"/>
  <c r="M156" i="53"/>
  <c r="AC156" i="53" s="1"/>
  <c r="O156" i="53"/>
  <c r="AP140" i="69"/>
  <c r="N140" i="69"/>
  <c r="U140" i="69" s="1"/>
  <c r="AA152" i="57"/>
  <c r="Q154" i="57"/>
  <c r="T154" i="57" s="1"/>
  <c r="AJ154" i="57"/>
  <c r="AD154" i="57"/>
  <c r="R154" i="57"/>
  <c r="AC154" i="57"/>
  <c r="AE154" i="57"/>
  <c r="AQ154" i="57"/>
  <c r="M155" i="57"/>
  <c r="AK155" i="57" s="1"/>
  <c r="Q95" i="50"/>
  <c r="P95" i="50" s="1"/>
  <c r="N156" i="53"/>
  <c r="T86" i="32"/>
  <c r="O86" i="32"/>
  <c r="O96" i="50"/>
  <c r="T96" i="50"/>
  <c r="AA154" i="53"/>
  <c r="AB154" i="53"/>
  <c r="AP92" i="50"/>
  <c r="C94" i="50"/>
  <c r="AJ94" i="50"/>
  <c r="S95" i="50"/>
  <c r="Z95" i="50" s="1"/>
  <c r="W94" i="50"/>
  <c r="X93" i="50"/>
  <c r="V94" i="50"/>
  <c r="AF139" i="69"/>
  <c r="Q139" i="69"/>
  <c r="O156" i="57"/>
  <c r="P156" i="57"/>
  <c r="AH93" i="50"/>
  <c r="AI93" i="50" s="1"/>
  <c r="AB138" i="69"/>
  <c r="AG138" i="69"/>
  <c r="AO140" i="69"/>
  <c r="O141" i="69"/>
  <c r="AK96" i="50"/>
  <c r="AE155" i="53"/>
  <c r="AF154" i="53"/>
  <c r="AK86" i="32"/>
  <c r="AM95" i="50"/>
  <c r="R155" i="53"/>
  <c r="X155" i="53" s="1"/>
  <c r="AL93" i="50"/>
  <c r="AY139" i="69"/>
  <c r="L156" i="57"/>
  <c r="AH155" i="53"/>
  <c r="AT155" i="53"/>
  <c r="AG155" i="53"/>
  <c r="N156" i="57"/>
  <c r="AH139" i="69"/>
  <c r="Q155" i="53"/>
  <c r="AD155" i="53"/>
  <c r="L156" i="53"/>
  <c r="P156" i="53"/>
  <c r="C156" i="53"/>
  <c r="E156" i="53"/>
  <c r="G156" i="53"/>
  <c r="H156" i="53"/>
  <c r="D156" i="53"/>
  <c r="I156" i="53"/>
  <c r="K156" i="53"/>
  <c r="AK155" i="52" a="1"/>
  <c r="AK155" i="52" s="1"/>
  <c r="B157" i="53" s="1"/>
  <c r="J156" i="53"/>
  <c r="F156" i="53"/>
  <c r="L96" i="50"/>
  <c r="H96" i="50"/>
  <c r="A96" i="50"/>
  <c r="K96" i="50"/>
  <c r="B96" i="50"/>
  <c r="R96" i="50" s="1"/>
  <c r="I96" i="50"/>
  <c r="M96" i="50"/>
  <c r="F96" i="50"/>
  <c r="U96" i="50" s="1"/>
  <c r="G96" i="50"/>
  <c r="J96" i="50"/>
  <c r="N96" i="50"/>
  <c r="K156" i="57"/>
  <c r="H156" i="57"/>
  <c r="F156" i="57"/>
  <c r="C156" i="57"/>
  <c r="I156" i="57"/>
  <c r="E156" i="57"/>
  <c r="G156" i="57"/>
  <c r="D156" i="57"/>
  <c r="J156" i="57"/>
  <c r="AN155" i="55" a="1"/>
  <c r="AN155" i="55" s="1"/>
  <c r="B157" i="57" s="1"/>
  <c r="C141" i="69"/>
  <c r="P141" i="69" s="1"/>
  <c r="AE139" i="69"/>
  <c r="R139" i="69"/>
  <c r="S139" i="69" s="1"/>
  <c r="D140" i="69"/>
  <c r="E140" i="69" s="1"/>
  <c r="F140" i="69" s="1"/>
  <c r="G140" i="69" s="1"/>
  <c r="H140" i="69" s="1"/>
  <c r="I140" i="69" s="1"/>
  <c r="J140" i="69" s="1"/>
  <c r="K140" i="69" s="1"/>
  <c r="M140" i="69" s="1"/>
  <c r="AR141" i="67" a="1"/>
  <c r="AR141" i="67" s="1"/>
  <c r="B142" i="69"/>
  <c r="L142" i="69" s="1"/>
  <c r="AL86" i="11" a="1"/>
  <c r="AL86" i="11" s="1"/>
  <c r="E87" i="32" s="1"/>
  <c r="AP96" i="59" a="1"/>
  <c r="AP96" i="59" s="1"/>
  <c r="E97" i="50" s="1"/>
  <c r="Y139" i="69" l="1"/>
  <c r="AB139" i="69" s="1"/>
  <c r="AC139" i="69" s="1"/>
  <c r="AD139" i="69" s="1"/>
  <c r="AD95" i="50"/>
  <c r="AG95" i="50" s="1"/>
  <c r="X154" i="57"/>
  <c r="AB154" i="57" s="1"/>
  <c r="AG156" i="57"/>
  <c r="Q155" i="57"/>
  <c r="T155" i="57" s="1"/>
  <c r="M157" i="53"/>
  <c r="AC157" i="53" s="1"/>
  <c r="O157" i="53"/>
  <c r="AP141" i="69"/>
  <c r="N141" i="69"/>
  <c r="U141" i="69" s="1"/>
  <c r="AF153" i="57"/>
  <c r="AQ155" i="57"/>
  <c r="AA153" i="57"/>
  <c r="AD155" i="57"/>
  <c r="AJ155" i="57"/>
  <c r="R155" i="57"/>
  <c r="AC155" i="57"/>
  <c r="AE155" i="57"/>
  <c r="M156" i="57"/>
  <c r="AK156" i="57" s="1"/>
  <c r="Q96" i="50"/>
  <c r="P96" i="50" s="1"/>
  <c r="N157" i="53"/>
  <c r="T87" i="32"/>
  <c r="O87" i="32"/>
  <c r="O97" i="50"/>
  <c r="T97" i="50"/>
  <c r="AA155" i="53"/>
  <c r="AB155" i="53"/>
  <c r="AP93" i="50"/>
  <c r="AJ95" i="50"/>
  <c r="C95" i="50"/>
  <c r="S96" i="50"/>
  <c r="Z96" i="50" s="1"/>
  <c r="W95" i="50"/>
  <c r="X94" i="50"/>
  <c r="V95" i="50"/>
  <c r="AF140" i="69"/>
  <c r="Q140" i="69"/>
  <c r="O157" i="57"/>
  <c r="P157" i="57"/>
  <c r="AC138" i="69"/>
  <c r="AD138" i="69" s="1"/>
  <c r="AH94" i="50"/>
  <c r="AI94" i="50" s="1"/>
  <c r="O142" i="69"/>
  <c r="AO141" i="69"/>
  <c r="AK97" i="50"/>
  <c r="AE156" i="53"/>
  <c r="AF155" i="53"/>
  <c r="AK87" i="32"/>
  <c r="AM96" i="50"/>
  <c r="R156" i="53"/>
  <c r="X156" i="53" s="1"/>
  <c r="AL94" i="50"/>
  <c r="AY140" i="69"/>
  <c r="L157" i="57"/>
  <c r="AD156" i="53"/>
  <c r="AH156" i="53"/>
  <c r="AT156" i="53"/>
  <c r="AG156" i="53"/>
  <c r="N157" i="57"/>
  <c r="I157" i="53"/>
  <c r="Q156" i="53"/>
  <c r="AH140" i="69"/>
  <c r="K157" i="53"/>
  <c r="P157" i="53"/>
  <c r="J157" i="53"/>
  <c r="F157" i="53"/>
  <c r="D157" i="53"/>
  <c r="E157" i="53"/>
  <c r="C157" i="53"/>
  <c r="H157" i="53"/>
  <c r="AK156" i="52" a="1"/>
  <c r="AK156" i="52" s="1"/>
  <c r="B158" i="53" s="1"/>
  <c r="G157" i="53"/>
  <c r="L157" i="53"/>
  <c r="I97" i="50"/>
  <c r="L97" i="50"/>
  <c r="K97" i="50"/>
  <c r="M97" i="50"/>
  <c r="H97" i="50"/>
  <c r="B97" i="50"/>
  <c r="R97" i="50" s="1"/>
  <c r="J97" i="50"/>
  <c r="A97" i="50"/>
  <c r="N97" i="50"/>
  <c r="G97" i="50"/>
  <c r="F97" i="50"/>
  <c r="U97" i="50" s="1"/>
  <c r="J157" i="57"/>
  <c r="H157" i="57"/>
  <c r="E157" i="57"/>
  <c r="C157" i="57"/>
  <c r="I157" i="57"/>
  <c r="D157" i="57"/>
  <c r="F157" i="57"/>
  <c r="K157" i="57"/>
  <c r="G157" i="57"/>
  <c r="AN156" i="55" a="1"/>
  <c r="AN156" i="55" s="1"/>
  <c r="B158" i="57" s="1"/>
  <c r="C142" i="69"/>
  <c r="P142" i="69" s="1"/>
  <c r="D141" i="69"/>
  <c r="E141" i="69" s="1"/>
  <c r="F141" i="69" s="1"/>
  <c r="G141" i="69" s="1"/>
  <c r="H141" i="69" s="1"/>
  <c r="I141" i="69" s="1"/>
  <c r="J141" i="69" s="1"/>
  <c r="K141" i="69" s="1"/>
  <c r="M141" i="69" s="1"/>
  <c r="AE140" i="69"/>
  <c r="R140" i="69"/>
  <c r="S140" i="69" s="1"/>
  <c r="Y140" i="69" s="1"/>
  <c r="AR142" i="67" a="1"/>
  <c r="AR142" i="67" s="1"/>
  <c r="B143" i="69"/>
  <c r="L143" i="69" s="1"/>
  <c r="AL87" i="11" a="1"/>
  <c r="AL87" i="11" s="1"/>
  <c r="E88" i="32" s="1"/>
  <c r="AP97" i="59" a="1"/>
  <c r="AP97" i="59" s="1"/>
  <c r="E98" i="50" s="1"/>
  <c r="B3" i="36"/>
  <c r="AG139" i="69" l="1"/>
  <c r="AD96" i="50"/>
  <c r="AG96" i="50" s="1"/>
  <c r="X155" i="57"/>
  <c r="AA155" i="57" s="1"/>
  <c r="AG157" i="57"/>
  <c r="Q156" i="57"/>
  <c r="T156" i="57" s="1"/>
  <c r="R156" i="57"/>
  <c r="AC156" i="57"/>
  <c r="M158" i="53"/>
  <c r="AC158" i="53" s="1"/>
  <c r="O158" i="53"/>
  <c r="AP142" i="69"/>
  <c r="N142" i="69"/>
  <c r="U142" i="69" s="1"/>
  <c r="AF154" i="57"/>
  <c r="AQ156" i="57"/>
  <c r="AA154" i="57"/>
  <c r="AE156" i="57"/>
  <c r="AD156" i="57"/>
  <c r="AJ156" i="57"/>
  <c r="M157" i="57"/>
  <c r="AK157" i="57" s="1"/>
  <c r="Q97" i="50"/>
  <c r="P97" i="50" s="1"/>
  <c r="N158" i="53"/>
  <c r="O88" i="32"/>
  <c r="T88" i="32"/>
  <c r="T98" i="50"/>
  <c r="O98" i="50"/>
  <c r="AA156" i="53"/>
  <c r="AB156" i="53"/>
  <c r="AP94" i="50"/>
  <c r="AJ96" i="50"/>
  <c r="C96" i="50"/>
  <c r="S97" i="50"/>
  <c r="Z97" i="50" s="1"/>
  <c r="W96" i="50"/>
  <c r="X95" i="50"/>
  <c r="V96" i="50"/>
  <c r="AF141" i="69"/>
  <c r="Q141" i="69"/>
  <c r="O158" i="57"/>
  <c r="P158" i="57"/>
  <c r="AH95" i="50"/>
  <c r="AI95" i="50" s="1"/>
  <c r="AB140" i="69"/>
  <c r="AG140" i="69"/>
  <c r="O143" i="69"/>
  <c r="AO142" i="69"/>
  <c r="AK98" i="50"/>
  <c r="AE157" i="53"/>
  <c r="AF156" i="53"/>
  <c r="AK88" i="32"/>
  <c r="AM97" i="50"/>
  <c r="R157" i="53"/>
  <c r="X157" i="53" s="1"/>
  <c r="AL95" i="50"/>
  <c r="AY141" i="69"/>
  <c r="L158" i="57"/>
  <c r="AG157" i="53"/>
  <c r="AH157" i="53"/>
  <c r="AT157" i="53"/>
  <c r="N158" i="57"/>
  <c r="AH141" i="69"/>
  <c r="AD157" i="53"/>
  <c r="Q157" i="53"/>
  <c r="I158" i="53"/>
  <c r="D158" i="53"/>
  <c r="H158" i="53"/>
  <c r="AK157" i="52" a="1"/>
  <c r="AK157" i="52" s="1"/>
  <c r="B159" i="53" s="1"/>
  <c r="G158" i="53"/>
  <c r="K158" i="53"/>
  <c r="F158" i="53"/>
  <c r="C158" i="53"/>
  <c r="P158" i="53"/>
  <c r="L158" i="53"/>
  <c r="J158" i="53"/>
  <c r="E158" i="53"/>
  <c r="K98" i="50"/>
  <c r="M98" i="50"/>
  <c r="A98" i="50"/>
  <c r="G98" i="50"/>
  <c r="F98" i="50"/>
  <c r="U98" i="50" s="1"/>
  <c r="J98" i="50"/>
  <c r="I98" i="50"/>
  <c r="B98" i="50"/>
  <c r="R98" i="50" s="1"/>
  <c r="L98" i="50"/>
  <c r="H98" i="50"/>
  <c r="N98" i="50"/>
  <c r="J158" i="57"/>
  <c r="D158" i="57"/>
  <c r="K158" i="57"/>
  <c r="F158" i="57"/>
  <c r="H158" i="57"/>
  <c r="C158" i="57"/>
  <c r="I158" i="57"/>
  <c r="G158" i="57"/>
  <c r="E158" i="57"/>
  <c r="AN157" i="55" a="1"/>
  <c r="AN157" i="55" s="1"/>
  <c r="B159" i="57" s="1"/>
  <c r="AR143" i="67" a="1"/>
  <c r="AR143" i="67" s="1"/>
  <c r="B144" i="69"/>
  <c r="L144" i="69" s="1"/>
  <c r="AE141" i="69"/>
  <c r="R141" i="69"/>
  <c r="S141" i="69" s="1"/>
  <c r="Y141" i="69" s="1"/>
  <c r="D142" i="69"/>
  <c r="E142" i="69" s="1"/>
  <c r="F142" i="69" s="1"/>
  <c r="G142" i="69" s="1"/>
  <c r="H142" i="69" s="1"/>
  <c r="I142" i="69" s="1"/>
  <c r="J142" i="69" s="1"/>
  <c r="K142" i="69" s="1"/>
  <c r="M142" i="69" s="1"/>
  <c r="C143" i="69"/>
  <c r="P143" i="69" s="1"/>
  <c r="AL88" i="11" a="1"/>
  <c r="AL88" i="11" s="1"/>
  <c r="E89" i="32" s="1"/>
  <c r="AP98" i="59" a="1"/>
  <c r="AP98" i="59" s="1"/>
  <c r="E99" i="50" s="1"/>
  <c r="E3" i="32"/>
  <c r="AD97" i="50" l="1"/>
  <c r="AG97" i="50" s="1"/>
  <c r="AG158" i="57"/>
  <c r="X156" i="57"/>
  <c r="AB156" i="57" s="1"/>
  <c r="AF155" i="57"/>
  <c r="AB155" i="57"/>
  <c r="M159" i="53"/>
  <c r="AC159" i="53" s="1"/>
  <c r="O159" i="53"/>
  <c r="AP143" i="69"/>
  <c r="N143" i="69"/>
  <c r="U143" i="69" s="1"/>
  <c r="Q157" i="57"/>
  <c r="T157" i="57" s="1"/>
  <c r="AQ157" i="57"/>
  <c r="AJ157" i="57"/>
  <c r="AD157" i="57"/>
  <c r="R157" i="57"/>
  <c r="AE157" i="57"/>
  <c r="AC157" i="57"/>
  <c r="M158" i="57"/>
  <c r="AK158" i="57" s="1"/>
  <c r="Q98" i="50"/>
  <c r="P98" i="50" s="1"/>
  <c r="N159" i="53"/>
  <c r="O89" i="32"/>
  <c r="T89" i="32"/>
  <c r="T99" i="50"/>
  <c r="O99" i="50"/>
  <c r="AA157" i="53"/>
  <c r="AB157" i="53"/>
  <c r="AP95" i="50"/>
  <c r="AJ97" i="50"/>
  <c r="C97" i="50"/>
  <c r="S98" i="50"/>
  <c r="Z98" i="50" s="1"/>
  <c r="W97" i="50"/>
  <c r="X96" i="50"/>
  <c r="V97" i="50"/>
  <c r="AF142" i="69"/>
  <c r="Q142" i="69"/>
  <c r="O159" i="57"/>
  <c r="P159" i="57"/>
  <c r="AC140" i="69"/>
  <c r="AD140" i="69" s="1"/>
  <c r="AH96" i="50"/>
  <c r="AI96" i="50" s="1"/>
  <c r="AB141" i="69"/>
  <c r="AG141" i="69"/>
  <c r="O144" i="69"/>
  <c r="AO143" i="69"/>
  <c r="AK99" i="50"/>
  <c r="AE158" i="53"/>
  <c r="AF157" i="53"/>
  <c r="AK89" i="32"/>
  <c r="AM98" i="50"/>
  <c r="R158" i="53"/>
  <c r="X158" i="53" s="1"/>
  <c r="AL96" i="50"/>
  <c r="AY142" i="69"/>
  <c r="L159" i="57"/>
  <c r="AH158" i="53"/>
  <c r="AT158" i="53"/>
  <c r="AG158" i="53"/>
  <c r="N159" i="57"/>
  <c r="D159" i="53"/>
  <c r="AH142" i="69"/>
  <c r="AD158" i="53"/>
  <c r="Q158" i="53"/>
  <c r="AK158" i="52" a="1"/>
  <c r="AK158" i="52" s="1"/>
  <c r="B160" i="53" s="1"/>
  <c r="C159" i="53"/>
  <c r="I159" i="53"/>
  <c r="H159" i="53"/>
  <c r="L159" i="53"/>
  <c r="G159" i="53"/>
  <c r="E159" i="53"/>
  <c r="F159" i="53"/>
  <c r="K159" i="53"/>
  <c r="P159" i="53"/>
  <c r="J159" i="53"/>
  <c r="K99" i="50"/>
  <c r="I99" i="50"/>
  <c r="N99" i="50"/>
  <c r="B99" i="50"/>
  <c r="R99" i="50" s="1"/>
  <c r="J99" i="50"/>
  <c r="G99" i="50"/>
  <c r="M99" i="50"/>
  <c r="H99" i="50"/>
  <c r="A99" i="50"/>
  <c r="L99" i="50"/>
  <c r="F99" i="50"/>
  <c r="U99" i="50" s="1"/>
  <c r="D159" i="57"/>
  <c r="I159" i="57"/>
  <c r="F159" i="57"/>
  <c r="H159" i="57"/>
  <c r="K159" i="57"/>
  <c r="G159" i="57"/>
  <c r="C159" i="57"/>
  <c r="J159" i="57"/>
  <c r="E159" i="57"/>
  <c r="AN158" i="55" a="1"/>
  <c r="AN158" i="55" s="1"/>
  <c r="B160" i="57" s="1"/>
  <c r="D143" i="69"/>
  <c r="E143" i="69" s="1"/>
  <c r="F143" i="69" s="1"/>
  <c r="G143" i="69" s="1"/>
  <c r="H143" i="69" s="1"/>
  <c r="I143" i="69" s="1"/>
  <c r="J143" i="69" s="1"/>
  <c r="K143" i="69" s="1"/>
  <c r="M143" i="69" s="1"/>
  <c r="C144" i="69"/>
  <c r="P144" i="69" s="1"/>
  <c r="AE142" i="69"/>
  <c r="R142" i="69"/>
  <c r="S142" i="69" s="1"/>
  <c r="Y142" i="69" s="1"/>
  <c r="AR144" i="67" a="1"/>
  <c r="AR144" i="67" s="1"/>
  <c r="B145" i="69"/>
  <c r="L145" i="69" s="1"/>
  <c r="AL89" i="11" a="1"/>
  <c r="AL89" i="11" s="1"/>
  <c r="E90" i="32" s="1"/>
  <c r="AP99" i="59" a="1"/>
  <c r="AP99" i="59" s="1"/>
  <c r="E100" i="50" s="1"/>
  <c r="AB142" i="69" l="1"/>
  <c r="AC142" i="69" s="1"/>
  <c r="AD142" i="69" s="1"/>
  <c r="AD98" i="50"/>
  <c r="AG98" i="50" s="1"/>
  <c r="X157" i="57"/>
  <c r="AB157" i="57" s="1"/>
  <c r="AJ158" i="57"/>
  <c r="AA156" i="57"/>
  <c r="AG159" i="57"/>
  <c r="AF156" i="57"/>
  <c r="AD158" i="57"/>
  <c r="M160" i="53"/>
  <c r="AC160" i="53" s="1"/>
  <c r="O160" i="53"/>
  <c r="AP144" i="69"/>
  <c r="N144" i="69"/>
  <c r="U144" i="69" s="1"/>
  <c r="Q158" i="57"/>
  <c r="T158" i="57" s="1"/>
  <c r="AQ158" i="57"/>
  <c r="R158" i="57"/>
  <c r="AC158" i="57"/>
  <c r="AE158" i="57"/>
  <c r="M159" i="57"/>
  <c r="AK159" i="57" s="1"/>
  <c r="Q99" i="50"/>
  <c r="P99" i="50" s="1"/>
  <c r="N160" i="53"/>
  <c r="T90" i="32"/>
  <c r="O90" i="32"/>
  <c r="O100" i="50"/>
  <c r="T100" i="50"/>
  <c r="AA158" i="53"/>
  <c r="AB158" i="53"/>
  <c r="AP96" i="50"/>
  <c r="C98" i="50"/>
  <c r="S99" i="50"/>
  <c r="Z99" i="50" s="1"/>
  <c r="AJ98" i="50"/>
  <c r="W98" i="50"/>
  <c r="X97" i="50"/>
  <c r="V98" i="50"/>
  <c r="AF143" i="69"/>
  <c r="Q143" i="69"/>
  <c r="O160" i="57"/>
  <c r="P160" i="57"/>
  <c r="AC141" i="69"/>
  <c r="AD141" i="69" s="1"/>
  <c r="AH97" i="50"/>
  <c r="AI97" i="50" s="1"/>
  <c r="O145" i="69"/>
  <c r="AO144" i="69"/>
  <c r="AG142" i="69"/>
  <c r="AK100" i="50"/>
  <c r="AE159" i="53"/>
  <c r="AF158" i="53"/>
  <c r="AK90" i="32"/>
  <c r="AM99" i="50"/>
  <c r="R159" i="53"/>
  <c r="X159" i="53" s="1"/>
  <c r="AL97" i="50"/>
  <c r="AY143" i="69"/>
  <c r="L160" i="57"/>
  <c r="AG159" i="53"/>
  <c r="AH159" i="53"/>
  <c r="AT159" i="53"/>
  <c r="N160" i="57"/>
  <c r="AH143" i="69"/>
  <c r="AD159" i="53"/>
  <c r="Q159" i="53"/>
  <c r="AK159" i="52" a="1"/>
  <c r="AK159" i="52" s="1"/>
  <c r="B161" i="53" s="1"/>
  <c r="D160" i="53"/>
  <c r="E160" i="53"/>
  <c r="L160" i="53"/>
  <c r="J160" i="53"/>
  <c r="G160" i="53"/>
  <c r="K160" i="53"/>
  <c r="P160" i="53"/>
  <c r="C160" i="53"/>
  <c r="I160" i="53"/>
  <c r="H160" i="53"/>
  <c r="F160" i="53"/>
  <c r="I100" i="50"/>
  <c r="M100" i="50"/>
  <c r="K100" i="50"/>
  <c r="G100" i="50"/>
  <c r="B100" i="50"/>
  <c r="R100" i="50" s="1"/>
  <c r="H100" i="50"/>
  <c r="A100" i="50"/>
  <c r="J100" i="50"/>
  <c r="L100" i="50"/>
  <c r="N100" i="50"/>
  <c r="F100" i="50"/>
  <c r="U100" i="50" s="1"/>
  <c r="K160" i="57"/>
  <c r="J160" i="57"/>
  <c r="H160" i="57"/>
  <c r="F160" i="57"/>
  <c r="D160" i="57"/>
  <c r="C160" i="57"/>
  <c r="I160" i="57"/>
  <c r="E160" i="57"/>
  <c r="G160" i="57"/>
  <c r="AN159" i="55" a="1"/>
  <c r="AN159" i="55" s="1"/>
  <c r="B161" i="57" s="1"/>
  <c r="C145" i="69"/>
  <c r="P145" i="69" s="1"/>
  <c r="AE143" i="69"/>
  <c r="R143" i="69"/>
  <c r="S143" i="69" s="1"/>
  <c r="AR145" i="67" a="1"/>
  <c r="AR145" i="67" s="1"/>
  <c r="B146" i="69"/>
  <c r="L146" i="69" s="1"/>
  <c r="D144" i="69"/>
  <c r="E144" i="69" s="1"/>
  <c r="F144" i="69" s="1"/>
  <c r="G144" i="69" s="1"/>
  <c r="H144" i="69" s="1"/>
  <c r="I144" i="69" s="1"/>
  <c r="J144" i="69" s="1"/>
  <c r="K144" i="69" s="1"/>
  <c r="M144" i="69" s="1"/>
  <c r="AL90" i="11" a="1"/>
  <c r="AL90" i="11" s="1"/>
  <c r="E91" i="32" s="1"/>
  <c r="AP100" i="59" a="1"/>
  <c r="AP100" i="59" s="1"/>
  <c r="E101" i="50" s="1"/>
  <c r="Y143" i="69" l="1"/>
  <c r="AB143" i="69" s="1"/>
  <c r="AC143" i="69" s="1"/>
  <c r="AD143" i="69" s="1"/>
  <c r="AD99" i="50"/>
  <c r="AG99" i="50" s="1"/>
  <c r="X158" i="57"/>
  <c r="AB158" i="57" s="1"/>
  <c r="AG160" i="57"/>
  <c r="AF157" i="57"/>
  <c r="AA157" i="57"/>
  <c r="M161" i="53"/>
  <c r="AC161" i="53" s="1"/>
  <c r="O161" i="53"/>
  <c r="AP145" i="69"/>
  <c r="N145" i="69"/>
  <c r="U145" i="69" s="1"/>
  <c r="Q159" i="57"/>
  <c r="T159" i="57" s="1"/>
  <c r="AJ159" i="57"/>
  <c r="AC159" i="57"/>
  <c r="R159" i="57"/>
  <c r="AD159" i="57"/>
  <c r="AE159" i="57"/>
  <c r="AQ159" i="57"/>
  <c r="M160" i="57"/>
  <c r="AK160" i="57" s="1"/>
  <c r="Q100" i="50"/>
  <c r="P100" i="50" s="1"/>
  <c r="N161" i="53"/>
  <c r="T91" i="32"/>
  <c r="O91" i="32"/>
  <c r="O101" i="50"/>
  <c r="T101" i="50"/>
  <c r="AA159" i="53"/>
  <c r="AB159" i="53"/>
  <c r="AP97" i="50"/>
  <c r="AJ99" i="50"/>
  <c r="C99" i="50"/>
  <c r="S100" i="50"/>
  <c r="Z100" i="50" s="1"/>
  <c r="W99" i="50"/>
  <c r="X98" i="50"/>
  <c r="V99" i="50"/>
  <c r="AF144" i="69"/>
  <c r="Q144" i="69"/>
  <c r="O161" i="57"/>
  <c r="P161" i="57"/>
  <c r="AH98" i="50"/>
  <c r="AI98" i="50" s="1"/>
  <c r="O146" i="69"/>
  <c r="AO145" i="69"/>
  <c r="AK101" i="50"/>
  <c r="AE160" i="53"/>
  <c r="AF159" i="53"/>
  <c r="AK91" i="32"/>
  <c r="AM100" i="50"/>
  <c r="R160" i="53"/>
  <c r="X160" i="53" s="1"/>
  <c r="AL98" i="50"/>
  <c r="AY144" i="69"/>
  <c r="L161" i="57"/>
  <c r="AG160" i="53"/>
  <c r="AH160" i="53"/>
  <c r="AT160" i="53"/>
  <c r="N161" i="57"/>
  <c r="AH144" i="69"/>
  <c r="AD160" i="53"/>
  <c r="Q160" i="53"/>
  <c r="P161" i="53"/>
  <c r="F161" i="53"/>
  <c r="C161" i="53"/>
  <c r="J161" i="53"/>
  <c r="I161" i="53"/>
  <c r="G161" i="53"/>
  <c r="H161" i="53"/>
  <c r="D161" i="53"/>
  <c r="AK160" i="52" a="1"/>
  <c r="AK160" i="52" s="1"/>
  <c r="B162" i="53" s="1"/>
  <c r="E161" i="53"/>
  <c r="K161" i="53"/>
  <c r="L161" i="53"/>
  <c r="J101" i="50"/>
  <c r="M101" i="50"/>
  <c r="I101" i="50"/>
  <c r="G101" i="50"/>
  <c r="F101" i="50"/>
  <c r="U101" i="50" s="1"/>
  <c r="L101" i="50"/>
  <c r="N101" i="50"/>
  <c r="B101" i="50"/>
  <c r="R101" i="50" s="1"/>
  <c r="H101" i="50"/>
  <c r="K101" i="50"/>
  <c r="A101" i="50"/>
  <c r="J161" i="57"/>
  <c r="E161" i="57"/>
  <c r="K161" i="57"/>
  <c r="G161" i="57"/>
  <c r="C161" i="57"/>
  <c r="F161" i="57"/>
  <c r="I161" i="57"/>
  <c r="H161" i="57"/>
  <c r="D161" i="57"/>
  <c r="AN160" i="55" a="1"/>
  <c r="AN160" i="55" s="1"/>
  <c r="B162" i="57" s="1"/>
  <c r="AE144" i="69"/>
  <c r="R144" i="69"/>
  <c r="S144" i="69" s="1"/>
  <c r="Y144" i="69" s="1"/>
  <c r="C146" i="69"/>
  <c r="P146" i="69" s="1"/>
  <c r="D145" i="69"/>
  <c r="E145" i="69" s="1"/>
  <c r="F145" i="69" s="1"/>
  <c r="G145" i="69" s="1"/>
  <c r="H145" i="69" s="1"/>
  <c r="I145" i="69" s="1"/>
  <c r="J145" i="69" s="1"/>
  <c r="K145" i="69" s="1"/>
  <c r="M145" i="69" s="1"/>
  <c r="AR146" i="67" a="1"/>
  <c r="AR146" i="67" s="1"/>
  <c r="B147" i="69"/>
  <c r="L147" i="69" s="1"/>
  <c r="AL91" i="11" a="1"/>
  <c r="AL91" i="11" s="1"/>
  <c r="E92" i="32" s="1"/>
  <c r="AP101" i="59" a="1"/>
  <c r="AP101" i="59" s="1"/>
  <c r="E102" i="50" s="1"/>
  <c r="E3" i="50"/>
  <c r="AG143" i="69" l="1"/>
  <c r="AD100" i="50"/>
  <c r="AG100" i="50" s="1"/>
  <c r="X159" i="57"/>
  <c r="AB159" i="57" s="1"/>
  <c r="AG161" i="57"/>
  <c r="M162" i="53"/>
  <c r="AC162" i="53" s="1"/>
  <c r="O162" i="53"/>
  <c r="AP146" i="69"/>
  <c r="N146" i="69"/>
  <c r="U146" i="69" s="1"/>
  <c r="AQ160" i="57"/>
  <c r="AF158" i="57"/>
  <c r="AA158" i="57"/>
  <c r="AJ160" i="57"/>
  <c r="Q160" i="57"/>
  <c r="T160" i="57" s="1"/>
  <c r="AD160" i="57"/>
  <c r="R160" i="57"/>
  <c r="AC160" i="57"/>
  <c r="AE160" i="57"/>
  <c r="M161" i="57"/>
  <c r="AK161" i="57" s="1"/>
  <c r="Q101" i="50"/>
  <c r="P101" i="50" s="1"/>
  <c r="N162" i="53"/>
  <c r="O92" i="32"/>
  <c r="T92" i="32"/>
  <c r="T102" i="50"/>
  <c r="O102" i="50"/>
  <c r="AA160" i="53"/>
  <c r="AB160" i="53"/>
  <c r="AP98" i="50"/>
  <c r="C100" i="50"/>
  <c r="S101" i="50"/>
  <c r="Z101" i="50" s="1"/>
  <c r="AJ100" i="50"/>
  <c r="W100" i="50"/>
  <c r="X99" i="50"/>
  <c r="V100" i="50"/>
  <c r="AF145" i="69"/>
  <c r="Q145" i="69"/>
  <c r="O162" i="57"/>
  <c r="P162" i="57"/>
  <c r="AH99" i="50"/>
  <c r="AI99" i="50" s="1"/>
  <c r="AB144" i="69"/>
  <c r="AG144" i="69"/>
  <c r="AO146" i="69"/>
  <c r="O147" i="69"/>
  <c r="AK102" i="50"/>
  <c r="AE161" i="53"/>
  <c r="AF160" i="53"/>
  <c r="AK92" i="32"/>
  <c r="AM101" i="50"/>
  <c r="R161" i="53"/>
  <c r="X161" i="53" s="1"/>
  <c r="AL99" i="50"/>
  <c r="AY145" i="69"/>
  <c r="L162" i="57"/>
  <c r="AH161" i="53"/>
  <c r="AT161" i="53"/>
  <c r="AG161" i="53"/>
  <c r="N162" i="57"/>
  <c r="L162" i="53"/>
  <c r="AH145" i="69"/>
  <c r="Q161" i="53"/>
  <c r="AD161" i="53"/>
  <c r="D162" i="53"/>
  <c r="H162" i="53"/>
  <c r="AK161" i="52" a="1"/>
  <c r="AK161" i="52" s="1"/>
  <c r="B163" i="53" s="1"/>
  <c r="F162" i="53"/>
  <c r="K162" i="53"/>
  <c r="C162" i="53"/>
  <c r="I162" i="53"/>
  <c r="P162" i="53"/>
  <c r="J162" i="53"/>
  <c r="G162" i="53"/>
  <c r="E162" i="53"/>
  <c r="I102" i="50"/>
  <c r="N102" i="50"/>
  <c r="F102" i="50"/>
  <c r="U102" i="50" s="1"/>
  <c r="J102" i="50"/>
  <c r="K102" i="50"/>
  <c r="H102" i="50"/>
  <c r="A102" i="50"/>
  <c r="G102" i="50"/>
  <c r="B102" i="50"/>
  <c r="R102" i="50" s="1"/>
  <c r="M102" i="50"/>
  <c r="L102" i="50"/>
  <c r="J162" i="57"/>
  <c r="G162" i="57"/>
  <c r="D162" i="57"/>
  <c r="I162" i="57"/>
  <c r="E162" i="57"/>
  <c r="H162" i="57"/>
  <c r="C162" i="57"/>
  <c r="K162" i="57"/>
  <c r="F162" i="57"/>
  <c r="AN161" i="55" a="1"/>
  <c r="AN161" i="55" s="1"/>
  <c r="B163" i="57" s="1"/>
  <c r="R145" i="69"/>
  <c r="S145" i="69" s="1"/>
  <c r="Y145" i="69" s="1"/>
  <c r="AE145" i="69"/>
  <c r="D146" i="69"/>
  <c r="E146" i="69" s="1"/>
  <c r="F146" i="69" s="1"/>
  <c r="G146" i="69" s="1"/>
  <c r="H146" i="69" s="1"/>
  <c r="I146" i="69" s="1"/>
  <c r="J146" i="69" s="1"/>
  <c r="K146" i="69" s="1"/>
  <c r="M146" i="69" s="1"/>
  <c r="C147" i="69"/>
  <c r="P147" i="69" s="1"/>
  <c r="AR147" i="67" a="1"/>
  <c r="AR147" i="67" s="1"/>
  <c r="B148" i="69"/>
  <c r="L148" i="69" s="1"/>
  <c r="AL92" i="11" a="1"/>
  <c r="AL92" i="11" s="1"/>
  <c r="E93" i="32" s="1"/>
  <c r="AP102" i="59" a="1"/>
  <c r="AP102" i="59" s="1"/>
  <c r="E103" i="50" s="1"/>
  <c r="D3" i="11"/>
  <c r="X160" i="57" l="1"/>
  <c r="AB160" i="57" s="1"/>
  <c r="AD101" i="50"/>
  <c r="AG101" i="50" s="1"/>
  <c r="AG162" i="57"/>
  <c r="M163" i="53"/>
  <c r="AC163" i="53" s="1"/>
  <c r="O163" i="53"/>
  <c r="AP147" i="69"/>
  <c r="N147" i="69"/>
  <c r="U147" i="69" s="1"/>
  <c r="AA159" i="57"/>
  <c r="AF159" i="57"/>
  <c r="AJ161" i="57"/>
  <c r="AC161" i="57"/>
  <c r="Q161" i="57"/>
  <c r="T161" i="57" s="1"/>
  <c r="AD161" i="57"/>
  <c r="R161" i="57"/>
  <c r="AE161" i="57"/>
  <c r="AQ161" i="57"/>
  <c r="M162" i="57"/>
  <c r="AK162" i="57" s="1"/>
  <c r="Q102" i="50"/>
  <c r="P102" i="50" s="1"/>
  <c r="O12" i="32"/>
  <c r="O13" i="32"/>
  <c r="N163" i="53"/>
  <c r="O93" i="32"/>
  <c r="T93" i="32"/>
  <c r="T103" i="50"/>
  <c r="O103" i="50"/>
  <c r="AA161" i="53"/>
  <c r="AB161" i="53"/>
  <c r="AP99" i="50"/>
  <c r="AJ101" i="50"/>
  <c r="C101" i="50"/>
  <c r="S102" i="50"/>
  <c r="Z102" i="50" s="1"/>
  <c r="W101" i="50"/>
  <c r="X100" i="50"/>
  <c r="V101" i="50"/>
  <c r="AF146" i="69"/>
  <c r="Q146" i="69"/>
  <c r="O163" i="57"/>
  <c r="P163" i="57"/>
  <c r="AC144" i="69"/>
  <c r="AD144" i="69" s="1"/>
  <c r="AH100" i="50"/>
  <c r="AI100" i="50" s="1"/>
  <c r="A13" i="32"/>
  <c r="Q13" i="32" s="1"/>
  <c r="AB145" i="69"/>
  <c r="AG145" i="69"/>
  <c r="AO147" i="69"/>
  <c r="O148" i="69"/>
  <c r="AK103" i="50"/>
  <c r="AF161" i="53"/>
  <c r="AE162" i="53"/>
  <c r="AK93" i="32"/>
  <c r="AM102" i="50"/>
  <c r="R162" i="53"/>
  <c r="X162" i="53" s="1"/>
  <c r="AL100" i="50"/>
  <c r="A12" i="32"/>
  <c r="Q12" i="32" s="1"/>
  <c r="F12" i="32"/>
  <c r="M92" i="32"/>
  <c r="L92" i="32"/>
  <c r="I92" i="32"/>
  <c r="K92" i="32"/>
  <c r="G92" i="32"/>
  <c r="L25" i="32"/>
  <c r="K25" i="32"/>
  <c r="M25" i="32"/>
  <c r="J25" i="32"/>
  <c r="F25" i="32"/>
  <c r="U25" i="32" s="1"/>
  <c r="A25" i="32"/>
  <c r="N25" i="32"/>
  <c r="B25" i="32"/>
  <c r="R25" i="32" s="1"/>
  <c r="G25" i="32"/>
  <c r="H25" i="32"/>
  <c r="I25" i="32"/>
  <c r="A26" i="32"/>
  <c r="M26" i="32"/>
  <c r="B26" i="32"/>
  <c r="R26" i="32" s="1"/>
  <c r="F26" i="32"/>
  <c r="U26" i="32" s="1"/>
  <c r="G26" i="32"/>
  <c r="J26" i="32"/>
  <c r="H26" i="32"/>
  <c r="K26" i="32"/>
  <c r="I26" i="32"/>
  <c r="N26" i="32"/>
  <c r="L26" i="32"/>
  <c r="A27" i="32"/>
  <c r="F27" i="32"/>
  <c r="U27" i="32" s="1"/>
  <c r="B27" i="32"/>
  <c r="R27" i="32" s="1"/>
  <c r="L27" i="32"/>
  <c r="H27" i="32"/>
  <c r="G27" i="32"/>
  <c r="I27" i="32"/>
  <c r="N27" i="32"/>
  <c r="M27" i="32"/>
  <c r="J27" i="32"/>
  <c r="K27" i="32"/>
  <c r="F28" i="32"/>
  <c r="U28" i="32" s="1"/>
  <c r="M28" i="32"/>
  <c r="N28" i="32"/>
  <c r="L28" i="32"/>
  <c r="G28" i="32"/>
  <c r="A28" i="32"/>
  <c r="B28" i="32"/>
  <c r="R28" i="32" s="1"/>
  <c r="H28" i="32"/>
  <c r="J28" i="32"/>
  <c r="K28" i="32"/>
  <c r="I28" i="32"/>
  <c r="L29" i="32"/>
  <c r="M29" i="32"/>
  <c r="F29" i="32"/>
  <c r="U29" i="32" s="1"/>
  <c r="A29" i="32"/>
  <c r="N29" i="32"/>
  <c r="K29" i="32"/>
  <c r="B29" i="32"/>
  <c r="R29" i="32" s="1"/>
  <c r="G29" i="32"/>
  <c r="H29" i="32"/>
  <c r="I29" i="32"/>
  <c r="J29" i="32"/>
  <c r="L30" i="32"/>
  <c r="H30" i="32"/>
  <c r="A30" i="32"/>
  <c r="M30" i="32"/>
  <c r="B30" i="32"/>
  <c r="R30" i="32" s="1"/>
  <c r="F30" i="32"/>
  <c r="U30" i="32" s="1"/>
  <c r="N30" i="32"/>
  <c r="G30" i="32"/>
  <c r="J30" i="32"/>
  <c r="I30" i="32"/>
  <c r="K30" i="32"/>
  <c r="G31" i="32"/>
  <c r="H31" i="32"/>
  <c r="A31" i="32"/>
  <c r="L31" i="32"/>
  <c r="B31" i="32"/>
  <c r="R31" i="32" s="1"/>
  <c r="I31" i="32"/>
  <c r="N31" i="32"/>
  <c r="J31" i="32"/>
  <c r="M31" i="32"/>
  <c r="F31" i="32"/>
  <c r="U31" i="32" s="1"/>
  <c r="K31" i="32"/>
  <c r="N32" i="32"/>
  <c r="M32" i="32"/>
  <c r="G32" i="32"/>
  <c r="K32" i="32"/>
  <c r="A32" i="32"/>
  <c r="I32" i="32"/>
  <c r="F32" i="32"/>
  <c r="U32" i="32" s="1"/>
  <c r="L32" i="32"/>
  <c r="B32" i="32"/>
  <c r="R32" i="32" s="1"/>
  <c r="H32" i="32"/>
  <c r="J32" i="32"/>
  <c r="M33" i="32"/>
  <c r="F33" i="32"/>
  <c r="U33" i="32" s="1"/>
  <c r="A33" i="32"/>
  <c r="N33" i="32"/>
  <c r="B33" i="32"/>
  <c r="R33" i="32" s="1"/>
  <c r="G33" i="32"/>
  <c r="H33" i="32"/>
  <c r="J33" i="32"/>
  <c r="I33" i="32"/>
  <c r="L33" i="32"/>
  <c r="K33" i="32"/>
  <c r="B34" i="32"/>
  <c r="R34" i="32" s="1"/>
  <c r="F34" i="32"/>
  <c r="U34" i="32" s="1"/>
  <c r="N34" i="32"/>
  <c r="G34" i="32"/>
  <c r="J34" i="32"/>
  <c r="K34" i="32"/>
  <c r="I34" i="32"/>
  <c r="H34" i="32"/>
  <c r="L34" i="32"/>
  <c r="A34" i="32"/>
  <c r="M34" i="32"/>
  <c r="J35" i="32"/>
  <c r="B35" i="32"/>
  <c r="R35" i="32" s="1"/>
  <c r="L35" i="32"/>
  <c r="M35" i="32"/>
  <c r="G35" i="32"/>
  <c r="F35" i="32"/>
  <c r="U35" i="32" s="1"/>
  <c r="N35" i="32"/>
  <c r="H35" i="32"/>
  <c r="I35" i="32"/>
  <c r="A35" i="32"/>
  <c r="K35" i="32"/>
  <c r="M36" i="32"/>
  <c r="L36" i="32"/>
  <c r="H36" i="32"/>
  <c r="G36" i="32"/>
  <c r="A36" i="32"/>
  <c r="B36" i="32"/>
  <c r="R36" i="32" s="1"/>
  <c r="I36" i="32"/>
  <c r="K36" i="32"/>
  <c r="J36" i="32"/>
  <c r="F36" i="32"/>
  <c r="U36" i="32" s="1"/>
  <c r="N36" i="32"/>
  <c r="F37" i="32"/>
  <c r="U37" i="32" s="1"/>
  <c r="A37" i="32"/>
  <c r="N37" i="32"/>
  <c r="B37" i="32"/>
  <c r="R37" i="32" s="1"/>
  <c r="G37" i="32"/>
  <c r="H37" i="32"/>
  <c r="K37" i="32"/>
  <c r="M37" i="32"/>
  <c r="I37" i="32"/>
  <c r="L37" i="32"/>
  <c r="J37" i="32"/>
  <c r="L38" i="32"/>
  <c r="A38" i="32"/>
  <c r="M38" i="32"/>
  <c r="B38" i="32"/>
  <c r="R38" i="32" s="1"/>
  <c r="F38" i="32"/>
  <c r="U38" i="32" s="1"/>
  <c r="N38" i="32"/>
  <c r="I38" i="32"/>
  <c r="G38" i="32"/>
  <c r="J38" i="32"/>
  <c r="K38" i="32"/>
  <c r="H38" i="32"/>
  <c r="I39" i="32"/>
  <c r="N39" i="32"/>
  <c r="J39" i="32"/>
  <c r="A39" i="32"/>
  <c r="K39" i="32"/>
  <c r="L39" i="32"/>
  <c r="M39" i="32"/>
  <c r="F39" i="32"/>
  <c r="U39" i="32" s="1"/>
  <c r="G39" i="32"/>
  <c r="H39" i="32"/>
  <c r="B39" i="32"/>
  <c r="R39" i="32" s="1"/>
  <c r="J40" i="32"/>
  <c r="L40" i="32"/>
  <c r="K40" i="32"/>
  <c r="F40" i="32"/>
  <c r="U40" i="32" s="1"/>
  <c r="M40" i="32"/>
  <c r="N40" i="32"/>
  <c r="G40" i="32"/>
  <c r="A40" i="32"/>
  <c r="B40" i="32"/>
  <c r="R40" i="32" s="1"/>
  <c r="H40" i="32"/>
  <c r="I40" i="32"/>
  <c r="F41" i="32"/>
  <c r="U41" i="32" s="1"/>
  <c r="A41" i="32"/>
  <c r="N41" i="32"/>
  <c r="B41" i="32"/>
  <c r="R41" i="32" s="1"/>
  <c r="G41" i="32"/>
  <c r="H41" i="32"/>
  <c r="M41" i="32"/>
  <c r="K41" i="32"/>
  <c r="I41" i="32"/>
  <c r="L41" i="32"/>
  <c r="J41" i="32"/>
  <c r="J42" i="32"/>
  <c r="M42" i="32"/>
  <c r="K42" i="32"/>
  <c r="I42" i="32"/>
  <c r="L42" i="32"/>
  <c r="B42" i="32"/>
  <c r="R42" i="32" s="1"/>
  <c r="F42" i="32"/>
  <c r="U42" i="32" s="1"/>
  <c r="N42" i="32"/>
  <c r="G42" i="32"/>
  <c r="A42" i="32"/>
  <c r="H42" i="32"/>
  <c r="H43" i="32"/>
  <c r="F43" i="32"/>
  <c r="U43" i="32" s="1"/>
  <c r="I43" i="32"/>
  <c r="J43" i="32"/>
  <c r="A43" i="32"/>
  <c r="K43" i="32"/>
  <c r="B43" i="32"/>
  <c r="R43" i="32" s="1"/>
  <c r="L43" i="32"/>
  <c r="M43" i="32"/>
  <c r="G43" i="32"/>
  <c r="N43" i="32"/>
  <c r="K44" i="32"/>
  <c r="N44" i="32"/>
  <c r="G44" i="32"/>
  <c r="A44" i="32"/>
  <c r="B44" i="32"/>
  <c r="R44" i="32" s="1"/>
  <c r="H44" i="32"/>
  <c r="J44" i="32"/>
  <c r="F44" i="32"/>
  <c r="U44" i="32" s="1"/>
  <c r="I44" i="32"/>
  <c r="M44" i="32"/>
  <c r="L44" i="32"/>
  <c r="H45" i="32"/>
  <c r="I45" i="32"/>
  <c r="L45" i="32"/>
  <c r="M45" i="32"/>
  <c r="K45" i="32"/>
  <c r="F45" i="32"/>
  <c r="U45" i="32" s="1"/>
  <c r="A45" i="32"/>
  <c r="N45" i="32"/>
  <c r="B45" i="32"/>
  <c r="R45" i="32" s="1"/>
  <c r="G45" i="32"/>
  <c r="J45" i="32"/>
  <c r="J46" i="32"/>
  <c r="K46" i="32"/>
  <c r="L46" i="32"/>
  <c r="A46" i="32"/>
  <c r="M46" i="32"/>
  <c r="B46" i="32"/>
  <c r="R46" i="32" s="1"/>
  <c r="F46" i="32"/>
  <c r="U46" i="32" s="1"/>
  <c r="G46" i="32"/>
  <c r="H46" i="32"/>
  <c r="N46" i="32"/>
  <c r="I46" i="32"/>
  <c r="G47" i="32"/>
  <c r="F47" i="32"/>
  <c r="U47" i="32" s="1"/>
  <c r="H47" i="32"/>
  <c r="I47" i="32"/>
  <c r="N47" i="32"/>
  <c r="J47" i="32"/>
  <c r="A47" i="32"/>
  <c r="K47" i="32"/>
  <c r="B47" i="32"/>
  <c r="R47" i="32" s="1"/>
  <c r="L47" i="32"/>
  <c r="M47" i="32"/>
  <c r="N48" i="32"/>
  <c r="M48" i="32"/>
  <c r="G48" i="32"/>
  <c r="A48" i="32"/>
  <c r="B48" i="32"/>
  <c r="R48" i="32" s="1"/>
  <c r="H48" i="32"/>
  <c r="I48" i="32"/>
  <c r="L48" i="32"/>
  <c r="J48" i="32"/>
  <c r="K48" i="32"/>
  <c r="F48" i="32"/>
  <c r="U48" i="32" s="1"/>
  <c r="L49" i="32"/>
  <c r="J49" i="32"/>
  <c r="F49" i="32"/>
  <c r="U49" i="32" s="1"/>
  <c r="A49" i="32"/>
  <c r="N49" i="32"/>
  <c r="B49" i="32"/>
  <c r="R49" i="32" s="1"/>
  <c r="G49" i="32"/>
  <c r="H49" i="32"/>
  <c r="M49" i="32"/>
  <c r="I49" i="32"/>
  <c r="K49" i="32"/>
  <c r="N50" i="32"/>
  <c r="I50" i="32"/>
  <c r="B50" i="32"/>
  <c r="R50" i="32" s="1"/>
  <c r="G50" i="32"/>
  <c r="J50" i="32"/>
  <c r="F50" i="32"/>
  <c r="U50" i="32" s="1"/>
  <c r="K50" i="32"/>
  <c r="H50" i="32"/>
  <c r="L50" i="32"/>
  <c r="A50" i="32"/>
  <c r="M50" i="32"/>
  <c r="A51" i="32"/>
  <c r="K51" i="32"/>
  <c r="B51" i="32"/>
  <c r="R51" i="32" s="1"/>
  <c r="L51" i="32"/>
  <c r="N51" i="32"/>
  <c r="H51" i="32"/>
  <c r="J51" i="32"/>
  <c r="M51" i="32"/>
  <c r="G51" i="32"/>
  <c r="I51" i="32"/>
  <c r="F51" i="32"/>
  <c r="U51" i="32" s="1"/>
  <c r="J52" i="32"/>
  <c r="M52" i="32"/>
  <c r="N52" i="32"/>
  <c r="B52" i="32"/>
  <c r="R52" i="32" s="1"/>
  <c r="H52" i="32"/>
  <c r="I52" i="32"/>
  <c r="K52" i="32"/>
  <c r="F52" i="32"/>
  <c r="U52" i="32" s="1"/>
  <c r="L52" i="32"/>
  <c r="G52" i="32"/>
  <c r="A52" i="32"/>
  <c r="L53" i="32"/>
  <c r="K53" i="32"/>
  <c r="M53" i="32"/>
  <c r="J53" i="32"/>
  <c r="F53" i="32"/>
  <c r="U53" i="32" s="1"/>
  <c r="A53" i="32"/>
  <c r="N53" i="32"/>
  <c r="B53" i="32"/>
  <c r="R53" i="32" s="1"/>
  <c r="G53" i="32"/>
  <c r="H53" i="32"/>
  <c r="I53" i="32"/>
  <c r="J54" i="32"/>
  <c r="K54" i="32"/>
  <c r="L54" i="32"/>
  <c r="A54" i="32"/>
  <c r="M54" i="32"/>
  <c r="B54" i="32"/>
  <c r="R54" i="32" s="1"/>
  <c r="F54" i="32"/>
  <c r="U54" i="32" s="1"/>
  <c r="I54" i="32"/>
  <c r="H54" i="32"/>
  <c r="N54" i="32"/>
  <c r="G54" i="32"/>
  <c r="K56" i="32"/>
  <c r="M56" i="32"/>
  <c r="F55" i="32"/>
  <c r="U55" i="32" s="1"/>
  <c r="A55" i="32"/>
  <c r="N56" i="32"/>
  <c r="L56" i="32"/>
  <c r="G55" i="32"/>
  <c r="I55" i="32"/>
  <c r="B55" i="32"/>
  <c r="R55" i="32" s="1"/>
  <c r="G56" i="32"/>
  <c r="H55" i="32"/>
  <c r="N55" i="32"/>
  <c r="I56" i="32"/>
  <c r="A56" i="32"/>
  <c r="B56" i="32"/>
  <c r="R56" i="32" s="1"/>
  <c r="H56" i="32"/>
  <c r="J55" i="32"/>
  <c r="J56" i="32"/>
  <c r="L55" i="32"/>
  <c r="M55" i="32"/>
  <c r="F56" i="32"/>
  <c r="U56" i="32" s="1"/>
  <c r="K55" i="32"/>
  <c r="G58" i="32"/>
  <c r="G57" i="32"/>
  <c r="J58" i="32"/>
  <c r="H58" i="32"/>
  <c r="H57" i="32"/>
  <c r="L58" i="32"/>
  <c r="K57" i="32"/>
  <c r="M58" i="32"/>
  <c r="F58" i="32"/>
  <c r="U58" i="32" s="1"/>
  <c r="B57" i="32"/>
  <c r="R57" i="32" s="1"/>
  <c r="N57" i="32"/>
  <c r="A58" i="32"/>
  <c r="K58" i="32"/>
  <c r="I58" i="32"/>
  <c r="I57" i="32"/>
  <c r="B58" i="32"/>
  <c r="R58" i="32" s="1"/>
  <c r="L57" i="32"/>
  <c r="A57" i="32"/>
  <c r="J57" i="32"/>
  <c r="F57" i="32"/>
  <c r="U57" i="32" s="1"/>
  <c r="M57" i="32"/>
  <c r="N58" i="32"/>
  <c r="B59" i="32"/>
  <c r="R59" i="32" s="1"/>
  <c r="J59" i="32"/>
  <c r="A59" i="32"/>
  <c r="G59" i="32"/>
  <c r="N59" i="32"/>
  <c r="F59" i="32"/>
  <c r="U59" i="32" s="1"/>
  <c r="H59" i="32"/>
  <c r="I59" i="32"/>
  <c r="K59" i="32"/>
  <c r="L59" i="32"/>
  <c r="M59" i="32"/>
  <c r="I61" i="32"/>
  <c r="H61" i="32"/>
  <c r="J61" i="32"/>
  <c r="H60" i="32"/>
  <c r="J60" i="32"/>
  <c r="L60" i="32"/>
  <c r="L61" i="32"/>
  <c r="G61" i="32"/>
  <c r="K60" i="32"/>
  <c r="M60" i="32"/>
  <c r="A61" i="32"/>
  <c r="M61" i="32"/>
  <c r="K61" i="32"/>
  <c r="B60" i="32"/>
  <c r="R60" i="32" s="1"/>
  <c r="B61" i="32"/>
  <c r="R61" i="32" s="1"/>
  <c r="F61" i="32"/>
  <c r="U61" i="32" s="1"/>
  <c r="F60" i="32"/>
  <c r="U60" i="32" s="1"/>
  <c r="G60" i="32"/>
  <c r="A60" i="32"/>
  <c r="N61" i="32"/>
  <c r="N60" i="32"/>
  <c r="I60" i="32"/>
  <c r="M62" i="32"/>
  <c r="J62" i="32"/>
  <c r="I62" i="32"/>
  <c r="K62" i="32"/>
  <c r="H62" i="32"/>
  <c r="A62" i="32"/>
  <c r="F62" i="32"/>
  <c r="U62" i="32" s="1"/>
  <c r="B62" i="32"/>
  <c r="R62" i="32" s="1"/>
  <c r="N62" i="32"/>
  <c r="G62" i="32"/>
  <c r="L62" i="32"/>
  <c r="A63" i="32"/>
  <c r="I63" i="32"/>
  <c r="N63" i="32"/>
  <c r="F64" i="32"/>
  <c r="U64" i="32" s="1"/>
  <c r="B63" i="32"/>
  <c r="R63" i="32" s="1"/>
  <c r="H64" i="32"/>
  <c r="J63" i="32"/>
  <c r="J64" i="32"/>
  <c r="L63" i="32"/>
  <c r="K64" i="32"/>
  <c r="M63" i="32"/>
  <c r="M64" i="32"/>
  <c r="F63" i="32"/>
  <c r="U63" i="32" s="1"/>
  <c r="K63" i="32"/>
  <c r="L64" i="32"/>
  <c r="A64" i="32"/>
  <c r="N64" i="32"/>
  <c r="I64" i="32"/>
  <c r="B64" i="32"/>
  <c r="R64" i="32" s="1"/>
  <c r="G64" i="32"/>
  <c r="H63" i="32"/>
  <c r="G63" i="32"/>
  <c r="F65" i="32"/>
  <c r="U65" i="32" s="1"/>
  <c r="A65" i="32"/>
  <c r="N65" i="32"/>
  <c r="K65" i="32"/>
  <c r="L65" i="32"/>
  <c r="B65" i="32"/>
  <c r="R65" i="32" s="1"/>
  <c r="H65" i="32"/>
  <c r="I65" i="32"/>
  <c r="G65" i="32"/>
  <c r="J65" i="32"/>
  <c r="M65" i="32"/>
  <c r="N67" i="32"/>
  <c r="G66" i="32"/>
  <c r="K67" i="32"/>
  <c r="J66" i="32"/>
  <c r="H67" i="32"/>
  <c r="L66" i="32"/>
  <c r="A67" i="32"/>
  <c r="I67" i="32"/>
  <c r="H66" i="32"/>
  <c r="B67" i="32"/>
  <c r="R67" i="32" s="1"/>
  <c r="M66" i="32"/>
  <c r="A66" i="32"/>
  <c r="L67" i="32"/>
  <c r="K66" i="32"/>
  <c r="I66" i="32"/>
  <c r="B66" i="32"/>
  <c r="R66" i="32" s="1"/>
  <c r="F67" i="32"/>
  <c r="U67" i="32" s="1"/>
  <c r="F66" i="32"/>
  <c r="U66" i="32" s="1"/>
  <c r="G67" i="32"/>
  <c r="N66" i="32"/>
  <c r="J67" i="32"/>
  <c r="M67" i="32"/>
  <c r="B68" i="32"/>
  <c r="R68" i="32" s="1"/>
  <c r="G68" i="32"/>
  <c r="J68" i="32"/>
  <c r="K68" i="32"/>
  <c r="H68" i="32"/>
  <c r="M68" i="32"/>
  <c r="I68" i="32"/>
  <c r="A68" i="32"/>
  <c r="N68" i="32"/>
  <c r="L68" i="32"/>
  <c r="F68" i="32"/>
  <c r="U68" i="32" s="1"/>
  <c r="A70" i="32"/>
  <c r="F70" i="32"/>
  <c r="U70" i="32" s="1"/>
  <c r="M69" i="32"/>
  <c r="K69" i="32"/>
  <c r="B70" i="32"/>
  <c r="R70" i="32" s="1"/>
  <c r="N70" i="32"/>
  <c r="F69" i="32"/>
  <c r="U69" i="32" s="1"/>
  <c r="G70" i="32"/>
  <c r="N69" i="32"/>
  <c r="J69" i="32"/>
  <c r="H69" i="32"/>
  <c r="I70" i="32"/>
  <c r="I69" i="32"/>
  <c r="J70" i="32"/>
  <c r="H70" i="32"/>
  <c r="G69" i="32"/>
  <c r="A69" i="32"/>
  <c r="K70" i="32"/>
  <c r="M70" i="32"/>
  <c r="B69" i="32"/>
  <c r="R69" i="32" s="1"/>
  <c r="L70" i="32"/>
  <c r="L69" i="32"/>
  <c r="K71" i="32"/>
  <c r="M71" i="32"/>
  <c r="H71" i="32"/>
  <c r="F71" i="32"/>
  <c r="U71" i="32" s="1"/>
  <c r="N71" i="32"/>
  <c r="I71" i="32"/>
  <c r="J71" i="32"/>
  <c r="A71" i="32"/>
  <c r="L71" i="32"/>
  <c r="B71" i="32"/>
  <c r="R71" i="32" s="1"/>
  <c r="G71" i="32"/>
  <c r="F72" i="32"/>
  <c r="U72" i="32" s="1"/>
  <c r="M72" i="32"/>
  <c r="K72" i="32"/>
  <c r="N72" i="32"/>
  <c r="I72" i="32"/>
  <c r="J72" i="32"/>
  <c r="G72" i="32"/>
  <c r="A72" i="32"/>
  <c r="B72" i="32"/>
  <c r="R72" i="32" s="1"/>
  <c r="H72" i="32"/>
  <c r="L72" i="32"/>
  <c r="J73" i="32"/>
  <c r="K73" i="32"/>
  <c r="L73" i="32"/>
  <c r="M73" i="32"/>
  <c r="G73" i="32"/>
  <c r="F73" i="32"/>
  <c r="U73" i="32" s="1"/>
  <c r="A73" i="32"/>
  <c r="N73" i="32"/>
  <c r="I73" i="32"/>
  <c r="B73" i="32"/>
  <c r="R73" i="32" s="1"/>
  <c r="H73" i="32"/>
  <c r="L74" i="32"/>
  <c r="A74" i="32"/>
  <c r="B74" i="32"/>
  <c r="R74" i="32" s="1"/>
  <c r="N74" i="32"/>
  <c r="G74" i="32"/>
  <c r="F74" i="32"/>
  <c r="U74" i="32" s="1"/>
  <c r="H74" i="32"/>
  <c r="K74" i="32"/>
  <c r="J74" i="32"/>
  <c r="M74" i="32"/>
  <c r="I74" i="32"/>
  <c r="B75" i="32"/>
  <c r="R75" i="32" s="1"/>
  <c r="G76" i="32"/>
  <c r="H75" i="32"/>
  <c r="A76" i="32"/>
  <c r="I75" i="32"/>
  <c r="F75" i="32"/>
  <c r="U75" i="32" s="1"/>
  <c r="M76" i="32"/>
  <c r="N76" i="32"/>
  <c r="L76" i="32"/>
  <c r="B76" i="32"/>
  <c r="R76" i="32" s="1"/>
  <c r="H76" i="32"/>
  <c r="J75" i="32"/>
  <c r="M75" i="32"/>
  <c r="I76" i="32"/>
  <c r="N75" i="32"/>
  <c r="G75" i="32"/>
  <c r="J76" i="32"/>
  <c r="L75" i="32"/>
  <c r="K76" i="32"/>
  <c r="K75" i="32"/>
  <c r="F76" i="32"/>
  <c r="U76" i="32" s="1"/>
  <c r="A75" i="32"/>
  <c r="N77" i="32"/>
  <c r="L77" i="32"/>
  <c r="M77" i="32"/>
  <c r="H77" i="32"/>
  <c r="A77" i="32"/>
  <c r="I77" i="32"/>
  <c r="K77" i="32"/>
  <c r="G77" i="32"/>
  <c r="F77" i="32"/>
  <c r="U77" i="32" s="1"/>
  <c r="B77" i="32"/>
  <c r="R77" i="32" s="1"/>
  <c r="J77" i="32"/>
  <c r="M78" i="32"/>
  <c r="K78" i="32"/>
  <c r="L78" i="32"/>
  <c r="I78" i="32"/>
  <c r="J78" i="32"/>
  <c r="H78" i="32"/>
  <c r="F78" i="32"/>
  <c r="U78" i="32" s="1"/>
  <c r="A78" i="32"/>
  <c r="N78" i="32"/>
  <c r="B78" i="32"/>
  <c r="R78" i="32" s="1"/>
  <c r="G78" i="32"/>
  <c r="K79" i="32"/>
  <c r="A79" i="32"/>
  <c r="B79" i="32"/>
  <c r="R79" i="32" s="1"/>
  <c r="G79" i="32"/>
  <c r="H79" i="32"/>
  <c r="J79" i="32"/>
  <c r="I79" i="32"/>
  <c r="N79" i="32"/>
  <c r="L79" i="32"/>
  <c r="M79" i="32"/>
  <c r="F79" i="32"/>
  <c r="U79" i="32" s="1"/>
  <c r="A81" i="32"/>
  <c r="M81" i="32"/>
  <c r="N81" i="32"/>
  <c r="M80" i="32"/>
  <c r="B81" i="32"/>
  <c r="R81" i="32" s="1"/>
  <c r="H81" i="32"/>
  <c r="F80" i="32"/>
  <c r="U80" i="32" s="1"/>
  <c r="I80" i="32"/>
  <c r="N80" i="32"/>
  <c r="B80" i="32"/>
  <c r="R80" i="32" s="1"/>
  <c r="K81" i="32"/>
  <c r="F81" i="32"/>
  <c r="U81" i="32" s="1"/>
  <c r="J80" i="32"/>
  <c r="K80" i="32"/>
  <c r="L81" i="32"/>
  <c r="J81" i="32"/>
  <c r="L80" i="32"/>
  <c r="A80" i="32"/>
  <c r="I81" i="32"/>
  <c r="H80" i="32"/>
  <c r="G81" i="32"/>
  <c r="G80" i="32"/>
  <c r="I82" i="32"/>
  <c r="H82" i="32"/>
  <c r="J82" i="32"/>
  <c r="M82" i="32"/>
  <c r="K82" i="32"/>
  <c r="L82" i="32"/>
  <c r="F82" i="32"/>
  <c r="U82" i="32" s="1"/>
  <c r="A82" i="32"/>
  <c r="N82" i="32"/>
  <c r="B82" i="32"/>
  <c r="R82" i="32" s="1"/>
  <c r="G82" i="32"/>
  <c r="K83" i="32"/>
  <c r="H83" i="32"/>
  <c r="J83" i="32"/>
  <c r="L83" i="32"/>
  <c r="I83" i="32"/>
  <c r="F83" i="32"/>
  <c r="U83" i="32" s="1"/>
  <c r="M83" i="32"/>
  <c r="B83" i="32"/>
  <c r="R83" i="32" s="1"/>
  <c r="G83" i="32"/>
  <c r="A83" i="32"/>
  <c r="L84" i="32"/>
  <c r="F84" i="32"/>
  <c r="U84" i="32" s="1"/>
  <c r="M84" i="32"/>
  <c r="I84" i="32"/>
  <c r="A84" i="32"/>
  <c r="N84" i="32"/>
  <c r="J84" i="32"/>
  <c r="B84" i="32"/>
  <c r="R84" i="32" s="1"/>
  <c r="H84" i="32"/>
  <c r="G84" i="32"/>
  <c r="K84" i="32"/>
  <c r="M85" i="32"/>
  <c r="I85" i="32"/>
  <c r="G85" i="32"/>
  <c r="J85" i="32"/>
  <c r="L85" i="32"/>
  <c r="K85" i="32"/>
  <c r="H85" i="32"/>
  <c r="A85" i="32"/>
  <c r="F85" i="32"/>
  <c r="U85" i="32" s="1"/>
  <c r="B85" i="32"/>
  <c r="R85" i="32" s="1"/>
  <c r="N85" i="32"/>
  <c r="A86" i="32"/>
  <c r="J86" i="32"/>
  <c r="B86" i="32"/>
  <c r="R86" i="32" s="1"/>
  <c r="L86" i="32"/>
  <c r="I86" i="32"/>
  <c r="M86" i="32"/>
  <c r="K86" i="32"/>
  <c r="H86" i="32"/>
  <c r="F86" i="32"/>
  <c r="U86" i="32" s="1"/>
  <c r="G86" i="32"/>
  <c r="N86" i="32"/>
  <c r="G87" i="32"/>
  <c r="L87" i="32"/>
  <c r="B87" i="32"/>
  <c r="R87" i="32" s="1"/>
  <c r="M87" i="32"/>
  <c r="I87" i="32"/>
  <c r="N87" i="32"/>
  <c r="A87" i="32"/>
  <c r="H87" i="32"/>
  <c r="J87" i="32"/>
  <c r="F87" i="32"/>
  <c r="U87" i="32" s="1"/>
  <c r="K87" i="32"/>
  <c r="L88" i="32"/>
  <c r="G88" i="32"/>
  <c r="F88" i="32"/>
  <c r="U88" i="32" s="1"/>
  <c r="M88" i="32"/>
  <c r="I88" i="32"/>
  <c r="A88" i="32"/>
  <c r="N88" i="32"/>
  <c r="K88" i="32"/>
  <c r="B88" i="32"/>
  <c r="R88" i="32" s="1"/>
  <c r="H88" i="32"/>
  <c r="J88" i="32"/>
  <c r="A89" i="32"/>
  <c r="F89" i="32"/>
  <c r="U89" i="32" s="1"/>
  <c r="H89" i="32"/>
  <c r="G89" i="32"/>
  <c r="M89" i="32"/>
  <c r="B89" i="32"/>
  <c r="R89" i="32" s="1"/>
  <c r="N89" i="32"/>
  <c r="I89" i="32"/>
  <c r="J89" i="32"/>
  <c r="K89" i="32"/>
  <c r="L89" i="32"/>
  <c r="G90" i="32"/>
  <c r="K90" i="32"/>
  <c r="H90" i="32"/>
  <c r="M90" i="32"/>
  <c r="B90" i="32"/>
  <c r="R90" i="32" s="1"/>
  <c r="L90" i="32"/>
  <c r="I90" i="32"/>
  <c r="N90" i="32"/>
  <c r="F90" i="32"/>
  <c r="U90" i="32" s="1"/>
  <c r="A90" i="32"/>
  <c r="J90" i="32"/>
  <c r="F91" i="32"/>
  <c r="U91" i="32" s="1"/>
  <c r="N91" i="32"/>
  <c r="A91" i="32"/>
  <c r="H91" i="32"/>
  <c r="B91" i="32"/>
  <c r="R91" i="32" s="1"/>
  <c r="J91" i="32"/>
  <c r="L91" i="32"/>
  <c r="K91" i="32"/>
  <c r="M91" i="32"/>
  <c r="I91" i="32"/>
  <c r="G91" i="32"/>
  <c r="N92" i="32"/>
  <c r="A92" i="32"/>
  <c r="J92" i="32"/>
  <c r="H92" i="32"/>
  <c r="B92" i="32"/>
  <c r="R92" i="32" s="1"/>
  <c r="F92" i="32"/>
  <c r="U92" i="32" s="1"/>
  <c r="K17" i="32"/>
  <c r="L17" i="32"/>
  <c r="M17" i="32"/>
  <c r="J17" i="32"/>
  <c r="F17" i="32"/>
  <c r="U17" i="32" s="1"/>
  <c r="G17" i="32"/>
  <c r="A17" i="32"/>
  <c r="Q17" i="32" s="1"/>
  <c r="N17" i="32"/>
  <c r="B17" i="32"/>
  <c r="R17" i="32" s="1"/>
  <c r="H17" i="32"/>
  <c r="G18" i="32"/>
  <c r="M18" i="32"/>
  <c r="I18" i="32"/>
  <c r="J18" i="32"/>
  <c r="K18" i="32"/>
  <c r="H18" i="32"/>
  <c r="A18" i="32"/>
  <c r="Q18" i="32" s="1"/>
  <c r="L18" i="32"/>
  <c r="B18" i="32"/>
  <c r="R18" i="32" s="1"/>
  <c r="F18" i="32"/>
  <c r="U18" i="32" s="1"/>
  <c r="N19" i="32"/>
  <c r="H19" i="32"/>
  <c r="G19" i="32"/>
  <c r="I19" i="32"/>
  <c r="F19" i="32"/>
  <c r="U19" i="32" s="1"/>
  <c r="J19" i="32"/>
  <c r="A19" i="32"/>
  <c r="Q19" i="32" s="1"/>
  <c r="K19" i="32"/>
  <c r="B19" i="32"/>
  <c r="R19" i="32" s="1"/>
  <c r="L19" i="32"/>
  <c r="M19" i="32"/>
  <c r="J20" i="32"/>
  <c r="K20" i="32"/>
  <c r="M20" i="32"/>
  <c r="F20" i="32"/>
  <c r="U20" i="32" s="1"/>
  <c r="N20" i="32"/>
  <c r="L20" i="32"/>
  <c r="G20" i="32"/>
  <c r="A20" i="32"/>
  <c r="Q20" i="32" s="1"/>
  <c r="B20" i="32"/>
  <c r="R20" i="32" s="1"/>
  <c r="I20" i="32"/>
  <c r="H20" i="32"/>
  <c r="L21" i="32"/>
  <c r="K21" i="32"/>
  <c r="M21" i="32"/>
  <c r="J21" i="32"/>
  <c r="F21" i="32"/>
  <c r="U21" i="32" s="1"/>
  <c r="A21" i="32"/>
  <c r="N21" i="32"/>
  <c r="B21" i="32"/>
  <c r="R21" i="32" s="1"/>
  <c r="G21" i="32"/>
  <c r="H21" i="32"/>
  <c r="I21" i="32"/>
  <c r="J22" i="32"/>
  <c r="I22" i="32"/>
  <c r="K22" i="32"/>
  <c r="H22" i="32"/>
  <c r="L22" i="32"/>
  <c r="A22" i="32"/>
  <c r="M22" i="32"/>
  <c r="B22" i="32"/>
  <c r="R22" i="32" s="1"/>
  <c r="F22" i="32"/>
  <c r="U22" i="32" s="1"/>
  <c r="G22" i="32"/>
  <c r="F23" i="32"/>
  <c r="U23" i="32" s="1"/>
  <c r="G23" i="32"/>
  <c r="H23" i="32"/>
  <c r="I23" i="32"/>
  <c r="N23" i="32"/>
  <c r="J23" i="32"/>
  <c r="A23" i="32"/>
  <c r="K23" i="32"/>
  <c r="B23" i="32"/>
  <c r="R23" i="32" s="1"/>
  <c r="L23" i="32"/>
  <c r="M23" i="32"/>
  <c r="I24" i="32"/>
  <c r="J24" i="32"/>
  <c r="K24" i="32"/>
  <c r="F24" i="32"/>
  <c r="U24" i="32" s="1"/>
  <c r="M24" i="32"/>
  <c r="N24" i="32"/>
  <c r="L24" i="32"/>
  <c r="G24" i="32"/>
  <c r="A24" i="32"/>
  <c r="B24" i="32"/>
  <c r="R24" i="32" s="1"/>
  <c r="H24" i="32"/>
  <c r="AY146" i="69"/>
  <c r="L163" i="57"/>
  <c r="AH162" i="53"/>
  <c r="AT162" i="53"/>
  <c r="AG162" i="53"/>
  <c r="J16" i="32"/>
  <c r="K16" i="32"/>
  <c r="F16" i="32"/>
  <c r="U16" i="32" s="1"/>
  <c r="L16" i="32"/>
  <c r="N16" i="32"/>
  <c r="M16" i="32"/>
  <c r="A16" i="32"/>
  <c r="Q16" i="32" s="1"/>
  <c r="G16" i="32"/>
  <c r="B16" i="32"/>
  <c r="R16" i="32" s="1"/>
  <c r="H16" i="32"/>
  <c r="I16" i="32"/>
  <c r="N163" i="57"/>
  <c r="AH146" i="69"/>
  <c r="AD162" i="53"/>
  <c r="Q162" i="53"/>
  <c r="K163" i="53"/>
  <c r="E163" i="53"/>
  <c r="F163" i="53"/>
  <c r="C163" i="53"/>
  <c r="P163" i="53"/>
  <c r="I163" i="53"/>
  <c r="J163" i="53"/>
  <c r="L163" i="53"/>
  <c r="AK162" i="52" a="1"/>
  <c r="AK162" i="52" s="1"/>
  <c r="B164" i="53" s="1"/>
  <c r="G163" i="53"/>
  <c r="H163" i="53"/>
  <c r="D163" i="53"/>
  <c r="A93" i="32"/>
  <c r="B93" i="32"/>
  <c r="R93" i="32" s="1"/>
  <c r="L103" i="50"/>
  <c r="N103" i="50"/>
  <c r="A103" i="50"/>
  <c r="J103" i="50"/>
  <c r="M103" i="50"/>
  <c r="B103" i="50"/>
  <c r="R103" i="50" s="1"/>
  <c r="F103" i="50"/>
  <c r="U103" i="50" s="1"/>
  <c r="K103" i="50"/>
  <c r="G103" i="50"/>
  <c r="I103" i="50"/>
  <c r="H103" i="50"/>
  <c r="B12" i="32"/>
  <c r="R12" i="32" s="1"/>
  <c r="B13" i="32"/>
  <c r="R13" i="32" s="1"/>
  <c r="A14" i="32"/>
  <c r="Q14" i="32" s="1"/>
  <c r="B14" i="32"/>
  <c r="R14" i="32" s="1"/>
  <c r="A15" i="32"/>
  <c r="Q15" i="32" s="1"/>
  <c r="B15" i="32"/>
  <c r="R15" i="32" s="1"/>
  <c r="I93" i="32"/>
  <c r="J93" i="32"/>
  <c r="L93" i="32"/>
  <c r="F93" i="32"/>
  <c r="U93" i="32" s="1"/>
  <c r="N93" i="32"/>
  <c r="K93" i="32"/>
  <c r="H93" i="32"/>
  <c r="G93" i="32"/>
  <c r="M93" i="32"/>
  <c r="F13" i="32"/>
  <c r="U13" i="32" s="1"/>
  <c r="N13" i="32"/>
  <c r="L14" i="32"/>
  <c r="J15" i="32"/>
  <c r="G13" i="32"/>
  <c r="M14" i="32"/>
  <c r="K15" i="32"/>
  <c r="H13" i="32"/>
  <c r="F14" i="32"/>
  <c r="U14" i="32" s="1"/>
  <c r="N14" i="32"/>
  <c r="L15" i="32"/>
  <c r="I13" i="32"/>
  <c r="G14" i="32"/>
  <c r="M15" i="32"/>
  <c r="H15" i="32"/>
  <c r="J13" i="32"/>
  <c r="H14" i="32"/>
  <c r="F15" i="32"/>
  <c r="U15" i="32" s="1"/>
  <c r="N15" i="32"/>
  <c r="J14" i="32"/>
  <c r="K13" i="32"/>
  <c r="I14" i="32"/>
  <c r="G15" i="32"/>
  <c r="L13" i="32"/>
  <c r="M13" i="32"/>
  <c r="K14" i="32"/>
  <c r="I15" i="32"/>
  <c r="J12" i="32"/>
  <c r="K12" i="32"/>
  <c r="H12" i="32"/>
  <c r="G12" i="32"/>
  <c r="I163" i="57"/>
  <c r="F163" i="57"/>
  <c r="E163" i="57"/>
  <c r="D163" i="57"/>
  <c r="J163" i="57"/>
  <c r="H163" i="57"/>
  <c r="G163" i="57"/>
  <c r="C163" i="57"/>
  <c r="K163" i="57"/>
  <c r="AN162" i="55" a="1"/>
  <c r="AN162" i="55" s="1"/>
  <c r="B164" i="57" s="1"/>
  <c r="C148" i="69"/>
  <c r="P148" i="69" s="1"/>
  <c r="AR148" i="67" a="1"/>
  <c r="AR148" i="67" s="1"/>
  <c r="B149" i="69"/>
  <c r="L149" i="69" s="1"/>
  <c r="D147" i="69"/>
  <c r="E147" i="69" s="1"/>
  <c r="F147" i="69" s="1"/>
  <c r="G147" i="69" s="1"/>
  <c r="H147" i="69" s="1"/>
  <c r="I147" i="69" s="1"/>
  <c r="J147" i="69" s="1"/>
  <c r="K147" i="69" s="1"/>
  <c r="M147" i="69" s="1"/>
  <c r="AE146" i="69"/>
  <c r="R146" i="69"/>
  <c r="S146" i="69" s="1"/>
  <c r="Y146" i="69" s="1"/>
  <c r="AL93" i="11" a="1"/>
  <c r="AL93" i="11" s="1"/>
  <c r="E94" i="32" s="1"/>
  <c r="AP103" i="59" a="1"/>
  <c r="AP103" i="59" s="1"/>
  <c r="E104" i="50" s="1"/>
  <c r="X161" i="57" l="1"/>
  <c r="AA161" i="57" s="1"/>
  <c r="AD102" i="50"/>
  <c r="AG102" i="50" s="1"/>
  <c r="AG163" i="57"/>
  <c r="M164" i="53"/>
  <c r="AC164" i="53" s="1"/>
  <c r="O164" i="53"/>
  <c r="AP148" i="69"/>
  <c r="N148" i="69"/>
  <c r="U148" i="69" s="1"/>
  <c r="AJ162" i="57"/>
  <c r="AA160" i="57"/>
  <c r="AF160" i="57"/>
  <c r="AD162" i="57"/>
  <c r="Q162" i="57"/>
  <c r="T162" i="57" s="1"/>
  <c r="AQ162" i="57"/>
  <c r="R162" i="57"/>
  <c r="AC162" i="57"/>
  <c r="AE162" i="57"/>
  <c r="M163" i="57"/>
  <c r="AK163" i="57" s="1"/>
  <c r="Q103" i="50"/>
  <c r="P103" i="50" s="1"/>
  <c r="Q22" i="32"/>
  <c r="P22" i="32" s="1"/>
  <c r="Q72" i="32"/>
  <c r="P72" i="32" s="1"/>
  <c r="Q69" i="32"/>
  <c r="P69" i="32" s="1"/>
  <c r="Q50" i="32"/>
  <c r="P50" i="32" s="1"/>
  <c r="Q44" i="32"/>
  <c r="P44" i="32" s="1"/>
  <c r="Q42" i="32"/>
  <c r="P42" i="32" s="1"/>
  <c r="Q40" i="32"/>
  <c r="P40" i="32" s="1"/>
  <c r="Q93" i="32"/>
  <c r="P93" i="32" s="1"/>
  <c r="Q23" i="32"/>
  <c r="P23" i="32" s="1"/>
  <c r="Q91" i="32"/>
  <c r="P91" i="32" s="1"/>
  <c r="Q90" i="32"/>
  <c r="P90" i="32" s="1"/>
  <c r="Q89" i="32"/>
  <c r="P89" i="32" s="1"/>
  <c r="Q87" i="32"/>
  <c r="P87" i="32" s="1"/>
  <c r="Q83" i="32"/>
  <c r="P83" i="32" s="1"/>
  <c r="Q79" i="32"/>
  <c r="P79" i="32" s="1"/>
  <c r="Q75" i="32"/>
  <c r="P75" i="32" s="1"/>
  <c r="Q60" i="32"/>
  <c r="P60" i="32" s="1"/>
  <c r="Q61" i="32"/>
  <c r="P61" i="32" s="1"/>
  <c r="Q58" i="32"/>
  <c r="P58" i="32" s="1"/>
  <c r="Q56" i="32"/>
  <c r="P56" i="32" s="1"/>
  <c r="Q52" i="32"/>
  <c r="P52" i="32" s="1"/>
  <c r="Q49" i="32"/>
  <c r="P49" i="32" s="1"/>
  <c r="Q35" i="32"/>
  <c r="P35" i="32" s="1"/>
  <c r="Q29" i="32"/>
  <c r="P29" i="32" s="1"/>
  <c r="Q26" i="32"/>
  <c r="P26" i="32" s="1"/>
  <c r="Q77" i="32"/>
  <c r="P77" i="32" s="1"/>
  <c r="Q74" i="32"/>
  <c r="P74" i="32" s="1"/>
  <c r="Q70" i="32"/>
  <c r="P70" i="32" s="1"/>
  <c r="Q62" i="32"/>
  <c r="P62" i="32" s="1"/>
  <c r="Q59" i="32"/>
  <c r="P59" i="32" s="1"/>
  <c r="Q48" i="32"/>
  <c r="P48" i="32" s="1"/>
  <c r="Q38" i="32"/>
  <c r="P38" i="32" s="1"/>
  <c r="Q86" i="32"/>
  <c r="P86" i="32" s="1"/>
  <c r="Q85" i="32"/>
  <c r="P85" i="32" s="1"/>
  <c r="Q82" i="32"/>
  <c r="P82" i="32" s="1"/>
  <c r="Q80" i="32"/>
  <c r="P80" i="32" s="1"/>
  <c r="Q78" i="32"/>
  <c r="P78" i="32" s="1"/>
  <c r="Q73" i="32"/>
  <c r="P73" i="32" s="1"/>
  <c r="Q66" i="32"/>
  <c r="P66" i="32" s="1"/>
  <c r="Q63" i="32"/>
  <c r="P63" i="32" s="1"/>
  <c r="Q54" i="32"/>
  <c r="P54" i="32" s="1"/>
  <c r="Q51" i="32"/>
  <c r="P51" i="32" s="1"/>
  <c r="Q46" i="32"/>
  <c r="P46" i="32" s="1"/>
  <c r="Q45" i="32"/>
  <c r="P45" i="32" s="1"/>
  <c r="Q43" i="32"/>
  <c r="P43" i="32" s="1"/>
  <c r="Q33" i="32"/>
  <c r="P33" i="32" s="1"/>
  <c r="Q28" i="32"/>
  <c r="P28" i="32" s="1"/>
  <c r="Q27" i="32"/>
  <c r="P27" i="32" s="1"/>
  <c r="Q24" i="32"/>
  <c r="P24" i="32" s="1"/>
  <c r="Q84" i="32"/>
  <c r="P84" i="32" s="1"/>
  <c r="Q68" i="32"/>
  <c r="P68" i="32" s="1"/>
  <c r="Q47" i="32"/>
  <c r="P47" i="32" s="1"/>
  <c r="Q34" i="32"/>
  <c r="P34" i="32" s="1"/>
  <c r="Q31" i="32"/>
  <c r="P31" i="32" s="1"/>
  <c r="Q21" i="32"/>
  <c r="P21" i="32" s="1"/>
  <c r="Q92" i="32"/>
  <c r="P92" i="32" s="1"/>
  <c r="Q88" i="32"/>
  <c r="P88" i="32" s="1"/>
  <c r="Q81" i="32"/>
  <c r="P81" i="32" s="1"/>
  <c r="Q76" i="32"/>
  <c r="P76" i="32" s="1"/>
  <c r="Q71" i="32"/>
  <c r="P71" i="32" s="1"/>
  <c r="Q67" i="32"/>
  <c r="P67" i="32" s="1"/>
  <c r="Q65" i="32"/>
  <c r="P65" i="32" s="1"/>
  <c r="Q64" i="32"/>
  <c r="P64" i="32" s="1"/>
  <c r="Q57" i="32"/>
  <c r="P57" i="32" s="1"/>
  <c r="Q55" i="32"/>
  <c r="P55" i="32" s="1"/>
  <c r="Q53" i="32"/>
  <c r="P53" i="32" s="1"/>
  <c r="Q41" i="32"/>
  <c r="P41" i="32" s="1"/>
  <c r="Q39" i="32"/>
  <c r="P39" i="32" s="1"/>
  <c r="Q37" i="32"/>
  <c r="P37" i="32" s="1"/>
  <c r="Q36" i="32"/>
  <c r="P36" i="32" s="1"/>
  <c r="Q32" i="32"/>
  <c r="P32" i="32" s="1"/>
  <c r="Q30" i="32"/>
  <c r="P30" i="32" s="1"/>
  <c r="Q25" i="32"/>
  <c r="P25" i="32" s="1"/>
  <c r="N164" i="53"/>
  <c r="T94" i="32"/>
  <c r="O94" i="32"/>
  <c r="O104" i="50"/>
  <c r="T104" i="50"/>
  <c r="AA162" i="53"/>
  <c r="AB162" i="53"/>
  <c r="AP100" i="50"/>
  <c r="AM93" i="32"/>
  <c r="AM90" i="32"/>
  <c r="AM88" i="32"/>
  <c r="AM87" i="32"/>
  <c r="AM86" i="32"/>
  <c r="AM76" i="32"/>
  <c r="AM69" i="32"/>
  <c r="AM63" i="32"/>
  <c r="AM56" i="32"/>
  <c r="AM49" i="32"/>
  <c r="AM36" i="32"/>
  <c r="AM29" i="32"/>
  <c r="AM26" i="32"/>
  <c r="AM23" i="32"/>
  <c r="AM84" i="32"/>
  <c r="AM82" i="32"/>
  <c r="AM78" i="32"/>
  <c r="AM73" i="32"/>
  <c r="AM72" i="32"/>
  <c r="AM71" i="32"/>
  <c r="AM70" i="32"/>
  <c r="AM64" i="32"/>
  <c r="AM62" i="32"/>
  <c r="AM60" i="32"/>
  <c r="AM54" i="32"/>
  <c r="AM46" i="32"/>
  <c r="AM45" i="32"/>
  <c r="AM42" i="32"/>
  <c r="AM39" i="32"/>
  <c r="AM33" i="32"/>
  <c r="AM28" i="32"/>
  <c r="AM92" i="32"/>
  <c r="AM91" i="32"/>
  <c r="AM89" i="32"/>
  <c r="AM81" i="32"/>
  <c r="AM79" i="32"/>
  <c r="AM77" i="32"/>
  <c r="AM74" i="32"/>
  <c r="AM66" i="32"/>
  <c r="AM65" i="32"/>
  <c r="AM61" i="32"/>
  <c r="AM58" i="32"/>
  <c r="AM55" i="32"/>
  <c r="AM53" i="32"/>
  <c r="AM52" i="32"/>
  <c r="AM51" i="32"/>
  <c r="AM50" i="32"/>
  <c r="AM44" i="32"/>
  <c r="AM41" i="32"/>
  <c r="AM40" i="32"/>
  <c r="AM37" i="32"/>
  <c r="AM34" i="32"/>
  <c r="AM30" i="32"/>
  <c r="AM25" i="32"/>
  <c r="AM24" i="32"/>
  <c r="AM22" i="32"/>
  <c r="AM85" i="32"/>
  <c r="AM83" i="32"/>
  <c r="AM80" i="32"/>
  <c r="AM75" i="32"/>
  <c r="AM68" i="32"/>
  <c r="AM67" i="32"/>
  <c r="AM59" i="32"/>
  <c r="AM57" i="32"/>
  <c r="AM48" i="32"/>
  <c r="AM47" i="32"/>
  <c r="AM43" i="32"/>
  <c r="AM38" i="32"/>
  <c r="AM35" i="32"/>
  <c r="AM32" i="32"/>
  <c r="AM31" i="32"/>
  <c r="AM27" i="32"/>
  <c r="P14" i="32"/>
  <c r="P16" i="32"/>
  <c r="P18" i="32"/>
  <c r="P17" i="32"/>
  <c r="P15" i="32"/>
  <c r="P20" i="32"/>
  <c r="P19" i="32"/>
  <c r="P13" i="32"/>
  <c r="AJ102" i="50"/>
  <c r="C102" i="50"/>
  <c r="S103" i="50"/>
  <c r="Z103" i="50" s="1"/>
  <c r="S13" i="32"/>
  <c r="Z13" i="32" s="1"/>
  <c r="S16" i="32"/>
  <c r="Z16" i="32" s="1"/>
  <c r="S21" i="32"/>
  <c r="Z21" i="32" s="1"/>
  <c r="S19" i="32"/>
  <c r="Z19" i="32" s="1"/>
  <c r="S15" i="32"/>
  <c r="Z15" i="32" s="1"/>
  <c r="S14" i="32"/>
  <c r="Z14" i="32" s="1"/>
  <c r="S18" i="32"/>
  <c r="Z18" i="32" s="1"/>
  <c r="S17" i="32"/>
  <c r="Z17" i="32" s="1"/>
  <c r="S20" i="32"/>
  <c r="Z20" i="32" s="1"/>
  <c r="S12" i="32"/>
  <c r="P12" i="32"/>
  <c r="S93" i="32"/>
  <c r="Z93" i="32" s="1"/>
  <c r="S24" i="32"/>
  <c r="Z24" i="32" s="1"/>
  <c r="S22" i="32"/>
  <c r="Z22" i="32" s="1"/>
  <c r="S23" i="32"/>
  <c r="Z23" i="32" s="1"/>
  <c r="W102" i="50"/>
  <c r="X101" i="50"/>
  <c r="V102" i="50"/>
  <c r="AF147" i="69"/>
  <c r="Q147" i="69"/>
  <c r="O164" i="57"/>
  <c r="P164" i="57"/>
  <c r="AC145" i="69"/>
  <c r="AD145" i="69" s="1"/>
  <c r="AH101" i="50"/>
  <c r="AI101" i="50" s="1"/>
  <c r="AB146" i="69"/>
  <c r="AG146" i="69"/>
  <c r="AO148" i="69"/>
  <c r="O149" i="69"/>
  <c r="AK104" i="50"/>
  <c r="AE163" i="53"/>
  <c r="AF162" i="53"/>
  <c r="AK94" i="32"/>
  <c r="AM103" i="50"/>
  <c r="AD5" i="32"/>
  <c r="R163" i="53"/>
  <c r="X163" i="53" s="1"/>
  <c r="S87" i="32"/>
  <c r="Z87" i="32" s="1"/>
  <c r="S85" i="32"/>
  <c r="Z85" i="32" s="1"/>
  <c r="S77" i="32"/>
  <c r="Z77" i="32" s="1"/>
  <c r="S58" i="32"/>
  <c r="Z58" i="32" s="1"/>
  <c r="S48" i="32"/>
  <c r="Z48" i="32" s="1"/>
  <c r="S47" i="32"/>
  <c r="Z47" i="32" s="1"/>
  <c r="S44" i="32"/>
  <c r="Z44" i="32" s="1"/>
  <c r="S42" i="32"/>
  <c r="Z42" i="32" s="1"/>
  <c r="S35" i="32"/>
  <c r="Z35" i="32" s="1"/>
  <c r="S90" i="32"/>
  <c r="Z90" i="32" s="1"/>
  <c r="S81" i="32"/>
  <c r="Z81" i="32" s="1"/>
  <c r="S75" i="32"/>
  <c r="Z75" i="32" s="1"/>
  <c r="S59" i="32"/>
  <c r="Z59" i="32" s="1"/>
  <c r="S56" i="32"/>
  <c r="Z56" i="32" s="1"/>
  <c r="S55" i="32"/>
  <c r="Z55" i="32" s="1"/>
  <c r="S45" i="32"/>
  <c r="Z45" i="32" s="1"/>
  <c r="S30" i="32"/>
  <c r="Z30" i="32" s="1"/>
  <c r="S92" i="32"/>
  <c r="Z92" i="32" s="1"/>
  <c r="S83" i="32"/>
  <c r="Z83" i="32" s="1"/>
  <c r="S53" i="32"/>
  <c r="Z53" i="32" s="1"/>
  <c r="S52" i="32"/>
  <c r="Z52" i="32" s="1"/>
  <c r="S50" i="32"/>
  <c r="Z50" i="32" s="1"/>
  <c r="S43" i="32"/>
  <c r="Z43" i="32" s="1"/>
  <c r="S38" i="32"/>
  <c r="Z38" i="32" s="1"/>
  <c r="S25" i="32"/>
  <c r="Z25" i="32" s="1"/>
  <c r="S78" i="32"/>
  <c r="Z78" i="32" s="1"/>
  <c r="S74" i="32"/>
  <c r="Z74" i="32" s="1"/>
  <c r="S67" i="32"/>
  <c r="Z67" i="32" s="1"/>
  <c r="S29" i="32"/>
  <c r="Z29" i="32" s="1"/>
  <c r="S26" i="32"/>
  <c r="Z26" i="32" s="1"/>
  <c r="S86" i="32"/>
  <c r="Z86" i="32" s="1"/>
  <c r="S82" i="32"/>
  <c r="Z82" i="32" s="1"/>
  <c r="S80" i="32"/>
  <c r="Z80" i="32" s="1"/>
  <c r="S72" i="32"/>
  <c r="Z72" i="32" s="1"/>
  <c r="S65" i="32"/>
  <c r="Z65" i="32" s="1"/>
  <c r="S63" i="32"/>
  <c r="Z63" i="32" s="1"/>
  <c r="S49" i="32"/>
  <c r="Z49" i="32" s="1"/>
  <c r="S40" i="32"/>
  <c r="Z40" i="32" s="1"/>
  <c r="S32" i="32"/>
  <c r="Z32" i="32" s="1"/>
  <c r="S89" i="32"/>
  <c r="Z89" i="32" s="1"/>
  <c r="S70" i="32"/>
  <c r="Z70" i="32" s="1"/>
  <c r="S68" i="32"/>
  <c r="Z68" i="32" s="1"/>
  <c r="S66" i="32"/>
  <c r="Z66" i="32" s="1"/>
  <c r="S64" i="32"/>
  <c r="Z64" i="32" s="1"/>
  <c r="S62" i="32"/>
  <c r="Z62" i="32" s="1"/>
  <c r="S61" i="32"/>
  <c r="Z61" i="32" s="1"/>
  <c r="S34" i="32"/>
  <c r="Z34" i="32" s="1"/>
  <c r="S33" i="32"/>
  <c r="Z33" i="32" s="1"/>
  <c r="S31" i="32"/>
  <c r="Z31" i="32" s="1"/>
  <c r="S91" i="32"/>
  <c r="Z91" i="32" s="1"/>
  <c r="S88" i="32"/>
  <c r="Z88" i="32" s="1"/>
  <c r="S84" i="32"/>
  <c r="Z84" i="32" s="1"/>
  <c r="S79" i="32"/>
  <c r="Z79" i="32" s="1"/>
  <c r="S76" i="32"/>
  <c r="Z76" i="32" s="1"/>
  <c r="S69" i="32"/>
  <c r="Z69" i="32" s="1"/>
  <c r="S60" i="32"/>
  <c r="Z60" i="32" s="1"/>
  <c r="S57" i="32"/>
  <c r="Z57" i="32" s="1"/>
  <c r="S41" i="32"/>
  <c r="Z41" i="32" s="1"/>
  <c r="S39" i="32"/>
  <c r="Z39" i="32" s="1"/>
  <c r="S37" i="32"/>
  <c r="Z37" i="32" s="1"/>
  <c r="S28" i="32"/>
  <c r="Z28" i="32" s="1"/>
  <c r="S73" i="32"/>
  <c r="Z73" i="32" s="1"/>
  <c r="S71" i="32"/>
  <c r="Z71" i="32" s="1"/>
  <c r="S54" i="32"/>
  <c r="Z54" i="32" s="1"/>
  <c r="S51" i="32"/>
  <c r="Z51" i="32" s="1"/>
  <c r="S46" i="32"/>
  <c r="Z46" i="32" s="1"/>
  <c r="S36" i="32"/>
  <c r="Z36" i="32" s="1"/>
  <c r="S27" i="32"/>
  <c r="Z27" i="32" s="1"/>
  <c r="AL101" i="50"/>
  <c r="AY147" i="69"/>
  <c r="L164" i="57"/>
  <c r="AG163" i="53"/>
  <c r="AH163" i="53"/>
  <c r="AT163" i="53"/>
  <c r="N164" i="57"/>
  <c r="K164" i="53"/>
  <c r="AH147" i="69"/>
  <c r="Q163" i="53"/>
  <c r="AD163" i="53"/>
  <c r="P164" i="53"/>
  <c r="J164" i="53"/>
  <c r="D164" i="53"/>
  <c r="C164" i="53"/>
  <c r="AK163" i="52" a="1"/>
  <c r="AK163" i="52" s="1"/>
  <c r="B165" i="53" s="1"/>
  <c r="H164" i="53"/>
  <c r="L164" i="53"/>
  <c r="E164" i="53"/>
  <c r="G164" i="53"/>
  <c r="F164" i="53"/>
  <c r="I164" i="53"/>
  <c r="A94" i="32"/>
  <c r="B94" i="32"/>
  <c r="R94" i="32" s="1"/>
  <c r="G104" i="50"/>
  <c r="M104" i="50"/>
  <c r="B104" i="50"/>
  <c r="R104" i="50" s="1"/>
  <c r="I104" i="50"/>
  <c r="N104" i="50"/>
  <c r="K104" i="50"/>
  <c r="L104" i="50"/>
  <c r="F104" i="50"/>
  <c r="U104" i="50" s="1"/>
  <c r="H104" i="50"/>
  <c r="A104" i="50"/>
  <c r="J104" i="50"/>
  <c r="G94" i="32"/>
  <c r="H94" i="32"/>
  <c r="J94" i="32"/>
  <c r="L94" i="32"/>
  <c r="F94" i="32"/>
  <c r="U94" i="32" s="1"/>
  <c r="I94" i="32"/>
  <c r="N94" i="32"/>
  <c r="M94" i="32"/>
  <c r="K94" i="32"/>
  <c r="K164" i="57"/>
  <c r="H164" i="57"/>
  <c r="F164" i="57"/>
  <c r="C164" i="57"/>
  <c r="I164" i="57"/>
  <c r="E164" i="57"/>
  <c r="G164" i="57"/>
  <c r="D164" i="57"/>
  <c r="J164" i="57"/>
  <c r="AN163" i="55" a="1"/>
  <c r="AN163" i="55" s="1"/>
  <c r="B165" i="57" s="1"/>
  <c r="AR149" i="67" a="1"/>
  <c r="AR149" i="67" s="1"/>
  <c r="B150" i="69"/>
  <c r="L150" i="69" s="1"/>
  <c r="D148" i="69"/>
  <c r="E148" i="69" s="1"/>
  <c r="F148" i="69" s="1"/>
  <c r="G148" i="69" s="1"/>
  <c r="H148" i="69" s="1"/>
  <c r="I148" i="69" s="1"/>
  <c r="J148" i="69" s="1"/>
  <c r="K148" i="69" s="1"/>
  <c r="M148" i="69" s="1"/>
  <c r="AE147" i="69"/>
  <c r="R147" i="69"/>
  <c r="S147" i="69" s="1"/>
  <c r="Y147" i="69" s="1"/>
  <c r="C149" i="69"/>
  <c r="P149" i="69" s="1"/>
  <c r="AL94" i="11" a="1"/>
  <c r="AL94" i="11" s="1"/>
  <c r="AP104" i="59" a="1"/>
  <c r="AP104" i="59" s="1"/>
  <c r="E105" i="50" s="1"/>
  <c r="X162" i="57" l="1"/>
  <c r="AF162" i="57" s="1"/>
  <c r="Q163" i="57"/>
  <c r="T163" i="57" s="1"/>
  <c r="AD33" i="32"/>
  <c r="AD46" i="32"/>
  <c r="AD64" i="32"/>
  <c r="AD73" i="32"/>
  <c r="AD91" i="32"/>
  <c r="AD15" i="32"/>
  <c r="AD49" i="32"/>
  <c r="AD76" i="32"/>
  <c r="AD90" i="32"/>
  <c r="AD93" i="32"/>
  <c r="AG93" i="32" s="1"/>
  <c r="AH93" i="32" s="1"/>
  <c r="AD41" i="32"/>
  <c r="AD65" i="32"/>
  <c r="AG65" i="32" s="1"/>
  <c r="AH65" i="32" s="1"/>
  <c r="AD21" i="32"/>
  <c r="AD32" i="32"/>
  <c r="AD47" i="32"/>
  <c r="AD67" i="32"/>
  <c r="AD83" i="32"/>
  <c r="AG83" i="32" s="1"/>
  <c r="AH83" i="32" s="1"/>
  <c r="AD34" i="32"/>
  <c r="AD52" i="32"/>
  <c r="AD77" i="32"/>
  <c r="AG77" i="32" s="1"/>
  <c r="AH77" i="32" s="1"/>
  <c r="AD39" i="32"/>
  <c r="AG39" i="32" s="1"/>
  <c r="AH39" i="32" s="1"/>
  <c r="AD54" i="32"/>
  <c r="AD70" i="32"/>
  <c r="AD78" i="32"/>
  <c r="AD92" i="32"/>
  <c r="AG92" i="32" s="1"/>
  <c r="AH92" i="32" s="1"/>
  <c r="AD26" i="32"/>
  <c r="AD56" i="32"/>
  <c r="AD86" i="32"/>
  <c r="AG86" i="32" s="1"/>
  <c r="AH86" i="32" s="1"/>
  <c r="AD17" i="32"/>
  <c r="AD25" i="32"/>
  <c r="AD51" i="32"/>
  <c r="AD66" i="32"/>
  <c r="AD14" i="32"/>
  <c r="AD35" i="32"/>
  <c r="AD48" i="32"/>
  <c r="AD68" i="32"/>
  <c r="AD85" i="32"/>
  <c r="AD40" i="32"/>
  <c r="AD55" i="32"/>
  <c r="AD79" i="32"/>
  <c r="AD42" i="32"/>
  <c r="AD60" i="32"/>
  <c r="AD71" i="32"/>
  <c r="AG71" i="32" s="1"/>
  <c r="AH71" i="32" s="1"/>
  <c r="AD82" i="32"/>
  <c r="AD18" i="32"/>
  <c r="AD29" i="32"/>
  <c r="AD63" i="32"/>
  <c r="AD87" i="32"/>
  <c r="AD19" i="32"/>
  <c r="AD30" i="32"/>
  <c r="AD53" i="32"/>
  <c r="AD81" i="32"/>
  <c r="AG81" i="32" s="1"/>
  <c r="AH81" i="32" s="1"/>
  <c r="AD27" i="32"/>
  <c r="AD38" i="32"/>
  <c r="AD57" i="32"/>
  <c r="AG57" i="32" s="1"/>
  <c r="AH57" i="32" s="1"/>
  <c r="AD75" i="32"/>
  <c r="AD22" i="32"/>
  <c r="AG22" i="32" s="1"/>
  <c r="AH22" i="32" s="1"/>
  <c r="AD44" i="32"/>
  <c r="AG44" i="32" s="1"/>
  <c r="AH44" i="32" s="1"/>
  <c r="AD58" i="32"/>
  <c r="AD20" i="32"/>
  <c r="AD28" i="32"/>
  <c r="AG28" i="32" s="1"/>
  <c r="AH28" i="32" s="1"/>
  <c r="AD45" i="32"/>
  <c r="AD62" i="32"/>
  <c r="AG62" i="32" s="1"/>
  <c r="AH62" i="32" s="1"/>
  <c r="AD72" i="32"/>
  <c r="AD84" i="32"/>
  <c r="AD23" i="32"/>
  <c r="AG23" i="32" s="1"/>
  <c r="AH23" i="32" s="1"/>
  <c r="AD36" i="32"/>
  <c r="AG36" i="32" s="1"/>
  <c r="AH36" i="32" s="1"/>
  <c r="AD69" i="32"/>
  <c r="AD88" i="32"/>
  <c r="AD16" i="32"/>
  <c r="AD37" i="32"/>
  <c r="AD61" i="32"/>
  <c r="AD89" i="32"/>
  <c r="AD31" i="32"/>
  <c r="AD43" i="32"/>
  <c r="AG43" i="32" s="1"/>
  <c r="AH43" i="32" s="1"/>
  <c r="AD59" i="32"/>
  <c r="AD80" i="32"/>
  <c r="AD24" i="32"/>
  <c r="AG24" i="32" s="1"/>
  <c r="AH24" i="32" s="1"/>
  <c r="AD50" i="32"/>
  <c r="AD74" i="32"/>
  <c r="AD103" i="50"/>
  <c r="AG103" i="50" s="1"/>
  <c r="AG164" i="57"/>
  <c r="AE163" i="57"/>
  <c r="M165" i="53"/>
  <c r="AC165" i="53" s="1"/>
  <c r="O165" i="53"/>
  <c r="AP149" i="69"/>
  <c r="N149" i="69"/>
  <c r="U149" i="69" s="1"/>
  <c r="AB161" i="57"/>
  <c r="AF161" i="57"/>
  <c r="AQ163" i="57"/>
  <c r="AD163" i="57"/>
  <c r="AJ163" i="57"/>
  <c r="R163" i="57"/>
  <c r="AC163" i="57"/>
  <c r="M164" i="57"/>
  <c r="AK164" i="57" s="1"/>
  <c r="Q104" i="50"/>
  <c r="P104" i="50" s="1"/>
  <c r="Q94" i="32"/>
  <c r="P94" i="32" s="1"/>
  <c r="N165" i="53"/>
  <c r="O105" i="50"/>
  <c r="T105" i="50"/>
  <c r="AA163" i="53"/>
  <c r="AB163" i="53"/>
  <c r="AP101" i="50"/>
  <c r="AM94" i="32"/>
  <c r="AJ103" i="50"/>
  <c r="C103" i="50"/>
  <c r="S104" i="50"/>
  <c r="Z104" i="50" s="1"/>
  <c r="AJ20" i="32"/>
  <c r="W20" i="32"/>
  <c r="X20" i="32" s="1"/>
  <c r="C20" i="32"/>
  <c r="AJ17" i="32"/>
  <c r="W17" i="32"/>
  <c r="X17" i="32" s="1"/>
  <c r="C17" i="32"/>
  <c r="W19" i="32"/>
  <c r="X19" i="32" s="1"/>
  <c r="C19" i="32"/>
  <c r="AJ19" i="32"/>
  <c r="AJ18" i="32"/>
  <c r="C18" i="32"/>
  <c r="W18" i="32"/>
  <c r="X18" i="32" s="1"/>
  <c r="AJ21" i="32"/>
  <c r="W21" i="32"/>
  <c r="X21" i="32" s="1"/>
  <c r="C21" i="32"/>
  <c r="C14" i="32"/>
  <c r="AJ14" i="32"/>
  <c r="W14" i="32"/>
  <c r="X14" i="32" s="1"/>
  <c r="W16" i="32"/>
  <c r="X16" i="32" s="1"/>
  <c r="AJ16" i="32"/>
  <c r="C16" i="32"/>
  <c r="AJ15" i="32"/>
  <c r="W15" i="32"/>
  <c r="C15" i="32"/>
  <c r="C13" i="32"/>
  <c r="W13" i="32"/>
  <c r="AJ13" i="32"/>
  <c r="Z12" i="32"/>
  <c r="W12" i="32"/>
  <c r="C12" i="32"/>
  <c r="AJ12" i="32"/>
  <c r="AJ23" i="32"/>
  <c r="C24" i="32"/>
  <c r="AJ24" i="32"/>
  <c r="C22" i="32"/>
  <c r="AJ22" i="32"/>
  <c r="W22" i="32"/>
  <c r="X22" i="32" s="1"/>
  <c r="AJ93" i="32"/>
  <c r="C93" i="32"/>
  <c r="C23" i="32"/>
  <c r="S94" i="32"/>
  <c r="Z94" i="32" s="1"/>
  <c r="C31" i="32"/>
  <c r="AJ31" i="32"/>
  <c r="C70" i="32"/>
  <c r="AJ70" i="32"/>
  <c r="C80" i="32"/>
  <c r="AJ80" i="32"/>
  <c r="C25" i="32"/>
  <c r="AJ25" i="32"/>
  <c r="C30" i="32"/>
  <c r="AJ30" i="32"/>
  <c r="C35" i="32"/>
  <c r="AJ35" i="32"/>
  <c r="C87" i="32"/>
  <c r="AJ87" i="32"/>
  <c r="C60" i="32"/>
  <c r="AJ60" i="32"/>
  <c r="C33" i="32"/>
  <c r="AJ33" i="32"/>
  <c r="C89" i="32"/>
  <c r="AJ89" i="32"/>
  <c r="C82" i="32"/>
  <c r="AJ82" i="32"/>
  <c r="C38" i="32"/>
  <c r="AJ38" i="32"/>
  <c r="C45" i="32"/>
  <c r="AJ45" i="32"/>
  <c r="C42" i="32"/>
  <c r="AJ42" i="32"/>
  <c r="C51" i="32"/>
  <c r="AJ51" i="32"/>
  <c r="C34" i="32"/>
  <c r="AJ34" i="32"/>
  <c r="C32" i="32"/>
  <c r="AJ32" i="32"/>
  <c r="C86" i="32"/>
  <c r="AJ86" i="32"/>
  <c r="C43" i="32"/>
  <c r="AJ43" i="32"/>
  <c r="C55" i="32"/>
  <c r="AJ55" i="32"/>
  <c r="C44" i="32"/>
  <c r="AJ44" i="32"/>
  <c r="C69" i="32"/>
  <c r="AJ69" i="32"/>
  <c r="C76" i="32"/>
  <c r="AJ76" i="32"/>
  <c r="C61" i="32"/>
  <c r="AJ61" i="32"/>
  <c r="C40" i="32"/>
  <c r="AJ40" i="32"/>
  <c r="C26" i="32"/>
  <c r="AJ26" i="32"/>
  <c r="C50" i="32"/>
  <c r="AJ50" i="32"/>
  <c r="C56" i="32"/>
  <c r="AJ56" i="32"/>
  <c r="C47" i="32"/>
  <c r="AJ47" i="32"/>
  <c r="C54" i="32"/>
  <c r="AJ54" i="32"/>
  <c r="C73" i="32"/>
  <c r="AJ73" i="32"/>
  <c r="C28" i="32"/>
  <c r="AJ28" i="32"/>
  <c r="C79" i="32"/>
  <c r="AJ79" i="32"/>
  <c r="C62" i="32"/>
  <c r="AJ62" i="32"/>
  <c r="C49" i="32"/>
  <c r="AJ49" i="32"/>
  <c r="C29" i="32"/>
  <c r="AJ29" i="32"/>
  <c r="C52" i="32"/>
  <c r="AJ52" i="32"/>
  <c r="C59" i="32"/>
  <c r="AJ59" i="32"/>
  <c r="C48" i="32"/>
  <c r="AJ48" i="32"/>
  <c r="C27" i="32"/>
  <c r="AJ27" i="32"/>
  <c r="C37" i="32"/>
  <c r="AJ37" i="32"/>
  <c r="C84" i="32"/>
  <c r="AJ84" i="32"/>
  <c r="C64" i="32"/>
  <c r="AJ64" i="32"/>
  <c r="C63" i="32"/>
  <c r="AJ63" i="32"/>
  <c r="C67" i="32"/>
  <c r="AJ67" i="32"/>
  <c r="C53" i="32"/>
  <c r="AJ53" i="32"/>
  <c r="C75" i="32"/>
  <c r="AJ75" i="32"/>
  <c r="C58" i="32"/>
  <c r="AJ58" i="32"/>
  <c r="C57" i="32"/>
  <c r="AJ57" i="32"/>
  <c r="C36" i="32"/>
  <c r="AJ36" i="32"/>
  <c r="C39" i="32"/>
  <c r="AJ39" i="32"/>
  <c r="C88" i="32"/>
  <c r="AJ88" i="32"/>
  <c r="C66" i="32"/>
  <c r="AJ66" i="32"/>
  <c r="C65" i="32"/>
  <c r="AJ65" i="32"/>
  <c r="C74" i="32"/>
  <c r="AJ74" i="32"/>
  <c r="C83" i="32"/>
  <c r="AJ83" i="32"/>
  <c r="C81" i="32"/>
  <c r="AJ81" i="32"/>
  <c r="C77" i="32"/>
  <c r="AJ77" i="32"/>
  <c r="C71" i="32"/>
  <c r="AJ71" i="32"/>
  <c r="C46" i="32"/>
  <c r="AJ46" i="32"/>
  <c r="C41" i="32"/>
  <c r="AJ41" i="32"/>
  <c r="C91" i="32"/>
  <c r="AJ91" i="32"/>
  <c r="C68" i="32"/>
  <c r="AJ68" i="32"/>
  <c r="C72" i="32"/>
  <c r="AJ72" i="32"/>
  <c r="C78" i="32"/>
  <c r="AJ78" i="32"/>
  <c r="C92" i="32"/>
  <c r="AJ92" i="32"/>
  <c r="C90" i="32"/>
  <c r="AJ90" i="32"/>
  <c r="C85" i="32"/>
  <c r="AJ85" i="32"/>
  <c r="W103" i="50"/>
  <c r="W23" i="32"/>
  <c r="X23" i="32" s="1"/>
  <c r="W27" i="32"/>
  <c r="X27" i="32" s="1"/>
  <c r="W36" i="32"/>
  <c r="X36" i="32" s="1"/>
  <c r="W71" i="32"/>
  <c r="X71" i="32" s="1"/>
  <c r="W39" i="32"/>
  <c r="X39" i="32" s="1"/>
  <c r="W69" i="32"/>
  <c r="X69" i="32" s="1"/>
  <c r="W88" i="32"/>
  <c r="X88" i="32" s="1"/>
  <c r="W34" i="32"/>
  <c r="X34" i="32" s="1"/>
  <c r="W66" i="32"/>
  <c r="X66" i="32" s="1"/>
  <c r="W32" i="32"/>
  <c r="X32" i="32" s="1"/>
  <c r="W65" i="32"/>
  <c r="X65" i="32" s="1"/>
  <c r="W86" i="32"/>
  <c r="X86" i="32" s="1"/>
  <c r="W74" i="32"/>
  <c r="X74" i="32" s="1"/>
  <c r="W43" i="32"/>
  <c r="X43" i="32" s="1"/>
  <c r="W83" i="32"/>
  <c r="X83" i="32" s="1"/>
  <c r="W55" i="32"/>
  <c r="X55" i="32" s="1"/>
  <c r="W81" i="32"/>
  <c r="X81" i="32" s="1"/>
  <c r="W44" i="32"/>
  <c r="X44" i="32" s="1"/>
  <c r="W77" i="32"/>
  <c r="X77" i="32" s="1"/>
  <c r="W41" i="32"/>
  <c r="X41" i="32" s="1"/>
  <c r="W76" i="32"/>
  <c r="X76" i="32" s="1"/>
  <c r="W91" i="32"/>
  <c r="X91" i="32" s="1"/>
  <c r="W61" i="32"/>
  <c r="X61" i="32" s="1"/>
  <c r="W68" i="32"/>
  <c r="X68" i="32" s="1"/>
  <c r="W40" i="32"/>
  <c r="X40" i="32" s="1"/>
  <c r="W72" i="32"/>
  <c r="X72" i="32" s="1"/>
  <c r="W26" i="32"/>
  <c r="X26" i="32" s="1"/>
  <c r="W78" i="32"/>
  <c r="X78" i="32" s="1"/>
  <c r="W50" i="32"/>
  <c r="X50" i="32" s="1"/>
  <c r="W92" i="32"/>
  <c r="X92" i="32" s="1"/>
  <c r="W56" i="32"/>
  <c r="X56" i="32" s="1"/>
  <c r="W90" i="32"/>
  <c r="X90" i="32" s="1"/>
  <c r="W47" i="32"/>
  <c r="X47" i="32" s="1"/>
  <c r="W85" i="32"/>
  <c r="X85" i="32" s="1"/>
  <c r="W46" i="32"/>
  <c r="X46" i="32" s="1"/>
  <c r="W73" i="32"/>
  <c r="X73" i="32" s="1"/>
  <c r="W51" i="32"/>
  <c r="X51" i="32" s="1"/>
  <c r="W28" i="32"/>
  <c r="X28" i="32" s="1"/>
  <c r="W57" i="32"/>
  <c r="X57" i="32" s="1"/>
  <c r="W79" i="32"/>
  <c r="X79" i="32" s="1"/>
  <c r="W31" i="32"/>
  <c r="X31" i="32" s="1"/>
  <c r="W62" i="32"/>
  <c r="X62" i="32" s="1"/>
  <c r="W70" i="32"/>
  <c r="X70" i="32" s="1"/>
  <c r="W49" i="32"/>
  <c r="X49" i="32" s="1"/>
  <c r="W80" i="32"/>
  <c r="X80" i="32" s="1"/>
  <c r="W29" i="32"/>
  <c r="X29" i="32" s="1"/>
  <c r="W25" i="32"/>
  <c r="X25" i="32" s="1"/>
  <c r="W52" i="32"/>
  <c r="X52" i="32" s="1"/>
  <c r="W30" i="32"/>
  <c r="X30" i="32" s="1"/>
  <c r="W59" i="32"/>
  <c r="X59" i="32" s="1"/>
  <c r="W35" i="32"/>
  <c r="X35" i="32" s="1"/>
  <c r="W48" i="32"/>
  <c r="X48" i="32" s="1"/>
  <c r="W87" i="32"/>
  <c r="X87" i="32" s="1"/>
  <c r="W93" i="32"/>
  <c r="X93" i="32" s="1"/>
  <c r="W24" i="32"/>
  <c r="X24" i="32" s="1"/>
  <c r="W54" i="32"/>
  <c r="X54" i="32" s="1"/>
  <c r="W37" i="32"/>
  <c r="X37" i="32" s="1"/>
  <c r="W60" i="32"/>
  <c r="X60" i="32" s="1"/>
  <c r="W84" i="32"/>
  <c r="X84" i="32" s="1"/>
  <c r="W33" i="32"/>
  <c r="X33" i="32" s="1"/>
  <c r="W64" i="32"/>
  <c r="X64" i="32" s="1"/>
  <c r="W89" i="32"/>
  <c r="X89" i="32" s="1"/>
  <c r="W63" i="32"/>
  <c r="X63" i="32" s="1"/>
  <c r="W82" i="32"/>
  <c r="X82" i="32" s="1"/>
  <c r="W67" i="32"/>
  <c r="X67" i="32" s="1"/>
  <c r="W38" i="32"/>
  <c r="X38" i="32" s="1"/>
  <c r="W53" i="32"/>
  <c r="X53" i="32" s="1"/>
  <c r="W45" i="32"/>
  <c r="X45" i="32" s="1"/>
  <c r="W75" i="32"/>
  <c r="X75" i="32" s="1"/>
  <c r="W42" i="32"/>
  <c r="X42" i="32" s="1"/>
  <c r="W58" i="32"/>
  <c r="X58" i="32" s="1"/>
  <c r="V14" i="32"/>
  <c r="X102" i="50"/>
  <c r="V103" i="50"/>
  <c r="AF148" i="69"/>
  <c r="Q148" i="69"/>
  <c r="O165" i="57"/>
  <c r="P165" i="57"/>
  <c r="AC146" i="69"/>
  <c r="AD146" i="69" s="1"/>
  <c r="AH102" i="50"/>
  <c r="AI102" i="50" s="1"/>
  <c r="AB147" i="69"/>
  <c r="AG147" i="69"/>
  <c r="O150" i="69"/>
  <c r="AO149" i="69"/>
  <c r="AK105" i="50"/>
  <c r="AF163" i="53"/>
  <c r="AE164" i="53"/>
  <c r="AM104" i="50"/>
  <c r="R164" i="53"/>
  <c r="X164" i="53" s="1"/>
  <c r="V54" i="32"/>
  <c r="V60" i="32"/>
  <c r="V33" i="32"/>
  <c r="V89" i="32"/>
  <c r="V82" i="32"/>
  <c r="V38" i="32"/>
  <c r="V45" i="32"/>
  <c r="V42" i="32"/>
  <c r="V34" i="32"/>
  <c r="V43" i="32"/>
  <c r="V55" i="32"/>
  <c r="V44" i="32"/>
  <c r="V32" i="32"/>
  <c r="V73" i="32"/>
  <c r="V76" i="32"/>
  <c r="V61" i="32"/>
  <c r="V40" i="32"/>
  <c r="V26" i="32"/>
  <c r="V50" i="32"/>
  <c r="V56" i="32"/>
  <c r="V47" i="32"/>
  <c r="V86" i="32"/>
  <c r="V28" i="32"/>
  <c r="V79" i="32"/>
  <c r="V62" i="32"/>
  <c r="V49" i="32"/>
  <c r="V29" i="32"/>
  <c r="V52" i="32"/>
  <c r="V59" i="32"/>
  <c r="V48" i="32"/>
  <c r="V27" i="32"/>
  <c r="V37" i="32"/>
  <c r="V84" i="32"/>
  <c r="V64" i="32"/>
  <c r="V63" i="32"/>
  <c r="V67" i="32"/>
  <c r="V53" i="32"/>
  <c r="V75" i="32"/>
  <c r="V58" i="32"/>
  <c r="V71" i="32"/>
  <c r="V36" i="32"/>
  <c r="V39" i="32"/>
  <c r="V88" i="32"/>
  <c r="V66" i="32"/>
  <c r="V65" i="32"/>
  <c r="V74" i="32"/>
  <c r="V83" i="32"/>
  <c r="V81" i="32"/>
  <c r="V77" i="32"/>
  <c r="V69" i="32"/>
  <c r="V46" i="32"/>
  <c r="V41" i="32"/>
  <c r="V91" i="32"/>
  <c r="V68" i="32"/>
  <c r="V72" i="32"/>
  <c r="V78" i="32"/>
  <c r="V92" i="32"/>
  <c r="V90" i="32"/>
  <c r="V85" i="32"/>
  <c r="V51" i="32"/>
  <c r="V57" i="32"/>
  <c r="V31" i="32"/>
  <c r="V70" i="32"/>
  <c r="V80" i="32"/>
  <c r="V25" i="32"/>
  <c r="V30" i="32"/>
  <c r="V35" i="32"/>
  <c r="V87" i="32"/>
  <c r="AL102" i="50"/>
  <c r="V20" i="32"/>
  <c r="V18" i="32"/>
  <c r="V17" i="32"/>
  <c r="V22" i="32"/>
  <c r="V23" i="32"/>
  <c r="V21" i="32"/>
  <c r="V19" i="32"/>
  <c r="V24" i="32"/>
  <c r="AY148" i="69"/>
  <c r="L165" i="57"/>
  <c r="AH164" i="53"/>
  <c r="AT164" i="53"/>
  <c r="AG164" i="53"/>
  <c r="V16" i="32"/>
  <c r="N165" i="57"/>
  <c r="K165" i="53"/>
  <c r="AH148" i="69"/>
  <c r="V93" i="32"/>
  <c r="Q164" i="53"/>
  <c r="AD164" i="53"/>
  <c r="E165" i="53"/>
  <c r="H165" i="53"/>
  <c r="J165" i="53"/>
  <c r="D165" i="53"/>
  <c r="P165" i="53"/>
  <c r="C165" i="53"/>
  <c r="L165" i="53"/>
  <c r="I165" i="53"/>
  <c r="G165" i="53"/>
  <c r="F165" i="53"/>
  <c r="AK164" i="52" a="1"/>
  <c r="AK164" i="52" s="1"/>
  <c r="B166" i="53" s="1"/>
  <c r="H105" i="50"/>
  <c r="I105" i="50"/>
  <c r="J105" i="50"/>
  <c r="B105" i="50"/>
  <c r="R105" i="50" s="1"/>
  <c r="L105" i="50"/>
  <c r="M105" i="50"/>
  <c r="A105" i="50"/>
  <c r="G105" i="50"/>
  <c r="F105" i="50"/>
  <c r="U105" i="50" s="1"/>
  <c r="K105" i="50"/>
  <c r="N105" i="50"/>
  <c r="H165" i="57"/>
  <c r="E165" i="57"/>
  <c r="J165" i="57"/>
  <c r="F165" i="57"/>
  <c r="K165" i="57"/>
  <c r="G165" i="57"/>
  <c r="C165" i="57"/>
  <c r="I165" i="57"/>
  <c r="D165" i="57"/>
  <c r="E95" i="32"/>
  <c r="AN164" i="55" a="1"/>
  <c r="AN164" i="55" s="1"/>
  <c r="B166" i="57" s="1"/>
  <c r="AR150" i="67" a="1"/>
  <c r="AR150" i="67" s="1"/>
  <c r="B151" i="69"/>
  <c r="L151" i="69" s="1"/>
  <c r="AE148" i="69"/>
  <c r="R148" i="69"/>
  <c r="S148" i="69" s="1"/>
  <c r="Y148" i="69" s="1"/>
  <c r="D149" i="69"/>
  <c r="E149" i="69" s="1"/>
  <c r="F149" i="69" s="1"/>
  <c r="G149" i="69" s="1"/>
  <c r="H149" i="69" s="1"/>
  <c r="I149" i="69" s="1"/>
  <c r="J149" i="69" s="1"/>
  <c r="K149" i="69" s="1"/>
  <c r="M149" i="69" s="1"/>
  <c r="C150" i="69"/>
  <c r="P150" i="69" s="1"/>
  <c r="AL95" i="11" a="1"/>
  <c r="AL95" i="11" s="1"/>
  <c r="E96" i="32" s="1"/>
  <c r="AP105" i="59" a="1"/>
  <c r="AP105" i="59" s="1"/>
  <c r="E106" i="50" s="1"/>
  <c r="X163" i="57" l="1"/>
  <c r="AF163" i="57" s="1"/>
  <c r="AQ164" i="57"/>
  <c r="AD94" i="32"/>
  <c r="AG94" i="32" s="1"/>
  <c r="AH94" i="32" s="1"/>
  <c r="AD104" i="50"/>
  <c r="AG104" i="50" s="1"/>
  <c r="AG165" i="57"/>
  <c r="AB162" i="57"/>
  <c r="R164" i="57"/>
  <c r="AC164" i="57"/>
  <c r="AA162" i="57"/>
  <c r="M166" i="53"/>
  <c r="AC166" i="53" s="1"/>
  <c r="O166" i="53"/>
  <c r="AP150" i="69"/>
  <c r="N150" i="69"/>
  <c r="U150" i="69" s="1"/>
  <c r="Q164" i="57"/>
  <c r="T164" i="57" s="1"/>
  <c r="AJ164" i="57"/>
  <c r="AD164" i="57"/>
  <c r="AE164" i="57"/>
  <c r="M165" i="57"/>
  <c r="AK165" i="57" s="1"/>
  <c r="Q105" i="50"/>
  <c r="P105" i="50" s="1"/>
  <c r="N166" i="53"/>
  <c r="O96" i="32"/>
  <c r="T96" i="32"/>
  <c r="T95" i="32"/>
  <c r="O95" i="32"/>
  <c r="T106" i="50"/>
  <c r="O106" i="50"/>
  <c r="AA164" i="53"/>
  <c r="AB164" i="53"/>
  <c r="AP102" i="50"/>
  <c r="AG25" i="32"/>
  <c r="AG85" i="32"/>
  <c r="AG78" i="32"/>
  <c r="AG45" i="32"/>
  <c r="AG53" i="32"/>
  <c r="AG75" i="32"/>
  <c r="AG40" i="32"/>
  <c r="AG73" i="32"/>
  <c r="AH73" i="32" s="1"/>
  <c r="AG49" i="32"/>
  <c r="AG35" i="32"/>
  <c r="AG34" i="32"/>
  <c r="AG64" i="32"/>
  <c r="AG68" i="32"/>
  <c r="AH68" i="32" s="1"/>
  <c r="AG26" i="32"/>
  <c r="AG56" i="32"/>
  <c r="AG67" i="32"/>
  <c r="AG30" i="32"/>
  <c r="AG79" i="32"/>
  <c r="AG48" i="32"/>
  <c r="AG80" i="32"/>
  <c r="AG55" i="32"/>
  <c r="AG87" i="32"/>
  <c r="AG59" i="32"/>
  <c r="AG74" i="32"/>
  <c r="AG46" i="32"/>
  <c r="AG60" i="32"/>
  <c r="AG89" i="32"/>
  <c r="AG88" i="32"/>
  <c r="AG41" i="32"/>
  <c r="AG32" i="32"/>
  <c r="AG66" i="32"/>
  <c r="AH66" i="32" s="1"/>
  <c r="AG42" i="32"/>
  <c r="AH42" i="32" s="1"/>
  <c r="AG70" i="32"/>
  <c r="AG33" i="32"/>
  <c r="AH33" i="32" s="1"/>
  <c r="AG47" i="32"/>
  <c r="AG38" i="32"/>
  <c r="AG54" i="32"/>
  <c r="AG76" i="32"/>
  <c r="AG50" i="32"/>
  <c r="AH50" i="32" s="1"/>
  <c r="AG61" i="32"/>
  <c r="AG84" i="32"/>
  <c r="AG72" i="32"/>
  <c r="AG37" i="32"/>
  <c r="AG91" i="32"/>
  <c r="AG52" i="32"/>
  <c r="AG58" i="32"/>
  <c r="AG31" i="32"/>
  <c r="AG63" i="32"/>
  <c r="AG27" i="32"/>
  <c r="AG69" i="32"/>
  <c r="AG90" i="32"/>
  <c r="AH90" i="32" s="1"/>
  <c r="AG51" i="32"/>
  <c r="AG82" i="32"/>
  <c r="AG29" i="32"/>
  <c r="C104" i="50"/>
  <c r="AJ104" i="50"/>
  <c r="S105" i="50"/>
  <c r="Z105" i="50" s="1"/>
  <c r="W94" i="32"/>
  <c r="X94" i="32" s="1"/>
  <c r="C94" i="32"/>
  <c r="AJ94" i="32"/>
  <c r="W104" i="50"/>
  <c r="X103" i="50"/>
  <c r="V104" i="50"/>
  <c r="V94" i="32"/>
  <c r="AF149" i="69"/>
  <c r="Q149" i="69"/>
  <c r="O166" i="57"/>
  <c r="P166" i="57"/>
  <c r="AL78" i="32"/>
  <c r="AL45" i="32"/>
  <c r="AL35" i="32"/>
  <c r="AL49" i="32"/>
  <c r="AC147" i="69"/>
  <c r="AD147" i="69" s="1"/>
  <c r="AH103" i="50"/>
  <c r="AI103" i="50" s="1"/>
  <c r="AL54" i="32"/>
  <c r="AL56" i="32"/>
  <c r="AL30" i="32"/>
  <c r="AL68" i="32"/>
  <c r="AL90" i="32"/>
  <c r="AG14" i="32"/>
  <c r="AH14" i="32" s="1"/>
  <c r="AG21" i="32"/>
  <c r="AH21" i="32" s="1"/>
  <c r="AG20" i="32"/>
  <c r="AH20" i="32" s="1"/>
  <c r="AG18" i="32"/>
  <c r="AH18" i="32" s="1"/>
  <c r="AG19" i="32"/>
  <c r="AH19" i="32" s="1"/>
  <c r="AG17" i="32"/>
  <c r="AH17" i="32" s="1"/>
  <c r="AG16" i="32"/>
  <c r="AH16" i="32" s="1"/>
  <c r="V15" i="32"/>
  <c r="AL60" i="32"/>
  <c r="AL85" i="32"/>
  <c r="AB148" i="69"/>
  <c r="AG148" i="69"/>
  <c r="AO150" i="69"/>
  <c r="O151" i="69"/>
  <c r="AL32" i="32"/>
  <c r="AK106" i="50"/>
  <c r="AL72" i="32"/>
  <c r="AL91" i="32"/>
  <c r="AL42" i="32"/>
  <c r="AL74" i="32"/>
  <c r="AL52" i="32"/>
  <c r="AL70" i="32"/>
  <c r="AL67" i="32"/>
  <c r="AL66" i="32"/>
  <c r="AL37" i="32"/>
  <c r="AL33" i="32"/>
  <c r="AL48" i="32"/>
  <c r="AL69" i="32"/>
  <c r="AL26" i="32"/>
  <c r="AL84" i="32"/>
  <c r="AL73" i="32"/>
  <c r="AL41" i="32"/>
  <c r="AL46" i="32"/>
  <c r="AL29" i="32"/>
  <c r="AL80" i="32"/>
  <c r="AE165" i="53"/>
  <c r="AF164" i="53"/>
  <c r="AL82" i="32"/>
  <c r="AK96" i="32"/>
  <c r="AL27" i="32"/>
  <c r="AL50" i="32"/>
  <c r="AL61" i="32"/>
  <c r="AL34" i="32"/>
  <c r="AK95" i="32"/>
  <c r="AL51" i="32"/>
  <c r="AL58" i="32"/>
  <c r="AL63" i="32"/>
  <c r="AL64" i="32"/>
  <c r="AL79" i="32"/>
  <c r="AL76" i="32"/>
  <c r="AL25" i="32"/>
  <c r="AL31" i="32"/>
  <c r="AL89" i="32"/>
  <c r="AL87" i="32"/>
  <c r="AL53" i="32"/>
  <c r="AL55" i="32"/>
  <c r="AL38" i="32"/>
  <c r="AL75" i="32"/>
  <c r="AL59" i="32"/>
  <c r="AL47" i="32"/>
  <c r="AL40" i="32"/>
  <c r="AL88" i="32"/>
  <c r="AM105" i="50"/>
  <c r="AI28" i="32"/>
  <c r="AN28" i="32" s="1"/>
  <c r="AL28" i="32"/>
  <c r="AI65" i="32"/>
  <c r="AN65" i="32" s="1"/>
  <c r="AL65" i="32"/>
  <c r="AI62" i="32"/>
  <c r="AN62" i="32" s="1"/>
  <c r="AL62" i="32"/>
  <c r="AI43" i="32"/>
  <c r="AN43" i="32" s="1"/>
  <c r="AL43" i="32"/>
  <c r="AI77" i="32"/>
  <c r="AN77" i="32" s="1"/>
  <c r="AL77" i="32"/>
  <c r="AI39" i="32"/>
  <c r="AN39" i="32" s="1"/>
  <c r="AL39" i="32"/>
  <c r="AI57" i="32"/>
  <c r="AN57" i="32" s="1"/>
  <c r="AL57" i="32"/>
  <c r="AL93" i="32"/>
  <c r="AI44" i="32"/>
  <c r="AN44" i="32" s="1"/>
  <c r="AL44" i="32"/>
  <c r="AI81" i="32"/>
  <c r="AN81" i="32" s="1"/>
  <c r="AL81" i="32"/>
  <c r="AI36" i="32"/>
  <c r="AN36" i="32" s="1"/>
  <c r="AL36" i="32"/>
  <c r="AL71" i="32"/>
  <c r="AI83" i="32"/>
  <c r="AN83" i="32" s="1"/>
  <c r="AL83" i="32"/>
  <c r="AI86" i="32"/>
  <c r="AN86" i="32" s="1"/>
  <c r="AL86" i="32"/>
  <c r="V12" i="32"/>
  <c r="R165" i="53"/>
  <c r="X165" i="53" s="1"/>
  <c r="AL103" i="50"/>
  <c r="X15" i="32"/>
  <c r="AY149" i="69"/>
  <c r="L166" i="57"/>
  <c r="X12" i="32"/>
  <c r="V13" i="32"/>
  <c r="AH165" i="53"/>
  <c r="AT165" i="53"/>
  <c r="AG165" i="53"/>
  <c r="N166" i="57"/>
  <c r="P166" i="53"/>
  <c r="AH149" i="69"/>
  <c r="AD165" i="53"/>
  <c r="X13" i="32"/>
  <c r="T13" i="32" s="1"/>
  <c r="AD13" i="32" s="1"/>
  <c r="Q165" i="53"/>
  <c r="AK165" i="52" a="1"/>
  <c r="AK165" i="52" s="1"/>
  <c r="B167" i="53" s="1"/>
  <c r="K166" i="53"/>
  <c r="E166" i="53"/>
  <c r="J166" i="53"/>
  <c r="D166" i="53"/>
  <c r="C166" i="53"/>
  <c r="H166" i="53"/>
  <c r="F166" i="53"/>
  <c r="G166" i="53"/>
  <c r="I166" i="53"/>
  <c r="L166" i="53"/>
  <c r="A96" i="32"/>
  <c r="B96" i="32"/>
  <c r="R96" i="32" s="1"/>
  <c r="A95" i="32"/>
  <c r="Q95" i="32" s="1"/>
  <c r="B95" i="32"/>
  <c r="R95" i="32" s="1"/>
  <c r="K106" i="50"/>
  <c r="A106" i="50"/>
  <c r="M106" i="50"/>
  <c r="G106" i="50"/>
  <c r="F106" i="50"/>
  <c r="U106" i="50" s="1"/>
  <c r="N106" i="50"/>
  <c r="J106" i="50"/>
  <c r="L106" i="50"/>
  <c r="H106" i="50"/>
  <c r="B106" i="50"/>
  <c r="R106" i="50" s="1"/>
  <c r="I106" i="50"/>
  <c r="K96" i="32"/>
  <c r="L96" i="32"/>
  <c r="F96" i="32"/>
  <c r="U96" i="32" s="1"/>
  <c r="N96" i="32"/>
  <c r="H96" i="32"/>
  <c r="M96" i="32"/>
  <c r="J96" i="32"/>
  <c r="I96" i="32"/>
  <c r="G96" i="32"/>
  <c r="M95" i="32"/>
  <c r="F95" i="32"/>
  <c r="U95" i="32" s="1"/>
  <c r="N95" i="32"/>
  <c r="H95" i="32"/>
  <c r="J95" i="32"/>
  <c r="G95" i="32"/>
  <c r="L95" i="32"/>
  <c r="I95" i="32"/>
  <c r="K95" i="32"/>
  <c r="J166" i="57"/>
  <c r="D166" i="57"/>
  <c r="F166" i="57"/>
  <c r="H166" i="57"/>
  <c r="G166" i="57"/>
  <c r="C166" i="57"/>
  <c r="I166" i="57"/>
  <c r="E166" i="57"/>
  <c r="K166" i="57"/>
  <c r="AN165" i="55" a="1"/>
  <c r="AN165" i="55" s="1"/>
  <c r="B167" i="57" s="1"/>
  <c r="AR151" i="67" a="1"/>
  <c r="AR151" i="67" s="1"/>
  <c r="B152" i="69"/>
  <c r="L152" i="69" s="1"/>
  <c r="R149" i="69"/>
  <c r="S149" i="69" s="1"/>
  <c r="Y149" i="69" s="1"/>
  <c r="AE149" i="69"/>
  <c r="C151" i="69"/>
  <c r="P151" i="69" s="1"/>
  <c r="D150" i="69"/>
  <c r="E150" i="69" s="1"/>
  <c r="F150" i="69" s="1"/>
  <c r="G150" i="69" s="1"/>
  <c r="H150" i="69" s="1"/>
  <c r="I150" i="69" s="1"/>
  <c r="J150" i="69" s="1"/>
  <c r="K150" i="69" s="1"/>
  <c r="M150" i="69" s="1"/>
  <c r="AL96" i="11" a="1"/>
  <c r="AL96" i="11" s="1"/>
  <c r="AP106" i="59" a="1"/>
  <c r="AP106" i="59" s="1"/>
  <c r="E107" i="50" s="1"/>
  <c r="G4" i="22"/>
  <c r="L8" i="29"/>
  <c r="L5" i="29"/>
  <c r="L4" i="29"/>
  <c r="L3" i="29"/>
  <c r="AA163" i="57" l="1"/>
  <c r="AB163" i="57"/>
  <c r="AD105" i="50"/>
  <c r="AG105" i="50" s="1"/>
  <c r="X164" i="57"/>
  <c r="AA164" i="57" s="1"/>
  <c r="AG166" i="57"/>
  <c r="AE165" i="57"/>
  <c r="AD165" i="57"/>
  <c r="AQ165" i="57"/>
  <c r="Q165" i="57"/>
  <c r="T165" i="57" s="1"/>
  <c r="R165" i="57"/>
  <c r="AC165" i="57"/>
  <c r="AJ165" i="57"/>
  <c r="M167" i="53"/>
  <c r="AC167" i="53" s="1"/>
  <c r="O167" i="53"/>
  <c r="AP151" i="69"/>
  <c r="N151" i="69"/>
  <c r="U151" i="69" s="1"/>
  <c r="M166" i="57"/>
  <c r="AK166" i="57" s="1"/>
  <c r="Q106" i="50"/>
  <c r="P106" i="50" s="1"/>
  <c r="Q96" i="32"/>
  <c r="P96" i="32" s="1"/>
  <c r="N167" i="53"/>
  <c r="T107" i="50"/>
  <c r="O107" i="50"/>
  <c r="AA165" i="53"/>
  <c r="AB165" i="53"/>
  <c r="AP103" i="50"/>
  <c r="AH45" i="32"/>
  <c r="AI45" i="32" s="1"/>
  <c r="AN45" i="32" s="1"/>
  <c r="AH31" i="32"/>
  <c r="AI31" i="32" s="1"/>
  <c r="AN31" i="32" s="1"/>
  <c r="AH37" i="32"/>
  <c r="AI37" i="32" s="1"/>
  <c r="AN37" i="32" s="1"/>
  <c r="AH47" i="32"/>
  <c r="AI47" i="32" s="1"/>
  <c r="AN47" i="32" s="1"/>
  <c r="AH89" i="32"/>
  <c r="AI89" i="32" s="1"/>
  <c r="AN89" i="32" s="1"/>
  <c r="AH59" i="32"/>
  <c r="AI59" i="32" s="1"/>
  <c r="AN59" i="32" s="1"/>
  <c r="AH48" i="32"/>
  <c r="AI48" i="32" s="1"/>
  <c r="AN48" i="32" s="1"/>
  <c r="AH56" i="32"/>
  <c r="AI56" i="32" s="1"/>
  <c r="AN56" i="32" s="1"/>
  <c r="AH34" i="32"/>
  <c r="AI34" i="32" s="1"/>
  <c r="AN34" i="32" s="1"/>
  <c r="AH40" i="32"/>
  <c r="AI40" i="32" s="1"/>
  <c r="AN40" i="32" s="1"/>
  <c r="AH78" i="32"/>
  <c r="AI78" i="32" s="1"/>
  <c r="AN78" i="32" s="1"/>
  <c r="AH63" i="32"/>
  <c r="AI63" i="32" s="1"/>
  <c r="AN63" i="32" s="1"/>
  <c r="AH61" i="32"/>
  <c r="AI61" i="32" s="1"/>
  <c r="AN61" i="32" s="1"/>
  <c r="AH64" i="32"/>
  <c r="AI64" i="32" s="1"/>
  <c r="AN64" i="32" s="1"/>
  <c r="AH29" i="32"/>
  <c r="AI29" i="32" s="1"/>
  <c r="AN29" i="32" s="1"/>
  <c r="AH69" i="32"/>
  <c r="AI69" i="32" s="1"/>
  <c r="AN69" i="32" s="1"/>
  <c r="AH58" i="32"/>
  <c r="AI58" i="32" s="1"/>
  <c r="AN58" i="32" s="1"/>
  <c r="AH72" i="32"/>
  <c r="AI72" i="32" s="1"/>
  <c r="AN72" i="32" s="1"/>
  <c r="AH76" i="32"/>
  <c r="AI76" i="32" s="1"/>
  <c r="AN76" i="32" s="1"/>
  <c r="AH32" i="32"/>
  <c r="AI32" i="32" s="1"/>
  <c r="AN32" i="32" s="1"/>
  <c r="AH60" i="32"/>
  <c r="AI60" i="32" s="1"/>
  <c r="AN60" i="32" s="1"/>
  <c r="AH87" i="32"/>
  <c r="AI87" i="32" s="1"/>
  <c r="AN87" i="32" s="1"/>
  <c r="AH79" i="32"/>
  <c r="AI79" i="32" s="1"/>
  <c r="AN79" i="32" s="1"/>
  <c r="AH26" i="32"/>
  <c r="AI26" i="32" s="1"/>
  <c r="AN26" i="32" s="1"/>
  <c r="AH35" i="32"/>
  <c r="AI35" i="32" s="1"/>
  <c r="AN35" i="32" s="1"/>
  <c r="AH75" i="32"/>
  <c r="AI75" i="32" s="1"/>
  <c r="AN75" i="32" s="1"/>
  <c r="AH85" i="32"/>
  <c r="AI85" i="32" s="1"/>
  <c r="AN85" i="32" s="1"/>
  <c r="AH51" i="32"/>
  <c r="AI51" i="32" s="1"/>
  <c r="AN51" i="32" s="1"/>
  <c r="AH91" i="32"/>
  <c r="AI91" i="32" s="1"/>
  <c r="AN91" i="32" s="1"/>
  <c r="AH38" i="32"/>
  <c r="AI38" i="32" s="1"/>
  <c r="AN38" i="32" s="1"/>
  <c r="AH88" i="32"/>
  <c r="AI88" i="32" s="1"/>
  <c r="AN88" i="32" s="1"/>
  <c r="AH74" i="32"/>
  <c r="AI74" i="32" s="1"/>
  <c r="AN74" i="32" s="1"/>
  <c r="AH80" i="32"/>
  <c r="AI80" i="32" s="1"/>
  <c r="AN80" i="32" s="1"/>
  <c r="AH67" i="32"/>
  <c r="AI67" i="32" s="1"/>
  <c r="AN67" i="32" s="1"/>
  <c r="AH82" i="32"/>
  <c r="AI82" i="32" s="1"/>
  <c r="AN82" i="32" s="1"/>
  <c r="AH27" i="32"/>
  <c r="AI27" i="32" s="1"/>
  <c r="AN27" i="32" s="1"/>
  <c r="AH52" i="32"/>
  <c r="AI52" i="32" s="1"/>
  <c r="AN52" i="32" s="1"/>
  <c r="AH84" i="32"/>
  <c r="AI84" i="32" s="1"/>
  <c r="AN84" i="32" s="1"/>
  <c r="AH54" i="32"/>
  <c r="AI54" i="32" s="1"/>
  <c r="AN54" i="32" s="1"/>
  <c r="AH70" i="32"/>
  <c r="AI70" i="32" s="1"/>
  <c r="AN70" i="32" s="1"/>
  <c r="AH41" i="32"/>
  <c r="AI41" i="32" s="1"/>
  <c r="AN41" i="32" s="1"/>
  <c r="AH46" i="32"/>
  <c r="AI46" i="32" s="1"/>
  <c r="AN46" i="32" s="1"/>
  <c r="AH55" i="32"/>
  <c r="AI55" i="32" s="1"/>
  <c r="AN55" i="32" s="1"/>
  <c r="AH30" i="32"/>
  <c r="AI30" i="32" s="1"/>
  <c r="AN30" i="32" s="1"/>
  <c r="AH49" i="32"/>
  <c r="AI49" i="32" s="1"/>
  <c r="AN49" i="32" s="1"/>
  <c r="AH53" i="32"/>
  <c r="AI53" i="32" s="1"/>
  <c r="AN53" i="32" s="1"/>
  <c r="AH25" i="32"/>
  <c r="AI25" i="32" s="1"/>
  <c r="AN25" i="32" s="1"/>
  <c r="AM95" i="32"/>
  <c r="AM96" i="32"/>
  <c r="AJ105" i="50"/>
  <c r="C105" i="50"/>
  <c r="S106" i="50"/>
  <c r="Z106" i="50" s="1"/>
  <c r="P95" i="32"/>
  <c r="S96" i="32"/>
  <c r="Z96" i="32" s="1"/>
  <c r="S95" i="32"/>
  <c r="Z95" i="32" s="1"/>
  <c r="W105" i="50"/>
  <c r="X104" i="50"/>
  <c r="V105" i="50"/>
  <c r="AF150" i="69"/>
  <c r="Q150" i="69"/>
  <c r="O167" i="57"/>
  <c r="P167" i="57"/>
  <c r="AC148" i="69"/>
  <c r="AD148" i="69" s="1"/>
  <c r="AH104" i="50"/>
  <c r="AI104" i="50" s="1"/>
  <c r="AG15" i="32"/>
  <c r="AH15" i="32" s="1"/>
  <c r="AG13" i="32"/>
  <c r="AH13" i="32" s="1"/>
  <c r="AB149" i="69"/>
  <c r="AG149" i="69"/>
  <c r="AO151" i="69"/>
  <c r="O152" i="69"/>
  <c r="AK107" i="50"/>
  <c r="AE166" i="53"/>
  <c r="AF165" i="53"/>
  <c r="AM106" i="50"/>
  <c r="AL22" i="32"/>
  <c r="AL24" i="32"/>
  <c r="AI92" i="32"/>
  <c r="AN92" i="32" s="1"/>
  <c r="AL92" i="32"/>
  <c r="AL23" i="32"/>
  <c r="AI93" i="32"/>
  <c r="AN93" i="32" s="1"/>
  <c r="AI66" i="32"/>
  <c r="AN66" i="32" s="1"/>
  <c r="AI50" i="32"/>
  <c r="AN50" i="32" s="1"/>
  <c r="AI33" i="32"/>
  <c r="AN33" i="32" s="1"/>
  <c r="AI68" i="32"/>
  <c r="AN68" i="32" s="1"/>
  <c r="AI90" i="32"/>
  <c r="AN90" i="32" s="1"/>
  <c r="AI71" i="32"/>
  <c r="AN71" i="32" s="1"/>
  <c r="AI42" i="32"/>
  <c r="AN42" i="32" s="1"/>
  <c r="AI73" i="32"/>
  <c r="AN73" i="32" s="1"/>
  <c r="R166" i="53"/>
  <c r="X166" i="53" s="1"/>
  <c r="AL104" i="50"/>
  <c r="AY150" i="69"/>
  <c r="L167" i="57"/>
  <c r="AH166" i="53"/>
  <c r="AT166" i="53"/>
  <c r="AG166" i="53"/>
  <c r="N167" i="57"/>
  <c r="I167" i="53"/>
  <c r="AH150" i="69"/>
  <c r="Q166" i="53"/>
  <c r="AD166" i="53"/>
  <c r="C167" i="53"/>
  <c r="L167" i="53"/>
  <c r="P167" i="53"/>
  <c r="K167" i="53"/>
  <c r="E167" i="53"/>
  <c r="J167" i="53"/>
  <c r="H167" i="53"/>
  <c r="F167" i="53"/>
  <c r="D167" i="53"/>
  <c r="AK166" i="52" a="1"/>
  <c r="AK166" i="52" s="1"/>
  <c r="B168" i="53" s="1"/>
  <c r="G167" i="53"/>
  <c r="H107" i="50"/>
  <c r="A107" i="50"/>
  <c r="B107" i="50"/>
  <c r="R107" i="50" s="1"/>
  <c r="J107" i="50"/>
  <c r="G107" i="50"/>
  <c r="F107" i="50"/>
  <c r="U107" i="50" s="1"/>
  <c r="K107" i="50"/>
  <c r="N107" i="50"/>
  <c r="I107" i="50"/>
  <c r="M107" i="50"/>
  <c r="L107" i="50"/>
  <c r="I167" i="57"/>
  <c r="F167" i="57"/>
  <c r="D167" i="57"/>
  <c r="C167" i="57"/>
  <c r="H167" i="57"/>
  <c r="K167" i="57"/>
  <c r="G167" i="57"/>
  <c r="E167" i="57"/>
  <c r="J167" i="57"/>
  <c r="E97" i="32"/>
  <c r="AN166" i="55" a="1"/>
  <c r="AN166" i="55" s="1"/>
  <c r="B168" i="57" s="1"/>
  <c r="AR152" i="67" a="1"/>
  <c r="AR152" i="67" s="1"/>
  <c r="B153" i="69"/>
  <c r="L153" i="69" s="1"/>
  <c r="C152" i="69"/>
  <c r="P152" i="69" s="1"/>
  <c r="R150" i="69"/>
  <c r="S150" i="69" s="1"/>
  <c r="Y150" i="69" s="1"/>
  <c r="AE150" i="69"/>
  <c r="D151" i="69"/>
  <c r="E151" i="69" s="1"/>
  <c r="F151" i="69" s="1"/>
  <c r="G151" i="69" s="1"/>
  <c r="H151" i="69" s="1"/>
  <c r="I151" i="69" s="1"/>
  <c r="J151" i="69" s="1"/>
  <c r="K151" i="69" s="1"/>
  <c r="M151" i="69" s="1"/>
  <c r="AW79" i="22"/>
  <c r="AK4" i="22"/>
  <c r="AL97" i="11" a="1"/>
  <c r="AL97" i="11" s="1"/>
  <c r="E98" i="32" s="1"/>
  <c r="AP107" i="59" a="1"/>
  <c r="AP107" i="59" s="1"/>
  <c r="E108" i="50" s="1"/>
  <c r="AD96" i="32" l="1"/>
  <c r="AG96" i="32" s="1"/>
  <c r="AH96" i="32" s="1"/>
  <c r="AD95" i="32"/>
  <c r="AG95" i="32" s="1"/>
  <c r="AH95" i="32" s="1"/>
  <c r="AD106" i="50"/>
  <c r="AG106" i="50" s="1"/>
  <c r="X165" i="57"/>
  <c r="AB165" i="57" s="1"/>
  <c r="AF164" i="57"/>
  <c r="AB164" i="57"/>
  <c r="AG167" i="57"/>
  <c r="AQ166" i="57"/>
  <c r="AC166" i="57"/>
  <c r="AE166" i="57"/>
  <c r="AD166" i="57"/>
  <c r="AJ166" i="57"/>
  <c r="Q166" i="57"/>
  <c r="T166" i="57" s="1"/>
  <c r="R166" i="57"/>
  <c r="M168" i="53"/>
  <c r="AC168" i="53" s="1"/>
  <c r="O168" i="53"/>
  <c r="AP152" i="69"/>
  <c r="N152" i="69"/>
  <c r="U152" i="69" s="1"/>
  <c r="M167" i="57"/>
  <c r="AK167" i="57" s="1"/>
  <c r="Q107" i="50"/>
  <c r="P107" i="50" s="1"/>
  <c r="N168" i="53"/>
  <c r="T98" i="32"/>
  <c r="O98" i="32"/>
  <c r="O97" i="32"/>
  <c r="T97" i="32"/>
  <c r="T108" i="50"/>
  <c r="O108" i="50"/>
  <c r="AA166" i="53"/>
  <c r="AB166" i="53"/>
  <c r="AP104" i="50"/>
  <c r="AJ106" i="50"/>
  <c r="C106" i="50"/>
  <c r="S107" i="50"/>
  <c r="Z107" i="50" s="1"/>
  <c r="W95" i="32"/>
  <c r="X95" i="32" s="1"/>
  <c r="C95" i="32"/>
  <c r="AJ95" i="32"/>
  <c r="C96" i="32"/>
  <c r="AJ96" i="32"/>
  <c r="W96" i="32"/>
  <c r="X96" i="32" s="1"/>
  <c r="W106" i="50"/>
  <c r="X105" i="50"/>
  <c r="V106" i="50"/>
  <c r="V96" i="32"/>
  <c r="AF151" i="69"/>
  <c r="Q151" i="69"/>
  <c r="O168" i="57"/>
  <c r="P168" i="57"/>
  <c r="AC149" i="69"/>
  <c r="AD149" i="69" s="1"/>
  <c r="AH105" i="50"/>
  <c r="AI105" i="50" s="1"/>
  <c r="AK21" i="32"/>
  <c r="AL21" i="32" s="1"/>
  <c r="AK20" i="32"/>
  <c r="AL20" i="32" s="1"/>
  <c r="AK19" i="32"/>
  <c r="AL19" i="32" s="1"/>
  <c r="AK18" i="32"/>
  <c r="AL18" i="32" s="1"/>
  <c r="AK17" i="32"/>
  <c r="AL17" i="32" s="1"/>
  <c r="AK16" i="32"/>
  <c r="AL16" i="32" s="1"/>
  <c r="AK14" i="32"/>
  <c r="AL14" i="32" s="1"/>
  <c r="AB150" i="69"/>
  <c r="AG150" i="69"/>
  <c r="AO152" i="69"/>
  <c r="O153" i="69"/>
  <c r="AK108" i="50"/>
  <c r="AE167" i="53"/>
  <c r="AF166" i="53"/>
  <c r="AK98" i="32"/>
  <c r="AK97" i="32"/>
  <c r="AM107" i="50"/>
  <c r="AL94" i="32"/>
  <c r="AI23" i="32"/>
  <c r="AN23" i="32" s="1"/>
  <c r="AI22" i="32"/>
  <c r="AN22" i="32" s="1"/>
  <c r="R167" i="53"/>
  <c r="X167" i="53" s="1"/>
  <c r="AL105" i="50"/>
  <c r="AI24" i="32"/>
  <c r="AN24" i="32" s="1"/>
  <c r="AY151" i="69"/>
  <c r="L168" i="57"/>
  <c r="AG167" i="53"/>
  <c r="AH167" i="53"/>
  <c r="AT167" i="53"/>
  <c r="N168" i="57"/>
  <c r="E168" i="53"/>
  <c r="AH151" i="69"/>
  <c r="V95" i="32"/>
  <c r="AD167" i="53"/>
  <c r="AK167" i="52" a="1"/>
  <c r="AK167" i="52" s="1"/>
  <c r="B169" i="53" s="1"/>
  <c r="J168" i="53"/>
  <c r="Q167" i="53"/>
  <c r="F168" i="53"/>
  <c r="L168" i="53"/>
  <c r="I168" i="53"/>
  <c r="D168" i="53"/>
  <c r="H168" i="53"/>
  <c r="C168" i="53"/>
  <c r="G168" i="53"/>
  <c r="P168" i="53"/>
  <c r="K168" i="53"/>
  <c r="A97" i="32"/>
  <c r="Q97" i="32" s="1"/>
  <c r="B97" i="32"/>
  <c r="R97" i="32" s="1"/>
  <c r="A98" i="32"/>
  <c r="B98" i="32"/>
  <c r="R98" i="32" s="1"/>
  <c r="K108" i="50"/>
  <c r="M108" i="50"/>
  <c r="I108" i="50"/>
  <c r="G108" i="50"/>
  <c r="B108" i="50"/>
  <c r="R108" i="50" s="1"/>
  <c r="L108" i="50"/>
  <c r="F108" i="50"/>
  <c r="U108" i="50" s="1"/>
  <c r="H108" i="50"/>
  <c r="J108" i="50"/>
  <c r="A108" i="50"/>
  <c r="N108" i="50"/>
  <c r="I97" i="32"/>
  <c r="J97" i="32"/>
  <c r="L97" i="32"/>
  <c r="F97" i="32"/>
  <c r="U97" i="32" s="1"/>
  <c r="N97" i="32"/>
  <c r="H97" i="32"/>
  <c r="K97" i="32"/>
  <c r="G97" i="32"/>
  <c r="M97" i="32"/>
  <c r="G98" i="32"/>
  <c r="H98" i="32"/>
  <c r="J98" i="32"/>
  <c r="L98" i="32"/>
  <c r="I98" i="32"/>
  <c r="N98" i="32"/>
  <c r="F98" i="32"/>
  <c r="U98" i="32" s="1"/>
  <c r="K98" i="32"/>
  <c r="M98" i="32"/>
  <c r="H168" i="57"/>
  <c r="F168" i="57"/>
  <c r="D168" i="57"/>
  <c r="C168" i="57"/>
  <c r="K168" i="57"/>
  <c r="J168" i="57"/>
  <c r="E168" i="57"/>
  <c r="G168" i="57"/>
  <c r="I168" i="57"/>
  <c r="AN167" i="55" a="1"/>
  <c r="AN167" i="55" s="1"/>
  <c r="B169" i="57" s="1"/>
  <c r="C153" i="69"/>
  <c r="P153" i="69" s="1"/>
  <c r="AE151" i="69"/>
  <c r="R151" i="69"/>
  <c r="S151" i="69" s="1"/>
  <c r="Y151" i="69" s="1"/>
  <c r="D152" i="69"/>
  <c r="E152" i="69" s="1"/>
  <c r="F152" i="69" s="1"/>
  <c r="G152" i="69" s="1"/>
  <c r="H152" i="69" s="1"/>
  <c r="I152" i="69" s="1"/>
  <c r="J152" i="69" s="1"/>
  <c r="K152" i="69" s="1"/>
  <c r="M152" i="69" s="1"/>
  <c r="AR153" i="67" a="1"/>
  <c r="AR153" i="67" s="1"/>
  <c r="B154" i="69"/>
  <c r="L154" i="69" s="1"/>
  <c r="AL98" i="11" a="1"/>
  <c r="AL98" i="11" s="1"/>
  <c r="E99" i="32" s="1"/>
  <c r="AP108" i="59" a="1"/>
  <c r="AP108" i="59" s="1"/>
  <c r="E109" i="50" s="1"/>
  <c r="AD107" i="50" l="1"/>
  <c r="AG107" i="50" s="1"/>
  <c r="X166" i="57"/>
  <c r="AB166" i="57" s="1"/>
  <c r="AG168" i="57"/>
  <c r="AF165" i="57"/>
  <c r="AA165" i="57"/>
  <c r="AJ167" i="57"/>
  <c r="M169" i="53"/>
  <c r="AC169" i="53" s="1"/>
  <c r="O169" i="53"/>
  <c r="AP153" i="69"/>
  <c r="N153" i="69"/>
  <c r="U153" i="69" s="1"/>
  <c r="AC167" i="57"/>
  <c r="R167" i="57"/>
  <c r="AE167" i="57"/>
  <c r="Q167" i="57"/>
  <c r="T167" i="57" s="1"/>
  <c r="AD167" i="57"/>
  <c r="AQ167" i="57"/>
  <c r="M168" i="57"/>
  <c r="AK168" i="57" s="1"/>
  <c r="Q108" i="50"/>
  <c r="P108" i="50" s="1"/>
  <c r="Q98" i="32"/>
  <c r="P98" i="32" s="1"/>
  <c r="N169" i="53"/>
  <c r="T99" i="32"/>
  <c r="O99" i="32"/>
  <c r="T109" i="50"/>
  <c r="O109" i="50"/>
  <c r="AA167" i="53"/>
  <c r="AB167" i="53"/>
  <c r="AP105" i="50"/>
  <c r="AM97" i="32"/>
  <c r="AM98" i="32"/>
  <c r="AJ107" i="50"/>
  <c r="C107" i="50"/>
  <c r="S108" i="50"/>
  <c r="Z108" i="50" s="1"/>
  <c r="P97" i="32"/>
  <c r="AI21" i="32"/>
  <c r="AM21" i="32"/>
  <c r="AI20" i="32"/>
  <c r="AM20" i="32"/>
  <c r="AI19" i="32"/>
  <c r="AM19" i="32"/>
  <c r="AI18" i="32"/>
  <c r="AM18" i="32"/>
  <c r="AI17" i="32"/>
  <c r="AM17" i="32"/>
  <c r="AI16" i="32"/>
  <c r="AM16" i="32"/>
  <c r="AM14" i="32"/>
  <c r="S97" i="32"/>
  <c r="Z97" i="32" s="1"/>
  <c r="S98" i="32"/>
  <c r="Z98" i="32" s="1"/>
  <c r="W107" i="50"/>
  <c r="X106" i="50"/>
  <c r="V107" i="50"/>
  <c r="AF152" i="69"/>
  <c r="Q152" i="69"/>
  <c r="O169" i="57"/>
  <c r="P169" i="57"/>
  <c r="AC150" i="69"/>
  <c r="AD150" i="69" s="1"/>
  <c r="AH106" i="50"/>
  <c r="AI106" i="50" s="1"/>
  <c r="AK13" i="32"/>
  <c r="AL13" i="32" s="1"/>
  <c r="AB151" i="69"/>
  <c r="AG151" i="69"/>
  <c r="AO153" i="69"/>
  <c r="O154" i="69"/>
  <c r="AK109" i="50"/>
  <c r="AE168" i="53"/>
  <c r="AF167" i="53"/>
  <c r="AK99" i="32"/>
  <c r="AM108" i="50"/>
  <c r="AL96" i="32"/>
  <c r="AI94" i="32"/>
  <c r="AN94" i="32" s="1"/>
  <c r="R168" i="53"/>
  <c r="X168" i="53" s="1"/>
  <c r="AL106" i="50"/>
  <c r="AI14" i="32"/>
  <c r="AY152" i="69"/>
  <c r="L169" i="57"/>
  <c r="AH168" i="53"/>
  <c r="AT168" i="53"/>
  <c r="AG168" i="53"/>
  <c r="N169" i="57"/>
  <c r="K169" i="53"/>
  <c r="AH152" i="69"/>
  <c r="Q168" i="53"/>
  <c r="AD168" i="53"/>
  <c r="AK168" i="52" a="1"/>
  <c r="AK168" i="52" s="1"/>
  <c r="B170" i="53" s="1"/>
  <c r="I169" i="53"/>
  <c r="P169" i="53"/>
  <c r="D169" i="53"/>
  <c r="G169" i="53"/>
  <c r="J169" i="53"/>
  <c r="H169" i="53"/>
  <c r="F169" i="53"/>
  <c r="L169" i="53"/>
  <c r="E169" i="53"/>
  <c r="C169" i="53"/>
  <c r="A99" i="32"/>
  <c r="B99" i="32"/>
  <c r="R99" i="32" s="1"/>
  <c r="N109" i="50"/>
  <c r="M109" i="50"/>
  <c r="F109" i="50"/>
  <c r="U109" i="50" s="1"/>
  <c r="G109" i="50"/>
  <c r="H109" i="50"/>
  <c r="L109" i="50"/>
  <c r="B109" i="50"/>
  <c r="R109" i="50" s="1"/>
  <c r="J109" i="50"/>
  <c r="I109" i="50"/>
  <c r="A109" i="50"/>
  <c r="K109" i="50"/>
  <c r="M99" i="32"/>
  <c r="F99" i="32"/>
  <c r="U99" i="32" s="1"/>
  <c r="N99" i="32"/>
  <c r="H99" i="32"/>
  <c r="J99" i="32"/>
  <c r="G99" i="32"/>
  <c r="L99" i="32"/>
  <c r="K99" i="32"/>
  <c r="I99" i="32"/>
  <c r="J169" i="57"/>
  <c r="E169" i="57"/>
  <c r="C169" i="57"/>
  <c r="F169" i="57"/>
  <c r="H169" i="57"/>
  <c r="I169" i="57"/>
  <c r="D169" i="57"/>
  <c r="K169" i="57"/>
  <c r="G169" i="57"/>
  <c r="AN168" i="55" a="1"/>
  <c r="AN168" i="55" s="1"/>
  <c r="B170" i="57" s="1"/>
  <c r="AR154" i="67" a="1"/>
  <c r="AR154" i="67" s="1"/>
  <c r="B155" i="69"/>
  <c r="L155" i="69" s="1"/>
  <c r="AE152" i="69"/>
  <c r="R152" i="69"/>
  <c r="S152" i="69" s="1"/>
  <c r="Y152" i="69" s="1"/>
  <c r="C154" i="69"/>
  <c r="P154" i="69" s="1"/>
  <c r="D153" i="69"/>
  <c r="E153" i="69" s="1"/>
  <c r="F153" i="69" s="1"/>
  <c r="G153" i="69" s="1"/>
  <c r="H153" i="69" s="1"/>
  <c r="I153" i="69" s="1"/>
  <c r="J153" i="69" s="1"/>
  <c r="K153" i="69" s="1"/>
  <c r="M153" i="69" s="1"/>
  <c r="AL99" i="11" a="1"/>
  <c r="AL99" i="11" s="1"/>
  <c r="E100" i="32" s="1"/>
  <c r="AP109" i="59" a="1"/>
  <c r="AP109" i="59" s="1"/>
  <c r="E110" i="50" s="1"/>
  <c r="AD97" i="32" l="1"/>
  <c r="AG97" i="32" s="1"/>
  <c r="AH97" i="32" s="1"/>
  <c r="AD98" i="32"/>
  <c r="AG98" i="32" s="1"/>
  <c r="AH98" i="32" s="1"/>
  <c r="AD108" i="50"/>
  <c r="AG108" i="50" s="1"/>
  <c r="X167" i="57"/>
  <c r="AB167" i="57" s="1"/>
  <c r="AG169" i="57"/>
  <c r="AF166" i="57"/>
  <c r="AA166" i="57"/>
  <c r="AD168" i="57"/>
  <c r="AC168" i="57"/>
  <c r="AJ168" i="57"/>
  <c r="AE168" i="57"/>
  <c r="M170" i="53"/>
  <c r="AC170" i="53" s="1"/>
  <c r="O170" i="53"/>
  <c r="AP154" i="69"/>
  <c r="N154" i="69"/>
  <c r="U154" i="69" s="1"/>
  <c r="R168" i="57"/>
  <c r="Q168" i="57"/>
  <c r="T168" i="57" s="1"/>
  <c r="AQ168" i="57"/>
  <c r="M169" i="57"/>
  <c r="AK169" i="57" s="1"/>
  <c r="Q109" i="50"/>
  <c r="P109" i="50" s="1"/>
  <c r="Q99" i="32"/>
  <c r="P99" i="32" s="1"/>
  <c r="N170" i="53"/>
  <c r="O100" i="32"/>
  <c r="T100" i="32"/>
  <c r="T110" i="50"/>
  <c r="O110" i="50"/>
  <c r="AA168" i="53"/>
  <c r="AB168" i="53"/>
  <c r="AP106" i="50"/>
  <c r="AN17" i="32"/>
  <c r="AN19" i="32"/>
  <c r="AN21" i="32"/>
  <c r="AN14" i="32"/>
  <c r="AN16" i="32"/>
  <c r="AN18" i="32"/>
  <c r="AN20" i="32"/>
  <c r="AM99" i="32"/>
  <c r="AJ108" i="50"/>
  <c r="C108" i="50"/>
  <c r="S109" i="50"/>
  <c r="Z109" i="50" s="1"/>
  <c r="W98" i="32"/>
  <c r="X98" i="32" s="1"/>
  <c r="C98" i="32"/>
  <c r="AJ98" i="32"/>
  <c r="W97" i="32"/>
  <c r="X97" i="32" s="1"/>
  <c r="C97" i="32"/>
  <c r="AJ97" i="32"/>
  <c r="S99" i="32"/>
  <c r="Z99" i="32" s="1"/>
  <c r="W108" i="50"/>
  <c r="X107" i="50"/>
  <c r="V108" i="50"/>
  <c r="V98" i="32"/>
  <c r="AF153" i="69"/>
  <c r="Q153" i="69"/>
  <c r="O170" i="57"/>
  <c r="P170" i="57"/>
  <c r="AM13" i="32"/>
  <c r="AC151" i="69"/>
  <c r="AD151" i="69" s="1"/>
  <c r="AH107" i="50"/>
  <c r="AI107" i="50" s="1"/>
  <c r="AK15" i="32"/>
  <c r="AL15" i="32" s="1"/>
  <c r="AB152" i="69"/>
  <c r="AG152" i="69"/>
  <c r="AO154" i="69"/>
  <c r="O155" i="69"/>
  <c r="AK110" i="50"/>
  <c r="AE169" i="53"/>
  <c r="AF168" i="53"/>
  <c r="AK100" i="32"/>
  <c r="AM109" i="50"/>
  <c r="AL95" i="32"/>
  <c r="AI96" i="32"/>
  <c r="AN96" i="32" s="1"/>
  <c r="AI13" i="32"/>
  <c r="R169" i="53"/>
  <c r="X169" i="53" s="1"/>
  <c r="AL107" i="50"/>
  <c r="AY153" i="69"/>
  <c r="L170" i="57"/>
  <c r="AG169" i="53"/>
  <c r="AH169" i="53"/>
  <c r="AT169" i="53"/>
  <c r="N170" i="57"/>
  <c r="AH153" i="69"/>
  <c r="V97" i="32"/>
  <c r="AD169" i="53"/>
  <c r="Q169" i="53"/>
  <c r="AK169" i="52" a="1"/>
  <c r="AK169" i="52" s="1"/>
  <c r="B171" i="53" s="1"/>
  <c r="G170" i="53"/>
  <c r="P170" i="53"/>
  <c r="K170" i="53"/>
  <c r="J170" i="53"/>
  <c r="H170" i="53"/>
  <c r="D170" i="53"/>
  <c r="L170" i="53"/>
  <c r="E170" i="53"/>
  <c r="F170" i="53"/>
  <c r="C170" i="53"/>
  <c r="I170" i="53"/>
  <c r="A100" i="32"/>
  <c r="B100" i="32"/>
  <c r="R100" i="32" s="1"/>
  <c r="A110" i="50"/>
  <c r="N110" i="50"/>
  <c r="J110" i="50"/>
  <c r="K110" i="50"/>
  <c r="F110" i="50"/>
  <c r="U110" i="50" s="1"/>
  <c r="I110" i="50"/>
  <c r="H110" i="50"/>
  <c r="G110" i="50"/>
  <c r="M110" i="50"/>
  <c r="L110" i="50"/>
  <c r="B110" i="50"/>
  <c r="R110" i="50" s="1"/>
  <c r="K100" i="32"/>
  <c r="L100" i="32"/>
  <c r="F100" i="32"/>
  <c r="U100" i="32" s="1"/>
  <c r="N100" i="32"/>
  <c r="H100" i="32"/>
  <c r="J100" i="32"/>
  <c r="M100" i="32"/>
  <c r="G100" i="32"/>
  <c r="I100" i="32"/>
  <c r="J170" i="57"/>
  <c r="G170" i="57"/>
  <c r="D170" i="57"/>
  <c r="H170" i="57"/>
  <c r="C170" i="57"/>
  <c r="I170" i="57"/>
  <c r="F170" i="57"/>
  <c r="E170" i="57"/>
  <c r="K170" i="57"/>
  <c r="AN169" i="55" a="1"/>
  <c r="AN169" i="55" s="1"/>
  <c r="B171" i="57" s="1"/>
  <c r="C155" i="69"/>
  <c r="P155" i="69" s="1"/>
  <c r="D154" i="69"/>
  <c r="E154" i="69" s="1"/>
  <c r="F154" i="69" s="1"/>
  <c r="G154" i="69" s="1"/>
  <c r="H154" i="69" s="1"/>
  <c r="I154" i="69" s="1"/>
  <c r="J154" i="69" s="1"/>
  <c r="K154" i="69" s="1"/>
  <c r="M154" i="69" s="1"/>
  <c r="AE153" i="69"/>
  <c r="R153" i="69"/>
  <c r="S153" i="69" s="1"/>
  <c r="Y153" i="69" s="1"/>
  <c r="AR155" i="67" a="1"/>
  <c r="AR155" i="67" s="1"/>
  <c r="B156" i="69"/>
  <c r="L156" i="69" s="1"/>
  <c r="AL100" i="11" a="1"/>
  <c r="AL100" i="11" s="1"/>
  <c r="E101" i="32" s="1"/>
  <c r="AP110" i="59" a="1"/>
  <c r="AP110" i="59" s="1"/>
  <c r="E111" i="50" s="1"/>
  <c r="AD99" i="32" l="1"/>
  <c r="AG99" i="32" s="1"/>
  <c r="AH99" i="32" s="1"/>
  <c r="AD109" i="50"/>
  <c r="AG109" i="50" s="1"/>
  <c r="AJ169" i="57"/>
  <c r="X168" i="57"/>
  <c r="AB168" i="57" s="1"/>
  <c r="AE169" i="57"/>
  <c r="AG170" i="57"/>
  <c r="AD169" i="57"/>
  <c r="M171" i="53"/>
  <c r="AC171" i="53" s="1"/>
  <c r="O171" i="53"/>
  <c r="AP155" i="69"/>
  <c r="N155" i="69"/>
  <c r="U155" i="69" s="1"/>
  <c r="AA167" i="57"/>
  <c r="AF167" i="57"/>
  <c r="AQ169" i="57"/>
  <c r="Q169" i="57"/>
  <c r="T169" i="57" s="1"/>
  <c r="R169" i="57"/>
  <c r="AC169" i="57"/>
  <c r="M170" i="57"/>
  <c r="AK170" i="57" s="1"/>
  <c r="Q110" i="50"/>
  <c r="P110" i="50" s="1"/>
  <c r="Q100" i="32"/>
  <c r="P100" i="32" s="1"/>
  <c r="N171" i="53"/>
  <c r="O101" i="32"/>
  <c r="T101" i="32"/>
  <c r="T111" i="50"/>
  <c r="O111" i="50"/>
  <c r="AA169" i="53"/>
  <c r="AB169" i="53"/>
  <c r="AP107" i="50"/>
  <c r="AN13" i="32"/>
  <c r="AM100" i="32"/>
  <c r="AJ109" i="50"/>
  <c r="C109" i="50"/>
  <c r="S110" i="50"/>
  <c r="Z110" i="50" s="1"/>
  <c r="AM15" i="32"/>
  <c r="W99" i="32"/>
  <c r="X99" i="32" s="1"/>
  <c r="C99" i="32"/>
  <c r="AJ99" i="32"/>
  <c r="S100" i="32"/>
  <c r="Z100" i="32" s="1"/>
  <c r="W109" i="50"/>
  <c r="X108" i="50"/>
  <c r="V109" i="50"/>
  <c r="V99" i="32"/>
  <c r="AF154" i="69"/>
  <c r="Q154" i="69"/>
  <c r="O171" i="57"/>
  <c r="P171" i="57"/>
  <c r="AC152" i="69"/>
  <c r="AD152" i="69" s="1"/>
  <c r="AH108" i="50"/>
  <c r="AI108" i="50" s="1"/>
  <c r="AI15" i="32"/>
  <c r="AB153" i="69"/>
  <c r="AG153" i="69"/>
  <c r="O156" i="69"/>
  <c r="AO155" i="69"/>
  <c r="AK111" i="50"/>
  <c r="AE170" i="53"/>
  <c r="AF169" i="53"/>
  <c r="AK101" i="32"/>
  <c r="AM110" i="50"/>
  <c r="AI95" i="32"/>
  <c r="AN95" i="32" s="1"/>
  <c r="R170" i="53"/>
  <c r="X170" i="53" s="1"/>
  <c r="AL108" i="50"/>
  <c r="AY154" i="69"/>
  <c r="L171" i="57"/>
  <c r="AG170" i="53"/>
  <c r="AH170" i="53"/>
  <c r="AT170" i="53"/>
  <c r="N171" i="57"/>
  <c r="AH154" i="69"/>
  <c r="AD170" i="53"/>
  <c r="AK170" i="52" a="1"/>
  <c r="AK170" i="52" s="1"/>
  <c r="B172" i="53" s="1"/>
  <c r="Q170" i="53"/>
  <c r="I171" i="53"/>
  <c r="G171" i="53"/>
  <c r="C171" i="53"/>
  <c r="K171" i="53"/>
  <c r="E171" i="53"/>
  <c r="J171" i="53"/>
  <c r="F171" i="53"/>
  <c r="H171" i="53"/>
  <c r="D171" i="53"/>
  <c r="L171" i="53"/>
  <c r="P171" i="53"/>
  <c r="A101" i="32"/>
  <c r="B101" i="32"/>
  <c r="R101" i="32" s="1"/>
  <c r="A111" i="50"/>
  <c r="M111" i="50"/>
  <c r="J111" i="50"/>
  <c r="L111" i="50"/>
  <c r="N111" i="50"/>
  <c r="F111" i="50"/>
  <c r="U111" i="50" s="1"/>
  <c r="G111" i="50"/>
  <c r="B111" i="50"/>
  <c r="R111" i="50" s="1"/>
  <c r="K111" i="50"/>
  <c r="I111" i="50"/>
  <c r="H111" i="50"/>
  <c r="I101" i="32"/>
  <c r="J101" i="32"/>
  <c r="L101" i="32"/>
  <c r="F101" i="32"/>
  <c r="U101" i="32" s="1"/>
  <c r="N101" i="32"/>
  <c r="K101" i="32"/>
  <c r="H101" i="32"/>
  <c r="M101" i="32"/>
  <c r="G101" i="32"/>
  <c r="H171" i="57"/>
  <c r="D171" i="57"/>
  <c r="J171" i="57"/>
  <c r="K171" i="57"/>
  <c r="G171" i="57"/>
  <c r="C171" i="57"/>
  <c r="I171" i="57"/>
  <c r="F171" i="57"/>
  <c r="E171" i="57"/>
  <c r="AN170" i="55" a="1"/>
  <c r="AN170" i="55" s="1"/>
  <c r="B172" i="57" s="1"/>
  <c r="AR156" i="67" a="1"/>
  <c r="AR156" i="67" s="1"/>
  <c r="B157" i="69"/>
  <c r="L157" i="69" s="1"/>
  <c r="D155" i="69"/>
  <c r="E155" i="69" s="1"/>
  <c r="F155" i="69" s="1"/>
  <c r="G155" i="69" s="1"/>
  <c r="H155" i="69" s="1"/>
  <c r="I155" i="69" s="1"/>
  <c r="J155" i="69" s="1"/>
  <c r="K155" i="69" s="1"/>
  <c r="M155" i="69" s="1"/>
  <c r="C156" i="69"/>
  <c r="P156" i="69" s="1"/>
  <c r="R154" i="69"/>
  <c r="S154" i="69" s="1"/>
  <c r="Y154" i="69" s="1"/>
  <c r="AE154" i="69"/>
  <c r="AL101" i="11" a="1"/>
  <c r="AL101" i="11" s="1"/>
  <c r="E102" i="32" s="1"/>
  <c r="AP111" i="59" a="1"/>
  <c r="AP111" i="59" s="1"/>
  <c r="E112" i="50" s="1"/>
  <c r="AD100" i="32" l="1"/>
  <c r="AG100" i="32" s="1"/>
  <c r="AH100" i="32" s="1"/>
  <c r="AD110" i="50"/>
  <c r="AG110" i="50" s="1"/>
  <c r="X169" i="57"/>
  <c r="AB169" i="57" s="1"/>
  <c r="AG171" i="57"/>
  <c r="AA168" i="57"/>
  <c r="AF168" i="57"/>
  <c r="AJ170" i="57"/>
  <c r="R170" i="57"/>
  <c r="M172" i="53"/>
  <c r="AC172" i="53" s="1"/>
  <c r="O172" i="53"/>
  <c r="AP156" i="69"/>
  <c r="N156" i="69"/>
  <c r="U156" i="69" s="1"/>
  <c r="AD170" i="57"/>
  <c r="AC170" i="57"/>
  <c r="Q170" i="57"/>
  <c r="T170" i="57" s="1"/>
  <c r="AQ170" i="57"/>
  <c r="AE170" i="57"/>
  <c r="M171" i="57"/>
  <c r="AK171" i="57" s="1"/>
  <c r="Q111" i="50"/>
  <c r="P111" i="50" s="1"/>
  <c r="Q101" i="32"/>
  <c r="P101" i="32" s="1"/>
  <c r="N172" i="53"/>
  <c r="T102" i="32"/>
  <c r="O102" i="32"/>
  <c r="T112" i="50"/>
  <c r="O112" i="50"/>
  <c r="AA170" i="53"/>
  <c r="AB170" i="53"/>
  <c r="AP108" i="50"/>
  <c r="AN15" i="32"/>
  <c r="AM101" i="32"/>
  <c r="AJ110" i="50"/>
  <c r="C110" i="50"/>
  <c r="S111" i="50"/>
  <c r="Z111" i="50" s="1"/>
  <c r="C100" i="32"/>
  <c r="AJ100" i="32"/>
  <c r="W100" i="32"/>
  <c r="X100" i="32" s="1"/>
  <c r="S101" i="32"/>
  <c r="AD101" i="32" s="1"/>
  <c r="W110" i="50"/>
  <c r="X109" i="50"/>
  <c r="V110" i="50"/>
  <c r="V100" i="32"/>
  <c r="AF155" i="69"/>
  <c r="Q155" i="69"/>
  <c r="O172" i="57"/>
  <c r="P172" i="57"/>
  <c r="AC153" i="69"/>
  <c r="AD153" i="69" s="1"/>
  <c r="AH109" i="50"/>
  <c r="AI109" i="50" s="1"/>
  <c r="AB154" i="69"/>
  <c r="AG154" i="69"/>
  <c r="O157" i="69"/>
  <c r="AO156" i="69"/>
  <c r="AK112" i="50"/>
  <c r="AF170" i="53"/>
  <c r="AE171" i="53"/>
  <c r="AK102" i="32"/>
  <c r="AM111" i="50"/>
  <c r="AL98" i="32"/>
  <c r="AL97" i="32"/>
  <c r="R171" i="53"/>
  <c r="X171" i="53" s="1"/>
  <c r="AL109" i="50"/>
  <c r="AY155" i="69"/>
  <c r="L172" i="57"/>
  <c r="AG171" i="53"/>
  <c r="AH171" i="53"/>
  <c r="AT171" i="53"/>
  <c r="N172" i="57"/>
  <c r="AH155" i="69"/>
  <c r="AD171" i="53"/>
  <c r="Q171" i="53"/>
  <c r="AK171" i="52" a="1"/>
  <c r="AK171" i="52" s="1"/>
  <c r="B173" i="53" s="1"/>
  <c r="H172" i="53"/>
  <c r="L172" i="53"/>
  <c r="F172" i="53"/>
  <c r="G172" i="53"/>
  <c r="C172" i="53"/>
  <c r="E172" i="53"/>
  <c r="J172" i="53"/>
  <c r="I172" i="53"/>
  <c r="K172" i="53"/>
  <c r="D172" i="53"/>
  <c r="P172" i="53"/>
  <c r="A102" i="32"/>
  <c r="B102" i="32"/>
  <c r="R102" i="32" s="1"/>
  <c r="G112" i="50"/>
  <c r="I112" i="50"/>
  <c r="M112" i="50"/>
  <c r="L112" i="50"/>
  <c r="J112" i="50"/>
  <c r="H112" i="50"/>
  <c r="A112" i="50"/>
  <c r="B112" i="50"/>
  <c r="R112" i="50" s="1"/>
  <c r="N112" i="50"/>
  <c r="F112" i="50"/>
  <c r="U112" i="50" s="1"/>
  <c r="K112" i="50"/>
  <c r="G102" i="32"/>
  <c r="H102" i="32"/>
  <c r="J102" i="32"/>
  <c r="L102" i="32"/>
  <c r="F102" i="32"/>
  <c r="U102" i="32" s="1"/>
  <c r="I102" i="32"/>
  <c r="N102" i="32"/>
  <c r="M102" i="32"/>
  <c r="K102" i="32"/>
  <c r="F172" i="57"/>
  <c r="K172" i="57"/>
  <c r="J172" i="57"/>
  <c r="E172" i="57"/>
  <c r="G172" i="57"/>
  <c r="C172" i="57"/>
  <c r="I172" i="57"/>
  <c r="D172" i="57"/>
  <c r="H172" i="57"/>
  <c r="AN171" i="55" a="1"/>
  <c r="AN171" i="55" s="1"/>
  <c r="B173" i="57" s="1"/>
  <c r="AR157" i="67" a="1"/>
  <c r="AR157" i="67" s="1"/>
  <c r="B158" i="69"/>
  <c r="L158" i="69" s="1"/>
  <c r="AE155" i="69"/>
  <c r="R155" i="69"/>
  <c r="S155" i="69" s="1"/>
  <c r="Y155" i="69" s="1"/>
  <c r="D156" i="69"/>
  <c r="E156" i="69" s="1"/>
  <c r="F156" i="69" s="1"/>
  <c r="G156" i="69" s="1"/>
  <c r="H156" i="69" s="1"/>
  <c r="I156" i="69" s="1"/>
  <c r="J156" i="69" s="1"/>
  <c r="K156" i="69" s="1"/>
  <c r="M156" i="69" s="1"/>
  <c r="C157" i="69"/>
  <c r="P157" i="69" s="1"/>
  <c r="AL102" i="11" a="1"/>
  <c r="AL102" i="11" s="1"/>
  <c r="AP112" i="59" a="1"/>
  <c r="AP112" i="59" s="1"/>
  <c r="E113" i="50" s="1"/>
  <c r="X170" i="57" l="1"/>
  <c r="AB170" i="57" s="1"/>
  <c r="AD111" i="50"/>
  <c r="AG111" i="50" s="1"/>
  <c r="AG172" i="57"/>
  <c r="AJ171" i="57"/>
  <c r="AA169" i="57"/>
  <c r="M173" i="53"/>
  <c r="AC173" i="53" s="1"/>
  <c r="O173" i="53"/>
  <c r="AP157" i="69"/>
  <c r="N157" i="69"/>
  <c r="U157" i="69" s="1"/>
  <c r="AE171" i="57"/>
  <c r="AF169" i="57"/>
  <c r="R171" i="57"/>
  <c r="AD171" i="57"/>
  <c r="Q171" i="57"/>
  <c r="T171" i="57" s="1"/>
  <c r="AQ171" i="57"/>
  <c r="AC171" i="57"/>
  <c r="M172" i="57"/>
  <c r="AK172" i="57" s="1"/>
  <c r="Q112" i="50"/>
  <c r="P112" i="50" s="1"/>
  <c r="Q102" i="32"/>
  <c r="P102" i="32" s="1"/>
  <c r="N173" i="53"/>
  <c r="O113" i="50"/>
  <c r="T113" i="50"/>
  <c r="AA171" i="53"/>
  <c r="AB171" i="53"/>
  <c r="AP109" i="50"/>
  <c r="C101" i="32"/>
  <c r="Z101" i="32"/>
  <c r="AM102" i="32"/>
  <c r="C111" i="50"/>
  <c r="AJ111" i="50"/>
  <c r="S112" i="50"/>
  <c r="Z112" i="50" s="1"/>
  <c r="S102" i="32"/>
  <c r="Z102" i="32" s="1"/>
  <c r="W101" i="32"/>
  <c r="X101" i="32" s="1"/>
  <c r="AJ101" i="32"/>
  <c r="W111" i="50"/>
  <c r="X110" i="50"/>
  <c r="V111" i="50"/>
  <c r="V101" i="32"/>
  <c r="AF156" i="69"/>
  <c r="Q156" i="69"/>
  <c r="O173" i="57"/>
  <c r="P173" i="57"/>
  <c r="AC154" i="69"/>
  <c r="AD154" i="69" s="1"/>
  <c r="AH110" i="50"/>
  <c r="AI110" i="50" s="1"/>
  <c r="AB155" i="69"/>
  <c r="AG155" i="69"/>
  <c r="O158" i="69"/>
  <c r="AO157" i="69"/>
  <c r="AK113" i="50"/>
  <c r="AE172" i="53"/>
  <c r="AF171" i="53"/>
  <c r="AG101" i="32"/>
  <c r="AH101" i="32" s="1"/>
  <c r="AM112" i="50"/>
  <c r="AL99" i="32"/>
  <c r="AI98" i="32"/>
  <c r="AN98" i="32" s="1"/>
  <c r="R172" i="53"/>
  <c r="X172" i="53" s="1"/>
  <c r="AL110" i="50"/>
  <c r="AI97" i="32"/>
  <c r="AN97" i="32" s="1"/>
  <c r="AY156" i="69"/>
  <c r="L173" i="57"/>
  <c r="AG172" i="53"/>
  <c r="AH172" i="53"/>
  <c r="AT172" i="53"/>
  <c r="N173" i="57"/>
  <c r="J173" i="53"/>
  <c r="AH156" i="69"/>
  <c r="AD172" i="53"/>
  <c r="Q172" i="53"/>
  <c r="E173" i="53"/>
  <c r="P173" i="53"/>
  <c r="I173" i="53"/>
  <c r="F173" i="53"/>
  <c r="G173" i="53"/>
  <c r="H173" i="53"/>
  <c r="AK172" i="52" a="1"/>
  <c r="AK172" i="52" s="1"/>
  <c r="B174" i="53" s="1"/>
  <c r="K173" i="53"/>
  <c r="D173" i="53"/>
  <c r="C173" i="53"/>
  <c r="L173" i="53"/>
  <c r="I113" i="50"/>
  <c r="M113" i="50"/>
  <c r="L113" i="50"/>
  <c r="J113" i="50"/>
  <c r="H113" i="50"/>
  <c r="B113" i="50"/>
  <c r="R113" i="50" s="1"/>
  <c r="K113" i="50"/>
  <c r="F113" i="50"/>
  <c r="U113" i="50" s="1"/>
  <c r="G113" i="50"/>
  <c r="N113" i="50"/>
  <c r="A113" i="50"/>
  <c r="E173" i="57"/>
  <c r="J173" i="57"/>
  <c r="F173" i="57"/>
  <c r="K173" i="57"/>
  <c r="G173" i="57"/>
  <c r="C173" i="57"/>
  <c r="I173" i="57"/>
  <c r="H173" i="57"/>
  <c r="D173" i="57"/>
  <c r="E103" i="32"/>
  <c r="AN172" i="55" a="1"/>
  <c r="AN172" i="55" s="1"/>
  <c r="B174" i="57" s="1"/>
  <c r="AR158" i="67" a="1"/>
  <c r="AR158" i="67" s="1"/>
  <c r="B159" i="69"/>
  <c r="L159" i="69" s="1"/>
  <c r="R156" i="69"/>
  <c r="S156" i="69" s="1"/>
  <c r="Y156" i="69" s="1"/>
  <c r="AE156" i="69"/>
  <c r="C158" i="69"/>
  <c r="P158" i="69" s="1"/>
  <c r="D157" i="69"/>
  <c r="E157" i="69" s="1"/>
  <c r="F157" i="69" s="1"/>
  <c r="G157" i="69" s="1"/>
  <c r="H157" i="69" s="1"/>
  <c r="I157" i="69" s="1"/>
  <c r="J157" i="69" s="1"/>
  <c r="K157" i="69" s="1"/>
  <c r="M157" i="69" s="1"/>
  <c r="AL103" i="11" a="1"/>
  <c r="AL103" i="11" s="1"/>
  <c r="AP113" i="59" a="1"/>
  <c r="AP113" i="59" s="1"/>
  <c r="E114" i="50" s="1"/>
  <c r="AD102" i="32" l="1"/>
  <c r="AG102" i="32" s="1"/>
  <c r="AH102" i="32" s="1"/>
  <c r="AD112" i="50"/>
  <c r="AG112" i="50" s="1"/>
  <c r="X171" i="57"/>
  <c r="AA171" i="57" s="1"/>
  <c r="AG173" i="57"/>
  <c r="AA170" i="57"/>
  <c r="AF170" i="57"/>
  <c r="M174" i="53"/>
  <c r="AC174" i="53" s="1"/>
  <c r="O174" i="53"/>
  <c r="AP158" i="69"/>
  <c r="N158" i="69"/>
  <c r="U158" i="69" s="1"/>
  <c r="R172" i="57"/>
  <c r="Q172" i="57"/>
  <c r="T172" i="57" s="1"/>
  <c r="AQ172" i="57"/>
  <c r="AE172" i="57"/>
  <c r="AD172" i="57"/>
  <c r="AJ172" i="57"/>
  <c r="AC172" i="57"/>
  <c r="M173" i="57"/>
  <c r="AK173" i="57" s="1"/>
  <c r="Q113" i="50"/>
  <c r="P113" i="50" s="1"/>
  <c r="N174" i="53"/>
  <c r="T103" i="32"/>
  <c r="O103" i="32"/>
  <c r="T114" i="50"/>
  <c r="O114" i="50"/>
  <c r="AA172" i="53"/>
  <c r="AB172" i="53"/>
  <c r="AP110" i="50"/>
  <c r="C112" i="50"/>
  <c r="AJ112" i="50"/>
  <c r="S113" i="50"/>
  <c r="Z113" i="50" s="1"/>
  <c r="AJ102" i="32"/>
  <c r="W102" i="32"/>
  <c r="X102" i="32" s="1"/>
  <c r="C102" i="32"/>
  <c r="W112" i="50"/>
  <c r="X111" i="50"/>
  <c r="V112" i="50"/>
  <c r="V102" i="32"/>
  <c r="AF157" i="69"/>
  <c r="Q157" i="69"/>
  <c r="O174" i="57"/>
  <c r="P174" i="57"/>
  <c r="AC155" i="69"/>
  <c r="AD155" i="69" s="1"/>
  <c r="AH111" i="50"/>
  <c r="AI111" i="50" s="1"/>
  <c r="AB156" i="69"/>
  <c r="AG156" i="69"/>
  <c r="O159" i="69"/>
  <c r="AO158" i="69"/>
  <c r="AK114" i="50"/>
  <c r="AE173" i="53"/>
  <c r="AF172" i="53"/>
  <c r="AK103" i="32"/>
  <c r="AM113" i="50"/>
  <c r="AL100" i="32"/>
  <c r="R173" i="53"/>
  <c r="X173" i="53" s="1"/>
  <c r="AL111" i="50"/>
  <c r="AI99" i="32"/>
  <c r="AN99" i="32" s="1"/>
  <c r="AY157" i="69"/>
  <c r="L174" i="57"/>
  <c r="AG173" i="53"/>
  <c r="AH173" i="53"/>
  <c r="AT173" i="53"/>
  <c r="N174" i="57"/>
  <c r="AH157" i="69"/>
  <c r="Q173" i="53"/>
  <c r="AD173" i="53"/>
  <c r="G174" i="53"/>
  <c r="I174" i="53"/>
  <c r="L174" i="53"/>
  <c r="H174" i="53"/>
  <c r="AK173" i="52" a="1"/>
  <c r="AK173" i="52" s="1"/>
  <c r="B175" i="53" s="1"/>
  <c r="J174" i="53"/>
  <c r="P174" i="53"/>
  <c r="C174" i="53"/>
  <c r="K174" i="53"/>
  <c r="F174" i="53"/>
  <c r="E174" i="53"/>
  <c r="D174" i="53"/>
  <c r="A103" i="32"/>
  <c r="B103" i="32"/>
  <c r="R103" i="32" s="1"/>
  <c r="G114" i="50"/>
  <c r="K114" i="50"/>
  <c r="M114" i="50"/>
  <c r="I114" i="50"/>
  <c r="J114" i="50"/>
  <c r="L114" i="50"/>
  <c r="A114" i="50"/>
  <c r="F114" i="50"/>
  <c r="U114" i="50" s="1"/>
  <c r="N114" i="50"/>
  <c r="H114" i="50"/>
  <c r="B114" i="50"/>
  <c r="R114" i="50" s="1"/>
  <c r="M103" i="32"/>
  <c r="F103" i="32"/>
  <c r="U103" i="32" s="1"/>
  <c r="N103" i="32"/>
  <c r="H103" i="32"/>
  <c r="J103" i="32"/>
  <c r="G103" i="32"/>
  <c r="L103" i="32"/>
  <c r="I103" i="32"/>
  <c r="K103" i="32"/>
  <c r="J174" i="57"/>
  <c r="G174" i="57"/>
  <c r="D174" i="57"/>
  <c r="K174" i="57"/>
  <c r="F174" i="57"/>
  <c r="H174" i="57"/>
  <c r="I174" i="57"/>
  <c r="E174" i="57"/>
  <c r="C174" i="57"/>
  <c r="E104" i="32"/>
  <c r="AN173" i="55" a="1"/>
  <c r="AN173" i="55" s="1"/>
  <c r="B175" i="57" s="1"/>
  <c r="AR159" i="67" a="1"/>
  <c r="AR159" i="67" s="1"/>
  <c r="B160" i="69"/>
  <c r="L160" i="69" s="1"/>
  <c r="C159" i="69"/>
  <c r="P159" i="69" s="1"/>
  <c r="R157" i="69"/>
  <c r="S157" i="69" s="1"/>
  <c r="Y157" i="69" s="1"/>
  <c r="AE157" i="69"/>
  <c r="D158" i="69"/>
  <c r="E158" i="69" s="1"/>
  <c r="F158" i="69" s="1"/>
  <c r="G158" i="69" s="1"/>
  <c r="H158" i="69" s="1"/>
  <c r="I158" i="69" s="1"/>
  <c r="J158" i="69" s="1"/>
  <c r="K158" i="69" s="1"/>
  <c r="M158" i="69" s="1"/>
  <c r="AL104" i="11" a="1"/>
  <c r="AL104" i="11" s="1"/>
  <c r="E105" i="32" s="1"/>
  <c r="AP114" i="59" a="1"/>
  <c r="AP114" i="59" s="1"/>
  <c r="E115" i="50" s="1"/>
  <c r="X172" i="57" l="1"/>
  <c r="AB172" i="57" s="1"/>
  <c r="AD113" i="50"/>
  <c r="AG113" i="50" s="1"/>
  <c r="AG174" i="57"/>
  <c r="AF171" i="57"/>
  <c r="AB171" i="57"/>
  <c r="M175" i="53"/>
  <c r="AC175" i="53" s="1"/>
  <c r="O175" i="53"/>
  <c r="AP159" i="69"/>
  <c r="N159" i="69"/>
  <c r="U159" i="69" s="1"/>
  <c r="Q173" i="57"/>
  <c r="T173" i="57" s="1"/>
  <c r="AQ173" i="57"/>
  <c r="AC173" i="57"/>
  <c r="AJ173" i="57"/>
  <c r="AE173" i="57"/>
  <c r="AD173" i="57"/>
  <c r="R173" i="57"/>
  <c r="M174" i="57"/>
  <c r="AK174" i="57" s="1"/>
  <c r="Q114" i="50"/>
  <c r="P114" i="50" s="1"/>
  <c r="Q103" i="32"/>
  <c r="P103" i="32" s="1"/>
  <c r="N175" i="53"/>
  <c r="O105" i="32"/>
  <c r="T105" i="32"/>
  <c r="O104" i="32"/>
  <c r="T104" i="32"/>
  <c r="T115" i="50"/>
  <c r="O115" i="50"/>
  <c r="AA173" i="53"/>
  <c r="AB173" i="53"/>
  <c r="AP111" i="50"/>
  <c r="AM103" i="32"/>
  <c r="AJ113" i="50"/>
  <c r="C113" i="50"/>
  <c r="S114" i="50"/>
  <c r="Z114" i="50" s="1"/>
  <c r="S103" i="32"/>
  <c r="Z103" i="32" s="1"/>
  <c r="W113" i="50"/>
  <c r="X112" i="50"/>
  <c r="V113" i="50"/>
  <c r="AF158" i="69"/>
  <c r="Q158" i="69"/>
  <c r="O175" i="57"/>
  <c r="P175" i="57"/>
  <c r="AC156" i="69"/>
  <c r="AD156" i="69" s="1"/>
  <c r="AH112" i="50"/>
  <c r="AI112" i="50" s="1"/>
  <c r="AB157" i="69"/>
  <c r="AG157" i="69"/>
  <c r="AO159" i="69"/>
  <c r="O160" i="69"/>
  <c r="AK115" i="50"/>
  <c r="AE174" i="53"/>
  <c r="AF173" i="53"/>
  <c r="AK105" i="32"/>
  <c r="AK104" i="32"/>
  <c r="AM114" i="50"/>
  <c r="AL101" i="32"/>
  <c r="AI100" i="32"/>
  <c r="AN100" i="32" s="1"/>
  <c r="R174" i="53"/>
  <c r="X174" i="53" s="1"/>
  <c r="AL112" i="50"/>
  <c r="AY158" i="69"/>
  <c r="L175" i="57"/>
  <c r="AH174" i="53"/>
  <c r="AT174" i="53"/>
  <c r="AG174" i="53"/>
  <c r="N175" i="57"/>
  <c r="L175" i="53"/>
  <c r="AH158" i="69"/>
  <c r="AD174" i="53"/>
  <c r="Q174" i="53"/>
  <c r="G175" i="53"/>
  <c r="I175" i="53"/>
  <c r="P175" i="53"/>
  <c r="K175" i="53"/>
  <c r="D175" i="53"/>
  <c r="C175" i="53"/>
  <c r="H175" i="53"/>
  <c r="AK174" i="52" a="1"/>
  <c r="AK174" i="52" s="1"/>
  <c r="B176" i="53" s="1"/>
  <c r="J175" i="53"/>
  <c r="E175" i="53"/>
  <c r="F175" i="53"/>
  <c r="A105" i="32"/>
  <c r="B105" i="32"/>
  <c r="R105" i="32" s="1"/>
  <c r="A104" i="32"/>
  <c r="B104" i="32"/>
  <c r="R104" i="32" s="1"/>
  <c r="B115" i="50"/>
  <c r="R115" i="50" s="1"/>
  <c r="K115" i="50"/>
  <c r="A115" i="50"/>
  <c r="G115" i="50"/>
  <c r="M115" i="50"/>
  <c r="N115" i="50"/>
  <c r="H115" i="50"/>
  <c r="F115" i="50"/>
  <c r="U115" i="50" s="1"/>
  <c r="J115" i="50"/>
  <c r="I115" i="50"/>
  <c r="L115" i="50"/>
  <c r="I105" i="32"/>
  <c r="J105" i="32"/>
  <c r="L105" i="32"/>
  <c r="F105" i="32"/>
  <c r="U105" i="32" s="1"/>
  <c r="N105" i="32"/>
  <c r="H105" i="32"/>
  <c r="K105" i="32"/>
  <c r="G105" i="32"/>
  <c r="M105" i="32"/>
  <c r="K104" i="32"/>
  <c r="L104" i="32"/>
  <c r="F104" i="32"/>
  <c r="U104" i="32" s="1"/>
  <c r="N104" i="32"/>
  <c r="H104" i="32"/>
  <c r="M104" i="32"/>
  <c r="J104" i="32"/>
  <c r="I104" i="32"/>
  <c r="G104" i="32"/>
  <c r="I175" i="57"/>
  <c r="F175" i="57"/>
  <c r="D175" i="57"/>
  <c r="K175" i="57"/>
  <c r="G175" i="57"/>
  <c r="C175" i="57"/>
  <c r="J175" i="57"/>
  <c r="H175" i="57"/>
  <c r="E175" i="57"/>
  <c r="AN174" i="55" a="1"/>
  <c r="AN174" i="55" s="1"/>
  <c r="B176" i="57" s="1"/>
  <c r="AR160" i="67" a="1"/>
  <c r="AR160" i="67" s="1"/>
  <c r="B161" i="69"/>
  <c r="L161" i="69" s="1"/>
  <c r="R158" i="69"/>
  <c r="S158" i="69" s="1"/>
  <c r="Y158" i="69" s="1"/>
  <c r="AE158" i="69"/>
  <c r="D159" i="69"/>
  <c r="E159" i="69" s="1"/>
  <c r="F159" i="69" s="1"/>
  <c r="G159" i="69" s="1"/>
  <c r="H159" i="69" s="1"/>
  <c r="I159" i="69" s="1"/>
  <c r="J159" i="69" s="1"/>
  <c r="K159" i="69" s="1"/>
  <c r="M159" i="69" s="1"/>
  <c r="C160" i="69"/>
  <c r="P160" i="69" s="1"/>
  <c r="AL105" i="11" a="1"/>
  <c r="AL105" i="11" s="1"/>
  <c r="E106" i="32" s="1"/>
  <c r="AP115" i="59" a="1"/>
  <c r="AP115" i="59" s="1"/>
  <c r="E116" i="50" s="1"/>
  <c r="L80" i="29"/>
  <c r="X173" i="57" l="1"/>
  <c r="AA173" i="57" s="1"/>
  <c r="AD103" i="32"/>
  <c r="AG103" i="32" s="1"/>
  <c r="AH103" i="32" s="1"/>
  <c r="AD114" i="50"/>
  <c r="AG114" i="50" s="1"/>
  <c r="AG175" i="57"/>
  <c r="AA172" i="57"/>
  <c r="AF172" i="57"/>
  <c r="M176" i="53"/>
  <c r="AC176" i="53" s="1"/>
  <c r="O176" i="53"/>
  <c r="AP160" i="69"/>
  <c r="N160" i="69"/>
  <c r="U160" i="69" s="1"/>
  <c r="AJ174" i="57"/>
  <c r="AD174" i="57"/>
  <c r="R174" i="57"/>
  <c r="Q174" i="57"/>
  <c r="T174" i="57" s="1"/>
  <c r="AQ174" i="57"/>
  <c r="AC174" i="57"/>
  <c r="AE174" i="57"/>
  <c r="M175" i="57"/>
  <c r="AK175" i="57" s="1"/>
  <c r="Q115" i="50"/>
  <c r="P115" i="50" s="1"/>
  <c r="Q104" i="32"/>
  <c r="P104" i="32" s="1"/>
  <c r="Q105" i="32"/>
  <c r="P105" i="32" s="1"/>
  <c r="N176" i="53"/>
  <c r="T106" i="32"/>
  <c r="O106" i="32"/>
  <c r="T116" i="50"/>
  <c r="O116" i="50"/>
  <c r="AP112" i="50"/>
  <c r="AA174" i="53"/>
  <c r="AB174" i="53"/>
  <c r="AM104" i="32"/>
  <c r="AM105" i="32"/>
  <c r="C114" i="50"/>
  <c r="AJ114" i="50"/>
  <c r="S115" i="50"/>
  <c r="Z115" i="50" s="1"/>
  <c r="W103" i="32"/>
  <c r="X103" i="32" s="1"/>
  <c r="C103" i="32"/>
  <c r="AJ103" i="32"/>
  <c r="S104" i="32"/>
  <c r="AD104" i="32" s="1"/>
  <c r="S105" i="32"/>
  <c r="Z105" i="32" s="1"/>
  <c r="W114" i="50"/>
  <c r="X113" i="50"/>
  <c r="V114" i="50"/>
  <c r="V103" i="32"/>
  <c r="AF159" i="69"/>
  <c r="Q159" i="69"/>
  <c r="O176" i="57"/>
  <c r="P176" i="57"/>
  <c r="AC157" i="69"/>
  <c r="AD157" i="69" s="1"/>
  <c r="AH113" i="50"/>
  <c r="AI113" i="50" s="1"/>
  <c r="AB158" i="69"/>
  <c r="AG158" i="69"/>
  <c r="O161" i="69"/>
  <c r="AO160" i="69"/>
  <c r="AK116" i="50"/>
  <c r="AF174" i="53"/>
  <c r="AE175" i="53"/>
  <c r="AK106" i="32"/>
  <c r="AM115" i="50"/>
  <c r="AL102" i="32"/>
  <c r="AI101" i="32"/>
  <c r="AN101" i="32" s="1"/>
  <c r="R175" i="53"/>
  <c r="X175" i="53" s="1"/>
  <c r="AL113" i="50"/>
  <c r="AY159" i="69"/>
  <c r="L176" i="57"/>
  <c r="AH175" i="53"/>
  <c r="AT175" i="53"/>
  <c r="AG175" i="53"/>
  <c r="N176" i="57"/>
  <c r="I176" i="53"/>
  <c r="AH159" i="69"/>
  <c r="AD175" i="53"/>
  <c r="Q175" i="53"/>
  <c r="L176" i="53"/>
  <c r="D176" i="53"/>
  <c r="AK175" i="52" a="1"/>
  <c r="AK175" i="52" s="1"/>
  <c r="B177" i="53" s="1"/>
  <c r="J176" i="53"/>
  <c r="G176" i="53"/>
  <c r="E176" i="53"/>
  <c r="P176" i="53"/>
  <c r="F176" i="53"/>
  <c r="K176" i="53"/>
  <c r="H176" i="53"/>
  <c r="C176" i="53"/>
  <c r="A106" i="32"/>
  <c r="B106" i="32"/>
  <c r="R106" i="32" s="1"/>
  <c r="F116" i="50"/>
  <c r="U116" i="50" s="1"/>
  <c r="I116" i="50"/>
  <c r="K116" i="50"/>
  <c r="M116" i="50"/>
  <c r="B116" i="50"/>
  <c r="R116" i="50" s="1"/>
  <c r="N116" i="50"/>
  <c r="G116" i="50"/>
  <c r="A116" i="50"/>
  <c r="L116" i="50"/>
  <c r="H116" i="50"/>
  <c r="J116" i="50"/>
  <c r="G106" i="32"/>
  <c r="H106" i="32"/>
  <c r="J106" i="32"/>
  <c r="L106" i="32"/>
  <c r="I106" i="32"/>
  <c r="N106" i="32"/>
  <c r="F106" i="32"/>
  <c r="U106" i="32" s="1"/>
  <c r="K106" i="32"/>
  <c r="M106" i="32"/>
  <c r="D176" i="57"/>
  <c r="C176" i="57"/>
  <c r="K176" i="57"/>
  <c r="J176" i="57"/>
  <c r="H176" i="57"/>
  <c r="F176" i="57"/>
  <c r="I176" i="57"/>
  <c r="E176" i="57"/>
  <c r="G176" i="57"/>
  <c r="AN175" i="55" a="1"/>
  <c r="AN175" i="55" s="1"/>
  <c r="B177" i="57" s="1"/>
  <c r="AR161" i="67" a="1"/>
  <c r="AR161" i="67" s="1"/>
  <c r="B162" i="69"/>
  <c r="L162" i="69" s="1"/>
  <c r="D160" i="69"/>
  <c r="E160" i="69" s="1"/>
  <c r="F160" i="69" s="1"/>
  <c r="G160" i="69" s="1"/>
  <c r="H160" i="69" s="1"/>
  <c r="I160" i="69" s="1"/>
  <c r="J160" i="69" s="1"/>
  <c r="K160" i="69" s="1"/>
  <c r="M160" i="69" s="1"/>
  <c r="C161" i="69"/>
  <c r="P161" i="69" s="1"/>
  <c r="AE159" i="69"/>
  <c r="R159" i="69"/>
  <c r="S159" i="69" s="1"/>
  <c r="Y159" i="69" s="1"/>
  <c r="AL106" i="11" a="1"/>
  <c r="AL106" i="11" s="1"/>
  <c r="E107" i="32" s="1"/>
  <c r="AP116" i="59" a="1"/>
  <c r="AP116" i="59" s="1"/>
  <c r="E117" i="50" s="1"/>
  <c r="X174" i="57" l="1"/>
  <c r="AB174" i="57" s="1"/>
  <c r="AD105" i="32"/>
  <c r="AG105" i="32" s="1"/>
  <c r="AH105" i="32" s="1"/>
  <c r="AD115" i="50"/>
  <c r="AG115" i="50" s="1"/>
  <c r="AG176" i="57"/>
  <c r="AF173" i="57"/>
  <c r="AB173" i="57"/>
  <c r="M177" i="53"/>
  <c r="AC177" i="53" s="1"/>
  <c r="O177" i="53"/>
  <c r="AP161" i="69"/>
  <c r="N161" i="69"/>
  <c r="U161" i="69" s="1"/>
  <c r="Q175" i="57"/>
  <c r="T175" i="57" s="1"/>
  <c r="AQ175" i="57"/>
  <c r="AD175" i="57"/>
  <c r="AJ175" i="57"/>
  <c r="R175" i="57"/>
  <c r="AE175" i="57"/>
  <c r="AC175" i="57"/>
  <c r="M176" i="57"/>
  <c r="AK176" i="57" s="1"/>
  <c r="Q116" i="50"/>
  <c r="P116" i="50" s="1"/>
  <c r="Q106" i="32"/>
  <c r="P106" i="32" s="1"/>
  <c r="N177" i="53"/>
  <c r="T107" i="32"/>
  <c r="O107" i="32"/>
  <c r="T117" i="50"/>
  <c r="O117" i="50"/>
  <c r="AA175" i="53"/>
  <c r="AB175" i="53"/>
  <c r="AP113" i="50"/>
  <c r="C104" i="32"/>
  <c r="Z104" i="32"/>
  <c r="AM106" i="32"/>
  <c r="C115" i="50"/>
  <c r="AJ115" i="50"/>
  <c r="S116" i="50"/>
  <c r="Z116" i="50" s="1"/>
  <c r="AJ104" i="32"/>
  <c r="W105" i="32"/>
  <c r="X105" i="32" s="1"/>
  <c r="C105" i="32"/>
  <c r="AJ105" i="32"/>
  <c r="S106" i="32"/>
  <c r="AD106" i="32" s="1"/>
  <c r="W115" i="50"/>
  <c r="W104" i="32"/>
  <c r="X104" i="32" s="1"/>
  <c r="X114" i="50"/>
  <c r="V115" i="50"/>
  <c r="V105" i="32"/>
  <c r="AF160" i="69"/>
  <c r="Q160" i="69"/>
  <c r="O177" i="57"/>
  <c r="P177" i="57"/>
  <c r="AC158" i="69"/>
  <c r="AD158" i="69" s="1"/>
  <c r="AH114" i="50"/>
  <c r="AI114" i="50" s="1"/>
  <c r="AB159" i="69"/>
  <c r="AG159" i="69"/>
  <c r="AO161" i="69"/>
  <c r="O162" i="69"/>
  <c r="AK117" i="50"/>
  <c r="AF175" i="53"/>
  <c r="AE176" i="53"/>
  <c r="AK107" i="32"/>
  <c r="AG104" i="32"/>
  <c r="AH104" i="32" s="1"/>
  <c r="AM116" i="50"/>
  <c r="AI102" i="32"/>
  <c r="AN102" i="32" s="1"/>
  <c r="R176" i="53"/>
  <c r="X176" i="53" s="1"/>
  <c r="AL114" i="50"/>
  <c r="AY160" i="69"/>
  <c r="L177" i="57"/>
  <c r="AH176" i="53"/>
  <c r="AT176" i="53"/>
  <c r="AG176" i="53"/>
  <c r="N177" i="57"/>
  <c r="AH160" i="69"/>
  <c r="V104" i="32"/>
  <c r="AD176" i="53"/>
  <c r="Q176" i="53"/>
  <c r="AK176" i="52" a="1"/>
  <c r="AK176" i="52" s="1"/>
  <c r="B178" i="53" s="1"/>
  <c r="E177" i="53"/>
  <c r="C177" i="53"/>
  <c r="P177" i="53"/>
  <c r="D177" i="53"/>
  <c r="I177" i="53"/>
  <c r="K177" i="53"/>
  <c r="H177" i="53"/>
  <c r="L177" i="53"/>
  <c r="J177" i="53"/>
  <c r="G177" i="53"/>
  <c r="F177" i="53"/>
  <c r="A107" i="32"/>
  <c r="B107" i="32"/>
  <c r="R107" i="32" s="1"/>
  <c r="J117" i="50"/>
  <c r="G117" i="50"/>
  <c r="N117" i="50"/>
  <c r="M117" i="50"/>
  <c r="B117" i="50"/>
  <c r="R117" i="50" s="1"/>
  <c r="H117" i="50"/>
  <c r="F117" i="50"/>
  <c r="U117" i="50" s="1"/>
  <c r="I117" i="50"/>
  <c r="L117" i="50"/>
  <c r="K117" i="50"/>
  <c r="A117" i="50"/>
  <c r="M107" i="32"/>
  <c r="F107" i="32"/>
  <c r="U107" i="32" s="1"/>
  <c r="N107" i="32"/>
  <c r="H107" i="32"/>
  <c r="J107" i="32"/>
  <c r="G107" i="32"/>
  <c r="L107" i="32"/>
  <c r="K107" i="32"/>
  <c r="I107" i="32"/>
  <c r="J177" i="57"/>
  <c r="H177" i="57"/>
  <c r="E177" i="57"/>
  <c r="K177" i="57"/>
  <c r="G177" i="57"/>
  <c r="C177" i="57"/>
  <c r="F177" i="57"/>
  <c r="I177" i="57"/>
  <c r="D177" i="57"/>
  <c r="AN176" i="55" a="1"/>
  <c r="AN176" i="55" s="1"/>
  <c r="B178" i="57" s="1"/>
  <c r="AR162" i="67" a="1"/>
  <c r="AR162" i="67" s="1"/>
  <c r="B163" i="69"/>
  <c r="L163" i="69" s="1"/>
  <c r="AE160" i="69"/>
  <c r="R160" i="69"/>
  <c r="S160" i="69" s="1"/>
  <c r="Y160" i="69" s="1"/>
  <c r="D161" i="69"/>
  <c r="E161" i="69" s="1"/>
  <c r="F161" i="69" s="1"/>
  <c r="G161" i="69" s="1"/>
  <c r="H161" i="69" s="1"/>
  <c r="I161" i="69" s="1"/>
  <c r="J161" i="69" s="1"/>
  <c r="K161" i="69" s="1"/>
  <c r="M161" i="69" s="1"/>
  <c r="C162" i="69"/>
  <c r="P162" i="69" s="1"/>
  <c r="AL107" i="11" a="1"/>
  <c r="AL107" i="11" s="1"/>
  <c r="E108" i="32" s="1"/>
  <c r="AP117" i="59" a="1"/>
  <c r="AP117" i="59" s="1"/>
  <c r="E118" i="50" s="1"/>
  <c r="AD116" i="50" l="1"/>
  <c r="AG116" i="50" s="1"/>
  <c r="X175" i="57"/>
  <c r="AB175" i="57" s="1"/>
  <c r="AG177" i="57"/>
  <c r="AF174" i="57"/>
  <c r="AA174" i="57"/>
  <c r="M178" i="53"/>
  <c r="AC178" i="53" s="1"/>
  <c r="O178" i="53"/>
  <c r="AP162" i="69"/>
  <c r="N162" i="69"/>
  <c r="U162" i="69" s="1"/>
  <c r="AQ176" i="57"/>
  <c r="AD176" i="57"/>
  <c r="AJ176" i="57"/>
  <c r="Q176" i="57"/>
  <c r="T176" i="57" s="1"/>
  <c r="R176" i="57"/>
  <c r="AC176" i="57"/>
  <c r="AE176" i="57"/>
  <c r="M177" i="57"/>
  <c r="AK177" i="57" s="1"/>
  <c r="Q117" i="50"/>
  <c r="P117" i="50" s="1"/>
  <c r="Q107" i="32"/>
  <c r="P107" i="32" s="1"/>
  <c r="N178" i="53"/>
  <c r="T108" i="32"/>
  <c r="O108" i="32"/>
  <c r="T118" i="50"/>
  <c r="O118" i="50"/>
  <c r="AA176" i="53"/>
  <c r="AB176" i="53"/>
  <c r="AP114" i="50"/>
  <c r="C106" i="32"/>
  <c r="Z106" i="32"/>
  <c r="AM107" i="32"/>
  <c r="C116" i="50"/>
  <c r="AJ116" i="50"/>
  <c r="S117" i="50"/>
  <c r="Z117" i="50" s="1"/>
  <c r="S107" i="32"/>
  <c r="Z107" i="32" s="1"/>
  <c r="W106" i="32"/>
  <c r="X106" i="32" s="1"/>
  <c r="AJ106" i="32"/>
  <c r="W116" i="50"/>
  <c r="X115" i="50"/>
  <c r="V116" i="50"/>
  <c r="V106" i="32"/>
  <c r="AF161" i="69"/>
  <c r="Q161" i="69"/>
  <c r="O178" i="57"/>
  <c r="P178" i="57"/>
  <c r="AC159" i="69"/>
  <c r="AD159" i="69" s="1"/>
  <c r="AH115" i="50"/>
  <c r="AI115" i="50" s="1"/>
  <c r="AB160" i="69"/>
  <c r="AG160" i="69"/>
  <c r="AO162" i="69"/>
  <c r="O163" i="69"/>
  <c r="AK118" i="50"/>
  <c r="AE177" i="53"/>
  <c r="AF176" i="53"/>
  <c r="AK108" i="32"/>
  <c r="AG106" i="32"/>
  <c r="AH106" i="32" s="1"/>
  <c r="AM117" i="50"/>
  <c r="AL103" i="32"/>
  <c r="R177" i="53"/>
  <c r="X177" i="53" s="1"/>
  <c r="AL115" i="50"/>
  <c r="AY161" i="69"/>
  <c r="L178" i="57"/>
  <c r="AG177" i="53"/>
  <c r="AH177" i="53"/>
  <c r="AT177" i="53"/>
  <c r="N178" i="57"/>
  <c r="K178" i="53"/>
  <c r="AH161" i="69"/>
  <c r="AD177" i="53"/>
  <c r="Q177" i="53"/>
  <c r="AK177" i="52" a="1"/>
  <c r="AK177" i="52" s="1"/>
  <c r="B179" i="53" s="1"/>
  <c r="F178" i="53"/>
  <c r="D178" i="53"/>
  <c r="C178" i="53"/>
  <c r="J178" i="53"/>
  <c r="E178" i="53"/>
  <c r="G178" i="53"/>
  <c r="I178" i="53"/>
  <c r="H178" i="53"/>
  <c r="P178" i="53"/>
  <c r="L178" i="53"/>
  <c r="A108" i="32"/>
  <c r="B108" i="32"/>
  <c r="R108" i="32" s="1"/>
  <c r="I118" i="50"/>
  <c r="M118" i="50"/>
  <c r="L118" i="50"/>
  <c r="H118" i="50"/>
  <c r="J118" i="50"/>
  <c r="A118" i="50"/>
  <c r="B118" i="50"/>
  <c r="R118" i="50" s="1"/>
  <c r="N118" i="50"/>
  <c r="K118" i="50"/>
  <c r="G118" i="50"/>
  <c r="F118" i="50"/>
  <c r="U118" i="50" s="1"/>
  <c r="K108" i="32"/>
  <c r="L108" i="32"/>
  <c r="F108" i="32"/>
  <c r="U108" i="32" s="1"/>
  <c r="N108" i="32"/>
  <c r="H108" i="32"/>
  <c r="J108" i="32"/>
  <c r="M108" i="32"/>
  <c r="G108" i="32"/>
  <c r="I108" i="32"/>
  <c r="D178" i="57"/>
  <c r="J178" i="57"/>
  <c r="K178" i="57"/>
  <c r="F178" i="57"/>
  <c r="I178" i="57"/>
  <c r="E178" i="57"/>
  <c r="H178" i="57"/>
  <c r="C178" i="57"/>
  <c r="G178" i="57"/>
  <c r="AN177" i="55" a="1"/>
  <c r="AN177" i="55" s="1"/>
  <c r="B179" i="57" s="1"/>
  <c r="R161" i="69"/>
  <c r="S161" i="69" s="1"/>
  <c r="Y161" i="69" s="1"/>
  <c r="AE161" i="69"/>
  <c r="C163" i="69"/>
  <c r="P163" i="69" s="1"/>
  <c r="D162" i="69"/>
  <c r="E162" i="69" s="1"/>
  <c r="F162" i="69" s="1"/>
  <c r="G162" i="69" s="1"/>
  <c r="H162" i="69" s="1"/>
  <c r="I162" i="69" s="1"/>
  <c r="J162" i="69" s="1"/>
  <c r="K162" i="69" s="1"/>
  <c r="M162" i="69" s="1"/>
  <c r="AR163" i="67" a="1"/>
  <c r="AR163" i="67" s="1"/>
  <c r="B164" i="69"/>
  <c r="L164" i="69" s="1"/>
  <c r="AL108" i="11" a="1"/>
  <c r="AL108" i="11" s="1"/>
  <c r="E109" i="32" s="1"/>
  <c r="AP118" i="59" a="1"/>
  <c r="AP118" i="59" s="1"/>
  <c r="E119" i="50" s="1"/>
  <c r="AD107" i="32" l="1"/>
  <c r="AG107" i="32" s="1"/>
  <c r="AH107" i="32" s="1"/>
  <c r="AD117" i="50"/>
  <c r="AG117" i="50" s="1"/>
  <c r="X176" i="57"/>
  <c r="AB176" i="57" s="1"/>
  <c r="AG178" i="57"/>
  <c r="AA175" i="57"/>
  <c r="AF175" i="57"/>
  <c r="M179" i="53"/>
  <c r="AC179" i="53" s="1"/>
  <c r="O179" i="53"/>
  <c r="AP163" i="69"/>
  <c r="N163" i="69"/>
  <c r="U163" i="69" s="1"/>
  <c r="Q177" i="57"/>
  <c r="T177" i="57" s="1"/>
  <c r="AQ177" i="57"/>
  <c r="AD177" i="57"/>
  <c r="AJ177" i="57"/>
  <c r="R177" i="57"/>
  <c r="AC177" i="57"/>
  <c r="AE177" i="57"/>
  <c r="M178" i="57"/>
  <c r="AK178" i="57" s="1"/>
  <c r="Q118" i="50"/>
  <c r="P118" i="50" s="1"/>
  <c r="Q108" i="32"/>
  <c r="P108" i="32" s="1"/>
  <c r="N179" i="53"/>
  <c r="T109" i="32"/>
  <c r="O109" i="32"/>
  <c r="T119" i="50"/>
  <c r="O119" i="50"/>
  <c r="AA177" i="53"/>
  <c r="AB177" i="53"/>
  <c r="AP115" i="50"/>
  <c r="AM108" i="32"/>
  <c r="AJ117" i="50"/>
  <c r="C117" i="50"/>
  <c r="S118" i="50"/>
  <c r="Z118" i="50" s="1"/>
  <c r="AJ107" i="32"/>
  <c r="W107" i="32"/>
  <c r="X107" i="32" s="1"/>
  <c r="C107" i="32"/>
  <c r="S108" i="32"/>
  <c r="Z108" i="32" s="1"/>
  <c r="W117" i="50"/>
  <c r="X116" i="50"/>
  <c r="V117" i="50"/>
  <c r="V107" i="32"/>
  <c r="AF162" i="69"/>
  <c r="Q162" i="69"/>
  <c r="O179" i="57"/>
  <c r="P179" i="57"/>
  <c r="AC160" i="69"/>
  <c r="AD160" i="69" s="1"/>
  <c r="AH116" i="50"/>
  <c r="AI116" i="50" s="1"/>
  <c r="AB161" i="69"/>
  <c r="AG161" i="69"/>
  <c r="AO163" i="69"/>
  <c r="O164" i="69"/>
  <c r="AK119" i="50"/>
  <c r="AF177" i="53"/>
  <c r="AE178" i="53"/>
  <c r="AK109" i="32"/>
  <c r="AM118" i="50"/>
  <c r="AL104" i="32"/>
  <c r="AL105" i="32"/>
  <c r="AI103" i="32"/>
  <c r="AN103" i="32" s="1"/>
  <c r="R178" i="53"/>
  <c r="X178" i="53" s="1"/>
  <c r="AL116" i="50"/>
  <c r="AY162" i="69"/>
  <c r="L179" i="57"/>
  <c r="AH178" i="53"/>
  <c r="AT178" i="53"/>
  <c r="AG178" i="53"/>
  <c r="N179" i="57"/>
  <c r="D179" i="53"/>
  <c r="AH162" i="69"/>
  <c r="AD178" i="53"/>
  <c r="Q178" i="53"/>
  <c r="AK178" i="52" a="1"/>
  <c r="AK178" i="52" s="1"/>
  <c r="B180" i="53" s="1"/>
  <c r="C179" i="53"/>
  <c r="P179" i="53"/>
  <c r="J179" i="53"/>
  <c r="H179" i="53"/>
  <c r="G179" i="53"/>
  <c r="E179" i="53"/>
  <c r="F179" i="53"/>
  <c r="K179" i="53"/>
  <c r="I179" i="53"/>
  <c r="L179" i="53"/>
  <c r="A109" i="32"/>
  <c r="B109" i="32"/>
  <c r="R109" i="32" s="1"/>
  <c r="J119" i="50"/>
  <c r="F119" i="50"/>
  <c r="U119" i="50" s="1"/>
  <c r="G119" i="50"/>
  <c r="M119" i="50"/>
  <c r="A119" i="50"/>
  <c r="N119" i="50"/>
  <c r="B119" i="50"/>
  <c r="R119" i="50" s="1"/>
  <c r="L119" i="50"/>
  <c r="I119" i="50"/>
  <c r="K119" i="50"/>
  <c r="H119" i="50"/>
  <c r="I109" i="32"/>
  <c r="J109" i="32"/>
  <c r="L109" i="32"/>
  <c r="F109" i="32"/>
  <c r="U109" i="32" s="1"/>
  <c r="N109" i="32"/>
  <c r="K109" i="32"/>
  <c r="H109" i="32"/>
  <c r="G109" i="32"/>
  <c r="M109" i="32"/>
  <c r="J179" i="57"/>
  <c r="I179" i="57"/>
  <c r="F179" i="57"/>
  <c r="D179" i="57"/>
  <c r="E179" i="57"/>
  <c r="H179" i="57"/>
  <c r="G179" i="57"/>
  <c r="K179" i="57"/>
  <c r="C179" i="57"/>
  <c r="AN178" i="55" a="1"/>
  <c r="AN178" i="55" s="1"/>
  <c r="B180" i="57" s="1"/>
  <c r="R162" i="69"/>
  <c r="S162" i="69" s="1"/>
  <c r="Y162" i="69" s="1"/>
  <c r="AE162" i="69"/>
  <c r="D163" i="69"/>
  <c r="E163" i="69" s="1"/>
  <c r="F163" i="69" s="1"/>
  <c r="G163" i="69" s="1"/>
  <c r="H163" i="69" s="1"/>
  <c r="I163" i="69" s="1"/>
  <c r="J163" i="69" s="1"/>
  <c r="K163" i="69" s="1"/>
  <c r="M163" i="69" s="1"/>
  <c r="C164" i="69"/>
  <c r="P164" i="69" s="1"/>
  <c r="AR164" i="67" a="1"/>
  <c r="AR164" i="67" s="1"/>
  <c r="B165" i="69"/>
  <c r="L165" i="69" s="1"/>
  <c r="AL109" i="11" a="1"/>
  <c r="AL109" i="11" s="1"/>
  <c r="AP119" i="59" a="1"/>
  <c r="AP119" i="59" s="1"/>
  <c r="E120" i="50" s="1"/>
  <c r="L12" i="50"/>
  <c r="AD108" i="32" l="1"/>
  <c r="AG108" i="32" s="1"/>
  <c r="AH108" i="32" s="1"/>
  <c r="AD118" i="50"/>
  <c r="AG118" i="50" s="1"/>
  <c r="X177" i="57"/>
  <c r="AB177" i="57" s="1"/>
  <c r="AG179" i="57"/>
  <c r="AA176" i="57"/>
  <c r="AF176" i="57"/>
  <c r="M180" i="53"/>
  <c r="AC180" i="53" s="1"/>
  <c r="O180" i="53"/>
  <c r="AP164" i="69"/>
  <c r="N164" i="69"/>
  <c r="U164" i="69" s="1"/>
  <c r="Q178" i="57"/>
  <c r="T178" i="57" s="1"/>
  <c r="AJ178" i="57"/>
  <c r="AD178" i="57"/>
  <c r="AQ178" i="57"/>
  <c r="AC178" i="57"/>
  <c r="R178" i="57"/>
  <c r="AE178" i="57"/>
  <c r="M179" i="57"/>
  <c r="AK179" i="57" s="1"/>
  <c r="Q119" i="50"/>
  <c r="P119" i="50" s="1"/>
  <c r="Q109" i="32"/>
  <c r="P109" i="32" s="1"/>
  <c r="N180" i="53"/>
  <c r="T120" i="50"/>
  <c r="O120" i="50"/>
  <c r="AA178" i="53"/>
  <c r="AB178" i="53"/>
  <c r="AP116" i="50"/>
  <c r="AM109" i="32"/>
  <c r="C118" i="50"/>
  <c r="AJ118" i="50"/>
  <c r="S119" i="50"/>
  <c r="Z119" i="50" s="1"/>
  <c r="C108" i="32"/>
  <c r="AJ108" i="32"/>
  <c r="S109" i="32"/>
  <c r="Z109" i="32" s="1"/>
  <c r="W118" i="50"/>
  <c r="W108" i="32"/>
  <c r="X108" i="32" s="1"/>
  <c r="X117" i="50"/>
  <c r="V118" i="50"/>
  <c r="AF163" i="69"/>
  <c r="Q163" i="69"/>
  <c r="O180" i="57"/>
  <c r="P180" i="57"/>
  <c r="AC161" i="69"/>
  <c r="AD161" i="69" s="1"/>
  <c r="AH117" i="50"/>
  <c r="AI117" i="50" s="1"/>
  <c r="AB162" i="69"/>
  <c r="AG162" i="69"/>
  <c r="AO164" i="69"/>
  <c r="O165" i="69"/>
  <c r="AK120" i="50"/>
  <c r="AE179" i="53"/>
  <c r="AF178" i="53"/>
  <c r="AM119" i="50"/>
  <c r="AL106" i="32"/>
  <c r="AI104" i="32"/>
  <c r="AN104" i="32" s="1"/>
  <c r="R179" i="53"/>
  <c r="X179" i="53" s="1"/>
  <c r="AL117" i="50"/>
  <c r="V108" i="32"/>
  <c r="AI105" i="32"/>
  <c r="AN105" i="32" s="1"/>
  <c r="M12" i="50"/>
  <c r="AY163" i="69"/>
  <c r="L180" i="57"/>
  <c r="AG179" i="53"/>
  <c r="AH179" i="53"/>
  <c r="AT179" i="53"/>
  <c r="N180" i="57"/>
  <c r="AH163" i="69"/>
  <c r="AD179" i="53"/>
  <c r="Q179" i="53"/>
  <c r="P180" i="53"/>
  <c r="C180" i="53"/>
  <c r="L180" i="53"/>
  <c r="J180" i="53"/>
  <c r="E180" i="53"/>
  <c r="H180" i="53"/>
  <c r="I180" i="53"/>
  <c r="K180" i="53"/>
  <c r="AK179" i="52" a="1"/>
  <c r="AK179" i="52" s="1"/>
  <c r="B181" i="53" s="1"/>
  <c r="F180" i="53"/>
  <c r="D180" i="53"/>
  <c r="G180" i="53"/>
  <c r="I120" i="50"/>
  <c r="M120" i="50"/>
  <c r="G120" i="50"/>
  <c r="H120" i="50"/>
  <c r="J120" i="50"/>
  <c r="A120" i="50"/>
  <c r="K120" i="50"/>
  <c r="N120" i="50"/>
  <c r="B120" i="50"/>
  <c r="R120" i="50" s="1"/>
  <c r="L120" i="50"/>
  <c r="F120" i="50"/>
  <c r="U120" i="50" s="1"/>
  <c r="F180" i="57"/>
  <c r="C180" i="57"/>
  <c r="K180" i="57"/>
  <c r="H180" i="57"/>
  <c r="G180" i="57"/>
  <c r="D180" i="57"/>
  <c r="J180" i="57"/>
  <c r="I180" i="57"/>
  <c r="E180" i="57"/>
  <c r="E110" i="32"/>
  <c r="AN179" i="55" a="1"/>
  <c r="AN179" i="55" s="1"/>
  <c r="B181" i="57" s="1"/>
  <c r="D164" i="69"/>
  <c r="E164" i="69" s="1"/>
  <c r="F164" i="69" s="1"/>
  <c r="G164" i="69" s="1"/>
  <c r="H164" i="69" s="1"/>
  <c r="I164" i="69" s="1"/>
  <c r="J164" i="69" s="1"/>
  <c r="K164" i="69" s="1"/>
  <c r="M164" i="69" s="1"/>
  <c r="AE163" i="69"/>
  <c r="R163" i="69"/>
  <c r="S163" i="69" s="1"/>
  <c r="C165" i="69"/>
  <c r="P165" i="69" s="1"/>
  <c r="AR165" i="67" a="1"/>
  <c r="AR165" i="67" s="1"/>
  <c r="B166" i="69"/>
  <c r="L166" i="69" s="1"/>
  <c r="AL110" i="11" a="1"/>
  <c r="AL110" i="11" s="1"/>
  <c r="E111" i="32" s="1"/>
  <c r="J11" i="59"/>
  <c r="AP120" i="59" a="1"/>
  <c r="AP120" i="59" s="1"/>
  <c r="E121" i="50" s="1"/>
  <c r="AL12" i="59"/>
  <c r="AL13" i="59"/>
  <c r="AL21" i="59"/>
  <c r="AL29" i="59"/>
  <c r="AL37" i="59"/>
  <c r="AL45" i="59"/>
  <c r="AL53" i="59"/>
  <c r="AL61" i="59"/>
  <c r="AL69" i="59"/>
  <c r="AL76" i="59"/>
  <c r="AL84" i="59"/>
  <c r="AL92" i="59"/>
  <c r="AL100" i="59"/>
  <c r="AL108" i="59"/>
  <c r="AL116" i="59"/>
  <c r="AL124" i="59"/>
  <c r="AL132" i="59"/>
  <c r="AL140" i="59"/>
  <c r="AL148" i="59"/>
  <c r="AL156" i="59"/>
  <c r="AL164" i="59"/>
  <c r="AL172" i="59"/>
  <c r="AL180" i="59"/>
  <c r="AL188" i="59"/>
  <c r="AL196" i="59"/>
  <c r="AL204" i="59"/>
  <c r="AL212" i="59"/>
  <c r="AL220" i="59"/>
  <c r="AL228" i="59"/>
  <c r="AL236" i="59"/>
  <c r="AL244" i="59"/>
  <c r="AL252" i="59"/>
  <c r="AL20" i="59"/>
  <c r="AL28" i="59"/>
  <c r="AL36" i="59"/>
  <c r="AL44" i="59"/>
  <c r="AL52" i="59"/>
  <c r="AL60" i="59"/>
  <c r="AL68" i="59"/>
  <c r="AL83" i="59"/>
  <c r="AL91" i="59"/>
  <c r="AL99" i="59"/>
  <c r="AL107" i="59"/>
  <c r="AL115" i="59"/>
  <c r="AL123" i="59"/>
  <c r="AL131" i="59"/>
  <c r="AL139" i="59"/>
  <c r="AL147" i="59"/>
  <c r="AL155" i="59"/>
  <c r="AL163" i="59"/>
  <c r="AL171" i="59"/>
  <c r="AL179" i="59"/>
  <c r="AL187" i="59"/>
  <c r="AL195" i="59"/>
  <c r="AL203" i="59"/>
  <c r="AL211" i="59"/>
  <c r="AL219" i="59"/>
  <c r="AL227" i="59"/>
  <c r="AL235" i="59"/>
  <c r="AL243" i="59"/>
  <c r="AL251" i="59"/>
  <c r="AL19" i="59"/>
  <c r="AL27" i="59"/>
  <c r="AL35" i="59"/>
  <c r="AL43" i="59"/>
  <c r="AL51" i="59"/>
  <c r="AL59" i="59"/>
  <c r="AL67" i="59"/>
  <c r="AL75" i="59"/>
  <c r="AL82" i="59"/>
  <c r="AL90" i="59"/>
  <c r="AL98" i="59"/>
  <c r="AL106" i="59"/>
  <c r="AL114" i="59"/>
  <c r="AL122" i="59"/>
  <c r="AL130" i="59"/>
  <c r="AL138" i="59"/>
  <c r="AL146" i="59"/>
  <c r="AL154" i="59"/>
  <c r="AL162" i="59"/>
  <c r="AL170" i="59"/>
  <c r="AL178" i="59"/>
  <c r="AL186" i="59"/>
  <c r="AL194" i="59"/>
  <c r="AL202" i="59"/>
  <c r="AL210" i="59"/>
  <c r="AL218" i="59"/>
  <c r="AL226" i="59"/>
  <c r="AL234" i="59"/>
  <c r="AL242" i="59"/>
  <c r="AL250" i="59"/>
  <c r="AL258" i="59"/>
  <c r="AL18" i="59"/>
  <c r="AL26" i="59"/>
  <c r="AL34" i="59"/>
  <c r="AL42" i="59"/>
  <c r="AL50" i="59"/>
  <c r="AL58" i="59"/>
  <c r="AL66" i="59"/>
  <c r="AL74" i="59"/>
  <c r="AL81" i="59"/>
  <c r="AL89" i="59"/>
  <c r="AL97" i="59"/>
  <c r="AL105" i="59"/>
  <c r="AL113" i="59"/>
  <c r="AL121" i="59"/>
  <c r="AL129" i="59"/>
  <c r="AL137" i="59"/>
  <c r="AL145" i="59"/>
  <c r="AL153" i="59"/>
  <c r="AL161" i="59"/>
  <c r="AL169" i="59"/>
  <c r="AL177" i="59"/>
  <c r="AL185" i="59"/>
  <c r="AL193" i="59"/>
  <c r="AL201" i="59"/>
  <c r="AL209" i="59"/>
  <c r="AL217" i="59"/>
  <c r="AL225" i="59"/>
  <c r="AL233" i="59"/>
  <c r="AL241" i="59"/>
  <c r="AL249" i="59"/>
  <c r="AL257" i="59"/>
  <c r="AL17" i="59"/>
  <c r="AL25" i="59"/>
  <c r="AL33" i="59"/>
  <c r="AL41" i="59"/>
  <c r="AL49" i="59"/>
  <c r="AL57" i="59"/>
  <c r="AL65" i="59"/>
  <c r="AL73" i="59"/>
  <c r="AL80" i="59"/>
  <c r="AL88" i="59"/>
  <c r="AL96" i="59"/>
  <c r="AL104" i="59"/>
  <c r="AL112" i="59"/>
  <c r="AL120" i="59"/>
  <c r="AL128" i="59"/>
  <c r="AL136" i="59"/>
  <c r="AL144" i="59"/>
  <c r="AL152" i="59"/>
  <c r="AL160" i="59"/>
  <c r="AL168" i="59"/>
  <c r="AL176" i="59"/>
  <c r="AL184" i="59"/>
  <c r="AL192" i="59"/>
  <c r="AL200" i="59"/>
  <c r="AL208" i="59"/>
  <c r="AL216" i="59"/>
  <c r="AL224" i="59"/>
  <c r="AL232" i="59"/>
  <c r="AL240" i="59"/>
  <c r="AL248" i="59"/>
  <c r="AL256" i="59"/>
  <c r="AL16" i="59"/>
  <c r="AL24" i="59"/>
  <c r="AL32" i="59"/>
  <c r="AL40" i="59"/>
  <c r="AL48" i="59"/>
  <c r="AL56" i="59"/>
  <c r="AL64" i="59"/>
  <c r="AL72" i="59"/>
  <c r="AL79" i="59"/>
  <c r="AL87" i="59"/>
  <c r="AL95" i="59"/>
  <c r="AL103" i="59"/>
  <c r="AL111" i="59"/>
  <c r="AL119" i="59"/>
  <c r="AL127" i="59"/>
  <c r="AL135" i="59"/>
  <c r="AL143" i="59"/>
  <c r="AL151" i="59"/>
  <c r="AL159" i="59"/>
  <c r="AL167" i="59"/>
  <c r="AL175" i="59"/>
  <c r="AL183" i="59"/>
  <c r="AL191" i="59"/>
  <c r="AL199" i="59"/>
  <c r="AL207" i="59"/>
  <c r="AL215" i="59"/>
  <c r="AL223" i="59"/>
  <c r="AL231" i="59"/>
  <c r="AL239" i="59"/>
  <c r="AL247" i="59"/>
  <c r="AL255" i="59"/>
  <c r="AL15" i="59"/>
  <c r="AL23" i="59"/>
  <c r="AL31" i="59"/>
  <c r="AL39" i="59"/>
  <c r="AL47" i="59"/>
  <c r="AL55" i="59"/>
  <c r="AL63" i="59"/>
  <c r="AL71" i="59"/>
  <c r="AL78" i="59"/>
  <c r="AL86" i="59"/>
  <c r="AL94" i="59"/>
  <c r="AL102" i="59"/>
  <c r="AL110" i="59"/>
  <c r="AL118" i="59"/>
  <c r="AL126" i="59"/>
  <c r="AL134" i="59"/>
  <c r="AL142" i="59"/>
  <c r="AL150" i="59"/>
  <c r="AL158" i="59"/>
  <c r="AL166" i="59"/>
  <c r="AL174" i="59"/>
  <c r="AL182" i="59"/>
  <c r="AL190" i="59"/>
  <c r="AL198" i="59"/>
  <c r="AL206" i="59"/>
  <c r="AL214" i="59"/>
  <c r="AL222" i="59"/>
  <c r="AL230" i="59"/>
  <c r="AL238" i="59"/>
  <c r="AL246" i="59"/>
  <c r="AL254" i="59"/>
  <c r="AL14" i="59"/>
  <c r="AL22" i="59"/>
  <c r="AL30" i="59"/>
  <c r="AL38" i="59"/>
  <c r="AL46" i="59"/>
  <c r="AL54" i="59"/>
  <c r="AL62" i="59"/>
  <c r="AL70" i="59"/>
  <c r="AL77" i="59"/>
  <c r="AL85" i="59"/>
  <c r="AL93" i="59"/>
  <c r="AL101" i="59"/>
  <c r="AL109" i="59"/>
  <c r="AL117" i="59"/>
  <c r="AL125" i="59"/>
  <c r="AL133" i="59"/>
  <c r="AL141" i="59"/>
  <c r="AL149" i="59"/>
  <c r="AL157" i="59"/>
  <c r="AL165" i="59"/>
  <c r="AL173" i="59"/>
  <c r="AL181" i="59"/>
  <c r="AL189" i="59"/>
  <c r="AL197" i="59"/>
  <c r="AL205" i="59"/>
  <c r="AL213" i="59"/>
  <c r="AL221" i="59"/>
  <c r="AL229" i="59"/>
  <c r="AL237" i="59"/>
  <c r="AL245" i="59"/>
  <c r="AL253" i="59"/>
  <c r="AY11" i="59" l="1"/>
  <c r="AY259" i="59" s="1" a="1"/>
  <c r="AY259" i="59" s="1"/>
  <c r="X11" i="59"/>
  <c r="Y163" i="69"/>
  <c r="AB163" i="69" s="1"/>
  <c r="AC163" i="69" s="1"/>
  <c r="AD163" i="69" s="1"/>
  <c r="AD109" i="32"/>
  <c r="AG109" i="32" s="1"/>
  <c r="AH109" i="32" s="1"/>
  <c r="AD119" i="50"/>
  <c r="AG119" i="50" s="1"/>
  <c r="X178" i="57"/>
  <c r="AA178" i="57" s="1"/>
  <c r="AG180" i="57"/>
  <c r="AF177" i="57"/>
  <c r="AA177" i="57"/>
  <c r="M181" i="53"/>
  <c r="AC181" i="53" s="1"/>
  <c r="O181" i="53"/>
  <c r="AP165" i="69"/>
  <c r="N165" i="69"/>
  <c r="U165" i="69" s="1"/>
  <c r="AJ179" i="57"/>
  <c r="AD179" i="57"/>
  <c r="AC179" i="57"/>
  <c r="AQ179" i="57"/>
  <c r="Q179" i="57"/>
  <c r="T179" i="57" s="1"/>
  <c r="AE179" i="57"/>
  <c r="R179" i="57"/>
  <c r="M180" i="57"/>
  <c r="AK180" i="57" s="1"/>
  <c r="Q120" i="50"/>
  <c r="P120" i="50" s="1"/>
  <c r="N181" i="53"/>
  <c r="T111" i="32"/>
  <c r="O111" i="32"/>
  <c r="T110" i="32"/>
  <c r="O110" i="32"/>
  <c r="O121" i="50"/>
  <c r="T121" i="50"/>
  <c r="AA179" i="53"/>
  <c r="AB179" i="53"/>
  <c r="AP117" i="50"/>
  <c r="AJ119" i="50"/>
  <c r="C119" i="50"/>
  <c r="S120" i="50"/>
  <c r="Z120" i="50" s="1"/>
  <c r="AJ109" i="32"/>
  <c r="W109" i="32"/>
  <c r="X109" i="32" s="1"/>
  <c r="C109" i="32"/>
  <c r="W119" i="50"/>
  <c r="X118" i="50"/>
  <c r="V119" i="50"/>
  <c r="V109" i="32"/>
  <c r="AQ11" i="59" a="1"/>
  <c r="AQ11" i="59" s="1"/>
  <c r="Y11" i="59"/>
  <c r="AH11" i="59"/>
  <c r="AF164" i="69"/>
  <c r="Q164" i="69"/>
  <c r="O181" i="57"/>
  <c r="P181" i="57"/>
  <c r="AC162" i="69"/>
  <c r="AD162" i="69" s="1"/>
  <c r="AH118" i="50"/>
  <c r="AI118" i="50" s="1"/>
  <c r="O166" i="69"/>
  <c r="AO165" i="69"/>
  <c r="AK121" i="50"/>
  <c r="AF179" i="53"/>
  <c r="AE180" i="53"/>
  <c r="AK111" i="32"/>
  <c r="AK110" i="32"/>
  <c r="AM120" i="50"/>
  <c r="AL107" i="32"/>
  <c r="AI106" i="32"/>
  <c r="AN106" i="32" s="1"/>
  <c r="R180" i="53"/>
  <c r="X180" i="53" s="1"/>
  <c r="AL118" i="50"/>
  <c r="V14" i="22"/>
  <c r="AY164" i="69"/>
  <c r="L181" i="57"/>
  <c r="AG180" i="53"/>
  <c r="AH180" i="53"/>
  <c r="AT180" i="53"/>
  <c r="N181" i="57"/>
  <c r="AH164" i="69"/>
  <c r="I12" i="50"/>
  <c r="AD180" i="53"/>
  <c r="Q180" i="53"/>
  <c r="I181" i="53"/>
  <c r="C181" i="53"/>
  <c r="AK180" i="52" a="1"/>
  <c r="AK180" i="52" s="1"/>
  <c r="B182" i="53" s="1"/>
  <c r="E181" i="53"/>
  <c r="H181" i="53"/>
  <c r="J181" i="53"/>
  <c r="F181" i="53"/>
  <c r="P181" i="53"/>
  <c r="K181" i="53"/>
  <c r="L181" i="53"/>
  <c r="G181" i="53"/>
  <c r="D181" i="53"/>
  <c r="A111" i="32"/>
  <c r="B111" i="32"/>
  <c r="R111" i="32" s="1"/>
  <c r="A110" i="32"/>
  <c r="B110" i="32"/>
  <c r="R110" i="32" s="1"/>
  <c r="K121" i="50"/>
  <c r="M121" i="50"/>
  <c r="H121" i="50"/>
  <c r="J121" i="50"/>
  <c r="L121" i="50"/>
  <c r="A121" i="50"/>
  <c r="G121" i="50"/>
  <c r="N121" i="50"/>
  <c r="B121" i="50"/>
  <c r="R121" i="50" s="1"/>
  <c r="F121" i="50"/>
  <c r="U121" i="50" s="1"/>
  <c r="I121" i="50"/>
  <c r="G110" i="32"/>
  <c r="H110" i="32"/>
  <c r="J110" i="32"/>
  <c r="L110" i="32"/>
  <c r="F110" i="32"/>
  <c r="U110" i="32" s="1"/>
  <c r="I110" i="32"/>
  <c r="N110" i="32"/>
  <c r="M110" i="32"/>
  <c r="K110" i="32"/>
  <c r="M111" i="32"/>
  <c r="F111" i="32"/>
  <c r="U111" i="32" s="1"/>
  <c r="N111" i="32"/>
  <c r="H111" i="32"/>
  <c r="J111" i="32"/>
  <c r="G111" i="32"/>
  <c r="L111" i="32"/>
  <c r="I111" i="32"/>
  <c r="K111" i="32"/>
  <c r="V70" i="22"/>
  <c r="J181" i="57"/>
  <c r="E181" i="57"/>
  <c r="I181" i="57"/>
  <c r="D181" i="57"/>
  <c r="F181" i="57"/>
  <c r="K181" i="57"/>
  <c r="G181" i="57"/>
  <c r="C181" i="57"/>
  <c r="H181" i="57"/>
  <c r="AN180" i="55" a="1"/>
  <c r="AN180" i="55" s="1"/>
  <c r="B182" i="57" s="1"/>
  <c r="D165" i="69"/>
  <c r="E165" i="69" s="1"/>
  <c r="F165" i="69" s="1"/>
  <c r="G165" i="69" s="1"/>
  <c r="H165" i="69" s="1"/>
  <c r="I165" i="69" s="1"/>
  <c r="J165" i="69" s="1"/>
  <c r="K165" i="69" s="1"/>
  <c r="M165" i="69" s="1"/>
  <c r="C166" i="69"/>
  <c r="P166" i="69" s="1"/>
  <c r="AR166" i="67" a="1"/>
  <c r="AR166" i="67" s="1"/>
  <c r="B167" i="69"/>
  <c r="L167" i="69" s="1"/>
  <c r="R164" i="69"/>
  <c r="S164" i="69" s="1"/>
  <c r="Y164" i="69" s="1"/>
  <c r="AE164" i="69"/>
  <c r="AL111" i="11" a="1"/>
  <c r="AL111" i="11" s="1"/>
  <c r="E112" i="32" s="1"/>
  <c r="AP121" i="59" a="1"/>
  <c r="AP121" i="59" s="1"/>
  <c r="E122" i="50" s="1"/>
  <c r="V128" i="22"/>
  <c r="AW5" i="22"/>
  <c r="X12" i="50"/>
  <c r="X259" i="59" l="1" a="1"/>
  <c r="X259" i="59" s="1"/>
  <c r="V76" i="22"/>
  <c r="Q11" i="59"/>
  <c r="T11" i="59"/>
  <c r="Y259" i="59" a="1"/>
  <c r="Y259" i="59" s="1"/>
  <c r="AG163" i="69"/>
  <c r="AD120" i="50"/>
  <c r="AG120" i="50" s="1"/>
  <c r="X179" i="57"/>
  <c r="AA179" i="57" s="1"/>
  <c r="AG181" i="57"/>
  <c r="AF178" i="57"/>
  <c r="AB178" i="57"/>
  <c r="M182" i="53"/>
  <c r="AC182" i="53" s="1"/>
  <c r="O182" i="53"/>
  <c r="AP166" i="69"/>
  <c r="N166" i="69"/>
  <c r="U166" i="69" s="1"/>
  <c r="R180" i="57"/>
  <c r="Q180" i="57"/>
  <c r="T180" i="57" s="1"/>
  <c r="AQ180" i="57"/>
  <c r="AD180" i="57"/>
  <c r="AJ180" i="57"/>
  <c r="AC180" i="57"/>
  <c r="AE180" i="57"/>
  <c r="M181" i="57"/>
  <c r="AK181" i="57" s="1"/>
  <c r="Q121" i="50"/>
  <c r="P121" i="50" s="1"/>
  <c r="Q110" i="32"/>
  <c r="P110" i="32" s="1"/>
  <c r="Q111" i="32"/>
  <c r="P111" i="32" s="1"/>
  <c r="V78" i="22"/>
  <c r="D63" i="107"/>
  <c r="J63" i="107" s="1"/>
  <c r="L63" i="107" s="1"/>
  <c r="D24" i="107"/>
  <c r="J24" i="107" s="1"/>
  <c r="L24" i="107" s="1"/>
  <c r="D88" i="107"/>
  <c r="J88" i="107" s="1"/>
  <c r="L88" i="107" s="1"/>
  <c r="D49" i="107"/>
  <c r="J49" i="107" s="1"/>
  <c r="L49" i="107" s="1"/>
  <c r="D29" i="107"/>
  <c r="J29" i="107" s="1"/>
  <c r="L29" i="107" s="1"/>
  <c r="D50" i="107"/>
  <c r="J50" i="107" s="1"/>
  <c r="L50" i="107" s="1"/>
  <c r="D11" i="107"/>
  <c r="J11" i="107" s="1"/>
  <c r="L11" i="107" s="1"/>
  <c r="D75" i="107"/>
  <c r="J75" i="107" s="1"/>
  <c r="L75" i="107" s="1"/>
  <c r="D69" i="107"/>
  <c r="J69" i="107" s="1"/>
  <c r="L69" i="107" s="1"/>
  <c r="D20" i="107"/>
  <c r="J20" i="107" s="1"/>
  <c r="L20" i="107" s="1"/>
  <c r="D84" i="107"/>
  <c r="J84" i="107" s="1"/>
  <c r="L84" i="107" s="1"/>
  <c r="D101" i="107"/>
  <c r="J101" i="107" s="1"/>
  <c r="L101" i="107" s="1"/>
  <c r="D71" i="107"/>
  <c r="J71" i="107" s="1"/>
  <c r="L71" i="107" s="1"/>
  <c r="D32" i="107"/>
  <c r="J32" i="107" s="1"/>
  <c r="L32" i="107" s="1"/>
  <c r="D96" i="107"/>
  <c r="J96" i="107" s="1"/>
  <c r="L96" i="107" s="1"/>
  <c r="D57" i="107"/>
  <c r="J57" i="107" s="1"/>
  <c r="L57" i="107" s="1"/>
  <c r="D85" i="107"/>
  <c r="J85" i="107" s="1"/>
  <c r="L85" i="107" s="1"/>
  <c r="D58" i="107"/>
  <c r="J58" i="107" s="1"/>
  <c r="L58" i="107" s="1"/>
  <c r="D19" i="107"/>
  <c r="J19" i="107" s="1"/>
  <c r="L19" i="107" s="1"/>
  <c r="D83" i="107"/>
  <c r="J83" i="107" s="1"/>
  <c r="L83" i="107" s="1"/>
  <c r="D93" i="107"/>
  <c r="J93" i="107" s="1"/>
  <c r="L93" i="107" s="1"/>
  <c r="D28" i="107"/>
  <c r="J28" i="107" s="1"/>
  <c r="L28" i="107" s="1"/>
  <c r="D92" i="107"/>
  <c r="J92" i="107" s="1"/>
  <c r="L92" i="107" s="1"/>
  <c r="D22" i="107"/>
  <c r="J22" i="107" s="1"/>
  <c r="L22" i="107" s="1"/>
  <c r="D15" i="107"/>
  <c r="J15" i="107" s="1"/>
  <c r="L15" i="107" s="1"/>
  <c r="D79" i="107"/>
  <c r="J79" i="107" s="1"/>
  <c r="L79" i="107" s="1"/>
  <c r="D40" i="107"/>
  <c r="J40" i="107" s="1"/>
  <c r="L40" i="107" s="1"/>
  <c r="D104" i="107"/>
  <c r="J104" i="107" s="1"/>
  <c r="L104" i="107" s="1"/>
  <c r="D65" i="107"/>
  <c r="J65" i="107" s="1"/>
  <c r="L65" i="107" s="1"/>
  <c r="D70" i="107"/>
  <c r="J70" i="107" s="1"/>
  <c r="L70" i="107" s="1"/>
  <c r="D66" i="107"/>
  <c r="J66" i="107" s="1"/>
  <c r="L66" i="107" s="1"/>
  <c r="D27" i="107"/>
  <c r="J27" i="107" s="1"/>
  <c r="L27" i="107" s="1"/>
  <c r="D91" i="107"/>
  <c r="J91" i="107" s="1"/>
  <c r="L91" i="107" s="1"/>
  <c r="D14" i="107"/>
  <c r="J14" i="107" s="1"/>
  <c r="L14" i="107" s="1"/>
  <c r="D36" i="107"/>
  <c r="J36" i="107" s="1"/>
  <c r="L36" i="107" s="1"/>
  <c r="D100" i="107"/>
  <c r="J100" i="107" s="1"/>
  <c r="L100" i="107" s="1"/>
  <c r="D30" i="107"/>
  <c r="J30" i="107" s="1"/>
  <c r="L30" i="107" s="1"/>
  <c r="D23" i="107"/>
  <c r="J23" i="107" s="1"/>
  <c r="L23" i="107" s="1"/>
  <c r="D87" i="107"/>
  <c r="J87" i="107" s="1"/>
  <c r="L87" i="107" s="1"/>
  <c r="D48" i="107"/>
  <c r="J48" i="107" s="1"/>
  <c r="L48" i="107" s="1"/>
  <c r="D9" i="107"/>
  <c r="J9" i="107" s="1"/>
  <c r="L9" i="107" s="1"/>
  <c r="D73" i="107"/>
  <c r="J73" i="107" s="1"/>
  <c r="L73" i="107" s="1"/>
  <c r="D10" i="107"/>
  <c r="J10" i="107" s="1"/>
  <c r="L10" i="107" s="1"/>
  <c r="D74" i="107"/>
  <c r="J74" i="107" s="1"/>
  <c r="L74" i="107" s="1"/>
  <c r="D35" i="107"/>
  <c r="J35" i="107" s="1"/>
  <c r="L35" i="107" s="1"/>
  <c r="D99" i="107"/>
  <c r="J99" i="107" s="1"/>
  <c r="L99" i="107" s="1"/>
  <c r="D38" i="107"/>
  <c r="J38" i="107" s="1"/>
  <c r="L38" i="107" s="1"/>
  <c r="D44" i="107"/>
  <c r="J44" i="107" s="1"/>
  <c r="L44" i="107" s="1"/>
  <c r="D7" i="107"/>
  <c r="D46" i="107"/>
  <c r="J46" i="107" s="1"/>
  <c r="L46" i="107" s="1"/>
  <c r="D31" i="107"/>
  <c r="J31" i="107" s="1"/>
  <c r="L31" i="107" s="1"/>
  <c r="D95" i="107"/>
  <c r="J95" i="107" s="1"/>
  <c r="L95" i="107" s="1"/>
  <c r="D56" i="107"/>
  <c r="J56" i="107" s="1"/>
  <c r="L56" i="107" s="1"/>
  <c r="D17" i="107"/>
  <c r="J17" i="107" s="1"/>
  <c r="L17" i="107" s="1"/>
  <c r="D81" i="107"/>
  <c r="J81" i="107" s="1"/>
  <c r="L81" i="107" s="1"/>
  <c r="D18" i="107"/>
  <c r="J18" i="107" s="1"/>
  <c r="L18" i="107" s="1"/>
  <c r="D82" i="107"/>
  <c r="J82" i="107" s="1"/>
  <c r="L82" i="107" s="1"/>
  <c r="D43" i="107"/>
  <c r="J43" i="107" s="1"/>
  <c r="L43" i="107" s="1"/>
  <c r="D107" i="107"/>
  <c r="J107" i="107" s="1"/>
  <c r="L107" i="107" s="1"/>
  <c r="D54" i="107"/>
  <c r="J54" i="107" s="1"/>
  <c r="L54" i="107" s="1"/>
  <c r="D52" i="107"/>
  <c r="J52" i="107" s="1"/>
  <c r="L52" i="107" s="1"/>
  <c r="D21" i="107"/>
  <c r="J21" i="107" s="1"/>
  <c r="L21" i="107" s="1"/>
  <c r="D62" i="107"/>
  <c r="J62" i="107" s="1"/>
  <c r="L62" i="107" s="1"/>
  <c r="D39" i="107"/>
  <c r="J39" i="107" s="1"/>
  <c r="L39" i="107" s="1"/>
  <c r="D103" i="107"/>
  <c r="J103" i="107" s="1"/>
  <c r="L103" i="107" s="1"/>
  <c r="D64" i="107"/>
  <c r="J64" i="107" s="1"/>
  <c r="L64" i="107" s="1"/>
  <c r="D25" i="107"/>
  <c r="J25" i="107" s="1"/>
  <c r="L25" i="107" s="1"/>
  <c r="D89" i="107"/>
  <c r="J89" i="107" s="1"/>
  <c r="L89" i="107" s="1"/>
  <c r="D26" i="107"/>
  <c r="J26" i="107" s="1"/>
  <c r="L26" i="107" s="1"/>
  <c r="D90" i="107"/>
  <c r="J90" i="107" s="1"/>
  <c r="L90" i="107" s="1"/>
  <c r="D51" i="107"/>
  <c r="J51" i="107" s="1"/>
  <c r="L51" i="107" s="1"/>
  <c r="D13" i="107"/>
  <c r="J13" i="107" s="1"/>
  <c r="L13" i="107" s="1"/>
  <c r="D78" i="107"/>
  <c r="J78" i="107" s="1"/>
  <c r="L78" i="107" s="1"/>
  <c r="D60" i="107"/>
  <c r="J60" i="107" s="1"/>
  <c r="L60" i="107" s="1"/>
  <c r="D37" i="107"/>
  <c r="J37" i="107" s="1"/>
  <c r="L37" i="107" s="1"/>
  <c r="D86" i="107"/>
  <c r="J86" i="107" s="1"/>
  <c r="L86" i="107" s="1"/>
  <c r="D47" i="107"/>
  <c r="J47" i="107" s="1"/>
  <c r="L47" i="107" s="1"/>
  <c r="D8" i="107"/>
  <c r="J8" i="107" s="1"/>
  <c r="L8" i="107" s="1"/>
  <c r="D72" i="107"/>
  <c r="J72" i="107" s="1"/>
  <c r="L72" i="107" s="1"/>
  <c r="D33" i="107"/>
  <c r="J33" i="107" s="1"/>
  <c r="L33" i="107" s="1"/>
  <c r="D97" i="107"/>
  <c r="J97" i="107" s="1"/>
  <c r="L97" i="107" s="1"/>
  <c r="D34" i="107"/>
  <c r="J34" i="107" s="1"/>
  <c r="L34" i="107" s="1"/>
  <c r="D98" i="107"/>
  <c r="J98" i="107" s="1"/>
  <c r="L98" i="107" s="1"/>
  <c r="D59" i="107"/>
  <c r="J59" i="107" s="1"/>
  <c r="L59" i="107" s="1"/>
  <c r="D45" i="107"/>
  <c r="J45" i="107" s="1"/>
  <c r="L45" i="107" s="1"/>
  <c r="D94" i="107"/>
  <c r="J94" i="107" s="1"/>
  <c r="L94" i="107" s="1"/>
  <c r="D68" i="107"/>
  <c r="J68" i="107" s="1"/>
  <c r="L68" i="107" s="1"/>
  <c r="D53" i="107"/>
  <c r="J53" i="107" s="1"/>
  <c r="L53" i="107" s="1"/>
  <c r="D102" i="107"/>
  <c r="J102" i="107" s="1"/>
  <c r="L102" i="107" s="1"/>
  <c r="D55" i="107"/>
  <c r="J55" i="107" s="1"/>
  <c r="L55" i="107" s="1"/>
  <c r="D16" i="107"/>
  <c r="J16" i="107" s="1"/>
  <c r="L16" i="107" s="1"/>
  <c r="D80" i="107"/>
  <c r="J80" i="107" s="1"/>
  <c r="L80" i="107" s="1"/>
  <c r="D41" i="107"/>
  <c r="J41" i="107" s="1"/>
  <c r="L41" i="107" s="1"/>
  <c r="D105" i="107"/>
  <c r="J105" i="107" s="1"/>
  <c r="L105" i="107" s="1"/>
  <c r="D42" i="107"/>
  <c r="J42" i="107" s="1"/>
  <c r="L42" i="107" s="1"/>
  <c r="D106" i="107"/>
  <c r="J106" i="107" s="1"/>
  <c r="L106" i="107" s="1"/>
  <c r="D67" i="107"/>
  <c r="J67" i="107" s="1"/>
  <c r="L67" i="107" s="1"/>
  <c r="D61" i="107"/>
  <c r="J61" i="107" s="1"/>
  <c r="L61" i="107" s="1"/>
  <c r="D12" i="107"/>
  <c r="J12" i="107" s="1"/>
  <c r="L12" i="107" s="1"/>
  <c r="D76" i="107"/>
  <c r="J76" i="107" s="1"/>
  <c r="L76" i="107" s="1"/>
  <c r="D77" i="107"/>
  <c r="J77" i="107" s="1"/>
  <c r="L77" i="107" s="1"/>
  <c r="T20" i="22"/>
  <c r="C7" i="107"/>
  <c r="T14" i="22"/>
  <c r="T15" i="22"/>
  <c r="V102" i="22"/>
  <c r="V95" i="22"/>
  <c r="N182" i="53"/>
  <c r="T112" i="32"/>
  <c r="O112" i="32"/>
  <c r="T122" i="50"/>
  <c r="O122" i="50"/>
  <c r="AA180" i="53"/>
  <c r="AB180" i="53"/>
  <c r="AP118" i="50"/>
  <c r="AM110" i="32"/>
  <c r="AM111" i="32"/>
  <c r="C120" i="50"/>
  <c r="AJ120" i="50"/>
  <c r="S121" i="50"/>
  <c r="Z121" i="50" s="1"/>
  <c r="V135" i="22"/>
  <c r="V30" i="22"/>
  <c r="S110" i="32"/>
  <c r="Z110" i="32" s="1"/>
  <c r="S111" i="32"/>
  <c r="Z111" i="32" s="1"/>
  <c r="W120" i="50"/>
  <c r="X119" i="50"/>
  <c r="V120" i="50"/>
  <c r="AF165" i="69"/>
  <c r="Q165" i="69"/>
  <c r="O182" i="57"/>
  <c r="P182" i="57"/>
  <c r="V92" i="22"/>
  <c r="V59" i="22"/>
  <c r="AH119" i="50"/>
  <c r="AI119" i="50" s="1"/>
  <c r="T12" i="50"/>
  <c r="U12" i="50" s="1"/>
  <c r="V10" i="22"/>
  <c r="V28" i="22"/>
  <c r="AB164" i="69"/>
  <c r="AG164" i="69"/>
  <c r="O167" i="69"/>
  <c r="AO166" i="69"/>
  <c r="AK122" i="50"/>
  <c r="AE181" i="53"/>
  <c r="AF180" i="53"/>
  <c r="AK112" i="32"/>
  <c r="AM121" i="50"/>
  <c r="AL108" i="32"/>
  <c r="V63" i="22"/>
  <c r="V6" i="22"/>
  <c r="V9" i="22"/>
  <c r="AI107" i="32"/>
  <c r="AN107" i="32" s="1"/>
  <c r="V35" i="22"/>
  <c r="V18" i="22"/>
  <c r="R181" i="53"/>
  <c r="X181" i="53" s="1"/>
  <c r="AL119" i="50"/>
  <c r="V33" i="22"/>
  <c r="V37" i="22"/>
  <c r="V32" i="22"/>
  <c r="V34" i="22"/>
  <c r="V71" i="22"/>
  <c r="V68" i="22"/>
  <c r="V20" i="22"/>
  <c r="V67" i="22"/>
  <c r="V4" i="22"/>
  <c r="V61" i="22"/>
  <c r="AY165" i="69"/>
  <c r="L182" i="57"/>
  <c r="AH181" i="53"/>
  <c r="AT181" i="53"/>
  <c r="AG181" i="53"/>
  <c r="N182" i="57"/>
  <c r="AH165" i="69"/>
  <c r="AD181" i="53"/>
  <c r="V133" i="22"/>
  <c r="V17" i="22"/>
  <c r="Q181" i="53"/>
  <c r="AK181" i="52" a="1"/>
  <c r="AK181" i="52" s="1"/>
  <c r="B183" i="53" s="1"/>
  <c r="C182" i="53"/>
  <c r="E182" i="53"/>
  <c r="H182" i="53"/>
  <c r="G182" i="53"/>
  <c r="J182" i="53"/>
  <c r="K182" i="53"/>
  <c r="I182" i="53"/>
  <c r="L182" i="53"/>
  <c r="F182" i="53"/>
  <c r="P182" i="53"/>
  <c r="D182" i="53"/>
  <c r="A112" i="32"/>
  <c r="B112" i="32"/>
  <c r="R112" i="32" s="1"/>
  <c r="H122" i="50"/>
  <c r="A122" i="50"/>
  <c r="M122" i="50"/>
  <c r="K122" i="50"/>
  <c r="G122" i="50"/>
  <c r="F122" i="50"/>
  <c r="U122" i="50" s="1"/>
  <c r="N122" i="50"/>
  <c r="B122" i="50"/>
  <c r="R122" i="50" s="1"/>
  <c r="J122" i="50"/>
  <c r="I122" i="50"/>
  <c r="L122" i="50"/>
  <c r="V31" i="22"/>
  <c r="V88" i="22"/>
  <c r="K112" i="32"/>
  <c r="L112" i="32"/>
  <c r="F112" i="32"/>
  <c r="U112" i="32" s="1"/>
  <c r="N112" i="32"/>
  <c r="H112" i="32"/>
  <c r="M112" i="32"/>
  <c r="J112" i="32"/>
  <c r="I112" i="32"/>
  <c r="G112" i="32"/>
  <c r="J182" i="57"/>
  <c r="G182" i="57"/>
  <c r="D182" i="57"/>
  <c r="K182" i="57"/>
  <c r="F182" i="57"/>
  <c r="H182" i="57"/>
  <c r="I182" i="57"/>
  <c r="E182" i="57"/>
  <c r="C182" i="57"/>
  <c r="AN181" i="55" a="1"/>
  <c r="AN181" i="55" s="1"/>
  <c r="B183" i="57" s="1"/>
  <c r="AL33" i="22"/>
  <c r="V121" i="22"/>
  <c r="V7" i="22"/>
  <c r="D166" i="69"/>
  <c r="E166" i="69" s="1"/>
  <c r="F166" i="69" s="1"/>
  <c r="G166" i="69" s="1"/>
  <c r="H166" i="69" s="1"/>
  <c r="I166" i="69" s="1"/>
  <c r="J166" i="69" s="1"/>
  <c r="K166" i="69" s="1"/>
  <c r="M166" i="69" s="1"/>
  <c r="C167" i="69"/>
  <c r="P167" i="69" s="1"/>
  <c r="AR167" i="67" a="1"/>
  <c r="AR167" i="67" s="1"/>
  <c r="B168" i="69"/>
  <c r="L168" i="69" s="1"/>
  <c r="AE165" i="69"/>
  <c r="R165" i="69"/>
  <c r="S165" i="69" s="1"/>
  <c r="Y165" i="69" s="1"/>
  <c r="V15" i="22"/>
  <c r="V29" i="22"/>
  <c r="V8" i="22"/>
  <c r="V13" i="22"/>
  <c r="V19" i="22"/>
  <c r="V22" i="22"/>
  <c r="AL29" i="22"/>
  <c r="AL112" i="11" a="1"/>
  <c r="AL112" i="11" s="1"/>
  <c r="E113" i="32" s="1"/>
  <c r="AP122" i="59" a="1"/>
  <c r="AP122" i="59" s="1"/>
  <c r="E123" i="50" s="1"/>
  <c r="AQ12" i="59" a="1"/>
  <c r="AQ12" i="59" s="1"/>
  <c r="AA11" i="59" l="1"/>
  <c r="AA259" i="59" s="1"/>
  <c r="T76" i="22"/>
  <c r="AL34" i="22" s="1"/>
  <c r="D73" i="36" s="1"/>
  <c r="T102" i="22"/>
  <c r="AL28" i="22" s="1"/>
  <c r="T4" i="22"/>
  <c r="AL21" i="22" s="1"/>
  <c r="D59" i="36" s="1"/>
  <c r="AD111" i="32"/>
  <c r="AG111" i="32" s="1"/>
  <c r="AH111" i="32" s="1"/>
  <c r="AD110" i="32"/>
  <c r="AG110" i="32" s="1"/>
  <c r="AH110" i="32" s="1"/>
  <c r="AD121" i="50"/>
  <c r="AG121" i="50" s="1"/>
  <c r="AD12" i="50"/>
  <c r="AG12" i="50" s="1"/>
  <c r="AH12" i="50" s="1"/>
  <c r="X180" i="57"/>
  <c r="AB180" i="57" s="1"/>
  <c r="AG182" i="57"/>
  <c r="AC181" i="57"/>
  <c r="AD181" i="57"/>
  <c r="R181" i="57"/>
  <c r="AE181" i="57"/>
  <c r="Q181" i="57"/>
  <c r="T181" i="57" s="1"/>
  <c r="AB179" i="57"/>
  <c r="AF179" i="57"/>
  <c r="M183" i="53"/>
  <c r="AC183" i="53" s="1"/>
  <c r="O183" i="53"/>
  <c r="AP167" i="69"/>
  <c r="N167" i="69"/>
  <c r="U167" i="69" s="1"/>
  <c r="AQ181" i="57"/>
  <c r="AJ181" i="57"/>
  <c r="M182" i="57"/>
  <c r="AK182" i="57" s="1"/>
  <c r="Q122" i="50"/>
  <c r="P122" i="50" s="1"/>
  <c r="Q112" i="32"/>
  <c r="P112" i="32" s="1"/>
  <c r="J7" i="107"/>
  <c r="L7" i="107" s="1"/>
  <c r="N183" i="53"/>
  <c r="T113" i="32"/>
  <c r="O113" i="32"/>
  <c r="T123" i="50"/>
  <c r="O123" i="50"/>
  <c r="AA181" i="53"/>
  <c r="AB181" i="53"/>
  <c r="AP119" i="50"/>
  <c r="AM112" i="32"/>
  <c r="C121" i="50"/>
  <c r="AJ121" i="50"/>
  <c r="S122" i="50"/>
  <c r="Z122" i="50" s="1"/>
  <c r="C110" i="32"/>
  <c r="AJ111" i="32"/>
  <c r="W111" i="32"/>
  <c r="X111" i="32" s="1"/>
  <c r="C111" i="32"/>
  <c r="S112" i="32"/>
  <c r="Z112" i="32" s="1"/>
  <c r="AJ110" i="32"/>
  <c r="D71" i="36"/>
  <c r="W121" i="50"/>
  <c r="W110" i="32"/>
  <c r="X110" i="32" s="1"/>
  <c r="X120" i="50"/>
  <c r="V121" i="50"/>
  <c r="V111" i="32"/>
  <c r="AF166" i="69"/>
  <c r="Q166" i="69"/>
  <c r="O183" i="57"/>
  <c r="P183" i="57"/>
  <c r="AC164" i="69"/>
  <c r="AD164" i="69" s="1"/>
  <c r="AH120" i="50"/>
  <c r="AI120" i="50" s="1"/>
  <c r="AB165" i="69"/>
  <c r="AG165" i="69"/>
  <c r="O168" i="69"/>
  <c r="AO167" i="69"/>
  <c r="AK123" i="50"/>
  <c r="AE182" i="53"/>
  <c r="AF181" i="53"/>
  <c r="AK113" i="32"/>
  <c r="AM122" i="50"/>
  <c r="AL109" i="32"/>
  <c r="AI108" i="32"/>
  <c r="AN108" i="32" s="1"/>
  <c r="R182" i="53"/>
  <c r="X182" i="53" s="1"/>
  <c r="AL120" i="50"/>
  <c r="N12" i="50"/>
  <c r="AY166" i="69"/>
  <c r="L183" i="57"/>
  <c r="AG182" i="53"/>
  <c r="AH182" i="53"/>
  <c r="AT182" i="53"/>
  <c r="N183" i="57"/>
  <c r="D183" i="53"/>
  <c r="AH166" i="69"/>
  <c r="V110" i="32"/>
  <c r="Q182" i="53"/>
  <c r="AD182" i="53"/>
  <c r="C183" i="53"/>
  <c r="L183" i="53"/>
  <c r="F183" i="53"/>
  <c r="P183" i="53"/>
  <c r="I183" i="53"/>
  <c r="K183" i="53"/>
  <c r="E183" i="53"/>
  <c r="AK182" i="52" a="1"/>
  <c r="AK182" i="52" s="1"/>
  <c r="B184" i="53" s="1"/>
  <c r="G183" i="53"/>
  <c r="J183" i="53"/>
  <c r="H183" i="53"/>
  <c r="A113" i="32"/>
  <c r="B113" i="32"/>
  <c r="R113" i="32" s="1"/>
  <c r="B123" i="50"/>
  <c r="R123" i="50" s="1"/>
  <c r="G123" i="50"/>
  <c r="A123" i="50"/>
  <c r="N123" i="50"/>
  <c r="H123" i="50"/>
  <c r="K123" i="50"/>
  <c r="M123" i="50"/>
  <c r="I123" i="50"/>
  <c r="J123" i="50"/>
  <c r="F123" i="50"/>
  <c r="U123" i="50" s="1"/>
  <c r="L123" i="50"/>
  <c r="I113" i="32"/>
  <c r="J113" i="32"/>
  <c r="L113" i="32"/>
  <c r="F113" i="32"/>
  <c r="U113" i="32" s="1"/>
  <c r="N113" i="32"/>
  <c r="H113" i="32"/>
  <c r="K113" i="32"/>
  <c r="G113" i="32"/>
  <c r="M113" i="32"/>
  <c r="I183" i="57"/>
  <c r="F183" i="57"/>
  <c r="D183" i="57"/>
  <c r="K183" i="57"/>
  <c r="G183" i="57"/>
  <c r="E183" i="57"/>
  <c r="H183" i="57"/>
  <c r="C183" i="57"/>
  <c r="J183" i="57"/>
  <c r="AN182" i="55" a="1"/>
  <c r="AN182" i="55" s="1"/>
  <c r="B184" i="57" s="1"/>
  <c r="C168" i="69"/>
  <c r="P168" i="69" s="1"/>
  <c r="AR168" i="67" a="1"/>
  <c r="AR168" i="67" s="1"/>
  <c r="B169" i="69"/>
  <c r="L169" i="69" s="1"/>
  <c r="D167" i="69"/>
  <c r="E167" i="69" s="1"/>
  <c r="F167" i="69" s="1"/>
  <c r="G167" i="69" s="1"/>
  <c r="H167" i="69" s="1"/>
  <c r="I167" i="69" s="1"/>
  <c r="J167" i="69" s="1"/>
  <c r="K167" i="69" s="1"/>
  <c r="M167" i="69" s="1"/>
  <c r="AE166" i="69"/>
  <c r="R166" i="69"/>
  <c r="S166" i="69" s="1"/>
  <c r="Y166" i="69" s="1"/>
  <c r="AL24" i="22"/>
  <c r="AL23" i="22"/>
  <c r="AL27" i="22"/>
  <c r="AL22" i="22"/>
  <c r="AL26" i="22"/>
  <c r="AL25" i="22"/>
  <c r="AL113" i="11" a="1"/>
  <c r="AL113" i="11" s="1"/>
  <c r="E114" i="32" s="1"/>
  <c r="AP123" i="59" a="1"/>
  <c r="AP123" i="59" s="1"/>
  <c r="E124" i="50" s="1"/>
  <c r="AQ13" i="59" a="1"/>
  <c r="AQ13" i="59" s="1"/>
  <c r="AU11" i="59" l="1"/>
  <c r="AU259" i="59" s="1"/>
  <c r="AD112" i="32"/>
  <c r="AG112" i="32" s="1"/>
  <c r="AH112" i="32" s="1"/>
  <c r="AD122" i="50"/>
  <c r="AG122" i="50" s="1"/>
  <c r="X181" i="57"/>
  <c r="AF181" i="57" s="1"/>
  <c r="AG183" i="57"/>
  <c r="AE182" i="57"/>
  <c r="Q182" i="57"/>
  <c r="T182" i="57" s="1"/>
  <c r="AJ182" i="57"/>
  <c r="M184" i="53"/>
  <c r="AC184" i="53" s="1"/>
  <c r="O184" i="53"/>
  <c r="AP168" i="69"/>
  <c r="N168" i="69"/>
  <c r="U168" i="69" s="1"/>
  <c r="AD182" i="57"/>
  <c r="AQ182" i="57"/>
  <c r="AC182" i="57"/>
  <c r="AF180" i="57"/>
  <c r="AA180" i="57"/>
  <c r="R182" i="57"/>
  <c r="M183" i="57"/>
  <c r="AK183" i="57" s="1"/>
  <c r="Q123" i="50"/>
  <c r="P123" i="50" s="1"/>
  <c r="Q113" i="32"/>
  <c r="P113" i="32" s="1"/>
  <c r="N184" i="53"/>
  <c r="T114" i="32"/>
  <c r="O114" i="32"/>
  <c r="T124" i="50"/>
  <c r="O124" i="50"/>
  <c r="AA182" i="53"/>
  <c r="AB182" i="53"/>
  <c r="AP120" i="50"/>
  <c r="AM113" i="32"/>
  <c r="AJ122" i="50"/>
  <c r="C122" i="50"/>
  <c r="S123" i="50"/>
  <c r="Z123" i="50" s="1"/>
  <c r="C112" i="32"/>
  <c r="W112" i="32"/>
  <c r="X112" i="32" s="1"/>
  <c r="S113" i="32"/>
  <c r="Z113" i="32" s="1"/>
  <c r="AJ112" i="32"/>
  <c r="W122" i="50"/>
  <c r="X121" i="50"/>
  <c r="V122" i="50"/>
  <c r="V112" i="32"/>
  <c r="AF167" i="69"/>
  <c r="Q167" i="69"/>
  <c r="O184" i="57"/>
  <c r="P184" i="57"/>
  <c r="AC165" i="69"/>
  <c r="AD165" i="69" s="1"/>
  <c r="AH121" i="50"/>
  <c r="AI121" i="50" s="1"/>
  <c r="AI12" i="50"/>
  <c r="AK12" i="50"/>
  <c r="AL12" i="50" s="1"/>
  <c r="AM12" i="50" s="1"/>
  <c r="AB166" i="69"/>
  <c r="AG166" i="69"/>
  <c r="O169" i="69"/>
  <c r="AO168" i="69"/>
  <c r="AK124" i="50"/>
  <c r="AF182" i="53"/>
  <c r="AE183" i="53"/>
  <c r="AK114" i="32"/>
  <c r="AM123" i="50"/>
  <c r="AL111" i="32"/>
  <c r="R183" i="53"/>
  <c r="X183" i="53" s="1"/>
  <c r="AL121" i="50"/>
  <c r="AI109" i="32"/>
  <c r="AN109" i="32" s="1"/>
  <c r="AY167" i="69"/>
  <c r="L184" i="57"/>
  <c r="AH183" i="53"/>
  <c r="AT183" i="53"/>
  <c r="AG183" i="53"/>
  <c r="N184" i="57"/>
  <c r="AH167" i="69"/>
  <c r="AD183" i="53"/>
  <c r="Q183" i="53"/>
  <c r="P184" i="53"/>
  <c r="C184" i="53"/>
  <c r="D184" i="53"/>
  <c r="F184" i="53"/>
  <c r="I184" i="53"/>
  <c r="L184" i="53"/>
  <c r="E184" i="53"/>
  <c r="AK183" i="52" a="1"/>
  <c r="AK183" i="52" s="1"/>
  <c r="B185" i="53" s="1"/>
  <c r="G184" i="53"/>
  <c r="J184" i="53"/>
  <c r="H184" i="53"/>
  <c r="K184" i="53"/>
  <c r="A114" i="32"/>
  <c r="B114" i="32"/>
  <c r="R114" i="32" s="1"/>
  <c r="F124" i="50"/>
  <c r="U124" i="50" s="1"/>
  <c r="N124" i="50"/>
  <c r="A124" i="50"/>
  <c r="I124" i="50"/>
  <c r="K124" i="50"/>
  <c r="H124" i="50"/>
  <c r="M124" i="50"/>
  <c r="L124" i="50"/>
  <c r="J124" i="50"/>
  <c r="B124" i="50"/>
  <c r="R124" i="50" s="1"/>
  <c r="G124" i="50"/>
  <c r="G114" i="32"/>
  <c r="H114" i="32"/>
  <c r="J114" i="32"/>
  <c r="L114" i="32"/>
  <c r="I114" i="32"/>
  <c r="N114" i="32"/>
  <c r="F114" i="32"/>
  <c r="U114" i="32" s="1"/>
  <c r="K114" i="32"/>
  <c r="M114" i="32"/>
  <c r="K184" i="57"/>
  <c r="J184" i="57"/>
  <c r="H184" i="57"/>
  <c r="F184" i="57"/>
  <c r="C184" i="57"/>
  <c r="D184" i="57"/>
  <c r="E184" i="57"/>
  <c r="G184" i="57"/>
  <c r="I184" i="57"/>
  <c r="AN183" i="55" a="1"/>
  <c r="AN183" i="55" s="1"/>
  <c r="B185" i="57" s="1"/>
  <c r="AE167" i="69"/>
  <c r="R167" i="69"/>
  <c r="S167" i="69" s="1"/>
  <c r="Y167" i="69" s="1"/>
  <c r="C169" i="69"/>
  <c r="P169" i="69" s="1"/>
  <c r="AR169" i="67" a="1"/>
  <c r="AR169" i="67" s="1"/>
  <c r="B170" i="69"/>
  <c r="L170" i="69" s="1"/>
  <c r="D168" i="69"/>
  <c r="E168" i="69" s="1"/>
  <c r="F168" i="69" s="1"/>
  <c r="G168" i="69" s="1"/>
  <c r="H168" i="69" s="1"/>
  <c r="I168" i="69" s="1"/>
  <c r="J168" i="69" s="1"/>
  <c r="K168" i="69" s="1"/>
  <c r="M168" i="69" s="1"/>
  <c r="AL114" i="11" a="1"/>
  <c r="AL114" i="11" s="1"/>
  <c r="E115" i="32" s="1"/>
  <c r="AP124" i="59" a="1"/>
  <c r="AP124" i="59" s="1"/>
  <c r="E125" i="50" s="1"/>
  <c r="AQ14" i="59" a="1"/>
  <c r="AQ14" i="59" s="1"/>
  <c r="M11" i="46"/>
  <c r="I11" i="46"/>
  <c r="R11" i="46" s="1"/>
  <c r="V11" i="46" s="1"/>
  <c r="W11" i="46" s="1"/>
  <c r="AD113" i="32" l="1"/>
  <c r="AG113" i="32" s="1"/>
  <c r="AH113" i="32" s="1"/>
  <c r="AD123" i="50"/>
  <c r="AG123" i="50" s="1"/>
  <c r="X182" i="57"/>
  <c r="AB182" i="57" s="1"/>
  <c r="AG184" i="57"/>
  <c r="AB181" i="57"/>
  <c r="AA181" i="57"/>
  <c r="M185" i="53"/>
  <c r="AC185" i="53" s="1"/>
  <c r="O185" i="53"/>
  <c r="AP169" i="69"/>
  <c r="N169" i="69"/>
  <c r="U169" i="69" s="1"/>
  <c r="Q183" i="57"/>
  <c r="T183" i="57" s="1"/>
  <c r="AC183" i="57"/>
  <c r="AQ183" i="57"/>
  <c r="AJ183" i="57"/>
  <c r="AD183" i="57"/>
  <c r="AE183" i="57"/>
  <c r="R183" i="57"/>
  <c r="M184" i="57"/>
  <c r="AK184" i="57" s="1"/>
  <c r="Q124" i="50"/>
  <c r="P124" i="50" s="1"/>
  <c r="Q114" i="32"/>
  <c r="P114" i="32" s="1"/>
  <c r="AQ12" i="50"/>
  <c r="N185" i="53"/>
  <c r="T115" i="32"/>
  <c r="O115" i="32"/>
  <c r="T125" i="50"/>
  <c r="O125" i="50"/>
  <c r="AA183" i="53"/>
  <c r="AB183" i="53"/>
  <c r="AP121" i="50"/>
  <c r="AM114" i="32"/>
  <c r="C123" i="50"/>
  <c r="AJ123" i="50"/>
  <c r="S124" i="50"/>
  <c r="Z124" i="50" s="1"/>
  <c r="C113" i="32"/>
  <c r="AJ113" i="32"/>
  <c r="S114" i="32"/>
  <c r="Z114" i="32" s="1"/>
  <c r="W123" i="50"/>
  <c r="W113" i="32"/>
  <c r="X113" i="32" s="1"/>
  <c r="AP12" i="50"/>
  <c r="X122" i="50"/>
  <c r="V123" i="50"/>
  <c r="AF168" i="69"/>
  <c r="Q168" i="69"/>
  <c r="O185" i="57"/>
  <c r="P185" i="57"/>
  <c r="AC166" i="69"/>
  <c r="AD166" i="69" s="1"/>
  <c r="AH122" i="50"/>
  <c r="AI122" i="50" s="1"/>
  <c r="AB167" i="69"/>
  <c r="AG167" i="69"/>
  <c r="AO169" i="69"/>
  <c r="O170" i="69"/>
  <c r="S11" i="46"/>
  <c r="T11" i="46" s="1"/>
  <c r="X11" i="46"/>
  <c r="AK125" i="50"/>
  <c r="AE184" i="53"/>
  <c r="AF183" i="53"/>
  <c r="AK115" i="32"/>
  <c r="AM124" i="50"/>
  <c r="AL110" i="32"/>
  <c r="AL112" i="32"/>
  <c r="AI111" i="32"/>
  <c r="AN111" i="32" s="1"/>
  <c r="AL13" i="50"/>
  <c r="AM13" i="50" s="1"/>
  <c r="R184" i="53"/>
  <c r="X184" i="53" s="1"/>
  <c r="AL122" i="50"/>
  <c r="V113" i="32"/>
  <c r="AY168" i="69"/>
  <c r="L185" i="57"/>
  <c r="AH184" i="53"/>
  <c r="AT184" i="53"/>
  <c r="AG184" i="53"/>
  <c r="N185" i="57"/>
  <c r="AH168" i="69"/>
  <c r="Q184" i="53"/>
  <c r="AD184" i="53"/>
  <c r="AK184" i="52" a="1"/>
  <c r="AK184" i="52" s="1"/>
  <c r="B186" i="53" s="1"/>
  <c r="G185" i="53"/>
  <c r="E185" i="53"/>
  <c r="C185" i="53"/>
  <c r="K185" i="53"/>
  <c r="P185" i="53"/>
  <c r="J185" i="53"/>
  <c r="F185" i="53"/>
  <c r="L185" i="53"/>
  <c r="I185" i="53"/>
  <c r="D185" i="53"/>
  <c r="H185" i="53"/>
  <c r="A115" i="32"/>
  <c r="B115" i="32"/>
  <c r="R115" i="32" s="1"/>
  <c r="H125" i="50"/>
  <c r="F125" i="50"/>
  <c r="U125" i="50" s="1"/>
  <c r="G125" i="50"/>
  <c r="M125" i="50"/>
  <c r="B125" i="50"/>
  <c r="R125" i="50" s="1"/>
  <c r="L125" i="50"/>
  <c r="K125" i="50"/>
  <c r="J125" i="50"/>
  <c r="N125" i="50"/>
  <c r="I125" i="50"/>
  <c r="A125" i="50"/>
  <c r="M115" i="32"/>
  <c r="F115" i="32"/>
  <c r="U115" i="32" s="1"/>
  <c r="N115" i="32"/>
  <c r="H115" i="32"/>
  <c r="J115" i="32"/>
  <c r="G115" i="32"/>
  <c r="L115" i="32"/>
  <c r="K115" i="32"/>
  <c r="I115" i="32"/>
  <c r="E185" i="57"/>
  <c r="H185" i="57"/>
  <c r="J185" i="57"/>
  <c r="K185" i="57"/>
  <c r="G185" i="57"/>
  <c r="C185" i="57"/>
  <c r="F185" i="57"/>
  <c r="I185" i="57"/>
  <c r="D185" i="57"/>
  <c r="L133" i="22"/>
  <c r="AN184" i="55" a="1"/>
  <c r="AN184" i="55" s="1"/>
  <c r="B186" i="57" s="1"/>
  <c r="C170" i="69"/>
  <c r="P170" i="69" s="1"/>
  <c r="AR170" i="67" a="1"/>
  <c r="AR170" i="67" s="1"/>
  <c r="B171" i="69"/>
  <c r="L171" i="69" s="1"/>
  <c r="D169" i="69"/>
  <c r="E169" i="69" s="1"/>
  <c r="F169" i="69" s="1"/>
  <c r="G169" i="69" s="1"/>
  <c r="H169" i="69" s="1"/>
  <c r="I169" i="69" s="1"/>
  <c r="J169" i="69" s="1"/>
  <c r="K169" i="69" s="1"/>
  <c r="M169" i="69" s="1"/>
  <c r="AE168" i="69"/>
  <c r="R168" i="69"/>
  <c r="S168" i="69" s="1"/>
  <c r="Y168" i="69" s="1"/>
  <c r="AL115" i="11" a="1"/>
  <c r="AL115" i="11" s="1"/>
  <c r="E116" i="32" s="1"/>
  <c r="AP125" i="59" a="1"/>
  <c r="AP125" i="59" s="1"/>
  <c r="E126" i="50" s="1"/>
  <c r="AQ15" i="59" a="1"/>
  <c r="AQ15" i="59" s="1"/>
  <c r="AD114" i="32" l="1"/>
  <c r="AG114" i="32" s="1"/>
  <c r="AH114" i="32" s="1"/>
  <c r="AD124" i="50"/>
  <c r="AG124" i="50" s="1"/>
  <c r="X183" i="57"/>
  <c r="AB183" i="57" s="1"/>
  <c r="AG185" i="57"/>
  <c r="AA182" i="57"/>
  <c r="AF182" i="57"/>
  <c r="M186" i="53"/>
  <c r="AC186" i="53" s="1"/>
  <c r="O186" i="53"/>
  <c r="AP170" i="69"/>
  <c r="N170" i="69"/>
  <c r="U170" i="69" s="1"/>
  <c r="R184" i="57"/>
  <c r="AQ184" i="57"/>
  <c r="Q184" i="57"/>
  <c r="T184" i="57" s="1"/>
  <c r="AJ184" i="57"/>
  <c r="AD184" i="57"/>
  <c r="AC184" i="57"/>
  <c r="AE184" i="57"/>
  <c r="M185" i="57"/>
  <c r="AK185" i="57" s="1"/>
  <c r="Q125" i="50"/>
  <c r="P125" i="50" s="1"/>
  <c r="Q115" i="32"/>
  <c r="P115" i="32" s="1"/>
  <c r="N186" i="53"/>
  <c r="T116" i="32"/>
  <c r="O116" i="32"/>
  <c r="T126" i="50"/>
  <c r="O126" i="50"/>
  <c r="AA184" i="53"/>
  <c r="AB184" i="53"/>
  <c r="AP122" i="50"/>
  <c r="AP13" i="50"/>
  <c r="AM115" i="32"/>
  <c r="AJ124" i="50"/>
  <c r="C124" i="50"/>
  <c r="S125" i="50"/>
  <c r="Z125" i="50" s="1"/>
  <c r="AJ114" i="32"/>
  <c r="W114" i="32"/>
  <c r="X114" i="32" s="1"/>
  <c r="C114" i="32"/>
  <c r="S115" i="32"/>
  <c r="AD115" i="32" s="1"/>
  <c r="W124" i="50"/>
  <c r="X123" i="50"/>
  <c r="V124" i="50"/>
  <c r="V114" i="32"/>
  <c r="AF169" i="69"/>
  <c r="Q169" i="69"/>
  <c r="O186" i="57"/>
  <c r="P186" i="57"/>
  <c r="AC167" i="69"/>
  <c r="AD167" i="69" s="1"/>
  <c r="AH123" i="50"/>
  <c r="AI123" i="50" s="1"/>
  <c r="AB168" i="69"/>
  <c r="AG168" i="69"/>
  <c r="AO170" i="69"/>
  <c r="O171" i="69"/>
  <c r="AK126" i="50"/>
  <c r="AF184" i="53"/>
  <c r="AE185" i="53"/>
  <c r="AK116" i="32"/>
  <c r="AM125" i="50"/>
  <c r="AL113" i="32"/>
  <c r="Y11" i="46"/>
  <c r="AI112" i="32"/>
  <c r="AN112" i="32" s="1"/>
  <c r="R185" i="53"/>
  <c r="X185" i="53" s="1"/>
  <c r="AL123" i="50"/>
  <c r="AI110" i="32"/>
  <c r="AN110" i="32" s="1"/>
  <c r="N2" i="46"/>
  <c r="AY169" i="69"/>
  <c r="L186" i="57"/>
  <c r="AH185" i="53"/>
  <c r="AT185" i="53"/>
  <c r="AG185" i="53"/>
  <c r="N186" i="57"/>
  <c r="E186" i="53"/>
  <c r="AH169" i="69"/>
  <c r="Q185" i="53"/>
  <c r="AD185" i="53"/>
  <c r="D186" i="53"/>
  <c r="I186" i="53"/>
  <c r="L186" i="53"/>
  <c r="P186" i="53"/>
  <c r="K186" i="53"/>
  <c r="H186" i="53"/>
  <c r="C186" i="53"/>
  <c r="J186" i="53"/>
  <c r="AK185" i="52" a="1"/>
  <c r="AK185" i="52" s="1"/>
  <c r="B187" i="53" s="1"/>
  <c r="G186" i="53"/>
  <c r="F186" i="53"/>
  <c r="A116" i="32"/>
  <c r="B116" i="32"/>
  <c r="R116" i="32" s="1"/>
  <c r="F126" i="50"/>
  <c r="U126" i="50" s="1"/>
  <c r="N126" i="50"/>
  <c r="M126" i="50"/>
  <c r="L126" i="50"/>
  <c r="G126" i="50"/>
  <c r="A126" i="50"/>
  <c r="I126" i="50"/>
  <c r="K126" i="50"/>
  <c r="B126" i="50"/>
  <c r="R126" i="50" s="1"/>
  <c r="J126" i="50"/>
  <c r="H126" i="50"/>
  <c r="K116" i="32"/>
  <c r="L116" i="32"/>
  <c r="F116" i="32"/>
  <c r="U116" i="32" s="1"/>
  <c r="N116" i="32"/>
  <c r="H116" i="32"/>
  <c r="J116" i="32"/>
  <c r="M116" i="32"/>
  <c r="G116" i="32"/>
  <c r="I116" i="32"/>
  <c r="J186" i="57"/>
  <c r="D186" i="57"/>
  <c r="C186" i="57"/>
  <c r="K186" i="57"/>
  <c r="F186" i="57"/>
  <c r="I186" i="57"/>
  <c r="E186" i="57"/>
  <c r="H186" i="57"/>
  <c r="G186" i="57"/>
  <c r="AN185" i="55" a="1"/>
  <c r="AN185" i="55" s="1"/>
  <c r="B187" i="57" s="1"/>
  <c r="AE169" i="69"/>
  <c r="R169" i="69"/>
  <c r="S169" i="69" s="1"/>
  <c r="Y169" i="69" s="1"/>
  <c r="C171" i="69"/>
  <c r="P171" i="69" s="1"/>
  <c r="AR171" i="67" a="1"/>
  <c r="AR171" i="67" s="1"/>
  <c r="B172" i="69"/>
  <c r="L172" i="69" s="1"/>
  <c r="D170" i="69"/>
  <c r="E170" i="69" s="1"/>
  <c r="F170" i="69" s="1"/>
  <c r="G170" i="69" s="1"/>
  <c r="H170" i="69" s="1"/>
  <c r="I170" i="69" s="1"/>
  <c r="J170" i="69" s="1"/>
  <c r="K170" i="69" s="1"/>
  <c r="M170" i="69" s="1"/>
  <c r="AL116" i="11" a="1"/>
  <c r="AL116" i="11" s="1"/>
  <c r="E117" i="32" s="1"/>
  <c r="AP126" i="59" a="1"/>
  <c r="AP126" i="59" s="1"/>
  <c r="E127" i="50" s="1"/>
  <c r="AQ16" i="59" a="1"/>
  <c r="AQ16" i="59" s="1"/>
  <c r="AD125" i="50" l="1"/>
  <c r="AG125" i="50" s="1"/>
  <c r="X184" i="57"/>
  <c r="AB184" i="57" s="1"/>
  <c r="AG186" i="57"/>
  <c r="Q185" i="57"/>
  <c r="T185" i="57" s="1"/>
  <c r="AE185" i="57"/>
  <c r="M187" i="53"/>
  <c r="AC187" i="53" s="1"/>
  <c r="O187" i="53"/>
  <c r="AP171" i="69"/>
  <c r="N171" i="69"/>
  <c r="U171" i="69" s="1"/>
  <c r="AA183" i="57"/>
  <c r="R185" i="57"/>
  <c r="AF183" i="57"/>
  <c r="AQ185" i="57"/>
  <c r="AD185" i="57"/>
  <c r="AJ185" i="57"/>
  <c r="AC185" i="57"/>
  <c r="M186" i="57"/>
  <c r="AK186" i="57" s="1"/>
  <c r="Q126" i="50"/>
  <c r="P126" i="50" s="1"/>
  <c r="Q116" i="32"/>
  <c r="P116" i="32" s="1"/>
  <c r="L55" i="22"/>
  <c r="L134" i="22"/>
  <c r="N187" i="53"/>
  <c r="T117" i="32"/>
  <c r="O117" i="32"/>
  <c r="T127" i="50"/>
  <c r="O127" i="50"/>
  <c r="AA185" i="53"/>
  <c r="AB185" i="53"/>
  <c r="AP123" i="50"/>
  <c r="C115" i="32"/>
  <c r="Z115" i="32"/>
  <c r="AM116" i="32"/>
  <c r="C125" i="50"/>
  <c r="AJ125" i="50"/>
  <c r="S126" i="50"/>
  <c r="Z126" i="50" s="1"/>
  <c r="L135" i="22"/>
  <c r="L80" i="22"/>
  <c r="S116" i="32"/>
  <c r="Z116" i="32" s="1"/>
  <c r="AJ115" i="32"/>
  <c r="W125" i="50"/>
  <c r="W115" i="32"/>
  <c r="X115" i="32" s="1"/>
  <c r="L132" i="22"/>
  <c r="L118" i="22"/>
  <c r="X124" i="50"/>
  <c r="V125" i="50"/>
  <c r="AF170" i="69"/>
  <c r="Q170" i="69"/>
  <c r="O187" i="57"/>
  <c r="P187" i="57"/>
  <c r="AC168" i="69"/>
  <c r="AD168" i="69" s="1"/>
  <c r="AH124" i="50"/>
  <c r="AI124" i="50" s="1"/>
  <c r="AB169" i="69"/>
  <c r="AG169" i="69"/>
  <c r="O172" i="69"/>
  <c r="AO171" i="69"/>
  <c r="AK127" i="50"/>
  <c r="AE186" i="53"/>
  <c r="AF185" i="53"/>
  <c r="AK117" i="32"/>
  <c r="AG115" i="32"/>
  <c r="AH115" i="32" s="1"/>
  <c r="AM126" i="50"/>
  <c r="AL114" i="32"/>
  <c r="AI113" i="32"/>
  <c r="AN113" i="32" s="1"/>
  <c r="R186" i="53"/>
  <c r="X186" i="53" s="1"/>
  <c r="AL124" i="50"/>
  <c r="V115" i="32"/>
  <c r="Y257" i="46"/>
  <c r="L104" i="22"/>
  <c r="AY170" i="69"/>
  <c r="L187" i="57"/>
  <c r="AG186" i="53"/>
  <c r="AH186" i="53"/>
  <c r="AT186" i="53"/>
  <c r="N187" i="57"/>
  <c r="I187" i="53"/>
  <c r="AH170" i="69"/>
  <c r="Q186" i="53"/>
  <c r="AD186" i="53"/>
  <c r="AK186" i="52" a="1"/>
  <c r="AK186" i="52" s="1"/>
  <c r="B188" i="53" s="1"/>
  <c r="E187" i="53"/>
  <c r="C187" i="53"/>
  <c r="F187" i="53"/>
  <c r="P187" i="53"/>
  <c r="H187" i="53"/>
  <c r="G187" i="53"/>
  <c r="J187" i="53"/>
  <c r="L187" i="53"/>
  <c r="K187" i="53"/>
  <c r="D187" i="53"/>
  <c r="A117" i="32"/>
  <c r="B117" i="32"/>
  <c r="R117" i="32" s="1"/>
  <c r="J127" i="50"/>
  <c r="F127" i="50"/>
  <c r="U127" i="50" s="1"/>
  <c r="G127" i="50"/>
  <c r="M127" i="50"/>
  <c r="A127" i="50"/>
  <c r="N127" i="50"/>
  <c r="H127" i="50"/>
  <c r="B127" i="50"/>
  <c r="R127" i="50" s="1"/>
  <c r="I127" i="50"/>
  <c r="L127" i="50"/>
  <c r="K127" i="50"/>
  <c r="I117" i="32"/>
  <c r="J117" i="32"/>
  <c r="L117" i="32"/>
  <c r="F117" i="32"/>
  <c r="U117" i="32" s="1"/>
  <c r="N117" i="32"/>
  <c r="K117" i="32"/>
  <c r="H117" i="32"/>
  <c r="M117" i="32"/>
  <c r="G117" i="32"/>
  <c r="J187" i="57"/>
  <c r="I187" i="57"/>
  <c r="F187" i="57"/>
  <c r="E187" i="57"/>
  <c r="D187" i="57"/>
  <c r="K187" i="57"/>
  <c r="C187" i="57"/>
  <c r="G187" i="57"/>
  <c r="H187" i="57"/>
  <c r="AN186" i="55" a="1"/>
  <c r="AN186" i="55" s="1"/>
  <c r="B188" i="57" s="1"/>
  <c r="R170" i="69"/>
  <c r="S170" i="69" s="1"/>
  <c r="Y170" i="69" s="1"/>
  <c r="AE170" i="69"/>
  <c r="C172" i="69"/>
  <c r="P172" i="69" s="1"/>
  <c r="AR172" i="67" a="1"/>
  <c r="AR172" i="67" s="1"/>
  <c r="B173" i="69"/>
  <c r="L173" i="69" s="1"/>
  <c r="D171" i="69"/>
  <c r="E171" i="69" s="1"/>
  <c r="F171" i="69" s="1"/>
  <c r="G171" i="69" s="1"/>
  <c r="H171" i="69" s="1"/>
  <c r="I171" i="69" s="1"/>
  <c r="J171" i="69" s="1"/>
  <c r="K171" i="69" s="1"/>
  <c r="M171" i="69" s="1"/>
  <c r="AL117" i="11" a="1"/>
  <c r="AL117" i="11" s="1"/>
  <c r="E118" i="32" s="1"/>
  <c r="AP127" i="59" a="1"/>
  <c r="AP127" i="59" s="1"/>
  <c r="E128" i="50" s="1"/>
  <c r="AQ17" i="59" a="1"/>
  <c r="AQ17" i="59" s="1"/>
  <c r="X185" i="57" l="1"/>
  <c r="AB185" i="57" s="1"/>
  <c r="AD116" i="32"/>
  <c r="AG116" i="32" s="1"/>
  <c r="AH116" i="32" s="1"/>
  <c r="AD126" i="50"/>
  <c r="AG126" i="50" s="1"/>
  <c r="AG187" i="57"/>
  <c r="AA184" i="57"/>
  <c r="AF184" i="57"/>
  <c r="M188" i="53"/>
  <c r="AC188" i="53" s="1"/>
  <c r="O188" i="53"/>
  <c r="AP172" i="69"/>
  <c r="N172" i="69"/>
  <c r="U172" i="69" s="1"/>
  <c r="AC186" i="57"/>
  <c r="AE186" i="57"/>
  <c r="Q186" i="57"/>
  <c r="T186" i="57" s="1"/>
  <c r="AQ186" i="57"/>
  <c r="AD186" i="57"/>
  <c r="AJ186" i="57"/>
  <c r="R186" i="57"/>
  <c r="M187" i="57"/>
  <c r="AK187" i="57" s="1"/>
  <c r="Q127" i="50"/>
  <c r="P127" i="50" s="1"/>
  <c r="Q117" i="32"/>
  <c r="P117" i="32" s="1"/>
  <c r="N188" i="53"/>
  <c r="T118" i="32"/>
  <c r="O118" i="32"/>
  <c r="T128" i="50"/>
  <c r="O128" i="50"/>
  <c r="AA186" i="53"/>
  <c r="AB186" i="53"/>
  <c r="AP124" i="50"/>
  <c r="AM117" i="32"/>
  <c r="AJ126" i="50"/>
  <c r="C126" i="50"/>
  <c r="S127" i="50"/>
  <c r="Z127" i="50" s="1"/>
  <c r="C116" i="32"/>
  <c r="W116" i="32"/>
  <c r="X116" i="32" s="1"/>
  <c r="AJ116" i="32"/>
  <c r="S117" i="32"/>
  <c r="Z117" i="32" s="1"/>
  <c r="W126" i="50"/>
  <c r="X125" i="50"/>
  <c r="V126" i="50"/>
  <c r="V116" i="32"/>
  <c r="AF171" i="69"/>
  <c r="Q171" i="69"/>
  <c r="O188" i="57"/>
  <c r="P188" i="57"/>
  <c r="AC169" i="69"/>
  <c r="AD169" i="69" s="1"/>
  <c r="AH125" i="50"/>
  <c r="AI125" i="50" s="1"/>
  <c r="AB170" i="69"/>
  <c r="AG170" i="69"/>
  <c r="O173" i="69"/>
  <c r="AO172" i="69"/>
  <c r="AK128" i="50"/>
  <c r="AF186" i="53"/>
  <c r="AE187" i="53"/>
  <c r="AK118" i="32"/>
  <c r="AM127" i="50"/>
  <c r="AL115" i="32"/>
  <c r="AI114" i="32"/>
  <c r="AN114" i="32" s="1"/>
  <c r="R187" i="53"/>
  <c r="X187" i="53" s="1"/>
  <c r="AL125" i="50"/>
  <c r="AY171" i="69"/>
  <c r="L188" i="57"/>
  <c r="AG187" i="53"/>
  <c r="AH187" i="53"/>
  <c r="AT187" i="53"/>
  <c r="N188" i="57"/>
  <c r="C188" i="53"/>
  <c r="AH171" i="69"/>
  <c r="AD187" i="53"/>
  <c r="J188" i="53"/>
  <c r="D188" i="53"/>
  <c r="H188" i="53"/>
  <c r="G188" i="53"/>
  <c r="E188" i="53"/>
  <c r="F188" i="53"/>
  <c r="L188" i="53"/>
  <c r="P188" i="53"/>
  <c r="Q187" i="53"/>
  <c r="AK187" i="52" a="1"/>
  <c r="AK187" i="52" s="1"/>
  <c r="B189" i="53" s="1"/>
  <c r="K188" i="53"/>
  <c r="I188" i="53"/>
  <c r="A118" i="32"/>
  <c r="B118" i="32"/>
  <c r="R118" i="32" s="1"/>
  <c r="N128" i="50"/>
  <c r="J128" i="50"/>
  <c r="F128" i="50"/>
  <c r="U128" i="50" s="1"/>
  <c r="I128" i="50"/>
  <c r="H128" i="50"/>
  <c r="M128" i="50"/>
  <c r="K128" i="50"/>
  <c r="B128" i="50"/>
  <c r="R128" i="50" s="1"/>
  <c r="L128" i="50"/>
  <c r="G128" i="50"/>
  <c r="A128" i="50"/>
  <c r="G118" i="32"/>
  <c r="H118" i="32"/>
  <c r="J118" i="32"/>
  <c r="L118" i="32"/>
  <c r="F118" i="32"/>
  <c r="U118" i="32" s="1"/>
  <c r="I118" i="32"/>
  <c r="N118" i="32"/>
  <c r="M118" i="32"/>
  <c r="K118" i="32"/>
  <c r="K188" i="57"/>
  <c r="H188" i="57"/>
  <c r="F188" i="57"/>
  <c r="C188" i="57"/>
  <c r="E188" i="57"/>
  <c r="D188" i="57"/>
  <c r="G188" i="57"/>
  <c r="J188" i="57"/>
  <c r="I188" i="57"/>
  <c r="AN187" i="55" a="1"/>
  <c r="AN187" i="55" s="1"/>
  <c r="B189" i="57" s="1"/>
  <c r="C173" i="69"/>
  <c r="P173" i="69" s="1"/>
  <c r="AR173" i="67" a="1"/>
  <c r="AR173" i="67" s="1"/>
  <c r="B174" i="69"/>
  <c r="L174" i="69" s="1"/>
  <c r="R171" i="69"/>
  <c r="S171" i="69" s="1"/>
  <c r="Y171" i="69" s="1"/>
  <c r="AE171" i="69"/>
  <c r="D172" i="69"/>
  <c r="E172" i="69" s="1"/>
  <c r="F172" i="69" s="1"/>
  <c r="G172" i="69" s="1"/>
  <c r="H172" i="69" s="1"/>
  <c r="I172" i="69" s="1"/>
  <c r="J172" i="69" s="1"/>
  <c r="K172" i="69" s="1"/>
  <c r="M172" i="69" s="1"/>
  <c r="AL118" i="11" a="1"/>
  <c r="AL118" i="11" s="1"/>
  <c r="E119" i="32" s="1"/>
  <c r="AP128" i="59" a="1"/>
  <c r="AP128" i="59" s="1"/>
  <c r="E129" i="50" s="1"/>
  <c r="AQ18" i="59" a="1"/>
  <c r="AQ18" i="59" s="1"/>
  <c r="AF185" i="57" l="1"/>
  <c r="AD117" i="32"/>
  <c r="AG117" i="32" s="1"/>
  <c r="AH117" i="32" s="1"/>
  <c r="AD127" i="50"/>
  <c r="AG127" i="50" s="1"/>
  <c r="AG188" i="57"/>
  <c r="X186" i="57"/>
  <c r="AA186" i="57" s="1"/>
  <c r="AA185" i="57"/>
  <c r="M189" i="53"/>
  <c r="AC189" i="53" s="1"/>
  <c r="O189" i="53"/>
  <c r="AP173" i="69"/>
  <c r="N173" i="69"/>
  <c r="U173" i="69" s="1"/>
  <c r="AE187" i="57"/>
  <c r="Q187" i="57"/>
  <c r="T187" i="57" s="1"/>
  <c r="AJ187" i="57"/>
  <c r="AD187" i="57"/>
  <c r="R187" i="57"/>
  <c r="AQ187" i="57"/>
  <c r="AC187" i="57"/>
  <c r="M188" i="57"/>
  <c r="AK188" i="57" s="1"/>
  <c r="Q128" i="50"/>
  <c r="P128" i="50" s="1"/>
  <c r="Q118" i="32"/>
  <c r="P118" i="32" s="1"/>
  <c r="N189" i="53"/>
  <c r="T119" i="32"/>
  <c r="O119" i="32"/>
  <c r="O129" i="50"/>
  <c r="T129" i="50"/>
  <c r="AA187" i="53"/>
  <c r="AB187" i="53"/>
  <c r="AP125" i="50"/>
  <c r="AM118" i="32"/>
  <c r="C127" i="50"/>
  <c r="AJ127" i="50"/>
  <c r="S128" i="50"/>
  <c r="Z128" i="50" s="1"/>
  <c r="W117" i="32"/>
  <c r="X117" i="32" s="1"/>
  <c r="C117" i="32"/>
  <c r="AJ117" i="32"/>
  <c r="S118" i="32"/>
  <c r="AD118" i="32" s="1"/>
  <c r="W127" i="50"/>
  <c r="X126" i="50"/>
  <c r="V127" i="50"/>
  <c r="V117" i="32"/>
  <c r="AF172" i="69"/>
  <c r="Q172" i="69"/>
  <c r="O189" i="57"/>
  <c r="P189" i="57"/>
  <c r="AC170" i="69"/>
  <c r="AD170" i="69" s="1"/>
  <c r="AH126" i="50"/>
  <c r="AI126" i="50" s="1"/>
  <c r="AB171" i="69"/>
  <c r="AG171" i="69"/>
  <c r="AO173" i="69"/>
  <c r="O174" i="69"/>
  <c r="AK129" i="50"/>
  <c r="AE188" i="53"/>
  <c r="AF187" i="53"/>
  <c r="AK119" i="32"/>
  <c r="AM128" i="50"/>
  <c r="AL116" i="32"/>
  <c r="AI115" i="32"/>
  <c r="AN115" i="32" s="1"/>
  <c r="R188" i="53"/>
  <c r="X188" i="53" s="1"/>
  <c r="AL126" i="50"/>
  <c r="AY172" i="69"/>
  <c r="L189" i="57"/>
  <c r="AH188" i="53"/>
  <c r="AT188" i="53"/>
  <c r="AG188" i="53"/>
  <c r="N189" i="57"/>
  <c r="AH172" i="69"/>
  <c r="AD188" i="53"/>
  <c r="Q188" i="53"/>
  <c r="AK188" i="52" a="1"/>
  <c r="AK188" i="52" s="1"/>
  <c r="B190" i="53" s="1"/>
  <c r="P189" i="53"/>
  <c r="J189" i="53"/>
  <c r="I189" i="53"/>
  <c r="E189" i="53"/>
  <c r="H189" i="53"/>
  <c r="F189" i="53"/>
  <c r="K189" i="53"/>
  <c r="G189" i="53"/>
  <c r="L189" i="53"/>
  <c r="D189" i="53"/>
  <c r="C189" i="53"/>
  <c r="A119" i="32"/>
  <c r="B119" i="32"/>
  <c r="R119" i="32" s="1"/>
  <c r="K129" i="50"/>
  <c r="L129" i="50"/>
  <c r="J129" i="50"/>
  <c r="M129" i="50"/>
  <c r="I129" i="50"/>
  <c r="A129" i="50"/>
  <c r="G129" i="50"/>
  <c r="N129" i="50"/>
  <c r="B129" i="50"/>
  <c r="R129" i="50" s="1"/>
  <c r="H129" i="50"/>
  <c r="F129" i="50"/>
  <c r="U129" i="50" s="1"/>
  <c r="M119" i="32"/>
  <c r="F119" i="32"/>
  <c r="U119" i="32" s="1"/>
  <c r="N119" i="32"/>
  <c r="H119" i="32"/>
  <c r="J119" i="32"/>
  <c r="G119" i="32"/>
  <c r="L119" i="32"/>
  <c r="I119" i="32"/>
  <c r="K119" i="32"/>
  <c r="J189" i="57"/>
  <c r="E189" i="57"/>
  <c r="C189" i="57"/>
  <c r="I189" i="57"/>
  <c r="D189" i="57"/>
  <c r="F189" i="57"/>
  <c r="K189" i="57"/>
  <c r="G189" i="57"/>
  <c r="H189" i="57"/>
  <c r="AN188" i="55" a="1"/>
  <c r="AN188" i="55" s="1"/>
  <c r="B190" i="57" s="1"/>
  <c r="AR174" i="67" a="1"/>
  <c r="AR174" i="67" s="1"/>
  <c r="B175" i="69"/>
  <c r="L175" i="69" s="1"/>
  <c r="C174" i="69"/>
  <c r="P174" i="69" s="1"/>
  <c r="AE172" i="69"/>
  <c r="R172" i="69"/>
  <c r="S172" i="69" s="1"/>
  <c r="Y172" i="69" s="1"/>
  <c r="D173" i="69"/>
  <c r="E173" i="69" s="1"/>
  <c r="F173" i="69" s="1"/>
  <c r="G173" i="69" s="1"/>
  <c r="H173" i="69" s="1"/>
  <c r="I173" i="69" s="1"/>
  <c r="J173" i="69" s="1"/>
  <c r="K173" i="69" s="1"/>
  <c r="M173" i="69" s="1"/>
  <c r="AL119" i="11" a="1"/>
  <c r="AL119" i="11" s="1"/>
  <c r="E120" i="32" s="1"/>
  <c r="AP129" i="59" a="1"/>
  <c r="AP129" i="59" s="1"/>
  <c r="E130" i="50" s="1"/>
  <c r="AQ19" i="59" a="1"/>
  <c r="AQ19" i="59" s="1"/>
  <c r="L12" i="32"/>
  <c r="L6" i="29"/>
  <c r="L102" i="29"/>
  <c r="L101" i="29"/>
  <c r="L100" i="29"/>
  <c r="L99" i="29"/>
  <c r="L98" i="29"/>
  <c r="L97" i="29"/>
  <c r="L96" i="29"/>
  <c r="L95" i="29"/>
  <c r="L94" i="29"/>
  <c r="L93" i="29"/>
  <c r="L92" i="29"/>
  <c r="L91" i="29"/>
  <c r="L90" i="29"/>
  <c r="L89" i="29"/>
  <c r="L88" i="29"/>
  <c r="L87" i="29"/>
  <c r="L86" i="29"/>
  <c r="L85" i="29"/>
  <c r="L84" i="29"/>
  <c r="L83" i="29"/>
  <c r="L82" i="29"/>
  <c r="L79" i="29"/>
  <c r="L77" i="29"/>
  <c r="L76" i="29"/>
  <c r="L75" i="29"/>
  <c r="L74" i="29"/>
  <c r="L73" i="29"/>
  <c r="L72" i="29"/>
  <c r="L71" i="29"/>
  <c r="L70" i="29"/>
  <c r="L69" i="29"/>
  <c r="L68" i="29"/>
  <c r="L67" i="29"/>
  <c r="L66" i="29"/>
  <c r="L65" i="29"/>
  <c r="L64" i="29"/>
  <c r="L63" i="29"/>
  <c r="L62" i="29"/>
  <c r="L61" i="29"/>
  <c r="L60" i="29"/>
  <c r="L40" i="29"/>
  <c r="L59" i="29"/>
  <c r="L58" i="29"/>
  <c r="L57" i="29"/>
  <c r="L56" i="29"/>
  <c r="L55" i="29"/>
  <c r="L53" i="29"/>
  <c r="L52" i="29"/>
  <c r="L51" i="29"/>
  <c r="L50" i="29"/>
  <c r="L49" i="29"/>
  <c r="L48" i="29"/>
  <c r="L47" i="29"/>
  <c r="L39" i="29"/>
  <c r="L38" i="29"/>
  <c r="L35" i="29"/>
  <c r="L34" i="29"/>
  <c r="L33" i="29"/>
  <c r="L32" i="29"/>
  <c r="L31" i="29"/>
  <c r="L30" i="29"/>
  <c r="L29" i="29"/>
  <c r="L28" i="29"/>
  <c r="L27" i="29"/>
  <c r="L26" i="29"/>
  <c r="L25" i="29"/>
  <c r="L24" i="29"/>
  <c r="L23" i="29"/>
  <c r="L22" i="29"/>
  <c r="L21" i="29"/>
  <c r="L20" i="29"/>
  <c r="L19" i="29"/>
  <c r="L18" i="29"/>
  <c r="L17" i="29"/>
  <c r="L16" i="29"/>
  <c r="L14" i="29"/>
  <c r="L13" i="29"/>
  <c r="L12" i="29"/>
  <c r="L11" i="29"/>
  <c r="L10" i="29"/>
  <c r="L9" i="29"/>
  <c r="AD128" i="50" l="1"/>
  <c r="AG128" i="50" s="1"/>
  <c r="X187" i="57"/>
  <c r="AA187" i="57" s="1"/>
  <c r="AG189" i="57"/>
  <c r="M190" i="53"/>
  <c r="AC190" i="53" s="1"/>
  <c r="O190" i="53"/>
  <c r="AP174" i="69"/>
  <c r="N174" i="69"/>
  <c r="U174" i="69" s="1"/>
  <c r="AF186" i="57"/>
  <c r="AB186" i="57"/>
  <c r="R188" i="57"/>
  <c r="AC188" i="57"/>
  <c r="Q188" i="57"/>
  <c r="T188" i="57" s="1"/>
  <c r="AQ188" i="57"/>
  <c r="AD188" i="57"/>
  <c r="AJ188" i="57"/>
  <c r="AE188" i="57"/>
  <c r="M189" i="57"/>
  <c r="AK189" i="57" s="1"/>
  <c r="Q129" i="50"/>
  <c r="P129" i="50" s="1"/>
  <c r="Q119" i="32"/>
  <c r="P119" i="32" s="1"/>
  <c r="N190" i="53"/>
  <c r="T120" i="32"/>
  <c r="O120" i="32"/>
  <c r="T130" i="50"/>
  <c r="O130" i="50"/>
  <c r="AA188" i="53"/>
  <c r="AB188" i="53"/>
  <c r="AP126" i="50"/>
  <c r="C118" i="32"/>
  <c r="Z118" i="32"/>
  <c r="AM119" i="32"/>
  <c r="C128" i="50"/>
  <c r="AJ128" i="50"/>
  <c r="S129" i="50"/>
  <c r="Z129" i="50" s="1"/>
  <c r="S119" i="32"/>
  <c r="Z119" i="32" s="1"/>
  <c r="AJ118" i="32"/>
  <c r="W128" i="50"/>
  <c r="W118" i="32"/>
  <c r="X118" i="32" s="1"/>
  <c r="X127" i="50"/>
  <c r="V128" i="50"/>
  <c r="AF173" i="69"/>
  <c r="Q173" i="69"/>
  <c r="O190" i="57"/>
  <c r="P190" i="57"/>
  <c r="AC171" i="69"/>
  <c r="AD171" i="69" s="1"/>
  <c r="AH127" i="50"/>
  <c r="AI127" i="50" s="1"/>
  <c r="AB172" i="69"/>
  <c r="AG172" i="69"/>
  <c r="AO174" i="69"/>
  <c r="O175" i="69"/>
  <c r="AK130" i="50"/>
  <c r="AE189" i="53"/>
  <c r="AF188" i="53"/>
  <c r="AK120" i="32"/>
  <c r="AG118" i="32"/>
  <c r="AH118" i="32" s="1"/>
  <c r="AM129" i="50"/>
  <c r="AL117" i="32"/>
  <c r="R189" i="53"/>
  <c r="X189" i="53" s="1"/>
  <c r="AL127" i="50"/>
  <c r="V118" i="32"/>
  <c r="AI116" i="32"/>
  <c r="AN116" i="32" s="1"/>
  <c r="AY173" i="69"/>
  <c r="L190" i="57"/>
  <c r="AG189" i="53"/>
  <c r="AH189" i="53"/>
  <c r="AT189" i="53"/>
  <c r="N190" i="57"/>
  <c r="Q189" i="53"/>
  <c r="AD189" i="53"/>
  <c r="AH173" i="69"/>
  <c r="AK189" i="52" a="1"/>
  <c r="AK189" i="52" s="1"/>
  <c r="B191" i="53" s="1"/>
  <c r="G190" i="53"/>
  <c r="F190" i="53"/>
  <c r="C190" i="53"/>
  <c r="L190" i="53"/>
  <c r="P190" i="53"/>
  <c r="J190" i="53"/>
  <c r="D190" i="53"/>
  <c r="H190" i="53"/>
  <c r="I190" i="53"/>
  <c r="K190" i="53"/>
  <c r="E190" i="53"/>
  <c r="A120" i="32"/>
  <c r="B120" i="32"/>
  <c r="R120" i="32" s="1"/>
  <c r="G130" i="50"/>
  <c r="F130" i="50"/>
  <c r="U130" i="50" s="1"/>
  <c r="H130" i="50"/>
  <c r="L130" i="50"/>
  <c r="K130" i="50"/>
  <c r="B130" i="50"/>
  <c r="R130" i="50" s="1"/>
  <c r="J130" i="50"/>
  <c r="I130" i="50"/>
  <c r="M130" i="50"/>
  <c r="N130" i="50"/>
  <c r="A130" i="50"/>
  <c r="K120" i="32"/>
  <c r="L120" i="32"/>
  <c r="F120" i="32"/>
  <c r="U120" i="32" s="1"/>
  <c r="N120" i="32"/>
  <c r="H120" i="32"/>
  <c r="M120" i="32"/>
  <c r="J120" i="32"/>
  <c r="I120" i="32"/>
  <c r="G120" i="32"/>
  <c r="J190" i="57"/>
  <c r="G190" i="57"/>
  <c r="D190" i="57"/>
  <c r="K190" i="57"/>
  <c r="F190" i="57"/>
  <c r="H190" i="57"/>
  <c r="I190" i="57"/>
  <c r="C190" i="57"/>
  <c r="E190" i="57"/>
  <c r="AN189" i="55" a="1"/>
  <c r="AN189" i="55" s="1"/>
  <c r="B191" i="57" s="1"/>
  <c r="C175" i="69"/>
  <c r="P175" i="69" s="1"/>
  <c r="AE173" i="69"/>
  <c r="R173" i="69"/>
  <c r="S173" i="69" s="1"/>
  <c r="Y173" i="69" s="1"/>
  <c r="D174" i="69"/>
  <c r="E174" i="69" s="1"/>
  <c r="F174" i="69" s="1"/>
  <c r="G174" i="69" s="1"/>
  <c r="H174" i="69" s="1"/>
  <c r="I174" i="69" s="1"/>
  <c r="J174" i="69" s="1"/>
  <c r="K174" i="69" s="1"/>
  <c r="M174" i="69" s="1"/>
  <c r="AR175" i="67" a="1"/>
  <c r="AR175" i="67" s="1"/>
  <c r="B176" i="69"/>
  <c r="L176" i="69" s="1"/>
  <c r="AL120" i="11" a="1"/>
  <c r="AL120" i="11" s="1"/>
  <c r="E121" i="32" s="1"/>
  <c r="AP130" i="59" a="1"/>
  <c r="AP130" i="59" s="1"/>
  <c r="E131" i="50" s="1"/>
  <c r="AQ20" i="59" a="1"/>
  <c r="AQ20" i="59" s="1"/>
  <c r="X188" i="57" l="1"/>
  <c r="AB188" i="57" s="1"/>
  <c r="AD119" i="32"/>
  <c r="AG119" i="32" s="1"/>
  <c r="AH119" i="32" s="1"/>
  <c r="AD129" i="50"/>
  <c r="AG129" i="50" s="1"/>
  <c r="AG190" i="57"/>
  <c r="M191" i="53"/>
  <c r="AC191" i="53" s="1"/>
  <c r="O191" i="53"/>
  <c r="AP175" i="69"/>
  <c r="N175" i="69"/>
  <c r="U175" i="69" s="1"/>
  <c r="AF187" i="57"/>
  <c r="AB187" i="57"/>
  <c r="Q189" i="57"/>
  <c r="T189" i="57" s="1"/>
  <c r="AQ189" i="57"/>
  <c r="AJ189" i="57"/>
  <c r="AC189" i="57"/>
  <c r="AD189" i="57"/>
  <c r="R189" i="57"/>
  <c r="AE189" i="57"/>
  <c r="M190" i="57"/>
  <c r="AK190" i="57" s="1"/>
  <c r="Q130" i="50"/>
  <c r="P130" i="50" s="1"/>
  <c r="Q120" i="32"/>
  <c r="P120" i="32" s="1"/>
  <c r="N191" i="53"/>
  <c r="T121" i="32"/>
  <c r="O121" i="32"/>
  <c r="T131" i="50"/>
  <c r="O131" i="50"/>
  <c r="AA189" i="53"/>
  <c r="AB189" i="53"/>
  <c r="AP127" i="50"/>
  <c r="AM120" i="32"/>
  <c r="AJ129" i="50"/>
  <c r="C129" i="50"/>
  <c r="S130" i="50"/>
  <c r="Z130" i="50" s="1"/>
  <c r="W119" i="32"/>
  <c r="X119" i="32" s="1"/>
  <c r="C119" i="32"/>
  <c r="AJ119" i="32"/>
  <c r="S120" i="32"/>
  <c r="Z120" i="32" s="1"/>
  <c r="W129" i="50"/>
  <c r="X128" i="50"/>
  <c r="V129" i="50"/>
  <c r="V119" i="32"/>
  <c r="AF174" i="69"/>
  <c r="Q174" i="69"/>
  <c r="O191" i="57"/>
  <c r="P191" i="57"/>
  <c r="AC172" i="69"/>
  <c r="AD172" i="69" s="1"/>
  <c r="AH128" i="50"/>
  <c r="AI128" i="50" s="1"/>
  <c r="AB173" i="69"/>
  <c r="AG173" i="69"/>
  <c r="O176" i="69"/>
  <c r="AO175" i="69"/>
  <c r="AK131" i="50"/>
  <c r="AF189" i="53"/>
  <c r="AE190" i="53"/>
  <c r="AK121" i="32"/>
  <c r="AM130" i="50"/>
  <c r="AL118" i="32"/>
  <c r="AI117" i="32"/>
  <c r="AN117" i="32" s="1"/>
  <c r="R190" i="53"/>
  <c r="X190" i="53" s="1"/>
  <c r="AL128" i="50"/>
  <c r="AY174" i="69"/>
  <c r="L191" i="57"/>
  <c r="AH190" i="53"/>
  <c r="AT190" i="53"/>
  <c r="AG190" i="53"/>
  <c r="N191" i="57"/>
  <c r="AH174" i="69"/>
  <c r="AD190" i="53"/>
  <c r="Q190" i="53"/>
  <c r="AK190" i="52" a="1"/>
  <c r="AK190" i="52" s="1"/>
  <c r="B192" i="53" s="1"/>
  <c r="E191" i="53"/>
  <c r="D191" i="53"/>
  <c r="G191" i="53"/>
  <c r="C191" i="53"/>
  <c r="F191" i="53"/>
  <c r="I191" i="53"/>
  <c r="H191" i="53"/>
  <c r="J191" i="53"/>
  <c r="L191" i="53"/>
  <c r="P191" i="53"/>
  <c r="K191" i="53"/>
  <c r="A121" i="32"/>
  <c r="B121" i="32"/>
  <c r="R121" i="32" s="1"/>
  <c r="B131" i="50"/>
  <c r="R131" i="50" s="1"/>
  <c r="A131" i="50"/>
  <c r="K131" i="50"/>
  <c r="G131" i="50"/>
  <c r="H131" i="50"/>
  <c r="M131" i="50"/>
  <c r="N131" i="50"/>
  <c r="I131" i="50"/>
  <c r="J131" i="50"/>
  <c r="L131" i="50"/>
  <c r="F131" i="50"/>
  <c r="U131" i="50" s="1"/>
  <c r="I121" i="32"/>
  <c r="J121" i="32"/>
  <c r="L121" i="32"/>
  <c r="F121" i="32"/>
  <c r="U121" i="32" s="1"/>
  <c r="N121" i="32"/>
  <c r="H121" i="32"/>
  <c r="K121" i="32"/>
  <c r="G121" i="32"/>
  <c r="M121" i="32"/>
  <c r="D191" i="57"/>
  <c r="F191" i="57"/>
  <c r="I191" i="57"/>
  <c r="E191" i="57"/>
  <c r="K191" i="57"/>
  <c r="J191" i="57"/>
  <c r="C191" i="57"/>
  <c r="G191" i="57"/>
  <c r="H191" i="57"/>
  <c r="AN190" i="55" a="1"/>
  <c r="AN190" i="55" s="1"/>
  <c r="B192" i="57" s="1"/>
  <c r="AR176" i="67" a="1"/>
  <c r="AR176" i="67" s="1"/>
  <c r="B177" i="69"/>
  <c r="L177" i="69" s="1"/>
  <c r="D175" i="69"/>
  <c r="E175" i="69" s="1"/>
  <c r="F175" i="69" s="1"/>
  <c r="G175" i="69" s="1"/>
  <c r="H175" i="69" s="1"/>
  <c r="I175" i="69" s="1"/>
  <c r="J175" i="69" s="1"/>
  <c r="K175" i="69" s="1"/>
  <c r="M175" i="69" s="1"/>
  <c r="C176" i="69"/>
  <c r="P176" i="69" s="1"/>
  <c r="R174" i="69"/>
  <c r="S174" i="69" s="1"/>
  <c r="Y174" i="69" s="1"/>
  <c r="AE174" i="69"/>
  <c r="AL121" i="11" a="1"/>
  <c r="AL121" i="11" s="1"/>
  <c r="AP131" i="59" a="1"/>
  <c r="AP131" i="59" s="1"/>
  <c r="E132" i="50" s="1"/>
  <c r="AQ21" i="59" a="1"/>
  <c r="AQ21" i="59" s="1"/>
  <c r="AE190" i="57" l="1"/>
  <c r="AD120" i="32"/>
  <c r="AG120" i="32" s="1"/>
  <c r="AH120" i="32" s="1"/>
  <c r="AD130" i="50"/>
  <c r="AG130" i="50" s="1"/>
  <c r="X189" i="57"/>
  <c r="AB189" i="57" s="1"/>
  <c r="AG191" i="57"/>
  <c r="M192" i="53"/>
  <c r="AC192" i="53" s="1"/>
  <c r="O192" i="53"/>
  <c r="AP176" i="69"/>
  <c r="N176" i="69"/>
  <c r="U176" i="69" s="1"/>
  <c r="AF188" i="57"/>
  <c r="AA188" i="57"/>
  <c r="AD190" i="57"/>
  <c r="AJ190" i="57"/>
  <c r="AQ190" i="57"/>
  <c r="Q190" i="57"/>
  <c r="T190" i="57" s="1"/>
  <c r="AC190" i="57"/>
  <c r="R190" i="57"/>
  <c r="M191" i="57"/>
  <c r="AK191" i="57" s="1"/>
  <c r="Q131" i="50"/>
  <c r="P131" i="50" s="1"/>
  <c r="Q121" i="32"/>
  <c r="P121" i="32" s="1"/>
  <c r="N192" i="53"/>
  <c r="T132" i="50"/>
  <c r="O132" i="50"/>
  <c r="AA190" i="53"/>
  <c r="AB190" i="53"/>
  <c r="AP128" i="50"/>
  <c r="AM121" i="32"/>
  <c r="C130" i="50"/>
  <c r="AJ130" i="50"/>
  <c r="S131" i="50"/>
  <c r="Z131" i="50" s="1"/>
  <c r="C120" i="32"/>
  <c r="AJ120" i="32"/>
  <c r="W120" i="32"/>
  <c r="X120" i="32" s="1"/>
  <c r="S121" i="32"/>
  <c r="Z121" i="32" s="1"/>
  <c r="W130" i="50"/>
  <c r="X129" i="50"/>
  <c r="V130" i="50"/>
  <c r="V120" i="32"/>
  <c r="AF175" i="69"/>
  <c r="Q175" i="69"/>
  <c r="O192" i="57"/>
  <c r="P192" i="57"/>
  <c r="AC173" i="69"/>
  <c r="AD173" i="69" s="1"/>
  <c r="AH129" i="50"/>
  <c r="AI129" i="50" s="1"/>
  <c r="AB174" i="69"/>
  <c r="AG174" i="69"/>
  <c r="O177" i="69"/>
  <c r="AO176" i="69"/>
  <c r="AK132" i="50"/>
  <c r="AE191" i="53"/>
  <c r="AF190" i="53"/>
  <c r="AM131" i="50"/>
  <c r="AL119" i="32"/>
  <c r="AI118" i="32"/>
  <c r="AN118" i="32" s="1"/>
  <c r="R191" i="53"/>
  <c r="X191" i="53" s="1"/>
  <c r="AL129" i="50"/>
  <c r="AY175" i="69"/>
  <c r="L192" i="57"/>
  <c r="AH191" i="53"/>
  <c r="AT191" i="53"/>
  <c r="AG191" i="53"/>
  <c r="N192" i="57"/>
  <c r="P192" i="53"/>
  <c r="AH175" i="69"/>
  <c r="AD191" i="53"/>
  <c r="M12" i="32"/>
  <c r="J192" i="53"/>
  <c r="G192" i="53"/>
  <c r="H192" i="53"/>
  <c r="K192" i="53"/>
  <c r="L192" i="53"/>
  <c r="Q191" i="53"/>
  <c r="I192" i="53"/>
  <c r="C192" i="53"/>
  <c r="D192" i="53"/>
  <c r="AK191" i="52" a="1"/>
  <c r="AK191" i="52" s="1"/>
  <c r="B193" i="53" s="1"/>
  <c r="F192" i="53"/>
  <c r="E192" i="53"/>
  <c r="K132" i="50"/>
  <c r="I132" i="50"/>
  <c r="L132" i="50"/>
  <c r="A132" i="50"/>
  <c r="J132" i="50"/>
  <c r="N132" i="50"/>
  <c r="B132" i="50"/>
  <c r="R132" i="50" s="1"/>
  <c r="M132" i="50"/>
  <c r="F132" i="50"/>
  <c r="U132" i="50" s="1"/>
  <c r="G132" i="50"/>
  <c r="H132" i="50"/>
  <c r="K192" i="57"/>
  <c r="J192" i="57"/>
  <c r="H192" i="57"/>
  <c r="F192" i="57"/>
  <c r="D192" i="57"/>
  <c r="C192" i="57"/>
  <c r="G192" i="57"/>
  <c r="I192" i="57"/>
  <c r="E192" i="57"/>
  <c r="E122" i="32"/>
  <c r="AN191" i="55" a="1"/>
  <c r="AN191" i="55" s="1"/>
  <c r="B193" i="57" s="1"/>
  <c r="AR177" i="67" a="1"/>
  <c r="AR177" i="67" s="1"/>
  <c r="B178" i="69"/>
  <c r="L178" i="69" s="1"/>
  <c r="D176" i="69"/>
  <c r="E176" i="69" s="1"/>
  <c r="F176" i="69" s="1"/>
  <c r="G176" i="69" s="1"/>
  <c r="H176" i="69" s="1"/>
  <c r="I176" i="69" s="1"/>
  <c r="J176" i="69" s="1"/>
  <c r="K176" i="69" s="1"/>
  <c r="M176" i="69" s="1"/>
  <c r="C177" i="69"/>
  <c r="P177" i="69" s="1"/>
  <c r="AE175" i="69"/>
  <c r="R175" i="69"/>
  <c r="S175" i="69" s="1"/>
  <c r="Y175" i="69" s="1"/>
  <c r="AL122" i="11" a="1"/>
  <c r="AL122" i="11" s="1"/>
  <c r="E123" i="32" s="1"/>
  <c r="AP132" i="59" a="1"/>
  <c r="AP132" i="59" s="1"/>
  <c r="E133" i="50" s="1"/>
  <c r="AQ22" i="59" a="1"/>
  <c r="AQ22" i="59" s="1"/>
  <c r="AD121" i="32" l="1"/>
  <c r="AG121" i="32" s="1"/>
  <c r="AH121" i="32" s="1"/>
  <c r="AD131" i="50"/>
  <c r="AG131" i="50" s="1"/>
  <c r="X190" i="57"/>
  <c r="AB190" i="57" s="1"/>
  <c r="AG192" i="57"/>
  <c r="Q191" i="57"/>
  <c r="T191" i="57" s="1"/>
  <c r="AQ191" i="57"/>
  <c r="AD191" i="57"/>
  <c r="AJ191" i="57"/>
  <c r="AF189" i="57"/>
  <c r="AA189" i="57"/>
  <c r="AC191" i="57"/>
  <c r="R191" i="57"/>
  <c r="M193" i="53"/>
  <c r="AC193" i="53" s="1"/>
  <c r="O193" i="53"/>
  <c r="AP177" i="69"/>
  <c r="N177" i="69"/>
  <c r="U177" i="69" s="1"/>
  <c r="AE191" i="57"/>
  <c r="M192" i="57"/>
  <c r="AK192" i="57" s="1"/>
  <c r="Q132" i="50"/>
  <c r="P132" i="50" s="1"/>
  <c r="N193" i="53"/>
  <c r="T123" i="32"/>
  <c r="O123" i="32"/>
  <c r="T122" i="32"/>
  <c r="O122" i="32"/>
  <c r="T133" i="50"/>
  <c r="O133" i="50"/>
  <c r="AA191" i="53"/>
  <c r="AB191" i="53"/>
  <c r="AP129" i="50"/>
  <c r="C131" i="50"/>
  <c r="AJ131" i="50"/>
  <c r="S132" i="50"/>
  <c r="Z132" i="50" s="1"/>
  <c r="C121" i="32"/>
  <c r="AJ121" i="32"/>
  <c r="W121" i="32"/>
  <c r="X121" i="32" s="1"/>
  <c r="W131" i="50"/>
  <c r="X130" i="50"/>
  <c r="V131" i="50"/>
  <c r="V121" i="32"/>
  <c r="AF176" i="69"/>
  <c r="Q176" i="69"/>
  <c r="O193" i="57"/>
  <c r="P193" i="57"/>
  <c r="AC174" i="69"/>
  <c r="AD174" i="69" s="1"/>
  <c r="AH130" i="50"/>
  <c r="AI130" i="50" s="1"/>
  <c r="AB175" i="69"/>
  <c r="AG175" i="69"/>
  <c r="AO177" i="69"/>
  <c r="O178" i="69"/>
  <c r="AK133" i="50"/>
  <c r="AE192" i="53"/>
  <c r="AF191" i="53"/>
  <c r="AK123" i="32"/>
  <c r="AK122" i="32"/>
  <c r="AM132" i="50"/>
  <c r="AL120" i="32"/>
  <c r="R192" i="53"/>
  <c r="X192" i="53" s="1"/>
  <c r="AL130" i="50"/>
  <c r="AI119" i="32"/>
  <c r="AN119" i="32" s="1"/>
  <c r="AY176" i="69"/>
  <c r="L193" i="57"/>
  <c r="AH192" i="53"/>
  <c r="AT192" i="53"/>
  <c r="AG192" i="53"/>
  <c r="N193" i="57"/>
  <c r="K193" i="53"/>
  <c r="AH176" i="69"/>
  <c r="AD192" i="53"/>
  <c r="Q192" i="53"/>
  <c r="AK192" i="52" a="1"/>
  <c r="AK192" i="52" s="1"/>
  <c r="B194" i="53" s="1"/>
  <c r="J193" i="53"/>
  <c r="D193" i="53"/>
  <c r="I193" i="53"/>
  <c r="C193" i="53"/>
  <c r="P193" i="53"/>
  <c r="E193" i="53"/>
  <c r="F193" i="53"/>
  <c r="H193" i="53"/>
  <c r="G193" i="53"/>
  <c r="L193" i="53"/>
  <c r="A123" i="32"/>
  <c r="B123" i="32"/>
  <c r="R123" i="32" s="1"/>
  <c r="A122" i="32"/>
  <c r="B122" i="32"/>
  <c r="R122" i="32" s="1"/>
  <c r="M133" i="50"/>
  <c r="F133" i="50"/>
  <c r="U133" i="50" s="1"/>
  <c r="H133" i="50"/>
  <c r="G133" i="50"/>
  <c r="I133" i="50"/>
  <c r="L133" i="50"/>
  <c r="N133" i="50"/>
  <c r="A133" i="50"/>
  <c r="J133" i="50"/>
  <c r="K133" i="50"/>
  <c r="B133" i="50"/>
  <c r="R133" i="50" s="1"/>
  <c r="M123" i="32"/>
  <c r="F123" i="32"/>
  <c r="U123" i="32" s="1"/>
  <c r="N123" i="32"/>
  <c r="H123" i="32"/>
  <c r="J123" i="32"/>
  <c r="G123" i="32"/>
  <c r="L123" i="32"/>
  <c r="K123" i="32"/>
  <c r="I123" i="32"/>
  <c r="G122" i="32"/>
  <c r="H122" i="32"/>
  <c r="J122" i="32"/>
  <c r="L122" i="32"/>
  <c r="I122" i="32"/>
  <c r="N122" i="32"/>
  <c r="F122" i="32"/>
  <c r="U122" i="32" s="1"/>
  <c r="K122" i="32"/>
  <c r="M122" i="32"/>
  <c r="J193" i="57"/>
  <c r="H193" i="57"/>
  <c r="E193" i="57"/>
  <c r="K193" i="57"/>
  <c r="G193" i="57"/>
  <c r="C193" i="57"/>
  <c r="F193" i="57"/>
  <c r="I193" i="57"/>
  <c r="D193" i="57"/>
  <c r="AN192" i="55" a="1"/>
  <c r="AN192" i="55" s="1"/>
  <c r="B194" i="57" s="1"/>
  <c r="AR178" i="67" a="1"/>
  <c r="AR178" i="67" s="1"/>
  <c r="B179" i="69"/>
  <c r="L179" i="69" s="1"/>
  <c r="R176" i="69"/>
  <c r="S176" i="69" s="1"/>
  <c r="Y176" i="69" s="1"/>
  <c r="AE176" i="69"/>
  <c r="D177" i="69"/>
  <c r="E177" i="69" s="1"/>
  <c r="F177" i="69" s="1"/>
  <c r="G177" i="69" s="1"/>
  <c r="H177" i="69" s="1"/>
  <c r="I177" i="69" s="1"/>
  <c r="J177" i="69" s="1"/>
  <c r="K177" i="69" s="1"/>
  <c r="M177" i="69" s="1"/>
  <c r="C178" i="69"/>
  <c r="P178" i="69" s="1"/>
  <c r="AL123" i="11" a="1"/>
  <c r="AL123" i="11" s="1"/>
  <c r="E124" i="32" s="1"/>
  <c r="AP133" i="59" a="1"/>
  <c r="AP133" i="59" s="1"/>
  <c r="E134" i="50" s="1"/>
  <c r="AQ23" i="59" a="1"/>
  <c r="AQ23" i="59" s="1"/>
  <c r="X191" i="57" l="1"/>
  <c r="AB191" i="57" s="1"/>
  <c r="AD132" i="50"/>
  <c r="AG132" i="50" s="1"/>
  <c r="AG193" i="57"/>
  <c r="AD192" i="57"/>
  <c r="M194" i="53"/>
  <c r="AC194" i="53" s="1"/>
  <c r="O194" i="53"/>
  <c r="AP178" i="69"/>
  <c r="N178" i="69"/>
  <c r="U178" i="69" s="1"/>
  <c r="AJ192" i="57"/>
  <c r="AE192" i="57"/>
  <c r="R192" i="57"/>
  <c r="Q192" i="57"/>
  <c r="T192" i="57" s="1"/>
  <c r="AQ192" i="57"/>
  <c r="AC192" i="57"/>
  <c r="AA190" i="57"/>
  <c r="AF190" i="57"/>
  <c r="M193" i="57"/>
  <c r="AK193" i="57" s="1"/>
  <c r="Q133" i="50"/>
  <c r="P133" i="50" s="1"/>
  <c r="Q123" i="32"/>
  <c r="P123" i="32" s="1"/>
  <c r="Q122" i="32"/>
  <c r="P122" i="32" s="1"/>
  <c r="N194" i="53"/>
  <c r="T124" i="32"/>
  <c r="O124" i="32"/>
  <c r="T134" i="50"/>
  <c r="O134" i="50"/>
  <c r="AA192" i="53"/>
  <c r="AB192" i="53"/>
  <c r="AP130" i="50"/>
  <c r="AM123" i="32"/>
  <c r="AM122" i="32"/>
  <c r="AJ132" i="50"/>
  <c r="C132" i="50"/>
  <c r="S133" i="50"/>
  <c r="Z133" i="50" s="1"/>
  <c r="S122" i="32"/>
  <c r="Z122" i="32" s="1"/>
  <c r="S123" i="32"/>
  <c r="Z123" i="32" s="1"/>
  <c r="W132" i="50"/>
  <c r="X131" i="50"/>
  <c r="V132" i="50"/>
  <c r="AF177" i="69"/>
  <c r="Q177" i="69"/>
  <c r="O194" i="57"/>
  <c r="P194" i="57"/>
  <c r="AC175" i="69"/>
  <c r="AD175" i="69" s="1"/>
  <c r="AH131" i="50"/>
  <c r="AI131" i="50" s="1"/>
  <c r="AB176" i="69"/>
  <c r="AG176" i="69"/>
  <c r="AO178" i="69"/>
  <c r="O179" i="69"/>
  <c r="AK134" i="50"/>
  <c r="AE193" i="53"/>
  <c r="AF192" i="53"/>
  <c r="AK124" i="32"/>
  <c r="AM133" i="50"/>
  <c r="AL121" i="32"/>
  <c r="AI120" i="32"/>
  <c r="AN120" i="32" s="1"/>
  <c r="R193" i="53"/>
  <c r="X193" i="53" s="1"/>
  <c r="AL131" i="50"/>
  <c r="AY177" i="69"/>
  <c r="L194" i="57"/>
  <c r="AH193" i="53"/>
  <c r="AT193" i="53"/>
  <c r="AG193" i="53"/>
  <c r="N194" i="57"/>
  <c r="L194" i="53"/>
  <c r="AH177" i="69"/>
  <c r="AD193" i="53"/>
  <c r="Q193" i="53"/>
  <c r="AK193" i="52" a="1"/>
  <c r="AK193" i="52" s="1"/>
  <c r="B195" i="53" s="1"/>
  <c r="F194" i="53"/>
  <c r="E194" i="53"/>
  <c r="P194" i="53"/>
  <c r="J194" i="53"/>
  <c r="I194" i="53"/>
  <c r="D194" i="53"/>
  <c r="C194" i="53"/>
  <c r="H194" i="53"/>
  <c r="G194" i="53"/>
  <c r="K194" i="53"/>
  <c r="A124" i="32"/>
  <c r="B124" i="32"/>
  <c r="R124" i="32" s="1"/>
  <c r="F134" i="50"/>
  <c r="U134" i="50" s="1"/>
  <c r="G134" i="50"/>
  <c r="B134" i="50"/>
  <c r="R134" i="50" s="1"/>
  <c r="L134" i="50"/>
  <c r="K134" i="50"/>
  <c r="I134" i="50"/>
  <c r="A134" i="50"/>
  <c r="M134" i="50"/>
  <c r="J134" i="50"/>
  <c r="N134" i="50"/>
  <c r="H134" i="50"/>
  <c r="K124" i="32"/>
  <c r="L124" i="32"/>
  <c r="F124" i="32"/>
  <c r="U124" i="32" s="1"/>
  <c r="N124" i="32"/>
  <c r="H124" i="32"/>
  <c r="J124" i="32"/>
  <c r="M124" i="32"/>
  <c r="G124" i="32"/>
  <c r="I124" i="32"/>
  <c r="J194" i="57"/>
  <c r="D194" i="57"/>
  <c r="H194" i="57"/>
  <c r="C194" i="57"/>
  <c r="K194" i="57"/>
  <c r="F194" i="57"/>
  <c r="I194" i="57"/>
  <c r="G194" i="57"/>
  <c r="E194" i="57"/>
  <c r="AN193" i="55" a="1"/>
  <c r="AN193" i="55" s="1"/>
  <c r="B195" i="57" s="1"/>
  <c r="AR179" i="67" a="1"/>
  <c r="AR179" i="67" s="1"/>
  <c r="B180" i="69"/>
  <c r="L180" i="69" s="1"/>
  <c r="R177" i="69"/>
  <c r="S177" i="69" s="1"/>
  <c r="Y177" i="69" s="1"/>
  <c r="AE177" i="69"/>
  <c r="C179" i="69"/>
  <c r="P179" i="69" s="1"/>
  <c r="D178" i="69"/>
  <c r="E178" i="69" s="1"/>
  <c r="F178" i="69" s="1"/>
  <c r="G178" i="69" s="1"/>
  <c r="H178" i="69" s="1"/>
  <c r="I178" i="69" s="1"/>
  <c r="J178" i="69" s="1"/>
  <c r="K178" i="69" s="1"/>
  <c r="M178" i="69" s="1"/>
  <c r="AL124" i="11" a="1"/>
  <c r="AL124" i="11" s="1"/>
  <c r="E125" i="32" s="1"/>
  <c r="AP134" i="59" a="1"/>
  <c r="AP134" i="59" s="1"/>
  <c r="E135" i="50" s="1"/>
  <c r="AQ24" i="59" a="1"/>
  <c r="AQ24" i="59" s="1"/>
  <c r="AC21" i="11"/>
  <c r="Q21" i="11" s="1"/>
  <c r="F61" i="22" s="1"/>
  <c r="F132" i="22" l="1"/>
  <c r="X21" i="11"/>
  <c r="AF191" i="57"/>
  <c r="AD123" i="32"/>
  <c r="AG123" i="32" s="1"/>
  <c r="AH123" i="32" s="1"/>
  <c r="AD122" i="32"/>
  <c r="AG122" i="32" s="1"/>
  <c r="AH122" i="32" s="1"/>
  <c r="AD133" i="50"/>
  <c r="AG133" i="50" s="1"/>
  <c r="AG194" i="57"/>
  <c r="X192" i="57"/>
  <c r="AB192" i="57" s="1"/>
  <c r="AA191" i="57"/>
  <c r="M195" i="53"/>
  <c r="AC195" i="53" s="1"/>
  <c r="O195" i="53"/>
  <c r="AP179" i="69"/>
  <c r="N179" i="69"/>
  <c r="U179" i="69" s="1"/>
  <c r="AJ193" i="57"/>
  <c r="AD193" i="57"/>
  <c r="AC193" i="57"/>
  <c r="Q193" i="57"/>
  <c r="T193" i="57" s="1"/>
  <c r="AQ193" i="57"/>
  <c r="AE193" i="57"/>
  <c r="R193" i="57"/>
  <c r="M194" i="57"/>
  <c r="AK194" i="57" s="1"/>
  <c r="Q134" i="50"/>
  <c r="P134" i="50" s="1"/>
  <c r="Q124" i="32"/>
  <c r="P124" i="32" s="1"/>
  <c r="N195" i="53"/>
  <c r="T125" i="32"/>
  <c r="O125" i="32"/>
  <c r="T135" i="50"/>
  <c r="O135" i="50"/>
  <c r="AA193" i="53"/>
  <c r="AB193" i="53"/>
  <c r="AP131" i="50"/>
  <c r="AM124" i="32"/>
  <c r="AJ133" i="50"/>
  <c r="C133" i="50"/>
  <c r="S134" i="50"/>
  <c r="Z134" i="50" s="1"/>
  <c r="C123" i="32"/>
  <c r="AJ123" i="32"/>
  <c r="W123" i="32"/>
  <c r="X123" i="32" s="1"/>
  <c r="AJ122" i="32"/>
  <c r="W122" i="32"/>
  <c r="X122" i="32" s="1"/>
  <c r="C122" i="32"/>
  <c r="S124" i="32"/>
  <c r="Z124" i="32" s="1"/>
  <c r="W133" i="50"/>
  <c r="X132" i="50"/>
  <c r="V133" i="50"/>
  <c r="V122" i="32"/>
  <c r="V123" i="32"/>
  <c r="AF178" i="69"/>
  <c r="Q178" i="69"/>
  <c r="O195" i="57"/>
  <c r="P195" i="57"/>
  <c r="AC176" i="69"/>
  <c r="AD176" i="69" s="1"/>
  <c r="AH132" i="50"/>
  <c r="AI132" i="50" s="1"/>
  <c r="AB177" i="69"/>
  <c r="AG177" i="69"/>
  <c r="O180" i="69"/>
  <c r="AO179" i="69"/>
  <c r="AK135" i="50"/>
  <c r="AF193" i="53"/>
  <c r="AE194" i="53"/>
  <c r="AK125" i="32"/>
  <c r="AM134" i="50"/>
  <c r="AI121" i="32"/>
  <c r="AN121" i="32" s="1"/>
  <c r="R194" i="53"/>
  <c r="X194" i="53" s="1"/>
  <c r="AL132" i="50"/>
  <c r="I82" i="22"/>
  <c r="N22" i="32"/>
  <c r="AY178" i="69"/>
  <c r="L195" i="57"/>
  <c r="AG194" i="53"/>
  <c r="AH194" i="53"/>
  <c r="AT194" i="53"/>
  <c r="N195" i="57"/>
  <c r="AH178" i="69"/>
  <c r="Q194" i="53"/>
  <c r="AD194" i="53"/>
  <c r="AK194" i="52" a="1"/>
  <c r="AK194" i="52" s="1"/>
  <c r="B196" i="53" s="1"/>
  <c r="J195" i="53"/>
  <c r="E195" i="53"/>
  <c r="H195" i="53"/>
  <c r="G195" i="53"/>
  <c r="K195" i="53"/>
  <c r="D195" i="53"/>
  <c r="F195" i="53"/>
  <c r="P195" i="53"/>
  <c r="C195" i="53"/>
  <c r="I195" i="53"/>
  <c r="L195" i="53"/>
  <c r="A125" i="32"/>
  <c r="B125" i="32"/>
  <c r="R125" i="32" s="1"/>
  <c r="M135" i="50"/>
  <c r="G135" i="50"/>
  <c r="A135" i="50"/>
  <c r="L135" i="50"/>
  <c r="J135" i="50"/>
  <c r="K135" i="50"/>
  <c r="F135" i="50"/>
  <c r="U135" i="50" s="1"/>
  <c r="I135" i="50"/>
  <c r="B135" i="50"/>
  <c r="R135" i="50" s="1"/>
  <c r="N135" i="50"/>
  <c r="H135" i="50"/>
  <c r="I125" i="32"/>
  <c r="J125" i="32"/>
  <c r="L125" i="32"/>
  <c r="F125" i="32"/>
  <c r="U125" i="32" s="1"/>
  <c r="N125" i="32"/>
  <c r="K125" i="32"/>
  <c r="H125" i="32"/>
  <c r="G125" i="32"/>
  <c r="M125" i="32"/>
  <c r="I195" i="57"/>
  <c r="F195" i="57"/>
  <c r="E195" i="57"/>
  <c r="D195" i="57"/>
  <c r="J195" i="57"/>
  <c r="K195" i="57"/>
  <c r="G195" i="57"/>
  <c r="H195" i="57"/>
  <c r="C195" i="57"/>
  <c r="AN194" i="55" a="1"/>
  <c r="AN194" i="55" s="1"/>
  <c r="B196" i="57" s="1"/>
  <c r="AR180" i="67" a="1"/>
  <c r="AR180" i="67" s="1"/>
  <c r="B181" i="69"/>
  <c r="L181" i="69" s="1"/>
  <c r="R178" i="69"/>
  <c r="S178" i="69" s="1"/>
  <c r="Y178" i="69" s="1"/>
  <c r="AE178" i="69"/>
  <c r="D179" i="69"/>
  <c r="E179" i="69" s="1"/>
  <c r="F179" i="69" s="1"/>
  <c r="G179" i="69" s="1"/>
  <c r="H179" i="69" s="1"/>
  <c r="I179" i="69" s="1"/>
  <c r="J179" i="69" s="1"/>
  <c r="K179" i="69" s="1"/>
  <c r="M179" i="69" s="1"/>
  <c r="C180" i="69"/>
  <c r="P180" i="69" s="1"/>
  <c r="AL125" i="11" a="1"/>
  <c r="AL125" i="11" s="1"/>
  <c r="E126" i="32" s="1"/>
  <c r="AP135" i="59" a="1"/>
  <c r="AP135" i="59" s="1"/>
  <c r="E136" i="50" s="1"/>
  <c r="I4" i="22"/>
  <c r="I13" i="22"/>
  <c r="AQ25" i="59" a="1"/>
  <c r="AQ25" i="59" s="1"/>
  <c r="I66" i="22"/>
  <c r="I7" i="22"/>
  <c r="I59" i="22"/>
  <c r="I10" i="22"/>
  <c r="AH13" i="11"/>
  <c r="AH15" i="11"/>
  <c r="AH16" i="11"/>
  <c r="AH17" i="11"/>
  <c r="AH19" i="11"/>
  <c r="AD124" i="32" l="1"/>
  <c r="AG124" i="32" s="1"/>
  <c r="AH124" i="32" s="1"/>
  <c r="AD134" i="50"/>
  <c r="AG134" i="50" s="1"/>
  <c r="X193" i="57"/>
  <c r="AB193" i="57" s="1"/>
  <c r="AG195" i="57"/>
  <c r="M196" i="53"/>
  <c r="AC196" i="53" s="1"/>
  <c r="O196" i="53"/>
  <c r="AP180" i="69"/>
  <c r="N180" i="69"/>
  <c r="U180" i="69" s="1"/>
  <c r="AA192" i="57"/>
  <c r="AF192" i="57"/>
  <c r="AQ194" i="57"/>
  <c r="Q194" i="57"/>
  <c r="T194" i="57" s="1"/>
  <c r="AD194" i="57"/>
  <c r="AJ194" i="57"/>
  <c r="R194" i="57"/>
  <c r="AE194" i="57"/>
  <c r="AC194" i="57"/>
  <c r="M195" i="57"/>
  <c r="AK195" i="57" s="1"/>
  <c r="Q135" i="50"/>
  <c r="P135" i="50" s="1"/>
  <c r="Q125" i="32"/>
  <c r="P125" i="32" s="1"/>
  <c r="N196" i="53"/>
  <c r="T126" i="32"/>
  <c r="O126" i="32"/>
  <c r="T136" i="50"/>
  <c r="O136" i="50"/>
  <c r="AA194" i="53"/>
  <c r="AB194" i="53"/>
  <c r="AP132" i="50"/>
  <c r="AM125" i="32"/>
  <c r="C134" i="50"/>
  <c r="AJ134" i="50"/>
  <c r="S135" i="50"/>
  <c r="Z135" i="50" s="1"/>
  <c r="I19" i="22"/>
  <c r="BG6" i="22" s="1"/>
  <c r="N18" i="32"/>
  <c r="BG15" i="22"/>
  <c r="C124" i="32"/>
  <c r="W124" i="32"/>
  <c r="X124" i="32" s="1"/>
  <c r="AJ124" i="32"/>
  <c r="S125" i="32"/>
  <c r="Z125" i="32" s="1"/>
  <c r="W134" i="50"/>
  <c r="X133" i="50"/>
  <c r="V134" i="50"/>
  <c r="V124" i="32"/>
  <c r="T259" i="59"/>
  <c r="AF179" i="69"/>
  <c r="Q179" i="69"/>
  <c r="O196" i="57"/>
  <c r="P196" i="57"/>
  <c r="AC177" i="69"/>
  <c r="AD177" i="69" s="1"/>
  <c r="AH133" i="50"/>
  <c r="AI133" i="50" s="1"/>
  <c r="AB178" i="69"/>
  <c r="AG178" i="69"/>
  <c r="O181" i="69"/>
  <c r="AO180" i="69"/>
  <c r="AK136" i="50"/>
  <c r="AE195" i="53"/>
  <c r="AF194" i="53"/>
  <c r="AK126" i="32"/>
  <c r="Q259" i="59"/>
  <c r="L20" i="73" s="1"/>
  <c r="AM135" i="50"/>
  <c r="AL123" i="32"/>
  <c r="AL122" i="32"/>
  <c r="R195" i="53"/>
  <c r="X195" i="53" s="1"/>
  <c r="AL133" i="50"/>
  <c r="BG8" i="22"/>
  <c r="BG12" i="22"/>
  <c r="L48" i="36"/>
  <c r="L42" i="36"/>
  <c r="L46" i="36"/>
  <c r="L44" i="36"/>
  <c r="L40" i="36"/>
  <c r="AY179" i="69"/>
  <c r="L196" i="57"/>
  <c r="AH195" i="53"/>
  <c r="AT195" i="53"/>
  <c r="AG195" i="53"/>
  <c r="N196" i="57"/>
  <c r="I196" i="53"/>
  <c r="AH179" i="69"/>
  <c r="AD195" i="53"/>
  <c r="Q195" i="53"/>
  <c r="L196" i="53"/>
  <c r="G196" i="53"/>
  <c r="H196" i="53"/>
  <c r="F196" i="53"/>
  <c r="D196" i="53"/>
  <c r="K196" i="53"/>
  <c r="E196" i="53"/>
  <c r="P196" i="53"/>
  <c r="J196" i="53"/>
  <c r="AK195" i="52" a="1"/>
  <c r="AK195" i="52" s="1"/>
  <c r="B197" i="53" s="1"/>
  <c r="C196" i="53"/>
  <c r="A126" i="32"/>
  <c r="B126" i="32"/>
  <c r="R126" i="32" s="1"/>
  <c r="F136" i="50"/>
  <c r="U136" i="50" s="1"/>
  <c r="N136" i="50"/>
  <c r="G136" i="50"/>
  <c r="J136" i="50"/>
  <c r="H136" i="50"/>
  <c r="I136" i="50"/>
  <c r="B136" i="50"/>
  <c r="R136" i="50" s="1"/>
  <c r="M136" i="50"/>
  <c r="A136" i="50"/>
  <c r="K136" i="50"/>
  <c r="L136" i="50"/>
  <c r="G126" i="32"/>
  <c r="H126" i="32"/>
  <c r="J126" i="32"/>
  <c r="L126" i="32"/>
  <c r="F126" i="32"/>
  <c r="U126" i="32" s="1"/>
  <c r="I126" i="32"/>
  <c r="N126" i="32"/>
  <c r="M126" i="32"/>
  <c r="K126" i="32"/>
  <c r="K196" i="57"/>
  <c r="H196" i="57"/>
  <c r="F196" i="57"/>
  <c r="C196" i="57"/>
  <c r="I196" i="57"/>
  <c r="J196" i="57"/>
  <c r="E196" i="57"/>
  <c r="G196" i="57"/>
  <c r="D196" i="57"/>
  <c r="AN195" i="55" a="1"/>
  <c r="AN195" i="55" s="1"/>
  <c r="B197" i="57" s="1"/>
  <c r="AR181" i="67" a="1"/>
  <c r="AR181" i="67" s="1"/>
  <c r="B182" i="69"/>
  <c r="L182" i="69" s="1"/>
  <c r="AE179" i="69"/>
  <c r="R179" i="69"/>
  <c r="S179" i="69" s="1"/>
  <c r="D180" i="69"/>
  <c r="E180" i="69" s="1"/>
  <c r="F180" i="69" s="1"/>
  <c r="G180" i="69" s="1"/>
  <c r="H180" i="69" s="1"/>
  <c r="I180" i="69" s="1"/>
  <c r="J180" i="69" s="1"/>
  <c r="K180" i="69" s="1"/>
  <c r="M180" i="69" s="1"/>
  <c r="C181" i="69"/>
  <c r="P181" i="69" s="1"/>
  <c r="AL126" i="11" a="1"/>
  <c r="AL126" i="11" s="1"/>
  <c r="E127" i="32" s="1"/>
  <c r="I26" i="22"/>
  <c r="AP136" i="59" a="1"/>
  <c r="AP136" i="59" s="1"/>
  <c r="E137" i="50" s="1"/>
  <c r="I5" i="22"/>
  <c r="I46" i="22"/>
  <c r="AQ26" i="59" a="1"/>
  <c r="AQ26" i="59" s="1"/>
  <c r="I58" i="22"/>
  <c r="I23" i="22"/>
  <c r="AH20" i="11"/>
  <c r="AH258" i="11"/>
  <c r="AH24" i="11"/>
  <c r="AH31" i="11"/>
  <c r="I49" i="22"/>
  <c r="AH22" i="11"/>
  <c r="AH21" i="11"/>
  <c r="AH18" i="11"/>
  <c r="AH14" i="11"/>
  <c r="AH23" i="11"/>
  <c r="AH12" i="11"/>
  <c r="AH25" i="11"/>
  <c r="AH233" i="11"/>
  <c r="AH256" i="11"/>
  <c r="AH240" i="11"/>
  <c r="AH216" i="11"/>
  <c r="AH200" i="11"/>
  <c r="AH184" i="11"/>
  <c r="AH168" i="11"/>
  <c r="AH152" i="11"/>
  <c r="AH136" i="11"/>
  <c r="AH120" i="11"/>
  <c r="AH104" i="11"/>
  <c r="AH88" i="11"/>
  <c r="AH72" i="11"/>
  <c r="AH56" i="11"/>
  <c r="AH40" i="11"/>
  <c r="AH255" i="11"/>
  <c r="AH247" i="11"/>
  <c r="AH239" i="11"/>
  <c r="AH231" i="11"/>
  <c r="AH223" i="11"/>
  <c r="AH215" i="11"/>
  <c r="AH207" i="11"/>
  <c r="AH199" i="11"/>
  <c r="AH191" i="11"/>
  <c r="AH183" i="11"/>
  <c r="AH175" i="11"/>
  <c r="AH167" i="11"/>
  <c r="AH159" i="11"/>
  <c r="AH151" i="11"/>
  <c r="AH143" i="11"/>
  <c r="AH135" i="11"/>
  <c r="AH127" i="11"/>
  <c r="AH119" i="11"/>
  <c r="AH111" i="11"/>
  <c r="AH103" i="11"/>
  <c r="AH95" i="11"/>
  <c r="AH87" i="11"/>
  <c r="AH79" i="11"/>
  <c r="AH71" i="11"/>
  <c r="AH63" i="11"/>
  <c r="AH55" i="11"/>
  <c r="AH47" i="11"/>
  <c r="AH39" i="11"/>
  <c r="AH226" i="11"/>
  <c r="AH178" i="11"/>
  <c r="AH130" i="11"/>
  <c r="AH66" i="11"/>
  <c r="AH254" i="11"/>
  <c r="AH230" i="11"/>
  <c r="AH222" i="11"/>
  <c r="AH214" i="11"/>
  <c r="AH206" i="11"/>
  <c r="AH198" i="11"/>
  <c r="AH190" i="11"/>
  <c r="AH182" i="11"/>
  <c r="AH174" i="11"/>
  <c r="AH166" i="11"/>
  <c r="AH158" i="11"/>
  <c r="AH150" i="11"/>
  <c r="AH142" i="11"/>
  <c r="AH134" i="11"/>
  <c r="AH126" i="11"/>
  <c r="AH118" i="11"/>
  <c r="AH110" i="11"/>
  <c r="AH102" i="11"/>
  <c r="AH94" i="11"/>
  <c r="AH86" i="11"/>
  <c r="AH78" i="11"/>
  <c r="AH70" i="11"/>
  <c r="AH62" i="11"/>
  <c r="AH54" i="11"/>
  <c r="AH46" i="11"/>
  <c r="AH38" i="11"/>
  <c r="AH30" i="11"/>
  <c r="AH210" i="11"/>
  <c r="AH162" i="11"/>
  <c r="AH114" i="11"/>
  <c r="AH74" i="11"/>
  <c r="AH34" i="11"/>
  <c r="AH253" i="11"/>
  <c r="AH237" i="11"/>
  <c r="AH221" i="11"/>
  <c r="AH213" i="11"/>
  <c r="AH205" i="11"/>
  <c r="AH197" i="11"/>
  <c r="AH189" i="11"/>
  <c r="AH181" i="11"/>
  <c r="AH173" i="11"/>
  <c r="AH165" i="11"/>
  <c r="AH157" i="11"/>
  <c r="AH149" i="11"/>
  <c r="AH141" i="11"/>
  <c r="AH133" i="11"/>
  <c r="AH125" i="11"/>
  <c r="AH117" i="11"/>
  <c r="AH109" i="11"/>
  <c r="AH101" i="11"/>
  <c r="AH93" i="11"/>
  <c r="AH85" i="11"/>
  <c r="AH77" i="11"/>
  <c r="AH69" i="11"/>
  <c r="AH61" i="11"/>
  <c r="AH53" i="11"/>
  <c r="AH45" i="11"/>
  <c r="AH37" i="11"/>
  <c r="AH29" i="11"/>
  <c r="AH250" i="11"/>
  <c r="AH218" i="11"/>
  <c r="AH186" i="11"/>
  <c r="AH154" i="11"/>
  <c r="AH122" i="11"/>
  <c r="AH90" i="11"/>
  <c r="AH42" i="11"/>
  <c r="AH238" i="11"/>
  <c r="AH245" i="11"/>
  <c r="AH244" i="11"/>
  <c r="AH220" i="11"/>
  <c r="AH204" i="11"/>
  <c r="AH188" i="11"/>
  <c r="AH172" i="11"/>
  <c r="AH148" i="11"/>
  <c r="AH132" i="11"/>
  <c r="AH116" i="11"/>
  <c r="AH100" i="11"/>
  <c r="AH84" i="11"/>
  <c r="AH68" i="11"/>
  <c r="AH52" i="11"/>
  <c r="AH44" i="11"/>
  <c r="AH36" i="11"/>
  <c r="AH28" i="11"/>
  <c r="AH242" i="11"/>
  <c r="AH194" i="11"/>
  <c r="AH146" i="11"/>
  <c r="AH106" i="11"/>
  <c r="AH82" i="11"/>
  <c r="AH50" i="11"/>
  <c r="AH26" i="11"/>
  <c r="AH246" i="11"/>
  <c r="AH229" i="11"/>
  <c r="AH252" i="11"/>
  <c r="AH236" i="11"/>
  <c r="AH228" i="11"/>
  <c r="AH212" i="11"/>
  <c r="AH196" i="11"/>
  <c r="AH180" i="11"/>
  <c r="AH164" i="11"/>
  <c r="AH156" i="11"/>
  <c r="AH140" i="11"/>
  <c r="AH124" i="11"/>
  <c r="AH108" i="11"/>
  <c r="AH92" i="11"/>
  <c r="AH76" i="11"/>
  <c r="AH60" i="11"/>
  <c r="AH251" i="11"/>
  <c r="AH243" i="11"/>
  <c r="AH235" i="11"/>
  <c r="AH227" i="11"/>
  <c r="AH219" i="11"/>
  <c r="AH211" i="11"/>
  <c r="AH203" i="11"/>
  <c r="AH195" i="11"/>
  <c r="AH187" i="11"/>
  <c r="AH179" i="11"/>
  <c r="AH171" i="11"/>
  <c r="AH163" i="11"/>
  <c r="AH155" i="11"/>
  <c r="AH147" i="11"/>
  <c r="AH139" i="11"/>
  <c r="AH131" i="11"/>
  <c r="AH123" i="11"/>
  <c r="AH115" i="11"/>
  <c r="AH107" i="11"/>
  <c r="AH99" i="11"/>
  <c r="AH91" i="11"/>
  <c r="AH83" i="11"/>
  <c r="AH75" i="11"/>
  <c r="AH67" i="11"/>
  <c r="AH59" i="11"/>
  <c r="AH51" i="11"/>
  <c r="AH43" i="11"/>
  <c r="AH35" i="11"/>
  <c r="AH27" i="11"/>
  <c r="AH257" i="11"/>
  <c r="AH249" i="11"/>
  <c r="AH225" i="11"/>
  <c r="AH217" i="11"/>
  <c r="AH209" i="11"/>
  <c r="AH201" i="11"/>
  <c r="AH193" i="11"/>
  <c r="AH185" i="11"/>
  <c r="AH177" i="11"/>
  <c r="AH169" i="11"/>
  <c r="AH161" i="11"/>
  <c r="AH153" i="11"/>
  <c r="AH145" i="11"/>
  <c r="AH137" i="11"/>
  <c r="AH129" i="11"/>
  <c r="AH121" i="11"/>
  <c r="AH113" i="11"/>
  <c r="AH105" i="11"/>
  <c r="AH97" i="11"/>
  <c r="AH89" i="11"/>
  <c r="AH81" i="11"/>
  <c r="AH73" i="11"/>
  <c r="AH65" i="11"/>
  <c r="AH57" i="11"/>
  <c r="AH49" i="11"/>
  <c r="AH41" i="11"/>
  <c r="AH33" i="11"/>
  <c r="AH234" i="11"/>
  <c r="AH202" i="11"/>
  <c r="AH170" i="11"/>
  <c r="AH138" i="11"/>
  <c r="AH98" i="11"/>
  <c r="AH58" i="11"/>
  <c r="AH241" i="11"/>
  <c r="AH248" i="11"/>
  <c r="AH232" i="11"/>
  <c r="AH224" i="11"/>
  <c r="AH208" i="11"/>
  <c r="AH192" i="11"/>
  <c r="AH176" i="11"/>
  <c r="AH160" i="11"/>
  <c r="AH144" i="11"/>
  <c r="AH128" i="11"/>
  <c r="AH112" i="11"/>
  <c r="AH96" i="11"/>
  <c r="AH80" i="11"/>
  <c r="AH64" i="11"/>
  <c r="AH48" i="11"/>
  <c r="AH32" i="11"/>
  <c r="L90" i="22"/>
  <c r="L58" i="22"/>
  <c r="L32" i="22"/>
  <c r="L28" i="22"/>
  <c r="L61" i="22"/>
  <c r="L47" i="22"/>
  <c r="L43" i="22"/>
  <c r="L40" i="22"/>
  <c r="L35" i="22"/>
  <c r="L85" i="22"/>
  <c r="L31" i="22"/>
  <c r="D21" i="36" l="1"/>
  <c r="F24" i="96" s="1"/>
  <c r="Y179" i="69"/>
  <c r="AB179" i="69" s="1"/>
  <c r="AC179" i="69" s="1"/>
  <c r="AD179" i="69" s="1"/>
  <c r="AD125" i="32"/>
  <c r="AG125" i="32" s="1"/>
  <c r="AH125" i="32" s="1"/>
  <c r="AD135" i="50"/>
  <c r="AG135" i="50" s="1"/>
  <c r="AD195" i="57"/>
  <c r="AJ195" i="57"/>
  <c r="X194" i="57"/>
  <c r="AF194" i="57" s="1"/>
  <c r="AG196" i="57"/>
  <c r="Q195" i="57"/>
  <c r="T195" i="57" s="1"/>
  <c r="AQ195" i="57"/>
  <c r="R195" i="57"/>
  <c r="AC195" i="57"/>
  <c r="AA193" i="57"/>
  <c r="M197" i="53"/>
  <c r="AC197" i="53" s="1"/>
  <c r="O197" i="53"/>
  <c r="AP181" i="69"/>
  <c r="N181" i="69"/>
  <c r="U181" i="69" s="1"/>
  <c r="AF193" i="57"/>
  <c r="AE195" i="57"/>
  <c r="M196" i="57"/>
  <c r="AK196" i="57" s="1"/>
  <c r="Q136" i="50"/>
  <c r="P136" i="50" s="1"/>
  <c r="Q126" i="32"/>
  <c r="P126" i="32" s="1"/>
  <c r="H20" i="73"/>
  <c r="N197" i="53"/>
  <c r="T127" i="32"/>
  <c r="O127" i="32"/>
  <c r="O137" i="50"/>
  <c r="T137" i="50"/>
  <c r="AA195" i="53"/>
  <c r="AB195" i="53"/>
  <c r="AP133" i="50"/>
  <c r="AM126" i="32"/>
  <c r="C135" i="50"/>
  <c r="AJ135" i="50"/>
  <c r="S136" i="50"/>
  <c r="Z136" i="50" s="1"/>
  <c r="AQ21" i="11"/>
  <c r="C125" i="32"/>
  <c r="W125" i="32"/>
  <c r="X125" i="32" s="1"/>
  <c r="AJ125" i="32"/>
  <c r="S126" i="32"/>
  <c r="Z126" i="32" s="1"/>
  <c r="W135" i="50"/>
  <c r="X134" i="50"/>
  <c r="V135" i="50"/>
  <c r="V125" i="32"/>
  <c r="AF180" i="69"/>
  <c r="Q180" i="69"/>
  <c r="O197" i="57"/>
  <c r="P197" i="57"/>
  <c r="D24" i="36"/>
  <c r="AC178" i="69"/>
  <c r="AD178" i="69" s="1"/>
  <c r="AH134" i="50"/>
  <c r="AI134" i="50" s="1"/>
  <c r="F56" i="22"/>
  <c r="F16" i="22"/>
  <c r="F57" i="22"/>
  <c r="AO181" i="69"/>
  <c r="O182" i="69"/>
  <c r="F4" i="22"/>
  <c r="F9" i="22"/>
  <c r="AK137" i="50"/>
  <c r="D27" i="36"/>
  <c r="F62" i="22"/>
  <c r="AF195" i="53"/>
  <c r="AE196" i="53"/>
  <c r="AK127" i="32"/>
  <c r="AM136" i="50"/>
  <c r="AL124" i="32"/>
  <c r="AI122" i="32"/>
  <c r="AN122" i="32" s="1"/>
  <c r="R196" i="53"/>
  <c r="X196" i="53" s="1"/>
  <c r="AL134" i="50"/>
  <c r="BG16" i="22"/>
  <c r="BG7" i="22"/>
  <c r="AI123" i="32"/>
  <c r="AN123" i="32" s="1"/>
  <c r="AY180" i="69"/>
  <c r="L197" i="57"/>
  <c r="AH196" i="53"/>
  <c r="AT196" i="53"/>
  <c r="AG196" i="53"/>
  <c r="N197" i="57"/>
  <c r="E197" i="53"/>
  <c r="AH180" i="69"/>
  <c r="AD196" i="53"/>
  <c r="I12" i="32"/>
  <c r="T12" i="32" s="1"/>
  <c r="U12" i="32" s="1"/>
  <c r="Q196" i="53"/>
  <c r="P197" i="53"/>
  <c r="H197" i="53"/>
  <c r="C197" i="53"/>
  <c r="I197" i="53"/>
  <c r="F197" i="53"/>
  <c r="K197" i="53"/>
  <c r="L197" i="53"/>
  <c r="D197" i="53"/>
  <c r="AK196" i="52" a="1"/>
  <c r="AK196" i="52" s="1"/>
  <c r="B198" i="53" s="1"/>
  <c r="J197" i="53"/>
  <c r="G197" i="53"/>
  <c r="A127" i="32"/>
  <c r="B127" i="32"/>
  <c r="R127" i="32" s="1"/>
  <c r="J137" i="50"/>
  <c r="F137" i="50"/>
  <c r="U137" i="50" s="1"/>
  <c r="M137" i="50"/>
  <c r="H137" i="50"/>
  <c r="K137" i="50"/>
  <c r="I137" i="50"/>
  <c r="G137" i="50"/>
  <c r="A137" i="50"/>
  <c r="N137" i="50"/>
  <c r="L137" i="50"/>
  <c r="B137" i="50"/>
  <c r="R137" i="50" s="1"/>
  <c r="M127" i="32"/>
  <c r="F127" i="32"/>
  <c r="U127" i="32" s="1"/>
  <c r="N127" i="32"/>
  <c r="H127" i="32"/>
  <c r="J127" i="32"/>
  <c r="G127" i="32"/>
  <c r="L127" i="32"/>
  <c r="I127" i="32"/>
  <c r="K127" i="32"/>
  <c r="V11" i="11"/>
  <c r="U11" i="11"/>
  <c r="H135" i="22" s="1"/>
  <c r="J197" i="57"/>
  <c r="E197" i="57"/>
  <c r="K197" i="57"/>
  <c r="G197" i="57"/>
  <c r="C197" i="57"/>
  <c r="I197" i="57"/>
  <c r="D197" i="57"/>
  <c r="F197" i="57"/>
  <c r="H197" i="57"/>
  <c r="AN196" i="55" a="1"/>
  <c r="AN196" i="55" s="1"/>
  <c r="B198" i="57" s="1"/>
  <c r="R180" i="69"/>
  <c r="S180" i="69" s="1"/>
  <c r="Y180" i="69" s="1"/>
  <c r="AE180" i="69"/>
  <c r="D181" i="69"/>
  <c r="E181" i="69" s="1"/>
  <c r="F181" i="69" s="1"/>
  <c r="G181" i="69" s="1"/>
  <c r="H181" i="69" s="1"/>
  <c r="I181" i="69" s="1"/>
  <c r="J181" i="69" s="1"/>
  <c r="K181" i="69" s="1"/>
  <c r="M181" i="69" s="1"/>
  <c r="C182" i="69"/>
  <c r="P182" i="69" s="1"/>
  <c r="AR182" i="67" a="1"/>
  <c r="AR182" i="67" s="1"/>
  <c r="B183" i="69"/>
  <c r="L183" i="69" s="1"/>
  <c r="AL127" i="11" a="1"/>
  <c r="AL127" i="11" s="1"/>
  <c r="E128" i="32" s="1"/>
  <c r="L57" i="22"/>
  <c r="L53" i="22"/>
  <c r="L54" i="22"/>
  <c r="L14" i="22"/>
  <c r="L45" i="22"/>
  <c r="L60" i="22"/>
  <c r="L39" i="22"/>
  <c r="L100" i="22"/>
  <c r="L82" i="22"/>
  <c r="L69" i="22"/>
  <c r="L101" i="22"/>
  <c r="L62" i="22"/>
  <c r="L74" i="22"/>
  <c r="L72" i="22"/>
  <c r="L41" i="22"/>
  <c r="L36" i="22"/>
  <c r="L75" i="22"/>
  <c r="L23" i="22"/>
  <c r="L56" i="22"/>
  <c r="L71" i="22"/>
  <c r="L84" i="22"/>
  <c r="L99" i="22"/>
  <c r="L24" i="22"/>
  <c r="L86" i="22"/>
  <c r="L88" i="22"/>
  <c r="L79" i="22"/>
  <c r="L51" i="22"/>
  <c r="L98" i="22"/>
  <c r="L37" i="22"/>
  <c r="L27" i="22"/>
  <c r="L91" i="22"/>
  <c r="L63" i="22"/>
  <c r="L89" i="22"/>
  <c r="L18" i="22"/>
  <c r="L48" i="22"/>
  <c r="L93" i="22"/>
  <c r="L50" i="22"/>
  <c r="L26" i="22"/>
  <c r="L73" i="22"/>
  <c r="L87" i="22"/>
  <c r="L46" i="22"/>
  <c r="L25" i="22"/>
  <c r="L96" i="22"/>
  <c r="L67" i="22"/>
  <c r="L83" i="22"/>
  <c r="L16" i="22"/>
  <c r="L30" i="22"/>
  <c r="L49" i="22"/>
  <c r="L65" i="22"/>
  <c r="L42" i="22"/>
  <c r="L20" i="22"/>
  <c r="L21" i="22"/>
  <c r="L29" i="22"/>
  <c r="L44" i="22"/>
  <c r="L70" i="22"/>
  <c r="L19" i="22"/>
  <c r="L33" i="22"/>
  <c r="L52" i="22"/>
  <c r="L68" i="22"/>
  <c r="L97" i="22"/>
  <c r="L15" i="22"/>
  <c r="AP137" i="59" a="1"/>
  <c r="AP137" i="59" s="1"/>
  <c r="E138" i="50" s="1"/>
  <c r="AQ27" i="59" a="1"/>
  <c r="AQ27" i="59" s="1"/>
  <c r="L10" i="22"/>
  <c r="L34" i="22"/>
  <c r="L9" i="22"/>
  <c r="L11" i="22"/>
  <c r="L22" i="22"/>
  <c r="L12" i="22"/>
  <c r="H127" i="22"/>
  <c r="H43" i="22"/>
  <c r="H104" i="22"/>
  <c r="AM11" i="11" a="1"/>
  <c r="AM11" i="11" s="1"/>
  <c r="L13" i="22"/>
  <c r="V259" i="11" l="1" a="1"/>
  <c r="V259" i="11" s="1"/>
  <c r="D28" i="36" s="1"/>
  <c r="AA194" i="57"/>
  <c r="AD136" i="50"/>
  <c r="AG136" i="50" s="1"/>
  <c r="AG179" i="69"/>
  <c r="AD126" i="32"/>
  <c r="AG126" i="32" s="1"/>
  <c r="AH126" i="32" s="1"/>
  <c r="X195" i="57"/>
  <c r="AA195" i="57" s="1"/>
  <c r="AG197" i="57"/>
  <c r="U259" i="11" a="1"/>
  <c r="U259" i="11" s="1"/>
  <c r="D25" i="36" s="1"/>
  <c r="H117" i="22"/>
  <c r="AB194" i="57"/>
  <c r="AC196" i="57"/>
  <c r="M198" i="53"/>
  <c r="AC198" i="53" s="1"/>
  <c r="O198" i="53"/>
  <c r="AP182" i="69"/>
  <c r="N182" i="69"/>
  <c r="U182" i="69" s="1"/>
  <c r="Q196" i="57"/>
  <c r="T196" i="57" s="1"/>
  <c r="AQ196" i="57"/>
  <c r="AD196" i="57"/>
  <c r="AJ196" i="57"/>
  <c r="R196" i="57"/>
  <c r="AE196" i="57"/>
  <c r="M197" i="57"/>
  <c r="AK197" i="57" s="1"/>
  <c r="Q137" i="50"/>
  <c r="P137" i="50" s="1"/>
  <c r="Q127" i="32"/>
  <c r="P127" i="32" s="1"/>
  <c r="N198" i="53"/>
  <c r="T128" i="32"/>
  <c r="O128" i="32"/>
  <c r="T138" i="50"/>
  <c r="O138" i="50"/>
  <c r="AA196" i="53"/>
  <c r="AB196" i="53"/>
  <c r="AP134" i="50"/>
  <c r="AM127" i="32"/>
  <c r="C136" i="50"/>
  <c r="AJ136" i="50"/>
  <c r="S137" i="50"/>
  <c r="Z137" i="50" s="1"/>
  <c r="H114" i="22"/>
  <c r="H113" i="22"/>
  <c r="C126" i="32"/>
  <c r="W126" i="32"/>
  <c r="X126" i="32" s="1"/>
  <c r="AJ126" i="32"/>
  <c r="S127" i="32"/>
  <c r="Z127" i="32" s="1"/>
  <c r="W136" i="50"/>
  <c r="H55" i="22"/>
  <c r="H80" i="22"/>
  <c r="H38" i="22"/>
  <c r="F117" i="22"/>
  <c r="X135" i="50"/>
  <c r="V136" i="50"/>
  <c r="V126" i="32"/>
  <c r="AF181" i="69"/>
  <c r="Q181" i="69"/>
  <c r="O198" i="57"/>
  <c r="P198" i="57"/>
  <c r="AH135" i="50"/>
  <c r="AI135" i="50" s="1"/>
  <c r="AD12" i="32"/>
  <c r="AB180" i="69"/>
  <c r="AG180" i="69"/>
  <c r="O183" i="69"/>
  <c r="AO182" i="69"/>
  <c r="AK138" i="50"/>
  <c r="AE197" i="53"/>
  <c r="AF196" i="53"/>
  <c r="AK128" i="32"/>
  <c r="AM137" i="50"/>
  <c r="AL125" i="32"/>
  <c r="H131" i="22"/>
  <c r="H109" i="22"/>
  <c r="R197" i="53"/>
  <c r="X197" i="53" s="1"/>
  <c r="AL135" i="50"/>
  <c r="F18" i="22"/>
  <c r="F26" i="22"/>
  <c r="AI124" i="32"/>
  <c r="AN124" i="32" s="1"/>
  <c r="H115" i="22"/>
  <c r="AY181" i="69"/>
  <c r="L198" i="57"/>
  <c r="AG197" i="53"/>
  <c r="AH197" i="53"/>
  <c r="AT197" i="53"/>
  <c r="N198" i="57"/>
  <c r="G198" i="53"/>
  <c r="AH181" i="69"/>
  <c r="AD197" i="53"/>
  <c r="Q197" i="53"/>
  <c r="F198" i="53"/>
  <c r="H198" i="53"/>
  <c r="AK197" i="52" a="1"/>
  <c r="AK197" i="52" s="1"/>
  <c r="B199" i="53" s="1"/>
  <c r="K198" i="53"/>
  <c r="J198" i="53"/>
  <c r="D198" i="53"/>
  <c r="L198" i="53"/>
  <c r="I198" i="53"/>
  <c r="C198" i="53"/>
  <c r="P198" i="53"/>
  <c r="E198" i="53"/>
  <c r="A128" i="32"/>
  <c r="B128" i="32"/>
  <c r="R128" i="32" s="1"/>
  <c r="H138" i="50"/>
  <c r="I138" i="50"/>
  <c r="M138" i="50"/>
  <c r="F138" i="50"/>
  <c r="U138" i="50" s="1"/>
  <c r="G138" i="50"/>
  <c r="N138" i="50"/>
  <c r="J138" i="50"/>
  <c r="K138" i="50"/>
  <c r="B138" i="50"/>
  <c r="R138" i="50" s="1"/>
  <c r="A138" i="50"/>
  <c r="L138" i="50"/>
  <c r="K128" i="32"/>
  <c r="L128" i="32"/>
  <c r="F128" i="32"/>
  <c r="U128" i="32" s="1"/>
  <c r="N128" i="32"/>
  <c r="H128" i="32"/>
  <c r="M128" i="32"/>
  <c r="J128" i="32"/>
  <c r="I128" i="32"/>
  <c r="G128" i="32"/>
  <c r="D198" i="57"/>
  <c r="J198" i="57"/>
  <c r="G198" i="57"/>
  <c r="K198" i="57"/>
  <c r="F198" i="57"/>
  <c r="H198" i="57"/>
  <c r="I198" i="57"/>
  <c r="E198" i="57"/>
  <c r="C198" i="57"/>
  <c r="H133" i="22"/>
  <c r="H116" i="22"/>
  <c r="AN197" i="55" a="1"/>
  <c r="AN197" i="55" s="1"/>
  <c r="B199" i="57" s="1"/>
  <c r="D182" i="69"/>
  <c r="E182" i="69" s="1"/>
  <c r="F182" i="69" s="1"/>
  <c r="G182" i="69" s="1"/>
  <c r="H182" i="69" s="1"/>
  <c r="I182" i="69" s="1"/>
  <c r="J182" i="69" s="1"/>
  <c r="K182" i="69" s="1"/>
  <c r="M182" i="69" s="1"/>
  <c r="R181" i="69"/>
  <c r="S181" i="69" s="1"/>
  <c r="Y181" i="69" s="1"/>
  <c r="AE181" i="69"/>
  <c r="C183" i="69"/>
  <c r="P183" i="69" s="1"/>
  <c r="AR183" i="67" a="1"/>
  <c r="AR183" i="67" s="1"/>
  <c r="B184" i="69"/>
  <c r="L184" i="69" s="1"/>
  <c r="L94" i="22"/>
  <c r="H103" i="22"/>
  <c r="L127" i="22"/>
  <c r="AL128" i="11" a="1"/>
  <c r="AL128" i="11" s="1"/>
  <c r="E129" i="32" s="1"/>
  <c r="H79" i="22"/>
  <c r="H69" i="22"/>
  <c r="H98" i="22"/>
  <c r="H101" i="22"/>
  <c r="H99" i="22"/>
  <c r="H39" i="22"/>
  <c r="H56" i="22"/>
  <c r="H67" i="22"/>
  <c r="H100" i="22"/>
  <c r="H96" i="22"/>
  <c r="H88" i="22"/>
  <c r="J61" i="22"/>
  <c r="AX156" i="22" s="1"/>
  <c r="H94" i="22"/>
  <c r="H93" i="22"/>
  <c r="H77" i="22"/>
  <c r="H72" i="22"/>
  <c r="H31" i="22"/>
  <c r="H44" i="22"/>
  <c r="H71" i="22"/>
  <c r="H68" i="22"/>
  <c r="H35" i="22"/>
  <c r="H30" i="22"/>
  <c r="H29" i="22"/>
  <c r="H22" i="22"/>
  <c r="H89" i="22"/>
  <c r="H86" i="22"/>
  <c r="H40" i="22"/>
  <c r="L76" i="22"/>
  <c r="L7" i="22"/>
  <c r="L8" i="22"/>
  <c r="L5" i="22"/>
  <c r="H15" i="22"/>
  <c r="H10" i="22"/>
  <c r="H75" i="22"/>
  <c r="H81" i="22"/>
  <c r="H91" i="22"/>
  <c r="H18" i="22"/>
  <c r="H9" i="22"/>
  <c r="H64" i="22"/>
  <c r="H28" i="22"/>
  <c r="H102" i="22"/>
  <c r="H42" i="22"/>
  <c r="H32" i="22"/>
  <c r="H48" i="22"/>
  <c r="H34" i="22"/>
  <c r="H78" i="22"/>
  <c r="H90" i="22"/>
  <c r="H12" i="22"/>
  <c r="H65" i="22"/>
  <c r="H63" i="22"/>
  <c r="H62" i="22"/>
  <c r="H45" i="22"/>
  <c r="H74" i="22"/>
  <c r="H27" i="22"/>
  <c r="AP138" i="59" a="1"/>
  <c r="AP138" i="59" s="1"/>
  <c r="E139" i="50" s="1"/>
  <c r="H6" i="22"/>
  <c r="H61" i="22"/>
  <c r="H21" i="22"/>
  <c r="H54" i="22"/>
  <c r="H11" i="22"/>
  <c r="H59" i="22"/>
  <c r="H13" i="22"/>
  <c r="H37" i="22"/>
  <c r="H14" i="22"/>
  <c r="H82" i="22"/>
  <c r="H16" i="22"/>
  <c r="H36" i="22"/>
  <c r="H84" i="22"/>
  <c r="H47" i="22"/>
  <c r="H23" i="22"/>
  <c r="H46" i="22"/>
  <c r="H85" i="22"/>
  <c r="H97" i="22"/>
  <c r="L6" i="22"/>
  <c r="L4" i="22"/>
  <c r="H5" i="22"/>
  <c r="H17" i="22"/>
  <c r="H57" i="22"/>
  <c r="AQ28" i="59" a="1"/>
  <c r="AQ28" i="59" s="1"/>
  <c r="H20" i="22"/>
  <c r="H92" i="22"/>
  <c r="H7" i="22"/>
  <c r="L78" i="22"/>
  <c r="L92" i="22"/>
  <c r="L64" i="22"/>
  <c r="L81" i="22"/>
  <c r="L77" i="22"/>
  <c r="H50" i="22"/>
  <c r="H33" i="22"/>
  <c r="H53" i="22"/>
  <c r="H24" i="22"/>
  <c r="H19" i="22"/>
  <c r="H26" i="22"/>
  <c r="H25" i="22"/>
  <c r="H87" i="22"/>
  <c r="H95" i="22"/>
  <c r="H70" i="22"/>
  <c r="H76" i="22"/>
  <c r="L95" i="22"/>
  <c r="L102" i="22"/>
  <c r="H60" i="22"/>
  <c r="H52" i="22"/>
  <c r="H41" i="22"/>
  <c r="H58" i="22"/>
  <c r="L66" i="22"/>
  <c r="H66" i="22"/>
  <c r="H73" i="22"/>
  <c r="L59" i="22"/>
  <c r="H51" i="22"/>
  <c r="H49" i="22"/>
  <c r="H8" i="22"/>
  <c r="AM12" i="11" a="1"/>
  <c r="AM12" i="11" s="1"/>
  <c r="AM13" i="11" s="1" a="1"/>
  <c r="AM13" i="11" s="1"/>
  <c r="H4" i="22"/>
  <c r="AD127" i="32" l="1"/>
  <c r="AG127" i="32" s="1"/>
  <c r="AH127" i="32" s="1"/>
  <c r="AD137" i="50"/>
  <c r="AG137" i="50" s="1"/>
  <c r="AG198" i="57"/>
  <c r="X196" i="57"/>
  <c r="AB196" i="57" s="1"/>
  <c r="AG12" i="32"/>
  <c r="F64" i="22"/>
  <c r="F98" i="22"/>
  <c r="AF195" i="57"/>
  <c r="AB195" i="57"/>
  <c r="M199" i="53"/>
  <c r="AC199" i="53" s="1"/>
  <c r="O199" i="53"/>
  <c r="F46" i="22"/>
  <c r="Q259" i="11"/>
  <c r="AP183" i="69"/>
  <c r="N183" i="69"/>
  <c r="U183" i="69" s="1"/>
  <c r="Q197" i="57"/>
  <c r="T197" i="57" s="1"/>
  <c r="AJ197" i="57"/>
  <c r="AD197" i="57"/>
  <c r="R197" i="57"/>
  <c r="X11" i="11"/>
  <c r="AQ197" i="57"/>
  <c r="AC197" i="57"/>
  <c r="AE197" i="57"/>
  <c r="M198" i="57"/>
  <c r="AK198" i="57" s="1"/>
  <c r="Q138" i="50"/>
  <c r="P138" i="50" s="1"/>
  <c r="Q128" i="32"/>
  <c r="P128" i="32" s="1"/>
  <c r="F47" i="22"/>
  <c r="F41" i="22"/>
  <c r="F134" i="22"/>
  <c r="AL18" i="22" s="1"/>
  <c r="D52" i="36" s="1"/>
  <c r="F28" i="22"/>
  <c r="F94" i="22"/>
  <c r="F32" i="22"/>
  <c r="N199" i="53"/>
  <c r="F48" i="22"/>
  <c r="F8" i="22"/>
  <c r="T129" i="32"/>
  <c r="O129" i="32"/>
  <c r="T139" i="50"/>
  <c r="O139" i="50"/>
  <c r="AA197" i="53"/>
  <c r="AB197" i="53"/>
  <c r="AP135" i="50"/>
  <c r="AM128" i="32"/>
  <c r="F60" i="22"/>
  <c r="F78" i="22"/>
  <c r="J134" i="22"/>
  <c r="F95" i="22"/>
  <c r="AJ137" i="50"/>
  <c r="C137" i="50"/>
  <c r="S138" i="50"/>
  <c r="Z138" i="50" s="1"/>
  <c r="F53" i="22"/>
  <c r="F92" i="22"/>
  <c r="F113" i="22"/>
  <c r="F115" i="22"/>
  <c r="F114" i="22"/>
  <c r="F133" i="22"/>
  <c r="F29" i="22"/>
  <c r="F54" i="22"/>
  <c r="F44" i="22"/>
  <c r="F30" i="22"/>
  <c r="C127" i="32"/>
  <c r="W127" i="32"/>
  <c r="X127" i="32" s="1"/>
  <c r="AJ127" i="32"/>
  <c r="S128" i="32"/>
  <c r="Z128" i="32" s="1"/>
  <c r="W137" i="50"/>
  <c r="F82" i="22"/>
  <c r="F85" i="22"/>
  <c r="F55" i="22"/>
  <c r="F80" i="22"/>
  <c r="J113" i="22"/>
  <c r="AX66" i="22" s="1"/>
  <c r="F33" i="22"/>
  <c r="F102" i="22"/>
  <c r="F38" i="22"/>
  <c r="X136" i="50"/>
  <c r="V137" i="50"/>
  <c r="V127" i="32"/>
  <c r="AF182" i="69"/>
  <c r="Q182" i="69"/>
  <c r="O199" i="57"/>
  <c r="P199" i="57"/>
  <c r="AC180" i="69"/>
  <c r="AD180" i="69" s="1"/>
  <c r="AH136" i="50"/>
  <c r="AI136" i="50" s="1"/>
  <c r="AB181" i="69"/>
  <c r="AG181" i="69"/>
  <c r="O184" i="69"/>
  <c r="AO183" i="69"/>
  <c r="AK139" i="50"/>
  <c r="AF197" i="53"/>
  <c r="AE198" i="53"/>
  <c r="AK129" i="32"/>
  <c r="AM138" i="50"/>
  <c r="AL126" i="32"/>
  <c r="F73" i="22"/>
  <c r="F15" i="22"/>
  <c r="F79" i="22"/>
  <c r="F76" i="22"/>
  <c r="AL17" i="22" s="1"/>
  <c r="D53" i="36" s="1"/>
  <c r="D92" i="36" s="1"/>
  <c r="F63" i="22"/>
  <c r="F67" i="22"/>
  <c r="F66" i="22"/>
  <c r="F71" i="22"/>
  <c r="F90" i="22"/>
  <c r="F109" i="22"/>
  <c r="F14" i="22"/>
  <c r="F23" i="22"/>
  <c r="AI125" i="32"/>
  <c r="AN125" i="32" s="1"/>
  <c r="F131" i="22"/>
  <c r="F75" i="22"/>
  <c r="R198" i="53"/>
  <c r="X198" i="53" s="1"/>
  <c r="F20" i="22"/>
  <c r="F96" i="22"/>
  <c r="AL136" i="50"/>
  <c r="F34" i="22"/>
  <c r="F19" i="22"/>
  <c r="N12" i="32"/>
  <c r="J67" i="22"/>
  <c r="AX129" i="22" s="1"/>
  <c r="J86" i="22"/>
  <c r="AX16" i="22" s="1"/>
  <c r="J115" i="22"/>
  <c r="AX68" i="22" s="1"/>
  <c r="AY182" i="69"/>
  <c r="L199" i="57"/>
  <c r="AH198" i="53"/>
  <c r="AT198" i="53"/>
  <c r="AG198" i="53"/>
  <c r="N199" i="57"/>
  <c r="AH182" i="69"/>
  <c r="Q198" i="53"/>
  <c r="AD198" i="53"/>
  <c r="AK198" i="52" a="1"/>
  <c r="AK198" i="52" s="1"/>
  <c r="B200" i="53" s="1"/>
  <c r="G199" i="53"/>
  <c r="D199" i="53"/>
  <c r="J199" i="53"/>
  <c r="I199" i="53"/>
  <c r="C199" i="53"/>
  <c r="F199" i="53"/>
  <c r="L199" i="53"/>
  <c r="H199" i="53"/>
  <c r="E199" i="53"/>
  <c r="P199" i="53"/>
  <c r="K199" i="53"/>
  <c r="A129" i="32"/>
  <c r="B129" i="32"/>
  <c r="R129" i="32" s="1"/>
  <c r="I139" i="50"/>
  <c r="N139" i="50"/>
  <c r="H139" i="50"/>
  <c r="A139" i="50"/>
  <c r="L139" i="50"/>
  <c r="B139" i="50"/>
  <c r="R139" i="50" s="1"/>
  <c r="G139" i="50"/>
  <c r="F139" i="50"/>
  <c r="U139" i="50" s="1"/>
  <c r="K139" i="50"/>
  <c r="M139" i="50"/>
  <c r="J139" i="50"/>
  <c r="I129" i="32"/>
  <c r="J129" i="32"/>
  <c r="L129" i="32"/>
  <c r="F129" i="32"/>
  <c r="U129" i="32" s="1"/>
  <c r="N129" i="32"/>
  <c r="H129" i="32"/>
  <c r="K129" i="32"/>
  <c r="G129" i="32"/>
  <c r="M129" i="32"/>
  <c r="I199" i="57"/>
  <c r="F199" i="57"/>
  <c r="D199" i="57"/>
  <c r="H199" i="57"/>
  <c r="E199" i="57"/>
  <c r="J199" i="57"/>
  <c r="G199" i="57"/>
  <c r="K199" i="57"/>
  <c r="C199" i="57"/>
  <c r="AN198" i="55" a="1"/>
  <c r="AN198" i="55" s="1"/>
  <c r="B200" i="57" s="1"/>
  <c r="AR184" i="67" a="1"/>
  <c r="AR184" i="67" s="1"/>
  <c r="B185" i="69"/>
  <c r="L185" i="69" s="1"/>
  <c r="D183" i="69"/>
  <c r="E183" i="69" s="1"/>
  <c r="F183" i="69" s="1"/>
  <c r="G183" i="69" s="1"/>
  <c r="H183" i="69" s="1"/>
  <c r="I183" i="69" s="1"/>
  <c r="J183" i="69" s="1"/>
  <c r="K183" i="69" s="1"/>
  <c r="M183" i="69" s="1"/>
  <c r="C184" i="69"/>
  <c r="P184" i="69" s="1"/>
  <c r="R182" i="69"/>
  <c r="S182" i="69" s="1"/>
  <c r="AE182" i="69"/>
  <c r="J104" i="22"/>
  <c r="AX62" i="22" s="1"/>
  <c r="D70" i="36"/>
  <c r="J103" i="22"/>
  <c r="AX61" i="22" s="1"/>
  <c r="D68" i="36"/>
  <c r="AL129" i="11" a="1"/>
  <c r="AL129" i="11" s="1"/>
  <c r="E130" i="32" s="1"/>
  <c r="J74" i="22"/>
  <c r="AX131" i="22" s="1"/>
  <c r="J45" i="22"/>
  <c r="AX42" i="22" s="1"/>
  <c r="J42" i="22"/>
  <c r="AX39" i="22" s="1"/>
  <c r="J71" i="22"/>
  <c r="AX97" i="22" s="1"/>
  <c r="J68" i="22"/>
  <c r="AX126" i="22" s="1"/>
  <c r="J88" i="22"/>
  <c r="AX51" i="22" s="1"/>
  <c r="J64" i="22"/>
  <c r="AX157" i="22" s="1"/>
  <c r="J28" i="22"/>
  <c r="AX88" i="22" s="1"/>
  <c r="J18" i="22"/>
  <c r="AX5" i="22" s="1"/>
  <c r="J27" i="22"/>
  <c r="AX87" i="22" s="1"/>
  <c r="J48" i="22"/>
  <c r="AX93" i="22" s="1"/>
  <c r="J78" i="22"/>
  <c r="AX159" i="22" s="1"/>
  <c r="J65" i="22"/>
  <c r="AX96" i="22" s="1"/>
  <c r="J12" i="22"/>
  <c r="AX116" i="22" s="1"/>
  <c r="J21" i="22"/>
  <c r="AX84" i="22" s="1"/>
  <c r="J81" i="22"/>
  <c r="AX137" i="22" s="1"/>
  <c r="J62" i="22"/>
  <c r="AX124" i="22" s="1"/>
  <c r="J91" i="22"/>
  <c r="AX53" i="22" s="1"/>
  <c r="J94" i="22"/>
  <c r="AX138" i="22" s="1"/>
  <c r="J96" i="22"/>
  <c r="AX99" i="22" s="1"/>
  <c r="J98" i="22"/>
  <c r="AX57" i="22" s="1"/>
  <c r="J93" i="22"/>
  <c r="AX56" i="22" s="1"/>
  <c r="J99" i="22"/>
  <c r="AX58" i="22" s="1"/>
  <c r="J56" i="22"/>
  <c r="AX48" i="22" s="1"/>
  <c r="J69" i="22"/>
  <c r="AX127" i="22" s="1"/>
  <c r="J77" i="22"/>
  <c r="AX135" i="22" s="1"/>
  <c r="J72" i="22"/>
  <c r="AX130" i="22" s="1"/>
  <c r="J43" i="22"/>
  <c r="AX40" i="22" s="1"/>
  <c r="J39" i="22"/>
  <c r="AX37" i="22" s="1"/>
  <c r="J35" i="22"/>
  <c r="AX121" i="22" s="1"/>
  <c r="J30" i="22"/>
  <c r="AX90" i="22" s="1"/>
  <c r="J29" i="22"/>
  <c r="AX89" i="22" s="1"/>
  <c r="J22" i="22"/>
  <c r="AX85" i="22" s="1"/>
  <c r="AP139" i="59" a="1"/>
  <c r="AP139" i="59" s="1"/>
  <c r="E140" i="50" s="1"/>
  <c r="J101" i="22"/>
  <c r="AX60" i="22" s="1"/>
  <c r="J6" i="22"/>
  <c r="AX82" i="22" s="1"/>
  <c r="J11" i="22"/>
  <c r="AX115" i="22" s="1"/>
  <c r="J9" i="22"/>
  <c r="AX118" i="22" s="1"/>
  <c r="J82" i="22"/>
  <c r="AX12" i="22" s="1"/>
  <c r="J37" i="22"/>
  <c r="AX149" i="22" s="1"/>
  <c r="J36" i="22"/>
  <c r="AX36" i="22" s="1"/>
  <c r="J44" i="22"/>
  <c r="AX41" i="22" s="1"/>
  <c r="J47" i="22"/>
  <c r="AX44" i="22" s="1"/>
  <c r="J46" i="22"/>
  <c r="AX43" i="22" s="1"/>
  <c r="J97" i="22"/>
  <c r="AX100" i="22" s="1"/>
  <c r="J85" i="22"/>
  <c r="AX15" i="22" s="1"/>
  <c r="J57" i="22"/>
  <c r="AX11" i="22" s="1"/>
  <c r="AQ29" i="59" a="1"/>
  <c r="AQ29" i="59" s="1"/>
  <c r="J84" i="22"/>
  <c r="AX14" i="22" s="1"/>
  <c r="J54" i="22"/>
  <c r="AX123" i="22" s="1"/>
  <c r="J23" i="22"/>
  <c r="AX33" i="22" s="1"/>
  <c r="J7" i="22"/>
  <c r="AX83" i="22" s="1"/>
  <c r="J92" i="22"/>
  <c r="AX54" i="22" s="1"/>
  <c r="J33" i="22"/>
  <c r="AX92" i="22" s="1"/>
  <c r="J16" i="22"/>
  <c r="AX31" i="22" s="1"/>
  <c r="J19" i="22"/>
  <c r="AX6" i="22" s="1"/>
  <c r="J24" i="22"/>
  <c r="AX86" i="22" s="1"/>
  <c r="J26" i="22"/>
  <c r="AX7" i="22" s="1"/>
  <c r="J60" i="22"/>
  <c r="AX125" i="22" s="1"/>
  <c r="J76" i="22"/>
  <c r="J41" i="22"/>
  <c r="AX122" i="22" s="1"/>
  <c r="J58" i="22"/>
  <c r="AX49" i="22" s="1"/>
  <c r="J95" i="22"/>
  <c r="AX98" i="22" s="1"/>
  <c r="J73" i="22"/>
  <c r="AX50" i="22" s="1"/>
  <c r="J49" i="22"/>
  <c r="AX94" i="22" s="1"/>
  <c r="J8" i="22"/>
  <c r="AX113" i="22" s="1"/>
  <c r="J87" i="22"/>
  <c r="AX17" i="22" s="1"/>
  <c r="J70" i="22"/>
  <c r="AX128" i="22" s="1"/>
  <c r="J52" i="22"/>
  <c r="AX46" i="22" s="1"/>
  <c r="J59" i="22"/>
  <c r="AX95" i="22" s="1"/>
  <c r="J66" i="22"/>
  <c r="AX158" i="22" s="1"/>
  <c r="J50" i="22"/>
  <c r="AX45" i="22" s="1"/>
  <c r="AM14" i="11" a="1"/>
  <c r="AM14" i="11" s="1"/>
  <c r="J102" i="22" l="1"/>
  <c r="AX19" i="22" s="1"/>
  <c r="J135" i="22"/>
  <c r="AX80" i="22" s="1"/>
  <c r="Y182" i="69"/>
  <c r="AB182" i="69" s="1"/>
  <c r="AC182" i="69" s="1"/>
  <c r="AD182" i="69" s="1"/>
  <c r="AD128" i="32"/>
  <c r="AG128" i="32" s="1"/>
  <c r="AH128" i="32" s="1"/>
  <c r="AD138" i="50"/>
  <c r="AG138" i="50" s="1"/>
  <c r="AG199" i="57"/>
  <c r="X197" i="57"/>
  <c r="AB197" i="57" s="1"/>
  <c r="AH12" i="32"/>
  <c r="AI12" i="32" s="1"/>
  <c r="AK12" i="32"/>
  <c r="AL12" i="32" s="1"/>
  <c r="X259" i="11"/>
  <c r="J117" i="22"/>
  <c r="AX73" i="22" s="1"/>
  <c r="AF196" i="57"/>
  <c r="AA196" i="57"/>
  <c r="M200" i="53"/>
  <c r="AC200" i="53" s="1"/>
  <c r="O200" i="53"/>
  <c r="AP184" i="69"/>
  <c r="N184" i="69"/>
  <c r="U184" i="69" s="1"/>
  <c r="AJ198" i="57"/>
  <c r="R198" i="57"/>
  <c r="AC198" i="57"/>
  <c r="AD198" i="57"/>
  <c r="Q198" i="57"/>
  <c r="T198" i="57" s="1"/>
  <c r="AQ198" i="57"/>
  <c r="M199" i="57"/>
  <c r="AK199" i="57" s="1"/>
  <c r="AE198" i="57"/>
  <c r="Q139" i="50"/>
  <c r="P139" i="50" s="1"/>
  <c r="Q129" i="32"/>
  <c r="P129" i="32" s="1"/>
  <c r="N200" i="53"/>
  <c r="T130" i="32"/>
  <c r="O130" i="32"/>
  <c r="T140" i="50"/>
  <c r="O140" i="50"/>
  <c r="AA198" i="53"/>
  <c r="AB198" i="53"/>
  <c r="AP136" i="50"/>
  <c r="AM129" i="32"/>
  <c r="S139" i="50"/>
  <c r="Z139" i="50" s="1"/>
  <c r="C138" i="50"/>
  <c r="AJ138" i="50"/>
  <c r="J80" i="22"/>
  <c r="AX134" i="22" s="1"/>
  <c r="J114" i="22"/>
  <c r="AX67" i="22" s="1"/>
  <c r="C128" i="32"/>
  <c r="AJ128" i="32"/>
  <c r="W128" i="32"/>
  <c r="X128" i="32" s="1"/>
  <c r="S129" i="32"/>
  <c r="Z129" i="32" s="1"/>
  <c r="W138" i="50"/>
  <c r="J38" i="22"/>
  <c r="J55" i="22"/>
  <c r="AX151" i="22" s="1"/>
  <c r="X137" i="50"/>
  <c r="V138" i="50"/>
  <c r="V128" i="32"/>
  <c r="AF183" i="69"/>
  <c r="Q183" i="69"/>
  <c r="O200" i="57"/>
  <c r="P200" i="57"/>
  <c r="AC181" i="69"/>
  <c r="AD181" i="69" s="1"/>
  <c r="AH137" i="50"/>
  <c r="AI137" i="50" s="1"/>
  <c r="AO184" i="69"/>
  <c r="O185" i="69"/>
  <c r="AK140" i="50"/>
  <c r="AE199" i="53"/>
  <c r="AF198" i="53"/>
  <c r="AK130" i="32"/>
  <c r="AM139" i="50"/>
  <c r="AL127" i="32"/>
  <c r="J15" i="22"/>
  <c r="AX120" i="22" s="1"/>
  <c r="J75" i="22"/>
  <c r="AX132" i="22" s="1"/>
  <c r="J79" i="22"/>
  <c r="AX136" i="22" s="1"/>
  <c r="J63" i="22"/>
  <c r="AX150" i="22" s="1"/>
  <c r="J90" i="22"/>
  <c r="AX52" i="22" s="1"/>
  <c r="J109" i="22"/>
  <c r="AX22" i="22" s="1"/>
  <c r="R199" i="53"/>
  <c r="X199" i="53" s="1"/>
  <c r="J34" i="22"/>
  <c r="AX8" i="22" s="1"/>
  <c r="J131" i="22"/>
  <c r="AX147" i="22" s="1"/>
  <c r="AL137" i="50"/>
  <c r="AQ11" i="11"/>
  <c r="AI126" i="32"/>
  <c r="AN126" i="32" s="1"/>
  <c r="AY183" i="69"/>
  <c r="L200" i="57"/>
  <c r="AH199" i="53"/>
  <c r="AT199" i="53"/>
  <c r="AG199" i="53"/>
  <c r="N200" i="57"/>
  <c r="AH183" i="69"/>
  <c r="AD199" i="53"/>
  <c r="Q199" i="53"/>
  <c r="AK199" i="52" a="1"/>
  <c r="AK199" i="52" s="1"/>
  <c r="B201" i="53" s="1"/>
  <c r="E200" i="53"/>
  <c r="C200" i="53"/>
  <c r="D200" i="53"/>
  <c r="G200" i="53"/>
  <c r="H200" i="53"/>
  <c r="L200" i="53"/>
  <c r="J200" i="53"/>
  <c r="P200" i="53"/>
  <c r="K200" i="53"/>
  <c r="I200" i="53"/>
  <c r="F200" i="53"/>
  <c r="A130" i="32"/>
  <c r="B130" i="32"/>
  <c r="R130" i="32" s="1"/>
  <c r="H140" i="50"/>
  <c r="A140" i="50"/>
  <c r="G140" i="50"/>
  <c r="N140" i="50"/>
  <c r="M140" i="50"/>
  <c r="F140" i="50"/>
  <c r="U140" i="50" s="1"/>
  <c r="K140" i="50"/>
  <c r="I140" i="50"/>
  <c r="L140" i="50"/>
  <c r="B140" i="50"/>
  <c r="R140" i="50" s="1"/>
  <c r="J140" i="50"/>
  <c r="G130" i="32"/>
  <c r="H130" i="32"/>
  <c r="J130" i="32"/>
  <c r="L130" i="32"/>
  <c r="I130" i="32"/>
  <c r="N130" i="32"/>
  <c r="F130" i="32"/>
  <c r="U130" i="32" s="1"/>
  <c r="K130" i="32"/>
  <c r="M130" i="32"/>
  <c r="H200" i="57"/>
  <c r="F200" i="57"/>
  <c r="D200" i="57"/>
  <c r="C200" i="57"/>
  <c r="K200" i="57"/>
  <c r="J200" i="57"/>
  <c r="E200" i="57"/>
  <c r="I200" i="57"/>
  <c r="G200" i="57"/>
  <c r="J116" i="22"/>
  <c r="AX139" i="22" s="1"/>
  <c r="J10" i="22"/>
  <c r="AX114" i="22" s="1"/>
  <c r="AN199" i="55" a="1"/>
  <c r="AN199" i="55" s="1"/>
  <c r="B201" i="57" s="1"/>
  <c r="J133" i="22"/>
  <c r="AX103" i="22" s="1"/>
  <c r="AE183" i="69"/>
  <c r="R183" i="69"/>
  <c r="S183" i="69" s="1"/>
  <c r="Y183" i="69" s="1"/>
  <c r="C185" i="69"/>
  <c r="P185" i="69" s="1"/>
  <c r="D184" i="69"/>
  <c r="E184" i="69" s="1"/>
  <c r="F184" i="69" s="1"/>
  <c r="G184" i="69" s="1"/>
  <c r="H184" i="69" s="1"/>
  <c r="I184" i="69" s="1"/>
  <c r="J184" i="69" s="1"/>
  <c r="K184" i="69" s="1"/>
  <c r="M184" i="69" s="1"/>
  <c r="AR185" i="67" a="1"/>
  <c r="AR185" i="67" s="1"/>
  <c r="B186" i="69"/>
  <c r="L186" i="69" s="1"/>
  <c r="AL7" i="22"/>
  <c r="J100" i="22"/>
  <c r="AX59" i="22" s="1"/>
  <c r="J13" i="22"/>
  <c r="AX117" i="22" s="1"/>
  <c r="D69" i="36"/>
  <c r="D64" i="36"/>
  <c r="D66" i="36"/>
  <c r="D62" i="36"/>
  <c r="AL14" i="22"/>
  <c r="AL15" i="22"/>
  <c r="AL9" i="22"/>
  <c r="AL130" i="11" a="1"/>
  <c r="AL130" i="11" s="1"/>
  <c r="E131" i="32" s="1"/>
  <c r="J32" i="22"/>
  <c r="AX35" i="22" s="1"/>
  <c r="J127" i="22"/>
  <c r="AX145" i="22" s="1"/>
  <c r="J51" i="22"/>
  <c r="AX10" i="22" s="1"/>
  <c r="D63" i="36"/>
  <c r="J53" i="22"/>
  <c r="AX47" i="22" s="1"/>
  <c r="J31" i="22"/>
  <c r="AX91" i="22" s="1"/>
  <c r="J17" i="22"/>
  <c r="AX32" i="22" s="1"/>
  <c r="J4" i="22"/>
  <c r="AX79" i="22" s="1"/>
  <c r="J5" i="22"/>
  <c r="AX81" i="22" s="1"/>
  <c r="J14" i="22"/>
  <c r="AX30" i="22" s="1"/>
  <c r="AP140" i="59" a="1"/>
  <c r="AP140" i="59" s="1"/>
  <c r="E141" i="50" s="1"/>
  <c r="J20" i="22"/>
  <c r="AX119" i="22" s="1"/>
  <c r="AQ30" i="59" a="1"/>
  <c r="AQ30" i="59" s="1"/>
  <c r="AM15" i="11" a="1"/>
  <c r="AM15" i="11" s="1"/>
  <c r="AX104" i="22" l="1"/>
  <c r="AX105" i="22"/>
  <c r="AD139" i="50"/>
  <c r="AG139" i="50" s="1"/>
  <c r="AG182" i="69"/>
  <c r="AB183" i="69"/>
  <c r="AC183" i="69" s="1"/>
  <c r="AD183" i="69" s="1"/>
  <c r="AD129" i="32"/>
  <c r="AG129" i="32" s="1"/>
  <c r="AH129" i="32" s="1"/>
  <c r="AA197" i="57"/>
  <c r="AG200" i="57"/>
  <c r="X198" i="57"/>
  <c r="AB198" i="57" s="1"/>
  <c r="AM12" i="32"/>
  <c r="AN12" i="32" s="1"/>
  <c r="AF197" i="57"/>
  <c r="M201" i="53"/>
  <c r="AC201" i="53" s="1"/>
  <c r="O201" i="53"/>
  <c r="AP185" i="69"/>
  <c r="N185" i="69"/>
  <c r="U185" i="69" s="1"/>
  <c r="Q199" i="57"/>
  <c r="T199" i="57" s="1"/>
  <c r="AQ199" i="57"/>
  <c r="AJ199" i="57"/>
  <c r="AE199" i="57"/>
  <c r="AD199" i="57"/>
  <c r="R199" i="57"/>
  <c r="D30" i="36"/>
  <c r="AC199" i="57"/>
  <c r="M200" i="57"/>
  <c r="AK200" i="57" s="1"/>
  <c r="Q140" i="50"/>
  <c r="P140" i="50" s="1"/>
  <c r="Q130" i="32"/>
  <c r="P130" i="32" s="1"/>
  <c r="N201" i="53"/>
  <c r="T131" i="32"/>
  <c r="O131" i="32"/>
  <c r="T141" i="50"/>
  <c r="O141" i="50"/>
  <c r="AA199" i="53"/>
  <c r="AB199" i="53"/>
  <c r="AP137" i="50"/>
  <c r="AM130" i="32"/>
  <c r="AJ139" i="50"/>
  <c r="C139" i="50"/>
  <c r="S140" i="50"/>
  <c r="Z140" i="50" s="1"/>
  <c r="C129" i="32"/>
  <c r="AJ129" i="32"/>
  <c r="S130" i="32"/>
  <c r="Z130" i="32" s="1"/>
  <c r="W139" i="50"/>
  <c r="W129" i="32"/>
  <c r="X129" i="32" s="1"/>
  <c r="X138" i="50"/>
  <c r="V139" i="50"/>
  <c r="AF184" i="69"/>
  <c r="Q184" i="69"/>
  <c r="O201" i="57"/>
  <c r="P201" i="57"/>
  <c r="AH138" i="50"/>
  <c r="AI138" i="50" s="1"/>
  <c r="O186" i="69"/>
  <c r="AG183" i="69"/>
  <c r="AO185" i="69"/>
  <c r="AK141" i="50"/>
  <c r="AE200" i="53"/>
  <c r="AF199" i="53"/>
  <c r="AK131" i="32"/>
  <c r="AM140" i="50"/>
  <c r="AL128" i="32"/>
  <c r="AI127" i="32"/>
  <c r="AN127" i="32" s="1"/>
  <c r="R200" i="53"/>
  <c r="X200" i="53" s="1"/>
  <c r="AL138" i="50"/>
  <c r="AY184" i="69"/>
  <c r="L201" i="57"/>
  <c r="AG200" i="53"/>
  <c r="AH200" i="53"/>
  <c r="AT200" i="53"/>
  <c r="N201" i="57"/>
  <c r="E201" i="53"/>
  <c r="AH184" i="69"/>
  <c r="V129" i="32"/>
  <c r="AD200" i="53"/>
  <c r="L17" i="22"/>
  <c r="Q200" i="53"/>
  <c r="AK200" i="52" a="1"/>
  <c r="AK200" i="52" s="1"/>
  <c r="B202" i="53" s="1"/>
  <c r="H201" i="53"/>
  <c r="L201" i="53"/>
  <c r="F201" i="53"/>
  <c r="K201" i="53"/>
  <c r="I201" i="53"/>
  <c r="D201" i="53"/>
  <c r="P201" i="53"/>
  <c r="C201" i="53"/>
  <c r="J201" i="53"/>
  <c r="G201" i="53"/>
  <c r="A131" i="32"/>
  <c r="B131" i="32"/>
  <c r="R131" i="32" s="1"/>
  <c r="M141" i="50"/>
  <c r="A141" i="50"/>
  <c r="J141" i="50"/>
  <c r="F141" i="50"/>
  <c r="U141" i="50" s="1"/>
  <c r="H141" i="50"/>
  <c r="I141" i="50"/>
  <c r="N141" i="50"/>
  <c r="B141" i="50"/>
  <c r="R141" i="50" s="1"/>
  <c r="G141" i="50"/>
  <c r="K141" i="50"/>
  <c r="L141" i="50"/>
  <c r="F131" i="32"/>
  <c r="U131" i="32" s="1"/>
  <c r="J131" i="32"/>
  <c r="M131" i="32"/>
  <c r="N131" i="32"/>
  <c r="I131" i="32"/>
  <c r="H131" i="32"/>
  <c r="K131" i="32"/>
  <c r="G131" i="32"/>
  <c r="L131" i="32"/>
  <c r="J201" i="57"/>
  <c r="H201" i="57"/>
  <c r="E201" i="57"/>
  <c r="K201" i="57"/>
  <c r="G201" i="57"/>
  <c r="C201" i="57"/>
  <c r="F201" i="57"/>
  <c r="I201" i="57"/>
  <c r="D201" i="57"/>
  <c r="AL13" i="22"/>
  <c r="AL16" i="22"/>
  <c r="AN200" i="55" a="1"/>
  <c r="AN200" i="55" s="1"/>
  <c r="B202" i="57" s="1"/>
  <c r="AR186" i="67" a="1"/>
  <c r="AR186" i="67" s="1"/>
  <c r="B187" i="69"/>
  <c r="L187" i="69" s="1"/>
  <c r="C186" i="69"/>
  <c r="P186" i="69" s="1"/>
  <c r="D185" i="69"/>
  <c r="E185" i="69" s="1"/>
  <c r="F185" i="69" s="1"/>
  <c r="G185" i="69" s="1"/>
  <c r="H185" i="69" s="1"/>
  <c r="I185" i="69" s="1"/>
  <c r="J185" i="69" s="1"/>
  <c r="K185" i="69" s="1"/>
  <c r="M185" i="69" s="1"/>
  <c r="R184" i="69"/>
  <c r="S184" i="69" s="1"/>
  <c r="Y184" i="69" s="1"/>
  <c r="AE184" i="69"/>
  <c r="AL11" i="22"/>
  <c r="D60" i="36"/>
  <c r="D61" i="36"/>
  <c r="D67" i="36"/>
  <c r="AL12" i="22"/>
  <c r="AL8" i="22"/>
  <c r="AL6" i="22"/>
  <c r="AL4" i="22"/>
  <c r="AL131" i="11" a="1"/>
  <c r="AL131" i="11" s="1"/>
  <c r="E132" i="32" s="1"/>
  <c r="AP141" i="59" a="1"/>
  <c r="AP141" i="59" s="1"/>
  <c r="E142" i="50" s="1"/>
  <c r="AQ31" i="59" a="1"/>
  <c r="AQ31" i="59" s="1"/>
  <c r="AM16" i="11" a="1"/>
  <c r="AM16" i="11" s="1"/>
  <c r="AD130" i="32" l="1"/>
  <c r="AG130" i="32" s="1"/>
  <c r="AH130" i="32" s="1"/>
  <c r="AD140" i="50"/>
  <c r="AG140" i="50" s="1"/>
  <c r="X199" i="57"/>
  <c r="AB199" i="57" s="1"/>
  <c r="AG201" i="57"/>
  <c r="AA198" i="57"/>
  <c r="AF198" i="57"/>
  <c r="M202" i="53"/>
  <c r="AC202" i="53" s="1"/>
  <c r="O202" i="53"/>
  <c r="AP186" i="69"/>
  <c r="N186" i="69"/>
  <c r="U186" i="69" s="1"/>
  <c r="AC200" i="57"/>
  <c r="AD200" i="57"/>
  <c r="AQ200" i="57"/>
  <c r="AE200" i="57"/>
  <c r="Q200" i="57"/>
  <c r="T200" i="57" s="1"/>
  <c r="R200" i="57"/>
  <c r="AJ200" i="57"/>
  <c r="M201" i="57"/>
  <c r="AK201" i="57" s="1"/>
  <c r="Q141" i="50"/>
  <c r="P141" i="50" s="1"/>
  <c r="Q131" i="32"/>
  <c r="P131" i="32" s="1"/>
  <c r="N202" i="53"/>
  <c r="T132" i="32"/>
  <c r="O132" i="32"/>
  <c r="T142" i="50"/>
  <c r="O142" i="50"/>
  <c r="AA200" i="53"/>
  <c r="AB200" i="53"/>
  <c r="AP138" i="50"/>
  <c r="AM131" i="32"/>
  <c r="AJ140" i="50"/>
  <c r="C140" i="50"/>
  <c r="S141" i="50"/>
  <c r="Z141" i="50" s="1"/>
  <c r="W130" i="32"/>
  <c r="X130" i="32" s="1"/>
  <c r="C130" i="32"/>
  <c r="S131" i="32"/>
  <c r="Z131" i="32" s="1"/>
  <c r="AJ130" i="32"/>
  <c r="D51" i="36"/>
  <c r="D90" i="36" s="1"/>
  <c r="D91" i="36"/>
  <c r="W140" i="50"/>
  <c r="X139" i="50"/>
  <c r="V140" i="50"/>
  <c r="V130" i="32"/>
  <c r="AF185" i="69"/>
  <c r="Q185" i="69"/>
  <c r="O202" i="57"/>
  <c r="P202" i="57"/>
  <c r="AH139" i="50"/>
  <c r="AI139" i="50" s="1"/>
  <c r="AB184" i="69"/>
  <c r="AG184" i="69"/>
  <c r="AO186" i="69"/>
  <c r="O187" i="69"/>
  <c r="AK142" i="50"/>
  <c r="AE201" i="53"/>
  <c r="AF200" i="53"/>
  <c r="AK132" i="32"/>
  <c r="AM141" i="50"/>
  <c r="AL129" i="32"/>
  <c r="AI128" i="32"/>
  <c r="AN128" i="32" s="1"/>
  <c r="R201" i="53"/>
  <c r="X201" i="53" s="1"/>
  <c r="AL139" i="50"/>
  <c r="AY185" i="69"/>
  <c r="L202" i="57"/>
  <c r="AH201" i="53"/>
  <c r="AT201" i="53"/>
  <c r="AG201" i="53"/>
  <c r="N202" i="57"/>
  <c r="F202" i="53"/>
  <c r="AH185" i="69"/>
  <c r="AD201" i="53"/>
  <c r="C202" i="53"/>
  <c r="D202" i="53"/>
  <c r="H202" i="53"/>
  <c r="AK201" i="52" a="1"/>
  <c r="AK201" i="52" s="1"/>
  <c r="B203" i="53" s="1"/>
  <c r="K202" i="53"/>
  <c r="I202" i="53"/>
  <c r="Q201" i="53"/>
  <c r="J202" i="53"/>
  <c r="P202" i="53"/>
  <c r="G202" i="53"/>
  <c r="E202" i="53"/>
  <c r="L202" i="53"/>
  <c r="A132" i="32"/>
  <c r="B132" i="32"/>
  <c r="R132" i="32" s="1"/>
  <c r="L142" i="50"/>
  <c r="I142" i="50"/>
  <c r="M142" i="50"/>
  <c r="J142" i="50"/>
  <c r="A142" i="50"/>
  <c r="K142" i="50"/>
  <c r="F142" i="50"/>
  <c r="U142" i="50" s="1"/>
  <c r="G142" i="50"/>
  <c r="B142" i="50"/>
  <c r="R142" i="50" s="1"/>
  <c r="N142" i="50"/>
  <c r="H142" i="50"/>
  <c r="H132" i="32"/>
  <c r="K132" i="32"/>
  <c r="L132" i="32"/>
  <c r="G132" i="32"/>
  <c r="I132" i="32"/>
  <c r="N132" i="32"/>
  <c r="F132" i="32"/>
  <c r="U132" i="32" s="1"/>
  <c r="J132" i="32"/>
  <c r="M132" i="32"/>
  <c r="J202" i="57"/>
  <c r="D202" i="57"/>
  <c r="I202" i="57"/>
  <c r="F202" i="57"/>
  <c r="E202" i="57"/>
  <c r="K202" i="57"/>
  <c r="H202" i="57"/>
  <c r="C202" i="57"/>
  <c r="G202" i="57"/>
  <c r="AN201" i="55" a="1"/>
  <c r="AN201" i="55" s="1"/>
  <c r="B203" i="57" s="1"/>
  <c r="AR187" i="67" a="1"/>
  <c r="AR187" i="67" s="1"/>
  <c r="B188" i="69"/>
  <c r="L188" i="69" s="1"/>
  <c r="AE185" i="69"/>
  <c r="R185" i="69"/>
  <c r="S185" i="69" s="1"/>
  <c r="Y185" i="69" s="1"/>
  <c r="C187" i="69"/>
  <c r="P187" i="69" s="1"/>
  <c r="D186" i="69"/>
  <c r="E186" i="69" s="1"/>
  <c r="F186" i="69" s="1"/>
  <c r="G186" i="69" s="1"/>
  <c r="H186" i="69" s="1"/>
  <c r="I186" i="69" s="1"/>
  <c r="J186" i="69" s="1"/>
  <c r="K186" i="69" s="1"/>
  <c r="M186" i="69" s="1"/>
  <c r="AL132" i="11" a="1"/>
  <c r="AL132" i="11" s="1"/>
  <c r="E133" i="32" s="1"/>
  <c r="AP142" i="59" a="1"/>
  <c r="AP142" i="59" s="1"/>
  <c r="E143" i="50" s="1"/>
  <c r="AQ32" i="59" a="1"/>
  <c r="AQ32" i="59" s="1"/>
  <c r="AM17" i="11" a="1"/>
  <c r="AM17" i="11" s="1"/>
  <c r="AA199" i="57" l="1"/>
  <c r="AD131" i="32"/>
  <c r="AG131" i="32" s="1"/>
  <c r="AH131" i="32" s="1"/>
  <c r="AD141" i="50"/>
  <c r="AG141" i="50" s="1"/>
  <c r="AG202" i="57"/>
  <c r="X200" i="57"/>
  <c r="AB200" i="57" s="1"/>
  <c r="AF199" i="57"/>
  <c r="M203" i="53"/>
  <c r="AC203" i="53" s="1"/>
  <c r="O203" i="53"/>
  <c r="AP187" i="69"/>
  <c r="N187" i="69"/>
  <c r="U187" i="69" s="1"/>
  <c r="AJ201" i="57"/>
  <c r="R201" i="57"/>
  <c r="AD201" i="57"/>
  <c r="Q201" i="57"/>
  <c r="T201" i="57" s="1"/>
  <c r="AE201" i="57"/>
  <c r="AQ201" i="57"/>
  <c r="AC201" i="57"/>
  <c r="M202" i="57"/>
  <c r="AK202" i="57" s="1"/>
  <c r="Q142" i="50"/>
  <c r="P142" i="50" s="1"/>
  <c r="Q132" i="32"/>
  <c r="P132" i="32" s="1"/>
  <c r="N203" i="53"/>
  <c r="T133" i="32"/>
  <c r="O133" i="32"/>
  <c r="T143" i="50"/>
  <c r="O143" i="50"/>
  <c r="AA201" i="53"/>
  <c r="AB201" i="53"/>
  <c r="AP139" i="50"/>
  <c r="AM132" i="32"/>
  <c r="C141" i="50"/>
  <c r="AJ141" i="50"/>
  <c r="S142" i="50"/>
  <c r="Z142" i="50" s="1"/>
  <c r="W131" i="32"/>
  <c r="X131" i="32" s="1"/>
  <c r="C131" i="32"/>
  <c r="AJ131" i="32"/>
  <c r="S132" i="32"/>
  <c r="Z132" i="32" s="1"/>
  <c r="W141" i="50"/>
  <c r="X140" i="50"/>
  <c r="V141" i="50"/>
  <c r="V131" i="32"/>
  <c r="AF186" i="69"/>
  <c r="Q186" i="69"/>
  <c r="O203" i="57"/>
  <c r="P203" i="57"/>
  <c r="AC184" i="69"/>
  <c r="AD184" i="69" s="1"/>
  <c r="AH140" i="50"/>
  <c r="AI140" i="50" s="1"/>
  <c r="AB185" i="69"/>
  <c r="AG185" i="69"/>
  <c r="O188" i="69"/>
  <c r="AO187" i="69"/>
  <c r="AK143" i="50"/>
  <c r="AF201" i="53"/>
  <c r="AE202" i="53"/>
  <c r="AK133" i="32"/>
  <c r="AM142" i="50"/>
  <c r="AL130" i="32"/>
  <c r="AI129" i="32"/>
  <c r="AN129" i="32" s="1"/>
  <c r="R202" i="53"/>
  <c r="X202" i="53" s="1"/>
  <c r="AL140" i="50"/>
  <c r="AY186" i="69"/>
  <c r="L203" i="57"/>
  <c r="AH202" i="53"/>
  <c r="AT202" i="53"/>
  <c r="AG202" i="53"/>
  <c r="N203" i="57"/>
  <c r="I203" i="53"/>
  <c r="AH186" i="69"/>
  <c r="Q202" i="53"/>
  <c r="AD202" i="53"/>
  <c r="J203" i="53"/>
  <c r="D203" i="53"/>
  <c r="C203" i="53"/>
  <c r="F203" i="53"/>
  <c r="E203" i="53"/>
  <c r="L203" i="53"/>
  <c r="H203" i="53"/>
  <c r="K203" i="53"/>
  <c r="G203" i="53"/>
  <c r="AK202" i="52" a="1"/>
  <c r="AK202" i="52" s="1"/>
  <c r="B204" i="53" s="1"/>
  <c r="P203" i="53"/>
  <c r="A133" i="32"/>
  <c r="B133" i="32"/>
  <c r="R133" i="32" s="1"/>
  <c r="J143" i="50"/>
  <c r="I143" i="50"/>
  <c r="H143" i="50"/>
  <c r="N143" i="50"/>
  <c r="M143" i="50"/>
  <c r="F143" i="50"/>
  <c r="U143" i="50" s="1"/>
  <c r="G143" i="50"/>
  <c r="A143" i="50"/>
  <c r="K143" i="50"/>
  <c r="L143" i="50"/>
  <c r="B143" i="50"/>
  <c r="R143" i="50" s="1"/>
  <c r="F133" i="32"/>
  <c r="U133" i="32" s="1"/>
  <c r="N133" i="32"/>
  <c r="I133" i="32"/>
  <c r="J133" i="32"/>
  <c r="M133" i="32"/>
  <c r="G133" i="32"/>
  <c r="L133" i="32"/>
  <c r="H133" i="32"/>
  <c r="K133" i="32"/>
  <c r="H203" i="57"/>
  <c r="D203" i="57"/>
  <c r="F203" i="57"/>
  <c r="K203" i="57"/>
  <c r="G203" i="57"/>
  <c r="C203" i="57"/>
  <c r="E203" i="57"/>
  <c r="J203" i="57"/>
  <c r="I203" i="57"/>
  <c r="AN202" i="55" a="1"/>
  <c r="AN202" i="55" s="1"/>
  <c r="B204" i="57" s="1"/>
  <c r="AR188" i="67" a="1"/>
  <c r="AR188" i="67" s="1"/>
  <c r="B189" i="69"/>
  <c r="L189" i="69" s="1"/>
  <c r="D187" i="69"/>
  <c r="E187" i="69" s="1"/>
  <c r="F187" i="69" s="1"/>
  <c r="G187" i="69" s="1"/>
  <c r="H187" i="69" s="1"/>
  <c r="I187" i="69" s="1"/>
  <c r="J187" i="69" s="1"/>
  <c r="K187" i="69" s="1"/>
  <c r="M187" i="69" s="1"/>
  <c r="R186" i="69"/>
  <c r="S186" i="69" s="1"/>
  <c r="Y186" i="69" s="1"/>
  <c r="AE186" i="69"/>
  <c r="C188" i="69"/>
  <c r="P188" i="69" s="1"/>
  <c r="AL133" i="11" a="1"/>
  <c r="AL133" i="11" s="1"/>
  <c r="E134" i="32" s="1"/>
  <c r="AP143" i="59" a="1"/>
  <c r="AP143" i="59" s="1"/>
  <c r="E144" i="50" s="1"/>
  <c r="AQ33" i="59" a="1"/>
  <c r="AQ33" i="59" s="1"/>
  <c r="AM18" i="11" a="1"/>
  <c r="AM18" i="11" s="1"/>
  <c r="AD132" i="32" l="1"/>
  <c r="AG132" i="32" s="1"/>
  <c r="AH132" i="32" s="1"/>
  <c r="AD142" i="50"/>
  <c r="AG142" i="50" s="1"/>
  <c r="X201" i="57"/>
  <c r="AB201" i="57" s="1"/>
  <c r="AG203" i="57"/>
  <c r="AA200" i="57"/>
  <c r="AF200" i="57"/>
  <c r="M204" i="53"/>
  <c r="AC204" i="53" s="1"/>
  <c r="O204" i="53"/>
  <c r="AP188" i="69"/>
  <c r="N188" i="69"/>
  <c r="U188" i="69" s="1"/>
  <c r="Q202" i="57"/>
  <c r="T202" i="57" s="1"/>
  <c r="AE202" i="57"/>
  <c r="AQ202" i="57"/>
  <c r="AD202" i="57"/>
  <c r="AJ202" i="57"/>
  <c r="R202" i="57"/>
  <c r="AC202" i="57"/>
  <c r="M203" i="57"/>
  <c r="AK203" i="57" s="1"/>
  <c r="Q143" i="50"/>
  <c r="P143" i="50" s="1"/>
  <c r="Q133" i="32"/>
  <c r="P133" i="32" s="1"/>
  <c r="N204" i="53"/>
  <c r="T134" i="32"/>
  <c r="O134" i="32"/>
  <c r="T144" i="50"/>
  <c r="O144" i="50"/>
  <c r="AA202" i="53"/>
  <c r="AB202" i="53"/>
  <c r="AP140" i="50"/>
  <c r="AM133" i="32"/>
  <c r="C142" i="50"/>
  <c r="AJ142" i="50"/>
  <c r="S143" i="50"/>
  <c r="Z143" i="50" s="1"/>
  <c r="C132" i="32"/>
  <c r="AJ132" i="32"/>
  <c r="W132" i="32"/>
  <c r="X132" i="32" s="1"/>
  <c r="S133" i="32"/>
  <c r="Z133" i="32" s="1"/>
  <c r="W142" i="50"/>
  <c r="X141" i="50"/>
  <c r="V142" i="50"/>
  <c r="V132" i="32"/>
  <c r="AF187" i="69"/>
  <c r="Q187" i="69"/>
  <c r="O204" i="57"/>
  <c r="P204" i="57"/>
  <c r="AC185" i="69"/>
  <c r="AD185" i="69" s="1"/>
  <c r="AH141" i="50"/>
  <c r="AI141" i="50" s="1"/>
  <c r="AB186" i="69"/>
  <c r="AG186" i="69"/>
  <c r="O189" i="69"/>
  <c r="AO188" i="69"/>
  <c r="AK144" i="50"/>
  <c r="AF202" i="53"/>
  <c r="AE203" i="53"/>
  <c r="AK134" i="32"/>
  <c r="AM143" i="50"/>
  <c r="AL131" i="32"/>
  <c r="R203" i="53"/>
  <c r="X203" i="53" s="1"/>
  <c r="AL141" i="50"/>
  <c r="AI130" i="32"/>
  <c r="AN130" i="32" s="1"/>
  <c r="AY187" i="69"/>
  <c r="L204" i="57"/>
  <c r="AH203" i="53"/>
  <c r="AT203" i="53"/>
  <c r="AG203" i="53"/>
  <c r="N204" i="57"/>
  <c r="AH187" i="69"/>
  <c r="Q203" i="53"/>
  <c r="AD203" i="53"/>
  <c r="J204" i="53"/>
  <c r="H204" i="53"/>
  <c r="P204" i="53"/>
  <c r="F204" i="53"/>
  <c r="L204" i="53"/>
  <c r="G204" i="53"/>
  <c r="I204" i="53"/>
  <c r="AK203" i="52" a="1"/>
  <c r="AK203" i="52" s="1"/>
  <c r="B205" i="53" s="1"/>
  <c r="D204" i="53"/>
  <c r="C204" i="53"/>
  <c r="K204" i="53"/>
  <c r="E204" i="53"/>
  <c r="A134" i="32"/>
  <c r="B134" i="32"/>
  <c r="R134" i="32" s="1"/>
  <c r="K144" i="50"/>
  <c r="B144" i="50"/>
  <c r="R144" i="50" s="1"/>
  <c r="F144" i="50"/>
  <c r="U144" i="50" s="1"/>
  <c r="G144" i="50"/>
  <c r="N144" i="50"/>
  <c r="I144" i="50"/>
  <c r="J144" i="50"/>
  <c r="A144" i="50"/>
  <c r="M144" i="50"/>
  <c r="H144" i="50"/>
  <c r="L144" i="50"/>
  <c r="L134" i="32"/>
  <c r="G134" i="32"/>
  <c r="H134" i="32"/>
  <c r="K134" i="32"/>
  <c r="J134" i="32"/>
  <c r="M134" i="32"/>
  <c r="F134" i="32"/>
  <c r="U134" i="32" s="1"/>
  <c r="I134" i="32"/>
  <c r="N134" i="32"/>
  <c r="F204" i="57"/>
  <c r="D204" i="57"/>
  <c r="I204" i="57"/>
  <c r="E204" i="57"/>
  <c r="H204" i="57"/>
  <c r="K204" i="57"/>
  <c r="G204" i="57"/>
  <c r="J204" i="57"/>
  <c r="C204" i="57"/>
  <c r="AN203" i="55" a="1"/>
  <c r="AN203" i="55" s="1"/>
  <c r="B205" i="57" s="1"/>
  <c r="AR189" i="67" a="1"/>
  <c r="AR189" i="67" s="1"/>
  <c r="B190" i="69"/>
  <c r="L190" i="69" s="1"/>
  <c r="C189" i="69"/>
  <c r="P189" i="69" s="1"/>
  <c r="AE187" i="69"/>
  <c r="R187" i="69"/>
  <c r="S187" i="69" s="1"/>
  <c r="Y187" i="69" s="1"/>
  <c r="D188" i="69"/>
  <c r="E188" i="69" s="1"/>
  <c r="F188" i="69" s="1"/>
  <c r="G188" i="69" s="1"/>
  <c r="H188" i="69" s="1"/>
  <c r="I188" i="69" s="1"/>
  <c r="J188" i="69" s="1"/>
  <c r="K188" i="69" s="1"/>
  <c r="M188" i="69" s="1"/>
  <c r="AL134" i="11" a="1"/>
  <c r="AL134" i="11" s="1"/>
  <c r="E135" i="32" s="1"/>
  <c r="AP144" i="59" a="1"/>
  <c r="AP144" i="59" s="1"/>
  <c r="E145" i="50" s="1"/>
  <c r="AQ34" i="59" a="1"/>
  <c r="AQ34" i="59" s="1"/>
  <c r="AM19" i="11" a="1"/>
  <c r="AM19" i="11" s="1"/>
  <c r="AE203" i="57" l="1"/>
  <c r="X202" i="57"/>
  <c r="AA202" i="57" s="1"/>
  <c r="AB187" i="69"/>
  <c r="AC187" i="69" s="1"/>
  <c r="AD187" i="69" s="1"/>
  <c r="AD133" i="32"/>
  <c r="AG133" i="32" s="1"/>
  <c r="AH133" i="32" s="1"/>
  <c r="AD143" i="50"/>
  <c r="AG143" i="50" s="1"/>
  <c r="AG204" i="57"/>
  <c r="AA201" i="57"/>
  <c r="AF201" i="57"/>
  <c r="M205" i="53"/>
  <c r="AC205" i="53" s="1"/>
  <c r="O205" i="53"/>
  <c r="AP189" i="69"/>
  <c r="N189" i="69"/>
  <c r="U189" i="69" s="1"/>
  <c r="AQ203" i="57"/>
  <c r="Q203" i="57"/>
  <c r="T203" i="57" s="1"/>
  <c r="AD203" i="57"/>
  <c r="AJ203" i="57"/>
  <c r="R203" i="57"/>
  <c r="AC203" i="57"/>
  <c r="M204" i="57"/>
  <c r="AK204" i="57" s="1"/>
  <c r="Q144" i="50"/>
  <c r="P144" i="50" s="1"/>
  <c r="Q134" i="32"/>
  <c r="P134" i="32" s="1"/>
  <c r="N205" i="53"/>
  <c r="T135" i="32"/>
  <c r="O135" i="32"/>
  <c r="O145" i="50"/>
  <c r="T145" i="50"/>
  <c r="AA203" i="53"/>
  <c r="AB203" i="53"/>
  <c r="AP141" i="50"/>
  <c r="AM134" i="32"/>
  <c r="C143" i="50"/>
  <c r="AJ143" i="50"/>
  <c r="S144" i="50"/>
  <c r="Z144" i="50" s="1"/>
  <c r="C133" i="32"/>
  <c r="AJ133" i="32"/>
  <c r="W133" i="32"/>
  <c r="X133" i="32" s="1"/>
  <c r="S134" i="32"/>
  <c r="Z134" i="32" s="1"/>
  <c r="W143" i="50"/>
  <c r="X142" i="50"/>
  <c r="V143" i="50"/>
  <c r="V133" i="32"/>
  <c r="AF188" i="69"/>
  <c r="Q188" i="69"/>
  <c r="O205" i="57"/>
  <c r="P205" i="57"/>
  <c r="AC186" i="69"/>
  <c r="AD186" i="69" s="1"/>
  <c r="AH142" i="50"/>
  <c r="AI142" i="50" s="1"/>
  <c r="AG187" i="69"/>
  <c r="AO189" i="69"/>
  <c r="O190" i="69"/>
  <c r="AK145" i="50"/>
  <c r="AE204" i="53"/>
  <c r="AF203" i="53"/>
  <c r="AK135" i="32"/>
  <c r="AM144" i="50"/>
  <c r="AL132" i="32"/>
  <c r="AI131" i="32"/>
  <c r="AN131" i="32" s="1"/>
  <c r="R204" i="53"/>
  <c r="X204" i="53" s="1"/>
  <c r="AL142" i="50"/>
  <c r="AY188" i="69"/>
  <c r="L205" i="57"/>
  <c r="AG204" i="53"/>
  <c r="AT204" i="53"/>
  <c r="AH204" i="53"/>
  <c r="AD204" i="53"/>
  <c r="N205" i="57"/>
  <c r="Q204" i="53"/>
  <c r="AH188" i="69"/>
  <c r="H205" i="53"/>
  <c r="K205" i="53"/>
  <c r="L205" i="53"/>
  <c r="D205" i="53"/>
  <c r="C205" i="53"/>
  <c r="AK204" i="52" a="1"/>
  <c r="AK204" i="52" s="1"/>
  <c r="B206" i="53" s="1"/>
  <c r="P205" i="53"/>
  <c r="E205" i="53"/>
  <c r="G205" i="53"/>
  <c r="F205" i="53"/>
  <c r="J205" i="53"/>
  <c r="I205" i="53"/>
  <c r="A135" i="32"/>
  <c r="B135" i="32"/>
  <c r="R135" i="32" s="1"/>
  <c r="J145" i="50"/>
  <c r="M145" i="50"/>
  <c r="H145" i="50"/>
  <c r="F145" i="50"/>
  <c r="U145" i="50" s="1"/>
  <c r="K145" i="50"/>
  <c r="L145" i="50"/>
  <c r="G145" i="50"/>
  <c r="A145" i="50"/>
  <c r="B145" i="50"/>
  <c r="R145" i="50" s="1"/>
  <c r="N145" i="50"/>
  <c r="I145" i="50"/>
  <c r="J135" i="32"/>
  <c r="M135" i="32"/>
  <c r="F135" i="32"/>
  <c r="U135" i="32" s="1"/>
  <c r="N135" i="32"/>
  <c r="I135" i="32"/>
  <c r="K135" i="32"/>
  <c r="H135" i="32"/>
  <c r="L135" i="32"/>
  <c r="G135" i="32"/>
  <c r="C205" i="57"/>
  <c r="K205" i="57"/>
  <c r="J205" i="57"/>
  <c r="H205" i="57"/>
  <c r="D205" i="57"/>
  <c r="F205" i="57"/>
  <c r="I205" i="57"/>
  <c r="G205" i="57"/>
  <c r="E205" i="57"/>
  <c r="AN204" i="55" a="1"/>
  <c r="AN204" i="55" s="1"/>
  <c r="B206" i="57" s="1"/>
  <c r="AR190" i="67" a="1"/>
  <c r="AR190" i="67" s="1"/>
  <c r="B191" i="69"/>
  <c r="L191" i="69" s="1"/>
  <c r="D189" i="69"/>
  <c r="E189" i="69" s="1"/>
  <c r="F189" i="69" s="1"/>
  <c r="G189" i="69" s="1"/>
  <c r="H189" i="69" s="1"/>
  <c r="I189" i="69" s="1"/>
  <c r="J189" i="69" s="1"/>
  <c r="K189" i="69" s="1"/>
  <c r="M189" i="69" s="1"/>
  <c r="AE188" i="69"/>
  <c r="R188" i="69"/>
  <c r="S188" i="69" s="1"/>
  <c r="C190" i="69"/>
  <c r="P190" i="69" s="1"/>
  <c r="AL135" i="11" a="1"/>
  <c r="AL135" i="11" s="1"/>
  <c r="E136" i="32" s="1"/>
  <c r="AP145" i="59" a="1"/>
  <c r="AP145" i="59" s="1"/>
  <c r="E146" i="50" s="1"/>
  <c r="AQ35" i="59" a="1"/>
  <c r="AQ35" i="59" s="1"/>
  <c r="AM20" i="11" a="1"/>
  <c r="AM20" i="11" s="1"/>
  <c r="Y188" i="69" l="1"/>
  <c r="AB188" i="69" s="1"/>
  <c r="AC188" i="69" s="1"/>
  <c r="AD188" i="69" s="1"/>
  <c r="AD134" i="32"/>
  <c r="AG134" i="32" s="1"/>
  <c r="AH134" i="32" s="1"/>
  <c r="AD144" i="50"/>
  <c r="AG144" i="50" s="1"/>
  <c r="X203" i="57"/>
  <c r="AB203" i="57" s="1"/>
  <c r="AG205" i="57"/>
  <c r="AF202" i="57"/>
  <c r="AB202" i="57"/>
  <c r="AE204" i="57"/>
  <c r="M206" i="53"/>
  <c r="AC206" i="53" s="1"/>
  <c r="O206" i="53"/>
  <c r="AP190" i="69"/>
  <c r="N190" i="69"/>
  <c r="U190" i="69" s="1"/>
  <c r="AJ204" i="57"/>
  <c r="R204" i="57"/>
  <c r="Q204" i="57"/>
  <c r="T204" i="57" s="1"/>
  <c r="AD204" i="57"/>
  <c r="AQ204" i="57"/>
  <c r="AC204" i="57"/>
  <c r="M205" i="57"/>
  <c r="AK205" i="57" s="1"/>
  <c r="Q145" i="50"/>
  <c r="P145" i="50" s="1"/>
  <c r="Q135" i="32"/>
  <c r="P135" i="32" s="1"/>
  <c r="N206" i="53"/>
  <c r="T136" i="32"/>
  <c r="O136" i="32"/>
  <c r="T146" i="50"/>
  <c r="O146" i="50"/>
  <c r="AA204" i="53"/>
  <c r="AB204" i="53"/>
  <c r="AP142" i="50"/>
  <c r="AM135" i="32"/>
  <c r="C144" i="50"/>
  <c r="AJ144" i="50"/>
  <c r="S145" i="50"/>
  <c r="Z145" i="50" s="1"/>
  <c r="C134" i="32"/>
  <c r="AJ134" i="32"/>
  <c r="W134" i="32"/>
  <c r="X134" i="32" s="1"/>
  <c r="S135" i="32"/>
  <c r="Z135" i="32" s="1"/>
  <c r="W144" i="50"/>
  <c r="X143" i="50"/>
  <c r="V144" i="50"/>
  <c r="V134" i="32"/>
  <c r="AF189" i="69"/>
  <c r="Q189" i="69"/>
  <c r="O206" i="57"/>
  <c r="P206" i="57"/>
  <c r="AH143" i="50"/>
  <c r="AI143" i="50" s="1"/>
  <c r="O191" i="69"/>
  <c r="AO190" i="69"/>
  <c r="AK146" i="50"/>
  <c r="AF204" i="53"/>
  <c r="AE205" i="53"/>
  <c r="AK136" i="32"/>
  <c r="AM145" i="50"/>
  <c r="AL133" i="32"/>
  <c r="R205" i="53"/>
  <c r="X205" i="53" s="1"/>
  <c r="AL143" i="50"/>
  <c r="AI132" i="32"/>
  <c r="AN132" i="32" s="1"/>
  <c r="AY189" i="69"/>
  <c r="L206" i="57"/>
  <c r="AH205" i="53"/>
  <c r="AT205" i="53"/>
  <c r="AG205" i="53"/>
  <c r="N206" i="57"/>
  <c r="J206" i="53"/>
  <c r="AH189" i="69"/>
  <c r="Q205" i="53"/>
  <c r="AD205" i="53"/>
  <c r="D206" i="53"/>
  <c r="P206" i="53"/>
  <c r="F206" i="53"/>
  <c r="G206" i="53"/>
  <c r="K206" i="53"/>
  <c r="H206" i="53"/>
  <c r="E206" i="53"/>
  <c r="C206" i="53"/>
  <c r="AK205" i="52" a="1"/>
  <c r="AK205" i="52" s="1"/>
  <c r="B207" i="53" s="1"/>
  <c r="L206" i="53"/>
  <c r="I206" i="53"/>
  <c r="A136" i="32"/>
  <c r="B136" i="32"/>
  <c r="R136" i="32" s="1"/>
  <c r="H146" i="50"/>
  <c r="I146" i="50"/>
  <c r="G146" i="50"/>
  <c r="N146" i="50"/>
  <c r="M146" i="50"/>
  <c r="J146" i="50"/>
  <c r="A146" i="50"/>
  <c r="B146" i="50"/>
  <c r="R146" i="50" s="1"/>
  <c r="L146" i="50"/>
  <c r="F146" i="50"/>
  <c r="U146" i="50" s="1"/>
  <c r="K146" i="50"/>
  <c r="H136" i="32"/>
  <c r="K136" i="32"/>
  <c r="L136" i="32"/>
  <c r="G136" i="32"/>
  <c r="F136" i="32"/>
  <c r="U136" i="32" s="1"/>
  <c r="I136" i="32"/>
  <c r="N136" i="32"/>
  <c r="J136" i="32"/>
  <c r="M136" i="32"/>
  <c r="H206" i="57"/>
  <c r="F206" i="57"/>
  <c r="I206" i="57"/>
  <c r="D206" i="57"/>
  <c r="K206" i="57"/>
  <c r="J206" i="57"/>
  <c r="G206" i="57"/>
  <c r="E206" i="57"/>
  <c r="C206" i="57"/>
  <c r="AN205" i="55" a="1"/>
  <c r="AN205" i="55" s="1"/>
  <c r="B207" i="57" s="1"/>
  <c r="AR191" i="67" a="1"/>
  <c r="AR191" i="67" s="1"/>
  <c r="B192" i="69"/>
  <c r="L192" i="69" s="1"/>
  <c r="AE189" i="69"/>
  <c r="R189" i="69"/>
  <c r="S189" i="69" s="1"/>
  <c r="Y189" i="69" s="1"/>
  <c r="C191" i="69"/>
  <c r="P191" i="69" s="1"/>
  <c r="D190" i="69"/>
  <c r="E190" i="69" s="1"/>
  <c r="F190" i="69" s="1"/>
  <c r="G190" i="69" s="1"/>
  <c r="H190" i="69" s="1"/>
  <c r="I190" i="69" s="1"/>
  <c r="J190" i="69" s="1"/>
  <c r="K190" i="69" s="1"/>
  <c r="M190" i="69" s="1"/>
  <c r="AL136" i="11" a="1"/>
  <c r="AL136" i="11" s="1"/>
  <c r="AP146" i="59" a="1"/>
  <c r="AP146" i="59" s="1"/>
  <c r="E147" i="50" s="1"/>
  <c r="AQ36" i="59" a="1"/>
  <c r="AQ36" i="59" s="1"/>
  <c r="AM21" i="11" a="1"/>
  <c r="AM21" i="11" s="1"/>
  <c r="AG188" i="69" l="1"/>
  <c r="AD135" i="32"/>
  <c r="AG135" i="32" s="1"/>
  <c r="AH135" i="32" s="1"/>
  <c r="AD145" i="50"/>
  <c r="AG145" i="50" s="1"/>
  <c r="X204" i="57"/>
  <c r="AB204" i="57" s="1"/>
  <c r="AG206" i="57"/>
  <c r="M207" i="53"/>
  <c r="AC207" i="53" s="1"/>
  <c r="O207" i="53"/>
  <c r="AP191" i="69"/>
  <c r="N191" i="69"/>
  <c r="U191" i="69" s="1"/>
  <c r="AA203" i="57"/>
  <c r="AF203" i="57"/>
  <c r="AQ205" i="57"/>
  <c r="R205" i="57"/>
  <c r="Q205" i="57"/>
  <c r="T205" i="57" s="1"/>
  <c r="AC205" i="57"/>
  <c r="AD205" i="57"/>
  <c r="AJ205" i="57"/>
  <c r="AE205" i="57"/>
  <c r="M206" i="57"/>
  <c r="AK206" i="57" s="1"/>
  <c r="Q146" i="50"/>
  <c r="P146" i="50" s="1"/>
  <c r="Q136" i="32"/>
  <c r="P136" i="32" s="1"/>
  <c r="N207" i="53"/>
  <c r="T147" i="50"/>
  <c r="O147" i="50"/>
  <c r="AA205" i="53"/>
  <c r="AB205" i="53"/>
  <c r="AP143" i="50"/>
  <c r="AM136" i="32"/>
  <c r="C145" i="50"/>
  <c r="AJ145" i="50"/>
  <c r="S146" i="50"/>
  <c r="Z146" i="50" s="1"/>
  <c r="C135" i="32"/>
  <c r="W135" i="32"/>
  <c r="X135" i="32" s="1"/>
  <c r="AJ135" i="32"/>
  <c r="S136" i="32"/>
  <c r="Z136" i="32" s="1"/>
  <c r="W145" i="50"/>
  <c r="X144" i="50"/>
  <c r="V145" i="50"/>
  <c r="V135" i="32"/>
  <c r="AF190" i="69"/>
  <c r="Q190" i="69"/>
  <c r="O207" i="57"/>
  <c r="P207" i="57"/>
  <c r="AH144" i="50"/>
  <c r="AI144" i="50" s="1"/>
  <c r="AB189" i="69"/>
  <c r="AG189" i="69"/>
  <c r="O192" i="69"/>
  <c r="AO191" i="69"/>
  <c r="AK147" i="50"/>
  <c r="AE206" i="53"/>
  <c r="AF205" i="53"/>
  <c r="AM146" i="50"/>
  <c r="AL134" i="32"/>
  <c r="R206" i="53"/>
  <c r="X206" i="53" s="1"/>
  <c r="AL144" i="50"/>
  <c r="AI133" i="32"/>
  <c r="AN133" i="32" s="1"/>
  <c r="AY190" i="69"/>
  <c r="L207" i="57"/>
  <c r="AH206" i="53"/>
  <c r="AT206" i="53"/>
  <c r="AG206" i="53"/>
  <c r="N207" i="57"/>
  <c r="AH190" i="69"/>
  <c r="AD206" i="53"/>
  <c r="Q206" i="53"/>
  <c r="F207" i="53"/>
  <c r="P207" i="53"/>
  <c r="C207" i="53"/>
  <c r="G207" i="53"/>
  <c r="I207" i="53"/>
  <c r="E207" i="53"/>
  <c r="K207" i="53"/>
  <c r="H207" i="53"/>
  <c r="D207" i="53"/>
  <c r="AK206" i="52" a="1"/>
  <c r="AK206" i="52" s="1"/>
  <c r="B208" i="53" s="1"/>
  <c r="J207" i="53"/>
  <c r="L207" i="53"/>
  <c r="M147" i="50"/>
  <c r="B147" i="50"/>
  <c r="R147" i="50" s="1"/>
  <c r="J147" i="50"/>
  <c r="I147" i="50"/>
  <c r="L147" i="50"/>
  <c r="N147" i="50"/>
  <c r="A147" i="50"/>
  <c r="H147" i="50"/>
  <c r="F147" i="50"/>
  <c r="U147" i="50" s="1"/>
  <c r="K147" i="50"/>
  <c r="G147" i="50"/>
  <c r="G207" i="57"/>
  <c r="K207" i="57"/>
  <c r="F207" i="57"/>
  <c r="I207" i="57"/>
  <c r="E207" i="57"/>
  <c r="D207" i="57"/>
  <c r="J207" i="57"/>
  <c r="C207" i="57"/>
  <c r="H207" i="57"/>
  <c r="E137" i="32"/>
  <c r="AN206" i="55" a="1"/>
  <c r="AN206" i="55" s="1"/>
  <c r="B208" i="57" s="1"/>
  <c r="AR192" i="67" a="1"/>
  <c r="AR192" i="67" s="1"/>
  <c r="B193" i="69"/>
  <c r="L193" i="69" s="1"/>
  <c r="D191" i="69"/>
  <c r="E191" i="69" s="1"/>
  <c r="F191" i="69" s="1"/>
  <c r="G191" i="69" s="1"/>
  <c r="H191" i="69" s="1"/>
  <c r="I191" i="69" s="1"/>
  <c r="J191" i="69" s="1"/>
  <c r="K191" i="69" s="1"/>
  <c r="M191" i="69" s="1"/>
  <c r="AE190" i="69"/>
  <c r="R190" i="69"/>
  <c r="S190" i="69" s="1"/>
  <c r="C192" i="69"/>
  <c r="P192" i="69" s="1"/>
  <c r="AL137" i="11" a="1"/>
  <c r="AL137" i="11" s="1"/>
  <c r="E138" i="32" s="1"/>
  <c r="AP147" i="59" a="1"/>
  <c r="AP147" i="59" s="1"/>
  <c r="E148" i="50" s="1"/>
  <c r="AQ37" i="59" a="1"/>
  <c r="AQ37" i="59" s="1"/>
  <c r="AM22" i="11" a="1"/>
  <c r="AM22" i="11" s="1"/>
  <c r="X205" i="57" l="1"/>
  <c r="AB205" i="57" s="1"/>
  <c r="Y190" i="69"/>
  <c r="AB190" i="69" s="1"/>
  <c r="AC190" i="69" s="1"/>
  <c r="AD190" i="69" s="1"/>
  <c r="AD136" i="32"/>
  <c r="AG136" i="32" s="1"/>
  <c r="AH136" i="32" s="1"/>
  <c r="AD146" i="50"/>
  <c r="AG146" i="50" s="1"/>
  <c r="AG207" i="57"/>
  <c r="AF204" i="57"/>
  <c r="M208" i="53"/>
  <c r="AC208" i="53" s="1"/>
  <c r="O208" i="53"/>
  <c r="AP192" i="69"/>
  <c r="N192" i="69"/>
  <c r="U192" i="69" s="1"/>
  <c r="AA204" i="57"/>
  <c r="AE206" i="57"/>
  <c r="AJ206" i="57"/>
  <c r="AD206" i="57"/>
  <c r="Q206" i="57"/>
  <c r="T206" i="57" s="1"/>
  <c r="R206" i="57"/>
  <c r="AQ206" i="57"/>
  <c r="AC206" i="57"/>
  <c r="M207" i="57"/>
  <c r="AK207" i="57" s="1"/>
  <c r="Q147" i="50"/>
  <c r="P147" i="50" s="1"/>
  <c r="N208" i="53"/>
  <c r="T138" i="32"/>
  <c r="O138" i="32"/>
  <c r="T137" i="32"/>
  <c r="O137" i="32"/>
  <c r="T148" i="50"/>
  <c r="O148" i="50"/>
  <c r="AA206" i="53"/>
  <c r="AB206" i="53"/>
  <c r="AP144" i="50"/>
  <c r="C146" i="50"/>
  <c r="AJ146" i="50"/>
  <c r="S147" i="50"/>
  <c r="Z147" i="50" s="1"/>
  <c r="C136" i="32"/>
  <c r="W136" i="32"/>
  <c r="X136" i="32" s="1"/>
  <c r="AJ136" i="32"/>
  <c r="W146" i="50"/>
  <c r="X145" i="50"/>
  <c r="V146" i="50"/>
  <c r="V136" i="32"/>
  <c r="AF191" i="69"/>
  <c r="Q191" i="69"/>
  <c r="O208" i="57"/>
  <c r="P208" i="57"/>
  <c r="AC189" i="69"/>
  <c r="AD189" i="69" s="1"/>
  <c r="AH145" i="50"/>
  <c r="AI145" i="50" s="1"/>
  <c r="O193" i="69"/>
  <c r="AO192" i="69"/>
  <c r="AK148" i="50"/>
  <c r="AF206" i="53"/>
  <c r="AE207" i="53"/>
  <c r="AK137" i="32"/>
  <c r="AK138" i="32"/>
  <c r="AM147" i="50"/>
  <c r="AL135" i="32"/>
  <c r="AI134" i="32"/>
  <c r="AN134" i="32" s="1"/>
  <c r="R207" i="53"/>
  <c r="X207" i="53" s="1"/>
  <c r="AL145" i="50"/>
  <c r="AY191" i="69"/>
  <c r="L208" i="57"/>
  <c r="AH207" i="53"/>
  <c r="AT207" i="53"/>
  <c r="AG207" i="53"/>
  <c r="N208" i="57"/>
  <c r="L208" i="53"/>
  <c r="AH191" i="69"/>
  <c r="AD207" i="53"/>
  <c r="Q207" i="53"/>
  <c r="AK207" i="52" a="1"/>
  <c r="AK207" i="52" s="1"/>
  <c r="B209" i="53" s="1"/>
  <c r="C208" i="53"/>
  <c r="E208" i="53"/>
  <c r="P208" i="53"/>
  <c r="G208" i="53"/>
  <c r="H208" i="53"/>
  <c r="J208" i="53"/>
  <c r="K208" i="53"/>
  <c r="I208" i="53"/>
  <c r="D208" i="53"/>
  <c r="F208" i="53"/>
  <c r="A138" i="32"/>
  <c r="B138" i="32"/>
  <c r="R138" i="32" s="1"/>
  <c r="A137" i="32"/>
  <c r="B137" i="32"/>
  <c r="R137" i="32" s="1"/>
  <c r="H148" i="50"/>
  <c r="J148" i="50"/>
  <c r="K148" i="50"/>
  <c r="F148" i="50"/>
  <c r="U148" i="50" s="1"/>
  <c r="N148" i="50"/>
  <c r="M148" i="50"/>
  <c r="G148" i="50"/>
  <c r="A148" i="50"/>
  <c r="B148" i="50"/>
  <c r="R148" i="50" s="1"/>
  <c r="I148" i="50"/>
  <c r="L148" i="50"/>
  <c r="L138" i="32"/>
  <c r="G138" i="32"/>
  <c r="H138" i="32"/>
  <c r="K138" i="32"/>
  <c r="M138" i="32"/>
  <c r="J138" i="32"/>
  <c r="N138" i="32"/>
  <c r="F138" i="32"/>
  <c r="U138" i="32" s="1"/>
  <c r="I138" i="32"/>
  <c r="F137" i="32"/>
  <c r="U137" i="32" s="1"/>
  <c r="N137" i="32"/>
  <c r="I137" i="32"/>
  <c r="J137" i="32"/>
  <c r="M137" i="32"/>
  <c r="G137" i="32"/>
  <c r="L137" i="32"/>
  <c r="H137" i="32"/>
  <c r="K137" i="32"/>
  <c r="F208" i="57"/>
  <c r="E208" i="57"/>
  <c r="D208" i="57"/>
  <c r="J208" i="57"/>
  <c r="I208" i="57"/>
  <c r="K208" i="57"/>
  <c r="G208" i="57"/>
  <c r="C208" i="57"/>
  <c r="H208" i="57"/>
  <c r="AN207" i="55" a="1"/>
  <c r="AN207" i="55" s="1"/>
  <c r="B209" i="57" s="1"/>
  <c r="AR193" i="67" a="1"/>
  <c r="AR193" i="67" s="1"/>
  <c r="B194" i="69"/>
  <c r="L194" i="69" s="1"/>
  <c r="C193" i="69"/>
  <c r="P193" i="69" s="1"/>
  <c r="D192" i="69"/>
  <c r="E192" i="69" s="1"/>
  <c r="F192" i="69" s="1"/>
  <c r="G192" i="69" s="1"/>
  <c r="H192" i="69" s="1"/>
  <c r="I192" i="69" s="1"/>
  <c r="J192" i="69" s="1"/>
  <c r="K192" i="69" s="1"/>
  <c r="M192" i="69" s="1"/>
  <c r="AE191" i="69"/>
  <c r="R191" i="69"/>
  <c r="S191" i="69" s="1"/>
  <c r="Y191" i="69" s="1"/>
  <c r="AL138" i="11" a="1"/>
  <c r="AL138" i="11" s="1"/>
  <c r="E139" i="32" s="1"/>
  <c r="AP148" i="59" a="1"/>
  <c r="AP148" i="59" s="1"/>
  <c r="E149" i="50" s="1"/>
  <c r="AQ38" i="59" a="1"/>
  <c r="AQ38" i="59" s="1"/>
  <c r="AM23" i="11" a="1"/>
  <c r="AM23" i="11" s="1"/>
  <c r="AG190" i="69" l="1"/>
  <c r="X206" i="57"/>
  <c r="AB206" i="57" s="1"/>
  <c r="AD147" i="50"/>
  <c r="AG147" i="50" s="1"/>
  <c r="AG208" i="57"/>
  <c r="AA205" i="57"/>
  <c r="AF205" i="57"/>
  <c r="R207" i="57"/>
  <c r="M209" i="53"/>
  <c r="AC209" i="53" s="1"/>
  <c r="O209" i="53"/>
  <c r="AP193" i="69"/>
  <c r="N193" i="69"/>
  <c r="U193" i="69" s="1"/>
  <c r="AD207" i="57"/>
  <c r="Q207" i="57"/>
  <c r="T207" i="57" s="1"/>
  <c r="AE207" i="57"/>
  <c r="AJ207" i="57"/>
  <c r="AQ207" i="57"/>
  <c r="AC207" i="57"/>
  <c r="M208" i="57"/>
  <c r="AK208" i="57" s="1"/>
  <c r="Q148" i="50"/>
  <c r="P148" i="50" s="1"/>
  <c r="Q137" i="32"/>
  <c r="P137" i="32" s="1"/>
  <c r="Q138" i="32"/>
  <c r="P138" i="32" s="1"/>
  <c r="N209" i="53"/>
  <c r="T139" i="32"/>
  <c r="O139" i="32"/>
  <c r="T149" i="50"/>
  <c r="O149" i="50"/>
  <c r="AA207" i="53"/>
  <c r="AB207" i="53"/>
  <c r="AP145" i="50"/>
  <c r="AM137" i="32"/>
  <c r="AM138" i="32"/>
  <c r="AJ147" i="50"/>
  <c r="C147" i="50"/>
  <c r="S148" i="50"/>
  <c r="Z148" i="50" s="1"/>
  <c r="S138" i="32"/>
  <c r="Z138" i="32" s="1"/>
  <c r="S137" i="32"/>
  <c r="Z137" i="32" s="1"/>
  <c r="W147" i="50"/>
  <c r="X146" i="50"/>
  <c r="V147" i="50"/>
  <c r="AF192" i="69"/>
  <c r="Q192" i="69"/>
  <c r="O209" i="57"/>
  <c r="P209" i="57"/>
  <c r="AH146" i="50"/>
  <c r="AI146" i="50" s="1"/>
  <c r="AB191" i="69"/>
  <c r="AG191" i="69"/>
  <c r="AO193" i="69"/>
  <c r="O194" i="69"/>
  <c r="AK149" i="50"/>
  <c r="AE208" i="53"/>
  <c r="AF207" i="53"/>
  <c r="AK139" i="32"/>
  <c r="AM148" i="50"/>
  <c r="AL136" i="32"/>
  <c r="R208" i="53"/>
  <c r="X208" i="53" s="1"/>
  <c r="AL146" i="50"/>
  <c r="AI135" i="32"/>
  <c r="AN135" i="32" s="1"/>
  <c r="AY192" i="69"/>
  <c r="L209" i="57"/>
  <c r="AH208" i="53"/>
  <c r="AT208" i="53"/>
  <c r="AG208" i="53"/>
  <c r="N209" i="57"/>
  <c r="I209" i="53"/>
  <c r="AH192" i="69"/>
  <c r="Q208" i="53"/>
  <c r="AD208" i="53"/>
  <c r="L209" i="53"/>
  <c r="G209" i="53"/>
  <c r="C209" i="53"/>
  <c r="F209" i="53"/>
  <c r="E209" i="53"/>
  <c r="H209" i="53"/>
  <c r="P209" i="53"/>
  <c r="AK208" i="52" a="1"/>
  <c r="AK208" i="52" s="1"/>
  <c r="B210" i="53" s="1"/>
  <c r="J209" i="53"/>
  <c r="D209" i="53"/>
  <c r="K209" i="53"/>
  <c r="A139" i="32"/>
  <c r="B139" i="32"/>
  <c r="R139" i="32" s="1"/>
  <c r="M149" i="50"/>
  <c r="F149" i="50"/>
  <c r="U149" i="50" s="1"/>
  <c r="J149" i="50"/>
  <c r="H149" i="50"/>
  <c r="A149" i="50"/>
  <c r="K149" i="50"/>
  <c r="N149" i="50"/>
  <c r="L149" i="50"/>
  <c r="I149" i="50"/>
  <c r="B149" i="50"/>
  <c r="R149" i="50" s="1"/>
  <c r="G149" i="50"/>
  <c r="J139" i="32"/>
  <c r="M139" i="32"/>
  <c r="F139" i="32"/>
  <c r="U139" i="32" s="1"/>
  <c r="N139" i="32"/>
  <c r="I139" i="32"/>
  <c r="H139" i="32"/>
  <c r="K139" i="32"/>
  <c r="G139" i="32"/>
  <c r="L139" i="32"/>
  <c r="K209" i="57"/>
  <c r="H209" i="57"/>
  <c r="F209" i="57"/>
  <c r="C209" i="57"/>
  <c r="E209" i="57"/>
  <c r="G209" i="57"/>
  <c r="J209" i="57"/>
  <c r="I209" i="57"/>
  <c r="D209" i="57"/>
  <c r="AN208" i="55" a="1"/>
  <c r="AN208" i="55" s="1"/>
  <c r="B210" i="57" s="1"/>
  <c r="AR194" i="67" a="1"/>
  <c r="AR194" i="67" s="1"/>
  <c r="B195" i="69"/>
  <c r="L195" i="69" s="1"/>
  <c r="D193" i="69"/>
  <c r="E193" i="69" s="1"/>
  <c r="F193" i="69" s="1"/>
  <c r="G193" i="69" s="1"/>
  <c r="H193" i="69" s="1"/>
  <c r="I193" i="69" s="1"/>
  <c r="J193" i="69" s="1"/>
  <c r="K193" i="69" s="1"/>
  <c r="M193" i="69" s="1"/>
  <c r="R192" i="69"/>
  <c r="S192" i="69" s="1"/>
  <c r="Y192" i="69" s="1"/>
  <c r="AE192" i="69"/>
  <c r="C194" i="69"/>
  <c r="P194" i="69" s="1"/>
  <c r="AL139" i="11" a="1"/>
  <c r="AL139" i="11" s="1"/>
  <c r="E140" i="32" s="1"/>
  <c r="AP149" i="59" a="1"/>
  <c r="AP149" i="59" s="1"/>
  <c r="E150" i="50" s="1"/>
  <c r="AQ39" i="59" a="1"/>
  <c r="AQ39" i="59" s="1"/>
  <c r="AM24" i="11" a="1"/>
  <c r="AM24" i="11" s="1"/>
  <c r="AD138" i="32" l="1"/>
  <c r="AG138" i="32" s="1"/>
  <c r="AH138" i="32" s="1"/>
  <c r="AD137" i="32"/>
  <c r="AG137" i="32" s="1"/>
  <c r="AH137" i="32" s="1"/>
  <c r="AD148" i="50"/>
  <c r="AG148" i="50" s="1"/>
  <c r="X207" i="57"/>
  <c r="AB207" i="57" s="1"/>
  <c r="AG209" i="57"/>
  <c r="AA206" i="57"/>
  <c r="M210" i="53"/>
  <c r="AC210" i="53" s="1"/>
  <c r="O210" i="53"/>
  <c r="AP194" i="69"/>
  <c r="N194" i="69"/>
  <c r="U194" i="69" s="1"/>
  <c r="AF206" i="57"/>
  <c r="AC208" i="57"/>
  <c r="AQ208" i="57"/>
  <c r="AD208" i="57"/>
  <c r="AJ208" i="57"/>
  <c r="Q208" i="57"/>
  <c r="T208" i="57" s="1"/>
  <c r="R208" i="57"/>
  <c r="AE208" i="57"/>
  <c r="M209" i="57"/>
  <c r="AK209" i="57" s="1"/>
  <c r="Q149" i="50"/>
  <c r="P149" i="50" s="1"/>
  <c r="Q139" i="32"/>
  <c r="P139" i="32" s="1"/>
  <c r="N210" i="53"/>
  <c r="T140" i="32"/>
  <c r="O140" i="32"/>
  <c r="T150" i="50"/>
  <c r="O150" i="50"/>
  <c r="AA208" i="53"/>
  <c r="AB208" i="53"/>
  <c r="AP146" i="50"/>
  <c r="AM139" i="32"/>
  <c r="C148" i="50"/>
  <c r="AJ148" i="50"/>
  <c r="S149" i="50"/>
  <c r="Z149" i="50" s="1"/>
  <c r="W137" i="32"/>
  <c r="X137" i="32" s="1"/>
  <c r="C137" i="32"/>
  <c r="AJ137" i="32"/>
  <c r="C138" i="32"/>
  <c r="AJ138" i="32"/>
  <c r="W138" i="32"/>
  <c r="X138" i="32" s="1"/>
  <c r="S139" i="32"/>
  <c r="AD139" i="32" s="1"/>
  <c r="W148" i="50"/>
  <c r="X147" i="50"/>
  <c r="V148" i="50"/>
  <c r="V138" i="32"/>
  <c r="V137" i="32"/>
  <c r="AF193" i="69"/>
  <c r="Q193" i="69"/>
  <c r="O210" i="57"/>
  <c r="P210" i="57"/>
  <c r="AC191" i="69"/>
  <c r="AD191" i="69" s="1"/>
  <c r="AH147" i="50"/>
  <c r="AI147" i="50" s="1"/>
  <c r="AB192" i="69"/>
  <c r="AG192" i="69"/>
  <c r="O195" i="69"/>
  <c r="AO194" i="69"/>
  <c r="AK150" i="50"/>
  <c r="AE209" i="53"/>
  <c r="AF208" i="53"/>
  <c r="AK140" i="32"/>
  <c r="AM149" i="50"/>
  <c r="AI136" i="32"/>
  <c r="AN136" i="32" s="1"/>
  <c r="R209" i="53"/>
  <c r="X209" i="53" s="1"/>
  <c r="AL147" i="50"/>
  <c r="AY193" i="69"/>
  <c r="L210" i="57"/>
  <c r="AH209" i="53"/>
  <c r="AT209" i="53"/>
  <c r="AG209" i="53"/>
  <c r="N210" i="57"/>
  <c r="AH193" i="69"/>
  <c r="AD209" i="53"/>
  <c r="Q209" i="53"/>
  <c r="K210" i="53"/>
  <c r="I210" i="53"/>
  <c r="G210" i="53"/>
  <c r="AK209" i="52" a="1"/>
  <c r="AK209" i="52" s="1"/>
  <c r="B211" i="53" s="1"/>
  <c r="F210" i="53"/>
  <c r="L210" i="53"/>
  <c r="E210" i="53"/>
  <c r="C210" i="53"/>
  <c r="H210" i="53"/>
  <c r="J210" i="53"/>
  <c r="P210" i="53"/>
  <c r="D210" i="53"/>
  <c r="A140" i="32"/>
  <c r="B140" i="32"/>
  <c r="R140" i="32" s="1"/>
  <c r="F150" i="50"/>
  <c r="U150" i="50" s="1"/>
  <c r="L150" i="50"/>
  <c r="N150" i="50"/>
  <c r="M150" i="50"/>
  <c r="G150" i="50"/>
  <c r="A150" i="50"/>
  <c r="B150" i="50"/>
  <c r="R150" i="50" s="1"/>
  <c r="H150" i="50"/>
  <c r="I150" i="50"/>
  <c r="J150" i="50"/>
  <c r="K150" i="50"/>
  <c r="H140" i="32"/>
  <c r="K140" i="32"/>
  <c r="L140" i="32"/>
  <c r="G140" i="32"/>
  <c r="I140" i="32"/>
  <c r="N140" i="32"/>
  <c r="F140" i="32"/>
  <c r="U140" i="32" s="1"/>
  <c r="J140" i="32"/>
  <c r="M140" i="32"/>
  <c r="K210" i="57"/>
  <c r="G210" i="57"/>
  <c r="E210" i="57"/>
  <c r="C210" i="57"/>
  <c r="J210" i="57"/>
  <c r="H210" i="57"/>
  <c r="I210" i="57"/>
  <c r="D210" i="57"/>
  <c r="F210" i="57"/>
  <c r="AN209" i="55" a="1"/>
  <c r="AN209" i="55" s="1"/>
  <c r="B211" i="57" s="1"/>
  <c r="C195" i="69"/>
  <c r="P195" i="69" s="1"/>
  <c r="D194" i="69"/>
  <c r="E194" i="69" s="1"/>
  <c r="F194" i="69" s="1"/>
  <c r="G194" i="69" s="1"/>
  <c r="H194" i="69" s="1"/>
  <c r="I194" i="69" s="1"/>
  <c r="J194" i="69" s="1"/>
  <c r="K194" i="69" s="1"/>
  <c r="M194" i="69" s="1"/>
  <c r="AE193" i="69"/>
  <c r="R193" i="69"/>
  <c r="S193" i="69" s="1"/>
  <c r="Y193" i="69" s="1"/>
  <c r="AR195" i="67" a="1"/>
  <c r="AR195" i="67" s="1"/>
  <c r="B196" i="69"/>
  <c r="L196" i="69" s="1"/>
  <c r="AL140" i="11" a="1"/>
  <c r="AL140" i="11" s="1"/>
  <c r="E141" i="32" s="1"/>
  <c r="AP150" i="59" a="1"/>
  <c r="AP150" i="59" s="1"/>
  <c r="E151" i="50" s="1"/>
  <c r="AQ40" i="59" a="1"/>
  <c r="AQ40" i="59" s="1"/>
  <c r="AM25" i="11" a="1"/>
  <c r="AM25" i="11" s="1"/>
  <c r="AD149" i="50" l="1"/>
  <c r="AG149" i="50" s="1"/>
  <c r="X208" i="57"/>
  <c r="AA208" i="57" s="1"/>
  <c r="AG210" i="57"/>
  <c r="AA207" i="57"/>
  <c r="AF207" i="57"/>
  <c r="M211" i="53"/>
  <c r="AC211" i="53" s="1"/>
  <c r="O211" i="53"/>
  <c r="AP195" i="69"/>
  <c r="N195" i="69"/>
  <c r="U195" i="69" s="1"/>
  <c r="AJ209" i="57"/>
  <c r="AD209" i="57"/>
  <c r="R209" i="57"/>
  <c r="AC209" i="57"/>
  <c r="Q209" i="57"/>
  <c r="T209" i="57" s="1"/>
  <c r="AQ209" i="57"/>
  <c r="AE209" i="57"/>
  <c r="M210" i="57"/>
  <c r="AK210" i="57" s="1"/>
  <c r="Q150" i="50"/>
  <c r="P150" i="50" s="1"/>
  <c r="Q140" i="32"/>
  <c r="P140" i="32" s="1"/>
  <c r="N211" i="53"/>
  <c r="T141" i="32"/>
  <c r="O141" i="32"/>
  <c r="T151" i="50"/>
  <c r="O151" i="50"/>
  <c r="AA209" i="53"/>
  <c r="AB209" i="53"/>
  <c r="AP147" i="50"/>
  <c r="C139" i="32"/>
  <c r="Z139" i="32"/>
  <c r="AM140" i="32"/>
  <c r="C149" i="50"/>
  <c r="AJ149" i="50"/>
  <c r="S150" i="50"/>
  <c r="Z150" i="50" s="1"/>
  <c r="S140" i="32"/>
  <c r="Z140" i="32" s="1"/>
  <c r="W139" i="32"/>
  <c r="X139" i="32" s="1"/>
  <c r="AJ139" i="32"/>
  <c r="W149" i="50"/>
  <c r="X148" i="50"/>
  <c r="V149" i="50"/>
  <c r="V139" i="32"/>
  <c r="AF194" i="69"/>
  <c r="Q194" i="69"/>
  <c r="O211" i="57"/>
  <c r="P211" i="57"/>
  <c r="AC192" i="69"/>
  <c r="AD192" i="69" s="1"/>
  <c r="AH148" i="50"/>
  <c r="AI148" i="50" s="1"/>
  <c r="AB193" i="69"/>
  <c r="AG193" i="69"/>
  <c r="AO195" i="69"/>
  <c r="O196" i="69"/>
  <c r="AK151" i="50"/>
  <c r="AF209" i="53"/>
  <c r="AE210" i="53"/>
  <c r="AK141" i="32"/>
  <c r="AG139" i="32"/>
  <c r="AH139" i="32" s="1"/>
  <c r="AM150" i="50"/>
  <c r="AL138" i="32"/>
  <c r="AL137" i="32"/>
  <c r="R210" i="53"/>
  <c r="X210" i="53" s="1"/>
  <c r="AL148" i="50"/>
  <c r="AY194" i="69"/>
  <c r="L211" i="57"/>
  <c r="AH210" i="53"/>
  <c r="AT210" i="53"/>
  <c r="AG210" i="53"/>
  <c r="N211" i="57"/>
  <c r="F211" i="53"/>
  <c r="AH194" i="69"/>
  <c r="Q210" i="53"/>
  <c r="AD210" i="53"/>
  <c r="AK210" i="52" a="1"/>
  <c r="AK210" i="52" s="1"/>
  <c r="B212" i="53" s="1"/>
  <c r="K211" i="53"/>
  <c r="L211" i="53"/>
  <c r="J211" i="53"/>
  <c r="H211" i="53"/>
  <c r="I211" i="53"/>
  <c r="P211" i="53"/>
  <c r="C211" i="53"/>
  <c r="E211" i="53"/>
  <c r="G211" i="53"/>
  <c r="D211" i="53"/>
  <c r="A141" i="32"/>
  <c r="B141" i="32"/>
  <c r="R141" i="32" s="1"/>
  <c r="G151" i="50"/>
  <c r="M151" i="50"/>
  <c r="F151" i="50"/>
  <c r="U151" i="50" s="1"/>
  <c r="I151" i="50"/>
  <c r="J151" i="50"/>
  <c r="A151" i="50"/>
  <c r="L151" i="50"/>
  <c r="N151" i="50"/>
  <c r="H151" i="50"/>
  <c r="K151" i="50"/>
  <c r="B151" i="50"/>
  <c r="R151" i="50" s="1"/>
  <c r="F141" i="32"/>
  <c r="U141" i="32" s="1"/>
  <c r="N141" i="32"/>
  <c r="I141" i="32"/>
  <c r="J141" i="32"/>
  <c r="M141" i="32"/>
  <c r="G141" i="32"/>
  <c r="L141" i="32"/>
  <c r="H141" i="32"/>
  <c r="K141" i="32"/>
  <c r="D211" i="57"/>
  <c r="K211" i="57"/>
  <c r="G211" i="57"/>
  <c r="F211" i="57"/>
  <c r="H211" i="57"/>
  <c r="C211" i="57"/>
  <c r="I211" i="57"/>
  <c r="J211" i="57"/>
  <c r="E211" i="57"/>
  <c r="AN210" i="55" a="1"/>
  <c r="AN210" i="55" s="1"/>
  <c r="B212" i="57" s="1"/>
  <c r="AR196" i="67" a="1"/>
  <c r="AR196" i="67" s="1"/>
  <c r="B197" i="69"/>
  <c r="L197" i="69" s="1"/>
  <c r="D195" i="69"/>
  <c r="E195" i="69" s="1"/>
  <c r="F195" i="69" s="1"/>
  <c r="G195" i="69" s="1"/>
  <c r="H195" i="69" s="1"/>
  <c r="I195" i="69" s="1"/>
  <c r="J195" i="69" s="1"/>
  <c r="K195" i="69" s="1"/>
  <c r="M195" i="69" s="1"/>
  <c r="AE194" i="69"/>
  <c r="R194" i="69"/>
  <c r="S194" i="69" s="1"/>
  <c r="Y194" i="69" s="1"/>
  <c r="C196" i="69"/>
  <c r="P196" i="69" s="1"/>
  <c r="AL141" i="11" a="1"/>
  <c r="AL141" i="11" s="1"/>
  <c r="E142" i="32" s="1"/>
  <c r="AP151" i="59" a="1"/>
  <c r="AP151" i="59" s="1"/>
  <c r="E152" i="50" s="1"/>
  <c r="AQ41" i="59" a="1"/>
  <c r="AQ41" i="59" s="1"/>
  <c r="AM26" i="11" a="1"/>
  <c r="AM26" i="11" s="1"/>
  <c r="X209" i="57" l="1"/>
  <c r="AB209" i="57" s="1"/>
  <c r="AD140" i="32"/>
  <c r="AG140" i="32" s="1"/>
  <c r="AH140" i="32" s="1"/>
  <c r="AD150" i="50"/>
  <c r="AG150" i="50" s="1"/>
  <c r="AG211" i="57"/>
  <c r="AB208" i="57"/>
  <c r="AF208" i="57"/>
  <c r="M212" i="53"/>
  <c r="AC212" i="53" s="1"/>
  <c r="O212" i="53"/>
  <c r="AP196" i="69"/>
  <c r="N196" i="69"/>
  <c r="U196" i="69" s="1"/>
  <c r="Q210" i="57"/>
  <c r="T210" i="57" s="1"/>
  <c r="R210" i="57"/>
  <c r="AQ210" i="57"/>
  <c r="AC210" i="57"/>
  <c r="AD210" i="57"/>
  <c r="AJ210" i="57"/>
  <c r="AE210" i="57"/>
  <c r="M211" i="57"/>
  <c r="AK211" i="57" s="1"/>
  <c r="Q151" i="50"/>
  <c r="P151" i="50" s="1"/>
  <c r="Q141" i="32"/>
  <c r="P141" i="32" s="1"/>
  <c r="N212" i="53"/>
  <c r="T142" i="32"/>
  <c r="O142" i="32"/>
  <c r="T152" i="50"/>
  <c r="O152" i="50"/>
  <c r="AP148" i="50"/>
  <c r="AA210" i="53"/>
  <c r="AB210" i="53"/>
  <c r="AM141" i="32"/>
  <c r="AJ150" i="50"/>
  <c r="C150" i="50"/>
  <c r="S151" i="50"/>
  <c r="Z151" i="50" s="1"/>
  <c r="AJ140" i="32"/>
  <c r="W140" i="32"/>
  <c r="X140" i="32" s="1"/>
  <c r="C140" i="32"/>
  <c r="S141" i="32"/>
  <c r="AD141" i="32" s="1"/>
  <c r="W150" i="50"/>
  <c r="X149" i="50"/>
  <c r="V150" i="50"/>
  <c r="V140" i="32"/>
  <c r="AF195" i="69"/>
  <c r="Q195" i="69"/>
  <c r="O212" i="57"/>
  <c r="P212" i="57"/>
  <c r="AC193" i="69"/>
  <c r="AD193" i="69" s="1"/>
  <c r="AH149" i="50"/>
  <c r="AI149" i="50" s="1"/>
  <c r="AB194" i="69"/>
  <c r="AG194" i="69"/>
  <c r="O197" i="69"/>
  <c r="AO196" i="69"/>
  <c r="AK152" i="50"/>
  <c r="AF210" i="53"/>
  <c r="AE211" i="53"/>
  <c r="AK142" i="32"/>
  <c r="AM151" i="50"/>
  <c r="AL139" i="32"/>
  <c r="AI137" i="32"/>
  <c r="AN137" i="32" s="1"/>
  <c r="AI138" i="32"/>
  <c r="AN138" i="32" s="1"/>
  <c r="R211" i="53"/>
  <c r="X211" i="53" s="1"/>
  <c r="AL149" i="50"/>
  <c r="AY195" i="69"/>
  <c r="L212" i="57"/>
  <c r="AH211" i="53"/>
  <c r="AT211" i="53"/>
  <c r="AG211" i="53"/>
  <c r="N212" i="57"/>
  <c r="AH195" i="69"/>
  <c r="AD211" i="53"/>
  <c r="Q211" i="53"/>
  <c r="AK211" i="52" a="1"/>
  <c r="AK211" i="52" s="1"/>
  <c r="B213" i="53" s="1"/>
  <c r="J212" i="53"/>
  <c r="L212" i="53"/>
  <c r="H212" i="53"/>
  <c r="C212" i="53"/>
  <c r="E212" i="53"/>
  <c r="D212" i="53"/>
  <c r="G212" i="53"/>
  <c r="K212" i="53"/>
  <c r="F212" i="53"/>
  <c r="P212" i="53"/>
  <c r="I212" i="53"/>
  <c r="A142" i="32"/>
  <c r="B142" i="32"/>
  <c r="R142" i="32" s="1"/>
  <c r="B152" i="50"/>
  <c r="R152" i="50" s="1"/>
  <c r="I152" i="50"/>
  <c r="N152" i="50"/>
  <c r="A152" i="50"/>
  <c r="G152" i="50"/>
  <c r="J152" i="50"/>
  <c r="K152" i="50"/>
  <c r="M152" i="50"/>
  <c r="F152" i="50"/>
  <c r="U152" i="50" s="1"/>
  <c r="H152" i="50"/>
  <c r="L152" i="50"/>
  <c r="L142" i="32"/>
  <c r="G142" i="32"/>
  <c r="H142" i="32"/>
  <c r="K142" i="32"/>
  <c r="J142" i="32"/>
  <c r="M142" i="32"/>
  <c r="F142" i="32"/>
  <c r="U142" i="32" s="1"/>
  <c r="I142" i="32"/>
  <c r="N142" i="32"/>
  <c r="I212" i="57"/>
  <c r="F212" i="57"/>
  <c r="D212" i="57"/>
  <c r="E212" i="57"/>
  <c r="J212" i="57"/>
  <c r="K212" i="57"/>
  <c r="C212" i="57"/>
  <c r="G212" i="57"/>
  <c r="H212" i="57"/>
  <c r="AN211" i="55" a="1"/>
  <c r="AN211" i="55" s="1"/>
  <c r="B213" i="57" s="1"/>
  <c r="AR197" i="67" a="1"/>
  <c r="AR197" i="67" s="1"/>
  <c r="B198" i="69"/>
  <c r="L198" i="69" s="1"/>
  <c r="AE195" i="69"/>
  <c r="R195" i="69"/>
  <c r="S195" i="69" s="1"/>
  <c r="Y195" i="69" s="1"/>
  <c r="C197" i="69"/>
  <c r="P197" i="69" s="1"/>
  <c r="D196" i="69"/>
  <c r="E196" i="69" s="1"/>
  <c r="F196" i="69" s="1"/>
  <c r="G196" i="69" s="1"/>
  <c r="H196" i="69" s="1"/>
  <c r="I196" i="69" s="1"/>
  <c r="J196" i="69" s="1"/>
  <c r="K196" i="69" s="1"/>
  <c r="M196" i="69" s="1"/>
  <c r="AL142" i="11" a="1"/>
  <c r="AL142" i="11" s="1"/>
  <c r="E143" i="32" s="1"/>
  <c r="AP152" i="59" a="1"/>
  <c r="AP152" i="59" s="1"/>
  <c r="E153" i="50" s="1"/>
  <c r="AQ42" i="59" a="1"/>
  <c r="AQ42" i="59" s="1"/>
  <c r="AM27" i="11" a="1"/>
  <c r="AM27" i="11" s="1"/>
  <c r="AF209" i="57" l="1"/>
  <c r="AD151" i="50"/>
  <c r="AG151" i="50" s="1"/>
  <c r="AG212" i="57"/>
  <c r="X210" i="57"/>
  <c r="AA210" i="57" s="1"/>
  <c r="AA209" i="57"/>
  <c r="M213" i="53"/>
  <c r="AC213" i="53" s="1"/>
  <c r="O213" i="53"/>
  <c r="AP197" i="69"/>
  <c r="N197" i="69"/>
  <c r="U197" i="69" s="1"/>
  <c r="AD211" i="57"/>
  <c r="AE211" i="57"/>
  <c r="Q211" i="57"/>
  <c r="T211" i="57" s="1"/>
  <c r="AQ211" i="57"/>
  <c r="R211" i="57"/>
  <c r="AJ211" i="57"/>
  <c r="AC211" i="57"/>
  <c r="M212" i="57"/>
  <c r="AK212" i="57" s="1"/>
  <c r="Q152" i="50"/>
  <c r="P152" i="50" s="1"/>
  <c r="Q142" i="32"/>
  <c r="P142" i="32" s="1"/>
  <c r="N213" i="53"/>
  <c r="T143" i="32"/>
  <c r="O143" i="32"/>
  <c r="O153" i="50"/>
  <c r="T153" i="50"/>
  <c r="AA211" i="53"/>
  <c r="AB211" i="53"/>
  <c r="AP149" i="50"/>
  <c r="C141" i="32"/>
  <c r="Z141" i="32"/>
  <c r="AM142" i="32"/>
  <c r="C151" i="50"/>
  <c r="AJ151" i="50"/>
  <c r="S152" i="50"/>
  <c r="Z152" i="50" s="1"/>
  <c r="W141" i="32"/>
  <c r="X141" i="32" s="1"/>
  <c r="S142" i="32"/>
  <c r="Z142" i="32" s="1"/>
  <c r="AJ141" i="32"/>
  <c r="W151" i="50"/>
  <c r="X150" i="50"/>
  <c r="V151" i="50"/>
  <c r="V141" i="32"/>
  <c r="AF196" i="69"/>
  <c r="Q196" i="69"/>
  <c r="O213" i="57"/>
  <c r="P213" i="57"/>
  <c r="AC194" i="69"/>
  <c r="AD194" i="69" s="1"/>
  <c r="AH150" i="50"/>
  <c r="AI150" i="50" s="1"/>
  <c r="AB195" i="69"/>
  <c r="AG195" i="69"/>
  <c r="AO197" i="69"/>
  <c r="O198" i="69"/>
  <c r="AK153" i="50"/>
  <c r="AF211" i="53"/>
  <c r="AE212" i="53"/>
  <c r="AK143" i="32"/>
  <c r="AG141" i="32"/>
  <c r="AH141" i="32" s="1"/>
  <c r="AM152" i="50"/>
  <c r="AL140" i="32"/>
  <c r="AI139" i="32"/>
  <c r="AN139" i="32" s="1"/>
  <c r="R212" i="53"/>
  <c r="X212" i="53" s="1"/>
  <c r="AL150" i="50"/>
  <c r="AY196" i="69"/>
  <c r="L213" i="57"/>
  <c r="AH212" i="53"/>
  <c r="AT212" i="53"/>
  <c r="AG212" i="53"/>
  <c r="Q212" i="53"/>
  <c r="N213" i="57"/>
  <c r="AD212" i="53"/>
  <c r="AH196" i="69"/>
  <c r="L213" i="53"/>
  <c r="E213" i="53"/>
  <c r="J213" i="53"/>
  <c r="H213" i="53"/>
  <c r="P213" i="53"/>
  <c r="I213" i="53"/>
  <c r="G213" i="53"/>
  <c r="K213" i="53"/>
  <c r="C213" i="53"/>
  <c r="AK212" i="52" a="1"/>
  <c r="AK212" i="52" s="1"/>
  <c r="B214" i="53" s="1"/>
  <c r="D213" i="53"/>
  <c r="F213" i="53"/>
  <c r="A143" i="32"/>
  <c r="B143" i="32"/>
  <c r="R143" i="32" s="1"/>
  <c r="F153" i="50"/>
  <c r="U153" i="50" s="1"/>
  <c r="L153" i="50"/>
  <c r="M153" i="50"/>
  <c r="I153" i="50"/>
  <c r="N153" i="50"/>
  <c r="J153" i="50"/>
  <c r="G153" i="50"/>
  <c r="H153" i="50"/>
  <c r="B153" i="50"/>
  <c r="R153" i="50" s="1"/>
  <c r="A153" i="50"/>
  <c r="K153" i="50"/>
  <c r="J143" i="32"/>
  <c r="M143" i="32"/>
  <c r="F143" i="32"/>
  <c r="U143" i="32" s="1"/>
  <c r="N143" i="32"/>
  <c r="I143" i="32"/>
  <c r="K143" i="32"/>
  <c r="H143" i="32"/>
  <c r="G143" i="32"/>
  <c r="L143" i="32"/>
  <c r="D213" i="57"/>
  <c r="C213" i="57"/>
  <c r="K213" i="57"/>
  <c r="J213" i="57"/>
  <c r="H213" i="57"/>
  <c r="F213" i="57"/>
  <c r="I213" i="57"/>
  <c r="E213" i="57"/>
  <c r="G213" i="57"/>
  <c r="AN212" i="55" a="1"/>
  <c r="AN212" i="55" s="1"/>
  <c r="B214" i="57" s="1"/>
  <c r="AR198" i="67" a="1"/>
  <c r="AR198" i="67" s="1"/>
  <c r="B199" i="69"/>
  <c r="L199" i="69" s="1"/>
  <c r="D197" i="69"/>
  <c r="E197" i="69" s="1"/>
  <c r="F197" i="69" s="1"/>
  <c r="G197" i="69" s="1"/>
  <c r="H197" i="69" s="1"/>
  <c r="I197" i="69" s="1"/>
  <c r="J197" i="69" s="1"/>
  <c r="K197" i="69" s="1"/>
  <c r="M197" i="69" s="1"/>
  <c r="AE196" i="69"/>
  <c r="R196" i="69"/>
  <c r="S196" i="69" s="1"/>
  <c r="Y196" i="69" s="1"/>
  <c r="C198" i="69"/>
  <c r="P198" i="69" s="1"/>
  <c r="AL143" i="11" a="1"/>
  <c r="AL143" i="11" s="1"/>
  <c r="E144" i="32" s="1"/>
  <c r="AP153" i="59" a="1"/>
  <c r="AP153" i="59" s="1"/>
  <c r="E154" i="50" s="1"/>
  <c r="AQ43" i="59" a="1"/>
  <c r="AQ43" i="59" s="1"/>
  <c r="AM28" i="11" a="1"/>
  <c r="AM28" i="11" s="1"/>
  <c r="AD142" i="32" l="1"/>
  <c r="AG142" i="32" s="1"/>
  <c r="AH142" i="32" s="1"/>
  <c r="AD152" i="50"/>
  <c r="AG152" i="50" s="1"/>
  <c r="AG213" i="57"/>
  <c r="X211" i="57"/>
  <c r="AF211" i="57" s="1"/>
  <c r="AF210" i="57"/>
  <c r="AB210" i="57"/>
  <c r="M214" i="53"/>
  <c r="AC214" i="53" s="1"/>
  <c r="O214" i="53"/>
  <c r="AP198" i="69"/>
  <c r="N198" i="69"/>
  <c r="U198" i="69" s="1"/>
  <c r="R212" i="57"/>
  <c r="AJ212" i="57"/>
  <c r="AE212" i="57"/>
  <c r="Q212" i="57"/>
  <c r="T212" i="57" s="1"/>
  <c r="AD212" i="57"/>
  <c r="AQ212" i="57"/>
  <c r="AC212" i="57"/>
  <c r="M213" i="57"/>
  <c r="AK213" i="57" s="1"/>
  <c r="Q153" i="50"/>
  <c r="P153" i="50" s="1"/>
  <c r="Q143" i="32"/>
  <c r="P143" i="32" s="1"/>
  <c r="N214" i="53"/>
  <c r="T144" i="32"/>
  <c r="O144" i="32"/>
  <c r="T154" i="50"/>
  <c r="O154" i="50"/>
  <c r="AA212" i="53"/>
  <c r="AB212" i="53"/>
  <c r="AP150" i="50"/>
  <c r="AM143" i="32"/>
  <c r="AJ152" i="50"/>
  <c r="C152" i="50"/>
  <c r="S153" i="50"/>
  <c r="Z153" i="50" s="1"/>
  <c r="AJ142" i="32"/>
  <c r="W142" i="32"/>
  <c r="X142" i="32" s="1"/>
  <c r="C142" i="32"/>
  <c r="S143" i="32"/>
  <c r="Z143" i="32" s="1"/>
  <c r="W152" i="50"/>
  <c r="X151" i="50"/>
  <c r="V152" i="50"/>
  <c r="V142" i="32"/>
  <c r="AF197" i="69"/>
  <c r="Q197" i="69"/>
  <c r="O214" i="57"/>
  <c r="P214" i="57"/>
  <c r="AC195" i="69"/>
  <c r="AD195" i="69" s="1"/>
  <c r="AH151" i="50"/>
  <c r="AI151" i="50" s="1"/>
  <c r="AB196" i="69"/>
  <c r="AG196" i="69"/>
  <c r="O199" i="69"/>
  <c r="AO198" i="69"/>
  <c r="AK154" i="50"/>
  <c r="AE213" i="53"/>
  <c r="AF212" i="53"/>
  <c r="AK144" i="32"/>
  <c r="AM153" i="50"/>
  <c r="AL141" i="32"/>
  <c r="AI140" i="32"/>
  <c r="AN140" i="32" s="1"/>
  <c r="R213" i="53"/>
  <c r="X213" i="53" s="1"/>
  <c r="AL151" i="50"/>
  <c r="AY197" i="69"/>
  <c r="L214" i="57"/>
  <c r="AH213" i="53"/>
  <c r="AT213" i="53"/>
  <c r="AG213" i="53"/>
  <c r="N214" i="57"/>
  <c r="AH197" i="69"/>
  <c r="AD213" i="53"/>
  <c r="Q213" i="53"/>
  <c r="F214" i="53"/>
  <c r="H214" i="53"/>
  <c r="C214" i="53"/>
  <c r="J214" i="53"/>
  <c r="P214" i="53"/>
  <c r="E214" i="53"/>
  <c r="K214" i="53"/>
  <c r="L214" i="53"/>
  <c r="I214" i="53"/>
  <c r="AK213" i="52" a="1"/>
  <c r="AK213" i="52" s="1"/>
  <c r="B215" i="53" s="1"/>
  <c r="D214" i="53"/>
  <c r="G214" i="53"/>
  <c r="A144" i="32"/>
  <c r="B144" i="32"/>
  <c r="R144" i="32" s="1"/>
  <c r="L154" i="50"/>
  <c r="M154" i="50"/>
  <c r="G154" i="50"/>
  <c r="H154" i="50"/>
  <c r="I154" i="50"/>
  <c r="K154" i="50"/>
  <c r="F154" i="50"/>
  <c r="U154" i="50" s="1"/>
  <c r="N154" i="50"/>
  <c r="J154" i="50"/>
  <c r="B154" i="50"/>
  <c r="R154" i="50" s="1"/>
  <c r="A154" i="50"/>
  <c r="H144" i="32"/>
  <c r="K144" i="32"/>
  <c r="L144" i="32"/>
  <c r="G144" i="32"/>
  <c r="F144" i="32"/>
  <c r="U144" i="32" s="1"/>
  <c r="I144" i="32"/>
  <c r="N144" i="32"/>
  <c r="J144" i="32"/>
  <c r="M144" i="32"/>
  <c r="I214" i="57"/>
  <c r="D214" i="57"/>
  <c r="K214" i="57"/>
  <c r="J214" i="57"/>
  <c r="G214" i="57"/>
  <c r="C214" i="57"/>
  <c r="E214" i="57"/>
  <c r="H214" i="57"/>
  <c r="F214" i="57"/>
  <c r="AN213" i="55" a="1"/>
  <c r="AN213" i="55" s="1"/>
  <c r="B215" i="57" s="1"/>
  <c r="AR199" i="67" a="1"/>
  <c r="AR199" i="67" s="1"/>
  <c r="B200" i="69"/>
  <c r="L200" i="69" s="1"/>
  <c r="D198" i="69"/>
  <c r="E198" i="69" s="1"/>
  <c r="F198" i="69" s="1"/>
  <c r="G198" i="69" s="1"/>
  <c r="H198" i="69" s="1"/>
  <c r="I198" i="69" s="1"/>
  <c r="J198" i="69" s="1"/>
  <c r="K198" i="69" s="1"/>
  <c r="M198" i="69" s="1"/>
  <c r="C199" i="69"/>
  <c r="P199" i="69" s="1"/>
  <c r="AE197" i="69"/>
  <c r="R197" i="69"/>
  <c r="S197" i="69" s="1"/>
  <c r="Y197" i="69" s="1"/>
  <c r="AL144" i="11" a="1"/>
  <c r="AL144" i="11" s="1"/>
  <c r="AP154" i="59" a="1"/>
  <c r="AP154" i="59" s="1"/>
  <c r="E155" i="50" s="1"/>
  <c r="AQ44" i="59" a="1"/>
  <c r="AQ44" i="59" s="1"/>
  <c r="AM29" i="11" a="1"/>
  <c r="AM29" i="11" s="1"/>
  <c r="X212" i="57" l="1"/>
  <c r="AB212" i="57" s="1"/>
  <c r="AD143" i="32"/>
  <c r="AG143" i="32" s="1"/>
  <c r="AH143" i="32" s="1"/>
  <c r="AD153" i="50"/>
  <c r="AG153" i="50" s="1"/>
  <c r="AG214" i="57"/>
  <c r="AB211" i="57"/>
  <c r="M215" i="53"/>
  <c r="AC215" i="53" s="1"/>
  <c r="O215" i="53"/>
  <c r="AP199" i="69"/>
  <c r="N199" i="69"/>
  <c r="U199" i="69" s="1"/>
  <c r="AA211" i="57"/>
  <c r="AD213" i="57"/>
  <c r="AJ213" i="57"/>
  <c r="R213" i="57"/>
  <c r="Q213" i="57"/>
  <c r="T213" i="57" s="1"/>
  <c r="AQ213" i="57"/>
  <c r="AC213" i="57"/>
  <c r="AE213" i="57"/>
  <c r="M214" i="57"/>
  <c r="AK214" i="57" s="1"/>
  <c r="Q154" i="50"/>
  <c r="P154" i="50" s="1"/>
  <c r="Q144" i="32"/>
  <c r="P144" i="32" s="1"/>
  <c r="N215" i="53"/>
  <c r="T155" i="50"/>
  <c r="O155" i="50"/>
  <c r="AA213" i="53"/>
  <c r="AB213" i="53"/>
  <c r="AP151" i="50"/>
  <c r="AM144" i="32"/>
  <c r="C153" i="50"/>
  <c r="AJ153" i="50"/>
  <c r="S154" i="50"/>
  <c r="Z154" i="50" s="1"/>
  <c r="C143" i="32"/>
  <c r="AJ143" i="32"/>
  <c r="W143" i="32"/>
  <c r="X143" i="32" s="1"/>
  <c r="S144" i="32"/>
  <c r="Z144" i="32" s="1"/>
  <c r="W153" i="50"/>
  <c r="X152" i="50"/>
  <c r="V153" i="50"/>
  <c r="V143" i="32"/>
  <c r="AF198" i="69"/>
  <c r="Q198" i="69"/>
  <c r="O215" i="57"/>
  <c r="P215" i="57"/>
  <c r="AC196" i="69"/>
  <c r="AD196" i="69" s="1"/>
  <c r="AH152" i="50"/>
  <c r="AI152" i="50" s="1"/>
  <c r="AB197" i="69"/>
  <c r="AG197" i="69"/>
  <c r="O200" i="69"/>
  <c r="AO199" i="69"/>
  <c r="AK155" i="50"/>
  <c r="AE214" i="53"/>
  <c r="AF213" i="53"/>
  <c r="AM154" i="50"/>
  <c r="AL142" i="32"/>
  <c r="R214" i="53"/>
  <c r="X214" i="53" s="1"/>
  <c r="AL152" i="50"/>
  <c r="AI141" i="32"/>
  <c r="AN141" i="32" s="1"/>
  <c r="AY198" i="69"/>
  <c r="L215" i="57"/>
  <c r="AG214" i="53"/>
  <c r="AH214" i="53"/>
  <c r="AT214" i="53"/>
  <c r="N215" i="57"/>
  <c r="L215" i="53"/>
  <c r="AH198" i="69"/>
  <c r="AD214" i="53"/>
  <c r="Q214" i="53"/>
  <c r="AK214" i="52" a="1"/>
  <c r="AK214" i="52" s="1"/>
  <c r="B216" i="53" s="1"/>
  <c r="K215" i="53"/>
  <c r="I215" i="53"/>
  <c r="H215" i="53"/>
  <c r="G215" i="53"/>
  <c r="F215" i="53"/>
  <c r="E215" i="53"/>
  <c r="D215" i="53"/>
  <c r="J215" i="53"/>
  <c r="C215" i="53"/>
  <c r="P215" i="53"/>
  <c r="K155" i="50"/>
  <c r="B155" i="50"/>
  <c r="R155" i="50" s="1"/>
  <c r="N155" i="50"/>
  <c r="A155" i="50"/>
  <c r="I155" i="50"/>
  <c r="F155" i="50"/>
  <c r="U155" i="50" s="1"/>
  <c r="M155" i="50"/>
  <c r="G155" i="50"/>
  <c r="J155" i="50"/>
  <c r="H155" i="50"/>
  <c r="L155" i="50"/>
  <c r="F215" i="57"/>
  <c r="I215" i="57"/>
  <c r="E215" i="57"/>
  <c r="D215" i="57"/>
  <c r="J215" i="57"/>
  <c r="H215" i="57"/>
  <c r="G215" i="57"/>
  <c r="C215" i="57"/>
  <c r="K215" i="57"/>
  <c r="E145" i="32"/>
  <c r="AN214" i="55" a="1"/>
  <c r="AN214" i="55" s="1"/>
  <c r="B216" i="57" s="1"/>
  <c r="AR200" i="67" a="1"/>
  <c r="AR200" i="67" s="1"/>
  <c r="B201" i="69"/>
  <c r="L201" i="69" s="1"/>
  <c r="AE198" i="69"/>
  <c r="R198" i="69"/>
  <c r="S198" i="69" s="1"/>
  <c r="D199" i="69"/>
  <c r="E199" i="69" s="1"/>
  <c r="F199" i="69" s="1"/>
  <c r="G199" i="69" s="1"/>
  <c r="H199" i="69" s="1"/>
  <c r="I199" i="69" s="1"/>
  <c r="J199" i="69" s="1"/>
  <c r="K199" i="69" s="1"/>
  <c r="M199" i="69" s="1"/>
  <c r="C200" i="69"/>
  <c r="P200" i="69" s="1"/>
  <c r="AL145" i="11" a="1"/>
  <c r="AL145" i="11" s="1"/>
  <c r="E146" i="32" s="1"/>
  <c r="AP155" i="59" a="1"/>
  <c r="AP155" i="59" s="1"/>
  <c r="E156" i="50" s="1"/>
  <c r="AQ45" i="59" a="1"/>
  <c r="AQ45" i="59" s="1"/>
  <c r="AM30" i="11" a="1"/>
  <c r="AM30" i="11" s="1"/>
  <c r="X213" i="57" l="1"/>
  <c r="AF213" i="57" s="1"/>
  <c r="AF212" i="57"/>
  <c r="AA212" i="57"/>
  <c r="Y198" i="69"/>
  <c r="AB198" i="69" s="1"/>
  <c r="AC198" i="69" s="1"/>
  <c r="AD198" i="69" s="1"/>
  <c r="AD144" i="32"/>
  <c r="AG144" i="32" s="1"/>
  <c r="AH144" i="32" s="1"/>
  <c r="AD154" i="50"/>
  <c r="AG154" i="50" s="1"/>
  <c r="AG215" i="57"/>
  <c r="R214" i="57"/>
  <c r="M216" i="53"/>
  <c r="AC216" i="53" s="1"/>
  <c r="O216" i="53"/>
  <c r="AP200" i="69"/>
  <c r="N200" i="69"/>
  <c r="U200" i="69" s="1"/>
  <c r="Q214" i="57"/>
  <c r="T214" i="57" s="1"/>
  <c r="AQ214" i="57"/>
  <c r="AC214" i="57"/>
  <c r="AD214" i="57"/>
  <c r="AJ214" i="57"/>
  <c r="AE214" i="57"/>
  <c r="M215" i="57"/>
  <c r="AK215" i="57" s="1"/>
  <c r="Q155" i="50"/>
  <c r="P155" i="50" s="1"/>
  <c r="N216" i="53"/>
  <c r="T146" i="32"/>
  <c r="O146" i="32"/>
  <c r="T145" i="32"/>
  <c r="O145" i="32"/>
  <c r="T156" i="50"/>
  <c r="O156" i="50"/>
  <c r="AA214" i="53"/>
  <c r="AB214" i="53"/>
  <c r="AP152" i="50"/>
  <c r="C154" i="50"/>
  <c r="AJ154" i="50"/>
  <c r="S155" i="50"/>
  <c r="Z155" i="50" s="1"/>
  <c r="C144" i="32"/>
  <c r="AJ144" i="32"/>
  <c r="W144" i="32"/>
  <c r="X144" i="32" s="1"/>
  <c r="W154" i="50"/>
  <c r="X153" i="50"/>
  <c r="V154" i="50"/>
  <c r="V144" i="32"/>
  <c r="AF199" i="69"/>
  <c r="Q199" i="69"/>
  <c r="O216" i="57"/>
  <c r="P216" i="57"/>
  <c r="AC197" i="69"/>
  <c r="AD197" i="69" s="1"/>
  <c r="AH153" i="50"/>
  <c r="AI153" i="50" s="1"/>
  <c r="AO200" i="69"/>
  <c r="O201" i="69"/>
  <c r="AK156" i="50"/>
  <c r="AE215" i="53"/>
  <c r="AF214" i="53"/>
  <c r="AK146" i="32"/>
  <c r="AK145" i="32"/>
  <c r="AM155" i="50"/>
  <c r="AL143" i="32"/>
  <c r="AI142" i="32"/>
  <c r="AN142" i="32" s="1"/>
  <c r="R215" i="53"/>
  <c r="X215" i="53" s="1"/>
  <c r="AL153" i="50"/>
  <c r="AY199" i="69"/>
  <c r="L216" i="57"/>
  <c r="AG215" i="53"/>
  <c r="AH215" i="53"/>
  <c r="AT215" i="53"/>
  <c r="N216" i="57"/>
  <c r="AH199" i="69"/>
  <c r="Q215" i="53"/>
  <c r="AD215" i="53"/>
  <c r="J216" i="53"/>
  <c r="P216" i="53"/>
  <c r="AK215" i="52" a="1"/>
  <c r="AK215" i="52" s="1"/>
  <c r="B217" i="53" s="1"/>
  <c r="F216" i="53"/>
  <c r="L216" i="53"/>
  <c r="D216" i="53"/>
  <c r="H216" i="53"/>
  <c r="K216" i="53"/>
  <c r="C216" i="53"/>
  <c r="E216" i="53"/>
  <c r="G216" i="53"/>
  <c r="I216" i="53"/>
  <c r="A146" i="32"/>
  <c r="B146" i="32"/>
  <c r="R146" i="32" s="1"/>
  <c r="A145" i="32"/>
  <c r="B145" i="32"/>
  <c r="R145" i="32" s="1"/>
  <c r="F156" i="50"/>
  <c r="U156" i="50" s="1"/>
  <c r="I156" i="50"/>
  <c r="K156" i="50"/>
  <c r="M156" i="50"/>
  <c r="H156" i="50"/>
  <c r="A156" i="50"/>
  <c r="J156" i="50"/>
  <c r="L156" i="50"/>
  <c r="G156" i="50"/>
  <c r="B156" i="50"/>
  <c r="R156" i="50" s="1"/>
  <c r="N156" i="50"/>
  <c r="L146" i="32"/>
  <c r="G146" i="32"/>
  <c r="H146" i="32"/>
  <c r="K146" i="32"/>
  <c r="M146" i="32"/>
  <c r="J146" i="32"/>
  <c r="F146" i="32"/>
  <c r="U146" i="32" s="1"/>
  <c r="I146" i="32"/>
  <c r="N146" i="32"/>
  <c r="F145" i="32"/>
  <c r="U145" i="32" s="1"/>
  <c r="N145" i="32"/>
  <c r="I145" i="32"/>
  <c r="J145" i="32"/>
  <c r="M145" i="32"/>
  <c r="G145" i="32"/>
  <c r="L145" i="32"/>
  <c r="H145" i="32"/>
  <c r="K145" i="32"/>
  <c r="J216" i="57"/>
  <c r="I216" i="57"/>
  <c r="F216" i="57"/>
  <c r="E216" i="57"/>
  <c r="D216" i="57"/>
  <c r="K216" i="57"/>
  <c r="G216" i="57"/>
  <c r="C216" i="57"/>
  <c r="H216" i="57"/>
  <c r="AN215" i="55" a="1"/>
  <c r="AN215" i="55" s="1"/>
  <c r="B217" i="57" s="1"/>
  <c r="AR201" i="67" a="1"/>
  <c r="AR201" i="67" s="1"/>
  <c r="B202" i="69"/>
  <c r="L202" i="69" s="1"/>
  <c r="D200" i="69"/>
  <c r="E200" i="69" s="1"/>
  <c r="F200" i="69" s="1"/>
  <c r="G200" i="69" s="1"/>
  <c r="H200" i="69" s="1"/>
  <c r="I200" i="69" s="1"/>
  <c r="J200" i="69" s="1"/>
  <c r="K200" i="69" s="1"/>
  <c r="M200" i="69" s="1"/>
  <c r="AE199" i="69"/>
  <c r="R199" i="69"/>
  <c r="S199" i="69" s="1"/>
  <c r="Y199" i="69" s="1"/>
  <c r="C201" i="69"/>
  <c r="P201" i="69" s="1"/>
  <c r="AL146" i="11" a="1"/>
  <c r="AL146" i="11" s="1"/>
  <c r="E147" i="32" s="1"/>
  <c r="AP156" i="59" a="1"/>
  <c r="AP156" i="59" s="1"/>
  <c r="E157" i="50" s="1"/>
  <c r="AQ46" i="59" a="1"/>
  <c r="AQ46" i="59" s="1"/>
  <c r="AM31" i="11" a="1"/>
  <c r="AM31" i="11" s="1"/>
  <c r="AB213" i="57" l="1"/>
  <c r="AG198" i="69"/>
  <c r="AD155" i="50"/>
  <c r="AG155" i="50" s="1"/>
  <c r="AG216" i="57"/>
  <c r="X214" i="57"/>
  <c r="AB214" i="57" s="1"/>
  <c r="M217" i="53"/>
  <c r="AC217" i="53" s="1"/>
  <c r="O217" i="53"/>
  <c r="AP201" i="69"/>
  <c r="N201" i="69"/>
  <c r="U201" i="69" s="1"/>
  <c r="R215" i="57"/>
  <c r="AD215" i="57"/>
  <c r="AC215" i="57"/>
  <c r="AQ215" i="57"/>
  <c r="Q215" i="57"/>
  <c r="T215" i="57" s="1"/>
  <c r="AJ215" i="57"/>
  <c r="AE215" i="57"/>
  <c r="AA213" i="57"/>
  <c r="M216" i="57"/>
  <c r="AK216" i="57" s="1"/>
  <c r="Q156" i="50"/>
  <c r="P156" i="50" s="1"/>
  <c r="Q145" i="32"/>
  <c r="P145" i="32" s="1"/>
  <c r="Q146" i="32"/>
  <c r="P146" i="32" s="1"/>
  <c r="N217" i="53"/>
  <c r="T147" i="32"/>
  <c r="O147" i="32"/>
  <c r="T157" i="50"/>
  <c r="O157" i="50"/>
  <c r="AA215" i="53"/>
  <c r="AB215" i="53"/>
  <c r="AP153" i="50"/>
  <c r="AM146" i="32"/>
  <c r="AM145" i="32"/>
  <c r="C155" i="50"/>
  <c r="AJ155" i="50"/>
  <c r="S156" i="50"/>
  <c r="Z156" i="50" s="1"/>
  <c r="S145" i="32"/>
  <c r="Z145" i="32" s="1"/>
  <c r="S146" i="32"/>
  <c r="Z146" i="32" s="1"/>
  <c r="W155" i="50"/>
  <c r="X154" i="50"/>
  <c r="V155" i="50"/>
  <c r="AF200" i="69"/>
  <c r="Q200" i="69"/>
  <c r="O217" i="57"/>
  <c r="P217" i="57"/>
  <c r="AH154" i="50"/>
  <c r="AI154" i="50" s="1"/>
  <c r="AB199" i="69"/>
  <c r="AG199" i="69"/>
  <c r="O202" i="69"/>
  <c r="AO201" i="69"/>
  <c r="AK157" i="50"/>
  <c r="AE216" i="53"/>
  <c r="AF215" i="53"/>
  <c r="AK147" i="32"/>
  <c r="AM156" i="50"/>
  <c r="AL144" i="32"/>
  <c r="AI143" i="32"/>
  <c r="AN143" i="32" s="1"/>
  <c r="R216" i="53"/>
  <c r="X216" i="53" s="1"/>
  <c r="AL154" i="50"/>
  <c r="AY200" i="69"/>
  <c r="L217" i="57"/>
  <c r="AH216" i="53"/>
  <c r="AT216" i="53"/>
  <c r="AG216" i="53"/>
  <c r="N217" i="57"/>
  <c r="F217" i="53"/>
  <c r="AH200" i="69"/>
  <c r="AD216" i="53"/>
  <c r="Q216" i="53"/>
  <c r="L217" i="53"/>
  <c r="G217" i="53"/>
  <c r="J217" i="53"/>
  <c r="P217" i="53"/>
  <c r="D217" i="53"/>
  <c r="K217" i="53"/>
  <c r="AK216" i="52" a="1"/>
  <c r="AK216" i="52" s="1"/>
  <c r="B218" i="53" s="1"/>
  <c r="C217" i="53"/>
  <c r="I217" i="53"/>
  <c r="H217" i="53"/>
  <c r="E217" i="53"/>
  <c r="A147" i="32"/>
  <c r="B147" i="32"/>
  <c r="R147" i="32" s="1"/>
  <c r="F157" i="50"/>
  <c r="U157" i="50" s="1"/>
  <c r="J157" i="50"/>
  <c r="I157" i="50"/>
  <c r="G157" i="50"/>
  <c r="M157" i="50"/>
  <c r="K157" i="50"/>
  <c r="N157" i="50"/>
  <c r="H157" i="50"/>
  <c r="A157" i="50"/>
  <c r="B157" i="50"/>
  <c r="R157" i="50" s="1"/>
  <c r="L157" i="50"/>
  <c r="J147" i="32"/>
  <c r="M147" i="32"/>
  <c r="F147" i="32"/>
  <c r="U147" i="32" s="1"/>
  <c r="N147" i="32"/>
  <c r="I147" i="32"/>
  <c r="H147" i="32"/>
  <c r="K147" i="32"/>
  <c r="G147" i="32"/>
  <c r="L147" i="32"/>
  <c r="C217" i="57"/>
  <c r="K217" i="57"/>
  <c r="H217" i="57"/>
  <c r="F217" i="57"/>
  <c r="I217" i="57"/>
  <c r="E217" i="57"/>
  <c r="G217" i="57"/>
  <c r="D217" i="57"/>
  <c r="J217" i="57"/>
  <c r="AN216" i="55" a="1"/>
  <c r="AN216" i="55" s="1"/>
  <c r="B218" i="57" s="1"/>
  <c r="AR202" i="67" a="1"/>
  <c r="AR202" i="67" s="1"/>
  <c r="B203" i="69"/>
  <c r="L203" i="69" s="1"/>
  <c r="AE200" i="69"/>
  <c r="R200" i="69"/>
  <c r="S200" i="69" s="1"/>
  <c r="Y200" i="69" s="1"/>
  <c r="D201" i="69"/>
  <c r="E201" i="69" s="1"/>
  <c r="F201" i="69" s="1"/>
  <c r="G201" i="69" s="1"/>
  <c r="H201" i="69" s="1"/>
  <c r="I201" i="69" s="1"/>
  <c r="J201" i="69" s="1"/>
  <c r="K201" i="69" s="1"/>
  <c r="M201" i="69" s="1"/>
  <c r="C202" i="69"/>
  <c r="P202" i="69" s="1"/>
  <c r="AL147" i="11" a="1"/>
  <c r="AL147" i="11" s="1"/>
  <c r="E148" i="32" s="1"/>
  <c r="AP157" i="59" a="1"/>
  <c r="AP157" i="59" s="1"/>
  <c r="E158" i="50" s="1"/>
  <c r="AQ47" i="59" a="1"/>
  <c r="AQ47" i="59" s="1"/>
  <c r="AM32" i="11" a="1"/>
  <c r="AM32" i="11" s="1"/>
  <c r="AD146" i="32" l="1"/>
  <c r="AG146" i="32" s="1"/>
  <c r="AH146" i="32" s="1"/>
  <c r="AD145" i="32"/>
  <c r="AG145" i="32" s="1"/>
  <c r="AH145" i="32" s="1"/>
  <c r="AD156" i="50"/>
  <c r="AG156" i="50" s="1"/>
  <c r="AG217" i="57"/>
  <c r="X215" i="57"/>
  <c r="AB215" i="57" s="1"/>
  <c r="AA214" i="57"/>
  <c r="AE216" i="57"/>
  <c r="AF214" i="57"/>
  <c r="Q216" i="57"/>
  <c r="T216" i="57" s="1"/>
  <c r="AC216" i="57"/>
  <c r="M218" i="53"/>
  <c r="AC218" i="53" s="1"/>
  <c r="O218" i="53"/>
  <c r="AP202" i="69"/>
  <c r="N202" i="69"/>
  <c r="U202" i="69" s="1"/>
  <c r="AQ216" i="57"/>
  <c r="AD216" i="57"/>
  <c r="AJ216" i="57"/>
  <c r="R216" i="57"/>
  <c r="M217" i="57"/>
  <c r="AK217" i="57" s="1"/>
  <c r="Q157" i="50"/>
  <c r="P157" i="50" s="1"/>
  <c r="Q147" i="32"/>
  <c r="P147" i="32" s="1"/>
  <c r="N218" i="53"/>
  <c r="T148" i="32"/>
  <c r="O148" i="32"/>
  <c r="T158" i="50"/>
  <c r="O158" i="50"/>
  <c r="AA216" i="53"/>
  <c r="AB216" i="53"/>
  <c r="AP154" i="50"/>
  <c r="AM147" i="32"/>
  <c r="AJ156" i="50"/>
  <c r="C156" i="50"/>
  <c r="S157" i="50"/>
  <c r="C146" i="32"/>
  <c r="AJ146" i="32"/>
  <c r="W146" i="32"/>
  <c r="X146" i="32" s="1"/>
  <c r="W145" i="32"/>
  <c r="X145" i="32" s="1"/>
  <c r="C145" i="32"/>
  <c r="AJ145" i="32"/>
  <c r="S147" i="32"/>
  <c r="Z147" i="32" s="1"/>
  <c r="W156" i="50"/>
  <c r="X155" i="50"/>
  <c r="V156" i="50"/>
  <c r="V146" i="32"/>
  <c r="V145" i="32"/>
  <c r="AF201" i="69"/>
  <c r="Q201" i="69"/>
  <c r="O218" i="57"/>
  <c r="P218" i="57"/>
  <c r="AC199" i="69"/>
  <c r="AD199" i="69" s="1"/>
  <c r="AH155" i="50"/>
  <c r="AI155" i="50" s="1"/>
  <c r="AB200" i="69"/>
  <c r="AG200" i="69"/>
  <c r="O203" i="69"/>
  <c r="AO202" i="69"/>
  <c r="AK158" i="50"/>
  <c r="AF216" i="53"/>
  <c r="AE217" i="53"/>
  <c r="AK148" i="32"/>
  <c r="AM157" i="50"/>
  <c r="AI144" i="32"/>
  <c r="AN144" i="32" s="1"/>
  <c r="R217" i="53"/>
  <c r="X217" i="53" s="1"/>
  <c r="AL155" i="50"/>
  <c r="AY201" i="69"/>
  <c r="L218" i="57"/>
  <c r="AH217" i="53"/>
  <c r="AT217" i="53"/>
  <c r="AG217" i="53"/>
  <c r="N218" i="57"/>
  <c r="AH201" i="69"/>
  <c r="AD217" i="53"/>
  <c r="Q217" i="53"/>
  <c r="L218" i="53"/>
  <c r="G218" i="53"/>
  <c r="AK217" i="52" a="1"/>
  <c r="AK217" i="52" s="1"/>
  <c r="B219" i="53" s="1"/>
  <c r="D218" i="53"/>
  <c r="I218" i="53"/>
  <c r="F218" i="53"/>
  <c r="H218" i="53"/>
  <c r="E218" i="53"/>
  <c r="C218" i="53"/>
  <c r="P218" i="53"/>
  <c r="J218" i="53"/>
  <c r="K218" i="53"/>
  <c r="A148" i="32"/>
  <c r="B148" i="32"/>
  <c r="R148" i="32" s="1"/>
  <c r="G158" i="50"/>
  <c r="K158" i="50"/>
  <c r="M158" i="50"/>
  <c r="L158" i="50"/>
  <c r="A158" i="50"/>
  <c r="I158" i="50"/>
  <c r="H158" i="50"/>
  <c r="F158" i="50"/>
  <c r="U158" i="50" s="1"/>
  <c r="N158" i="50"/>
  <c r="J158" i="50"/>
  <c r="B158" i="50"/>
  <c r="R158" i="50" s="1"/>
  <c r="H148" i="32"/>
  <c r="K148" i="32"/>
  <c r="L148" i="32"/>
  <c r="G148" i="32"/>
  <c r="I148" i="32"/>
  <c r="N148" i="32"/>
  <c r="F148" i="32"/>
  <c r="U148" i="32" s="1"/>
  <c r="J148" i="32"/>
  <c r="M148" i="32"/>
  <c r="H218" i="57"/>
  <c r="I218" i="57"/>
  <c r="D218" i="57"/>
  <c r="F218" i="57"/>
  <c r="K218" i="57"/>
  <c r="G218" i="57"/>
  <c r="E218" i="57"/>
  <c r="C218" i="57"/>
  <c r="J218" i="57"/>
  <c r="AN217" i="55" a="1"/>
  <c r="AN217" i="55" s="1"/>
  <c r="B219" i="57" s="1"/>
  <c r="C203" i="69"/>
  <c r="P203" i="69" s="1"/>
  <c r="AE201" i="69"/>
  <c r="R201" i="69"/>
  <c r="S201" i="69" s="1"/>
  <c r="Y201" i="69" s="1"/>
  <c r="D202" i="69"/>
  <c r="E202" i="69" s="1"/>
  <c r="F202" i="69" s="1"/>
  <c r="G202" i="69" s="1"/>
  <c r="H202" i="69" s="1"/>
  <c r="I202" i="69" s="1"/>
  <c r="J202" i="69" s="1"/>
  <c r="K202" i="69" s="1"/>
  <c r="M202" i="69" s="1"/>
  <c r="AR203" i="67" a="1"/>
  <c r="AR203" i="67" s="1"/>
  <c r="B204" i="69"/>
  <c r="L204" i="69" s="1"/>
  <c r="AL148" i="11" a="1"/>
  <c r="AL148" i="11" s="1"/>
  <c r="E149" i="32" s="1"/>
  <c r="AP158" i="59" a="1"/>
  <c r="AP158" i="59" s="1"/>
  <c r="E159" i="50" s="1"/>
  <c r="AQ48" i="59" a="1"/>
  <c r="AQ48" i="59" s="1"/>
  <c r="AM33" i="11" a="1"/>
  <c r="AM33" i="11" s="1"/>
  <c r="AA215" i="57" l="1"/>
  <c r="AD147" i="32"/>
  <c r="AG147" i="32" s="1"/>
  <c r="AH147" i="32" s="1"/>
  <c r="AD157" i="50"/>
  <c r="AG157" i="50" s="1"/>
  <c r="AF215" i="57"/>
  <c r="X216" i="57"/>
  <c r="AB216" i="57" s="1"/>
  <c r="AG218" i="57"/>
  <c r="AE217" i="57"/>
  <c r="M219" i="53"/>
  <c r="AC219" i="53" s="1"/>
  <c r="O219" i="53"/>
  <c r="AP203" i="69"/>
  <c r="N203" i="69"/>
  <c r="U203" i="69" s="1"/>
  <c r="AQ217" i="57"/>
  <c r="R217" i="57"/>
  <c r="AJ217" i="57"/>
  <c r="AD217" i="57"/>
  <c r="Q217" i="57"/>
  <c r="T217" i="57" s="1"/>
  <c r="AC217" i="57"/>
  <c r="M218" i="57"/>
  <c r="AK218" i="57" s="1"/>
  <c r="Q158" i="50"/>
  <c r="P158" i="50" s="1"/>
  <c r="Q148" i="32"/>
  <c r="P148" i="32" s="1"/>
  <c r="N219" i="53"/>
  <c r="T149" i="32"/>
  <c r="O149" i="32"/>
  <c r="T159" i="50"/>
  <c r="O159" i="50"/>
  <c r="AP155" i="50"/>
  <c r="AA217" i="53"/>
  <c r="AB217" i="53"/>
  <c r="C157" i="50"/>
  <c r="Z157" i="50"/>
  <c r="AM148" i="32"/>
  <c r="S158" i="50"/>
  <c r="Z158" i="50" s="1"/>
  <c r="AJ157" i="50"/>
  <c r="C147" i="32"/>
  <c r="AJ147" i="32"/>
  <c r="W147" i="32"/>
  <c r="X147" i="32" s="1"/>
  <c r="S148" i="32"/>
  <c r="Z148" i="32" s="1"/>
  <c r="W157" i="50"/>
  <c r="X156" i="50"/>
  <c r="V157" i="50"/>
  <c r="V147" i="32"/>
  <c r="AF202" i="69"/>
  <c r="Q202" i="69"/>
  <c r="O219" i="57"/>
  <c r="P219" i="57"/>
  <c r="AC200" i="69"/>
  <c r="AD200" i="69" s="1"/>
  <c r="AH156" i="50"/>
  <c r="AI156" i="50" s="1"/>
  <c r="AB201" i="69"/>
  <c r="AG201" i="69"/>
  <c r="O204" i="69"/>
  <c r="AO203" i="69"/>
  <c r="AK159" i="50"/>
  <c r="AE218" i="53"/>
  <c r="AF217" i="53"/>
  <c r="AK149" i="32"/>
  <c r="AM158" i="50"/>
  <c r="AL146" i="32"/>
  <c r="AL145" i="32"/>
  <c r="R218" i="53"/>
  <c r="X218" i="53" s="1"/>
  <c r="AL156" i="50"/>
  <c r="AY202" i="69"/>
  <c r="L219" i="57"/>
  <c r="AH218" i="53"/>
  <c r="AT218" i="53"/>
  <c r="AG218" i="53"/>
  <c r="N219" i="57"/>
  <c r="AH202" i="69"/>
  <c r="Q218" i="53"/>
  <c r="AD218" i="53"/>
  <c r="H219" i="53"/>
  <c r="P219" i="53"/>
  <c r="L219" i="53"/>
  <c r="K219" i="53"/>
  <c r="E219" i="53"/>
  <c r="F219" i="53"/>
  <c r="D219" i="53"/>
  <c r="I219" i="53"/>
  <c r="AK218" i="52" a="1"/>
  <c r="AK218" i="52" s="1"/>
  <c r="B220" i="53" s="1"/>
  <c r="G219" i="53"/>
  <c r="J219" i="53"/>
  <c r="C219" i="53"/>
  <c r="A149" i="32"/>
  <c r="B149" i="32"/>
  <c r="R149" i="32" s="1"/>
  <c r="F159" i="50"/>
  <c r="U159" i="50" s="1"/>
  <c r="A159" i="50"/>
  <c r="L159" i="50"/>
  <c r="B159" i="50"/>
  <c r="R159" i="50" s="1"/>
  <c r="K159" i="50"/>
  <c r="J159" i="50"/>
  <c r="G159" i="50"/>
  <c r="N159" i="50"/>
  <c r="M159" i="50"/>
  <c r="I159" i="50"/>
  <c r="H159" i="50"/>
  <c r="F149" i="32"/>
  <c r="U149" i="32" s="1"/>
  <c r="N149" i="32"/>
  <c r="I149" i="32"/>
  <c r="J149" i="32"/>
  <c r="M149" i="32"/>
  <c r="G149" i="32"/>
  <c r="L149" i="32"/>
  <c r="H149" i="32"/>
  <c r="K149" i="32"/>
  <c r="G219" i="57"/>
  <c r="K219" i="57"/>
  <c r="F219" i="57"/>
  <c r="H219" i="57"/>
  <c r="C219" i="57"/>
  <c r="E219" i="57"/>
  <c r="I219" i="57"/>
  <c r="D219" i="57"/>
  <c r="J219" i="57"/>
  <c r="AN218" i="55" a="1"/>
  <c r="AN218" i="55" s="1"/>
  <c r="B220" i="57" s="1"/>
  <c r="AR204" i="67" a="1"/>
  <c r="AR204" i="67" s="1"/>
  <c r="B205" i="69"/>
  <c r="L205" i="69" s="1"/>
  <c r="D203" i="69"/>
  <c r="E203" i="69" s="1"/>
  <c r="F203" i="69" s="1"/>
  <c r="G203" i="69" s="1"/>
  <c r="H203" i="69" s="1"/>
  <c r="I203" i="69" s="1"/>
  <c r="J203" i="69" s="1"/>
  <c r="K203" i="69" s="1"/>
  <c r="M203" i="69" s="1"/>
  <c r="R202" i="69"/>
  <c r="S202" i="69" s="1"/>
  <c r="Y202" i="69" s="1"/>
  <c r="AE202" i="69"/>
  <c r="C204" i="69"/>
  <c r="P204" i="69" s="1"/>
  <c r="AL149" i="11" a="1"/>
  <c r="AL149" i="11" s="1"/>
  <c r="E150" i="32" s="1"/>
  <c r="AP159" i="59" a="1"/>
  <c r="AP159" i="59" s="1"/>
  <c r="E160" i="50" s="1"/>
  <c r="AQ49" i="59" a="1"/>
  <c r="AQ49" i="59" s="1"/>
  <c r="AM34" i="11" a="1"/>
  <c r="AM34" i="11" s="1"/>
  <c r="AD148" i="32" l="1"/>
  <c r="AG148" i="32" s="1"/>
  <c r="AH148" i="32" s="1"/>
  <c r="AD158" i="50"/>
  <c r="AG158" i="50" s="1"/>
  <c r="X217" i="57"/>
  <c r="AB217" i="57" s="1"/>
  <c r="AG219" i="57"/>
  <c r="R218" i="57"/>
  <c r="AA216" i="57"/>
  <c r="AF216" i="57"/>
  <c r="AD218" i="57"/>
  <c r="Q218" i="57"/>
  <c r="T218" i="57" s="1"/>
  <c r="AE218" i="57"/>
  <c r="AJ218" i="57"/>
  <c r="M220" i="53"/>
  <c r="AC220" i="53" s="1"/>
  <c r="O220" i="53"/>
  <c r="AP204" i="69"/>
  <c r="N204" i="69"/>
  <c r="U204" i="69" s="1"/>
  <c r="AQ218" i="57"/>
  <c r="AC218" i="57"/>
  <c r="M219" i="57"/>
  <c r="AK219" i="57" s="1"/>
  <c r="Q159" i="50"/>
  <c r="P159" i="50" s="1"/>
  <c r="Q149" i="32"/>
  <c r="P149" i="32" s="1"/>
  <c r="N220" i="53"/>
  <c r="T150" i="32"/>
  <c r="O150" i="32"/>
  <c r="T160" i="50"/>
  <c r="O160" i="50"/>
  <c r="AA218" i="53"/>
  <c r="AB218" i="53"/>
  <c r="AP156" i="50"/>
  <c r="AM149" i="32"/>
  <c r="C158" i="50"/>
  <c r="AJ158" i="50"/>
  <c r="S159" i="50"/>
  <c r="C148" i="32"/>
  <c r="AJ148" i="32"/>
  <c r="W148" i="32"/>
  <c r="X148" i="32" s="1"/>
  <c r="S149" i="32"/>
  <c r="Z149" i="32" s="1"/>
  <c r="W158" i="50"/>
  <c r="X157" i="50"/>
  <c r="V158" i="50"/>
  <c r="V148" i="32"/>
  <c r="AF203" i="69"/>
  <c r="Q203" i="69"/>
  <c r="O220" i="57"/>
  <c r="P220" i="57"/>
  <c r="AC201" i="69"/>
  <c r="AD201" i="69" s="1"/>
  <c r="AH157" i="50"/>
  <c r="AI157" i="50" s="1"/>
  <c r="AB202" i="69"/>
  <c r="AG202" i="69"/>
  <c r="O205" i="69"/>
  <c r="AO204" i="69"/>
  <c r="AK160" i="50"/>
  <c r="AE219" i="53"/>
  <c r="AF218" i="53"/>
  <c r="AK150" i="32"/>
  <c r="AM159" i="50"/>
  <c r="AL147" i="32"/>
  <c r="AI146" i="32"/>
  <c r="AN146" i="32" s="1"/>
  <c r="R219" i="53"/>
  <c r="X219" i="53" s="1"/>
  <c r="AL157" i="50"/>
  <c r="AI145" i="32"/>
  <c r="AN145" i="32" s="1"/>
  <c r="AY203" i="69"/>
  <c r="L220" i="57"/>
  <c r="AG219" i="53"/>
  <c r="AH219" i="53"/>
  <c r="AT219" i="53"/>
  <c r="N220" i="57"/>
  <c r="AH203" i="69"/>
  <c r="AD219" i="53"/>
  <c r="AK219" i="52" a="1"/>
  <c r="AK219" i="52" s="1"/>
  <c r="B221" i="53" s="1"/>
  <c r="G220" i="53"/>
  <c r="D220" i="53"/>
  <c r="K220" i="53"/>
  <c r="Q219" i="53"/>
  <c r="J220" i="53"/>
  <c r="L220" i="53"/>
  <c r="H220" i="53"/>
  <c r="C220" i="53"/>
  <c r="F220" i="53"/>
  <c r="P220" i="53"/>
  <c r="I220" i="53"/>
  <c r="E220" i="53"/>
  <c r="A150" i="32"/>
  <c r="B150" i="32"/>
  <c r="R150" i="32" s="1"/>
  <c r="F160" i="50"/>
  <c r="U160" i="50" s="1"/>
  <c r="J160" i="50"/>
  <c r="M160" i="50"/>
  <c r="G160" i="50"/>
  <c r="K160" i="50"/>
  <c r="B160" i="50"/>
  <c r="R160" i="50" s="1"/>
  <c r="N160" i="50"/>
  <c r="L160" i="50"/>
  <c r="H160" i="50"/>
  <c r="I160" i="50"/>
  <c r="A160" i="50"/>
  <c r="L150" i="32"/>
  <c r="G150" i="32"/>
  <c r="H150" i="32"/>
  <c r="K150" i="32"/>
  <c r="J150" i="32"/>
  <c r="M150" i="32"/>
  <c r="F150" i="32"/>
  <c r="U150" i="32" s="1"/>
  <c r="I150" i="32"/>
  <c r="N150" i="32"/>
  <c r="I220" i="57"/>
  <c r="F220" i="57"/>
  <c r="D220" i="57"/>
  <c r="H220" i="57"/>
  <c r="J220" i="57"/>
  <c r="G220" i="57"/>
  <c r="E220" i="57"/>
  <c r="C220" i="57"/>
  <c r="K220" i="57"/>
  <c r="AN219" i="55" a="1"/>
  <c r="AN219" i="55" s="1"/>
  <c r="B221" i="57" s="1"/>
  <c r="AR205" i="67" a="1"/>
  <c r="AR205" i="67" s="1"/>
  <c r="B206" i="69"/>
  <c r="L206" i="69" s="1"/>
  <c r="D204" i="69"/>
  <c r="E204" i="69" s="1"/>
  <c r="F204" i="69" s="1"/>
  <c r="G204" i="69" s="1"/>
  <c r="H204" i="69" s="1"/>
  <c r="I204" i="69" s="1"/>
  <c r="J204" i="69" s="1"/>
  <c r="K204" i="69" s="1"/>
  <c r="M204" i="69" s="1"/>
  <c r="C205" i="69"/>
  <c r="P205" i="69" s="1"/>
  <c r="AE203" i="69"/>
  <c r="R203" i="69"/>
  <c r="S203" i="69" s="1"/>
  <c r="Y203" i="69" s="1"/>
  <c r="AL150" i="11" a="1"/>
  <c r="AL150" i="11" s="1"/>
  <c r="E151" i="32" s="1"/>
  <c r="AP160" i="59" a="1"/>
  <c r="AP160" i="59" s="1"/>
  <c r="E161" i="50" s="1"/>
  <c r="AQ50" i="59" a="1"/>
  <c r="AQ50" i="59" s="1"/>
  <c r="AM35" i="11" a="1"/>
  <c r="AM35" i="11" s="1"/>
  <c r="X218" i="57" l="1"/>
  <c r="AB218" i="57" s="1"/>
  <c r="AD149" i="32"/>
  <c r="AG149" i="32" s="1"/>
  <c r="AH149" i="32" s="1"/>
  <c r="AD159" i="50"/>
  <c r="AG159" i="50" s="1"/>
  <c r="AG220" i="57"/>
  <c r="Q219" i="57"/>
  <c r="T219" i="57" s="1"/>
  <c r="AQ219" i="57"/>
  <c r="M221" i="53"/>
  <c r="AC221" i="53" s="1"/>
  <c r="O221" i="53"/>
  <c r="AP205" i="69"/>
  <c r="N205" i="69"/>
  <c r="U205" i="69" s="1"/>
  <c r="AA217" i="57"/>
  <c r="AE219" i="57"/>
  <c r="AF217" i="57"/>
  <c r="AD219" i="57"/>
  <c r="R219" i="57"/>
  <c r="AJ219" i="57"/>
  <c r="AC219" i="57"/>
  <c r="M220" i="57"/>
  <c r="AK220" i="57" s="1"/>
  <c r="Q160" i="50"/>
  <c r="P160" i="50" s="1"/>
  <c r="Q150" i="32"/>
  <c r="P150" i="32" s="1"/>
  <c r="N221" i="53"/>
  <c r="T151" i="32"/>
  <c r="O151" i="32"/>
  <c r="O161" i="50"/>
  <c r="T161" i="50"/>
  <c r="AA219" i="53"/>
  <c r="AB219" i="53"/>
  <c r="AP157" i="50"/>
  <c r="C159" i="50"/>
  <c r="Z159" i="50"/>
  <c r="AM150" i="32"/>
  <c r="S160" i="50"/>
  <c r="Z160" i="50" s="1"/>
  <c r="AJ159" i="50"/>
  <c r="C149" i="32"/>
  <c r="AJ149" i="32"/>
  <c r="W149" i="32"/>
  <c r="X149" i="32" s="1"/>
  <c r="S150" i="32"/>
  <c r="Z150" i="32" s="1"/>
  <c r="W159" i="50"/>
  <c r="X158" i="50"/>
  <c r="V159" i="50"/>
  <c r="V149" i="32"/>
  <c r="AF204" i="69"/>
  <c r="Q204" i="69"/>
  <c r="O221" i="57"/>
  <c r="P221" i="57"/>
  <c r="AC202" i="69"/>
  <c r="AD202" i="69" s="1"/>
  <c r="AH158" i="50"/>
  <c r="AI158" i="50" s="1"/>
  <c r="AB203" i="69"/>
  <c r="AG203" i="69"/>
  <c r="O206" i="69"/>
  <c r="AO205" i="69"/>
  <c r="AK161" i="50"/>
  <c r="AF219" i="53"/>
  <c r="AE220" i="53"/>
  <c r="AK151" i="32"/>
  <c r="AM160" i="50"/>
  <c r="AL148" i="32"/>
  <c r="AI147" i="32"/>
  <c r="AN147" i="32" s="1"/>
  <c r="R220" i="53"/>
  <c r="X220" i="53" s="1"/>
  <c r="AL158" i="50"/>
  <c r="AY204" i="69"/>
  <c r="L221" i="57"/>
  <c r="AG220" i="53"/>
  <c r="AH220" i="53"/>
  <c r="AT220" i="53"/>
  <c r="N221" i="57"/>
  <c r="P221" i="53"/>
  <c r="AH204" i="69"/>
  <c r="AD220" i="53"/>
  <c r="Q220" i="53"/>
  <c r="E221" i="53"/>
  <c r="C221" i="53"/>
  <c r="K221" i="53"/>
  <c r="I221" i="53"/>
  <c r="H221" i="53"/>
  <c r="L221" i="53"/>
  <c r="G221" i="53"/>
  <c r="F221" i="53"/>
  <c r="AK220" i="52" a="1"/>
  <c r="AK220" i="52" s="1"/>
  <c r="B222" i="53" s="1"/>
  <c r="J221" i="53"/>
  <c r="D221" i="53"/>
  <c r="A151" i="32"/>
  <c r="B151" i="32"/>
  <c r="R151" i="32" s="1"/>
  <c r="H161" i="50"/>
  <c r="I161" i="50"/>
  <c r="J161" i="50"/>
  <c r="F161" i="50"/>
  <c r="U161" i="50" s="1"/>
  <c r="L161" i="50"/>
  <c r="M161" i="50"/>
  <c r="K161" i="50"/>
  <c r="N161" i="50"/>
  <c r="B161" i="50"/>
  <c r="R161" i="50" s="1"/>
  <c r="A161" i="50"/>
  <c r="G161" i="50"/>
  <c r="J151" i="32"/>
  <c r="M151" i="32"/>
  <c r="F151" i="32"/>
  <c r="U151" i="32" s="1"/>
  <c r="N151" i="32"/>
  <c r="I151" i="32"/>
  <c r="K151" i="32"/>
  <c r="H151" i="32"/>
  <c r="L151" i="32"/>
  <c r="G151" i="32"/>
  <c r="F221" i="57"/>
  <c r="D221" i="57"/>
  <c r="C221" i="57"/>
  <c r="K221" i="57"/>
  <c r="J221" i="57"/>
  <c r="H221" i="57"/>
  <c r="I221" i="57"/>
  <c r="E221" i="57"/>
  <c r="G221" i="57"/>
  <c r="AN220" i="55" a="1"/>
  <c r="AN220" i="55" s="1"/>
  <c r="B222" i="57" s="1"/>
  <c r="AR206" i="67" a="1"/>
  <c r="AR206" i="67" s="1"/>
  <c r="B207" i="69"/>
  <c r="L207" i="69" s="1"/>
  <c r="AE204" i="69"/>
  <c r="R204" i="69"/>
  <c r="S204" i="69" s="1"/>
  <c r="Y204" i="69" s="1"/>
  <c r="D205" i="69"/>
  <c r="E205" i="69" s="1"/>
  <c r="F205" i="69" s="1"/>
  <c r="G205" i="69" s="1"/>
  <c r="H205" i="69" s="1"/>
  <c r="I205" i="69" s="1"/>
  <c r="J205" i="69" s="1"/>
  <c r="K205" i="69" s="1"/>
  <c r="M205" i="69" s="1"/>
  <c r="C206" i="69"/>
  <c r="P206" i="69" s="1"/>
  <c r="AL151" i="11" a="1"/>
  <c r="AL151" i="11" s="1"/>
  <c r="E152" i="32" s="1"/>
  <c r="AP161" i="59" a="1"/>
  <c r="AP161" i="59" s="1"/>
  <c r="E162" i="50" s="1"/>
  <c r="AQ51" i="59" a="1"/>
  <c r="AQ51" i="59" s="1"/>
  <c r="AM36" i="11" a="1"/>
  <c r="AM36" i="11" s="1"/>
  <c r="AA218" i="57" l="1"/>
  <c r="AF218" i="57"/>
  <c r="AD150" i="32"/>
  <c r="AG150" i="32" s="1"/>
  <c r="AH150" i="32" s="1"/>
  <c r="AD160" i="50"/>
  <c r="AG160" i="50" s="1"/>
  <c r="X219" i="57"/>
  <c r="AA219" i="57" s="1"/>
  <c r="AG221" i="57"/>
  <c r="M222" i="53"/>
  <c r="AC222" i="53" s="1"/>
  <c r="O222" i="53"/>
  <c r="AP206" i="69"/>
  <c r="N206" i="69"/>
  <c r="U206" i="69" s="1"/>
  <c r="AJ220" i="57"/>
  <c r="AE220" i="57"/>
  <c r="AD220" i="57"/>
  <c r="R220" i="57"/>
  <c r="Q220" i="57"/>
  <c r="T220" i="57" s="1"/>
  <c r="AQ220" i="57"/>
  <c r="AC220" i="57"/>
  <c r="M221" i="57"/>
  <c r="AK221" i="57" s="1"/>
  <c r="Q161" i="50"/>
  <c r="P161" i="50" s="1"/>
  <c r="Q151" i="32"/>
  <c r="P151" i="32" s="1"/>
  <c r="N222" i="53"/>
  <c r="T152" i="32"/>
  <c r="O152" i="32"/>
  <c r="T162" i="50"/>
  <c r="O162" i="50"/>
  <c r="AA220" i="53"/>
  <c r="AB220" i="53"/>
  <c r="AP158" i="50"/>
  <c r="AM151" i="32"/>
  <c r="AJ160" i="50"/>
  <c r="C160" i="50"/>
  <c r="S161" i="50"/>
  <c r="C150" i="32"/>
  <c r="AJ150" i="32"/>
  <c r="W150" i="32"/>
  <c r="X150" i="32" s="1"/>
  <c r="S151" i="32"/>
  <c r="AD151" i="32" s="1"/>
  <c r="W160" i="50"/>
  <c r="X159" i="50"/>
  <c r="V160" i="50"/>
  <c r="V150" i="32"/>
  <c r="AF205" i="69"/>
  <c r="Q205" i="69"/>
  <c r="O222" i="57"/>
  <c r="P222" i="57"/>
  <c r="AC203" i="69"/>
  <c r="AD203" i="69" s="1"/>
  <c r="AH159" i="50"/>
  <c r="AI159" i="50" s="1"/>
  <c r="AB204" i="69"/>
  <c r="AG204" i="69"/>
  <c r="AO206" i="69"/>
  <c r="O207" i="69"/>
  <c r="AK162" i="50"/>
  <c r="AE221" i="53"/>
  <c r="AF220" i="53"/>
  <c r="AK152" i="32"/>
  <c r="AM161" i="50"/>
  <c r="AL149" i="32"/>
  <c r="AI148" i="32"/>
  <c r="AN148" i="32" s="1"/>
  <c r="R221" i="53"/>
  <c r="X221" i="53" s="1"/>
  <c r="AL159" i="50"/>
  <c r="AY205" i="69"/>
  <c r="L222" i="57"/>
  <c r="AH221" i="53"/>
  <c r="AT221" i="53"/>
  <c r="AG221" i="53"/>
  <c r="N222" i="57"/>
  <c r="I222" i="53"/>
  <c r="AH205" i="69"/>
  <c r="AD221" i="53"/>
  <c r="Q221" i="53"/>
  <c r="AK221" i="52" a="1"/>
  <c r="AK221" i="52" s="1"/>
  <c r="B223" i="53" s="1"/>
  <c r="C222" i="53"/>
  <c r="G222" i="53"/>
  <c r="L222" i="53"/>
  <c r="F222" i="53"/>
  <c r="D222" i="53"/>
  <c r="P222" i="53"/>
  <c r="E222" i="53"/>
  <c r="H222" i="53"/>
  <c r="J222" i="53"/>
  <c r="K222" i="53"/>
  <c r="A152" i="32"/>
  <c r="B152" i="32"/>
  <c r="R152" i="32" s="1"/>
  <c r="G162" i="50"/>
  <c r="K162" i="50"/>
  <c r="I162" i="50"/>
  <c r="L162" i="50"/>
  <c r="A162" i="50"/>
  <c r="M162" i="50"/>
  <c r="J162" i="50"/>
  <c r="B162" i="50"/>
  <c r="R162" i="50" s="1"/>
  <c r="F162" i="50"/>
  <c r="U162" i="50" s="1"/>
  <c r="N162" i="50"/>
  <c r="H162" i="50"/>
  <c r="H152" i="32"/>
  <c r="K152" i="32"/>
  <c r="L152" i="32"/>
  <c r="G152" i="32"/>
  <c r="F152" i="32"/>
  <c r="U152" i="32" s="1"/>
  <c r="I152" i="32"/>
  <c r="N152" i="32"/>
  <c r="J152" i="32"/>
  <c r="M152" i="32"/>
  <c r="H222" i="57"/>
  <c r="D222" i="57"/>
  <c r="K222" i="57"/>
  <c r="J222" i="57"/>
  <c r="G222" i="57"/>
  <c r="C222" i="57"/>
  <c r="E222" i="57"/>
  <c r="F222" i="57"/>
  <c r="I222" i="57"/>
  <c r="AN221" i="55" a="1"/>
  <c r="AN221" i="55" s="1"/>
  <c r="B223" i="57" s="1"/>
  <c r="C207" i="69"/>
  <c r="P207" i="69" s="1"/>
  <c r="R205" i="69"/>
  <c r="S205" i="69" s="1"/>
  <c r="AE205" i="69"/>
  <c r="D206" i="69"/>
  <c r="E206" i="69" s="1"/>
  <c r="F206" i="69" s="1"/>
  <c r="G206" i="69" s="1"/>
  <c r="H206" i="69" s="1"/>
  <c r="I206" i="69" s="1"/>
  <c r="J206" i="69" s="1"/>
  <c r="K206" i="69" s="1"/>
  <c r="M206" i="69" s="1"/>
  <c r="AR207" i="67" a="1"/>
  <c r="AR207" i="67" s="1"/>
  <c r="B208" i="69"/>
  <c r="L208" i="69" s="1"/>
  <c r="AL152" i="11" a="1"/>
  <c r="AL152" i="11" s="1"/>
  <c r="E153" i="32" s="1"/>
  <c r="AP162" i="59" a="1"/>
  <c r="AP162" i="59" s="1"/>
  <c r="E163" i="50" s="1"/>
  <c r="AQ52" i="59" a="1"/>
  <c r="AQ52" i="59" s="1"/>
  <c r="AM37" i="11" a="1"/>
  <c r="AM37" i="11" s="1"/>
  <c r="Y205" i="69" l="1"/>
  <c r="AB205" i="69" s="1"/>
  <c r="AC205" i="69" s="1"/>
  <c r="AD205" i="69" s="1"/>
  <c r="AD161" i="50"/>
  <c r="AG161" i="50" s="1"/>
  <c r="AG222" i="57"/>
  <c r="X220" i="57"/>
  <c r="AF220" i="57" s="1"/>
  <c r="AF219" i="57"/>
  <c r="AB219" i="57"/>
  <c r="M223" i="53"/>
  <c r="AC223" i="53" s="1"/>
  <c r="O223" i="53"/>
  <c r="AP207" i="69"/>
  <c r="N207" i="69"/>
  <c r="U207" i="69" s="1"/>
  <c r="AJ221" i="57"/>
  <c r="AD221" i="57"/>
  <c r="R221" i="57"/>
  <c r="Q221" i="57"/>
  <c r="T221" i="57" s="1"/>
  <c r="AE221" i="57"/>
  <c r="AQ221" i="57"/>
  <c r="AC221" i="57"/>
  <c r="M222" i="57"/>
  <c r="AK222" i="57" s="1"/>
  <c r="Q162" i="50"/>
  <c r="P162" i="50" s="1"/>
  <c r="Q152" i="32"/>
  <c r="P152" i="32" s="1"/>
  <c r="N223" i="53"/>
  <c r="T153" i="32"/>
  <c r="O153" i="32"/>
  <c r="T163" i="50"/>
  <c r="O163" i="50"/>
  <c r="AA221" i="53"/>
  <c r="AB221" i="53"/>
  <c r="AP159" i="50"/>
  <c r="C161" i="50"/>
  <c r="Z161" i="50"/>
  <c r="C151" i="32"/>
  <c r="Z151" i="32"/>
  <c r="AM152" i="32"/>
  <c r="AJ161" i="50"/>
  <c r="S162" i="50"/>
  <c r="Z162" i="50" s="1"/>
  <c r="W151" i="32"/>
  <c r="X151" i="32" s="1"/>
  <c r="S152" i="32"/>
  <c r="Z152" i="32" s="1"/>
  <c r="AJ151" i="32"/>
  <c r="W161" i="50"/>
  <c r="X160" i="50"/>
  <c r="V161" i="50"/>
  <c r="V151" i="32"/>
  <c r="AF206" i="69"/>
  <c r="Q206" i="69"/>
  <c r="O223" i="57"/>
  <c r="P223" i="57"/>
  <c r="AC204" i="69"/>
  <c r="AD204" i="69" s="1"/>
  <c r="AH160" i="50"/>
  <c r="AI160" i="50" s="1"/>
  <c r="O208" i="69"/>
  <c r="AO207" i="69"/>
  <c r="AK163" i="50"/>
  <c r="AF221" i="53"/>
  <c r="AE222" i="53"/>
  <c r="AK153" i="32"/>
  <c r="AG151" i="32"/>
  <c r="AH151" i="32" s="1"/>
  <c r="AM162" i="50"/>
  <c r="AL150" i="32"/>
  <c r="AI149" i="32"/>
  <c r="AN149" i="32" s="1"/>
  <c r="R222" i="53"/>
  <c r="X222" i="53" s="1"/>
  <c r="AL160" i="50"/>
  <c r="AY206" i="69"/>
  <c r="L223" i="57"/>
  <c r="AH222" i="53"/>
  <c r="AT222" i="53"/>
  <c r="AG222" i="53"/>
  <c r="N223" i="57"/>
  <c r="H223" i="53"/>
  <c r="AH206" i="69"/>
  <c r="AD222" i="53"/>
  <c r="Q222" i="53"/>
  <c r="AK222" i="52" a="1"/>
  <c r="AK222" i="52" s="1"/>
  <c r="B224" i="53" s="1"/>
  <c r="J223" i="53"/>
  <c r="P223" i="53"/>
  <c r="G223" i="53"/>
  <c r="E223" i="53"/>
  <c r="L223" i="53"/>
  <c r="F223" i="53"/>
  <c r="K223" i="53"/>
  <c r="I223" i="53"/>
  <c r="C223" i="53"/>
  <c r="D223" i="53"/>
  <c r="A153" i="32"/>
  <c r="B153" i="32"/>
  <c r="R153" i="32" s="1"/>
  <c r="J163" i="50"/>
  <c r="M163" i="50"/>
  <c r="N163" i="50"/>
  <c r="I163" i="50"/>
  <c r="A163" i="50"/>
  <c r="L163" i="50"/>
  <c r="K163" i="50"/>
  <c r="G163" i="50"/>
  <c r="B163" i="50"/>
  <c r="R163" i="50" s="1"/>
  <c r="F163" i="50"/>
  <c r="U163" i="50" s="1"/>
  <c r="H163" i="50"/>
  <c r="F153" i="32"/>
  <c r="U153" i="32" s="1"/>
  <c r="N153" i="32"/>
  <c r="I153" i="32"/>
  <c r="J153" i="32"/>
  <c r="M153" i="32"/>
  <c r="G153" i="32"/>
  <c r="L153" i="32"/>
  <c r="H153" i="32"/>
  <c r="K153" i="32"/>
  <c r="G223" i="57"/>
  <c r="I223" i="57"/>
  <c r="E223" i="57"/>
  <c r="D223" i="57"/>
  <c r="J223" i="57"/>
  <c r="H223" i="57"/>
  <c r="C223" i="57"/>
  <c r="K223" i="57"/>
  <c r="F223" i="57"/>
  <c r="AN222" i="55" a="1"/>
  <c r="AN222" i="55" s="1"/>
  <c r="B224" i="57" s="1"/>
  <c r="AR208" i="67" a="1"/>
  <c r="AR208" i="67" s="1"/>
  <c r="B209" i="69"/>
  <c r="L209" i="69" s="1"/>
  <c r="D207" i="69"/>
  <c r="E207" i="69" s="1"/>
  <c r="F207" i="69" s="1"/>
  <c r="G207" i="69" s="1"/>
  <c r="H207" i="69" s="1"/>
  <c r="I207" i="69" s="1"/>
  <c r="J207" i="69" s="1"/>
  <c r="K207" i="69" s="1"/>
  <c r="M207" i="69" s="1"/>
  <c r="R206" i="69"/>
  <c r="S206" i="69" s="1"/>
  <c r="Y206" i="69" s="1"/>
  <c r="AE206" i="69"/>
  <c r="C208" i="69"/>
  <c r="P208" i="69" s="1"/>
  <c r="AL153" i="11" a="1"/>
  <c r="AL153" i="11" s="1"/>
  <c r="E154" i="32" s="1"/>
  <c r="AP163" i="59" a="1"/>
  <c r="AP163" i="59" s="1"/>
  <c r="E164" i="50" s="1"/>
  <c r="AQ53" i="59" a="1"/>
  <c r="AQ53" i="59" s="1"/>
  <c r="AM38" i="11" a="1"/>
  <c r="AM38" i="11" s="1"/>
  <c r="X221" i="57" l="1"/>
  <c r="AB221" i="57" s="1"/>
  <c r="AG205" i="69"/>
  <c r="AD152" i="32"/>
  <c r="AG152" i="32" s="1"/>
  <c r="AH152" i="32" s="1"/>
  <c r="AD162" i="50"/>
  <c r="AG162" i="50" s="1"/>
  <c r="AG223" i="57"/>
  <c r="AQ222" i="57"/>
  <c r="AC222" i="57"/>
  <c r="Q222" i="57"/>
  <c r="T222" i="57" s="1"/>
  <c r="AE222" i="57"/>
  <c r="AD222" i="57"/>
  <c r="AJ222" i="57"/>
  <c r="AB220" i="57"/>
  <c r="AA220" i="57"/>
  <c r="R222" i="57"/>
  <c r="M224" i="53"/>
  <c r="AC224" i="53" s="1"/>
  <c r="O224" i="53"/>
  <c r="AP208" i="69"/>
  <c r="N208" i="69"/>
  <c r="U208" i="69" s="1"/>
  <c r="M223" i="57"/>
  <c r="AK223" i="57" s="1"/>
  <c r="Q163" i="50"/>
  <c r="P163" i="50" s="1"/>
  <c r="Q153" i="32"/>
  <c r="P153" i="32" s="1"/>
  <c r="N224" i="53"/>
  <c r="T154" i="32"/>
  <c r="O154" i="32"/>
  <c r="T164" i="50"/>
  <c r="O164" i="50"/>
  <c r="AA222" i="53"/>
  <c r="AB222" i="53"/>
  <c r="AP160" i="50"/>
  <c r="AM153" i="32"/>
  <c r="C162" i="50"/>
  <c r="AJ162" i="50"/>
  <c r="S163" i="50"/>
  <c r="AD163" i="50" s="1"/>
  <c r="AJ152" i="32"/>
  <c r="W152" i="32"/>
  <c r="X152" i="32" s="1"/>
  <c r="C152" i="32"/>
  <c r="S153" i="32"/>
  <c r="AD153" i="32" s="1"/>
  <c r="W162" i="50"/>
  <c r="X161" i="50"/>
  <c r="V162" i="50"/>
  <c r="V152" i="32"/>
  <c r="AF207" i="69"/>
  <c r="Q207" i="69"/>
  <c r="O224" i="57"/>
  <c r="P224" i="57"/>
  <c r="AH161" i="50"/>
  <c r="AI161" i="50" s="1"/>
  <c r="AB206" i="69"/>
  <c r="AG206" i="69"/>
  <c r="O209" i="69"/>
  <c r="AO208" i="69"/>
  <c r="AK164" i="50"/>
  <c r="AE223" i="53"/>
  <c r="AF222" i="53"/>
  <c r="AK154" i="32"/>
  <c r="AM163" i="50"/>
  <c r="AL151" i="32"/>
  <c r="AI150" i="32"/>
  <c r="AN150" i="32" s="1"/>
  <c r="R223" i="53"/>
  <c r="X223" i="53" s="1"/>
  <c r="AL161" i="50"/>
  <c r="AY207" i="69"/>
  <c r="L224" i="57"/>
  <c r="AG223" i="53"/>
  <c r="AH223" i="53"/>
  <c r="AT223" i="53"/>
  <c r="N224" i="57"/>
  <c r="AH207" i="69"/>
  <c r="AD223" i="53"/>
  <c r="Q223" i="53"/>
  <c r="D224" i="53"/>
  <c r="C224" i="53"/>
  <c r="I224" i="53"/>
  <c r="J224" i="53"/>
  <c r="E224" i="53"/>
  <c r="F224" i="53"/>
  <c r="L224" i="53"/>
  <c r="AK223" i="52" a="1"/>
  <c r="AK223" i="52" s="1"/>
  <c r="B225" i="53" s="1"/>
  <c r="G224" i="53"/>
  <c r="K224" i="53"/>
  <c r="P224" i="53"/>
  <c r="H224" i="53"/>
  <c r="A154" i="32"/>
  <c r="B154" i="32"/>
  <c r="R154" i="32" s="1"/>
  <c r="F164" i="50"/>
  <c r="U164" i="50" s="1"/>
  <c r="K164" i="50"/>
  <c r="M164" i="50"/>
  <c r="J164" i="50"/>
  <c r="I164" i="50"/>
  <c r="N164" i="50"/>
  <c r="A164" i="50"/>
  <c r="G164" i="50"/>
  <c r="L164" i="50"/>
  <c r="B164" i="50"/>
  <c r="R164" i="50" s="1"/>
  <c r="H164" i="50"/>
  <c r="L154" i="32"/>
  <c r="G154" i="32"/>
  <c r="H154" i="32"/>
  <c r="K154" i="32"/>
  <c r="M154" i="32"/>
  <c r="J154" i="32"/>
  <c r="N154" i="32"/>
  <c r="F154" i="32"/>
  <c r="U154" i="32" s="1"/>
  <c r="I154" i="32"/>
  <c r="J224" i="57"/>
  <c r="F224" i="57"/>
  <c r="E224" i="57"/>
  <c r="D224" i="57"/>
  <c r="G224" i="57"/>
  <c r="C224" i="57"/>
  <c r="I224" i="57"/>
  <c r="H224" i="57"/>
  <c r="K224" i="57"/>
  <c r="AN223" i="55" a="1"/>
  <c r="AN223" i="55" s="1"/>
  <c r="B225" i="57" s="1"/>
  <c r="AR209" i="67" a="1"/>
  <c r="AR209" i="67" s="1"/>
  <c r="B210" i="69"/>
  <c r="L210" i="69" s="1"/>
  <c r="C209" i="69"/>
  <c r="P209" i="69" s="1"/>
  <c r="AE207" i="69"/>
  <c r="R207" i="69"/>
  <c r="S207" i="69" s="1"/>
  <c r="Y207" i="69" s="1"/>
  <c r="D208" i="69"/>
  <c r="E208" i="69" s="1"/>
  <c r="F208" i="69" s="1"/>
  <c r="G208" i="69" s="1"/>
  <c r="H208" i="69" s="1"/>
  <c r="I208" i="69" s="1"/>
  <c r="J208" i="69" s="1"/>
  <c r="K208" i="69" s="1"/>
  <c r="M208" i="69" s="1"/>
  <c r="AL154" i="11" a="1"/>
  <c r="AL154" i="11" s="1"/>
  <c r="E155" i="32" s="1"/>
  <c r="AP164" i="59" a="1"/>
  <c r="AP164" i="59" s="1"/>
  <c r="E165" i="50" s="1"/>
  <c r="AQ54" i="59" a="1"/>
  <c r="AQ54" i="59" s="1"/>
  <c r="AM39" i="11" a="1"/>
  <c r="AM39" i="11" s="1"/>
  <c r="AB207" i="69" l="1"/>
  <c r="AC207" i="69" s="1"/>
  <c r="AD207" i="69" s="1"/>
  <c r="X222" i="57"/>
  <c r="AA222" i="57" s="1"/>
  <c r="AG224" i="57"/>
  <c r="AE223" i="57"/>
  <c r="AJ223" i="57"/>
  <c r="AD223" i="57"/>
  <c r="R223" i="57"/>
  <c r="Q223" i="57"/>
  <c r="T223" i="57" s="1"/>
  <c r="AQ223" i="57"/>
  <c r="AC223" i="57"/>
  <c r="AF221" i="57"/>
  <c r="AA221" i="57"/>
  <c r="M225" i="53"/>
  <c r="AC225" i="53" s="1"/>
  <c r="O225" i="53"/>
  <c r="AP209" i="69"/>
  <c r="N209" i="69"/>
  <c r="U209" i="69" s="1"/>
  <c r="M224" i="57"/>
  <c r="AK224" i="57" s="1"/>
  <c r="Q164" i="50"/>
  <c r="P164" i="50" s="1"/>
  <c r="Q154" i="32"/>
  <c r="P154" i="32" s="1"/>
  <c r="N225" i="53"/>
  <c r="T155" i="32"/>
  <c r="O155" i="32"/>
  <c r="T165" i="50"/>
  <c r="O165" i="50"/>
  <c r="AA223" i="53"/>
  <c r="AB223" i="53"/>
  <c r="AP161" i="50"/>
  <c r="C163" i="50"/>
  <c r="Z163" i="50"/>
  <c r="C153" i="32"/>
  <c r="Z153" i="32"/>
  <c r="AM154" i="32"/>
  <c r="AJ163" i="50"/>
  <c r="S164" i="50"/>
  <c r="Z164" i="50" s="1"/>
  <c r="S154" i="32"/>
  <c r="Z154" i="32" s="1"/>
  <c r="W153" i="32"/>
  <c r="X153" i="32" s="1"/>
  <c r="AJ153" i="32"/>
  <c r="W163" i="50"/>
  <c r="X162" i="50"/>
  <c r="V163" i="50"/>
  <c r="V153" i="32"/>
  <c r="AF208" i="69"/>
  <c r="Q208" i="69"/>
  <c r="O225" i="57"/>
  <c r="P225" i="57"/>
  <c r="AC206" i="69"/>
  <c r="AD206" i="69" s="1"/>
  <c r="AH162" i="50"/>
  <c r="AI162" i="50" s="1"/>
  <c r="AO209" i="69"/>
  <c r="AG207" i="69"/>
  <c r="O210" i="69"/>
  <c r="AK165" i="50"/>
  <c r="AE224" i="53"/>
  <c r="AF223" i="53"/>
  <c r="AK155" i="32"/>
  <c r="AG153" i="32"/>
  <c r="AH153" i="32" s="1"/>
  <c r="AM164" i="50"/>
  <c r="AG163" i="50"/>
  <c r="AL152" i="32"/>
  <c r="AI151" i="32"/>
  <c r="AN151" i="32" s="1"/>
  <c r="R224" i="53"/>
  <c r="X224" i="53" s="1"/>
  <c r="AL162" i="50"/>
  <c r="AY208" i="69"/>
  <c r="L225" i="57"/>
  <c r="AG224" i="53"/>
  <c r="AH224" i="53"/>
  <c r="AT224" i="53"/>
  <c r="N225" i="57"/>
  <c r="AH208" i="69"/>
  <c r="AD224" i="53"/>
  <c r="Q224" i="53"/>
  <c r="G225" i="53"/>
  <c r="P225" i="53"/>
  <c r="K225" i="53"/>
  <c r="E225" i="53"/>
  <c r="F225" i="53"/>
  <c r="I225" i="53"/>
  <c r="C225" i="53"/>
  <c r="J225" i="53"/>
  <c r="AK224" i="52" a="1"/>
  <c r="AK224" i="52" s="1"/>
  <c r="B226" i="53" s="1"/>
  <c r="L225" i="53"/>
  <c r="D225" i="53"/>
  <c r="H225" i="53"/>
  <c r="A155" i="32"/>
  <c r="B155" i="32"/>
  <c r="R155" i="32" s="1"/>
  <c r="J165" i="50"/>
  <c r="B165" i="50"/>
  <c r="R165" i="50" s="1"/>
  <c r="I165" i="50"/>
  <c r="H165" i="50"/>
  <c r="F165" i="50"/>
  <c r="U165" i="50" s="1"/>
  <c r="N165" i="50"/>
  <c r="L165" i="50"/>
  <c r="M165" i="50"/>
  <c r="A165" i="50"/>
  <c r="G165" i="50"/>
  <c r="K165" i="50"/>
  <c r="J155" i="32"/>
  <c r="M155" i="32"/>
  <c r="F155" i="32"/>
  <c r="U155" i="32" s="1"/>
  <c r="N155" i="32"/>
  <c r="I155" i="32"/>
  <c r="H155" i="32"/>
  <c r="K155" i="32"/>
  <c r="G155" i="32"/>
  <c r="L155" i="32"/>
  <c r="H225" i="57"/>
  <c r="D225" i="57"/>
  <c r="I225" i="57"/>
  <c r="E225" i="57"/>
  <c r="K225" i="57"/>
  <c r="C225" i="57"/>
  <c r="G225" i="57"/>
  <c r="J225" i="57"/>
  <c r="F225" i="57"/>
  <c r="AN224" i="55" a="1"/>
  <c r="AN224" i="55" s="1"/>
  <c r="B226" i="57" s="1"/>
  <c r="AR210" i="67" a="1"/>
  <c r="AR210" i="67" s="1"/>
  <c r="B211" i="69"/>
  <c r="L211" i="69" s="1"/>
  <c r="D209" i="69"/>
  <c r="E209" i="69" s="1"/>
  <c r="F209" i="69" s="1"/>
  <c r="G209" i="69" s="1"/>
  <c r="H209" i="69" s="1"/>
  <c r="I209" i="69" s="1"/>
  <c r="J209" i="69" s="1"/>
  <c r="K209" i="69" s="1"/>
  <c r="M209" i="69" s="1"/>
  <c r="AE208" i="69"/>
  <c r="R208" i="69"/>
  <c r="S208" i="69" s="1"/>
  <c r="Y208" i="69" s="1"/>
  <c r="C210" i="69"/>
  <c r="P210" i="69" s="1"/>
  <c r="AL155" i="11" a="1"/>
  <c r="AL155" i="11" s="1"/>
  <c r="E156" i="32" s="1"/>
  <c r="AP165" i="59" a="1"/>
  <c r="AP165" i="59" s="1"/>
  <c r="E166" i="50" s="1"/>
  <c r="AQ55" i="59" a="1"/>
  <c r="AQ55" i="59" s="1"/>
  <c r="AM40" i="11" a="1"/>
  <c r="AM40" i="11" s="1"/>
  <c r="X223" i="57" l="1"/>
  <c r="AB223" i="57" s="1"/>
  <c r="AD154" i="32"/>
  <c r="AG154" i="32" s="1"/>
  <c r="AH154" i="32" s="1"/>
  <c r="AD164" i="50"/>
  <c r="AG164" i="50" s="1"/>
  <c r="AG225" i="57"/>
  <c r="AB222" i="57"/>
  <c r="AF222" i="57"/>
  <c r="AC224" i="57"/>
  <c r="M226" i="53"/>
  <c r="AC226" i="53" s="1"/>
  <c r="O226" i="53"/>
  <c r="AP210" i="69"/>
  <c r="N210" i="69"/>
  <c r="U210" i="69" s="1"/>
  <c r="AE224" i="57"/>
  <c r="AQ224" i="57"/>
  <c r="Q224" i="57"/>
  <c r="T224" i="57" s="1"/>
  <c r="AJ224" i="57"/>
  <c r="AD224" i="57"/>
  <c r="R224" i="57"/>
  <c r="M225" i="57"/>
  <c r="AK225" i="57" s="1"/>
  <c r="Q165" i="50"/>
  <c r="P165" i="50" s="1"/>
  <c r="Q155" i="32"/>
  <c r="P155" i="32" s="1"/>
  <c r="N226" i="53"/>
  <c r="T156" i="32"/>
  <c r="O156" i="32"/>
  <c r="T166" i="50"/>
  <c r="O166" i="50"/>
  <c r="AA224" i="53"/>
  <c r="AB224" i="53"/>
  <c r="AP162" i="50"/>
  <c r="AM155" i="32"/>
  <c r="AJ164" i="50"/>
  <c r="C164" i="50"/>
  <c r="S165" i="50"/>
  <c r="AJ154" i="32"/>
  <c r="W154" i="32"/>
  <c r="X154" i="32" s="1"/>
  <c r="C154" i="32"/>
  <c r="S155" i="32"/>
  <c r="Z155" i="32" s="1"/>
  <c r="W164" i="50"/>
  <c r="X163" i="50"/>
  <c r="V164" i="50"/>
  <c r="V154" i="32"/>
  <c r="AF209" i="69"/>
  <c r="Q209" i="69"/>
  <c r="O226" i="57"/>
  <c r="P226" i="57"/>
  <c r="AH163" i="50"/>
  <c r="AI163" i="50" s="1"/>
  <c r="AB208" i="69"/>
  <c r="AG208" i="69"/>
  <c r="O211" i="69"/>
  <c r="AO210" i="69"/>
  <c r="AK166" i="50"/>
  <c r="AE225" i="53"/>
  <c r="AF224" i="53"/>
  <c r="AK156" i="32"/>
  <c r="AM165" i="50"/>
  <c r="AL153" i="32"/>
  <c r="AI152" i="32"/>
  <c r="AN152" i="32" s="1"/>
  <c r="R225" i="53"/>
  <c r="X225" i="53" s="1"/>
  <c r="AL163" i="50"/>
  <c r="AY209" i="69"/>
  <c r="L226" i="57"/>
  <c r="AH225" i="53"/>
  <c r="AT225" i="53"/>
  <c r="AG225" i="53"/>
  <c r="N226" i="57"/>
  <c r="E226" i="53"/>
  <c r="AH209" i="69"/>
  <c r="Q225" i="53"/>
  <c r="AD225" i="53"/>
  <c r="AK225" i="52" a="1"/>
  <c r="AK225" i="52" s="1"/>
  <c r="B227" i="53" s="1"/>
  <c r="K226" i="53"/>
  <c r="G226" i="53"/>
  <c r="H226" i="53"/>
  <c r="L226" i="53"/>
  <c r="P226" i="53"/>
  <c r="I226" i="53"/>
  <c r="D226" i="53"/>
  <c r="J226" i="53"/>
  <c r="F226" i="53"/>
  <c r="C226" i="53"/>
  <c r="A156" i="32"/>
  <c r="B156" i="32"/>
  <c r="R156" i="32" s="1"/>
  <c r="H166" i="50"/>
  <c r="B166" i="50"/>
  <c r="R166" i="50" s="1"/>
  <c r="G166" i="50"/>
  <c r="I166" i="50"/>
  <c r="M166" i="50"/>
  <c r="A166" i="50"/>
  <c r="L166" i="50"/>
  <c r="J166" i="50"/>
  <c r="N166" i="50"/>
  <c r="F166" i="50"/>
  <c r="U166" i="50" s="1"/>
  <c r="K166" i="50"/>
  <c r="H156" i="32"/>
  <c r="K156" i="32"/>
  <c r="L156" i="32"/>
  <c r="G156" i="32"/>
  <c r="I156" i="32"/>
  <c r="N156" i="32"/>
  <c r="F156" i="32"/>
  <c r="U156" i="32" s="1"/>
  <c r="J156" i="32"/>
  <c r="M156" i="32"/>
  <c r="J226" i="57"/>
  <c r="G226" i="57"/>
  <c r="F226" i="57"/>
  <c r="C226" i="57"/>
  <c r="I226" i="57"/>
  <c r="E226" i="57"/>
  <c r="K226" i="57"/>
  <c r="H226" i="57"/>
  <c r="D226" i="57"/>
  <c r="AN225" i="55" a="1"/>
  <c r="AN225" i="55" s="1"/>
  <c r="B227" i="57" s="1"/>
  <c r="AR211" i="67" a="1"/>
  <c r="AR211" i="67" s="1"/>
  <c r="B212" i="69"/>
  <c r="L212" i="69" s="1"/>
  <c r="AE209" i="69"/>
  <c r="R209" i="69"/>
  <c r="S209" i="69" s="1"/>
  <c r="Y209" i="69" s="1"/>
  <c r="C211" i="69"/>
  <c r="P211" i="69" s="1"/>
  <c r="D210" i="69"/>
  <c r="E210" i="69" s="1"/>
  <c r="F210" i="69" s="1"/>
  <c r="G210" i="69" s="1"/>
  <c r="H210" i="69" s="1"/>
  <c r="I210" i="69" s="1"/>
  <c r="J210" i="69" s="1"/>
  <c r="K210" i="69" s="1"/>
  <c r="M210" i="69" s="1"/>
  <c r="AL156" i="11" a="1"/>
  <c r="AL156" i="11" s="1"/>
  <c r="E157" i="32" s="1"/>
  <c r="AP166" i="59" a="1"/>
  <c r="AP166" i="59" s="1"/>
  <c r="E167" i="50" s="1"/>
  <c r="AQ56" i="59" a="1"/>
  <c r="AQ56" i="59" s="1"/>
  <c r="AM41" i="11" a="1"/>
  <c r="AM41" i="11" s="1"/>
  <c r="AD155" i="32" l="1"/>
  <c r="AG155" i="32" s="1"/>
  <c r="AH155" i="32" s="1"/>
  <c r="AD165" i="50"/>
  <c r="AG165" i="50" s="1"/>
  <c r="AG226" i="57"/>
  <c r="X224" i="57"/>
  <c r="AB224" i="57" s="1"/>
  <c r="AF223" i="57"/>
  <c r="AA223" i="57"/>
  <c r="M227" i="53"/>
  <c r="AC227" i="53" s="1"/>
  <c r="O227" i="53"/>
  <c r="AP211" i="69"/>
  <c r="N211" i="69"/>
  <c r="U211" i="69" s="1"/>
  <c r="Q225" i="57"/>
  <c r="T225" i="57" s="1"/>
  <c r="AE225" i="57"/>
  <c r="AD225" i="57"/>
  <c r="R225" i="57"/>
  <c r="AJ225" i="57"/>
  <c r="AQ225" i="57"/>
  <c r="AC225" i="57"/>
  <c r="M226" i="57"/>
  <c r="AK226" i="57" s="1"/>
  <c r="Q166" i="50"/>
  <c r="P166" i="50" s="1"/>
  <c r="Q156" i="32"/>
  <c r="P156" i="32" s="1"/>
  <c r="N227" i="53"/>
  <c r="T157" i="32"/>
  <c r="O157" i="32"/>
  <c r="T167" i="50"/>
  <c r="O167" i="50"/>
  <c r="AA225" i="53"/>
  <c r="AB225" i="53"/>
  <c r="AP163" i="50"/>
  <c r="C165" i="50"/>
  <c r="Z165" i="50"/>
  <c r="AM156" i="32"/>
  <c r="AJ165" i="50"/>
  <c r="S166" i="50"/>
  <c r="Z166" i="50" s="1"/>
  <c r="C155" i="32"/>
  <c r="W155" i="32"/>
  <c r="X155" i="32" s="1"/>
  <c r="AJ155" i="32"/>
  <c r="S156" i="32"/>
  <c r="Z156" i="32" s="1"/>
  <c r="W165" i="50"/>
  <c r="X164" i="50"/>
  <c r="V165" i="50"/>
  <c r="V155" i="32"/>
  <c r="AF210" i="69"/>
  <c r="Q210" i="69"/>
  <c r="O227" i="57"/>
  <c r="P227" i="57"/>
  <c r="AC208" i="69"/>
  <c r="AD208" i="69" s="1"/>
  <c r="AH164" i="50"/>
  <c r="AI164" i="50" s="1"/>
  <c r="AB209" i="69"/>
  <c r="AG209" i="69"/>
  <c r="O212" i="69"/>
  <c r="AO211" i="69"/>
  <c r="AK167" i="50"/>
  <c r="AE226" i="53"/>
  <c r="AF225" i="53"/>
  <c r="AK157" i="32"/>
  <c r="AM166" i="50"/>
  <c r="AL154" i="32"/>
  <c r="AI153" i="32"/>
  <c r="AN153" i="32" s="1"/>
  <c r="R226" i="53"/>
  <c r="X226" i="53" s="1"/>
  <c r="AL164" i="50"/>
  <c r="AY210" i="69"/>
  <c r="L227" i="57"/>
  <c r="AG226" i="53"/>
  <c r="AH226" i="53"/>
  <c r="AT226" i="53"/>
  <c r="N227" i="57"/>
  <c r="AH210" i="69"/>
  <c r="AD226" i="53"/>
  <c r="Q226" i="53"/>
  <c r="AK226" i="52" a="1"/>
  <c r="AK226" i="52" s="1"/>
  <c r="B228" i="53" s="1"/>
  <c r="P227" i="53"/>
  <c r="E227" i="53"/>
  <c r="I227" i="53"/>
  <c r="G227" i="53"/>
  <c r="J227" i="53"/>
  <c r="D227" i="53"/>
  <c r="L227" i="53"/>
  <c r="K227" i="53"/>
  <c r="C227" i="53"/>
  <c r="H227" i="53"/>
  <c r="F227" i="53"/>
  <c r="A157" i="32"/>
  <c r="B157" i="32"/>
  <c r="R157" i="32" s="1"/>
  <c r="A167" i="50"/>
  <c r="I167" i="50"/>
  <c r="F167" i="50"/>
  <c r="U167" i="50" s="1"/>
  <c r="N167" i="50"/>
  <c r="J167" i="50"/>
  <c r="M167" i="50"/>
  <c r="K167" i="50"/>
  <c r="G167" i="50"/>
  <c r="H167" i="50"/>
  <c r="L167" i="50"/>
  <c r="B167" i="50"/>
  <c r="R167" i="50" s="1"/>
  <c r="F157" i="32"/>
  <c r="U157" i="32" s="1"/>
  <c r="N157" i="32"/>
  <c r="I157" i="32"/>
  <c r="J157" i="32"/>
  <c r="M157" i="32"/>
  <c r="G157" i="32"/>
  <c r="L157" i="32"/>
  <c r="K157" i="32"/>
  <c r="H157" i="32"/>
  <c r="D227" i="57"/>
  <c r="J227" i="57"/>
  <c r="I227" i="57"/>
  <c r="E227" i="57"/>
  <c r="H227" i="57"/>
  <c r="C227" i="57"/>
  <c r="K227" i="57"/>
  <c r="F227" i="57"/>
  <c r="G227" i="57"/>
  <c r="AN226" i="55" a="1"/>
  <c r="AN226" i="55" s="1"/>
  <c r="B228" i="57" s="1"/>
  <c r="AR212" i="67" a="1"/>
  <c r="AR212" i="67" s="1"/>
  <c r="B213" i="69"/>
  <c r="L213" i="69" s="1"/>
  <c r="D211" i="69"/>
  <c r="E211" i="69" s="1"/>
  <c r="F211" i="69" s="1"/>
  <c r="G211" i="69" s="1"/>
  <c r="H211" i="69" s="1"/>
  <c r="I211" i="69" s="1"/>
  <c r="J211" i="69" s="1"/>
  <c r="K211" i="69" s="1"/>
  <c r="M211" i="69" s="1"/>
  <c r="AE210" i="69"/>
  <c r="R210" i="69"/>
  <c r="S210" i="69" s="1"/>
  <c r="C212" i="69"/>
  <c r="P212" i="69" s="1"/>
  <c r="AL157" i="11" a="1"/>
  <c r="AL157" i="11" s="1"/>
  <c r="E158" i="32" s="1"/>
  <c r="AP167" i="59" a="1"/>
  <c r="AP167" i="59" s="1"/>
  <c r="E168" i="50" s="1"/>
  <c r="AQ57" i="59" a="1"/>
  <c r="AQ57" i="59" s="1"/>
  <c r="AM42" i="11" a="1"/>
  <c r="AM42" i="11" s="1"/>
  <c r="Y210" i="69" l="1"/>
  <c r="AB210" i="69" s="1"/>
  <c r="AC210" i="69" s="1"/>
  <c r="AD210" i="69" s="1"/>
  <c r="AD156" i="32"/>
  <c r="AG156" i="32" s="1"/>
  <c r="AH156" i="32" s="1"/>
  <c r="AD166" i="50"/>
  <c r="AG166" i="50" s="1"/>
  <c r="X225" i="57"/>
  <c r="AB225" i="57" s="1"/>
  <c r="AG227" i="57"/>
  <c r="AA224" i="57"/>
  <c r="AF224" i="57"/>
  <c r="M228" i="53"/>
  <c r="AC228" i="53" s="1"/>
  <c r="O228" i="53"/>
  <c r="AP212" i="69"/>
  <c r="N212" i="69"/>
  <c r="U212" i="69" s="1"/>
  <c r="Q226" i="57"/>
  <c r="T226" i="57" s="1"/>
  <c r="AE226" i="57"/>
  <c r="AJ226" i="57"/>
  <c r="R226" i="57"/>
  <c r="AD226" i="57"/>
  <c r="AQ226" i="57"/>
  <c r="AC226" i="57"/>
  <c r="M227" i="57"/>
  <c r="AK227" i="57" s="1"/>
  <c r="Q167" i="50"/>
  <c r="P167" i="50" s="1"/>
  <c r="Q157" i="32"/>
  <c r="P157" i="32" s="1"/>
  <c r="N228" i="53"/>
  <c r="T158" i="32"/>
  <c r="O158" i="32"/>
  <c r="T168" i="50"/>
  <c r="O168" i="50"/>
  <c r="AA226" i="53"/>
  <c r="AB226" i="53"/>
  <c r="AP164" i="50"/>
  <c r="AM157" i="32"/>
  <c r="AJ166" i="50"/>
  <c r="C166" i="50"/>
  <c r="S167" i="50"/>
  <c r="AJ156" i="32"/>
  <c r="W156" i="32"/>
  <c r="X156" i="32" s="1"/>
  <c r="C156" i="32"/>
  <c r="S157" i="32"/>
  <c r="AD157" i="32" s="1"/>
  <c r="W166" i="50"/>
  <c r="X165" i="50"/>
  <c r="V166" i="50"/>
  <c r="V156" i="32"/>
  <c r="AF211" i="69"/>
  <c r="Q211" i="69"/>
  <c r="O228" i="57"/>
  <c r="P228" i="57"/>
  <c r="AC209" i="69"/>
  <c r="AD209" i="69" s="1"/>
  <c r="AH165" i="50"/>
  <c r="AI165" i="50" s="1"/>
  <c r="O213" i="69"/>
  <c r="AO212" i="69"/>
  <c r="AK168" i="50"/>
  <c r="AF226" i="53"/>
  <c r="AE227" i="53"/>
  <c r="AK158" i="32"/>
  <c r="AM167" i="50"/>
  <c r="AL155" i="32"/>
  <c r="R227" i="53"/>
  <c r="X227" i="53" s="1"/>
  <c r="AL165" i="50"/>
  <c r="AI154" i="32"/>
  <c r="AN154" i="32" s="1"/>
  <c r="AY211" i="69"/>
  <c r="L228" i="57"/>
  <c r="AH227" i="53"/>
  <c r="AT227" i="53"/>
  <c r="AG227" i="53"/>
  <c r="N228" i="57"/>
  <c r="I228" i="53"/>
  <c r="AH211" i="69"/>
  <c r="Q227" i="53"/>
  <c r="AD227" i="53"/>
  <c r="F228" i="53"/>
  <c r="K228" i="53"/>
  <c r="P228" i="53"/>
  <c r="D228" i="53"/>
  <c r="G228" i="53"/>
  <c r="C228" i="53"/>
  <c r="AK227" i="52" a="1"/>
  <c r="AK227" i="52" s="1"/>
  <c r="B229" i="53" s="1"/>
  <c r="H228" i="53"/>
  <c r="J228" i="53"/>
  <c r="L228" i="53"/>
  <c r="E228" i="53"/>
  <c r="A158" i="32"/>
  <c r="B158" i="32"/>
  <c r="R158" i="32" s="1"/>
  <c r="K168" i="50"/>
  <c r="A168" i="50"/>
  <c r="G168" i="50"/>
  <c r="N168" i="50"/>
  <c r="F168" i="50"/>
  <c r="U168" i="50" s="1"/>
  <c r="I168" i="50"/>
  <c r="H168" i="50"/>
  <c r="J168" i="50"/>
  <c r="M168" i="50"/>
  <c r="B168" i="50"/>
  <c r="R168" i="50" s="1"/>
  <c r="L168" i="50"/>
  <c r="L158" i="32"/>
  <c r="G158" i="32"/>
  <c r="H158" i="32"/>
  <c r="K158" i="32"/>
  <c r="J158" i="32"/>
  <c r="M158" i="32"/>
  <c r="F158" i="32"/>
  <c r="U158" i="32" s="1"/>
  <c r="I158" i="32"/>
  <c r="N158" i="32"/>
  <c r="J228" i="57"/>
  <c r="I228" i="57"/>
  <c r="F228" i="57"/>
  <c r="E228" i="57"/>
  <c r="D228" i="57"/>
  <c r="C228" i="57"/>
  <c r="H228" i="57"/>
  <c r="K228" i="57"/>
  <c r="G228" i="57"/>
  <c r="AN227" i="55" a="1"/>
  <c r="AN227" i="55" s="1"/>
  <c r="B229" i="57" s="1"/>
  <c r="D212" i="69"/>
  <c r="E212" i="69" s="1"/>
  <c r="F212" i="69" s="1"/>
  <c r="G212" i="69" s="1"/>
  <c r="H212" i="69" s="1"/>
  <c r="I212" i="69" s="1"/>
  <c r="J212" i="69" s="1"/>
  <c r="K212" i="69" s="1"/>
  <c r="M212" i="69" s="1"/>
  <c r="R211" i="69"/>
  <c r="S211" i="69" s="1"/>
  <c r="Y211" i="69" s="1"/>
  <c r="AE211" i="69"/>
  <c r="C213" i="69"/>
  <c r="P213" i="69" s="1"/>
  <c r="AR213" i="67" a="1"/>
  <c r="AR213" i="67" s="1"/>
  <c r="B214" i="69"/>
  <c r="L214" i="69" s="1"/>
  <c r="AL158" i="11" a="1"/>
  <c r="AL158" i="11" s="1"/>
  <c r="E159" i="32" s="1"/>
  <c r="AP168" i="59" a="1"/>
  <c r="AP168" i="59" s="1"/>
  <c r="E169" i="50" s="1"/>
  <c r="AQ58" i="59" a="1"/>
  <c r="AQ58" i="59" s="1"/>
  <c r="AM43" i="11" a="1"/>
  <c r="AM43" i="11" s="1"/>
  <c r="AG210" i="69" l="1"/>
  <c r="AD167" i="50"/>
  <c r="AG167" i="50" s="1"/>
  <c r="X226" i="57"/>
  <c r="AB226" i="57" s="1"/>
  <c r="AG228" i="57"/>
  <c r="AF225" i="57"/>
  <c r="AA225" i="57"/>
  <c r="M229" i="53"/>
  <c r="AC229" i="53" s="1"/>
  <c r="O229" i="53"/>
  <c r="AP213" i="69"/>
  <c r="N213" i="69"/>
  <c r="U213" i="69" s="1"/>
  <c r="AE227" i="57"/>
  <c r="AJ227" i="57"/>
  <c r="AD227" i="57"/>
  <c r="R227" i="57"/>
  <c r="Q227" i="57"/>
  <c r="T227" i="57" s="1"/>
  <c r="AQ227" i="57"/>
  <c r="AC227" i="57"/>
  <c r="M228" i="57"/>
  <c r="AK228" i="57" s="1"/>
  <c r="Q168" i="50"/>
  <c r="P168" i="50" s="1"/>
  <c r="Q158" i="32"/>
  <c r="P158" i="32" s="1"/>
  <c r="N229" i="53"/>
  <c r="T159" i="32"/>
  <c r="O159" i="32"/>
  <c r="O169" i="50"/>
  <c r="T169" i="50"/>
  <c r="AA227" i="53"/>
  <c r="AB227" i="53"/>
  <c r="AP165" i="50"/>
  <c r="C167" i="50"/>
  <c r="Z167" i="50"/>
  <c r="C157" i="32"/>
  <c r="Z157" i="32"/>
  <c r="AM158" i="32"/>
  <c r="AJ167" i="50"/>
  <c r="S168" i="50"/>
  <c r="Z168" i="50" s="1"/>
  <c r="W157" i="32"/>
  <c r="X157" i="32" s="1"/>
  <c r="S158" i="32"/>
  <c r="Z158" i="32" s="1"/>
  <c r="AJ157" i="32"/>
  <c r="W167" i="50"/>
  <c r="X166" i="50"/>
  <c r="V167" i="50"/>
  <c r="V157" i="32"/>
  <c r="AF212" i="69"/>
  <c r="Q212" i="69"/>
  <c r="O229" i="57"/>
  <c r="P229" i="57"/>
  <c r="AH166" i="50"/>
  <c r="AI166" i="50" s="1"/>
  <c r="AB211" i="69"/>
  <c r="AG211" i="69"/>
  <c r="O214" i="69"/>
  <c r="AO213" i="69"/>
  <c r="AK169" i="50"/>
  <c r="AF227" i="53"/>
  <c r="AE228" i="53"/>
  <c r="AK159" i="32"/>
  <c r="AG157" i="32"/>
  <c r="AH157" i="32" s="1"/>
  <c r="AM168" i="50"/>
  <c r="AL156" i="32"/>
  <c r="AI155" i="32"/>
  <c r="AN155" i="32" s="1"/>
  <c r="R228" i="53"/>
  <c r="X228" i="53" s="1"/>
  <c r="AL166" i="50"/>
  <c r="AY212" i="69"/>
  <c r="L229" i="57"/>
  <c r="AG228" i="53"/>
  <c r="AH228" i="53"/>
  <c r="AT228" i="53"/>
  <c r="N229" i="57"/>
  <c r="H229" i="53"/>
  <c r="AH212" i="69"/>
  <c r="Q228" i="53"/>
  <c r="AD228" i="53"/>
  <c r="AK228" i="52" a="1"/>
  <c r="AK228" i="52" s="1"/>
  <c r="B230" i="53" s="1"/>
  <c r="D229" i="53"/>
  <c r="F229" i="53"/>
  <c r="P229" i="53"/>
  <c r="G229" i="53"/>
  <c r="J229" i="53"/>
  <c r="C229" i="53"/>
  <c r="K229" i="53"/>
  <c r="L229" i="53"/>
  <c r="I229" i="53"/>
  <c r="E229" i="53"/>
  <c r="A159" i="32"/>
  <c r="B159" i="32"/>
  <c r="R159" i="32" s="1"/>
  <c r="H169" i="50"/>
  <c r="B169" i="50"/>
  <c r="R169" i="50" s="1"/>
  <c r="F169" i="50"/>
  <c r="U169" i="50" s="1"/>
  <c r="N169" i="50"/>
  <c r="I169" i="50"/>
  <c r="L169" i="50"/>
  <c r="A169" i="50"/>
  <c r="J169" i="50"/>
  <c r="K169" i="50"/>
  <c r="M169" i="50"/>
  <c r="G169" i="50"/>
  <c r="J159" i="32"/>
  <c r="M159" i="32"/>
  <c r="F159" i="32"/>
  <c r="U159" i="32" s="1"/>
  <c r="N159" i="32"/>
  <c r="I159" i="32"/>
  <c r="K159" i="32"/>
  <c r="H159" i="32"/>
  <c r="G159" i="32"/>
  <c r="L159" i="32"/>
  <c r="F229" i="57"/>
  <c r="C229" i="57"/>
  <c r="H229" i="57"/>
  <c r="K229" i="57"/>
  <c r="E229" i="57"/>
  <c r="G229" i="57"/>
  <c r="D229" i="57"/>
  <c r="J229" i="57"/>
  <c r="I229" i="57"/>
  <c r="AN228" i="55" a="1"/>
  <c r="AN228" i="55" s="1"/>
  <c r="B230" i="57" s="1"/>
  <c r="AR214" i="67" a="1"/>
  <c r="AR214" i="67" s="1"/>
  <c r="B215" i="69"/>
  <c r="L215" i="69" s="1"/>
  <c r="R212" i="69"/>
  <c r="S212" i="69" s="1"/>
  <c r="AE212" i="69"/>
  <c r="C214" i="69"/>
  <c r="P214" i="69" s="1"/>
  <c r="D213" i="69"/>
  <c r="E213" i="69" s="1"/>
  <c r="F213" i="69" s="1"/>
  <c r="G213" i="69" s="1"/>
  <c r="H213" i="69" s="1"/>
  <c r="I213" i="69" s="1"/>
  <c r="J213" i="69" s="1"/>
  <c r="K213" i="69" s="1"/>
  <c r="M213" i="69" s="1"/>
  <c r="AL159" i="11" a="1"/>
  <c r="AL159" i="11" s="1"/>
  <c r="E160" i="32" s="1"/>
  <c r="AP169" i="59" a="1"/>
  <c r="AP169" i="59" s="1"/>
  <c r="E170" i="50" s="1"/>
  <c r="AQ59" i="59" a="1"/>
  <c r="AQ59" i="59" s="1"/>
  <c r="AM44" i="11" a="1"/>
  <c r="AM44" i="11" s="1"/>
  <c r="Y212" i="69" l="1"/>
  <c r="AB212" i="69" s="1"/>
  <c r="AC212" i="69" s="1"/>
  <c r="AD212" i="69" s="1"/>
  <c r="AD158" i="32"/>
  <c r="AG158" i="32" s="1"/>
  <c r="AH158" i="32" s="1"/>
  <c r="AD168" i="50"/>
  <c r="AG168" i="50" s="1"/>
  <c r="X227" i="57"/>
  <c r="AA227" i="57" s="1"/>
  <c r="AG229" i="57"/>
  <c r="AA226" i="57"/>
  <c r="AE228" i="57"/>
  <c r="AF226" i="57"/>
  <c r="M230" i="53"/>
  <c r="AC230" i="53" s="1"/>
  <c r="O230" i="53"/>
  <c r="AP214" i="69"/>
  <c r="N214" i="69"/>
  <c r="U214" i="69" s="1"/>
  <c r="Q228" i="57"/>
  <c r="T228" i="57" s="1"/>
  <c r="AQ228" i="57"/>
  <c r="AD228" i="57"/>
  <c r="AJ228" i="57"/>
  <c r="R228" i="57"/>
  <c r="AC228" i="57"/>
  <c r="M229" i="57"/>
  <c r="AK229" i="57" s="1"/>
  <c r="Q169" i="50"/>
  <c r="P169" i="50" s="1"/>
  <c r="Q159" i="32"/>
  <c r="P159" i="32" s="1"/>
  <c r="N230" i="53"/>
  <c r="T160" i="32"/>
  <c r="O160" i="32"/>
  <c r="T170" i="50"/>
  <c r="O170" i="50"/>
  <c r="AA228" i="53"/>
  <c r="AB228" i="53"/>
  <c r="AP166" i="50"/>
  <c r="AM159" i="32"/>
  <c r="AJ168" i="50"/>
  <c r="C168" i="50"/>
  <c r="S169" i="50"/>
  <c r="Z169" i="50" s="1"/>
  <c r="AJ158" i="32"/>
  <c r="W158" i="32"/>
  <c r="X158" i="32" s="1"/>
  <c r="C158" i="32"/>
  <c r="S159" i="32"/>
  <c r="Z159" i="32" s="1"/>
  <c r="W168" i="50"/>
  <c r="X167" i="50"/>
  <c r="V168" i="50"/>
  <c r="V158" i="32"/>
  <c r="AF213" i="69"/>
  <c r="Q213" i="69"/>
  <c r="O230" i="57"/>
  <c r="P230" i="57"/>
  <c r="AC211" i="69"/>
  <c r="AD211" i="69" s="1"/>
  <c r="AH167" i="50"/>
  <c r="AI167" i="50" s="1"/>
  <c r="AO214" i="69"/>
  <c r="O215" i="69"/>
  <c r="AK170" i="50"/>
  <c r="AE229" i="53"/>
  <c r="AF228" i="53"/>
  <c r="AK160" i="32"/>
  <c r="AM169" i="50"/>
  <c r="AL157" i="32"/>
  <c r="AI156" i="32"/>
  <c r="AN156" i="32" s="1"/>
  <c r="R229" i="53"/>
  <c r="X229" i="53" s="1"/>
  <c r="AL167" i="50"/>
  <c r="AY213" i="69"/>
  <c r="L230" i="57"/>
  <c r="AH229" i="53"/>
  <c r="AT229" i="53"/>
  <c r="AG229" i="53"/>
  <c r="N230" i="57"/>
  <c r="AH213" i="69"/>
  <c r="AD229" i="53"/>
  <c r="Q229" i="53"/>
  <c r="C230" i="53"/>
  <c r="K230" i="53"/>
  <c r="L230" i="53"/>
  <c r="AK229" i="52" a="1"/>
  <c r="AK229" i="52" s="1"/>
  <c r="B231" i="53" s="1"/>
  <c r="G230" i="53"/>
  <c r="J230" i="53"/>
  <c r="E230" i="53"/>
  <c r="I230" i="53"/>
  <c r="F230" i="53"/>
  <c r="D230" i="53"/>
  <c r="H230" i="53"/>
  <c r="P230" i="53"/>
  <c r="A160" i="32"/>
  <c r="B160" i="32"/>
  <c r="R160" i="32" s="1"/>
  <c r="G170" i="50"/>
  <c r="B170" i="50"/>
  <c r="R170" i="50" s="1"/>
  <c r="A170" i="50"/>
  <c r="H170" i="50"/>
  <c r="J170" i="50"/>
  <c r="L170" i="50"/>
  <c r="I170" i="50"/>
  <c r="M170" i="50"/>
  <c r="N170" i="50"/>
  <c r="K170" i="50"/>
  <c r="F170" i="50"/>
  <c r="U170" i="50" s="1"/>
  <c r="H160" i="32"/>
  <c r="K160" i="32"/>
  <c r="L160" i="32"/>
  <c r="G160" i="32"/>
  <c r="F160" i="32"/>
  <c r="U160" i="32" s="1"/>
  <c r="I160" i="32"/>
  <c r="N160" i="32"/>
  <c r="M160" i="32"/>
  <c r="J160" i="32"/>
  <c r="J230" i="57"/>
  <c r="E230" i="57"/>
  <c r="F230" i="57"/>
  <c r="K230" i="57"/>
  <c r="G230" i="57"/>
  <c r="C230" i="57"/>
  <c r="H230" i="57"/>
  <c r="I230" i="57"/>
  <c r="D230" i="57"/>
  <c r="AN229" i="55" a="1"/>
  <c r="AN229" i="55" s="1"/>
  <c r="B231" i="57" s="1"/>
  <c r="AR215" i="67" a="1"/>
  <c r="AR215" i="67" s="1"/>
  <c r="B216" i="69"/>
  <c r="L216" i="69" s="1"/>
  <c r="AE213" i="69"/>
  <c r="R213" i="69"/>
  <c r="S213" i="69" s="1"/>
  <c r="Y213" i="69" s="1"/>
  <c r="D214" i="69"/>
  <c r="E214" i="69" s="1"/>
  <c r="F214" i="69" s="1"/>
  <c r="G214" i="69" s="1"/>
  <c r="H214" i="69" s="1"/>
  <c r="I214" i="69" s="1"/>
  <c r="J214" i="69" s="1"/>
  <c r="K214" i="69" s="1"/>
  <c r="M214" i="69" s="1"/>
  <c r="C215" i="69"/>
  <c r="P215" i="69" s="1"/>
  <c r="AL160" i="11" a="1"/>
  <c r="AL160" i="11" s="1"/>
  <c r="AP170" i="59" a="1"/>
  <c r="AP170" i="59" s="1"/>
  <c r="E171" i="50" s="1"/>
  <c r="AQ60" i="59" a="1"/>
  <c r="AQ60" i="59" s="1"/>
  <c r="AM45" i="11" a="1"/>
  <c r="AM45" i="11" s="1"/>
  <c r="AG212" i="69" l="1"/>
  <c r="AB213" i="69"/>
  <c r="AC213" i="69" s="1"/>
  <c r="AD213" i="69" s="1"/>
  <c r="AD159" i="32"/>
  <c r="AG159" i="32" s="1"/>
  <c r="AH159" i="32" s="1"/>
  <c r="AD169" i="50"/>
  <c r="AG169" i="50" s="1"/>
  <c r="AG230" i="57"/>
  <c r="X228" i="57"/>
  <c r="AB228" i="57" s="1"/>
  <c r="M231" i="53"/>
  <c r="AC231" i="53" s="1"/>
  <c r="O231" i="53"/>
  <c r="AP215" i="69"/>
  <c r="N215" i="69"/>
  <c r="U215" i="69" s="1"/>
  <c r="AF227" i="57"/>
  <c r="AB227" i="57"/>
  <c r="AD229" i="57"/>
  <c r="R229" i="57"/>
  <c r="Q229" i="57"/>
  <c r="T229" i="57" s="1"/>
  <c r="AQ229" i="57"/>
  <c r="AC229" i="57"/>
  <c r="AJ229" i="57"/>
  <c r="AE229" i="57"/>
  <c r="M230" i="57"/>
  <c r="AK230" i="57" s="1"/>
  <c r="Q170" i="50"/>
  <c r="P170" i="50" s="1"/>
  <c r="Q160" i="32"/>
  <c r="P160" i="32" s="1"/>
  <c r="N231" i="53"/>
  <c r="T171" i="50"/>
  <c r="O171" i="50"/>
  <c r="AA229" i="53"/>
  <c r="AB229" i="53"/>
  <c r="AP167" i="50"/>
  <c r="AM160" i="32"/>
  <c r="C169" i="50"/>
  <c r="AJ169" i="50"/>
  <c r="S170" i="50"/>
  <c r="Z170" i="50" s="1"/>
  <c r="C159" i="32"/>
  <c r="AJ159" i="32"/>
  <c r="W159" i="32"/>
  <c r="X159" i="32" s="1"/>
  <c r="S160" i="32"/>
  <c r="Z160" i="32" s="1"/>
  <c r="W169" i="50"/>
  <c r="X168" i="50"/>
  <c r="V169" i="50"/>
  <c r="V159" i="32"/>
  <c r="AF214" i="69"/>
  <c r="Q214" i="69"/>
  <c r="O231" i="57"/>
  <c r="P231" i="57"/>
  <c r="AH168" i="50"/>
  <c r="AI168" i="50" s="1"/>
  <c r="AG213" i="69"/>
  <c r="O216" i="69"/>
  <c r="AO215" i="69"/>
  <c r="AK171" i="50"/>
  <c r="AF229" i="53"/>
  <c r="AE230" i="53"/>
  <c r="AM170" i="50"/>
  <c r="AL158" i="32"/>
  <c r="R230" i="53"/>
  <c r="X230" i="53" s="1"/>
  <c r="AL168" i="50"/>
  <c r="AI157" i="32"/>
  <c r="AN157" i="32" s="1"/>
  <c r="AY214" i="69"/>
  <c r="L231" i="57"/>
  <c r="AH230" i="53"/>
  <c r="AT230" i="53"/>
  <c r="AG230" i="53"/>
  <c r="N231" i="57"/>
  <c r="E231" i="53"/>
  <c r="AH214" i="69"/>
  <c r="AD230" i="53"/>
  <c r="Q230" i="53"/>
  <c r="D231" i="53"/>
  <c r="H231" i="53"/>
  <c r="C231" i="53"/>
  <c r="F231" i="53"/>
  <c r="AK230" i="52" a="1"/>
  <c r="AK230" i="52" s="1"/>
  <c r="B232" i="53" s="1"/>
  <c r="L231" i="53"/>
  <c r="G231" i="53"/>
  <c r="I231" i="53"/>
  <c r="K231" i="53"/>
  <c r="J231" i="53"/>
  <c r="P231" i="53"/>
  <c r="I171" i="50"/>
  <c r="H171" i="50"/>
  <c r="F171" i="50"/>
  <c r="U171" i="50" s="1"/>
  <c r="L171" i="50"/>
  <c r="N171" i="50"/>
  <c r="M171" i="50"/>
  <c r="B171" i="50"/>
  <c r="R171" i="50" s="1"/>
  <c r="G171" i="50"/>
  <c r="J171" i="50"/>
  <c r="K171" i="50"/>
  <c r="A171" i="50"/>
  <c r="J231" i="57"/>
  <c r="G231" i="57"/>
  <c r="D231" i="57"/>
  <c r="K231" i="57"/>
  <c r="F231" i="57"/>
  <c r="H231" i="57"/>
  <c r="C231" i="57"/>
  <c r="E231" i="57"/>
  <c r="I231" i="57"/>
  <c r="E161" i="32"/>
  <c r="AN230" i="55" a="1"/>
  <c r="AN230" i="55" s="1"/>
  <c r="B232" i="57" s="1"/>
  <c r="AR216" i="67" a="1"/>
  <c r="AR216" i="67" s="1"/>
  <c r="B217" i="69"/>
  <c r="L217" i="69" s="1"/>
  <c r="C216" i="69"/>
  <c r="P216" i="69" s="1"/>
  <c r="D215" i="69"/>
  <c r="E215" i="69" s="1"/>
  <c r="F215" i="69" s="1"/>
  <c r="G215" i="69" s="1"/>
  <c r="H215" i="69" s="1"/>
  <c r="I215" i="69" s="1"/>
  <c r="J215" i="69" s="1"/>
  <c r="K215" i="69" s="1"/>
  <c r="M215" i="69" s="1"/>
  <c r="AE214" i="69"/>
  <c r="R214" i="69"/>
  <c r="S214" i="69" s="1"/>
  <c r="Y214" i="69" s="1"/>
  <c r="AL161" i="11" a="1"/>
  <c r="AL161" i="11" s="1"/>
  <c r="E162" i="32" s="1"/>
  <c r="AP171" i="59" a="1"/>
  <c r="AP171" i="59" s="1"/>
  <c r="E172" i="50" s="1"/>
  <c r="AQ61" i="59" a="1"/>
  <c r="AQ61" i="59" s="1"/>
  <c r="AM46" i="11" a="1"/>
  <c r="AM46" i="11" s="1"/>
  <c r="X229" i="57" l="1"/>
  <c r="AA229" i="57" s="1"/>
  <c r="AB214" i="69"/>
  <c r="AC214" i="69" s="1"/>
  <c r="AD214" i="69" s="1"/>
  <c r="AD160" i="32"/>
  <c r="AG160" i="32" s="1"/>
  <c r="AH160" i="32" s="1"/>
  <c r="AD170" i="50"/>
  <c r="AG170" i="50" s="1"/>
  <c r="AG231" i="57"/>
  <c r="M232" i="53"/>
  <c r="AC232" i="53" s="1"/>
  <c r="O232" i="53"/>
  <c r="AP216" i="69"/>
  <c r="N216" i="69"/>
  <c r="U216" i="69" s="1"/>
  <c r="AA228" i="57"/>
  <c r="AF228" i="57"/>
  <c r="AE230" i="57"/>
  <c r="AQ230" i="57"/>
  <c r="AD230" i="57"/>
  <c r="AJ230" i="57"/>
  <c r="R230" i="57"/>
  <c r="AC230" i="57"/>
  <c r="Q230" i="57"/>
  <c r="T230" i="57" s="1"/>
  <c r="M231" i="57"/>
  <c r="AK231" i="57" s="1"/>
  <c r="Q171" i="50"/>
  <c r="P171" i="50" s="1"/>
  <c r="N232" i="53"/>
  <c r="T162" i="32"/>
  <c r="O162" i="32"/>
  <c r="T161" i="32"/>
  <c r="O161" i="32"/>
  <c r="T172" i="50"/>
  <c r="O172" i="50"/>
  <c r="AA230" i="53"/>
  <c r="AB230" i="53"/>
  <c r="AP168" i="50"/>
  <c r="C170" i="50"/>
  <c r="AJ170" i="50"/>
  <c r="S171" i="50"/>
  <c r="Z171" i="50" s="1"/>
  <c r="AJ160" i="32"/>
  <c r="W160" i="32"/>
  <c r="X160" i="32" s="1"/>
  <c r="C160" i="32"/>
  <c r="W170" i="50"/>
  <c r="X169" i="50"/>
  <c r="V170" i="50"/>
  <c r="V160" i="32"/>
  <c r="AF215" i="69"/>
  <c r="Q215" i="69"/>
  <c r="O232" i="57"/>
  <c r="P232" i="57"/>
  <c r="AH169" i="50"/>
  <c r="AI169" i="50" s="1"/>
  <c r="AG214" i="69"/>
  <c r="AO216" i="69"/>
  <c r="O217" i="69"/>
  <c r="AK172" i="50"/>
  <c r="AF230" i="53"/>
  <c r="AE231" i="53"/>
  <c r="AK161" i="32"/>
  <c r="AK162" i="32"/>
  <c r="AM171" i="50"/>
  <c r="AL159" i="32"/>
  <c r="AI158" i="32"/>
  <c r="AN158" i="32" s="1"/>
  <c r="R231" i="53"/>
  <c r="X231" i="53" s="1"/>
  <c r="AL169" i="50"/>
  <c r="AY215" i="69"/>
  <c r="L232" i="57"/>
  <c r="AH231" i="53"/>
  <c r="AT231" i="53"/>
  <c r="AG231" i="53"/>
  <c r="N232" i="57"/>
  <c r="H232" i="53"/>
  <c r="AH215" i="69"/>
  <c r="AD231" i="53"/>
  <c r="Q231" i="53"/>
  <c r="F232" i="53"/>
  <c r="P232" i="53"/>
  <c r="L232" i="53"/>
  <c r="I232" i="53"/>
  <c r="D232" i="53"/>
  <c r="K232" i="53"/>
  <c r="E232" i="53"/>
  <c r="AK231" i="52" a="1"/>
  <c r="AK231" i="52" s="1"/>
  <c r="B233" i="53" s="1"/>
  <c r="J232" i="53"/>
  <c r="G232" i="53"/>
  <c r="C232" i="53"/>
  <c r="A162" i="32"/>
  <c r="B162" i="32"/>
  <c r="R162" i="32" s="1"/>
  <c r="A161" i="32"/>
  <c r="B161" i="32"/>
  <c r="R161" i="32" s="1"/>
  <c r="L172" i="50"/>
  <c r="N172" i="50"/>
  <c r="F172" i="50"/>
  <c r="U172" i="50" s="1"/>
  <c r="G172" i="50"/>
  <c r="I172" i="50"/>
  <c r="H172" i="50"/>
  <c r="K172" i="50"/>
  <c r="J172" i="50"/>
  <c r="M172" i="50"/>
  <c r="A172" i="50"/>
  <c r="B172" i="50"/>
  <c r="R172" i="50" s="1"/>
  <c r="F161" i="32"/>
  <c r="U161" i="32" s="1"/>
  <c r="N161" i="32"/>
  <c r="I161" i="32"/>
  <c r="J161" i="32"/>
  <c r="M161" i="32"/>
  <c r="G161" i="32"/>
  <c r="L161" i="32"/>
  <c r="H161" i="32"/>
  <c r="K161" i="32"/>
  <c r="L162" i="32"/>
  <c r="G162" i="32"/>
  <c r="H162" i="32"/>
  <c r="K162" i="32"/>
  <c r="M162" i="32"/>
  <c r="J162" i="32"/>
  <c r="F162" i="32"/>
  <c r="U162" i="32" s="1"/>
  <c r="I162" i="32"/>
  <c r="N162" i="32"/>
  <c r="I232" i="57"/>
  <c r="F232" i="57"/>
  <c r="D232" i="57"/>
  <c r="C232" i="57"/>
  <c r="J232" i="57"/>
  <c r="K232" i="57"/>
  <c r="E232" i="57"/>
  <c r="G232" i="57"/>
  <c r="H232" i="57"/>
  <c r="AN231" i="55" a="1"/>
  <c r="AN231" i="55" s="1"/>
  <c r="B233" i="57" s="1"/>
  <c r="AR217" i="67" a="1"/>
  <c r="AR217" i="67" s="1"/>
  <c r="B218" i="69"/>
  <c r="L218" i="69" s="1"/>
  <c r="D216" i="69"/>
  <c r="E216" i="69" s="1"/>
  <c r="F216" i="69" s="1"/>
  <c r="G216" i="69" s="1"/>
  <c r="H216" i="69" s="1"/>
  <c r="I216" i="69" s="1"/>
  <c r="J216" i="69" s="1"/>
  <c r="K216" i="69" s="1"/>
  <c r="M216" i="69" s="1"/>
  <c r="AE215" i="69"/>
  <c r="R215" i="69"/>
  <c r="S215" i="69" s="1"/>
  <c r="Y215" i="69" s="1"/>
  <c r="C217" i="69"/>
  <c r="P217" i="69" s="1"/>
  <c r="AL162" i="11" a="1"/>
  <c r="AL162" i="11" s="1"/>
  <c r="E163" i="32" s="1"/>
  <c r="AP172" i="59" a="1"/>
  <c r="AP172" i="59" s="1"/>
  <c r="E173" i="50" s="1"/>
  <c r="AQ62" i="59" a="1"/>
  <c r="AQ62" i="59" s="1"/>
  <c r="AM47" i="11" a="1"/>
  <c r="AM47" i="11" s="1"/>
  <c r="X230" i="57" l="1"/>
  <c r="AA230" i="57" s="1"/>
  <c r="AB215" i="69"/>
  <c r="AC215" i="69" s="1"/>
  <c r="AD215" i="69" s="1"/>
  <c r="AD171" i="50"/>
  <c r="AG171" i="50" s="1"/>
  <c r="AG232" i="57"/>
  <c r="AB229" i="57"/>
  <c r="AF229" i="57"/>
  <c r="M233" i="53"/>
  <c r="AC233" i="53" s="1"/>
  <c r="O233" i="53"/>
  <c r="AP217" i="69"/>
  <c r="N217" i="69"/>
  <c r="U217" i="69" s="1"/>
  <c r="R231" i="57"/>
  <c r="AQ231" i="57"/>
  <c r="AC231" i="57"/>
  <c r="Q231" i="57"/>
  <c r="T231" i="57" s="1"/>
  <c r="AD231" i="57"/>
  <c r="AJ231" i="57"/>
  <c r="AE231" i="57"/>
  <c r="M232" i="57"/>
  <c r="AK232" i="57" s="1"/>
  <c r="Q172" i="50"/>
  <c r="P172" i="50" s="1"/>
  <c r="Q161" i="32"/>
  <c r="P161" i="32" s="1"/>
  <c r="Q162" i="32"/>
  <c r="P162" i="32" s="1"/>
  <c r="N233" i="53"/>
  <c r="T163" i="32"/>
  <c r="O163" i="32"/>
  <c r="T173" i="50"/>
  <c r="O173" i="50"/>
  <c r="AA231" i="53"/>
  <c r="AB231" i="53"/>
  <c r="AP169" i="50"/>
  <c r="AM161" i="32"/>
  <c r="AM162" i="32"/>
  <c r="AJ171" i="50"/>
  <c r="C171" i="50"/>
  <c r="S172" i="50"/>
  <c r="Z172" i="50" s="1"/>
  <c r="S161" i="32"/>
  <c r="Z161" i="32" s="1"/>
  <c r="S162" i="32"/>
  <c r="Z162" i="32" s="1"/>
  <c r="W171" i="50"/>
  <c r="X170" i="50"/>
  <c r="V171" i="50"/>
  <c r="AF216" i="69"/>
  <c r="Q216" i="69"/>
  <c r="O233" i="57"/>
  <c r="P233" i="57"/>
  <c r="AH170" i="50"/>
  <c r="AI170" i="50" s="1"/>
  <c r="O218" i="69"/>
  <c r="AO217" i="69"/>
  <c r="AG215" i="69"/>
  <c r="AK173" i="50"/>
  <c r="AE232" i="53"/>
  <c r="AF231" i="53"/>
  <c r="AK163" i="32"/>
  <c r="AM172" i="50"/>
  <c r="AL160" i="32"/>
  <c r="AI159" i="32"/>
  <c r="AN159" i="32" s="1"/>
  <c r="R232" i="53"/>
  <c r="X232" i="53" s="1"/>
  <c r="AL170" i="50"/>
  <c r="AY216" i="69"/>
  <c r="L233" i="57"/>
  <c r="AH232" i="53"/>
  <c r="AT232" i="53"/>
  <c r="AG232" i="53"/>
  <c r="N233" i="57"/>
  <c r="AH216" i="69"/>
  <c r="Q232" i="53"/>
  <c r="AD232" i="53"/>
  <c r="AK232" i="52" a="1"/>
  <c r="AK232" i="52" s="1"/>
  <c r="B234" i="53" s="1"/>
  <c r="E233" i="53"/>
  <c r="J233" i="53"/>
  <c r="H233" i="53"/>
  <c r="L233" i="53"/>
  <c r="F233" i="53"/>
  <c r="D233" i="53"/>
  <c r="K233" i="53"/>
  <c r="C233" i="53"/>
  <c r="I233" i="53"/>
  <c r="G233" i="53"/>
  <c r="P233" i="53"/>
  <c r="A163" i="32"/>
  <c r="B163" i="32"/>
  <c r="R163" i="32" s="1"/>
  <c r="F173" i="50"/>
  <c r="U173" i="50" s="1"/>
  <c r="M173" i="50"/>
  <c r="J173" i="50"/>
  <c r="K173" i="50"/>
  <c r="B173" i="50"/>
  <c r="R173" i="50" s="1"/>
  <c r="L173" i="50"/>
  <c r="H173" i="50"/>
  <c r="A173" i="50"/>
  <c r="G173" i="50"/>
  <c r="I173" i="50"/>
  <c r="N173" i="50"/>
  <c r="J163" i="32"/>
  <c r="M163" i="32"/>
  <c r="F163" i="32"/>
  <c r="U163" i="32" s="1"/>
  <c r="N163" i="32"/>
  <c r="I163" i="32"/>
  <c r="H163" i="32"/>
  <c r="K163" i="32"/>
  <c r="G163" i="32"/>
  <c r="L163" i="32"/>
  <c r="K233" i="57"/>
  <c r="J233" i="57"/>
  <c r="H233" i="57"/>
  <c r="F233" i="57"/>
  <c r="D233" i="57"/>
  <c r="C233" i="57"/>
  <c r="I233" i="57"/>
  <c r="E233" i="57"/>
  <c r="G233" i="57"/>
  <c r="AN232" i="55" a="1"/>
  <c r="AN232" i="55" s="1"/>
  <c r="B234" i="57" s="1"/>
  <c r="R216" i="69"/>
  <c r="S216" i="69" s="1"/>
  <c r="Y216" i="69" s="1"/>
  <c r="AE216" i="69"/>
  <c r="C218" i="69"/>
  <c r="P218" i="69" s="1"/>
  <c r="D217" i="69"/>
  <c r="E217" i="69" s="1"/>
  <c r="F217" i="69" s="1"/>
  <c r="G217" i="69" s="1"/>
  <c r="H217" i="69" s="1"/>
  <c r="I217" i="69" s="1"/>
  <c r="J217" i="69" s="1"/>
  <c r="K217" i="69" s="1"/>
  <c r="M217" i="69" s="1"/>
  <c r="AR218" i="67" a="1"/>
  <c r="AR218" i="67" s="1"/>
  <c r="B219" i="69"/>
  <c r="L219" i="69" s="1"/>
  <c r="AL163" i="11" a="1"/>
  <c r="AL163" i="11" s="1"/>
  <c r="E164" i="32" s="1"/>
  <c r="AP173" i="59" a="1"/>
  <c r="AP173" i="59" s="1"/>
  <c r="E174" i="50" s="1"/>
  <c r="AQ63" i="59" a="1"/>
  <c r="AQ63" i="59" s="1"/>
  <c r="AM48" i="11" a="1"/>
  <c r="AM48" i="11" s="1"/>
  <c r="AD161" i="32" l="1"/>
  <c r="AG161" i="32" s="1"/>
  <c r="AH161" i="32" s="1"/>
  <c r="AD162" i="32"/>
  <c r="AG162" i="32" s="1"/>
  <c r="AH162" i="32" s="1"/>
  <c r="AD172" i="50"/>
  <c r="AG172" i="50" s="1"/>
  <c r="X231" i="57"/>
  <c r="AB231" i="57" s="1"/>
  <c r="AG233" i="57"/>
  <c r="M234" i="53"/>
  <c r="AC234" i="53" s="1"/>
  <c r="O234" i="53"/>
  <c r="AP218" i="69"/>
  <c r="N218" i="69"/>
  <c r="U218" i="69" s="1"/>
  <c r="AF230" i="57"/>
  <c r="AB230" i="57"/>
  <c r="AC232" i="57"/>
  <c r="AQ232" i="57"/>
  <c r="AD232" i="57"/>
  <c r="AJ232" i="57"/>
  <c r="R232" i="57"/>
  <c r="AE232" i="57"/>
  <c r="Q232" i="57"/>
  <c r="T232" i="57" s="1"/>
  <c r="M233" i="57"/>
  <c r="AK233" i="57" s="1"/>
  <c r="Q173" i="50"/>
  <c r="P173" i="50" s="1"/>
  <c r="Q163" i="32"/>
  <c r="P163" i="32" s="1"/>
  <c r="N234" i="53"/>
  <c r="T164" i="32"/>
  <c r="O164" i="32"/>
  <c r="T174" i="50"/>
  <c r="O174" i="50"/>
  <c r="AA232" i="53"/>
  <c r="AB232" i="53"/>
  <c r="AP170" i="50"/>
  <c r="AM163" i="32"/>
  <c r="AJ172" i="50"/>
  <c r="C172" i="50"/>
  <c r="S173" i="50"/>
  <c r="Z173" i="50" s="1"/>
  <c r="C162" i="32"/>
  <c r="AJ162" i="32"/>
  <c r="W162" i="32"/>
  <c r="X162" i="32" s="1"/>
  <c r="W161" i="32"/>
  <c r="X161" i="32" s="1"/>
  <c r="C161" i="32"/>
  <c r="AJ161" i="32"/>
  <c r="S163" i="32"/>
  <c r="Z163" i="32" s="1"/>
  <c r="W172" i="50"/>
  <c r="X171" i="50"/>
  <c r="V172" i="50"/>
  <c r="V161" i="32"/>
  <c r="V162" i="32"/>
  <c r="AF217" i="69"/>
  <c r="Q217" i="69"/>
  <c r="O234" i="57"/>
  <c r="P234" i="57"/>
  <c r="AH171" i="50"/>
  <c r="AI171" i="50" s="1"/>
  <c r="AB216" i="69"/>
  <c r="AG216" i="69"/>
  <c r="O219" i="69"/>
  <c r="AO218" i="69"/>
  <c r="AK174" i="50"/>
  <c r="AE233" i="53"/>
  <c r="AF232" i="53"/>
  <c r="AK164" i="32"/>
  <c r="AM173" i="50"/>
  <c r="AI160" i="32"/>
  <c r="AN160" i="32" s="1"/>
  <c r="R233" i="53"/>
  <c r="X233" i="53" s="1"/>
  <c r="AL171" i="50"/>
  <c r="AY217" i="69"/>
  <c r="L234" i="57"/>
  <c r="AG233" i="53"/>
  <c r="Q233" i="53"/>
  <c r="AH233" i="53"/>
  <c r="AT233" i="53"/>
  <c r="AD233" i="53"/>
  <c r="N234" i="57"/>
  <c r="J234" i="53"/>
  <c r="AH217" i="69"/>
  <c r="I234" i="53"/>
  <c r="H234" i="53"/>
  <c r="P234" i="53"/>
  <c r="E234" i="53"/>
  <c r="F234" i="53"/>
  <c r="AK233" i="52" a="1"/>
  <c r="AK233" i="52" s="1"/>
  <c r="B235" i="53" s="1"/>
  <c r="K234" i="53"/>
  <c r="D234" i="53"/>
  <c r="L234" i="53"/>
  <c r="G234" i="53"/>
  <c r="C234" i="53"/>
  <c r="A164" i="32"/>
  <c r="B164" i="32"/>
  <c r="R164" i="32" s="1"/>
  <c r="M174" i="50"/>
  <c r="A174" i="50"/>
  <c r="K174" i="50"/>
  <c r="G174" i="50"/>
  <c r="N174" i="50"/>
  <c r="I174" i="50"/>
  <c r="L174" i="50"/>
  <c r="H174" i="50"/>
  <c r="B174" i="50"/>
  <c r="R174" i="50" s="1"/>
  <c r="J174" i="50"/>
  <c r="F174" i="50"/>
  <c r="U174" i="50" s="1"/>
  <c r="H164" i="32"/>
  <c r="K164" i="32"/>
  <c r="L164" i="32"/>
  <c r="G164" i="32"/>
  <c r="I164" i="32"/>
  <c r="N164" i="32"/>
  <c r="F164" i="32"/>
  <c r="U164" i="32" s="1"/>
  <c r="J164" i="32"/>
  <c r="M164" i="32"/>
  <c r="E234" i="57"/>
  <c r="J234" i="57"/>
  <c r="H234" i="57"/>
  <c r="G234" i="57"/>
  <c r="C234" i="57"/>
  <c r="F234" i="57"/>
  <c r="D234" i="57"/>
  <c r="K234" i="57"/>
  <c r="I234" i="57"/>
  <c r="AN233" i="55" a="1"/>
  <c r="AN233" i="55" s="1"/>
  <c r="B235" i="57" s="1"/>
  <c r="R217" i="69"/>
  <c r="S217" i="69" s="1"/>
  <c r="Y217" i="69" s="1"/>
  <c r="AE217" i="69"/>
  <c r="D218" i="69"/>
  <c r="E218" i="69" s="1"/>
  <c r="F218" i="69" s="1"/>
  <c r="G218" i="69" s="1"/>
  <c r="H218" i="69" s="1"/>
  <c r="I218" i="69" s="1"/>
  <c r="J218" i="69" s="1"/>
  <c r="K218" i="69" s="1"/>
  <c r="M218" i="69" s="1"/>
  <c r="AR219" i="67" a="1"/>
  <c r="AR219" i="67" s="1"/>
  <c r="B220" i="69"/>
  <c r="L220" i="69" s="1"/>
  <c r="C219" i="69"/>
  <c r="P219" i="69" s="1"/>
  <c r="AL164" i="11" a="1"/>
  <c r="AL164" i="11" s="1"/>
  <c r="E165" i="32" s="1"/>
  <c r="AP174" i="59" a="1"/>
  <c r="AP174" i="59" s="1"/>
  <c r="E175" i="50" s="1"/>
  <c r="AQ64" i="59" a="1"/>
  <c r="AQ64" i="59" s="1"/>
  <c r="AM49" i="11" a="1"/>
  <c r="AM49" i="11" s="1"/>
  <c r="AC233" i="57" l="1"/>
  <c r="AD163" i="32"/>
  <c r="AG163" i="32" s="1"/>
  <c r="AH163" i="32" s="1"/>
  <c r="AD173" i="50"/>
  <c r="AG173" i="50" s="1"/>
  <c r="AG234" i="57"/>
  <c r="X232" i="57"/>
  <c r="AB232" i="57" s="1"/>
  <c r="Q233" i="57"/>
  <c r="T233" i="57" s="1"/>
  <c r="AD233" i="57"/>
  <c r="R233" i="57"/>
  <c r="AA231" i="57"/>
  <c r="AF231" i="57"/>
  <c r="M235" i="53"/>
  <c r="AC235" i="53" s="1"/>
  <c r="O235" i="53"/>
  <c r="AP219" i="69"/>
  <c r="N219" i="69"/>
  <c r="U219" i="69" s="1"/>
  <c r="AQ233" i="57"/>
  <c r="AE233" i="57"/>
  <c r="AJ233" i="57"/>
  <c r="M234" i="57"/>
  <c r="AK234" i="57" s="1"/>
  <c r="Q174" i="50"/>
  <c r="P174" i="50" s="1"/>
  <c r="Q164" i="32"/>
  <c r="P164" i="32" s="1"/>
  <c r="N235" i="53"/>
  <c r="T165" i="32"/>
  <c r="O165" i="32"/>
  <c r="T175" i="50"/>
  <c r="O175" i="50"/>
  <c r="AA233" i="53"/>
  <c r="AB233" i="53"/>
  <c r="AP171" i="50"/>
  <c r="AM164" i="32"/>
  <c r="AJ173" i="50"/>
  <c r="C173" i="50"/>
  <c r="S174" i="50"/>
  <c r="Z174" i="50" s="1"/>
  <c r="C163" i="32"/>
  <c r="AJ163" i="32"/>
  <c r="W163" i="32"/>
  <c r="X163" i="32" s="1"/>
  <c r="S164" i="32"/>
  <c r="AD164" i="32" s="1"/>
  <c r="W173" i="50"/>
  <c r="X172" i="50"/>
  <c r="V173" i="50"/>
  <c r="V163" i="32"/>
  <c r="AF218" i="69"/>
  <c r="Q218" i="69"/>
  <c r="O235" i="57"/>
  <c r="P235" i="57"/>
  <c r="AC216" i="69"/>
  <c r="AD216" i="69" s="1"/>
  <c r="AH172" i="50"/>
  <c r="AI172" i="50" s="1"/>
  <c r="AB217" i="69"/>
  <c r="AG217" i="69"/>
  <c r="AO219" i="69"/>
  <c r="O220" i="69"/>
  <c r="AK175" i="50"/>
  <c r="AE234" i="53"/>
  <c r="AF233" i="53"/>
  <c r="AK165" i="32"/>
  <c r="AM174" i="50"/>
  <c r="AL161" i="32"/>
  <c r="AL162" i="32"/>
  <c r="R234" i="53"/>
  <c r="X234" i="53" s="1"/>
  <c r="AL172" i="50"/>
  <c r="AY218" i="69"/>
  <c r="L235" i="57"/>
  <c r="AH234" i="53"/>
  <c r="AT234" i="53"/>
  <c r="AG234" i="53"/>
  <c r="N235" i="57"/>
  <c r="AH218" i="69"/>
  <c r="AD234" i="53"/>
  <c r="Q234" i="53"/>
  <c r="L235" i="53"/>
  <c r="C235" i="53"/>
  <c r="D235" i="53"/>
  <c r="I235" i="53"/>
  <c r="AK234" i="52" a="1"/>
  <c r="AK234" i="52" s="1"/>
  <c r="B236" i="53" s="1"/>
  <c r="H235" i="53"/>
  <c r="G235" i="53"/>
  <c r="K235" i="53"/>
  <c r="F235" i="53"/>
  <c r="P235" i="53"/>
  <c r="J235" i="53"/>
  <c r="E235" i="53"/>
  <c r="A165" i="32"/>
  <c r="B165" i="32"/>
  <c r="R165" i="32" s="1"/>
  <c r="F175" i="50"/>
  <c r="U175" i="50" s="1"/>
  <c r="L175" i="50"/>
  <c r="A175" i="50"/>
  <c r="K175" i="50"/>
  <c r="H175" i="50"/>
  <c r="M175" i="50"/>
  <c r="I175" i="50"/>
  <c r="J175" i="50"/>
  <c r="B175" i="50"/>
  <c r="R175" i="50" s="1"/>
  <c r="G175" i="50"/>
  <c r="N175" i="50"/>
  <c r="F165" i="32"/>
  <c r="U165" i="32" s="1"/>
  <c r="K165" i="32"/>
  <c r="N165" i="32"/>
  <c r="G165" i="32"/>
  <c r="J165" i="32"/>
  <c r="H165" i="32"/>
  <c r="I165" i="32"/>
  <c r="L165" i="32"/>
  <c r="M165" i="32"/>
  <c r="J235" i="57"/>
  <c r="D235" i="57"/>
  <c r="K235" i="57"/>
  <c r="F235" i="57"/>
  <c r="I235" i="57"/>
  <c r="E235" i="57"/>
  <c r="C235" i="57"/>
  <c r="G235" i="57"/>
  <c r="H235" i="57"/>
  <c r="AN234" i="55" a="1"/>
  <c r="AN234" i="55" s="1"/>
  <c r="B236" i="57" s="1"/>
  <c r="AR220" i="67" a="1"/>
  <c r="AR220" i="67" s="1"/>
  <c r="B221" i="69"/>
  <c r="L221" i="69" s="1"/>
  <c r="AE218" i="69"/>
  <c r="R218" i="69"/>
  <c r="S218" i="69" s="1"/>
  <c r="Y218" i="69" s="1"/>
  <c r="C220" i="69"/>
  <c r="P220" i="69" s="1"/>
  <c r="D219" i="69"/>
  <c r="E219" i="69" s="1"/>
  <c r="F219" i="69" s="1"/>
  <c r="G219" i="69" s="1"/>
  <c r="H219" i="69" s="1"/>
  <c r="I219" i="69" s="1"/>
  <c r="J219" i="69" s="1"/>
  <c r="K219" i="69" s="1"/>
  <c r="M219" i="69" s="1"/>
  <c r="AL165" i="11" a="1"/>
  <c r="AL165" i="11" s="1"/>
  <c r="E166" i="32" s="1"/>
  <c r="AP175" i="59" a="1"/>
  <c r="AP175" i="59" s="1"/>
  <c r="E176" i="50" s="1"/>
  <c r="AQ65" i="59" a="1"/>
  <c r="AQ65" i="59" s="1"/>
  <c r="AM50" i="11" a="1"/>
  <c r="AM50" i="11" s="1"/>
  <c r="AE234" i="57" l="1"/>
  <c r="AD174" i="50"/>
  <c r="AG174" i="50" s="1"/>
  <c r="AG235" i="57"/>
  <c r="X233" i="57"/>
  <c r="AB233" i="57" s="1"/>
  <c r="Q234" i="57"/>
  <c r="T234" i="57" s="1"/>
  <c r="AF232" i="57"/>
  <c r="M236" i="53"/>
  <c r="AC236" i="53" s="1"/>
  <c r="O236" i="53"/>
  <c r="AP220" i="69"/>
  <c r="N220" i="69"/>
  <c r="U220" i="69" s="1"/>
  <c r="AA232" i="57"/>
  <c r="AJ234" i="57"/>
  <c r="AD234" i="57"/>
  <c r="R234" i="57"/>
  <c r="AQ234" i="57"/>
  <c r="AC234" i="57"/>
  <c r="M235" i="57"/>
  <c r="AK235" i="57" s="1"/>
  <c r="Q175" i="50"/>
  <c r="P175" i="50" s="1"/>
  <c r="Q165" i="32"/>
  <c r="P165" i="32" s="1"/>
  <c r="N236" i="53"/>
  <c r="T166" i="32"/>
  <c r="O166" i="32"/>
  <c r="T176" i="50"/>
  <c r="O176" i="50"/>
  <c r="AA234" i="53"/>
  <c r="AB234" i="53"/>
  <c r="AP172" i="50"/>
  <c r="C164" i="32"/>
  <c r="Z164" i="32"/>
  <c r="AM165" i="32"/>
  <c r="C174" i="50"/>
  <c r="AJ174" i="50"/>
  <c r="S175" i="50"/>
  <c r="Z175" i="50" s="1"/>
  <c r="W164" i="32"/>
  <c r="X164" i="32" s="1"/>
  <c r="S165" i="32"/>
  <c r="Z165" i="32" s="1"/>
  <c r="AJ164" i="32"/>
  <c r="W174" i="50"/>
  <c r="X173" i="50"/>
  <c r="V174" i="50"/>
  <c r="V164" i="32"/>
  <c r="AF219" i="69"/>
  <c r="Q219" i="69"/>
  <c r="O236" i="57"/>
  <c r="P236" i="57"/>
  <c r="AC217" i="69"/>
  <c r="AD217" i="69" s="1"/>
  <c r="AH173" i="50"/>
  <c r="AI173" i="50" s="1"/>
  <c r="AB218" i="69"/>
  <c r="AG218" i="69"/>
  <c r="AO220" i="69"/>
  <c r="O221" i="69"/>
  <c r="AK176" i="50"/>
  <c r="AE235" i="53"/>
  <c r="AF234" i="53"/>
  <c r="AK166" i="32"/>
  <c r="AG164" i="32"/>
  <c r="AH164" i="32" s="1"/>
  <c r="AM175" i="50"/>
  <c r="AL163" i="32"/>
  <c r="AI161" i="32"/>
  <c r="AN161" i="32" s="1"/>
  <c r="AI162" i="32"/>
  <c r="AN162" i="32" s="1"/>
  <c r="R235" i="53"/>
  <c r="X235" i="53" s="1"/>
  <c r="AL173" i="50"/>
  <c r="AY219" i="69"/>
  <c r="L236" i="57"/>
  <c r="AG235" i="53"/>
  <c r="AH235" i="53"/>
  <c r="AT235" i="53"/>
  <c r="Q235" i="53"/>
  <c r="AD235" i="53"/>
  <c r="N236" i="57"/>
  <c r="I236" i="53"/>
  <c r="AH219" i="69"/>
  <c r="C236" i="53"/>
  <c r="H236" i="53"/>
  <c r="E236" i="53"/>
  <c r="D236" i="53"/>
  <c r="K236" i="53"/>
  <c r="P236" i="53"/>
  <c r="AK235" i="52" a="1"/>
  <c r="AK235" i="52" s="1"/>
  <c r="B237" i="53" s="1"/>
  <c r="F236" i="53"/>
  <c r="G236" i="53"/>
  <c r="J236" i="53"/>
  <c r="L236" i="53"/>
  <c r="A166" i="32"/>
  <c r="B166" i="32"/>
  <c r="R166" i="32" s="1"/>
  <c r="G176" i="50"/>
  <c r="A176" i="50"/>
  <c r="I176" i="50"/>
  <c r="H176" i="50"/>
  <c r="N176" i="50"/>
  <c r="F176" i="50"/>
  <c r="U176" i="50" s="1"/>
  <c r="J176" i="50"/>
  <c r="K176" i="50"/>
  <c r="M176" i="50"/>
  <c r="B176" i="50"/>
  <c r="R176" i="50" s="1"/>
  <c r="L176" i="50"/>
  <c r="I166" i="32"/>
  <c r="L166" i="32"/>
  <c r="M166" i="32"/>
  <c r="H166" i="32"/>
  <c r="J166" i="32"/>
  <c r="K166" i="32"/>
  <c r="N166" i="32"/>
  <c r="F166" i="32"/>
  <c r="U166" i="32" s="1"/>
  <c r="G166" i="32"/>
  <c r="J236" i="57"/>
  <c r="I236" i="57"/>
  <c r="F236" i="57"/>
  <c r="E236" i="57"/>
  <c r="D236" i="57"/>
  <c r="H236" i="57"/>
  <c r="G236" i="57"/>
  <c r="C236" i="57"/>
  <c r="K236" i="57"/>
  <c r="AN235" i="55" a="1"/>
  <c r="AN235" i="55" s="1"/>
  <c r="B237" i="57" s="1"/>
  <c r="AR221" i="67" a="1"/>
  <c r="AR221" i="67" s="1"/>
  <c r="B222" i="69"/>
  <c r="L222" i="69" s="1"/>
  <c r="C221" i="69"/>
  <c r="P221" i="69" s="1"/>
  <c r="R219" i="69"/>
  <c r="S219" i="69" s="1"/>
  <c r="Y219" i="69" s="1"/>
  <c r="AE219" i="69"/>
  <c r="D220" i="69"/>
  <c r="E220" i="69" s="1"/>
  <c r="F220" i="69" s="1"/>
  <c r="G220" i="69" s="1"/>
  <c r="H220" i="69" s="1"/>
  <c r="I220" i="69" s="1"/>
  <c r="J220" i="69" s="1"/>
  <c r="K220" i="69" s="1"/>
  <c r="M220" i="69" s="1"/>
  <c r="AL166" i="11" a="1"/>
  <c r="AL166" i="11" s="1"/>
  <c r="E167" i="32" s="1"/>
  <c r="AP176" i="59" a="1"/>
  <c r="AP176" i="59" s="1"/>
  <c r="E177" i="50" s="1"/>
  <c r="AQ66" i="59" a="1"/>
  <c r="AQ66" i="59" s="1"/>
  <c r="AM51" i="11" a="1"/>
  <c r="AM51" i="11" s="1"/>
  <c r="AD165" i="32" l="1"/>
  <c r="AG165" i="32" s="1"/>
  <c r="AH165" i="32" s="1"/>
  <c r="AD175" i="50"/>
  <c r="AG175" i="50" s="1"/>
  <c r="AG236" i="57"/>
  <c r="X234" i="57"/>
  <c r="AA234" i="57" s="1"/>
  <c r="AA233" i="57"/>
  <c r="AF233" i="57"/>
  <c r="AD235" i="57"/>
  <c r="AQ235" i="57"/>
  <c r="AC235" i="57"/>
  <c r="AJ235" i="57"/>
  <c r="Q235" i="57"/>
  <c r="T235" i="57" s="1"/>
  <c r="R235" i="57"/>
  <c r="M237" i="53"/>
  <c r="AC237" i="53" s="1"/>
  <c r="O237" i="53"/>
  <c r="AP221" i="69"/>
  <c r="N221" i="69"/>
  <c r="U221" i="69" s="1"/>
  <c r="AE235" i="57"/>
  <c r="M236" i="57"/>
  <c r="AK236" i="57" s="1"/>
  <c r="Q176" i="50"/>
  <c r="P176" i="50" s="1"/>
  <c r="Q166" i="32"/>
  <c r="P166" i="32" s="1"/>
  <c r="N237" i="53"/>
  <c r="T167" i="32"/>
  <c r="O167" i="32"/>
  <c r="O177" i="50"/>
  <c r="T177" i="50"/>
  <c r="AA235" i="53"/>
  <c r="AB235" i="53"/>
  <c r="AP173" i="50"/>
  <c r="AM166" i="32"/>
  <c r="AJ175" i="50"/>
  <c r="C175" i="50"/>
  <c r="S176" i="50"/>
  <c r="Z176" i="50" s="1"/>
  <c r="C165" i="32"/>
  <c r="W165" i="32"/>
  <c r="X165" i="32" s="1"/>
  <c r="AJ165" i="32"/>
  <c r="S166" i="32"/>
  <c r="Z166" i="32" s="1"/>
  <c r="W175" i="50"/>
  <c r="X174" i="50"/>
  <c r="V175" i="50"/>
  <c r="V165" i="32"/>
  <c r="AF220" i="69"/>
  <c r="Q220" i="69"/>
  <c r="O237" i="57"/>
  <c r="P237" i="57"/>
  <c r="AC218" i="69"/>
  <c r="AD218" i="69" s="1"/>
  <c r="AH174" i="50"/>
  <c r="AI174" i="50" s="1"/>
  <c r="AB219" i="69"/>
  <c r="AG219" i="69"/>
  <c r="AO221" i="69"/>
  <c r="O222" i="69"/>
  <c r="AK177" i="50"/>
  <c r="AE236" i="53"/>
  <c r="AF235" i="53"/>
  <c r="AK167" i="32"/>
  <c r="AM176" i="50"/>
  <c r="AL164" i="32"/>
  <c r="AI163" i="32"/>
  <c r="AN163" i="32" s="1"/>
  <c r="R236" i="53"/>
  <c r="X236" i="53" s="1"/>
  <c r="AL174" i="50"/>
  <c r="AY220" i="69"/>
  <c r="L237" i="57"/>
  <c r="AH236" i="53"/>
  <c r="AT236" i="53"/>
  <c r="AG236" i="53"/>
  <c r="N237" i="57"/>
  <c r="AH220" i="69"/>
  <c r="Q236" i="53"/>
  <c r="AD236" i="53"/>
  <c r="J237" i="53"/>
  <c r="C237" i="53"/>
  <c r="K237" i="53"/>
  <c r="I237" i="53"/>
  <c r="F237" i="53"/>
  <c r="H237" i="53"/>
  <c r="AK236" i="52" a="1"/>
  <c r="AK236" i="52" s="1"/>
  <c r="B238" i="53" s="1"/>
  <c r="P237" i="53"/>
  <c r="D237" i="53"/>
  <c r="E237" i="53"/>
  <c r="L237" i="53"/>
  <c r="G237" i="53"/>
  <c r="A167" i="32"/>
  <c r="B167" i="32"/>
  <c r="R167" i="32" s="1"/>
  <c r="J177" i="50"/>
  <c r="L177" i="50"/>
  <c r="B177" i="50"/>
  <c r="R177" i="50" s="1"/>
  <c r="M177" i="50"/>
  <c r="N177" i="50"/>
  <c r="F177" i="50"/>
  <c r="U177" i="50" s="1"/>
  <c r="A177" i="50"/>
  <c r="I177" i="50"/>
  <c r="K177" i="50"/>
  <c r="H177" i="50"/>
  <c r="G177" i="50"/>
  <c r="G167" i="32"/>
  <c r="J167" i="32"/>
  <c r="K167" i="32"/>
  <c r="F167" i="32"/>
  <c r="U167" i="32" s="1"/>
  <c r="N167" i="32"/>
  <c r="H167" i="32"/>
  <c r="I167" i="32"/>
  <c r="L167" i="32"/>
  <c r="M167" i="32"/>
  <c r="K237" i="57"/>
  <c r="H237" i="57"/>
  <c r="C237" i="57"/>
  <c r="F237" i="57"/>
  <c r="I237" i="57"/>
  <c r="E237" i="57"/>
  <c r="D237" i="57"/>
  <c r="G237" i="57"/>
  <c r="J237" i="57"/>
  <c r="AN236" i="55" a="1"/>
  <c r="AN236" i="55" s="1"/>
  <c r="B238" i="57" s="1"/>
  <c r="AR222" i="67" a="1"/>
  <c r="AR222" i="67" s="1"/>
  <c r="B223" i="69"/>
  <c r="L223" i="69" s="1"/>
  <c r="D221" i="69"/>
  <c r="E221" i="69" s="1"/>
  <c r="F221" i="69" s="1"/>
  <c r="G221" i="69" s="1"/>
  <c r="H221" i="69" s="1"/>
  <c r="I221" i="69" s="1"/>
  <c r="J221" i="69" s="1"/>
  <c r="K221" i="69" s="1"/>
  <c r="M221" i="69" s="1"/>
  <c r="R220" i="69"/>
  <c r="S220" i="69" s="1"/>
  <c r="Y220" i="69" s="1"/>
  <c r="AE220" i="69"/>
  <c r="C222" i="69"/>
  <c r="P222" i="69" s="1"/>
  <c r="AL167" i="11" a="1"/>
  <c r="AL167" i="11" s="1"/>
  <c r="E168" i="32" s="1"/>
  <c r="AP177" i="59" a="1"/>
  <c r="AP177" i="59" s="1"/>
  <c r="E178" i="50" s="1"/>
  <c r="AQ67" i="59" a="1"/>
  <c r="AQ67" i="59" s="1"/>
  <c r="AM52" i="11" a="1"/>
  <c r="AM52" i="11" s="1"/>
  <c r="AD166" i="32" l="1"/>
  <c r="AG166" i="32" s="1"/>
  <c r="AH166" i="32" s="1"/>
  <c r="AD176" i="50"/>
  <c r="AG176" i="50" s="1"/>
  <c r="R236" i="57"/>
  <c r="AF234" i="57"/>
  <c r="AB234" i="57"/>
  <c r="AG237" i="57"/>
  <c r="X235" i="57"/>
  <c r="AB235" i="57" s="1"/>
  <c r="AD236" i="57"/>
  <c r="AJ236" i="57"/>
  <c r="Q236" i="57"/>
  <c r="T236" i="57" s="1"/>
  <c r="M238" i="53"/>
  <c r="AC238" i="53" s="1"/>
  <c r="O238" i="53"/>
  <c r="AP222" i="69"/>
  <c r="N222" i="69"/>
  <c r="U222" i="69" s="1"/>
  <c r="AQ236" i="57"/>
  <c r="AC236" i="57"/>
  <c r="AE236" i="57"/>
  <c r="M237" i="57"/>
  <c r="AK237" i="57" s="1"/>
  <c r="Q177" i="50"/>
  <c r="P177" i="50" s="1"/>
  <c r="Q167" i="32"/>
  <c r="P167" i="32" s="1"/>
  <c r="N238" i="53"/>
  <c r="T168" i="32"/>
  <c r="O168" i="32"/>
  <c r="T178" i="50"/>
  <c r="O178" i="50"/>
  <c r="AA236" i="53"/>
  <c r="AB236" i="53"/>
  <c r="AP174" i="50"/>
  <c r="AM167" i="32"/>
  <c r="C176" i="50"/>
  <c r="AJ176" i="50"/>
  <c r="S177" i="50"/>
  <c r="Z177" i="50" s="1"/>
  <c r="W166" i="32"/>
  <c r="X166" i="32" s="1"/>
  <c r="C166" i="32"/>
  <c r="AJ166" i="32"/>
  <c r="S167" i="32"/>
  <c r="Z167" i="32" s="1"/>
  <c r="W176" i="50"/>
  <c r="X175" i="50"/>
  <c r="V176" i="50"/>
  <c r="V166" i="32"/>
  <c r="AF221" i="69"/>
  <c r="Q221" i="69"/>
  <c r="O238" i="57"/>
  <c r="P238" i="57"/>
  <c r="AC219" i="69"/>
  <c r="AD219" i="69" s="1"/>
  <c r="AH175" i="50"/>
  <c r="AI175" i="50" s="1"/>
  <c r="AB220" i="69"/>
  <c r="AG220" i="69"/>
  <c r="O223" i="69"/>
  <c r="AO222" i="69"/>
  <c r="AK178" i="50"/>
  <c r="AE237" i="53"/>
  <c r="AF236" i="53"/>
  <c r="AK168" i="32"/>
  <c r="AM177" i="50"/>
  <c r="AL165" i="32"/>
  <c r="AI164" i="32"/>
  <c r="AN164" i="32" s="1"/>
  <c r="R237" i="53"/>
  <c r="X237" i="53" s="1"/>
  <c r="AL175" i="50"/>
  <c r="AY221" i="69"/>
  <c r="L238" i="57"/>
  <c r="AH237" i="53"/>
  <c r="AT237" i="53"/>
  <c r="AG237" i="53"/>
  <c r="N238" i="57"/>
  <c r="Q237" i="53"/>
  <c r="AD237" i="53"/>
  <c r="F238" i="53"/>
  <c r="AH221" i="69"/>
  <c r="L238" i="53"/>
  <c r="P238" i="53"/>
  <c r="I238" i="53"/>
  <c r="G238" i="53"/>
  <c r="K238" i="53"/>
  <c r="J238" i="53"/>
  <c r="AK237" i="52" a="1"/>
  <c r="AK237" i="52" s="1"/>
  <c r="B239" i="53" s="1"/>
  <c r="H238" i="53"/>
  <c r="D238" i="53"/>
  <c r="C238" i="53"/>
  <c r="E238" i="53"/>
  <c r="A168" i="32"/>
  <c r="B168" i="32"/>
  <c r="R168" i="32" s="1"/>
  <c r="A178" i="50"/>
  <c r="G178" i="50"/>
  <c r="H178" i="50"/>
  <c r="K178" i="50"/>
  <c r="M178" i="50"/>
  <c r="I178" i="50"/>
  <c r="L178" i="50"/>
  <c r="B178" i="50"/>
  <c r="R178" i="50" s="1"/>
  <c r="F178" i="50"/>
  <c r="U178" i="50" s="1"/>
  <c r="N178" i="50"/>
  <c r="J178" i="50"/>
  <c r="M168" i="32"/>
  <c r="H168" i="32"/>
  <c r="I168" i="32"/>
  <c r="L168" i="32"/>
  <c r="F168" i="32"/>
  <c r="U168" i="32" s="1"/>
  <c r="G168" i="32"/>
  <c r="J168" i="32"/>
  <c r="K168" i="32"/>
  <c r="N168" i="32"/>
  <c r="J238" i="57"/>
  <c r="E238" i="57"/>
  <c r="I238" i="57"/>
  <c r="D238" i="57"/>
  <c r="F238" i="57"/>
  <c r="K238" i="57"/>
  <c r="C238" i="57"/>
  <c r="G238" i="57"/>
  <c r="H238" i="57"/>
  <c r="AN237" i="55" a="1"/>
  <c r="AN237" i="55" s="1"/>
  <c r="B239" i="57" s="1"/>
  <c r="AR223" i="67" a="1"/>
  <c r="AR223" i="67" s="1"/>
  <c r="B224" i="69"/>
  <c r="L224" i="69" s="1"/>
  <c r="C223" i="69"/>
  <c r="P223" i="69" s="1"/>
  <c r="AE221" i="69"/>
  <c r="R221" i="69"/>
  <c r="S221" i="69" s="1"/>
  <c r="Y221" i="69" s="1"/>
  <c r="D222" i="69"/>
  <c r="E222" i="69" s="1"/>
  <c r="F222" i="69" s="1"/>
  <c r="G222" i="69" s="1"/>
  <c r="H222" i="69" s="1"/>
  <c r="I222" i="69" s="1"/>
  <c r="J222" i="69" s="1"/>
  <c r="K222" i="69" s="1"/>
  <c r="M222" i="69" s="1"/>
  <c r="AL168" i="11" a="1"/>
  <c r="AL168" i="11" s="1"/>
  <c r="E169" i="32" s="1"/>
  <c r="AP178" i="59" a="1"/>
  <c r="AP178" i="59" s="1"/>
  <c r="E179" i="50" s="1"/>
  <c r="AQ68" i="59" a="1"/>
  <c r="AQ68" i="59" s="1"/>
  <c r="AM53" i="11" a="1"/>
  <c r="AM53" i="11" s="1"/>
  <c r="X236" i="57" l="1"/>
  <c r="AA236" i="57" s="1"/>
  <c r="AD167" i="32"/>
  <c r="AG167" i="32" s="1"/>
  <c r="AH167" i="32" s="1"/>
  <c r="AD177" i="50"/>
  <c r="AG177" i="50" s="1"/>
  <c r="AG238" i="57"/>
  <c r="AF235" i="57"/>
  <c r="AA235" i="57"/>
  <c r="AE237" i="57"/>
  <c r="M239" i="53"/>
  <c r="AC239" i="53" s="1"/>
  <c r="O239" i="53"/>
  <c r="AP223" i="69"/>
  <c r="N223" i="69"/>
  <c r="U223" i="69" s="1"/>
  <c r="AJ237" i="57"/>
  <c r="Q237" i="57"/>
  <c r="T237" i="57" s="1"/>
  <c r="AD237" i="57"/>
  <c r="R237" i="57"/>
  <c r="AQ237" i="57"/>
  <c r="AC237" i="57"/>
  <c r="M238" i="57"/>
  <c r="AK238" i="57" s="1"/>
  <c r="Q178" i="50"/>
  <c r="P178" i="50" s="1"/>
  <c r="Q168" i="32"/>
  <c r="P168" i="32" s="1"/>
  <c r="N239" i="53"/>
  <c r="T169" i="32"/>
  <c r="O169" i="32"/>
  <c r="T179" i="50"/>
  <c r="O179" i="50"/>
  <c r="AA237" i="53"/>
  <c r="AB237" i="53"/>
  <c r="AP175" i="50"/>
  <c r="AM168" i="32"/>
  <c r="C177" i="50"/>
  <c r="AJ177" i="50"/>
  <c r="S178" i="50"/>
  <c r="Z178" i="50" s="1"/>
  <c r="C167" i="32"/>
  <c r="AJ167" i="32"/>
  <c r="W167" i="32"/>
  <c r="X167" i="32" s="1"/>
  <c r="S168" i="32"/>
  <c r="AD168" i="32" s="1"/>
  <c r="W177" i="50"/>
  <c r="X176" i="50"/>
  <c r="V177" i="50"/>
  <c r="V167" i="32"/>
  <c r="AF222" i="69"/>
  <c r="Q222" i="69"/>
  <c r="O239" i="57"/>
  <c r="P239" i="57"/>
  <c r="AC220" i="69"/>
  <c r="AD220" i="69" s="1"/>
  <c r="AH176" i="50"/>
  <c r="AI176" i="50" s="1"/>
  <c r="AB221" i="69"/>
  <c r="AG221" i="69"/>
  <c r="AO223" i="69"/>
  <c r="O224" i="69"/>
  <c r="AK179" i="50"/>
  <c r="AE238" i="53"/>
  <c r="AF237" i="53"/>
  <c r="AK169" i="32"/>
  <c r="AM178" i="50"/>
  <c r="AL166" i="32"/>
  <c r="AI165" i="32"/>
  <c r="AN165" i="32" s="1"/>
  <c r="R238" i="53"/>
  <c r="X238" i="53" s="1"/>
  <c r="AL176" i="50"/>
  <c r="AY222" i="69"/>
  <c r="L239" i="57"/>
  <c r="AH238" i="53"/>
  <c r="AT238" i="53"/>
  <c r="AG238" i="53"/>
  <c r="N239" i="57"/>
  <c r="F239" i="53"/>
  <c r="AH222" i="69"/>
  <c r="Q238" i="53"/>
  <c r="AD238" i="53"/>
  <c r="J239" i="53"/>
  <c r="P239" i="53"/>
  <c r="AK238" i="52" a="1"/>
  <c r="AK238" i="52" s="1"/>
  <c r="B240" i="53" s="1"/>
  <c r="H239" i="53"/>
  <c r="C239" i="53"/>
  <c r="D239" i="53"/>
  <c r="E239" i="53"/>
  <c r="I239" i="53"/>
  <c r="K239" i="53"/>
  <c r="L239" i="53"/>
  <c r="G239" i="53"/>
  <c r="A169" i="32"/>
  <c r="B169" i="32"/>
  <c r="R169" i="32" s="1"/>
  <c r="F179" i="50"/>
  <c r="U179" i="50" s="1"/>
  <c r="I179" i="50"/>
  <c r="N179" i="50"/>
  <c r="A179" i="50"/>
  <c r="M179" i="50"/>
  <c r="H179" i="50"/>
  <c r="K179" i="50"/>
  <c r="J179" i="50"/>
  <c r="L179" i="50"/>
  <c r="B179" i="50"/>
  <c r="R179" i="50" s="1"/>
  <c r="G179" i="50"/>
  <c r="K169" i="32"/>
  <c r="F169" i="32"/>
  <c r="U169" i="32" s="1"/>
  <c r="N169" i="32"/>
  <c r="G169" i="32"/>
  <c r="J169" i="32"/>
  <c r="L169" i="32"/>
  <c r="M169" i="32"/>
  <c r="I169" i="32"/>
  <c r="H169" i="32"/>
  <c r="H239" i="57"/>
  <c r="F239" i="57"/>
  <c r="D239" i="57"/>
  <c r="G239" i="57"/>
  <c r="C239" i="57"/>
  <c r="J239" i="57"/>
  <c r="I239" i="57"/>
  <c r="E239" i="57"/>
  <c r="K239" i="57"/>
  <c r="AN238" i="55" a="1"/>
  <c r="AN238" i="55" s="1"/>
  <c r="B240" i="57" s="1"/>
  <c r="AR224" i="67" a="1"/>
  <c r="AR224" i="67" s="1"/>
  <c r="B225" i="69"/>
  <c r="L225" i="69" s="1"/>
  <c r="D223" i="69"/>
  <c r="E223" i="69" s="1"/>
  <c r="F223" i="69" s="1"/>
  <c r="G223" i="69" s="1"/>
  <c r="H223" i="69" s="1"/>
  <c r="I223" i="69" s="1"/>
  <c r="J223" i="69" s="1"/>
  <c r="K223" i="69" s="1"/>
  <c r="M223" i="69" s="1"/>
  <c r="R222" i="69"/>
  <c r="S222" i="69" s="1"/>
  <c r="Y222" i="69" s="1"/>
  <c r="AE222" i="69"/>
  <c r="C224" i="69"/>
  <c r="P224" i="69" s="1"/>
  <c r="AL169" i="11" a="1"/>
  <c r="AL169" i="11" s="1"/>
  <c r="E170" i="32" s="1"/>
  <c r="AP179" i="59" a="1"/>
  <c r="AP179" i="59" s="1"/>
  <c r="E180" i="50" s="1"/>
  <c r="AQ69" i="59" a="1"/>
  <c r="AQ69" i="59" s="1"/>
  <c r="AM54" i="11" a="1"/>
  <c r="AM54" i="11" s="1"/>
  <c r="AB236" i="57" l="1"/>
  <c r="AF236" i="57"/>
  <c r="AD178" i="50"/>
  <c r="AG178" i="50" s="1"/>
  <c r="X237" i="57"/>
  <c r="AB237" i="57" s="1"/>
  <c r="AG239" i="57"/>
  <c r="AE238" i="57"/>
  <c r="M240" i="53"/>
  <c r="AC240" i="53" s="1"/>
  <c r="O240" i="53"/>
  <c r="AP224" i="69"/>
  <c r="N224" i="69"/>
  <c r="U224" i="69" s="1"/>
  <c r="Q238" i="57"/>
  <c r="T238" i="57" s="1"/>
  <c r="AJ238" i="57"/>
  <c r="AD238" i="57"/>
  <c r="R238" i="57"/>
  <c r="AQ238" i="57"/>
  <c r="AC238" i="57"/>
  <c r="M239" i="57"/>
  <c r="AK239" i="57" s="1"/>
  <c r="Q179" i="50"/>
  <c r="P179" i="50" s="1"/>
  <c r="Q169" i="32"/>
  <c r="P169" i="32" s="1"/>
  <c r="N240" i="53"/>
  <c r="T170" i="32"/>
  <c r="O170" i="32"/>
  <c r="T180" i="50"/>
  <c r="O180" i="50"/>
  <c r="AA238" i="53"/>
  <c r="AB238" i="53"/>
  <c r="AP176" i="50"/>
  <c r="C168" i="32"/>
  <c r="Z168" i="32"/>
  <c r="AM169" i="32"/>
  <c r="C178" i="50"/>
  <c r="AJ178" i="50"/>
  <c r="S179" i="50"/>
  <c r="Z179" i="50" s="1"/>
  <c r="W168" i="32"/>
  <c r="X168" i="32" s="1"/>
  <c r="S169" i="32"/>
  <c r="Z169" i="32" s="1"/>
  <c r="AJ168" i="32"/>
  <c r="W178" i="50"/>
  <c r="X177" i="50"/>
  <c r="V178" i="50"/>
  <c r="V168" i="32"/>
  <c r="AF223" i="69"/>
  <c r="Q223" i="69"/>
  <c r="O240" i="57"/>
  <c r="P240" i="57"/>
  <c r="AC221" i="69"/>
  <c r="AD221" i="69" s="1"/>
  <c r="AH177" i="50"/>
  <c r="AI177" i="50" s="1"/>
  <c r="AB222" i="69"/>
  <c r="AG222" i="69"/>
  <c r="AO224" i="69"/>
  <c r="O225" i="69"/>
  <c r="AK180" i="50"/>
  <c r="AE239" i="53"/>
  <c r="AF238" i="53"/>
  <c r="AK170" i="32"/>
  <c r="AG168" i="32"/>
  <c r="AH168" i="32" s="1"/>
  <c r="AM179" i="50"/>
  <c r="AL167" i="32"/>
  <c r="AI166" i="32"/>
  <c r="AN166" i="32" s="1"/>
  <c r="R239" i="53"/>
  <c r="X239" i="53" s="1"/>
  <c r="AL177" i="50"/>
  <c r="AY223" i="69"/>
  <c r="L240" i="57"/>
  <c r="AG239" i="53"/>
  <c r="AH239" i="53"/>
  <c r="AT239" i="53"/>
  <c r="N240" i="57"/>
  <c r="H240" i="53"/>
  <c r="AH223" i="69"/>
  <c r="Q239" i="53"/>
  <c r="AD239" i="53"/>
  <c r="E240" i="53"/>
  <c r="C240" i="53"/>
  <c r="G240" i="53"/>
  <c r="D240" i="53"/>
  <c r="F240" i="53"/>
  <c r="L240" i="53"/>
  <c r="J240" i="53"/>
  <c r="P240" i="53"/>
  <c r="I240" i="53"/>
  <c r="AK239" i="52" a="1"/>
  <c r="AK239" i="52" s="1"/>
  <c r="B241" i="53" s="1"/>
  <c r="K240" i="53"/>
  <c r="A170" i="32"/>
  <c r="B170" i="32"/>
  <c r="R170" i="32" s="1"/>
  <c r="G180" i="50"/>
  <c r="L180" i="50"/>
  <c r="M180" i="50"/>
  <c r="H180" i="50"/>
  <c r="N180" i="50"/>
  <c r="I180" i="50"/>
  <c r="J180" i="50"/>
  <c r="B180" i="50"/>
  <c r="R180" i="50" s="1"/>
  <c r="K180" i="50"/>
  <c r="A180" i="50"/>
  <c r="F180" i="50"/>
  <c r="U180" i="50" s="1"/>
  <c r="I170" i="32"/>
  <c r="L170" i="32"/>
  <c r="M170" i="32"/>
  <c r="H170" i="32"/>
  <c r="F170" i="32"/>
  <c r="U170" i="32" s="1"/>
  <c r="G170" i="32"/>
  <c r="J170" i="32"/>
  <c r="K170" i="32"/>
  <c r="N170" i="32"/>
  <c r="J240" i="57"/>
  <c r="K240" i="57"/>
  <c r="D240" i="57"/>
  <c r="G240" i="57"/>
  <c r="C240" i="57"/>
  <c r="F240" i="57"/>
  <c r="I240" i="57"/>
  <c r="E240" i="57"/>
  <c r="H240" i="57"/>
  <c r="AN239" i="55" a="1"/>
  <c r="AN239" i="55" s="1"/>
  <c r="B241" i="57" s="1"/>
  <c r="D224" i="69"/>
  <c r="E224" i="69" s="1"/>
  <c r="F224" i="69" s="1"/>
  <c r="G224" i="69" s="1"/>
  <c r="H224" i="69" s="1"/>
  <c r="I224" i="69" s="1"/>
  <c r="J224" i="69" s="1"/>
  <c r="K224" i="69" s="1"/>
  <c r="M224" i="69" s="1"/>
  <c r="C225" i="69"/>
  <c r="P225" i="69" s="1"/>
  <c r="AE223" i="69"/>
  <c r="R223" i="69"/>
  <c r="S223" i="69" s="1"/>
  <c r="Y223" i="69" s="1"/>
  <c r="AR225" i="67" a="1"/>
  <c r="AR225" i="67" s="1"/>
  <c r="B226" i="69"/>
  <c r="L226" i="69" s="1"/>
  <c r="AL170" i="11" a="1"/>
  <c r="AL170" i="11" s="1"/>
  <c r="E171" i="32" s="1"/>
  <c r="AP180" i="59" a="1"/>
  <c r="AP180" i="59" s="1"/>
  <c r="E181" i="50" s="1"/>
  <c r="AQ70" i="59" a="1"/>
  <c r="AQ70" i="59" s="1"/>
  <c r="AM55" i="11" a="1"/>
  <c r="AM55" i="11" s="1"/>
  <c r="AD169" i="32" l="1"/>
  <c r="AG169" i="32" s="1"/>
  <c r="AH169" i="32" s="1"/>
  <c r="AD179" i="50"/>
  <c r="AG179" i="50" s="1"/>
  <c r="AG240" i="57"/>
  <c r="X238" i="57"/>
  <c r="AB238" i="57" s="1"/>
  <c r="AA237" i="57"/>
  <c r="M241" i="53"/>
  <c r="AC241" i="53" s="1"/>
  <c r="O241" i="53"/>
  <c r="AP225" i="69"/>
  <c r="N225" i="69"/>
  <c r="U225" i="69" s="1"/>
  <c r="AC239" i="57"/>
  <c r="AQ239" i="57"/>
  <c r="Q239" i="57"/>
  <c r="T239" i="57" s="1"/>
  <c r="R239" i="57"/>
  <c r="AF237" i="57"/>
  <c r="AD239" i="57"/>
  <c r="AJ239" i="57"/>
  <c r="AE239" i="57"/>
  <c r="M240" i="57"/>
  <c r="AK240" i="57" s="1"/>
  <c r="Q180" i="50"/>
  <c r="P180" i="50" s="1"/>
  <c r="Q170" i="32"/>
  <c r="P170" i="32" s="1"/>
  <c r="N241" i="53"/>
  <c r="T171" i="32"/>
  <c r="O171" i="32"/>
  <c r="T181" i="50"/>
  <c r="O181" i="50"/>
  <c r="AA239" i="53"/>
  <c r="AB239" i="53"/>
  <c r="AP177" i="50"/>
  <c r="AM170" i="32"/>
  <c r="AJ179" i="50"/>
  <c r="C179" i="50"/>
  <c r="S180" i="50"/>
  <c r="Z180" i="50" s="1"/>
  <c r="W169" i="32"/>
  <c r="X169" i="32" s="1"/>
  <c r="C169" i="32"/>
  <c r="AJ169" i="32"/>
  <c r="S170" i="32"/>
  <c r="AD170" i="32" s="1"/>
  <c r="W179" i="50"/>
  <c r="X178" i="50"/>
  <c r="V179" i="50"/>
  <c r="V169" i="32"/>
  <c r="AF224" i="69"/>
  <c r="Q224" i="69"/>
  <c r="O241" i="57"/>
  <c r="P241" i="57"/>
  <c r="AC222" i="69"/>
  <c r="AD222" i="69" s="1"/>
  <c r="AH178" i="50"/>
  <c r="AI178" i="50" s="1"/>
  <c r="AB223" i="69"/>
  <c r="AG223" i="69"/>
  <c r="O226" i="69"/>
  <c r="AO225" i="69"/>
  <c r="AK181" i="50"/>
  <c r="AF239" i="53"/>
  <c r="AE240" i="53"/>
  <c r="AK171" i="32"/>
  <c r="AM180" i="50"/>
  <c r="AL168" i="32"/>
  <c r="AI167" i="32"/>
  <c r="AN167" i="32" s="1"/>
  <c r="R240" i="53"/>
  <c r="X240" i="53" s="1"/>
  <c r="AL178" i="50"/>
  <c r="AY224" i="69"/>
  <c r="L241" i="57"/>
  <c r="AG240" i="53"/>
  <c r="AH240" i="53"/>
  <c r="AT240" i="53"/>
  <c r="N241" i="57"/>
  <c r="L241" i="53"/>
  <c r="AH224" i="69"/>
  <c r="AD240" i="53"/>
  <c r="Q240" i="53"/>
  <c r="E241" i="53"/>
  <c r="G241" i="53"/>
  <c r="P241" i="53"/>
  <c r="D241" i="53"/>
  <c r="J241" i="53"/>
  <c r="K241" i="53"/>
  <c r="F241" i="53"/>
  <c r="AK240" i="52" a="1"/>
  <c r="AK240" i="52" s="1"/>
  <c r="B242" i="53" s="1"/>
  <c r="I241" i="53"/>
  <c r="C241" i="53"/>
  <c r="H241" i="53"/>
  <c r="A171" i="32"/>
  <c r="B171" i="32"/>
  <c r="R171" i="32" s="1"/>
  <c r="M181" i="50"/>
  <c r="A181" i="50"/>
  <c r="G181" i="50"/>
  <c r="K181" i="50"/>
  <c r="F181" i="50"/>
  <c r="U181" i="50" s="1"/>
  <c r="I181" i="50"/>
  <c r="L181" i="50"/>
  <c r="N181" i="50"/>
  <c r="H181" i="50"/>
  <c r="J181" i="50"/>
  <c r="B181" i="50"/>
  <c r="R181" i="50" s="1"/>
  <c r="G171" i="32"/>
  <c r="J171" i="32"/>
  <c r="K171" i="32"/>
  <c r="F171" i="32"/>
  <c r="U171" i="32" s="1"/>
  <c r="N171" i="32"/>
  <c r="H171" i="32"/>
  <c r="I171" i="32"/>
  <c r="L171" i="32"/>
  <c r="M171" i="32"/>
  <c r="H241" i="57"/>
  <c r="D241" i="57"/>
  <c r="G241" i="57"/>
  <c r="C241" i="57"/>
  <c r="J241" i="57"/>
  <c r="F241" i="57"/>
  <c r="K241" i="57"/>
  <c r="E241" i="57"/>
  <c r="I241" i="57"/>
  <c r="AN240" i="55" a="1"/>
  <c r="AN240" i="55" s="1"/>
  <c r="B242" i="57" s="1"/>
  <c r="AR226" i="67" a="1"/>
  <c r="AR226" i="67" s="1"/>
  <c r="B227" i="69"/>
  <c r="L227" i="69" s="1"/>
  <c r="D225" i="69"/>
  <c r="E225" i="69" s="1"/>
  <c r="F225" i="69" s="1"/>
  <c r="G225" i="69" s="1"/>
  <c r="H225" i="69" s="1"/>
  <c r="I225" i="69" s="1"/>
  <c r="J225" i="69" s="1"/>
  <c r="K225" i="69" s="1"/>
  <c r="M225" i="69" s="1"/>
  <c r="C226" i="69"/>
  <c r="P226" i="69" s="1"/>
  <c r="AE224" i="69"/>
  <c r="R224" i="69"/>
  <c r="S224" i="69" s="1"/>
  <c r="Y224" i="69" s="1"/>
  <c r="AL171" i="11" a="1"/>
  <c r="AL171" i="11" s="1"/>
  <c r="E172" i="32" s="1"/>
  <c r="AP181" i="59" a="1"/>
  <c r="AP181" i="59" s="1"/>
  <c r="E182" i="50" s="1"/>
  <c r="AQ71" i="59" a="1"/>
  <c r="AQ71" i="59" s="1"/>
  <c r="AM56" i="11" a="1"/>
  <c r="AM56" i="11" s="1"/>
  <c r="X239" i="57" l="1"/>
  <c r="AA239" i="57" s="1"/>
  <c r="AD180" i="50"/>
  <c r="AG180" i="50" s="1"/>
  <c r="AG241" i="57"/>
  <c r="AA238" i="57"/>
  <c r="AF238" i="57"/>
  <c r="M242" i="53"/>
  <c r="AC242" i="53" s="1"/>
  <c r="O242" i="53"/>
  <c r="AP226" i="69"/>
  <c r="N226" i="69"/>
  <c r="U226" i="69" s="1"/>
  <c r="Q240" i="57"/>
  <c r="T240" i="57" s="1"/>
  <c r="AJ240" i="57"/>
  <c r="AD240" i="57"/>
  <c r="R240" i="57"/>
  <c r="AQ240" i="57"/>
  <c r="AC240" i="57"/>
  <c r="AE240" i="57"/>
  <c r="M241" i="57"/>
  <c r="AK241" i="57" s="1"/>
  <c r="Q181" i="50"/>
  <c r="P181" i="50" s="1"/>
  <c r="Q171" i="32"/>
  <c r="P171" i="32" s="1"/>
  <c r="N242" i="53"/>
  <c r="T172" i="32"/>
  <c r="O172" i="32"/>
  <c r="T182" i="50"/>
  <c r="O182" i="50"/>
  <c r="AA240" i="53"/>
  <c r="AB240" i="53"/>
  <c r="AP178" i="50"/>
  <c r="C170" i="32"/>
  <c r="Z170" i="32"/>
  <c r="AM171" i="32"/>
  <c r="C180" i="50"/>
  <c r="AJ180" i="50"/>
  <c r="S181" i="50"/>
  <c r="Z181" i="50" s="1"/>
  <c r="W170" i="32"/>
  <c r="X170" i="32" s="1"/>
  <c r="S171" i="32"/>
  <c r="Z171" i="32" s="1"/>
  <c r="AJ170" i="32"/>
  <c r="W180" i="50"/>
  <c r="X179" i="50"/>
  <c r="V180" i="50"/>
  <c r="V170" i="32"/>
  <c r="AF225" i="69"/>
  <c r="Q225" i="69"/>
  <c r="O242" i="57"/>
  <c r="P242" i="57"/>
  <c r="AC223" i="69"/>
  <c r="AD223" i="69" s="1"/>
  <c r="AH179" i="50"/>
  <c r="AI179" i="50" s="1"/>
  <c r="AB224" i="69"/>
  <c r="AG224" i="69"/>
  <c r="AO226" i="69"/>
  <c r="O227" i="69"/>
  <c r="AK182" i="50"/>
  <c r="AE241" i="53"/>
  <c r="AF240" i="53"/>
  <c r="AK172" i="32"/>
  <c r="AG170" i="32"/>
  <c r="AH170" i="32" s="1"/>
  <c r="AM181" i="50"/>
  <c r="AL169" i="32"/>
  <c r="AI168" i="32"/>
  <c r="AN168" i="32" s="1"/>
  <c r="R241" i="53"/>
  <c r="X241" i="53" s="1"/>
  <c r="AL179" i="50"/>
  <c r="AY225" i="69"/>
  <c r="L242" i="57"/>
  <c r="AH241" i="53"/>
  <c r="AT241" i="53"/>
  <c r="AG241" i="53"/>
  <c r="N242" i="57"/>
  <c r="I242" i="53"/>
  <c r="AH225" i="69"/>
  <c r="Q241" i="53"/>
  <c r="AD241" i="53"/>
  <c r="J242" i="53"/>
  <c r="F242" i="53"/>
  <c r="G242" i="53"/>
  <c r="L242" i="53"/>
  <c r="P242" i="53"/>
  <c r="K242" i="53"/>
  <c r="AK241" i="52" a="1"/>
  <c r="AK241" i="52" s="1"/>
  <c r="B243" i="53" s="1"/>
  <c r="C242" i="53"/>
  <c r="H242" i="53"/>
  <c r="D242" i="53"/>
  <c r="E242" i="53"/>
  <c r="A172" i="32"/>
  <c r="B172" i="32"/>
  <c r="R172" i="32" s="1"/>
  <c r="H182" i="50"/>
  <c r="I182" i="50"/>
  <c r="G182" i="50"/>
  <c r="M182" i="50"/>
  <c r="N182" i="50"/>
  <c r="A182" i="50"/>
  <c r="F182" i="50"/>
  <c r="U182" i="50" s="1"/>
  <c r="L182" i="50"/>
  <c r="B182" i="50"/>
  <c r="R182" i="50" s="1"/>
  <c r="J182" i="50"/>
  <c r="K182" i="50"/>
  <c r="M172" i="32"/>
  <c r="H172" i="32"/>
  <c r="I172" i="32"/>
  <c r="L172" i="32"/>
  <c r="N172" i="32"/>
  <c r="F172" i="32"/>
  <c r="U172" i="32" s="1"/>
  <c r="G172" i="32"/>
  <c r="J172" i="32"/>
  <c r="K172" i="32"/>
  <c r="J242" i="57"/>
  <c r="F242" i="57"/>
  <c r="C242" i="57"/>
  <c r="I242" i="57"/>
  <c r="E242" i="57"/>
  <c r="K242" i="57"/>
  <c r="H242" i="57"/>
  <c r="D242" i="57"/>
  <c r="G242" i="57"/>
  <c r="AN241" i="55" a="1"/>
  <c r="AN241" i="55" s="1"/>
  <c r="B243" i="57" s="1"/>
  <c r="AR227" i="67" a="1"/>
  <c r="AR227" i="67" s="1"/>
  <c r="B228" i="69"/>
  <c r="L228" i="69" s="1"/>
  <c r="D226" i="69"/>
  <c r="E226" i="69" s="1"/>
  <c r="F226" i="69" s="1"/>
  <c r="G226" i="69" s="1"/>
  <c r="H226" i="69" s="1"/>
  <c r="I226" i="69" s="1"/>
  <c r="J226" i="69" s="1"/>
  <c r="K226" i="69" s="1"/>
  <c r="M226" i="69" s="1"/>
  <c r="R225" i="69"/>
  <c r="S225" i="69" s="1"/>
  <c r="AE225" i="69"/>
  <c r="C227" i="69"/>
  <c r="P227" i="69" s="1"/>
  <c r="AL172" i="11" a="1"/>
  <c r="AL172" i="11" s="1"/>
  <c r="E173" i="32" s="1"/>
  <c r="AP182" i="59" a="1"/>
  <c r="AP182" i="59" s="1"/>
  <c r="E183" i="50" s="1"/>
  <c r="AQ72" i="59" a="1"/>
  <c r="AQ72" i="59" s="1"/>
  <c r="AM57" i="11" a="1"/>
  <c r="AM57" i="11" s="1"/>
  <c r="AB239" i="57" l="1"/>
  <c r="Y225" i="69"/>
  <c r="AB225" i="69" s="1"/>
  <c r="AC225" i="69" s="1"/>
  <c r="AD225" i="69" s="1"/>
  <c r="AD171" i="32"/>
  <c r="AG171" i="32" s="1"/>
  <c r="AH171" i="32" s="1"/>
  <c r="AD181" i="50"/>
  <c r="AG181" i="50" s="1"/>
  <c r="X240" i="57"/>
  <c r="AB240" i="57" s="1"/>
  <c r="AG242" i="57"/>
  <c r="AF239" i="57"/>
  <c r="M243" i="53"/>
  <c r="AC243" i="53" s="1"/>
  <c r="O243" i="53"/>
  <c r="AP227" i="69"/>
  <c r="N227" i="69"/>
  <c r="U227" i="69" s="1"/>
  <c r="R241" i="57"/>
  <c r="AD241" i="57"/>
  <c r="Q241" i="57"/>
  <c r="T241" i="57" s="1"/>
  <c r="AE241" i="57"/>
  <c r="AJ241" i="57"/>
  <c r="AQ241" i="57"/>
  <c r="AC241" i="57"/>
  <c r="M242" i="57"/>
  <c r="AK242" i="57" s="1"/>
  <c r="Q182" i="50"/>
  <c r="P182" i="50" s="1"/>
  <c r="Q172" i="32"/>
  <c r="P172" i="32" s="1"/>
  <c r="N243" i="53"/>
  <c r="T173" i="32"/>
  <c r="O173" i="32"/>
  <c r="T183" i="50"/>
  <c r="O183" i="50"/>
  <c r="AP179" i="50"/>
  <c r="AA241" i="53"/>
  <c r="AB241" i="53"/>
  <c r="AM172" i="32"/>
  <c r="AJ181" i="50"/>
  <c r="C181" i="50"/>
  <c r="S182" i="50"/>
  <c r="Z182" i="50" s="1"/>
  <c r="AJ171" i="32"/>
  <c r="W171" i="32"/>
  <c r="X171" i="32" s="1"/>
  <c r="C171" i="32"/>
  <c r="S172" i="32"/>
  <c r="AD172" i="32" s="1"/>
  <c r="W181" i="50"/>
  <c r="X180" i="50"/>
  <c r="V181" i="50"/>
  <c r="V171" i="32"/>
  <c r="AF226" i="69"/>
  <c r="Q226" i="69"/>
  <c r="O243" i="57"/>
  <c r="P243" i="57"/>
  <c r="AC224" i="69"/>
  <c r="AD224" i="69" s="1"/>
  <c r="AH180" i="50"/>
  <c r="AI180" i="50" s="1"/>
  <c r="O228" i="69"/>
  <c r="AO227" i="69"/>
  <c r="AK183" i="50"/>
  <c r="AE242" i="53"/>
  <c r="AF241" i="53"/>
  <c r="AK173" i="32"/>
  <c r="AM182" i="50"/>
  <c r="AL170" i="32"/>
  <c r="AI169" i="32"/>
  <c r="AN169" i="32" s="1"/>
  <c r="R242" i="53"/>
  <c r="X242" i="53" s="1"/>
  <c r="AL180" i="50"/>
  <c r="AY226" i="69"/>
  <c r="L243" i="57"/>
  <c r="AH242" i="53"/>
  <c r="AT242" i="53"/>
  <c r="AG242" i="53"/>
  <c r="N243" i="57"/>
  <c r="AH226" i="69"/>
  <c r="AD242" i="53"/>
  <c r="Q242" i="53"/>
  <c r="J243" i="53"/>
  <c r="I243" i="53"/>
  <c r="F243" i="53"/>
  <c r="K243" i="53"/>
  <c r="P243" i="53"/>
  <c r="L243" i="53"/>
  <c r="G243" i="53"/>
  <c r="E243" i="53"/>
  <c r="C243" i="53"/>
  <c r="D243" i="53"/>
  <c r="AK242" i="52" a="1"/>
  <c r="AK242" i="52" s="1"/>
  <c r="B244" i="53" s="1"/>
  <c r="H243" i="53"/>
  <c r="A173" i="32"/>
  <c r="B173" i="32"/>
  <c r="R173" i="32" s="1"/>
  <c r="A183" i="50"/>
  <c r="B183" i="50"/>
  <c r="R183" i="50" s="1"/>
  <c r="L183" i="50"/>
  <c r="F183" i="50"/>
  <c r="U183" i="50" s="1"/>
  <c r="N183" i="50"/>
  <c r="H183" i="50"/>
  <c r="K183" i="50"/>
  <c r="J183" i="50"/>
  <c r="M183" i="50"/>
  <c r="I183" i="50"/>
  <c r="G183" i="50"/>
  <c r="K173" i="32"/>
  <c r="F173" i="32"/>
  <c r="U173" i="32" s="1"/>
  <c r="N173" i="32"/>
  <c r="G173" i="32"/>
  <c r="J173" i="32"/>
  <c r="H173" i="32"/>
  <c r="I173" i="32"/>
  <c r="L173" i="32"/>
  <c r="M173" i="32"/>
  <c r="H243" i="57"/>
  <c r="F243" i="57"/>
  <c r="D243" i="57"/>
  <c r="K243" i="57"/>
  <c r="G243" i="57"/>
  <c r="C243" i="57"/>
  <c r="J243" i="57"/>
  <c r="E243" i="57"/>
  <c r="I243" i="57"/>
  <c r="AN242" i="55" a="1"/>
  <c r="AN242" i="55" s="1"/>
  <c r="B244" i="57" s="1"/>
  <c r="AR228" i="67" a="1"/>
  <c r="AR228" i="67" s="1"/>
  <c r="B229" i="69"/>
  <c r="L229" i="69" s="1"/>
  <c r="D227" i="69"/>
  <c r="E227" i="69" s="1"/>
  <c r="F227" i="69" s="1"/>
  <c r="G227" i="69" s="1"/>
  <c r="H227" i="69" s="1"/>
  <c r="I227" i="69" s="1"/>
  <c r="J227" i="69" s="1"/>
  <c r="K227" i="69" s="1"/>
  <c r="M227" i="69" s="1"/>
  <c r="R226" i="69"/>
  <c r="S226" i="69" s="1"/>
  <c r="Y226" i="69" s="1"/>
  <c r="AE226" i="69"/>
  <c r="C228" i="69"/>
  <c r="P228" i="69" s="1"/>
  <c r="AL173" i="11" a="1"/>
  <c r="AL173" i="11" s="1"/>
  <c r="E174" i="32" s="1"/>
  <c r="AP183" i="59" a="1"/>
  <c r="AP183" i="59" s="1"/>
  <c r="E184" i="50" s="1"/>
  <c r="AQ73" i="59" a="1"/>
  <c r="AQ73" i="59" s="1"/>
  <c r="AM58" i="11" a="1"/>
  <c r="AM58" i="11" s="1"/>
  <c r="AG225" i="69" l="1"/>
  <c r="AB226" i="69"/>
  <c r="AC226" i="69" s="1"/>
  <c r="AD226" i="69" s="1"/>
  <c r="AD182" i="50"/>
  <c r="AG182" i="50" s="1"/>
  <c r="X241" i="57"/>
  <c r="AB241" i="57" s="1"/>
  <c r="AG243" i="57"/>
  <c r="M244" i="53"/>
  <c r="AC244" i="53" s="1"/>
  <c r="O244" i="53"/>
  <c r="AP228" i="69"/>
  <c r="N228" i="69"/>
  <c r="U228" i="69" s="1"/>
  <c r="AJ242" i="57"/>
  <c r="Q242" i="57"/>
  <c r="T242" i="57" s="1"/>
  <c r="R242" i="57"/>
  <c r="AD242" i="57"/>
  <c r="AE242" i="57"/>
  <c r="AF240" i="57"/>
  <c r="AA240" i="57"/>
  <c r="AQ242" i="57"/>
  <c r="AC242" i="57"/>
  <c r="M243" i="57"/>
  <c r="AK243" i="57" s="1"/>
  <c r="Q183" i="50"/>
  <c r="P183" i="50" s="1"/>
  <c r="Q173" i="32"/>
  <c r="P173" i="32" s="1"/>
  <c r="N244" i="53"/>
  <c r="T174" i="32"/>
  <c r="O174" i="32"/>
  <c r="T184" i="50"/>
  <c r="O184" i="50"/>
  <c r="AA242" i="53"/>
  <c r="AB242" i="53"/>
  <c r="AP180" i="50"/>
  <c r="C172" i="32"/>
  <c r="Z172" i="32"/>
  <c r="AM173" i="32"/>
  <c r="C182" i="50"/>
  <c r="AJ182" i="50"/>
  <c r="S183" i="50"/>
  <c r="Z183" i="50" s="1"/>
  <c r="W172" i="32"/>
  <c r="X172" i="32" s="1"/>
  <c r="S173" i="32"/>
  <c r="Z173" i="32" s="1"/>
  <c r="AJ172" i="32"/>
  <c r="W182" i="50"/>
  <c r="X181" i="50"/>
  <c r="V182" i="50"/>
  <c r="V172" i="32"/>
  <c r="AF227" i="69"/>
  <c r="Q227" i="69"/>
  <c r="O244" i="57"/>
  <c r="P244" i="57"/>
  <c r="AH181" i="50"/>
  <c r="AI181" i="50" s="1"/>
  <c r="O229" i="69"/>
  <c r="AO228" i="69"/>
  <c r="AG226" i="69"/>
  <c r="AK184" i="50"/>
  <c r="AE243" i="53"/>
  <c r="AF242" i="53"/>
  <c r="AK174" i="32"/>
  <c r="AG172" i="32"/>
  <c r="AH172" i="32" s="1"/>
  <c r="AM183" i="50"/>
  <c r="AL171" i="32"/>
  <c r="AI170" i="32"/>
  <c r="AN170" i="32" s="1"/>
  <c r="R243" i="53"/>
  <c r="X243" i="53" s="1"/>
  <c r="AL181" i="50"/>
  <c r="AY227" i="69"/>
  <c r="L244" i="57"/>
  <c r="AH243" i="53"/>
  <c r="AT243" i="53"/>
  <c r="AG243" i="53"/>
  <c r="N244" i="57"/>
  <c r="AH227" i="69"/>
  <c r="AD243" i="53"/>
  <c r="Q243" i="53"/>
  <c r="J244" i="53"/>
  <c r="D244" i="53"/>
  <c r="C244" i="53"/>
  <c r="L244" i="53"/>
  <c r="E244" i="53"/>
  <c r="I244" i="53"/>
  <c r="AK243" i="52" a="1"/>
  <c r="AK243" i="52" s="1"/>
  <c r="B245" i="53" s="1"/>
  <c r="F244" i="53"/>
  <c r="G244" i="53"/>
  <c r="K244" i="53"/>
  <c r="P244" i="53"/>
  <c r="H244" i="53"/>
  <c r="A174" i="32"/>
  <c r="B174" i="32"/>
  <c r="R174" i="32" s="1"/>
  <c r="M184" i="50"/>
  <c r="F184" i="50"/>
  <c r="U184" i="50" s="1"/>
  <c r="N184" i="50"/>
  <c r="G184" i="50"/>
  <c r="H184" i="50"/>
  <c r="B184" i="50"/>
  <c r="R184" i="50" s="1"/>
  <c r="L184" i="50"/>
  <c r="K184" i="50"/>
  <c r="I184" i="50"/>
  <c r="A184" i="50"/>
  <c r="J184" i="50"/>
  <c r="I174" i="32"/>
  <c r="L174" i="32"/>
  <c r="M174" i="32"/>
  <c r="H174" i="32"/>
  <c r="J174" i="32"/>
  <c r="K174" i="32"/>
  <c r="N174" i="32"/>
  <c r="G174" i="32"/>
  <c r="F174" i="32"/>
  <c r="U174" i="32" s="1"/>
  <c r="J244" i="57"/>
  <c r="E244" i="57"/>
  <c r="H244" i="57"/>
  <c r="K244" i="57"/>
  <c r="D244" i="57"/>
  <c r="C244" i="57"/>
  <c r="F244" i="57"/>
  <c r="G244" i="57"/>
  <c r="I244" i="57"/>
  <c r="AN243" i="55" a="1"/>
  <c r="AN243" i="55" s="1"/>
  <c r="B245" i="57" s="1"/>
  <c r="AR229" i="67" a="1"/>
  <c r="AR229" i="67" s="1"/>
  <c r="B230" i="69"/>
  <c r="L230" i="69" s="1"/>
  <c r="C229" i="69"/>
  <c r="P229" i="69" s="1"/>
  <c r="R227" i="69"/>
  <c r="S227" i="69" s="1"/>
  <c r="Y227" i="69" s="1"/>
  <c r="AE227" i="69"/>
  <c r="D228" i="69"/>
  <c r="E228" i="69" s="1"/>
  <c r="F228" i="69" s="1"/>
  <c r="G228" i="69" s="1"/>
  <c r="H228" i="69" s="1"/>
  <c r="I228" i="69" s="1"/>
  <c r="J228" i="69" s="1"/>
  <c r="K228" i="69" s="1"/>
  <c r="M228" i="69" s="1"/>
  <c r="AL174" i="11" a="1"/>
  <c r="AL174" i="11" s="1"/>
  <c r="E175" i="32" s="1"/>
  <c r="AP184" i="59" a="1"/>
  <c r="AP184" i="59" s="1"/>
  <c r="E185" i="50" s="1"/>
  <c r="AQ74" i="59" a="1"/>
  <c r="AQ74" i="59" s="1"/>
  <c r="AM59" i="11" a="1"/>
  <c r="AM59" i="11" s="1"/>
  <c r="AD173" i="32" l="1"/>
  <c r="AG173" i="32" s="1"/>
  <c r="AH173" i="32" s="1"/>
  <c r="AD183" i="50"/>
  <c r="AG183" i="50" s="1"/>
  <c r="AG244" i="57"/>
  <c r="X242" i="57"/>
  <c r="AB242" i="57" s="1"/>
  <c r="AF241" i="57"/>
  <c r="AA241" i="57"/>
  <c r="AD243" i="57"/>
  <c r="AE243" i="57"/>
  <c r="M245" i="53"/>
  <c r="AC245" i="53" s="1"/>
  <c r="O245" i="53"/>
  <c r="AP229" i="69"/>
  <c r="N229" i="69"/>
  <c r="U229" i="69" s="1"/>
  <c r="AQ243" i="57"/>
  <c r="AC243" i="57"/>
  <c r="AJ243" i="57"/>
  <c r="R243" i="57"/>
  <c r="Q243" i="57"/>
  <c r="T243" i="57" s="1"/>
  <c r="M244" i="57"/>
  <c r="AK244" i="57" s="1"/>
  <c r="Q184" i="50"/>
  <c r="P184" i="50" s="1"/>
  <c r="Q174" i="32"/>
  <c r="P174" i="32" s="1"/>
  <c r="N245" i="53"/>
  <c r="T175" i="32"/>
  <c r="O175" i="32"/>
  <c r="O185" i="50"/>
  <c r="T185" i="50"/>
  <c r="AA243" i="53"/>
  <c r="AB243" i="53"/>
  <c r="AP181" i="50"/>
  <c r="AM174" i="32"/>
  <c r="AJ183" i="50"/>
  <c r="C183" i="50"/>
  <c r="S184" i="50"/>
  <c r="Z184" i="50" s="1"/>
  <c r="AJ173" i="32"/>
  <c r="W173" i="32"/>
  <c r="X173" i="32" s="1"/>
  <c r="C173" i="32"/>
  <c r="S174" i="32"/>
  <c r="AD174" i="32" s="1"/>
  <c r="W183" i="50"/>
  <c r="X182" i="50"/>
  <c r="V183" i="50"/>
  <c r="V173" i="32"/>
  <c r="AF228" i="69"/>
  <c r="Q228" i="69"/>
  <c r="O245" i="57"/>
  <c r="P245" i="57"/>
  <c r="AH182" i="50"/>
  <c r="AI182" i="50" s="1"/>
  <c r="AB227" i="69"/>
  <c r="AG227" i="69"/>
  <c r="O230" i="69"/>
  <c r="AO229" i="69"/>
  <c r="AK185" i="50"/>
  <c r="AE244" i="53"/>
  <c r="AF243" i="53"/>
  <c r="AK175" i="32"/>
  <c r="AM184" i="50"/>
  <c r="AL172" i="32"/>
  <c r="AI171" i="32"/>
  <c r="AN171" i="32" s="1"/>
  <c r="R244" i="53"/>
  <c r="X244" i="53" s="1"/>
  <c r="AL182" i="50"/>
  <c r="AY228" i="69"/>
  <c r="L245" i="57"/>
  <c r="AH244" i="53"/>
  <c r="AT244" i="53"/>
  <c r="AG244" i="53"/>
  <c r="Q244" i="53"/>
  <c r="N245" i="57"/>
  <c r="AD244" i="53"/>
  <c r="I245" i="53"/>
  <c r="AH228" i="69"/>
  <c r="D245" i="53"/>
  <c r="L245" i="53"/>
  <c r="C245" i="53"/>
  <c r="H245" i="53"/>
  <c r="E245" i="53"/>
  <c r="G245" i="53"/>
  <c r="F245" i="53"/>
  <c r="AK244" i="52" a="1"/>
  <c r="AK244" i="52" s="1"/>
  <c r="B246" i="53" s="1"/>
  <c r="J245" i="53"/>
  <c r="P245" i="53"/>
  <c r="K245" i="53"/>
  <c r="A175" i="32"/>
  <c r="B175" i="32"/>
  <c r="R175" i="32" s="1"/>
  <c r="G185" i="50"/>
  <c r="I185" i="50"/>
  <c r="H185" i="50"/>
  <c r="K185" i="50"/>
  <c r="M185" i="50"/>
  <c r="J185" i="50"/>
  <c r="B185" i="50"/>
  <c r="R185" i="50" s="1"/>
  <c r="A185" i="50"/>
  <c r="N185" i="50"/>
  <c r="L185" i="50"/>
  <c r="F185" i="50"/>
  <c r="U185" i="50" s="1"/>
  <c r="G175" i="32"/>
  <c r="J175" i="32"/>
  <c r="K175" i="32"/>
  <c r="F175" i="32"/>
  <c r="U175" i="32" s="1"/>
  <c r="N175" i="32"/>
  <c r="H175" i="32"/>
  <c r="I175" i="32"/>
  <c r="L175" i="32"/>
  <c r="M175" i="32"/>
  <c r="I245" i="57"/>
  <c r="D245" i="57"/>
  <c r="E245" i="57"/>
  <c r="H245" i="57"/>
  <c r="C245" i="57"/>
  <c r="K245" i="57"/>
  <c r="G245" i="57"/>
  <c r="J245" i="57"/>
  <c r="F245" i="57"/>
  <c r="AN244" i="55" a="1"/>
  <c r="AN244" i="55" s="1"/>
  <c r="B246" i="57" s="1"/>
  <c r="AR230" i="67" a="1"/>
  <c r="AR230" i="67" s="1"/>
  <c r="B231" i="69"/>
  <c r="L231" i="69" s="1"/>
  <c r="D229" i="69"/>
  <c r="E229" i="69" s="1"/>
  <c r="F229" i="69" s="1"/>
  <c r="G229" i="69" s="1"/>
  <c r="H229" i="69" s="1"/>
  <c r="I229" i="69" s="1"/>
  <c r="J229" i="69" s="1"/>
  <c r="K229" i="69" s="1"/>
  <c r="M229" i="69" s="1"/>
  <c r="AE228" i="69"/>
  <c r="R228" i="69"/>
  <c r="S228" i="69" s="1"/>
  <c r="Y228" i="69" s="1"/>
  <c r="C230" i="69"/>
  <c r="P230" i="69" s="1"/>
  <c r="AL175" i="11" a="1"/>
  <c r="AL175" i="11" s="1"/>
  <c r="E176" i="32" s="1"/>
  <c r="AP185" i="59" a="1"/>
  <c r="AP185" i="59" s="1"/>
  <c r="E186" i="50" s="1"/>
  <c r="AQ75" i="59" a="1"/>
  <c r="AQ75" i="59" s="1"/>
  <c r="AM60" i="11" a="1"/>
  <c r="AM60" i="11" s="1"/>
  <c r="X243" i="57" l="1"/>
  <c r="AB243" i="57" s="1"/>
  <c r="AD184" i="50"/>
  <c r="AG184" i="50" s="1"/>
  <c r="AA242" i="57"/>
  <c r="AG245" i="57"/>
  <c r="AF242" i="57"/>
  <c r="AD244" i="57"/>
  <c r="M246" i="53"/>
  <c r="AC246" i="53" s="1"/>
  <c r="O246" i="53"/>
  <c r="AP230" i="69"/>
  <c r="N230" i="69"/>
  <c r="U230" i="69" s="1"/>
  <c r="AE244" i="57"/>
  <c r="AJ244" i="57"/>
  <c r="R244" i="57"/>
  <c r="Q244" i="57"/>
  <c r="T244" i="57" s="1"/>
  <c r="AQ244" i="57"/>
  <c r="AC244" i="57"/>
  <c r="M245" i="57"/>
  <c r="AK245" i="57" s="1"/>
  <c r="Q185" i="50"/>
  <c r="P185" i="50" s="1"/>
  <c r="Q175" i="32"/>
  <c r="P175" i="32" s="1"/>
  <c r="N246" i="53"/>
  <c r="T176" i="32"/>
  <c r="O176" i="32"/>
  <c r="T186" i="50"/>
  <c r="O186" i="50"/>
  <c r="AA244" i="53"/>
  <c r="AB244" i="53"/>
  <c r="AP182" i="50"/>
  <c r="C174" i="32"/>
  <c r="Z174" i="32"/>
  <c r="AM175" i="32"/>
  <c r="C184" i="50"/>
  <c r="AJ184" i="50"/>
  <c r="S185" i="50"/>
  <c r="Z185" i="50" s="1"/>
  <c r="W174" i="32"/>
  <c r="X174" i="32" s="1"/>
  <c r="AJ174" i="32"/>
  <c r="S175" i="32"/>
  <c r="Z175" i="32" s="1"/>
  <c r="W184" i="50"/>
  <c r="X183" i="50"/>
  <c r="V184" i="50"/>
  <c r="V174" i="32"/>
  <c r="AF229" i="69"/>
  <c r="Q229" i="69"/>
  <c r="O246" i="57"/>
  <c r="P246" i="57"/>
  <c r="AC227" i="69"/>
  <c r="AD227" i="69" s="1"/>
  <c r="AH183" i="50"/>
  <c r="AI183" i="50" s="1"/>
  <c r="AB228" i="69"/>
  <c r="AG228" i="69"/>
  <c r="O231" i="69"/>
  <c r="AO230" i="69"/>
  <c r="AK186" i="50"/>
  <c r="AF244" i="53"/>
  <c r="AE245" i="53"/>
  <c r="AK176" i="32"/>
  <c r="AG174" i="32"/>
  <c r="AH174" i="32" s="1"/>
  <c r="AM185" i="50"/>
  <c r="AL173" i="32"/>
  <c r="AI172" i="32"/>
  <c r="AN172" i="32" s="1"/>
  <c r="R245" i="53"/>
  <c r="X245" i="53" s="1"/>
  <c r="AL183" i="50"/>
  <c r="AY229" i="69"/>
  <c r="L246" i="57"/>
  <c r="AH245" i="53"/>
  <c r="AT245" i="53"/>
  <c r="AG245" i="53"/>
  <c r="N246" i="57"/>
  <c r="L246" i="53"/>
  <c r="AH229" i="69"/>
  <c r="Q245" i="53"/>
  <c r="AD245" i="53"/>
  <c r="I246" i="53"/>
  <c r="J246" i="53"/>
  <c r="F246" i="53"/>
  <c r="P246" i="53"/>
  <c r="G246" i="53"/>
  <c r="D246" i="53"/>
  <c r="C246" i="53"/>
  <c r="K246" i="53"/>
  <c r="AK245" i="52" a="1"/>
  <c r="AK245" i="52" s="1"/>
  <c r="B247" i="53" s="1"/>
  <c r="E246" i="53"/>
  <c r="H246" i="53"/>
  <c r="A176" i="32"/>
  <c r="B176" i="32"/>
  <c r="R176" i="32" s="1"/>
  <c r="K186" i="50"/>
  <c r="B186" i="50"/>
  <c r="R186" i="50" s="1"/>
  <c r="A186" i="50"/>
  <c r="N186" i="50"/>
  <c r="G186" i="50"/>
  <c r="L186" i="50"/>
  <c r="F186" i="50"/>
  <c r="U186" i="50" s="1"/>
  <c r="J186" i="50"/>
  <c r="M186" i="50"/>
  <c r="H186" i="50"/>
  <c r="I186" i="50"/>
  <c r="M176" i="32"/>
  <c r="H176" i="32"/>
  <c r="I176" i="32"/>
  <c r="L176" i="32"/>
  <c r="F176" i="32"/>
  <c r="U176" i="32" s="1"/>
  <c r="G176" i="32"/>
  <c r="J176" i="32"/>
  <c r="K176" i="32"/>
  <c r="N176" i="32"/>
  <c r="C246" i="57"/>
  <c r="K246" i="57"/>
  <c r="J246" i="57"/>
  <c r="H246" i="57"/>
  <c r="D246" i="57"/>
  <c r="F246" i="57"/>
  <c r="I246" i="57"/>
  <c r="E246" i="57"/>
  <c r="G246" i="57"/>
  <c r="AN245" i="55" a="1"/>
  <c r="AN245" i="55" s="1"/>
  <c r="B247" i="57" s="1"/>
  <c r="C231" i="69"/>
  <c r="P231" i="69" s="1"/>
  <c r="R229" i="69"/>
  <c r="S229" i="69" s="1"/>
  <c r="Y229" i="69" s="1"/>
  <c r="AE229" i="69"/>
  <c r="D230" i="69"/>
  <c r="E230" i="69" s="1"/>
  <c r="F230" i="69" s="1"/>
  <c r="G230" i="69" s="1"/>
  <c r="H230" i="69" s="1"/>
  <c r="I230" i="69" s="1"/>
  <c r="J230" i="69" s="1"/>
  <c r="K230" i="69" s="1"/>
  <c r="M230" i="69" s="1"/>
  <c r="AR231" i="67" a="1"/>
  <c r="AR231" i="67" s="1"/>
  <c r="B232" i="69"/>
  <c r="L232" i="69" s="1"/>
  <c r="AL176" i="11" a="1"/>
  <c r="AL176" i="11" s="1"/>
  <c r="E177" i="32" s="1"/>
  <c r="AP186" i="59" a="1"/>
  <c r="AP186" i="59" s="1"/>
  <c r="E187" i="50" s="1"/>
  <c r="AQ76" i="59" a="1"/>
  <c r="AQ76" i="59" s="1"/>
  <c r="AM61" i="11" a="1"/>
  <c r="AM61" i="11" s="1"/>
  <c r="AD175" i="32" l="1"/>
  <c r="AG175" i="32" s="1"/>
  <c r="AH175" i="32" s="1"/>
  <c r="AD185" i="50"/>
  <c r="AG185" i="50" s="1"/>
  <c r="X244" i="57"/>
  <c r="AA244" i="57" s="1"/>
  <c r="AG246" i="57"/>
  <c r="AA243" i="57"/>
  <c r="AF243" i="57"/>
  <c r="M247" i="53"/>
  <c r="AC247" i="53" s="1"/>
  <c r="O247" i="53"/>
  <c r="AP231" i="69"/>
  <c r="N231" i="69"/>
  <c r="U231" i="69" s="1"/>
  <c r="AJ245" i="57"/>
  <c r="AD245" i="57"/>
  <c r="R245" i="57"/>
  <c r="AE245" i="57"/>
  <c r="Q245" i="57"/>
  <c r="T245" i="57" s="1"/>
  <c r="AQ245" i="57"/>
  <c r="AC245" i="57"/>
  <c r="M246" i="57"/>
  <c r="AK246" i="57" s="1"/>
  <c r="Q186" i="50"/>
  <c r="P186" i="50" s="1"/>
  <c r="Q176" i="32"/>
  <c r="P176" i="32" s="1"/>
  <c r="N247" i="53"/>
  <c r="T177" i="32"/>
  <c r="O177" i="32"/>
  <c r="T187" i="50"/>
  <c r="O187" i="50"/>
  <c r="AA245" i="53"/>
  <c r="AB245" i="53"/>
  <c r="AP183" i="50"/>
  <c r="AM176" i="32"/>
  <c r="AJ185" i="50"/>
  <c r="C185" i="50"/>
  <c r="S186" i="50"/>
  <c r="Z186" i="50" s="1"/>
  <c r="AJ175" i="32"/>
  <c r="W175" i="32"/>
  <c r="X175" i="32" s="1"/>
  <c r="C175" i="32"/>
  <c r="S176" i="32"/>
  <c r="AD176" i="32" s="1"/>
  <c r="W185" i="50"/>
  <c r="X184" i="50"/>
  <c r="V185" i="50"/>
  <c r="V175" i="32"/>
  <c r="AF230" i="69"/>
  <c r="Q230" i="69"/>
  <c r="O247" i="57"/>
  <c r="P247" i="57"/>
  <c r="AC228" i="69"/>
  <c r="AD228" i="69" s="1"/>
  <c r="AH184" i="50"/>
  <c r="AI184" i="50" s="1"/>
  <c r="AB229" i="69"/>
  <c r="AG229" i="69"/>
  <c r="O232" i="69"/>
  <c r="AO231" i="69"/>
  <c r="AK187" i="50"/>
  <c r="AE246" i="53"/>
  <c r="AF245" i="53"/>
  <c r="AK177" i="32"/>
  <c r="AM186" i="50"/>
  <c r="AL174" i="32"/>
  <c r="R246" i="53"/>
  <c r="X246" i="53" s="1"/>
  <c r="AL184" i="50"/>
  <c r="AI173" i="32"/>
  <c r="AN173" i="32" s="1"/>
  <c r="AY230" i="69"/>
  <c r="L247" i="57"/>
  <c r="AH246" i="53"/>
  <c r="AT246" i="53"/>
  <c r="AG246" i="53"/>
  <c r="N247" i="57"/>
  <c r="K247" i="53"/>
  <c r="AH230" i="69"/>
  <c r="Q246" i="53"/>
  <c r="AD246" i="53"/>
  <c r="G247" i="53"/>
  <c r="L247" i="53"/>
  <c r="H247" i="53"/>
  <c r="E247" i="53"/>
  <c r="P247" i="53"/>
  <c r="F247" i="53"/>
  <c r="C247" i="53"/>
  <c r="I247" i="53"/>
  <c r="AK246" i="52" a="1"/>
  <c r="AK246" i="52" s="1"/>
  <c r="B248" i="53" s="1"/>
  <c r="J247" i="53"/>
  <c r="D247" i="53"/>
  <c r="A177" i="32"/>
  <c r="B177" i="32"/>
  <c r="R177" i="32" s="1"/>
  <c r="I187" i="50"/>
  <c r="G187" i="50"/>
  <c r="M187" i="50"/>
  <c r="N187" i="50"/>
  <c r="H187" i="50"/>
  <c r="J187" i="50"/>
  <c r="A187" i="50"/>
  <c r="B187" i="50"/>
  <c r="R187" i="50" s="1"/>
  <c r="F187" i="50"/>
  <c r="U187" i="50" s="1"/>
  <c r="L187" i="50"/>
  <c r="K187" i="50"/>
  <c r="K177" i="32"/>
  <c r="F177" i="32"/>
  <c r="U177" i="32" s="1"/>
  <c r="N177" i="32"/>
  <c r="G177" i="32"/>
  <c r="J177" i="32"/>
  <c r="L177" i="32"/>
  <c r="M177" i="32"/>
  <c r="H177" i="32"/>
  <c r="I177" i="32"/>
  <c r="J247" i="57"/>
  <c r="E247" i="57"/>
  <c r="F247" i="57"/>
  <c r="I247" i="57"/>
  <c r="G247" i="57"/>
  <c r="K247" i="57"/>
  <c r="D247" i="57"/>
  <c r="H247" i="57"/>
  <c r="C247" i="57"/>
  <c r="AN246" i="55" a="1"/>
  <c r="AN246" i="55" s="1"/>
  <c r="B248" i="57" s="1"/>
  <c r="AR232" i="67" a="1"/>
  <c r="AR232" i="67" s="1"/>
  <c r="B233" i="69"/>
  <c r="L233" i="69" s="1"/>
  <c r="D231" i="69"/>
  <c r="E231" i="69" s="1"/>
  <c r="F231" i="69" s="1"/>
  <c r="G231" i="69" s="1"/>
  <c r="H231" i="69" s="1"/>
  <c r="I231" i="69" s="1"/>
  <c r="J231" i="69" s="1"/>
  <c r="K231" i="69" s="1"/>
  <c r="M231" i="69" s="1"/>
  <c r="C232" i="69"/>
  <c r="P232" i="69" s="1"/>
  <c r="AE230" i="69"/>
  <c r="R230" i="69"/>
  <c r="S230" i="69" s="1"/>
  <c r="Y230" i="69" s="1"/>
  <c r="AL177" i="11" a="1"/>
  <c r="AL177" i="11" s="1"/>
  <c r="E178" i="32" s="1"/>
  <c r="AP187" i="59" a="1"/>
  <c r="AP187" i="59" s="1"/>
  <c r="E188" i="50" s="1"/>
  <c r="AQ77" i="59" a="1"/>
  <c r="AQ77" i="59" s="1"/>
  <c r="AM62" i="11" a="1"/>
  <c r="AM62" i="11" s="1"/>
  <c r="AD186" i="50" l="1"/>
  <c r="AG186" i="50" s="1"/>
  <c r="X245" i="57"/>
  <c r="AB245" i="57" s="1"/>
  <c r="AG247" i="57"/>
  <c r="Q246" i="57"/>
  <c r="T246" i="57" s="1"/>
  <c r="AF244" i="57"/>
  <c r="M248" i="53"/>
  <c r="AC248" i="53" s="1"/>
  <c r="O248" i="53"/>
  <c r="AP232" i="69"/>
  <c r="N232" i="69"/>
  <c r="U232" i="69" s="1"/>
  <c r="AB244" i="57"/>
  <c r="AJ246" i="57"/>
  <c r="AD246" i="57"/>
  <c r="R246" i="57"/>
  <c r="AE246" i="57"/>
  <c r="AQ246" i="57"/>
  <c r="AC246" i="57"/>
  <c r="M247" i="57"/>
  <c r="AK247" i="57" s="1"/>
  <c r="Q187" i="50"/>
  <c r="P187" i="50" s="1"/>
  <c r="Q177" i="32"/>
  <c r="P177" i="32" s="1"/>
  <c r="N248" i="53"/>
  <c r="T178" i="32"/>
  <c r="O178" i="32"/>
  <c r="T188" i="50"/>
  <c r="O188" i="50"/>
  <c r="AA246" i="53"/>
  <c r="AB246" i="53"/>
  <c r="AP184" i="50"/>
  <c r="C176" i="32"/>
  <c r="Z176" i="32"/>
  <c r="AM177" i="32"/>
  <c r="C186" i="50"/>
  <c r="AJ186" i="50"/>
  <c r="S187" i="50"/>
  <c r="Z187" i="50" s="1"/>
  <c r="W176" i="32"/>
  <c r="X176" i="32" s="1"/>
  <c r="S177" i="32"/>
  <c r="Z177" i="32" s="1"/>
  <c r="AJ176" i="32"/>
  <c r="W186" i="50"/>
  <c r="X185" i="50"/>
  <c r="V186" i="50"/>
  <c r="V176" i="32"/>
  <c r="AF231" i="69"/>
  <c r="Q231" i="69"/>
  <c r="O248" i="57"/>
  <c r="P248" i="57"/>
  <c r="AC229" i="69"/>
  <c r="AD229" i="69" s="1"/>
  <c r="AH185" i="50"/>
  <c r="AI185" i="50" s="1"/>
  <c r="AB230" i="69"/>
  <c r="AG230" i="69"/>
  <c r="O233" i="69"/>
  <c r="AO232" i="69"/>
  <c r="AK188" i="50"/>
  <c r="AE247" i="53"/>
  <c r="AF246" i="53"/>
  <c r="AK178" i="32"/>
  <c r="AG176" i="32"/>
  <c r="AH176" i="32" s="1"/>
  <c r="AM187" i="50"/>
  <c r="AL175" i="32"/>
  <c r="R247" i="53"/>
  <c r="X247" i="53" s="1"/>
  <c r="AL185" i="50"/>
  <c r="AI174" i="32"/>
  <c r="AN174" i="32" s="1"/>
  <c r="AY231" i="69"/>
  <c r="L248" i="57"/>
  <c r="AG247" i="53"/>
  <c r="AH247" i="53"/>
  <c r="AT247" i="53"/>
  <c r="N248" i="57"/>
  <c r="D248" i="53"/>
  <c r="AH231" i="69"/>
  <c r="AD247" i="53"/>
  <c r="Q247" i="53"/>
  <c r="L248" i="53"/>
  <c r="E248" i="53"/>
  <c r="C248" i="53"/>
  <c r="G248" i="53"/>
  <c r="AK247" i="52" a="1"/>
  <c r="AK247" i="52" s="1"/>
  <c r="B249" i="53" s="1"/>
  <c r="F248" i="53"/>
  <c r="K248" i="53"/>
  <c r="H248" i="53"/>
  <c r="J248" i="53"/>
  <c r="P248" i="53"/>
  <c r="I248" i="53"/>
  <c r="A178" i="32"/>
  <c r="B178" i="32"/>
  <c r="R178" i="32" s="1"/>
  <c r="I188" i="50"/>
  <c r="B188" i="50"/>
  <c r="R188" i="50" s="1"/>
  <c r="F188" i="50"/>
  <c r="U188" i="50" s="1"/>
  <c r="K188" i="50"/>
  <c r="G188" i="50"/>
  <c r="N188" i="50"/>
  <c r="H188" i="50"/>
  <c r="L188" i="50"/>
  <c r="J188" i="50"/>
  <c r="M188" i="50"/>
  <c r="A188" i="50"/>
  <c r="I178" i="32"/>
  <c r="L178" i="32"/>
  <c r="M178" i="32"/>
  <c r="H178" i="32"/>
  <c r="F178" i="32"/>
  <c r="U178" i="32" s="1"/>
  <c r="G178" i="32"/>
  <c r="J178" i="32"/>
  <c r="K178" i="32"/>
  <c r="N178" i="32"/>
  <c r="D248" i="57"/>
  <c r="J248" i="57"/>
  <c r="G248" i="57"/>
  <c r="H248" i="57"/>
  <c r="C248" i="57"/>
  <c r="I248" i="57"/>
  <c r="E248" i="57"/>
  <c r="K248" i="57"/>
  <c r="F248" i="57"/>
  <c r="AN247" i="55" a="1"/>
  <c r="AN247" i="55" s="1"/>
  <c r="B249" i="57" s="1"/>
  <c r="C233" i="69"/>
  <c r="P233" i="69" s="1"/>
  <c r="D232" i="69"/>
  <c r="E232" i="69" s="1"/>
  <c r="F232" i="69" s="1"/>
  <c r="G232" i="69" s="1"/>
  <c r="H232" i="69" s="1"/>
  <c r="I232" i="69" s="1"/>
  <c r="J232" i="69" s="1"/>
  <c r="K232" i="69" s="1"/>
  <c r="M232" i="69" s="1"/>
  <c r="AE231" i="69"/>
  <c r="R231" i="69"/>
  <c r="S231" i="69" s="1"/>
  <c r="Y231" i="69" s="1"/>
  <c r="AR233" i="67" a="1"/>
  <c r="AR233" i="67" s="1"/>
  <c r="B234" i="69"/>
  <c r="L234" i="69" s="1"/>
  <c r="AL178" i="11" a="1"/>
  <c r="AL178" i="11" s="1"/>
  <c r="E179" i="32" s="1"/>
  <c r="AP188" i="59" a="1"/>
  <c r="AP188" i="59" s="1"/>
  <c r="E189" i="50" s="1"/>
  <c r="AQ78" i="59" a="1"/>
  <c r="AQ78" i="59" s="1"/>
  <c r="AM63" i="11" a="1"/>
  <c r="AM63" i="11" s="1"/>
  <c r="AD177" i="32" l="1"/>
  <c r="AG177" i="32" s="1"/>
  <c r="AH177" i="32" s="1"/>
  <c r="AD187" i="50"/>
  <c r="AG187" i="50" s="1"/>
  <c r="X246" i="57"/>
  <c r="AB246" i="57" s="1"/>
  <c r="AG248" i="57"/>
  <c r="AQ247" i="57"/>
  <c r="AA245" i="57"/>
  <c r="Q247" i="57"/>
  <c r="T247" i="57" s="1"/>
  <c r="M249" i="53"/>
  <c r="AC249" i="53" s="1"/>
  <c r="O249" i="53"/>
  <c r="AP233" i="69"/>
  <c r="N233" i="69"/>
  <c r="U233" i="69" s="1"/>
  <c r="AE247" i="57"/>
  <c r="AF245" i="57"/>
  <c r="R247" i="57"/>
  <c r="AD247" i="57"/>
  <c r="AJ247" i="57"/>
  <c r="AC247" i="57"/>
  <c r="M248" i="57"/>
  <c r="AK248" i="57" s="1"/>
  <c r="Q188" i="50"/>
  <c r="P188" i="50" s="1"/>
  <c r="Q178" i="32"/>
  <c r="P178" i="32" s="1"/>
  <c r="N249" i="53"/>
  <c r="T179" i="32"/>
  <c r="O179" i="32"/>
  <c r="T189" i="50"/>
  <c r="O189" i="50"/>
  <c r="AA247" i="53"/>
  <c r="AB247" i="53"/>
  <c r="AP185" i="50"/>
  <c r="AM178" i="32"/>
  <c r="AJ187" i="50"/>
  <c r="C187" i="50"/>
  <c r="S188" i="50"/>
  <c r="Z188" i="50" s="1"/>
  <c r="W177" i="32"/>
  <c r="X177" i="32" s="1"/>
  <c r="C177" i="32"/>
  <c r="AJ177" i="32"/>
  <c r="S178" i="32"/>
  <c r="Z178" i="32" s="1"/>
  <c r="W187" i="50"/>
  <c r="X186" i="50"/>
  <c r="V187" i="50"/>
  <c r="V177" i="32"/>
  <c r="AF232" i="69"/>
  <c r="Q232" i="69"/>
  <c r="O249" i="57"/>
  <c r="P249" i="57"/>
  <c r="AC230" i="69"/>
  <c r="AD230" i="69" s="1"/>
  <c r="AH186" i="50"/>
  <c r="AI186" i="50" s="1"/>
  <c r="AB231" i="69"/>
  <c r="AG231" i="69"/>
  <c r="O234" i="69"/>
  <c r="AO233" i="69"/>
  <c r="AK189" i="50"/>
  <c r="AF247" i="53"/>
  <c r="AE248" i="53"/>
  <c r="AK179" i="32"/>
  <c r="AM188" i="50"/>
  <c r="AL176" i="32"/>
  <c r="AI175" i="32"/>
  <c r="AN175" i="32" s="1"/>
  <c r="R248" i="53"/>
  <c r="X248" i="53" s="1"/>
  <c r="AL186" i="50"/>
  <c r="AY232" i="69"/>
  <c r="L249" i="57"/>
  <c r="AH248" i="53"/>
  <c r="AT248" i="53"/>
  <c r="AG248" i="53"/>
  <c r="N249" i="57"/>
  <c r="K249" i="53"/>
  <c r="AH232" i="69"/>
  <c r="AD248" i="53"/>
  <c r="Q248" i="53"/>
  <c r="E249" i="53"/>
  <c r="C249" i="53"/>
  <c r="D249" i="53"/>
  <c r="P249" i="53"/>
  <c r="F249" i="53"/>
  <c r="AK248" i="52" a="1"/>
  <c r="AK248" i="52" s="1"/>
  <c r="B250" i="53" s="1"/>
  <c r="G249" i="53"/>
  <c r="H249" i="53"/>
  <c r="I249" i="53"/>
  <c r="J249" i="53"/>
  <c r="L249" i="53"/>
  <c r="A179" i="32"/>
  <c r="B179" i="32"/>
  <c r="R179" i="32" s="1"/>
  <c r="J189" i="50"/>
  <c r="L189" i="50"/>
  <c r="A189" i="50"/>
  <c r="N189" i="50"/>
  <c r="H189" i="50"/>
  <c r="I189" i="50"/>
  <c r="G189" i="50"/>
  <c r="M189" i="50"/>
  <c r="K189" i="50"/>
  <c r="B189" i="50"/>
  <c r="R189" i="50" s="1"/>
  <c r="F189" i="50"/>
  <c r="U189" i="50" s="1"/>
  <c r="G179" i="32"/>
  <c r="J179" i="32"/>
  <c r="K179" i="32"/>
  <c r="F179" i="32"/>
  <c r="U179" i="32" s="1"/>
  <c r="N179" i="32"/>
  <c r="H179" i="32"/>
  <c r="I179" i="32"/>
  <c r="L179" i="32"/>
  <c r="M179" i="32"/>
  <c r="J249" i="57"/>
  <c r="I249" i="57"/>
  <c r="F249" i="57"/>
  <c r="E249" i="57"/>
  <c r="D249" i="57"/>
  <c r="C249" i="57"/>
  <c r="H249" i="57"/>
  <c r="K249" i="57"/>
  <c r="G249" i="57"/>
  <c r="AN248" i="55" a="1"/>
  <c r="AN248" i="55" s="1"/>
  <c r="B250" i="57" s="1"/>
  <c r="AR234" i="67" a="1"/>
  <c r="AR234" i="67" s="1"/>
  <c r="B235" i="69"/>
  <c r="L235" i="69" s="1"/>
  <c r="C234" i="69"/>
  <c r="P234" i="69" s="1"/>
  <c r="R232" i="69"/>
  <c r="S232" i="69" s="1"/>
  <c r="Y232" i="69" s="1"/>
  <c r="AE232" i="69"/>
  <c r="D233" i="69"/>
  <c r="E233" i="69" s="1"/>
  <c r="F233" i="69" s="1"/>
  <c r="G233" i="69" s="1"/>
  <c r="H233" i="69" s="1"/>
  <c r="I233" i="69" s="1"/>
  <c r="J233" i="69" s="1"/>
  <c r="K233" i="69" s="1"/>
  <c r="M233" i="69" s="1"/>
  <c r="AL179" i="11" a="1"/>
  <c r="AL179" i="11" s="1"/>
  <c r="E180" i="32" s="1"/>
  <c r="AP189" i="59" a="1"/>
  <c r="AP189" i="59" s="1"/>
  <c r="E190" i="50" s="1"/>
  <c r="AQ79" i="59" a="1"/>
  <c r="AQ79" i="59" s="1"/>
  <c r="AM64" i="11" a="1"/>
  <c r="AM64" i="11" s="1"/>
  <c r="AD178" i="32" l="1"/>
  <c r="AG178" i="32" s="1"/>
  <c r="AH178" i="32" s="1"/>
  <c r="AD188" i="50"/>
  <c r="AG188" i="50" s="1"/>
  <c r="X247" i="57"/>
  <c r="AA247" i="57" s="1"/>
  <c r="AG249" i="57"/>
  <c r="AF246" i="57"/>
  <c r="AA246" i="57"/>
  <c r="R248" i="57"/>
  <c r="Q248" i="57"/>
  <c r="T248" i="57" s="1"/>
  <c r="M250" i="53"/>
  <c r="AC250" i="53" s="1"/>
  <c r="O250" i="53"/>
  <c r="AP234" i="69"/>
  <c r="N234" i="69"/>
  <c r="U234" i="69" s="1"/>
  <c r="AQ248" i="57"/>
  <c r="AE248" i="57"/>
  <c r="AD248" i="57"/>
  <c r="AJ248" i="57"/>
  <c r="AC248" i="57"/>
  <c r="M249" i="57"/>
  <c r="AK249" i="57" s="1"/>
  <c r="Q189" i="50"/>
  <c r="P189" i="50" s="1"/>
  <c r="Q179" i="32"/>
  <c r="P179" i="32" s="1"/>
  <c r="N250" i="53"/>
  <c r="T180" i="32"/>
  <c r="O180" i="32"/>
  <c r="T190" i="50"/>
  <c r="O190" i="50"/>
  <c r="AA248" i="53"/>
  <c r="AB248" i="53"/>
  <c r="AP186" i="50"/>
  <c r="AM179" i="32"/>
  <c r="C188" i="50"/>
  <c r="AJ188" i="50"/>
  <c r="S189" i="50"/>
  <c r="Z189" i="50" s="1"/>
  <c r="C178" i="32"/>
  <c r="AJ178" i="32"/>
  <c r="W178" i="32"/>
  <c r="X178" i="32" s="1"/>
  <c r="S179" i="32"/>
  <c r="Z179" i="32" s="1"/>
  <c r="W188" i="50"/>
  <c r="X187" i="50"/>
  <c r="V188" i="50"/>
  <c r="V178" i="32"/>
  <c r="AF233" i="69"/>
  <c r="Q233" i="69"/>
  <c r="O250" i="57"/>
  <c r="P250" i="57"/>
  <c r="AC231" i="69"/>
  <c r="AD231" i="69" s="1"/>
  <c r="AH187" i="50"/>
  <c r="AI187" i="50" s="1"/>
  <c r="AB232" i="69"/>
  <c r="AG232" i="69"/>
  <c r="AO234" i="69"/>
  <c r="O235" i="69"/>
  <c r="AK190" i="50"/>
  <c r="AE249" i="53"/>
  <c r="AF248" i="53"/>
  <c r="AK180" i="32"/>
  <c r="AM189" i="50"/>
  <c r="AL177" i="32"/>
  <c r="AI176" i="32"/>
  <c r="AN176" i="32" s="1"/>
  <c r="R249" i="53"/>
  <c r="X249" i="53" s="1"/>
  <c r="AL187" i="50"/>
  <c r="AY233" i="69"/>
  <c r="L250" i="57"/>
  <c r="AH249" i="53"/>
  <c r="AT249" i="53"/>
  <c r="AG249" i="53"/>
  <c r="N250" i="57"/>
  <c r="AH233" i="69"/>
  <c r="AD249" i="53"/>
  <c r="Q249" i="53"/>
  <c r="AK249" i="52" a="1"/>
  <c r="AK249" i="52" s="1"/>
  <c r="B251" i="53" s="1"/>
  <c r="J250" i="53"/>
  <c r="H250" i="53"/>
  <c r="I250" i="53"/>
  <c r="F250" i="53"/>
  <c r="E250" i="53"/>
  <c r="D250" i="53"/>
  <c r="L250" i="53"/>
  <c r="C250" i="53"/>
  <c r="G250" i="53"/>
  <c r="P250" i="53"/>
  <c r="K250" i="53"/>
  <c r="A180" i="32"/>
  <c r="B180" i="32"/>
  <c r="R180" i="32" s="1"/>
  <c r="A190" i="50"/>
  <c r="G190" i="50"/>
  <c r="H190" i="50"/>
  <c r="J190" i="50"/>
  <c r="I190" i="50"/>
  <c r="L190" i="50"/>
  <c r="N190" i="50"/>
  <c r="F190" i="50"/>
  <c r="U190" i="50" s="1"/>
  <c r="M190" i="50"/>
  <c r="B190" i="50"/>
  <c r="R190" i="50" s="1"/>
  <c r="K190" i="50"/>
  <c r="M180" i="32"/>
  <c r="H180" i="32"/>
  <c r="I180" i="32"/>
  <c r="L180" i="32"/>
  <c r="N180" i="32"/>
  <c r="F180" i="32"/>
  <c r="U180" i="32" s="1"/>
  <c r="G180" i="32"/>
  <c r="J180" i="32"/>
  <c r="K180" i="32"/>
  <c r="C250" i="57"/>
  <c r="H250" i="57"/>
  <c r="I250" i="57"/>
  <c r="E250" i="57"/>
  <c r="D250" i="57"/>
  <c r="K250" i="57"/>
  <c r="F250" i="57"/>
  <c r="G250" i="57"/>
  <c r="J250" i="57"/>
  <c r="AN249" i="55" a="1"/>
  <c r="AN249" i="55" s="1"/>
  <c r="B251" i="57" s="1"/>
  <c r="AR235" i="67" a="1"/>
  <c r="AR235" i="67" s="1"/>
  <c r="B236" i="69"/>
  <c r="L236" i="69" s="1"/>
  <c r="R233" i="69"/>
  <c r="S233" i="69" s="1"/>
  <c r="Y233" i="69" s="1"/>
  <c r="AE233" i="69"/>
  <c r="C235" i="69"/>
  <c r="P235" i="69" s="1"/>
  <c r="D234" i="69"/>
  <c r="E234" i="69" s="1"/>
  <c r="F234" i="69" s="1"/>
  <c r="G234" i="69" s="1"/>
  <c r="H234" i="69" s="1"/>
  <c r="I234" i="69" s="1"/>
  <c r="J234" i="69" s="1"/>
  <c r="K234" i="69" s="1"/>
  <c r="M234" i="69" s="1"/>
  <c r="AL180" i="11" a="1"/>
  <c r="AL180" i="11" s="1"/>
  <c r="E181" i="32" s="1"/>
  <c r="AP190" i="59" a="1"/>
  <c r="AP190" i="59" s="1"/>
  <c r="E191" i="50" s="1"/>
  <c r="AQ80" i="59" a="1"/>
  <c r="AQ80" i="59" s="1"/>
  <c r="AM65" i="11" a="1"/>
  <c r="AM65" i="11" s="1"/>
  <c r="AB233" i="69" l="1"/>
  <c r="AC233" i="69" s="1"/>
  <c r="AD233" i="69" s="1"/>
  <c r="AD179" i="32"/>
  <c r="AG179" i="32" s="1"/>
  <c r="AH179" i="32" s="1"/>
  <c r="AD189" i="50"/>
  <c r="AG189" i="50" s="1"/>
  <c r="X248" i="57"/>
  <c r="AB248" i="57" s="1"/>
  <c r="AG250" i="57"/>
  <c r="AB247" i="57"/>
  <c r="Q249" i="57"/>
  <c r="T249" i="57" s="1"/>
  <c r="AJ249" i="57"/>
  <c r="AD249" i="57"/>
  <c r="AF247" i="57"/>
  <c r="M251" i="53"/>
  <c r="AC251" i="53" s="1"/>
  <c r="O251" i="53"/>
  <c r="AP235" i="69"/>
  <c r="N235" i="69"/>
  <c r="U235" i="69" s="1"/>
  <c r="R249" i="57"/>
  <c r="AQ249" i="57"/>
  <c r="AC249" i="57"/>
  <c r="AE249" i="57"/>
  <c r="M250" i="57"/>
  <c r="AK250" i="57" s="1"/>
  <c r="Q190" i="50"/>
  <c r="P190" i="50" s="1"/>
  <c r="Q180" i="32"/>
  <c r="P180" i="32" s="1"/>
  <c r="N251" i="53"/>
  <c r="T181" i="32"/>
  <c r="O181" i="32"/>
  <c r="T191" i="50"/>
  <c r="O191" i="50"/>
  <c r="AA249" i="53"/>
  <c r="AB249" i="53"/>
  <c r="AP187" i="50"/>
  <c r="AM180" i="32"/>
  <c r="C189" i="50"/>
  <c r="AJ189" i="50"/>
  <c r="S190" i="50"/>
  <c r="Z190" i="50" s="1"/>
  <c r="C179" i="32"/>
  <c r="AJ179" i="32"/>
  <c r="W179" i="32"/>
  <c r="X179" i="32" s="1"/>
  <c r="S180" i="32"/>
  <c r="Z180" i="32" s="1"/>
  <c r="W189" i="50"/>
  <c r="X188" i="50"/>
  <c r="V189" i="50"/>
  <c r="V179" i="32"/>
  <c r="AF234" i="69"/>
  <c r="Q234" i="69"/>
  <c r="O251" i="57"/>
  <c r="P251" i="57"/>
  <c r="AC232" i="69"/>
  <c r="AD232" i="69" s="1"/>
  <c r="AH188" i="50"/>
  <c r="AI188" i="50" s="1"/>
  <c r="O236" i="69"/>
  <c r="AG233" i="69"/>
  <c r="AO235" i="69"/>
  <c r="AK191" i="50"/>
  <c r="AE250" i="53"/>
  <c r="AF249" i="53"/>
  <c r="AK181" i="32"/>
  <c r="AM190" i="50"/>
  <c r="AL178" i="32"/>
  <c r="AI177" i="32"/>
  <c r="AN177" i="32" s="1"/>
  <c r="R250" i="53"/>
  <c r="X250" i="53" s="1"/>
  <c r="AL188" i="50"/>
  <c r="AY234" i="69"/>
  <c r="L251" i="57"/>
  <c r="AG250" i="53"/>
  <c r="Q250" i="53"/>
  <c r="AH250" i="53"/>
  <c r="AT250" i="53"/>
  <c r="AD250" i="53"/>
  <c r="N251" i="57"/>
  <c r="G251" i="53"/>
  <c r="AH234" i="69"/>
  <c r="I251" i="53"/>
  <c r="J251" i="53"/>
  <c r="K251" i="53"/>
  <c r="P251" i="53"/>
  <c r="AK250" i="52" a="1"/>
  <c r="AK250" i="52" s="1"/>
  <c r="B252" i="53" s="1"/>
  <c r="H251" i="53"/>
  <c r="C251" i="53"/>
  <c r="E251" i="53"/>
  <c r="F251" i="53"/>
  <c r="L251" i="53"/>
  <c r="D251" i="53"/>
  <c r="A181" i="32"/>
  <c r="B181" i="32"/>
  <c r="R181" i="32" s="1"/>
  <c r="I191" i="50"/>
  <c r="A191" i="50"/>
  <c r="M191" i="50"/>
  <c r="K191" i="50"/>
  <c r="N191" i="50"/>
  <c r="H191" i="50"/>
  <c r="B191" i="50"/>
  <c r="R191" i="50" s="1"/>
  <c r="L191" i="50"/>
  <c r="F191" i="50"/>
  <c r="U191" i="50" s="1"/>
  <c r="G191" i="50"/>
  <c r="J191" i="50"/>
  <c r="K181" i="32"/>
  <c r="F181" i="32"/>
  <c r="U181" i="32" s="1"/>
  <c r="N181" i="32"/>
  <c r="G181" i="32"/>
  <c r="J181" i="32"/>
  <c r="H181" i="32"/>
  <c r="I181" i="32"/>
  <c r="L181" i="32"/>
  <c r="M181" i="32"/>
  <c r="H251" i="57"/>
  <c r="D251" i="57"/>
  <c r="E251" i="57"/>
  <c r="J251" i="57"/>
  <c r="F251" i="57"/>
  <c r="C251" i="57"/>
  <c r="K251" i="57"/>
  <c r="G251" i="57"/>
  <c r="I251" i="57"/>
  <c r="AN250" i="55" a="1"/>
  <c r="AN250" i="55" s="1"/>
  <c r="B252" i="57" s="1"/>
  <c r="AR236" i="67" a="1"/>
  <c r="AR236" i="67" s="1"/>
  <c r="B237" i="69"/>
  <c r="L237" i="69" s="1"/>
  <c r="D235" i="69"/>
  <c r="E235" i="69" s="1"/>
  <c r="F235" i="69" s="1"/>
  <c r="G235" i="69" s="1"/>
  <c r="H235" i="69" s="1"/>
  <c r="I235" i="69" s="1"/>
  <c r="J235" i="69" s="1"/>
  <c r="K235" i="69" s="1"/>
  <c r="M235" i="69" s="1"/>
  <c r="AE234" i="69"/>
  <c r="R234" i="69"/>
  <c r="S234" i="69" s="1"/>
  <c r="Y234" i="69" s="1"/>
  <c r="C236" i="69"/>
  <c r="P236" i="69" s="1"/>
  <c r="AL181" i="11" a="1"/>
  <c r="AL181" i="11" s="1"/>
  <c r="AP191" i="59" a="1"/>
  <c r="AP191" i="59" s="1"/>
  <c r="E192" i="50" s="1"/>
  <c r="AQ81" i="59" a="1"/>
  <c r="AQ81" i="59" s="1"/>
  <c r="AM66" i="11" a="1"/>
  <c r="AM66" i="11" s="1"/>
  <c r="AF248" i="57" l="1"/>
  <c r="AB234" i="69"/>
  <c r="AC234" i="69" s="1"/>
  <c r="AD234" i="69" s="1"/>
  <c r="AD180" i="32"/>
  <c r="AG180" i="32" s="1"/>
  <c r="AH180" i="32" s="1"/>
  <c r="AD190" i="50"/>
  <c r="AG190" i="50" s="1"/>
  <c r="AA248" i="57"/>
  <c r="AG251" i="57"/>
  <c r="X249" i="57"/>
  <c r="AB249" i="57" s="1"/>
  <c r="AQ250" i="57"/>
  <c r="M252" i="53"/>
  <c r="AC252" i="53" s="1"/>
  <c r="O252" i="53"/>
  <c r="AP236" i="69"/>
  <c r="N236" i="69"/>
  <c r="U236" i="69" s="1"/>
  <c r="AE250" i="57"/>
  <c r="AJ250" i="57"/>
  <c r="Q250" i="57"/>
  <c r="T250" i="57" s="1"/>
  <c r="AD250" i="57"/>
  <c r="AC250" i="57"/>
  <c r="R250" i="57"/>
  <c r="M251" i="57"/>
  <c r="AK251" i="57" s="1"/>
  <c r="Q191" i="50"/>
  <c r="P191" i="50" s="1"/>
  <c r="Q181" i="32"/>
  <c r="P181" i="32" s="1"/>
  <c r="N252" i="53"/>
  <c r="T192" i="50"/>
  <c r="O192" i="50"/>
  <c r="AA250" i="53"/>
  <c r="AB250" i="53"/>
  <c r="AP188" i="50"/>
  <c r="AM181" i="32"/>
  <c r="C190" i="50"/>
  <c r="AJ190" i="50"/>
  <c r="S191" i="50"/>
  <c r="Z191" i="50" s="1"/>
  <c r="C180" i="32"/>
  <c r="AJ180" i="32"/>
  <c r="S181" i="32"/>
  <c r="Z181" i="32" s="1"/>
  <c r="W190" i="50"/>
  <c r="W180" i="32"/>
  <c r="X180" i="32" s="1"/>
  <c r="X189" i="50"/>
  <c r="V190" i="50"/>
  <c r="AF235" i="69"/>
  <c r="Q235" i="69"/>
  <c r="O252" i="57"/>
  <c r="P252" i="57"/>
  <c r="AH189" i="50"/>
  <c r="AI189" i="50" s="1"/>
  <c r="O237" i="69"/>
  <c r="AO236" i="69"/>
  <c r="AG234" i="69"/>
  <c r="AK192" i="50"/>
  <c r="AE251" i="53"/>
  <c r="AF250" i="53"/>
  <c r="AM191" i="50"/>
  <c r="AL179" i="32"/>
  <c r="AI178" i="32"/>
  <c r="AN178" i="32" s="1"/>
  <c r="R251" i="53"/>
  <c r="X251" i="53" s="1"/>
  <c r="AL189" i="50"/>
  <c r="AY235" i="69"/>
  <c r="L252" i="57"/>
  <c r="AH251" i="53"/>
  <c r="AT251" i="53"/>
  <c r="AG251" i="53"/>
  <c r="N252" i="57"/>
  <c r="AH235" i="69"/>
  <c r="V180" i="32"/>
  <c r="AD251" i="53"/>
  <c r="Q251" i="53"/>
  <c r="F252" i="53"/>
  <c r="L252" i="53"/>
  <c r="H252" i="53"/>
  <c r="D252" i="53"/>
  <c r="E252" i="53"/>
  <c r="G252" i="53"/>
  <c r="K252" i="53"/>
  <c r="C252" i="53"/>
  <c r="J252" i="53"/>
  <c r="AK251" i="52" a="1"/>
  <c r="AK251" i="52" s="1"/>
  <c r="B253" i="53" s="1"/>
  <c r="P252" i="53"/>
  <c r="I252" i="53"/>
  <c r="G192" i="50"/>
  <c r="H192" i="50"/>
  <c r="M192" i="50"/>
  <c r="F192" i="50"/>
  <c r="U192" i="50" s="1"/>
  <c r="N192" i="50"/>
  <c r="L192" i="50"/>
  <c r="B192" i="50"/>
  <c r="R192" i="50" s="1"/>
  <c r="K192" i="50"/>
  <c r="I192" i="50"/>
  <c r="J192" i="50"/>
  <c r="A192" i="50"/>
  <c r="F252" i="57"/>
  <c r="J252" i="57"/>
  <c r="E252" i="57"/>
  <c r="H252" i="57"/>
  <c r="K252" i="57"/>
  <c r="G252" i="57"/>
  <c r="D252" i="57"/>
  <c r="I252" i="57"/>
  <c r="C252" i="57"/>
  <c r="E182" i="32"/>
  <c r="AN251" i="55" a="1"/>
  <c r="AN251" i="55" s="1"/>
  <c r="B253" i="57" s="1"/>
  <c r="C237" i="69"/>
  <c r="P237" i="69" s="1"/>
  <c r="R235" i="69"/>
  <c r="S235" i="69" s="1"/>
  <c r="AE235" i="69"/>
  <c r="D236" i="69"/>
  <c r="E236" i="69" s="1"/>
  <c r="F236" i="69" s="1"/>
  <c r="G236" i="69" s="1"/>
  <c r="H236" i="69" s="1"/>
  <c r="I236" i="69" s="1"/>
  <c r="J236" i="69" s="1"/>
  <c r="K236" i="69" s="1"/>
  <c r="M236" i="69" s="1"/>
  <c r="AR237" i="67" a="1"/>
  <c r="AR237" i="67" s="1"/>
  <c r="B238" i="69"/>
  <c r="L238" i="69" s="1"/>
  <c r="AL182" i="11" a="1"/>
  <c r="AL182" i="11" s="1"/>
  <c r="E183" i="32" s="1"/>
  <c r="AP192" i="59" a="1"/>
  <c r="AP192" i="59" s="1"/>
  <c r="E193" i="50" s="1"/>
  <c r="AQ82" i="59" a="1"/>
  <c r="AQ82" i="59" s="1"/>
  <c r="AM67" i="11" a="1"/>
  <c r="AM67" i="11" s="1"/>
  <c r="Y235" i="69" l="1"/>
  <c r="AB235" i="69" s="1"/>
  <c r="AC235" i="69" s="1"/>
  <c r="AD235" i="69" s="1"/>
  <c r="AD181" i="32"/>
  <c r="AG181" i="32" s="1"/>
  <c r="AH181" i="32" s="1"/>
  <c r="AD191" i="50"/>
  <c r="AG191" i="50" s="1"/>
  <c r="AG252" i="57"/>
  <c r="X250" i="57"/>
  <c r="AA250" i="57" s="1"/>
  <c r="AA249" i="57"/>
  <c r="AF249" i="57"/>
  <c r="AQ251" i="57"/>
  <c r="AC251" i="57"/>
  <c r="AE251" i="57"/>
  <c r="AD251" i="57"/>
  <c r="AJ251" i="57"/>
  <c r="Q251" i="57"/>
  <c r="T251" i="57" s="1"/>
  <c r="R251" i="57"/>
  <c r="M253" i="53"/>
  <c r="AC253" i="53" s="1"/>
  <c r="O253" i="53"/>
  <c r="AP237" i="69"/>
  <c r="N237" i="69"/>
  <c r="U237" i="69" s="1"/>
  <c r="M252" i="57"/>
  <c r="AK252" i="57" s="1"/>
  <c r="Q192" i="50"/>
  <c r="P192" i="50" s="1"/>
  <c r="N253" i="53"/>
  <c r="T182" i="32"/>
  <c r="O182" i="32"/>
  <c r="T183" i="32"/>
  <c r="O183" i="32"/>
  <c r="O193" i="50"/>
  <c r="T193" i="50"/>
  <c r="AA251" i="53"/>
  <c r="AB251" i="53"/>
  <c r="AP189" i="50"/>
  <c r="AJ191" i="50"/>
  <c r="C191" i="50"/>
  <c r="S192" i="50"/>
  <c r="Z192" i="50" s="1"/>
  <c r="W181" i="32"/>
  <c r="X181" i="32" s="1"/>
  <c r="AJ181" i="32"/>
  <c r="C181" i="32"/>
  <c r="W191" i="50"/>
  <c r="X190" i="50"/>
  <c r="V191" i="50"/>
  <c r="V181" i="32"/>
  <c r="AF236" i="69"/>
  <c r="Q236" i="69"/>
  <c r="O253" i="57"/>
  <c r="P253" i="57"/>
  <c r="AH190" i="50"/>
  <c r="AI190" i="50" s="1"/>
  <c r="O238" i="69"/>
  <c r="AO237" i="69"/>
  <c r="AK193" i="50"/>
  <c r="AE252" i="53"/>
  <c r="AF251" i="53"/>
  <c r="AK183" i="32"/>
  <c r="AK182" i="32"/>
  <c r="AM192" i="50"/>
  <c r="AL180" i="32"/>
  <c r="R252" i="53"/>
  <c r="X252" i="53" s="1"/>
  <c r="AL190" i="50"/>
  <c r="AI179" i="32"/>
  <c r="AN179" i="32" s="1"/>
  <c r="AY236" i="69"/>
  <c r="L253" i="57"/>
  <c r="AG252" i="53"/>
  <c r="AH252" i="53"/>
  <c r="AT252" i="53"/>
  <c r="N253" i="57"/>
  <c r="F253" i="53"/>
  <c r="AH236" i="69"/>
  <c r="AD252" i="53"/>
  <c r="Q252" i="53"/>
  <c r="K253" i="53"/>
  <c r="C253" i="53"/>
  <c r="H253" i="53"/>
  <c r="I253" i="53"/>
  <c r="P253" i="53"/>
  <c r="G253" i="53"/>
  <c r="J253" i="53"/>
  <c r="E253" i="53"/>
  <c r="AK252" i="52" a="1"/>
  <c r="AK252" i="52" s="1"/>
  <c r="B254" i="53" s="1"/>
  <c r="L253" i="53"/>
  <c r="D253" i="53"/>
  <c r="A183" i="32"/>
  <c r="B183" i="32"/>
  <c r="R183" i="32" s="1"/>
  <c r="A182" i="32"/>
  <c r="B182" i="32"/>
  <c r="R182" i="32" s="1"/>
  <c r="H193" i="50"/>
  <c r="B193" i="50"/>
  <c r="R193" i="50" s="1"/>
  <c r="J193" i="50"/>
  <c r="I193" i="50"/>
  <c r="A193" i="50"/>
  <c r="G193" i="50"/>
  <c r="M193" i="50"/>
  <c r="K193" i="50"/>
  <c r="N193" i="50"/>
  <c r="F193" i="50"/>
  <c r="U193" i="50" s="1"/>
  <c r="L193" i="50"/>
  <c r="I182" i="32"/>
  <c r="L182" i="32"/>
  <c r="M182" i="32"/>
  <c r="H182" i="32"/>
  <c r="J182" i="32"/>
  <c r="K182" i="32"/>
  <c r="N182" i="32"/>
  <c r="G182" i="32"/>
  <c r="F182" i="32"/>
  <c r="U182" i="32" s="1"/>
  <c r="G183" i="32"/>
  <c r="J183" i="32"/>
  <c r="K183" i="32"/>
  <c r="F183" i="32"/>
  <c r="U183" i="32" s="1"/>
  <c r="N183" i="32"/>
  <c r="H183" i="32"/>
  <c r="I183" i="32"/>
  <c r="L183" i="32"/>
  <c r="M183" i="32"/>
  <c r="H253" i="57"/>
  <c r="F253" i="57"/>
  <c r="D253" i="57"/>
  <c r="I253" i="57"/>
  <c r="E253" i="57"/>
  <c r="J253" i="57"/>
  <c r="G253" i="57"/>
  <c r="K253" i="57"/>
  <c r="C253" i="57"/>
  <c r="AN252" i="55" a="1"/>
  <c r="AN252" i="55" s="1"/>
  <c r="B254" i="57" s="1"/>
  <c r="D237" i="69"/>
  <c r="E237" i="69" s="1"/>
  <c r="F237" i="69" s="1"/>
  <c r="G237" i="69" s="1"/>
  <c r="H237" i="69" s="1"/>
  <c r="I237" i="69" s="1"/>
  <c r="J237" i="69" s="1"/>
  <c r="K237" i="69" s="1"/>
  <c r="M237" i="69" s="1"/>
  <c r="R236" i="69"/>
  <c r="S236" i="69" s="1"/>
  <c r="Y236" i="69" s="1"/>
  <c r="AE236" i="69"/>
  <c r="AR238" i="67" a="1"/>
  <c r="AR238" i="67" s="1"/>
  <c r="B239" i="69"/>
  <c r="L239" i="69" s="1"/>
  <c r="C238" i="69"/>
  <c r="P238" i="69" s="1"/>
  <c r="AL183" i="11" a="1"/>
  <c r="AL183" i="11" s="1"/>
  <c r="E184" i="32" s="1"/>
  <c r="AP193" i="59" a="1"/>
  <c r="AP193" i="59" s="1"/>
  <c r="E194" i="50" s="1"/>
  <c r="AQ83" i="59" a="1"/>
  <c r="AQ83" i="59" s="1"/>
  <c r="AM68" i="11" a="1"/>
  <c r="AM68" i="11" s="1"/>
  <c r="X251" i="57" l="1"/>
  <c r="AB251" i="57" s="1"/>
  <c r="AG235" i="69"/>
  <c r="AD192" i="50"/>
  <c r="AG192" i="50" s="1"/>
  <c r="AG253" i="57"/>
  <c r="AB250" i="57"/>
  <c r="AD252" i="57"/>
  <c r="AF250" i="57"/>
  <c r="Q252" i="57"/>
  <c r="T252" i="57" s="1"/>
  <c r="AC252" i="57"/>
  <c r="AQ252" i="57"/>
  <c r="AE252" i="57"/>
  <c r="AJ252" i="57"/>
  <c r="M254" i="53"/>
  <c r="AC254" i="53" s="1"/>
  <c r="O254" i="53"/>
  <c r="AP238" i="69"/>
  <c r="N238" i="69"/>
  <c r="U238" i="69" s="1"/>
  <c r="R252" i="57"/>
  <c r="M253" i="57"/>
  <c r="AK253" i="57" s="1"/>
  <c r="Q193" i="50"/>
  <c r="P193" i="50" s="1"/>
  <c r="Q183" i="32"/>
  <c r="P183" i="32" s="1"/>
  <c r="Q182" i="32"/>
  <c r="P182" i="32" s="1"/>
  <c r="N254" i="53"/>
  <c r="T184" i="32"/>
  <c r="O184" i="32"/>
  <c r="T194" i="50"/>
  <c r="O194" i="50"/>
  <c r="AA252" i="53"/>
  <c r="AB252" i="53"/>
  <c r="AP190" i="50"/>
  <c r="AM183" i="32"/>
  <c r="AM182" i="32"/>
  <c r="AJ192" i="50"/>
  <c r="C192" i="50"/>
  <c r="S193" i="50"/>
  <c r="Z193" i="50" s="1"/>
  <c r="S183" i="32"/>
  <c r="Z183" i="32" s="1"/>
  <c r="S182" i="32"/>
  <c r="Z182" i="32" s="1"/>
  <c r="W192" i="50"/>
  <c r="X191" i="50"/>
  <c r="V192" i="50"/>
  <c r="AF237" i="69"/>
  <c r="Q237" i="69"/>
  <c r="O254" i="57"/>
  <c r="P254" i="57"/>
  <c r="AH191" i="50"/>
  <c r="AI191" i="50" s="1"/>
  <c r="AB236" i="69"/>
  <c r="AG236" i="69"/>
  <c r="AO238" i="69"/>
  <c r="O239" i="69"/>
  <c r="AK194" i="50"/>
  <c r="AE253" i="53"/>
  <c r="AF252" i="53"/>
  <c r="AK184" i="32"/>
  <c r="AM193" i="50"/>
  <c r="AL181" i="32"/>
  <c r="AI180" i="32"/>
  <c r="AN180" i="32" s="1"/>
  <c r="R253" i="53"/>
  <c r="X253" i="53" s="1"/>
  <c r="AL191" i="50"/>
  <c r="AY237" i="69"/>
  <c r="L254" i="57"/>
  <c r="AH253" i="53"/>
  <c r="AT253" i="53"/>
  <c r="AG253" i="53"/>
  <c r="N254" i="57"/>
  <c r="C254" i="53"/>
  <c r="AH237" i="69"/>
  <c r="AD253" i="53"/>
  <c r="Q253" i="53"/>
  <c r="F254" i="53"/>
  <c r="D254" i="53"/>
  <c r="P254" i="53"/>
  <c r="AK253" i="52" a="1"/>
  <c r="AK253" i="52" s="1"/>
  <c r="B255" i="53" s="1"/>
  <c r="J254" i="53"/>
  <c r="E254" i="53"/>
  <c r="L254" i="53"/>
  <c r="K254" i="53"/>
  <c r="I254" i="53"/>
  <c r="H254" i="53"/>
  <c r="G254" i="53"/>
  <c r="A184" i="32"/>
  <c r="B184" i="32"/>
  <c r="R184" i="32" s="1"/>
  <c r="F194" i="50"/>
  <c r="U194" i="50" s="1"/>
  <c r="A194" i="50"/>
  <c r="N194" i="50"/>
  <c r="B194" i="50"/>
  <c r="R194" i="50" s="1"/>
  <c r="J194" i="50"/>
  <c r="M194" i="50"/>
  <c r="L194" i="50"/>
  <c r="K194" i="50"/>
  <c r="I194" i="50"/>
  <c r="G194" i="50"/>
  <c r="H194" i="50"/>
  <c r="M184" i="32"/>
  <c r="H184" i="32"/>
  <c r="I184" i="32"/>
  <c r="L184" i="32"/>
  <c r="F184" i="32"/>
  <c r="U184" i="32" s="1"/>
  <c r="G184" i="32"/>
  <c r="J184" i="32"/>
  <c r="K184" i="32"/>
  <c r="N184" i="32"/>
  <c r="I254" i="57"/>
  <c r="E254" i="57"/>
  <c r="D254" i="57"/>
  <c r="K254" i="57"/>
  <c r="F254" i="57"/>
  <c r="G254" i="57"/>
  <c r="J254" i="57"/>
  <c r="C254" i="57"/>
  <c r="H254" i="57"/>
  <c r="AN253" i="55" a="1"/>
  <c r="AN253" i="55" s="1"/>
  <c r="B255" i="57" s="1"/>
  <c r="AR239" i="67" a="1"/>
  <c r="AR239" i="67" s="1"/>
  <c r="B240" i="69"/>
  <c r="L240" i="69" s="1"/>
  <c r="AE237" i="69"/>
  <c r="R237" i="69"/>
  <c r="S237" i="69" s="1"/>
  <c r="Y237" i="69" s="1"/>
  <c r="C239" i="69"/>
  <c r="P239" i="69" s="1"/>
  <c r="D238" i="69"/>
  <c r="E238" i="69" s="1"/>
  <c r="F238" i="69" s="1"/>
  <c r="G238" i="69" s="1"/>
  <c r="H238" i="69" s="1"/>
  <c r="I238" i="69" s="1"/>
  <c r="J238" i="69" s="1"/>
  <c r="K238" i="69" s="1"/>
  <c r="M238" i="69" s="1"/>
  <c r="AL184" i="11" a="1"/>
  <c r="AL184" i="11" s="1"/>
  <c r="E185" i="32" s="1"/>
  <c r="AP194" i="59" a="1"/>
  <c r="AP194" i="59" s="1"/>
  <c r="E195" i="50" s="1"/>
  <c r="AQ84" i="59" a="1"/>
  <c r="AQ84" i="59" s="1"/>
  <c r="AM69" i="11" a="1"/>
  <c r="AM69" i="11" s="1"/>
  <c r="AD182" i="32" l="1"/>
  <c r="AG182" i="32" s="1"/>
  <c r="AH182" i="32" s="1"/>
  <c r="AD183" i="32"/>
  <c r="AG183" i="32" s="1"/>
  <c r="AH183" i="32" s="1"/>
  <c r="AD193" i="50"/>
  <c r="AG193" i="50" s="1"/>
  <c r="X252" i="57"/>
  <c r="AB252" i="57" s="1"/>
  <c r="AG254" i="57"/>
  <c r="AA251" i="57"/>
  <c r="AF251" i="57"/>
  <c r="AC253" i="57"/>
  <c r="M255" i="53"/>
  <c r="AC255" i="53" s="1"/>
  <c r="O255" i="53"/>
  <c r="AP239" i="69"/>
  <c r="N239" i="69"/>
  <c r="U239" i="69" s="1"/>
  <c r="AE253" i="57"/>
  <c r="AD253" i="57"/>
  <c r="AJ253" i="57"/>
  <c r="Q253" i="57"/>
  <c r="T253" i="57" s="1"/>
  <c r="AQ253" i="57"/>
  <c r="R253" i="57"/>
  <c r="M254" i="57"/>
  <c r="AK254" i="57" s="1"/>
  <c r="Q194" i="50"/>
  <c r="P194" i="50" s="1"/>
  <c r="Q184" i="32"/>
  <c r="P184" i="32" s="1"/>
  <c r="N255" i="53"/>
  <c r="T185" i="32"/>
  <c r="O185" i="32"/>
  <c r="T195" i="50"/>
  <c r="O195" i="50"/>
  <c r="AA253" i="53"/>
  <c r="AB253" i="53"/>
  <c r="AP191" i="50"/>
  <c r="AM184" i="32"/>
  <c r="C193" i="50"/>
  <c r="AJ193" i="50"/>
  <c r="S194" i="50"/>
  <c r="Z194" i="50" s="1"/>
  <c r="AJ182" i="32"/>
  <c r="C182" i="32"/>
  <c r="W182" i="32"/>
  <c r="X182" i="32" s="1"/>
  <c r="AJ183" i="32"/>
  <c r="W183" i="32"/>
  <c r="X183" i="32" s="1"/>
  <c r="C183" i="32"/>
  <c r="S184" i="32"/>
  <c r="Z184" i="32" s="1"/>
  <c r="W193" i="50"/>
  <c r="X192" i="50"/>
  <c r="V193" i="50"/>
  <c r="V182" i="32"/>
  <c r="V183" i="32"/>
  <c r="AF238" i="69"/>
  <c r="Q238" i="69"/>
  <c r="O255" i="57"/>
  <c r="P255" i="57"/>
  <c r="AC236" i="69"/>
  <c r="AD236" i="69" s="1"/>
  <c r="AH192" i="50"/>
  <c r="AI192" i="50" s="1"/>
  <c r="AB237" i="69"/>
  <c r="AG237" i="69"/>
  <c r="O240" i="69"/>
  <c r="AO239" i="69"/>
  <c r="AK195" i="50"/>
  <c r="AE254" i="53"/>
  <c r="AF253" i="53"/>
  <c r="AK185" i="32"/>
  <c r="AM194" i="50"/>
  <c r="AI181" i="32"/>
  <c r="AN181" i="32" s="1"/>
  <c r="R254" i="53"/>
  <c r="X254" i="53" s="1"/>
  <c r="AL192" i="50"/>
  <c r="AY238" i="69"/>
  <c r="L255" i="57"/>
  <c r="AG254" i="53"/>
  <c r="AH254" i="53"/>
  <c r="AT254" i="53"/>
  <c r="N255" i="57"/>
  <c r="P255" i="53"/>
  <c r="AH238" i="69"/>
  <c r="AD254" i="53"/>
  <c r="Q254" i="53"/>
  <c r="AK254" i="52" a="1"/>
  <c r="AK254" i="52" s="1"/>
  <c r="B256" i="53" s="1"/>
  <c r="G255" i="53"/>
  <c r="H255" i="53"/>
  <c r="L255" i="53"/>
  <c r="D255" i="53"/>
  <c r="J255" i="53"/>
  <c r="I255" i="53"/>
  <c r="C255" i="53"/>
  <c r="E255" i="53"/>
  <c r="F255" i="53"/>
  <c r="K255" i="53"/>
  <c r="A185" i="32"/>
  <c r="B185" i="32"/>
  <c r="R185" i="32" s="1"/>
  <c r="M195" i="50"/>
  <c r="G195" i="50"/>
  <c r="J195" i="50"/>
  <c r="B195" i="50"/>
  <c r="R195" i="50" s="1"/>
  <c r="I195" i="50"/>
  <c r="K195" i="50"/>
  <c r="L195" i="50"/>
  <c r="N195" i="50"/>
  <c r="H195" i="50"/>
  <c r="F195" i="50"/>
  <c r="U195" i="50" s="1"/>
  <c r="A195" i="50"/>
  <c r="K185" i="32"/>
  <c r="F185" i="32"/>
  <c r="U185" i="32" s="1"/>
  <c r="N185" i="32"/>
  <c r="G185" i="32"/>
  <c r="J185" i="32"/>
  <c r="L185" i="32"/>
  <c r="M185" i="32"/>
  <c r="H185" i="32"/>
  <c r="I185" i="32"/>
  <c r="H255" i="57"/>
  <c r="D255" i="57"/>
  <c r="J255" i="57"/>
  <c r="K255" i="57"/>
  <c r="F255" i="57"/>
  <c r="I255" i="57"/>
  <c r="G255" i="57"/>
  <c r="E255" i="57"/>
  <c r="C255" i="57"/>
  <c r="AN254" i="55" a="1"/>
  <c r="AN254" i="55" s="1"/>
  <c r="B256" i="57" s="1"/>
  <c r="AR240" i="67" a="1"/>
  <c r="AR240" i="67" s="1"/>
  <c r="B241" i="69"/>
  <c r="L241" i="69" s="1"/>
  <c r="AE238" i="69"/>
  <c r="R238" i="69"/>
  <c r="S238" i="69" s="1"/>
  <c r="Y238" i="69" s="1"/>
  <c r="D239" i="69"/>
  <c r="E239" i="69" s="1"/>
  <c r="F239" i="69" s="1"/>
  <c r="G239" i="69" s="1"/>
  <c r="H239" i="69" s="1"/>
  <c r="I239" i="69" s="1"/>
  <c r="J239" i="69" s="1"/>
  <c r="K239" i="69" s="1"/>
  <c r="M239" i="69" s="1"/>
  <c r="C240" i="69"/>
  <c r="P240" i="69" s="1"/>
  <c r="AL185" i="11" a="1"/>
  <c r="AL185" i="11" s="1"/>
  <c r="E186" i="32" s="1"/>
  <c r="AP195" i="59" a="1"/>
  <c r="AP195" i="59" s="1"/>
  <c r="E196" i="50" s="1"/>
  <c r="AQ85" i="59" a="1"/>
  <c r="AQ85" i="59" s="1"/>
  <c r="AM70" i="11" a="1"/>
  <c r="AM70" i="11" s="1"/>
  <c r="AD184" i="32" l="1"/>
  <c r="AG184" i="32" s="1"/>
  <c r="AH184" i="32" s="1"/>
  <c r="AD194" i="50"/>
  <c r="AG194" i="50" s="1"/>
  <c r="X253" i="57"/>
  <c r="AB253" i="57" s="1"/>
  <c r="AG255" i="57"/>
  <c r="AA252" i="57"/>
  <c r="AF252" i="57"/>
  <c r="AJ254" i="57"/>
  <c r="Q254" i="57"/>
  <c r="T254" i="57" s="1"/>
  <c r="AD254" i="57"/>
  <c r="AE254" i="57"/>
  <c r="M256" i="53"/>
  <c r="AC256" i="53" s="1"/>
  <c r="O256" i="53"/>
  <c r="AP240" i="69"/>
  <c r="N240" i="69"/>
  <c r="U240" i="69" s="1"/>
  <c r="R254" i="57"/>
  <c r="AQ254" i="57"/>
  <c r="AC254" i="57"/>
  <c r="M255" i="57"/>
  <c r="AK255" i="57" s="1"/>
  <c r="Q195" i="50"/>
  <c r="P195" i="50" s="1"/>
  <c r="Q185" i="32"/>
  <c r="P185" i="32" s="1"/>
  <c r="N256" i="53"/>
  <c r="T186" i="32"/>
  <c r="O186" i="32"/>
  <c r="T196" i="50"/>
  <c r="O196" i="50"/>
  <c r="AA254" i="53"/>
  <c r="AB254" i="53"/>
  <c r="AP192" i="50"/>
  <c r="AM185" i="32"/>
  <c r="AJ194" i="50"/>
  <c r="C194" i="50"/>
  <c r="S195" i="50"/>
  <c r="Z195" i="50" s="1"/>
  <c r="W184" i="32"/>
  <c r="X184" i="32" s="1"/>
  <c r="C184" i="32"/>
  <c r="AJ184" i="32"/>
  <c r="S185" i="32"/>
  <c r="Z185" i="32" s="1"/>
  <c r="W194" i="50"/>
  <c r="X193" i="50"/>
  <c r="V194" i="50"/>
  <c r="V184" i="32"/>
  <c r="AF239" i="69"/>
  <c r="Q239" i="69"/>
  <c r="O256" i="57"/>
  <c r="P256" i="57"/>
  <c r="AC237" i="69"/>
  <c r="AD237" i="69" s="1"/>
  <c r="AH193" i="50"/>
  <c r="AI193" i="50" s="1"/>
  <c r="AB238" i="69"/>
  <c r="AG238" i="69"/>
  <c r="O241" i="69"/>
  <c r="AO240" i="69"/>
  <c r="AK196" i="50"/>
  <c r="AE255" i="53"/>
  <c r="AF254" i="53"/>
  <c r="AK186" i="32"/>
  <c r="AM195" i="50"/>
  <c r="AL183" i="32"/>
  <c r="AL182" i="32"/>
  <c r="R255" i="53"/>
  <c r="X255" i="53" s="1"/>
  <c r="AL193" i="50"/>
  <c r="AY239" i="69"/>
  <c r="L256" i="57"/>
  <c r="AH255" i="53"/>
  <c r="AT255" i="53"/>
  <c r="AG255" i="53"/>
  <c r="N256" i="57"/>
  <c r="AH239" i="69"/>
  <c r="Q255" i="53"/>
  <c r="AD255" i="53"/>
  <c r="L256" i="53"/>
  <c r="G256" i="53"/>
  <c r="P256" i="53"/>
  <c r="E256" i="53"/>
  <c r="K256" i="53"/>
  <c r="C256" i="53"/>
  <c r="D256" i="53"/>
  <c r="J256" i="53"/>
  <c r="AK255" i="52" a="1"/>
  <c r="AK255" i="52" s="1"/>
  <c r="B257" i="53" s="1"/>
  <c r="I256" i="53"/>
  <c r="F256" i="53"/>
  <c r="H256" i="53"/>
  <c r="A186" i="32"/>
  <c r="B186" i="32"/>
  <c r="R186" i="32" s="1"/>
  <c r="I196" i="50"/>
  <c r="F196" i="50"/>
  <c r="U196" i="50" s="1"/>
  <c r="K196" i="50"/>
  <c r="G196" i="50"/>
  <c r="M196" i="50"/>
  <c r="N196" i="50"/>
  <c r="J196" i="50"/>
  <c r="A196" i="50"/>
  <c r="B196" i="50"/>
  <c r="R196" i="50" s="1"/>
  <c r="H196" i="50"/>
  <c r="L196" i="50"/>
  <c r="I186" i="32"/>
  <c r="L186" i="32"/>
  <c r="M186" i="32"/>
  <c r="H186" i="32"/>
  <c r="F186" i="32"/>
  <c r="U186" i="32" s="1"/>
  <c r="G186" i="32"/>
  <c r="J186" i="32"/>
  <c r="K186" i="32"/>
  <c r="N186" i="32"/>
  <c r="J256" i="57"/>
  <c r="F256" i="57"/>
  <c r="D256" i="57"/>
  <c r="I256" i="57"/>
  <c r="E256" i="57"/>
  <c r="H256" i="57"/>
  <c r="C256" i="57"/>
  <c r="G256" i="57"/>
  <c r="K256" i="57"/>
  <c r="AN255" i="55" a="1"/>
  <c r="AN255" i="55" s="1"/>
  <c r="B257" i="57" s="1"/>
  <c r="C241" i="69"/>
  <c r="P241" i="69" s="1"/>
  <c r="D240" i="69"/>
  <c r="E240" i="69" s="1"/>
  <c r="F240" i="69" s="1"/>
  <c r="G240" i="69" s="1"/>
  <c r="H240" i="69" s="1"/>
  <c r="I240" i="69" s="1"/>
  <c r="J240" i="69" s="1"/>
  <c r="K240" i="69" s="1"/>
  <c r="M240" i="69" s="1"/>
  <c r="AE239" i="69"/>
  <c r="R239" i="69"/>
  <c r="S239" i="69" s="1"/>
  <c r="Y239" i="69" s="1"/>
  <c r="AR241" i="67" a="1"/>
  <c r="AR241" i="67" s="1"/>
  <c r="B242" i="69"/>
  <c r="L242" i="69" s="1"/>
  <c r="AL186" i="11" a="1"/>
  <c r="AL186" i="11" s="1"/>
  <c r="E187" i="32" s="1"/>
  <c r="AP196" i="59" a="1"/>
  <c r="AP196" i="59" s="1"/>
  <c r="E197" i="50" s="1"/>
  <c r="AQ86" i="59" a="1"/>
  <c r="AQ86" i="59" s="1"/>
  <c r="AM71" i="11" a="1"/>
  <c r="AM71" i="11" s="1"/>
  <c r="AE255" i="57" l="1"/>
  <c r="AD185" i="32"/>
  <c r="AG185" i="32" s="1"/>
  <c r="AH185" i="32" s="1"/>
  <c r="AD195" i="50"/>
  <c r="AG195" i="50" s="1"/>
  <c r="X254" i="57"/>
  <c r="AB254" i="57" s="1"/>
  <c r="AG256" i="57"/>
  <c r="AF253" i="57"/>
  <c r="AA253" i="57"/>
  <c r="M257" i="53"/>
  <c r="AC257" i="53" s="1"/>
  <c r="O257" i="53"/>
  <c r="AP241" i="69"/>
  <c r="N241" i="69"/>
  <c r="U241" i="69" s="1"/>
  <c r="AJ255" i="57"/>
  <c r="AD255" i="57"/>
  <c r="R255" i="57"/>
  <c r="Q255" i="57"/>
  <c r="T255" i="57" s="1"/>
  <c r="AQ255" i="57"/>
  <c r="AC255" i="57"/>
  <c r="M256" i="57"/>
  <c r="AK256" i="57" s="1"/>
  <c r="Q196" i="50"/>
  <c r="P196" i="50" s="1"/>
  <c r="Q186" i="32"/>
  <c r="P186" i="32" s="1"/>
  <c r="N257" i="53"/>
  <c r="T187" i="32"/>
  <c r="O187" i="32"/>
  <c r="T197" i="50"/>
  <c r="O197" i="50"/>
  <c r="AA255" i="53"/>
  <c r="AB255" i="53"/>
  <c r="AP193" i="50"/>
  <c r="AM186" i="32"/>
  <c r="C195" i="50"/>
  <c r="AJ195" i="50"/>
  <c r="S196" i="50"/>
  <c r="Z196" i="50" s="1"/>
  <c r="C185" i="32"/>
  <c r="W185" i="32"/>
  <c r="X185" i="32" s="1"/>
  <c r="S186" i="32"/>
  <c r="Z186" i="32" s="1"/>
  <c r="AJ185" i="32"/>
  <c r="W195" i="50"/>
  <c r="X194" i="50"/>
  <c r="V195" i="50"/>
  <c r="V185" i="32"/>
  <c r="AF240" i="69"/>
  <c r="Q240" i="69"/>
  <c r="O257" i="57"/>
  <c r="P257" i="57"/>
  <c r="P258" i="57" s="1"/>
  <c r="AC238" i="69"/>
  <c r="AD238" i="69" s="1"/>
  <c r="AH194" i="50"/>
  <c r="AI194" i="50" s="1"/>
  <c r="AB239" i="69"/>
  <c r="AG239" i="69"/>
  <c r="AO241" i="69"/>
  <c r="O242" i="69"/>
  <c r="AK197" i="50"/>
  <c r="AE256" i="53"/>
  <c r="AF255" i="53"/>
  <c r="AK187" i="32"/>
  <c r="AM196" i="50"/>
  <c r="AL184" i="32"/>
  <c r="AI183" i="32"/>
  <c r="AN183" i="32" s="1"/>
  <c r="R256" i="53"/>
  <c r="X256" i="53" s="1"/>
  <c r="AL194" i="50"/>
  <c r="AI182" i="32"/>
  <c r="AN182" i="32" s="1"/>
  <c r="AY240" i="69"/>
  <c r="L257" i="57"/>
  <c r="AH256" i="53"/>
  <c r="AT256" i="53"/>
  <c r="AG256" i="53"/>
  <c r="N257" i="57"/>
  <c r="AH240" i="69"/>
  <c r="Q256" i="53"/>
  <c r="AD256" i="53"/>
  <c r="J257" i="53"/>
  <c r="F257" i="53"/>
  <c r="AK256" i="52" a="1"/>
  <c r="AK256" i="52" s="1"/>
  <c r="AK257" i="52" s="1" a="1"/>
  <c r="AK257" i="52" s="1"/>
  <c r="L257" i="53"/>
  <c r="K257" i="53"/>
  <c r="D257" i="53"/>
  <c r="E257" i="53"/>
  <c r="H257" i="53"/>
  <c r="I257" i="53"/>
  <c r="P257" i="53"/>
  <c r="P258" i="53" s="1"/>
  <c r="G257" i="53"/>
  <c r="C257" i="53"/>
  <c r="A187" i="32"/>
  <c r="B187" i="32"/>
  <c r="R187" i="32" s="1"/>
  <c r="K197" i="50"/>
  <c r="A197" i="50"/>
  <c r="M197" i="50"/>
  <c r="G197" i="50"/>
  <c r="N197" i="50"/>
  <c r="J197" i="50"/>
  <c r="B197" i="50"/>
  <c r="R197" i="50" s="1"/>
  <c r="L197" i="50"/>
  <c r="F197" i="50"/>
  <c r="U197" i="50" s="1"/>
  <c r="H197" i="50"/>
  <c r="I197" i="50"/>
  <c r="G187" i="32"/>
  <c r="J187" i="32"/>
  <c r="K187" i="32"/>
  <c r="F187" i="32"/>
  <c r="U187" i="32" s="1"/>
  <c r="N187" i="32"/>
  <c r="H187" i="32"/>
  <c r="I187" i="32"/>
  <c r="L187" i="32"/>
  <c r="M187" i="32"/>
  <c r="H257" i="57"/>
  <c r="F257" i="57"/>
  <c r="D257" i="57"/>
  <c r="C257" i="57"/>
  <c r="I257" i="57"/>
  <c r="E257" i="57"/>
  <c r="J257" i="57"/>
  <c r="K257" i="57"/>
  <c r="G257" i="57"/>
  <c r="AN256" i="55" a="1"/>
  <c r="AN256" i="55" s="1"/>
  <c r="AN257" i="55" s="1" a="1"/>
  <c r="AN257" i="55" s="1"/>
  <c r="AR242" i="67" a="1"/>
  <c r="AR242" i="67" s="1"/>
  <c r="B243" i="69"/>
  <c r="L243" i="69" s="1"/>
  <c r="R240" i="69"/>
  <c r="S240" i="69" s="1"/>
  <c r="Y240" i="69" s="1"/>
  <c r="AE240" i="69"/>
  <c r="C242" i="69"/>
  <c r="P242" i="69" s="1"/>
  <c r="D241" i="69"/>
  <c r="E241" i="69" s="1"/>
  <c r="F241" i="69" s="1"/>
  <c r="G241" i="69" s="1"/>
  <c r="H241" i="69" s="1"/>
  <c r="I241" i="69" s="1"/>
  <c r="J241" i="69" s="1"/>
  <c r="K241" i="69" s="1"/>
  <c r="M241" i="69" s="1"/>
  <c r="AL187" i="11" a="1"/>
  <c r="AL187" i="11" s="1"/>
  <c r="AP197" i="59" a="1"/>
  <c r="AP197" i="59" s="1"/>
  <c r="E198" i="50" s="1"/>
  <c r="AQ87" i="59" a="1"/>
  <c r="AQ87" i="59" s="1"/>
  <c r="AM72" i="11" a="1"/>
  <c r="AM72" i="11" s="1"/>
  <c r="AD186" i="32" l="1"/>
  <c r="AG186" i="32" s="1"/>
  <c r="AH186" i="32" s="1"/>
  <c r="AD196" i="50"/>
  <c r="AG196" i="50" s="1"/>
  <c r="AD256" i="57"/>
  <c r="R256" i="57"/>
  <c r="X255" i="57"/>
  <c r="AA255" i="57" s="1"/>
  <c r="AG257" i="57"/>
  <c r="AA254" i="57"/>
  <c r="AF254" i="57"/>
  <c r="AP242" i="69"/>
  <c r="N242" i="69"/>
  <c r="U242" i="69" s="1"/>
  <c r="AQ256" i="57"/>
  <c r="AE256" i="57"/>
  <c r="Q256" i="57"/>
  <c r="T256" i="57" s="1"/>
  <c r="AJ256" i="57"/>
  <c r="AC256" i="57"/>
  <c r="M257" i="57"/>
  <c r="AK257" i="57" s="1"/>
  <c r="AK258" i="57" s="1"/>
  <c r="H25" i="73" s="1"/>
  <c r="Q197" i="50"/>
  <c r="P197" i="50" s="1"/>
  <c r="Q187" i="32"/>
  <c r="P187" i="32" s="1"/>
  <c r="T198" i="50"/>
  <c r="O198" i="50"/>
  <c r="AA256" i="53"/>
  <c r="AB256" i="53"/>
  <c r="AP194" i="50"/>
  <c r="AM187" i="32"/>
  <c r="AJ196" i="50"/>
  <c r="C196" i="50"/>
  <c r="S197" i="50"/>
  <c r="AJ186" i="32"/>
  <c r="W186" i="32"/>
  <c r="X186" i="32" s="1"/>
  <c r="C186" i="32"/>
  <c r="S187" i="32"/>
  <c r="Z187" i="32" s="1"/>
  <c r="W196" i="50"/>
  <c r="X195" i="50"/>
  <c r="V196" i="50"/>
  <c r="V186" i="32"/>
  <c r="AF241" i="69"/>
  <c r="Q241" i="69"/>
  <c r="AC239" i="69"/>
  <c r="AD239" i="69" s="1"/>
  <c r="AH195" i="50"/>
  <c r="AI195" i="50" s="1"/>
  <c r="AB240" i="69"/>
  <c r="AG240" i="69"/>
  <c r="O243" i="69"/>
  <c r="AO242" i="69"/>
  <c r="AK198" i="50"/>
  <c r="AE257" i="53"/>
  <c r="AF256" i="53"/>
  <c r="AM197" i="50"/>
  <c r="AL185" i="32"/>
  <c r="AI184" i="32"/>
  <c r="AN184" i="32" s="1"/>
  <c r="R257" i="53"/>
  <c r="X257" i="53" s="1"/>
  <c r="AL195" i="50"/>
  <c r="N154" i="22"/>
  <c r="P154" i="22" s="1"/>
  <c r="M154" i="22"/>
  <c r="O154" i="22" s="1"/>
  <c r="M150" i="22"/>
  <c r="O150" i="22" s="1"/>
  <c r="M162" i="22"/>
  <c r="O162" i="22" s="1"/>
  <c r="N156" i="22"/>
  <c r="P156" i="22" s="1"/>
  <c r="N158" i="22"/>
  <c r="P158" i="22" s="1"/>
  <c r="M155" i="22"/>
  <c r="O155" i="22" s="1"/>
  <c r="M156" i="22"/>
  <c r="O156" i="22" s="1"/>
  <c r="M159" i="22"/>
  <c r="O159" i="22" s="1"/>
  <c r="N151" i="22"/>
  <c r="P151" i="22" s="1"/>
  <c r="N155" i="22"/>
  <c r="P155" i="22" s="1"/>
  <c r="N153" i="22"/>
  <c r="P153" i="22" s="1"/>
  <c r="N159" i="22"/>
  <c r="P159" i="22" s="1"/>
  <c r="N161" i="22"/>
  <c r="P161" i="22" s="1"/>
  <c r="M152" i="22"/>
  <c r="O152" i="22" s="1"/>
  <c r="N162" i="22"/>
  <c r="P162" i="22" s="1"/>
  <c r="M161" i="22"/>
  <c r="O161" i="22" s="1"/>
  <c r="M160" i="22"/>
  <c r="O160" i="22" s="1"/>
  <c r="M153" i="22"/>
  <c r="O153" i="22" s="1"/>
  <c r="M151" i="22"/>
  <c r="O151" i="22" s="1"/>
  <c r="M158" i="22"/>
  <c r="O158" i="22" s="1"/>
  <c r="N160" i="22"/>
  <c r="P160" i="22" s="1"/>
  <c r="N157" i="22"/>
  <c r="P157" i="22" s="1"/>
  <c r="M157" i="22"/>
  <c r="O157" i="22" s="1"/>
  <c r="N152" i="22"/>
  <c r="P152" i="22" s="1"/>
  <c r="N150" i="22"/>
  <c r="P150" i="22" s="1"/>
  <c r="AY241" i="69"/>
  <c r="AG257" i="53"/>
  <c r="AH257" i="53"/>
  <c r="AH258" i="53" s="1"/>
  <c r="H13" i="73" s="1"/>
  <c r="J17" i="73" s="1"/>
  <c r="K17" i="73" s="1"/>
  <c r="AT257" i="53"/>
  <c r="AH241" i="69"/>
  <c r="Q257" i="53"/>
  <c r="AD257" i="53"/>
  <c r="A198" i="50"/>
  <c r="N198" i="50"/>
  <c r="I198" i="50"/>
  <c r="F198" i="50"/>
  <c r="U198" i="50" s="1"/>
  <c r="J198" i="50"/>
  <c r="G198" i="50"/>
  <c r="L198" i="50"/>
  <c r="H198" i="50"/>
  <c r="B198" i="50"/>
  <c r="R198" i="50" s="1"/>
  <c r="M198" i="50"/>
  <c r="K198" i="50"/>
  <c r="E188" i="32"/>
  <c r="AE241" i="69"/>
  <c r="R241" i="69"/>
  <c r="S241" i="69" s="1"/>
  <c r="Y241" i="69" s="1"/>
  <c r="D242" i="69"/>
  <c r="E242" i="69" s="1"/>
  <c r="F242" i="69" s="1"/>
  <c r="G242" i="69" s="1"/>
  <c r="H242" i="69" s="1"/>
  <c r="I242" i="69" s="1"/>
  <c r="J242" i="69" s="1"/>
  <c r="K242" i="69" s="1"/>
  <c r="M242" i="69" s="1"/>
  <c r="C243" i="69"/>
  <c r="P243" i="69" s="1"/>
  <c r="AR243" i="67" a="1"/>
  <c r="AR243" i="67" s="1"/>
  <c r="B244" i="69"/>
  <c r="L244" i="69" s="1"/>
  <c r="AL188" i="11" a="1"/>
  <c r="AL188" i="11" s="1"/>
  <c r="E189" i="32" s="1"/>
  <c r="AP198" i="59" a="1"/>
  <c r="AP198" i="59" s="1"/>
  <c r="E199" i="50" s="1"/>
  <c r="AQ88" i="59" a="1"/>
  <c r="AQ88" i="59" s="1"/>
  <c r="AM73" i="11" a="1"/>
  <c r="AM73" i="11" s="1"/>
  <c r="H29" i="73" l="1"/>
  <c r="J29" i="73"/>
  <c r="K29" i="73" s="1"/>
  <c r="AQ257" i="57"/>
  <c r="AD187" i="32"/>
  <c r="AG187" i="32" s="1"/>
  <c r="AH187" i="32" s="1"/>
  <c r="AD197" i="50"/>
  <c r="AG197" i="50" s="1"/>
  <c r="X256" i="57"/>
  <c r="AB256" i="57" s="1"/>
  <c r="H17" i="73"/>
  <c r="Z161" i="22"/>
  <c r="Y154" i="22"/>
  <c r="AP243" i="69"/>
  <c r="N243" i="69"/>
  <c r="U243" i="69" s="1"/>
  <c r="AF255" i="57"/>
  <c r="Y150" i="22"/>
  <c r="AA150" i="22" s="1"/>
  <c r="E120" i="36" s="1"/>
  <c r="G120" i="36" s="1"/>
  <c r="R257" i="57"/>
  <c r="Z156" i="22"/>
  <c r="Y159" i="22"/>
  <c r="AB255" i="57"/>
  <c r="Q257" i="57"/>
  <c r="T257" i="57" s="1"/>
  <c r="AJ257" i="57"/>
  <c r="AJ258" i="57" s="1"/>
  <c r="L25" i="73" s="1"/>
  <c r="Y156" i="22"/>
  <c r="Y161" i="22"/>
  <c r="Y157" i="22"/>
  <c r="Y158" i="22"/>
  <c r="Z151" i="22"/>
  <c r="Z160" i="22"/>
  <c r="Y151" i="22"/>
  <c r="Y160" i="22"/>
  <c r="Y153" i="22"/>
  <c r="AC257" i="57"/>
  <c r="Z162" i="22"/>
  <c r="AD257" i="57"/>
  <c r="Y162" i="22"/>
  <c r="Y155" i="22"/>
  <c r="Y152" i="22"/>
  <c r="AE257" i="57"/>
  <c r="Z150" i="22"/>
  <c r="Z153" i="22"/>
  <c r="Z152" i="22"/>
  <c r="Z159" i="22"/>
  <c r="Z154" i="22"/>
  <c r="Z155" i="22"/>
  <c r="Z158" i="22"/>
  <c r="Z157" i="22"/>
  <c r="Q198" i="50"/>
  <c r="P198" i="50" s="1"/>
  <c r="T189" i="32"/>
  <c r="O189" i="32"/>
  <c r="T188" i="32"/>
  <c r="O188" i="32"/>
  <c r="T199" i="50"/>
  <c r="O199" i="50"/>
  <c r="AA257" i="53"/>
  <c r="AB257" i="53"/>
  <c r="AP195" i="50"/>
  <c r="C197" i="50"/>
  <c r="Z197" i="50"/>
  <c r="AJ197" i="50"/>
  <c r="S198" i="50"/>
  <c r="Z198" i="50" s="1"/>
  <c r="AJ187" i="32"/>
  <c r="W187" i="32"/>
  <c r="X187" i="32" s="1"/>
  <c r="C187" i="32"/>
  <c r="W197" i="50"/>
  <c r="X196" i="50"/>
  <c r="V197" i="50"/>
  <c r="V187" i="32"/>
  <c r="AF242" i="69"/>
  <c r="Q242" i="69"/>
  <c r="AC240" i="69"/>
  <c r="AD240" i="69" s="1"/>
  <c r="AH196" i="50"/>
  <c r="AI196" i="50" s="1"/>
  <c r="AB241" i="69"/>
  <c r="AG241" i="69"/>
  <c r="AO243" i="69"/>
  <c r="O244" i="69"/>
  <c r="AK199" i="50"/>
  <c r="AF257" i="53"/>
  <c r="AK189" i="32"/>
  <c r="AK188" i="32"/>
  <c r="AM198" i="50"/>
  <c r="AL186" i="32"/>
  <c r="AI185" i="32"/>
  <c r="AN185" i="32" s="1"/>
  <c r="AL196" i="50"/>
  <c r="Q157" i="22"/>
  <c r="E107" i="36"/>
  <c r="R162" i="22"/>
  <c r="C47" i="104" s="1"/>
  <c r="F112" i="36"/>
  <c r="Q162" i="22"/>
  <c r="E112" i="36"/>
  <c r="Q153" i="22"/>
  <c r="E103" i="36"/>
  <c r="R155" i="22"/>
  <c r="C33" i="104" s="1"/>
  <c r="F105" i="36"/>
  <c r="Q150" i="22"/>
  <c r="E100" i="36"/>
  <c r="R150" i="22"/>
  <c r="C14" i="104" s="1"/>
  <c r="F100" i="36"/>
  <c r="R160" i="22"/>
  <c r="C45" i="104" s="1"/>
  <c r="F110" i="36"/>
  <c r="Q160" i="22"/>
  <c r="E110" i="36"/>
  <c r="R161" i="22"/>
  <c r="C46" i="104" s="1"/>
  <c r="F111" i="36"/>
  <c r="R151" i="22"/>
  <c r="C22" i="104" s="1"/>
  <c r="F101" i="36"/>
  <c r="R158" i="22"/>
  <c r="C36" i="104" s="1"/>
  <c r="F108" i="36"/>
  <c r="Q154" i="22"/>
  <c r="E104" i="36"/>
  <c r="Q151" i="22"/>
  <c r="E101" i="36"/>
  <c r="R153" i="22"/>
  <c r="C24" i="104" s="1"/>
  <c r="F103" i="36"/>
  <c r="Q156" i="22"/>
  <c r="E106" i="36"/>
  <c r="R157" i="22"/>
  <c r="C35" i="104" s="1"/>
  <c r="F107" i="36"/>
  <c r="Q152" i="22"/>
  <c r="E102" i="36"/>
  <c r="Q155" i="22"/>
  <c r="E105" i="36"/>
  <c r="R152" i="22"/>
  <c r="C23" i="104" s="1"/>
  <c r="F102" i="36"/>
  <c r="Q158" i="22"/>
  <c r="E108" i="36"/>
  <c r="Q161" i="22"/>
  <c r="E111" i="36"/>
  <c r="R159" i="22"/>
  <c r="F109" i="36"/>
  <c r="Q159" i="22"/>
  <c r="E109" i="36"/>
  <c r="R156" i="22"/>
  <c r="C34" i="104" s="1"/>
  <c r="F106" i="36"/>
  <c r="R154" i="22"/>
  <c r="C32" i="104" s="1"/>
  <c r="F104" i="36"/>
  <c r="AY242" i="69"/>
  <c r="AH242" i="69"/>
  <c r="A189" i="32"/>
  <c r="B189" i="32"/>
  <c r="R189" i="32" s="1"/>
  <c r="A188" i="32"/>
  <c r="B188" i="32"/>
  <c r="R188" i="32" s="1"/>
  <c r="K199" i="50"/>
  <c r="M199" i="50"/>
  <c r="I199" i="50"/>
  <c r="A199" i="50"/>
  <c r="G199" i="50"/>
  <c r="H199" i="50"/>
  <c r="J199" i="50"/>
  <c r="L199" i="50"/>
  <c r="B199" i="50"/>
  <c r="R199" i="50" s="1"/>
  <c r="N199" i="50"/>
  <c r="F199" i="50"/>
  <c r="U199" i="50" s="1"/>
  <c r="K189" i="32"/>
  <c r="F189" i="32"/>
  <c r="U189" i="32" s="1"/>
  <c r="N189" i="32"/>
  <c r="G189" i="32"/>
  <c r="J189" i="32"/>
  <c r="H189" i="32"/>
  <c r="I189" i="32"/>
  <c r="L189" i="32"/>
  <c r="M189" i="32"/>
  <c r="M188" i="32"/>
  <c r="H188" i="32"/>
  <c r="I188" i="32"/>
  <c r="L188" i="32"/>
  <c r="N188" i="32"/>
  <c r="F188" i="32"/>
  <c r="U188" i="32" s="1"/>
  <c r="G188" i="32"/>
  <c r="K188" i="32"/>
  <c r="J188" i="32"/>
  <c r="AR244" i="67" a="1"/>
  <c r="AR244" i="67" s="1"/>
  <c r="B245" i="69"/>
  <c r="L245" i="69" s="1"/>
  <c r="D243" i="69"/>
  <c r="E243" i="69" s="1"/>
  <c r="F243" i="69" s="1"/>
  <c r="G243" i="69" s="1"/>
  <c r="H243" i="69" s="1"/>
  <c r="I243" i="69" s="1"/>
  <c r="J243" i="69" s="1"/>
  <c r="K243" i="69" s="1"/>
  <c r="M243" i="69" s="1"/>
  <c r="AE242" i="69"/>
  <c r="R242" i="69"/>
  <c r="S242" i="69" s="1"/>
  <c r="Y242" i="69" s="1"/>
  <c r="C244" i="69"/>
  <c r="P244" i="69" s="1"/>
  <c r="AL189" i="11" a="1"/>
  <c r="AL189" i="11" s="1"/>
  <c r="E190" i="32" s="1"/>
  <c r="AP199" i="59" a="1"/>
  <c r="AP199" i="59" s="1"/>
  <c r="E200" i="50" s="1"/>
  <c r="AQ89" i="59" a="1"/>
  <c r="AQ89" i="59" s="1"/>
  <c r="AM74" i="11" a="1"/>
  <c r="AM74" i="11" s="1"/>
  <c r="X257" i="57" l="1"/>
  <c r="AF257" i="57" s="1"/>
  <c r="AA256" i="57"/>
  <c r="AF256" i="57"/>
  <c r="AD198" i="50"/>
  <c r="AG198" i="50" s="1"/>
  <c r="AP244" i="69"/>
  <c r="N244" i="69"/>
  <c r="U244" i="69" s="1"/>
  <c r="Q199" i="50"/>
  <c r="P199" i="50" s="1"/>
  <c r="Q188" i="32"/>
  <c r="P188" i="32" s="1"/>
  <c r="Q189" i="32"/>
  <c r="P189" i="32" s="1"/>
  <c r="H38" i="73"/>
  <c r="T190" i="32"/>
  <c r="O190" i="32"/>
  <c r="T200" i="50"/>
  <c r="O200" i="50"/>
  <c r="AP196" i="50"/>
  <c r="AM189" i="32"/>
  <c r="AM188" i="32"/>
  <c r="AJ198" i="50"/>
  <c r="C198" i="50"/>
  <c r="S199" i="50"/>
  <c r="Z199" i="50" s="1"/>
  <c r="S189" i="32"/>
  <c r="Z189" i="32" s="1"/>
  <c r="S188" i="32"/>
  <c r="Z188" i="32" s="1"/>
  <c r="W198" i="50"/>
  <c r="X197" i="50"/>
  <c r="V198" i="50"/>
  <c r="AF243" i="69"/>
  <c r="Q243" i="69"/>
  <c r="C44" i="104"/>
  <c r="AC241" i="69"/>
  <c r="AD241" i="69" s="1"/>
  <c r="AH197" i="50"/>
  <c r="AI197" i="50" s="1"/>
  <c r="AB242" i="69"/>
  <c r="AG242" i="69"/>
  <c r="AO244" i="69"/>
  <c r="O245" i="69"/>
  <c r="AK200" i="50"/>
  <c r="AK190" i="32"/>
  <c r="AM199" i="50"/>
  <c r="AL187" i="32"/>
  <c r="AI186" i="32"/>
  <c r="AN186" i="32" s="1"/>
  <c r="AL197" i="50"/>
  <c r="G109" i="36"/>
  <c r="G111" i="36"/>
  <c r="H102" i="36"/>
  <c r="G102" i="36"/>
  <c r="G101" i="36"/>
  <c r="H108" i="36"/>
  <c r="H111" i="36"/>
  <c r="H110" i="36"/>
  <c r="E140" i="36"/>
  <c r="G100" i="36"/>
  <c r="G140" i="36" s="1"/>
  <c r="G103" i="36"/>
  <c r="H112" i="36"/>
  <c r="H106" i="36"/>
  <c r="H109" i="36"/>
  <c r="G108" i="36"/>
  <c r="G105" i="36"/>
  <c r="H107" i="36"/>
  <c r="H103" i="36"/>
  <c r="G104" i="36"/>
  <c r="H101" i="36"/>
  <c r="G110" i="36"/>
  <c r="H100" i="36"/>
  <c r="H105" i="36"/>
  <c r="G112" i="36"/>
  <c r="G107" i="36"/>
  <c r="H104" i="36"/>
  <c r="G106" i="36"/>
  <c r="AY243" i="69"/>
  <c r="X2" i="53"/>
  <c r="AH243" i="69"/>
  <c r="A190" i="32"/>
  <c r="B190" i="32"/>
  <c r="R190" i="32" s="1"/>
  <c r="L200" i="50"/>
  <c r="M200" i="50"/>
  <c r="G200" i="50"/>
  <c r="B200" i="50"/>
  <c r="R200" i="50" s="1"/>
  <c r="N200" i="50"/>
  <c r="F200" i="50"/>
  <c r="U200" i="50" s="1"/>
  <c r="H200" i="50"/>
  <c r="I200" i="50"/>
  <c r="J200" i="50"/>
  <c r="K200" i="50"/>
  <c r="A200" i="50"/>
  <c r="I190" i="32"/>
  <c r="L190" i="32"/>
  <c r="M190" i="32"/>
  <c r="H190" i="32"/>
  <c r="J190" i="32"/>
  <c r="K190" i="32"/>
  <c r="N190" i="32"/>
  <c r="F190" i="32"/>
  <c r="U190" i="32" s="1"/>
  <c r="G190" i="32"/>
  <c r="AR245" i="67" a="1"/>
  <c r="AR245" i="67" s="1"/>
  <c r="B246" i="69"/>
  <c r="L246" i="69" s="1"/>
  <c r="C245" i="69"/>
  <c r="P245" i="69" s="1"/>
  <c r="D244" i="69"/>
  <c r="E244" i="69" s="1"/>
  <c r="F244" i="69" s="1"/>
  <c r="G244" i="69" s="1"/>
  <c r="H244" i="69" s="1"/>
  <c r="I244" i="69" s="1"/>
  <c r="J244" i="69" s="1"/>
  <c r="K244" i="69" s="1"/>
  <c r="M244" i="69" s="1"/>
  <c r="R243" i="69"/>
  <c r="S243" i="69" s="1"/>
  <c r="Y243" i="69" s="1"/>
  <c r="AE243" i="69"/>
  <c r="AL190" i="11" a="1"/>
  <c r="AL190" i="11" s="1"/>
  <c r="E191" i="32" s="1"/>
  <c r="AP200" i="59" a="1"/>
  <c r="AP200" i="59" s="1"/>
  <c r="E201" i="50" s="1"/>
  <c r="AQ90" i="59" a="1"/>
  <c r="AQ90" i="59" s="1"/>
  <c r="AM75" i="11" a="1"/>
  <c r="AM75" i="11" s="1"/>
  <c r="AA257" i="57" l="1"/>
  <c r="AB257" i="57"/>
  <c r="X2" i="57" s="1"/>
  <c r="AD189" i="32"/>
  <c r="AG189" i="32" s="1"/>
  <c r="AH189" i="32" s="1"/>
  <c r="AD188" i="32"/>
  <c r="AG188" i="32" s="1"/>
  <c r="AH188" i="32" s="1"/>
  <c r="AD199" i="50"/>
  <c r="AG199" i="50" s="1"/>
  <c r="AP245" i="69"/>
  <c r="N245" i="69"/>
  <c r="U245" i="69" s="1"/>
  <c r="Q200" i="50"/>
  <c r="P200" i="50" s="1"/>
  <c r="Q190" i="32"/>
  <c r="P190" i="32" s="1"/>
  <c r="H33" i="73"/>
  <c r="T191" i="32"/>
  <c r="O191" i="32"/>
  <c r="O201" i="50"/>
  <c r="T201" i="50"/>
  <c r="AP197" i="50"/>
  <c r="AM190" i="32"/>
  <c r="C199" i="50"/>
  <c r="AJ199" i="50"/>
  <c r="S200" i="50"/>
  <c r="Z200" i="50" s="1"/>
  <c r="C188" i="32"/>
  <c r="AJ188" i="32"/>
  <c r="W188" i="32"/>
  <c r="X188" i="32" s="1"/>
  <c r="AJ189" i="32"/>
  <c r="W189" i="32"/>
  <c r="X189" i="32" s="1"/>
  <c r="C189" i="32"/>
  <c r="S190" i="32"/>
  <c r="Z190" i="32" s="1"/>
  <c r="W199" i="50"/>
  <c r="X198" i="50"/>
  <c r="V199" i="50"/>
  <c r="V188" i="32"/>
  <c r="V189" i="32"/>
  <c r="AF244" i="69"/>
  <c r="Q244" i="69"/>
  <c r="AC242" i="69"/>
  <c r="AD242" i="69" s="1"/>
  <c r="AH198" i="50"/>
  <c r="AI198" i="50" s="1"/>
  <c r="AB243" i="69"/>
  <c r="AG243" i="69"/>
  <c r="O246" i="69"/>
  <c r="AO245" i="69"/>
  <c r="AK201" i="50"/>
  <c r="AK191" i="32"/>
  <c r="AM200" i="50"/>
  <c r="AI187" i="32"/>
  <c r="AN187" i="32" s="1"/>
  <c r="AL198" i="50"/>
  <c r="AY244" i="69"/>
  <c r="AH244" i="69"/>
  <c r="A191" i="32"/>
  <c r="B191" i="32"/>
  <c r="R191" i="32" s="1"/>
  <c r="H201" i="50"/>
  <c r="B201" i="50"/>
  <c r="R201" i="50" s="1"/>
  <c r="I201" i="50"/>
  <c r="M201" i="50"/>
  <c r="J201" i="50"/>
  <c r="A201" i="50"/>
  <c r="G201" i="50"/>
  <c r="K201" i="50"/>
  <c r="F201" i="50"/>
  <c r="U201" i="50" s="1"/>
  <c r="L201" i="50"/>
  <c r="N201" i="50"/>
  <c r="G191" i="32"/>
  <c r="J191" i="32"/>
  <c r="K191" i="32"/>
  <c r="F191" i="32"/>
  <c r="U191" i="32" s="1"/>
  <c r="N191" i="32"/>
  <c r="H191" i="32"/>
  <c r="I191" i="32"/>
  <c r="L191" i="32"/>
  <c r="M191" i="32"/>
  <c r="AR246" i="67" a="1"/>
  <c r="AR246" i="67" s="1"/>
  <c r="B247" i="69"/>
  <c r="L247" i="69" s="1"/>
  <c r="AE244" i="69"/>
  <c r="R244" i="69"/>
  <c r="S244" i="69" s="1"/>
  <c r="Y244" i="69" s="1"/>
  <c r="D245" i="69"/>
  <c r="E245" i="69" s="1"/>
  <c r="F245" i="69" s="1"/>
  <c r="G245" i="69" s="1"/>
  <c r="H245" i="69" s="1"/>
  <c r="I245" i="69" s="1"/>
  <c r="J245" i="69" s="1"/>
  <c r="K245" i="69" s="1"/>
  <c r="M245" i="69" s="1"/>
  <c r="C246" i="69"/>
  <c r="P246" i="69" s="1"/>
  <c r="AL191" i="11" a="1"/>
  <c r="AL191" i="11" s="1"/>
  <c r="E192" i="32" s="1"/>
  <c r="AP201" i="59" a="1"/>
  <c r="AP201" i="59" s="1"/>
  <c r="E202" i="50" s="1"/>
  <c r="AQ91" i="59" a="1"/>
  <c r="AQ91" i="59" s="1"/>
  <c r="AM76" i="11" a="1"/>
  <c r="AM76" i="11" s="1"/>
  <c r="AB244" i="69" l="1"/>
  <c r="AC244" i="69" s="1"/>
  <c r="AD244" i="69" s="1"/>
  <c r="AD190" i="32"/>
  <c r="AG190" i="32" s="1"/>
  <c r="AH190" i="32" s="1"/>
  <c r="AD200" i="50"/>
  <c r="AG200" i="50" s="1"/>
  <c r="H42" i="73"/>
  <c r="H62" i="73"/>
  <c r="J62" i="73" s="1"/>
  <c r="AP246" i="69"/>
  <c r="N246" i="69"/>
  <c r="U246" i="69" s="1"/>
  <c r="Q201" i="50"/>
  <c r="P201" i="50" s="1"/>
  <c r="Q191" i="32"/>
  <c r="P191" i="32" s="1"/>
  <c r="H48" i="73"/>
  <c r="H52" i="73" s="1"/>
  <c r="J52" i="73" s="1"/>
  <c r="J33" i="73"/>
  <c r="T192" i="32"/>
  <c r="O192" i="32"/>
  <c r="T202" i="50"/>
  <c r="O202" i="50"/>
  <c r="AP198" i="50"/>
  <c r="AM191" i="32"/>
  <c r="C200" i="50"/>
  <c r="AJ200" i="50"/>
  <c r="S201" i="50"/>
  <c r="Z201" i="50" s="1"/>
  <c r="C190" i="32"/>
  <c r="AJ190" i="32"/>
  <c r="S191" i="32"/>
  <c r="Z191" i="32" s="1"/>
  <c r="W200" i="50"/>
  <c r="W190" i="32"/>
  <c r="X190" i="32" s="1"/>
  <c r="X199" i="50"/>
  <c r="V200" i="50"/>
  <c r="AF245" i="69"/>
  <c r="Q245" i="69"/>
  <c r="AC243" i="69"/>
  <c r="AD243" i="69" s="1"/>
  <c r="AH199" i="50"/>
  <c r="AI199" i="50" s="1"/>
  <c r="O247" i="69"/>
  <c r="AO246" i="69"/>
  <c r="AG244" i="69"/>
  <c r="AK202" i="50"/>
  <c r="AK192" i="32"/>
  <c r="AM201" i="50"/>
  <c r="AL189" i="32"/>
  <c r="AL188" i="32"/>
  <c r="AL199" i="50"/>
  <c r="AY245" i="69"/>
  <c r="AH245" i="69"/>
  <c r="V190" i="32"/>
  <c r="A192" i="32"/>
  <c r="B192" i="32"/>
  <c r="R192" i="32" s="1"/>
  <c r="G202" i="50"/>
  <c r="F202" i="50"/>
  <c r="U202" i="50" s="1"/>
  <c r="A202" i="50"/>
  <c r="M202" i="50"/>
  <c r="N202" i="50"/>
  <c r="K202" i="50"/>
  <c r="J202" i="50"/>
  <c r="L202" i="50"/>
  <c r="B202" i="50"/>
  <c r="R202" i="50" s="1"/>
  <c r="I202" i="50"/>
  <c r="H202" i="50"/>
  <c r="M192" i="32"/>
  <c r="H192" i="32"/>
  <c r="I192" i="32"/>
  <c r="L192" i="32"/>
  <c r="F192" i="32"/>
  <c r="U192" i="32" s="1"/>
  <c r="G192" i="32"/>
  <c r="J192" i="32"/>
  <c r="K192" i="32"/>
  <c r="N192" i="32"/>
  <c r="AR247" i="67" a="1"/>
  <c r="AR247" i="67" s="1"/>
  <c r="B248" i="69"/>
  <c r="L248" i="69" s="1"/>
  <c r="R245" i="69"/>
  <c r="S245" i="69" s="1"/>
  <c r="Y245" i="69" s="1"/>
  <c r="AE245" i="69"/>
  <c r="D246" i="69"/>
  <c r="E246" i="69" s="1"/>
  <c r="F246" i="69" s="1"/>
  <c r="G246" i="69" s="1"/>
  <c r="H246" i="69" s="1"/>
  <c r="I246" i="69" s="1"/>
  <c r="J246" i="69" s="1"/>
  <c r="K246" i="69" s="1"/>
  <c r="M246" i="69" s="1"/>
  <c r="C247" i="69"/>
  <c r="P247" i="69" s="1"/>
  <c r="AL192" i="11" a="1"/>
  <c r="AL192" i="11" s="1"/>
  <c r="AP202" i="59" a="1"/>
  <c r="AP202" i="59" s="1"/>
  <c r="E203" i="50" s="1"/>
  <c r="AQ92" i="59" a="1"/>
  <c r="AQ92" i="59" s="1"/>
  <c r="AM77" i="11" a="1"/>
  <c r="AM77" i="11" s="1"/>
  <c r="AD191" i="32" l="1"/>
  <c r="AG191" i="32" s="1"/>
  <c r="AH191" i="32" s="1"/>
  <c r="AD201" i="50"/>
  <c r="AG201" i="50" s="1"/>
  <c r="AP247" i="69"/>
  <c r="N247" i="69"/>
  <c r="U247" i="69" s="1"/>
  <c r="Q202" i="50"/>
  <c r="P202" i="50" s="1"/>
  <c r="Q192" i="32"/>
  <c r="P192" i="32" s="1"/>
  <c r="M3" i="58"/>
  <c r="H11" i="36"/>
  <c r="I3" i="42"/>
  <c r="O3" i="53"/>
  <c r="J3" i="52"/>
  <c r="I3" i="55"/>
  <c r="O3" i="57"/>
  <c r="T203" i="50"/>
  <c r="O203" i="50"/>
  <c r="AP199" i="50"/>
  <c r="AM192" i="32"/>
  <c r="AJ201" i="50"/>
  <c r="C201" i="50"/>
  <c r="S202" i="50"/>
  <c r="Z202" i="50" s="1"/>
  <c r="AJ191" i="32"/>
  <c r="W191" i="32"/>
  <c r="X191" i="32" s="1"/>
  <c r="C191" i="32"/>
  <c r="S192" i="32"/>
  <c r="Z192" i="32" s="1"/>
  <c r="W201" i="50"/>
  <c r="X200" i="50"/>
  <c r="V201" i="50"/>
  <c r="V191" i="32"/>
  <c r="AF246" i="69"/>
  <c r="Q246" i="69"/>
  <c r="AH200" i="50"/>
  <c r="AI200" i="50" s="1"/>
  <c r="AB245" i="69"/>
  <c r="AG245" i="69"/>
  <c r="O248" i="69"/>
  <c r="AO247" i="69"/>
  <c r="AK203" i="50"/>
  <c r="AM202" i="50"/>
  <c r="AL190" i="32"/>
  <c r="AI188" i="32"/>
  <c r="AN188" i="32" s="1"/>
  <c r="AI189" i="32"/>
  <c r="AN189" i="32" s="1"/>
  <c r="AL200" i="50"/>
  <c r="AY246" i="69"/>
  <c r="AH246" i="69"/>
  <c r="M203" i="50"/>
  <c r="N203" i="50"/>
  <c r="G203" i="50"/>
  <c r="I203" i="50"/>
  <c r="F203" i="50"/>
  <c r="U203" i="50" s="1"/>
  <c r="K203" i="50"/>
  <c r="H203" i="50"/>
  <c r="J203" i="50"/>
  <c r="B203" i="50"/>
  <c r="R203" i="50" s="1"/>
  <c r="A203" i="50"/>
  <c r="L203" i="50"/>
  <c r="E193" i="32"/>
  <c r="C248" i="69"/>
  <c r="P248" i="69" s="1"/>
  <c r="D247" i="69"/>
  <c r="E247" i="69" s="1"/>
  <c r="F247" i="69" s="1"/>
  <c r="G247" i="69" s="1"/>
  <c r="H247" i="69" s="1"/>
  <c r="I247" i="69" s="1"/>
  <c r="J247" i="69" s="1"/>
  <c r="K247" i="69" s="1"/>
  <c r="M247" i="69" s="1"/>
  <c r="R246" i="69"/>
  <c r="S246" i="69" s="1"/>
  <c r="Y246" i="69" s="1"/>
  <c r="AE246" i="69"/>
  <c r="AR248" i="67" a="1"/>
  <c r="AR248" i="67" s="1"/>
  <c r="B249" i="69"/>
  <c r="L249" i="69" s="1"/>
  <c r="AL193" i="11" a="1"/>
  <c r="AL193" i="11" s="1"/>
  <c r="AP203" i="59" a="1"/>
  <c r="AP203" i="59" s="1"/>
  <c r="E204" i="50" s="1"/>
  <c r="AQ93" i="59" a="1"/>
  <c r="AQ93" i="59" s="1"/>
  <c r="AM78" i="11" a="1"/>
  <c r="AM78" i="11" s="1"/>
  <c r="AD192" i="32" l="1"/>
  <c r="AG192" i="32" s="1"/>
  <c r="AH192" i="32" s="1"/>
  <c r="AD202" i="50"/>
  <c r="AG202" i="50" s="1"/>
  <c r="AP248" i="69"/>
  <c r="N248" i="69"/>
  <c r="U248" i="69" s="1"/>
  <c r="Q203" i="50"/>
  <c r="P203" i="50" s="1"/>
  <c r="O4" i="53"/>
  <c r="I4" i="42"/>
  <c r="J4" i="52"/>
  <c r="O4" i="57"/>
  <c r="I4" i="55"/>
  <c r="H15" i="36"/>
  <c r="M4" i="58"/>
  <c r="T193" i="32"/>
  <c r="O193" i="32"/>
  <c r="T204" i="50"/>
  <c r="O204" i="50"/>
  <c r="AP200" i="50"/>
  <c r="C202" i="50"/>
  <c r="AJ202" i="50"/>
  <c r="S203" i="50"/>
  <c r="Z203" i="50" s="1"/>
  <c r="AJ192" i="32"/>
  <c r="C192" i="32"/>
  <c r="W202" i="50"/>
  <c r="W192" i="32"/>
  <c r="X192" i="32" s="1"/>
  <c r="X201" i="50"/>
  <c r="V202" i="50"/>
  <c r="AF247" i="69"/>
  <c r="Q247" i="69"/>
  <c r="AC245" i="69"/>
  <c r="AD245" i="69" s="1"/>
  <c r="AH201" i="50"/>
  <c r="AI201" i="50" s="1"/>
  <c r="AB246" i="69"/>
  <c r="AG246" i="69"/>
  <c r="O249" i="69"/>
  <c r="AO248" i="69"/>
  <c r="AK204" i="50"/>
  <c r="AK193" i="32"/>
  <c r="AM203" i="50"/>
  <c r="AL191" i="32"/>
  <c r="AL201" i="50"/>
  <c r="AI190" i="32"/>
  <c r="AN190" i="32" s="1"/>
  <c r="AY247" i="69"/>
  <c r="AH247" i="69"/>
  <c r="V192" i="32"/>
  <c r="A193" i="32"/>
  <c r="B193" i="32"/>
  <c r="R193" i="32" s="1"/>
  <c r="F204" i="50"/>
  <c r="U204" i="50" s="1"/>
  <c r="N204" i="50"/>
  <c r="B204" i="50"/>
  <c r="R204" i="50" s="1"/>
  <c r="A204" i="50"/>
  <c r="J204" i="50"/>
  <c r="L204" i="50"/>
  <c r="G204" i="50"/>
  <c r="M204" i="50"/>
  <c r="H204" i="50"/>
  <c r="I204" i="50"/>
  <c r="K204" i="50"/>
  <c r="K193" i="32"/>
  <c r="F193" i="32"/>
  <c r="U193" i="32" s="1"/>
  <c r="N193" i="32"/>
  <c r="G193" i="32"/>
  <c r="J193" i="32"/>
  <c r="L193" i="32"/>
  <c r="M193" i="32"/>
  <c r="H193" i="32"/>
  <c r="I193" i="32"/>
  <c r="E194" i="32"/>
  <c r="AR249" i="67" a="1"/>
  <c r="AR249" i="67" s="1"/>
  <c r="B250" i="69"/>
  <c r="L250" i="69" s="1"/>
  <c r="AE247" i="69"/>
  <c r="R247" i="69"/>
  <c r="S247" i="69" s="1"/>
  <c r="Y247" i="69" s="1"/>
  <c r="C249" i="69"/>
  <c r="P249" i="69" s="1"/>
  <c r="D248" i="69"/>
  <c r="E248" i="69" s="1"/>
  <c r="F248" i="69" s="1"/>
  <c r="G248" i="69" s="1"/>
  <c r="H248" i="69" s="1"/>
  <c r="I248" i="69" s="1"/>
  <c r="J248" i="69" s="1"/>
  <c r="K248" i="69" s="1"/>
  <c r="M248" i="69" s="1"/>
  <c r="AL194" i="11" a="1"/>
  <c r="AL194" i="11" s="1"/>
  <c r="E195" i="32" s="1"/>
  <c r="AP204" i="59" a="1"/>
  <c r="AP204" i="59" s="1"/>
  <c r="E205" i="50" s="1"/>
  <c r="AQ94" i="59" a="1"/>
  <c r="AQ94" i="59" s="1"/>
  <c r="AM79" i="11" a="1"/>
  <c r="AM79" i="11" s="1"/>
  <c r="AB247" i="69" l="1"/>
  <c r="AC247" i="69" s="1"/>
  <c r="AD247" i="69" s="1"/>
  <c r="AD203" i="50"/>
  <c r="AG203" i="50" s="1"/>
  <c r="AP249" i="69"/>
  <c r="N249" i="69"/>
  <c r="U249" i="69" s="1"/>
  <c r="Q204" i="50"/>
  <c r="P204" i="50" s="1"/>
  <c r="Q193" i="32"/>
  <c r="P193" i="32" s="1"/>
  <c r="T195" i="32"/>
  <c r="O195" i="32"/>
  <c r="T194" i="32"/>
  <c r="O194" i="32"/>
  <c r="T205" i="50"/>
  <c r="O205" i="50"/>
  <c r="AP201" i="50"/>
  <c r="AM193" i="32"/>
  <c r="AJ203" i="50"/>
  <c r="C203" i="50"/>
  <c r="S204" i="50"/>
  <c r="Z204" i="50" s="1"/>
  <c r="S193" i="32"/>
  <c r="Z193" i="32" s="1"/>
  <c r="W203" i="50"/>
  <c r="X202" i="50"/>
  <c r="V203" i="50"/>
  <c r="AF248" i="69"/>
  <c r="Q248" i="69"/>
  <c r="AC246" i="69"/>
  <c r="AD246" i="69" s="1"/>
  <c r="AH202" i="50"/>
  <c r="AI202" i="50" s="1"/>
  <c r="AG247" i="69"/>
  <c r="O250" i="69"/>
  <c r="AO249" i="69"/>
  <c r="AK205" i="50"/>
  <c r="AK195" i="32"/>
  <c r="AK194" i="32"/>
  <c r="AM204" i="50"/>
  <c r="AL192" i="32"/>
  <c r="AI191" i="32"/>
  <c r="AN191" i="32" s="1"/>
  <c r="AL202" i="50"/>
  <c r="AY248" i="69"/>
  <c r="AH248" i="69"/>
  <c r="A195" i="32"/>
  <c r="B195" i="32"/>
  <c r="R195" i="32" s="1"/>
  <c r="A194" i="32"/>
  <c r="B194" i="32"/>
  <c r="R194" i="32" s="1"/>
  <c r="K205" i="50"/>
  <c r="F205" i="50"/>
  <c r="U205" i="50" s="1"/>
  <c r="M205" i="50"/>
  <c r="G205" i="50"/>
  <c r="B205" i="50"/>
  <c r="R205" i="50" s="1"/>
  <c r="L205" i="50"/>
  <c r="N205" i="50"/>
  <c r="H205" i="50"/>
  <c r="I205" i="50"/>
  <c r="A205" i="50"/>
  <c r="J205" i="50"/>
  <c r="G195" i="32"/>
  <c r="J195" i="32"/>
  <c r="K195" i="32"/>
  <c r="F195" i="32"/>
  <c r="U195" i="32" s="1"/>
  <c r="N195" i="32"/>
  <c r="H195" i="32"/>
  <c r="I195" i="32"/>
  <c r="L195" i="32"/>
  <c r="M195" i="32"/>
  <c r="I194" i="32"/>
  <c r="L194" i="32"/>
  <c r="M194" i="32"/>
  <c r="H194" i="32"/>
  <c r="F194" i="32"/>
  <c r="U194" i="32" s="1"/>
  <c r="G194" i="32"/>
  <c r="J194" i="32"/>
  <c r="K194" i="32"/>
  <c r="N194" i="32"/>
  <c r="D249" i="69"/>
  <c r="E249" i="69" s="1"/>
  <c r="F249" i="69" s="1"/>
  <c r="G249" i="69" s="1"/>
  <c r="H249" i="69" s="1"/>
  <c r="I249" i="69" s="1"/>
  <c r="J249" i="69" s="1"/>
  <c r="K249" i="69" s="1"/>
  <c r="M249" i="69" s="1"/>
  <c r="AR250" i="67" a="1"/>
  <c r="AR250" i="67" s="1"/>
  <c r="B251" i="69"/>
  <c r="L251" i="69" s="1"/>
  <c r="R248" i="69"/>
  <c r="S248" i="69" s="1"/>
  <c r="Y248" i="69" s="1"/>
  <c r="AE248" i="69"/>
  <c r="C250" i="69"/>
  <c r="P250" i="69" s="1"/>
  <c r="AL195" i="11" a="1"/>
  <c r="AL195" i="11" s="1"/>
  <c r="E196" i="32" s="1"/>
  <c r="AP205" i="59" a="1"/>
  <c r="AP205" i="59" s="1"/>
  <c r="E206" i="50" s="1"/>
  <c r="AQ95" i="59" a="1"/>
  <c r="AQ95" i="59" s="1"/>
  <c r="AM80" i="11" a="1"/>
  <c r="AM80" i="11" s="1"/>
  <c r="AB248" i="69" l="1"/>
  <c r="AC248" i="69" s="1"/>
  <c r="AD248" i="69" s="1"/>
  <c r="AD193" i="32"/>
  <c r="AG193" i="32" s="1"/>
  <c r="AH193" i="32" s="1"/>
  <c r="AD204" i="50"/>
  <c r="AG204" i="50" s="1"/>
  <c r="AP250" i="69"/>
  <c r="N250" i="69"/>
  <c r="U250" i="69" s="1"/>
  <c r="Q205" i="50"/>
  <c r="P205" i="50" s="1"/>
  <c r="Q195" i="32"/>
  <c r="P195" i="32" s="1"/>
  <c r="Q194" i="32"/>
  <c r="P194" i="32" s="1"/>
  <c r="T196" i="32"/>
  <c r="O196" i="32"/>
  <c r="T206" i="50"/>
  <c r="O206" i="50"/>
  <c r="AP202" i="50"/>
  <c r="AM195" i="32"/>
  <c r="AM194" i="32"/>
  <c r="C204" i="50"/>
  <c r="AJ204" i="50"/>
  <c r="S205" i="50"/>
  <c r="Z205" i="50" s="1"/>
  <c r="W193" i="32"/>
  <c r="X193" i="32" s="1"/>
  <c r="C193" i="32"/>
  <c r="AJ193" i="32"/>
  <c r="S194" i="32"/>
  <c r="Z194" i="32" s="1"/>
  <c r="S195" i="32"/>
  <c r="AD195" i="32" s="1"/>
  <c r="W204" i="50"/>
  <c r="X203" i="50"/>
  <c r="V204" i="50"/>
  <c r="V193" i="32"/>
  <c r="AF249" i="69"/>
  <c r="Q249" i="69"/>
  <c r="AH203" i="50"/>
  <c r="AI203" i="50" s="1"/>
  <c r="AG248" i="69"/>
  <c r="O251" i="69"/>
  <c r="AO250" i="69"/>
  <c r="AK206" i="50"/>
  <c r="AK196" i="32"/>
  <c r="AM205" i="50"/>
  <c r="AI192" i="32"/>
  <c r="AN192" i="32" s="1"/>
  <c r="AL203" i="50"/>
  <c r="AY249" i="69"/>
  <c r="AH249" i="69"/>
  <c r="A196" i="32"/>
  <c r="B196" i="32"/>
  <c r="R196" i="32" s="1"/>
  <c r="I206" i="50"/>
  <c r="G206" i="50"/>
  <c r="H206" i="50"/>
  <c r="A206" i="50"/>
  <c r="N206" i="50"/>
  <c r="L206" i="50"/>
  <c r="F206" i="50"/>
  <c r="U206" i="50" s="1"/>
  <c r="M206" i="50"/>
  <c r="J206" i="50"/>
  <c r="B206" i="50"/>
  <c r="R206" i="50" s="1"/>
  <c r="K206" i="50"/>
  <c r="M196" i="32"/>
  <c r="H196" i="32"/>
  <c r="I196" i="32"/>
  <c r="L196" i="32"/>
  <c r="N196" i="32"/>
  <c r="F196" i="32"/>
  <c r="U196" i="32" s="1"/>
  <c r="G196" i="32"/>
  <c r="J196" i="32"/>
  <c r="K196" i="32"/>
  <c r="D250" i="69"/>
  <c r="E250" i="69" s="1"/>
  <c r="F250" i="69" s="1"/>
  <c r="G250" i="69" s="1"/>
  <c r="H250" i="69" s="1"/>
  <c r="I250" i="69" s="1"/>
  <c r="J250" i="69" s="1"/>
  <c r="K250" i="69" s="1"/>
  <c r="M250" i="69" s="1"/>
  <c r="AE249" i="69"/>
  <c r="R249" i="69"/>
  <c r="S249" i="69" s="1"/>
  <c r="Y249" i="69" s="1"/>
  <c r="C251" i="69"/>
  <c r="P251" i="69" s="1"/>
  <c r="AR251" i="67" a="1"/>
  <c r="AR251" i="67" s="1"/>
  <c r="B252" i="69"/>
  <c r="L252" i="69" s="1"/>
  <c r="AL196" i="11" a="1"/>
  <c r="AL196" i="11" s="1"/>
  <c r="E197" i="32" s="1"/>
  <c r="AP206" i="59" a="1"/>
  <c r="AP206" i="59" s="1"/>
  <c r="E207" i="50" s="1"/>
  <c r="AQ96" i="59" a="1"/>
  <c r="AQ96" i="59" s="1"/>
  <c r="AM81" i="11" a="1"/>
  <c r="AM81" i="11" s="1"/>
  <c r="AD194" i="32" l="1"/>
  <c r="AG194" i="32" s="1"/>
  <c r="AH194" i="32" s="1"/>
  <c r="AD205" i="50"/>
  <c r="AG205" i="50" s="1"/>
  <c r="AP251" i="69"/>
  <c r="N251" i="69"/>
  <c r="U251" i="69" s="1"/>
  <c r="Q206" i="50"/>
  <c r="P206" i="50" s="1"/>
  <c r="Q196" i="32"/>
  <c r="P196" i="32" s="1"/>
  <c r="T197" i="32"/>
  <c r="O197" i="32"/>
  <c r="T207" i="50"/>
  <c r="O207" i="50"/>
  <c r="AP203" i="50"/>
  <c r="C195" i="32"/>
  <c r="Z195" i="32"/>
  <c r="AM196" i="32"/>
  <c r="AJ205" i="50"/>
  <c r="C205" i="50"/>
  <c r="S206" i="50"/>
  <c r="Z206" i="50" s="1"/>
  <c r="C194" i="32"/>
  <c r="AJ194" i="32"/>
  <c r="W194" i="32"/>
  <c r="X194" i="32" s="1"/>
  <c r="S196" i="32"/>
  <c r="Z196" i="32" s="1"/>
  <c r="W195" i="32"/>
  <c r="X195" i="32" s="1"/>
  <c r="AJ195" i="32"/>
  <c r="W205" i="50"/>
  <c r="X204" i="50"/>
  <c r="V205" i="50"/>
  <c r="V194" i="32"/>
  <c r="V195" i="32"/>
  <c r="AF250" i="69"/>
  <c r="Q250" i="69"/>
  <c r="AH204" i="50"/>
  <c r="AI204" i="50" s="1"/>
  <c r="AB249" i="69"/>
  <c r="AG249" i="69"/>
  <c r="O252" i="69"/>
  <c r="AO251" i="69"/>
  <c r="AK207" i="50"/>
  <c r="AK197" i="32"/>
  <c r="AG195" i="32"/>
  <c r="AH195" i="32" s="1"/>
  <c r="AM206" i="50"/>
  <c r="AL193" i="32"/>
  <c r="AL204" i="50"/>
  <c r="AY250" i="69"/>
  <c r="AH250" i="69"/>
  <c r="A197" i="32"/>
  <c r="B197" i="32"/>
  <c r="R197" i="32" s="1"/>
  <c r="I207" i="50"/>
  <c r="K207" i="50"/>
  <c r="A207" i="50"/>
  <c r="B207" i="50"/>
  <c r="R207" i="50" s="1"/>
  <c r="G207" i="50"/>
  <c r="M207" i="50"/>
  <c r="H207" i="50"/>
  <c r="J207" i="50"/>
  <c r="L207" i="50"/>
  <c r="F207" i="50"/>
  <c r="U207" i="50" s="1"/>
  <c r="N207" i="50"/>
  <c r="K197" i="32"/>
  <c r="F197" i="32"/>
  <c r="U197" i="32" s="1"/>
  <c r="N197" i="32"/>
  <c r="G197" i="32"/>
  <c r="J197" i="32"/>
  <c r="H197" i="32"/>
  <c r="I197" i="32"/>
  <c r="L197" i="32"/>
  <c r="M197" i="32"/>
  <c r="C252" i="69"/>
  <c r="P252" i="69" s="1"/>
  <c r="AR252" i="67" a="1"/>
  <c r="AR252" i="67" s="1"/>
  <c r="B253" i="69"/>
  <c r="L253" i="69" s="1"/>
  <c r="AE250" i="69"/>
  <c r="R250" i="69"/>
  <c r="S250" i="69" s="1"/>
  <c r="Y250" i="69" s="1"/>
  <c r="D251" i="69"/>
  <c r="E251" i="69" s="1"/>
  <c r="F251" i="69" s="1"/>
  <c r="G251" i="69" s="1"/>
  <c r="H251" i="69" s="1"/>
  <c r="I251" i="69" s="1"/>
  <c r="J251" i="69" s="1"/>
  <c r="K251" i="69" s="1"/>
  <c r="M251" i="69" s="1"/>
  <c r="AL197" i="11" a="1"/>
  <c r="AL197" i="11" s="1"/>
  <c r="E198" i="32" s="1"/>
  <c r="AP207" i="59" a="1"/>
  <c r="AP207" i="59" s="1"/>
  <c r="E208" i="50" s="1"/>
  <c r="AQ97" i="59" a="1"/>
  <c r="AQ97" i="59" s="1"/>
  <c r="AM82" i="11" a="1"/>
  <c r="AM82" i="11" s="1"/>
  <c r="AD196" i="32" l="1"/>
  <c r="AD206" i="50"/>
  <c r="AG206" i="50" s="1"/>
  <c r="AP252" i="69"/>
  <c r="N252" i="69"/>
  <c r="U252" i="69" s="1"/>
  <c r="Q207" i="50"/>
  <c r="P207" i="50" s="1"/>
  <c r="Q197" i="32"/>
  <c r="P197" i="32" s="1"/>
  <c r="T198" i="32"/>
  <c r="O198" i="32"/>
  <c r="T208" i="50"/>
  <c r="O208" i="50"/>
  <c r="AP204" i="50"/>
  <c r="AM197" i="32"/>
  <c r="AJ206" i="50"/>
  <c r="C206" i="50"/>
  <c r="S207" i="50"/>
  <c r="Z207" i="50" s="1"/>
  <c r="C196" i="32"/>
  <c r="W196" i="32"/>
  <c r="X196" i="32" s="1"/>
  <c r="AJ196" i="32"/>
  <c r="S197" i="32"/>
  <c r="Z197" i="32" s="1"/>
  <c r="W206" i="50"/>
  <c r="X205" i="50"/>
  <c r="V206" i="50"/>
  <c r="V196" i="32"/>
  <c r="AF251" i="69"/>
  <c r="Q251" i="69"/>
  <c r="AC249" i="69"/>
  <c r="AD249" i="69" s="1"/>
  <c r="AH205" i="50"/>
  <c r="AI205" i="50" s="1"/>
  <c r="AB250" i="69"/>
  <c r="AG250" i="69"/>
  <c r="AO252" i="69"/>
  <c r="O253" i="69"/>
  <c r="AK208" i="50"/>
  <c r="AK198" i="32"/>
  <c r="AM207" i="50"/>
  <c r="AL195" i="32"/>
  <c r="AL194" i="32"/>
  <c r="AI193" i="32"/>
  <c r="AN193" i="32" s="1"/>
  <c r="AL205" i="50"/>
  <c r="AY251" i="69"/>
  <c r="AH251" i="69"/>
  <c r="A198" i="32"/>
  <c r="B198" i="32"/>
  <c r="R198" i="32" s="1"/>
  <c r="F208" i="50"/>
  <c r="U208" i="50" s="1"/>
  <c r="G208" i="50"/>
  <c r="N208" i="50"/>
  <c r="J208" i="50"/>
  <c r="M208" i="50"/>
  <c r="B208" i="50"/>
  <c r="R208" i="50" s="1"/>
  <c r="K208" i="50"/>
  <c r="L208" i="50"/>
  <c r="A208" i="50"/>
  <c r="I208" i="50"/>
  <c r="H208" i="50"/>
  <c r="I198" i="32"/>
  <c r="L198" i="32"/>
  <c r="M198" i="32"/>
  <c r="H198" i="32"/>
  <c r="J198" i="32"/>
  <c r="K198" i="32"/>
  <c r="N198" i="32"/>
  <c r="F198" i="32"/>
  <c r="U198" i="32" s="1"/>
  <c r="G198" i="32"/>
  <c r="AR253" i="67" a="1"/>
  <c r="AR253" i="67" s="1"/>
  <c r="B254" i="69"/>
  <c r="L254" i="69" s="1"/>
  <c r="C253" i="69"/>
  <c r="P253" i="69" s="1"/>
  <c r="R251" i="69"/>
  <c r="S251" i="69" s="1"/>
  <c r="Y251" i="69" s="1"/>
  <c r="AE251" i="69"/>
  <c r="D252" i="69"/>
  <c r="E252" i="69" s="1"/>
  <c r="F252" i="69" s="1"/>
  <c r="G252" i="69" s="1"/>
  <c r="H252" i="69" s="1"/>
  <c r="I252" i="69" s="1"/>
  <c r="J252" i="69" s="1"/>
  <c r="K252" i="69" s="1"/>
  <c r="M252" i="69" s="1"/>
  <c r="AL198" i="11" a="1"/>
  <c r="AL198" i="11" s="1"/>
  <c r="AP208" i="59" a="1"/>
  <c r="AP208" i="59" s="1"/>
  <c r="E209" i="50" s="1"/>
  <c r="AQ98" i="59" a="1"/>
  <c r="AQ98" i="59" s="1"/>
  <c r="AM83" i="11" a="1"/>
  <c r="AM83" i="11" s="1"/>
  <c r="AD197" i="32" l="1"/>
  <c r="AG197" i="32" s="1"/>
  <c r="AH197" i="32" s="1"/>
  <c r="AD207" i="50"/>
  <c r="AG207" i="50" s="1"/>
  <c r="AP253" i="69"/>
  <c r="N253" i="69"/>
  <c r="U253" i="69" s="1"/>
  <c r="Q208" i="50"/>
  <c r="P208" i="50" s="1"/>
  <c r="Q198" i="32"/>
  <c r="P198" i="32" s="1"/>
  <c r="O209" i="50"/>
  <c r="T209" i="50"/>
  <c r="AP205" i="50"/>
  <c r="AG196" i="32"/>
  <c r="AH196" i="32" s="1"/>
  <c r="AM198" i="32"/>
  <c r="C207" i="50"/>
  <c r="AJ207" i="50"/>
  <c r="S208" i="50"/>
  <c r="Z208" i="50" s="1"/>
  <c r="AJ197" i="32"/>
  <c r="W197" i="32"/>
  <c r="X197" i="32" s="1"/>
  <c r="C197" i="32"/>
  <c r="S198" i="32"/>
  <c r="Z198" i="32" s="1"/>
  <c r="W207" i="50"/>
  <c r="X206" i="50"/>
  <c r="V207" i="50"/>
  <c r="V197" i="32"/>
  <c r="AF252" i="69"/>
  <c r="Q252" i="69"/>
  <c r="AC250" i="69"/>
  <c r="AD250" i="69" s="1"/>
  <c r="AH206" i="50"/>
  <c r="AI206" i="50" s="1"/>
  <c r="AB251" i="69"/>
  <c r="AG251" i="69"/>
  <c r="AO253" i="69"/>
  <c r="O254" i="69"/>
  <c r="AK209" i="50"/>
  <c r="AM208" i="50"/>
  <c r="AL196" i="32"/>
  <c r="AI194" i="32"/>
  <c r="AN194" i="32" s="1"/>
  <c r="AI195" i="32"/>
  <c r="AN195" i="32" s="1"/>
  <c r="AL206" i="50"/>
  <c r="AY252" i="69"/>
  <c r="AH252" i="69"/>
  <c r="B209" i="50"/>
  <c r="R209" i="50" s="1"/>
  <c r="M209" i="50"/>
  <c r="K209" i="50"/>
  <c r="G209" i="50"/>
  <c r="H209" i="50"/>
  <c r="A209" i="50"/>
  <c r="J209" i="50"/>
  <c r="I209" i="50"/>
  <c r="N209" i="50"/>
  <c r="F209" i="50"/>
  <c r="U209" i="50" s="1"/>
  <c r="L209" i="50"/>
  <c r="E199" i="32"/>
  <c r="AR254" i="67" a="1"/>
  <c r="AR254" i="67" s="1"/>
  <c r="B255" i="69"/>
  <c r="L255" i="69" s="1"/>
  <c r="AE252" i="69"/>
  <c r="R252" i="69"/>
  <c r="S252" i="69" s="1"/>
  <c r="Y252" i="69" s="1"/>
  <c r="D253" i="69"/>
  <c r="E253" i="69" s="1"/>
  <c r="F253" i="69" s="1"/>
  <c r="G253" i="69" s="1"/>
  <c r="H253" i="69" s="1"/>
  <c r="I253" i="69" s="1"/>
  <c r="J253" i="69" s="1"/>
  <c r="K253" i="69" s="1"/>
  <c r="M253" i="69" s="1"/>
  <c r="C254" i="69"/>
  <c r="P254" i="69" s="1"/>
  <c r="AL199" i="11" a="1"/>
  <c r="AL199" i="11" s="1"/>
  <c r="E200" i="32" s="1"/>
  <c r="AP209" i="59" a="1"/>
  <c r="AP209" i="59" s="1"/>
  <c r="E210" i="50" s="1"/>
  <c r="AQ99" i="59" a="1"/>
  <c r="AQ99" i="59" s="1"/>
  <c r="AM84" i="11" a="1"/>
  <c r="AM84" i="11" s="1"/>
  <c r="AD198" i="32" l="1"/>
  <c r="AG198" i="32" s="1"/>
  <c r="AH198" i="32" s="1"/>
  <c r="AD208" i="50"/>
  <c r="AG208" i="50" s="1"/>
  <c r="AP254" i="69"/>
  <c r="N254" i="69"/>
  <c r="U254" i="69" s="1"/>
  <c r="Q209" i="50"/>
  <c r="P209" i="50" s="1"/>
  <c r="T200" i="32"/>
  <c r="O200" i="32"/>
  <c r="T199" i="32"/>
  <c r="O199" i="32"/>
  <c r="T210" i="50"/>
  <c r="O210" i="50"/>
  <c r="AP206" i="50"/>
  <c r="C208" i="50"/>
  <c r="AJ208" i="50"/>
  <c r="S209" i="50"/>
  <c r="Z209" i="50" s="1"/>
  <c r="C198" i="32"/>
  <c r="AJ198" i="32"/>
  <c r="W208" i="50"/>
  <c r="W198" i="32"/>
  <c r="X198" i="32" s="1"/>
  <c r="X207" i="50"/>
  <c r="V208" i="50"/>
  <c r="AF253" i="69"/>
  <c r="Q253" i="69"/>
  <c r="AC251" i="69"/>
  <c r="AD251" i="69" s="1"/>
  <c r="AH207" i="50"/>
  <c r="AI207" i="50" s="1"/>
  <c r="AB252" i="69"/>
  <c r="AG252" i="69"/>
  <c r="AO254" i="69"/>
  <c r="O255" i="69"/>
  <c r="AK210" i="50"/>
  <c r="AK199" i="32"/>
  <c r="AK200" i="32"/>
  <c r="AM209" i="50"/>
  <c r="AL197" i="32"/>
  <c r="AL207" i="50"/>
  <c r="AI196" i="32"/>
  <c r="AN196" i="32" s="1"/>
  <c r="AY253" i="69"/>
  <c r="AH253" i="69"/>
  <c r="V198" i="32"/>
  <c r="A199" i="32"/>
  <c r="B199" i="32"/>
  <c r="R199" i="32" s="1"/>
  <c r="A200" i="32"/>
  <c r="B200" i="32"/>
  <c r="R200" i="32" s="1"/>
  <c r="F210" i="50"/>
  <c r="U210" i="50" s="1"/>
  <c r="L210" i="50"/>
  <c r="K210" i="50"/>
  <c r="H210" i="50"/>
  <c r="J210" i="50"/>
  <c r="I210" i="50"/>
  <c r="B210" i="50"/>
  <c r="R210" i="50" s="1"/>
  <c r="M210" i="50"/>
  <c r="A210" i="50"/>
  <c r="N210" i="50"/>
  <c r="G210" i="50"/>
  <c r="G199" i="32"/>
  <c r="F199" i="32"/>
  <c r="U199" i="32" s="1"/>
  <c r="L199" i="32"/>
  <c r="M199" i="32"/>
  <c r="N199" i="32"/>
  <c r="H199" i="32"/>
  <c r="I199" i="32"/>
  <c r="K199" i="32"/>
  <c r="J199" i="32"/>
  <c r="J200" i="32"/>
  <c r="K200" i="32"/>
  <c r="L200" i="32"/>
  <c r="M200" i="32"/>
  <c r="F200" i="32"/>
  <c r="U200" i="32" s="1"/>
  <c r="N200" i="32"/>
  <c r="G200" i="32"/>
  <c r="H200" i="32"/>
  <c r="I200" i="32"/>
  <c r="AR255" i="67" a="1"/>
  <c r="AR255" i="67" s="1"/>
  <c r="B256" i="69"/>
  <c r="L256" i="69" s="1"/>
  <c r="AE253" i="69"/>
  <c r="R253" i="69"/>
  <c r="S253" i="69" s="1"/>
  <c r="Y253" i="69" s="1"/>
  <c r="D254" i="69"/>
  <c r="E254" i="69" s="1"/>
  <c r="F254" i="69" s="1"/>
  <c r="G254" i="69" s="1"/>
  <c r="H254" i="69" s="1"/>
  <c r="I254" i="69" s="1"/>
  <c r="J254" i="69" s="1"/>
  <c r="K254" i="69" s="1"/>
  <c r="M254" i="69" s="1"/>
  <c r="C255" i="69"/>
  <c r="P255" i="69" s="1"/>
  <c r="AL200" i="11" a="1"/>
  <c r="AL200" i="11" s="1"/>
  <c r="E201" i="32" s="1"/>
  <c r="AP210" i="59" a="1"/>
  <c r="AP210" i="59" s="1"/>
  <c r="E211" i="50" s="1"/>
  <c r="AQ100" i="59" a="1"/>
  <c r="AQ100" i="59" s="1"/>
  <c r="AM85" i="11" a="1"/>
  <c r="AM85" i="11" s="1"/>
  <c r="AD209" i="50" l="1"/>
  <c r="AG209" i="50" s="1"/>
  <c r="AP255" i="69"/>
  <c r="N255" i="69"/>
  <c r="U255" i="69" s="1"/>
  <c r="Q210" i="50"/>
  <c r="P210" i="50" s="1"/>
  <c r="Q199" i="32"/>
  <c r="P199" i="32" s="1"/>
  <c r="Q200" i="32"/>
  <c r="P200" i="32" s="1"/>
  <c r="T201" i="32"/>
  <c r="O201" i="32"/>
  <c r="T211" i="50"/>
  <c r="O211" i="50"/>
  <c r="AP207" i="50"/>
  <c r="AM200" i="32"/>
  <c r="AM199" i="32"/>
  <c r="AJ209" i="50"/>
  <c r="C209" i="50"/>
  <c r="S210" i="50"/>
  <c r="Z210" i="50" s="1"/>
  <c r="S199" i="32"/>
  <c r="Z199" i="32" s="1"/>
  <c r="S200" i="32"/>
  <c r="Z200" i="32" s="1"/>
  <c r="W209" i="50"/>
  <c r="X208" i="50"/>
  <c r="V209" i="50"/>
  <c r="AF254" i="69"/>
  <c r="Q254" i="69"/>
  <c r="AC252" i="69"/>
  <c r="AD252" i="69" s="1"/>
  <c r="AH208" i="50"/>
  <c r="AI208" i="50" s="1"/>
  <c r="AB253" i="69"/>
  <c r="AG253" i="69"/>
  <c r="O256" i="69"/>
  <c r="AO255" i="69"/>
  <c r="AK211" i="50"/>
  <c r="AK201" i="32"/>
  <c r="AM210" i="50"/>
  <c r="AL198" i="32"/>
  <c r="AI197" i="32"/>
  <c r="AN197" i="32" s="1"/>
  <c r="AL208" i="50"/>
  <c r="AY254" i="69"/>
  <c r="AH254" i="69"/>
  <c r="A201" i="32"/>
  <c r="B201" i="32"/>
  <c r="R201" i="32" s="1"/>
  <c r="M211" i="50"/>
  <c r="F211" i="50"/>
  <c r="U211" i="50" s="1"/>
  <c r="G211" i="50"/>
  <c r="I211" i="50"/>
  <c r="B211" i="50"/>
  <c r="R211" i="50" s="1"/>
  <c r="H211" i="50"/>
  <c r="L211" i="50"/>
  <c r="N211" i="50"/>
  <c r="J211" i="50"/>
  <c r="K211" i="50"/>
  <c r="A211" i="50"/>
  <c r="H201" i="32"/>
  <c r="I201" i="32"/>
  <c r="J201" i="32"/>
  <c r="K201" i="32"/>
  <c r="L201" i="32"/>
  <c r="M201" i="32"/>
  <c r="F201" i="32"/>
  <c r="U201" i="32" s="1"/>
  <c r="G201" i="32"/>
  <c r="N201" i="32"/>
  <c r="D255" i="69"/>
  <c r="E255" i="69" s="1"/>
  <c r="F255" i="69" s="1"/>
  <c r="G255" i="69" s="1"/>
  <c r="H255" i="69" s="1"/>
  <c r="I255" i="69" s="1"/>
  <c r="J255" i="69" s="1"/>
  <c r="K255" i="69" s="1"/>
  <c r="M255" i="69" s="1"/>
  <c r="AE254" i="69"/>
  <c r="R254" i="69"/>
  <c r="S254" i="69" s="1"/>
  <c r="Y254" i="69" s="1"/>
  <c r="C256" i="69"/>
  <c r="P256" i="69" s="1"/>
  <c r="AR256" i="67" a="1"/>
  <c r="AR256" i="67" s="1"/>
  <c r="AR257" i="67" s="1" a="1"/>
  <c r="AR257" i="67" s="1"/>
  <c r="B257" i="69"/>
  <c r="L257" i="69" s="1"/>
  <c r="AL201" i="11" a="1"/>
  <c r="AL201" i="11" s="1"/>
  <c r="E202" i="32" s="1"/>
  <c r="AP211" i="59" a="1"/>
  <c r="AP211" i="59" s="1"/>
  <c r="E212" i="50" s="1"/>
  <c r="AQ101" i="59" a="1"/>
  <c r="AQ101" i="59" s="1"/>
  <c r="AM86" i="11" a="1"/>
  <c r="AM86" i="11" s="1"/>
  <c r="AD200" i="32" l="1"/>
  <c r="AG200" i="32" s="1"/>
  <c r="AH200" i="32" s="1"/>
  <c r="AD199" i="32"/>
  <c r="AG199" i="32" s="1"/>
  <c r="AH199" i="32" s="1"/>
  <c r="AD210" i="50"/>
  <c r="AG210" i="50" s="1"/>
  <c r="AP256" i="69"/>
  <c r="N256" i="69"/>
  <c r="U256" i="69" s="1"/>
  <c r="Q211" i="50"/>
  <c r="P211" i="50" s="1"/>
  <c r="Q201" i="32"/>
  <c r="P201" i="32" s="1"/>
  <c r="T202" i="32"/>
  <c r="O202" i="32"/>
  <c r="T212" i="50"/>
  <c r="O212" i="50"/>
  <c r="AP208" i="50"/>
  <c r="AM201" i="32"/>
  <c r="C210" i="50"/>
  <c r="AJ210" i="50"/>
  <c r="S211" i="50"/>
  <c r="Z211" i="50" s="1"/>
  <c r="C200" i="32"/>
  <c r="AJ200" i="32"/>
  <c r="W199" i="32"/>
  <c r="X199" i="32" s="1"/>
  <c r="C199" i="32"/>
  <c r="AJ199" i="32"/>
  <c r="S201" i="32"/>
  <c r="Z201" i="32" s="1"/>
  <c r="W210" i="50"/>
  <c r="W200" i="32"/>
  <c r="X200" i="32" s="1"/>
  <c r="X209" i="50"/>
  <c r="V210" i="50"/>
  <c r="V199" i="32"/>
  <c r="AF255" i="69"/>
  <c r="Q255" i="69"/>
  <c r="AC253" i="69"/>
  <c r="AD253" i="69" s="1"/>
  <c r="AH209" i="50"/>
  <c r="AI209" i="50" s="1"/>
  <c r="AB254" i="69"/>
  <c r="AG254" i="69"/>
  <c r="O257" i="69"/>
  <c r="AO256" i="69"/>
  <c r="AK212" i="50"/>
  <c r="AK202" i="32"/>
  <c r="AM211" i="50"/>
  <c r="AL209" i="50"/>
  <c r="AI198" i="32"/>
  <c r="AN198" i="32" s="1"/>
  <c r="AY255" i="69"/>
  <c r="AH255" i="69"/>
  <c r="V200" i="32"/>
  <c r="A202" i="32"/>
  <c r="B202" i="32"/>
  <c r="R202" i="32" s="1"/>
  <c r="I212" i="50"/>
  <c r="N212" i="50"/>
  <c r="H212" i="50"/>
  <c r="M212" i="50"/>
  <c r="L212" i="50"/>
  <c r="G212" i="50"/>
  <c r="A212" i="50"/>
  <c r="J212" i="50"/>
  <c r="F212" i="50"/>
  <c r="U212" i="50" s="1"/>
  <c r="K212" i="50"/>
  <c r="B212" i="50"/>
  <c r="R212" i="50" s="1"/>
  <c r="F202" i="32"/>
  <c r="U202" i="32" s="1"/>
  <c r="N202" i="32"/>
  <c r="G202" i="32"/>
  <c r="H202" i="32"/>
  <c r="I202" i="32"/>
  <c r="J202" i="32"/>
  <c r="K202" i="32"/>
  <c r="L202" i="32"/>
  <c r="M202" i="32"/>
  <c r="D256" i="69"/>
  <c r="E256" i="69" s="1"/>
  <c r="F256" i="69" s="1"/>
  <c r="G256" i="69" s="1"/>
  <c r="H256" i="69" s="1"/>
  <c r="I256" i="69" s="1"/>
  <c r="J256" i="69" s="1"/>
  <c r="K256" i="69" s="1"/>
  <c r="M256" i="69" s="1"/>
  <c r="C257" i="69"/>
  <c r="R255" i="69"/>
  <c r="S255" i="69" s="1"/>
  <c r="Y255" i="69" s="1"/>
  <c r="AE255" i="69"/>
  <c r="AL202" i="11" a="1"/>
  <c r="AL202" i="11" s="1"/>
  <c r="E203" i="32" s="1"/>
  <c r="AP212" i="59" a="1"/>
  <c r="AP212" i="59" s="1"/>
  <c r="E213" i="50" s="1"/>
  <c r="AQ102" i="59" a="1"/>
  <c r="AQ102" i="59" s="1"/>
  <c r="AM87" i="11" a="1"/>
  <c r="AM87" i="11" s="1"/>
  <c r="N257" i="69" l="1"/>
  <c r="P257" i="69"/>
  <c r="AD201" i="32"/>
  <c r="AG201" i="32" s="1"/>
  <c r="AH201" i="32" s="1"/>
  <c r="AD211" i="50"/>
  <c r="AG211" i="50" s="1"/>
  <c r="Q212" i="50"/>
  <c r="P212" i="50" s="1"/>
  <c r="Q202" i="32"/>
  <c r="P202" i="32" s="1"/>
  <c r="AP257" i="69"/>
  <c r="AP258" i="69" s="1"/>
  <c r="T203" i="32"/>
  <c r="O203" i="32"/>
  <c r="T213" i="50"/>
  <c r="O213" i="50"/>
  <c r="AP209" i="50"/>
  <c r="AM202" i="32"/>
  <c r="AJ211" i="50"/>
  <c r="C211" i="50"/>
  <c r="S212" i="50"/>
  <c r="Z212" i="50" s="1"/>
  <c r="W201" i="32"/>
  <c r="X201" i="32" s="1"/>
  <c r="C201" i="32"/>
  <c r="AJ201" i="32"/>
  <c r="S202" i="32"/>
  <c r="AD202" i="32" s="1"/>
  <c r="W211" i="50"/>
  <c r="X210" i="50"/>
  <c r="V211" i="50"/>
  <c r="V201" i="32"/>
  <c r="AF256" i="69"/>
  <c r="Q256" i="69"/>
  <c r="AC254" i="69"/>
  <c r="AD254" i="69" s="1"/>
  <c r="AH210" i="50"/>
  <c r="AI210" i="50" s="1"/>
  <c r="AB255" i="69"/>
  <c r="AG255" i="69"/>
  <c r="AO257" i="69"/>
  <c r="AK213" i="50"/>
  <c r="AK203" i="32"/>
  <c r="AM212" i="50"/>
  <c r="AL199" i="32"/>
  <c r="AL200" i="32"/>
  <c r="AL210" i="50"/>
  <c r="AY256" i="69"/>
  <c r="AH256" i="69"/>
  <c r="A203" i="32"/>
  <c r="B203" i="32"/>
  <c r="R203" i="32" s="1"/>
  <c r="F213" i="50"/>
  <c r="U213" i="50" s="1"/>
  <c r="N213" i="50"/>
  <c r="K213" i="50"/>
  <c r="G213" i="50"/>
  <c r="A213" i="50"/>
  <c r="L213" i="50"/>
  <c r="H213" i="50"/>
  <c r="B213" i="50"/>
  <c r="R213" i="50" s="1"/>
  <c r="I213" i="50"/>
  <c r="J213" i="50"/>
  <c r="M213" i="50"/>
  <c r="L203" i="32"/>
  <c r="M203" i="32"/>
  <c r="F203" i="32"/>
  <c r="U203" i="32" s="1"/>
  <c r="N203" i="32"/>
  <c r="G203" i="32"/>
  <c r="H203" i="32"/>
  <c r="I203" i="32"/>
  <c r="J203" i="32"/>
  <c r="K203" i="32"/>
  <c r="R256" i="69"/>
  <c r="S256" i="69" s="1"/>
  <c r="Y256" i="69" s="1"/>
  <c r="AE256" i="69"/>
  <c r="D257" i="69"/>
  <c r="AL203" i="11" a="1"/>
  <c r="AL203" i="11" s="1"/>
  <c r="E204" i="32" s="1"/>
  <c r="AP213" i="59" a="1"/>
  <c r="AP213" i="59" s="1"/>
  <c r="E214" i="50" s="1"/>
  <c r="AQ103" i="59" a="1"/>
  <c r="AQ103" i="59" s="1"/>
  <c r="AM88" i="11" a="1"/>
  <c r="AM88" i="11" s="1"/>
  <c r="AD212" i="50" l="1"/>
  <c r="AG212" i="50" s="1"/>
  <c r="Q213" i="50"/>
  <c r="P213" i="50" s="1"/>
  <c r="Q203" i="32"/>
  <c r="P203" i="32" s="1"/>
  <c r="U257" i="69"/>
  <c r="Z174" i="22"/>
  <c r="AB174" i="22" s="1"/>
  <c r="Z175" i="22"/>
  <c r="AB175" i="22" s="1"/>
  <c r="Z176" i="22"/>
  <c r="AB176" i="22" s="1"/>
  <c r="Z172" i="22"/>
  <c r="AB172" i="22" s="1"/>
  <c r="Z173" i="22"/>
  <c r="AB173" i="22" s="1"/>
  <c r="T204" i="32"/>
  <c r="O204" i="32"/>
  <c r="T214" i="50"/>
  <c r="O214" i="50"/>
  <c r="AP210" i="50"/>
  <c r="C202" i="32"/>
  <c r="Z202" i="32"/>
  <c r="AM203" i="32"/>
  <c r="C212" i="50"/>
  <c r="AJ212" i="50"/>
  <c r="S213" i="50"/>
  <c r="Z213" i="50" s="1"/>
  <c r="W202" i="32"/>
  <c r="X202" i="32" s="1"/>
  <c r="AJ202" i="32"/>
  <c r="S203" i="32"/>
  <c r="Z203" i="32" s="1"/>
  <c r="W212" i="50"/>
  <c r="X211" i="50"/>
  <c r="V212" i="50"/>
  <c r="V202" i="32"/>
  <c r="AF257" i="69"/>
  <c r="Q257" i="69"/>
  <c r="AC255" i="69"/>
  <c r="AD255" i="69" s="1"/>
  <c r="AH211" i="50"/>
  <c r="AI211" i="50" s="1"/>
  <c r="AB256" i="69"/>
  <c r="AG256" i="69"/>
  <c r="AK214" i="50"/>
  <c r="AK204" i="32"/>
  <c r="AG202" i="32"/>
  <c r="AH202" i="32" s="1"/>
  <c r="AM213" i="50"/>
  <c r="AL201" i="32"/>
  <c r="AI199" i="32"/>
  <c r="AN199" i="32" s="1"/>
  <c r="AI200" i="32"/>
  <c r="AN200" i="32" s="1"/>
  <c r="AL211" i="50"/>
  <c r="Y172" i="22"/>
  <c r="AA172" i="22" s="1"/>
  <c r="Y173" i="22"/>
  <c r="AA173" i="22" s="1"/>
  <c r="Y175" i="22"/>
  <c r="AA175" i="22" s="1"/>
  <c r="Y174" i="22"/>
  <c r="AA174" i="22" s="1"/>
  <c r="Y176" i="22"/>
  <c r="AA176" i="22" s="1"/>
  <c r="AY257" i="69"/>
  <c r="AH257" i="69"/>
  <c r="A204" i="32"/>
  <c r="B204" i="32"/>
  <c r="R204" i="32" s="1"/>
  <c r="A214" i="50"/>
  <c r="G214" i="50"/>
  <c r="L214" i="50"/>
  <c r="N214" i="50"/>
  <c r="F214" i="50"/>
  <c r="U214" i="50" s="1"/>
  <c r="J214" i="50"/>
  <c r="I214" i="50"/>
  <c r="B214" i="50"/>
  <c r="R214" i="50" s="1"/>
  <c r="M214" i="50"/>
  <c r="K214" i="50"/>
  <c r="H214" i="50"/>
  <c r="J204" i="32"/>
  <c r="K204" i="32"/>
  <c r="L204" i="32"/>
  <c r="M204" i="32"/>
  <c r="F204" i="32"/>
  <c r="U204" i="32" s="1"/>
  <c r="N204" i="32"/>
  <c r="G204" i="32"/>
  <c r="H204" i="32"/>
  <c r="I204" i="32"/>
  <c r="E257" i="69"/>
  <c r="F257" i="69" s="1"/>
  <c r="G257" i="69" s="1"/>
  <c r="H257" i="69" s="1"/>
  <c r="I257" i="69" s="1"/>
  <c r="J257" i="69" s="1"/>
  <c r="K257" i="69" s="1"/>
  <c r="M257" i="69" s="1"/>
  <c r="D258" i="69"/>
  <c r="R257" i="69"/>
  <c r="S257" i="69" s="1"/>
  <c r="AE257" i="69"/>
  <c r="AL204" i="11" a="1"/>
  <c r="AL204" i="11" s="1"/>
  <c r="E205" i="32" s="1"/>
  <c r="AP214" i="59" a="1"/>
  <c r="AP214" i="59" s="1"/>
  <c r="E215" i="50" s="1"/>
  <c r="AQ104" i="59" a="1"/>
  <c r="AQ104" i="59" s="1"/>
  <c r="AM89" i="11" a="1"/>
  <c r="AM89" i="11" s="1"/>
  <c r="Y257" i="69" l="1"/>
  <c r="AD203" i="32"/>
  <c r="AG203" i="32" s="1"/>
  <c r="AH203" i="32" s="1"/>
  <c r="AD213" i="50"/>
  <c r="AG213" i="50" s="1"/>
  <c r="AD173" i="22"/>
  <c r="D22" i="105" s="1"/>
  <c r="F184" i="36"/>
  <c r="H184" i="36" s="1"/>
  <c r="AD174" i="22"/>
  <c r="D30" i="105" s="1"/>
  <c r="F185" i="36"/>
  <c r="H185" i="36" s="1"/>
  <c r="F183" i="36"/>
  <c r="AD176" i="22"/>
  <c r="D42" i="105" s="1"/>
  <c r="D43" i="105" s="1"/>
  <c r="F187" i="36"/>
  <c r="H187" i="36" s="1"/>
  <c r="AD175" i="22"/>
  <c r="D31" i="105" s="1"/>
  <c r="F186" i="36"/>
  <c r="H186" i="36" s="1"/>
  <c r="Q214" i="50"/>
  <c r="P214" i="50" s="1"/>
  <c r="Q204" i="32"/>
  <c r="P204" i="32" s="1"/>
  <c r="T205" i="32"/>
  <c r="O205" i="32"/>
  <c r="T215" i="50"/>
  <c r="O215" i="50"/>
  <c r="AP211" i="50"/>
  <c r="AM204" i="32"/>
  <c r="AJ213" i="50"/>
  <c r="C213" i="50"/>
  <c r="S214" i="50"/>
  <c r="Z214" i="50" s="1"/>
  <c r="AJ203" i="32"/>
  <c r="C203" i="32"/>
  <c r="W203" i="32"/>
  <c r="X203" i="32" s="1"/>
  <c r="S204" i="32"/>
  <c r="AD204" i="32" s="1"/>
  <c r="W213" i="50"/>
  <c r="X212" i="50"/>
  <c r="V213" i="50"/>
  <c r="V203" i="32"/>
  <c r="AC256" i="69"/>
  <c r="AD256" i="69" s="1"/>
  <c r="AH212" i="50"/>
  <c r="AI212" i="50" s="1"/>
  <c r="AK215" i="50"/>
  <c r="AK205" i="32"/>
  <c r="AM214" i="50"/>
  <c r="AL202" i="32"/>
  <c r="AI201" i="32"/>
  <c r="AN201" i="32" s="1"/>
  <c r="AL212" i="50"/>
  <c r="AC176" i="22"/>
  <c r="E187" i="36"/>
  <c r="G187" i="36" s="1"/>
  <c r="AC174" i="22"/>
  <c r="E185" i="36"/>
  <c r="G185" i="36" s="1"/>
  <c r="AC175" i="22"/>
  <c r="E186" i="36"/>
  <c r="G186" i="36" s="1"/>
  <c r="E184" i="36"/>
  <c r="G184" i="36" s="1"/>
  <c r="AC173" i="22"/>
  <c r="AC172" i="22"/>
  <c r="E183" i="36"/>
  <c r="G183" i="36" s="1"/>
  <c r="Q258" i="69"/>
  <c r="A205" i="32"/>
  <c r="B205" i="32"/>
  <c r="R205" i="32" s="1"/>
  <c r="K215" i="50"/>
  <c r="I215" i="50"/>
  <c r="M215" i="50"/>
  <c r="H215" i="50"/>
  <c r="J215" i="50"/>
  <c r="L215" i="50"/>
  <c r="B215" i="50"/>
  <c r="R215" i="50" s="1"/>
  <c r="A215" i="50"/>
  <c r="F215" i="50"/>
  <c r="U215" i="50" s="1"/>
  <c r="G215" i="50"/>
  <c r="N215" i="50"/>
  <c r="H205" i="32"/>
  <c r="I205" i="32"/>
  <c r="J205" i="32"/>
  <c r="K205" i="32"/>
  <c r="L205" i="32"/>
  <c r="M205" i="32"/>
  <c r="F205" i="32"/>
  <c r="U205" i="32" s="1"/>
  <c r="G205" i="32"/>
  <c r="N205" i="32"/>
  <c r="AL205" i="11" a="1"/>
  <c r="AL205" i="11" s="1"/>
  <c r="E206" i="32" s="1"/>
  <c r="AP215" i="59" a="1"/>
  <c r="AP215" i="59" s="1"/>
  <c r="E216" i="50" s="1"/>
  <c r="AQ105" i="59" a="1"/>
  <c r="AQ105" i="59" s="1"/>
  <c r="AM90" i="11" a="1"/>
  <c r="AM90" i="11" s="1"/>
  <c r="D32" i="105" l="1"/>
  <c r="AD214" i="50"/>
  <c r="AG214" i="50" s="1"/>
  <c r="Q215" i="50"/>
  <c r="P215" i="50" s="1"/>
  <c r="Q205" i="32"/>
  <c r="P205" i="32" s="1"/>
  <c r="T206" i="32"/>
  <c r="O206" i="32"/>
  <c r="T216" i="50"/>
  <c r="O216" i="50"/>
  <c r="AP212" i="50"/>
  <c r="C204" i="32"/>
  <c r="Z204" i="32"/>
  <c r="AM205" i="32"/>
  <c r="C214" i="50"/>
  <c r="AJ214" i="50"/>
  <c r="S215" i="50"/>
  <c r="Z215" i="50" s="1"/>
  <c r="W204" i="32"/>
  <c r="X204" i="32" s="1"/>
  <c r="S205" i="32"/>
  <c r="Z205" i="32" s="1"/>
  <c r="AJ204" i="32"/>
  <c r="W214" i="50"/>
  <c r="X213" i="50"/>
  <c r="V214" i="50"/>
  <c r="V204" i="32"/>
  <c r="AH213" i="50"/>
  <c r="AI213" i="50" s="1"/>
  <c r="AB257" i="69"/>
  <c r="AG257" i="69"/>
  <c r="AK216" i="50"/>
  <c r="AK206" i="32"/>
  <c r="AG204" i="32"/>
  <c r="AH204" i="32" s="1"/>
  <c r="AM215" i="50"/>
  <c r="AL203" i="32"/>
  <c r="AI202" i="32"/>
  <c r="AN202" i="32" s="1"/>
  <c r="AL213" i="50"/>
  <c r="AO258" i="69"/>
  <c r="A206" i="32"/>
  <c r="B206" i="32"/>
  <c r="R206" i="32" s="1"/>
  <c r="L216" i="50"/>
  <c r="M216" i="50"/>
  <c r="N216" i="50"/>
  <c r="G216" i="50"/>
  <c r="F216" i="50"/>
  <c r="U216" i="50" s="1"/>
  <c r="I216" i="50"/>
  <c r="H216" i="50"/>
  <c r="J216" i="50"/>
  <c r="K216" i="50"/>
  <c r="A216" i="50"/>
  <c r="B216" i="50"/>
  <c r="R216" i="50" s="1"/>
  <c r="F206" i="32"/>
  <c r="U206" i="32" s="1"/>
  <c r="N206" i="32"/>
  <c r="G206" i="32"/>
  <c r="H206" i="32"/>
  <c r="I206" i="32"/>
  <c r="J206" i="32"/>
  <c r="K206" i="32"/>
  <c r="L206" i="32"/>
  <c r="M206" i="32"/>
  <c r="AL206" i="11" a="1"/>
  <c r="AL206" i="11" s="1"/>
  <c r="E207" i="32" s="1"/>
  <c r="AP216" i="59" a="1"/>
  <c r="AP216" i="59" s="1"/>
  <c r="E217" i="50" s="1"/>
  <c r="AQ106" i="59" a="1"/>
  <c r="AQ106" i="59" s="1"/>
  <c r="AM91" i="11" a="1"/>
  <c r="AM91" i="11" s="1"/>
  <c r="AD205" i="32" l="1"/>
  <c r="AG205" i="32" s="1"/>
  <c r="AH205" i="32" s="1"/>
  <c r="AD215" i="50"/>
  <c r="AG215" i="50" s="1"/>
  <c r="Q216" i="50"/>
  <c r="P216" i="50" s="1"/>
  <c r="Q206" i="32"/>
  <c r="P206" i="32" s="1"/>
  <c r="T207" i="32"/>
  <c r="O207" i="32"/>
  <c r="O217" i="50"/>
  <c r="T217" i="50"/>
  <c r="AP213" i="50"/>
  <c r="AM206" i="32"/>
  <c r="AJ215" i="50"/>
  <c r="C215" i="50"/>
  <c r="S216" i="50"/>
  <c r="Z216" i="50" s="1"/>
  <c r="AJ205" i="32"/>
  <c r="W205" i="32"/>
  <c r="X205" i="32" s="1"/>
  <c r="C205" i="32"/>
  <c r="S206" i="32"/>
  <c r="AD206" i="32" s="1"/>
  <c r="W215" i="50"/>
  <c r="X214" i="50"/>
  <c r="V215" i="50"/>
  <c r="V205" i="32"/>
  <c r="AC257" i="69"/>
  <c r="Y2" i="69" s="1"/>
  <c r="AH214" i="50"/>
  <c r="AI214" i="50" s="1"/>
  <c r="AK217" i="50"/>
  <c r="AK207" i="32"/>
  <c r="AM216" i="50"/>
  <c r="AL204" i="32"/>
  <c r="AI203" i="32"/>
  <c r="AN203" i="32" s="1"/>
  <c r="AL214" i="50"/>
  <c r="A207" i="32"/>
  <c r="B207" i="32"/>
  <c r="R207" i="32" s="1"/>
  <c r="B217" i="50"/>
  <c r="R217" i="50" s="1"/>
  <c r="G217" i="50"/>
  <c r="I217" i="50"/>
  <c r="H217" i="50"/>
  <c r="A217" i="50"/>
  <c r="K217" i="50"/>
  <c r="J217" i="50"/>
  <c r="M217" i="50"/>
  <c r="F217" i="50"/>
  <c r="U217" i="50" s="1"/>
  <c r="L217" i="50"/>
  <c r="N217" i="50"/>
  <c r="L207" i="32"/>
  <c r="M207" i="32"/>
  <c r="F207" i="32"/>
  <c r="U207" i="32" s="1"/>
  <c r="N207" i="32"/>
  <c r="G207" i="32"/>
  <c r="H207" i="32"/>
  <c r="I207" i="32"/>
  <c r="J207" i="32"/>
  <c r="K207" i="32"/>
  <c r="AL207" i="11" a="1"/>
  <c r="AL207" i="11" s="1"/>
  <c r="E208" i="32" s="1"/>
  <c r="AP217" i="59" a="1"/>
  <c r="AP217" i="59" s="1"/>
  <c r="E218" i="50" s="1"/>
  <c r="AQ107" i="59" a="1"/>
  <c r="AQ107" i="59" s="1"/>
  <c r="AM92" i="11" a="1"/>
  <c r="AM92" i="11" s="1"/>
  <c r="AD216" i="50" l="1"/>
  <c r="AG216" i="50" s="1"/>
  <c r="Q217" i="50"/>
  <c r="P217" i="50" s="1"/>
  <c r="Q207" i="32"/>
  <c r="P207" i="32" s="1"/>
  <c r="T208" i="32"/>
  <c r="O208" i="32"/>
  <c r="T218" i="50"/>
  <c r="O218" i="50"/>
  <c r="AP214" i="50"/>
  <c r="C206" i="32"/>
  <c r="Z206" i="32"/>
  <c r="AM207" i="32"/>
  <c r="C216" i="50"/>
  <c r="AJ216" i="50"/>
  <c r="S217" i="50"/>
  <c r="Z217" i="50" s="1"/>
  <c r="S207" i="32"/>
  <c r="Z207" i="32" s="1"/>
  <c r="W206" i="32"/>
  <c r="X206" i="32" s="1"/>
  <c r="AJ206" i="32"/>
  <c r="W216" i="50"/>
  <c r="X215" i="50"/>
  <c r="V216" i="50"/>
  <c r="V206" i="32"/>
  <c r="AD257" i="69"/>
  <c r="AH215" i="50"/>
  <c r="AI215" i="50" s="1"/>
  <c r="AK218" i="50"/>
  <c r="AG206" i="32"/>
  <c r="AH206" i="32" s="1"/>
  <c r="AK208" i="32"/>
  <c r="AM217" i="50"/>
  <c r="AL205" i="32"/>
  <c r="AI204" i="32"/>
  <c r="AN204" i="32" s="1"/>
  <c r="AL215" i="50"/>
  <c r="A208" i="32"/>
  <c r="B208" i="32"/>
  <c r="R208" i="32" s="1"/>
  <c r="F218" i="50"/>
  <c r="U218" i="50" s="1"/>
  <c r="B218" i="50"/>
  <c r="R218" i="50" s="1"/>
  <c r="A218" i="50"/>
  <c r="J218" i="50"/>
  <c r="N218" i="50"/>
  <c r="K218" i="50"/>
  <c r="G218" i="50"/>
  <c r="H218" i="50"/>
  <c r="I218" i="50"/>
  <c r="L218" i="50"/>
  <c r="M218" i="50"/>
  <c r="J208" i="32"/>
  <c r="K208" i="32"/>
  <c r="L208" i="32"/>
  <c r="M208" i="32"/>
  <c r="F208" i="32"/>
  <c r="U208" i="32" s="1"/>
  <c r="N208" i="32"/>
  <c r="G208" i="32"/>
  <c r="H208" i="32"/>
  <c r="I208" i="32"/>
  <c r="AL208" i="11" a="1"/>
  <c r="AL208" i="11" s="1"/>
  <c r="AP218" i="59" a="1"/>
  <c r="AP218" i="59" s="1"/>
  <c r="E219" i="50" s="1"/>
  <c r="AQ108" i="59" a="1"/>
  <c r="AQ108" i="59" s="1"/>
  <c r="AM93" i="11" a="1"/>
  <c r="AM93" i="11" s="1"/>
  <c r="AD207" i="32" l="1"/>
  <c r="AG207" i="32" s="1"/>
  <c r="AH207" i="32" s="1"/>
  <c r="AD217" i="50"/>
  <c r="AG217" i="50" s="1"/>
  <c r="Q218" i="50"/>
  <c r="P218" i="50" s="1"/>
  <c r="Q208" i="32"/>
  <c r="P208" i="32" s="1"/>
  <c r="T219" i="50"/>
  <c r="O219" i="50"/>
  <c r="AP215" i="50"/>
  <c r="AM208" i="32"/>
  <c r="AJ217" i="50"/>
  <c r="C217" i="50"/>
  <c r="S218" i="50"/>
  <c r="Z218" i="50" s="1"/>
  <c r="AJ207" i="32"/>
  <c r="C207" i="32"/>
  <c r="S208" i="32"/>
  <c r="Z208" i="32" s="1"/>
  <c r="W217" i="50"/>
  <c r="W207" i="32"/>
  <c r="X207" i="32" s="1"/>
  <c r="X216" i="50"/>
  <c r="V217" i="50"/>
  <c r="AH216" i="50"/>
  <c r="AI216" i="50" s="1"/>
  <c r="AK219" i="50"/>
  <c r="AM218" i="50"/>
  <c r="AL206" i="32"/>
  <c r="AI205" i="32"/>
  <c r="AN205" i="32" s="1"/>
  <c r="AL216" i="50"/>
  <c r="V207" i="32"/>
  <c r="N219" i="50"/>
  <c r="K219" i="50"/>
  <c r="J219" i="50"/>
  <c r="B219" i="50"/>
  <c r="R219" i="50" s="1"/>
  <c r="A219" i="50"/>
  <c r="L219" i="50"/>
  <c r="M219" i="50"/>
  <c r="I219" i="50"/>
  <c r="F219" i="50"/>
  <c r="U219" i="50" s="1"/>
  <c r="G219" i="50"/>
  <c r="H219" i="50"/>
  <c r="E209" i="32"/>
  <c r="AL209" i="11" a="1"/>
  <c r="AL209" i="11" s="1"/>
  <c r="E210" i="32" s="1"/>
  <c r="AP219" i="59" a="1"/>
  <c r="AP219" i="59" s="1"/>
  <c r="E220" i="50" s="1"/>
  <c r="AQ109" i="59" a="1"/>
  <c r="AQ109" i="59" s="1"/>
  <c r="AM94" i="11" a="1"/>
  <c r="AM94" i="11" s="1"/>
  <c r="AD208" i="32" l="1"/>
  <c r="AG208" i="32" s="1"/>
  <c r="AH208" i="32" s="1"/>
  <c r="AD218" i="50"/>
  <c r="AG218" i="50" s="1"/>
  <c r="Q219" i="50"/>
  <c r="P219" i="50" s="1"/>
  <c r="T209" i="32"/>
  <c r="O209" i="32"/>
  <c r="T210" i="32"/>
  <c r="O210" i="32"/>
  <c r="T220" i="50"/>
  <c r="O220" i="50"/>
  <c r="AP216" i="50"/>
  <c r="AJ218" i="50"/>
  <c r="C218" i="50"/>
  <c r="S219" i="50"/>
  <c r="Z219" i="50" s="1"/>
  <c r="AJ208" i="32"/>
  <c r="C208" i="32"/>
  <c r="W208" i="32"/>
  <c r="X208" i="32" s="1"/>
  <c r="W218" i="50"/>
  <c r="X217" i="50"/>
  <c r="V218" i="50"/>
  <c r="V208" i="32"/>
  <c r="AH217" i="50"/>
  <c r="AI217" i="50" s="1"/>
  <c r="AK220" i="50"/>
  <c r="AK209" i="32"/>
  <c r="AK210" i="32"/>
  <c r="AM219" i="50"/>
  <c r="AL207" i="32"/>
  <c r="AI206" i="32"/>
  <c r="AN206" i="32" s="1"/>
  <c r="AL217" i="50"/>
  <c r="A210" i="32"/>
  <c r="B210" i="32"/>
  <c r="R210" i="32" s="1"/>
  <c r="A209" i="32"/>
  <c r="B209" i="32"/>
  <c r="R209" i="32" s="1"/>
  <c r="I220" i="50"/>
  <c r="J220" i="50"/>
  <c r="G220" i="50"/>
  <c r="A220" i="50"/>
  <c r="L220" i="50"/>
  <c r="H220" i="50"/>
  <c r="N220" i="50"/>
  <c r="F220" i="50"/>
  <c r="U220" i="50" s="1"/>
  <c r="K220" i="50"/>
  <c r="B220" i="50"/>
  <c r="R220" i="50" s="1"/>
  <c r="M220" i="50"/>
  <c r="H209" i="32"/>
  <c r="I209" i="32"/>
  <c r="J209" i="32"/>
  <c r="K209" i="32"/>
  <c r="L209" i="32"/>
  <c r="M209" i="32"/>
  <c r="G209" i="32"/>
  <c r="N209" i="32"/>
  <c r="F209" i="32"/>
  <c r="U209" i="32" s="1"/>
  <c r="F210" i="32"/>
  <c r="U210" i="32" s="1"/>
  <c r="N210" i="32"/>
  <c r="G210" i="32"/>
  <c r="H210" i="32"/>
  <c r="I210" i="32"/>
  <c r="J210" i="32"/>
  <c r="K210" i="32"/>
  <c r="L210" i="32"/>
  <c r="M210" i="32"/>
  <c r="AL210" i="11" a="1"/>
  <c r="AL210" i="11" s="1"/>
  <c r="E211" i="32" s="1"/>
  <c r="AP220" i="59" a="1"/>
  <c r="AP220" i="59" s="1"/>
  <c r="E221" i="50" s="1"/>
  <c r="AQ110" i="59" a="1"/>
  <c r="AQ110" i="59" s="1"/>
  <c r="AM95" i="11" a="1"/>
  <c r="AM95" i="11" s="1"/>
  <c r="AD219" i="50" l="1"/>
  <c r="AG219" i="50" s="1"/>
  <c r="Q220" i="50"/>
  <c r="P220" i="50" s="1"/>
  <c r="Q209" i="32"/>
  <c r="P209" i="32" s="1"/>
  <c r="Q210" i="32"/>
  <c r="P210" i="32" s="1"/>
  <c r="T211" i="32"/>
  <c r="O211" i="32"/>
  <c r="T221" i="50"/>
  <c r="O221" i="50"/>
  <c r="AP217" i="50"/>
  <c r="AM210" i="32"/>
  <c r="AM209" i="32"/>
  <c r="C219" i="50"/>
  <c r="AJ219" i="50"/>
  <c r="S220" i="50"/>
  <c r="Z220" i="50" s="1"/>
  <c r="S209" i="32"/>
  <c r="Z209" i="32" s="1"/>
  <c r="S210" i="32"/>
  <c r="AD210" i="32" s="1"/>
  <c r="W219" i="50"/>
  <c r="X218" i="50"/>
  <c r="V219" i="50"/>
  <c r="AH218" i="50"/>
  <c r="AI218" i="50" s="1"/>
  <c r="AK221" i="50"/>
  <c r="AK211" i="32"/>
  <c r="AM220" i="50"/>
  <c r="AL208" i="32"/>
  <c r="AI207" i="32"/>
  <c r="AN207" i="32" s="1"/>
  <c r="AL218" i="50"/>
  <c r="A211" i="32"/>
  <c r="B211" i="32"/>
  <c r="R211" i="32" s="1"/>
  <c r="N221" i="50"/>
  <c r="G221" i="50"/>
  <c r="M221" i="50"/>
  <c r="F221" i="50"/>
  <c r="U221" i="50" s="1"/>
  <c r="K221" i="50"/>
  <c r="B221" i="50"/>
  <c r="R221" i="50" s="1"/>
  <c r="A221" i="50"/>
  <c r="L221" i="50"/>
  <c r="H221" i="50"/>
  <c r="I221" i="50"/>
  <c r="J221" i="50"/>
  <c r="L211" i="32"/>
  <c r="M211" i="32"/>
  <c r="F211" i="32"/>
  <c r="U211" i="32" s="1"/>
  <c r="N211" i="32"/>
  <c r="G211" i="32"/>
  <c r="H211" i="32"/>
  <c r="I211" i="32"/>
  <c r="J211" i="32"/>
  <c r="K211" i="32"/>
  <c r="AL211" i="11" a="1"/>
  <c r="AL211" i="11" s="1"/>
  <c r="E212" i="32" s="1"/>
  <c r="AP221" i="59" a="1"/>
  <c r="AP221" i="59" s="1"/>
  <c r="E222" i="50" s="1"/>
  <c r="AQ111" i="59" a="1"/>
  <c r="AQ111" i="59" s="1"/>
  <c r="AM96" i="11" a="1"/>
  <c r="AM96" i="11" s="1"/>
  <c r="AD209" i="32" l="1"/>
  <c r="AG209" i="32" s="1"/>
  <c r="AH209" i="32" s="1"/>
  <c r="AD220" i="50"/>
  <c r="AG220" i="50" s="1"/>
  <c r="Q221" i="50"/>
  <c r="P221" i="50" s="1"/>
  <c r="Q211" i="32"/>
  <c r="P211" i="32" s="1"/>
  <c r="T212" i="32"/>
  <c r="O212" i="32"/>
  <c r="T222" i="50"/>
  <c r="O222" i="50"/>
  <c r="AP218" i="50"/>
  <c r="AJ210" i="32"/>
  <c r="Z210" i="32"/>
  <c r="AM211" i="32"/>
  <c r="AJ220" i="50"/>
  <c r="C220" i="50"/>
  <c r="S221" i="50"/>
  <c r="Z221" i="50" s="1"/>
  <c r="AJ209" i="32"/>
  <c r="C209" i="32"/>
  <c r="W209" i="32"/>
  <c r="X209" i="32" s="1"/>
  <c r="C210" i="32"/>
  <c r="S211" i="32"/>
  <c r="AD211" i="32" s="1"/>
  <c r="W220" i="50"/>
  <c r="W210" i="32"/>
  <c r="X210" i="32" s="1"/>
  <c r="X219" i="50"/>
  <c r="V220" i="50"/>
  <c r="V209" i="32"/>
  <c r="AH219" i="50"/>
  <c r="AI219" i="50" s="1"/>
  <c r="AK222" i="50"/>
  <c r="AK212" i="32"/>
  <c r="AG210" i="32"/>
  <c r="AH210" i="32" s="1"/>
  <c r="AM221" i="50"/>
  <c r="AI208" i="32"/>
  <c r="AN208" i="32" s="1"/>
  <c r="AL219" i="50"/>
  <c r="V210" i="32"/>
  <c r="A212" i="32"/>
  <c r="B212" i="32"/>
  <c r="R212" i="32" s="1"/>
  <c r="H222" i="50"/>
  <c r="L222" i="50"/>
  <c r="M222" i="50"/>
  <c r="K222" i="50"/>
  <c r="A222" i="50"/>
  <c r="F222" i="50"/>
  <c r="U222" i="50" s="1"/>
  <c r="G222" i="50"/>
  <c r="J222" i="50"/>
  <c r="B222" i="50"/>
  <c r="R222" i="50" s="1"/>
  <c r="N222" i="50"/>
  <c r="I222" i="50"/>
  <c r="J212" i="32"/>
  <c r="K212" i="32"/>
  <c r="L212" i="32"/>
  <c r="M212" i="32"/>
  <c r="F212" i="32"/>
  <c r="U212" i="32" s="1"/>
  <c r="N212" i="32"/>
  <c r="I212" i="32"/>
  <c r="H212" i="32"/>
  <c r="G212" i="32"/>
  <c r="AL212" i="11" a="1"/>
  <c r="AL212" i="11" s="1"/>
  <c r="E213" i="32" s="1"/>
  <c r="AP222" i="59" a="1"/>
  <c r="AP222" i="59" s="1"/>
  <c r="E223" i="50" s="1"/>
  <c r="AQ112" i="59" a="1"/>
  <c r="AQ112" i="59" s="1"/>
  <c r="AM97" i="11" a="1"/>
  <c r="AM97" i="11" s="1"/>
  <c r="AD221" i="50" l="1"/>
  <c r="AG221" i="50" s="1"/>
  <c r="Q222" i="50"/>
  <c r="P222" i="50" s="1"/>
  <c r="Q212" i="32"/>
  <c r="P212" i="32" s="1"/>
  <c r="T213" i="32"/>
  <c r="O213" i="32"/>
  <c r="T223" i="50"/>
  <c r="O223" i="50"/>
  <c r="AP219" i="50"/>
  <c r="C211" i="32"/>
  <c r="Z211" i="32"/>
  <c r="AM212" i="32"/>
  <c r="C221" i="50"/>
  <c r="S222" i="50"/>
  <c r="Z222" i="50" s="1"/>
  <c r="AJ221" i="50"/>
  <c r="AJ211" i="32"/>
  <c r="S212" i="32"/>
  <c r="Z212" i="32" s="1"/>
  <c r="W221" i="50"/>
  <c r="W211" i="32"/>
  <c r="X211" i="32" s="1"/>
  <c r="X220" i="50"/>
  <c r="V221" i="50"/>
  <c r="AH220" i="50"/>
  <c r="AI220" i="50" s="1"/>
  <c r="AK223" i="50"/>
  <c r="AK213" i="32"/>
  <c r="AG211" i="32"/>
  <c r="AH211" i="32" s="1"/>
  <c r="AM222" i="50"/>
  <c r="AL210" i="32"/>
  <c r="AL209" i="32"/>
  <c r="AL220" i="50"/>
  <c r="V211" i="32"/>
  <c r="A213" i="32"/>
  <c r="B213" i="32"/>
  <c r="R213" i="32" s="1"/>
  <c r="G223" i="50"/>
  <c r="K223" i="50"/>
  <c r="J223" i="50"/>
  <c r="I223" i="50"/>
  <c r="F223" i="50"/>
  <c r="U223" i="50" s="1"/>
  <c r="B223" i="50"/>
  <c r="R223" i="50" s="1"/>
  <c r="H223" i="50"/>
  <c r="M223" i="50"/>
  <c r="A223" i="50"/>
  <c r="N223" i="50"/>
  <c r="L223" i="50"/>
  <c r="H213" i="32"/>
  <c r="I213" i="32"/>
  <c r="J213" i="32"/>
  <c r="K213" i="32"/>
  <c r="L213" i="32"/>
  <c r="F213" i="32"/>
  <c r="U213" i="32" s="1"/>
  <c r="G213" i="32"/>
  <c r="M213" i="32"/>
  <c r="N213" i="32"/>
  <c r="AL213" i="11" a="1"/>
  <c r="AL213" i="11" s="1"/>
  <c r="E214" i="32" s="1"/>
  <c r="AP223" i="59" a="1"/>
  <c r="AP223" i="59" s="1"/>
  <c r="E224" i="50" s="1"/>
  <c r="AQ113" i="59" a="1"/>
  <c r="AQ113" i="59" s="1"/>
  <c r="AM98" i="11" a="1"/>
  <c r="AM98" i="11" s="1"/>
  <c r="AD212" i="32" l="1"/>
  <c r="AG212" i="32" s="1"/>
  <c r="AH212" i="32" s="1"/>
  <c r="AD222" i="50"/>
  <c r="AG222" i="50" s="1"/>
  <c r="Q223" i="50"/>
  <c r="P223" i="50" s="1"/>
  <c r="Q213" i="32"/>
  <c r="P213" i="32" s="1"/>
  <c r="T214" i="32"/>
  <c r="O214" i="32"/>
  <c r="T224" i="50"/>
  <c r="O224" i="50"/>
  <c r="AP220" i="50"/>
  <c r="AM213" i="32"/>
  <c r="AJ222" i="50"/>
  <c r="C222" i="50"/>
  <c r="S223" i="50"/>
  <c r="AJ212" i="32"/>
  <c r="C212" i="32"/>
  <c r="W212" i="32"/>
  <c r="X212" i="32" s="1"/>
  <c r="S213" i="32"/>
  <c r="Z213" i="32" s="1"/>
  <c r="W222" i="50"/>
  <c r="X221" i="50"/>
  <c r="V222" i="50"/>
  <c r="V212" i="32"/>
  <c r="AH221" i="50"/>
  <c r="AI221" i="50" s="1"/>
  <c r="AK224" i="50"/>
  <c r="AK214" i="32"/>
  <c r="AM223" i="50"/>
  <c r="AL211" i="32"/>
  <c r="AI209" i="32"/>
  <c r="AN209" i="32" s="1"/>
  <c r="AI210" i="32"/>
  <c r="AN210" i="32" s="1"/>
  <c r="AL221" i="50"/>
  <c r="A214" i="32"/>
  <c r="B214" i="32"/>
  <c r="R214" i="32" s="1"/>
  <c r="L224" i="50"/>
  <c r="N224" i="50"/>
  <c r="J224" i="50"/>
  <c r="F224" i="50"/>
  <c r="U224" i="50" s="1"/>
  <c r="H224" i="50"/>
  <c r="M224" i="50"/>
  <c r="G224" i="50"/>
  <c r="K224" i="50"/>
  <c r="I224" i="50"/>
  <c r="B224" i="50"/>
  <c r="R224" i="50" s="1"/>
  <c r="A224" i="50"/>
  <c r="F214" i="32"/>
  <c r="U214" i="32" s="1"/>
  <c r="N214" i="32"/>
  <c r="G214" i="32"/>
  <c r="H214" i="32"/>
  <c r="I214" i="32"/>
  <c r="J214" i="32"/>
  <c r="L214" i="32"/>
  <c r="M214" i="32"/>
  <c r="K214" i="32"/>
  <c r="AL214" i="11" a="1"/>
  <c r="AL214" i="11" s="1"/>
  <c r="E215" i="32" s="1"/>
  <c r="AP224" i="59" a="1"/>
  <c r="AP224" i="59" s="1"/>
  <c r="E225" i="50" s="1"/>
  <c r="AQ114" i="59" a="1"/>
  <c r="AQ114" i="59" s="1"/>
  <c r="AM99" i="11" a="1"/>
  <c r="AM99" i="11" s="1"/>
  <c r="AD213" i="32" l="1"/>
  <c r="AG213" i="32" s="1"/>
  <c r="AH213" i="32" s="1"/>
  <c r="AD223" i="50"/>
  <c r="AG223" i="50" s="1"/>
  <c r="Q224" i="50"/>
  <c r="P224" i="50" s="1"/>
  <c r="Q214" i="32"/>
  <c r="P214" i="32" s="1"/>
  <c r="T215" i="32"/>
  <c r="O215" i="32"/>
  <c r="O225" i="50"/>
  <c r="T225" i="50"/>
  <c r="AP221" i="50"/>
  <c r="C223" i="50"/>
  <c r="Z223" i="50"/>
  <c r="AM214" i="32"/>
  <c r="S224" i="50"/>
  <c r="Z224" i="50" s="1"/>
  <c r="AJ223" i="50"/>
  <c r="C213" i="32"/>
  <c r="AJ213" i="32"/>
  <c r="S214" i="32"/>
  <c r="Z214" i="32" s="1"/>
  <c r="W223" i="50"/>
  <c r="W213" i="32"/>
  <c r="X213" i="32" s="1"/>
  <c r="X222" i="50"/>
  <c r="V223" i="50"/>
  <c r="AH222" i="50"/>
  <c r="AI222" i="50" s="1"/>
  <c r="AK225" i="50"/>
  <c r="AK215" i="32"/>
  <c r="AM224" i="50"/>
  <c r="AL212" i="32"/>
  <c r="AL222" i="50"/>
  <c r="AI211" i="32"/>
  <c r="AN211" i="32" s="1"/>
  <c r="V213" i="32"/>
  <c r="A215" i="32"/>
  <c r="B215" i="32"/>
  <c r="R215" i="32" s="1"/>
  <c r="F225" i="50"/>
  <c r="U225" i="50" s="1"/>
  <c r="N225" i="50"/>
  <c r="M225" i="50"/>
  <c r="G225" i="50"/>
  <c r="H225" i="50"/>
  <c r="A225" i="50"/>
  <c r="L225" i="50"/>
  <c r="K225" i="50"/>
  <c r="B225" i="50"/>
  <c r="R225" i="50" s="1"/>
  <c r="J225" i="50"/>
  <c r="I225" i="50"/>
  <c r="L215" i="32"/>
  <c r="M215" i="32"/>
  <c r="F215" i="32"/>
  <c r="U215" i="32" s="1"/>
  <c r="N215" i="32"/>
  <c r="G215" i="32"/>
  <c r="H215" i="32"/>
  <c r="I215" i="32"/>
  <c r="J215" i="32"/>
  <c r="K215" i="32"/>
  <c r="AL215" i="11" a="1"/>
  <c r="AL215" i="11" s="1"/>
  <c r="E216" i="32" s="1"/>
  <c r="AP225" i="59" a="1"/>
  <c r="AP225" i="59" s="1"/>
  <c r="E226" i="50" s="1"/>
  <c r="AQ115" i="59" a="1"/>
  <c r="AQ115" i="59" s="1"/>
  <c r="AM100" i="11" a="1"/>
  <c r="AM100" i="11" s="1"/>
  <c r="AD214" i="32" l="1"/>
  <c r="AG214" i="32" s="1"/>
  <c r="AH214" i="32" s="1"/>
  <c r="AD224" i="50"/>
  <c r="AG224" i="50" s="1"/>
  <c r="Q225" i="50"/>
  <c r="P225" i="50" s="1"/>
  <c r="Q215" i="32"/>
  <c r="P215" i="32" s="1"/>
  <c r="T216" i="32"/>
  <c r="O216" i="32"/>
  <c r="T226" i="50"/>
  <c r="O226" i="50"/>
  <c r="AP222" i="50"/>
  <c r="AM215" i="32"/>
  <c r="AJ224" i="50"/>
  <c r="C224" i="50"/>
  <c r="S225" i="50"/>
  <c r="Z225" i="50" s="1"/>
  <c r="AJ214" i="32"/>
  <c r="W214" i="32"/>
  <c r="X214" i="32" s="1"/>
  <c r="C214" i="32"/>
  <c r="S215" i="32"/>
  <c r="AD215" i="32" s="1"/>
  <c r="W224" i="50"/>
  <c r="X223" i="50"/>
  <c r="V224" i="50"/>
  <c r="V214" i="32"/>
  <c r="AH223" i="50"/>
  <c r="AI223" i="50" s="1"/>
  <c r="AK226" i="50"/>
  <c r="AK216" i="32"/>
  <c r="AM225" i="50"/>
  <c r="AL213" i="32"/>
  <c r="AI212" i="32"/>
  <c r="AN212" i="32" s="1"/>
  <c r="AL223" i="50"/>
  <c r="A216" i="32"/>
  <c r="B216" i="32"/>
  <c r="R216" i="32" s="1"/>
  <c r="I226" i="50"/>
  <c r="M226" i="50"/>
  <c r="H226" i="50"/>
  <c r="J226" i="50"/>
  <c r="F226" i="50"/>
  <c r="U226" i="50" s="1"/>
  <c r="G226" i="50"/>
  <c r="L226" i="50"/>
  <c r="B226" i="50"/>
  <c r="R226" i="50" s="1"/>
  <c r="A226" i="50"/>
  <c r="N226" i="50"/>
  <c r="K226" i="50"/>
  <c r="J216" i="32"/>
  <c r="K216" i="32"/>
  <c r="L216" i="32"/>
  <c r="M216" i="32"/>
  <c r="F216" i="32"/>
  <c r="U216" i="32" s="1"/>
  <c r="N216" i="32"/>
  <c r="G216" i="32"/>
  <c r="H216" i="32"/>
  <c r="I216" i="32"/>
  <c r="AL216" i="11" a="1"/>
  <c r="AL216" i="11" s="1"/>
  <c r="E217" i="32" s="1"/>
  <c r="AP226" i="59" a="1"/>
  <c r="AP226" i="59" s="1"/>
  <c r="E227" i="50" s="1"/>
  <c r="AQ116" i="59" a="1"/>
  <c r="AQ116" i="59" s="1"/>
  <c r="AM101" i="11" a="1"/>
  <c r="AM101" i="11" s="1"/>
  <c r="AD225" i="50" l="1"/>
  <c r="AG225" i="50" s="1"/>
  <c r="Q226" i="50"/>
  <c r="P226" i="50" s="1"/>
  <c r="Q216" i="32"/>
  <c r="P216" i="32" s="1"/>
  <c r="T217" i="32"/>
  <c r="O217" i="32"/>
  <c r="T227" i="50"/>
  <c r="O227" i="50"/>
  <c r="AP223" i="50"/>
  <c r="C215" i="32"/>
  <c r="Z215" i="32"/>
  <c r="AM216" i="32"/>
  <c r="C225" i="50"/>
  <c r="AJ225" i="50"/>
  <c r="S226" i="50"/>
  <c r="Z226" i="50" s="1"/>
  <c r="S216" i="32"/>
  <c r="Z216" i="32" s="1"/>
  <c r="AJ215" i="32"/>
  <c r="W215" i="32"/>
  <c r="X215" i="32" s="1"/>
  <c r="W225" i="50"/>
  <c r="X224" i="50"/>
  <c r="V225" i="50"/>
  <c r="V215" i="32"/>
  <c r="AH224" i="50"/>
  <c r="AI224" i="50" s="1"/>
  <c r="AK227" i="50"/>
  <c r="AK217" i="32"/>
  <c r="AG215" i="32"/>
  <c r="AH215" i="32" s="1"/>
  <c r="AM226" i="50"/>
  <c r="AL214" i="32"/>
  <c r="AI213" i="32"/>
  <c r="AN213" i="32" s="1"/>
  <c r="AL224" i="50"/>
  <c r="A217" i="32"/>
  <c r="B217" i="32"/>
  <c r="R217" i="32" s="1"/>
  <c r="M227" i="50"/>
  <c r="K227" i="50"/>
  <c r="N227" i="50"/>
  <c r="F227" i="50"/>
  <c r="U227" i="50" s="1"/>
  <c r="H227" i="50"/>
  <c r="G227" i="50"/>
  <c r="L227" i="50"/>
  <c r="A227" i="50"/>
  <c r="J227" i="50"/>
  <c r="I227" i="50"/>
  <c r="B227" i="50"/>
  <c r="R227" i="50" s="1"/>
  <c r="H217" i="32"/>
  <c r="I217" i="32"/>
  <c r="J217" i="32"/>
  <c r="K217" i="32"/>
  <c r="L217" i="32"/>
  <c r="F217" i="32"/>
  <c r="U217" i="32" s="1"/>
  <c r="G217" i="32"/>
  <c r="M217" i="32"/>
  <c r="N217" i="32"/>
  <c r="AL217" i="11" a="1"/>
  <c r="AL217" i="11" s="1"/>
  <c r="E218" i="32" s="1"/>
  <c r="AP227" i="59" a="1"/>
  <c r="AP227" i="59" s="1"/>
  <c r="E228" i="50" s="1"/>
  <c r="AQ117" i="59" a="1"/>
  <c r="AQ117" i="59" s="1"/>
  <c r="AM102" i="11" a="1"/>
  <c r="AM102" i="11" s="1"/>
  <c r="AD216" i="32" l="1"/>
  <c r="AG216" i="32" s="1"/>
  <c r="AH216" i="32" s="1"/>
  <c r="AD226" i="50"/>
  <c r="AG226" i="50" s="1"/>
  <c r="Q227" i="50"/>
  <c r="P227" i="50" s="1"/>
  <c r="Q217" i="32"/>
  <c r="P217" i="32" s="1"/>
  <c r="T218" i="32"/>
  <c r="O218" i="32"/>
  <c r="T228" i="50"/>
  <c r="O228" i="50"/>
  <c r="AP224" i="50"/>
  <c r="AM217" i="32"/>
  <c r="C226" i="50"/>
  <c r="AJ226" i="50"/>
  <c r="S227" i="50"/>
  <c r="Z227" i="50" s="1"/>
  <c r="AJ216" i="32"/>
  <c r="C216" i="32"/>
  <c r="W216" i="32"/>
  <c r="X216" i="32" s="1"/>
  <c r="S217" i="32"/>
  <c r="AD217" i="32" s="1"/>
  <c r="W226" i="50"/>
  <c r="X225" i="50"/>
  <c r="V226" i="50"/>
  <c r="V216" i="32"/>
  <c r="AH225" i="50"/>
  <c r="AI225" i="50" s="1"/>
  <c r="AK228" i="50"/>
  <c r="AK218" i="32"/>
  <c r="AM227" i="50"/>
  <c r="AL215" i="32"/>
  <c r="AI214" i="32"/>
  <c r="AN214" i="32" s="1"/>
  <c r="AL225" i="50"/>
  <c r="A218" i="32"/>
  <c r="B218" i="32"/>
  <c r="R218" i="32" s="1"/>
  <c r="F228" i="50"/>
  <c r="U228" i="50" s="1"/>
  <c r="H228" i="50"/>
  <c r="J228" i="50"/>
  <c r="I228" i="50"/>
  <c r="A228" i="50"/>
  <c r="L228" i="50"/>
  <c r="B228" i="50"/>
  <c r="R228" i="50" s="1"/>
  <c r="M228" i="50"/>
  <c r="N228" i="50"/>
  <c r="G228" i="50"/>
  <c r="K228" i="50"/>
  <c r="F218" i="32"/>
  <c r="U218" i="32" s="1"/>
  <c r="N218" i="32"/>
  <c r="G218" i="32"/>
  <c r="H218" i="32"/>
  <c r="I218" i="32"/>
  <c r="J218" i="32"/>
  <c r="M218" i="32"/>
  <c r="K218" i="32"/>
  <c r="L218" i="32"/>
  <c r="AL218" i="11" a="1"/>
  <c r="AL218" i="11" s="1"/>
  <c r="AP228" i="59" a="1"/>
  <c r="AP228" i="59" s="1"/>
  <c r="E229" i="50" s="1"/>
  <c r="AQ118" i="59" a="1"/>
  <c r="AQ118" i="59" s="1"/>
  <c r="AM103" i="11" a="1"/>
  <c r="AM103" i="11" s="1"/>
  <c r="AD227" i="50" l="1"/>
  <c r="AG227" i="50" s="1"/>
  <c r="Q228" i="50"/>
  <c r="P228" i="50" s="1"/>
  <c r="Q218" i="32"/>
  <c r="P218" i="32" s="1"/>
  <c r="T229" i="50"/>
  <c r="O229" i="50"/>
  <c r="AP225" i="50"/>
  <c r="C217" i="32"/>
  <c r="Z217" i="32"/>
  <c r="AM218" i="32"/>
  <c r="C227" i="50"/>
  <c r="AJ227" i="50"/>
  <c r="S228" i="50"/>
  <c r="Z228" i="50" s="1"/>
  <c r="S218" i="32"/>
  <c r="Z218" i="32" s="1"/>
  <c r="W217" i="32"/>
  <c r="X217" i="32" s="1"/>
  <c r="AJ217" i="32"/>
  <c r="W227" i="50"/>
  <c r="X226" i="50"/>
  <c r="V227" i="50"/>
  <c r="V217" i="32"/>
  <c r="AH226" i="50"/>
  <c r="AI226" i="50" s="1"/>
  <c r="AK229" i="50"/>
  <c r="AG217" i="32"/>
  <c r="AH217" i="32" s="1"/>
  <c r="AM228" i="50"/>
  <c r="AL216" i="32"/>
  <c r="AI215" i="32"/>
  <c r="AN215" i="32" s="1"/>
  <c r="AL226" i="50"/>
  <c r="A229" i="50"/>
  <c r="M229" i="50"/>
  <c r="I229" i="50"/>
  <c r="J229" i="50"/>
  <c r="H229" i="50"/>
  <c r="L229" i="50"/>
  <c r="B229" i="50"/>
  <c r="R229" i="50" s="1"/>
  <c r="N229" i="50"/>
  <c r="K229" i="50"/>
  <c r="F229" i="50"/>
  <c r="U229" i="50" s="1"/>
  <c r="G229" i="50"/>
  <c r="E219" i="32"/>
  <c r="AL219" i="11" a="1"/>
  <c r="AL219" i="11" s="1"/>
  <c r="E220" i="32" s="1"/>
  <c r="AP229" i="59" a="1"/>
  <c r="AP229" i="59" s="1"/>
  <c r="E230" i="50" s="1"/>
  <c r="AQ119" i="59" a="1"/>
  <c r="AQ119" i="59" s="1"/>
  <c r="AM104" i="11" a="1"/>
  <c r="AM104" i="11" s="1"/>
  <c r="AD218" i="32" l="1"/>
  <c r="AG218" i="32" s="1"/>
  <c r="AH218" i="32" s="1"/>
  <c r="AD228" i="50"/>
  <c r="AG228" i="50" s="1"/>
  <c r="Q229" i="50"/>
  <c r="P229" i="50" s="1"/>
  <c r="T220" i="32"/>
  <c r="O220" i="32"/>
  <c r="T219" i="32"/>
  <c r="O219" i="32"/>
  <c r="T230" i="50"/>
  <c r="O230" i="50"/>
  <c r="AP226" i="50"/>
  <c r="AJ228" i="50"/>
  <c r="C228" i="50"/>
  <c r="S229" i="50"/>
  <c r="Z229" i="50" s="1"/>
  <c r="AJ218" i="32"/>
  <c r="C218" i="32"/>
  <c r="W228" i="50"/>
  <c r="W218" i="32"/>
  <c r="X218" i="32" s="1"/>
  <c r="X227" i="50"/>
  <c r="V228" i="50"/>
  <c r="AH227" i="50"/>
  <c r="AI227" i="50" s="1"/>
  <c r="AK230" i="50"/>
  <c r="AK220" i="32"/>
  <c r="AK219" i="32"/>
  <c r="AM229" i="50"/>
  <c r="AL217" i="32"/>
  <c r="AI216" i="32"/>
  <c r="AN216" i="32" s="1"/>
  <c r="AL227" i="50"/>
  <c r="V218" i="32"/>
  <c r="A220" i="32"/>
  <c r="B220" i="32"/>
  <c r="R220" i="32" s="1"/>
  <c r="A219" i="32"/>
  <c r="B219" i="32"/>
  <c r="R219" i="32" s="1"/>
  <c r="G230" i="50"/>
  <c r="M230" i="50"/>
  <c r="K230" i="50"/>
  <c r="F230" i="50"/>
  <c r="U230" i="50" s="1"/>
  <c r="I230" i="50"/>
  <c r="L230" i="50"/>
  <c r="N230" i="50"/>
  <c r="A230" i="50"/>
  <c r="H230" i="50"/>
  <c r="B230" i="50"/>
  <c r="R230" i="50" s="1"/>
  <c r="J230" i="50"/>
  <c r="J220" i="32"/>
  <c r="K220" i="32"/>
  <c r="L220" i="32"/>
  <c r="M220" i="32"/>
  <c r="F220" i="32"/>
  <c r="U220" i="32" s="1"/>
  <c r="N220" i="32"/>
  <c r="H220" i="32"/>
  <c r="I220" i="32"/>
  <c r="G220" i="32"/>
  <c r="L219" i="32"/>
  <c r="M219" i="32"/>
  <c r="F219" i="32"/>
  <c r="U219" i="32" s="1"/>
  <c r="N219" i="32"/>
  <c r="G219" i="32"/>
  <c r="H219" i="32"/>
  <c r="I219" i="32"/>
  <c r="J219" i="32"/>
  <c r="K219" i="32"/>
  <c r="AL220" i="11" a="1"/>
  <c r="AL220" i="11" s="1"/>
  <c r="AP230" i="59" a="1"/>
  <c r="AP230" i="59" s="1"/>
  <c r="E231" i="50" s="1"/>
  <c r="AQ120" i="59" a="1"/>
  <c r="AQ120" i="59" s="1"/>
  <c r="AM105" i="11" a="1"/>
  <c r="AM105" i="11" s="1"/>
  <c r="AD229" i="50" l="1"/>
  <c r="AG229" i="50" s="1"/>
  <c r="Q230" i="50"/>
  <c r="P230" i="50" s="1"/>
  <c r="Q220" i="32"/>
  <c r="P220" i="32" s="1"/>
  <c r="Q219" i="32"/>
  <c r="P219" i="32" s="1"/>
  <c r="T231" i="50"/>
  <c r="O231" i="50"/>
  <c r="AP227" i="50"/>
  <c r="AM219" i="32"/>
  <c r="AM220" i="32"/>
  <c r="C229" i="50"/>
  <c r="AJ229" i="50"/>
  <c r="S230" i="50"/>
  <c r="Z230" i="50" s="1"/>
  <c r="S219" i="32"/>
  <c r="AD219" i="32" s="1"/>
  <c r="S220" i="32"/>
  <c r="Z220" i="32" s="1"/>
  <c r="W229" i="50"/>
  <c r="X228" i="50"/>
  <c r="V229" i="50"/>
  <c r="AH228" i="50"/>
  <c r="AI228" i="50" s="1"/>
  <c r="AK231" i="50"/>
  <c r="AM230" i="50"/>
  <c r="AL218" i="32"/>
  <c r="AI217" i="32"/>
  <c r="AN217" i="32" s="1"/>
  <c r="AL228" i="50"/>
  <c r="G231" i="50"/>
  <c r="K231" i="50"/>
  <c r="N231" i="50"/>
  <c r="M231" i="50"/>
  <c r="I231" i="50"/>
  <c r="A231" i="50"/>
  <c r="B231" i="50"/>
  <c r="R231" i="50" s="1"/>
  <c r="H231" i="50"/>
  <c r="J231" i="50"/>
  <c r="F231" i="50"/>
  <c r="U231" i="50" s="1"/>
  <c r="L231" i="50"/>
  <c r="E221" i="32"/>
  <c r="AL221" i="11" a="1"/>
  <c r="AL221" i="11" s="1"/>
  <c r="E222" i="32" s="1"/>
  <c r="AP231" i="59" a="1"/>
  <c r="AP231" i="59" s="1"/>
  <c r="E232" i="50" s="1"/>
  <c r="AQ121" i="59" a="1"/>
  <c r="AQ121" i="59" s="1"/>
  <c r="AM106" i="11" a="1"/>
  <c r="AM106" i="11" s="1"/>
  <c r="AD220" i="32" l="1"/>
  <c r="AG220" i="32" s="1"/>
  <c r="AH220" i="32" s="1"/>
  <c r="AD230" i="50"/>
  <c r="AG230" i="50" s="1"/>
  <c r="Q231" i="50"/>
  <c r="P231" i="50" s="1"/>
  <c r="T221" i="32"/>
  <c r="O221" i="32"/>
  <c r="T222" i="32"/>
  <c r="O222" i="32"/>
  <c r="T232" i="50"/>
  <c r="O232" i="50"/>
  <c r="AP228" i="50"/>
  <c r="AJ219" i="32"/>
  <c r="Z219" i="32"/>
  <c r="C230" i="50"/>
  <c r="AJ230" i="50"/>
  <c r="S231" i="50"/>
  <c r="Z231" i="50" s="1"/>
  <c r="C220" i="32"/>
  <c r="AJ220" i="32"/>
  <c r="W219" i="32"/>
  <c r="X219" i="32" s="1"/>
  <c r="C219" i="32"/>
  <c r="W230" i="50"/>
  <c r="W220" i="32"/>
  <c r="X220" i="32" s="1"/>
  <c r="X229" i="50"/>
  <c r="V230" i="50"/>
  <c r="V219" i="32"/>
  <c r="AH229" i="50"/>
  <c r="AI229" i="50" s="1"/>
  <c r="AK232" i="50"/>
  <c r="AK221" i="32"/>
  <c r="AK222" i="32"/>
  <c r="AG219" i="32"/>
  <c r="AH219" i="32" s="1"/>
  <c r="AM231" i="50"/>
  <c r="AI218" i="32"/>
  <c r="AN218" i="32" s="1"/>
  <c r="AL229" i="50"/>
  <c r="V220" i="32"/>
  <c r="A221" i="32"/>
  <c r="B221" i="32"/>
  <c r="R221" i="32" s="1"/>
  <c r="A222" i="32"/>
  <c r="B222" i="32"/>
  <c r="R222" i="32" s="1"/>
  <c r="F232" i="50"/>
  <c r="U232" i="50" s="1"/>
  <c r="M232" i="50"/>
  <c r="J232" i="50"/>
  <c r="N232" i="50"/>
  <c r="B232" i="50"/>
  <c r="R232" i="50" s="1"/>
  <c r="K232" i="50"/>
  <c r="A232" i="50"/>
  <c r="I232" i="50"/>
  <c r="G232" i="50"/>
  <c r="L232" i="50"/>
  <c r="H232" i="50"/>
  <c r="H221" i="32"/>
  <c r="I221" i="32"/>
  <c r="J221" i="32"/>
  <c r="K221" i="32"/>
  <c r="L221" i="32"/>
  <c r="F221" i="32"/>
  <c r="U221" i="32" s="1"/>
  <c r="G221" i="32"/>
  <c r="M221" i="32"/>
  <c r="N221" i="32"/>
  <c r="F222" i="32"/>
  <c r="U222" i="32" s="1"/>
  <c r="N222" i="32"/>
  <c r="G222" i="32"/>
  <c r="H222" i="32"/>
  <c r="I222" i="32"/>
  <c r="J222" i="32"/>
  <c r="K222" i="32"/>
  <c r="L222" i="32"/>
  <c r="M222" i="32"/>
  <c r="AL222" i="11" a="1"/>
  <c r="AL222" i="11" s="1"/>
  <c r="E223" i="32" s="1"/>
  <c r="AP232" i="59" a="1"/>
  <c r="AP232" i="59" s="1"/>
  <c r="E233" i="50" s="1"/>
  <c r="AQ122" i="59" a="1"/>
  <c r="AQ122" i="59" s="1"/>
  <c r="AM107" i="11" a="1"/>
  <c r="AM107" i="11" s="1"/>
  <c r="AD231" i="50" l="1"/>
  <c r="AG231" i="50" s="1"/>
  <c r="Q232" i="50"/>
  <c r="P232" i="50" s="1"/>
  <c r="Q221" i="32"/>
  <c r="P221" i="32" s="1"/>
  <c r="Q222" i="32"/>
  <c r="P222" i="32" s="1"/>
  <c r="T223" i="32"/>
  <c r="O223" i="32"/>
  <c r="O233" i="50"/>
  <c r="T233" i="50"/>
  <c r="AP229" i="50"/>
  <c r="AM222" i="32"/>
  <c r="AM221" i="32"/>
  <c r="AJ231" i="50"/>
  <c r="C231" i="50"/>
  <c r="S232" i="50"/>
  <c r="Z232" i="50" s="1"/>
  <c r="S222" i="32"/>
  <c r="Z222" i="32" s="1"/>
  <c r="S221" i="32"/>
  <c r="Z221" i="32" s="1"/>
  <c r="W231" i="50"/>
  <c r="X230" i="50"/>
  <c r="V231" i="50"/>
  <c r="AH230" i="50"/>
  <c r="AI230" i="50" s="1"/>
  <c r="AK233" i="50"/>
  <c r="AK223" i="32"/>
  <c r="AM232" i="50"/>
  <c r="AL220" i="32"/>
  <c r="AL219" i="32"/>
  <c r="AL230" i="50"/>
  <c r="A223" i="32"/>
  <c r="B223" i="32"/>
  <c r="R223" i="32" s="1"/>
  <c r="G233" i="50"/>
  <c r="A233" i="50"/>
  <c r="F233" i="50"/>
  <c r="U233" i="50" s="1"/>
  <c r="L233" i="50"/>
  <c r="B233" i="50"/>
  <c r="R233" i="50" s="1"/>
  <c r="I233" i="50"/>
  <c r="N233" i="50"/>
  <c r="M233" i="50"/>
  <c r="K233" i="50"/>
  <c r="H233" i="50"/>
  <c r="J233" i="50"/>
  <c r="L223" i="32"/>
  <c r="M223" i="32"/>
  <c r="F223" i="32"/>
  <c r="U223" i="32" s="1"/>
  <c r="N223" i="32"/>
  <c r="G223" i="32"/>
  <c r="H223" i="32"/>
  <c r="I223" i="32"/>
  <c r="J223" i="32"/>
  <c r="K223" i="32"/>
  <c r="AL223" i="11" a="1"/>
  <c r="AL223" i="11" s="1"/>
  <c r="E224" i="32" s="1"/>
  <c r="AP233" i="59" a="1"/>
  <c r="AP233" i="59" s="1"/>
  <c r="E234" i="50" s="1"/>
  <c r="AQ123" i="59" a="1"/>
  <c r="AQ123" i="59" s="1"/>
  <c r="AM108" i="11" a="1"/>
  <c r="AM108" i="11" s="1"/>
  <c r="AD222" i="32" l="1"/>
  <c r="AG222" i="32" s="1"/>
  <c r="AH222" i="32" s="1"/>
  <c r="AD221" i="32"/>
  <c r="AG221" i="32" s="1"/>
  <c r="AH221" i="32" s="1"/>
  <c r="AD232" i="50"/>
  <c r="AG232" i="50" s="1"/>
  <c r="Q233" i="50"/>
  <c r="P233" i="50" s="1"/>
  <c r="Q223" i="32"/>
  <c r="P223" i="32" s="1"/>
  <c r="T224" i="32"/>
  <c r="O224" i="32"/>
  <c r="T234" i="50"/>
  <c r="O234" i="50"/>
  <c r="AP230" i="50"/>
  <c r="AM223" i="32"/>
  <c r="AJ232" i="50"/>
  <c r="C232" i="50"/>
  <c r="S233" i="50"/>
  <c r="Z233" i="50" s="1"/>
  <c r="C221" i="32"/>
  <c r="AJ221" i="32"/>
  <c r="AJ222" i="32"/>
  <c r="C222" i="32"/>
  <c r="S223" i="32"/>
  <c r="Z223" i="32" s="1"/>
  <c r="W232" i="50"/>
  <c r="W222" i="32"/>
  <c r="X222" i="32" s="1"/>
  <c r="W221" i="32"/>
  <c r="X221" i="32" s="1"/>
  <c r="X231" i="50"/>
  <c r="V232" i="50"/>
  <c r="AH231" i="50"/>
  <c r="AI231" i="50" s="1"/>
  <c r="AK234" i="50"/>
  <c r="AK224" i="32"/>
  <c r="AM233" i="50"/>
  <c r="AI220" i="32"/>
  <c r="AN220" i="32" s="1"/>
  <c r="AI219" i="32"/>
  <c r="AN219" i="32" s="1"/>
  <c r="AL231" i="50"/>
  <c r="V222" i="32"/>
  <c r="V221" i="32"/>
  <c r="A224" i="32"/>
  <c r="B224" i="32"/>
  <c r="R224" i="32" s="1"/>
  <c r="B234" i="50"/>
  <c r="R234" i="50" s="1"/>
  <c r="M234" i="50"/>
  <c r="L234" i="50"/>
  <c r="K234" i="50"/>
  <c r="F234" i="50"/>
  <c r="U234" i="50" s="1"/>
  <c r="I234" i="50"/>
  <c r="A234" i="50"/>
  <c r="H234" i="50"/>
  <c r="J234" i="50"/>
  <c r="G234" i="50"/>
  <c r="N234" i="50"/>
  <c r="J224" i="32"/>
  <c r="K224" i="32"/>
  <c r="L224" i="32"/>
  <c r="M224" i="32"/>
  <c r="F224" i="32"/>
  <c r="U224" i="32" s="1"/>
  <c r="N224" i="32"/>
  <c r="G224" i="32"/>
  <c r="I224" i="32"/>
  <c r="H224" i="32"/>
  <c r="AL224" i="11" a="1"/>
  <c r="AL224" i="11" s="1"/>
  <c r="E225" i="32" s="1"/>
  <c r="AP234" i="59" a="1"/>
  <c r="AP234" i="59" s="1"/>
  <c r="E235" i="50" s="1"/>
  <c r="AQ124" i="59" a="1"/>
  <c r="AQ124" i="59" s="1"/>
  <c r="AM109" i="11" a="1"/>
  <c r="AM109" i="11" s="1"/>
  <c r="AD223" i="32" l="1"/>
  <c r="AG223" i="32" s="1"/>
  <c r="AH223" i="32" s="1"/>
  <c r="AD233" i="50"/>
  <c r="AG233" i="50" s="1"/>
  <c r="Q234" i="50"/>
  <c r="P234" i="50" s="1"/>
  <c r="Q224" i="32"/>
  <c r="P224" i="32" s="1"/>
  <c r="T225" i="32"/>
  <c r="O225" i="32"/>
  <c r="T235" i="50"/>
  <c r="O235" i="50"/>
  <c r="AP231" i="50"/>
  <c r="AM224" i="32"/>
  <c r="AJ233" i="50"/>
  <c r="C233" i="50"/>
  <c r="S234" i="50"/>
  <c r="C223" i="32"/>
  <c r="AJ223" i="32"/>
  <c r="W223" i="32"/>
  <c r="X223" i="32" s="1"/>
  <c r="S224" i="32"/>
  <c r="Z224" i="32" s="1"/>
  <c r="W233" i="50"/>
  <c r="X232" i="50"/>
  <c r="V233" i="50"/>
  <c r="V223" i="32"/>
  <c r="AH232" i="50"/>
  <c r="AI232" i="50" s="1"/>
  <c r="AK235" i="50"/>
  <c r="AK225" i="32"/>
  <c r="AM234" i="50"/>
  <c r="AL221" i="32"/>
  <c r="AL222" i="32"/>
  <c r="AL232" i="50"/>
  <c r="A225" i="32"/>
  <c r="B225" i="32"/>
  <c r="R225" i="32" s="1"/>
  <c r="H235" i="50"/>
  <c r="M235" i="50"/>
  <c r="G235" i="50"/>
  <c r="K235" i="50"/>
  <c r="N235" i="50"/>
  <c r="F235" i="50"/>
  <c r="U235" i="50" s="1"/>
  <c r="B235" i="50"/>
  <c r="R235" i="50" s="1"/>
  <c r="I235" i="50"/>
  <c r="J235" i="50"/>
  <c r="A235" i="50"/>
  <c r="L235" i="50"/>
  <c r="H225" i="32"/>
  <c r="I225" i="32"/>
  <c r="J225" i="32"/>
  <c r="K225" i="32"/>
  <c r="L225" i="32"/>
  <c r="G225" i="32"/>
  <c r="M225" i="32"/>
  <c r="N225" i="32"/>
  <c r="F225" i="32"/>
  <c r="U225" i="32" s="1"/>
  <c r="AL225" i="11" a="1"/>
  <c r="AL225" i="11" s="1"/>
  <c r="E226" i="32" s="1"/>
  <c r="AP235" i="59" a="1"/>
  <c r="AP235" i="59" s="1"/>
  <c r="E236" i="50" s="1"/>
  <c r="AQ125" i="59" a="1"/>
  <c r="AQ125" i="59" s="1"/>
  <c r="AM110" i="11" a="1"/>
  <c r="AM110" i="11" s="1"/>
  <c r="AD224" i="32" l="1"/>
  <c r="AG224" i="32" s="1"/>
  <c r="AH224" i="32" s="1"/>
  <c r="AD234" i="50"/>
  <c r="AG234" i="50" s="1"/>
  <c r="Q235" i="50"/>
  <c r="P235" i="50" s="1"/>
  <c r="Q225" i="32"/>
  <c r="P225" i="32" s="1"/>
  <c r="T226" i="32"/>
  <c r="O226" i="32"/>
  <c r="T236" i="50"/>
  <c r="O236" i="50"/>
  <c r="AP232" i="50"/>
  <c r="C234" i="50"/>
  <c r="Z234" i="50"/>
  <c r="AM225" i="32"/>
  <c r="S235" i="50"/>
  <c r="Z235" i="50" s="1"/>
  <c r="AJ234" i="50"/>
  <c r="C224" i="32"/>
  <c r="AJ224" i="32"/>
  <c r="W224" i="32"/>
  <c r="X224" i="32" s="1"/>
  <c r="S225" i="32"/>
  <c r="Z225" i="32" s="1"/>
  <c r="W234" i="50"/>
  <c r="X233" i="50"/>
  <c r="V234" i="50"/>
  <c r="V224" i="32"/>
  <c r="AH233" i="50"/>
  <c r="AI233" i="50" s="1"/>
  <c r="AK236" i="50"/>
  <c r="AK226" i="32"/>
  <c r="AM235" i="50"/>
  <c r="AL223" i="32"/>
  <c r="AI222" i="32"/>
  <c r="AN222" i="32" s="1"/>
  <c r="AL233" i="50"/>
  <c r="AI221" i="32"/>
  <c r="AN221" i="32" s="1"/>
  <c r="A226" i="32"/>
  <c r="B226" i="32"/>
  <c r="R226" i="32" s="1"/>
  <c r="A236" i="50"/>
  <c r="F236" i="50"/>
  <c r="U236" i="50" s="1"/>
  <c r="H236" i="50"/>
  <c r="J236" i="50"/>
  <c r="I236" i="50"/>
  <c r="N236" i="50"/>
  <c r="M236" i="50"/>
  <c r="L236" i="50"/>
  <c r="B236" i="50"/>
  <c r="R236" i="50" s="1"/>
  <c r="G236" i="50"/>
  <c r="K236" i="50"/>
  <c r="F226" i="32"/>
  <c r="U226" i="32" s="1"/>
  <c r="N226" i="32"/>
  <c r="G226" i="32"/>
  <c r="H226" i="32"/>
  <c r="I226" i="32"/>
  <c r="J226" i="32"/>
  <c r="K226" i="32"/>
  <c r="L226" i="32"/>
  <c r="M226" i="32"/>
  <c r="AL226" i="11" a="1"/>
  <c r="AL226" i="11" s="1"/>
  <c r="E227" i="32" s="1"/>
  <c r="AP236" i="59" a="1"/>
  <c r="AP236" i="59" s="1"/>
  <c r="E237" i="50" s="1"/>
  <c r="AQ126" i="59" a="1"/>
  <c r="AQ126" i="59" s="1"/>
  <c r="AM111" i="11" a="1"/>
  <c r="AM111" i="11" s="1"/>
  <c r="AD225" i="32" l="1"/>
  <c r="AG225" i="32" s="1"/>
  <c r="AH225" i="32" s="1"/>
  <c r="AD235" i="50"/>
  <c r="AG235" i="50" s="1"/>
  <c r="Q236" i="50"/>
  <c r="P236" i="50" s="1"/>
  <c r="Q226" i="32"/>
  <c r="P226" i="32" s="1"/>
  <c r="T227" i="32"/>
  <c r="O227" i="32"/>
  <c r="T237" i="50"/>
  <c r="O237" i="50"/>
  <c r="AP233" i="50"/>
  <c r="AM226" i="32"/>
  <c r="AJ235" i="50"/>
  <c r="C235" i="50"/>
  <c r="S236" i="50"/>
  <c r="Z236" i="50" s="1"/>
  <c r="AJ225" i="32"/>
  <c r="W225" i="32"/>
  <c r="X225" i="32" s="1"/>
  <c r="C225" i="32"/>
  <c r="S226" i="32"/>
  <c r="Z226" i="32" s="1"/>
  <c r="W235" i="50"/>
  <c r="X234" i="50"/>
  <c r="V235" i="50"/>
  <c r="V225" i="32"/>
  <c r="AH234" i="50"/>
  <c r="AI234" i="50" s="1"/>
  <c r="AK237" i="50"/>
  <c r="AK227" i="32"/>
  <c r="AM236" i="50"/>
  <c r="AL224" i="32"/>
  <c r="AI223" i="32"/>
  <c r="AN223" i="32" s="1"/>
  <c r="AL234" i="50"/>
  <c r="A227" i="32"/>
  <c r="B227" i="32"/>
  <c r="R227" i="32" s="1"/>
  <c r="A237" i="50"/>
  <c r="M237" i="50"/>
  <c r="I237" i="50"/>
  <c r="H237" i="50"/>
  <c r="G237" i="50"/>
  <c r="K237" i="50"/>
  <c r="J237" i="50"/>
  <c r="L237" i="50"/>
  <c r="B237" i="50"/>
  <c r="R237" i="50" s="1"/>
  <c r="F237" i="50"/>
  <c r="U237" i="50" s="1"/>
  <c r="N237" i="50"/>
  <c r="L227" i="32"/>
  <c r="M227" i="32"/>
  <c r="F227" i="32"/>
  <c r="U227" i="32" s="1"/>
  <c r="N227" i="32"/>
  <c r="G227" i="32"/>
  <c r="H227" i="32"/>
  <c r="J227" i="32"/>
  <c r="K227" i="32"/>
  <c r="I227" i="32"/>
  <c r="AL227" i="11" a="1"/>
  <c r="AL227" i="11" s="1"/>
  <c r="E228" i="32" s="1"/>
  <c r="AP237" i="59" a="1"/>
  <c r="AP237" i="59" s="1"/>
  <c r="E238" i="50" s="1"/>
  <c r="AQ127" i="59" a="1"/>
  <c r="AQ127" i="59" s="1"/>
  <c r="AM112" i="11" a="1"/>
  <c r="AM112" i="11" s="1"/>
  <c r="AD226" i="32" l="1"/>
  <c r="AG226" i="32" s="1"/>
  <c r="AH226" i="32" s="1"/>
  <c r="AD236" i="50"/>
  <c r="AG236" i="50" s="1"/>
  <c r="Q237" i="50"/>
  <c r="P237" i="50" s="1"/>
  <c r="Q227" i="32"/>
  <c r="P227" i="32" s="1"/>
  <c r="T228" i="32"/>
  <c r="O228" i="32"/>
  <c r="T238" i="50"/>
  <c r="O238" i="50"/>
  <c r="AP234" i="50"/>
  <c r="AM227" i="32"/>
  <c r="C236" i="50"/>
  <c r="AJ236" i="50"/>
  <c r="S237" i="50"/>
  <c r="Z237" i="50" s="1"/>
  <c r="C226" i="32"/>
  <c r="W226" i="32"/>
  <c r="X226" i="32" s="1"/>
  <c r="AJ226" i="32"/>
  <c r="S227" i="32"/>
  <c r="AD227" i="32" s="1"/>
  <c r="W236" i="50"/>
  <c r="X235" i="50"/>
  <c r="V236" i="50"/>
  <c r="V226" i="32"/>
  <c r="AH235" i="50"/>
  <c r="AI235" i="50" s="1"/>
  <c r="AK238" i="50"/>
  <c r="AK228" i="32"/>
  <c r="AM237" i="50"/>
  <c r="AL225" i="32"/>
  <c r="AI224" i="32"/>
  <c r="AN224" i="32" s="1"/>
  <c r="AL235" i="50"/>
  <c r="A228" i="32"/>
  <c r="B228" i="32"/>
  <c r="R228" i="32" s="1"/>
  <c r="I238" i="50"/>
  <c r="L238" i="50"/>
  <c r="M238" i="50"/>
  <c r="B238" i="50"/>
  <c r="R238" i="50" s="1"/>
  <c r="A238" i="50"/>
  <c r="K238" i="50"/>
  <c r="H238" i="50"/>
  <c r="F238" i="50"/>
  <c r="U238" i="50" s="1"/>
  <c r="N238" i="50"/>
  <c r="G238" i="50"/>
  <c r="J238" i="50"/>
  <c r="J228" i="32"/>
  <c r="K228" i="32"/>
  <c r="L228" i="32"/>
  <c r="M228" i="32"/>
  <c r="F228" i="32"/>
  <c r="U228" i="32" s="1"/>
  <c r="N228" i="32"/>
  <c r="G228" i="32"/>
  <c r="H228" i="32"/>
  <c r="I228" i="32"/>
  <c r="AL228" i="11" a="1"/>
  <c r="AL228" i="11" s="1"/>
  <c r="AP238" i="59" a="1"/>
  <c r="AP238" i="59" s="1"/>
  <c r="E239" i="50" s="1"/>
  <c r="AQ128" i="59" a="1"/>
  <c r="AQ128" i="59" s="1"/>
  <c r="AM113" i="11" a="1"/>
  <c r="AM113" i="11" s="1"/>
  <c r="AD237" i="50" l="1"/>
  <c r="AG237" i="50" s="1"/>
  <c r="Q238" i="50"/>
  <c r="P238" i="50" s="1"/>
  <c r="Q228" i="32"/>
  <c r="P228" i="32" s="1"/>
  <c r="T239" i="50"/>
  <c r="O239" i="50"/>
  <c r="AP235" i="50"/>
  <c r="C227" i="32"/>
  <c r="Z227" i="32"/>
  <c r="AM228" i="32"/>
  <c r="C237" i="50"/>
  <c r="AJ237" i="50"/>
  <c r="S238" i="50"/>
  <c r="Z238" i="50" s="1"/>
  <c r="W227" i="32"/>
  <c r="X227" i="32" s="1"/>
  <c r="S228" i="32"/>
  <c r="Z228" i="32" s="1"/>
  <c r="AJ227" i="32"/>
  <c r="W237" i="50"/>
  <c r="X236" i="50"/>
  <c r="V237" i="50"/>
  <c r="V227" i="32"/>
  <c r="AH236" i="50"/>
  <c r="AI236" i="50" s="1"/>
  <c r="AK239" i="50"/>
  <c r="AG227" i="32"/>
  <c r="AH227" i="32" s="1"/>
  <c r="AM238" i="50"/>
  <c r="AL226" i="32"/>
  <c r="AL236" i="50"/>
  <c r="AI225" i="32"/>
  <c r="AN225" i="32" s="1"/>
  <c r="B239" i="50"/>
  <c r="R239" i="50" s="1"/>
  <c r="A239" i="50"/>
  <c r="K239" i="50"/>
  <c r="H239" i="50"/>
  <c r="I239" i="50"/>
  <c r="N239" i="50"/>
  <c r="M239" i="50"/>
  <c r="F239" i="50"/>
  <c r="U239" i="50" s="1"/>
  <c r="G239" i="50"/>
  <c r="J239" i="50"/>
  <c r="L239" i="50"/>
  <c r="E229" i="32"/>
  <c r="AL229" i="11" a="1"/>
  <c r="AL229" i="11" s="1"/>
  <c r="E230" i="32" s="1"/>
  <c r="AP239" i="59" a="1"/>
  <c r="AP239" i="59" s="1"/>
  <c r="E240" i="50" s="1"/>
  <c r="AQ129" i="59" a="1"/>
  <c r="AQ129" i="59" s="1"/>
  <c r="AM114" i="11" a="1"/>
  <c r="AM114" i="11" s="1"/>
  <c r="AD228" i="32" l="1"/>
  <c r="AG228" i="32" s="1"/>
  <c r="AH228" i="32" s="1"/>
  <c r="AD238" i="50"/>
  <c r="AG238" i="50" s="1"/>
  <c r="Q239" i="50"/>
  <c r="P239" i="50" s="1"/>
  <c r="T230" i="32"/>
  <c r="O230" i="32"/>
  <c r="T229" i="32"/>
  <c r="O229" i="32"/>
  <c r="T240" i="50"/>
  <c r="O240" i="50"/>
  <c r="AP236" i="50"/>
  <c r="AJ238" i="50"/>
  <c r="C238" i="50"/>
  <c r="S239" i="50"/>
  <c r="Z239" i="50" s="1"/>
  <c r="AJ228" i="32"/>
  <c r="W228" i="32"/>
  <c r="X228" i="32" s="1"/>
  <c r="C228" i="32"/>
  <c r="W238" i="50"/>
  <c r="X237" i="50"/>
  <c r="V238" i="50"/>
  <c r="V228" i="32"/>
  <c r="AH237" i="50"/>
  <c r="AI237" i="50" s="1"/>
  <c r="AK240" i="50"/>
  <c r="AK230" i="32"/>
  <c r="AK229" i="32"/>
  <c r="AL227" i="32"/>
  <c r="AM239" i="50"/>
  <c r="AI226" i="32"/>
  <c r="AN226" i="32" s="1"/>
  <c r="AL237" i="50"/>
  <c r="A230" i="32"/>
  <c r="B230" i="32"/>
  <c r="R230" i="32" s="1"/>
  <c r="A229" i="32"/>
  <c r="B229" i="32"/>
  <c r="R229" i="32" s="1"/>
  <c r="B240" i="50"/>
  <c r="R240" i="50" s="1"/>
  <c r="F240" i="50"/>
  <c r="U240" i="50" s="1"/>
  <c r="N240" i="50"/>
  <c r="M240" i="50"/>
  <c r="H240" i="50"/>
  <c r="J240" i="50"/>
  <c r="G240" i="50"/>
  <c r="K240" i="50"/>
  <c r="L240" i="50"/>
  <c r="A240" i="50"/>
  <c r="I240" i="50"/>
  <c r="H229" i="32"/>
  <c r="I229" i="32"/>
  <c r="J229" i="32"/>
  <c r="K229" i="32"/>
  <c r="L229" i="32"/>
  <c r="M229" i="32"/>
  <c r="N229" i="32"/>
  <c r="F229" i="32"/>
  <c r="U229" i="32" s="1"/>
  <c r="G229" i="32"/>
  <c r="F230" i="32"/>
  <c r="U230" i="32" s="1"/>
  <c r="N230" i="32"/>
  <c r="G230" i="32"/>
  <c r="H230" i="32"/>
  <c r="I230" i="32"/>
  <c r="J230" i="32"/>
  <c r="K230" i="32"/>
  <c r="L230" i="32"/>
  <c r="M230" i="32"/>
  <c r="AL230" i="11" a="1"/>
  <c r="AL230" i="11" s="1"/>
  <c r="AP240" i="59" a="1"/>
  <c r="AP240" i="59" s="1"/>
  <c r="E241" i="50" s="1"/>
  <c r="AQ130" i="59" a="1"/>
  <c r="AQ130" i="59" s="1"/>
  <c r="AM115" i="11" a="1"/>
  <c r="AM115" i="11" s="1"/>
  <c r="AD239" i="50" l="1"/>
  <c r="AG239" i="50" s="1"/>
  <c r="Q240" i="50"/>
  <c r="P240" i="50" s="1"/>
  <c r="Q229" i="32"/>
  <c r="P229" i="32" s="1"/>
  <c r="Q230" i="32"/>
  <c r="P230" i="32" s="1"/>
  <c r="O241" i="50"/>
  <c r="T241" i="50"/>
  <c r="AP237" i="50"/>
  <c r="AM229" i="32"/>
  <c r="AM230" i="32"/>
  <c r="AJ239" i="50"/>
  <c r="C239" i="50"/>
  <c r="S240" i="50"/>
  <c r="Z240" i="50" s="1"/>
  <c r="S229" i="32"/>
  <c r="Z229" i="32" s="1"/>
  <c r="S230" i="32"/>
  <c r="AD230" i="32" s="1"/>
  <c r="W239" i="50"/>
  <c r="X238" i="50"/>
  <c r="V239" i="50"/>
  <c r="AH238" i="50"/>
  <c r="AI238" i="50" s="1"/>
  <c r="AK241" i="50"/>
  <c r="AM240" i="50"/>
  <c r="AL228" i="32"/>
  <c r="AI227" i="32"/>
  <c r="AN227" i="32" s="1"/>
  <c r="AL238" i="50"/>
  <c r="G241" i="50"/>
  <c r="M241" i="50"/>
  <c r="L241" i="50"/>
  <c r="N241" i="50"/>
  <c r="F241" i="50"/>
  <c r="U241" i="50" s="1"/>
  <c r="J241" i="50"/>
  <c r="I241" i="50"/>
  <c r="B241" i="50"/>
  <c r="R241" i="50" s="1"/>
  <c r="K241" i="50"/>
  <c r="H241" i="50"/>
  <c r="A241" i="50"/>
  <c r="E231" i="32"/>
  <c r="AL231" i="11" a="1"/>
  <c r="AL231" i="11" s="1"/>
  <c r="E232" i="32" s="1"/>
  <c r="AP241" i="59" a="1"/>
  <c r="AP241" i="59" s="1"/>
  <c r="E242" i="50" s="1"/>
  <c r="AQ131" i="59" a="1"/>
  <c r="AQ131" i="59" s="1"/>
  <c r="AM116" i="11" a="1"/>
  <c r="AM116" i="11" s="1"/>
  <c r="AD229" i="32" l="1"/>
  <c r="AG229" i="32" s="1"/>
  <c r="AH229" i="32" s="1"/>
  <c r="AD240" i="50"/>
  <c r="AG240" i="50" s="1"/>
  <c r="Q241" i="50"/>
  <c r="P241" i="50" s="1"/>
  <c r="T231" i="32"/>
  <c r="O231" i="32"/>
  <c r="T232" i="32"/>
  <c r="O232" i="32"/>
  <c r="T242" i="50"/>
  <c r="O242" i="50"/>
  <c r="AP238" i="50"/>
  <c r="C230" i="32"/>
  <c r="Z230" i="32"/>
  <c r="AJ240" i="50"/>
  <c r="C240" i="50"/>
  <c r="S241" i="50"/>
  <c r="AJ229" i="32"/>
  <c r="C229" i="32"/>
  <c r="AJ230" i="32"/>
  <c r="W240" i="50"/>
  <c r="W229" i="32"/>
  <c r="X229" i="32" s="1"/>
  <c r="W230" i="32"/>
  <c r="X230" i="32" s="1"/>
  <c r="X239" i="50"/>
  <c r="V240" i="50"/>
  <c r="AH239" i="50"/>
  <c r="AI239" i="50" s="1"/>
  <c r="AK242" i="50"/>
  <c r="AK231" i="32"/>
  <c r="AK232" i="32"/>
  <c r="AG230" i="32"/>
  <c r="AH230" i="32" s="1"/>
  <c r="AM241" i="50"/>
  <c r="AI228" i="32"/>
  <c r="AN228" i="32" s="1"/>
  <c r="AL239" i="50"/>
  <c r="V229" i="32"/>
  <c r="V230" i="32"/>
  <c r="A231" i="32"/>
  <c r="B231" i="32"/>
  <c r="R231" i="32" s="1"/>
  <c r="A232" i="32"/>
  <c r="B232" i="32"/>
  <c r="R232" i="32" s="1"/>
  <c r="B242" i="50"/>
  <c r="R242" i="50" s="1"/>
  <c r="G242" i="50"/>
  <c r="A242" i="50"/>
  <c r="K242" i="50"/>
  <c r="I242" i="50"/>
  <c r="J242" i="50"/>
  <c r="F242" i="50"/>
  <c r="U242" i="50" s="1"/>
  <c r="N242" i="50"/>
  <c r="M242" i="50"/>
  <c r="L242" i="50"/>
  <c r="H242" i="50"/>
  <c r="L231" i="32"/>
  <c r="M231" i="32"/>
  <c r="N231" i="32"/>
  <c r="F231" i="32"/>
  <c r="U231" i="32" s="1"/>
  <c r="G231" i="32"/>
  <c r="H231" i="32"/>
  <c r="K231" i="32"/>
  <c r="I231" i="32"/>
  <c r="J231" i="32"/>
  <c r="J232" i="32"/>
  <c r="K232" i="32"/>
  <c r="L232" i="32"/>
  <c r="M232" i="32"/>
  <c r="F232" i="32"/>
  <c r="U232" i="32" s="1"/>
  <c r="N232" i="32"/>
  <c r="G232" i="32"/>
  <c r="H232" i="32"/>
  <c r="I232" i="32"/>
  <c r="AL232" i="11" a="1"/>
  <c r="AL232" i="11" s="1"/>
  <c r="E233" i="32" s="1"/>
  <c r="AP242" i="59" a="1"/>
  <c r="AP242" i="59" s="1"/>
  <c r="E243" i="50" s="1"/>
  <c r="AQ132" i="59" a="1"/>
  <c r="AQ132" i="59" s="1"/>
  <c r="AM117" i="11" a="1"/>
  <c r="AM117" i="11" s="1"/>
  <c r="AD241" i="50" l="1"/>
  <c r="AG241" i="50" s="1"/>
  <c r="Q242" i="50"/>
  <c r="P242" i="50" s="1"/>
  <c r="Q232" i="32"/>
  <c r="P232" i="32" s="1"/>
  <c r="Q231" i="32"/>
  <c r="P231" i="32" s="1"/>
  <c r="T233" i="32"/>
  <c r="O233" i="32"/>
  <c r="T243" i="50"/>
  <c r="O243" i="50"/>
  <c r="AP239" i="50"/>
  <c r="C241" i="50"/>
  <c r="Z241" i="50"/>
  <c r="AM232" i="32"/>
  <c r="AM231" i="32"/>
  <c r="AJ241" i="50"/>
  <c r="S242" i="50"/>
  <c r="Z242" i="50" s="1"/>
  <c r="S232" i="32"/>
  <c r="Z232" i="32" s="1"/>
  <c r="S231" i="32"/>
  <c r="AD231" i="32" s="1"/>
  <c r="W241" i="50"/>
  <c r="X240" i="50"/>
  <c r="V241" i="50"/>
  <c r="AH240" i="50"/>
  <c r="AI240" i="50" s="1"/>
  <c r="AK243" i="50"/>
  <c r="AK233" i="32"/>
  <c r="AM242" i="50"/>
  <c r="AL229" i="32"/>
  <c r="AL230" i="32"/>
  <c r="AL240" i="50"/>
  <c r="A233" i="32"/>
  <c r="B233" i="32"/>
  <c r="R233" i="32" s="1"/>
  <c r="H243" i="50"/>
  <c r="F243" i="50"/>
  <c r="U243" i="50" s="1"/>
  <c r="G243" i="50"/>
  <c r="A243" i="50"/>
  <c r="K243" i="50"/>
  <c r="B243" i="50"/>
  <c r="R243" i="50" s="1"/>
  <c r="M243" i="50"/>
  <c r="N243" i="50"/>
  <c r="J243" i="50"/>
  <c r="I243" i="50"/>
  <c r="L243" i="50"/>
  <c r="H233" i="32"/>
  <c r="I233" i="32"/>
  <c r="J233" i="32"/>
  <c r="K233" i="32"/>
  <c r="L233" i="32"/>
  <c r="N233" i="32"/>
  <c r="F233" i="32"/>
  <c r="U233" i="32" s="1"/>
  <c r="G233" i="32"/>
  <c r="M233" i="32"/>
  <c r="AL233" i="11" a="1"/>
  <c r="AL233" i="11" s="1"/>
  <c r="AP243" i="59" a="1"/>
  <c r="AP243" i="59" s="1"/>
  <c r="E244" i="50" s="1"/>
  <c r="AQ133" i="59" a="1"/>
  <c r="AQ133" i="59" s="1"/>
  <c r="AM118" i="11" a="1"/>
  <c r="AM118" i="11" s="1"/>
  <c r="AD232" i="32" l="1"/>
  <c r="AG232" i="32" s="1"/>
  <c r="AH232" i="32" s="1"/>
  <c r="AD242" i="50"/>
  <c r="AG242" i="50" s="1"/>
  <c r="Q243" i="50"/>
  <c r="P243" i="50" s="1"/>
  <c r="Q233" i="32"/>
  <c r="P233" i="32" s="1"/>
  <c r="T244" i="50"/>
  <c r="O244" i="50"/>
  <c r="AP240" i="50"/>
  <c r="C231" i="32"/>
  <c r="Z231" i="32"/>
  <c r="AM233" i="32"/>
  <c r="C242" i="50"/>
  <c r="AJ242" i="50"/>
  <c r="S243" i="50"/>
  <c r="Z243" i="50" s="1"/>
  <c r="C232" i="32"/>
  <c r="AJ232" i="32"/>
  <c r="AJ231" i="32"/>
  <c r="S233" i="32"/>
  <c r="Z233" i="32" s="1"/>
  <c r="W231" i="32"/>
  <c r="X231" i="32" s="1"/>
  <c r="W242" i="50"/>
  <c r="W232" i="32"/>
  <c r="X232" i="32" s="1"/>
  <c r="X241" i="50"/>
  <c r="V242" i="50"/>
  <c r="V231" i="32"/>
  <c r="AH241" i="50"/>
  <c r="AI241" i="50" s="1"/>
  <c r="AK244" i="50"/>
  <c r="AG231" i="32"/>
  <c r="AH231" i="32" s="1"/>
  <c r="AM243" i="50"/>
  <c r="AI229" i="32"/>
  <c r="AN229" i="32" s="1"/>
  <c r="AI230" i="32"/>
  <c r="AN230" i="32" s="1"/>
  <c r="AL241" i="50"/>
  <c r="V232" i="32"/>
  <c r="A244" i="50"/>
  <c r="J244" i="50"/>
  <c r="I244" i="50"/>
  <c r="F244" i="50"/>
  <c r="U244" i="50" s="1"/>
  <c r="H244" i="50"/>
  <c r="G244" i="50"/>
  <c r="K244" i="50"/>
  <c r="M244" i="50"/>
  <c r="L244" i="50"/>
  <c r="N244" i="50"/>
  <c r="B244" i="50"/>
  <c r="R244" i="50" s="1"/>
  <c r="E234" i="32"/>
  <c r="AL234" i="11" a="1"/>
  <c r="AL234" i="11" s="1"/>
  <c r="E235" i="32" s="1"/>
  <c r="AP244" i="59" a="1"/>
  <c r="AP244" i="59" s="1"/>
  <c r="E245" i="50" s="1"/>
  <c r="AQ134" i="59" a="1"/>
  <c r="AQ134" i="59" s="1"/>
  <c r="AM119" i="11" a="1"/>
  <c r="AM119" i="11" s="1"/>
  <c r="AD233" i="32" l="1"/>
  <c r="AG233" i="32" s="1"/>
  <c r="AH233" i="32" s="1"/>
  <c r="AD243" i="50"/>
  <c r="AG243" i="50" s="1"/>
  <c r="Q244" i="50"/>
  <c r="P244" i="50" s="1"/>
  <c r="T234" i="32"/>
  <c r="O234" i="32"/>
  <c r="T235" i="32"/>
  <c r="O235" i="32"/>
  <c r="T245" i="50"/>
  <c r="O245" i="50"/>
  <c r="AP241" i="50"/>
  <c r="C243" i="50"/>
  <c r="AJ243" i="50"/>
  <c r="S244" i="50"/>
  <c r="Z244" i="50" s="1"/>
  <c r="C233" i="32"/>
  <c r="AJ233" i="32"/>
  <c r="W233" i="32"/>
  <c r="X233" i="32" s="1"/>
  <c r="W243" i="50"/>
  <c r="X242" i="50"/>
  <c r="V243" i="50"/>
  <c r="V233" i="32"/>
  <c r="AH242" i="50"/>
  <c r="AI242" i="50" s="1"/>
  <c r="AK245" i="50"/>
  <c r="AK235" i="32"/>
  <c r="AK234" i="32"/>
  <c r="AM244" i="50"/>
  <c r="AL231" i="32"/>
  <c r="AL232" i="32"/>
  <c r="AL242" i="50"/>
  <c r="A235" i="32"/>
  <c r="B235" i="32"/>
  <c r="R235" i="32" s="1"/>
  <c r="A234" i="32"/>
  <c r="B234" i="32"/>
  <c r="R234" i="32" s="1"/>
  <c r="A245" i="50"/>
  <c r="I245" i="50"/>
  <c r="M245" i="50"/>
  <c r="F245" i="50"/>
  <c r="U245" i="50" s="1"/>
  <c r="H245" i="50"/>
  <c r="G245" i="50"/>
  <c r="L245" i="50"/>
  <c r="J245" i="50"/>
  <c r="B245" i="50"/>
  <c r="R245" i="50" s="1"/>
  <c r="K245" i="50"/>
  <c r="N245" i="50"/>
  <c r="F234" i="32"/>
  <c r="U234" i="32" s="1"/>
  <c r="N234" i="32"/>
  <c r="G234" i="32"/>
  <c r="H234" i="32"/>
  <c r="I234" i="32"/>
  <c r="J234" i="32"/>
  <c r="K234" i="32"/>
  <c r="L234" i="32"/>
  <c r="M234" i="32"/>
  <c r="L235" i="32"/>
  <c r="M235" i="32"/>
  <c r="N235" i="32"/>
  <c r="F235" i="32"/>
  <c r="U235" i="32" s="1"/>
  <c r="G235" i="32"/>
  <c r="H235" i="32"/>
  <c r="I235" i="32"/>
  <c r="J235" i="32"/>
  <c r="K235" i="32"/>
  <c r="AL235" i="11" a="1"/>
  <c r="AL235" i="11" s="1"/>
  <c r="E236" i="32" s="1"/>
  <c r="AP245" i="59" a="1"/>
  <c r="AP245" i="59" s="1"/>
  <c r="E246" i="50" s="1"/>
  <c r="AQ135" i="59" a="1"/>
  <c r="AQ135" i="59" s="1"/>
  <c r="AM120" i="11" a="1"/>
  <c r="AM120" i="11" s="1"/>
  <c r="AD244" i="50" l="1"/>
  <c r="AG244" i="50" s="1"/>
  <c r="Q245" i="50"/>
  <c r="P245" i="50" s="1"/>
  <c r="Q234" i="32"/>
  <c r="P234" i="32" s="1"/>
  <c r="Q235" i="32"/>
  <c r="P235" i="32" s="1"/>
  <c r="T236" i="32"/>
  <c r="O236" i="32"/>
  <c r="T246" i="50"/>
  <c r="O246" i="50"/>
  <c r="AP242" i="50"/>
  <c r="AM235" i="32"/>
  <c r="AM234" i="32"/>
  <c r="AJ244" i="50"/>
  <c r="C244" i="50"/>
  <c r="S245" i="50"/>
  <c r="Z245" i="50" s="1"/>
  <c r="S235" i="32"/>
  <c r="Z235" i="32" s="1"/>
  <c r="S234" i="32"/>
  <c r="Z234" i="32" s="1"/>
  <c r="W244" i="50"/>
  <c r="X243" i="50"/>
  <c r="V244" i="50"/>
  <c r="AH243" i="50"/>
  <c r="AI243" i="50" s="1"/>
  <c r="AK246" i="50"/>
  <c r="AK236" i="32"/>
  <c r="AM245" i="50"/>
  <c r="AL233" i="32"/>
  <c r="AL243" i="50"/>
  <c r="AI231" i="32"/>
  <c r="AN231" i="32" s="1"/>
  <c r="AI232" i="32"/>
  <c r="AN232" i="32" s="1"/>
  <c r="A236" i="32"/>
  <c r="B236" i="32"/>
  <c r="R236" i="32" s="1"/>
  <c r="I246" i="50"/>
  <c r="H246" i="50"/>
  <c r="M246" i="50"/>
  <c r="K246" i="50"/>
  <c r="N246" i="50"/>
  <c r="A246" i="50"/>
  <c r="B246" i="50"/>
  <c r="R246" i="50" s="1"/>
  <c r="G246" i="50"/>
  <c r="F246" i="50"/>
  <c r="U246" i="50" s="1"/>
  <c r="J246" i="50"/>
  <c r="L246" i="50"/>
  <c r="K236" i="32"/>
  <c r="L236" i="32"/>
  <c r="M236" i="32"/>
  <c r="F236" i="32"/>
  <c r="U236" i="32" s="1"/>
  <c r="N236" i="32"/>
  <c r="G236" i="32"/>
  <c r="H236" i="32"/>
  <c r="I236" i="32"/>
  <c r="J236" i="32"/>
  <c r="AL236" i="11" a="1"/>
  <c r="AL236" i="11" s="1"/>
  <c r="AP246" i="59" a="1"/>
  <c r="AP246" i="59" s="1"/>
  <c r="E247" i="50" s="1"/>
  <c r="AQ136" i="59" a="1"/>
  <c r="AQ136" i="59" s="1"/>
  <c r="AM121" i="11" a="1"/>
  <c r="AM121" i="11" s="1"/>
  <c r="AD234" i="32" l="1"/>
  <c r="AD235" i="32"/>
  <c r="AG235" i="32" s="1"/>
  <c r="AH235" i="32" s="1"/>
  <c r="AD245" i="50"/>
  <c r="AG245" i="50" s="1"/>
  <c r="Q246" i="50"/>
  <c r="P246" i="50" s="1"/>
  <c r="Q236" i="32"/>
  <c r="P236" i="32" s="1"/>
  <c r="T247" i="50"/>
  <c r="O247" i="50"/>
  <c r="AP243" i="50"/>
  <c r="AM236" i="32"/>
  <c r="C245" i="50"/>
  <c r="AJ245" i="50"/>
  <c r="S246" i="50"/>
  <c r="Z246" i="50" s="1"/>
  <c r="AJ234" i="32"/>
  <c r="C234" i="32"/>
  <c r="C235" i="32"/>
  <c r="AJ235" i="32"/>
  <c r="S236" i="32"/>
  <c r="AD236" i="32" s="1"/>
  <c r="W245" i="50"/>
  <c r="W235" i="32"/>
  <c r="X235" i="32" s="1"/>
  <c r="W234" i="32"/>
  <c r="X234" i="32" s="1"/>
  <c r="X244" i="50"/>
  <c r="V245" i="50"/>
  <c r="AH244" i="50"/>
  <c r="AI244" i="50" s="1"/>
  <c r="AK247" i="50"/>
  <c r="AM246" i="50"/>
  <c r="AI233" i="32"/>
  <c r="AN233" i="32" s="1"/>
  <c r="AL244" i="50"/>
  <c r="V234" i="32"/>
  <c r="V235" i="32"/>
  <c r="B247" i="50"/>
  <c r="R247" i="50" s="1"/>
  <c r="F247" i="50"/>
  <c r="U247" i="50" s="1"/>
  <c r="G247" i="50"/>
  <c r="J247" i="50"/>
  <c r="N247" i="50"/>
  <c r="K247" i="50"/>
  <c r="I247" i="50"/>
  <c r="H247" i="50"/>
  <c r="A247" i="50"/>
  <c r="M247" i="50"/>
  <c r="L247" i="50"/>
  <c r="E237" i="32"/>
  <c r="AL237" i="11" a="1"/>
  <c r="AL237" i="11" s="1"/>
  <c r="E238" i="32" s="1"/>
  <c r="AP247" i="59" a="1"/>
  <c r="AP247" i="59" s="1"/>
  <c r="E248" i="50" s="1"/>
  <c r="AQ137" i="59" a="1"/>
  <c r="AQ137" i="59" s="1"/>
  <c r="AM122" i="11" a="1"/>
  <c r="AM122" i="11" s="1"/>
  <c r="AD246" i="50" l="1"/>
  <c r="AG246" i="50" s="1"/>
  <c r="Q247" i="50"/>
  <c r="P247" i="50" s="1"/>
  <c r="T238" i="32"/>
  <c r="O238" i="32"/>
  <c r="T237" i="32"/>
  <c r="O237" i="32"/>
  <c r="T248" i="50"/>
  <c r="O248" i="50"/>
  <c r="AP244" i="50"/>
  <c r="AG234" i="32"/>
  <c r="AH234" i="32" s="1"/>
  <c r="C236" i="32"/>
  <c r="Z236" i="32"/>
  <c r="AJ246" i="50"/>
  <c r="C246" i="50"/>
  <c r="S247" i="50"/>
  <c r="Z247" i="50" s="1"/>
  <c r="AJ236" i="32"/>
  <c r="W236" i="32"/>
  <c r="X236" i="32" s="1"/>
  <c r="W246" i="50"/>
  <c r="X245" i="50"/>
  <c r="V246" i="50"/>
  <c r="V236" i="32"/>
  <c r="AH245" i="50"/>
  <c r="AI245" i="50" s="1"/>
  <c r="AK248" i="50"/>
  <c r="AK237" i="32"/>
  <c r="AK238" i="32"/>
  <c r="AL234" i="32"/>
  <c r="AG236" i="32"/>
  <c r="AH236" i="32" s="1"/>
  <c r="AM247" i="50"/>
  <c r="AL235" i="32"/>
  <c r="AL245" i="50"/>
  <c r="A238" i="32"/>
  <c r="B238" i="32"/>
  <c r="R238" i="32" s="1"/>
  <c r="A237" i="32"/>
  <c r="B237" i="32"/>
  <c r="R237" i="32" s="1"/>
  <c r="B248" i="50"/>
  <c r="R248" i="50" s="1"/>
  <c r="M248" i="50"/>
  <c r="F248" i="50"/>
  <c r="U248" i="50" s="1"/>
  <c r="N248" i="50"/>
  <c r="J248" i="50"/>
  <c r="I248" i="50"/>
  <c r="H248" i="50"/>
  <c r="K248" i="50"/>
  <c r="A248" i="50"/>
  <c r="G248" i="50"/>
  <c r="L248" i="50"/>
  <c r="G238" i="32"/>
  <c r="H238" i="32"/>
  <c r="I238" i="32"/>
  <c r="J238" i="32"/>
  <c r="N238" i="32"/>
  <c r="F238" i="32"/>
  <c r="U238" i="32" s="1"/>
  <c r="M238" i="32"/>
  <c r="K238" i="32"/>
  <c r="L238" i="32"/>
  <c r="I237" i="32"/>
  <c r="J237" i="32"/>
  <c r="K237" i="32"/>
  <c r="L237" i="32"/>
  <c r="M237" i="32"/>
  <c r="N237" i="32"/>
  <c r="F237" i="32"/>
  <c r="U237" i="32" s="1"/>
  <c r="G237" i="32"/>
  <c r="H237" i="32"/>
  <c r="AL238" i="11" a="1"/>
  <c r="AL238" i="11" s="1"/>
  <c r="AP248" i="59" a="1"/>
  <c r="AP248" i="59" s="1"/>
  <c r="E249" i="50" s="1"/>
  <c r="AQ138" i="59" a="1"/>
  <c r="AQ138" i="59" s="1"/>
  <c r="AM123" i="11" a="1"/>
  <c r="AM123" i="11" s="1"/>
  <c r="AD247" i="50" l="1"/>
  <c r="AG247" i="50" s="1"/>
  <c r="Q248" i="50"/>
  <c r="P248" i="50" s="1"/>
  <c r="Q237" i="32"/>
  <c r="P237" i="32" s="1"/>
  <c r="Q238" i="32"/>
  <c r="P238" i="32" s="1"/>
  <c r="AP245" i="50"/>
  <c r="O249" i="50"/>
  <c r="T249" i="50"/>
  <c r="AM237" i="32"/>
  <c r="AM238" i="32"/>
  <c r="AJ247" i="50"/>
  <c r="C247" i="50"/>
  <c r="S248" i="50"/>
  <c r="Z248" i="50" s="1"/>
  <c r="S237" i="32"/>
  <c r="Z237" i="32" s="1"/>
  <c r="S238" i="32"/>
  <c r="Z238" i="32" s="1"/>
  <c r="W247" i="50"/>
  <c r="X246" i="50"/>
  <c r="V247" i="50"/>
  <c r="AH246" i="50"/>
  <c r="AI246" i="50" s="1"/>
  <c r="AK249" i="50"/>
  <c r="AM248" i="50"/>
  <c r="AL236" i="32"/>
  <c r="AI235" i="32"/>
  <c r="AN235" i="32" s="1"/>
  <c r="AL246" i="50"/>
  <c r="AI234" i="32"/>
  <c r="AN234" i="32" s="1"/>
  <c r="G249" i="50"/>
  <c r="F249" i="50"/>
  <c r="U249" i="50" s="1"/>
  <c r="L249" i="50"/>
  <c r="B249" i="50"/>
  <c r="R249" i="50" s="1"/>
  <c r="N249" i="50"/>
  <c r="I249" i="50"/>
  <c r="H249" i="50"/>
  <c r="K249" i="50"/>
  <c r="M249" i="50"/>
  <c r="A249" i="50"/>
  <c r="J249" i="50"/>
  <c r="E239" i="32"/>
  <c r="AL239" i="11" a="1"/>
  <c r="AL239" i="11" s="1"/>
  <c r="E240" i="32" s="1"/>
  <c r="AP249" i="59" a="1"/>
  <c r="AP249" i="59" s="1"/>
  <c r="E250" i="50" s="1"/>
  <c r="AQ139" i="59" a="1"/>
  <c r="AQ139" i="59" s="1"/>
  <c r="AM124" i="11" a="1"/>
  <c r="AM124" i="11" s="1"/>
  <c r="AD238" i="32" l="1"/>
  <c r="AG238" i="32" s="1"/>
  <c r="AH238" i="32" s="1"/>
  <c r="AD237" i="32"/>
  <c r="AG237" i="32" s="1"/>
  <c r="AH237" i="32" s="1"/>
  <c r="AD248" i="50"/>
  <c r="AG248" i="50" s="1"/>
  <c r="Q249" i="50"/>
  <c r="P249" i="50" s="1"/>
  <c r="T239" i="32"/>
  <c r="O239" i="32"/>
  <c r="T240" i="32"/>
  <c r="O240" i="32"/>
  <c r="T250" i="50"/>
  <c r="O250" i="50"/>
  <c r="AP246" i="50"/>
  <c r="C248" i="50"/>
  <c r="AJ248" i="50"/>
  <c r="S249" i="50"/>
  <c r="Z249" i="50" s="1"/>
  <c r="W238" i="32"/>
  <c r="X238" i="32" s="1"/>
  <c r="C238" i="32"/>
  <c r="AJ238" i="32"/>
  <c r="C237" i="32"/>
  <c r="W237" i="32"/>
  <c r="X237" i="32" s="1"/>
  <c r="AJ237" i="32"/>
  <c r="W248" i="50"/>
  <c r="X247" i="50"/>
  <c r="V248" i="50"/>
  <c r="V237" i="32"/>
  <c r="V238" i="32"/>
  <c r="AH247" i="50"/>
  <c r="AI247" i="50" s="1"/>
  <c r="AK250" i="50"/>
  <c r="AK239" i="32"/>
  <c r="AK240" i="32"/>
  <c r="AM249" i="50"/>
  <c r="AI236" i="32"/>
  <c r="AN236" i="32" s="1"/>
  <c r="AL247" i="50"/>
  <c r="A240" i="32"/>
  <c r="B240" i="32"/>
  <c r="R240" i="32" s="1"/>
  <c r="A239" i="32"/>
  <c r="B239" i="32"/>
  <c r="R239" i="32" s="1"/>
  <c r="F250" i="50"/>
  <c r="U250" i="50" s="1"/>
  <c r="G250" i="50"/>
  <c r="B250" i="50"/>
  <c r="R250" i="50" s="1"/>
  <c r="M250" i="50"/>
  <c r="L250" i="50"/>
  <c r="K250" i="50"/>
  <c r="A250" i="50"/>
  <c r="J250" i="50"/>
  <c r="H250" i="50"/>
  <c r="I250" i="50"/>
  <c r="N250" i="50"/>
  <c r="K240" i="32"/>
  <c r="M240" i="32"/>
  <c r="F240" i="32"/>
  <c r="U240" i="32" s="1"/>
  <c r="N240" i="32"/>
  <c r="J240" i="32"/>
  <c r="L240" i="32"/>
  <c r="G240" i="32"/>
  <c r="I240" i="32"/>
  <c r="H240" i="32"/>
  <c r="M239" i="32"/>
  <c r="F239" i="32"/>
  <c r="U239" i="32" s="1"/>
  <c r="G239" i="32"/>
  <c r="H239" i="32"/>
  <c r="I239" i="32"/>
  <c r="J239" i="32"/>
  <c r="K239" i="32"/>
  <c r="L239" i="32"/>
  <c r="N239" i="32"/>
  <c r="AL240" i="11" a="1"/>
  <c r="AL240" i="11" s="1"/>
  <c r="E241" i="32" s="1"/>
  <c r="AP250" i="59" a="1"/>
  <c r="AP250" i="59" s="1"/>
  <c r="E251" i="50" s="1"/>
  <c r="AQ140" i="59" a="1"/>
  <c r="AQ140" i="59" s="1"/>
  <c r="AM125" i="11" a="1"/>
  <c r="AM125" i="11" s="1"/>
  <c r="AD249" i="50" l="1"/>
  <c r="AG249" i="50" s="1"/>
  <c r="Q250" i="50"/>
  <c r="P250" i="50" s="1"/>
  <c r="Q239" i="32"/>
  <c r="P239" i="32" s="1"/>
  <c r="Q240" i="32"/>
  <c r="P240" i="32" s="1"/>
  <c r="T241" i="32"/>
  <c r="O241" i="32"/>
  <c r="T251" i="50"/>
  <c r="O251" i="50"/>
  <c r="AP247" i="50"/>
  <c r="AM239" i="32"/>
  <c r="AM240" i="32"/>
  <c r="AJ249" i="50"/>
  <c r="C249" i="50"/>
  <c r="S250" i="50"/>
  <c r="Z250" i="50" s="1"/>
  <c r="S240" i="32"/>
  <c r="Z240" i="32" s="1"/>
  <c r="S239" i="32"/>
  <c r="Z239" i="32" s="1"/>
  <c r="W249" i="50"/>
  <c r="X248" i="50"/>
  <c r="V249" i="50"/>
  <c r="AH248" i="50"/>
  <c r="AI248" i="50" s="1"/>
  <c r="AK251" i="50"/>
  <c r="AK241" i="32"/>
  <c r="AM250" i="50"/>
  <c r="AL237" i="32"/>
  <c r="AL238" i="32"/>
  <c r="AL248" i="50"/>
  <c r="A241" i="32"/>
  <c r="B241" i="32"/>
  <c r="R241" i="32" s="1"/>
  <c r="H251" i="50"/>
  <c r="M251" i="50"/>
  <c r="A251" i="50"/>
  <c r="N251" i="50"/>
  <c r="F251" i="50"/>
  <c r="U251" i="50" s="1"/>
  <c r="K251" i="50"/>
  <c r="G251" i="50"/>
  <c r="L251" i="50"/>
  <c r="J251" i="50"/>
  <c r="B251" i="50"/>
  <c r="R251" i="50" s="1"/>
  <c r="I251" i="50"/>
  <c r="I241" i="32"/>
  <c r="K241" i="32"/>
  <c r="L241" i="32"/>
  <c r="N241" i="32"/>
  <c r="J241" i="32"/>
  <c r="F241" i="32"/>
  <c r="U241" i="32" s="1"/>
  <c r="G241" i="32"/>
  <c r="H241" i="32"/>
  <c r="M241" i="32"/>
  <c r="AL241" i="11" a="1"/>
  <c r="AL241" i="11" s="1"/>
  <c r="E242" i="32" s="1"/>
  <c r="AP251" i="59" a="1"/>
  <c r="AP251" i="59" s="1"/>
  <c r="E252" i="50" s="1"/>
  <c r="AQ141" i="59" a="1"/>
  <c r="AQ141" i="59" s="1"/>
  <c r="AM126" i="11" a="1"/>
  <c r="AM126" i="11" s="1"/>
  <c r="AD239" i="32" l="1"/>
  <c r="AG239" i="32" s="1"/>
  <c r="AH239" i="32" s="1"/>
  <c r="AD240" i="32"/>
  <c r="AG240" i="32" s="1"/>
  <c r="AH240" i="32" s="1"/>
  <c r="AD250" i="50"/>
  <c r="AG250" i="50" s="1"/>
  <c r="Q251" i="50"/>
  <c r="P251" i="50" s="1"/>
  <c r="Q241" i="32"/>
  <c r="P241" i="32" s="1"/>
  <c r="T242" i="32"/>
  <c r="O242" i="32"/>
  <c r="T252" i="50"/>
  <c r="O252" i="50"/>
  <c r="AP248" i="50"/>
  <c r="AM241" i="32"/>
  <c r="C250" i="50"/>
  <c r="AJ250" i="50"/>
  <c r="S251" i="50"/>
  <c r="Z251" i="50" s="1"/>
  <c r="AJ239" i="32"/>
  <c r="W239" i="32"/>
  <c r="X239" i="32" s="1"/>
  <c r="C239" i="32"/>
  <c r="AJ240" i="32"/>
  <c r="W240" i="32"/>
  <c r="X240" i="32" s="1"/>
  <c r="C240" i="32"/>
  <c r="S241" i="32"/>
  <c r="Z241" i="32" s="1"/>
  <c r="W250" i="50"/>
  <c r="X249" i="50"/>
  <c r="V250" i="50"/>
  <c r="V239" i="32"/>
  <c r="V240" i="32"/>
  <c r="AH249" i="50"/>
  <c r="AI249" i="50" s="1"/>
  <c r="AK252" i="50"/>
  <c r="AK242" i="32"/>
  <c r="AM251" i="50"/>
  <c r="AI238" i="32"/>
  <c r="AN238" i="32" s="1"/>
  <c r="AL249" i="50"/>
  <c r="AI237" i="32"/>
  <c r="AN237" i="32" s="1"/>
  <c r="A242" i="32"/>
  <c r="B242" i="32"/>
  <c r="R242" i="32" s="1"/>
  <c r="A252" i="50"/>
  <c r="N252" i="50"/>
  <c r="J252" i="50"/>
  <c r="I252" i="50"/>
  <c r="H252" i="50"/>
  <c r="M252" i="50"/>
  <c r="B252" i="50"/>
  <c r="R252" i="50" s="1"/>
  <c r="G252" i="50"/>
  <c r="K252" i="50"/>
  <c r="F252" i="50"/>
  <c r="U252" i="50" s="1"/>
  <c r="L252" i="50"/>
  <c r="G242" i="32"/>
  <c r="I242" i="32"/>
  <c r="J242" i="32"/>
  <c r="M242" i="32"/>
  <c r="F242" i="32"/>
  <c r="U242" i="32" s="1"/>
  <c r="H242" i="32"/>
  <c r="L242" i="32"/>
  <c r="K242" i="32"/>
  <c r="N242" i="32"/>
  <c r="AL242" i="11" a="1"/>
  <c r="AL242" i="11" s="1"/>
  <c r="E243" i="32" s="1"/>
  <c r="AP252" i="59" a="1"/>
  <c r="AP252" i="59" s="1"/>
  <c r="E253" i="50" s="1"/>
  <c r="AQ142" i="59" a="1"/>
  <c r="AQ142" i="59" s="1"/>
  <c r="AM127" i="11" a="1"/>
  <c r="AM127" i="11" s="1"/>
  <c r="AD241" i="32" l="1"/>
  <c r="AG241" i="32" s="1"/>
  <c r="AH241" i="32" s="1"/>
  <c r="AD251" i="50"/>
  <c r="AG251" i="50" s="1"/>
  <c r="Q252" i="50"/>
  <c r="P252" i="50" s="1"/>
  <c r="Q242" i="32"/>
  <c r="P242" i="32" s="1"/>
  <c r="T243" i="32"/>
  <c r="O243" i="32"/>
  <c r="T253" i="50"/>
  <c r="O253" i="50"/>
  <c r="AP249" i="50"/>
  <c r="AM242" i="32"/>
  <c r="AJ251" i="50"/>
  <c r="C251" i="50"/>
  <c r="S252" i="50"/>
  <c r="Z252" i="50" s="1"/>
  <c r="C241" i="32"/>
  <c r="AJ241" i="32"/>
  <c r="W241" i="32"/>
  <c r="X241" i="32" s="1"/>
  <c r="S242" i="32"/>
  <c r="Z242" i="32" s="1"/>
  <c r="W251" i="50"/>
  <c r="X250" i="50"/>
  <c r="V251" i="50"/>
  <c r="V241" i="32"/>
  <c r="AH250" i="50"/>
  <c r="AI250" i="50" s="1"/>
  <c r="AK253" i="50"/>
  <c r="AK243" i="32"/>
  <c r="AM252" i="50"/>
  <c r="AL239" i="32"/>
  <c r="AL240" i="32"/>
  <c r="AL250" i="50"/>
  <c r="A243" i="32"/>
  <c r="B243" i="32"/>
  <c r="R243" i="32" s="1"/>
  <c r="A253" i="50"/>
  <c r="I253" i="50"/>
  <c r="M253" i="50"/>
  <c r="F253" i="50"/>
  <c r="U253" i="50" s="1"/>
  <c r="B253" i="50"/>
  <c r="R253" i="50" s="1"/>
  <c r="N253" i="50"/>
  <c r="G253" i="50"/>
  <c r="K253" i="50"/>
  <c r="H253" i="50"/>
  <c r="J253" i="50"/>
  <c r="L253" i="50"/>
  <c r="M243" i="32"/>
  <c r="G243" i="32"/>
  <c r="H243" i="32"/>
  <c r="F243" i="32"/>
  <c r="U243" i="32" s="1"/>
  <c r="I243" i="32"/>
  <c r="J243" i="32"/>
  <c r="K243" i="32"/>
  <c r="L243" i="32"/>
  <c r="N243" i="32"/>
  <c r="AL243" i="11" a="1"/>
  <c r="AL243" i="11" s="1"/>
  <c r="E244" i="32" s="1"/>
  <c r="AP253" i="59" a="1"/>
  <c r="AP253" i="59" s="1"/>
  <c r="E254" i="50" s="1"/>
  <c r="AQ143" i="59" a="1"/>
  <c r="AQ143" i="59" s="1"/>
  <c r="AM128" i="11" a="1"/>
  <c r="AM128" i="11" s="1"/>
  <c r="AD242" i="32" l="1"/>
  <c r="AG242" i="32" s="1"/>
  <c r="AH242" i="32" s="1"/>
  <c r="AD252" i="50"/>
  <c r="AG252" i="50" s="1"/>
  <c r="Q253" i="50"/>
  <c r="P253" i="50" s="1"/>
  <c r="Q243" i="32"/>
  <c r="P243" i="32" s="1"/>
  <c r="T244" i="32"/>
  <c r="O244" i="32"/>
  <c r="T254" i="50"/>
  <c r="O254" i="50"/>
  <c r="AP250" i="50"/>
  <c r="AM243" i="32"/>
  <c r="C252" i="50"/>
  <c r="AJ252" i="50"/>
  <c r="S253" i="50"/>
  <c r="Z253" i="50" s="1"/>
  <c r="C242" i="32"/>
  <c r="AJ242" i="32"/>
  <c r="W242" i="32"/>
  <c r="X242" i="32" s="1"/>
  <c r="S243" i="32"/>
  <c r="AD243" i="32" s="1"/>
  <c r="W252" i="50"/>
  <c r="X251" i="50"/>
  <c r="V252" i="50"/>
  <c r="V242" i="32"/>
  <c r="AH251" i="50"/>
  <c r="AI251" i="50" s="1"/>
  <c r="AK254" i="50"/>
  <c r="AK244" i="32"/>
  <c r="AM253" i="50"/>
  <c r="AL241" i="32"/>
  <c r="AI240" i="32"/>
  <c r="AN240" i="32" s="1"/>
  <c r="AI239" i="32"/>
  <c r="AN239" i="32" s="1"/>
  <c r="AL251" i="50"/>
  <c r="A244" i="32"/>
  <c r="B244" i="32"/>
  <c r="R244" i="32" s="1"/>
  <c r="I254" i="50"/>
  <c r="F254" i="50"/>
  <c r="U254" i="50" s="1"/>
  <c r="A254" i="50"/>
  <c r="G254" i="50"/>
  <c r="H254" i="50"/>
  <c r="L254" i="50"/>
  <c r="K254" i="50"/>
  <c r="M254" i="50"/>
  <c r="N254" i="50"/>
  <c r="B254" i="50"/>
  <c r="R254" i="50" s="1"/>
  <c r="J254" i="50"/>
  <c r="K244" i="32"/>
  <c r="M244" i="32"/>
  <c r="F244" i="32"/>
  <c r="U244" i="32" s="1"/>
  <c r="N244" i="32"/>
  <c r="I244" i="32"/>
  <c r="J244" i="32"/>
  <c r="L244" i="32"/>
  <c r="H244" i="32"/>
  <c r="G244" i="32"/>
  <c r="AL244" i="11" a="1"/>
  <c r="AL244" i="11" s="1"/>
  <c r="E245" i="32" s="1"/>
  <c r="AP254" i="59" a="1"/>
  <c r="AP254" i="59" s="1"/>
  <c r="E255" i="50" s="1"/>
  <c r="AQ144" i="59" a="1"/>
  <c r="AQ144" i="59" s="1"/>
  <c r="AM129" i="11" a="1"/>
  <c r="AM129" i="11" s="1"/>
  <c r="AD253" i="50" l="1"/>
  <c r="AG253" i="50" s="1"/>
  <c r="Q254" i="50"/>
  <c r="P254" i="50" s="1"/>
  <c r="Q244" i="32"/>
  <c r="P244" i="32" s="1"/>
  <c r="T245" i="32"/>
  <c r="O245" i="32"/>
  <c r="T255" i="50"/>
  <c r="O255" i="50"/>
  <c r="AP251" i="50"/>
  <c r="C243" i="32"/>
  <c r="Z243" i="32"/>
  <c r="AM244" i="32"/>
  <c r="C253" i="50"/>
  <c r="AJ253" i="50"/>
  <c r="S254" i="50"/>
  <c r="Z254" i="50" s="1"/>
  <c r="S244" i="32"/>
  <c r="Z244" i="32" s="1"/>
  <c r="W243" i="32"/>
  <c r="X243" i="32" s="1"/>
  <c r="AJ243" i="32"/>
  <c r="W253" i="50"/>
  <c r="X252" i="50"/>
  <c r="V253" i="50"/>
  <c r="V243" i="32"/>
  <c r="AH252" i="50"/>
  <c r="AI252" i="50" s="1"/>
  <c r="AK255" i="50"/>
  <c r="AK245" i="32"/>
  <c r="AG243" i="32"/>
  <c r="AH243" i="32" s="1"/>
  <c r="AM254" i="50"/>
  <c r="AL242" i="32"/>
  <c r="AI241" i="32"/>
  <c r="AN241" i="32" s="1"/>
  <c r="AL252" i="50"/>
  <c r="A245" i="32"/>
  <c r="B245" i="32"/>
  <c r="R245" i="32" s="1"/>
  <c r="B255" i="50"/>
  <c r="R255" i="50" s="1"/>
  <c r="F255" i="50"/>
  <c r="U255" i="50" s="1"/>
  <c r="G255" i="50"/>
  <c r="J255" i="50"/>
  <c r="N255" i="50"/>
  <c r="H255" i="50"/>
  <c r="I255" i="50"/>
  <c r="A255" i="50"/>
  <c r="K255" i="50"/>
  <c r="M255" i="50"/>
  <c r="L255" i="50"/>
  <c r="I245" i="32"/>
  <c r="K245" i="32"/>
  <c r="L245" i="32"/>
  <c r="M245" i="32"/>
  <c r="N245" i="32"/>
  <c r="G245" i="32"/>
  <c r="H245" i="32"/>
  <c r="J245" i="32"/>
  <c r="F245" i="32"/>
  <c r="U245" i="32" s="1"/>
  <c r="AL245" i="11" a="1"/>
  <c r="AL245" i="11" s="1"/>
  <c r="E246" i="32" s="1"/>
  <c r="AP255" i="59" a="1"/>
  <c r="AP255" i="59" s="1"/>
  <c r="E256" i="50" s="1"/>
  <c r="AQ145" i="59" a="1"/>
  <c r="AQ145" i="59" s="1"/>
  <c r="AM130" i="11" a="1"/>
  <c r="AM130" i="11" s="1"/>
  <c r="AD244" i="32" l="1"/>
  <c r="AG244" i="32" s="1"/>
  <c r="AH244" i="32" s="1"/>
  <c r="AD254" i="50"/>
  <c r="AG254" i="50" s="1"/>
  <c r="Q255" i="50"/>
  <c r="P255" i="50" s="1"/>
  <c r="Q245" i="32"/>
  <c r="P245" i="32" s="1"/>
  <c r="T246" i="32"/>
  <c r="O246" i="32"/>
  <c r="T256" i="50"/>
  <c r="O256" i="50"/>
  <c r="AP252" i="50"/>
  <c r="AM245" i="32"/>
  <c r="AJ254" i="50"/>
  <c r="C254" i="50"/>
  <c r="S255" i="50"/>
  <c r="Z255" i="50" s="1"/>
  <c r="AJ244" i="32"/>
  <c r="W244" i="32"/>
  <c r="X244" i="32" s="1"/>
  <c r="C244" i="32"/>
  <c r="S245" i="32"/>
  <c r="Z245" i="32" s="1"/>
  <c r="W254" i="50"/>
  <c r="X253" i="50"/>
  <c r="V254" i="50"/>
  <c r="V244" i="32"/>
  <c r="AH253" i="50"/>
  <c r="AI253" i="50" s="1"/>
  <c r="AK256" i="50"/>
  <c r="AK246" i="32"/>
  <c r="AM255" i="50"/>
  <c r="AL243" i="32"/>
  <c r="AI242" i="32"/>
  <c r="AN242" i="32" s="1"/>
  <c r="AL253" i="50"/>
  <c r="A246" i="32"/>
  <c r="B246" i="32"/>
  <c r="R246" i="32" s="1"/>
  <c r="B256" i="50"/>
  <c r="R256" i="50" s="1"/>
  <c r="M256" i="50"/>
  <c r="N256" i="50"/>
  <c r="J256" i="50"/>
  <c r="I256" i="50"/>
  <c r="K256" i="50"/>
  <c r="G256" i="50"/>
  <c r="H256" i="50"/>
  <c r="L256" i="50"/>
  <c r="A256" i="50"/>
  <c r="F256" i="50"/>
  <c r="U256" i="50" s="1"/>
  <c r="G246" i="32"/>
  <c r="I246" i="32"/>
  <c r="J246" i="32"/>
  <c r="N246" i="32"/>
  <c r="F246" i="32"/>
  <c r="U246" i="32" s="1"/>
  <c r="K246" i="32"/>
  <c r="L246" i="32"/>
  <c r="H246" i="32"/>
  <c r="M246" i="32"/>
  <c r="AL246" i="11" a="1"/>
  <c r="AL246" i="11" s="1"/>
  <c r="E247" i="32" s="1"/>
  <c r="AP256" i="59" a="1"/>
  <c r="AP256" i="59" s="1"/>
  <c r="E257" i="50" s="1"/>
  <c r="AQ146" i="59" a="1"/>
  <c r="AQ146" i="59" s="1"/>
  <c r="AM131" i="11" a="1"/>
  <c r="AM131" i="11" s="1"/>
  <c r="AD245" i="32" l="1"/>
  <c r="AG245" i="32" s="1"/>
  <c r="AH245" i="32" s="1"/>
  <c r="AD255" i="50"/>
  <c r="AG255" i="50" s="1"/>
  <c r="Q256" i="50"/>
  <c r="P256" i="50" s="1"/>
  <c r="Q246" i="32"/>
  <c r="P246" i="32" s="1"/>
  <c r="T247" i="32"/>
  <c r="O247" i="32"/>
  <c r="O257" i="50"/>
  <c r="T257" i="50"/>
  <c r="AP253" i="50"/>
  <c r="AM246" i="32"/>
  <c r="C255" i="50"/>
  <c r="AJ255" i="50"/>
  <c r="S256" i="50"/>
  <c r="Z256" i="50" s="1"/>
  <c r="AJ245" i="32"/>
  <c r="C245" i="32"/>
  <c r="W245" i="32"/>
  <c r="X245" i="32" s="1"/>
  <c r="S246" i="32"/>
  <c r="Z246" i="32" s="1"/>
  <c r="W255" i="50"/>
  <c r="X254" i="50"/>
  <c r="V255" i="50"/>
  <c r="V245" i="32"/>
  <c r="AH254" i="50"/>
  <c r="AI254" i="50" s="1"/>
  <c r="AK257" i="50"/>
  <c r="AK247" i="32"/>
  <c r="AM256" i="50"/>
  <c r="AL244" i="32"/>
  <c r="AI243" i="32"/>
  <c r="AN243" i="32" s="1"/>
  <c r="AL254" i="50"/>
  <c r="A247" i="32"/>
  <c r="B247" i="32"/>
  <c r="R247" i="32" s="1"/>
  <c r="G257" i="50"/>
  <c r="J257" i="50"/>
  <c r="A257" i="50"/>
  <c r="N257" i="50"/>
  <c r="F257" i="50"/>
  <c r="U257" i="50" s="1"/>
  <c r="L257" i="50"/>
  <c r="I257" i="50"/>
  <c r="B257" i="50"/>
  <c r="R257" i="50" s="1"/>
  <c r="M257" i="50"/>
  <c r="K257" i="50"/>
  <c r="H257" i="50"/>
  <c r="M247" i="32"/>
  <c r="G247" i="32"/>
  <c r="H247" i="32"/>
  <c r="F247" i="32"/>
  <c r="U247" i="32" s="1"/>
  <c r="I247" i="32"/>
  <c r="J247" i="32"/>
  <c r="K247" i="32"/>
  <c r="L247" i="32"/>
  <c r="N247" i="32"/>
  <c r="AL247" i="11" a="1"/>
  <c r="AL247" i="11" s="1"/>
  <c r="AP257" i="59" a="1"/>
  <c r="AP257" i="59" s="1"/>
  <c r="E258" i="50" s="1"/>
  <c r="AQ147" i="59" a="1"/>
  <c r="AQ147" i="59" s="1"/>
  <c r="AM132" i="11" a="1"/>
  <c r="AM132" i="11" s="1"/>
  <c r="AD246" i="32" l="1"/>
  <c r="AG246" i="32" s="1"/>
  <c r="AH246" i="32" s="1"/>
  <c r="AD256" i="50"/>
  <c r="AG256" i="50" s="1"/>
  <c r="Q257" i="50"/>
  <c r="P257" i="50" s="1"/>
  <c r="Q247" i="32"/>
  <c r="P247" i="32" s="1"/>
  <c r="R6" i="50" a="1"/>
  <c r="R6" i="50" s="1"/>
  <c r="T258" i="50"/>
  <c r="O258" i="50"/>
  <c r="AP254" i="50"/>
  <c r="AM247" i="32"/>
  <c r="AJ256" i="50"/>
  <c r="C256" i="50"/>
  <c r="S257" i="50"/>
  <c r="Z257" i="50" s="1"/>
  <c r="C246" i="32"/>
  <c r="W246" i="32"/>
  <c r="X246" i="32" s="1"/>
  <c r="AJ246" i="32"/>
  <c r="S247" i="32"/>
  <c r="AD247" i="32" s="1"/>
  <c r="W256" i="50"/>
  <c r="X255" i="50"/>
  <c r="V256" i="50"/>
  <c r="V246" i="32"/>
  <c r="AH255" i="50"/>
  <c r="AI255" i="50" s="1"/>
  <c r="AK258" i="50"/>
  <c r="AM257" i="50"/>
  <c r="AL245" i="32"/>
  <c r="AI244" i="32"/>
  <c r="AN244" i="32" s="1"/>
  <c r="AL255" i="50"/>
  <c r="F258" i="50"/>
  <c r="U258" i="50" s="1"/>
  <c r="N258" i="50"/>
  <c r="L258" i="50"/>
  <c r="B258" i="50"/>
  <c r="R258" i="50" s="1"/>
  <c r="I258" i="50"/>
  <c r="M258" i="50"/>
  <c r="J258" i="50"/>
  <c r="G258" i="50"/>
  <c r="H258" i="50"/>
  <c r="K258" i="50"/>
  <c r="A258" i="50"/>
  <c r="E248" i="32"/>
  <c r="AL248" i="11" a="1"/>
  <c r="AL248" i="11" s="1"/>
  <c r="E249" i="32" s="1"/>
  <c r="AP258" i="59" a="1"/>
  <c r="AP258" i="59" s="1"/>
  <c r="AQ148" i="59" a="1"/>
  <c r="AQ148" i="59" s="1"/>
  <c r="AM133" i="11" a="1"/>
  <c r="AM133" i="11" s="1"/>
  <c r="AD257" i="50" l="1"/>
  <c r="AG257" i="50" s="1"/>
  <c r="Q258" i="50"/>
  <c r="P258" i="50" s="1"/>
  <c r="T249" i="32"/>
  <c r="O249" i="32"/>
  <c r="T248" i="32"/>
  <c r="O248" i="32"/>
  <c r="AP255" i="50"/>
  <c r="C247" i="32"/>
  <c r="Z247" i="32"/>
  <c r="C257" i="50"/>
  <c r="AJ257" i="50"/>
  <c r="S258" i="50"/>
  <c r="AJ247" i="32"/>
  <c r="W257" i="50"/>
  <c r="W247" i="32"/>
  <c r="X247" i="32" s="1"/>
  <c r="X256" i="50"/>
  <c r="V257" i="50"/>
  <c r="AH256" i="50"/>
  <c r="AI256" i="50" s="1"/>
  <c r="AK249" i="32"/>
  <c r="AK248" i="32"/>
  <c r="AG247" i="32"/>
  <c r="AH247" i="32" s="1"/>
  <c r="AM258" i="50"/>
  <c r="AL246" i="32"/>
  <c r="AI245" i="32"/>
  <c r="AN245" i="32" s="1"/>
  <c r="AL256" i="50"/>
  <c r="V247" i="32"/>
  <c r="A249" i="32"/>
  <c r="B249" i="32"/>
  <c r="R249" i="32" s="1"/>
  <c r="A248" i="32"/>
  <c r="B248" i="32"/>
  <c r="R248" i="32" s="1"/>
  <c r="K248" i="32"/>
  <c r="M248" i="32"/>
  <c r="F248" i="32"/>
  <c r="U248" i="32" s="1"/>
  <c r="N248" i="32"/>
  <c r="H248" i="32"/>
  <c r="I248" i="32"/>
  <c r="J248" i="32"/>
  <c r="L248" i="32"/>
  <c r="G248" i="32"/>
  <c r="I249" i="32"/>
  <c r="K249" i="32"/>
  <c r="L249" i="32"/>
  <c r="J249" i="32"/>
  <c r="M249" i="32"/>
  <c r="N249" i="32"/>
  <c r="F249" i="32"/>
  <c r="U249" i="32" s="1"/>
  <c r="G249" i="32"/>
  <c r="H249" i="32"/>
  <c r="AL249" i="11" a="1"/>
  <c r="AL249" i="11" s="1"/>
  <c r="AQ149" i="59" a="1"/>
  <c r="AQ149" i="59" s="1"/>
  <c r="AM134" i="11" a="1"/>
  <c r="AM134" i="11" s="1"/>
  <c r="AD258" i="50" l="1"/>
  <c r="AG258" i="50" s="1"/>
  <c r="Q249" i="32"/>
  <c r="P249" i="32" s="1"/>
  <c r="Q248" i="32"/>
  <c r="P248" i="32" s="1"/>
  <c r="Z9" i="22"/>
  <c r="Z125" i="22"/>
  <c r="AB125" i="22" s="1"/>
  <c r="Z62" i="22"/>
  <c r="Z28" i="22"/>
  <c r="Z140" i="22"/>
  <c r="Z11" i="22"/>
  <c r="Z37" i="22"/>
  <c r="Z109" i="22"/>
  <c r="AB109" i="22" s="1"/>
  <c r="Z74" i="22"/>
  <c r="Z70" i="22"/>
  <c r="Z96" i="22"/>
  <c r="Z121" i="22"/>
  <c r="AB121" i="22" s="1"/>
  <c r="Z46" i="22"/>
  <c r="Z79" i="22"/>
  <c r="Z106" i="22"/>
  <c r="AB106" i="22" s="1"/>
  <c r="Z110" i="22"/>
  <c r="AB110" i="22" s="1"/>
  <c r="Z135" i="22"/>
  <c r="Z112" i="22"/>
  <c r="AB112" i="22" s="1"/>
  <c r="Z131" i="22"/>
  <c r="AB131" i="22" s="1"/>
  <c r="Z47" i="22"/>
  <c r="Z25" i="22"/>
  <c r="Z8" i="22"/>
  <c r="Z126" i="22"/>
  <c r="AB126" i="22" s="1"/>
  <c r="Z26" i="22"/>
  <c r="Z76" i="22"/>
  <c r="Z111" i="22"/>
  <c r="AB111" i="22" s="1"/>
  <c r="Z27" i="22"/>
  <c r="Z16" i="22"/>
  <c r="Z102" i="22"/>
  <c r="Z66" i="22"/>
  <c r="Z107" i="22"/>
  <c r="AB107" i="22" s="1"/>
  <c r="Z85" i="22"/>
  <c r="Z122" i="22"/>
  <c r="AB122" i="22" s="1"/>
  <c r="Z57" i="22"/>
  <c r="Z20" i="22"/>
  <c r="Z128" i="22"/>
  <c r="AB128" i="22" s="1"/>
  <c r="Z130" i="22"/>
  <c r="Z60" i="22"/>
  <c r="Z78" i="22"/>
  <c r="Z136" i="22"/>
  <c r="Z89" i="22"/>
  <c r="Z67" i="22"/>
  <c r="Z52" i="22"/>
  <c r="Z72" i="22"/>
  <c r="Z44" i="22"/>
  <c r="Z5" i="22"/>
  <c r="Z105" i="22"/>
  <c r="AB105" i="22" s="1"/>
  <c r="Z91" i="22"/>
  <c r="Z133" i="22"/>
  <c r="AB133" i="22" s="1"/>
  <c r="Z81" i="22"/>
  <c r="Z32" i="22"/>
  <c r="Z87" i="22"/>
  <c r="Z22" i="22"/>
  <c r="Z43" i="22"/>
  <c r="Z21" i="22"/>
  <c r="Z98" i="22"/>
  <c r="Z63" i="22"/>
  <c r="Z64" i="22"/>
  <c r="Z75" i="22"/>
  <c r="Z101" i="22"/>
  <c r="Z14" i="22"/>
  <c r="Z71" i="22"/>
  <c r="Z19" i="22"/>
  <c r="Z54" i="22"/>
  <c r="Z94" i="22"/>
  <c r="Z73" i="22"/>
  <c r="Z118" i="22"/>
  <c r="AB118" i="22" s="1"/>
  <c r="Z120" i="22"/>
  <c r="AB120" i="22" s="1"/>
  <c r="Z103" i="22"/>
  <c r="AB103" i="22" s="1"/>
  <c r="Z40" i="22"/>
  <c r="Z17" i="22"/>
  <c r="Z30" i="22"/>
  <c r="Z23" i="22"/>
  <c r="Z113" i="22"/>
  <c r="AB113" i="22" s="1"/>
  <c r="Z86" i="22"/>
  <c r="Z61" i="22"/>
  <c r="Z58" i="22"/>
  <c r="Z77" i="22"/>
  <c r="Z7" i="22"/>
  <c r="Z68" i="22"/>
  <c r="AB68" i="22" s="1"/>
  <c r="Z138" i="22"/>
  <c r="Z134" i="22"/>
  <c r="AB134" i="22" s="1"/>
  <c r="Z53" i="22"/>
  <c r="Z39" i="22"/>
  <c r="Z117" i="22"/>
  <c r="AB117" i="22" s="1"/>
  <c r="Z15" i="22"/>
  <c r="Z49" i="22"/>
  <c r="Z80" i="22"/>
  <c r="AB80" i="22" s="1"/>
  <c r="AD80" i="22" s="1"/>
  <c r="BD134" i="22" s="1"/>
  <c r="E138" i="72" s="1"/>
  <c r="Z59" i="22"/>
  <c r="Z82" i="22"/>
  <c r="Z129" i="22"/>
  <c r="AB129" i="22" s="1"/>
  <c r="Z24" i="22"/>
  <c r="Z100" i="22"/>
  <c r="Z69" i="22"/>
  <c r="Z41" i="22"/>
  <c r="Z36" i="22"/>
  <c r="Z56" i="22"/>
  <c r="Z119" i="22"/>
  <c r="AB119" i="22" s="1"/>
  <c r="Z84" i="22"/>
  <c r="Z48" i="22"/>
  <c r="Z97" i="22"/>
  <c r="Z95" i="22"/>
  <c r="Z38" i="22"/>
  <c r="AB38" i="22" s="1"/>
  <c r="AD38" i="22" s="1"/>
  <c r="Z114" i="22"/>
  <c r="AB114" i="22" s="1"/>
  <c r="Z50" i="22"/>
  <c r="Z33" i="22"/>
  <c r="Z124" i="22"/>
  <c r="AB124" i="22" s="1"/>
  <c r="Z108" i="22"/>
  <c r="AB108" i="22" s="1"/>
  <c r="Z90" i="22"/>
  <c r="Z34" i="22"/>
  <c r="Z104" i="22"/>
  <c r="AB104" i="22" s="1"/>
  <c r="Z31" i="22"/>
  <c r="Z123" i="22"/>
  <c r="AB123" i="22" s="1"/>
  <c r="Z6" i="22"/>
  <c r="Z137" i="22"/>
  <c r="Z29" i="22"/>
  <c r="Z93" i="22"/>
  <c r="Z18" i="22"/>
  <c r="Z92" i="22"/>
  <c r="Z51" i="22"/>
  <c r="Z10" i="22"/>
  <c r="Z55" i="22"/>
  <c r="AB55" i="22" s="1"/>
  <c r="AD55" i="22" s="1"/>
  <c r="BD151" i="22" s="1"/>
  <c r="E136" i="72" s="1"/>
  <c r="Z127" i="22"/>
  <c r="AB127" i="22" s="1"/>
  <c r="Z13" i="22"/>
  <c r="Z83" i="22"/>
  <c r="Z116" i="22"/>
  <c r="AB116" i="22" s="1"/>
  <c r="Z115" i="22"/>
  <c r="AB115" i="22" s="1"/>
  <c r="Z139" i="22"/>
  <c r="Z65" i="22"/>
  <c r="Z45" i="22"/>
  <c r="Z12" i="22"/>
  <c r="Z35" i="22"/>
  <c r="Z132" i="22"/>
  <c r="AB132" i="22" s="1"/>
  <c r="Z42" i="22"/>
  <c r="Z88" i="22"/>
  <c r="Z99" i="22"/>
  <c r="Z258" i="50"/>
  <c r="Z4" i="22"/>
  <c r="AB4" i="22" s="1"/>
  <c r="AD4" i="22" s="1"/>
  <c r="AP256" i="50"/>
  <c r="AM249" i="32"/>
  <c r="AM248" i="32"/>
  <c r="C258" i="50"/>
  <c r="AJ258" i="50"/>
  <c r="S248" i="32"/>
  <c r="Z248" i="32" s="1"/>
  <c r="S249" i="32"/>
  <c r="Z249" i="32" s="1"/>
  <c r="W258" i="50"/>
  <c r="Y134" i="22"/>
  <c r="AA134" i="22" s="1"/>
  <c r="Y80" i="22"/>
  <c r="AA80" i="22" s="1"/>
  <c r="Y55" i="22"/>
  <c r="AA55" i="22" s="1"/>
  <c r="Y38" i="22"/>
  <c r="AA38" i="22" s="1"/>
  <c r="X257" i="50"/>
  <c r="V258" i="50"/>
  <c r="AL247" i="32"/>
  <c r="AI246" i="32"/>
  <c r="AN246" i="32" s="1"/>
  <c r="AL257" i="50"/>
  <c r="AB158" i="22"/>
  <c r="AB152" i="22"/>
  <c r="AA155" i="22"/>
  <c r="AB162" i="22"/>
  <c r="AB153" i="22"/>
  <c r="AB161" i="22"/>
  <c r="AA151" i="22"/>
  <c r="AA156" i="22"/>
  <c r="AA159" i="22"/>
  <c r="AB151" i="22"/>
  <c r="AA162" i="22"/>
  <c r="AB159" i="22"/>
  <c r="AB157" i="22"/>
  <c r="AA161" i="22"/>
  <c r="AC150" i="22"/>
  <c r="AE150" i="22" s="1"/>
  <c r="AA157" i="22"/>
  <c r="AB155" i="22"/>
  <c r="AA154" i="22"/>
  <c r="AB160" i="22"/>
  <c r="AA158" i="22"/>
  <c r="AB156" i="22"/>
  <c r="AB150" i="22"/>
  <c r="AA153" i="22"/>
  <c r="AA152" i="22"/>
  <c r="AA160" i="22"/>
  <c r="AB154" i="22"/>
  <c r="E250" i="32"/>
  <c r="Y123" i="22"/>
  <c r="AA123" i="22" s="1"/>
  <c r="Y116" i="22"/>
  <c r="AA116" i="22" s="1"/>
  <c r="Y124" i="22"/>
  <c r="AA124" i="22" s="1"/>
  <c r="Y115" i="22"/>
  <c r="AA115" i="22" s="1"/>
  <c r="BC68" i="22" s="1"/>
  <c r="Y119" i="22"/>
  <c r="AA119" i="22" s="1"/>
  <c r="BC69" i="22" s="1"/>
  <c r="Y140" i="22"/>
  <c r="Y129" i="22"/>
  <c r="AA129" i="22" s="1"/>
  <c r="Y139" i="22"/>
  <c r="Y133" i="22"/>
  <c r="AA133" i="22" s="1"/>
  <c r="BC103" i="22" s="1"/>
  <c r="Y138" i="22"/>
  <c r="Y136" i="22"/>
  <c r="Y135" i="22"/>
  <c r="Y137" i="22"/>
  <c r="Y132" i="22"/>
  <c r="AA132" i="22" s="1"/>
  <c r="Y131" i="22"/>
  <c r="AA131" i="22" s="1"/>
  <c r="AL250" i="11" a="1"/>
  <c r="AL250" i="11" s="1"/>
  <c r="E251" i="32" s="1"/>
  <c r="Y50" i="22"/>
  <c r="Y122" i="22"/>
  <c r="AA122" i="22" s="1"/>
  <c r="Y113" i="22"/>
  <c r="AA113" i="22" s="1"/>
  <c r="BC66" i="22" s="1"/>
  <c r="Y108" i="22"/>
  <c r="AA108" i="22" s="1"/>
  <c r="BC64" i="22" s="1"/>
  <c r="Y107" i="22"/>
  <c r="AA107" i="22" s="1"/>
  <c r="Y126" i="22"/>
  <c r="AA126" i="22" s="1"/>
  <c r="Y103" i="22"/>
  <c r="AA103" i="22" s="1"/>
  <c r="Y117" i="22"/>
  <c r="AA117" i="22" s="1"/>
  <c r="BC73" i="22" s="1"/>
  <c r="Y118" i="22"/>
  <c r="AA118" i="22" s="1"/>
  <c r="BC24" i="22" s="1"/>
  <c r="Y106" i="22"/>
  <c r="AA106" i="22" s="1"/>
  <c r="BC63" i="22" s="1"/>
  <c r="Y121" i="22"/>
  <c r="AA121" i="22" s="1"/>
  <c r="BC71" i="22" s="1"/>
  <c r="Y112" i="22"/>
  <c r="AA112" i="22" s="1"/>
  <c r="Y125" i="22"/>
  <c r="AA125" i="22" s="1"/>
  <c r="Y110" i="22"/>
  <c r="AA110" i="22" s="1"/>
  <c r="BC65" i="22" s="1"/>
  <c r="Y111" i="22"/>
  <c r="AA111" i="22" s="1"/>
  <c r="Y130" i="22"/>
  <c r="Y104" i="22"/>
  <c r="AA104" i="22" s="1"/>
  <c r="BC62" i="22" s="1"/>
  <c r="Y127" i="22"/>
  <c r="AA127" i="22" s="1"/>
  <c r="Y114" i="22"/>
  <c r="AA114" i="22" s="1"/>
  <c r="BC67" i="22" s="1"/>
  <c r="Y128" i="22"/>
  <c r="AA128" i="22" s="1"/>
  <c r="Y120" i="22"/>
  <c r="AA120" i="22" s="1"/>
  <c r="BC70" i="22" s="1"/>
  <c r="Y109" i="22"/>
  <c r="AA109" i="22" s="1"/>
  <c r="Y105" i="22"/>
  <c r="AA105" i="22" s="1"/>
  <c r="Y51" i="22"/>
  <c r="Y27" i="22"/>
  <c r="Y60" i="22"/>
  <c r="Y31" i="22"/>
  <c r="Y83" i="22"/>
  <c r="Y34" i="22"/>
  <c r="Y4" i="22"/>
  <c r="Y45" i="22"/>
  <c r="Y14" i="22"/>
  <c r="Y17" i="22"/>
  <c r="Y64" i="22"/>
  <c r="Y33" i="22"/>
  <c r="Y19" i="22"/>
  <c r="Y56" i="22"/>
  <c r="Y21" i="22"/>
  <c r="Y73" i="22"/>
  <c r="Y91" i="22"/>
  <c r="Y8" i="22"/>
  <c r="Y13" i="22"/>
  <c r="Y9" i="22"/>
  <c r="Y95" i="22"/>
  <c r="Y87" i="22"/>
  <c r="Y94" i="22"/>
  <c r="Y28" i="22"/>
  <c r="Y54" i="22"/>
  <c r="Y101" i="22"/>
  <c r="Y22" i="22"/>
  <c r="Y98" i="22"/>
  <c r="Y70" i="22"/>
  <c r="Y23" i="22"/>
  <c r="Y78" i="22"/>
  <c r="Y71" i="22"/>
  <c r="Y76" i="22"/>
  <c r="Y99" i="22"/>
  <c r="Y68" i="22"/>
  <c r="AA68" i="22" s="1"/>
  <c r="Y77" i="22"/>
  <c r="Y47" i="22"/>
  <c r="Y79" i="22"/>
  <c r="Y5" i="22"/>
  <c r="Y32" i="22"/>
  <c r="Y53" i="22"/>
  <c r="Y62" i="22"/>
  <c r="Y69" i="22"/>
  <c r="Y90" i="22"/>
  <c r="Y61" i="22"/>
  <c r="Y66" i="22"/>
  <c r="Y30" i="22"/>
  <c r="Y6" i="22"/>
  <c r="Y86" i="22"/>
  <c r="Y82" i="22"/>
  <c r="Y35" i="22"/>
  <c r="Y67" i="22"/>
  <c r="Y72" i="22"/>
  <c r="Y74" i="22"/>
  <c r="Y25" i="22"/>
  <c r="Y102" i="22"/>
  <c r="Y43" i="22"/>
  <c r="Y10" i="22"/>
  <c r="Y88" i="22"/>
  <c r="Y89" i="22"/>
  <c r="Y40" i="22"/>
  <c r="Y44" i="22"/>
  <c r="Y16" i="22"/>
  <c r="Y57" i="22"/>
  <c r="Y12" i="22"/>
  <c r="Y39" i="22"/>
  <c r="Y96" i="22"/>
  <c r="Y37" i="22"/>
  <c r="Y41" i="22"/>
  <c r="Y59" i="22"/>
  <c r="Y84" i="22"/>
  <c r="Y85" i="22"/>
  <c r="Y48" i="22"/>
  <c r="Y75" i="22"/>
  <c r="Y58" i="22"/>
  <c r="Y11" i="22"/>
  <c r="Y63" i="22"/>
  <c r="Y65" i="22"/>
  <c r="Y100" i="22"/>
  <c r="Y20" i="22"/>
  <c r="Y7" i="22"/>
  <c r="Y18" i="22"/>
  <c r="Y42" i="22"/>
  <c r="Y52" i="22"/>
  <c r="Y93" i="22"/>
  <c r="Y49" i="22"/>
  <c r="Y26" i="22"/>
  <c r="Y46" i="22"/>
  <c r="Y97" i="22"/>
  <c r="Y92" i="22"/>
  <c r="Y29" i="22"/>
  <c r="Y81" i="22"/>
  <c r="Y36" i="22"/>
  <c r="Y24" i="22"/>
  <c r="AQ150" i="59" a="1"/>
  <c r="AQ150" i="59" s="1"/>
  <c r="AM135" i="11" a="1"/>
  <c r="AM135" i="11" s="1"/>
  <c r="BD104" i="22" l="1"/>
  <c r="E100" i="72" s="1"/>
  <c r="AD248" i="32"/>
  <c r="AG248" i="32" s="1"/>
  <c r="AH248" i="32" s="1"/>
  <c r="AD249" i="32"/>
  <c r="AG249" i="32" s="1"/>
  <c r="AH249" i="32" s="1"/>
  <c r="AC134" i="22"/>
  <c r="AO35" i="22" s="1"/>
  <c r="AM35" i="22"/>
  <c r="E72" i="36" s="1"/>
  <c r="G72" i="36" s="1"/>
  <c r="AD134" i="22"/>
  <c r="AP35" i="22" s="1"/>
  <c r="AN35" i="22"/>
  <c r="F72" i="36" s="1"/>
  <c r="H72" i="36" s="1"/>
  <c r="T250" i="32"/>
  <c r="O250" i="32"/>
  <c r="T251" i="32"/>
  <c r="O251" i="32"/>
  <c r="C248" i="32"/>
  <c r="W248" i="32"/>
  <c r="X248" i="32" s="1"/>
  <c r="AJ249" i="32"/>
  <c r="C249" i="32"/>
  <c r="AJ248" i="32"/>
  <c r="AC55" i="22"/>
  <c r="BC151" i="22"/>
  <c r="AC80" i="22"/>
  <c r="BC134" i="22"/>
  <c r="AC38" i="22"/>
  <c r="BC104" i="22"/>
  <c r="W249" i="32"/>
  <c r="X249" i="32" s="1"/>
  <c r="X258" i="50"/>
  <c r="V248" i="32"/>
  <c r="AH258" i="50"/>
  <c r="AI258" i="50" s="1"/>
  <c r="AH257" i="50"/>
  <c r="AD2" i="50" s="1"/>
  <c r="AK251" i="32"/>
  <c r="AK250" i="32"/>
  <c r="AI247" i="32"/>
  <c r="AN247" i="32" s="1"/>
  <c r="AL258" i="50"/>
  <c r="AC152" i="22"/>
  <c r="AE152" i="22" s="1"/>
  <c r="E122" i="36"/>
  <c r="AC157" i="22"/>
  <c r="AE157" i="22" s="1"/>
  <c r="E127" i="36"/>
  <c r="AC156" i="22"/>
  <c r="AE156" i="22" s="1"/>
  <c r="E126" i="36"/>
  <c r="AC153" i="22"/>
  <c r="AE153" i="22" s="1"/>
  <c r="E123" i="36"/>
  <c r="AC151" i="22"/>
  <c r="AE151" i="22" s="1"/>
  <c r="E121" i="36"/>
  <c r="AD150" i="22"/>
  <c r="F120" i="36"/>
  <c r="AC161" i="22"/>
  <c r="AE161" i="22" s="1"/>
  <c r="E131" i="36"/>
  <c r="AD161" i="22"/>
  <c r="F131" i="36"/>
  <c r="AD156" i="22"/>
  <c r="D34" i="104" s="1"/>
  <c r="F126" i="36"/>
  <c r="AD157" i="22"/>
  <c r="D35" i="104" s="1"/>
  <c r="F127" i="36"/>
  <c r="AD153" i="22"/>
  <c r="D24" i="104" s="1"/>
  <c r="F123" i="36"/>
  <c r="AC158" i="22"/>
  <c r="AE158" i="22" s="1"/>
  <c r="E128" i="36"/>
  <c r="AD159" i="22"/>
  <c r="F129" i="36"/>
  <c r="AD162" i="22"/>
  <c r="F132" i="36"/>
  <c r="AD160" i="22"/>
  <c r="F130" i="36"/>
  <c r="AC162" i="22"/>
  <c r="AE162" i="22" s="1"/>
  <c r="E132" i="36"/>
  <c r="AC155" i="22"/>
  <c r="AE155" i="22" s="1"/>
  <c r="E125" i="36"/>
  <c r="AD154" i="22"/>
  <c r="D32" i="104" s="1"/>
  <c r="F124" i="36"/>
  <c r="AC154" i="22"/>
  <c r="AE154" i="22" s="1"/>
  <c r="E124" i="36"/>
  <c r="AD151" i="22"/>
  <c r="F121" i="36"/>
  <c r="AD152" i="22"/>
  <c r="F122" i="36"/>
  <c r="AC160" i="22"/>
  <c r="AE160" i="22" s="1"/>
  <c r="E130" i="36"/>
  <c r="AD155" i="22"/>
  <c r="D33" i="104" s="1"/>
  <c r="F125" i="36"/>
  <c r="AC159" i="22"/>
  <c r="AE159" i="22" s="1"/>
  <c r="E129" i="36"/>
  <c r="AD158" i="22"/>
  <c r="F128" i="36"/>
  <c r="V249" i="32"/>
  <c r="A250" i="32"/>
  <c r="B250" i="32"/>
  <c r="R250" i="32" s="1"/>
  <c r="A251" i="32"/>
  <c r="B251" i="32"/>
  <c r="R251" i="32" s="1"/>
  <c r="G250" i="32"/>
  <c r="I250" i="32"/>
  <c r="J250" i="32"/>
  <c r="M250" i="32"/>
  <c r="N250" i="32"/>
  <c r="L250" i="32"/>
  <c r="F250" i="32"/>
  <c r="U250" i="32" s="1"/>
  <c r="H250" i="32"/>
  <c r="K250" i="32"/>
  <c r="M251" i="32"/>
  <c r="G251" i="32"/>
  <c r="H251" i="32"/>
  <c r="F251" i="32"/>
  <c r="U251" i="32" s="1"/>
  <c r="I251" i="32"/>
  <c r="L251" i="32"/>
  <c r="J251" i="32"/>
  <c r="K251" i="32"/>
  <c r="N251" i="32"/>
  <c r="AB84" i="22"/>
  <c r="AB22" i="22"/>
  <c r="AB16" i="22"/>
  <c r="AB96" i="22"/>
  <c r="AB76" i="22"/>
  <c r="AB57" i="22"/>
  <c r="AB138" i="22"/>
  <c r="AB19" i="22"/>
  <c r="AB49" i="22"/>
  <c r="AB14" i="22"/>
  <c r="AB32" i="22"/>
  <c r="AB94" i="22"/>
  <c r="AB87" i="22"/>
  <c r="AB27" i="22"/>
  <c r="AB78" i="22"/>
  <c r="AB28" i="22"/>
  <c r="AB58" i="22"/>
  <c r="AB62" i="22"/>
  <c r="AB50" i="22"/>
  <c r="AB99" i="22"/>
  <c r="AB7" i="22"/>
  <c r="AB65" i="22"/>
  <c r="AB13" i="22"/>
  <c r="AB86" i="22"/>
  <c r="AB51" i="22"/>
  <c r="AB48" i="22"/>
  <c r="AB39" i="22"/>
  <c r="AB9" i="22"/>
  <c r="AB74" i="22"/>
  <c r="AB85" i="22"/>
  <c r="AB137" i="22"/>
  <c r="AB136" i="22"/>
  <c r="AB26" i="22"/>
  <c r="AB82" i="22"/>
  <c r="AB11" i="22"/>
  <c r="AB81" i="22"/>
  <c r="AB92" i="22"/>
  <c r="AB34" i="22"/>
  <c r="AB5" i="22"/>
  <c r="AB37" i="22"/>
  <c r="AB42" i="22"/>
  <c r="AB8" i="22"/>
  <c r="AB75" i="22"/>
  <c r="AB36" i="22"/>
  <c r="AB90" i="22"/>
  <c r="AB33" i="22"/>
  <c r="AB100" i="22"/>
  <c r="AB140" i="22"/>
  <c r="AB41" i="22"/>
  <c r="AB12" i="22"/>
  <c r="AB97" i="22"/>
  <c r="AB61" i="22"/>
  <c r="AB52" i="22"/>
  <c r="AB72" i="22"/>
  <c r="AB18" i="22"/>
  <c r="AB23" i="22"/>
  <c r="AB31" i="22"/>
  <c r="AB45" i="22"/>
  <c r="AB77" i="22"/>
  <c r="AB89" i="22"/>
  <c r="AB70" i="22"/>
  <c r="AB25" i="22"/>
  <c r="AB17" i="22"/>
  <c r="AB83" i="22"/>
  <c r="AB46" i="22"/>
  <c r="AB10" i="22"/>
  <c r="AB79" i="22"/>
  <c r="AB64" i="22"/>
  <c r="AB95" i="22"/>
  <c r="AB21" i="22"/>
  <c r="AB98" i="22"/>
  <c r="AB67" i="22"/>
  <c r="AB91" i="22"/>
  <c r="AB20" i="22"/>
  <c r="AB93" i="22"/>
  <c r="AB73" i="22"/>
  <c r="AB66" i="22"/>
  <c r="AB54" i="22"/>
  <c r="AB6" i="22"/>
  <c r="AB60" i="22"/>
  <c r="AB63" i="22"/>
  <c r="AB35" i="22"/>
  <c r="AB69" i="22"/>
  <c r="AB53" i="22"/>
  <c r="AB43" i="22"/>
  <c r="AB44" i="22"/>
  <c r="AB30" i="22"/>
  <c r="AB40" i="22"/>
  <c r="AB71" i="22"/>
  <c r="AB59" i="22"/>
  <c r="AB101" i="22"/>
  <c r="AB47" i="22"/>
  <c r="AB56" i="22"/>
  <c r="AB88" i="22"/>
  <c r="AB102" i="22"/>
  <c r="AB29" i="22"/>
  <c r="AB130" i="22"/>
  <c r="AB135" i="22"/>
  <c r="AB139" i="22"/>
  <c r="AA46" i="22"/>
  <c r="BC43" i="22" s="1"/>
  <c r="AA88" i="22"/>
  <c r="BC51" i="22" s="1"/>
  <c r="AA6" i="22"/>
  <c r="BC82" i="22" s="1"/>
  <c r="AA69" i="22"/>
  <c r="AA71" i="22"/>
  <c r="AA8" i="22"/>
  <c r="AA51" i="22"/>
  <c r="AA138" i="22"/>
  <c r="AC138" i="22" s="1"/>
  <c r="AA93" i="22"/>
  <c r="BC56" i="22" s="1"/>
  <c r="AA75" i="22"/>
  <c r="BC132" i="22" s="1"/>
  <c r="AA10" i="22"/>
  <c r="BC114" i="22" s="1"/>
  <c r="AA74" i="22"/>
  <c r="BC131" i="22" s="1"/>
  <c r="AA67" i="22"/>
  <c r="BC97" i="22" s="1"/>
  <c r="AA61" i="22"/>
  <c r="BC156" i="22" s="1"/>
  <c r="AA62" i="22"/>
  <c r="BC124" i="22" s="1"/>
  <c r="AA47" i="22"/>
  <c r="BC44" i="22" s="1"/>
  <c r="AA78" i="22"/>
  <c r="BC159" i="22" s="1"/>
  <c r="AA23" i="22"/>
  <c r="BC33" i="22" s="1"/>
  <c r="AA22" i="22"/>
  <c r="BC85" i="22" s="1"/>
  <c r="AA28" i="22"/>
  <c r="BC88" i="22" s="1"/>
  <c r="AA94" i="22"/>
  <c r="BC138" i="22" s="1"/>
  <c r="AA95" i="22"/>
  <c r="BC98" i="22" s="1"/>
  <c r="AA56" i="22"/>
  <c r="BC48" i="22" s="1"/>
  <c r="AA17" i="22"/>
  <c r="BC32" i="22" s="1"/>
  <c r="AA45" i="22"/>
  <c r="BC42" i="22" s="1"/>
  <c r="AA60" i="22"/>
  <c r="BC125" i="22" s="1"/>
  <c r="AA50" i="22"/>
  <c r="BC45" i="22" s="1"/>
  <c r="AA137" i="22"/>
  <c r="AC137" i="22" s="1"/>
  <c r="AA139" i="22"/>
  <c r="AC139" i="22" s="1"/>
  <c r="AA65" i="22"/>
  <c r="BC96" i="22" s="1"/>
  <c r="AA79" i="22"/>
  <c r="BC136" i="22" s="1"/>
  <c r="AA87" i="22"/>
  <c r="AA36" i="22"/>
  <c r="BC36" i="22" s="1"/>
  <c r="AA85" i="22"/>
  <c r="AA37" i="22"/>
  <c r="BC149" i="22" s="1"/>
  <c r="AA96" i="22"/>
  <c r="BC99" i="22" s="1"/>
  <c r="AA40" i="22"/>
  <c r="AA82" i="22"/>
  <c r="AA30" i="22"/>
  <c r="BC90" i="22" s="1"/>
  <c r="AA77" i="22"/>
  <c r="BC135" i="22" s="1"/>
  <c r="AA76" i="22"/>
  <c r="AA70" i="22"/>
  <c r="BC128" i="22" s="1"/>
  <c r="AA54" i="22"/>
  <c r="BC123" i="22" s="1"/>
  <c r="AA9" i="22"/>
  <c r="BC118" i="22" s="1"/>
  <c r="AA19" i="22"/>
  <c r="AA14" i="22"/>
  <c r="BC30" i="22" s="1"/>
  <c r="AA83" i="22"/>
  <c r="AA130" i="22"/>
  <c r="BC72" i="22" s="1"/>
  <c r="AA136" i="22"/>
  <c r="AC136" i="22" s="1"/>
  <c r="AA24" i="22"/>
  <c r="BC86" i="22" s="1"/>
  <c r="AA29" i="22"/>
  <c r="BC89" i="22" s="1"/>
  <c r="AA49" i="22"/>
  <c r="BC94" i="22" s="1"/>
  <c r="AA100" i="22"/>
  <c r="BC59" i="22" s="1"/>
  <c r="AA84" i="22"/>
  <c r="AA57" i="22"/>
  <c r="AA25" i="22"/>
  <c r="BC34" i="22" s="1"/>
  <c r="AA32" i="22"/>
  <c r="BC35" i="22" s="1"/>
  <c r="AA99" i="22"/>
  <c r="BC58" i="22" s="1"/>
  <c r="AA91" i="22"/>
  <c r="BC53" i="22" s="1"/>
  <c r="AA73" i="22"/>
  <c r="BC50" i="22" s="1"/>
  <c r="AA64" i="22"/>
  <c r="BC157" i="22" s="1"/>
  <c r="AA34" i="22"/>
  <c r="AA31" i="22"/>
  <c r="BC91" i="22" s="1"/>
  <c r="AA135" i="22"/>
  <c r="AA92" i="22"/>
  <c r="BC54" i="22" s="1"/>
  <c r="AA42" i="22"/>
  <c r="BC39" i="22" s="1"/>
  <c r="AA63" i="22"/>
  <c r="AA59" i="22"/>
  <c r="BC95" i="22" s="1"/>
  <c r="AA16" i="22"/>
  <c r="BC31" i="22" s="1"/>
  <c r="AA97" i="22"/>
  <c r="BC100" i="22" s="1"/>
  <c r="AA20" i="22"/>
  <c r="BC119" i="22" s="1"/>
  <c r="AA11" i="22"/>
  <c r="BC115" i="22" s="1"/>
  <c r="AA48" i="22"/>
  <c r="BC93" i="22" s="1"/>
  <c r="AA44" i="22"/>
  <c r="BC41" i="22" s="1"/>
  <c r="AA43" i="22"/>
  <c r="BC40" i="22" s="1"/>
  <c r="AA72" i="22"/>
  <c r="BC130" i="22" s="1"/>
  <c r="AA35" i="22"/>
  <c r="BC121" i="22" s="1"/>
  <c r="AA81" i="22"/>
  <c r="BC137" i="22" s="1"/>
  <c r="AA26" i="22"/>
  <c r="AA52" i="22"/>
  <c r="BC46" i="22" s="1"/>
  <c r="AA18" i="22"/>
  <c r="BC5" i="22" s="1"/>
  <c r="AA7" i="22"/>
  <c r="BC83" i="22" s="1"/>
  <c r="AA58" i="22"/>
  <c r="BC49" i="22" s="1"/>
  <c r="AA41" i="22"/>
  <c r="BC122" i="22" s="1"/>
  <c r="AA39" i="22"/>
  <c r="BC37" i="22" s="1"/>
  <c r="AA12" i="22"/>
  <c r="BC116" i="22" s="1"/>
  <c r="AA89" i="22"/>
  <c r="AA102" i="22"/>
  <c r="BC61" i="22" s="1"/>
  <c r="AA86" i="22"/>
  <c r="AA66" i="22"/>
  <c r="BC158" i="22" s="1"/>
  <c r="AA90" i="22"/>
  <c r="BC52" i="22" s="1"/>
  <c r="AA53" i="22"/>
  <c r="BC47" i="22" s="1"/>
  <c r="AA5" i="22"/>
  <c r="BC81" i="22" s="1"/>
  <c r="AA98" i="22"/>
  <c r="BC57" i="22" s="1"/>
  <c r="AA101" i="22"/>
  <c r="BC60" i="22" s="1"/>
  <c r="AA13" i="22"/>
  <c r="BC117" i="22" s="1"/>
  <c r="AA21" i="22"/>
  <c r="BC84" i="22" s="1"/>
  <c r="AA33" i="22"/>
  <c r="BC92" i="22" s="1"/>
  <c r="AA27" i="22"/>
  <c r="BC87" i="22" s="1"/>
  <c r="AA140" i="22"/>
  <c r="AC140" i="22" s="1"/>
  <c r="AA4" i="22"/>
  <c r="BC79" i="22" s="1"/>
  <c r="AC131" i="22"/>
  <c r="BC147" i="22"/>
  <c r="AC122" i="22"/>
  <c r="BC140" i="22"/>
  <c r="AC124" i="22"/>
  <c r="BC142" i="22"/>
  <c r="AC128" i="22"/>
  <c r="BC146" i="22"/>
  <c r="AC116" i="22"/>
  <c r="BC139" i="22"/>
  <c r="AC126" i="22"/>
  <c r="BC144" i="22"/>
  <c r="AC123" i="22"/>
  <c r="BC141" i="22"/>
  <c r="AC127" i="22"/>
  <c r="BC145" i="22"/>
  <c r="AC125" i="22"/>
  <c r="BC143" i="22"/>
  <c r="AC132" i="22"/>
  <c r="BC148" i="22"/>
  <c r="AD122" i="22"/>
  <c r="BD140" i="22" s="1"/>
  <c r="AD125" i="22"/>
  <c r="BD143" i="22" s="1"/>
  <c r="AD131" i="22"/>
  <c r="BD147" i="22" s="1"/>
  <c r="AD116" i="22"/>
  <c r="BD139" i="22" s="1"/>
  <c r="AD128" i="22"/>
  <c r="BD146" i="22" s="1"/>
  <c r="AD126" i="22"/>
  <c r="BD144" i="22" s="1"/>
  <c r="AD127" i="22"/>
  <c r="BD145" i="22" s="1"/>
  <c r="AD132" i="22"/>
  <c r="BD148" i="22" s="1"/>
  <c r="AD124" i="22"/>
  <c r="BD142" i="22" s="1"/>
  <c r="AD123" i="22"/>
  <c r="BD141" i="22" s="1"/>
  <c r="AD112" i="22"/>
  <c r="BD101" i="22" s="1"/>
  <c r="AC112" i="22"/>
  <c r="BC101" i="22"/>
  <c r="AC133" i="22"/>
  <c r="AC129" i="22"/>
  <c r="BC102" i="22"/>
  <c r="AC120" i="22"/>
  <c r="AC104" i="22"/>
  <c r="AC108" i="22"/>
  <c r="AC114" i="22"/>
  <c r="AC110" i="22"/>
  <c r="AC113" i="22"/>
  <c r="AC119" i="22"/>
  <c r="AC115" i="22"/>
  <c r="AC121" i="22"/>
  <c r="AC106" i="22"/>
  <c r="AD119" i="22"/>
  <c r="BD69" i="22" s="1"/>
  <c r="AD108" i="22"/>
  <c r="BD64" i="22" s="1"/>
  <c r="AD104" i="22"/>
  <c r="BD62" i="22" s="1"/>
  <c r="AD106" i="22"/>
  <c r="BD63" i="22" s="1"/>
  <c r="AD120" i="22"/>
  <c r="BD70" i="22" s="1"/>
  <c r="AD115" i="22"/>
  <c r="BD68" i="22" s="1"/>
  <c r="AD113" i="22"/>
  <c r="BD66" i="22" s="1"/>
  <c r="AD114" i="22"/>
  <c r="BD67" i="22" s="1"/>
  <c r="AD121" i="22"/>
  <c r="BD71" i="22" s="1"/>
  <c r="AD110" i="22"/>
  <c r="BD65" i="22" s="1"/>
  <c r="AD111" i="22"/>
  <c r="AD109" i="22"/>
  <c r="AD118" i="22"/>
  <c r="AD107" i="22"/>
  <c r="AC118" i="22"/>
  <c r="BC23" i="22"/>
  <c r="AC105" i="22"/>
  <c r="AC111" i="22"/>
  <c r="BC22" i="22"/>
  <c r="AC107" i="22"/>
  <c r="BC20" i="22"/>
  <c r="AC109" i="22"/>
  <c r="BC21" i="22"/>
  <c r="AD129" i="22"/>
  <c r="BD102" i="22" s="1"/>
  <c r="AN32" i="22"/>
  <c r="AM32" i="22"/>
  <c r="AD117" i="22"/>
  <c r="BD73" i="22" s="1"/>
  <c r="E82" i="72" s="1"/>
  <c r="AD103" i="22"/>
  <c r="AC117" i="22"/>
  <c r="AC103" i="22"/>
  <c r="AL251" i="11" a="1"/>
  <c r="AL251" i="11" s="1"/>
  <c r="V259" i="50"/>
  <c r="V260" i="50" s="1"/>
  <c r="Y15" i="22"/>
  <c r="AQ151" i="59" a="1"/>
  <c r="AQ151" i="59" s="1"/>
  <c r="AM136" i="11" a="1"/>
  <c r="AM136" i="11" s="1"/>
  <c r="BC105" i="22" l="1"/>
  <c r="AN34" i="22"/>
  <c r="F73" i="36" s="1"/>
  <c r="H73" i="36" s="1"/>
  <c r="AM34" i="22"/>
  <c r="E73" i="36" s="1"/>
  <c r="G73" i="36" s="1"/>
  <c r="AF150" i="22"/>
  <c r="E14" i="104" s="1"/>
  <c r="H13" i="104" s="1"/>
  <c r="D14" i="104"/>
  <c r="Q251" i="32"/>
  <c r="P251" i="32" s="1"/>
  <c r="Q250" i="32"/>
  <c r="P250" i="32" s="1"/>
  <c r="AF158" i="22"/>
  <c r="E36" i="104" s="1"/>
  <c r="D36" i="104"/>
  <c r="AP258" i="50"/>
  <c r="AM251" i="32"/>
  <c r="AM250" i="32"/>
  <c r="S251" i="32"/>
  <c r="Z251" i="32" s="1"/>
  <c r="S250" i="32"/>
  <c r="Z250" i="32" s="1"/>
  <c r="AC135" i="22"/>
  <c r="BC80" i="22"/>
  <c r="AF155" i="22"/>
  <c r="E33" i="104" s="1"/>
  <c r="AF152" i="22"/>
  <c r="E23" i="104" s="1"/>
  <c r="D23" i="104"/>
  <c r="AF160" i="22"/>
  <c r="E45" i="104" s="1"/>
  <c r="D45" i="104"/>
  <c r="AF159" i="22"/>
  <c r="D44" i="104"/>
  <c r="AF153" i="22"/>
  <c r="E24" i="104" s="1"/>
  <c r="AF156" i="22"/>
  <c r="E34" i="104" s="1"/>
  <c r="AF151" i="22"/>
  <c r="E22" i="104" s="1"/>
  <c r="D22" i="104"/>
  <c r="AF154" i="22"/>
  <c r="E32" i="104" s="1"/>
  <c r="AF162" i="22"/>
  <c r="E47" i="104" s="1"/>
  <c r="D47" i="104"/>
  <c r="AF157" i="22"/>
  <c r="E35" i="104" s="1"/>
  <c r="AF161" i="22"/>
  <c r="E46" i="104" s="1"/>
  <c r="D46" i="104"/>
  <c r="E161" i="72"/>
  <c r="E152" i="72"/>
  <c r="E113" i="72"/>
  <c r="E158" i="72"/>
  <c r="E160" i="72"/>
  <c r="E157" i="72"/>
  <c r="E156" i="72"/>
  <c r="E114" i="72"/>
  <c r="E154" i="72"/>
  <c r="E155" i="72"/>
  <c r="E159" i="72"/>
  <c r="E153" i="72"/>
  <c r="AI257" i="50"/>
  <c r="AL249" i="32"/>
  <c r="AL248" i="32"/>
  <c r="BC150" i="22"/>
  <c r="BC12" i="22"/>
  <c r="AD139" i="22"/>
  <c r="AD135" i="22"/>
  <c r="AD140" i="22"/>
  <c r="AD136" i="22"/>
  <c r="AD137" i="22"/>
  <c r="AD138" i="22"/>
  <c r="BC19" i="22"/>
  <c r="BC10" i="22"/>
  <c r="BC9" i="22"/>
  <c r="BC6" i="22"/>
  <c r="BC14" i="22"/>
  <c r="E79" i="72"/>
  <c r="E72" i="72"/>
  <c r="E71" i="72"/>
  <c r="E74" i="72"/>
  <c r="E73" i="72"/>
  <c r="E76" i="72"/>
  <c r="E80" i="72"/>
  <c r="E78" i="72"/>
  <c r="E75" i="72"/>
  <c r="E77" i="72"/>
  <c r="BD23" i="22"/>
  <c r="BD24" i="22"/>
  <c r="BD21" i="22"/>
  <c r="BC15" i="22"/>
  <c r="BC17" i="22"/>
  <c r="BD22" i="22"/>
  <c r="BC16" i="22"/>
  <c r="BC13" i="22"/>
  <c r="BC7" i="22"/>
  <c r="BC18" i="22"/>
  <c r="BC8" i="22"/>
  <c r="BC11" i="22"/>
  <c r="BC127" i="22"/>
  <c r="BC126" i="22"/>
  <c r="G129" i="36"/>
  <c r="G149" i="36" s="1"/>
  <c r="E149" i="36"/>
  <c r="H121" i="36"/>
  <c r="H141" i="36" s="1"/>
  <c r="F141" i="36"/>
  <c r="G132" i="36"/>
  <c r="G152" i="36" s="1"/>
  <c r="E152" i="36"/>
  <c r="G128" i="36"/>
  <c r="G148" i="36" s="1"/>
  <c r="E148" i="36"/>
  <c r="H131" i="36"/>
  <c r="H151" i="36" s="1"/>
  <c r="F151" i="36"/>
  <c r="G123" i="36"/>
  <c r="G143" i="36" s="1"/>
  <c r="E143" i="36"/>
  <c r="H125" i="36"/>
  <c r="H145" i="36" s="1"/>
  <c r="F145" i="36"/>
  <c r="G124" i="36"/>
  <c r="G144" i="36" s="1"/>
  <c r="E144" i="36"/>
  <c r="H130" i="36"/>
  <c r="H150" i="36" s="1"/>
  <c r="F150" i="36"/>
  <c r="H123" i="36"/>
  <c r="H143" i="36" s="1"/>
  <c r="F143" i="36"/>
  <c r="G131" i="36"/>
  <c r="G151" i="36" s="1"/>
  <c r="E151" i="36"/>
  <c r="G126" i="36"/>
  <c r="G146" i="36" s="1"/>
  <c r="E146" i="36"/>
  <c r="G130" i="36"/>
  <c r="G150" i="36" s="1"/>
  <c r="E150" i="36"/>
  <c r="H124" i="36"/>
  <c r="H144" i="36" s="1"/>
  <c r="F144" i="36"/>
  <c r="H132" i="36"/>
  <c r="H152" i="36" s="1"/>
  <c r="F152" i="36"/>
  <c r="H127" i="36"/>
  <c r="H147" i="36" s="1"/>
  <c r="F147" i="36"/>
  <c r="H120" i="36"/>
  <c r="H140" i="36" s="1"/>
  <c r="F140" i="36"/>
  <c r="G127" i="36"/>
  <c r="G147" i="36" s="1"/>
  <c r="E147" i="36"/>
  <c r="H128" i="36"/>
  <c r="H148" i="36" s="1"/>
  <c r="F148" i="36"/>
  <c r="H122" i="36"/>
  <c r="H142" i="36" s="1"/>
  <c r="F142" i="36"/>
  <c r="G125" i="36"/>
  <c r="G145" i="36" s="1"/>
  <c r="E145" i="36"/>
  <c r="H129" i="36"/>
  <c r="H149" i="36" s="1"/>
  <c r="F149" i="36"/>
  <c r="H126" i="36"/>
  <c r="H146" i="36" s="1"/>
  <c r="F146" i="36"/>
  <c r="G121" i="36"/>
  <c r="G141" i="36" s="1"/>
  <c r="E141" i="36"/>
  <c r="G122" i="36"/>
  <c r="G142" i="36" s="1"/>
  <c r="E142" i="36"/>
  <c r="BC129" i="22"/>
  <c r="E252" i="32"/>
  <c r="AP30" i="22"/>
  <c r="AB24" i="22"/>
  <c r="AA15" i="22"/>
  <c r="BC120" i="22" s="1"/>
  <c r="AO30" i="22"/>
  <c r="AN33" i="22"/>
  <c r="AM33" i="22"/>
  <c r="AD133" i="22"/>
  <c r="BD103" i="22" s="1"/>
  <c r="AM30" i="22"/>
  <c r="AN30" i="22"/>
  <c r="AN31" i="22"/>
  <c r="AD105" i="22"/>
  <c r="BD20" i="22" s="1"/>
  <c r="AM31" i="22"/>
  <c r="AD130" i="22"/>
  <c r="BD72" i="22" s="1"/>
  <c r="AC130" i="22"/>
  <c r="AO29" i="22" s="1"/>
  <c r="AO32" i="22"/>
  <c r="AO33" i="22"/>
  <c r="AP32" i="22"/>
  <c r="AM29" i="22"/>
  <c r="AN29" i="22"/>
  <c r="AO31" i="22"/>
  <c r="AL252" i="11" a="1"/>
  <c r="AL252" i="11" s="1"/>
  <c r="E253" i="32" s="1"/>
  <c r="AQ152" i="59" a="1"/>
  <c r="AQ152" i="59" s="1"/>
  <c r="AM137" i="11" a="1"/>
  <c r="AM137" i="11" s="1"/>
  <c r="H22" i="104" l="1"/>
  <c r="H23" i="104" s="1"/>
  <c r="H21" i="104"/>
  <c r="D48" i="104"/>
  <c r="AD250" i="32"/>
  <c r="AG250" i="32" s="1"/>
  <c r="AH250" i="32" s="1"/>
  <c r="AD251" i="32"/>
  <c r="BD80" i="22"/>
  <c r="E109" i="72" s="1"/>
  <c r="T253" i="32"/>
  <c r="O253" i="32"/>
  <c r="T252" i="32"/>
  <c r="O252" i="32"/>
  <c r="AP257" i="50"/>
  <c r="AP259" i="50" s="1"/>
  <c r="L24" i="73" s="1"/>
  <c r="AQ259" i="50"/>
  <c r="H24" i="73" s="1"/>
  <c r="AJ250" i="32"/>
  <c r="C250" i="32"/>
  <c r="W250" i="32"/>
  <c r="X250" i="32" s="1"/>
  <c r="C251" i="32"/>
  <c r="AJ251" i="32"/>
  <c r="E71" i="36"/>
  <c r="G71" i="36" s="1"/>
  <c r="F71" i="36"/>
  <c r="H71" i="36" s="1"/>
  <c r="W251" i="32"/>
  <c r="X251" i="32" s="1"/>
  <c r="V250" i="32"/>
  <c r="E44" i="104"/>
  <c r="E28" i="72"/>
  <c r="E29" i="72"/>
  <c r="E30" i="72"/>
  <c r="E32" i="72"/>
  <c r="E31" i="72"/>
  <c r="E81" i="72"/>
  <c r="AK253" i="32"/>
  <c r="AK252" i="32"/>
  <c r="AI249" i="32"/>
  <c r="AN249" i="32" s="1"/>
  <c r="AI248" i="32"/>
  <c r="AN248" i="32" s="1"/>
  <c r="AP33" i="22"/>
  <c r="AP29" i="22"/>
  <c r="E115" i="72"/>
  <c r="AP31" i="22"/>
  <c r="V251" i="32"/>
  <c r="A253" i="32"/>
  <c r="B253" i="32"/>
  <c r="R253" i="32" s="1"/>
  <c r="A252" i="32"/>
  <c r="B252" i="32"/>
  <c r="R252" i="32" s="1"/>
  <c r="I253" i="32"/>
  <c r="K253" i="32"/>
  <c r="L253" i="32"/>
  <c r="H253" i="32"/>
  <c r="J253" i="32"/>
  <c r="M253" i="32"/>
  <c r="G253" i="32"/>
  <c r="N253" i="32"/>
  <c r="F253" i="32"/>
  <c r="U253" i="32" s="1"/>
  <c r="K252" i="32"/>
  <c r="M252" i="32"/>
  <c r="F252" i="32"/>
  <c r="U252" i="32" s="1"/>
  <c r="N252" i="32"/>
  <c r="G252" i="32"/>
  <c r="H252" i="32"/>
  <c r="I252" i="32"/>
  <c r="J252" i="32"/>
  <c r="L252" i="32"/>
  <c r="AB15" i="22"/>
  <c r="AL253" i="11" a="1"/>
  <c r="AL253" i="11" s="1"/>
  <c r="AQ153" i="59" a="1"/>
  <c r="AQ153" i="59" s="1"/>
  <c r="AM138" i="11" a="1"/>
  <c r="AM138" i="11" s="1"/>
  <c r="H28" i="73" l="1"/>
  <c r="J28" i="73"/>
  <c r="K28" i="73" s="1"/>
  <c r="H31" i="104"/>
  <c r="H14" i="104"/>
  <c r="G5" i="104" s="1"/>
  <c r="Q253" i="32"/>
  <c r="P253" i="32" s="1"/>
  <c r="Q252" i="32"/>
  <c r="P252" i="32" s="1"/>
  <c r="AG251" i="32"/>
  <c r="AH251" i="32" s="1"/>
  <c r="AM253" i="32"/>
  <c r="AM252" i="32"/>
  <c r="S252" i="32"/>
  <c r="AD252" i="32" s="1"/>
  <c r="S253" i="32"/>
  <c r="AD253" i="32" s="1"/>
  <c r="AL251" i="32"/>
  <c r="AL250" i="32"/>
  <c r="E254" i="32"/>
  <c r="AL254" i="11" a="1"/>
  <c r="AL254" i="11" s="1"/>
  <c r="AQ154" i="59" a="1"/>
  <c r="AQ154" i="59" s="1"/>
  <c r="AM139" i="11" a="1"/>
  <c r="AM139" i="11" s="1"/>
  <c r="G6" i="104" l="1"/>
  <c r="H32" i="73"/>
  <c r="T254" i="32"/>
  <c r="O254" i="32"/>
  <c r="AJ252" i="32"/>
  <c r="Z252" i="32"/>
  <c r="C253" i="32"/>
  <c r="Z253" i="32"/>
  <c r="C252" i="32"/>
  <c r="AJ253" i="32"/>
  <c r="W252" i="32"/>
  <c r="X252" i="32" s="1"/>
  <c r="W253" i="32"/>
  <c r="X253" i="32" s="1"/>
  <c r="V252" i="32"/>
  <c r="AK254" i="32"/>
  <c r="AG252" i="32"/>
  <c r="AH252" i="32" s="1"/>
  <c r="AG253" i="32"/>
  <c r="AH253" i="32" s="1"/>
  <c r="AI250" i="32"/>
  <c r="AN250" i="32" s="1"/>
  <c r="AI251" i="32"/>
  <c r="AN251" i="32" s="1"/>
  <c r="V253" i="32"/>
  <c r="A254" i="32"/>
  <c r="B254" i="32"/>
  <c r="R254" i="32" s="1"/>
  <c r="G254" i="32"/>
  <c r="I254" i="32"/>
  <c r="J254" i="32"/>
  <c r="L254" i="32"/>
  <c r="M254" i="32"/>
  <c r="N254" i="32"/>
  <c r="H254" i="32"/>
  <c r="F254" i="32"/>
  <c r="U254" i="32" s="1"/>
  <c r="K254" i="32"/>
  <c r="E255" i="32"/>
  <c r="AL255" i="11" a="1"/>
  <c r="AL255" i="11" s="1"/>
  <c r="E256" i="32" s="1"/>
  <c r="AQ155" i="59" a="1"/>
  <c r="AQ155" i="59" s="1"/>
  <c r="AM140" i="11" a="1"/>
  <c r="AM140" i="11" s="1"/>
  <c r="Q254" i="32" l="1"/>
  <c r="P254" i="32" s="1"/>
  <c r="J32" i="73"/>
  <c r="H41" i="73"/>
  <c r="T256" i="32"/>
  <c r="O256" i="32"/>
  <c r="T255" i="32"/>
  <c r="O255" i="32"/>
  <c r="AM254" i="32"/>
  <c r="S254" i="32"/>
  <c r="AD254" i="32" s="1"/>
  <c r="AK255" i="32"/>
  <c r="AK256" i="32"/>
  <c r="AL253" i="32"/>
  <c r="AL252" i="32"/>
  <c r="A255" i="32"/>
  <c r="B255" i="32"/>
  <c r="R255" i="32" s="1"/>
  <c r="A256" i="32"/>
  <c r="B256" i="32"/>
  <c r="R256" i="32" s="1"/>
  <c r="K256" i="32"/>
  <c r="F256" i="32"/>
  <c r="U256" i="32" s="1"/>
  <c r="N256" i="32"/>
  <c r="G256" i="32"/>
  <c r="H256" i="32"/>
  <c r="I256" i="32"/>
  <c r="M256" i="32"/>
  <c r="J256" i="32"/>
  <c r="L256" i="32"/>
  <c r="M255" i="32"/>
  <c r="G255" i="32"/>
  <c r="H255" i="32"/>
  <c r="N255" i="32"/>
  <c r="L255" i="32"/>
  <c r="F255" i="32"/>
  <c r="U255" i="32" s="1"/>
  <c r="J255" i="32"/>
  <c r="I255" i="32"/>
  <c r="K255" i="32"/>
  <c r="AL256" i="11" a="1"/>
  <c r="AL256" i="11" s="1"/>
  <c r="E257" i="32" s="1"/>
  <c r="AQ156" i="59" a="1"/>
  <c r="AQ156" i="59" s="1"/>
  <c r="AM141" i="11" a="1"/>
  <c r="AM141" i="11" s="1"/>
  <c r="Q256" i="32" l="1"/>
  <c r="P256" i="32" s="1"/>
  <c r="Q255" i="32"/>
  <c r="P255" i="32" s="1"/>
  <c r="T257" i="32"/>
  <c r="O257" i="32"/>
  <c r="C254" i="32"/>
  <c r="Z254" i="32"/>
  <c r="AM256" i="32"/>
  <c r="AM255" i="32"/>
  <c r="S255" i="32"/>
  <c r="Z255" i="32" s="1"/>
  <c r="AJ254" i="32"/>
  <c r="S256" i="32"/>
  <c r="Z256" i="32" s="1"/>
  <c r="W254" i="32"/>
  <c r="X254" i="32" s="1"/>
  <c r="AK257" i="32"/>
  <c r="AG254" i="32"/>
  <c r="AH254" i="32" s="1"/>
  <c r="AI253" i="32"/>
  <c r="AN253" i="32" s="1"/>
  <c r="AI252" i="32"/>
  <c r="AN252" i="32" s="1"/>
  <c r="V254" i="32"/>
  <c r="A257" i="32"/>
  <c r="Q257" i="32" s="1"/>
  <c r="B257" i="32"/>
  <c r="R257" i="32" s="1"/>
  <c r="I257" i="32"/>
  <c r="L257" i="32"/>
  <c r="F257" i="32"/>
  <c r="U257" i="32" s="1"/>
  <c r="G257" i="32"/>
  <c r="H257" i="32"/>
  <c r="J257" i="32"/>
  <c r="M257" i="32"/>
  <c r="K257" i="32"/>
  <c r="N257" i="32"/>
  <c r="AL257" i="11" a="1"/>
  <c r="AL257" i="11" s="1"/>
  <c r="AL258" i="11" s="1" a="1"/>
  <c r="AL258" i="11" s="1"/>
  <c r="AQ157" i="59" a="1"/>
  <c r="AQ157" i="59" s="1"/>
  <c r="AM142" i="11" a="1"/>
  <c r="AM142" i="11" s="1"/>
  <c r="AD255" i="32" l="1"/>
  <c r="AG255" i="32" s="1"/>
  <c r="AH255" i="32" s="1"/>
  <c r="AD256" i="32"/>
  <c r="AG256" i="32" s="1"/>
  <c r="AH256" i="32" s="1"/>
  <c r="AM257" i="32"/>
  <c r="P257" i="32"/>
  <c r="R6" i="32" a="1"/>
  <c r="R6" i="32" s="1"/>
  <c r="C256" i="32"/>
  <c r="AJ256" i="32"/>
  <c r="C255" i="32"/>
  <c r="AJ255" i="32"/>
  <c r="S257" i="32"/>
  <c r="Z257" i="32" s="1"/>
  <c r="W256" i="32"/>
  <c r="X256" i="32" s="1"/>
  <c r="W255" i="32"/>
  <c r="X255" i="32" s="1"/>
  <c r="AL254" i="32"/>
  <c r="V256" i="32"/>
  <c r="V255" i="32"/>
  <c r="AQ158" i="59" a="1"/>
  <c r="AQ158" i="59" s="1"/>
  <c r="AM143" i="11" a="1"/>
  <c r="AM143" i="11" s="1"/>
  <c r="AD257" i="32" l="1"/>
  <c r="AG257" i="32" s="1"/>
  <c r="AH257" i="32" s="1"/>
  <c r="AJ257" i="32"/>
  <c r="C257" i="32"/>
  <c r="W257" i="32"/>
  <c r="X257" i="32" s="1"/>
  <c r="N80" i="22"/>
  <c r="P80" i="22" s="1"/>
  <c r="M134" i="22"/>
  <c r="O134" i="22" s="1"/>
  <c r="N134" i="22"/>
  <c r="P134" i="22" s="1"/>
  <c r="N55" i="22"/>
  <c r="P55" i="22" s="1"/>
  <c r="M80" i="22"/>
  <c r="O80" i="22" s="1"/>
  <c r="N38" i="22"/>
  <c r="P38" i="22" s="1"/>
  <c r="M55" i="22"/>
  <c r="O55" i="22" s="1"/>
  <c r="M38" i="22"/>
  <c r="O38" i="22" s="1"/>
  <c r="AL256" i="32"/>
  <c r="AL255" i="32"/>
  <c r="AI254" i="32"/>
  <c r="AN254" i="32" s="1"/>
  <c r="V257" i="32"/>
  <c r="V258" i="32" s="1"/>
  <c r="M34" i="22"/>
  <c r="O34" i="22" s="1"/>
  <c r="M4" i="22"/>
  <c r="O4" i="22" s="1"/>
  <c r="N45" i="22"/>
  <c r="P45" i="22" s="1"/>
  <c r="N123" i="22"/>
  <c r="P123" i="22" s="1"/>
  <c r="N124" i="22"/>
  <c r="P124" i="22" s="1"/>
  <c r="M123" i="22"/>
  <c r="M116" i="22"/>
  <c r="O116" i="22" s="1"/>
  <c r="M115" i="22"/>
  <c r="N115" i="22"/>
  <c r="P115" i="22" s="1"/>
  <c r="N116" i="22"/>
  <c r="M124" i="22"/>
  <c r="N119" i="22"/>
  <c r="P119" i="22" s="1"/>
  <c r="M119" i="22"/>
  <c r="M135" i="22"/>
  <c r="N132" i="22"/>
  <c r="P132" i="22" s="1"/>
  <c r="M138" i="22"/>
  <c r="N138" i="22"/>
  <c r="M136" i="22"/>
  <c r="N139" i="22"/>
  <c r="N129" i="22"/>
  <c r="M139" i="22"/>
  <c r="M140" i="22"/>
  <c r="M133" i="22"/>
  <c r="O133" i="22" s="1"/>
  <c r="AY103" i="22" s="1"/>
  <c r="M137" i="22"/>
  <c r="N137" i="22"/>
  <c r="N140" i="22"/>
  <c r="M129" i="22"/>
  <c r="O129" i="22" s="1"/>
  <c r="N135" i="22"/>
  <c r="N133" i="22"/>
  <c r="M132" i="22"/>
  <c r="N136" i="22"/>
  <c r="N131" i="22"/>
  <c r="P131" i="22" s="1"/>
  <c r="AZ147" i="22" s="1"/>
  <c r="M131" i="22"/>
  <c r="M88" i="22"/>
  <c r="O88" i="22" s="1"/>
  <c r="M97" i="22"/>
  <c r="O97" i="22" s="1"/>
  <c r="N95" i="22"/>
  <c r="P95" i="22" s="1"/>
  <c r="N51" i="22"/>
  <c r="P51" i="22" s="1"/>
  <c r="M72" i="22"/>
  <c r="O72" i="22" s="1"/>
  <c r="M128" i="22"/>
  <c r="O128" i="22" s="1"/>
  <c r="N9" i="22"/>
  <c r="P9" i="22" s="1"/>
  <c r="N21" i="22"/>
  <c r="P21" i="22" s="1"/>
  <c r="N52" i="22"/>
  <c r="P52" i="22" s="1"/>
  <c r="N111" i="22"/>
  <c r="P111" i="22" s="1"/>
  <c r="N14" i="22"/>
  <c r="P14" i="22" s="1"/>
  <c r="N37" i="22"/>
  <c r="P37" i="22" s="1"/>
  <c r="N68" i="22"/>
  <c r="P68" i="22" s="1"/>
  <c r="N107" i="22"/>
  <c r="P107" i="22" s="1"/>
  <c r="N56" i="22"/>
  <c r="P56" i="22" s="1"/>
  <c r="M86" i="22"/>
  <c r="O86" i="22" s="1"/>
  <c r="M71" i="22"/>
  <c r="O71" i="22" s="1"/>
  <c r="N69" i="22"/>
  <c r="P69" i="22" s="1"/>
  <c r="M62" i="22"/>
  <c r="O62" i="22" s="1"/>
  <c r="M31" i="22"/>
  <c r="O31" i="22" s="1"/>
  <c r="M74" i="22"/>
  <c r="O74" i="22" s="1"/>
  <c r="M75" i="22"/>
  <c r="O75" i="22" s="1"/>
  <c r="N30" i="22"/>
  <c r="P30" i="22" s="1"/>
  <c r="N91" i="22"/>
  <c r="P91" i="22" s="1"/>
  <c r="M85" i="22"/>
  <c r="O85" i="22" s="1"/>
  <c r="N59" i="22"/>
  <c r="P59" i="22" s="1"/>
  <c r="M113" i="22"/>
  <c r="M122" i="22"/>
  <c r="N121" i="22"/>
  <c r="P121" i="22" s="1"/>
  <c r="N109" i="22"/>
  <c r="M12" i="22"/>
  <c r="O12" i="22" s="1"/>
  <c r="N34" i="22"/>
  <c r="P34" i="22" s="1"/>
  <c r="M81" i="22"/>
  <c r="O81" i="22" s="1"/>
  <c r="N96" i="22"/>
  <c r="P96" i="22" s="1"/>
  <c r="N25" i="22"/>
  <c r="P25" i="22" s="1"/>
  <c r="M91" i="22"/>
  <c r="O91" i="22" s="1"/>
  <c r="N83" i="22"/>
  <c r="M87" i="22"/>
  <c r="O87" i="22" s="1"/>
  <c r="M47" i="22"/>
  <c r="O47" i="22" s="1"/>
  <c r="N46" i="22"/>
  <c r="P46" i="22" s="1"/>
  <c r="N36" i="22"/>
  <c r="P36" i="22" s="1"/>
  <c r="M104" i="22"/>
  <c r="N106" i="22"/>
  <c r="P106" i="22" s="1"/>
  <c r="M110" i="22"/>
  <c r="N12" i="22"/>
  <c r="P12" i="22" s="1"/>
  <c r="M19" i="22"/>
  <c r="O19" i="22" s="1"/>
  <c r="M10" i="22"/>
  <c r="O10" i="22" s="1"/>
  <c r="N90" i="22"/>
  <c r="P90" i="22" s="1"/>
  <c r="M23" i="22"/>
  <c r="O23" i="22" s="1"/>
  <c r="N81" i="22"/>
  <c r="P81" i="22" s="1"/>
  <c r="N10" i="22"/>
  <c r="P10" i="22" s="1"/>
  <c r="M30" i="22"/>
  <c r="O30" i="22" s="1"/>
  <c r="M92" i="22"/>
  <c r="O92" i="22" s="1"/>
  <c r="M25" i="22"/>
  <c r="O25" i="22" s="1"/>
  <c r="M89" i="22"/>
  <c r="O89" i="22" s="1"/>
  <c r="N103" i="22"/>
  <c r="P103" i="22" s="1"/>
  <c r="M127" i="22"/>
  <c r="O127" i="22" s="1"/>
  <c r="N43" i="22"/>
  <c r="P43" i="22" s="1"/>
  <c r="M79" i="22"/>
  <c r="O79" i="22" s="1"/>
  <c r="M98" i="22"/>
  <c r="O98" i="22" s="1"/>
  <c r="N102" i="22"/>
  <c r="P102" i="22" s="1"/>
  <c r="M66" i="22"/>
  <c r="O66" i="22" s="1"/>
  <c r="M53" i="22"/>
  <c r="O53" i="22" s="1"/>
  <c r="N32" i="22"/>
  <c r="P32" i="22" s="1"/>
  <c r="M95" i="22"/>
  <c r="O95" i="22" s="1"/>
  <c r="M45" i="22"/>
  <c r="O45" i="22" s="1"/>
  <c r="M17" i="22"/>
  <c r="O17" i="22" s="1"/>
  <c r="N101" i="22"/>
  <c r="P101" i="22" s="1"/>
  <c r="N87" i="22"/>
  <c r="P87" i="22" s="1"/>
  <c r="M76" i="22"/>
  <c r="O76" i="22" s="1"/>
  <c r="N58" i="22"/>
  <c r="P58" i="22" s="1"/>
  <c r="N65" i="22"/>
  <c r="P65" i="22" s="1"/>
  <c r="M43" i="22"/>
  <c r="O43" i="22" s="1"/>
  <c r="N62" i="22"/>
  <c r="P62" i="22" s="1"/>
  <c r="N64" i="22"/>
  <c r="P64" i="22" s="1"/>
  <c r="M39" i="22"/>
  <c r="O39" i="22" s="1"/>
  <c r="N86" i="22"/>
  <c r="P86" i="22" s="1"/>
  <c r="M33" i="22"/>
  <c r="O33" i="22" s="1"/>
  <c r="M63" i="22"/>
  <c r="O63" i="22" s="1"/>
  <c r="AY150" i="22" s="1"/>
  <c r="N127" i="22"/>
  <c r="P127" i="22" s="1"/>
  <c r="M121" i="22"/>
  <c r="N125" i="22"/>
  <c r="P125" i="22" s="1"/>
  <c r="AZ143" i="22" s="1"/>
  <c r="M105" i="22"/>
  <c r="N118" i="22"/>
  <c r="N110" i="22"/>
  <c r="P110" i="22" s="1"/>
  <c r="AZ65" i="22" s="1"/>
  <c r="N108" i="22"/>
  <c r="P108" i="22" s="1"/>
  <c r="M32" i="22"/>
  <c r="O32" i="22" s="1"/>
  <c r="M82" i="22"/>
  <c r="O82" i="22" s="1"/>
  <c r="M99" i="22"/>
  <c r="O99" i="22" s="1"/>
  <c r="N79" i="22"/>
  <c r="P79" i="22" s="1"/>
  <c r="N60" i="22"/>
  <c r="P60" i="22" s="1"/>
  <c r="N74" i="22"/>
  <c r="P74" i="22" s="1"/>
  <c r="N40" i="22"/>
  <c r="P40" i="22" s="1"/>
  <c r="N76" i="22"/>
  <c r="P76" i="22" s="1"/>
  <c r="M51" i="22"/>
  <c r="O51" i="22" s="1"/>
  <c r="N53" i="22"/>
  <c r="P53" i="22" s="1"/>
  <c r="M57" i="22"/>
  <c r="O57" i="22" s="1"/>
  <c r="M52" i="22"/>
  <c r="O52" i="22" s="1"/>
  <c r="N99" i="22"/>
  <c r="P99" i="22" s="1"/>
  <c r="N50" i="22"/>
  <c r="P50" i="22" s="1"/>
  <c r="M16" i="22"/>
  <c r="O16" i="22" s="1"/>
  <c r="M9" i="22"/>
  <c r="O9" i="22" s="1"/>
  <c r="N19" i="22"/>
  <c r="P19" i="22" s="1"/>
  <c r="N71" i="22"/>
  <c r="P71" i="22" s="1"/>
  <c r="N57" i="22"/>
  <c r="P57" i="22" s="1"/>
  <c r="M24" i="22"/>
  <c r="O24" i="22" s="1"/>
  <c r="M27" i="22"/>
  <c r="O27" i="22" s="1"/>
  <c r="N22" i="22"/>
  <c r="P22" i="22" s="1"/>
  <c r="M120" i="22"/>
  <c r="O120" i="22" s="1"/>
  <c r="AY70" i="22" s="1"/>
  <c r="M117" i="22"/>
  <c r="M114" i="22"/>
  <c r="N117" i="22"/>
  <c r="N72" i="22"/>
  <c r="P72" i="22" s="1"/>
  <c r="N39" i="22"/>
  <c r="P39" i="22" s="1"/>
  <c r="M18" i="22"/>
  <c r="O18" i="22" s="1"/>
  <c r="M54" i="22"/>
  <c r="O54" i="22" s="1"/>
  <c r="N11" i="22"/>
  <c r="P11" i="22" s="1"/>
  <c r="M40" i="22"/>
  <c r="O40" i="22" s="1"/>
  <c r="M69" i="22"/>
  <c r="O69" i="22" s="1"/>
  <c r="N35" i="22"/>
  <c r="P35" i="22" s="1"/>
  <c r="M58" i="22"/>
  <c r="O58" i="22" s="1"/>
  <c r="M26" i="22"/>
  <c r="O26" i="22" s="1"/>
  <c r="N66" i="22"/>
  <c r="P66" i="22" s="1"/>
  <c r="N61" i="22"/>
  <c r="P61" i="22" s="1"/>
  <c r="M49" i="22"/>
  <c r="O49" i="22" s="1"/>
  <c r="M78" i="22"/>
  <c r="O78" i="22" s="1"/>
  <c r="M7" i="22"/>
  <c r="O7" i="22" s="1"/>
  <c r="M102" i="22"/>
  <c r="O102" i="22" s="1"/>
  <c r="M70" i="22"/>
  <c r="O70" i="22" s="1"/>
  <c r="N31" i="22"/>
  <c r="P31" i="22" s="1"/>
  <c r="N16" i="22"/>
  <c r="P16" i="22" s="1"/>
  <c r="N94" i="22"/>
  <c r="P94" i="22" s="1"/>
  <c r="N48" i="22"/>
  <c r="P48" i="22" s="1"/>
  <c r="M93" i="22"/>
  <c r="O93" i="22" s="1"/>
  <c r="N41" i="22"/>
  <c r="P41" i="22" s="1"/>
  <c r="M94" i="22"/>
  <c r="O94" i="22" s="1"/>
  <c r="N97" i="22"/>
  <c r="P97" i="22" s="1"/>
  <c r="N54" i="22"/>
  <c r="P54" i="22" s="1"/>
  <c r="N100" i="22"/>
  <c r="P100" i="22" s="1"/>
  <c r="N93" i="22"/>
  <c r="P93" i="22" s="1"/>
  <c r="M48" i="22"/>
  <c r="O48" i="22" s="1"/>
  <c r="M67" i="22"/>
  <c r="O67" i="22" s="1"/>
  <c r="N77" i="22"/>
  <c r="P77" i="22" s="1"/>
  <c r="N18" i="22"/>
  <c r="P18" i="22" s="1"/>
  <c r="M90" i="22"/>
  <c r="O90" i="22" s="1"/>
  <c r="N78" i="22"/>
  <c r="P78" i="22" s="1"/>
  <c r="M21" i="22"/>
  <c r="O21" i="22" s="1"/>
  <c r="N92" i="22"/>
  <c r="P92" i="22" s="1"/>
  <c r="N67" i="22"/>
  <c r="P67" i="22" s="1"/>
  <c r="M50" i="22"/>
  <c r="O50" i="22" s="1"/>
  <c r="M73" i="22"/>
  <c r="O73" i="22" s="1"/>
  <c r="N6" i="22"/>
  <c r="P6" i="22" s="1"/>
  <c r="M96" i="22"/>
  <c r="O96" i="22" s="1"/>
  <c r="N4" i="22"/>
  <c r="P4" i="22" s="1"/>
  <c r="N28" i="22"/>
  <c r="P28" i="22" s="1"/>
  <c r="N17" i="22"/>
  <c r="P17" i="22" s="1"/>
  <c r="M5" i="22"/>
  <c r="O5" i="22" s="1"/>
  <c r="N44" i="22"/>
  <c r="P44" i="22" s="1"/>
  <c r="N8" i="22"/>
  <c r="P8" i="22" s="1"/>
  <c r="M83" i="22"/>
  <c r="N20" i="22"/>
  <c r="P20" i="22" s="1"/>
  <c r="N23" i="22"/>
  <c r="P23" i="22" s="1"/>
  <c r="M111" i="22"/>
  <c r="N128" i="22"/>
  <c r="P128" i="22" s="1"/>
  <c r="M109" i="22"/>
  <c r="O109" i="22" s="1"/>
  <c r="M112" i="22"/>
  <c r="M107" i="22"/>
  <c r="N120" i="22"/>
  <c r="M118" i="22"/>
  <c r="N113" i="22"/>
  <c r="P113" i="22" s="1"/>
  <c r="N122" i="22"/>
  <c r="P122" i="22" s="1"/>
  <c r="M130" i="22"/>
  <c r="O130" i="22" s="1"/>
  <c r="AY72" i="22" s="1"/>
  <c r="N105" i="22"/>
  <c r="N7" i="22"/>
  <c r="P7" i="22" s="1"/>
  <c r="M64" i="22"/>
  <c r="O64" i="22" s="1"/>
  <c r="M29" i="22"/>
  <c r="O29" i="22" s="1"/>
  <c r="M60" i="22"/>
  <c r="O60" i="22" s="1"/>
  <c r="M46" i="22"/>
  <c r="O46" i="22" s="1"/>
  <c r="M41" i="22"/>
  <c r="O41" i="22" s="1"/>
  <c r="M8" i="22"/>
  <c r="O8" i="22" s="1"/>
  <c r="N98" i="22"/>
  <c r="P98" i="22" s="1"/>
  <c r="M14" i="22"/>
  <c r="O14" i="22" s="1"/>
  <c r="M6" i="22"/>
  <c r="O6" i="22" s="1"/>
  <c r="N84" i="22"/>
  <c r="P84" i="22" s="1"/>
  <c r="N5" i="22"/>
  <c r="P5" i="22" s="1"/>
  <c r="N29" i="22"/>
  <c r="P29" i="22" s="1"/>
  <c r="M35" i="22"/>
  <c r="O35" i="22" s="1"/>
  <c r="M68" i="22"/>
  <c r="O68" i="22" s="1"/>
  <c r="N49" i="22"/>
  <c r="P49" i="22" s="1"/>
  <c r="M44" i="22"/>
  <c r="O44" i="22" s="1"/>
  <c r="N47" i="22"/>
  <c r="P47" i="22" s="1"/>
  <c r="M13" i="22"/>
  <c r="O13" i="22" s="1"/>
  <c r="M36" i="22"/>
  <c r="O36" i="22" s="1"/>
  <c r="N88" i="22"/>
  <c r="P88" i="22" s="1"/>
  <c r="M42" i="22"/>
  <c r="O42" i="22" s="1"/>
  <c r="M61" i="22"/>
  <c r="O61" i="22" s="1"/>
  <c r="M59" i="22"/>
  <c r="O59" i="22" s="1"/>
  <c r="M84" i="22"/>
  <c r="O84" i="22" s="1"/>
  <c r="M11" i="22"/>
  <c r="O11" i="22" s="1"/>
  <c r="N26" i="22"/>
  <c r="P26" i="22" s="1"/>
  <c r="N42" i="22"/>
  <c r="P42" i="22" s="1"/>
  <c r="M22" i="22"/>
  <c r="O22" i="22" s="1"/>
  <c r="M28" i="22"/>
  <c r="O28" i="22" s="1"/>
  <c r="N13" i="22"/>
  <c r="P13" i="22" s="1"/>
  <c r="M56" i="22"/>
  <c r="O56" i="22" s="1"/>
  <c r="N82" i="22"/>
  <c r="P82" i="22" s="1"/>
  <c r="N85" i="22"/>
  <c r="P85" i="22" s="1"/>
  <c r="N27" i="22"/>
  <c r="P27" i="22" s="1"/>
  <c r="N63" i="22"/>
  <c r="P63" i="22" s="1"/>
  <c r="AZ150" i="22" s="1"/>
  <c r="M101" i="22"/>
  <c r="O101" i="22" s="1"/>
  <c r="M37" i="22"/>
  <c r="O37" i="22" s="1"/>
  <c r="M77" i="22"/>
  <c r="O77" i="22" s="1"/>
  <c r="M15" i="22"/>
  <c r="O15" i="22" s="1"/>
  <c r="N73" i="22"/>
  <c r="P73" i="22" s="1"/>
  <c r="N75" i="22"/>
  <c r="P75" i="22" s="1"/>
  <c r="M20" i="22"/>
  <c r="O20" i="22" s="1"/>
  <c r="N89" i="22"/>
  <c r="P89" i="22" s="1"/>
  <c r="M65" i="22"/>
  <c r="O65" i="22" s="1"/>
  <c r="N33" i="22"/>
  <c r="P33" i="22" s="1"/>
  <c r="M100" i="22"/>
  <c r="O100" i="22" s="1"/>
  <c r="N70" i="22"/>
  <c r="P70" i="22" s="1"/>
  <c r="M126" i="22"/>
  <c r="M103" i="22"/>
  <c r="O103" i="22" s="1"/>
  <c r="N112" i="22"/>
  <c r="N130" i="22"/>
  <c r="M125" i="22"/>
  <c r="N126" i="22"/>
  <c r="P126" i="22" s="1"/>
  <c r="E68" i="36"/>
  <c r="G68" i="36" s="1"/>
  <c r="F68" i="36"/>
  <c r="H68" i="36" s="1"/>
  <c r="M108" i="22"/>
  <c r="N104" i="22"/>
  <c r="P104" i="22" s="1"/>
  <c r="M106" i="22"/>
  <c r="N114" i="22"/>
  <c r="P114" i="22" s="1"/>
  <c r="E69" i="36"/>
  <c r="G69" i="36" s="1"/>
  <c r="E67" i="36"/>
  <c r="G67" i="36" s="1"/>
  <c r="F67" i="36"/>
  <c r="H67" i="36" s="1"/>
  <c r="F69" i="36"/>
  <c r="H69" i="36" s="1"/>
  <c r="N15" i="22"/>
  <c r="P15" i="22" s="1"/>
  <c r="AQ159" i="59" a="1"/>
  <c r="AQ159" i="59" s="1"/>
  <c r="AM144" i="11" a="1"/>
  <c r="AM144" i="11" s="1"/>
  <c r="AY105" i="22" l="1"/>
  <c r="AZ105" i="22"/>
  <c r="R134" i="22"/>
  <c r="AN18" i="22"/>
  <c r="F52" i="36" s="1"/>
  <c r="Q134" i="22"/>
  <c r="AM18" i="22"/>
  <c r="E52" i="36" s="1"/>
  <c r="V259" i="32"/>
  <c r="Q55" i="22"/>
  <c r="AY151" i="22"/>
  <c r="Q80" i="22"/>
  <c r="AY134" i="22"/>
  <c r="R55" i="22"/>
  <c r="AZ151" i="22"/>
  <c r="R80" i="22"/>
  <c r="AZ134" i="22"/>
  <c r="Q38" i="22"/>
  <c r="AY104" i="22"/>
  <c r="R38" i="22"/>
  <c r="AZ104" i="22"/>
  <c r="AL257" i="32"/>
  <c r="AM5" i="22"/>
  <c r="AI256" i="32"/>
  <c r="AN256" i="32" s="1"/>
  <c r="AZ146" i="22"/>
  <c r="AZ148" i="22"/>
  <c r="AZ140" i="22"/>
  <c r="AZ71" i="22"/>
  <c r="AZ144" i="22"/>
  <c r="AZ66" i="22"/>
  <c r="AZ142" i="22"/>
  <c r="AZ63" i="22"/>
  <c r="AZ69" i="22"/>
  <c r="AZ141" i="22"/>
  <c r="AZ64" i="22"/>
  <c r="AZ62" i="22"/>
  <c r="AZ145" i="22"/>
  <c r="AZ67" i="22"/>
  <c r="AZ68" i="22"/>
  <c r="AY61" i="22"/>
  <c r="AZ61" i="22"/>
  <c r="AZ126" i="22"/>
  <c r="AY126" i="22"/>
  <c r="AI255" i="32"/>
  <c r="AN255" i="32" s="1"/>
  <c r="AY146" i="22"/>
  <c r="AY145" i="22"/>
  <c r="AY102" i="22"/>
  <c r="AY139" i="22"/>
  <c r="P140" i="22"/>
  <c r="R140" i="22" s="1"/>
  <c r="AF140" i="22" s="1"/>
  <c r="P116" i="22"/>
  <c r="P112" i="22"/>
  <c r="P105" i="22"/>
  <c r="P133" i="22"/>
  <c r="AZ103" i="22" s="1"/>
  <c r="P137" i="22"/>
  <c r="R137" i="22" s="1"/>
  <c r="AF137" i="22" s="1"/>
  <c r="P138" i="22"/>
  <c r="R138" i="22" s="1"/>
  <c r="AF138" i="22" s="1"/>
  <c r="P120" i="22"/>
  <c r="P109" i="22"/>
  <c r="P135" i="22"/>
  <c r="AN17" i="22" s="1"/>
  <c r="F53" i="36" s="1"/>
  <c r="F92" i="36" s="1"/>
  <c r="P129" i="22"/>
  <c r="P130" i="22"/>
  <c r="P117" i="22"/>
  <c r="AZ73" i="22" s="1"/>
  <c r="P118" i="22"/>
  <c r="P136" i="22"/>
  <c r="R136" i="22" s="1"/>
  <c r="AF136" i="22" s="1"/>
  <c r="P139" i="22"/>
  <c r="R139" i="22" s="1"/>
  <c r="AF139" i="22" s="1"/>
  <c r="R126" i="22"/>
  <c r="AF126" i="22" s="1"/>
  <c r="R125" i="22"/>
  <c r="R124" i="22"/>
  <c r="AF124" i="22" s="1"/>
  <c r="R128" i="22"/>
  <c r="R131" i="22"/>
  <c r="AF131" i="22" s="1"/>
  <c r="R123" i="22"/>
  <c r="R122" i="22"/>
  <c r="AF122" i="22" s="1"/>
  <c r="R127" i="22"/>
  <c r="R132" i="22"/>
  <c r="AF132" i="22" s="1"/>
  <c r="R113" i="22"/>
  <c r="BB66" i="22" s="1"/>
  <c r="R104" i="22"/>
  <c r="BB62" i="22" s="1"/>
  <c r="R108" i="22"/>
  <c r="BB64" i="22" s="1"/>
  <c r="R115" i="22"/>
  <c r="BB68" i="22" s="1"/>
  <c r="R110" i="22"/>
  <c r="BB65" i="22" s="1"/>
  <c r="R119" i="22"/>
  <c r="BB69" i="22" s="1"/>
  <c r="R114" i="22"/>
  <c r="BB67" i="22" s="1"/>
  <c r="R121" i="22"/>
  <c r="BB71" i="22" s="1"/>
  <c r="R107" i="22"/>
  <c r="AF107" i="22" s="1"/>
  <c r="R111" i="22"/>
  <c r="O106" i="22"/>
  <c r="AY63" i="22" s="1"/>
  <c r="O112" i="22"/>
  <c r="O114" i="22"/>
  <c r="AY67" i="22" s="1"/>
  <c r="O105" i="22"/>
  <c r="AY19" i="22" s="1"/>
  <c r="O110" i="22"/>
  <c r="AY65" i="22" s="1"/>
  <c r="O122" i="22"/>
  <c r="AY140" i="22" s="1"/>
  <c r="O132" i="22"/>
  <c r="AY148" i="22" s="1"/>
  <c r="O140" i="22"/>
  <c r="Q140" i="22" s="1"/>
  <c r="AE140" i="22" s="1"/>
  <c r="O136" i="22"/>
  <c r="Q136" i="22" s="1"/>
  <c r="AE136" i="22" s="1"/>
  <c r="O135" i="22"/>
  <c r="AM17" i="22" s="1"/>
  <c r="E53" i="36" s="1"/>
  <c r="E92" i="36" s="1"/>
  <c r="O123" i="22"/>
  <c r="AY141" i="22" s="1"/>
  <c r="O118" i="22"/>
  <c r="AY24" i="22" s="1"/>
  <c r="O117" i="22"/>
  <c r="O113" i="22"/>
  <c r="AY66" i="22" s="1"/>
  <c r="O131" i="22"/>
  <c r="AY147" i="22" s="1"/>
  <c r="O139" i="22"/>
  <c r="Q139" i="22" s="1"/>
  <c r="AE139" i="22" s="1"/>
  <c r="O119" i="22"/>
  <c r="AY69" i="22" s="1"/>
  <c r="O108" i="22"/>
  <c r="AY64" i="22" s="1"/>
  <c r="O126" i="22"/>
  <c r="AY144" i="22" s="1"/>
  <c r="O121" i="22"/>
  <c r="AY71" i="22" s="1"/>
  <c r="O104" i="22"/>
  <c r="AY62" i="22" s="1"/>
  <c r="O137" i="22"/>
  <c r="Q137" i="22" s="1"/>
  <c r="AE137" i="22" s="1"/>
  <c r="O138" i="22"/>
  <c r="Q138" i="22" s="1"/>
  <c r="AE138" i="22" s="1"/>
  <c r="O115" i="22"/>
  <c r="AY68" i="22" s="1"/>
  <c r="O125" i="22"/>
  <c r="AY143" i="22" s="1"/>
  <c r="O107" i="22"/>
  <c r="O111" i="22"/>
  <c r="AY22" i="22" s="1"/>
  <c r="O124" i="22"/>
  <c r="AY142" i="22" s="1"/>
  <c r="Q116" i="22"/>
  <c r="BA139" i="22" s="1"/>
  <c r="Q130" i="22"/>
  <c r="BA72" i="22" s="1"/>
  <c r="Q129" i="22"/>
  <c r="BA102" i="22" s="1"/>
  <c r="Q133" i="22"/>
  <c r="BA103" i="22" s="1"/>
  <c r="Q120" i="22"/>
  <c r="BA70" i="22" s="1"/>
  <c r="E70" i="36"/>
  <c r="G70" i="36" s="1"/>
  <c r="F70" i="36"/>
  <c r="H70" i="36" s="1"/>
  <c r="Q128" i="22"/>
  <c r="BA146" i="22" s="1"/>
  <c r="Q127" i="22"/>
  <c r="AE127" i="22" s="1"/>
  <c r="Q109" i="22"/>
  <c r="AE109" i="22" s="1"/>
  <c r="AN15" i="22"/>
  <c r="F50" i="36" s="1"/>
  <c r="R106" i="22"/>
  <c r="BB63" i="22" s="1"/>
  <c r="R103" i="22"/>
  <c r="AM15" i="22"/>
  <c r="E50" i="36" s="1"/>
  <c r="Q103" i="22"/>
  <c r="N24" i="22"/>
  <c r="P24" i="22" s="1"/>
  <c r="AQ160" i="59" a="1"/>
  <c r="AQ160" i="59" s="1"/>
  <c r="AM145" i="11" a="1"/>
  <c r="AM145" i="11" s="1"/>
  <c r="Q117" i="22" l="1"/>
  <c r="AY73" i="22"/>
  <c r="AE134" i="22"/>
  <c r="AO18" i="22"/>
  <c r="AF134" i="22"/>
  <c r="AP18" i="22"/>
  <c r="R135" i="22"/>
  <c r="AZ80" i="22"/>
  <c r="Q135" i="22"/>
  <c r="AY80" i="22"/>
  <c r="AF55" i="22"/>
  <c r="BB151" i="22"/>
  <c r="AF80" i="22"/>
  <c r="BB134" i="22"/>
  <c r="D138" i="72" s="1"/>
  <c r="AE80" i="22"/>
  <c r="BA134" i="22"/>
  <c r="AE55" i="22"/>
  <c r="BA151" i="22"/>
  <c r="AF38" i="22"/>
  <c r="BB104" i="22"/>
  <c r="D100" i="72" s="1"/>
  <c r="AE38" i="22"/>
  <c r="BA104" i="22"/>
  <c r="BE67" i="22"/>
  <c r="BE64" i="22"/>
  <c r="BE69" i="22"/>
  <c r="BE62" i="22"/>
  <c r="BE65" i="22"/>
  <c r="BE66" i="22"/>
  <c r="BE63" i="22"/>
  <c r="BE71" i="22"/>
  <c r="BE68" i="22"/>
  <c r="AI257" i="32"/>
  <c r="AZ24" i="22"/>
  <c r="AZ72" i="22"/>
  <c r="AZ20" i="22"/>
  <c r="AZ101" i="22"/>
  <c r="R109" i="22"/>
  <c r="AF109" i="22" s="1"/>
  <c r="AZ70" i="22"/>
  <c r="AF110" i="22"/>
  <c r="AF104" i="22"/>
  <c r="AF114" i="22"/>
  <c r="AY20" i="22"/>
  <c r="AZ22" i="22"/>
  <c r="AY23" i="22"/>
  <c r="AY21" i="22"/>
  <c r="AD2" i="32"/>
  <c r="R130" i="22"/>
  <c r="BB72" i="22" s="1"/>
  <c r="D81" i="72" s="1"/>
  <c r="BB144" i="22"/>
  <c r="R112" i="22"/>
  <c r="BB101" i="22" s="1"/>
  <c r="BB140" i="22"/>
  <c r="D74" i="72"/>
  <c r="BB147" i="22"/>
  <c r="BB148" i="22"/>
  <c r="BA145" i="22"/>
  <c r="D71" i="72"/>
  <c r="BB142" i="22"/>
  <c r="AF111" i="22"/>
  <c r="AF108" i="22"/>
  <c r="AF128" i="22"/>
  <c r="BB146" i="22"/>
  <c r="AZ23" i="22"/>
  <c r="AF115" i="22"/>
  <c r="AF123" i="22"/>
  <c r="BB141" i="22"/>
  <c r="AY101" i="22"/>
  <c r="AF119" i="22"/>
  <c r="AF127" i="22"/>
  <c r="BB145" i="22"/>
  <c r="AF121" i="22"/>
  <c r="AF113" i="22"/>
  <c r="AF125" i="22"/>
  <c r="BB143" i="22"/>
  <c r="AZ102" i="22"/>
  <c r="R129" i="22"/>
  <c r="BB102" i="22" s="1"/>
  <c r="R120" i="22"/>
  <c r="BB70" i="22" s="1"/>
  <c r="AZ19" i="22"/>
  <c r="R105" i="22"/>
  <c r="AF105" i="22" s="1"/>
  <c r="Q104" i="22"/>
  <c r="BA62" i="22" s="1"/>
  <c r="BB21" i="22"/>
  <c r="AZ21" i="22"/>
  <c r="R133" i="22"/>
  <c r="AN13" i="22"/>
  <c r="F48" i="36" s="1"/>
  <c r="AZ139" i="22"/>
  <c r="R116" i="22"/>
  <c r="AF116" i="22" s="1"/>
  <c r="R118" i="22"/>
  <c r="AN12" i="22"/>
  <c r="F47" i="36" s="1"/>
  <c r="AN16" i="22"/>
  <c r="R117" i="22"/>
  <c r="AN14" i="22"/>
  <c r="F49" i="36" s="1"/>
  <c r="Q126" i="22"/>
  <c r="AE126" i="22" s="1"/>
  <c r="Q131" i="22"/>
  <c r="AE131" i="22" s="1"/>
  <c r="Q123" i="22"/>
  <c r="AE123" i="22" s="1"/>
  <c r="Q132" i="22"/>
  <c r="AE132" i="22" s="1"/>
  <c r="Q124" i="22"/>
  <c r="AE124" i="22" s="1"/>
  <c r="Q122" i="22"/>
  <c r="AE122" i="22" s="1"/>
  <c r="Q125" i="22"/>
  <c r="AE125" i="22" s="1"/>
  <c r="Q119" i="22"/>
  <c r="BA69" i="22" s="1"/>
  <c r="Q110" i="22"/>
  <c r="BA65" i="22" s="1"/>
  <c r="Q106" i="22"/>
  <c r="BA63" i="22" s="1"/>
  <c r="Q115" i="22"/>
  <c r="BA68" i="22" s="1"/>
  <c r="Q121" i="22"/>
  <c r="BA71" i="22" s="1"/>
  <c r="Q108" i="22"/>
  <c r="BA64" i="22" s="1"/>
  <c r="Q114" i="22"/>
  <c r="BA67" i="22" s="1"/>
  <c r="Q113" i="22"/>
  <c r="BA66" i="22" s="1"/>
  <c r="Q111" i="22"/>
  <c r="AE111" i="22" s="1"/>
  <c r="Q105" i="22"/>
  <c r="AE105" i="22" s="1"/>
  <c r="Q107" i="22"/>
  <c r="AE107" i="22" s="1"/>
  <c r="Q118" i="22"/>
  <c r="AM16" i="22"/>
  <c r="Q112" i="22"/>
  <c r="BA101" i="22" s="1"/>
  <c r="AM13" i="22"/>
  <c r="E48" i="36" s="1"/>
  <c r="AM14" i="22"/>
  <c r="E49" i="36" s="1"/>
  <c r="AM12" i="22"/>
  <c r="E47" i="36" s="1"/>
  <c r="AE116" i="22"/>
  <c r="AE129" i="22"/>
  <c r="AE133" i="22"/>
  <c r="AE130" i="22"/>
  <c r="AE120" i="22"/>
  <c r="AE103" i="22"/>
  <c r="AP15" i="22"/>
  <c r="AE128" i="22"/>
  <c r="AF106" i="22"/>
  <c r="AF103" i="22"/>
  <c r="AO15" i="22"/>
  <c r="D72" i="72"/>
  <c r="AQ161" i="59" a="1"/>
  <c r="AQ161" i="59" s="1"/>
  <c r="AM146" i="11" a="1"/>
  <c r="AM146" i="11" s="1"/>
  <c r="AF117" i="22" l="1"/>
  <c r="BB73" i="22"/>
  <c r="AE117" i="22"/>
  <c r="BA73" i="22"/>
  <c r="G53" i="36"/>
  <c r="G92" i="36" s="1"/>
  <c r="H53" i="36"/>
  <c r="H92" i="36" s="1"/>
  <c r="AN257" i="32"/>
  <c r="AN258" i="32" s="1"/>
  <c r="H12" i="73" s="1"/>
  <c r="BE151" i="22"/>
  <c r="D136" i="72"/>
  <c r="BE134" i="22"/>
  <c r="F138" i="72" s="1"/>
  <c r="AF135" i="22"/>
  <c r="BB80" i="22"/>
  <c r="AE135" i="22"/>
  <c r="BA80" i="22"/>
  <c r="BE104" i="22"/>
  <c r="F100" i="72" s="1"/>
  <c r="E51" i="36"/>
  <c r="F51" i="36"/>
  <c r="D161" i="72"/>
  <c r="D158" i="72"/>
  <c r="D154" i="72"/>
  <c r="D159" i="72"/>
  <c r="D155" i="72"/>
  <c r="D160" i="72"/>
  <c r="D157" i="72"/>
  <c r="BF71" i="22"/>
  <c r="G80" i="72" s="1"/>
  <c r="BF66" i="22"/>
  <c r="G75" i="72" s="1"/>
  <c r="BF62" i="22"/>
  <c r="G71" i="72" s="1"/>
  <c r="BF64" i="22"/>
  <c r="G73" i="72" s="1"/>
  <c r="BE70" i="22"/>
  <c r="D153" i="72"/>
  <c r="BF68" i="22"/>
  <c r="G77" i="72" s="1"/>
  <c r="BF63" i="22"/>
  <c r="G72" i="72" s="1"/>
  <c r="BF65" i="22"/>
  <c r="BF69" i="22"/>
  <c r="BF67" i="22"/>
  <c r="BB22" i="22"/>
  <c r="BE143" i="22"/>
  <c r="D156" i="72"/>
  <c r="BE145" i="22"/>
  <c r="BE146" i="22"/>
  <c r="BE148" i="22"/>
  <c r="BE141" i="22"/>
  <c r="BE142" i="22"/>
  <c r="BE144" i="22"/>
  <c r="BE72" i="22"/>
  <c r="AE119" i="22"/>
  <c r="AE113" i="22"/>
  <c r="AE108" i="22"/>
  <c r="AE104" i="22"/>
  <c r="AE114" i="22"/>
  <c r="AE121" i="22"/>
  <c r="AE115" i="22"/>
  <c r="D76" i="72"/>
  <c r="AE110" i="22"/>
  <c r="AE106" i="22"/>
  <c r="AE118" i="22"/>
  <c r="BA24" i="22"/>
  <c r="BB23" i="22"/>
  <c r="BB24" i="22"/>
  <c r="BA21" i="22"/>
  <c r="BB20" i="22"/>
  <c r="AF130" i="22"/>
  <c r="AF133" i="22"/>
  <c r="BB103" i="22"/>
  <c r="BE21" i="22"/>
  <c r="D29" i="72"/>
  <c r="AF112" i="22"/>
  <c r="F78" i="72"/>
  <c r="D78" i="72"/>
  <c r="BE101" i="22"/>
  <c r="D113" i="72"/>
  <c r="BE102" i="22"/>
  <c r="D114" i="72"/>
  <c r="D79" i="72"/>
  <c r="BE140" i="22"/>
  <c r="F74" i="72"/>
  <c r="D75" i="72"/>
  <c r="AF118" i="22"/>
  <c r="BE147" i="22"/>
  <c r="D80" i="72"/>
  <c r="F76" i="72"/>
  <c r="BA140" i="22"/>
  <c r="D77" i="72"/>
  <c r="AP13" i="22"/>
  <c r="BA148" i="22"/>
  <c r="BA23" i="22"/>
  <c r="BA147" i="22"/>
  <c r="BA143" i="22"/>
  <c r="BA142" i="22"/>
  <c r="BA141" i="22"/>
  <c r="BA144" i="22"/>
  <c r="BB139" i="22"/>
  <c r="AP12" i="22"/>
  <c r="AP16" i="22"/>
  <c r="D73" i="72"/>
  <c r="AP14" i="22"/>
  <c r="AF129" i="22"/>
  <c r="AF120" i="22"/>
  <c r="BA20" i="22"/>
  <c r="BA22" i="22"/>
  <c r="AO16" i="22"/>
  <c r="AO13" i="22"/>
  <c r="AE112" i="22"/>
  <c r="AO14" i="22"/>
  <c r="AO12" i="22"/>
  <c r="F77" i="72"/>
  <c r="F72" i="72"/>
  <c r="F75" i="72"/>
  <c r="F73" i="72"/>
  <c r="F80" i="72"/>
  <c r="AQ162" i="59" a="1"/>
  <c r="AQ162" i="59" s="1"/>
  <c r="AM147" i="11" a="1"/>
  <c r="AM147" i="11" s="1"/>
  <c r="BE73" i="22" l="1"/>
  <c r="D82" i="72"/>
  <c r="BF151" i="22"/>
  <c r="F136" i="72"/>
  <c r="BF134" i="22"/>
  <c r="BE80" i="22"/>
  <c r="D109" i="72"/>
  <c r="F90" i="36"/>
  <c r="BF104" i="22"/>
  <c r="H52" i="36"/>
  <c r="H91" i="36" s="1"/>
  <c r="F91" i="36"/>
  <c r="G52" i="36"/>
  <c r="G91" i="36" s="1"/>
  <c r="E91" i="36"/>
  <c r="D31" i="72"/>
  <c r="F155" i="72"/>
  <c r="F158" i="72"/>
  <c r="BE20" i="22"/>
  <c r="F28" i="72" s="1"/>
  <c r="F154" i="72"/>
  <c r="BF70" i="22"/>
  <c r="G79" i="72" s="1"/>
  <c r="D152" i="72"/>
  <c r="BE103" i="22"/>
  <c r="F161" i="72"/>
  <c r="F156" i="72"/>
  <c r="F160" i="72"/>
  <c r="F153" i="72"/>
  <c r="F157" i="72"/>
  <c r="F159" i="72"/>
  <c r="BE22" i="22"/>
  <c r="F30" i="72" s="1"/>
  <c r="D30" i="72"/>
  <c r="BF143" i="22"/>
  <c r="BF148" i="22"/>
  <c r="BF145" i="22"/>
  <c r="BF142" i="22"/>
  <c r="BF141" i="22"/>
  <c r="BF144" i="22"/>
  <c r="BF146" i="22"/>
  <c r="BF140" i="22"/>
  <c r="BF72" i="22"/>
  <c r="F81" i="72"/>
  <c r="BE24" i="22"/>
  <c r="D32" i="72"/>
  <c r="BE23" i="22"/>
  <c r="D28" i="72"/>
  <c r="D115" i="72"/>
  <c r="BF21" i="22"/>
  <c r="F29" i="72"/>
  <c r="G78" i="72"/>
  <c r="BF102" i="22"/>
  <c r="F114" i="72"/>
  <c r="BE139" i="22"/>
  <c r="F79" i="72"/>
  <c r="BF101" i="22"/>
  <c r="F113" i="72"/>
  <c r="G74" i="72"/>
  <c r="G51" i="36"/>
  <c r="BF147" i="22"/>
  <c r="G76" i="72"/>
  <c r="H51" i="36"/>
  <c r="F71" i="72"/>
  <c r="AQ163" i="59" a="1"/>
  <c r="AQ163" i="59" s="1"/>
  <c r="AM148" i="11" a="1"/>
  <c r="AM148" i="11" s="1"/>
  <c r="BF73" i="22" l="1"/>
  <c r="G82" i="72" s="1"/>
  <c r="F82" i="72"/>
  <c r="BF80" i="22"/>
  <c r="F109" i="72"/>
  <c r="BF20" i="22"/>
  <c r="G28" i="72" s="1"/>
  <c r="F115" i="72"/>
  <c r="G113" i="72" s="1"/>
  <c r="BF22" i="22"/>
  <c r="BF103" i="22"/>
  <c r="G29" i="72"/>
  <c r="F152" i="72"/>
  <c r="BF23" i="22"/>
  <c r="G81" i="72"/>
  <c r="BF24" i="22"/>
  <c r="F32" i="72"/>
  <c r="F31" i="72"/>
  <c r="BF139" i="22"/>
  <c r="E90" i="36"/>
  <c r="H90" i="36"/>
  <c r="G90" i="36"/>
  <c r="AQ164" i="59" a="1"/>
  <c r="AQ164" i="59" s="1"/>
  <c r="AM149" i="11" a="1"/>
  <c r="AM149" i="11" s="1"/>
  <c r="G30" i="72" l="1"/>
  <c r="G32" i="72"/>
  <c r="G31" i="72"/>
  <c r="AQ165" i="59" a="1"/>
  <c r="AQ165" i="59" s="1"/>
  <c r="AM150" i="11" a="1"/>
  <c r="AM150" i="11" s="1"/>
  <c r="AQ166" i="59" l="1" a="1"/>
  <c r="AQ166" i="59" s="1"/>
  <c r="AM151" i="11" a="1"/>
  <c r="AM151" i="11" s="1"/>
  <c r="AQ167" i="59" l="1" a="1"/>
  <c r="AQ167" i="59" s="1"/>
  <c r="AM152" i="11" a="1"/>
  <c r="AM152" i="11" s="1"/>
  <c r="AQ168" i="59" l="1" a="1"/>
  <c r="AQ168" i="59" s="1"/>
  <c r="AM153" i="11" a="1"/>
  <c r="AM153" i="11" s="1"/>
  <c r="AQ169" i="59" l="1" a="1"/>
  <c r="AQ169" i="59" s="1"/>
  <c r="AM154" i="11" a="1"/>
  <c r="AM154" i="11" s="1"/>
  <c r="AQ170" i="59" l="1" a="1"/>
  <c r="AQ170" i="59" s="1"/>
  <c r="AM155" i="11" a="1"/>
  <c r="AM155" i="11" s="1"/>
  <c r="AQ171" i="59" l="1" a="1"/>
  <c r="AQ171" i="59" s="1"/>
  <c r="AM156" i="11" a="1"/>
  <c r="AM156" i="11" s="1"/>
  <c r="AQ172" i="59" l="1" a="1"/>
  <c r="AQ172" i="59" s="1"/>
  <c r="AM157" i="11" a="1"/>
  <c r="AM157" i="11" s="1"/>
  <c r="AQ173" i="59" l="1" a="1"/>
  <c r="AQ173" i="59" s="1"/>
  <c r="AM158" i="11" a="1"/>
  <c r="AM158" i="11" s="1"/>
  <c r="AQ174" i="59" l="1" a="1"/>
  <c r="AQ174" i="59" s="1"/>
  <c r="AM159" i="11" a="1"/>
  <c r="AM159" i="11" s="1"/>
  <c r="AQ175" i="59" l="1" a="1"/>
  <c r="AQ175" i="59" s="1"/>
  <c r="AM160" i="11" a="1"/>
  <c r="AM160" i="11" s="1"/>
  <c r="AQ176" i="59" l="1" a="1"/>
  <c r="AQ176" i="59" s="1"/>
  <c r="AM161" i="11" a="1"/>
  <c r="AM161" i="11" s="1"/>
  <c r="AQ177" i="59" l="1" a="1"/>
  <c r="AQ177" i="59" s="1"/>
  <c r="AM162" i="11" a="1"/>
  <c r="AM162" i="11" s="1"/>
  <c r="AQ178" i="59" l="1" a="1"/>
  <c r="AQ178" i="59" s="1"/>
  <c r="AM163" i="11" a="1"/>
  <c r="AM163" i="11" s="1"/>
  <c r="AQ179" i="59" l="1" a="1"/>
  <c r="AQ179" i="59" s="1"/>
  <c r="AM164" i="11" a="1"/>
  <c r="AM164" i="11" s="1"/>
  <c r="AQ180" i="59" l="1" a="1"/>
  <c r="AQ180" i="59" s="1"/>
  <c r="AM165" i="11" a="1"/>
  <c r="AM165" i="11" s="1"/>
  <c r="AQ181" i="59" l="1" a="1"/>
  <c r="AQ181" i="59" s="1"/>
  <c r="AM166" i="11" a="1"/>
  <c r="AM166" i="11" s="1"/>
  <c r="AQ182" i="59" l="1" a="1"/>
  <c r="AQ182" i="59" s="1"/>
  <c r="AM167" i="11" a="1"/>
  <c r="AM167" i="11" s="1"/>
  <c r="AQ183" i="59" l="1" a="1"/>
  <c r="AQ183" i="59" s="1"/>
  <c r="AM168" i="11" a="1"/>
  <c r="AM168" i="11" s="1"/>
  <c r="AQ184" i="59" l="1" a="1"/>
  <c r="AQ184" i="59" s="1"/>
  <c r="AM169" i="11" a="1"/>
  <c r="AM169" i="11" s="1"/>
  <c r="AQ185" i="59" l="1" a="1"/>
  <c r="AQ185" i="59" s="1"/>
  <c r="AM170" i="11" a="1"/>
  <c r="AM170" i="11" s="1"/>
  <c r="AQ186" i="59" l="1" a="1"/>
  <c r="AQ186" i="59" s="1"/>
  <c r="AM171" i="11" a="1"/>
  <c r="AM171" i="11" s="1"/>
  <c r="AQ187" i="59" l="1" a="1"/>
  <c r="AQ187" i="59" s="1"/>
  <c r="AM172" i="11" a="1"/>
  <c r="AM172" i="11" s="1"/>
  <c r="AQ188" i="59" l="1" a="1"/>
  <c r="AQ188" i="59" s="1"/>
  <c r="AM173" i="11" a="1"/>
  <c r="AM173" i="11" s="1"/>
  <c r="AQ189" i="59" l="1" a="1"/>
  <c r="AQ189" i="59" s="1"/>
  <c r="AM174" i="11" a="1"/>
  <c r="AM174" i="11" s="1"/>
  <c r="AQ190" i="59" l="1" a="1"/>
  <c r="AQ190" i="59" s="1"/>
  <c r="AM175" i="11" a="1"/>
  <c r="AM175" i="11" s="1"/>
  <c r="AQ191" i="59" l="1" a="1"/>
  <c r="AQ191" i="59" s="1"/>
  <c r="AM176" i="11" a="1"/>
  <c r="AM176" i="11" s="1"/>
  <c r="AQ192" i="59" l="1" a="1"/>
  <c r="AQ192" i="59" s="1"/>
  <c r="AM177" i="11" a="1"/>
  <c r="AM177" i="11" s="1"/>
  <c r="AQ193" i="59" l="1" a="1"/>
  <c r="AQ193" i="59" s="1"/>
  <c r="AM178" i="11" a="1"/>
  <c r="AM178" i="11" s="1"/>
  <c r="AQ194" i="59" l="1" a="1"/>
  <c r="AQ194" i="59" s="1"/>
  <c r="AM179" i="11" a="1"/>
  <c r="AM179" i="11" s="1"/>
  <c r="AQ195" i="59" l="1" a="1"/>
  <c r="AQ195" i="59" s="1"/>
  <c r="AM180" i="11" a="1"/>
  <c r="AM180" i="11" s="1"/>
  <c r="AQ196" i="59" l="1" a="1"/>
  <c r="AQ196" i="59" s="1"/>
  <c r="AM181" i="11" a="1"/>
  <c r="AM181" i="11" s="1"/>
  <c r="AQ197" i="59" l="1" a="1"/>
  <c r="AQ197" i="59" s="1"/>
  <c r="AM182" i="11" a="1"/>
  <c r="AM182" i="11" s="1"/>
  <c r="AQ198" i="59" l="1" a="1"/>
  <c r="AQ198" i="59" s="1"/>
  <c r="AM183" i="11" a="1"/>
  <c r="AM183" i="11" s="1"/>
  <c r="AQ199" i="59" l="1" a="1"/>
  <c r="AQ199" i="59" s="1"/>
  <c r="AM184" i="11" a="1"/>
  <c r="AM184" i="11" s="1"/>
  <c r="AQ200" i="59" l="1" a="1"/>
  <c r="AQ200" i="59" s="1"/>
  <c r="AM185" i="11" a="1"/>
  <c r="AM185" i="11" s="1"/>
  <c r="AQ201" i="59" l="1" a="1"/>
  <c r="AQ201" i="59" s="1"/>
  <c r="AM186" i="11" a="1"/>
  <c r="AM186" i="11" s="1"/>
  <c r="AQ202" i="59" l="1" a="1"/>
  <c r="AQ202" i="59" s="1"/>
  <c r="AM187" i="11" a="1"/>
  <c r="AM187" i="11" s="1"/>
  <c r="AQ203" i="59" l="1" a="1"/>
  <c r="AQ203" i="59" s="1"/>
  <c r="AM188" i="11" a="1"/>
  <c r="AM188" i="11" s="1"/>
  <c r="AQ204" i="59" l="1" a="1"/>
  <c r="AQ204" i="59" s="1"/>
  <c r="AM189" i="11" a="1"/>
  <c r="AM189" i="11" s="1"/>
  <c r="AQ205" i="59" l="1" a="1"/>
  <c r="AQ205" i="59" s="1"/>
  <c r="AM190" i="11" a="1"/>
  <c r="AM190" i="11" s="1"/>
  <c r="AQ206" i="59" l="1" a="1"/>
  <c r="AQ206" i="59" s="1"/>
  <c r="AM191" i="11" a="1"/>
  <c r="AM191" i="11" s="1"/>
  <c r="AQ207" i="59" l="1" a="1"/>
  <c r="AQ207" i="59" s="1"/>
  <c r="AM192" i="11" a="1"/>
  <c r="AM192" i="11" s="1"/>
  <c r="AQ208" i="59" l="1" a="1"/>
  <c r="AQ208" i="59" s="1"/>
  <c r="AM193" i="11" a="1"/>
  <c r="AM193" i="11" s="1"/>
  <c r="AQ209" i="59" l="1" a="1"/>
  <c r="AQ209" i="59" s="1"/>
  <c r="AM194" i="11" a="1"/>
  <c r="AM194" i="11" s="1"/>
  <c r="AQ210" i="59" l="1" a="1"/>
  <c r="AQ210" i="59" s="1"/>
  <c r="AM195" i="11" a="1"/>
  <c r="AM195" i="11" s="1"/>
  <c r="AQ211" i="59" l="1" a="1"/>
  <c r="AQ211" i="59" s="1"/>
  <c r="AM196" i="11" a="1"/>
  <c r="AM196" i="11" s="1"/>
  <c r="AQ212" i="59" l="1" a="1"/>
  <c r="AQ212" i="59" s="1"/>
  <c r="AM197" i="11" a="1"/>
  <c r="AM197" i="11" s="1"/>
  <c r="AQ213" i="59" l="1" a="1"/>
  <c r="AQ213" i="59" s="1"/>
  <c r="AM198" i="11" a="1"/>
  <c r="AM198" i="11" s="1"/>
  <c r="AQ214" i="59" l="1" a="1"/>
  <c r="AQ214" i="59" s="1"/>
  <c r="AM199" i="11" a="1"/>
  <c r="AM199" i="11" s="1"/>
  <c r="AQ215" i="59" l="1" a="1"/>
  <c r="AQ215" i="59" s="1"/>
  <c r="AM200" i="11" a="1"/>
  <c r="AM200" i="11" s="1"/>
  <c r="AQ216" i="59" l="1" a="1"/>
  <c r="AQ216" i="59" s="1"/>
  <c r="AM201" i="11" a="1"/>
  <c r="AM201" i="11" s="1"/>
  <c r="AQ217" i="59" l="1" a="1"/>
  <c r="AQ217" i="59" s="1"/>
  <c r="AM202" i="11" a="1"/>
  <c r="AM202" i="11" s="1"/>
  <c r="AQ218" i="59" l="1" a="1"/>
  <c r="AQ218" i="59" s="1"/>
  <c r="AM203" i="11" a="1"/>
  <c r="AM203" i="11" s="1"/>
  <c r="AQ219" i="59" l="1" a="1"/>
  <c r="AQ219" i="59" s="1"/>
  <c r="AM204" i="11" a="1"/>
  <c r="AM204" i="11" s="1"/>
  <c r="AQ220" i="59" l="1" a="1"/>
  <c r="AQ220" i="59" s="1"/>
  <c r="AM205" i="11" a="1"/>
  <c r="AM205" i="11" s="1"/>
  <c r="AQ221" i="59" l="1" a="1"/>
  <c r="AQ221" i="59" s="1"/>
  <c r="AM206" i="11" a="1"/>
  <c r="AM206" i="11" s="1"/>
  <c r="AQ222" i="59" l="1" a="1"/>
  <c r="AQ222" i="59" s="1"/>
  <c r="AM207" i="11" a="1"/>
  <c r="AM207" i="11" s="1"/>
  <c r="AQ223" i="59" l="1" a="1"/>
  <c r="AQ223" i="59" s="1"/>
  <c r="AM208" i="11" a="1"/>
  <c r="AM208" i="11" s="1"/>
  <c r="AQ224" i="59" l="1" a="1"/>
  <c r="AQ224" i="59" s="1"/>
  <c r="AM209" i="11" a="1"/>
  <c r="AM209" i="11" s="1"/>
  <c r="AQ225" i="59" l="1" a="1"/>
  <c r="AQ225" i="59" s="1"/>
  <c r="AM210" i="11" a="1"/>
  <c r="AM210" i="11" s="1"/>
  <c r="AQ226" i="59" l="1" a="1"/>
  <c r="AQ226" i="59" s="1"/>
  <c r="AM211" i="11" a="1"/>
  <c r="AM211" i="11" s="1"/>
  <c r="AQ227" i="59" l="1" a="1"/>
  <c r="AQ227" i="59" s="1"/>
  <c r="AM212" i="11" a="1"/>
  <c r="AM212" i="11" s="1"/>
  <c r="AQ228" i="59" l="1" a="1"/>
  <c r="AQ228" i="59" s="1"/>
  <c r="AM213" i="11" a="1"/>
  <c r="AM213" i="11" s="1"/>
  <c r="AQ229" i="59" l="1" a="1"/>
  <c r="AQ229" i="59" s="1"/>
  <c r="AM214" i="11" a="1"/>
  <c r="AM214" i="11" s="1"/>
  <c r="AQ230" i="59" l="1" a="1"/>
  <c r="AQ230" i="59" s="1"/>
  <c r="AM215" i="11" a="1"/>
  <c r="AM215" i="11" s="1"/>
  <c r="AQ231" i="59" l="1" a="1"/>
  <c r="AQ231" i="59" s="1"/>
  <c r="AM216" i="11" a="1"/>
  <c r="AM216" i="11" s="1"/>
  <c r="AQ232" i="59" l="1" a="1"/>
  <c r="AQ232" i="59" s="1"/>
  <c r="AM217" i="11" a="1"/>
  <c r="AM217" i="11" s="1"/>
  <c r="AQ233" i="59" l="1" a="1"/>
  <c r="AQ233" i="59" s="1"/>
  <c r="AM218" i="11" a="1"/>
  <c r="AM218" i="11" s="1"/>
  <c r="AQ234" i="59" l="1" a="1"/>
  <c r="AQ234" i="59" s="1"/>
  <c r="AM219" i="11" a="1"/>
  <c r="AM219" i="11" s="1"/>
  <c r="AQ235" i="59" l="1" a="1"/>
  <c r="AQ235" i="59" s="1"/>
  <c r="AM220" i="11" a="1"/>
  <c r="AM220" i="11" s="1"/>
  <c r="AQ236" i="59" l="1" a="1"/>
  <c r="AQ236" i="59" s="1"/>
  <c r="AM221" i="11" a="1"/>
  <c r="AM221" i="11" s="1"/>
  <c r="AQ237" i="59" l="1" a="1"/>
  <c r="AQ237" i="59" s="1"/>
  <c r="AM222" i="11" a="1"/>
  <c r="AM222" i="11" s="1"/>
  <c r="AQ238" i="59" l="1" a="1"/>
  <c r="AQ238" i="59" s="1"/>
  <c r="AM223" i="11" a="1"/>
  <c r="AM223" i="11" s="1"/>
  <c r="AQ239" i="59" l="1" a="1"/>
  <c r="AQ239" i="59" s="1"/>
  <c r="AM224" i="11" a="1"/>
  <c r="AM224" i="11" s="1"/>
  <c r="AQ240" i="59" l="1" a="1"/>
  <c r="AQ240" i="59" s="1"/>
  <c r="AM225" i="11" a="1"/>
  <c r="AM225" i="11" s="1"/>
  <c r="AQ241" i="59" l="1" a="1"/>
  <c r="AQ241" i="59" s="1"/>
  <c r="AM226" i="11" a="1"/>
  <c r="AM226" i="11" s="1"/>
  <c r="AQ242" i="59" l="1" a="1"/>
  <c r="AQ242" i="59" s="1"/>
  <c r="AM227" i="11" a="1"/>
  <c r="AM227" i="11" s="1"/>
  <c r="AQ243" i="59" l="1" a="1"/>
  <c r="AQ243" i="59" s="1"/>
  <c r="AM228" i="11" a="1"/>
  <c r="AM228" i="11" s="1"/>
  <c r="AQ244" i="59" l="1" a="1"/>
  <c r="AQ244" i="59" s="1"/>
  <c r="AM229" i="11" a="1"/>
  <c r="AM229" i="11" s="1"/>
  <c r="AQ245" i="59" l="1" a="1"/>
  <c r="AQ245" i="59" s="1"/>
  <c r="AM230" i="11" a="1"/>
  <c r="AM230" i="11" s="1"/>
  <c r="AQ246" i="59" l="1" a="1"/>
  <c r="AQ246" i="59" s="1"/>
  <c r="AM231" i="11" a="1"/>
  <c r="AM231" i="11" s="1"/>
  <c r="AQ247" i="59" l="1" a="1"/>
  <c r="AQ247" i="59" s="1"/>
  <c r="AM232" i="11" a="1"/>
  <c r="AM232" i="11" s="1"/>
  <c r="AQ248" i="59" l="1" a="1"/>
  <c r="AQ248" i="59" s="1"/>
  <c r="AM233" i="11" a="1"/>
  <c r="AM233" i="11" s="1"/>
  <c r="AQ249" i="59" l="1" a="1"/>
  <c r="AQ249" i="59" s="1"/>
  <c r="AM234" i="11" a="1"/>
  <c r="AM234" i="11" s="1"/>
  <c r="AQ250" i="59" l="1" a="1"/>
  <c r="AQ250" i="59" s="1"/>
  <c r="AM235" i="11" a="1"/>
  <c r="AM235" i="11" s="1"/>
  <c r="AQ251" i="59" l="1" a="1"/>
  <c r="AQ251" i="59" s="1"/>
  <c r="AM236" i="11" a="1"/>
  <c r="AM236" i="11" s="1"/>
  <c r="AQ252" i="59" l="1" a="1"/>
  <c r="AQ252" i="59" s="1"/>
  <c r="AM237" i="11" a="1"/>
  <c r="AM237" i="11" s="1"/>
  <c r="AQ253" i="59" l="1" a="1"/>
  <c r="AQ253" i="59" s="1"/>
  <c r="AM238" i="11" a="1"/>
  <c r="AM238" i="11" s="1"/>
  <c r="AQ254" i="59" l="1" a="1"/>
  <c r="AQ254" i="59" s="1"/>
  <c r="AM239" i="11" a="1"/>
  <c r="AM239" i="11" s="1"/>
  <c r="AQ255" i="59" l="1" a="1"/>
  <c r="AQ255" i="59" s="1"/>
  <c r="AM240" i="11" a="1"/>
  <c r="AM240" i="11" s="1"/>
  <c r="AQ256" i="59" l="1" a="1"/>
  <c r="AQ256" i="59" s="1"/>
  <c r="AM241" i="11" a="1"/>
  <c r="AM241" i="11" s="1"/>
  <c r="AQ257" i="59" l="1" a="1"/>
  <c r="AQ257" i="59" s="1"/>
  <c r="AQ258" i="59" s="1" a="1"/>
  <c r="AQ258" i="59" s="1"/>
  <c r="AM242" i="11" a="1"/>
  <c r="AM242" i="11" s="1"/>
  <c r="AM243" i="11" l="1" a="1"/>
  <c r="AM243" i="11" s="1"/>
  <c r="AM244" i="11" l="1" a="1"/>
  <c r="AM244" i="11" s="1"/>
  <c r="AM245" i="11" l="1" a="1"/>
  <c r="AM245" i="11" s="1"/>
  <c r="AD60" i="22" l="1"/>
  <c r="BD125" i="22" s="1"/>
  <c r="AD76" i="22"/>
  <c r="BD105" i="22" s="1"/>
  <c r="E108" i="72" s="1"/>
  <c r="AC60" i="22"/>
  <c r="AN23" i="22"/>
  <c r="AM22" i="22"/>
  <c r="AD62" i="22"/>
  <c r="BD124" i="22" s="1"/>
  <c r="AN21" i="22"/>
  <c r="F59" i="36" s="1"/>
  <c r="H59" i="36" s="1"/>
  <c r="AM21" i="22"/>
  <c r="E59" i="36" s="1"/>
  <c r="G59" i="36" s="1"/>
  <c r="AM23" i="22"/>
  <c r="AC62" i="22"/>
  <c r="AN22" i="22"/>
  <c r="AM25" i="22"/>
  <c r="AN25" i="22"/>
  <c r="AN28" i="22"/>
  <c r="AN24" i="22"/>
  <c r="AN27" i="22"/>
  <c r="AM24" i="22"/>
  <c r="AM27" i="22"/>
  <c r="AC4" i="22"/>
  <c r="AC94" i="22"/>
  <c r="AD75" i="22"/>
  <c r="BD132" i="22" s="1"/>
  <c r="AC82" i="22"/>
  <c r="AC59" i="22"/>
  <c r="AD33" i="22"/>
  <c r="BD92" i="22" s="1"/>
  <c r="AD82" i="22"/>
  <c r="AC61" i="22"/>
  <c r="AC73" i="22"/>
  <c r="AD25" i="22"/>
  <c r="BD34" i="22" s="1"/>
  <c r="AD36" i="22"/>
  <c r="BD36" i="22" s="1"/>
  <c r="AD101" i="22"/>
  <c r="BD60" i="22" s="1"/>
  <c r="AC12" i="22"/>
  <c r="AD64" i="22"/>
  <c r="BD157" i="22" s="1"/>
  <c r="AD68" i="22"/>
  <c r="AD40" i="22"/>
  <c r="AC79" i="22"/>
  <c r="AD70" i="22"/>
  <c r="BD128" i="22" s="1"/>
  <c r="AD65" i="22"/>
  <c r="BD96" i="22" s="1"/>
  <c r="AC58" i="22"/>
  <c r="AC29" i="22"/>
  <c r="AC30" i="22"/>
  <c r="AC16" i="22"/>
  <c r="AD29" i="22"/>
  <c r="BD89" i="22" s="1"/>
  <c r="AD21" i="22"/>
  <c r="BD84" i="22" s="1"/>
  <c r="AD59" i="22"/>
  <c r="BD95" i="22" s="1"/>
  <c r="AC81" i="22"/>
  <c r="AC67" i="22"/>
  <c r="AC54" i="22"/>
  <c r="AC6" i="22"/>
  <c r="AC56" i="22"/>
  <c r="AD53" i="22"/>
  <c r="BD47" i="22" s="1"/>
  <c r="AD24" i="22"/>
  <c r="BD86" i="22" s="1"/>
  <c r="AD11" i="22"/>
  <c r="BD115" i="22" s="1"/>
  <c r="AD78" i="22"/>
  <c r="BD159" i="22" s="1"/>
  <c r="AC31" i="22"/>
  <c r="AC43" i="22"/>
  <c r="AD37" i="22"/>
  <c r="BD149" i="22" s="1"/>
  <c r="AD93" i="22"/>
  <c r="BD56" i="22" s="1"/>
  <c r="AC33" i="22"/>
  <c r="AC7" i="22"/>
  <c r="AD45" i="22"/>
  <c r="BD42" i="22" s="1"/>
  <c r="AC57" i="22"/>
  <c r="AD12" i="22"/>
  <c r="BD116" i="22" s="1"/>
  <c r="AC101" i="22"/>
  <c r="AC17" i="22"/>
  <c r="AC13" i="22"/>
  <c r="AC77" i="22"/>
  <c r="AC44" i="22"/>
  <c r="AD43" i="22"/>
  <c r="BD40" i="22" s="1"/>
  <c r="AD91" i="22"/>
  <c r="BD53" i="22" s="1"/>
  <c r="AD46" i="22"/>
  <c r="BD43" i="22" s="1"/>
  <c r="AD61" i="22"/>
  <c r="BD156" i="22" s="1"/>
  <c r="AC45" i="22"/>
  <c r="AC26" i="22"/>
  <c r="AD41" i="22"/>
  <c r="BD122" i="22" s="1"/>
  <c r="AD18" i="22"/>
  <c r="BD5" i="22" s="1"/>
  <c r="AD39" i="22"/>
  <c r="BD37" i="22" s="1"/>
  <c r="AC37" i="22"/>
  <c r="AC52" i="22"/>
  <c r="AC98" i="22"/>
  <c r="AD90" i="22"/>
  <c r="BD52" i="22" s="1"/>
  <c r="AD9" i="22"/>
  <c r="BD118" i="22" s="1"/>
  <c r="AC91" i="22"/>
  <c r="AD10" i="22"/>
  <c r="BD114" i="22" s="1"/>
  <c r="AC39" i="22"/>
  <c r="AD72" i="22"/>
  <c r="BD130" i="22" s="1"/>
  <c r="AD28" i="22"/>
  <c r="BD88" i="22" s="1"/>
  <c r="AC70" i="22"/>
  <c r="AC34" i="22"/>
  <c r="AD100" i="22"/>
  <c r="BD59" i="22" s="1"/>
  <c r="AD96" i="22"/>
  <c r="BD99" i="22" s="1"/>
  <c r="AC68" i="22"/>
  <c r="AD71" i="22"/>
  <c r="AD48" i="22"/>
  <c r="BD93" i="22" s="1"/>
  <c r="AC40" i="22"/>
  <c r="AD23" i="22"/>
  <c r="BD33" i="22" s="1"/>
  <c r="AD17" i="22"/>
  <c r="BD32" i="22" s="1"/>
  <c r="AD26" i="22"/>
  <c r="AD51" i="22"/>
  <c r="AD54" i="22"/>
  <c r="BD123" i="22" s="1"/>
  <c r="AC36" i="22"/>
  <c r="AC65" i="22"/>
  <c r="AC19" i="22"/>
  <c r="AD97" i="22"/>
  <c r="BD100" i="22" s="1"/>
  <c r="AD67" i="22"/>
  <c r="AC22" i="22"/>
  <c r="AD83" i="22"/>
  <c r="AD88" i="22"/>
  <c r="BD51" i="22" s="1"/>
  <c r="AD57" i="22"/>
  <c r="AC5" i="22"/>
  <c r="AD42" i="22"/>
  <c r="BD39" i="22" s="1"/>
  <c r="AC89" i="22"/>
  <c r="AC51" i="22"/>
  <c r="AC78" i="22"/>
  <c r="AD31" i="22"/>
  <c r="BD91" i="22" s="1"/>
  <c r="AC76" i="22"/>
  <c r="AO34" i="22" s="1"/>
  <c r="AC63" i="22"/>
  <c r="AC42" i="22"/>
  <c r="AD87" i="22"/>
  <c r="AD5" i="22"/>
  <c r="BD81" i="22" s="1"/>
  <c r="AC71" i="22"/>
  <c r="AC69" i="22"/>
  <c r="AC72" i="22"/>
  <c r="AC46" i="22"/>
  <c r="AC93" i="22"/>
  <c r="AD102" i="22"/>
  <c r="BD61" i="22" s="1"/>
  <c r="AD6" i="22"/>
  <c r="BD82" i="22" s="1"/>
  <c r="AC49" i="22"/>
  <c r="AC48" i="22"/>
  <c r="AD22" i="22"/>
  <c r="BD85" i="22" s="1"/>
  <c r="AC10" i="22"/>
  <c r="AD85" i="22"/>
  <c r="AD63" i="22"/>
  <c r="AC99" i="22"/>
  <c r="AC25" i="22"/>
  <c r="AC84" i="22"/>
  <c r="AD52" i="22"/>
  <c r="BD46" i="22" s="1"/>
  <c r="AD49" i="22"/>
  <c r="BD94" i="22" s="1"/>
  <c r="AC18" i="22"/>
  <c r="AD95" i="22"/>
  <c r="BD98" i="22" s="1"/>
  <c r="AD89" i="22"/>
  <c r="AD86" i="22"/>
  <c r="AD66" i="22"/>
  <c r="BD158" i="22" s="1"/>
  <c r="AD20" i="22"/>
  <c r="BD119" i="22" s="1"/>
  <c r="AD69" i="22"/>
  <c r="AC97" i="22"/>
  <c r="AC64" i="22"/>
  <c r="AC9" i="22"/>
  <c r="AD30" i="22"/>
  <c r="BD90" i="22" s="1"/>
  <c r="E99" i="72" s="1"/>
  <c r="AC53" i="22"/>
  <c r="AD94" i="22"/>
  <c r="BD138" i="22" s="1"/>
  <c r="AC20" i="22"/>
  <c r="AD27" i="22"/>
  <c r="BD87" i="22" s="1"/>
  <c r="AD73" i="22"/>
  <c r="BD50" i="22" s="1"/>
  <c r="AC86" i="22"/>
  <c r="AD98" i="22"/>
  <c r="BD57" i="22" s="1"/>
  <c r="AC14" i="22"/>
  <c r="AC102" i="22"/>
  <c r="AD14" i="22"/>
  <c r="BD30" i="22" s="1"/>
  <c r="D37" i="104" s="1"/>
  <c r="AD16" i="22"/>
  <c r="BD31" i="22" s="1"/>
  <c r="AD47" i="22"/>
  <c r="BD44" i="22" s="1"/>
  <c r="AC47" i="22"/>
  <c r="AD79" i="22"/>
  <c r="BD136" i="22" s="1"/>
  <c r="AD84" i="22"/>
  <c r="AC66" i="22"/>
  <c r="AD19" i="22"/>
  <c r="AD7" i="22"/>
  <c r="BD83" i="22" s="1"/>
  <c r="AD34" i="22"/>
  <c r="AC11" i="22"/>
  <c r="AD99" i="22"/>
  <c r="BD58" i="22" s="1"/>
  <c r="AC32" i="22"/>
  <c r="AC27" i="22"/>
  <c r="AC50" i="22"/>
  <c r="AC83" i="22"/>
  <c r="AC75" i="22"/>
  <c r="AC85" i="22"/>
  <c r="AC92" i="22"/>
  <c r="AC96" i="22"/>
  <c r="AC24" i="22"/>
  <c r="AD32" i="22"/>
  <c r="BD35" i="22" s="1"/>
  <c r="AD56" i="22"/>
  <c r="BD48" i="22" s="1"/>
  <c r="AC90" i="22"/>
  <c r="AC23" i="22"/>
  <c r="AC95" i="22"/>
  <c r="AD50" i="22"/>
  <c r="BD45" i="22" s="1"/>
  <c r="AC87" i="22"/>
  <c r="AD92" i="22"/>
  <c r="BD54" i="22" s="1"/>
  <c r="AD58" i="22"/>
  <c r="BD49" i="22" s="1"/>
  <c r="AC41" i="22"/>
  <c r="AC88" i="22"/>
  <c r="AD77" i="22"/>
  <c r="BD135" i="22" s="1"/>
  <c r="AC28" i="22"/>
  <c r="AD13" i="22"/>
  <c r="BD117" i="22" s="1"/>
  <c r="AD81" i="22"/>
  <c r="BD137" i="22" s="1"/>
  <c r="AC21" i="22"/>
  <c r="AD44" i="22"/>
  <c r="BD41" i="22" s="1"/>
  <c r="AM246" i="11" a="1"/>
  <c r="AM246" i="11" s="1"/>
  <c r="AP34" i="22" l="1"/>
  <c r="D25" i="104"/>
  <c r="D15" i="104"/>
  <c r="E150" i="72"/>
  <c r="E129" i="72"/>
  <c r="E62" i="72"/>
  <c r="E162" i="72"/>
  <c r="E127" i="72"/>
  <c r="E142" i="72"/>
  <c r="E131" i="72"/>
  <c r="E90" i="72"/>
  <c r="E135" i="72"/>
  <c r="E126" i="72"/>
  <c r="E13" i="72"/>
  <c r="E148" i="72"/>
  <c r="E149" i="72"/>
  <c r="E151" i="72"/>
  <c r="E91" i="72"/>
  <c r="E134" i="72"/>
  <c r="E128" i="72"/>
  <c r="E137" i="72"/>
  <c r="E103" i="72"/>
  <c r="E145" i="72"/>
  <c r="E130" i="72"/>
  <c r="E147" i="72"/>
  <c r="E139" i="72"/>
  <c r="BD11" i="22"/>
  <c r="BD150" i="22"/>
  <c r="BD9" i="22"/>
  <c r="BD12" i="22"/>
  <c r="BD15" i="22"/>
  <c r="BD13" i="22"/>
  <c r="BD14" i="22"/>
  <c r="BD10" i="22"/>
  <c r="BD7" i="22"/>
  <c r="BD16" i="22"/>
  <c r="BD17" i="22"/>
  <c r="E70" i="72"/>
  <c r="BD19" i="22"/>
  <c r="BD18" i="22"/>
  <c r="BD6" i="22"/>
  <c r="BD8" i="22"/>
  <c r="BD127" i="22"/>
  <c r="BD126" i="22"/>
  <c r="BD97" i="22"/>
  <c r="BD129" i="22"/>
  <c r="AD8" i="22"/>
  <c r="AC15" i="22"/>
  <c r="AO22" i="22" s="1"/>
  <c r="AD35" i="22"/>
  <c r="AM26" i="22"/>
  <c r="AD15" i="22"/>
  <c r="AN26" i="22"/>
  <c r="AC8" i="22"/>
  <c r="AO21" i="22" s="1"/>
  <c r="AC35" i="22"/>
  <c r="AO23" i="22" s="1"/>
  <c r="AD74" i="22"/>
  <c r="AC74" i="22"/>
  <c r="AO26" i="22" s="1"/>
  <c r="AO24" i="22"/>
  <c r="AP28" i="22"/>
  <c r="AP27" i="22"/>
  <c r="AP25" i="22"/>
  <c r="AP24" i="22"/>
  <c r="AO27" i="22"/>
  <c r="AO25" i="22"/>
  <c r="AM28" i="22"/>
  <c r="AC100" i="22"/>
  <c r="AO28" i="22" s="1"/>
  <c r="E53" i="72"/>
  <c r="E51" i="72"/>
  <c r="E55" i="72"/>
  <c r="E54" i="72"/>
  <c r="E41" i="72"/>
  <c r="E58" i="72"/>
  <c r="E94" i="72"/>
  <c r="E97" i="72"/>
  <c r="E69" i="72"/>
  <c r="E42" i="72"/>
  <c r="E68" i="72"/>
  <c r="E46" i="72"/>
  <c r="E57" i="72"/>
  <c r="E111" i="72"/>
  <c r="E105" i="72"/>
  <c r="E52" i="72"/>
  <c r="E95" i="72"/>
  <c r="E98" i="72"/>
  <c r="E48" i="72"/>
  <c r="E102" i="72"/>
  <c r="E59" i="72"/>
  <c r="E104" i="72"/>
  <c r="E92" i="72"/>
  <c r="E56" i="72"/>
  <c r="E110" i="72"/>
  <c r="E101" i="72"/>
  <c r="E67" i="72"/>
  <c r="E50" i="72"/>
  <c r="E112" i="72"/>
  <c r="E60" i="72"/>
  <c r="E43" i="72"/>
  <c r="E106" i="72"/>
  <c r="E66" i="72"/>
  <c r="E61" i="72"/>
  <c r="E65" i="72"/>
  <c r="E64" i="72"/>
  <c r="E47" i="72"/>
  <c r="E44" i="72"/>
  <c r="E96" i="72"/>
  <c r="E49" i="72"/>
  <c r="E63" i="72"/>
  <c r="BD79" i="22"/>
  <c r="E93" i="72"/>
  <c r="E45" i="72"/>
  <c r="AM247" i="11" a="1"/>
  <c r="AM247" i="11" s="1"/>
  <c r="D38" i="104" l="1"/>
  <c r="D23" i="105"/>
  <c r="E107" i="72"/>
  <c r="D26" i="104"/>
  <c r="E14" i="72"/>
  <c r="E25" i="72"/>
  <c r="E22" i="72"/>
  <c r="E17" i="72"/>
  <c r="E140" i="72"/>
  <c r="E26" i="72"/>
  <c r="E24" i="72"/>
  <c r="E21" i="72"/>
  <c r="E144" i="72"/>
  <c r="E141" i="72"/>
  <c r="E27" i="72"/>
  <c r="E15" i="72"/>
  <c r="E23" i="72"/>
  <c r="E19" i="72"/>
  <c r="E143" i="72"/>
  <c r="E16" i="72"/>
  <c r="E18" i="72"/>
  <c r="E20" i="72"/>
  <c r="E83" i="72"/>
  <c r="AP22" i="22"/>
  <c r="BD120" i="22"/>
  <c r="AP23" i="22"/>
  <c r="BD121" i="22"/>
  <c r="AP26" i="22"/>
  <c r="BD131" i="22"/>
  <c r="AP21" i="22"/>
  <c r="E89" i="72"/>
  <c r="AM248" i="11" a="1"/>
  <c r="AM248" i="11" s="1"/>
  <c r="E116" i="72" l="1"/>
  <c r="E33" i="72"/>
  <c r="E146" i="72"/>
  <c r="E132" i="72"/>
  <c r="E133" i="72"/>
  <c r="AM249" i="11" a="1"/>
  <c r="AM249" i="11" s="1"/>
  <c r="AM250" i="11" l="1" a="1"/>
  <c r="AM250" i="11" s="1"/>
  <c r="AM251" i="11" l="1" a="1"/>
  <c r="AM251" i="11" s="1"/>
  <c r="AM252" i="11" l="1" a="1"/>
  <c r="AM252" i="11" s="1"/>
  <c r="AM253" i="11" l="1" a="1"/>
  <c r="AM253" i="11" s="1"/>
  <c r="AM254" i="11" l="1" a="1"/>
  <c r="AM254" i="11" s="1"/>
  <c r="AM255" i="11" l="1" a="1"/>
  <c r="AM255" i="11" s="1"/>
  <c r="AM256" i="11" l="1" a="1"/>
  <c r="AM256" i="11" s="1"/>
  <c r="AM257" i="11" l="1" a="1"/>
  <c r="AM257" i="11" s="1"/>
  <c r="AM258" i="11" s="1" a="1"/>
  <c r="AM258" i="11" s="1"/>
  <c r="AZ83" i="22" l="1"/>
  <c r="AY158" i="22"/>
  <c r="AY51" i="22"/>
  <c r="AY50" i="22"/>
  <c r="AY53" i="22"/>
  <c r="AY117" i="22"/>
  <c r="AY99" i="22"/>
  <c r="AY127" i="22"/>
  <c r="AY135" i="22"/>
  <c r="AY124" i="22"/>
  <c r="AY125" i="22"/>
  <c r="AZ124" i="22"/>
  <c r="AY44" i="22"/>
  <c r="AZ125" i="22"/>
  <c r="AY32" i="22"/>
  <c r="AY89" i="22"/>
  <c r="AY87" i="22"/>
  <c r="AY60" i="22"/>
  <c r="AY56" i="22"/>
  <c r="AY58" i="22"/>
  <c r="AY59" i="22"/>
  <c r="AY49" i="22"/>
  <c r="AY11" i="22"/>
  <c r="AZ52" i="22"/>
  <c r="AY45" i="22"/>
  <c r="AY5" i="22"/>
  <c r="AY128" i="22"/>
  <c r="AY6" i="22"/>
  <c r="AY96" i="22"/>
  <c r="AZ131" i="22"/>
  <c r="AY90" i="22"/>
  <c r="AY43" i="22"/>
  <c r="AY114" i="22"/>
  <c r="AY130" i="22"/>
  <c r="AY47" i="22"/>
  <c r="AZ120" i="22"/>
  <c r="AY94" i="22"/>
  <c r="AY138" i="22"/>
  <c r="AY17" i="22"/>
  <c r="AY121" i="22"/>
  <c r="AY14" i="22"/>
  <c r="AY116" i="22"/>
  <c r="AY83" i="22"/>
  <c r="AY120" i="22"/>
  <c r="AY159" i="22"/>
  <c r="AY92" i="22"/>
  <c r="AY8" i="22"/>
  <c r="AY95" i="22"/>
  <c r="AY118" i="22"/>
  <c r="AY37" i="22"/>
  <c r="AY82" i="22"/>
  <c r="AY100" i="22"/>
  <c r="AY41" i="22"/>
  <c r="AY136" i="22"/>
  <c r="AY88" i="22"/>
  <c r="AY54" i="22"/>
  <c r="AY137" i="22"/>
  <c r="AY156" i="22"/>
  <c r="AY131" i="22"/>
  <c r="AY40" i="22"/>
  <c r="AY85" i="22"/>
  <c r="AY46" i="22"/>
  <c r="AY16" i="22"/>
  <c r="AY12" i="22"/>
  <c r="AY123" i="22"/>
  <c r="AY157" i="22"/>
  <c r="AY31" i="22"/>
  <c r="AY35" i="22"/>
  <c r="AY36" i="22"/>
  <c r="AY57" i="22"/>
  <c r="AY48" i="22"/>
  <c r="AY129" i="22"/>
  <c r="AY122" i="22"/>
  <c r="AY86" i="22"/>
  <c r="AY93" i="22"/>
  <c r="AY10" i="22"/>
  <c r="AY98" i="22"/>
  <c r="AY81" i="22"/>
  <c r="AY119" i="22"/>
  <c r="AY33" i="22"/>
  <c r="AY18" i="22"/>
  <c r="AY30" i="22"/>
  <c r="AY15" i="22"/>
  <c r="AY91" i="22"/>
  <c r="AY7" i="22"/>
  <c r="AY149" i="22"/>
  <c r="AY84" i="22"/>
  <c r="AY52" i="22"/>
  <c r="AY39" i="22"/>
  <c r="AZ121" i="22"/>
  <c r="AY115" i="22"/>
  <c r="AY97" i="22"/>
  <c r="AY132" i="22"/>
  <c r="AY34" i="22"/>
  <c r="AY42" i="22"/>
  <c r="AZ98" i="22" l="1"/>
  <c r="AZ81" i="22"/>
  <c r="AZ96" i="22"/>
  <c r="AZ32" i="22"/>
  <c r="AZ11" i="22"/>
  <c r="AZ12" i="22"/>
  <c r="AZ48" i="22"/>
  <c r="AZ122" i="22"/>
  <c r="AZ30" i="22"/>
  <c r="AZ58" i="22"/>
  <c r="AZ119" i="22"/>
  <c r="AZ116" i="22"/>
  <c r="AZ156" i="22"/>
  <c r="AZ18" i="22"/>
  <c r="AZ138" i="22"/>
  <c r="AZ90" i="22"/>
  <c r="AZ89" i="22"/>
  <c r="AZ16" i="22"/>
  <c r="AZ88" i="22"/>
  <c r="AZ10" i="22"/>
  <c r="AZ157" i="22"/>
  <c r="AZ8" i="22"/>
  <c r="AZ45" i="22"/>
  <c r="AZ99" i="22"/>
  <c r="AZ159" i="22"/>
  <c r="AZ50" i="22"/>
  <c r="AZ114" i="22"/>
  <c r="AZ5" i="22"/>
  <c r="AZ93" i="22"/>
  <c r="AZ82" i="22"/>
  <c r="AZ135" i="22"/>
  <c r="AZ43" i="22"/>
  <c r="AZ47" i="22"/>
  <c r="AZ7" i="22"/>
  <c r="AZ97" i="22"/>
  <c r="AZ60" i="22"/>
  <c r="AZ49" i="22"/>
  <c r="AZ115" i="22"/>
  <c r="AZ130" i="22"/>
  <c r="AZ84" i="22"/>
  <c r="AZ127" i="22"/>
  <c r="AZ129" i="22"/>
  <c r="AZ57" i="22"/>
  <c r="AZ86" i="22"/>
  <c r="AZ56" i="22"/>
  <c r="AZ91" i="22"/>
  <c r="AZ100" i="22"/>
  <c r="AZ17" i="22"/>
  <c r="AZ92" i="22"/>
  <c r="AZ95" i="22"/>
  <c r="AZ132" i="22"/>
  <c r="AZ87" i="22"/>
  <c r="AZ15" i="22"/>
  <c r="AZ79" i="22"/>
  <c r="AZ35" i="22"/>
  <c r="AZ51" i="22"/>
  <c r="AZ54" i="22"/>
  <c r="AZ34" i="22"/>
  <c r="AZ85" i="22"/>
  <c r="AZ31" i="22"/>
  <c r="AZ33" i="22"/>
  <c r="Q4" i="22"/>
  <c r="BA79" i="22" s="1"/>
  <c r="AY79" i="22"/>
  <c r="AZ118" i="22"/>
  <c r="AZ149" i="22"/>
  <c r="AZ128" i="22"/>
  <c r="AZ41" i="22"/>
  <c r="AZ42" i="22"/>
  <c r="AZ53" i="22"/>
  <c r="AZ36" i="22"/>
  <c r="AZ46" i="22"/>
  <c r="AZ123" i="22"/>
  <c r="AZ137" i="22"/>
  <c r="AZ14" i="22"/>
  <c r="AZ136" i="22"/>
  <c r="AZ94" i="22"/>
  <c r="AZ6" i="22"/>
  <c r="AZ117" i="22"/>
  <c r="AZ158" i="22"/>
  <c r="AZ37" i="22"/>
  <c r="AZ39" i="22"/>
  <c r="AZ40" i="22"/>
  <c r="AZ44" i="22"/>
  <c r="R7" i="22"/>
  <c r="AF7" i="22" s="1"/>
  <c r="E60" i="36"/>
  <c r="G60" i="36" s="1"/>
  <c r="E66" i="36"/>
  <c r="G66" i="36" s="1"/>
  <c r="E62" i="36"/>
  <c r="G62" i="36" s="1"/>
  <c r="E63" i="36"/>
  <c r="G63" i="36" s="1"/>
  <c r="E64" i="36"/>
  <c r="G64" i="36" s="1"/>
  <c r="F62" i="36"/>
  <c r="H62" i="36" s="1"/>
  <c r="F63" i="36"/>
  <c r="H63" i="36" s="1"/>
  <c r="F61" i="36"/>
  <c r="H61" i="36" s="1"/>
  <c r="F60" i="36"/>
  <c r="H60" i="36" s="1"/>
  <c r="E61" i="36"/>
  <c r="G61" i="36" s="1"/>
  <c r="F64" i="36"/>
  <c r="H64" i="36" s="1"/>
  <c r="AM11" i="22"/>
  <c r="E46" i="36" s="1"/>
  <c r="E40" i="36"/>
  <c r="AM9" i="22"/>
  <c r="E44" i="36" s="1"/>
  <c r="AN7" i="22"/>
  <c r="F42" i="36" s="1"/>
  <c r="AM7" i="22"/>
  <c r="E42" i="36" s="1"/>
  <c r="AM4" i="22"/>
  <c r="AM8" i="22"/>
  <c r="E43" i="36" s="1"/>
  <c r="AN8" i="22"/>
  <c r="F43" i="36" s="1"/>
  <c r="AN6" i="22"/>
  <c r="F41" i="36" s="1"/>
  <c r="AN5" i="22"/>
  <c r="F40" i="36" s="1"/>
  <c r="AM6" i="22"/>
  <c r="E41" i="36" s="1"/>
  <c r="AN9" i="22"/>
  <c r="F44" i="36" s="1"/>
  <c r="R14" i="22"/>
  <c r="BB30" i="22" s="1"/>
  <c r="C37" i="104" s="1"/>
  <c r="R24" i="22"/>
  <c r="R77" i="22"/>
  <c r="BB135" i="22" s="1"/>
  <c r="R5" i="22"/>
  <c r="BB81" i="22" s="1"/>
  <c r="R20" i="22"/>
  <c r="BB119" i="22" s="1"/>
  <c r="R12" i="22"/>
  <c r="BB116" i="22" s="1"/>
  <c r="Q51" i="22"/>
  <c r="Q5" i="22"/>
  <c r="BA81" i="22" s="1"/>
  <c r="Q24" i="22"/>
  <c r="BA86" i="22" s="1"/>
  <c r="Q71" i="22"/>
  <c r="Q56" i="22"/>
  <c r="BA48" i="22" s="1"/>
  <c r="R46" i="22"/>
  <c r="BB43" i="22" s="1"/>
  <c r="Q32" i="22"/>
  <c r="BA35" i="22" s="1"/>
  <c r="R30" i="22"/>
  <c r="BB90" i="22" s="1"/>
  <c r="D99" i="72" s="1"/>
  <c r="Q86" i="22"/>
  <c r="R29" i="22"/>
  <c r="BB89" i="22" s="1"/>
  <c r="Q43" i="22"/>
  <c r="BA40" i="22" s="1"/>
  <c r="Q74" i="22"/>
  <c r="BA131" i="22" s="1"/>
  <c r="Q92" i="22"/>
  <c r="BA54" i="22" s="1"/>
  <c r="Q28" i="22"/>
  <c r="BA88" i="22" s="1"/>
  <c r="Q97" i="22"/>
  <c r="BA100" i="22" s="1"/>
  <c r="R59" i="22"/>
  <c r="BB95" i="22" s="1"/>
  <c r="Q82" i="22"/>
  <c r="R56" i="22"/>
  <c r="BB48" i="22" s="1"/>
  <c r="Q7" i="22"/>
  <c r="BA83" i="22" s="1"/>
  <c r="R67" i="22"/>
  <c r="Q49" i="22"/>
  <c r="BA94" i="22" s="1"/>
  <c r="Q53" i="22"/>
  <c r="BA47" i="22" s="1"/>
  <c r="R102" i="22"/>
  <c r="BB61" i="22" s="1"/>
  <c r="R68" i="22"/>
  <c r="R13" i="22"/>
  <c r="BB117" i="22" s="1"/>
  <c r="Q50" i="22"/>
  <c r="BA45" i="22" s="1"/>
  <c r="R88" i="22"/>
  <c r="BB51" i="22" s="1"/>
  <c r="R58" i="22"/>
  <c r="BB49" i="22" s="1"/>
  <c r="Q99" i="22"/>
  <c r="BA58" i="22" s="1"/>
  <c r="R11" i="22"/>
  <c r="BB115" i="22" s="1"/>
  <c r="R72" i="22"/>
  <c r="BB130" i="22" s="1"/>
  <c r="R21" i="22"/>
  <c r="R96" i="22"/>
  <c r="BB99" i="22" s="1"/>
  <c r="R63" i="22"/>
  <c r="R42" i="22"/>
  <c r="BB39" i="22" s="1"/>
  <c r="R43" i="22"/>
  <c r="BB40" i="22" s="1"/>
  <c r="Q60" i="22"/>
  <c r="BA125" i="22" s="1"/>
  <c r="Q69" i="22"/>
  <c r="R9" i="22"/>
  <c r="R37" i="22"/>
  <c r="BB149" i="22" s="1"/>
  <c r="Q45" i="22"/>
  <c r="BA42" i="22" s="1"/>
  <c r="Q75" i="22"/>
  <c r="BA132" i="22" s="1"/>
  <c r="R95" i="22"/>
  <c r="BB98" i="22" s="1"/>
  <c r="Q11" i="22"/>
  <c r="BA115" i="22" s="1"/>
  <c r="Q90" i="22"/>
  <c r="BA52" i="22" s="1"/>
  <c r="R93" i="22"/>
  <c r="BB56" i="22" s="1"/>
  <c r="Q37" i="22"/>
  <c r="BA149" i="22" s="1"/>
  <c r="R65" i="22"/>
  <c r="BB96" i="22" s="1"/>
  <c r="Q19" i="22"/>
  <c r="R45" i="22"/>
  <c r="BB42" i="22" s="1"/>
  <c r="Q95" i="22"/>
  <c r="BA98" i="22" s="1"/>
  <c r="R91" i="22"/>
  <c r="BB53" i="22" s="1"/>
  <c r="R36" i="22"/>
  <c r="BB36" i="22" s="1"/>
  <c r="R97" i="22"/>
  <c r="BB100" i="22" s="1"/>
  <c r="Q36" i="22"/>
  <c r="BA36" i="22" s="1"/>
  <c r="R85" i="22"/>
  <c r="Q64" i="22"/>
  <c r="BA157" i="22" s="1"/>
  <c r="Q26" i="22"/>
  <c r="R81" i="22"/>
  <c r="BB137" i="22" s="1"/>
  <c r="R8" i="22"/>
  <c r="R89" i="22"/>
  <c r="R79" i="22"/>
  <c r="BB136" i="22" s="1"/>
  <c r="Q79" i="22"/>
  <c r="BA136" i="22" s="1"/>
  <c r="R49" i="22"/>
  <c r="BB94" i="22" s="1"/>
  <c r="Q9" i="22"/>
  <c r="BA118" i="22" s="1"/>
  <c r="Q33" i="22"/>
  <c r="BA92" i="22" s="1"/>
  <c r="R75" i="22"/>
  <c r="BB132" i="22" s="1"/>
  <c r="R27" i="22"/>
  <c r="BB87" i="22" s="1"/>
  <c r="Q35" i="22"/>
  <c r="BA121" i="22" s="1"/>
  <c r="R15" i="22"/>
  <c r="BB120" i="22" s="1"/>
  <c r="Q72" i="22"/>
  <c r="BA130" i="22" s="1"/>
  <c r="Q46" i="22"/>
  <c r="BA43" i="22" s="1"/>
  <c r="R74" i="22"/>
  <c r="BB131" i="22" s="1"/>
  <c r="Q70" i="22"/>
  <c r="BA128" i="22" s="1"/>
  <c r="R90" i="22"/>
  <c r="BB52" i="22" s="1"/>
  <c r="Q85" i="22"/>
  <c r="R92" i="22"/>
  <c r="BB54" i="22" s="1"/>
  <c r="Q76" i="22"/>
  <c r="BA105" i="22" s="1"/>
  <c r="Q27" i="22"/>
  <c r="BA87" i="22" s="1"/>
  <c r="Q63" i="22"/>
  <c r="Q17" i="22"/>
  <c r="BA32" i="22" s="1"/>
  <c r="R78" i="22"/>
  <c r="BB159" i="22" s="1"/>
  <c r="R73" i="22"/>
  <c r="BB50" i="22" s="1"/>
  <c r="R10" i="22"/>
  <c r="BB114" i="22" s="1"/>
  <c r="Q77" i="22"/>
  <c r="BA135" i="22" s="1"/>
  <c r="R47" i="22"/>
  <c r="BB44" i="22" s="1"/>
  <c r="Q91" i="22"/>
  <c r="BA53" i="22" s="1"/>
  <c r="Q66" i="22"/>
  <c r="BA158" i="22" s="1"/>
  <c r="R41" i="22"/>
  <c r="BB122" i="22" s="1"/>
  <c r="R71" i="22"/>
  <c r="Q87" i="22"/>
  <c r="R98" i="22"/>
  <c r="BB57" i="22" s="1"/>
  <c r="R6" i="22"/>
  <c r="R35" i="22"/>
  <c r="BB121" i="22" s="1"/>
  <c r="Q21" i="22"/>
  <c r="BA84" i="22" s="1"/>
  <c r="R31" i="22"/>
  <c r="BB91" i="22" s="1"/>
  <c r="Q31" i="22"/>
  <c r="BA91" i="22" s="1"/>
  <c r="R61" i="22"/>
  <c r="BB156" i="22" s="1"/>
  <c r="Q23" i="22"/>
  <c r="BA33" i="22" s="1"/>
  <c r="Q84" i="22"/>
  <c r="Q41" i="22"/>
  <c r="BA122" i="22" s="1"/>
  <c r="R51" i="22"/>
  <c r="Q98" i="22"/>
  <c r="BA57" i="22" s="1"/>
  <c r="R52" i="22"/>
  <c r="BB46" i="22" s="1"/>
  <c r="Q16" i="22"/>
  <c r="BA31" i="22" s="1"/>
  <c r="Q54" i="22"/>
  <c r="BA123" i="22" s="1"/>
  <c r="R40" i="22"/>
  <c r="Q52" i="22"/>
  <c r="BA46" i="22" s="1"/>
  <c r="R76" i="22"/>
  <c r="BB105" i="22" s="1"/>
  <c r="Q68" i="22"/>
  <c r="Q61" i="22"/>
  <c r="BA156" i="22" s="1"/>
  <c r="R26" i="22"/>
  <c r="R28" i="22"/>
  <c r="Q6" i="22"/>
  <c r="BA82" i="22" s="1"/>
  <c r="Q59" i="22"/>
  <c r="BA95" i="22" s="1"/>
  <c r="Q78" i="22"/>
  <c r="BA159" i="22" s="1"/>
  <c r="Q15" i="22"/>
  <c r="BA120" i="22" s="1"/>
  <c r="Q12" i="22"/>
  <c r="BA116" i="22" s="1"/>
  <c r="Q40" i="22"/>
  <c r="R34" i="22"/>
  <c r="R19" i="22"/>
  <c r="R32" i="22"/>
  <c r="BB35" i="22" s="1"/>
  <c r="Q65" i="22"/>
  <c r="BA96" i="22" s="1"/>
  <c r="Q18" i="22"/>
  <c r="BA5" i="22" s="1"/>
  <c r="R64" i="22"/>
  <c r="BB157" i="22" s="1"/>
  <c r="Q58" i="22"/>
  <c r="BA49" i="22" s="1"/>
  <c r="R66" i="22"/>
  <c r="BB158" i="22" s="1"/>
  <c r="Q93" i="22"/>
  <c r="BA56" i="22" s="1"/>
  <c r="Q29" i="22"/>
  <c r="BA89" i="22" s="1"/>
  <c r="R39" i="22"/>
  <c r="BB37" i="22" s="1"/>
  <c r="R22" i="22"/>
  <c r="R87" i="22"/>
  <c r="R60" i="22"/>
  <c r="BB125" i="22" s="1"/>
  <c r="R62" i="22"/>
  <c r="BB124" i="22" s="1"/>
  <c r="Q62" i="22"/>
  <c r="BA124" i="22" s="1"/>
  <c r="R18" i="22"/>
  <c r="BB5" i="22" s="1"/>
  <c r="Q96" i="22"/>
  <c r="BA99" i="22" s="1"/>
  <c r="Q73" i="22"/>
  <c r="BA50" i="22" s="1"/>
  <c r="Q25" i="22"/>
  <c r="BA34" i="22" s="1"/>
  <c r="Q67" i="22"/>
  <c r="R70" i="22"/>
  <c r="BB128" i="22" s="1"/>
  <c r="Q42" i="22"/>
  <c r="BA39" i="22" s="1"/>
  <c r="R99" i="22"/>
  <c r="BB58" i="22" s="1"/>
  <c r="R44" i="22"/>
  <c r="BB41" i="22" s="1"/>
  <c r="Q57" i="22"/>
  <c r="Q14" i="22"/>
  <c r="BA30" i="22" s="1"/>
  <c r="Q20" i="22"/>
  <c r="BA119" i="22" s="1"/>
  <c r="Q48" i="22"/>
  <c r="BA93" i="22" s="1"/>
  <c r="R17" i="22"/>
  <c r="BB32" i="22" s="1"/>
  <c r="R94" i="22"/>
  <c r="BB138" i="22" s="1"/>
  <c r="Q8" i="22"/>
  <c r="R54" i="22"/>
  <c r="BB123" i="22" s="1"/>
  <c r="R33" i="22"/>
  <c r="BB92" i="22" s="1"/>
  <c r="Q22" i="22"/>
  <c r="BA85" i="22" s="1"/>
  <c r="R86" i="22"/>
  <c r="Q81" i="22"/>
  <c r="BA137" i="22" s="1"/>
  <c r="R53" i="22"/>
  <c r="BB47" i="22" s="1"/>
  <c r="Q44" i="22"/>
  <c r="BA41" i="22" s="1"/>
  <c r="Q39" i="22"/>
  <c r="BA37" i="22" s="1"/>
  <c r="R57" i="22"/>
  <c r="R84" i="22"/>
  <c r="Q89" i="22"/>
  <c r="Q94" i="22"/>
  <c r="BA138" i="22" s="1"/>
  <c r="Q10" i="22"/>
  <c r="BA114" i="22" s="1"/>
  <c r="Q102" i="22"/>
  <c r="BA61" i="22" s="1"/>
  <c r="Q30" i="22"/>
  <c r="BA90" i="22" s="1"/>
  <c r="Q34" i="22"/>
  <c r="R101" i="22"/>
  <c r="BB60" i="22" s="1"/>
  <c r="Q100" i="22"/>
  <c r="BA59" i="22" s="1"/>
  <c r="Q101" i="22"/>
  <c r="BA60" i="22" s="1"/>
  <c r="R82" i="22"/>
  <c r="R50" i="22"/>
  <c r="BB45" i="22" s="1"/>
  <c r="R16" i="22"/>
  <c r="BB31" i="22" s="1"/>
  <c r="Q47" i="22"/>
  <c r="BA44" i="22" s="1"/>
  <c r="R23" i="22"/>
  <c r="BB33" i="22" s="1"/>
  <c r="R69" i="22"/>
  <c r="Q13" i="22"/>
  <c r="BA117" i="22" s="1"/>
  <c r="Q88" i="22"/>
  <c r="BA51" i="22" s="1"/>
  <c r="R48" i="22"/>
  <c r="BB93" i="22" s="1"/>
  <c r="BE105" i="22" l="1"/>
  <c r="D108" i="72"/>
  <c r="AO17" i="22"/>
  <c r="AP17" i="22"/>
  <c r="C25" i="104"/>
  <c r="D62" i="72"/>
  <c r="D147" i="72"/>
  <c r="D150" i="72"/>
  <c r="D145" i="72"/>
  <c r="BE61" i="22"/>
  <c r="D131" i="72"/>
  <c r="D103" i="72"/>
  <c r="D151" i="72"/>
  <c r="D137" i="72"/>
  <c r="D132" i="72"/>
  <c r="D149" i="72"/>
  <c r="D127" i="72"/>
  <c r="D90" i="72"/>
  <c r="D142" i="72"/>
  <c r="D139" i="72"/>
  <c r="D134" i="72"/>
  <c r="D146" i="72"/>
  <c r="D129" i="72"/>
  <c r="D148" i="72"/>
  <c r="D135" i="72"/>
  <c r="D13" i="72"/>
  <c r="D126" i="72"/>
  <c r="D162" i="72"/>
  <c r="D128" i="72"/>
  <c r="BA6" i="22"/>
  <c r="BB150" i="22"/>
  <c r="BA150" i="22"/>
  <c r="BA10" i="22"/>
  <c r="D133" i="72"/>
  <c r="BB18" i="22"/>
  <c r="BA7" i="22"/>
  <c r="BB8" i="22"/>
  <c r="BB7" i="22"/>
  <c r="BA16" i="22"/>
  <c r="BA17" i="22"/>
  <c r="BA15" i="22"/>
  <c r="BA14" i="22"/>
  <c r="BA11" i="22"/>
  <c r="BA8" i="22"/>
  <c r="BA12" i="22"/>
  <c r="BA18" i="22"/>
  <c r="BB11" i="22"/>
  <c r="BA19" i="22"/>
  <c r="BB10" i="22"/>
  <c r="BB12" i="22"/>
  <c r="BB6" i="22"/>
  <c r="BB19" i="22"/>
  <c r="BB14" i="22"/>
  <c r="BB17" i="22"/>
  <c r="BA127" i="22"/>
  <c r="BA126" i="22"/>
  <c r="BB127" i="22"/>
  <c r="BB126" i="22"/>
  <c r="BB129" i="22"/>
  <c r="BA97" i="22"/>
  <c r="BB97" i="22"/>
  <c r="BA129" i="22"/>
  <c r="BB86" i="22"/>
  <c r="BB16" i="22"/>
  <c r="BE81" i="22"/>
  <c r="BE93" i="22"/>
  <c r="BB83" i="22"/>
  <c r="BB118" i="22"/>
  <c r="BB85" i="22"/>
  <c r="BB15" i="22"/>
  <c r="BB84" i="22"/>
  <c r="BB82" i="22"/>
  <c r="BB88" i="22"/>
  <c r="BE120" i="22"/>
  <c r="BE52" i="22"/>
  <c r="BE121" i="22"/>
  <c r="BE131" i="22"/>
  <c r="BE124" i="22"/>
  <c r="BE125" i="22"/>
  <c r="E39" i="36"/>
  <c r="AO5" i="22"/>
  <c r="AO11" i="22"/>
  <c r="AO9" i="22"/>
  <c r="AO7" i="22"/>
  <c r="AP7" i="22"/>
  <c r="AO6" i="22"/>
  <c r="AO8" i="22"/>
  <c r="AP8" i="22"/>
  <c r="AP9" i="22"/>
  <c r="AN4" i="22"/>
  <c r="F39" i="36" s="1"/>
  <c r="BE87" i="22"/>
  <c r="AP6" i="22"/>
  <c r="BE159" i="22"/>
  <c r="BF159" i="22" s="1"/>
  <c r="BE48" i="22"/>
  <c r="D60" i="72"/>
  <c r="AE30" i="22"/>
  <c r="AE10" i="22"/>
  <c r="AE94" i="22"/>
  <c r="AE39" i="22"/>
  <c r="AF86" i="22"/>
  <c r="AF33" i="22"/>
  <c r="AF17" i="22"/>
  <c r="AF99" i="22"/>
  <c r="AE67" i="22"/>
  <c r="AF60" i="22"/>
  <c r="BE157" i="22"/>
  <c r="BF157" i="22" s="1"/>
  <c r="AF66" i="22"/>
  <c r="BE156" i="22"/>
  <c r="BF156" i="22" s="1"/>
  <c r="AF64" i="22"/>
  <c r="AE12" i="22"/>
  <c r="AE78" i="22"/>
  <c r="AE68" i="22"/>
  <c r="AF52" i="22"/>
  <c r="AF41" i="22"/>
  <c r="AE91" i="22"/>
  <c r="AE77" i="22"/>
  <c r="BE158" i="22"/>
  <c r="BF158" i="22" s="1"/>
  <c r="AF78" i="22"/>
  <c r="AE70" i="22"/>
  <c r="AE72" i="22"/>
  <c r="AF15" i="22"/>
  <c r="AF27" i="22"/>
  <c r="AE64" i="22"/>
  <c r="AE36" i="22"/>
  <c r="AF36" i="22"/>
  <c r="AE95" i="22"/>
  <c r="AE19" i="22"/>
  <c r="AE75" i="22"/>
  <c r="AF96" i="22"/>
  <c r="AF72" i="22"/>
  <c r="AE99" i="22"/>
  <c r="AF68" i="22"/>
  <c r="AE49" i="22"/>
  <c r="AE43" i="22"/>
  <c r="AE86" i="22"/>
  <c r="AE24" i="22"/>
  <c r="AF20" i="22"/>
  <c r="AF77" i="22"/>
  <c r="AF69" i="22"/>
  <c r="AF82" i="22"/>
  <c r="AE100" i="22"/>
  <c r="AE96" i="22"/>
  <c r="AE62" i="22"/>
  <c r="AF22" i="22"/>
  <c r="AE93" i="22"/>
  <c r="AF32" i="22"/>
  <c r="AF19" i="22"/>
  <c r="AE6" i="22"/>
  <c r="AF26" i="22"/>
  <c r="AE52" i="22"/>
  <c r="AE54" i="22"/>
  <c r="AE84" i="22"/>
  <c r="AF61" i="22"/>
  <c r="AF31" i="22"/>
  <c r="AE21" i="22"/>
  <c r="AF6" i="22"/>
  <c r="AE87" i="22"/>
  <c r="AF73" i="22"/>
  <c r="AE63" i="22"/>
  <c r="AE76" i="22"/>
  <c r="AE35" i="22"/>
  <c r="AE33" i="22"/>
  <c r="AF79" i="22"/>
  <c r="AF8" i="22"/>
  <c r="AE37" i="22"/>
  <c r="AF9" i="22"/>
  <c r="AF42" i="22"/>
  <c r="AF88" i="22"/>
  <c r="AF13" i="22"/>
  <c r="AF67" i="22"/>
  <c r="AF56" i="22"/>
  <c r="AE97" i="22"/>
  <c r="AE92" i="22"/>
  <c r="AE32" i="22"/>
  <c r="AE56" i="22"/>
  <c r="AE51" i="22"/>
  <c r="AE88" i="22"/>
  <c r="AE20" i="22"/>
  <c r="AE57" i="22"/>
  <c r="AF101" i="22"/>
  <c r="AE34" i="22"/>
  <c r="AE102" i="22"/>
  <c r="AF57" i="22"/>
  <c r="AE44" i="22"/>
  <c r="AE81" i="22"/>
  <c r="AE48" i="22"/>
  <c r="AE42" i="22"/>
  <c r="AF70" i="22"/>
  <c r="AE25" i="22"/>
  <c r="AE73" i="22"/>
  <c r="BE5" i="22"/>
  <c r="AF18" i="22"/>
  <c r="AF62" i="22"/>
  <c r="AE29" i="22"/>
  <c r="AE58" i="22"/>
  <c r="AE18" i="22"/>
  <c r="AE40" i="22"/>
  <c r="AE15" i="22"/>
  <c r="AE59" i="22"/>
  <c r="AE61" i="22"/>
  <c r="AF40" i="22"/>
  <c r="AE41" i="22"/>
  <c r="AE23" i="22"/>
  <c r="AF35" i="22"/>
  <c r="AE17" i="22"/>
  <c r="AE27" i="22"/>
  <c r="AF92" i="22"/>
  <c r="AF90" i="22"/>
  <c r="AF74" i="22"/>
  <c r="AF75" i="22"/>
  <c r="AE9" i="22"/>
  <c r="AE79" i="22"/>
  <c r="AF89" i="22"/>
  <c r="AE26" i="22"/>
  <c r="AF85" i="22"/>
  <c r="AF65" i="22"/>
  <c r="AF93" i="22"/>
  <c r="AE90" i="22"/>
  <c r="AF95" i="22"/>
  <c r="AE45" i="22"/>
  <c r="AF21" i="22"/>
  <c r="AF11" i="22"/>
  <c r="AE50" i="22"/>
  <c r="AE53" i="22"/>
  <c r="AF29" i="22"/>
  <c r="AF46" i="22"/>
  <c r="AE71" i="22"/>
  <c r="AF5" i="22"/>
  <c r="AF24" i="22"/>
  <c r="AF23" i="22"/>
  <c r="AF16" i="22"/>
  <c r="AE89" i="22"/>
  <c r="AF94" i="22"/>
  <c r="AF48" i="22"/>
  <c r="AE13" i="22"/>
  <c r="AE47" i="22"/>
  <c r="AF50" i="22"/>
  <c r="AE101" i="22"/>
  <c r="AF84" i="22"/>
  <c r="AF53" i="22"/>
  <c r="AE22" i="22"/>
  <c r="AF54" i="22"/>
  <c r="AE8" i="22"/>
  <c r="AE14" i="22"/>
  <c r="AF44" i="22"/>
  <c r="AF87" i="22"/>
  <c r="AF39" i="22"/>
  <c r="AE65" i="22"/>
  <c r="R4" i="22"/>
  <c r="AF34" i="22"/>
  <c r="AF28" i="22"/>
  <c r="AF76" i="22"/>
  <c r="AE16" i="22"/>
  <c r="AE98" i="22"/>
  <c r="AE31" i="22"/>
  <c r="AF98" i="22"/>
  <c r="AF71" i="22"/>
  <c r="AE66" i="22"/>
  <c r="AF47" i="22"/>
  <c r="AF10" i="22"/>
  <c r="AE85" i="22"/>
  <c r="AE46" i="22"/>
  <c r="AF81" i="22"/>
  <c r="AF97" i="22"/>
  <c r="AF91" i="22"/>
  <c r="AF45" i="22"/>
  <c r="AE11" i="22"/>
  <c r="AF37" i="22"/>
  <c r="AE69" i="22"/>
  <c r="AE60" i="22"/>
  <c r="AF43" i="22"/>
  <c r="AF63" i="22"/>
  <c r="AF58" i="22"/>
  <c r="AF102" i="22"/>
  <c r="AE7" i="22"/>
  <c r="AE82" i="22"/>
  <c r="AF59" i="22"/>
  <c r="AE28" i="22"/>
  <c r="AE74" i="22"/>
  <c r="AF30" i="22"/>
  <c r="AE5" i="22"/>
  <c r="AF12" i="22"/>
  <c r="AF14" i="22"/>
  <c r="BF105" i="22" l="1"/>
  <c r="F108" i="72"/>
  <c r="G108" i="72" s="1"/>
  <c r="BB79" i="22"/>
  <c r="BE79" i="22" s="1"/>
  <c r="AF4" i="22"/>
  <c r="F146" i="72"/>
  <c r="D23" i="72"/>
  <c r="D140" i="72"/>
  <c r="D25" i="72"/>
  <c r="D20" i="72"/>
  <c r="D15" i="72"/>
  <c r="BF87" i="22"/>
  <c r="E25" i="104"/>
  <c r="E26" i="104" s="1"/>
  <c r="BE88" i="22"/>
  <c r="BE85" i="22"/>
  <c r="D141" i="72"/>
  <c r="D22" i="72"/>
  <c r="D18" i="72"/>
  <c r="D16" i="72"/>
  <c r="F139" i="72"/>
  <c r="F137" i="72"/>
  <c r="F132" i="72"/>
  <c r="BE84" i="22"/>
  <c r="BE83" i="22"/>
  <c r="F92" i="72" s="1"/>
  <c r="BE86" i="22"/>
  <c r="D143" i="72"/>
  <c r="D14" i="72"/>
  <c r="D19" i="72"/>
  <c r="D26" i="72"/>
  <c r="BF61" i="22"/>
  <c r="BE118" i="22"/>
  <c r="D130" i="72"/>
  <c r="BE150" i="22"/>
  <c r="D144" i="72"/>
  <c r="BE18" i="22"/>
  <c r="F133" i="72"/>
  <c r="BE126" i="22"/>
  <c r="BF131" i="22"/>
  <c r="BF125" i="22"/>
  <c r="BF52" i="22"/>
  <c r="F62" i="72"/>
  <c r="BE7" i="22"/>
  <c r="BE8" i="22"/>
  <c r="BE6" i="22"/>
  <c r="BE17" i="22"/>
  <c r="BE10" i="22"/>
  <c r="BE12" i="22"/>
  <c r="BE11" i="22"/>
  <c r="BE14" i="22"/>
  <c r="BE19" i="22"/>
  <c r="D27" i="72"/>
  <c r="BE16" i="22"/>
  <c r="D24" i="72"/>
  <c r="BF5" i="22"/>
  <c r="F13" i="72"/>
  <c r="BE15" i="22"/>
  <c r="BF121" i="22"/>
  <c r="BF93" i="22"/>
  <c r="F103" i="72"/>
  <c r="BF124" i="22"/>
  <c r="BF81" i="22"/>
  <c r="F90" i="72"/>
  <c r="BE82" i="22"/>
  <c r="D91" i="72"/>
  <c r="BF120" i="22"/>
  <c r="D92" i="72"/>
  <c r="AZ59" i="22"/>
  <c r="AN11" i="22"/>
  <c r="F46" i="36" s="1"/>
  <c r="F66" i="36"/>
  <c r="H66" i="36" s="1"/>
  <c r="AP4" i="22"/>
  <c r="E78" i="36"/>
  <c r="AO4" i="22"/>
  <c r="R100" i="22"/>
  <c r="BB59" i="22" s="1"/>
  <c r="D58" i="72"/>
  <c r="BE50" i="22"/>
  <c r="BE149" i="22"/>
  <c r="BE90" i="22"/>
  <c r="F99" i="72" s="1"/>
  <c r="D56" i="72"/>
  <c r="BE46" i="22"/>
  <c r="D53" i="72"/>
  <c r="BE43" i="22"/>
  <c r="D50" i="72"/>
  <c r="BE40" i="22"/>
  <c r="BE115" i="22"/>
  <c r="D70" i="72"/>
  <c r="BE127" i="22"/>
  <c r="BE130" i="22"/>
  <c r="D64" i="72"/>
  <c r="BE54" i="22"/>
  <c r="BE117" i="22"/>
  <c r="D51" i="72"/>
  <c r="BE41" i="22"/>
  <c r="D66" i="72"/>
  <c r="BE57" i="22"/>
  <c r="D101" i="72"/>
  <c r="BE91" i="22"/>
  <c r="D47" i="72"/>
  <c r="BE36" i="22"/>
  <c r="D94" i="72"/>
  <c r="F58" i="72"/>
  <c r="BF48" i="22"/>
  <c r="D96" i="72"/>
  <c r="D57" i="72"/>
  <c r="BE47" i="22"/>
  <c r="D55" i="72"/>
  <c r="BE45" i="22"/>
  <c r="D106" i="72"/>
  <c r="BE96" i="22"/>
  <c r="D107" i="72"/>
  <c r="BE97" i="22"/>
  <c r="BE119" i="22"/>
  <c r="D111" i="72"/>
  <c r="BE99" i="22"/>
  <c r="D48" i="72"/>
  <c r="BE37" i="22"/>
  <c r="D105" i="72"/>
  <c r="BE95" i="22"/>
  <c r="D61" i="72"/>
  <c r="BE51" i="22"/>
  <c r="D104" i="72"/>
  <c r="BE94" i="22"/>
  <c r="D41" i="72"/>
  <c r="BE30" i="22"/>
  <c r="E37" i="104" s="1"/>
  <c r="D112" i="72"/>
  <c r="BE100" i="22"/>
  <c r="BE123" i="22"/>
  <c r="D63" i="72"/>
  <c r="BE53" i="22"/>
  <c r="D59" i="72"/>
  <c r="BE49" i="22"/>
  <c r="AE4" i="22"/>
  <c r="D65" i="72"/>
  <c r="BE56" i="22"/>
  <c r="D52" i="72"/>
  <c r="BE42" i="22"/>
  <c r="D93" i="72"/>
  <c r="D110" i="72"/>
  <c r="BE98" i="22"/>
  <c r="BE132" i="22"/>
  <c r="D67" i="72"/>
  <c r="BE58" i="22"/>
  <c r="BE137" i="22"/>
  <c r="D46" i="72"/>
  <c r="BE35" i="22"/>
  <c r="D44" i="72"/>
  <c r="BE33" i="22"/>
  <c r="D54" i="72"/>
  <c r="BE44" i="22"/>
  <c r="BE114" i="22"/>
  <c r="BE116" i="22"/>
  <c r="D69" i="72"/>
  <c r="BE60" i="22"/>
  <c r="D97" i="72"/>
  <c r="D49" i="72"/>
  <c r="BE39" i="22"/>
  <c r="BE135" i="22"/>
  <c r="BE138" i="22"/>
  <c r="D42" i="72"/>
  <c r="BE31" i="22"/>
  <c r="D95" i="72"/>
  <c r="D98" i="72"/>
  <c r="BE89" i="22"/>
  <c r="BE122" i="22"/>
  <c r="BE129" i="22"/>
  <c r="BE136" i="22"/>
  <c r="BE128" i="22"/>
  <c r="D43" i="72"/>
  <c r="BE32" i="22"/>
  <c r="D102" i="72"/>
  <c r="BE92" i="22"/>
  <c r="AF51" i="22"/>
  <c r="AF49" i="22"/>
  <c r="G37" i="104" l="1"/>
  <c r="C26" i="104"/>
  <c r="F126" i="72"/>
  <c r="F135" i="72"/>
  <c r="F143" i="72"/>
  <c r="F134" i="72"/>
  <c r="F147" i="72"/>
  <c r="F127" i="72"/>
  <c r="BF79" i="22"/>
  <c r="F142" i="72"/>
  <c r="F128" i="72"/>
  <c r="F150" i="72"/>
  <c r="F131" i="72"/>
  <c r="F145" i="72"/>
  <c r="F162" i="72"/>
  <c r="BF12" i="22"/>
  <c r="BF8" i="22"/>
  <c r="BF18" i="22"/>
  <c r="F129" i="72"/>
  <c r="F141" i="72"/>
  <c r="G13" i="72"/>
  <c r="BF10" i="22"/>
  <c r="F15" i="72"/>
  <c r="BF86" i="22"/>
  <c r="BF84" i="22"/>
  <c r="BF85" i="22"/>
  <c r="BF14" i="22"/>
  <c r="BF17" i="22"/>
  <c r="F140" i="72"/>
  <c r="F149" i="72"/>
  <c r="F151" i="72"/>
  <c r="F148" i="72"/>
  <c r="G58" i="72"/>
  <c r="BF50" i="22"/>
  <c r="F23" i="72"/>
  <c r="F19" i="72"/>
  <c r="F14" i="72"/>
  <c r="G62" i="72"/>
  <c r="BF83" i="22"/>
  <c r="BF88" i="22"/>
  <c r="BF118" i="22"/>
  <c r="F130" i="72"/>
  <c r="BF150" i="22"/>
  <c r="F144" i="72"/>
  <c r="BF7" i="22"/>
  <c r="F26" i="72"/>
  <c r="BF126" i="22"/>
  <c r="F16" i="72"/>
  <c r="F25" i="72"/>
  <c r="BF6" i="22"/>
  <c r="BF11" i="22"/>
  <c r="F22" i="72"/>
  <c r="F18" i="72"/>
  <c r="F20" i="72"/>
  <c r="BF19" i="22"/>
  <c r="F27" i="72"/>
  <c r="BF16" i="22"/>
  <c r="F24" i="72"/>
  <c r="BF15" i="22"/>
  <c r="BF82" i="22"/>
  <c r="F91" i="72"/>
  <c r="F78" i="36"/>
  <c r="AP11" i="22"/>
  <c r="AF100" i="22"/>
  <c r="F60" i="72"/>
  <c r="F102" i="72"/>
  <c r="BF92" i="22"/>
  <c r="BF136" i="22"/>
  <c r="BF122" i="22"/>
  <c r="F95" i="72"/>
  <c r="BF138" i="22"/>
  <c r="BF39" i="22"/>
  <c r="F49" i="72"/>
  <c r="BF116" i="22"/>
  <c r="F46" i="72"/>
  <c r="BF35" i="22"/>
  <c r="BF137" i="22"/>
  <c r="BF132" i="22"/>
  <c r="F110" i="72"/>
  <c r="BF98" i="22"/>
  <c r="F52" i="72"/>
  <c r="BF42" i="22"/>
  <c r="BF49" i="22"/>
  <c r="F59" i="72"/>
  <c r="BF123" i="22"/>
  <c r="BF100" i="22"/>
  <c r="F112" i="72"/>
  <c r="BF94" i="22"/>
  <c r="F104" i="72"/>
  <c r="G103" i="72" s="1"/>
  <c r="BF95" i="22"/>
  <c r="F105" i="72"/>
  <c r="G105" i="72" s="1"/>
  <c r="BF99" i="22"/>
  <c r="F111" i="72"/>
  <c r="F107" i="72"/>
  <c r="BF97" i="22"/>
  <c r="F94" i="72"/>
  <c r="BF91" i="22"/>
  <c r="F101" i="72"/>
  <c r="BF57" i="22"/>
  <c r="F66" i="72"/>
  <c r="BF117" i="22"/>
  <c r="BF130" i="22"/>
  <c r="G70" i="72"/>
  <c r="F70" i="72"/>
  <c r="BF40" i="22"/>
  <c r="F50" i="72"/>
  <c r="F53" i="72"/>
  <c r="BF43" i="22"/>
  <c r="D89" i="72"/>
  <c r="D116" i="72" s="1"/>
  <c r="F43" i="72"/>
  <c r="BF32" i="22"/>
  <c r="BF128" i="22"/>
  <c r="BF129" i="22"/>
  <c r="F98" i="72"/>
  <c r="BF89" i="22"/>
  <c r="BF31" i="22"/>
  <c r="F42" i="72"/>
  <c r="BF135" i="22"/>
  <c r="F97" i="72"/>
  <c r="BF60" i="22"/>
  <c r="F69" i="72"/>
  <c r="BF114" i="22"/>
  <c r="BF44" i="22"/>
  <c r="F54" i="72"/>
  <c r="BF33" i="22"/>
  <c r="F44" i="72"/>
  <c r="F67" i="72"/>
  <c r="BF58" i="22"/>
  <c r="F93" i="72"/>
  <c r="BF56" i="22"/>
  <c r="F65" i="72"/>
  <c r="F63" i="72"/>
  <c r="BF53" i="22"/>
  <c r="F41" i="72"/>
  <c r="BF30" i="22"/>
  <c r="F61" i="72"/>
  <c r="BF51" i="22"/>
  <c r="BF37" i="22"/>
  <c r="F48" i="72"/>
  <c r="BF119" i="22"/>
  <c r="F106" i="72"/>
  <c r="BF96" i="22"/>
  <c r="BF45" i="22"/>
  <c r="F55" i="72"/>
  <c r="F57" i="72"/>
  <c r="BF47" i="22"/>
  <c r="F96" i="72"/>
  <c r="F47" i="72"/>
  <c r="BF36" i="22"/>
  <c r="BF41" i="22"/>
  <c r="F51" i="72"/>
  <c r="BF54" i="22"/>
  <c r="F64" i="72"/>
  <c r="BF127" i="22"/>
  <c r="BF115" i="22"/>
  <c r="BF46" i="22"/>
  <c r="F56" i="72"/>
  <c r="BF90" i="22"/>
  <c r="BF149" i="22"/>
  <c r="G110" i="72" l="1"/>
  <c r="G96" i="72"/>
  <c r="G106" i="72"/>
  <c r="G25" i="104"/>
  <c r="G57" i="72"/>
  <c r="G48" i="72"/>
  <c r="G65" i="72"/>
  <c r="G52" i="72"/>
  <c r="G14" i="72"/>
  <c r="G26" i="72"/>
  <c r="G20" i="72"/>
  <c r="G55" i="72"/>
  <c r="G50" i="72"/>
  <c r="G24" i="72"/>
  <c r="G15" i="72"/>
  <c r="G22" i="72"/>
  <c r="G41" i="72"/>
  <c r="G54" i="72"/>
  <c r="G43" i="72"/>
  <c r="G66" i="72"/>
  <c r="G59" i="72"/>
  <c r="G51" i="72"/>
  <c r="G47" i="72"/>
  <c r="G61" i="72"/>
  <c r="G63" i="72"/>
  <c r="G44" i="72"/>
  <c r="G56" i="72"/>
  <c r="G64" i="72"/>
  <c r="G67" i="72"/>
  <c r="G69" i="72"/>
  <c r="G42" i="72"/>
  <c r="G53" i="72"/>
  <c r="G46" i="72"/>
  <c r="G49" i="72"/>
  <c r="G16" i="72"/>
  <c r="G23" i="72"/>
  <c r="G27" i="72"/>
  <c r="G19" i="72"/>
  <c r="G60" i="72"/>
  <c r="G25" i="72"/>
  <c r="G18" i="72"/>
  <c r="G93" i="72"/>
  <c r="D68" i="72"/>
  <c r="BE59" i="22"/>
  <c r="F89" i="72"/>
  <c r="G89" i="72" s="1"/>
  <c r="J89" i="72" l="1"/>
  <c r="J88" i="72"/>
  <c r="BF59" i="22"/>
  <c r="F68" i="72"/>
  <c r="F116" i="72"/>
  <c r="G68" i="72" l="1"/>
  <c r="AF93" i="11" l="1"/>
  <c r="G83" i="22"/>
  <c r="O83" i="22" s="1"/>
  <c r="AY13" i="22" s="1"/>
  <c r="AC93" i="11"/>
  <c r="H83" i="22"/>
  <c r="D31" i="36" l="1"/>
  <c r="AY9" i="22"/>
  <c r="P83" i="22"/>
  <c r="F65" i="36"/>
  <c r="AK11" i="11" a="1"/>
  <c r="AK11" i="11" s="1"/>
  <c r="AQ93" i="11" l="1"/>
  <c r="AQ259" i="11" s="1"/>
  <c r="J25" i="22"/>
  <c r="AX34" i="22" s="1"/>
  <c r="AZ13" i="22"/>
  <c r="N83" i="32"/>
  <c r="D22" i="36"/>
  <c r="AZ9" i="22"/>
  <c r="AN10" i="22"/>
  <c r="F45" i="36" s="1"/>
  <c r="AM10" i="22"/>
  <c r="E45" i="36" s="1"/>
  <c r="E65" i="36"/>
  <c r="G65" i="36" s="1"/>
  <c r="AK12" i="11" a="1"/>
  <c r="AK12" i="11" s="1"/>
  <c r="AK13" i="11" s="1" a="1"/>
  <c r="AK13" i="11" s="1"/>
  <c r="AK14" i="11" s="1" a="1"/>
  <c r="AK14" i="11" s="1"/>
  <c r="Q83" i="22"/>
  <c r="I83" i="22"/>
  <c r="BG13" i="22" s="1"/>
  <c r="G5" i="72" l="1"/>
  <c r="H8" i="73"/>
  <c r="BA9" i="22"/>
  <c r="BA13" i="22"/>
  <c r="AL5" i="22"/>
  <c r="R25" i="22"/>
  <c r="AO10" i="22"/>
  <c r="AK15" i="11" a="1"/>
  <c r="AK15" i="11" s="1"/>
  <c r="AK16" i="11" s="1" a="1"/>
  <c r="AK16" i="11" s="1"/>
  <c r="BG9" i="22"/>
  <c r="J83" i="22"/>
  <c r="AX13" i="22" s="1"/>
  <c r="AE83" i="22"/>
  <c r="H16" i="73" l="1"/>
  <c r="H37" i="73" s="1"/>
  <c r="J16" i="73"/>
  <c r="K16" i="73" s="1"/>
  <c r="H47" i="73"/>
  <c r="H51" i="73" s="1"/>
  <c r="J51" i="73" s="1"/>
  <c r="E61" i="73"/>
  <c r="F61" i="73" s="1"/>
  <c r="H61" i="73" s="1"/>
  <c r="BB34" i="22"/>
  <c r="AP5" i="22"/>
  <c r="AF25" i="22"/>
  <c r="AL10" i="22"/>
  <c r="D65" i="36"/>
  <c r="H65" i="36" s="1"/>
  <c r="AK17" i="11" a="1"/>
  <c r="AK17" i="11" s="1"/>
  <c r="AK18" i="11" s="1" a="1"/>
  <c r="AK18" i="11" s="1"/>
  <c r="R83" i="22"/>
  <c r="H14" i="36" l="1"/>
  <c r="C38" i="104"/>
  <c r="C15" i="104"/>
  <c r="T3" i="50"/>
  <c r="L3" i="71"/>
  <c r="M3" i="59"/>
  <c r="K3" i="46"/>
  <c r="T3" i="32"/>
  <c r="L3" i="11"/>
  <c r="H10" i="36"/>
  <c r="BB9" i="22"/>
  <c r="BB13" i="22"/>
  <c r="BE34" i="22"/>
  <c r="D45" i="72"/>
  <c r="D83" i="72" s="1"/>
  <c r="AP10" i="22"/>
  <c r="AK19" i="11" a="1"/>
  <c r="AK19" i="11" s="1"/>
  <c r="AK20" i="11" s="1" a="1"/>
  <c r="AK20" i="11" s="1"/>
  <c r="AF83" i="22"/>
  <c r="J61" i="73" l="1"/>
  <c r="E38" i="104"/>
  <c r="H32" i="104" s="1"/>
  <c r="H33" i="104" s="1"/>
  <c r="D17" i="72"/>
  <c r="T4" i="32"/>
  <c r="T4" i="50"/>
  <c r="K4" i="46"/>
  <c r="M4" i="59"/>
  <c r="L4" i="11"/>
  <c r="L4" i="71"/>
  <c r="BE9" i="22"/>
  <c r="D21" i="72"/>
  <c r="BE13" i="22"/>
  <c r="BF34" i="22"/>
  <c r="F45" i="72"/>
  <c r="J40" i="72" s="1"/>
  <c r="AK21" i="11" a="1"/>
  <c r="AK21" i="11" s="1"/>
  <c r="D33" i="72" l="1"/>
  <c r="E15" i="104"/>
  <c r="BF9" i="22"/>
  <c r="G45" i="72"/>
  <c r="G83" i="72" s="1"/>
  <c r="J41" i="72" s="1"/>
  <c r="F83" i="72"/>
  <c r="F17" i="72"/>
  <c r="BF13" i="22"/>
  <c r="F21" i="72"/>
  <c r="AK22" i="11" a="1"/>
  <c r="AK22" i="11" s="1"/>
  <c r="G7" i="104" l="1"/>
  <c r="J12" i="72"/>
  <c r="J90" i="72" s="1"/>
  <c r="J91" i="72" s="1"/>
  <c r="G21" i="72"/>
  <c r="G17" i="72"/>
  <c r="G6" i="72"/>
  <c r="F33" i="72"/>
  <c r="AK23" i="11" a="1"/>
  <c r="AK23" i="11" s="1"/>
  <c r="G7" i="72" l="1"/>
  <c r="G33" i="72"/>
  <c r="I13" i="72" s="1"/>
  <c r="AK24" i="11" a="1"/>
  <c r="AK24" i="11" s="1"/>
  <c r="AK25" i="11" s="1" a="1"/>
  <c r="AK25" i="11" s="1"/>
  <c r="AK26" i="11" l="1" a="1"/>
  <c r="AK26" i="11" s="1"/>
  <c r="AK27" i="11" s="1" a="1"/>
  <c r="AK27" i="11" s="1"/>
  <c r="AK28" i="11" s="1" a="1"/>
  <c r="AK28" i="11" s="1"/>
  <c r="AK29" i="11" s="1" a="1"/>
  <c r="AK29" i="11" s="1"/>
  <c r="AK30" i="11" s="1" a="1"/>
  <c r="AK30" i="11" s="1"/>
  <c r="AK31" i="11" s="1" a="1"/>
  <c r="AK31" i="11" s="1"/>
  <c r="AK32" i="11" s="1" a="1"/>
  <c r="AK32" i="11" s="1"/>
  <c r="AK33" i="11" s="1" a="1"/>
  <c r="AK33" i="11" s="1"/>
  <c r="AK34" i="11" s="1" a="1"/>
  <c r="AK34" i="11" s="1"/>
  <c r="AK35" i="11" s="1" a="1"/>
  <c r="AK35" i="11" s="1"/>
  <c r="AK36" i="11" s="1" a="1"/>
  <c r="AK36" i="11" s="1"/>
  <c r="AK37" i="11" s="1" a="1"/>
  <c r="AK37" i="11" s="1"/>
  <c r="AK38" i="11" s="1" a="1"/>
  <c r="AK38" i="11" s="1"/>
  <c r="AK39" i="11" s="1" a="1"/>
  <c r="AK39" i="11" s="1"/>
  <c r="AK40" i="11" s="1" a="1"/>
  <c r="AK40" i="11" s="1"/>
  <c r="AK41" i="11" s="1" a="1"/>
  <c r="AK41" i="11" s="1"/>
  <c r="AK42" i="11" s="1" a="1"/>
  <c r="AK42" i="11" s="1"/>
  <c r="AK43" i="11" s="1" a="1"/>
  <c r="AK43" i="11" s="1"/>
  <c r="AK44" i="11" s="1" a="1"/>
  <c r="AK44" i="11" s="1"/>
  <c r="AK45" i="11" s="1" a="1"/>
  <c r="AK45" i="11" s="1"/>
  <c r="AK46" i="11" s="1" a="1"/>
  <c r="AK46" i="11" s="1"/>
  <c r="AK47" i="11" s="1" a="1"/>
  <c r="AK47" i="11" s="1"/>
  <c r="AK48" i="11" s="1" a="1"/>
  <c r="AK48" i="11" s="1"/>
  <c r="AK49" i="11" s="1" a="1"/>
  <c r="AK49" i="11" s="1"/>
  <c r="AK50" i="11" s="1" a="1"/>
  <c r="AK50" i="11" s="1"/>
  <c r="AK51" i="11" s="1" a="1"/>
  <c r="AK51" i="11" s="1"/>
  <c r="AK52" i="11" s="1" a="1"/>
  <c r="AK52" i="11" s="1"/>
  <c r="AK53" i="11" s="1" a="1"/>
  <c r="AK53" i="11" s="1"/>
  <c r="AK54" i="11" s="1" a="1"/>
  <c r="AK54" i="11" s="1"/>
  <c r="AK55" i="11" s="1" a="1"/>
  <c r="AK55" i="11" s="1"/>
  <c r="AK56" i="11" s="1" a="1"/>
  <c r="AK56" i="11" s="1"/>
  <c r="AK57" i="11" s="1" a="1"/>
  <c r="AK57" i="11" s="1"/>
  <c r="AK58" i="11" s="1" a="1"/>
  <c r="AK58" i="11" s="1"/>
  <c r="AK59" i="11" s="1" a="1"/>
  <c r="AK59" i="11" s="1"/>
  <c r="AK60" i="11" s="1" a="1"/>
  <c r="AK60" i="11" s="1"/>
  <c r="AK61" i="11" s="1" a="1"/>
  <c r="AK61" i="11" s="1"/>
  <c r="AK62" i="11" s="1" a="1"/>
  <c r="AK62" i="11" s="1"/>
  <c r="AK63" i="11" s="1" a="1"/>
  <c r="AK63" i="11" s="1"/>
  <c r="AK64" i="11" s="1" a="1"/>
  <c r="AK64" i="11" s="1"/>
  <c r="AK65" i="11" s="1" a="1"/>
  <c r="AK65" i="11" s="1"/>
  <c r="AK66" i="11" s="1" a="1"/>
  <c r="AK66" i="11" s="1"/>
  <c r="AK67" i="11" s="1" a="1"/>
  <c r="AK67" i="11" s="1"/>
  <c r="AK68" i="11" s="1" a="1"/>
  <c r="AK68" i="11" s="1"/>
  <c r="AK69" i="11" s="1" a="1"/>
  <c r="AK69" i="11" s="1"/>
  <c r="AK70" i="11" s="1" a="1"/>
  <c r="AK70" i="11" s="1"/>
  <c r="AK71" i="11" s="1" a="1"/>
  <c r="AK71" i="11" s="1"/>
  <c r="AK72" i="11" s="1" a="1"/>
  <c r="AK72" i="11" s="1"/>
  <c r="AK73" i="11" s="1" a="1"/>
  <c r="AK73" i="11" s="1"/>
  <c r="AK74" i="11" s="1" a="1"/>
  <c r="AK74" i="11" s="1"/>
  <c r="AK75" i="11" s="1" a="1"/>
  <c r="AK75" i="11" s="1"/>
  <c r="AK76" i="11" s="1" a="1"/>
  <c r="AK76" i="11" s="1"/>
  <c r="AK77" i="11" s="1" a="1"/>
  <c r="AK77" i="11" s="1"/>
  <c r="AK78" i="11" s="1" a="1"/>
  <c r="AK78" i="11" s="1"/>
  <c r="AK79" i="11" s="1" a="1"/>
  <c r="AK79" i="11" s="1"/>
  <c r="AK80" i="11" s="1" a="1"/>
  <c r="AK80" i="11" s="1"/>
  <c r="AK81" i="11" s="1" a="1"/>
  <c r="AK81" i="11" s="1"/>
  <c r="AK82" i="11" s="1" a="1"/>
  <c r="AK82" i="11" s="1"/>
  <c r="AK83" i="11" s="1" a="1"/>
  <c r="AK83" i="11" s="1"/>
  <c r="AK84" i="11" s="1" a="1"/>
  <c r="AK84" i="11" s="1"/>
  <c r="AK85" i="11" s="1" a="1"/>
  <c r="AK85" i="11" s="1"/>
  <c r="AK86" i="11" s="1" a="1"/>
  <c r="AK86" i="11" s="1"/>
  <c r="AK87" i="11" s="1" a="1"/>
  <c r="AK87" i="11" s="1"/>
  <c r="AK88" i="11" s="1" a="1"/>
  <c r="AK88" i="11" s="1"/>
  <c r="AK89" i="11" s="1" a="1"/>
  <c r="AK89" i="11" s="1"/>
  <c r="AK90" i="11" s="1" a="1"/>
  <c r="AK90" i="11" s="1"/>
  <c r="AK91" i="11" s="1" a="1"/>
  <c r="AK91" i="11" s="1"/>
  <c r="AK92" i="11" s="1" a="1"/>
  <c r="AK92" i="11" s="1"/>
  <c r="AK93" i="11" s="1" a="1"/>
  <c r="AK93" i="11" s="1"/>
  <c r="AK94" i="11" s="1" a="1"/>
  <c r="AK94" i="11" s="1"/>
  <c r="AK95" i="11" s="1" a="1"/>
  <c r="AK95" i="11" s="1"/>
  <c r="AK96" i="11" s="1" a="1"/>
  <c r="AK96" i="11" s="1"/>
  <c r="AK97" i="11" s="1" a="1"/>
  <c r="AK97" i="11" s="1"/>
  <c r="AK98" i="11" s="1" a="1"/>
  <c r="AK98" i="11" s="1"/>
  <c r="AK99" i="11" s="1" a="1"/>
  <c r="AK99" i="11" s="1"/>
  <c r="AK100" i="11" s="1" a="1"/>
  <c r="AK100" i="11" s="1"/>
  <c r="AK101" i="11" s="1" a="1"/>
  <c r="AK101" i="11" s="1"/>
  <c r="AK102" i="11" s="1" a="1"/>
  <c r="AK102" i="11" s="1"/>
  <c r="AK103" i="11" s="1" a="1"/>
  <c r="AK103" i="11" s="1"/>
  <c r="AK104" i="11" s="1" a="1"/>
  <c r="AK104" i="11" s="1"/>
  <c r="AK105" i="11" s="1" a="1"/>
  <c r="AK105" i="11" s="1"/>
  <c r="AK106" i="11" s="1" a="1"/>
  <c r="AK106" i="11" s="1"/>
  <c r="AK107" i="11" s="1" a="1"/>
  <c r="AK107" i="11" s="1"/>
  <c r="AK108" i="11" s="1" a="1"/>
  <c r="AK108" i="11" s="1"/>
  <c r="AK109" i="11" s="1" a="1"/>
  <c r="AK109" i="11" s="1"/>
  <c r="AK110" i="11" s="1" a="1"/>
  <c r="AK110" i="11" s="1"/>
  <c r="AK111" i="11" s="1" a="1"/>
  <c r="AK111" i="11" s="1"/>
  <c r="AK112" i="11" s="1" a="1"/>
  <c r="AK112" i="11" s="1"/>
  <c r="AK113" i="11" s="1" a="1"/>
  <c r="AK113" i="11" s="1"/>
  <c r="AK114" i="11" s="1" a="1"/>
  <c r="AK114" i="11" s="1"/>
  <c r="AK115" i="11" s="1" a="1"/>
  <c r="AK115" i="11" s="1"/>
  <c r="AK116" i="11" s="1" a="1"/>
  <c r="AK116" i="11" s="1"/>
  <c r="AK117" i="11" s="1" a="1"/>
  <c r="AK117" i="11" s="1"/>
  <c r="AK118" i="11" s="1" a="1"/>
  <c r="AK118" i="11" s="1"/>
  <c r="AK119" i="11" s="1" a="1"/>
  <c r="AK119" i="11" s="1"/>
  <c r="AK120" i="11" s="1" a="1"/>
  <c r="AK120" i="11" s="1"/>
  <c r="AK121" i="11" s="1" a="1"/>
  <c r="AK121" i="11" s="1"/>
  <c r="AK122" i="11" s="1" a="1"/>
  <c r="AK122" i="11" s="1"/>
  <c r="AK123" i="11" s="1" a="1"/>
  <c r="AK123" i="11" s="1"/>
  <c r="AK124" i="11" s="1" a="1"/>
  <c r="AK124" i="11" s="1"/>
  <c r="AK125" i="11" s="1" a="1"/>
  <c r="AK125" i="11" s="1"/>
  <c r="AK126" i="11" s="1" a="1"/>
  <c r="AK126" i="11" s="1"/>
  <c r="AK127" i="11" s="1" a="1"/>
  <c r="AK127" i="11" s="1"/>
  <c r="AK128" i="11" s="1" a="1"/>
  <c r="AK128" i="11" s="1"/>
  <c r="AK129" i="11" s="1" a="1"/>
  <c r="AK129" i="11" s="1"/>
  <c r="AK130" i="11" s="1" a="1"/>
  <c r="AK130" i="11" s="1"/>
  <c r="AK131" i="11" s="1" a="1"/>
  <c r="AK131" i="11" s="1"/>
  <c r="AK132" i="11" s="1" a="1"/>
  <c r="AK132" i="11" s="1"/>
  <c r="AK133" i="11" s="1" a="1"/>
  <c r="AK133" i="11" s="1"/>
  <c r="AK134" i="11" s="1" a="1"/>
  <c r="AK134" i="11" s="1"/>
  <c r="AK135" i="11" s="1" a="1"/>
  <c r="AK135" i="11" s="1"/>
  <c r="AK136" i="11" s="1" a="1"/>
  <c r="AK136" i="11" s="1"/>
  <c r="AK137" i="11" s="1" a="1"/>
  <c r="AK137" i="11" s="1"/>
  <c r="AK138" i="11" s="1" a="1"/>
  <c r="AK138" i="11" s="1"/>
  <c r="AK139" i="11" s="1" a="1"/>
  <c r="AK139" i="11" s="1"/>
  <c r="AK140" i="11" s="1" a="1"/>
  <c r="AK140" i="11" s="1"/>
  <c r="AK141" i="11" s="1" a="1"/>
  <c r="AK141" i="11" s="1"/>
  <c r="AK142" i="11" s="1" a="1"/>
  <c r="AK142" i="11" s="1"/>
  <c r="AK143" i="11" s="1" a="1"/>
  <c r="AK143" i="11" s="1"/>
  <c r="AK144" i="11" s="1" a="1"/>
  <c r="AK144" i="11" s="1"/>
  <c r="AK145" i="11" s="1" a="1"/>
  <c r="AK145" i="11" s="1"/>
  <c r="AK146" i="11" s="1" a="1"/>
  <c r="AK146" i="11" s="1"/>
  <c r="AK147" i="11" s="1" a="1"/>
  <c r="AK147" i="11" s="1"/>
  <c r="AK148" i="11" s="1" a="1"/>
  <c r="AK148" i="11" s="1"/>
  <c r="AK149" i="11" s="1" a="1"/>
  <c r="AK149" i="11" s="1"/>
  <c r="AK150" i="11" s="1" a="1"/>
  <c r="AK150" i="11" s="1"/>
  <c r="AK151" i="11" s="1" a="1"/>
  <c r="AK151" i="11" s="1"/>
  <c r="AK152" i="11" s="1" a="1"/>
  <c r="AK152" i="11" s="1"/>
  <c r="AK153" i="11" s="1" a="1"/>
  <c r="AK153" i="11" s="1"/>
  <c r="AK154" i="11" s="1" a="1"/>
  <c r="AK154" i="11" s="1"/>
  <c r="AK155" i="11" s="1" a="1"/>
  <c r="AK155" i="11" s="1"/>
  <c r="AK156" i="11" s="1" a="1"/>
  <c r="AK156" i="11" s="1"/>
  <c r="AK157" i="11" s="1" a="1"/>
  <c r="AK157" i="11" s="1"/>
  <c r="AK158" i="11" s="1" a="1"/>
  <c r="AK158" i="11" s="1"/>
  <c r="AK159" i="11" s="1" a="1"/>
  <c r="AK159" i="11" s="1"/>
  <c r="AK160" i="11" s="1" a="1"/>
  <c r="AK160" i="11" s="1"/>
  <c r="AK161" i="11" s="1" a="1"/>
  <c r="AK161" i="11" s="1"/>
  <c r="AK162" i="11" s="1" a="1"/>
  <c r="AK162" i="11" s="1"/>
  <c r="AK163" i="11" s="1" a="1"/>
  <c r="AK163" i="11" s="1"/>
  <c r="AK164" i="11" s="1" a="1"/>
  <c r="AK164" i="11" s="1"/>
  <c r="AK165" i="11" s="1" a="1"/>
  <c r="AK165" i="11" s="1"/>
  <c r="AK166" i="11" s="1" a="1"/>
  <c r="AK166" i="11" s="1"/>
  <c r="AK167" i="11" s="1" a="1"/>
  <c r="AK167" i="11" s="1"/>
  <c r="AK168" i="11" s="1" a="1"/>
  <c r="AK168" i="11" s="1"/>
  <c r="AK169" i="11" s="1" a="1"/>
  <c r="AK169" i="11" s="1"/>
  <c r="AK170" i="11" s="1" a="1"/>
  <c r="AK170" i="11" s="1"/>
  <c r="AK171" i="11" s="1" a="1"/>
  <c r="AK171" i="11" s="1"/>
  <c r="AK172" i="11" s="1" a="1"/>
  <c r="AK172" i="11" s="1"/>
  <c r="AK173" i="11" s="1" a="1"/>
  <c r="AK173" i="11" s="1"/>
  <c r="AK174" i="11" s="1" a="1"/>
  <c r="AK174" i="11" s="1"/>
  <c r="AK175" i="11" s="1" a="1"/>
  <c r="AK175" i="11" s="1"/>
  <c r="AK176" i="11" s="1" a="1"/>
  <c r="AK176" i="11" s="1"/>
  <c r="AK177" i="11" s="1" a="1"/>
  <c r="AK177" i="11" s="1"/>
  <c r="AK178" i="11" s="1" a="1"/>
  <c r="AK178" i="11" s="1"/>
  <c r="AK179" i="11" s="1" a="1"/>
  <c r="AK179" i="11" s="1"/>
  <c r="AK180" i="11" s="1" a="1"/>
  <c r="AK180" i="11" s="1"/>
  <c r="AK181" i="11" s="1" a="1"/>
  <c r="AK181" i="11" s="1"/>
  <c r="AK182" i="11" s="1" a="1"/>
  <c r="AK182" i="11" s="1"/>
  <c r="AK183" i="11" s="1" a="1"/>
  <c r="AK183" i="11" s="1"/>
  <c r="AK184" i="11" s="1" a="1"/>
  <c r="AK184" i="11" s="1"/>
  <c r="AK185" i="11" s="1" a="1"/>
  <c r="AK185" i="11" s="1"/>
  <c r="AK186" i="11" s="1" a="1"/>
  <c r="AK186" i="11" s="1"/>
  <c r="AK187" i="11" s="1" a="1"/>
  <c r="AK187" i="11" s="1"/>
  <c r="AK188" i="11" s="1" a="1"/>
  <c r="AK188" i="11" s="1"/>
  <c r="AK189" i="11" s="1" a="1"/>
  <c r="AK189" i="11" s="1"/>
  <c r="AK190" i="11" s="1" a="1"/>
  <c r="AK190" i="11" s="1"/>
  <c r="AK191" i="11" s="1" a="1"/>
  <c r="AK191" i="11" s="1"/>
  <c r="AK192" i="11" s="1" a="1"/>
  <c r="AK192" i="11" s="1"/>
  <c r="AK193" i="11" s="1" a="1"/>
  <c r="AK193" i="11" s="1"/>
  <c r="AK194" i="11" s="1" a="1"/>
  <c r="AK194" i="11" s="1"/>
  <c r="AK195" i="11" s="1" a="1"/>
  <c r="AK195" i="11" s="1"/>
  <c r="AK196" i="11" s="1" a="1"/>
  <c r="AK196" i="11" s="1"/>
  <c r="AK197" i="11" s="1" a="1"/>
  <c r="AK197" i="11" s="1"/>
  <c r="AK198" i="11" s="1" a="1"/>
  <c r="AK198" i="11" s="1"/>
  <c r="AK199" i="11" s="1" a="1"/>
  <c r="AK199" i="11" s="1"/>
  <c r="AK200" i="11" s="1" a="1"/>
  <c r="AK200" i="11" s="1"/>
  <c r="AK201" i="11" s="1" a="1"/>
  <c r="AK201" i="11" s="1"/>
  <c r="AK202" i="11" s="1" a="1"/>
  <c r="AK202" i="11" s="1"/>
  <c r="AK203" i="11" s="1" a="1"/>
  <c r="AK203" i="11" s="1"/>
  <c r="AK204" i="11" s="1" a="1"/>
  <c r="AK204" i="11" s="1"/>
  <c r="AK205" i="11" s="1" a="1"/>
  <c r="AK205" i="11" s="1"/>
  <c r="AK206" i="11" s="1" a="1"/>
  <c r="AK206" i="11" s="1"/>
  <c r="AK207" i="11" s="1" a="1"/>
  <c r="AK207" i="11" s="1"/>
  <c r="AK208" i="11" s="1" a="1"/>
  <c r="AK208" i="11" s="1"/>
  <c r="AK209" i="11" s="1" a="1"/>
  <c r="AK209" i="11" s="1"/>
  <c r="AK210" i="11" s="1" a="1"/>
  <c r="AK210" i="11" s="1"/>
  <c r="AK211" i="11" s="1" a="1"/>
  <c r="AK211" i="11" s="1"/>
  <c r="AK212" i="11" s="1" a="1"/>
  <c r="AK212" i="11" s="1"/>
  <c r="AK213" i="11" s="1" a="1"/>
  <c r="AK213" i="11" s="1"/>
  <c r="AK214" i="11" s="1" a="1"/>
  <c r="AK214" i="11" s="1"/>
  <c r="AK215" i="11" s="1" a="1"/>
  <c r="AK215" i="11" s="1"/>
  <c r="AK216" i="11" s="1" a="1"/>
  <c r="AK216" i="11" s="1"/>
  <c r="AK217" i="11" s="1" a="1"/>
  <c r="AK217" i="11" s="1"/>
  <c r="AK218" i="11" s="1" a="1"/>
  <c r="AK218" i="11" s="1"/>
  <c r="AK219" i="11" s="1" a="1"/>
  <c r="AK219" i="11" s="1"/>
  <c r="AK220" i="11" s="1" a="1"/>
  <c r="AK220" i="11" s="1"/>
  <c r="AK221" i="11" s="1" a="1"/>
  <c r="AK221" i="11" s="1"/>
  <c r="AK222" i="11" s="1" a="1"/>
  <c r="AK222" i="11" s="1"/>
  <c r="AK223" i="11" s="1" a="1"/>
  <c r="AK223" i="11" s="1"/>
  <c r="AK224" i="11" s="1" a="1"/>
  <c r="AK224" i="11" s="1"/>
  <c r="AK225" i="11" s="1" a="1"/>
  <c r="AK225" i="11" s="1"/>
  <c r="AK226" i="11" s="1" a="1"/>
  <c r="AK226" i="11" s="1"/>
  <c r="AK227" i="11" s="1" a="1"/>
  <c r="AK227" i="11" s="1"/>
  <c r="AK228" i="11" s="1" a="1"/>
  <c r="AK228" i="11" s="1"/>
  <c r="AK229" i="11" s="1" a="1"/>
  <c r="AK229" i="11" s="1"/>
  <c r="AK230" i="11" s="1" a="1"/>
  <c r="AK230" i="11" s="1"/>
  <c r="AK231" i="11" s="1" a="1"/>
  <c r="AK231" i="11" s="1"/>
  <c r="AK232" i="11" s="1" a="1"/>
  <c r="AK232" i="11" s="1"/>
  <c r="AK233" i="11" s="1" a="1"/>
  <c r="AK233" i="11" s="1"/>
  <c r="AK234" i="11" s="1" a="1"/>
  <c r="AK234" i="11" s="1"/>
  <c r="AK235" i="11" s="1" a="1"/>
  <c r="AK235" i="11" s="1"/>
  <c r="AK236" i="11" s="1" a="1"/>
  <c r="AK236" i="11" s="1"/>
  <c r="AK237" i="11" s="1" a="1"/>
  <c r="AK237" i="11" s="1"/>
  <c r="AK238" i="11" s="1" a="1"/>
  <c r="AK238" i="11" s="1"/>
  <c r="AK239" i="11" s="1" a="1"/>
  <c r="AK239" i="11" s="1"/>
  <c r="AK240" i="11" s="1" a="1"/>
  <c r="AK240" i="11" s="1"/>
  <c r="AK241" i="11" s="1" a="1"/>
  <c r="AK241" i="11" s="1"/>
  <c r="AK242" i="11" s="1" a="1"/>
  <c r="AK242" i="11" s="1"/>
  <c r="AK243" i="11" s="1" a="1"/>
  <c r="AK243" i="11" s="1"/>
  <c r="AK244" i="11" s="1" a="1"/>
  <c r="AK244" i="11" s="1"/>
  <c r="AK245" i="11" s="1" a="1"/>
  <c r="AK245" i="11" s="1"/>
  <c r="AK246" i="11" s="1" a="1"/>
  <c r="AK246" i="11" s="1"/>
  <c r="AK247" i="11" s="1" a="1"/>
  <c r="AK247" i="11" s="1"/>
  <c r="AK248" i="11" s="1" a="1"/>
  <c r="AK248" i="11" s="1"/>
  <c r="AK249" i="11" s="1" a="1"/>
  <c r="AK249" i="11" s="1"/>
  <c r="AK250" i="11" s="1" a="1"/>
  <c r="AK250" i="11" s="1"/>
  <c r="AK251" i="11" s="1" a="1"/>
  <c r="AK251" i="11" s="1"/>
  <c r="AK252" i="11" s="1" a="1"/>
  <c r="AK252" i="11" s="1"/>
  <c r="AK253" i="11" s="1" a="1"/>
  <c r="AK253" i="11" s="1"/>
  <c r="AK254" i="11" s="1" a="1"/>
  <c r="AK254" i="11" s="1"/>
  <c r="AK255" i="11" s="1" a="1"/>
  <c r="AK255" i="11" s="1"/>
  <c r="AK256" i="11" s="1" a="1"/>
  <c r="AK256" i="11" s="1"/>
  <c r="AK257" i="11" s="1" a="1"/>
  <c r="AK257" i="11" s="1"/>
  <c r="AK258" i="11" s="1" a="1"/>
  <c r="AK258" i="11" s="1"/>
  <c r="C49" i="36"/>
  <c r="C88" i="36" s="1"/>
  <c r="D48" i="36"/>
  <c r="C41" i="36"/>
  <c r="C80" i="36" s="1"/>
  <c r="D39" i="36"/>
  <c r="C48" i="36"/>
  <c r="C87" i="36" s="1"/>
  <c r="C45" i="36"/>
  <c r="C84" i="36" s="1"/>
  <c r="D46" i="36"/>
  <c r="D85" i="36" s="1"/>
  <c r="D42" i="36"/>
  <c r="D47" i="36"/>
  <c r="C43" i="36"/>
  <c r="C82" i="36" s="1"/>
  <c r="C46" i="36"/>
  <c r="C85" i="36" s="1"/>
  <c r="C50" i="36"/>
  <c r="C89" i="36" s="1"/>
  <c r="C47" i="36"/>
  <c r="C86" i="36" s="1"/>
  <c r="C44" i="36"/>
  <c r="C83" i="36" s="1"/>
  <c r="D49" i="36"/>
  <c r="C42" i="36"/>
  <c r="C81" i="36" s="1"/>
  <c r="C39" i="36"/>
  <c r="D44" i="36"/>
  <c r="D43" i="36"/>
  <c r="D50" i="36"/>
  <c r="D89" i="36" s="1"/>
  <c r="D41" i="36"/>
  <c r="C40" i="36"/>
  <c r="C79" i="36" s="1"/>
  <c r="D40" i="36"/>
  <c r="D45" i="36"/>
  <c r="C78" i="36" l="1"/>
  <c r="G39" i="36"/>
  <c r="F81" i="36"/>
  <c r="H42" i="36"/>
  <c r="F88" i="36"/>
  <c r="H49" i="36"/>
  <c r="G44" i="36"/>
  <c r="E83" i="36"/>
  <c r="D86" i="36"/>
  <c r="F84" i="36"/>
  <c r="H45" i="36"/>
  <c r="E82" i="36"/>
  <c r="G43" i="36"/>
  <c r="H48" i="36"/>
  <c r="F87" i="36"/>
  <c r="D87" i="36"/>
  <c r="D84" i="36"/>
  <c r="E84" i="36"/>
  <c r="G45" i="36"/>
  <c r="D82" i="36"/>
  <c r="E89" i="36"/>
  <c r="G50" i="36"/>
  <c r="H43" i="36"/>
  <c r="F82" i="36"/>
  <c r="E85" i="36"/>
  <c r="G46" i="36"/>
  <c r="F86" i="36"/>
  <c r="H47" i="36"/>
  <c r="D79" i="36"/>
  <c r="D80" i="36"/>
  <c r="F80" i="36"/>
  <c r="H41" i="36"/>
  <c r="D83" i="36"/>
  <c r="D88" i="36"/>
  <c r="H44" i="36"/>
  <c r="F83" i="36"/>
  <c r="F85" i="36"/>
  <c r="H46" i="36"/>
  <c r="E81" i="36"/>
  <c r="G42" i="36"/>
  <c r="E86" i="36"/>
  <c r="G47" i="36"/>
  <c r="F89" i="36"/>
  <c r="H50" i="36"/>
  <c r="H40" i="36"/>
  <c r="F79" i="36"/>
  <c r="G40" i="36"/>
  <c r="E79" i="36"/>
  <c r="D81" i="36"/>
  <c r="D78" i="36"/>
  <c r="H39" i="36"/>
  <c r="E80" i="36"/>
  <c r="G41" i="36"/>
  <c r="E88" i="36"/>
  <c r="G49" i="36"/>
  <c r="G48" i="36"/>
  <c r="E87" i="36"/>
  <c r="H78" i="36" l="1"/>
  <c r="H84" i="36"/>
  <c r="G83" i="36"/>
  <c r="G87" i="36"/>
  <c r="G81" i="36"/>
  <c r="H86" i="36"/>
  <c r="H81" i="36"/>
  <c r="G79" i="36"/>
  <c r="G86" i="36"/>
  <c r="G85" i="36"/>
  <c r="G89" i="36"/>
  <c r="H87" i="36"/>
  <c r="H88" i="36"/>
  <c r="G78" i="36"/>
  <c r="H89" i="36"/>
  <c r="H80" i="36"/>
  <c r="G88" i="36"/>
  <c r="H83" i="36"/>
  <c r="H82" i="36"/>
  <c r="H85" i="36"/>
  <c r="G80" i="36"/>
  <c r="H79" i="36"/>
  <c r="G82" i="36"/>
  <c r="G84" i="36"/>
  <c r="B125" i="72" l="1"/>
  <c r="BA113" i="22"/>
  <c r="BC113" i="22"/>
  <c r="AY113" i="22"/>
  <c r="AW113" i="22"/>
  <c r="AZ113" i="22"/>
  <c r="BD113" i="22"/>
  <c r="BB113" i="22"/>
  <c r="E125" i="72" l="1"/>
  <c r="D125" i="72"/>
  <c r="D163" i="72" s="1"/>
  <c r="C48" i="104"/>
  <c r="BE113" i="22"/>
  <c r="BF113" i="22" l="1"/>
  <c r="E48" i="104"/>
  <c r="F125" i="72"/>
  <c r="F163" i="72" s="1"/>
  <c r="J125" i="72" s="1"/>
  <c r="J126" i="72" s="1"/>
  <c r="H172" i="22"/>
  <c r="H173" i="22"/>
  <c r="G174" i="22"/>
  <c r="H176" i="22"/>
  <c r="G176" i="22"/>
  <c r="G173" i="22"/>
  <c r="G172" i="22"/>
  <c r="G175" i="22"/>
  <c r="F173" i="22"/>
  <c r="D164" i="36" s="1"/>
  <c r="D204" i="36" s="1"/>
  <c r="AJ14" i="63"/>
  <c r="AO10" i="63" s="1" a="1"/>
  <c r="AO10" i="63" s="1"/>
  <c r="AI14" i="63"/>
  <c r="AN10" i="63" s="1" a="1"/>
  <c r="AN10" i="63" s="1"/>
  <c r="F14" i="63"/>
  <c r="E172" i="22"/>
  <c r="C163" i="36" s="1"/>
  <c r="C203" i="36" s="1"/>
  <c r="E176" i="22"/>
  <c r="C167" i="36" s="1"/>
  <c r="C207" i="36" s="1"/>
  <c r="E173" i="22"/>
  <c r="C164" i="36" s="1"/>
  <c r="C204" i="36" s="1"/>
  <c r="E175" i="22"/>
  <c r="C166" i="36" s="1"/>
  <c r="C206" i="36" s="1"/>
  <c r="E174" i="22"/>
  <c r="C165" i="36" s="1"/>
  <c r="C205" i="36" s="1"/>
  <c r="J172" i="22"/>
  <c r="J173" i="22"/>
  <c r="F172" i="22"/>
  <c r="D163" i="36" s="1"/>
  <c r="J176" i="22"/>
  <c r="F176" i="22"/>
  <c r="D167" i="36" s="1"/>
  <c r="D207" i="36" s="1"/>
  <c r="I172" i="22"/>
  <c r="Q14" i="63"/>
  <c r="I175" i="22"/>
  <c r="AQ14" i="63"/>
  <c r="I173" i="22"/>
  <c r="I174" i="22"/>
  <c r="I176" i="22"/>
  <c r="H43" i="104" l="1"/>
  <c r="H44" i="104" s="1"/>
  <c r="AE14" i="63"/>
  <c r="AD14" i="63"/>
  <c r="G8" i="72"/>
  <c r="K168" i="36"/>
  <c r="K166" i="36"/>
  <c r="AN11" i="63" a="1"/>
  <c r="AN11" i="63" s="1"/>
  <c r="B12" i="65"/>
  <c r="AO11" i="63" a="1"/>
  <c r="AO11" i="63" s="1"/>
  <c r="B13" i="65" s="1"/>
  <c r="K170" i="36"/>
  <c r="K164" i="36"/>
  <c r="G14" i="63"/>
  <c r="AZ258" i="67" l="1" a="1"/>
  <c r="AZ258" i="67" s="1"/>
  <c r="L26" i="73" s="1"/>
  <c r="Y258" i="67" a="1"/>
  <c r="Y258" i="67" s="1"/>
  <c r="G8" i="104"/>
  <c r="M5" i="59" a="1"/>
  <c r="M5" i="59" s="1"/>
  <c r="T5" i="50" a="1"/>
  <c r="T5" i="50" s="1"/>
  <c r="L5" i="71" a="1"/>
  <c r="L5" i="71" s="1"/>
  <c r="L5" i="11" a="1"/>
  <c r="L5" i="11" s="1"/>
  <c r="T5" i="32" a="1"/>
  <c r="T5" i="32" s="1"/>
  <c r="K5" i="46" a="1"/>
  <c r="K5" i="46" s="1"/>
  <c r="X258" i="67"/>
  <c r="AA258" i="67"/>
  <c r="W258" i="67"/>
  <c r="E258" i="67"/>
  <c r="Z258" i="67" a="1"/>
  <c r="Z258" i="67" s="1"/>
  <c r="E258" i="63"/>
  <c r="U258" i="63"/>
  <c r="R258" i="63"/>
  <c r="X258" i="63"/>
  <c r="T258" i="63"/>
  <c r="L164" i="36"/>
  <c r="V14" i="63"/>
  <c r="H174" i="22" s="1"/>
  <c r="F174" i="22"/>
  <c r="D165" i="36" s="1"/>
  <c r="D205" i="36" s="1"/>
  <c r="W14" i="63"/>
  <c r="L170" i="36"/>
  <c r="L166" i="36"/>
  <c r="L168" i="36"/>
  <c r="AO12" i="63" a="1"/>
  <c r="AO12" i="63" s="1"/>
  <c r="B14" i="65" s="1"/>
  <c r="L14" i="65" s="1"/>
  <c r="M14" i="65" s="1"/>
  <c r="C12" i="65"/>
  <c r="L12" i="65"/>
  <c r="M12" i="65" s="1"/>
  <c r="AN12" i="63" a="1"/>
  <c r="AN12" i="63" s="1"/>
  <c r="AN13" i="63" s="1" a="1"/>
  <c r="AN13" i="63" s="1"/>
  <c r="L13" i="65"/>
  <c r="M13" i="65" s="1"/>
  <c r="C13" i="65"/>
  <c r="I5" i="55" l="1" a="1"/>
  <c r="I5" i="55" s="1"/>
  <c r="O5" i="53" a="1"/>
  <c r="O5" i="53" s="1"/>
  <c r="M5" i="58" a="1"/>
  <c r="M5" i="58" s="1"/>
  <c r="J5" i="52" a="1"/>
  <c r="J5" i="52" s="1"/>
  <c r="O5" i="57" a="1"/>
  <c r="O5" i="57" s="1"/>
  <c r="I5" i="42" a="1"/>
  <c r="I5" i="42" s="1"/>
  <c r="H30" i="36"/>
  <c r="N13" i="65"/>
  <c r="U13" i="65" s="1"/>
  <c r="N12" i="65"/>
  <c r="H27" i="36"/>
  <c r="W258" i="63" a="1"/>
  <c r="W258" i="63" s="1"/>
  <c r="H28" i="36" s="1"/>
  <c r="V258" i="63" a="1"/>
  <c r="V258" i="63" s="1"/>
  <c r="H24" i="36"/>
  <c r="H26" i="73"/>
  <c r="H21" i="36"/>
  <c r="J175" i="22"/>
  <c r="J174" i="22"/>
  <c r="F175" i="22"/>
  <c r="D166" i="36" s="1"/>
  <c r="D206" i="36" s="1"/>
  <c r="H175" i="22"/>
  <c r="C14" i="65"/>
  <c r="AO13" i="63" a="1"/>
  <c r="AO13" i="63" s="1"/>
  <c r="B15" i="65" s="1"/>
  <c r="AN14" i="63" a="1"/>
  <c r="AN14" i="63" s="1"/>
  <c r="D13" i="65"/>
  <c r="E13" i="65" s="1"/>
  <c r="F13" i="65" s="1"/>
  <c r="G13" i="65" s="1"/>
  <c r="H13" i="65" s="1"/>
  <c r="I13" i="65" s="1"/>
  <c r="J13" i="65" s="1"/>
  <c r="K13" i="65" s="1"/>
  <c r="D12" i="65"/>
  <c r="E12" i="65" s="1"/>
  <c r="F12" i="65" s="1"/>
  <c r="G12" i="65" s="1"/>
  <c r="H12" i="65" s="1"/>
  <c r="I12" i="65" s="1"/>
  <c r="J12" i="65" s="1"/>
  <c r="K12" i="65" s="1"/>
  <c r="N14" i="65" l="1"/>
  <c r="P14" i="65"/>
  <c r="Y258" i="63"/>
  <c r="D14" i="65"/>
  <c r="E14" i="65" s="1"/>
  <c r="F14" i="65" s="1"/>
  <c r="G14" i="65" s="1"/>
  <c r="H14" i="65" s="1"/>
  <c r="I14" i="65" s="1"/>
  <c r="J14" i="65" s="1"/>
  <c r="K14" i="65" s="1"/>
  <c r="H25" i="36"/>
  <c r="H10" i="73"/>
  <c r="E63" i="73" s="1"/>
  <c r="F63" i="73" s="1"/>
  <c r="AO14" i="63" a="1"/>
  <c r="AO14" i="63" s="1"/>
  <c r="AO15" i="63" s="1" a="1"/>
  <c r="AO15" i="63" s="1"/>
  <c r="Q13" i="65"/>
  <c r="AV13" i="65"/>
  <c r="R13" i="65"/>
  <c r="S13" i="65" s="1"/>
  <c r="O13" i="65" s="1"/>
  <c r="P13" i="65" s="1"/>
  <c r="AE13" i="65"/>
  <c r="AH13" i="65" s="1"/>
  <c r="R12" i="65"/>
  <c r="S12" i="65" s="1"/>
  <c r="O12" i="65" s="1"/>
  <c r="Q12" i="65"/>
  <c r="AE12" i="65"/>
  <c r="AH12" i="65" s="1"/>
  <c r="U12" i="65"/>
  <c r="AV12" i="65"/>
  <c r="AN15" i="63" a="1"/>
  <c r="AN15" i="63" s="1"/>
  <c r="AN16" i="63" s="1" a="1"/>
  <c r="AN16" i="63" s="1"/>
  <c r="C15" i="65"/>
  <c r="L15" i="65"/>
  <c r="M15" i="65" s="1"/>
  <c r="P12" i="65" l="1"/>
  <c r="N15" i="65"/>
  <c r="U15" i="65" s="1"/>
  <c r="P15" i="65"/>
  <c r="AE14" i="65"/>
  <c r="AH14" i="65" s="1"/>
  <c r="U14" i="65"/>
  <c r="AV14" i="65"/>
  <c r="R14" i="65"/>
  <c r="S14" i="65" s="1"/>
  <c r="O14" i="65" s="1"/>
  <c r="Q14" i="65"/>
  <c r="B16" i="65"/>
  <c r="L16" i="65" s="1"/>
  <c r="M16" i="65" s="1"/>
  <c r="AO16" i="63" a="1"/>
  <c r="AO16" i="63" s="1"/>
  <c r="AN17" i="63" a="1"/>
  <c r="AN17" i="63" s="1"/>
  <c r="D15" i="65"/>
  <c r="E15" i="65" s="1"/>
  <c r="F15" i="65" s="1"/>
  <c r="G15" i="65" s="1"/>
  <c r="H15" i="65" s="1"/>
  <c r="I15" i="65" s="1"/>
  <c r="J15" i="65" s="1"/>
  <c r="K15" i="65" s="1"/>
  <c r="B17" i="65"/>
  <c r="Y13" i="65" l="1"/>
  <c r="AB13" i="65" s="1"/>
  <c r="AC13" i="65" s="1"/>
  <c r="AD13" i="65" s="1"/>
  <c r="AM13" i="65" s="1"/>
  <c r="Y12" i="65"/>
  <c r="AB12" i="65" s="1"/>
  <c r="AC12" i="65" s="1"/>
  <c r="C16" i="65"/>
  <c r="AO17" i="63" a="1"/>
  <c r="AO17" i="63" s="1"/>
  <c r="B19" i="65" s="1"/>
  <c r="C19" i="65" s="1"/>
  <c r="AN18" i="63" a="1"/>
  <c r="AN18" i="63" s="1"/>
  <c r="AN19" i="63" s="1" a="1"/>
  <c r="AN19" i="63" s="1"/>
  <c r="AE15" i="65"/>
  <c r="AH15" i="65" s="1"/>
  <c r="Q15" i="65"/>
  <c r="R15" i="65"/>
  <c r="S15" i="65" s="1"/>
  <c r="O15" i="65" s="1"/>
  <c r="Y15" i="65" s="1"/>
  <c r="AV15" i="65"/>
  <c r="B18" i="65"/>
  <c r="C17" i="65"/>
  <c r="L17" i="65"/>
  <c r="M17" i="65" s="1"/>
  <c r="N19" i="65" l="1"/>
  <c r="U19" i="65" s="1"/>
  <c r="P19" i="65"/>
  <c r="N17" i="65"/>
  <c r="U17" i="65" s="1"/>
  <c r="P17" i="65"/>
  <c r="N16" i="65"/>
  <c r="U16" i="65" s="1"/>
  <c r="P16" i="65"/>
  <c r="Y14" i="65"/>
  <c r="AB14" i="65" s="1"/>
  <c r="AC14" i="65" s="1"/>
  <c r="AD14" i="65" s="1"/>
  <c r="AM14" i="65" s="1"/>
  <c r="AF13" i="65"/>
  <c r="AG13" i="65" s="1"/>
  <c r="AF12" i="65"/>
  <c r="AG12" i="65" s="1"/>
  <c r="AD12" i="65"/>
  <c r="AM12" i="65" s="1"/>
  <c r="AF14" i="65"/>
  <c r="D16" i="65"/>
  <c r="E16" i="65" s="1"/>
  <c r="F16" i="65" s="1"/>
  <c r="G16" i="65" s="1"/>
  <c r="H16" i="65" s="1"/>
  <c r="I16" i="65" s="1"/>
  <c r="J16" i="65" s="1"/>
  <c r="K16" i="65" s="1"/>
  <c r="L19" i="65"/>
  <c r="M19" i="65" s="1"/>
  <c r="AO18" i="63" a="1"/>
  <c r="AO18" i="63" s="1"/>
  <c r="B20" i="65" s="1"/>
  <c r="AN20" i="63" a="1"/>
  <c r="AN20" i="63" s="1"/>
  <c r="AN21" i="63" s="1" a="1"/>
  <c r="AN21" i="63" s="1"/>
  <c r="D17" i="65"/>
  <c r="E17" i="65" s="1"/>
  <c r="F17" i="65" s="1"/>
  <c r="G17" i="65" s="1"/>
  <c r="H17" i="65" s="1"/>
  <c r="I17" i="65" s="1"/>
  <c r="J17" i="65" s="1"/>
  <c r="K17" i="65" s="1"/>
  <c r="AB15" i="65"/>
  <c r="AC15" i="65" s="1"/>
  <c r="L18" i="65"/>
  <c r="M18" i="65" s="1"/>
  <c r="C18" i="65"/>
  <c r="D19" i="65"/>
  <c r="E19" i="65" s="1"/>
  <c r="F19" i="65" s="1"/>
  <c r="G19" i="65" s="1"/>
  <c r="H19" i="65" s="1"/>
  <c r="I19" i="65" s="1"/>
  <c r="J19" i="65" s="1"/>
  <c r="K19" i="65" s="1"/>
  <c r="AE16" i="65" l="1"/>
  <c r="AH16" i="65" s="1"/>
  <c r="N18" i="65"/>
  <c r="U18" i="65" s="1"/>
  <c r="P18" i="65"/>
  <c r="AG14" i="65"/>
  <c r="R16" i="65"/>
  <c r="S16" i="65" s="1"/>
  <c r="AV16" i="65"/>
  <c r="Q16" i="65"/>
  <c r="O16" i="65"/>
  <c r="L20" i="65"/>
  <c r="M20" i="65" s="1"/>
  <c r="C20" i="65"/>
  <c r="AO19" i="63" a="1"/>
  <c r="AO19" i="63" s="1"/>
  <c r="AN22" i="63" a="1"/>
  <c r="AN22" i="63" s="1"/>
  <c r="R19" i="65"/>
  <c r="S19" i="65" s="1"/>
  <c r="O19" i="65" s="1"/>
  <c r="Q19" i="65"/>
  <c r="AV19" i="65"/>
  <c r="AE19" i="65"/>
  <c r="AH19" i="65" s="1"/>
  <c r="D18" i="65"/>
  <c r="E18" i="65" s="1"/>
  <c r="F18" i="65" s="1"/>
  <c r="G18" i="65" s="1"/>
  <c r="H18" i="65" s="1"/>
  <c r="I18" i="65" s="1"/>
  <c r="J18" i="65" s="1"/>
  <c r="K18" i="65" s="1"/>
  <c r="AD15" i="65"/>
  <c r="AM15" i="65" s="1"/>
  <c r="AF15" i="65"/>
  <c r="AG15" i="65" s="1"/>
  <c r="R17" i="65"/>
  <c r="S17" i="65" s="1"/>
  <c r="O17" i="65" s="1"/>
  <c r="Y17" i="65" s="1"/>
  <c r="AE17" i="65"/>
  <c r="AH17" i="65" s="1"/>
  <c r="Q17" i="65"/>
  <c r="AV17" i="65"/>
  <c r="N20" i="65" l="1"/>
  <c r="P20" i="65"/>
  <c r="Y16" i="65"/>
  <c r="AB16" i="65" s="1"/>
  <c r="Y19" i="65"/>
  <c r="AB19" i="65" s="1"/>
  <c r="AC19" i="65" s="1"/>
  <c r="AD19" i="65" s="1"/>
  <c r="AF16" i="65"/>
  <c r="AO20" i="63" a="1"/>
  <c r="AO20" i="63" s="1"/>
  <c r="B22" i="65" s="1"/>
  <c r="B21" i="65"/>
  <c r="D20" i="65"/>
  <c r="E20" i="65" s="1"/>
  <c r="F20" i="65" s="1"/>
  <c r="G20" i="65" s="1"/>
  <c r="H20" i="65" s="1"/>
  <c r="I20" i="65" s="1"/>
  <c r="J20" i="65" s="1"/>
  <c r="K20" i="65" s="1"/>
  <c r="AN23" i="63" a="1"/>
  <c r="AN23" i="63" s="1"/>
  <c r="AN24" i="63" s="1" a="1"/>
  <c r="AN24" i="63" s="1"/>
  <c r="AN25" i="63" s="1" a="1"/>
  <c r="AN25" i="63" s="1"/>
  <c r="AN26" i="63" s="1" a="1"/>
  <c r="AN26" i="63" s="1"/>
  <c r="AN27" i="63" s="1" a="1"/>
  <c r="AN27" i="63" s="1"/>
  <c r="AN28" i="63" s="1" a="1"/>
  <c r="AN28" i="63" s="1"/>
  <c r="AN29" i="63" s="1" a="1"/>
  <c r="AN29" i="63" s="1"/>
  <c r="AB17" i="65"/>
  <c r="AC17" i="65" s="1"/>
  <c r="AM19" i="65"/>
  <c r="AV18" i="65"/>
  <c r="R18" i="65"/>
  <c r="S18" i="65" s="1"/>
  <c r="O18" i="65" s="1"/>
  <c r="Y18" i="65" s="1"/>
  <c r="AE18" i="65"/>
  <c r="AH18" i="65" s="1"/>
  <c r="Q18" i="65"/>
  <c r="AF19" i="65"/>
  <c r="AG19" i="65" l="1"/>
  <c r="AC16" i="65"/>
  <c r="AD16" i="65" s="1"/>
  <c r="AM16" i="65" s="1"/>
  <c r="AG16" i="65"/>
  <c r="U20" i="65"/>
  <c r="AB18" i="65"/>
  <c r="Q20" i="65"/>
  <c r="R20" i="65"/>
  <c r="S20" i="65" s="1"/>
  <c r="O20" i="65" s="1"/>
  <c r="AV20" i="65"/>
  <c r="AE20" i="65"/>
  <c r="AH20" i="65" s="1"/>
  <c r="AO21" i="63" a="1"/>
  <c r="AO21" i="63" s="1"/>
  <c r="B23" i="65" s="1"/>
  <c r="L21" i="65"/>
  <c r="M21" i="65" s="1"/>
  <c r="C21" i="65"/>
  <c r="C22" i="65"/>
  <c r="L22" i="65"/>
  <c r="M22" i="65" s="1"/>
  <c r="AN30" i="63" a="1"/>
  <c r="AN30" i="63" s="1"/>
  <c r="AN31" i="63" s="1" a="1"/>
  <c r="AN31" i="63" s="1"/>
  <c r="AN32" i="63" s="1" a="1"/>
  <c r="AN32" i="63" s="1"/>
  <c r="AN33" i="63" s="1" a="1"/>
  <c r="AN33" i="63" s="1"/>
  <c r="AD17" i="65"/>
  <c r="AM17" i="65" s="1"/>
  <c r="AF17" i="65"/>
  <c r="AG17" i="65" s="1"/>
  <c r="N22" i="65" l="1"/>
  <c r="U22" i="65" s="1"/>
  <c r="P22" i="65"/>
  <c r="N21" i="65"/>
  <c r="P21" i="65"/>
  <c r="AC18" i="65"/>
  <c r="AD18" i="65" s="1"/>
  <c r="AM18" i="65" s="1"/>
  <c r="AM22" i="65"/>
  <c r="AF18" i="65"/>
  <c r="AG18" i="65" s="1"/>
  <c r="AO22" i="63" a="1"/>
  <c r="AO22" i="63" s="1"/>
  <c r="B24" i="65" s="1"/>
  <c r="D21" i="65"/>
  <c r="E21" i="65" s="1"/>
  <c r="F21" i="65" s="1"/>
  <c r="G21" i="65" s="1"/>
  <c r="H21" i="65" s="1"/>
  <c r="I21" i="65" s="1"/>
  <c r="J21" i="65" s="1"/>
  <c r="K21" i="65" s="1"/>
  <c r="L23" i="65"/>
  <c r="M23" i="65" s="1"/>
  <c r="C23" i="65"/>
  <c r="D22" i="65"/>
  <c r="E22" i="65" s="1"/>
  <c r="F22" i="65" s="1"/>
  <c r="G22" i="65" s="1"/>
  <c r="H22" i="65" s="1"/>
  <c r="I22" i="65" s="1"/>
  <c r="J22" i="65" s="1"/>
  <c r="K22" i="65" s="1"/>
  <c r="AN34" i="63" a="1"/>
  <c r="AN34" i="63" s="1"/>
  <c r="AN35" i="63" s="1" a="1"/>
  <c r="AN35" i="63" s="1"/>
  <c r="AN36" i="63" s="1" a="1"/>
  <c r="AN36" i="63" s="1"/>
  <c r="AN37" i="63" s="1" a="1"/>
  <c r="AN37" i="63" s="1"/>
  <c r="AN38" i="63" s="1" a="1"/>
  <c r="AN38" i="63" s="1"/>
  <c r="AN39" i="63" s="1" a="1"/>
  <c r="AN39" i="63" s="1"/>
  <c r="AN40" i="63" s="1" a="1"/>
  <c r="AN40" i="63" s="1"/>
  <c r="AN41" i="63" s="1" a="1"/>
  <c r="AN41" i="63" s="1"/>
  <c r="AN42" i="63" s="1" a="1"/>
  <c r="AN42" i="63" s="1"/>
  <c r="AN43" i="63" s="1" a="1"/>
  <c r="AN43" i="63" s="1"/>
  <c r="AN44" i="63" s="1" a="1"/>
  <c r="AN44" i="63" s="1"/>
  <c r="AN45" i="63" s="1" a="1"/>
  <c r="AN45" i="63" s="1"/>
  <c r="AN46" i="63" s="1" a="1"/>
  <c r="AN46" i="63" s="1"/>
  <c r="AN47" i="63" s="1" a="1"/>
  <c r="AN47" i="63" s="1"/>
  <c r="AN48" i="63" s="1" a="1"/>
  <c r="AN48" i="63" s="1"/>
  <c r="AN49" i="63" s="1" a="1"/>
  <c r="AN49" i="63" s="1"/>
  <c r="AN50" i="63" s="1" a="1"/>
  <c r="AN50" i="63" s="1"/>
  <c r="AN51" i="63" s="1" a="1"/>
  <c r="AN51" i="63" s="1"/>
  <c r="AN52" i="63" s="1" a="1"/>
  <c r="AN52" i="63" s="1"/>
  <c r="AN53" i="63" s="1" a="1"/>
  <c r="AN53" i="63" s="1"/>
  <c r="AN54" i="63" s="1" a="1"/>
  <c r="AN54" i="63" s="1"/>
  <c r="AN55" i="63" s="1" a="1"/>
  <c r="AN55" i="63" s="1"/>
  <c r="AN56" i="63" s="1" a="1"/>
  <c r="AN56" i="63" s="1"/>
  <c r="AN57" i="63" s="1" a="1"/>
  <c r="AN57" i="63" s="1"/>
  <c r="AN58" i="63" s="1" a="1"/>
  <c r="AN58" i="63" s="1"/>
  <c r="AN59" i="63" s="1" a="1"/>
  <c r="AN59" i="63" s="1"/>
  <c r="AN60" i="63" s="1" a="1"/>
  <c r="AN60" i="63" s="1"/>
  <c r="AN61" i="63" s="1" a="1"/>
  <c r="AN61" i="63" s="1"/>
  <c r="AN62" i="63" s="1" a="1"/>
  <c r="AN62" i="63" s="1"/>
  <c r="AN63" i="63" s="1" a="1"/>
  <c r="AN63" i="63" s="1"/>
  <c r="AN64" i="63" s="1" a="1"/>
  <c r="AN64" i="63" s="1"/>
  <c r="AN65" i="63" s="1" a="1"/>
  <c r="AN65" i="63" s="1"/>
  <c r="AN66" i="63" s="1" a="1"/>
  <c r="AN66" i="63" s="1"/>
  <c r="AN67" i="63" s="1" a="1"/>
  <c r="AN67" i="63" s="1"/>
  <c r="AN68" i="63" s="1" a="1"/>
  <c r="AN68" i="63" s="1"/>
  <c r="AN69" i="63" s="1" a="1"/>
  <c r="AN69" i="63" s="1"/>
  <c r="AN70" i="63" s="1" a="1"/>
  <c r="AN70" i="63" s="1"/>
  <c r="AN71" i="63" s="1" a="1"/>
  <c r="AN71" i="63" s="1"/>
  <c r="AN72" i="63" s="1" a="1"/>
  <c r="AN72" i="63" s="1"/>
  <c r="AN73" i="63" s="1" a="1"/>
  <c r="AN73" i="63" s="1"/>
  <c r="AN74" i="63" s="1" a="1"/>
  <c r="AN74" i="63" s="1"/>
  <c r="AN75" i="63" s="1" a="1"/>
  <c r="AN75" i="63" s="1"/>
  <c r="AN76" i="63" s="1" a="1"/>
  <c r="AN76" i="63" s="1"/>
  <c r="AN77" i="63" s="1" a="1"/>
  <c r="AN77" i="63" s="1"/>
  <c r="AN78" i="63" s="1" a="1"/>
  <c r="AN78" i="63" s="1"/>
  <c r="AN79" i="63" s="1" a="1"/>
  <c r="AN79" i="63" s="1"/>
  <c r="AN80" i="63" s="1" a="1"/>
  <c r="AN80" i="63" s="1"/>
  <c r="AN81" i="63" s="1" a="1"/>
  <c r="AN81" i="63" s="1"/>
  <c r="AN82" i="63" s="1" a="1"/>
  <c r="AN82" i="63" s="1"/>
  <c r="AN83" i="63" s="1" a="1"/>
  <c r="AN83" i="63" s="1"/>
  <c r="AN84" i="63" s="1" a="1"/>
  <c r="AN84" i="63" s="1"/>
  <c r="AN85" i="63" s="1" a="1"/>
  <c r="AN85" i="63" s="1"/>
  <c r="AN86" i="63" s="1" a="1"/>
  <c r="AN86" i="63" s="1"/>
  <c r="AN87" i="63" s="1" a="1"/>
  <c r="AN87" i="63" s="1"/>
  <c r="AN88" i="63" s="1" a="1"/>
  <c r="AN88" i="63" s="1"/>
  <c r="AN89" i="63" s="1" a="1"/>
  <c r="AN89" i="63" s="1"/>
  <c r="AN90" i="63" s="1" a="1"/>
  <c r="AN90" i="63" s="1"/>
  <c r="AN91" i="63" s="1" a="1"/>
  <c r="AN91" i="63" s="1"/>
  <c r="AN92" i="63" s="1" a="1"/>
  <c r="AN92" i="63" s="1"/>
  <c r="AN93" i="63" s="1" a="1"/>
  <c r="AN93" i="63" s="1"/>
  <c r="AN94" i="63" s="1" a="1"/>
  <c r="AN94" i="63" s="1"/>
  <c r="AN95" i="63" s="1" a="1"/>
  <c r="AN95" i="63" s="1"/>
  <c r="AN96" i="63" s="1" a="1"/>
  <c r="AN96" i="63" s="1"/>
  <c r="AN97" i="63" s="1" a="1"/>
  <c r="AN97" i="63" s="1"/>
  <c r="AN98" i="63" s="1" a="1"/>
  <c r="AN98" i="63" s="1"/>
  <c r="AN99" i="63" s="1" a="1"/>
  <c r="AN99" i="63" s="1"/>
  <c r="AN100" i="63" s="1" a="1"/>
  <c r="AN100" i="63" s="1"/>
  <c r="AN101" i="63" s="1" a="1"/>
  <c r="AN101" i="63" s="1"/>
  <c r="AN102" i="63" s="1" a="1"/>
  <c r="AN102" i="63" s="1"/>
  <c r="AN103" i="63" s="1" a="1"/>
  <c r="AN103" i="63" s="1"/>
  <c r="AN104" i="63" s="1" a="1"/>
  <c r="AN104" i="63" s="1"/>
  <c r="AN105" i="63" s="1" a="1"/>
  <c r="AN105" i="63" s="1"/>
  <c r="AN106" i="63" s="1" a="1"/>
  <c r="AN106" i="63" s="1"/>
  <c r="AN107" i="63" s="1" a="1"/>
  <c r="AN107" i="63" s="1"/>
  <c r="AN108" i="63" s="1" a="1"/>
  <c r="AN108" i="63" s="1"/>
  <c r="AN109" i="63" s="1" a="1"/>
  <c r="AN109" i="63" s="1"/>
  <c r="AN110" i="63" s="1" a="1"/>
  <c r="AN110" i="63" s="1"/>
  <c r="AN111" i="63" s="1" a="1"/>
  <c r="AN111" i="63" s="1"/>
  <c r="AN112" i="63" s="1" a="1"/>
  <c r="AN112" i="63" s="1"/>
  <c r="AN113" i="63" s="1" a="1"/>
  <c r="AN113" i="63" s="1"/>
  <c r="AN114" i="63" s="1" a="1"/>
  <c r="AN114" i="63" s="1"/>
  <c r="AN115" i="63" s="1" a="1"/>
  <c r="AN115" i="63" s="1"/>
  <c r="AN116" i="63" s="1" a="1"/>
  <c r="AN116" i="63" s="1"/>
  <c r="AN117" i="63" s="1" a="1"/>
  <c r="AN117" i="63" s="1"/>
  <c r="AN118" i="63" s="1" a="1"/>
  <c r="AN118" i="63" s="1"/>
  <c r="AN119" i="63" s="1" a="1"/>
  <c r="AN119" i="63" s="1"/>
  <c r="AN120" i="63" s="1" a="1"/>
  <c r="AN120" i="63" s="1"/>
  <c r="AN121" i="63" s="1" a="1"/>
  <c r="AN121" i="63" s="1"/>
  <c r="AN122" i="63" s="1" a="1"/>
  <c r="AN122" i="63" s="1"/>
  <c r="AN123" i="63" s="1" a="1"/>
  <c r="AN123" i="63" s="1"/>
  <c r="AN124" i="63" s="1" a="1"/>
  <c r="AN124" i="63" s="1"/>
  <c r="AN125" i="63" s="1" a="1"/>
  <c r="AN125" i="63" s="1"/>
  <c r="AN126" i="63" s="1" a="1"/>
  <c r="AN126" i="63" s="1"/>
  <c r="AN127" i="63" s="1" a="1"/>
  <c r="AN127" i="63" s="1"/>
  <c r="AN128" i="63" s="1" a="1"/>
  <c r="AN128" i="63" s="1"/>
  <c r="AN129" i="63" s="1" a="1"/>
  <c r="AN129" i="63" s="1"/>
  <c r="AN130" i="63" s="1" a="1"/>
  <c r="AN130" i="63" s="1"/>
  <c r="AN131" i="63" s="1" a="1"/>
  <c r="AN131" i="63" s="1"/>
  <c r="AN132" i="63" s="1" a="1"/>
  <c r="AN132" i="63" s="1"/>
  <c r="AN133" i="63" s="1" a="1"/>
  <c r="AN133" i="63" s="1"/>
  <c r="AN134" i="63" s="1" a="1"/>
  <c r="AN134" i="63" s="1"/>
  <c r="AN135" i="63" s="1" a="1"/>
  <c r="AN135" i="63" s="1"/>
  <c r="AN136" i="63" s="1" a="1"/>
  <c r="AN136" i="63" s="1"/>
  <c r="AN137" i="63" s="1" a="1"/>
  <c r="AN137" i="63" s="1"/>
  <c r="AN138" i="63" s="1" a="1"/>
  <c r="AN138" i="63" s="1"/>
  <c r="AN139" i="63" s="1" a="1"/>
  <c r="AN139" i="63" s="1"/>
  <c r="AN140" i="63" s="1" a="1"/>
  <c r="AN140" i="63" s="1"/>
  <c r="AN141" i="63" s="1" a="1"/>
  <c r="AN141" i="63" s="1"/>
  <c r="AN142" i="63" s="1" a="1"/>
  <c r="AN142" i="63" s="1"/>
  <c r="AN143" i="63" s="1" a="1"/>
  <c r="AN143" i="63" s="1"/>
  <c r="AN144" i="63" s="1" a="1"/>
  <c r="AN144" i="63" s="1"/>
  <c r="AN145" i="63" s="1" a="1"/>
  <c r="AN145" i="63" s="1"/>
  <c r="AN146" i="63" s="1" a="1"/>
  <c r="AN146" i="63" s="1"/>
  <c r="AN147" i="63" s="1" a="1"/>
  <c r="AN147" i="63" s="1"/>
  <c r="AN148" i="63" s="1" a="1"/>
  <c r="AN148" i="63" s="1"/>
  <c r="AN149" i="63" s="1" a="1"/>
  <c r="AN149" i="63" s="1"/>
  <c r="AN150" i="63" s="1" a="1"/>
  <c r="AN150" i="63" s="1"/>
  <c r="AN151" i="63" s="1" a="1"/>
  <c r="AN151" i="63" s="1"/>
  <c r="AN152" i="63" s="1" a="1"/>
  <c r="AN152" i="63" s="1"/>
  <c r="AN153" i="63" s="1" a="1"/>
  <c r="AN153" i="63" s="1"/>
  <c r="AN154" i="63" s="1" a="1"/>
  <c r="AN154" i="63" s="1"/>
  <c r="AN155" i="63" s="1" a="1"/>
  <c r="AN155" i="63" s="1"/>
  <c r="AN156" i="63" s="1" a="1"/>
  <c r="AN156" i="63" s="1"/>
  <c r="AN157" i="63" s="1" a="1"/>
  <c r="AN157" i="63" s="1"/>
  <c r="AN158" i="63" s="1" a="1"/>
  <c r="AN158" i="63" s="1"/>
  <c r="AN159" i="63" s="1" a="1"/>
  <c r="AN159" i="63" s="1"/>
  <c r="AN160" i="63" s="1" a="1"/>
  <c r="AN160" i="63" s="1"/>
  <c r="AN161" i="63" s="1" a="1"/>
  <c r="AN161" i="63" s="1"/>
  <c r="AN162" i="63" s="1" a="1"/>
  <c r="AN162" i="63" s="1"/>
  <c r="AN163" i="63" s="1" a="1"/>
  <c r="AN163" i="63" s="1"/>
  <c r="AN164" i="63" s="1" a="1"/>
  <c r="AN164" i="63" s="1"/>
  <c r="AN165" i="63" s="1" a="1"/>
  <c r="AN165" i="63" s="1"/>
  <c r="AN166" i="63" s="1" a="1"/>
  <c r="AN166" i="63" s="1"/>
  <c r="AN167" i="63" s="1" a="1"/>
  <c r="AN167" i="63" s="1"/>
  <c r="AN168" i="63" s="1" a="1"/>
  <c r="AN168" i="63" s="1"/>
  <c r="AN169" i="63" s="1" a="1"/>
  <c r="AN169" i="63" s="1"/>
  <c r="AN170" i="63" s="1" a="1"/>
  <c r="AN170" i="63" s="1"/>
  <c r="AN171" i="63" s="1" a="1"/>
  <c r="AN171" i="63" s="1"/>
  <c r="AN172" i="63" s="1" a="1"/>
  <c r="AN172" i="63" s="1"/>
  <c r="AN173" i="63" s="1" a="1"/>
  <c r="AN173" i="63" s="1"/>
  <c r="AN174" i="63" s="1" a="1"/>
  <c r="AN174" i="63" s="1"/>
  <c r="AN175" i="63" s="1" a="1"/>
  <c r="AN175" i="63" s="1"/>
  <c r="AN176" i="63" s="1" a="1"/>
  <c r="AN176" i="63" s="1"/>
  <c r="AN177" i="63" s="1" a="1"/>
  <c r="AN177" i="63" s="1"/>
  <c r="AN178" i="63" s="1" a="1"/>
  <c r="AN178" i="63" s="1"/>
  <c r="AN179" i="63" s="1" a="1"/>
  <c r="AN179" i="63" s="1"/>
  <c r="AN180" i="63" s="1" a="1"/>
  <c r="AN180" i="63" s="1"/>
  <c r="AN181" i="63" s="1" a="1"/>
  <c r="AN181" i="63" s="1"/>
  <c r="AN182" i="63" s="1" a="1"/>
  <c r="AN182" i="63" s="1"/>
  <c r="AN183" i="63" s="1" a="1"/>
  <c r="AN183" i="63" s="1"/>
  <c r="AN184" i="63" s="1" a="1"/>
  <c r="AN184" i="63" s="1"/>
  <c r="AN185" i="63" s="1" a="1"/>
  <c r="AN185" i="63" s="1"/>
  <c r="AN186" i="63" s="1" a="1"/>
  <c r="AN186" i="63" s="1"/>
  <c r="AN187" i="63" s="1" a="1"/>
  <c r="AN187" i="63" s="1"/>
  <c r="AN188" i="63" s="1" a="1"/>
  <c r="AN188" i="63" s="1"/>
  <c r="AN189" i="63" s="1" a="1"/>
  <c r="AN189" i="63" s="1"/>
  <c r="AN190" i="63" s="1" a="1"/>
  <c r="AN190" i="63" s="1"/>
  <c r="AN191" i="63" s="1" a="1"/>
  <c r="AN191" i="63" s="1"/>
  <c r="AN192" i="63" s="1" a="1"/>
  <c r="AN192" i="63" s="1"/>
  <c r="AN193" i="63" s="1" a="1"/>
  <c r="AN193" i="63" s="1"/>
  <c r="AN194" i="63" s="1" a="1"/>
  <c r="AN194" i="63" s="1"/>
  <c r="AN195" i="63" s="1" a="1"/>
  <c r="AN195" i="63" s="1"/>
  <c r="AN196" i="63" s="1" a="1"/>
  <c r="AN196" i="63" s="1"/>
  <c r="AN197" i="63" s="1" a="1"/>
  <c r="AN197" i="63" s="1"/>
  <c r="AN198" i="63" s="1" a="1"/>
  <c r="AN198" i="63" s="1"/>
  <c r="AN199" i="63" s="1" a="1"/>
  <c r="AN199" i="63" s="1"/>
  <c r="AN200" i="63" s="1" a="1"/>
  <c r="AN200" i="63" s="1"/>
  <c r="AN201" i="63" s="1" a="1"/>
  <c r="AN201" i="63" s="1"/>
  <c r="AN202" i="63" s="1" a="1"/>
  <c r="AN202" i="63" s="1"/>
  <c r="AN203" i="63" s="1" a="1"/>
  <c r="AN203" i="63" s="1"/>
  <c r="AN204" i="63" s="1" a="1"/>
  <c r="AN204" i="63" s="1"/>
  <c r="AN205" i="63" s="1" a="1"/>
  <c r="AN205" i="63" s="1"/>
  <c r="AN206" i="63" s="1" a="1"/>
  <c r="AN206" i="63" s="1"/>
  <c r="AN207" i="63" s="1" a="1"/>
  <c r="AN207" i="63" s="1"/>
  <c r="AN208" i="63" s="1" a="1"/>
  <c r="AN208" i="63" s="1"/>
  <c r="AN209" i="63" s="1" a="1"/>
  <c r="AN209" i="63" s="1"/>
  <c r="AN210" i="63" s="1" a="1"/>
  <c r="AN210" i="63" s="1"/>
  <c r="AN211" i="63" s="1" a="1"/>
  <c r="AN211" i="63" s="1"/>
  <c r="AN212" i="63" s="1" a="1"/>
  <c r="AN212" i="63" s="1"/>
  <c r="AN213" i="63" s="1" a="1"/>
  <c r="AN213" i="63" s="1"/>
  <c r="AN214" i="63" s="1" a="1"/>
  <c r="AN214" i="63" s="1"/>
  <c r="AN215" i="63" s="1" a="1"/>
  <c r="AN215" i="63" s="1"/>
  <c r="AN216" i="63" s="1" a="1"/>
  <c r="AN216" i="63" s="1"/>
  <c r="AN217" i="63" s="1" a="1"/>
  <c r="AN217" i="63" s="1"/>
  <c r="AN218" i="63" s="1" a="1"/>
  <c r="AN218" i="63" s="1"/>
  <c r="AN219" i="63" s="1" a="1"/>
  <c r="AN219" i="63" s="1"/>
  <c r="AN220" i="63" s="1" a="1"/>
  <c r="AN220" i="63" s="1"/>
  <c r="AN221" i="63" s="1" a="1"/>
  <c r="AN221" i="63" s="1"/>
  <c r="AN222" i="63" s="1" a="1"/>
  <c r="AN222" i="63" s="1"/>
  <c r="AN223" i="63" s="1" a="1"/>
  <c r="AN223" i="63" s="1"/>
  <c r="AN224" i="63" s="1" a="1"/>
  <c r="AN224" i="63" s="1"/>
  <c r="AN225" i="63" s="1" a="1"/>
  <c r="AN225" i="63" s="1"/>
  <c r="AN226" i="63" s="1" a="1"/>
  <c r="AN226" i="63" s="1"/>
  <c r="AN227" i="63" s="1" a="1"/>
  <c r="AN227" i="63" s="1"/>
  <c r="AN228" i="63" s="1" a="1"/>
  <c r="AN228" i="63" s="1"/>
  <c r="AN229" i="63" s="1" a="1"/>
  <c r="AN229" i="63" s="1"/>
  <c r="AN230" i="63" s="1" a="1"/>
  <c r="AN230" i="63" s="1"/>
  <c r="AN231" i="63" s="1" a="1"/>
  <c r="AN231" i="63" s="1"/>
  <c r="AN232" i="63" s="1" a="1"/>
  <c r="AN232" i="63" s="1"/>
  <c r="AN233" i="63" s="1" a="1"/>
  <c r="AN233" i="63" s="1"/>
  <c r="AN234" i="63" s="1" a="1"/>
  <c r="AN234" i="63" s="1"/>
  <c r="AN235" i="63" s="1" a="1"/>
  <c r="AN235" i="63" s="1"/>
  <c r="AN236" i="63" s="1" a="1"/>
  <c r="AN236" i="63" s="1"/>
  <c r="AN237" i="63" s="1" a="1"/>
  <c r="AN237" i="63" s="1"/>
  <c r="AN238" i="63" s="1" a="1"/>
  <c r="AN238" i="63" s="1"/>
  <c r="AN239" i="63" s="1" a="1"/>
  <c r="AN239" i="63" s="1"/>
  <c r="AN240" i="63" s="1" a="1"/>
  <c r="AN240" i="63" s="1"/>
  <c r="AN241" i="63" s="1" a="1"/>
  <c r="AN241" i="63" s="1"/>
  <c r="AN242" i="63" s="1" a="1"/>
  <c r="AN242" i="63" s="1"/>
  <c r="AN243" i="63" s="1" a="1"/>
  <c r="AN243" i="63" s="1"/>
  <c r="AN244" i="63" s="1" a="1"/>
  <c r="AN244" i="63" s="1"/>
  <c r="AN245" i="63" s="1" a="1"/>
  <c r="AN245" i="63" s="1"/>
  <c r="AN246" i="63" s="1" a="1"/>
  <c r="AN246" i="63" s="1"/>
  <c r="AN247" i="63" s="1" a="1"/>
  <c r="AN247" i="63" s="1"/>
  <c r="AN248" i="63" s="1" a="1"/>
  <c r="AN248" i="63" s="1"/>
  <c r="AN249" i="63" s="1" a="1"/>
  <c r="AN249" i="63" s="1"/>
  <c r="AN250" i="63" s="1" a="1"/>
  <c r="AN250" i="63" s="1"/>
  <c r="AN251" i="63" s="1" a="1"/>
  <c r="AN251" i="63" s="1"/>
  <c r="AN252" i="63" s="1" a="1"/>
  <c r="AN252" i="63" s="1"/>
  <c r="AN253" i="63" s="1" a="1"/>
  <c r="AN253" i="63" s="1"/>
  <c r="AN254" i="63" s="1" a="1"/>
  <c r="AN254" i="63" s="1"/>
  <c r="AN255" i="63" s="1" a="1"/>
  <c r="AN255" i="63" s="1"/>
  <c r="AN256" i="63" s="1" a="1"/>
  <c r="AN256" i="63" s="1"/>
  <c r="AN257" i="63" s="1" a="1"/>
  <c r="AN257" i="63" s="1"/>
  <c r="N23" i="65" l="1"/>
  <c r="U23" i="65" s="1"/>
  <c r="P23" i="65"/>
  <c r="Y20" i="65"/>
  <c r="AB20" i="65" s="1"/>
  <c r="AC20" i="65" s="1"/>
  <c r="AD20" i="65" s="1"/>
  <c r="AM20" i="65" s="1"/>
  <c r="AM23" i="65"/>
  <c r="AF20" i="65"/>
  <c r="U21" i="65"/>
  <c r="R22" i="65"/>
  <c r="S22" i="65" s="1"/>
  <c r="O22" i="65" s="1"/>
  <c r="Y22" i="65" s="1"/>
  <c r="Q22" i="65"/>
  <c r="AV22" i="65"/>
  <c r="AE22" i="65"/>
  <c r="AH22" i="65" s="1"/>
  <c r="AF22" i="65"/>
  <c r="D23" i="65"/>
  <c r="E23" i="65" s="1"/>
  <c r="F23" i="65" s="1"/>
  <c r="G23" i="65" s="1"/>
  <c r="H23" i="65" s="1"/>
  <c r="I23" i="65" s="1"/>
  <c r="J23" i="65" s="1"/>
  <c r="K23" i="65" s="1"/>
  <c r="AV21" i="65"/>
  <c r="R21" i="65"/>
  <c r="S21" i="65" s="1"/>
  <c r="O21" i="65" s="1"/>
  <c r="AE21" i="65"/>
  <c r="AH21" i="65" s="1"/>
  <c r="Q21" i="65"/>
  <c r="AO23" i="63" a="1"/>
  <c r="AO23" i="63" s="1"/>
  <c r="B25" i="65" s="1"/>
  <c r="L24" i="65"/>
  <c r="M24" i="65" s="1"/>
  <c r="C24" i="65"/>
  <c r="N24" i="65" l="1"/>
  <c r="P24" i="65"/>
  <c r="AG20" i="65"/>
  <c r="AB22" i="65"/>
  <c r="AC22" i="65" s="1"/>
  <c r="AD22" i="65" s="1"/>
  <c r="AO24" i="63" a="1"/>
  <c r="AO24" i="63" s="1"/>
  <c r="B26" i="65" s="1"/>
  <c r="C25" i="65"/>
  <c r="L25" i="65"/>
  <c r="M25" i="65" s="1"/>
  <c r="AG22" i="65"/>
  <c r="D24" i="65"/>
  <c r="E24" i="65" s="1"/>
  <c r="F24" i="65" s="1"/>
  <c r="G24" i="65" s="1"/>
  <c r="H24" i="65" s="1"/>
  <c r="I24" i="65" s="1"/>
  <c r="J24" i="65" s="1"/>
  <c r="K24" i="65" s="1"/>
  <c r="Q23" i="65"/>
  <c r="AE23" i="65"/>
  <c r="AH23" i="65" s="1"/>
  <c r="R23" i="65"/>
  <c r="S23" i="65" s="1"/>
  <c r="O23" i="65" s="1"/>
  <c r="AV23" i="65"/>
  <c r="AF23" i="65"/>
  <c r="AM24" i="65"/>
  <c r="N25" i="65" l="1"/>
  <c r="U25" i="65" s="1"/>
  <c r="P25" i="65"/>
  <c r="Y21" i="65"/>
  <c r="AB21" i="65" s="1"/>
  <c r="AC21" i="65" s="1"/>
  <c r="AD21" i="65" s="1"/>
  <c r="AM21" i="65" s="1"/>
  <c r="Y23" i="65"/>
  <c r="AB23" i="65" s="1"/>
  <c r="AC23" i="65" s="1"/>
  <c r="AD23" i="65" s="1"/>
  <c r="AF21" i="65"/>
  <c r="AF24" i="65"/>
  <c r="U24" i="65"/>
  <c r="AH24" i="65"/>
  <c r="R24" i="65"/>
  <c r="S24" i="65" s="1"/>
  <c r="O24" i="65" s="1"/>
  <c r="AE24" i="65"/>
  <c r="AV24" i="65"/>
  <c r="Q24" i="65"/>
  <c r="D25" i="65"/>
  <c r="E25" i="65" s="1"/>
  <c r="F25" i="65" s="1"/>
  <c r="G25" i="65" s="1"/>
  <c r="H25" i="65" s="1"/>
  <c r="I25" i="65" s="1"/>
  <c r="J25" i="65" s="1"/>
  <c r="K25" i="65" s="1"/>
  <c r="AO25" i="63" a="1"/>
  <c r="AO25" i="63" s="1"/>
  <c r="B27" i="65" s="1"/>
  <c r="C26" i="65"/>
  <c r="L26" i="65"/>
  <c r="M26" i="65" s="1"/>
  <c r="AM25" i="65"/>
  <c r="N26" i="65" l="1"/>
  <c r="U26" i="65" s="1"/>
  <c r="P26" i="65"/>
  <c r="AG23" i="65"/>
  <c r="Y24" i="65"/>
  <c r="AB24" i="65" s="1"/>
  <c r="AC24" i="65" s="1"/>
  <c r="AD24" i="65" s="1"/>
  <c r="AG21" i="65"/>
  <c r="L27" i="65"/>
  <c r="M27" i="65" s="1"/>
  <c r="C27" i="65"/>
  <c r="AV25" i="65"/>
  <c r="R25" i="65"/>
  <c r="S25" i="65" s="1"/>
  <c r="O25" i="65" s="1"/>
  <c r="Y25" i="65" s="1"/>
  <c r="AH25" i="65"/>
  <c r="AE25" i="65"/>
  <c r="Q25" i="65"/>
  <c r="AO26" i="63" a="1"/>
  <c r="AO26" i="63" s="1"/>
  <c r="B28" i="65" s="1"/>
  <c r="D26" i="65"/>
  <c r="E26" i="65" s="1"/>
  <c r="F26" i="65" s="1"/>
  <c r="G26" i="65" s="1"/>
  <c r="H26" i="65" s="1"/>
  <c r="I26" i="65" s="1"/>
  <c r="J26" i="65" s="1"/>
  <c r="K26" i="65" s="1"/>
  <c r="AF25" i="65"/>
  <c r="N27" i="65" l="1"/>
  <c r="P27" i="65"/>
  <c r="AG24" i="65"/>
  <c r="AB25" i="65"/>
  <c r="AC25" i="65" s="1"/>
  <c r="AD25" i="65" s="1"/>
  <c r="AG25" i="65"/>
  <c r="Q26" i="65"/>
  <c r="AH26" i="65"/>
  <c r="R26" i="65"/>
  <c r="S26" i="65" s="1"/>
  <c r="O26" i="65" s="1"/>
  <c r="AE26" i="65"/>
  <c r="AV26" i="65"/>
  <c r="L28" i="65"/>
  <c r="M28" i="65" s="1"/>
  <c r="C28" i="65"/>
  <c r="D27" i="65"/>
  <c r="E27" i="65" s="1"/>
  <c r="F27" i="65" s="1"/>
  <c r="G27" i="65" s="1"/>
  <c r="H27" i="65" s="1"/>
  <c r="I27" i="65" s="1"/>
  <c r="J27" i="65" s="1"/>
  <c r="K27" i="65" s="1"/>
  <c r="AO27" i="63" a="1"/>
  <c r="AO27" i="63" s="1"/>
  <c r="B29" i="65" s="1"/>
  <c r="AF26" i="65"/>
  <c r="AM27" i="65"/>
  <c r="N28" i="65" l="1"/>
  <c r="P28" i="65"/>
  <c r="Y26" i="65"/>
  <c r="AB26" i="65" s="1"/>
  <c r="AC26" i="65" s="1"/>
  <c r="AD26" i="65" s="1"/>
  <c r="AM26" i="65" s="1"/>
  <c r="AF27" i="65"/>
  <c r="U27" i="65"/>
  <c r="AO28" i="63" a="1"/>
  <c r="AO28" i="63" s="1"/>
  <c r="B30" i="65" s="1"/>
  <c r="AV27" i="65"/>
  <c r="Q27" i="65"/>
  <c r="R27" i="65"/>
  <c r="S27" i="65" s="1"/>
  <c r="O27" i="65" s="1"/>
  <c r="AE27" i="65"/>
  <c r="AH27" i="65" s="1"/>
  <c r="D28" i="65"/>
  <c r="E28" i="65" s="1"/>
  <c r="F28" i="65" s="1"/>
  <c r="G28" i="65" s="1"/>
  <c r="H28" i="65" s="1"/>
  <c r="I28" i="65" s="1"/>
  <c r="J28" i="65" s="1"/>
  <c r="K28" i="65" s="1"/>
  <c r="C29" i="65"/>
  <c r="L29" i="65"/>
  <c r="M29" i="65" s="1"/>
  <c r="AM28" i="65"/>
  <c r="N29" i="65" l="1"/>
  <c r="P29" i="65"/>
  <c r="AG26" i="65"/>
  <c r="Y27" i="65"/>
  <c r="AB27" i="65" s="1"/>
  <c r="AC27" i="65" s="1"/>
  <c r="AD27" i="65" s="1"/>
  <c r="AF28" i="65"/>
  <c r="U28" i="65"/>
  <c r="AO29" i="63" a="1"/>
  <c r="AO29" i="63" s="1"/>
  <c r="B31" i="65" s="1"/>
  <c r="D29" i="65"/>
  <c r="E29" i="65" s="1"/>
  <c r="F29" i="65" s="1"/>
  <c r="G29" i="65" s="1"/>
  <c r="H29" i="65" s="1"/>
  <c r="I29" i="65" s="1"/>
  <c r="J29" i="65" s="1"/>
  <c r="K29" i="65" s="1"/>
  <c r="AV28" i="65"/>
  <c r="AH28" i="65"/>
  <c r="Q28" i="65"/>
  <c r="AE28" i="65"/>
  <c r="R28" i="65"/>
  <c r="S28" i="65" s="1"/>
  <c r="O28" i="65" s="1"/>
  <c r="L30" i="65"/>
  <c r="M30" i="65" s="1"/>
  <c r="C30" i="65"/>
  <c r="AM29" i="65"/>
  <c r="N30" i="65" l="1"/>
  <c r="P30" i="65"/>
  <c r="Y28" i="65"/>
  <c r="AB28" i="65" s="1"/>
  <c r="AC28" i="65" s="1"/>
  <c r="AD28" i="65" s="1"/>
  <c r="AG27" i="65"/>
  <c r="AF29" i="65"/>
  <c r="U29" i="65"/>
  <c r="AE29" i="65"/>
  <c r="AH29" i="65" s="1"/>
  <c r="Q29" i="65"/>
  <c r="AV29" i="65"/>
  <c r="R29" i="65"/>
  <c r="S29" i="65" s="1"/>
  <c r="O29" i="65" s="1"/>
  <c r="AO30" i="63" a="1"/>
  <c r="AO30" i="63" s="1"/>
  <c r="B32" i="65" s="1"/>
  <c r="D30" i="65"/>
  <c r="E30" i="65" s="1"/>
  <c r="F30" i="65" s="1"/>
  <c r="G30" i="65" s="1"/>
  <c r="H30" i="65" s="1"/>
  <c r="I30" i="65" s="1"/>
  <c r="J30" i="65" s="1"/>
  <c r="K30" i="65" s="1"/>
  <c r="L31" i="65"/>
  <c r="M31" i="65" s="1"/>
  <c r="O31" i="65"/>
  <c r="C31" i="65"/>
  <c r="AM30" i="65"/>
  <c r="N31" i="65" l="1"/>
  <c r="U31" i="65" s="1"/>
  <c r="P31" i="65"/>
  <c r="AG28" i="65"/>
  <c r="Y29" i="65"/>
  <c r="AF30" i="65"/>
  <c r="U30" i="65"/>
  <c r="C32" i="65"/>
  <c r="L32" i="65"/>
  <c r="M32" i="65" s="1"/>
  <c r="O32" i="65"/>
  <c r="D31" i="65"/>
  <c r="E31" i="65" s="1"/>
  <c r="F31" i="65" s="1"/>
  <c r="G31" i="65" s="1"/>
  <c r="H31" i="65" s="1"/>
  <c r="I31" i="65" s="1"/>
  <c r="J31" i="65" s="1"/>
  <c r="K31" i="65" s="1"/>
  <c r="AM31" i="65"/>
  <c r="Q30" i="65"/>
  <c r="AV30" i="65"/>
  <c r="AE30" i="65"/>
  <c r="AH30" i="65" s="1"/>
  <c r="R30" i="65"/>
  <c r="S30" i="65" s="1"/>
  <c r="O30" i="65" s="1"/>
  <c r="AO31" i="63" a="1"/>
  <c r="AO31" i="63" s="1"/>
  <c r="B33" i="65" s="1"/>
  <c r="N32" i="65" l="1"/>
  <c r="U32" i="65" s="1"/>
  <c r="P32" i="65"/>
  <c r="Y30" i="65"/>
  <c r="AG30" i="65" s="1"/>
  <c r="AB29" i="65"/>
  <c r="AG29" i="65"/>
  <c r="L33" i="65"/>
  <c r="M33" i="65" s="1"/>
  <c r="O33" i="65"/>
  <c r="C33" i="65"/>
  <c r="AE31" i="65"/>
  <c r="AH31" i="65"/>
  <c r="R31" i="65"/>
  <c r="S31" i="65" s="1"/>
  <c r="AF31" i="65"/>
  <c r="AV31" i="65"/>
  <c r="Q31" i="65"/>
  <c r="AM32" i="65"/>
  <c r="D32" i="65"/>
  <c r="E32" i="65" s="1"/>
  <c r="F32" i="65" s="1"/>
  <c r="G32" i="65" s="1"/>
  <c r="H32" i="65" s="1"/>
  <c r="I32" i="65" s="1"/>
  <c r="J32" i="65" s="1"/>
  <c r="K32" i="65" s="1"/>
  <c r="AO32" i="63" a="1"/>
  <c r="AO32" i="63" s="1"/>
  <c r="B34" i="65" s="1"/>
  <c r="N33" i="65" l="1"/>
  <c r="P33" i="65"/>
  <c r="AB30" i="65"/>
  <c r="AC30" i="65" s="1"/>
  <c r="AD30" i="65" s="1"/>
  <c r="Y31" i="65"/>
  <c r="AB31" i="65" s="1"/>
  <c r="AC31" i="65" s="1"/>
  <c r="AD31" i="65" s="1"/>
  <c r="AC29" i="65"/>
  <c r="AD29" i="65" s="1"/>
  <c r="C34" i="65"/>
  <c r="O34" i="65"/>
  <c r="L34" i="65"/>
  <c r="M34" i="65" s="1"/>
  <c r="R32" i="65"/>
  <c r="S32" i="65" s="1"/>
  <c r="Y32" i="65" s="1"/>
  <c r="AV32" i="65"/>
  <c r="AH32" i="65"/>
  <c r="Q32" i="65"/>
  <c r="AF32" i="65"/>
  <c r="AE32" i="65"/>
  <c r="D33" i="65"/>
  <c r="E33" i="65" s="1"/>
  <c r="F33" i="65" s="1"/>
  <c r="G33" i="65" s="1"/>
  <c r="H33" i="65" s="1"/>
  <c r="I33" i="65" s="1"/>
  <c r="J33" i="65" s="1"/>
  <c r="K33" i="65" s="1"/>
  <c r="AM33" i="65"/>
  <c r="U33" i="65"/>
  <c r="AO33" i="63" a="1"/>
  <c r="AO33" i="63" s="1"/>
  <c r="B35" i="65" s="1"/>
  <c r="N34" i="65" l="1"/>
  <c r="U34" i="65" s="1"/>
  <c r="P34" i="65"/>
  <c r="AB32" i="65"/>
  <c r="AC32" i="65" s="1"/>
  <c r="AD32" i="65" s="1"/>
  <c r="AG31" i="65"/>
  <c r="AO34" i="63" a="1"/>
  <c r="AO34" i="63" s="1"/>
  <c r="B36" i="65" s="1"/>
  <c r="C35" i="65"/>
  <c r="L35" i="65"/>
  <c r="M35" i="65" s="1"/>
  <c r="O35" i="65"/>
  <c r="AF33" i="65"/>
  <c r="AE33" i="65"/>
  <c r="Q33" i="65"/>
  <c r="AH33" i="65"/>
  <c r="AV33" i="65"/>
  <c r="R33" i="65"/>
  <c r="S33" i="65" s="1"/>
  <c r="AG32" i="65"/>
  <c r="AM34" i="65"/>
  <c r="D34" i="65"/>
  <c r="E34" i="65" s="1"/>
  <c r="F34" i="65" s="1"/>
  <c r="G34" i="65" s="1"/>
  <c r="H34" i="65" s="1"/>
  <c r="I34" i="65" s="1"/>
  <c r="J34" i="65" s="1"/>
  <c r="K34" i="65" s="1"/>
  <c r="N35" i="65" l="1"/>
  <c r="U35" i="65" s="1"/>
  <c r="P35" i="65"/>
  <c r="Y33" i="65"/>
  <c r="AG33" i="65" s="1"/>
  <c r="AO35" i="63" a="1"/>
  <c r="AO35" i="63" s="1"/>
  <c r="B37" i="65" s="1"/>
  <c r="AF34" i="65"/>
  <c r="AV34" i="65"/>
  <c r="R34" i="65"/>
  <c r="S34" i="65" s="1"/>
  <c r="AH34" i="65"/>
  <c r="AE34" i="65"/>
  <c r="Q34" i="65"/>
  <c r="D35" i="65"/>
  <c r="E35" i="65" s="1"/>
  <c r="F35" i="65" s="1"/>
  <c r="G35" i="65" s="1"/>
  <c r="H35" i="65" s="1"/>
  <c r="I35" i="65" s="1"/>
  <c r="J35" i="65" s="1"/>
  <c r="K35" i="65" s="1"/>
  <c r="AM35" i="65"/>
  <c r="L36" i="65"/>
  <c r="M36" i="65" s="1"/>
  <c r="C36" i="65"/>
  <c r="O36" i="65"/>
  <c r="N36" i="65" l="1"/>
  <c r="U36" i="65" s="1"/>
  <c r="P36" i="65"/>
  <c r="AB33" i="65"/>
  <c r="AC33" i="65" s="1"/>
  <c r="AD33" i="65" s="1"/>
  <c r="Y34" i="65"/>
  <c r="AG34" i="65" s="1"/>
  <c r="AO36" i="63" a="1"/>
  <c r="AO36" i="63" s="1"/>
  <c r="D36" i="65"/>
  <c r="E36" i="65" s="1"/>
  <c r="F36" i="65" s="1"/>
  <c r="G36" i="65" s="1"/>
  <c r="H36" i="65" s="1"/>
  <c r="I36" i="65" s="1"/>
  <c r="J36" i="65" s="1"/>
  <c r="K36" i="65" s="1"/>
  <c r="AM36" i="65"/>
  <c r="AE35" i="65"/>
  <c r="AH35" i="65"/>
  <c r="R35" i="65"/>
  <c r="S35" i="65" s="1"/>
  <c r="AV35" i="65"/>
  <c r="Q35" i="65"/>
  <c r="AF35" i="65"/>
  <c r="O37" i="65"/>
  <c r="C37" i="65"/>
  <c r="L37" i="65"/>
  <c r="M37" i="65" s="1"/>
  <c r="N37" i="65" l="1"/>
  <c r="U37" i="65" s="1"/>
  <c r="P37" i="65"/>
  <c r="AB34" i="65"/>
  <c r="AC34" i="65" s="1"/>
  <c r="AD34" i="65" s="1"/>
  <c r="Y35" i="65"/>
  <c r="AG35" i="65" s="1"/>
  <c r="AO37" i="63" a="1"/>
  <c r="AO37" i="63" s="1"/>
  <c r="B39" i="65" s="1"/>
  <c r="AE36" i="65"/>
  <c r="AF36" i="65"/>
  <c r="Q36" i="65"/>
  <c r="R36" i="65"/>
  <c r="S36" i="65" s="1"/>
  <c r="Y36" i="65" s="1"/>
  <c r="AH36" i="65"/>
  <c r="AV36" i="65"/>
  <c r="AM37" i="65"/>
  <c r="D37" i="65"/>
  <c r="E37" i="65" s="1"/>
  <c r="F37" i="65" s="1"/>
  <c r="G37" i="65" s="1"/>
  <c r="H37" i="65" s="1"/>
  <c r="I37" i="65" s="1"/>
  <c r="J37" i="65" s="1"/>
  <c r="K37" i="65" s="1"/>
  <c r="B38" i="65"/>
  <c r="AB36" i="65" l="1"/>
  <c r="AC36" i="65" s="1"/>
  <c r="AD36" i="65" s="1"/>
  <c r="AB35" i="65"/>
  <c r="AC35" i="65" s="1"/>
  <c r="AD35" i="65" s="1"/>
  <c r="AG36" i="65"/>
  <c r="AO38" i="63" a="1"/>
  <c r="AO38" i="63" s="1"/>
  <c r="B40" i="65" s="1"/>
  <c r="AV37" i="65"/>
  <c r="AF37" i="65"/>
  <c r="AE37" i="65"/>
  <c r="R37" i="65"/>
  <c r="S37" i="65" s="1"/>
  <c r="Y37" i="65" s="1"/>
  <c r="Q37" i="65"/>
  <c r="AH37" i="65"/>
  <c r="O38" i="65"/>
  <c r="C38" i="65"/>
  <c r="L38" i="65"/>
  <c r="M38" i="65" s="1"/>
  <c r="L39" i="65"/>
  <c r="M39" i="65" s="1"/>
  <c r="C39" i="65"/>
  <c r="O39" i="65"/>
  <c r="N39" i="65" l="1"/>
  <c r="U39" i="65" s="1"/>
  <c r="P39" i="65"/>
  <c r="N38" i="65"/>
  <c r="U38" i="65" s="1"/>
  <c r="P38" i="65"/>
  <c r="AB37" i="65"/>
  <c r="AC37" i="65" s="1"/>
  <c r="AD37" i="65" s="1"/>
  <c r="D38" i="65"/>
  <c r="E38" i="65" s="1"/>
  <c r="F38" i="65" s="1"/>
  <c r="G38" i="65" s="1"/>
  <c r="H38" i="65" s="1"/>
  <c r="I38" i="65" s="1"/>
  <c r="J38" i="65" s="1"/>
  <c r="K38" i="65" s="1"/>
  <c r="AM38" i="65"/>
  <c r="AG37" i="65"/>
  <c r="AO39" i="63" a="1"/>
  <c r="AO39" i="63" s="1"/>
  <c r="B41" i="65" s="1"/>
  <c r="D39" i="65"/>
  <c r="E39" i="65" s="1"/>
  <c r="F39" i="65" s="1"/>
  <c r="G39" i="65" s="1"/>
  <c r="H39" i="65" s="1"/>
  <c r="I39" i="65" s="1"/>
  <c r="J39" i="65" s="1"/>
  <c r="K39" i="65" s="1"/>
  <c r="AM39" i="65"/>
  <c r="L40" i="65"/>
  <c r="M40" i="65" s="1"/>
  <c r="O40" i="65"/>
  <c r="C40" i="65"/>
  <c r="N40" i="65" l="1"/>
  <c r="AF40" i="65" s="1"/>
  <c r="P40" i="65"/>
  <c r="AH38" i="65"/>
  <c r="AE38" i="65"/>
  <c r="R38" i="65"/>
  <c r="S38" i="65" s="1"/>
  <c r="Q38" i="65"/>
  <c r="AF38" i="65"/>
  <c r="AV38" i="65"/>
  <c r="O41" i="65"/>
  <c r="C41" i="65"/>
  <c r="L41" i="65"/>
  <c r="M41" i="65" s="1"/>
  <c r="D40" i="65"/>
  <c r="E40" i="65" s="1"/>
  <c r="F40" i="65" s="1"/>
  <c r="G40" i="65" s="1"/>
  <c r="H40" i="65" s="1"/>
  <c r="I40" i="65" s="1"/>
  <c r="J40" i="65" s="1"/>
  <c r="K40" i="65" s="1"/>
  <c r="AM40" i="65"/>
  <c r="AF39" i="65"/>
  <c r="AE39" i="65"/>
  <c r="AH39" i="65"/>
  <c r="AV39" i="65"/>
  <c r="Q39" i="65"/>
  <c r="R39" i="65"/>
  <c r="S39" i="65" s="1"/>
  <c r="Y39" i="65" s="1"/>
  <c r="AO40" i="63" a="1"/>
  <c r="AO40" i="63" s="1"/>
  <c r="B42" i="65" s="1"/>
  <c r="U40" i="65" l="1"/>
  <c r="R40" i="65"/>
  <c r="S40" i="65" s="1"/>
  <c r="Y40" i="65" s="1"/>
  <c r="AH40" i="65"/>
  <c r="AV40" i="65"/>
  <c r="N41" i="65"/>
  <c r="U41" i="65" s="1"/>
  <c r="P41" i="65"/>
  <c r="Q40" i="65"/>
  <c r="AE40" i="65"/>
  <c r="AB39" i="65"/>
  <c r="AC39" i="65" s="1"/>
  <c r="AD39" i="65" s="1"/>
  <c r="Y38" i="65"/>
  <c r="AB38" i="65" s="1"/>
  <c r="AC38" i="65" s="1"/>
  <c r="AD38" i="65" s="1"/>
  <c r="L42" i="65"/>
  <c r="M42" i="65" s="1"/>
  <c r="C42" i="65"/>
  <c r="O42" i="65"/>
  <c r="AG39" i="65"/>
  <c r="D41" i="65"/>
  <c r="E41" i="65" s="1"/>
  <c r="F41" i="65" s="1"/>
  <c r="G41" i="65" s="1"/>
  <c r="H41" i="65" s="1"/>
  <c r="I41" i="65" s="1"/>
  <c r="J41" i="65" s="1"/>
  <c r="K41" i="65" s="1"/>
  <c r="AM41" i="65"/>
  <c r="AO41" i="63" a="1"/>
  <c r="AO41" i="63" s="1"/>
  <c r="B43" i="65" s="1"/>
  <c r="N42" i="65" l="1"/>
  <c r="U42" i="65" s="1"/>
  <c r="P42" i="65"/>
  <c r="AG38" i="65"/>
  <c r="L43" i="65"/>
  <c r="M43" i="65" s="1"/>
  <c r="C43" i="65"/>
  <c r="O43" i="65"/>
  <c r="AG40" i="65"/>
  <c r="AB40" i="65"/>
  <c r="Q41" i="65"/>
  <c r="R41" i="65"/>
  <c r="S41" i="65" s="1"/>
  <c r="AH41" i="65"/>
  <c r="AE41" i="65"/>
  <c r="AF41" i="65"/>
  <c r="AV41" i="65"/>
  <c r="D42" i="65"/>
  <c r="E42" i="65" s="1"/>
  <c r="F42" i="65" s="1"/>
  <c r="G42" i="65" s="1"/>
  <c r="H42" i="65" s="1"/>
  <c r="I42" i="65" s="1"/>
  <c r="J42" i="65" s="1"/>
  <c r="K42" i="65" s="1"/>
  <c r="AM42" i="65"/>
  <c r="AO42" i="63" a="1"/>
  <c r="AO42" i="63" s="1"/>
  <c r="B44" i="65" s="1"/>
  <c r="N43" i="65" l="1"/>
  <c r="U43" i="65" s="1"/>
  <c r="P43" i="65"/>
  <c r="Y41" i="65"/>
  <c r="AB41" i="65" s="1"/>
  <c r="AC41" i="65" s="1"/>
  <c r="AD41" i="65" s="1"/>
  <c r="AC40" i="65"/>
  <c r="AD40" i="65" s="1"/>
  <c r="L44" i="65"/>
  <c r="M44" i="65" s="1"/>
  <c r="O44" i="65"/>
  <c r="C44" i="65"/>
  <c r="AE42" i="65"/>
  <c r="Q42" i="65"/>
  <c r="AH42" i="65"/>
  <c r="AF42" i="65"/>
  <c r="AV42" i="65"/>
  <c r="R42" i="65"/>
  <c r="S42" i="65" s="1"/>
  <c r="AO43" i="63" a="1"/>
  <c r="AO43" i="63" s="1"/>
  <c r="B45" i="65" s="1"/>
  <c r="AM43" i="65"/>
  <c r="D43" i="65"/>
  <c r="E43" i="65" s="1"/>
  <c r="F43" i="65" s="1"/>
  <c r="G43" i="65" s="1"/>
  <c r="H43" i="65" s="1"/>
  <c r="I43" i="65" s="1"/>
  <c r="J43" i="65" s="1"/>
  <c r="K43" i="65" s="1"/>
  <c r="N44" i="65" l="1"/>
  <c r="U44" i="65" s="1"/>
  <c r="P44" i="65"/>
  <c r="AG41" i="65"/>
  <c r="Y42" i="65"/>
  <c r="AB42" i="65" s="1"/>
  <c r="AC42" i="65" s="1"/>
  <c r="AD42" i="65" s="1"/>
  <c r="C45" i="65"/>
  <c r="O45" i="65"/>
  <c r="L45" i="65"/>
  <c r="M45" i="65" s="1"/>
  <c r="AO44" i="63" a="1"/>
  <c r="AO44" i="63" s="1"/>
  <c r="B46" i="65" s="1"/>
  <c r="AM44" i="65"/>
  <c r="D44" i="65"/>
  <c r="E44" i="65" s="1"/>
  <c r="F44" i="65" s="1"/>
  <c r="G44" i="65" s="1"/>
  <c r="H44" i="65" s="1"/>
  <c r="I44" i="65" s="1"/>
  <c r="J44" i="65" s="1"/>
  <c r="K44" i="65" s="1"/>
  <c r="AV43" i="65"/>
  <c r="AF43" i="65"/>
  <c r="Q43" i="65"/>
  <c r="R43" i="65"/>
  <c r="S43" i="65" s="1"/>
  <c r="Y43" i="65" s="1"/>
  <c r="AE43" i="65"/>
  <c r="AH43" i="65"/>
  <c r="N45" i="65" l="1"/>
  <c r="U45" i="65" s="1"/>
  <c r="P45" i="65"/>
  <c r="AG42" i="65"/>
  <c r="AB43" i="65"/>
  <c r="AC43" i="65" s="1"/>
  <c r="AD43" i="65" s="1"/>
  <c r="AG43" i="65"/>
  <c r="AO45" i="63" a="1"/>
  <c r="AO45" i="63" s="1"/>
  <c r="B47" i="65" s="1"/>
  <c r="AH44" i="65"/>
  <c r="AF44" i="65"/>
  <c r="R44" i="65"/>
  <c r="S44" i="65" s="1"/>
  <c r="AV44" i="65"/>
  <c r="Q44" i="65"/>
  <c r="AE44" i="65"/>
  <c r="O46" i="65"/>
  <c r="C46" i="65"/>
  <c r="L46" i="65"/>
  <c r="M46" i="65" s="1"/>
  <c r="AM45" i="65"/>
  <c r="D45" i="65"/>
  <c r="E45" i="65" s="1"/>
  <c r="F45" i="65" s="1"/>
  <c r="G45" i="65" s="1"/>
  <c r="H45" i="65" s="1"/>
  <c r="I45" i="65" s="1"/>
  <c r="J45" i="65" s="1"/>
  <c r="K45" i="65" s="1"/>
  <c r="N46" i="65" l="1"/>
  <c r="U46" i="65" s="1"/>
  <c r="P46" i="65"/>
  <c r="Y44" i="65"/>
  <c r="AB44" i="65" s="1"/>
  <c r="AC44" i="65" s="1"/>
  <c r="AD44" i="65" s="1"/>
  <c r="AO46" i="63" a="1"/>
  <c r="AO46" i="63" s="1"/>
  <c r="B48" i="65" s="1"/>
  <c r="L47" i="65"/>
  <c r="M47" i="65" s="1"/>
  <c r="C47" i="65"/>
  <c r="O47" i="65"/>
  <c r="R45" i="65"/>
  <c r="S45" i="65" s="1"/>
  <c r="AV45" i="65"/>
  <c r="Q45" i="65"/>
  <c r="AH45" i="65"/>
  <c r="AE45" i="65"/>
  <c r="AF45" i="65"/>
  <c r="AM46" i="65"/>
  <c r="D46" i="65"/>
  <c r="E46" i="65" s="1"/>
  <c r="F46" i="65" s="1"/>
  <c r="G46" i="65" s="1"/>
  <c r="H46" i="65" s="1"/>
  <c r="I46" i="65" s="1"/>
  <c r="J46" i="65" s="1"/>
  <c r="K46" i="65" s="1"/>
  <c r="N47" i="65" l="1"/>
  <c r="U47" i="65" s="1"/>
  <c r="P47" i="65"/>
  <c r="Y45" i="65"/>
  <c r="AB45" i="65" s="1"/>
  <c r="AC45" i="65" s="1"/>
  <c r="AD45" i="65" s="1"/>
  <c r="AG44" i="65"/>
  <c r="Q46" i="65"/>
  <c r="R46" i="65"/>
  <c r="S46" i="65" s="1"/>
  <c r="AF46" i="65"/>
  <c r="AH46" i="65"/>
  <c r="AE46" i="65"/>
  <c r="AV46" i="65"/>
  <c r="D47" i="65"/>
  <c r="E47" i="65" s="1"/>
  <c r="F47" i="65" s="1"/>
  <c r="G47" i="65" s="1"/>
  <c r="H47" i="65" s="1"/>
  <c r="I47" i="65" s="1"/>
  <c r="J47" i="65" s="1"/>
  <c r="K47" i="65" s="1"/>
  <c r="AM47" i="65"/>
  <c r="AO47" i="63" a="1"/>
  <c r="AO47" i="63" s="1"/>
  <c r="B49" i="65" s="1"/>
  <c r="L48" i="65"/>
  <c r="M48" i="65" s="1"/>
  <c r="O48" i="65"/>
  <c r="C48" i="65"/>
  <c r="AG45" i="65" l="1"/>
  <c r="N48" i="65"/>
  <c r="U48" i="65" s="1"/>
  <c r="P48" i="65"/>
  <c r="Y46" i="65"/>
  <c r="AG46" i="65" s="1"/>
  <c r="AO48" i="63" a="1"/>
  <c r="AO48" i="63" s="1"/>
  <c r="B50" i="65" s="1"/>
  <c r="O49" i="65"/>
  <c r="L49" i="65"/>
  <c r="M49" i="65" s="1"/>
  <c r="C49" i="65"/>
  <c r="AH47" i="65"/>
  <c r="AV47" i="65"/>
  <c r="Q47" i="65"/>
  <c r="R47" i="65"/>
  <c r="S47" i="65" s="1"/>
  <c r="AE47" i="65"/>
  <c r="AF47" i="65"/>
  <c r="AM48" i="65"/>
  <c r="D48" i="65"/>
  <c r="E48" i="65" s="1"/>
  <c r="F48" i="65" s="1"/>
  <c r="G48" i="65" s="1"/>
  <c r="H48" i="65" s="1"/>
  <c r="I48" i="65" s="1"/>
  <c r="J48" i="65" s="1"/>
  <c r="K48" i="65" s="1"/>
  <c r="N49" i="65" l="1"/>
  <c r="U49" i="65" s="1"/>
  <c r="P49" i="65"/>
  <c r="AB46" i="65"/>
  <c r="AC46" i="65" s="1"/>
  <c r="AD46" i="65" s="1"/>
  <c r="Y47" i="65"/>
  <c r="AG47" i="65" s="1"/>
  <c r="AV48" i="65"/>
  <c r="AH48" i="65"/>
  <c r="AE48" i="65"/>
  <c r="Q48" i="65"/>
  <c r="AF48" i="65"/>
  <c r="R48" i="65"/>
  <c r="S48" i="65" s="1"/>
  <c r="D49" i="65"/>
  <c r="E49" i="65" s="1"/>
  <c r="F49" i="65" s="1"/>
  <c r="G49" i="65" s="1"/>
  <c r="H49" i="65" s="1"/>
  <c r="I49" i="65" s="1"/>
  <c r="J49" i="65" s="1"/>
  <c r="K49" i="65" s="1"/>
  <c r="AM49" i="65"/>
  <c r="AO49" i="63" a="1"/>
  <c r="AO49" i="63" s="1"/>
  <c r="B51" i="65" s="1"/>
  <c r="L50" i="65"/>
  <c r="M50" i="65" s="1"/>
  <c r="C50" i="65"/>
  <c r="O50" i="65"/>
  <c r="N50" i="65" l="1"/>
  <c r="U50" i="65" s="1"/>
  <c r="P50" i="65"/>
  <c r="AB47" i="65"/>
  <c r="AC47" i="65" s="1"/>
  <c r="AD47" i="65" s="1"/>
  <c r="Y48" i="65"/>
  <c r="AB48" i="65" s="1"/>
  <c r="AC48" i="65" s="1"/>
  <c r="AD48" i="65" s="1"/>
  <c r="AM50" i="65"/>
  <c r="D50" i="65"/>
  <c r="E50" i="65" s="1"/>
  <c r="F50" i="65" s="1"/>
  <c r="G50" i="65" s="1"/>
  <c r="H50" i="65" s="1"/>
  <c r="I50" i="65" s="1"/>
  <c r="J50" i="65" s="1"/>
  <c r="K50" i="65" s="1"/>
  <c r="L51" i="65"/>
  <c r="M51" i="65" s="1"/>
  <c r="O51" i="65"/>
  <c r="C51" i="65"/>
  <c r="P51" i="65" s="1"/>
  <c r="AO50" i="63" a="1"/>
  <c r="AO50" i="63" s="1"/>
  <c r="B52" i="65" s="1"/>
  <c r="Q49" i="65"/>
  <c r="AH49" i="65"/>
  <c r="AF49" i="65"/>
  <c r="R49" i="65"/>
  <c r="S49" i="65" s="1"/>
  <c r="Y49" i="65" s="1"/>
  <c r="AV49" i="65"/>
  <c r="AE49" i="65"/>
  <c r="AG48" i="65" l="1"/>
  <c r="AB49" i="65"/>
  <c r="AC49" i="65" s="1"/>
  <c r="AD49" i="65" s="1"/>
  <c r="N51" i="65"/>
  <c r="Q51" i="65" s="1"/>
  <c r="AG49" i="65"/>
  <c r="D51" i="65"/>
  <c r="E51" i="65" s="1"/>
  <c r="F51" i="65" s="1"/>
  <c r="G51" i="65" s="1"/>
  <c r="H51" i="65" s="1"/>
  <c r="I51" i="65" s="1"/>
  <c r="J51" i="65" s="1"/>
  <c r="K51" i="65" s="1"/>
  <c r="AM51" i="65"/>
  <c r="AO51" i="63" a="1"/>
  <c r="AO51" i="63" s="1"/>
  <c r="B53" i="65" s="1"/>
  <c r="AF50" i="65"/>
  <c r="Q50" i="65"/>
  <c r="AE50" i="65"/>
  <c r="R50" i="65"/>
  <c r="S50" i="65" s="1"/>
  <c r="Y50" i="65" s="1"/>
  <c r="AV50" i="65"/>
  <c r="AH50" i="65"/>
  <c r="L52" i="65"/>
  <c r="M52" i="65" s="1"/>
  <c r="C52" i="65"/>
  <c r="O52" i="65"/>
  <c r="N52" i="65" l="1"/>
  <c r="U52" i="65" s="1"/>
  <c r="P52" i="65"/>
  <c r="AB50" i="65"/>
  <c r="AC50" i="65" s="1"/>
  <c r="AD50" i="65" s="1"/>
  <c r="AV51" i="65"/>
  <c r="AE51" i="65"/>
  <c r="AH51" i="65" s="1"/>
  <c r="U51" i="65"/>
  <c r="R51" i="65"/>
  <c r="S51" i="65" s="1"/>
  <c r="Y51" i="65" s="1"/>
  <c r="L53" i="65"/>
  <c r="M53" i="65" s="1"/>
  <c r="C53" i="65"/>
  <c r="O53" i="65"/>
  <c r="AO52" i="63" a="1"/>
  <c r="AO52" i="63" s="1"/>
  <c r="B54" i="65" s="1"/>
  <c r="AG50" i="65"/>
  <c r="AM52" i="65"/>
  <c r="D52" i="65"/>
  <c r="E52" i="65" s="1"/>
  <c r="F52" i="65" s="1"/>
  <c r="G52" i="65" s="1"/>
  <c r="H52" i="65" s="1"/>
  <c r="I52" i="65" s="1"/>
  <c r="J52" i="65" s="1"/>
  <c r="K52" i="65" s="1"/>
  <c r="N53" i="65" l="1"/>
  <c r="U53" i="65" s="1"/>
  <c r="P53" i="65"/>
  <c r="AB51" i="65"/>
  <c r="AC51" i="65" s="1"/>
  <c r="AD51" i="65" s="1"/>
  <c r="AF51" i="65"/>
  <c r="AG51" i="65" s="1"/>
  <c r="C54" i="65"/>
  <c r="L54" i="65"/>
  <c r="M54" i="65" s="1"/>
  <c r="O54" i="65"/>
  <c r="D53" i="65"/>
  <c r="E53" i="65" s="1"/>
  <c r="F53" i="65" s="1"/>
  <c r="G53" i="65" s="1"/>
  <c r="H53" i="65" s="1"/>
  <c r="I53" i="65" s="1"/>
  <c r="J53" i="65" s="1"/>
  <c r="K53" i="65" s="1"/>
  <c r="AM53" i="65"/>
  <c r="AO53" i="63" a="1"/>
  <c r="AO53" i="63" s="1"/>
  <c r="B55" i="65" s="1"/>
  <c r="AF52" i="65"/>
  <c r="Q52" i="65"/>
  <c r="AV52" i="65"/>
  <c r="AH52" i="65"/>
  <c r="AE52" i="65"/>
  <c r="R52" i="65"/>
  <c r="S52" i="65" s="1"/>
  <c r="N54" i="65" l="1"/>
  <c r="U54" i="65" s="1"/>
  <c r="P54" i="65"/>
  <c r="Y52" i="65"/>
  <c r="AB52" i="65" s="1"/>
  <c r="AC52" i="65" s="1"/>
  <c r="AD52" i="65" s="1"/>
  <c r="L55" i="65"/>
  <c r="M55" i="65" s="1"/>
  <c r="O55" i="65"/>
  <c r="C55" i="65"/>
  <c r="AE53" i="65"/>
  <c r="AV53" i="65"/>
  <c r="AH53" i="65"/>
  <c r="Q53" i="65"/>
  <c r="AF53" i="65"/>
  <c r="R53" i="65"/>
  <c r="S53" i="65" s="1"/>
  <c r="D54" i="65"/>
  <c r="E54" i="65" s="1"/>
  <c r="F54" i="65" s="1"/>
  <c r="G54" i="65" s="1"/>
  <c r="H54" i="65" s="1"/>
  <c r="I54" i="65" s="1"/>
  <c r="J54" i="65" s="1"/>
  <c r="K54" i="65" s="1"/>
  <c r="AM54" i="65"/>
  <c r="AO54" i="63" a="1"/>
  <c r="AO54" i="63" s="1"/>
  <c r="B56" i="65" s="1"/>
  <c r="N55" i="65" l="1"/>
  <c r="U55" i="65" s="1"/>
  <c r="P55" i="65"/>
  <c r="AG52" i="65"/>
  <c r="Y53" i="65"/>
  <c r="AG53" i="65" s="1"/>
  <c r="D55" i="65"/>
  <c r="E55" i="65" s="1"/>
  <c r="F55" i="65" s="1"/>
  <c r="G55" i="65" s="1"/>
  <c r="H55" i="65" s="1"/>
  <c r="I55" i="65" s="1"/>
  <c r="J55" i="65" s="1"/>
  <c r="K55" i="65" s="1"/>
  <c r="AM55" i="65"/>
  <c r="C56" i="65"/>
  <c r="O56" i="65"/>
  <c r="L56" i="65"/>
  <c r="M56" i="65" s="1"/>
  <c r="Q54" i="65"/>
  <c r="R54" i="65"/>
  <c r="S54" i="65" s="1"/>
  <c r="AV54" i="65"/>
  <c r="AF54" i="65"/>
  <c r="AH54" i="65"/>
  <c r="AE54" i="65"/>
  <c r="AO55" i="63" a="1"/>
  <c r="AO55" i="63" s="1"/>
  <c r="B57" i="65" s="1"/>
  <c r="N56" i="65" l="1"/>
  <c r="U56" i="65" s="1"/>
  <c r="P56" i="65"/>
  <c r="AB53" i="65"/>
  <c r="AC53" i="65" s="1"/>
  <c r="AD53" i="65" s="1"/>
  <c r="Y54" i="65"/>
  <c r="AG54" i="65" s="1"/>
  <c r="L57" i="65"/>
  <c r="M57" i="65" s="1"/>
  <c r="C57" i="65"/>
  <c r="O57" i="65"/>
  <c r="AF55" i="65"/>
  <c r="AV55" i="65"/>
  <c r="AH55" i="65"/>
  <c r="R55" i="65"/>
  <c r="S55" i="65" s="1"/>
  <c r="Y55" i="65" s="1"/>
  <c r="Q55" i="65"/>
  <c r="AE55" i="65"/>
  <c r="AM56" i="65"/>
  <c r="D56" i="65"/>
  <c r="E56" i="65" s="1"/>
  <c r="F56" i="65" s="1"/>
  <c r="G56" i="65" s="1"/>
  <c r="H56" i="65" s="1"/>
  <c r="I56" i="65" s="1"/>
  <c r="J56" i="65" s="1"/>
  <c r="K56" i="65" s="1"/>
  <c r="AO56" i="63" a="1"/>
  <c r="AO56" i="63" s="1"/>
  <c r="B58" i="65" s="1"/>
  <c r="N57" i="65" l="1"/>
  <c r="U57" i="65" s="1"/>
  <c r="P57" i="65"/>
  <c r="AB54" i="65"/>
  <c r="AC54" i="65" s="1"/>
  <c r="AD54" i="65" s="1"/>
  <c r="AB55" i="65"/>
  <c r="AC55" i="65" s="1"/>
  <c r="AD55" i="65" s="1"/>
  <c r="L58" i="65"/>
  <c r="M58" i="65" s="1"/>
  <c r="C58" i="65"/>
  <c r="O58" i="65"/>
  <c r="AG55" i="65"/>
  <c r="D57" i="65"/>
  <c r="E57" i="65" s="1"/>
  <c r="F57" i="65" s="1"/>
  <c r="G57" i="65" s="1"/>
  <c r="H57" i="65" s="1"/>
  <c r="I57" i="65" s="1"/>
  <c r="J57" i="65" s="1"/>
  <c r="K57" i="65" s="1"/>
  <c r="AM57" i="65"/>
  <c r="R56" i="65"/>
  <c r="S56" i="65" s="1"/>
  <c r="Q56" i="65"/>
  <c r="AF56" i="65"/>
  <c r="AH56" i="65"/>
  <c r="AE56" i="65"/>
  <c r="AV56" i="65"/>
  <c r="AO57" i="63" a="1"/>
  <c r="AO57" i="63" s="1"/>
  <c r="B59" i="65" s="1"/>
  <c r="N58" i="65" l="1"/>
  <c r="U58" i="65" s="1"/>
  <c r="P58" i="65"/>
  <c r="Y56" i="65"/>
  <c r="AB56" i="65" s="1"/>
  <c r="AC56" i="65" s="1"/>
  <c r="AD56" i="65" s="1"/>
  <c r="C59" i="65"/>
  <c r="O59" i="65"/>
  <c r="L59" i="65"/>
  <c r="M59" i="65" s="1"/>
  <c r="AH57" i="65"/>
  <c r="R57" i="65"/>
  <c r="S57" i="65" s="1"/>
  <c r="AF57" i="65"/>
  <c r="Q57" i="65"/>
  <c r="AV57" i="65"/>
  <c r="AE57" i="65"/>
  <c r="D58" i="65"/>
  <c r="E58" i="65" s="1"/>
  <c r="F58" i="65" s="1"/>
  <c r="G58" i="65" s="1"/>
  <c r="H58" i="65" s="1"/>
  <c r="I58" i="65" s="1"/>
  <c r="J58" i="65" s="1"/>
  <c r="K58" i="65" s="1"/>
  <c r="AM58" i="65"/>
  <c r="AO58" i="63" a="1"/>
  <c r="AO58" i="63" s="1"/>
  <c r="B60" i="65" s="1"/>
  <c r="N59" i="65" l="1"/>
  <c r="U59" i="65" s="1"/>
  <c r="P59" i="65"/>
  <c r="Y57" i="65"/>
  <c r="AB57" i="65" s="1"/>
  <c r="AC57" i="65" s="1"/>
  <c r="AD57" i="65" s="1"/>
  <c r="AG56" i="65"/>
  <c r="AO59" i="63" a="1"/>
  <c r="AO59" i="63" s="1"/>
  <c r="B61" i="65" s="1"/>
  <c r="AM59" i="65"/>
  <c r="D59" i="65"/>
  <c r="E59" i="65" s="1"/>
  <c r="F59" i="65" s="1"/>
  <c r="G59" i="65" s="1"/>
  <c r="H59" i="65" s="1"/>
  <c r="I59" i="65" s="1"/>
  <c r="J59" i="65" s="1"/>
  <c r="K59" i="65" s="1"/>
  <c r="L60" i="65"/>
  <c r="M60" i="65" s="1"/>
  <c r="C60" i="65"/>
  <c r="O60" i="65"/>
  <c r="AV58" i="65"/>
  <c r="AE58" i="65"/>
  <c r="AF58" i="65"/>
  <c r="R58" i="65"/>
  <c r="S58" i="65" s="1"/>
  <c r="AH58" i="65"/>
  <c r="Q58" i="65"/>
  <c r="N60" i="65" l="1"/>
  <c r="U60" i="65" s="1"/>
  <c r="P60" i="65"/>
  <c r="AG57" i="65"/>
  <c r="Y58" i="65"/>
  <c r="AB58" i="65" s="1"/>
  <c r="AC58" i="65" s="1"/>
  <c r="AD58" i="65" s="1"/>
  <c r="R59" i="65"/>
  <c r="S59" i="65" s="1"/>
  <c r="Y59" i="65" s="1"/>
  <c r="AV59" i="65"/>
  <c r="Q59" i="65"/>
  <c r="AE59" i="65"/>
  <c r="AF59" i="65"/>
  <c r="AH59" i="65"/>
  <c r="D60" i="65"/>
  <c r="E60" i="65" s="1"/>
  <c r="F60" i="65" s="1"/>
  <c r="G60" i="65" s="1"/>
  <c r="H60" i="65" s="1"/>
  <c r="I60" i="65" s="1"/>
  <c r="J60" i="65" s="1"/>
  <c r="K60" i="65" s="1"/>
  <c r="AM60" i="65"/>
  <c r="AO60" i="63" a="1"/>
  <c r="AO60" i="63" s="1"/>
  <c r="B62" i="65" s="1"/>
  <c r="O61" i="65"/>
  <c r="L61" i="65"/>
  <c r="M61" i="65" s="1"/>
  <c r="C61" i="65"/>
  <c r="N61" i="65" l="1"/>
  <c r="U61" i="65" s="1"/>
  <c r="P61" i="65"/>
  <c r="AG58" i="65"/>
  <c r="AB59" i="65"/>
  <c r="AC59" i="65" s="1"/>
  <c r="AD59" i="65" s="1"/>
  <c r="AM61" i="65"/>
  <c r="D61" i="65"/>
  <c r="E61" i="65" s="1"/>
  <c r="F61" i="65" s="1"/>
  <c r="G61" i="65" s="1"/>
  <c r="H61" i="65" s="1"/>
  <c r="I61" i="65" s="1"/>
  <c r="J61" i="65" s="1"/>
  <c r="K61" i="65" s="1"/>
  <c r="L62" i="65"/>
  <c r="M62" i="65" s="1"/>
  <c r="O62" i="65"/>
  <c r="C62" i="65"/>
  <c r="AV60" i="65"/>
  <c r="AE60" i="65"/>
  <c r="AF60" i="65"/>
  <c r="AH60" i="65"/>
  <c r="R60" i="65"/>
  <c r="S60" i="65" s="1"/>
  <c r="Q60" i="65"/>
  <c r="AG59" i="65"/>
  <c r="AO61" i="63" a="1"/>
  <c r="AO61" i="63" s="1"/>
  <c r="B63" i="65" s="1"/>
  <c r="N62" i="65" l="1"/>
  <c r="U62" i="65" s="1"/>
  <c r="P62" i="65"/>
  <c r="Y60" i="65"/>
  <c r="AB60" i="65" s="1"/>
  <c r="AC60" i="65" s="1"/>
  <c r="AD60" i="65" s="1"/>
  <c r="O63" i="65"/>
  <c r="L63" i="65"/>
  <c r="M63" i="65" s="1"/>
  <c r="C63" i="65"/>
  <c r="AM62" i="65"/>
  <c r="D62" i="65"/>
  <c r="E62" i="65" s="1"/>
  <c r="F62" i="65" s="1"/>
  <c r="G62" i="65" s="1"/>
  <c r="H62" i="65" s="1"/>
  <c r="I62" i="65" s="1"/>
  <c r="J62" i="65" s="1"/>
  <c r="K62" i="65" s="1"/>
  <c r="AO62" i="63" a="1"/>
  <c r="AO62" i="63" s="1"/>
  <c r="B64" i="65" s="1"/>
  <c r="AH61" i="65"/>
  <c r="Q61" i="65"/>
  <c r="AF61" i="65"/>
  <c r="R61" i="65"/>
  <c r="S61" i="65" s="1"/>
  <c r="AE61" i="65"/>
  <c r="AV61" i="65"/>
  <c r="N63" i="65" l="1"/>
  <c r="U63" i="65" s="1"/>
  <c r="P63" i="65"/>
  <c r="AG60" i="65"/>
  <c r="Y61" i="65"/>
  <c r="AB61" i="65" s="1"/>
  <c r="AC61" i="65" s="1"/>
  <c r="AD61" i="65" s="1"/>
  <c r="AO63" i="63" a="1"/>
  <c r="AO63" i="63" s="1"/>
  <c r="B65" i="65" s="1"/>
  <c r="AH62" i="65"/>
  <c r="AF62" i="65"/>
  <c r="R62" i="65"/>
  <c r="S62" i="65" s="1"/>
  <c r="Y62" i="65" s="1"/>
  <c r="AV62" i="65"/>
  <c r="Q62" i="65"/>
  <c r="AE62" i="65"/>
  <c r="AM63" i="65"/>
  <c r="D63" i="65"/>
  <c r="E63" i="65" s="1"/>
  <c r="F63" i="65" s="1"/>
  <c r="G63" i="65" s="1"/>
  <c r="H63" i="65" s="1"/>
  <c r="I63" i="65" s="1"/>
  <c r="J63" i="65" s="1"/>
  <c r="K63" i="65" s="1"/>
  <c r="C64" i="65"/>
  <c r="O64" i="65"/>
  <c r="L64" i="65"/>
  <c r="M64" i="65" s="1"/>
  <c r="N64" i="65" l="1"/>
  <c r="U64" i="65" s="1"/>
  <c r="P64" i="65"/>
  <c r="AB62" i="65"/>
  <c r="AC62" i="65" s="1"/>
  <c r="AD62" i="65" s="1"/>
  <c r="AG61" i="65"/>
  <c r="D64" i="65"/>
  <c r="E64" i="65" s="1"/>
  <c r="F64" i="65" s="1"/>
  <c r="G64" i="65" s="1"/>
  <c r="H64" i="65" s="1"/>
  <c r="I64" i="65" s="1"/>
  <c r="J64" i="65" s="1"/>
  <c r="K64" i="65" s="1"/>
  <c r="AM64" i="65"/>
  <c r="AF63" i="65"/>
  <c r="R63" i="65"/>
  <c r="S63" i="65" s="1"/>
  <c r="Y63" i="65" s="1"/>
  <c r="AH63" i="65"/>
  <c r="AE63" i="65"/>
  <c r="AV63" i="65"/>
  <c r="Q63" i="65"/>
  <c r="AO64" i="63" a="1"/>
  <c r="AO64" i="63" s="1"/>
  <c r="B66" i="65" s="1"/>
  <c r="AG62" i="65"/>
  <c r="O65" i="65"/>
  <c r="L65" i="65"/>
  <c r="M65" i="65" s="1"/>
  <c r="C65" i="65"/>
  <c r="N65" i="65" l="1"/>
  <c r="U65" i="65" s="1"/>
  <c r="P65" i="65"/>
  <c r="AB63" i="65"/>
  <c r="AC63" i="65" s="1"/>
  <c r="AD63" i="65" s="1"/>
  <c r="C66" i="65"/>
  <c r="O66" i="65"/>
  <c r="L66" i="65"/>
  <c r="M66" i="65" s="1"/>
  <c r="AV64" i="65"/>
  <c r="Q64" i="65"/>
  <c r="AF64" i="65"/>
  <c r="AE64" i="65"/>
  <c r="AH64" i="65"/>
  <c r="R64" i="65"/>
  <c r="S64" i="65" s="1"/>
  <c r="AO65" i="63" a="1"/>
  <c r="AO65" i="63" s="1"/>
  <c r="B67" i="65" s="1"/>
  <c r="AG63" i="65"/>
  <c r="AM65" i="65"/>
  <c r="D65" i="65"/>
  <c r="E65" i="65" s="1"/>
  <c r="F65" i="65" s="1"/>
  <c r="G65" i="65" s="1"/>
  <c r="H65" i="65" s="1"/>
  <c r="I65" i="65" s="1"/>
  <c r="J65" i="65" s="1"/>
  <c r="K65" i="65" s="1"/>
  <c r="N66" i="65" l="1"/>
  <c r="U66" i="65" s="1"/>
  <c r="P66" i="65"/>
  <c r="Y64" i="65"/>
  <c r="AB64" i="65" s="1"/>
  <c r="AC64" i="65" s="1"/>
  <c r="AD64" i="65" s="1"/>
  <c r="O67" i="65"/>
  <c r="L67" i="65"/>
  <c r="M67" i="65" s="1"/>
  <c r="C67" i="65"/>
  <c r="AO66" i="63" a="1"/>
  <c r="AO66" i="63" s="1"/>
  <c r="B68" i="65" s="1"/>
  <c r="R65" i="65"/>
  <c r="S65" i="65" s="1"/>
  <c r="AE65" i="65"/>
  <c r="AV65" i="65"/>
  <c r="AH65" i="65"/>
  <c r="Q65" i="65"/>
  <c r="AF65" i="65"/>
  <c r="AM66" i="65"/>
  <c r="D66" i="65"/>
  <c r="E66" i="65" s="1"/>
  <c r="F66" i="65" s="1"/>
  <c r="G66" i="65" s="1"/>
  <c r="H66" i="65" s="1"/>
  <c r="I66" i="65" s="1"/>
  <c r="J66" i="65" s="1"/>
  <c r="K66" i="65" s="1"/>
  <c r="N67" i="65" l="1"/>
  <c r="U67" i="65" s="1"/>
  <c r="P67" i="65"/>
  <c r="AG64" i="65"/>
  <c r="Y65" i="65"/>
  <c r="AG65" i="65" s="1"/>
  <c r="AF66" i="65"/>
  <c r="AH66" i="65"/>
  <c r="R66" i="65"/>
  <c r="S66" i="65" s="1"/>
  <c r="AV66" i="65"/>
  <c r="Q66" i="65"/>
  <c r="AE66" i="65"/>
  <c r="D67" i="65"/>
  <c r="E67" i="65" s="1"/>
  <c r="F67" i="65" s="1"/>
  <c r="G67" i="65" s="1"/>
  <c r="H67" i="65" s="1"/>
  <c r="I67" i="65" s="1"/>
  <c r="J67" i="65" s="1"/>
  <c r="K67" i="65" s="1"/>
  <c r="AM67" i="65"/>
  <c r="O68" i="65"/>
  <c r="L68" i="65"/>
  <c r="M68" i="65" s="1"/>
  <c r="C68" i="65"/>
  <c r="AO67" i="63" a="1"/>
  <c r="AO67" i="63" s="1"/>
  <c r="B69" i="65" s="1"/>
  <c r="N68" i="65" l="1"/>
  <c r="U68" i="65" s="1"/>
  <c r="P68" i="65"/>
  <c r="AB65" i="65"/>
  <c r="AC65" i="65" s="1"/>
  <c r="AD65" i="65" s="1"/>
  <c r="Y66" i="65"/>
  <c r="AB66" i="65" s="1"/>
  <c r="AC66" i="65" s="1"/>
  <c r="AD66" i="65" s="1"/>
  <c r="AO68" i="63" a="1"/>
  <c r="AO68" i="63" s="1"/>
  <c r="B70" i="65" s="1"/>
  <c r="L69" i="65"/>
  <c r="M69" i="65" s="1"/>
  <c r="C69" i="65"/>
  <c r="O69" i="65"/>
  <c r="D68" i="65"/>
  <c r="E68" i="65" s="1"/>
  <c r="F68" i="65" s="1"/>
  <c r="G68" i="65" s="1"/>
  <c r="H68" i="65" s="1"/>
  <c r="I68" i="65" s="1"/>
  <c r="J68" i="65" s="1"/>
  <c r="K68" i="65" s="1"/>
  <c r="AM68" i="65"/>
  <c r="AF67" i="65"/>
  <c r="Q67" i="65"/>
  <c r="AH67" i="65"/>
  <c r="AE67" i="65"/>
  <c r="AV67" i="65"/>
  <c r="R67" i="65"/>
  <c r="S67" i="65" s="1"/>
  <c r="N69" i="65" l="1"/>
  <c r="U69" i="65" s="1"/>
  <c r="P69" i="65"/>
  <c r="AG66" i="65"/>
  <c r="Y67" i="65"/>
  <c r="AB67" i="65" s="1"/>
  <c r="AC67" i="65" s="1"/>
  <c r="AD67" i="65" s="1"/>
  <c r="AO69" i="63" a="1"/>
  <c r="AO69" i="63" s="1"/>
  <c r="B71" i="65" s="1"/>
  <c r="D69" i="65"/>
  <c r="E69" i="65" s="1"/>
  <c r="F69" i="65" s="1"/>
  <c r="G69" i="65" s="1"/>
  <c r="H69" i="65" s="1"/>
  <c r="I69" i="65" s="1"/>
  <c r="J69" i="65" s="1"/>
  <c r="K69" i="65" s="1"/>
  <c r="AM69" i="65"/>
  <c r="Q68" i="65"/>
  <c r="AF68" i="65"/>
  <c r="AV68" i="65"/>
  <c r="AE68" i="65"/>
  <c r="AH68" i="65"/>
  <c r="R68" i="65"/>
  <c r="S68" i="65" s="1"/>
  <c r="O70" i="65"/>
  <c r="C70" i="65"/>
  <c r="L70" i="65"/>
  <c r="M70" i="65" s="1"/>
  <c r="N70" i="65" l="1"/>
  <c r="U70" i="65" s="1"/>
  <c r="P70" i="65"/>
  <c r="AG67" i="65"/>
  <c r="Y68" i="65"/>
  <c r="AB68" i="65" s="1"/>
  <c r="AC68" i="65" s="1"/>
  <c r="AD68" i="65" s="1"/>
  <c r="AH69" i="65"/>
  <c r="AE69" i="65"/>
  <c r="R69" i="65"/>
  <c r="S69" i="65" s="1"/>
  <c r="Y69" i="65" s="1"/>
  <c r="AV69" i="65"/>
  <c r="AF69" i="65"/>
  <c r="Q69" i="65"/>
  <c r="AO70" i="63" a="1"/>
  <c r="AO70" i="63" s="1"/>
  <c r="B72" i="65" s="1"/>
  <c r="AM70" i="65"/>
  <c r="D70" i="65"/>
  <c r="E70" i="65" s="1"/>
  <c r="F70" i="65" s="1"/>
  <c r="G70" i="65" s="1"/>
  <c r="H70" i="65" s="1"/>
  <c r="I70" i="65" s="1"/>
  <c r="J70" i="65" s="1"/>
  <c r="K70" i="65" s="1"/>
  <c r="C71" i="65"/>
  <c r="O71" i="65"/>
  <c r="L71" i="65"/>
  <c r="M71" i="65" s="1"/>
  <c r="N71" i="65" l="1"/>
  <c r="U71" i="65" s="1"/>
  <c r="P71" i="65"/>
  <c r="AG68" i="65"/>
  <c r="AB69" i="65"/>
  <c r="AC69" i="65" s="1"/>
  <c r="AD69" i="65" s="1"/>
  <c r="O72" i="65"/>
  <c r="L72" i="65"/>
  <c r="M72" i="65" s="1"/>
  <c r="C72" i="65"/>
  <c r="AM71" i="65"/>
  <c r="D71" i="65"/>
  <c r="E71" i="65" s="1"/>
  <c r="F71" i="65" s="1"/>
  <c r="G71" i="65" s="1"/>
  <c r="H71" i="65" s="1"/>
  <c r="I71" i="65" s="1"/>
  <c r="J71" i="65" s="1"/>
  <c r="K71" i="65" s="1"/>
  <c r="R70" i="65"/>
  <c r="S70" i="65" s="1"/>
  <c r="AE70" i="65"/>
  <c r="AV70" i="65"/>
  <c r="AF70" i="65"/>
  <c r="AH70" i="65"/>
  <c r="Q70" i="65"/>
  <c r="AG69" i="65"/>
  <c r="AO71" i="63" a="1"/>
  <c r="AO71" i="63" s="1"/>
  <c r="B73" i="65" s="1"/>
  <c r="N72" i="65" l="1"/>
  <c r="U72" i="65" s="1"/>
  <c r="P72" i="65"/>
  <c r="Y70" i="65"/>
  <c r="AB70" i="65" s="1"/>
  <c r="AC70" i="65" s="1"/>
  <c r="AD70" i="65" s="1"/>
  <c r="D72" i="65"/>
  <c r="E72" i="65" s="1"/>
  <c r="F72" i="65" s="1"/>
  <c r="G72" i="65" s="1"/>
  <c r="H72" i="65" s="1"/>
  <c r="I72" i="65" s="1"/>
  <c r="J72" i="65" s="1"/>
  <c r="K72" i="65" s="1"/>
  <c r="AM72" i="65"/>
  <c r="L73" i="65"/>
  <c r="M73" i="65" s="1"/>
  <c r="C73" i="65"/>
  <c r="O73" i="65"/>
  <c r="AE71" i="65"/>
  <c r="Q71" i="65"/>
  <c r="R71" i="65"/>
  <c r="S71" i="65" s="1"/>
  <c r="AH71" i="65"/>
  <c r="AF71" i="65"/>
  <c r="AV71" i="65"/>
  <c r="AO72" i="63" a="1"/>
  <c r="AO72" i="63" s="1"/>
  <c r="B74" i="65" s="1"/>
  <c r="N73" i="65" l="1"/>
  <c r="U73" i="65" s="1"/>
  <c r="P73" i="65"/>
  <c r="AG70" i="65"/>
  <c r="Y71" i="65"/>
  <c r="AB71" i="65" s="1"/>
  <c r="AC71" i="65" s="1"/>
  <c r="AD71" i="65" s="1"/>
  <c r="AO73" i="63" a="1"/>
  <c r="AO73" i="63" s="1"/>
  <c r="B75" i="65" s="1"/>
  <c r="Q72" i="65"/>
  <c r="AH72" i="65"/>
  <c r="R72" i="65"/>
  <c r="S72" i="65" s="1"/>
  <c r="AE72" i="65"/>
  <c r="AF72" i="65"/>
  <c r="AV72" i="65"/>
  <c r="L74" i="65"/>
  <c r="M74" i="65" s="1"/>
  <c r="C74" i="65"/>
  <c r="O74" i="65"/>
  <c r="D73" i="65"/>
  <c r="E73" i="65" s="1"/>
  <c r="F73" i="65" s="1"/>
  <c r="G73" i="65" s="1"/>
  <c r="H73" i="65" s="1"/>
  <c r="I73" i="65" s="1"/>
  <c r="J73" i="65" s="1"/>
  <c r="K73" i="65" s="1"/>
  <c r="AM73" i="65"/>
  <c r="N74" i="65" l="1"/>
  <c r="U74" i="65" s="1"/>
  <c r="P74" i="65"/>
  <c r="AG71" i="65"/>
  <c r="Y72" i="65"/>
  <c r="AB72" i="65" s="1"/>
  <c r="AC72" i="65" s="1"/>
  <c r="AD72" i="65" s="1"/>
  <c r="AO74" i="63" a="1"/>
  <c r="AO74" i="63" s="1"/>
  <c r="B76" i="65" s="1"/>
  <c r="AF73" i="65"/>
  <c r="R73" i="65"/>
  <c r="S73" i="65" s="1"/>
  <c r="AV73" i="65"/>
  <c r="AE73" i="65"/>
  <c r="Q73" i="65"/>
  <c r="AH73" i="65"/>
  <c r="D74" i="65"/>
  <c r="E74" i="65" s="1"/>
  <c r="F74" i="65" s="1"/>
  <c r="G74" i="65" s="1"/>
  <c r="H74" i="65" s="1"/>
  <c r="I74" i="65" s="1"/>
  <c r="J74" i="65" s="1"/>
  <c r="K74" i="65" s="1"/>
  <c r="AM74" i="65"/>
  <c r="C75" i="65"/>
  <c r="L75" i="65"/>
  <c r="M75" i="65" s="1"/>
  <c r="O75" i="65"/>
  <c r="N75" i="65" l="1"/>
  <c r="U75" i="65" s="1"/>
  <c r="P75" i="65"/>
  <c r="Y73" i="65"/>
  <c r="AB73" i="65" s="1"/>
  <c r="AC73" i="65" s="1"/>
  <c r="AD73" i="65" s="1"/>
  <c r="AG72" i="65"/>
  <c r="L76" i="65"/>
  <c r="M76" i="65" s="1"/>
  <c r="O76" i="65"/>
  <c r="C76" i="65"/>
  <c r="AM75" i="65"/>
  <c r="D75" i="65"/>
  <c r="E75" i="65" s="1"/>
  <c r="F75" i="65" s="1"/>
  <c r="G75" i="65" s="1"/>
  <c r="H75" i="65" s="1"/>
  <c r="I75" i="65" s="1"/>
  <c r="J75" i="65" s="1"/>
  <c r="K75" i="65" s="1"/>
  <c r="AO75" i="63" a="1"/>
  <c r="AO75" i="63" s="1"/>
  <c r="B77" i="65" s="1"/>
  <c r="AV74" i="65"/>
  <c r="Q74" i="65"/>
  <c r="AH74" i="65"/>
  <c r="R74" i="65"/>
  <c r="S74" i="65" s="1"/>
  <c r="Y74" i="65" s="1"/>
  <c r="AF74" i="65"/>
  <c r="AE74" i="65"/>
  <c r="N76" i="65" l="1"/>
  <c r="U76" i="65" s="1"/>
  <c r="P76" i="65"/>
  <c r="AG73" i="65"/>
  <c r="AB74" i="65"/>
  <c r="AC74" i="65" s="1"/>
  <c r="AD74" i="65" s="1"/>
  <c r="AO76" i="63" a="1"/>
  <c r="AO76" i="63" s="1"/>
  <c r="B78" i="65" s="1"/>
  <c r="AG74" i="65"/>
  <c r="Q75" i="65"/>
  <c r="AE75" i="65"/>
  <c r="R75" i="65"/>
  <c r="S75" i="65" s="1"/>
  <c r="AF75" i="65"/>
  <c r="AH75" i="65"/>
  <c r="AV75" i="65"/>
  <c r="D76" i="65"/>
  <c r="E76" i="65" s="1"/>
  <c r="F76" i="65" s="1"/>
  <c r="G76" i="65" s="1"/>
  <c r="H76" i="65" s="1"/>
  <c r="I76" i="65" s="1"/>
  <c r="J76" i="65" s="1"/>
  <c r="K76" i="65" s="1"/>
  <c r="AM76" i="65"/>
  <c r="C77" i="65"/>
  <c r="O77" i="65"/>
  <c r="L77" i="65"/>
  <c r="M77" i="65" s="1"/>
  <c r="N77" i="65" l="1"/>
  <c r="U77" i="65" s="1"/>
  <c r="P77" i="65"/>
  <c r="Y75" i="65"/>
  <c r="AB75" i="65" s="1"/>
  <c r="AC75" i="65" s="1"/>
  <c r="AD75" i="65" s="1"/>
  <c r="AH76" i="65"/>
  <c r="R76" i="65"/>
  <c r="S76" i="65" s="1"/>
  <c r="AE76" i="65"/>
  <c r="Q76" i="65"/>
  <c r="AF76" i="65"/>
  <c r="AV76" i="65"/>
  <c r="D77" i="65"/>
  <c r="E77" i="65" s="1"/>
  <c r="F77" i="65" s="1"/>
  <c r="G77" i="65" s="1"/>
  <c r="H77" i="65" s="1"/>
  <c r="I77" i="65" s="1"/>
  <c r="J77" i="65" s="1"/>
  <c r="K77" i="65" s="1"/>
  <c r="AM77" i="65"/>
  <c r="O78" i="65"/>
  <c r="C78" i="65"/>
  <c r="L78" i="65"/>
  <c r="M78" i="65" s="1"/>
  <c r="AO77" i="63" a="1"/>
  <c r="AO77" i="63" s="1"/>
  <c r="B79" i="65" s="1"/>
  <c r="N78" i="65" l="1"/>
  <c r="U78" i="65" s="1"/>
  <c r="P78" i="65"/>
  <c r="AG75" i="65"/>
  <c r="Y76" i="65"/>
  <c r="AB76" i="65" s="1"/>
  <c r="AC76" i="65" s="1"/>
  <c r="AD76" i="65" s="1"/>
  <c r="D78" i="65"/>
  <c r="E78" i="65" s="1"/>
  <c r="F78" i="65" s="1"/>
  <c r="G78" i="65" s="1"/>
  <c r="H78" i="65" s="1"/>
  <c r="I78" i="65" s="1"/>
  <c r="J78" i="65" s="1"/>
  <c r="K78" i="65" s="1"/>
  <c r="AM78" i="65"/>
  <c r="AO78" i="63" a="1"/>
  <c r="AO78" i="63" s="1"/>
  <c r="B80" i="65" s="1"/>
  <c r="R77" i="65"/>
  <c r="S77" i="65" s="1"/>
  <c r="Y77" i="65" s="1"/>
  <c r="Q77" i="65"/>
  <c r="AH77" i="65"/>
  <c r="AE77" i="65"/>
  <c r="AF77" i="65"/>
  <c r="AV77" i="65"/>
  <c r="L79" i="65"/>
  <c r="M79" i="65" s="1"/>
  <c r="O79" i="65"/>
  <c r="C79" i="65"/>
  <c r="N79" i="65" l="1"/>
  <c r="U79" i="65" s="1"/>
  <c r="P79" i="65"/>
  <c r="AG76" i="65"/>
  <c r="AB77" i="65"/>
  <c r="AC77" i="65" s="1"/>
  <c r="AD77" i="65" s="1"/>
  <c r="AM79" i="65"/>
  <c r="D79" i="65"/>
  <c r="E79" i="65" s="1"/>
  <c r="F79" i="65" s="1"/>
  <c r="G79" i="65" s="1"/>
  <c r="H79" i="65" s="1"/>
  <c r="I79" i="65" s="1"/>
  <c r="J79" i="65" s="1"/>
  <c r="K79" i="65" s="1"/>
  <c r="R78" i="65"/>
  <c r="S78" i="65" s="1"/>
  <c r="AF78" i="65"/>
  <c r="AH78" i="65"/>
  <c r="AE78" i="65"/>
  <c r="AV78" i="65"/>
  <c r="Q78" i="65"/>
  <c r="AO79" i="63" a="1"/>
  <c r="AO79" i="63" s="1"/>
  <c r="B81" i="65" s="1"/>
  <c r="AG77" i="65"/>
  <c r="L80" i="65"/>
  <c r="M80" i="65" s="1"/>
  <c r="C80" i="65"/>
  <c r="O80" i="65"/>
  <c r="N80" i="65" l="1"/>
  <c r="U80" i="65" s="1"/>
  <c r="P80" i="65"/>
  <c r="Y78" i="65"/>
  <c r="AB78" i="65" s="1"/>
  <c r="AC78" i="65" s="1"/>
  <c r="AD78" i="65" s="1"/>
  <c r="L81" i="65"/>
  <c r="M81" i="65" s="1"/>
  <c r="C81" i="65"/>
  <c r="O81" i="65"/>
  <c r="AF79" i="65"/>
  <c r="AH79" i="65"/>
  <c r="AV79" i="65"/>
  <c r="R79" i="65"/>
  <c r="S79" i="65" s="1"/>
  <c r="Q79" i="65"/>
  <c r="AE79" i="65"/>
  <c r="AM80" i="65"/>
  <c r="D80" i="65"/>
  <c r="E80" i="65" s="1"/>
  <c r="F80" i="65" s="1"/>
  <c r="G80" i="65" s="1"/>
  <c r="H80" i="65" s="1"/>
  <c r="I80" i="65" s="1"/>
  <c r="J80" i="65" s="1"/>
  <c r="K80" i="65" s="1"/>
  <c r="AO80" i="63" a="1"/>
  <c r="AO80" i="63" s="1"/>
  <c r="B82" i="65" s="1"/>
  <c r="N81" i="65" l="1"/>
  <c r="U81" i="65" s="1"/>
  <c r="P81" i="65"/>
  <c r="AG78" i="65"/>
  <c r="Y79" i="65"/>
  <c r="AB79" i="65" s="1"/>
  <c r="AC79" i="65" s="1"/>
  <c r="AD79" i="65" s="1"/>
  <c r="AO81" i="63" a="1"/>
  <c r="AO81" i="63" s="1"/>
  <c r="B83" i="65" s="1"/>
  <c r="AF80" i="65"/>
  <c r="AV80" i="65"/>
  <c r="R80" i="65"/>
  <c r="S80" i="65" s="1"/>
  <c r="Y80" i="65" s="1"/>
  <c r="AH80" i="65"/>
  <c r="Q80" i="65"/>
  <c r="AE80" i="65"/>
  <c r="D81" i="65"/>
  <c r="E81" i="65" s="1"/>
  <c r="F81" i="65" s="1"/>
  <c r="G81" i="65" s="1"/>
  <c r="H81" i="65" s="1"/>
  <c r="I81" i="65" s="1"/>
  <c r="J81" i="65" s="1"/>
  <c r="K81" i="65" s="1"/>
  <c r="AM81" i="65"/>
  <c r="C82" i="65"/>
  <c r="O82" i="65"/>
  <c r="L82" i="65"/>
  <c r="M82" i="65" s="1"/>
  <c r="N82" i="65" l="1"/>
  <c r="U82" i="65" s="1"/>
  <c r="P82" i="65"/>
  <c r="AB80" i="65"/>
  <c r="AC80" i="65" s="1"/>
  <c r="AD80" i="65" s="1"/>
  <c r="AG79" i="65"/>
  <c r="AG80" i="65"/>
  <c r="O83" i="65"/>
  <c r="L83" i="65"/>
  <c r="M83" i="65" s="1"/>
  <c r="C83" i="65"/>
  <c r="AO82" i="63" a="1"/>
  <c r="AO82" i="63" s="1"/>
  <c r="B84" i="65" s="1"/>
  <c r="AM82" i="65"/>
  <c r="D82" i="65"/>
  <c r="E82" i="65" s="1"/>
  <c r="F82" i="65" s="1"/>
  <c r="G82" i="65" s="1"/>
  <c r="H82" i="65" s="1"/>
  <c r="I82" i="65" s="1"/>
  <c r="J82" i="65" s="1"/>
  <c r="K82" i="65" s="1"/>
  <c r="AE81" i="65"/>
  <c r="AF81" i="65"/>
  <c r="R81" i="65"/>
  <c r="S81" i="65" s="1"/>
  <c r="AH81" i="65"/>
  <c r="Q81" i="65"/>
  <c r="AV81" i="65"/>
  <c r="N83" i="65" l="1"/>
  <c r="U83" i="65" s="1"/>
  <c r="P83" i="65"/>
  <c r="Y81" i="65"/>
  <c r="AB81" i="65" s="1"/>
  <c r="AC81" i="65" s="1"/>
  <c r="AD81" i="65" s="1"/>
  <c r="C84" i="65"/>
  <c r="L84" i="65"/>
  <c r="M84" i="65" s="1"/>
  <c r="O84" i="65"/>
  <c r="D83" i="65"/>
  <c r="E83" i="65" s="1"/>
  <c r="F83" i="65" s="1"/>
  <c r="G83" i="65" s="1"/>
  <c r="H83" i="65" s="1"/>
  <c r="I83" i="65" s="1"/>
  <c r="J83" i="65" s="1"/>
  <c r="K83" i="65" s="1"/>
  <c r="AM83" i="65"/>
  <c r="AO83" i="63" a="1"/>
  <c r="AO83" i="63" s="1"/>
  <c r="B85" i="65" s="1"/>
  <c r="Q82" i="65"/>
  <c r="AE82" i="65"/>
  <c r="AF82" i="65"/>
  <c r="AV82" i="65"/>
  <c r="R82" i="65"/>
  <c r="S82" i="65" s="1"/>
  <c r="AH82" i="65"/>
  <c r="N84" i="65" l="1"/>
  <c r="U84" i="65" s="1"/>
  <c r="P84" i="65"/>
  <c r="AG81" i="65"/>
  <c r="Y82" i="65"/>
  <c r="AB82" i="65" s="1"/>
  <c r="AC82" i="65" s="1"/>
  <c r="AD82" i="65" s="1"/>
  <c r="AH83" i="65"/>
  <c r="AE83" i="65"/>
  <c r="R83" i="65"/>
  <c r="S83" i="65" s="1"/>
  <c r="AV83" i="65"/>
  <c r="Q83" i="65"/>
  <c r="AF83" i="65"/>
  <c r="C85" i="65"/>
  <c r="L85" i="65"/>
  <c r="M85" i="65" s="1"/>
  <c r="O85" i="65"/>
  <c r="AO84" i="63" a="1"/>
  <c r="AO84" i="63" s="1"/>
  <c r="B86" i="65" s="1"/>
  <c r="AM84" i="65"/>
  <c r="D84" i="65"/>
  <c r="E84" i="65" s="1"/>
  <c r="F84" i="65" s="1"/>
  <c r="G84" i="65" s="1"/>
  <c r="H84" i="65" s="1"/>
  <c r="I84" i="65" s="1"/>
  <c r="J84" i="65" s="1"/>
  <c r="K84" i="65" s="1"/>
  <c r="N85" i="65" l="1"/>
  <c r="U85" i="65" s="1"/>
  <c r="P85" i="65"/>
  <c r="AG82" i="65"/>
  <c r="Y83" i="65"/>
  <c r="AB83" i="65" s="1"/>
  <c r="AC83" i="65" s="1"/>
  <c r="AD83" i="65" s="1"/>
  <c r="Q84" i="65"/>
  <c r="AH84" i="65"/>
  <c r="AE84" i="65"/>
  <c r="AF84" i="65"/>
  <c r="R84" i="65"/>
  <c r="S84" i="65" s="1"/>
  <c r="Y84" i="65" s="1"/>
  <c r="AV84" i="65"/>
  <c r="C86" i="65"/>
  <c r="L86" i="65"/>
  <c r="M86" i="65" s="1"/>
  <c r="O86" i="65"/>
  <c r="AM85" i="65"/>
  <c r="D85" i="65"/>
  <c r="E85" i="65" s="1"/>
  <c r="F85" i="65" s="1"/>
  <c r="G85" i="65" s="1"/>
  <c r="H85" i="65" s="1"/>
  <c r="I85" i="65" s="1"/>
  <c r="J85" i="65" s="1"/>
  <c r="K85" i="65" s="1"/>
  <c r="AO85" i="63" a="1"/>
  <c r="AO85" i="63" s="1"/>
  <c r="B87" i="65" s="1"/>
  <c r="N86" i="65" l="1"/>
  <c r="U86" i="65" s="1"/>
  <c r="P86" i="65"/>
  <c r="AG83" i="65"/>
  <c r="AB84" i="65"/>
  <c r="AC84" i="65" s="1"/>
  <c r="AD84" i="65" s="1"/>
  <c r="AH85" i="65"/>
  <c r="AV85" i="65"/>
  <c r="AF85" i="65"/>
  <c r="R85" i="65"/>
  <c r="S85" i="65" s="1"/>
  <c r="AE85" i="65"/>
  <c r="Q85" i="65"/>
  <c r="L87" i="65"/>
  <c r="M87" i="65" s="1"/>
  <c r="C87" i="65"/>
  <c r="O87" i="65"/>
  <c r="D86" i="65"/>
  <c r="E86" i="65" s="1"/>
  <c r="F86" i="65" s="1"/>
  <c r="G86" i="65" s="1"/>
  <c r="H86" i="65" s="1"/>
  <c r="I86" i="65" s="1"/>
  <c r="J86" i="65" s="1"/>
  <c r="K86" i="65" s="1"/>
  <c r="AM86" i="65"/>
  <c r="AO86" i="63" a="1"/>
  <c r="AO86" i="63" s="1"/>
  <c r="B88" i="65" s="1"/>
  <c r="AG84" i="65"/>
  <c r="N87" i="65" l="1"/>
  <c r="U87" i="65" s="1"/>
  <c r="P87" i="65"/>
  <c r="Y85" i="65"/>
  <c r="AB85" i="65" s="1"/>
  <c r="AC85" i="65" s="1"/>
  <c r="AD85" i="65" s="1"/>
  <c r="C88" i="65"/>
  <c r="L88" i="65"/>
  <c r="M88" i="65" s="1"/>
  <c r="O88" i="65"/>
  <c r="AV86" i="65"/>
  <c r="Q86" i="65"/>
  <c r="AH86" i="65"/>
  <c r="AF86" i="65"/>
  <c r="AE86" i="65"/>
  <c r="R86" i="65"/>
  <c r="S86" i="65" s="1"/>
  <c r="AO87" i="63" a="1"/>
  <c r="AO87" i="63" s="1"/>
  <c r="B89" i="65" s="1"/>
  <c r="AM87" i="65"/>
  <c r="D87" i="65"/>
  <c r="E87" i="65" s="1"/>
  <c r="F87" i="65" s="1"/>
  <c r="G87" i="65" s="1"/>
  <c r="H87" i="65" s="1"/>
  <c r="I87" i="65" s="1"/>
  <c r="J87" i="65" s="1"/>
  <c r="K87" i="65" s="1"/>
  <c r="N88" i="65" l="1"/>
  <c r="P88" i="65"/>
  <c r="AG85" i="65"/>
  <c r="Y86" i="65"/>
  <c r="AG86" i="65" s="1"/>
  <c r="O89" i="65"/>
  <c r="L89" i="65"/>
  <c r="M89" i="65" s="1"/>
  <c r="C89" i="65"/>
  <c r="AO88" i="63" a="1"/>
  <c r="AO88" i="63" s="1"/>
  <c r="B90" i="65" s="1"/>
  <c r="AF87" i="65"/>
  <c r="AV87" i="65"/>
  <c r="Q87" i="65"/>
  <c r="AE87" i="65"/>
  <c r="AH87" i="65"/>
  <c r="R87" i="65"/>
  <c r="S87" i="65" s="1"/>
  <c r="AM88" i="65"/>
  <c r="D88" i="65"/>
  <c r="E88" i="65" s="1"/>
  <c r="F88" i="65" s="1"/>
  <c r="G88" i="65" s="1"/>
  <c r="H88" i="65" s="1"/>
  <c r="I88" i="65" s="1"/>
  <c r="J88" i="65" s="1"/>
  <c r="K88" i="65" s="1"/>
  <c r="U88" i="65"/>
  <c r="N89" i="65" l="1"/>
  <c r="U89" i="65" s="1"/>
  <c r="P89" i="65"/>
  <c r="AB86" i="65"/>
  <c r="AC86" i="65" s="1"/>
  <c r="AD86" i="65" s="1"/>
  <c r="Y87" i="65"/>
  <c r="AB87" i="65" s="1"/>
  <c r="AC87" i="65" s="1"/>
  <c r="AD87" i="65" s="1"/>
  <c r="Q88" i="65"/>
  <c r="AV88" i="65"/>
  <c r="AE88" i="65"/>
  <c r="R88" i="65"/>
  <c r="S88" i="65" s="1"/>
  <c r="Y88" i="65" s="1"/>
  <c r="AH88" i="65"/>
  <c r="AF88" i="65"/>
  <c r="AM89" i="65"/>
  <c r="D89" i="65"/>
  <c r="E89" i="65" s="1"/>
  <c r="F89" i="65" s="1"/>
  <c r="G89" i="65" s="1"/>
  <c r="H89" i="65" s="1"/>
  <c r="I89" i="65" s="1"/>
  <c r="J89" i="65" s="1"/>
  <c r="K89" i="65" s="1"/>
  <c r="L90" i="65"/>
  <c r="M90" i="65" s="1"/>
  <c r="O90" i="65"/>
  <c r="C90" i="65"/>
  <c r="AO89" i="63" a="1"/>
  <c r="AO89" i="63" s="1"/>
  <c r="B91" i="65" s="1"/>
  <c r="N90" i="65" l="1"/>
  <c r="U90" i="65" s="1"/>
  <c r="P90" i="65"/>
  <c r="AG87" i="65"/>
  <c r="AB88" i="65"/>
  <c r="AC88" i="65" s="1"/>
  <c r="AD88" i="65" s="1"/>
  <c r="AO90" i="63" a="1"/>
  <c r="AO90" i="63" s="1"/>
  <c r="B92" i="65" s="1"/>
  <c r="D90" i="65"/>
  <c r="E90" i="65" s="1"/>
  <c r="F90" i="65" s="1"/>
  <c r="G90" i="65" s="1"/>
  <c r="H90" i="65" s="1"/>
  <c r="I90" i="65" s="1"/>
  <c r="J90" i="65" s="1"/>
  <c r="K90" i="65" s="1"/>
  <c r="AM90" i="65"/>
  <c r="AG88" i="65"/>
  <c r="C91" i="65"/>
  <c r="O91" i="65"/>
  <c r="L91" i="65"/>
  <c r="M91" i="65" s="1"/>
  <c r="Q89" i="65"/>
  <c r="AH89" i="65"/>
  <c r="AV89" i="65"/>
  <c r="AF89" i="65"/>
  <c r="AE89" i="65"/>
  <c r="R89" i="65"/>
  <c r="S89" i="65" s="1"/>
  <c r="N91" i="65" l="1"/>
  <c r="U91" i="65" s="1"/>
  <c r="P91" i="65"/>
  <c r="Y89" i="65"/>
  <c r="AB89" i="65" s="1"/>
  <c r="AC89" i="65" s="1"/>
  <c r="AD89" i="65" s="1"/>
  <c r="AO91" i="63" a="1"/>
  <c r="AO91" i="63" s="1"/>
  <c r="B93" i="65" s="1"/>
  <c r="AM91" i="65"/>
  <c r="D91" i="65"/>
  <c r="E91" i="65" s="1"/>
  <c r="F91" i="65" s="1"/>
  <c r="G91" i="65" s="1"/>
  <c r="H91" i="65" s="1"/>
  <c r="I91" i="65" s="1"/>
  <c r="J91" i="65" s="1"/>
  <c r="K91" i="65" s="1"/>
  <c r="Q90" i="65"/>
  <c r="AV90" i="65"/>
  <c r="R90" i="65"/>
  <c r="S90" i="65" s="1"/>
  <c r="Y90" i="65" s="1"/>
  <c r="AH90" i="65"/>
  <c r="AF90" i="65"/>
  <c r="AE90" i="65"/>
  <c r="O92" i="65"/>
  <c r="L92" i="65"/>
  <c r="M92" i="65" s="1"/>
  <c r="C92" i="65"/>
  <c r="N92" i="65" l="1"/>
  <c r="U92" i="65" s="1"/>
  <c r="P92" i="65"/>
  <c r="AG89" i="65"/>
  <c r="AB90" i="65"/>
  <c r="AC90" i="65" s="1"/>
  <c r="AD90" i="65" s="1"/>
  <c r="AO92" i="63" a="1"/>
  <c r="AO92" i="63" s="1"/>
  <c r="B94" i="65" s="1"/>
  <c r="D92" i="65"/>
  <c r="E92" i="65" s="1"/>
  <c r="F92" i="65" s="1"/>
  <c r="G92" i="65" s="1"/>
  <c r="H92" i="65" s="1"/>
  <c r="I92" i="65" s="1"/>
  <c r="J92" i="65" s="1"/>
  <c r="K92" i="65" s="1"/>
  <c r="AM92" i="65"/>
  <c r="AG90" i="65"/>
  <c r="Q91" i="65"/>
  <c r="R91" i="65"/>
  <c r="S91" i="65" s="1"/>
  <c r="AH91" i="65"/>
  <c r="AF91" i="65"/>
  <c r="AE91" i="65"/>
  <c r="AV91" i="65"/>
  <c r="O93" i="65"/>
  <c r="C93" i="65"/>
  <c r="L93" i="65"/>
  <c r="M93" i="65" s="1"/>
  <c r="N93" i="65" l="1"/>
  <c r="U93" i="65" s="1"/>
  <c r="P93" i="65"/>
  <c r="Y91" i="65"/>
  <c r="AB91" i="65" s="1"/>
  <c r="AC91" i="65" s="1"/>
  <c r="AD91" i="65" s="1"/>
  <c r="Q92" i="65"/>
  <c r="AF92" i="65"/>
  <c r="AE92" i="65"/>
  <c r="AV92" i="65"/>
  <c r="R92" i="65"/>
  <c r="S92" i="65" s="1"/>
  <c r="Y92" i="65" s="1"/>
  <c r="AH92" i="65"/>
  <c r="C94" i="65"/>
  <c r="O94" i="65"/>
  <c r="L94" i="65"/>
  <c r="M94" i="65" s="1"/>
  <c r="D93" i="65"/>
  <c r="E93" i="65" s="1"/>
  <c r="F93" i="65" s="1"/>
  <c r="G93" i="65" s="1"/>
  <c r="H93" i="65" s="1"/>
  <c r="I93" i="65" s="1"/>
  <c r="J93" i="65" s="1"/>
  <c r="K93" i="65" s="1"/>
  <c r="AM93" i="65"/>
  <c r="AO93" i="63" a="1"/>
  <c r="AO93" i="63" s="1"/>
  <c r="B95" i="65" s="1"/>
  <c r="N94" i="65" l="1"/>
  <c r="U94" i="65" s="1"/>
  <c r="P94" i="65"/>
  <c r="AG91" i="65"/>
  <c r="AB92" i="65"/>
  <c r="AC92" i="65" s="1"/>
  <c r="AD92" i="65" s="1"/>
  <c r="AO94" i="63" a="1"/>
  <c r="AO94" i="63" s="1"/>
  <c r="B96" i="65" s="1"/>
  <c r="AF93" i="65"/>
  <c r="Q93" i="65"/>
  <c r="R93" i="65"/>
  <c r="S93" i="65" s="1"/>
  <c r="AE93" i="65"/>
  <c r="AH93" i="65"/>
  <c r="AV93" i="65"/>
  <c r="L95" i="65"/>
  <c r="M95" i="65" s="1"/>
  <c r="O95" i="65"/>
  <c r="C95" i="65"/>
  <c r="AM94" i="65"/>
  <c r="D94" i="65"/>
  <c r="E94" i="65" s="1"/>
  <c r="F94" i="65" s="1"/>
  <c r="G94" i="65" s="1"/>
  <c r="H94" i="65" s="1"/>
  <c r="I94" i="65" s="1"/>
  <c r="J94" i="65" s="1"/>
  <c r="K94" i="65" s="1"/>
  <c r="AG92" i="65"/>
  <c r="N95" i="65" l="1"/>
  <c r="U95" i="65" s="1"/>
  <c r="P95" i="65"/>
  <c r="Y93" i="65"/>
  <c r="AB93" i="65" s="1"/>
  <c r="AC93" i="65" s="1"/>
  <c r="AD93" i="65" s="1"/>
  <c r="AV94" i="65"/>
  <c r="AE94" i="65"/>
  <c r="Q94" i="65"/>
  <c r="AH94" i="65"/>
  <c r="AF94" i="65"/>
  <c r="R94" i="65"/>
  <c r="S94" i="65" s="1"/>
  <c r="AM95" i="65"/>
  <c r="D95" i="65"/>
  <c r="E95" i="65" s="1"/>
  <c r="F95" i="65" s="1"/>
  <c r="G95" i="65" s="1"/>
  <c r="H95" i="65" s="1"/>
  <c r="I95" i="65" s="1"/>
  <c r="J95" i="65" s="1"/>
  <c r="K95" i="65" s="1"/>
  <c r="L96" i="65"/>
  <c r="M96" i="65" s="1"/>
  <c r="O96" i="65"/>
  <c r="C96" i="65"/>
  <c r="AO95" i="63" a="1"/>
  <c r="AO95" i="63" s="1"/>
  <c r="B97" i="65" s="1"/>
  <c r="N96" i="65" l="1"/>
  <c r="U96" i="65" s="1"/>
  <c r="P96" i="65"/>
  <c r="AG93" i="65"/>
  <c r="Y94" i="65"/>
  <c r="AB94" i="65" s="1"/>
  <c r="AC94" i="65" s="1"/>
  <c r="AD94" i="65" s="1"/>
  <c r="Q95" i="65"/>
  <c r="AF95" i="65"/>
  <c r="R95" i="65"/>
  <c r="S95" i="65" s="1"/>
  <c r="AE95" i="65"/>
  <c r="AH95" i="65"/>
  <c r="AV95" i="65"/>
  <c r="L97" i="65"/>
  <c r="M97" i="65" s="1"/>
  <c r="O97" i="65"/>
  <c r="C97" i="65"/>
  <c r="AM96" i="65"/>
  <c r="D96" i="65"/>
  <c r="E96" i="65" s="1"/>
  <c r="F96" i="65" s="1"/>
  <c r="G96" i="65" s="1"/>
  <c r="H96" i="65" s="1"/>
  <c r="I96" i="65" s="1"/>
  <c r="J96" i="65" s="1"/>
  <c r="K96" i="65" s="1"/>
  <c r="AO96" i="63" a="1"/>
  <c r="AO96" i="63" s="1"/>
  <c r="B98" i="65" s="1"/>
  <c r="N97" i="65" l="1"/>
  <c r="U97" i="65" s="1"/>
  <c r="P97" i="65"/>
  <c r="AG94" i="65"/>
  <c r="Y95" i="65"/>
  <c r="AG95" i="65" s="1"/>
  <c r="AO97" i="63" a="1"/>
  <c r="AO97" i="63" s="1"/>
  <c r="B99" i="65" s="1"/>
  <c r="AE96" i="65"/>
  <c r="AH96" i="65"/>
  <c r="AV96" i="65"/>
  <c r="Q96" i="65"/>
  <c r="AF96" i="65"/>
  <c r="R96" i="65"/>
  <c r="S96" i="65" s="1"/>
  <c r="AM97" i="65"/>
  <c r="D97" i="65"/>
  <c r="E97" i="65" s="1"/>
  <c r="F97" i="65" s="1"/>
  <c r="G97" i="65" s="1"/>
  <c r="H97" i="65" s="1"/>
  <c r="I97" i="65" s="1"/>
  <c r="J97" i="65" s="1"/>
  <c r="K97" i="65" s="1"/>
  <c r="L98" i="65"/>
  <c r="M98" i="65" s="1"/>
  <c r="O98" i="65"/>
  <c r="C98" i="65"/>
  <c r="N98" i="65" l="1"/>
  <c r="U98" i="65" s="1"/>
  <c r="P98" i="65"/>
  <c r="AB95" i="65"/>
  <c r="AC95" i="65" s="1"/>
  <c r="AD95" i="65" s="1"/>
  <c r="Y96" i="65"/>
  <c r="AG96" i="65" s="1"/>
  <c r="AM98" i="65"/>
  <c r="D98" i="65"/>
  <c r="E98" i="65" s="1"/>
  <c r="F98" i="65" s="1"/>
  <c r="G98" i="65" s="1"/>
  <c r="H98" i="65" s="1"/>
  <c r="I98" i="65" s="1"/>
  <c r="J98" i="65" s="1"/>
  <c r="K98" i="65" s="1"/>
  <c r="AH97" i="65"/>
  <c r="AE97" i="65"/>
  <c r="AV97" i="65"/>
  <c r="Q97" i="65"/>
  <c r="AF97" i="65"/>
  <c r="R97" i="65"/>
  <c r="S97" i="65" s="1"/>
  <c r="Y97" i="65" s="1"/>
  <c r="AO98" i="63" a="1"/>
  <c r="AO98" i="63" s="1"/>
  <c r="B100" i="65" s="1"/>
  <c r="C99" i="65"/>
  <c r="L99" i="65"/>
  <c r="M99" i="65" s="1"/>
  <c r="O99" i="65"/>
  <c r="N99" i="65" l="1"/>
  <c r="U99" i="65" s="1"/>
  <c r="P99" i="65"/>
  <c r="AB96" i="65"/>
  <c r="AC96" i="65" s="1"/>
  <c r="AD96" i="65" s="1"/>
  <c r="AB97" i="65"/>
  <c r="AC97" i="65" s="1"/>
  <c r="AD97" i="65" s="1"/>
  <c r="AM99" i="65"/>
  <c r="D99" i="65"/>
  <c r="E99" i="65" s="1"/>
  <c r="F99" i="65" s="1"/>
  <c r="G99" i="65" s="1"/>
  <c r="H99" i="65" s="1"/>
  <c r="I99" i="65" s="1"/>
  <c r="J99" i="65" s="1"/>
  <c r="K99" i="65" s="1"/>
  <c r="AO99" i="63" a="1"/>
  <c r="AO99" i="63" s="1"/>
  <c r="B101" i="65" s="1"/>
  <c r="C100" i="65"/>
  <c r="O100" i="65"/>
  <c r="L100" i="65"/>
  <c r="M100" i="65" s="1"/>
  <c r="AG97" i="65"/>
  <c r="Q98" i="65"/>
  <c r="AF98" i="65"/>
  <c r="AH98" i="65"/>
  <c r="AE98" i="65"/>
  <c r="R98" i="65"/>
  <c r="S98" i="65" s="1"/>
  <c r="AV98" i="65"/>
  <c r="N100" i="65" l="1"/>
  <c r="U100" i="65" s="1"/>
  <c r="P100" i="65"/>
  <c r="Y98" i="65"/>
  <c r="AG98" i="65" s="1"/>
  <c r="AO100" i="63" a="1"/>
  <c r="AO100" i="63" s="1"/>
  <c r="B102" i="65" s="1"/>
  <c r="D100" i="65"/>
  <c r="E100" i="65" s="1"/>
  <c r="F100" i="65" s="1"/>
  <c r="G100" i="65" s="1"/>
  <c r="H100" i="65" s="1"/>
  <c r="I100" i="65" s="1"/>
  <c r="J100" i="65" s="1"/>
  <c r="K100" i="65" s="1"/>
  <c r="AM100" i="65"/>
  <c r="O101" i="65"/>
  <c r="C101" i="65"/>
  <c r="L101" i="65"/>
  <c r="M101" i="65" s="1"/>
  <c r="AH99" i="65"/>
  <c r="AE99" i="65"/>
  <c r="AF99" i="65"/>
  <c r="Q99" i="65"/>
  <c r="AV99" i="65"/>
  <c r="R99" i="65"/>
  <c r="S99" i="65" s="1"/>
  <c r="N101" i="65" l="1"/>
  <c r="U101" i="65" s="1"/>
  <c r="P101" i="65"/>
  <c r="AB98" i="65"/>
  <c r="AC98" i="65" s="1"/>
  <c r="AD98" i="65" s="1"/>
  <c r="Y99" i="65"/>
  <c r="AG99" i="65" s="1"/>
  <c r="AM101" i="65"/>
  <c r="D101" i="65"/>
  <c r="E101" i="65" s="1"/>
  <c r="F101" i="65" s="1"/>
  <c r="G101" i="65" s="1"/>
  <c r="H101" i="65" s="1"/>
  <c r="I101" i="65" s="1"/>
  <c r="J101" i="65" s="1"/>
  <c r="K101" i="65" s="1"/>
  <c r="AV100" i="65"/>
  <c r="R100" i="65"/>
  <c r="S100" i="65" s="1"/>
  <c r="AF100" i="65"/>
  <c r="AE100" i="65"/>
  <c r="AH100" i="65"/>
  <c r="Q100" i="65"/>
  <c r="C102" i="65"/>
  <c r="L102" i="65"/>
  <c r="M102" i="65" s="1"/>
  <c r="O102" i="65"/>
  <c r="AO101" i="63" a="1"/>
  <c r="AO101" i="63" s="1"/>
  <c r="B103" i="65" s="1"/>
  <c r="N102" i="65" l="1"/>
  <c r="U102" i="65" s="1"/>
  <c r="P102" i="65"/>
  <c r="AB99" i="65"/>
  <c r="AC99" i="65" s="1"/>
  <c r="AD99" i="65" s="1"/>
  <c r="Y100" i="65"/>
  <c r="AB100" i="65" s="1"/>
  <c r="AC100" i="65" s="1"/>
  <c r="AD100" i="65" s="1"/>
  <c r="L103" i="65"/>
  <c r="M103" i="65" s="1"/>
  <c r="C103" i="65"/>
  <c r="O103" i="65"/>
  <c r="AO102" i="63" a="1"/>
  <c r="AO102" i="63" s="1"/>
  <c r="B104" i="65" s="1"/>
  <c r="AM102" i="65"/>
  <c r="D102" i="65"/>
  <c r="E102" i="65" s="1"/>
  <c r="F102" i="65" s="1"/>
  <c r="G102" i="65" s="1"/>
  <c r="H102" i="65" s="1"/>
  <c r="I102" i="65" s="1"/>
  <c r="J102" i="65" s="1"/>
  <c r="K102" i="65" s="1"/>
  <c r="AV101" i="65"/>
  <c r="R101" i="65"/>
  <c r="S101" i="65" s="1"/>
  <c r="AE101" i="65"/>
  <c r="AF101" i="65"/>
  <c r="AH101" i="65"/>
  <c r="Q101" i="65"/>
  <c r="N103" i="65" l="1"/>
  <c r="U103" i="65" s="1"/>
  <c r="P103" i="65"/>
  <c r="Y101" i="65"/>
  <c r="AB101" i="65" s="1"/>
  <c r="AC101" i="65" s="1"/>
  <c r="AD101" i="65" s="1"/>
  <c r="AG100" i="65"/>
  <c r="D103" i="65"/>
  <c r="E103" i="65" s="1"/>
  <c r="F103" i="65" s="1"/>
  <c r="G103" i="65" s="1"/>
  <c r="H103" i="65" s="1"/>
  <c r="I103" i="65" s="1"/>
  <c r="J103" i="65" s="1"/>
  <c r="K103" i="65" s="1"/>
  <c r="AM103" i="65"/>
  <c r="AO103" i="63" a="1"/>
  <c r="AO103" i="63" s="1"/>
  <c r="B105" i="65" s="1"/>
  <c r="Q102" i="65"/>
  <c r="AV102" i="65"/>
  <c r="AF102" i="65"/>
  <c r="AH102" i="65"/>
  <c r="AE102" i="65"/>
  <c r="R102" i="65"/>
  <c r="S102" i="65" s="1"/>
  <c r="Y102" i="65" s="1"/>
  <c r="O104" i="65"/>
  <c r="L104" i="65"/>
  <c r="M104" i="65" s="1"/>
  <c r="C104" i="65"/>
  <c r="N104" i="65" l="1"/>
  <c r="U104" i="65" s="1"/>
  <c r="P104" i="65"/>
  <c r="AG101" i="65"/>
  <c r="AB102" i="65"/>
  <c r="AC102" i="65" s="1"/>
  <c r="AD102" i="65" s="1"/>
  <c r="C105" i="65"/>
  <c r="L105" i="65"/>
  <c r="M105" i="65" s="1"/>
  <c r="O105" i="65"/>
  <c r="AO104" i="63" a="1"/>
  <c r="AO104" i="63" s="1"/>
  <c r="B106" i="65" s="1"/>
  <c r="AG102" i="65"/>
  <c r="AV103" i="65"/>
  <c r="R103" i="65"/>
  <c r="S103" i="65" s="1"/>
  <c r="Q103" i="65"/>
  <c r="AE103" i="65"/>
  <c r="AF103" i="65"/>
  <c r="AH103" i="65"/>
  <c r="AM104" i="65"/>
  <c r="D104" i="65"/>
  <c r="E104" i="65" s="1"/>
  <c r="F104" i="65" s="1"/>
  <c r="G104" i="65" s="1"/>
  <c r="H104" i="65" s="1"/>
  <c r="I104" i="65" s="1"/>
  <c r="J104" i="65" s="1"/>
  <c r="K104" i="65" s="1"/>
  <c r="N105" i="65" l="1"/>
  <c r="U105" i="65" s="1"/>
  <c r="P105" i="65"/>
  <c r="Y103" i="65"/>
  <c r="AB103" i="65" s="1"/>
  <c r="AC103" i="65" s="1"/>
  <c r="AD103" i="65" s="1"/>
  <c r="C106" i="65"/>
  <c r="O106" i="65"/>
  <c r="L106" i="65"/>
  <c r="M106" i="65" s="1"/>
  <c r="AO105" i="63" a="1"/>
  <c r="AO105" i="63" s="1"/>
  <c r="B107" i="65" s="1"/>
  <c r="AH104" i="65"/>
  <c r="AF104" i="65"/>
  <c r="AE104" i="65"/>
  <c r="R104" i="65"/>
  <c r="S104" i="65" s="1"/>
  <c r="Y104" i="65" s="1"/>
  <c r="Q104" i="65"/>
  <c r="AV104" i="65"/>
  <c r="AM105" i="65"/>
  <c r="D105" i="65"/>
  <c r="E105" i="65" s="1"/>
  <c r="F105" i="65" s="1"/>
  <c r="G105" i="65" s="1"/>
  <c r="H105" i="65" s="1"/>
  <c r="I105" i="65" s="1"/>
  <c r="J105" i="65" s="1"/>
  <c r="K105" i="65" s="1"/>
  <c r="N106" i="65" l="1"/>
  <c r="U106" i="65" s="1"/>
  <c r="P106" i="65"/>
  <c r="AG103" i="65"/>
  <c r="AB104" i="65"/>
  <c r="AC104" i="65" s="1"/>
  <c r="AD104" i="65" s="1"/>
  <c r="R105" i="65"/>
  <c r="S105" i="65" s="1"/>
  <c r="AV105" i="65"/>
  <c r="Q105" i="65"/>
  <c r="AE105" i="65"/>
  <c r="AH105" i="65"/>
  <c r="AF105" i="65"/>
  <c r="O107" i="65"/>
  <c r="L107" i="65"/>
  <c r="M107" i="65" s="1"/>
  <c r="C107" i="65"/>
  <c r="AO106" i="63" a="1"/>
  <c r="AO106" i="63" s="1"/>
  <c r="B108" i="65" s="1"/>
  <c r="AG104" i="65"/>
  <c r="D106" i="65"/>
  <c r="E106" i="65" s="1"/>
  <c r="F106" i="65" s="1"/>
  <c r="G106" i="65" s="1"/>
  <c r="H106" i="65" s="1"/>
  <c r="I106" i="65" s="1"/>
  <c r="J106" i="65" s="1"/>
  <c r="K106" i="65" s="1"/>
  <c r="AM106" i="65"/>
  <c r="N107" i="65" l="1"/>
  <c r="U107" i="65" s="1"/>
  <c r="P107" i="65"/>
  <c r="Y105" i="65"/>
  <c r="AG105" i="65" s="1"/>
  <c r="AV106" i="65"/>
  <c r="AH106" i="65"/>
  <c r="Q106" i="65"/>
  <c r="R106" i="65"/>
  <c r="S106" i="65" s="1"/>
  <c r="AF106" i="65"/>
  <c r="AE106" i="65"/>
  <c r="D107" i="65"/>
  <c r="E107" i="65" s="1"/>
  <c r="F107" i="65" s="1"/>
  <c r="G107" i="65" s="1"/>
  <c r="H107" i="65" s="1"/>
  <c r="I107" i="65" s="1"/>
  <c r="J107" i="65" s="1"/>
  <c r="K107" i="65" s="1"/>
  <c r="AM107" i="65"/>
  <c r="L108" i="65"/>
  <c r="M108" i="65" s="1"/>
  <c r="C108" i="65"/>
  <c r="O108" i="65"/>
  <c r="AO107" i="63" a="1"/>
  <c r="AO107" i="63" s="1"/>
  <c r="B109" i="65" s="1"/>
  <c r="N108" i="65" l="1"/>
  <c r="U108" i="65" s="1"/>
  <c r="P108" i="65"/>
  <c r="AB105" i="65"/>
  <c r="AC105" i="65" s="1"/>
  <c r="AD105" i="65" s="1"/>
  <c r="Y106" i="65"/>
  <c r="AB106" i="65" s="1"/>
  <c r="AC106" i="65" s="1"/>
  <c r="AD106" i="65" s="1"/>
  <c r="AO108" i="63" a="1"/>
  <c r="AO108" i="63" s="1"/>
  <c r="B110" i="65" s="1"/>
  <c r="AE107" i="65"/>
  <c r="R107" i="65"/>
  <c r="S107" i="65" s="1"/>
  <c r="Q107" i="65"/>
  <c r="AF107" i="65"/>
  <c r="AH107" i="65"/>
  <c r="AV107" i="65"/>
  <c r="D108" i="65"/>
  <c r="E108" i="65" s="1"/>
  <c r="F108" i="65" s="1"/>
  <c r="G108" i="65" s="1"/>
  <c r="H108" i="65" s="1"/>
  <c r="I108" i="65" s="1"/>
  <c r="J108" i="65" s="1"/>
  <c r="K108" i="65" s="1"/>
  <c r="AM108" i="65"/>
  <c r="L109" i="65"/>
  <c r="M109" i="65" s="1"/>
  <c r="O109" i="65"/>
  <c r="C109" i="65"/>
  <c r="N109" i="65" l="1"/>
  <c r="U109" i="65" s="1"/>
  <c r="P109" i="65"/>
  <c r="AG106" i="65"/>
  <c r="Y107" i="65"/>
  <c r="AG107" i="65" s="1"/>
  <c r="D109" i="65"/>
  <c r="E109" i="65" s="1"/>
  <c r="F109" i="65" s="1"/>
  <c r="G109" i="65" s="1"/>
  <c r="H109" i="65" s="1"/>
  <c r="I109" i="65" s="1"/>
  <c r="J109" i="65" s="1"/>
  <c r="K109" i="65" s="1"/>
  <c r="AM109" i="65"/>
  <c r="AE108" i="65"/>
  <c r="Q108" i="65"/>
  <c r="R108" i="65"/>
  <c r="S108" i="65" s="1"/>
  <c r="AH108" i="65"/>
  <c r="AF108" i="65"/>
  <c r="AV108" i="65"/>
  <c r="AO109" i="63" a="1"/>
  <c r="AO109" i="63" s="1"/>
  <c r="B111" i="65" s="1"/>
  <c r="O110" i="65"/>
  <c r="C110" i="65"/>
  <c r="L110" i="65"/>
  <c r="M110" i="65" s="1"/>
  <c r="N110" i="65" l="1"/>
  <c r="U110" i="65" s="1"/>
  <c r="P110" i="65"/>
  <c r="AB107" i="65"/>
  <c r="AC107" i="65" s="1"/>
  <c r="AD107" i="65" s="1"/>
  <c r="Y108" i="65"/>
  <c r="AG108" i="65" s="1"/>
  <c r="AM110" i="65"/>
  <c r="D110" i="65"/>
  <c r="E110" i="65" s="1"/>
  <c r="F110" i="65" s="1"/>
  <c r="G110" i="65" s="1"/>
  <c r="H110" i="65" s="1"/>
  <c r="I110" i="65" s="1"/>
  <c r="J110" i="65" s="1"/>
  <c r="K110" i="65" s="1"/>
  <c r="AO110" i="63" a="1"/>
  <c r="AO110" i="63" s="1"/>
  <c r="B112" i="65" s="1"/>
  <c r="AE109" i="65"/>
  <c r="AV109" i="65"/>
  <c r="Q109" i="65"/>
  <c r="AF109" i="65"/>
  <c r="R109" i="65"/>
  <c r="S109" i="65" s="1"/>
  <c r="AH109" i="65"/>
  <c r="O111" i="65"/>
  <c r="L111" i="65"/>
  <c r="M111" i="65" s="1"/>
  <c r="C111" i="65"/>
  <c r="N111" i="65" l="1"/>
  <c r="U111" i="65" s="1"/>
  <c r="P111" i="65"/>
  <c r="AB108" i="65"/>
  <c r="AC108" i="65" s="1"/>
  <c r="AD108" i="65" s="1"/>
  <c r="Y109" i="65"/>
  <c r="AB109" i="65" s="1"/>
  <c r="AC109" i="65" s="1"/>
  <c r="AD109" i="65" s="1"/>
  <c r="C112" i="65"/>
  <c r="L112" i="65"/>
  <c r="M112" i="65" s="1"/>
  <c r="O112" i="65"/>
  <c r="AO111" i="63" a="1"/>
  <c r="AO111" i="63" s="1"/>
  <c r="B113" i="65" s="1"/>
  <c r="AM111" i="65"/>
  <c r="D111" i="65"/>
  <c r="E111" i="65" s="1"/>
  <c r="F111" i="65" s="1"/>
  <c r="G111" i="65" s="1"/>
  <c r="H111" i="65" s="1"/>
  <c r="I111" i="65" s="1"/>
  <c r="J111" i="65" s="1"/>
  <c r="K111" i="65" s="1"/>
  <c r="AE110" i="65"/>
  <c r="AF110" i="65"/>
  <c r="AV110" i="65"/>
  <c r="R110" i="65"/>
  <c r="S110" i="65" s="1"/>
  <c r="Y110" i="65" s="1"/>
  <c r="AH110" i="65"/>
  <c r="Q110" i="65"/>
  <c r="N112" i="65" l="1"/>
  <c r="U112" i="65" s="1"/>
  <c r="P112" i="65"/>
  <c r="AB110" i="65"/>
  <c r="AC110" i="65" s="1"/>
  <c r="AD110" i="65" s="1"/>
  <c r="AG109" i="65"/>
  <c r="AO112" i="63" a="1"/>
  <c r="AO112" i="63" s="1"/>
  <c r="B114" i="65" s="1"/>
  <c r="D112" i="65"/>
  <c r="E112" i="65" s="1"/>
  <c r="F112" i="65" s="1"/>
  <c r="G112" i="65" s="1"/>
  <c r="H112" i="65" s="1"/>
  <c r="I112" i="65" s="1"/>
  <c r="J112" i="65" s="1"/>
  <c r="K112" i="65" s="1"/>
  <c r="AM112" i="65"/>
  <c r="O113" i="65"/>
  <c r="L113" i="65"/>
  <c r="M113" i="65" s="1"/>
  <c r="C113" i="65"/>
  <c r="AF111" i="65"/>
  <c r="Q111" i="65"/>
  <c r="AV111" i="65"/>
  <c r="AE111" i="65"/>
  <c r="AH111" i="65"/>
  <c r="R111" i="65"/>
  <c r="S111" i="65" s="1"/>
  <c r="Y111" i="65" s="1"/>
  <c r="AG110" i="65"/>
  <c r="N113" i="65" l="1"/>
  <c r="U113" i="65" s="1"/>
  <c r="P113" i="65"/>
  <c r="AB111" i="65"/>
  <c r="AC111" i="65" s="1"/>
  <c r="AD111" i="65" s="1"/>
  <c r="AG111" i="65"/>
  <c r="AO113" i="63" a="1"/>
  <c r="AO113" i="63" s="1"/>
  <c r="B115" i="65" s="1"/>
  <c r="D113" i="65"/>
  <c r="E113" i="65" s="1"/>
  <c r="F113" i="65" s="1"/>
  <c r="G113" i="65" s="1"/>
  <c r="H113" i="65" s="1"/>
  <c r="I113" i="65" s="1"/>
  <c r="J113" i="65" s="1"/>
  <c r="K113" i="65" s="1"/>
  <c r="AM113" i="65"/>
  <c r="AE112" i="65"/>
  <c r="AF112" i="65"/>
  <c r="Q112" i="65"/>
  <c r="AH112" i="65"/>
  <c r="AV112" i="65"/>
  <c r="R112" i="65"/>
  <c r="S112" i="65" s="1"/>
  <c r="O114" i="65"/>
  <c r="C114" i="65"/>
  <c r="L114" i="65"/>
  <c r="M114" i="65" s="1"/>
  <c r="N114" i="65" l="1"/>
  <c r="U114" i="65" s="1"/>
  <c r="P114" i="65"/>
  <c r="Y112" i="65"/>
  <c r="AB112" i="65" s="1"/>
  <c r="AC112" i="65" s="1"/>
  <c r="AD112" i="65" s="1"/>
  <c r="AO114" i="63" a="1"/>
  <c r="AO114" i="63" s="1"/>
  <c r="B116" i="65" s="1"/>
  <c r="AM114" i="65"/>
  <c r="D114" i="65"/>
  <c r="E114" i="65" s="1"/>
  <c r="F114" i="65" s="1"/>
  <c r="G114" i="65" s="1"/>
  <c r="H114" i="65" s="1"/>
  <c r="I114" i="65" s="1"/>
  <c r="J114" i="65" s="1"/>
  <c r="K114" i="65" s="1"/>
  <c r="AV113" i="65"/>
  <c r="AH113" i="65"/>
  <c r="AF113" i="65"/>
  <c r="AE113" i="65"/>
  <c r="R113" i="65"/>
  <c r="S113" i="65" s="1"/>
  <c r="Q113" i="65"/>
  <c r="L115" i="65"/>
  <c r="M115" i="65" s="1"/>
  <c r="C115" i="65"/>
  <c r="O115" i="65"/>
  <c r="N115" i="65" l="1"/>
  <c r="U115" i="65" s="1"/>
  <c r="P115" i="65"/>
  <c r="AG112" i="65"/>
  <c r="Y113" i="65"/>
  <c r="AB113" i="65" s="1"/>
  <c r="AC113" i="65" s="1"/>
  <c r="AD113" i="65" s="1"/>
  <c r="AH114" i="65"/>
  <c r="AF114" i="65"/>
  <c r="Q114" i="65"/>
  <c r="AV114" i="65"/>
  <c r="R114" i="65"/>
  <c r="S114" i="65" s="1"/>
  <c r="AE114" i="65"/>
  <c r="D115" i="65"/>
  <c r="E115" i="65" s="1"/>
  <c r="F115" i="65" s="1"/>
  <c r="G115" i="65" s="1"/>
  <c r="H115" i="65" s="1"/>
  <c r="I115" i="65" s="1"/>
  <c r="J115" i="65" s="1"/>
  <c r="K115" i="65" s="1"/>
  <c r="AM115" i="65"/>
  <c r="L116" i="65"/>
  <c r="M116" i="65" s="1"/>
  <c r="C116" i="65"/>
  <c r="O116" i="65"/>
  <c r="AO115" i="63" a="1"/>
  <c r="AO115" i="63" s="1"/>
  <c r="B117" i="65" s="1"/>
  <c r="N116" i="65" l="1"/>
  <c r="U116" i="65" s="1"/>
  <c r="P116" i="65"/>
  <c r="AG113" i="65"/>
  <c r="Y114" i="65"/>
  <c r="AB114" i="65" s="1"/>
  <c r="AC114" i="65" s="1"/>
  <c r="AD114" i="65" s="1"/>
  <c r="L117" i="65"/>
  <c r="M117" i="65" s="1"/>
  <c r="O117" i="65"/>
  <c r="C117" i="65"/>
  <c r="AH115" i="65"/>
  <c r="AV115" i="65"/>
  <c r="R115" i="65"/>
  <c r="S115" i="65" s="1"/>
  <c r="Y115" i="65" s="1"/>
  <c r="AF115" i="65"/>
  <c r="AE115" i="65"/>
  <c r="Q115" i="65"/>
  <c r="D116" i="65"/>
  <c r="E116" i="65" s="1"/>
  <c r="F116" i="65" s="1"/>
  <c r="G116" i="65" s="1"/>
  <c r="H116" i="65" s="1"/>
  <c r="I116" i="65" s="1"/>
  <c r="J116" i="65" s="1"/>
  <c r="K116" i="65" s="1"/>
  <c r="AM116" i="65"/>
  <c r="AO116" i="63" a="1"/>
  <c r="AO116" i="63" s="1"/>
  <c r="B118" i="65" s="1"/>
  <c r="N117" i="65" l="1"/>
  <c r="U117" i="65" s="1"/>
  <c r="P117" i="65"/>
  <c r="AG114" i="65"/>
  <c r="AB115" i="65"/>
  <c r="AC115" i="65" s="1"/>
  <c r="AD115" i="65" s="1"/>
  <c r="AO117" i="63" a="1"/>
  <c r="AO117" i="63" s="1"/>
  <c r="B119" i="65" s="1"/>
  <c r="AG115" i="65"/>
  <c r="D117" i="65"/>
  <c r="E117" i="65" s="1"/>
  <c r="F117" i="65" s="1"/>
  <c r="G117" i="65" s="1"/>
  <c r="H117" i="65" s="1"/>
  <c r="I117" i="65" s="1"/>
  <c r="J117" i="65" s="1"/>
  <c r="K117" i="65" s="1"/>
  <c r="AM117" i="65"/>
  <c r="AH116" i="65"/>
  <c r="AE116" i="65"/>
  <c r="AF116" i="65"/>
  <c r="R116" i="65"/>
  <c r="S116" i="65" s="1"/>
  <c r="Q116" i="65"/>
  <c r="AV116" i="65"/>
  <c r="L118" i="65"/>
  <c r="M118" i="65" s="1"/>
  <c r="C118" i="65"/>
  <c r="O118" i="65"/>
  <c r="N118" i="65" l="1"/>
  <c r="U118" i="65" s="1"/>
  <c r="P118" i="65"/>
  <c r="Y116" i="65"/>
  <c r="AB116" i="65" s="1"/>
  <c r="AC116" i="65" s="1"/>
  <c r="AD116" i="65" s="1"/>
  <c r="AV117" i="65"/>
  <c r="AH117" i="65"/>
  <c r="AF117" i="65"/>
  <c r="R117" i="65"/>
  <c r="S117" i="65" s="1"/>
  <c r="AE117" i="65"/>
  <c r="Q117" i="65"/>
  <c r="AM118" i="65"/>
  <c r="D118" i="65"/>
  <c r="E118" i="65" s="1"/>
  <c r="F118" i="65" s="1"/>
  <c r="G118" i="65" s="1"/>
  <c r="H118" i="65" s="1"/>
  <c r="I118" i="65" s="1"/>
  <c r="J118" i="65" s="1"/>
  <c r="K118" i="65" s="1"/>
  <c r="AO118" i="63" a="1"/>
  <c r="AO118" i="63" s="1"/>
  <c r="B120" i="65" s="1"/>
  <c r="O119" i="65"/>
  <c r="L119" i="65"/>
  <c r="M119" i="65" s="1"/>
  <c r="C119" i="65"/>
  <c r="N119" i="65" l="1"/>
  <c r="U119" i="65" s="1"/>
  <c r="P119" i="65"/>
  <c r="AG116" i="65"/>
  <c r="Y117" i="65"/>
  <c r="AB117" i="65" s="1"/>
  <c r="AC117" i="65" s="1"/>
  <c r="AD117" i="65" s="1"/>
  <c r="AV118" i="65"/>
  <c r="R118" i="65"/>
  <c r="S118" i="65" s="1"/>
  <c r="AE118" i="65"/>
  <c r="AF118" i="65"/>
  <c r="AH118" i="65"/>
  <c r="Q118" i="65"/>
  <c r="AO119" i="63" a="1"/>
  <c r="AO119" i="63" s="1"/>
  <c r="B121" i="65" s="1"/>
  <c r="C120" i="65"/>
  <c r="O120" i="65"/>
  <c r="L120" i="65"/>
  <c r="M120" i="65" s="1"/>
  <c r="D119" i="65"/>
  <c r="E119" i="65" s="1"/>
  <c r="F119" i="65" s="1"/>
  <c r="G119" i="65" s="1"/>
  <c r="H119" i="65" s="1"/>
  <c r="I119" i="65" s="1"/>
  <c r="J119" i="65" s="1"/>
  <c r="K119" i="65" s="1"/>
  <c r="AM119" i="65"/>
  <c r="N120" i="65" l="1"/>
  <c r="U120" i="65" s="1"/>
  <c r="P120" i="65"/>
  <c r="AG117" i="65"/>
  <c r="Y118" i="65"/>
  <c r="AB118" i="65" s="1"/>
  <c r="AC118" i="65" s="1"/>
  <c r="AD118" i="65" s="1"/>
  <c r="L121" i="65"/>
  <c r="M121" i="65" s="1"/>
  <c r="C121" i="65"/>
  <c r="O121" i="65"/>
  <c r="R119" i="65"/>
  <c r="S119" i="65" s="1"/>
  <c r="Y119" i="65" s="1"/>
  <c r="AF119" i="65"/>
  <c r="AH119" i="65"/>
  <c r="AV119" i="65"/>
  <c r="AE119" i="65"/>
  <c r="Q119" i="65"/>
  <c r="AO120" i="63" a="1"/>
  <c r="AO120" i="63" s="1"/>
  <c r="B122" i="65" s="1"/>
  <c r="D120" i="65"/>
  <c r="E120" i="65" s="1"/>
  <c r="F120" i="65" s="1"/>
  <c r="G120" i="65" s="1"/>
  <c r="H120" i="65" s="1"/>
  <c r="I120" i="65" s="1"/>
  <c r="J120" i="65" s="1"/>
  <c r="K120" i="65" s="1"/>
  <c r="AM120" i="65"/>
  <c r="N121" i="65" l="1"/>
  <c r="U121" i="65" s="1"/>
  <c r="P121" i="65"/>
  <c r="AG118" i="65"/>
  <c r="AB119" i="65"/>
  <c r="AC119" i="65" s="1"/>
  <c r="AD119" i="65" s="1"/>
  <c r="C122" i="65"/>
  <c r="L122" i="65"/>
  <c r="M122" i="65" s="1"/>
  <c r="O122" i="65"/>
  <c r="AG119" i="65"/>
  <c r="D121" i="65"/>
  <c r="E121" i="65" s="1"/>
  <c r="F121" i="65" s="1"/>
  <c r="G121" i="65" s="1"/>
  <c r="H121" i="65" s="1"/>
  <c r="I121" i="65" s="1"/>
  <c r="J121" i="65" s="1"/>
  <c r="K121" i="65" s="1"/>
  <c r="AM121" i="65"/>
  <c r="AO121" i="63" a="1"/>
  <c r="AO121" i="63" s="1"/>
  <c r="B123" i="65" s="1"/>
  <c r="Q120" i="65"/>
  <c r="AE120" i="65"/>
  <c r="R120" i="65"/>
  <c r="S120" i="65" s="1"/>
  <c r="AH120" i="65"/>
  <c r="AV120" i="65"/>
  <c r="AF120" i="65"/>
  <c r="N122" i="65" l="1"/>
  <c r="U122" i="65" s="1"/>
  <c r="P122" i="65"/>
  <c r="Y120" i="65"/>
  <c r="AB120" i="65" s="1"/>
  <c r="AC120" i="65" s="1"/>
  <c r="AD120" i="65" s="1"/>
  <c r="L123" i="65"/>
  <c r="M123" i="65" s="1"/>
  <c r="C123" i="65"/>
  <c r="O123" i="65"/>
  <c r="AH121" i="65"/>
  <c r="Q121" i="65"/>
  <c r="AE121" i="65"/>
  <c r="AV121" i="65"/>
  <c r="AF121" i="65"/>
  <c r="R121" i="65"/>
  <c r="S121" i="65" s="1"/>
  <c r="Y121" i="65" s="1"/>
  <c r="AM122" i="65"/>
  <c r="D122" i="65"/>
  <c r="E122" i="65" s="1"/>
  <c r="F122" i="65" s="1"/>
  <c r="G122" i="65" s="1"/>
  <c r="H122" i="65" s="1"/>
  <c r="I122" i="65" s="1"/>
  <c r="J122" i="65" s="1"/>
  <c r="K122" i="65" s="1"/>
  <c r="AO122" i="63" a="1"/>
  <c r="AO122" i="63" s="1"/>
  <c r="B124" i="65" s="1"/>
  <c r="N123" i="65" l="1"/>
  <c r="U123" i="65" s="1"/>
  <c r="P123" i="65"/>
  <c r="AG120" i="65"/>
  <c r="AB121" i="65"/>
  <c r="AC121" i="65" s="1"/>
  <c r="AD121" i="65" s="1"/>
  <c r="L124" i="65"/>
  <c r="M124" i="65" s="1"/>
  <c r="O124" i="65"/>
  <c r="C124" i="65"/>
  <c r="AG121" i="65"/>
  <c r="AM123" i="65"/>
  <c r="D123" i="65"/>
  <c r="E123" i="65" s="1"/>
  <c r="F123" i="65" s="1"/>
  <c r="G123" i="65" s="1"/>
  <c r="H123" i="65" s="1"/>
  <c r="I123" i="65" s="1"/>
  <c r="J123" i="65" s="1"/>
  <c r="K123" i="65" s="1"/>
  <c r="AE122" i="65"/>
  <c r="AF122" i="65"/>
  <c r="AH122" i="65"/>
  <c r="AV122" i="65"/>
  <c r="Q122" i="65"/>
  <c r="R122" i="65"/>
  <c r="S122" i="65" s="1"/>
  <c r="Y122" i="65" s="1"/>
  <c r="AO123" i="63" a="1"/>
  <c r="AO123" i="63" s="1"/>
  <c r="B125" i="65" s="1"/>
  <c r="N124" i="65" l="1"/>
  <c r="U124" i="65" s="1"/>
  <c r="P124" i="65"/>
  <c r="AB122" i="65"/>
  <c r="AC122" i="65" s="1"/>
  <c r="AD122" i="65" s="1"/>
  <c r="AG122" i="65"/>
  <c r="L125" i="65"/>
  <c r="M125" i="65" s="1"/>
  <c r="O125" i="65"/>
  <c r="C125" i="65"/>
  <c r="Q123" i="65"/>
  <c r="AE123" i="65"/>
  <c r="AH123" i="65"/>
  <c r="AF123" i="65"/>
  <c r="R123" i="65"/>
  <c r="S123" i="65" s="1"/>
  <c r="AV123" i="65"/>
  <c r="AM124" i="65"/>
  <c r="D124" i="65"/>
  <c r="E124" i="65" s="1"/>
  <c r="F124" i="65" s="1"/>
  <c r="G124" i="65" s="1"/>
  <c r="H124" i="65" s="1"/>
  <c r="I124" i="65" s="1"/>
  <c r="J124" i="65" s="1"/>
  <c r="K124" i="65" s="1"/>
  <c r="AO124" i="63" a="1"/>
  <c r="AO124" i="63" s="1"/>
  <c r="B126" i="65" s="1"/>
  <c r="N125" i="65" l="1"/>
  <c r="U125" i="65" s="1"/>
  <c r="P125" i="65"/>
  <c r="Y123" i="65"/>
  <c r="AB123" i="65" s="1"/>
  <c r="AC123" i="65" s="1"/>
  <c r="AD123" i="65" s="1"/>
  <c r="AE124" i="65"/>
  <c r="AH124" i="65"/>
  <c r="AV124" i="65"/>
  <c r="Q124" i="65"/>
  <c r="R124" i="65"/>
  <c r="S124" i="65" s="1"/>
  <c r="Y124" i="65" s="1"/>
  <c r="AF124" i="65"/>
  <c r="C126" i="65"/>
  <c r="O126" i="65"/>
  <c r="L126" i="65"/>
  <c r="M126" i="65" s="1"/>
  <c r="AO125" i="63" a="1"/>
  <c r="AO125" i="63" s="1"/>
  <c r="B127" i="65" s="1"/>
  <c r="D125" i="65"/>
  <c r="E125" i="65" s="1"/>
  <c r="F125" i="65" s="1"/>
  <c r="G125" i="65" s="1"/>
  <c r="H125" i="65" s="1"/>
  <c r="I125" i="65" s="1"/>
  <c r="J125" i="65" s="1"/>
  <c r="K125" i="65" s="1"/>
  <c r="AM125" i="65"/>
  <c r="N126" i="65" l="1"/>
  <c r="U126" i="65" s="1"/>
  <c r="P126" i="65"/>
  <c r="AB124" i="65"/>
  <c r="AC124" i="65" s="1"/>
  <c r="AD124" i="65" s="1"/>
  <c r="AG123" i="65"/>
  <c r="AO126" i="63" a="1"/>
  <c r="AO126" i="63" s="1"/>
  <c r="B128" i="65" s="1"/>
  <c r="AG124" i="65"/>
  <c r="C127" i="65"/>
  <c r="O127" i="65"/>
  <c r="L127" i="65"/>
  <c r="M127" i="65" s="1"/>
  <c r="AM126" i="65"/>
  <c r="D126" i="65"/>
  <c r="E126" i="65" s="1"/>
  <c r="F126" i="65" s="1"/>
  <c r="G126" i="65" s="1"/>
  <c r="H126" i="65" s="1"/>
  <c r="I126" i="65" s="1"/>
  <c r="J126" i="65" s="1"/>
  <c r="K126" i="65" s="1"/>
  <c r="AF125" i="65"/>
  <c r="AE125" i="65"/>
  <c r="AH125" i="65"/>
  <c r="AV125" i="65"/>
  <c r="R125" i="65"/>
  <c r="S125" i="65" s="1"/>
  <c r="Q125" i="65"/>
  <c r="N127" i="65" l="1"/>
  <c r="U127" i="65" s="1"/>
  <c r="P127" i="65"/>
  <c r="Y125" i="65"/>
  <c r="AB125" i="65" s="1"/>
  <c r="AC125" i="65" s="1"/>
  <c r="AD125" i="65" s="1"/>
  <c r="AO127" i="63" a="1"/>
  <c r="AO127" i="63" s="1"/>
  <c r="B129" i="65" s="1"/>
  <c r="D127" i="65"/>
  <c r="E127" i="65" s="1"/>
  <c r="F127" i="65" s="1"/>
  <c r="G127" i="65" s="1"/>
  <c r="H127" i="65" s="1"/>
  <c r="I127" i="65" s="1"/>
  <c r="J127" i="65" s="1"/>
  <c r="K127" i="65" s="1"/>
  <c r="AM127" i="65"/>
  <c r="AV126" i="65"/>
  <c r="AF126" i="65"/>
  <c r="R126" i="65"/>
  <c r="S126" i="65" s="1"/>
  <c r="Y126" i="65" s="1"/>
  <c r="Q126" i="65"/>
  <c r="AH126" i="65"/>
  <c r="AE126" i="65"/>
  <c r="L128" i="65"/>
  <c r="M128" i="65" s="1"/>
  <c r="O128" i="65"/>
  <c r="C128" i="65"/>
  <c r="N128" i="65" l="1"/>
  <c r="U128" i="65" s="1"/>
  <c r="P128" i="65"/>
  <c r="AG125" i="65"/>
  <c r="AB126" i="65"/>
  <c r="AC126" i="65" s="1"/>
  <c r="AD126" i="65" s="1"/>
  <c r="AG126" i="65"/>
  <c r="AO128" i="63" a="1"/>
  <c r="AO128" i="63" s="1"/>
  <c r="B130" i="65" s="1"/>
  <c r="AM128" i="65"/>
  <c r="D128" i="65"/>
  <c r="E128" i="65" s="1"/>
  <c r="F128" i="65" s="1"/>
  <c r="G128" i="65" s="1"/>
  <c r="H128" i="65" s="1"/>
  <c r="I128" i="65" s="1"/>
  <c r="J128" i="65" s="1"/>
  <c r="K128" i="65" s="1"/>
  <c r="Q127" i="65"/>
  <c r="AH127" i="65"/>
  <c r="AF127" i="65"/>
  <c r="AV127" i="65"/>
  <c r="AE127" i="65"/>
  <c r="R127" i="65"/>
  <c r="S127" i="65" s="1"/>
  <c r="O129" i="65"/>
  <c r="L129" i="65"/>
  <c r="M129" i="65" s="1"/>
  <c r="C129" i="65"/>
  <c r="N129" i="65" l="1"/>
  <c r="U129" i="65" s="1"/>
  <c r="P129" i="65"/>
  <c r="Y127" i="65"/>
  <c r="AB127" i="65" s="1"/>
  <c r="AC127" i="65" s="1"/>
  <c r="AD127" i="65" s="1"/>
  <c r="D129" i="65"/>
  <c r="E129" i="65" s="1"/>
  <c r="F129" i="65" s="1"/>
  <c r="G129" i="65" s="1"/>
  <c r="H129" i="65" s="1"/>
  <c r="I129" i="65" s="1"/>
  <c r="J129" i="65" s="1"/>
  <c r="K129" i="65" s="1"/>
  <c r="AM129" i="65"/>
  <c r="AO129" i="63" a="1"/>
  <c r="AO129" i="63" s="1"/>
  <c r="B131" i="65" s="1"/>
  <c r="AV128" i="65"/>
  <c r="AF128" i="65"/>
  <c r="AH128" i="65"/>
  <c r="R128" i="65"/>
  <c r="S128" i="65" s="1"/>
  <c r="Q128" i="65"/>
  <c r="AE128" i="65"/>
  <c r="O130" i="65"/>
  <c r="C130" i="65"/>
  <c r="L130" i="65"/>
  <c r="M130" i="65" s="1"/>
  <c r="N130" i="65" l="1"/>
  <c r="U130" i="65" s="1"/>
  <c r="P130" i="65"/>
  <c r="AG127" i="65"/>
  <c r="Y128" i="65"/>
  <c r="AB128" i="65" s="1"/>
  <c r="AC128" i="65" s="1"/>
  <c r="AD128" i="65" s="1"/>
  <c r="AO130" i="63" a="1"/>
  <c r="AO130" i="63" s="1"/>
  <c r="B132" i="65" s="1"/>
  <c r="L131" i="65"/>
  <c r="M131" i="65" s="1"/>
  <c r="O131" i="65"/>
  <c r="C131" i="65"/>
  <c r="AV129" i="65"/>
  <c r="R129" i="65"/>
  <c r="S129" i="65" s="1"/>
  <c r="Y129" i="65" s="1"/>
  <c r="Q129" i="65"/>
  <c r="AH129" i="65"/>
  <c r="AF129" i="65"/>
  <c r="AE129" i="65"/>
  <c r="AM130" i="65"/>
  <c r="D130" i="65"/>
  <c r="E130" i="65" s="1"/>
  <c r="F130" i="65" s="1"/>
  <c r="G130" i="65" s="1"/>
  <c r="H130" i="65" s="1"/>
  <c r="I130" i="65" s="1"/>
  <c r="J130" i="65" s="1"/>
  <c r="K130" i="65" s="1"/>
  <c r="N131" i="65" l="1"/>
  <c r="P131" i="65"/>
  <c r="AG128" i="65"/>
  <c r="AB129" i="65"/>
  <c r="AC129" i="65" s="1"/>
  <c r="AD129" i="65" s="1"/>
  <c r="AG129" i="65"/>
  <c r="C132" i="65"/>
  <c r="L132" i="65"/>
  <c r="M132" i="65" s="1"/>
  <c r="O132" i="65"/>
  <c r="U131" i="65"/>
  <c r="AM131" i="65"/>
  <c r="D131" i="65"/>
  <c r="E131" i="65" s="1"/>
  <c r="F131" i="65" s="1"/>
  <c r="G131" i="65" s="1"/>
  <c r="H131" i="65" s="1"/>
  <c r="I131" i="65" s="1"/>
  <c r="J131" i="65" s="1"/>
  <c r="K131" i="65" s="1"/>
  <c r="AO131" i="63" a="1"/>
  <c r="AO131" i="63" s="1"/>
  <c r="B133" i="65" s="1"/>
  <c r="Q130" i="65"/>
  <c r="R130" i="65"/>
  <c r="S130" i="65" s="1"/>
  <c r="AV130" i="65"/>
  <c r="AF130" i="65"/>
  <c r="AH130" i="65"/>
  <c r="AE130" i="65"/>
  <c r="N132" i="65" l="1"/>
  <c r="U132" i="65" s="1"/>
  <c r="P132" i="65"/>
  <c r="Y130" i="65"/>
  <c r="AG130" i="65" s="1"/>
  <c r="AF131" i="65"/>
  <c r="R131" i="65"/>
  <c r="S131" i="65" s="1"/>
  <c r="AH131" i="65"/>
  <c r="Q131" i="65"/>
  <c r="AE131" i="65"/>
  <c r="AV131" i="65"/>
  <c r="AO132" i="63" a="1"/>
  <c r="AO132" i="63" s="1"/>
  <c r="B134" i="65" s="1"/>
  <c r="O133" i="65"/>
  <c r="C133" i="65"/>
  <c r="L133" i="65"/>
  <c r="M133" i="65" s="1"/>
  <c r="AM132" i="65"/>
  <c r="D132" i="65"/>
  <c r="E132" i="65" s="1"/>
  <c r="F132" i="65" s="1"/>
  <c r="G132" i="65" s="1"/>
  <c r="H132" i="65" s="1"/>
  <c r="I132" i="65" s="1"/>
  <c r="J132" i="65" s="1"/>
  <c r="K132" i="65" s="1"/>
  <c r="N133" i="65" l="1"/>
  <c r="U133" i="65" s="1"/>
  <c r="P133" i="65"/>
  <c r="AB130" i="65"/>
  <c r="AC130" i="65" s="1"/>
  <c r="AD130" i="65" s="1"/>
  <c r="Y131" i="65"/>
  <c r="AB131" i="65" s="1"/>
  <c r="AC131" i="65" s="1"/>
  <c r="AD131" i="65" s="1"/>
  <c r="AM133" i="65"/>
  <c r="D133" i="65"/>
  <c r="E133" i="65" s="1"/>
  <c r="F133" i="65" s="1"/>
  <c r="G133" i="65" s="1"/>
  <c r="H133" i="65" s="1"/>
  <c r="I133" i="65" s="1"/>
  <c r="J133" i="65" s="1"/>
  <c r="K133" i="65" s="1"/>
  <c r="C134" i="65"/>
  <c r="L134" i="65"/>
  <c r="M134" i="65" s="1"/>
  <c r="O134" i="65"/>
  <c r="Q132" i="65"/>
  <c r="AE132" i="65"/>
  <c r="AV132" i="65"/>
  <c r="AF132" i="65"/>
  <c r="AH132" i="65"/>
  <c r="R132" i="65"/>
  <c r="S132" i="65" s="1"/>
  <c r="Y132" i="65" s="1"/>
  <c r="AO133" i="63" a="1"/>
  <c r="AO133" i="63" s="1"/>
  <c r="B135" i="65" s="1"/>
  <c r="N134" i="65" l="1"/>
  <c r="U134" i="65" s="1"/>
  <c r="P134" i="65"/>
  <c r="AB132" i="65"/>
  <c r="AC132" i="65" s="1"/>
  <c r="AD132" i="65" s="1"/>
  <c r="AG131" i="65"/>
  <c r="AG132" i="65"/>
  <c r="L135" i="65"/>
  <c r="M135" i="65" s="1"/>
  <c r="O135" i="65"/>
  <c r="C135" i="65"/>
  <c r="Q133" i="65"/>
  <c r="AH133" i="65"/>
  <c r="R133" i="65"/>
  <c r="S133" i="65" s="1"/>
  <c r="AF133" i="65"/>
  <c r="AV133" i="65"/>
  <c r="AE133" i="65"/>
  <c r="D134" i="65"/>
  <c r="E134" i="65" s="1"/>
  <c r="F134" i="65" s="1"/>
  <c r="G134" i="65" s="1"/>
  <c r="H134" i="65" s="1"/>
  <c r="I134" i="65" s="1"/>
  <c r="J134" i="65" s="1"/>
  <c r="K134" i="65" s="1"/>
  <c r="AM134" i="65"/>
  <c r="AO134" i="63" a="1"/>
  <c r="AO134" i="63" s="1"/>
  <c r="B136" i="65" s="1"/>
  <c r="N135" i="65" l="1"/>
  <c r="U135" i="65" s="1"/>
  <c r="P135" i="65"/>
  <c r="Y133" i="65"/>
  <c r="AB133" i="65" s="1"/>
  <c r="AC133" i="65" s="1"/>
  <c r="AD133" i="65" s="1"/>
  <c r="L136" i="65"/>
  <c r="M136" i="65" s="1"/>
  <c r="O136" i="65"/>
  <c r="C136" i="65"/>
  <c r="AM135" i="65"/>
  <c r="D135" i="65"/>
  <c r="E135" i="65" s="1"/>
  <c r="F135" i="65" s="1"/>
  <c r="G135" i="65" s="1"/>
  <c r="H135" i="65" s="1"/>
  <c r="I135" i="65" s="1"/>
  <c r="J135" i="65" s="1"/>
  <c r="K135" i="65" s="1"/>
  <c r="R134" i="65"/>
  <c r="S134" i="65" s="1"/>
  <c r="Y134" i="65" s="1"/>
  <c r="AV134" i="65"/>
  <c r="AF134" i="65"/>
  <c r="Q134" i="65"/>
  <c r="AE134" i="65"/>
  <c r="AH134" i="65"/>
  <c r="AO135" i="63" a="1"/>
  <c r="AO135" i="63" s="1"/>
  <c r="B137" i="65" s="1"/>
  <c r="AG133" i="65" l="1"/>
  <c r="N136" i="65"/>
  <c r="U136" i="65" s="1"/>
  <c r="P136" i="65"/>
  <c r="AB134" i="65"/>
  <c r="AC134" i="65" s="1"/>
  <c r="AD134" i="65" s="1"/>
  <c r="AG134" i="65"/>
  <c r="O137" i="65"/>
  <c r="C137" i="65"/>
  <c r="L137" i="65"/>
  <c r="M137" i="65" s="1"/>
  <c r="AM136" i="65"/>
  <c r="D136" i="65"/>
  <c r="E136" i="65" s="1"/>
  <c r="F136" i="65" s="1"/>
  <c r="G136" i="65" s="1"/>
  <c r="H136" i="65" s="1"/>
  <c r="I136" i="65" s="1"/>
  <c r="J136" i="65" s="1"/>
  <c r="K136" i="65" s="1"/>
  <c r="AV135" i="65"/>
  <c r="AH135" i="65"/>
  <c r="R135" i="65"/>
  <c r="S135" i="65" s="1"/>
  <c r="Q135" i="65"/>
  <c r="AF135" i="65"/>
  <c r="AE135" i="65"/>
  <c r="AO136" i="63" a="1"/>
  <c r="AO136" i="63" s="1"/>
  <c r="B138" i="65" s="1"/>
  <c r="N137" i="65" l="1"/>
  <c r="U137" i="65" s="1"/>
  <c r="P137" i="65"/>
  <c r="Y135" i="65"/>
  <c r="AB135" i="65" s="1"/>
  <c r="AC135" i="65" s="1"/>
  <c r="AD135" i="65" s="1"/>
  <c r="C138" i="65"/>
  <c r="O138" i="65"/>
  <c r="L138" i="65"/>
  <c r="M138" i="65" s="1"/>
  <c r="AH136" i="65"/>
  <c r="AV136" i="65"/>
  <c r="R136" i="65"/>
  <c r="S136" i="65" s="1"/>
  <c r="Q136" i="65"/>
  <c r="AF136" i="65"/>
  <c r="AE136" i="65"/>
  <c r="D137" i="65"/>
  <c r="E137" i="65" s="1"/>
  <c r="F137" i="65" s="1"/>
  <c r="G137" i="65" s="1"/>
  <c r="H137" i="65" s="1"/>
  <c r="I137" i="65" s="1"/>
  <c r="J137" i="65" s="1"/>
  <c r="K137" i="65" s="1"/>
  <c r="AM137" i="65"/>
  <c r="AO137" i="63" a="1"/>
  <c r="AO137" i="63" s="1"/>
  <c r="B139" i="65" s="1"/>
  <c r="N138" i="65" l="1"/>
  <c r="U138" i="65" s="1"/>
  <c r="P138" i="65"/>
  <c r="AG135" i="65"/>
  <c r="Y136" i="65"/>
  <c r="AG136" i="65" s="1"/>
  <c r="AE137" i="65"/>
  <c r="AH137" i="65"/>
  <c r="Q137" i="65"/>
  <c r="AV137" i="65"/>
  <c r="R137" i="65"/>
  <c r="S137" i="65" s="1"/>
  <c r="AF137" i="65"/>
  <c r="O139" i="65"/>
  <c r="C139" i="65"/>
  <c r="L139" i="65"/>
  <c r="M139" i="65" s="1"/>
  <c r="AM138" i="65"/>
  <c r="D138" i="65"/>
  <c r="E138" i="65" s="1"/>
  <c r="F138" i="65" s="1"/>
  <c r="G138" i="65" s="1"/>
  <c r="H138" i="65" s="1"/>
  <c r="I138" i="65" s="1"/>
  <c r="J138" i="65" s="1"/>
  <c r="K138" i="65" s="1"/>
  <c r="AO138" i="63" a="1"/>
  <c r="AO138" i="63" s="1"/>
  <c r="B140" i="65" s="1"/>
  <c r="N139" i="65" l="1"/>
  <c r="U139" i="65" s="1"/>
  <c r="P139" i="65"/>
  <c r="AB136" i="65"/>
  <c r="AC136" i="65" s="1"/>
  <c r="AD136" i="65" s="1"/>
  <c r="Y137" i="65"/>
  <c r="AG137" i="65" s="1"/>
  <c r="O140" i="65"/>
  <c r="C140" i="65"/>
  <c r="L140" i="65"/>
  <c r="M140" i="65" s="1"/>
  <c r="AV138" i="65"/>
  <c r="Q138" i="65"/>
  <c r="R138" i="65"/>
  <c r="S138" i="65" s="1"/>
  <c r="AE138" i="65"/>
  <c r="AH138" i="65"/>
  <c r="AF138" i="65"/>
  <c r="D139" i="65"/>
  <c r="E139" i="65" s="1"/>
  <c r="F139" i="65" s="1"/>
  <c r="G139" i="65" s="1"/>
  <c r="H139" i="65" s="1"/>
  <c r="I139" i="65" s="1"/>
  <c r="J139" i="65" s="1"/>
  <c r="K139" i="65" s="1"/>
  <c r="AM139" i="65"/>
  <c r="AO139" i="63" a="1"/>
  <c r="AO139" i="63" s="1"/>
  <c r="B141" i="65" s="1"/>
  <c r="N140" i="65" l="1"/>
  <c r="U140" i="65" s="1"/>
  <c r="P140" i="65"/>
  <c r="AB137" i="65"/>
  <c r="AC137" i="65" s="1"/>
  <c r="AD137" i="65" s="1"/>
  <c r="Y138" i="65"/>
  <c r="AG138" i="65" s="1"/>
  <c r="L141" i="65"/>
  <c r="M141" i="65" s="1"/>
  <c r="C141" i="65"/>
  <c r="O141" i="65"/>
  <c r="AV139" i="65"/>
  <c r="AH139" i="65"/>
  <c r="AF139" i="65"/>
  <c r="Q139" i="65"/>
  <c r="R139" i="65"/>
  <c r="S139" i="65" s="1"/>
  <c r="Y139" i="65" s="1"/>
  <c r="AE139" i="65"/>
  <c r="AO140" i="63" a="1"/>
  <c r="AO140" i="63" s="1"/>
  <c r="B142" i="65" s="1"/>
  <c r="AM140" i="65"/>
  <c r="D140" i="65"/>
  <c r="E140" i="65" s="1"/>
  <c r="F140" i="65" s="1"/>
  <c r="G140" i="65" s="1"/>
  <c r="H140" i="65" s="1"/>
  <c r="I140" i="65" s="1"/>
  <c r="J140" i="65" s="1"/>
  <c r="K140" i="65" s="1"/>
  <c r="N141" i="65" l="1"/>
  <c r="U141" i="65" s="1"/>
  <c r="P141" i="65"/>
  <c r="AB138" i="65"/>
  <c r="AC138" i="65" s="1"/>
  <c r="AD138" i="65" s="1"/>
  <c r="AB139" i="65"/>
  <c r="AC139" i="65" s="1"/>
  <c r="AD139" i="65" s="1"/>
  <c r="AO141" i="63" a="1"/>
  <c r="AO141" i="63" s="1"/>
  <c r="B143" i="65" s="1"/>
  <c r="AF140" i="65"/>
  <c r="Q140" i="65"/>
  <c r="AH140" i="65"/>
  <c r="AE140" i="65"/>
  <c r="AV140" i="65"/>
  <c r="R140" i="65"/>
  <c r="S140" i="65" s="1"/>
  <c r="AG139" i="65"/>
  <c r="D141" i="65"/>
  <c r="E141" i="65" s="1"/>
  <c r="F141" i="65" s="1"/>
  <c r="G141" i="65" s="1"/>
  <c r="H141" i="65" s="1"/>
  <c r="I141" i="65" s="1"/>
  <c r="J141" i="65" s="1"/>
  <c r="K141" i="65" s="1"/>
  <c r="AM141" i="65"/>
  <c r="L142" i="65"/>
  <c r="M142" i="65" s="1"/>
  <c r="C142" i="65"/>
  <c r="O142" i="65"/>
  <c r="N142" i="65" l="1"/>
  <c r="U142" i="65" s="1"/>
  <c r="P142" i="65"/>
  <c r="Y140" i="65"/>
  <c r="AB140" i="65" s="1"/>
  <c r="AC140" i="65" s="1"/>
  <c r="AD140" i="65" s="1"/>
  <c r="D142" i="65"/>
  <c r="E142" i="65" s="1"/>
  <c r="F142" i="65" s="1"/>
  <c r="G142" i="65" s="1"/>
  <c r="H142" i="65" s="1"/>
  <c r="I142" i="65" s="1"/>
  <c r="J142" i="65" s="1"/>
  <c r="K142" i="65" s="1"/>
  <c r="AM142" i="65"/>
  <c r="L143" i="65"/>
  <c r="M143" i="65" s="1"/>
  <c r="O143" i="65"/>
  <c r="C143" i="65"/>
  <c r="AF141" i="65"/>
  <c r="AE141" i="65"/>
  <c r="AH141" i="65"/>
  <c r="Q141" i="65"/>
  <c r="AV141" i="65"/>
  <c r="R141" i="65"/>
  <c r="S141" i="65" s="1"/>
  <c r="Y141" i="65" s="1"/>
  <c r="AO142" i="63" a="1"/>
  <c r="AO142" i="63" s="1"/>
  <c r="B144" i="65" s="1"/>
  <c r="N143" i="65" l="1"/>
  <c r="U143" i="65" s="1"/>
  <c r="P143" i="65"/>
  <c r="AG140" i="65"/>
  <c r="AB141" i="65"/>
  <c r="AC141" i="65" s="1"/>
  <c r="AD141" i="65" s="1"/>
  <c r="AM143" i="65"/>
  <c r="D143" i="65"/>
  <c r="E143" i="65" s="1"/>
  <c r="F143" i="65" s="1"/>
  <c r="G143" i="65" s="1"/>
  <c r="H143" i="65" s="1"/>
  <c r="I143" i="65" s="1"/>
  <c r="J143" i="65" s="1"/>
  <c r="K143" i="65" s="1"/>
  <c r="AE142" i="65"/>
  <c r="AF142" i="65"/>
  <c r="AH142" i="65"/>
  <c r="AV142" i="65"/>
  <c r="R142" i="65"/>
  <c r="S142" i="65" s="1"/>
  <c r="Q142" i="65"/>
  <c r="C144" i="65"/>
  <c r="O144" i="65"/>
  <c r="L144" i="65"/>
  <c r="M144" i="65" s="1"/>
  <c r="AG141" i="65"/>
  <c r="AO143" i="63" a="1"/>
  <c r="AO143" i="63" s="1"/>
  <c r="B145" i="65" s="1"/>
  <c r="N144" i="65" l="1"/>
  <c r="U144" i="65" s="1"/>
  <c r="P144" i="65"/>
  <c r="Y142" i="65"/>
  <c r="AB142" i="65" s="1"/>
  <c r="AC142" i="65" s="1"/>
  <c r="AD142" i="65" s="1"/>
  <c r="L145" i="65"/>
  <c r="M145" i="65" s="1"/>
  <c r="C145" i="65"/>
  <c r="O145" i="65"/>
  <c r="D144" i="65"/>
  <c r="E144" i="65" s="1"/>
  <c r="F144" i="65" s="1"/>
  <c r="G144" i="65" s="1"/>
  <c r="H144" i="65" s="1"/>
  <c r="I144" i="65" s="1"/>
  <c r="J144" i="65" s="1"/>
  <c r="K144" i="65" s="1"/>
  <c r="AM144" i="65"/>
  <c r="AH143" i="65"/>
  <c r="R143" i="65"/>
  <c r="S143" i="65" s="1"/>
  <c r="AV143" i="65"/>
  <c r="AE143" i="65"/>
  <c r="Q143" i="65"/>
  <c r="AF143" i="65"/>
  <c r="AO144" i="63" a="1"/>
  <c r="AO144" i="63" s="1"/>
  <c r="B146" i="65" s="1"/>
  <c r="N145" i="65" l="1"/>
  <c r="U145" i="65" s="1"/>
  <c r="P145" i="65"/>
  <c r="AG142" i="65"/>
  <c r="Y143" i="65"/>
  <c r="AG143" i="65" s="1"/>
  <c r="AF144" i="65"/>
  <c r="AE144" i="65"/>
  <c r="R144" i="65"/>
  <c r="S144" i="65" s="1"/>
  <c r="Y144" i="65" s="1"/>
  <c r="Q144" i="65"/>
  <c r="AV144" i="65"/>
  <c r="AH144" i="65"/>
  <c r="AO145" i="63" a="1"/>
  <c r="AO145" i="63" s="1"/>
  <c r="B147" i="65" s="1"/>
  <c r="AM145" i="65"/>
  <c r="D145" i="65"/>
  <c r="E145" i="65" s="1"/>
  <c r="F145" i="65" s="1"/>
  <c r="G145" i="65" s="1"/>
  <c r="H145" i="65" s="1"/>
  <c r="I145" i="65" s="1"/>
  <c r="J145" i="65" s="1"/>
  <c r="K145" i="65" s="1"/>
  <c r="L146" i="65"/>
  <c r="M146" i="65" s="1"/>
  <c r="O146" i="65"/>
  <c r="C146" i="65"/>
  <c r="N146" i="65" l="1"/>
  <c r="U146" i="65" s="1"/>
  <c r="P146" i="65"/>
  <c r="AB143" i="65"/>
  <c r="AC143" i="65" s="1"/>
  <c r="AD143" i="65" s="1"/>
  <c r="AB144" i="65"/>
  <c r="AC144" i="65" s="1"/>
  <c r="AD144" i="65" s="1"/>
  <c r="O147" i="65"/>
  <c r="C147" i="65"/>
  <c r="L147" i="65"/>
  <c r="M147" i="65" s="1"/>
  <c r="AM146" i="65"/>
  <c r="D146" i="65"/>
  <c r="E146" i="65" s="1"/>
  <c r="F146" i="65" s="1"/>
  <c r="G146" i="65" s="1"/>
  <c r="H146" i="65" s="1"/>
  <c r="I146" i="65" s="1"/>
  <c r="J146" i="65" s="1"/>
  <c r="K146" i="65" s="1"/>
  <c r="AG144" i="65"/>
  <c r="R145" i="65"/>
  <c r="S145" i="65" s="1"/>
  <c r="AH145" i="65"/>
  <c r="AF145" i="65"/>
  <c r="Q145" i="65"/>
  <c r="AE145" i="65"/>
  <c r="AV145" i="65"/>
  <c r="AO146" i="63" a="1"/>
  <c r="AO146" i="63" s="1"/>
  <c r="B148" i="65" s="1"/>
  <c r="N147" i="65" l="1"/>
  <c r="U147" i="65" s="1"/>
  <c r="P147" i="65"/>
  <c r="Y145" i="65"/>
  <c r="AG145" i="65" s="1"/>
  <c r="O148" i="65"/>
  <c r="L148" i="65"/>
  <c r="M148" i="65" s="1"/>
  <c r="C148" i="65"/>
  <c r="D147" i="65"/>
  <c r="E147" i="65" s="1"/>
  <c r="F147" i="65" s="1"/>
  <c r="G147" i="65" s="1"/>
  <c r="H147" i="65" s="1"/>
  <c r="I147" i="65" s="1"/>
  <c r="J147" i="65" s="1"/>
  <c r="K147" i="65" s="1"/>
  <c r="AM147" i="65"/>
  <c r="AO147" i="63" a="1"/>
  <c r="AO147" i="63" s="1"/>
  <c r="B149" i="65" s="1"/>
  <c r="AH146" i="65"/>
  <c r="AV146" i="65"/>
  <c r="Q146" i="65"/>
  <c r="AE146" i="65"/>
  <c r="R146" i="65"/>
  <c r="S146" i="65" s="1"/>
  <c r="AF146" i="65"/>
  <c r="N148" i="65" l="1"/>
  <c r="U148" i="65" s="1"/>
  <c r="P148" i="65"/>
  <c r="AB145" i="65"/>
  <c r="AC145" i="65" s="1"/>
  <c r="AD145" i="65" s="1"/>
  <c r="Y146" i="65"/>
  <c r="AB146" i="65" s="1"/>
  <c r="AC146" i="65" s="1"/>
  <c r="AD146" i="65" s="1"/>
  <c r="L149" i="65"/>
  <c r="M149" i="65" s="1"/>
  <c r="O149" i="65"/>
  <c r="C149" i="65"/>
  <c r="P149" i="65" s="1"/>
  <c r="AF147" i="65"/>
  <c r="AE147" i="65"/>
  <c r="AV147" i="65"/>
  <c r="R147" i="65"/>
  <c r="S147" i="65" s="1"/>
  <c r="Y147" i="65" s="1"/>
  <c r="AH147" i="65"/>
  <c r="Q147" i="65"/>
  <c r="D148" i="65"/>
  <c r="E148" i="65" s="1"/>
  <c r="F148" i="65" s="1"/>
  <c r="G148" i="65" s="1"/>
  <c r="H148" i="65" s="1"/>
  <c r="I148" i="65" s="1"/>
  <c r="J148" i="65" s="1"/>
  <c r="K148" i="65" s="1"/>
  <c r="AM148" i="65"/>
  <c r="AO148" i="63" a="1"/>
  <c r="AO148" i="63" s="1"/>
  <c r="B150" i="65" s="1"/>
  <c r="AG146" i="65" l="1"/>
  <c r="AB147" i="65"/>
  <c r="AC147" i="65" s="1"/>
  <c r="AD147" i="65" s="1"/>
  <c r="N149" i="65"/>
  <c r="Q149" i="65" s="1"/>
  <c r="AO149" i="63" a="1"/>
  <c r="AO149" i="63" s="1"/>
  <c r="B151" i="65" s="1"/>
  <c r="D149" i="65"/>
  <c r="E149" i="65" s="1"/>
  <c r="F149" i="65" s="1"/>
  <c r="G149" i="65" s="1"/>
  <c r="H149" i="65" s="1"/>
  <c r="I149" i="65" s="1"/>
  <c r="J149" i="65" s="1"/>
  <c r="K149" i="65" s="1"/>
  <c r="AM149" i="65"/>
  <c r="AG147" i="65"/>
  <c r="O150" i="65"/>
  <c r="C150" i="65"/>
  <c r="L150" i="65"/>
  <c r="M150" i="65" s="1"/>
  <c r="R148" i="65"/>
  <c r="S148" i="65" s="1"/>
  <c r="AF148" i="65"/>
  <c r="AE148" i="65"/>
  <c r="Q148" i="65"/>
  <c r="AH148" i="65"/>
  <c r="AV148" i="65"/>
  <c r="N150" i="65" l="1"/>
  <c r="U150" i="65" s="1"/>
  <c r="P150" i="65"/>
  <c r="Y148" i="65"/>
  <c r="AB148" i="65" s="1"/>
  <c r="AC148" i="65" s="1"/>
  <c r="AD148" i="65" s="1"/>
  <c r="R149" i="65"/>
  <c r="S149" i="65" s="1"/>
  <c r="AE149" i="65"/>
  <c r="AH149" i="65" s="1"/>
  <c r="U149" i="65"/>
  <c r="AV149" i="65"/>
  <c r="AO150" i="63" a="1"/>
  <c r="AO150" i="63" s="1"/>
  <c r="B152" i="65" s="1"/>
  <c r="D150" i="65"/>
  <c r="E150" i="65" s="1"/>
  <c r="F150" i="65" s="1"/>
  <c r="G150" i="65" s="1"/>
  <c r="H150" i="65" s="1"/>
  <c r="I150" i="65" s="1"/>
  <c r="J150" i="65" s="1"/>
  <c r="K150" i="65" s="1"/>
  <c r="AM150" i="65"/>
  <c r="L151" i="65"/>
  <c r="M151" i="65" s="1"/>
  <c r="O151" i="65"/>
  <c r="C151" i="65"/>
  <c r="N151" i="65" l="1"/>
  <c r="U151" i="65" s="1"/>
  <c r="P151" i="65"/>
  <c r="AG148" i="65"/>
  <c r="Y149" i="65"/>
  <c r="AB149" i="65" s="1"/>
  <c r="AC149" i="65" s="1"/>
  <c r="AD149" i="65" s="1"/>
  <c r="AF149" i="65"/>
  <c r="AE150" i="65"/>
  <c r="AF150" i="65"/>
  <c r="R150" i="65"/>
  <c r="S150" i="65" s="1"/>
  <c r="Y150" i="65" s="1"/>
  <c r="Q150" i="65"/>
  <c r="AV150" i="65"/>
  <c r="AH150" i="65"/>
  <c r="D151" i="65"/>
  <c r="E151" i="65" s="1"/>
  <c r="F151" i="65" s="1"/>
  <c r="G151" i="65" s="1"/>
  <c r="H151" i="65" s="1"/>
  <c r="I151" i="65" s="1"/>
  <c r="J151" i="65" s="1"/>
  <c r="K151" i="65" s="1"/>
  <c r="AM151" i="65"/>
  <c r="AO151" i="63" a="1"/>
  <c r="AO151" i="63" s="1"/>
  <c r="B153" i="65" s="1"/>
  <c r="O152" i="65"/>
  <c r="C152" i="65"/>
  <c r="L152" i="65"/>
  <c r="M152" i="65" s="1"/>
  <c r="N152" i="65" l="1"/>
  <c r="U152" i="65" s="1"/>
  <c r="P152" i="65"/>
  <c r="AB150" i="65"/>
  <c r="AC150" i="65" s="1"/>
  <c r="AD150" i="65" s="1"/>
  <c r="AG149" i="65"/>
  <c r="D152" i="65"/>
  <c r="E152" i="65" s="1"/>
  <c r="F152" i="65" s="1"/>
  <c r="G152" i="65" s="1"/>
  <c r="H152" i="65" s="1"/>
  <c r="I152" i="65" s="1"/>
  <c r="J152" i="65" s="1"/>
  <c r="K152" i="65" s="1"/>
  <c r="AM152" i="65"/>
  <c r="AE151" i="65"/>
  <c r="R151" i="65"/>
  <c r="S151" i="65" s="1"/>
  <c r="Q151" i="65"/>
  <c r="AF151" i="65"/>
  <c r="AH151" i="65"/>
  <c r="AV151" i="65"/>
  <c r="AG150" i="65"/>
  <c r="C153" i="65"/>
  <c r="L153" i="65"/>
  <c r="M153" i="65" s="1"/>
  <c r="O153" i="65"/>
  <c r="AO152" i="63" a="1"/>
  <c r="AO152" i="63" s="1"/>
  <c r="B154" i="65" s="1"/>
  <c r="N153" i="65" l="1"/>
  <c r="U153" i="65" s="1"/>
  <c r="P153" i="65"/>
  <c r="Y151" i="65"/>
  <c r="AG151" i="65" s="1"/>
  <c r="AH152" i="65"/>
  <c r="Q152" i="65"/>
  <c r="R152" i="65"/>
  <c r="S152" i="65" s="1"/>
  <c r="AV152" i="65"/>
  <c r="AF152" i="65"/>
  <c r="AE152" i="65"/>
  <c r="C154" i="65"/>
  <c r="O154" i="65"/>
  <c r="L154" i="65"/>
  <c r="M154" i="65" s="1"/>
  <c r="D153" i="65"/>
  <c r="E153" i="65" s="1"/>
  <c r="F153" i="65" s="1"/>
  <c r="G153" i="65" s="1"/>
  <c r="H153" i="65" s="1"/>
  <c r="I153" i="65" s="1"/>
  <c r="J153" i="65" s="1"/>
  <c r="K153" i="65" s="1"/>
  <c r="AM153" i="65"/>
  <c r="AO153" i="63" a="1"/>
  <c r="AO153" i="63" s="1"/>
  <c r="B155" i="65" s="1"/>
  <c r="N154" i="65" l="1"/>
  <c r="U154" i="65" s="1"/>
  <c r="P154" i="65"/>
  <c r="AB151" i="65"/>
  <c r="AC151" i="65" s="1"/>
  <c r="AD151" i="65" s="1"/>
  <c r="Y152" i="65"/>
  <c r="AB152" i="65" s="1"/>
  <c r="AC152" i="65" s="1"/>
  <c r="AD152" i="65" s="1"/>
  <c r="AO154" i="63" a="1"/>
  <c r="AO154" i="63" s="1"/>
  <c r="B156" i="65" s="1"/>
  <c r="AM154" i="65"/>
  <c r="D154" i="65"/>
  <c r="E154" i="65" s="1"/>
  <c r="F154" i="65" s="1"/>
  <c r="G154" i="65" s="1"/>
  <c r="H154" i="65" s="1"/>
  <c r="I154" i="65" s="1"/>
  <c r="J154" i="65" s="1"/>
  <c r="K154" i="65" s="1"/>
  <c r="L155" i="65"/>
  <c r="M155" i="65" s="1"/>
  <c r="O155" i="65"/>
  <c r="C155" i="65"/>
  <c r="R153" i="65"/>
  <c r="S153" i="65" s="1"/>
  <c r="AE153" i="65"/>
  <c r="AV153" i="65"/>
  <c r="Q153" i="65"/>
  <c r="AF153" i="65"/>
  <c r="AH153" i="65"/>
  <c r="N155" i="65" l="1"/>
  <c r="U155" i="65" s="1"/>
  <c r="P155" i="65"/>
  <c r="Y153" i="65"/>
  <c r="AB153" i="65" s="1"/>
  <c r="AC153" i="65" s="1"/>
  <c r="AD153" i="65" s="1"/>
  <c r="AG152" i="65"/>
  <c r="AO155" i="63" a="1"/>
  <c r="AO155" i="63" s="1"/>
  <c r="B157" i="65" s="1"/>
  <c r="AM155" i="65"/>
  <c r="D155" i="65"/>
  <c r="E155" i="65" s="1"/>
  <c r="F155" i="65" s="1"/>
  <c r="G155" i="65" s="1"/>
  <c r="H155" i="65" s="1"/>
  <c r="I155" i="65" s="1"/>
  <c r="J155" i="65" s="1"/>
  <c r="K155" i="65" s="1"/>
  <c r="AE154" i="65"/>
  <c r="AV154" i="65"/>
  <c r="AH154" i="65"/>
  <c r="Q154" i="65"/>
  <c r="R154" i="65"/>
  <c r="S154" i="65" s="1"/>
  <c r="Y154" i="65" s="1"/>
  <c r="AF154" i="65"/>
  <c r="L156" i="65"/>
  <c r="M156" i="65" s="1"/>
  <c r="O156" i="65"/>
  <c r="C156" i="65"/>
  <c r="N156" i="65" l="1"/>
  <c r="U156" i="65" s="1"/>
  <c r="P156" i="65"/>
  <c r="AB154" i="65"/>
  <c r="AC154" i="65" s="1"/>
  <c r="AD154" i="65" s="1"/>
  <c r="AG153" i="65"/>
  <c r="AG154" i="65"/>
  <c r="AO156" i="63" a="1"/>
  <c r="AO156" i="63" s="1"/>
  <c r="B158" i="65" s="1"/>
  <c r="R155" i="65"/>
  <c r="S155" i="65" s="1"/>
  <c r="Q155" i="65"/>
  <c r="AE155" i="65"/>
  <c r="AF155" i="65"/>
  <c r="AV155" i="65"/>
  <c r="AH155" i="65"/>
  <c r="D156" i="65"/>
  <c r="E156" i="65" s="1"/>
  <c r="F156" i="65" s="1"/>
  <c r="G156" i="65" s="1"/>
  <c r="H156" i="65" s="1"/>
  <c r="I156" i="65" s="1"/>
  <c r="J156" i="65" s="1"/>
  <c r="K156" i="65" s="1"/>
  <c r="AM156" i="65"/>
  <c r="L157" i="65"/>
  <c r="M157" i="65" s="1"/>
  <c r="O157" i="65"/>
  <c r="C157" i="65"/>
  <c r="N157" i="65" l="1"/>
  <c r="U157" i="65" s="1"/>
  <c r="P157" i="65"/>
  <c r="Y155" i="65"/>
  <c r="AB155" i="65" s="1"/>
  <c r="AC155" i="65" s="1"/>
  <c r="AD155" i="65" s="1"/>
  <c r="AV156" i="65"/>
  <c r="Q156" i="65"/>
  <c r="AF156" i="65"/>
  <c r="AH156" i="65"/>
  <c r="AE156" i="65"/>
  <c r="R156" i="65"/>
  <c r="S156" i="65" s="1"/>
  <c r="AO157" i="63" a="1"/>
  <c r="AO157" i="63" s="1"/>
  <c r="B159" i="65" s="1"/>
  <c r="D157" i="65"/>
  <c r="E157" i="65" s="1"/>
  <c r="F157" i="65" s="1"/>
  <c r="G157" i="65" s="1"/>
  <c r="H157" i="65" s="1"/>
  <c r="I157" i="65" s="1"/>
  <c r="J157" i="65" s="1"/>
  <c r="K157" i="65" s="1"/>
  <c r="AM157" i="65"/>
  <c r="L158" i="65"/>
  <c r="M158" i="65" s="1"/>
  <c r="O158" i="65"/>
  <c r="C158" i="65"/>
  <c r="N158" i="65" l="1"/>
  <c r="U158" i="65" s="1"/>
  <c r="P158" i="65"/>
  <c r="AG155" i="65"/>
  <c r="Y156" i="65"/>
  <c r="AB156" i="65" s="1"/>
  <c r="AC156" i="65" s="1"/>
  <c r="AD156" i="65" s="1"/>
  <c r="AM158" i="65"/>
  <c r="D158" i="65"/>
  <c r="E158" i="65" s="1"/>
  <c r="F158" i="65" s="1"/>
  <c r="G158" i="65" s="1"/>
  <c r="H158" i="65" s="1"/>
  <c r="I158" i="65" s="1"/>
  <c r="J158" i="65" s="1"/>
  <c r="K158" i="65" s="1"/>
  <c r="AH157" i="65"/>
  <c r="AE157" i="65"/>
  <c r="R157" i="65"/>
  <c r="S157" i="65" s="1"/>
  <c r="Q157" i="65"/>
  <c r="AV157" i="65"/>
  <c r="AF157" i="65"/>
  <c r="C159" i="65"/>
  <c r="O159" i="65"/>
  <c r="L159" i="65"/>
  <c r="M159" i="65" s="1"/>
  <c r="AO158" i="63" a="1"/>
  <c r="AO158" i="63" s="1"/>
  <c r="B160" i="65" s="1"/>
  <c r="N159" i="65" l="1"/>
  <c r="U159" i="65" s="1"/>
  <c r="P159" i="65"/>
  <c r="AG156" i="65"/>
  <c r="Y157" i="65"/>
  <c r="AB157" i="65" s="1"/>
  <c r="AC157" i="65" s="1"/>
  <c r="AD157" i="65" s="1"/>
  <c r="AO159" i="63" a="1"/>
  <c r="AO159" i="63" s="1"/>
  <c r="B161" i="65" s="1"/>
  <c r="D159" i="65"/>
  <c r="E159" i="65" s="1"/>
  <c r="F159" i="65" s="1"/>
  <c r="G159" i="65" s="1"/>
  <c r="H159" i="65" s="1"/>
  <c r="I159" i="65" s="1"/>
  <c r="J159" i="65" s="1"/>
  <c r="K159" i="65" s="1"/>
  <c r="AM159" i="65"/>
  <c r="R158" i="65"/>
  <c r="S158" i="65" s="1"/>
  <c r="Q158" i="65"/>
  <c r="AH158" i="65"/>
  <c r="AE158" i="65"/>
  <c r="AF158" i="65"/>
  <c r="AV158" i="65"/>
  <c r="O160" i="65"/>
  <c r="L160" i="65"/>
  <c r="M160" i="65" s="1"/>
  <c r="C160" i="65"/>
  <c r="N160" i="65" l="1"/>
  <c r="U160" i="65" s="1"/>
  <c r="P160" i="65"/>
  <c r="Y158" i="65"/>
  <c r="AB158" i="65" s="1"/>
  <c r="AC158" i="65" s="1"/>
  <c r="AD158" i="65" s="1"/>
  <c r="AG157" i="65"/>
  <c r="L161" i="65"/>
  <c r="M161" i="65" s="1"/>
  <c r="C161" i="65"/>
  <c r="O161" i="65"/>
  <c r="AO160" i="63" a="1"/>
  <c r="AO160" i="63" s="1"/>
  <c r="B162" i="65" s="1"/>
  <c r="AM160" i="65"/>
  <c r="D160" i="65"/>
  <c r="E160" i="65" s="1"/>
  <c r="F160" i="65" s="1"/>
  <c r="G160" i="65" s="1"/>
  <c r="H160" i="65" s="1"/>
  <c r="I160" i="65" s="1"/>
  <c r="J160" i="65" s="1"/>
  <c r="K160" i="65" s="1"/>
  <c r="R159" i="65"/>
  <c r="S159" i="65" s="1"/>
  <c r="Y159" i="65" s="1"/>
  <c r="AV159" i="65"/>
  <c r="AF159" i="65"/>
  <c r="AH159" i="65"/>
  <c r="AE159" i="65"/>
  <c r="Q159" i="65"/>
  <c r="N161" i="65" l="1"/>
  <c r="U161" i="65" s="1"/>
  <c r="P161" i="65"/>
  <c r="AG158" i="65"/>
  <c r="AB159" i="65"/>
  <c r="AC159" i="65" s="1"/>
  <c r="AD159" i="65" s="1"/>
  <c r="AM161" i="65"/>
  <c r="D161" i="65"/>
  <c r="E161" i="65" s="1"/>
  <c r="F161" i="65" s="1"/>
  <c r="G161" i="65" s="1"/>
  <c r="H161" i="65" s="1"/>
  <c r="I161" i="65" s="1"/>
  <c r="J161" i="65" s="1"/>
  <c r="K161" i="65" s="1"/>
  <c r="L162" i="65"/>
  <c r="M162" i="65" s="1"/>
  <c r="O162" i="65"/>
  <c r="C162" i="65"/>
  <c r="AO161" i="63" a="1"/>
  <c r="AO161" i="63" s="1"/>
  <c r="B163" i="65" s="1"/>
  <c r="AG159" i="65"/>
  <c r="AH160" i="65"/>
  <c r="R160" i="65"/>
  <c r="S160" i="65" s="1"/>
  <c r="Q160" i="65"/>
  <c r="AV160" i="65"/>
  <c r="AF160" i="65"/>
  <c r="AE160" i="65"/>
  <c r="N162" i="65" l="1"/>
  <c r="U162" i="65" s="1"/>
  <c r="P162" i="65"/>
  <c r="Y160" i="65"/>
  <c r="AB160" i="65" s="1"/>
  <c r="AC160" i="65" s="1"/>
  <c r="AD160" i="65" s="1"/>
  <c r="L163" i="65"/>
  <c r="M163" i="65" s="1"/>
  <c r="O163" i="65"/>
  <c r="C163" i="65"/>
  <c r="AH161" i="65"/>
  <c r="Q161" i="65"/>
  <c r="AE161" i="65"/>
  <c r="AV161" i="65"/>
  <c r="AF161" i="65"/>
  <c r="R161" i="65"/>
  <c r="S161" i="65" s="1"/>
  <c r="AM162" i="65"/>
  <c r="D162" i="65"/>
  <c r="E162" i="65" s="1"/>
  <c r="F162" i="65" s="1"/>
  <c r="G162" i="65" s="1"/>
  <c r="H162" i="65" s="1"/>
  <c r="I162" i="65" s="1"/>
  <c r="J162" i="65" s="1"/>
  <c r="K162" i="65" s="1"/>
  <c r="AO162" i="63" a="1"/>
  <c r="AO162" i="63" s="1"/>
  <c r="B164" i="65" s="1"/>
  <c r="N163" i="65" l="1"/>
  <c r="U163" i="65" s="1"/>
  <c r="P163" i="65"/>
  <c r="AG160" i="65"/>
  <c r="Y161" i="65"/>
  <c r="AB161" i="65" s="1"/>
  <c r="AC161" i="65" s="1"/>
  <c r="AD161" i="65" s="1"/>
  <c r="R162" i="65"/>
  <c r="S162" i="65" s="1"/>
  <c r="AV162" i="65"/>
  <c r="AF162" i="65"/>
  <c r="AE162" i="65"/>
  <c r="Q162" i="65"/>
  <c r="AH162" i="65"/>
  <c r="AM163" i="65"/>
  <c r="D163" i="65"/>
  <c r="E163" i="65" s="1"/>
  <c r="F163" i="65" s="1"/>
  <c r="G163" i="65" s="1"/>
  <c r="H163" i="65" s="1"/>
  <c r="I163" i="65" s="1"/>
  <c r="J163" i="65" s="1"/>
  <c r="K163" i="65" s="1"/>
  <c r="AO163" i="63" a="1"/>
  <c r="AO163" i="63" s="1"/>
  <c r="B165" i="65" s="1"/>
  <c r="O164" i="65"/>
  <c r="L164" i="65"/>
  <c r="M164" i="65" s="1"/>
  <c r="C164" i="65"/>
  <c r="N164" i="65" l="1"/>
  <c r="U164" i="65" s="1"/>
  <c r="P164" i="65"/>
  <c r="Y162" i="65"/>
  <c r="AB162" i="65" s="1"/>
  <c r="AC162" i="65" s="1"/>
  <c r="AD162" i="65" s="1"/>
  <c r="AG161" i="65"/>
  <c r="AO164" i="63" a="1"/>
  <c r="AO164" i="63" s="1"/>
  <c r="B166" i="65" s="1"/>
  <c r="D164" i="65"/>
  <c r="E164" i="65" s="1"/>
  <c r="F164" i="65" s="1"/>
  <c r="G164" i="65" s="1"/>
  <c r="H164" i="65" s="1"/>
  <c r="I164" i="65" s="1"/>
  <c r="J164" i="65" s="1"/>
  <c r="K164" i="65" s="1"/>
  <c r="AM164" i="65"/>
  <c r="Q163" i="65"/>
  <c r="R163" i="65"/>
  <c r="S163" i="65" s="1"/>
  <c r="Y163" i="65" s="1"/>
  <c r="AF163" i="65"/>
  <c r="AV163" i="65"/>
  <c r="AE163" i="65"/>
  <c r="AH163" i="65"/>
  <c r="C165" i="65"/>
  <c r="L165" i="65"/>
  <c r="M165" i="65" s="1"/>
  <c r="O165" i="65"/>
  <c r="N165" i="65" l="1"/>
  <c r="U165" i="65" s="1"/>
  <c r="P165" i="65"/>
  <c r="AG162" i="65"/>
  <c r="AB163" i="65"/>
  <c r="AC163" i="65" s="1"/>
  <c r="AD163" i="65" s="1"/>
  <c r="AG163" i="65"/>
  <c r="AO165" i="63" a="1"/>
  <c r="AO165" i="63" s="1"/>
  <c r="B167" i="65" s="1"/>
  <c r="AF164" i="65"/>
  <c r="AV164" i="65"/>
  <c r="Q164" i="65"/>
  <c r="R164" i="65"/>
  <c r="S164" i="65" s="1"/>
  <c r="AE164" i="65"/>
  <c r="AH164" i="65"/>
  <c r="D165" i="65"/>
  <c r="E165" i="65" s="1"/>
  <c r="F165" i="65" s="1"/>
  <c r="G165" i="65" s="1"/>
  <c r="H165" i="65" s="1"/>
  <c r="I165" i="65" s="1"/>
  <c r="J165" i="65" s="1"/>
  <c r="K165" i="65" s="1"/>
  <c r="AM165" i="65"/>
  <c r="O166" i="65"/>
  <c r="C166" i="65"/>
  <c r="L166" i="65"/>
  <c r="M166" i="65" s="1"/>
  <c r="N166" i="65" l="1"/>
  <c r="U166" i="65" s="1"/>
  <c r="P166" i="65"/>
  <c r="Y164" i="65"/>
  <c r="AB164" i="65" s="1"/>
  <c r="AC164" i="65" s="1"/>
  <c r="AD164" i="65" s="1"/>
  <c r="L167" i="65"/>
  <c r="M167" i="65" s="1"/>
  <c r="O167" i="65"/>
  <c r="C167" i="65"/>
  <c r="AH165" i="65"/>
  <c r="AF165" i="65"/>
  <c r="R165" i="65"/>
  <c r="S165" i="65" s="1"/>
  <c r="AV165" i="65"/>
  <c r="Q165" i="65"/>
  <c r="AE165" i="65"/>
  <c r="AM166" i="65"/>
  <c r="D166" i="65"/>
  <c r="E166" i="65" s="1"/>
  <c r="F166" i="65" s="1"/>
  <c r="G166" i="65" s="1"/>
  <c r="H166" i="65" s="1"/>
  <c r="I166" i="65" s="1"/>
  <c r="J166" i="65" s="1"/>
  <c r="K166" i="65" s="1"/>
  <c r="AO166" i="63" a="1"/>
  <c r="AO166" i="63" s="1"/>
  <c r="B168" i="65" s="1"/>
  <c r="N167" i="65" l="1"/>
  <c r="U167" i="65" s="1"/>
  <c r="P167" i="65"/>
  <c r="AG164" i="65"/>
  <c r="Y165" i="65"/>
  <c r="AB165" i="65" s="1"/>
  <c r="AC165" i="65" s="1"/>
  <c r="AD165" i="65" s="1"/>
  <c r="AO167" i="63" a="1"/>
  <c r="AO167" i="63" s="1"/>
  <c r="B169" i="65" s="1"/>
  <c r="AM167" i="65"/>
  <c r="D167" i="65"/>
  <c r="E167" i="65" s="1"/>
  <c r="F167" i="65" s="1"/>
  <c r="G167" i="65" s="1"/>
  <c r="H167" i="65" s="1"/>
  <c r="I167" i="65" s="1"/>
  <c r="J167" i="65" s="1"/>
  <c r="K167" i="65" s="1"/>
  <c r="C168" i="65"/>
  <c r="L168" i="65"/>
  <c r="M168" i="65" s="1"/>
  <c r="O168" i="65"/>
  <c r="AH166" i="65"/>
  <c r="AV166" i="65"/>
  <c r="AE166" i="65"/>
  <c r="Q166" i="65"/>
  <c r="R166" i="65"/>
  <c r="S166" i="65" s="1"/>
  <c r="Y166" i="65" s="1"/>
  <c r="AF166" i="65"/>
  <c r="N168" i="65" l="1"/>
  <c r="U168" i="65" s="1"/>
  <c r="P168" i="65"/>
  <c r="AG165" i="65"/>
  <c r="AB166" i="65"/>
  <c r="AC166" i="65" s="1"/>
  <c r="AD166" i="65" s="1"/>
  <c r="AO168" i="63" a="1"/>
  <c r="AO168" i="63" s="1"/>
  <c r="B170" i="65" s="1"/>
  <c r="AG166" i="65"/>
  <c r="D168" i="65"/>
  <c r="E168" i="65" s="1"/>
  <c r="F168" i="65" s="1"/>
  <c r="G168" i="65" s="1"/>
  <c r="H168" i="65" s="1"/>
  <c r="I168" i="65" s="1"/>
  <c r="J168" i="65" s="1"/>
  <c r="K168" i="65" s="1"/>
  <c r="AM168" i="65"/>
  <c r="AF167" i="65"/>
  <c r="AH167" i="65"/>
  <c r="R167" i="65"/>
  <c r="S167" i="65" s="1"/>
  <c r="Y167" i="65" s="1"/>
  <c r="AV167" i="65"/>
  <c r="AE167" i="65"/>
  <c r="Q167" i="65"/>
  <c r="C169" i="65"/>
  <c r="O169" i="65"/>
  <c r="L169" i="65"/>
  <c r="M169" i="65" s="1"/>
  <c r="N169" i="65" l="1"/>
  <c r="U169" i="65" s="1"/>
  <c r="P169" i="65"/>
  <c r="AB167" i="65"/>
  <c r="AC167" i="65" s="1"/>
  <c r="AD167" i="65" s="1"/>
  <c r="AO169" i="63" a="1"/>
  <c r="AO169" i="63" s="1"/>
  <c r="B171" i="65" s="1"/>
  <c r="AF168" i="65"/>
  <c r="Q168" i="65"/>
  <c r="R168" i="65"/>
  <c r="S168" i="65" s="1"/>
  <c r="AH168" i="65"/>
  <c r="AE168" i="65"/>
  <c r="AV168" i="65"/>
  <c r="AM169" i="65"/>
  <c r="D169" i="65"/>
  <c r="E169" i="65" s="1"/>
  <c r="F169" i="65" s="1"/>
  <c r="G169" i="65" s="1"/>
  <c r="H169" i="65" s="1"/>
  <c r="I169" i="65" s="1"/>
  <c r="J169" i="65" s="1"/>
  <c r="K169" i="65" s="1"/>
  <c r="AG167" i="65"/>
  <c r="L170" i="65"/>
  <c r="M170" i="65" s="1"/>
  <c r="C170" i="65"/>
  <c r="O170" i="65"/>
  <c r="N170" i="65" l="1"/>
  <c r="U170" i="65" s="1"/>
  <c r="P170" i="65"/>
  <c r="Y168" i="65"/>
  <c r="AB168" i="65" s="1"/>
  <c r="AC168" i="65" s="1"/>
  <c r="AD168" i="65" s="1"/>
  <c r="D170" i="65"/>
  <c r="E170" i="65" s="1"/>
  <c r="F170" i="65" s="1"/>
  <c r="G170" i="65" s="1"/>
  <c r="H170" i="65" s="1"/>
  <c r="I170" i="65" s="1"/>
  <c r="J170" i="65" s="1"/>
  <c r="K170" i="65" s="1"/>
  <c r="AM170" i="65"/>
  <c r="AE169" i="65"/>
  <c r="AV169" i="65"/>
  <c r="AF169" i="65"/>
  <c r="R169" i="65"/>
  <c r="S169" i="65" s="1"/>
  <c r="Q169" i="65"/>
  <c r="AH169" i="65"/>
  <c r="AO170" i="63" a="1"/>
  <c r="AO170" i="63" s="1"/>
  <c r="B172" i="65" s="1"/>
  <c r="L171" i="65"/>
  <c r="M171" i="65" s="1"/>
  <c r="C171" i="65"/>
  <c r="O171" i="65"/>
  <c r="N171" i="65" l="1"/>
  <c r="U171" i="65" s="1"/>
  <c r="P171" i="65"/>
  <c r="AG168" i="65"/>
  <c r="Y169" i="65"/>
  <c r="AB169" i="65" s="1"/>
  <c r="AC169" i="65" s="1"/>
  <c r="AD169" i="65" s="1"/>
  <c r="AO171" i="63" a="1"/>
  <c r="AO171" i="63" s="1"/>
  <c r="B173" i="65" s="1"/>
  <c r="C172" i="65"/>
  <c r="L172" i="65"/>
  <c r="M172" i="65" s="1"/>
  <c r="O172" i="65"/>
  <c r="AE170" i="65"/>
  <c r="AV170" i="65"/>
  <c r="Q170" i="65"/>
  <c r="R170" i="65"/>
  <c r="S170" i="65" s="1"/>
  <c r="Y170" i="65" s="1"/>
  <c r="AH170" i="65"/>
  <c r="AF170" i="65"/>
  <c r="D171" i="65"/>
  <c r="E171" i="65" s="1"/>
  <c r="F171" i="65" s="1"/>
  <c r="G171" i="65" s="1"/>
  <c r="H171" i="65" s="1"/>
  <c r="I171" i="65" s="1"/>
  <c r="J171" i="65" s="1"/>
  <c r="K171" i="65" s="1"/>
  <c r="AM171" i="65"/>
  <c r="N172" i="65" l="1"/>
  <c r="U172" i="65" s="1"/>
  <c r="P172" i="65"/>
  <c r="AB170" i="65"/>
  <c r="AC170" i="65" s="1"/>
  <c r="AD170" i="65" s="1"/>
  <c r="AG169" i="65"/>
  <c r="AO172" i="63" a="1"/>
  <c r="AO172" i="63" s="1"/>
  <c r="B174" i="65" s="1"/>
  <c r="AG170" i="65"/>
  <c r="AM172" i="65"/>
  <c r="D172" i="65"/>
  <c r="E172" i="65" s="1"/>
  <c r="F172" i="65" s="1"/>
  <c r="G172" i="65" s="1"/>
  <c r="H172" i="65" s="1"/>
  <c r="I172" i="65" s="1"/>
  <c r="J172" i="65" s="1"/>
  <c r="K172" i="65" s="1"/>
  <c r="O173" i="65"/>
  <c r="L173" i="65"/>
  <c r="M173" i="65" s="1"/>
  <c r="C173" i="65"/>
  <c r="AF171" i="65"/>
  <c r="AH171" i="65"/>
  <c r="AE171" i="65"/>
  <c r="AV171" i="65"/>
  <c r="Q171" i="65"/>
  <c r="R171" i="65"/>
  <c r="S171" i="65" s="1"/>
  <c r="N173" i="65" l="1"/>
  <c r="U173" i="65" s="1"/>
  <c r="P173" i="65"/>
  <c r="Y171" i="65"/>
  <c r="AB171" i="65" s="1"/>
  <c r="AC171" i="65" s="1"/>
  <c r="AD171" i="65" s="1"/>
  <c r="AO173" i="63" a="1"/>
  <c r="AO173" i="63" s="1"/>
  <c r="B175" i="65" s="1"/>
  <c r="D173" i="65"/>
  <c r="E173" i="65" s="1"/>
  <c r="F173" i="65" s="1"/>
  <c r="G173" i="65" s="1"/>
  <c r="H173" i="65" s="1"/>
  <c r="I173" i="65" s="1"/>
  <c r="J173" i="65" s="1"/>
  <c r="K173" i="65" s="1"/>
  <c r="AM173" i="65"/>
  <c r="Q172" i="65"/>
  <c r="R172" i="65"/>
  <c r="S172" i="65" s="1"/>
  <c r="AV172" i="65"/>
  <c r="AE172" i="65"/>
  <c r="AF172" i="65"/>
  <c r="AH172" i="65"/>
  <c r="L174" i="65"/>
  <c r="M174" i="65" s="1"/>
  <c r="O174" i="65"/>
  <c r="C174" i="65"/>
  <c r="N174" i="65" l="1"/>
  <c r="U174" i="65" s="1"/>
  <c r="P174" i="65"/>
  <c r="Y172" i="65"/>
  <c r="AB172" i="65" s="1"/>
  <c r="AC172" i="65" s="1"/>
  <c r="AD172" i="65" s="1"/>
  <c r="AG171" i="65"/>
  <c r="AM174" i="65"/>
  <c r="D174" i="65"/>
  <c r="E174" i="65" s="1"/>
  <c r="F174" i="65" s="1"/>
  <c r="G174" i="65" s="1"/>
  <c r="H174" i="65" s="1"/>
  <c r="I174" i="65" s="1"/>
  <c r="J174" i="65" s="1"/>
  <c r="K174" i="65" s="1"/>
  <c r="AH173" i="65"/>
  <c r="AV173" i="65"/>
  <c r="R173" i="65"/>
  <c r="S173" i="65" s="1"/>
  <c r="Y173" i="65" s="1"/>
  <c r="AE173" i="65"/>
  <c r="Q173" i="65"/>
  <c r="AF173" i="65"/>
  <c r="L175" i="65"/>
  <c r="M175" i="65" s="1"/>
  <c r="C175" i="65"/>
  <c r="O175" i="65"/>
  <c r="AO174" i="63" a="1"/>
  <c r="AO174" i="63" s="1"/>
  <c r="B176" i="65" s="1"/>
  <c r="N175" i="65" l="1"/>
  <c r="U175" i="65" s="1"/>
  <c r="P175" i="65"/>
  <c r="AG172" i="65"/>
  <c r="AB173" i="65"/>
  <c r="AC173" i="65" s="1"/>
  <c r="AD173" i="65" s="1"/>
  <c r="D175" i="65"/>
  <c r="E175" i="65" s="1"/>
  <c r="F175" i="65" s="1"/>
  <c r="G175" i="65" s="1"/>
  <c r="H175" i="65" s="1"/>
  <c r="I175" i="65" s="1"/>
  <c r="J175" i="65" s="1"/>
  <c r="K175" i="65" s="1"/>
  <c r="AM175" i="65"/>
  <c r="AO175" i="63" a="1"/>
  <c r="AO175" i="63" s="1"/>
  <c r="B177" i="65" s="1"/>
  <c r="Q174" i="65"/>
  <c r="AF174" i="65"/>
  <c r="R174" i="65"/>
  <c r="S174" i="65" s="1"/>
  <c r="AE174" i="65"/>
  <c r="AH174" i="65"/>
  <c r="AV174" i="65"/>
  <c r="C176" i="65"/>
  <c r="L176" i="65"/>
  <c r="M176" i="65" s="1"/>
  <c r="O176" i="65"/>
  <c r="AG173" i="65"/>
  <c r="N176" i="65" l="1"/>
  <c r="U176" i="65" s="1"/>
  <c r="P176" i="65"/>
  <c r="Y174" i="65"/>
  <c r="AB174" i="65" s="1"/>
  <c r="AC174" i="65" s="1"/>
  <c r="AD174" i="65" s="1"/>
  <c r="AO176" i="63" a="1"/>
  <c r="AO176" i="63" s="1"/>
  <c r="B178" i="65" s="1"/>
  <c r="AM176" i="65"/>
  <c r="D176" i="65"/>
  <c r="E176" i="65" s="1"/>
  <c r="F176" i="65" s="1"/>
  <c r="G176" i="65" s="1"/>
  <c r="H176" i="65" s="1"/>
  <c r="I176" i="65" s="1"/>
  <c r="J176" i="65" s="1"/>
  <c r="K176" i="65" s="1"/>
  <c r="R175" i="65"/>
  <c r="S175" i="65" s="1"/>
  <c r="AH175" i="65"/>
  <c r="AF175" i="65"/>
  <c r="Q175" i="65"/>
  <c r="AV175" i="65"/>
  <c r="AE175" i="65"/>
  <c r="L177" i="65"/>
  <c r="M177" i="65" s="1"/>
  <c r="C177" i="65"/>
  <c r="O177" i="65"/>
  <c r="N177" i="65" l="1"/>
  <c r="U177" i="65" s="1"/>
  <c r="P177" i="65"/>
  <c r="AG174" i="65"/>
  <c r="Y175" i="65"/>
  <c r="AB175" i="65" s="1"/>
  <c r="AC175" i="65" s="1"/>
  <c r="AD175" i="65" s="1"/>
  <c r="AO177" i="63" a="1"/>
  <c r="AO177" i="63" s="1"/>
  <c r="B179" i="65" s="1"/>
  <c r="AM177" i="65"/>
  <c r="D177" i="65"/>
  <c r="E177" i="65" s="1"/>
  <c r="F177" i="65" s="1"/>
  <c r="G177" i="65" s="1"/>
  <c r="H177" i="65" s="1"/>
  <c r="I177" i="65" s="1"/>
  <c r="J177" i="65" s="1"/>
  <c r="K177" i="65" s="1"/>
  <c r="AV176" i="65"/>
  <c r="AE176" i="65"/>
  <c r="AH176" i="65"/>
  <c r="R176" i="65"/>
  <c r="S176" i="65" s="1"/>
  <c r="Q176" i="65"/>
  <c r="AF176" i="65"/>
  <c r="C178" i="65"/>
  <c r="O178" i="65"/>
  <c r="L178" i="65"/>
  <c r="M178" i="65" s="1"/>
  <c r="N178" i="65" l="1"/>
  <c r="U178" i="65" s="1"/>
  <c r="P178" i="65"/>
  <c r="AG175" i="65"/>
  <c r="Y176" i="65"/>
  <c r="AB176" i="65" s="1"/>
  <c r="AC176" i="65" s="1"/>
  <c r="AD176" i="65" s="1"/>
  <c r="AM178" i="65"/>
  <c r="D178" i="65"/>
  <c r="E178" i="65" s="1"/>
  <c r="F178" i="65" s="1"/>
  <c r="G178" i="65" s="1"/>
  <c r="H178" i="65" s="1"/>
  <c r="I178" i="65" s="1"/>
  <c r="J178" i="65" s="1"/>
  <c r="K178" i="65" s="1"/>
  <c r="C179" i="65"/>
  <c r="L179" i="65"/>
  <c r="M179" i="65" s="1"/>
  <c r="O179" i="65"/>
  <c r="AE177" i="65"/>
  <c r="R177" i="65"/>
  <c r="S177" i="65" s="1"/>
  <c r="AF177" i="65"/>
  <c r="Q177" i="65"/>
  <c r="AH177" i="65"/>
  <c r="AV177" i="65"/>
  <c r="AO178" i="63" a="1"/>
  <c r="AO178" i="63" s="1"/>
  <c r="B180" i="65" s="1"/>
  <c r="N179" i="65" l="1"/>
  <c r="U179" i="65" s="1"/>
  <c r="P179" i="65"/>
  <c r="AG176" i="65"/>
  <c r="Y177" i="65"/>
  <c r="AB177" i="65" s="1"/>
  <c r="AC177" i="65" s="1"/>
  <c r="AD177" i="65" s="1"/>
  <c r="AM179" i="65"/>
  <c r="D179" i="65"/>
  <c r="E179" i="65" s="1"/>
  <c r="F179" i="65" s="1"/>
  <c r="G179" i="65" s="1"/>
  <c r="H179" i="65" s="1"/>
  <c r="I179" i="65" s="1"/>
  <c r="J179" i="65" s="1"/>
  <c r="K179" i="65" s="1"/>
  <c r="O180" i="65"/>
  <c r="L180" i="65"/>
  <c r="M180" i="65" s="1"/>
  <c r="C180" i="65"/>
  <c r="R178" i="65"/>
  <c r="S178" i="65" s="1"/>
  <c r="Y178" i="65" s="1"/>
  <c r="AV178" i="65"/>
  <c r="AF178" i="65"/>
  <c r="AE178" i="65"/>
  <c r="Q178" i="65"/>
  <c r="AH178" i="65"/>
  <c r="AO179" i="63" a="1"/>
  <c r="AO179" i="63" s="1"/>
  <c r="B181" i="65" s="1"/>
  <c r="N180" i="65" l="1"/>
  <c r="U180" i="65" s="1"/>
  <c r="P180" i="65"/>
  <c r="AB178" i="65"/>
  <c r="AC178" i="65" s="1"/>
  <c r="AD178" i="65" s="1"/>
  <c r="AG177" i="65"/>
  <c r="AO180" i="63" a="1"/>
  <c r="AO180" i="63" s="1"/>
  <c r="B182" i="65" s="1"/>
  <c r="AG178" i="65"/>
  <c r="D180" i="65"/>
  <c r="E180" i="65" s="1"/>
  <c r="F180" i="65" s="1"/>
  <c r="G180" i="65" s="1"/>
  <c r="H180" i="65" s="1"/>
  <c r="I180" i="65" s="1"/>
  <c r="J180" i="65" s="1"/>
  <c r="K180" i="65" s="1"/>
  <c r="AM180" i="65"/>
  <c r="AV179" i="65"/>
  <c r="R179" i="65"/>
  <c r="S179" i="65" s="1"/>
  <c r="AH179" i="65"/>
  <c r="AE179" i="65"/>
  <c r="Q179" i="65"/>
  <c r="AF179" i="65"/>
  <c r="L181" i="65"/>
  <c r="M181" i="65" s="1"/>
  <c r="O181" i="65"/>
  <c r="C181" i="65"/>
  <c r="N181" i="65" l="1"/>
  <c r="U181" i="65" s="1"/>
  <c r="P181" i="65"/>
  <c r="Y179" i="65"/>
  <c r="AB179" i="65" s="1"/>
  <c r="AC179" i="65" s="1"/>
  <c r="AD179" i="65" s="1"/>
  <c r="D181" i="65"/>
  <c r="E181" i="65" s="1"/>
  <c r="F181" i="65" s="1"/>
  <c r="G181" i="65" s="1"/>
  <c r="H181" i="65" s="1"/>
  <c r="I181" i="65" s="1"/>
  <c r="J181" i="65" s="1"/>
  <c r="K181" i="65" s="1"/>
  <c r="AM181" i="65"/>
  <c r="AO181" i="63" a="1"/>
  <c r="AO181" i="63" s="1"/>
  <c r="B183" i="65" s="1"/>
  <c r="Q180" i="65"/>
  <c r="AH180" i="65"/>
  <c r="R180" i="65"/>
  <c r="S180" i="65" s="1"/>
  <c r="Y180" i="65" s="1"/>
  <c r="AF180" i="65"/>
  <c r="AE180" i="65"/>
  <c r="AV180" i="65"/>
  <c r="O182" i="65"/>
  <c r="L182" i="65"/>
  <c r="M182" i="65" s="1"/>
  <c r="C182" i="65"/>
  <c r="N182" i="65" l="1"/>
  <c r="U182" i="65" s="1"/>
  <c r="P182" i="65"/>
  <c r="AB180" i="65"/>
  <c r="AC180" i="65" s="1"/>
  <c r="AD180" i="65" s="1"/>
  <c r="AG179" i="65"/>
  <c r="D182" i="65"/>
  <c r="E182" i="65" s="1"/>
  <c r="F182" i="65" s="1"/>
  <c r="G182" i="65" s="1"/>
  <c r="H182" i="65" s="1"/>
  <c r="I182" i="65" s="1"/>
  <c r="J182" i="65" s="1"/>
  <c r="K182" i="65" s="1"/>
  <c r="AM182" i="65"/>
  <c r="AG180" i="65"/>
  <c r="AH181" i="65"/>
  <c r="Q181" i="65"/>
  <c r="AE181" i="65"/>
  <c r="R181" i="65"/>
  <c r="S181" i="65" s="1"/>
  <c r="AV181" i="65"/>
  <c r="AF181" i="65"/>
  <c r="O183" i="65"/>
  <c r="C183" i="65"/>
  <c r="L183" i="65"/>
  <c r="M183" i="65" s="1"/>
  <c r="AO182" i="63" a="1"/>
  <c r="AO182" i="63" s="1"/>
  <c r="B184" i="65" s="1"/>
  <c r="N183" i="65" l="1"/>
  <c r="U183" i="65" s="1"/>
  <c r="P183" i="65"/>
  <c r="Y181" i="65"/>
  <c r="AB181" i="65" s="1"/>
  <c r="AC181" i="65" s="1"/>
  <c r="AD181" i="65" s="1"/>
  <c r="C184" i="65"/>
  <c r="L184" i="65"/>
  <c r="M184" i="65" s="1"/>
  <c r="O184" i="65"/>
  <c r="AM183" i="65"/>
  <c r="D183" i="65"/>
  <c r="E183" i="65" s="1"/>
  <c r="F183" i="65" s="1"/>
  <c r="G183" i="65" s="1"/>
  <c r="H183" i="65" s="1"/>
  <c r="I183" i="65" s="1"/>
  <c r="J183" i="65" s="1"/>
  <c r="K183" i="65" s="1"/>
  <c r="AO183" i="63" a="1"/>
  <c r="AO183" i="63" s="1"/>
  <c r="B185" i="65" s="1"/>
  <c r="R182" i="65"/>
  <c r="S182" i="65" s="1"/>
  <c r="Y182" i="65" s="1"/>
  <c r="AF182" i="65"/>
  <c r="AH182" i="65"/>
  <c r="AV182" i="65"/>
  <c r="Q182" i="65"/>
  <c r="AE182" i="65"/>
  <c r="N184" i="65" l="1"/>
  <c r="P184" i="65"/>
  <c r="AB182" i="65"/>
  <c r="AC182" i="65" s="1"/>
  <c r="AD182" i="65" s="1"/>
  <c r="AG181" i="65"/>
  <c r="O185" i="65"/>
  <c r="C185" i="65"/>
  <c r="L185" i="65"/>
  <c r="M185" i="65" s="1"/>
  <c r="AG182" i="65"/>
  <c r="Q183" i="65"/>
  <c r="AV183" i="65"/>
  <c r="AF183" i="65"/>
  <c r="AH183" i="65"/>
  <c r="R183" i="65"/>
  <c r="S183" i="65" s="1"/>
  <c r="AE183" i="65"/>
  <c r="AO184" i="63" a="1"/>
  <c r="AO184" i="63" s="1"/>
  <c r="B186" i="65" s="1"/>
  <c r="D184" i="65"/>
  <c r="E184" i="65" s="1"/>
  <c r="F184" i="65" s="1"/>
  <c r="G184" i="65" s="1"/>
  <c r="H184" i="65" s="1"/>
  <c r="I184" i="65" s="1"/>
  <c r="J184" i="65" s="1"/>
  <c r="K184" i="65" s="1"/>
  <c r="U184" i="65"/>
  <c r="AM184" i="65"/>
  <c r="N185" i="65" l="1"/>
  <c r="U185" i="65" s="1"/>
  <c r="P185" i="65"/>
  <c r="Y183" i="65"/>
  <c r="AG183" i="65" s="1"/>
  <c r="Q184" i="65"/>
  <c r="AE184" i="65"/>
  <c r="AH184" i="65"/>
  <c r="R184" i="65"/>
  <c r="S184" i="65" s="1"/>
  <c r="AF184" i="65"/>
  <c r="AV184" i="65"/>
  <c r="AO185" i="63" a="1"/>
  <c r="AO185" i="63" s="1"/>
  <c r="B187" i="65" s="1"/>
  <c r="AM185" i="65"/>
  <c r="D185" i="65"/>
  <c r="E185" i="65" s="1"/>
  <c r="F185" i="65" s="1"/>
  <c r="G185" i="65" s="1"/>
  <c r="H185" i="65" s="1"/>
  <c r="I185" i="65" s="1"/>
  <c r="J185" i="65" s="1"/>
  <c r="K185" i="65" s="1"/>
  <c r="O186" i="65"/>
  <c r="C186" i="65"/>
  <c r="L186" i="65"/>
  <c r="M186" i="65" s="1"/>
  <c r="N186" i="65" l="1"/>
  <c r="U186" i="65" s="1"/>
  <c r="P186" i="65"/>
  <c r="AB183" i="65"/>
  <c r="AC183" i="65" s="1"/>
  <c r="AD183" i="65" s="1"/>
  <c r="Y184" i="65"/>
  <c r="AG184" i="65" s="1"/>
  <c r="L187" i="65"/>
  <c r="M187" i="65" s="1"/>
  <c r="O187" i="65"/>
  <c r="C187" i="65"/>
  <c r="AM186" i="65"/>
  <c r="D186" i="65"/>
  <c r="E186" i="65" s="1"/>
  <c r="F186" i="65" s="1"/>
  <c r="G186" i="65" s="1"/>
  <c r="H186" i="65" s="1"/>
  <c r="I186" i="65" s="1"/>
  <c r="J186" i="65" s="1"/>
  <c r="K186" i="65" s="1"/>
  <c r="AE185" i="65"/>
  <c r="AV185" i="65"/>
  <c r="AF185" i="65"/>
  <c r="R185" i="65"/>
  <c r="S185" i="65" s="1"/>
  <c r="Q185" i="65"/>
  <c r="AH185" i="65"/>
  <c r="AO186" i="63" a="1"/>
  <c r="AO186" i="63" s="1"/>
  <c r="B188" i="65" s="1"/>
  <c r="N187" i="65" l="1"/>
  <c r="U187" i="65" s="1"/>
  <c r="P187" i="65"/>
  <c r="AB184" i="65"/>
  <c r="AC184" i="65" s="1"/>
  <c r="AD184" i="65" s="1"/>
  <c r="Y185" i="65"/>
  <c r="AG185" i="65" s="1"/>
  <c r="AO187" i="63" a="1"/>
  <c r="AO187" i="63" s="1"/>
  <c r="B189" i="65" s="1"/>
  <c r="AF186" i="65"/>
  <c r="Q186" i="65"/>
  <c r="R186" i="65"/>
  <c r="S186" i="65" s="1"/>
  <c r="AV186" i="65"/>
  <c r="AH186" i="65"/>
  <c r="AE186" i="65"/>
  <c r="AM187" i="65"/>
  <c r="D187" i="65"/>
  <c r="E187" i="65" s="1"/>
  <c r="F187" i="65" s="1"/>
  <c r="G187" i="65" s="1"/>
  <c r="H187" i="65" s="1"/>
  <c r="I187" i="65" s="1"/>
  <c r="J187" i="65" s="1"/>
  <c r="K187" i="65" s="1"/>
  <c r="C188" i="65"/>
  <c r="L188" i="65"/>
  <c r="M188" i="65" s="1"/>
  <c r="O188" i="65"/>
  <c r="N188" i="65" l="1"/>
  <c r="U188" i="65" s="1"/>
  <c r="P188" i="65"/>
  <c r="AB185" i="65"/>
  <c r="AC185" i="65" s="1"/>
  <c r="AD185" i="65" s="1"/>
  <c r="Y186" i="65"/>
  <c r="AB186" i="65" s="1"/>
  <c r="AC186" i="65" s="1"/>
  <c r="AD186" i="65" s="1"/>
  <c r="AO188" i="63" a="1"/>
  <c r="AO188" i="63" s="1"/>
  <c r="B190" i="65" s="1"/>
  <c r="AM188" i="65"/>
  <c r="D188" i="65"/>
  <c r="E188" i="65" s="1"/>
  <c r="F188" i="65" s="1"/>
  <c r="G188" i="65" s="1"/>
  <c r="H188" i="65" s="1"/>
  <c r="I188" i="65" s="1"/>
  <c r="J188" i="65" s="1"/>
  <c r="K188" i="65" s="1"/>
  <c r="R187" i="65"/>
  <c r="S187" i="65" s="1"/>
  <c r="AH187" i="65"/>
  <c r="Q187" i="65"/>
  <c r="AF187" i="65"/>
  <c r="AE187" i="65"/>
  <c r="AV187" i="65"/>
  <c r="O189" i="65"/>
  <c r="C189" i="65"/>
  <c r="L189" i="65"/>
  <c r="M189" i="65" s="1"/>
  <c r="N189" i="65" l="1"/>
  <c r="U189" i="65" s="1"/>
  <c r="P189" i="65"/>
  <c r="AG186" i="65"/>
  <c r="Y187" i="65"/>
  <c r="AB187" i="65" s="1"/>
  <c r="AC187" i="65" s="1"/>
  <c r="AD187" i="65" s="1"/>
  <c r="AM189" i="65"/>
  <c r="D189" i="65"/>
  <c r="E189" i="65" s="1"/>
  <c r="F189" i="65" s="1"/>
  <c r="G189" i="65" s="1"/>
  <c r="H189" i="65" s="1"/>
  <c r="I189" i="65" s="1"/>
  <c r="J189" i="65" s="1"/>
  <c r="K189" i="65" s="1"/>
  <c r="AO189" i="63" a="1"/>
  <c r="AO189" i="63" s="1"/>
  <c r="B191" i="65" s="1"/>
  <c r="AF188" i="65"/>
  <c r="Q188" i="65"/>
  <c r="R188" i="65"/>
  <c r="S188" i="65" s="1"/>
  <c r="Y188" i="65" s="1"/>
  <c r="AE188" i="65"/>
  <c r="AV188" i="65"/>
  <c r="AH188" i="65"/>
  <c r="C190" i="65"/>
  <c r="O190" i="65"/>
  <c r="L190" i="65"/>
  <c r="M190" i="65" s="1"/>
  <c r="N190" i="65" l="1"/>
  <c r="U190" i="65" s="1"/>
  <c r="P190" i="65"/>
  <c r="AG187" i="65"/>
  <c r="AB188" i="65"/>
  <c r="AC188" i="65" s="1"/>
  <c r="AD188" i="65" s="1"/>
  <c r="AG188" i="65"/>
  <c r="AO190" i="63" a="1"/>
  <c r="AO190" i="63" s="1"/>
  <c r="B192" i="65" s="1"/>
  <c r="L191" i="65"/>
  <c r="M191" i="65" s="1"/>
  <c r="O191" i="65"/>
  <c r="C191" i="65"/>
  <c r="D190" i="65"/>
  <c r="E190" i="65" s="1"/>
  <c r="F190" i="65" s="1"/>
  <c r="G190" i="65" s="1"/>
  <c r="H190" i="65" s="1"/>
  <c r="I190" i="65" s="1"/>
  <c r="J190" i="65" s="1"/>
  <c r="K190" i="65" s="1"/>
  <c r="AM190" i="65"/>
  <c r="AE189" i="65"/>
  <c r="R189" i="65"/>
  <c r="S189" i="65" s="1"/>
  <c r="AF189" i="65"/>
  <c r="AH189" i="65"/>
  <c r="AV189" i="65"/>
  <c r="Q189" i="65"/>
  <c r="N191" i="65" l="1"/>
  <c r="U191" i="65" s="1"/>
  <c r="P191" i="65"/>
  <c r="Y189" i="65"/>
  <c r="AG189" i="65" s="1"/>
  <c r="AF190" i="65"/>
  <c r="AE190" i="65"/>
  <c r="R190" i="65"/>
  <c r="S190" i="65" s="1"/>
  <c r="Q190" i="65"/>
  <c r="AV190" i="65"/>
  <c r="AH190" i="65"/>
  <c r="O192" i="65"/>
  <c r="L192" i="65"/>
  <c r="M192" i="65" s="1"/>
  <c r="C192" i="65"/>
  <c r="AO191" i="63" a="1"/>
  <c r="AO191" i="63" s="1"/>
  <c r="B193" i="65" s="1"/>
  <c r="AM191" i="65"/>
  <c r="D191" i="65"/>
  <c r="E191" i="65" s="1"/>
  <c r="F191" i="65" s="1"/>
  <c r="G191" i="65" s="1"/>
  <c r="H191" i="65" s="1"/>
  <c r="I191" i="65" s="1"/>
  <c r="J191" i="65" s="1"/>
  <c r="K191" i="65" s="1"/>
  <c r="N192" i="65" l="1"/>
  <c r="U192" i="65" s="1"/>
  <c r="P192" i="65"/>
  <c r="AB189" i="65"/>
  <c r="AC189" i="65" s="1"/>
  <c r="AD189" i="65" s="1"/>
  <c r="Y190" i="65"/>
  <c r="AB190" i="65" s="1"/>
  <c r="AC190" i="65" s="1"/>
  <c r="AD190" i="65" s="1"/>
  <c r="O193" i="65"/>
  <c r="C193" i="65"/>
  <c r="L193" i="65"/>
  <c r="M193" i="65" s="1"/>
  <c r="AM192" i="65"/>
  <c r="D192" i="65"/>
  <c r="E192" i="65" s="1"/>
  <c r="F192" i="65" s="1"/>
  <c r="G192" i="65" s="1"/>
  <c r="H192" i="65" s="1"/>
  <c r="I192" i="65" s="1"/>
  <c r="J192" i="65" s="1"/>
  <c r="K192" i="65" s="1"/>
  <c r="AO192" i="63" a="1"/>
  <c r="AO192" i="63" s="1"/>
  <c r="B194" i="65" s="1"/>
  <c r="Q191" i="65"/>
  <c r="AV191" i="65"/>
  <c r="AE191" i="65"/>
  <c r="AF191" i="65"/>
  <c r="R191" i="65"/>
  <c r="S191" i="65" s="1"/>
  <c r="AH191" i="65"/>
  <c r="N193" i="65" l="1"/>
  <c r="U193" i="65" s="1"/>
  <c r="P193" i="65"/>
  <c r="AG190" i="65"/>
  <c r="Y191" i="65"/>
  <c r="AB191" i="65" s="1"/>
  <c r="AC191" i="65" s="1"/>
  <c r="AD191" i="65" s="1"/>
  <c r="C194" i="65"/>
  <c r="O194" i="65"/>
  <c r="L194" i="65"/>
  <c r="M194" i="65" s="1"/>
  <c r="AV192" i="65"/>
  <c r="AF192" i="65"/>
  <c r="AE192" i="65"/>
  <c r="R192" i="65"/>
  <c r="S192" i="65" s="1"/>
  <c r="AH192" i="65"/>
  <c r="Q192" i="65"/>
  <c r="AM193" i="65"/>
  <c r="D193" i="65"/>
  <c r="E193" i="65" s="1"/>
  <c r="F193" i="65" s="1"/>
  <c r="G193" i="65" s="1"/>
  <c r="H193" i="65" s="1"/>
  <c r="I193" i="65" s="1"/>
  <c r="J193" i="65" s="1"/>
  <c r="K193" i="65" s="1"/>
  <c r="AO193" i="63" a="1"/>
  <c r="AO193" i="63" s="1"/>
  <c r="B195" i="65" s="1"/>
  <c r="N194" i="65" l="1"/>
  <c r="U194" i="65" s="1"/>
  <c r="P194" i="65"/>
  <c r="AG191" i="65"/>
  <c r="Y192" i="65"/>
  <c r="AB192" i="65" s="1"/>
  <c r="AC192" i="65" s="1"/>
  <c r="AD192" i="65" s="1"/>
  <c r="L195" i="65"/>
  <c r="M195" i="65" s="1"/>
  <c r="O195" i="65"/>
  <c r="C195" i="65"/>
  <c r="R193" i="65"/>
  <c r="S193" i="65" s="1"/>
  <c r="AH193" i="65"/>
  <c r="AE193" i="65"/>
  <c r="AV193" i="65"/>
  <c r="Q193" i="65"/>
  <c r="AF193" i="65"/>
  <c r="AO194" i="63" a="1"/>
  <c r="AO194" i="63" s="1"/>
  <c r="B196" i="65" s="1"/>
  <c r="D194" i="65"/>
  <c r="E194" i="65" s="1"/>
  <c r="F194" i="65" s="1"/>
  <c r="G194" i="65" s="1"/>
  <c r="H194" i="65" s="1"/>
  <c r="I194" i="65" s="1"/>
  <c r="J194" i="65" s="1"/>
  <c r="K194" i="65" s="1"/>
  <c r="AM194" i="65"/>
  <c r="N195" i="65" l="1"/>
  <c r="U195" i="65" s="1"/>
  <c r="P195" i="65"/>
  <c r="AG192" i="65"/>
  <c r="Y193" i="65"/>
  <c r="AB193" i="65" s="1"/>
  <c r="AC193" i="65" s="1"/>
  <c r="AD193" i="65" s="1"/>
  <c r="C196" i="65"/>
  <c r="L196" i="65"/>
  <c r="M196" i="65" s="1"/>
  <c r="O196" i="65"/>
  <c r="AM195" i="65"/>
  <c r="D195" i="65"/>
  <c r="E195" i="65" s="1"/>
  <c r="F195" i="65" s="1"/>
  <c r="G195" i="65" s="1"/>
  <c r="H195" i="65" s="1"/>
  <c r="I195" i="65" s="1"/>
  <c r="J195" i="65" s="1"/>
  <c r="K195" i="65" s="1"/>
  <c r="AV194" i="65"/>
  <c r="AF194" i="65"/>
  <c r="R194" i="65"/>
  <c r="S194" i="65" s="1"/>
  <c r="Q194" i="65"/>
  <c r="AH194" i="65"/>
  <c r="AE194" i="65"/>
  <c r="AO195" i="63" a="1"/>
  <c r="AO195" i="63" s="1"/>
  <c r="B197" i="65" s="1"/>
  <c r="N196" i="65" l="1"/>
  <c r="U196" i="65" s="1"/>
  <c r="P196" i="65"/>
  <c r="AG193" i="65"/>
  <c r="Y194" i="65"/>
  <c r="AB194" i="65" s="1"/>
  <c r="AC194" i="65" s="1"/>
  <c r="AD194" i="65" s="1"/>
  <c r="R195" i="65"/>
  <c r="S195" i="65" s="1"/>
  <c r="AH195" i="65"/>
  <c r="Q195" i="65"/>
  <c r="AF195" i="65"/>
  <c r="AV195" i="65"/>
  <c r="AE195" i="65"/>
  <c r="AO196" i="63" a="1"/>
  <c r="AO196" i="63" s="1"/>
  <c r="B198" i="65" s="1"/>
  <c r="O197" i="65"/>
  <c r="L197" i="65"/>
  <c r="M197" i="65" s="1"/>
  <c r="C197" i="65"/>
  <c r="AM196" i="65"/>
  <c r="D196" i="65"/>
  <c r="E196" i="65" s="1"/>
  <c r="F196" i="65" s="1"/>
  <c r="G196" i="65" s="1"/>
  <c r="H196" i="65" s="1"/>
  <c r="I196" i="65" s="1"/>
  <c r="J196" i="65" s="1"/>
  <c r="K196" i="65" s="1"/>
  <c r="N197" i="65" l="1"/>
  <c r="U197" i="65" s="1"/>
  <c r="P197" i="65"/>
  <c r="Y195" i="65"/>
  <c r="AB195" i="65" s="1"/>
  <c r="AC195" i="65" s="1"/>
  <c r="AD195" i="65" s="1"/>
  <c r="AG194" i="65"/>
  <c r="AE196" i="65"/>
  <c r="AV196" i="65"/>
  <c r="Q196" i="65"/>
  <c r="AH196" i="65"/>
  <c r="AF196" i="65"/>
  <c r="R196" i="65"/>
  <c r="S196" i="65" s="1"/>
  <c r="D197" i="65"/>
  <c r="E197" i="65" s="1"/>
  <c r="F197" i="65" s="1"/>
  <c r="G197" i="65" s="1"/>
  <c r="H197" i="65" s="1"/>
  <c r="I197" i="65" s="1"/>
  <c r="J197" i="65" s="1"/>
  <c r="K197" i="65" s="1"/>
  <c r="AM197" i="65"/>
  <c r="C198" i="65"/>
  <c r="O198" i="65"/>
  <c r="L198" i="65"/>
  <c r="M198" i="65" s="1"/>
  <c r="AO197" i="63" a="1"/>
  <c r="AO197" i="63" s="1"/>
  <c r="B199" i="65" s="1"/>
  <c r="N198" i="65" l="1"/>
  <c r="U198" i="65" s="1"/>
  <c r="P198" i="65"/>
  <c r="AG195" i="65"/>
  <c r="Y196" i="65"/>
  <c r="AB196" i="65" s="1"/>
  <c r="AC196" i="65" s="1"/>
  <c r="AD196" i="65" s="1"/>
  <c r="AO198" i="63" a="1"/>
  <c r="AO198" i="63" s="1"/>
  <c r="B200" i="65" s="1"/>
  <c r="R197" i="65"/>
  <c r="S197" i="65" s="1"/>
  <c r="Y197" i="65" s="1"/>
  <c r="AF197" i="65"/>
  <c r="AH197" i="65"/>
  <c r="Q197" i="65"/>
  <c r="AV197" i="65"/>
  <c r="AE197" i="65"/>
  <c r="L199" i="65"/>
  <c r="M199" i="65" s="1"/>
  <c r="C199" i="65"/>
  <c r="O199" i="65"/>
  <c r="AM198" i="65"/>
  <c r="D198" i="65"/>
  <c r="E198" i="65" s="1"/>
  <c r="F198" i="65" s="1"/>
  <c r="G198" i="65" s="1"/>
  <c r="H198" i="65" s="1"/>
  <c r="I198" i="65" s="1"/>
  <c r="J198" i="65" s="1"/>
  <c r="K198" i="65" s="1"/>
  <c r="N199" i="65" l="1"/>
  <c r="U199" i="65" s="1"/>
  <c r="P199" i="65"/>
  <c r="AG196" i="65"/>
  <c r="AB197" i="65"/>
  <c r="AC197" i="65" s="1"/>
  <c r="AD197" i="65" s="1"/>
  <c r="AH198" i="65"/>
  <c r="AF198" i="65"/>
  <c r="AV198" i="65"/>
  <c r="R198" i="65"/>
  <c r="S198" i="65" s="1"/>
  <c r="AE198" i="65"/>
  <c r="Q198" i="65"/>
  <c r="AM199" i="65"/>
  <c r="D199" i="65"/>
  <c r="E199" i="65" s="1"/>
  <c r="F199" i="65" s="1"/>
  <c r="G199" i="65" s="1"/>
  <c r="H199" i="65" s="1"/>
  <c r="I199" i="65" s="1"/>
  <c r="J199" i="65" s="1"/>
  <c r="K199" i="65" s="1"/>
  <c r="AG197" i="65"/>
  <c r="AO199" i="63" a="1"/>
  <c r="AO199" i="63" s="1"/>
  <c r="B201" i="65" s="1"/>
  <c r="L200" i="65"/>
  <c r="M200" i="65" s="1"/>
  <c r="C200" i="65"/>
  <c r="O200" i="65"/>
  <c r="N200" i="65" l="1"/>
  <c r="U200" i="65" s="1"/>
  <c r="P200" i="65"/>
  <c r="Y198" i="65"/>
  <c r="AB198" i="65" s="1"/>
  <c r="AC198" i="65" s="1"/>
  <c r="AD198" i="65" s="1"/>
  <c r="AE199" i="65"/>
  <c r="AV199" i="65"/>
  <c r="R199" i="65"/>
  <c r="S199" i="65" s="1"/>
  <c r="AF199" i="65"/>
  <c r="Q199" i="65"/>
  <c r="AH199" i="65"/>
  <c r="AO200" i="63" a="1"/>
  <c r="AO200" i="63" s="1"/>
  <c r="B202" i="65" s="1"/>
  <c r="C201" i="65"/>
  <c r="O201" i="65"/>
  <c r="L201" i="65"/>
  <c r="M201" i="65" s="1"/>
  <c r="D200" i="65"/>
  <c r="E200" i="65" s="1"/>
  <c r="F200" i="65" s="1"/>
  <c r="G200" i="65" s="1"/>
  <c r="H200" i="65" s="1"/>
  <c r="I200" i="65" s="1"/>
  <c r="J200" i="65" s="1"/>
  <c r="K200" i="65" s="1"/>
  <c r="AM200" i="65"/>
  <c r="N201" i="65" l="1"/>
  <c r="U201" i="65" s="1"/>
  <c r="P201" i="65"/>
  <c r="AG198" i="65"/>
  <c r="Y199" i="65"/>
  <c r="AB199" i="65" s="1"/>
  <c r="AC199" i="65" s="1"/>
  <c r="AD199" i="65" s="1"/>
  <c r="C202" i="65"/>
  <c r="O202" i="65"/>
  <c r="L202" i="65"/>
  <c r="M202" i="65" s="1"/>
  <c r="AM201" i="65"/>
  <c r="D201" i="65"/>
  <c r="E201" i="65" s="1"/>
  <c r="F201" i="65" s="1"/>
  <c r="G201" i="65" s="1"/>
  <c r="H201" i="65" s="1"/>
  <c r="I201" i="65" s="1"/>
  <c r="J201" i="65" s="1"/>
  <c r="K201" i="65" s="1"/>
  <c r="AO201" i="63" a="1"/>
  <c r="AO201" i="63" s="1"/>
  <c r="B203" i="65" s="1"/>
  <c r="Q200" i="65"/>
  <c r="AF200" i="65"/>
  <c r="AV200" i="65"/>
  <c r="R200" i="65"/>
  <c r="S200" i="65" s="1"/>
  <c r="Y200" i="65" s="1"/>
  <c r="AH200" i="65"/>
  <c r="AE200" i="65"/>
  <c r="N202" i="65" l="1"/>
  <c r="P202" i="65"/>
  <c r="AB200" i="65"/>
  <c r="AC200" i="65" s="1"/>
  <c r="AD200" i="65" s="1"/>
  <c r="AG199" i="65"/>
  <c r="AO202" i="63" a="1"/>
  <c r="AO202" i="63" s="1"/>
  <c r="B204" i="65" s="1"/>
  <c r="AG200" i="65"/>
  <c r="O203" i="65"/>
  <c r="L203" i="65"/>
  <c r="M203" i="65" s="1"/>
  <c r="C203" i="65"/>
  <c r="R201" i="65"/>
  <c r="S201" i="65" s="1"/>
  <c r="Y201" i="65" s="1"/>
  <c r="AV201" i="65"/>
  <c r="Q201" i="65"/>
  <c r="AF201" i="65"/>
  <c r="AH201" i="65"/>
  <c r="AE201" i="65"/>
  <c r="AM202" i="65"/>
  <c r="U202" i="65"/>
  <c r="D202" i="65"/>
  <c r="E202" i="65" s="1"/>
  <c r="F202" i="65" s="1"/>
  <c r="G202" i="65" s="1"/>
  <c r="H202" i="65" s="1"/>
  <c r="I202" i="65" s="1"/>
  <c r="J202" i="65" s="1"/>
  <c r="K202" i="65" s="1"/>
  <c r="N203" i="65" l="1"/>
  <c r="U203" i="65" s="1"/>
  <c r="P203" i="65"/>
  <c r="AB201" i="65"/>
  <c r="AC201" i="65" s="1"/>
  <c r="AD201" i="65" s="1"/>
  <c r="AH202" i="65"/>
  <c r="R202" i="65"/>
  <c r="S202" i="65" s="1"/>
  <c r="AE202" i="65"/>
  <c r="AV202" i="65"/>
  <c r="Q202" i="65"/>
  <c r="AF202" i="65"/>
  <c r="AG201" i="65"/>
  <c r="AM203" i="65"/>
  <c r="D203" i="65"/>
  <c r="E203" i="65" s="1"/>
  <c r="F203" i="65" s="1"/>
  <c r="G203" i="65" s="1"/>
  <c r="H203" i="65" s="1"/>
  <c r="I203" i="65" s="1"/>
  <c r="J203" i="65" s="1"/>
  <c r="K203" i="65" s="1"/>
  <c r="O204" i="65"/>
  <c r="L204" i="65"/>
  <c r="M204" i="65" s="1"/>
  <c r="C204" i="65"/>
  <c r="AO203" i="63" a="1"/>
  <c r="AO203" i="63" s="1"/>
  <c r="B205" i="65" s="1"/>
  <c r="N204" i="65" l="1"/>
  <c r="U204" i="65" s="1"/>
  <c r="P204" i="65"/>
  <c r="Y202" i="65"/>
  <c r="AB202" i="65" s="1"/>
  <c r="AC202" i="65" s="1"/>
  <c r="AD202" i="65" s="1"/>
  <c r="R203" i="65"/>
  <c r="S203" i="65" s="1"/>
  <c r="AE203" i="65"/>
  <c r="AV203" i="65"/>
  <c r="Q203" i="65"/>
  <c r="AH203" i="65"/>
  <c r="AF203" i="65"/>
  <c r="C205" i="65"/>
  <c r="L205" i="65"/>
  <c r="M205" i="65" s="1"/>
  <c r="O205" i="65"/>
  <c r="D204" i="65"/>
  <c r="E204" i="65" s="1"/>
  <c r="F204" i="65" s="1"/>
  <c r="G204" i="65" s="1"/>
  <c r="H204" i="65" s="1"/>
  <c r="I204" i="65" s="1"/>
  <c r="J204" i="65" s="1"/>
  <c r="K204" i="65" s="1"/>
  <c r="AM204" i="65"/>
  <c r="AO204" i="63" a="1"/>
  <c r="AO204" i="63" s="1"/>
  <c r="B206" i="65" s="1"/>
  <c r="N205" i="65" l="1"/>
  <c r="U205" i="65" s="1"/>
  <c r="P205" i="65"/>
  <c r="AG202" i="65"/>
  <c r="Y203" i="65"/>
  <c r="AG203" i="65" s="1"/>
  <c r="AO205" i="63" a="1"/>
  <c r="AO205" i="63" s="1"/>
  <c r="B207" i="65" s="1"/>
  <c r="D205" i="65"/>
  <c r="E205" i="65" s="1"/>
  <c r="F205" i="65" s="1"/>
  <c r="G205" i="65" s="1"/>
  <c r="H205" i="65" s="1"/>
  <c r="I205" i="65" s="1"/>
  <c r="J205" i="65" s="1"/>
  <c r="K205" i="65" s="1"/>
  <c r="AM205" i="65"/>
  <c r="AF204" i="65"/>
  <c r="R204" i="65"/>
  <c r="S204" i="65" s="1"/>
  <c r="AE204" i="65"/>
  <c r="AV204" i="65"/>
  <c r="AH204" i="65"/>
  <c r="Q204" i="65"/>
  <c r="L206" i="65"/>
  <c r="M206" i="65" s="1"/>
  <c r="O206" i="65"/>
  <c r="C206" i="65"/>
  <c r="N206" i="65" l="1"/>
  <c r="U206" i="65" s="1"/>
  <c r="P206" i="65"/>
  <c r="AB203" i="65"/>
  <c r="AC203" i="65" s="1"/>
  <c r="AD203" i="65" s="1"/>
  <c r="Y204" i="65"/>
  <c r="AB204" i="65" s="1"/>
  <c r="AC204" i="65" s="1"/>
  <c r="AD204" i="65" s="1"/>
  <c r="C207" i="65"/>
  <c r="O207" i="65"/>
  <c r="L207" i="65"/>
  <c r="M207" i="65" s="1"/>
  <c r="AO206" i="63" a="1"/>
  <c r="AO206" i="63" s="1"/>
  <c r="B208" i="65" s="1"/>
  <c r="Q205" i="65"/>
  <c r="AV205" i="65"/>
  <c r="AF205" i="65"/>
  <c r="AH205" i="65"/>
  <c r="AE205" i="65"/>
  <c r="R205" i="65"/>
  <c r="S205" i="65" s="1"/>
  <c r="D206" i="65"/>
  <c r="E206" i="65" s="1"/>
  <c r="F206" i="65" s="1"/>
  <c r="G206" i="65" s="1"/>
  <c r="H206" i="65" s="1"/>
  <c r="I206" i="65" s="1"/>
  <c r="J206" i="65" s="1"/>
  <c r="K206" i="65" s="1"/>
  <c r="AM206" i="65"/>
  <c r="N207" i="65" l="1"/>
  <c r="U207" i="65" s="1"/>
  <c r="P207" i="65"/>
  <c r="Y205" i="65"/>
  <c r="AB205" i="65" s="1"/>
  <c r="AC205" i="65" s="1"/>
  <c r="AD205" i="65" s="1"/>
  <c r="AG204" i="65"/>
  <c r="AO207" i="63" a="1"/>
  <c r="AO207" i="63" s="1"/>
  <c r="B209" i="65" s="1"/>
  <c r="AV206" i="65"/>
  <c r="AF206" i="65"/>
  <c r="Q206" i="65"/>
  <c r="R206" i="65"/>
  <c r="S206" i="65" s="1"/>
  <c r="AH206" i="65"/>
  <c r="AE206" i="65"/>
  <c r="AM207" i="65"/>
  <c r="D207" i="65"/>
  <c r="E207" i="65" s="1"/>
  <c r="F207" i="65" s="1"/>
  <c r="G207" i="65" s="1"/>
  <c r="H207" i="65" s="1"/>
  <c r="I207" i="65" s="1"/>
  <c r="J207" i="65" s="1"/>
  <c r="K207" i="65" s="1"/>
  <c r="L208" i="65"/>
  <c r="M208" i="65" s="1"/>
  <c r="O208" i="65"/>
  <c r="C208" i="65"/>
  <c r="N208" i="65" l="1"/>
  <c r="U208" i="65" s="1"/>
  <c r="P208" i="65"/>
  <c r="Y206" i="65"/>
  <c r="AB206" i="65" s="1"/>
  <c r="AC206" i="65" s="1"/>
  <c r="AD206" i="65" s="1"/>
  <c r="AG205" i="65"/>
  <c r="AM208" i="65"/>
  <c r="D208" i="65"/>
  <c r="E208" i="65" s="1"/>
  <c r="F208" i="65" s="1"/>
  <c r="G208" i="65" s="1"/>
  <c r="H208" i="65" s="1"/>
  <c r="I208" i="65" s="1"/>
  <c r="J208" i="65" s="1"/>
  <c r="K208" i="65" s="1"/>
  <c r="AO208" i="63" a="1"/>
  <c r="AO208" i="63" s="1"/>
  <c r="B210" i="65" s="1"/>
  <c r="R207" i="65"/>
  <c r="S207" i="65" s="1"/>
  <c r="AV207" i="65"/>
  <c r="AF207" i="65"/>
  <c r="AH207" i="65"/>
  <c r="Q207" i="65"/>
  <c r="AE207" i="65"/>
  <c r="O209" i="65"/>
  <c r="C209" i="65"/>
  <c r="L209" i="65"/>
  <c r="M209" i="65" s="1"/>
  <c r="N209" i="65" l="1"/>
  <c r="U209" i="65" s="1"/>
  <c r="P209" i="65"/>
  <c r="AG206" i="65"/>
  <c r="Y207" i="65"/>
  <c r="AB207" i="65" s="1"/>
  <c r="AC207" i="65" s="1"/>
  <c r="AD207" i="65" s="1"/>
  <c r="AM209" i="65"/>
  <c r="D209" i="65"/>
  <c r="E209" i="65" s="1"/>
  <c r="F209" i="65" s="1"/>
  <c r="G209" i="65" s="1"/>
  <c r="H209" i="65" s="1"/>
  <c r="I209" i="65" s="1"/>
  <c r="J209" i="65" s="1"/>
  <c r="K209" i="65" s="1"/>
  <c r="O210" i="65"/>
  <c r="C210" i="65"/>
  <c r="L210" i="65"/>
  <c r="M210" i="65" s="1"/>
  <c r="AO209" i="63" a="1"/>
  <c r="AO209" i="63" s="1"/>
  <c r="B211" i="65" s="1"/>
  <c r="AF208" i="65"/>
  <c r="R208" i="65"/>
  <c r="S208" i="65" s="1"/>
  <c r="Y208" i="65" s="1"/>
  <c r="AV208" i="65"/>
  <c r="AE208" i="65"/>
  <c r="AH208" i="65"/>
  <c r="Q208" i="65"/>
  <c r="N210" i="65" l="1"/>
  <c r="U210" i="65" s="1"/>
  <c r="P210" i="65"/>
  <c r="AG207" i="65"/>
  <c r="AB208" i="65"/>
  <c r="AC208" i="65" s="1"/>
  <c r="AD208" i="65" s="1"/>
  <c r="AO210" i="63" a="1"/>
  <c r="AO210" i="63" s="1"/>
  <c r="B212" i="65" s="1"/>
  <c r="AG208" i="65"/>
  <c r="D210" i="65"/>
  <c r="E210" i="65" s="1"/>
  <c r="F210" i="65" s="1"/>
  <c r="G210" i="65" s="1"/>
  <c r="H210" i="65" s="1"/>
  <c r="I210" i="65" s="1"/>
  <c r="J210" i="65" s="1"/>
  <c r="K210" i="65" s="1"/>
  <c r="AM210" i="65"/>
  <c r="O211" i="65"/>
  <c r="L211" i="65"/>
  <c r="M211" i="65" s="1"/>
  <c r="C211" i="65"/>
  <c r="AE209" i="65"/>
  <c r="AH209" i="65"/>
  <c r="Q209" i="65"/>
  <c r="AF209" i="65"/>
  <c r="AV209" i="65"/>
  <c r="R209" i="65"/>
  <c r="S209" i="65" s="1"/>
  <c r="N211" i="65" l="1"/>
  <c r="U211" i="65" s="1"/>
  <c r="P211" i="65"/>
  <c r="Y209" i="65"/>
  <c r="AG209" i="65" s="1"/>
  <c r="AE210" i="65"/>
  <c r="R210" i="65"/>
  <c r="S210" i="65" s="1"/>
  <c r="Q210" i="65"/>
  <c r="AF210" i="65"/>
  <c r="AV210" i="65"/>
  <c r="AH210" i="65"/>
  <c r="AM211" i="65"/>
  <c r="D211" i="65"/>
  <c r="E211" i="65" s="1"/>
  <c r="F211" i="65" s="1"/>
  <c r="G211" i="65" s="1"/>
  <c r="H211" i="65" s="1"/>
  <c r="I211" i="65" s="1"/>
  <c r="J211" i="65" s="1"/>
  <c r="K211" i="65" s="1"/>
  <c r="C212" i="65"/>
  <c r="O212" i="65"/>
  <c r="L212" i="65"/>
  <c r="M212" i="65" s="1"/>
  <c r="AO211" i="63" a="1"/>
  <c r="AO211" i="63" s="1"/>
  <c r="B213" i="65" s="1"/>
  <c r="N212" i="65" l="1"/>
  <c r="U212" i="65" s="1"/>
  <c r="P212" i="65"/>
  <c r="AB209" i="65"/>
  <c r="AC209" i="65" s="1"/>
  <c r="AD209" i="65" s="1"/>
  <c r="Y210" i="65"/>
  <c r="AB210" i="65" s="1"/>
  <c r="AC210" i="65" s="1"/>
  <c r="AD210" i="65" s="1"/>
  <c r="AO212" i="63" a="1"/>
  <c r="AO212" i="63" s="1"/>
  <c r="B214" i="65" s="1"/>
  <c r="C213" i="65"/>
  <c r="O213" i="65"/>
  <c r="L213" i="65"/>
  <c r="M213" i="65" s="1"/>
  <c r="AM212" i="65"/>
  <c r="D212" i="65"/>
  <c r="E212" i="65" s="1"/>
  <c r="F212" i="65" s="1"/>
  <c r="G212" i="65" s="1"/>
  <c r="H212" i="65" s="1"/>
  <c r="I212" i="65" s="1"/>
  <c r="J212" i="65" s="1"/>
  <c r="K212" i="65" s="1"/>
  <c r="AV211" i="65"/>
  <c r="AF211" i="65"/>
  <c r="AE211" i="65"/>
  <c r="Q211" i="65"/>
  <c r="R211" i="65"/>
  <c r="S211" i="65" s="1"/>
  <c r="Y211" i="65" s="1"/>
  <c r="AH211" i="65"/>
  <c r="N213" i="65" l="1"/>
  <c r="U213" i="65" s="1"/>
  <c r="P213" i="65"/>
  <c r="AB211" i="65"/>
  <c r="AC211" i="65" s="1"/>
  <c r="AD211" i="65" s="1"/>
  <c r="AG210" i="65"/>
  <c r="AG211" i="65"/>
  <c r="AO213" i="63" a="1"/>
  <c r="AO213" i="63" s="1"/>
  <c r="B215" i="65" s="1"/>
  <c r="R212" i="65"/>
  <c r="S212" i="65" s="1"/>
  <c r="AE212" i="65"/>
  <c r="Q212" i="65"/>
  <c r="AF212" i="65"/>
  <c r="AH212" i="65"/>
  <c r="AV212" i="65"/>
  <c r="D213" i="65"/>
  <c r="E213" i="65" s="1"/>
  <c r="F213" i="65" s="1"/>
  <c r="G213" i="65" s="1"/>
  <c r="H213" i="65" s="1"/>
  <c r="I213" i="65" s="1"/>
  <c r="J213" i="65" s="1"/>
  <c r="K213" i="65" s="1"/>
  <c r="AM213" i="65"/>
  <c r="O214" i="65"/>
  <c r="L214" i="65"/>
  <c r="M214" i="65" s="1"/>
  <c r="C214" i="65"/>
  <c r="N214" i="65" l="1"/>
  <c r="U214" i="65" s="1"/>
  <c r="P214" i="65"/>
  <c r="Y212" i="65"/>
  <c r="AB212" i="65" s="1"/>
  <c r="AC212" i="65" s="1"/>
  <c r="AD212" i="65" s="1"/>
  <c r="C215" i="65"/>
  <c r="O215" i="65"/>
  <c r="L215" i="65"/>
  <c r="M215" i="65" s="1"/>
  <c r="D214" i="65"/>
  <c r="E214" i="65" s="1"/>
  <c r="F214" i="65" s="1"/>
  <c r="G214" i="65" s="1"/>
  <c r="H214" i="65" s="1"/>
  <c r="I214" i="65" s="1"/>
  <c r="J214" i="65" s="1"/>
  <c r="K214" i="65" s="1"/>
  <c r="AM214" i="65"/>
  <c r="AF213" i="65"/>
  <c r="AE213" i="65"/>
  <c r="Q213" i="65"/>
  <c r="AH213" i="65"/>
  <c r="AV213" i="65"/>
  <c r="R213" i="65"/>
  <c r="S213" i="65" s="1"/>
  <c r="Y213" i="65" s="1"/>
  <c r="AO214" i="63" a="1"/>
  <c r="AO214" i="63" s="1"/>
  <c r="B216" i="65" s="1"/>
  <c r="N215" i="65" l="1"/>
  <c r="U215" i="65" s="1"/>
  <c r="P215" i="65"/>
  <c r="AB213" i="65"/>
  <c r="AC213" i="65" s="1"/>
  <c r="AD213" i="65" s="1"/>
  <c r="AG212" i="65"/>
  <c r="O216" i="65"/>
  <c r="L216" i="65"/>
  <c r="M216" i="65" s="1"/>
  <c r="C216" i="65"/>
  <c r="AV214" i="65"/>
  <c r="AF214" i="65"/>
  <c r="Q214" i="65"/>
  <c r="AH214" i="65"/>
  <c r="AE214" i="65"/>
  <c r="R214" i="65"/>
  <c r="S214" i="65" s="1"/>
  <c r="Y214" i="65" s="1"/>
  <c r="D215" i="65"/>
  <c r="E215" i="65" s="1"/>
  <c r="F215" i="65" s="1"/>
  <c r="G215" i="65" s="1"/>
  <c r="H215" i="65" s="1"/>
  <c r="I215" i="65" s="1"/>
  <c r="J215" i="65" s="1"/>
  <c r="K215" i="65" s="1"/>
  <c r="AM215" i="65"/>
  <c r="AO215" i="63" a="1"/>
  <c r="AO215" i="63" s="1"/>
  <c r="B217" i="65" s="1"/>
  <c r="AG213" i="65"/>
  <c r="N216" i="65" l="1"/>
  <c r="U216" i="65" s="1"/>
  <c r="P216" i="65"/>
  <c r="AB214" i="65"/>
  <c r="AC214" i="65" s="1"/>
  <c r="AD214" i="65" s="1"/>
  <c r="D216" i="65"/>
  <c r="E216" i="65" s="1"/>
  <c r="F216" i="65" s="1"/>
  <c r="G216" i="65" s="1"/>
  <c r="H216" i="65" s="1"/>
  <c r="I216" i="65" s="1"/>
  <c r="J216" i="65" s="1"/>
  <c r="K216" i="65" s="1"/>
  <c r="AM216" i="65"/>
  <c r="AO216" i="63" a="1"/>
  <c r="AO216" i="63" s="1"/>
  <c r="B218" i="65" s="1"/>
  <c r="O217" i="65"/>
  <c r="C217" i="65"/>
  <c r="L217" i="65"/>
  <c r="M217" i="65" s="1"/>
  <c r="AV215" i="65"/>
  <c r="R215" i="65"/>
  <c r="S215" i="65" s="1"/>
  <c r="AF215" i="65"/>
  <c r="AE215" i="65"/>
  <c r="Q215" i="65"/>
  <c r="AH215" i="65"/>
  <c r="AG214" i="65"/>
  <c r="N217" i="65" l="1"/>
  <c r="U217" i="65" s="1"/>
  <c r="P217" i="65"/>
  <c r="Y215" i="65"/>
  <c r="AB215" i="65" s="1"/>
  <c r="AC215" i="65" s="1"/>
  <c r="AD215" i="65" s="1"/>
  <c r="O218" i="65"/>
  <c r="C218" i="65"/>
  <c r="L218" i="65"/>
  <c r="M218" i="65" s="1"/>
  <c r="D217" i="65"/>
  <c r="E217" i="65" s="1"/>
  <c r="F217" i="65" s="1"/>
  <c r="G217" i="65" s="1"/>
  <c r="H217" i="65" s="1"/>
  <c r="I217" i="65" s="1"/>
  <c r="J217" i="65" s="1"/>
  <c r="K217" i="65" s="1"/>
  <c r="AM217" i="65"/>
  <c r="R216" i="65"/>
  <c r="S216" i="65" s="1"/>
  <c r="Y216" i="65" s="1"/>
  <c r="AH216" i="65"/>
  <c r="AF216" i="65"/>
  <c r="Q216" i="65"/>
  <c r="AE216" i="65"/>
  <c r="AV216" i="65"/>
  <c r="AO217" i="63" a="1"/>
  <c r="AO217" i="63" s="1"/>
  <c r="B219" i="65" s="1"/>
  <c r="N218" i="65" l="1"/>
  <c r="U218" i="65" s="1"/>
  <c r="P218" i="65"/>
  <c r="AG215" i="65"/>
  <c r="AB216" i="65"/>
  <c r="AC216" i="65" s="1"/>
  <c r="AD216" i="65" s="1"/>
  <c r="AO218" i="63" a="1"/>
  <c r="AO218" i="63" s="1"/>
  <c r="B220" i="65" s="1"/>
  <c r="AM218" i="65"/>
  <c r="D218" i="65"/>
  <c r="E218" i="65" s="1"/>
  <c r="F218" i="65" s="1"/>
  <c r="G218" i="65" s="1"/>
  <c r="H218" i="65" s="1"/>
  <c r="I218" i="65" s="1"/>
  <c r="J218" i="65" s="1"/>
  <c r="K218" i="65" s="1"/>
  <c r="O219" i="65"/>
  <c r="L219" i="65"/>
  <c r="M219" i="65" s="1"/>
  <c r="C219" i="65"/>
  <c r="AG216" i="65"/>
  <c r="AV217" i="65"/>
  <c r="Q217" i="65"/>
  <c r="AE217" i="65"/>
  <c r="AH217" i="65"/>
  <c r="R217" i="65"/>
  <c r="S217" i="65" s="1"/>
  <c r="AF217" i="65"/>
  <c r="N219" i="65" l="1"/>
  <c r="U219" i="65" s="1"/>
  <c r="P219" i="65"/>
  <c r="Y217" i="65"/>
  <c r="AB217" i="65" s="1"/>
  <c r="AC217" i="65" s="1"/>
  <c r="AD217" i="65" s="1"/>
  <c r="R218" i="65"/>
  <c r="S218" i="65" s="1"/>
  <c r="AV218" i="65"/>
  <c r="AE218" i="65"/>
  <c r="AH218" i="65"/>
  <c r="AF218" i="65"/>
  <c r="Q218" i="65"/>
  <c r="AM219" i="65"/>
  <c r="D219" i="65"/>
  <c r="E219" i="65" s="1"/>
  <c r="F219" i="65" s="1"/>
  <c r="G219" i="65" s="1"/>
  <c r="H219" i="65" s="1"/>
  <c r="I219" i="65" s="1"/>
  <c r="J219" i="65" s="1"/>
  <c r="K219" i="65" s="1"/>
  <c r="AO219" i="63" a="1"/>
  <c r="AO219" i="63" s="1"/>
  <c r="B221" i="65" s="1"/>
  <c r="L220" i="65"/>
  <c r="M220" i="65" s="1"/>
  <c r="O220" i="65"/>
  <c r="C220" i="65"/>
  <c r="N220" i="65" l="1"/>
  <c r="U220" i="65" s="1"/>
  <c r="P220" i="65"/>
  <c r="AG217" i="65"/>
  <c r="Y218" i="65"/>
  <c r="AG218" i="65" s="1"/>
  <c r="AM220" i="65"/>
  <c r="D220" i="65"/>
  <c r="E220" i="65" s="1"/>
  <c r="F220" i="65" s="1"/>
  <c r="G220" i="65" s="1"/>
  <c r="H220" i="65" s="1"/>
  <c r="I220" i="65" s="1"/>
  <c r="J220" i="65" s="1"/>
  <c r="K220" i="65" s="1"/>
  <c r="AO220" i="63" a="1"/>
  <c r="AO220" i="63" s="1"/>
  <c r="B222" i="65" s="1"/>
  <c r="O221" i="65"/>
  <c r="C221" i="65"/>
  <c r="L221" i="65"/>
  <c r="M221" i="65" s="1"/>
  <c r="R219" i="65"/>
  <c r="S219" i="65" s="1"/>
  <c r="Q219" i="65"/>
  <c r="AH219" i="65"/>
  <c r="AV219" i="65"/>
  <c r="AE219" i="65"/>
  <c r="AF219" i="65"/>
  <c r="N221" i="65" l="1"/>
  <c r="U221" i="65" s="1"/>
  <c r="P221" i="65"/>
  <c r="AB218" i="65"/>
  <c r="AC218" i="65" s="1"/>
  <c r="AD218" i="65" s="1"/>
  <c r="Y219" i="65"/>
  <c r="AB219" i="65" s="1"/>
  <c r="AC219" i="65" s="1"/>
  <c r="AD219" i="65" s="1"/>
  <c r="AO221" i="63" a="1"/>
  <c r="AO221" i="63" s="1"/>
  <c r="B223" i="65" s="1"/>
  <c r="AM221" i="65"/>
  <c r="D221" i="65"/>
  <c r="E221" i="65" s="1"/>
  <c r="F221" i="65" s="1"/>
  <c r="G221" i="65" s="1"/>
  <c r="H221" i="65" s="1"/>
  <c r="I221" i="65" s="1"/>
  <c r="J221" i="65" s="1"/>
  <c r="K221" i="65" s="1"/>
  <c r="Q220" i="65"/>
  <c r="R220" i="65"/>
  <c r="S220" i="65" s="1"/>
  <c r="Y220" i="65" s="1"/>
  <c r="AF220" i="65"/>
  <c r="AH220" i="65"/>
  <c r="AE220" i="65"/>
  <c r="AV220" i="65"/>
  <c r="L222" i="65"/>
  <c r="M222" i="65" s="1"/>
  <c r="O222" i="65"/>
  <c r="C222" i="65"/>
  <c r="N222" i="65" l="1"/>
  <c r="U222" i="65" s="1"/>
  <c r="P222" i="65"/>
  <c r="AG219" i="65"/>
  <c r="AB220" i="65"/>
  <c r="AC220" i="65" s="1"/>
  <c r="AD220" i="65" s="1"/>
  <c r="AO222" i="63" a="1"/>
  <c r="AO222" i="63" s="1"/>
  <c r="B224" i="65" s="1"/>
  <c r="AM222" i="65"/>
  <c r="D222" i="65"/>
  <c r="E222" i="65" s="1"/>
  <c r="F222" i="65" s="1"/>
  <c r="G222" i="65" s="1"/>
  <c r="H222" i="65" s="1"/>
  <c r="I222" i="65" s="1"/>
  <c r="J222" i="65" s="1"/>
  <c r="K222" i="65" s="1"/>
  <c r="AH221" i="65"/>
  <c r="Q221" i="65"/>
  <c r="R221" i="65"/>
  <c r="S221" i="65" s="1"/>
  <c r="AV221" i="65"/>
  <c r="AF221" i="65"/>
  <c r="AE221" i="65"/>
  <c r="AG220" i="65"/>
  <c r="O223" i="65"/>
  <c r="L223" i="65"/>
  <c r="M223" i="65" s="1"/>
  <c r="C223" i="65"/>
  <c r="N223" i="65" l="1"/>
  <c r="U223" i="65" s="1"/>
  <c r="P223" i="65"/>
  <c r="Y221" i="65"/>
  <c r="AB221" i="65" s="1"/>
  <c r="AC221" i="65" s="1"/>
  <c r="AD221" i="65" s="1"/>
  <c r="AO223" i="63" a="1"/>
  <c r="AO223" i="63" s="1"/>
  <c r="B225" i="65" s="1"/>
  <c r="AE222" i="65"/>
  <c r="AH222" i="65"/>
  <c r="AF222" i="65"/>
  <c r="AV222" i="65"/>
  <c r="R222" i="65"/>
  <c r="S222" i="65" s="1"/>
  <c r="Q222" i="65"/>
  <c r="D223" i="65"/>
  <c r="E223" i="65" s="1"/>
  <c r="F223" i="65" s="1"/>
  <c r="G223" i="65" s="1"/>
  <c r="H223" i="65" s="1"/>
  <c r="I223" i="65" s="1"/>
  <c r="J223" i="65" s="1"/>
  <c r="K223" i="65" s="1"/>
  <c r="AM223" i="65"/>
  <c r="C224" i="65"/>
  <c r="L224" i="65"/>
  <c r="M224" i="65" s="1"/>
  <c r="O224" i="65"/>
  <c r="N224" i="65" l="1"/>
  <c r="U224" i="65" s="1"/>
  <c r="P224" i="65"/>
  <c r="AG221" i="65"/>
  <c r="Y222" i="65"/>
  <c r="AB222" i="65" s="1"/>
  <c r="AC222" i="65" s="1"/>
  <c r="AD222" i="65" s="1"/>
  <c r="AM224" i="65"/>
  <c r="D224" i="65"/>
  <c r="E224" i="65" s="1"/>
  <c r="F224" i="65" s="1"/>
  <c r="G224" i="65" s="1"/>
  <c r="H224" i="65" s="1"/>
  <c r="I224" i="65" s="1"/>
  <c r="J224" i="65" s="1"/>
  <c r="K224" i="65" s="1"/>
  <c r="AO224" i="63" a="1"/>
  <c r="AO224" i="63" s="1"/>
  <c r="B226" i="65" s="1"/>
  <c r="Q223" i="65"/>
  <c r="AH223" i="65"/>
  <c r="AE223" i="65"/>
  <c r="AF223" i="65"/>
  <c r="R223" i="65"/>
  <c r="S223" i="65" s="1"/>
  <c r="AV223" i="65"/>
  <c r="L225" i="65"/>
  <c r="M225" i="65" s="1"/>
  <c r="O225" i="65"/>
  <c r="C225" i="65"/>
  <c r="N225" i="65" l="1"/>
  <c r="U225" i="65" s="1"/>
  <c r="P225" i="65"/>
  <c r="AG222" i="65"/>
  <c r="Y223" i="65"/>
  <c r="AB223" i="65" s="1"/>
  <c r="AC223" i="65" s="1"/>
  <c r="AD223" i="65" s="1"/>
  <c r="D225" i="65"/>
  <c r="E225" i="65" s="1"/>
  <c r="F225" i="65" s="1"/>
  <c r="G225" i="65" s="1"/>
  <c r="H225" i="65" s="1"/>
  <c r="I225" i="65" s="1"/>
  <c r="J225" i="65" s="1"/>
  <c r="K225" i="65" s="1"/>
  <c r="AM225" i="65"/>
  <c r="AV224" i="65"/>
  <c r="AE224" i="65"/>
  <c r="AH224" i="65"/>
  <c r="R224" i="65"/>
  <c r="S224" i="65" s="1"/>
  <c r="Y224" i="65" s="1"/>
  <c r="AF224" i="65"/>
  <c r="Q224" i="65"/>
  <c r="AO225" i="63" a="1"/>
  <c r="AO225" i="63" s="1"/>
  <c r="B227" i="65" s="1"/>
  <c r="L226" i="65"/>
  <c r="M226" i="65" s="1"/>
  <c r="C226" i="65"/>
  <c r="O226" i="65"/>
  <c r="N226" i="65" l="1"/>
  <c r="U226" i="65" s="1"/>
  <c r="P226" i="65"/>
  <c r="AG223" i="65"/>
  <c r="AB224" i="65"/>
  <c r="AC224" i="65" s="1"/>
  <c r="AD224" i="65" s="1"/>
  <c r="AG224" i="65"/>
  <c r="AO226" i="63" a="1"/>
  <c r="AO226" i="63" s="1"/>
  <c r="B228" i="65" s="1"/>
  <c r="AV225" i="65"/>
  <c r="AH225" i="65"/>
  <c r="AE225" i="65"/>
  <c r="AF225" i="65"/>
  <c r="R225" i="65"/>
  <c r="S225" i="65" s="1"/>
  <c r="Q225" i="65"/>
  <c r="D226" i="65"/>
  <c r="E226" i="65" s="1"/>
  <c r="F226" i="65" s="1"/>
  <c r="G226" i="65" s="1"/>
  <c r="H226" i="65" s="1"/>
  <c r="I226" i="65" s="1"/>
  <c r="J226" i="65" s="1"/>
  <c r="K226" i="65" s="1"/>
  <c r="AM226" i="65"/>
  <c r="L227" i="65"/>
  <c r="M227" i="65" s="1"/>
  <c r="C227" i="65"/>
  <c r="O227" i="65"/>
  <c r="N227" i="65" l="1"/>
  <c r="U227" i="65" s="1"/>
  <c r="P227" i="65"/>
  <c r="Y225" i="65"/>
  <c r="AB225" i="65" s="1"/>
  <c r="AC225" i="65" s="1"/>
  <c r="AD225" i="65" s="1"/>
  <c r="AO227" i="63" a="1"/>
  <c r="AO227" i="63" s="1"/>
  <c r="B229" i="65" s="1"/>
  <c r="AM227" i="65"/>
  <c r="D227" i="65"/>
  <c r="E227" i="65" s="1"/>
  <c r="F227" i="65" s="1"/>
  <c r="G227" i="65" s="1"/>
  <c r="H227" i="65" s="1"/>
  <c r="I227" i="65" s="1"/>
  <c r="J227" i="65" s="1"/>
  <c r="K227" i="65" s="1"/>
  <c r="R226" i="65"/>
  <c r="S226" i="65" s="1"/>
  <c r="Q226" i="65"/>
  <c r="AV226" i="65"/>
  <c r="AH226" i="65"/>
  <c r="AF226" i="65"/>
  <c r="AE226" i="65"/>
  <c r="C228" i="65"/>
  <c r="O228" i="65"/>
  <c r="L228" i="65"/>
  <c r="M228" i="65" s="1"/>
  <c r="N228" i="65" l="1"/>
  <c r="U228" i="65" s="1"/>
  <c r="P228" i="65"/>
  <c r="Y226" i="65"/>
  <c r="AB226" i="65" s="1"/>
  <c r="AC226" i="65" s="1"/>
  <c r="AD226" i="65" s="1"/>
  <c r="AG225" i="65"/>
  <c r="AH227" i="65"/>
  <c r="Q227" i="65"/>
  <c r="AV227" i="65"/>
  <c r="AE227" i="65"/>
  <c r="AF227" i="65"/>
  <c r="R227" i="65"/>
  <c r="S227" i="65" s="1"/>
  <c r="AO228" i="63" a="1"/>
  <c r="AO228" i="63" s="1"/>
  <c r="B230" i="65" s="1"/>
  <c r="AM228" i="65"/>
  <c r="D228" i="65"/>
  <c r="E228" i="65" s="1"/>
  <c r="F228" i="65" s="1"/>
  <c r="G228" i="65" s="1"/>
  <c r="H228" i="65" s="1"/>
  <c r="I228" i="65" s="1"/>
  <c r="J228" i="65" s="1"/>
  <c r="K228" i="65" s="1"/>
  <c r="O229" i="65"/>
  <c r="L229" i="65"/>
  <c r="M229" i="65" s="1"/>
  <c r="C229" i="65"/>
  <c r="N229" i="65" l="1"/>
  <c r="U229" i="65" s="1"/>
  <c r="P229" i="65"/>
  <c r="AG226" i="65"/>
  <c r="Y227" i="65"/>
  <c r="AB227" i="65" s="1"/>
  <c r="AC227" i="65" s="1"/>
  <c r="AD227" i="65" s="1"/>
  <c r="AO229" i="63" a="1"/>
  <c r="AO229" i="63" s="1"/>
  <c r="B231" i="65" s="1"/>
  <c r="AV228" i="65"/>
  <c r="R228" i="65"/>
  <c r="S228" i="65" s="1"/>
  <c r="AH228" i="65"/>
  <c r="Q228" i="65"/>
  <c r="AF228" i="65"/>
  <c r="AE228" i="65"/>
  <c r="C230" i="65"/>
  <c r="L230" i="65"/>
  <c r="M230" i="65" s="1"/>
  <c r="O230" i="65"/>
  <c r="D229" i="65"/>
  <c r="E229" i="65" s="1"/>
  <c r="F229" i="65" s="1"/>
  <c r="G229" i="65" s="1"/>
  <c r="H229" i="65" s="1"/>
  <c r="I229" i="65" s="1"/>
  <c r="J229" i="65" s="1"/>
  <c r="K229" i="65" s="1"/>
  <c r="AM229" i="65"/>
  <c r="N230" i="65" l="1"/>
  <c r="U230" i="65" s="1"/>
  <c r="P230" i="65"/>
  <c r="AG227" i="65"/>
  <c r="Y228" i="65"/>
  <c r="AG228" i="65" s="1"/>
  <c r="AO230" i="63" a="1"/>
  <c r="AO230" i="63" s="1"/>
  <c r="B232" i="65" s="1"/>
  <c r="R229" i="65"/>
  <c r="S229" i="65" s="1"/>
  <c r="AE229" i="65"/>
  <c r="AF229" i="65"/>
  <c r="Q229" i="65"/>
  <c r="AV229" i="65"/>
  <c r="AH229" i="65"/>
  <c r="D230" i="65"/>
  <c r="E230" i="65" s="1"/>
  <c r="F230" i="65" s="1"/>
  <c r="G230" i="65" s="1"/>
  <c r="H230" i="65" s="1"/>
  <c r="I230" i="65" s="1"/>
  <c r="J230" i="65" s="1"/>
  <c r="K230" i="65" s="1"/>
  <c r="AM230" i="65"/>
  <c r="O231" i="65"/>
  <c r="C231" i="65"/>
  <c r="L231" i="65"/>
  <c r="M231" i="65" s="1"/>
  <c r="N231" i="65" l="1"/>
  <c r="U231" i="65" s="1"/>
  <c r="P231" i="65"/>
  <c r="AB228" i="65"/>
  <c r="AC228" i="65" s="1"/>
  <c r="AD228" i="65" s="1"/>
  <c r="Y229" i="65"/>
  <c r="AB229" i="65" s="1"/>
  <c r="AC229" i="65" s="1"/>
  <c r="AD229" i="65" s="1"/>
  <c r="D231" i="65"/>
  <c r="E231" i="65" s="1"/>
  <c r="F231" i="65" s="1"/>
  <c r="G231" i="65" s="1"/>
  <c r="H231" i="65" s="1"/>
  <c r="I231" i="65" s="1"/>
  <c r="J231" i="65" s="1"/>
  <c r="K231" i="65" s="1"/>
  <c r="AM231" i="65"/>
  <c r="R230" i="65"/>
  <c r="S230" i="65" s="1"/>
  <c r="Y230" i="65" s="1"/>
  <c r="AE230" i="65"/>
  <c r="AV230" i="65"/>
  <c r="AF230" i="65"/>
  <c r="Q230" i="65"/>
  <c r="AH230" i="65"/>
  <c r="L232" i="65"/>
  <c r="M232" i="65" s="1"/>
  <c r="O232" i="65"/>
  <c r="C232" i="65"/>
  <c r="AO231" i="63" a="1"/>
  <c r="AO231" i="63" s="1"/>
  <c r="B233" i="65" s="1"/>
  <c r="N232" i="65" l="1"/>
  <c r="P232" i="65"/>
  <c r="AB230" i="65"/>
  <c r="AC230" i="65" s="1"/>
  <c r="AD230" i="65" s="1"/>
  <c r="AG229" i="65"/>
  <c r="AG230" i="65"/>
  <c r="L233" i="65"/>
  <c r="M233" i="65" s="1"/>
  <c r="O233" i="65"/>
  <c r="C233" i="65"/>
  <c r="AH231" i="65"/>
  <c r="Q231" i="65"/>
  <c r="AV231" i="65"/>
  <c r="AE231" i="65"/>
  <c r="AF231" i="65"/>
  <c r="R231" i="65"/>
  <c r="S231" i="65" s="1"/>
  <c r="D232" i="65"/>
  <c r="E232" i="65" s="1"/>
  <c r="F232" i="65" s="1"/>
  <c r="G232" i="65" s="1"/>
  <c r="H232" i="65" s="1"/>
  <c r="I232" i="65" s="1"/>
  <c r="J232" i="65" s="1"/>
  <c r="K232" i="65" s="1"/>
  <c r="AM232" i="65"/>
  <c r="U232" i="65"/>
  <c r="AO232" i="63" a="1"/>
  <c r="AO232" i="63" s="1"/>
  <c r="B234" i="65" s="1"/>
  <c r="N233" i="65" l="1"/>
  <c r="U233" i="65" s="1"/>
  <c r="P233" i="65"/>
  <c r="Y231" i="65"/>
  <c r="AB231" i="65" s="1"/>
  <c r="AC231" i="65" s="1"/>
  <c r="AD231" i="65" s="1"/>
  <c r="R232" i="65"/>
  <c r="S232" i="65" s="1"/>
  <c r="Q232" i="65"/>
  <c r="AE232" i="65"/>
  <c r="AV232" i="65"/>
  <c r="AF232" i="65"/>
  <c r="AH232" i="65"/>
  <c r="D233" i="65"/>
  <c r="E233" i="65" s="1"/>
  <c r="F233" i="65" s="1"/>
  <c r="G233" i="65" s="1"/>
  <c r="H233" i="65" s="1"/>
  <c r="I233" i="65" s="1"/>
  <c r="J233" i="65" s="1"/>
  <c r="K233" i="65" s="1"/>
  <c r="AM233" i="65"/>
  <c r="AO233" i="63" a="1"/>
  <c r="AO233" i="63" s="1"/>
  <c r="B235" i="65" s="1"/>
  <c r="O234" i="65"/>
  <c r="C234" i="65"/>
  <c r="L234" i="65"/>
  <c r="M234" i="65" s="1"/>
  <c r="N234" i="65" l="1"/>
  <c r="U234" i="65" s="1"/>
  <c r="P234" i="65"/>
  <c r="AG231" i="65"/>
  <c r="Y232" i="65"/>
  <c r="AG232" i="65" s="1"/>
  <c r="D234" i="65"/>
  <c r="E234" i="65" s="1"/>
  <c r="F234" i="65" s="1"/>
  <c r="G234" i="65" s="1"/>
  <c r="H234" i="65" s="1"/>
  <c r="I234" i="65" s="1"/>
  <c r="J234" i="65" s="1"/>
  <c r="K234" i="65" s="1"/>
  <c r="AM234" i="65"/>
  <c r="AV233" i="65"/>
  <c r="R233" i="65"/>
  <c r="S233" i="65" s="1"/>
  <c r="Q233" i="65"/>
  <c r="AH233" i="65"/>
  <c r="AE233" i="65"/>
  <c r="AF233" i="65"/>
  <c r="L235" i="65"/>
  <c r="M235" i="65" s="1"/>
  <c r="O235" i="65"/>
  <c r="C235" i="65"/>
  <c r="AO234" i="63" a="1"/>
  <c r="AO234" i="63" s="1"/>
  <c r="B236" i="65" s="1"/>
  <c r="N235" i="65" l="1"/>
  <c r="U235" i="65" s="1"/>
  <c r="P235" i="65"/>
  <c r="AB232" i="65"/>
  <c r="AC232" i="65" s="1"/>
  <c r="AD232" i="65" s="1"/>
  <c r="Y233" i="65"/>
  <c r="AB233" i="65" s="1"/>
  <c r="AC233" i="65" s="1"/>
  <c r="AD233" i="65" s="1"/>
  <c r="L236" i="65"/>
  <c r="M236" i="65" s="1"/>
  <c r="C236" i="65"/>
  <c r="O236" i="65"/>
  <c r="AM235" i="65"/>
  <c r="D235" i="65"/>
  <c r="E235" i="65" s="1"/>
  <c r="F235" i="65" s="1"/>
  <c r="G235" i="65" s="1"/>
  <c r="H235" i="65" s="1"/>
  <c r="I235" i="65" s="1"/>
  <c r="J235" i="65" s="1"/>
  <c r="K235" i="65" s="1"/>
  <c r="AO235" i="63" a="1"/>
  <c r="AO235" i="63" s="1"/>
  <c r="B237" i="65" s="1"/>
  <c r="AF234" i="65"/>
  <c r="Q234" i="65"/>
  <c r="AV234" i="65"/>
  <c r="AE234" i="65"/>
  <c r="R234" i="65"/>
  <c r="S234" i="65" s="1"/>
  <c r="AH234" i="65"/>
  <c r="N236" i="65" l="1"/>
  <c r="U236" i="65" s="1"/>
  <c r="P236" i="65"/>
  <c r="Y234" i="65"/>
  <c r="AB234" i="65" s="1"/>
  <c r="AC234" i="65" s="1"/>
  <c r="AD234" i="65" s="1"/>
  <c r="AG233" i="65"/>
  <c r="Q235" i="65"/>
  <c r="AH235" i="65"/>
  <c r="R235" i="65"/>
  <c r="S235" i="65" s="1"/>
  <c r="Y235" i="65" s="1"/>
  <c r="AV235" i="65"/>
  <c r="AE235" i="65"/>
  <c r="AF235" i="65"/>
  <c r="AO236" i="63" a="1"/>
  <c r="AO236" i="63" s="1"/>
  <c r="B238" i="65" s="1"/>
  <c r="AM236" i="65"/>
  <c r="D236" i="65"/>
  <c r="E236" i="65" s="1"/>
  <c r="F236" i="65" s="1"/>
  <c r="G236" i="65" s="1"/>
  <c r="H236" i="65" s="1"/>
  <c r="I236" i="65" s="1"/>
  <c r="J236" i="65" s="1"/>
  <c r="K236" i="65" s="1"/>
  <c r="C237" i="65"/>
  <c r="O237" i="65"/>
  <c r="L237" i="65"/>
  <c r="M237" i="65" s="1"/>
  <c r="N237" i="65" l="1"/>
  <c r="U237" i="65" s="1"/>
  <c r="P237" i="65"/>
  <c r="AG234" i="65"/>
  <c r="AB235" i="65"/>
  <c r="AC235" i="65" s="1"/>
  <c r="AD235" i="65" s="1"/>
  <c r="AG235" i="65"/>
  <c r="R236" i="65"/>
  <c r="S236" i="65" s="1"/>
  <c r="AF236" i="65"/>
  <c r="AV236" i="65"/>
  <c r="Q236" i="65"/>
  <c r="AH236" i="65"/>
  <c r="AE236" i="65"/>
  <c r="D237" i="65"/>
  <c r="E237" i="65" s="1"/>
  <c r="F237" i="65" s="1"/>
  <c r="G237" i="65" s="1"/>
  <c r="H237" i="65" s="1"/>
  <c r="I237" i="65" s="1"/>
  <c r="J237" i="65" s="1"/>
  <c r="K237" i="65" s="1"/>
  <c r="AM237" i="65"/>
  <c r="L238" i="65"/>
  <c r="M238" i="65" s="1"/>
  <c r="C238" i="65"/>
  <c r="P238" i="65" s="1"/>
  <c r="O238" i="65"/>
  <c r="AO237" i="63" a="1"/>
  <c r="AO237" i="63" s="1"/>
  <c r="B239" i="65" s="1"/>
  <c r="Y236" i="65" l="1"/>
  <c r="AG236" i="65" s="1"/>
  <c r="N238" i="65"/>
  <c r="Q238" i="65" s="1"/>
  <c r="AO238" i="63" a="1"/>
  <c r="AO238" i="63" s="1"/>
  <c r="B240" i="65" s="1"/>
  <c r="AV237" i="65"/>
  <c r="R237" i="65"/>
  <c r="S237" i="65" s="1"/>
  <c r="AH237" i="65"/>
  <c r="AE237" i="65"/>
  <c r="Q237" i="65"/>
  <c r="AF237" i="65"/>
  <c r="L239" i="65"/>
  <c r="M239" i="65" s="1"/>
  <c r="C239" i="65"/>
  <c r="O239" i="65"/>
  <c r="AM238" i="65"/>
  <c r="D238" i="65"/>
  <c r="E238" i="65" s="1"/>
  <c r="F238" i="65" s="1"/>
  <c r="G238" i="65" s="1"/>
  <c r="H238" i="65" s="1"/>
  <c r="I238" i="65" s="1"/>
  <c r="J238" i="65" s="1"/>
  <c r="K238" i="65" s="1"/>
  <c r="N239" i="65" l="1"/>
  <c r="U239" i="65" s="1"/>
  <c r="P239" i="65"/>
  <c r="AB236" i="65"/>
  <c r="AC236" i="65" s="1"/>
  <c r="AD236" i="65" s="1"/>
  <c r="Y237" i="65"/>
  <c r="AB237" i="65" s="1"/>
  <c r="AC237" i="65" s="1"/>
  <c r="AD237" i="65" s="1"/>
  <c r="R238" i="65"/>
  <c r="S238" i="65" s="1"/>
  <c r="Y238" i="65" s="1"/>
  <c r="AB238" i="65" s="1"/>
  <c r="AC238" i="65" s="1"/>
  <c r="AE238" i="65"/>
  <c r="AH238" i="65" s="1"/>
  <c r="U238" i="65"/>
  <c r="AV238" i="65"/>
  <c r="D239" i="65"/>
  <c r="E239" i="65" s="1"/>
  <c r="F239" i="65" s="1"/>
  <c r="G239" i="65" s="1"/>
  <c r="H239" i="65" s="1"/>
  <c r="I239" i="65" s="1"/>
  <c r="J239" i="65" s="1"/>
  <c r="K239" i="65" s="1"/>
  <c r="AM239" i="65"/>
  <c r="AO239" i="63" a="1"/>
  <c r="AO239" i="63" s="1"/>
  <c r="B241" i="65" s="1"/>
  <c r="L240" i="65"/>
  <c r="M240" i="65" s="1"/>
  <c r="C240" i="65"/>
  <c r="O240" i="65"/>
  <c r="N240" i="65" l="1"/>
  <c r="U240" i="65" s="1"/>
  <c r="P240" i="65"/>
  <c r="AG237" i="65"/>
  <c r="L241" i="65"/>
  <c r="M241" i="65" s="1"/>
  <c r="O241" i="65"/>
  <c r="C241" i="65"/>
  <c r="AF239" i="65"/>
  <c r="AE239" i="65"/>
  <c r="Q239" i="65"/>
  <c r="R239" i="65"/>
  <c r="S239" i="65" s="1"/>
  <c r="AH239" i="65"/>
  <c r="AV239" i="65"/>
  <c r="AO240" i="63" a="1"/>
  <c r="AO240" i="63" s="1"/>
  <c r="B242" i="65" s="1"/>
  <c r="AM240" i="65"/>
  <c r="D240" i="65"/>
  <c r="E240" i="65" s="1"/>
  <c r="F240" i="65" s="1"/>
  <c r="G240" i="65" s="1"/>
  <c r="H240" i="65" s="1"/>
  <c r="I240" i="65" s="1"/>
  <c r="J240" i="65" s="1"/>
  <c r="K240" i="65" s="1"/>
  <c r="AF238" i="65"/>
  <c r="AG238" i="65" s="1"/>
  <c r="AD238" i="65"/>
  <c r="N241" i="65" l="1"/>
  <c r="U241" i="65" s="1"/>
  <c r="P241" i="65"/>
  <c r="Y239" i="65"/>
  <c r="AB239" i="65" s="1"/>
  <c r="AC239" i="65" s="1"/>
  <c r="AD239" i="65" s="1"/>
  <c r="R240" i="65"/>
  <c r="S240" i="65" s="1"/>
  <c r="Y240" i="65" s="1"/>
  <c r="AF240" i="65"/>
  <c r="AE240" i="65"/>
  <c r="AH240" i="65"/>
  <c r="Q240" i="65"/>
  <c r="AV240" i="65"/>
  <c r="AO241" i="63" a="1"/>
  <c r="AO241" i="63" s="1"/>
  <c r="B243" i="65" s="1"/>
  <c r="AM241" i="65"/>
  <c r="D241" i="65"/>
  <c r="E241" i="65" s="1"/>
  <c r="F241" i="65" s="1"/>
  <c r="G241" i="65" s="1"/>
  <c r="H241" i="65" s="1"/>
  <c r="I241" i="65" s="1"/>
  <c r="J241" i="65" s="1"/>
  <c r="K241" i="65" s="1"/>
  <c r="O242" i="65"/>
  <c r="L242" i="65"/>
  <c r="M242" i="65" s="1"/>
  <c r="C242" i="65"/>
  <c r="N242" i="65" l="1"/>
  <c r="U242" i="65" s="1"/>
  <c r="P242" i="65"/>
  <c r="AG239" i="65"/>
  <c r="AB240" i="65"/>
  <c r="AC240" i="65" s="1"/>
  <c r="AD240" i="65" s="1"/>
  <c r="AE241" i="65"/>
  <c r="AV241" i="65"/>
  <c r="R241" i="65"/>
  <c r="S241" i="65" s="1"/>
  <c r="AH241" i="65"/>
  <c r="Q241" i="65"/>
  <c r="AF241" i="65"/>
  <c r="AM242" i="65"/>
  <c r="D242" i="65"/>
  <c r="E242" i="65" s="1"/>
  <c r="F242" i="65" s="1"/>
  <c r="G242" i="65" s="1"/>
  <c r="H242" i="65" s="1"/>
  <c r="I242" i="65" s="1"/>
  <c r="J242" i="65" s="1"/>
  <c r="K242" i="65" s="1"/>
  <c r="AG240" i="65"/>
  <c r="O243" i="65"/>
  <c r="C243" i="65"/>
  <c r="L243" i="65"/>
  <c r="M243" i="65" s="1"/>
  <c r="AO242" i="63" a="1"/>
  <c r="AO242" i="63" s="1"/>
  <c r="B244" i="65" s="1"/>
  <c r="N243" i="65" l="1"/>
  <c r="U243" i="65" s="1"/>
  <c r="P243" i="65"/>
  <c r="Y241" i="65"/>
  <c r="AG241" i="65" s="1"/>
  <c r="AM243" i="65"/>
  <c r="D243" i="65"/>
  <c r="E243" i="65" s="1"/>
  <c r="F243" i="65" s="1"/>
  <c r="G243" i="65" s="1"/>
  <c r="H243" i="65" s="1"/>
  <c r="I243" i="65" s="1"/>
  <c r="J243" i="65" s="1"/>
  <c r="K243" i="65" s="1"/>
  <c r="C244" i="65"/>
  <c r="L244" i="65"/>
  <c r="M244" i="65" s="1"/>
  <c r="O244" i="65"/>
  <c r="R242" i="65"/>
  <c r="S242" i="65" s="1"/>
  <c r="AF242" i="65"/>
  <c r="AH242" i="65"/>
  <c r="AE242" i="65"/>
  <c r="AV242" i="65"/>
  <c r="Q242" i="65"/>
  <c r="AO243" i="63" a="1"/>
  <c r="AO243" i="63" s="1"/>
  <c r="B245" i="65" s="1"/>
  <c r="N244" i="65" l="1"/>
  <c r="U244" i="65" s="1"/>
  <c r="P244" i="65"/>
  <c r="AB241" i="65"/>
  <c r="AC241" i="65" s="1"/>
  <c r="AD241" i="65" s="1"/>
  <c r="Y242" i="65"/>
  <c r="AB242" i="65" s="1"/>
  <c r="AC242" i="65" s="1"/>
  <c r="AD242" i="65" s="1"/>
  <c r="C245" i="65"/>
  <c r="L245" i="65"/>
  <c r="M245" i="65" s="1"/>
  <c r="O245" i="65"/>
  <c r="AO244" i="63" a="1"/>
  <c r="AO244" i="63" s="1"/>
  <c r="B246" i="65" s="1"/>
  <c r="AM244" i="65"/>
  <c r="D244" i="65"/>
  <c r="E244" i="65" s="1"/>
  <c r="F244" i="65" s="1"/>
  <c r="G244" i="65" s="1"/>
  <c r="H244" i="65" s="1"/>
  <c r="I244" i="65" s="1"/>
  <c r="J244" i="65" s="1"/>
  <c r="K244" i="65" s="1"/>
  <c r="AF243" i="65"/>
  <c r="AV243" i="65"/>
  <c r="R243" i="65"/>
  <c r="S243" i="65" s="1"/>
  <c r="AE243" i="65"/>
  <c r="AH243" i="65"/>
  <c r="Q243" i="65"/>
  <c r="N245" i="65" l="1"/>
  <c r="U245" i="65" s="1"/>
  <c r="P245" i="65"/>
  <c r="Y243" i="65"/>
  <c r="AB243" i="65" s="1"/>
  <c r="AC243" i="65" s="1"/>
  <c r="AD243" i="65" s="1"/>
  <c r="AG242" i="65"/>
  <c r="AV244" i="65"/>
  <c r="AF244" i="65"/>
  <c r="AH244" i="65"/>
  <c r="Q244" i="65"/>
  <c r="AE244" i="65"/>
  <c r="R244" i="65"/>
  <c r="S244" i="65" s="1"/>
  <c r="Y244" i="65" s="1"/>
  <c r="L246" i="65"/>
  <c r="M246" i="65" s="1"/>
  <c r="O246" i="65"/>
  <c r="C246" i="65"/>
  <c r="AO245" i="63" a="1"/>
  <c r="AO245" i="63" s="1"/>
  <c r="B247" i="65" s="1"/>
  <c r="AM245" i="65"/>
  <c r="D245" i="65"/>
  <c r="E245" i="65" s="1"/>
  <c r="F245" i="65" s="1"/>
  <c r="G245" i="65" s="1"/>
  <c r="H245" i="65" s="1"/>
  <c r="I245" i="65" s="1"/>
  <c r="J245" i="65" s="1"/>
  <c r="K245" i="65" s="1"/>
  <c r="N246" i="65" l="1"/>
  <c r="U246" i="65" s="1"/>
  <c r="P246" i="65"/>
  <c r="AG243" i="65"/>
  <c r="AB244" i="65"/>
  <c r="AC244" i="65" s="1"/>
  <c r="AD244" i="65" s="1"/>
  <c r="C247" i="65"/>
  <c r="P247" i="65" s="1"/>
  <c r="L247" i="65"/>
  <c r="M247" i="65" s="1"/>
  <c r="O247" i="65"/>
  <c r="AV245" i="65"/>
  <c r="AH245" i="65"/>
  <c r="AF245" i="65"/>
  <c r="Q245" i="65"/>
  <c r="R245" i="65"/>
  <c r="S245" i="65" s="1"/>
  <c r="AE245" i="65"/>
  <c r="D246" i="65"/>
  <c r="E246" i="65" s="1"/>
  <c r="F246" i="65" s="1"/>
  <c r="G246" i="65" s="1"/>
  <c r="H246" i="65" s="1"/>
  <c r="I246" i="65" s="1"/>
  <c r="J246" i="65" s="1"/>
  <c r="K246" i="65" s="1"/>
  <c r="AM246" i="65"/>
  <c r="AG244" i="65"/>
  <c r="AO246" i="63" a="1"/>
  <c r="AO246" i="63" s="1"/>
  <c r="B248" i="65" s="1"/>
  <c r="Y245" i="65" l="1"/>
  <c r="AB245" i="65" s="1"/>
  <c r="AC245" i="65" s="1"/>
  <c r="AD245" i="65" s="1"/>
  <c r="N247" i="65"/>
  <c r="U247" i="65" s="1"/>
  <c r="R246" i="65"/>
  <c r="S246" i="65" s="1"/>
  <c r="AF246" i="65"/>
  <c r="AH246" i="65"/>
  <c r="AV246" i="65"/>
  <c r="Q246" i="65"/>
  <c r="AE246" i="65"/>
  <c r="AO247" i="63" a="1"/>
  <c r="AO247" i="63" s="1"/>
  <c r="B249" i="65" s="1"/>
  <c r="C248" i="65"/>
  <c r="L248" i="65"/>
  <c r="M248" i="65" s="1"/>
  <c r="O248" i="65"/>
  <c r="AM247" i="65"/>
  <c r="D247" i="65"/>
  <c r="E247" i="65" s="1"/>
  <c r="F247" i="65" s="1"/>
  <c r="G247" i="65" s="1"/>
  <c r="H247" i="65" s="1"/>
  <c r="I247" i="65" s="1"/>
  <c r="J247" i="65" s="1"/>
  <c r="K247" i="65" s="1"/>
  <c r="N248" i="65" l="1"/>
  <c r="U248" i="65" s="1"/>
  <c r="P248" i="65"/>
  <c r="AG245" i="65"/>
  <c r="Y246" i="65"/>
  <c r="AG246" i="65" s="1"/>
  <c r="AE247" i="65"/>
  <c r="AH247" i="65" s="1"/>
  <c r="Q247" i="65"/>
  <c r="AV247" i="65"/>
  <c r="R247" i="65"/>
  <c r="S247" i="65" s="1"/>
  <c r="D248" i="65"/>
  <c r="E248" i="65" s="1"/>
  <c r="F248" i="65" s="1"/>
  <c r="G248" i="65" s="1"/>
  <c r="H248" i="65" s="1"/>
  <c r="I248" i="65" s="1"/>
  <c r="J248" i="65" s="1"/>
  <c r="K248" i="65" s="1"/>
  <c r="AM248" i="65"/>
  <c r="L249" i="65"/>
  <c r="M249" i="65" s="1"/>
  <c r="O249" i="65"/>
  <c r="C249" i="65"/>
  <c r="AO248" i="63" a="1"/>
  <c r="AO248" i="63" s="1"/>
  <c r="B250" i="65" s="1"/>
  <c r="N249" i="65" l="1"/>
  <c r="P249" i="65"/>
  <c r="AB246" i="65"/>
  <c r="AC246" i="65" s="1"/>
  <c r="AD246" i="65" s="1"/>
  <c r="Y247" i="65"/>
  <c r="AB247" i="65" s="1"/>
  <c r="AC247" i="65" s="1"/>
  <c r="AD247" i="65" s="1"/>
  <c r="AF247" i="65"/>
  <c r="O250" i="65"/>
  <c r="L250" i="65"/>
  <c r="M250" i="65" s="1"/>
  <c r="C250" i="65"/>
  <c r="U249" i="65"/>
  <c r="D249" i="65"/>
  <c r="E249" i="65" s="1"/>
  <c r="F249" i="65" s="1"/>
  <c r="G249" i="65" s="1"/>
  <c r="H249" i="65" s="1"/>
  <c r="I249" i="65" s="1"/>
  <c r="J249" i="65" s="1"/>
  <c r="K249" i="65" s="1"/>
  <c r="AM249" i="65"/>
  <c r="AO249" i="63" a="1"/>
  <c r="AO249" i="63" s="1"/>
  <c r="B251" i="65" s="1"/>
  <c r="R248" i="65"/>
  <c r="S248" i="65" s="1"/>
  <c r="AE248" i="65"/>
  <c r="AF248" i="65"/>
  <c r="AH248" i="65"/>
  <c r="Q248" i="65"/>
  <c r="AV248" i="65"/>
  <c r="N250" i="65" l="1"/>
  <c r="U250" i="65" s="1"/>
  <c r="P250" i="65"/>
  <c r="AG247" i="65"/>
  <c r="Y248" i="65"/>
  <c r="AB248" i="65" s="1"/>
  <c r="AC248" i="65" s="1"/>
  <c r="AD248" i="65" s="1"/>
  <c r="AM250" i="65"/>
  <c r="D250" i="65"/>
  <c r="E250" i="65" s="1"/>
  <c r="F250" i="65" s="1"/>
  <c r="G250" i="65" s="1"/>
  <c r="H250" i="65" s="1"/>
  <c r="I250" i="65" s="1"/>
  <c r="J250" i="65" s="1"/>
  <c r="K250" i="65" s="1"/>
  <c r="O251" i="65"/>
  <c r="L251" i="65"/>
  <c r="M251" i="65" s="1"/>
  <c r="C251" i="65"/>
  <c r="AO250" i="63" a="1"/>
  <c r="AO250" i="63" s="1"/>
  <c r="B252" i="65" s="1"/>
  <c r="AV249" i="65"/>
  <c r="Q249" i="65"/>
  <c r="R249" i="65"/>
  <c r="S249" i="65" s="1"/>
  <c r="Y249" i="65" s="1"/>
  <c r="AE249" i="65"/>
  <c r="AF249" i="65"/>
  <c r="AH249" i="65"/>
  <c r="N251" i="65" l="1"/>
  <c r="U251" i="65" s="1"/>
  <c r="P251" i="65"/>
  <c r="AG248" i="65"/>
  <c r="AB249" i="65"/>
  <c r="AC249" i="65" s="1"/>
  <c r="AD249" i="65" s="1"/>
  <c r="C252" i="65"/>
  <c r="O252" i="65"/>
  <c r="L252" i="65"/>
  <c r="M252" i="65" s="1"/>
  <c r="D251" i="65"/>
  <c r="E251" i="65" s="1"/>
  <c r="F251" i="65" s="1"/>
  <c r="G251" i="65" s="1"/>
  <c r="H251" i="65" s="1"/>
  <c r="I251" i="65" s="1"/>
  <c r="J251" i="65" s="1"/>
  <c r="K251" i="65" s="1"/>
  <c r="AM251" i="65"/>
  <c r="AH250" i="65"/>
  <c r="R250" i="65"/>
  <c r="S250" i="65" s="1"/>
  <c r="AV250" i="65"/>
  <c r="Q250" i="65"/>
  <c r="AE250" i="65"/>
  <c r="AF250" i="65"/>
  <c r="AG249" i="65"/>
  <c r="AO251" i="63" a="1"/>
  <c r="AO251" i="63" s="1"/>
  <c r="B253" i="65" s="1"/>
  <c r="N252" i="65" l="1"/>
  <c r="U252" i="65" s="1"/>
  <c r="P252" i="65"/>
  <c r="Y250" i="65"/>
  <c r="AG250" i="65" s="1"/>
  <c r="AE251" i="65"/>
  <c r="AF251" i="65"/>
  <c r="Q251" i="65"/>
  <c r="AH251" i="65"/>
  <c r="R251" i="65"/>
  <c r="S251" i="65" s="1"/>
  <c r="AV251" i="65"/>
  <c r="AO252" i="63" a="1"/>
  <c r="AO252" i="63" s="1"/>
  <c r="B254" i="65" s="1"/>
  <c r="L253" i="65"/>
  <c r="M253" i="65" s="1"/>
  <c r="O253" i="65"/>
  <c r="C253" i="65"/>
  <c r="AM252" i="65"/>
  <c r="D252" i="65"/>
  <c r="E252" i="65" s="1"/>
  <c r="F252" i="65" s="1"/>
  <c r="G252" i="65" s="1"/>
  <c r="H252" i="65" s="1"/>
  <c r="I252" i="65" s="1"/>
  <c r="J252" i="65" s="1"/>
  <c r="K252" i="65" s="1"/>
  <c r="N253" i="65" l="1"/>
  <c r="U253" i="65" s="1"/>
  <c r="P253" i="65"/>
  <c r="AB250" i="65"/>
  <c r="AC250" i="65" s="1"/>
  <c r="AD250" i="65" s="1"/>
  <c r="Y251" i="65"/>
  <c r="AB251" i="65" s="1"/>
  <c r="AC251" i="65" s="1"/>
  <c r="AD251" i="65" s="1"/>
  <c r="AE252" i="65"/>
  <c r="Q252" i="65"/>
  <c r="AV252" i="65"/>
  <c r="AH252" i="65"/>
  <c r="AF252" i="65"/>
  <c r="R252" i="65"/>
  <c r="S252" i="65" s="1"/>
  <c r="D253" i="65"/>
  <c r="E253" i="65" s="1"/>
  <c r="F253" i="65" s="1"/>
  <c r="G253" i="65" s="1"/>
  <c r="H253" i="65" s="1"/>
  <c r="I253" i="65" s="1"/>
  <c r="J253" i="65" s="1"/>
  <c r="K253" i="65" s="1"/>
  <c r="AM253" i="65"/>
  <c r="C254" i="65"/>
  <c r="L254" i="65"/>
  <c r="M254" i="65" s="1"/>
  <c r="O254" i="65"/>
  <c r="AO253" i="63" a="1"/>
  <c r="AO253" i="63" s="1"/>
  <c r="B255" i="65" s="1"/>
  <c r="N254" i="65" l="1"/>
  <c r="U254" i="65" s="1"/>
  <c r="P254" i="65"/>
  <c r="AG251" i="65"/>
  <c r="Y252" i="65"/>
  <c r="AB252" i="65" s="1"/>
  <c r="AC252" i="65" s="1"/>
  <c r="AD252" i="65" s="1"/>
  <c r="O255" i="65"/>
  <c r="L255" i="65"/>
  <c r="M255" i="65" s="1"/>
  <c r="C255" i="65"/>
  <c r="D254" i="65"/>
  <c r="E254" i="65" s="1"/>
  <c r="F254" i="65" s="1"/>
  <c r="G254" i="65" s="1"/>
  <c r="H254" i="65" s="1"/>
  <c r="I254" i="65" s="1"/>
  <c r="J254" i="65" s="1"/>
  <c r="K254" i="65" s="1"/>
  <c r="AM254" i="65"/>
  <c r="R253" i="65"/>
  <c r="S253" i="65" s="1"/>
  <c r="AV253" i="65"/>
  <c r="AF253" i="65"/>
  <c r="AH253" i="65"/>
  <c r="AE253" i="65"/>
  <c r="Q253" i="65"/>
  <c r="AO254" i="63" a="1"/>
  <c r="AO254" i="63" s="1"/>
  <c r="B256" i="65" s="1"/>
  <c r="N255" i="65" l="1"/>
  <c r="U255" i="65" s="1"/>
  <c r="P255" i="65"/>
  <c r="AG252" i="65"/>
  <c r="Y253" i="65"/>
  <c r="AB253" i="65" s="1"/>
  <c r="AC253" i="65" s="1"/>
  <c r="AD253" i="65" s="1"/>
  <c r="AO255" i="63" a="1"/>
  <c r="AO255" i="63" s="1"/>
  <c r="B257" i="65" s="1"/>
  <c r="R254" i="65"/>
  <c r="S254" i="65" s="1"/>
  <c r="Y254" i="65" s="1"/>
  <c r="AF254" i="65"/>
  <c r="AH254" i="65"/>
  <c r="Q254" i="65"/>
  <c r="AV254" i="65"/>
  <c r="AE254" i="65"/>
  <c r="AM255" i="65"/>
  <c r="D255" i="65"/>
  <c r="E255" i="65" s="1"/>
  <c r="F255" i="65" s="1"/>
  <c r="G255" i="65" s="1"/>
  <c r="H255" i="65" s="1"/>
  <c r="I255" i="65" s="1"/>
  <c r="J255" i="65" s="1"/>
  <c r="K255" i="65" s="1"/>
  <c r="L256" i="65"/>
  <c r="M256" i="65" s="1"/>
  <c r="C256" i="65"/>
  <c r="O256" i="65"/>
  <c r="N256" i="65" l="1"/>
  <c r="U256" i="65" s="1"/>
  <c r="P256" i="65"/>
  <c r="AG253" i="65"/>
  <c r="AB254" i="65"/>
  <c r="AC254" i="65" s="1"/>
  <c r="AD254" i="65" s="1"/>
  <c r="AH255" i="65"/>
  <c r="Q255" i="65"/>
  <c r="AV255" i="65"/>
  <c r="AE255" i="65"/>
  <c r="R255" i="65"/>
  <c r="S255" i="65" s="1"/>
  <c r="AF255" i="65"/>
  <c r="AG254" i="65"/>
  <c r="AM256" i="65"/>
  <c r="D256" i="65"/>
  <c r="E256" i="65" s="1"/>
  <c r="F256" i="65" s="1"/>
  <c r="G256" i="65" s="1"/>
  <c r="H256" i="65" s="1"/>
  <c r="I256" i="65" s="1"/>
  <c r="J256" i="65" s="1"/>
  <c r="K256" i="65" s="1"/>
  <c r="C257" i="65"/>
  <c r="L257" i="65"/>
  <c r="M257" i="65" s="1"/>
  <c r="O257" i="65"/>
  <c r="AO256" i="63" a="1"/>
  <c r="AO256" i="63" s="1"/>
  <c r="AO257" i="63" s="1" a="1"/>
  <c r="AO257" i="63" s="1"/>
  <c r="N257" i="65" l="1"/>
  <c r="P257" i="65"/>
  <c r="Y255" i="65"/>
  <c r="AB255" i="65" s="1"/>
  <c r="AC255" i="65" s="1"/>
  <c r="AD255" i="65" s="1"/>
  <c r="Q256" i="65"/>
  <c r="AF256" i="65"/>
  <c r="AE256" i="65"/>
  <c r="AH256" i="65"/>
  <c r="R256" i="65"/>
  <c r="S256" i="65" s="1"/>
  <c r="AV256" i="65"/>
  <c r="AM257" i="65"/>
  <c r="AM258" i="65" s="1"/>
  <c r="H14" i="73" s="1"/>
  <c r="D257" i="65"/>
  <c r="E257" i="65" s="1"/>
  <c r="F257" i="65" s="1"/>
  <c r="G257" i="65" s="1"/>
  <c r="H257" i="65" s="1"/>
  <c r="I257" i="65" s="1"/>
  <c r="J257" i="65" s="1"/>
  <c r="K257" i="65" s="1"/>
  <c r="M174" i="22"/>
  <c r="O174" i="22" s="1"/>
  <c r="AG255" i="65" l="1"/>
  <c r="Y256" i="65"/>
  <c r="AB256" i="65" s="1"/>
  <c r="AC256" i="65" s="1"/>
  <c r="AD256" i="65" s="1"/>
  <c r="H18" i="73"/>
  <c r="M176" i="22"/>
  <c r="O176" i="22" s="1"/>
  <c r="E167" i="36" s="1"/>
  <c r="E207" i="36" s="1"/>
  <c r="U257" i="65"/>
  <c r="M173" i="22"/>
  <c r="O173" i="22" s="1"/>
  <c r="M175" i="22"/>
  <c r="O175" i="22" s="1"/>
  <c r="N174" i="22"/>
  <c r="P174" i="22" s="1"/>
  <c r="AH257" i="65"/>
  <c r="AF257" i="65"/>
  <c r="N172" i="22"/>
  <c r="P172" i="22" s="1"/>
  <c r="AE257" i="65"/>
  <c r="R257" i="65"/>
  <c r="S257" i="65" s="1"/>
  <c r="Y257" i="65" s="1"/>
  <c r="M172" i="22"/>
  <c r="O172" i="22" s="1"/>
  <c r="Q257" i="65"/>
  <c r="Q258" i="65" s="1"/>
  <c r="N175" i="22"/>
  <c r="P175" i="22" s="1"/>
  <c r="AV257" i="65"/>
  <c r="N173" i="22"/>
  <c r="P173" i="22" s="1"/>
  <c r="N176" i="22"/>
  <c r="P176" i="22" s="1"/>
  <c r="E165" i="36"/>
  <c r="Q174" i="22"/>
  <c r="AE174" i="22" s="1"/>
  <c r="AG256" i="65" l="1"/>
  <c r="G167" i="36"/>
  <c r="G207" i="36" s="1"/>
  <c r="Q176" i="22"/>
  <c r="AE176" i="22" s="1"/>
  <c r="E166" i="36"/>
  <c r="Q175" i="22"/>
  <c r="AE175" i="22" s="1"/>
  <c r="E164" i="36"/>
  <c r="Q173" i="22"/>
  <c r="AE173" i="22" s="1"/>
  <c r="AB257" i="65"/>
  <c r="F167" i="36"/>
  <c r="R176" i="22"/>
  <c r="F165" i="36"/>
  <c r="R174" i="22"/>
  <c r="F164" i="36"/>
  <c r="R173" i="22"/>
  <c r="R172" i="22"/>
  <c r="F163" i="36"/>
  <c r="E163" i="36"/>
  <c r="Q172" i="22"/>
  <c r="AE172" i="22" s="1"/>
  <c r="AG257" i="65"/>
  <c r="F166" i="36"/>
  <c r="R175" i="22"/>
  <c r="G165" i="36"/>
  <c r="G205" i="36" s="1"/>
  <c r="E205" i="36"/>
  <c r="AC257" i="65" l="1"/>
  <c r="Y2" i="65" s="1"/>
  <c r="AF174" i="22"/>
  <c r="E30" i="105" s="1"/>
  <c r="C30" i="105"/>
  <c r="C13" i="105"/>
  <c r="C14" i="105" s="1"/>
  <c r="AF176" i="22"/>
  <c r="E42" i="105" s="1"/>
  <c r="E43" i="105" s="1"/>
  <c r="H41" i="105" s="1"/>
  <c r="C42" i="105"/>
  <c r="C43" i="105" s="1"/>
  <c r="AF173" i="22"/>
  <c r="E22" i="105" s="1"/>
  <c r="C22" i="105"/>
  <c r="AF175" i="22"/>
  <c r="E31" i="105" s="1"/>
  <c r="C31" i="105"/>
  <c r="G166" i="36"/>
  <c r="G206" i="36" s="1"/>
  <c r="E206" i="36"/>
  <c r="E204" i="36"/>
  <c r="G164" i="36"/>
  <c r="G204" i="36" s="1"/>
  <c r="H166" i="36"/>
  <c r="H206" i="36" s="1"/>
  <c r="F206" i="36"/>
  <c r="H163" i="36"/>
  <c r="F203" i="36"/>
  <c r="F205" i="36"/>
  <c r="H165" i="36"/>
  <c r="H205" i="36" s="1"/>
  <c r="G163" i="36"/>
  <c r="G203" i="36" s="1"/>
  <c r="E203" i="36"/>
  <c r="H164" i="36"/>
  <c r="H204" i="36" s="1"/>
  <c r="F204" i="36"/>
  <c r="H167" i="36"/>
  <c r="H207" i="36" s="1"/>
  <c r="F207" i="36"/>
  <c r="H29" i="105" l="1"/>
  <c r="H30" i="105"/>
  <c r="G7" i="105" s="1"/>
  <c r="AD257" i="65"/>
  <c r="C23" i="105"/>
  <c r="E23" i="105"/>
  <c r="C32" i="105"/>
  <c r="E32" i="105"/>
  <c r="U258" i="67"/>
  <c r="H21" i="105" l="1"/>
  <c r="H22" i="105"/>
  <c r="G6" i="105" s="1"/>
  <c r="T172" i="22"/>
  <c r="AD172" i="22" s="1"/>
  <c r="D13" i="105" s="1"/>
  <c r="D14" i="105" s="1"/>
  <c r="H22" i="36"/>
  <c r="AB258" i="67"/>
  <c r="H31" i="36" s="1"/>
  <c r="H22" i="73"/>
  <c r="AB10" i="67"/>
  <c r="D183" i="36" l="1"/>
  <c r="D203" i="36" s="1"/>
  <c r="AF172" i="22"/>
  <c r="E13" i="105" s="1"/>
  <c r="E14" i="105" s="1"/>
  <c r="G5" i="105" s="1"/>
  <c r="H30" i="73"/>
  <c r="H183" i="36" l="1"/>
  <c r="H203" i="36" s="1"/>
  <c r="H12" i="105"/>
  <c r="H39" i="73"/>
  <c r="H34" i="73"/>
  <c r="H42" i="105" l="1"/>
  <c r="G8" i="105" s="1"/>
  <c r="F55" i="73" s="1" a="1"/>
  <c r="F55" i="73" s="1"/>
  <c r="J34" i="73"/>
  <c r="H49" i="73"/>
  <c r="H63" i="73"/>
  <c r="J63" i="73" s="1"/>
  <c r="H43" i="73"/>
  <c r="M6" i="64" l="1" a="1"/>
  <c r="M6" i="64" s="1"/>
  <c r="L5" i="68" a="1"/>
  <c r="L5" i="68" s="1"/>
  <c r="P5" i="65" a="1"/>
  <c r="P5" i="65" s="1"/>
  <c r="P6" i="69" a="1"/>
  <c r="P6" i="69" s="1"/>
  <c r="I5" i="63" a="1"/>
  <c r="I5" i="63" s="1"/>
  <c r="K5" i="67" a="1"/>
  <c r="K5" i="67" s="1"/>
  <c r="P3" i="65"/>
  <c r="L3" i="68"/>
  <c r="H53" i="73"/>
  <c r="M4" i="64"/>
  <c r="H12" i="36"/>
  <c r="K3" i="67"/>
  <c r="I3" i="63"/>
  <c r="P4" i="69"/>
  <c r="H16" i="36" l="1"/>
  <c r="M5" i="64"/>
  <c r="P4" i="65"/>
  <c r="I4" i="63"/>
  <c r="L4" i="68"/>
  <c r="P5" i="69"/>
  <c r="K4" i="67"/>
</calcChain>
</file>

<file path=xl/metadata.xml><?xml version="1.0" encoding="utf-8"?>
<metadata xmlns="http://schemas.openxmlformats.org/spreadsheetml/2006/main">
  <metadataTypes count="2">
    <metadataType name="XLDAPR" minSupportedVersion="120000" copy="1" pasteAll="1" pasteValues="1" merge="1" splitFirst="1" rowColShift="1" clearFormats="1" clearComments="1" assign="1" coerce="1" cellMeta="1"/>
    <metadataType name="XLRICHVALUE" minSupportedVersion="120000" copy="1" pasteAll="1" pasteValues="1" merge="1" splitFirst="1" rowColShift="1" clearFormats="1" clearComments="1" assign="1" coerce="1"/>
  </metadataTypes>
  <futureMetadata name="XLDAPR" count="1">
    <bk>
      <extLst>
        <ext xmlns:xda="http://schemas.microsoft.com/office/spreadsheetml/2017/dynamicarray" uri="{bdbb8cdc-fa1e-496e-a857-3c3f30c029c3}">
          <xda:dynamicArrayProperties fDynamic="1" fCollapsed="0"/>
        </ext>
      </extLst>
    </bk>
  </futureMetadata>
  <futureMetadata name="XLRICHVALUE" count="1">
    <bk>
      <extLst>
        <ext xmlns:xlrd="http://schemas.microsoft.com/office/spreadsheetml/2017/richdata" uri="{3e2802c4-a4d2-4d8b-9148-e3be6c30e623}">
          <xlrd:rvb i="0"/>
        </ext>
      </extLst>
    </bk>
  </futureMetadata>
  <cellMetadata count="1">
    <bk>
      <rc t="1" v="0"/>
    </bk>
  </cellMetadata>
  <valueMetadata count="1">
    <bk>
      <rc t="2" v="0"/>
    </bk>
  </valueMetadata>
</metadata>
</file>

<file path=xl/sharedStrings.xml><?xml version="1.0" encoding="utf-8"?>
<sst xmlns="http://schemas.openxmlformats.org/spreadsheetml/2006/main" count="7605" uniqueCount="1728">
  <si>
    <t>Project details</t>
  </si>
  <si>
    <t>Planning authority:</t>
  </si>
  <si>
    <t>Project name:</t>
  </si>
  <si>
    <t>Applicant:</t>
  </si>
  <si>
    <t>Application type:</t>
  </si>
  <si>
    <t>Planning application reference:</t>
  </si>
  <si>
    <t>Completed by:</t>
  </si>
  <si>
    <t>Date of metric completion:</t>
  </si>
  <si>
    <t>Reviewer:</t>
  </si>
  <si>
    <t>Version control:</t>
  </si>
  <si>
    <t>Consenting body reviewer:</t>
  </si>
  <si>
    <t>Date of consenting body review:</t>
  </si>
  <si>
    <t>Target % net gain:</t>
  </si>
  <si>
    <t>Irreplaceable habitat present on-site at baseline:</t>
  </si>
  <si>
    <t>Total site area (including irreplaceable habitat area):</t>
  </si>
  <si>
    <t>Irreplaceable habitat area at baseline:</t>
  </si>
  <si>
    <t>Contains deviations from the statutory metric - this must be agreed with consenting body</t>
  </si>
  <si>
    <t>Cell style conventions</t>
  </si>
  <si>
    <t>⚠</t>
  </si>
  <si>
    <t>Attention required</t>
  </si>
  <si>
    <t>▲</t>
  </si>
  <si>
    <t>Input error/rules and principles not met</t>
  </si>
  <si>
    <t>Use of this cell is not appropriate</t>
  </si>
  <si>
    <t>Enter data</t>
  </si>
  <si>
    <t>Automatic lookup</t>
  </si>
  <si>
    <t>Result</t>
  </si>
  <si>
    <t>On-site baseline map reference number</t>
  </si>
  <si>
    <t>On-site post-intervention map reference number</t>
  </si>
  <si>
    <t>Off-site baseline map reference number</t>
  </si>
  <si>
    <t>Off-site post-intervention reference number</t>
  </si>
  <si>
    <t>Irreplaceable habitats</t>
  </si>
  <si>
    <t xml:space="preserve">👁 For further information please refer to the irreplaceable habitats section of the metric user guide.
</t>
  </si>
  <si>
    <t>Habitat module type</t>
  </si>
  <si>
    <t>Habitat type</t>
  </si>
  <si>
    <t>Length (km)</t>
  </si>
  <si>
    <t>Area (ha)</t>
  </si>
  <si>
    <t>Habitat retained, enhanced, or lost?</t>
  </si>
  <si>
    <t>Is the habitat included in the relevant baseline tab?</t>
  </si>
  <si>
    <t>Notes and metric sheet reference</t>
  </si>
  <si>
    <t>Ancient/Veteran trees (No of trees):</t>
  </si>
  <si>
    <t>Trees retained:</t>
  </si>
  <si>
    <t>Trees enhanced:</t>
  </si>
  <si>
    <t>Trees lost:</t>
  </si>
  <si>
    <t>Total number of trees:</t>
  </si>
  <si>
    <t>Summary table</t>
  </si>
  <si>
    <t>Area habitats</t>
  </si>
  <si>
    <t>Total site area (ha)</t>
  </si>
  <si>
    <t>Total irreplaceable habitats area (ha)</t>
  </si>
  <si>
    <t>% Area of site taken up by irreplaceable habitats (ha)</t>
  </si>
  <si>
    <t>Total retained irreplaceable habitat area (ha)</t>
  </si>
  <si>
    <t>Total enhanced irreplaceable habitat area (ha)</t>
  </si>
  <si>
    <t>Total lost irreplaceable habitat area (ha)</t>
  </si>
  <si>
    <t>Yes</t>
  </si>
  <si>
    <t>Hedgerows</t>
  </si>
  <si>
    <t>No</t>
  </si>
  <si>
    <t>Total irreplaceable hedgerow length (km)</t>
  </si>
  <si>
    <t>Total retained irreplaceable hedgerow length (km)</t>
  </si>
  <si>
    <t>Total enhanced irreplaceable hedgerow length (km)</t>
  </si>
  <si>
    <t>Total lost irreplaceable hedgerow length (km)</t>
  </si>
  <si>
    <t>Watercourses</t>
  </si>
  <si>
    <t>Total retained irreplaceable watercourse length (km)</t>
  </si>
  <si>
    <t>Total lost irreplaceable watercourse length (km)</t>
  </si>
  <si>
    <t>Tree helper</t>
  </si>
  <si>
    <t>Tree size</t>
  </si>
  <si>
    <t>Number of trees and area (ha) for each condition state</t>
  </si>
  <si>
    <t xml:space="preserve">Poor </t>
  </si>
  <si>
    <t>Area</t>
  </si>
  <si>
    <t>Moderate</t>
  </si>
  <si>
    <t>Good</t>
  </si>
  <si>
    <t>Small</t>
  </si>
  <si>
    <t>Medium</t>
  </si>
  <si>
    <t>Large</t>
  </si>
  <si>
    <t>Total</t>
  </si>
  <si>
    <t>Scroll down for final results ⚠</t>
  </si>
  <si>
    <t>On-site baseline</t>
  </si>
  <si>
    <t>Habitat units</t>
  </si>
  <si>
    <t>Hedgerow units</t>
  </si>
  <si>
    <t>Watercourse units</t>
  </si>
  <si>
    <r>
      <t xml:space="preserve">On-site post-intervention
</t>
    </r>
    <r>
      <rPr>
        <sz val="12"/>
        <color theme="4"/>
        <rFont val="Rockwell Light"/>
        <family val="1"/>
      </rPr>
      <t>(Including habitat retention, creation &amp; enhancement)</t>
    </r>
  </si>
  <si>
    <r>
      <t xml:space="preserve">On-site net change 
</t>
    </r>
    <r>
      <rPr>
        <sz val="12"/>
        <color theme="4"/>
        <rFont val="Rockwell Light"/>
        <family val="1"/>
      </rPr>
      <t>(units &amp; percentage)</t>
    </r>
  </si>
  <si>
    <t>Off-site baseline</t>
  </si>
  <si>
    <r>
      <t xml:space="preserve">Off-site post-intervention
</t>
    </r>
    <r>
      <rPr>
        <sz val="12"/>
        <color theme="4"/>
        <rFont val="Rockwell Light"/>
        <family val="1"/>
      </rPr>
      <t>(Including habitat retention, creation &amp; enhancement)</t>
    </r>
  </si>
  <si>
    <r>
      <t xml:space="preserve">Off-site net change
</t>
    </r>
    <r>
      <rPr>
        <sz val="12"/>
        <color theme="4"/>
        <rFont val="Rockwell Light"/>
        <family val="1"/>
      </rPr>
      <t>(units &amp; percentage)</t>
    </r>
  </si>
  <si>
    <r>
      <t xml:space="preserve">Off-site unit change
</t>
    </r>
    <r>
      <rPr>
        <sz val="12"/>
        <color theme="4"/>
        <rFont val="Rockwell Light"/>
        <family val="1"/>
      </rPr>
      <t>(with Spatial Risk Multiplier applied)</t>
    </r>
  </si>
  <si>
    <r>
      <t xml:space="preserve">Combined net unit change
</t>
    </r>
    <r>
      <rPr>
        <sz val="12"/>
        <color theme="4"/>
        <rFont val="Rockwell Light"/>
        <family val="1"/>
      </rPr>
      <t>(Including all on-site &amp; off-site habitat retention, creation &amp; enhancement)</t>
    </r>
  </si>
  <si>
    <t>Spatial risk multiplier (SRM) deductions</t>
  </si>
  <si>
    <t>FINAL RESULTS</t>
  </si>
  <si>
    <r>
      <t xml:space="preserve">Total net unit change
</t>
    </r>
    <r>
      <rPr>
        <sz val="12"/>
        <color theme="4"/>
        <rFont val="Rockwell Light"/>
        <family val="1"/>
      </rPr>
      <t>(Including all on-site &amp; off-site habitat retention, creation &amp; enhancement)</t>
    </r>
  </si>
  <si>
    <r>
      <rPr>
        <b/>
        <sz val="24"/>
        <color theme="4"/>
        <rFont val="Rockwell Light"/>
        <family val="1"/>
      </rPr>
      <t>Total net % change</t>
    </r>
    <r>
      <rPr>
        <sz val="24"/>
        <color theme="4"/>
        <rFont val="Rockwell Light"/>
        <family val="1"/>
      </rPr>
      <t xml:space="preserve">
</t>
    </r>
    <r>
      <rPr>
        <sz val="12"/>
        <color theme="4"/>
        <rFont val="Rockwell Light"/>
        <family val="1"/>
      </rPr>
      <t>(Including all on-site &amp; off-site habitat retention, creation &amp; enhancement)</t>
    </r>
  </si>
  <si>
    <t>Trading rules satisfied?</t>
  </si>
  <si>
    <t>Unit Type</t>
  </si>
  <si>
    <t>Target</t>
  </si>
  <si>
    <t>Baseline Units</t>
  </si>
  <si>
    <t>Units Required</t>
  </si>
  <si>
    <t>Unit Deficit</t>
  </si>
  <si>
    <t>Summary Figures</t>
  </si>
  <si>
    <r>
      <t xml:space="preserve">Net project biodiversity units
</t>
    </r>
    <r>
      <rPr>
        <sz val="14"/>
        <rFont val="Rockwell Light"/>
        <family val="1"/>
      </rPr>
      <t>(Including all on-site &amp; off-site habitat retention / creation)</t>
    </r>
  </si>
  <si>
    <r>
      <t xml:space="preserve">Total project biodiversity % change
</t>
    </r>
    <r>
      <rPr>
        <sz val="14"/>
        <rFont val="Rockwell Light"/>
        <family val="1"/>
      </rPr>
      <t>(Including all on-site &amp; off-site habitat creation + retained habitats)</t>
    </r>
  </si>
  <si>
    <t>Combined habitat retention and enhancement</t>
  </si>
  <si>
    <t>Habitats</t>
  </si>
  <si>
    <t>Total on-site and off-site baseline area / length</t>
  </si>
  <si>
    <t>Total on-site and off-site baseline units</t>
  </si>
  <si>
    <t>Total on-site and off-site baseline area / length retained</t>
  </si>
  <si>
    <t>Total on-site and off-site baseline units retained</t>
  </si>
  <si>
    <t>Area / length proposed for enhancement</t>
  </si>
  <si>
    <t>Baseline units proposed for enhancement</t>
  </si>
  <si>
    <t>Total on-site and off-site baseline area / length lost</t>
  </si>
  <si>
    <t>Total on-site and off-site baseline units lost</t>
  </si>
  <si>
    <t>Area Habitats                                                                                                                          Area Habitats                                                                                                                          Area Habitats</t>
  </si>
  <si>
    <t>On-site change by broad habitat type</t>
  </si>
  <si>
    <t>Combined area lost by distinctiveness band</t>
  </si>
  <si>
    <t>Baseline</t>
  </si>
  <si>
    <t>Post-development on-site</t>
  </si>
  <si>
    <t>On-site change</t>
  </si>
  <si>
    <t>Habitat group</t>
  </si>
  <si>
    <t>On-site existing area</t>
  </si>
  <si>
    <t>On-site existing value</t>
  </si>
  <si>
    <t>On-site proposed area</t>
  </si>
  <si>
    <t>On-site proposed value</t>
  </si>
  <si>
    <t>On-site area change</t>
  </si>
  <si>
    <t>On-site unit change</t>
  </si>
  <si>
    <t>Category</t>
  </si>
  <si>
    <t>Area lost (hectares)</t>
  </si>
  <si>
    <t>Area lost (%)</t>
  </si>
  <si>
    <t>Cropland</t>
  </si>
  <si>
    <t>Grassland</t>
  </si>
  <si>
    <t>Heathland and shrub</t>
  </si>
  <si>
    <t>Lakes</t>
  </si>
  <si>
    <t>Sparsely vegetated land</t>
  </si>
  <si>
    <t>Urban</t>
  </si>
  <si>
    <t>Wetland</t>
  </si>
  <si>
    <t>Woodland and forest</t>
  </si>
  <si>
    <t>Intertidal sediment</t>
  </si>
  <si>
    <t xml:space="preserve">Coastal saltmarsh </t>
  </si>
  <si>
    <t xml:space="preserve">Rocky shore </t>
  </si>
  <si>
    <t>Coastal lagoons</t>
  </si>
  <si>
    <t>Intertidal hard structures</t>
  </si>
  <si>
    <t>Watercourse footprint</t>
  </si>
  <si>
    <t>Individual trees</t>
  </si>
  <si>
    <t>Off-site change by broad habitat type</t>
  </si>
  <si>
    <t>Post-development off-site</t>
  </si>
  <si>
    <t>Off-site change</t>
  </si>
  <si>
    <t>Off-site existing area</t>
  </si>
  <si>
    <t>Off-site existing value</t>
  </si>
  <si>
    <t>Off-site proposed area</t>
  </si>
  <si>
    <t>Off-site proposed value</t>
  </si>
  <si>
    <t>Off-site area change</t>
  </si>
  <si>
    <t>Off-site unit change</t>
  </si>
  <si>
    <t>Combined on-site and off-site change by broad habitat type</t>
  </si>
  <si>
    <t>On-site and off-site post-development</t>
  </si>
  <si>
    <t>Combined change</t>
  </si>
  <si>
    <t>Combined existing area</t>
  </si>
  <si>
    <t>Combined existing value</t>
  </si>
  <si>
    <t>Combined proposed area</t>
  </si>
  <si>
    <t>Combined proposed value</t>
  </si>
  <si>
    <t>Combined area change</t>
  </si>
  <si>
    <t>Combined unit change</t>
  </si>
  <si>
    <t>Hedgerows and Lines of Trees                                                                                Hedgerows and Lines of Trees                                                                                 Hedgerows and Lines of Trees</t>
  </si>
  <si>
    <t>Hedgerows and lines of trees</t>
  </si>
  <si>
    <t>On-site change by hedgerow type</t>
  </si>
  <si>
    <t>Combined length lost by distinctiveness band</t>
  </si>
  <si>
    <t>Hedgerow type</t>
  </si>
  <si>
    <t xml:space="preserve">On-site existing length </t>
  </si>
  <si>
    <t xml:space="preserve">On-site proposed length </t>
  </si>
  <si>
    <t>On-site length change</t>
  </si>
  <si>
    <t>Length lost (km)</t>
  </si>
  <si>
    <t>Length lost (%)</t>
  </si>
  <si>
    <t>Species-rich native hedgerow with trees - associated with bank or ditch</t>
  </si>
  <si>
    <t>Species-rich native hedgerow with trees</t>
  </si>
  <si>
    <t>Species-rich native hedgerow - associated with bank or ditch</t>
  </si>
  <si>
    <t>Native hedgerow with trees - associated with bank or ditch</t>
  </si>
  <si>
    <t>Species-rich native hedgerow</t>
  </si>
  <si>
    <t>Native hedgerow - associated with bank or ditch</t>
  </si>
  <si>
    <t>Native hedgerow with trees</t>
  </si>
  <si>
    <t>Ecologically valuable line of trees</t>
  </si>
  <si>
    <t>Ecologically valuable line of trees - associated with bank or ditch</t>
  </si>
  <si>
    <t>Native hedgerow</t>
  </si>
  <si>
    <t>Line of trees</t>
  </si>
  <si>
    <t>Line of trees  - associated with bank or ditch</t>
  </si>
  <si>
    <t>Non-native and ornamental hedgerow</t>
  </si>
  <si>
    <t>Off-site change by hedgerow type</t>
  </si>
  <si>
    <t>Off-site existing length</t>
  </si>
  <si>
    <t xml:space="preserve">Off-site proposed length </t>
  </si>
  <si>
    <t>Off-site length change</t>
  </si>
  <si>
    <t>Combined on-site and off-site change by hedgerow type</t>
  </si>
  <si>
    <t>Post-development</t>
  </si>
  <si>
    <t xml:space="preserve">Change </t>
  </si>
  <si>
    <t>Combined proposed length</t>
  </si>
  <si>
    <t>Combined length change</t>
  </si>
  <si>
    <t>Watercourses                                                                        Watercourses                                                                                        Watercourses</t>
  </si>
  <si>
    <t>On-site change by watercourse type</t>
  </si>
  <si>
    <t>Post-development on site</t>
  </si>
  <si>
    <t>On-site Change</t>
  </si>
  <si>
    <t>Watercourse type</t>
  </si>
  <si>
    <t>On-site existing length</t>
  </si>
  <si>
    <t>On-site proposed length</t>
  </si>
  <si>
    <t>Priority habitat</t>
  </si>
  <si>
    <t>Other rivers and streams</t>
  </si>
  <si>
    <t>Ditches</t>
  </si>
  <si>
    <t>Canals</t>
  </si>
  <si>
    <t>Culvert</t>
  </si>
  <si>
    <t>Off-site change by watercourse type</t>
  </si>
  <si>
    <t>Post development off-site</t>
  </si>
  <si>
    <t>Off-site Change</t>
  </si>
  <si>
    <t>Off-site proposed length</t>
  </si>
  <si>
    <t>Combined on-site and off-site change by watercourse type</t>
  </si>
  <si>
    <t>Combined existing length</t>
  </si>
  <si>
    <t>Trading Summary</t>
  </si>
  <si>
    <t>Distinctiveness Group</t>
  </si>
  <si>
    <t>Trading Rule</t>
  </si>
  <si>
    <t>Trading Satisfied?</t>
  </si>
  <si>
    <t>Very High</t>
  </si>
  <si>
    <t>Bespoke compensation likely to be required 🛠</t>
  </si>
  <si>
    <t>High</t>
  </si>
  <si>
    <r>
      <t xml:space="preserve">Same habitat required </t>
    </r>
    <r>
      <rPr>
        <sz val="11"/>
        <color theme="4"/>
        <rFont val="Amasis MT Pro"/>
        <family val="1"/>
      </rPr>
      <t>=</t>
    </r>
  </si>
  <si>
    <t>Same broad habitat or a higher distinctiveness habitat required (≥)</t>
  </si>
  <si>
    <t>Low</t>
  </si>
  <si>
    <t>Same distinctiveness or better habitat required ≥</t>
  </si>
  <si>
    <t>Very High Distinctiveness</t>
  </si>
  <si>
    <t>Very High Distinctiveness Summary</t>
  </si>
  <si>
    <t>Group</t>
  </si>
  <si>
    <t>On-site  unit change</t>
  </si>
  <si>
    <t xml:space="preserve">Project-wide unit change </t>
  </si>
  <si>
    <t>Unit losses</t>
  </si>
  <si>
    <t>Very High Distinctiveness Units available to offset lower distinctiveness deficit</t>
  </si>
  <si>
    <t>High Distinctiveness</t>
  </si>
  <si>
    <t>High Distinctiveness Summary</t>
  </si>
  <si>
    <t xml:space="preserve">Losses not yet accounted for </t>
  </si>
  <si>
    <t>High Distinctiveness Units available to offset lower distinctiveness deficit</t>
  </si>
  <si>
    <t>Unit Deficit; Like for like not satisfied</t>
  </si>
  <si>
    <t>Intertidal sediment - Littoral seagrass</t>
  </si>
  <si>
    <t>Medium Distinctiveness</t>
  </si>
  <si>
    <t>Medium Distinctiveness Summary</t>
  </si>
  <si>
    <t xml:space="preserve">Project wide unit change </t>
  </si>
  <si>
    <t>Cumulative broad habitat change</t>
  </si>
  <si>
    <t>Medium Distinctiveness Broad Habitat Deficit to be offset by trading up</t>
  </si>
  <si>
    <t>Cumulative surplus of units</t>
  </si>
  <si>
    <t>Low Distinctiveness</t>
  </si>
  <si>
    <t>Low Distinctiveness Summary</t>
  </si>
  <si>
    <t>Low Distinctiveness net change in units</t>
  </si>
  <si>
    <t>Same habitat required =</t>
  </si>
  <si>
    <t>Like for like or better</t>
  </si>
  <si>
    <t xml:space="preserve">Same distinctiveness or better habitat required </t>
  </si>
  <si>
    <t>Low/Very Low</t>
  </si>
  <si>
    <t>Units available from higher distinctiveness habitats</t>
  </si>
  <si>
    <t>Medium Distinctiveness net change in units</t>
  </si>
  <si>
    <t>Low/Very Low Distinctiveness</t>
  </si>
  <si>
    <t>Better distinctiveness habitat required</t>
  </si>
  <si>
    <t>Medium Distinctiveness Units available to offset Lower Distinctiveness Deficit</t>
  </si>
  <si>
    <t>Summary of sites providing area habitat unit gains</t>
  </si>
  <si>
    <t xml:space="preserve">Summary of sites providing hedgerow unit gains 
</t>
  </si>
  <si>
    <t xml:space="preserve">Summary of sites providing watercourse unit gains 
</t>
  </si>
  <si>
    <t>Gain site reference</t>
  </si>
  <si>
    <t>Off-site units baseline</t>
  </si>
  <si>
    <t>Off-site units retained</t>
  </si>
  <si>
    <t>Off-site units enhanced</t>
  </si>
  <si>
    <t>Off-site unit creation</t>
  </si>
  <si>
    <t>Off-site unit change per gain site (pre-SRM)</t>
  </si>
  <si>
    <t xml:space="preserve">SRM </t>
  </si>
  <si>
    <t>Off-site unit change per gain site (post-SRM)</t>
  </si>
  <si>
    <t>SRM</t>
  </si>
  <si>
    <t>Off-site units Created</t>
  </si>
  <si>
    <t>Area habitat summary</t>
  </si>
  <si>
    <t>Total Net Unit Change</t>
  </si>
  <si>
    <t>HIDDEN - NOT SHOWN BY BUTTON</t>
  </si>
  <si>
    <t>Total Net % Change</t>
  </si>
  <si>
    <t>Hide</t>
  </si>
  <si>
    <t>Trading Rules Satisfied</t>
  </si>
  <si>
    <t>Existing area habitats</t>
  </si>
  <si>
    <t>Distinctiveness</t>
  </si>
  <si>
    <t xml:space="preserve">Condition </t>
  </si>
  <si>
    <t>Strategic significance</t>
  </si>
  <si>
    <t>Required Action to Meet Trading Rules</t>
  </si>
  <si>
    <t>Ecological baseline</t>
  </si>
  <si>
    <t>Retention category biodiversity value</t>
  </si>
  <si>
    <t>Bespoke compensation agreed for unacceptable losses</t>
  </si>
  <si>
    <t>Comments</t>
  </si>
  <si>
    <t>retention cat checks</t>
  </si>
  <si>
    <t>list of lines for enhanced and succession</t>
  </si>
  <si>
    <t>Bespoke Compensation agreed?</t>
  </si>
  <si>
    <t>Condition Group</t>
  </si>
  <si>
    <t>Ref</t>
  </si>
  <si>
    <t>Broad Habitat</t>
  </si>
  <si>
    <t xml:space="preserve"> Habitat Type</t>
  </si>
  <si>
    <t xml:space="preserve"> Habitat type</t>
  </si>
  <si>
    <t>Area (hectares)</t>
  </si>
  <si>
    <t>Score</t>
  </si>
  <si>
    <t>Strategic Significance multiplier</t>
  </si>
  <si>
    <t>Total habitat units</t>
  </si>
  <si>
    <t>Area retained</t>
  </si>
  <si>
    <t>Area enhanced</t>
  </si>
  <si>
    <t>Baseline units retained</t>
  </si>
  <si>
    <t>Baseline units enhanced</t>
  </si>
  <si>
    <t>Area habitat lost</t>
  </si>
  <si>
    <t>Units lost</t>
  </si>
  <si>
    <t>User comments</t>
  </si>
  <si>
    <t>Consenting body comments</t>
  </si>
  <si>
    <t>GIS reference number</t>
  </si>
  <si>
    <t>Area of Unacceptable Losses</t>
  </si>
  <si>
    <t>Units Unacceptable Losses</t>
  </si>
  <si>
    <t>Retained</t>
  </si>
  <si>
    <t>Enhanced</t>
  </si>
  <si>
    <t>Succession</t>
  </si>
  <si>
    <t>line number</t>
  </si>
  <si>
    <t xml:space="preserve">Total habitat area </t>
  </si>
  <si>
    <t>Site Area (Excluding area of Individual trees and Green walls)</t>
  </si>
  <si>
    <t>Total area lost (excluding area of Individual trees and Green walls)</t>
  </si>
  <si>
    <t>M² to hectares conversion tool:</t>
  </si>
  <si>
    <t>Select a unit</t>
  </si>
  <si>
    <t>Hectares</t>
  </si>
  <si>
    <t>M²</t>
  </si>
  <si>
    <t xml:space="preserve">Post development/ post intervention habitats </t>
  </si>
  <si>
    <t>Time to Poor cond</t>
  </si>
  <si>
    <t>Proposed habitat</t>
  </si>
  <si>
    <t>Temporal multiplier</t>
  </si>
  <si>
    <t>Difficulty multipliers</t>
  </si>
  <si>
    <t>Habitat units delivered</t>
  </si>
  <si>
    <t>Strategic position multiplier</t>
  </si>
  <si>
    <t>Standard time to target condition (years)</t>
  </si>
  <si>
    <t>Habitat created in advance (years)</t>
  </si>
  <si>
    <t>Delay in starting habitat creation (years)</t>
  </si>
  <si>
    <t>Standard or adjusted time to target condition</t>
  </si>
  <si>
    <t>Final time to target condition (years)</t>
  </si>
  <si>
    <t>Final time to target multiplier</t>
  </si>
  <si>
    <t xml:space="preserve">Standard difficulty of creation </t>
  </si>
  <si>
    <t>Applied difficulty multiplier</t>
  </si>
  <si>
    <t xml:space="preserve">Final difficulty of creation </t>
  </si>
  <si>
    <t>Difficulty multiplier applied</t>
  </si>
  <si>
    <t>Poor</t>
  </si>
  <si>
    <t>Total habitat area</t>
  </si>
  <si>
    <t>Totals</t>
  </si>
  <si>
    <t>Total Units</t>
  </si>
  <si>
    <t>Baseline habitats</t>
  </si>
  <si>
    <t>Proposed Habitat (Pre-populated but can be overridden)</t>
  </si>
  <si>
    <t>Change in distinctiveness and condition</t>
  </si>
  <si>
    <t xml:space="preserve">Area (hectares) </t>
  </si>
  <si>
    <t>Temporal risk multiplier</t>
  </si>
  <si>
    <t>Difficulty risk multipliers</t>
  </si>
  <si>
    <t>Habitat</t>
  </si>
  <si>
    <t>Baseline ref</t>
  </si>
  <si>
    <t>Baseline habitat</t>
  </si>
  <si>
    <t>Total habitat area (hectares)</t>
  </si>
  <si>
    <t>Baseline distinctiveness band</t>
  </si>
  <si>
    <t>Baseline distinctiveness score</t>
  </si>
  <si>
    <t>Baseline condition category</t>
  </si>
  <si>
    <t>Baseline condition score</t>
  </si>
  <si>
    <t>Baseline strategic significance category</t>
  </si>
  <si>
    <t>Baseline strategic significance score</t>
  </si>
  <si>
    <t>Baseline habitat units</t>
  </si>
  <si>
    <t>Conditional Data Validation lookup</t>
  </si>
  <si>
    <t>Proposed Broad Habitat</t>
  </si>
  <si>
    <t xml:space="preserve"> Distinctiveness change</t>
  </si>
  <si>
    <t>Condition change</t>
  </si>
  <si>
    <t xml:space="preserve">Habitat enhanced in advance (years) </t>
  </si>
  <si>
    <t>Delay in starting habitat enhancement (years)</t>
  </si>
  <si>
    <t>Standard difficulty of enhancement</t>
  </si>
  <si>
    <t>Final difficulty of enhancement</t>
  </si>
  <si>
    <t>Condition</t>
  </si>
  <si>
    <t>Spatial risk multiplier</t>
  </si>
  <si>
    <t>Broad habitat</t>
  </si>
  <si>
    <t>Total habitat units (SRM)</t>
  </si>
  <si>
    <t>Spatial risk category</t>
  </si>
  <si>
    <t>Area lost</t>
  </si>
  <si>
    <t>Off-site reference</t>
  </si>
  <si>
    <t>Units unacceptable Losses</t>
  </si>
  <si>
    <t>Total site area ha</t>
  </si>
  <si>
    <t>Total Site baseline</t>
  </si>
  <si>
    <t>Total area lost (excluding area of Urban trees and Green walls)</t>
  </si>
  <si>
    <t>Habitat units delivered (inc. SRM)</t>
  </si>
  <si>
    <t>Conditional Data Validation</t>
  </si>
  <si>
    <t xml:space="preserve">Habitat created in advance (years) </t>
  </si>
  <si>
    <t>take account of trading</t>
  </si>
  <si>
    <t>Proposed Habitat (Pre-Populated but can be overridden)</t>
  </si>
  <si>
    <t>Area ha</t>
  </si>
  <si>
    <t>Habitat units delivered (inc SRM)</t>
  </si>
  <si>
    <t>Proposed Habitat</t>
  </si>
  <si>
    <t>Proposed habitat    (Pre-Populated but can be overridden)</t>
  </si>
  <si>
    <t>Habitat enhanced in advance (years)</t>
  </si>
  <si>
    <t>Difficulty of enhancement category</t>
  </si>
  <si>
    <t>Difficulty</t>
  </si>
  <si>
    <t>Hedgerow summary</t>
  </si>
  <si>
    <t>Existing hedgerow habitats</t>
  </si>
  <si>
    <t>Hedge number</t>
  </si>
  <si>
    <t>Total hedgerow units</t>
  </si>
  <si>
    <t>Length retained</t>
  </si>
  <si>
    <t>Length enhanced</t>
  </si>
  <si>
    <t>Units retained</t>
  </si>
  <si>
    <t>Units enhanced</t>
  </si>
  <si>
    <t>Length lost</t>
  </si>
  <si>
    <t>Proposed habitats</t>
  </si>
  <si>
    <t>Hedge units delivered</t>
  </si>
  <si>
    <t>New hedge number</t>
  </si>
  <si>
    <t>Standard Time to target condition (years)</t>
  </si>
  <si>
    <t>Baseline Habitats</t>
  </si>
  <si>
    <t>Proposed (Pre-populated but can be overridden)</t>
  </si>
  <si>
    <t xml:space="preserve"> Distinctiveness movement</t>
  </si>
  <si>
    <t>Condition movement</t>
  </si>
  <si>
    <t>Final Time to target multiplier</t>
  </si>
  <si>
    <t xml:space="preserve">Standard difficulty of enhancement </t>
  </si>
  <si>
    <t xml:space="preserve">Final difficulty of enhancement </t>
  </si>
  <si>
    <t>Total hedgerow units (SRM)</t>
  </si>
  <si>
    <t>Hedge units delivered (inc SRM)</t>
  </si>
  <si>
    <t>Post development/ post intervention habitats</t>
  </si>
  <si>
    <t>Proposed (Pre-Populated but can be overridden)</t>
  </si>
  <si>
    <t>Watercourse summary</t>
  </si>
  <si>
    <t>Existing watercourse type</t>
  </si>
  <si>
    <t>Watercourse encroachment</t>
  </si>
  <si>
    <t>Riparian encroachment</t>
  </si>
  <si>
    <t>Strategic significance multiplier</t>
  </si>
  <si>
    <t>Extent of encroachment</t>
  </si>
  <si>
    <t>Multiplier</t>
  </si>
  <si>
    <t>Extent of encroachment for both banks</t>
  </si>
  <si>
    <t>Total watercourse units</t>
  </si>
  <si>
    <t>Length Lost</t>
  </si>
  <si>
    <t>Units Lost</t>
  </si>
  <si>
    <t>User Comments</t>
  </si>
  <si>
    <t>Length match</t>
  </si>
  <si>
    <t>Encroachment group</t>
  </si>
  <si>
    <t>Watercourse units delivered</t>
  </si>
  <si>
    <t xml:space="preserve">Applied difficulty multiplier </t>
  </si>
  <si>
    <t>Proposed Watercourse Type
(Pre-populated can be overridden)</t>
  </si>
  <si>
    <t>Habitat distinctiveness</t>
  </si>
  <si>
    <t>Habitat condition</t>
  </si>
  <si>
    <t>Baseline strategic significance Score</t>
  </si>
  <si>
    <t>Total units</t>
  </si>
  <si>
    <t>Total river units (SRM)</t>
  </si>
  <si>
    <t>Length Match</t>
  </si>
  <si>
    <t>River units delivered (inc SRM)</t>
  </si>
  <si>
    <t>Length km</t>
  </si>
  <si>
    <t>Final time to target condition/years</t>
  </si>
  <si>
    <t>Final time to target Multiplier</t>
  </si>
  <si>
    <t>`</t>
  </si>
  <si>
    <t>Proposed  habitat 
(Pre-Populated but can be overridden)</t>
  </si>
  <si>
    <t>Watercourse units delivered (inc SRM)</t>
  </si>
  <si>
    <t>All Habitats Based on UKHab</t>
  </si>
  <si>
    <t>Distinctiveness categories</t>
  </si>
  <si>
    <t>Condition categories</t>
  </si>
  <si>
    <t xml:space="preserve">Broad Habitats </t>
  </si>
  <si>
    <t>Conditional Broad Habitat Label</t>
  </si>
  <si>
    <t>Labeling column</t>
  </si>
  <si>
    <t>Definitive UKHAB / EUNIS/NE Code</t>
  </si>
  <si>
    <t>Level 1</t>
  </si>
  <si>
    <t>Level 2 code</t>
  </si>
  <si>
    <t>Level 2 Label</t>
  </si>
  <si>
    <t>Level 3 code</t>
  </si>
  <si>
    <t>Level 3 Label</t>
  </si>
  <si>
    <t>Level 4 code</t>
  </si>
  <si>
    <t>Level 4 Label
(Priority Habitats in Bold)</t>
  </si>
  <si>
    <t xml:space="preserve">Distinctiveness Category </t>
  </si>
  <si>
    <t>Distinctiveness Score</t>
  </si>
  <si>
    <t>Trading notes</t>
  </si>
  <si>
    <t>Technical Difficulty Creation</t>
  </si>
  <si>
    <t>Technical Difficulty Enhancement</t>
  </si>
  <si>
    <t>Basic Description</t>
  </si>
  <si>
    <t>Condition Assessment Notes</t>
  </si>
  <si>
    <t>Distinctiveness category</t>
  </si>
  <si>
    <t>Distinctiveness score</t>
  </si>
  <si>
    <t>Sugested action</t>
  </si>
  <si>
    <t>Condition Multiplier</t>
  </si>
  <si>
    <t>Condition Assesmennt Score</t>
  </si>
  <si>
    <t>Bespoke Compensation For Unaceptable losses agreed</t>
  </si>
  <si>
    <t>Arable field margins cultivated annually</t>
  </si>
  <si>
    <t>Cropland - Arable field margins cultivated annually</t>
  </si>
  <si>
    <t>c1a7</t>
  </si>
  <si>
    <t>Terrestrial</t>
  </si>
  <si>
    <t>Arable and horticulture</t>
  </si>
  <si>
    <t>Arable field margins</t>
  </si>
  <si>
    <t>V.High</t>
  </si>
  <si>
    <r>
      <t>Bespoke compensation likely to be required</t>
    </r>
    <r>
      <rPr>
        <b/>
        <sz val="11"/>
        <rFont val="Rockwell Light"/>
        <family val="1"/>
      </rPr>
      <t xml:space="preserve"> 🛠</t>
    </r>
  </si>
  <si>
    <t>Arable field margins game bird mix</t>
  </si>
  <si>
    <t>Cropland - Arable field margins game bird mix</t>
  </si>
  <si>
    <t>c1a8</t>
  </si>
  <si>
    <t>Fairly Good</t>
  </si>
  <si>
    <t>Arable field margins pollen and nectar</t>
  </si>
  <si>
    <t>Cropland - Arable field margins pollen and nectar</t>
  </si>
  <si>
    <t>c1a6</t>
  </si>
  <si>
    <t>Heathland_and_shrub</t>
  </si>
  <si>
    <t>Arable field margins tussocky</t>
  </si>
  <si>
    <t>Cropland - Arable field margins tussocky</t>
  </si>
  <si>
    <t>c1a</t>
  </si>
  <si>
    <t>c</t>
  </si>
  <si>
    <t>c1</t>
  </si>
  <si>
    <t>Fairly Poor</t>
  </si>
  <si>
    <t>Cereal crops</t>
  </si>
  <si>
    <t>Cropland - Cereal crops</t>
  </si>
  <si>
    <t>c1c</t>
  </si>
  <si>
    <t>V.Low</t>
  </si>
  <si>
    <t>Compensation Not Required</t>
  </si>
  <si>
    <t>Sparsely_vegetated_land</t>
  </si>
  <si>
    <t>Winter stubble</t>
  </si>
  <si>
    <t>Cropland - Winter stubble</t>
  </si>
  <si>
    <t>c1c5</t>
  </si>
  <si>
    <t>Condition Assessment N/A</t>
  </si>
  <si>
    <t>Horticulture</t>
  </si>
  <si>
    <t>Cropland - Horticulture</t>
  </si>
  <si>
    <t>c1f</t>
  </si>
  <si>
    <t>N/A - Other</t>
  </si>
  <si>
    <t>Intensive orchards</t>
  </si>
  <si>
    <t>Cropland - Intensive orchards</t>
  </si>
  <si>
    <t>c1e</t>
  </si>
  <si>
    <t>Woodland_and_forest</t>
  </si>
  <si>
    <t>Non-cereal crops</t>
  </si>
  <si>
    <t>Cropland - Non-cereal crops</t>
  </si>
  <si>
    <t>c1d</t>
  </si>
  <si>
    <t>Coastal_lagoons</t>
  </si>
  <si>
    <t>Temporary grass and clover leys</t>
  </si>
  <si>
    <t>Cropland - Temporary grass and clover leys</t>
  </si>
  <si>
    <t>c1b</t>
  </si>
  <si>
    <t>Traditional orchards</t>
  </si>
  <si>
    <t>Grassland - Traditional orchards</t>
  </si>
  <si>
    <t>Bracken</t>
  </si>
  <si>
    <t>Grassland - Bracken</t>
  </si>
  <si>
    <t>g1c</t>
  </si>
  <si>
    <t>Acid grassland</t>
  </si>
  <si>
    <t>Intertidal_sediment</t>
  </si>
  <si>
    <t>Floodplain wetland mosaic and CFGM</t>
  </si>
  <si>
    <t>Grassland - Floodplain wetland mosaic and CFGM</t>
  </si>
  <si>
    <t>NE0011</t>
  </si>
  <si>
    <t>Floodplain Wetland Mosaic</t>
  </si>
  <si>
    <t>Intertidal_hard_structures</t>
  </si>
  <si>
    <t>Lowland calcareous grassland</t>
  </si>
  <si>
    <t>Grassland - Lowland calcareous grassland</t>
  </si>
  <si>
    <t>g2a</t>
  </si>
  <si>
    <t>g2</t>
  </si>
  <si>
    <t>Calcareous grassland</t>
  </si>
  <si>
    <t>Watercourse_footprint</t>
  </si>
  <si>
    <t>Lowland dry acid grassland</t>
  </si>
  <si>
    <t>Grassland - Lowland dry acid grassland</t>
  </si>
  <si>
    <t>g1a</t>
  </si>
  <si>
    <t>g</t>
  </si>
  <si>
    <t>g1</t>
  </si>
  <si>
    <t>Individual_trees</t>
  </si>
  <si>
    <t>Lowland meadows</t>
  </si>
  <si>
    <t>Grassland - Lowland meadows</t>
  </si>
  <si>
    <t>g3a</t>
  </si>
  <si>
    <t>g3</t>
  </si>
  <si>
    <t>Neutral grassland</t>
  </si>
  <si>
    <t>Modified grassland</t>
  </si>
  <si>
    <t>Grassland - Modified grassland</t>
  </si>
  <si>
    <t>g4</t>
  </si>
  <si>
    <t>Carried forward</t>
  </si>
  <si>
    <t>Other lowland acid grassland</t>
  </si>
  <si>
    <t>Grassland - Other lowland acid grassland</t>
  </si>
  <si>
    <t>g1d</t>
  </si>
  <si>
    <t>Other neutral grassland</t>
  </si>
  <si>
    <t>Grassland - Other neutral grassland</t>
  </si>
  <si>
    <t>g3c</t>
  </si>
  <si>
    <t>Tall herb communities (H6430)</t>
  </si>
  <si>
    <t>Grassland - Tall herb communities (H6430)</t>
  </si>
  <si>
    <t>s1a9</t>
  </si>
  <si>
    <t>g5</t>
  </si>
  <si>
    <t>Other grassland</t>
  </si>
  <si>
    <t>Tall herb communities</t>
  </si>
  <si>
    <t>Upland acid grassland</t>
  </si>
  <si>
    <t>Grassland - Upland acid grassland</t>
  </si>
  <si>
    <t>g1b</t>
  </si>
  <si>
    <t>Upland calcareous grassland</t>
  </si>
  <si>
    <t>Grassland - Upland calcareous grassland</t>
  </si>
  <si>
    <t>g2b</t>
  </si>
  <si>
    <t>Upland hay meadows</t>
  </si>
  <si>
    <t>Grassland - Upland hay meadows</t>
  </si>
  <si>
    <t>g3b</t>
  </si>
  <si>
    <t>Blackthorn scrub</t>
  </si>
  <si>
    <t>Heathland and shrub - Blackthorn scrub</t>
  </si>
  <si>
    <t>h3a</t>
  </si>
  <si>
    <t>h3</t>
  </si>
  <si>
    <t>Dense scrub</t>
  </si>
  <si>
    <t>Bramble scrub</t>
  </si>
  <si>
    <t>Heathland and shrub - Bramble scrub</t>
  </si>
  <si>
    <t>h3d</t>
  </si>
  <si>
    <t>Gorse scrub</t>
  </si>
  <si>
    <t>Heathland and shrub - Gorse scrub</t>
  </si>
  <si>
    <t>h3e</t>
  </si>
  <si>
    <t>Hawthorn scrub</t>
  </si>
  <si>
    <t>Heathland and shrub - Hawthorn scrub</t>
  </si>
  <si>
    <t>h3f</t>
  </si>
  <si>
    <t>Hazel scrub</t>
  </si>
  <si>
    <t>Heathland and shrub - Hazel scrub</t>
  </si>
  <si>
    <t>h3b</t>
  </si>
  <si>
    <t>Lowland heathland</t>
  </si>
  <si>
    <t>Heathland and shrub - Lowland heathland</t>
  </si>
  <si>
    <t>h1a</t>
  </si>
  <si>
    <t>h</t>
  </si>
  <si>
    <t>h1</t>
  </si>
  <si>
    <t>Dwarf shrub heath</t>
  </si>
  <si>
    <t>Lowland Heathland</t>
  </si>
  <si>
    <t>Mixed scrub</t>
  </si>
  <si>
    <t>Heathland and shrub - Mixed scrub</t>
  </si>
  <si>
    <t>h3h</t>
  </si>
  <si>
    <t>To include scattered mixed scrub over grassland</t>
  </si>
  <si>
    <t>Mountain heaths and willow scrub</t>
  </si>
  <si>
    <t>Heathland and shrub - Mountain heaths and willow scrub</t>
  </si>
  <si>
    <t>h1c</t>
  </si>
  <si>
    <t>Rhododendron scrub</t>
  </si>
  <si>
    <t>Heathland and shrub - Rhododendron scrub</t>
  </si>
  <si>
    <t>h3g</t>
  </si>
  <si>
    <t>Dunes with sea buckthorn (H2160)</t>
  </si>
  <si>
    <t>Heathland and shrub - Dunes with sea buckthorn (H2160)</t>
  </si>
  <si>
    <t>h3c5</t>
  </si>
  <si>
    <t>h3c</t>
  </si>
  <si>
    <t>Sea buckthorn scrub</t>
  </si>
  <si>
    <t>Other sea buckthorn scrub</t>
  </si>
  <si>
    <t>Heathland and shrub - Other sea buckthorn scrub</t>
  </si>
  <si>
    <t>h3c6</t>
  </si>
  <si>
    <t>Other Sea buckthorn scrub</t>
  </si>
  <si>
    <t>Willow scrub</t>
  </si>
  <si>
    <t>Heathland and shrub - Willow scrub</t>
  </si>
  <si>
    <t>h3j</t>
  </si>
  <si>
    <t>Upland heathland</t>
  </si>
  <si>
    <t>Heathland and shrub - Upland heathland</t>
  </si>
  <si>
    <t>h1b</t>
  </si>
  <si>
    <t>Upland Heathland</t>
  </si>
  <si>
    <t>Aquifer fed naturally fluctuating water bodies</t>
  </si>
  <si>
    <t>Lakes - Aquifer fed naturally fluctuating water bodies</t>
  </si>
  <si>
    <t>r1d</t>
  </si>
  <si>
    <t>Freshwater</t>
  </si>
  <si>
    <t>Standing open water and canals</t>
  </si>
  <si>
    <t>Ornamental lake or pond</t>
  </si>
  <si>
    <t>Lakes - Ornamental lake or pond</t>
  </si>
  <si>
    <t>Built-up areas and gardens</t>
  </si>
  <si>
    <t>High alkalinity lakes</t>
  </si>
  <si>
    <t>Lakes - High alkalinity lakes</t>
  </si>
  <si>
    <t>NE0001</t>
  </si>
  <si>
    <t>Low alkalinity lakes</t>
  </si>
  <si>
    <t>Lakes - Low alkalinity lakes</t>
  </si>
  <si>
    <t>NE0002</t>
  </si>
  <si>
    <t>Marl lakes</t>
  </si>
  <si>
    <t>Lakes - Marl lakes</t>
  </si>
  <si>
    <t>NE0003</t>
  </si>
  <si>
    <t>Moderate alkalinity lakes</t>
  </si>
  <si>
    <t>Lakes - Moderate alkalinity lakes</t>
  </si>
  <si>
    <t>NE0004</t>
  </si>
  <si>
    <t>Peat lakes</t>
  </si>
  <si>
    <t>Lakes - Peat lakes</t>
  </si>
  <si>
    <t>NE0005</t>
  </si>
  <si>
    <t>Ponds (priority habitat)</t>
  </si>
  <si>
    <t>Lakes - Ponds (priority habitat)</t>
  </si>
  <si>
    <t>NE0006</t>
  </si>
  <si>
    <t>Ponds (non-priority habitat)</t>
  </si>
  <si>
    <t>Lakes - Ponds (non-priority habitat)</t>
  </si>
  <si>
    <t>NE0012</t>
  </si>
  <si>
    <t>r1b</t>
  </si>
  <si>
    <t>Reservoirs</t>
  </si>
  <si>
    <t>Lakes - Reservoirs</t>
  </si>
  <si>
    <t>Temporary lakes ponds and pools (H3170)</t>
  </si>
  <si>
    <t>Lakes - Temporary lakes ponds and pools (H3170)</t>
  </si>
  <si>
    <t>NE0013</t>
  </si>
  <si>
    <t>r1c</t>
  </si>
  <si>
    <t>Calaminarian grasslands</t>
  </si>
  <si>
    <t>Sparsely vegetated land - Calaminarian grasslands</t>
  </si>
  <si>
    <t>s1c</t>
  </si>
  <si>
    <t>Inland rock</t>
  </si>
  <si>
    <t>Coastal sand dunes</t>
  </si>
  <si>
    <t>Sparsely vegetated land - Coastal sand dunes</t>
  </si>
  <si>
    <t>s3a</t>
  </si>
  <si>
    <t>Supralittoral Sediment</t>
  </si>
  <si>
    <t>Coastal vegetated shingle</t>
  </si>
  <si>
    <t>Sparsely vegetated land - Coastal vegetated shingle</t>
  </si>
  <si>
    <t>s3b</t>
  </si>
  <si>
    <t>Ruderal/Ephemeral</t>
  </si>
  <si>
    <t>Sparsely vegetated land - Ruderal/Ephemeral</t>
  </si>
  <si>
    <t>Ephemeral</t>
  </si>
  <si>
    <t>Including low value tall herb</t>
  </si>
  <si>
    <t>Tall forbs</t>
  </si>
  <si>
    <t>Sparsely vegetated land - Tall forbs</t>
  </si>
  <si>
    <t>Inland rock outcrop and scree habitats</t>
  </si>
  <si>
    <t>Sparsely vegetated land - Inland rock outcrop and scree habitats</t>
  </si>
  <si>
    <t>s1a</t>
  </si>
  <si>
    <t>s</t>
  </si>
  <si>
    <t>s1</t>
  </si>
  <si>
    <t>Limestone pavement</t>
  </si>
  <si>
    <t>Sparsely vegetated land - Limestone pavement</t>
  </si>
  <si>
    <t>s1b</t>
  </si>
  <si>
    <t>Maritime cliff and slopes</t>
  </si>
  <si>
    <t>Sparsely vegetated land - Maritime cliff and slopes</t>
  </si>
  <si>
    <t>s2a</t>
  </si>
  <si>
    <t>s2</t>
  </si>
  <si>
    <t>Supralittoral Rock</t>
  </si>
  <si>
    <t>Other inland rock and scree</t>
  </si>
  <si>
    <t>Sparsely vegetated land - Other inland rock and scree</t>
  </si>
  <si>
    <t>s1d</t>
  </si>
  <si>
    <t>Allotments</t>
  </si>
  <si>
    <t>Urban - Allotments</t>
  </si>
  <si>
    <t>Artificial unvegetated, unsealed surface</t>
  </si>
  <si>
    <t>Urban - Artificial unvegetated, unsealed surface</t>
  </si>
  <si>
    <t>u1c</t>
  </si>
  <si>
    <t>Bioswale</t>
  </si>
  <si>
    <t>Urban - Bioswale</t>
  </si>
  <si>
    <t>Intensive green roof</t>
  </si>
  <si>
    <t>Urban - Intensive green roof</t>
  </si>
  <si>
    <t>NE0008</t>
  </si>
  <si>
    <t>Built linear features</t>
  </si>
  <si>
    <t>Urban - Built linear features</t>
  </si>
  <si>
    <t>u1e</t>
  </si>
  <si>
    <t>Cemeteries and churchyards</t>
  </si>
  <si>
    <t>Urban - Cemeteries and churchyards</t>
  </si>
  <si>
    <t>Developed land; sealed surface</t>
  </si>
  <si>
    <t>Urban - Developed land; sealed surface</t>
  </si>
  <si>
    <t>u1b</t>
  </si>
  <si>
    <t>Other green roof</t>
  </si>
  <si>
    <t>Urban - Other green roof</t>
  </si>
  <si>
    <t>NE0009</t>
  </si>
  <si>
    <t>Facade-bound green wall</t>
  </si>
  <si>
    <t>Urban - Facade-bound green wall</t>
  </si>
  <si>
    <t>Façade-bound green wall</t>
  </si>
  <si>
    <t>Ground based green wall</t>
  </si>
  <si>
    <t>Urban - Ground based green wall</t>
  </si>
  <si>
    <t>Ground level planters</t>
  </si>
  <si>
    <t>Urban - Ground level planters</t>
  </si>
  <si>
    <t>Biodiverse green roof</t>
  </si>
  <si>
    <t>Urban - Biodiverse green roof</t>
  </si>
  <si>
    <t>NE0007</t>
  </si>
  <si>
    <t>Introduced shrub</t>
  </si>
  <si>
    <t>Urban - Introduced shrub</t>
  </si>
  <si>
    <t>Open mosaic habitats on previously developed land</t>
  </si>
  <si>
    <t>Urban - Open mosaic habitats on previously developed land</t>
  </si>
  <si>
    <t>u1a</t>
  </si>
  <si>
    <t>u</t>
  </si>
  <si>
    <t>u1</t>
  </si>
  <si>
    <t>Open Mosaic Habitats on Previously Developed Land</t>
  </si>
  <si>
    <t>Rain garden</t>
  </si>
  <si>
    <t>Urban - Rain garden</t>
  </si>
  <si>
    <t>Actively worked sand pit quarry or open cast mine</t>
  </si>
  <si>
    <t>Urban - Actively worked sand pit quarry or open cast mine</t>
  </si>
  <si>
    <t>Sand pit quarry or open cast mine</t>
  </si>
  <si>
    <t>Sustainable drainage system</t>
  </si>
  <si>
    <t>Urban - Sustainable drainage system</t>
  </si>
  <si>
    <t>Sustainable urban drainage feature</t>
  </si>
  <si>
    <t>Unvegetated garden</t>
  </si>
  <si>
    <t>Urban - Unvegetated garden</t>
  </si>
  <si>
    <t>Un-vegetated garden</t>
  </si>
  <si>
    <t>Vacant or derelict land</t>
  </si>
  <si>
    <t>Urban - Vacant or derelict land</t>
  </si>
  <si>
    <t>Justify why not Open Mosaic Habitat.</t>
  </si>
  <si>
    <t>Bare ground</t>
  </si>
  <si>
    <t>Urban - Bare ground</t>
  </si>
  <si>
    <t>NE0015</t>
  </si>
  <si>
    <t>Vegetated garden</t>
  </si>
  <si>
    <t>Urban - Vegetated garden</t>
  </si>
  <si>
    <t>Urban tree</t>
  </si>
  <si>
    <t>Individual trees - Urban tree</t>
  </si>
  <si>
    <t>NE0014</t>
  </si>
  <si>
    <t>Street Tree</t>
  </si>
  <si>
    <t>Rural tree</t>
  </si>
  <si>
    <t>Individual trees - Rural tree</t>
  </si>
  <si>
    <t>NE0016</t>
  </si>
  <si>
    <t>Blanket bog</t>
  </si>
  <si>
    <t>Wetland - Blanket bog</t>
  </si>
  <si>
    <t>f1a</t>
  </si>
  <si>
    <t>Bog</t>
  </si>
  <si>
    <t>Depressions on peat substrates (H7150)</t>
  </si>
  <si>
    <t>Wetland - Depressions on peat substrates (H7150)</t>
  </si>
  <si>
    <t>f</t>
  </si>
  <si>
    <t>f1</t>
  </si>
  <si>
    <t>Depressions on Peat substrates (H7150)</t>
  </si>
  <si>
    <t>Fens (upland and lowland)</t>
  </si>
  <si>
    <t>Wetland - Fens (upland and lowland)</t>
  </si>
  <si>
    <t>f2a</t>
  </si>
  <si>
    <t>f2</t>
  </si>
  <si>
    <t>Fen marsh and swamp</t>
  </si>
  <si>
    <t>Lowland fens</t>
  </si>
  <si>
    <t>Lowland raised bog</t>
  </si>
  <si>
    <t>Wetland - Lowland raised bog</t>
  </si>
  <si>
    <t>f1b</t>
  </si>
  <si>
    <t>Oceanic valley mire[1] (D2.1)</t>
  </si>
  <si>
    <t>Wetland - Oceanic valley mire[1] (D2.1)</t>
  </si>
  <si>
    <t>NE0010</t>
  </si>
  <si>
    <t>f2f</t>
  </si>
  <si>
    <t>Oceanic Valley Mire[1] (D2.1)</t>
  </si>
  <si>
    <t>Purple moor grass and rush pastures</t>
  </si>
  <si>
    <t>Wetland - Purple moor grass and rush pastures</t>
  </si>
  <si>
    <t>f2b</t>
  </si>
  <si>
    <t>Reedbeds</t>
  </si>
  <si>
    <t>Wetland - Reedbeds</t>
  </si>
  <si>
    <t>f2e</t>
  </si>
  <si>
    <t>Transition mires and quaking bogs (H7140)</t>
  </si>
  <si>
    <t>Wetland - Transition mires and quaking bogs (H7140)</t>
  </si>
  <si>
    <t>f2a8</t>
  </si>
  <si>
    <t>Felled</t>
  </si>
  <si>
    <t>Woodland and forest - Felled</t>
  </si>
  <si>
    <t>Other woodland</t>
  </si>
  <si>
    <t>Lowland beech and yew woodland</t>
  </si>
  <si>
    <t>Woodland and forest - Lowland beech and yew woodland</t>
  </si>
  <si>
    <t>w1c</t>
  </si>
  <si>
    <t>Broadleaved mixed and yew woodland</t>
  </si>
  <si>
    <t>Lowland mixed deciduous woodland</t>
  </si>
  <si>
    <t>Woodland and forest - Lowland mixed deciduous woodland</t>
  </si>
  <si>
    <t>w1f</t>
  </si>
  <si>
    <t>Native pine woodlands</t>
  </si>
  <si>
    <t>Woodland and forest - Native pine woodlands</t>
  </si>
  <si>
    <t>w2a</t>
  </si>
  <si>
    <t>w2</t>
  </si>
  <si>
    <t>Coniferous woodland</t>
  </si>
  <si>
    <t>Other coniferous woodland</t>
  </si>
  <si>
    <t>Woodland and forest - Other coniferous woodland</t>
  </si>
  <si>
    <t>w2c</t>
  </si>
  <si>
    <t>Other Scot's pine woodland</t>
  </si>
  <si>
    <t>Woodland and forest - Other Scot's pine woodland</t>
  </si>
  <si>
    <t>w2b</t>
  </si>
  <si>
    <t>Other Scot's Pine woodland</t>
  </si>
  <si>
    <t>Other woodland; broadleaved</t>
  </si>
  <si>
    <t>Woodland and forest - Other woodland; broadleaved</t>
  </si>
  <si>
    <t>w1g</t>
  </si>
  <si>
    <t>Other woodland; mixed</t>
  </si>
  <si>
    <t>Woodland and forest - Other woodland; mixed</t>
  </si>
  <si>
    <t>w1h</t>
  </si>
  <si>
    <t>Upland birchwoods</t>
  </si>
  <si>
    <t>Woodland and forest - Upland birchwoods</t>
  </si>
  <si>
    <t>w1e</t>
  </si>
  <si>
    <t>Upland mixed ashwoods</t>
  </si>
  <si>
    <t>Woodland and forest - Upland mixed ashwoods</t>
  </si>
  <si>
    <t>w1b</t>
  </si>
  <si>
    <t>Upland oakwood</t>
  </si>
  <si>
    <t>Woodland and forest - Upland oakwood</t>
  </si>
  <si>
    <t>w1a</t>
  </si>
  <si>
    <t>w</t>
  </si>
  <si>
    <t>w1</t>
  </si>
  <si>
    <t>Wet woodland</t>
  </si>
  <si>
    <t>Woodland and forest - Wet woodland</t>
  </si>
  <si>
    <t>w1d</t>
  </si>
  <si>
    <t>Wood-pasture and parkland</t>
  </si>
  <si>
    <t>Woodland and forest - Wood-pasture and parkland</t>
  </si>
  <si>
    <t>Coastal lagoons - Coastal lagoons</t>
  </si>
  <si>
    <t>x02</t>
  </si>
  <si>
    <t>Intertidal</t>
  </si>
  <si>
    <t>X02/03</t>
  </si>
  <si>
    <t>High energy littoral rock</t>
  </si>
  <si>
    <t>Rocky shore - High energy littoral rock</t>
  </si>
  <si>
    <t>a1.1</t>
  </si>
  <si>
    <t>A1</t>
  </si>
  <si>
    <t>High energy littoral rock - on peat, clay or chalk</t>
  </si>
  <si>
    <t>Rocky shore - High energy littoral rock - on peat, clay or chalk</t>
  </si>
  <si>
    <t>A1.1</t>
  </si>
  <si>
    <t>High energy littoral rock - on bedrock including chalk, peat or clay</t>
  </si>
  <si>
    <t>Moderate energy littoral rock</t>
  </si>
  <si>
    <t>Rocky shore - Moderate energy littoral rock</t>
  </si>
  <si>
    <t>A1.2</t>
  </si>
  <si>
    <t>Moderate energy littoral rock - on peat, clay or chalk</t>
  </si>
  <si>
    <t>Rocky shore - Moderate energy littoral rock - on peat, clay or chalk</t>
  </si>
  <si>
    <t>A1.2 PCC</t>
  </si>
  <si>
    <t>Moderate energy littoral rock - on bedrock including chalk, peat or clay</t>
  </si>
  <si>
    <t>Low energy littoral rock</t>
  </si>
  <si>
    <t>Rocky shore - Low energy littoral rock</t>
  </si>
  <si>
    <t>A1.3</t>
  </si>
  <si>
    <t>Low energy littoral rock - on peat, clay or chalk</t>
  </si>
  <si>
    <t>Rocky shore - Low energy littoral rock - on peat, clay or chalk</t>
  </si>
  <si>
    <t>A1.3 PCC</t>
  </si>
  <si>
    <t>Low energy littoral rock  - on bedrock including chalk, peat or clay</t>
  </si>
  <si>
    <t>Features of littoral rock</t>
  </si>
  <si>
    <t>Rocky shore - Features of littoral rock</t>
  </si>
  <si>
    <t>A1.4</t>
  </si>
  <si>
    <t>Features of littoral rock - on peat, clay or chalk</t>
  </si>
  <si>
    <t>Rocky shore - Features of littoral rock - on peat, clay or chalk</t>
  </si>
  <si>
    <t>A1.PCC</t>
  </si>
  <si>
    <t>Features of littoral rock - on bedrock including chalk, peat or clay</t>
  </si>
  <si>
    <t>Saltmarshes and saline reedbeds</t>
  </si>
  <si>
    <t>Coastal saltmarsh - Saltmarshes and saline reedbeds</t>
  </si>
  <si>
    <t>A2.5</t>
  </si>
  <si>
    <t>A2</t>
  </si>
  <si>
    <t>Coastal saltmarshes and saline reedbeds</t>
  </si>
  <si>
    <t>Artificial saltmarshes and saline reedbeds</t>
  </si>
  <si>
    <t>Coastal saltmarsh - Artificial saltmarshes and saline reedbeds</t>
  </si>
  <si>
    <t>ART_A2.5</t>
  </si>
  <si>
    <t>Littoral coarse sediment</t>
  </si>
  <si>
    <t>Intertidal sediment - Littoral coarse sediment</t>
  </si>
  <si>
    <t>A2.1</t>
  </si>
  <si>
    <t>Littoral mud</t>
  </si>
  <si>
    <t>Intertidal sediment - Littoral mud</t>
  </si>
  <si>
    <t>A2.3</t>
  </si>
  <si>
    <t>Littoral mixed sediments</t>
  </si>
  <si>
    <t>Intertidal sediment - Littoral mixed sediments</t>
  </si>
  <si>
    <t>A2.4</t>
  </si>
  <si>
    <t>Littoral seagrass</t>
  </si>
  <si>
    <t>A2.6</t>
  </si>
  <si>
    <t>Littoral sediments dominated by aquatic angiosperms</t>
  </si>
  <si>
    <t>Littoral seagrass on peat, clay or chalk</t>
  </si>
  <si>
    <t>Intertidal sediment - Littoral seagrass on peat, clay or chalk</t>
  </si>
  <si>
    <t>A2.6 PCC</t>
  </si>
  <si>
    <t>Littoral seagrass  - on peat, clay or chalk</t>
  </si>
  <si>
    <t>Littoral biogenic reefs - Mussels</t>
  </si>
  <si>
    <t>Intertidal sediment - Littoral biogenic reefs - Mussels</t>
  </si>
  <si>
    <t>A2.7 M</t>
  </si>
  <si>
    <t xml:space="preserve"> Littoral biogenic reefs - Mussels</t>
  </si>
  <si>
    <t>Littoral biogenic reefs - Sabellaria</t>
  </si>
  <si>
    <t>Intertidal sediment - Littoral biogenic reefs - Sabellaria</t>
  </si>
  <si>
    <t>A2.7 S</t>
  </si>
  <si>
    <t>Features of littoral sediment</t>
  </si>
  <si>
    <t>Intertidal sediment - Features of littoral sediment</t>
  </si>
  <si>
    <t>A2.8</t>
  </si>
  <si>
    <t>Artificial littoral coarse sediment</t>
  </si>
  <si>
    <t>Intertidal sediment - Artificial littoral coarse sediment</t>
  </si>
  <si>
    <t>ART_A2.1</t>
  </si>
  <si>
    <t>Artificial littoral mud</t>
  </si>
  <si>
    <t>Intertidal sediment - Artificial littoral mud</t>
  </si>
  <si>
    <t>ART_A2.3</t>
  </si>
  <si>
    <t>Artificial littoral sand</t>
  </si>
  <si>
    <t>Intertidal sediment - Artificial littoral sand</t>
  </si>
  <si>
    <t>ART_A2.21/A2.22/A2.23</t>
  </si>
  <si>
    <t>Artificial littoral muddy sand</t>
  </si>
  <si>
    <t>Intertidal sediment - Artificial littoral muddy sand</t>
  </si>
  <si>
    <t>ART_A2.24</t>
  </si>
  <si>
    <t>Artificial littoral mixed sediments</t>
  </si>
  <si>
    <t>Intertidal sediment - Artificial littoral mixed sediments</t>
  </si>
  <si>
    <t>ART_A2.4</t>
  </si>
  <si>
    <t>Artificial littoral seagrass</t>
  </si>
  <si>
    <t>Intertidal sediment - Artificial littoral seagrass</t>
  </si>
  <si>
    <t>ART_A2.6</t>
  </si>
  <si>
    <t>Artificial littoral biogenic reefs</t>
  </si>
  <si>
    <t>Intertidal sediment - Artificial littoral biogenic reefs</t>
  </si>
  <si>
    <t>ART_A2.7</t>
  </si>
  <si>
    <t>Littoral sand</t>
  </si>
  <si>
    <t>Intertidal sediment - Littoral sand</t>
  </si>
  <si>
    <t>A2.21/A2.22/A2.23</t>
  </si>
  <si>
    <t>Littoral muddy sand</t>
  </si>
  <si>
    <t>Intertidal sediment - Littoral muddy sand</t>
  </si>
  <si>
    <t>A2.24</t>
  </si>
  <si>
    <t>Artificial hard structures</t>
  </si>
  <si>
    <t>Intertidal hard structures - Artificial hard structures</t>
  </si>
  <si>
    <t>ART_A1</t>
  </si>
  <si>
    <t>Artificial features of hard structures</t>
  </si>
  <si>
    <t>Intertidal hard structures - Artificial features of hard structures</t>
  </si>
  <si>
    <t>ART_A1.4</t>
  </si>
  <si>
    <t>Artificial hard structures with integrated greening of grey infrastructure (IGGI)</t>
  </si>
  <si>
    <t>Intertidal hard structures - Artificial hard structures with integrated greening of grey infrastructure (IGGI)</t>
  </si>
  <si>
    <t>ART_A1_IGGI</t>
  </si>
  <si>
    <t>Artificial hard structures with Integrated Greening of Grey Infrastructure (IGGI)</t>
  </si>
  <si>
    <t>Watercourse footprint - Watercourse footprint</t>
  </si>
  <si>
    <t>NE0017</t>
  </si>
  <si>
    <t>V.low</t>
  </si>
  <si>
    <t>Area footprint of watercourse included in the watercourse tab</t>
  </si>
  <si>
    <t>All Habitats</t>
  </si>
  <si>
    <t>Group Sub-totals</t>
  </si>
  <si>
    <t>Distcinctivness Band Sub-totals</t>
  </si>
  <si>
    <t>Habitat Description</t>
  </si>
  <si>
    <t>Trading Notes</t>
  </si>
  <si>
    <t>Existing area baseline on-site</t>
  </si>
  <si>
    <t>Existing units baseline on-site</t>
  </si>
  <si>
    <t>Existing area retained on-site</t>
  </si>
  <si>
    <t>Existing units retained on-site</t>
  </si>
  <si>
    <t>Existing area lost on-site</t>
  </si>
  <si>
    <t>Existing units lost  baseline on-site</t>
  </si>
  <si>
    <t>Proposed area creation on-site post development</t>
  </si>
  <si>
    <t>Proposed units creation on-site post development</t>
  </si>
  <si>
    <t>Proposed area enhancement on-site post development</t>
  </si>
  <si>
    <t>Proposed units enhancement on-site post development</t>
  </si>
  <si>
    <t>Total proposed area on-site post development</t>
  </si>
  <si>
    <t>Total proposed units on-site post development</t>
  </si>
  <si>
    <t>Net area change on-site</t>
  </si>
  <si>
    <t>Net unit change on-site</t>
  </si>
  <si>
    <t>Existing area off-site</t>
  </si>
  <si>
    <t>Existing units off-site</t>
  </si>
  <si>
    <t>Retained area off-site</t>
  </si>
  <si>
    <t>Retained units off-site</t>
  </si>
  <si>
    <t xml:space="preserve">Proposed area creation off-site </t>
  </si>
  <si>
    <t xml:space="preserve">Proposed units creation off-site </t>
  </si>
  <si>
    <t xml:space="preserve">Proposed area enhancement off-site </t>
  </si>
  <si>
    <t xml:space="preserve">Proposed units enhancement off-site </t>
  </si>
  <si>
    <t xml:space="preserve">Total proposed area off-site </t>
  </si>
  <si>
    <t xml:space="preserve">Total proposed units off-site </t>
  </si>
  <si>
    <t>Off-site net area change</t>
  </si>
  <si>
    <t>Off-site net unit change</t>
  </si>
  <si>
    <t>Overall area change</t>
  </si>
  <si>
    <t>Overall unit change</t>
  </si>
  <si>
    <t>On-site habitat group</t>
  </si>
  <si>
    <t>Existing area</t>
  </si>
  <si>
    <t>Existing value</t>
  </si>
  <si>
    <t>Proposed area on-site</t>
  </si>
  <si>
    <t>Proposed value on-site</t>
  </si>
  <si>
    <t>Habitat Group</t>
  </si>
  <si>
    <t>Existing Area</t>
  </si>
  <si>
    <t>Existing Value Lost</t>
  </si>
  <si>
    <t>Proposed Area On-site</t>
  </si>
  <si>
    <t>Proposed Value On-site</t>
  </si>
  <si>
    <t>On-site Area Change</t>
  </si>
  <si>
    <t>On-site Unit Change</t>
  </si>
  <si>
    <t>Proposed Area Off-site</t>
  </si>
  <si>
    <t>Off-site Unit Change</t>
  </si>
  <si>
    <t>Unit Change Including Off-site</t>
  </si>
  <si>
    <t>Units Required Off-site</t>
  </si>
  <si>
    <t>Area Lost</t>
  </si>
  <si>
    <t>Off-site habitat group</t>
  </si>
  <si>
    <t>Proposed area off-site</t>
  </si>
  <si>
    <t>Proposed value off-site</t>
  </si>
  <si>
    <t>Off-site  unit change</t>
  </si>
  <si>
    <t>Rocky shore</t>
  </si>
  <si>
    <t>On-site  Unit Change</t>
  </si>
  <si>
    <t>Heathland and shrub - Lowland Heathland</t>
  </si>
  <si>
    <t>Coastal saltmarsh</t>
  </si>
  <si>
    <t>Units Required Off-site or Trading Up</t>
  </si>
  <si>
    <t>Sparsely vegetated land - Ruderal/ephemeral</t>
  </si>
  <si>
    <t xml:space="preserve">Hedgerow type </t>
  </si>
  <si>
    <t>Distinctivness</t>
  </si>
  <si>
    <t>Existing length baseline on-site</t>
  </si>
  <si>
    <t>Existing length retained on-site</t>
  </si>
  <si>
    <t>Existing Units retained on-site</t>
  </si>
  <si>
    <t>Existing length lost  on-site</t>
  </si>
  <si>
    <t>Proposed length creation on-site post development</t>
  </si>
  <si>
    <t>Proposed length enhancement on-site post development</t>
  </si>
  <si>
    <t>Total proposed length on-site post development</t>
  </si>
  <si>
    <t>Net length change on-site</t>
  </si>
  <si>
    <t>Existing length off-site</t>
  </si>
  <si>
    <t>Retained length off-site</t>
  </si>
  <si>
    <t xml:space="preserve">Proposed length creation off-site </t>
  </si>
  <si>
    <t xml:space="preserve">Proposed length enhancement off-site </t>
  </si>
  <si>
    <t xml:space="preserve">Proposed units Enhancement off-site </t>
  </si>
  <si>
    <t xml:space="preserve">Total proposed length off-site </t>
  </si>
  <si>
    <t>Off-site net length change</t>
  </si>
  <si>
    <t>Overall length change</t>
  </si>
  <si>
    <t>Hedgerow</t>
  </si>
  <si>
    <t>Very Low</t>
  </si>
  <si>
    <t xml:space="preserve">Watercourse type </t>
  </si>
  <si>
    <t>Existing length lost on-site</t>
  </si>
  <si>
    <t>Existing units lost baseline on-site</t>
  </si>
  <si>
    <t>Risk</t>
  </si>
  <si>
    <t>Spatial multipliers</t>
  </si>
  <si>
    <t>connectivity</t>
  </si>
  <si>
    <t>Strategic Significance</t>
  </si>
  <si>
    <t>Value</t>
  </si>
  <si>
    <t>Spatial risk</t>
  </si>
  <si>
    <t>Urban trees</t>
  </si>
  <si>
    <t>Description</t>
  </si>
  <si>
    <t>score</t>
  </si>
  <si>
    <t>Diameter (m)</t>
  </si>
  <si>
    <t>RPA Radius (m)</t>
  </si>
  <si>
    <t>RPA (ha)</t>
  </si>
  <si>
    <t>Highly connected habitat</t>
  </si>
  <si>
    <t>Formally identified in local strategy</t>
  </si>
  <si>
    <t xml:space="preserve">High strategic significance </t>
  </si>
  <si>
    <t xml:space="preserve">Compensation inside LPA boundary or NCA of impact site </t>
  </si>
  <si>
    <t>Moderately connected habitat</t>
  </si>
  <si>
    <t>Location ecologically desirable but not in local strategy</t>
  </si>
  <si>
    <t xml:space="preserve">Medium strategic significance </t>
  </si>
  <si>
    <t xml:space="preserve">Compensation outside LPA or NCA of impact site, but in neighbouring LPA or NCA </t>
  </si>
  <si>
    <t>Unconnected habitat</t>
  </si>
  <si>
    <t>Area/compensation not in local strategy/ no local strategy</t>
  </si>
  <si>
    <t>Low Strategic Significance</t>
  </si>
  <si>
    <t xml:space="preserve">Compensation outside LPA or NCA of impact site and neighbouring LPA or NCA  </t>
  </si>
  <si>
    <t>N/A</t>
  </si>
  <si>
    <t>Assessment not required</t>
  </si>
  <si>
    <t>This metric is being used by an off-site provider</t>
  </si>
  <si>
    <t xml:space="preserve"> Intertidal habitats - Compensation inside Marine Plan Area of impact site  </t>
  </si>
  <si>
    <r>
      <t xml:space="preserve"> Intertidal habitats - Compensation </t>
    </r>
    <r>
      <rPr>
        <u/>
        <sz val="11"/>
        <color theme="4"/>
        <rFont val="Rockwell Light"/>
        <family val="1"/>
      </rPr>
      <t xml:space="preserve">outside </t>
    </r>
    <r>
      <rPr>
        <sz val="11"/>
        <color theme="4"/>
        <rFont val="Rockwell Light"/>
        <family val="1"/>
      </rPr>
      <t>same Marine Plan Area but in neighbouring Marine Plan Area</t>
    </r>
  </si>
  <si>
    <r>
      <t xml:space="preserve"> Intertidal habitats - Compensation </t>
    </r>
    <r>
      <rPr>
        <u/>
        <sz val="11"/>
        <color theme="4"/>
        <rFont val="Rockwell Light"/>
        <family val="1"/>
      </rPr>
      <t>outside</t>
    </r>
    <r>
      <rPr>
        <sz val="11"/>
        <color theme="4"/>
        <rFont val="Rockwell Light"/>
        <family val="1"/>
      </rPr>
      <t xml:space="preserve"> Marine Plan Area of impact site and beyond neighbouring Marine Plan Area </t>
    </r>
  </si>
  <si>
    <t>Temporal multipliers</t>
  </si>
  <si>
    <t>Creation</t>
  </si>
  <si>
    <t>Year</t>
  </si>
  <si>
    <t>% of original unit</t>
  </si>
  <si>
    <t>Time to target Multiplier</t>
  </si>
  <si>
    <t>Not Possible</t>
  </si>
  <si>
    <t>30+</t>
  </si>
  <si>
    <t>Habitat banking dropdown list</t>
  </si>
  <si>
    <t>Start condition</t>
  </si>
  <si>
    <t>Lower Distinctiveness Habitat</t>
  </si>
  <si>
    <t>Target condition</t>
  </si>
  <si>
    <t>Lower Distinctiveness Habitat - N/A - Other</t>
  </si>
  <si>
    <t>Lower Distinctiveness Habitat - Condition Assessment N/A</t>
  </si>
  <si>
    <t>Lower Distinctiveness Habitat - Poor</t>
  </si>
  <si>
    <t>Lower Distinctiveness Habitat - Fairly Poor</t>
  </si>
  <si>
    <t>Lower Distinctiveness Habitat - Moderate</t>
  </si>
  <si>
    <t>Lower Distinctiveness Habitat - Fairly Good</t>
  </si>
  <si>
    <t>Lower Distinctiveness Habitat - Good</t>
  </si>
  <si>
    <t>Condition Assessment N/A - Fairly Poor</t>
  </si>
  <si>
    <t>Condition Assessment N/A - Moderate</t>
  </si>
  <si>
    <t>Condition Assessment N/A - Fairly Good</t>
  </si>
  <si>
    <t>Condition Assessment N/A - Good</t>
  </si>
  <si>
    <t>Poor - Fairly Poor</t>
  </si>
  <si>
    <t>Poor - Moderate</t>
  </si>
  <si>
    <t>Poor - Fairly Good</t>
  </si>
  <si>
    <t>Poor - Good</t>
  </si>
  <si>
    <t>Fairly Poor - Moderate</t>
  </si>
  <si>
    <t>Fairly Poor - Fairly Good</t>
  </si>
  <si>
    <t>Fairly Poor - Good</t>
  </si>
  <si>
    <t>Moderate - Fairly Good</t>
  </si>
  <si>
    <t>Moderate - Good</t>
  </si>
  <si>
    <t>Fairly Good - Good</t>
  </si>
  <si>
    <t>Good - Good</t>
  </si>
  <si>
    <t>Creation - Years to Target Condition</t>
  </si>
  <si>
    <t>Enhancement Through Condition - Years to Target Condition</t>
  </si>
  <si>
    <t>Enhancement Through Distinctiveness - Years to Target Condition</t>
  </si>
  <si>
    <t>Suggested Action</t>
  </si>
  <si>
    <t>Enhancement through Distinctiveness</t>
  </si>
  <si>
    <t>Post Development Hedge Type</t>
  </si>
  <si>
    <t>Condition Groups</t>
  </si>
  <si>
    <t>Line of trees - associated with bank or ditch</t>
  </si>
  <si>
    <t>Condition Category</t>
  </si>
  <si>
    <t>Condition Score</t>
  </si>
  <si>
    <t>Baseline Hedge Type</t>
  </si>
  <si>
    <t>Hedgecond1</t>
  </si>
  <si>
    <t>Hedgecond2</t>
  </si>
  <si>
    <t>Error</t>
  </si>
  <si>
    <t>Like for like</t>
  </si>
  <si>
    <t>V.High -  V.High</t>
  </si>
  <si>
    <t>Error Trading Down</t>
  </si>
  <si>
    <t>High - V.High</t>
  </si>
  <si>
    <t>High - High</t>
  </si>
  <si>
    <t>Same distinctiveness band or better</t>
  </si>
  <si>
    <t>Medium - V.High</t>
  </si>
  <si>
    <t>Medium - High</t>
  </si>
  <si>
    <t>Medium - Medium</t>
  </si>
  <si>
    <t>Error - Enhancement not possible</t>
  </si>
  <si>
    <t>Low - V.High</t>
  </si>
  <si>
    <t>Low - High</t>
  </si>
  <si>
    <t>Low - Medium</t>
  </si>
  <si>
    <t>Low - Low</t>
  </si>
  <si>
    <t>V.Low - V.Low</t>
  </si>
  <si>
    <t xml:space="preserve">Creation - Years to Target Condition for All Habitats </t>
  </si>
  <si>
    <t xml:space="preserve">Enhancement - Years to Target Condition for All Habitats </t>
  </si>
  <si>
    <t>Enhancement  - Years to Target Condition</t>
  </si>
  <si>
    <t>Encroachment</t>
  </si>
  <si>
    <t>Spatial</t>
  </si>
  <si>
    <t>Distinctivness categories</t>
  </si>
  <si>
    <t>Rivercond1</t>
  </si>
  <si>
    <t>Rivercond2</t>
  </si>
  <si>
    <t>Proposed Condition</t>
  </si>
  <si>
    <t>Encroachment into Watercourse</t>
  </si>
  <si>
    <t>multiplier</t>
  </si>
  <si>
    <t>Riparian Encroachment for Both Banks</t>
  </si>
  <si>
    <t>Description of multiplier</t>
  </si>
  <si>
    <t>Strategic multiplier</t>
  </si>
  <si>
    <t>Distinctiveness Category</t>
  </si>
  <si>
    <t>Distinctivness Score</t>
  </si>
  <si>
    <t>Priority Habitat</t>
  </si>
  <si>
    <t>Baseline Condition</t>
  </si>
  <si>
    <t>No Encroachment</t>
  </si>
  <si>
    <t>Major/Major</t>
  </si>
  <si>
    <t>Low potential/action not identified in any plan</t>
  </si>
  <si>
    <t>Loss Unacceptable</t>
  </si>
  <si>
    <t>Other Rivers and Streams</t>
  </si>
  <si>
    <t>Minor</t>
  </si>
  <si>
    <t>Major/Moderate</t>
  </si>
  <si>
    <t>Delivery within Local Plans</t>
  </si>
  <si>
    <t xml:space="preserve">Within waterbody catchment       </t>
  </si>
  <si>
    <t>Avoid</t>
  </si>
  <si>
    <t>Major</t>
  </si>
  <si>
    <t>Major/Minor</t>
  </si>
  <si>
    <t>Delivery within River Basin Management Plan</t>
  </si>
  <si>
    <t xml:space="preserve">Outside waterbody catchment, but within operational catchment </t>
  </si>
  <si>
    <t>Avoid, Mitigate or Compensate</t>
  </si>
  <si>
    <t>N/A - Culvert</t>
  </si>
  <si>
    <t>Major/No Encroachment</t>
  </si>
  <si>
    <t>Delivery within Catchment Plans</t>
  </si>
  <si>
    <t xml:space="preserve">Outside operational catchment  </t>
  </si>
  <si>
    <t>Mitigate or Compensate</t>
  </si>
  <si>
    <t>Moderate/ Moderate</t>
  </si>
  <si>
    <t>Delivery within Catchment Planning System</t>
  </si>
  <si>
    <t>Moderate/ Minor</t>
  </si>
  <si>
    <t>Delivery within Priority Habitats for Restoration</t>
  </si>
  <si>
    <t>Moderate/ No Encroachment</t>
  </si>
  <si>
    <t>Minor/ Minor</t>
  </si>
  <si>
    <t>Minor/ No Encroachment</t>
  </si>
  <si>
    <t>No Encroachment/ No Encroachment</t>
  </si>
  <si>
    <t>Condition groups</t>
  </si>
  <si>
    <t>Cond1</t>
  </si>
  <si>
    <t>Cond2</t>
  </si>
  <si>
    <t>Cond3</t>
  </si>
  <si>
    <t>Cond4</t>
  </si>
  <si>
    <t>Cond5</t>
  </si>
  <si>
    <t xml:space="preserve">👁 This tool is intended to be used for historic data. Any suggested translation between a phase 1 habitat and metric habitat should not be considered a rule - there may be circumstances where a more appropriate metric habitat may be chosen when ecological expertise is applied. </t>
  </si>
  <si>
    <t xml:space="preserve">Phase 1 Habitat </t>
  </si>
  <si>
    <t xml:space="preserve">Metric habitat </t>
  </si>
  <si>
    <t xml:space="preserve">Distinctiveness band </t>
  </si>
  <si>
    <t>Woodland</t>
  </si>
  <si>
    <t>Broadleaved woodland</t>
  </si>
  <si>
    <t>Semi-natural broadleaved woodland</t>
  </si>
  <si>
    <t>Plantation broadleaved woodland</t>
  </si>
  <si>
    <t>Semi-natural coniferous woodland</t>
  </si>
  <si>
    <t>Plantation coniferous woodland</t>
  </si>
  <si>
    <t>Mixed woodland</t>
  </si>
  <si>
    <t>Semi-natural mixed woodland</t>
  </si>
  <si>
    <t>Plantation mixed woodland</t>
  </si>
  <si>
    <t>Scrub</t>
  </si>
  <si>
    <t>Dense / continuous scrub</t>
  </si>
  <si>
    <t>Scattered scrub</t>
  </si>
  <si>
    <t>Parkland / scattered trees</t>
  </si>
  <si>
    <t>Broadleaved parkland / scattered trees</t>
  </si>
  <si>
    <t>Coniferous parkland / scattered trees</t>
  </si>
  <si>
    <t>Mixed parkland / scattered trees</t>
  </si>
  <si>
    <t>Scattered trees</t>
  </si>
  <si>
    <t>Recently-felled woodland</t>
  </si>
  <si>
    <t>Broadleaved recently felled woodland</t>
  </si>
  <si>
    <t>Coniferous recently felled woodland</t>
  </si>
  <si>
    <t>Mixed recently felled woodland</t>
  </si>
  <si>
    <t>Unimproved acid grassland</t>
  </si>
  <si>
    <t>Semi-improved acid grassland (Good quality)</t>
  </si>
  <si>
    <t>Semi-improved acid grassland (Poor quality)</t>
  </si>
  <si>
    <t>Unimproved neutral grassland</t>
  </si>
  <si>
    <t>Semi-improved neutral grassland (Good quality)</t>
  </si>
  <si>
    <t>Semi-improved neutral grassland (Poor quality)</t>
  </si>
  <si>
    <t>Unimproved calcareous grassland</t>
  </si>
  <si>
    <t>Semi-improved calcareous grassland (Good quality)</t>
  </si>
  <si>
    <t>Semi-improved calcareous grassland (Poor quality)</t>
  </si>
  <si>
    <t>Improved grassland</t>
  </si>
  <si>
    <t>Marsh/marshy grassland</t>
  </si>
  <si>
    <t>Poor semi-improved grassland</t>
  </si>
  <si>
    <t>Strandline vegetation coastland</t>
  </si>
  <si>
    <t>Sand dune</t>
  </si>
  <si>
    <t>Dune slack sand dune coastland</t>
  </si>
  <si>
    <t>Dune grassland sand dune coastland</t>
  </si>
  <si>
    <t>Dune heath sand dune coastland</t>
  </si>
  <si>
    <t>Dune scrub sand dune coastland</t>
  </si>
  <si>
    <t>Open dune sand dune coastland</t>
  </si>
  <si>
    <t>Maritime cliff coastland</t>
  </si>
  <si>
    <t>Hard maritime cliff coastland</t>
  </si>
  <si>
    <t>Soft maritime cliff</t>
  </si>
  <si>
    <t>Crevice/ledge vegetation</t>
  </si>
  <si>
    <t>Grassland - Tall herb communities</t>
  </si>
  <si>
    <t>Coastal grassland</t>
  </si>
  <si>
    <t>Coastal heathland</t>
  </si>
  <si>
    <t>Standing open water</t>
  </si>
  <si>
    <t xml:space="preserve"> lakes - Aquifer fed naturally fluctuating water bodies</t>
  </si>
  <si>
    <t>Lakes - Ditches</t>
  </si>
  <si>
    <t>Lakes - Peat Lakes</t>
  </si>
  <si>
    <t xml:space="preserve"> Lakes - Ponds (priority habitat)</t>
  </si>
  <si>
    <t xml:space="preserve"> Lakes - Ponds (non-priority habitat)</t>
  </si>
  <si>
    <t xml:space="preserve"> Lakes - Reservoirs</t>
  </si>
  <si>
    <t>Lakes - Temporary lakes, ponds and pools</t>
  </si>
  <si>
    <t>Dry dwarf shrub heath</t>
  </si>
  <si>
    <t>Acidic dry dwarf shrub heath</t>
  </si>
  <si>
    <t>Basic dry dwarf shrub heath</t>
  </si>
  <si>
    <t>Wet dwarf shrub heath</t>
  </si>
  <si>
    <t>Lichen / bryophyte heath</t>
  </si>
  <si>
    <t>Montane heath / dwarf herb</t>
  </si>
  <si>
    <t>Dry heath / acidic grass mosaic</t>
  </si>
  <si>
    <t>Wet heath / acidic grass mosaic</t>
  </si>
  <si>
    <t>Continuous bracken</t>
  </si>
  <si>
    <t>Scattered bracken</t>
  </si>
  <si>
    <t>Other tall herb or fern (Good quality)</t>
  </si>
  <si>
    <t>Other tall herb or fern</t>
  </si>
  <si>
    <t>Tall ruderal</t>
  </si>
  <si>
    <t>Non-ruderal</t>
  </si>
  <si>
    <t>Sphagnum bog</t>
  </si>
  <si>
    <t>Raised bog</t>
  </si>
  <si>
    <t>Wet modified bog</t>
  </si>
  <si>
    <t>Dry modified bog</t>
  </si>
  <si>
    <t>Flush and spring</t>
  </si>
  <si>
    <t>Acid/neutral flush</t>
  </si>
  <si>
    <t>Basic flush</t>
  </si>
  <si>
    <t>Bryophyte-dominated spring</t>
  </si>
  <si>
    <t>Fen</t>
  </si>
  <si>
    <t>Valley mire</t>
  </si>
  <si>
    <t>Wetland – Oceanic valley mire[1] (D2.1)</t>
  </si>
  <si>
    <t>Basin mire</t>
  </si>
  <si>
    <t>Floodplain mire</t>
  </si>
  <si>
    <t>Bare peat</t>
  </si>
  <si>
    <t>Swamp</t>
  </si>
  <si>
    <t>Marginal and inundation</t>
  </si>
  <si>
    <t>Marginal vegetation</t>
  </si>
  <si>
    <t>Use the feature that it is within, i.e. River, Lake type etc.</t>
  </si>
  <si>
    <t>Inundation vegetation</t>
  </si>
  <si>
    <t>Natural rock exposures and caves (Good quality)</t>
  </si>
  <si>
    <t>Natural rock exposures and caves</t>
  </si>
  <si>
    <t>Inland cliff (High quality)</t>
  </si>
  <si>
    <t>Inland cliff</t>
  </si>
  <si>
    <t>Acidic inland cliff</t>
  </si>
  <si>
    <t>Basic inland cliff</t>
  </si>
  <si>
    <t>Scree</t>
  </si>
  <si>
    <t>Acidic scree</t>
  </si>
  <si>
    <t>Basic scree</t>
  </si>
  <si>
    <t>Other natural rock exposure</t>
  </si>
  <si>
    <t>Other acidic natural rock exposure</t>
  </si>
  <si>
    <t>Other basic rock exposure</t>
  </si>
  <si>
    <t>Artificial rock exposures</t>
  </si>
  <si>
    <t>Quarry</t>
  </si>
  <si>
    <t>Urban - Active sand pit quarry or open cast mine</t>
  </si>
  <si>
    <t>Spoil heap</t>
  </si>
  <si>
    <t>Mine</t>
  </si>
  <si>
    <t>Refuse tip</t>
  </si>
  <si>
    <t>Cultivated/disturbed ground</t>
  </si>
  <si>
    <t>Arable</t>
  </si>
  <si>
    <t>Select most appropriate habitat within the 'Cropland' broad habitat tybe</t>
  </si>
  <si>
    <t>Amenity grassland</t>
  </si>
  <si>
    <t>Ephemeral / short perennial</t>
  </si>
  <si>
    <t>Fence</t>
  </si>
  <si>
    <t>Wall</t>
  </si>
  <si>
    <t>Built-up areas</t>
  </si>
  <si>
    <t>Caravans</t>
  </si>
  <si>
    <t>Sea wall (artificial materials)</t>
  </si>
  <si>
    <t>Buildings</t>
  </si>
  <si>
    <t>Local Authority List</t>
  </si>
  <si>
    <t>Application type</t>
  </si>
  <si>
    <t>Habitat list</t>
  </si>
  <si>
    <t>Adur and Worthing Borough Council</t>
  </si>
  <si>
    <t>Householder planning consent</t>
  </si>
  <si>
    <t>Adur District Council</t>
  </si>
  <si>
    <t>Full planning consent;</t>
  </si>
  <si>
    <t>Allerdale Borough Council</t>
  </si>
  <si>
    <t>Hybrid planning consent</t>
  </si>
  <si>
    <t>Amber Valley Borough Council</t>
  </si>
  <si>
    <t>Outline planning consent</t>
  </si>
  <si>
    <t>Arun District Council</t>
  </si>
  <si>
    <t>Reserved Matters</t>
  </si>
  <si>
    <t>Ashfield District Council</t>
  </si>
  <si>
    <t>Listed building consent</t>
  </si>
  <si>
    <t>Ashford Borough Council</t>
  </si>
  <si>
    <t>Advertisement consent</t>
  </si>
  <si>
    <t>Aylesbury Vale District Council</t>
  </si>
  <si>
    <t>Lawful Development Certificate (LDC)</t>
  </si>
  <si>
    <t>Babergh District Council</t>
  </si>
  <si>
    <t>Prior notification </t>
  </si>
  <si>
    <t>Barnsley Metropolitan Borough Council</t>
  </si>
  <si>
    <t>Removal/variation of conditions</t>
  </si>
  <si>
    <t>Barrow-in-Furness Borough Council</t>
  </si>
  <si>
    <t>Approval of conditions</t>
  </si>
  <si>
    <t>Basildon Borough Council</t>
  </si>
  <si>
    <t>Consent under Tree Preservation Orders </t>
  </si>
  <si>
    <t>Basingstoke and Deane Borough Council</t>
  </si>
  <si>
    <t>Notification of proposed works to trees in conservation areas</t>
  </si>
  <si>
    <t>Bassetlaw District Council</t>
  </si>
  <si>
    <t>Application for non-material amendments</t>
  </si>
  <si>
    <t>Bath and North East Somerset Council</t>
  </si>
  <si>
    <t>Nationaly Significant Infrastructure Habitats (NSIP'S)</t>
  </si>
  <si>
    <t>Bedford Borough Council</t>
  </si>
  <si>
    <t>Birmingham City Council</t>
  </si>
  <si>
    <t>Blaby District Council</t>
  </si>
  <si>
    <t>Blackburn with Darwen Borough Council</t>
  </si>
  <si>
    <t>Blackpool Borough Council</t>
  </si>
  <si>
    <t>Blaenau Gwent County Borough Council</t>
  </si>
  <si>
    <t>Bolsover District Council</t>
  </si>
  <si>
    <t>Bolton Metropolitan Borough Council</t>
  </si>
  <si>
    <t>Borough of Broxbourne</t>
  </si>
  <si>
    <t>Borough of Poole</t>
  </si>
  <si>
    <t>Boston Borough Council</t>
  </si>
  <si>
    <t>Bournemouth Borough Council</t>
  </si>
  <si>
    <t>Bracknell Forest Council</t>
  </si>
  <si>
    <t>Bradford Metropolitan District Council</t>
  </si>
  <si>
    <t>Braintree District Council</t>
  </si>
  <si>
    <t>Breckland District Council</t>
  </si>
  <si>
    <t>Brentwood Borough Council</t>
  </si>
  <si>
    <t>Bridgend County Borough Council</t>
  </si>
  <si>
    <t>Brighton and Hove City Council</t>
  </si>
  <si>
    <t>Bristol City Council</t>
  </si>
  <si>
    <t>Broadland District Council</t>
  </si>
  <si>
    <t>Bromsgrove District Council</t>
  </si>
  <si>
    <t>Broxtowe Borough Council</t>
  </si>
  <si>
    <t>Buckinghamshire County Council</t>
  </si>
  <si>
    <t>Burnley Borough Council</t>
  </si>
  <si>
    <t>Bury Metropolitan Borough Council</t>
  </si>
  <si>
    <t>Caerphilly County Borough Council</t>
  </si>
  <si>
    <t>Calderdale Metropolitan Borough Council</t>
  </si>
  <si>
    <t>Cambridge City Council</t>
  </si>
  <si>
    <t>Cambridgeshire County Council</t>
  </si>
  <si>
    <t>Cannock Chase District Council</t>
  </si>
  <si>
    <t>Canterbury City Council</t>
  </si>
  <si>
    <t>Cardiff Council</t>
  </si>
  <si>
    <t>Carlisle City Council</t>
  </si>
  <si>
    <t>Carmarthenshire County Council</t>
  </si>
  <si>
    <t>Castle Point Borough Council</t>
  </si>
  <si>
    <t>Central Bedfordshire Council</t>
  </si>
  <si>
    <t>Ceredigion County Council</t>
  </si>
  <si>
    <t>Charnwood Borough Council</t>
  </si>
  <si>
    <t>Chelmsford City Council</t>
  </si>
  <si>
    <t>Cheltenham Borough Council</t>
  </si>
  <si>
    <t>Cherwell District Council</t>
  </si>
  <si>
    <t>Cheshire East Council (Unitary)</t>
  </si>
  <si>
    <t>Cheshire West and Chester Council</t>
  </si>
  <si>
    <t>Chesterfield Borough Council</t>
  </si>
  <si>
    <t>Chichester District Council</t>
  </si>
  <si>
    <t>Chiltern District Council</t>
  </si>
  <si>
    <t>Chorley Council</t>
  </si>
  <si>
    <t>Christchurch Borough Council</t>
  </si>
  <si>
    <t>City of Lincoln Council</t>
  </si>
  <si>
    <t>City of London</t>
  </si>
  <si>
    <t>City of York Council</t>
  </si>
  <si>
    <t>Colchester Borough Council</t>
  </si>
  <si>
    <t>Conwy County Borough Council</t>
  </si>
  <si>
    <t>Copeland Borough Council</t>
  </si>
  <si>
    <t>Corby Borough Council</t>
  </si>
  <si>
    <t>Cornwall Council (Unitary)</t>
  </si>
  <si>
    <t>Cotswold District Council</t>
  </si>
  <si>
    <t>Coventry City Council</t>
  </si>
  <si>
    <t>Craven District Council</t>
  </si>
  <si>
    <t>Crawley Borough Council</t>
  </si>
  <si>
    <t>Cumbria County Council</t>
  </si>
  <si>
    <t>Dacorum Council</t>
  </si>
  <si>
    <t>Darlington Borough Council</t>
  </si>
  <si>
    <t>Dartford Borough Council</t>
  </si>
  <si>
    <t>Daventry District Council</t>
  </si>
  <si>
    <t>Denbighshire County Council</t>
  </si>
  <si>
    <t>Derby City Council</t>
  </si>
  <si>
    <t>Derbyshire County Council</t>
  </si>
  <si>
    <t>Derbyshire Dales District Council</t>
  </si>
  <si>
    <t>Devon County Council</t>
  </si>
  <si>
    <t>Doncaster Metropolitan Borough Council</t>
  </si>
  <si>
    <t>Dorset County Council</t>
  </si>
  <si>
    <t>Dover District Council</t>
  </si>
  <si>
    <t>Dudley Metropolitan Borough Council</t>
  </si>
  <si>
    <t>Durham County Council</t>
  </si>
  <si>
    <t>East Cambridgeshire District Council</t>
  </si>
  <si>
    <t>East Devon District Council</t>
  </si>
  <si>
    <t>East Dorset District Council</t>
  </si>
  <si>
    <t>East Hampshire District Council</t>
  </si>
  <si>
    <t>East Hertfordshire District Council</t>
  </si>
  <si>
    <t>East Lindsey District Council</t>
  </si>
  <si>
    <t>East Northamptonshire Council</t>
  </si>
  <si>
    <t>East Riding of Yorkshire Council</t>
  </si>
  <si>
    <t>East Staffordshire Borough Council</t>
  </si>
  <si>
    <t>East Sussex County Council</t>
  </si>
  <si>
    <t>Eastbourne Borough Council</t>
  </si>
  <si>
    <t>Eastleigh Borough Council</t>
  </si>
  <si>
    <t>Eden District Council</t>
  </si>
  <si>
    <t>Elmbridge Borough Council</t>
  </si>
  <si>
    <t>Epping Forest District Council</t>
  </si>
  <si>
    <t>Epsom and Ewell Borough Council</t>
  </si>
  <si>
    <t>Erewash Borough Council</t>
  </si>
  <si>
    <t>Essex County Council</t>
  </si>
  <si>
    <t>Exeter City Council</t>
  </si>
  <si>
    <t>Fareham Borough Council</t>
  </si>
  <si>
    <t>Fenland District Council</t>
  </si>
  <si>
    <t>Flintshire County Council</t>
  </si>
  <si>
    <t>Forest Heath District Council</t>
  </si>
  <si>
    <t>Forest of Dean District Council</t>
  </si>
  <si>
    <t>Fylde Borough Council</t>
  </si>
  <si>
    <t>Gateshead Metropolitan Borough Council</t>
  </si>
  <si>
    <t>Gedling Borough Council</t>
  </si>
  <si>
    <t>Gloucester City Council</t>
  </si>
  <si>
    <t>Gloucestershire County Council</t>
  </si>
  <si>
    <t>Gosport Borough Council</t>
  </si>
  <si>
    <t>Gravesham Borough Council</t>
  </si>
  <si>
    <t>Great Yarmouth Borough Council</t>
  </si>
  <si>
    <t>Guildford Borough Council</t>
  </si>
  <si>
    <t>Gwynedd County Council</t>
  </si>
  <si>
    <t>Halton Borough Council</t>
  </si>
  <si>
    <t>Hambleton District Council</t>
  </si>
  <si>
    <t>Hampshire County Council</t>
  </si>
  <si>
    <t>Harborough District Council</t>
  </si>
  <si>
    <t>Harlow Council</t>
  </si>
  <si>
    <t>Harrogate Borough Council</t>
  </si>
  <si>
    <t>Hart District Council</t>
  </si>
  <si>
    <t>Hartlepool Borough Council</t>
  </si>
  <si>
    <t>Hastings Borough Council</t>
  </si>
  <si>
    <t>Havant Borough Council</t>
  </si>
  <si>
    <t>Herefordshire Council</t>
  </si>
  <si>
    <t>Hertfordshire County Council</t>
  </si>
  <si>
    <t>Hertsmere Borough Council</t>
  </si>
  <si>
    <t>High Peak Borough Council</t>
  </si>
  <si>
    <t>Hinckley and Bosworth Borough Council</t>
  </si>
  <si>
    <t>Horsham District Council</t>
  </si>
  <si>
    <t>Huntingdonshire District Council</t>
  </si>
  <si>
    <t>Hyndburn Borough Council</t>
  </si>
  <si>
    <t>Ipswich Borough Council</t>
  </si>
  <si>
    <t>Isle of Anglesey County Council</t>
  </si>
  <si>
    <t>Isle of Wight Council</t>
  </si>
  <si>
    <t>Isles of Scilly</t>
  </si>
  <si>
    <t>Kent County Council</t>
  </si>
  <si>
    <t>Kettering Borough Council</t>
  </si>
  <si>
    <t>King's Lynn and West Norfolk Borough Council</t>
  </si>
  <si>
    <t>Kingston-upon-Hull City Council</t>
  </si>
  <si>
    <t>Kirklees Council</t>
  </si>
  <si>
    <t>Knowsley Metropolitan Borough Council</t>
  </si>
  <si>
    <t>Lancashire County Council</t>
  </si>
  <si>
    <t>Lancaster City Council</t>
  </si>
  <si>
    <t>Leeds City Council</t>
  </si>
  <si>
    <t>Leicester City Council</t>
  </si>
  <si>
    <t>Leicestershire County Council</t>
  </si>
  <si>
    <t>Lewes District Council</t>
  </si>
  <si>
    <t>Lichfield District Council</t>
  </si>
  <si>
    <t>Lincolnshire County Council</t>
  </si>
  <si>
    <t>Liverpool City Council</t>
  </si>
  <si>
    <t>London Borough of Barking and Dagenham</t>
  </si>
  <si>
    <t>London Borough of Barnet</t>
  </si>
  <si>
    <t>London Borough of Bexley</t>
  </si>
  <si>
    <t>London Borough of Brent</t>
  </si>
  <si>
    <t>London Borough of Bromley</t>
  </si>
  <si>
    <t>London Borough of Camden</t>
  </si>
  <si>
    <t>London Borough of Croydon</t>
  </si>
  <si>
    <t>London Borough of Ealing</t>
  </si>
  <si>
    <t>London Borough of Enfield</t>
  </si>
  <si>
    <t>London Borough of Hackney</t>
  </si>
  <si>
    <t>London Borough of Hammersmith &amp; Fulham</t>
  </si>
  <si>
    <t>London Borough of Haringey</t>
  </si>
  <si>
    <t>London Borough of Harrow</t>
  </si>
  <si>
    <t>London Borough of Havering</t>
  </si>
  <si>
    <t>London Borough of Hillingdon</t>
  </si>
  <si>
    <t>London Borough of Hounslow</t>
  </si>
  <si>
    <t>London Borough of Islington</t>
  </si>
  <si>
    <t>London Borough of Lambeth</t>
  </si>
  <si>
    <t>London Borough of Lewisham</t>
  </si>
  <si>
    <t>London Borough of Merton</t>
  </si>
  <si>
    <t>London Borough of Newham</t>
  </si>
  <si>
    <t>London Borough of Redbridge</t>
  </si>
  <si>
    <t>London Borough of Richmond upon Thames</t>
  </si>
  <si>
    <t>London Borough of Southwark</t>
  </si>
  <si>
    <t>London Borough of Sutton</t>
  </si>
  <si>
    <t>London Borough of Tower Hamlets</t>
  </si>
  <si>
    <t>London Borough of Waltham Forest</t>
  </si>
  <si>
    <t>London Borough of Wandsworth</t>
  </si>
  <si>
    <t>Luton Borough Council</t>
  </si>
  <si>
    <t>Maidstone Borough Council</t>
  </si>
  <si>
    <t>Maldon District Council</t>
  </si>
  <si>
    <t>Malvern Hills District Council</t>
  </si>
  <si>
    <t>Manchester City Council</t>
  </si>
  <si>
    <t>Mansfield District Council</t>
  </si>
  <si>
    <t>Medway Council</t>
  </si>
  <si>
    <t>Melton Borough Council</t>
  </si>
  <si>
    <t>Mendip District Council</t>
  </si>
  <si>
    <t>Merthyr Tydfil County Borough Council</t>
  </si>
  <si>
    <t>Mid Devon District Council</t>
  </si>
  <si>
    <t>Mid Suffolk District Council</t>
  </si>
  <si>
    <t>Mid Sussex District Council</t>
  </si>
  <si>
    <t>Middlesbrough Borough Council</t>
  </si>
  <si>
    <t>Milton Keynes</t>
  </si>
  <si>
    <t>Mole Valley District Council</t>
  </si>
  <si>
    <t>Monmouthshire County Council</t>
  </si>
  <si>
    <t>Neath Port Talbot County Borough Council</t>
  </si>
  <si>
    <t>New Forest District Council</t>
  </si>
  <si>
    <t>Newark and Sherwood District Council</t>
  </si>
  <si>
    <t>Newcastle-Under-Lyme District Council</t>
  </si>
  <si>
    <t>Newport City Council</t>
  </si>
  <si>
    <t>Newcastle-upon-Tyne City Council</t>
  </si>
  <si>
    <t>Norfolk County Council</t>
  </si>
  <si>
    <t>North Devon Council</t>
  </si>
  <si>
    <t>North Dorset District Council</t>
  </si>
  <si>
    <t>North East Derbyshire District Council</t>
  </si>
  <si>
    <t>North East Lincolnshire Council</t>
  </si>
  <si>
    <t>North Hertfordshire District Council</t>
  </si>
  <si>
    <t>North Kesteven District Council</t>
  </si>
  <si>
    <t>North Lincolnshire Council</t>
  </si>
  <si>
    <t>North Norfolk District Council</t>
  </si>
  <si>
    <t>North Somerset Council</t>
  </si>
  <si>
    <t>North Tyneside Metropolitan Borough Council</t>
  </si>
  <si>
    <t>North Warwickshire Borough Council</t>
  </si>
  <si>
    <t>North West Leicestershire District Council</t>
  </si>
  <si>
    <t>North Yorkshire County Council</t>
  </si>
  <si>
    <t>Northampton Borough Council</t>
  </si>
  <si>
    <t>Northamptonshire County Council</t>
  </si>
  <si>
    <t>Northumberland Council</t>
  </si>
  <si>
    <t>Norwich City Council</t>
  </si>
  <si>
    <t>Nottingham City Council</t>
  </si>
  <si>
    <t>Nottinghamshire County Council</t>
  </si>
  <si>
    <t>Nuneaton and Bedworth Borough Council</t>
  </si>
  <si>
    <t>Oadby and Wigston District Council</t>
  </si>
  <si>
    <t>Oldham Metropolitan Borough Council</t>
  </si>
  <si>
    <t>Oxford City Council</t>
  </si>
  <si>
    <t>Oxfordshire County Council</t>
  </si>
  <si>
    <t>Pembrokeshire County Council</t>
  </si>
  <si>
    <t>Pendle Borough Council</t>
  </si>
  <si>
    <t>Perth and Kinross Council</t>
  </si>
  <si>
    <t>Peterborough City Council</t>
  </si>
  <si>
    <t>Plymouth City Council</t>
  </si>
  <si>
    <t>Portsmouth City Council</t>
  </si>
  <si>
    <t>Powys County Council</t>
  </si>
  <si>
    <t>Preston City Council</t>
  </si>
  <si>
    <t>Purbeck District Council</t>
  </si>
  <si>
    <t>Reading Borough Council</t>
  </si>
  <si>
    <t>Redcar and Cleveland Council</t>
  </si>
  <si>
    <t>Redditch Borough Council</t>
  </si>
  <si>
    <t>Reigate &amp; Banstead Borough Council</t>
  </si>
  <si>
    <t>Rhondda Cynon Taf County Borough Council</t>
  </si>
  <si>
    <t>Ribble Valley Borough Council</t>
  </si>
  <si>
    <t>Richmondshire District Council</t>
  </si>
  <si>
    <t>Rochdale Metropolitan Borough Council</t>
  </si>
  <si>
    <t>Rochford District Council</t>
  </si>
  <si>
    <t>Rossendale Borough Council</t>
  </si>
  <si>
    <t>Rother District Council</t>
  </si>
  <si>
    <t>Rotherham Metropolitan Borough Council</t>
  </si>
  <si>
    <t>Royal Borough of Greenwich</t>
  </si>
  <si>
    <t>Royal Borough of Kensington and Chelsea</t>
  </si>
  <si>
    <t>Royal Borough of Kingston upon Thames</t>
  </si>
  <si>
    <t>Royal Borough of Windsor and Maidenhead</t>
  </si>
  <si>
    <t>Rugby Borough Council</t>
  </si>
  <si>
    <t>Runnymede Borough Council</t>
  </si>
  <si>
    <t>Rushcliffe Borough Council</t>
  </si>
  <si>
    <t>Rushmoor Borough Council</t>
  </si>
  <si>
    <t>Rutland County Council</t>
  </si>
  <si>
    <t>Ryedale District Council</t>
  </si>
  <si>
    <t>Salford City Council</t>
  </si>
  <si>
    <t>Sandwell Metropolitan Borough Council</t>
  </si>
  <si>
    <t>Scarborough Borough Council</t>
  </si>
  <si>
    <t>Sedgemoor District Council</t>
  </si>
  <si>
    <t>Sefton Metropolitan Borough Council</t>
  </si>
  <si>
    <t>Selby District Council</t>
  </si>
  <si>
    <t>Sevenoaks District Council</t>
  </si>
  <si>
    <t>Sheffield City Council</t>
  </si>
  <si>
    <t>Shepway District Council</t>
  </si>
  <si>
    <t>Shropshire Council - Unitary</t>
  </si>
  <si>
    <t>Slough Borough Council</t>
  </si>
  <si>
    <t>Solihull Metropolitan Borough Council</t>
  </si>
  <si>
    <t>Somerset County Council</t>
  </si>
  <si>
    <t>South Buckinghamshire District Council</t>
  </si>
  <si>
    <t>South Cambridgeshire District Council</t>
  </si>
  <si>
    <t>South Derbyshire District Council</t>
  </si>
  <si>
    <t>South Gloucestershire Council</t>
  </si>
  <si>
    <t>South Hams District Council</t>
  </si>
  <si>
    <t>South Holland District Council</t>
  </si>
  <si>
    <t>South Kesteven District Council</t>
  </si>
  <si>
    <t>South Lakeland District Council</t>
  </si>
  <si>
    <t>South Norfolk District Council</t>
  </si>
  <si>
    <t>South Northamptonshire Council</t>
  </si>
  <si>
    <t>South Oxfordshire District Council</t>
  </si>
  <si>
    <t>South Ribble Borough Council</t>
  </si>
  <si>
    <t>South Somerset District Council</t>
  </si>
  <si>
    <t>South Staffordshire Council</t>
  </si>
  <si>
    <t>South Tyneside Council</t>
  </si>
  <si>
    <t>Southampton City Council</t>
  </si>
  <si>
    <t>Southend-on-Sea Borough Council</t>
  </si>
  <si>
    <t>Spelthorne Borough Council</t>
  </si>
  <si>
    <t>St Albans City and District Council</t>
  </si>
  <si>
    <t>St Edmundsbury Borough Council</t>
  </si>
  <si>
    <t>St Helens Metropolitan Borough Council</t>
  </si>
  <si>
    <t>Stafford Borough Council</t>
  </si>
  <si>
    <t>Staffordshire County Council</t>
  </si>
  <si>
    <t>Staffordshire Moorlands District Council</t>
  </si>
  <si>
    <t>Stevenage Borough Council</t>
  </si>
  <si>
    <t>Stockport Metropolitan Borough Council</t>
  </si>
  <si>
    <t>Stockton-on-Tees Borough Council</t>
  </si>
  <si>
    <t>Stoke-on-Trent City Council</t>
  </si>
  <si>
    <t>Strabane District Council</t>
  </si>
  <si>
    <t>Stratford-on-Avon District Council</t>
  </si>
  <si>
    <t>Stroud District Council</t>
  </si>
  <si>
    <t>Suffolk Coastal District Council</t>
  </si>
  <si>
    <t>Suffolk County Council</t>
  </si>
  <si>
    <t>Sunderland City Council</t>
  </si>
  <si>
    <t>Surrey County Council</t>
  </si>
  <si>
    <t>Surrey Heath Borough Council</t>
  </si>
  <si>
    <t>Swale Borough Council</t>
  </si>
  <si>
    <t>Swansea City and Borough Council</t>
  </si>
  <si>
    <t>Swindon Borough Council</t>
  </si>
  <si>
    <t>Tameside Metropolitan Borough Council</t>
  </si>
  <si>
    <t>Tamworth Borough Council</t>
  </si>
  <si>
    <t>Tandridge District Council</t>
  </si>
  <si>
    <t>Taunton Deane Borough Council</t>
  </si>
  <si>
    <t>Teignbridge District Council</t>
  </si>
  <si>
    <t>Telford &amp; Wrekin Council</t>
  </si>
  <si>
    <t>Tendring District Council</t>
  </si>
  <si>
    <t>Test Valley Borough Council</t>
  </si>
  <si>
    <t>Tewkesbury Borough Council</t>
  </si>
  <si>
    <t>Thanet District Council</t>
  </si>
  <si>
    <t>Three Rivers District Council</t>
  </si>
  <si>
    <t>Thurrock Council</t>
  </si>
  <si>
    <t>Tonbridge and Malling Borough Council</t>
  </si>
  <si>
    <t>Torbay Council</t>
  </si>
  <si>
    <t>Torfaen County Borough Council</t>
  </si>
  <si>
    <t>Torridge District Council</t>
  </si>
  <si>
    <t>Trafford Metropolitan Borough Council</t>
  </si>
  <si>
    <t>Tunbridge Wells Borough Council</t>
  </si>
  <si>
    <t>Uttlesford District Council</t>
  </si>
  <si>
    <t>Vale of Glamorgan Council</t>
  </si>
  <si>
    <t>Vale of White Horse District Council</t>
  </si>
  <si>
    <t>Wakefield Metropolitan District Council</t>
  </si>
  <si>
    <t>Walsall Metropolitan Borough Council</t>
  </si>
  <si>
    <t>Warrington Borough Council</t>
  </si>
  <si>
    <t>Warwick District Council</t>
  </si>
  <si>
    <t>Warwickshire County Council</t>
  </si>
  <si>
    <t>Watford Borough Council</t>
  </si>
  <si>
    <t>Waveney District Council</t>
  </si>
  <si>
    <t>Waverley Borough Council</t>
  </si>
  <si>
    <t>Wealden District Council</t>
  </si>
  <si>
    <t>Wellingborough Borough Council</t>
  </si>
  <si>
    <t>Welwyn Hatfield Council</t>
  </si>
  <si>
    <t>West Berkshire Council</t>
  </si>
  <si>
    <t>West Devon Borough Council</t>
  </si>
  <si>
    <t>West Dorset District Council</t>
  </si>
  <si>
    <t>West Lancashire Borough Council</t>
  </si>
  <si>
    <t>West Lindsey District Council</t>
  </si>
  <si>
    <t>West Oxfordshire District Council</t>
  </si>
  <si>
    <t>West Somerset District Council</t>
  </si>
  <si>
    <t>West Sussex County Council</t>
  </si>
  <si>
    <t>Westminster City Council</t>
  </si>
  <si>
    <t>Weymouth and Portland Borough Council</t>
  </si>
  <si>
    <t>Wigan Metropolitan Borough Council</t>
  </si>
  <si>
    <t>Wiltshire Council</t>
  </si>
  <si>
    <t>Winchester City Council</t>
  </si>
  <si>
    <t>Wirral Council</t>
  </si>
  <si>
    <t>Woking Borough Council</t>
  </si>
  <si>
    <t>Wokingham Borough Council</t>
  </si>
  <si>
    <t>Wolverhampton City Council</t>
  </si>
  <si>
    <t>Worcester City Council</t>
  </si>
  <si>
    <t>Worcestershire County Council</t>
  </si>
  <si>
    <t>Wrexham County Borough Council</t>
  </si>
  <si>
    <t>Wychavon District Council</t>
  </si>
  <si>
    <t>Wycombe District Council</t>
  </si>
  <si>
    <t>Wyre Council</t>
  </si>
  <si>
    <t>Wyre Forest District Council</t>
  </si>
  <si>
    <t>Baseline units retained (srm)</t>
  </si>
  <si>
    <t>Cumulative availability of units</t>
  </si>
  <si>
    <t>Area Check (excluding individual trees and green walls)</t>
  </si>
  <si>
    <t>Has bespoke compensation been agreed with the relevant consenting body?</t>
  </si>
  <si>
    <t>Total irreplaceable watercourse length (km)</t>
  </si>
  <si>
    <t>Total enhanced irreplaceable watercourse length (km)</t>
  </si>
  <si>
    <t>Applied  difficulty multiplier</t>
  </si>
  <si>
    <t>Higher Distinctiveness Surplus Units minus Medium Distinctiveness Broad Habitat Deficit</t>
  </si>
  <si>
    <t xml:space="preserve">High Distinctivness Deficit to be offset by trading up </t>
  </si>
  <si>
    <t>Higher Distinctiveness surplus units minus any high distinctivness deficit</t>
  </si>
  <si>
    <t>Rocky_shore</t>
  </si>
  <si>
    <t>Coastal_saltmarsh</t>
  </si>
  <si>
    <t>Ancient Veteran trees</t>
  </si>
  <si>
    <t xml:space="preserve">2x Ancient and 2x veteran trees present wtihin the site. All retained with suitable root protection zones as identified within the Tree Constriants Plan. As per user guide (para 8.3.3) cannot be input into metric elsewhere. </t>
  </si>
  <si>
    <t>G3</t>
  </si>
  <si>
    <t>G2</t>
  </si>
  <si>
    <t>G1</t>
  </si>
  <si>
    <t>Fails essential criteria 1</t>
  </si>
  <si>
    <t>G4</t>
  </si>
  <si>
    <t>S1</t>
  </si>
  <si>
    <t>U4</t>
  </si>
  <si>
    <t>U3</t>
  </si>
  <si>
    <t>U2</t>
  </si>
  <si>
    <t>U1</t>
  </si>
  <si>
    <t>Church Road - existing road. Condition assessment N/A</t>
  </si>
  <si>
    <t>Existing access track through fields. Condition assessment N/A</t>
  </si>
  <si>
    <t>Farm Yard. Condition assessment N/A</t>
  </si>
  <si>
    <t>Exisitng access track. Condition assessment N/A</t>
  </si>
  <si>
    <t>U5</t>
  </si>
  <si>
    <t>A3</t>
  </si>
  <si>
    <t xml:space="preserve">Brassica crop. Condition assessment N/A </t>
  </si>
  <si>
    <t xml:space="preserve">Condition assessment N/A. 
Area present for cable installation/ subject to horizontal directional drilling so no direct impacts anticipated. </t>
  </si>
  <si>
    <t xml:space="preserve">Condition assessment N/A.
Arable crop east of rail corridor. Part reinstated following minor cabling works and counted as retained in line with guidance on temporary impacts.  </t>
  </si>
  <si>
    <t>Railway corridor. Condition Assessment N/A
Subject to directional drilling with no above ground impacts</t>
  </si>
  <si>
    <t>Fails criteria 3 &amp; 4</t>
  </si>
  <si>
    <t>Fails criteria 1,2  &amp; 4</t>
  </si>
  <si>
    <t xml:space="preserve">Area of grassland adjacent to planned HDD route. Will be retained throughout construction and operation </t>
  </si>
  <si>
    <t xml:space="preserve">Area of woodland adjacent to planned HDD route. Will be retained throughout construction and operation </t>
  </si>
  <si>
    <t>Containers etc within solar area. Condition assessment N/A</t>
  </si>
  <si>
    <t>Area within cable route assumed to revert to arable. Condition assessment N/A</t>
  </si>
  <si>
    <t>Area adjacent to access road assumed to revert to arable. Condition assessment N/a</t>
  </si>
  <si>
    <t xml:space="preserve">Areas of meadow grassland surrounding the solar areas. Asssumed moderate condition </t>
  </si>
  <si>
    <t>Roads within the RLB. Condition assessment N/A</t>
  </si>
  <si>
    <t xml:space="preserve">Grassland within the solar area. Assumed to modified and sheep grazed achieving moderate condition due to presence of solar infrastructure and shading resulting in areas of bare ground. </t>
  </si>
  <si>
    <t>New substation areas. Condition assessment N/A</t>
  </si>
  <si>
    <t>Access tracks (inlcuding exisitng and/ or upgraded tracks). Condition assessment N/a</t>
  </si>
  <si>
    <t xml:space="preserve">Planted woodland/ shelter belts/ screening. Assumed to achieve poor condition following precautionary approach </t>
  </si>
  <si>
    <t xml:space="preserve">managed rewilding woodland edge. Assumed to reach mature scrub within the 30 year period. Assumed to achive moderate condition possibly failing on presence of glades. </t>
  </si>
  <si>
    <t xml:space="preserve">Newly created hedgerow to be native species rich. Considered able to achieve good condition with appropraite management but assigned moderate following a precautionary appraoch. </t>
  </si>
  <si>
    <t>Automatically assigned as poor condition</t>
  </si>
  <si>
    <t>Oilseed rape field. Condition assessment N/A</t>
  </si>
  <si>
    <t>Grove Farm Solar</t>
  </si>
  <si>
    <t>RPC</t>
  </si>
  <si>
    <t xml:space="preserve">Full - solar (Appeal) </t>
  </si>
  <si>
    <t>JS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</si>
</sst>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_(* \(#,##0.00\);_(* &quot;-&quot;??_);_(@_)"/>
    <numFmt numFmtId="164" formatCode="0.0"/>
    <numFmt numFmtId="165" formatCode="0.000"/>
    <numFmt numFmtId="166" formatCode="0.0000"/>
    <numFmt numFmtId="167" formatCode="[$-F800]dddd\,\ mmmm\ dd\,\ yyyy"/>
  </numFmts>
  <fonts count="70">
    <font>
      <sz val="11"/>
      <color theme="1"/>
      <name val="Calibri"/>
      <family val="2"/>
      <scheme val="minor"/>
    </font>
    <font>
      <b/>
      <sz val="16"/>
      <color theme="1"/>
      <name val="Calibri"/>
      <family val="2"/>
      <scheme val="minor"/>
    </font>
    <font>
      <sz val="11"/>
      <color theme="1"/>
      <name val="Calibri"/>
      <family val="2"/>
      <scheme val="minor"/>
    </font>
    <font>
      <sz val="10"/>
      <name val="Arial"/>
      <family val="2"/>
    </font>
    <font>
      <sz val="12"/>
      <color theme="1"/>
      <name val="Arial"/>
      <family val="2"/>
    </font>
    <font>
      <b/>
      <sz val="24"/>
      <color theme="1"/>
      <name val="Calibri"/>
      <family val="2"/>
      <scheme val="minor"/>
    </font>
    <font>
      <sz val="12"/>
      <color rgb="FFFF0000"/>
      <name val="Calibri"/>
      <family val="2"/>
      <scheme val="minor"/>
    </font>
    <font>
      <u/>
      <sz val="11"/>
      <color theme="10"/>
      <name val="Calibri"/>
      <family val="2"/>
      <scheme val="minor"/>
    </font>
    <font>
      <sz val="10"/>
      <color rgb="FF000000"/>
      <name val="Arial"/>
      <family val="2"/>
    </font>
    <font>
      <sz val="8"/>
      <name val="Calibri"/>
      <family val="2"/>
      <scheme val="minor"/>
    </font>
    <font>
      <sz val="11"/>
      <name val="Rockwell Light"/>
      <family val="1"/>
    </font>
    <font>
      <b/>
      <sz val="24"/>
      <name val="Rockwell Light"/>
      <family val="1"/>
    </font>
    <font>
      <u/>
      <sz val="11"/>
      <name val="Rockwell Light"/>
      <family val="1"/>
    </font>
    <font>
      <sz val="12"/>
      <name val="Rockwell Light"/>
      <family val="1"/>
    </font>
    <font>
      <b/>
      <sz val="14"/>
      <color theme="4"/>
      <name val="Rockwell Light"/>
      <family val="1"/>
    </font>
    <font>
      <b/>
      <sz val="12"/>
      <color theme="4"/>
      <name val="Rockwell Light"/>
      <family val="1"/>
    </font>
    <font>
      <b/>
      <sz val="12"/>
      <name val="Rockwell Light"/>
      <family val="1"/>
    </font>
    <font>
      <b/>
      <sz val="16"/>
      <color theme="4"/>
      <name val="Rockwell Light"/>
      <family val="1"/>
    </font>
    <font>
      <b/>
      <sz val="16"/>
      <name val="Rockwell Light"/>
      <family val="1"/>
    </font>
    <font>
      <sz val="12"/>
      <color theme="1"/>
      <name val="Rockwell Light"/>
      <family val="1"/>
    </font>
    <font>
      <sz val="12"/>
      <color theme="4"/>
      <name val="Rockwell Light"/>
      <family val="1"/>
    </font>
    <font>
      <b/>
      <sz val="11"/>
      <color theme="4"/>
      <name val="Calibri"/>
      <family val="2"/>
      <scheme val="minor"/>
    </font>
    <font>
      <sz val="11"/>
      <color theme="4"/>
      <name val="Calibri"/>
      <family val="2"/>
      <scheme val="minor"/>
    </font>
    <font>
      <sz val="24"/>
      <color theme="4"/>
      <name val="Rockwell Light"/>
      <family val="1"/>
    </font>
    <font>
      <i/>
      <sz val="14"/>
      <color theme="4"/>
      <name val="Rockwell Light"/>
      <family val="1"/>
    </font>
    <font>
      <sz val="11"/>
      <color theme="1"/>
      <name val="Rockwell Light"/>
      <family val="1"/>
    </font>
    <font>
      <b/>
      <sz val="18"/>
      <color theme="4"/>
      <name val="Rockwell Light"/>
      <family val="1"/>
    </font>
    <font>
      <b/>
      <sz val="24"/>
      <color theme="1"/>
      <name val="Rockwell Light"/>
      <family val="1"/>
    </font>
    <font>
      <b/>
      <sz val="12"/>
      <color theme="1"/>
      <name val="Rockwell Light"/>
      <family val="1"/>
    </font>
    <font>
      <b/>
      <sz val="22"/>
      <color theme="1"/>
      <name val="Rockwell Light"/>
      <family val="1"/>
    </font>
    <font>
      <sz val="12"/>
      <color rgb="FFFF0000"/>
      <name val="Rockwell Light"/>
      <family val="1"/>
    </font>
    <font>
      <sz val="11"/>
      <color theme="4"/>
      <name val="Rockwell Light"/>
      <family val="1"/>
    </font>
    <font>
      <b/>
      <sz val="24"/>
      <color theme="4"/>
      <name val="Rockwell Light"/>
      <family val="1"/>
    </font>
    <font>
      <b/>
      <sz val="20"/>
      <color theme="4"/>
      <name val="Rockwell Light"/>
      <family val="1"/>
    </font>
    <font>
      <b/>
      <sz val="22"/>
      <color theme="4"/>
      <name val="Rockwell Light"/>
      <family val="1"/>
    </font>
    <font>
      <b/>
      <sz val="11"/>
      <color theme="4"/>
      <name val="Rockwell Light"/>
      <family val="1"/>
    </font>
    <font>
      <sz val="10"/>
      <color theme="4"/>
      <name val="Arial"/>
      <family val="2"/>
    </font>
    <font>
      <sz val="18"/>
      <color theme="4"/>
      <name val="Rockwell Light"/>
      <family val="1"/>
    </font>
    <font>
      <b/>
      <sz val="28"/>
      <color theme="4"/>
      <name val="Rockwell Light"/>
      <family val="1"/>
    </font>
    <font>
      <sz val="10"/>
      <color theme="4"/>
      <name val="Rockwell Light"/>
      <family val="1"/>
    </font>
    <font>
      <b/>
      <sz val="10"/>
      <color theme="4"/>
      <name val="Arial"/>
      <family val="2"/>
    </font>
    <font>
      <b/>
      <sz val="10"/>
      <color theme="4"/>
      <name val="Rockwell Light"/>
      <family val="1"/>
    </font>
    <font>
      <b/>
      <sz val="26"/>
      <color theme="4"/>
      <name val="Rockwell Light"/>
      <family val="1"/>
    </font>
    <font>
      <u/>
      <sz val="11"/>
      <color theme="10"/>
      <name val="Rockwell Light"/>
      <family val="1"/>
    </font>
    <font>
      <b/>
      <sz val="16"/>
      <color theme="1"/>
      <name val="Rockwell Light"/>
      <family val="1"/>
    </font>
    <font>
      <u/>
      <sz val="11"/>
      <color theme="4"/>
      <name val="Rockwell Light"/>
      <family val="1"/>
    </font>
    <font>
      <b/>
      <sz val="14"/>
      <name val="Rockwell Light"/>
      <family val="1"/>
    </font>
    <font>
      <sz val="22"/>
      <color theme="4"/>
      <name val="Rockwell Light"/>
      <family val="1"/>
    </font>
    <font>
      <sz val="16"/>
      <color rgb="FFFF0000"/>
      <name val="Rockwell Light"/>
      <family val="1"/>
    </font>
    <font>
      <b/>
      <sz val="11"/>
      <name val="Calibri"/>
      <family val="2"/>
      <scheme val="minor"/>
    </font>
    <font>
      <sz val="11"/>
      <color theme="4"/>
      <name val="Amasis MT Pro"/>
      <family val="1"/>
    </font>
    <font>
      <b/>
      <sz val="11"/>
      <name val="Rockwell Light"/>
      <family val="1"/>
    </font>
    <font>
      <b/>
      <sz val="13"/>
      <color theme="4"/>
      <name val="Rockwell Light"/>
      <family val="1"/>
    </font>
    <font>
      <b/>
      <sz val="20"/>
      <name val="Rockwell Light"/>
      <family val="1"/>
    </font>
    <font>
      <sz val="12"/>
      <color theme="0"/>
      <name val="Rockwell Light"/>
      <family val="1"/>
    </font>
    <font>
      <sz val="12"/>
      <color rgb="FFABC3C9"/>
      <name val="Rockwell Light"/>
      <family val="1"/>
    </font>
    <font>
      <b/>
      <sz val="18"/>
      <name val="Rockwell Light"/>
      <family val="1"/>
    </font>
    <font>
      <sz val="24"/>
      <name val="Rockwell Light"/>
      <family val="1"/>
    </font>
    <font>
      <sz val="14"/>
      <name val="Rockwell Light"/>
      <family val="1"/>
    </font>
    <font>
      <i/>
      <sz val="14"/>
      <name val="Rockwell Light"/>
      <family val="1"/>
    </font>
    <font>
      <sz val="20"/>
      <name val="Rockwell Light"/>
      <family val="1"/>
    </font>
    <font>
      <b/>
      <sz val="22"/>
      <name val="Rockwell Light"/>
      <family val="1"/>
    </font>
    <font>
      <sz val="11"/>
      <name val="Calibri"/>
      <family val="2"/>
      <scheme val="minor"/>
    </font>
    <font>
      <sz val="14"/>
      <color theme="0"/>
      <name val="Calibri"/>
      <family val="2"/>
      <scheme val="minor"/>
    </font>
    <font>
      <sz val="18"/>
      <name val="Rockwell Light"/>
      <family val="1"/>
    </font>
    <font>
      <sz val="18"/>
      <color theme="1"/>
      <name val="Rockwell Light"/>
      <family val="1"/>
    </font>
    <font>
      <b/>
      <sz val="24"/>
      <color rgb="FFABC3C9"/>
      <name val="Rockwell Light"/>
      <family val="1"/>
    </font>
    <font>
      <b/>
      <sz val="11"/>
      <color theme="0"/>
      <name val="Rockwell Light"/>
      <family val="1"/>
    </font>
    <font>
      <sz val="11"/>
      <color rgb="FFABC3C9"/>
      <name val="Calibri"/>
      <family val="2"/>
      <scheme val="minor"/>
    </font>
    <font>
      <sz val="11"/>
      <color rgb="FFABC3C9"/>
      <name val="Rockwell Light"/>
      <family val="1"/>
    </font>
  </fonts>
  <fills count="29">
    <fill>
      <patternFill patternType="none"/>
    </fill>
    <fill>
      <patternFill patternType="gray125"/>
    </fill>
    <fill>
      <patternFill patternType="solid">
        <fgColor theme="4" tint="0.59999389629810485"/>
        <bgColor indexed="64"/>
      </patternFill>
    </fill>
    <fill>
      <patternFill patternType="solid">
        <fgColor theme="0"/>
        <bgColor indexed="64"/>
      </patternFill>
    </fill>
    <fill>
      <patternFill patternType="solid">
        <fgColor theme="4" tint="0.79998168889431442"/>
        <bgColor indexed="64"/>
      </patternFill>
    </fill>
    <fill>
      <patternFill patternType="solid">
        <fgColor theme="2"/>
        <bgColor indexed="64"/>
      </patternFill>
    </fill>
    <fill>
      <patternFill patternType="solid">
        <fgColor rgb="FFFF3300"/>
        <bgColor indexed="64"/>
      </patternFill>
    </fill>
    <fill>
      <patternFill patternType="solid">
        <fgColor theme="5"/>
        <bgColor indexed="64"/>
      </patternFill>
    </fill>
    <fill>
      <patternFill patternType="solid">
        <fgColor theme="4" tint="0.39997558519241921"/>
        <bgColor indexed="64"/>
      </patternFill>
    </fill>
    <fill>
      <patternFill patternType="solid">
        <fgColor rgb="FFABC3C9"/>
        <bgColor indexed="64"/>
      </patternFill>
    </fill>
    <fill>
      <patternFill patternType="solid">
        <fgColor rgb="FFE0DCD3"/>
        <bgColor indexed="64"/>
      </patternFill>
    </fill>
    <fill>
      <patternFill patternType="solid">
        <fgColor theme="1"/>
        <bgColor indexed="64"/>
      </patternFill>
    </fill>
    <fill>
      <patternFill patternType="solid">
        <fgColor theme="3"/>
        <bgColor indexed="64"/>
      </patternFill>
    </fill>
    <fill>
      <patternFill patternType="solid">
        <fgColor rgb="FFFF0000"/>
        <bgColor indexed="64"/>
      </patternFill>
    </fill>
    <fill>
      <patternFill patternType="solid">
        <fgColor theme="6"/>
        <bgColor indexed="64"/>
      </patternFill>
    </fill>
    <fill>
      <patternFill patternType="solid">
        <fgColor theme="8" tint="0.59999389629810485"/>
        <bgColor indexed="64"/>
      </patternFill>
    </fill>
    <fill>
      <patternFill patternType="solid">
        <fgColor theme="8" tint="-0.249977111117893"/>
        <bgColor indexed="64"/>
      </patternFill>
    </fill>
    <fill>
      <patternFill patternType="solid">
        <fgColor rgb="FF006600"/>
        <bgColor indexed="64"/>
      </patternFill>
    </fill>
    <fill>
      <patternFill patternType="solid">
        <fgColor rgb="FF663300"/>
        <bgColor indexed="64"/>
      </patternFill>
    </fill>
    <fill>
      <patternFill patternType="solid">
        <fgColor rgb="FF0033CC"/>
        <bgColor indexed="64"/>
      </patternFill>
    </fill>
    <fill>
      <patternFill patternType="solid">
        <fgColor rgb="FFD5D3DC"/>
        <bgColor indexed="64"/>
      </patternFill>
    </fill>
    <fill>
      <patternFill patternType="solid">
        <fgColor rgb="FFFFFF99"/>
        <bgColor indexed="64"/>
      </patternFill>
    </fill>
    <fill>
      <patternFill patternType="solid">
        <fgColor rgb="FFF4D4D4"/>
        <bgColor indexed="64"/>
      </patternFill>
    </fill>
    <fill>
      <patternFill patternType="solid">
        <fgColor rgb="FFFFC000"/>
        <bgColor indexed="64"/>
      </patternFill>
    </fill>
    <fill>
      <patternFill patternType="solid">
        <fgColor rgb="FFCB0000"/>
        <bgColor indexed="64"/>
      </patternFill>
    </fill>
    <fill>
      <patternFill patternType="solid">
        <fgColor theme="7" tint="-0.249977111117893"/>
        <bgColor indexed="64"/>
      </patternFill>
    </fill>
    <fill>
      <patternFill patternType="solid">
        <fgColor rgb="FFDD7979"/>
        <bgColor indexed="64"/>
      </patternFill>
    </fill>
    <fill>
      <patternFill patternType="solid">
        <fgColor theme="8" tint="0.39997558519241921"/>
        <bgColor indexed="64"/>
      </patternFill>
    </fill>
    <fill>
      <patternFill patternType="solid">
        <fgColor rgb="FF000000"/>
        <bgColor indexed="64"/>
      </patternFill>
    </fill>
  </fills>
  <borders count="83">
    <border>
      <left/>
      <right/>
      <top/>
      <bottom/>
      <diagonal/>
    </border>
    <border>
      <left style="thin">
        <color indexed="64"/>
      </left>
      <right/>
      <top style="thin">
        <color indexed="64"/>
      </top>
      <bottom/>
      <diagonal/>
    </border>
    <border>
      <left/>
      <right style="thin">
        <color indexed="64"/>
      </right>
      <top/>
      <bottom style="thin">
        <color indexed="64"/>
      </bottom>
      <diagonal/>
    </border>
    <border>
      <left/>
      <right/>
      <top style="thin">
        <color auto="1"/>
      </top>
      <bottom/>
      <diagonal/>
    </border>
    <border>
      <left/>
      <right/>
      <top/>
      <bottom style="thin">
        <color auto="1"/>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style="medium">
        <color indexed="64"/>
      </bottom>
      <diagonal/>
    </border>
    <border>
      <left/>
      <right/>
      <top style="thin">
        <color indexed="64"/>
      </top>
      <bottom style="thin">
        <color indexed="64"/>
      </bottom>
      <diagonal/>
    </border>
    <border>
      <left/>
      <right/>
      <top style="thin">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medium">
        <color indexed="64"/>
      </right>
      <top style="thin">
        <color indexed="64"/>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top style="medium">
        <color indexed="64"/>
      </top>
      <bottom style="medium">
        <color indexed="64"/>
      </bottom>
      <diagonal/>
    </border>
    <border>
      <left/>
      <right/>
      <top style="medium">
        <color indexed="64"/>
      </top>
      <bottom style="thin">
        <color indexed="64"/>
      </bottom>
      <diagonal/>
    </border>
    <border>
      <left/>
      <right style="thin">
        <color indexed="64"/>
      </right>
      <top style="medium">
        <color indexed="64"/>
      </top>
      <bottom style="medium">
        <color indexed="64"/>
      </bottom>
      <diagonal/>
    </border>
    <border>
      <left style="medium">
        <color indexed="64"/>
      </left>
      <right style="medium">
        <color indexed="64"/>
      </right>
      <top/>
      <bottom style="thin">
        <color indexed="64"/>
      </bottom>
      <diagonal/>
    </border>
    <border>
      <left/>
      <right style="medium">
        <color indexed="64"/>
      </right>
      <top/>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thin">
        <color indexed="64"/>
      </top>
      <bottom style="thin">
        <color indexed="64"/>
      </bottom>
      <diagonal/>
    </border>
    <border>
      <left/>
      <right style="medium">
        <color indexed="64"/>
      </right>
      <top style="medium">
        <color indexed="64"/>
      </top>
      <bottom/>
      <diagonal/>
    </border>
    <border>
      <left style="medium">
        <color indexed="64"/>
      </left>
      <right/>
      <top/>
      <bottom/>
      <diagonal/>
    </border>
    <border>
      <left/>
      <right style="thin">
        <color indexed="64"/>
      </right>
      <top style="thin">
        <color indexed="64"/>
      </top>
      <bottom style="medium">
        <color indexed="64"/>
      </bottom>
      <diagonal/>
    </border>
    <border>
      <left/>
      <right style="medium">
        <color indexed="64"/>
      </right>
      <top/>
      <bottom style="medium">
        <color indexed="64"/>
      </bottom>
      <diagonal/>
    </border>
    <border>
      <left style="thin">
        <color indexed="64"/>
      </left>
      <right/>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style="medium">
        <color indexed="64"/>
      </right>
      <top/>
      <bottom style="thin">
        <color indexed="64"/>
      </bottom>
      <diagonal/>
    </border>
    <border>
      <left style="thin">
        <color rgb="FFD0D7E5"/>
      </left>
      <right style="thin">
        <color rgb="FFD0D7E5"/>
      </right>
      <top/>
      <bottom style="thin">
        <color rgb="FFD0D7E5"/>
      </bottom>
      <diagonal/>
    </border>
    <border>
      <left/>
      <right style="thin">
        <color indexed="64"/>
      </right>
      <top/>
      <bottom/>
      <diagonal/>
    </border>
    <border>
      <left style="medium">
        <color indexed="64"/>
      </left>
      <right/>
      <top style="thin">
        <color indexed="64"/>
      </top>
      <bottom/>
      <diagonal/>
    </border>
    <border>
      <left style="thin">
        <color indexed="64"/>
      </left>
      <right/>
      <top/>
      <bottom/>
      <diagonal/>
    </border>
    <border>
      <left style="medium">
        <color indexed="64"/>
      </left>
      <right style="thin">
        <color indexed="64"/>
      </right>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medium">
        <color indexed="64"/>
      </right>
      <top/>
      <bottom/>
      <diagonal/>
    </border>
    <border>
      <left/>
      <right/>
      <top/>
      <bottom style="thick">
        <color auto="1"/>
      </bottom>
      <diagonal/>
    </border>
    <border>
      <left/>
      <right/>
      <top style="thick">
        <color auto="1"/>
      </top>
      <bottom/>
      <diagonal/>
    </border>
    <border>
      <left/>
      <right style="thin">
        <color indexed="64"/>
      </right>
      <top style="medium">
        <color indexed="64"/>
      </top>
      <bottom/>
      <diagonal/>
    </border>
    <border>
      <left style="thick">
        <color indexed="64"/>
      </left>
      <right style="medium">
        <color indexed="64"/>
      </right>
      <top style="medium">
        <color indexed="64"/>
      </top>
      <bottom style="medium">
        <color indexed="64"/>
      </bottom>
      <diagonal/>
    </border>
    <border>
      <left/>
      <right style="medium">
        <color indexed="64"/>
      </right>
      <top style="thin">
        <color indexed="64"/>
      </top>
      <bottom/>
      <diagonal/>
    </border>
    <border>
      <left style="thin">
        <color indexed="64"/>
      </left>
      <right/>
      <top/>
      <bottom style="medium">
        <color indexed="64"/>
      </bottom>
      <diagonal/>
    </border>
    <border>
      <left/>
      <right style="thin">
        <color indexed="64"/>
      </right>
      <top/>
      <bottom style="medium">
        <color indexed="64"/>
      </bottom>
      <diagonal/>
    </border>
  </borders>
  <cellStyleXfs count="33">
    <xf numFmtId="0" fontId="0" fillId="0" borderId="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0" fontId="3" fillId="0" borderId="0"/>
    <xf numFmtId="0" fontId="3" fillId="0" borderId="0"/>
    <xf numFmtId="0" fontId="3" fillId="0" borderId="0"/>
    <xf numFmtId="0" fontId="2" fillId="0" borderId="0"/>
    <xf numFmtId="0" fontId="3" fillId="0" borderId="0"/>
    <xf numFmtId="0" fontId="3" fillId="0" borderId="0"/>
    <xf numFmtId="0" fontId="4" fillId="0" borderId="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0" fontId="7" fillId="0" borderId="0" applyNumberForma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9" fontId="2" fillId="0" borderId="0" applyFont="0" applyFill="0" applyBorder="0" applyAlignment="0" applyProtection="0"/>
  </cellStyleXfs>
  <cellXfs count="1688">
    <xf numFmtId="0" fontId="0" fillId="0" borderId="0" xfId="0"/>
    <xf numFmtId="0" fontId="0" fillId="9" borderId="0" xfId="0" applyFill="1"/>
    <xf numFmtId="0" fontId="0" fillId="9" borderId="0" xfId="0" applyFill="1" applyAlignment="1">
      <alignment horizontal="center" vertical="center"/>
    </xf>
    <xf numFmtId="0" fontId="0" fillId="9" borderId="0" xfId="0" applyFill="1" applyAlignment="1">
      <alignment horizontal="justify"/>
    </xf>
    <xf numFmtId="0" fontId="6" fillId="9" borderId="0" xfId="0" applyFont="1" applyFill="1" applyAlignment="1">
      <alignment horizontal="left" vertical="top" wrapText="1"/>
    </xf>
    <xf numFmtId="0" fontId="1" fillId="9" borderId="0" xfId="0" applyFont="1" applyFill="1"/>
    <xf numFmtId="0" fontId="5" fillId="9" borderId="0" xfId="0" applyFont="1" applyFill="1"/>
    <xf numFmtId="0" fontId="5" fillId="9" borderId="0" xfId="0" applyFont="1" applyFill="1" applyAlignment="1">
      <alignment horizontal="center"/>
    </xf>
    <xf numFmtId="0" fontId="1" fillId="11" borderId="0" xfId="0" applyFont="1" applyFill="1"/>
    <xf numFmtId="0" fontId="0" fillId="11" borderId="0" xfId="0" applyFill="1"/>
    <xf numFmtId="0" fontId="8" fillId="11" borderId="0" xfId="0" applyFont="1" applyFill="1" applyAlignment="1">
      <alignment horizontal="left" vertical="center" indent="8"/>
    </xf>
    <xf numFmtId="0" fontId="10" fillId="9" borderId="0" xfId="0" applyFont="1" applyFill="1"/>
    <xf numFmtId="0" fontId="10" fillId="9" borderId="0" xfId="0" applyFont="1" applyFill="1" applyAlignment="1">
      <alignment horizontal="center" vertical="center"/>
    </xf>
    <xf numFmtId="0" fontId="11" fillId="9" borderId="0" xfId="0" applyFont="1" applyFill="1"/>
    <xf numFmtId="0" fontId="13" fillId="9" borderId="0" xfId="0" applyFont="1" applyFill="1" applyAlignment="1">
      <alignment vertical="top" wrapText="1"/>
    </xf>
    <xf numFmtId="0" fontId="18" fillId="9" borderId="0" xfId="0" applyFont="1" applyFill="1"/>
    <xf numFmtId="0" fontId="0" fillId="11" borderId="0" xfId="0" applyFill="1" applyAlignment="1">
      <alignment horizontal="center" vertical="center"/>
    </xf>
    <xf numFmtId="0" fontId="5" fillId="11" borderId="0" xfId="0" applyFont="1" applyFill="1"/>
    <xf numFmtId="0" fontId="5" fillId="11" borderId="0" xfId="0" applyFont="1" applyFill="1" applyAlignment="1">
      <alignment horizontal="center"/>
    </xf>
    <xf numFmtId="0" fontId="6" fillId="11" borderId="0" xfId="0" applyFont="1" applyFill="1" applyAlignment="1">
      <alignment horizontal="left" vertical="top" wrapText="1"/>
    </xf>
    <xf numFmtId="0" fontId="0" fillId="11" borderId="0" xfId="0" applyFill="1" applyAlignment="1">
      <alignment horizontal="justify"/>
    </xf>
    <xf numFmtId="0" fontId="22" fillId="3" borderId="5" xfId="0" applyFont="1" applyFill="1" applyBorder="1" applyAlignment="1" applyProtection="1">
      <alignment horizontal="center" vertical="center" wrapText="1"/>
      <protection locked="0"/>
    </xf>
    <xf numFmtId="0" fontId="25" fillId="11" borderId="0" xfId="0" applyFont="1" applyFill="1"/>
    <xf numFmtId="0" fontId="27" fillId="11" borderId="0" xfId="0" applyFont="1" applyFill="1" applyAlignment="1">
      <alignment horizontal="center"/>
    </xf>
    <xf numFmtId="0" fontId="28" fillId="11" borderId="0" xfId="0" applyFont="1" applyFill="1"/>
    <xf numFmtId="2" fontId="25" fillId="11" borderId="0" xfId="0" applyNumberFormat="1" applyFont="1" applyFill="1"/>
    <xf numFmtId="0" fontId="25" fillId="11" borderId="0" xfId="0" applyFont="1" applyFill="1" applyAlignment="1">
      <alignment horizontal="center" vertical="center" wrapText="1"/>
    </xf>
    <xf numFmtId="0" fontId="29" fillId="11" borderId="0" xfId="0" applyFont="1" applyFill="1"/>
    <xf numFmtId="0" fontId="25" fillId="11" borderId="0" xfId="0" applyFont="1" applyFill="1" applyAlignment="1">
      <alignment wrapText="1"/>
    </xf>
    <xf numFmtId="0" fontId="30" fillId="11" borderId="0" xfId="0" applyFont="1" applyFill="1" applyAlignment="1">
      <alignment horizontal="center" vertical="center" wrapText="1"/>
    </xf>
    <xf numFmtId="0" fontId="31" fillId="11" borderId="0" xfId="0" applyFont="1" applyFill="1"/>
    <xf numFmtId="0" fontId="15" fillId="11" borderId="0" xfId="0" applyFont="1" applyFill="1"/>
    <xf numFmtId="0" fontId="31" fillId="11" borderId="0" xfId="0" applyFont="1" applyFill="1" applyAlignment="1">
      <alignment horizontal="center" vertical="center" wrapText="1"/>
    </xf>
    <xf numFmtId="0" fontId="31" fillId="11" borderId="0" xfId="0" applyFont="1" applyFill="1" applyAlignment="1">
      <alignment wrapText="1"/>
    </xf>
    <xf numFmtId="0" fontId="31" fillId="11" borderId="27" xfId="0" applyFont="1" applyFill="1" applyBorder="1"/>
    <xf numFmtId="0" fontId="31" fillId="9" borderId="0" xfId="0" applyFont="1" applyFill="1"/>
    <xf numFmtId="0" fontId="31" fillId="9" borderId="0" xfId="0" applyFont="1" applyFill="1" applyAlignment="1">
      <alignment horizontal="center" vertical="center"/>
    </xf>
    <xf numFmtId="0" fontId="31" fillId="9" borderId="0" xfId="0" applyFont="1" applyFill="1" applyAlignment="1">
      <alignment wrapText="1"/>
    </xf>
    <xf numFmtId="0" fontId="31" fillId="9" borderId="0" xfId="0" applyFont="1" applyFill="1" applyAlignment="1">
      <alignment horizontal="center" vertical="center" wrapText="1"/>
    </xf>
    <xf numFmtId="0" fontId="35" fillId="9" borderId="0" xfId="0" applyFont="1" applyFill="1" applyAlignment="1">
      <alignment vertical="center" wrapText="1"/>
    </xf>
    <xf numFmtId="0" fontId="31" fillId="9" borderId="5" xfId="0" applyFont="1" applyFill="1" applyBorder="1"/>
    <xf numFmtId="0" fontId="35" fillId="9" borderId="0" xfId="0" applyFont="1" applyFill="1"/>
    <xf numFmtId="0" fontId="35" fillId="10" borderId="54" xfId="0" applyFont="1" applyFill="1" applyBorder="1" applyAlignment="1">
      <alignment horizontal="center" vertical="center" wrapText="1"/>
    </xf>
    <xf numFmtId="0" fontId="35" fillId="10" borderId="11" xfId="0" applyFont="1" applyFill="1" applyBorder="1" applyAlignment="1">
      <alignment horizontal="center" vertical="center" wrapText="1"/>
    </xf>
    <xf numFmtId="0" fontId="35" fillId="10" borderId="9" xfId="0" applyFont="1" applyFill="1" applyBorder="1" applyAlignment="1">
      <alignment horizontal="center" vertical="center" wrapText="1"/>
    </xf>
    <xf numFmtId="0" fontId="35" fillId="10" borderId="13" xfId="0" applyFont="1" applyFill="1" applyBorder="1" applyAlignment="1">
      <alignment horizontal="center" vertical="center" wrapText="1"/>
    </xf>
    <xf numFmtId="0" fontId="35" fillId="10" borderId="58" xfId="0" applyFont="1" applyFill="1" applyBorder="1" applyAlignment="1">
      <alignment horizontal="center" vertical="center" wrapText="1"/>
    </xf>
    <xf numFmtId="0" fontId="35" fillId="10" borderId="18" xfId="0" applyFont="1" applyFill="1" applyBorder="1" applyAlignment="1">
      <alignment horizontal="center" vertical="center" wrapText="1"/>
    </xf>
    <xf numFmtId="0" fontId="35" fillId="10" borderId="22" xfId="0" applyFont="1" applyFill="1" applyBorder="1" applyAlignment="1">
      <alignment horizontal="center" vertical="center" wrapText="1"/>
    </xf>
    <xf numFmtId="0" fontId="35" fillId="10" borderId="41" xfId="0" applyFont="1" applyFill="1" applyBorder="1" applyAlignment="1">
      <alignment horizontal="center" vertical="center" wrapText="1"/>
    </xf>
    <xf numFmtId="0" fontId="35" fillId="9" borderId="58" xfId="0" applyFont="1" applyFill="1" applyBorder="1" applyAlignment="1">
      <alignment horizontal="center" vertical="center" wrapText="1"/>
    </xf>
    <xf numFmtId="0" fontId="31" fillId="0" borderId="73" xfId="0" applyFont="1" applyBorder="1" applyAlignment="1" applyProtection="1">
      <alignment horizontal="center" vertical="center" wrapText="1"/>
      <protection locked="0"/>
    </xf>
    <xf numFmtId="0" fontId="31" fillId="8" borderId="5" xfId="0" applyFont="1" applyFill="1" applyBorder="1" applyAlignment="1">
      <alignment horizontal="center" vertical="top"/>
    </xf>
    <xf numFmtId="0" fontId="31" fillId="0" borderId="26" xfId="0" applyFont="1" applyBorder="1" applyAlignment="1" applyProtection="1">
      <alignment horizontal="center" vertical="center" wrapText="1"/>
      <protection locked="0"/>
    </xf>
    <xf numFmtId="0" fontId="31" fillId="0" borderId="25" xfId="0" applyFont="1" applyBorder="1" applyAlignment="1" applyProtection="1">
      <alignment horizontal="center" vertical="center" wrapText="1"/>
      <protection locked="0"/>
    </xf>
    <xf numFmtId="0" fontId="31" fillId="0" borderId="2" xfId="0" applyFont="1" applyBorder="1" applyAlignment="1" applyProtection="1">
      <alignment horizontal="center" vertical="center" wrapText="1"/>
      <protection locked="0"/>
    </xf>
    <xf numFmtId="0" fontId="31" fillId="3" borderId="14" xfId="0" applyFont="1" applyFill="1" applyBorder="1" applyAlignment="1" applyProtection="1">
      <alignment horizontal="left" vertical="top" wrapText="1"/>
      <protection locked="0"/>
    </xf>
    <xf numFmtId="2" fontId="31" fillId="9" borderId="2" xfId="0" applyNumberFormat="1" applyFont="1" applyFill="1" applyBorder="1" applyAlignment="1">
      <alignment horizontal="center" vertical="center" wrapText="1"/>
    </xf>
    <xf numFmtId="2" fontId="31" fillId="9" borderId="42" xfId="0" applyNumberFormat="1" applyFont="1" applyFill="1" applyBorder="1" applyAlignment="1">
      <alignment horizontal="center" vertical="center" wrapText="1"/>
    </xf>
    <xf numFmtId="0" fontId="35" fillId="10" borderId="5" xfId="0" applyFont="1" applyFill="1" applyBorder="1" applyAlignment="1">
      <alignment horizontal="center" vertical="center" wrapText="1"/>
    </xf>
    <xf numFmtId="0" fontId="31" fillId="0" borderId="4" xfId="0" applyFont="1" applyBorder="1" applyAlignment="1" applyProtection="1">
      <alignment horizontal="center" vertical="center" wrapText="1"/>
      <protection locked="0"/>
    </xf>
    <xf numFmtId="0" fontId="31" fillId="0" borderId="5" xfId="0" applyFont="1" applyBorder="1" applyAlignment="1" applyProtection="1">
      <alignment horizontal="center" vertical="center" wrapText="1"/>
      <protection locked="0"/>
    </xf>
    <xf numFmtId="0" fontId="31" fillId="3" borderId="12" xfId="0" applyFont="1" applyFill="1" applyBorder="1" applyAlignment="1" applyProtection="1">
      <alignment horizontal="left" vertical="top" wrapText="1"/>
      <protection locked="0"/>
    </xf>
    <xf numFmtId="0" fontId="31" fillId="0" borderId="42" xfId="0" applyFont="1" applyBorder="1" applyAlignment="1" applyProtection="1">
      <alignment horizontal="center" vertical="center" wrapText="1"/>
      <protection locked="0"/>
    </xf>
    <xf numFmtId="0" fontId="31" fillId="3" borderId="13" xfId="0" applyFont="1" applyFill="1" applyBorder="1" applyAlignment="1" applyProtection="1">
      <alignment horizontal="left" vertical="top" wrapText="1"/>
      <protection locked="0"/>
    </xf>
    <xf numFmtId="2" fontId="35" fillId="9" borderId="0" xfId="0" applyNumberFormat="1" applyFont="1" applyFill="1" applyAlignment="1">
      <alignment horizontal="center" vertical="center" wrapText="1"/>
    </xf>
    <xf numFmtId="0" fontId="35" fillId="9" borderId="0" xfId="0" applyFont="1" applyFill="1" applyAlignment="1">
      <alignment horizontal="center" vertical="center" wrapText="1"/>
    </xf>
    <xf numFmtId="0" fontId="31" fillId="5" borderId="12" xfId="0" applyFont="1" applyFill="1" applyBorder="1"/>
    <xf numFmtId="0" fontId="31" fillId="5" borderId="5" xfId="0" applyFont="1" applyFill="1" applyBorder="1"/>
    <xf numFmtId="0" fontId="31" fillId="5" borderId="13" xfId="0" applyFont="1" applyFill="1" applyBorder="1"/>
    <xf numFmtId="0" fontId="15" fillId="5" borderId="14" xfId="0" applyFont="1" applyFill="1" applyBorder="1" applyAlignment="1">
      <alignment horizontal="center" vertical="center" wrapText="1"/>
    </xf>
    <xf numFmtId="0" fontId="15" fillId="5" borderId="17" xfId="0" applyFont="1" applyFill="1" applyBorder="1" applyAlignment="1">
      <alignment horizontal="center" vertical="center" wrapText="1"/>
    </xf>
    <xf numFmtId="0" fontId="15" fillId="5" borderId="19" xfId="0" applyFont="1" applyFill="1" applyBorder="1" applyAlignment="1">
      <alignment horizontal="center" vertical="center" wrapText="1"/>
    </xf>
    <xf numFmtId="0" fontId="31" fillId="5" borderId="14" xfId="0" applyFont="1" applyFill="1" applyBorder="1" applyAlignment="1">
      <alignment horizontal="center" vertical="center" wrapText="1"/>
    </xf>
    <xf numFmtId="0" fontId="31" fillId="5" borderId="13" xfId="0" applyFont="1" applyFill="1" applyBorder="1" applyAlignment="1">
      <alignment horizontal="center" vertical="center" wrapText="1"/>
    </xf>
    <xf numFmtId="0" fontId="31" fillId="11" borderId="4" xfId="0" applyFont="1" applyFill="1" applyBorder="1"/>
    <xf numFmtId="0" fontId="38" fillId="11" borderId="4" xfId="0" applyFont="1" applyFill="1" applyBorder="1" applyAlignment="1">
      <alignment horizontal="center"/>
    </xf>
    <xf numFmtId="0" fontId="37" fillId="5" borderId="5" xfId="0" applyFont="1" applyFill="1" applyBorder="1" applyAlignment="1">
      <alignment horizontal="center"/>
    </xf>
    <xf numFmtId="0" fontId="35" fillId="5" borderId="5" xfId="0" applyFont="1" applyFill="1" applyBorder="1" applyAlignment="1">
      <alignment horizontal="center" vertical="center" wrapText="1"/>
    </xf>
    <xf numFmtId="0" fontId="31" fillId="5" borderId="5" xfId="0" applyFont="1" applyFill="1" applyBorder="1" applyAlignment="1">
      <alignment horizontal="center" vertical="center"/>
    </xf>
    <xf numFmtId="0" fontId="31" fillId="5" borderId="5" xfId="0" applyFont="1" applyFill="1" applyBorder="1" applyAlignment="1">
      <alignment wrapText="1"/>
    </xf>
    <xf numFmtId="0" fontId="39" fillId="5" borderId="5" xfId="0" applyFont="1" applyFill="1" applyBorder="1" applyAlignment="1">
      <alignment wrapText="1"/>
    </xf>
    <xf numFmtId="0" fontId="39" fillId="5" borderId="5" xfId="0" applyFont="1" applyFill="1" applyBorder="1" applyAlignment="1">
      <alignment horizontal="left" wrapText="1"/>
    </xf>
    <xf numFmtId="0" fontId="39" fillId="5" borderId="5" xfId="0" applyFont="1" applyFill="1" applyBorder="1" applyAlignment="1">
      <alignment horizontal="left"/>
    </xf>
    <xf numFmtId="0" fontId="39" fillId="5" borderId="5" xfId="0" applyFont="1" applyFill="1" applyBorder="1" applyAlignment="1">
      <alignment horizontal="left" vertical="center"/>
    </xf>
    <xf numFmtId="0" fontId="31" fillId="5" borderId="5" xfId="0" applyFont="1" applyFill="1" applyBorder="1" applyAlignment="1">
      <alignment horizontal="left" vertical="center"/>
    </xf>
    <xf numFmtId="0" fontId="31" fillId="5" borderId="5" xfId="0" applyFont="1" applyFill="1" applyBorder="1" applyAlignment="1">
      <alignment vertical="center"/>
    </xf>
    <xf numFmtId="0" fontId="38" fillId="5" borderId="16" xfId="0" applyFont="1" applyFill="1" applyBorder="1"/>
    <xf numFmtId="0" fontId="38" fillId="11" borderId="60" xfId="0" applyFont="1" applyFill="1" applyBorder="1"/>
    <xf numFmtId="0" fontId="38" fillId="11" borderId="4" xfId="0" applyFont="1" applyFill="1" applyBorder="1"/>
    <xf numFmtId="0" fontId="31" fillId="5" borderId="0" xfId="0" applyFont="1" applyFill="1"/>
    <xf numFmtId="0" fontId="31" fillId="5" borderId="5" xfId="0" applyFont="1" applyFill="1" applyBorder="1" applyAlignment="1">
      <alignment horizontal="left" vertical="top"/>
    </xf>
    <xf numFmtId="0" fontId="38" fillId="11" borderId="0" xfId="0" applyFont="1" applyFill="1" applyAlignment="1">
      <alignment horizontal="center"/>
    </xf>
    <xf numFmtId="0" fontId="31" fillId="11" borderId="71" xfId="0" applyFont="1" applyFill="1" applyBorder="1"/>
    <xf numFmtId="0" fontId="15" fillId="5" borderId="5" xfId="0" applyFont="1" applyFill="1" applyBorder="1"/>
    <xf numFmtId="0" fontId="31" fillId="5" borderId="5" xfId="0" applyFont="1" applyFill="1" applyBorder="1" applyAlignment="1">
      <alignment horizontal="center"/>
    </xf>
    <xf numFmtId="0" fontId="32" fillId="11" borderId="0" xfId="0" applyFont="1" applyFill="1"/>
    <xf numFmtId="0" fontId="15" fillId="5" borderId="5" xfId="0" applyFont="1" applyFill="1" applyBorder="1" applyAlignment="1">
      <alignment wrapText="1"/>
    </xf>
    <xf numFmtId="2" fontId="15" fillId="5" borderId="5" xfId="0" applyNumberFormat="1" applyFont="1" applyFill="1" applyBorder="1" applyAlignment="1">
      <alignment wrapText="1"/>
    </xf>
    <xf numFmtId="0" fontId="31" fillId="5" borderId="12" xfId="0" applyFont="1" applyFill="1" applyBorder="1" applyAlignment="1">
      <alignment horizontal="center" vertical="center" wrapText="1"/>
    </xf>
    <xf numFmtId="0" fontId="31" fillId="5" borderId="5" xfId="0" applyFont="1" applyFill="1" applyBorder="1" applyAlignment="1">
      <alignment horizontal="center" vertical="center" wrapText="1"/>
    </xf>
    <xf numFmtId="0" fontId="35" fillId="11" borderId="0" xfId="0" applyFont="1" applyFill="1"/>
    <xf numFmtId="0" fontId="31" fillId="11" borderId="0" xfId="0" applyFont="1" applyFill="1" applyAlignment="1">
      <alignment horizontal="center" vertical="center"/>
    </xf>
    <xf numFmtId="0" fontId="35" fillId="11" borderId="0" xfId="0" applyFont="1" applyFill="1" applyAlignment="1">
      <alignment vertical="center"/>
    </xf>
    <xf numFmtId="0" fontId="35" fillId="5" borderId="14" xfId="0" applyFont="1" applyFill="1" applyBorder="1" applyAlignment="1">
      <alignment horizontal="center" vertical="center" wrapText="1"/>
    </xf>
    <xf numFmtId="0" fontId="35" fillId="5" borderId="17" xfId="0" applyFont="1" applyFill="1" applyBorder="1" applyAlignment="1">
      <alignment horizontal="center" vertical="center" wrapText="1"/>
    </xf>
    <xf numFmtId="0" fontId="35" fillId="5" borderId="19" xfId="0" applyFont="1" applyFill="1" applyBorder="1" applyAlignment="1">
      <alignment horizontal="center" vertical="center" wrapText="1"/>
    </xf>
    <xf numFmtId="0" fontId="35" fillId="11" borderId="0" xfId="0" applyFont="1" applyFill="1" applyAlignment="1">
      <alignment vertical="center" wrapText="1"/>
    </xf>
    <xf numFmtId="0" fontId="31" fillId="6" borderId="5" xfId="0" applyFont="1" applyFill="1" applyBorder="1"/>
    <xf numFmtId="0" fontId="31" fillId="2" borderId="0" xfId="0" applyFont="1" applyFill="1"/>
    <xf numFmtId="0" fontId="35" fillId="5" borderId="12" xfId="0" applyFont="1" applyFill="1" applyBorder="1" applyAlignment="1">
      <alignment horizontal="center" vertical="center" wrapText="1"/>
    </xf>
    <xf numFmtId="0" fontId="31" fillId="0" borderId="21" xfId="0" applyFont="1" applyBorder="1" applyAlignment="1" applyProtection="1">
      <alignment horizontal="center" vertical="center" wrapText="1"/>
      <protection locked="0"/>
    </xf>
    <xf numFmtId="0" fontId="31" fillId="12" borderId="25" xfId="0" applyFont="1" applyFill="1" applyBorder="1" applyAlignment="1">
      <alignment horizontal="center" vertical="center" wrapText="1"/>
    </xf>
    <xf numFmtId="0" fontId="31" fillId="12" borderId="26" xfId="0" applyFont="1" applyFill="1" applyBorder="1" applyAlignment="1">
      <alignment horizontal="center" vertical="center" wrapText="1"/>
    </xf>
    <xf numFmtId="0" fontId="31" fillId="3" borderId="25" xfId="0" applyFont="1" applyFill="1" applyBorder="1" applyAlignment="1" applyProtection="1">
      <alignment horizontal="center" vertical="center" wrapText="1"/>
      <protection locked="0"/>
    </xf>
    <xf numFmtId="0" fontId="31" fillId="0" borderId="12" xfId="0" applyFont="1" applyBorder="1" applyAlignment="1" applyProtection="1">
      <alignment horizontal="center" vertical="center" wrapText="1"/>
      <protection locked="0"/>
    </xf>
    <xf numFmtId="0" fontId="31" fillId="12" borderId="5" xfId="0" applyFont="1" applyFill="1" applyBorder="1" applyAlignment="1">
      <alignment horizontal="center" vertical="center" wrapText="1"/>
    </xf>
    <xf numFmtId="0" fontId="31" fillId="3" borderId="25" xfId="0" applyFont="1" applyFill="1" applyBorder="1" applyAlignment="1" applyProtection="1">
      <alignment wrapText="1"/>
      <protection locked="0"/>
    </xf>
    <xf numFmtId="0" fontId="31" fillId="3" borderId="26" xfId="0" applyFont="1" applyFill="1" applyBorder="1" applyAlignment="1" applyProtection="1">
      <alignment wrapText="1"/>
      <protection locked="0"/>
    </xf>
    <xf numFmtId="0" fontId="31" fillId="3" borderId="12" xfId="0" applyFont="1" applyFill="1" applyBorder="1" applyAlignment="1" applyProtection="1">
      <alignment wrapText="1"/>
      <protection locked="0"/>
    </xf>
    <xf numFmtId="0" fontId="31" fillId="3" borderId="21" xfId="0" applyFont="1" applyFill="1" applyBorder="1" applyAlignment="1" applyProtection="1">
      <alignment wrapText="1"/>
      <protection locked="0"/>
    </xf>
    <xf numFmtId="0" fontId="31" fillId="3" borderId="21" xfId="0" applyFont="1" applyFill="1" applyBorder="1" applyAlignment="1" applyProtection="1">
      <alignment horizontal="center" vertical="center" wrapText="1"/>
      <protection locked="0"/>
    </xf>
    <xf numFmtId="0" fontId="31" fillId="3" borderId="12" xfId="0" applyFont="1" applyFill="1" applyBorder="1" applyAlignment="1" applyProtection="1">
      <alignment horizontal="center" vertical="center" wrapText="1"/>
      <protection locked="0"/>
    </xf>
    <xf numFmtId="0" fontId="31" fillId="3" borderId="4" xfId="0" applyFont="1" applyFill="1" applyBorder="1" applyAlignment="1" applyProtection="1">
      <alignment horizontal="center" vertical="center" wrapText="1"/>
      <protection locked="0"/>
    </xf>
    <xf numFmtId="0" fontId="31" fillId="11" borderId="5" xfId="0" applyFont="1" applyFill="1" applyBorder="1"/>
    <xf numFmtId="0" fontId="31" fillId="3" borderId="2" xfId="0" applyFont="1" applyFill="1" applyBorder="1" applyAlignment="1" applyProtection="1">
      <alignment horizontal="center" vertical="center" wrapText="1"/>
      <protection locked="0"/>
    </xf>
    <xf numFmtId="0" fontId="35" fillId="5" borderId="13" xfId="0" applyFont="1" applyFill="1" applyBorder="1" applyAlignment="1">
      <alignment horizontal="center" vertical="center" wrapText="1"/>
    </xf>
    <xf numFmtId="0" fontId="39" fillId="3" borderId="18" xfId="0" applyFont="1" applyFill="1" applyBorder="1" applyProtection="1">
      <protection locked="0"/>
    </xf>
    <xf numFmtId="0" fontId="31" fillId="3" borderId="22" xfId="0" applyFont="1" applyFill="1" applyBorder="1" applyAlignment="1" applyProtection="1">
      <alignment horizontal="center" vertical="center" wrapText="1"/>
      <protection locked="0"/>
    </xf>
    <xf numFmtId="0" fontId="31" fillId="3" borderId="13" xfId="0" applyFont="1" applyFill="1" applyBorder="1" applyAlignment="1" applyProtection="1">
      <alignment horizontal="center" vertical="center" wrapText="1"/>
      <protection locked="0"/>
    </xf>
    <xf numFmtId="0" fontId="31" fillId="3" borderId="13" xfId="0" applyFont="1" applyFill="1" applyBorder="1" applyAlignment="1" applyProtection="1">
      <alignment wrapText="1"/>
      <protection locked="0"/>
    </xf>
    <xf numFmtId="0" fontId="31" fillId="3" borderId="22" xfId="0" applyFont="1" applyFill="1" applyBorder="1" applyAlignment="1" applyProtection="1">
      <alignment wrapText="1"/>
      <protection locked="0"/>
    </xf>
    <xf numFmtId="0" fontId="35" fillId="5" borderId="8" xfId="0" applyFont="1" applyFill="1" applyBorder="1" applyAlignment="1">
      <alignment horizontal="center" vertical="center" wrapText="1"/>
    </xf>
    <xf numFmtId="0" fontId="35" fillId="11" borderId="0" xfId="0" applyFont="1" applyFill="1" applyAlignment="1">
      <alignment horizontal="center" vertical="center" wrapText="1"/>
    </xf>
    <xf numFmtId="0" fontId="35" fillId="5" borderId="29" xfId="0" applyFont="1" applyFill="1" applyBorder="1" applyAlignment="1">
      <alignment horizontal="center" vertical="center" wrapText="1"/>
    </xf>
    <xf numFmtId="0" fontId="39" fillId="0" borderId="42" xfId="0" applyFont="1" applyBorder="1" applyProtection="1">
      <protection locked="0"/>
    </xf>
    <xf numFmtId="0" fontId="31" fillId="3" borderId="14" xfId="0" applyFont="1" applyFill="1" applyBorder="1" applyAlignment="1" applyProtection="1">
      <alignment wrapText="1"/>
      <protection locked="0"/>
    </xf>
    <xf numFmtId="0" fontId="31" fillId="3" borderId="19" xfId="0" applyFont="1" applyFill="1" applyBorder="1" applyAlignment="1" applyProtection="1">
      <alignment wrapText="1"/>
      <protection locked="0"/>
    </xf>
    <xf numFmtId="0" fontId="39" fillId="3" borderId="42" xfId="0" applyFont="1" applyFill="1" applyBorder="1" applyProtection="1">
      <protection locked="0"/>
    </xf>
    <xf numFmtId="0" fontId="31" fillId="3" borderId="26" xfId="0" applyFont="1" applyFill="1" applyBorder="1" applyAlignment="1" applyProtection="1">
      <alignment horizontal="center" vertical="center" wrapText="1"/>
      <protection locked="0"/>
    </xf>
    <xf numFmtId="0" fontId="35" fillId="5" borderId="9" xfId="0" applyFont="1" applyFill="1" applyBorder="1" applyAlignment="1">
      <alignment horizontal="center" vertical="center" wrapText="1"/>
    </xf>
    <xf numFmtId="0" fontId="14" fillId="5" borderId="4" xfId="0" applyFont="1" applyFill="1" applyBorder="1" applyAlignment="1">
      <alignment vertical="center" wrapText="1"/>
    </xf>
    <xf numFmtId="0" fontId="31" fillId="3" borderId="0" xfId="0" applyFont="1" applyFill="1"/>
    <xf numFmtId="0" fontId="35" fillId="5" borderId="54" xfId="0" applyFont="1" applyFill="1" applyBorder="1"/>
    <xf numFmtId="0" fontId="35" fillId="5" borderId="11" xfId="0" applyFont="1" applyFill="1" applyBorder="1" applyAlignment="1">
      <alignment horizontal="center" vertical="center" wrapText="1"/>
    </xf>
    <xf numFmtId="0" fontId="35" fillId="5" borderId="10" xfId="0" applyFont="1" applyFill="1" applyBorder="1" applyAlignment="1">
      <alignment horizontal="center" vertical="center" wrapText="1"/>
    </xf>
    <xf numFmtId="0" fontId="35" fillId="5" borderId="24" xfId="0" applyFont="1" applyFill="1" applyBorder="1" applyAlignment="1">
      <alignment horizontal="center" vertical="center" wrapText="1"/>
    </xf>
    <xf numFmtId="0" fontId="31" fillId="5" borderId="5" xfId="0" applyFont="1" applyFill="1" applyBorder="1" applyAlignment="1">
      <alignment horizontal="left" textRotation="90" wrapText="1"/>
    </xf>
    <xf numFmtId="0" fontId="39" fillId="5" borderId="5" xfId="0" applyFont="1" applyFill="1" applyBorder="1" applyAlignment="1">
      <alignment vertical="center" textRotation="90" wrapText="1"/>
    </xf>
    <xf numFmtId="0" fontId="14" fillId="5" borderId="6" xfId="0" applyFont="1" applyFill="1" applyBorder="1" applyAlignment="1">
      <alignment vertical="center" wrapText="1"/>
    </xf>
    <xf numFmtId="0" fontId="31" fillId="11" borderId="0" xfId="0" applyFont="1" applyFill="1" applyAlignment="1">
      <alignment horizontal="left" vertical="top" wrapText="1"/>
    </xf>
    <xf numFmtId="0" fontId="31" fillId="5" borderId="54" xfId="0" applyFont="1" applyFill="1" applyBorder="1" applyAlignment="1">
      <alignment horizontal="left" vertical="top" wrapText="1"/>
    </xf>
    <xf numFmtId="0" fontId="31" fillId="5" borderId="25" xfId="0" applyFont="1" applyFill="1" applyBorder="1" applyAlignment="1">
      <alignment vertical="center"/>
    </xf>
    <xf numFmtId="0" fontId="31" fillId="12" borderId="13" xfId="0" applyFont="1" applyFill="1" applyBorder="1"/>
    <xf numFmtId="0" fontId="31" fillId="12" borderId="12" xfId="0" applyFont="1" applyFill="1" applyBorder="1" applyAlignment="1">
      <alignment horizontal="center" vertical="center" wrapText="1"/>
    </xf>
    <xf numFmtId="0" fontId="31" fillId="12" borderId="5" xfId="0" applyFont="1" applyFill="1" applyBorder="1" applyAlignment="1">
      <alignment horizontal="center" vertical="center"/>
    </xf>
    <xf numFmtId="0" fontId="31" fillId="12" borderId="13" xfId="0" applyFont="1" applyFill="1" applyBorder="1" applyAlignment="1">
      <alignment horizontal="center" vertical="center" wrapText="1"/>
    </xf>
    <xf numFmtId="0" fontId="31" fillId="11" borderId="50" xfId="0" applyFont="1" applyFill="1" applyBorder="1"/>
    <xf numFmtId="0" fontId="20" fillId="11" borderId="0" xfId="0" applyFont="1" applyFill="1"/>
    <xf numFmtId="0" fontId="31" fillId="3" borderId="42" xfId="0" applyFont="1" applyFill="1" applyBorder="1" applyAlignment="1" applyProtection="1">
      <alignment horizontal="center" vertical="center" wrapText="1"/>
      <protection locked="0"/>
    </xf>
    <xf numFmtId="2" fontId="31" fillId="3" borderId="4" xfId="0" applyNumberFormat="1" applyFont="1" applyFill="1" applyBorder="1" applyAlignment="1" applyProtection="1">
      <alignment horizontal="center" vertical="center" wrapText="1"/>
      <protection locked="0"/>
    </xf>
    <xf numFmtId="0" fontId="31" fillId="11" borderId="59" xfId="0" applyFont="1" applyFill="1" applyBorder="1"/>
    <xf numFmtId="0" fontId="31" fillId="3" borderId="6" xfId="0" applyFont="1" applyFill="1" applyBorder="1" applyAlignment="1" applyProtection="1">
      <alignment horizontal="center" vertical="center" wrapText="1"/>
      <protection locked="0"/>
    </xf>
    <xf numFmtId="0" fontId="35" fillId="11" borderId="34" xfId="0" applyFont="1" applyFill="1" applyBorder="1"/>
    <xf numFmtId="0" fontId="35" fillId="5" borderId="42" xfId="0" applyFont="1" applyFill="1" applyBorder="1" applyAlignment="1">
      <alignment horizontal="center" vertical="center" wrapText="1"/>
    </xf>
    <xf numFmtId="0" fontId="31" fillId="3" borderId="5" xfId="0" applyFont="1" applyFill="1" applyBorder="1" applyAlignment="1" applyProtection="1">
      <alignment horizontal="center" vertical="center" wrapText="1"/>
      <protection locked="0"/>
    </xf>
    <xf numFmtId="0" fontId="35" fillId="0" borderId="4" xfId="0" applyFont="1" applyBorder="1" applyAlignment="1" applyProtection="1">
      <alignment horizontal="center" vertical="center" wrapText="1"/>
      <protection locked="0"/>
    </xf>
    <xf numFmtId="0" fontId="35" fillId="3" borderId="4" xfId="0" applyFont="1" applyFill="1" applyBorder="1" applyAlignment="1" applyProtection="1">
      <alignment horizontal="center" vertical="center" wrapText="1"/>
      <protection locked="0"/>
    </xf>
    <xf numFmtId="0" fontId="31" fillId="3" borderId="18" xfId="0" applyFont="1" applyFill="1" applyBorder="1" applyAlignment="1" applyProtection="1">
      <alignment horizontal="center" vertical="center" wrapText="1"/>
      <protection locked="0"/>
    </xf>
    <xf numFmtId="0" fontId="35" fillId="5" borderId="40" xfId="0" applyFont="1" applyFill="1" applyBorder="1" applyAlignment="1">
      <alignment horizontal="center" vertical="center" wrapText="1"/>
    </xf>
    <xf numFmtId="0" fontId="35" fillId="5" borderId="41" xfId="0" applyFont="1" applyFill="1" applyBorder="1" applyAlignment="1">
      <alignment horizontal="center" vertical="center" wrapText="1"/>
    </xf>
    <xf numFmtId="0" fontId="35" fillId="5" borderId="43" xfId="0" applyFont="1" applyFill="1" applyBorder="1" applyAlignment="1">
      <alignment horizontal="center" vertical="center" wrapText="1"/>
    </xf>
    <xf numFmtId="0" fontId="31" fillId="3" borderId="41" xfId="0" applyFont="1" applyFill="1" applyBorder="1" applyAlignment="1" applyProtection="1">
      <alignment horizontal="center" vertical="center" wrapText="1"/>
      <protection locked="0"/>
    </xf>
    <xf numFmtId="0" fontId="31" fillId="3" borderId="66" xfId="0" applyFont="1" applyFill="1" applyBorder="1" applyAlignment="1" applyProtection="1">
      <alignment horizontal="center" vertical="center" wrapText="1"/>
      <protection locked="0"/>
    </xf>
    <xf numFmtId="0" fontId="26" fillId="11" borderId="0" xfId="0" applyFont="1" applyFill="1"/>
    <xf numFmtId="0" fontId="35" fillId="5" borderId="66" xfId="0" applyFont="1" applyFill="1" applyBorder="1" applyAlignment="1">
      <alignment horizontal="center" vertical="center" wrapText="1"/>
    </xf>
    <xf numFmtId="0" fontId="35" fillId="5" borderId="0" xfId="0" applyFont="1" applyFill="1" applyAlignment="1">
      <alignment horizontal="center" vertical="center" wrapText="1"/>
    </xf>
    <xf numFmtId="0" fontId="31" fillId="11" borderId="5" xfId="0" applyFont="1" applyFill="1" applyBorder="1" applyAlignment="1">
      <alignment horizontal="center" vertical="center"/>
    </xf>
    <xf numFmtId="0" fontId="31" fillId="5" borderId="18" xfId="0" applyFont="1" applyFill="1" applyBorder="1" applyAlignment="1">
      <alignment horizontal="left" vertical="top"/>
    </xf>
    <xf numFmtId="0" fontId="31" fillId="5" borderId="42" xfId="0" applyFont="1" applyFill="1" applyBorder="1" applyAlignment="1">
      <alignment horizontal="left" vertical="top"/>
    </xf>
    <xf numFmtId="0" fontId="31" fillId="5" borderId="10" xfId="0" applyFont="1" applyFill="1" applyBorder="1" applyAlignment="1">
      <alignment horizontal="left" vertical="top"/>
    </xf>
    <xf numFmtId="0" fontId="31" fillId="5" borderId="18" xfId="0" applyFont="1" applyFill="1" applyBorder="1" applyAlignment="1">
      <alignment wrapText="1"/>
    </xf>
    <xf numFmtId="0" fontId="31" fillId="5" borderId="42" xfId="0" applyFont="1" applyFill="1" applyBorder="1" applyAlignment="1">
      <alignment wrapText="1"/>
    </xf>
    <xf numFmtId="0" fontId="35" fillId="11" borderId="27" xfId="0" applyFont="1" applyFill="1" applyBorder="1" applyAlignment="1">
      <alignment horizontal="center" vertical="center"/>
    </xf>
    <xf numFmtId="0" fontId="31" fillId="11" borderId="49" xfId="0" applyFont="1" applyFill="1" applyBorder="1" applyAlignment="1">
      <alignment horizontal="center" vertical="center" wrapText="1"/>
    </xf>
    <xf numFmtId="0" fontId="35" fillId="3" borderId="12" xfId="0" applyFont="1" applyFill="1" applyBorder="1" applyAlignment="1" applyProtection="1">
      <alignment horizontal="center" vertical="center" wrapText="1"/>
      <protection locked="0"/>
    </xf>
    <xf numFmtId="0" fontId="35" fillId="3" borderId="21" xfId="0" applyFont="1" applyFill="1" applyBorder="1" applyAlignment="1" applyProtection="1">
      <alignment horizontal="center" vertical="center" wrapText="1"/>
      <protection locked="0"/>
    </xf>
    <xf numFmtId="0" fontId="31" fillId="11" borderId="25" xfId="0" applyFont="1" applyFill="1" applyBorder="1" applyAlignment="1">
      <alignment horizontal="center" vertical="center" wrapText="1"/>
    </xf>
    <xf numFmtId="0" fontId="31" fillId="3" borderId="2" xfId="0" applyFont="1" applyFill="1" applyBorder="1" applyAlignment="1" applyProtection="1">
      <alignment wrapText="1"/>
      <protection locked="0"/>
    </xf>
    <xf numFmtId="0" fontId="31" fillId="9" borderId="57" xfId="0" applyFont="1" applyFill="1" applyBorder="1" applyAlignment="1">
      <alignment horizontal="center" vertical="center" wrapText="1"/>
    </xf>
    <xf numFmtId="0" fontId="20" fillId="9" borderId="0" xfId="0" applyFont="1" applyFill="1"/>
    <xf numFmtId="0" fontId="35" fillId="10" borderId="0" xfId="0" applyFont="1" applyFill="1" applyAlignment="1">
      <alignment horizontal="center" vertical="center"/>
    </xf>
    <xf numFmtId="0" fontId="31" fillId="0" borderId="44" xfId="0" applyFont="1" applyBorder="1" applyAlignment="1">
      <alignment horizontal="center" vertical="center" wrapText="1"/>
    </xf>
    <xf numFmtId="0" fontId="35" fillId="0" borderId="12" xfId="0" applyFont="1" applyBorder="1" applyAlignment="1" applyProtection="1">
      <alignment horizontal="center" vertical="center" wrapText="1"/>
      <protection locked="0"/>
    </xf>
    <xf numFmtId="0" fontId="31" fillId="0" borderId="25" xfId="0" applyFont="1" applyBorder="1" applyAlignment="1" applyProtection="1">
      <alignment wrapText="1"/>
      <protection locked="0"/>
    </xf>
    <xf numFmtId="0" fontId="31" fillId="0" borderId="26" xfId="0" applyFont="1" applyBorder="1" applyAlignment="1" applyProtection="1">
      <alignment wrapText="1"/>
      <protection locked="0"/>
    </xf>
    <xf numFmtId="0" fontId="31" fillId="0" borderId="18" xfId="0" applyFont="1" applyBorder="1" applyAlignment="1" applyProtection="1">
      <alignment horizontal="center" vertical="center" wrapText="1"/>
      <protection locked="0"/>
    </xf>
    <xf numFmtId="0" fontId="31" fillId="11" borderId="57" xfId="0" applyFont="1" applyFill="1" applyBorder="1"/>
    <xf numFmtId="0" fontId="31" fillId="3" borderId="5" xfId="0" applyFont="1" applyFill="1" applyBorder="1" applyAlignment="1">
      <alignment horizontal="center" vertical="top" wrapText="1"/>
    </xf>
    <xf numFmtId="0" fontId="15" fillId="9" borderId="0" xfId="0" applyFont="1" applyFill="1"/>
    <xf numFmtId="0" fontId="31" fillId="11" borderId="59" xfId="0" applyFont="1" applyFill="1" applyBorder="1" applyAlignment="1">
      <alignment horizontal="center" vertical="center" wrapText="1"/>
    </xf>
    <xf numFmtId="0" fontId="31" fillId="11" borderId="5" xfId="0" applyFont="1" applyFill="1" applyBorder="1" applyAlignment="1">
      <alignment wrapText="1"/>
    </xf>
    <xf numFmtId="2" fontId="35" fillId="11" borderId="0" xfId="0" applyNumberFormat="1" applyFont="1" applyFill="1" applyAlignment="1">
      <alignment horizontal="center" vertical="center"/>
    </xf>
    <xf numFmtId="0" fontId="25" fillId="9" borderId="0" xfId="0" applyFont="1" applyFill="1"/>
    <xf numFmtId="0" fontId="25" fillId="9" borderId="0" xfId="0" applyFont="1" applyFill="1" applyAlignment="1">
      <alignment horizontal="center" vertical="center"/>
    </xf>
    <xf numFmtId="0" fontId="27" fillId="9" borderId="0" xfId="0" applyFont="1" applyFill="1"/>
    <xf numFmtId="0" fontId="27" fillId="9" borderId="0" xfId="0" applyFont="1" applyFill="1" applyAlignment="1">
      <alignment horizontal="center"/>
    </xf>
    <xf numFmtId="0" fontId="30" fillId="9" borderId="0" xfId="0" applyFont="1" applyFill="1" applyAlignment="1">
      <alignment horizontal="left" vertical="top" wrapText="1"/>
    </xf>
    <xf numFmtId="0" fontId="25" fillId="9" borderId="0" xfId="0" applyFont="1" applyFill="1" applyAlignment="1">
      <alignment horizontal="justify"/>
    </xf>
    <xf numFmtId="0" fontId="39" fillId="0" borderId="42" xfId="0" applyFont="1" applyBorder="1" applyAlignment="1" applyProtection="1">
      <alignment vertical="center"/>
      <protection locked="0"/>
    </xf>
    <xf numFmtId="0" fontId="35" fillId="11" borderId="0" xfId="0" applyFont="1" applyFill="1" applyAlignment="1">
      <alignment wrapText="1"/>
    </xf>
    <xf numFmtId="0" fontId="31" fillId="5" borderId="13" xfId="0" applyFont="1" applyFill="1" applyBorder="1" applyAlignment="1">
      <alignment horizontal="center" vertical="center"/>
    </xf>
    <xf numFmtId="0" fontId="35" fillId="5" borderId="27" xfId="0" applyFont="1" applyFill="1" applyBorder="1" applyAlignment="1">
      <alignment horizontal="center" vertical="center" wrapText="1"/>
    </xf>
    <xf numFmtId="0" fontId="35" fillId="5" borderId="37" xfId="0" applyFont="1" applyFill="1" applyBorder="1" applyAlignment="1">
      <alignment horizontal="center" vertical="center" wrapText="1"/>
    </xf>
    <xf numFmtId="0" fontId="35" fillId="5" borderId="7" xfId="0" applyFont="1" applyFill="1" applyBorder="1" applyAlignment="1">
      <alignment horizontal="center" vertical="center" wrapText="1"/>
    </xf>
    <xf numFmtId="0" fontId="31" fillId="5" borderId="12" xfId="0" applyFont="1" applyFill="1" applyBorder="1" applyAlignment="1">
      <alignment horizontal="center" vertical="center"/>
    </xf>
    <xf numFmtId="0" fontId="35" fillId="3" borderId="42" xfId="0" applyFont="1" applyFill="1" applyBorder="1" applyAlignment="1" applyProtection="1">
      <alignment horizontal="center" vertical="center" wrapText="1"/>
      <protection locked="0"/>
    </xf>
    <xf numFmtId="0" fontId="35" fillId="3" borderId="18" xfId="0" applyFont="1" applyFill="1" applyBorder="1" applyAlignment="1" applyProtection="1">
      <alignment horizontal="center" vertical="center" wrapText="1"/>
      <protection locked="0"/>
    </xf>
    <xf numFmtId="0" fontId="31" fillId="3" borderId="58" xfId="0" applyFont="1" applyFill="1" applyBorder="1" applyAlignment="1" applyProtection="1">
      <alignment horizontal="center" vertical="center" wrapText="1"/>
      <protection locked="0"/>
    </xf>
    <xf numFmtId="0" fontId="17" fillId="11" borderId="0" xfId="0" applyFont="1" applyFill="1" applyAlignment="1">
      <alignment vertical="center" wrapText="1"/>
    </xf>
    <xf numFmtId="0" fontId="22" fillId="11" borderId="0" xfId="0" applyFont="1" applyFill="1"/>
    <xf numFmtId="0" fontId="21" fillId="11" borderId="0" xfId="0" applyFont="1" applyFill="1"/>
    <xf numFmtId="0" fontId="31" fillId="11" borderId="57" xfId="0" applyFont="1" applyFill="1" applyBorder="1" applyAlignment="1">
      <alignment horizontal="center" vertical="center" wrapText="1"/>
    </xf>
    <xf numFmtId="0" fontId="35" fillId="11" borderId="27" xfId="0" applyFont="1" applyFill="1" applyBorder="1" applyAlignment="1">
      <alignment horizontal="center" vertical="center" wrapText="1"/>
    </xf>
    <xf numFmtId="0" fontId="31" fillId="11" borderId="5" xfId="0" applyFont="1" applyFill="1" applyBorder="1" applyAlignment="1">
      <alignment horizontal="center" vertical="center" wrapText="1"/>
    </xf>
    <xf numFmtId="0" fontId="21" fillId="5" borderId="5" xfId="0" applyFont="1" applyFill="1" applyBorder="1"/>
    <xf numFmtId="0" fontId="35" fillId="5" borderId="5" xfId="0" applyFont="1" applyFill="1" applyBorder="1" applyAlignment="1">
      <alignment horizontal="center" vertical="center"/>
    </xf>
    <xf numFmtId="0" fontId="32" fillId="11" borderId="3" xfId="0" applyFont="1" applyFill="1" applyBorder="1"/>
    <xf numFmtId="0" fontId="32" fillId="5" borderId="16" xfId="0" applyFont="1" applyFill="1" applyBorder="1"/>
    <xf numFmtId="0" fontId="35" fillId="5" borderId="5" xfId="0" applyFont="1" applyFill="1" applyBorder="1"/>
    <xf numFmtId="0" fontId="31" fillId="5" borderId="0" xfId="0" applyFont="1" applyFill="1" applyAlignment="1">
      <alignment wrapText="1"/>
    </xf>
    <xf numFmtId="0" fontId="35" fillId="5" borderId="0" xfId="0" applyFont="1" applyFill="1" applyAlignment="1">
      <alignment wrapText="1"/>
    </xf>
    <xf numFmtId="0" fontId="17" fillId="5" borderId="4" xfId="0" applyFont="1" applyFill="1" applyBorder="1"/>
    <xf numFmtId="0" fontId="35" fillId="5" borderId="42" xfId="0" applyFont="1" applyFill="1" applyBorder="1" applyAlignment="1">
      <alignment horizontal="center" vertical="center"/>
    </xf>
    <xf numFmtId="17" fontId="31" fillId="5" borderId="5" xfId="0" applyNumberFormat="1" applyFont="1" applyFill="1" applyBorder="1" applyAlignment="1">
      <alignment horizontal="center" vertical="center" wrapText="1"/>
    </xf>
    <xf numFmtId="0" fontId="14" fillId="11" borderId="71" xfId="0" applyFont="1" applyFill="1" applyBorder="1" applyAlignment="1">
      <alignment vertical="center"/>
    </xf>
    <xf numFmtId="0" fontId="31" fillId="5" borderId="9" xfId="0" applyFont="1" applyFill="1" applyBorder="1"/>
    <xf numFmtId="0" fontId="31" fillId="5" borderId="11" xfId="0" applyFont="1" applyFill="1" applyBorder="1"/>
    <xf numFmtId="0" fontId="35" fillId="5" borderId="28" xfId="0" applyFont="1" applyFill="1" applyBorder="1"/>
    <xf numFmtId="0" fontId="35" fillId="5" borderId="73" xfId="0" applyFont="1" applyFill="1" applyBorder="1" applyAlignment="1">
      <alignment vertical="center" wrapText="1"/>
    </xf>
    <xf numFmtId="0" fontId="35" fillId="5" borderId="37" xfId="0" applyFont="1" applyFill="1" applyBorder="1" applyAlignment="1">
      <alignment vertical="center" wrapText="1"/>
    </xf>
    <xf numFmtId="0" fontId="31" fillId="5" borderId="10" xfId="0" applyFont="1" applyFill="1" applyBorder="1"/>
    <xf numFmtId="0" fontId="31" fillId="5" borderId="25" xfId="0" applyFont="1" applyFill="1" applyBorder="1"/>
    <xf numFmtId="0" fontId="31" fillId="12" borderId="26" xfId="0" applyFont="1" applyFill="1" applyBorder="1"/>
    <xf numFmtId="0" fontId="31" fillId="5" borderId="10" xfId="0" applyFont="1" applyFill="1" applyBorder="1" applyAlignment="1">
      <alignment horizontal="center" vertical="center" wrapText="1"/>
    </xf>
    <xf numFmtId="0" fontId="31" fillId="5" borderId="25" xfId="0" applyFont="1" applyFill="1" applyBorder="1" applyAlignment="1">
      <alignment horizontal="center" vertical="center" wrapText="1"/>
    </xf>
    <xf numFmtId="0" fontId="31" fillId="0" borderId="21" xfId="0" applyFont="1" applyBorder="1"/>
    <xf numFmtId="0" fontId="31" fillId="0" borderId="22" xfId="0" applyFont="1" applyBorder="1"/>
    <xf numFmtId="0" fontId="35" fillId="11" borderId="5" xfId="0" applyFont="1" applyFill="1" applyBorder="1" applyAlignment="1">
      <alignment horizontal="center" vertical="center"/>
    </xf>
    <xf numFmtId="0" fontId="32" fillId="11" borderId="65" xfId="0" applyFont="1" applyFill="1" applyBorder="1"/>
    <xf numFmtId="0" fontId="36" fillId="11" borderId="0" xfId="10" applyFont="1" applyFill="1" applyAlignment="1">
      <alignment vertical="center" wrapText="1"/>
    </xf>
    <xf numFmtId="0" fontId="36" fillId="11" borderId="68" xfId="10" applyFont="1" applyFill="1" applyBorder="1" applyAlignment="1">
      <alignment vertical="center" wrapText="1"/>
    </xf>
    <xf numFmtId="0" fontId="40" fillId="5" borderId="5" xfId="0" applyFont="1" applyFill="1" applyBorder="1" applyAlignment="1">
      <alignment vertical="center" wrapText="1"/>
    </xf>
    <xf numFmtId="0" fontId="21" fillId="5" borderId="6" xfId="0" applyFont="1" applyFill="1" applyBorder="1"/>
    <xf numFmtId="0" fontId="35" fillId="3" borderId="32" xfId="0" applyFont="1" applyFill="1" applyBorder="1" applyAlignment="1" applyProtection="1">
      <alignment horizontal="center" vertical="center" wrapText="1"/>
      <protection locked="0"/>
    </xf>
    <xf numFmtId="2" fontId="31" fillId="11" borderId="0" xfId="0" applyNumberFormat="1" applyFont="1" applyFill="1" applyAlignment="1">
      <alignment vertical="center"/>
    </xf>
    <xf numFmtId="0" fontId="31" fillId="0" borderId="13" xfId="0" applyFont="1" applyBorder="1" applyAlignment="1" applyProtection="1">
      <alignment horizontal="center" vertical="center" wrapText="1"/>
      <protection locked="0"/>
    </xf>
    <xf numFmtId="0" fontId="31" fillId="0" borderId="58" xfId="0" applyFont="1" applyBorder="1" applyAlignment="1" applyProtection="1">
      <alignment horizontal="center" vertical="center" wrapText="1"/>
      <protection locked="0"/>
    </xf>
    <xf numFmtId="0" fontId="31" fillId="0" borderId="22" xfId="0" applyFont="1" applyBorder="1" applyAlignment="1" applyProtection="1">
      <alignment horizontal="center" vertical="center" wrapText="1"/>
      <protection locked="0"/>
    </xf>
    <xf numFmtId="0" fontId="31" fillId="0" borderId="13" xfId="0" applyFont="1" applyBorder="1" applyAlignment="1" applyProtection="1">
      <alignment wrapText="1"/>
      <protection locked="0"/>
    </xf>
    <xf numFmtId="0" fontId="31" fillId="0" borderId="22" xfId="0" applyFont="1" applyBorder="1" applyAlignment="1" applyProtection="1">
      <alignment wrapText="1"/>
      <protection locked="0"/>
    </xf>
    <xf numFmtId="0" fontId="35" fillId="11" borderId="33" xfId="0" applyFont="1" applyFill="1" applyBorder="1" applyAlignment="1">
      <alignment horizontal="center" vertical="center" wrapText="1"/>
    </xf>
    <xf numFmtId="0" fontId="47" fillId="5" borderId="0" xfId="0" applyFont="1" applyFill="1"/>
    <xf numFmtId="0" fontId="31" fillId="5" borderId="5" xfId="0" applyFont="1" applyFill="1" applyBorder="1" applyAlignment="1">
      <alignment horizontal="center" vertical="top"/>
    </xf>
    <xf numFmtId="0" fontId="31" fillId="5" borderId="5" xfId="0" applyFont="1" applyFill="1" applyBorder="1" applyAlignment="1">
      <alignment vertical="top"/>
    </xf>
    <xf numFmtId="0" fontId="31" fillId="10" borderId="5" xfId="0" applyFont="1" applyFill="1" applyBorder="1" applyAlignment="1">
      <alignment horizontal="center" vertical="center" wrapText="1"/>
    </xf>
    <xf numFmtId="0" fontId="35" fillId="9" borderId="34" xfId="0" applyFont="1" applyFill="1" applyBorder="1" applyAlignment="1">
      <alignment horizontal="center" vertical="center" wrapText="1"/>
    </xf>
    <xf numFmtId="0" fontId="31" fillId="0" borderId="66" xfId="0" applyFont="1" applyBorder="1" applyAlignment="1" applyProtection="1">
      <alignment horizontal="center" vertical="center" wrapText="1"/>
      <protection locked="0"/>
    </xf>
    <xf numFmtId="0" fontId="31" fillId="5" borderId="51" xfId="0" applyFont="1" applyFill="1" applyBorder="1" applyAlignment="1">
      <alignment horizontal="center"/>
    </xf>
    <xf numFmtId="0" fontId="31" fillId="5" borderId="13" xfId="0" applyFont="1" applyFill="1" applyBorder="1" applyAlignment="1">
      <alignment vertical="center" wrapText="1"/>
    </xf>
    <xf numFmtId="0" fontId="31" fillId="10" borderId="25" xfId="0" applyFont="1" applyFill="1" applyBorder="1" applyAlignment="1">
      <alignment horizontal="center" vertical="center"/>
    </xf>
    <xf numFmtId="0" fontId="31" fillId="10" borderId="12" xfId="0" applyFont="1" applyFill="1" applyBorder="1" applyAlignment="1">
      <alignment horizontal="center" vertical="center"/>
    </xf>
    <xf numFmtId="0" fontId="31" fillId="10" borderId="5" xfId="0" applyFont="1" applyFill="1" applyBorder="1" applyAlignment="1">
      <alignment horizontal="center" vertical="center"/>
    </xf>
    <xf numFmtId="0" fontId="31" fillId="10" borderId="13" xfId="0" applyFont="1" applyFill="1" applyBorder="1" applyAlignment="1">
      <alignment horizontal="center" vertical="center"/>
    </xf>
    <xf numFmtId="0" fontId="31" fillId="10" borderId="18" xfId="0" applyFont="1" applyFill="1" applyBorder="1" applyAlignment="1">
      <alignment horizontal="center" vertical="center"/>
    </xf>
    <xf numFmtId="0" fontId="15" fillId="5" borderId="7" xfId="0" applyFont="1" applyFill="1" applyBorder="1" applyAlignment="1">
      <alignment horizontal="center" vertical="center" wrapText="1"/>
    </xf>
    <xf numFmtId="0" fontId="15" fillId="5" borderId="73" xfId="0" applyFont="1" applyFill="1" applyBorder="1" applyAlignment="1">
      <alignment horizontal="center" vertical="center" wrapText="1"/>
    </xf>
    <xf numFmtId="0" fontId="15" fillId="5" borderId="37" xfId="0" applyFont="1" applyFill="1" applyBorder="1" applyAlignment="1">
      <alignment horizontal="center" vertical="center" wrapText="1"/>
    </xf>
    <xf numFmtId="0" fontId="31" fillId="10" borderId="14" xfId="0" applyFont="1" applyFill="1" applyBorder="1" applyAlignment="1">
      <alignment horizontal="center" vertical="center"/>
    </xf>
    <xf numFmtId="0" fontId="31" fillId="10" borderId="17" xfId="0" applyFont="1" applyFill="1" applyBorder="1" applyAlignment="1">
      <alignment horizontal="center" vertical="center"/>
    </xf>
    <xf numFmtId="0" fontId="31" fillId="10" borderId="9" xfId="0" applyFont="1" applyFill="1" applyBorder="1" applyAlignment="1">
      <alignment horizontal="center" vertical="center"/>
    </xf>
    <xf numFmtId="0" fontId="31" fillId="10" borderId="10" xfId="0" applyFont="1" applyFill="1" applyBorder="1" applyAlignment="1">
      <alignment horizontal="center" vertical="center"/>
    </xf>
    <xf numFmtId="0" fontId="31" fillId="5" borderId="7" xfId="0" applyFont="1" applyFill="1" applyBorder="1" applyAlignment="1">
      <alignment horizontal="center" vertical="center" wrapText="1"/>
    </xf>
    <xf numFmtId="0" fontId="38" fillId="5" borderId="5" xfId="0" applyFont="1" applyFill="1" applyBorder="1" applyAlignment="1">
      <alignment horizontal="center"/>
    </xf>
    <xf numFmtId="0" fontId="35" fillId="10" borderId="23" xfId="0" applyFont="1" applyFill="1" applyBorder="1" applyAlignment="1">
      <alignment horizontal="center" vertical="center" wrapText="1"/>
    </xf>
    <xf numFmtId="0" fontId="35" fillId="10" borderId="34" xfId="0" applyFont="1" applyFill="1" applyBorder="1" applyAlignment="1">
      <alignment horizontal="center" vertical="center" wrapText="1"/>
    </xf>
    <xf numFmtId="0" fontId="35" fillId="10" borderId="14" xfId="0" applyFont="1" applyFill="1" applyBorder="1" applyAlignment="1">
      <alignment horizontal="center" vertical="center" wrapText="1"/>
    </xf>
    <xf numFmtId="0" fontId="35" fillId="10" borderId="12" xfId="0" applyFont="1" applyFill="1" applyBorder="1" applyAlignment="1">
      <alignment horizontal="center" vertical="center" wrapText="1"/>
    </xf>
    <xf numFmtId="0" fontId="35" fillId="10" borderId="19" xfId="0" applyFont="1" applyFill="1" applyBorder="1" applyAlignment="1">
      <alignment horizontal="center" vertical="center" wrapText="1"/>
    </xf>
    <xf numFmtId="0" fontId="35" fillId="10" borderId="21" xfId="0" applyFont="1" applyFill="1" applyBorder="1" applyAlignment="1">
      <alignment horizontal="center" vertical="center" wrapText="1"/>
    </xf>
    <xf numFmtId="0" fontId="35" fillId="10" borderId="17" xfId="0" applyFont="1" applyFill="1" applyBorder="1" applyAlignment="1">
      <alignment horizontal="center" vertical="center" wrapText="1"/>
    </xf>
    <xf numFmtId="0" fontId="35" fillId="5" borderId="25" xfId="0" applyFont="1" applyFill="1" applyBorder="1" applyAlignment="1">
      <alignment horizontal="center" vertical="center" wrapText="1"/>
    </xf>
    <xf numFmtId="0" fontId="35" fillId="10" borderId="48" xfId="0" applyFont="1" applyFill="1" applyBorder="1" applyAlignment="1">
      <alignment horizontal="center" vertical="center" wrapText="1"/>
    </xf>
    <xf numFmtId="0" fontId="31" fillId="0" borderId="72" xfId="0" applyFont="1" applyBorder="1" applyAlignment="1" applyProtection="1">
      <alignment horizontal="center" vertical="center" wrapText="1"/>
      <protection locked="0"/>
    </xf>
    <xf numFmtId="0" fontId="31" fillId="0" borderId="69" xfId="0" applyFont="1" applyBorder="1" applyAlignment="1" applyProtection="1">
      <alignment horizontal="center" vertical="center" wrapText="1"/>
      <protection locked="0"/>
    </xf>
    <xf numFmtId="0" fontId="31" fillId="3" borderId="42" xfId="0" applyFont="1" applyFill="1" applyBorder="1" applyAlignment="1">
      <alignment horizontal="center" vertical="top"/>
    </xf>
    <xf numFmtId="0" fontId="31" fillId="8" borderId="42" xfId="0" applyFont="1" applyFill="1" applyBorder="1" applyAlignment="1">
      <alignment horizontal="center" vertical="top" wrapText="1"/>
    </xf>
    <xf numFmtId="0" fontId="35" fillId="10" borderId="25" xfId="0" applyFont="1" applyFill="1" applyBorder="1" applyAlignment="1">
      <alignment horizontal="center" vertical="center" wrapText="1"/>
    </xf>
    <xf numFmtId="0" fontId="35" fillId="10" borderId="26" xfId="0" applyFont="1" applyFill="1" applyBorder="1" applyAlignment="1">
      <alignment horizontal="center" vertical="center" wrapText="1"/>
    </xf>
    <xf numFmtId="0" fontId="31" fillId="9" borderId="4" xfId="0" applyFont="1" applyFill="1" applyBorder="1"/>
    <xf numFmtId="0" fontId="31" fillId="3" borderId="16" xfId="0" applyFont="1" applyFill="1" applyBorder="1" applyAlignment="1" applyProtection="1">
      <alignment horizontal="center" vertical="center" wrapText="1"/>
      <protection locked="0"/>
    </xf>
    <xf numFmtId="0" fontId="31" fillId="3" borderId="63" xfId="0" applyFont="1" applyFill="1" applyBorder="1" applyAlignment="1" applyProtection="1">
      <alignment horizontal="center" vertical="center" wrapText="1"/>
      <protection locked="0"/>
    </xf>
    <xf numFmtId="0" fontId="35" fillId="9" borderId="0" xfId="0" applyFont="1" applyFill="1" applyAlignment="1">
      <alignment wrapText="1"/>
    </xf>
    <xf numFmtId="0" fontId="35" fillId="10" borderId="69" xfId="0" applyFont="1" applyFill="1" applyBorder="1" applyAlignment="1">
      <alignment horizontal="center" vertical="center" wrapText="1"/>
    </xf>
    <xf numFmtId="0" fontId="35" fillId="10" borderId="75" xfId="0" applyFont="1" applyFill="1" applyBorder="1" applyAlignment="1">
      <alignment horizontal="center" vertical="center" wrapText="1"/>
    </xf>
    <xf numFmtId="0" fontId="35" fillId="10" borderId="42" xfId="0" applyFont="1" applyFill="1" applyBorder="1" applyAlignment="1">
      <alignment horizontal="center" vertical="center" wrapText="1"/>
    </xf>
    <xf numFmtId="0" fontId="31" fillId="8" borderId="31" xfId="0" applyFont="1" applyFill="1" applyBorder="1" applyAlignment="1">
      <alignment horizontal="center" vertical="top" wrapText="1"/>
    </xf>
    <xf numFmtId="0" fontId="35" fillId="10" borderId="60" xfId="0" applyFont="1" applyFill="1" applyBorder="1" applyAlignment="1">
      <alignment horizontal="center" vertical="center" wrapText="1"/>
    </xf>
    <xf numFmtId="0" fontId="35" fillId="10" borderId="47" xfId="0" applyFont="1" applyFill="1" applyBorder="1"/>
    <xf numFmtId="0" fontId="14" fillId="9" borderId="0" xfId="0" applyFont="1" applyFill="1"/>
    <xf numFmtId="0" fontId="42" fillId="11" borderId="0" xfId="0" applyFont="1" applyFill="1" applyAlignment="1">
      <alignment vertical="center" wrapText="1"/>
    </xf>
    <xf numFmtId="0" fontId="14" fillId="11" borderId="34" xfId="0" applyFont="1" applyFill="1" applyBorder="1"/>
    <xf numFmtId="0" fontId="14" fillId="11" borderId="0" xfId="0" applyFont="1" applyFill="1" applyAlignment="1">
      <alignment vertical="center" wrapText="1"/>
    </xf>
    <xf numFmtId="0" fontId="31" fillId="3" borderId="72" xfId="0" applyFont="1" applyFill="1" applyBorder="1" applyAlignment="1" applyProtection="1">
      <alignment horizontal="center" vertical="center" wrapText="1"/>
      <protection locked="0"/>
    </xf>
    <xf numFmtId="0" fontId="31" fillId="3" borderId="69" xfId="0" applyFont="1" applyFill="1" applyBorder="1" applyAlignment="1" applyProtection="1">
      <alignment horizontal="center" vertical="center" wrapText="1"/>
      <protection locked="0"/>
    </xf>
    <xf numFmtId="0" fontId="31" fillId="3" borderId="55" xfId="0" applyFont="1" applyFill="1" applyBorder="1" applyAlignment="1" applyProtection="1">
      <alignment horizontal="center" vertical="center" wrapText="1"/>
      <protection locked="0"/>
    </xf>
    <xf numFmtId="0" fontId="31" fillId="3" borderId="44" xfId="0" applyFont="1" applyFill="1" applyBorder="1" applyAlignment="1" applyProtection="1">
      <alignment horizontal="center" vertical="center" wrapText="1"/>
      <protection locked="0"/>
    </xf>
    <xf numFmtId="0" fontId="31" fillId="0" borderId="2" xfId="0" applyFont="1" applyBorder="1" applyAlignment="1" applyProtection="1">
      <alignment wrapText="1"/>
      <protection locked="0"/>
    </xf>
    <xf numFmtId="0" fontId="31" fillId="0" borderId="72" xfId="0" applyFont="1" applyBorder="1" applyAlignment="1" applyProtection="1">
      <alignment wrapText="1"/>
      <protection locked="0"/>
    </xf>
    <xf numFmtId="0" fontId="31" fillId="0" borderId="75" xfId="0" applyFont="1" applyBorder="1" applyAlignment="1" applyProtection="1">
      <alignment wrapText="1"/>
      <protection locked="0"/>
    </xf>
    <xf numFmtId="0" fontId="31" fillId="0" borderId="44" xfId="0" applyFont="1" applyBorder="1" applyAlignment="1" applyProtection="1">
      <alignment horizontal="center" vertical="center" wrapText="1"/>
      <protection locked="0"/>
    </xf>
    <xf numFmtId="0" fontId="35" fillId="11" borderId="27" xfId="0" applyFont="1" applyFill="1" applyBorder="1"/>
    <xf numFmtId="0" fontId="35" fillId="11" borderId="27" xfId="0" applyFont="1" applyFill="1" applyBorder="1" applyAlignment="1">
      <alignment horizontal="center" wrapText="1"/>
    </xf>
    <xf numFmtId="0" fontId="31" fillId="0" borderId="41" xfId="0" applyFont="1" applyBorder="1" applyAlignment="1" applyProtection="1">
      <alignment wrapText="1"/>
      <protection locked="0"/>
    </xf>
    <xf numFmtId="0" fontId="31" fillId="9" borderId="27" xfId="0" applyFont="1" applyFill="1" applyBorder="1"/>
    <xf numFmtId="0" fontId="31" fillId="0" borderId="41" xfId="0" applyFont="1" applyBorder="1" applyAlignment="1" applyProtection="1">
      <alignment horizontal="center" vertical="center" wrapText="1"/>
      <protection locked="0"/>
    </xf>
    <xf numFmtId="0" fontId="31" fillId="0" borderId="43" xfId="0" applyFont="1" applyBorder="1" applyAlignment="1" applyProtection="1">
      <alignment wrapText="1"/>
      <protection locked="0"/>
    </xf>
    <xf numFmtId="0" fontId="35" fillId="11" borderId="27" xfId="0" applyFont="1" applyFill="1" applyBorder="1" applyAlignment="1">
      <alignment wrapText="1"/>
    </xf>
    <xf numFmtId="0" fontId="35" fillId="11" borderId="56" xfId="0" applyFont="1" applyFill="1" applyBorder="1" applyAlignment="1">
      <alignment horizontal="center" vertical="center" wrapText="1"/>
    </xf>
    <xf numFmtId="0" fontId="26" fillId="11" borderId="0" xfId="0" applyFont="1" applyFill="1" applyAlignment="1">
      <alignment vertical="center"/>
    </xf>
    <xf numFmtId="0" fontId="14" fillId="9" borderId="0" xfId="0" applyFont="1" applyFill="1" applyAlignment="1">
      <alignment vertical="center" wrapText="1"/>
    </xf>
    <xf numFmtId="0" fontId="14" fillId="11" borderId="0" xfId="0" applyFont="1" applyFill="1" applyAlignment="1">
      <alignment wrapText="1"/>
    </xf>
    <xf numFmtId="0" fontId="31" fillId="11" borderId="33" xfId="0" applyFont="1" applyFill="1" applyBorder="1"/>
    <xf numFmtId="0" fontId="0" fillId="11" borderId="0" xfId="0" applyFill="1" applyAlignment="1">
      <alignment vertical="center"/>
    </xf>
    <xf numFmtId="0" fontId="23" fillId="11" borderId="0" xfId="0" applyFont="1" applyFill="1" applyAlignment="1">
      <alignment horizontal="center" vertical="center" wrapText="1"/>
    </xf>
    <xf numFmtId="0" fontId="24" fillId="11" borderId="0" xfId="0" applyFont="1" applyFill="1" applyAlignment="1">
      <alignment horizontal="center" vertical="center" wrapText="1"/>
    </xf>
    <xf numFmtId="2" fontId="14" fillId="11" borderId="0" xfId="0" applyNumberFormat="1" applyFont="1" applyFill="1" applyAlignment="1">
      <alignment horizontal="center" vertical="center" wrapText="1"/>
    </xf>
    <xf numFmtId="0" fontId="31" fillId="0" borderId="42" xfId="0" applyFont="1" applyBorder="1" applyAlignment="1" applyProtection="1">
      <alignment horizontal="center" vertical="center"/>
      <protection locked="0"/>
    </xf>
    <xf numFmtId="0" fontId="31" fillId="3" borderId="42" xfId="0" applyFont="1" applyFill="1" applyBorder="1" applyAlignment="1" applyProtection="1">
      <alignment horizontal="center" vertical="center"/>
      <protection locked="0"/>
    </xf>
    <xf numFmtId="0" fontId="31" fillId="0" borderId="5" xfId="0" applyFont="1" applyBorder="1" applyAlignment="1" applyProtection="1">
      <alignment horizontal="center" vertical="center"/>
      <protection locked="0"/>
    </xf>
    <xf numFmtId="0" fontId="31" fillId="3" borderId="5" xfId="0" applyFont="1" applyFill="1" applyBorder="1" applyAlignment="1" applyProtection="1">
      <alignment horizontal="center" vertical="center"/>
      <protection locked="0"/>
    </xf>
    <xf numFmtId="0" fontId="31" fillId="3" borderId="18" xfId="0" applyFont="1" applyFill="1" applyBorder="1" applyAlignment="1" applyProtection="1">
      <alignment horizontal="center" vertical="center"/>
      <protection locked="0"/>
    </xf>
    <xf numFmtId="2" fontId="35" fillId="20" borderId="8" xfId="0" applyNumberFormat="1" applyFont="1" applyFill="1" applyBorder="1"/>
    <xf numFmtId="2" fontId="35" fillId="20" borderId="52" xfId="0" applyNumberFormat="1" applyFont="1" applyFill="1" applyBorder="1" applyAlignment="1">
      <alignment horizontal="center" vertical="center" wrapText="1"/>
    </xf>
    <xf numFmtId="2" fontId="35" fillId="20" borderId="38" xfId="0" applyNumberFormat="1" applyFont="1" applyFill="1" applyBorder="1" applyAlignment="1">
      <alignment horizontal="center" vertical="center"/>
    </xf>
    <xf numFmtId="2" fontId="31" fillId="20" borderId="30" xfId="0" applyNumberFormat="1" applyFont="1" applyFill="1" applyBorder="1" applyAlignment="1">
      <alignment horizontal="center" vertical="center" wrapText="1"/>
    </xf>
    <xf numFmtId="2" fontId="31" fillId="21" borderId="5" xfId="0" applyNumberFormat="1" applyFont="1" applyFill="1" applyBorder="1" applyAlignment="1">
      <alignment horizontal="center" vertical="center"/>
    </xf>
    <xf numFmtId="2" fontId="31" fillId="21" borderId="21" xfId="0" applyNumberFormat="1" applyFont="1" applyFill="1" applyBorder="1" applyAlignment="1">
      <alignment horizontal="center" vertical="center"/>
    </xf>
    <xf numFmtId="2" fontId="31" fillId="21" borderId="37" xfId="0" applyNumberFormat="1" applyFont="1" applyFill="1" applyBorder="1" applyAlignment="1">
      <alignment horizontal="center" vertical="center" wrapText="1"/>
    </xf>
    <xf numFmtId="2" fontId="31" fillId="21" borderId="42" xfId="0" applyNumberFormat="1" applyFont="1" applyFill="1" applyBorder="1" applyAlignment="1">
      <alignment horizontal="center" vertical="center"/>
    </xf>
    <xf numFmtId="2" fontId="31" fillId="21" borderId="19" xfId="0" applyNumberFormat="1" applyFont="1" applyFill="1" applyBorder="1" applyAlignment="1">
      <alignment horizontal="center" vertical="center" wrapText="1"/>
    </xf>
    <xf numFmtId="2" fontId="31" fillId="21" borderId="22" xfId="0" applyNumberFormat="1" applyFont="1" applyFill="1" applyBorder="1" applyAlignment="1">
      <alignment horizontal="center" vertical="center" wrapText="1"/>
    </xf>
    <xf numFmtId="2" fontId="31" fillId="21" borderId="19" xfId="0" applyNumberFormat="1" applyFont="1" applyFill="1" applyBorder="1" applyAlignment="1">
      <alignment horizontal="center" vertical="center"/>
    </xf>
    <xf numFmtId="2" fontId="31" fillId="21" borderId="21" xfId="0" applyNumberFormat="1" applyFont="1" applyFill="1" applyBorder="1" applyAlignment="1">
      <alignment horizontal="center" vertical="center" wrapText="1"/>
    </xf>
    <xf numFmtId="2" fontId="31" fillId="21" borderId="17" xfId="0" applyNumberFormat="1" applyFont="1" applyFill="1" applyBorder="1" applyAlignment="1">
      <alignment horizontal="center" vertical="center"/>
    </xf>
    <xf numFmtId="2" fontId="31" fillId="21" borderId="18" xfId="0" applyNumberFormat="1" applyFont="1" applyFill="1" applyBorder="1" applyAlignment="1">
      <alignment horizontal="center" vertical="center"/>
    </xf>
    <xf numFmtId="2" fontId="31" fillId="21" borderId="10" xfId="0" applyNumberFormat="1" applyFont="1" applyFill="1" applyBorder="1" applyAlignment="1">
      <alignment horizontal="center" vertical="center"/>
    </xf>
    <xf numFmtId="2" fontId="31" fillId="21" borderId="11" xfId="0" applyNumberFormat="1" applyFont="1" applyFill="1" applyBorder="1" applyAlignment="1">
      <alignment horizontal="center" vertical="center"/>
    </xf>
    <xf numFmtId="2" fontId="31" fillId="21" borderId="5" xfId="0" applyNumberFormat="1" applyFont="1" applyFill="1" applyBorder="1"/>
    <xf numFmtId="2" fontId="31" fillId="21" borderId="66" xfId="0" applyNumberFormat="1" applyFont="1" applyFill="1" applyBorder="1"/>
    <xf numFmtId="2" fontId="31" fillId="21" borderId="66" xfId="0" applyNumberFormat="1" applyFont="1" applyFill="1" applyBorder="1" applyAlignment="1">
      <alignment horizontal="center" vertical="center"/>
    </xf>
    <xf numFmtId="2" fontId="31" fillId="21" borderId="18" xfId="0" applyNumberFormat="1" applyFont="1" applyFill="1" applyBorder="1"/>
    <xf numFmtId="0" fontId="31" fillId="21" borderId="25" xfId="0" applyFont="1" applyFill="1" applyBorder="1" applyAlignment="1">
      <alignment horizontal="center" vertical="center" wrapText="1"/>
    </xf>
    <xf numFmtId="0" fontId="31" fillId="21" borderId="26" xfId="0" applyFont="1" applyFill="1" applyBorder="1" applyAlignment="1">
      <alignment horizontal="center" vertical="center" wrapText="1"/>
    </xf>
    <xf numFmtId="0" fontId="31" fillId="21" borderId="13" xfId="0" applyFont="1" applyFill="1" applyBorder="1" applyAlignment="1">
      <alignment horizontal="center" vertical="center" wrapText="1"/>
    </xf>
    <xf numFmtId="0" fontId="31" fillId="21" borderId="22" xfId="0" applyFont="1" applyFill="1" applyBorder="1" applyAlignment="1">
      <alignment horizontal="center" vertical="center" wrapText="1"/>
    </xf>
    <xf numFmtId="2" fontId="35" fillId="20" borderId="54" xfId="0" applyNumberFormat="1" applyFont="1" applyFill="1" applyBorder="1" applyAlignment="1">
      <alignment horizontal="center" vertical="center" wrapText="1"/>
    </xf>
    <xf numFmtId="0" fontId="31" fillId="21" borderId="17" xfId="0" applyFont="1" applyFill="1" applyBorder="1" applyAlignment="1">
      <alignment horizontal="center" vertical="center" wrapText="1"/>
    </xf>
    <xf numFmtId="0" fontId="31" fillId="21" borderId="67" xfId="0" applyFont="1" applyFill="1" applyBorder="1" applyAlignment="1">
      <alignment horizontal="center" vertical="center" wrapText="1"/>
    </xf>
    <xf numFmtId="0" fontId="31" fillId="21" borderId="44" xfId="0" applyFont="1" applyFill="1" applyBorder="1" applyAlignment="1">
      <alignment horizontal="center" vertical="center" wrapText="1"/>
    </xf>
    <xf numFmtId="0" fontId="31" fillId="21" borderId="42" xfId="0" applyFont="1" applyFill="1" applyBorder="1" applyAlignment="1">
      <alignment horizontal="center" vertical="center" wrapText="1"/>
    </xf>
    <xf numFmtId="0" fontId="31" fillId="21" borderId="18" xfId="0" applyFont="1" applyFill="1" applyBorder="1" applyAlignment="1">
      <alignment horizontal="center" vertical="center" wrapText="1"/>
    </xf>
    <xf numFmtId="0" fontId="31" fillId="21" borderId="64" xfId="0" applyFont="1" applyFill="1" applyBorder="1" applyAlignment="1">
      <alignment horizontal="center" vertical="center" wrapText="1"/>
    </xf>
    <xf numFmtId="0" fontId="31" fillId="21" borderId="45" xfId="0" applyFont="1" applyFill="1" applyBorder="1" applyAlignment="1">
      <alignment horizontal="center" vertical="center" wrapText="1"/>
    </xf>
    <xf numFmtId="2" fontId="31" fillId="21" borderId="42" xfId="0" applyNumberFormat="1" applyFont="1" applyFill="1" applyBorder="1" applyAlignment="1">
      <alignment horizontal="center" vertical="center" wrapText="1"/>
    </xf>
    <xf numFmtId="2" fontId="31" fillId="21" borderId="18" xfId="0" applyNumberFormat="1" applyFont="1" applyFill="1" applyBorder="1" applyAlignment="1">
      <alignment horizontal="center" vertical="center" wrapText="1"/>
    </xf>
    <xf numFmtId="2" fontId="31" fillId="20" borderId="49" xfId="0" applyNumberFormat="1" applyFont="1" applyFill="1" applyBorder="1" applyAlignment="1">
      <alignment horizontal="center" vertical="center" wrapText="1"/>
    </xf>
    <xf numFmtId="2" fontId="35" fillId="20" borderId="11" xfId="0" applyNumberFormat="1" applyFont="1" applyFill="1" applyBorder="1" applyAlignment="1">
      <alignment horizontal="center" vertical="center"/>
    </xf>
    <xf numFmtId="2" fontId="31" fillId="20" borderId="42" xfId="0" applyNumberFormat="1" applyFont="1" applyFill="1" applyBorder="1" applyAlignment="1">
      <alignment horizontal="center" vertical="center" wrapText="1"/>
    </xf>
    <xf numFmtId="2" fontId="35" fillId="20" borderId="9" xfId="0" applyNumberFormat="1" applyFont="1" applyFill="1" applyBorder="1" applyAlignment="1">
      <alignment horizontal="center" vertical="center"/>
    </xf>
    <xf numFmtId="2" fontId="35" fillId="20" borderId="10" xfId="0" applyNumberFormat="1" applyFont="1" applyFill="1" applyBorder="1" applyAlignment="1">
      <alignment horizontal="center" vertical="center"/>
    </xf>
    <xf numFmtId="2" fontId="35" fillId="20" borderId="11" xfId="0" applyNumberFormat="1" applyFont="1" applyFill="1" applyBorder="1" applyAlignment="1">
      <alignment horizontal="center" vertical="center" wrapText="1"/>
    </xf>
    <xf numFmtId="0" fontId="31" fillId="21" borderId="5" xfId="0" applyFont="1" applyFill="1" applyBorder="1" applyAlignment="1">
      <alignment horizontal="center" vertical="center" wrapText="1"/>
    </xf>
    <xf numFmtId="0" fontId="31" fillId="21" borderId="42" xfId="0" applyFont="1" applyFill="1" applyBorder="1" applyAlignment="1">
      <alignment horizontal="center" vertical="center"/>
    </xf>
    <xf numFmtId="165" fontId="31" fillId="21" borderId="26" xfId="0" applyNumberFormat="1" applyFont="1" applyFill="1" applyBorder="1" applyAlignment="1">
      <alignment horizontal="center" vertical="center" wrapText="1"/>
    </xf>
    <xf numFmtId="0" fontId="31" fillId="21" borderId="6" xfId="0" applyFont="1" applyFill="1" applyBorder="1" applyAlignment="1">
      <alignment horizontal="center" vertical="center" wrapText="1"/>
    </xf>
    <xf numFmtId="0" fontId="31" fillId="21" borderId="21" xfId="0" applyFont="1" applyFill="1" applyBorder="1" applyAlignment="1">
      <alignment horizontal="center" vertical="center" wrapText="1"/>
    </xf>
    <xf numFmtId="165" fontId="31" fillId="21" borderId="21" xfId="0" applyNumberFormat="1" applyFont="1" applyFill="1" applyBorder="1" applyAlignment="1">
      <alignment horizontal="center" vertical="center" wrapText="1"/>
    </xf>
    <xf numFmtId="0" fontId="31" fillId="21" borderId="18" xfId="0" applyFont="1" applyFill="1" applyBorder="1" applyAlignment="1">
      <alignment horizontal="center" vertical="center"/>
    </xf>
    <xf numFmtId="0" fontId="31" fillId="21" borderId="58" xfId="0" applyFont="1" applyFill="1" applyBorder="1" applyAlignment="1">
      <alignment horizontal="center" vertical="center" wrapText="1"/>
    </xf>
    <xf numFmtId="2" fontId="31" fillId="20" borderId="67" xfId="0" applyNumberFormat="1" applyFont="1" applyFill="1" applyBorder="1" applyAlignment="1">
      <alignment horizontal="center" vertical="center" wrapText="1"/>
    </xf>
    <xf numFmtId="2" fontId="31" fillId="20" borderId="64" xfId="0" applyNumberFormat="1" applyFont="1" applyFill="1" applyBorder="1" applyAlignment="1">
      <alignment horizontal="center" vertical="center" wrapText="1"/>
    </xf>
    <xf numFmtId="0" fontId="39" fillId="21" borderId="12" xfId="9" applyFont="1" applyFill="1" applyBorder="1" applyAlignment="1">
      <alignment horizontal="center" vertical="center"/>
    </xf>
    <xf numFmtId="2" fontId="31" fillId="21" borderId="5" xfId="0" applyNumberFormat="1" applyFont="1" applyFill="1" applyBorder="1" applyAlignment="1">
      <alignment horizontal="center" vertical="center" wrapText="1"/>
    </xf>
    <xf numFmtId="0" fontId="39" fillId="21" borderId="41" xfId="9" applyFont="1" applyFill="1" applyBorder="1" applyAlignment="1">
      <alignment horizontal="center" vertical="center"/>
    </xf>
    <xf numFmtId="0" fontId="31" fillId="21" borderId="66" xfId="0" applyFont="1" applyFill="1" applyBorder="1" applyAlignment="1">
      <alignment horizontal="center" vertical="center" wrapText="1"/>
    </xf>
    <xf numFmtId="2" fontId="31" fillId="21" borderId="66" xfId="0" applyNumberFormat="1" applyFont="1" applyFill="1" applyBorder="1" applyAlignment="1">
      <alignment horizontal="center" vertical="center" wrapText="1"/>
    </xf>
    <xf numFmtId="0" fontId="31" fillId="21" borderId="43" xfId="0" applyFont="1" applyFill="1" applyBorder="1" applyAlignment="1">
      <alignment horizontal="center" vertical="center" wrapText="1"/>
    </xf>
    <xf numFmtId="0" fontId="31" fillId="21" borderId="12" xfId="0" applyFont="1" applyFill="1" applyBorder="1" applyAlignment="1">
      <alignment horizontal="center" vertical="center" wrapText="1"/>
    </xf>
    <xf numFmtId="0" fontId="31" fillId="21" borderId="41" xfId="0" applyFont="1" applyFill="1" applyBorder="1" applyAlignment="1">
      <alignment horizontal="center" vertical="center" wrapText="1"/>
    </xf>
    <xf numFmtId="0" fontId="31" fillId="21" borderId="2" xfId="0" applyFont="1" applyFill="1" applyBorder="1" applyAlignment="1">
      <alignment horizontal="center" vertical="center"/>
    </xf>
    <xf numFmtId="0" fontId="31" fillId="21" borderId="60" xfId="0" applyFont="1" applyFill="1" applyBorder="1" applyAlignment="1">
      <alignment horizontal="center" vertical="center" wrapText="1"/>
    </xf>
    <xf numFmtId="165" fontId="31" fillId="21" borderId="43" xfId="0" applyNumberFormat="1" applyFont="1" applyFill="1" applyBorder="1" applyAlignment="1">
      <alignment horizontal="center" vertical="center" wrapText="1"/>
    </xf>
    <xf numFmtId="2" fontId="35" fillId="20" borderId="38" xfId="0" applyNumberFormat="1" applyFont="1" applyFill="1" applyBorder="1" applyAlignment="1">
      <alignment horizontal="center" vertical="center" wrapText="1"/>
    </xf>
    <xf numFmtId="0" fontId="31" fillId="21" borderId="5" xfId="0" applyFont="1" applyFill="1" applyBorder="1" applyAlignment="1">
      <alignment horizontal="center" vertical="center"/>
    </xf>
    <xf numFmtId="2" fontId="31" fillId="20" borderId="26" xfId="0" applyNumberFormat="1" applyFont="1" applyFill="1" applyBorder="1" applyAlignment="1">
      <alignment horizontal="center" vertical="center" wrapText="1"/>
    </xf>
    <xf numFmtId="2" fontId="31" fillId="20" borderId="22" xfId="0" applyNumberFormat="1" applyFont="1" applyFill="1" applyBorder="1" applyAlignment="1">
      <alignment horizontal="center" vertical="center" wrapText="1"/>
    </xf>
    <xf numFmtId="0" fontId="39" fillId="21" borderId="12" xfId="9" applyFont="1" applyFill="1" applyBorder="1" applyAlignment="1">
      <alignment horizontal="center" vertical="center" wrapText="1"/>
    </xf>
    <xf numFmtId="0" fontId="39" fillId="21" borderId="41" xfId="9" applyFont="1" applyFill="1" applyBorder="1" applyAlignment="1">
      <alignment horizontal="center" vertical="center" wrapText="1"/>
    </xf>
    <xf numFmtId="2" fontId="35" fillId="20" borderId="54" xfId="0" applyNumberFormat="1" applyFont="1" applyFill="1" applyBorder="1"/>
    <xf numFmtId="2" fontId="35" fillId="20" borderId="54" xfId="0" applyNumberFormat="1" applyFont="1" applyFill="1" applyBorder="1" applyAlignment="1">
      <alignment horizontal="center" vertical="center"/>
    </xf>
    <xf numFmtId="0" fontId="31" fillId="21" borderId="2" xfId="0" applyFont="1" applyFill="1" applyBorder="1" applyAlignment="1">
      <alignment horizontal="center" vertical="center" wrapText="1"/>
    </xf>
    <xf numFmtId="2" fontId="35" fillId="20" borderId="59" xfId="0" applyNumberFormat="1" applyFont="1" applyFill="1" applyBorder="1" applyAlignment="1">
      <alignment horizontal="center" vertical="center" wrapText="1"/>
    </xf>
    <xf numFmtId="2" fontId="31" fillId="20" borderId="40" xfId="0" applyNumberFormat="1" applyFont="1" applyFill="1" applyBorder="1" applyAlignment="1">
      <alignment horizontal="center" vertical="center" wrapText="1"/>
    </xf>
    <xf numFmtId="2" fontId="35" fillId="20" borderId="30" xfId="0" applyNumberFormat="1" applyFont="1" applyFill="1" applyBorder="1" applyAlignment="1">
      <alignment horizontal="center" vertical="center" wrapText="1"/>
    </xf>
    <xf numFmtId="2" fontId="31" fillId="20" borderId="21" xfId="0" applyNumberFormat="1" applyFont="1" applyFill="1" applyBorder="1" applyAlignment="1">
      <alignment horizontal="center" vertical="center" wrapText="1"/>
    </xf>
    <xf numFmtId="0" fontId="39" fillId="21" borderId="13" xfId="9" applyFont="1" applyFill="1" applyBorder="1" applyAlignment="1">
      <alignment horizontal="center" vertical="center"/>
    </xf>
    <xf numFmtId="0" fontId="31" fillId="21" borderId="4" xfId="0" applyFont="1" applyFill="1" applyBorder="1" applyAlignment="1">
      <alignment horizontal="center" vertical="center" wrapText="1"/>
    </xf>
    <xf numFmtId="0" fontId="31" fillId="21" borderId="32" xfId="0" applyFont="1" applyFill="1" applyBorder="1" applyAlignment="1">
      <alignment horizontal="center" vertical="center" wrapText="1"/>
    </xf>
    <xf numFmtId="166" fontId="21" fillId="20" borderId="5" xfId="0" applyNumberFormat="1" applyFont="1" applyFill="1" applyBorder="1" applyAlignment="1">
      <alignment horizontal="center" vertical="center" wrapText="1"/>
    </xf>
    <xf numFmtId="166" fontId="22" fillId="21" borderId="5" xfId="0" applyNumberFormat="1" applyFont="1" applyFill="1" applyBorder="1" applyAlignment="1">
      <alignment horizontal="center" vertical="center" wrapText="1"/>
    </xf>
    <xf numFmtId="2" fontId="35" fillId="20" borderId="24" xfId="0" applyNumberFormat="1" applyFont="1" applyFill="1" applyBorder="1" applyAlignment="1">
      <alignment horizontal="center" vertical="center" wrapText="1"/>
    </xf>
    <xf numFmtId="165" fontId="31" fillId="21" borderId="42" xfId="0" applyNumberFormat="1" applyFont="1" applyFill="1" applyBorder="1" applyAlignment="1">
      <alignment horizontal="center" vertical="center" wrapText="1"/>
    </xf>
    <xf numFmtId="2" fontId="31" fillId="21" borderId="26" xfId="0" applyNumberFormat="1" applyFont="1" applyFill="1" applyBorder="1" applyAlignment="1">
      <alignment horizontal="center" vertical="center" wrapText="1"/>
    </xf>
    <xf numFmtId="2" fontId="35" fillId="20" borderId="79" xfId="0" applyNumberFormat="1" applyFont="1" applyFill="1" applyBorder="1" applyAlignment="1">
      <alignment horizontal="center" vertical="center" wrapText="1"/>
    </xf>
    <xf numFmtId="0" fontId="31" fillId="21" borderId="49" xfId="0" applyFont="1" applyFill="1" applyBorder="1" applyAlignment="1">
      <alignment horizontal="center" vertical="center" wrapText="1"/>
    </xf>
    <xf numFmtId="0" fontId="31" fillId="21" borderId="40" xfId="0" applyFont="1" applyFill="1" applyBorder="1" applyAlignment="1">
      <alignment horizontal="center" vertical="center" wrapText="1"/>
    </xf>
    <xf numFmtId="2" fontId="31" fillId="20" borderId="54" xfId="0" applyNumberFormat="1" applyFont="1" applyFill="1" applyBorder="1" applyAlignment="1">
      <alignment horizontal="center" vertical="center" wrapText="1"/>
    </xf>
    <xf numFmtId="0" fontId="31" fillId="21" borderId="5" xfId="0" applyFont="1" applyFill="1" applyBorder="1" applyAlignment="1">
      <alignment horizontal="center"/>
    </xf>
    <xf numFmtId="0" fontId="35" fillId="21" borderId="5" xfId="0" applyFont="1" applyFill="1" applyBorder="1" applyAlignment="1">
      <alignment horizontal="center" vertical="center"/>
    </xf>
    <xf numFmtId="0" fontId="31" fillId="21" borderId="5" xfId="0" applyFont="1" applyFill="1" applyBorder="1" applyAlignment="1">
      <alignment horizontal="center" vertical="top"/>
    </xf>
    <xf numFmtId="0" fontId="35" fillId="21" borderId="18" xfId="0" applyFont="1" applyFill="1" applyBorder="1" applyAlignment="1">
      <alignment horizontal="center" vertical="center"/>
    </xf>
    <xf numFmtId="0" fontId="35" fillId="21" borderId="42" xfId="0" applyFont="1" applyFill="1" applyBorder="1" applyAlignment="1">
      <alignment horizontal="center" vertical="center"/>
    </xf>
    <xf numFmtId="0" fontId="41" fillId="21" borderId="5" xfId="0" applyFont="1" applyFill="1" applyBorder="1" applyAlignment="1">
      <alignment horizontal="center" vertical="center"/>
    </xf>
    <xf numFmtId="0" fontId="39" fillId="21" borderId="18" xfId="0" applyFont="1" applyFill="1" applyBorder="1" applyAlignment="1">
      <alignment horizontal="center" vertical="center"/>
    </xf>
    <xf numFmtId="0" fontId="31" fillId="21" borderId="10" xfId="0" applyFont="1" applyFill="1" applyBorder="1" applyAlignment="1">
      <alignment horizontal="center" vertical="center"/>
    </xf>
    <xf numFmtId="0" fontId="31" fillId="21" borderId="10" xfId="0" applyFont="1" applyFill="1" applyBorder="1" applyAlignment="1">
      <alignment horizontal="center" vertical="center" wrapText="1"/>
    </xf>
    <xf numFmtId="0" fontId="31" fillId="21" borderId="42" xfId="0" applyFont="1" applyFill="1" applyBorder="1"/>
    <xf numFmtId="0" fontId="31" fillId="21" borderId="5" xfId="0" applyFont="1" applyFill="1" applyBorder="1"/>
    <xf numFmtId="2" fontId="31" fillId="21" borderId="5" xfId="0" applyNumberFormat="1" applyFont="1" applyFill="1" applyBorder="1" applyAlignment="1">
      <alignment vertical="top"/>
    </xf>
    <xf numFmtId="0" fontId="31" fillId="21" borderId="0" xfId="0" applyFont="1" applyFill="1" applyAlignment="1">
      <alignment horizontal="center" vertical="center"/>
    </xf>
    <xf numFmtId="0" fontId="31" fillId="21" borderId="5" xfId="0" applyFont="1" applyFill="1" applyBorder="1" applyAlignment="1">
      <alignment wrapText="1"/>
    </xf>
    <xf numFmtId="0" fontId="31" fillId="21" borderId="22" xfId="0" applyFont="1" applyFill="1" applyBorder="1" applyAlignment="1">
      <alignment horizontal="center" vertical="center"/>
    </xf>
    <xf numFmtId="0" fontId="31" fillId="21" borderId="14" xfId="0" applyFont="1" applyFill="1" applyBorder="1" applyAlignment="1">
      <alignment horizontal="center" vertical="center" wrapText="1"/>
    </xf>
    <xf numFmtId="0" fontId="31" fillId="21" borderId="19" xfId="0" applyFont="1" applyFill="1" applyBorder="1" applyAlignment="1">
      <alignment horizontal="center" vertical="center"/>
    </xf>
    <xf numFmtId="0" fontId="31" fillId="21" borderId="14" xfId="0" applyFont="1" applyFill="1" applyBorder="1" applyAlignment="1">
      <alignment horizontal="center" vertical="center"/>
    </xf>
    <xf numFmtId="0" fontId="31" fillId="21" borderId="17" xfId="0" applyFont="1" applyFill="1" applyBorder="1" applyAlignment="1">
      <alignment horizontal="center" vertical="center"/>
    </xf>
    <xf numFmtId="0" fontId="31" fillId="21" borderId="15" xfId="0" applyFont="1" applyFill="1" applyBorder="1" applyAlignment="1">
      <alignment horizontal="center" vertical="center"/>
    </xf>
    <xf numFmtId="0" fontId="39" fillId="21" borderId="12" xfId="0" applyFont="1" applyFill="1" applyBorder="1" applyAlignment="1">
      <alignment vertical="center" wrapText="1"/>
    </xf>
    <xf numFmtId="0" fontId="39" fillId="21" borderId="5" xfId="0" applyFont="1" applyFill="1" applyBorder="1" applyAlignment="1">
      <alignment vertical="center" wrapText="1"/>
    </xf>
    <xf numFmtId="0" fontId="39" fillId="21" borderId="21" xfId="0" applyFont="1" applyFill="1" applyBorder="1" applyAlignment="1">
      <alignment vertical="center" wrapText="1"/>
    </xf>
    <xf numFmtId="0" fontId="31" fillId="21" borderId="12" xfId="0" applyFont="1" applyFill="1" applyBorder="1" applyAlignment="1">
      <alignment horizontal="center" vertical="center"/>
    </xf>
    <xf numFmtId="0" fontId="31" fillId="21" borderId="21" xfId="0" applyFont="1" applyFill="1" applyBorder="1" applyAlignment="1">
      <alignment horizontal="center" vertical="center"/>
    </xf>
    <xf numFmtId="0" fontId="31" fillId="21" borderId="29" xfId="0" applyFont="1" applyFill="1" applyBorder="1" applyAlignment="1">
      <alignment horizontal="center" vertical="center" wrapText="1"/>
    </xf>
    <xf numFmtId="0" fontId="31" fillId="21" borderId="39" xfId="0" applyFont="1" applyFill="1" applyBorder="1" applyAlignment="1">
      <alignment horizontal="center" vertical="center"/>
    </xf>
    <xf numFmtId="0" fontId="31" fillId="21" borderId="55" xfId="0" applyFont="1" applyFill="1" applyBorder="1" applyAlignment="1">
      <alignment horizontal="center" vertical="center" wrapText="1"/>
    </xf>
    <xf numFmtId="0" fontId="31" fillId="21" borderId="13" xfId="0" applyFont="1" applyFill="1" applyBorder="1" applyAlignment="1">
      <alignment horizontal="center" vertical="center"/>
    </xf>
    <xf numFmtId="0" fontId="31" fillId="21" borderId="64" xfId="0" applyFont="1" applyFill="1" applyBorder="1" applyAlignment="1">
      <alignment horizontal="center" vertical="center"/>
    </xf>
    <xf numFmtId="0" fontId="39" fillId="21" borderId="13" xfId="0" applyFont="1" applyFill="1" applyBorder="1" applyAlignment="1">
      <alignment vertical="center" wrapText="1"/>
    </xf>
    <xf numFmtId="0" fontId="39" fillId="21" borderId="18" xfId="0" applyFont="1" applyFill="1" applyBorder="1" applyAlignment="1">
      <alignment vertical="center" wrapText="1"/>
    </xf>
    <xf numFmtId="0" fontId="39" fillId="21" borderId="22" xfId="0" applyFont="1" applyFill="1" applyBorder="1" applyAlignment="1">
      <alignment vertical="center" wrapText="1"/>
    </xf>
    <xf numFmtId="0" fontId="31" fillId="21" borderId="26" xfId="0" applyFont="1" applyFill="1" applyBorder="1" applyAlignment="1">
      <alignment vertical="center"/>
    </xf>
    <xf numFmtId="0" fontId="31" fillId="21" borderId="21" xfId="0" applyFont="1" applyFill="1" applyBorder="1"/>
    <xf numFmtId="0" fontId="31" fillId="21" borderId="22" xfId="0" applyFont="1" applyFill="1" applyBorder="1"/>
    <xf numFmtId="0" fontId="39" fillId="21" borderId="5" xfId="0" applyFont="1" applyFill="1" applyBorder="1" applyAlignment="1">
      <alignment horizontal="center" vertical="center" wrapText="1"/>
    </xf>
    <xf numFmtId="2" fontId="31" fillId="21" borderId="51" xfId="0" applyNumberFormat="1" applyFont="1" applyFill="1" applyBorder="1" applyAlignment="1">
      <alignment horizontal="center" vertical="center" wrapText="1"/>
    </xf>
    <xf numFmtId="0" fontId="31" fillId="21" borderId="51" xfId="0" applyFont="1" applyFill="1" applyBorder="1" applyAlignment="1">
      <alignment horizontal="center" vertical="center" wrapText="1"/>
    </xf>
    <xf numFmtId="0" fontId="35" fillId="13" borderId="5" xfId="0" applyFont="1" applyFill="1" applyBorder="1" applyAlignment="1">
      <alignment horizontal="center" vertical="top" wrapText="1"/>
    </xf>
    <xf numFmtId="0" fontId="35" fillId="22" borderId="5" xfId="0" applyFont="1" applyFill="1" applyBorder="1" applyAlignment="1">
      <alignment horizontal="center" vertical="top" wrapText="1"/>
    </xf>
    <xf numFmtId="0" fontId="35" fillId="16" borderId="5" xfId="0" applyFont="1" applyFill="1" applyBorder="1" applyAlignment="1">
      <alignment horizontal="center" vertical="top" wrapText="1"/>
    </xf>
    <xf numFmtId="0" fontId="35" fillId="15" borderId="5" xfId="0" applyFont="1" applyFill="1" applyBorder="1" applyAlignment="1">
      <alignment horizontal="center" vertical="top" wrapText="1"/>
    </xf>
    <xf numFmtId="0" fontId="35" fillId="21" borderId="5" xfId="0" applyFont="1" applyFill="1" applyBorder="1" applyAlignment="1">
      <alignment horizontal="center" vertical="top" wrapText="1"/>
    </xf>
    <xf numFmtId="0" fontId="35" fillId="10" borderId="5" xfId="0" applyFont="1" applyFill="1" applyBorder="1" applyAlignment="1">
      <alignment horizontal="center" vertical="center"/>
    </xf>
    <xf numFmtId="0" fontId="35" fillId="10" borderId="4" xfId="0" applyFont="1" applyFill="1" applyBorder="1" applyAlignment="1">
      <alignment horizontal="center" vertical="center" wrapText="1"/>
    </xf>
    <xf numFmtId="0" fontId="35" fillId="10" borderId="42" xfId="0" applyFont="1" applyFill="1" applyBorder="1" applyAlignment="1">
      <alignment horizontal="center" vertical="center"/>
    </xf>
    <xf numFmtId="0" fontId="35" fillId="10" borderId="4" xfId="0" applyFont="1" applyFill="1" applyBorder="1" applyAlignment="1">
      <alignment horizontal="center" vertical="center"/>
    </xf>
    <xf numFmtId="0" fontId="14" fillId="10" borderId="46" xfId="0" applyFont="1" applyFill="1" applyBorder="1" applyAlignment="1">
      <alignment horizontal="center" vertical="center" wrapText="1"/>
    </xf>
    <xf numFmtId="0" fontId="14" fillId="10" borderId="10" xfId="0" applyFont="1" applyFill="1" applyBorder="1" applyAlignment="1">
      <alignment horizontal="center" vertical="center" wrapText="1"/>
    </xf>
    <xf numFmtId="1" fontId="31" fillId="21" borderId="25" xfId="0" applyNumberFormat="1" applyFont="1" applyFill="1" applyBorder="1" applyAlignment="1">
      <alignment horizontal="center" vertical="center" wrapText="1"/>
    </xf>
    <xf numFmtId="1" fontId="31" fillId="21" borderId="13" xfId="0" applyNumberFormat="1" applyFont="1" applyFill="1" applyBorder="1" applyAlignment="1">
      <alignment horizontal="center" vertical="center" wrapText="1"/>
    </xf>
    <xf numFmtId="0" fontId="31" fillId="5" borderId="29" xfId="0" applyFont="1" applyFill="1" applyBorder="1" applyAlignment="1">
      <alignment horizontal="left" vertical="top" wrapText="1"/>
    </xf>
    <xf numFmtId="0" fontId="31" fillId="5" borderId="55" xfId="0" applyFont="1" applyFill="1" applyBorder="1" applyAlignment="1">
      <alignment horizontal="left" vertical="top" wrapText="1"/>
    </xf>
    <xf numFmtId="0" fontId="31" fillId="5" borderId="40" xfId="0" applyFont="1" applyFill="1" applyBorder="1" applyAlignment="1">
      <alignment horizontal="left" vertical="top" wrapText="1"/>
    </xf>
    <xf numFmtId="0" fontId="35" fillId="5" borderId="78" xfId="0" applyFont="1" applyFill="1" applyBorder="1" applyAlignment="1">
      <alignment horizontal="center" vertical="center" wrapText="1"/>
    </xf>
    <xf numFmtId="0" fontId="35" fillId="5" borderId="78" xfId="0" applyFont="1" applyFill="1" applyBorder="1" applyAlignment="1">
      <alignment vertical="center" wrapText="1"/>
    </xf>
    <xf numFmtId="0" fontId="35" fillId="5" borderId="61" xfId="0" applyFont="1" applyFill="1" applyBorder="1" applyAlignment="1">
      <alignment vertical="center" wrapText="1"/>
    </xf>
    <xf numFmtId="0" fontId="31" fillId="5" borderId="17" xfId="0" applyFont="1" applyFill="1" applyBorder="1" applyAlignment="1">
      <alignment horizontal="center" vertical="center" wrapText="1"/>
    </xf>
    <xf numFmtId="0" fontId="31" fillId="5" borderId="48" xfId="0" applyFont="1" applyFill="1" applyBorder="1" applyAlignment="1">
      <alignment horizontal="center" vertical="center" wrapText="1"/>
    </xf>
    <xf numFmtId="0" fontId="31" fillId="21" borderId="2" xfId="0" applyFont="1" applyFill="1" applyBorder="1"/>
    <xf numFmtId="0" fontId="31" fillId="21" borderId="6" xfId="0" applyFont="1" applyFill="1" applyBorder="1"/>
    <xf numFmtId="0" fontId="31" fillId="21" borderId="26" xfId="0" applyFont="1" applyFill="1" applyBorder="1" applyAlignment="1">
      <alignment horizontal="center" vertical="center"/>
    </xf>
    <xf numFmtId="1" fontId="21" fillId="20" borderId="5" xfId="0" applyNumberFormat="1" applyFont="1" applyFill="1" applyBorder="1" applyAlignment="1">
      <alignment horizontal="center" vertical="center" wrapText="1"/>
    </xf>
    <xf numFmtId="165" fontId="31" fillId="21" borderId="5" xfId="0" applyNumberFormat="1" applyFont="1" applyFill="1" applyBorder="1" applyAlignment="1">
      <alignment horizontal="center" vertical="center"/>
    </xf>
    <xf numFmtId="0" fontId="31" fillId="21" borderId="0" xfId="0" applyFont="1" applyFill="1" applyAlignment="1">
      <alignment wrapText="1"/>
    </xf>
    <xf numFmtId="0" fontId="31" fillId="21" borderId="5" xfId="0" applyFont="1" applyFill="1" applyBorder="1" applyAlignment="1">
      <alignment vertical="top"/>
    </xf>
    <xf numFmtId="166" fontId="31" fillId="21" borderId="5" xfId="0" applyNumberFormat="1" applyFont="1" applyFill="1" applyBorder="1" applyAlignment="1">
      <alignment horizontal="center" vertical="center"/>
    </xf>
    <xf numFmtId="0" fontId="22" fillId="21" borderId="5" xfId="0" applyFont="1" applyFill="1" applyBorder="1"/>
    <xf numFmtId="0" fontId="22" fillId="21" borderId="6" xfId="0" applyFont="1" applyFill="1" applyBorder="1"/>
    <xf numFmtId="0" fontId="31" fillId="10" borderId="41" xfId="0" applyFont="1" applyFill="1" applyBorder="1" applyAlignment="1">
      <alignment horizontal="center" vertical="center"/>
    </xf>
    <xf numFmtId="0" fontId="31" fillId="10" borderId="66" xfId="0" applyFont="1" applyFill="1" applyBorder="1" applyAlignment="1">
      <alignment horizontal="center" vertical="center"/>
    </xf>
    <xf numFmtId="0" fontId="39" fillId="0" borderId="5" xfId="0" applyFont="1" applyBorder="1" applyAlignment="1" applyProtection="1">
      <alignment vertical="center"/>
      <protection locked="0"/>
    </xf>
    <xf numFmtId="0" fontId="39" fillId="3" borderId="5" xfId="0" applyFont="1" applyFill="1" applyBorder="1" applyAlignment="1" applyProtection="1">
      <alignment vertical="center"/>
      <protection locked="0"/>
    </xf>
    <xf numFmtId="0" fontId="39" fillId="3" borderId="18" xfId="0" applyFont="1" applyFill="1" applyBorder="1" applyAlignment="1" applyProtection="1">
      <alignment vertical="center"/>
      <protection locked="0"/>
    </xf>
    <xf numFmtId="0" fontId="31" fillId="11" borderId="0" xfId="0" applyFont="1" applyFill="1" applyAlignment="1">
      <alignment horizontal="center"/>
    </xf>
    <xf numFmtId="0" fontId="35" fillId="10" borderId="22" xfId="0" applyFont="1" applyFill="1" applyBorder="1" applyAlignment="1">
      <alignment horizontal="center" vertical="center"/>
    </xf>
    <xf numFmtId="0" fontId="35" fillId="10" borderId="17" xfId="0" applyFont="1" applyFill="1" applyBorder="1" applyAlignment="1">
      <alignment vertical="center"/>
    </xf>
    <xf numFmtId="0" fontId="35" fillId="10" borderId="12" xfId="0" applyFont="1" applyFill="1" applyBorder="1" applyAlignment="1">
      <alignment horizontal="center" vertical="center"/>
    </xf>
    <xf numFmtId="0" fontId="35" fillId="10" borderId="5" xfId="0" applyFont="1" applyFill="1" applyBorder="1" applyAlignment="1">
      <alignment vertical="center"/>
    </xf>
    <xf numFmtId="0" fontId="35" fillId="10" borderId="18" xfId="0" applyFont="1" applyFill="1" applyBorder="1" applyAlignment="1">
      <alignment vertical="center"/>
    </xf>
    <xf numFmtId="0" fontId="35" fillId="9" borderId="0" xfId="0" applyFont="1" applyFill="1" applyAlignment="1">
      <alignment vertical="center"/>
    </xf>
    <xf numFmtId="0" fontId="14" fillId="11" borderId="0" xfId="0" applyFont="1" applyFill="1" applyAlignment="1">
      <alignment vertical="center"/>
    </xf>
    <xf numFmtId="0" fontId="35" fillId="21" borderId="54" xfId="0" applyFont="1" applyFill="1" applyBorder="1" applyAlignment="1">
      <alignment horizontal="center" vertical="center"/>
    </xf>
    <xf numFmtId="2" fontId="35" fillId="10" borderId="19" xfId="0" applyNumberFormat="1" applyFont="1" applyFill="1" applyBorder="1" applyAlignment="1">
      <alignment horizontal="center" vertical="center"/>
    </xf>
    <xf numFmtId="10" fontId="35" fillId="10" borderId="21" xfId="0" applyNumberFormat="1" applyFont="1" applyFill="1" applyBorder="1" applyAlignment="1">
      <alignment horizontal="center" vertical="center"/>
    </xf>
    <xf numFmtId="0" fontId="35" fillId="10" borderId="21" xfId="0" applyFont="1" applyFill="1" applyBorder="1" applyAlignment="1">
      <alignment horizontal="center" vertical="center"/>
    </xf>
    <xf numFmtId="0" fontId="35" fillId="21" borderId="54" xfId="0" applyFont="1" applyFill="1" applyBorder="1" applyAlignment="1">
      <alignment horizontal="center"/>
    </xf>
    <xf numFmtId="2" fontId="31" fillId="3" borderId="49" xfId="0" applyNumberFormat="1" applyFont="1" applyFill="1" applyBorder="1" applyAlignment="1" applyProtection="1">
      <alignment horizontal="center" vertical="center" wrapText="1"/>
      <protection locked="0"/>
    </xf>
    <xf numFmtId="0" fontId="31" fillId="21" borderId="5" xfId="0" applyFont="1" applyFill="1" applyBorder="1" applyAlignment="1">
      <alignment horizontal="left" vertical="center"/>
    </xf>
    <xf numFmtId="0" fontId="31" fillId="21" borderId="18" xfId="0" applyFont="1" applyFill="1" applyBorder="1" applyAlignment="1">
      <alignment horizontal="left" vertical="center"/>
    </xf>
    <xf numFmtId="0" fontId="31" fillId="21" borderId="42" xfId="0" applyFont="1" applyFill="1" applyBorder="1" applyAlignment="1">
      <alignment horizontal="left" vertical="center"/>
    </xf>
    <xf numFmtId="0" fontId="31" fillId="21" borderId="10" xfId="0" applyFont="1" applyFill="1" applyBorder="1" applyAlignment="1">
      <alignment horizontal="left" vertical="center"/>
    </xf>
    <xf numFmtId="0" fontId="31" fillId="21" borderId="5" xfId="0" applyFont="1" applyFill="1" applyBorder="1" applyAlignment="1">
      <alignment horizontal="left" vertical="center" wrapText="1"/>
    </xf>
    <xf numFmtId="0" fontId="31" fillId="21" borderId="18" xfId="0" applyFont="1" applyFill="1" applyBorder="1" applyAlignment="1">
      <alignment horizontal="left" vertical="center" wrapText="1"/>
    </xf>
    <xf numFmtId="0" fontId="31" fillId="21" borderId="42" xfId="0" applyFont="1" applyFill="1" applyBorder="1" applyAlignment="1">
      <alignment horizontal="left" vertical="center" wrapText="1"/>
    </xf>
    <xf numFmtId="0" fontId="35" fillId="10" borderId="1" xfId="0" applyFont="1" applyFill="1" applyBorder="1" applyAlignment="1">
      <alignment horizontal="center" vertical="center" wrapText="1"/>
    </xf>
    <xf numFmtId="0" fontId="31" fillId="3" borderId="62" xfId="0" applyFont="1" applyFill="1" applyBorder="1" applyAlignment="1" applyProtection="1">
      <alignment horizontal="left" vertical="top" wrapText="1"/>
      <protection locked="0"/>
    </xf>
    <xf numFmtId="0" fontId="31" fillId="3" borderId="16" xfId="0" applyFont="1" applyFill="1" applyBorder="1" applyAlignment="1" applyProtection="1">
      <alignment horizontal="left" vertical="top" wrapText="1"/>
      <protection locked="0"/>
    </xf>
    <xf numFmtId="0" fontId="31" fillId="3" borderId="63" xfId="0" applyFont="1" applyFill="1" applyBorder="1" applyAlignment="1" applyProtection="1">
      <alignment horizontal="left" vertical="top" wrapText="1"/>
      <protection locked="0"/>
    </xf>
    <xf numFmtId="0" fontId="31" fillId="3" borderId="5" xfId="0" applyFont="1" applyFill="1" applyBorder="1" applyAlignment="1" applyProtection="1">
      <alignment wrapText="1"/>
      <protection locked="0"/>
    </xf>
    <xf numFmtId="0" fontId="31" fillId="3" borderId="18" xfId="0" applyFont="1" applyFill="1" applyBorder="1" applyAlignment="1" applyProtection="1">
      <alignment wrapText="1"/>
      <protection locked="0"/>
    </xf>
    <xf numFmtId="0" fontId="31" fillId="3" borderId="42" xfId="0" applyFont="1" applyFill="1" applyBorder="1" applyAlignment="1" applyProtection="1">
      <alignment wrapText="1"/>
      <protection locked="0"/>
    </xf>
    <xf numFmtId="0" fontId="31" fillId="3" borderId="17" xfId="0" applyFont="1" applyFill="1" applyBorder="1" applyAlignment="1" applyProtection="1">
      <alignment wrapText="1"/>
      <protection locked="0"/>
    </xf>
    <xf numFmtId="0" fontId="31" fillId="5" borderId="41" xfId="0" applyFont="1" applyFill="1" applyBorder="1" applyAlignment="1">
      <alignment horizontal="center" vertical="center"/>
    </xf>
    <xf numFmtId="0" fontId="31" fillId="5" borderId="66" xfId="0" applyFont="1" applyFill="1" applyBorder="1" applyAlignment="1">
      <alignment horizontal="center" vertical="center"/>
    </xf>
    <xf numFmtId="0" fontId="31" fillId="5" borderId="18" xfId="0" applyFont="1" applyFill="1" applyBorder="1" applyAlignment="1">
      <alignment horizontal="center" vertical="center"/>
    </xf>
    <xf numFmtId="0" fontId="35" fillId="10" borderId="14" xfId="0" applyFont="1" applyFill="1" applyBorder="1" applyAlignment="1">
      <alignment horizontal="center" vertical="center"/>
    </xf>
    <xf numFmtId="0" fontId="35" fillId="10" borderId="13" xfId="0" applyFont="1" applyFill="1" applyBorder="1" applyAlignment="1">
      <alignment horizontal="center" vertical="center"/>
    </xf>
    <xf numFmtId="0" fontId="35" fillId="5" borderId="5" xfId="0" applyFont="1" applyFill="1" applyBorder="1" applyAlignment="1">
      <alignment horizontal="left" wrapText="1"/>
    </xf>
    <xf numFmtId="0" fontId="15" fillId="5" borderId="5" xfId="0" applyFont="1" applyFill="1" applyBorder="1" applyAlignment="1">
      <alignment horizontal="left" wrapText="1"/>
    </xf>
    <xf numFmtId="0" fontId="15" fillId="5" borderId="5" xfId="0" applyFont="1" applyFill="1" applyBorder="1" applyAlignment="1">
      <alignment vertical="top" wrapText="1"/>
    </xf>
    <xf numFmtId="2" fontId="35" fillId="5" borderId="5" xfId="0" applyNumberFormat="1" applyFont="1" applyFill="1" applyBorder="1"/>
    <xf numFmtId="2" fontId="35" fillId="20" borderId="0" xfId="0" applyNumberFormat="1" applyFont="1" applyFill="1" applyAlignment="1">
      <alignment horizontal="center" vertical="center"/>
    </xf>
    <xf numFmtId="0" fontId="31" fillId="0" borderId="0" xfId="0" applyFont="1"/>
    <xf numFmtId="0" fontId="31" fillId="0" borderId="0" xfId="0" applyFont="1" applyAlignment="1">
      <alignment wrapText="1"/>
    </xf>
    <xf numFmtId="2" fontId="35" fillId="20" borderId="0" xfId="0" applyNumberFormat="1" applyFont="1" applyFill="1" applyAlignment="1">
      <alignment horizontal="center" vertical="center" wrapText="1"/>
    </xf>
    <xf numFmtId="2" fontId="35" fillId="12" borderId="21" xfId="0" applyNumberFormat="1" applyFont="1" applyFill="1" applyBorder="1" applyAlignment="1">
      <alignment horizontal="center" vertical="center" wrapText="1"/>
    </xf>
    <xf numFmtId="0" fontId="35" fillId="12" borderId="21" xfId="0" applyFont="1" applyFill="1" applyBorder="1" applyAlignment="1">
      <alignment horizontal="center" vertical="center" wrapText="1"/>
    </xf>
    <xf numFmtId="0" fontId="35" fillId="12" borderId="22" xfId="0" applyFont="1" applyFill="1" applyBorder="1" applyAlignment="1">
      <alignment horizontal="center" vertical="center" wrapText="1"/>
    </xf>
    <xf numFmtId="164" fontId="31" fillId="21" borderId="5" xfId="0" applyNumberFormat="1" applyFont="1" applyFill="1" applyBorder="1" applyAlignment="1">
      <alignment vertical="center"/>
    </xf>
    <xf numFmtId="164" fontId="31" fillId="21" borderId="5" xfId="0" applyNumberFormat="1" applyFont="1" applyFill="1" applyBorder="1"/>
    <xf numFmtId="0" fontId="52" fillId="11" borderId="0" xfId="0" applyFont="1" applyFill="1" applyAlignment="1">
      <alignment horizontal="center" vertical="center" wrapText="1"/>
    </xf>
    <xf numFmtId="0" fontId="35" fillId="20" borderId="35" xfId="0" applyFont="1" applyFill="1" applyBorder="1" applyAlignment="1">
      <alignment horizontal="center" vertical="center"/>
    </xf>
    <xf numFmtId="0" fontId="31" fillId="21" borderId="45" xfId="0" applyFont="1" applyFill="1" applyBorder="1" applyAlignment="1">
      <alignment horizontal="center" vertical="center"/>
    </xf>
    <xf numFmtId="0" fontId="31" fillId="3" borderId="33" xfId="0" applyFont="1" applyFill="1" applyBorder="1" applyAlignment="1" applyProtection="1">
      <alignment horizontal="center" vertical="center"/>
      <protection locked="0"/>
    </xf>
    <xf numFmtId="0" fontId="35" fillId="3" borderId="35" xfId="0" applyFont="1" applyFill="1" applyBorder="1" applyAlignment="1" applyProtection="1">
      <alignment horizontal="center" vertical="center"/>
      <protection locked="0"/>
    </xf>
    <xf numFmtId="2" fontId="27" fillId="11" borderId="0" xfId="0" applyNumberFormat="1" applyFont="1" applyFill="1" applyAlignment="1">
      <alignment horizontal="center"/>
    </xf>
    <xf numFmtId="0" fontId="51" fillId="11" borderId="0" xfId="0" applyFont="1" applyFill="1" applyAlignment="1">
      <alignment vertical="center" wrapText="1"/>
    </xf>
    <xf numFmtId="0" fontId="13" fillId="9" borderId="0" xfId="0" applyFont="1" applyFill="1"/>
    <xf numFmtId="0" fontId="31" fillId="5" borderId="66" xfId="0" applyFont="1" applyFill="1" applyBorder="1" applyAlignment="1">
      <alignment horizontal="left" vertical="top"/>
    </xf>
    <xf numFmtId="0" fontId="31" fillId="21" borderId="66" xfId="0" applyFont="1" applyFill="1" applyBorder="1" applyAlignment="1">
      <alignment horizontal="center" vertical="center"/>
    </xf>
    <xf numFmtId="0" fontId="31" fillId="21" borderId="66" xfId="0" applyFont="1" applyFill="1" applyBorder="1" applyAlignment="1">
      <alignment horizontal="left" vertical="center" wrapText="1"/>
    </xf>
    <xf numFmtId="0" fontId="31" fillId="21" borderId="66" xfId="0" applyFont="1" applyFill="1" applyBorder="1" applyAlignment="1">
      <alignment horizontal="left" vertical="center"/>
    </xf>
    <xf numFmtId="0" fontId="55" fillId="9" borderId="0" xfId="0" applyFont="1" applyFill="1"/>
    <xf numFmtId="2" fontId="35" fillId="9" borderId="0" xfId="0" applyNumberFormat="1" applyFont="1" applyFill="1" applyAlignment="1">
      <alignment horizontal="center" vertical="center"/>
    </xf>
    <xf numFmtId="0" fontId="31" fillId="9" borderId="46" xfId="0" applyFont="1" applyFill="1" applyBorder="1" applyAlignment="1">
      <alignment horizontal="center" vertical="center"/>
    </xf>
    <xf numFmtId="0" fontId="31" fillId="5" borderId="66" xfId="0" applyFont="1" applyFill="1" applyBorder="1" applyAlignment="1">
      <alignment wrapText="1"/>
    </xf>
    <xf numFmtId="0" fontId="31" fillId="21" borderId="51" xfId="0" applyFont="1" applyFill="1" applyBorder="1" applyAlignment="1">
      <alignment horizontal="center" vertical="center"/>
    </xf>
    <xf numFmtId="0" fontId="31" fillId="5" borderId="10" xfId="0" applyFont="1" applyFill="1" applyBorder="1" applyAlignment="1">
      <alignment wrapText="1"/>
    </xf>
    <xf numFmtId="0" fontId="10" fillId="11" borderId="0" xfId="0" applyFont="1" applyFill="1" applyAlignment="1">
      <alignment horizontal="center"/>
    </xf>
    <xf numFmtId="0" fontId="14" fillId="5" borderId="7" xfId="0" applyFont="1" applyFill="1" applyBorder="1" applyAlignment="1">
      <alignment horizontal="center" vertical="center" wrapText="1"/>
    </xf>
    <xf numFmtId="0" fontId="14" fillId="5" borderId="73" xfId="0" applyFont="1" applyFill="1" applyBorder="1" applyAlignment="1">
      <alignment horizontal="center" vertical="center" wrapText="1"/>
    </xf>
    <xf numFmtId="0" fontId="31" fillId="5" borderId="14" xfId="0" applyFont="1" applyFill="1" applyBorder="1" applyAlignment="1">
      <alignment horizontal="center"/>
    </xf>
    <xf numFmtId="0" fontId="31" fillId="5" borderId="17" xfId="0" applyFont="1" applyFill="1" applyBorder="1" applyAlignment="1">
      <alignment horizontal="center"/>
    </xf>
    <xf numFmtId="2" fontId="31" fillId="21" borderId="17" xfId="0" applyNumberFormat="1" applyFont="1" applyFill="1" applyBorder="1" applyAlignment="1">
      <alignment horizontal="center"/>
    </xf>
    <xf numFmtId="0" fontId="31" fillId="5" borderId="13" xfId="0" applyFont="1" applyFill="1" applyBorder="1" applyAlignment="1">
      <alignment horizontal="center"/>
    </xf>
    <xf numFmtId="0" fontId="31" fillId="5" borderId="18" xfId="0" applyFont="1" applyFill="1" applyBorder="1" applyAlignment="1">
      <alignment horizontal="center"/>
    </xf>
    <xf numFmtId="2" fontId="31" fillId="21" borderId="18" xfId="0" applyNumberFormat="1" applyFont="1" applyFill="1" applyBorder="1" applyAlignment="1">
      <alignment horizontal="center"/>
    </xf>
    <xf numFmtId="0" fontId="35" fillId="5" borderId="28" xfId="0" applyFont="1" applyFill="1" applyBorder="1" applyAlignment="1" applyProtection="1">
      <alignment horizontal="center" vertical="center" wrapText="1"/>
      <protection locked="0"/>
    </xf>
    <xf numFmtId="2" fontId="31" fillId="3" borderId="29" xfId="0" applyNumberFormat="1" applyFont="1" applyFill="1" applyBorder="1" applyAlignment="1" applyProtection="1">
      <alignment horizontal="center" vertical="center" wrapText="1"/>
      <protection locked="0"/>
    </xf>
    <xf numFmtId="2" fontId="31" fillId="3" borderId="30" xfId="0" applyNumberFormat="1" applyFont="1" applyFill="1" applyBorder="1" applyAlignment="1" applyProtection="1">
      <alignment horizontal="center" vertical="center" wrapText="1"/>
      <protection locked="0"/>
    </xf>
    <xf numFmtId="0" fontId="31" fillId="21" borderId="30" xfId="0" applyFont="1" applyFill="1" applyBorder="1" applyAlignment="1">
      <alignment horizontal="center" vertical="center" wrapText="1"/>
    </xf>
    <xf numFmtId="10" fontId="35" fillId="3" borderId="21" xfId="0" applyNumberFormat="1" applyFont="1" applyFill="1" applyBorder="1" applyAlignment="1">
      <alignment horizontal="center" vertical="center"/>
    </xf>
    <xf numFmtId="0" fontId="31" fillId="3" borderId="36" xfId="0" applyFont="1" applyFill="1" applyBorder="1" applyAlignment="1" applyProtection="1">
      <alignment horizontal="center" vertical="center" wrapText="1"/>
      <protection locked="0"/>
    </xf>
    <xf numFmtId="0" fontId="16" fillId="9" borderId="0" xfId="0" applyFont="1" applyFill="1" applyAlignment="1">
      <alignment vertical="top"/>
    </xf>
    <xf numFmtId="0" fontId="16" fillId="9" borderId="0" xfId="0" applyFont="1" applyFill="1" applyAlignment="1">
      <alignment horizontal="left" vertical="top"/>
    </xf>
    <xf numFmtId="2" fontId="16" fillId="9" borderId="0" xfId="0" applyNumberFormat="1" applyFont="1" applyFill="1" applyAlignment="1">
      <alignment horizontal="center"/>
    </xf>
    <xf numFmtId="10" fontId="16" fillId="9" borderId="0" xfId="0" applyNumberFormat="1" applyFont="1" applyFill="1" applyAlignment="1">
      <alignment horizontal="center"/>
    </xf>
    <xf numFmtId="2" fontId="16" fillId="9" borderId="0" xfId="0" applyNumberFormat="1" applyFont="1" applyFill="1" applyAlignment="1">
      <alignment horizontal="center" vertical="center"/>
    </xf>
    <xf numFmtId="2" fontId="16" fillId="9" borderId="0" xfId="0" applyNumberFormat="1" applyFont="1" applyFill="1" applyAlignment="1">
      <alignment horizontal="center" vertical="top"/>
    </xf>
    <xf numFmtId="2" fontId="16" fillId="9" borderId="0" xfId="0" applyNumberFormat="1" applyFont="1" applyFill="1"/>
    <xf numFmtId="0" fontId="31" fillId="5" borderId="17" xfId="0" applyFont="1" applyFill="1" applyBorder="1" applyAlignment="1">
      <alignment horizontal="left" vertical="top"/>
    </xf>
    <xf numFmtId="0" fontId="13" fillId="9" borderId="0" xfId="0" applyFont="1" applyFill="1" applyAlignment="1">
      <alignment horizontal="left" vertical="top"/>
    </xf>
    <xf numFmtId="2" fontId="55" fillId="9" borderId="0" xfId="0" applyNumberFormat="1" applyFont="1" applyFill="1"/>
    <xf numFmtId="0" fontId="13" fillId="9" borderId="0" xfId="0" applyFont="1" applyFill="1" applyAlignment="1">
      <alignment horizontal="center"/>
    </xf>
    <xf numFmtId="0" fontId="19" fillId="9" borderId="0" xfId="0" applyFont="1" applyFill="1"/>
    <xf numFmtId="0" fontId="37" fillId="11" borderId="0" xfId="0" applyFont="1" applyFill="1"/>
    <xf numFmtId="0" fontId="31" fillId="5" borderId="66" xfId="0" applyFont="1" applyFill="1" applyBorder="1" applyAlignment="1">
      <alignment horizontal="center" vertical="center" wrapText="1"/>
    </xf>
    <xf numFmtId="0" fontId="35" fillId="3" borderId="54" xfId="0" applyFont="1" applyFill="1" applyBorder="1" applyAlignment="1" applyProtection="1">
      <alignment horizontal="center" vertical="center"/>
      <protection locked="0"/>
    </xf>
    <xf numFmtId="2" fontId="31" fillId="21" borderId="75" xfId="0" applyNumberFormat="1" applyFont="1" applyFill="1" applyBorder="1" applyAlignment="1">
      <alignment horizontal="center" vertical="center"/>
    </xf>
    <xf numFmtId="2" fontId="31" fillId="21" borderId="22" xfId="0" applyNumberFormat="1" applyFont="1" applyFill="1" applyBorder="1" applyAlignment="1">
      <alignment horizontal="center" vertical="center"/>
    </xf>
    <xf numFmtId="0" fontId="51" fillId="10" borderId="5" xfId="0" applyFont="1" applyFill="1" applyBorder="1" applyAlignment="1">
      <alignment horizontal="center" vertical="center" wrapText="1"/>
    </xf>
    <xf numFmtId="2" fontId="51" fillId="21" borderId="21" xfId="0" applyNumberFormat="1" applyFont="1" applyFill="1" applyBorder="1" applyAlignment="1">
      <alignment horizontal="center" vertical="center" wrapText="1"/>
    </xf>
    <xf numFmtId="0" fontId="15" fillId="9" borderId="0" xfId="0" applyFont="1" applyFill="1" applyAlignment="1">
      <alignment horizontal="center" vertical="center" wrapText="1"/>
    </xf>
    <xf numFmtId="0" fontId="34" fillId="9" borderId="0" xfId="0" applyFont="1" applyFill="1" applyAlignment="1">
      <alignment vertical="center" wrapText="1"/>
    </xf>
    <xf numFmtId="2" fontId="31" fillId="9" borderId="0" xfId="0" applyNumberFormat="1" applyFont="1" applyFill="1" applyAlignment="1">
      <alignment horizontal="center" vertical="center"/>
    </xf>
    <xf numFmtId="0" fontId="33" fillId="5" borderId="56" xfId="0" applyFont="1" applyFill="1" applyBorder="1" applyAlignment="1">
      <alignment horizontal="center" vertical="center" wrapText="1"/>
    </xf>
    <xf numFmtId="0" fontId="33" fillId="9" borderId="0" xfId="0" applyFont="1" applyFill="1" applyAlignment="1">
      <alignment vertical="center" wrapText="1"/>
    </xf>
    <xf numFmtId="0" fontId="33" fillId="5" borderId="27" xfId="0" applyFont="1" applyFill="1" applyBorder="1" applyAlignment="1">
      <alignment horizontal="center" vertical="center" wrapText="1"/>
    </xf>
    <xf numFmtId="2" fontId="31" fillId="9" borderId="0" xfId="0" applyNumberFormat="1" applyFont="1" applyFill="1" applyAlignment="1">
      <alignment vertical="center"/>
    </xf>
    <xf numFmtId="2" fontId="35" fillId="20" borderId="8" xfId="0" applyNumberFormat="1" applyFont="1" applyFill="1" applyBorder="1" applyAlignment="1">
      <alignment horizontal="center" vertical="center"/>
    </xf>
    <xf numFmtId="2" fontId="35" fillId="20" borderId="52" xfId="0" applyNumberFormat="1" applyFont="1" applyFill="1" applyBorder="1" applyAlignment="1">
      <alignment horizontal="center" vertical="center"/>
    </xf>
    <xf numFmtId="0" fontId="33" fillId="5" borderId="20" xfId="0" applyFont="1" applyFill="1" applyBorder="1" applyAlignment="1">
      <alignment horizontal="center" vertical="center" wrapText="1"/>
    </xf>
    <xf numFmtId="2" fontId="35" fillId="20" borderId="48" xfId="0" applyNumberFormat="1" applyFont="1" applyFill="1" applyBorder="1" applyAlignment="1">
      <alignment horizontal="center" vertical="center" wrapText="1"/>
    </xf>
    <xf numFmtId="0" fontId="39" fillId="5" borderId="12" xfId="10" applyFont="1" applyFill="1" applyBorder="1" applyAlignment="1">
      <alignment vertical="center" wrapText="1"/>
    </xf>
    <xf numFmtId="0" fontId="39" fillId="5" borderId="12" xfId="10" applyFont="1" applyFill="1" applyBorder="1" applyAlignment="1">
      <alignment wrapText="1"/>
    </xf>
    <xf numFmtId="0" fontId="31" fillId="21" borderId="21" xfId="0" applyFont="1" applyFill="1" applyBorder="1" applyAlignment="1">
      <alignment horizontal="center"/>
    </xf>
    <xf numFmtId="0" fontId="39" fillId="5" borderId="13" xfId="10" applyFont="1" applyFill="1" applyBorder="1" applyAlignment="1">
      <alignment vertical="center" wrapText="1"/>
    </xf>
    <xf numFmtId="0" fontId="31" fillId="9" borderId="0" xfId="0" applyFont="1" applyFill="1" applyAlignment="1">
      <alignment horizontal="left" vertical="center"/>
    </xf>
    <xf numFmtId="0" fontId="10" fillId="11" borderId="0" xfId="0" applyFont="1" applyFill="1"/>
    <xf numFmtId="0" fontId="11" fillId="11" borderId="0" xfId="0" applyFont="1" applyFill="1" applyAlignment="1">
      <alignment horizontal="left"/>
    </xf>
    <xf numFmtId="0" fontId="16" fillId="11" borderId="0" xfId="0" applyFont="1" applyFill="1"/>
    <xf numFmtId="2" fontId="10" fillId="11" borderId="0" xfId="0" applyNumberFormat="1" applyFont="1" applyFill="1"/>
    <xf numFmtId="0" fontId="10" fillId="11" borderId="77" xfId="0" applyFont="1" applyFill="1" applyBorder="1"/>
    <xf numFmtId="2" fontId="10" fillId="11" borderId="77" xfId="0" applyNumberFormat="1" applyFont="1" applyFill="1" applyBorder="1"/>
    <xf numFmtId="0" fontId="53" fillId="5" borderId="54" xfId="0" applyFont="1" applyFill="1" applyBorder="1"/>
    <xf numFmtId="0" fontId="13" fillId="5" borderId="54" xfId="0" applyFont="1" applyFill="1" applyBorder="1" applyAlignment="1">
      <alignment horizontal="center" vertical="center" wrapText="1"/>
    </xf>
    <xf numFmtId="0" fontId="16" fillId="5" borderId="54" xfId="0" applyFont="1" applyFill="1" applyBorder="1" applyAlignment="1">
      <alignment horizontal="center" vertical="center" wrapText="1"/>
    </xf>
    <xf numFmtId="2" fontId="13" fillId="20" borderId="42" xfId="0" applyNumberFormat="1" applyFont="1" applyFill="1" applyBorder="1" applyAlignment="1">
      <alignment horizontal="center" vertical="center"/>
    </xf>
    <xf numFmtId="2" fontId="13" fillId="20" borderId="5" xfId="0" applyNumberFormat="1" applyFont="1" applyFill="1" applyBorder="1" applyAlignment="1">
      <alignment horizontal="center" vertical="center"/>
    </xf>
    <xf numFmtId="2" fontId="13" fillId="20" borderId="21" xfId="0" applyNumberFormat="1" applyFont="1" applyFill="1" applyBorder="1" applyAlignment="1">
      <alignment horizontal="center" vertical="center"/>
    </xf>
    <xf numFmtId="2" fontId="13" fillId="20" borderId="18" xfId="0" applyNumberFormat="1" applyFont="1" applyFill="1" applyBorder="1" applyAlignment="1">
      <alignment horizontal="center" vertical="center"/>
    </xf>
    <xf numFmtId="2" fontId="13" fillId="20" borderId="22" xfId="0" applyNumberFormat="1" applyFont="1" applyFill="1" applyBorder="1" applyAlignment="1">
      <alignment horizontal="center" vertical="center"/>
    </xf>
    <xf numFmtId="0" fontId="61" fillId="11" borderId="0" xfId="0" applyFont="1" applyFill="1"/>
    <xf numFmtId="0" fontId="10" fillId="11" borderId="0" xfId="0" applyFont="1" applyFill="1" applyAlignment="1">
      <alignment horizontal="center" vertical="center" wrapText="1"/>
    </xf>
    <xf numFmtId="0" fontId="10" fillId="11" borderId="0" xfId="0" applyFont="1" applyFill="1" applyAlignment="1">
      <alignment wrapText="1"/>
    </xf>
    <xf numFmtId="0" fontId="16" fillId="5" borderId="28" xfId="0" applyFont="1" applyFill="1" applyBorder="1" applyAlignment="1">
      <alignment horizontal="center" vertical="center" wrapText="1"/>
    </xf>
    <xf numFmtId="0" fontId="13" fillId="5" borderId="28" xfId="0" applyFont="1" applyFill="1" applyBorder="1" applyAlignment="1">
      <alignment horizontal="center" vertical="center" wrapText="1"/>
    </xf>
    <xf numFmtId="0" fontId="13" fillId="5" borderId="14" xfId="0" applyFont="1" applyFill="1" applyBorder="1" applyAlignment="1">
      <alignment horizontal="center" vertical="center" wrapText="1"/>
    </xf>
    <xf numFmtId="2" fontId="13" fillId="20" borderId="17" xfId="0" applyNumberFormat="1" applyFont="1" applyFill="1" applyBorder="1" applyAlignment="1">
      <alignment horizontal="center" vertical="center"/>
    </xf>
    <xf numFmtId="2" fontId="13" fillId="20" borderId="19" xfId="0" applyNumberFormat="1" applyFont="1" applyFill="1" applyBorder="1" applyAlignment="1">
      <alignment horizontal="center" vertical="center"/>
    </xf>
    <xf numFmtId="0" fontId="13" fillId="5" borderId="12" xfId="0" applyFont="1" applyFill="1" applyBorder="1" applyAlignment="1">
      <alignment horizontal="center" vertical="center" wrapText="1"/>
    </xf>
    <xf numFmtId="0" fontId="13" fillId="5" borderId="12" xfId="0" applyFont="1" applyFill="1" applyBorder="1" applyAlignment="1">
      <alignment horizontal="center" vertical="center"/>
    </xf>
    <xf numFmtId="0" fontId="13" fillId="10" borderId="13" xfId="0" applyFont="1" applyFill="1" applyBorder="1" applyAlignment="1">
      <alignment horizontal="center" vertical="center" wrapText="1"/>
    </xf>
    <xf numFmtId="0" fontId="10" fillId="11" borderId="76" xfId="0" applyFont="1" applyFill="1" applyBorder="1"/>
    <xf numFmtId="0" fontId="13" fillId="5" borderId="44" xfId="0" applyFont="1" applyFill="1" applyBorder="1" applyAlignment="1">
      <alignment horizontal="center" vertical="top" wrapText="1"/>
    </xf>
    <xf numFmtId="0" fontId="13" fillId="5" borderId="36" xfId="0" applyFont="1" applyFill="1" applyBorder="1" applyAlignment="1">
      <alignment horizontal="center" vertical="top" wrapText="1"/>
    </xf>
    <xf numFmtId="0" fontId="13" fillId="5" borderId="70" xfId="0" applyFont="1" applyFill="1" applyBorder="1" applyAlignment="1">
      <alignment horizontal="center" vertical="top" wrapText="1"/>
    </xf>
    <xf numFmtId="0" fontId="13" fillId="5" borderId="16" xfId="0" applyFont="1" applyFill="1" applyBorder="1" applyAlignment="1">
      <alignment horizontal="center" vertical="top"/>
    </xf>
    <xf numFmtId="164" fontId="13" fillId="20" borderId="42" xfId="0" applyNumberFormat="1" applyFont="1" applyFill="1" applyBorder="1" applyAlignment="1">
      <alignment horizontal="center" vertical="center"/>
    </xf>
    <xf numFmtId="2" fontId="31" fillId="9" borderId="0" xfId="0" applyNumberFormat="1" applyFont="1" applyFill="1" applyAlignment="1">
      <alignment horizontal="center" vertical="center" wrapText="1"/>
    </xf>
    <xf numFmtId="0" fontId="31" fillId="10" borderId="5" xfId="0" applyFont="1" applyFill="1" applyBorder="1"/>
    <xf numFmtId="164" fontId="31" fillId="21" borderId="5" xfId="0" applyNumberFormat="1" applyFont="1" applyFill="1" applyBorder="1" applyAlignment="1">
      <alignment horizontal="right" vertical="center"/>
    </xf>
    <xf numFmtId="0" fontId="13" fillId="10" borderId="12" xfId="0" applyFont="1" applyFill="1" applyBorder="1" applyAlignment="1">
      <alignment horizontal="center" vertical="center"/>
    </xf>
    <xf numFmtId="0" fontId="13" fillId="10" borderId="13" xfId="0" applyFont="1" applyFill="1" applyBorder="1" applyAlignment="1">
      <alignment horizontal="center" vertical="center"/>
    </xf>
    <xf numFmtId="0" fontId="13" fillId="10" borderId="12" xfId="0" applyFont="1" applyFill="1" applyBorder="1" applyAlignment="1">
      <alignment horizontal="center" vertical="center" wrapText="1"/>
    </xf>
    <xf numFmtId="0" fontId="35" fillId="21" borderId="33" xfId="0" applyFont="1" applyFill="1" applyBorder="1" applyAlignment="1">
      <alignment horizontal="right" vertical="center" wrapText="1"/>
    </xf>
    <xf numFmtId="0" fontId="16" fillId="10" borderId="46" xfId="0" applyFont="1" applyFill="1" applyBorder="1" applyAlignment="1">
      <alignment horizontal="center"/>
    </xf>
    <xf numFmtId="0" fontId="16" fillId="10" borderId="10" xfId="0" applyFont="1" applyFill="1" applyBorder="1" applyAlignment="1">
      <alignment horizontal="left" vertical="center"/>
    </xf>
    <xf numFmtId="1" fontId="16" fillId="3" borderId="10" xfId="0" applyNumberFormat="1" applyFont="1" applyFill="1" applyBorder="1" applyAlignment="1" applyProtection="1">
      <alignment horizontal="center" vertical="center"/>
      <protection locked="0"/>
    </xf>
    <xf numFmtId="0" fontId="35" fillId="5" borderId="5" xfId="0" applyFont="1" applyFill="1" applyBorder="1" applyAlignment="1">
      <alignment vertical="center" wrapText="1"/>
    </xf>
    <xf numFmtId="0" fontId="58" fillId="9" borderId="0" xfId="0" applyFont="1" applyFill="1"/>
    <xf numFmtId="0" fontId="51" fillId="11" borderId="0" xfId="0" applyFont="1" applyFill="1" applyAlignment="1">
      <alignment horizontal="center"/>
    </xf>
    <xf numFmtId="10" fontId="14" fillId="4" borderId="19" xfId="0" applyNumberFormat="1" applyFont="1" applyFill="1" applyBorder="1" applyAlignment="1">
      <alignment horizontal="center" vertical="center" wrapText="1"/>
    </xf>
    <xf numFmtId="10" fontId="14" fillId="4" borderId="21" xfId="0" applyNumberFormat="1" applyFont="1" applyFill="1" applyBorder="1" applyAlignment="1">
      <alignment horizontal="center" vertical="center" wrapText="1"/>
    </xf>
    <xf numFmtId="10" fontId="14" fillId="4" borderId="22" xfId="0" applyNumberFormat="1" applyFont="1" applyFill="1" applyBorder="1" applyAlignment="1">
      <alignment horizontal="center" vertical="center" wrapText="1"/>
    </xf>
    <xf numFmtId="0" fontId="31" fillId="11" borderId="0" xfId="0" applyFont="1" applyFill="1" applyAlignment="1">
      <alignment vertical="center"/>
    </xf>
    <xf numFmtId="0" fontId="11" fillId="9" borderId="0" xfId="0" applyFont="1" applyFill="1" applyAlignment="1">
      <alignment horizontal="center"/>
    </xf>
    <xf numFmtId="0" fontId="35" fillId="5" borderId="75" xfId="0" applyFont="1" applyFill="1" applyBorder="1" applyAlignment="1">
      <alignment horizontal="center" vertical="center" wrapText="1"/>
    </xf>
    <xf numFmtId="0" fontId="35" fillId="5" borderId="72" xfId="0" applyFont="1" applyFill="1" applyBorder="1" applyAlignment="1">
      <alignment horizontal="center" vertical="center" wrapText="1"/>
    </xf>
    <xf numFmtId="0" fontId="26" fillId="11" borderId="0" xfId="0" applyFont="1" applyFill="1" applyAlignment="1">
      <alignment horizontal="center" vertical="center"/>
    </xf>
    <xf numFmtId="2" fontId="31" fillId="20" borderId="60" xfId="0" applyNumberFormat="1" applyFont="1" applyFill="1" applyBorder="1" applyAlignment="1">
      <alignment horizontal="center" vertical="center" wrapText="1"/>
    </xf>
    <xf numFmtId="0" fontId="16" fillId="10" borderId="57" xfId="0" applyFont="1" applyFill="1" applyBorder="1" applyAlignment="1">
      <alignment horizontal="left" vertical="top"/>
    </xf>
    <xf numFmtId="0" fontId="16" fillId="10" borderId="0" xfId="0" applyFont="1" applyFill="1" applyAlignment="1">
      <alignment horizontal="left" vertical="top"/>
    </xf>
    <xf numFmtId="0" fontId="16" fillId="10" borderId="50" xfId="0" applyFont="1" applyFill="1" applyBorder="1" applyAlignment="1">
      <alignment horizontal="left" vertical="top"/>
    </xf>
    <xf numFmtId="0" fontId="13" fillId="21" borderId="26" xfId="0" applyFont="1" applyFill="1" applyBorder="1" applyAlignment="1">
      <alignment horizontal="center" vertical="center" wrapText="1"/>
    </xf>
    <xf numFmtId="0" fontId="13" fillId="0" borderId="25" xfId="0" applyFont="1" applyBorder="1" applyAlignment="1" applyProtection="1">
      <alignment horizontal="center" vertical="center" wrapText="1"/>
      <protection locked="0"/>
    </xf>
    <xf numFmtId="0" fontId="13" fillId="9" borderId="0" xfId="0" applyFont="1" applyFill="1" applyAlignment="1">
      <alignment horizontal="center" vertical="center" wrapText="1"/>
    </xf>
    <xf numFmtId="0" fontId="13" fillId="0" borderId="12" xfId="0" applyFont="1" applyBorder="1" applyAlignment="1" applyProtection="1">
      <alignment horizontal="center" wrapText="1"/>
      <protection locked="0"/>
    </xf>
    <xf numFmtId="0" fontId="13" fillId="0" borderId="41" xfId="0" applyFont="1" applyBorder="1" applyAlignment="1" applyProtection="1">
      <alignment horizontal="center" wrapText="1"/>
      <protection locked="0"/>
    </xf>
    <xf numFmtId="0" fontId="63" fillId="9" borderId="0" xfId="0" applyFont="1" applyFill="1" applyAlignment="1">
      <alignment vertical="center"/>
    </xf>
    <xf numFmtId="0" fontId="62" fillId="9" borderId="0" xfId="0" applyFont="1" applyFill="1" applyAlignment="1">
      <alignment vertical="center" wrapText="1"/>
    </xf>
    <xf numFmtId="0" fontId="62" fillId="9" borderId="0" xfId="0" applyFont="1" applyFill="1" applyAlignment="1">
      <alignment vertical="center"/>
    </xf>
    <xf numFmtId="0" fontId="35" fillId="10" borderId="37" xfId="0" applyFont="1" applyFill="1" applyBorder="1" applyAlignment="1">
      <alignment horizontal="center" vertical="center" wrapText="1"/>
    </xf>
    <xf numFmtId="0" fontId="31" fillId="3" borderId="40" xfId="0" applyFont="1" applyFill="1" applyBorder="1" applyAlignment="1" applyProtection="1">
      <alignment wrapText="1"/>
      <protection locked="0"/>
    </xf>
    <xf numFmtId="0" fontId="31" fillId="3" borderId="26" xfId="0" applyFont="1" applyFill="1" applyBorder="1" applyAlignment="1">
      <alignment wrapText="1"/>
    </xf>
    <xf numFmtId="0" fontId="31" fillId="3" borderId="21" xfId="0" applyFont="1" applyFill="1" applyBorder="1" applyAlignment="1">
      <alignment wrapText="1"/>
    </xf>
    <xf numFmtId="0" fontId="31" fillId="3" borderId="29" xfId="0" applyFont="1" applyFill="1" applyBorder="1" applyAlignment="1" applyProtection="1">
      <alignment wrapText="1"/>
      <protection locked="0"/>
    </xf>
    <xf numFmtId="0" fontId="31" fillId="3" borderId="49" xfId="0" applyFont="1" applyFill="1" applyBorder="1" applyAlignment="1" applyProtection="1">
      <alignment wrapText="1"/>
      <protection locked="0"/>
    </xf>
    <xf numFmtId="0" fontId="31" fillId="3" borderId="30" xfId="0" applyFont="1" applyFill="1" applyBorder="1" applyAlignment="1" applyProtection="1">
      <alignment wrapText="1"/>
      <protection locked="0"/>
    </xf>
    <xf numFmtId="0" fontId="31" fillId="3" borderId="55" xfId="0" applyFont="1" applyFill="1" applyBorder="1" applyAlignment="1" applyProtection="1">
      <alignment wrapText="1"/>
      <protection locked="0"/>
    </xf>
    <xf numFmtId="0" fontId="31" fillId="3" borderId="43" xfId="0" applyFont="1" applyFill="1" applyBorder="1" applyAlignment="1" applyProtection="1">
      <alignment wrapText="1"/>
      <protection locked="0"/>
    </xf>
    <xf numFmtId="0" fontId="31" fillId="0" borderId="60" xfId="0" applyFont="1" applyBorder="1" applyAlignment="1" applyProtection="1">
      <alignment wrapText="1"/>
      <protection locked="0"/>
    </xf>
    <xf numFmtId="0" fontId="31" fillId="3" borderId="60" xfId="0" applyFont="1" applyFill="1" applyBorder="1" applyAlignment="1" applyProtection="1">
      <alignment wrapText="1"/>
      <protection locked="0"/>
    </xf>
    <xf numFmtId="0" fontId="31" fillId="3" borderId="63" xfId="0" applyFont="1" applyFill="1" applyBorder="1" applyAlignment="1" applyProtection="1">
      <alignment wrapText="1"/>
      <protection locked="0"/>
    </xf>
    <xf numFmtId="0" fontId="15" fillId="5" borderId="7" xfId="0" applyFont="1" applyFill="1" applyBorder="1"/>
    <xf numFmtId="0" fontId="15" fillId="5" borderId="73" xfId="0" applyFont="1" applyFill="1" applyBorder="1"/>
    <xf numFmtId="0" fontId="15" fillId="5" borderId="37" xfId="0" applyFont="1" applyFill="1" applyBorder="1"/>
    <xf numFmtId="0" fontId="39" fillId="5" borderId="14" xfId="10" applyFont="1" applyFill="1" applyBorder="1" applyAlignment="1">
      <alignment vertical="center" wrapText="1"/>
    </xf>
    <xf numFmtId="0" fontId="31" fillId="11" borderId="5" xfId="0" applyFont="1" applyFill="1" applyBorder="1" applyAlignment="1">
      <alignment horizontal="left" vertical="top" wrapText="1"/>
    </xf>
    <xf numFmtId="0" fontId="31" fillId="11" borderId="66" xfId="0" applyFont="1" applyFill="1" applyBorder="1" applyAlignment="1">
      <alignment horizontal="left" vertical="top" wrapText="1"/>
    </xf>
    <xf numFmtId="0" fontId="31" fillId="11" borderId="42" xfId="0" applyFont="1" applyFill="1" applyBorder="1" applyAlignment="1">
      <alignment horizontal="left" vertical="top" wrapText="1"/>
    </xf>
    <xf numFmtId="0" fontId="31" fillId="11" borderId="66" xfId="0" applyFont="1" applyFill="1" applyBorder="1" applyAlignment="1">
      <alignment wrapText="1"/>
    </xf>
    <xf numFmtId="0" fontId="66" fillId="9" borderId="0" xfId="0" applyFont="1" applyFill="1"/>
    <xf numFmtId="0" fontId="31" fillId="3" borderId="61" xfId="0" applyFont="1" applyFill="1" applyBorder="1" applyAlignment="1" applyProtection="1">
      <alignment wrapText="1"/>
      <protection locked="0"/>
    </xf>
    <xf numFmtId="0" fontId="31" fillId="3" borderId="6" xfId="0" applyFont="1" applyFill="1" applyBorder="1" applyAlignment="1" applyProtection="1">
      <alignment wrapText="1"/>
      <protection locked="0"/>
    </xf>
    <xf numFmtId="0" fontId="31" fillId="3" borderId="58" xfId="0" applyFont="1" applyFill="1" applyBorder="1" applyAlignment="1" applyProtection="1">
      <alignment wrapText="1"/>
      <protection locked="0"/>
    </xf>
    <xf numFmtId="2" fontId="31" fillId="3" borderId="5" xfId="0" applyNumberFormat="1" applyFont="1" applyFill="1" applyBorder="1" applyAlignment="1" applyProtection="1">
      <alignment horizontal="center" vertical="center" wrapText="1"/>
      <protection locked="0"/>
    </xf>
    <xf numFmtId="0" fontId="31" fillId="10" borderId="14" xfId="0" applyFont="1" applyFill="1" applyBorder="1" applyAlignment="1">
      <alignment horizontal="center" vertical="center" wrapText="1"/>
    </xf>
    <xf numFmtId="2" fontId="14" fillId="4" borderId="17" xfId="0" applyNumberFormat="1" applyFont="1" applyFill="1" applyBorder="1" applyAlignment="1">
      <alignment horizontal="center" vertical="center"/>
    </xf>
    <xf numFmtId="2" fontId="14" fillId="4" borderId="5" xfId="0" applyNumberFormat="1" applyFont="1" applyFill="1" applyBorder="1" applyAlignment="1">
      <alignment horizontal="center" vertical="center"/>
    </xf>
    <xf numFmtId="2" fontId="14" fillId="4" borderId="18" xfId="0" applyNumberFormat="1" applyFont="1" applyFill="1" applyBorder="1" applyAlignment="1">
      <alignment horizontal="center" vertical="center"/>
    </xf>
    <xf numFmtId="10" fontId="14" fillId="4" borderId="5" xfId="0" applyNumberFormat="1" applyFont="1" applyFill="1" applyBorder="1" applyAlignment="1">
      <alignment horizontal="center" vertical="center"/>
    </xf>
    <xf numFmtId="10" fontId="14" fillId="4" borderId="17" xfId="0" applyNumberFormat="1" applyFont="1" applyFill="1" applyBorder="1" applyAlignment="1">
      <alignment horizontal="center" vertical="center"/>
    </xf>
    <xf numFmtId="10" fontId="14" fillId="4" borderId="18" xfId="0" applyNumberFormat="1" applyFont="1" applyFill="1" applyBorder="1" applyAlignment="1">
      <alignment horizontal="center" vertical="center"/>
    </xf>
    <xf numFmtId="2" fontId="35" fillId="20" borderId="59" xfId="0" applyNumberFormat="1" applyFont="1" applyFill="1" applyBorder="1" applyAlignment="1">
      <alignment horizontal="center" vertical="center"/>
    </xf>
    <xf numFmtId="0" fontId="15" fillId="5" borderId="5" xfId="0" applyFont="1" applyFill="1" applyBorder="1" applyAlignment="1">
      <alignment horizontal="center" vertical="center" wrapText="1"/>
    </xf>
    <xf numFmtId="0" fontId="31" fillId="5" borderId="9" xfId="0" applyFont="1" applyFill="1" applyBorder="1" applyAlignment="1">
      <alignment horizontal="center" vertical="center" wrapText="1"/>
    </xf>
    <xf numFmtId="2" fontId="31" fillId="21" borderId="11" xfId="0" applyNumberFormat="1" applyFont="1" applyFill="1" applyBorder="1" applyAlignment="1">
      <alignment horizontal="center" vertical="center" wrapText="1"/>
    </xf>
    <xf numFmtId="0" fontId="35" fillId="10" borderId="28" xfId="0" applyFont="1" applyFill="1" applyBorder="1" applyAlignment="1">
      <alignment horizontal="center" vertical="center" wrapText="1"/>
    </xf>
    <xf numFmtId="0" fontId="35" fillId="5" borderId="54" xfId="0" applyFont="1" applyFill="1" applyBorder="1" applyAlignment="1">
      <alignment horizontal="center" vertical="center" wrapText="1"/>
    </xf>
    <xf numFmtId="0" fontId="35" fillId="5" borderId="54" xfId="0" applyFont="1" applyFill="1" applyBorder="1" applyAlignment="1">
      <alignment horizontal="center" vertical="center"/>
    </xf>
    <xf numFmtId="0" fontId="0" fillId="28" borderId="0" xfId="0" applyFill="1"/>
    <xf numFmtId="0" fontId="31" fillId="21" borderId="25" xfId="0" applyFont="1" applyFill="1" applyBorder="1" applyAlignment="1">
      <alignment horizontal="center" vertical="center"/>
    </xf>
    <xf numFmtId="0" fontId="31" fillId="0" borderId="25" xfId="0" applyFont="1" applyBorder="1" applyAlignment="1" applyProtection="1">
      <alignment horizontal="center" vertical="center"/>
      <protection locked="0"/>
    </xf>
    <xf numFmtId="0" fontId="31" fillId="21" borderId="67" xfId="0" applyFont="1" applyFill="1" applyBorder="1" applyAlignment="1">
      <alignment horizontal="center" vertical="center"/>
    </xf>
    <xf numFmtId="2" fontId="31" fillId="20" borderId="49" xfId="0" applyNumberFormat="1" applyFont="1" applyFill="1" applyBorder="1" applyAlignment="1">
      <alignment horizontal="center" vertical="center"/>
    </xf>
    <xf numFmtId="2" fontId="31" fillId="9" borderId="2" xfId="0" applyNumberFormat="1" applyFont="1" applyFill="1" applyBorder="1" applyAlignment="1">
      <alignment horizontal="center" vertical="center"/>
    </xf>
    <xf numFmtId="2" fontId="31" fillId="9" borderId="42" xfId="0" applyNumberFormat="1" applyFont="1" applyFill="1" applyBorder="1" applyAlignment="1">
      <alignment horizontal="center" vertical="center"/>
    </xf>
    <xf numFmtId="0" fontId="35" fillId="10" borderId="48" xfId="0" applyFont="1" applyFill="1" applyBorder="1" applyAlignment="1">
      <alignment horizontal="center" vertical="center"/>
    </xf>
    <xf numFmtId="0" fontId="35" fillId="21" borderId="54" xfId="0" applyFont="1" applyFill="1" applyBorder="1" applyAlignment="1">
      <alignment horizontal="center" vertical="center" wrapText="1"/>
    </xf>
    <xf numFmtId="0" fontId="35" fillId="3" borderId="35" xfId="0" applyFont="1" applyFill="1" applyBorder="1" applyAlignment="1" applyProtection="1">
      <alignment horizontal="center" vertical="center" wrapText="1"/>
      <protection locked="0"/>
    </xf>
    <xf numFmtId="2" fontId="35" fillId="20" borderId="9" xfId="0" applyNumberFormat="1" applyFont="1" applyFill="1" applyBorder="1" applyAlignment="1">
      <alignment horizontal="center" vertical="center" wrapText="1"/>
    </xf>
    <xf numFmtId="2" fontId="35" fillId="20" borderId="10" xfId="0" applyNumberFormat="1" applyFont="1" applyFill="1" applyBorder="1" applyAlignment="1">
      <alignment horizontal="center" vertical="center" wrapText="1"/>
    </xf>
    <xf numFmtId="0" fontId="35" fillId="9" borderId="58" xfId="0" applyFont="1" applyFill="1" applyBorder="1" applyAlignment="1">
      <alignment horizontal="center" vertical="center"/>
    </xf>
    <xf numFmtId="0" fontId="35" fillId="20" borderId="35" xfId="0" applyFont="1" applyFill="1" applyBorder="1" applyAlignment="1">
      <alignment horizontal="center" vertical="center" wrapText="1"/>
    </xf>
    <xf numFmtId="0" fontId="25" fillId="9" borderId="0" xfId="0" applyFont="1" applyFill="1" applyAlignment="1">
      <alignment wrapText="1"/>
    </xf>
    <xf numFmtId="0" fontId="31" fillId="3" borderId="33" xfId="0" applyFont="1" applyFill="1" applyBorder="1" applyAlignment="1" applyProtection="1">
      <alignment horizontal="center" vertical="center" wrapText="1"/>
      <protection locked="0"/>
    </xf>
    <xf numFmtId="0" fontId="31" fillId="3" borderId="13" xfId="0" applyFont="1" applyFill="1" applyBorder="1" applyAlignment="1" applyProtection="1">
      <alignment horizontal="center" vertical="center"/>
      <protection locked="0"/>
    </xf>
    <xf numFmtId="0" fontId="31" fillId="3" borderId="12" xfId="0" applyFont="1" applyFill="1" applyBorder="1" applyAlignment="1" applyProtection="1">
      <alignment horizontal="center" vertical="center"/>
      <protection locked="0"/>
    </xf>
    <xf numFmtId="0" fontId="35" fillId="11" borderId="33" xfId="0" applyFont="1" applyFill="1" applyBorder="1" applyAlignment="1">
      <alignment horizontal="center" vertical="center"/>
    </xf>
    <xf numFmtId="0" fontId="35" fillId="5" borderId="33" xfId="0" applyFont="1" applyFill="1" applyBorder="1" applyAlignment="1">
      <alignment horizontal="center" vertical="center"/>
    </xf>
    <xf numFmtId="2" fontId="31" fillId="20" borderId="26" xfId="0" applyNumberFormat="1" applyFont="1" applyFill="1" applyBorder="1" applyAlignment="1">
      <alignment horizontal="center" vertical="center"/>
    </xf>
    <xf numFmtId="2" fontId="31" fillId="20" borderId="22" xfId="0" applyNumberFormat="1" applyFont="1" applyFill="1" applyBorder="1" applyAlignment="1">
      <alignment horizontal="center" vertical="center"/>
    </xf>
    <xf numFmtId="0" fontId="51" fillId="9" borderId="0" xfId="0" applyFont="1" applyFill="1" applyAlignment="1">
      <alignment horizontal="center" vertical="center"/>
    </xf>
    <xf numFmtId="2" fontId="10" fillId="9" borderId="0" xfId="0" applyNumberFormat="1" applyFont="1" applyFill="1" applyAlignment="1">
      <alignment horizontal="center" vertical="center"/>
    </xf>
    <xf numFmtId="0" fontId="35" fillId="10" borderId="73" xfId="0" applyFont="1" applyFill="1" applyBorder="1" applyAlignment="1">
      <alignment horizontal="center" vertical="center" wrapText="1"/>
    </xf>
    <xf numFmtId="0" fontId="35" fillId="10" borderId="7" xfId="0" applyFont="1" applyFill="1" applyBorder="1" applyAlignment="1">
      <alignment horizontal="center" vertical="center" wrapText="1"/>
    </xf>
    <xf numFmtId="0" fontId="35" fillId="5" borderId="28" xfId="0" applyFont="1" applyFill="1" applyBorder="1" applyAlignment="1">
      <alignment horizontal="center" vertical="center"/>
    </xf>
    <xf numFmtId="0" fontId="35" fillId="5" borderId="73" xfId="0" applyFont="1" applyFill="1" applyBorder="1" applyAlignment="1">
      <alignment horizontal="center" vertical="center" wrapText="1"/>
    </xf>
    <xf numFmtId="0" fontId="35" fillId="5" borderId="28" xfId="0" applyFont="1" applyFill="1" applyBorder="1" applyAlignment="1">
      <alignment horizontal="center" vertical="center" wrapText="1"/>
    </xf>
    <xf numFmtId="0" fontId="35" fillId="5" borderId="30" xfId="0" applyFont="1" applyFill="1" applyBorder="1" applyAlignment="1">
      <alignment horizontal="center" vertical="center" wrapText="1"/>
    </xf>
    <xf numFmtId="0" fontId="35" fillId="5" borderId="20" xfId="0" applyFont="1" applyFill="1" applyBorder="1" applyAlignment="1">
      <alignment horizontal="center" vertical="center" wrapText="1"/>
    </xf>
    <xf numFmtId="0" fontId="35" fillId="5" borderId="38" xfId="0" applyFont="1" applyFill="1" applyBorder="1" applyAlignment="1">
      <alignment horizontal="center" vertical="center" wrapText="1"/>
    </xf>
    <xf numFmtId="0" fontId="35" fillId="10" borderId="66" xfId="0" applyFont="1" applyFill="1" applyBorder="1" applyAlignment="1">
      <alignment horizontal="center" vertical="center" wrapText="1"/>
    </xf>
    <xf numFmtId="0" fontId="15" fillId="5" borderId="12" xfId="0" applyFont="1" applyFill="1" applyBorder="1" applyAlignment="1">
      <alignment horizontal="center" vertical="center" wrapText="1"/>
    </xf>
    <xf numFmtId="0" fontId="15" fillId="5" borderId="21" xfId="0" applyFont="1" applyFill="1" applyBorder="1" applyAlignment="1">
      <alignment horizontal="center" vertical="center" wrapText="1"/>
    </xf>
    <xf numFmtId="2" fontId="35" fillId="20" borderId="8" xfId="0" applyNumberFormat="1" applyFont="1" applyFill="1" applyBorder="1" applyAlignment="1">
      <alignment horizontal="center"/>
    </xf>
    <xf numFmtId="0" fontId="68" fillId="9" borderId="0" xfId="0" applyFont="1" applyFill="1"/>
    <xf numFmtId="0" fontId="68" fillId="28" borderId="0" xfId="0" applyFont="1" applyFill="1"/>
    <xf numFmtId="0" fontId="62" fillId="21" borderId="14" xfId="0" applyFont="1" applyFill="1" applyBorder="1" applyAlignment="1">
      <alignment horizontal="center" vertical="center"/>
    </xf>
    <xf numFmtId="0" fontId="62" fillId="21" borderId="47" xfId="0" applyFont="1" applyFill="1" applyBorder="1" applyAlignment="1">
      <alignment horizontal="center"/>
    </xf>
    <xf numFmtId="0" fontId="62" fillId="21" borderId="17" xfId="0" applyFont="1" applyFill="1" applyBorder="1" applyAlignment="1">
      <alignment horizontal="center"/>
    </xf>
    <xf numFmtId="0" fontId="62" fillId="21" borderId="31" xfId="0" applyFont="1" applyFill="1" applyBorder="1" applyAlignment="1">
      <alignment horizontal="center"/>
    </xf>
    <xf numFmtId="0" fontId="62" fillId="21" borderId="19" xfId="0" applyFont="1" applyFill="1" applyBorder="1" applyAlignment="1">
      <alignment horizontal="center"/>
    </xf>
    <xf numFmtId="0" fontId="62" fillId="21" borderId="12" xfId="0" applyFont="1" applyFill="1" applyBorder="1"/>
    <xf numFmtId="0" fontId="62" fillId="21" borderId="5" xfId="0" applyFont="1" applyFill="1" applyBorder="1" applyAlignment="1">
      <alignment horizontal="center"/>
    </xf>
    <xf numFmtId="0" fontId="62" fillId="21" borderId="21" xfId="0" applyFont="1" applyFill="1" applyBorder="1" applyAlignment="1">
      <alignment horizontal="center"/>
    </xf>
    <xf numFmtId="0" fontId="62" fillId="21" borderId="13" xfId="0" applyFont="1" applyFill="1" applyBorder="1"/>
    <xf numFmtId="0" fontId="62" fillId="21" borderId="32" xfId="0" applyFont="1" applyFill="1" applyBorder="1" applyAlignment="1">
      <alignment horizontal="center"/>
    </xf>
    <xf numFmtId="0" fontId="62" fillId="21" borderId="18" xfId="0" applyFont="1" applyFill="1" applyBorder="1" applyAlignment="1">
      <alignment horizontal="center"/>
    </xf>
    <xf numFmtId="0" fontId="62" fillId="21" borderId="22" xfId="0" applyFont="1" applyFill="1" applyBorder="1" applyAlignment="1">
      <alignment horizontal="center"/>
    </xf>
    <xf numFmtId="0" fontId="62" fillId="21" borderId="42" xfId="0" applyFont="1" applyFill="1" applyBorder="1" applyAlignment="1">
      <alignment horizontal="center" vertical="center"/>
    </xf>
    <xf numFmtId="0" fontId="62" fillId="21" borderId="12" xfId="0" applyFont="1" applyFill="1" applyBorder="1" applyAlignment="1">
      <alignment horizontal="center" vertical="center"/>
    </xf>
    <xf numFmtId="0" fontId="62" fillId="21" borderId="5" xfId="0" applyFont="1" applyFill="1" applyBorder="1" applyAlignment="1">
      <alignment horizontal="center" vertical="center"/>
    </xf>
    <xf numFmtId="0" fontId="62" fillId="21" borderId="21" xfId="0" applyFont="1" applyFill="1" applyBorder="1" applyAlignment="1">
      <alignment horizontal="center" vertical="center"/>
    </xf>
    <xf numFmtId="0" fontId="0" fillId="10" borderId="8" xfId="0" applyFill="1" applyBorder="1" applyAlignment="1">
      <alignment horizontal="center" vertical="center"/>
    </xf>
    <xf numFmtId="0" fontId="0" fillId="10" borderId="52" xfId="0" applyFill="1" applyBorder="1" applyAlignment="1">
      <alignment horizontal="center" vertical="center"/>
    </xf>
    <xf numFmtId="0" fontId="0" fillId="10" borderId="38" xfId="0" applyFill="1" applyBorder="1" applyAlignment="1">
      <alignment horizontal="center" vertical="center"/>
    </xf>
    <xf numFmtId="0" fontId="62" fillId="21" borderId="17" xfId="0" applyFont="1" applyFill="1" applyBorder="1" applyAlignment="1">
      <alignment horizontal="center" vertical="center"/>
    </xf>
    <xf numFmtId="0" fontId="62" fillId="21" borderId="19" xfId="0" applyFont="1" applyFill="1" applyBorder="1" applyAlignment="1">
      <alignment horizontal="center" vertical="center"/>
    </xf>
    <xf numFmtId="0" fontId="62" fillId="21" borderId="13" xfId="0" applyFont="1" applyFill="1" applyBorder="1" applyAlignment="1">
      <alignment horizontal="center" vertical="center"/>
    </xf>
    <xf numFmtId="0" fontId="62" fillId="21" borderId="18" xfId="0" applyFont="1" applyFill="1" applyBorder="1" applyAlignment="1">
      <alignment horizontal="center" vertical="center"/>
    </xf>
    <xf numFmtId="0" fontId="62" fillId="21" borderId="52" xfId="0" applyFont="1" applyFill="1" applyBorder="1" applyAlignment="1">
      <alignment horizontal="center" vertical="center"/>
    </xf>
    <xf numFmtId="0" fontId="62" fillId="21" borderId="22" xfId="0" applyFont="1" applyFill="1" applyBorder="1" applyAlignment="1">
      <alignment horizontal="center" vertical="center"/>
    </xf>
    <xf numFmtId="0" fontId="35" fillId="21" borderId="53" xfId="0" applyFont="1" applyFill="1" applyBorder="1" applyAlignment="1">
      <alignment horizontal="right" wrapText="1"/>
    </xf>
    <xf numFmtId="2" fontId="35" fillId="20" borderId="53" xfId="0" applyNumberFormat="1" applyFont="1" applyFill="1" applyBorder="1" applyAlignment="1">
      <alignment horizontal="center" vertical="center" wrapText="1"/>
    </xf>
    <xf numFmtId="0" fontId="35" fillId="9" borderId="50" xfId="0" applyFont="1" applyFill="1" applyBorder="1" applyAlignment="1">
      <alignment horizontal="center" vertical="center" wrapText="1"/>
    </xf>
    <xf numFmtId="0" fontId="35" fillId="10" borderId="20" xfId="0" applyFont="1" applyFill="1" applyBorder="1" applyAlignment="1">
      <alignment horizontal="center" vertical="center" wrapText="1"/>
    </xf>
    <xf numFmtId="0" fontId="31" fillId="8" borderId="17" xfId="0" applyFont="1" applyFill="1" applyBorder="1" applyAlignment="1">
      <alignment horizontal="center" vertical="top"/>
    </xf>
    <xf numFmtId="0" fontId="31" fillId="0" borderId="19" xfId="0" applyFont="1" applyBorder="1" applyAlignment="1" applyProtection="1">
      <alignment horizontal="center" vertical="center" wrapText="1"/>
      <protection locked="0"/>
    </xf>
    <xf numFmtId="0" fontId="31" fillId="21" borderId="19" xfId="0" applyFont="1" applyFill="1" applyBorder="1" applyAlignment="1">
      <alignment horizontal="center" vertical="center" wrapText="1"/>
    </xf>
    <xf numFmtId="0" fontId="31" fillId="0" borderId="14" xfId="0" applyFont="1" applyBorder="1" applyAlignment="1" applyProtection="1">
      <alignment horizontal="center" vertical="center" wrapText="1"/>
      <protection locked="0"/>
    </xf>
    <xf numFmtId="0" fontId="31" fillId="21" borderId="15" xfId="0" applyFont="1" applyFill="1" applyBorder="1" applyAlignment="1">
      <alignment horizontal="center" vertical="center" wrapText="1"/>
    </xf>
    <xf numFmtId="0" fontId="31" fillId="21" borderId="35" xfId="0" applyFont="1" applyFill="1" applyBorder="1" applyAlignment="1">
      <alignment horizontal="center" vertical="center" wrapText="1"/>
    </xf>
    <xf numFmtId="2" fontId="31" fillId="20" borderId="29" xfId="0" applyNumberFormat="1" applyFont="1" applyFill="1" applyBorder="1" applyAlignment="1">
      <alignment horizontal="center" vertical="center" wrapText="1"/>
    </xf>
    <xf numFmtId="0" fontId="31" fillId="8" borderId="18" xfId="0" applyFont="1" applyFill="1" applyBorder="1" applyAlignment="1">
      <alignment horizontal="center" vertical="top"/>
    </xf>
    <xf numFmtId="0" fontId="31" fillId="21" borderId="8" xfId="0" applyFont="1" applyFill="1" applyBorder="1" applyAlignment="1">
      <alignment horizontal="center" vertical="center" wrapText="1"/>
    </xf>
    <xf numFmtId="0" fontId="31" fillId="21" borderId="38" xfId="0" applyFont="1" applyFill="1" applyBorder="1" applyAlignment="1">
      <alignment horizontal="center" vertical="center" wrapText="1"/>
    </xf>
    <xf numFmtId="0" fontId="31" fillId="21" borderId="52" xfId="0" applyFont="1" applyFill="1" applyBorder="1" applyAlignment="1">
      <alignment horizontal="center" vertical="center" wrapText="1"/>
    </xf>
    <xf numFmtId="0" fontId="31" fillId="21" borderId="33" xfId="0" applyFont="1" applyFill="1" applyBorder="1" applyAlignment="1">
      <alignment horizontal="center" vertical="center" wrapText="1"/>
    </xf>
    <xf numFmtId="2" fontId="35" fillId="20" borderId="8" xfId="0" applyNumberFormat="1" applyFont="1" applyFill="1" applyBorder="1" applyAlignment="1">
      <alignment horizontal="center" vertical="center" wrapText="1"/>
    </xf>
    <xf numFmtId="0" fontId="31" fillId="0" borderId="61" xfId="0" applyFont="1" applyBorder="1" applyAlignment="1" applyProtection="1">
      <alignment horizontal="center" vertical="center" wrapText="1"/>
      <protection locked="0"/>
    </xf>
    <xf numFmtId="2" fontId="31" fillId="21" borderId="17" xfId="0" applyNumberFormat="1" applyFont="1" applyFill="1" applyBorder="1" applyAlignment="1">
      <alignment horizontal="center" vertical="center" wrapText="1"/>
    </xf>
    <xf numFmtId="2" fontId="31" fillId="20" borderId="17" xfId="0" applyNumberFormat="1" applyFont="1" applyFill="1" applyBorder="1" applyAlignment="1">
      <alignment horizontal="center" vertical="center" wrapText="1"/>
    </xf>
    <xf numFmtId="2" fontId="31" fillId="21" borderId="52" xfId="0" applyNumberFormat="1" applyFont="1" applyFill="1" applyBorder="1" applyAlignment="1">
      <alignment horizontal="center" vertical="center" wrapText="1"/>
    </xf>
    <xf numFmtId="2" fontId="31" fillId="20" borderId="52" xfId="0" applyNumberFormat="1" applyFont="1" applyFill="1" applyBorder="1" applyAlignment="1">
      <alignment horizontal="center" vertical="center" wrapText="1"/>
    </xf>
    <xf numFmtId="0" fontId="31" fillId="0" borderId="82" xfId="0" applyFont="1" applyBorder="1" applyAlignment="1" applyProtection="1">
      <alignment horizontal="center" vertical="center" wrapText="1"/>
      <protection locked="0"/>
    </xf>
    <xf numFmtId="0" fontId="35" fillId="10" borderId="72" xfId="0" applyFont="1" applyFill="1" applyBorder="1" applyAlignment="1">
      <alignment horizontal="center" vertical="center" wrapText="1"/>
    </xf>
    <xf numFmtId="0" fontId="35" fillId="10" borderId="72" xfId="0" applyFont="1" applyFill="1" applyBorder="1" applyAlignment="1">
      <alignment horizontal="center" vertical="center"/>
    </xf>
    <xf numFmtId="0" fontId="35" fillId="10" borderId="75" xfId="0" applyFont="1" applyFill="1" applyBorder="1" applyAlignment="1">
      <alignment horizontal="center" vertical="center"/>
    </xf>
    <xf numFmtId="0" fontId="35" fillId="10" borderId="43" xfId="0" applyFont="1" applyFill="1" applyBorder="1" applyAlignment="1">
      <alignment horizontal="center" vertical="center" wrapText="1"/>
    </xf>
    <xf numFmtId="0" fontId="35" fillId="5" borderId="52" xfId="0" applyFont="1" applyFill="1" applyBorder="1" applyAlignment="1">
      <alignment horizontal="center" vertical="center" wrapText="1"/>
    </xf>
    <xf numFmtId="0" fontId="31" fillId="0" borderId="17" xfId="0" applyFont="1" applyBorder="1" applyAlignment="1" applyProtection="1">
      <alignment horizontal="center" vertical="center" wrapText="1"/>
      <protection locked="0"/>
    </xf>
    <xf numFmtId="0" fontId="31" fillId="8" borderId="17" xfId="0" applyFont="1" applyFill="1" applyBorder="1" applyAlignment="1">
      <alignment horizontal="center" vertical="top" wrapText="1"/>
    </xf>
    <xf numFmtId="165" fontId="31" fillId="21" borderId="19" xfId="0" applyNumberFormat="1" applyFont="1" applyFill="1" applyBorder="1" applyAlignment="1">
      <alignment horizontal="center" vertical="center" wrapText="1"/>
    </xf>
    <xf numFmtId="0" fontId="31" fillId="21" borderId="61" xfId="0" applyFont="1" applyFill="1" applyBorder="1" applyAlignment="1">
      <alignment horizontal="center" vertical="center" wrapText="1"/>
    </xf>
    <xf numFmtId="0" fontId="31" fillId="0" borderId="8" xfId="0" applyFont="1" applyBorder="1" applyAlignment="1" applyProtection="1">
      <alignment horizontal="center" vertical="center" wrapText="1"/>
      <protection locked="0"/>
    </xf>
    <xf numFmtId="0" fontId="31" fillId="8" borderId="52" xfId="0" applyFont="1" applyFill="1" applyBorder="1" applyAlignment="1">
      <alignment horizontal="center" vertical="top" wrapText="1"/>
    </xf>
    <xf numFmtId="0" fontId="31" fillId="21" borderId="59" xfId="0" applyFont="1" applyFill="1" applyBorder="1" applyAlignment="1">
      <alignment horizontal="center" vertical="center" wrapText="1"/>
    </xf>
    <xf numFmtId="0" fontId="31" fillId="21" borderId="52" xfId="0" applyFont="1" applyFill="1" applyBorder="1" applyAlignment="1">
      <alignment horizontal="center" vertical="center"/>
    </xf>
    <xf numFmtId="165" fontId="31" fillId="21" borderId="38" xfId="0" applyNumberFormat="1" applyFont="1" applyFill="1" applyBorder="1" applyAlignment="1">
      <alignment horizontal="center" vertical="center" wrapText="1"/>
    </xf>
    <xf numFmtId="0" fontId="35" fillId="5" borderId="50" xfId="0" applyFont="1" applyFill="1" applyBorder="1" applyAlignment="1" applyProtection="1">
      <alignment horizontal="center" vertical="center"/>
      <protection locked="0"/>
    </xf>
    <xf numFmtId="0" fontId="35" fillId="21" borderId="30" xfId="0" applyFont="1" applyFill="1" applyBorder="1" applyAlignment="1">
      <alignment horizontal="right" vertical="center"/>
    </xf>
    <xf numFmtId="0" fontId="31" fillId="0" borderId="17" xfId="0" applyFont="1" applyBorder="1" applyAlignment="1" applyProtection="1">
      <alignment horizontal="center" vertical="center"/>
      <protection locked="0"/>
    </xf>
    <xf numFmtId="0" fontId="31" fillId="3" borderId="17" xfId="0" applyFont="1" applyFill="1" applyBorder="1" applyAlignment="1">
      <alignment horizontal="center" vertical="top"/>
    </xf>
    <xf numFmtId="0" fontId="31" fillId="0" borderId="14" xfId="0" applyFont="1" applyBorder="1" applyAlignment="1" applyProtection="1">
      <alignment horizontal="center" vertical="center"/>
      <protection locked="0"/>
    </xf>
    <xf numFmtId="2" fontId="31" fillId="20" borderId="29" xfId="0" applyNumberFormat="1" applyFont="1" applyFill="1" applyBorder="1" applyAlignment="1">
      <alignment horizontal="center" vertical="center"/>
    </xf>
    <xf numFmtId="0" fontId="31" fillId="0" borderId="18" xfId="0" applyFont="1" applyBorder="1" applyAlignment="1" applyProtection="1">
      <alignment horizontal="center" vertical="center"/>
      <protection locked="0"/>
    </xf>
    <xf numFmtId="0" fontId="31" fillId="3" borderId="52" xfId="0" applyFont="1" applyFill="1" applyBorder="1" applyAlignment="1">
      <alignment horizontal="center" vertical="top"/>
    </xf>
    <xf numFmtId="0" fontId="31" fillId="21" borderId="8" xfId="0" applyFont="1" applyFill="1" applyBorder="1" applyAlignment="1">
      <alignment horizontal="center" vertical="center"/>
    </xf>
    <xf numFmtId="0" fontId="31" fillId="21" borderId="38" xfId="0" applyFont="1" applyFill="1" applyBorder="1" applyAlignment="1">
      <alignment horizontal="center" vertical="center"/>
    </xf>
    <xf numFmtId="2" fontId="31" fillId="20" borderId="30" xfId="0" applyNumberFormat="1" applyFont="1" applyFill="1" applyBorder="1" applyAlignment="1">
      <alignment horizontal="center" vertical="center"/>
    </xf>
    <xf numFmtId="0" fontId="31" fillId="21" borderId="59" xfId="0" applyFont="1" applyFill="1" applyBorder="1" applyAlignment="1">
      <alignment horizontal="center" vertical="center"/>
    </xf>
    <xf numFmtId="0" fontId="35" fillId="5" borderId="10" xfId="0" applyFont="1" applyFill="1" applyBorder="1" applyAlignment="1">
      <alignment horizontal="center" vertical="center"/>
    </xf>
    <xf numFmtId="0" fontId="35" fillId="5" borderId="9" xfId="0" applyFont="1" applyFill="1" applyBorder="1" applyAlignment="1">
      <alignment horizontal="center" vertical="center"/>
    </xf>
    <xf numFmtId="0" fontId="35" fillId="5" borderId="11" xfId="0" applyFont="1" applyFill="1" applyBorder="1" applyAlignment="1">
      <alignment horizontal="center" vertical="center"/>
    </xf>
    <xf numFmtId="0" fontId="31" fillId="0" borderId="29" xfId="0" applyFont="1" applyBorder="1" applyAlignment="1" applyProtection="1">
      <alignment horizontal="center" vertical="center" wrapText="1"/>
      <protection locked="0"/>
    </xf>
    <xf numFmtId="0" fontId="31" fillId="0" borderId="49" xfId="0" applyFont="1" applyBorder="1" applyAlignment="1" applyProtection="1">
      <alignment horizontal="center" vertical="center" wrapText="1"/>
      <protection locked="0"/>
    </xf>
    <xf numFmtId="0" fontId="31" fillId="0" borderId="30" xfId="0" applyFont="1" applyBorder="1" applyAlignment="1" applyProtection="1">
      <alignment horizontal="center" vertical="center" wrapText="1"/>
      <protection locked="0"/>
    </xf>
    <xf numFmtId="0" fontId="35" fillId="5" borderId="54" xfId="0" applyFont="1" applyFill="1" applyBorder="1" applyAlignment="1" applyProtection="1">
      <alignment horizontal="center" vertical="center" wrapText="1"/>
      <protection locked="0"/>
    </xf>
    <xf numFmtId="0" fontId="35" fillId="5" borderId="51" xfId="0" applyFont="1" applyFill="1" applyBorder="1" applyAlignment="1">
      <alignment horizontal="center" vertical="center" wrapText="1"/>
    </xf>
    <xf numFmtId="0" fontId="31" fillId="3" borderId="14" xfId="0" applyFont="1" applyFill="1" applyBorder="1" applyAlignment="1" applyProtection="1">
      <alignment horizontal="center" vertical="center" wrapText="1"/>
      <protection locked="0"/>
    </xf>
    <xf numFmtId="0" fontId="31" fillId="3" borderId="17" xfId="0" applyFont="1" applyFill="1" applyBorder="1" applyAlignment="1" applyProtection="1">
      <alignment horizontal="center" vertical="center" wrapText="1"/>
      <protection locked="0"/>
    </xf>
    <xf numFmtId="0" fontId="31" fillId="3" borderId="17" xfId="0" applyFont="1" applyFill="1" applyBorder="1" applyAlignment="1">
      <alignment horizontal="center" vertical="top" wrapText="1"/>
    </xf>
    <xf numFmtId="0" fontId="31" fillId="3" borderId="62" xfId="0" applyFont="1" applyFill="1" applyBorder="1" applyAlignment="1" applyProtection="1">
      <alignment horizontal="center" vertical="center" wrapText="1"/>
      <protection locked="0"/>
    </xf>
    <xf numFmtId="0" fontId="31" fillId="3" borderId="61" xfId="0" applyFont="1" applyFill="1" applyBorder="1" applyAlignment="1" applyProtection="1">
      <alignment horizontal="center" vertical="center" wrapText="1"/>
      <protection locked="0"/>
    </xf>
    <xf numFmtId="0" fontId="31" fillId="21" borderId="62" xfId="0" applyFont="1" applyFill="1" applyBorder="1" applyAlignment="1">
      <alignment horizontal="center" vertical="center" wrapText="1"/>
    </xf>
    <xf numFmtId="2" fontId="31" fillId="20" borderId="19" xfId="0" applyNumberFormat="1" applyFont="1" applyFill="1" applyBorder="1" applyAlignment="1">
      <alignment horizontal="center" vertical="center"/>
    </xf>
    <xf numFmtId="2" fontId="31" fillId="20" borderId="19" xfId="0" applyNumberFormat="1" applyFont="1" applyFill="1" applyBorder="1" applyAlignment="1">
      <alignment horizontal="center" vertical="center" wrapText="1"/>
    </xf>
    <xf numFmtId="0" fontId="31" fillId="3" borderId="18" xfId="0" applyFont="1" applyFill="1" applyBorder="1" applyAlignment="1">
      <alignment horizontal="center" vertical="top" wrapText="1"/>
    </xf>
    <xf numFmtId="0" fontId="31" fillId="21" borderId="81" xfId="0" applyFont="1" applyFill="1" applyBorder="1" applyAlignment="1">
      <alignment horizontal="center" vertical="center" wrapText="1"/>
    </xf>
    <xf numFmtId="165" fontId="31" fillId="21" borderId="22" xfId="0" applyNumberFormat="1" applyFont="1" applyFill="1" applyBorder="1" applyAlignment="1">
      <alignment horizontal="center" vertical="center" wrapText="1"/>
    </xf>
    <xf numFmtId="2" fontId="31" fillId="20" borderId="38" xfId="0" applyNumberFormat="1" applyFont="1" applyFill="1" applyBorder="1" applyAlignment="1">
      <alignment horizontal="center" vertical="center" wrapText="1"/>
    </xf>
    <xf numFmtId="0" fontId="35" fillId="5" borderId="40" xfId="0" applyFont="1" applyFill="1" applyBorder="1" applyAlignment="1" applyProtection="1">
      <alignment horizontal="center" vertical="center" wrapText="1"/>
      <protection locked="0"/>
    </xf>
    <xf numFmtId="0" fontId="39" fillId="21" borderId="25" xfId="9" applyFont="1" applyFill="1" applyBorder="1" applyAlignment="1">
      <alignment horizontal="center" vertical="center" wrapText="1"/>
    </xf>
    <xf numFmtId="0" fontId="35" fillId="3" borderId="25" xfId="0" applyFont="1" applyFill="1" applyBorder="1" applyAlignment="1" applyProtection="1">
      <alignment horizontal="center" vertical="center" wrapText="1"/>
      <protection locked="0"/>
    </xf>
    <xf numFmtId="0" fontId="35" fillId="3" borderId="26" xfId="0" applyFont="1" applyFill="1" applyBorder="1" applyAlignment="1" applyProtection="1">
      <alignment horizontal="center" vertical="center" wrapText="1"/>
      <protection locked="0"/>
    </xf>
    <xf numFmtId="0" fontId="35" fillId="11" borderId="54" xfId="0" applyFont="1" applyFill="1" applyBorder="1" applyAlignment="1">
      <alignment horizontal="center" vertical="center" wrapText="1"/>
    </xf>
    <xf numFmtId="0" fontId="35" fillId="5" borderId="59" xfId="0" applyFont="1" applyFill="1" applyBorder="1" applyAlignment="1">
      <alignment horizontal="center" vertical="center" wrapText="1"/>
    </xf>
    <xf numFmtId="0" fontId="35" fillId="11" borderId="50" xfId="0" applyFont="1" applyFill="1" applyBorder="1" applyAlignment="1">
      <alignment horizontal="center" vertical="center" wrapText="1"/>
    </xf>
    <xf numFmtId="0" fontId="31" fillId="3" borderId="19" xfId="0" applyFont="1" applyFill="1" applyBorder="1" applyAlignment="1" applyProtection="1">
      <alignment horizontal="center" vertical="center" wrapText="1"/>
      <protection locked="0"/>
    </xf>
    <xf numFmtId="0" fontId="35" fillId="5" borderId="22" xfId="0" applyFont="1" applyFill="1" applyBorder="1" applyAlignment="1">
      <alignment horizontal="center" vertical="center" wrapText="1"/>
    </xf>
    <xf numFmtId="0" fontId="35" fillId="5" borderId="82" xfId="0" applyFont="1" applyFill="1" applyBorder="1" applyAlignment="1">
      <alignment horizontal="center" vertical="center" wrapText="1"/>
    </xf>
    <xf numFmtId="0" fontId="39" fillId="21" borderId="25" xfId="9" applyFont="1" applyFill="1" applyBorder="1" applyAlignment="1">
      <alignment horizontal="center" vertical="center"/>
    </xf>
    <xf numFmtId="0" fontId="31" fillId="3" borderId="49" xfId="0" applyFont="1" applyFill="1" applyBorder="1" applyAlignment="1" applyProtection="1">
      <alignment horizontal="center" vertical="center" wrapText="1"/>
      <protection locked="0"/>
    </xf>
    <xf numFmtId="0" fontId="35" fillId="5" borderId="58" xfId="0" applyFont="1" applyFill="1" applyBorder="1" applyAlignment="1">
      <alignment horizontal="center" vertical="center" wrapText="1"/>
    </xf>
    <xf numFmtId="0" fontId="35" fillId="5" borderId="59" xfId="0" applyFont="1" applyFill="1" applyBorder="1" applyAlignment="1" applyProtection="1">
      <alignment horizontal="center" vertical="center" wrapText="1"/>
      <protection locked="0"/>
    </xf>
    <xf numFmtId="0" fontId="35" fillId="10" borderId="8" xfId="0" applyFont="1" applyFill="1" applyBorder="1" applyAlignment="1">
      <alignment horizontal="center" vertical="center" wrapText="1"/>
    </xf>
    <xf numFmtId="0" fontId="35" fillId="10" borderId="82" xfId="0" applyFont="1" applyFill="1" applyBorder="1" applyAlignment="1">
      <alignment horizontal="center" vertical="center" wrapText="1"/>
    </xf>
    <xf numFmtId="0" fontId="35" fillId="10" borderId="52" xfId="0" applyFont="1" applyFill="1" applyBorder="1" applyAlignment="1">
      <alignment horizontal="center" vertical="center" wrapText="1"/>
    </xf>
    <xf numFmtId="0" fontId="35" fillId="10" borderId="38" xfId="0" applyFont="1" applyFill="1" applyBorder="1" applyAlignment="1">
      <alignment horizontal="center" vertical="center" wrapText="1"/>
    </xf>
    <xf numFmtId="2" fontId="35" fillId="20" borderId="34" xfId="0" applyNumberFormat="1" applyFont="1" applyFill="1" applyBorder="1" applyAlignment="1">
      <alignment horizontal="center" vertical="center" wrapText="1"/>
    </xf>
    <xf numFmtId="0" fontId="31" fillId="3" borderId="8" xfId="0" applyFont="1" applyFill="1" applyBorder="1" applyAlignment="1" applyProtection="1">
      <alignment horizontal="center" vertical="center" wrapText="1"/>
      <protection locked="0"/>
    </xf>
    <xf numFmtId="0" fontId="35" fillId="5" borderId="82" xfId="0" applyFont="1" applyFill="1" applyBorder="1" applyAlignment="1">
      <alignment vertical="center" wrapText="1"/>
    </xf>
    <xf numFmtId="0" fontId="35" fillId="5" borderId="18" xfId="0" applyFont="1" applyFill="1" applyBorder="1" applyAlignment="1">
      <alignment horizontal="center" vertical="center" wrapText="1"/>
    </xf>
    <xf numFmtId="2" fontId="31" fillId="20" borderId="62" xfId="0" applyNumberFormat="1" applyFont="1" applyFill="1" applyBorder="1" applyAlignment="1">
      <alignment horizontal="center" vertical="center" wrapText="1"/>
    </xf>
    <xf numFmtId="2" fontId="31" fillId="3" borderId="17" xfId="0" applyNumberFormat="1" applyFont="1" applyFill="1" applyBorder="1" applyAlignment="1" applyProtection="1">
      <alignment horizontal="center" vertical="center" wrapText="1"/>
      <protection locked="0"/>
    </xf>
    <xf numFmtId="0" fontId="31" fillId="3" borderId="82" xfId="0" applyFont="1" applyFill="1" applyBorder="1" applyAlignment="1" applyProtection="1">
      <alignment horizontal="center" vertical="center" wrapText="1"/>
      <protection locked="0"/>
    </xf>
    <xf numFmtId="2" fontId="31" fillId="20" borderId="81" xfId="0" applyNumberFormat="1" applyFont="1" applyFill="1" applyBorder="1" applyAlignment="1">
      <alignment horizontal="center" vertical="center" wrapText="1"/>
    </xf>
    <xf numFmtId="2" fontId="31" fillId="3" borderId="18" xfId="0" applyNumberFormat="1" applyFont="1" applyFill="1" applyBorder="1" applyAlignment="1" applyProtection="1">
      <alignment horizontal="center" vertical="center" wrapText="1"/>
      <protection locked="0"/>
    </xf>
    <xf numFmtId="165" fontId="31" fillId="21" borderId="17" xfId="0" applyNumberFormat="1" applyFont="1" applyFill="1" applyBorder="1" applyAlignment="1">
      <alignment horizontal="center" vertical="center" wrapText="1"/>
    </xf>
    <xf numFmtId="0" fontId="31" fillId="3" borderId="47" xfId="0" applyFont="1" applyFill="1" applyBorder="1" applyAlignment="1" applyProtection="1">
      <alignment horizontal="center" vertical="center" wrapText="1"/>
      <protection locked="0"/>
    </xf>
    <xf numFmtId="165" fontId="31" fillId="21" borderId="52" xfId="0" applyNumberFormat="1" applyFont="1" applyFill="1" applyBorder="1" applyAlignment="1">
      <alignment horizontal="center" vertical="center" wrapText="1"/>
    </xf>
    <xf numFmtId="0" fontId="31" fillId="3" borderId="34" xfId="0" applyFont="1" applyFill="1" applyBorder="1" applyAlignment="1" applyProtection="1">
      <alignment horizontal="center" vertical="center" wrapText="1"/>
      <protection locked="0"/>
    </xf>
    <xf numFmtId="0" fontId="31" fillId="0" borderId="47" xfId="0" applyFont="1" applyBorder="1" applyAlignment="1" applyProtection="1">
      <alignment horizontal="center" vertical="center" wrapText="1"/>
      <protection locked="0"/>
    </xf>
    <xf numFmtId="0" fontId="31" fillId="0" borderId="34" xfId="0" applyFont="1" applyBorder="1" applyAlignment="1" applyProtection="1">
      <alignment horizontal="center" vertical="center" wrapText="1"/>
      <protection locked="0"/>
    </xf>
    <xf numFmtId="0" fontId="31" fillId="21" borderId="75" xfId="0" applyFont="1" applyFill="1" applyBorder="1" applyAlignment="1">
      <alignment horizontal="center" vertical="center" wrapText="1"/>
    </xf>
    <xf numFmtId="0" fontId="35" fillId="5" borderId="81" xfId="0" applyFont="1" applyFill="1" applyBorder="1" applyAlignment="1">
      <alignment horizontal="center" vertical="center" wrapText="1"/>
    </xf>
    <xf numFmtId="0" fontId="31" fillId="11" borderId="6" xfId="0" applyFont="1" applyFill="1" applyBorder="1"/>
    <xf numFmtId="2" fontId="31" fillId="21" borderId="43" xfId="0" applyNumberFormat="1" applyFont="1" applyFill="1" applyBorder="1" applyAlignment="1">
      <alignment horizontal="center" vertical="center"/>
    </xf>
    <xf numFmtId="0" fontId="35" fillId="5" borderId="23" xfId="0" applyFont="1" applyFill="1" applyBorder="1" applyAlignment="1">
      <alignment horizontal="center" vertical="center" wrapText="1"/>
    </xf>
    <xf numFmtId="0" fontId="35" fillId="21" borderId="54" xfId="0" applyFont="1" applyFill="1" applyBorder="1" applyAlignment="1">
      <alignment horizontal="right" vertical="center" wrapText="1"/>
    </xf>
    <xf numFmtId="0" fontId="31" fillId="0" borderId="51" xfId="0" applyFont="1" applyBorder="1" applyAlignment="1" applyProtection="1">
      <alignment horizontal="center" vertical="center" wrapText="1"/>
      <protection locked="0"/>
    </xf>
    <xf numFmtId="0" fontId="35" fillId="5" borderId="48" xfId="0" applyFont="1" applyFill="1" applyBorder="1" applyAlignment="1">
      <alignment horizontal="center" vertical="center"/>
    </xf>
    <xf numFmtId="0" fontId="69" fillId="9" borderId="0" xfId="0" applyFont="1" applyFill="1"/>
    <xf numFmtId="0" fontId="69" fillId="11" borderId="57" xfId="0" applyFont="1" applyFill="1" applyBorder="1"/>
    <xf numFmtId="2" fontId="69" fillId="11" borderId="0" xfId="0" applyNumberFormat="1" applyFont="1" applyFill="1"/>
    <xf numFmtId="0" fontId="69" fillId="11" borderId="0" xfId="0" applyFont="1" applyFill="1" applyAlignment="1">
      <alignment horizontal="left" vertical="center"/>
    </xf>
    <xf numFmtId="0" fontId="51" fillId="11" borderId="0" xfId="0" applyFont="1" applyFill="1" applyAlignment="1">
      <alignment horizontal="center" vertical="center" wrapText="1"/>
    </xf>
    <xf numFmtId="0" fontId="16" fillId="10" borderId="36" xfId="9" applyFont="1" applyFill="1" applyBorder="1" applyAlignment="1">
      <alignment horizontal="center" vertical="center"/>
    </xf>
    <xf numFmtId="0" fontId="16" fillId="10" borderId="6" xfId="9" applyFont="1" applyFill="1" applyBorder="1" applyAlignment="1">
      <alignment horizontal="center" vertical="center"/>
    </xf>
    <xf numFmtId="9" fontId="16" fillId="3" borderId="16" xfId="32" applyFont="1" applyFill="1" applyBorder="1" applyAlignment="1" applyProtection="1">
      <alignment horizontal="center" vertical="center"/>
      <protection locked="0"/>
    </xf>
    <xf numFmtId="9" fontId="16" fillId="3" borderId="31" xfId="32" applyFont="1" applyFill="1" applyBorder="1" applyAlignment="1" applyProtection="1">
      <alignment horizontal="center" vertical="center"/>
      <protection locked="0"/>
    </xf>
    <xf numFmtId="9" fontId="16" fillId="3" borderId="6" xfId="32" applyFont="1" applyFill="1" applyBorder="1" applyAlignment="1" applyProtection="1">
      <alignment horizontal="center" vertical="center"/>
      <protection locked="0"/>
    </xf>
    <xf numFmtId="0" fontId="51" fillId="3" borderId="16" xfId="0" applyFont="1" applyFill="1" applyBorder="1" applyAlignment="1" applyProtection="1">
      <alignment horizontal="center" vertical="center"/>
      <protection locked="0"/>
    </xf>
    <xf numFmtId="0" fontId="51" fillId="3" borderId="31" xfId="0" applyFont="1" applyFill="1" applyBorder="1" applyAlignment="1" applyProtection="1">
      <alignment horizontal="center" vertical="center"/>
      <protection locked="0"/>
    </xf>
    <xf numFmtId="0" fontId="51" fillId="3" borderId="6" xfId="0" applyFont="1" applyFill="1" applyBorder="1" applyAlignment="1" applyProtection="1">
      <alignment horizontal="center" vertical="center"/>
      <protection locked="0"/>
    </xf>
    <xf numFmtId="0" fontId="51" fillId="3" borderId="16" xfId="0" applyFont="1" applyFill="1" applyBorder="1" applyAlignment="1">
      <alignment horizontal="center" vertical="center" wrapText="1"/>
    </xf>
    <xf numFmtId="0" fontId="51" fillId="3" borderId="39" xfId="0" applyFont="1" applyFill="1" applyBorder="1" applyAlignment="1">
      <alignment horizontal="center" vertical="center" wrapText="1"/>
    </xf>
    <xf numFmtId="2" fontId="16" fillId="21" borderId="16" xfId="9" applyNumberFormat="1" applyFont="1" applyFill="1" applyBorder="1" applyAlignment="1">
      <alignment horizontal="center" vertical="center"/>
    </xf>
    <xf numFmtId="2" fontId="16" fillId="21" borderId="39" xfId="9" applyNumberFormat="1" applyFont="1" applyFill="1" applyBorder="1" applyAlignment="1">
      <alignment horizontal="center" vertical="center"/>
    </xf>
    <xf numFmtId="0" fontId="16" fillId="10" borderId="36" xfId="0" applyFont="1" applyFill="1" applyBorder="1" applyAlignment="1">
      <alignment horizontal="center" vertical="center" wrapText="1"/>
    </xf>
    <xf numFmtId="0" fontId="16" fillId="10" borderId="6" xfId="0" applyFont="1" applyFill="1" applyBorder="1" applyAlignment="1">
      <alignment horizontal="center" vertical="center" wrapText="1"/>
    </xf>
    <xf numFmtId="0" fontId="13" fillId="3" borderId="16" xfId="9" applyFont="1" applyFill="1" applyBorder="1" applyAlignment="1" applyProtection="1">
      <alignment horizontal="center" vertical="center"/>
      <protection locked="0"/>
    </xf>
    <xf numFmtId="0" fontId="13" fillId="3" borderId="31" xfId="9" applyFont="1" applyFill="1" applyBorder="1" applyAlignment="1" applyProtection="1">
      <alignment horizontal="center" vertical="center"/>
      <protection locked="0"/>
    </xf>
    <xf numFmtId="0" fontId="13" fillId="3" borderId="39" xfId="9" applyFont="1" applyFill="1" applyBorder="1" applyAlignment="1" applyProtection="1">
      <alignment horizontal="center" vertical="center"/>
      <protection locked="0"/>
    </xf>
    <xf numFmtId="167" fontId="10" fillId="3" borderId="5" xfId="0" applyNumberFormat="1" applyFont="1" applyFill="1" applyBorder="1" applyAlignment="1" applyProtection="1">
      <alignment horizontal="center"/>
      <protection locked="0"/>
    </xf>
    <xf numFmtId="167" fontId="10" fillId="3" borderId="21" xfId="0" applyNumberFormat="1" applyFont="1" applyFill="1" applyBorder="1" applyAlignment="1" applyProtection="1">
      <alignment horizontal="center"/>
      <protection locked="0"/>
    </xf>
    <xf numFmtId="0" fontId="16" fillId="10" borderId="12" xfId="9" applyFont="1" applyFill="1" applyBorder="1" applyAlignment="1">
      <alignment horizontal="center" vertical="center"/>
    </xf>
    <xf numFmtId="0" fontId="16" fillId="10" borderId="5" xfId="9" applyFont="1" applyFill="1" applyBorder="1" applyAlignment="1">
      <alignment horizontal="center" vertical="center"/>
    </xf>
    <xf numFmtId="0" fontId="16" fillId="10" borderId="12" xfId="0" applyFont="1" applyFill="1" applyBorder="1" applyAlignment="1">
      <alignment horizontal="center" vertical="center"/>
    </xf>
    <xf numFmtId="0" fontId="16" fillId="10" borderId="5" xfId="0" applyFont="1" applyFill="1" applyBorder="1" applyAlignment="1">
      <alignment horizontal="center" vertical="center"/>
    </xf>
    <xf numFmtId="0" fontId="13" fillId="3" borderId="5" xfId="9" applyFont="1" applyFill="1" applyBorder="1" applyAlignment="1" applyProtection="1">
      <alignment horizontal="center" vertical="center"/>
      <protection locked="0"/>
    </xf>
    <xf numFmtId="0" fontId="13" fillId="3" borderId="21" xfId="9" applyFont="1" applyFill="1" applyBorder="1" applyAlignment="1" applyProtection="1">
      <alignment horizontal="center" vertical="center"/>
      <protection locked="0"/>
    </xf>
    <xf numFmtId="167" fontId="13" fillId="3" borderId="5" xfId="9" applyNumberFormat="1" applyFont="1" applyFill="1" applyBorder="1" applyAlignment="1" applyProtection="1">
      <alignment horizontal="center" vertical="center"/>
      <protection locked="0"/>
    </xf>
    <xf numFmtId="167" fontId="13" fillId="3" borderId="21" xfId="9" applyNumberFormat="1" applyFont="1" applyFill="1" applyBorder="1" applyAlignment="1" applyProtection="1">
      <alignment horizontal="center" vertical="center"/>
      <protection locked="0"/>
    </xf>
    <xf numFmtId="0" fontId="10" fillId="9" borderId="0" xfId="0" applyFont="1" applyFill="1" applyAlignment="1">
      <alignment horizontal="right" vertical="top"/>
    </xf>
    <xf numFmtId="0" fontId="12" fillId="9" borderId="0" xfId="21" applyFont="1" applyFill="1" applyAlignment="1" applyProtection="1">
      <alignment horizontal="left" vertical="top"/>
      <protection locked="0"/>
    </xf>
    <xf numFmtId="0" fontId="11" fillId="9" borderId="0" xfId="0" applyFont="1" applyFill="1" applyAlignment="1">
      <alignment horizontal="center"/>
    </xf>
    <xf numFmtId="0" fontId="16" fillId="10" borderId="14" xfId="9" applyFont="1" applyFill="1" applyBorder="1" applyAlignment="1">
      <alignment horizontal="center" vertical="center"/>
    </xf>
    <xf numFmtId="0" fontId="16" fillId="10" borderId="17" xfId="9" applyFont="1" applyFill="1" applyBorder="1" applyAlignment="1">
      <alignment horizontal="center" vertical="center"/>
    </xf>
    <xf numFmtId="0" fontId="13" fillId="3" borderId="17" xfId="9" applyFont="1" applyFill="1" applyBorder="1" applyAlignment="1" applyProtection="1">
      <alignment horizontal="center" vertical="center"/>
      <protection locked="0"/>
    </xf>
    <xf numFmtId="0" fontId="13" fillId="3" borderId="19" xfId="9" applyFont="1" applyFill="1" applyBorder="1" applyAlignment="1" applyProtection="1">
      <alignment horizontal="center" vertical="center"/>
      <protection locked="0"/>
    </xf>
    <xf numFmtId="0" fontId="48" fillId="9" borderId="34" xfId="0" applyFont="1" applyFill="1" applyBorder="1" applyAlignment="1">
      <alignment horizontal="center" vertical="top" wrapText="1"/>
    </xf>
    <xf numFmtId="0" fontId="18" fillId="10" borderId="20" xfId="0" applyFont="1" applyFill="1" applyBorder="1" applyAlignment="1">
      <alignment horizontal="center" vertical="center"/>
    </xf>
    <xf numFmtId="0" fontId="46" fillId="10" borderId="27" xfId="0" applyFont="1" applyFill="1" applyBorder="1" applyAlignment="1">
      <alignment horizontal="center" vertical="center"/>
    </xf>
    <xf numFmtId="0" fontId="46" fillId="10" borderId="56" xfId="0" applyFont="1" applyFill="1" applyBorder="1" applyAlignment="1">
      <alignment horizontal="center" vertical="center"/>
    </xf>
    <xf numFmtId="0" fontId="46" fillId="10" borderId="57" xfId="0" applyFont="1" applyFill="1" applyBorder="1" applyAlignment="1">
      <alignment horizontal="center" vertical="center"/>
    </xf>
    <xf numFmtId="0" fontId="46" fillId="10" borderId="0" xfId="0" applyFont="1" applyFill="1" applyAlignment="1">
      <alignment horizontal="center" vertical="center"/>
    </xf>
    <xf numFmtId="0" fontId="46" fillId="10" borderId="50" xfId="0" applyFont="1" applyFill="1" applyBorder="1" applyAlignment="1">
      <alignment horizontal="center" vertical="center"/>
    </xf>
    <xf numFmtId="0" fontId="13" fillId="20" borderId="13" xfId="9" applyFont="1" applyFill="1" applyBorder="1" applyAlignment="1">
      <alignment horizontal="center"/>
    </xf>
    <xf numFmtId="0" fontId="13" fillId="20" borderId="18" xfId="9" applyFont="1" applyFill="1" applyBorder="1" applyAlignment="1">
      <alignment horizontal="center"/>
    </xf>
    <xf numFmtId="0" fontId="13" fillId="10" borderId="18" xfId="9" applyFont="1" applyFill="1" applyBorder="1" applyAlignment="1">
      <alignment horizontal="center"/>
    </xf>
    <xf numFmtId="0" fontId="13" fillId="10" borderId="22" xfId="9" applyFont="1" applyFill="1" applyBorder="1" applyAlignment="1">
      <alignment horizontal="center"/>
    </xf>
    <xf numFmtId="0" fontId="16" fillId="10" borderId="13" xfId="0" applyFont="1" applyFill="1" applyBorder="1" applyAlignment="1">
      <alignment horizontal="center" vertical="center" wrapText="1"/>
    </xf>
    <xf numFmtId="0" fontId="16" fillId="10" borderId="18" xfId="0" applyFont="1" applyFill="1" applyBorder="1" applyAlignment="1">
      <alignment horizontal="center" vertical="center" wrapText="1"/>
    </xf>
    <xf numFmtId="2" fontId="51" fillId="0" borderId="18" xfId="0" applyNumberFormat="1" applyFont="1" applyBorder="1" applyAlignment="1" applyProtection="1">
      <alignment horizontal="center" vertical="center"/>
      <protection locked="0"/>
    </xf>
    <xf numFmtId="0" fontId="51" fillId="21" borderId="18" xfId="0" applyFont="1" applyFill="1" applyBorder="1" applyAlignment="1">
      <alignment horizontal="center" vertical="center" wrapText="1"/>
    </xf>
    <xf numFmtId="0" fontId="51" fillId="21" borderId="22" xfId="0" applyFont="1" applyFill="1" applyBorder="1" applyAlignment="1">
      <alignment horizontal="center" vertical="center" wrapText="1"/>
    </xf>
    <xf numFmtId="0" fontId="13" fillId="21" borderId="12" xfId="9" applyFont="1" applyFill="1" applyBorder="1" applyAlignment="1">
      <alignment horizontal="center"/>
    </xf>
    <xf numFmtId="0" fontId="13" fillId="21" borderId="5" xfId="9" applyFont="1" applyFill="1" applyBorder="1" applyAlignment="1">
      <alignment horizontal="center"/>
    </xf>
    <xf numFmtId="0" fontId="13" fillId="10" borderId="5" xfId="9" applyFont="1" applyFill="1" applyBorder="1" applyAlignment="1">
      <alignment horizontal="center"/>
    </xf>
    <xf numFmtId="0" fontId="13" fillId="10" borderId="21" xfId="9" applyFont="1" applyFill="1" applyBorder="1" applyAlignment="1">
      <alignment horizontal="center"/>
    </xf>
    <xf numFmtId="0" fontId="54" fillId="25" borderId="36" xfId="0" applyFont="1" applyFill="1" applyBorder="1" applyAlignment="1">
      <alignment horizontal="center"/>
    </xf>
    <xf numFmtId="0" fontId="54" fillId="25" borderId="6" xfId="0" applyFont="1" applyFill="1" applyBorder="1" applyAlignment="1">
      <alignment horizontal="center"/>
    </xf>
    <xf numFmtId="0" fontId="13" fillId="10" borderId="16" xfId="0" applyFont="1" applyFill="1" applyBorder="1" applyAlignment="1">
      <alignment horizontal="center"/>
    </xf>
    <xf numFmtId="0" fontId="13" fillId="10" borderId="31" xfId="0" applyFont="1" applyFill="1" applyBorder="1" applyAlignment="1">
      <alignment horizontal="center"/>
    </xf>
    <xf numFmtId="0" fontId="13" fillId="10" borderId="39" xfId="0" applyFont="1" applyFill="1" applyBorder="1" applyAlignment="1">
      <alignment horizontal="center"/>
    </xf>
    <xf numFmtId="0" fontId="10" fillId="3" borderId="10" xfId="0" applyFont="1" applyFill="1" applyBorder="1" applyAlignment="1" applyProtection="1">
      <alignment horizontal="center"/>
      <protection locked="0"/>
    </xf>
    <xf numFmtId="0" fontId="10" fillId="3" borderId="11" xfId="0" applyFont="1" applyFill="1" applyBorder="1" applyAlignment="1" applyProtection="1">
      <alignment horizontal="center"/>
      <protection locked="0"/>
    </xf>
    <xf numFmtId="0" fontId="51" fillId="10" borderId="9" xfId="0" applyFont="1" applyFill="1" applyBorder="1" applyAlignment="1">
      <alignment horizontal="left" vertical="center"/>
    </xf>
    <xf numFmtId="0" fontId="51" fillId="10" borderId="10" xfId="0" applyFont="1" applyFill="1" applyBorder="1" applyAlignment="1">
      <alignment horizontal="left" vertical="center"/>
    </xf>
    <xf numFmtId="0" fontId="51" fillId="10" borderId="9" xfId="0" applyFont="1" applyFill="1" applyBorder="1" applyAlignment="1">
      <alignment horizontal="left"/>
    </xf>
    <xf numFmtId="0" fontId="51" fillId="10" borderId="10" xfId="0" applyFont="1" applyFill="1" applyBorder="1" applyAlignment="1">
      <alignment horizontal="left"/>
    </xf>
    <xf numFmtId="0" fontId="16" fillId="10" borderId="12" xfId="0" applyFont="1" applyFill="1" applyBorder="1" applyAlignment="1">
      <alignment horizontal="center" vertical="center" wrapText="1"/>
    </xf>
    <xf numFmtId="0" fontId="16" fillId="10" borderId="5" xfId="0" applyFont="1" applyFill="1" applyBorder="1" applyAlignment="1">
      <alignment horizontal="center" vertical="center" wrapText="1"/>
    </xf>
    <xf numFmtId="0" fontId="19" fillId="3" borderId="12" xfId="0" applyFont="1" applyFill="1" applyBorder="1" applyAlignment="1" applyProtection="1">
      <alignment horizontal="center" vertical="center" wrapText="1"/>
      <protection locked="0"/>
    </xf>
    <xf numFmtId="0" fontId="19" fillId="3" borderId="5" xfId="0" applyFont="1" applyFill="1" applyBorder="1" applyAlignment="1" applyProtection="1">
      <alignment horizontal="center" vertical="center" wrapText="1"/>
      <protection locked="0"/>
    </xf>
    <xf numFmtId="0" fontId="17" fillId="10" borderId="20" xfId="0" applyFont="1" applyFill="1" applyBorder="1" applyAlignment="1">
      <alignment horizontal="center"/>
    </xf>
    <xf numFmtId="0" fontId="17" fillId="10" borderId="27" xfId="0" applyFont="1" applyFill="1" applyBorder="1" applyAlignment="1">
      <alignment horizontal="center"/>
    </xf>
    <xf numFmtId="0" fontId="17" fillId="10" borderId="56" xfId="0" applyFont="1" applyFill="1" applyBorder="1" applyAlignment="1">
      <alignment horizontal="center"/>
    </xf>
    <xf numFmtId="0" fontId="54" fillId="24" borderId="12" xfId="0" applyFont="1" applyFill="1" applyBorder="1" applyAlignment="1">
      <alignment horizontal="center"/>
    </xf>
    <xf numFmtId="0" fontId="54" fillId="24" borderId="5" xfId="0" applyFont="1" applyFill="1" applyBorder="1" applyAlignment="1">
      <alignment horizontal="center"/>
    </xf>
    <xf numFmtId="0" fontId="13" fillId="10" borderId="5" xfId="0" applyFont="1" applyFill="1" applyBorder="1" applyAlignment="1">
      <alignment horizontal="center"/>
    </xf>
    <xf numFmtId="0" fontId="13" fillId="10" borderId="21" xfId="0" applyFont="1" applyFill="1" applyBorder="1" applyAlignment="1">
      <alignment horizontal="center"/>
    </xf>
    <xf numFmtId="0" fontId="17" fillId="23" borderId="14" xfId="0" applyFont="1" applyFill="1" applyBorder="1" applyAlignment="1">
      <alignment horizontal="center"/>
    </xf>
    <xf numFmtId="0" fontId="17" fillId="23" borderId="17" xfId="0" applyFont="1" applyFill="1" applyBorder="1" applyAlignment="1">
      <alignment horizontal="center"/>
    </xf>
    <xf numFmtId="0" fontId="13" fillId="10" borderId="17" xfId="0" applyFont="1" applyFill="1" applyBorder="1" applyAlignment="1">
      <alignment horizontal="center"/>
    </xf>
    <xf numFmtId="0" fontId="13" fillId="10" borderId="19" xfId="0" applyFont="1" applyFill="1" applyBorder="1" applyAlignment="1">
      <alignment horizontal="center"/>
    </xf>
    <xf numFmtId="2" fontId="51" fillId="21" borderId="5" xfId="0" applyNumberFormat="1" applyFont="1" applyFill="1" applyBorder="1" applyAlignment="1">
      <alignment horizontal="center" vertical="center"/>
    </xf>
    <xf numFmtId="0" fontId="51" fillId="21" borderId="5" xfId="0" applyFont="1" applyFill="1" applyBorder="1" applyAlignment="1">
      <alignment horizontal="center" vertical="center"/>
    </xf>
    <xf numFmtId="0" fontId="0" fillId="11" borderId="0" xfId="0" applyFill="1" applyAlignment="1">
      <alignment horizontal="right" vertical="top"/>
    </xf>
    <xf numFmtId="0" fontId="7" fillId="11" borderId="0" xfId="21" applyFill="1" applyAlignment="1" applyProtection="1">
      <alignment horizontal="left" vertical="top"/>
      <protection locked="0"/>
    </xf>
    <xf numFmtId="0" fontId="1" fillId="11" borderId="0" xfId="0" applyFont="1" applyFill="1" applyAlignment="1">
      <alignment horizontal="center" vertical="center" wrapText="1"/>
    </xf>
    <xf numFmtId="0" fontId="16" fillId="10" borderId="9" xfId="0" applyFont="1" applyFill="1" applyBorder="1" applyAlignment="1">
      <alignment horizontal="center" vertical="center"/>
    </xf>
    <xf numFmtId="0" fontId="16" fillId="10" borderId="10" xfId="0" applyFont="1" applyFill="1" applyBorder="1" applyAlignment="1">
      <alignment horizontal="center" vertical="center"/>
    </xf>
    <xf numFmtId="2" fontId="16" fillId="10" borderId="10" xfId="0" applyNumberFormat="1" applyFont="1" applyFill="1" applyBorder="1" applyAlignment="1">
      <alignment horizontal="left" vertical="center" wrapText="1"/>
    </xf>
    <xf numFmtId="2" fontId="16" fillId="20" borderId="23" xfId="0" applyNumberFormat="1" applyFont="1" applyFill="1" applyBorder="1" applyAlignment="1">
      <alignment horizontal="center"/>
    </xf>
    <xf numFmtId="2" fontId="16" fillId="20" borderId="24" xfId="0" applyNumberFormat="1" applyFont="1" applyFill="1" applyBorder="1" applyAlignment="1">
      <alignment horizontal="center"/>
    </xf>
    <xf numFmtId="0" fontId="54" fillId="3" borderId="36" xfId="0" applyFont="1" applyFill="1" applyBorder="1" applyAlignment="1" applyProtection="1">
      <alignment horizontal="center" wrapText="1"/>
      <protection locked="0"/>
    </xf>
    <xf numFmtId="0" fontId="54" fillId="3" borderId="31" xfId="0" applyFont="1" applyFill="1" applyBorder="1" applyAlignment="1" applyProtection="1">
      <alignment horizontal="center" wrapText="1"/>
      <protection locked="0"/>
    </xf>
    <xf numFmtId="0" fontId="54" fillId="3" borderId="39" xfId="0" applyFont="1" applyFill="1" applyBorder="1" applyAlignment="1" applyProtection="1">
      <alignment horizontal="center" wrapText="1"/>
      <protection locked="0"/>
    </xf>
    <xf numFmtId="2" fontId="16" fillId="20" borderId="62" xfId="0" applyNumberFormat="1" applyFont="1" applyFill="1" applyBorder="1" applyAlignment="1">
      <alignment horizontal="center"/>
    </xf>
    <xf numFmtId="2" fontId="16" fillId="20" borderId="15" xfId="0" applyNumberFormat="1" applyFont="1" applyFill="1" applyBorder="1" applyAlignment="1">
      <alignment horizontal="center"/>
    </xf>
    <xf numFmtId="2" fontId="16" fillId="20" borderId="16" xfId="0" applyNumberFormat="1" applyFont="1" applyFill="1" applyBorder="1" applyAlignment="1">
      <alignment horizontal="center"/>
    </xf>
    <xf numFmtId="2" fontId="16" fillId="20" borderId="39" xfId="0" applyNumberFormat="1" applyFont="1" applyFill="1" applyBorder="1" applyAlignment="1">
      <alignment horizontal="center"/>
    </xf>
    <xf numFmtId="2" fontId="16" fillId="20" borderId="63" xfId="0" applyNumberFormat="1" applyFont="1" applyFill="1" applyBorder="1" applyAlignment="1">
      <alignment horizontal="center"/>
    </xf>
    <xf numFmtId="2" fontId="16" fillId="20" borderId="64" xfId="0" applyNumberFormat="1" applyFont="1" applyFill="1" applyBorder="1" applyAlignment="1">
      <alignment horizontal="center"/>
    </xf>
    <xf numFmtId="0" fontId="16" fillId="21" borderId="35" xfId="0" applyFont="1" applyFill="1" applyBorder="1" applyAlignment="1">
      <alignment horizontal="left" vertical="top"/>
    </xf>
    <xf numFmtId="0" fontId="16" fillId="21" borderId="47" xfId="0" applyFont="1" applyFill="1" applyBorder="1" applyAlignment="1">
      <alignment horizontal="left" vertical="top"/>
    </xf>
    <xf numFmtId="0" fontId="16" fillId="21" borderId="61" xfId="0" applyFont="1" applyFill="1" applyBorder="1" applyAlignment="1">
      <alignment horizontal="left" vertical="top"/>
    </xf>
    <xf numFmtId="0" fontId="16" fillId="21" borderId="36" xfId="0" applyFont="1" applyFill="1" applyBorder="1" applyAlignment="1">
      <alignment horizontal="left" vertical="top"/>
    </xf>
    <xf numFmtId="0" fontId="16" fillId="21" borderId="31" xfId="0" applyFont="1" applyFill="1" applyBorder="1" applyAlignment="1">
      <alignment horizontal="left" vertical="top"/>
    </xf>
    <xf numFmtId="0" fontId="16" fillId="21" borderId="6" xfId="0" applyFont="1" applyFill="1" applyBorder="1" applyAlignment="1">
      <alignment horizontal="left" vertical="top"/>
    </xf>
    <xf numFmtId="0" fontId="16" fillId="21" borderId="45" xfId="0" applyFont="1" applyFill="1" applyBorder="1" applyAlignment="1">
      <alignment horizontal="left" vertical="top"/>
    </xf>
    <xf numFmtId="0" fontId="16" fillId="21" borderId="32" xfId="0" applyFont="1" applyFill="1" applyBorder="1" applyAlignment="1">
      <alignment horizontal="left" vertical="top"/>
    </xf>
    <xf numFmtId="0" fontId="16" fillId="21" borderId="58" xfId="0" applyFont="1" applyFill="1" applyBorder="1" applyAlignment="1">
      <alignment horizontal="left" vertical="top"/>
    </xf>
    <xf numFmtId="0" fontId="16" fillId="10" borderId="23" xfId="0" applyFont="1" applyFill="1" applyBorder="1" applyAlignment="1">
      <alignment horizontal="left" vertical="top"/>
    </xf>
    <xf numFmtId="0" fontId="16" fillId="10" borderId="46" xfId="0" applyFont="1" applyFill="1" applyBorder="1" applyAlignment="1">
      <alignment horizontal="left" vertical="top"/>
    </xf>
    <xf numFmtId="0" fontId="16" fillId="10" borderId="24" xfId="0" applyFont="1" applyFill="1" applyBorder="1" applyAlignment="1">
      <alignment horizontal="left" vertical="top"/>
    </xf>
    <xf numFmtId="2" fontId="16" fillId="20" borderId="62" xfId="0" applyNumberFormat="1" applyFont="1" applyFill="1" applyBorder="1" applyAlignment="1">
      <alignment horizontal="center" vertical="top"/>
    </xf>
    <xf numFmtId="2" fontId="16" fillId="20" borderId="15" xfId="0" applyNumberFormat="1" applyFont="1" applyFill="1" applyBorder="1" applyAlignment="1">
      <alignment horizontal="center" vertical="top"/>
    </xf>
    <xf numFmtId="2" fontId="16" fillId="20" borderId="16" xfId="0" applyNumberFormat="1" applyFont="1" applyFill="1" applyBorder="1" applyAlignment="1">
      <alignment horizontal="center" vertical="top"/>
    </xf>
    <xf numFmtId="2" fontId="16" fillId="20" borderId="39" xfId="0" applyNumberFormat="1" applyFont="1" applyFill="1" applyBorder="1" applyAlignment="1">
      <alignment horizontal="center" vertical="top"/>
    </xf>
    <xf numFmtId="2" fontId="16" fillId="20" borderId="63" xfId="0" applyNumberFormat="1" applyFont="1" applyFill="1" applyBorder="1" applyAlignment="1">
      <alignment horizontal="center" vertical="top"/>
    </xf>
    <xf numFmtId="2" fontId="16" fillId="20" borderId="64" xfId="0" applyNumberFormat="1" applyFont="1" applyFill="1" applyBorder="1" applyAlignment="1">
      <alignment horizontal="center" vertical="top"/>
    </xf>
    <xf numFmtId="0" fontId="16" fillId="10" borderId="23" xfId="0" applyFont="1" applyFill="1" applyBorder="1" applyAlignment="1">
      <alignment horizontal="center" vertical="top"/>
    </xf>
    <xf numFmtId="0" fontId="16" fillId="10" borderId="46" xfId="0" applyFont="1" applyFill="1" applyBorder="1" applyAlignment="1">
      <alignment horizontal="center" vertical="top"/>
    </xf>
    <xf numFmtId="0" fontId="16" fillId="10" borderId="24" xfId="0" applyFont="1" applyFill="1" applyBorder="1" applyAlignment="1">
      <alignment horizontal="center" vertical="top"/>
    </xf>
    <xf numFmtId="10" fontId="16" fillId="20" borderId="16" xfId="0" applyNumberFormat="1" applyFont="1" applyFill="1" applyBorder="1" applyAlignment="1">
      <alignment horizontal="center"/>
    </xf>
    <xf numFmtId="10" fontId="16" fillId="20" borderId="39" xfId="0" applyNumberFormat="1" applyFont="1" applyFill="1" applyBorder="1" applyAlignment="1">
      <alignment horizontal="center"/>
    </xf>
    <xf numFmtId="2" fontId="16" fillId="20" borderId="16" xfId="0" applyNumberFormat="1" applyFont="1" applyFill="1" applyBorder="1" applyAlignment="1">
      <alignment horizontal="center" vertical="center"/>
    </xf>
    <xf numFmtId="2" fontId="16" fillId="20" borderId="39" xfId="0" applyNumberFormat="1" applyFont="1" applyFill="1" applyBorder="1" applyAlignment="1">
      <alignment horizontal="center" vertical="center"/>
    </xf>
    <xf numFmtId="2" fontId="16" fillId="20" borderId="63" xfId="0" applyNumberFormat="1" applyFont="1" applyFill="1" applyBorder="1" applyAlignment="1">
      <alignment horizontal="center" vertical="center"/>
    </xf>
    <xf numFmtId="2" fontId="16" fillId="20" borderId="64" xfId="0" applyNumberFormat="1" applyFont="1" applyFill="1" applyBorder="1" applyAlignment="1">
      <alignment horizontal="center" vertical="center"/>
    </xf>
    <xf numFmtId="0" fontId="13" fillId="3" borderId="36" xfId="0" applyFont="1" applyFill="1" applyBorder="1" applyAlignment="1" applyProtection="1">
      <alignment horizontal="center" wrapText="1"/>
      <protection locked="0"/>
    </xf>
    <xf numFmtId="0" fontId="13" fillId="3" borderId="31" xfId="0" applyFont="1" applyFill="1" applyBorder="1" applyAlignment="1" applyProtection="1">
      <alignment horizontal="center" wrapText="1"/>
      <protection locked="0"/>
    </xf>
    <xf numFmtId="0" fontId="13" fillId="3" borderId="39" xfId="0" applyFont="1" applyFill="1" applyBorder="1" applyAlignment="1" applyProtection="1">
      <alignment horizontal="center" wrapText="1"/>
      <protection locked="0"/>
    </xf>
    <xf numFmtId="2" fontId="13" fillId="3" borderId="36" xfId="0" applyNumberFormat="1" applyFont="1" applyFill="1" applyBorder="1" applyAlignment="1" applyProtection="1">
      <alignment horizontal="center" wrapText="1"/>
      <protection locked="0"/>
    </xf>
    <xf numFmtId="2" fontId="13" fillId="3" borderId="39" xfId="0" applyNumberFormat="1" applyFont="1" applyFill="1" applyBorder="1" applyAlignment="1" applyProtection="1">
      <alignment horizontal="center" wrapText="1"/>
      <protection locked="0"/>
    </xf>
    <xf numFmtId="1" fontId="16" fillId="20" borderId="10" xfId="0" applyNumberFormat="1" applyFont="1" applyFill="1" applyBorder="1" applyAlignment="1">
      <alignment horizontal="center" vertical="center"/>
    </xf>
    <xf numFmtId="1" fontId="16" fillId="20" borderId="11" xfId="0" applyNumberFormat="1" applyFont="1" applyFill="1" applyBorder="1" applyAlignment="1">
      <alignment horizontal="center" vertical="center"/>
    </xf>
    <xf numFmtId="0" fontId="16" fillId="10" borderId="9" xfId="0" applyFont="1" applyFill="1" applyBorder="1" applyAlignment="1">
      <alignment horizontal="left" vertical="center" wrapText="1"/>
    </xf>
    <xf numFmtId="0" fontId="16" fillId="10" borderId="11" xfId="0" applyFont="1" applyFill="1" applyBorder="1" applyAlignment="1">
      <alignment horizontal="left" vertical="center" wrapText="1"/>
    </xf>
    <xf numFmtId="0" fontId="13" fillId="3" borderId="70" xfId="0" applyFont="1" applyFill="1" applyBorder="1" applyAlignment="1" applyProtection="1">
      <alignment horizontal="center" wrapText="1"/>
      <protection locked="0"/>
    </xf>
    <xf numFmtId="0" fontId="13" fillId="3" borderId="3" xfId="0" applyFont="1" applyFill="1" applyBorder="1" applyAlignment="1" applyProtection="1">
      <alignment horizontal="center" wrapText="1"/>
      <protection locked="0"/>
    </xf>
    <xf numFmtId="0" fontId="13" fillId="0" borderId="44" xfId="0" applyFont="1" applyBorder="1" applyAlignment="1" applyProtection="1">
      <alignment horizontal="center" vertical="center" wrapText="1"/>
      <protection locked="0"/>
    </xf>
    <xf numFmtId="0" fontId="13" fillId="0" borderId="67" xfId="0" applyFont="1" applyBorder="1" applyAlignment="1" applyProtection="1">
      <alignment horizontal="center" vertical="center" wrapText="1"/>
      <protection locked="0"/>
    </xf>
    <xf numFmtId="0" fontId="16" fillId="10" borderId="23" xfId="0" applyFont="1" applyFill="1" applyBorder="1" applyAlignment="1">
      <alignment horizontal="left" vertical="center"/>
    </xf>
    <xf numFmtId="0" fontId="16" fillId="10" borderId="46" xfId="0" applyFont="1" applyFill="1" applyBorder="1" applyAlignment="1">
      <alignment horizontal="left" vertical="center"/>
    </xf>
    <xf numFmtId="0" fontId="16" fillId="10" borderId="23" xfId="0" applyFont="1" applyFill="1" applyBorder="1" applyAlignment="1">
      <alignment horizontal="left" vertical="center" wrapText="1"/>
    </xf>
    <xf numFmtId="0" fontId="16" fillId="10" borderId="46" xfId="0" applyFont="1" applyFill="1" applyBorder="1" applyAlignment="1">
      <alignment horizontal="left" vertical="center" wrapText="1"/>
    </xf>
    <xf numFmtId="0" fontId="16" fillId="10" borderId="24" xfId="0" applyFont="1" applyFill="1" applyBorder="1" applyAlignment="1">
      <alignment horizontal="left" vertical="center" wrapText="1"/>
    </xf>
    <xf numFmtId="2" fontId="13" fillId="3" borderId="70" xfId="0" applyNumberFormat="1" applyFont="1" applyFill="1" applyBorder="1" applyAlignment="1" applyProtection="1">
      <alignment horizontal="center" wrapText="1"/>
      <protection locked="0"/>
    </xf>
    <xf numFmtId="2" fontId="13" fillId="3" borderId="80" xfId="0" applyNumberFormat="1" applyFont="1" applyFill="1" applyBorder="1" applyAlignment="1" applyProtection="1">
      <alignment horizontal="center" wrapText="1"/>
      <protection locked="0"/>
    </xf>
    <xf numFmtId="0" fontId="16" fillId="10" borderId="23" xfId="0" applyFont="1" applyFill="1" applyBorder="1" applyAlignment="1">
      <alignment horizontal="center"/>
    </xf>
    <xf numFmtId="0" fontId="16" fillId="10" borderId="46" xfId="0" applyFont="1" applyFill="1" applyBorder="1" applyAlignment="1">
      <alignment horizontal="center"/>
    </xf>
    <xf numFmtId="0" fontId="16" fillId="10" borderId="24" xfId="0" applyFont="1" applyFill="1" applyBorder="1" applyAlignment="1">
      <alignment horizontal="center"/>
    </xf>
    <xf numFmtId="0" fontId="13" fillId="0" borderId="36" xfId="0" applyFont="1" applyBorder="1" applyAlignment="1" applyProtection="1">
      <alignment horizontal="center" wrapText="1"/>
      <protection locked="0"/>
    </xf>
    <xf numFmtId="0" fontId="13" fillId="0" borderId="31" xfId="0" applyFont="1" applyBorder="1" applyAlignment="1" applyProtection="1">
      <alignment horizontal="center" wrapText="1"/>
      <protection locked="0"/>
    </xf>
    <xf numFmtId="0" fontId="13" fillId="0" borderId="39" xfId="0" applyFont="1" applyBorder="1" applyAlignment="1" applyProtection="1">
      <alignment horizontal="center" wrapText="1"/>
      <protection locked="0"/>
    </xf>
    <xf numFmtId="0" fontId="16" fillId="10" borderId="20" xfId="0" applyFont="1" applyFill="1" applyBorder="1" applyAlignment="1">
      <alignment horizontal="left" vertical="top" wrapText="1"/>
    </xf>
    <xf numFmtId="0" fontId="16" fillId="10" borderId="27" xfId="0" applyFont="1" applyFill="1" applyBorder="1" applyAlignment="1">
      <alignment horizontal="left" vertical="top" wrapText="1"/>
    </xf>
    <xf numFmtId="0" fontId="16" fillId="10" borderId="56" xfId="0" applyFont="1" applyFill="1" applyBorder="1" applyAlignment="1">
      <alignment horizontal="left" vertical="top" wrapText="1"/>
    </xf>
    <xf numFmtId="0" fontId="16" fillId="10" borderId="57" xfId="0" applyFont="1" applyFill="1" applyBorder="1" applyAlignment="1">
      <alignment horizontal="left" vertical="top" wrapText="1"/>
    </xf>
    <xf numFmtId="0" fontId="16" fillId="10" borderId="0" xfId="0" applyFont="1" applyFill="1" applyAlignment="1">
      <alignment horizontal="left" vertical="top" wrapText="1"/>
    </xf>
    <xf numFmtId="0" fontId="16" fillId="10" borderId="50" xfId="0" applyFont="1" applyFill="1" applyBorder="1" applyAlignment="1">
      <alignment horizontal="left" vertical="top" wrapText="1"/>
    </xf>
    <xf numFmtId="0" fontId="16" fillId="10" borderId="33" xfId="0" applyFont="1" applyFill="1" applyBorder="1" applyAlignment="1">
      <alignment horizontal="left" vertical="top" wrapText="1"/>
    </xf>
    <xf numFmtId="0" fontId="16" fillId="10" borderId="34" xfId="0" applyFont="1" applyFill="1" applyBorder="1" applyAlignment="1">
      <alignment horizontal="left" vertical="top" wrapText="1"/>
    </xf>
    <xf numFmtId="0" fontId="16" fillId="10" borderId="59" xfId="0" applyFont="1" applyFill="1" applyBorder="1" applyAlignment="1">
      <alignment horizontal="left" vertical="top" wrapText="1"/>
    </xf>
    <xf numFmtId="0" fontId="53" fillId="10" borderId="20" xfId="0" applyFont="1" applyFill="1" applyBorder="1" applyAlignment="1">
      <alignment horizontal="center" vertical="top"/>
    </xf>
    <xf numFmtId="0" fontId="53" fillId="10" borderId="27" xfId="0" applyFont="1" applyFill="1" applyBorder="1" applyAlignment="1">
      <alignment horizontal="center" vertical="top"/>
    </xf>
    <xf numFmtId="0" fontId="53" fillId="10" borderId="56" xfId="0" applyFont="1" applyFill="1" applyBorder="1" applyAlignment="1">
      <alignment horizontal="center" vertical="top"/>
    </xf>
    <xf numFmtId="0" fontId="53" fillId="10" borderId="33" xfId="0" applyFont="1" applyFill="1" applyBorder="1" applyAlignment="1">
      <alignment horizontal="center" vertical="top"/>
    </xf>
    <xf numFmtId="0" fontId="53" fillId="10" borderId="34" xfId="0" applyFont="1" applyFill="1" applyBorder="1" applyAlignment="1">
      <alignment horizontal="center" vertical="top"/>
    </xf>
    <xf numFmtId="0" fontId="53" fillId="10" borderId="59" xfId="0" applyFont="1" applyFill="1" applyBorder="1" applyAlignment="1">
      <alignment horizontal="center" vertical="top"/>
    </xf>
    <xf numFmtId="0" fontId="16" fillId="10" borderId="24" xfId="0" applyFont="1" applyFill="1" applyBorder="1" applyAlignment="1">
      <alignment horizontal="left" vertical="center"/>
    </xf>
    <xf numFmtId="0" fontId="13" fillId="0" borderId="4" xfId="0" applyFont="1" applyBorder="1" applyAlignment="1" applyProtection="1">
      <alignment horizontal="center" vertical="center" wrapText="1"/>
      <protection locked="0"/>
    </xf>
    <xf numFmtId="0" fontId="13" fillId="10" borderId="46" xfId="0" applyFont="1" applyFill="1" applyBorder="1" applyAlignment="1">
      <alignment horizontal="center"/>
    </xf>
    <xf numFmtId="0" fontId="13" fillId="10" borderId="24" xfId="0" applyFont="1" applyFill="1" applyBorder="1" applyAlignment="1">
      <alignment horizontal="center"/>
    </xf>
    <xf numFmtId="0" fontId="13" fillId="10" borderId="23" xfId="0" applyFont="1" applyFill="1" applyBorder="1" applyAlignment="1">
      <alignment horizontal="center"/>
    </xf>
    <xf numFmtId="2" fontId="13" fillId="0" borderId="44" xfId="0" applyNumberFormat="1" applyFont="1" applyBorder="1" applyAlignment="1" applyProtection="1">
      <alignment horizontal="center" vertical="center" wrapText="1"/>
      <protection locked="0"/>
    </xf>
    <xf numFmtId="2" fontId="13" fillId="0" borderId="67" xfId="0" applyNumberFormat="1" applyFont="1" applyBorder="1" applyAlignment="1" applyProtection="1">
      <alignment horizontal="center" vertical="center" wrapText="1"/>
      <protection locked="0"/>
    </xf>
    <xf numFmtId="0" fontId="54" fillId="0" borderId="44" xfId="0" applyFont="1" applyBorder="1" applyAlignment="1" applyProtection="1">
      <alignment horizontal="center" vertical="center" wrapText="1"/>
      <protection locked="0"/>
    </xf>
    <xf numFmtId="0" fontId="54" fillId="0" borderId="4" xfId="0" applyFont="1" applyBorder="1" applyAlignment="1" applyProtection="1">
      <alignment horizontal="center" vertical="center" wrapText="1"/>
      <protection locked="0"/>
    </xf>
    <xf numFmtId="0" fontId="54" fillId="0" borderId="67" xfId="0" applyFont="1" applyBorder="1" applyAlignment="1" applyProtection="1">
      <alignment horizontal="center" vertical="center" wrapText="1"/>
      <protection locked="0"/>
    </xf>
    <xf numFmtId="0" fontId="54" fillId="3" borderId="70" xfId="0" applyFont="1" applyFill="1" applyBorder="1" applyAlignment="1" applyProtection="1">
      <alignment horizontal="center" wrapText="1"/>
      <protection locked="0"/>
    </xf>
    <xf numFmtId="0" fontId="54" fillId="3" borderId="3" xfId="0" applyFont="1" applyFill="1" applyBorder="1" applyAlignment="1" applyProtection="1">
      <alignment horizontal="center" wrapText="1"/>
      <protection locked="0"/>
    </xf>
    <xf numFmtId="0" fontId="54" fillId="3" borderId="80" xfId="0" applyFont="1" applyFill="1" applyBorder="1" applyAlignment="1" applyProtection="1">
      <alignment horizontal="center" wrapText="1"/>
      <protection locked="0"/>
    </xf>
    <xf numFmtId="0" fontId="16" fillId="10" borderId="10" xfId="0" applyFont="1" applyFill="1" applyBorder="1" applyAlignment="1">
      <alignment horizontal="left" vertical="center" wrapText="1"/>
    </xf>
    <xf numFmtId="0" fontId="13" fillId="0" borderId="70" xfId="0" applyFont="1" applyBorder="1" applyAlignment="1" applyProtection="1">
      <alignment horizontal="center" wrapText="1"/>
      <protection locked="0"/>
    </xf>
    <xf numFmtId="0" fontId="13" fillId="0" borderId="3" xfId="0" applyFont="1" applyBorder="1" applyAlignment="1" applyProtection="1">
      <alignment horizontal="center" wrapText="1"/>
      <protection locked="0"/>
    </xf>
    <xf numFmtId="0" fontId="13" fillId="0" borderId="80" xfId="0" applyFont="1" applyBorder="1" applyAlignment="1" applyProtection="1">
      <alignment horizontal="center" wrapText="1"/>
      <protection locked="0"/>
    </xf>
    <xf numFmtId="0" fontId="13" fillId="3" borderId="80" xfId="0" applyFont="1" applyFill="1" applyBorder="1" applyAlignment="1" applyProtection="1">
      <alignment horizontal="center" wrapText="1"/>
      <protection locked="0"/>
    </xf>
    <xf numFmtId="2" fontId="13" fillId="3" borderId="36" xfId="0" applyNumberFormat="1" applyFont="1" applyFill="1" applyBorder="1" applyAlignment="1" applyProtection="1">
      <alignment horizontal="center" vertical="center" wrapText="1"/>
      <protection locked="0"/>
    </xf>
    <xf numFmtId="2" fontId="13" fillId="3" borderId="39" xfId="0" applyNumberFormat="1" applyFont="1" applyFill="1" applyBorder="1" applyAlignment="1" applyProtection="1">
      <alignment horizontal="center" vertical="center" wrapText="1"/>
      <protection locked="0"/>
    </xf>
    <xf numFmtId="1" fontId="16" fillId="3" borderId="10" xfId="0" applyNumberFormat="1" applyFont="1" applyFill="1" applyBorder="1" applyAlignment="1" applyProtection="1">
      <alignment horizontal="center" vertical="center" wrapText="1"/>
      <protection locked="0"/>
    </xf>
    <xf numFmtId="1" fontId="16" fillId="3" borderId="10" xfId="0" applyNumberFormat="1" applyFont="1" applyFill="1" applyBorder="1" applyAlignment="1" applyProtection="1">
      <alignment horizontal="center" vertical="center"/>
      <protection locked="0"/>
    </xf>
    <xf numFmtId="0" fontId="13" fillId="3" borderId="36" xfId="0" applyFont="1" applyFill="1" applyBorder="1" applyAlignment="1" applyProtection="1">
      <alignment horizontal="center" vertical="top" wrapText="1" readingOrder="1"/>
      <protection locked="0"/>
    </xf>
    <xf numFmtId="0" fontId="13" fillId="3" borderId="31" xfId="0" applyFont="1" applyFill="1" applyBorder="1" applyAlignment="1" applyProtection="1">
      <alignment horizontal="center" vertical="top" wrapText="1" readingOrder="1"/>
      <protection locked="0"/>
    </xf>
    <xf numFmtId="0" fontId="16" fillId="9" borderId="0" xfId="0" applyFont="1" applyFill="1" applyAlignment="1">
      <alignment horizontal="center" wrapText="1"/>
    </xf>
    <xf numFmtId="0" fontId="16" fillId="9" borderId="0" xfId="0" applyFont="1" applyFill="1" applyAlignment="1">
      <alignment horizontal="center" vertical="center" wrapText="1"/>
    </xf>
    <xf numFmtId="0" fontId="35" fillId="10" borderId="31" xfId="0" applyFont="1" applyFill="1" applyBorder="1" applyAlignment="1">
      <alignment horizontal="center" vertical="center" wrapText="1"/>
    </xf>
    <xf numFmtId="0" fontId="35" fillId="10" borderId="6" xfId="0" applyFont="1" applyFill="1" applyBorder="1" applyAlignment="1">
      <alignment horizontal="center" vertical="center" wrapText="1"/>
    </xf>
    <xf numFmtId="0" fontId="14" fillId="10" borderId="5" xfId="0" applyFont="1" applyFill="1" applyBorder="1" applyAlignment="1">
      <alignment horizontal="center" vertical="center"/>
    </xf>
    <xf numFmtId="0" fontId="14" fillId="10" borderId="66" xfId="0" applyFont="1" applyFill="1" applyBorder="1" applyAlignment="1">
      <alignment horizontal="center" vertical="center"/>
    </xf>
    <xf numFmtId="0" fontId="0" fillId="9" borderId="0" xfId="0" applyFill="1" applyAlignment="1">
      <alignment horizontal="right" vertical="top"/>
    </xf>
    <xf numFmtId="0" fontId="7" fillId="9" borderId="0" xfId="21" applyFill="1" applyBorder="1" applyAlignment="1" applyProtection="1">
      <alignment horizontal="left" vertical="top"/>
    </xf>
    <xf numFmtId="0" fontId="48" fillId="9" borderId="0" xfId="0" applyFont="1" applyFill="1" applyAlignment="1">
      <alignment horizontal="center" vertical="top" wrapText="1"/>
    </xf>
    <xf numFmtId="0" fontId="35" fillId="10" borderId="66" xfId="0" applyFont="1" applyFill="1" applyBorder="1" applyAlignment="1">
      <alignment horizontal="center" vertical="center"/>
    </xf>
    <xf numFmtId="0" fontId="35" fillId="10" borderId="42" xfId="0" applyFont="1" applyFill="1" applyBorder="1" applyAlignment="1">
      <alignment horizontal="center" vertical="center"/>
    </xf>
    <xf numFmtId="0" fontId="49" fillId="9" borderId="0" xfId="0" applyFont="1" applyFill="1" applyAlignment="1">
      <alignment horizontal="center" vertical="center"/>
    </xf>
    <xf numFmtId="0" fontId="25" fillId="9" borderId="0" xfId="0" applyFont="1" applyFill="1" applyAlignment="1">
      <alignment horizontal="right" vertical="top"/>
    </xf>
    <xf numFmtId="0" fontId="43" fillId="9" borderId="0" xfId="21" applyFont="1" applyFill="1" applyAlignment="1" applyProtection="1">
      <alignment horizontal="left" vertical="top"/>
      <protection locked="0"/>
    </xf>
    <xf numFmtId="0" fontId="44" fillId="9" borderId="0" xfId="0" applyFont="1" applyFill="1" applyAlignment="1">
      <alignment horizontal="center"/>
    </xf>
    <xf numFmtId="2" fontId="14" fillId="4" borderId="62" xfId="0" applyNumberFormat="1" applyFont="1" applyFill="1" applyBorder="1" applyAlignment="1">
      <alignment horizontal="center" vertical="center" wrapText="1"/>
    </xf>
    <xf numFmtId="2" fontId="14" fillId="4" borderId="15" xfId="0" applyNumberFormat="1" applyFont="1" applyFill="1" applyBorder="1" applyAlignment="1">
      <alignment horizontal="center" vertical="center" wrapText="1"/>
    </xf>
    <xf numFmtId="0" fontId="24" fillId="5" borderId="12" xfId="0" applyFont="1" applyFill="1" applyBorder="1" applyAlignment="1">
      <alignment horizontal="center" vertical="center" wrapText="1"/>
    </xf>
    <xf numFmtId="0" fontId="24" fillId="5" borderId="5" xfId="0" applyFont="1" applyFill="1" applyBorder="1" applyAlignment="1">
      <alignment horizontal="center" vertical="center" wrapText="1"/>
    </xf>
    <xf numFmtId="2" fontId="14" fillId="4" borderId="16" xfId="0" applyNumberFormat="1" applyFont="1" applyFill="1" applyBorder="1" applyAlignment="1">
      <alignment horizontal="center" vertical="center" wrapText="1"/>
    </xf>
    <xf numFmtId="2" fontId="14" fillId="4" borderId="39" xfId="0" applyNumberFormat="1" applyFont="1" applyFill="1" applyBorder="1" applyAlignment="1">
      <alignment horizontal="center" vertical="center" wrapText="1"/>
    </xf>
    <xf numFmtId="0" fontId="24" fillId="5" borderId="13" xfId="0" applyFont="1" applyFill="1" applyBorder="1" applyAlignment="1">
      <alignment horizontal="center" vertical="center" wrapText="1"/>
    </xf>
    <xf numFmtId="0" fontId="24" fillId="5" borderId="18" xfId="0" applyFont="1" applyFill="1" applyBorder="1" applyAlignment="1">
      <alignment horizontal="center" vertical="center" wrapText="1"/>
    </xf>
    <xf numFmtId="2" fontId="14" fillId="4" borderId="63" xfId="0" applyNumberFormat="1" applyFont="1" applyFill="1" applyBorder="1" applyAlignment="1">
      <alignment horizontal="center" vertical="center" wrapText="1"/>
    </xf>
    <xf numFmtId="2" fontId="14" fillId="4" borderId="64" xfId="0" applyNumberFormat="1" applyFont="1" applyFill="1" applyBorder="1" applyAlignment="1">
      <alignment horizontal="center" vertical="center" wrapText="1"/>
    </xf>
    <xf numFmtId="0" fontId="11" fillId="12" borderId="23" xfId="0" applyFont="1" applyFill="1" applyBorder="1" applyAlignment="1">
      <alignment horizontal="center" vertical="center"/>
    </xf>
    <xf numFmtId="0" fontId="11" fillId="12" borderId="46" xfId="0" applyFont="1" applyFill="1" applyBorder="1" applyAlignment="1">
      <alignment horizontal="center" vertical="center"/>
    </xf>
    <xf numFmtId="0" fontId="11" fillId="12" borderId="24" xfId="0" applyFont="1" applyFill="1" applyBorder="1" applyAlignment="1">
      <alignment horizontal="center" vertical="center"/>
    </xf>
    <xf numFmtId="0" fontId="23" fillId="5" borderId="20" xfId="0" applyFont="1" applyFill="1" applyBorder="1" applyAlignment="1">
      <alignment horizontal="center" vertical="center" wrapText="1"/>
    </xf>
    <xf numFmtId="0" fontId="23" fillId="5" borderId="27" xfId="0" applyFont="1" applyFill="1" applyBorder="1" applyAlignment="1">
      <alignment horizontal="center" vertical="center" wrapText="1"/>
    </xf>
    <xf numFmtId="0" fontId="23" fillId="5" borderId="56" xfId="0" applyFont="1" applyFill="1" applyBorder="1" applyAlignment="1">
      <alignment horizontal="center" vertical="center" wrapText="1"/>
    </xf>
    <xf numFmtId="0" fontId="23" fillId="5" borderId="57" xfId="0" applyFont="1" applyFill="1" applyBorder="1" applyAlignment="1">
      <alignment horizontal="center" vertical="center" wrapText="1"/>
    </xf>
    <xf numFmtId="0" fontId="23" fillId="5" borderId="0" xfId="0" applyFont="1" applyFill="1" applyAlignment="1">
      <alignment horizontal="center" vertical="center" wrapText="1"/>
    </xf>
    <xf numFmtId="0" fontId="23" fillId="5" borderId="50" xfId="0" applyFont="1" applyFill="1" applyBorder="1" applyAlignment="1">
      <alignment horizontal="center" vertical="center" wrapText="1"/>
    </xf>
    <xf numFmtId="0" fontId="23" fillId="5" borderId="33" xfId="0" applyFont="1" applyFill="1" applyBorder="1" applyAlignment="1">
      <alignment horizontal="center" vertical="center" wrapText="1"/>
    </xf>
    <xf numFmtId="0" fontId="23" fillId="5" borderId="34" xfId="0" applyFont="1" applyFill="1" applyBorder="1" applyAlignment="1">
      <alignment horizontal="center" vertical="center" wrapText="1"/>
    </xf>
    <xf numFmtId="0" fontId="23" fillId="5" borderId="59" xfId="0" applyFont="1" applyFill="1" applyBorder="1" applyAlignment="1">
      <alignment horizontal="center" vertical="center" wrapText="1"/>
    </xf>
    <xf numFmtId="0" fontId="24" fillId="5" borderId="14" xfId="0" applyFont="1" applyFill="1" applyBorder="1" applyAlignment="1">
      <alignment horizontal="center" vertical="center" wrapText="1"/>
    </xf>
    <xf numFmtId="0" fontId="24" fillId="5" borderId="17" xfId="0" applyFont="1" applyFill="1" applyBorder="1" applyAlignment="1">
      <alignment horizontal="center" vertical="center" wrapText="1"/>
    </xf>
    <xf numFmtId="0" fontId="51" fillId="11" borderId="0" xfId="0" applyFont="1" applyFill="1" applyAlignment="1">
      <alignment horizontal="center" vertical="center"/>
    </xf>
    <xf numFmtId="0" fontId="26" fillId="5" borderId="20" xfId="0" applyFont="1" applyFill="1" applyBorder="1" applyAlignment="1">
      <alignment horizontal="center" vertical="center"/>
    </xf>
    <xf numFmtId="0" fontId="26" fillId="5" borderId="27" xfId="0" applyFont="1" applyFill="1" applyBorder="1" applyAlignment="1">
      <alignment horizontal="center" vertical="center"/>
    </xf>
    <xf numFmtId="0" fontId="26" fillId="5" borderId="56" xfId="0" applyFont="1" applyFill="1" applyBorder="1" applyAlignment="1">
      <alignment horizontal="center" vertical="center"/>
    </xf>
    <xf numFmtId="0" fontId="26" fillId="5" borderId="33" xfId="0" applyFont="1" applyFill="1" applyBorder="1" applyAlignment="1">
      <alignment horizontal="center" vertical="center"/>
    </xf>
    <xf numFmtId="0" fontId="26" fillId="5" borderId="34" xfId="0" applyFont="1" applyFill="1" applyBorder="1" applyAlignment="1">
      <alignment horizontal="center" vertical="center"/>
    </xf>
    <xf numFmtId="0" fontId="26" fillId="5" borderId="59" xfId="0" applyFont="1" applyFill="1" applyBorder="1" applyAlignment="1">
      <alignment horizontal="center" vertical="center"/>
    </xf>
    <xf numFmtId="0" fontId="14" fillId="5" borderId="23" xfId="0" applyFont="1" applyFill="1" applyBorder="1" applyAlignment="1">
      <alignment horizontal="left" vertical="center"/>
    </xf>
    <xf numFmtId="0" fontId="14" fillId="5" borderId="46" xfId="0" applyFont="1" applyFill="1" applyBorder="1" applyAlignment="1">
      <alignment horizontal="left" vertical="center"/>
    </xf>
    <xf numFmtId="0" fontId="14" fillId="5" borderId="24" xfId="0" applyFont="1" applyFill="1" applyBorder="1" applyAlignment="1">
      <alignment horizontal="left" vertical="center"/>
    </xf>
    <xf numFmtId="2" fontId="14" fillId="4" borderId="5" xfId="0" applyNumberFormat="1" applyFont="1" applyFill="1" applyBorder="1" applyAlignment="1">
      <alignment horizontal="center" vertical="center"/>
    </xf>
    <xf numFmtId="2" fontId="14" fillId="4" borderId="21" xfId="0" applyNumberFormat="1" applyFont="1" applyFill="1" applyBorder="1" applyAlignment="1">
      <alignment horizontal="center" vertical="center"/>
    </xf>
    <xf numFmtId="2" fontId="14" fillId="20" borderId="17" xfId="0" applyNumberFormat="1" applyFont="1" applyFill="1" applyBorder="1" applyAlignment="1">
      <alignment horizontal="center" vertical="center" wrapText="1"/>
    </xf>
    <xf numFmtId="2" fontId="14" fillId="20" borderId="19" xfId="0" applyNumberFormat="1" applyFont="1" applyFill="1" applyBorder="1" applyAlignment="1">
      <alignment horizontal="center" vertical="center" wrapText="1"/>
    </xf>
    <xf numFmtId="2" fontId="14" fillId="4" borderId="5" xfId="0" applyNumberFormat="1" applyFont="1" applyFill="1" applyBorder="1" applyAlignment="1">
      <alignment horizontal="center" vertical="center" wrapText="1"/>
    </xf>
    <xf numFmtId="2" fontId="14" fillId="4" borderId="21" xfId="0" applyNumberFormat="1" applyFont="1" applyFill="1" applyBorder="1" applyAlignment="1">
      <alignment horizontal="center" vertical="center" wrapText="1"/>
    </xf>
    <xf numFmtId="0" fontId="32" fillId="5" borderId="23" xfId="0" applyFont="1" applyFill="1" applyBorder="1" applyAlignment="1">
      <alignment horizontal="center" vertical="center" wrapText="1"/>
    </xf>
    <xf numFmtId="0" fontId="32" fillId="5" borderId="46" xfId="0" applyFont="1" applyFill="1" applyBorder="1" applyAlignment="1">
      <alignment horizontal="center" vertical="center" wrapText="1"/>
    </xf>
    <xf numFmtId="0" fontId="32" fillId="5" borderId="24" xfId="0" applyFont="1" applyFill="1" applyBorder="1" applyAlignment="1">
      <alignment horizontal="center" vertical="center" wrapText="1"/>
    </xf>
    <xf numFmtId="0" fontId="46" fillId="7" borderId="23" xfId="0" applyFont="1" applyFill="1" applyBorder="1" applyAlignment="1">
      <alignment horizontal="center" vertical="center" wrapText="1"/>
    </xf>
    <xf numFmtId="0" fontId="46" fillId="7" borderId="46" xfId="0" applyFont="1" applyFill="1" applyBorder="1" applyAlignment="1">
      <alignment horizontal="center" vertical="center" wrapText="1"/>
    </xf>
    <xf numFmtId="0" fontId="46" fillId="7" borderId="24" xfId="0" applyFont="1" applyFill="1" applyBorder="1" applyAlignment="1">
      <alignment horizontal="center" vertical="center" wrapText="1"/>
    </xf>
    <xf numFmtId="0" fontId="37" fillId="5" borderId="20" xfId="0" applyFont="1" applyFill="1" applyBorder="1" applyAlignment="1">
      <alignment horizontal="center" vertical="center" wrapText="1"/>
    </xf>
    <xf numFmtId="2" fontId="14" fillId="4" borderId="17" xfId="0" applyNumberFormat="1" applyFont="1" applyFill="1" applyBorder="1" applyAlignment="1">
      <alignment horizontal="center" vertical="center" wrapText="1"/>
    </xf>
    <xf numFmtId="0" fontId="18" fillId="11" borderId="0" xfId="0" applyFont="1" applyFill="1" applyAlignment="1">
      <alignment horizontal="center" vertical="center" wrapText="1"/>
    </xf>
    <xf numFmtId="2" fontId="14" fillId="4" borderId="18" xfId="0" applyNumberFormat="1" applyFont="1" applyFill="1" applyBorder="1" applyAlignment="1">
      <alignment horizontal="center" vertical="center" wrapText="1"/>
    </xf>
    <xf numFmtId="0" fontId="32" fillId="5" borderId="20" xfId="0" applyFont="1" applyFill="1" applyBorder="1" applyAlignment="1">
      <alignment horizontal="center" vertical="center" wrapText="1"/>
    </xf>
    <xf numFmtId="0" fontId="32" fillId="5" borderId="27" xfId="0" applyFont="1" applyFill="1" applyBorder="1" applyAlignment="1">
      <alignment horizontal="center" vertical="center" wrapText="1"/>
    </xf>
    <xf numFmtId="0" fontId="32" fillId="5" borderId="56" xfId="0" applyFont="1" applyFill="1" applyBorder="1" applyAlignment="1">
      <alignment horizontal="center" vertical="center" wrapText="1"/>
    </xf>
    <xf numFmtId="0" fontId="32" fillId="5" borderId="57" xfId="0" applyFont="1" applyFill="1" applyBorder="1" applyAlignment="1">
      <alignment horizontal="center" vertical="center" wrapText="1"/>
    </xf>
    <xf numFmtId="0" fontId="32" fillId="5" borderId="0" xfId="0" applyFont="1" applyFill="1" applyAlignment="1">
      <alignment horizontal="center" vertical="center" wrapText="1"/>
    </xf>
    <xf numFmtId="0" fontId="32" fillId="5" borderId="50" xfId="0" applyFont="1" applyFill="1" applyBorder="1" applyAlignment="1">
      <alignment horizontal="center" vertical="center" wrapText="1"/>
    </xf>
    <xf numFmtId="0" fontId="32" fillId="5" borderId="33" xfId="0" applyFont="1" applyFill="1" applyBorder="1" applyAlignment="1">
      <alignment horizontal="center" vertical="center" wrapText="1"/>
    </xf>
    <xf numFmtId="0" fontId="32" fillId="5" borderId="34" xfId="0" applyFont="1" applyFill="1" applyBorder="1" applyAlignment="1">
      <alignment horizontal="center" vertical="center" wrapText="1"/>
    </xf>
    <xf numFmtId="0" fontId="32" fillId="5" borderId="59" xfId="0" applyFont="1" applyFill="1" applyBorder="1" applyAlignment="1">
      <alignment horizontal="center" vertical="center" wrapText="1"/>
    </xf>
    <xf numFmtId="0" fontId="27" fillId="11" borderId="0" xfId="0" applyFont="1" applyFill="1" applyAlignment="1">
      <alignment horizontal="left"/>
    </xf>
    <xf numFmtId="2" fontId="14" fillId="4" borderId="16" xfId="0" quotePrefix="1" applyNumberFormat="1" applyFont="1" applyFill="1" applyBorder="1" applyAlignment="1">
      <alignment horizontal="center" vertical="center" wrapText="1"/>
    </xf>
    <xf numFmtId="0" fontId="25" fillId="11" borderId="57" xfId="0" applyFont="1" applyFill="1" applyBorder="1" applyAlignment="1">
      <alignment horizontal="center"/>
    </xf>
    <xf numFmtId="0" fontId="25" fillId="11" borderId="0" xfId="0" applyFont="1" applyFill="1" applyAlignment="1">
      <alignment horizontal="center"/>
    </xf>
    <xf numFmtId="2" fontId="14" fillId="4" borderId="63" xfId="0" applyNumberFormat="1" applyFont="1" applyFill="1" applyBorder="1" applyAlignment="1">
      <alignment horizontal="center" vertical="center"/>
    </xf>
    <xf numFmtId="2" fontId="14" fillId="4" borderId="64" xfId="0" applyNumberFormat="1" applyFont="1" applyFill="1" applyBorder="1" applyAlignment="1">
      <alignment horizontal="center" vertical="center"/>
    </xf>
    <xf numFmtId="2" fontId="14" fillId="4" borderId="45" xfId="0" applyNumberFormat="1" applyFont="1" applyFill="1" applyBorder="1" applyAlignment="1">
      <alignment horizontal="center" vertical="center" wrapText="1"/>
    </xf>
    <xf numFmtId="2" fontId="14" fillId="4" borderId="14" xfId="0" applyNumberFormat="1" applyFont="1" applyFill="1" applyBorder="1" applyAlignment="1">
      <alignment horizontal="center" vertical="center"/>
    </xf>
    <xf numFmtId="2" fontId="14" fillId="4" borderId="19" xfId="0" applyNumberFormat="1" applyFont="1" applyFill="1" applyBorder="1" applyAlignment="1">
      <alignment horizontal="center" vertical="center"/>
    </xf>
    <xf numFmtId="2" fontId="14" fillId="4" borderId="12" xfId="0" applyNumberFormat="1" applyFont="1" applyFill="1" applyBorder="1" applyAlignment="1">
      <alignment horizontal="center" vertical="center"/>
    </xf>
    <xf numFmtId="2" fontId="14" fillId="4" borderId="45" xfId="0" applyNumberFormat="1" applyFont="1" applyFill="1" applyBorder="1" applyAlignment="1">
      <alignment horizontal="center" vertical="center"/>
    </xf>
    <xf numFmtId="2" fontId="14" fillId="4" borderId="35" xfId="0" applyNumberFormat="1" applyFont="1" applyFill="1" applyBorder="1" applyAlignment="1">
      <alignment horizontal="center" vertical="center" wrapText="1"/>
    </xf>
    <xf numFmtId="2" fontId="14" fillId="4" borderId="36" xfId="0" applyNumberFormat="1" applyFont="1" applyFill="1" applyBorder="1" applyAlignment="1">
      <alignment horizontal="center" vertical="center" wrapText="1"/>
    </xf>
    <xf numFmtId="2" fontId="14" fillId="4" borderId="18" xfId="0" applyNumberFormat="1" applyFont="1" applyFill="1" applyBorder="1" applyAlignment="1">
      <alignment horizontal="center" vertical="center"/>
    </xf>
    <xf numFmtId="2" fontId="14" fillId="4" borderId="22" xfId="0" applyNumberFormat="1" applyFont="1" applyFill="1" applyBorder="1" applyAlignment="1">
      <alignment horizontal="center" vertical="center"/>
    </xf>
    <xf numFmtId="0" fontId="14" fillId="5" borderId="7" xfId="0" applyFont="1" applyFill="1" applyBorder="1" applyAlignment="1">
      <alignment horizontal="center" vertical="center" wrapText="1"/>
    </xf>
    <xf numFmtId="0" fontId="14" fillId="5" borderId="74" xfId="0" applyFont="1" applyFill="1" applyBorder="1" applyAlignment="1">
      <alignment horizontal="center" vertical="center" wrapText="1"/>
    </xf>
    <xf numFmtId="0" fontId="14" fillId="5" borderId="73" xfId="0" applyFont="1" applyFill="1" applyBorder="1" applyAlignment="1">
      <alignment horizontal="center" vertical="center" wrapText="1"/>
    </xf>
    <xf numFmtId="2" fontId="14" fillId="4" borderId="17" xfId="0" applyNumberFormat="1" applyFont="1" applyFill="1" applyBorder="1" applyAlignment="1">
      <alignment horizontal="center" vertical="center"/>
    </xf>
    <xf numFmtId="0" fontId="16" fillId="11" borderId="0" xfId="0" applyFont="1" applyFill="1" applyAlignment="1">
      <alignment horizontal="center" vertical="center" wrapText="1"/>
    </xf>
    <xf numFmtId="0" fontId="15" fillId="9" borderId="0" xfId="0" applyFont="1" applyFill="1" applyAlignment="1">
      <alignment horizontal="center" vertical="center" wrapText="1"/>
    </xf>
    <xf numFmtId="10" fontId="14" fillId="4" borderId="62" xfId="0" applyNumberFormat="1" applyFont="1" applyFill="1" applyBorder="1" applyAlignment="1">
      <alignment horizontal="center" vertical="center" wrapText="1"/>
    </xf>
    <xf numFmtId="10" fontId="14" fillId="4" borderId="15" xfId="0" applyNumberFormat="1" applyFont="1" applyFill="1" applyBorder="1" applyAlignment="1">
      <alignment horizontal="center" vertical="center" wrapText="1"/>
    </xf>
    <xf numFmtId="10" fontId="14" fillId="4" borderId="71" xfId="0" applyNumberFormat="1" applyFont="1" applyFill="1" applyBorder="1" applyAlignment="1">
      <alignment horizontal="center" vertical="center" wrapText="1"/>
    </xf>
    <xf numFmtId="10" fontId="14" fillId="4" borderId="50" xfId="0" applyNumberFormat="1" applyFont="1" applyFill="1" applyBorder="1" applyAlignment="1">
      <alignment horizontal="center" vertical="center" wrapText="1"/>
    </xf>
    <xf numFmtId="0" fontId="24" fillId="5" borderId="63" xfId="0" applyFont="1" applyFill="1" applyBorder="1" applyAlignment="1">
      <alignment horizontal="center" vertical="center" wrapText="1"/>
    </xf>
    <xf numFmtId="10" fontId="14" fillId="4" borderId="63" xfId="0" applyNumberFormat="1" applyFont="1" applyFill="1" applyBorder="1" applyAlignment="1">
      <alignment horizontal="center" vertical="center" wrapText="1"/>
    </xf>
    <xf numFmtId="10" fontId="14" fillId="4" borderId="64" xfId="0" applyNumberFormat="1" applyFont="1" applyFill="1" applyBorder="1" applyAlignment="1">
      <alignment horizontal="center" vertical="center" wrapText="1"/>
    </xf>
    <xf numFmtId="0" fontId="64" fillId="23" borderId="20" xfId="0" applyFont="1" applyFill="1" applyBorder="1" applyAlignment="1">
      <alignment horizontal="center" vertical="center"/>
    </xf>
    <xf numFmtId="0" fontId="65" fillId="23" borderId="27" xfId="0" applyFont="1" applyFill="1" applyBorder="1" applyAlignment="1">
      <alignment horizontal="center" vertical="center"/>
    </xf>
    <xf numFmtId="0" fontId="65" fillId="23" borderId="56" xfId="0" applyFont="1" applyFill="1" applyBorder="1" applyAlignment="1">
      <alignment horizontal="center" vertical="center"/>
    </xf>
    <xf numFmtId="0" fontId="65" fillId="23" borderId="57" xfId="0" applyFont="1" applyFill="1" applyBorder="1" applyAlignment="1">
      <alignment horizontal="center" vertical="center"/>
    </xf>
    <xf numFmtId="0" fontId="65" fillId="23" borderId="0" xfId="0" applyFont="1" applyFill="1" applyAlignment="1">
      <alignment horizontal="center" vertical="center"/>
    </xf>
    <xf numFmtId="0" fontId="65" fillId="23" borderId="50" xfId="0" applyFont="1" applyFill="1" applyBorder="1" applyAlignment="1">
      <alignment horizontal="center" vertical="center"/>
    </xf>
    <xf numFmtId="0" fontId="65" fillId="23" borderId="33" xfId="0" applyFont="1" applyFill="1" applyBorder="1" applyAlignment="1">
      <alignment horizontal="center" vertical="center"/>
    </xf>
    <xf numFmtId="0" fontId="65" fillId="23" borderId="34" xfId="0" applyFont="1" applyFill="1" applyBorder="1" applyAlignment="1">
      <alignment horizontal="center" vertical="center"/>
    </xf>
    <xf numFmtId="0" fontId="65" fillId="23" borderId="59" xfId="0" applyFont="1" applyFill="1" applyBorder="1" applyAlignment="1">
      <alignment horizontal="center" vertical="center"/>
    </xf>
    <xf numFmtId="0" fontId="51" fillId="11" borderId="57" xfId="0" applyFont="1" applyFill="1" applyBorder="1" applyAlignment="1">
      <alignment horizontal="center"/>
    </xf>
    <xf numFmtId="0" fontId="51" fillId="11" borderId="0" xfId="0" applyFont="1" applyFill="1" applyAlignment="1">
      <alignment horizontal="center"/>
    </xf>
    <xf numFmtId="0" fontId="51" fillId="11" borderId="57" xfId="0" applyFont="1" applyFill="1" applyBorder="1" applyAlignment="1">
      <alignment horizontal="center" vertical="center" wrapText="1"/>
    </xf>
    <xf numFmtId="0" fontId="51" fillId="11" borderId="0" xfId="0" applyFont="1" applyFill="1" applyAlignment="1">
      <alignment horizontal="center" vertical="center" wrapText="1"/>
    </xf>
    <xf numFmtId="0" fontId="14" fillId="5" borderId="37" xfId="0" applyFont="1" applyFill="1" applyBorder="1" applyAlignment="1">
      <alignment horizontal="center" vertical="center" wrapText="1"/>
    </xf>
    <xf numFmtId="0" fontId="27" fillId="11" borderId="0" xfId="0" applyFont="1" applyFill="1" applyAlignment="1">
      <alignment horizontal="center"/>
    </xf>
    <xf numFmtId="0" fontId="16" fillId="5" borderId="54" xfId="0" applyFont="1" applyFill="1" applyBorder="1" applyAlignment="1">
      <alignment horizontal="center" vertical="center" wrapText="1"/>
    </xf>
    <xf numFmtId="0" fontId="58" fillId="5" borderId="14" xfId="0" applyFont="1" applyFill="1" applyBorder="1" applyAlignment="1">
      <alignment horizontal="center" vertical="center" wrapText="1"/>
    </xf>
    <xf numFmtId="0" fontId="58" fillId="5" borderId="17" xfId="0" applyFont="1" applyFill="1" applyBorder="1" applyAlignment="1">
      <alignment horizontal="center" vertical="center" wrapText="1"/>
    </xf>
    <xf numFmtId="0" fontId="58" fillId="5" borderId="13" xfId="0" applyFont="1" applyFill="1" applyBorder="1" applyAlignment="1">
      <alignment horizontal="center" vertical="center" wrapText="1"/>
    </xf>
    <xf numFmtId="0" fontId="58" fillId="5" borderId="18" xfId="0" applyFont="1" applyFill="1" applyBorder="1" applyAlignment="1">
      <alignment horizontal="center" vertical="center" wrapText="1"/>
    </xf>
    <xf numFmtId="0" fontId="67" fillId="17" borderId="77" xfId="0" applyFont="1" applyFill="1" applyBorder="1" applyAlignment="1">
      <alignment horizontal="center" vertical="center" textRotation="90"/>
    </xf>
    <xf numFmtId="0" fontId="67" fillId="17" borderId="0" xfId="0" applyFont="1" applyFill="1" applyAlignment="1">
      <alignment horizontal="center" vertical="center" textRotation="90"/>
    </xf>
    <xf numFmtId="0" fontId="67" fillId="17" borderId="76" xfId="0" applyFont="1" applyFill="1" applyBorder="1" applyAlignment="1">
      <alignment horizontal="center" vertical="center" textRotation="90"/>
    </xf>
    <xf numFmtId="0" fontId="67" fillId="18" borderId="77" xfId="0" applyFont="1" applyFill="1" applyBorder="1" applyAlignment="1">
      <alignment horizontal="center" vertical="center" textRotation="90"/>
    </xf>
    <xf numFmtId="0" fontId="67" fillId="18" borderId="0" xfId="0" applyFont="1" applyFill="1" applyAlignment="1">
      <alignment horizontal="center" vertical="center" textRotation="90"/>
    </xf>
    <xf numFmtId="0" fontId="67" fillId="18" borderId="76" xfId="0" applyFont="1" applyFill="1" applyBorder="1" applyAlignment="1">
      <alignment horizontal="center" vertical="center" textRotation="90"/>
    </xf>
    <xf numFmtId="0" fontId="67" fillId="19" borderId="77" xfId="0" applyFont="1" applyFill="1" applyBorder="1" applyAlignment="1">
      <alignment textRotation="90"/>
    </xf>
    <xf numFmtId="0" fontId="67" fillId="19" borderId="0" xfId="0" applyFont="1" applyFill="1" applyAlignment="1">
      <alignment textRotation="90"/>
    </xf>
    <xf numFmtId="0" fontId="10" fillId="5" borderId="41" xfId="0" applyFont="1" applyFill="1" applyBorder="1" applyAlignment="1">
      <alignment horizontal="center" vertical="center" wrapText="1"/>
    </xf>
    <xf numFmtId="0" fontId="10" fillId="5" borderId="25" xfId="0" applyFont="1" applyFill="1" applyBorder="1" applyAlignment="1">
      <alignment horizontal="center" vertical="center" wrapText="1"/>
    </xf>
    <xf numFmtId="0" fontId="10" fillId="20" borderId="66" xfId="0" applyFont="1" applyFill="1" applyBorder="1" applyAlignment="1">
      <alignment horizontal="center" vertical="center"/>
    </xf>
    <xf numFmtId="0" fontId="10" fillId="20" borderId="42" xfId="0" applyFont="1" applyFill="1" applyBorder="1" applyAlignment="1">
      <alignment horizontal="center" vertical="center"/>
    </xf>
    <xf numFmtId="0" fontId="46" fillId="5" borderId="54" xfId="0" applyFont="1" applyFill="1" applyBorder="1" applyAlignment="1">
      <alignment horizontal="center"/>
    </xf>
    <xf numFmtId="0" fontId="10" fillId="5" borderId="8" xfId="0" applyFont="1" applyFill="1" applyBorder="1" applyAlignment="1">
      <alignment horizontal="center" vertical="center" wrapText="1"/>
    </xf>
    <xf numFmtId="0" fontId="10" fillId="20" borderId="52" xfId="0" applyFont="1" applyFill="1" applyBorder="1" applyAlignment="1">
      <alignment horizontal="center" vertical="center"/>
    </xf>
    <xf numFmtId="1" fontId="10" fillId="20" borderId="43" xfId="0" applyNumberFormat="1" applyFont="1" applyFill="1" applyBorder="1" applyAlignment="1">
      <alignment horizontal="center" vertical="center"/>
    </xf>
    <xf numFmtId="1" fontId="10" fillId="20" borderId="26" xfId="0" applyNumberFormat="1" applyFont="1" applyFill="1" applyBorder="1" applyAlignment="1">
      <alignment horizontal="center" vertical="center"/>
    </xf>
    <xf numFmtId="1" fontId="10" fillId="20" borderId="38" xfId="0" applyNumberFormat="1" applyFont="1" applyFill="1" applyBorder="1" applyAlignment="1">
      <alignment horizontal="center" vertical="center"/>
    </xf>
    <xf numFmtId="0" fontId="18" fillId="5" borderId="20" xfId="0" applyFont="1" applyFill="1" applyBorder="1" applyAlignment="1">
      <alignment horizontal="center" vertical="center" wrapText="1"/>
    </xf>
    <xf numFmtId="0" fontId="18" fillId="5" borderId="27" xfId="0" applyFont="1" applyFill="1" applyBorder="1" applyAlignment="1">
      <alignment horizontal="center" vertical="center" wrapText="1"/>
    </xf>
    <xf numFmtId="0" fontId="18" fillId="5" borderId="56" xfId="0" applyFont="1" applyFill="1" applyBorder="1" applyAlignment="1">
      <alignment horizontal="center" vertical="center" wrapText="1"/>
    </xf>
    <xf numFmtId="0" fontId="18" fillId="5" borderId="44" xfId="0" applyFont="1" applyFill="1" applyBorder="1" applyAlignment="1">
      <alignment horizontal="center" vertical="center" wrapText="1"/>
    </xf>
    <xf numFmtId="0" fontId="18" fillId="5" borderId="4" xfId="0" applyFont="1" applyFill="1" applyBorder="1" applyAlignment="1">
      <alignment horizontal="center" vertical="center" wrapText="1"/>
    </xf>
    <xf numFmtId="0" fontId="18" fillId="5" borderId="67" xfId="0" applyFont="1" applyFill="1" applyBorder="1" applyAlignment="1">
      <alignment horizontal="center" vertical="center" wrapText="1"/>
    </xf>
    <xf numFmtId="0" fontId="16" fillId="5" borderId="41" xfId="0" applyFont="1" applyFill="1" applyBorder="1" applyAlignment="1">
      <alignment horizontal="center" vertical="center" wrapText="1"/>
    </xf>
    <xf numFmtId="0" fontId="16" fillId="5" borderId="25" xfId="0" applyFont="1" applyFill="1" applyBorder="1" applyAlignment="1">
      <alignment horizontal="center" vertical="center" wrapText="1"/>
    </xf>
    <xf numFmtId="0" fontId="16" fillId="5" borderId="66" xfId="0" applyFont="1" applyFill="1" applyBorder="1" applyAlignment="1">
      <alignment horizontal="center" vertical="center" wrapText="1"/>
    </xf>
    <xf numFmtId="0" fontId="16" fillId="5" borderId="42" xfId="0" applyFont="1" applyFill="1" applyBorder="1" applyAlignment="1">
      <alignment horizontal="center" vertical="center" wrapText="1"/>
    </xf>
    <xf numFmtId="0" fontId="16" fillId="5" borderId="43" xfId="0" applyFont="1" applyFill="1" applyBorder="1" applyAlignment="1">
      <alignment horizontal="center" vertical="center" wrapText="1"/>
    </xf>
    <xf numFmtId="0" fontId="16" fillId="5" borderId="26" xfId="0" applyFont="1" applyFill="1" applyBorder="1" applyAlignment="1">
      <alignment horizontal="center" vertical="center" wrapText="1"/>
    </xf>
    <xf numFmtId="2" fontId="10" fillId="20" borderId="17" xfId="0" applyNumberFormat="1" applyFont="1" applyFill="1" applyBorder="1" applyAlignment="1">
      <alignment horizontal="center"/>
    </xf>
    <xf numFmtId="2" fontId="10" fillId="20" borderId="19" xfId="0" applyNumberFormat="1" applyFont="1" applyFill="1" applyBorder="1" applyAlignment="1">
      <alignment horizontal="center"/>
    </xf>
    <xf numFmtId="2" fontId="10" fillId="20" borderId="18" xfId="0" applyNumberFormat="1" applyFont="1" applyFill="1" applyBorder="1" applyAlignment="1">
      <alignment horizontal="center"/>
    </xf>
    <xf numFmtId="2" fontId="10" fillId="20" borderId="22" xfId="0" applyNumberFormat="1" applyFont="1" applyFill="1" applyBorder="1" applyAlignment="1">
      <alignment horizontal="center"/>
    </xf>
    <xf numFmtId="0" fontId="53" fillId="5" borderId="23" xfId="0" applyFont="1" applyFill="1" applyBorder="1" applyAlignment="1">
      <alignment horizontal="center"/>
    </xf>
    <xf numFmtId="0" fontId="53" fillId="5" borderId="46" xfId="0" applyFont="1" applyFill="1" applyBorder="1" applyAlignment="1">
      <alignment horizontal="center"/>
    </xf>
    <xf numFmtId="0" fontId="53" fillId="5" borderId="24" xfId="0" applyFont="1" applyFill="1" applyBorder="1" applyAlignment="1">
      <alignment horizontal="center"/>
    </xf>
    <xf numFmtId="0" fontId="11" fillId="5" borderId="30" xfId="0" applyFont="1" applyFill="1" applyBorder="1" applyAlignment="1">
      <alignment horizontal="center"/>
    </xf>
    <xf numFmtId="2" fontId="10" fillId="20" borderId="17" xfId="0" applyNumberFormat="1" applyFont="1" applyFill="1" applyBorder="1" applyAlignment="1">
      <alignment horizontal="center" vertical="center"/>
    </xf>
    <xf numFmtId="2" fontId="10" fillId="20" borderId="18" xfId="0" applyNumberFormat="1" applyFont="1" applyFill="1" applyBorder="1" applyAlignment="1">
      <alignment horizontal="center" vertical="center"/>
    </xf>
    <xf numFmtId="0" fontId="58" fillId="5" borderId="54" xfId="0" applyFont="1" applyFill="1" applyBorder="1" applyAlignment="1">
      <alignment horizontal="center" vertical="center" wrapText="1"/>
    </xf>
    <xf numFmtId="0" fontId="46" fillId="5" borderId="23" xfId="0" applyFont="1" applyFill="1" applyBorder="1" applyAlignment="1">
      <alignment horizontal="center" vertical="center"/>
    </xf>
    <xf numFmtId="0" fontId="46" fillId="5" borderId="46" xfId="0" applyFont="1" applyFill="1" applyBorder="1" applyAlignment="1">
      <alignment horizontal="center" vertical="center"/>
    </xf>
    <xf numFmtId="0" fontId="46" fillId="5" borderId="24" xfId="0" applyFont="1" applyFill="1" applyBorder="1" applyAlignment="1">
      <alignment horizontal="center" vertical="center"/>
    </xf>
    <xf numFmtId="0" fontId="59" fillId="5" borderId="45" xfId="0" applyFont="1" applyFill="1" applyBorder="1" applyAlignment="1">
      <alignment horizontal="center" vertical="center" wrapText="1"/>
    </xf>
    <xf numFmtId="0" fontId="59" fillId="5" borderId="58" xfId="0" applyFont="1" applyFill="1" applyBorder="1" applyAlignment="1">
      <alignment horizontal="center" vertical="center" wrapText="1"/>
    </xf>
    <xf numFmtId="2" fontId="46" fillId="20" borderId="63" xfId="0" applyNumberFormat="1" applyFont="1" applyFill="1" applyBorder="1" applyAlignment="1">
      <alignment horizontal="center" wrapText="1"/>
    </xf>
    <xf numFmtId="2" fontId="46" fillId="20" borderId="64" xfId="0" applyNumberFormat="1" applyFont="1" applyFill="1" applyBorder="1" applyAlignment="1">
      <alignment horizontal="center" wrapText="1"/>
    </xf>
    <xf numFmtId="0" fontId="56" fillId="5" borderId="20" xfId="0" applyFont="1" applyFill="1" applyBorder="1" applyAlignment="1">
      <alignment horizontal="center" vertical="center"/>
    </xf>
    <xf numFmtId="0" fontId="56" fillId="5" borderId="27" xfId="0" applyFont="1" applyFill="1" applyBorder="1" applyAlignment="1">
      <alignment horizontal="center" vertical="center"/>
    </xf>
    <xf numFmtId="0" fontId="56" fillId="5" borderId="56" xfId="0" applyFont="1" applyFill="1" applyBorder="1" applyAlignment="1">
      <alignment horizontal="center" vertical="center"/>
    </xf>
    <xf numFmtId="0" fontId="56" fillId="5" borderId="33" xfId="0" applyFont="1" applyFill="1" applyBorder="1" applyAlignment="1">
      <alignment horizontal="center" vertical="center"/>
    </xf>
    <xf numFmtId="0" fontId="56" fillId="5" borderId="34" xfId="0" applyFont="1" applyFill="1" applyBorder="1" applyAlignment="1">
      <alignment horizontal="center" vertical="center"/>
    </xf>
    <xf numFmtId="0" fontId="56" fillId="5" borderId="59" xfId="0" applyFont="1" applyFill="1" applyBorder="1" applyAlignment="1">
      <alignment horizontal="center" vertical="center"/>
    </xf>
    <xf numFmtId="0" fontId="53" fillId="5" borderId="20" xfId="0" applyFont="1" applyFill="1" applyBorder="1" applyAlignment="1">
      <alignment horizontal="center" vertical="center"/>
    </xf>
    <xf numFmtId="0" fontId="53" fillId="5" borderId="56" xfId="0" applyFont="1" applyFill="1" applyBorder="1" applyAlignment="1">
      <alignment horizontal="center" vertical="center"/>
    </xf>
    <xf numFmtId="0" fontId="53" fillId="5" borderId="33" xfId="0" applyFont="1" applyFill="1" applyBorder="1" applyAlignment="1">
      <alignment horizontal="center" vertical="center"/>
    </xf>
    <xf numFmtId="0" fontId="53" fillId="5" borderId="59" xfId="0" applyFont="1" applyFill="1" applyBorder="1" applyAlignment="1">
      <alignment horizontal="center" vertical="center"/>
    </xf>
    <xf numFmtId="0" fontId="57" fillId="5" borderId="20" xfId="0" applyFont="1" applyFill="1" applyBorder="1" applyAlignment="1">
      <alignment horizontal="center" vertical="center" wrapText="1"/>
    </xf>
    <xf numFmtId="0" fontId="57" fillId="5" borderId="27" xfId="0" applyFont="1" applyFill="1" applyBorder="1" applyAlignment="1">
      <alignment horizontal="center" vertical="center" wrapText="1"/>
    </xf>
    <xf numFmtId="0" fontId="57" fillId="5" borderId="56" xfId="0" applyFont="1" applyFill="1" applyBorder="1" applyAlignment="1">
      <alignment horizontal="center" vertical="center" wrapText="1"/>
    </xf>
    <xf numFmtId="0" fontId="57" fillId="5" borderId="57" xfId="0" applyFont="1" applyFill="1" applyBorder="1" applyAlignment="1">
      <alignment horizontal="center" vertical="center" wrapText="1"/>
    </xf>
    <xf numFmtId="0" fontId="57" fillId="5" borderId="0" xfId="0" applyFont="1" applyFill="1" applyAlignment="1">
      <alignment horizontal="center" vertical="center" wrapText="1"/>
    </xf>
    <xf numFmtId="0" fontId="57" fillId="5" borderId="50" xfId="0" applyFont="1" applyFill="1" applyBorder="1" applyAlignment="1">
      <alignment horizontal="center" vertical="center" wrapText="1"/>
    </xf>
    <xf numFmtId="0" fontId="57" fillId="5" borderId="33" xfId="0" applyFont="1" applyFill="1" applyBorder="1" applyAlignment="1">
      <alignment horizontal="center" vertical="center" wrapText="1"/>
    </xf>
    <xf numFmtId="0" fontId="57" fillId="5" borderId="34" xfId="0" applyFont="1" applyFill="1" applyBorder="1" applyAlignment="1">
      <alignment horizontal="center" vertical="center" wrapText="1"/>
    </xf>
    <xf numFmtId="0" fontId="57" fillId="5" borderId="59" xfId="0" applyFont="1" applyFill="1" applyBorder="1" applyAlignment="1">
      <alignment horizontal="center" vertical="center" wrapText="1"/>
    </xf>
    <xf numFmtId="2" fontId="46" fillId="20" borderId="62" xfId="0" applyNumberFormat="1" applyFont="1" applyFill="1" applyBorder="1" applyAlignment="1">
      <alignment horizontal="center" wrapText="1"/>
    </xf>
    <xf numFmtId="2" fontId="46" fillId="20" borderId="15" xfId="0" applyNumberFormat="1" applyFont="1" applyFill="1" applyBorder="1" applyAlignment="1">
      <alignment horizontal="center" wrapText="1"/>
    </xf>
    <xf numFmtId="0" fontId="59" fillId="5" borderId="35" xfId="0" applyFont="1" applyFill="1" applyBorder="1" applyAlignment="1">
      <alignment horizontal="center" vertical="center" wrapText="1"/>
    </xf>
    <xf numFmtId="0" fontId="59" fillId="5" borderId="61" xfId="0" applyFont="1" applyFill="1" applyBorder="1" applyAlignment="1">
      <alignment horizontal="center" vertical="center" wrapText="1"/>
    </xf>
    <xf numFmtId="10" fontId="46" fillId="20" borderId="5" xfId="0" applyNumberFormat="1" applyFont="1" applyFill="1" applyBorder="1" applyAlignment="1">
      <alignment horizontal="center" vertical="center" wrapText="1"/>
    </xf>
    <xf numFmtId="10" fontId="46" fillId="20" borderId="21" xfId="0" applyNumberFormat="1" applyFont="1" applyFill="1" applyBorder="1" applyAlignment="1">
      <alignment horizontal="center" vertical="center" wrapText="1"/>
    </xf>
    <xf numFmtId="0" fontId="59" fillId="5" borderId="36" xfId="0" applyFont="1" applyFill="1" applyBorder="1" applyAlignment="1">
      <alignment horizontal="center" vertical="center" wrapText="1"/>
    </xf>
    <xf numFmtId="0" fontId="59" fillId="5" borderId="31" xfId="0" applyFont="1" applyFill="1" applyBorder="1" applyAlignment="1">
      <alignment horizontal="center" vertical="center" wrapText="1"/>
    </xf>
    <xf numFmtId="10" fontId="46" fillId="20" borderId="17" xfId="0" applyNumberFormat="1" applyFont="1" applyFill="1" applyBorder="1" applyAlignment="1">
      <alignment horizontal="center" vertical="center" wrapText="1"/>
    </xf>
    <xf numFmtId="10" fontId="46" fillId="20" borderId="19" xfId="0" applyNumberFormat="1" applyFont="1" applyFill="1" applyBorder="1" applyAlignment="1">
      <alignment horizontal="center" vertical="center" wrapText="1"/>
    </xf>
    <xf numFmtId="0" fontId="59" fillId="5" borderId="47" xfId="0" applyFont="1" applyFill="1" applyBorder="1" applyAlignment="1">
      <alignment horizontal="center" vertical="center" wrapText="1"/>
    </xf>
    <xf numFmtId="2" fontId="46" fillId="20" borderId="16" xfId="0" applyNumberFormat="1" applyFont="1" applyFill="1" applyBorder="1" applyAlignment="1">
      <alignment horizontal="center" wrapText="1"/>
    </xf>
    <xf numFmtId="2" fontId="46" fillId="20" borderId="39" xfId="0" applyNumberFormat="1" applyFont="1" applyFill="1" applyBorder="1" applyAlignment="1">
      <alignment horizontal="center" wrapText="1"/>
    </xf>
    <xf numFmtId="0" fontId="59" fillId="5" borderId="6" xfId="0" applyFont="1" applyFill="1" applyBorder="1" applyAlignment="1">
      <alignment horizontal="center" vertical="center" wrapText="1"/>
    </xf>
    <xf numFmtId="10" fontId="46" fillId="20" borderId="18" xfId="0" applyNumberFormat="1" applyFont="1" applyFill="1" applyBorder="1" applyAlignment="1">
      <alignment horizontal="center" vertical="center" wrapText="1"/>
    </xf>
    <xf numFmtId="10" fontId="46" fillId="20" borderId="22" xfId="0" applyNumberFormat="1" applyFont="1" applyFill="1" applyBorder="1" applyAlignment="1">
      <alignment horizontal="center" vertical="center" wrapText="1"/>
    </xf>
    <xf numFmtId="0" fontId="59" fillId="5" borderId="32" xfId="0" applyFont="1" applyFill="1" applyBorder="1" applyAlignment="1">
      <alignment horizontal="center" vertical="center" wrapText="1"/>
    </xf>
    <xf numFmtId="0" fontId="60" fillId="5" borderId="28" xfId="0" applyFont="1" applyFill="1" applyBorder="1" applyAlignment="1">
      <alignment horizontal="center" wrapText="1"/>
    </xf>
    <xf numFmtId="0" fontId="60" fillId="5" borderId="53" xfId="0" applyFont="1" applyFill="1" applyBorder="1" applyAlignment="1">
      <alignment horizontal="center" wrapText="1"/>
    </xf>
    <xf numFmtId="0" fontId="11" fillId="11" borderId="0" xfId="0" applyFont="1" applyFill="1" applyAlignment="1">
      <alignment horizontal="left"/>
    </xf>
    <xf numFmtId="0" fontId="33" fillId="5" borderId="23" xfId="0" applyFont="1" applyFill="1" applyBorder="1" applyAlignment="1">
      <alignment horizontal="center" vertical="center" wrapText="1"/>
    </xf>
    <xf numFmtId="0" fontId="33" fillId="5" borderId="46" xfId="0" applyFont="1" applyFill="1" applyBorder="1" applyAlignment="1">
      <alignment horizontal="center" vertical="center" wrapText="1"/>
    </xf>
    <xf numFmtId="0" fontId="33" fillId="5" borderId="24" xfId="0" applyFont="1" applyFill="1" applyBorder="1" applyAlignment="1">
      <alignment horizontal="center" vertical="center" wrapText="1"/>
    </xf>
    <xf numFmtId="0" fontId="26" fillId="5" borderId="23" xfId="0" applyFont="1" applyFill="1" applyBorder="1" applyAlignment="1">
      <alignment horizontal="center"/>
    </xf>
    <xf numFmtId="0" fontId="26" fillId="5" borderId="24" xfId="0" applyFont="1" applyFill="1" applyBorder="1" applyAlignment="1">
      <alignment horizontal="center"/>
    </xf>
    <xf numFmtId="0" fontId="26" fillId="5" borderId="23" xfId="0" applyFont="1" applyFill="1" applyBorder="1" applyAlignment="1">
      <alignment horizontal="center" vertical="center" wrapText="1"/>
    </xf>
    <xf numFmtId="0" fontId="26" fillId="5" borderId="24" xfId="0" applyFont="1" applyFill="1" applyBorder="1" applyAlignment="1">
      <alignment horizontal="center" vertical="center" wrapText="1"/>
    </xf>
    <xf numFmtId="2" fontId="31" fillId="21" borderId="37" xfId="0" applyNumberFormat="1" applyFont="1" applyFill="1" applyBorder="1" applyAlignment="1">
      <alignment horizontal="center" vertical="center"/>
    </xf>
    <xf numFmtId="2" fontId="31" fillId="21" borderId="75" xfId="0" applyNumberFormat="1" applyFont="1" applyFill="1" applyBorder="1" applyAlignment="1">
      <alignment horizontal="center" vertical="center"/>
    </xf>
    <xf numFmtId="2" fontId="31" fillId="21" borderId="38" xfId="0" applyNumberFormat="1" applyFont="1" applyFill="1" applyBorder="1" applyAlignment="1">
      <alignment horizontal="center" vertical="center"/>
    </xf>
    <xf numFmtId="0" fontId="34" fillId="5" borderId="23" xfId="0" applyFont="1" applyFill="1" applyBorder="1" applyAlignment="1">
      <alignment horizontal="center" vertical="center" wrapText="1"/>
    </xf>
    <xf numFmtId="0" fontId="34" fillId="5" borderId="46" xfId="0" applyFont="1" applyFill="1" applyBorder="1" applyAlignment="1">
      <alignment horizontal="center" vertical="center" wrapText="1"/>
    </xf>
    <xf numFmtId="0" fontId="34" fillId="5" borderId="24" xfId="0" applyFont="1" applyFill="1" applyBorder="1" applyAlignment="1">
      <alignment horizontal="center" vertical="center" wrapText="1"/>
    </xf>
    <xf numFmtId="0" fontId="31" fillId="11" borderId="27" xfId="0" applyFont="1" applyFill="1" applyBorder="1" applyAlignment="1">
      <alignment horizontal="center" vertical="center" wrapText="1"/>
    </xf>
    <xf numFmtId="0" fontId="35" fillId="5" borderId="19" xfId="0" applyFont="1" applyFill="1" applyBorder="1" applyAlignment="1">
      <alignment horizontal="center" vertical="center" wrapText="1"/>
    </xf>
    <xf numFmtId="0" fontId="35" fillId="5" borderId="21" xfId="0" applyFont="1" applyFill="1" applyBorder="1" applyAlignment="1">
      <alignment horizontal="center" vertical="center" wrapText="1"/>
    </xf>
    <xf numFmtId="0" fontId="35" fillId="5" borderId="14" xfId="0" applyFont="1" applyFill="1" applyBorder="1" applyAlignment="1">
      <alignment horizontal="center" vertical="center" wrapText="1"/>
    </xf>
    <xf numFmtId="0" fontId="35" fillId="5" borderId="12" xfId="0" applyFont="1" applyFill="1" applyBorder="1" applyAlignment="1">
      <alignment horizontal="center" vertical="center" wrapText="1"/>
    </xf>
    <xf numFmtId="0" fontId="35" fillId="5" borderId="17" xfId="0" applyFont="1" applyFill="1" applyBorder="1" applyAlignment="1">
      <alignment horizontal="center" vertical="center" wrapText="1"/>
    </xf>
    <xf numFmtId="0" fontId="35" fillId="5" borderId="5" xfId="0" applyFont="1" applyFill="1" applyBorder="1" applyAlignment="1">
      <alignment horizontal="center" vertical="center" wrapText="1"/>
    </xf>
    <xf numFmtId="0" fontId="31" fillId="26" borderId="16" xfId="0" applyFont="1" applyFill="1" applyBorder="1" applyAlignment="1">
      <alignment horizontal="center" vertical="top"/>
    </xf>
    <xf numFmtId="0" fontId="31" fillId="26" borderId="31" xfId="0" applyFont="1" applyFill="1" applyBorder="1" applyAlignment="1">
      <alignment horizontal="center" vertical="top"/>
    </xf>
    <xf numFmtId="0" fontId="31" fillId="26" borderId="6" xfId="0" applyFont="1" applyFill="1" applyBorder="1" applyAlignment="1">
      <alignment horizontal="center" vertical="top"/>
    </xf>
    <xf numFmtId="0" fontId="31" fillId="14" borderId="5" xfId="0" applyFont="1" applyFill="1" applyBorder="1" applyAlignment="1">
      <alignment horizontal="center" vertical="top"/>
    </xf>
    <xf numFmtId="0" fontId="31" fillId="16" borderId="5" xfId="0" applyFont="1" applyFill="1" applyBorder="1" applyAlignment="1">
      <alignment horizontal="center" vertical="center"/>
    </xf>
    <xf numFmtId="0" fontId="31" fillId="15" borderId="18" xfId="0" applyFont="1" applyFill="1" applyBorder="1" applyAlignment="1">
      <alignment horizontal="center" vertical="top"/>
    </xf>
    <xf numFmtId="0" fontId="33" fillId="5" borderId="20" xfId="0" applyFont="1" applyFill="1" applyBorder="1" applyAlignment="1">
      <alignment horizontal="center" vertical="center" wrapText="1"/>
    </xf>
    <xf numFmtId="0" fontId="33" fillId="5" borderId="27" xfId="0" applyFont="1" applyFill="1" applyBorder="1" applyAlignment="1">
      <alignment horizontal="center" vertical="center" wrapText="1"/>
    </xf>
    <xf numFmtId="0" fontId="33" fillId="5" borderId="56" xfId="0" applyFont="1" applyFill="1" applyBorder="1" applyAlignment="1">
      <alignment horizontal="center" vertical="center" wrapText="1"/>
    </xf>
    <xf numFmtId="0" fontId="33" fillId="5" borderId="7" xfId="0" applyFont="1" applyFill="1" applyBorder="1" applyAlignment="1">
      <alignment horizontal="center" vertical="center" wrapText="1"/>
    </xf>
    <xf numFmtId="0" fontId="33" fillId="5" borderId="73" xfId="0" applyFont="1" applyFill="1" applyBorder="1" applyAlignment="1">
      <alignment horizontal="center" vertical="center" wrapText="1"/>
    </xf>
    <xf numFmtId="0" fontId="33" fillId="5" borderId="37" xfId="0" applyFont="1" applyFill="1" applyBorder="1" applyAlignment="1">
      <alignment horizontal="center" vertical="center" wrapText="1"/>
    </xf>
    <xf numFmtId="0" fontId="26" fillId="5" borderId="20" xfId="0" applyFont="1" applyFill="1" applyBorder="1" applyAlignment="1">
      <alignment horizontal="center" vertical="center" wrapText="1"/>
    </xf>
    <xf numFmtId="0" fontId="26" fillId="5" borderId="56" xfId="0" applyFont="1" applyFill="1" applyBorder="1" applyAlignment="1">
      <alignment horizontal="center" vertical="center" wrapText="1"/>
    </xf>
    <xf numFmtId="0" fontId="35" fillId="12" borderId="5" xfId="0" applyFont="1" applyFill="1" applyBorder="1" applyAlignment="1">
      <alignment horizontal="center" vertical="center" wrapText="1"/>
    </xf>
    <xf numFmtId="0" fontId="35" fillId="12" borderId="21" xfId="0" applyFont="1" applyFill="1" applyBorder="1" applyAlignment="1">
      <alignment horizontal="center" vertical="center" wrapText="1"/>
    </xf>
    <xf numFmtId="0" fontId="35" fillId="12" borderId="18" xfId="0" applyFont="1" applyFill="1" applyBorder="1" applyAlignment="1">
      <alignment horizontal="center" vertical="center" wrapText="1"/>
    </xf>
    <xf numFmtId="0" fontId="35" fillId="12" borderId="22" xfId="0" applyFont="1" applyFill="1" applyBorder="1" applyAlignment="1">
      <alignment horizontal="center" vertical="center" wrapText="1"/>
    </xf>
    <xf numFmtId="0" fontId="35" fillId="14" borderId="5" xfId="0" applyFont="1" applyFill="1" applyBorder="1" applyAlignment="1">
      <alignment horizontal="center" vertical="top"/>
    </xf>
    <xf numFmtId="0" fontId="35" fillId="15" borderId="5" xfId="0" applyFont="1" applyFill="1" applyBorder="1" applyAlignment="1">
      <alignment horizontal="center" vertical="top"/>
    </xf>
    <xf numFmtId="0" fontId="26" fillId="5" borderId="20" xfId="0" applyFont="1" applyFill="1" applyBorder="1" applyAlignment="1">
      <alignment horizontal="center"/>
    </xf>
    <xf numFmtId="0" fontId="26" fillId="5" borderId="56" xfId="0" applyFont="1" applyFill="1" applyBorder="1" applyAlignment="1">
      <alignment horizontal="center"/>
    </xf>
    <xf numFmtId="0" fontId="35" fillId="15" borderId="18" xfId="0" applyFont="1" applyFill="1" applyBorder="1" applyAlignment="1">
      <alignment horizontal="center" vertical="top"/>
    </xf>
    <xf numFmtId="0" fontId="35" fillId="16" borderId="5" xfId="0" applyFont="1" applyFill="1" applyBorder="1" applyAlignment="1">
      <alignment horizontal="center" vertical="center"/>
    </xf>
    <xf numFmtId="0" fontId="34" fillId="5" borderId="20" xfId="0" applyFont="1" applyFill="1" applyBorder="1" applyAlignment="1">
      <alignment horizontal="center" vertical="center" wrapText="1"/>
    </xf>
    <xf numFmtId="0" fontId="34" fillId="5" borderId="27" xfId="0" applyFont="1" applyFill="1" applyBorder="1" applyAlignment="1">
      <alignment horizontal="center" vertical="center" wrapText="1"/>
    </xf>
    <xf numFmtId="0" fontId="34" fillId="5" borderId="56" xfId="0" applyFont="1" applyFill="1" applyBorder="1" applyAlignment="1">
      <alignment horizontal="center" vertical="center" wrapText="1"/>
    </xf>
    <xf numFmtId="2" fontId="35" fillId="12" borderId="5" xfId="0" applyNumberFormat="1" applyFont="1" applyFill="1" applyBorder="1" applyAlignment="1">
      <alignment horizontal="center" vertical="center" wrapText="1"/>
    </xf>
    <xf numFmtId="2" fontId="35" fillId="12" borderId="21" xfId="0" applyNumberFormat="1" applyFont="1" applyFill="1" applyBorder="1" applyAlignment="1">
      <alignment horizontal="center" vertical="center" wrapText="1"/>
    </xf>
    <xf numFmtId="0" fontId="35" fillId="26" borderId="5" xfId="0" applyFont="1" applyFill="1" applyBorder="1" applyAlignment="1">
      <alignment horizontal="center" vertical="top"/>
    </xf>
    <xf numFmtId="0" fontId="35" fillId="22" borderId="5" xfId="0" applyFont="1" applyFill="1" applyBorder="1" applyAlignment="1">
      <alignment horizontal="center" vertical="top"/>
    </xf>
    <xf numFmtId="0" fontId="35" fillId="27" borderId="18" xfId="0" applyFont="1" applyFill="1" applyBorder="1" applyAlignment="1">
      <alignment horizontal="center" vertical="top"/>
    </xf>
    <xf numFmtId="0" fontId="31" fillId="11" borderId="0" xfId="0" applyFont="1" applyFill="1" applyAlignment="1">
      <alignment horizontal="center" vertical="center" wrapText="1"/>
    </xf>
    <xf numFmtId="0" fontId="26" fillId="5" borderId="23" xfId="0" applyFont="1" applyFill="1" applyBorder="1" applyAlignment="1">
      <alignment horizontal="center" wrapText="1"/>
    </xf>
    <xf numFmtId="0" fontId="26" fillId="5" borderId="24" xfId="0" applyFont="1" applyFill="1" applyBorder="1" applyAlignment="1">
      <alignment horizontal="center" wrapText="1"/>
    </xf>
    <xf numFmtId="0" fontId="62" fillId="21" borderId="16" xfId="0" applyFont="1" applyFill="1" applyBorder="1" applyAlignment="1">
      <alignment horizontal="center"/>
    </xf>
    <xf numFmtId="0" fontId="62" fillId="21" borderId="6" xfId="0" applyFont="1" applyFill="1" applyBorder="1" applyAlignment="1">
      <alignment horizontal="center"/>
    </xf>
    <xf numFmtId="0" fontId="62" fillId="9" borderId="0" xfId="0" applyFont="1" applyFill="1" applyAlignment="1">
      <alignment horizontal="center" vertical="center"/>
    </xf>
    <xf numFmtId="0" fontId="62" fillId="10" borderId="37" xfId="0" applyFont="1" applyFill="1" applyBorder="1" applyAlignment="1">
      <alignment horizontal="center" vertical="center" wrapText="1"/>
    </xf>
    <xf numFmtId="0" fontId="62" fillId="10" borderId="38" xfId="0" applyFont="1" applyFill="1" applyBorder="1" applyAlignment="1">
      <alignment horizontal="center" vertical="center" wrapText="1"/>
    </xf>
    <xf numFmtId="0" fontId="62" fillId="10" borderId="17" xfId="0" applyFont="1" applyFill="1" applyBorder="1" applyAlignment="1">
      <alignment horizontal="center" vertical="center" wrapText="1"/>
    </xf>
    <xf numFmtId="0" fontId="62" fillId="10" borderId="18" xfId="0" applyFont="1" applyFill="1" applyBorder="1" applyAlignment="1">
      <alignment horizontal="center" vertical="center" wrapText="1"/>
    </xf>
    <xf numFmtId="0" fontId="62" fillId="10" borderId="19" xfId="0" applyFont="1" applyFill="1" applyBorder="1" applyAlignment="1">
      <alignment horizontal="center" vertical="center" wrapText="1"/>
    </xf>
    <xf numFmtId="0" fontId="62" fillId="10" borderId="22" xfId="0" applyFont="1" applyFill="1" applyBorder="1" applyAlignment="1">
      <alignment horizontal="center" vertical="center" wrapText="1"/>
    </xf>
    <xf numFmtId="0" fontId="62" fillId="10" borderId="20" xfId="0" applyFont="1" applyFill="1" applyBorder="1" applyAlignment="1">
      <alignment horizontal="center" vertical="center" wrapText="1"/>
    </xf>
    <xf numFmtId="0" fontId="62" fillId="10" borderId="33" xfId="0" applyFont="1" applyFill="1" applyBorder="1" applyAlignment="1">
      <alignment horizontal="center" vertical="center" wrapText="1"/>
    </xf>
    <xf numFmtId="0" fontId="62" fillId="10" borderId="28" xfId="0" applyFont="1" applyFill="1" applyBorder="1" applyAlignment="1">
      <alignment horizontal="center" vertical="center" wrapText="1"/>
    </xf>
    <xf numFmtId="0" fontId="62" fillId="10" borderId="30" xfId="0" applyFont="1" applyFill="1" applyBorder="1" applyAlignment="1">
      <alignment horizontal="center" vertical="center" wrapText="1"/>
    </xf>
    <xf numFmtId="0" fontId="62" fillId="10" borderId="73" xfId="0" applyFont="1" applyFill="1" applyBorder="1" applyAlignment="1">
      <alignment horizontal="center" vertical="center" wrapText="1"/>
    </xf>
    <xf numFmtId="0" fontId="62" fillId="10" borderId="52" xfId="0" applyFont="1" applyFill="1" applyBorder="1" applyAlignment="1">
      <alignment horizontal="center" vertical="center" wrapText="1"/>
    </xf>
    <xf numFmtId="0" fontId="62" fillId="10" borderId="74" xfId="0" applyFont="1" applyFill="1" applyBorder="1" applyAlignment="1">
      <alignment horizontal="center" vertical="center" wrapText="1"/>
    </xf>
    <xf numFmtId="0" fontId="62" fillId="10" borderId="81" xfId="0" applyFont="1" applyFill="1" applyBorder="1" applyAlignment="1">
      <alignment horizontal="center" vertical="center" wrapText="1"/>
    </xf>
    <xf numFmtId="0" fontId="62" fillId="10" borderId="56" xfId="0" applyFont="1" applyFill="1" applyBorder="1" applyAlignment="1">
      <alignment horizontal="center" vertical="center" wrapText="1"/>
    </xf>
    <xf numFmtId="0" fontId="62" fillId="10" borderId="59" xfId="0" applyFont="1" applyFill="1" applyBorder="1" applyAlignment="1">
      <alignment horizontal="center" vertical="center" wrapText="1"/>
    </xf>
    <xf numFmtId="0" fontId="63" fillId="18" borderId="20" xfId="0" applyFont="1" applyFill="1" applyBorder="1" applyAlignment="1">
      <alignment horizontal="center" vertical="center" wrapText="1"/>
    </xf>
    <xf numFmtId="0" fontId="63" fillId="18" borderId="27" xfId="0" applyFont="1" applyFill="1" applyBorder="1" applyAlignment="1">
      <alignment horizontal="center" vertical="center" wrapText="1"/>
    </xf>
    <xf numFmtId="0" fontId="63" fillId="18" borderId="56" xfId="0" applyFont="1" applyFill="1" applyBorder="1" applyAlignment="1">
      <alignment horizontal="center" vertical="center" wrapText="1"/>
    </xf>
    <xf numFmtId="0" fontId="63" fillId="18" borderId="33" xfId="0" applyFont="1" applyFill="1" applyBorder="1" applyAlignment="1">
      <alignment horizontal="center" vertical="center" wrapText="1"/>
    </xf>
    <xf numFmtId="0" fontId="63" fillId="18" borderId="34" xfId="0" applyFont="1" applyFill="1" applyBorder="1" applyAlignment="1">
      <alignment horizontal="center" vertical="center" wrapText="1"/>
    </xf>
    <xf numFmtId="0" fontId="63" fillId="18" borderId="59" xfId="0" applyFont="1" applyFill="1" applyBorder="1" applyAlignment="1">
      <alignment horizontal="center" vertical="center" wrapText="1"/>
    </xf>
    <xf numFmtId="0" fontId="62" fillId="21" borderId="62" xfId="0" applyFont="1" applyFill="1" applyBorder="1" applyAlignment="1">
      <alignment horizontal="center"/>
    </xf>
    <xf numFmtId="0" fontId="62" fillId="21" borderId="61" xfId="0" applyFont="1" applyFill="1" applyBorder="1" applyAlignment="1">
      <alignment horizontal="center"/>
    </xf>
    <xf numFmtId="0" fontId="63" fillId="17" borderId="20" xfId="0" applyFont="1" applyFill="1" applyBorder="1" applyAlignment="1">
      <alignment horizontal="center" vertical="center" wrapText="1"/>
    </xf>
    <xf numFmtId="0" fontId="63" fillId="17" borderId="27" xfId="0" applyFont="1" applyFill="1" applyBorder="1" applyAlignment="1">
      <alignment horizontal="center" vertical="center" wrapText="1"/>
    </xf>
    <xf numFmtId="0" fontId="63" fillId="17" borderId="56" xfId="0" applyFont="1" applyFill="1" applyBorder="1" applyAlignment="1">
      <alignment horizontal="center" vertical="center" wrapText="1"/>
    </xf>
    <xf numFmtId="0" fontId="63" fillId="17" borderId="33" xfId="0" applyFont="1" applyFill="1" applyBorder="1" applyAlignment="1">
      <alignment horizontal="center" vertical="center" wrapText="1"/>
    </xf>
    <xf numFmtId="0" fontId="63" fillId="17" borderId="34" xfId="0" applyFont="1" applyFill="1" applyBorder="1" applyAlignment="1">
      <alignment horizontal="center" vertical="center" wrapText="1"/>
    </xf>
    <xf numFmtId="0" fontId="63" fillId="17" borderId="59" xfId="0" applyFont="1" applyFill="1" applyBorder="1" applyAlignment="1">
      <alignment horizontal="center" vertical="center" wrapText="1"/>
    </xf>
    <xf numFmtId="0" fontId="62" fillId="10" borderId="57" xfId="0" applyFont="1" applyFill="1" applyBorder="1" applyAlignment="1">
      <alignment horizontal="center" vertical="center" wrapText="1"/>
    </xf>
    <xf numFmtId="0" fontId="62" fillId="10" borderId="78" xfId="0" applyFont="1" applyFill="1" applyBorder="1" applyAlignment="1">
      <alignment horizontal="center" vertical="center" wrapText="1"/>
    </xf>
    <xf numFmtId="0" fontId="62" fillId="10" borderId="71" xfId="0" applyFont="1" applyFill="1" applyBorder="1" applyAlignment="1">
      <alignment horizontal="center" vertical="center" wrapText="1"/>
    </xf>
    <xf numFmtId="0" fontId="62" fillId="10" borderId="69" xfId="0" applyFont="1" applyFill="1" applyBorder="1" applyAlignment="1">
      <alignment horizontal="center" vertical="center" wrapText="1"/>
    </xf>
    <xf numFmtId="0" fontId="63" fillId="19" borderId="20" xfId="0" applyFont="1" applyFill="1" applyBorder="1" applyAlignment="1">
      <alignment horizontal="center" vertical="center" wrapText="1"/>
    </xf>
    <xf numFmtId="0" fontId="63" fillId="19" borderId="27" xfId="0" applyFont="1" applyFill="1" applyBorder="1" applyAlignment="1">
      <alignment horizontal="center" vertical="center" wrapText="1"/>
    </xf>
    <xf numFmtId="0" fontId="63" fillId="19" borderId="56" xfId="0" applyFont="1" applyFill="1" applyBorder="1" applyAlignment="1">
      <alignment horizontal="center" vertical="center" wrapText="1"/>
    </xf>
    <xf numFmtId="0" fontId="63" fillId="19" borderId="33" xfId="0" applyFont="1" applyFill="1" applyBorder="1" applyAlignment="1">
      <alignment horizontal="center" vertical="center" wrapText="1"/>
    </xf>
    <xf numFmtId="0" fontId="63" fillId="19" borderId="34" xfId="0" applyFont="1" applyFill="1" applyBorder="1" applyAlignment="1">
      <alignment horizontal="center" vertical="center" wrapText="1"/>
    </xf>
    <xf numFmtId="0" fontId="63" fillId="19" borderId="59" xfId="0" applyFont="1" applyFill="1" applyBorder="1" applyAlignment="1">
      <alignment horizontal="center" vertical="center" wrapText="1"/>
    </xf>
    <xf numFmtId="0" fontId="0" fillId="10" borderId="33" xfId="0" applyFill="1" applyBorder="1" applyAlignment="1">
      <alignment horizontal="center"/>
    </xf>
    <xf numFmtId="0" fontId="0" fillId="10" borderId="34" xfId="0" applyFill="1" applyBorder="1" applyAlignment="1">
      <alignment horizontal="center"/>
    </xf>
    <xf numFmtId="0" fontId="62" fillId="10" borderId="14" xfId="0" applyFont="1" applyFill="1" applyBorder="1" applyAlignment="1">
      <alignment horizontal="center" vertical="center" wrapText="1"/>
    </xf>
    <xf numFmtId="0" fontId="62" fillId="10" borderId="13" xfId="0" applyFont="1" applyFill="1" applyBorder="1" applyAlignment="1">
      <alignment horizontal="center" vertical="center" wrapText="1"/>
    </xf>
    <xf numFmtId="0" fontId="62" fillId="21" borderId="63" xfId="0" applyFont="1" applyFill="1" applyBorder="1" applyAlignment="1">
      <alignment horizontal="center"/>
    </xf>
    <xf numFmtId="0" fontId="62" fillId="21" borderId="58" xfId="0" applyFont="1" applyFill="1" applyBorder="1" applyAlignment="1">
      <alignment horizontal="center"/>
    </xf>
    <xf numFmtId="0" fontId="0" fillId="10" borderId="59" xfId="0" applyFill="1" applyBorder="1" applyAlignment="1">
      <alignment horizontal="center"/>
    </xf>
    <xf numFmtId="0" fontId="14" fillId="10" borderId="23" xfId="0" applyFont="1" applyFill="1" applyBorder="1" applyAlignment="1">
      <alignment horizontal="center"/>
    </xf>
    <xf numFmtId="0" fontId="14" fillId="10" borderId="46" xfId="0" applyFont="1" applyFill="1" applyBorder="1" applyAlignment="1">
      <alignment horizontal="center"/>
    </xf>
    <xf numFmtId="0" fontId="14" fillId="10" borderId="24" xfId="0" applyFont="1" applyFill="1" applyBorder="1" applyAlignment="1">
      <alignment horizontal="center"/>
    </xf>
    <xf numFmtId="0" fontId="35" fillId="10" borderId="35" xfId="0" applyFont="1" applyFill="1" applyBorder="1" applyAlignment="1">
      <alignment horizontal="center" vertical="center" wrapText="1"/>
    </xf>
    <xf numFmtId="0" fontId="35" fillId="10" borderId="47" xfId="0" applyFont="1" applyFill="1" applyBorder="1" applyAlignment="1">
      <alignment horizontal="center" vertical="center" wrapText="1"/>
    </xf>
    <xf numFmtId="0" fontId="35" fillId="10" borderId="15" xfId="0" applyFont="1" applyFill="1" applyBorder="1" applyAlignment="1">
      <alignment horizontal="center" vertical="center" wrapText="1"/>
    </xf>
    <xf numFmtId="0" fontId="35" fillId="10" borderId="23" xfId="0" applyFont="1" applyFill="1" applyBorder="1" applyAlignment="1">
      <alignment horizontal="center" vertical="center" wrapText="1"/>
    </xf>
    <xf numFmtId="0" fontId="35" fillId="10" borderId="46" xfId="0" applyFont="1" applyFill="1" applyBorder="1" applyAlignment="1">
      <alignment horizontal="center" vertical="center" wrapText="1"/>
    </xf>
    <xf numFmtId="0" fontId="35" fillId="10" borderId="24" xfId="0" applyFont="1" applyFill="1" applyBorder="1" applyAlignment="1">
      <alignment horizontal="center" vertical="center" wrapText="1"/>
    </xf>
    <xf numFmtId="0" fontId="35" fillId="10" borderId="28" xfId="0" applyFont="1" applyFill="1" applyBorder="1" applyAlignment="1">
      <alignment horizontal="center" vertical="center" wrapText="1"/>
    </xf>
    <xf numFmtId="0" fontId="35" fillId="10" borderId="30" xfId="0" applyFont="1" applyFill="1" applyBorder="1" applyAlignment="1">
      <alignment horizontal="center" vertical="center" wrapText="1"/>
    </xf>
    <xf numFmtId="0" fontId="15" fillId="9" borderId="27" xfId="0" applyFont="1" applyFill="1" applyBorder="1" applyAlignment="1">
      <alignment horizontal="center" vertical="center" wrapText="1"/>
    </xf>
    <xf numFmtId="0" fontId="15" fillId="9" borderId="34" xfId="0" applyFont="1" applyFill="1" applyBorder="1" applyAlignment="1">
      <alignment horizontal="center" vertical="center" wrapText="1"/>
    </xf>
    <xf numFmtId="0" fontId="35" fillId="21" borderId="28" xfId="0" applyFont="1" applyFill="1" applyBorder="1" applyAlignment="1">
      <alignment horizontal="center" vertical="center" wrapText="1"/>
    </xf>
    <xf numFmtId="0" fontId="35" fillId="21" borderId="30" xfId="0" applyFont="1" applyFill="1" applyBorder="1" applyAlignment="1">
      <alignment horizontal="center" vertical="center" wrapText="1"/>
    </xf>
    <xf numFmtId="0" fontId="35" fillId="20" borderId="35" xfId="0" applyFont="1" applyFill="1" applyBorder="1" applyAlignment="1">
      <alignment horizontal="center" vertical="center"/>
    </xf>
    <xf numFmtId="0" fontId="35" fillId="20" borderId="15" xfId="0" applyFont="1" applyFill="1" applyBorder="1" applyAlignment="1">
      <alignment horizontal="center" vertical="center"/>
    </xf>
    <xf numFmtId="0" fontId="31" fillId="21" borderId="45" xfId="0" applyFont="1" applyFill="1" applyBorder="1" applyAlignment="1">
      <alignment horizontal="center" vertical="center"/>
    </xf>
    <xf numFmtId="0" fontId="31" fillId="21" borderId="64" xfId="0" applyFont="1" applyFill="1" applyBorder="1" applyAlignment="1">
      <alignment horizontal="center" vertical="center"/>
    </xf>
    <xf numFmtId="0" fontId="52" fillId="9" borderId="0" xfId="0" applyFont="1" applyFill="1" applyAlignment="1">
      <alignment horizontal="center" vertical="center" wrapText="1"/>
    </xf>
    <xf numFmtId="0" fontId="35" fillId="21" borderId="23" xfId="0" applyFont="1" applyFill="1" applyBorder="1" applyAlignment="1">
      <alignment horizontal="center" vertical="center" wrapText="1"/>
    </xf>
    <xf numFmtId="0" fontId="35" fillId="21" borderId="46" xfId="0" applyFont="1" applyFill="1" applyBorder="1" applyAlignment="1">
      <alignment horizontal="center" vertical="center" wrapText="1"/>
    </xf>
    <xf numFmtId="0" fontId="35" fillId="21" borderId="24" xfId="0" applyFont="1" applyFill="1" applyBorder="1" applyAlignment="1">
      <alignment horizontal="center" vertical="center" wrapText="1"/>
    </xf>
    <xf numFmtId="0" fontId="26" fillId="10" borderId="20" xfId="0" applyFont="1" applyFill="1" applyBorder="1" applyAlignment="1">
      <alignment horizontal="center" vertical="center" wrapText="1"/>
    </xf>
    <xf numFmtId="0" fontId="26" fillId="10" borderId="27" xfId="0" applyFont="1" applyFill="1" applyBorder="1" applyAlignment="1">
      <alignment horizontal="center" vertical="center" wrapText="1"/>
    </xf>
    <xf numFmtId="0" fontId="26" fillId="10" borderId="56" xfId="0" applyFont="1" applyFill="1" applyBorder="1" applyAlignment="1">
      <alignment horizontal="center" vertical="center" wrapText="1"/>
    </xf>
    <xf numFmtId="0" fontId="26" fillId="10" borderId="33" xfId="0" applyFont="1" applyFill="1" applyBorder="1" applyAlignment="1">
      <alignment horizontal="center" vertical="center" wrapText="1"/>
    </xf>
    <xf numFmtId="0" fontId="26" fillId="10" borderId="34" xfId="0" applyFont="1" applyFill="1" applyBorder="1" applyAlignment="1">
      <alignment horizontal="center" vertical="center" wrapText="1"/>
    </xf>
    <xf numFmtId="0" fontId="26" fillId="10" borderId="59" xfId="0" applyFont="1" applyFill="1" applyBorder="1" applyAlignment="1">
      <alignment horizontal="center" vertical="center" wrapText="1"/>
    </xf>
    <xf numFmtId="0" fontId="14" fillId="10" borderId="23" xfId="0" applyFont="1" applyFill="1" applyBorder="1" applyAlignment="1">
      <alignment horizontal="center" vertical="top" wrapText="1"/>
    </xf>
    <xf numFmtId="0" fontId="14" fillId="10" borderId="46" xfId="0" applyFont="1" applyFill="1" applyBorder="1" applyAlignment="1">
      <alignment horizontal="center" vertical="top" wrapText="1"/>
    </xf>
    <xf numFmtId="0" fontId="14" fillId="10" borderId="24" xfId="0" applyFont="1" applyFill="1" applyBorder="1" applyAlignment="1">
      <alignment horizontal="center" vertical="top" wrapText="1"/>
    </xf>
    <xf numFmtId="2" fontId="35" fillId="10" borderId="17" xfId="0" applyNumberFormat="1" applyFont="1" applyFill="1" applyBorder="1" applyAlignment="1">
      <alignment horizontal="center"/>
    </xf>
    <xf numFmtId="2" fontId="35" fillId="10" borderId="19" xfId="0" applyNumberFormat="1" applyFont="1" applyFill="1" applyBorder="1" applyAlignment="1">
      <alignment horizontal="center"/>
    </xf>
    <xf numFmtId="10" fontId="51" fillId="3" borderId="5" xfId="0" applyNumberFormat="1" applyFont="1" applyFill="1" applyBorder="1" applyAlignment="1">
      <alignment horizontal="center"/>
    </xf>
    <xf numFmtId="10" fontId="51" fillId="3" borderId="21" xfId="0" applyNumberFormat="1" applyFont="1" applyFill="1" applyBorder="1" applyAlignment="1">
      <alignment horizontal="center"/>
    </xf>
    <xf numFmtId="0" fontId="35" fillId="10" borderId="18" xfId="0" applyFont="1" applyFill="1" applyBorder="1" applyAlignment="1">
      <alignment horizontal="center"/>
    </xf>
    <xf numFmtId="0" fontId="35" fillId="10" borderId="22" xfId="0" applyFont="1" applyFill="1" applyBorder="1" applyAlignment="1">
      <alignment horizontal="center"/>
    </xf>
    <xf numFmtId="0" fontId="35" fillId="10" borderId="14" xfId="0" applyFont="1" applyFill="1" applyBorder="1" applyAlignment="1">
      <alignment horizontal="center"/>
    </xf>
    <xf numFmtId="0" fontId="35" fillId="10" borderId="17" xfId="0" applyFont="1" applyFill="1" applyBorder="1" applyAlignment="1">
      <alignment horizontal="center"/>
    </xf>
    <xf numFmtId="0" fontId="35" fillId="10" borderId="12" xfId="0" applyFont="1" applyFill="1" applyBorder="1" applyAlignment="1">
      <alignment horizontal="center"/>
    </xf>
    <xf numFmtId="0" fontId="35" fillId="10" borderId="5" xfId="0" applyFont="1" applyFill="1" applyBorder="1" applyAlignment="1">
      <alignment horizontal="center"/>
    </xf>
    <xf numFmtId="0" fontId="35" fillId="10" borderId="13" xfId="0" applyFont="1" applyFill="1" applyBorder="1" applyAlignment="1">
      <alignment horizontal="center"/>
    </xf>
    <xf numFmtId="0" fontId="31" fillId="9" borderId="0" xfId="0" applyFont="1" applyFill="1" applyAlignment="1">
      <alignment horizontal="center" wrapText="1"/>
    </xf>
    <xf numFmtId="0" fontId="14" fillId="10" borderId="23" xfId="0" applyFont="1" applyFill="1" applyBorder="1" applyAlignment="1">
      <alignment horizontal="center" vertical="top"/>
    </xf>
    <xf numFmtId="0" fontId="14" fillId="10" borderId="24" xfId="0" applyFont="1" applyFill="1" applyBorder="1" applyAlignment="1">
      <alignment horizontal="center" vertical="top"/>
    </xf>
    <xf numFmtId="0" fontId="26" fillId="10" borderId="33" xfId="0" applyFont="1" applyFill="1" applyBorder="1" applyAlignment="1">
      <alignment horizontal="center" vertical="center"/>
    </xf>
    <xf numFmtId="0" fontId="26" fillId="10" borderId="59" xfId="0" applyFont="1" applyFill="1" applyBorder="1" applyAlignment="1">
      <alignment horizontal="center" vertical="center"/>
    </xf>
    <xf numFmtId="0" fontId="35" fillId="10" borderId="73" xfId="0" applyFont="1" applyFill="1" applyBorder="1" applyAlignment="1">
      <alignment horizontal="center" vertical="center" wrapText="1"/>
    </xf>
    <xf numFmtId="0" fontId="35" fillId="10" borderId="51" xfId="0" applyFont="1" applyFill="1" applyBorder="1" applyAlignment="1">
      <alignment horizontal="center" vertical="center" wrapText="1"/>
    </xf>
    <xf numFmtId="0" fontId="35" fillId="10" borderId="37" xfId="0" applyFont="1" applyFill="1" applyBorder="1" applyAlignment="1">
      <alignment horizontal="center" vertical="center" wrapText="1"/>
    </xf>
    <xf numFmtId="0" fontId="35" fillId="10" borderId="75" xfId="0" applyFont="1" applyFill="1" applyBorder="1" applyAlignment="1">
      <alignment horizontal="center" vertical="center" wrapText="1"/>
    </xf>
    <xf numFmtId="0" fontId="35" fillId="10" borderId="7" xfId="0" applyFont="1" applyFill="1" applyBorder="1" applyAlignment="1">
      <alignment horizontal="center" vertical="center" wrapText="1"/>
    </xf>
    <xf numFmtId="0" fontId="35" fillId="10" borderId="72" xfId="0" applyFont="1" applyFill="1" applyBorder="1" applyAlignment="1">
      <alignment horizontal="center" vertical="center" wrapText="1"/>
    </xf>
    <xf numFmtId="0" fontId="35" fillId="10" borderId="23" xfId="0" applyFont="1" applyFill="1" applyBorder="1" applyAlignment="1">
      <alignment horizontal="center" vertical="center"/>
    </xf>
    <xf numFmtId="0" fontId="35" fillId="10" borderId="46" xfId="0" applyFont="1" applyFill="1" applyBorder="1" applyAlignment="1">
      <alignment horizontal="center" vertical="center"/>
    </xf>
    <xf numFmtId="0" fontId="35" fillId="10" borderId="24" xfId="0" applyFont="1" applyFill="1" applyBorder="1" applyAlignment="1">
      <alignment horizontal="center" vertical="center"/>
    </xf>
    <xf numFmtId="0" fontId="35" fillId="10" borderId="20" xfId="0" applyFont="1" applyFill="1" applyBorder="1" applyAlignment="1">
      <alignment horizontal="center" vertical="center" wrapText="1"/>
    </xf>
    <xf numFmtId="0" fontId="35" fillId="10" borderId="56" xfId="0" applyFont="1" applyFill="1" applyBorder="1" applyAlignment="1">
      <alignment horizontal="center" vertical="center" wrapText="1"/>
    </xf>
    <xf numFmtId="0" fontId="14" fillId="11" borderId="0" xfId="0" applyFont="1" applyFill="1" applyAlignment="1">
      <alignment horizontal="center" vertical="center" wrapText="1"/>
    </xf>
    <xf numFmtId="0" fontId="14" fillId="11" borderId="0" xfId="0" applyFont="1" applyFill="1" applyAlignment="1">
      <alignment horizontal="center" wrapText="1"/>
    </xf>
    <xf numFmtId="0" fontId="35" fillId="21" borderId="28" xfId="0" applyFont="1" applyFill="1" applyBorder="1" applyAlignment="1">
      <alignment horizontal="center" vertical="center"/>
    </xf>
    <xf numFmtId="0" fontId="35" fillId="21" borderId="30" xfId="0" applyFont="1" applyFill="1" applyBorder="1" applyAlignment="1">
      <alignment horizontal="center" vertical="center"/>
    </xf>
    <xf numFmtId="0" fontId="35" fillId="9" borderId="0" xfId="0" applyFont="1" applyFill="1" applyAlignment="1">
      <alignment horizontal="center" vertical="center"/>
    </xf>
    <xf numFmtId="0" fontId="35" fillId="10" borderId="35" xfId="0" applyFont="1" applyFill="1" applyBorder="1" applyAlignment="1">
      <alignment horizontal="center"/>
    </xf>
    <xf numFmtId="0" fontId="35" fillId="10" borderId="47" xfId="0" applyFont="1" applyFill="1" applyBorder="1" applyAlignment="1">
      <alignment horizontal="center"/>
    </xf>
    <xf numFmtId="0" fontId="35" fillId="10" borderId="61" xfId="0" applyFont="1" applyFill="1" applyBorder="1" applyAlignment="1">
      <alignment horizontal="center"/>
    </xf>
    <xf numFmtId="2" fontId="35" fillId="10" borderId="62" xfId="0" applyNumberFormat="1" applyFont="1" applyFill="1" applyBorder="1" applyAlignment="1">
      <alignment horizontal="center" vertical="center"/>
    </xf>
    <xf numFmtId="2" fontId="35" fillId="10" borderId="15" xfId="0" applyNumberFormat="1" applyFont="1" applyFill="1" applyBorder="1" applyAlignment="1">
      <alignment horizontal="center" vertical="center"/>
    </xf>
    <xf numFmtId="0" fontId="35" fillId="10" borderId="36" xfId="0" applyFont="1" applyFill="1" applyBorder="1" applyAlignment="1">
      <alignment horizontal="center"/>
    </xf>
    <xf numFmtId="0" fontId="35" fillId="10" borderId="31" xfId="0" applyFont="1" applyFill="1" applyBorder="1" applyAlignment="1">
      <alignment horizontal="center"/>
    </xf>
    <xf numFmtId="0" fontId="35" fillId="10" borderId="6" xfId="0" applyFont="1" applyFill="1" applyBorder="1" applyAlignment="1">
      <alignment horizontal="center"/>
    </xf>
    <xf numFmtId="10" fontId="35" fillId="10" borderId="16" xfId="0" applyNumberFormat="1" applyFont="1" applyFill="1" applyBorder="1" applyAlignment="1">
      <alignment horizontal="center" vertical="center"/>
    </xf>
    <xf numFmtId="10" fontId="35" fillId="10" borderId="39" xfId="0" applyNumberFormat="1" applyFont="1" applyFill="1" applyBorder="1" applyAlignment="1">
      <alignment horizontal="center" vertical="center"/>
    </xf>
    <xf numFmtId="0" fontId="35" fillId="10" borderId="16" xfId="0" applyFont="1" applyFill="1" applyBorder="1" applyAlignment="1">
      <alignment horizontal="center" vertical="center"/>
    </xf>
    <xf numFmtId="0" fontId="35" fillId="10" borderId="39" xfId="0" applyFont="1" applyFill="1" applyBorder="1" applyAlignment="1">
      <alignment horizontal="center" vertical="center"/>
    </xf>
    <xf numFmtId="0" fontId="35" fillId="10" borderId="63" xfId="0" applyFont="1" applyFill="1" applyBorder="1" applyAlignment="1">
      <alignment horizontal="center" vertical="center"/>
    </xf>
    <xf numFmtId="0" fontId="35" fillId="10" borderId="64" xfId="0" applyFont="1" applyFill="1" applyBorder="1" applyAlignment="1">
      <alignment horizontal="center" vertical="center"/>
    </xf>
    <xf numFmtId="0" fontId="35" fillId="10" borderId="45" xfId="0" applyFont="1" applyFill="1" applyBorder="1" applyAlignment="1">
      <alignment horizontal="center" vertical="center" wrapText="1"/>
    </xf>
    <xf numFmtId="0" fontId="35" fillId="10" borderId="32" xfId="0" applyFont="1" applyFill="1" applyBorder="1" applyAlignment="1">
      <alignment horizontal="center" vertical="center" wrapText="1"/>
    </xf>
    <xf numFmtId="0" fontId="35" fillId="10" borderId="58" xfId="0" applyFont="1" applyFill="1" applyBorder="1" applyAlignment="1">
      <alignment horizontal="center" vertical="center" wrapText="1"/>
    </xf>
    <xf numFmtId="0" fontId="31" fillId="9" borderId="46" xfId="0" applyFont="1" applyFill="1" applyBorder="1" applyAlignment="1">
      <alignment horizontal="center" wrapText="1"/>
    </xf>
    <xf numFmtId="0" fontId="14" fillId="9" borderId="0" xfId="0" applyFont="1" applyFill="1" applyAlignment="1">
      <alignment horizontal="center"/>
    </xf>
    <xf numFmtId="0" fontId="35" fillId="10" borderId="17" xfId="0" applyFont="1" applyFill="1" applyBorder="1" applyAlignment="1">
      <alignment horizontal="center" vertical="center" wrapText="1"/>
    </xf>
    <xf numFmtId="0" fontId="35" fillId="10" borderId="19" xfId="0" applyFont="1" applyFill="1" applyBorder="1" applyAlignment="1">
      <alignment horizontal="center" vertical="center" wrapText="1"/>
    </xf>
    <xf numFmtId="0" fontId="14" fillId="10" borderId="46" xfId="0" applyFont="1" applyFill="1" applyBorder="1" applyAlignment="1">
      <alignment horizontal="center" vertical="top"/>
    </xf>
    <xf numFmtId="0" fontId="26" fillId="10" borderId="20" xfId="0" applyFont="1" applyFill="1" applyBorder="1" applyAlignment="1">
      <alignment horizontal="center" vertical="center"/>
    </xf>
    <xf numFmtId="0" fontId="26" fillId="10" borderId="27" xfId="0" applyFont="1" applyFill="1" applyBorder="1" applyAlignment="1">
      <alignment horizontal="center" vertical="center"/>
    </xf>
    <xf numFmtId="0" fontId="26" fillId="10" borderId="56" xfId="0" applyFont="1" applyFill="1" applyBorder="1" applyAlignment="1">
      <alignment horizontal="center" vertical="center"/>
    </xf>
    <xf numFmtId="0" fontId="26" fillId="10" borderId="34" xfId="0" applyFont="1" applyFill="1" applyBorder="1" applyAlignment="1">
      <alignment horizontal="center" vertical="center"/>
    </xf>
    <xf numFmtId="0" fontId="35" fillId="10" borderId="35" xfId="0" applyFont="1" applyFill="1" applyBorder="1" applyAlignment="1">
      <alignment horizontal="center" vertical="center"/>
    </xf>
    <xf numFmtId="0" fontId="35" fillId="10" borderId="15" xfId="0" applyFont="1" applyFill="1" applyBorder="1" applyAlignment="1">
      <alignment horizontal="center" vertical="center"/>
    </xf>
    <xf numFmtId="0" fontId="35" fillId="10" borderId="47" xfId="0" applyFont="1" applyFill="1" applyBorder="1" applyAlignment="1">
      <alignment horizontal="center" vertical="center"/>
    </xf>
    <xf numFmtId="0" fontId="14" fillId="9" borderId="0" xfId="0" applyFont="1" applyFill="1" applyAlignment="1">
      <alignment horizontal="center" vertical="center" wrapText="1"/>
    </xf>
    <xf numFmtId="0" fontId="52" fillId="9" borderId="0" xfId="0" applyFont="1" applyFill="1" applyAlignment="1">
      <alignment horizontal="center" vertical="center"/>
    </xf>
    <xf numFmtId="0" fontId="31" fillId="9" borderId="0" xfId="0" applyFont="1" applyFill="1" applyAlignment="1">
      <alignment horizontal="center"/>
    </xf>
    <xf numFmtId="0" fontId="31" fillId="9" borderId="34" xfId="0" applyFont="1" applyFill="1" applyBorder="1" applyAlignment="1">
      <alignment horizontal="center"/>
    </xf>
    <xf numFmtId="2" fontId="35" fillId="10" borderId="17" xfId="0" applyNumberFormat="1" applyFont="1" applyFill="1" applyBorder="1" applyAlignment="1">
      <alignment horizontal="center" vertical="center"/>
    </xf>
    <xf numFmtId="2" fontId="35" fillId="10" borderId="19" xfId="0" applyNumberFormat="1" applyFont="1" applyFill="1" applyBorder="1" applyAlignment="1">
      <alignment horizontal="center" vertical="center"/>
    </xf>
    <xf numFmtId="10" fontId="35" fillId="10" borderId="5" xfId="0" applyNumberFormat="1" applyFont="1" applyFill="1" applyBorder="1" applyAlignment="1">
      <alignment horizontal="center"/>
    </xf>
    <xf numFmtId="10" fontId="35" fillId="10" borderId="21" xfId="0" applyNumberFormat="1" applyFont="1" applyFill="1" applyBorder="1" applyAlignment="1">
      <alignment horizontal="center"/>
    </xf>
    <xf numFmtId="0" fontId="35" fillId="10" borderId="14" xfId="0" applyFont="1" applyFill="1" applyBorder="1" applyAlignment="1">
      <alignment horizontal="center" vertical="center"/>
    </xf>
    <xf numFmtId="0" fontId="35" fillId="10" borderId="17" xfId="0" applyFont="1" applyFill="1" applyBorder="1" applyAlignment="1">
      <alignment horizontal="center" vertical="center"/>
    </xf>
    <xf numFmtId="0" fontId="35" fillId="10" borderId="14" xfId="0" applyFont="1" applyFill="1" applyBorder="1" applyAlignment="1">
      <alignment horizontal="center" vertical="center" wrapText="1"/>
    </xf>
    <xf numFmtId="0" fontId="35" fillId="10" borderId="12" xfId="0" applyFont="1" applyFill="1" applyBorder="1" applyAlignment="1">
      <alignment horizontal="center" vertical="center" wrapText="1"/>
    </xf>
    <xf numFmtId="0" fontId="35" fillId="10" borderId="53" xfId="0" applyFont="1" applyFill="1" applyBorder="1" applyAlignment="1">
      <alignment horizontal="center" vertical="center" wrapText="1"/>
    </xf>
    <xf numFmtId="0" fontId="35" fillId="10" borderId="21" xfId="0" applyFont="1" applyFill="1" applyBorder="1" applyAlignment="1">
      <alignment horizontal="center" vertical="center" wrapText="1"/>
    </xf>
    <xf numFmtId="0" fontId="35" fillId="10" borderId="5" xfId="0" applyFont="1" applyFill="1" applyBorder="1" applyAlignment="1">
      <alignment horizontal="center" vertical="center" wrapText="1"/>
    </xf>
    <xf numFmtId="0" fontId="26" fillId="5" borderId="20" xfId="0" applyFont="1" applyFill="1" applyBorder="1" applyAlignment="1">
      <alignment horizontal="center" vertical="top"/>
    </xf>
    <xf numFmtId="0" fontId="26" fillId="5" borderId="27" xfId="0" applyFont="1" applyFill="1" applyBorder="1" applyAlignment="1">
      <alignment horizontal="center" vertical="top"/>
    </xf>
    <xf numFmtId="0" fontId="26" fillId="5" borderId="56" xfId="0" applyFont="1" applyFill="1" applyBorder="1" applyAlignment="1">
      <alignment horizontal="center" vertical="top"/>
    </xf>
    <xf numFmtId="0" fontId="26" fillId="5" borderId="33" xfId="0" applyFont="1" applyFill="1" applyBorder="1" applyAlignment="1">
      <alignment horizontal="center" vertical="top"/>
    </xf>
    <xf numFmtId="0" fontId="26" fillId="5" borderId="34" xfId="0" applyFont="1" applyFill="1" applyBorder="1" applyAlignment="1">
      <alignment horizontal="center" vertical="top"/>
    </xf>
    <xf numFmtId="0" fontId="26" fillId="5" borderId="59" xfId="0" applyFont="1" applyFill="1" applyBorder="1" applyAlignment="1">
      <alignment horizontal="center" vertical="top"/>
    </xf>
    <xf numFmtId="0" fontId="52" fillId="11" borderId="0" xfId="0" applyFont="1" applyFill="1" applyAlignment="1">
      <alignment horizontal="center" vertical="center"/>
    </xf>
    <xf numFmtId="0" fontId="14" fillId="5" borderId="23" xfId="0" applyFont="1" applyFill="1" applyBorder="1" applyAlignment="1">
      <alignment horizontal="center" vertical="top"/>
    </xf>
    <xf numFmtId="0" fontId="14" fillId="5" borderId="46" xfId="0" applyFont="1" applyFill="1" applyBorder="1" applyAlignment="1">
      <alignment horizontal="center" vertical="top"/>
    </xf>
    <xf numFmtId="0" fontId="14" fillId="5" borderId="24" xfId="0" applyFont="1" applyFill="1" applyBorder="1" applyAlignment="1">
      <alignment horizontal="center" vertical="top"/>
    </xf>
    <xf numFmtId="0" fontId="35" fillId="10" borderId="61" xfId="0" applyFont="1" applyFill="1" applyBorder="1" applyAlignment="1">
      <alignment horizontal="center" vertical="center"/>
    </xf>
    <xf numFmtId="0" fontId="35" fillId="10" borderId="36" xfId="0" applyFont="1" applyFill="1" applyBorder="1" applyAlignment="1">
      <alignment horizontal="center" vertical="center"/>
    </xf>
    <xf numFmtId="0" fontId="35" fillId="10" borderId="31" xfId="0" applyFont="1" applyFill="1" applyBorder="1" applyAlignment="1">
      <alignment horizontal="center" vertical="center"/>
    </xf>
    <xf numFmtId="0" fontId="35" fillId="10" borderId="6" xfId="0" applyFont="1" applyFill="1" applyBorder="1" applyAlignment="1">
      <alignment horizontal="center" vertical="center"/>
    </xf>
    <xf numFmtId="0" fontId="35" fillId="10" borderId="45" xfId="0" applyFont="1" applyFill="1" applyBorder="1" applyAlignment="1">
      <alignment horizontal="center" vertical="center"/>
    </xf>
    <xf numFmtId="0" fontId="35" fillId="10" borderId="32" xfId="0" applyFont="1" applyFill="1" applyBorder="1" applyAlignment="1">
      <alignment horizontal="center" vertical="center"/>
    </xf>
    <xf numFmtId="0" fontId="35" fillId="10" borderId="58" xfId="0" applyFont="1" applyFill="1" applyBorder="1" applyAlignment="1">
      <alignment horizontal="center" vertical="center"/>
    </xf>
    <xf numFmtId="0" fontId="35" fillId="11" borderId="27" xfId="0" applyFont="1" applyFill="1" applyBorder="1" applyAlignment="1">
      <alignment horizontal="center" vertical="center" wrapText="1"/>
    </xf>
    <xf numFmtId="0" fontId="35" fillId="11" borderId="0" xfId="0" applyFont="1" applyFill="1" applyAlignment="1">
      <alignment horizontal="center" vertical="center" wrapText="1"/>
    </xf>
    <xf numFmtId="0" fontId="35" fillId="11" borderId="34" xfId="0" applyFont="1" applyFill="1" applyBorder="1" applyAlignment="1">
      <alignment horizontal="center" vertical="center" wrapText="1"/>
    </xf>
    <xf numFmtId="0" fontId="35" fillId="5" borderId="23" xfId="0" applyFont="1" applyFill="1" applyBorder="1" applyAlignment="1">
      <alignment horizontal="center" vertical="center" wrapText="1"/>
    </xf>
    <xf numFmtId="0" fontId="35" fillId="5" borderId="24" xfId="0" applyFont="1" applyFill="1" applyBorder="1" applyAlignment="1">
      <alignment horizontal="center" vertical="center" wrapText="1"/>
    </xf>
    <xf numFmtId="0" fontId="35" fillId="5" borderId="54" xfId="0" applyFont="1" applyFill="1" applyBorder="1" applyAlignment="1">
      <alignment horizontal="center" vertical="center" wrapText="1"/>
    </xf>
    <xf numFmtId="0" fontId="35" fillId="5" borderId="28" xfId="0" applyFont="1" applyFill="1" applyBorder="1" applyAlignment="1">
      <alignment horizontal="center" vertical="center"/>
    </xf>
    <xf numFmtId="0" fontId="35" fillId="5" borderId="29" xfId="0" applyFont="1" applyFill="1" applyBorder="1" applyAlignment="1">
      <alignment horizontal="center" vertical="center"/>
    </xf>
    <xf numFmtId="0" fontId="35" fillId="5" borderId="28" xfId="0" applyFont="1" applyFill="1" applyBorder="1" applyAlignment="1">
      <alignment horizontal="center" vertical="center" wrapText="1"/>
    </xf>
    <xf numFmtId="0" fontId="35" fillId="5" borderId="41" xfId="0" applyFont="1" applyFill="1" applyBorder="1" applyAlignment="1">
      <alignment horizontal="center" vertical="center" wrapText="1"/>
    </xf>
    <xf numFmtId="0" fontId="35" fillId="5" borderId="62" xfId="0" applyFont="1" applyFill="1" applyBorder="1" applyAlignment="1">
      <alignment horizontal="center" vertical="center" wrapText="1"/>
    </xf>
    <xf numFmtId="0" fontId="35" fillId="5" borderId="1" xfId="0" applyFont="1" applyFill="1" applyBorder="1" applyAlignment="1">
      <alignment horizontal="center" vertical="center" wrapText="1"/>
    </xf>
    <xf numFmtId="0" fontId="35" fillId="5" borderId="66" xfId="0" applyFont="1" applyFill="1" applyBorder="1" applyAlignment="1">
      <alignment horizontal="center" vertical="center" wrapText="1"/>
    </xf>
    <xf numFmtId="0" fontId="35" fillId="5" borderId="23" xfId="0" applyFont="1" applyFill="1" applyBorder="1" applyAlignment="1">
      <alignment horizontal="center" vertical="center"/>
    </xf>
    <xf numFmtId="0" fontId="35" fillId="5" borderId="46" xfId="0" applyFont="1" applyFill="1" applyBorder="1" applyAlignment="1">
      <alignment horizontal="center" vertical="center"/>
    </xf>
    <xf numFmtId="0" fontId="35" fillId="5" borderId="24" xfId="0" applyFont="1" applyFill="1" applyBorder="1" applyAlignment="1">
      <alignment horizontal="center" vertical="center"/>
    </xf>
    <xf numFmtId="0" fontId="35" fillId="5" borderId="43" xfId="0" applyFont="1" applyFill="1" applyBorder="1" applyAlignment="1">
      <alignment horizontal="center" vertical="center" wrapText="1"/>
    </xf>
    <xf numFmtId="0" fontId="35" fillId="5" borderId="61" xfId="0" applyFont="1" applyFill="1" applyBorder="1" applyAlignment="1">
      <alignment horizontal="center" vertical="center" wrapText="1"/>
    </xf>
    <xf numFmtId="0" fontId="35" fillId="5" borderId="65" xfId="0" applyFont="1" applyFill="1" applyBorder="1" applyAlignment="1">
      <alignment horizontal="center" vertical="center" wrapText="1"/>
    </xf>
    <xf numFmtId="0" fontId="35" fillId="5" borderId="54" xfId="0" applyFont="1" applyFill="1" applyBorder="1" applyAlignment="1">
      <alignment horizontal="center" vertical="center"/>
    </xf>
    <xf numFmtId="0" fontId="14" fillId="10" borderId="20" xfId="0" applyFont="1" applyFill="1" applyBorder="1" applyAlignment="1">
      <alignment horizontal="center"/>
    </xf>
    <xf numFmtId="0" fontId="14" fillId="10" borderId="27" xfId="0" applyFont="1" applyFill="1" applyBorder="1" applyAlignment="1">
      <alignment horizontal="center"/>
    </xf>
    <xf numFmtId="0" fontId="14" fillId="10" borderId="56" xfId="0" applyFont="1" applyFill="1" applyBorder="1" applyAlignment="1">
      <alignment horizontal="center"/>
    </xf>
    <xf numFmtId="0" fontId="35" fillId="5" borderId="29" xfId="0" applyFont="1" applyFill="1" applyBorder="1" applyAlignment="1">
      <alignment horizontal="center" vertical="center" wrapText="1"/>
    </xf>
    <xf numFmtId="0" fontId="35" fillId="11" borderId="0" xfId="0" applyFont="1" applyFill="1" applyAlignment="1">
      <alignment horizontal="center" wrapText="1"/>
    </xf>
    <xf numFmtId="0" fontId="14" fillId="5" borderId="23" xfId="0" applyFont="1" applyFill="1" applyBorder="1" applyAlignment="1">
      <alignment horizontal="center" vertical="center"/>
    </xf>
    <xf numFmtId="0" fontId="14" fillId="5" borderId="46" xfId="0" applyFont="1" applyFill="1" applyBorder="1" applyAlignment="1">
      <alignment horizontal="center" vertical="center"/>
    </xf>
    <xf numFmtId="0" fontId="14" fillId="5" borderId="24" xfId="0" applyFont="1" applyFill="1" applyBorder="1" applyAlignment="1">
      <alignment horizontal="center" vertical="center"/>
    </xf>
    <xf numFmtId="0" fontId="26" fillId="5" borderId="23" xfId="0" applyFont="1" applyFill="1" applyBorder="1" applyAlignment="1">
      <alignment horizontal="center" vertical="center"/>
    </xf>
    <xf numFmtId="0" fontId="26" fillId="5" borderId="46" xfId="0" applyFont="1" applyFill="1" applyBorder="1" applyAlignment="1">
      <alignment horizontal="center" vertical="center"/>
    </xf>
    <xf numFmtId="0" fontId="26" fillId="5" borderId="24" xfId="0" applyFont="1" applyFill="1" applyBorder="1" applyAlignment="1">
      <alignment horizontal="center" vertical="center"/>
    </xf>
    <xf numFmtId="0" fontId="35" fillId="5" borderId="20" xfId="0" applyFont="1" applyFill="1" applyBorder="1" applyAlignment="1">
      <alignment horizontal="center" vertical="center"/>
    </xf>
    <xf numFmtId="0" fontId="35" fillId="5" borderId="15" xfId="0" applyFont="1" applyFill="1" applyBorder="1" applyAlignment="1">
      <alignment horizontal="center" vertical="center"/>
    </xf>
    <xf numFmtId="0" fontId="35" fillId="5" borderId="27" xfId="0" applyFont="1" applyFill="1" applyBorder="1" applyAlignment="1">
      <alignment horizontal="center" vertical="center"/>
    </xf>
    <xf numFmtId="0" fontId="35" fillId="5" borderId="56" xfId="0" applyFont="1" applyFill="1" applyBorder="1" applyAlignment="1">
      <alignment horizontal="center" vertical="center"/>
    </xf>
    <xf numFmtId="0" fontId="35" fillId="5" borderId="35" xfId="0" applyFont="1" applyFill="1" applyBorder="1" applyAlignment="1">
      <alignment horizontal="center" vertical="center"/>
    </xf>
    <xf numFmtId="0" fontId="35" fillId="5" borderId="47" xfId="0" applyFont="1" applyFill="1" applyBorder="1" applyAlignment="1">
      <alignment horizontal="center" vertical="center"/>
    </xf>
    <xf numFmtId="0" fontId="35" fillId="5" borderId="37" xfId="0" applyFont="1" applyFill="1" applyBorder="1" applyAlignment="1">
      <alignment horizontal="center" vertical="center" wrapText="1"/>
    </xf>
    <xf numFmtId="0" fontId="35" fillId="5" borderId="38" xfId="0" applyFont="1" applyFill="1" applyBorder="1" applyAlignment="1">
      <alignment horizontal="center" vertical="center" wrapText="1"/>
    </xf>
    <xf numFmtId="0" fontId="35" fillId="5" borderId="73" xfId="0" applyFont="1" applyFill="1" applyBorder="1" applyAlignment="1">
      <alignment horizontal="center" vertical="center" wrapText="1"/>
    </xf>
    <xf numFmtId="0" fontId="35" fillId="5" borderId="52" xfId="0" applyFont="1" applyFill="1" applyBorder="1" applyAlignment="1">
      <alignment horizontal="center" vertical="center" wrapText="1"/>
    </xf>
    <xf numFmtId="0" fontId="35" fillId="5" borderId="30" xfId="0" applyFont="1" applyFill="1" applyBorder="1" applyAlignment="1">
      <alignment horizontal="center" vertical="center" wrapText="1"/>
    </xf>
    <xf numFmtId="0" fontId="35" fillId="5" borderId="7" xfId="0" applyFont="1" applyFill="1" applyBorder="1" applyAlignment="1">
      <alignment horizontal="center" vertical="center" wrapText="1"/>
    </xf>
    <xf numFmtId="0" fontId="35" fillId="5" borderId="8" xfId="0" applyFont="1" applyFill="1" applyBorder="1" applyAlignment="1">
      <alignment horizontal="center" vertical="center" wrapText="1"/>
    </xf>
    <xf numFmtId="0" fontId="35" fillId="5" borderId="35" xfId="0" applyFont="1" applyFill="1" applyBorder="1" applyAlignment="1">
      <alignment horizontal="center" vertical="center" wrapText="1"/>
    </xf>
    <xf numFmtId="0" fontId="35" fillId="5" borderId="47" xfId="0" applyFont="1" applyFill="1" applyBorder="1" applyAlignment="1">
      <alignment horizontal="center" vertical="center" wrapText="1"/>
    </xf>
    <xf numFmtId="0" fontId="35" fillId="5" borderId="15" xfId="0" applyFont="1" applyFill="1" applyBorder="1" applyAlignment="1">
      <alignment horizontal="center" vertical="center" wrapText="1"/>
    </xf>
    <xf numFmtId="0" fontId="35" fillId="5" borderId="53" xfId="0" applyFont="1" applyFill="1" applyBorder="1" applyAlignment="1">
      <alignment horizontal="center" vertical="center" wrapText="1"/>
    </xf>
    <xf numFmtId="10" fontId="35" fillId="10" borderId="5" xfId="0" applyNumberFormat="1" applyFont="1" applyFill="1" applyBorder="1" applyAlignment="1">
      <alignment horizontal="center" vertical="center"/>
    </xf>
    <xf numFmtId="10" fontId="35" fillId="10" borderId="21" xfId="0" applyNumberFormat="1" applyFont="1" applyFill="1" applyBorder="1" applyAlignment="1">
      <alignment horizontal="center" vertical="center"/>
    </xf>
    <xf numFmtId="0" fontId="35" fillId="10" borderId="18" xfId="0" applyFont="1" applyFill="1" applyBorder="1" applyAlignment="1">
      <alignment horizontal="center" vertical="center"/>
    </xf>
    <xf numFmtId="0" fontId="35" fillId="10" borderId="22" xfId="0" applyFont="1" applyFill="1" applyBorder="1" applyAlignment="1">
      <alignment horizontal="center" vertical="center"/>
    </xf>
    <xf numFmtId="0" fontId="35" fillId="11" borderId="34" xfId="0" applyFont="1" applyFill="1" applyBorder="1" applyAlignment="1">
      <alignment horizontal="center" wrapText="1"/>
    </xf>
    <xf numFmtId="0" fontId="35" fillId="10" borderId="13" xfId="0" applyFont="1" applyFill="1" applyBorder="1" applyAlignment="1">
      <alignment horizontal="center" vertical="center"/>
    </xf>
    <xf numFmtId="0" fontId="35" fillId="10" borderId="12" xfId="0" applyFont="1" applyFill="1" applyBorder="1" applyAlignment="1">
      <alignment horizontal="center" vertical="center"/>
    </xf>
    <xf numFmtId="0" fontId="35" fillId="10" borderId="5" xfId="0" applyFont="1" applyFill="1" applyBorder="1" applyAlignment="1">
      <alignment horizontal="center" vertical="center"/>
    </xf>
    <xf numFmtId="0" fontId="35" fillId="11" borderId="0" xfId="0" applyFont="1" applyFill="1" applyAlignment="1">
      <alignment horizontal="center"/>
    </xf>
    <xf numFmtId="0" fontId="35" fillId="11" borderId="27" xfId="0" applyFont="1" applyFill="1" applyBorder="1" applyAlignment="1">
      <alignment horizontal="center" wrapText="1"/>
    </xf>
    <xf numFmtId="0" fontId="35" fillId="11" borderId="56" xfId="0" applyFont="1" applyFill="1" applyBorder="1" applyAlignment="1">
      <alignment horizontal="center" wrapText="1"/>
    </xf>
    <xf numFmtId="0" fontId="35" fillId="5" borderId="40" xfId="0" applyFont="1" applyFill="1" applyBorder="1" applyAlignment="1">
      <alignment horizontal="center" vertical="center" wrapText="1"/>
    </xf>
    <xf numFmtId="0" fontId="35" fillId="5" borderId="29" xfId="0" applyFont="1" applyFill="1" applyBorder="1" applyAlignment="1">
      <alignment horizontal="center"/>
    </xf>
    <xf numFmtId="0" fontId="14" fillId="10" borderId="20" xfId="0" applyFont="1" applyFill="1" applyBorder="1" applyAlignment="1">
      <alignment horizontal="center" vertical="center"/>
    </xf>
    <xf numFmtId="0" fontId="14" fillId="10" borderId="27" xfId="0" applyFont="1" applyFill="1" applyBorder="1" applyAlignment="1">
      <alignment horizontal="center" vertical="center"/>
    </xf>
    <xf numFmtId="0" fontId="14" fillId="10" borderId="56" xfId="0" applyFont="1" applyFill="1" applyBorder="1" applyAlignment="1">
      <alignment horizontal="center" vertical="center"/>
    </xf>
    <xf numFmtId="0" fontId="35" fillId="11" borderId="27" xfId="0" applyFont="1" applyFill="1" applyBorder="1" applyAlignment="1">
      <alignment horizontal="center" vertical="center"/>
    </xf>
    <xf numFmtId="0" fontId="35" fillId="5" borderId="59" xfId="0" applyFont="1" applyFill="1" applyBorder="1" applyAlignment="1">
      <alignment horizontal="center" vertical="center" wrapText="1"/>
    </xf>
    <xf numFmtId="0" fontId="14" fillId="10" borderId="23" xfId="0" applyFont="1" applyFill="1" applyBorder="1" applyAlignment="1">
      <alignment horizontal="center" vertical="center"/>
    </xf>
    <xf numFmtId="0" fontId="14" fillId="10" borderId="24" xfId="0" applyFont="1" applyFill="1" applyBorder="1" applyAlignment="1">
      <alignment horizontal="center" vertical="center"/>
    </xf>
    <xf numFmtId="0" fontId="35" fillId="5" borderId="23" xfId="0" applyFont="1" applyFill="1" applyBorder="1" applyAlignment="1">
      <alignment horizontal="center"/>
    </xf>
    <xf numFmtId="0" fontId="35" fillId="5" borderId="46" xfId="0" applyFont="1" applyFill="1" applyBorder="1" applyAlignment="1">
      <alignment horizontal="center"/>
    </xf>
    <xf numFmtId="0" fontId="35" fillId="5" borderId="24" xfId="0" applyFont="1" applyFill="1" applyBorder="1" applyAlignment="1">
      <alignment horizontal="center"/>
    </xf>
    <xf numFmtId="0" fontId="14" fillId="5" borderId="23" xfId="0" applyFont="1" applyFill="1" applyBorder="1" applyAlignment="1">
      <alignment horizontal="center" vertical="center" wrapText="1"/>
    </xf>
    <xf numFmtId="0" fontId="14" fillId="5" borderId="24" xfId="0" applyFont="1" applyFill="1" applyBorder="1" applyAlignment="1">
      <alignment horizontal="center" vertical="center" wrapText="1"/>
    </xf>
    <xf numFmtId="0" fontId="35" fillId="5" borderId="46" xfId="0" applyFont="1" applyFill="1" applyBorder="1" applyAlignment="1">
      <alignment horizontal="center" vertical="center" wrapText="1"/>
    </xf>
    <xf numFmtId="0" fontId="14" fillId="5" borderId="46" xfId="0" applyFont="1" applyFill="1" applyBorder="1" applyAlignment="1">
      <alignment horizontal="center" vertical="center" wrapText="1"/>
    </xf>
    <xf numFmtId="0" fontId="26" fillId="5" borderId="57" xfId="0" applyFont="1" applyFill="1" applyBorder="1" applyAlignment="1">
      <alignment horizontal="center" vertical="top"/>
    </xf>
    <xf numFmtId="0" fontId="26" fillId="5" borderId="0" xfId="0" applyFont="1" applyFill="1" applyAlignment="1">
      <alignment horizontal="center" vertical="top"/>
    </xf>
    <xf numFmtId="0" fontId="26" fillId="5" borderId="50" xfId="0" applyFont="1" applyFill="1" applyBorder="1" applyAlignment="1">
      <alignment horizontal="center" vertical="top"/>
    </xf>
    <xf numFmtId="0" fontId="14" fillId="10" borderId="46" xfId="0" applyFont="1" applyFill="1" applyBorder="1" applyAlignment="1">
      <alignment horizontal="center" vertical="center"/>
    </xf>
    <xf numFmtId="0" fontId="26" fillId="11" borderId="0" xfId="0" applyFont="1" applyFill="1" applyAlignment="1">
      <alignment horizontal="center" vertical="center"/>
    </xf>
    <xf numFmtId="0" fontId="35" fillId="11" borderId="56" xfId="0" applyFont="1" applyFill="1" applyBorder="1" applyAlignment="1">
      <alignment horizontal="center" vertical="center" wrapText="1"/>
    </xf>
    <xf numFmtId="0" fontId="26" fillId="5" borderId="23" xfId="0" applyFont="1" applyFill="1" applyBorder="1" applyAlignment="1">
      <alignment horizontal="center" vertical="top"/>
    </xf>
    <xf numFmtId="0" fontId="26" fillId="5" borderId="46" xfId="0" applyFont="1" applyFill="1" applyBorder="1" applyAlignment="1">
      <alignment horizontal="center" vertical="top"/>
    </xf>
    <xf numFmtId="0" fontId="26" fillId="5" borderId="24" xfId="0" applyFont="1" applyFill="1" applyBorder="1" applyAlignment="1">
      <alignment horizontal="center" vertical="top"/>
    </xf>
    <xf numFmtId="0" fontId="52" fillId="11" borderId="0" xfId="0" applyFont="1" applyFill="1" applyAlignment="1">
      <alignment horizontal="center" vertical="center" wrapText="1"/>
    </xf>
    <xf numFmtId="0" fontId="35" fillId="5" borderId="45" xfId="0" applyFont="1" applyFill="1" applyBorder="1" applyAlignment="1">
      <alignment horizontal="center" vertical="center" wrapText="1"/>
    </xf>
    <xf numFmtId="0" fontId="15" fillId="11" borderId="0" xfId="0" applyFont="1" applyFill="1" applyAlignment="1">
      <alignment horizontal="center" vertical="center" wrapText="1"/>
    </xf>
    <xf numFmtId="0" fontId="35" fillId="11" borderId="78" xfId="0" applyFont="1" applyFill="1" applyBorder="1" applyAlignment="1">
      <alignment horizontal="center" vertical="center" wrapText="1"/>
    </xf>
    <xf numFmtId="0" fontId="35" fillId="11" borderId="74" xfId="0" applyFont="1" applyFill="1" applyBorder="1" applyAlignment="1">
      <alignment horizontal="center" vertical="center" wrapText="1"/>
    </xf>
    <xf numFmtId="0" fontId="35" fillId="5" borderId="20" xfId="0" applyFont="1" applyFill="1" applyBorder="1" applyAlignment="1">
      <alignment horizontal="center" vertical="center" wrapText="1"/>
    </xf>
    <xf numFmtId="0" fontId="35" fillId="5" borderId="33" xfId="0" applyFont="1" applyFill="1" applyBorder="1" applyAlignment="1">
      <alignment horizontal="center" vertical="center" wrapText="1"/>
    </xf>
    <xf numFmtId="0" fontId="35" fillId="5" borderId="64" xfId="0" applyFont="1" applyFill="1" applyBorder="1" applyAlignment="1">
      <alignment horizontal="center" vertical="center" wrapText="1"/>
    </xf>
    <xf numFmtId="0" fontId="26" fillId="5" borderId="25" xfId="0" applyFont="1" applyFill="1" applyBorder="1" applyAlignment="1">
      <alignment horizontal="center" vertical="center"/>
    </xf>
    <xf numFmtId="0" fontId="26" fillId="5" borderId="21" xfId="0" applyFont="1" applyFill="1" applyBorder="1" applyAlignment="1">
      <alignment horizontal="center" vertical="center"/>
    </xf>
    <xf numFmtId="0" fontId="26" fillId="5" borderId="13" xfId="0" applyFont="1" applyFill="1" applyBorder="1" applyAlignment="1">
      <alignment horizontal="center" vertical="center"/>
    </xf>
    <xf numFmtId="0" fontId="26" fillId="5" borderId="22" xfId="0" applyFont="1" applyFill="1" applyBorder="1" applyAlignment="1">
      <alignment horizontal="center" vertical="center"/>
    </xf>
    <xf numFmtId="0" fontId="35" fillId="5" borderId="14" xfId="0" applyFont="1" applyFill="1" applyBorder="1" applyAlignment="1">
      <alignment horizontal="center"/>
    </xf>
    <xf numFmtId="0" fontId="35" fillId="5" borderId="19" xfId="0" applyFont="1" applyFill="1" applyBorder="1" applyAlignment="1">
      <alignment horizontal="center"/>
    </xf>
    <xf numFmtId="0" fontId="35" fillId="5" borderId="16" xfId="0" applyFont="1" applyFill="1" applyBorder="1" applyAlignment="1">
      <alignment horizontal="center" vertical="center" wrapText="1"/>
    </xf>
    <xf numFmtId="0" fontId="35" fillId="5" borderId="6" xfId="0" applyFont="1" applyFill="1" applyBorder="1" applyAlignment="1">
      <alignment horizontal="center" vertical="center" wrapText="1"/>
    </xf>
    <xf numFmtId="0" fontId="35" fillId="5" borderId="31" xfId="0" applyFont="1" applyFill="1" applyBorder="1" applyAlignment="1">
      <alignment horizontal="center" vertical="center" wrapText="1"/>
    </xf>
    <xf numFmtId="0" fontId="35" fillId="10" borderId="66" xfId="0" applyFont="1" applyFill="1" applyBorder="1" applyAlignment="1">
      <alignment horizontal="center" vertical="center" wrapText="1"/>
    </xf>
    <xf numFmtId="0" fontId="35" fillId="10" borderId="42" xfId="0" applyFont="1" applyFill="1" applyBorder="1" applyAlignment="1">
      <alignment horizontal="center" vertical="center" wrapText="1"/>
    </xf>
    <xf numFmtId="0" fontId="26" fillId="5" borderId="5" xfId="0" applyFont="1" applyFill="1" applyBorder="1" applyAlignment="1">
      <alignment horizontal="center"/>
    </xf>
    <xf numFmtId="0" fontId="38" fillId="5" borderId="5" xfId="0" applyFont="1" applyFill="1" applyBorder="1" applyAlignment="1">
      <alignment horizontal="center"/>
    </xf>
    <xf numFmtId="0" fontId="38" fillId="5" borderId="16" xfId="0" applyFont="1" applyFill="1" applyBorder="1" applyAlignment="1">
      <alignment horizontal="center" vertical="center"/>
    </xf>
    <xf numFmtId="0" fontId="38" fillId="5" borderId="31" xfId="0" applyFont="1" applyFill="1" applyBorder="1" applyAlignment="1">
      <alignment horizontal="center" vertical="center"/>
    </xf>
    <xf numFmtId="0" fontId="38" fillId="5" borderId="6" xfId="0" applyFont="1" applyFill="1" applyBorder="1" applyAlignment="1">
      <alignment horizontal="center" vertical="center"/>
    </xf>
    <xf numFmtId="0" fontId="38" fillId="5" borderId="16" xfId="0" applyFont="1" applyFill="1" applyBorder="1" applyAlignment="1">
      <alignment horizontal="center"/>
    </xf>
    <xf numFmtId="0" fontId="38" fillId="5" borderId="31" xfId="0" applyFont="1" applyFill="1" applyBorder="1" applyAlignment="1">
      <alignment horizontal="center"/>
    </xf>
    <xf numFmtId="0" fontId="38" fillId="5" borderId="6" xfId="0" applyFont="1" applyFill="1" applyBorder="1" applyAlignment="1">
      <alignment horizontal="center"/>
    </xf>
    <xf numFmtId="0" fontId="38" fillId="5" borderId="4" xfId="0" applyFont="1" applyFill="1" applyBorder="1" applyAlignment="1">
      <alignment horizontal="center"/>
    </xf>
    <xf numFmtId="0" fontId="33" fillId="5" borderId="23" xfId="0" applyFont="1" applyFill="1" applyBorder="1" applyAlignment="1">
      <alignment horizontal="center"/>
    </xf>
    <xf numFmtId="0" fontId="33" fillId="5" borderId="46" xfId="0" applyFont="1" applyFill="1" applyBorder="1" applyAlignment="1">
      <alignment horizontal="center"/>
    </xf>
    <xf numFmtId="0" fontId="33" fillId="5" borderId="24" xfId="0" applyFont="1" applyFill="1" applyBorder="1" applyAlignment="1">
      <alignment horizontal="center"/>
    </xf>
    <xf numFmtId="0" fontId="35" fillId="5" borderId="60" xfId="0" applyFont="1" applyFill="1" applyBorder="1" applyAlignment="1">
      <alignment horizontal="center"/>
    </xf>
    <xf numFmtId="0" fontId="35" fillId="5" borderId="4" xfId="0" applyFont="1" applyFill="1" applyBorder="1" applyAlignment="1">
      <alignment horizontal="center"/>
    </xf>
    <xf numFmtId="0" fontId="35" fillId="5" borderId="2" xfId="0" applyFont="1" applyFill="1" applyBorder="1" applyAlignment="1">
      <alignment horizontal="center"/>
    </xf>
    <xf numFmtId="0" fontId="35" fillId="5" borderId="16" xfId="0" applyFont="1" applyFill="1" applyBorder="1" applyAlignment="1">
      <alignment horizontal="center"/>
    </xf>
    <xf numFmtId="0" fontId="35" fillId="5" borderId="31" xfId="0" applyFont="1" applyFill="1" applyBorder="1" applyAlignment="1">
      <alignment horizontal="center"/>
    </xf>
    <xf numFmtId="0" fontId="35" fillId="5" borderId="6" xfId="0" applyFont="1" applyFill="1" applyBorder="1" applyAlignment="1">
      <alignment horizontal="center"/>
    </xf>
    <xf numFmtId="0" fontId="34" fillId="5" borderId="4" xfId="0" applyFont="1" applyFill="1" applyBorder="1" applyAlignment="1">
      <alignment horizontal="center" wrapText="1"/>
    </xf>
    <xf numFmtId="0" fontId="31" fillId="11" borderId="0" xfId="0" applyFont="1" applyFill="1" applyAlignment="1">
      <alignment horizontal="center"/>
    </xf>
    <xf numFmtId="0" fontId="33" fillId="5" borderId="31" xfId="0" applyFont="1" applyFill="1" applyBorder="1" applyAlignment="1">
      <alignment horizontal="center"/>
    </xf>
    <xf numFmtId="0" fontId="33" fillId="5" borderId="6" xfId="0" applyFont="1" applyFill="1" applyBorder="1" applyAlignment="1">
      <alignment horizontal="center"/>
    </xf>
    <xf numFmtId="0" fontId="31" fillId="11" borderId="50" xfId="0" applyFont="1" applyFill="1" applyBorder="1" applyAlignment="1">
      <alignment horizontal="center"/>
    </xf>
    <xf numFmtId="0" fontId="14" fillId="5" borderId="23" xfId="0" applyFont="1" applyFill="1" applyBorder="1" applyAlignment="1">
      <alignment horizontal="center" wrapText="1"/>
    </xf>
    <xf numFmtId="0" fontId="14" fillId="5" borderId="46" xfId="0" applyFont="1" applyFill="1" applyBorder="1" applyAlignment="1">
      <alignment horizontal="center" wrapText="1"/>
    </xf>
    <xf numFmtId="0" fontId="14" fillId="5" borderId="24" xfId="0" applyFont="1" applyFill="1" applyBorder="1" applyAlignment="1">
      <alignment horizontal="center" wrapText="1"/>
    </xf>
    <xf numFmtId="0" fontId="14" fillId="5" borderId="23" xfId="0" applyFont="1" applyFill="1" applyBorder="1" applyAlignment="1">
      <alignment horizontal="center"/>
    </xf>
    <xf numFmtId="0" fontId="14" fillId="5" borderId="24" xfId="0" applyFont="1" applyFill="1" applyBorder="1" applyAlignment="1">
      <alignment horizontal="center"/>
    </xf>
    <xf numFmtId="0" fontId="17" fillId="5" borderId="45" xfId="0" applyFont="1" applyFill="1" applyBorder="1" applyAlignment="1">
      <alignment horizontal="center"/>
    </xf>
    <xf numFmtId="0" fontId="17" fillId="5" borderId="58" xfId="0" applyFont="1" applyFill="1" applyBorder="1" applyAlignment="1">
      <alignment horizontal="center"/>
    </xf>
    <xf numFmtId="0" fontId="14" fillId="5" borderId="5" xfId="0" applyFont="1" applyFill="1" applyBorder="1" applyAlignment="1">
      <alignment horizontal="center" vertical="center" wrapText="1"/>
    </xf>
    <xf numFmtId="0" fontId="35" fillId="5" borderId="14" xfId="0" applyFont="1" applyFill="1" applyBorder="1" applyAlignment="1">
      <alignment horizontal="center" wrapText="1"/>
    </xf>
    <xf numFmtId="0" fontId="35" fillId="5" borderId="19" xfId="0" applyFont="1" applyFill="1" applyBorder="1" applyAlignment="1">
      <alignment horizontal="center" wrapText="1"/>
    </xf>
    <xf numFmtId="0" fontId="14" fillId="5" borderId="7" xfId="0" applyFont="1" applyFill="1" applyBorder="1" applyAlignment="1">
      <alignment horizontal="center"/>
    </xf>
    <xf numFmtId="0" fontId="14" fillId="5" borderId="37" xfId="0" applyFont="1" applyFill="1" applyBorder="1" applyAlignment="1">
      <alignment horizontal="center"/>
    </xf>
    <xf numFmtId="0" fontId="35" fillId="5" borderId="23" xfId="0" applyFont="1" applyFill="1" applyBorder="1" applyAlignment="1">
      <alignment horizontal="center" wrapText="1"/>
    </xf>
    <xf numFmtId="0" fontId="35" fillId="5" borderId="24" xfId="0" applyFont="1" applyFill="1" applyBorder="1" applyAlignment="1">
      <alignment horizontal="center" wrapText="1"/>
    </xf>
    <xf numFmtId="0" fontId="14" fillId="5" borderId="20" xfId="0" applyFont="1" applyFill="1" applyBorder="1" applyAlignment="1">
      <alignment horizontal="center" vertical="center"/>
    </xf>
    <xf numFmtId="0" fontId="14" fillId="5" borderId="78" xfId="0" applyFont="1" applyFill="1" applyBorder="1" applyAlignment="1">
      <alignment horizontal="center" vertical="center"/>
    </xf>
    <xf numFmtId="0" fontId="35" fillId="5" borderId="27" xfId="0" applyFont="1" applyFill="1" applyBorder="1" applyAlignment="1">
      <alignment horizontal="center" vertical="center" wrapText="1"/>
    </xf>
    <xf numFmtId="0" fontId="35" fillId="5" borderId="56" xfId="0" applyFont="1" applyFill="1" applyBorder="1" applyAlignment="1">
      <alignment horizontal="center" vertical="center" wrapText="1"/>
    </xf>
    <xf numFmtId="0" fontId="35" fillId="5" borderId="48" xfId="0" applyFont="1" applyFill="1" applyBorder="1" applyAlignment="1">
      <alignment horizontal="center" vertical="center" wrapText="1"/>
    </xf>
    <xf numFmtId="0" fontId="14" fillId="5" borderId="7" xfId="0" applyFont="1" applyFill="1" applyBorder="1" applyAlignment="1">
      <alignment horizontal="center" vertical="center"/>
    </xf>
    <xf numFmtId="0" fontId="14" fillId="5" borderId="37" xfId="0" applyFont="1" applyFill="1" applyBorder="1" applyAlignment="1">
      <alignment horizontal="center" vertical="center"/>
    </xf>
    <xf numFmtId="0" fontId="14" fillId="5" borderId="27" xfId="0" applyFont="1" applyFill="1" applyBorder="1" applyAlignment="1">
      <alignment horizontal="center" vertical="center"/>
    </xf>
    <xf numFmtId="0" fontId="32" fillId="5" borderId="4" xfId="0" applyFont="1" applyFill="1" applyBorder="1" applyAlignment="1">
      <alignment horizontal="center"/>
    </xf>
    <xf numFmtId="0" fontId="32" fillId="5" borderId="2" xfId="0" applyFont="1" applyFill="1" applyBorder="1" applyAlignment="1">
      <alignment horizontal="center"/>
    </xf>
    <xf numFmtId="0" fontId="32" fillId="11" borderId="1" xfId="0" applyFont="1" applyFill="1" applyBorder="1" applyAlignment="1">
      <alignment horizontal="center"/>
    </xf>
    <xf numFmtId="0" fontId="32" fillId="11" borderId="60" xfId="0" applyFont="1" applyFill="1" applyBorder="1" applyAlignment="1">
      <alignment horizontal="center"/>
    </xf>
    <xf numFmtId="0" fontId="26" fillId="11" borderId="16" xfId="0" applyFont="1" applyFill="1" applyBorder="1" applyAlignment="1">
      <alignment horizontal="center"/>
    </xf>
    <xf numFmtId="0" fontId="26" fillId="11" borderId="31" xfId="0" applyFont="1" applyFill="1" applyBorder="1" applyAlignment="1">
      <alignment horizontal="center"/>
    </xf>
    <xf numFmtId="0" fontId="26" fillId="11" borderId="6" xfId="0" applyFont="1" applyFill="1" applyBorder="1" applyAlignment="1">
      <alignment horizontal="center"/>
    </xf>
    <xf numFmtId="0" fontId="22" fillId="10" borderId="23" xfId="0" applyFont="1" applyFill="1" applyBorder="1" applyAlignment="1">
      <alignment horizontal="center" vertical="center" wrapText="1"/>
    </xf>
    <xf numFmtId="0" fontId="22" fillId="10" borderId="46" xfId="0" applyFont="1" applyFill="1" applyBorder="1" applyAlignment="1">
      <alignment horizontal="center" vertical="center" wrapText="1"/>
    </xf>
    <xf numFmtId="0" fontId="22" fillId="10" borderId="24" xfId="0" applyFont="1" applyFill="1" applyBorder="1" applyAlignment="1">
      <alignment horizontal="center" vertical="center" wrapText="1"/>
    </xf>
    <xf numFmtId="0" fontId="1" fillId="11" borderId="0" xfId="0" applyFont="1" applyFill="1" applyAlignment="1">
      <alignment horizontal="center"/>
    </xf>
  </cellXfs>
  <cellStyles count="33">
    <cellStyle name="Comma 2" xfId="3" xr:uid="{00000000-0005-0000-0000-000000000000}"/>
    <cellStyle name="Comma 2 2" xfId="4" xr:uid="{00000000-0005-0000-0000-000001000000}"/>
    <cellStyle name="Comma 2 2 2" xfId="17" xr:uid="{00000000-0005-0000-0000-000002000000}"/>
    <cellStyle name="Comma 2 2 2 2" xfId="28" xr:uid="{00000000-0005-0000-0000-000003000000}"/>
    <cellStyle name="Comma 2 2 3" xfId="23" xr:uid="{00000000-0005-0000-0000-000004000000}"/>
    <cellStyle name="Comma 2 3" xfId="5" xr:uid="{00000000-0005-0000-0000-000005000000}"/>
    <cellStyle name="Comma 3" xfId="6" xr:uid="{00000000-0005-0000-0000-000006000000}"/>
    <cellStyle name="Comma 3 2" xfId="7" xr:uid="{00000000-0005-0000-0000-000007000000}"/>
    <cellStyle name="Comma 3 2 2" xfId="19" xr:uid="{00000000-0005-0000-0000-000008000000}"/>
    <cellStyle name="Comma 3 2 2 2" xfId="30" xr:uid="{00000000-0005-0000-0000-000009000000}"/>
    <cellStyle name="Comma 3 2 3" xfId="25" xr:uid="{00000000-0005-0000-0000-00000A000000}"/>
    <cellStyle name="Comma 3 3" xfId="18" xr:uid="{00000000-0005-0000-0000-00000B000000}"/>
    <cellStyle name="Comma 3 3 2" xfId="29" xr:uid="{00000000-0005-0000-0000-00000C000000}"/>
    <cellStyle name="Comma 3 4" xfId="24" xr:uid="{00000000-0005-0000-0000-00000D000000}"/>
    <cellStyle name="Comma 4" xfId="8" xr:uid="{00000000-0005-0000-0000-00000E000000}"/>
    <cellStyle name="Comma 4 2" xfId="20" xr:uid="{00000000-0005-0000-0000-00000F000000}"/>
    <cellStyle name="Comma 4 2 2" xfId="31" xr:uid="{00000000-0005-0000-0000-000010000000}"/>
    <cellStyle name="Comma 4 3" xfId="26" xr:uid="{00000000-0005-0000-0000-000011000000}"/>
    <cellStyle name="Comma 5" xfId="2" xr:uid="{00000000-0005-0000-0000-000012000000}"/>
    <cellStyle name="Comma 5 2" xfId="16" xr:uid="{00000000-0005-0000-0000-000013000000}"/>
    <cellStyle name="Comma 5 2 2" xfId="27" xr:uid="{00000000-0005-0000-0000-000014000000}"/>
    <cellStyle name="Comma 5 3" xfId="22" xr:uid="{00000000-0005-0000-0000-000015000000}"/>
    <cellStyle name="Hyperlink" xfId="21" builtinId="8"/>
    <cellStyle name="Normal" xfId="0" builtinId="0"/>
    <cellStyle name="Normal 2" xfId="9" xr:uid="{00000000-0005-0000-0000-000018000000}"/>
    <cellStyle name="Normal 2 2" xfId="10" xr:uid="{00000000-0005-0000-0000-000019000000}"/>
    <cellStyle name="Normal 3" xfId="11" xr:uid="{00000000-0005-0000-0000-00001A000000}"/>
    <cellStyle name="Normal 4" xfId="12" xr:uid="{00000000-0005-0000-0000-00001B000000}"/>
    <cellStyle name="Normal 5" xfId="13" xr:uid="{00000000-0005-0000-0000-00001C000000}"/>
    <cellStyle name="Normal 5 2" xfId="14" xr:uid="{00000000-0005-0000-0000-00001D000000}"/>
    <cellStyle name="Normal 6" xfId="15" xr:uid="{00000000-0005-0000-0000-00001E000000}"/>
    <cellStyle name="Normal 7" xfId="1" xr:uid="{00000000-0005-0000-0000-00001F000000}"/>
    <cellStyle name="Percent" xfId="32" builtinId="5"/>
  </cellStyles>
  <dxfs count="962">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383745"/>
      </font>
      <fill>
        <patternFill>
          <bgColor rgb="FF92D050"/>
        </patternFill>
      </fill>
    </dxf>
    <dxf>
      <font>
        <color rgb="FF383745"/>
      </font>
      <fill>
        <patternFill>
          <bgColor rgb="FFFFC000"/>
        </patternFill>
      </fill>
    </dxf>
    <dxf>
      <fill>
        <patternFill>
          <bgColor rgb="FFFFC000"/>
        </patternFill>
      </fill>
    </dxf>
    <dxf>
      <font>
        <color theme="0"/>
      </font>
      <fill>
        <patternFill>
          <bgColor rgb="FFC00000"/>
        </patternFill>
      </fill>
    </dxf>
    <dxf>
      <font>
        <color rgb="FF383745"/>
      </font>
      <fill>
        <patternFill>
          <bgColor rgb="FFFFC000"/>
        </patternFill>
      </fill>
    </dxf>
    <dxf>
      <font>
        <color rgb="FF383745"/>
      </font>
      <fill>
        <patternFill>
          <bgColor rgb="FFFFC000"/>
        </patternFill>
      </fill>
    </dxf>
    <dxf>
      <font>
        <color rgb="FF383745"/>
      </font>
      <fill>
        <patternFill>
          <bgColor rgb="FFFFC000"/>
        </patternFill>
      </fill>
    </dxf>
    <dxf>
      <font>
        <color rgb="FF383745"/>
      </font>
      <fill>
        <patternFill>
          <bgColor rgb="FFFFC000"/>
        </patternFill>
      </fill>
    </dxf>
    <dxf>
      <font>
        <color theme="0"/>
      </font>
      <fill>
        <patternFill>
          <bgColor rgb="FFC00000"/>
        </patternFill>
      </fill>
    </dxf>
    <dxf>
      <font>
        <color rgb="FF383745"/>
      </font>
      <fill>
        <patternFill>
          <bgColor rgb="FF92D050"/>
        </patternFill>
      </fill>
    </dxf>
    <dxf>
      <font>
        <color theme="0"/>
      </font>
      <fill>
        <patternFill>
          <bgColor rgb="FFC00000"/>
        </patternFill>
      </fill>
    </dxf>
    <dxf>
      <fill>
        <patternFill>
          <bgColor rgb="FFFFC000"/>
        </patternFill>
      </fill>
    </dxf>
    <dxf>
      <font>
        <color theme="0"/>
      </font>
      <fill>
        <patternFill>
          <bgColor rgb="FFC00000"/>
        </patternFill>
      </fill>
    </dxf>
    <dxf>
      <font>
        <color rgb="FF383745"/>
      </font>
      <fill>
        <patternFill>
          <bgColor rgb="FFFFC000"/>
        </patternFill>
      </fill>
    </dxf>
    <dxf>
      <font>
        <color rgb="FFFFFFFF"/>
      </font>
      <fill>
        <patternFill>
          <bgColor rgb="FFC00000"/>
        </patternFill>
      </fill>
    </dxf>
    <dxf>
      <font>
        <color rgb="FF383745"/>
      </font>
      <fill>
        <patternFill>
          <bgColor rgb="FFE0DCD3"/>
        </patternFill>
      </fill>
    </dxf>
    <dxf>
      <font>
        <color rgb="FF383745"/>
      </font>
      <fill>
        <patternFill>
          <bgColor rgb="FFFFC000"/>
        </patternFill>
      </fill>
    </dxf>
    <dxf>
      <font>
        <color theme="0"/>
      </font>
      <fill>
        <patternFill>
          <bgColor rgb="FFC00000"/>
        </patternFill>
      </fill>
    </dxf>
    <dxf>
      <fill>
        <patternFill>
          <bgColor rgb="FFFFC000"/>
        </patternFill>
      </fill>
    </dxf>
    <dxf>
      <font>
        <color theme="0"/>
      </font>
      <fill>
        <patternFill>
          <bgColor rgb="FFC00000"/>
        </patternFill>
      </fill>
    </dxf>
    <dxf>
      <font>
        <color rgb="FF383745"/>
      </font>
      <fill>
        <patternFill>
          <bgColor rgb="FFFFC000"/>
        </patternFill>
      </fill>
    </dxf>
    <dxf>
      <font>
        <color theme="0"/>
      </font>
      <fill>
        <patternFill>
          <bgColor rgb="FFC00000"/>
        </patternFill>
      </fill>
    </dxf>
    <dxf>
      <font>
        <color rgb="FF383745"/>
      </font>
      <fill>
        <patternFill>
          <bgColor rgb="FFFFC000"/>
        </patternFill>
      </fill>
    </dxf>
    <dxf>
      <font>
        <color rgb="FF383745"/>
      </font>
      <fill>
        <patternFill>
          <bgColor rgb="FFFFC000"/>
        </patternFill>
      </fill>
    </dxf>
    <dxf>
      <font>
        <color rgb="FF383745"/>
      </font>
      <fill>
        <patternFill>
          <bgColor rgb="FFFFC000"/>
        </patternFill>
      </fill>
    </dxf>
    <dxf>
      <font>
        <color rgb="FF383745"/>
      </font>
      <fill>
        <patternFill>
          <bgColor rgb="FFFFC000"/>
        </patternFill>
      </fill>
    </dxf>
    <dxf>
      <fill>
        <patternFill>
          <bgColor theme="6"/>
        </patternFill>
      </fill>
    </dxf>
    <dxf>
      <font>
        <color rgb="FF383745"/>
      </font>
      <fill>
        <patternFill>
          <bgColor rgb="FF92D050"/>
        </patternFill>
      </fill>
    </dxf>
    <dxf>
      <font>
        <color rgb="FF383745"/>
      </font>
      <fill>
        <patternFill>
          <bgColor rgb="FFFFC000"/>
        </patternFill>
      </fill>
    </dxf>
    <dxf>
      <fill>
        <patternFill>
          <bgColor rgb="FFFFC000"/>
        </patternFill>
      </fill>
    </dxf>
    <dxf>
      <font>
        <color theme="0"/>
      </font>
      <fill>
        <patternFill>
          <bgColor rgb="FFC00000"/>
        </patternFill>
      </fill>
    </dxf>
    <dxf>
      <font>
        <color rgb="FF383745"/>
      </font>
      <fill>
        <patternFill>
          <bgColor rgb="FFE0DCD3"/>
        </patternFill>
      </fill>
    </dxf>
    <dxf>
      <font>
        <color theme="0"/>
      </font>
      <fill>
        <patternFill>
          <bgColor rgb="FFC00000"/>
        </patternFill>
      </fill>
    </dxf>
    <dxf>
      <font>
        <color rgb="FF383745"/>
      </font>
      <fill>
        <patternFill>
          <bgColor rgb="FFFFC000"/>
        </patternFill>
      </fill>
    </dxf>
    <dxf>
      <font>
        <color rgb="FF383745"/>
      </font>
      <fill>
        <patternFill>
          <bgColor rgb="FF92D050"/>
        </patternFill>
      </fill>
    </dxf>
    <dxf>
      <font>
        <color theme="0"/>
      </font>
      <fill>
        <patternFill>
          <bgColor rgb="FFC00000"/>
        </patternFill>
      </fill>
    </dxf>
    <dxf>
      <fill>
        <patternFill>
          <bgColor rgb="FFFFC000"/>
        </patternFill>
      </fill>
    </dxf>
    <dxf>
      <font>
        <color rgb="FF383745"/>
      </font>
      <fill>
        <patternFill>
          <bgColor rgb="FFFFC000"/>
        </patternFill>
      </fill>
    </dxf>
    <dxf>
      <font>
        <color theme="0"/>
      </font>
      <fill>
        <patternFill>
          <bgColor rgb="FFC00000"/>
        </patternFill>
      </fill>
    </dxf>
    <dxf>
      <font>
        <color rgb="FF383745"/>
      </font>
      <fill>
        <patternFill>
          <bgColor rgb="FFFFC000"/>
        </patternFill>
      </fill>
    </dxf>
    <dxf>
      <font>
        <color theme="0"/>
      </font>
      <fill>
        <patternFill>
          <bgColor rgb="FFC00000"/>
        </patternFill>
      </fill>
    </dxf>
    <dxf>
      <fill>
        <patternFill>
          <bgColor rgb="FFFFC000"/>
        </patternFill>
      </fill>
    </dxf>
    <dxf>
      <fill>
        <patternFill>
          <bgColor rgb="FFFFC000"/>
        </patternFill>
      </fill>
    </dxf>
    <dxf>
      <font>
        <color rgb="FF383745"/>
      </font>
      <fill>
        <patternFill>
          <bgColor rgb="FFFFC000"/>
        </patternFill>
      </fill>
    </dxf>
    <dxf>
      <font>
        <color theme="0"/>
      </font>
      <fill>
        <patternFill>
          <bgColor rgb="FFC00000"/>
        </patternFill>
      </fill>
    </dxf>
    <dxf>
      <font>
        <color rgb="FF383745"/>
      </font>
      <fill>
        <patternFill>
          <bgColor rgb="FFFFC000"/>
        </patternFill>
      </fill>
    </dxf>
    <dxf>
      <fill>
        <patternFill>
          <bgColor rgb="FFFFC000"/>
        </patternFill>
      </fill>
    </dxf>
    <dxf>
      <font>
        <color theme="0"/>
      </font>
      <fill>
        <patternFill>
          <bgColor rgb="FFC00000"/>
        </patternFill>
      </fill>
    </dxf>
    <dxf>
      <font>
        <color theme="0"/>
      </font>
      <fill>
        <patternFill>
          <bgColor rgb="FFC00000"/>
        </patternFill>
      </fill>
    </dxf>
    <dxf>
      <font>
        <color theme="0"/>
      </font>
      <fill>
        <patternFill>
          <bgColor rgb="FFC00000"/>
        </patternFill>
      </fill>
    </dxf>
    <dxf>
      <font>
        <color rgb="FF383745"/>
      </font>
      <fill>
        <patternFill>
          <bgColor rgb="FF92D050"/>
        </patternFill>
      </fill>
    </dxf>
    <dxf>
      <font>
        <color rgb="FF383745"/>
      </font>
      <fill>
        <patternFill>
          <bgColor rgb="FFFFC000"/>
        </patternFill>
      </fill>
    </dxf>
    <dxf>
      <fill>
        <patternFill>
          <bgColor rgb="FFFFC000"/>
        </patternFill>
      </fill>
    </dxf>
    <dxf>
      <font>
        <color theme="0"/>
      </font>
      <fill>
        <patternFill>
          <bgColor rgb="FFC00000"/>
        </patternFill>
      </fill>
    </dxf>
    <dxf>
      <font>
        <color theme="0"/>
      </font>
      <fill>
        <patternFill>
          <bgColor rgb="FFC00000"/>
        </patternFill>
      </fill>
    </dxf>
    <dxf>
      <font>
        <color theme="0"/>
      </font>
      <fill>
        <patternFill>
          <bgColor rgb="FFC00000"/>
        </patternFill>
      </fill>
    </dxf>
    <dxf>
      <fill>
        <patternFill>
          <bgColor theme="5" tint="0.59996337778862885"/>
        </patternFill>
      </fill>
    </dxf>
    <dxf>
      <fill>
        <patternFill>
          <bgColor rgb="FFFF0000"/>
        </patternFill>
      </fill>
    </dxf>
    <dxf>
      <fill>
        <patternFill>
          <bgColor theme="5" tint="0.59996337778862885"/>
        </patternFill>
      </fill>
    </dxf>
    <dxf>
      <fill>
        <patternFill>
          <bgColor theme="5" tint="0.59996337778862885"/>
        </patternFill>
      </fill>
    </dxf>
    <dxf>
      <fill>
        <patternFill>
          <bgColor rgb="FFFF0000"/>
        </patternFill>
      </fill>
    </dxf>
    <dxf>
      <fill>
        <patternFill>
          <bgColor theme="5" tint="0.59996337778862885"/>
        </patternFill>
      </fill>
    </dxf>
    <dxf>
      <fill>
        <patternFill>
          <bgColor theme="5" tint="0.59996337778862885"/>
        </patternFill>
      </fill>
    </dxf>
    <dxf>
      <fill>
        <patternFill>
          <bgColor rgb="FFFF0000"/>
        </patternFill>
      </fill>
    </dxf>
    <dxf>
      <fill>
        <patternFill>
          <bgColor theme="5" tint="0.59996337778862885"/>
        </patternFill>
      </fill>
    </dxf>
    <dxf>
      <fill>
        <patternFill>
          <bgColor theme="5" tint="0.59996337778862885"/>
        </patternFill>
      </fill>
    </dxf>
    <dxf>
      <fill>
        <patternFill>
          <bgColor rgb="FFFF0000"/>
        </patternFill>
      </fill>
    </dxf>
    <dxf>
      <fill>
        <patternFill>
          <bgColor theme="5" tint="0.59996337778862885"/>
        </patternFill>
      </fill>
    </dxf>
    <dxf>
      <fill>
        <patternFill>
          <bgColor theme="5" tint="0.59996337778862885"/>
        </patternFill>
      </fill>
    </dxf>
    <dxf>
      <fill>
        <patternFill>
          <bgColor rgb="FFFF0000"/>
        </patternFill>
      </fill>
    </dxf>
    <dxf>
      <fill>
        <patternFill>
          <bgColor theme="5" tint="0.59996337778862885"/>
        </patternFill>
      </fill>
    </dxf>
    <dxf>
      <fill>
        <patternFill>
          <bgColor theme="5" tint="0.59996337778862885"/>
        </patternFill>
      </fill>
    </dxf>
    <dxf>
      <fill>
        <patternFill>
          <bgColor rgb="FFFF0000"/>
        </patternFill>
      </fill>
    </dxf>
    <dxf>
      <fill>
        <patternFill>
          <bgColor theme="5" tint="0.59996337778862885"/>
        </patternFill>
      </fill>
    </dxf>
    <dxf>
      <fill>
        <patternFill>
          <bgColor theme="5" tint="0.59996337778862885"/>
        </patternFill>
      </fill>
    </dxf>
    <dxf>
      <font>
        <color theme="0"/>
      </font>
      <fill>
        <patternFill>
          <bgColor rgb="FFC00000"/>
        </patternFill>
      </fill>
    </dxf>
    <dxf>
      <font>
        <color theme="0"/>
      </font>
      <fill>
        <patternFill>
          <bgColor rgb="FFC00000"/>
        </patternFill>
      </fill>
    </dxf>
    <dxf>
      <font>
        <color theme="0"/>
      </font>
      <fill>
        <patternFill>
          <bgColor rgb="FFC00000"/>
        </patternFill>
      </fill>
    </dxf>
    <dxf>
      <font>
        <color theme="0"/>
      </font>
      <fill>
        <patternFill>
          <bgColor rgb="FFC00000"/>
        </patternFill>
      </fill>
    </dxf>
    <dxf>
      <fill>
        <patternFill>
          <bgColor rgb="FFFFC000"/>
        </patternFill>
      </fill>
    </dxf>
    <dxf>
      <fill>
        <patternFill>
          <bgColor rgb="FFFFC000"/>
        </patternFill>
      </fill>
    </dxf>
    <dxf>
      <font>
        <color theme="0"/>
      </font>
      <fill>
        <patternFill>
          <bgColor rgb="FFC00000"/>
        </patternFill>
      </fill>
    </dxf>
    <dxf>
      <fill>
        <patternFill>
          <bgColor rgb="FF92D050"/>
        </patternFill>
      </fill>
    </dxf>
    <dxf>
      <font>
        <color theme="0"/>
      </font>
      <fill>
        <patternFill>
          <bgColor rgb="FFC00000"/>
        </patternFill>
      </fill>
    </dxf>
    <dxf>
      <font>
        <color auto="1"/>
      </font>
      <fill>
        <patternFill>
          <bgColor rgb="FF92D050"/>
        </patternFill>
      </fill>
    </dxf>
    <dxf>
      <font>
        <color theme="0"/>
      </font>
      <fill>
        <patternFill>
          <bgColor rgb="FFC00000"/>
        </patternFill>
      </fill>
    </dxf>
    <dxf>
      <font>
        <color rgb="FF383745"/>
      </font>
      <fill>
        <patternFill>
          <bgColor rgb="FFE0DCD3"/>
        </patternFill>
      </fill>
    </dxf>
    <dxf>
      <font>
        <color theme="0"/>
      </font>
      <fill>
        <patternFill>
          <bgColor rgb="FFC00000"/>
        </patternFill>
      </fill>
    </dxf>
    <dxf>
      <font>
        <color theme="0"/>
      </font>
      <fill>
        <patternFill>
          <bgColor rgb="FFC00000"/>
        </patternFill>
      </fill>
    </dxf>
    <dxf>
      <font>
        <color theme="0"/>
      </font>
      <fill>
        <patternFill>
          <bgColor rgb="FFC00000"/>
        </patternFill>
      </fill>
    </dxf>
    <dxf>
      <fill>
        <patternFill>
          <bgColor rgb="FFFFC000"/>
        </patternFill>
      </fill>
    </dxf>
    <dxf>
      <font>
        <color theme="0"/>
      </font>
      <fill>
        <patternFill>
          <bgColor rgb="FFC00000"/>
        </patternFill>
      </fill>
    </dxf>
    <dxf>
      <font>
        <color rgb="FF383745"/>
      </font>
      <fill>
        <patternFill>
          <bgColor rgb="FFFFC000"/>
        </patternFill>
      </fill>
    </dxf>
    <dxf>
      <font>
        <color theme="0"/>
      </font>
      <fill>
        <patternFill>
          <bgColor rgb="FFC00000"/>
        </patternFill>
      </fill>
    </dxf>
    <dxf>
      <font>
        <color theme="0"/>
      </font>
      <fill>
        <patternFill>
          <bgColor rgb="FFC00000"/>
        </patternFill>
      </fill>
    </dxf>
    <dxf>
      <font>
        <color rgb="FF383745"/>
      </font>
      <fill>
        <patternFill>
          <bgColor rgb="FF92D050"/>
        </patternFill>
      </fill>
    </dxf>
    <dxf>
      <font>
        <color theme="0"/>
      </font>
      <fill>
        <patternFill>
          <bgColor rgb="FFC00000"/>
        </patternFill>
      </fill>
    </dxf>
    <dxf>
      <fill>
        <patternFill>
          <bgColor rgb="FFFFC000"/>
        </patternFill>
      </fill>
    </dxf>
    <dxf>
      <font>
        <color rgb="FF383745"/>
      </font>
      <fill>
        <patternFill>
          <bgColor rgb="FFFFC000"/>
        </patternFill>
      </fill>
    </dxf>
    <dxf>
      <font>
        <color theme="0"/>
      </font>
      <fill>
        <patternFill>
          <bgColor rgb="FFC00000"/>
        </patternFill>
      </fill>
    </dxf>
    <dxf>
      <font>
        <color rgb="FF383745"/>
      </font>
      <fill>
        <patternFill>
          <bgColor rgb="FFFFC000"/>
        </patternFill>
      </fill>
    </dxf>
    <dxf>
      <font>
        <color theme="0"/>
      </font>
      <fill>
        <patternFill>
          <bgColor rgb="FFC00000"/>
        </patternFill>
      </fill>
    </dxf>
    <dxf>
      <fill>
        <patternFill>
          <bgColor rgb="FFFFC000"/>
        </patternFill>
      </fill>
    </dxf>
    <dxf>
      <font>
        <color theme="0"/>
      </font>
      <fill>
        <patternFill>
          <bgColor rgb="FFC00000"/>
        </patternFill>
      </fill>
    </dxf>
    <dxf>
      <font>
        <color rgb="FF383745"/>
      </font>
      <fill>
        <patternFill>
          <bgColor rgb="FFFFC000"/>
        </patternFill>
      </fill>
    </dxf>
    <dxf>
      <font>
        <color theme="0"/>
      </font>
      <fill>
        <patternFill>
          <bgColor rgb="FFC00000"/>
        </patternFill>
      </fill>
    </dxf>
    <dxf>
      <fill>
        <patternFill>
          <bgColor rgb="FFFFC000"/>
        </patternFill>
      </fill>
    </dxf>
    <dxf>
      <fill>
        <patternFill>
          <bgColor theme="6"/>
        </patternFill>
      </fill>
    </dxf>
    <dxf>
      <font>
        <color auto="1"/>
      </font>
      <fill>
        <patternFill>
          <bgColor theme="6" tint="-0.24994659260841701"/>
        </patternFill>
      </fill>
    </dxf>
    <dxf>
      <font>
        <color rgb="FF383745"/>
      </font>
      <fill>
        <patternFill>
          <bgColor rgb="FF92D050"/>
        </patternFill>
      </fill>
    </dxf>
    <dxf>
      <font>
        <color rgb="FF383745"/>
      </font>
      <fill>
        <patternFill>
          <bgColor rgb="FFFFC000"/>
        </patternFill>
      </fill>
    </dxf>
    <dxf>
      <fill>
        <patternFill>
          <bgColor rgb="FFFFC000"/>
        </patternFill>
      </fill>
    </dxf>
    <dxf>
      <font>
        <color theme="0"/>
      </font>
      <fill>
        <patternFill>
          <bgColor rgb="FFC00000"/>
        </patternFill>
      </fill>
    </dxf>
    <dxf>
      <font>
        <color rgb="FF383745"/>
      </font>
      <fill>
        <patternFill>
          <bgColor rgb="FF92D050"/>
        </patternFill>
      </fill>
    </dxf>
    <dxf>
      <font>
        <color theme="0"/>
      </font>
      <fill>
        <patternFill>
          <bgColor rgb="FFC00000"/>
        </patternFill>
      </fill>
    </dxf>
    <dxf>
      <fill>
        <patternFill>
          <bgColor rgb="FFFFC000"/>
        </patternFill>
      </fill>
    </dxf>
    <dxf>
      <font>
        <color theme="0"/>
      </font>
      <fill>
        <patternFill>
          <bgColor rgb="FFC00000"/>
        </patternFill>
      </fill>
    </dxf>
    <dxf>
      <font>
        <color theme="0"/>
      </font>
      <fill>
        <patternFill>
          <bgColor rgb="FFC00000"/>
        </patternFill>
      </fill>
    </dxf>
    <dxf>
      <font>
        <color rgb="FF383745"/>
      </font>
      <fill>
        <patternFill>
          <bgColor rgb="FFFFC000"/>
        </patternFill>
      </fill>
    </dxf>
    <dxf>
      <font>
        <color rgb="FF383745"/>
      </font>
      <fill>
        <patternFill>
          <bgColor rgb="FFE0DCD3"/>
        </patternFill>
      </fill>
    </dxf>
    <dxf>
      <font>
        <color rgb="FF383745"/>
      </font>
      <fill>
        <patternFill>
          <bgColor rgb="FFFFC000"/>
        </patternFill>
      </fill>
    </dxf>
    <dxf>
      <font>
        <color theme="0"/>
      </font>
      <fill>
        <patternFill>
          <bgColor rgb="FFC00000"/>
        </patternFill>
      </fill>
    </dxf>
    <dxf>
      <fill>
        <patternFill>
          <bgColor rgb="FFFFC000"/>
        </patternFill>
      </fill>
    </dxf>
    <dxf>
      <fill>
        <patternFill>
          <bgColor rgb="FFFFC000"/>
        </patternFill>
      </fill>
    </dxf>
    <dxf>
      <fill>
        <patternFill>
          <bgColor rgb="FFFFC000"/>
        </patternFill>
      </fill>
    </dxf>
    <dxf>
      <font>
        <color theme="0"/>
      </font>
      <fill>
        <patternFill>
          <bgColor rgb="FFC00000"/>
        </patternFill>
      </fill>
    </dxf>
    <dxf>
      <font>
        <color rgb="FF383745"/>
      </font>
      <fill>
        <patternFill>
          <bgColor rgb="FFFFC000"/>
        </patternFill>
      </fill>
    </dxf>
    <dxf>
      <font>
        <color theme="0"/>
      </font>
      <fill>
        <patternFill>
          <bgColor rgb="FFC00000"/>
        </patternFill>
      </fill>
    </dxf>
    <dxf>
      <font>
        <color rgb="FF383745"/>
      </font>
      <fill>
        <patternFill>
          <bgColor rgb="FFFFC000"/>
        </patternFill>
      </fill>
    </dxf>
    <dxf>
      <fill>
        <patternFill>
          <bgColor rgb="FFFFC000"/>
        </patternFill>
      </fill>
    </dxf>
    <dxf>
      <font>
        <color theme="0"/>
      </font>
      <fill>
        <patternFill>
          <bgColor rgb="FFC00000"/>
        </patternFill>
      </fill>
    </dxf>
    <dxf>
      <font>
        <color rgb="FF383745"/>
      </font>
      <fill>
        <patternFill>
          <bgColor rgb="FFFFC000"/>
        </patternFill>
      </fill>
    </dxf>
    <dxf>
      <fill>
        <patternFill>
          <bgColor theme="6"/>
        </patternFill>
      </fill>
    </dxf>
    <dxf>
      <font>
        <color rgb="FF383745"/>
      </font>
      <fill>
        <patternFill>
          <bgColor rgb="FF92D050"/>
        </patternFill>
      </fill>
    </dxf>
    <dxf>
      <font>
        <color rgb="FF383745"/>
      </font>
      <fill>
        <patternFill>
          <bgColor rgb="FFFFC000"/>
        </patternFill>
      </fill>
    </dxf>
    <dxf>
      <fill>
        <patternFill>
          <bgColor rgb="FFFFC000"/>
        </patternFill>
      </fill>
    </dxf>
    <dxf>
      <font>
        <color theme="0"/>
      </font>
      <fill>
        <patternFill>
          <bgColor rgb="FFC00000"/>
        </patternFill>
      </fill>
    </dxf>
    <dxf>
      <font>
        <color rgb="FF383745"/>
      </font>
      <fill>
        <patternFill>
          <bgColor rgb="FFE0DCD3"/>
        </patternFill>
      </fill>
    </dxf>
    <dxf>
      <font>
        <color rgb="FF383745"/>
      </font>
      <fill>
        <patternFill>
          <bgColor rgb="FF92D050"/>
        </patternFill>
      </fill>
    </dxf>
    <dxf>
      <font>
        <color theme="0"/>
      </font>
      <fill>
        <patternFill>
          <bgColor rgb="FFC00000"/>
        </patternFill>
      </fill>
    </dxf>
    <dxf>
      <fill>
        <patternFill>
          <bgColor rgb="FFFFC000"/>
        </patternFill>
      </fill>
    </dxf>
    <dxf>
      <fill>
        <patternFill>
          <bgColor rgb="FFFF0000"/>
        </patternFill>
      </fill>
    </dxf>
    <dxf>
      <font>
        <color rgb="FF383745"/>
      </font>
      <fill>
        <patternFill>
          <bgColor rgb="FFFFC000"/>
        </patternFill>
      </fill>
    </dxf>
    <dxf>
      <font>
        <color theme="0"/>
      </font>
      <fill>
        <patternFill>
          <bgColor rgb="FFC00000"/>
        </patternFill>
      </fill>
    </dxf>
    <dxf>
      <font>
        <color rgb="FF383745"/>
      </font>
      <fill>
        <patternFill>
          <bgColor rgb="FFFFC000"/>
        </patternFill>
      </fill>
    </dxf>
    <dxf>
      <font>
        <color theme="0"/>
      </font>
      <fill>
        <patternFill>
          <bgColor rgb="FFC00000"/>
        </patternFill>
      </fill>
    </dxf>
    <dxf>
      <fill>
        <patternFill>
          <bgColor rgb="FFFFC000"/>
        </patternFill>
      </fill>
    </dxf>
    <dxf>
      <font>
        <color theme="0"/>
      </font>
      <fill>
        <patternFill>
          <bgColor rgb="FFC00000"/>
        </patternFill>
      </fill>
    </dxf>
    <dxf>
      <fill>
        <patternFill>
          <bgColor rgb="FFFFC000"/>
        </patternFill>
      </fill>
    </dxf>
    <dxf>
      <fill>
        <patternFill>
          <bgColor rgb="FFFFC000"/>
        </patternFill>
      </fill>
    </dxf>
    <dxf>
      <font>
        <color rgb="FF383745"/>
      </font>
      <fill>
        <patternFill>
          <bgColor rgb="FFFFC000"/>
        </patternFill>
      </fill>
    </dxf>
    <dxf>
      <font>
        <color rgb="FF383745"/>
      </font>
      <fill>
        <patternFill>
          <bgColor rgb="FFFFC000"/>
        </patternFill>
      </fill>
    </dxf>
    <dxf>
      <font>
        <color theme="0"/>
      </font>
      <fill>
        <patternFill>
          <bgColor rgb="FFC00000"/>
        </patternFill>
      </fill>
    </dxf>
    <dxf>
      <font>
        <color theme="0"/>
      </font>
      <fill>
        <patternFill>
          <bgColor rgb="FFC00000"/>
        </patternFill>
      </fill>
    </dxf>
    <dxf>
      <font>
        <color rgb="FF383745"/>
      </font>
      <fill>
        <patternFill>
          <bgColor rgb="FFFFC000"/>
        </patternFill>
      </fill>
    </dxf>
    <dxf>
      <font>
        <color rgb="FF383745"/>
      </font>
      <fill>
        <patternFill>
          <bgColor rgb="FFFFC000"/>
        </patternFill>
      </fill>
    </dxf>
    <dxf>
      <fill>
        <patternFill>
          <bgColor rgb="FFFFC000"/>
        </patternFill>
      </fill>
    </dxf>
    <dxf>
      <font>
        <color theme="0"/>
      </font>
      <fill>
        <patternFill>
          <bgColor rgb="FFC00000"/>
        </patternFill>
      </fill>
    </dxf>
    <dxf>
      <font>
        <color theme="0"/>
      </font>
      <fill>
        <patternFill>
          <bgColor rgb="FFC00000"/>
        </patternFill>
      </fill>
    </dxf>
    <dxf>
      <font>
        <color rgb="FF383745"/>
      </font>
      <fill>
        <patternFill>
          <bgColor rgb="FFFFC000"/>
        </patternFill>
      </fill>
    </dxf>
    <dxf>
      <fill>
        <patternFill>
          <bgColor rgb="FFFFC000"/>
        </patternFill>
      </fill>
    </dxf>
    <dxf>
      <fill>
        <patternFill>
          <bgColor theme="5" tint="0.59996337778862885"/>
        </patternFill>
      </fill>
    </dxf>
    <dxf>
      <fill>
        <patternFill>
          <bgColor rgb="FFFF0000"/>
        </patternFill>
      </fill>
    </dxf>
    <dxf>
      <fill>
        <patternFill>
          <bgColor theme="5" tint="0.59996337778862885"/>
        </patternFill>
      </fill>
    </dxf>
    <dxf>
      <fill>
        <patternFill>
          <bgColor theme="5" tint="0.59996337778862885"/>
        </patternFill>
      </fill>
    </dxf>
    <dxf>
      <fill>
        <patternFill>
          <bgColor rgb="FFFF0000"/>
        </patternFill>
      </fill>
    </dxf>
    <dxf>
      <fill>
        <patternFill>
          <bgColor theme="5" tint="0.59996337778862885"/>
        </patternFill>
      </fill>
    </dxf>
    <dxf>
      <fill>
        <patternFill>
          <bgColor theme="5" tint="0.59996337778862885"/>
        </patternFill>
      </fill>
    </dxf>
    <dxf>
      <fill>
        <patternFill>
          <bgColor rgb="FFFF0000"/>
        </patternFill>
      </fill>
    </dxf>
    <dxf>
      <fill>
        <patternFill>
          <bgColor theme="5" tint="0.59996337778862885"/>
        </patternFill>
      </fill>
    </dxf>
    <dxf>
      <fill>
        <patternFill>
          <bgColor theme="5" tint="0.59996337778862885"/>
        </patternFill>
      </fill>
    </dxf>
    <dxf>
      <fill>
        <patternFill>
          <bgColor rgb="FFFF0000"/>
        </patternFill>
      </fill>
    </dxf>
    <dxf>
      <fill>
        <patternFill>
          <bgColor theme="5" tint="0.59996337778862885"/>
        </patternFill>
      </fill>
    </dxf>
    <dxf>
      <fill>
        <patternFill>
          <bgColor theme="5" tint="0.59996337778862885"/>
        </patternFill>
      </fill>
    </dxf>
    <dxf>
      <fill>
        <patternFill>
          <bgColor rgb="FFFF0000"/>
        </patternFill>
      </fill>
    </dxf>
    <dxf>
      <fill>
        <patternFill>
          <bgColor theme="5" tint="0.59996337778862885"/>
        </patternFill>
      </fill>
    </dxf>
    <dxf>
      <fill>
        <patternFill>
          <bgColor theme="5" tint="0.59996337778862885"/>
        </patternFill>
      </fill>
    </dxf>
    <dxf>
      <fill>
        <patternFill>
          <bgColor rgb="FFFF0000"/>
        </patternFill>
      </fill>
    </dxf>
    <dxf>
      <fill>
        <patternFill>
          <bgColor theme="5" tint="0.59996337778862885"/>
        </patternFill>
      </fill>
    </dxf>
    <dxf>
      <fill>
        <patternFill>
          <bgColor theme="5" tint="0.59996337778862885"/>
        </patternFill>
      </fill>
    </dxf>
    <dxf>
      <font>
        <color theme="0"/>
      </font>
      <fill>
        <patternFill>
          <bgColor rgb="FFC00000"/>
        </patternFill>
      </fill>
    </dxf>
    <dxf>
      <font>
        <color theme="0"/>
      </font>
      <fill>
        <patternFill>
          <bgColor rgb="FFC00000"/>
        </patternFill>
      </fill>
    </dxf>
    <dxf>
      <font>
        <color theme="0"/>
      </font>
      <fill>
        <patternFill>
          <bgColor rgb="FFC00000"/>
        </patternFill>
      </fill>
    </dxf>
    <dxf>
      <fill>
        <patternFill>
          <bgColor rgb="FFFFC000"/>
        </patternFill>
      </fill>
    </dxf>
    <dxf>
      <fill>
        <patternFill>
          <bgColor rgb="FFFFC000"/>
        </patternFill>
      </fill>
    </dxf>
    <dxf>
      <fill>
        <patternFill>
          <bgColor rgb="FF92D050"/>
        </patternFill>
      </fill>
    </dxf>
    <dxf>
      <font>
        <color theme="0"/>
      </font>
      <fill>
        <patternFill>
          <bgColor rgb="FFC00000"/>
        </patternFill>
      </fill>
    </dxf>
    <dxf>
      <font>
        <color theme="0"/>
      </font>
      <fill>
        <patternFill>
          <bgColor rgb="FFC00000"/>
        </patternFill>
      </fill>
    </dxf>
    <dxf>
      <fill>
        <patternFill>
          <bgColor rgb="FF92D050"/>
        </patternFill>
      </fill>
    </dxf>
    <dxf>
      <font>
        <color rgb="FF383745"/>
      </font>
      <fill>
        <patternFill>
          <bgColor rgb="FF92D050"/>
        </patternFill>
      </fill>
    </dxf>
    <dxf>
      <font>
        <color theme="0"/>
      </font>
      <fill>
        <patternFill>
          <bgColor rgb="FFC00000"/>
        </patternFill>
      </fill>
    </dxf>
    <dxf>
      <font>
        <color rgb="FF383745"/>
      </font>
      <fill>
        <patternFill>
          <bgColor rgb="FFE0DCD3"/>
        </patternFill>
      </fill>
    </dxf>
    <dxf>
      <font>
        <color theme="0"/>
      </font>
      <fill>
        <patternFill>
          <bgColor rgb="FFC00000"/>
        </patternFill>
      </fill>
    </dxf>
    <dxf>
      <font>
        <color theme="0"/>
      </font>
      <fill>
        <patternFill>
          <bgColor rgb="FFC00000"/>
        </patternFill>
      </fill>
    </dxf>
    <dxf>
      <font>
        <color theme="0"/>
      </font>
      <fill>
        <patternFill>
          <bgColor rgb="FFC00000"/>
        </patternFill>
      </fill>
    </dxf>
    <dxf>
      <fill>
        <patternFill>
          <bgColor rgb="FF92D050"/>
        </patternFill>
      </fill>
    </dxf>
    <dxf>
      <font>
        <color theme="0"/>
      </font>
      <fill>
        <patternFill>
          <bgColor rgb="FFC00000"/>
        </patternFill>
      </fill>
    </dxf>
    <dxf>
      <fill>
        <patternFill>
          <bgColor rgb="FFFFC000"/>
        </patternFill>
      </fill>
    </dxf>
    <dxf>
      <font>
        <color rgb="FF383745"/>
      </font>
      <fill>
        <patternFill>
          <bgColor rgb="FFFFC000"/>
        </patternFill>
      </fill>
    </dxf>
    <dxf>
      <font>
        <color theme="0"/>
      </font>
      <fill>
        <patternFill>
          <bgColor rgb="FFC00000"/>
        </patternFill>
      </fill>
    </dxf>
    <dxf>
      <font>
        <color rgb="FF383745"/>
      </font>
      <fill>
        <patternFill>
          <bgColor rgb="FFFFC000"/>
        </patternFill>
      </fill>
    </dxf>
    <dxf>
      <font>
        <color theme="0"/>
      </font>
      <fill>
        <patternFill>
          <bgColor rgb="FFC00000"/>
        </patternFill>
      </fill>
    </dxf>
    <dxf>
      <fill>
        <patternFill>
          <bgColor rgb="FFFFC000"/>
        </patternFill>
      </fill>
    </dxf>
    <dxf>
      <font>
        <color theme="0"/>
      </font>
      <fill>
        <patternFill>
          <bgColor rgb="FFC00000"/>
        </patternFill>
      </fill>
    </dxf>
    <dxf>
      <font>
        <color rgb="FF383745"/>
      </font>
      <fill>
        <patternFill>
          <bgColor rgb="FFFFC000"/>
        </patternFill>
      </fill>
    </dxf>
    <dxf>
      <font>
        <color theme="0"/>
      </font>
      <fill>
        <patternFill>
          <bgColor rgb="FFC00000"/>
        </patternFill>
      </fill>
    </dxf>
    <dxf>
      <fill>
        <patternFill>
          <bgColor rgb="FFFFC000"/>
        </patternFill>
      </fill>
    </dxf>
    <dxf>
      <fill>
        <patternFill>
          <bgColor rgb="FFFFC000"/>
        </patternFill>
      </fill>
    </dxf>
    <dxf>
      <fill>
        <patternFill>
          <bgColor theme="6"/>
        </patternFill>
      </fill>
    </dxf>
    <dxf>
      <font>
        <color auto="1"/>
      </font>
      <fill>
        <patternFill>
          <bgColor theme="6" tint="-0.24994659260841701"/>
        </patternFill>
      </fill>
    </dxf>
    <dxf>
      <font>
        <color rgb="FF383745"/>
      </font>
      <fill>
        <patternFill>
          <bgColor rgb="FFFFC000"/>
        </patternFill>
      </fill>
    </dxf>
    <dxf>
      <fill>
        <patternFill>
          <bgColor rgb="FFFFC000"/>
        </patternFill>
      </fill>
    </dxf>
    <dxf>
      <font>
        <color theme="0"/>
      </font>
      <fill>
        <patternFill>
          <bgColor rgb="FFC00000"/>
        </patternFill>
      </fill>
    </dxf>
    <dxf>
      <font>
        <color rgb="FF383745"/>
      </font>
      <fill>
        <patternFill>
          <bgColor rgb="FFFFC000"/>
        </patternFill>
      </fill>
    </dxf>
    <dxf>
      <font>
        <color rgb="FF383745"/>
      </font>
      <fill>
        <patternFill>
          <bgColor rgb="FFFFC000"/>
        </patternFill>
      </fill>
    </dxf>
    <dxf>
      <font>
        <color rgb="FF383745"/>
      </font>
      <fill>
        <patternFill>
          <bgColor rgb="FFFFC000"/>
        </patternFill>
      </fill>
    </dxf>
    <dxf>
      <font>
        <color rgb="FF383745"/>
      </font>
      <fill>
        <patternFill>
          <bgColor rgb="FFFFC000"/>
        </patternFill>
      </fill>
    </dxf>
    <dxf>
      <font>
        <color theme="0"/>
      </font>
      <fill>
        <patternFill>
          <bgColor rgb="FFC00000"/>
        </patternFill>
      </fill>
    </dxf>
    <dxf>
      <font>
        <color rgb="FF383745"/>
      </font>
      <fill>
        <patternFill>
          <bgColor rgb="FF92D050"/>
        </patternFill>
      </fill>
    </dxf>
    <dxf>
      <font>
        <color theme="0"/>
      </font>
      <fill>
        <patternFill>
          <bgColor rgb="FFC00000"/>
        </patternFill>
      </fill>
    </dxf>
    <dxf>
      <font>
        <color rgb="FFFFFFFF"/>
      </font>
      <fill>
        <patternFill>
          <bgColor rgb="FFC00000"/>
        </patternFill>
      </fill>
    </dxf>
    <dxf>
      <font>
        <color rgb="FF383745"/>
      </font>
      <fill>
        <patternFill>
          <bgColor rgb="FF92D050"/>
        </patternFill>
      </fill>
    </dxf>
    <dxf>
      <font>
        <color rgb="FF383745"/>
      </font>
      <fill>
        <patternFill>
          <bgColor rgb="FFFFC000"/>
        </patternFill>
      </fill>
    </dxf>
    <dxf>
      <font>
        <color rgb="FFFFFFFF"/>
      </font>
      <fill>
        <patternFill>
          <bgColor rgb="FFC00000"/>
        </patternFill>
      </fill>
    </dxf>
    <dxf>
      <font>
        <color rgb="FF383745"/>
      </font>
      <fill>
        <patternFill>
          <bgColor rgb="FFE0DCD3"/>
        </patternFill>
      </fill>
    </dxf>
    <dxf>
      <font>
        <color rgb="FF383745"/>
      </font>
      <fill>
        <patternFill>
          <bgColor rgb="FFFFC000"/>
        </patternFill>
      </fill>
    </dxf>
    <dxf>
      <font>
        <color theme="0"/>
      </font>
      <fill>
        <patternFill>
          <bgColor rgb="FFC00000"/>
        </patternFill>
      </fill>
    </dxf>
    <dxf>
      <font>
        <color theme="0"/>
      </font>
      <fill>
        <patternFill>
          <bgColor rgb="FFC00000"/>
        </patternFill>
      </fill>
    </dxf>
    <dxf>
      <font>
        <color theme="0"/>
      </font>
      <fill>
        <patternFill>
          <bgColor rgb="FFC00000"/>
        </patternFill>
      </fill>
    </dxf>
    <dxf>
      <font>
        <color theme="0"/>
      </font>
      <fill>
        <patternFill>
          <bgColor rgb="FFC00000"/>
        </patternFill>
      </fill>
    </dxf>
    <dxf>
      <font>
        <color theme="0"/>
      </font>
      <fill>
        <patternFill>
          <bgColor rgb="FFC00000"/>
        </patternFill>
      </fill>
    </dxf>
    <dxf>
      <font>
        <color theme="0"/>
      </font>
      <fill>
        <patternFill>
          <bgColor rgb="FFC00000"/>
        </patternFill>
      </fill>
    </dxf>
    <dxf>
      <fill>
        <patternFill>
          <bgColor rgb="FFFFC000"/>
        </patternFill>
      </fill>
    </dxf>
    <dxf>
      <font>
        <color theme="0"/>
      </font>
      <fill>
        <patternFill>
          <bgColor rgb="FFC00000"/>
        </patternFill>
      </fill>
    </dxf>
    <dxf>
      <font>
        <color rgb="FF383745"/>
      </font>
      <fill>
        <patternFill>
          <bgColor rgb="FFFFC000"/>
        </patternFill>
      </fill>
    </dxf>
    <dxf>
      <font>
        <color rgb="FF383745"/>
      </font>
      <fill>
        <patternFill>
          <bgColor rgb="FFFFC000"/>
        </patternFill>
      </fill>
    </dxf>
    <dxf>
      <font>
        <color rgb="FF383745"/>
      </font>
      <fill>
        <patternFill>
          <bgColor rgb="FFFFC000"/>
        </patternFill>
      </fill>
    </dxf>
    <dxf>
      <font>
        <color rgb="FF383745"/>
      </font>
      <fill>
        <patternFill>
          <bgColor rgb="FFFFC000"/>
        </patternFill>
      </fill>
    </dxf>
    <dxf>
      <fill>
        <patternFill>
          <bgColor theme="6"/>
        </patternFill>
      </fill>
    </dxf>
    <dxf>
      <fill>
        <patternFill>
          <bgColor theme="8" tint="-0.24994659260841701"/>
        </patternFill>
      </fill>
    </dxf>
    <dxf>
      <fill>
        <patternFill>
          <bgColor theme="8" tint="0.59996337778862885"/>
        </patternFill>
      </fill>
    </dxf>
    <dxf>
      <font>
        <color rgb="FF383745"/>
      </font>
      <fill>
        <patternFill>
          <bgColor rgb="FF92D050"/>
        </patternFill>
      </fill>
    </dxf>
    <dxf>
      <font>
        <color rgb="FF383745"/>
      </font>
      <fill>
        <patternFill>
          <bgColor rgb="FFFFC000"/>
        </patternFill>
      </fill>
    </dxf>
    <dxf>
      <fill>
        <patternFill>
          <bgColor rgb="FFFFC000"/>
        </patternFill>
      </fill>
    </dxf>
    <dxf>
      <font>
        <color rgb="FF383745"/>
      </font>
      <fill>
        <patternFill>
          <bgColor rgb="FFFFC000"/>
        </patternFill>
      </fill>
    </dxf>
    <dxf>
      <font>
        <color rgb="FF383745"/>
      </font>
      <fill>
        <patternFill>
          <bgColor rgb="FFFFC000"/>
        </patternFill>
      </fill>
    </dxf>
    <dxf>
      <font>
        <color rgb="FFFFFFFF"/>
      </font>
      <fill>
        <patternFill>
          <bgColor rgb="FFC00000"/>
        </patternFill>
      </fill>
    </dxf>
    <dxf>
      <font>
        <color theme="0"/>
      </font>
      <fill>
        <patternFill>
          <bgColor rgb="FFC00000"/>
        </patternFill>
      </fill>
    </dxf>
    <dxf>
      <font>
        <color theme="0"/>
      </font>
      <fill>
        <patternFill>
          <bgColor rgb="FFC00000"/>
        </patternFill>
      </fill>
    </dxf>
    <dxf>
      <font>
        <color theme="0"/>
      </font>
      <fill>
        <patternFill>
          <bgColor rgb="FFC00000"/>
        </patternFill>
      </fill>
    </dxf>
    <dxf>
      <font>
        <color theme="0"/>
      </font>
      <fill>
        <patternFill>
          <bgColor rgb="FFC00000"/>
        </patternFill>
      </fill>
    </dxf>
    <dxf>
      <font>
        <color theme="0"/>
      </font>
      <fill>
        <patternFill>
          <bgColor rgb="FFCB0000"/>
        </patternFill>
      </fill>
    </dxf>
    <dxf>
      <font>
        <color rgb="FF383745"/>
      </font>
      <fill>
        <patternFill>
          <bgColor rgb="FF92D050"/>
        </patternFill>
      </fill>
    </dxf>
    <dxf>
      <font>
        <color theme="0"/>
      </font>
      <fill>
        <patternFill>
          <bgColor rgb="FFCB0000"/>
        </patternFill>
      </fill>
    </dxf>
    <dxf>
      <font>
        <color theme="0"/>
      </font>
      <fill>
        <patternFill>
          <bgColor rgb="FFCB0000"/>
        </patternFill>
      </fill>
    </dxf>
    <dxf>
      <font>
        <color rgb="FF383745"/>
      </font>
      <fill>
        <patternFill>
          <bgColor rgb="FFFFC000"/>
        </patternFill>
      </fill>
    </dxf>
    <dxf>
      <font>
        <color theme="0"/>
      </font>
      <fill>
        <patternFill>
          <bgColor rgb="FFCB0000"/>
        </patternFill>
      </fill>
    </dxf>
    <dxf>
      <font>
        <color rgb="FF383745"/>
      </font>
      <fill>
        <patternFill>
          <bgColor rgb="FFE0DCD3"/>
        </patternFill>
      </fill>
    </dxf>
    <dxf>
      <font>
        <color rgb="FF383745"/>
      </font>
      <fill>
        <patternFill>
          <bgColor rgb="FFFFC000"/>
        </patternFill>
      </fill>
    </dxf>
    <dxf>
      <font>
        <color theme="0"/>
      </font>
      <fill>
        <patternFill>
          <bgColor rgb="FFCB0000"/>
        </patternFill>
      </fill>
    </dxf>
    <dxf>
      <font>
        <color theme="0"/>
      </font>
      <fill>
        <patternFill>
          <bgColor rgb="FFC00000"/>
        </patternFill>
      </fill>
    </dxf>
    <dxf>
      <font>
        <color theme="0"/>
      </font>
      <fill>
        <patternFill>
          <bgColor rgb="FFC00000"/>
        </patternFill>
      </fill>
    </dxf>
    <dxf>
      <font>
        <color theme="0"/>
      </font>
      <fill>
        <patternFill>
          <bgColor rgb="FFC00000"/>
        </patternFill>
      </fill>
    </dxf>
    <dxf>
      <font>
        <color theme="0"/>
      </font>
      <fill>
        <patternFill>
          <bgColor rgb="FFC00000"/>
        </patternFill>
      </fill>
    </dxf>
    <dxf>
      <font>
        <color theme="0"/>
      </font>
      <fill>
        <patternFill>
          <bgColor rgb="FFC00000"/>
        </patternFill>
      </fill>
    </dxf>
    <dxf>
      <font>
        <color theme="0"/>
      </font>
      <fill>
        <patternFill>
          <bgColor rgb="FFC00000"/>
        </patternFill>
      </fill>
    </dxf>
    <dxf>
      <font>
        <color theme="0"/>
      </font>
      <fill>
        <patternFill>
          <bgColor rgb="FFC00000"/>
        </patternFill>
      </fill>
    </dxf>
    <dxf>
      <font>
        <color theme="0"/>
      </font>
      <fill>
        <patternFill>
          <bgColor rgb="FFC00000"/>
        </patternFill>
      </fill>
    </dxf>
    <dxf>
      <font>
        <color theme="0"/>
      </font>
      <fill>
        <patternFill>
          <bgColor rgb="FFC00000"/>
        </patternFill>
      </fill>
    </dxf>
    <dxf>
      <font>
        <color theme="0"/>
      </font>
      <fill>
        <patternFill>
          <bgColor rgb="FFC00000"/>
        </patternFill>
      </fill>
    </dxf>
    <dxf>
      <fill>
        <patternFill>
          <bgColor rgb="FFFF0000"/>
        </patternFill>
      </fill>
    </dxf>
    <dxf>
      <font>
        <color theme="0"/>
      </font>
      <fill>
        <patternFill>
          <bgColor rgb="FFC0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ont>
        <color theme="0"/>
      </font>
      <fill>
        <patternFill>
          <bgColor rgb="FFCB0000"/>
        </patternFill>
      </fill>
    </dxf>
    <dxf>
      <font>
        <color theme="0"/>
      </font>
      <fill>
        <patternFill>
          <bgColor rgb="FFC00000"/>
        </patternFill>
      </fill>
    </dxf>
    <dxf>
      <font>
        <color theme="0"/>
      </font>
      <fill>
        <patternFill>
          <bgColor rgb="FFCB0000"/>
        </patternFill>
      </fill>
    </dxf>
    <dxf>
      <fill>
        <patternFill>
          <bgColor rgb="FFFF0000"/>
        </patternFill>
      </fill>
    </dxf>
    <dxf>
      <fill>
        <patternFill>
          <bgColor rgb="FFFF0000"/>
        </patternFill>
      </fill>
    </dxf>
    <dxf>
      <font>
        <color theme="0"/>
      </font>
      <fill>
        <patternFill>
          <bgColor rgb="FFCB0000"/>
        </patternFill>
      </fill>
    </dxf>
    <dxf>
      <font>
        <color theme="0"/>
      </font>
      <fill>
        <patternFill>
          <bgColor rgb="FFCB0000"/>
        </patternFill>
      </fill>
    </dxf>
    <dxf>
      <fill>
        <patternFill>
          <bgColor rgb="FFFF0000"/>
        </patternFill>
      </fill>
    </dxf>
    <dxf>
      <fill>
        <patternFill>
          <bgColor rgb="FFFF0000"/>
        </patternFill>
      </fill>
    </dxf>
    <dxf>
      <font>
        <color rgb="FF383745"/>
      </font>
      <fill>
        <patternFill>
          <bgColor rgb="FF92D050"/>
        </patternFill>
      </fill>
    </dxf>
    <dxf>
      <font>
        <color rgb="FF383745"/>
      </font>
      <fill>
        <patternFill>
          <bgColor rgb="FFFFC000"/>
        </patternFill>
      </fill>
    </dxf>
    <dxf>
      <fill>
        <patternFill>
          <bgColor rgb="FFFFC000"/>
        </patternFill>
      </fill>
    </dxf>
    <dxf>
      <font>
        <color theme="0"/>
      </font>
      <fill>
        <patternFill>
          <bgColor rgb="FFCB0000"/>
        </patternFill>
      </fill>
    </dxf>
    <dxf>
      <font>
        <color theme="0"/>
      </font>
      <fill>
        <patternFill>
          <bgColor rgb="FFCB0000"/>
        </patternFill>
      </fill>
    </dxf>
    <dxf>
      <font>
        <color rgb="FF383745"/>
      </font>
      <fill>
        <patternFill>
          <bgColor rgb="FFE0DCD3"/>
        </patternFill>
      </fill>
    </dxf>
    <dxf>
      <font>
        <color theme="0"/>
      </font>
      <fill>
        <patternFill>
          <bgColor rgb="FFCB0000"/>
        </patternFill>
      </fill>
    </dxf>
    <dxf>
      <font>
        <color theme="0"/>
      </font>
      <fill>
        <patternFill>
          <bgColor rgb="FFC00000"/>
        </patternFill>
      </fill>
    </dxf>
    <dxf>
      <fill>
        <patternFill>
          <bgColor rgb="FFFFC000"/>
        </patternFill>
      </fill>
    </dxf>
    <dxf>
      <font>
        <color theme="0"/>
      </font>
      <fill>
        <patternFill>
          <bgColor rgb="FFC00000"/>
        </patternFill>
      </fill>
    </dxf>
    <dxf>
      <fill>
        <patternFill>
          <bgColor rgb="FFFFC000"/>
        </patternFill>
      </fill>
    </dxf>
    <dxf>
      <fill>
        <patternFill>
          <bgColor rgb="FFFFC000"/>
        </patternFill>
      </fill>
    </dxf>
    <dxf>
      <font>
        <color theme="0"/>
      </font>
      <fill>
        <patternFill>
          <bgColor rgb="FFC00000"/>
        </patternFill>
      </fill>
    </dxf>
    <dxf>
      <fill>
        <patternFill>
          <bgColor rgb="FFFFC000"/>
        </patternFill>
      </fill>
    </dxf>
    <dxf>
      <fill>
        <patternFill>
          <bgColor rgb="FFFFC000"/>
        </patternFill>
      </fill>
    </dxf>
    <dxf>
      <font>
        <color theme="0"/>
      </font>
      <fill>
        <patternFill>
          <bgColor rgb="FFCB0000"/>
        </patternFill>
      </fill>
    </dxf>
    <dxf>
      <font>
        <color rgb="FF383745"/>
      </font>
      <fill>
        <patternFill>
          <bgColor rgb="FFFFC000"/>
        </patternFill>
      </fill>
    </dxf>
    <dxf>
      <font>
        <color theme="0"/>
      </font>
      <fill>
        <patternFill>
          <bgColor rgb="FFCB0000"/>
        </patternFill>
      </fill>
    </dxf>
    <dxf>
      <font>
        <color theme="0"/>
      </font>
      <fill>
        <patternFill>
          <bgColor rgb="FFCB0000"/>
        </patternFill>
      </fill>
    </dxf>
    <dxf>
      <font>
        <color rgb="FF383745"/>
      </font>
      <fill>
        <patternFill>
          <bgColor rgb="FF92D050"/>
        </patternFill>
      </fill>
    </dxf>
    <dxf>
      <font>
        <color theme="0"/>
      </font>
      <fill>
        <patternFill>
          <bgColor rgb="FFCB0000"/>
        </patternFill>
      </fill>
    </dxf>
    <dxf>
      <font>
        <color rgb="FF383745"/>
      </font>
      <fill>
        <patternFill>
          <bgColor rgb="FFFFC000"/>
        </patternFill>
      </fill>
    </dxf>
    <dxf>
      <font>
        <color theme="0"/>
      </font>
      <fill>
        <patternFill>
          <bgColor rgb="FFCB0000"/>
        </patternFill>
      </fill>
    </dxf>
    <dxf>
      <font>
        <color rgb="FF383745"/>
      </font>
      <fill>
        <patternFill>
          <bgColor rgb="FFFFC000"/>
        </patternFill>
      </fill>
    </dxf>
    <dxf>
      <font>
        <color theme="0"/>
      </font>
      <fill>
        <patternFill>
          <bgColor rgb="FFCB0000"/>
        </patternFill>
      </fill>
    </dxf>
    <dxf>
      <font>
        <color theme="0"/>
      </font>
      <fill>
        <patternFill>
          <bgColor rgb="FFCB0000"/>
        </patternFill>
      </fill>
    </dxf>
    <dxf>
      <fill>
        <patternFill>
          <bgColor theme="8" tint="0.59996337778862885"/>
        </patternFill>
      </fill>
    </dxf>
    <dxf>
      <fill>
        <patternFill>
          <bgColor theme="6"/>
        </patternFill>
      </fill>
    </dxf>
    <dxf>
      <fill>
        <patternFill>
          <bgColor theme="8" tint="-0.24994659260841701"/>
        </patternFill>
      </fill>
    </dxf>
    <dxf>
      <fill>
        <patternFill>
          <bgColor rgb="FFFFC000"/>
        </patternFill>
      </fill>
    </dxf>
    <dxf>
      <font>
        <color theme="0"/>
      </font>
      <fill>
        <patternFill>
          <bgColor rgb="FFC00000"/>
        </patternFill>
      </fill>
    </dxf>
    <dxf>
      <font>
        <color rgb="FF383745"/>
      </font>
      <fill>
        <patternFill>
          <bgColor rgb="FF92D050"/>
        </patternFill>
      </fill>
    </dxf>
    <dxf>
      <font>
        <color rgb="FF383745"/>
      </font>
      <fill>
        <patternFill>
          <bgColor rgb="FFFFC000"/>
        </patternFill>
      </fill>
    </dxf>
    <dxf>
      <fill>
        <patternFill>
          <bgColor rgb="FFFFC000"/>
        </patternFill>
      </fill>
    </dxf>
    <dxf>
      <font>
        <color theme="0"/>
      </font>
      <fill>
        <patternFill>
          <bgColor rgb="FFCB0000"/>
        </patternFill>
      </fill>
    </dxf>
    <dxf>
      <font>
        <color rgb="FF383745"/>
      </font>
      <fill>
        <patternFill>
          <bgColor rgb="FFE0DCD3"/>
        </patternFill>
      </fill>
    </dxf>
    <dxf>
      <font>
        <color theme="0"/>
      </font>
      <fill>
        <patternFill>
          <bgColor rgb="FFCB0000"/>
        </patternFill>
      </fill>
    </dxf>
    <dxf>
      <font>
        <color rgb="FF383745"/>
      </font>
      <fill>
        <patternFill>
          <bgColor rgb="FF92D050"/>
        </patternFill>
      </fill>
    </dxf>
    <dxf>
      <font>
        <color theme="0"/>
      </font>
      <fill>
        <patternFill>
          <bgColor rgb="FFCB0000"/>
        </patternFill>
      </fill>
    </dxf>
    <dxf>
      <font>
        <color rgb="FF383745"/>
      </font>
      <fill>
        <patternFill>
          <bgColor rgb="FFFFC000"/>
        </patternFill>
      </fill>
    </dxf>
    <dxf>
      <font>
        <color theme="0"/>
      </font>
      <fill>
        <patternFill>
          <bgColor rgb="FFCB0000"/>
        </patternFill>
      </fill>
    </dxf>
    <dxf>
      <font>
        <color rgb="FF383745"/>
      </font>
      <fill>
        <patternFill>
          <bgColor rgb="FFFFC000"/>
        </patternFill>
      </fill>
    </dxf>
    <dxf>
      <font>
        <color theme="0"/>
      </font>
      <fill>
        <patternFill>
          <bgColor rgb="FFCB0000"/>
        </patternFill>
      </fill>
    </dxf>
    <dxf>
      <fill>
        <patternFill>
          <bgColor rgb="FFFFC000"/>
        </patternFill>
      </fill>
    </dxf>
    <dxf>
      <fill>
        <patternFill>
          <bgColor rgb="FFFFC000"/>
        </patternFill>
      </fill>
    </dxf>
    <dxf>
      <fill>
        <patternFill>
          <bgColor rgb="FFFFC000"/>
        </patternFill>
      </fill>
    </dxf>
    <dxf>
      <font>
        <color rgb="FF383745"/>
      </font>
      <fill>
        <patternFill>
          <bgColor rgb="FFFFC000"/>
        </patternFill>
      </fill>
    </dxf>
    <dxf>
      <font>
        <color theme="0"/>
      </font>
      <fill>
        <patternFill>
          <bgColor rgb="FFCB0000"/>
        </patternFill>
      </fill>
    </dxf>
    <dxf>
      <font>
        <color rgb="FF383745"/>
      </font>
      <fill>
        <patternFill>
          <bgColor rgb="FFFFC000"/>
        </patternFill>
      </fill>
    </dxf>
    <dxf>
      <font>
        <color theme="0"/>
      </font>
      <fill>
        <patternFill>
          <bgColor rgb="FFCB0000"/>
        </patternFill>
      </fill>
    </dxf>
    <dxf>
      <font>
        <color rgb="FF383745"/>
      </font>
      <fill>
        <patternFill>
          <bgColor rgb="FFFFC000"/>
        </patternFill>
      </fill>
    </dxf>
    <dxf>
      <font>
        <color rgb="FF383745"/>
      </font>
      <fill>
        <patternFill>
          <bgColor rgb="FFFFC000"/>
        </patternFill>
      </fill>
    </dxf>
    <dxf>
      <font>
        <color theme="0"/>
      </font>
      <fill>
        <patternFill>
          <bgColor rgb="FFCB0000"/>
        </patternFill>
      </fill>
    </dxf>
    <dxf>
      <font>
        <color rgb="FF383745"/>
      </font>
      <fill>
        <patternFill>
          <bgColor rgb="FFFFC000"/>
        </patternFill>
      </fill>
    </dxf>
    <dxf>
      <font>
        <color theme="0"/>
      </font>
      <fill>
        <patternFill>
          <bgColor rgb="FFCB0000"/>
        </patternFill>
      </fill>
    </dxf>
    <dxf>
      <fill>
        <patternFill>
          <bgColor rgb="FFFFC000"/>
        </patternFill>
      </fill>
    </dxf>
    <dxf>
      <fill>
        <patternFill>
          <bgColor rgb="FFFFC000"/>
        </patternFill>
      </fill>
    </dxf>
    <dxf>
      <font>
        <color theme="0"/>
      </font>
      <fill>
        <patternFill>
          <bgColor rgb="FFCB0000"/>
        </patternFill>
      </fill>
    </dxf>
    <dxf>
      <font>
        <color theme="0"/>
      </font>
      <fill>
        <patternFill>
          <bgColor rgb="FFCB0000"/>
        </patternFill>
      </fill>
    </dxf>
    <dxf>
      <fill>
        <patternFill>
          <bgColor theme="6"/>
        </patternFill>
      </fill>
    </dxf>
    <dxf>
      <fill>
        <patternFill>
          <bgColor theme="8" tint="-0.24994659260841701"/>
        </patternFill>
      </fill>
    </dxf>
    <dxf>
      <fill>
        <patternFill>
          <bgColor theme="8" tint="0.59996337778862885"/>
        </patternFill>
      </fill>
    </dxf>
    <dxf>
      <font>
        <color theme="0"/>
      </font>
      <fill>
        <patternFill>
          <bgColor rgb="FFCB0000"/>
        </patternFill>
      </fill>
    </dxf>
    <dxf>
      <font>
        <color theme="0"/>
      </font>
      <fill>
        <patternFill>
          <bgColor rgb="FFCB0000"/>
        </patternFill>
      </fill>
    </dxf>
    <dxf>
      <font>
        <color theme="0"/>
      </font>
      <fill>
        <patternFill>
          <bgColor rgb="FFCB0000"/>
        </patternFill>
      </fill>
    </dxf>
    <dxf>
      <font>
        <color theme="0"/>
      </font>
      <fill>
        <patternFill>
          <bgColor rgb="FFCB0000"/>
        </patternFill>
      </fill>
    </dxf>
    <dxf>
      <font>
        <color rgb="FF383745"/>
      </font>
      <fill>
        <patternFill>
          <bgColor rgb="FF92D050"/>
        </patternFill>
      </fill>
    </dxf>
    <dxf>
      <font>
        <color rgb="FF383745"/>
      </font>
      <fill>
        <patternFill>
          <bgColor rgb="FFFFC000"/>
        </patternFill>
      </fill>
    </dxf>
    <dxf>
      <fill>
        <patternFill>
          <bgColor rgb="FFFFC000"/>
        </patternFill>
      </fill>
    </dxf>
    <dxf>
      <font>
        <color theme="0"/>
      </font>
      <fill>
        <patternFill>
          <bgColor rgb="FFCB0000"/>
        </patternFill>
      </fill>
    </dxf>
    <dxf>
      <font>
        <color rgb="FF383745"/>
      </font>
      <fill>
        <patternFill>
          <bgColor rgb="FFE0DCD3"/>
        </patternFill>
      </fill>
    </dxf>
    <dxf>
      <font>
        <color theme="0"/>
      </font>
      <fill>
        <patternFill>
          <bgColor rgb="FFC00000"/>
        </patternFill>
      </fill>
    </dxf>
    <dxf>
      <font>
        <color rgb="FF383745"/>
      </font>
      <fill>
        <patternFill>
          <bgColor rgb="FF92D050"/>
        </patternFill>
      </fill>
    </dxf>
    <dxf>
      <font>
        <color theme="0"/>
      </font>
      <fill>
        <patternFill>
          <bgColor rgb="FFCB0000"/>
        </patternFill>
      </fill>
    </dxf>
    <dxf>
      <font>
        <color rgb="FF383745"/>
      </font>
      <fill>
        <patternFill>
          <bgColor rgb="FFFFC000"/>
        </patternFill>
      </fill>
    </dxf>
    <dxf>
      <font>
        <color theme="0"/>
      </font>
      <fill>
        <patternFill>
          <bgColor rgb="FFCB0000"/>
        </patternFill>
      </fill>
    </dxf>
    <dxf>
      <font>
        <color rgb="FF383745"/>
      </font>
      <fill>
        <patternFill>
          <bgColor rgb="FFFFC000"/>
        </patternFill>
      </fill>
    </dxf>
    <dxf>
      <font>
        <color theme="0"/>
      </font>
      <fill>
        <patternFill>
          <bgColor rgb="FFCB0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ont>
        <color theme="0"/>
      </font>
      <fill>
        <patternFill>
          <bgColor rgb="FFCB0000"/>
        </patternFill>
      </fill>
    </dxf>
    <dxf>
      <font>
        <color rgb="FF383745"/>
      </font>
      <fill>
        <patternFill>
          <bgColor rgb="FFFFC000"/>
        </patternFill>
      </fill>
    </dxf>
    <dxf>
      <font>
        <color rgb="FF383745"/>
      </font>
      <fill>
        <patternFill>
          <bgColor rgb="FFFFC000"/>
        </patternFill>
      </fill>
    </dxf>
    <dxf>
      <fill>
        <patternFill>
          <bgColor rgb="FFFFC000"/>
        </patternFill>
      </fill>
    </dxf>
    <dxf>
      <fill>
        <patternFill>
          <bgColor rgb="FFFFC000"/>
        </patternFill>
      </fill>
    </dxf>
    <dxf>
      <font>
        <color theme="0"/>
      </font>
      <fill>
        <patternFill>
          <bgColor rgb="FFCB0000"/>
        </patternFill>
      </fill>
    </dxf>
    <dxf>
      <font>
        <color theme="0"/>
      </font>
      <fill>
        <patternFill>
          <bgColor rgb="FFCB0000"/>
        </patternFill>
      </fill>
    </dxf>
    <dxf>
      <font>
        <color rgb="FF383745"/>
      </font>
      <fill>
        <patternFill>
          <bgColor rgb="FF92D050"/>
        </patternFill>
      </fill>
    </dxf>
    <dxf>
      <font>
        <color rgb="FF383745"/>
      </font>
      <fill>
        <patternFill>
          <bgColor rgb="FFFFC000"/>
        </patternFill>
      </fill>
    </dxf>
    <dxf>
      <fill>
        <patternFill>
          <bgColor rgb="FFFFC000"/>
        </patternFill>
      </fill>
    </dxf>
    <dxf>
      <font>
        <color theme="0"/>
      </font>
      <fill>
        <patternFill>
          <bgColor rgb="FFCB0000"/>
        </patternFill>
      </fill>
    </dxf>
    <dxf>
      <font>
        <color theme="0"/>
      </font>
      <fill>
        <patternFill>
          <bgColor rgb="FFCB0000"/>
        </patternFill>
      </fill>
    </dxf>
    <dxf>
      <font>
        <color rgb="FF383745"/>
      </font>
      <fill>
        <patternFill>
          <bgColor rgb="FF92D050"/>
        </patternFill>
      </fill>
    </dxf>
    <dxf>
      <font>
        <color theme="0"/>
      </font>
      <fill>
        <patternFill>
          <bgColor rgb="FFCB0000"/>
        </patternFill>
      </fill>
    </dxf>
    <dxf>
      <font>
        <color theme="0"/>
      </font>
      <fill>
        <patternFill>
          <bgColor rgb="FFCB0000"/>
        </patternFill>
      </fill>
    </dxf>
    <dxf>
      <font>
        <color rgb="FF383745"/>
      </font>
      <fill>
        <patternFill>
          <bgColor rgb="FFE0DCD3"/>
        </patternFill>
      </fill>
    </dxf>
    <dxf>
      <font>
        <color rgb="FF383745"/>
      </font>
      <fill>
        <patternFill>
          <bgColor rgb="FFFFC000"/>
        </patternFill>
      </fill>
    </dxf>
    <dxf>
      <font>
        <color theme="0"/>
      </font>
      <fill>
        <patternFill>
          <bgColor rgb="FFCB0000"/>
        </patternFill>
      </fill>
    </dxf>
    <dxf>
      <font>
        <color rgb="FF383745"/>
      </font>
      <fill>
        <patternFill>
          <bgColor rgb="FFFFC000"/>
        </patternFill>
      </fill>
    </dxf>
    <dxf>
      <font>
        <color theme="0"/>
      </font>
      <fill>
        <patternFill>
          <bgColor rgb="FFCB0000"/>
        </patternFill>
      </fill>
    </dxf>
    <dxf>
      <font>
        <color theme="0"/>
      </font>
      <fill>
        <patternFill>
          <bgColor rgb="FFCB0000"/>
        </patternFill>
      </fill>
    </dxf>
    <dxf>
      <font>
        <color theme="0"/>
      </font>
      <fill>
        <patternFill>
          <bgColor rgb="FFCB0000"/>
        </patternFill>
      </fill>
    </dxf>
    <dxf>
      <fill>
        <patternFill>
          <bgColor rgb="FFFFC000"/>
        </patternFill>
      </fill>
    </dxf>
    <dxf>
      <fill>
        <patternFill>
          <bgColor rgb="FFFFC000"/>
        </patternFill>
      </fill>
    </dxf>
    <dxf>
      <fill>
        <patternFill>
          <bgColor theme="8" tint="0.59996337778862885"/>
        </patternFill>
      </fill>
    </dxf>
    <dxf>
      <fill>
        <patternFill>
          <bgColor theme="6"/>
        </patternFill>
      </fill>
    </dxf>
    <dxf>
      <fill>
        <patternFill>
          <bgColor theme="8" tint="-0.24994659260841701"/>
        </patternFill>
      </fill>
    </dxf>
    <dxf>
      <fill>
        <patternFill>
          <bgColor rgb="FF92D050"/>
        </patternFill>
      </fill>
    </dxf>
    <dxf>
      <font>
        <color rgb="FF383745"/>
      </font>
      <fill>
        <patternFill>
          <bgColor rgb="FFFFC000"/>
        </patternFill>
      </fill>
    </dxf>
    <dxf>
      <fill>
        <patternFill>
          <bgColor rgb="FFFFC000"/>
        </patternFill>
      </fill>
    </dxf>
    <dxf>
      <font>
        <color theme="0"/>
      </font>
      <fill>
        <patternFill>
          <bgColor rgb="FFCB0000"/>
        </patternFill>
      </fill>
    </dxf>
    <dxf>
      <font>
        <color rgb="FF383745"/>
      </font>
      <fill>
        <patternFill>
          <bgColor rgb="FFE0DCD3"/>
        </patternFill>
      </fill>
    </dxf>
    <dxf>
      <fill>
        <patternFill>
          <bgColor rgb="FFFFC000"/>
        </patternFill>
      </fill>
    </dxf>
    <dxf>
      <font>
        <color rgb="FF383745"/>
      </font>
      <fill>
        <patternFill>
          <bgColor rgb="FFFFC000"/>
        </patternFill>
      </fill>
    </dxf>
    <dxf>
      <font>
        <color theme="0"/>
      </font>
      <fill>
        <patternFill>
          <bgColor rgb="FFCB0000"/>
        </patternFill>
      </fill>
    </dxf>
    <dxf>
      <font>
        <color theme="0"/>
      </font>
      <fill>
        <patternFill>
          <bgColor rgb="FFCB0000"/>
        </patternFill>
      </fill>
    </dxf>
    <dxf>
      <font>
        <color theme="0"/>
      </font>
      <fill>
        <patternFill>
          <bgColor rgb="FFCB0000"/>
        </patternFill>
      </fill>
    </dxf>
    <dxf>
      <fill>
        <patternFill>
          <bgColor rgb="FFFFC000"/>
        </patternFill>
      </fill>
    </dxf>
    <dxf>
      <font>
        <color rgb="FF383745"/>
      </font>
      <fill>
        <patternFill>
          <bgColor rgb="FF92D050"/>
        </patternFill>
      </fill>
    </dxf>
    <dxf>
      <font>
        <color theme="0"/>
      </font>
      <fill>
        <patternFill>
          <bgColor rgb="FFCB0000"/>
        </patternFill>
      </fill>
    </dxf>
    <dxf>
      <font>
        <color rgb="FF383745"/>
      </font>
      <fill>
        <patternFill>
          <bgColor rgb="FFFFC000"/>
        </patternFill>
      </fill>
    </dxf>
    <dxf>
      <font>
        <color theme="0"/>
      </font>
      <fill>
        <patternFill>
          <bgColor rgb="FFCB0000"/>
        </patternFill>
      </fill>
    </dxf>
    <dxf>
      <font>
        <color rgb="FF383745"/>
      </font>
      <fill>
        <patternFill>
          <bgColor rgb="FFFFC000"/>
        </patternFill>
      </fill>
    </dxf>
    <dxf>
      <font>
        <color rgb="FFFFFFFF"/>
      </font>
      <fill>
        <patternFill>
          <bgColor rgb="FFCB0000"/>
        </patternFill>
      </fill>
    </dxf>
    <dxf>
      <fill>
        <patternFill>
          <bgColor rgb="FFFFC000"/>
        </patternFill>
      </fill>
    </dxf>
    <dxf>
      <fill>
        <patternFill>
          <bgColor rgb="FFFF0000"/>
        </patternFill>
      </fill>
    </dxf>
    <dxf>
      <fill>
        <patternFill>
          <bgColor rgb="FFFFC000"/>
        </patternFill>
      </fill>
    </dxf>
    <dxf>
      <font>
        <color rgb="FF383745"/>
      </font>
      <fill>
        <patternFill>
          <bgColor rgb="FFFFC000"/>
        </patternFill>
      </fill>
    </dxf>
    <dxf>
      <fill>
        <patternFill>
          <bgColor rgb="FFFFC000"/>
        </patternFill>
      </fill>
    </dxf>
    <dxf>
      <fill>
        <patternFill>
          <bgColor rgb="FFFFC000"/>
        </patternFill>
      </fill>
    </dxf>
    <dxf>
      <font>
        <color theme="0"/>
      </font>
      <fill>
        <patternFill>
          <bgColor rgb="FFCB0000"/>
        </patternFill>
      </fill>
    </dxf>
    <dxf>
      <font>
        <color rgb="FF383745"/>
      </font>
      <fill>
        <patternFill>
          <bgColor theme="6"/>
        </patternFill>
      </fill>
    </dxf>
    <dxf>
      <font>
        <color rgb="FF383745"/>
      </font>
      <fill>
        <patternFill>
          <bgColor theme="8" tint="-0.24994659260841701"/>
        </patternFill>
      </fill>
    </dxf>
    <dxf>
      <font>
        <color rgb="FF383745"/>
      </font>
      <fill>
        <patternFill>
          <bgColor theme="8" tint="0.59996337778862885"/>
        </patternFill>
      </fill>
    </dxf>
    <dxf>
      <font>
        <color theme="0"/>
      </font>
      <fill>
        <patternFill>
          <bgColor rgb="FFCB0000"/>
        </patternFill>
      </fill>
    </dxf>
    <dxf>
      <font>
        <color rgb="FFFFFFFF"/>
      </font>
      <fill>
        <patternFill>
          <bgColor rgb="FFCB0000"/>
        </patternFill>
      </fill>
    </dxf>
    <dxf>
      <font>
        <color theme="0"/>
      </font>
      <fill>
        <patternFill>
          <bgColor rgb="FFCB0000"/>
        </patternFill>
      </fill>
    </dxf>
    <dxf>
      <fill>
        <patternFill>
          <bgColor theme="5" tint="0.79998168889431442"/>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theme="5" tint="0.79998168889431442"/>
        </patternFill>
      </fill>
    </dxf>
    <dxf>
      <font>
        <color theme="0"/>
      </font>
      <fill>
        <patternFill>
          <bgColor rgb="FFCB0000"/>
        </patternFill>
      </fill>
    </dxf>
    <dxf>
      <font>
        <color theme="0"/>
      </font>
      <fill>
        <patternFill>
          <bgColor rgb="FFCB0000"/>
        </patternFill>
      </fill>
    </dxf>
    <dxf>
      <font>
        <color theme="0"/>
      </font>
      <fill>
        <patternFill>
          <bgColor rgb="FFCB0000"/>
        </patternFill>
      </fill>
    </dxf>
    <dxf>
      <font>
        <color rgb="FF383745"/>
      </font>
      <fill>
        <patternFill>
          <bgColor rgb="FF92D050"/>
        </patternFill>
      </fill>
    </dxf>
    <dxf>
      <font>
        <color rgb="FF383745"/>
      </font>
      <fill>
        <patternFill>
          <bgColor rgb="FFFFC000"/>
        </patternFill>
      </fill>
    </dxf>
    <dxf>
      <fill>
        <patternFill>
          <bgColor rgb="FFFFC000"/>
        </patternFill>
      </fill>
    </dxf>
    <dxf>
      <font>
        <color rgb="FFFFFFFF"/>
      </font>
      <fill>
        <patternFill>
          <bgColor rgb="FFCB0000"/>
        </patternFill>
      </fill>
    </dxf>
    <dxf>
      <fill>
        <patternFill>
          <bgColor rgb="FFFFC000"/>
        </patternFill>
      </fill>
    </dxf>
    <dxf>
      <font>
        <color rgb="FFFFFFFF"/>
      </font>
      <fill>
        <patternFill>
          <bgColor rgb="FFCB0000"/>
        </patternFill>
      </fill>
    </dxf>
    <dxf>
      <font>
        <color rgb="FF383745"/>
      </font>
      <fill>
        <patternFill>
          <bgColor rgb="FFFFC000"/>
        </patternFill>
      </fill>
    </dxf>
    <dxf>
      <font>
        <color theme="0"/>
      </font>
      <fill>
        <patternFill>
          <bgColor rgb="FFCB0000"/>
        </patternFill>
      </fill>
    </dxf>
    <dxf>
      <font>
        <color theme="0"/>
      </font>
      <fill>
        <patternFill>
          <bgColor rgb="FFCB0000"/>
        </patternFill>
      </fill>
    </dxf>
    <dxf>
      <fill>
        <patternFill>
          <bgColor rgb="FFFFC000"/>
        </patternFill>
      </fill>
    </dxf>
    <dxf>
      <font>
        <color rgb="FFFFFFFF"/>
      </font>
      <fill>
        <patternFill>
          <bgColor rgb="FFCB0000"/>
        </patternFill>
      </fill>
    </dxf>
    <dxf>
      <font>
        <color rgb="FF383745"/>
      </font>
      <fill>
        <patternFill>
          <bgColor rgb="FF92D050"/>
        </patternFill>
      </fill>
    </dxf>
    <dxf>
      <font>
        <color rgb="FF383745"/>
      </font>
      <fill>
        <patternFill>
          <bgColor rgb="FF92D050"/>
        </patternFill>
      </fill>
    </dxf>
    <dxf>
      <font>
        <color rgb="FFFFFFFF"/>
      </font>
      <fill>
        <patternFill>
          <bgColor rgb="FFCB0000"/>
        </patternFill>
      </fill>
    </dxf>
    <dxf>
      <font>
        <color rgb="FF383745"/>
      </font>
      <fill>
        <patternFill>
          <bgColor rgb="FFE0DCD3"/>
        </patternFill>
      </fill>
    </dxf>
    <dxf>
      <font>
        <color rgb="FF383745"/>
      </font>
      <fill>
        <patternFill>
          <bgColor rgb="FFFFC000"/>
        </patternFill>
      </fill>
    </dxf>
    <dxf>
      <font>
        <color theme="0"/>
      </font>
      <fill>
        <patternFill>
          <bgColor rgb="FFCB0000"/>
        </patternFill>
      </fill>
    </dxf>
    <dxf>
      <font>
        <color rgb="FF383745"/>
      </font>
      <fill>
        <patternFill>
          <bgColor rgb="FFFFC000"/>
        </patternFill>
      </fill>
    </dxf>
    <dxf>
      <font>
        <color rgb="FFFFFFFF"/>
      </font>
      <fill>
        <patternFill>
          <bgColor rgb="FFCB0000"/>
        </patternFill>
      </fill>
    </dxf>
    <dxf>
      <fill>
        <patternFill>
          <bgColor rgb="FFFFC000"/>
        </patternFill>
      </fill>
    </dxf>
    <dxf>
      <fill>
        <patternFill>
          <bgColor rgb="FFFF0000"/>
        </patternFill>
      </fill>
    </dxf>
    <dxf>
      <font>
        <color rgb="FF383745"/>
      </font>
      <fill>
        <patternFill>
          <bgColor rgb="FFFFC000"/>
        </patternFill>
      </fill>
    </dxf>
    <dxf>
      <font>
        <color theme="0"/>
      </font>
      <fill>
        <patternFill>
          <bgColor rgb="FFCB0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ont>
        <color rgb="FFFFFFFF"/>
      </font>
      <fill>
        <patternFill>
          <bgColor rgb="FFCB0000"/>
        </patternFill>
      </fill>
    </dxf>
    <dxf>
      <font>
        <color rgb="FF383745"/>
      </font>
      <fill>
        <patternFill>
          <bgColor rgb="FFFFC000"/>
        </patternFill>
      </fill>
    </dxf>
    <dxf>
      <fill>
        <patternFill>
          <bgColor rgb="FFFFC000"/>
        </patternFill>
      </fill>
    </dxf>
    <dxf>
      <fill>
        <patternFill>
          <bgColor rgb="FFFFC000"/>
        </patternFill>
      </fill>
    </dxf>
    <dxf>
      <font>
        <color theme="0"/>
      </font>
      <fill>
        <patternFill>
          <bgColor rgb="FFCB0000"/>
        </patternFill>
      </fill>
    </dxf>
    <dxf>
      <font>
        <color rgb="FFFFFFFF"/>
      </font>
      <fill>
        <patternFill>
          <bgColor rgb="FFCB0000"/>
        </patternFill>
      </fill>
    </dxf>
    <dxf>
      <fill>
        <patternFill>
          <bgColor rgb="FFFF0000"/>
        </patternFill>
      </fill>
    </dxf>
    <dxf>
      <fill>
        <patternFill>
          <bgColor rgb="FFFF0000"/>
        </patternFill>
      </fill>
    </dxf>
    <dxf>
      <font>
        <color theme="0"/>
      </font>
      <fill>
        <patternFill>
          <bgColor rgb="FFCB0000"/>
        </patternFill>
      </fill>
    </dxf>
    <dxf>
      <font>
        <color theme="0"/>
      </font>
      <fill>
        <patternFill>
          <bgColor rgb="FFCB0000"/>
        </patternFill>
      </fill>
    </dxf>
    <dxf>
      <font>
        <color theme="0"/>
      </font>
      <fill>
        <patternFill>
          <bgColor rgb="FFCB0000"/>
        </patternFill>
      </fill>
    </dxf>
    <dxf>
      <font>
        <color rgb="FF383745"/>
      </font>
      <fill>
        <patternFill>
          <bgColor rgb="FF92D050"/>
        </patternFill>
      </fill>
    </dxf>
    <dxf>
      <font>
        <color rgb="FF383745"/>
      </font>
      <fill>
        <patternFill>
          <bgColor rgb="FFFFC000"/>
        </patternFill>
      </fill>
    </dxf>
    <dxf>
      <font>
        <color auto="1"/>
      </font>
      <fill>
        <patternFill>
          <bgColor theme="6" tint="-0.24994659260841701"/>
        </patternFill>
      </fill>
    </dxf>
    <dxf>
      <font>
        <color rgb="FF383745"/>
      </font>
      <fill>
        <patternFill>
          <bgColor theme="6"/>
        </patternFill>
      </fill>
    </dxf>
    <dxf>
      <font>
        <color rgb="FF383745"/>
      </font>
      <fill>
        <patternFill>
          <bgColor theme="8" tint="-0.24994659260841701"/>
        </patternFill>
      </fill>
    </dxf>
    <dxf>
      <font>
        <color rgb="FF383745"/>
      </font>
      <fill>
        <patternFill>
          <bgColor theme="8" tint="0.59996337778862885"/>
        </patternFill>
      </fill>
    </dxf>
    <dxf>
      <fill>
        <patternFill>
          <bgColor rgb="FFFFC000"/>
        </patternFill>
      </fill>
    </dxf>
    <dxf>
      <fill>
        <patternFill>
          <bgColor rgb="FFFFC000"/>
        </patternFill>
      </fill>
    </dxf>
    <dxf>
      <font>
        <color theme="0"/>
      </font>
      <fill>
        <patternFill>
          <bgColor rgb="FFCB0000"/>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C000"/>
        </patternFill>
      </fill>
    </dxf>
    <dxf>
      <font>
        <color theme="0"/>
      </font>
      <fill>
        <patternFill>
          <bgColor rgb="FFCB0000"/>
        </patternFill>
      </fill>
    </dxf>
    <dxf>
      <font>
        <b/>
        <i val="0"/>
        <color rgb="FF383745"/>
      </font>
      <fill>
        <patternFill>
          <bgColor rgb="FFFFC000"/>
        </patternFill>
      </fill>
    </dxf>
    <dxf>
      <font>
        <color rgb="FF383745"/>
      </font>
      <fill>
        <patternFill>
          <bgColor rgb="FFFFC000"/>
        </patternFill>
      </fill>
    </dxf>
    <dxf>
      <font>
        <color rgb="FFFFFFFF"/>
      </font>
      <fill>
        <patternFill>
          <bgColor rgb="FFCB0000"/>
        </patternFill>
      </fill>
    </dxf>
    <dxf>
      <font>
        <color rgb="FF383745"/>
      </font>
      <fill>
        <patternFill>
          <bgColor rgb="FFFFC000"/>
        </patternFill>
      </fill>
    </dxf>
    <dxf>
      <font>
        <color rgb="FF383745"/>
      </font>
      <fill>
        <patternFill>
          <bgColor rgb="FFFFC000"/>
        </patternFill>
      </fill>
    </dxf>
    <dxf>
      <font>
        <color rgb="FFFFFFFF"/>
      </font>
      <fill>
        <patternFill>
          <bgColor rgb="FFCB0000"/>
        </patternFill>
      </fill>
    </dxf>
    <dxf>
      <font>
        <color rgb="FF383745"/>
      </font>
      <fill>
        <patternFill>
          <bgColor rgb="FFFFC000"/>
        </patternFill>
      </fill>
    </dxf>
    <dxf>
      <fill>
        <patternFill>
          <bgColor rgb="FFFFC000"/>
        </patternFill>
      </fill>
    </dxf>
    <dxf>
      <font>
        <color rgb="FFFFFFFF"/>
      </font>
      <fill>
        <patternFill>
          <bgColor rgb="FFCB0000"/>
        </patternFill>
      </fill>
    </dxf>
    <dxf>
      <font>
        <color rgb="FF383745"/>
      </font>
      <fill>
        <patternFill>
          <bgColor rgb="FFFFC000"/>
        </patternFill>
      </fill>
    </dxf>
    <dxf>
      <font>
        <color rgb="FFFFFFFF"/>
      </font>
      <fill>
        <patternFill>
          <bgColor rgb="FFCB0000"/>
        </patternFill>
      </fill>
    </dxf>
    <dxf>
      <font>
        <color rgb="FFFFFFFF"/>
      </font>
      <fill>
        <patternFill>
          <bgColor rgb="FFCB0000"/>
        </patternFill>
      </fill>
    </dxf>
    <dxf>
      <fill>
        <patternFill>
          <bgColor rgb="FFFFC000"/>
        </patternFill>
      </fill>
    </dxf>
    <dxf>
      <fill>
        <patternFill>
          <bgColor rgb="FFFFC000"/>
        </patternFill>
      </fill>
    </dxf>
    <dxf>
      <fill>
        <patternFill>
          <bgColor rgb="FFFF0000"/>
        </patternFill>
      </fill>
    </dxf>
    <dxf>
      <font>
        <color rgb="FFFFFFFF"/>
      </font>
      <fill>
        <patternFill>
          <bgColor rgb="FFCB0000"/>
        </patternFill>
      </fill>
    </dxf>
    <dxf>
      <font>
        <color rgb="FF383745"/>
      </font>
      <fill>
        <patternFill>
          <bgColor rgb="FFE0DCD3"/>
        </patternFill>
      </fill>
    </dxf>
    <dxf>
      <font>
        <color rgb="FF383745"/>
      </font>
      <fill>
        <patternFill>
          <bgColor rgb="FFFFC000"/>
        </patternFill>
      </fill>
    </dxf>
    <dxf>
      <font>
        <color rgb="FFFFFFFF"/>
      </font>
      <fill>
        <patternFill>
          <bgColor rgb="FFCB0000"/>
        </patternFill>
      </fill>
    </dxf>
    <dxf>
      <font>
        <color rgb="FF383745"/>
      </font>
      <fill>
        <patternFill>
          <bgColor rgb="FF92D050"/>
        </patternFill>
      </fill>
    </dxf>
    <dxf>
      <font>
        <color theme="0"/>
      </font>
      <fill>
        <patternFill>
          <bgColor rgb="FFCB0000"/>
        </patternFill>
      </fill>
    </dxf>
    <dxf>
      <font>
        <color theme="0"/>
      </font>
      <fill>
        <patternFill>
          <bgColor rgb="FFCB0000"/>
        </patternFill>
      </fill>
    </dxf>
    <dxf>
      <font>
        <color theme="0"/>
      </font>
      <fill>
        <patternFill>
          <bgColor rgb="FFCB0000"/>
        </patternFill>
      </fill>
    </dxf>
    <dxf>
      <font>
        <color theme="0"/>
      </font>
      <fill>
        <patternFill>
          <bgColor rgb="FFCB0000"/>
        </patternFill>
      </fill>
    </dxf>
    <dxf>
      <font>
        <color theme="0"/>
      </font>
      <fill>
        <patternFill>
          <bgColor rgb="FFCB0000"/>
        </patternFill>
      </fill>
    </dxf>
    <dxf>
      <font>
        <color theme="0"/>
      </font>
      <fill>
        <patternFill>
          <bgColor rgb="FFCB0000"/>
        </patternFill>
      </fill>
    </dxf>
    <dxf>
      <font>
        <color rgb="FF383745"/>
      </font>
      <fill>
        <patternFill>
          <bgColor rgb="FF92D050"/>
        </patternFill>
      </fill>
    </dxf>
    <dxf>
      <font>
        <color rgb="FF383745"/>
      </font>
      <fill>
        <patternFill>
          <bgColor rgb="FF92D050"/>
        </patternFill>
      </fill>
    </dxf>
    <dxf>
      <font>
        <color rgb="FFFFFFFF"/>
      </font>
      <fill>
        <patternFill>
          <bgColor rgb="FFCB0000"/>
        </patternFill>
      </fill>
    </dxf>
    <dxf>
      <font>
        <b/>
        <i val="0"/>
      </font>
      <fill>
        <patternFill>
          <bgColor rgb="FFFFC000"/>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C000"/>
        </patternFill>
      </fill>
    </dxf>
    <dxf>
      <font>
        <color rgb="FF383745"/>
      </font>
      <fill>
        <patternFill>
          <bgColor rgb="FFFFC000"/>
        </patternFill>
      </fill>
    </dxf>
    <dxf>
      <font>
        <color rgb="FFFFFFFF"/>
      </font>
      <fill>
        <patternFill>
          <bgColor rgb="FFCB0000"/>
        </patternFill>
      </fill>
    </dxf>
    <dxf>
      <fill>
        <patternFill>
          <bgColor rgb="FFFFC000"/>
        </patternFill>
      </fill>
    </dxf>
    <dxf>
      <font>
        <color rgb="FFFFFFFF"/>
      </font>
      <fill>
        <patternFill>
          <bgColor rgb="FFCB0000"/>
        </patternFill>
      </fill>
    </dxf>
    <dxf>
      <font>
        <color rgb="FF383745"/>
      </font>
      <fill>
        <patternFill>
          <bgColor rgb="FFFFC000"/>
        </patternFill>
      </fill>
    </dxf>
    <dxf>
      <font>
        <color rgb="FF383745"/>
      </font>
      <fill>
        <patternFill>
          <bgColor rgb="FF92D050"/>
        </patternFill>
      </fill>
    </dxf>
    <dxf>
      <fill>
        <patternFill>
          <bgColor rgb="FFFFC000"/>
        </patternFill>
      </fill>
    </dxf>
    <dxf>
      <fill>
        <patternFill>
          <bgColor rgb="FFFFC000"/>
        </patternFill>
      </fill>
    </dxf>
    <dxf>
      <fill>
        <patternFill>
          <bgColor rgb="FFFF0000"/>
        </patternFill>
      </fill>
    </dxf>
    <dxf>
      <font>
        <color rgb="FF383745"/>
      </font>
      <fill>
        <patternFill>
          <bgColor rgb="FFE0DCD3"/>
        </patternFill>
      </fill>
    </dxf>
    <dxf>
      <fill>
        <patternFill>
          <bgColor rgb="FFFFC000"/>
        </patternFill>
      </fill>
    </dxf>
    <dxf>
      <fill>
        <patternFill>
          <bgColor rgb="FFFFC000"/>
        </patternFill>
      </fill>
    </dxf>
    <dxf>
      <fill>
        <patternFill>
          <bgColor rgb="FF92D050"/>
        </patternFill>
      </fill>
    </dxf>
    <dxf>
      <font>
        <color theme="0"/>
      </font>
      <fill>
        <patternFill>
          <bgColor rgb="FFC00000"/>
        </patternFill>
      </fill>
    </dxf>
    <dxf>
      <font>
        <color rgb="FFFFFFFF"/>
      </font>
      <fill>
        <patternFill>
          <bgColor rgb="FFCB0000"/>
        </patternFill>
      </fill>
    </dxf>
    <dxf>
      <font>
        <color rgb="FF383745"/>
      </font>
      <fill>
        <patternFill>
          <bgColor rgb="FFFFC000"/>
        </patternFill>
      </fill>
    </dxf>
    <dxf>
      <font>
        <color rgb="FFFFFFFF"/>
      </font>
      <fill>
        <patternFill>
          <bgColor rgb="FFCB0000"/>
        </patternFill>
      </fill>
    </dxf>
    <dxf>
      <fill>
        <patternFill>
          <bgColor rgb="FFFF0000"/>
        </patternFill>
      </fill>
    </dxf>
    <dxf>
      <fill>
        <patternFill>
          <bgColor rgb="FFFFC000"/>
        </patternFill>
      </fill>
    </dxf>
    <dxf>
      <fill>
        <patternFill>
          <bgColor rgb="FFFFC000"/>
        </patternFill>
      </fill>
    </dxf>
    <dxf>
      <fill>
        <patternFill>
          <bgColor rgb="FFFF0000"/>
        </patternFill>
      </fill>
    </dxf>
    <dxf>
      <font>
        <color rgb="FF383745"/>
      </font>
      <fill>
        <patternFill>
          <bgColor theme="6"/>
        </patternFill>
      </fill>
    </dxf>
    <dxf>
      <font>
        <color rgb="FF383745"/>
      </font>
      <fill>
        <patternFill>
          <bgColor theme="8" tint="-0.24994659260841701"/>
        </patternFill>
      </fill>
    </dxf>
    <dxf>
      <font>
        <color rgb="FF383745"/>
      </font>
      <fill>
        <patternFill>
          <bgColor theme="8" tint="0.59996337778862885"/>
        </patternFill>
      </fill>
    </dxf>
    <dxf>
      <font>
        <color rgb="FFFFFFFF"/>
      </font>
      <fill>
        <patternFill>
          <bgColor rgb="FFCB0000"/>
        </patternFill>
      </fill>
    </dxf>
    <dxf>
      <fill>
        <patternFill>
          <bgColor rgb="FFFFC000"/>
        </patternFill>
      </fill>
    </dxf>
    <dxf>
      <fill>
        <patternFill>
          <bgColor rgb="FFFFC000"/>
        </patternFill>
      </fill>
    </dxf>
    <dxf>
      <fill>
        <patternFill>
          <bgColor rgb="FFFFC000"/>
        </patternFill>
      </fill>
    </dxf>
    <dxf>
      <font>
        <color theme="0"/>
      </font>
      <fill>
        <patternFill>
          <bgColor rgb="FFCB0000"/>
        </patternFill>
      </fill>
    </dxf>
    <dxf>
      <font>
        <color rgb="FF383745"/>
      </font>
      <fill>
        <patternFill>
          <bgColor rgb="FFFFC000"/>
        </patternFill>
      </fill>
    </dxf>
    <dxf>
      <font>
        <color rgb="FF383745"/>
      </font>
      <fill>
        <patternFill>
          <bgColor rgb="FFFFC000"/>
        </patternFill>
      </fill>
    </dxf>
    <dxf>
      <font>
        <color theme="0"/>
      </font>
      <fill>
        <patternFill>
          <bgColor rgb="FFCB0000"/>
        </patternFill>
      </fill>
    </dxf>
    <dxf>
      <fill>
        <patternFill>
          <bgColor rgb="FFFFC000"/>
        </patternFill>
      </fill>
    </dxf>
    <dxf>
      <fill>
        <patternFill>
          <bgColor rgb="FFFFC000"/>
        </patternFill>
      </fill>
    </dxf>
    <dxf>
      <fill>
        <patternFill>
          <bgColor rgb="FFFFC000"/>
        </patternFill>
      </fill>
    </dxf>
    <dxf>
      <font>
        <color rgb="FFFFFFFF"/>
      </font>
      <fill>
        <patternFill>
          <bgColor rgb="FFCB0000"/>
        </patternFill>
      </fill>
    </dxf>
    <dxf>
      <font>
        <color theme="0"/>
      </font>
      <fill>
        <patternFill>
          <bgColor rgb="FFCB0000"/>
        </patternFill>
      </fill>
    </dxf>
    <dxf>
      <fill>
        <patternFill>
          <bgColor rgb="FFFFC000"/>
        </patternFill>
      </fill>
    </dxf>
    <dxf>
      <fill>
        <patternFill>
          <bgColor rgb="FFFF0000"/>
        </patternFill>
      </fill>
    </dxf>
    <dxf>
      <fill>
        <patternFill>
          <bgColor rgb="FFFF0000"/>
        </patternFill>
      </fill>
    </dxf>
    <dxf>
      <font>
        <color rgb="FFFFFFFF"/>
      </font>
      <fill>
        <patternFill>
          <bgColor rgb="FFCB0000"/>
        </patternFill>
      </fill>
    </dxf>
    <dxf>
      <font>
        <color rgb="FFFFFFFF"/>
      </font>
      <fill>
        <patternFill>
          <bgColor rgb="FFCB0000"/>
        </patternFill>
      </fill>
    </dxf>
    <dxf>
      <font>
        <color rgb="FFFFFFFF"/>
      </font>
      <fill>
        <patternFill>
          <bgColor rgb="FFCB0000"/>
        </patternFill>
      </fill>
    </dxf>
    <dxf>
      <font>
        <color rgb="FF383745"/>
      </font>
      <fill>
        <patternFill>
          <bgColor rgb="FF92D050"/>
        </patternFill>
      </fill>
    </dxf>
    <dxf>
      <font>
        <color rgb="FF383745"/>
      </font>
      <fill>
        <patternFill>
          <bgColor rgb="FFFFC000"/>
        </patternFill>
      </fill>
    </dxf>
    <dxf>
      <fill>
        <patternFill>
          <bgColor rgb="FFFFC000"/>
        </patternFill>
      </fill>
    </dxf>
    <dxf>
      <font>
        <color rgb="FFFFFFFF"/>
      </font>
      <fill>
        <patternFill>
          <bgColor rgb="FFCB0000"/>
        </patternFill>
      </fill>
    </dxf>
    <dxf>
      <fill>
        <patternFill>
          <bgColor rgb="FFFFC000"/>
        </patternFill>
      </fill>
    </dxf>
    <dxf>
      <fill>
        <patternFill>
          <bgColor rgb="FFFFC000"/>
        </patternFill>
      </fill>
    </dxf>
    <dxf>
      <font>
        <color rgb="FFFFFFFF"/>
      </font>
      <fill>
        <patternFill>
          <bgColor rgb="FFCB0000"/>
        </patternFill>
      </fill>
    </dxf>
    <dxf>
      <font>
        <color rgb="FF383745"/>
      </font>
      <fill>
        <patternFill>
          <bgColor rgb="FF92D050"/>
        </patternFill>
      </fill>
    </dxf>
    <dxf>
      <font>
        <color rgb="FF383745"/>
      </font>
      <fill>
        <patternFill>
          <bgColor rgb="FF92D050"/>
        </patternFill>
      </fill>
    </dxf>
    <dxf>
      <font>
        <color rgb="FFFFFFFF"/>
      </font>
      <fill>
        <patternFill>
          <bgColor rgb="FFCB0000"/>
        </patternFill>
      </fill>
    </dxf>
    <dxf>
      <font>
        <color rgb="FF383745"/>
      </font>
      <fill>
        <patternFill>
          <bgColor rgb="FFE0DCD3"/>
        </patternFill>
      </fill>
    </dxf>
    <dxf>
      <font>
        <color rgb="FFFFFFFF"/>
      </font>
      <fill>
        <patternFill>
          <bgColor rgb="FFCB0000"/>
        </patternFill>
      </fill>
    </dxf>
    <dxf>
      <font>
        <color rgb="FF383745"/>
      </font>
      <fill>
        <patternFill>
          <bgColor rgb="FFFFC000"/>
        </patternFill>
      </fill>
    </dxf>
    <dxf>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C000"/>
        </patternFill>
      </fill>
    </dxf>
    <dxf>
      <fill>
        <patternFill>
          <bgColor rgb="FFFFC000"/>
        </patternFill>
      </fill>
    </dxf>
    <dxf>
      <font>
        <color rgb="FF383745"/>
      </font>
      <fill>
        <patternFill>
          <bgColor rgb="FFFFC000"/>
        </patternFill>
      </fill>
    </dxf>
    <dxf>
      <font>
        <color theme="0"/>
      </font>
      <fill>
        <patternFill>
          <bgColor rgb="FFCB0000"/>
        </patternFill>
      </fill>
    </dxf>
    <dxf>
      <fill>
        <patternFill>
          <bgColor rgb="FFFFC000"/>
        </patternFill>
      </fill>
    </dxf>
    <dxf>
      <fill>
        <patternFill>
          <bgColor rgb="FFFFC000"/>
        </patternFill>
      </fill>
    </dxf>
    <dxf>
      <fill>
        <patternFill>
          <bgColor rgb="FFFFC000"/>
        </patternFill>
      </fill>
    </dxf>
    <dxf>
      <fill>
        <patternFill>
          <bgColor rgb="FFFFC000"/>
        </patternFill>
      </fill>
    </dxf>
    <dxf>
      <font>
        <color theme="0"/>
      </font>
      <fill>
        <patternFill>
          <bgColor rgb="FFCB0000"/>
        </patternFill>
      </fill>
    </dxf>
    <dxf>
      <font>
        <color rgb="FF383745"/>
      </font>
      <fill>
        <patternFill>
          <bgColor rgb="FF92D050"/>
        </patternFill>
      </fill>
    </dxf>
    <dxf>
      <font>
        <color rgb="FF383745"/>
      </font>
      <fill>
        <patternFill>
          <bgColor rgb="FFFFC000"/>
        </patternFill>
      </fill>
    </dxf>
    <dxf>
      <font>
        <color rgb="FF000000"/>
      </font>
      <fill>
        <patternFill>
          <bgColor theme="6" tint="-0.24994659260841701"/>
        </patternFill>
      </fill>
    </dxf>
    <dxf>
      <font>
        <color rgb="FF383745"/>
      </font>
      <fill>
        <patternFill>
          <bgColor theme="6"/>
        </patternFill>
      </fill>
    </dxf>
    <dxf>
      <font>
        <color rgb="FF383745"/>
      </font>
      <fill>
        <patternFill>
          <bgColor theme="8" tint="-0.24994659260841701"/>
        </patternFill>
      </fill>
    </dxf>
    <dxf>
      <font>
        <color rgb="FF383745"/>
      </font>
      <fill>
        <patternFill>
          <fgColor auto="1"/>
          <bgColor theme="8" tint="0.59996337778862885"/>
        </patternFill>
      </fill>
    </dxf>
    <dxf>
      <fill>
        <patternFill>
          <bgColor rgb="FFFFC000"/>
        </patternFill>
      </fill>
    </dxf>
    <dxf>
      <font>
        <color theme="0"/>
      </font>
      <fill>
        <patternFill>
          <bgColor rgb="FFC00000"/>
        </patternFill>
      </fill>
    </dxf>
    <dxf>
      <font>
        <color theme="0"/>
      </font>
      <fill>
        <patternFill>
          <bgColor rgb="FFC00000"/>
        </patternFill>
      </fill>
    </dxf>
    <dxf>
      <font>
        <color theme="0"/>
      </font>
      <fill>
        <patternFill>
          <bgColor rgb="FFC00000"/>
        </patternFill>
      </fill>
    </dxf>
    <dxf>
      <font>
        <color theme="0"/>
      </font>
      <fill>
        <patternFill>
          <bgColor rgb="FFC00000"/>
        </patternFill>
      </fill>
    </dxf>
    <dxf>
      <font>
        <color theme="0"/>
      </font>
      <fill>
        <patternFill>
          <bgColor rgb="FFC00000"/>
        </patternFill>
      </fill>
    </dxf>
    <dxf>
      <font>
        <color rgb="FFFFFFFF"/>
      </font>
      <fill>
        <patternFill>
          <bgColor rgb="FFCB0000"/>
        </patternFill>
      </fill>
    </dxf>
    <dxf>
      <fill>
        <patternFill>
          <bgColor rgb="FFFFC000"/>
        </patternFill>
      </fill>
    </dxf>
    <dxf>
      <font>
        <color rgb="FFFFFFFF"/>
      </font>
      <fill>
        <patternFill>
          <bgColor rgb="FFCB0000"/>
        </patternFill>
      </fill>
    </dxf>
    <dxf>
      <fill>
        <patternFill>
          <bgColor rgb="FFFFC000"/>
        </patternFill>
      </fill>
    </dxf>
    <dxf>
      <font>
        <color auto="1"/>
      </font>
      <fill>
        <patternFill>
          <bgColor rgb="FFE0DCD3"/>
        </patternFill>
      </fill>
    </dxf>
    <dxf>
      <font>
        <color rgb="FF383745"/>
      </font>
      <fill>
        <patternFill>
          <bgColor rgb="FF92D050"/>
        </patternFill>
      </fill>
    </dxf>
    <dxf>
      <font>
        <color rgb="FFFFFFFF"/>
      </font>
      <fill>
        <patternFill>
          <bgColor rgb="FFCB0000"/>
        </patternFill>
      </fill>
    </dxf>
    <dxf>
      <font>
        <color rgb="FFFFFFFF"/>
      </font>
      <fill>
        <patternFill>
          <bgColor rgb="FFCB0000"/>
        </patternFill>
      </fill>
    </dxf>
    <dxf>
      <font>
        <color auto="1"/>
      </font>
      <fill>
        <patternFill>
          <bgColor rgb="FFFFC000"/>
        </patternFill>
      </fill>
    </dxf>
    <dxf>
      <fill>
        <patternFill>
          <bgColor rgb="FFFFC000"/>
        </patternFill>
      </fill>
    </dxf>
    <dxf>
      <fill>
        <patternFill>
          <bgColor rgb="FFFF0000"/>
        </patternFill>
      </fill>
    </dxf>
    <dxf>
      <font>
        <color rgb="FF383745"/>
      </font>
      <fill>
        <patternFill>
          <bgColor rgb="FFFFC000"/>
        </patternFill>
      </fill>
    </dxf>
    <dxf>
      <font>
        <color rgb="FFFFFFFF"/>
      </font>
      <fill>
        <patternFill>
          <bgColor rgb="FFCB0000"/>
        </patternFill>
      </fill>
    </dxf>
    <dxf>
      <fill>
        <patternFill>
          <bgColor rgb="FFFF0000"/>
        </patternFill>
      </fill>
    </dxf>
    <dxf>
      <fill>
        <patternFill>
          <bgColor rgb="FFFF0000"/>
        </patternFill>
      </fill>
    </dxf>
    <dxf>
      <font>
        <color rgb="FFFFFFFF"/>
      </font>
      <fill>
        <patternFill>
          <bgColor rgb="FFCB0000"/>
        </patternFill>
      </fill>
    </dxf>
    <dxf>
      <font>
        <color rgb="FFFFFFFF"/>
      </font>
      <fill>
        <patternFill>
          <bgColor rgb="FFCB0000"/>
        </patternFill>
      </fill>
    </dxf>
    <dxf>
      <font>
        <color theme="0"/>
      </font>
      <fill>
        <patternFill>
          <bgColor rgb="FFCB0000"/>
        </patternFill>
      </fill>
    </dxf>
    <dxf>
      <font>
        <color rgb="FF383745"/>
      </font>
      <fill>
        <patternFill>
          <bgColor rgb="FF92D050"/>
        </patternFill>
      </fill>
    </dxf>
    <dxf>
      <font>
        <color rgb="FF383745"/>
      </font>
      <fill>
        <patternFill>
          <bgColor rgb="FF92D050"/>
        </patternFill>
      </fill>
    </dxf>
    <dxf>
      <font>
        <color rgb="FFFFFFFF"/>
      </font>
      <fill>
        <patternFill>
          <bgColor rgb="FFCB0000"/>
        </patternFill>
      </fill>
    </dxf>
    <dxf>
      <font>
        <b/>
        <i val="0"/>
        <color rgb="FFFFFFFF"/>
      </font>
      <fill>
        <patternFill>
          <bgColor rgb="FFCB0000"/>
        </patternFill>
      </fill>
    </dxf>
    <dxf>
      <fill>
        <patternFill>
          <bgColor rgb="FFFF0000"/>
        </patternFill>
      </fill>
    </dxf>
    <dxf>
      <fill>
        <patternFill>
          <bgColor rgb="FFFF0000"/>
        </patternFill>
      </fill>
    </dxf>
    <dxf>
      <fill>
        <patternFill>
          <bgColor rgb="FFFF0000"/>
        </patternFill>
      </fill>
    </dxf>
    <dxf>
      <font>
        <color rgb="FF383745"/>
      </font>
      <fill>
        <patternFill>
          <bgColor rgb="FFFFC000"/>
        </patternFill>
      </fill>
    </dxf>
    <dxf>
      <font>
        <color rgb="FFFFFFFF"/>
      </font>
      <fill>
        <patternFill>
          <bgColor rgb="FFCB0000"/>
        </patternFill>
      </fill>
    </dxf>
    <dxf>
      <font>
        <color rgb="FF383745"/>
      </font>
      <fill>
        <patternFill>
          <bgColor rgb="FFFFC000"/>
        </patternFill>
      </fill>
    </dxf>
    <dxf>
      <font>
        <color rgb="FF383745"/>
      </font>
      <fill>
        <patternFill>
          <bgColor rgb="FFFFC000"/>
        </patternFill>
      </fill>
    </dxf>
    <dxf>
      <font>
        <color rgb="FFFFFFFF"/>
      </font>
      <fill>
        <patternFill>
          <bgColor rgb="FFCB0000"/>
        </patternFill>
      </fill>
    </dxf>
    <dxf>
      <font>
        <color rgb="FF383745"/>
      </font>
      <fill>
        <patternFill>
          <bgColor rgb="FFFFC000"/>
        </patternFill>
      </fill>
    </dxf>
    <dxf>
      <font>
        <color theme="0"/>
      </font>
      <fill>
        <patternFill>
          <bgColor rgb="FFCB0000"/>
        </patternFill>
      </fill>
    </dxf>
    <dxf>
      <font>
        <color rgb="FFFFFFFF"/>
      </font>
      <fill>
        <patternFill>
          <bgColor rgb="FFCB0000"/>
        </patternFill>
      </fill>
    </dxf>
    <dxf>
      <font>
        <color rgb="FFFFFFFF"/>
      </font>
      <fill>
        <patternFill>
          <bgColor rgb="FFCB0000"/>
        </patternFill>
      </fill>
    </dxf>
    <dxf>
      <fill>
        <patternFill>
          <bgColor theme="5" tint="0.59996337778862885"/>
        </patternFill>
      </fill>
    </dxf>
    <dxf>
      <fill>
        <patternFill>
          <bgColor rgb="FFFF0000"/>
        </patternFill>
      </fill>
    </dxf>
    <dxf>
      <fill>
        <patternFill>
          <bgColor theme="5" tint="0.59996337778862885"/>
        </patternFill>
      </fill>
    </dxf>
    <dxf>
      <fill>
        <patternFill>
          <bgColor theme="5" tint="0.59996337778862885"/>
        </patternFill>
      </fill>
    </dxf>
    <dxf>
      <fill>
        <patternFill>
          <bgColor rgb="FFFF0000"/>
        </patternFill>
      </fill>
    </dxf>
    <dxf>
      <fill>
        <patternFill>
          <bgColor theme="5" tint="0.59996337778862885"/>
        </patternFill>
      </fill>
    </dxf>
    <dxf>
      <fill>
        <patternFill>
          <bgColor theme="5" tint="0.59996337778862885"/>
        </patternFill>
      </fill>
    </dxf>
    <dxf>
      <fill>
        <patternFill>
          <bgColor rgb="FFFF0000"/>
        </patternFill>
      </fill>
    </dxf>
    <dxf>
      <fill>
        <patternFill>
          <bgColor theme="5" tint="0.59996337778862885"/>
        </patternFill>
      </fill>
    </dxf>
    <dxf>
      <fill>
        <patternFill>
          <bgColor theme="5" tint="0.59996337778862885"/>
        </patternFill>
      </fill>
    </dxf>
    <dxf>
      <fill>
        <patternFill>
          <bgColor rgb="FFFF0000"/>
        </patternFill>
      </fill>
    </dxf>
    <dxf>
      <fill>
        <patternFill>
          <bgColor theme="5" tint="0.59996337778862885"/>
        </patternFill>
      </fill>
    </dxf>
    <dxf>
      <fill>
        <patternFill>
          <bgColor theme="5" tint="0.59996337778862885"/>
        </patternFill>
      </fill>
    </dxf>
    <dxf>
      <fill>
        <patternFill>
          <bgColor rgb="FFFF0000"/>
        </patternFill>
      </fill>
    </dxf>
    <dxf>
      <fill>
        <patternFill>
          <bgColor theme="5" tint="0.59996337778862885"/>
        </patternFill>
      </fill>
    </dxf>
    <dxf>
      <fill>
        <patternFill>
          <bgColor theme="5" tint="0.59996337778862885"/>
        </patternFill>
      </fill>
    </dxf>
    <dxf>
      <fill>
        <patternFill>
          <bgColor rgb="FFFF0000"/>
        </patternFill>
      </fill>
    </dxf>
    <dxf>
      <fill>
        <patternFill>
          <bgColor theme="5" tint="0.59996337778862885"/>
        </patternFill>
      </fill>
    </dxf>
    <dxf>
      <fill>
        <patternFill>
          <bgColor theme="5" tint="0.59996337778862885"/>
        </patternFill>
      </fill>
    </dxf>
    <dxf>
      <font>
        <color theme="0"/>
      </font>
      <fill>
        <patternFill>
          <bgColor rgb="FFC00000"/>
        </patternFill>
      </fill>
    </dxf>
    <dxf>
      <fill>
        <patternFill>
          <bgColor rgb="FF92D050"/>
        </patternFill>
      </fill>
    </dxf>
    <dxf>
      <fill>
        <patternFill>
          <bgColor rgb="FFFFC000"/>
        </patternFill>
      </fill>
    </dxf>
    <dxf>
      <fill>
        <patternFill>
          <bgColor rgb="FF92D050"/>
        </patternFill>
      </fill>
    </dxf>
    <dxf>
      <fill>
        <patternFill>
          <bgColor rgb="FFFFC000"/>
        </patternFill>
      </fill>
    </dxf>
    <dxf>
      <fill>
        <patternFill>
          <bgColor rgb="FF92D050"/>
        </patternFill>
      </fill>
    </dxf>
    <dxf>
      <fill>
        <patternFill>
          <bgColor theme="6" tint="-0.24994659260841701"/>
        </patternFill>
      </fill>
    </dxf>
    <dxf>
      <fill>
        <patternFill>
          <bgColor rgb="FFFFC000"/>
        </patternFill>
      </fill>
    </dxf>
    <dxf>
      <font>
        <color theme="0"/>
      </font>
      <fill>
        <patternFill>
          <bgColor rgb="FFC00000"/>
        </patternFill>
      </fill>
    </dxf>
    <dxf>
      <fill>
        <patternFill>
          <bgColor rgb="FF92D050"/>
        </patternFill>
      </fill>
    </dxf>
    <dxf>
      <fill>
        <patternFill>
          <bgColor rgb="FF92D050"/>
        </patternFill>
      </fill>
    </dxf>
    <dxf>
      <fill>
        <patternFill>
          <bgColor rgb="FFFFC000"/>
        </patternFill>
      </fill>
    </dxf>
    <dxf>
      <font>
        <color theme="0"/>
      </font>
      <fill>
        <patternFill>
          <bgColor rgb="FFC00000"/>
        </patternFill>
      </fill>
    </dxf>
    <dxf>
      <fill>
        <patternFill>
          <bgColor rgb="FF92D050"/>
        </patternFill>
      </fill>
    </dxf>
    <dxf>
      <font>
        <color theme="0"/>
      </font>
      <fill>
        <patternFill>
          <bgColor rgb="FFC00000"/>
        </patternFill>
      </fill>
    </dxf>
    <dxf>
      <fill>
        <patternFill>
          <bgColor rgb="FF92D050"/>
        </patternFill>
      </fill>
    </dxf>
    <dxf>
      <font>
        <color theme="0"/>
      </font>
      <fill>
        <patternFill>
          <bgColor rgb="FFC00000"/>
        </patternFill>
      </fill>
    </dxf>
    <dxf>
      <fill>
        <patternFill>
          <bgColor rgb="FF92D050"/>
        </patternFill>
      </fill>
    </dxf>
    <dxf>
      <font>
        <b/>
        <i val="0"/>
        <u val="none"/>
        <color theme="0"/>
      </font>
      <fill>
        <patternFill>
          <bgColor rgb="FFC00000"/>
        </patternFill>
      </fill>
    </dxf>
    <dxf>
      <fill>
        <patternFill>
          <bgColor rgb="FFFFC000"/>
        </patternFill>
      </fill>
    </dxf>
    <dxf>
      <fill>
        <patternFill>
          <bgColor rgb="FF92D050"/>
        </patternFill>
      </fill>
    </dxf>
    <dxf>
      <fill>
        <patternFill>
          <bgColor rgb="FF92D050"/>
        </patternFill>
      </fill>
    </dxf>
    <dxf>
      <fill>
        <patternFill>
          <bgColor rgb="FFFFC000"/>
        </patternFill>
      </fill>
    </dxf>
    <dxf>
      <fill>
        <patternFill>
          <bgColor theme="6" tint="-0.24994659260841701"/>
        </patternFill>
      </fill>
    </dxf>
    <dxf>
      <fill>
        <patternFill>
          <bgColor rgb="FF92D050"/>
        </patternFill>
      </fill>
    </dxf>
    <dxf>
      <fill>
        <patternFill>
          <bgColor theme="6" tint="-0.24994659260841701"/>
        </patternFill>
      </fill>
    </dxf>
    <dxf>
      <fill>
        <patternFill>
          <bgColor rgb="FF92D050"/>
        </patternFill>
      </fill>
    </dxf>
    <dxf>
      <fill>
        <patternFill>
          <bgColor theme="6" tint="-0.24994659260841701"/>
        </patternFill>
      </fill>
    </dxf>
    <dxf>
      <fill>
        <patternFill>
          <bgColor rgb="FF92D050"/>
        </patternFill>
      </fill>
    </dxf>
    <dxf>
      <font>
        <color theme="0"/>
      </font>
      <fill>
        <patternFill>
          <bgColor rgb="FFC00000"/>
        </patternFill>
      </fill>
    </dxf>
    <dxf>
      <fill>
        <patternFill>
          <bgColor rgb="FF92D050"/>
        </patternFill>
      </fill>
    </dxf>
    <dxf>
      <font>
        <u val="none"/>
        <color auto="1"/>
      </font>
      <fill>
        <patternFill>
          <bgColor rgb="FFFFC000"/>
        </patternFill>
      </fill>
    </dxf>
    <dxf>
      <fill>
        <patternFill>
          <bgColor rgb="FF92D050"/>
        </patternFill>
      </fill>
    </dxf>
    <dxf>
      <fill>
        <patternFill>
          <bgColor rgb="FFFFC000"/>
        </patternFill>
      </fill>
    </dxf>
    <dxf>
      <fill>
        <patternFill>
          <bgColor rgb="FF92D050"/>
        </patternFill>
      </fill>
    </dxf>
    <dxf>
      <fill>
        <patternFill>
          <bgColor rgb="FFFFC000"/>
        </patternFill>
      </fill>
    </dxf>
    <dxf>
      <fill>
        <patternFill>
          <bgColor rgb="FF92D050"/>
        </patternFill>
      </fill>
    </dxf>
    <dxf>
      <font>
        <color theme="0"/>
      </font>
      <fill>
        <patternFill>
          <bgColor rgb="FFC00000"/>
        </patternFill>
      </fill>
    </dxf>
    <dxf>
      <fill>
        <patternFill>
          <bgColor rgb="FF92D050"/>
        </patternFill>
      </fill>
    </dxf>
    <dxf>
      <fill>
        <patternFill>
          <bgColor rgb="FF92D050"/>
        </patternFill>
      </fill>
    </dxf>
    <dxf>
      <fill>
        <patternFill>
          <bgColor rgb="FFFFC000"/>
        </patternFill>
      </fill>
    </dxf>
    <dxf>
      <fill>
        <patternFill>
          <bgColor theme="6" tint="-0.24994659260841701"/>
        </patternFill>
      </fill>
    </dxf>
    <dxf>
      <fill>
        <patternFill>
          <bgColor rgb="FF92D050"/>
        </patternFill>
      </fill>
    </dxf>
    <dxf>
      <fill>
        <patternFill>
          <bgColor rgb="FF92D050"/>
        </patternFill>
      </fill>
    </dxf>
    <dxf>
      <font>
        <color theme="0"/>
      </font>
      <fill>
        <patternFill>
          <bgColor rgb="FFC00000"/>
        </patternFill>
      </fill>
    </dxf>
    <dxf>
      <fill>
        <patternFill>
          <bgColor rgb="FFFFC000"/>
        </patternFill>
      </fill>
    </dxf>
    <dxf>
      <fill>
        <patternFill>
          <bgColor rgb="FF92D050"/>
        </patternFill>
      </fill>
    </dxf>
    <dxf>
      <fill>
        <patternFill>
          <bgColor theme="6" tint="-0.24994659260841701"/>
        </patternFill>
      </fill>
    </dxf>
    <dxf>
      <fill>
        <patternFill>
          <bgColor theme="6" tint="-0.24994659260841701"/>
        </patternFill>
      </fill>
    </dxf>
    <dxf>
      <fill>
        <patternFill>
          <bgColor rgb="FF92D050"/>
        </patternFill>
      </fill>
    </dxf>
    <dxf>
      <fill>
        <patternFill>
          <bgColor rgb="FFFFC000"/>
        </patternFill>
      </fill>
    </dxf>
    <dxf>
      <fill>
        <patternFill>
          <bgColor rgb="FF92D050"/>
        </patternFill>
      </fill>
    </dxf>
    <dxf>
      <fill>
        <patternFill>
          <bgColor rgb="FFFFC000"/>
        </patternFill>
      </fill>
    </dxf>
    <dxf>
      <fill>
        <patternFill>
          <bgColor rgb="FF92D050"/>
        </patternFill>
      </fill>
    </dxf>
    <dxf>
      <fill>
        <patternFill>
          <bgColor rgb="FFFFC000"/>
        </patternFill>
      </fill>
    </dxf>
    <dxf>
      <font>
        <color theme="0"/>
      </font>
      <fill>
        <patternFill>
          <bgColor rgb="FFC00000"/>
        </patternFill>
      </fill>
    </dxf>
    <dxf>
      <fill>
        <patternFill>
          <bgColor rgb="FF92D050"/>
        </patternFill>
      </fill>
    </dxf>
    <dxf>
      <fill>
        <patternFill>
          <bgColor rgb="FF92D050"/>
        </patternFill>
      </fill>
    </dxf>
    <dxf>
      <fill>
        <patternFill>
          <bgColor rgb="FFFFC000"/>
        </patternFill>
      </fill>
    </dxf>
    <dxf>
      <font>
        <color theme="0"/>
      </font>
      <fill>
        <patternFill>
          <bgColor rgb="FFC00000"/>
        </patternFill>
      </fill>
    </dxf>
    <dxf>
      <fill>
        <patternFill>
          <bgColor rgb="FF92D050"/>
        </patternFill>
      </fill>
    </dxf>
    <dxf>
      <font>
        <color theme="0"/>
      </font>
      <fill>
        <patternFill>
          <bgColor rgb="FFC00000"/>
        </patternFill>
      </fill>
    </dxf>
    <dxf>
      <fill>
        <patternFill>
          <bgColor rgb="FF92D050"/>
        </patternFill>
      </fill>
    </dxf>
    <dxf>
      <font>
        <color theme="0"/>
      </font>
      <fill>
        <patternFill>
          <bgColor rgb="FFC00000"/>
        </patternFill>
      </fill>
    </dxf>
    <dxf>
      <fill>
        <patternFill>
          <bgColor rgb="FF92D050"/>
        </patternFill>
      </fill>
    </dxf>
    <dxf>
      <fill>
        <patternFill>
          <bgColor rgb="FF92D050"/>
        </patternFill>
      </fill>
    </dxf>
    <dxf>
      <fill>
        <patternFill>
          <bgColor rgb="FFFFC000"/>
        </patternFill>
      </fill>
    </dxf>
    <dxf>
      <fill>
        <patternFill>
          <bgColor rgb="FF92D050"/>
        </patternFill>
      </fill>
    </dxf>
    <dxf>
      <fill>
        <patternFill>
          <bgColor rgb="FF92D050"/>
        </patternFill>
      </fill>
    </dxf>
    <dxf>
      <fill>
        <patternFill>
          <bgColor rgb="FFFFC000"/>
        </patternFill>
      </fill>
    </dxf>
    <dxf>
      <fill>
        <patternFill>
          <bgColor rgb="FFFFC000"/>
        </patternFill>
      </fill>
    </dxf>
    <dxf>
      <font>
        <b/>
        <i val="0"/>
        <color rgb="FFFF0000"/>
      </font>
    </dxf>
    <dxf>
      <font>
        <b/>
        <i val="0"/>
        <color rgb="FFFF0000"/>
      </font>
    </dxf>
    <dxf>
      <font>
        <b/>
        <i val="0"/>
        <color rgb="FFFF0000"/>
      </font>
    </dxf>
    <dxf>
      <font>
        <b/>
        <i val="0"/>
        <color rgb="FFFF0000"/>
      </font>
    </dxf>
    <dxf>
      <font>
        <color auto="1"/>
      </font>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C000"/>
        </patternFill>
      </fill>
    </dxf>
    <dxf>
      <fill>
        <patternFill>
          <bgColor rgb="FFFF0000"/>
        </patternFill>
      </fill>
    </dxf>
    <dxf>
      <font>
        <b/>
        <i val="0"/>
        <color rgb="FFFF0000"/>
      </font>
    </dxf>
    <dxf>
      <font>
        <color rgb="FF000000"/>
      </font>
      <fill>
        <patternFill>
          <bgColor rgb="FFFFC000"/>
        </patternFill>
      </fill>
    </dxf>
    <dxf>
      <fill>
        <patternFill>
          <bgColor rgb="FFFF0000"/>
        </patternFill>
      </fill>
    </dxf>
    <dxf>
      <fill>
        <patternFill>
          <bgColor theme="5"/>
        </patternFill>
      </fill>
    </dxf>
    <dxf>
      <fill>
        <patternFill>
          <bgColor theme="7" tint="0.39994506668294322"/>
        </patternFill>
      </fill>
    </dxf>
    <dxf>
      <fill>
        <patternFill>
          <bgColor theme="4" tint="0.59996337778862885"/>
        </patternFill>
      </fill>
    </dxf>
    <dxf>
      <fill>
        <patternFill>
          <bgColor theme="7" tint="0.79998168889431442"/>
        </patternFill>
      </fill>
    </dxf>
    <dxf>
      <font>
        <color theme="0"/>
      </font>
      <fill>
        <patternFill>
          <bgColor rgb="FFC00000"/>
        </patternFill>
      </fill>
    </dxf>
    <dxf>
      <fill>
        <patternFill>
          <bgColor theme="5"/>
        </patternFill>
      </fill>
    </dxf>
    <dxf>
      <fill>
        <patternFill>
          <bgColor theme="7" tint="0.39994506668294322"/>
        </patternFill>
      </fill>
    </dxf>
    <dxf>
      <fill>
        <patternFill>
          <bgColor theme="4" tint="0.59996337778862885"/>
        </patternFill>
      </fill>
    </dxf>
    <dxf>
      <fill>
        <patternFill>
          <bgColor theme="7" tint="0.79998168889431442"/>
        </patternFill>
      </fill>
    </dxf>
    <dxf>
      <font>
        <color rgb="FF383745"/>
      </font>
      <fill>
        <patternFill>
          <bgColor rgb="FF92D050"/>
        </patternFill>
      </fill>
    </dxf>
    <dxf>
      <font>
        <color rgb="FF383745"/>
      </font>
      <fill>
        <patternFill>
          <bgColor rgb="FF92D050"/>
        </patternFill>
      </fill>
    </dxf>
    <dxf>
      <font>
        <color rgb="FF383745"/>
      </font>
      <fill>
        <patternFill>
          <bgColor rgb="FF92D050"/>
        </patternFill>
      </fill>
    </dxf>
    <dxf>
      <fill>
        <patternFill>
          <bgColor rgb="FFFFC000"/>
        </patternFill>
      </fill>
    </dxf>
    <dxf>
      <font>
        <color auto="1"/>
      </font>
      <fill>
        <patternFill>
          <bgColor rgb="FFFFC000"/>
        </patternFill>
      </fill>
    </dxf>
    <dxf>
      <font>
        <color theme="0"/>
      </font>
      <fill>
        <patternFill>
          <bgColor rgb="FFC00000"/>
        </patternFill>
      </fill>
    </dxf>
    <dxf>
      <font>
        <color rgb="FF383745"/>
      </font>
      <fill>
        <patternFill>
          <bgColor rgb="FFFFC000"/>
        </patternFill>
      </fill>
    </dxf>
    <dxf>
      <font>
        <color theme="0"/>
      </font>
      <fill>
        <patternFill>
          <bgColor rgb="FFC00000"/>
        </patternFill>
      </fill>
    </dxf>
    <dxf>
      <font>
        <b/>
        <i val="0"/>
        <color rgb="FFFF0000"/>
      </font>
    </dxf>
    <dxf>
      <font>
        <b/>
        <i val="0"/>
        <color rgb="FFFF0000"/>
      </font>
    </dxf>
    <dxf>
      <font>
        <b/>
        <i val="0"/>
        <color rgb="FFFF0000"/>
      </font>
    </dxf>
    <dxf>
      <font>
        <color theme="0"/>
      </font>
      <fill>
        <patternFill>
          <bgColor rgb="FFC00000"/>
        </patternFill>
      </fill>
    </dxf>
    <dxf>
      <font>
        <color rgb="FF383745"/>
      </font>
      <fill>
        <patternFill>
          <bgColor rgb="FFFFC000"/>
        </patternFill>
      </fill>
    </dxf>
    <dxf>
      <font>
        <color theme="0"/>
      </font>
      <fill>
        <patternFill>
          <bgColor rgb="FFC00000"/>
        </patternFill>
      </fill>
    </dxf>
    <dxf>
      <font>
        <b/>
        <i val="0"/>
        <color rgb="FFFF0000"/>
      </font>
    </dxf>
    <dxf>
      <font>
        <color theme="0"/>
      </font>
      <fill>
        <patternFill>
          <bgColor rgb="FFC00000"/>
        </patternFill>
      </fill>
    </dxf>
    <dxf>
      <font>
        <color rgb="FF383745"/>
      </font>
      <fill>
        <patternFill>
          <bgColor rgb="FFFFC000"/>
        </patternFill>
      </fill>
    </dxf>
    <dxf>
      <font>
        <color theme="0"/>
      </font>
      <fill>
        <patternFill>
          <bgColor rgb="FFC00000"/>
        </patternFill>
      </fill>
    </dxf>
    <dxf>
      <font>
        <color theme="0"/>
      </font>
      <fill>
        <patternFill>
          <bgColor rgb="FFC00000"/>
        </patternFill>
      </fill>
    </dxf>
    <dxf>
      <font>
        <color rgb="FF383745"/>
      </font>
      <fill>
        <patternFill>
          <bgColor rgb="FFFFC000"/>
        </patternFill>
      </fill>
    </dxf>
    <dxf>
      <font>
        <color theme="0"/>
      </font>
      <fill>
        <patternFill>
          <bgColor rgb="FFC00000"/>
        </patternFill>
      </fill>
    </dxf>
    <dxf>
      <font>
        <color theme="0"/>
      </font>
      <fill>
        <patternFill>
          <bgColor rgb="FFC00000"/>
        </patternFill>
      </fill>
    </dxf>
    <dxf>
      <font>
        <color rgb="FF383745"/>
      </font>
      <fill>
        <patternFill>
          <bgColor rgb="FFFFC000"/>
        </patternFill>
      </fill>
    </dxf>
    <dxf>
      <font>
        <color theme="0"/>
      </font>
      <fill>
        <patternFill>
          <bgColor rgb="FFC00000"/>
        </patternFill>
      </fill>
    </dxf>
    <dxf>
      <font>
        <color theme="0"/>
      </font>
      <fill>
        <patternFill>
          <bgColor rgb="FFC00000"/>
        </patternFill>
      </fill>
    </dxf>
    <dxf>
      <font>
        <color rgb="FF383745"/>
      </font>
      <fill>
        <patternFill>
          <bgColor rgb="FFFFC000"/>
        </patternFill>
      </fill>
    </dxf>
    <dxf>
      <font>
        <color rgb="FF383745"/>
      </font>
      <fill>
        <patternFill>
          <bgColor rgb="FF92D050"/>
        </patternFill>
      </fill>
    </dxf>
    <dxf>
      <font>
        <color rgb="FF383745"/>
      </font>
      <fill>
        <patternFill>
          <bgColor rgb="FFFFC000"/>
        </patternFill>
      </fill>
    </dxf>
    <dxf>
      <font>
        <color theme="0"/>
      </font>
      <fill>
        <patternFill>
          <bgColor rgb="FFC00000"/>
        </patternFill>
      </fill>
    </dxf>
    <dxf>
      <font>
        <color rgb="FF383745"/>
      </font>
      <fill>
        <patternFill>
          <bgColor rgb="FFFFC000"/>
        </patternFill>
      </fill>
    </dxf>
    <dxf>
      <font>
        <color rgb="FF383745"/>
      </font>
      <fill>
        <patternFill>
          <bgColor rgb="FFFFC000"/>
        </patternFill>
      </fill>
    </dxf>
    <dxf>
      <font>
        <color rgb="FF383745"/>
      </font>
      <fill>
        <patternFill>
          <bgColor rgb="FF92D050"/>
        </patternFill>
      </fill>
    </dxf>
    <dxf>
      <font>
        <color rgb="FF383745"/>
      </font>
      <fill>
        <patternFill>
          <bgColor rgb="FFFFC000"/>
        </patternFill>
      </fill>
    </dxf>
    <dxf>
      <fill>
        <patternFill>
          <bgColor rgb="FFFFC000"/>
        </patternFill>
      </fill>
    </dxf>
    <dxf>
      <font>
        <color theme="0"/>
      </font>
      <fill>
        <patternFill>
          <bgColor rgb="FFC00000"/>
        </patternFill>
      </fill>
    </dxf>
    <dxf>
      <font>
        <color rgb="FF383745"/>
      </font>
      <fill>
        <patternFill>
          <bgColor rgb="FFFFC000"/>
        </patternFill>
      </fill>
    </dxf>
    <dxf>
      <font>
        <color rgb="FF383745"/>
      </font>
      <fill>
        <patternFill>
          <bgColor rgb="FFFFC000"/>
        </patternFill>
      </fill>
    </dxf>
    <dxf>
      <font>
        <color rgb="FF383745"/>
      </font>
      <fill>
        <patternFill>
          <bgColor rgb="FF92D050"/>
        </patternFill>
      </fill>
    </dxf>
    <dxf>
      <font>
        <color rgb="FF383745"/>
      </font>
      <fill>
        <patternFill>
          <bgColor rgb="FFFFC000"/>
        </patternFill>
      </fill>
    </dxf>
    <dxf>
      <font>
        <color theme="0"/>
      </font>
      <fill>
        <patternFill>
          <bgColor rgb="FFC00000"/>
        </patternFill>
      </fill>
    </dxf>
    <dxf>
      <font>
        <color rgb="FF383745"/>
      </font>
      <fill>
        <patternFill>
          <bgColor rgb="FFFFC000"/>
        </patternFill>
      </fill>
    </dxf>
    <dxf>
      <font>
        <color rgb="FF383745"/>
      </font>
      <fill>
        <patternFill>
          <bgColor rgb="FFFFC000"/>
        </patternFill>
      </fill>
    </dxf>
    <dxf>
      <fill>
        <patternFill>
          <bgColor rgb="FFFFC000"/>
        </patternFill>
      </fill>
    </dxf>
    <dxf>
      <fill>
        <patternFill>
          <bgColor rgb="FFFFC000"/>
        </patternFill>
      </fill>
    </dxf>
    <dxf>
      <fill>
        <patternFill>
          <bgColor rgb="FFFFC000"/>
        </patternFill>
      </fill>
    </dxf>
    <dxf>
      <font>
        <color theme="0"/>
      </font>
      <fill>
        <patternFill>
          <bgColor rgb="FFC00000"/>
        </patternFill>
      </fill>
    </dxf>
    <dxf>
      <fill>
        <patternFill>
          <bgColor rgb="FFFFC000"/>
        </patternFill>
      </fill>
    </dxf>
    <dxf>
      <font>
        <color theme="0"/>
      </font>
      <fill>
        <patternFill>
          <bgColor rgb="FFC00000"/>
        </patternFill>
      </fill>
    </dxf>
    <dxf>
      <fill>
        <patternFill>
          <bgColor rgb="FFFFC000"/>
        </patternFill>
      </fill>
    </dxf>
    <dxf>
      <font>
        <color theme="0"/>
      </font>
      <fill>
        <patternFill>
          <bgColor rgb="FFC00000"/>
        </patternFill>
      </fill>
    </dxf>
    <dxf>
      <fill>
        <patternFill>
          <bgColor rgb="FF92D050"/>
        </patternFill>
      </fill>
    </dxf>
    <dxf>
      <fill>
        <patternFill>
          <bgColor theme="1"/>
        </patternFill>
      </fill>
    </dxf>
    <dxf>
      <font>
        <color theme="0"/>
      </font>
      <fill>
        <patternFill>
          <bgColor rgb="FFC00000"/>
        </patternFill>
      </fill>
    </dxf>
    <dxf>
      <fill>
        <patternFill>
          <bgColor rgb="FFFFC000"/>
        </patternFill>
      </fill>
    </dxf>
    <dxf>
      <font>
        <color theme="0"/>
      </font>
      <fill>
        <patternFill>
          <bgColor rgb="FFC00000"/>
        </patternFill>
      </fill>
    </dxf>
    <dxf>
      <fill>
        <patternFill>
          <bgColor rgb="FFFFC000"/>
        </patternFill>
      </fill>
    </dxf>
    <dxf>
      <fill>
        <patternFill>
          <bgColor rgb="FFFF0000"/>
        </patternFill>
      </fill>
    </dxf>
    <dxf>
      <fill>
        <patternFill>
          <bgColor rgb="FFFFC000"/>
        </patternFill>
      </fill>
    </dxf>
    <dxf>
      <font>
        <color theme="0"/>
      </font>
      <fill>
        <patternFill>
          <bgColor rgb="FFC00000"/>
        </patternFill>
      </fill>
    </dxf>
    <dxf>
      <fill>
        <patternFill>
          <bgColor rgb="FFFFC000"/>
        </patternFill>
      </fill>
    </dxf>
    <dxf>
      <font>
        <color theme="0"/>
      </font>
      <fill>
        <patternFill>
          <bgColor rgb="FFC00000"/>
        </patternFill>
      </fill>
    </dxf>
    <dxf>
      <fill>
        <patternFill>
          <bgColor rgb="FFFFC000"/>
        </patternFill>
      </fill>
    </dxf>
    <dxf>
      <font>
        <color rgb="FF383745"/>
      </font>
      <fill>
        <patternFill>
          <bgColor rgb="FF92D050"/>
        </patternFill>
      </fill>
    </dxf>
    <dxf>
      <font>
        <color theme="0"/>
      </font>
      <fill>
        <patternFill>
          <bgColor rgb="FFC00000"/>
        </patternFill>
      </fill>
    </dxf>
    <dxf>
      <font>
        <color theme="0"/>
      </font>
      <fill>
        <patternFill>
          <bgColor rgb="FFC00000"/>
        </patternFill>
      </fill>
    </dxf>
    <dxf>
      <font>
        <color rgb="FF383745"/>
      </font>
      <fill>
        <patternFill>
          <bgColor rgb="FFFFC000"/>
        </patternFill>
      </fill>
    </dxf>
    <dxf>
      <font>
        <color rgb="FF383745"/>
      </font>
      <fill>
        <patternFill>
          <bgColor rgb="FFFFC000"/>
        </patternFill>
      </fill>
    </dxf>
    <dxf>
      <font>
        <color rgb="FF383745"/>
      </font>
      <fill>
        <patternFill>
          <bgColor rgb="FFFFC000"/>
        </patternFill>
      </fill>
    </dxf>
    <dxf>
      <font>
        <color theme="0"/>
      </font>
      <fill>
        <patternFill>
          <bgColor rgb="FFC00000"/>
        </patternFill>
      </fill>
    </dxf>
    <dxf>
      <font>
        <color theme="0"/>
      </font>
      <fill>
        <patternFill>
          <bgColor rgb="FFC00000"/>
        </patternFill>
      </fill>
    </dxf>
    <dxf>
      <font>
        <color theme="0"/>
      </font>
      <fill>
        <patternFill>
          <bgColor rgb="FFC00000"/>
        </patternFill>
      </fill>
    </dxf>
    <dxf>
      <font>
        <color theme="0"/>
      </font>
      <fill>
        <patternFill>
          <bgColor rgb="FFC00000"/>
        </patternFill>
      </fill>
    </dxf>
    <dxf>
      <font>
        <color theme="0"/>
      </font>
      <fill>
        <patternFill>
          <bgColor rgb="FFC00000"/>
        </patternFill>
      </fill>
    </dxf>
    <dxf>
      <font>
        <b/>
        <i val="0"/>
        <color rgb="FFFF0000"/>
      </font>
    </dxf>
    <dxf>
      <font>
        <color rgb="FF383745"/>
      </font>
      <fill>
        <patternFill>
          <bgColor rgb="FFFFC000"/>
        </patternFill>
      </fill>
    </dxf>
    <dxf>
      <font>
        <color theme="0"/>
      </font>
      <fill>
        <patternFill>
          <bgColor rgb="FFC00000"/>
        </patternFill>
      </fill>
    </dxf>
    <dxf>
      <font>
        <color rgb="FF006100"/>
      </font>
      <fill>
        <patternFill>
          <bgColor rgb="FFC6EFCE"/>
        </patternFill>
      </fill>
    </dxf>
    <dxf>
      <font>
        <color rgb="FF9C0006"/>
      </font>
      <fill>
        <patternFill>
          <bgColor rgb="FFFFC7CE"/>
        </patternFill>
      </fill>
    </dxf>
    <dxf>
      <font>
        <color theme="0"/>
      </font>
      <fill>
        <patternFill>
          <bgColor rgb="FFC00000"/>
        </patternFill>
      </fill>
    </dxf>
    <dxf>
      <fill>
        <patternFill>
          <bgColor rgb="FFFFC000"/>
        </patternFill>
      </fill>
    </dxf>
    <dxf>
      <fill>
        <patternFill>
          <bgColor theme="7" tint="-0.499984740745262"/>
        </patternFill>
      </fill>
    </dxf>
    <dxf>
      <fill>
        <patternFill>
          <bgColor theme="7" tint="-0.499984740745262"/>
        </patternFill>
      </fill>
    </dxf>
    <dxf>
      <fill>
        <patternFill>
          <bgColor theme="7" tint="-0.499984740745262"/>
        </patternFill>
      </fill>
    </dxf>
    <dxf>
      <fill>
        <patternFill>
          <bgColor rgb="FF663300"/>
        </patternFill>
      </fill>
    </dxf>
    <dxf>
      <fill>
        <patternFill>
          <bgColor rgb="FF0033CC"/>
        </patternFill>
      </fill>
    </dxf>
    <dxf>
      <fill>
        <patternFill>
          <bgColor rgb="FF006600"/>
        </patternFill>
      </fill>
    </dxf>
    <dxf>
      <fill>
        <patternFill>
          <bgColor rgb="FF92D050"/>
        </patternFill>
      </fill>
    </dxf>
    <dxf>
      <fill>
        <patternFill>
          <bgColor rgb="FFFF0000"/>
        </patternFill>
      </fill>
    </dxf>
    <dxf>
      <fill>
        <patternFill>
          <bgColor rgb="FFFFC000"/>
        </patternFill>
      </fill>
    </dxf>
    <dxf>
      <fill>
        <patternFill>
          <bgColor rgb="FFFF0000"/>
        </patternFill>
      </fill>
    </dxf>
    <dxf>
      <fill>
        <patternFill>
          <bgColor rgb="FFFFC000"/>
        </patternFill>
      </fill>
    </dxf>
    <dxf>
      <font>
        <color rgb="FFFFFFFF"/>
      </font>
      <fill>
        <patternFill>
          <bgColor rgb="FFCB0000"/>
        </patternFill>
      </fill>
    </dxf>
    <dxf>
      <font>
        <color rgb="FF383745"/>
      </font>
      <fill>
        <patternFill>
          <bgColor rgb="FFFFC000"/>
        </patternFill>
      </fill>
    </dxf>
    <dxf>
      <fill>
        <patternFill>
          <bgColor rgb="FFFFC000"/>
        </patternFill>
      </fill>
    </dxf>
    <dxf>
      <fill>
        <patternFill>
          <bgColor rgb="FF92D050"/>
        </patternFill>
      </fill>
    </dxf>
    <dxf>
      <font>
        <color rgb="FFFFFFFF"/>
      </font>
      <fill>
        <patternFill>
          <bgColor rgb="FFCB0000"/>
        </patternFill>
      </fill>
    </dxf>
  </dxfs>
  <tableStyles count="0" defaultTableStyle="TableStyleMedium2" defaultPivotStyle="PivotStyleLight16"/>
  <colors>
    <mruColors>
      <color rgb="FF000000"/>
      <color rgb="FFABC3C9"/>
      <color rgb="FFFFFF99"/>
      <color rgb="FFE0DCD3"/>
      <color rgb="FFDD7979"/>
      <color rgb="FF383745"/>
      <color rgb="FFF4D4D4"/>
      <color rgb="FFCB0000"/>
      <color rgb="FFD5D3DC"/>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externalLink" Target="externalLinks/externalLink1.xml"/><Relationship Id="rId47" Type="http://schemas.openxmlformats.org/officeDocument/2006/relationships/styles" Target="styles.xml"/><Relationship Id="rId50" Type="http://schemas.openxmlformats.org/officeDocument/2006/relationships/calcChain" Target="calcChain.xml"/><Relationship Id="rId55" Type="http://schemas.microsoft.com/office/2017/06/relationships/rdRichValueTypes" Target="richData/rdRichValueType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externalLink" Target="externalLinks/externalLink4.xml"/><Relationship Id="rId53"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externalLink" Target="externalLinks/externalLink3.xml"/><Relationship Id="rId52"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externalLink" Target="externalLinks/externalLink2.xml"/><Relationship Id="rId48" Type="http://schemas.openxmlformats.org/officeDocument/2006/relationships/sharedStrings" Target="sharedStrings.xml"/><Relationship Id="rId56" Type="http://schemas.microsoft.com/office/2017/06/relationships/rdRichValueStructure" Target="richData/rdrichvaluestructure.xml"/><Relationship Id="rId8" Type="http://schemas.openxmlformats.org/officeDocument/2006/relationships/worksheet" Target="worksheets/sheet8.xml"/><Relationship Id="rId51" Type="http://schemas.openxmlformats.org/officeDocument/2006/relationships/customXml" Target="../customXml/item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theme" Target="theme/theme1.xml"/><Relationship Id="rId20" Type="http://schemas.openxmlformats.org/officeDocument/2006/relationships/worksheet" Target="worksheets/sheet20.xml"/><Relationship Id="rId41" Type="http://schemas.openxmlformats.org/officeDocument/2006/relationships/worksheet" Target="worksheets/sheet41.xml"/><Relationship Id="rId54" Type="http://schemas.microsoft.com/office/2017/06/relationships/rdRichValue" Target="richData/rdrichvalue.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sheetMetadata" Target="metadata.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3" Type="http://schemas.openxmlformats.org/officeDocument/2006/relationships/themeOverride" Target="../theme/themeOverride1.xml"/><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5.xml.rels><?xml version="1.0" encoding="UTF-8" standalone="yes"?>
<Relationships xmlns="http://schemas.openxmlformats.org/package/2006/relationships"><Relationship Id="rId3" Type="http://schemas.openxmlformats.org/officeDocument/2006/relationships/themeOverride" Target="../theme/themeOverride2.xml"/><Relationship Id="rId2" Type="http://schemas.microsoft.com/office/2011/relationships/chartColorStyle" Target="colors15.xml"/><Relationship Id="rId1" Type="http://schemas.microsoft.com/office/2011/relationships/chartStyle" Target="style15.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accent1"/>
                </a:solidFill>
                <a:latin typeface="+mn-lt"/>
                <a:ea typeface="+mn-ea"/>
                <a:cs typeface="+mn-cs"/>
              </a:defRPr>
            </a:pPr>
            <a:r>
              <a:rPr lang="en-GB"/>
              <a:t>On-site</a:t>
            </a:r>
            <a:r>
              <a:rPr lang="en-GB" baseline="0"/>
              <a:t> and off-site h</a:t>
            </a:r>
            <a:r>
              <a:rPr lang="en-GB"/>
              <a:t>abitat retention by category</a:t>
            </a:r>
          </a:p>
          <a:p>
            <a:pPr>
              <a:defRPr/>
            </a:pPr>
            <a:r>
              <a:rPr lang="en-GB"/>
              <a:t>area (hectares) </a:t>
            </a:r>
          </a:p>
        </c:rich>
      </c:tx>
      <c:layout>
        <c:manualLayout>
          <c:xMode val="edge"/>
          <c:yMode val="edge"/>
          <c:x val="0.13457223611893002"/>
          <c:y val="5.1159398406272344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accent1"/>
              </a:solidFill>
              <a:latin typeface="+mn-lt"/>
              <a:ea typeface="+mn-ea"/>
              <a:cs typeface="+mn-cs"/>
            </a:defRPr>
          </a:pPr>
          <a:endParaRPr lang="en-US"/>
        </a:p>
      </c:txPr>
    </c:title>
    <c:autoTitleDeleted val="0"/>
    <c:plotArea>
      <c:layout>
        <c:manualLayout>
          <c:layoutTarget val="inner"/>
          <c:xMode val="edge"/>
          <c:yMode val="edge"/>
          <c:x val="9.286760338860417E-2"/>
          <c:y val="0.25669784416568614"/>
          <c:w val="0.84184501105635412"/>
          <c:h val="0.58518004935950718"/>
        </c:manualLayout>
      </c:layout>
      <c:barChart>
        <c:barDir val="col"/>
        <c:grouping val="clustered"/>
        <c:varyColors val="1"/>
        <c:ser>
          <c:idx val="0"/>
          <c:order val="0"/>
          <c:invertIfNegative val="0"/>
          <c:dPt>
            <c:idx val="0"/>
            <c:invertIfNegative val="0"/>
            <c:bubble3D val="0"/>
            <c:spPr>
              <a:solidFill>
                <a:schemeClr val="accent1"/>
              </a:solidFill>
              <a:ln w="19050">
                <a:solidFill>
                  <a:schemeClr val="lt1"/>
                </a:solidFill>
              </a:ln>
              <a:effectLst/>
            </c:spPr>
            <c:extLst>
              <c:ext xmlns:c16="http://schemas.microsoft.com/office/drawing/2014/chart" uri="{C3380CC4-5D6E-409C-BE32-E72D297353CC}">
                <c16:uniqueId val="{00000001-FFDB-48A4-9C8F-5E3F38ED824F}"/>
              </c:ext>
            </c:extLst>
          </c:dPt>
          <c:dPt>
            <c:idx val="1"/>
            <c:invertIfNegative val="0"/>
            <c:bubble3D val="0"/>
            <c:spPr>
              <a:solidFill>
                <a:schemeClr val="accent2"/>
              </a:solidFill>
              <a:ln w="19050">
                <a:solidFill>
                  <a:schemeClr val="lt1"/>
                </a:solidFill>
              </a:ln>
              <a:effectLst/>
            </c:spPr>
            <c:extLst>
              <c:ext xmlns:c16="http://schemas.microsoft.com/office/drawing/2014/chart" uri="{C3380CC4-5D6E-409C-BE32-E72D297353CC}">
                <c16:uniqueId val="{00000003-FFDB-48A4-9C8F-5E3F38ED824F}"/>
              </c:ext>
            </c:extLst>
          </c:dPt>
          <c:dPt>
            <c:idx val="2"/>
            <c:invertIfNegative val="0"/>
            <c:bubble3D val="0"/>
            <c:spPr>
              <a:solidFill>
                <a:schemeClr val="accent3"/>
              </a:solidFill>
              <a:ln w="19050">
                <a:solidFill>
                  <a:schemeClr val="lt1"/>
                </a:solidFill>
              </a:ln>
              <a:effectLst/>
            </c:spPr>
            <c:extLst>
              <c:ext xmlns:c16="http://schemas.microsoft.com/office/drawing/2014/chart" uri="{C3380CC4-5D6E-409C-BE32-E72D297353CC}">
                <c16:uniqueId val="{00000005-FFDB-48A4-9C8F-5E3F38ED824F}"/>
              </c:ext>
            </c:extLst>
          </c:dPt>
          <c:dLbls>
            <c:spPr>
              <a:noFill/>
              <a:ln>
                <a:noFill/>
              </a:ln>
              <a:effectLst/>
            </c:spPr>
            <c:txPr>
              <a:bodyPr rot="0" spcFirstLastPara="1" vertOverflow="ellipsis" vert="horz" wrap="square" anchor="ctr" anchorCtr="1"/>
              <a:lstStyle/>
              <a:p>
                <a:pPr>
                  <a:defRPr sz="900" b="0" i="0" u="none" strike="noStrike" kern="1200" baseline="0">
                    <a:solidFill>
                      <a:schemeClr val="accent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('Detailed Results'!$B$24,'Detailed Results'!$B$27,'Detailed Results'!$B$30)</c:f>
              <c:strCache>
                <c:ptCount val="3"/>
                <c:pt idx="0">
                  <c:v>Total on-site and off-site baseline area / length retained</c:v>
                </c:pt>
                <c:pt idx="1">
                  <c:v>Area / length proposed for enhancement</c:v>
                </c:pt>
                <c:pt idx="2">
                  <c:v>Total on-site and off-site baseline area / length lost</c:v>
                </c:pt>
              </c:strCache>
            </c:strRef>
          </c:cat>
          <c:val>
            <c:numRef>
              <c:f>('Detailed Results'!$D$24,'Detailed Results'!$D$27,'Detailed Results'!$D$30)</c:f>
              <c:numCache>
                <c:formatCode>0.00</c:formatCode>
                <c:ptCount val="3"/>
                <c:pt idx="0">
                  <c:v>0.85699999999999998</c:v>
                </c:pt>
                <c:pt idx="1">
                  <c:v>0</c:v>
                </c:pt>
                <c:pt idx="2">
                  <c:v>45.938000000000002</c:v>
                </c:pt>
              </c:numCache>
            </c:numRef>
          </c:val>
          <c:extLst>
            <c:ext xmlns:c16="http://schemas.microsoft.com/office/drawing/2014/chart" uri="{C3380CC4-5D6E-409C-BE32-E72D297353CC}">
              <c16:uniqueId val="{00000000-1631-4AA2-9CB0-ED14885E7027}"/>
            </c:ext>
          </c:extLst>
        </c:ser>
        <c:dLbls>
          <c:showLegendKey val="0"/>
          <c:showVal val="0"/>
          <c:showCatName val="0"/>
          <c:showSerName val="0"/>
          <c:showPercent val="0"/>
          <c:showBubbleSize val="0"/>
        </c:dLbls>
        <c:gapWidth val="100"/>
        <c:axId val="81436784"/>
        <c:axId val="81435216"/>
      </c:barChart>
      <c:catAx>
        <c:axId val="81436784"/>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accent1"/>
                </a:solidFill>
                <a:latin typeface="+mn-lt"/>
                <a:ea typeface="+mn-ea"/>
                <a:cs typeface="+mn-cs"/>
              </a:defRPr>
            </a:pPr>
            <a:endParaRPr lang="en-US"/>
          </a:p>
        </c:txPr>
        <c:crossAx val="81435216"/>
        <c:crosses val="autoZero"/>
        <c:auto val="1"/>
        <c:lblAlgn val="ctr"/>
        <c:lblOffset val="100"/>
        <c:noMultiLvlLbl val="0"/>
      </c:catAx>
      <c:valAx>
        <c:axId val="81435216"/>
        <c:scaling>
          <c:orientation val="minMax"/>
        </c:scaling>
        <c:delete val="0"/>
        <c:axPos val="l"/>
        <c:majorGridlines>
          <c:spPr>
            <a:ln w="9525" cap="flat" cmpd="sng" algn="ctr">
              <a:solidFill>
                <a:schemeClr val="tx1">
                  <a:lumMod val="15000"/>
                  <a:lumOff val="85000"/>
                </a:schemeClr>
              </a:solidFill>
              <a:round/>
            </a:ln>
            <a:effectLst/>
          </c:spPr>
        </c:majorGridlines>
        <c:numFmt formatCode="0.0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accent1"/>
                </a:solidFill>
                <a:latin typeface="+mn-lt"/>
                <a:ea typeface="+mn-ea"/>
                <a:cs typeface="+mn-cs"/>
              </a:defRPr>
            </a:pPr>
            <a:endParaRPr lang="en-US"/>
          </a:p>
        </c:txPr>
        <c:crossAx val="81436784"/>
        <c:crosses val="autoZero"/>
        <c:crossBetween val="between"/>
      </c:valAx>
      <c:spPr>
        <a:noFill/>
        <a:ln>
          <a:noFill/>
        </a:ln>
        <a:effectLst/>
      </c:spPr>
    </c:plotArea>
    <c:plotVisOnly val="1"/>
    <c:dispBlanksAs val="gap"/>
    <c:showDLblsOverMax val="0"/>
    <c:extLst/>
  </c:chart>
  <c:spPr>
    <a:solidFill>
      <a:schemeClr val="bg1"/>
    </a:solidFill>
    <a:ln w="9525" cap="flat" cmpd="sng" algn="ctr">
      <a:solidFill>
        <a:schemeClr val="accent1"/>
      </a:solidFill>
      <a:round/>
    </a:ln>
    <a:effectLst/>
  </c:spPr>
  <c:txPr>
    <a:bodyPr/>
    <a:lstStyle/>
    <a:p>
      <a:pPr>
        <a:defRPr>
          <a:solidFill>
            <a:schemeClr val="accent1"/>
          </a:solidFill>
        </a:defRPr>
      </a:pPr>
      <a:endParaRPr lang="en-U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1400" b="0" i="0" u="none" strike="noStrike" kern="1200" spc="0" baseline="0">
                <a:solidFill>
                  <a:schemeClr val="accent1"/>
                </a:solidFill>
                <a:latin typeface="+mn-lt"/>
                <a:ea typeface="+mn-ea"/>
                <a:cs typeface="+mn-cs"/>
              </a:defRPr>
            </a:pPr>
            <a:r>
              <a:rPr lang="en-GB"/>
              <a:t>Hedgerow </a:t>
            </a:r>
            <a:r>
              <a:rPr lang="en-GB" baseline="0"/>
              <a:t>length</a:t>
            </a:r>
            <a:r>
              <a:rPr lang="en-GB"/>
              <a:t> change (km)</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accent1"/>
              </a:solidFill>
              <a:latin typeface="+mn-lt"/>
              <a:ea typeface="+mn-ea"/>
              <a:cs typeface="+mn-cs"/>
            </a:defRPr>
          </a:pPr>
          <a:endParaRPr lang="en-US"/>
        </a:p>
      </c:txPr>
    </c:title>
    <c:autoTitleDeleted val="0"/>
    <c:plotArea>
      <c:layout>
        <c:manualLayout>
          <c:layoutTarget val="inner"/>
          <c:xMode val="edge"/>
          <c:yMode val="edge"/>
          <c:x val="2.9084007377372174E-2"/>
          <c:y val="8.2738591964125793E-2"/>
          <c:w val="0.9616458125661338"/>
          <c:h val="0.74247260297383255"/>
        </c:manualLayout>
      </c:layout>
      <c:barChart>
        <c:barDir val="col"/>
        <c:grouping val="clustered"/>
        <c:varyColors val="0"/>
        <c:ser>
          <c:idx val="0"/>
          <c:order val="0"/>
          <c:tx>
            <c:strRef>
              <c:f>'Detailed Results'!$C$99</c:f>
              <c:strCache>
                <c:ptCount val="1"/>
                <c:pt idx="0">
                  <c:v>On-site existing length </c:v>
                </c:pt>
              </c:strCache>
            </c:strRef>
          </c:tx>
          <c:spPr>
            <a:solidFill>
              <a:srgbClr val="ABC3C9">
                <a:lumMod val="75000"/>
              </a:srgbClr>
            </a:solidFill>
            <a:ln>
              <a:noFill/>
            </a:ln>
            <a:effectLst/>
          </c:spPr>
          <c:invertIfNegative val="0"/>
          <c:cat>
            <c:strRef>
              <c:f>'Detailed Results'!$B$100:$B$112</c:f>
              <c:strCache>
                <c:ptCount val="13"/>
                <c:pt idx="0">
                  <c:v>Species-rich native hedgerow with trees - associated with bank or ditch</c:v>
                </c:pt>
                <c:pt idx="1">
                  <c:v>Species-rich native hedgerow with trees</c:v>
                </c:pt>
                <c:pt idx="2">
                  <c:v>Species-rich native hedgerow - associated with bank or ditch</c:v>
                </c:pt>
                <c:pt idx="3">
                  <c:v>Native hedgerow with trees - associated with bank or ditch</c:v>
                </c:pt>
                <c:pt idx="4">
                  <c:v>Species-rich native hedgerow</c:v>
                </c:pt>
                <c:pt idx="5">
                  <c:v>Native hedgerow - associated with bank or ditch</c:v>
                </c:pt>
                <c:pt idx="6">
                  <c:v>Native hedgerow with trees</c:v>
                </c:pt>
                <c:pt idx="7">
                  <c:v>Ecologically valuable line of trees</c:v>
                </c:pt>
                <c:pt idx="8">
                  <c:v>Ecologically valuable line of trees - associated with bank or ditch</c:v>
                </c:pt>
                <c:pt idx="9">
                  <c:v>Native hedgerow</c:v>
                </c:pt>
                <c:pt idx="10">
                  <c:v>Line of trees</c:v>
                </c:pt>
                <c:pt idx="11">
                  <c:v>Line of trees  - associated with bank or ditch</c:v>
                </c:pt>
                <c:pt idx="12">
                  <c:v>Non-native and ornamental hedgerow</c:v>
                </c:pt>
              </c:strCache>
            </c:strRef>
          </c:cat>
          <c:val>
            <c:numRef>
              <c:f>'Detailed Results'!$C$100:$C$112</c:f>
              <c:numCache>
                <c:formatCode>0.00</c:formatCode>
                <c:ptCount val="13"/>
                <c:pt idx="0">
                  <c:v>0</c:v>
                </c:pt>
                <c:pt idx="1">
                  <c:v>0</c:v>
                </c:pt>
                <c:pt idx="2">
                  <c:v>0</c:v>
                </c:pt>
                <c:pt idx="3">
                  <c:v>0</c:v>
                </c:pt>
                <c:pt idx="4">
                  <c:v>0</c:v>
                </c:pt>
                <c:pt idx="5">
                  <c:v>0</c:v>
                </c:pt>
                <c:pt idx="6">
                  <c:v>1.54</c:v>
                </c:pt>
                <c:pt idx="7">
                  <c:v>0</c:v>
                </c:pt>
                <c:pt idx="8">
                  <c:v>0</c:v>
                </c:pt>
                <c:pt idx="9">
                  <c:v>0.2</c:v>
                </c:pt>
                <c:pt idx="10">
                  <c:v>0.2</c:v>
                </c:pt>
                <c:pt idx="11">
                  <c:v>0</c:v>
                </c:pt>
                <c:pt idx="12">
                  <c:v>0.6</c:v>
                </c:pt>
              </c:numCache>
            </c:numRef>
          </c:val>
          <c:extLst>
            <c:ext xmlns:c16="http://schemas.microsoft.com/office/drawing/2014/chart" uri="{C3380CC4-5D6E-409C-BE32-E72D297353CC}">
              <c16:uniqueId val="{00000000-4C68-4EC5-AB40-157E94620753}"/>
            </c:ext>
          </c:extLst>
        </c:ser>
        <c:ser>
          <c:idx val="1"/>
          <c:order val="1"/>
          <c:tx>
            <c:strRef>
              <c:f>'Detailed Results'!$E$99</c:f>
              <c:strCache>
                <c:ptCount val="1"/>
                <c:pt idx="0">
                  <c:v>On-site proposed length </c:v>
                </c:pt>
              </c:strCache>
            </c:strRef>
          </c:tx>
          <c:spPr>
            <a:solidFill>
              <a:srgbClr val="ABC3C9">
                <a:lumMod val="50000"/>
              </a:srgbClr>
            </a:solidFill>
            <a:ln>
              <a:noFill/>
            </a:ln>
            <a:effectLst/>
          </c:spPr>
          <c:invertIfNegative val="0"/>
          <c:cat>
            <c:strRef>
              <c:f>'Detailed Results'!$B$100:$B$112</c:f>
              <c:strCache>
                <c:ptCount val="13"/>
                <c:pt idx="0">
                  <c:v>Species-rich native hedgerow with trees - associated with bank or ditch</c:v>
                </c:pt>
                <c:pt idx="1">
                  <c:v>Species-rich native hedgerow with trees</c:v>
                </c:pt>
                <c:pt idx="2">
                  <c:v>Species-rich native hedgerow - associated with bank or ditch</c:v>
                </c:pt>
                <c:pt idx="3">
                  <c:v>Native hedgerow with trees - associated with bank or ditch</c:v>
                </c:pt>
                <c:pt idx="4">
                  <c:v>Species-rich native hedgerow</c:v>
                </c:pt>
                <c:pt idx="5">
                  <c:v>Native hedgerow - associated with bank or ditch</c:v>
                </c:pt>
                <c:pt idx="6">
                  <c:v>Native hedgerow with trees</c:v>
                </c:pt>
                <c:pt idx="7">
                  <c:v>Ecologically valuable line of trees</c:v>
                </c:pt>
                <c:pt idx="8">
                  <c:v>Ecologically valuable line of trees - associated with bank or ditch</c:v>
                </c:pt>
                <c:pt idx="9">
                  <c:v>Native hedgerow</c:v>
                </c:pt>
                <c:pt idx="10">
                  <c:v>Line of trees</c:v>
                </c:pt>
                <c:pt idx="11">
                  <c:v>Line of trees  - associated with bank or ditch</c:v>
                </c:pt>
                <c:pt idx="12">
                  <c:v>Non-native and ornamental hedgerow</c:v>
                </c:pt>
              </c:strCache>
            </c:strRef>
          </c:cat>
          <c:val>
            <c:numRef>
              <c:f>'Detailed Results'!$E$100:$E$112</c:f>
              <c:numCache>
                <c:formatCode>0.00</c:formatCode>
                <c:ptCount val="13"/>
                <c:pt idx="0">
                  <c:v>0</c:v>
                </c:pt>
                <c:pt idx="1">
                  <c:v>0</c:v>
                </c:pt>
                <c:pt idx="2">
                  <c:v>0</c:v>
                </c:pt>
                <c:pt idx="3">
                  <c:v>0</c:v>
                </c:pt>
                <c:pt idx="4">
                  <c:v>2.4900000000000002</c:v>
                </c:pt>
                <c:pt idx="5">
                  <c:v>0</c:v>
                </c:pt>
                <c:pt idx="6">
                  <c:v>1.54</c:v>
                </c:pt>
                <c:pt idx="7">
                  <c:v>0</c:v>
                </c:pt>
                <c:pt idx="8">
                  <c:v>0</c:v>
                </c:pt>
                <c:pt idx="9">
                  <c:v>0.2</c:v>
                </c:pt>
                <c:pt idx="10">
                  <c:v>0.2</c:v>
                </c:pt>
                <c:pt idx="11">
                  <c:v>0</c:v>
                </c:pt>
                <c:pt idx="12">
                  <c:v>0.6</c:v>
                </c:pt>
              </c:numCache>
            </c:numRef>
          </c:val>
          <c:extLst>
            <c:ext xmlns:c16="http://schemas.microsoft.com/office/drawing/2014/chart" uri="{C3380CC4-5D6E-409C-BE32-E72D297353CC}">
              <c16:uniqueId val="{00000001-4C68-4EC5-AB40-157E94620753}"/>
            </c:ext>
          </c:extLst>
        </c:ser>
        <c:ser>
          <c:idx val="4"/>
          <c:order val="2"/>
          <c:tx>
            <c:strRef>
              <c:f>'Detailed Results'!$E$119</c:f>
              <c:strCache>
                <c:ptCount val="1"/>
                <c:pt idx="0">
                  <c:v>Off-site proposed length </c:v>
                </c:pt>
              </c:strCache>
            </c:strRef>
          </c:tx>
          <c:spPr>
            <a:solidFill>
              <a:srgbClr val="945642">
                <a:lumMod val="60000"/>
                <a:lumOff val="40000"/>
              </a:srgbClr>
            </a:solidFill>
            <a:ln>
              <a:noFill/>
            </a:ln>
            <a:effectLst/>
          </c:spPr>
          <c:invertIfNegative val="0"/>
          <c:cat>
            <c:strRef>
              <c:f>'Detailed Results'!$B$100:$B$112</c:f>
              <c:strCache>
                <c:ptCount val="13"/>
                <c:pt idx="0">
                  <c:v>Species-rich native hedgerow with trees - associated with bank or ditch</c:v>
                </c:pt>
                <c:pt idx="1">
                  <c:v>Species-rich native hedgerow with trees</c:v>
                </c:pt>
                <c:pt idx="2">
                  <c:v>Species-rich native hedgerow - associated with bank or ditch</c:v>
                </c:pt>
                <c:pt idx="3">
                  <c:v>Native hedgerow with trees - associated with bank or ditch</c:v>
                </c:pt>
                <c:pt idx="4">
                  <c:v>Species-rich native hedgerow</c:v>
                </c:pt>
                <c:pt idx="5">
                  <c:v>Native hedgerow - associated with bank or ditch</c:v>
                </c:pt>
                <c:pt idx="6">
                  <c:v>Native hedgerow with trees</c:v>
                </c:pt>
                <c:pt idx="7">
                  <c:v>Ecologically valuable line of trees</c:v>
                </c:pt>
                <c:pt idx="8">
                  <c:v>Ecologically valuable line of trees - associated with bank or ditch</c:v>
                </c:pt>
                <c:pt idx="9">
                  <c:v>Native hedgerow</c:v>
                </c:pt>
                <c:pt idx="10">
                  <c:v>Line of trees</c:v>
                </c:pt>
                <c:pt idx="11">
                  <c:v>Line of trees  - associated with bank or ditch</c:v>
                </c:pt>
                <c:pt idx="12">
                  <c:v>Non-native and ornamental hedgerow</c:v>
                </c:pt>
              </c:strCache>
            </c:strRef>
          </c:cat>
          <c:val>
            <c:numRef>
              <c:f>'Detailed Results'!$E$120:$E$132</c:f>
              <c:numCache>
                <c:formatCode>0.00</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extLst>
            <c:ext xmlns:c16="http://schemas.microsoft.com/office/drawing/2014/chart" uri="{C3380CC4-5D6E-409C-BE32-E72D297353CC}">
              <c16:uniqueId val="{00000000-1B53-4806-A0C0-132F1D1BF2C0}"/>
            </c:ext>
          </c:extLst>
        </c:ser>
        <c:ser>
          <c:idx val="5"/>
          <c:order val="3"/>
          <c:tx>
            <c:strRef>
              <c:f>'Detailed Results'!$C$119</c:f>
              <c:strCache>
                <c:ptCount val="1"/>
                <c:pt idx="0">
                  <c:v>Off-site existing length</c:v>
                </c:pt>
              </c:strCache>
            </c:strRef>
          </c:tx>
          <c:spPr>
            <a:solidFill>
              <a:srgbClr val="945642">
                <a:lumMod val="75000"/>
              </a:srgbClr>
            </a:solidFill>
            <a:ln>
              <a:noFill/>
            </a:ln>
            <a:effectLst/>
          </c:spPr>
          <c:invertIfNegative val="0"/>
          <c:cat>
            <c:strRef>
              <c:f>'Detailed Results'!$B$100:$B$112</c:f>
              <c:strCache>
                <c:ptCount val="13"/>
                <c:pt idx="0">
                  <c:v>Species-rich native hedgerow with trees - associated with bank or ditch</c:v>
                </c:pt>
                <c:pt idx="1">
                  <c:v>Species-rich native hedgerow with trees</c:v>
                </c:pt>
                <c:pt idx="2">
                  <c:v>Species-rich native hedgerow - associated with bank or ditch</c:v>
                </c:pt>
                <c:pt idx="3">
                  <c:v>Native hedgerow with trees - associated with bank or ditch</c:v>
                </c:pt>
                <c:pt idx="4">
                  <c:v>Species-rich native hedgerow</c:v>
                </c:pt>
                <c:pt idx="5">
                  <c:v>Native hedgerow - associated with bank or ditch</c:v>
                </c:pt>
                <c:pt idx="6">
                  <c:v>Native hedgerow with trees</c:v>
                </c:pt>
                <c:pt idx="7">
                  <c:v>Ecologically valuable line of trees</c:v>
                </c:pt>
                <c:pt idx="8">
                  <c:v>Ecologically valuable line of trees - associated with bank or ditch</c:v>
                </c:pt>
                <c:pt idx="9">
                  <c:v>Native hedgerow</c:v>
                </c:pt>
                <c:pt idx="10">
                  <c:v>Line of trees</c:v>
                </c:pt>
                <c:pt idx="11">
                  <c:v>Line of trees  - associated with bank or ditch</c:v>
                </c:pt>
                <c:pt idx="12">
                  <c:v>Non-native and ornamental hedgerow</c:v>
                </c:pt>
              </c:strCache>
            </c:strRef>
          </c:cat>
          <c:val>
            <c:numRef>
              <c:f>'Detailed Results'!$C$120:$C$132</c:f>
              <c:numCache>
                <c:formatCode>0.00</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extLst>
            <c:ext xmlns:c16="http://schemas.microsoft.com/office/drawing/2014/chart" uri="{C3380CC4-5D6E-409C-BE32-E72D297353CC}">
              <c16:uniqueId val="{00000001-1B53-4806-A0C0-132F1D1BF2C0}"/>
            </c:ext>
          </c:extLst>
        </c:ser>
        <c:ser>
          <c:idx val="2"/>
          <c:order val="4"/>
          <c:tx>
            <c:strRef>
              <c:f>'Detailed Results'!$G$139</c:f>
              <c:strCache>
                <c:ptCount val="1"/>
                <c:pt idx="0">
                  <c:v>Combined length change</c:v>
                </c:pt>
              </c:strCache>
            </c:strRef>
          </c:tx>
          <c:spPr>
            <a:solidFill>
              <a:srgbClr val="92D050">
                <a:lumMod val="75000"/>
              </a:srgbClr>
            </a:solidFill>
            <a:ln>
              <a:noFill/>
            </a:ln>
            <a:effectLst/>
          </c:spPr>
          <c:invertIfNegative val="0"/>
          <c:cat>
            <c:strRef>
              <c:f>'Detailed Results'!$B$100:$B$112</c:f>
              <c:strCache>
                <c:ptCount val="13"/>
                <c:pt idx="0">
                  <c:v>Species-rich native hedgerow with trees - associated with bank or ditch</c:v>
                </c:pt>
                <c:pt idx="1">
                  <c:v>Species-rich native hedgerow with trees</c:v>
                </c:pt>
                <c:pt idx="2">
                  <c:v>Species-rich native hedgerow - associated with bank or ditch</c:v>
                </c:pt>
                <c:pt idx="3">
                  <c:v>Native hedgerow with trees - associated with bank or ditch</c:v>
                </c:pt>
                <c:pt idx="4">
                  <c:v>Species-rich native hedgerow</c:v>
                </c:pt>
                <c:pt idx="5">
                  <c:v>Native hedgerow - associated with bank or ditch</c:v>
                </c:pt>
                <c:pt idx="6">
                  <c:v>Native hedgerow with trees</c:v>
                </c:pt>
                <c:pt idx="7">
                  <c:v>Ecologically valuable line of trees</c:v>
                </c:pt>
                <c:pt idx="8">
                  <c:v>Ecologically valuable line of trees - associated with bank or ditch</c:v>
                </c:pt>
                <c:pt idx="9">
                  <c:v>Native hedgerow</c:v>
                </c:pt>
                <c:pt idx="10">
                  <c:v>Line of trees</c:v>
                </c:pt>
                <c:pt idx="11">
                  <c:v>Line of trees  - associated with bank or ditch</c:v>
                </c:pt>
                <c:pt idx="12">
                  <c:v>Non-native and ornamental hedgerow</c:v>
                </c:pt>
              </c:strCache>
            </c:strRef>
          </c:cat>
          <c:val>
            <c:numRef>
              <c:f>'Detailed Results'!$G$140:$G$152</c:f>
              <c:numCache>
                <c:formatCode>0.00</c:formatCode>
                <c:ptCount val="13"/>
                <c:pt idx="0">
                  <c:v>0</c:v>
                </c:pt>
                <c:pt idx="1">
                  <c:v>0</c:v>
                </c:pt>
                <c:pt idx="2">
                  <c:v>0</c:v>
                </c:pt>
                <c:pt idx="3">
                  <c:v>0</c:v>
                </c:pt>
                <c:pt idx="4">
                  <c:v>2.4900000000000002</c:v>
                </c:pt>
                <c:pt idx="5">
                  <c:v>0</c:v>
                </c:pt>
                <c:pt idx="6">
                  <c:v>0</c:v>
                </c:pt>
                <c:pt idx="7">
                  <c:v>0</c:v>
                </c:pt>
                <c:pt idx="8">
                  <c:v>0</c:v>
                </c:pt>
                <c:pt idx="9">
                  <c:v>0</c:v>
                </c:pt>
                <c:pt idx="10">
                  <c:v>0</c:v>
                </c:pt>
                <c:pt idx="11">
                  <c:v>0</c:v>
                </c:pt>
                <c:pt idx="12">
                  <c:v>0</c:v>
                </c:pt>
              </c:numCache>
            </c:numRef>
          </c:val>
          <c:extLst>
            <c:ext xmlns:c16="http://schemas.microsoft.com/office/drawing/2014/chart" uri="{C3380CC4-5D6E-409C-BE32-E72D297353CC}">
              <c16:uniqueId val="{00000001-A65A-4193-BFD7-A435A6482BC7}"/>
            </c:ext>
          </c:extLst>
        </c:ser>
        <c:dLbls>
          <c:showLegendKey val="0"/>
          <c:showVal val="0"/>
          <c:showCatName val="0"/>
          <c:showSerName val="0"/>
          <c:showPercent val="0"/>
          <c:showBubbleSize val="0"/>
        </c:dLbls>
        <c:gapWidth val="219"/>
        <c:overlap val="-27"/>
        <c:axId val="363119488"/>
        <c:axId val="363119880"/>
      </c:barChart>
      <c:catAx>
        <c:axId val="36311948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accent1"/>
                </a:solidFill>
                <a:latin typeface="+mn-lt"/>
                <a:ea typeface="+mn-ea"/>
                <a:cs typeface="+mn-cs"/>
              </a:defRPr>
            </a:pPr>
            <a:endParaRPr lang="en-US"/>
          </a:p>
        </c:txPr>
        <c:crossAx val="363119880"/>
        <c:crosses val="autoZero"/>
        <c:auto val="1"/>
        <c:lblAlgn val="ctr"/>
        <c:lblOffset val="100"/>
        <c:noMultiLvlLbl val="0"/>
      </c:catAx>
      <c:valAx>
        <c:axId val="363119880"/>
        <c:scaling>
          <c:orientation val="minMax"/>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accent1"/>
                </a:solidFill>
                <a:latin typeface="+mn-lt"/>
                <a:ea typeface="+mn-ea"/>
                <a:cs typeface="+mn-cs"/>
              </a:defRPr>
            </a:pPr>
            <a:endParaRPr lang="en-US"/>
          </a:p>
        </c:txPr>
        <c:crossAx val="363119488"/>
        <c:crosses val="autoZero"/>
        <c:crossBetween val="between"/>
      </c:valAx>
      <c:spPr>
        <a:noFill/>
        <a:ln>
          <a:noFill/>
        </a:ln>
        <a:effectLst/>
      </c:spPr>
    </c:plotArea>
    <c:legend>
      <c:legendPos val="b"/>
      <c:layout>
        <c:manualLayout>
          <c:xMode val="edge"/>
          <c:yMode val="edge"/>
          <c:x val="0.14389600343312237"/>
          <c:y val="0.94561021709589677"/>
          <c:w val="0.70749399152218639"/>
          <c:h val="3.0043260945696912E-2"/>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accent1"/>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rgbClr val="000000"/>
      </a:solidFill>
      <a:round/>
    </a:ln>
    <a:effectLst/>
  </c:spPr>
  <c:txPr>
    <a:bodyPr/>
    <a:lstStyle/>
    <a:p>
      <a:pPr>
        <a:defRPr>
          <a:solidFill>
            <a:schemeClr val="accent1"/>
          </a:solidFill>
        </a:defRPr>
      </a:pPr>
      <a:endParaRPr lang="en-U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accent1"/>
                </a:solidFill>
                <a:latin typeface="+mn-lt"/>
                <a:ea typeface="+mn-ea"/>
                <a:cs typeface="+mn-cs"/>
              </a:defRPr>
            </a:pPr>
            <a:r>
              <a:rPr lang="en-US"/>
              <a:t>% Length lost by</a:t>
            </a:r>
          </a:p>
          <a:p>
            <a:pPr>
              <a:defRPr/>
            </a:pPr>
            <a:r>
              <a:rPr lang="en-US"/>
              <a:t>distinctiveness category</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accent1"/>
              </a:solidFill>
              <a:latin typeface="+mn-lt"/>
              <a:ea typeface="+mn-ea"/>
              <a:cs typeface="+mn-cs"/>
            </a:defRPr>
          </a:pPr>
          <a:endParaRPr lang="en-US"/>
        </a:p>
      </c:txPr>
    </c:title>
    <c:autoTitleDeleted val="0"/>
    <c:plotArea>
      <c:layout>
        <c:manualLayout>
          <c:layoutTarget val="inner"/>
          <c:xMode val="edge"/>
          <c:yMode val="edge"/>
          <c:x val="0.17162611595347499"/>
          <c:y val="0.23453984548187218"/>
          <c:w val="0.44560687218178768"/>
          <c:h val="0.65288978832072575"/>
        </c:manualLayout>
      </c:layout>
      <c:pieChart>
        <c:varyColors val="1"/>
        <c:ser>
          <c:idx val="0"/>
          <c:order val="0"/>
          <c:tx>
            <c:strRef>
              <c:f>'Detailed Results'!$K$162</c:f>
              <c:strCache>
                <c:ptCount val="1"/>
                <c:pt idx="0">
                  <c:v>Length lost (km)</c:v>
                </c:pt>
              </c:strCache>
            </c:strRef>
          </c:tx>
          <c:dPt>
            <c:idx val="0"/>
            <c:bubble3D val="0"/>
            <c:spPr>
              <a:solidFill>
                <a:schemeClr val="accent3">
                  <a:lumMod val="50000"/>
                </a:schemeClr>
              </a:solidFill>
              <a:ln w="19050">
                <a:solidFill>
                  <a:schemeClr val="lt1"/>
                </a:solidFill>
              </a:ln>
              <a:effectLst/>
            </c:spPr>
            <c:extLst>
              <c:ext xmlns:c16="http://schemas.microsoft.com/office/drawing/2014/chart" uri="{C3380CC4-5D6E-409C-BE32-E72D297353CC}">
                <c16:uniqueId val="{00000003-4191-4BE2-AE93-1453CBBC6ED6}"/>
              </c:ext>
            </c:extLst>
          </c:dPt>
          <c:dPt>
            <c:idx val="1"/>
            <c:bubble3D val="0"/>
            <c:spPr>
              <a:solidFill>
                <a:schemeClr val="accent3">
                  <a:lumMod val="75000"/>
                </a:schemeClr>
              </a:solidFill>
              <a:ln w="19050">
                <a:solidFill>
                  <a:schemeClr val="lt1"/>
                </a:solidFill>
              </a:ln>
              <a:effectLst/>
            </c:spPr>
            <c:extLst>
              <c:ext xmlns:c16="http://schemas.microsoft.com/office/drawing/2014/chart" uri="{C3380CC4-5D6E-409C-BE32-E72D297353CC}">
                <c16:uniqueId val="{00000005-8E8B-476C-8614-DB87123C0D33}"/>
              </c:ext>
            </c:extLst>
          </c:dPt>
          <c:dPt>
            <c:idx val="2"/>
            <c:bubble3D val="0"/>
            <c:spPr>
              <a:solidFill>
                <a:schemeClr val="accent3">
                  <a:lumMod val="90000"/>
                </a:schemeClr>
              </a:solidFill>
              <a:ln w="19050">
                <a:solidFill>
                  <a:schemeClr val="lt1"/>
                </a:solidFill>
              </a:ln>
              <a:effectLst/>
            </c:spPr>
            <c:extLst>
              <c:ext xmlns:c16="http://schemas.microsoft.com/office/drawing/2014/chart" uri="{C3380CC4-5D6E-409C-BE32-E72D297353CC}">
                <c16:uniqueId val="{00000009-8E8B-476C-8614-DB87123C0D33}"/>
              </c:ext>
            </c:extLst>
          </c:dPt>
          <c:dPt>
            <c:idx val="3"/>
            <c:bubble3D val="0"/>
            <c:spPr>
              <a:solidFill>
                <a:schemeClr val="accent6">
                  <a:lumMod val="20000"/>
                  <a:lumOff val="80000"/>
                </a:schemeClr>
              </a:solidFill>
              <a:ln w="19050">
                <a:solidFill>
                  <a:schemeClr val="lt1"/>
                </a:solidFill>
              </a:ln>
              <a:effectLst/>
            </c:spPr>
            <c:extLst>
              <c:ext xmlns:c16="http://schemas.microsoft.com/office/drawing/2014/chart" uri="{C3380CC4-5D6E-409C-BE32-E72D297353CC}">
                <c16:uniqueId val="{00000007-9799-4F43-95CF-D5064FD9E30F}"/>
              </c:ext>
            </c:extLst>
          </c:dPt>
          <c:dPt>
            <c:idx val="4"/>
            <c:bubble3D val="0"/>
            <c:spPr>
              <a:solidFill>
                <a:schemeClr val="accent5"/>
              </a:solidFill>
              <a:ln w="19050">
                <a:solidFill>
                  <a:schemeClr val="lt1"/>
                </a:solidFill>
              </a:ln>
              <a:effectLst/>
            </c:spPr>
            <c:extLst>
              <c:ext xmlns:c16="http://schemas.microsoft.com/office/drawing/2014/chart" uri="{C3380CC4-5D6E-409C-BE32-E72D297353CC}">
                <c16:uniqueId val="{00000009-9799-4F43-95CF-D5064FD9E30F}"/>
              </c:ext>
            </c:extLst>
          </c:dPt>
          <c:dLbls>
            <c:spPr>
              <a:noFill/>
              <a:ln>
                <a:noFill/>
              </a:ln>
              <a:effectLst/>
            </c:spPr>
            <c:txPr>
              <a:bodyPr rot="0" spcFirstLastPara="1" vertOverflow="ellipsis" vert="horz" wrap="square" anchor="ctr" anchorCtr="1"/>
              <a:lstStyle/>
              <a:p>
                <a:pPr>
                  <a:defRPr sz="900" b="0" i="0" u="none" strike="noStrike" kern="1200" baseline="0">
                    <a:solidFill>
                      <a:schemeClr val="accent1"/>
                    </a:solidFill>
                    <a:latin typeface="+mn-lt"/>
                    <a:ea typeface="+mn-ea"/>
                    <a:cs typeface="+mn-cs"/>
                  </a:defRPr>
                </a:pPr>
                <a:endParaRPr lang="en-US"/>
              </a:p>
            </c:txPr>
            <c:dLblPos val="outEnd"/>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extLst>
                <c:ext xmlns:c15="http://schemas.microsoft.com/office/drawing/2012/chart" uri="{02D57815-91ED-43cb-92C2-25804820EDAC}">
                  <c15:fullRef>
                    <c15:sqref>'Detailed Results'!$J$164:$J$171</c15:sqref>
                  </c15:fullRef>
                </c:ext>
              </c:extLst>
              <c:f>('Detailed Results'!$J$164,'Detailed Results'!$J$166,'Detailed Results'!$J$168,'Detailed Results'!$J$170:$J$171)</c:f>
              <c:strCache>
                <c:ptCount val="4"/>
                <c:pt idx="0">
                  <c:v>V.High</c:v>
                </c:pt>
                <c:pt idx="1">
                  <c:v>High</c:v>
                </c:pt>
                <c:pt idx="2">
                  <c:v>Medium</c:v>
                </c:pt>
                <c:pt idx="3">
                  <c:v>Low</c:v>
                </c:pt>
              </c:strCache>
            </c:strRef>
          </c:cat>
          <c:val>
            <c:numRef>
              <c:extLst>
                <c:ext xmlns:c15="http://schemas.microsoft.com/office/drawing/2012/chart" uri="{02D57815-91ED-43cb-92C2-25804820EDAC}">
                  <c15:fullRef>
                    <c15:sqref>'Detailed Results'!$K$164:$K$170</c15:sqref>
                  </c15:fullRef>
                </c:ext>
              </c:extLst>
              <c:f>('Detailed Results'!$K$164,'Detailed Results'!$K$166,'Detailed Results'!$K$168,'Detailed Results'!$K$170)</c:f>
              <c:numCache>
                <c:formatCode>General</c:formatCode>
                <c:ptCount val="4"/>
                <c:pt idx="0">
                  <c:v>0</c:v>
                </c:pt>
                <c:pt idx="1">
                  <c:v>0</c:v>
                </c:pt>
                <c:pt idx="2">
                  <c:v>0</c:v>
                </c:pt>
                <c:pt idx="3">
                  <c:v>0</c:v>
                </c:pt>
              </c:numCache>
            </c:numRef>
          </c:val>
          <c:extLst>
            <c:ext xmlns:c15="http://schemas.microsoft.com/office/drawing/2012/chart" uri="{02D57815-91ED-43cb-92C2-25804820EDAC}">
              <c15:categoryFilterExceptions/>
            </c:ext>
            <c:ext xmlns:c16="http://schemas.microsoft.com/office/drawing/2014/chart" uri="{C3380CC4-5D6E-409C-BE32-E72D297353CC}">
              <c16:uniqueId val="{00000000-4191-4BE2-AE93-1453CBBC6ED6}"/>
            </c:ext>
          </c:extLst>
        </c:ser>
        <c:dLbls>
          <c:showLegendKey val="0"/>
          <c:showVal val="0"/>
          <c:showCatName val="0"/>
          <c:showSerName val="0"/>
          <c:showPercent val="1"/>
          <c:showBubbleSize val="0"/>
          <c:showLeaderLines val="1"/>
        </c:dLbls>
        <c:firstSliceAng val="0"/>
      </c:pieChart>
      <c:spPr>
        <a:noFill/>
        <a:ln>
          <a:noFill/>
        </a:ln>
        <a:effectLst/>
      </c:spPr>
    </c:plotArea>
    <c:legend>
      <c:legendPos val="r"/>
      <c:layout>
        <c:manualLayout>
          <c:xMode val="edge"/>
          <c:yMode val="edge"/>
          <c:x val="0.72627734494475837"/>
          <c:y val="0.1338030000551366"/>
          <c:w val="0.20630248467805529"/>
          <c:h val="0.80189353268044883"/>
        </c:manualLayout>
      </c:layout>
      <c:overlay val="0"/>
      <c:spPr>
        <a:noFill/>
        <a:ln>
          <a:noFill/>
        </a:ln>
        <a:effectLst/>
      </c:spPr>
      <c:txPr>
        <a:bodyPr rot="0" spcFirstLastPara="1" vertOverflow="ellipsis" vert="horz" wrap="square" anchor="ctr" anchorCtr="1"/>
        <a:lstStyle/>
        <a:p>
          <a:pPr>
            <a:defRPr sz="1100" b="0" i="0" u="none" strike="noStrike" kern="1200" baseline="0">
              <a:solidFill>
                <a:schemeClr val="accent1"/>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accent1"/>
      </a:solidFill>
      <a:round/>
    </a:ln>
    <a:effectLst/>
  </c:spPr>
  <c:txPr>
    <a:bodyPr/>
    <a:lstStyle/>
    <a:p>
      <a:pPr>
        <a:defRPr>
          <a:solidFill>
            <a:schemeClr val="accent1"/>
          </a:solidFill>
        </a:defRPr>
      </a:pPr>
      <a:endParaRPr lang="en-U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accent1"/>
                </a:solidFill>
                <a:latin typeface="+mn-lt"/>
                <a:ea typeface="+mn-ea"/>
                <a:cs typeface="+mn-cs"/>
              </a:defRPr>
            </a:pPr>
            <a:r>
              <a:rPr lang="en-GB"/>
              <a:t>Watercourse length</a:t>
            </a:r>
            <a:r>
              <a:rPr lang="en-GB" baseline="0"/>
              <a:t> retained, proposed for enhancement or lost (</a:t>
            </a:r>
            <a:r>
              <a:rPr lang="en-GB"/>
              <a:t>length</a:t>
            </a:r>
            <a:r>
              <a:rPr lang="en-GB" baseline="0"/>
              <a:t> km)</a:t>
            </a:r>
            <a:r>
              <a:rPr lang="en-GB"/>
              <a:t> </a:t>
            </a:r>
          </a:p>
        </c:rich>
      </c:tx>
      <c:layout>
        <c:manualLayout>
          <c:xMode val="edge"/>
          <c:yMode val="edge"/>
          <c:x val="0.11211540515852515"/>
          <c:y val="1.4467463295248223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accent1"/>
              </a:solidFill>
              <a:latin typeface="+mn-lt"/>
              <a:ea typeface="+mn-ea"/>
              <a:cs typeface="+mn-cs"/>
            </a:defRPr>
          </a:pPr>
          <a:endParaRPr lang="en-US"/>
        </a:p>
      </c:txPr>
    </c:title>
    <c:autoTitleDeleted val="0"/>
    <c:plotArea>
      <c:layout>
        <c:manualLayout>
          <c:layoutTarget val="inner"/>
          <c:xMode val="edge"/>
          <c:yMode val="edge"/>
          <c:x val="6.5443532335675111E-2"/>
          <c:y val="0.21902785026949564"/>
          <c:w val="0.93455646766432487"/>
          <c:h val="0.55896201549681301"/>
        </c:manualLayout>
      </c:layout>
      <c:barChart>
        <c:barDir val="col"/>
        <c:grouping val="clustered"/>
        <c:varyColors val="1"/>
        <c:ser>
          <c:idx val="0"/>
          <c:order val="0"/>
          <c:invertIfNegative val="0"/>
          <c:dPt>
            <c:idx val="0"/>
            <c:invertIfNegative val="0"/>
            <c:bubble3D val="0"/>
            <c:spPr>
              <a:solidFill>
                <a:schemeClr val="accent1"/>
              </a:solidFill>
              <a:ln w="19050">
                <a:solidFill>
                  <a:schemeClr val="lt1"/>
                </a:solidFill>
              </a:ln>
              <a:effectLst/>
            </c:spPr>
            <c:extLst>
              <c:ext xmlns:c16="http://schemas.microsoft.com/office/drawing/2014/chart" uri="{C3380CC4-5D6E-409C-BE32-E72D297353CC}">
                <c16:uniqueId val="{00000001-FFDB-48A4-9C8F-5E3F38ED824F}"/>
              </c:ext>
            </c:extLst>
          </c:dPt>
          <c:dPt>
            <c:idx val="1"/>
            <c:invertIfNegative val="0"/>
            <c:bubble3D val="0"/>
            <c:spPr>
              <a:solidFill>
                <a:schemeClr val="accent2"/>
              </a:solidFill>
              <a:ln w="19050">
                <a:solidFill>
                  <a:schemeClr val="lt1"/>
                </a:solidFill>
              </a:ln>
              <a:effectLst/>
            </c:spPr>
            <c:extLst>
              <c:ext xmlns:c16="http://schemas.microsoft.com/office/drawing/2014/chart" uri="{C3380CC4-5D6E-409C-BE32-E72D297353CC}">
                <c16:uniqueId val="{00000003-FFDB-48A4-9C8F-5E3F38ED824F}"/>
              </c:ext>
            </c:extLst>
          </c:dPt>
          <c:dPt>
            <c:idx val="2"/>
            <c:invertIfNegative val="0"/>
            <c:bubble3D val="0"/>
            <c:spPr>
              <a:solidFill>
                <a:schemeClr val="accent3"/>
              </a:solidFill>
              <a:ln w="19050">
                <a:solidFill>
                  <a:schemeClr val="lt1"/>
                </a:solidFill>
              </a:ln>
              <a:effectLst/>
            </c:spPr>
            <c:extLst>
              <c:ext xmlns:c16="http://schemas.microsoft.com/office/drawing/2014/chart" uri="{C3380CC4-5D6E-409C-BE32-E72D297353CC}">
                <c16:uniqueId val="{00000005-FFDB-48A4-9C8F-5E3F38ED824F}"/>
              </c:ext>
            </c:extLst>
          </c:dPt>
          <c:dLbls>
            <c:spPr>
              <a:noFill/>
              <a:ln>
                <a:noFill/>
              </a:ln>
              <a:effectLst/>
            </c:spPr>
            <c:txPr>
              <a:bodyPr rot="0" spcFirstLastPara="1" vertOverflow="ellipsis" vert="horz" wrap="square" anchor="ctr" anchorCtr="1"/>
              <a:lstStyle/>
              <a:p>
                <a:pPr>
                  <a:defRPr sz="900" b="0" i="0" u="none" strike="noStrike" kern="1200" baseline="0">
                    <a:solidFill>
                      <a:schemeClr val="accent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('Detailed Results'!$B$24,'Detailed Results'!$B$27,'Detailed Results'!$B$30,'Detailed Results'!$B$31)</c:f>
              <c:strCache>
                <c:ptCount val="4"/>
                <c:pt idx="0">
                  <c:v>Total on-site and off-site baseline area / length retained</c:v>
                </c:pt>
                <c:pt idx="1">
                  <c:v>Area / length proposed for enhancement</c:v>
                </c:pt>
                <c:pt idx="2">
                  <c:v>Total on-site and off-site baseline area / length lost</c:v>
                </c:pt>
                <c:pt idx="3">
                  <c:v>Total on-site and off-site baseline units lost</c:v>
                </c:pt>
              </c:strCache>
            </c:strRef>
          </c:cat>
          <c:val>
            <c:numRef>
              <c:f>('Detailed Results'!$H$24,'Detailed Results'!$H$27,'Detailed Results'!$H$30)</c:f>
              <c:numCache>
                <c:formatCode>0.00</c:formatCode>
                <c:ptCount val="3"/>
                <c:pt idx="0">
                  <c:v>0</c:v>
                </c:pt>
                <c:pt idx="1">
                  <c:v>0</c:v>
                </c:pt>
                <c:pt idx="2">
                  <c:v>0</c:v>
                </c:pt>
              </c:numCache>
            </c:numRef>
          </c:val>
          <c:extLst>
            <c:ext xmlns:c16="http://schemas.microsoft.com/office/drawing/2014/chart" uri="{C3380CC4-5D6E-409C-BE32-E72D297353CC}">
              <c16:uniqueId val="{00000000-1631-4AA2-9CB0-ED14885E7027}"/>
            </c:ext>
          </c:extLst>
        </c:ser>
        <c:dLbls>
          <c:showLegendKey val="0"/>
          <c:showVal val="0"/>
          <c:showCatName val="0"/>
          <c:showSerName val="0"/>
          <c:showPercent val="0"/>
          <c:showBubbleSize val="0"/>
        </c:dLbls>
        <c:gapWidth val="100"/>
        <c:axId val="363121056"/>
        <c:axId val="363121448"/>
      </c:barChart>
      <c:catAx>
        <c:axId val="363121056"/>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accent1"/>
                </a:solidFill>
                <a:latin typeface="+mn-lt"/>
                <a:ea typeface="+mn-ea"/>
                <a:cs typeface="+mn-cs"/>
              </a:defRPr>
            </a:pPr>
            <a:endParaRPr lang="en-US"/>
          </a:p>
        </c:txPr>
        <c:crossAx val="363121448"/>
        <c:crosses val="autoZero"/>
        <c:auto val="1"/>
        <c:lblAlgn val="ctr"/>
        <c:lblOffset val="100"/>
        <c:noMultiLvlLbl val="0"/>
      </c:catAx>
      <c:valAx>
        <c:axId val="363121448"/>
        <c:scaling>
          <c:orientation val="minMax"/>
        </c:scaling>
        <c:delete val="0"/>
        <c:axPos val="l"/>
        <c:majorGridlines>
          <c:spPr>
            <a:ln w="9525" cap="flat" cmpd="sng" algn="ctr">
              <a:solidFill>
                <a:schemeClr val="tx1">
                  <a:lumMod val="15000"/>
                  <a:lumOff val="85000"/>
                </a:schemeClr>
              </a:solidFill>
              <a:round/>
            </a:ln>
            <a:effectLst/>
          </c:spPr>
        </c:majorGridlines>
        <c:numFmt formatCode="0.0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accent1"/>
                </a:solidFill>
                <a:latin typeface="+mn-lt"/>
                <a:ea typeface="+mn-ea"/>
                <a:cs typeface="+mn-cs"/>
              </a:defRPr>
            </a:pPr>
            <a:endParaRPr lang="en-US"/>
          </a:p>
        </c:txPr>
        <c:crossAx val="363121056"/>
        <c:crosses val="autoZero"/>
        <c:crossBetween val="between"/>
      </c:valAx>
      <c:spPr>
        <a:noFill/>
        <a:ln>
          <a:noFill/>
        </a:ln>
        <a:effectLst/>
      </c:spPr>
    </c:plotArea>
    <c:plotVisOnly val="1"/>
    <c:dispBlanksAs val="gap"/>
    <c:showDLblsOverMax val="0"/>
    <c:extLst/>
  </c:chart>
  <c:spPr>
    <a:solidFill>
      <a:schemeClr val="bg1"/>
    </a:solidFill>
    <a:ln w="9525" cap="flat" cmpd="sng" algn="ctr">
      <a:solidFill>
        <a:schemeClr val="accent1"/>
      </a:solidFill>
      <a:round/>
    </a:ln>
    <a:effectLst/>
  </c:spPr>
  <c:txPr>
    <a:bodyPr/>
    <a:lstStyle/>
    <a:p>
      <a:pPr>
        <a:defRPr>
          <a:solidFill>
            <a:schemeClr val="accent1"/>
          </a:solidFill>
        </a:defRPr>
      </a:pPr>
      <a:endParaRPr lang="en-U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n-GB" sz="1200" b="0" i="0" u="none" strike="noStrike" kern="1200" spc="0" baseline="0">
                <a:solidFill>
                  <a:schemeClr val="accent1"/>
                </a:solidFill>
                <a:latin typeface="+mn-lt"/>
                <a:ea typeface="+mn-ea"/>
                <a:cs typeface="+mn-cs"/>
              </a:defRPr>
            </a:pPr>
            <a:r>
              <a:rPr lang="en-GB" sz="1400"/>
              <a:t>Watercourse retention category </a:t>
            </a:r>
          </a:p>
          <a:p>
            <a:pPr>
              <a:defRPr/>
            </a:pPr>
            <a:r>
              <a:rPr lang="en-GB" sz="1400"/>
              <a:t>(watercourse</a:t>
            </a:r>
            <a:r>
              <a:rPr lang="en-GB" sz="1400" baseline="0"/>
              <a:t> b</a:t>
            </a:r>
            <a:r>
              <a:rPr lang="en-GB" sz="1400"/>
              <a:t>iodiversity units)</a:t>
            </a:r>
          </a:p>
        </c:rich>
      </c:tx>
      <c:layout>
        <c:manualLayout>
          <c:xMode val="edge"/>
          <c:yMode val="edge"/>
          <c:x val="0.25802215790008198"/>
          <c:y val="3.9536817170129487E-3"/>
        </c:manualLayout>
      </c:layout>
      <c:overlay val="0"/>
      <c:spPr>
        <a:noFill/>
        <a:ln>
          <a:noFill/>
        </a:ln>
        <a:effectLst/>
      </c:spPr>
      <c:txPr>
        <a:bodyPr rot="0" spcFirstLastPara="1" vertOverflow="ellipsis" vert="horz" wrap="square" anchor="ctr" anchorCtr="1"/>
        <a:lstStyle/>
        <a:p>
          <a:pPr>
            <a:defRPr lang="en-GB" sz="1200" b="0" i="0" u="none" strike="noStrike" kern="1200" spc="0" baseline="0">
              <a:solidFill>
                <a:schemeClr val="accent1"/>
              </a:solidFill>
              <a:latin typeface="+mn-lt"/>
              <a:ea typeface="+mn-ea"/>
              <a:cs typeface="+mn-cs"/>
            </a:defRPr>
          </a:pPr>
          <a:endParaRPr lang="en-US"/>
        </a:p>
      </c:txPr>
    </c:title>
    <c:autoTitleDeleted val="0"/>
    <c:plotArea>
      <c:layout/>
      <c:barChart>
        <c:barDir val="col"/>
        <c:grouping val="clustered"/>
        <c:varyColors val="1"/>
        <c:ser>
          <c:idx val="0"/>
          <c:order val="0"/>
          <c:invertIfNegative val="0"/>
          <c:dPt>
            <c:idx val="0"/>
            <c:invertIfNegative val="0"/>
            <c:bubble3D val="0"/>
            <c:spPr>
              <a:solidFill>
                <a:schemeClr val="accent1"/>
              </a:solidFill>
              <a:ln w="19050">
                <a:solidFill>
                  <a:schemeClr val="lt1"/>
                </a:solidFill>
              </a:ln>
              <a:effectLst/>
            </c:spPr>
            <c:extLst>
              <c:ext xmlns:c16="http://schemas.microsoft.com/office/drawing/2014/chart" uri="{C3380CC4-5D6E-409C-BE32-E72D297353CC}">
                <c16:uniqueId val="{00000001-8A45-4BB0-BB1D-81488C5130A4}"/>
              </c:ext>
            </c:extLst>
          </c:dPt>
          <c:dPt>
            <c:idx val="1"/>
            <c:invertIfNegative val="0"/>
            <c:bubble3D val="0"/>
            <c:spPr>
              <a:solidFill>
                <a:schemeClr val="accent2"/>
              </a:solidFill>
              <a:ln w="19050">
                <a:solidFill>
                  <a:schemeClr val="lt1"/>
                </a:solidFill>
              </a:ln>
              <a:effectLst/>
            </c:spPr>
            <c:extLst>
              <c:ext xmlns:c16="http://schemas.microsoft.com/office/drawing/2014/chart" uri="{C3380CC4-5D6E-409C-BE32-E72D297353CC}">
                <c16:uniqueId val="{00000003-8A45-4BB0-BB1D-81488C5130A4}"/>
              </c:ext>
            </c:extLst>
          </c:dPt>
          <c:dPt>
            <c:idx val="2"/>
            <c:invertIfNegative val="0"/>
            <c:bubble3D val="0"/>
            <c:spPr>
              <a:solidFill>
                <a:schemeClr val="accent3"/>
              </a:solidFill>
              <a:ln w="19050">
                <a:solidFill>
                  <a:schemeClr val="lt1"/>
                </a:solidFill>
              </a:ln>
              <a:effectLst/>
            </c:spPr>
            <c:extLst>
              <c:ext xmlns:c16="http://schemas.microsoft.com/office/drawing/2014/chart" uri="{C3380CC4-5D6E-409C-BE32-E72D297353CC}">
                <c16:uniqueId val="{00000005-8A45-4BB0-BB1D-81488C5130A4}"/>
              </c:ext>
            </c:extLst>
          </c:dPt>
          <c:dPt>
            <c:idx val="3"/>
            <c:invertIfNegative val="0"/>
            <c:bubble3D val="0"/>
            <c:spPr>
              <a:solidFill>
                <a:schemeClr val="accent4"/>
              </a:solidFill>
              <a:ln w="19050">
                <a:solidFill>
                  <a:schemeClr val="lt1"/>
                </a:solidFill>
              </a:ln>
              <a:effectLst/>
            </c:spPr>
            <c:extLst>
              <c:ext xmlns:c16="http://schemas.microsoft.com/office/drawing/2014/chart" uri="{C3380CC4-5D6E-409C-BE32-E72D297353CC}">
                <c16:uniqueId val="{00000007-8A45-4BB0-BB1D-81488C5130A4}"/>
              </c:ext>
            </c:extLst>
          </c:dPt>
          <c:dLbls>
            <c:spPr>
              <a:noFill/>
              <a:ln>
                <a:noFill/>
              </a:ln>
              <a:effectLst/>
            </c:spPr>
            <c:txPr>
              <a:bodyPr rot="0" spcFirstLastPara="1" vertOverflow="ellipsis" vert="horz" wrap="square" anchor="ctr" anchorCtr="1"/>
              <a:lstStyle/>
              <a:p>
                <a:pPr>
                  <a:defRPr lang="en-GB" sz="1000" b="0" i="0" u="none" strike="noStrike" kern="1200" baseline="0">
                    <a:solidFill>
                      <a:schemeClr val="accent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('Detailed Results'!$B$25,'Detailed Results'!$B$28,'Detailed Results'!$B$31)</c:f>
              <c:strCache>
                <c:ptCount val="3"/>
                <c:pt idx="0">
                  <c:v>Total on-site and off-site baseline units retained</c:v>
                </c:pt>
                <c:pt idx="1">
                  <c:v>Baseline units proposed for enhancement</c:v>
                </c:pt>
                <c:pt idx="2">
                  <c:v>Total on-site and off-site baseline units lost</c:v>
                </c:pt>
              </c:strCache>
            </c:strRef>
          </c:cat>
          <c:val>
            <c:numRef>
              <c:f>('Detailed Results'!$H$25,'Detailed Results'!$H$28,'Detailed Results'!$H$31)</c:f>
              <c:numCache>
                <c:formatCode>0.00</c:formatCode>
                <c:ptCount val="3"/>
                <c:pt idx="0">
                  <c:v>0</c:v>
                </c:pt>
                <c:pt idx="1">
                  <c:v>0</c:v>
                </c:pt>
                <c:pt idx="2">
                  <c:v>0</c:v>
                </c:pt>
              </c:numCache>
            </c:numRef>
          </c:val>
          <c:extLst>
            <c:ext xmlns:c16="http://schemas.microsoft.com/office/drawing/2014/chart" uri="{C3380CC4-5D6E-409C-BE32-E72D297353CC}">
              <c16:uniqueId val="{00000008-8A45-4BB0-BB1D-81488C5130A4}"/>
            </c:ext>
          </c:extLst>
        </c:ser>
        <c:dLbls>
          <c:showLegendKey val="0"/>
          <c:showVal val="0"/>
          <c:showCatName val="0"/>
          <c:showSerName val="0"/>
          <c:showPercent val="0"/>
          <c:showBubbleSize val="0"/>
        </c:dLbls>
        <c:gapWidth val="100"/>
        <c:axId val="363698704"/>
        <c:axId val="363699096"/>
      </c:barChart>
      <c:catAx>
        <c:axId val="363698704"/>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lang="en-GB" sz="1000" b="0" i="0" u="none" strike="noStrike" kern="1200" baseline="0">
                <a:solidFill>
                  <a:schemeClr val="accent1"/>
                </a:solidFill>
                <a:latin typeface="+mn-lt"/>
                <a:ea typeface="+mn-ea"/>
                <a:cs typeface="+mn-cs"/>
              </a:defRPr>
            </a:pPr>
            <a:endParaRPr lang="en-US"/>
          </a:p>
        </c:txPr>
        <c:crossAx val="363699096"/>
        <c:crosses val="autoZero"/>
        <c:auto val="1"/>
        <c:lblAlgn val="ctr"/>
        <c:lblOffset val="100"/>
        <c:noMultiLvlLbl val="0"/>
      </c:catAx>
      <c:valAx>
        <c:axId val="363699096"/>
        <c:scaling>
          <c:orientation val="minMax"/>
        </c:scaling>
        <c:delete val="0"/>
        <c:axPos val="l"/>
        <c:majorGridlines>
          <c:spPr>
            <a:ln w="9525" cap="flat" cmpd="sng" algn="ctr">
              <a:solidFill>
                <a:schemeClr val="tx1">
                  <a:lumMod val="15000"/>
                  <a:lumOff val="85000"/>
                </a:schemeClr>
              </a:solidFill>
              <a:round/>
            </a:ln>
            <a:effectLst/>
          </c:spPr>
        </c:majorGridlines>
        <c:numFmt formatCode="0.00" sourceLinked="1"/>
        <c:majorTickMark val="out"/>
        <c:minorTickMark val="none"/>
        <c:tickLblPos val="nextTo"/>
        <c:spPr>
          <a:noFill/>
          <a:ln>
            <a:noFill/>
          </a:ln>
          <a:effectLst/>
        </c:spPr>
        <c:txPr>
          <a:bodyPr rot="-60000000" spcFirstLastPara="1" vertOverflow="ellipsis" vert="horz" wrap="square" anchor="ctr" anchorCtr="1"/>
          <a:lstStyle/>
          <a:p>
            <a:pPr>
              <a:defRPr lang="en-GB" sz="1000" b="0" i="0" u="none" strike="noStrike" kern="1200" baseline="0">
                <a:solidFill>
                  <a:schemeClr val="accent1"/>
                </a:solidFill>
                <a:latin typeface="+mn-lt"/>
                <a:ea typeface="+mn-ea"/>
                <a:cs typeface="+mn-cs"/>
              </a:defRPr>
            </a:pPr>
            <a:endParaRPr lang="en-US"/>
          </a:p>
        </c:txPr>
        <c:crossAx val="363698704"/>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accent1"/>
      </a:solidFill>
      <a:round/>
    </a:ln>
    <a:effectLst/>
  </c:spPr>
  <c:txPr>
    <a:bodyPr/>
    <a:lstStyle/>
    <a:p>
      <a:pPr>
        <a:defRPr lang="en-GB" sz="1000" b="0" i="0" u="none" strike="noStrike" kern="1200" baseline="0">
          <a:solidFill>
            <a:schemeClr val="accent1"/>
          </a:solidFill>
          <a:latin typeface="+mn-lt"/>
          <a:ea typeface="+mn-ea"/>
          <a:cs typeface="+mn-cs"/>
        </a:defRPr>
      </a:pPr>
      <a:endParaRPr lang="en-US"/>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accent1"/>
                </a:solidFill>
                <a:latin typeface="+mn-lt"/>
                <a:ea typeface="+mn-ea"/>
                <a:cs typeface="+mn-cs"/>
              </a:defRPr>
            </a:pPr>
            <a:r>
              <a:rPr lang="en-GB"/>
              <a:t>Watercourse </a:t>
            </a:r>
            <a:r>
              <a:rPr lang="en-GB" baseline="0"/>
              <a:t>b</a:t>
            </a:r>
            <a:r>
              <a:rPr lang="en-GB"/>
              <a:t>iodiversity unit change</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accent1"/>
              </a:solidFill>
              <a:latin typeface="+mn-lt"/>
              <a:ea typeface="+mn-ea"/>
              <a:cs typeface="+mn-cs"/>
            </a:defRPr>
          </a:pPr>
          <a:endParaRPr lang="en-US"/>
        </a:p>
      </c:txPr>
    </c:title>
    <c:autoTitleDeleted val="0"/>
    <c:plotArea>
      <c:layout>
        <c:manualLayout>
          <c:layoutTarget val="inner"/>
          <c:xMode val="edge"/>
          <c:yMode val="edge"/>
          <c:x val="3.8952433295965851E-2"/>
          <c:y val="0.13328622175997623"/>
          <c:w val="0.95532214685767136"/>
          <c:h val="0.71007453074008897"/>
        </c:manualLayout>
      </c:layout>
      <c:barChart>
        <c:barDir val="col"/>
        <c:grouping val="clustered"/>
        <c:varyColors val="0"/>
        <c:ser>
          <c:idx val="0"/>
          <c:order val="0"/>
          <c:tx>
            <c:strRef>
              <c:f>'Detailed Results'!$D$162</c:f>
              <c:strCache>
                <c:ptCount val="1"/>
                <c:pt idx="0">
                  <c:v>On-site existing value</c:v>
                </c:pt>
              </c:strCache>
            </c:strRef>
          </c:tx>
          <c:spPr>
            <a:solidFill>
              <a:schemeClr val="tx1">
                <a:lumMod val="75000"/>
              </a:schemeClr>
            </a:solidFill>
            <a:ln>
              <a:noFill/>
            </a:ln>
            <a:effectLst/>
          </c:spPr>
          <c:invertIfNegative val="0"/>
          <c:cat>
            <c:strRef>
              <c:f>'Detailed Results'!$B$163:$B$167</c:f>
              <c:strCache>
                <c:ptCount val="5"/>
                <c:pt idx="0">
                  <c:v>Priority habitat</c:v>
                </c:pt>
                <c:pt idx="1">
                  <c:v>Other rivers and streams</c:v>
                </c:pt>
                <c:pt idx="2">
                  <c:v>Ditches</c:v>
                </c:pt>
                <c:pt idx="3">
                  <c:v>Canals</c:v>
                </c:pt>
                <c:pt idx="4">
                  <c:v>Culvert</c:v>
                </c:pt>
              </c:strCache>
            </c:strRef>
          </c:cat>
          <c:val>
            <c:numRef>
              <c:f>'Detailed Results'!$D$163:$D$167</c:f>
              <c:numCache>
                <c:formatCode>0.0</c:formatCode>
                <c:ptCount val="5"/>
                <c:pt idx="0">
                  <c:v>0</c:v>
                </c:pt>
                <c:pt idx="1">
                  <c:v>0</c:v>
                </c:pt>
                <c:pt idx="2">
                  <c:v>0</c:v>
                </c:pt>
                <c:pt idx="3">
                  <c:v>0</c:v>
                </c:pt>
                <c:pt idx="4">
                  <c:v>0</c:v>
                </c:pt>
              </c:numCache>
            </c:numRef>
          </c:val>
          <c:extLst>
            <c:ext xmlns:c16="http://schemas.microsoft.com/office/drawing/2014/chart" uri="{C3380CC4-5D6E-409C-BE32-E72D297353CC}">
              <c16:uniqueId val="{00000000-4C68-4EC5-AB40-157E94620753}"/>
            </c:ext>
          </c:extLst>
        </c:ser>
        <c:ser>
          <c:idx val="1"/>
          <c:order val="1"/>
          <c:tx>
            <c:strRef>
              <c:f>'Detailed Results'!$F$162</c:f>
              <c:strCache>
                <c:ptCount val="1"/>
                <c:pt idx="0">
                  <c:v>On-site proposed value</c:v>
                </c:pt>
              </c:strCache>
            </c:strRef>
          </c:tx>
          <c:spPr>
            <a:solidFill>
              <a:schemeClr val="tx1">
                <a:lumMod val="50000"/>
              </a:schemeClr>
            </a:solidFill>
            <a:ln>
              <a:noFill/>
            </a:ln>
            <a:effectLst/>
          </c:spPr>
          <c:invertIfNegative val="0"/>
          <c:cat>
            <c:strRef>
              <c:f>'Detailed Results'!$B$163:$B$167</c:f>
              <c:strCache>
                <c:ptCount val="5"/>
                <c:pt idx="0">
                  <c:v>Priority habitat</c:v>
                </c:pt>
                <c:pt idx="1">
                  <c:v>Other rivers and streams</c:v>
                </c:pt>
                <c:pt idx="2">
                  <c:v>Ditches</c:v>
                </c:pt>
                <c:pt idx="3">
                  <c:v>Canals</c:v>
                </c:pt>
                <c:pt idx="4">
                  <c:v>Culvert</c:v>
                </c:pt>
              </c:strCache>
            </c:strRef>
          </c:cat>
          <c:val>
            <c:numRef>
              <c:f>'Detailed Results'!$F$163:$F$167</c:f>
              <c:numCache>
                <c:formatCode>0.0</c:formatCode>
                <c:ptCount val="5"/>
                <c:pt idx="0">
                  <c:v>0</c:v>
                </c:pt>
                <c:pt idx="1">
                  <c:v>0</c:v>
                </c:pt>
                <c:pt idx="2">
                  <c:v>0</c:v>
                </c:pt>
                <c:pt idx="3">
                  <c:v>0</c:v>
                </c:pt>
                <c:pt idx="4">
                  <c:v>0</c:v>
                </c:pt>
              </c:numCache>
            </c:numRef>
          </c:val>
          <c:extLst>
            <c:ext xmlns:c16="http://schemas.microsoft.com/office/drawing/2014/chart" uri="{C3380CC4-5D6E-409C-BE32-E72D297353CC}">
              <c16:uniqueId val="{00000001-4C68-4EC5-AB40-157E94620753}"/>
            </c:ext>
          </c:extLst>
        </c:ser>
        <c:ser>
          <c:idx val="5"/>
          <c:order val="2"/>
          <c:tx>
            <c:strRef>
              <c:f>'Detailed Results'!$D$182</c:f>
              <c:strCache>
                <c:ptCount val="1"/>
                <c:pt idx="0">
                  <c:v>Off-site existing value</c:v>
                </c:pt>
              </c:strCache>
            </c:strRef>
          </c:tx>
          <c:spPr>
            <a:solidFill>
              <a:schemeClr val="accent6">
                <a:lumMod val="60000"/>
                <a:lumOff val="40000"/>
              </a:schemeClr>
            </a:solidFill>
            <a:ln>
              <a:noFill/>
            </a:ln>
            <a:effectLst/>
          </c:spPr>
          <c:invertIfNegative val="0"/>
          <c:cat>
            <c:strRef>
              <c:f>'Detailed Results'!$B$163:$B$167</c:f>
              <c:strCache>
                <c:ptCount val="5"/>
                <c:pt idx="0">
                  <c:v>Priority habitat</c:v>
                </c:pt>
                <c:pt idx="1">
                  <c:v>Other rivers and streams</c:v>
                </c:pt>
                <c:pt idx="2">
                  <c:v>Ditches</c:v>
                </c:pt>
                <c:pt idx="3">
                  <c:v>Canals</c:v>
                </c:pt>
                <c:pt idx="4">
                  <c:v>Culvert</c:v>
                </c:pt>
              </c:strCache>
            </c:strRef>
          </c:cat>
          <c:val>
            <c:numRef>
              <c:f>'Detailed Results'!$D$183:$D$187</c:f>
              <c:numCache>
                <c:formatCode>0.0</c:formatCode>
                <c:ptCount val="5"/>
                <c:pt idx="0">
                  <c:v>0</c:v>
                </c:pt>
                <c:pt idx="1">
                  <c:v>0</c:v>
                </c:pt>
                <c:pt idx="2">
                  <c:v>0</c:v>
                </c:pt>
                <c:pt idx="3">
                  <c:v>0</c:v>
                </c:pt>
                <c:pt idx="4">
                  <c:v>0</c:v>
                </c:pt>
              </c:numCache>
            </c:numRef>
          </c:val>
          <c:extLst>
            <c:ext xmlns:c16="http://schemas.microsoft.com/office/drawing/2014/chart" uri="{C3380CC4-5D6E-409C-BE32-E72D297353CC}">
              <c16:uniqueId val="{00000001-1B53-4806-A0C0-132F1D1BF2C0}"/>
            </c:ext>
          </c:extLst>
        </c:ser>
        <c:ser>
          <c:idx val="4"/>
          <c:order val="3"/>
          <c:tx>
            <c:strRef>
              <c:f>'Detailed Results'!$F$182</c:f>
              <c:strCache>
                <c:ptCount val="1"/>
                <c:pt idx="0">
                  <c:v>Off-site proposed value</c:v>
                </c:pt>
              </c:strCache>
            </c:strRef>
          </c:tx>
          <c:spPr>
            <a:solidFill>
              <a:schemeClr val="accent6">
                <a:lumMod val="75000"/>
              </a:schemeClr>
            </a:solidFill>
            <a:ln>
              <a:noFill/>
            </a:ln>
            <a:effectLst/>
          </c:spPr>
          <c:invertIfNegative val="0"/>
          <c:cat>
            <c:strRef>
              <c:f>'Detailed Results'!$B$163:$B$167</c:f>
              <c:strCache>
                <c:ptCount val="5"/>
                <c:pt idx="0">
                  <c:v>Priority habitat</c:v>
                </c:pt>
                <c:pt idx="1">
                  <c:v>Other rivers and streams</c:v>
                </c:pt>
                <c:pt idx="2">
                  <c:v>Ditches</c:v>
                </c:pt>
                <c:pt idx="3">
                  <c:v>Canals</c:v>
                </c:pt>
                <c:pt idx="4">
                  <c:v>Culvert</c:v>
                </c:pt>
              </c:strCache>
            </c:strRef>
          </c:cat>
          <c:val>
            <c:numRef>
              <c:f>'Detailed Results'!$F$183:$F$187</c:f>
              <c:numCache>
                <c:formatCode>0.0</c:formatCode>
                <c:ptCount val="5"/>
                <c:pt idx="0">
                  <c:v>0</c:v>
                </c:pt>
                <c:pt idx="1">
                  <c:v>0</c:v>
                </c:pt>
                <c:pt idx="2">
                  <c:v>0</c:v>
                </c:pt>
                <c:pt idx="3">
                  <c:v>0</c:v>
                </c:pt>
                <c:pt idx="4">
                  <c:v>0</c:v>
                </c:pt>
              </c:numCache>
            </c:numRef>
          </c:val>
          <c:extLst>
            <c:ext xmlns:c16="http://schemas.microsoft.com/office/drawing/2014/chart" uri="{C3380CC4-5D6E-409C-BE32-E72D297353CC}">
              <c16:uniqueId val="{00000000-1B53-4806-A0C0-132F1D1BF2C0}"/>
            </c:ext>
          </c:extLst>
        </c:ser>
        <c:ser>
          <c:idx val="2"/>
          <c:order val="4"/>
          <c:tx>
            <c:strRef>
              <c:f>'Detailed Results'!$H$202</c:f>
              <c:strCache>
                <c:ptCount val="1"/>
                <c:pt idx="0">
                  <c:v>Combined unit change</c:v>
                </c:pt>
              </c:strCache>
            </c:strRef>
          </c:tx>
          <c:spPr>
            <a:solidFill>
              <a:schemeClr val="accent5">
                <a:lumMod val="75000"/>
              </a:schemeClr>
            </a:solidFill>
            <a:ln>
              <a:noFill/>
            </a:ln>
            <a:effectLst/>
          </c:spPr>
          <c:invertIfNegative val="0"/>
          <c:cat>
            <c:strRef>
              <c:f>'Detailed Results'!$B$163:$B$167</c:f>
              <c:strCache>
                <c:ptCount val="5"/>
                <c:pt idx="0">
                  <c:v>Priority habitat</c:v>
                </c:pt>
                <c:pt idx="1">
                  <c:v>Other rivers and streams</c:v>
                </c:pt>
                <c:pt idx="2">
                  <c:v>Ditches</c:v>
                </c:pt>
                <c:pt idx="3">
                  <c:v>Canals</c:v>
                </c:pt>
                <c:pt idx="4">
                  <c:v>Culvert</c:v>
                </c:pt>
              </c:strCache>
            </c:strRef>
          </c:cat>
          <c:val>
            <c:numRef>
              <c:f>'Detailed Results'!$H$203:$H$207</c:f>
              <c:numCache>
                <c:formatCode>0.0</c:formatCode>
                <c:ptCount val="5"/>
                <c:pt idx="0">
                  <c:v>0</c:v>
                </c:pt>
                <c:pt idx="1">
                  <c:v>0</c:v>
                </c:pt>
                <c:pt idx="2">
                  <c:v>0</c:v>
                </c:pt>
                <c:pt idx="3">
                  <c:v>0</c:v>
                </c:pt>
                <c:pt idx="4">
                  <c:v>0</c:v>
                </c:pt>
              </c:numCache>
            </c:numRef>
          </c:val>
          <c:extLst>
            <c:ext xmlns:c16="http://schemas.microsoft.com/office/drawing/2014/chart" uri="{C3380CC4-5D6E-409C-BE32-E72D297353CC}">
              <c16:uniqueId val="{00000001-B770-4E0D-8A53-6A4B5211AFB8}"/>
            </c:ext>
          </c:extLst>
        </c:ser>
        <c:dLbls>
          <c:showLegendKey val="0"/>
          <c:showVal val="0"/>
          <c:showCatName val="0"/>
          <c:showSerName val="0"/>
          <c:showPercent val="0"/>
          <c:showBubbleSize val="0"/>
        </c:dLbls>
        <c:gapWidth val="219"/>
        <c:overlap val="-27"/>
        <c:axId val="363702232"/>
        <c:axId val="363492344"/>
      </c:barChart>
      <c:catAx>
        <c:axId val="36370223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accent1"/>
                </a:solidFill>
                <a:latin typeface="+mn-lt"/>
                <a:ea typeface="+mn-ea"/>
                <a:cs typeface="+mn-cs"/>
              </a:defRPr>
            </a:pPr>
            <a:endParaRPr lang="en-US"/>
          </a:p>
        </c:txPr>
        <c:crossAx val="363492344"/>
        <c:crosses val="autoZero"/>
        <c:auto val="1"/>
        <c:lblAlgn val="ctr"/>
        <c:lblOffset val="100"/>
        <c:noMultiLvlLbl val="0"/>
      </c:catAx>
      <c:valAx>
        <c:axId val="363492344"/>
        <c:scaling>
          <c:orientation val="minMax"/>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accent1"/>
                </a:solidFill>
                <a:latin typeface="+mn-lt"/>
                <a:ea typeface="+mn-ea"/>
                <a:cs typeface="+mn-cs"/>
              </a:defRPr>
            </a:pPr>
            <a:endParaRPr lang="en-US"/>
          </a:p>
        </c:txPr>
        <c:crossAx val="363702232"/>
        <c:crosses val="autoZero"/>
        <c:crossBetween val="between"/>
      </c:valAx>
      <c:spPr>
        <a:noFill/>
        <a:ln>
          <a:noFill/>
        </a:ln>
        <a:effectLst/>
      </c:spPr>
    </c:plotArea>
    <c:legend>
      <c:legendPos val="b"/>
      <c:layout>
        <c:manualLayout>
          <c:xMode val="edge"/>
          <c:yMode val="edge"/>
          <c:x val="0.13598655107657714"/>
          <c:y val="0.92409811872266856"/>
          <c:w val="0.70163814669529867"/>
          <c:h val="3.1261660011257589E-2"/>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accent1"/>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rgbClr val="000000"/>
      </a:solidFill>
      <a:round/>
    </a:ln>
    <a:effectLst/>
  </c:spPr>
  <c:txPr>
    <a:bodyPr/>
    <a:lstStyle/>
    <a:p>
      <a:pPr>
        <a:defRPr>
          <a:solidFill>
            <a:schemeClr val="accent1"/>
          </a:solidFill>
        </a:defRPr>
      </a:pPr>
      <a:endParaRPr lang="en-US"/>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1400" b="0" i="0" u="none" strike="noStrike" kern="1200" spc="0" baseline="0">
                <a:solidFill>
                  <a:schemeClr val="accent1"/>
                </a:solidFill>
                <a:latin typeface="+mn-lt"/>
                <a:ea typeface="+mn-ea"/>
                <a:cs typeface="+mn-cs"/>
              </a:defRPr>
            </a:pPr>
            <a:r>
              <a:rPr lang="en-GB"/>
              <a:t>Watercourse </a:t>
            </a:r>
            <a:r>
              <a:rPr lang="en-GB" baseline="0"/>
              <a:t>length</a:t>
            </a:r>
            <a:r>
              <a:rPr lang="en-GB"/>
              <a:t> change (km)</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accent1"/>
              </a:solidFill>
              <a:latin typeface="+mn-lt"/>
              <a:ea typeface="+mn-ea"/>
              <a:cs typeface="+mn-cs"/>
            </a:defRPr>
          </a:pPr>
          <a:endParaRPr lang="en-US"/>
        </a:p>
      </c:txPr>
    </c:title>
    <c:autoTitleDeleted val="0"/>
    <c:plotArea>
      <c:layout>
        <c:manualLayout>
          <c:layoutTarget val="inner"/>
          <c:xMode val="edge"/>
          <c:yMode val="edge"/>
          <c:x val="2.9084007377372174E-2"/>
          <c:y val="8.2738591964125793E-2"/>
          <c:w val="0.9616458125661338"/>
          <c:h val="0.74596409039700839"/>
        </c:manualLayout>
      </c:layout>
      <c:barChart>
        <c:barDir val="col"/>
        <c:grouping val="clustered"/>
        <c:varyColors val="0"/>
        <c:ser>
          <c:idx val="0"/>
          <c:order val="0"/>
          <c:tx>
            <c:strRef>
              <c:f>'Detailed Results'!$C$162</c:f>
              <c:strCache>
                <c:ptCount val="1"/>
                <c:pt idx="0">
                  <c:v>On-site existing length</c:v>
                </c:pt>
              </c:strCache>
            </c:strRef>
          </c:tx>
          <c:spPr>
            <a:solidFill>
              <a:srgbClr val="ABC3C9">
                <a:lumMod val="75000"/>
              </a:srgbClr>
            </a:solidFill>
            <a:ln>
              <a:noFill/>
            </a:ln>
            <a:effectLst/>
          </c:spPr>
          <c:invertIfNegative val="0"/>
          <c:cat>
            <c:strRef>
              <c:f>'Detailed Results'!$B$163:$B$167</c:f>
              <c:strCache>
                <c:ptCount val="5"/>
                <c:pt idx="0">
                  <c:v>Priority habitat</c:v>
                </c:pt>
                <c:pt idx="1">
                  <c:v>Other rivers and streams</c:v>
                </c:pt>
                <c:pt idx="2">
                  <c:v>Ditches</c:v>
                </c:pt>
                <c:pt idx="3">
                  <c:v>Canals</c:v>
                </c:pt>
                <c:pt idx="4">
                  <c:v>Culvert</c:v>
                </c:pt>
              </c:strCache>
            </c:strRef>
          </c:cat>
          <c:val>
            <c:numRef>
              <c:f>'Detailed Results'!$C$163:$C$167</c:f>
              <c:numCache>
                <c:formatCode>0.0</c:formatCode>
                <c:ptCount val="5"/>
                <c:pt idx="0">
                  <c:v>0</c:v>
                </c:pt>
                <c:pt idx="1">
                  <c:v>0</c:v>
                </c:pt>
                <c:pt idx="2">
                  <c:v>0</c:v>
                </c:pt>
                <c:pt idx="3">
                  <c:v>0</c:v>
                </c:pt>
                <c:pt idx="4">
                  <c:v>0</c:v>
                </c:pt>
              </c:numCache>
            </c:numRef>
          </c:val>
          <c:extLst>
            <c:ext xmlns:c16="http://schemas.microsoft.com/office/drawing/2014/chart" uri="{C3380CC4-5D6E-409C-BE32-E72D297353CC}">
              <c16:uniqueId val="{00000000-4C68-4EC5-AB40-157E94620753}"/>
            </c:ext>
          </c:extLst>
        </c:ser>
        <c:ser>
          <c:idx val="1"/>
          <c:order val="1"/>
          <c:tx>
            <c:strRef>
              <c:f>'Detailed Results'!$E$162</c:f>
              <c:strCache>
                <c:ptCount val="1"/>
                <c:pt idx="0">
                  <c:v>On-site proposed length</c:v>
                </c:pt>
              </c:strCache>
            </c:strRef>
          </c:tx>
          <c:spPr>
            <a:solidFill>
              <a:srgbClr val="ABC3C9">
                <a:lumMod val="50000"/>
              </a:srgbClr>
            </a:solidFill>
            <a:ln>
              <a:noFill/>
            </a:ln>
            <a:effectLst/>
          </c:spPr>
          <c:invertIfNegative val="0"/>
          <c:cat>
            <c:strRef>
              <c:f>'Detailed Results'!$B$163:$B$167</c:f>
              <c:strCache>
                <c:ptCount val="5"/>
                <c:pt idx="0">
                  <c:v>Priority habitat</c:v>
                </c:pt>
                <c:pt idx="1">
                  <c:v>Other rivers and streams</c:v>
                </c:pt>
                <c:pt idx="2">
                  <c:v>Ditches</c:v>
                </c:pt>
                <c:pt idx="3">
                  <c:v>Canals</c:v>
                </c:pt>
                <c:pt idx="4">
                  <c:v>Culvert</c:v>
                </c:pt>
              </c:strCache>
            </c:strRef>
          </c:cat>
          <c:val>
            <c:numRef>
              <c:f>'Detailed Results'!$E$163:$E$167</c:f>
              <c:numCache>
                <c:formatCode>0.0</c:formatCode>
                <c:ptCount val="5"/>
                <c:pt idx="0">
                  <c:v>0</c:v>
                </c:pt>
                <c:pt idx="1">
                  <c:v>0</c:v>
                </c:pt>
                <c:pt idx="2">
                  <c:v>0</c:v>
                </c:pt>
                <c:pt idx="3">
                  <c:v>0</c:v>
                </c:pt>
                <c:pt idx="4">
                  <c:v>0</c:v>
                </c:pt>
              </c:numCache>
            </c:numRef>
          </c:val>
          <c:extLst>
            <c:ext xmlns:c16="http://schemas.microsoft.com/office/drawing/2014/chart" uri="{C3380CC4-5D6E-409C-BE32-E72D297353CC}">
              <c16:uniqueId val="{00000001-4C68-4EC5-AB40-157E94620753}"/>
            </c:ext>
          </c:extLst>
        </c:ser>
        <c:ser>
          <c:idx val="5"/>
          <c:order val="2"/>
          <c:tx>
            <c:strRef>
              <c:f>'Detailed Results'!$C$182</c:f>
              <c:strCache>
                <c:ptCount val="1"/>
                <c:pt idx="0">
                  <c:v>Off-site existing length</c:v>
                </c:pt>
              </c:strCache>
            </c:strRef>
          </c:tx>
          <c:spPr>
            <a:solidFill>
              <a:srgbClr val="945642">
                <a:lumMod val="60000"/>
                <a:lumOff val="40000"/>
              </a:srgbClr>
            </a:solidFill>
            <a:ln>
              <a:noFill/>
            </a:ln>
            <a:effectLst/>
          </c:spPr>
          <c:invertIfNegative val="0"/>
          <c:cat>
            <c:strRef>
              <c:f>'Detailed Results'!$B$163:$B$167</c:f>
              <c:strCache>
                <c:ptCount val="5"/>
                <c:pt idx="0">
                  <c:v>Priority habitat</c:v>
                </c:pt>
                <c:pt idx="1">
                  <c:v>Other rivers and streams</c:v>
                </c:pt>
                <c:pt idx="2">
                  <c:v>Ditches</c:v>
                </c:pt>
                <c:pt idx="3">
                  <c:v>Canals</c:v>
                </c:pt>
                <c:pt idx="4">
                  <c:v>Culvert</c:v>
                </c:pt>
              </c:strCache>
            </c:strRef>
          </c:cat>
          <c:val>
            <c:numRef>
              <c:f>'Detailed Results'!$C$183:$C$187</c:f>
              <c:numCache>
                <c:formatCode>0.0</c:formatCode>
                <c:ptCount val="5"/>
                <c:pt idx="0">
                  <c:v>0</c:v>
                </c:pt>
                <c:pt idx="1">
                  <c:v>0</c:v>
                </c:pt>
                <c:pt idx="2">
                  <c:v>0</c:v>
                </c:pt>
                <c:pt idx="3">
                  <c:v>0</c:v>
                </c:pt>
                <c:pt idx="4">
                  <c:v>0</c:v>
                </c:pt>
              </c:numCache>
            </c:numRef>
          </c:val>
          <c:extLst>
            <c:ext xmlns:c16="http://schemas.microsoft.com/office/drawing/2014/chart" uri="{C3380CC4-5D6E-409C-BE32-E72D297353CC}">
              <c16:uniqueId val="{00000001-1B53-4806-A0C0-132F1D1BF2C0}"/>
            </c:ext>
          </c:extLst>
        </c:ser>
        <c:ser>
          <c:idx val="4"/>
          <c:order val="3"/>
          <c:tx>
            <c:strRef>
              <c:f>'Detailed Results'!$E$182</c:f>
              <c:strCache>
                <c:ptCount val="1"/>
                <c:pt idx="0">
                  <c:v>Off-site proposed length</c:v>
                </c:pt>
              </c:strCache>
            </c:strRef>
          </c:tx>
          <c:spPr>
            <a:solidFill>
              <a:srgbClr val="945642">
                <a:lumMod val="75000"/>
              </a:srgbClr>
            </a:solidFill>
            <a:ln>
              <a:noFill/>
            </a:ln>
            <a:effectLst/>
          </c:spPr>
          <c:invertIfNegative val="0"/>
          <c:cat>
            <c:strRef>
              <c:f>'Detailed Results'!$B$163:$B$167</c:f>
              <c:strCache>
                <c:ptCount val="5"/>
                <c:pt idx="0">
                  <c:v>Priority habitat</c:v>
                </c:pt>
                <c:pt idx="1">
                  <c:v>Other rivers and streams</c:v>
                </c:pt>
                <c:pt idx="2">
                  <c:v>Ditches</c:v>
                </c:pt>
                <c:pt idx="3">
                  <c:v>Canals</c:v>
                </c:pt>
                <c:pt idx="4">
                  <c:v>Culvert</c:v>
                </c:pt>
              </c:strCache>
            </c:strRef>
          </c:cat>
          <c:val>
            <c:numRef>
              <c:f>'Detailed Results'!$E$183:$E$187</c:f>
              <c:numCache>
                <c:formatCode>0.0</c:formatCode>
                <c:ptCount val="5"/>
                <c:pt idx="0">
                  <c:v>0</c:v>
                </c:pt>
                <c:pt idx="1">
                  <c:v>0</c:v>
                </c:pt>
                <c:pt idx="2">
                  <c:v>0</c:v>
                </c:pt>
                <c:pt idx="3">
                  <c:v>0</c:v>
                </c:pt>
                <c:pt idx="4">
                  <c:v>0</c:v>
                </c:pt>
              </c:numCache>
            </c:numRef>
          </c:val>
          <c:extLst>
            <c:ext xmlns:c16="http://schemas.microsoft.com/office/drawing/2014/chart" uri="{C3380CC4-5D6E-409C-BE32-E72D297353CC}">
              <c16:uniqueId val="{00000000-1B53-4806-A0C0-132F1D1BF2C0}"/>
            </c:ext>
          </c:extLst>
        </c:ser>
        <c:ser>
          <c:idx val="2"/>
          <c:order val="4"/>
          <c:tx>
            <c:strRef>
              <c:f>'Detailed Results'!$G$202</c:f>
              <c:strCache>
                <c:ptCount val="1"/>
                <c:pt idx="0">
                  <c:v>Combined length change</c:v>
                </c:pt>
              </c:strCache>
            </c:strRef>
          </c:tx>
          <c:spPr>
            <a:solidFill>
              <a:srgbClr val="92D050">
                <a:lumMod val="75000"/>
              </a:srgbClr>
            </a:solidFill>
            <a:ln>
              <a:noFill/>
            </a:ln>
            <a:effectLst/>
          </c:spPr>
          <c:invertIfNegative val="0"/>
          <c:cat>
            <c:strRef>
              <c:f>'Detailed Results'!$B$163:$B$167</c:f>
              <c:strCache>
                <c:ptCount val="5"/>
                <c:pt idx="0">
                  <c:v>Priority habitat</c:v>
                </c:pt>
                <c:pt idx="1">
                  <c:v>Other rivers and streams</c:v>
                </c:pt>
                <c:pt idx="2">
                  <c:v>Ditches</c:v>
                </c:pt>
                <c:pt idx="3">
                  <c:v>Canals</c:v>
                </c:pt>
                <c:pt idx="4">
                  <c:v>Culvert</c:v>
                </c:pt>
              </c:strCache>
            </c:strRef>
          </c:cat>
          <c:val>
            <c:numRef>
              <c:f>'Detailed Results'!$G$203:$G$207</c:f>
              <c:numCache>
                <c:formatCode>0.0</c:formatCode>
                <c:ptCount val="5"/>
                <c:pt idx="0">
                  <c:v>0</c:v>
                </c:pt>
                <c:pt idx="1">
                  <c:v>0</c:v>
                </c:pt>
                <c:pt idx="2">
                  <c:v>0</c:v>
                </c:pt>
                <c:pt idx="3">
                  <c:v>0</c:v>
                </c:pt>
                <c:pt idx="4">
                  <c:v>0</c:v>
                </c:pt>
              </c:numCache>
            </c:numRef>
          </c:val>
          <c:extLst>
            <c:ext xmlns:c16="http://schemas.microsoft.com/office/drawing/2014/chart" uri="{C3380CC4-5D6E-409C-BE32-E72D297353CC}">
              <c16:uniqueId val="{00000001-C92A-4C07-9C6C-683D1F344A78}"/>
            </c:ext>
          </c:extLst>
        </c:ser>
        <c:dLbls>
          <c:showLegendKey val="0"/>
          <c:showVal val="0"/>
          <c:showCatName val="0"/>
          <c:showSerName val="0"/>
          <c:showPercent val="0"/>
          <c:showBubbleSize val="0"/>
        </c:dLbls>
        <c:gapWidth val="219"/>
        <c:overlap val="-27"/>
        <c:axId val="363493128"/>
        <c:axId val="363493520"/>
      </c:barChart>
      <c:catAx>
        <c:axId val="3634931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accent1"/>
                </a:solidFill>
                <a:latin typeface="+mn-lt"/>
                <a:ea typeface="+mn-ea"/>
                <a:cs typeface="+mn-cs"/>
              </a:defRPr>
            </a:pPr>
            <a:endParaRPr lang="en-US"/>
          </a:p>
        </c:txPr>
        <c:crossAx val="363493520"/>
        <c:crosses val="autoZero"/>
        <c:auto val="1"/>
        <c:lblAlgn val="ctr"/>
        <c:lblOffset val="100"/>
        <c:noMultiLvlLbl val="0"/>
      </c:catAx>
      <c:valAx>
        <c:axId val="363493520"/>
        <c:scaling>
          <c:orientation val="minMax"/>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accent1"/>
                </a:solidFill>
                <a:latin typeface="+mn-lt"/>
                <a:ea typeface="+mn-ea"/>
                <a:cs typeface="+mn-cs"/>
              </a:defRPr>
            </a:pPr>
            <a:endParaRPr lang="en-US"/>
          </a:p>
        </c:txPr>
        <c:crossAx val="363493128"/>
        <c:crosses val="autoZero"/>
        <c:crossBetween val="between"/>
      </c:valAx>
      <c:spPr>
        <a:noFill/>
        <a:ln>
          <a:noFill/>
        </a:ln>
        <a:effectLst/>
      </c:spPr>
    </c:plotArea>
    <c:legend>
      <c:legendPos val="b"/>
      <c:layout>
        <c:manualLayout>
          <c:xMode val="edge"/>
          <c:yMode val="edge"/>
          <c:x val="0.12341991135422294"/>
          <c:y val="0.9317491828721074"/>
          <c:w val="0.69343552471343239"/>
          <c:h val="3.1493885000069256E-2"/>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accent1"/>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rgbClr val="000000"/>
      </a:solidFill>
      <a:round/>
    </a:ln>
    <a:effectLst/>
  </c:spPr>
  <c:txPr>
    <a:bodyPr/>
    <a:lstStyle/>
    <a:p>
      <a:pPr>
        <a:defRPr>
          <a:solidFill>
            <a:schemeClr val="accent1"/>
          </a:solidFill>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n-GB" sz="1200" b="0" i="0" u="none" strike="noStrike" kern="1200" spc="0" baseline="0">
                <a:solidFill>
                  <a:schemeClr val="accent1"/>
                </a:solidFill>
                <a:latin typeface="+mn-lt"/>
                <a:ea typeface="+mn-ea"/>
                <a:cs typeface="+mn-cs"/>
              </a:defRPr>
            </a:pPr>
            <a:r>
              <a:rPr lang="en-GB" sz="1400"/>
              <a:t>On-site and off-site habitat retention category </a:t>
            </a:r>
          </a:p>
          <a:p>
            <a:pPr>
              <a:defRPr/>
            </a:pPr>
            <a:r>
              <a:rPr lang="en-GB" sz="1400"/>
              <a:t>(biodiversity units)</a:t>
            </a:r>
          </a:p>
        </c:rich>
      </c:tx>
      <c:layout>
        <c:manualLayout>
          <c:xMode val="edge"/>
          <c:yMode val="edge"/>
          <c:x val="0.18509219259390725"/>
          <c:y val="3.9054265546647919E-2"/>
        </c:manualLayout>
      </c:layout>
      <c:overlay val="0"/>
      <c:spPr>
        <a:noFill/>
        <a:ln>
          <a:noFill/>
        </a:ln>
        <a:effectLst/>
      </c:spPr>
      <c:txPr>
        <a:bodyPr rot="0" spcFirstLastPara="1" vertOverflow="ellipsis" vert="horz" wrap="square" anchor="ctr" anchorCtr="1"/>
        <a:lstStyle/>
        <a:p>
          <a:pPr>
            <a:defRPr lang="en-GB" sz="1200" b="0" i="0" u="none" strike="noStrike" kern="1200" spc="0" baseline="0">
              <a:solidFill>
                <a:schemeClr val="accent1"/>
              </a:solidFill>
              <a:latin typeface="+mn-lt"/>
              <a:ea typeface="+mn-ea"/>
              <a:cs typeface="+mn-cs"/>
            </a:defRPr>
          </a:pPr>
          <a:endParaRPr lang="en-US"/>
        </a:p>
      </c:txPr>
    </c:title>
    <c:autoTitleDeleted val="0"/>
    <c:plotArea>
      <c:layout>
        <c:manualLayout>
          <c:layoutTarget val="inner"/>
          <c:xMode val="edge"/>
          <c:yMode val="edge"/>
          <c:x val="7.5127431426051383E-2"/>
          <c:y val="0.20532903300080349"/>
          <c:w val="0.87620265450755663"/>
          <c:h val="0.61270311259180599"/>
        </c:manualLayout>
      </c:layout>
      <c:barChart>
        <c:barDir val="col"/>
        <c:grouping val="clustered"/>
        <c:varyColors val="1"/>
        <c:ser>
          <c:idx val="0"/>
          <c:order val="0"/>
          <c:invertIfNegative val="0"/>
          <c:dPt>
            <c:idx val="0"/>
            <c:invertIfNegative val="0"/>
            <c:bubble3D val="0"/>
            <c:spPr>
              <a:solidFill>
                <a:schemeClr val="accent1"/>
              </a:solidFill>
              <a:ln w="19050">
                <a:solidFill>
                  <a:schemeClr val="lt1"/>
                </a:solidFill>
              </a:ln>
              <a:effectLst/>
            </c:spPr>
            <c:extLst>
              <c:ext xmlns:c16="http://schemas.microsoft.com/office/drawing/2014/chart" uri="{C3380CC4-5D6E-409C-BE32-E72D297353CC}">
                <c16:uniqueId val="{00000001-8A45-4BB0-BB1D-81488C5130A4}"/>
              </c:ext>
            </c:extLst>
          </c:dPt>
          <c:dPt>
            <c:idx val="1"/>
            <c:invertIfNegative val="0"/>
            <c:bubble3D val="0"/>
            <c:spPr>
              <a:solidFill>
                <a:schemeClr val="accent2"/>
              </a:solidFill>
              <a:ln w="19050">
                <a:solidFill>
                  <a:schemeClr val="lt1"/>
                </a:solidFill>
              </a:ln>
              <a:effectLst/>
            </c:spPr>
            <c:extLst>
              <c:ext xmlns:c16="http://schemas.microsoft.com/office/drawing/2014/chart" uri="{C3380CC4-5D6E-409C-BE32-E72D297353CC}">
                <c16:uniqueId val="{00000003-8A45-4BB0-BB1D-81488C5130A4}"/>
              </c:ext>
            </c:extLst>
          </c:dPt>
          <c:dPt>
            <c:idx val="2"/>
            <c:invertIfNegative val="0"/>
            <c:bubble3D val="0"/>
            <c:spPr>
              <a:solidFill>
                <a:schemeClr val="accent3"/>
              </a:solidFill>
              <a:ln w="19050">
                <a:solidFill>
                  <a:schemeClr val="lt1"/>
                </a:solidFill>
              </a:ln>
              <a:effectLst/>
            </c:spPr>
            <c:extLst>
              <c:ext xmlns:c16="http://schemas.microsoft.com/office/drawing/2014/chart" uri="{C3380CC4-5D6E-409C-BE32-E72D297353CC}">
                <c16:uniqueId val="{00000005-8A45-4BB0-BB1D-81488C5130A4}"/>
              </c:ext>
            </c:extLst>
          </c:dPt>
          <c:dPt>
            <c:idx val="3"/>
            <c:invertIfNegative val="0"/>
            <c:bubble3D val="0"/>
            <c:spPr>
              <a:solidFill>
                <a:schemeClr val="accent4"/>
              </a:solidFill>
              <a:ln w="19050">
                <a:solidFill>
                  <a:schemeClr val="lt1"/>
                </a:solidFill>
              </a:ln>
              <a:effectLst/>
            </c:spPr>
            <c:extLst>
              <c:ext xmlns:c16="http://schemas.microsoft.com/office/drawing/2014/chart" uri="{C3380CC4-5D6E-409C-BE32-E72D297353CC}">
                <c16:uniqueId val="{00000007-8A45-4BB0-BB1D-81488C5130A4}"/>
              </c:ext>
            </c:extLst>
          </c:dPt>
          <c:dLbls>
            <c:spPr>
              <a:noFill/>
              <a:ln>
                <a:noFill/>
              </a:ln>
              <a:effectLst/>
            </c:spPr>
            <c:txPr>
              <a:bodyPr rot="0" spcFirstLastPara="1" vertOverflow="ellipsis" vert="horz" wrap="square" anchor="ctr" anchorCtr="1"/>
              <a:lstStyle/>
              <a:p>
                <a:pPr>
                  <a:defRPr lang="en-GB" sz="1000" b="0" i="0" u="none" strike="noStrike" kern="1200" baseline="0">
                    <a:solidFill>
                      <a:schemeClr val="accent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('Detailed Results'!$B$25,'Detailed Results'!$B$28,'Detailed Results'!$B$31)</c:f>
              <c:strCache>
                <c:ptCount val="3"/>
                <c:pt idx="0">
                  <c:v>Total on-site and off-site baseline units retained</c:v>
                </c:pt>
                <c:pt idx="1">
                  <c:v>Baseline units proposed for enhancement</c:v>
                </c:pt>
                <c:pt idx="2">
                  <c:v>Total on-site and off-site baseline units lost</c:v>
                </c:pt>
              </c:strCache>
            </c:strRef>
          </c:cat>
          <c:val>
            <c:numRef>
              <c:f>('Detailed Results'!$D$25,'Detailed Results'!$D$28,'Detailed Results'!$D$31)</c:f>
              <c:numCache>
                <c:formatCode>0.00</c:formatCode>
                <c:ptCount val="3"/>
                <c:pt idx="0">
                  <c:v>5.5839999999999996</c:v>
                </c:pt>
                <c:pt idx="1">
                  <c:v>0</c:v>
                </c:pt>
                <c:pt idx="2">
                  <c:v>91.10799999999999</c:v>
                </c:pt>
              </c:numCache>
            </c:numRef>
          </c:val>
          <c:extLst>
            <c:ext xmlns:c16="http://schemas.microsoft.com/office/drawing/2014/chart" uri="{C3380CC4-5D6E-409C-BE32-E72D297353CC}">
              <c16:uniqueId val="{00000008-8A45-4BB0-BB1D-81488C5130A4}"/>
            </c:ext>
          </c:extLst>
        </c:ser>
        <c:dLbls>
          <c:showLegendKey val="0"/>
          <c:showVal val="0"/>
          <c:showCatName val="0"/>
          <c:showSerName val="0"/>
          <c:showPercent val="0"/>
          <c:showBubbleSize val="0"/>
        </c:dLbls>
        <c:gapWidth val="100"/>
        <c:axId val="361463880"/>
        <c:axId val="361464272"/>
      </c:barChart>
      <c:catAx>
        <c:axId val="361463880"/>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lang="en-GB" sz="1000" b="0" i="0" u="none" strike="noStrike" kern="1200" baseline="0">
                <a:solidFill>
                  <a:schemeClr val="accent1"/>
                </a:solidFill>
                <a:latin typeface="+mn-lt"/>
                <a:ea typeface="+mn-ea"/>
                <a:cs typeface="+mn-cs"/>
              </a:defRPr>
            </a:pPr>
            <a:endParaRPr lang="en-US"/>
          </a:p>
        </c:txPr>
        <c:crossAx val="361464272"/>
        <c:crosses val="autoZero"/>
        <c:auto val="1"/>
        <c:lblAlgn val="ctr"/>
        <c:lblOffset val="100"/>
        <c:noMultiLvlLbl val="0"/>
      </c:catAx>
      <c:valAx>
        <c:axId val="361464272"/>
        <c:scaling>
          <c:orientation val="minMax"/>
        </c:scaling>
        <c:delete val="0"/>
        <c:axPos val="l"/>
        <c:majorGridlines>
          <c:spPr>
            <a:ln w="9525" cap="flat" cmpd="sng" algn="ctr">
              <a:solidFill>
                <a:schemeClr val="tx1">
                  <a:lumMod val="15000"/>
                  <a:lumOff val="85000"/>
                </a:schemeClr>
              </a:solidFill>
              <a:round/>
            </a:ln>
            <a:effectLst/>
          </c:spPr>
        </c:majorGridlines>
        <c:numFmt formatCode="0.00" sourceLinked="1"/>
        <c:majorTickMark val="out"/>
        <c:minorTickMark val="none"/>
        <c:tickLblPos val="nextTo"/>
        <c:spPr>
          <a:noFill/>
          <a:ln>
            <a:noFill/>
          </a:ln>
          <a:effectLst/>
        </c:spPr>
        <c:txPr>
          <a:bodyPr rot="-60000000" spcFirstLastPara="1" vertOverflow="ellipsis" vert="horz" wrap="square" anchor="ctr" anchorCtr="1"/>
          <a:lstStyle/>
          <a:p>
            <a:pPr>
              <a:defRPr lang="en-GB" sz="1000" b="0" i="0" u="none" strike="noStrike" kern="1200" baseline="0">
                <a:solidFill>
                  <a:schemeClr val="accent1"/>
                </a:solidFill>
                <a:latin typeface="+mn-lt"/>
                <a:ea typeface="+mn-ea"/>
                <a:cs typeface="+mn-cs"/>
              </a:defRPr>
            </a:pPr>
            <a:endParaRPr lang="en-US"/>
          </a:p>
        </c:txPr>
        <c:crossAx val="361463880"/>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accent1"/>
      </a:solidFill>
      <a:round/>
    </a:ln>
    <a:effectLst/>
  </c:spPr>
  <c:txPr>
    <a:bodyPr/>
    <a:lstStyle/>
    <a:p>
      <a:pPr>
        <a:defRPr lang="en-GB" sz="1000" b="0" i="0" u="none" strike="noStrike" kern="1200" baseline="0">
          <a:solidFill>
            <a:schemeClr val="accent1"/>
          </a:solidFill>
          <a:latin typeface="+mn-lt"/>
          <a:ea typeface="+mn-ea"/>
          <a:cs typeface="+mn-cs"/>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accent1"/>
                </a:solidFill>
                <a:latin typeface="+mn-lt"/>
                <a:ea typeface="+mn-ea"/>
                <a:cs typeface="+mn-cs"/>
              </a:defRPr>
            </a:pPr>
            <a:r>
              <a:rPr lang="en-GB"/>
              <a:t>Area change by habitat group (hectares)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accent1"/>
              </a:solidFill>
              <a:latin typeface="+mn-lt"/>
              <a:ea typeface="+mn-ea"/>
              <a:cs typeface="+mn-cs"/>
            </a:defRPr>
          </a:pPr>
          <a:endParaRPr lang="en-US"/>
        </a:p>
      </c:txPr>
    </c:title>
    <c:autoTitleDeleted val="0"/>
    <c:plotArea>
      <c:layout>
        <c:manualLayout>
          <c:layoutTarget val="inner"/>
          <c:xMode val="edge"/>
          <c:yMode val="edge"/>
          <c:x val="2.5345028470486534E-2"/>
          <c:y val="0.1124473308264943"/>
          <c:w val="0.95556189277056358"/>
          <c:h val="0.71351685039370083"/>
        </c:manualLayout>
      </c:layout>
      <c:barChart>
        <c:barDir val="col"/>
        <c:grouping val="clustered"/>
        <c:varyColors val="0"/>
        <c:ser>
          <c:idx val="0"/>
          <c:order val="0"/>
          <c:tx>
            <c:strRef>
              <c:f>'Detailed Results'!$C$38</c:f>
              <c:strCache>
                <c:ptCount val="1"/>
                <c:pt idx="0">
                  <c:v>On-site existing area</c:v>
                </c:pt>
              </c:strCache>
            </c:strRef>
          </c:tx>
          <c:spPr>
            <a:solidFill>
              <a:schemeClr val="tx1">
                <a:lumMod val="75000"/>
              </a:schemeClr>
            </a:solidFill>
            <a:ln>
              <a:noFill/>
            </a:ln>
            <a:effectLst/>
          </c:spPr>
          <c:invertIfNegative val="0"/>
          <c:cat>
            <c:strRef>
              <c:f>'Detailed Results'!$B$39:$B$53</c:f>
              <c:strCache>
                <c:ptCount val="15"/>
                <c:pt idx="0">
                  <c:v>Cropland</c:v>
                </c:pt>
                <c:pt idx="1">
                  <c:v>Grassland</c:v>
                </c:pt>
                <c:pt idx="2">
                  <c:v>Heathland and shrub</c:v>
                </c:pt>
                <c:pt idx="3">
                  <c:v>Lakes</c:v>
                </c:pt>
                <c:pt idx="4">
                  <c:v>Sparsely vegetated land</c:v>
                </c:pt>
                <c:pt idx="5">
                  <c:v>Urban</c:v>
                </c:pt>
                <c:pt idx="6">
                  <c:v>Wetland</c:v>
                </c:pt>
                <c:pt idx="7">
                  <c:v>Woodland and forest</c:v>
                </c:pt>
                <c:pt idx="8">
                  <c:v>Intertidal sediment</c:v>
                </c:pt>
                <c:pt idx="9">
                  <c:v>Coastal saltmarsh </c:v>
                </c:pt>
                <c:pt idx="10">
                  <c:v>Rocky shore </c:v>
                </c:pt>
                <c:pt idx="11">
                  <c:v>Coastal lagoons</c:v>
                </c:pt>
                <c:pt idx="12">
                  <c:v>Intertidal hard structures</c:v>
                </c:pt>
                <c:pt idx="13">
                  <c:v>Watercourse footprint</c:v>
                </c:pt>
                <c:pt idx="14">
                  <c:v>Individual trees</c:v>
                </c:pt>
              </c:strCache>
            </c:strRef>
          </c:cat>
          <c:val>
            <c:numRef>
              <c:f>'Detailed Results'!$C$39:$C$53</c:f>
              <c:numCache>
                <c:formatCode>0.00</c:formatCode>
                <c:ptCount val="15"/>
                <c:pt idx="0">
                  <c:v>16.273</c:v>
                </c:pt>
                <c:pt idx="1">
                  <c:v>29.661000000000001</c:v>
                </c:pt>
                <c:pt idx="2">
                  <c:v>2.3E-2</c:v>
                </c:pt>
                <c:pt idx="3">
                  <c:v>0</c:v>
                </c:pt>
                <c:pt idx="4">
                  <c:v>0</c:v>
                </c:pt>
                <c:pt idx="5">
                  <c:v>0.51300000000000001</c:v>
                </c:pt>
                <c:pt idx="6">
                  <c:v>0</c:v>
                </c:pt>
                <c:pt idx="7">
                  <c:v>0.32500000000000001</c:v>
                </c:pt>
                <c:pt idx="8">
                  <c:v>0</c:v>
                </c:pt>
                <c:pt idx="9">
                  <c:v>0</c:v>
                </c:pt>
                <c:pt idx="10">
                  <c:v>0</c:v>
                </c:pt>
                <c:pt idx="11">
                  <c:v>0</c:v>
                </c:pt>
                <c:pt idx="12">
                  <c:v>0</c:v>
                </c:pt>
                <c:pt idx="13">
                  <c:v>0</c:v>
                </c:pt>
                <c:pt idx="14">
                  <c:v>0</c:v>
                </c:pt>
              </c:numCache>
            </c:numRef>
          </c:val>
          <c:extLst>
            <c:ext xmlns:c16="http://schemas.microsoft.com/office/drawing/2014/chart" uri="{C3380CC4-5D6E-409C-BE32-E72D297353CC}">
              <c16:uniqueId val="{00000000-674F-487F-A4D7-68B96D121954}"/>
            </c:ext>
          </c:extLst>
        </c:ser>
        <c:ser>
          <c:idx val="1"/>
          <c:order val="1"/>
          <c:tx>
            <c:strRef>
              <c:f>'Detailed Results'!$E$38</c:f>
              <c:strCache>
                <c:ptCount val="1"/>
                <c:pt idx="0">
                  <c:v>On-site proposed area</c:v>
                </c:pt>
              </c:strCache>
            </c:strRef>
          </c:tx>
          <c:spPr>
            <a:solidFill>
              <a:schemeClr val="tx1">
                <a:lumMod val="50000"/>
              </a:schemeClr>
            </a:solidFill>
            <a:ln>
              <a:noFill/>
            </a:ln>
            <a:effectLst/>
          </c:spPr>
          <c:invertIfNegative val="0"/>
          <c:cat>
            <c:strRef>
              <c:f>'Detailed Results'!$B$39:$B$53</c:f>
              <c:strCache>
                <c:ptCount val="15"/>
                <c:pt idx="0">
                  <c:v>Cropland</c:v>
                </c:pt>
                <c:pt idx="1">
                  <c:v>Grassland</c:v>
                </c:pt>
                <c:pt idx="2">
                  <c:v>Heathland and shrub</c:v>
                </c:pt>
                <c:pt idx="3">
                  <c:v>Lakes</c:v>
                </c:pt>
                <c:pt idx="4">
                  <c:v>Sparsely vegetated land</c:v>
                </c:pt>
                <c:pt idx="5">
                  <c:v>Urban</c:v>
                </c:pt>
                <c:pt idx="6">
                  <c:v>Wetland</c:v>
                </c:pt>
                <c:pt idx="7">
                  <c:v>Woodland and forest</c:v>
                </c:pt>
                <c:pt idx="8">
                  <c:v>Intertidal sediment</c:v>
                </c:pt>
                <c:pt idx="9">
                  <c:v>Coastal saltmarsh </c:v>
                </c:pt>
                <c:pt idx="10">
                  <c:v>Rocky shore </c:v>
                </c:pt>
                <c:pt idx="11">
                  <c:v>Coastal lagoons</c:v>
                </c:pt>
                <c:pt idx="12">
                  <c:v>Intertidal hard structures</c:v>
                </c:pt>
                <c:pt idx="13">
                  <c:v>Watercourse footprint</c:v>
                </c:pt>
                <c:pt idx="14">
                  <c:v>Individual trees</c:v>
                </c:pt>
              </c:strCache>
            </c:strRef>
          </c:cat>
          <c:val>
            <c:numRef>
              <c:f>'Detailed Results'!$E$39:$E$53</c:f>
              <c:numCache>
                <c:formatCode>0.00</c:formatCode>
                <c:ptCount val="15"/>
                <c:pt idx="0">
                  <c:v>0.17499999999999999</c:v>
                </c:pt>
                <c:pt idx="1">
                  <c:v>42.995000000000005</c:v>
                </c:pt>
                <c:pt idx="2">
                  <c:v>0.66100000000000003</c:v>
                </c:pt>
                <c:pt idx="3">
                  <c:v>0</c:v>
                </c:pt>
                <c:pt idx="4">
                  <c:v>0</c:v>
                </c:pt>
                <c:pt idx="5">
                  <c:v>1.3779999999999999</c:v>
                </c:pt>
                <c:pt idx="6">
                  <c:v>0</c:v>
                </c:pt>
                <c:pt idx="7">
                  <c:v>1.5860000000000001</c:v>
                </c:pt>
                <c:pt idx="8">
                  <c:v>0</c:v>
                </c:pt>
                <c:pt idx="9">
                  <c:v>0</c:v>
                </c:pt>
                <c:pt idx="10">
                  <c:v>0</c:v>
                </c:pt>
                <c:pt idx="11">
                  <c:v>0</c:v>
                </c:pt>
                <c:pt idx="12">
                  <c:v>0</c:v>
                </c:pt>
                <c:pt idx="13">
                  <c:v>0</c:v>
                </c:pt>
                <c:pt idx="14">
                  <c:v>0</c:v>
                </c:pt>
              </c:numCache>
            </c:numRef>
          </c:val>
          <c:extLst>
            <c:ext xmlns:c16="http://schemas.microsoft.com/office/drawing/2014/chart" uri="{C3380CC4-5D6E-409C-BE32-E72D297353CC}">
              <c16:uniqueId val="{00000001-674F-487F-A4D7-68B96D121954}"/>
            </c:ext>
          </c:extLst>
        </c:ser>
        <c:ser>
          <c:idx val="2"/>
          <c:order val="2"/>
          <c:tx>
            <c:strRef>
              <c:f>'Detailed Results'!$C$58</c:f>
              <c:strCache>
                <c:ptCount val="1"/>
                <c:pt idx="0">
                  <c:v>Off-site existing area</c:v>
                </c:pt>
              </c:strCache>
            </c:strRef>
          </c:tx>
          <c:spPr>
            <a:solidFill>
              <a:schemeClr val="accent6">
                <a:lumMod val="60000"/>
                <a:lumOff val="40000"/>
              </a:schemeClr>
            </a:solidFill>
            <a:ln>
              <a:noFill/>
            </a:ln>
            <a:effectLst/>
          </c:spPr>
          <c:invertIfNegative val="0"/>
          <c:cat>
            <c:strRef>
              <c:f>'Detailed Results'!$B$39:$B$53</c:f>
              <c:strCache>
                <c:ptCount val="15"/>
                <c:pt idx="0">
                  <c:v>Cropland</c:v>
                </c:pt>
                <c:pt idx="1">
                  <c:v>Grassland</c:v>
                </c:pt>
                <c:pt idx="2">
                  <c:v>Heathland and shrub</c:v>
                </c:pt>
                <c:pt idx="3">
                  <c:v>Lakes</c:v>
                </c:pt>
                <c:pt idx="4">
                  <c:v>Sparsely vegetated land</c:v>
                </c:pt>
                <c:pt idx="5">
                  <c:v>Urban</c:v>
                </c:pt>
                <c:pt idx="6">
                  <c:v>Wetland</c:v>
                </c:pt>
                <c:pt idx="7">
                  <c:v>Woodland and forest</c:v>
                </c:pt>
                <c:pt idx="8">
                  <c:v>Intertidal sediment</c:v>
                </c:pt>
                <c:pt idx="9">
                  <c:v>Coastal saltmarsh </c:v>
                </c:pt>
                <c:pt idx="10">
                  <c:v>Rocky shore </c:v>
                </c:pt>
                <c:pt idx="11">
                  <c:v>Coastal lagoons</c:v>
                </c:pt>
                <c:pt idx="12">
                  <c:v>Intertidal hard structures</c:v>
                </c:pt>
                <c:pt idx="13">
                  <c:v>Watercourse footprint</c:v>
                </c:pt>
                <c:pt idx="14">
                  <c:v>Individual trees</c:v>
                </c:pt>
              </c:strCache>
            </c:strRef>
          </c:cat>
          <c:val>
            <c:numRef>
              <c:f>'Detailed Results'!$C$59:$C$73</c:f>
              <c:numCache>
                <c:formatCode>0.00</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c:ext xmlns:c16="http://schemas.microsoft.com/office/drawing/2014/chart" uri="{C3380CC4-5D6E-409C-BE32-E72D297353CC}">
              <c16:uniqueId val="{00000002-4432-450E-97DD-D6381CCC53F6}"/>
            </c:ext>
          </c:extLst>
        </c:ser>
        <c:ser>
          <c:idx val="3"/>
          <c:order val="3"/>
          <c:tx>
            <c:strRef>
              <c:f>'Detailed Results'!$E$58</c:f>
              <c:strCache>
                <c:ptCount val="1"/>
                <c:pt idx="0">
                  <c:v>Off-site proposed area</c:v>
                </c:pt>
              </c:strCache>
            </c:strRef>
          </c:tx>
          <c:spPr>
            <a:solidFill>
              <a:schemeClr val="accent6">
                <a:lumMod val="75000"/>
              </a:schemeClr>
            </a:solidFill>
            <a:ln>
              <a:noFill/>
            </a:ln>
            <a:effectLst/>
          </c:spPr>
          <c:invertIfNegative val="0"/>
          <c:cat>
            <c:strRef>
              <c:f>'Detailed Results'!$B$39:$B$53</c:f>
              <c:strCache>
                <c:ptCount val="15"/>
                <c:pt idx="0">
                  <c:v>Cropland</c:v>
                </c:pt>
                <c:pt idx="1">
                  <c:v>Grassland</c:v>
                </c:pt>
                <c:pt idx="2">
                  <c:v>Heathland and shrub</c:v>
                </c:pt>
                <c:pt idx="3">
                  <c:v>Lakes</c:v>
                </c:pt>
                <c:pt idx="4">
                  <c:v>Sparsely vegetated land</c:v>
                </c:pt>
                <c:pt idx="5">
                  <c:v>Urban</c:v>
                </c:pt>
                <c:pt idx="6">
                  <c:v>Wetland</c:v>
                </c:pt>
                <c:pt idx="7">
                  <c:v>Woodland and forest</c:v>
                </c:pt>
                <c:pt idx="8">
                  <c:v>Intertidal sediment</c:v>
                </c:pt>
                <c:pt idx="9">
                  <c:v>Coastal saltmarsh </c:v>
                </c:pt>
                <c:pt idx="10">
                  <c:v>Rocky shore </c:v>
                </c:pt>
                <c:pt idx="11">
                  <c:v>Coastal lagoons</c:v>
                </c:pt>
                <c:pt idx="12">
                  <c:v>Intertidal hard structures</c:v>
                </c:pt>
                <c:pt idx="13">
                  <c:v>Watercourse footprint</c:v>
                </c:pt>
                <c:pt idx="14">
                  <c:v>Individual trees</c:v>
                </c:pt>
              </c:strCache>
            </c:strRef>
          </c:cat>
          <c:val>
            <c:numRef>
              <c:f>'Detailed Results'!$E$59:$E$73</c:f>
              <c:numCache>
                <c:formatCode>0.00</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c:ext xmlns:c16="http://schemas.microsoft.com/office/drawing/2014/chart" uri="{C3380CC4-5D6E-409C-BE32-E72D297353CC}">
              <c16:uniqueId val="{00000003-4432-450E-97DD-D6381CCC53F6}"/>
            </c:ext>
          </c:extLst>
        </c:ser>
        <c:ser>
          <c:idx val="4"/>
          <c:order val="4"/>
          <c:tx>
            <c:strRef>
              <c:f>'Detailed Results'!$G$77</c:f>
              <c:strCache>
                <c:ptCount val="1"/>
                <c:pt idx="0">
                  <c:v>Combined area change</c:v>
                </c:pt>
              </c:strCache>
            </c:strRef>
          </c:tx>
          <c:spPr>
            <a:solidFill>
              <a:schemeClr val="accent5">
                <a:lumMod val="75000"/>
              </a:schemeClr>
            </a:solidFill>
            <a:ln>
              <a:noFill/>
            </a:ln>
            <a:effectLst/>
          </c:spPr>
          <c:invertIfNegative val="0"/>
          <c:cat>
            <c:strRef>
              <c:f>'Detailed Results'!$B$39:$B$53</c:f>
              <c:strCache>
                <c:ptCount val="15"/>
                <c:pt idx="0">
                  <c:v>Cropland</c:v>
                </c:pt>
                <c:pt idx="1">
                  <c:v>Grassland</c:v>
                </c:pt>
                <c:pt idx="2">
                  <c:v>Heathland and shrub</c:v>
                </c:pt>
                <c:pt idx="3">
                  <c:v>Lakes</c:v>
                </c:pt>
                <c:pt idx="4">
                  <c:v>Sparsely vegetated land</c:v>
                </c:pt>
                <c:pt idx="5">
                  <c:v>Urban</c:v>
                </c:pt>
                <c:pt idx="6">
                  <c:v>Wetland</c:v>
                </c:pt>
                <c:pt idx="7">
                  <c:v>Woodland and forest</c:v>
                </c:pt>
                <c:pt idx="8">
                  <c:v>Intertidal sediment</c:v>
                </c:pt>
                <c:pt idx="9">
                  <c:v>Coastal saltmarsh </c:v>
                </c:pt>
                <c:pt idx="10">
                  <c:v>Rocky shore </c:v>
                </c:pt>
                <c:pt idx="11">
                  <c:v>Coastal lagoons</c:v>
                </c:pt>
                <c:pt idx="12">
                  <c:v>Intertidal hard structures</c:v>
                </c:pt>
                <c:pt idx="13">
                  <c:v>Watercourse footprint</c:v>
                </c:pt>
                <c:pt idx="14">
                  <c:v>Individual trees</c:v>
                </c:pt>
              </c:strCache>
            </c:strRef>
          </c:cat>
          <c:val>
            <c:numRef>
              <c:f>'Detailed Results'!$G$78:$G$92</c:f>
              <c:numCache>
                <c:formatCode>0.00</c:formatCode>
                <c:ptCount val="15"/>
                <c:pt idx="0">
                  <c:v>-16.097999999999999</c:v>
                </c:pt>
                <c:pt idx="1">
                  <c:v>13.334000000000003</c:v>
                </c:pt>
                <c:pt idx="2">
                  <c:v>0.63800000000000001</c:v>
                </c:pt>
                <c:pt idx="3">
                  <c:v>0</c:v>
                </c:pt>
                <c:pt idx="4">
                  <c:v>0</c:v>
                </c:pt>
                <c:pt idx="5">
                  <c:v>0.86499999999999988</c:v>
                </c:pt>
                <c:pt idx="6">
                  <c:v>0</c:v>
                </c:pt>
                <c:pt idx="7">
                  <c:v>1.2610000000000001</c:v>
                </c:pt>
                <c:pt idx="8">
                  <c:v>0</c:v>
                </c:pt>
                <c:pt idx="9">
                  <c:v>0</c:v>
                </c:pt>
                <c:pt idx="10">
                  <c:v>0</c:v>
                </c:pt>
                <c:pt idx="11">
                  <c:v>0</c:v>
                </c:pt>
                <c:pt idx="12">
                  <c:v>0</c:v>
                </c:pt>
                <c:pt idx="13">
                  <c:v>0</c:v>
                </c:pt>
                <c:pt idx="14">
                  <c:v>0</c:v>
                </c:pt>
              </c:numCache>
            </c:numRef>
          </c:val>
          <c:extLst>
            <c:ext xmlns:c16="http://schemas.microsoft.com/office/drawing/2014/chart" uri="{C3380CC4-5D6E-409C-BE32-E72D297353CC}">
              <c16:uniqueId val="{00000004-4432-450E-97DD-D6381CCC53F6}"/>
            </c:ext>
          </c:extLst>
        </c:ser>
        <c:dLbls>
          <c:showLegendKey val="0"/>
          <c:showVal val="0"/>
          <c:showCatName val="0"/>
          <c:showSerName val="0"/>
          <c:showPercent val="0"/>
          <c:showBubbleSize val="0"/>
        </c:dLbls>
        <c:gapWidth val="219"/>
        <c:overlap val="-27"/>
        <c:axId val="361465056"/>
        <c:axId val="361465448"/>
      </c:barChart>
      <c:catAx>
        <c:axId val="36146505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accent1"/>
                </a:solidFill>
                <a:latin typeface="+mn-lt"/>
                <a:ea typeface="+mn-ea"/>
                <a:cs typeface="+mn-cs"/>
              </a:defRPr>
            </a:pPr>
            <a:endParaRPr lang="en-US"/>
          </a:p>
        </c:txPr>
        <c:crossAx val="361465448"/>
        <c:crosses val="autoZero"/>
        <c:auto val="1"/>
        <c:lblAlgn val="ctr"/>
        <c:lblOffset val="100"/>
        <c:noMultiLvlLbl val="0"/>
      </c:catAx>
      <c:valAx>
        <c:axId val="361465448"/>
        <c:scaling>
          <c:orientation val="minMax"/>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accent1"/>
                </a:solidFill>
                <a:latin typeface="+mn-lt"/>
                <a:ea typeface="+mn-ea"/>
                <a:cs typeface="+mn-cs"/>
              </a:defRPr>
            </a:pPr>
            <a:endParaRPr lang="en-US"/>
          </a:p>
        </c:txPr>
        <c:crossAx val="361465056"/>
        <c:crosses val="autoZero"/>
        <c:crossBetween val="between"/>
      </c:valAx>
      <c:spPr>
        <a:noFill/>
        <a:ln>
          <a:noFill/>
        </a:ln>
        <a:effectLst/>
      </c:spPr>
    </c:plotArea>
    <c:legend>
      <c:legendPos val="b"/>
      <c:layout>
        <c:manualLayout>
          <c:xMode val="edge"/>
          <c:yMode val="edge"/>
          <c:x val="0.23709357517691015"/>
          <c:y val="0.93079994273443101"/>
          <c:w val="0.64255780561050091"/>
          <c:h val="2.6851655573232974E-2"/>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accent1"/>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accent1"/>
      </a:solidFill>
      <a:round/>
    </a:ln>
    <a:effectLst/>
  </c:spPr>
  <c:txPr>
    <a:bodyPr/>
    <a:lstStyle/>
    <a:p>
      <a:pPr>
        <a:defRPr>
          <a:solidFill>
            <a:schemeClr val="accent1"/>
          </a:solidFill>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accent1"/>
                </a:solidFill>
                <a:latin typeface="+mn-lt"/>
                <a:ea typeface="+mn-ea"/>
                <a:cs typeface="+mn-cs"/>
              </a:defRPr>
            </a:pPr>
            <a:r>
              <a:rPr lang="en-GB"/>
              <a:t>Biodiversity</a:t>
            </a:r>
            <a:r>
              <a:rPr lang="en-GB" baseline="0"/>
              <a:t> u</a:t>
            </a:r>
            <a:r>
              <a:rPr lang="en-GB"/>
              <a:t>nit change by habitat group</a:t>
            </a:r>
          </a:p>
        </c:rich>
      </c:tx>
      <c:layout>
        <c:manualLayout>
          <c:xMode val="edge"/>
          <c:yMode val="edge"/>
          <c:x val="0.37168174020550093"/>
          <c:y val="9.2978793280068615E-3"/>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accent1"/>
              </a:solidFill>
              <a:latin typeface="+mn-lt"/>
              <a:ea typeface="+mn-ea"/>
              <a:cs typeface="+mn-cs"/>
            </a:defRPr>
          </a:pPr>
          <a:endParaRPr lang="en-US"/>
        </a:p>
      </c:txPr>
    </c:title>
    <c:autoTitleDeleted val="0"/>
    <c:plotArea>
      <c:layout>
        <c:manualLayout>
          <c:layoutTarget val="inner"/>
          <c:xMode val="edge"/>
          <c:yMode val="edge"/>
          <c:x val="4.7576844263820382E-2"/>
          <c:y val="0.13266609688495923"/>
          <c:w val="0.92793004685077718"/>
          <c:h val="0.68703901801875134"/>
        </c:manualLayout>
      </c:layout>
      <c:barChart>
        <c:barDir val="col"/>
        <c:grouping val="clustered"/>
        <c:varyColors val="0"/>
        <c:ser>
          <c:idx val="0"/>
          <c:order val="0"/>
          <c:tx>
            <c:strRef>
              <c:f>'Detailed Results'!$D$38</c:f>
              <c:strCache>
                <c:ptCount val="1"/>
                <c:pt idx="0">
                  <c:v>On-site existing value</c:v>
                </c:pt>
              </c:strCache>
            </c:strRef>
          </c:tx>
          <c:spPr>
            <a:solidFill>
              <a:schemeClr val="tx1">
                <a:lumMod val="75000"/>
              </a:schemeClr>
            </a:solidFill>
            <a:ln>
              <a:noFill/>
            </a:ln>
            <a:effectLst/>
          </c:spPr>
          <c:invertIfNegative val="0"/>
          <c:cat>
            <c:strRef>
              <c:f>'Detailed Results'!$B$39:$B$53</c:f>
              <c:strCache>
                <c:ptCount val="15"/>
                <c:pt idx="0">
                  <c:v>Cropland</c:v>
                </c:pt>
                <c:pt idx="1">
                  <c:v>Grassland</c:v>
                </c:pt>
                <c:pt idx="2">
                  <c:v>Heathland and shrub</c:v>
                </c:pt>
                <c:pt idx="3">
                  <c:v>Lakes</c:v>
                </c:pt>
                <c:pt idx="4">
                  <c:v>Sparsely vegetated land</c:v>
                </c:pt>
                <c:pt idx="5">
                  <c:v>Urban</c:v>
                </c:pt>
                <c:pt idx="6">
                  <c:v>Wetland</c:v>
                </c:pt>
                <c:pt idx="7">
                  <c:v>Woodland and forest</c:v>
                </c:pt>
                <c:pt idx="8">
                  <c:v>Intertidal sediment</c:v>
                </c:pt>
                <c:pt idx="9">
                  <c:v>Coastal saltmarsh </c:v>
                </c:pt>
                <c:pt idx="10">
                  <c:v>Rocky shore </c:v>
                </c:pt>
                <c:pt idx="11">
                  <c:v>Coastal lagoons</c:v>
                </c:pt>
                <c:pt idx="12">
                  <c:v>Intertidal hard structures</c:v>
                </c:pt>
                <c:pt idx="13">
                  <c:v>Watercourse footprint</c:v>
                </c:pt>
                <c:pt idx="14">
                  <c:v>Individual trees</c:v>
                </c:pt>
              </c:strCache>
            </c:strRef>
          </c:cat>
          <c:val>
            <c:numRef>
              <c:f>'Detailed Results'!$D$39:$D$53</c:f>
              <c:numCache>
                <c:formatCode>0.00</c:formatCode>
                <c:ptCount val="15"/>
                <c:pt idx="0">
                  <c:v>32.545999999999999</c:v>
                </c:pt>
                <c:pt idx="1">
                  <c:v>61.362000000000002</c:v>
                </c:pt>
                <c:pt idx="2">
                  <c:v>0.184</c:v>
                </c:pt>
                <c:pt idx="3">
                  <c:v>0</c:v>
                </c:pt>
                <c:pt idx="4">
                  <c:v>0</c:v>
                </c:pt>
                <c:pt idx="5">
                  <c:v>0</c:v>
                </c:pt>
                <c:pt idx="6">
                  <c:v>0</c:v>
                </c:pt>
                <c:pt idx="7">
                  <c:v>2.6</c:v>
                </c:pt>
                <c:pt idx="8">
                  <c:v>0</c:v>
                </c:pt>
                <c:pt idx="9">
                  <c:v>0</c:v>
                </c:pt>
                <c:pt idx="10">
                  <c:v>0</c:v>
                </c:pt>
                <c:pt idx="11">
                  <c:v>0</c:v>
                </c:pt>
                <c:pt idx="12">
                  <c:v>0</c:v>
                </c:pt>
                <c:pt idx="13">
                  <c:v>0</c:v>
                </c:pt>
                <c:pt idx="14">
                  <c:v>0</c:v>
                </c:pt>
              </c:numCache>
            </c:numRef>
          </c:val>
          <c:extLst>
            <c:ext xmlns:c16="http://schemas.microsoft.com/office/drawing/2014/chart" uri="{C3380CC4-5D6E-409C-BE32-E72D297353CC}">
              <c16:uniqueId val="{00000000-D589-4FE9-B92C-F17DFFA9D670}"/>
            </c:ext>
          </c:extLst>
        </c:ser>
        <c:ser>
          <c:idx val="1"/>
          <c:order val="1"/>
          <c:tx>
            <c:strRef>
              <c:f>'Detailed Results'!$F$38</c:f>
              <c:strCache>
                <c:ptCount val="1"/>
                <c:pt idx="0">
                  <c:v>On-site proposed value</c:v>
                </c:pt>
              </c:strCache>
            </c:strRef>
          </c:tx>
          <c:spPr>
            <a:solidFill>
              <a:schemeClr val="tx1">
                <a:lumMod val="50000"/>
              </a:schemeClr>
            </a:solidFill>
            <a:ln>
              <a:noFill/>
            </a:ln>
            <a:effectLst/>
          </c:spPr>
          <c:invertIfNegative val="0"/>
          <c:cat>
            <c:strRef>
              <c:f>'Detailed Results'!$B$39:$B$53</c:f>
              <c:strCache>
                <c:ptCount val="15"/>
                <c:pt idx="0">
                  <c:v>Cropland</c:v>
                </c:pt>
                <c:pt idx="1">
                  <c:v>Grassland</c:v>
                </c:pt>
                <c:pt idx="2">
                  <c:v>Heathland and shrub</c:v>
                </c:pt>
                <c:pt idx="3">
                  <c:v>Lakes</c:v>
                </c:pt>
                <c:pt idx="4">
                  <c:v>Sparsely vegetated land</c:v>
                </c:pt>
                <c:pt idx="5">
                  <c:v>Urban</c:v>
                </c:pt>
                <c:pt idx="6">
                  <c:v>Wetland</c:v>
                </c:pt>
                <c:pt idx="7">
                  <c:v>Woodland and forest</c:v>
                </c:pt>
                <c:pt idx="8">
                  <c:v>Intertidal sediment</c:v>
                </c:pt>
                <c:pt idx="9">
                  <c:v>Coastal saltmarsh </c:v>
                </c:pt>
                <c:pt idx="10">
                  <c:v>Rocky shore </c:v>
                </c:pt>
                <c:pt idx="11">
                  <c:v>Coastal lagoons</c:v>
                </c:pt>
                <c:pt idx="12">
                  <c:v>Intertidal hard structures</c:v>
                </c:pt>
                <c:pt idx="13">
                  <c:v>Watercourse footprint</c:v>
                </c:pt>
                <c:pt idx="14">
                  <c:v>Individual trees</c:v>
                </c:pt>
              </c:strCache>
            </c:strRef>
          </c:cat>
          <c:val>
            <c:numRef>
              <c:f>'Detailed Results'!$F$39:$F$53</c:f>
              <c:numCache>
                <c:formatCode>0.00</c:formatCode>
                <c:ptCount val="15"/>
                <c:pt idx="0">
                  <c:v>0.34187999999999996</c:v>
                </c:pt>
                <c:pt idx="1">
                  <c:v>181.31072774346643</c:v>
                </c:pt>
                <c:pt idx="2">
                  <c:v>4.4251501687728005</c:v>
                </c:pt>
                <c:pt idx="3">
                  <c:v>0</c:v>
                </c:pt>
                <c:pt idx="4">
                  <c:v>0</c:v>
                </c:pt>
                <c:pt idx="5">
                  <c:v>0</c:v>
                </c:pt>
                <c:pt idx="6">
                  <c:v>0</c:v>
                </c:pt>
                <c:pt idx="7">
                  <c:v>8.5117324898840021</c:v>
                </c:pt>
                <c:pt idx="8">
                  <c:v>0</c:v>
                </c:pt>
                <c:pt idx="9">
                  <c:v>0</c:v>
                </c:pt>
                <c:pt idx="10">
                  <c:v>0</c:v>
                </c:pt>
                <c:pt idx="11">
                  <c:v>0</c:v>
                </c:pt>
                <c:pt idx="12">
                  <c:v>0</c:v>
                </c:pt>
                <c:pt idx="13">
                  <c:v>0</c:v>
                </c:pt>
                <c:pt idx="14">
                  <c:v>0</c:v>
                </c:pt>
              </c:numCache>
            </c:numRef>
          </c:val>
          <c:extLst>
            <c:ext xmlns:c16="http://schemas.microsoft.com/office/drawing/2014/chart" uri="{C3380CC4-5D6E-409C-BE32-E72D297353CC}">
              <c16:uniqueId val="{00000001-D589-4FE9-B92C-F17DFFA9D670}"/>
            </c:ext>
          </c:extLst>
        </c:ser>
        <c:ser>
          <c:idx val="3"/>
          <c:order val="2"/>
          <c:tx>
            <c:strRef>
              <c:f>'Detailed Results'!$D$58</c:f>
              <c:strCache>
                <c:ptCount val="1"/>
                <c:pt idx="0">
                  <c:v>Off-site existing value</c:v>
                </c:pt>
              </c:strCache>
            </c:strRef>
          </c:tx>
          <c:spPr>
            <a:solidFill>
              <a:schemeClr val="accent6">
                <a:lumMod val="60000"/>
                <a:lumOff val="40000"/>
              </a:schemeClr>
            </a:solidFill>
            <a:ln>
              <a:noFill/>
            </a:ln>
            <a:effectLst/>
          </c:spPr>
          <c:invertIfNegative val="0"/>
          <c:cat>
            <c:strRef>
              <c:f>'Detailed Results'!$B$39:$B$53</c:f>
              <c:strCache>
                <c:ptCount val="15"/>
                <c:pt idx="0">
                  <c:v>Cropland</c:v>
                </c:pt>
                <c:pt idx="1">
                  <c:v>Grassland</c:v>
                </c:pt>
                <c:pt idx="2">
                  <c:v>Heathland and shrub</c:v>
                </c:pt>
                <c:pt idx="3">
                  <c:v>Lakes</c:v>
                </c:pt>
                <c:pt idx="4">
                  <c:v>Sparsely vegetated land</c:v>
                </c:pt>
                <c:pt idx="5">
                  <c:v>Urban</c:v>
                </c:pt>
                <c:pt idx="6">
                  <c:v>Wetland</c:v>
                </c:pt>
                <c:pt idx="7">
                  <c:v>Woodland and forest</c:v>
                </c:pt>
                <c:pt idx="8">
                  <c:v>Intertidal sediment</c:v>
                </c:pt>
                <c:pt idx="9">
                  <c:v>Coastal saltmarsh </c:v>
                </c:pt>
                <c:pt idx="10">
                  <c:v>Rocky shore </c:v>
                </c:pt>
                <c:pt idx="11">
                  <c:v>Coastal lagoons</c:v>
                </c:pt>
                <c:pt idx="12">
                  <c:v>Intertidal hard structures</c:v>
                </c:pt>
                <c:pt idx="13">
                  <c:v>Watercourse footprint</c:v>
                </c:pt>
                <c:pt idx="14">
                  <c:v>Individual trees</c:v>
                </c:pt>
              </c:strCache>
            </c:strRef>
          </c:cat>
          <c:val>
            <c:numRef>
              <c:f>'Detailed Results'!$D$59:$D$73</c:f>
              <c:numCache>
                <c:formatCode>0.00</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c:ext xmlns:c16="http://schemas.microsoft.com/office/drawing/2014/chart" uri="{C3380CC4-5D6E-409C-BE32-E72D297353CC}">
              <c16:uniqueId val="{00000001-3447-4F6C-BB73-1655CBBB45C0}"/>
            </c:ext>
          </c:extLst>
        </c:ser>
        <c:ser>
          <c:idx val="2"/>
          <c:order val="3"/>
          <c:tx>
            <c:strRef>
              <c:f>'Detailed Results'!$F$58</c:f>
              <c:strCache>
                <c:ptCount val="1"/>
                <c:pt idx="0">
                  <c:v>Off-site proposed value</c:v>
                </c:pt>
              </c:strCache>
            </c:strRef>
          </c:tx>
          <c:spPr>
            <a:solidFill>
              <a:schemeClr val="accent6">
                <a:lumMod val="75000"/>
              </a:schemeClr>
            </a:solidFill>
            <a:ln>
              <a:noFill/>
            </a:ln>
            <a:effectLst/>
          </c:spPr>
          <c:invertIfNegative val="0"/>
          <c:cat>
            <c:strRef>
              <c:f>'Detailed Results'!$B$39:$B$53</c:f>
              <c:strCache>
                <c:ptCount val="15"/>
                <c:pt idx="0">
                  <c:v>Cropland</c:v>
                </c:pt>
                <c:pt idx="1">
                  <c:v>Grassland</c:v>
                </c:pt>
                <c:pt idx="2">
                  <c:v>Heathland and shrub</c:v>
                </c:pt>
                <c:pt idx="3">
                  <c:v>Lakes</c:v>
                </c:pt>
                <c:pt idx="4">
                  <c:v>Sparsely vegetated land</c:v>
                </c:pt>
                <c:pt idx="5">
                  <c:v>Urban</c:v>
                </c:pt>
                <c:pt idx="6">
                  <c:v>Wetland</c:v>
                </c:pt>
                <c:pt idx="7">
                  <c:v>Woodland and forest</c:v>
                </c:pt>
                <c:pt idx="8">
                  <c:v>Intertidal sediment</c:v>
                </c:pt>
                <c:pt idx="9">
                  <c:v>Coastal saltmarsh </c:v>
                </c:pt>
                <c:pt idx="10">
                  <c:v>Rocky shore </c:v>
                </c:pt>
                <c:pt idx="11">
                  <c:v>Coastal lagoons</c:v>
                </c:pt>
                <c:pt idx="12">
                  <c:v>Intertidal hard structures</c:v>
                </c:pt>
                <c:pt idx="13">
                  <c:v>Watercourse footprint</c:v>
                </c:pt>
                <c:pt idx="14">
                  <c:v>Individual trees</c:v>
                </c:pt>
              </c:strCache>
            </c:strRef>
          </c:cat>
          <c:val>
            <c:numRef>
              <c:f>'Detailed Results'!$F$59:$F$73</c:f>
              <c:numCache>
                <c:formatCode>0.00</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c:ext xmlns:c16="http://schemas.microsoft.com/office/drawing/2014/chart" uri="{C3380CC4-5D6E-409C-BE32-E72D297353CC}">
              <c16:uniqueId val="{00000002-D589-4FE9-B92C-F17DFFA9D670}"/>
            </c:ext>
          </c:extLst>
        </c:ser>
        <c:ser>
          <c:idx val="4"/>
          <c:order val="4"/>
          <c:tx>
            <c:strRef>
              <c:f>'Detailed Results'!$H$77</c:f>
              <c:strCache>
                <c:ptCount val="1"/>
                <c:pt idx="0">
                  <c:v>Combined unit change</c:v>
                </c:pt>
              </c:strCache>
            </c:strRef>
          </c:tx>
          <c:spPr>
            <a:solidFill>
              <a:schemeClr val="accent5">
                <a:lumMod val="75000"/>
              </a:schemeClr>
            </a:solidFill>
            <a:ln>
              <a:noFill/>
            </a:ln>
            <a:effectLst/>
          </c:spPr>
          <c:invertIfNegative val="0"/>
          <c:cat>
            <c:strRef>
              <c:f>'Detailed Results'!$B$39:$B$53</c:f>
              <c:strCache>
                <c:ptCount val="15"/>
                <c:pt idx="0">
                  <c:v>Cropland</c:v>
                </c:pt>
                <c:pt idx="1">
                  <c:v>Grassland</c:v>
                </c:pt>
                <c:pt idx="2">
                  <c:v>Heathland and shrub</c:v>
                </c:pt>
                <c:pt idx="3">
                  <c:v>Lakes</c:v>
                </c:pt>
                <c:pt idx="4">
                  <c:v>Sparsely vegetated land</c:v>
                </c:pt>
                <c:pt idx="5">
                  <c:v>Urban</c:v>
                </c:pt>
                <c:pt idx="6">
                  <c:v>Wetland</c:v>
                </c:pt>
                <c:pt idx="7">
                  <c:v>Woodland and forest</c:v>
                </c:pt>
                <c:pt idx="8">
                  <c:v>Intertidal sediment</c:v>
                </c:pt>
                <c:pt idx="9">
                  <c:v>Coastal saltmarsh </c:v>
                </c:pt>
                <c:pt idx="10">
                  <c:v>Rocky shore </c:v>
                </c:pt>
                <c:pt idx="11">
                  <c:v>Coastal lagoons</c:v>
                </c:pt>
                <c:pt idx="12">
                  <c:v>Intertidal hard structures</c:v>
                </c:pt>
                <c:pt idx="13">
                  <c:v>Watercourse footprint</c:v>
                </c:pt>
                <c:pt idx="14">
                  <c:v>Individual trees</c:v>
                </c:pt>
              </c:strCache>
            </c:strRef>
          </c:cat>
          <c:val>
            <c:numRef>
              <c:f>'Detailed Results'!$H$78:$H$92</c:f>
              <c:numCache>
                <c:formatCode>0.00</c:formatCode>
                <c:ptCount val="15"/>
                <c:pt idx="0">
                  <c:v>-32.204119999999996</c:v>
                </c:pt>
                <c:pt idx="1">
                  <c:v>119.94872774346643</c:v>
                </c:pt>
                <c:pt idx="2">
                  <c:v>4.2411501687728004</c:v>
                </c:pt>
                <c:pt idx="3">
                  <c:v>0</c:v>
                </c:pt>
                <c:pt idx="4">
                  <c:v>0</c:v>
                </c:pt>
                <c:pt idx="5">
                  <c:v>0</c:v>
                </c:pt>
                <c:pt idx="6">
                  <c:v>0</c:v>
                </c:pt>
                <c:pt idx="7">
                  <c:v>5.9117324898840025</c:v>
                </c:pt>
                <c:pt idx="8">
                  <c:v>0</c:v>
                </c:pt>
                <c:pt idx="9">
                  <c:v>0</c:v>
                </c:pt>
                <c:pt idx="10">
                  <c:v>0</c:v>
                </c:pt>
                <c:pt idx="11">
                  <c:v>0</c:v>
                </c:pt>
                <c:pt idx="12">
                  <c:v>0</c:v>
                </c:pt>
                <c:pt idx="13">
                  <c:v>0</c:v>
                </c:pt>
                <c:pt idx="14">
                  <c:v>0</c:v>
                </c:pt>
              </c:numCache>
            </c:numRef>
          </c:val>
          <c:extLst>
            <c:ext xmlns:c16="http://schemas.microsoft.com/office/drawing/2014/chart" uri="{C3380CC4-5D6E-409C-BE32-E72D297353CC}">
              <c16:uniqueId val="{00000004-3447-4F6C-BB73-1655CBBB45C0}"/>
            </c:ext>
          </c:extLst>
        </c:ser>
        <c:dLbls>
          <c:showLegendKey val="0"/>
          <c:showVal val="0"/>
          <c:showCatName val="0"/>
          <c:showSerName val="0"/>
          <c:showPercent val="0"/>
          <c:showBubbleSize val="0"/>
        </c:dLbls>
        <c:gapWidth val="219"/>
        <c:overlap val="-27"/>
        <c:axId val="361466232"/>
        <c:axId val="361466624"/>
      </c:barChart>
      <c:catAx>
        <c:axId val="36146623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accent1"/>
                </a:solidFill>
                <a:latin typeface="+mn-lt"/>
                <a:ea typeface="+mn-ea"/>
                <a:cs typeface="+mn-cs"/>
              </a:defRPr>
            </a:pPr>
            <a:endParaRPr lang="en-US"/>
          </a:p>
        </c:txPr>
        <c:crossAx val="361466624"/>
        <c:crosses val="autoZero"/>
        <c:auto val="1"/>
        <c:lblAlgn val="ctr"/>
        <c:lblOffset val="100"/>
        <c:noMultiLvlLbl val="0"/>
      </c:catAx>
      <c:valAx>
        <c:axId val="361466624"/>
        <c:scaling>
          <c:orientation val="minMax"/>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accent1"/>
                </a:solidFill>
                <a:latin typeface="+mn-lt"/>
                <a:ea typeface="+mn-ea"/>
                <a:cs typeface="+mn-cs"/>
              </a:defRPr>
            </a:pPr>
            <a:endParaRPr lang="en-US"/>
          </a:p>
        </c:txPr>
        <c:crossAx val="361466232"/>
        <c:crosses val="autoZero"/>
        <c:crossBetween val="between"/>
      </c:valAx>
      <c:spPr>
        <a:noFill/>
        <a:ln>
          <a:noFill/>
        </a:ln>
        <a:effectLst/>
      </c:spPr>
    </c:plotArea>
    <c:legend>
      <c:legendPos val="b"/>
      <c:layout>
        <c:manualLayout>
          <c:xMode val="edge"/>
          <c:yMode val="edge"/>
          <c:x val="0.22637408029565229"/>
          <c:y val="0.93176987780142628"/>
          <c:w val="0.69962676024387938"/>
          <c:h val="2.6837180549404191E-2"/>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accent1"/>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accent1"/>
      </a:solidFill>
      <a:round/>
    </a:ln>
    <a:effectLst/>
  </c:spPr>
  <c:txPr>
    <a:bodyPr/>
    <a:lstStyle/>
    <a:p>
      <a:pPr>
        <a:defRPr>
          <a:solidFill>
            <a:schemeClr val="accent1"/>
          </a:solidFill>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7"/>
    </mc:Choice>
    <mc:Fallback>
      <c:style val="7"/>
    </mc:Fallback>
  </mc:AlternateContent>
  <c:chart>
    <c:title>
      <c:tx>
        <c:rich>
          <a:bodyPr rot="0" spcFirstLastPara="1" vertOverflow="ellipsis" vert="horz" wrap="square" anchor="ctr" anchorCtr="1"/>
          <a:lstStyle/>
          <a:p>
            <a:pPr>
              <a:defRPr sz="1400" b="0" i="0" u="none" strike="noStrike" kern="1200" spc="0" baseline="0">
                <a:solidFill>
                  <a:schemeClr val="accent1"/>
                </a:solidFill>
                <a:latin typeface="+mn-lt"/>
                <a:ea typeface="+mn-ea"/>
                <a:cs typeface="+mn-cs"/>
              </a:defRPr>
            </a:pPr>
            <a:r>
              <a:rPr lang="en-US"/>
              <a:t>% Area lost by distinctiveness category</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accent1"/>
              </a:solidFill>
              <a:latin typeface="+mn-lt"/>
              <a:ea typeface="+mn-ea"/>
              <a:cs typeface="+mn-cs"/>
            </a:defRPr>
          </a:pPr>
          <a:endParaRPr lang="en-US"/>
        </a:p>
      </c:txPr>
    </c:title>
    <c:autoTitleDeleted val="0"/>
    <c:plotArea>
      <c:layout>
        <c:manualLayout>
          <c:layoutTarget val="inner"/>
          <c:xMode val="edge"/>
          <c:yMode val="edge"/>
          <c:x val="0.15477816250230683"/>
          <c:y val="0.20985474800667325"/>
          <c:w val="0.50433144183081269"/>
          <c:h val="0.67757469708681106"/>
        </c:manualLayout>
      </c:layout>
      <c:pieChart>
        <c:varyColors val="1"/>
        <c:ser>
          <c:idx val="0"/>
          <c:order val="0"/>
          <c:tx>
            <c:strRef>
              <c:f>'Detailed Results'!$K$38</c:f>
              <c:strCache>
                <c:ptCount val="1"/>
                <c:pt idx="0">
                  <c:v>Area lost (hectares)</c:v>
                </c:pt>
              </c:strCache>
            </c:strRef>
          </c:tx>
          <c:dPt>
            <c:idx val="0"/>
            <c:bubble3D val="0"/>
            <c:spPr>
              <a:solidFill>
                <a:schemeClr val="accent3">
                  <a:lumMod val="50000"/>
                </a:schemeClr>
              </a:solidFill>
              <a:ln w="19050">
                <a:solidFill>
                  <a:schemeClr val="lt1"/>
                </a:solidFill>
              </a:ln>
              <a:effectLst/>
            </c:spPr>
            <c:extLst>
              <c:ext xmlns:c16="http://schemas.microsoft.com/office/drawing/2014/chart" uri="{C3380CC4-5D6E-409C-BE32-E72D297353CC}">
                <c16:uniqueId val="{00000003-4191-4BE2-AE93-1453CBBC6ED6}"/>
              </c:ext>
            </c:extLst>
          </c:dPt>
          <c:dPt>
            <c:idx val="1"/>
            <c:bubble3D val="0"/>
            <c:spPr>
              <a:solidFill>
                <a:schemeClr val="accent3">
                  <a:lumMod val="75000"/>
                </a:schemeClr>
              </a:solidFill>
              <a:ln w="19050">
                <a:solidFill>
                  <a:schemeClr val="lt1"/>
                </a:solidFill>
              </a:ln>
              <a:effectLst/>
            </c:spPr>
            <c:extLst>
              <c:ext xmlns:c16="http://schemas.microsoft.com/office/drawing/2014/chart" uri="{C3380CC4-5D6E-409C-BE32-E72D297353CC}">
                <c16:uniqueId val="{00000005-5986-42D7-BACE-C59EEEA0AC2E}"/>
              </c:ext>
            </c:extLst>
          </c:dPt>
          <c:dPt>
            <c:idx val="2"/>
            <c:bubble3D val="0"/>
            <c:spPr>
              <a:solidFill>
                <a:schemeClr val="accent3">
                  <a:lumMod val="90000"/>
                </a:schemeClr>
              </a:solidFill>
              <a:ln w="19050">
                <a:solidFill>
                  <a:schemeClr val="lt1"/>
                </a:solidFill>
              </a:ln>
              <a:effectLst/>
            </c:spPr>
            <c:extLst>
              <c:ext xmlns:c16="http://schemas.microsoft.com/office/drawing/2014/chart" uri="{C3380CC4-5D6E-409C-BE32-E72D297353CC}">
                <c16:uniqueId val="{00000009-5986-42D7-BACE-C59EEEA0AC2E}"/>
              </c:ext>
            </c:extLst>
          </c:dPt>
          <c:dPt>
            <c:idx val="3"/>
            <c:bubble3D val="0"/>
            <c:spPr>
              <a:solidFill>
                <a:schemeClr val="accent6">
                  <a:lumMod val="40000"/>
                  <a:lumOff val="60000"/>
                </a:schemeClr>
              </a:solidFill>
              <a:ln w="19050">
                <a:solidFill>
                  <a:schemeClr val="lt1"/>
                </a:solidFill>
              </a:ln>
              <a:effectLst/>
            </c:spPr>
            <c:extLst>
              <c:ext xmlns:c16="http://schemas.microsoft.com/office/drawing/2014/chart" uri="{C3380CC4-5D6E-409C-BE32-E72D297353CC}">
                <c16:uniqueId val="{00000007-1CEA-40D5-BD3F-A8E96701730E}"/>
              </c:ext>
            </c:extLst>
          </c:dPt>
          <c:dPt>
            <c:idx val="4"/>
            <c:bubble3D val="0"/>
            <c:spPr>
              <a:solidFill>
                <a:schemeClr val="accent6">
                  <a:lumMod val="20000"/>
                  <a:lumOff val="80000"/>
                </a:schemeClr>
              </a:solidFill>
              <a:ln w="19050">
                <a:solidFill>
                  <a:schemeClr val="lt1"/>
                </a:solidFill>
              </a:ln>
              <a:effectLst/>
            </c:spPr>
            <c:extLst>
              <c:ext xmlns:c16="http://schemas.microsoft.com/office/drawing/2014/chart" uri="{C3380CC4-5D6E-409C-BE32-E72D297353CC}">
                <c16:uniqueId val="{00000009-1CEA-40D5-BD3F-A8E96701730E}"/>
              </c:ext>
            </c:extLst>
          </c:dPt>
          <c:dLbls>
            <c:spPr>
              <a:solidFill>
                <a:sysClr val="window" lastClr="FFFFFF"/>
              </a:solidFill>
              <a:ln>
                <a:solidFill>
                  <a:srgbClr val="ABC3C9">
                    <a:lumMod val="25000"/>
                    <a:lumOff val="75000"/>
                  </a:srgbClr>
                </a:solidFill>
              </a:ln>
              <a:effectLst/>
            </c:spPr>
            <c:txPr>
              <a:bodyPr rot="0" spcFirstLastPara="1" vertOverflow="clip" horzOverflow="clip" vert="horz" wrap="square" lIns="38100" tIns="19050" rIns="38100" bIns="19050" anchor="ctr" anchorCtr="1">
                <a:spAutoFit/>
              </a:bodyPr>
              <a:lstStyle/>
              <a:p>
                <a:pPr>
                  <a:defRPr sz="900" b="0" i="0" u="none" strike="noStrike" kern="1200" baseline="0">
                    <a:solidFill>
                      <a:schemeClr val="accent1"/>
                    </a:solidFill>
                    <a:latin typeface="+mn-lt"/>
                    <a:ea typeface="+mn-ea"/>
                    <a:cs typeface="+mn-cs"/>
                  </a:defRPr>
                </a:pPr>
                <a:endParaRPr lang="en-US"/>
              </a:p>
            </c:txPr>
            <c:dLblPos val="outEnd"/>
            <c:showLegendKey val="0"/>
            <c:showVal val="0"/>
            <c:showCatName val="1"/>
            <c:showSerName val="0"/>
            <c:showPercent val="1"/>
            <c:showBubbleSize val="0"/>
            <c:showLeaderLines val="0"/>
            <c:extLst>
              <c:ext xmlns:c15="http://schemas.microsoft.com/office/drawing/2012/chart" uri="{CE6537A1-D6FC-4f65-9D91-7224C49458BB}">
                <c15:spPr xmlns:c15="http://schemas.microsoft.com/office/drawing/2012/chart">
                  <a:prstGeom prst="wedgeRectCallout">
                    <a:avLst/>
                  </a:prstGeom>
                  <a:noFill/>
                  <a:ln>
                    <a:noFill/>
                  </a:ln>
                </c15:spPr>
              </c:ext>
            </c:extLst>
          </c:dLbls>
          <c:cat>
            <c:strRef>
              <c:extLst>
                <c:ext xmlns:c15="http://schemas.microsoft.com/office/drawing/2012/chart" uri="{02D57815-91ED-43cb-92C2-25804820EDAC}">
                  <c15:fullRef>
                    <c15:sqref>'Detailed Results'!$J$40:$J$49</c15:sqref>
                  </c15:fullRef>
                </c:ext>
              </c:extLst>
              <c:f>('Detailed Results'!$J$40,'Detailed Results'!$J$42,'Detailed Results'!$J$44,'Detailed Results'!$J$46,'Detailed Results'!$J$48)</c:f>
              <c:strCache>
                <c:ptCount val="5"/>
                <c:pt idx="0">
                  <c:v>V.High</c:v>
                </c:pt>
                <c:pt idx="1">
                  <c:v>High</c:v>
                </c:pt>
                <c:pt idx="2">
                  <c:v>Medium</c:v>
                </c:pt>
                <c:pt idx="3">
                  <c:v>Low</c:v>
                </c:pt>
                <c:pt idx="4">
                  <c:v>V.Low</c:v>
                </c:pt>
              </c:strCache>
            </c:strRef>
          </c:cat>
          <c:val>
            <c:numRef>
              <c:extLst>
                <c:ext xmlns:c15="http://schemas.microsoft.com/office/drawing/2012/chart" uri="{02D57815-91ED-43cb-92C2-25804820EDAC}">
                  <c15:fullRef>
                    <c15:sqref>'Detailed Results'!$K$40:$K$49</c15:sqref>
                  </c15:fullRef>
                </c:ext>
              </c:extLst>
              <c:f>('Detailed Results'!$K$40,'Detailed Results'!$K$42,'Detailed Results'!$K$44,'Detailed Results'!$K$46,'Detailed Results'!$K$48)</c:f>
              <c:numCache>
                <c:formatCode>General</c:formatCode>
                <c:ptCount val="5"/>
                <c:pt idx="0">
                  <c:v>0</c:v>
                </c:pt>
                <c:pt idx="1">
                  <c:v>0</c:v>
                </c:pt>
                <c:pt idx="2">
                  <c:v>2.3E-2</c:v>
                </c:pt>
                <c:pt idx="3">
                  <c:v>45.461999999999996</c:v>
                </c:pt>
                <c:pt idx="4">
                  <c:v>0.45300000000000007</c:v>
                </c:pt>
              </c:numCache>
            </c:numRef>
          </c:val>
          <c:extLst>
            <c:ext xmlns:c15="http://schemas.microsoft.com/office/drawing/2012/chart" uri="{02D57815-91ED-43cb-92C2-25804820EDAC}">
              <c15:categoryFilterExceptions>
                <c15:categoryFilterException>
                  <c15:sqref>'Detailed Results'!$K$41</c15:sqref>
                  <c15:bubble3D val="0"/>
                </c15:categoryFilterException>
                <c15:categoryFilterException>
                  <c15:sqref>'Detailed Results'!$K$43</c15:sqref>
                  <c15:bubble3D val="0"/>
                </c15:categoryFilterException>
                <c15:categoryFilterException>
                  <c15:sqref>'Detailed Results'!$K$49</c15:sqref>
                  <c15:bubble3D val="0"/>
                </c15:categoryFilterException>
              </c15:categoryFilterExceptions>
            </c:ext>
            <c:ext xmlns:c16="http://schemas.microsoft.com/office/drawing/2014/chart" uri="{C3380CC4-5D6E-409C-BE32-E72D297353CC}">
              <c16:uniqueId val="{00000000-4191-4BE2-AE93-1453CBBC6ED6}"/>
            </c:ext>
          </c:extLst>
        </c:ser>
        <c:dLbls>
          <c:showLegendKey val="0"/>
          <c:showVal val="0"/>
          <c:showCatName val="0"/>
          <c:showSerName val="0"/>
          <c:showPercent val="0"/>
          <c:showBubbleSize val="0"/>
          <c:showLeaderLines val="0"/>
        </c:dLbls>
        <c:firstSliceAng val="0"/>
      </c:pieChart>
      <c:spPr>
        <a:noFill/>
        <a:ln>
          <a:noFill/>
        </a:ln>
        <a:effectLst/>
      </c:spPr>
    </c:plotArea>
    <c:legend>
      <c:legendPos val="r"/>
      <c:layout>
        <c:manualLayout>
          <c:xMode val="edge"/>
          <c:yMode val="edge"/>
          <c:x val="0.76451273737841585"/>
          <c:y val="0.13024482136663587"/>
          <c:w val="0.20630248467805529"/>
          <c:h val="0.80189353268044883"/>
        </c:manualLayout>
      </c:layout>
      <c:overlay val="0"/>
      <c:spPr>
        <a:noFill/>
        <a:ln>
          <a:noFill/>
        </a:ln>
        <a:effectLst/>
      </c:spPr>
      <c:txPr>
        <a:bodyPr rot="0" spcFirstLastPara="1" vertOverflow="ellipsis" vert="horz" wrap="square" anchor="ctr" anchorCtr="1"/>
        <a:lstStyle/>
        <a:p>
          <a:pPr>
            <a:defRPr sz="1100" b="0" i="0" u="none" strike="noStrike" kern="1200" baseline="0">
              <a:solidFill>
                <a:schemeClr val="accent1"/>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accent1"/>
      </a:solidFill>
      <a:round/>
    </a:ln>
    <a:effectLst/>
  </c:spPr>
  <c:txPr>
    <a:bodyPr/>
    <a:lstStyle/>
    <a:p>
      <a:pPr>
        <a:defRPr>
          <a:solidFill>
            <a:schemeClr val="accent1"/>
          </a:solidFill>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accent1"/>
                </a:solidFill>
                <a:latin typeface="+mn-lt"/>
                <a:ea typeface="+mn-ea"/>
                <a:cs typeface="+mn-cs"/>
              </a:defRPr>
            </a:pPr>
            <a:r>
              <a:rPr lang="en-US"/>
              <a:t>% Length</a:t>
            </a:r>
            <a:r>
              <a:rPr lang="en-US" baseline="0"/>
              <a:t> lost by d</a:t>
            </a:r>
            <a:r>
              <a:rPr lang="en-US"/>
              <a:t>istinctiveness category</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accent1"/>
              </a:solidFill>
              <a:latin typeface="+mn-lt"/>
              <a:ea typeface="+mn-ea"/>
              <a:cs typeface="+mn-cs"/>
            </a:defRPr>
          </a:pPr>
          <a:endParaRPr lang="en-US"/>
        </a:p>
      </c:txPr>
    </c:title>
    <c:autoTitleDeleted val="0"/>
    <c:plotArea>
      <c:layout>
        <c:manualLayout>
          <c:layoutTarget val="inner"/>
          <c:xMode val="edge"/>
          <c:yMode val="edge"/>
          <c:x val="7.6339810693132962E-2"/>
          <c:y val="0.18259616154114799"/>
          <c:w val="0.53471686026310106"/>
          <c:h val="0.72430374926296104"/>
        </c:manualLayout>
      </c:layout>
      <c:pieChart>
        <c:varyColors val="1"/>
        <c:ser>
          <c:idx val="0"/>
          <c:order val="0"/>
          <c:tx>
            <c:strRef>
              <c:f>'Detailed Results'!$K$99</c:f>
              <c:strCache>
                <c:ptCount val="1"/>
                <c:pt idx="0">
                  <c:v>Length lost (km)</c:v>
                </c:pt>
              </c:strCache>
            </c:strRef>
          </c:tx>
          <c:dPt>
            <c:idx val="0"/>
            <c:bubble3D val="0"/>
            <c:spPr>
              <a:solidFill>
                <a:schemeClr val="accent3">
                  <a:lumMod val="50000"/>
                </a:schemeClr>
              </a:solidFill>
              <a:ln w="19050">
                <a:solidFill>
                  <a:schemeClr val="lt1"/>
                </a:solidFill>
              </a:ln>
              <a:effectLst/>
            </c:spPr>
            <c:extLst>
              <c:ext xmlns:c16="http://schemas.microsoft.com/office/drawing/2014/chart" uri="{C3380CC4-5D6E-409C-BE32-E72D297353CC}">
                <c16:uniqueId val="{00000003-4191-4BE2-AE93-1453CBBC6ED6}"/>
              </c:ext>
            </c:extLst>
          </c:dPt>
          <c:dPt>
            <c:idx val="1"/>
            <c:bubble3D val="0"/>
            <c:explosion val="5"/>
            <c:spPr>
              <a:solidFill>
                <a:schemeClr val="accent3">
                  <a:lumMod val="75000"/>
                </a:schemeClr>
              </a:solidFill>
              <a:ln w="19050">
                <a:solidFill>
                  <a:schemeClr val="lt1"/>
                </a:solidFill>
              </a:ln>
              <a:effectLst/>
            </c:spPr>
            <c:extLst>
              <c:ext xmlns:c16="http://schemas.microsoft.com/office/drawing/2014/chart" uri="{C3380CC4-5D6E-409C-BE32-E72D297353CC}">
                <c16:uniqueId val="{00000005-8482-4D64-92C0-6269A830BE1D}"/>
              </c:ext>
            </c:extLst>
          </c:dPt>
          <c:dPt>
            <c:idx val="2"/>
            <c:bubble3D val="0"/>
            <c:spPr>
              <a:solidFill>
                <a:schemeClr val="accent3">
                  <a:lumMod val="90000"/>
                </a:schemeClr>
              </a:solidFill>
              <a:ln w="19050">
                <a:solidFill>
                  <a:schemeClr val="lt1"/>
                </a:solidFill>
              </a:ln>
              <a:effectLst/>
            </c:spPr>
            <c:extLst>
              <c:ext xmlns:c16="http://schemas.microsoft.com/office/drawing/2014/chart" uri="{C3380CC4-5D6E-409C-BE32-E72D297353CC}">
                <c16:uniqueId val="{00000009-8482-4D64-92C0-6269A830BE1D}"/>
              </c:ext>
            </c:extLst>
          </c:dPt>
          <c:dPt>
            <c:idx val="3"/>
            <c:bubble3D val="0"/>
            <c:spPr>
              <a:solidFill>
                <a:schemeClr val="accent6">
                  <a:lumMod val="40000"/>
                  <a:lumOff val="60000"/>
                </a:schemeClr>
              </a:solidFill>
              <a:ln w="19050">
                <a:solidFill>
                  <a:schemeClr val="lt1"/>
                </a:solidFill>
              </a:ln>
              <a:effectLst/>
            </c:spPr>
            <c:extLst>
              <c:ext xmlns:c16="http://schemas.microsoft.com/office/drawing/2014/chart" uri="{C3380CC4-5D6E-409C-BE32-E72D297353CC}">
                <c16:uniqueId val="{00000007-D6C7-4806-97CD-309F0211326D}"/>
              </c:ext>
            </c:extLst>
          </c:dPt>
          <c:dPt>
            <c:idx val="4"/>
            <c:bubble3D val="0"/>
            <c:spPr>
              <a:solidFill>
                <a:schemeClr val="accent6">
                  <a:lumMod val="20000"/>
                  <a:lumOff val="80000"/>
                </a:schemeClr>
              </a:solidFill>
              <a:ln w="19050">
                <a:solidFill>
                  <a:schemeClr val="lt1"/>
                </a:solidFill>
              </a:ln>
              <a:effectLst/>
            </c:spPr>
            <c:extLst>
              <c:ext xmlns:c16="http://schemas.microsoft.com/office/drawing/2014/chart" uri="{C3380CC4-5D6E-409C-BE32-E72D297353CC}">
                <c16:uniqueId val="{00000009-D6C7-4806-97CD-309F0211326D}"/>
              </c:ext>
            </c:extLst>
          </c:dPt>
          <c:dLbls>
            <c:spPr>
              <a:noFill/>
              <a:ln>
                <a:noFill/>
              </a:ln>
              <a:effectLst/>
            </c:spPr>
            <c:txPr>
              <a:bodyPr rot="0" spcFirstLastPara="1" vertOverflow="ellipsis" vert="horz" wrap="square" anchor="ctr" anchorCtr="1"/>
              <a:lstStyle/>
              <a:p>
                <a:pPr>
                  <a:defRPr sz="900" b="0" i="0" u="none" strike="noStrike" kern="1200" baseline="0">
                    <a:solidFill>
                      <a:schemeClr val="accent1"/>
                    </a:solidFill>
                    <a:latin typeface="+mn-lt"/>
                    <a:ea typeface="+mn-ea"/>
                    <a:cs typeface="+mn-cs"/>
                  </a:defRPr>
                </a:pPr>
                <a:endParaRPr lang="en-US"/>
              </a:p>
            </c:txPr>
            <c:dLblPos val="outEnd"/>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extLst>
                <c:ext xmlns:c15="http://schemas.microsoft.com/office/drawing/2012/chart" uri="{02D57815-91ED-43cb-92C2-25804820EDAC}">
                  <c15:fullRef>
                    <c15:sqref>'Detailed Results'!$J$101:$J$110</c15:sqref>
                  </c15:fullRef>
                </c:ext>
              </c:extLst>
              <c:f>('Detailed Results'!$J$101,'Detailed Results'!$J$103,'Detailed Results'!$J$105,'Detailed Results'!$J$107,'Detailed Results'!$J$109)</c:f>
              <c:strCache>
                <c:ptCount val="5"/>
                <c:pt idx="0">
                  <c:v>V.High</c:v>
                </c:pt>
                <c:pt idx="1">
                  <c:v>High</c:v>
                </c:pt>
                <c:pt idx="2">
                  <c:v>Medium</c:v>
                </c:pt>
                <c:pt idx="3">
                  <c:v>Low</c:v>
                </c:pt>
                <c:pt idx="4">
                  <c:v>V.Low</c:v>
                </c:pt>
              </c:strCache>
            </c:strRef>
          </c:cat>
          <c:val>
            <c:numRef>
              <c:extLst>
                <c:ext xmlns:c15="http://schemas.microsoft.com/office/drawing/2012/chart" uri="{02D57815-91ED-43cb-92C2-25804820EDAC}">
                  <c15:fullRef>
                    <c15:sqref>'Detailed Results'!$K$101:$K$110</c15:sqref>
                  </c15:fullRef>
                </c:ext>
              </c:extLst>
              <c:f>('Detailed Results'!$K$101,'Detailed Results'!$K$103,'Detailed Results'!$K$105,'Detailed Results'!$K$107,'Detailed Results'!$K$109)</c:f>
              <c:numCache>
                <c:formatCode>General</c:formatCode>
                <c:ptCount val="5"/>
                <c:pt idx="0">
                  <c:v>0</c:v>
                </c:pt>
                <c:pt idx="1">
                  <c:v>0</c:v>
                </c:pt>
                <c:pt idx="2">
                  <c:v>0</c:v>
                </c:pt>
                <c:pt idx="3">
                  <c:v>0</c:v>
                </c:pt>
                <c:pt idx="4">
                  <c:v>0</c:v>
                </c:pt>
              </c:numCache>
            </c:numRef>
          </c:val>
          <c:extLst>
            <c:ext xmlns:c15="http://schemas.microsoft.com/office/drawing/2012/chart" uri="{02D57815-91ED-43cb-92C2-25804820EDAC}">
              <c15:categoryFilterExceptions/>
            </c:ext>
            <c:ext xmlns:c16="http://schemas.microsoft.com/office/drawing/2014/chart" uri="{C3380CC4-5D6E-409C-BE32-E72D297353CC}">
              <c16:uniqueId val="{00000000-4191-4BE2-AE93-1453CBBC6ED6}"/>
            </c:ext>
          </c:extLst>
        </c:ser>
        <c:dLbls>
          <c:showLegendKey val="0"/>
          <c:showVal val="0"/>
          <c:showCatName val="0"/>
          <c:showSerName val="0"/>
          <c:showPercent val="1"/>
          <c:showBubbleSize val="0"/>
          <c:showLeaderLines val="1"/>
        </c:dLbls>
        <c:firstSliceAng val="0"/>
      </c:pieChart>
      <c:spPr>
        <a:noFill/>
        <a:ln>
          <a:noFill/>
        </a:ln>
        <a:effectLst/>
      </c:spPr>
    </c:plotArea>
    <c:legend>
      <c:legendPos val="r"/>
      <c:layout>
        <c:manualLayout>
          <c:xMode val="edge"/>
          <c:yMode val="edge"/>
          <c:x val="0.69752936769061691"/>
          <c:y val="0.1338030000551366"/>
          <c:w val="0.23505040524526932"/>
          <c:h val="0.80189353268044883"/>
        </c:manualLayout>
      </c:layout>
      <c:overlay val="0"/>
      <c:spPr>
        <a:noFill/>
        <a:ln>
          <a:noFill/>
        </a:ln>
        <a:effectLst/>
      </c:spPr>
      <c:txPr>
        <a:bodyPr rot="0" spcFirstLastPara="1" vertOverflow="ellipsis" vert="horz" wrap="square" anchor="ctr" anchorCtr="1"/>
        <a:lstStyle/>
        <a:p>
          <a:pPr>
            <a:defRPr sz="1100" b="0" i="0" u="none" strike="noStrike" kern="1200" baseline="0">
              <a:solidFill>
                <a:schemeClr val="accent1"/>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accent1"/>
      </a:solidFill>
      <a:round/>
    </a:ln>
    <a:effectLst/>
  </c:spPr>
  <c:txPr>
    <a:bodyPr/>
    <a:lstStyle/>
    <a:p>
      <a:pPr>
        <a:defRPr>
          <a:solidFill>
            <a:schemeClr val="accent1"/>
          </a:solidFill>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accent1"/>
                </a:solidFill>
                <a:latin typeface="+mn-lt"/>
                <a:ea typeface="+mn-ea"/>
                <a:cs typeface="+mn-cs"/>
              </a:defRPr>
            </a:pPr>
            <a:r>
              <a:rPr lang="en-GB">
                <a:solidFill>
                  <a:schemeClr val="accent1"/>
                </a:solidFill>
              </a:rPr>
              <a:t>On-site and off-site hedge retention by category</a:t>
            </a:r>
          </a:p>
          <a:p>
            <a:pPr>
              <a:defRPr>
                <a:solidFill>
                  <a:schemeClr val="accent1"/>
                </a:solidFill>
              </a:defRPr>
            </a:pPr>
            <a:r>
              <a:rPr lang="en-GB">
                <a:solidFill>
                  <a:schemeClr val="accent1"/>
                </a:solidFill>
              </a:rPr>
              <a:t>length (km) </a:t>
            </a:r>
          </a:p>
        </c:rich>
      </c:tx>
      <c:layout>
        <c:manualLayout>
          <c:xMode val="edge"/>
          <c:yMode val="edge"/>
          <c:x val="0.11246012245842044"/>
          <c:y val="5.1159514870407159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accent1"/>
              </a:solidFill>
              <a:latin typeface="+mn-lt"/>
              <a:ea typeface="+mn-ea"/>
              <a:cs typeface="+mn-cs"/>
            </a:defRPr>
          </a:pPr>
          <a:endParaRPr lang="en-US"/>
        </a:p>
      </c:txPr>
    </c:title>
    <c:autoTitleDeleted val="0"/>
    <c:plotArea>
      <c:layout>
        <c:manualLayout>
          <c:layoutTarget val="inner"/>
          <c:xMode val="edge"/>
          <c:yMode val="edge"/>
          <c:x val="8.411142997846878E-2"/>
          <c:y val="0.22468604268196632"/>
          <c:w val="0.8527092972931527"/>
          <c:h val="0.57865328897438228"/>
        </c:manualLayout>
      </c:layout>
      <c:barChart>
        <c:barDir val="col"/>
        <c:grouping val="clustered"/>
        <c:varyColors val="1"/>
        <c:ser>
          <c:idx val="0"/>
          <c:order val="0"/>
          <c:invertIfNegative val="0"/>
          <c:dPt>
            <c:idx val="0"/>
            <c:invertIfNegative val="0"/>
            <c:bubble3D val="0"/>
            <c:spPr>
              <a:solidFill>
                <a:schemeClr val="accent1"/>
              </a:solidFill>
              <a:ln w="19050">
                <a:solidFill>
                  <a:schemeClr val="lt1"/>
                </a:solidFill>
              </a:ln>
              <a:effectLst/>
            </c:spPr>
            <c:extLst>
              <c:ext xmlns:c16="http://schemas.microsoft.com/office/drawing/2014/chart" uri="{C3380CC4-5D6E-409C-BE32-E72D297353CC}">
                <c16:uniqueId val="{00000001-FFDB-48A4-9C8F-5E3F38ED824F}"/>
              </c:ext>
            </c:extLst>
          </c:dPt>
          <c:dPt>
            <c:idx val="1"/>
            <c:invertIfNegative val="0"/>
            <c:bubble3D val="0"/>
            <c:spPr>
              <a:solidFill>
                <a:schemeClr val="accent2"/>
              </a:solidFill>
              <a:ln w="19050">
                <a:solidFill>
                  <a:schemeClr val="lt1"/>
                </a:solidFill>
              </a:ln>
              <a:effectLst/>
            </c:spPr>
            <c:extLst>
              <c:ext xmlns:c16="http://schemas.microsoft.com/office/drawing/2014/chart" uri="{C3380CC4-5D6E-409C-BE32-E72D297353CC}">
                <c16:uniqueId val="{00000003-FFDB-48A4-9C8F-5E3F38ED824F}"/>
              </c:ext>
            </c:extLst>
          </c:dPt>
          <c:dPt>
            <c:idx val="2"/>
            <c:invertIfNegative val="0"/>
            <c:bubble3D val="0"/>
            <c:spPr>
              <a:solidFill>
                <a:schemeClr val="accent3"/>
              </a:solidFill>
              <a:ln w="19050">
                <a:solidFill>
                  <a:schemeClr val="lt1"/>
                </a:solidFill>
              </a:ln>
              <a:effectLst/>
            </c:spPr>
            <c:extLst>
              <c:ext xmlns:c16="http://schemas.microsoft.com/office/drawing/2014/chart" uri="{C3380CC4-5D6E-409C-BE32-E72D297353CC}">
                <c16:uniqueId val="{00000005-FFDB-48A4-9C8F-5E3F38ED824F}"/>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382119"/>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('Detailed Results'!$B$24,'Detailed Results'!$B$27,'Detailed Results'!$B$30,'Detailed Results'!$B$31)</c:f>
              <c:strCache>
                <c:ptCount val="4"/>
                <c:pt idx="0">
                  <c:v>Total on-site and off-site baseline area / length retained</c:v>
                </c:pt>
                <c:pt idx="1">
                  <c:v>Area / length proposed for enhancement</c:v>
                </c:pt>
                <c:pt idx="2">
                  <c:v>Total on-site and off-site baseline area / length lost</c:v>
                </c:pt>
                <c:pt idx="3">
                  <c:v>Total on-site and off-site baseline units lost</c:v>
                </c:pt>
              </c:strCache>
            </c:strRef>
          </c:cat>
          <c:val>
            <c:numRef>
              <c:f>('Detailed Results'!$F$24,'Detailed Results'!$F$27,'Detailed Results'!$F$30)</c:f>
              <c:numCache>
                <c:formatCode>0.00</c:formatCode>
                <c:ptCount val="3"/>
                <c:pt idx="0">
                  <c:v>2.54</c:v>
                </c:pt>
                <c:pt idx="1">
                  <c:v>0</c:v>
                </c:pt>
                <c:pt idx="2">
                  <c:v>0</c:v>
                </c:pt>
              </c:numCache>
            </c:numRef>
          </c:val>
          <c:extLst>
            <c:ext xmlns:c16="http://schemas.microsoft.com/office/drawing/2014/chart" uri="{C3380CC4-5D6E-409C-BE32-E72D297353CC}">
              <c16:uniqueId val="{00000000-1631-4AA2-9CB0-ED14885E7027}"/>
            </c:ext>
          </c:extLst>
        </c:ser>
        <c:dLbls>
          <c:showLegendKey val="0"/>
          <c:showVal val="0"/>
          <c:showCatName val="0"/>
          <c:showSerName val="0"/>
          <c:showPercent val="0"/>
          <c:showBubbleSize val="0"/>
        </c:dLbls>
        <c:gapWidth val="100"/>
        <c:axId val="362073928"/>
        <c:axId val="362077456"/>
      </c:barChart>
      <c:catAx>
        <c:axId val="362073928"/>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rgbClr val="382119"/>
                </a:solidFill>
                <a:latin typeface="+mn-lt"/>
                <a:ea typeface="+mn-ea"/>
                <a:cs typeface="+mn-cs"/>
              </a:defRPr>
            </a:pPr>
            <a:endParaRPr lang="en-US"/>
          </a:p>
        </c:txPr>
        <c:crossAx val="362077456"/>
        <c:crosses val="autoZero"/>
        <c:auto val="1"/>
        <c:lblAlgn val="ctr"/>
        <c:lblOffset val="100"/>
        <c:noMultiLvlLbl val="0"/>
      </c:catAx>
      <c:valAx>
        <c:axId val="362077456"/>
        <c:scaling>
          <c:orientation val="minMax"/>
        </c:scaling>
        <c:delete val="0"/>
        <c:axPos val="l"/>
        <c:majorGridlines>
          <c:spPr>
            <a:ln w="9525" cap="flat" cmpd="sng" algn="ctr">
              <a:solidFill>
                <a:schemeClr val="tx1">
                  <a:lumMod val="15000"/>
                  <a:lumOff val="85000"/>
                </a:schemeClr>
              </a:solidFill>
              <a:round/>
            </a:ln>
            <a:effectLst/>
          </c:spPr>
        </c:majorGridlines>
        <c:numFmt formatCode="0.0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rgbClr val="382119"/>
                </a:solidFill>
                <a:latin typeface="+mn-lt"/>
                <a:ea typeface="+mn-ea"/>
                <a:cs typeface="+mn-cs"/>
              </a:defRPr>
            </a:pPr>
            <a:endParaRPr lang="en-US"/>
          </a:p>
        </c:txPr>
        <c:crossAx val="362073928"/>
        <c:crosses val="autoZero"/>
        <c:crossBetween val="between"/>
      </c:valAx>
      <c:spPr>
        <a:noFill/>
        <a:ln>
          <a:noFill/>
        </a:ln>
        <a:effectLst/>
      </c:spPr>
    </c:plotArea>
    <c:plotVisOnly val="1"/>
    <c:dispBlanksAs val="gap"/>
    <c:showDLblsOverMax val="0"/>
    <c:extLst/>
  </c:chart>
  <c:spPr>
    <a:solidFill>
      <a:schemeClr val="bg1"/>
    </a:solidFill>
    <a:ln w="9525" cap="flat" cmpd="sng" algn="ctr">
      <a:solidFill>
        <a:schemeClr val="accent1"/>
      </a:solid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n-GB" sz="1400" b="0" i="0" u="none" strike="noStrike" kern="1200" spc="0" baseline="0">
                <a:solidFill>
                  <a:schemeClr val="accent1"/>
                </a:solidFill>
                <a:latin typeface="+mn-lt"/>
                <a:ea typeface="+mn-ea"/>
                <a:cs typeface="+mn-cs"/>
              </a:defRPr>
            </a:pPr>
            <a:r>
              <a:rPr lang="en-GB" sz="1400"/>
              <a:t>On-site and off-site hadge retention category </a:t>
            </a:r>
          </a:p>
          <a:p>
            <a:pPr>
              <a:defRPr sz="1400"/>
            </a:pPr>
            <a:r>
              <a:rPr lang="en-GB" sz="1400"/>
              <a:t>(biodiversity units)</a:t>
            </a:r>
          </a:p>
        </c:rich>
      </c:tx>
      <c:layout>
        <c:manualLayout>
          <c:xMode val="edge"/>
          <c:yMode val="edge"/>
          <c:x val="0.18198095145048776"/>
          <c:y val="2.8189166684240562E-2"/>
        </c:manualLayout>
      </c:layout>
      <c:overlay val="0"/>
      <c:spPr>
        <a:noFill/>
        <a:ln>
          <a:noFill/>
        </a:ln>
        <a:effectLst/>
      </c:spPr>
      <c:txPr>
        <a:bodyPr rot="0" spcFirstLastPara="1" vertOverflow="ellipsis" vert="horz" wrap="square" anchor="ctr" anchorCtr="1"/>
        <a:lstStyle/>
        <a:p>
          <a:pPr>
            <a:defRPr lang="en-GB" sz="1400" b="0" i="0" u="none" strike="noStrike" kern="1200" spc="0" baseline="0">
              <a:solidFill>
                <a:schemeClr val="accent1"/>
              </a:solidFill>
              <a:latin typeface="+mn-lt"/>
              <a:ea typeface="+mn-ea"/>
              <a:cs typeface="+mn-cs"/>
            </a:defRPr>
          </a:pPr>
          <a:endParaRPr lang="en-US"/>
        </a:p>
      </c:txPr>
    </c:title>
    <c:autoTitleDeleted val="0"/>
    <c:plotArea>
      <c:layout>
        <c:manualLayout>
          <c:layoutTarget val="inner"/>
          <c:xMode val="edge"/>
          <c:yMode val="edge"/>
          <c:x val="0.10279694808843268"/>
          <c:y val="0.18904535783376822"/>
          <c:w val="0.84515645311627174"/>
          <c:h val="0.66490271248243671"/>
        </c:manualLayout>
      </c:layout>
      <c:barChart>
        <c:barDir val="col"/>
        <c:grouping val="clustered"/>
        <c:varyColors val="1"/>
        <c:ser>
          <c:idx val="0"/>
          <c:order val="0"/>
          <c:invertIfNegative val="0"/>
          <c:dPt>
            <c:idx val="0"/>
            <c:invertIfNegative val="0"/>
            <c:bubble3D val="0"/>
            <c:explosion val="2"/>
            <c:spPr>
              <a:solidFill>
                <a:schemeClr val="accent1"/>
              </a:solidFill>
              <a:ln w="19050">
                <a:solidFill>
                  <a:schemeClr val="lt1"/>
                </a:solidFill>
              </a:ln>
              <a:effectLst/>
            </c:spPr>
            <c:extLst>
              <c:ext xmlns:c16="http://schemas.microsoft.com/office/drawing/2014/chart" uri="{C3380CC4-5D6E-409C-BE32-E72D297353CC}">
                <c16:uniqueId val="{00000001-8A45-4BB0-BB1D-81488C5130A4}"/>
              </c:ext>
            </c:extLst>
          </c:dPt>
          <c:dPt>
            <c:idx val="1"/>
            <c:invertIfNegative val="0"/>
            <c:bubble3D val="0"/>
            <c:spPr>
              <a:solidFill>
                <a:schemeClr val="accent2"/>
              </a:solidFill>
              <a:ln w="19050">
                <a:solidFill>
                  <a:schemeClr val="lt1"/>
                </a:solidFill>
              </a:ln>
              <a:effectLst/>
            </c:spPr>
            <c:extLst>
              <c:ext xmlns:c16="http://schemas.microsoft.com/office/drawing/2014/chart" uri="{C3380CC4-5D6E-409C-BE32-E72D297353CC}">
                <c16:uniqueId val="{00000003-8A45-4BB0-BB1D-81488C5130A4}"/>
              </c:ext>
            </c:extLst>
          </c:dPt>
          <c:dPt>
            <c:idx val="2"/>
            <c:invertIfNegative val="0"/>
            <c:bubble3D val="0"/>
            <c:spPr>
              <a:solidFill>
                <a:schemeClr val="accent3"/>
              </a:solidFill>
              <a:ln w="19050">
                <a:solidFill>
                  <a:schemeClr val="lt1"/>
                </a:solidFill>
              </a:ln>
              <a:effectLst/>
            </c:spPr>
            <c:extLst>
              <c:ext xmlns:c16="http://schemas.microsoft.com/office/drawing/2014/chart" uri="{C3380CC4-5D6E-409C-BE32-E72D297353CC}">
                <c16:uniqueId val="{00000005-8A45-4BB0-BB1D-81488C5130A4}"/>
              </c:ext>
            </c:extLst>
          </c:dPt>
          <c:dPt>
            <c:idx val="3"/>
            <c:invertIfNegative val="0"/>
            <c:bubble3D val="0"/>
            <c:spPr>
              <a:solidFill>
                <a:schemeClr val="accent4"/>
              </a:solidFill>
              <a:ln w="19050">
                <a:solidFill>
                  <a:schemeClr val="lt1"/>
                </a:solidFill>
              </a:ln>
              <a:effectLst/>
            </c:spPr>
            <c:extLst>
              <c:ext xmlns:c16="http://schemas.microsoft.com/office/drawing/2014/chart" uri="{C3380CC4-5D6E-409C-BE32-E72D297353CC}">
                <c16:uniqueId val="{00000007-8A45-4BB0-BB1D-81488C5130A4}"/>
              </c:ext>
            </c:extLst>
          </c:dPt>
          <c:dLbls>
            <c:spPr>
              <a:noFill/>
              <a:ln>
                <a:noFill/>
              </a:ln>
              <a:effectLst/>
            </c:spPr>
            <c:txPr>
              <a:bodyPr rot="0" spcFirstLastPara="1" vertOverflow="ellipsis" vert="horz" wrap="square" anchor="ctr" anchorCtr="1"/>
              <a:lstStyle/>
              <a:p>
                <a:pPr>
                  <a:defRPr lang="en-GB" sz="1000" b="0" i="0" u="none" strike="noStrike" kern="1200" baseline="0">
                    <a:solidFill>
                      <a:srgbClr val="382119"/>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('Detailed Results'!$B$25,'Detailed Results'!$B$28,'Detailed Results'!$B$31)</c:f>
              <c:strCache>
                <c:ptCount val="3"/>
                <c:pt idx="0">
                  <c:v>Total on-site and off-site baseline units retained</c:v>
                </c:pt>
                <c:pt idx="1">
                  <c:v>Baseline units proposed for enhancement</c:v>
                </c:pt>
                <c:pt idx="2">
                  <c:v>Total on-site and off-site baseline units lost</c:v>
                </c:pt>
              </c:strCache>
            </c:strRef>
          </c:cat>
          <c:val>
            <c:numRef>
              <c:f>('Detailed Results'!$F$25,'Detailed Results'!$F$28,'Detailed Results'!$F$31)</c:f>
              <c:numCache>
                <c:formatCode>0.00</c:formatCode>
                <c:ptCount val="3"/>
                <c:pt idx="0">
                  <c:v>16.240000000000002</c:v>
                </c:pt>
                <c:pt idx="1">
                  <c:v>0</c:v>
                </c:pt>
                <c:pt idx="2">
                  <c:v>0</c:v>
                </c:pt>
              </c:numCache>
            </c:numRef>
          </c:val>
          <c:extLst>
            <c:ext xmlns:c16="http://schemas.microsoft.com/office/drawing/2014/chart" uri="{C3380CC4-5D6E-409C-BE32-E72D297353CC}">
              <c16:uniqueId val="{00000008-8A45-4BB0-BB1D-81488C5130A4}"/>
            </c:ext>
          </c:extLst>
        </c:ser>
        <c:dLbls>
          <c:showLegendKey val="0"/>
          <c:showVal val="0"/>
          <c:showCatName val="0"/>
          <c:showSerName val="0"/>
          <c:showPercent val="0"/>
          <c:showBubbleSize val="0"/>
        </c:dLbls>
        <c:gapWidth val="100"/>
        <c:axId val="362005632"/>
        <c:axId val="362006024"/>
      </c:barChart>
      <c:catAx>
        <c:axId val="362005632"/>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lang="en-GB" sz="1000" b="0" i="0" u="none" strike="noStrike" kern="1200" baseline="0">
                <a:solidFill>
                  <a:schemeClr val="accent1"/>
                </a:solidFill>
                <a:latin typeface="+mn-lt"/>
                <a:ea typeface="+mn-ea"/>
                <a:cs typeface="+mn-cs"/>
              </a:defRPr>
            </a:pPr>
            <a:endParaRPr lang="en-US"/>
          </a:p>
        </c:txPr>
        <c:crossAx val="362006024"/>
        <c:crosses val="autoZero"/>
        <c:auto val="1"/>
        <c:lblAlgn val="ctr"/>
        <c:lblOffset val="100"/>
        <c:noMultiLvlLbl val="0"/>
      </c:catAx>
      <c:valAx>
        <c:axId val="362006024"/>
        <c:scaling>
          <c:orientation val="minMax"/>
        </c:scaling>
        <c:delete val="0"/>
        <c:axPos val="l"/>
        <c:majorGridlines>
          <c:spPr>
            <a:ln w="9525" cap="flat" cmpd="sng" algn="ctr">
              <a:solidFill>
                <a:schemeClr val="tx1">
                  <a:lumMod val="15000"/>
                  <a:lumOff val="85000"/>
                </a:schemeClr>
              </a:solidFill>
              <a:round/>
            </a:ln>
            <a:effectLst/>
          </c:spPr>
        </c:majorGridlines>
        <c:numFmt formatCode="0.00" sourceLinked="1"/>
        <c:majorTickMark val="out"/>
        <c:minorTickMark val="none"/>
        <c:tickLblPos val="nextTo"/>
        <c:spPr>
          <a:noFill/>
          <a:ln>
            <a:noFill/>
          </a:ln>
          <a:effectLst/>
        </c:spPr>
        <c:txPr>
          <a:bodyPr rot="-60000000" spcFirstLastPara="1" vertOverflow="ellipsis" vert="horz" wrap="square" anchor="ctr" anchorCtr="1"/>
          <a:lstStyle/>
          <a:p>
            <a:pPr>
              <a:defRPr lang="en-GB" sz="1000" b="0" i="0" u="none" strike="noStrike" kern="1200" baseline="0">
                <a:solidFill>
                  <a:schemeClr val="accent1"/>
                </a:solidFill>
                <a:latin typeface="+mn-lt"/>
                <a:ea typeface="+mn-ea"/>
                <a:cs typeface="+mn-cs"/>
              </a:defRPr>
            </a:pPr>
            <a:endParaRPr lang="en-US"/>
          </a:p>
        </c:txPr>
        <c:crossAx val="36200563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accent1"/>
      </a:solidFill>
      <a:round/>
    </a:ln>
    <a:effectLst/>
  </c:spPr>
  <c:txPr>
    <a:bodyPr/>
    <a:lstStyle/>
    <a:p>
      <a:pPr>
        <a:defRPr lang="en-GB" sz="1000" b="0" i="0" u="none" strike="noStrike" kern="1200" baseline="0">
          <a:solidFill>
            <a:schemeClr val="accent1"/>
          </a:solidFill>
          <a:latin typeface="+mn-lt"/>
          <a:ea typeface="+mn-ea"/>
          <a:cs typeface="+mn-cs"/>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accent1"/>
                </a:solidFill>
                <a:latin typeface="+mn-lt"/>
                <a:ea typeface="+mn-ea"/>
                <a:cs typeface="+mn-cs"/>
              </a:defRPr>
            </a:pPr>
            <a:r>
              <a:rPr lang="en-GB"/>
              <a:t>Hedgerow</a:t>
            </a:r>
            <a:r>
              <a:rPr lang="en-GB" baseline="0"/>
              <a:t> </a:t>
            </a:r>
            <a:r>
              <a:rPr lang="en-GB"/>
              <a:t>biodiversity unit change</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accent1"/>
              </a:solidFill>
              <a:latin typeface="+mn-lt"/>
              <a:ea typeface="+mn-ea"/>
              <a:cs typeface="+mn-cs"/>
            </a:defRPr>
          </a:pPr>
          <a:endParaRPr lang="en-US"/>
        </a:p>
      </c:txPr>
    </c:title>
    <c:autoTitleDeleted val="0"/>
    <c:plotArea>
      <c:layout>
        <c:manualLayout>
          <c:layoutTarget val="inner"/>
          <c:xMode val="edge"/>
          <c:yMode val="edge"/>
          <c:x val="5.2270962262635112E-2"/>
          <c:y val="7.9480683489127943E-2"/>
          <c:w val="0.9247426449418843"/>
          <c:h val="0.74303648598056038"/>
        </c:manualLayout>
      </c:layout>
      <c:barChart>
        <c:barDir val="col"/>
        <c:grouping val="clustered"/>
        <c:varyColors val="0"/>
        <c:ser>
          <c:idx val="0"/>
          <c:order val="0"/>
          <c:tx>
            <c:strRef>
              <c:f>'Detailed Results'!$D$99</c:f>
              <c:strCache>
                <c:ptCount val="1"/>
                <c:pt idx="0">
                  <c:v>On-site existing value</c:v>
                </c:pt>
              </c:strCache>
            </c:strRef>
          </c:tx>
          <c:spPr>
            <a:solidFill>
              <a:schemeClr val="tx1">
                <a:lumMod val="75000"/>
              </a:schemeClr>
            </a:solidFill>
            <a:ln>
              <a:noFill/>
            </a:ln>
            <a:effectLst/>
          </c:spPr>
          <c:invertIfNegative val="0"/>
          <c:cat>
            <c:strRef>
              <c:f>'Detailed Results'!$B$100:$B$112</c:f>
              <c:strCache>
                <c:ptCount val="13"/>
                <c:pt idx="0">
                  <c:v>Species-rich native hedgerow with trees - associated with bank or ditch</c:v>
                </c:pt>
                <c:pt idx="1">
                  <c:v>Species-rich native hedgerow with trees</c:v>
                </c:pt>
                <c:pt idx="2">
                  <c:v>Species-rich native hedgerow - associated with bank or ditch</c:v>
                </c:pt>
                <c:pt idx="3">
                  <c:v>Native hedgerow with trees - associated with bank or ditch</c:v>
                </c:pt>
                <c:pt idx="4">
                  <c:v>Species-rich native hedgerow</c:v>
                </c:pt>
                <c:pt idx="5">
                  <c:v>Native hedgerow - associated with bank or ditch</c:v>
                </c:pt>
                <c:pt idx="6">
                  <c:v>Native hedgerow with trees</c:v>
                </c:pt>
                <c:pt idx="7">
                  <c:v>Ecologically valuable line of trees</c:v>
                </c:pt>
                <c:pt idx="8">
                  <c:v>Ecologically valuable line of trees - associated with bank or ditch</c:v>
                </c:pt>
                <c:pt idx="9">
                  <c:v>Native hedgerow</c:v>
                </c:pt>
                <c:pt idx="10">
                  <c:v>Line of trees</c:v>
                </c:pt>
                <c:pt idx="11">
                  <c:v>Line of trees  - associated with bank or ditch</c:v>
                </c:pt>
                <c:pt idx="12">
                  <c:v>Non-native and ornamental hedgerow</c:v>
                </c:pt>
              </c:strCache>
            </c:strRef>
          </c:cat>
          <c:val>
            <c:numRef>
              <c:f>'Detailed Results'!$D$100:$D$112</c:f>
              <c:numCache>
                <c:formatCode>0.00</c:formatCode>
                <c:ptCount val="13"/>
                <c:pt idx="0">
                  <c:v>0</c:v>
                </c:pt>
                <c:pt idx="1">
                  <c:v>0</c:v>
                </c:pt>
                <c:pt idx="2">
                  <c:v>0</c:v>
                </c:pt>
                <c:pt idx="3">
                  <c:v>0</c:v>
                </c:pt>
                <c:pt idx="4">
                  <c:v>0</c:v>
                </c:pt>
                <c:pt idx="5">
                  <c:v>0</c:v>
                </c:pt>
                <c:pt idx="6">
                  <c:v>14.24</c:v>
                </c:pt>
                <c:pt idx="7">
                  <c:v>0</c:v>
                </c:pt>
                <c:pt idx="8">
                  <c:v>0</c:v>
                </c:pt>
                <c:pt idx="9">
                  <c:v>0.8</c:v>
                </c:pt>
                <c:pt idx="10">
                  <c:v>0.60000000000000009</c:v>
                </c:pt>
                <c:pt idx="11">
                  <c:v>0</c:v>
                </c:pt>
                <c:pt idx="12">
                  <c:v>0.6</c:v>
                </c:pt>
              </c:numCache>
            </c:numRef>
          </c:val>
          <c:extLst>
            <c:ext xmlns:c16="http://schemas.microsoft.com/office/drawing/2014/chart" uri="{C3380CC4-5D6E-409C-BE32-E72D297353CC}">
              <c16:uniqueId val="{00000000-4C68-4EC5-AB40-157E94620753}"/>
            </c:ext>
          </c:extLst>
        </c:ser>
        <c:ser>
          <c:idx val="1"/>
          <c:order val="1"/>
          <c:tx>
            <c:strRef>
              <c:f>'Detailed Results'!$F$99</c:f>
              <c:strCache>
                <c:ptCount val="1"/>
                <c:pt idx="0">
                  <c:v>On-site proposed value</c:v>
                </c:pt>
              </c:strCache>
            </c:strRef>
          </c:tx>
          <c:spPr>
            <a:solidFill>
              <a:schemeClr val="tx1">
                <a:lumMod val="50000"/>
              </a:schemeClr>
            </a:solidFill>
            <a:ln>
              <a:noFill/>
            </a:ln>
            <a:effectLst/>
          </c:spPr>
          <c:invertIfNegative val="0"/>
          <c:cat>
            <c:strRef>
              <c:f>'Detailed Results'!$B$100:$B$112</c:f>
              <c:strCache>
                <c:ptCount val="13"/>
                <c:pt idx="0">
                  <c:v>Species-rich native hedgerow with trees - associated with bank or ditch</c:v>
                </c:pt>
                <c:pt idx="1">
                  <c:v>Species-rich native hedgerow with trees</c:v>
                </c:pt>
                <c:pt idx="2">
                  <c:v>Species-rich native hedgerow - associated with bank or ditch</c:v>
                </c:pt>
                <c:pt idx="3">
                  <c:v>Native hedgerow with trees - associated with bank or ditch</c:v>
                </c:pt>
                <c:pt idx="4">
                  <c:v>Species-rich native hedgerow</c:v>
                </c:pt>
                <c:pt idx="5">
                  <c:v>Native hedgerow - associated with bank or ditch</c:v>
                </c:pt>
                <c:pt idx="6">
                  <c:v>Native hedgerow with trees</c:v>
                </c:pt>
                <c:pt idx="7">
                  <c:v>Ecologically valuable line of trees</c:v>
                </c:pt>
                <c:pt idx="8">
                  <c:v>Ecologically valuable line of trees - associated with bank or ditch</c:v>
                </c:pt>
                <c:pt idx="9">
                  <c:v>Native hedgerow</c:v>
                </c:pt>
                <c:pt idx="10">
                  <c:v>Line of trees</c:v>
                </c:pt>
                <c:pt idx="11">
                  <c:v>Line of trees  - associated with bank or ditch</c:v>
                </c:pt>
                <c:pt idx="12">
                  <c:v>Non-native and ornamental hedgerow</c:v>
                </c:pt>
              </c:strCache>
            </c:strRef>
          </c:cat>
          <c:val>
            <c:numRef>
              <c:f>'Detailed Results'!$F$100:$F$112</c:f>
              <c:numCache>
                <c:formatCode>0.00</c:formatCode>
                <c:ptCount val="13"/>
                <c:pt idx="0">
                  <c:v>0</c:v>
                </c:pt>
                <c:pt idx="1">
                  <c:v>0</c:v>
                </c:pt>
                <c:pt idx="2">
                  <c:v>0</c:v>
                </c:pt>
                <c:pt idx="3">
                  <c:v>0</c:v>
                </c:pt>
                <c:pt idx="4">
                  <c:v>16.669627715952004</c:v>
                </c:pt>
                <c:pt idx="5">
                  <c:v>0</c:v>
                </c:pt>
                <c:pt idx="6">
                  <c:v>14.24</c:v>
                </c:pt>
                <c:pt idx="7">
                  <c:v>0</c:v>
                </c:pt>
                <c:pt idx="8">
                  <c:v>0</c:v>
                </c:pt>
                <c:pt idx="9">
                  <c:v>0.8</c:v>
                </c:pt>
                <c:pt idx="10">
                  <c:v>0.60000000000000009</c:v>
                </c:pt>
                <c:pt idx="11">
                  <c:v>0</c:v>
                </c:pt>
                <c:pt idx="12">
                  <c:v>0.6</c:v>
                </c:pt>
              </c:numCache>
            </c:numRef>
          </c:val>
          <c:extLst>
            <c:ext xmlns:c16="http://schemas.microsoft.com/office/drawing/2014/chart" uri="{C3380CC4-5D6E-409C-BE32-E72D297353CC}">
              <c16:uniqueId val="{00000001-4C68-4EC5-AB40-157E94620753}"/>
            </c:ext>
          </c:extLst>
        </c:ser>
        <c:ser>
          <c:idx val="4"/>
          <c:order val="2"/>
          <c:tx>
            <c:strRef>
              <c:f>'Detailed Results'!$F$119</c:f>
              <c:strCache>
                <c:ptCount val="1"/>
                <c:pt idx="0">
                  <c:v>Off-site proposed value</c:v>
                </c:pt>
              </c:strCache>
            </c:strRef>
          </c:tx>
          <c:spPr>
            <a:solidFill>
              <a:schemeClr val="accent6">
                <a:lumMod val="60000"/>
                <a:lumOff val="40000"/>
              </a:schemeClr>
            </a:solidFill>
            <a:ln>
              <a:noFill/>
            </a:ln>
            <a:effectLst/>
          </c:spPr>
          <c:invertIfNegative val="0"/>
          <c:cat>
            <c:strRef>
              <c:f>'Detailed Results'!$B$100:$B$112</c:f>
              <c:strCache>
                <c:ptCount val="13"/>
                <c:pt idx="0">
                  <c:v>Species-rich native hedgerow with trees - associated with bank or ditch</c:v>
                </c:pt>
                <c:pt idx="1">
                  <c:v>Species-rich native hedgerow with trees</c:v>
                </c:pt>
                <c:pt idx="2">
                  <c:v>Species-rich native hedgerow - associated with bank or ditch</c:v>
                </c:pt>
                <c:pt idx="3">
                  <c:v>Native hedgerow with trees - associated with bank or ditch</c:v>
                </c:pt>
                <c:pt idx="4">
                  <c:v>Species-rich native hedgerow</c:v>
                </c:pt>
                <c:pt idx="5">
                  <c:v>Native hedgerow - associated with bank or ditch</c:v>
                </c:pt>
                <c:pt idx="6">
                  <c:v>Native hedgerow with trees</c:v>
                </c:pt>
                <c:pt idx="7">
                  <c:v>Ecologically valuable line of trees</c:v>
                </c:pt>
                <c:pt idx="8">
                  <c:v>Ecologically valuable line of trees - associated with bank or ditch</c:v>
                </c:pt>
                <c:pt idx="9">
                  <c:v>Native hedgerow</c:v>
                </c:pt>
                <c:pt idx="10">
                  <c:v>Line of trees</c:v>
                </c:pt>
                <c:pt idx="11">
                  <c:v>Line of trees  - associated with bank or ditch</c:v>
                </c:pt>
                <c:pt idx="12">
                  <c:v>Non-native and ornamental hedgerow</c:v>
                </c:pt>
              </c:strCache>
            </c:strRef>
          </c:cat>
          <c:val>
            <c:numRef>
              <c:f>'Detailed Results'!$F$120:$F$132</c:f>
              <c:numCache>
                <c:formatCode>0.00</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extLst>
            <c:ext xmlns:c16="http://schemas.microsoft.com/office/drawing/2014/chart" uri="{C3380CC4-5D6E-409C-BE32-E72D297353CC}">
              <c16:uniqueId val="{00000000-1B53-4806-A0C0-132F1D1BF2C0}"/>
            </c:ext>
          </c:extLst>
        </c:ser>
        <c:ser>
          <c:idx val="5"/>
          <c:order val="3"/>
          <c:tx>
            <c:strRef>
              <c:f>'Detailed Results'!$D$119</c:f>
              <c:strCache>
                <c:ptCount val="1"/>
                <c:pt idx="0">
                  <c:v>Off-site existing value</c:v>
                </c:pt>
              </c:strCache>
            </c:strRef>
          </c:tx>
          <c:spPr>
            <a:solidFill>
              <a:schemeClr val="accent6">
                <a:lumMod val="75000"/>
              </a:schemeClr>
            </a:solidFill>
            <a:ln>
              <a:noFill/>
            </a:ln>
            <a:effectLst/>
          </c:spPr>
          <c:invertIfNegative val="0"/>
          <c:cat>
            <c:strRef>
              <c:f>'Detailed Results'!$B$100:$B$112</c:f>
              <c:strCache>
                <c:ptCount val="13"/>
                <c:pt idx="0">
                  <c:v>Species-rich native hedgerow with trees - associated with bank or ditch</c:v>
                </c:pt>
                <c:pt idx="1">
                  <c:v>Species-rich native hedgerow with trees</c:v>
                </c:pt>
                <c:pt idx="2">
                  <c:v>Species-rich native hedgerow - associated with bank or ditch</c:v>
                </c:pt>
                <c:pt idx="3">
                  <c:v>Native hedgerow with trees - associated with bank or ditch</c:v>
                </c:pt>
                <c:pt idx="4">
                  <c:v>Species-rich native hedgerow</c:v>
                </c:pt>
                <c:pt idx="5">
                  <c:v>Native hedgerow - associated with bank or ditch</c:v>
                </c:pt>
                <c:pt idx="6">
                  <c:v>Native hedgerow with trees</c:v>
                </c:pt>
                <c:pt idx="7">
                  <c:v>Ecologically valuable line of trees</c:v>
                </c:pt>
                <c:pt idx="8">
                  <c:v>Ecologically valuable line of trees - associated with bank or ditch</c:v>
                </c:pt>
                <c:pt idx="9">
                  <c:v>Native hedgerow</c:v>
                </c:pt>
                <c:pt idx="10">
                  <c:v>Line of trees</c:v>
                </c:pt>
                <c:pt idx="11">
                  <c:v>Line of trees  - associated with bank or ditch</c:v>
                </c:pt>
                <c:pt idx="12">
                  <c:v>Non-native and ornamental hedgerow</c:v>
                </c:pt>
              </c:strCache>
            </c:strRef>
          </c:cat>
          <c:val>
            <c:numRef>
              <c:f>'Detailed Results'!$D$120:$D$132</c:f>
              <c:numCache>
                <c:formatCode>0.00</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extLst>
            <c:ext xmlns:c16="http://schemas.microsoft.com/office/drawing/2014/chart" uri="{C3380CC4-5D6E-409C-BE32-E72D297353CC}">
              <c16:uniqueId val="{00000001-1B53-4806-A0C0-132F1D1BF2C0}"/>
            </c:ext>
          </c:extLst>
        </c:ser>
        <c:ser>
          <c:idx val="2"/>
          <c:order val="4"/>
          <c:tx>
            <c:strRef>
              <c:f>'Detailed Results'!$H$139</c:f>
              <c:strCache>
                <c:ptCount val="1"/>
                <c:pt idx="0">
                  <c:v>Combined unit change</c:v>
                </c:pt>
              </c:strCache>
            </c:strRef>
          </c:tx>
          <c:spPr>
            <a:solidFill>
              <a:schemeClr val="accent5">
                <a:lumMod val="75000"/>
              </a:schemeClr>
            </a:solidFill>
            <a:ln>
              <a:noFill/>
            </a:ln>
            <a:effectLst/>
          </c:spPr>
          <c:invertIfNegative val="0"/>
          <c:cat>
            <c:strRef>
              <c:f>'Detailed Results'!$B$100:$B$112</c:f>
              <c:strCache>
                <c:ptCount val="13"/>
                <c:pt idx="0">
                  <c:v>Species-rich native hedgerow with trees - associated with bank or ditch</c:v>
                </c:pt>
                <c:pt idx="1">
                  <c:v>Species-rich native hedgerow with trees</c:v>
                </c:pt>
                <c:pt idx="2">
                  <c:v>Species-rich native hedgerow - associated with bank or ditch</c:v>
                </c:pt>
                <c:pt idx="3">
                  <c:v>Native hedgerow with trees - associated with bank or ditch</c:v>
                </c:pt>
                <c:pt idx="4">
                  <c:v>Species-rich native hedgerow</c:v>
                </c:pt>
                <c:pt idx="5">
                  <c:v>Native hedgerow - associated with bank or ditch</c:v>
                </c:pt>
                <c:pt idx="6">
                  <c:v>Native hedgerow with trees</c:v>
                </c:pt>
                <c:pt idx="7">
                  <c:v>Ecologically valuable line of trees</c:v>
                </c:pt>
                <c:pt idx="8">
                  <c:v>Ecologically valuable line of trees - associated with bank or ditch</c:v>
                </c:pt>
                <c:pt idx="9">
                  <c:v>Native hedgerow</c:v>
                </c:pt>
                <c:pt idx="10">
                  <c:v>Line of trees</c:v>
                </c:pt>
                <c:pt idx="11">
                  <c:v>Line of trees  - associated with bank or ditch</c:v>
                </c:pt>
                <c:pt idx="12">
                  <c:v>Non-native and ornamental hedgerow</c:v>
                </c:pt>
              </c:strCache>
            </c:strRef>
          </c:cat>
          <c:val>
            <c:numRef>
              <c:f>'Detailed Results'!$H$140:$H$152</c:f>
              <c:numCache>
                <c:formatCode>0.00</c:formatCode>
                <c:ptCount val="13"/>
                <c:pt idx="0">
                  <c:v>0</c:v>
                </c:pt>
                <c:pt idx="1">
                  <c:v>0</c:v>
                </c:pt>
                <c:pt idx="2">
                  <c:v>0</c:v>
                </c:pt>
                <c:pt idx="3">
                  <c:v>0</c:v>
                </c:pt>
                <c:pt idx="4">
                  <c:v>16.669627715952004</c:v>
                </c:pt>
                <c:pt idx="5">
                  <c:v>0</c:v>
                </c:pt>
                <c:pt idx="6">
                  <c:v>0</c:v>
                </c:pt>
                <c:pt idx="7">
                  <c:v>0</c:v>
                </c:pt>
                <c:pt idx="8">
                  <c:v>0</c:v>
                </c:pt>
                <c:pt idx="9">
                  <c:v>0</c:v>
                </c:pt>
                <c:pt idx="10">
                  <c:v>0</c:v>
                </c:pt>
                <c:pt idx="11">
                  <c:v>0</c:v>
                </c:pt>
                <c:pt idx="12">
                  <c:v>0</c:v>
                </c:pt>
              </c:numCache>
            </c:numRef>
          </c:val>
          <c:extLst>
            <c:ext xmlns:c16="http://schemas.microsoft.com/office/drawing/2014/chart" uri="{C3380CC4-5D6E-409C-BE32-E72D297353CC}">
              <c16:uniqueId val="{00000001-D249-47A8-B56A-60F131D78266}"/>
            </c:ext>
          </c:extLst>
        </c:ser>
        <c:dLbls>
          <c:showLegendKey val="0"/>
          <c:showVal val="0"/>
          <c:showCatName val="0"/>
          <c:showSerName val="0"/>
          <c:showPercent val="0"/>
          <c:showBubbleSize val="0"/>
        </c:dLbls>
        <c:gapWidth val="219"/>
        <c:overlap val="-27"/>
        <c:axId val="362007984"/>
        <c:axId val="362008376"/>
      </c:barChart>
      <c:catAx>
        <c:axId val="362007984"/>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accent1"/>
                </a:solidFill>
                <a:latin typeface="+mn-lt"/>
                <a:ea typeface="+mn-ea"/>
                <a:cs typeface="+mn-cs"/>
              </a:defRPr>
            </a:pPr>
            <a:endParaRPr lang="en-US"/>
          </a:p>
        </c:txPr>
        <c:crossAx val="362008376"/>
        <c:crosses val="autoZero"/>
        <c:auto val="1"/>
        <c:lblAlgn val="ctr"/>
        <c:lblOffset val="100"/>
        <c:noMultiLvlLbl val="0"/>
      </c:catAx>
      <c:valAx>
        <c:axId val="362008376"/>
        <c:scaling>
          <c:orientation val="minMax"/>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accent1"/>
                </a:solidFill>
                <a:latin typeface="+mn-lt"/>
                <a:ea typeface="+mn-ea"/>
                <a:cs typeface="+mn-cs"/>
              </a:defRPr>
            </a:pPr>
            <a:endParaRPr lang="en-US"/>
          </a:p>
        </c:txPr>
        <c:crossAx val="362007984"/>
        <c:crosses val="autoZero"/>
        <c:crossBetween val="between"/>
      </c:valAx>
      <c:spPr>
        <a:noFill/>
        <a:ln>
          <a:solidFill>
            <a:srgbClr val="ABC3C9">
              <a:lumMod val="25000"/>
              <a:lumOff val="75000"/>
            </a:srgbClr>
          </a:solidFill>
        </a:ln>
        <a:effectLst/>
      </c:spPr>
    </c:plotArea>
    <c:legend>
      <c:legendPos val="b"/>
      <c:layout>
        <c:manualLayout>
          <c:xMode val="edge"/>
          <c:yMode val="edge"/>
          <c:x val="0.1485100591072866"/>
          <c:y val="0.95474080504214209"/>
          <c:w val="0.70167266449579491"/>
          <c:h val="3.0043260945696912E-2"/>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accent1"/>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rgbClr val="000000"/>
      </a:solidFill>
      <a:round/>
    </a:ln>
    <a:effectLst/>
  </c:spPr>
  <c:txPr>
    <a:bodyPr/>
    <a:lstStyle/>
    <a:p>
      <a:pPr>
        <a:defRPr>
          <a:solidFill>
            <a:schemeClr val="accent1"/>
          </a:solidFill>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withinLinear" id="18">
  <a:schemeClr val="accent5"/>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image" Target="../media/image5.svg"/><Relationship Id="rId1" Type="http://schemas.openxmlformats.org/officeDocument/2006/relationships/image" Target="../media/image4.png"/><Relationship Id="rId4" Type="http://schemas.openxmlformats.org/officeDocument/2006/relationships/image" Target="../media/image7.svg"/></Relationships>
</file>

<file path=xl/drawings/_rels/drawing7.xml.rels><?xml version="1.0" encoding="UTF-8" standalone="yes"?>
<Relationships xmlns="http://schemas.openxmlformats.org/package/2006/relationships"><Relationship Id="rId8" Type="http://schemas.openxmlformats.org/officeDocument/2006/relationships/chart" Target="../charts/chart8.xml"/><Relationship Id="rId13" Type="http://schemas.openxmlformats.org/officeDocument/2006/relationships/chart" Target="../charts/chart13.xml"/><Relationship Id="rId3" Type="http://schemas.openxmlformats.org/officeDocument/2006/relationships/chart" Target="../charts/chart3.xml"/><Relationship Id="rId7" Type="http://schemas.openxmlformats.org/officeDocument/2006/relationships/chart" Target="../charts/chart7.xml"/><Relationship Id="rId12" Type="http://schemas.openxmlformats.org/officeDocument/2006/relationships/chart" Target="../charts/chart12.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5" Type="http://schemas.openxmlformats.org/officeDocument/2006/relationships/chart" Target="../charts/chart1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 Id="rId14" Type="http://schemas.openxmlformats.org/officeDocument/2006/relationships/chart" Target="../charts/chart14.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3.emf"/></Relationships>
</file>

<file path=xl/drawings/drawing1.xml><?xml version="1.0" encoding="utf-8"?>
<xdr:wsDr xmlns:xdr="http://schemas.openxmlformats.org/drawingml/2006/spreadsheetDrawing" xmlns:a="http://schemas.openxmlformats.org/drawingml/2006/main">
  <xdr:twoCellAnchor>
    <xdr:from>
      <xdr:col>0</xdr:col>
      <xdr:colOff>47625</xdr:colOff>
      <xdr:row>4</xdr:row>
      <xdr:rowOff>15875</xdr:rowOff>
    </xdr:from>
    <xdr:to>
      <xdr:col>9</xdr:col>
      <xdr:colOff>215265</xdr:colOff>
      <xdr:row>16</xdr:row>
      <xdr:rowOff>176529</xdr:rowOff>
    </xdr:to>
    <xdr:sp macro="" textlink="">
      <xdr:nvSpPr>
        <xdr:cNvPr id="7" name="TextBox 6">
          <a:extLst>
            <a:ext uri="{FF2B5EF4-FFF2-40B4-BE49-F238E27FC236}">
              <a16:creationId xmlns:a16="http://schemas.microsoft.com/office/drawing/2014/main" id="{00000000-0008-0000-0000-000007000000}"/>
            </a:ext>
          </a:extLst>
        </xdr:cNvPr>
        <xdr:cNvSpPr txBox="1"/>
      </xdr:nvSpPr>
      <xdr:spPr>
        <a:xfrm>
          <a:off x="47625" y="1016000"/>
          <a:ext cx="5763578" cy="2637154"/>
        </a:xfrm>
        <a:prstGeom prst="rect">
          <a:avLst/>
        </a:prstGeom>
        <a:solidFill>
          <a:schemeClr val="tx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algn="ctr" defTabSz="914400" eaLnBrk="1" fontAlgn="auto" latinLnBrk="0" hangingPunct="1">
            <a:lnSpc>
              <a:spcPct val="100000"/>
            </a:lnSpc>
            <a:spcBef>
              <a:spcPts val="600"/>
            </a:spcBef>
            <a:spcAft>
              <a:spcPts val="0"/>
            </a:spcAft>
            <a:buClrTx/>
            <a:buSzTx/>
            <a:buFontTx/>
            <a:buNone/>
            <a:tabLst/>
            <a:defRPr/>
          </a:pPr>
          <a:r>
            <a:rPr kumimoji="0" lang="en-GB" sz="3600" b="0" i="0" u="none" strike="noStrike" kern="1400" cap="none" spc="-50" normalizeH="0" baseline="0" noProof="0">
              <a:ln>
                <a:noFill/>
              </a:ln>
              <a:solidFill>
                <a:schemeClr val="accent1"/>
              </a:solidFill>
              <a:effectLst/>
              <a:uLnTx/>
              <a:uFillTx/>
              <a:latin typeface="Source Sans Pro" panose="020B0503030403020204" pitchFamily="34" charset="0"/>
              <a:ea typeface="Source Sans Pro" panose="020B0503030403020204" pitchFamily="34" charset="0"/>
              <a:cs typeface="Arial" panose="020B0604020202020204" pitchFamily="34" charset="0"/>
            </a:rPr>
            <a:t>The Biodiversity Metric 4.0</a:t>
          </a:r>
        </a:p>
        <a:p>
          <a:pPr marL="0" marR="0" lvl="0" indent="0" algn="ctr" defTabSz="914400" eaLnBrk="1" fontAlgn="auto" latinLnBrk="0" hangingPunct="1">
            <a:lnSpc>
              <a:spcPct val="100000"/>
            </a:lnSpc>
            <a:spcBef>
              <a:spcPts val="600"/>
            </a:spcBef>
            <a:spcAft>
              <a:spcPts val="0"/>
            </a:spcAft>
            <a:buClrTx/>
            <a:buSzTx/>
            <a:buFontTx/>
            <a:buNone/>
            <a:tabLst/>
            <a:defRPr/>
          </a:pPr>
          <a:r>
            <a:rPr kumimoji="0" lang="en-GB" sz="2000" b="0" i="0" u="none" strike="noStrike" kern="0" cap="none" spc="75" normalizeH="0" baseline="0" noProof="0">
              <a:ln>
                <a:noFill/>
              </a:ln>
              <a:solidFill>
                <a:schemeClr val="accent1"/>
              </a:solidFill>
              <a:effectLst/>
              <a:uLnTx/>
              <a:uFillTx/>
              <a:latin typeface="Rockwell Light" panose="02040303020102020203" pitchFamily="18" charset="0"/>
              <a:ea typeface="Times New Roman" panose="02020603050405020304" pitchFamily="18" charset="0"/>
              <a:cs typeface="Arial" panose="020B0604020202020204" pitchFamily="34" charset="0"/>
            </a:rPr>
            <a:t>Auditing and accounting for biodiversity</a:t>
          </a:r>
        </a:p>
        <a:p>
          <a:pPr marL="810260" marR="600710" lvl="0" indent="-90170" algn="ctr" defTabSz="914400" eaLnBrk="1" fontAlgn="auto" latinLnBrk="0" hangingPunct="1">
            <a:lnSpc>
              <a:spcPct val="107000"/>
            </a:lnSpc>
            <a:spcBef>
              <a:spcPts val="600"/>
            </a:spcBef>
            <a:spcAft>
              <a:spcPts val="600"/>
            </a:spcAft>
            <a:buClrTx/>
            <a:buSzTx/>
            <a:buFontTx/>
            <a:buNone/>
            <a:tabLst/>
            <a:defRPr/>
          </a:pPr>
          <a:r>
            <a:rPr kumimoji="0" lang="en-GB" sz="2800" b="1" i="0" u="none" strike="noStrike" kern="0" cap="none" spc="0" normalizeH="0" baseline="0" noProof="0">
              <a:ln>
                <a:noFill/>
              </a:ln>
              <a:solidFill>
                <a:schemeClr val="accent1"/>
              </a:solidFill>
              <a:effectLst/>
              <a:uLnTx/>
              <a:uFillTx/>
              <a:latin typeface="Source Sans Pro" panose="020B0503030403020204" pitchFamily="34" charset="0"/>
              <a:ea typeface="Source Sans Pro" panose="020B0503030403020204" pitchFamily="34" charset="0"/>
              <a:cs typeface="Arial" panose="020B0604020202020204" pitchFamily="34" charset="0"/>
            </a:rPr>
            <a:t>Calculation Tool</a:t>
          </a:r>
        </a:p>
        <a:p>
          <a:pPr marL="810260" marR="600710" lvl="0" indent="-90170" algn="ctr" defTabSz="914400" eaLnBrk="1" fontAlgn="auto" latinLnBrk="0" hangingPunct="1">
            <a:lnSpc>
              <a:spcPct val="107000"/>
            </a:lnSpc>
            <a:spcBef>
              <a:spcPts val="600"/>
            </a:spcBef>
            <a:spcAft>
              <a:spcPts val="600"/>
            </a:spcAft>
            <a:buClrTx/>
            <a:buSzTx/>
            <a:buFontTx/>
            <a:buNone/>
            <a:tabLst/>
            <a:defRPr/>
          </a:pPr>
          <a:endParaRPr kumimoji="0" lang="en-GB" sz="2800" b="1" i="0" u="none" strike="noStrike" kern="0" cap="none" spc="0" normalizeH="0" baseline="0" noProof="0">
            <a:ln>
              <a:noFill/>
            </a:ln>
            <a:solidFill>
              <a:schemeClr val="accent1"/>
            </a:solidFill>
            <a:effectLst/>
            <a:uLnTx/>
            <a:uFillTx/>
            <a:latin typeface="Arial" panose="020B0604020202020204" pitchFamily="34" charset="0"/>
            <a:ea typeface="+mn-ea"/>
            <a:cs typeface="Arial" panose="020B0604020202020204" pitchFamily="34" charset="0"/>
          </a:endParaRPr>
        </a:p>
        <a:p>
          <a:pPr marL="810260" marR="600710" lvl="0" indent="-90170" algn="ctr" defTabSz="914400" eaLnBrk="1" fontAlgn="auto" latinLnBrk="0" hangingPunct="1">
            <a:lnSpc>
              <a:spcPct val="107000"/>
            </a:lnSpc>
            <a:spcBef>
              <a:spcPts val="600"/>
            </a:spcBef>
            <a:spcAft>
              <a:spcPts val="600"/>
            </a:spcAft>
            <a:buClrTx/>
            <a:buSzTx/>
            <a:buFontTx/>
            <a:buNone/>
            <a:tabLst/>
            <a:defRPr/>
          </a:pPr>
          <a:r>
            <a:rPr kumimoji="0" lang="en-GB" sz="1200" b="0" i="0" u="none" strike="noStrike" kern="0" cap="none" spc="0" normalizeH="0" baseline="0" noProof="0">
              <a:ln>
                <a:noFill/>
              </a:ln>
              <a:solidFill>
                <a:sysClr val="windowText" lastClr="000000"/>
              </a:solidFill>
              <a:effectLst/>
              <a:uLnTx/>
              <a:uFillTx/>
              <a:latin typeface="Rockwell Light" panose="02040303020102020203" pitchFamily="18" charset="0"/>
              <a:ea typeface="Calibri" panose="020F0502020204030204" pitchFamily="34" charset="0"/>
              <a:cs typeface="Arial" panose="020B0604020202020204" pitchFamily="34" charset="0"/>
            </a:rPr>
            <a:t>ISBN: 978-1-7393362-0-2  </a:t>
          </a:r>
          <a:endParaRPr lang="en-GB" sz="1600">
            <a:solidFill>
              <a:sysClr val="windowText" lastClr="000000"/>
            </a:solidFill>
            <a:latin typeface="Rockwell Light" panose="02040303020102020203" pitchFamily="18" charset="0"/>
          </a:endParaRPr>
        </a:p>
      </xdr:txBody>
    </xdr:sp>
    <xdr:clientData/>
  </xdr:twoCellAnchor>
  <xdr:twoCellAnchor editAs="oneCell">
    <xdr:from>
      <xdr:col>9</xdr:col>
      <xdr:colOff>255270</xdr:colOff>
      <xdr:row>0</xdr:row>
      <xdr:rowOff>19049</xdr:rowOff>
    </xdr:from>
    <xdr:to>
      <xdr:col>14</xdr:col>
      <xdr:colOff>184670</xdr:colOff>
      <xdr:row>23</xdr:row>
      <xdr:rowOff>57150</xdr:rowOff>
    </xdr:to>
    <xdr:pic>
      <xdr:nvPicPr>
        <xdr:cNvPr id="16" name="ymail_attachmentId20443" descr="70bbc3a1-ae62-45e9-a9c6-e8665ec98842">
          <a:extLst>
            <a:ext uri="{FF2B5EF4-FFF2-40B4-BE49-F238E27FC236}">
              <a16:creationId xmlns:a16="http://schemas.microsoft.com/office/drawing/2014/main" id="{00000000-0008-0000-0000-000010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722620" y="19049"/>
          <a:ext cx="5815850" cy="5029201"/>
        </a:xfrm>
        <a:prstGeom prst="rect">
          <a:avLst/>
        </a:prstGeom>
        <a:noFill/>
        <a:ln>
          <a:noFill/>
        </a:ln>
      </xdr:spPr>
    </xdr:pic>
    <xdr:clientData/>
  </xdr:twoCellAnchor>
  <xdr:twoCellAnchor>
    <xdr:from>
      <xdr:col>3</xdr:col>
      <xdr:colOff>79374</xdr:colOff>
      <xdr:row>11</xdr:row>
      <xdr:rowOff>7938</xdr:rowOff>
    </xdr:from>
    <xdr:to>
      <xdr:col>6</xdr:col>
      <xdr:colOff>396874</xdr:colOff>
      <xdr:row>14</xdr:row>
      <xdr:rowOff>166689</xdr:rowOff>
    </xdr:to>
    <xdr:sp macro="" textlink="">
      <xdr:nvSpPr>
        <xdr:cNvPr id="2" name="TextBox 1">
          <a:extLst>
            <a:ext uri="{FF2B5EF4-FFF2-40B4-BE49-F238E27FC236}">
              <a16:creationId xmlns:a16="http://schemas.microsoft.com/office/drawing/2014/main" id="{00000000-0008-0000-0000-000002000000}"/>
            </a:ext>
          </a:extLst>
        </xdr:cNvPr>
        <xdr:cNvSpPr txBox="1"/>
      </xdr:nvSpPr>
      <xdr:spPr>
        <a:xfrm>
          <a:off x="1857374" y="2452688"/>
          <a:ext cx="2246313" cy="777876"/>
        </a:xfrm>
        <a:prstGeom prst="rect">
          <a:avLst/>
        </a:prstGeom>
        <a:solidFill>
          <a:schemeClr val="tx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810260" marR="600710" lvl="0" indent="-90170" algn="ctr" defTabSz="914400" eaLnBrk="1" fontAlgn="auto" latinLnBrk="0" hangingPunct="1">
            <a:lnSpc>
              <a:spcPct val="107000"/>
            </a:lnSpc>
            <a:spcBef>
              <a:spcPts val="600"/>
            </a:spcBef>
            <a:spcAft>
              <a:spcPts val="600"/>
            </a:spcAft>
            <a:buClrTx/>
            <a:buSzTx/>
            <a:buFontTx/>
            <a:buNone/>
            <a:tabLst/>
            <a:defRPr/>
          </a:pPr>
          <a:endParaRPr kumimoji="0" lang="en-GB" sz="2800" b="1" i="0" u="none" strike="noStrike" kern="0" cap="none" spc="0" normalizeH="0" baseline="0" noProof="0">
            <a:ln>
              <a:noFill/>
            </a:ln>
            <a:solidFill>
              <a:schemeClr val="accent1"/>
            </a:solidFill>
            <a:effectLst/>
            <a:uLnTx/>
            <a:uFillTx/>
            <a:latin typeface="Arial" panose="020B0604020202020204" pitchFamily="34" charset="0"/>
            <a:ea typeface="+mn-ea"/>
            <a:cs typeface="Arial" panose="020B0604020202020204" pitchFamily="34" charset="0"/>
          </a:endParaRPr>
        </a:p>
      </xdr:txBody>
    </xdr:sp>
    <xdr:clientData/>
  </xdr:twoCellAnchor>
  <xdr:twoCellAnchor>
    <xdr:from>
      <xdr:col>3</xdr:col>
      <xdr:colOff>276226</xdr:colOff>
      <xdr:row>11</xdr:row>
      <xdr:rowOff>195870</xdr:rowOff>
    </xdr:from>
    <xdr:to>
      <xdr:col>6</xdr:col>
      <xdr:colOff>111704</xdr:colOff>
      <xdr:row>13</xdr:row>
      <xdr:rowOff>202796</xdr:rowOff>
    </xdr:to>
    <xdr:sp macro="[0]!Activatestartmenu" textlink="">
      <xdr:nvSpPr>
        <xdr:cNvPr id="14" name="TextBox 13">
          <a:extLst>
            <a:ext uri="{FF2B5EF4-FFF2-40B4-BE49-F238E27FC236}">
              <a16:creationId xmlns:a16="http://schemas.microsoft.com/office/drawing/2014/main" id="{00000000-0008-0000-0000-00000E000000}"/>
            </a:ext>
          </a:extLst>
        </xdr:cNvPr>
        <xdr:cNvSpPr txBox="1"/>
      </xdr:nvSpPr>
      <xdr:spPr>
        <a:xfrm>
          <a:off x="1943101" y="2640620"/>
          <a:ext cx="1645228" cy="419676"/>
        </a:xfrm>
        <a:prstGeom prst="roundRect">
          <a:avLst/>
        </a:prstGeom>
        <a:solidFill>
          <a:schemeClr val="accent1"/>
        </a:solid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bevelB w="114300" prst="artDeco"/>
          <a:contourClr>
            <a:srgbClr val="FFFFFF"/>
          </a:contourClr>
        </a:sp3d>
      </xdr:spPr>
      <xdr:style>
        <a:lnRef idx="2">
          <a:schemeClr val="dk1"/>
        </a:lnRef>
        <a:fillRef idx="1">
          <a:schemeClr val="lt1"/>
        </a:fillRef>
        <a:effectRef idx="0">
          <a:schemeClr val="dk1"/>
        </a:effectRef>
        <a:fontRef idx="minor">
          <a:schemeClr val="dk1"/>
        </a:fontRef>
      </xdr:style>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en-GB" sz="1600" b="1" baseline="0">
              <a:solidFill>
                <a:schemeClr val="bg1"/>
              </a:solidFill>
              <a:effectLst/>
              <a:latin typeface="Rockwell Light" panose="02040303020102020203" pitchFamily="18" charset="0"/>
              <a:ea typeface="Source Sans Pro" panose="020B0503030403020204" pitchFamily="34" charset="0"/>
              <a:cs typeface="Arial" panose="020B0604020202020204" pitchFamily="34" charset="0"/>
            </a:rPr>
            <a:t>Open  Tool</a:t>
          </a:r>
          <a:endParaRPr lang="en-GB" sz="1600" b="1">
            <a:solidFill>
              <a:schemeClr val="bg1"/>
            </a:solidFill>
            <a:effectLst/>
            <a:latin typeface="Rockwell Light" panose="02040303020102020203" pitchFamily="18" charset="0"/>
            <a:ea typeface="Source Sans Pro" panose="020B0503030403020204" pitchFamily="34" charset="0"/>
          </a:endParaRPr>
        </a:p>
        <a:p>
          <a:endParaRPr lang="en-GB" sz="1100" b="1">
            <a:solidFill>
              <a:schemeClr val="bg1"/>
            </a:solidFill>
          </a:endParaRPr>
        </a:p>
      </xdr:txBody>
    </xdr:sp>
    <xdr:clientData/>
  </xdr:twoCellAnchor>
  <xdr:twoCellAnchor editAs="oneCell">
    <xdr:from>
      <xdr:col>0</xdr:col>
      <xdr:colOff>19791</xdr:colOff>
      <xdr:row>0</xdr:row>
      <xdr:rowOff>20089</xdr:rowOff>
    </xdr:from>
    <xdr:to>
      <xdr:col>1</xdr:col>
      <xdr:colOff>183161</xdr:colOff>
      <xdr:row>2</xdr:row>
      <xdr:rowOff>190500</xdr:rowOff>
    </xdr:to>
    <xdr:pic>
      <xdr:nvPicPr>
        <xdr:cNvPr id="6" name="Picture 5" descr="Image result for natural england logo">
          <a:extLst>
            <a:ext uri="{FF2B5EF4-FFF2-40B4-BE49-F238E27FC236}">
              <a16:creationId xmlns:a16="http://schemas.microsoft.com/office/drawing/2014/main" id="{00000000-0008-0000-0000-000006000000}"/>
            </a:ext>
          </a:extLst>
        </xdr:cNvPr>
        <xdr:cNvPicPr>
          <a:picLocks noChangeAspect="1" noChangeArrowheads="1"/>
        </xdr:cNvPicPr>
      </xdr:nvPicPr>
      <xdr:blipFill>
        <a:blip xmlns:r="http://schemas.openxmlformats.org/officeDocument/2006/relationships" r:embed="rId2" cstate="screen">
          <a:extLst>
            <a:ext uri="{28A0092B-C50C-407E-A947-70E740481C1C}">
              <a14:useLocalDpi xmlns:a14="http://schemas.microsoft.com/office/drawing/2010/main"/>
            </a:ext>
          </a:extLst>
        </a:blip>
        <a:srcRect/>
        <a:stretch>
          <a:fillRect/>
        </a:stretch>
      </xdr:blipFill>
      <xdr:spPr bwMode="auto">
        <a:xfrm>
          <a:off x="19791" y="20089"/>
          <a:ext cx="788210" cy="75715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0.xml><?xml version="1.0" encoding="utf-8"?>
<xdr:wsDr xmlns:xdr="http://schemas.openxmlformats.org/drawingml/2006/spreadsheetDrawing" xmlns:a="http://schemas.openxmlformats.org/drawingml/2006/main">
  <xdr:twoCellAnchor>
    <xdr:from>
      <xdr:col>0</xdr:col>
      <xdr:colOff>85725</xdr:colOff>
      <xdr:row>0</xdr:row>
      <xdr:rowOff>72392</xdr:rowOff>
    </xdr:from>
    <xdr:to>
      <xdr:col>0</xdr:col>
      <xdr:colOff>1057275</xdr:colOff>
      <xdr:row>3</xdr:row>
      <xdr:rowOff>161925</xdr:rowOff>
    </xdr:to>
    <xdr:sp macro="[0]!ActivateResults" textlink="">
      <xdr:nvSpPr>
        <xdr:cNvPr id="2" name="TextBox 1">
          <a:extLst>
            <a:ext uri="{FF2B5EF4-FFF2-40B4-BE49-F238E27FC236}">
              <a16:creationId xmlns:a16="http://schemas.microsoft.com/office/drawing/2014/main" id="{00000000-0008-0000-0A00-000002000000}"/>
            </a:ext>
          </a:extLst>
        </xdr:cNvPr>
        <xdr:cNvSpPr txBox="1"/>
      </xdr:nvSpPr>
      <xdr:spPr>
        <a:xfrm>
          <a:off x="85725" y="72392"/>
          <a:ext cx="971550" cy="794383"/>
        </a:xfrm>
        <a:prstGeom prst="roundRect">
          <a:avLst/>
        </a:prstGeom>
        <a:solidFill>
          <a:srgbClr val="383745"/>
        </a:solidFill>
        <a:ln w="9525" cmpd="sng">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200">
              <a:solidFill>
                <a:schemeClr val="bg1"/>
              </a:solidFill>
            </a:rPr>
            <a:t>Return to results</a:t>
          </a:r>
        </a:p>
        <a:p>
          <a:pPr algn="ctr"/>
          <a:r>
            <a:rPr lang="en-GB" sz="1200">
              <a:solidFill>
                <a:schemeClr val="bg1"/>
              </a:solidFill>
            </a:rPr>
            <a:t>menu</a:t>
          </a:r>
        </a:p>
      </xdr:txBody>
    </xdr:sp>
    <xdr:clientData/>
  </xdr:twoCellAnchor>
  <xdr:twoCellAnchor>
    <xdr:from>
      <xdr:col>0</xdr:col>
      <xdr:colOff>25400</xdr:colOff>
      <xdr:row>4</xdr:row>
      <xdr:rowOff>127000</xdr:rowOff>
    </xdr:from>
    <xdr:to>
      <xdr:col>0</xdr:col>
      <xdr:colOff>1141186</xdr:colOff>
      <xdr:row>7</xdr:row>
      <xdr:rowOff>124004</xdr:rowOff>
    </xdr:to>
    <xdr:sp macro="[0]!ActivateAreaHabitatTradingSummary" textlink="">
      <xdr:nvSpPr>
        <xdr:cNvPr id="4" name="TextBox 3">
          <a:extLst>
            <a:ext uri="{FF2B5EF4-FFF2-40B4-BE49-F238E27FC236}">
              <a16:creationId xmlns:a16="http://schemas.microsoft.com/office/drawing/2014/main" id="{00000000-0008-0000-0A00-000004000000}"/>
            </a:ext>
          </a:extLst>
        </xdr:cNvPr>
        <xdr:cNvSpPr txBox="1"/>
      </xdr:nvSpPr>
      <xdr:spPr>
        <a:xfrm>
          <a:off x="25400" y="1016000"/>
          <a:ext cx="1115786" cy="797104"/>
        </a:xfrm>
        <a:prstGeom prst="roundRect">
          <a:avLst/>
        </a:prstGeom>
        <a:solidFill>
          <a:schemeClr val="accent3"/>
        </a:solidFill>
        <a:ln w="9525" cmpd="sng">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200">
              <a:solidFill>
                <a:schemeClr val="accent1"/>
              </a:solidFill>
            </a:rPr>
            <a:t>Trading summary Area Habitats</a:t>
          </a:r>
        </a:p>
      </xdr:txBody>
    </xdr:sp>
    <xdr:clientData/>
  </xdr:twoCellAnchor>
  <xdr:twoCellAnchor>
    <xdr:from>
      <xdr:col>0</xdr:col>
      <xdr:colOff>25400</xdr:colOff>
      <xdr:row>8</xdr:row>
      <xdr:rowOff>0</xdr:rowOff>
    </xdr:from>
    <xdr:to>
      <xdr:col>0</xdr:col>
      <xdr:colOff>1141186</xdr:colOff>
      <xdr:row>10</xdr:row>
      <xdr:rowOff>428804</xdr:rowOff>
    </xdr:to>
    <xdr:sp macro="[0]!ActivateTradingSummaryHedgerows_Click" textlink="">
      <xdr:nvSpPr>
        <xdr:cNvPr id="5" name="TextBox 4">
          <a:extLst>
            <a:ext uri="{FF2B5EF4-FFF2-40B4-BE49-F238E27FC236}">
              <a16:creationId xmlns:a16="http://schemas.microsoft.com/office/drawing/2014/main" id="{00000000-0008-0000-0A00-000005000000}"/>
            </a:ext>
          </a:extLst>
        </xdr:cNvPr>
        <xdr:cNvSpPr txBox="1"/>
      </xdr:nvSpPr>
      <xdr:spPr>
        <a:xfrm>
          <a:off x="25400" y="1930400"/>
          <a:ext cx="1115786" cy="797104"/>
        </a:xfrm>
        <a:prstGeom prst="roundRect">
          <a:avLst/>
        </a:prstGeom>
        <a:solidFill>
          <a:schemeClr val="accent3"/>
        </a:solidFill>
        <a:ln w="9525" cmpd="sng">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200">
              <a:solidFill>
                <a:schemeClr val="accent1"/>
              </a:solidFill>
            </a:rPr>
            <a:t>Trading summary hedgerows</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3</xdr:col>
      <xdr:colOff>0</xdr:colOff>
      <xdr:row>4</xdr:row>
      <xdr:rowOff>101895</xdr:rowOff>
    </xdr:from>
    <xdr:to>
      <xdr:col>7</xdr:col>
      <xdr:colOff>15875</xdr:colOff>
      <xdr:row>7</xdr:row>
      <xdr:rowOff>285750</xdr:rowOff>
    </xdr:to>
    <xdr:grpSp>
      <xdr:nvGrpSpPr>
        <xdr:cNvPr id="7" name="Group 6">
          <a:extLst>
            <a:ext uri="{FF2B5EF4-FFF2-40B4-BE49-F238E27FC236}">
              <a16:creationId xmlns:a16="http://schemas.microsoft.com/office/drawing/2014/main" id="{00000000-0008-0000-0C00-000007000000}"/>
            </a:ext>
          </a:extLst>
        </xdr:cNvPr>
        <xdr:cNvGrpSpPr/>
      </xdr:nvGrpSpPr>
      <xdr:grpSpPr>
        <a:xfrm>
          <a:off x="0" y="907438"/>
          <a:ext cx="7037161" cy="760798"/>
          <a:chOff x="205740" y="855086"/>
          <a:chExt cx="4701455" cy="793824"/>
        </a:xfrm>
      </xdr:grpSpPr>
      <xdr:sp macro="[0]!ToggleHideRows" textlink="">
        <xdr:nvSpPr>
          <xdr:cNvPr id="17" name="Rectangle: Rounded Corners 19">
            <a:extLst>
              <a:ext uri="{FF2B5EF4-FFF2-40B4-BE49-F238E27FC236}">
                <a16:creationId xmlns:a16="http://schemas.microsoft.com/office/drawing/2014/main" id="{00000000-0008-0000-0C00-000011000000}"/>
              </a:ext>
            </a:extLst>
          </xdr:cNvPr>
          <xdr:cNvSpPr/>
        </xdr:nvSpPr>
        <xdr:spPr>
          <a:xfrm>
            <a:off x="2620817" y="883920"/>
            <a:ext cx="2286000" cy="360001"/>
          </a:xfrm>
          <a:prstGeom prst="roundRect">
            <a:avLst/>
          </a:prstGeom>
          <a:solidFill>
            <a:schemeClr val="accent1"/>
          </a:solidFill>
          <a:ln>
            <a:noFill/>
          </a:ln>
          <a:effectLst>
            <a:outerShdw blurRad="107950" dist="12700" dir="5400000" algn="ctr">
              <a:srgbClr val="000000"/>
            </a:outerShdw>
          </a:effectLst>
          <a:scene3d>
            <a:camera prst="orthographicFront">
              <a:rot lat="0" lon="0" rev="0"/>
            </a:camera>
            <a:lightRig rig="soft" dir="t">
              <a:rot lat="0" lon="0" rev="0"/>
            </a:lightRig>
          </a:scene3d>
          <a:sp3d contourW="2540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b="0">
                <a:latin typeface="+mn-lt"/>
              </a:rPr>
              <a:t>Condense / Show Rows</a:t>
            </a:r>
          </a:p>
        </xdr:txBody>
      </xdr:sp>
      <xdr:sp macro="[0]!ActivateSelectWorksheet" textlink="">
        <xdr:nvSpPr>
          <xdr:cNvPr id="15" name="Rounded Rectangle 14">
            <a:extLst>
              <a:ext uri="{FF2B5EF4-FFF2-40B4-BE49-F238E27FC236}">
                <a16:creationId xmlns:a16="http://schemas.microsoft.com/office/drawing/2014/main" id="{00000000-0008-0000-0C00-00000F000000}"/>
              </a:ext>
            </a:extLst>
          </xdr:cNvPr>
          <xdr:cNvSpPr/>
        </xdr:nvSpPr>
        <xdr:spPr>
          <a:xfrm>
            <a:off x="205740" y="1341124"/>
            <a:ext cx="2286000" cy="288000"/>
          </a:xfrm>
          <a:prstGeom prst="roundRect">
            <a:avLst/>
          </a:prstGeom>
          <a:solidFill>
            <a:schemeClr val="accent1"/>
          </a:solidFill>
          <a:ln>
            <a:noFill/>
          </a:ln>
          <a:effectLst>
            <a:outerShdw blurRad="107950" dist="12700" dir="5400000" algn="ctr">
              <a:srgbClr val="000000"/>
            </a:outerShdw>
          </a:effectLst>
          <a:scene3d>
            <a:camera prst="orthographicFront">
              <a:rot lat="0" lon="0" rev="0"/>
            </a:camera>
            <a:lightRig rig="soft" dir="t">
              <a:rot lat="0" lon="0" rev="0"/>
            </a:lightRig>
          </a:scene3d>
          <a:sp3d contourW="25400" prstMaterial="matte">
            <a:bevelT w="63500" h="63500" prst="artDeco"/>
            <a:bevelB w="1143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baseline="0">
                <a:solidFill>
                  <a:schemeClr val="bg1"/>
                </a:solidFill>
                <a:latin typeface="+mn-lt"/>
              </a:rPr>
              <a:t>Main M</a:t>
            </a:r>
            <a:r>
              <a:rPr lang="en-GB" sz="1200">
                <a:solidFill>
                  <a:schemeClr val="bg1"/>
                </a:solidFill>
                <a:latin typeface="+mn-lt"/>
              </a:rPr>
              <a:t>enu </a:t>
            </a:r>
          </a:p>
        </xdr:txBody>
      </xdr:sp>
      <xdr:sp macro="[0]!ActivateInstructions" textlink="">
        <xdr:nvSpPr>
          <xdr:cNvPr id="16" name="Rounded Rectangle 15">
            <a:extLst>
              <a:ext uri="{FF2B5EF4-FFF2-40B4-BE49-F238E27FC236}">
                <a16:creationId xmlns:a16="http://schemas.microsoft.com/office/drawing/2014/main" id="{00000000-0008-0000-0C00-000010000000}"/>
              </a:ext>
            </a:extLst>
          </xdr:cNvPr>
          <xdr:cNvSpPr/>
        </xdr:nvSpPr>
        <xdr:spPr>
          <a:xfrm>
            <a:off x="2621195" y="1360910"/>
            <a:ext cx="2286000" cy="288000"/>
          </a:xfrm>
          <a:prstGeom prst="roundRect">
            <a:avLst/>
          </a:prstGeom>
          <a:solidFill>
            <a:schemeClr val="accent1"/>
          </a:solidFill>
          <a:ln>
            <a:noFill/>
          </a:ln>
          <a:effectLst>
            <a:outerShdw blurRad="107950" dist="12700" dir="5400000" algn="ctr">
              <a:srgbClr val="000000"/>
            </a:outerShdw>
          </a:effectLst>
          <a:scene3d>
            <a:camera prst="orthographicFront">
              <a:rot lat="0" lon="0" rev="0"/>
            </a:camera>
            <a:lightRig rig="soft" dir="t">
              <a:rot lat="0" lon="0" rev="0"/>
            </a:lightRig>
          </a:scene3d>
          <a:sp3d contourW="25400" prstMaterial="matte">
            <a:bevelT w="63500" h="63500" prst="artDeco"/>
            <a:bevelB w="1143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a:solidFill>
                  <a:schemeClr val="bg1"/>
                </a:solidFill>
                <a:latin typeface="+mn-lt"/>
              </a:rPr>
              <a:t>Instructions</a:t>
            </a:r>
          </a:p>
        </xdr:txBody>
      </xdr:sp>
      <xdr:sp macro="[0]!ToggleHideColumns" textlink="">
        <xdr:nvSpPr>
          <xdr:cNvPr id="19" name="Rectangle: Rounded Corners 19">
            <a:extLst>
              <a:ext uri="{FF2B5EF4-FFF2-40B4-BE49-F238E27FC236}">
                <a16:creationId xmlns:a16="http://schemas.microsoft.com/office/drawing/2014/main" id="{00000000-0008-0000-0C00-000013000000}"/>
              </a:ext>
            </a:extLst>
          </xdr:cNvPr>
          <xdr:cNvSpPr/>
        </xdr:nvSpPr>
        <xdr:spPr>
          <a:xfrm>
            <a:off x="206819" y="855086"/>
            <a:ext cx="2286000" cy="360001"/>
          </a:xfrm>
          <a:prstGeom prst="roundRect">
            <a:avLst/>
          </a:prstGeom>
          <a:solidFill>
            <a:schemeClr val="accent1"/>
          </a:solidFill>
          <a:ln>
            <a:noFill/>
          </a:ln>
          <a:effectLst>
            <a:outerShdw blurRad="107950" dist="12700" dir="5400000" algn="ctr">
              <a:srgbClr val="000000"/>
            </a:outerShdw>
          </a:effectLst>
          <a:scene3d>
            <a:camera prst="orthographicFront">
              <a:rot lat="0" lon="0" rev="0"/>
            </a:camera>
            <a:lightRig rig="soft" dir="t">
              <a:rot lat="0" lon="0" rev="0"/>
            </a:lightRig>
          </a:scene3d>
          <a:sp3d contourW="2540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a:latin typeface="+mn-lt"/>
              </a:rPr>
              <a:t>Condense / Show Columns</a:t>
            </a:r>
          </a:p>
        </xdr:txBody>
      </xdr:sp>
    </xdr:grpSp>
    <xdr:clientData/>
  </xdr:twoCellAnchor>
</xdr:wsDr>
</file>

<file path=xl/drawings/drawing12.xml><?xml version="1.0" encoding="utf-8"?>
<xdr:wsDr xmlns:xdr="http://schemas.openxmlformats.org/drawingml/2006/spreadsheetDrawing" xmlns:a="http://schemas.openxmlformats.org/drawingml/2006/main">
  <xdr:twoCellAnchor>
    <xdr:from>
      <xdr:col>3</xdr:col>
      <xdr:colOff>123825</xdr:colOff>
      <xdr:row>3</xdr:row>
      <xdr:rowOff>113360</xdr:rowOff>
    </xdr:from>
    <xdr:to>
      <xdr:col>5</xdr:col>
      <xdr:colOff>0</xdr:colOff>
      <xdr:row>6</xdr:row>
      <xdr:rowOff>276225</xdr:rowOff>
    </xdr:to>
    <xdr:grpSp>
      <xdr:nvGrpSpPr>
        <xdr:cNvPr id="38" name="Group 37">
          <a:extLst>
            <a:ext uri="{FF2B5EF4-FFF2-40B4-BE49-F238E27FC236}">
              <a16:creationId xmlns:a16="http://schemas.microsoft.com/office/drawing/2014/main" id="{00000000-0008-0000-0D00-000026000000}"/>
            </a:ext>
          </a:extLst>
        </xdr:cNvPr>
        <xdr:cNvGrpSpPr/>
      </xdr:nvGrpSpPr>
      <xdr:grpSpPr>
        <a:xfrm>
          <a:off x="123825" y="837260"/>
          <a:ext cx="6886575" cy="982015"/>
          <a:chOff x="-17943940" y="767611"/>
          <a:chExt cx="12775995" cy="756968"/>
        </a:xfrm>
        <a:solidFill>
          <a:schemeClr val="accent1"/>
        </a:solidFill>
      </xdr:grpSpPr>
      <xdr:sp macro="[0]!ToggleHideRows" textlink="">
        <xdr:nvSpPr>
          <xdr:cNvPr id="39" name="Rectangle: Rounded Corners 19">
            <a:extLst>
              <a:ext uri="{FF2B5EF4-FFF2-40B4-BE49-F238E27FC236}">
                <a16:creationId xmlns:a16="http://schemas.microsoft.com/office/drawing/2014/main" id="{00000000-0008-0000-0D00-000027000000}"/>
              </a:ext>
            </a:extLst>
          </xdr:cNvPr>
          <xdr:cNvSpPr/>
        </xdr:nvSpPr>
        <xdr:spPr>
          <a:xfrm>
            <a:off x="-11093861" y="767611"/>
            <a:ext cx="5925916" cy="369270"/>
          </a:xfrm>
          <a:prstGeom prst="roundRect">
            <a:avLst/>
          </a:prstGeom>
          <a:grpFill/>
          <a:ln>
            <a:noFill/>
          </a:ln>
          <a:effectLst>
            <a:outerShdw blurRad="107950" dist="12700" dir="5400000" algn="ctr">
              <a:srgbClr val="000000"/>
            </a:outerShdw>
          </a:effectLst>
          <a:scene3d>
            <a:camera prst="orthographicFront">
              <a:rot lat="0" lon="0" rev="0"/>
            </a:camera>
            <a:lightRig rig="soft" dir="t">
              <a:rot lat="0" lon="0" rev="0"/>
            </a:lightRig>
          </a:scene3d>
          <a:sp3d contourW="2540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a:latin typeface="Rockwell Light" panose="02040303020102020203" pitchFamily="18" charset="0"/>
              </a:rPr>
              <a:t>Condense / Show Rows</a:t>
            </a:r>
          </a:p>
        </xdr:txBody>
      </xdr:sp>
      <xdr:sp macro="[0]!ActivateSelectWorksheet" textlink="">
        <xdr:nvSpPr>
          <xdr:cNvPr id="40" name="Rounded Rectangle 39">
            <a:extLst>
              <a:ext uri="{FF2B5EF4-FFF2-40B4-BE49-F238E27FC236}">
                <a16:creationId xmlns:a16="http://schemas.microsoft.com/office/drawing/2014/main" id="{00000000-0008-0000-0D00-000028000000}"/>
              </a:ext>
            </a:extLst>
          </xdr:cNvPr>
          <xdr:cNvSpPr/>
        </xdr:nvSpPr>
        <xdr:spPr>
          <a:xfrm>
            <a:off x="-17943940" y="1221545"/>
            <a:ext cx="6307485" cy="303034"/>
          </a:xfrm>
          <a:prstGeom prst="roundRect">
            <a:avLst/>
          </a:prstGeom>
          <a:grpFill/>
          <a:ln>
            <a:noFill/>
          </a:ln>
          <a:effectLst>
            <a:outerShdw blurRad="107950" dist="12700" dir="5400000" algn="ctr">
              <a:srgbClr val="000000"/>
            </a:outerShdw>
          </a:effectLst>
          <a:scene3d>
            <a:camera prst="orthographicFront">
              <a:rot lat="0" lon="0" rev="0"/>
            </a:camera>
            <a:lightRig rig="soft" dir="t">
              <a:rot lat="0" lon="0" rev="0"/>
            </a:lightRig>
          </a:scene3d>
          <a:sp3d contourW="2540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baseline="0">
                <a:solidFill>
                  <a:schemeClr val="bg1"/>
                </a:solidFill>
                <a:latin typeface="Rockwell Light" panose="02040303020102020203" pitchFamily="18" charset="0"/>
              </a:rPr>
              <a:t>Main M</a:t>
            </a:r>
            <a:r>
              <a:rPr lang="en-GB" sz="1200">
                <a:solidFill>
                  <a:schemeClr val="bg1"/>
                </a:solidFill>
                <a:latin typeface="Rockwell Light" panose="02040303020102020203" pitchFamily="18" charset="0"/>
              </a:rPr>
              <a:t>enu </a:t>
            </a:r>
          </a:p>
        </xdr:txBody>
      </xdr:sp>
      <xdr:sp macro="[0]!ActivateInstructions" textlink="">
        <xdr:nvSpPr>
          <xdr:cNvPr id="41" name="Rounded Rectangle 40">
            <a:extLst>
              <a:ext uri="{FF2B5EF4-FFF2-40B4-BE49-F238E27FC236}">
                <a16:creationId xmlns:a16="http://schemas.microsoft.com/office/drawing/2014/main" id="{00000000-0008-0000-0D00-000029000000}"/>
              </a:ext>
            </a:extLst>
          </xdr:cNvPr>
          <xdr:cNvSpPr/>
        </xdr:nvSpPr>
        <xdr:spPr>
          <a:xfrm>
            <a:off x="-11118791" y="1215522"/>
            <a:ext cx="5932724" cy="309057"/>
          </a:xfrm>
          <a:prstGeom prst="roundRect">
            <a:avLst/>
          </a:prstGeom>
          <a:grpFill/>
          <a:ln>
            <a:noFill/>
          </a:ln>
          <a:effectLst>
            <a:outerShdw blurRad="107950" dist="12700" dir="5400000" algn="ctr">
              <a:srgbClr val="000000"/>
            </a:outerShdw>
          </a:effectLst>
          <a:scene3d>
            <a:camera prst="orthographicFront">
              <a:rot lat="0" lon="0" rev="0"/>
            </a:camera>
            <a:lightRig rig="soft" dir="t">
              <a:rot lat="0" lon="0" rev="0"/>
            </a:lightRig>
          </a:scene3d>
          <a:sp3d contourW="2540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a:solidFill>
                  <a:schemeClr val="bg1"/>
                </a:solidFill>
                <a:latin typeface="Rockwell Light" panose="02040303020102020203" pitchFamily="18" charset="0"/>
              </a:rPr>
              <a:t>Instructions</a:t>
            </a:r>
          </a:p>
        </xdr:txBody>
      </xdr:sp>
      <xdr:sp macro="[0]!ToggleHideColumns" textlink="">
        <xdr:nvSpPr>
          <xdr:cNvPr id="42" name="Rectangle: Rounded Corners 19">
            <a:extLst>
              <a:ext uri="{FF2B5EF4-FFF2-40B4-BE49-F238E27FC236}">
                <a16:creationId xmlns:a16="http://schemas.microsoft.com/office/drawing/2014/main" id="{00000000-0008-0000-0D00-00002A000000}"/>
              </a:ext>
            </a:extLst>
          </xdr:cNvPr>
          <xdr:cNvSpPr/>
        </xdr:nvSpPr>
        <xdr:spPr>
          <a:xfrm>
            <a:off x="-17886499" y="799583"/>
            <a:ext cx="6199437" cy="337296"/>
          </a:xfrm>
          <a:prstGeom prst="roundRect">
            <a:avLst/>
          </a:prstGeom>
          <a:grpFill/>
          <a:ln>
            <a:noFill/>
          </a:ln>
          <a:effectLst>
            <a:outerShdw blurRad="107950" dist="12700" dir="5400000" algn="ctr">
              <a:srgbClr val="000000"/>
            </a:outerShdw>
          </a:effectLst>
          <a:scene3d>
            <a:camera prst="orthographicFront">
              <a:rot lat="0" lon="0" rev="0"/>
            </a:camera>
            <a:lightRig rig="soft" dir="t">
              <a:rot lat="0" lon="0" rev="0"/>
            </a:lightRig>
          </a:scene3d>
          <a:sp3d contourW="2540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a:latin typeface="Rockwell Light" panose="02040303020102020203" pitchFamily="18" charset="0"/>
              </a:rPr>
              <a:t>Condense / Show Columns</a:t>
            </a:r>
          </a:p>
        </xdr:txBody>
      </xdr:sp>
    </xdr:grpSp>
    <xdr:clientData/>
  </xdr:twoCellAnchor>
</xdr:wsDr>
</file>

<file path=xl/drawings/drawing13.xml><?xml version="1.0" encoding="utf-8"?>
<xdr:wsDr xmlns:xdr="http://schemas.openxmlformats.org/drawingml/2006/spreadsheetDrawing" xmlns:a="http://schemas.openxmlformats.org/drawingml/2006/main">
  <xdr:twoCellAnchor>
    <xdr:from>
      <xdr:col>4</xdr:col>
      <xdr:colOff>15241</xdr:colOff>
      <xdr:row>4</xdr:row>
      <xdr:rowOff>83820</xdr:rowOff>
    </xdr:from>
    <xdr:to>
      <xdr:col>7</xdr:col>
      <xdr:colOff>7621</xdr:colOff>
      <xdr:row>8</xdr:row>
      <xdr:rowOff>55506</xdr:rowOff>
    </xdr:to>
    <xdr:grpSp>
      <xdr:nvGrpSpPr>
        <xdr:cNvPr id="21" name="Group 20">
          <a:extLst>
            <a:ext uri="{FF2B5EF4-FFF2-40B4-BE49-F238E27FC236}">
              <a16:creationId xmlns:a16="http://schemas.microsoft.com/office/drawing/2014/main" id="{00000000-0008-0000-0E00-000015000000}"/>
            </a:ext>
          </a:extLst>
        </xdr:cNvPr>
        <xdr:cNvGrpSpPr/>
      </xdr:nvGrpSpPr>
      <xdr:grpSpPr>
        <a:xfrm>
          <a:off x="19051" y="883444"/>
          <a:ext cx="5634038" cy="759403"/>
          <a:chOff x="205740" y="877124"/>
          <a:chExt cx="4701455" cy="771786"/>
        </a:xfrm>
        <a:solidFill>
          <a:schemeClr val="accent1"/>
        </a:solidFill>
      </xdr:grpSpPr>
      <xdr:sp macro="[0]!ToggleHideRows" textlink="">
        <xdr:nvSpPr>
          <xdr:cNvPr id="22" name="Rectangle: Rounded Corners 19">
            <a:extLst>
              <a:ext uri="{FF2B5EF4-FFF2-40B4-BE49-F238E27FC236}">
                <a16:creationId xmlns:a16="http://schemas.microsoft.com/office/drawing/2014/main" id="{00000000-0008-0000-0E00-000016000000}"/>
              </a:ext>
            </a:extLst>
          </xdr:cNvPr>
          <xdr:cNvSpPr/>
        </xdr:nvSpPr>
        <xdr:spPr>
          <a:xfrm>
            <a:off x="2620817" y="883920"/>
            <a:ext cx="2286000" cy="360001"/>
          </a:xfrm>
          <a:prstGeom prst="roundRect">
            <a:avLst/>
          </a:prstGeom>
          <a:grpFill/>
          <a:ln>
            <a:noFill/>
          </a:ln>
          <a:effectLst>
            <a:outerShdw blurRad="107950" dist="12700" dir="5400000" algn="ctr">
              <a:srgbClr val="000000"/>
            </a:outerShdw>
          </a:effectLst>
          <a:scene3d>
            <a:camera prst="orthographicFront">
              <a:rot lat="0" lon="0" rev="0"/>
            </a:camera>
            <a:lightRig rig="soft" dir="t">
              <a:rot lat="0" lon="0" rev="0"/>
            </a:lightRig>
          </a:scene3d>
          <a:sp3d contourW="2540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a:latin typeface="Rockwell Light" panose="02040303020102020203" pitchFamily="18" charset="0"/>
              </a:rPr>
              <a:t>Condense / Show Rows</a:t>
            </a:r>
          </a:p>
        </xdr:txBody>
      </xdr:sp>
      <xdr:sp macro="[0]!ActivateSelectWorksheet" textlink="">
        <xdr:nvSpPr>
          <xdr:cNvPr id="23" name="Rounded Rectangle 22">
            <a:extLst>
              <a:ext uri="{FF2B5EF4-FFF2-40B4-BE49-F238E27FC236}">
                <a16:creationId xmlns:a16="http://schemas.microsoft.com/office/drawing/2014/main" id="{00000000-0008-0000-0E00-000017000000}"/>
              </a:ext>
            </a:extLst>
          </xdr:cNvPr>
          <xdr:cNvSpPr/>
        </xdr:nvSpPr>
        <xdr:spPr>
          <a:xfrm>
            <a:off x="205740" y="1347548"/>
            <a:ext cx="2286000" cy="288000"/>
          </a:xfrm>
          <a:prstGeom prst="roundRect">
            <a:avLst/>
          </a:prstGeom>
          <a:grpFill/>
          <a:ln>
            <a:noFill/>
          </a:ln>
          <a:effectLst>
            <a:outerShdw blurRad="107950" dist="12700" dir="5400000" algn="ctr">
              <a:srgbClr val="000000"/>
            </a:outerShdw>
          </a:effectLst>
          <a:scene3d>
            <a:camera prst="orthographicFront">
              <a:rot lat="0" lon="0" rev="0"/>
            </a:camera>
            <a:lightRig rig="soft" dir="t">
              <a:rot lat="0" lon="0" rev="0"/>
            </a:lightRig>
          </a:scene3d>
          <a:sp3d contourW="2540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baseline="0">
                <a:solidFill>
                  <a:schemeClr val="bg1"/>
                </a:solidFill>
                <a:latin typeface="Rockwell Light" panose="02040303020102020203" pitchFamily="18" charset="0"/>
              </a:rPr>
              <a:t>Main M</a:t>
            </a:r>
            <a:r>
              <a:rPr lang="en-GB" sz="1200">
                <a:solidFill>
                  <a:schemeClr val="bg1"/>
                </a:solidFill>
                <a:latin typeface="Rockwell Light" panose="02040303020102020203" pitchFamily="18" charset="0"/>
              </a:rPr>
              <a:t>enu </a:t>
            </a:r>
          </a:p>
        </xdr:txBody>
      </xdr:sp>
      <xdr:sp macro="[0]!ActivateInstructions" textlink="">
        <xdr:nvSpPr>
          <xdr:cNvPr id="24" name="Rounded Rectangle 23">
            <a:extLst>
              <a:ext uri="{FF2B5EF4-FFF2-40B4-BE49-F238E27FC236}">
                <a16:creationId xmlns:a16="http://schemas.microsoft.com/office/drawing/2014/main" id="{00000000-0008-0000-0E00-000018000000}"/>
              </a:ext>
            </a:extLst>
          </xdr:cNvPr>
          <xdr:cNvSpPr/>
        </xdr:nvSpPr>
        <xdr:spPr>
          <a:xfrm>
            <a:off x="2621195" y="1360910"/>
            <a:ext cx="2286000" cy="288000"/>
          </a:xfrm>
          <a:prstGeom prst="roundRect">
            <a:avLst/>
          </a:prstGeom>
          <a:grpFill/>
          <a:ln>
            <a:noFill/>
          </a:ln>
          <a:effectLst>
            <a:outerShdw blurRad="107950" dist="12700" dir="5400000" algn="ctr">
              <a:srgbClr val="000000"/>
            </a:outerShdw>
          </a:effectLst>
          <a:scene3d>
            <a:camera prst="orthographicFront">
              <a:rot lat="0" lon="0" rev="0"/>
            </a:camera>
            <a:lightRig rig="soft" dir="t">
              <a:rot lat="0" lon="0" rev="0"/>
            </a:lightRig>
          </a:scene3d>
          <a:sp3d contourW="2540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a:solidFill>
                  <a:schemeClr val="bg1"/>
                </a:solidFill>
                <a:latin typeface="Rockwell Light" panose="02040303020102020203" pitchFamily="18" charset="0"/>
              </a:rPr>
              <a:t>Instructions</a:t>
            </a:r>
          </a:p>
        </xdr:txBody>
      </xdr:sp>
      <xdr:sp macro="[0]!ToggleHideColumns" textlink="">
        <xdr:nvSpPr>
          <xdr:cNvPr id="25" name="Rectangle: Rounded Corners 19">
            <a:extLst>
              <a:ext uri="{FF2B5EF4-FFF2-40B4-BE49-F238E27FC236}">
                <a16:creationId xmlns:a16="http://schemas.microsoft.com/office/drawing/2014/main" id="{00000000-0008-0000-0E00-000019000000}"/>
              </a:ext>
            </a:extLst>
          </xdr:cNvPr>
          <xdr:cNvSpPr/>
        </xdr:nvSpPr>
        <xdr:spPr>
          <a:xfrm>
            <a:off x="206819" y="877124"/>
            <a:ext cx="2286000" cy="360001"/>
          </a:xfrm>
          <a:prstGeom prst="roundRect">
            <a:avLst/>
          </a:prstGeom>
          <a:grpFill/>
          <a:ln>
            <a:noFill/>
          </a:ln>
          <a:effectLst>
            <a:outerShdw blurRad="107950" dist="12700" dir="5400000" algn="ctr">
              <a:srgbClr val="000000"/>
            </a:outerShdw>
          </a:effectLst>
          <a:scene3d>
            <a:camera prst="orthographicFront">
              <a:rot lat="0" lon="0" rev="0"/>
            </a:camera>
            <a:lightRig rig="soft" dir="t">
              <a:rot lat="0" lon="0" rev="0"/>
            </a:lightRig>
          </a:scene3d>
          <a:sp3d contourW="2540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a:latin typeface="Rockwell Light" panose="02040303020102020203" pitchFamily="18" charset="0"/>
              </a:rPr>
              <a:t>Condense / Show Columns</a:t>
            </a:r>
          </a:p>
        </xdr:txBody>
      </xdr:sp>
    </xdr:grpSp>
    <xdr:clientData/>
  </xdr:twoCellAnchor>
</xdr:wsDr>
</file>

<file path=xl/drawings/drawing14.xml><?xml version="1.0" encoding="utf-8"?>
<xdr:wsDr xmlns:xdr="http://schemas.openxmlformats.org/drawingml/2006/spreadsheetDrawing" xmlns:a="http://schemas.openxmlformats.org/drawingml/2006/main">
  <xdr:twoCellAnchor>
    <xdr:from>
      <xdr:col>2</xdr:col>
      <xdr:colOff>180975</xdr:colOff>
      <xdr:row>4</xdr:row>
      <xdr:rowOff>81915</xdr:rowOff>
    </xdr:from>
    <xdr:to>
      <xdr:col>5</xdr:col>
      <xdr:colOff>4667250</xdr:colOff>
      <xdr:row>7</xdr:row>
      <xdr:rowOff>145041</xdr:rowOff>
    </xdr:to>
    <xdr:grpSp>
      <xdr:nvGrpSpPr>
        <xdr:cNvPr id="36" name="Group 35">
          <a:extLst>
            <a:ext uri="{FF2B5EF4-FFF2-40B4-BE49-F238E27FC236}">
              <a16:creationId xmlns:a16="http://schemas.microsoft.com/office/drawing/2014/main" id="{00000000-0008-0000-0F00-000024000000}"/>
            </a:ext>
          </a:extLst>
        </xdr:cNvPr>
        <xdr:cNvGrpSpPr/>
      </xdr:nvGrpSpPr>
      <xdr:grpSpPr>
        <a:xfrm>
          <a:off x="0" y="941070"/>
          <a:ext cx="6901815" cy="785597"/>
          <a:chOff x="205740" y="877124"/>
          <a:chExt cx="4701455" cy="771786"/>
        </a:xfrm>
        <a:solidFill>
          <a:schemeClr val="accent1"/>
        </a:solidFill>
      </xdr:grpSpPr>
      <xdr:sp macro="[0]!ToggleHideRows" textlink="">
        <xdr:nvSpPr>
          <xdr:cNvPr id="37" name="Rectangle: Rounded Corners 19">
            <a:extLst>
              <a:ext uri="{FF2B5EF4-FFF2-40B4-BE49-F238E27FC236}">
                <a16:creationId xmlns:a16="http://schemas.microsoft.com/office/drawing/2014/main" id="{00000000-0008-0000-0F00-000025000000}"/>
              </a:ext>
            </a:extLst>
          </xdr:cNvPr>
          <xdr:cNvSpPr/>
        </xdr:nvSpPr>
        <xdr:spPr>
          <a:xfrm>
            <a:off x="2620817" y="883920"/>
            <a:ext cx="2286000" cy="360001"/>
          </a:xfrm>
          <a:prstGeom prst="roundRect">
            <a:avLst/>
          </a:prstGeom>
          <a:grp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a:latin typeface="Rockwell Light" panose="02040303020102020203" pitchFamily="18" charset="0"/>
              </a:rPr>
              <a:t>Condense / Show Rows</a:t>
            </a:r>
          </a:p>
        </xdr:txBody>
      </xdr:sp>
      <xdr:sp macro="[0]!ActivateSelectWorksheet" textlink="">
        <xdr:nvSpPr>
          <xdr:cNvPr id="38" name="Rounded Rectangle 37">
            <a:extLst>
              <a:ext uri="{FF2B5EF4-FFF2-40B4-BE49-F238E27FC236}">
                <a16:creationId xmlns:a16="http://schemas.microsoft.com/office/drawing/2014/main" id="{00000000-0008-0000-0F00-000026000000}"/>
              </a:ext>
            </a:extLst>
          </xdr:cNvPr>
          <xdr:cNvSpPr/>
        </xdr:nvSpPr>
        <xdr:spPr>
          <a:xfrm>
            <a:off x="205740" y="1347548"/>
            <a:ext cx="2286000" cy="288000"/>
          </a:xfrm>
          <a:prstGeom prst="roundRect">
            <a:avLst/>
          </a:prstGeom>
          <a:grp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baseline="0">
                <a:solidFill>
                  <a:schemeClr val="bg1"/>
                </a:solidFill>
                <a:latin typeface="Rockwell Light" panose="02040303020102020203" pitchFamily="18" charset="0"/>
              </a:rPr>
              <a:t>Main M</a:t>
            </a:r>
            <a:r>
              <a:rPr lang="en-GB" sz="1200">
                <a:solidFill>
                  <a:schemeClr val="bg1"/>
                </a:solidFill>
                <a:latin typeface="Rockwell Light" panose="02040303020102020203" pitchFamily="18" charset="0"/>
              </a:rPr>
              <a:t>enu </a:t>
            </a:r>
          </a:p>
        </xdr:txBody>
      </xdr:sp>
      <xdr:sp macro="[0]!ActivateInstructions" textlink="">
        <xdr:nvSpPr>
          <xdr:cNvPr id="39" name="Rounded Rectangle 38">
            <a:extLst>
              <a:ext uri="{FF2B5EF4-FFF2-40B4-BE49-F238E27FC236}">
                <a16:creationId xmlns:a16="http://schemas.microsoft.com/office/drawing/2014/main" id="{00000000-0008-0000-0F00-000027000000}"/>
              </a:ext>
            </a:extLst>
          </xdr:cNvPr>
          <xdr:cNvSpPr/>
        </xdr:nvSpPr>
        <xdr:spPr>
          <a:xfrm>
            <a:off x="2621195" y="1360910"/>
            <a:ext cx="2286000" cy="288000"/>
          </a:xfrm>
          <a:prstGeom prst="roundRect">
            <a:avLst/>
          </a:prstGeom>
          <a:grp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a:solidFill>
                  <a:schemeClr val="bg1"/>
                </a:solidFill>
                <a:latin typeface="Rockwell Light" panose="02040303020102020203" pitchFamily="18" charset="0"/>
              </a:rPr>
              <a:t>Instructions</a:t>
            </a:r>
          </a:p>
        </xdr:txBody>
      </xdr:sp>
      <xdr:sp macro="[0]!ToggleHideColumns" textlink="">
        <xdr:nvSpPr>
          <xdr:cNvPr id="40" name="Rectangle: Rounded Corners 19">
            <a:extLst>
              <a:ext uri="{FF2B5EF4-FFF2-40B4-BE49-F238E27FC236}">
                <a16:creationId xmlns:a16="http://schemas.microsoft.com/office/drawing/2014/main" id="{00000000-0008-0000-0F00-000028000000}"/>
              </a:ext>
            </a:extLst>
          </xdr:cNvPr>
          <xdr:cNvSpPr/>
        </xdr:nvSpPr>
        <xdr:spPr>
          <a:xfrm>
            <a:off x="206819" y="877124"/>
            <a:ext cx="2286000" cy="360001"/>
          </a:xfrm>
          <a:prstGeom prst="roundRect">
            <a:avLst/>
          </a:prstGeom>
          <a:grp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a:latin typeface="Rockwell Light" panose="02040303020102020203" pitchFamily="18" charset="0"/>
              </a:rPr>
              <a:t>Condense / Show Columns</a:t>
            </a:r>
          </a:p>
        </xdr:txBody>
      </xdr:sp>
    </xdr:grp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47625</xdr:colOff>
      <xdr:row>4</xdr:row>
      <xdr:rowOff>97155</xdr:rowOff>
    </xdr:from>
    <xdr:to>
      <xdr:col>4</xdr:col>
      <xdr:colOff>4714875</xdr:colOff>
      <xdr:row>6</xdr:row>
      <xdr:rowOff>99321</xdr:rowOff>
    </xdr:to>
    <xdr:grpSp>
      <xdr:nvGrpSpPr>
        <xdr:cNvPr id="34" name="Group 33">
          <a:extLst>
            <a:ext uri="{FF2B5EF4-FFF2-40B4-BE49-F238E27FC236}">
              <a16:creationId xmlns:a16="http://schemas.microsoft.com/office/drawing/2014/main" id="{00000000-0008-0000-1000-000022000000}"/>
            </a:ext>
          </a:extLst>
        </xdr:cNvPr>
        <xdr:cNvGrpSpPr/>
      </xdr:nvGrpSpPr>
      <xdr:grpSpPr>
        <a:xfrm>
          <a:off x="49530" y="1045845"/>
          <a:ext cx="6211253" cy="918947"/>
          <a:chOff x="205740" y="877124"/>
          <a:chExt cx="4701455" cy="771786"/>
        </a:xfrm>
        <a:solidFill>
          <a:schemeClr val="accent1"/>
        </a:solidFill>
      </xdr:grpSpPr>
      <xdr:sp macro="[0]!ToggleHideRows" textlink="">
        <xdr:nvSpPr>
          <xdr:cNvPr id="35" name="Rectangle: Rounded Corners 19">
            <a:extLst>
              <a:ext uri="{FF2B5EF4-FFF2-40B4-BE49-F238E27FC236}">
                <a16:creationId xmlns:a16="http://schemas.microsoft.com/office/drawing/2014/main" id="{00000000-0008-0000-1000-000023000000}"/>
              </a:ext>
            </a:extLst>
          </xdr:cNvPr>
          <xdr:cNvSpPr/>
        </xdr:nvSpPr>
        <xdr:spPr>
          <a:xfrm>
            <a:off x="2620817" y="883920"/>
            <a:ext cx="2286000" cy="360001"/>
          </a:xfrm>
          <a:prstGeom prst="roundRect">
            <a:avLst/>
          </a:prstGeom>
          <a:grp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a:latin typeface="Rockwell Light" panose="02040303020102020203" pitchFamily="18" charset="0"/>
              </a:rPr>
              <a:t>Condense / Show Rows</a:t>
            </a:r>
          </a:p>
        </xdr:txBody>
      </xdr:sp>
      <xdr:sp macro="[0]!ActivateSelectWorksheet" textlink="">
        <xdr:nvSpPr>
          <xdr:cNvPr id="36" name="Rounded Rectangle 35">
            <a:extLst>
              <a:ext uri="{FF2B5EF4-FFF2-40B4-BE49-F238E27FC236}">
                <a16:creationId xmlns:a16="http://schemas.microsoft.com/office/drawing/2014/main" id="{00000000-0008-0000-1000-000024000000}"/>
              </a:ext>
            </a:extLst>
          </xdr:cNvPr>
          <xdr:cNvSpPr/>
        </xdr:nvSpPr>
        <xdr:spPr>
          <a:xfrm>
            <a:off x="205740" y="1347548"/>
            <a:ext cx="2286000" cy="288000"/>
          </a:xfrm>
          <a:prstGeom prst="roundRect">
            <a:avLst/>
          </a:prstGeom>
          <a:grp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baseline="0">
                <a:solidFill>
                  <a:schemeClr val="bg1"/>
                </a:solidFill>
                <a:latin typeface="Rockwell Light" panose="02040303020102020203" pitchFamily="18" charset="0"/>
              </a:rPr>
              <a:t>Main M</a:t>
            </a:r>
            <a:r>
              <a:rPr lang="en-GB" sz="1200">
                <a:solidFill>
                  <a:schemeClr val="bg1"/>
                </a:solidFill>
                <a:latin typeface="Rockwell Light" panose="02040303020102020203" pitchFamily="18" charset="0"/>
              </a:rPr>
              <a:t>enu </a:t>
            </a:r>
          </a:p>
        </xdr:txBody>
      </xdr:sp>
      <xdr:sp macro="[0]!ActivateInstructions" textlink="">
        <xdr:nvSpPr>
          <xdr:cNvPr id="37" name="Rounded Rectangle 36">
            <a:extLst>
              <a:ext uri="{FF2B5EF4-FFF2-40B4-BE49-F238E27FC236}">
                <a16:creationId xmlns:a16="http://schemas.microsoft.com/office/drawing/2014/main" id="{00000000-0008-0000-1000-000025000000}"/>
              </a:ext>
            </a:extLst>
          </xdr:cNvPr>
          <xdr:cNvSpPr/>
        </xdr:nvSpPr>
        <xdr:spPr>
          <a:xfrm>
            <a:off x="2621195" y="1360910"/>
            <a:ext cx="2286000" cy="288000"/>
          </a:xfrm>
          <a:prstGeom prst="roundRect">
            <a:avLst/>
          </a:prstGeom>
          <a:grp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a:solidFill>
                  <a:schemeClr val="bg1"/>
                </a:solidFill>
                <a:latin typeface="Rockwell Light" panose="02040303020102020203" pitchFamily="18" charset="0"/>
              </a:rPr>
              <a:t>Instructions</a:t>
            </a:r>
          </a:p>
        </xdr:txBody>
      </xdr:sp>
      <xdr:sp macro="[0]!ToggleHideColumns" textlink="">
        <xdr:nvSpPr>
          <xdr:cNvPr id="38" name="Rectangle: Rounded Corners 19">
            <a:extLst>
              <a:ext uri="{FF2B5EF4-FFF2-40B4-BE49-F238E27FC236}">
                <a16:creationId xmlns:a16="http://schemas.microsoft.com/office/drawing/2014/main" id="{00000000-0008-0000-1000-000026000000}"/>
              </a:ext>
            </a:extLst>
          </xdr:cNvPr>
          <xdr:cNvSpPr/>
        </xdr:nvSpPr>
        <xdr:spPr>
          <a:xfrm>
            <a:off x="206819" y="877124"/>
            <a:ext cx="2286000" cy="360001"/>
          </a:xfrm>
          <a:prstGeom prst="roundRect">
            <a:avLst/>
          </a:prstGeom>
          <a:grp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a:latin typeface="Rockwell Light" panose="02040303020102020203" pitchFamily="18" charset="0"/>
              </a:rPr>
              <a:t>Condense / Show Columns</a:t>
            </a:r>
          </a:p>
        </xdr:txBody>
      </xdr:sp>
    </xdr:grpSp>
    <xdr:clientData/>
  </xdr:twoCellAnchor>
</xdr:wsDr>
</file>

<file path=xl/drawings/drawing16.xml><?xml version="1.0" encoding="utf-8"?>
<xdr:wsDr xmlns:xdr="http://schemas.openxmlformats.org/drawingml/2006/spreadsheetDrawing" xmlns:a="http://schemas.openxmlformats.org/drawingml/2006/main">
  <xdr:twoCellAnchor>
    <xdr:from>
      <xdr:col>4</xdr:col>
      <xdr:colOff>1270</xdr:colOff>
      <xdr:row>4</xdr:row>
      <xdr:rowOff>83819</xdr:rowOff>
    </xdr:from>
    <xdr:to>
      <xdr:col>6</xdr:col>
      <xdr:colOff>0</xdr:colOff>
      <xdr:row>8</xdr:row>
      <xdr:rowOff>93606</xdr:rowOff>
    </xdr:to>
    <xdr:grpSp>
      <xdr:nvGrpSpPr>
        <xdr:cNvPr id="31" name="Group 30">
          <a:extLst>
            <a:ext uri="{FF2B5EF4-FFF2-40B4-BE49-F238E27FC236}">
              <a16:creationId xmlns:a16="http://schemas.microsoft.com/office/drawing/2014/main" id="{00000000-0008-0000-1100-00001F000000}"/>
            </a:ext>
          </a:extLst>
        </xdr:cNvPr>
        <xdr:cNvGrpSpPr/>
      </xdr:nvGrpSpPr>
      <xdr:grpSpPr>
        <a:xfrm>
          <a:off x="1270" y="942974"/>
          <a:ext cx="5868511" cy="749880"/>
          <a:chOff x="205740" y="877123"/>
          <a:chExt cx="4701455" cy="771787"/>
        </a:xfrm>
        <a:solidFill>
          <a:schemeClr val="accent1"/>
        </a:solidFill>
      </xdr:grpSpPr>
      <xdr:sp macro="[0]!ToggleHideRows" textlink="">
        <xdr:nvSpPr>
          <xdr:cNvPr id="32" name="Rectangle: Rounded Corners 19">
            <a:extLst>
              <a:ext uri="{FF2B5EF4-FFF2-40B4-BE49-F238E27FC236}">
                <a16:creationId xmlns:a16="http://schemas.microsoft.com/office/drawing/2014/main" id="{00000000-0008-0000-1100-000020000000}"/>
              </a:ext>
            </a:extLst>
          </xdr:cNvPr>
          <xdr:cNvSpPr/>
        </xdr:nvSpPr>
        <xdr:spPr>
          <a:xfrm>
            <a:off x="2620817" y="883920"/>
            <a:ext cx="2286000" cy="360001"/>
          </a:xfrm>
          <a:prstGeom prst="roundRect">
            <a:avLst/>
          </a:prstGeom>
          <a:grp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a:latin typeface="Rockwell Light" panose="02040303020102020203" pitchFamily="18" charset="0"/>
              </a:rPr>
              <a:t>Condense / Show Rows</a:t>
            </a:r>
          </a:p>
        </xdr:txBody>
      </xdr:sp>
      <xdr:sp macro="[0]!ActivateSelectWorksheet" textlink="">
        <xdr:nvSpPr>
          <xdr:cNvPr id="33" name="Rounded Rectangle 32">
            <a:extLst>
              <a:ext uri="{FF2B5EF4-FFF2-40B4-BE49-F238E27FC236}">
                <a16:creationId xmlns:a16="http://schemas.microsoft.com/office/drawing/2014/main" id="{00000000-0008-0000-1100-000021000000}"/>
              </a:ext>
            </a:extLst>
          </xdr:cNvPr>
          <xdr:cNvSpPr/>
        </xdr:nvSpPr>
        <xdr:spPr>
          <a:xfrm>
            <a:off x="205740" y="1347548"/>
            <a:ext cx="2286000" cy="288000"/>
          </a:xfrm>
          <a:prstGeom prst="roundRect">
            <a:avLst/>
          </a:prstGeom>
          <a:grp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baseline="0">
                <a:solidFill>
                  <a:schemeClr val="bg1"/>
                </a:solidFill>
                <a:latin typeface="Rockwell Light" panose="02040303020102020203" pitchFamily="18" charset="0"/>
              </a:rPr>
              <a:t>Main M</a:t>
            </a:r>
            <a:r>
              <a:rPr lang="en-GB" sz="1200">
                <a:solidFill>
                  <a:schemeClr val="bg1"/>
                </a:solidFill>
                <a:latin typeface="Rockwell Light" panose="02040303020102020203" pitchFamily="18" charset="0"/>
              </a:rPr>
              <a:t>enu </a:t>
            </a:r>
          </a:p>
        </xdr:txBody>
      </xdr:sp>
      <xdr:sp macro="[0]!ActivateInstructions" textlink="">
        <xdr:nvSpPr>
          <xdr:cNvPr id="34" name="Rounded Rectangle 33">
            <a:extLst>
              <a:ext uri="{FF2B5EF4-FFF2-40B4-BE49-F238E27FC236}">
                <a16:creationId xmlns:a16="http://schemas.microsoft.com/office/drawing/2014/main" id="{00000000-0008-0000-1100-000022000000}"/>
              </a:ext>
            </a:extLst>
          </xdr:cNvPr>
          <xdr:cNvSpPr/>
        </xdr:nvSpPr>
        <xdr:spPr>
          <a:xfrm>
            <a:off x="2621195" y="1360910"/>
            <a:ext cx="2286000" cy="288000"/>
          </a:xfrm>
          <a:prstGeom prst="roundRect">
            <a:avLst/>
          </a:prstGeom>
          <a:grp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a:solidFill>
                  <a:schemeClr val="bg1"/>
                </a:solidFill>
                <a:latin typeface="Rockwell Light" panose="02040303020102020203" pitchFamily="18" charset="0"/>
              </a:rPr>
              <a:t>Instructions</a:t>
            </a:r>
          </a:p>
        </xdr:txBody>
      </xdr:sp>
      <xdr:sp macro="[0]!ToggleHideColumns" textlink="">
        <xdr:nvSpPr>
          <xdr:cNvPr id="41" name="Rectangle: Rounded Corners 19">
            <a:extLst>
              <a:ext uri="{FF2B5EF4-FFF2-40B4-BE49-F238E27FC236}">
                <a16:creationId xmlns:a16="http://schemas.microsoft.com/office/drawing/2014/main" id="{00000000-0008-0000-1100-000029000000}"/>
              </a:ext>
            </a:extLst>
          </xdr:cNvPr>
          <xdr:cNvSpPr/>
        </xdr:nvSpPr>
        <xdr:spPr>
          <a:xfrm>
            <a:off x="206819" y="877123"/>
            <a:ext cx="2286000" cy="360000"/>
          </a:xfrm>
          <a:prstGeom prst="roundRect">
            <a:avLst/>
          </a:prstGeom>
          <a:grp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a:latin typeface="Rockwell Light" panose="02040303020102020203" pitchFamily="18" charset="0"/>
              </a:rPr>
              <a:t>Condense / Show Columns</a:t>
            </a:r>
          </a:p>
        </xdr:txBody>
      </xdr:sp>
    </xdr:grpSp>
    <xdr:clientData/>
  </xdr:twoCellAnchor>
</xdr:wsDr>
</file>

<file path=xl/drawings/drawing17.xml><?xml version="1.0" encoding="utf-8"?>
<xdr:wsDr xmlns:xdr="http://schemas.openxmlformats.org/drawingml/2006/spreadsheetDrawing" xmlns:a="http://schemas.openxmlformats.org/drawingml/2006/main">
  <xdr:twoCellAnchor>
    <xdr:from>
      <xdr:col>0</xdr:col>
      <xdr:colOff>198120</xdr:colOff>
      <xdr:row>4</xdr:row>
      <xdr:rowOff>91440</xdr:rowOff>
    </xdr:from>
    <xdr:to>
      <xdr:col>3</xdr:col>
      <xdr:colOff>3756660</xdr:colOff>
      <xdr:row>6</xdr:row>
      <xdr:rowOff>406026</xdr:rowOff>
    </xdr:to>
    <xdr:grpSp>
      <xdr:nvGrpSpPr>
        <xdr:cNvPr id="11" name="Group 10">
          <a:extLst>
            <a:ext uri="{FF2B5EF4-FFF2-40B4-BE49-F238E27FC236}">
              <a16:creationId xmlns:a16="http://schemas.microsoft.com/office/drawing/2014/main" id="{00000000-0008-0000-1200-00000B000000}"/>
            </a:ext>
          </a:extLst>
        </xdr:cNvPr>
        <xdr:cNvGrpSpPr/>
      </xdr:nvGrpSpPr>
      <xdr:grpSpPr>
        <a:xfrm>
          <a:off x="198120" y="853440"/>
          <a:ext cx="5454015" cy="446031"/>
          <a:chOff x="205740" y="877124"/>
          <a:chExt cx="4701455" cy="771786"/>
        </a:xfrm>
        <a:solidFill>
          <a:schemeClr val="accent1"/>
        </a:solidFill>
      </xdr:grpSpPr>
      <xdr:sp macro="[0]!ToggleHideRows" textlink="">
        <xdr:nvSpPr>
          <xdr:cNvPr id="12" name="Rectangle: Rounded Corners 19">
            <a:extLst>
              <a:ext uri="{FF2B5EF4-FFF2-40B4-BE49-F238E27FC236}">
                <a16:creationId xmlns:a16="http://schemas.microsoft.com/office/drawing/2014/main" id="{00000000-0008-0000-1200-00000C000000}"/>
              </a:ext>
            </a:extLst>
          </xdr:cNvPr>
          <xdr:cNvSpPr/>
        </xdr:nvSpPr>
        <xdr:spPr>
          <a:xfrm>
            <a:off x="2620817" y="883920"/>
            <a:ext cx="2286000" cy="360001"/>
          </a:xfrm>
          <a:prstGeom prst="roundRect">
            <a:avLst/>
          </a:prstGeom>
          <a:grp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a:latin typeface="Rockwell Light" panose="02040303020102020203" pitchFamily="18" charset="0"/>
              </a:rPr>
              <a:t>Condense / Show Rows</a:t>
            </a:r>
          </a:p>
        </xdr:txBody>
      </xdr:sp>
      <xdr:sp macro="[0]!ActivateSelectWorksheet" textlink="">
        <xdr:nvSpPr>
          <xdr:cNvPr id="13" name="Rounded Rectangle 12">
            <a:extLst>
              <a:ext uri="{FF2B5EF4-FFF2-40B4-BE49-F238E27FC236}">
                <a16:creationId xmlns:a16="http://schemas.microsoft.com/office/drawing/2014/main" id="{00000000-0008-0000-1200-00000D000000}"/>
              </a:ext>
            </a:extLst>
          </xdr:cNvPr>
          <xdr:cNvSpPr/>
        </xdr:nvSpPr>
        <xdr:spPr>
          <a:xfrm>
            <a:off x="205740" y="1347548"/>
            <a:ext cx="2286000" cy="288000"/>
          </a:xfrm>
          <a:prstGeom prst="roundRect">
            <a:avLst/>
          </a:prstGeom>
          <a:grp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baseline="0">
                <a:solidFill>
                  <a:schemeClr val="bg1"/>
                </a:solidFill>
                <a:latin typeface="Rockwell Light" panose="02040303020102020203" pitchFamily="18" charset="0"/>
              </a:rPr>
              <a:t>Main M</a:t>
            </a:r>
            <a:r>
              <a:rPr lang="en-GB" sz="1200">
                <a:solidFill>
                  <a:schemeClr val="bg1"/>
                </a:solidFill>
                <a:latin typeface="Rockwell Light" panose="02040303020102020203" pitchFamily="18" charset="0"/>
              </a:rPr>
              <a:t>enu </a:t>
            </a:r>
          </a:p>
        </xdr:txBody>
      </xdr:sp>
      <xdr:sp macro="[0]!ActivateInstructions" textlink="">
        <xdr:nvSpPr>
          <xdr:cNvPr id="14" name="Rounded Rectangle 13">
            <a:extLst>
              <a:ext uri="{FF2B5EF4-FFF2-40B4-BE49-F238E27FC236}">
                <a16:creationId xmlns:a16="http://schemas.microsoft.com/office/drawing/2014/main" id="{00000000-0008-0000-1200-00000E000000}"/>
              </a:ext>
            </a:extLst>
          </xdr:cNvPr>
          <xdr:cNvSpPr/>
        </xdr:nvSpPr>
        <xdr:spPr>
          <a:xfrm>
            <a:off x="2621195" y="1360910"/>
            <a:ext cx="2286000" cy="288000"/>
          </a:xfrm>
          <a:prstGeom prst="roundRect">
            <a:avLst/>
          </a:prstGeom>
          <a:grp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a:solidFill>
                  <a:schemeClr val="bg1"/>
                </a:solidFill>
                <a:latin typeface="Rockwell Light" panose="02040303020102020203" pitchFamily="18" charset="0"/>
              </a:rPr>
              <a:t>Instructions</a:t>
            </a:r>
          </a:p>
        </xdr:txBody>
      </xdr:sp>
      <xdr:sp macro="[0]!ToggleHideColumns" textlink="">
        <xdr:nvSpPr>
          <xdr:cNvPr id="15" name="Rectangle: Rounded Corners 19">
            <a:extLst>
              <a:ext uri="{FF2B5EF4-FFF2-40B4-BE49-F238E27FC236}">
                <a16:creationId xmlns:a16="http://schemas.microsoft.com/office/drawing/2014/main" id="{00000000-0008-0000-1200-00000F000000}"/>
              </a:ext>
            </a:extLst>
          </xdr:cNvPr>
          <xdr:cNvSpPr/>
        </xdr:nvSpPr>
        <xdr:spPr>
          <a:xfrm>
            <a:off x="206819" y="877124"/>
            <a:ext cx="2286000" cy="360001"/>
          </a:xfrm>
          <a:prstGeom prst="roundRect">
            <a:avLst/>
          </a:prstGeom>
          <a:grp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a:latin typeface="Rockwell Light" panose="02040303020102020203" pitchFamily="18" charset="0"/>
              </a:rPr>
              <a:t>Condense / Show Columns</a:t>
            </a:r>
          </a:p>
        </xdr:txBody>
      </xdr:sp>
    </xdr:grpSp>
    <xdr:clientData/>
  </xdr:twoCellAnchor>
</xdr:wsDr>
</file>

<file path=xl/drawings/drawing18.xml><?xml version="1.0" encoding="utf-8"?>
<xdr:wsDr xmlns:xdr="http://schemas.openxmlformats.org/drawingml/2006/spreadsheetDrawing" xmlns:a="http://schemas.openxmlformats.org/drawingml/2006/main">
  <xdr:twoCellAnchor>
    <xdr:from>
      <xdr:col>0</xdr:col>
      <xdr:colOff>182881</xdr:colOff>
      <xdr:row>4</xdr:row>
      <xdr:rowOff>99060</xdr:rowOff>
    </xdr:from>
    <xdr:to>
      <xdr:col>4</xdr:col>
      <xdr:colOff>53340</xdr:colOff>
      <xdr:row>8</xdr:row>
      <xdr:rowOff>85986</xdr:rowOff>
    </xdr:to>
    <xdr:grpSp>
      <xdr:nvGrpSpPr>
        <xdr:cNvPr id="11" name="Group 10">
          <a:extLst>
            <a:ext uri="{FF2B5EF4-FFF2-40B4-BE49-F238E27FC236}">
              <a16:creationId xmlns:a16="http://schemas.microsoft.com/office/drawing/2014/main" id="{00000000-0008-0000-1300-00000B000000}"/>
            </a:ext>
          </a:extLst>
        </xdr:cNvPr>
        <xdr:cNvGrpSpPr/>
      </xdr:nvGrpSpPr>
      <xdr:grpSpPr>
        <a:xfrm>
          <a:off x="182881" y="965835"/>
          <a:ext cx="6061709" cy="758451"/>
          <a:chOff x="205740" y="877124"/>
          <a:chExt cx="4701455" cy="771786"/>
        </a:xfrm>
        <a:solidFill>
          <a:schemeClr val="accent1"/>
        </a:solidFill>
      </xdr:grpSpPr>
      <xdr:sp macro="[0]!ToggleHideRows" textlink="">
        <xdr:nvSpPr>
          <xdr:cNvPr id="12" name="Rectangle: Rounded Corners 19">
            <a:extLst>
              <a:ext uri="{FF2B5EF4-FFF2-40B4-BE49-F238E27FC236}">
                <a16:creationId xmlns:a16="http://schemas.microsoft.com/office/drawing/2014/main" id="{00000000-0008-0000-1300-00000C000000}"/>
              </a:ext>
            </a:extLst>
          </xdr:cNvPr>
          <xdr:cNvSpPr/>
        </xdr:nvSpPr>
        <xdr:spPr>
          <a:xfrm>
            <a:off x="2620817" y="883920"/>
            <a:ext cx="2286000" cy="360001"/>
          </a:xfrm>
          <a:prstGeom prst="roundRect">
            <a:avLst/>
          </a:prstGeom>
          <a:grp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a:latin typeface="Rockwell Light" panose="02040303020102020203" pitchFamily="18" charset="0"/>
              </a:rPr>
              <a:t>Condense / Show Rows</a:t>
            </a:r>
          </a:p>
        </xdr:txBody>
      </xdr:sp>
      <xdr:sp macro="[0]!ActivateSelectWorksheet" textlink="">
        <xdr:nvSpPr>
          <xdr:cNvPr id="13" name="Rounded Rectangle 12">
            <a:extLst>
              <a:ext uri="{FF2B5EF4-FFF2-40B4-BE49-F238E27FC236}">
                <a16:creationId xmlns:a16="http://schemas.microsoft.com/office/drawing/2014/main" id="{00000000-0008-0000-1300-00000D000000}"/>
              </a:ext>
            </a:extLst>
          </xdr:cNvPr>
          <xdr:cNvSpPr/>
        </xdr:nvSpPr>
        <xdr:spPr>
          <a:xfrm>
            <a:off x="205740" y="1347548"/>
            <a:ext cx="2286000" cy="288000"/>
          </a:xfrm>
          <a:prstGeom prst="roundRect">
            <a:avLst/>
          </a:prstGeom>
          <a:grp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baseline="0">
                <a:solidFill>
                  <a:schemeClr val="bg1"/>
                </a:solidFill>
                <a:latin typeface="Rockwell Light" panose="02040303020102020203" pitchFamily="18" charset="0"/>
              </a:rPr>
              <a:t>Main M</a:t>
            </a:r>
            <a:r>
              <a:rPr lang="en-GB" sz="1200">
                <a:solidFill>
                  <a:schemeClr val="bg1"/>
                </a:solidFill>
                <a:latin typeface="Rockwell Light" panose="02040303020102020203" pitchFamily="18" charset="0"/>
              </a:rPr>
              <a:t>enu </a:t>
            </a:r>
          </a:p>
        </xdr:txBody>
      </xdr:sp>
      <xdr:sp macro="[0]!ActivateInstructions" textlink="">
        <xdr:nvSpPr>
          <xdr:cNvPr id="14" name="Rounded Rectangle 13">
            <a:extLst>
              <a:ext uri="{FF2B5EF4-FFF2-40B4-BE49-F238E27FC236}">
                <a16:creationId xmlns:a16="http://schemas.microsoft.com/office/drawing/2014/main" id="{00000000-0008-0000-1300-00000E000000}"/>
              </a:ext>
            </a:extLst>
          </xdr:cNvPr>
          <xdr:cNvSpPr/>
        </xdr:nvSpPr>
        <xdr:spPr>
          <a:xfrm>
            <a:off x="2621195" y="1360910"/>
            <a:ext cx="2286000" cy="288000"/>
          </a:xfrm>
          <a:prstGeom prst="roundRect">
            <a:avLst/>
          </a:prstGeom>
          <a:grp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a:solidFill>
                  <a:schemeClr val="bg1"/>
                </a:solidFill>
                <a:latin typeface="Rockwell Light" panose="02040303020102020203" pitchFamily="18" charset="0"/>
              </a:rPr>
              <a:t>Instructions</a:t>
            </a:r>
          </a:p>
        </xdr:txBody>
      </xdr:sp>
      <xdr:sp macro="[0]!ToggleHideColumns" textlink="">
        <xdr:nvSpPr>
          <xdr:cNvPr id="15" name="Rectangle: Rounded Corners 19">
            <a:extLst>
              <a:ext uri="{FF2B5EF4-FFF2-40B4-BE49-F238E27FC236}">
                <a16:creationId xmlns:a16="http://schemas.microsoft.com/office/drawing/2014/main" id="{00000000-0008-0000-1300-00000F000000}"/>
              </a:ext>
            </a:extLst>
          </xdr:cNvPr>
          <xdr:cNvSpPr/>
        </xdr:nvSpPr>
        <xdr:spPr>
          <a:xfrm>
            <a:off x="206819" y="877124"/>
            <a:ext cx="2286000" cy="360001"/>
          </a:xfrm>
          <a:prstGeom prst="roundRect">
            <a:avLst/>
          </a:prstGeom>
          <a:grp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a:latin typeface="Rockwell Light" panose="02040303020102020203" pitchFamily="18" charset="0"/>
              </a:rPr>
              <a:t>Condense / Show Columns</a:t>
            </a:r>
          </a:p>
        </xdr:txBody>
      </xdr:sp>
    </xdr:grpSp>
    <xdr:clientData/>
  </xdr:twoCellAnchor>
</xdr:wsDr>
</file>

<file path=xl/drawings/drawing19.xml><?xml version="1.0" encoding="utf-8"?>
<xdr:wsDr xmlns:xdr="http://schemas.openxmlformats.org/drawingml/2006/spreadsheetDrawing" xmlns:a="http://schemas.openxmlformats.org/drawingml/2006/main">
  <xdr:twoCellAnchor>
    <xdr:from>
      <xdr:col>1</xdr:col>
      <xdr:colOff>9525</xdr:colOff>
      <xdr:row>4</xdr:row>
      <xdr:rowOff>89535</xdr:rowOff>
    </xdr:from>
    <xdr:to>
      <xdr:col>4</xdr:col>
      <xdr:colOff>32384</xdr:colOff>
      <xdr:row>8</xdr:row>
      <xdr:rowOff>30741</xdr:rowOff>
    </xdr:to>
    <xdr:grpSp>
      <xdr:nvGrpSpPr>
        <xdr:cNvPr id="7" name="Group 6">
          <a:extLst>
            <a:ext uri="{FF2B5EF4-FFF2-40B4-BE49-F238E27FC236}">
              <a16:creationId xmlns:a16="http://schemas.microsoft.com/office/drawing/2014/main" id="{00000000-0008-0000-1400-000007000000}"/>
            </a:ext>
          </a:extLst>
        </xdr:cNvPr>
        <xdr:cNvGrpSpPr/>
      </xdr:nvGrpSpPr>
      <xdr:grpSpPr>
        <a:xfrm>
          <a:off x="201930" y="1010126"/>
          <a:ext cx="4972049" cy="757023"/>
          <a:chOff x="205740" y="877124"/>
          <a:chExt cx="4701455" cy="771786"/>
        </a:xfrm>
        <a:solidFill>
          <a:schemeClr val="accent1"/>
        </a:solidFill>
      </xdr:grpSpPr>
      <xdr:sp macro="[0]!ToggleHideRows" textlink="">
        <xdr:nvSpPr>
          <xdr:cNvPr id="8" name="Rectangle: Rounded Corners 19">
            <a:extLst>
              <a:ext uri="{FF2B5EF4-FFF2-40B4-BE49-F238E27FC236}">
                <a16:creationId xmlns:a16="http://schemas.microsoft.com/office/drawing/2014/main" id="{00000000-0008-0000-1400-000008000000}"/>
              </a:ext>
            </a:extLst>
          </xdr:cNvPr>
          <xdr:cNvSpPr/>
        </xdr:nvSpPr>
        <xdr:spPr>
          <a:xfrm>
            <a:off x="2620817" y="883920"/>
            <a:ext cx="2286000" cy="360001"/>
          </a:xfrm>
          <a:prstGeom prst="roundRect">
            <a:avLst/>
          </a:prstGeom>
          <a:grp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a:latin typeface="Rockwell Light" panose="02040303020102020203" pitchFamily="18" charset="0"/>
              </a:rPr>
              <a:t>Condense / Show Rows</a:t>
            </a:r>
          </a:p>
        </xdr:txBody>
      </xdr:sp>
      <xdr:sp macro="[0]!ActivateSelectWorksheet" textlink="">
        <xdr:nvSpPr>
          <xdr:cNvPr id="9" name="Rounded Rectangle 8">
            <a:extLst>
              <a:ext uri="{FF2B5EF4-FFF2-40B4-BE49-F238E27FC236}">
                <a16:creationId xmlns:a16="http://schemas.microsoft.com/office/drawing/2014/main" id="{00000000-0008-0000-1400-000009000000}"/>
              </a:ext>
            </a:extLst>
          </xdr:cNvPr>
          <xdr:cNvSpPr/>
        </xdr:nvSpPr>
        <xdr:spPr>
          <a:xfrm>
            <a:off x="205740" y="1347548"/>
            <a:ext cx="2286000" cy="288000"/>
          </a:xfrm>
          <a:prstGeom prst="roundRect">
            <a:avLst/>
          </a:prstGeom>
          <a:grp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baseline="0">
                <a:solidFill>
                  <a:schemeClr val="bg1"/>
                </a:solidFill>
                <a:latin typeface="Rockwell Light" panose="02040303020102020203" pitchFamily="18" charset="0"/>
              </a:rPr>
              <a:t>Main M</a:t>
            </a:r>
            <a:r>
              <a:rPr lang="en-GB" sz="1200">
                <a:solidFill>
                  <a:schemeClr val="bg1"/>
                </a:solidFill>
                <a:latin typeface="Rockwell Light" panose="02040303020102020203" pitchFamily="18" charset="0"/>
              </a:rPr>
              <a:t>enu </a:t>
            </a:r>
          </a:p>
        </xdr:txBody>
      </xdr:sp>
      <xdr:sp macro="[0]!ActivateInstructions" textlink="">
        <xdr:nvSpPr>
          <xdr:cNvPr id="10" name="Rounded Rectangle 9">
            <a:extLst>
              <a:ext uri="{FF2B5EF4-FFF2-40B4-BE49-F238E27FC236}">
                <a16:creationId xmlns:a16="http://schemas.microsoft.com/office/drawing/2014/main" id="{00000000-0008-0000-1400-00000A000000}"/>
              </a:ext>
            </a:extLst>
          </xdr:cNvPr>
          <xdr:cNvSpPr/>
        </xdr:nvSpPr>
        <xdr:spPr>
          <a:xfrm>
            <a:off x="2621195" y="1360910"/>
            <a:ext cx="2286000" cy="288000"/>
          </a:xfrm>
          <a:prstGeom prst="roundRect">
            <a:avLst/>
          </a:prstGeom>
          <a:grp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a:solidFill>
                  <a:schemeClr val="bg1"/>
                </a:solidFill>
                <a:latin typeface="Rockwell Light" panose="02040303020102020203" pitchFamily="18" charset="0"/>
              </a:rPr>
              <a:t>Instructions</a:t>
            </a:r>
          </a:p>
        </xdr:txBody>
      </xdr:sp>
      <xdr:sp macro="[0]!ToggleHideColumns" textlink="">
        <xdr:nvSpPr>
          <xdr:cNvPr id="16" name="Rectangle: Rounded Corners 19">
            <a:extLst>
              <a:ext uri="{FF2B5EF4-FFF2-40B4-BE49-F238E27FC236}">
                <a16:creationId xmlns:a16="http://schemas.microsoft.com/office/drawing/2014/main" id="{00000000-0008-0000-1400-000010000000}"/>
              </a:ext>
            </a:extLst>
          </xdr:cNvPr>
          <xdr:cNvSpPr/>
        </xdr:nvSpPr>
        <xdr:spPr>
          <a:xfrm>
            <a:off x="206819" y="877124"/>
            <a:ext cx="2286000" cy="360001"/>
          </a:xfrm>
          <a:prstGeom prst="roundRect">
            <a:avLst/>
          </a:prstGeom>
          <a:grp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a:latin typeface="Rockwell Light" panose="02040303020102020203" pitchFamily="18" charset="0"/>
              </a:rPr>
              <a:t>Condense / Show Columns</a:t>
            </a:r>
          </a:p>
        </xdr:txBody>
      </xdr:sp>
    </xdr:grp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0</xdr:colOff>
      <xdr:row>55</xdr:row>
      <xdr:rowOff>95250</xdr:rowOff>
    </xdr:from>
    <xdr:to>
      <xdr:col>7</xdr:col>
      <xdr:colOff>31750</xdr:colOff>
      <xdr:row>64</xdr:row>
      <xdr:rowOff>577849</xdr:rowOff>
    </xdr:to>
    <xdr:sp macro="" textlink="">
      <xdr:nvSpPr>
        <xdr:cNvPr id="21" name="TextBox 20">
          <a:extLst>
            <a:ext uri="{FF2B5EF4-FFF2-40B4-BE49-F238E27FC236}">
              <a16:creationId xmlns:a16="http://schemas.microsoft.com/office/drawing/2014/main" id="{00000000-0008-0000-0100-000015000000}"/>
            </a:ext>
          </a:extLst>
        </xdr:cNvPr>
        <xdr:cNvSpPr txBox="1"/>
      </xdr:nvSpPr>
      <xdr:spPr>
        <a:xfrm>
          <a:off x="514350" y="10712450"/>
          <a:ext cx="4800600" cy="3771899"/>
        </a:xfrm>
        <a:prstGeom prst="rect">
          <a:avLst/>
        </a:prstGeom>
        <a:solidFill>
          <a:schemeClr val="bg2"/>
        </a:solidFill>
        <a:ln w="34925" cmpd="sng">
          <a:solidFill>
            <a:schemeClr val="accent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2000">
              <a:solidFill>
                <a:schemeClr val="accent1"/>
              </a:solidFill>
              <a:latin typeface="Rockwell Light" panose="02040303020102020203" pitchFamily="18" charset="0"/>
            </a:rPr>
            <a:t>Off-site baseline map</a:t>
          </a:r>
        </a:p>
      </xdr:txBody>
    </xdr:sp>
    <xdr:clientData/>
  </xdr:twoCellAnchor>
  <xdr:twoCellAnchor>
    <xdr:from>
      <xdr:col>7</xdr:col>
      <xdr:colOff>514350</xdr:colOff>
      <xdr:row>55</xdr:row>
      <xdr:rowOff>95250</xdr:rowOff>
    </xdr:from>
    <xdr:to>
      <xdr:col>15</xdr:col>
      <xdr:colOff>6350</xdr:colOff>
      <xdr:row>64</xdr:row>
      <xdr:rowOff>577850</xdr:rowOff>
    </xdr:to>
    <xdr:sp macro="" textlink="">
      <xdr:nvSpPr>
        <xdr:cNvPr id="22" name="TextBox 21">
          <a:extLst>
            <a:ext uri="{FF2B5EF4-FFF2-40B4-BE49-F238E27FC236}">
              <a16:creationId xmlns:a16="http://schemas.microsoft.com/office/drawing/2014/main" id="{00000000-0008-0000-0100-000016000000}"/>
            </a:ext>
          </a:extLst>
        </xdr:cNvPr>
        <xdr:cNvSpPr txBox="1"/>
      </xdr:nvSpPr>
      <xdr:spPr>
        <a:xfrm>
          <a:off x="5797550" y="10712450"/>
          <a:ext cx="4762500" cy="3771900"/>
        </a:xfrm>
        <a:prstGeom prst="rect">
          <a:avLst/>
        </a:prstGeom>
        <a:solidFill>
          <a:schemeClr val="bg2"/>
        </a:solidFill>
        <a:ln w="34925" cmpd="sng">
          <a:solidFill>
            <a:schemeClr val="accent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2000">
              <a:solidFill>
                <a:schemeClr val="accent1"/>
              </a:solidFill>
              <a:latin typeface="Rockwell Light" panose="02040303020102020203" pitchFamily="18" charset="0"/>
            </a:rPr>
            <a:t>Off-site</a:t>
          </a:r>
          <a:r>
            <a:rPr lang="en-GB" sz="2000" baseline="0">
              <a:solidFill>
                <a:schemeClr val="accent1"/>
              </a:solidFill>
              <a:latin typeface="Rockwell Light" panose="02040303020102020203" pitchFamily="18" charset="0"/>
            </a:rPr>
            <a:t> p</a:t>
          </a:r>
          <a:r>
            <a:rPr lang="en-GB" sz="2000">
              <a:solidFill>
                <a:schemeClr val="accent1"/>
              </a:solidFill>
              <a:latin typeface="Rockwell Light" panose="02040303020102020203" pitchFamily="18" charset="0"/>
            </a:rPr>
            <a:t>ost intervention map</a:t>
          </a:r>
        </a:p>
      </xdr:txBody>
    </xdr:sp>
    <xdr:clientData/>
  </xdr:twoCellAnchor>
  <xdr:twoCellAnchor>
    <xdr:from>
      <xdr:col>7</xdr:col>
      <xdr:colOff>514349</xdr:colOff>
      <xdr:row>35</xdr:row>
      <xdr:rowOff>161925</xdr:rowOff>
    </xdr:from>
    <xdr:to>
      <xdr:col>14</xdr:col>
      <xdr:colOff>361949</xdr:colOff>
      <xdr:row>53</xdr:row>
      <xdr:rowOff>161925</xdr:rowOff>
    </xdr:to>
    <xdr:sp macro="" textlink="">
      <xdr:nvSpPr>
        <xdr:cNvPr id="19" name="TextBox 18">
          <a:extLst>
            <a:ext uri="{FF2B5EF4-FFF2-40B4-BE49-F238E27FC236}">
              <a16:creationId xmlns:a16="http://schemas.microsoft.com/office/drawing/2014/main" id="{00000000-0008-0000-0100-000013000000}"/>
            </a:ext>
          </a:extLst>
        </xdr:cNvPr>
        <xdr:cNvSpPr txBox="1"/>
      </xdr:nvSpPr>
      <xdr:spPr>
        <a:xfrm>
          <a:off x="5553074" y="6724650"/>
          <a:ext cx="4505325" cy="3781425"/>
        </a:xfrm>
        <a:prstGeom prst="rect">
          <a:avLst/>
        </a:prstGeom>
        <a:solidFill>
          <a:schemeClr val="bg2"/>
        </a:solidFill>
        <a:ln w="34925" cmpd="sng">
          <a:solidFill>
            <a:schemeClr val="accent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2000">
              <a:solidFill>
                <a:sysClr val="windowText" lastClr="000000"/>
              </a:solidFill>
              <a:latin typeface="Rockwell Light" panose="02040303020102020203" pitchFamily="18" charset="0"/>
            </a:rPr>
            <a:t>On-site</a:t>
          </a:r>
          <a:r>
            <a:rPr lang="en-GB" sz="2000" baseline="0">
              <a:solidFill>
                <a:sysClr val="windowText" lastClr="000000"/>
              </a:solidFill>
              <a:latin typeface="Rockwell Light" panose="02040303020102020203" pitchFamily="18" charset="0"/>
            </a:rPr>
            <a:t> p</a:t>
          </a:r>
          <a:r>
            <a:rPr lang="en-GB" sz="2000">
              <a:solidFill>
                <a:sysClr val="windowText" lastClr="000000"/>
              </a:solidFill>
              <a:latin typeface="Rockwell Light" panose="02040303020102020203" pitchFamily="18" charset="0"/>
            </a:rPr>
            <a:t>ost intervention</a:t>
          </a:r>
          <a:r>
            <a:rPr lang="en-GB" sz="2000" baseline="0">
              <a:solidFill>
                <a:sysClr val="windowText" lastClr="000000"/>
              </a:solidFill>
              <a:latin typeface="Rockwell Light" panose="02040303020102020203" pitchFamily="18" charset="0"/>
            </a:rPr>
            <a:t> </a:t>
          </a:r>
          <a:r>
            <a:rPr lang="en-GB" sz="2000">
              <a:solidFill>
                <a:sysClr val="windowText" lastClr="000000"/>
              </a:solidFill>
              <a:latin typeface="Rockwell Light" panose="02040303020102020203" pitchFamily="18" charset="0"/>
            </a:rPr>
            <a:t>map</a:t>
          </a:r>
        </a:p>
      </xdr:txBody>
    </xdr:sp>
    <xdr:clientData/>
  </xdr:twoCellAnchor>
  <xdr:twoCellAnchor>
    <xdr:from>
      <xdr:col>2</xdr:col>
      <xdr:colOff>190500</xdr:colOff>
      <xdr:row>35</xdr:row>
      <xdr:rowOff>161925</xdr:rowOff>
    </xdr:from>
    <xdr:to>
      <xdr:col>7</xdr:col>
      <xdr:colOff>9525</xdr:colOff>
      <xdr:row>53</xdr:row>
      <xdr:rowOff>161925</xdr:rowOff>
    </xdr:to>
    <xdr:sp macro="" textlink="">
      <xdr:nvSpPr>
        <xdr:cNvPr id="13" name="TextBox 12">
          <a:extLst>
            <a:ext uri="{FF2B5EF4-FFF2-40B4-BE49-F238E27FC236}">
              <a16:creationId xmlns:a16="http://schemas.microsoft.com/office/drawing/2014/main" id="{00000000-0008-0000-0100-00000D000000}"/>
            </a:ext>
          </a:extLst>
        </xdr:cNvPr>
        <xdr:cNvSpPr txBox="1"/>
      </xdr:nvSpPr>
      <xdr:spPr>
        <a:xfrm>
          <a:off x="476250" y="6724650"/>
          <a:ext cx="4572000" cy="3781425"/>
        </a:xfrm>
        <a:prstGeom prst="rect">
          <a:avLst/>
        </a:prstGeom>
        <a:solidFill>
          <a:schemeClr val="bg2"/>
        </a:solidFill>
        <a:ln w="34925" cmpd="sng">
          <a:solidFill>
            <a:schemeClr val="accent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2000">
              <a:solidFill>
                <a:sysClr val="windowText" lastClr="000000"/>
              </a:solidFill>
              <a:latin typeface="Rockwell Light" panose="02040303020102020203" pitchFamily="18" charset="0"/>
            </a:rPr>
            <a:t>On-site baseline</a:t>
          </a:r>
          <a:r>
            <a:rPr lang="en-GB" sz="2000" baseline="0">
              <a:solidFill>
                <a:sysClr val="windowText" lastClr="000000"/>
              </a:solidFill>
              <a:latin typeface="Rockwell Light" panose="02040303020102020203" pitchFamily="18" charset="0"/>
            </a:rPr>
            <a:t> map</a:t>
          </a:r>
          <a:endParaRPr lang="en-GB" sz="2000">
            <a:solidFill>
              <a:sysClr val="windowText" lastClr="000000"/>
            </a:solidFill>
            <a:latin typeface="Rockwell Light" panose="02040303020102020203" pitchFamily="18" charset="0"/>
          </a:endParaRPr>
        </a:p>
      </xdr:txBody>
    </xdr:sp>
    <xdr:clientData/>
  </xdr:twoCellAnchor>
  <xdr:twoCellAnchor>
    <xdr:from>
      <xdr:col>12</xdr:col>
      <xdr:colOff>15239</xdr:colOff>
      <xdr:row>11</xdr:row>
      <xdr:rowOff>270509</xdr:rowOff>
    </xdr:from>
    <xdr:to>
      <xdr:col>16</xdr:col>
      <xdr:colOff>216944</xdr:colOff>
      <xdr:row>17</xdr:row>
      <xdr:rowOff>27509</xdr:rowOff>
    </xdr:to>
    <xdr:sp macro="[0]!ActivateSelectWorksheet" textlink="">
      <xdr:nvSpPr>
        <xdr:cNvPr id="4" name="TextBox 3">
          <a:extLst>
            <a:ext uri="{FF2B5EF4-FFF2-40B4-BE49-F238E27FC236}">
              <a16:creationId xmlns:a16="http://schemas.microsoft.com/office/drawing/2014/main" id="{00000000-0008-0000-0100-000004000000}"/>
            </a:ext>
          </a:extLst>
        </xdr:cNvPr>
        <xdr:cNvSpPr txBox="1"/>
      </xdr:nvSpPr>
      <xdr:spPr>
        <a:xfrm>
          <a:off x="9243059" y="3112769"/>
          <a:ext cx="1794285" cy="1159080"/>
        </a:xfrm>
        <a:prstGeom prst="roundRect">
          <a:avLst/>
        </a:prstGeom>
        <a:solidFill>
          <a:schemeClr val="accent1"/>
        </a:solidFill>
        <a:ln w="9525" cmpd="sng">
          <a:noFill/>
        </a:ln>
        <a:effectLst>
          <a:outerShdw blurRad="107950" dist="12700" dir="5400000" algn="ctr">
            <a:srgbClr val="000000"/>
          </a:outerShdw>
        </a:effectLst>
        <a:scene3d>
          <a:camera prst="orthographicFront">
            <a:rot lat="0" lon="0" rev="0"/>
          </a:camera>
          <a:lightRig rig="soft" dir="t">
            <a:rot lat="0" lon="0" rev="0"/>
          </a:lightRig>
        </a:scene3d>
        <a:sp3d contourW="25400" prstMaterial="matte">
          <a:bevelT w="63500" h="63500" prst="artDeco"/>
          <a:bevelB w="114300" prst="artDeco"/>
          <a:contourClr>
            <a:srgbClr val="FFFFFF"/>
          </a:contourClr>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400" b="1" baseline="0">
              <a:solidFill>
                <a:schemeClr val="bg1"/>
              </a:solidFill>
              <a:latin typeface="Rockwell Light" panose="02040303020102020203" pitchFamily="18" charset="0"/>
            </a:rPr>
            <a:t>Main menu </a:t>
          </a:r>
          <a:endParaRPr lang="en-GB" sz="1400" b="1">
            <a:solidFill>
              <a:schemeClr val="bg1"/>
            </a:solidFill>
            <a:latin typeface="Rockwell Light" panose="02040303020102020203" pitchFamily="18" charset="0"/>
          </a:endParaRPr>
        </a:p>
      </xdr:txBody>
    </xdr:sp>
    <xdr:clientData/>
  </xdr:twoCellAnchor>
  <xdr:twoCellAnchor>
    <xdr:from>
      <xdr:col>2</xdr:col>
      <xdr:colOff>85726</xdr:colOff>
      <xdr:row>0</xdr:row>
      <xdr:rowOff>114300</xdr:rowOff>
    </xdr:from>
    <xdr:to>
      <xdr:col>16</xdr:col>
      <xdr:colOff>266701</xdr:colOff>
      <xdr:row>6</xdr:row>
      <xdr:rowOff>76200</xdr:rowOff>
    </xdr:to>
    <xdr:sp macro="" textlink="">
      <xdr:nvSpPr>
        <xdr:cNvPr id="5" name="TextBox 4">
          <a:extLst>
            <a:ext uri="{FF2B5EF4-FFF2-40B4-BE49-F238E27FC236}">
              <a16:creationId xmlns:a16="http://schemas.microsoft.com/office/drawing/2014/main" id="{00000000-0008-0000-0100-000005000000}"/>
            </a:ext>
          </a:extLst>
        </xdr:cNvPr>
        <xdr:cNvSpPr txBox="1"/>
      </xdr:nvSpPr>
      <xdr:spPr>
        <a:xfrm>
          <a:off x="371476" y="114300"/>
          <a:ext cx="10582275" cy="1181100"/>
        </a:xfrm>
        <a:prstGeom prst="roundRect">
          <a:avLst/>
        </a:prstGeom>
        <a:solidFill>
          <a:srgbClr val="E0DCD3"/>
        </a:solidFill>
        <a:ln w="9525" cmpd="sng">
          <a:solidFill>
            <a:schemeClr val="lt1">
              <a:shade val="50000"/>
            </a:schemeClr>
          </a:solidFill>
        </a:ln>
        <a:effectLst>
          <a:innerShdw blurRad="25400" dist="393700" dir="2160000">
            <a:prstClr val="black">
              <a:alpha val="47000"/>
            </a:prstClr>
          </a:innerShdw>
        </a:effectLst>
        <a:scene3d>
          <a:camera prst="orthographicFront"/>
          <a:lightRig rig="threePt" dir="t"/>
        </a:scene3d>
        <a:sp3d contourW="25400">
          <a:bevelT w="114300" prst="artDeco"/>
          <a:bevelB w="0" h="69850" prst="artDeco"/>
          <a:contourClr>
            <a:schemeClr val="bg1"/>
          </a:contourClr>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2800" b="0" i="0" u="none" strike="noStrike">
              <a:solidFill>
                <a:sysClr val="windowText" lastClr="000000"/>
              </a:solidFill>
              <a:effectLst/>
              <a:latin typeface="Rockwell Light" panose="02040303020102020203" pitchFamily="18" charset="0"/>
              <a:ea typeface="Source Sans Pro" panose="020B0503030403020204" pitchFamily="34" charset="0"/>
              <a:cs typeface="+mn-cs"/>
            </a:rPr>
            <a:t>The Biodiversity Metric 4.0 - Calculation Tool</a:t>
          </a:r>
        </a:p>
        <a:p>
          <a:pPr algn="ctr"/>
          <a:r>
            <a:rPr lang="en-GB" sz="2800" b="0" i="0" u="none" strike="noStrike">
              <a:solidFill>
                <a:sysClr val="windowText" lastClr="000000"/>
              </a:solidFill>
              <a:effectLst/>
              <a:latin typeface="Rockwell Light" panose="02040303020102020203" pitchFamily="18" charset="0"/>
              <a:ea typeface="Source Sans Pro" panose="020B0503030403020204" pitchFamily="34" charset="0"/>
              <a:cs typeface="+mn-cs"/>
            </a:rPr>
            <a:t>Start</a:t>
          </a:r>
          <a:r>
            <a:rPr lang="en-GB" sz="2800" b="0" i="0" u="none" strike="noStrike" baseline="0">
              <a:solidFill>
                <a:sysClr val="windowText" lastClr="000000"/>
              </a:solidFill>
              <a:effectLst/>
              <a:latin typeface="Rockwell Light" panose="02040303020102020203" pitchFamily="18" charset="0"/>
              <a:ea typeface="Source Sans Pro" panose="020B0503030403020204" pitchFamily="34" charset="0"/>
              <a:cs typeface="+mn-cs"/>
            </a:rPr>
            <a:t> page</a:t>
          </a:r>
          <a:r>
            <a:rPr lang="en-GB" sz="2800" b="0">
              <a:solidFill>
                <a:sysClr val="windowText" lastClr="000000"/>
              </a:solidFill>
              <a:latin typeface="Rockwell Light" panose="02040303020102020203" pitchFamily="18" charset="0"/>
              <a:ea typeface="Source Sans Pro" panose="020B0503030403020204" pitchFamily="34" charset="0"/>
            </a:rPr>
            <a:t> </a:t>
          </a:r>
        </a:p>
      </xdr:txBody>
    </xdr:sp>
    <xdr:clientData/>
  </xdr:twoCellAnchor>
  <xdr:twoCellAnchor>
    <xdr:from>
      <xdr:col>12</xdr:col>
      <xdr:colOff>38101</xdr:colOff>
      <xdr:row>7</xdr:row>
      <xdr:rowOff>295274</xdr:rowOff>
    </xdr:from>
    <xdr:to>
      <xdr:col>16</xdr:col>
      <xdr:colOff>239806</xdr:colOff>
      <xdr:row>11</xdr:row>
      <xdr:rowOff>96089</xdr:rowOff>
    </xdr:to>
    <xdr:sp macro="[0]!ActivateInstructions" textlink="">
      <xdr:nvSpPr>
        <xdr:cNvPr id="8" name="Rounded Rectangle 7">
          <a:extLst>
            <a:ext uri="{FF2B5EF4-FFF2-40B4-BE49-F238E27FC236}">
              <a16:creationId xmlns:a16="http://schemas.microsoft.com/office/drawing/2014/main" id="{00000000-0008-0000-0100-000008000000}"/>
            </a:ext>
          </a:extLst>
        </xdr:cNvPr>
        <xdr:cNvSpPr/>
      </xdr:nvSpPr>
      <xdr:spPr>
        <a:xfrm>
          <a:off x="9265921" y="1712594"/>
          <a:ext cx="1794285" cy="997155"/>
        </a:xfrm>
        <a:prstGeom prst="roundRect">
          <a:avLst/>
        </a:prstGeom>
        <a:solidFill>
          <a:schemeClr val="accent1"/>
        </a:solidFill>
        <a:ln>
          <a:noFill/>
        </a:ln>
        <a:effectLst>
          <a:outerShdw blurRad="107950" dist="12700" dir="5400000" algn="ctr">
            <a:srgbClr val="000000"/>
          </a:outerShdw>
        </a:effectLst>
        <a:scene3d>
          <a:camera prst="orthographicFront">
            <a:rot lat="0" lon="0" rev="0"/>
          </a:camera>
          <a:lightRig rig="soft" dir="t">
            <a:rot lat="0" lon="0" rev="0"/>
          </a:lightRig>
        </a:scene3d>
        <a:sp3d contourW="25400" prstMaterial="matte">
          <a:bevelT w="63500" h="63500" prst="artDeco"/>
          <a:bevelB w="1143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400" b="1">
              <a:solidFill>
                <a:schemeClr val="bg1"/>
              </a:solidFill>
              <a:latin typeface="Rockwell Light" panose="02040303020102020203" pitchFamily="18" charset="0"/>
            </a:rPr>
            <a:t>Instructions</a:t>
          </a:r>
        </a:p>
      </xdr:txBody>
    </xdr:sp>
    <xdr:clientData/>
  </xdr:twoCellAnchor>
  <xdr:twoCellAnchor>
    <xdr:from>
      <xdr:col>12</xdr:col>
      <xdr:colOff>40004</xdr:colOff>
      <xdr:row>17</xdr:row>
      <xdr:rowOff>222885</xdr:rowOff>
    </xdr:from>
    <xdr:to>
      <xdr:col>16</xdr:col>
      <xdr:colOff>279400</xdr:colOff>
      <xdr:row>22</xdr:row>
      <xdr:rowOff>311150</xdr:rowOff>
    </xdr:to>
    <xdr:sp macro="[0]!ActivateResults" textlink="">
      <xdr:nvSpPr>
        <xdr:cNvPr id="9" name="Rounded Rectangle 8">
          <a:extLst>
            <a:ext uri="{FF2B5EF4-FFF2-40B4-BE49-F238E27FC236}">
              <a16:creationId xmlns:a16="http://schemas.microsoft.com/office/drawing/2014/main" id="{00000000-0008-0000-0100-000009000000}"/>
            </a:ext>
          </a:extLst>
        </xdr:cNvPr>
        <xdr:cNvSpPr/>
      </xdr:nvSpPr>
      <xdr:spPr>
        <a:xfrm>
          <a:off x="9787254" y="4509135"/>
          <a:ext cx="1871346" cy="1504315"/>
        </a:xfrm>
        <a:prstGeom prst="roundRect">
          <a:avLst/>
        </a:prstGeom>
        <a:solidFill>
          <a:schemeClr val="accent3"/>
        </a:solidFill>
        <a:ln>
          <a:noFill/>
        </a:ln>
        <a:effectLst>
          <a:outerShdw blurRad="107950" dist="12700" dir="5400000" algn="ctr">
            <a:srgbClr val="000000"/>
          </a:outerShdw>
        </a:effectLst>
        <a:scene3d>
          <a:camera prst="orthographicFront">
            <a:rot lat="0" lon="0" rev="0"/>
          </a:camera>
          <a:lightRig rig="soft" dir="t">
            <a:rot lat="0" lon="0" rev="0"/>
          </a:lightRig>
        </a:scene3d>
        <a:sp3d contourW="25400" prstMaterial="matte">
          <a:bevelT w="63500" h="63500" prst="artDeco"/>
          <a:bevelB w="1143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400" b="1">
              <a:solidFill>
                <a:schemeClr val="accent1"/>
              </a:solidFill>
              <a:latin typeface="Rockwell Light" panose="02040303020102020203" pitchFamily="18" charset="0"/>
            </a:rPr>
            <a:t>Results</a:t>
          </a:r>
        </a:p>
      </xdr:txBody>
    </xdr:sp>
    <xdr:clientData/>
  </xdr:twoCellAnchor>
  <xdr:twoCellAnchor>
    <xdr:from>
      <xdr:col>12</xdr:col>
      <xdr:colOff>55247</xdr:colOff>
      <xdr:row>33</xdr:row>
      <xdr:rowOff>43816</xdr:rowOff>
    </xdr:from>
    <xdr:to>
      <xdr:col>16</xdr:col>
      <xdr:colOff>200025</xdr:colOff>
      <xdr:row>35</xdr:row>
      <xdr:rowOff>0</xdr:rowOff>
    </xdr:to>
    <xdr:sp macro="[0]!HideSheetReset1" textlink="">
      <xdr:nvSpPr>
        <xdr:cNvPr id="14" name="Rounded Rectangle 13">
          <a:extLst>
            <a:ext uri="{FF2B5EF4-FFF2-40B4-BE49-F238E27FC236}">
              <a16:creationId xmlns:a16="http://schemas.microsoft.com/office/drawing/2014/main" id="{00000000-0008-0000-0100-00000E000000}"/>
            </a:ext>
          </a:extLst>
        </xdr:cNvPr>
        <xdr:cNvSpPr/>
      </xdr:nvSpPr>
      <xdr:spPr>
        <a:xfrm>
          <a:off x="9284972" y="5987416"/>
          <a:ext cx="1744978" cy="375284"/>
        </a:xfrm>
        <a:prstGeom prst="roundRect">
          <a:avLst/>
        </a:prstGeom>
        <a:solidFill>
          <a:schemeClr val="accent1"/>
        </a:solidFill>
        <a:ln>
          <a:noFill/>
        </a:ln>
        <a:effectLst>
          <a:outerShdw blurRad="107950" dist="12700" dir="5400000" algn="ctr">
            <a:srgbClr val="000000"/>
          </a:outerShdw>
        </a:effectLst>
        <a:scene3d>
          <a:camera prst="orthographicFront">
            <a:rot lat="0" lon="0" rev="0"/>
          </a:camera>
          <a:lightRig rig="soft" dir="t">
            <a:rot lat="0" lon="0" rev="0"/>
          </a:lightRig>
        </a:scene3d>
        <a:sp3d contourW="25400" prstMaterial="matte">
          <a:bevelT w="63500" h="63500" prst="artDeco"/>
          <a:bevelB w="1143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400" b="1">
              <a:solidFill>
                <a:schemeClr val="bg1"/>
              </a:solidFill>
              <a:latin typeface="Rockwell Light" panose="02040303020102020203" pitchFamily="18" charset="0"/>
            </a:rPr>
            <a:t>Reset</a:t>
          </a:r>
          <a:r>
            <a:rPr lang="en-GB" sz="1400" b="1" baseline="0">
              <a:solidFill>
                <a:schemeClr val="bg1"/>
              </a:solidFill>
              <a:latin typeface="Rockwell Light" panose="02040303020102020203" pitchFamily="18" charset="0"/>
            </a:rPr>
            <a:t> view</a:t>
          </a:r>
          <a:endParaRPr lang="en-GB" sz="1400" b="1">
            <a:solidFill>
              <a:schemeClr val="bg1"/>
            </a:solidFill>
            <a:latin typeface="Rockwell Light" panose="02040303020102020203" pitchFamily="18" charset="0"/>
          </a:endParaRPr>
        </a:p>
      </xdr:txBody>
    </xdr:sp>
    <xdr:clientData/>
  </xdr:twoCellAnchor>
  <xdr:twoCellAnchor>
    <xdr:from>
      <xdr:col>12</xdr:col>
      <xdr:colOff>66675</xdr:colOff>
      <xdr:row>28</xdr:row>
      <xdr:rowOff>163830</xdr:rowOff>
    </xdr:from>
    <xdr:to>
      <xdr:col>16</xdr:col>
      <xdr:colOff>180974</xdr:colOff>
      <xdr:row>32</xdr:row>
      <xdr:rowOff>123825</xdr:rowOff>
    </xdr:to>
    <xdr:sp macro="[0]!UnhideSheetviewall" textlink="">
      <xdr:nvSpPr>
        <xdr:cNvPr id="11" name="Rounded Rectangle 10">
          <a:extLst>
            <a:ext uri="{FF2B5EF4-FFF2-40B4-BE49-F238E27FC236}">
              <a16:creationId xmlns:a16="http://schemas.microsoft.com/office/drawing/2014/main" id="{00000000-0008-0000-0100-00000B000000}"/>
            </a:ext>
          </a:extLst>
        </xdr:cNvPr>
        <xdr:cNvSpPr/>
      </xdr:nvSpPr>
      <xdr:spPr>
        <a:xfrm>
          <a:off x="9296400" y="5478780"/>
          <a:ext cx="1714499" cy="379095"/>
        </a:xfrm>
        <a:prstGeom prst="roundRect">
          <a:avLst/>
        </a:prstGeom>
        <a:solidFill>
          <a:schemeClr val="accent1"/>
        </a:solidFill>
        <a:ln>
          <a:noFill/>
        </a:ln>
        <a:effectLst>
          <a:outerShdw blurRad="107950" dist="12700" dir="5400000" algn="ctr">
            <a:srgbClr val="000000"/>
          </a:outerShdw>
        </a:effectLst>
        <a:scene3d>
          <a:camera prst="orthographicFront">
            <a:rot lat="0" lon="0" rev="0"/>
          </a:camera>
          <a:lightRig rig="soft" dir="t">
            <a:rot lat="0" lon="0" rev="0"/>
          </a:lightRig>
        </a:scene3d>
        <a:sp3d contourW="25400" prstMaterial="matte">
          <a:bevelT w="63500" h="63500" prst="artDeco"/>
          <a:bevelB w="1143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400" b="1" baseline="0">
              <a:solidFill>
                <a:schemeClr val="bg1"/>
              </a:solidFill>
              <a:latin typeface="Rockwell Light" panose="02040303020102020203" pitchFamily="18" charset="0"/>
            </a:rPr>
            <a:t>View all</a:t>
          </a:r>
          <a:endParaRPr lang="en-GB" sz="1400" b="1">
            <a:solidFill>
              <a:schemeClr val="bg1"/>
            </a:solidFill>
            <a:latin typeface="Rockwell Light" panose="02040303020102020203" pitchFamily="18" charset="0"/>
          </a:endParaRPr>
        </a:p>
      </xdr:txBody>
    </xdr:sp>
    <xdr:clientData/>
  </xdr:twoCellAnchor>
  <xdr:twoCellAnchor>
    <xdr:from>
      <xdr:col>5</xdr:col>
      <xdr:colOff>647700</xdr:colOff>
      <xdr:row>36</xdr:row>
      <xdr:rowOff>57149</xdr:rowOff>
    </xdr:from>
    <xdr:to>
      <xdr:col>6</xdr:col>
      <xdr:colOff>476250</xdr:colOff>
      <xdr:row>37</xdr:row>
      <xdr:rowOff>142875</xdr:rowOff>
    </xdr:to>
    <xdr:sp macro="[0]!InsertPicUsingShapeAddPictureFunctionB" textlink="">
      <xdr:nvSpPr>
        <xdr:cNvPr id="10" name="Rounded Rectangle 13">
          <a:extLst>
            <a:ext uri="{FF2B5EF4-FFF2-40B4-BE49-F238E27FC236}">
              <a16:creationId xmlns:a16="http://schemas.microsoft.com/office/drawing/2014/main" id="{00000000-0008-0000-0100-00000A000000}"/>
            </a:ext>
          </a:extLst>
        </xdr:cNvPr>
        <xdr:cNvSpPr/>
      </xdr:nvSpPr>
      <xdr:spPr>
        <a:xfrm>
          <a:off x="4095750" y="6829424"/>
          <a:ext cx="809625" cy="390526"/>
        </a:xfrm>
        <a:prstGeom prst="roundRect">
          <a:avLst/>
        </a:prstGeom>
        <a:solidFill>
          <a:schemeClr val="accent1"/>
        </a:solidFill>
        <a:ln>
          <a:noFill/>
        </a:ln>
        <a:effectLst>
          <a:outerShdw blurRad="107950" dist="12700" dir="5400000" algn="ctr">
            <a:srgbClr val="000000"/>
          </a:outerShdw>
        </a:effectLst>
        <a:scene3d>
          <a:camera prst="orthographicFront">
            <a:rot lat="0" lon="0" rev="0"/>
          </a:camera>
          <a:lightRig rig="soft" dir="t">
            <a:rot lat="0" lon="0" rev="0"/>
          </a:lightRig>
        </a:scene3d>
        <a:sp3d contourW="25400" prstMaterial="matte">
          <a:bevelT w="63500" h="63500" prst="artDeco"/>
          <a:bevelB w="1143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400" b="1">
              <a:solidFill>
                <a:schemeClr val="bg1"/>
              </a:solidFill>
              <a:latin typeface="Rockwell Light" panose="02040303020102020203" pitchFamily="18" charset="0"/>
            </a:rPr>
            <a:t>Insert</a:t>
          </a:r>
        </a:p>
      </xdr:txBody>
    </xdr:sp>
    <xdr:clientData/>
  </xdr:twoCellAnchor>
  <xdr:twoCellAnchor>
    <xdr:from>
      <xdr:col>12</xdr:col>
      <xdr:colOff>28575</xdr:colOff>
      <xdr:row>36</xdr:row>
      <xdr:rowOff>38100</xdr:rowOff>
    </xdr:from>
    <xdr:to>
      <xdr:col>14</xdr:col>
      <xdr:colOff>238125</xdr:colOff>
      <xdr:row>37</xdr:row>
      <xdr:rowOff>133350</xdr:rowOff>
    </xdr:to>
    <xdr:sp macro="[0]!InsertPicUsingShapeAddPictureFunctionPD" textlink="">
      <xdr:nvSpPr>
        <xdr:cNvPr id="12" name="Rounded Rectangle 13">
          <a:extLst>
            <a:ext uri="{FF2B5EF4-FFF2-40B4-BE49-F238E27FC236}">
              <a16:creationId xmlns:a16="http://schemas.microsoft.com/office/drawing/2014/main" id="{00000000-0008-0000-0100-00000C000000}"/>
            </a:ext>
          </a:extLst>
        </xdr:cNvPr>
        <xdr:cNvSpPr/>
      </xdr:nvSpPr>
      <xdr:spPr>
        <a:xfrm>
          <a:off x="9163050" y="6810375"/>
          <a:ext cx="771525" cy="400050"/>
        </a:xfrm>
        <a:prstGeom prst="roundRect">
          <a:avLst/>
        </a:prstGeom>
        <a:solidFill>
          <a:schemeClr val="accent1"/>
        </a:solidFill>
        <a:ln>
          <a:noFill/>
        </a:ln>
        <a:effectLst>
          <a:outerShdw blurRad="107950" dist="12700" dir="5400000" algn="ctr">
            <a:srgbClr val="000000"/>
          </a:outerShdw>
        </a:effectLst>
        <a:scene3d>
          <a:camera prst="orthographicFront">
            <a:rot lat="0" lon="0" rev="0"/>
          </a:camera>
          <a:lightRig rig="soft" dir="t">
            <a:rot lat="0" lon="0" rev="0"/>
          </a:lightRig>
        </a:scene3d>
        <a:sp3d contourW="25400" prstMaterial="matte">
          <a:bevelT w="63500" h="63500" prst="artDeco"/>
          <a:bevelB w="1143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400" b="1">
              <a:solidFill>
                <a:schemeClr val="bg1"/>
              </a:solidFill>
              <a:latin typeface="Rockwell Light" panose="02040303020102020203" pitchFamily="18" charset="0"/>
            </a:rPr>
            <a:t>Insert </a:t>
          </a:r>
        </a:p>
      </xdr:txBody>
    </xdr:sp>
    <xdr:clientData/>
  </xdr:twoCellAnchor>
  <xdr:twoCellAnchor>
    <xdr:from>
      <xdr:col>5</xdr:col>
      <xdr:colOff>619125</xdr:colOff>
      <xdr:row>55</xdr:row>
      <xdr:rowOff>180974</xdr:rowOff>
    </xdr:from>
    <xdr:to>
      <xdr:col>6</xdr:col>
      <xdr:colOff>447675</xdr:colOff>
      <xdr:row>58</xdr:row>
      <xdr:rowOff>28575</xdr:rowOff>
    </xdr:to>
    <xdr:sp macro="[0]!InsertPicUsingShapeAddPictureFunctionBOS" textlink="">
      <xdr:nvSpPr>
        <xdr:cNvPr id="23" name="Rounded Rectangle 13">
          <a:extLst>
            <a:ext uri="{FF2B5EF4-FFF2-40B4-BE49-F238E27FC236}">
              <a16:creationId xmlns:a16="http://schemas.microsoft.com/office/drawing/2014/main" id="{00000000-0008-0000-0100-000017000000}"/>
            </a:ext>
          </a:extLst>
        </xdr:cNvPr>
        <xdr:cNvSpPr/>
      </xdr:nvSpPr>
      <xdr:spPr>
        <a:xfrm>
          <a:off x="4067175" y="10906124"/>
          <a:ext cx="809625" cy="390526"/>
        </a:xfrm>
        <a:prstGeom prst="roundRect">
          <a:avLst/>
        </a:prstGeom>
        <a:solidFill>
          <a:schemeClr val="accent1"/>
        </a:solidFill>
        <a:ln>
          <a:noFill/>
        </a:ln>
        <a:effectLst>
          <a:outerShdw blurRad="107950" dist="12700" dir="5400000" algn="ctr">
            <a:srgbClr val="000000"/>
          </a:outerShdw>
        </a:effectLst>
        <a:scene3d>
          <a:camera prst="orthographicFront">
            <a:rot lat="0" lon="0" rev="0"/>
          </a:camera>
          <a:lightRig rig="soft" dir="t">
            <a:rot lat="0" lon="0" rev="0"/>
          </a:lightRig>
        </a:scene3d>
        <a:sp3d contourW="25400" prstMaterial="matte">
          <a:bevelT w="63500" h="63500" prst="artDeco"/>
          <a:bevelB w="1143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400" b="1">
              <a:solidFill>
                <a:schemeClr val="bg1"/>
              </a:solidFill>
              <a:latin typeface="Rockwell Light" panose="02040303020102020203" pitchFamily="18" charset="0"/>
            </a:rPr>
            <a:t>Insert</a:t>
          </a:r>
        </a:p>
      </xdr:txBody>
    </xdr:sp>
    <xdr:clientData/>
  </xdr:twoCellAnchor>
  <xdr:twoCellAnchor>
    <xdr:from>
      <xdr:col>11</xdr:col>
      <xdr:colOff>76200</xdr:colOff>
      <xdr:row>55</xdr:row>
      <xdr:rowOff>180974</xdr:rowOff>
    </xdr:from>
    <xdr:to>
      <xdr:col>14</xdr:col>
      <xdr:colOff>219075</xdr:colOff>
      <xdr:row>58</xdr:row>
      <xdr:rowOff>28575</xdr:rowOff>
    </xdr:to>
    <xdr:sp macro="[0]!InsertPicUsingShapeAddPictureFunctionPDOS" textlink="">
      <xdr:nvSpPr>
        <xdr:cNvPr id="34" name="Rounded Rectangle 13">
          <a:extLst>
            <a:ext uri="{FF2B5EF4-FFF2-40B4-BE49-F238E27FC236}">
              <a16:creationId xmlns:a16="http://schemas.microsoft.com/office/drawing/2014/main" id="{00000000-0008-0000-0100-000022000000}"/>
            </a:ext>
          </a:extLst>
        </xdr:cNvPr>
        <xdr:cNvSpPr/>
      </xdr:nvSpPr>
      <xdr:spPr>
        <a:xfrm>
          <a:off x="9105900" y="10906124"/>
          <a:ext cx="809625" cy="390526"/>
        </a:xfrm>
        <a:prstGeom prst="roundRect">
          <a:avLst/>
        </a:prstGeom>
        <a:solidFill>
          <a:schemeClr val="accent1"/>
        </a:solidFill>
        <a:ln>
          <a:noFill/>
        </a:ln>
        <a:effectLst>
          <a:outerShdw blurRad="107950" dist="12700" dir="5400000" algn="ctr">
            <a:srgbClr val="000000"/>
          </a:outerShdw>
        </a:effectLst>
        <a:scene3d>
          <a:camera prst="orthographicFront">
            <a:rot lat="0" lon="0" rev="0"/>
          </a:camera>
          <a:lightRig rig="soft" dir="t">
            <a:rot lat="0" lon="0" rev="0"/>
          </a:lightRig>
        </a:scene3d>
        <a:sp3d contourW="25400" prstMaterial="matte">
          <a:bevelT w="63500" h="63500" prst="artDeco"/>
          <a:bevelB w="1143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400" b="1">
              <a:solidFill>
                <a:schemeClr val="bg1"/>
              </a:solidFill>
              <a:latin typeface="Rockwell Light" panose="02040303020102020203" pitchFamily="18" charset="0"/>
            </a:rPr>
            <a:t>Insert</a:t>
          </a:r>
        </a:p>
      </xdr:txBody>
    </xdr:sp>
    <xdr:clientData/>
  </xdr:twoCellAnchor>
</xdr:wsDr>
</file>

<file path=xl/drawings/drawing20.xml><?xml version="1.0" encoding="utf-8"?>
<xdr:wsDr xmlns:xdr="http://schemas.openxmlformats.org/drawingml/2006/spreadsheetDrawing" xmlns:a="http://schemas.openxmlformats.org/drawingml/2006/main">
  <xdr:twoCellAnchor>
    <xdr:from>
      <xdr:col>1</xdr:col>
      <xdr:colOff>38100</xdr:colOff>
      <xdr:row>4</xdr:row>
      <xdr:rowOff>99060</xdr:rowOff>
    </xdr:from>
    <xdr:to>
      <xdr:col>4</xdr:col>
      <xdr:colOff>7620</xdr:colOff>
      <xdr:row>6</xdr:row>
      <xdr:rowOff>25026</xdr:rowOff>
    </xdr:to>
    <xdr:grpSp>
      <xdr:nvGrpSpPr>
        <xdr:cNvPr id="30" name="Group 29">
          <a:extLst>
            <a:ext uri="{FF2B5EF4-FFF2-40B4-BE49-F238E27FC236}">
              <a16:creationId xmlns:a16="http://schemas.microsoft.com/office/drawing/2014/main" id="{00000000-0008-0000-1500-00001E000000}"/>
            </a:ext>
          </a:extLst>
        </xdr:cNvPr>
        <xdr:cNvGrpSpPr/>
      </xdr:nvGrpSpPr>
      <xdr:grpSpPr>
        <a:xfrm>
          <a:off x="383381" y="904875"/>
          <a:ext cx="5103019" cy="568904"/>
          <a:chOff x="205740" y="877124"/>
          <a:chExt cx="4701455" cy="771786"/>
        </a:xfrm>
        <a:solidFill>
          <a:schemeClr val="accent1"/>
        </a:solidFill>
      </xdr:grpSpPr>
      <xdr:sp macro="[0]!ToggleHideRows" textlink="">
        <xdr:nvSpPr>
          <xdr:cNvPr id="31" name="Rectangle: Rounded Corners 19">
            <a:extLst>
              <a:ext uri="{FF2B5EF4-FFF2-40B4-BE49-F238E27FC236}">
                <a16:creationId xmlns:a16="http://schemas.microsoft.com/office/drawing/2014/main" id="{00000000-0008-0000-1500-00001F000000}"/>
              </a:ext>
            </a:extLst>
          </xdr:cNvPr>
          <xdr:cNvSpPr/>
        </xdr:nvSpPr>
        <xdr:spPr>
          <a:xfrm>
            <a:off x="2620817" y="883920"/>
            <a:ext cx="2286000" cy="360001"/>
          </a:xfrm>
          <a:prstGeom prst="roundRect">
            <a:avLst/>
          </a:prstGeom>
          <a:grp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a:latin typeface="Rockwell Light" panose="02040303020102020203" pitchFamily="18" charset="0"/>
              </a:rPr>
              <a:t>Condense / Show Rows</a:t>
            </a:r>
          </a:p>
        </xdr:txBody>
      </xdr:sp>
      <xdr:sp macro="[0]!ActivateSelectWorksheet" textlink="">
        <xdr:nvSpPr>
          <xdr:cNvPr id="32" name="Rounded Rectangle 31">
            <a:extLst>
              <a:ext uri="{FF2B5EF4-FFF2-40B4-BE49-F238E27FC236}">
                <a16:creationId xmlns:a16="http://schemas.microsoft.com/office/drawing/2014/main" id="{00000000-0008-0000-1500-000020000000}"/>
              </a:ext>
            </a:extLst>
          </xdr:cNvPr>
          <xdr:cNvSpPr/>
        </xdr:nvSpPr>
        <xdr:spPr>
          <a:xfrm>
            <a:off x="205740" y="1347548"/>
            <a:ext cx="2286000" cy="288000"/>
          </a:xfrm>
          <a:prstGeom prst="roundRect">
            <a:avLst/>
          </a:prstGeom>
          <a:grp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baseline="0">
                <a:solidFill>
                  <a:schemeClr val="bg1"/>
                </a:solidFill>
                <a:latin typeface="Rockwell Light" panose="02040303020102020203" pitchFamily="18" charset="0"/>
              </a:rPr>
              <a:t>Main M</a:t>
            </a:r>
            <a:r>
              <a:rPr lang="en-GB" sz="1200">
                <a:solidFill>
                  <a:schemeClr val="bg1"/>
                </a:solidFill>
                <a:latin typeface="Rockwell Light" panose="02040303020102020203" pitchFamily="18" charset="0"/>
              </a:rPr>
              <a:t>enu </a:t>
            </a:r>
          </a:p>
        </xdr:txBody>
      </xdr:sp>
      <xdr:sp macro="[0]!ActivateInstructions" textlink="">
        <xdr:nvSpPr>
          <xdr:cNvPr id="33" name="Rounded Rectangle 32">
            <a:extLst>
              <a:ext uri="{FF2B5EF4-FFF2-40B4-BE49-F238E27FC236}">
                <a16:creationId xmlns:a16="http://schemas.microsoft.com/office/drawing/2014/main" id="{00000000-0008-0000-1500-000021000000}"/>
              </a:ext>
            </a:extLst>
          </xdr:cNvPr>
          <xdr:cNvSpPr/>
        </xdr:nvSpPr>
        <xdr:spPr>
          <a:xfrm>
            <a:off x="2621195" y="1360910"/>
            <a:ext cx="2286000" cy="288000"/>
          </a:xfrm>
          <a:prstGeom prst="roundRect">
            <a:avLst/>
          </a:prstGeom>
          <a:grp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a:solidFill>
                  <a:schemeClr val="bg1"/>
                </a:solidFill>
                <a:latin typeface="Rockwell Light" panose="02040303020102020203" pitchFamily="18" charset="0"/>
              </a:rPr>
              <a:t>Instructions</a:t>
            </a:r>
          </a:p>
        </xdr:txBody>
      </xdr:sp>
      <xdr:sp macro="[0]!ToggleHideColumns" textlink="">
        <xdr:nvSpPr>
          <xdr:cNvPr id="34" name="Rectangle: Rounded Corners 19">
            <a:extLst>
              <a:ext uri="{FF2B5EF4-FFF2-40B4-BE49-F238E27FC236}">
                <a16:creationId xmlns:a16="http://schemas.microsoft.com/office/drawing/2014/main" id="{00000000-0008-0000-1500-000022000000}"/>
              </a:ext>
            </a:extLst>
          </xdr:cNvPr>
          <xdr:cNvSpPr/>
        </xdr:nvSpPr>
        <xdr:spPr>
          <a:xfrm>
            <a:off x="206819" y="877124"/>
            <a:ext cx="2286000" cy="360001"/>
          </a:xfrm>
          <a:prstGeom prst="roundRect">
            <a:avLst/>
          </a:prstGeom>
          <a:grp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a:latin typeface="Rockwell Light" panose="02040303020102020203" pitchFamily="18" charset="0"/>
              </a:rPr>
              <a:t>Condense / Show Columns</a:t>
            </a:r>
          </a:p>
        </xdr:txBody>
      </xdr:sp>
    </xdr:grpSp>
    <xdr:clientData/>
  </xdr:twoCellAnchor>
</xdr:wsDr>
</file>

<file path=xl/drawings/drawing21.xml><?xml version="1.0" encoding="utf-8"?>
<xdr:wsDr xmlns:xdr="http://schemas.openxmlformats.org/drawingml/2006/spreadsheetDrawing" xmlns:a="http://schemas.openxmlformats.org/drawingml/2006/main">
  <xdr:twoCellAnchor>
    <xdr:from>
      <xdr:col>0</xdr:col>
      <xdr:colOff>167640</xdr:colOff>
      <xdr:row>4</xdr:row>
      <xdr:rowOff>121920</xdr:rowOff>
    </xdr:from>
    <xdr:to>
      <xdr:col>4</xdr:col>
      <xdr:colOff>541020</xdr:colOff>
      <xdr:row>8</xdr:row>
      <xdr:rowOff>108846</xdr:rowOff>
    </xdr:to>
    <xdr:grpSp>
      <xdr:nvGrpSpPr>
        <xdr:cNvPr id="47" name="Group 46">
          <a:extLst>
            <a:ext uri="{FF2B5EF4-FFF2-40B4-BE49-F238E27FC236}">
              <a16:creationId xmlns:a16="http://schemas.microsoft.com/office/drawing/2014/main" id="{00000000-0008-0000-1600-00002F000000}"/>
            </a:ext>
          </a:extLst>
        </xdr:cNvPr>
        <xdr:cNvGrpSpPr/>
      </xdr:nvGrpSpPr>
      <xdr:grpSpPr>
        <a:xfrm>
          <a:off x="171450" y="933450"/>
          <a:ext cx="6134100" cy="757022"/>
          <a:chOff x="205740" y="877124"/>
          <a:chExt cx="4701455" cy="771786"/>
        </a:xfrm>
        <a:solidFill>
          <a:schemeClr val="accent1"/>
        </a:solidFill>
      </xdr:grpSpPr>
      <xdr:sp macro="[0]!ToggleHideRows" textlink="">
        <xdr:nvSpPr>
          <xdr:cNvPr id="48" name="Rectangle: Rounded Corners 19">
            <a:extLst>
              <a:ext uri="{FF2B5EF4-FFF2-40B4-BE49-F238E27FC236}">
                <a16:creationId xmlns:a16="http://schemas.microsoft.com/office/drawing/2014/main" id="{00000000-0008-0000-1600-000030000000}"/>
              </a:ext>
            </a:extLst>
          </xdr:cNvPr>
          <xdr:cNvSpPr/>
        </xdr:nvSpPr>
        <xdr:spPr>
          <a:xfrm>
            <a:off x="2620817" y="883920"/>
            <a:ext cx="2286000" cy="360001"/>
          </a:xfrm>
          <a:prstGeom prst="roundRect">
            <a:avLst/>
          </a:prstGeom>
          <a:grp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a:t>Condense / Show Rows</a:t>
            </a:r>
          </a:p>
        </xdr:txBody>
      </xdr:sp>
      <xdr:sp macro="[0]!ActivateSelectWorksheet" textlink="">
        <xdr:nvSpPr>
          <xdr:cNvPr id="49" name="Rounded Rectangle 48">
            <a:extLst>
              <a:ext uri="{FF2B5EF4-FFF2-40B4-BE49-F238E27FC236}">
                <a16:creationId xmlns:a16="http://schemas.microsoft.com/office/drawing/2014/main" id="{00000000-0008-0000-1600-000031000000}"/>
              </a:ext>
            </a:extLst>
          </xdr:cNvPr>
          <xdr:cNvSpPr/>
        </xdr:nvSpPr>
        <xdr:spPr>
          <a:xfrm>
            <a:off x="205740" y="1347548"/>
            <a:ext cx="2286000" cy="288000"/>
          </a:xfrm>
          <a:prstGeom prst="roundRect">
            <a:avLst/>
          </a:prstGeom>
          <a:grp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baseline="0">
                <a:solidFill>
                  <a:schemeClr val="bg1"/>
                </a:solidFill>
              </a:rPr>
              <a:t>Main M</a:t>
            </a:r>
            <a:r>
              <a:rPr lang="en-GB" sz="1200">
                <a:solidFill>
                  <a:schemeClr val="bg1"/>
                </a:solidFill>
              </a:rPr>
              <a:t>enu </a:t>
            </a:r>
          </a:p>
        </xdr:txBody>
      </xdr:sp>
      <xdr:sp macro="[0]!ActivateInstructions" textlink="">
        <xdr:nvSpPr>
          <xdr:cNvPr id="50" name="Rounded Rectangle 49">
            <a:extLst>
              <a:ext uri="{FF2B5EF4-FFF2-40B4-BE49-F238E27FC236}">
                <a16:creationId xmlns:a16="http://schemas.microsoft.com/office/drawing/2014/main" id="{00000000-0008-0000-1600-000032000000}"/>
              </a:ext>
            </a:extLst>
          </xdr:cNvPr>
          <xdr:cNvSpPr/>
        </xdr:nvSpPr>
        <xdr:spPr>
          <a:xfrm>
            <a:off x="2621195" y="1360910"/>
            <a:ext cx="2286000" cy="288000"/>
          </a:xfrm>
          <a:prstGeom prst="roundRect">
            <a:avLst/>
          </a:prstGeom>
          <a:grp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a:solidFill>
                  <a:schemeClr val="bg1"/>
                </a:solidFill>
              </a:rPr>
              <a:t>Instructions</a:t>
            </a:r>
          </a:p>
        </xdr:txBody>
      </xdr:sp>
      <xdr:sp macro="[0]!ToggleHideColumns" textlink="">
        <xdr:nvSpPr>
          <xdr:cNvPr id="51" name="Rectangle: Rounded Corners 19">
            <a:extLst>
              <a:ext uri="{FF2B5EF4-FFF2-40B4-BE49-F238E27FC236}">
                <a16:creationId xmlns:a16="http://schemas.microsoft.com/office/drawing/2014/main" id="{00000000-0008-0000-1600-000033000000}"/>
              </a:ext>
            </a:extLst>
          </xdr:cNvPr>
          <xdr:cNvSpPr/>
        </xdr:nvSpPr>
        <xdr:spPr>
          <a:xfrm>
            <a:off x="206819" y="877124"/>
            <a:ext cx="2286000" cy="360001"/>
          </a:xfrm>
          <a:prstGeom prst="roundRect">
            <a:avLst/>
          </a:prstGeom>
          <a:grp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a:t>Condense / Show Columns</a:t>
            </a:r>
          </a:p>
        </xdr:txBody>
      </xdr:sp>
    </xdr:grpSp>
    <xdr:clientData/>
  </xdr:twoCellAnchor>
</xdr:wsDr>
</file>

<file path=xl/drawings/drawing22.xml><?xml version="1.0" encoding="utf-8"?>
<xdr:wsDr xmlns:xdr="http://schemas.openxmlformats.org/drawingml/2006/spreadsheetDrawing" xmlns:a="http://schemas.openxmlformats.org/drawingml/2006/main">
  <xdr:twoCellAnchor>
    <xdr:from>
      <xdr:col>1</xdr:col>
      <xdr:colOff>22860</xdr:colOff>
      <xdr:row>4</xdr:row>
      <xdr:rowOff>114300</xdr:rowOff>
    </xdr:from>
    <xdr:to>
      <xdr:col>2</xdr:col>
      <xdr:colOff>3550920</xdr:colOff>
      <xdr:row>7</xdr:row>
      <xdr:rowOff>146946</xdr:rowOff>
    </xdr:to>
    <xdr:grpSp>
      <xdr:nvGrpSpPr>
        <xdr:cNvPr id="59" name="Group 58">
          <a:extLst>
            <a:ext uri="{FF2B5EF4-FFF2-40B4-BE49-F238E27FC236}">
              <a16:creationId xmlns:a16="http://schemas.microsoft.com/office/drawing/2014/main" id="{00000000-0008-0000-1700-00003B000000}"/>
            </a:ext>
          </a:extLst>
        </xdr:cNvPr>
        <xdr:cNvGrpSpPr/>
      </xdr:nvGrpSpPr>
      <xdr:grpSpPr>
        <a:xfrm>
          <a:off x="209550" y="1019175"/>
          <a:ext cx="4283869" cy="768929"/>
          <a:chOff x="205740" y="877124"/>
          <a:chExt cx="4701455" cy="771786"/>
        </a:xfrm>
      </xdr:grpSpPr>
      <xdr:sp macro="[0]!ToggleHideRows" textlink="">
        <xdr:nvSpPr>
          <xdr:cNvPr id="60" name="Rectangle: Rounded Corners 19">
            <a:extLst>
              <a:ext uri="{FF2B5EF4-FFF2-40B4-BE49-F238E27FC236}">
                <a16:creationId xmlns:a16="http://schemas.microsoft.com/office/drawing/2014/main" id="{00000000-0008-0000-1700-00003C000000}"/>
              </a:ext>
            </a:extLst>
          </xdr:cNvPr>
          <xdr:cNvSpPr/>
        </xdr:nvSpPr>
        <xdr:spPr>
          <a:xfrm>
            <a:off x="2620817" y="883920"/>
            <a:ext cx="2286000" cy="360001"/>
          </a:xfrm>
          <a:prstGeom prst="roundRect">
            <a:avLst/>
          </a:prstGeom>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a:latin typeface="Rockwell Light" panose="02040303020102020203" pitchFamily="18" charset="0"/>
              </a:rPr>
              <a:t>Condense / Show Rows</a:t>
            </a:r>
          </a:p>
        </xdr:txBody>
      </xdr:sp>
      <xdr:sp macro="[0]!ActivateSelectWorksheet" textlink="">
        <xdr:nvSpPr>
          <xdr:cNvPr id="61" name="Rounded Rectangle 60">
            <a:extLst>
              <a:ext uri="{FF2B5EF4-FFF2-40B4-BE49-F238E27FC236}">
                <a16:creationId xmlns:a16="http://schemas.microsoft.com/office/drawing/2014/main" id="{00000000-0008-0000-1700-00003D000000}"/>
              </a:ext>
            </a:extLst>
          </xdr:cNvPr>
          <xdr:cNvSpPr/>
        </xdr:nvSpPr>
        <xdr:spPr>
          <a:xfrm>
            <a:off x="205740" y="1347548"/>
            <a:ext cx="2286000" cy="288000"/>
          </a:xfrm>
          <a:prstGeom prst="roundRect">
            <a:avLst/>
          </a:prstGeom>
          <a:solidFill>
            <a:schemeClr val="accent1">
              <a:lumMod val="75000"/>
            </a:schemeClr>
          </a:solid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baseline="0">
                <a:solidFill>
                  <a:schemeClr val="bg1"/>
                </a:solidFill>
                <a:latin typeface="Rockwell Light" panose="02040303020102020203" pitchFamily="18" charset="0"/>
              </a:rPr>
              <a:t>Main M</a:t>
            </a:r>
            <a:r>
              <a:rPr lang="en-GB" sz="1200">
                <a:solidFill>
                  <a:schemeClr val="bg1"/>
                </a:solidFill>
                <a:latin typeface="Rockwell Light" panose="02040303020102020203" pitchFamily="18" charset="0"/>
              </a:rPr>
              <a:t>enu </a:t>
            </a:r>
          </a:p>
        </xdr:txBody>
      </xdr:sp>
      <xdr:sp macro="[0]!ActivateInstructions" textlink="">
        <xdr:nvSpPr>
          <xdr:cNvPr id="62" name="Rounded Rectangle 61">
            <a:extLst>
              <a:ext uri="{FF2B5EF4-FFF2-40B4-BE49-F238E27FC236}">
                <a16:creationId xmlns:a16="http://schemas.microsoft.com/office/drawing/2014/main" id="{00000000-0008-0000-1700-00003E000000}"/>
              </a:ext>
            </a:extLst>
          </xdr:cNvPr>
          <xdr:cNvSpPr/>
        </xdr:nvSpPr>
        <xdr:spPr>
          <a:xfrm>
            <a:off x="2621195" y="1360910"/>
            <a:ext cx="2286000" cy="288000"/>
          </a:xfrm>
          <a:prstGeom prst="roundRect">
            <a:avLst/>
          </a:prstGeom>
          <a:solidFill>
            <a:schemeClr val="accent1"/>
          </a:solid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a:solidFill>
                  <a:schemeClr val="bg1"/>
                </a:solidFill>
                <a:latin typeface="Rockwell Light" panose="02040303020102020203" pitchFamily="18" charset="0"/>
              </a:rPr>
              <a:t>Instructions</a:t>
            </a:r>
          </a:p>
        </xdr:txBody>
      </xdr:sp>
      <xdr:sp macro="[0]!ToggleHideColumns" textlink="">
        <xdr:nvSpPr>
          <xdr:cNvPr id="63" name="Rectangle: Rounded Corners 19">
            <a:extLst>
              <a:ext uri="{FF2B5EF4-FFF2-40B4-BE49-F238E27FC236}">
                <a16:creationId xmlns:a16="http://schemas.microsoft.com/office/drawing/2014/main" id="{00000000-0008-0000-1700-00003F000000}"/>
              </a:ext>
            </a:extLst>
          </xdr:cNvPr>
          <xdr:cNvSpPr/>
        </xdr:nvSpPr>
        <xdr:spPr>
          <a:xfrm>
            <a:off x="206819" y="877124"/>
            <a:ext cx="2286000" cy="360001"/>
          </a:xfrm>
          <a:prstGeom prst="roundRect">
            <a:avLst/>
          </a:prstGeom>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a:latin typeface="Rockwell Light" panose="02040303020102020203" pitchFamily="18" charset="0"/>
              </a:rPr>
              <a:t>Condense / Show Columns</a:t>
            </a:r>
          </a:p>
        </xdr:txBody>
      </xdr:sp>
    </xdr:grpSp>
    <xdr:clientData/>
  </xdr:twoCellAnchor>
</xdr:wsDr>
</file>

<file path=xl/drawings/drawing23.xml><?xml version="1.0" encoding="utf-8"?>
<xdr:wsDr xmlns:xdr="http://schemas.openxmlformats.org/drawingml/2006/spreadsheetDrawing" xmlns:a="http://schemas.openxmlformats.org/drawingml/2006/main">
  <xdr:twoCellAnchor>
    <xdr:from>
      <xdr:col>0</xdr:col>
      <xdr:colOff>190501</xdr:colOff>
      <xdr:row>4</xdr:row>
      <xdr:rowOff>102177</xdr:rowOff>
    </xdr:from>
    <xdr:to>
      <xdr:col>4</xdr:col>
      <xdr:colOff>7793</xdr:colOff>
      <xdr:row>6</xdr:row>
      <xdr:rowOff>432350</xdr:rowOff>
    </xdr:to>
    <xdr:grpSp>
      <xdr:nvGrpSpPr>
        <xdr:cNvPr id="79" name="Group 78">
          <a:extLst>
            <a:ext uri="{FF2B5EF4-FFF2-40B4-BE49-F238E27FC236}">
              <a16:creationId xmlns:a16="http://schemas.microsoft.com/office/drawing/2014/main" id="{00000000-0008-0000-1800-00004F000000}"/>
            </a:ext>
          </a:extLst>
        </xdr:cNvPr>
        <xdr:cNvGrpSpPr/>
      </xdr:nvGrpSpPr>
      <xdr:grpSpPr>
        <a:xfrm>
          <a:off x="190501" y="955617"/>
          <a:ext cx="4903166" cy="790231"/>
          <a:chOff x="205740" y="877124"/>
          <a:chExt cx="4701455" cy="771786"/>
        </a:xfrm>
        <a:solidFill>
          <a:schemeClr val="accent1"/>
        </a:solidFill>
      </xdr:grpSpPr>
      <xdr:sp macro="[0]!ToggleHideRows" textlink="">
        <xdr:nvSpPr>
          <xdr:cNvPr id="80" name="Rectangle: Rounded Corners 19">
            <a:extLst>
              <a:ext uri="{FF2B5EF4-FFF2-40B4-BE49-F238E27FC236}">
                <a16:creationId xmlns:a16="http://schemas.microsoft.com/office/drawing/2014/main" id="{00000000-0008-0000-1800-000050000000}"/>
              </a:ext>
            </a:extLst>
          </xdr:cNvPr>
          <xdr:cNvSpPr/>
        </xdr:nvSpPr>
        <xdr:spPr>
          <a:xfrm>
            <a:off x="2620817" y="883920"/>
            <a:ext cx="2286000" cy="360001"/>
          </a:xfrm>
          <a:prstGeom prst="roundRect">
            <a:avLst/>
          </a:prstGeom>
          <a:grp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a:latin typeface="Rockwell Light" panose="02040303020102020203" pitchFamily="18" charset="0"/>
              </a:rPr>
              <a:t>Condense / Show Rows</a:t>
            </a:r>
          </a:p>
        </xdr:txBody>
      </xdr:sp>
      <xdr:sp macro="[0]!ActivateSelectWorksheet" textlink="">
        <xdr:nvSpPr>
          <xdr:cNvPr id="81" name="Rounded Rectangle 80">
            <a:extLst>
              <a:ext uri="{FF2B5EF4-FFF2-40B4-BE49-F238E27FC236}">
                <a16:creationId xmlns:a16="http://schemas.microsoft.com/office/drawing/2014/main" id="{00000000-0008-0000-1800-000051000000}"/>
              </a:ext>
            </a:extLst>
          </xdr:cNvPr>
          <xdr:cNvSpPr/>
        </xdr:nvSpPr>
        <xdr:spPr>
          <a:xfrm>
            <a:off x="205740" y="1347548"/>
            <a:ext cx="2286000" cy="288000"/>
          </a:xfrm>
          <a:prstGeom prst="roundRect">
            <a:avLst/>
          </a:prstGeom>
          <a:grp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baseline="0">
                <a:solidFill>
                  <a:schemeClr val="bg1"/>
                </a:solidFill>
                <a:latin typeface="Rockwell Light" panose="02040303020102020203" pitchFamily="18" charset="0"/>
              </a:rPr>
              <a:t>Main M</a:t>
            </a:r>
            <a:r>
              <a:rPr lang="en-GB" sz="1200">
                <a:solidFill>
                  <a:schemeClr val="bg1"/>
                </a:solidFill>
                <a:latin typeface="Rockwell Light" panose="02040303020102020203" pitchFamily="18" charset="0"/>
              </a:rPr>
              <a:t>enu </a:t>
            </a:r>
          </a:p>
        </xdr:txBody>
      </xdr:sp>
      <xdr:sp macro="[0]!ActivateInstructions" textlink="">
        <xdr:nvSpPr>
          <xdr:cNvPr id="82" name="Rounded Rectangle 81">
            <a:extLst>
              <a:ext uri="{FF2B5EF4-FFF2-40B4-BE49-F238E27FC236}">
                <a16:creationId xmlns:a16="http://schemas.microsoft.com/office/drawing/2014/main" id="{00000000-0008-0000-1800-000052000000}"/>
              </a:ext>
            </a:extLst>
          </xdr:cNvPr>
          <xdr:cNvSpPr/>
        </xdr:nvSpPr>
        <xdr:spPr>
          <a:xfrm>
            <a:off x="2621195" y="1360910"/>
            <a:ext cx="2286000" cy="288000"/>
          </a:xfrm>
          <a:prstGeom prst="roundRect">
            <a:avLst/>
          </a:prstGeom>
          <a:grp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a:solidFill>
                  <a:schemeClr val="bg1"/>
                </a:solidFill>
                <a:latin typeface="Rockwell Light" panose="02040303020102020203" pitchFamily="18" charset="0"/>
              </a:rPr>
              <a:t>Instructions</a:t>
            </a:r>
          </a:p>
        </xdr:txBody>
      </xdr:sp>
      <xdr:sp macro="[0]!ToggleHideColumns" textlink="">
        <xdr:nvSpPr>
          <xdr:cNvPr id="83" name="Rectangle: Rounded Corners 19">
            <a:extLst>
              <a:ext uri="{FF2B5EF4-FFF2-40B4-BE49-F238E27FC236}">
                <a16:creationId xmlns:a16="http://schemas.microsoft.com/office/drawing/2014/main" id="{00000000-0008-0000-1800-000053000000}"/>
              </a:ext>
            </a:extLst>
          </xdr:cNvPr>
          <xdr:cNvSpPr/>
        </xdr:nvSpPr>
        <xdr:spPr>
          <a:xfrm>
            <a:off x="206819" y="877124"/>
            <a:ext cx="2286000" cy="360001"/>
          </a:xfrm>
          <a:prstGeom prst="roundRect">
            <a:avLst/>
          </a:prstGeom>
          <a:grp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a:latin typeface="Rockwell Light" panose="02040303020102020203" pitchFamily="18" charset="0"/>
              </a:rPr>
              <a:t>Condense / Show Columns</a:t>
            </a:r>
          </a:p>
        </xdr:txBody>
      </xdr:sp>
    </xdr:grpSp>
    <xdr:clientData/>
  </xdr:twoCellAnchor>
</xdr:wsDr>
</file>

<file path=xl/drawings/drawing24.xml><?xml version="1.0" encoding="utf-8"?>
<xdr:wsDr xmlns:xdr="http://schemas.openxmlformats.org/drawingml/2006/spreadsheetDrawing" xmlns:a="http://schemas.openxmlformats.org/drawingml/2006/main">
  <xdr:twoCellAnchor>
    <xdr:from>
      <xdr:col>1</xdr:col>
      <xdr:colOff>0</xdr:colOff>
      <xdr:row>4</xdr:row>
      <xdr:rowOff>83820</xdr:rowOff>
    </xdr:from>
    <xdr:to>
      <xdr:col>4</xdr:col>
      <xdr:colOff>998220</xdr:colOff>
      <xdr:row>8</xdr:row>
      <xdr:rowOff>78366</xdr:rowOff>
    </xdr:to>
    <xdr:grpSp>
      <xdr:nvGrpSpPr>
        <xdr:cNvPr id="96" name="Group 95">
          <a:extLst>
            <a:ext uri="{FF2B5EF4-FFF2-40B4-BE49-F238E27FC236}">
              <a16:creationId xmlns:a16="http://schemas.microsoft.com/office/drawing/2014/main" id="{00000000-0008-0000-1900-000060000000}"/>
            </a:ext>
          </a:extLst>
        </xdr:cNvPr>
        <xdr:cNvGrpSpPr/>
      </xdr:nvGrpSpPr>
      <xdr:grpSpPr>
        <a:xfrm>
          <a:off x="190500" y="788194"/>
          <a:ext cx="5238750" cy="754641"/>
          <a:chOff x="205740" y="877124"/>
          <a:chExt cx="4701455" cy="771786"/>
        </a:xfrm>
        <a:solidFill>
          <a:schemeClr val="accent1"/>
        </a:solidFill>
      </xdr:grpSpPr>
      <xdr:sp macro="[0]!ToggleHideRows" textlink="">
        <xdr:nvSpPr>
          <xdr:cNvPr id="97" name="Rectangle: Rounded Corners 19">
            <a:extLst>
              <a:ext uri="{FF2B5EF4-FFF2-40B4-BE49-F238E27FC236}">
                <a16:creationId xmlns:a16="http://schemas.microsoft.com/office/drawing/2014/main" id="{00000000-0008-0000-1900-000061000000}"/>
              </a:ext>
            </a:extLst>
          </xdr:cNvPr>
          <xdr:cNvSpPr/>
        </xdr:nvSpPr>
        <xdr:spPr>
          <a:xfrm>
            <a:off x="2620817" y="883920"/>
            <a:ext cx="2286000" cy="360001"/>
          </a:xfrm>
          <a:prstGeom prst="roundRect">
            <a:avLst/>
          </a:prstGeom>
          <a:grp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a:latin typeface="Rockwell Light" panose="02040303020102020203" pitchFamily="18" charset="0"/>
              </a:rPr>
              <a:t>Condense / Show Rows</a:t>
            </a:r>
          </a:p>
        </xdr:txBody>
      </xdr:sp>
      <xdr:sp macro="[0]!ActivateSelectWorksheet" textlink="">
        <xdr:nvSpPr>
          <xdr:cNvPr id="98" name="Rounded Rectangle 97">
            <a:extLst>
              <a:ext uri="{FF2B5EF4-FFF2-40B4-BE49-F238E27FC236}">
                <a16:creationId xmlns:a16="http://schemas.microsoft.com/office/drawing/2014/main" id="{00000000-0008-0000-1900-000062000000}"/>
              </a:ext>
            </a:extLst>
          </xdr:cNvPr>
          <xdr:cNvSpPr/>
        </xdr:nvSpPr>
        <xdr:spPr>
          <a:xfrm>
            <a:off x="205740" y="1347548"/>
            <a:ext cx="2286000" cy="288000"/>
          </a:xfrm>
          <a:prstGeom prst="roundRect">
            <a:avLst/>
          </a:prstGeom>
          <a:grp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baseline="0">
                <a:solidFill>
                  <a:schemeClr val="bg1"/>
                </a:solidFill>
                <a:latin typeface="Rockwell Light" panose="02040303020102020203" pitchFamily="18" charset="0"/>
              </a:rPr>
              <a:t>Main M</a:t>
            </a:r>
            <a:r>
              <a:rPr lang="en-GB" sz="1200">
                <a:solidFill>
                  <a:schemeClr val="bg1"/>
                </a:solidFill>
                <a:latin typeface="Rockwell Light" panose="02040303020102020203" pitchFamily="18" charset="0"/>
              </a:rPr>
              <a:t>enu </a:t>
            </a:r>
          </a:p>
        </xdr:txBody>
      </xdr:sp>
      <xdr:sp macro="[0]!ActivateInstructions" textlink="">
        <xdr:nvSpPr>
          <xdr:cNvPr id="99" name="Rounded Rectangle 98">
            <a:extLst>
              <a:ext uri="{FF2B5EF4-FFF2-40B4-BE49-F238E27FC236}">
                <a16:creationId xmlns:a16="http://schemas.microsoft.com/office/drawing/2014/main" id="{00000000-0008-0000-1900-000063000000}"/>
              </a:ext>
            </a:extLst>
          </xdr:cNvPr>
          <xdr:cNvSpPr/>
        </xdr:nvSpPr>
        <xdr:spPr>
          <a:xfrm>
            <a:off x="2621195" y="1360910"/>
            <a:ext cx="2286000" cy="288000"/>
          </a:xfrm>
          <a:prstGeom prst="roundRect">
            <a:avLst/>
          </a:prstGeom>
          <a:grp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a:solidFill>
                  <a:schemeClr val="bg1"/>
                </a:solidFill>
                <a:latin typeface="Rockwell Light" panose="02040303020102020203" pitchFamily="18" charset="0"/>
              </a:rPr>
              <a:t>Instructions</a:t>
            </a:r>
          </a:p>
        </xdr:txBody>
      </xdr:sp>
      <xdr:sp macro="[0]!ToggleHideColumns" textlink="">
        <xdr:nvSpPr>
          <xdr:cNvPr id="100" name="Rectangle: Rounded Corners 19">
            <a:extLst>
              <a:ext uri="{FF2B5EF4-FFF2-40B4-BE49-F238E27FC236}">
                <a16:creationId xmlns:a16="http://schemas.microsoft.com/office/drawing/2014/main" id="{00000000-0008-0000-1900-000064000000}"/>
              </a:ext>
            </a:extLst>
          </xdr:cNvPr>
          <xdr:cNvSpPr/>
        </xdr:nvSpPr>
        <xdr:spPr>
          <a:xfrm>
            <a:off x="206819" y="877124"/>
            <a:ext cx="2286000" cy="360001"/>
          </a:xfrm>
          <a:prstGeom prst="roundRect">
            <a:avLst/>
          </a:prstGeom>
          <a:grp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a:latin typeface="Rockwell Light" panose="02040303020102020203" pitchFamily="18" charset="0"/>
              </a:rPr>
              <a:t>Condense / Show Columns</a:t>
            </a:r>
          </a:p>
        </xdr:txBody>
      </xdr:sp>
    </xdr:grpSp>
    <xdr:clientData/>
  </xdr:twoCellAnchor>
</xdr:wsDr>
</file>

<file path=xl/drawings/drawing25.xml><?xml version="1.0" encoding="utf-8"?>
<xdr:wsDr xmlns:xdr="http://schemas.openxmlformats.org/drawingml/2006/spreadsheetDrawing" xmlns:a="http://schemas.openxmlformats.org/drawingml/2006/main">
  <xdr:twoCellAnchor>
    <xdr:from>
      <xdr:col>1</xdr:col>
      <xdr:colOff>25121</xdr:colOff>
      <xdr:row>4</xdr:row>
      <xdr:rowOff>100484</xdr:rowOff>
    </xdr:from>
    <xdr:to>
      <xdr:col>4</xdr:col>
      <xdr:colOff>1029956</xdr:colOff>
      <xdr:row>8</xdr:row>
      <xdr:rowOff>85149</xdr:rowOff>
    </xdr:to>
    <xdr:grpSp>
      <xdr:nvGrpSpPr>
        <xdr:cNvPr id="38" name="Group 37">
          <a:extLst>
            <a:ext uri="{FF2B5EF4-FFF2-40B4-BE49-F238E27FC236}">
              <a16:creationId xmlns:a16="http://schemas.microsoft.com/office/drawing/2014/main" id="{00000000-0008-0000-1A00-000026000000}"/>
            </a:ext>
          </a:extLst>
        </xdr:cNvPr>
        <xdr:cNvGrpSpPr/>
      </xdr:nvGrpSpPr>
      <xdr:grpSpPr>
        <a:xfrm>
          <a:off x="211811" y="1192049"/>
          <a:ext cx="5437770" cy="752380"/>
          <a:chOff x="205740" y="877124"/>
          <a:chExt cx="4701455" cy="771786"/>
        </a:xfrm>
        <a:solidFill>
          <a:schemeClr val="accent1"/>
        </a:solidFill>
      </xdr:grpSpPr>
      <xdr:sp macro="[0]!ToggleHideRows" textlink="">
        <xdr:nvSpPr>
          <xdr:cNvPr id="39" name="Rectangle: Rounded Corners 19">
            <a:extLst>
              <a:ext uri="{FF2B5EF4-FFF2-40B4-BE49-F238E27FC236}">
                <a16:creationId xmlns:a16="http://schemas.microsoft.com/office/drawing/2014/main" id="{00000000-0008-0000-1A00-000027000000}"/>
              </a:ext>
            </a:extLst>
          </xdr:cNvPr>
          <xdr:cNvSpPr/>
        </xdr:nvSpPr>
        <xdr:spPr>
          <a:xfrm>
            <a:off x="2620817" y="883920"/>
            <a:ext cx="2286000" cy="360001"/>
          </a:xfrm>
          <a:prstGeom prst="roundRect">
            <a:avLst/>
          </a:prstGeom>
          <a:grp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a:latin typeface="Rockwell Light" panose="02040303020102020203" pitchFamily="18" charset="0"/>
              </a:rPr>
              <a:t>Condense / Show Rows</a:t>
            </a:r>
          </a:p>
        </xdr:txBody>
      </xdr:sp>
      <xdr:sp macro="[0]!ActivateSelectWorksheet" textlink="">
        <xdr:nvSpPr>
          <xdr:cNvPr id="40" name="Rounded Rectangle 39">
            <a:extLst>
              <a:ext uri="{FF2B5EF4-FFF2-40B4-BE49-F238E27FC236}">
                <a16:creationId xmlns:a16="http://schemas.microsoft.com/office/drawing/2014/main" id="{00000000-0008-0000-1A00-000028000000}"/>
              </a:ext>
            </a:extLst>
          </xdr:cNvPr>
          <xdr:cNvSpPr/>
        </xdr:nvSpPr>
        <xdr:spPr>
          <a:xfrm>
            <a:off x="205740" y="1347548"/>
            <a:ext cx="2286000" cy="288000"/>
          </a:xfrm>
          <a:prstGeom prst="roundRect">
            <a:avLst/>
          </a:prstGeom>
          <a:grp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baseline="0">
                <a:solidFill>
                  <a:schemeClr val="bg1"/>
                </a:solidFill>
                <a:latin typeface="Rockwell Light" panose="02040303020102020203" pitchFamily="18" charset="0"/>
              </a:rPr>
              <a:t>Main M</a:t>
            </a:r>
            <a:r>
              <a:rPr lang="en-GB" sz="1200">
                <a:solidFill>
                  <a:schemeClr val="bg1"/>
                </a:solidFill>
                <a:latin typeface="Rockwell Light" panose="02040303020102020203" pitchFamily="18" charset="0"/>
              </a:rPr>
              <a:t>enu </a:t>
            </a:r>
          </a:p>
        </xdr:txBody>
      </xdr:sp>
      <xdr:sp macro="[0]!ActivateInstructions" textlink="">
        <xdr:nvSpPr>
          <xdr:cNvPr id="41" name="Rounded Rectangle 40">
            <a:extLst>
              <a:ext uri="{FF2B5EF4-FFF2-40B4-BE49-F238E27FC236}">
                <a16:creationId xmlns:a16="http://schemas.microsoft.com/office/drawing/2014/main" id="{00000000-0008-0000-1A00-000029000000}"/>
              </a:ext>
            </a:extLst>
          </xdr:cNvPr>
          <xdr:cNvSpPr/>
        </xdr:nvSpPr>
        <xdr:spPr>
          <a:xfrm>
            <a:off x="2621195" y="1360910"/>
            <a:ext cx="2286000" cy="288000"/>
          </a:xfrm>
          <a:prstGeom prst="roundRect">
            <a:avLst/>
          </a:prstGeom>
          <a:grp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a:solidFill>
                  <a:schemeClr val="bg1"/>
                </a:solidFill>
                <a:latin typeface="Rockwell Light" panose="02040303020102020203" pitchFamily="18" charset="0"/>
              </a:rPr>
              <a:t>Instructions</a:t>
            </a:r>
          </a:p>
        </xdr:txBody>
      </xdr:sp>
      <xdr:sp macro="[0]!ToggleHideColumns" textlink="">
        <xdr:nvSpPr>
          <xdr:cNvPr id="42" name="Rectangle: Rounded Corners 19">
            <a:extLst>
              <a:ext uri="{FF2B5EF4-FFF2-40B4-BE49-F238E27FC236}">
                <a16:creationId xmlns:a16="http://schemas.microsoft.com/office/drawing/2014/main" id="{00000000-0008-0000-1A00-00002A000000}"/>
              </a:ext>
            </a:extLst>
          </xdr:cNvPr>
          <xdr:cNvSpPr/>
        </xdr:nvSpPr>
        <xdr:spPr>
          <a:xfrm>
            <a:off x="206819" y="877124"/>
            <a:ext cx="2286000" cy="360001"/>
          </a:xfrm>
          <a:prstGeom prst="roundRect">
            <a:avLst/>
          </a:prstGeom>
          <a:grp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a:latin typeface="Rockwell Light" panose="02040303020102020203" pitchFamily="18" charset="0"/>
              </a:rPr>
              <a:t>Condense / Show Columns</a:t>
            </a:r>
          </a:p>
        </xdr:txBody>
      </xdr:sp>
    </xdr:grpSp>
    <xdr:clientData/>
  </xdr:twoCellAnchor>
</xdr:wsDr>
</file>

<file path=xl/drawings/drawing26.xml><?xml version="1.0" encoding="utf-8"?>
<xdr:wsDr xmlns:xdr="http://schemas.openxmlformats.org/drawingml/2006/spreadsheetDrawing" xmlns:a="http://schemas.openxmlformats.org/drawingml/2006/main">
  <xdr:twoCellAnchor>
    <xdr:from>
      <xdr:col>1</xdr:col>
      <xdr:colOff>33865</xdr:colOff>
      <xdr:row>4</xdr:row>
      <xdr:rowOff>101599</xdr:rowOff>
    </xdr:from>
    <xdr:to>
      <xdr:col>4</xdr:col>
      <xdr:colOff>465665</xdr:colOff>
      <xdr:row>6</xdr:row>
      <xdr:rowOff>18252</xdr:rowOff>
    </xdr:to>
    <xdr:grpSp>
      <xdr:nvGrpSpPr>
        <xdr:cNvPr id="152" name="Group 151">
          <a:extLst>
            <a:ext uri="{FF2B5EF4-FFF2-40B4-BE49-F238E27FC236}">
              <a16:creationId xmlns:a16="http://schemas.microsoft.com/office/drawing/2014/main" id="{00000000-0008-0000-1B00-000098000000}"/>
            </a:ext>
          </a:extLst>
        </xdr:cNvPr>
        <xdr:cNvGrpSpPr/>
      </xdr:nvGrpSpPr>
      <xdr:grpSpPr>
        <a:xfrm>
          <a:off x="246273" y="895508"/>
          <a:ext cx="5221922" cy="781523"/>
          <a:chOff x="205740" y="877124"/>
          <a:chExt cx="4701455" cy="771786"/>
        </a:xfrm>
        <a:solidFill>
          <a:schemeClr val="accent1"/>
        </a:solidFill>
      </xdr:grpSpPr>
      <xdr:sp macro="[0]!ToggleHideRows" textlink="">
        <xdr:nvSpPr>
          <xdr:cNvPr id="153" name="Rectangle: Rounded Corners 19">
            <a:extLst>
              <a:ext uri="{FF2B5EF4-FFF2-40B4-BE49-F238E27FC236}">
                <a16:creationId xmlns:a16="http://schemas.microsoft.com/office/drawing/2014/main" id="{00000000-0008-0000-1B00-000099000000}"/>
              </a:ext>
            </a:extLst>
          </xdr:cNvPr>
          <xdr:cNvSpPr/>
        </xdr:nvSpPr>
        <xdr:spPr>
          <a:xfrm>
            <a:off x="2620817" y="883920"/>
            <a:ext cx="2286000" cy="360001"/>
          </a:xfrm>
          <a:prstGeom prst="roundRect">
            <a:avLst/>
          </a:prstGeom>
          <a:grp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a:latin typeface="Rockwell Light" panose="02040303020102020203" pitchFamily="18" charset="0"/>
              </a:rPr>
              <a:t>Condense / Show Rows</a:t>
            </a:r>
          </a:p>
        </xdr:txBody>
      </xdr:sp>
      <xdr:sp macro="[0]!ActivateSelectWorksheet" textlink="">
        <xdr:nvSpPr>
          <xdr:cNvPr id="154" name="Rounded Rectangle 153">
            <a:extLst>
              <a:ext uri="{FF2B5EF4-FFF2-40B4-BE49-F238E27FC236}">
                <a16:creationId xmlns:a16="http://schemas.microsoft.com/office/drawing/2014/main" id="{00000000-0008-0000-1B00-00009A000000}"/>
              </a:ext>
            </a:extLst>
          </xdr:cNvPr>
          <xdr:cNvSpPr/>
        </xdr:nvSpPr>
        <xdr:spPr>
          <a:xfrm>
            <a:off x="205740" y="1347548"/>
            <a:ext cx="2286000" cy="288000"/>
          </a:xfrm>
          <a:prstGeom prst="roundRect">
            <a:avLst/>
          </a:prstGeom>
          <a:grp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baseline="0">
                <a:solidFill>
                  <a:schemeClr val="bg1"/>
                </a:solidFill>
              </a:rPr>
              <a:t>Main M</a:t>
            </a:r>
            <a:r>
              <a:rPr lang="en-GB" sz="1200">
                <a:solidFill>
                  <a:schemeClr val="bg1"/>
                </a:solidFill>
              </a:rPr>
              <a:t>enu </a:t>
            </a:r>
          </a:p>
        </xdr:txBody>
      </xdr:sp>
      <xdr:sp macro="[0]!ActivateInstructions" textlink="">
        <xdr:nvSpPr>
          <xdr:cNvPr id="155" name="Rounded Rectangle 154">
            <a:extLst>
              <a:ext uri="{FF2B5EF4-FFF2-40B4-BE49-F238E27FC236}">
                <a16:creationId xmlns:a16="http://schemas.microsoft.com/office/drawing/2014/main" id="{00000000-0008-0000-1B00-00009B000000}"/>
              </a:ext>
            </a:extLst>
          </xdr:cNvPr>
          <xdr:cNvSpPr/>
        </xdr:nvSpPr>
        <xdr:spPr>
          <a:xfrm>
            <a:off x="2621195" y="1360910"/>
            <a:ext cx="2286000" cy="288000"/>
          </a:xfrm>
          <a:prstGeom prst="roundRect">
            <a:avLst/>
          </a:prstGeom>
          <a:grp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a:solidFill>
                  <a:schemeClr val="bg1"/>
                </a:solidFill>
                <a:latin typeface="Rockwell Light" panose="02040303020102020203" pitchFamily="18" charset="0"/>
              </a:rPr>
              <a:t>Instructions</a:t>
            </a:r>
          </a:p>
        </xdr:txBody>
      </xdr:sp>
      <xdr:sp macro="[0]!ToggleHideColumns" textlink="">
        <xdr:nvSpPr>
          <xdr:cNvPr id="156" name="Rectangle: Rounded Corners 19">
            <a:extLst>
              <a:ext uri="{FF2B5EF4-FFF2-40B4-BE49-F238E27FC236}">
                <a16:creationId xmlns:a16="http://schemas.microsoft.com/office/drawing/2014/main" id="{00000000-0008-0000-1B00-00009C000000}"/>
              </a:ext>
            </a:extLst>
          </xdr:cNvPr>
          <xdr:cNvSpPr/>
        </xdr:nvSpPr>
        <xdr:spPr>
          <a:xfrm>
            <a:off x="206819" y="877124"/>
            <a:ext cx="2286000" cy="360001"/>
          </a:xfrm>
          <a:prstGeom prst="roundRect">
            <a:avLst/>
          </a:prstGeom>
          <a:grp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a:latin typeface="Rockwell Light" panose="02040303020102020203" pitchFamily="18" charset="0"/>
              </a:rPr>
              <a:t>Condense / Show Columns</a:t>
            </a:r>
          </a:p>
        </xdr:txBody>
      </xdr:sp>
    </xdr:grpSp>
    <xdr:clientData/>
  </xdr:twoCellAnchor>
</xdr:wsDr>
</file>

<file path=xl/drawings/drawing27.xml><?xml version="1.0" encoding="utf-8"?>
<xdr:wsDr xmlns:xdr="http://schemas.openxmlformats.org/drawingml/2006/spreadsheetDrawing" xmlns:a="http://schemas.openxmlformats.org/drawingml/2006/main">
  <xdr:twoCellAnchor>
    <xdr:from>
      <xdr:col>0</xdr:col>
      <xdr:colOff>152401</xdr:colOff>
      <xdr:row>4</xdr:row>
      <xdr:rowOff>152400</xdr:rowOff>
    </xdr:from>
    <xdr:to>
      <xdr:col>4</xdr:col>
      <xdr:colOff>30481</xdr:colOff>
      <xdr:row>7</xdr:row>
      <xdr:rowOff>116466</xdr:rowOff>
    </xdr:to>
    <xdr:grpSp>
      <xdr:nvGrpSpPr>
        <xdr:cNvPr id="64" name="Group 63">
          <a:extLst>
            <a:ext uri="{FF2B5EF4-FFF2-40B4-BE49-F238E27FC236}">
              <a16:creationId xmlns:a16="http://schemas.microsoft.com/office/drawing/2014/main" id="{00000000-0008-0000-1C00-000040000000}"/>
            </a:ext>
          </a:extLst>
        </xdr:cNvPr>
        <xdr:cNvGrpSpPr/>
      </xdr:nvGrpSpPr>
      <xdr:grpSpPr>
        <a:xfrm>
          <a:off x="152401" y="985838"/>
          <a:ext cx="4757738" cy="749878"/>
          <a:chOff x="205740" y="877124"/>
          <a:chExt cx="4701455" cy="771786"/>
        </a:xfrm>
      </xdr:grpSpPr>
      <xdr:sp macro="[0]!ToggleHideRows" textlink="">
        <xdr:nvSpPr>
          <xdr:cNvPr id="65" name="Rectangle: Rounded Corners 19">
            <a:extLst>
              <a:ext uri="{FF2B5EF4-FFF2-40B4-BE49-F238E27FC236}">
                <a16:creationId xmlns:a16="http://schemas.microsoft.com/office/drawing/2014/main" id="{00000000-0008-0000-1C00-000041000000}"/>
              </a:ext>
            </a:extLst>
          </xdr:cNvPr>
          <xdr:cNvSpPr/>
        </xdr:nvSpPr>
        <xdr:spPr>
          <a:xfrm>
            <a:off x="2620817" y="883920"/>
            <a:ext cx="2286000" cy="360001"/>
          </a:xfrm>
          <a:prstGeom prst="roundRect">
            <a:avLst/>
          </a:prstGeom>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a:latin typeface="Rockwell Light" panose="02040303020102020203" pitchFamily="18" charset="0"/>
              </a:rPr>
              <a:t>Condense / Show Rows</a:t>
            </a:r>
          </a:p>
        </xdr:txBody>
      </xdr:sp>
      <xdr:sp macro="[0]!ActivateSelectWorksheet" textlink="">
        <xdr:nvSpPr>
          <xdr:cNvPr id="66" name="Rounded Rectangle 65">
            <a:extLst>
              <a:ext uri="{FF2B5EF4-FFF2-40B4-BE49-F238E27FC236}">
                <a16:creationId xmlns:a16="http://schemas.microsoft.com/office/drawing/2014/main" id="{00000000-0008-0000-1C00-000042000000}"/>
              </a:ext>
            </a:extLst>
          </xdr:cNvPr>
          <xdr:cNvSpPr/>
        </xdr:nvSpPr>
        <xdr:spPr>
          <a:xfrm>
            <a:off x="205740" y="1347548"/>
            <a:ext cx="2286000" cy="288000"/>
          </a:xfrm>
          <a:prstGeom prst="roundRect">
            <a:avLst/>
          </a:prstGeom>
          <a:solidFill>
            <a:schemeClr val="accent1">
              <a:lumMod val="75000"/>
            </a:schemeClr>
          </a:solid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baseline="0">
                <a:solidFill>
                  <a:schemeClr val="bg1"/>
                </a:solidFill>
                <a:latin typeface="Rockwell Light" panose="02040303020102020203" pitchFamily="18" charset="0"/>
              </a:rPr>
              <a:t>Main M</a:t>
            </a:r>
            <a:r>
              <a:rPr lang="en-GB" sz="1200">
                <a:solidFill>
                  <a:schemeClr val="bg1"/>
                </a:solidFill>
                <a:latin typeface="Rockwell Light" panose="02040303020102020203" pitchFamily="18" charset="0"/>
              </a:rPr>
              <a:t>enu </a:t>
            </a:r>
          </a:p>
        </xdr:txBody>
      </xdr:sp>
      <xdr:sp macro="[0]!ActivateInstructions" textlink="">
        <xdr:nvSpPr>
          <xdr:cNvPr id="67" name="Rounded Rectangle 66">
            <a:extLst>
              <a:ext uri="{FF2B5EF4-FFF2-40B4-BE49-F238E27FC236}">
                <a16:creationId xmlns:a16="http://schemas.microsoft.com/office/drawing/2014/main" id="{00000000-0008-0000-1C00-000043000000}"/>
              </a:ext>
            </a:extLst>
          </xdr:cNvPr>
          <xdr:cNvSpPr/>
        </xdr:nvSpPr>
        <xdr:spPr>
          <a:xfrm>
            <a:off x="2621195" y="1360910"/>
            <a:ext cx="2286000" cy="288000"/>
          </a:xfrm>
          <a:prstGeom prst="roundRect">
            <a:avLst/>
          </a:prstGeom>
          <a:solidFill>
            <a:schemeClr val="accent1"/>
          </a:solid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a:solidFill>
                  <a:schemeClr val="bg1"/>
                </a:solidFill>
                <a:latin typeface="Rockwell Light" panose="02040303020102020203" pitchFamily="18" charset="0"/>
              </a:rPr>
              <a:t>Instructions</a:t>
            </a:r>
          </a:p>
        </xdr:txBody>
      </xdr:sp>
      <xdr:sp macro="[0]!ToggleHideColumns" textlink="">
        <xdr:nvSpPr>
          <xdr:cNvPr id="68" name="Rectangle: Rounded Corners 19">
            <a:extLst>
              <a:ext uri="{FF2B5EF4-FFF2-40B4-BE49-F238E27FC236}">
                <a16:creationId xmlns:a16="http://schemas.microsoft.com/office/drawing/2014/main" id="{00000000-0008-0000-1C00-000044000000}"/>
              </a:ext>
            </a:extLst>
          </xdr:cNvPr>
          <xdr:cNvSpPr/>
        </xdr:nvSpPr>
        <xdr:spPr>
          <a:xfrm>
            <a:off x="206819" y="877124"/>
            <a:ext cx="2286000" cy="360001"/>
          </a:xfrm>
          <a:prstGeom prst="roundRect">
            <a:avLst/>
          </a:prstGeom>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a:latin typeface="Rockwell Light" panose="02040303020102020203" pitchFamily="18" charset="0"/>
              </a:rPr>
              <a:t>Condense / Show Columns</a:t>
            </a:r>
          </a:p>
        </xdr:txBody>
      </xdr:sp>
    </xdr:grpSp>
    <xdr:clientData/>
  </xdr:twoCellAnchor>
</xdr:wsDr>
</file>

<file path=xl/drawings/drawing28.xml><?xml version="1.0" encoding="utf-8"?>
<xdr:wsDr xmlns:xdr="http://schemas.openxmlformats.org/drawingml/2006/spreadsheetDrawing" xmlns:a="http://schemas.openxmlformats.org/drawingml/2006/main">
  <xdr:twoCellAnchor>
    <xdr:from>
      <xdr:col>0</xdr:col>
      <xdr:colOff>184219</xdr:colOff>
      <xdr:row>4</xdr:row>
      <xdr:rowOff>75363</xdr:rowOff>
    </xdr:from>
    <xdr:to>
      <xdr:col>2</xdr:col>
      <xdr:colOff>3475054</xdr:colOff>
      <xdr:row>8</xdr:row>
      <xdr:rowOff>76775</xdr:rowOff>
    </xdr:to>
    <xdr:grpSp>
      <xdr:nvGrpSpPr>
        <xdr:cNvPr id="42" name="Group 41">
          <a:extLst>
            <a:ext uri="{FF2B5EF4-FFF2-40B4-BE49-F238E27FC236}">
              <a16:creationId xmlns:a16="http://schemas.microsoft.com/office/drawing/2014/main" id="{00000000-0008-0000-1D00-00002A000000}"/>
            </a:ext>
          </a:extLst>
        </xdr:cNvPr>
        <xdr:cNvGrpSpPr/>
      </xdr:nvGrpSpPr>
      <xdr:grpSpPr>
        <a:xfrm>
          <a:off x="182314" y="1206457"/>
          <a:ext cx="4461458" cy="739599"/>
          <a:chOff x="205740" y="877124"/>
          <a:chExt cx="4701455" cy="771786"/>
        </a:xfrm>
      </xdr:grpSpPr>
      <xdr:sp macro="[0]!ToggleHideRows" textlink="">
        <xdr:nvSpPr>
          <xdr:cNvPr id="43" name="Rectangle: Rounded Corners 19">
            <a:extLst>
              <a:ext uri="{FF2B5EF4-FFF2-40B4-BE49-F238E27FC236}">
                <a16:creationId xmlns:a16="http://schemas.microsoft.com/office/drawing/2014/main" id="{00000000-0008-0000-1D00-00002B000000}"/>
              </a:ext>
            </a:extLst>
          </xdr:cNvPr>
          <xdr:cNvSpPr/>
        </xdr:nvSpPr>
        <xdr:spPr>
          <a:xfrm>
            <a:off x="2620817" y="883920"/>
            <a:ext cx="2286000" cy="360001"/>
          </a:xfrm>
          <a:prstGeom prst="roundRect">
            <a:avLst/>
          </a:prstGeom>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a:latin typeface="Rockwell Light" panose="02040303020102020203" pitchFamily="18" charset="0"/>
              </a:rPr>
              <a:t>Condense / Show Rows</a:t>
            </a:r>
          </a:p>
        </xdr:txBody>
      </xdr:sp>
      <xdr:sp macro="[0]!ActivateSelectWorksheet" textlink="">
        <xdr:nvSpPr>
          <xdr:cNvPr id="44" name="Rounded Rectangle 43">
            <a:extLst>
              <a:ext uri="{FF2B5EF4-FFF2-40B4-BE49-F238E27FC236}">
                <a16:creationId xmlns:a16="http://schemas.microsoft.com/office/drawing/2014/main" id="{00000000-0008-0000-1D00-00002C000000}"/>
              </a:ext>
            </a:extLst>
          </xdr:cNvPr>
          <xdr:cNvSpPr/>
        </xdr:nvSpPr>
        <xdr:spPr>
          <a:xfrm>
            <a:off x="205740" y="1347548"/>
            <a:ext cx="2286000" cy="288000"/>
          </a:xfrm>
          <a:prstGeom prst="roundRect">
            <a:avLst/>
          </a:prstGeom>
          <a:solidFill>
            <a:schemeClr val="accent1">
              <a:lumMod val="75000"/>
            </a:schemeClr>
          </a:solid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baseline="0">
                <a:solidFill>
                  <a:schemeClr val="bg1"/>
                </a:solidFill>
                <a:latin typeface="Rockwell Light" panose="02040303020102020203" pitchFamily="18" charset="0"/>
              </a:rPr>
              <a:t>Main M</a:t>
            </a:r>
            <a:r>
              <a:rPr lang="en-GB" sz="1200">
                <a:solidFill>
                  <a:schemeClr val="bg1"/>
                </a:solidFill>
                <a:latin typeface="Rockwell Light" panose="02040303020102020203" pitchFamily="18" charset="0"/>
              </a:rPr>
              <a:t>enu </a:t>
            </a:r>
          </a:p>
        </xdr:txBody>
      </xdr:sp>
      <xdr:sp macro="[0]!ActivateInstructions" textlink="">
        <xdr:nvSpPr>
          <xdr:cNvPr id="45" name="Rounded Rectangle 44">
            <a:extLst>
              <a:ext uri="{FF2B5EF4-FFF2-40B4-BE49-F238E27FC236}">
                <a16:creationId xmlns:a16="http://schemas.microsoft.com/office/drawing/2014/main" id="{00000000-0008-0000-1D00-00002D000000}"/>
              </a:ext>
            </a:extLst>
          </xdr:cNvPr>
          <xdr:cNvSpPr/>
        </xdr:nvSpPr>
        <xdr:spPr>
          <a:xfrm>
            <a:off x="2621195" y="1360910"/>
            <a:ext cx="2286000" cy="288000"/>
          </a:xfrm>
          <a:prstGeom prst="roundRect">
            <a:avLst/>
          </a:prstGeom>
          <a:solidFill>
            <a:schemeClr val="accent1"/>
          </a:solid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a:solidFill>
                  <a:schemeClr val="bg1"/>
                </a:solidFill>
                <a:latin typeface="Rockwell Light" panose="02040303020102020203" pitchFamily="18" charset="0"/>
              </a:rPr>
              <a:t>Instructions</a:t>
            </a:r>
          </a:p>
        </xdr:txBody>
      </xdr:sp>
      <xdr:sp macro="[0]!ToggleHideColumns" textlink="">
        <xdr:nvSpPr>
          <xdr:cNvPr id="46" name="Rectangle: Rounded Corners 19">
            <a:extLst>
              <a:ext uri="{FF2B5EF4-FFF2-40B4-BE49-F238E27FC236}">
                <a16:creationId xmlns:a16="http://schemas.microsoft.com/office/drawing/2014/main" id="{00000000-0008-0000-1D00-00002E000000}"/>
              </a:ext>
            </a:extLst>
          </xdr:cNvPr>
          <xdr:cNvSpPr/>
        </xdr:nvSpPr>
        <xdr:spPr>
          <a:xfrm>
            <a:off x="206819" y="877124"/>
            <a:ext cx="2286000" cy="360001"/>
          </a:xfrm>
          <a:prstGeom prst="roundRect">
            <a:avLst/>
          </a:prstGeom>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a:latin typeface="Rockwell Light" panose="02040303020102020203" pitchFamily="18" charset="0"/>
              </a:rPr>
              <a:t>Condense / Show Columns</a:t>
            </a:r>
          </a:p>
        </xdr:txBody>
      </xdr:sp>
    </xdr:grpSp>
    <xdr:clientData/>
  </xdr:twoCellAnchor>
</xdr:wsDr>
</file>

<file path=xl/drawings/drawing29.xml><?xml version="1.0" encoding="utf-8"?>
<xdr:wsDr xmlns:xdr="http://schemas.openxmlformats.org/drawingml/2006/spreadsheetDrawing" xmlns:a="http://schemas.openxmlformats.org/drawingml/2006/main">
  <xdr:twoCellAnchor>
    <xdr:from>
      <xdr:col>1</xdr:col>
      <xdr:colOff>83820</xdr:colOff>
      <xdr:row>0</xdr:row>
      <xdr:rowOff>76200</xdr:rowOff>
    </xdr:from>
    <xdr:to>
      <xdr:col>1</xdr:col>
      <xdr:colOff>1508760</xdr:colOff>
      <xdr:row>0</xdr:row>
      <xdr:rowOff>632460</xdr:rowOff>
    </xdr:to>
    <xdr:sp macro="[0]!returnstartG1" textlink="">
      <xdr:nvSpPr>
        <xdr:cNvPr id="3" name="Rounded Rectangle 2">
          <a:extLst>
            <a:ext uri="{FF2B5EF4-FFF2-40B4-BE49-F238E27FC236}">
              <a16:creationId xmlns:a16="http://schemas.microsoft.com/office/drawing/2014/main" id="{00000000-0008-0000-1E00-000003000000}"/>
            </a:ext>
          </a:extLst>
        </xdr:cNvPr>
        <xdr:cNvSpPr/>
      </xdr:nvSpPr>
      <xdr:spPr>
        <a:xfrm>
          <a:off x="83820" y="76200"/>
          <a:ext cx="1424940" cy="556260"/>
        </a:xfrm>
        <a:prstGeom prst="roundRect">
          <a:avLst/>
        </a:prstGeom>
        <a:solidFill>
          <a:schemeClr val="accent1"/>
        </a:solid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400">
              <a:solidFill>
                <a:schemeClr val="bg1"/>
              </a:solidFill>
            </a:rPr>
            <a:t>Return to start</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107526</xdr:colOff>
      <xdr:row>9</xdr:row>
      <xdr:rowOff>127846</xdr:rowOff>
    </xdr:from>
    <xdr:to>
      <xdr:col>4</xdr:col>
      <xdr:colOff>20108</xdr:colOff>
      <xdr:row>13</xdr:row>
      <xdr:rowOff>185496</xdr:rowOff>
    </xdr:to>
    <xdr:sp macro="[0]!returnstartInstructions" textlink="">
      <xdr:nvSpPr>
        <xdr:cNvPr id="14" name="Rounded Rectangle 13">
          <a:extLst>
            <a:ext uri="{FF2B5EF4-FFF2-40B4-BE49-F238E27FC236}">
              <a16:creationId xmlns:a16="http://schemas.microsoft.com/office/drawing/2014/main" id="{00000000-0008-0000-0200-00000E000000}"/>
            </a:ext>
          </a:extLst>
        </xdr:cNvPr>
        <xdr:cNvSpPr/>
      </xdr:nvSpPr>
      <xdr:spPr>
        <a:xfrm>
          <a:off x="107526" y="1956646"/>
          <a:ext cx="1627082" cy="1055870"/>
        </a:xfrm>
        <a:prstGeom prst="roundRect">
          <a:avLst/>
        </a:prstGeom>
        <a:solidFill>
          <a:schemeClr val="accent1"/>
        </a:solid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400" b="1">
              <a:solidFill>
                <a:schemeClr val="bg1"/>
              </a:solidFill>
              <a:latin typeface="Rockwell Light" panose="02040303020102020203" pitchFamily="18" charset="0"/>
            </a:rPr>
            <a:t>Start page</a:t>
          </a:r>
        </a:p>
      </xdr:txBody>
    </xdr:sp>
    <xdr:clientData/>
  </xdr:twoCellAnchor>
  <xdr:twoCellAnchor>
    <xdr:from>
      <xdr:col>0</xdr:col>
      <xdr:colOff>106680</xdr:colOff>
      <xdr:row>14</xdr:row>
      <xdr:rowOff>129540</xdr:rowOff>
    </xdr:from>
    <xdr:to>
      <xdr:col>3</xdr:col>
      <xdr:colOff>1272540</xdr:colOff>
      <xdr:row>19</xdr:row>
      <xdr:rowOff>53340</xdr:rowOff>
    </xdr:to>
    <xdr:sp macro="[0]!ActivateSelectWorksheet" textlink="">
      <xdr:nvSpPr>
        <xdr:cNvPr id="35" name="TextBox 34">
          <a:extLst>
            <a:ext uri="{FF2B5EF4-FFF2-40B4-BE49-F238E27FC236}">
              <a16:creationId xmlns:a16="http://schemas.microsoft.com/office/drawing/2014/main" id="{00000000-0008-0000-0200-000023000000}"/>
            </a:ext>
          </a:extLst>
        </xdr:cNvPr>
        <xdr:cNvSpPr txBox="1"/>
      </xdr:nvSpPr>
      <xdr:spPr>
        <a:xfrm>
          <a:off x="106680" y="3162300"/>
          <a:ext cx="1600200" cy="952500"/>
        </a:xfrm>
        <a:prstGeom prst="roundRect">
          <a:avLst/>
        </a:prstGeom>
        <a:solidFill>
          <a:schemeClr val="accent1"/>
        </a:solidFill>
        <a:ln w="9525" cmpd="sng">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400" b="1" baseline="0">
              <a:solidFill>
                <a:schemeClr val="bg1"/>
              </a:solidFill>
              <a:latin typeface="Rockwell Light" panose="02040303020102020203" pitchFamily="18" charset="0"/>
            </a:rPr>
            <a:t>Main menu </a:t>
          </a:r>
          <a:endParaRPr lang="en-GB" sz="1400" b="1">
            <a:solidFill>
              <a:schemeClr val="bg1"/>
            </a:solidFill>
            <a:latin typeface="Rockwell Light" panose="02040303020102020203" pitchFamily="18" charset="0"/>
          </a:endParaRPr>
        </a:p>
      </xdr:txBody>
    </xdr:sp>
    <xdr:clientData/>
  </xdr:twoCellAnchor>
  <xdr:twoCellAnchor>
    <xdr:from>
      <xdr:col>3</xdr:col>
      <xdr:colOff>0</xdr:colOff>
      <xdr:row>2</xdr:row>
      <xdr:rowOff>0</xdr:rowOff>
    </xdr:from>
    <xdr:to>
      <xdr:col>16</xdr:col>
      <xdr:colOff>495300</xdr:colOff>
      <xdr:row>7</xdr:row>
      <xdr:rowOff>142875</xdr:rowOff>
    </xdr:to>
    <xdr:sp macro="" textlink="">
      <xdr:nvSpPr>
        <xdr:cNvPr id="13" name="TextBox 12">
          <a:extLst>
            <a:ext uri="{FF2B5EF4-FFF2-40B4-BE49-F238E27FC236}">
              <a16:creationId xmlns:a16="http://schemas.microsoft.com/office/drawing/2014/main" id="{00000000-0008-0000-0200-00000D000000}"/>
            </a:ext>
          </a:extLst>
        </xdr:cNvPr>
        <xdr:cNvSpPr txBox="1"/>
      </xdr:nvSpPr>
      <xdr:spPr>
        <a:xfrm>
          <a:off x="428625" y="400050"/>
          <a:ext cx="10582275" cy="1181100"/>
        </a:xfrm>
        <a:prstGeom prst="roundRect">
          <a:avLst/>
        </a:prstGeom>
        <a:solidFill>
          <a:srgbClr val="E0DCD3"/>
        </a:solidFill>
        <a:ln w="9525" cmpd="sng">
          <a:solidFill>
            <a:schemeClr val="lt1">
              <a:shade val="50000"/>
            </a:schemeClr>
          </a:solidFill>
        </a:ln>
        <a:effectLst>
          <a:innerShdw blurRad="25400" dist="393700" dir="2160000">
            <a:prstClr val="black">
              <a:alpha val="47000"/>
            </a:prstClr>
          </a:innerShdw>
        </a:effectLst>
        <a:scene3d>
          <a:camera prst="orthographicFront"/>
          <a:lightRig rig="threePt" dir="t"/>
        </a:scene3d>
        <a:sp3d contourW="25400">
          <a:bevelT w="114300" prst="artDeco"/>
          <a:bevelB w="0" h="69850" prst="artDeco"/>
          <a:contourClr>
            <a:schemeClr val="bg1"/>
          </a:contourClr>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2800" b="0" i="0" u="none" strike="noStrike">
              <a:solidFill>
                <a:schemeClr val="accent1"/>
              </a:solidFill>
              <a:effectLst/>
              <a:latin typeface="Rockwell Light" panose="02040303020102020203" pitchFamily="18" charset="0"/>
              <a:ea typeface="Source Sans Pro" panose="020B0503030403020204" pitchFamily="34" charset="0"/>
              <a:cs typeface="+mn-cs"/>
            </a:rPr>
            <a:t>The Biodiversity Metric</a:t>
          </a:r>
          <a:r>
            <a:rPr lang="en-GB" sz="2800" b="0" i="0" u="none" strike="noStrike" baseline="0">
              <a:solidFill>
                <a:schemeClr val="accent1"/>
              </a:solidFill>
              <a:effectLst/>
              <a:latin typeface="Rockwell Light" panose="02040303020102020203" pitchFamily="18" charset="0"/>
              <a:ea typeface="Source Sans Pro" panose="020B0503030403020204" pitchFamily="34" charset="0"/>
              <a:cs typeface="+mn-cs"/>
            </a:rPr>
            <a:t> 4.0 </a:t>
          </a:r>
          <a:r>
            <a:rPr lang="en-GB" sz="2800" b="0" i="0" u="none" strike="noStrike">
              <a:solidFill>
                <a:schemeClr val="accent1"/>
              </a:solidFill>
              <a:effectLst/>
              <a:latin typeface="Rockwell Light" panose="02040303020102020203" pitchFamily="18" charset="0"/>
              <a:ea typeface="Source Sans Pro" panose="020B0503030403020204" pitchFamily="34" charset="0"/>
              <a:cs typeface="+mn-cs"/>
            </a:rPr>
            <a:t>- Calculation Tool</a:t>
          </a:r>
        </a:p>
        <a:p>
          <a:pPr algn="ctr"/>
          <a:r>
            <a:rPr lang="en-GB" sz="2800" b="0" i="0" u="none" strike="noStrike">
              <a:solidFill>
                <a:schemeClr val="accent1"/>
              </a:solidFill>
              <a:effectLst/>
              <a:latin typeface="Rockwell Light" panose="02040303020102020203" pitchFamily="18" charset="0"/>
              <a:ea typeface="Source Sans Pro" panose="020B0503030403020204" pitchFamily="34" charset="0"/>
              <a:cs typeface="+mn-cs"/>
            </a:rPr>
            <a:t>Instructions</a:t>
          </a:r>
          <a:endParaRPr lang="en-GB" sz="2800" b="0">
            <a:solidFill>
              <a:schemeClr val="accent1"/>
            </a:solidFill>
            <a:latin typeface="Rockwell Light" panose="02040303020102020203" pitchFamily="18" charset="0"/>
            <a:ea typeface="Source Sans Pro" panose="020B0503030403020204" pitchFamily="34" charset="0"/>
          </a:endParaRPr>
        </a:p>
      </xdr:txBody>
    </xdr:sp>
    <xdr:clientData/>
  </xdr:twoCellAnchor>
  <xdr:twoCellAnchor>
    <xdr:from>
      <xdr:col>5</xdr:col>
      <xdr:colOff>590550</xdr:colOff>
      <xdr:row>8</xdr:row>
      <xdr:rowOff>190500</xdr:rowOff>
    </xdr:from>
    <xdr:to>
      <xdr:col>15</xdr:col>
      <xdr:colOff>19050</xdr:colOff>
      <xdr:row>10</xdr:row>
      <xdr:rowOff>57150</xdr:rowOff>
    </xdr:to>
    <xdr:sp macro="" textlink="">
      <xdr:nvSpPr>
        <xdr:cNvPr id="12" name="TextBox 11">
          <a:extLst>
            <a:ext uri="{FF2B5EF4-FFF2-40B4-BE49-F238E27FC236}">
              <a16:creationId xmlns:a16="http://schemas.microsoft.com/office/drawing/2014/main" id="{00000000-0008-0000-0200-00000C000000}"/>
            </a:ext>
          </a:extLst>
        </xdr:cNvPr>
        <xdr:cNvSpPr txBox="1"/>
      </xdr:nvSpPr>
      <xdr:spPr>
        <a:xfrm>
          <a:off x="2876550" y="1838325"/>
          <a:ext cx="5715000" cy="457200"/>
        </a:xfrm>
        <a:prstGeom prst="roundRect">
          <a:avLst/>
        </a:prstGeom>
        <a:solidFill>
          <a:srgbClr val="E0DCD3"/>
        </a:solidFill>
        <a:ln w="9525" cmpd="sng">
          <a:solidFill>
            <a:schemeClr val="lt1">
              <a:shade val="50000"/>
            </a:schemeClr>
          </a:solidFill>
        </a:ln>
        <a:effectLst>
          <a:innerShdw blurRad="25400" dist="393700" dir="2160000">
            <a:prstClr val="black">
              <a:alpha val="47000"/>
            </a:prstClr>
          </a:innerShdw>
        </a:effectLst>
        <a:scene3d>
          <a:camera prst="orthographicFront"/>
          <a:lightRig rig="threePt" dir="t"/>
        </a:scene3d>
        <a:sp3d contourW="25400">
          <a:bevelT w="114300" prst="artDeco"/>
          <a:bevelB w="0" h="69850" prst="artDeco"/>
          <a:contourClr>
            <a:schemeClr val="bg1"/>
          </a:contourClr>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800" b="0" i="0" u="none" strike="noStrike">
              <a:solidFill>
                <a:schemeClr val="accent1"/>
              </a:solidFill>
              <a:effectLst/>
              <a:latin typeface="Rockwell Light" panose="02040303020102020203" pitchFamily="18" charset="0"/>
              <a:ea typeface="Source Sans Pro" panose="020B0503030403020204" pitchFamily="34" charset="0"/>
              <a:cs typeface="+mn-cs"/>
            </a:rPr>
            <a:t>Double click</a:t>
          </a:r>
          <a:r>
            <a:rPr lang="en-GB" sz="1800" b="0" i="0" u="none" strike="noStrike" baseline="0">
              <a:solidFill>
                <a:schemeClr val="accent1"/>
              </a:solidFill>
              <a:effectLst/>
              <a:latin typeface="Rockwell Light" panose="02040303020102020203" pitchFamily="18" charset="0"/>
              <a:ea typeface="Source Sans Pro" panose="020B0503030403020204" pitchFamily="34" charset="0"/>
              <a:cs typeface="+mn-cs"/>
            </a:rPr>
            <a:t> the front page below to open the file</a:t>
          </a:r>
          <a:endParaRPr lang="en-GB" sz="1800" b="0">
            <a:solidFill>
              <a:schemeClr val="accent1"/>
            </a:solidFill>
            <a:latin typeface="Rockwell Light" panose="02040303020102020203" pitchFamily="18" charset="0"/>
            <a:ea typeface="Source Sans Pro" panose="020B0503030403020204" pitchFamily="34" charset="0"/>
          </a:endParaRPr>
        </a:p>
      </xdr:txBody>
    </xdr:sp>
    <xdr:clientData/>
  </xdr:twoCellAnchor>
  <xdr:twoCellAnchor>
    <xdr:from>
      <xdr:col>0</xdr:col>
      <xdr:colOff>82550</xdr:colOff>
      <xdr:row>19</xdr:row>
      <xdr:rowOff>203200</xdr:rowOff>
    </xdr:from>
    <xdr:to>
      <xdr:col>3</xdr:col>
      <xdr:colOff>1248410</xdr:colOff>
      <xdr:row>24</xdr:row>
      <xdr:rowOff>127000</xdr:rowOff>
    </xdr:to>
    <xdr:sp macro="[0]!ActivateTranslationTool" textlink="">
      <xdr:nvSpPr>
        <xdr:cNvPr id="7" name="TextBox 6">
          <a:extLst>
            <a:ext uri="{FF2B5EF4-FFF2-40B4-BE49-F238E27FC236}">
              <a16:creationId xmlns:a16="http://schemas.microsoft.com/office/drawing/2014/main" id="{00000000-0008-0000-0200-000007000000}"/>
            </a:ext>
          </a:extLst>
        </xdr:cNvPr>
        <xdr:cNvSpPr txBox="1"/>
      </xdr:nvSpPr>
      <xdr:spPr>
        <a:xfrm>
          <a:off x="82550" y="4318000"/>
          <a:ext cx="1623060" cy="971550"/>
        </a:xfrm>
        <a:prstGeom prst="roundRect">
          <a:avLst/>
        </a:prstGeom>
        <a:solidFill>
          <a:schemeClr val="accent1"/>
        </a:solidFill>
        <a:ln w="9525" cmpd="sng">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400" b="1" baseline="0">
              <a:solidFill>
                <a:schemeClr val="bg1"/>
              </a:solidFill>
              <a:latin typeface="Rockwell Light" panose="02040303020102020203" pitchFamily="18" charset="0"/>
            </a:rPr>
            <a:t>Phase 1 - metric habitat translation tool</a:t>
          </a:r>
          <a:endParaRPr lang="en-GB" sz="1400" b="1">
            <a:solidFill>
              <a:schemeClr val="bg1"/>
            </a:solidFill>
            <a:latin typeface="Rockwell Light" panose="02040303020102020203" pitchFamily="18" charset="0"/>
          </a:endParaRPr>
        </a:p>
      </xdr:txBody>
    </xdr:sp>
    <xdr:clientData/>
  </xdr:twoCellAnchor>
  <mc:AlternateContent xmlns:mc="http://schemas.openxmlformats.org/markup-compatibility/2006">
    <mc:Choice xmlns:a14="http://schemas.microsoft.com/office/drawing/2010/main" Requires="a14">
      <xdr:twoCellAnchor editAs="oneCell">
        <xdr:from>
          <xdr:col>5</xdr:col>
          <xdr:colOff>590550</xdr:colOff>
          <xdr:row>11</xdr:row>
          <xdr:rowOff>171450</xdr:rowOff>
        </xdr:from>
        <xdr:to>
          <xdr:col>15</xdr:col>
          <xdr:colOff>180975</xdr:colOff>
          <xdr:row>50</xdr:row>
          <xdr:rowOff>152400</xdr:rowOff>
        </xdr:to>
        <xdr:sp macro="" textlink="">
          <xdr:nvSpPr>
            <xdr:cNvPr id="3080" name="Object 8" hidden="1">
              <a:extLst>
                <a:ext uri="{63B3BB69-23CF-44E3-9099-C40C66FF867C}">
                  <a14:compatExt spid="_x0000_s3080"/>
                </a:ext>
                <a:ext uri="{FF2B5EF4-FFF2-40B4-BE49-F238E27FC236}">
                  <a16:creationId xmlns:a16="http://schemas.microsoft.com/office/drawing/2014/main" id="{00000000-0008-0000-0200-0000080C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fLocksWithSheet="0"/>
      </xdr:twoCellAnchor>
    </mc:Choice>
    <mc:Fallback/>
  </mc:AlternateContent>
</xdr:wsDr>
</file>

<file path=xl/drawings/drawing30.xml><?xml version="1.0" encoding="utf-8"?>
<xdr:wsDr xmlns:xdr="http://schemas.openxmlformats.org/drawingml/2006/spreadsheetDrawing" xmlns:a="http://schemas.openxmlformats.org/drawingml/2006/main">
  <xdr:twoCellAnchor>
    <xdr:from>
      <xdr:col>0</xdr:col>
      <xdr:colOff>66675</xdr:colOff>
      <xdr:row>0</xdr:row>
      <xdr:rowOff>66675</xdr:rowOff>
    </xdr:from>
    <xdr:to>
      <xdr:col>0</xdr:col>
      <xdr:colOff>1583055</xdr:colOff>
      <xdr:row>0</xdr:row>
      <xdr:rowOff>619125</xdr:rowOff>
    </xdr:to>
    <xdr:sp macro="[0]!returnstartG2" textlink="">
      <xdr:nvSpPr>
        <xdr:cNvPr id="3" name="Rounded Rectangle 2">
          <a:extLst>
            <a:ext uri="{FF2B5EF4-FFF2-40B4-BE49-F238E27FC236}">
              <a16:creationId xmlns:a16="http://schemas.microsoft.com/office/drawing/2014/main" id="{00000000-0008-0000-1F00-000003000000}"/>
            </a:ext>
          </a:extLst>
        </xdr:cNvPr>
        <xdr:cNvSpPr/>
      </xdr:nvSpPr>
      <xdr:spPr>
        <a:xfrm>
          <a:off x="66675" y="66675"/>
          <a:ext cx="1516380" cy="552450"/>
        </a:xfrm>
        <a:prstGeom prst="roundRect">
          <a:avLst/>
        </a:prstGeom>
        <a:solidFill>
          <a:schemeClr val="accent1"/>
        </a:solid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400">
              <a:solidFill>
                <a:schemeClr val="bg1"/>
              </a:solidFill>
              <a:latin typeface="Rockwell Light" panose="02040303020102020203" pitchFamily="18" charset="0"/>
            </a:rPr>
            <a:t>Return To Start</a:t>
          </a:r>
        </a:p>
      </xdr:txBody>
    </xdr:sp>
    <xdr:clientData/>
  </xdr:twoCellAnchor>
</xdr:wsDr>
</file>

<file path=xl/drawings/drawing31.xml><?xml version="1.0" encoding="utf-8"?>
<xdr:wsDr xmlns:xdr="http://schemas.openxmlformats.org/drawingml/2006/spreadsheetDrawing" xmlns:a="http://schemas.openxmlformats.org/drawingml/2006/main">
  <xdr:twoCellAnchor>
    <xdr:from>
      <xdr:col>0</xdr:col>
      <xdr:colOff>68580</xdr:colOff>
      <xdr:row>0</xdr:row>
      <xdr:rowOff>53340</xdr:rowOff>
    </xdr:from>
    <xdr:to>
      <xdr:col>0</xdr:col>
      <xdr:colOff>1584960</xdr:colOff>
      <xdr:row>0</xdr:row>
      <xdr:rowOff>426720</xdr:rowOff>
    </xdr:to>
    <xdr:sp macro="[0]!returnstartG3" textlink="">
      <xdr:nvSpPr>
        <xdr:cNvPr id="2" name="Rounded Rectangle 1">
          <a:extLst>
            <a:ext uri="{FF2B5EF4-FFF2-40B4-BE49-F238E27FC236}">
              <a16:creationId xmlns:a16="http://schemas.microsoft.com/office/drawing/2014/main" id="{00000000-0008-0000-2000-000002000000}"/>
            </a:ext>
          </a:extLst>
        </xdr:cNvPr>
        <xdr:cNvSpPr/>
      </xdr:nvSpPr>
      <xdr:spPr>
        <a:xfrm>
          <a:off x="68580" y="53340"/>
          <a:ext cx="1516380" cy="373380"/>
        </a:xfrm>
        <a:prstGeom prst="roundRect">
          <a:avLst/>
        </a:prstGeom>
        <a:solidFill>
          <a:schemeClr val="accent1"/>
        </a:solid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400">
              <a:solidFill>
                <a:schemeClr val="bg1"/>
              </a:solidFill>
            </a:rPr>
            <a:t>Return to start</a:t>
          </a:r>
        </a:p>
      </xdr:txBody>
    </xdr:sp>
    <xdr:clientData/>
  </xdr:twoCellAnchor>
</xdr:wsDr>
</file>

<file path=xl/drawings/drawing32.xml><?xml version="1.0" encoding="utf-8"?>
<xdr:wsDr xmlns:xdr="http://schemas.openxmlformats.org/drawingml/2006/spreadsheetDrawing" xmlns:a="http://schemas.openxmlformats.org/drawingml/2006/main">
  <xdr:twoCellAnchor>
    <xdr:from>
      <xdr:col>5</xdr:col>
      <xdr:colOff>91440</xdr:colOff>
      <xdr:row>0</xdr:row>
      <xdr:rowOff>91440</xdr:rowOff>
    </xdr:from>
    <xdr:to>
      <xdr:col>5</xdr:col>
      <xdr:colOff>1607820</xdr:colOff>
      <xdr:row>0</xdr:row>
      <xdr:rowOff>571500</xdr:rowOff>
    </xdr:to>
    <xdr:sp macro="[0]!returnstartG4" textlink="">
      <xdr:nvSpPr>
        <xdr:cNvPr id="3" name="Rounded Rectangle 2">
          <a:extLst>
            <a:ext uri="{FF2B5EF4-FFF2-40B4-BE49-F238E27FC236}">
              <a16:creationId xmlns:a16="http://schemas.microsoft.com/office/drawing/2014/main" id="{00000000-0008-0000-2100-000003000000}"/>
            </a:ext>
          </a:extLst>
        </xdr:cNvPr>
        <xdr:cNvSpPr/>
      </xdr:nvSpPr>
      <xdr:spPr>
        <a:xfrm>
          <a:off x="4259580" y="91440"/>
          <a:ext cx="1516380" cy="480060"/>
        </a:xfrm>
        <a:prstGeom prst="roundRect">
          <a:avLst/>
        </a:prstGeom>
        <a:solidFill>
          <a:schemeClr val="accent1"/>
        </a:solid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400">
              <a:solidFill>
                <a:schemeClr val="bg1"/>
              </a:solidFill>
            </a:rPr>
            <a:t>Return to start</a:t>
          </a:r>
        </a:p>
      </xdr:txBody>
    </xdr:sp>
    <xdr:clientData/>
  </xdr:twoCellAnchor>
</xdr:wsDr>
</file>

<file path=xl/drawings/drawing33.xml><?xml version="1.0" encoding="utf-8"?>
<xdr:wsDr xmlns:xdr="http://schemas.openxmlformats.org/drawingml/2006/spreadsheetDrawing" xmlns:a="http://schemas.openxmlformats.org/drawingml/2006/main">
  <xdr:twoCellAnchor>
    <xdr:from>
      <xdr:col>2</xdr:col>
      <xdr:colOff>60960</xdr:colOff>
      <xdr:row>0</xdr:row>
      <xdr:rowOff>30480</xdr:rowOff>
    </xdr:from>
    <xdr:to>
      <xdr:col>2</xdr:col>
      <xdr:colOff>1577340</xdr:colOff>
      <xdr:row>0</xdr:row>
      <xdr:rowOff>403860</xdr:rowOff>
    </xdr:to>
    <xdr:sp macro="[0]!returnstartG5" textlink="">
      <xdr:nvSpPr>
        <xdr:cNvPr id="2" name="Rounded Rectangle 1">
          <a:extLst>
            <a:ext uri="{FF2B5EF4-FFF2-40B4-BE49-F238E27FC236}">
              <a16:creationId xmlns:a16="http://schemas.microsoft.com/office/drawing/2014/main" id="{00000000-0008-0000-2200-000002000000}"/>
            </a:ext>
          </a:extLst>
        </xdr:cNvPr>
        <xdr:cNvSpPr/>
      </xdr:nvSpPr>
      <xdr:spPr>
        <a:xfrm>
          <a:off x="1310640" y="30480"/>
          <a:ext cx="1516380" cy="373380"/>
        </a:xfrm>
        <a:prstGeom prst="roundRect">
          <a:avLst/>
        </a:prstGeom>
        <a:solidFill>
          <a:schemeClr val="accent1"/>
        </a:solid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a:solidFill>
                <a:schemeClr val="bg1"/>
              </a:solidFill>
            </a:rPr>
            <a:t>Return to start</a:t>
          </a:r>
        </a:p>
      </xdr:txBody>
    </xdr:sp>
    <xdr:clientData/>
  </xdr:twoCellAnchor>
</xdr:wsDr>
</file>

<file path=xl/drawings/drawing34.xml><?xml version="1.0" encoding="utf-8"?>
<xdr:wsDr xmlns:xdr="http://schemas.openxmlformats.org/drawingml/2006/spreadsheetDrawing" xmlns:a="http://schemas.openxmlformats.org/drawingml/2006/main">
  <xdr:twoCellAnchor>
    <xdr:from>
      <xdr:col>0</xdr:col>
      <xdr:colOff>56926</xdr:colOff>
      <xdr:row>0</xdr:row>
      <xdr:rowOff>49754</xdr:rowOff>
    </xdr:from>
    <xdr:to>
      <xdr:col>1</xdr:col>
      <xdr:colOff>674146</xdr:colOff>
      <xdr:row>0</xdr:row>
      <xdr:rowOff>484094</xdr:rowOff>
    </xdr:to>
    <xdr:sp macro="[0]!returnstartG6" textlink="">
      <xdr:nvSpPr>
        <xdr:cNvPr id="3" name="Rounded Rectangle 2">
          <a:extLst>
            <a:ext uri="{FF2B5EF4-FFF2-40B4-BE49-F238E27FC236}">
              <a16:creationId xmlns:a16="http://schemas.microsoft.com/office/drawing/2014/main" id="{00000000-0008-0000-2300-000003000000}"/>
            </a:ext>
          </a:extLst>
        </xdr:cNvPr>
        <xdr:cNvSpPr/>
      </xdr:nvSpPr>
      <xdr:spPr>
        <a:xfrm>
          <a:off x="56926" y="49754"/>
          <a:ext cx="1166308" cy="434340"/>
        </a:xfrm>
        <a:prstGeom prst="roundRect">
          <a:avLst/>
        </a:prstGeom>
        <a:solidFill>
          <a:schemeClr val="accent1"/>
        </a:solid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a:solidFill>
                <a:schemeClr val="bg1"/>
              </a:solidFill>
            </a:rPr>
            <a:t>Return to start</a:t>
          </a:r>
        </a:p>
      </xdr:txBody>
    </xdr:sp>
    <xdr:clientData/>
  </xdr:twoCellAnchor>
</xdr:wsDr>
</file>

<file path=xl/drawings/drawing35.xml><?xml version="1.0" encoding="utf-8"?>
<xdr:wsDr xmlns:xdr="http://schemas.openxmlformats.org/drawingml/2006/spreadsheetDrawing" xmlns:a="http://schemas.openxmlformats.org/drawingml/2006/main">
  <xdr:twoCellAnchor>
    <xdr:from>
      <xdr:col>0</xdr:col>
      <xdr:colOff>53340</xdr:colOff>
      <xdr:row>0</xdr:row>
      <xdr:rowOff>38100</xdr:rowOff>
    </xdr:from>
    <xdr:to>
      <xdr:col>1</xdr:col>
      <xdr:colOff>632460</xdr:colOff>
      <xdr:row>1</xdr:row>
      <xdr:rowOff>198120</xdr:rowOff>
    </xdr:to>
    <xdr:sp macro="[0]!returnstartG7" textlink="">
      <xdr:nvSpPr>
        <xdr:cNvPr id="3" name="Rounded Rectangle 2">
          <a:extLst>
            <a:ext uri="{FF2B5EF4-FFF2-40B4-BE49-F238E27FC236}">
              <a16:creationId xmlns:a16="http://schemas.microsoft.com/office/drawing/2014/main" id="{00000000-0008-0000-2400-000003000000}"/>
            </a:ext>
          </a:extLst>
        </xdr:cNvPr>
        <xdr:cNvSpPr/>
      </xdr:nvSpPr>
      <xdr:spPr>
        <a:xfrm>
          <a:off x="53340" y="38100"/>
          <a:ext cx="1188720" cy="350520"/>
        </a:xfrm>
        <a:prstGeom prst="roundRect">
          <a:avLst/>
        </a:prstGeom>
        <a:solidFill>
          <a:schemeClr val="tx2">
            <a:lumMod val="50000"/>
          </a:schemeClr>
        </a:solid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a:solidFill>
                <a:schemeClr val="bg1"/>
              </a:solidFill>
            </a:rPr>
            <a:t>Return to start</a:t>
          </a:r>
        </a:p>
      </xdr:txBody>
    </xdr:sp>
    <xdr:clientData/>
  </xdr:twoCellAnchor>
  <xdr:twoCellAnchor>
    <xdr:from>
      <xdr:col>0</xdr:col>
      <xdr:colOff>53340</xdr:colOff>
      <xdr:row>0</xdr:row>
      <xdr:rowOff>38100</xdr:rowOff>
    </xdr:from>
    <xdr:to>
      <xdr:col>1</xdr:col>
      <xdr:colOff>632460</xdr:colOff>
      <xdr:row>1</xdr:row>
      <xdr:rowOff>198120</xdr:rowOff>
    </xdr:to>
    <xdr:sp macro="[0]!returnstarttechdata" textlink="">
      <xdr:nvSpPr>
        <xdr:cNvPr id="4" name="Rounded Rectangle 2">
          <a:extLst>
            <a:ext uri="{FF2B5EF4-FFF2-40B4-BE49-F238E27FC236}">
              <a16:creationId xmlns:a16="http://schemas.microsoft.com/office/drawing/2014/main" id="{00000000-0008-0000-2400-000004000000}"/>
            </a:ext>
          </a:extLst>
        </xdr:cNvPr>
        <xdr:cNvSpPr/>
      </xdr:nvSpPr>
      <xdr:spPr>
        <a:xfrm>
          <a:off x="53340" y="38100"/>
          <a:ext cx="1188720" cy="360045"/>
        </a:xfrm>
        <a:prstGeom prst="roundRect">
          <a:avLst/>
        </a:prstGeom>
        <a:solidFill>
          <a:schemeClr val="accent1"/>
        </a:solid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a:solidFill>
                <a:schemeClr val="bg1"/>
              </a:solidFill>
            </a:rPr>
            <a:t>Return to start</a:t>
          </a:r>
        </a:p>
      </xdr:txBody>
    </xdr:sp>
    <xdr:clientData/>
  </xdr:twoCellAnchor>
</xdr:wsDr>
</file>

<file path=xl/drawings/drawing36.xml><?xml version="1.0" encoding="utf-8"?>
<xdr:wsDr xmlns:xdr="http://schemas.openxmlformats.org/drawingml/2006/spreadsheetDrawing" xmlns:a="http://schemas.openxmlformats.org/drawingml/2006/main">
  <xdr:twoCellAnchor>
    <xdr:from>
      <xdr:col>0</xdr:col>
      <xdr:colOff>60960</xdr:colOff>
      <xdr:row>0</xdr:row>
      <xdr:rowOff>68580</xdr:rowOff>
    </xdr:from>
    <xdr:to>
      <xdr:col>0</xdr:col>
      <xdr:colOff>1577340</xdr:colOff>
      <xdr:row>1</xdr:row>
      <xdr:rowOff>114300</xdr:rowOff>
    </xdr:to>
    <xdr:sp macro="[0]!returnstartG8" textlink="">
      <xdr:nvSpPr>
        <xdr:cNvPr id="3" name="Rounded Rectangle 2">
          <a:extLst>
            <a:ext uri="{FF2B5EF4-FFF2-40B4-BE49-F238E27FC236}">
              <a16:creationId xmlns:a16="http://schemas.microsoft.com/office/drawing/2014/main" id="{00000000-0008-0000-2500-000003000000}"/>
            </a:ext>
          </a:extLst>
        </xdr:cNvPr>
        <xdr:cNvSpPr/>
      </xdr:nvSpPr>
      <xdr:spPr>
        <a:xfrm>
          <a:off x="60960" y="68580"/>
          <a:ext cx="1516380" cy="411480"/>
        </a:xfrm>
        <a:prstGeom prst="roundRect">
          <a:avLst/>
        </a:prstGeom>
        <a:solidFill>
          <a:schemeClr val="accent1"/>
        </a:solid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400">
              <a:solidFill>
                <a:schemeClr val="bg1"/>
              </a:solidFill>
            </a:rPr>
            <a:t>Return to start</a:t>
          </a:r>
        </a:p>
      </xdr:txBody>
    </xdr:sp>
    <xdr:clientData/>
  </xdr:twoCellAnchor>
</xdr:wsDr>
</file>

<file path=xl/drawings/drawing37.xml><?xml version="1.0" encoding="utf-8"?>
<xdr:wsDr xmlns:xdr="http://schemas.openxmlformats.org/drawingml/2006/spreadsheetDrawing" xmlns:a="http://schemas.openxmlformats.org/drawingml/2006/main">
  <xdr:twoCellAnchor>
    <xdr:from>
      <xdr:col>1</xdr:col>
      <xdr:colOff>91440</xdr:colOff>
      <xdr:row>0</xdr:row>
      <xdr:rowOff>60960</xdr:rowOff>
    </xdr:from>
    <xdr:to>
      <xdr:col>1</xdr:col>
      <xdr:colOff>1516380</xdr:colOff>
      <xdr:row>0</xdr:row>
      <xdr:rowOff>617220</xdr:rowOff>
    </xdr:to>
    <xdr:sp macro="[0]!returnstartG9" textlink="">
      <xdr:nvSpPr>
        <xdr:cNvPr id="2" name="Rounded Rectangle 1">
          <a:extLst>
            <a:ext uri="{FF2B5EF4-FFF2-40B4-BE49-F238E27FC236}">
              <a16:creationId xmlns:a16="http://schemas.microsoft.com/office/drawing/2014/main" id="{00000000-0008-0000-2600-000002000000}"/>
            </a:ext>
          </a:extLst>
        </xdr:cNvPr>
        <xdr:cNvSpPr/>
      </xdr:nvSpPr>
      <xdr:spPr>
        <a:xfrm>
          <a:off x="91440" y="60960"/>
          <a:ext cx="1424940" cy="556260"/>
        </a:xfrm>
        <a:prstGeom prst="roundRect">
          <a:avLst/>
        </a:prstGeom>
        <a:solidFill>
          <a:schemeClr val="accent1"/>
        </a:solid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400">
              <a:solidFill>
                <a:schemeClr val="bg1"/>
              </a:solidFill>
            </a:rPr>
            <a:t>Return to start</a:t>
          </a:r>
        </a:p>
      </xdr:txBody>
    </xdr:sp>
    <xdr:clientData/>
  </xdr:twoCellAnchor>
</xdr:wsDr>
</file>

<file path=xl/drawings/drawing38.xml><?xml version="1.0" encoding="utf-8"?>
<xdr:wsDr xmlns:xdr="http://schemas.openxmlformats.org/drawingml/2006/spreadsheetDrawing" xmlns:a="http://schemas.openxmlformats.org/drawingml/2006/main">
  <xdr:twoCellAnchor>
    <xdr:from>
      <xdr:col>4</xdr:col>
      <xdr:colOff>452967</xdr:colOff>
      <xdr:row>9</xdr:row>
      <xdr:rowOff>234950</xdr:rowOff>
    </xdr:from>
    <xdr:to>
      <xdr:col>7</xdr:col>
      <xdr:colOff>553367</xdr:colOff>
      <xdr:row>15</xdr:row>
      <xdr:rowOff>97950</xdr:rowOff>
    </xdr:to>
    <xdr:sp macro="[0]!ActivateG1AllHabitats" textlink="">
      <xdr:nvSpPr>
        <xdr:cNvPr id="6" name="TextBox 5">
          <a:extLst>
            <a:ext uri="{FF2B5EF4-FFF2-40B4-BE49-F238E27FC236}">
              <a16:creationId xmlns:a16="http://schemas.microsoft.com/office/drawing/2014/main" id="{00000000-0008-0000-2700-000006000000}"/>
            </a:ext>
          </a:extLst>
        </xdr:cNvPr>
        <xdr:cNvSpPr txBox="1"/>
      </xdr:nvSpPr>
      <xdr:spPr>
        <a:xfrm>
          <a:off x="2167467" y="2063750"/>
          <a:ext cx="1974920" cy="1272700"/>
        </a:xfrm>
        <a:prstGeom prst="roundRect">
          <a:avLst/>
        </a:prstGeom>
        <a:solidFill>
          <a:schemeClr val="accent1"/>
        </a:solidFill>
        <a:ln w="9525" cmpd="sng">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400">
              <a:solidFill>
                <a:schemeClr val="bg1"/>
              </a:solidFill>
              <a:latin typeface="Rockwell Light" panose="02040303020102020203" pitchFamily="18" charset="0"/>
            </a:rPr>
            <a:t>All area habitats</a:t>
          </a:r>
        </a:p>
      </xdr:txBody>
    </xdr:sp>
    <xdr:clientData/>
  </xdr:twoCellAnchor>
  <xdr:twoCellAnchor>
    <xdr:from>
      <xdr:col>8</xdr:col>
      <xdr:colOff>397933</xdr:colOff>
      <xdr:row>9</xdr:row>
      <xdr:rowOff>223307</xdr:rowOff>
    </xdr:from>
    <xdr:to>
      <xdr:col>12</xdr:col>
      <xdr:colOff>15733</xdr:colOff>
      <xdr:row>15</xdr:row>
      <xdr:rowOff>86307</xdr:rowOff>
    </xdr:to>
    <xdr:sp macro="[0]!ActivateG2HabitatGroups" textlink="">
      <xdr:nvSpPr>
        <xdr:cNvPr id="8" name="Rounded Rectangle 7">
          <a:extLst>
            <a:ext uri="{FF2B5EF4-FFF2-40B4-BE49-F238E27FC236}">
              <a16:creationId xmlns:a16="http://schemas.microsoft.com/office/drawing/2014/main" id="{00000000-0008-0000-2700-000008000000}"/>
            </a:ext>
          </a:extLst>
        </xdr:cNvPr>
        <xdr:cNvSpPr/>
      </xdr:nvSpPr>
      <xdr:spPr>
        <a:xfrm>
          <a:off x="4611793" y="2052107"/>
          <a:ext cx="1972380" cy="1272700"/>
        </a:xfrm>
        <a:prstGeom prst="roundRect">
          <a:avLst/>
        </a:prstGeom>
        <a:solidFill>
          <a:schemeClr val="accent1"/>
        </a:solid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400">
              <a:solidFill>
                <a:schemeClr val="bg1"/>
              </a:solidFill>
              <a:latin typeface="Rockwell Light" panose="02040303020102020203" pitchFamily="18" charset="0"/>
            </a:rPr>
            <a:t>Area habitat groups</a:t>
          </a:r>
        </a:p>
      </xdr:txBody>
    </xdr:sp>
    <xdr:clientData/>
  </xdr:twoCellAnchor>
  <xdr:twoCellAnchor>
    <xdr:from>
      <xdr:col>12</xdr:col>
      <xdr:colOff>524934</xdr:colOff>
      <xdr:row>9</xdr:row>
      <xdr:rowOff>206373</xdr:rowOff>
    </xdr:from>
    <xdr:to>
      <xdr:col>15</xdr:col>
      <xdr:colOff>659201</xdr:colOff>
      <xdr:row>15</xdr:row>
      <xdr:rowOff>69373</xdr:rowOff>
    </xdr:to>
    <xdr:sp macro="[0]!ActivateG3Multipliers" textlink="">
      <xdr:nvSpPr>
        <xdr:cNvPr id="9" name="Rounded Rectangle 8">
          <a:extLst>
            <a:ext uri="{FF2B5EF4-FFF2-40B4-BE49-F238E27FC236}">
              <a16:creationId xmlns:a16="http://schemas.microsoft.com/office/drawing/2014/main" id="{00000000-0008-0000-2700-000009000000}"/>
            </a:ext>
          </a:extLst>
        </xdr:cNvPr>
        <xdr:cNvSpPr/>
      </xdr:nvSpPr>
      <xdr:spPr>
        <a:xfrm>
          <a:off x="7103534" y="2009773"/>
          <a:ext cx="1980000" cy="1260000"/>
        </a:xfrm>
        <a:prstGeom prst="roundRect">
          <a:avLst/>
        </a:prstGeom>
        <a:solidFill>
          <a:schemeClr val="accent1"/>
        </a:solid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400">
              <a:solidFill>
                <a:schemeClr val="bg1"/>
              </a:solidFill>
              <a:latin typeface="Rockwell Light" panose="02040303020102020203" pitchFamily="18" charset="0"/>
            </a:rPr>
            <a:t>Multipliers</a:t>
          </a:r>
          <a:r>
            <a:rPr lang="en-GB" sz="2000">
              <a:solidFill>
                <a:schemeClr val="bg1"/>
              </a:solidFill>
            </a:rPr>
            <a:t> </a:t>
          </a:r>
        </a:p>
      </xdr:txBody>
    </xdr:sp>
    <xdr:clientData/>
  </xdr:twoCellAnchor>
  <xdr:twoCellAnchor>
    <xdr:from>
      <xdr:col>1</xdr:col>
      <xdr:colOff>93134</xdr:colOff>
      <xdr:row>9</xdr:row>
      <xdr:rowOff>220134</xdr:rowOff>
    </xdr:from>
    <xdr:to>
      <xdr:col>3</xdr:col>
      <xdr:colOff>1270000</xdr:colOff>
      <xdr:row>15</xdr:row>
      <xdr:rowOff>83134</xdr:rowOff>
    </xdr:to>
    <xdr:sp macro="[0]!returnstarttechdata" textlink="">
      <xdr:nvSpPr>
        <xdr:cNvPr id="10" name="TextBox 9">
          <a:extLst>
            <a:ext uri="{FF2B5EF4-FFF2-40B4-BE49-F238E27FC236}">
              <a16:creationId xmlns:a16="http://schemas.microsoft.com/office/drawing/2014/main" id="{00000000-0008-0000-2700-00000A000000}"/>
            </a:ext>
          </a:extLst>
        </xdr:cNvPr>
        <xdr:cNvSpPr txBox="1"/>
      </xdr:nvSpPr>
      <xdr:spPr>
        <a:xfrm>
          <a:off x="237914" y="2048934"/>
          <a:ext cx="1466426" cy="1272700"/>
        </a:xfrm>
        <a:prstGeom prst="roundRect">
          <a:avLst/>
        </a:prstGeom>
        <a:solidFill>
          <a:schemeClr val="accent1"/>
        </a:solidFill>
        <a:ln w="9525" cmpd="sng">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400">
              <a:solidFill>
                <a:schemeClr val="bg1"/>
              </a:solidFill>
              <a:latin typeface="Rockwell Light" panose="02040303020102020203" pitchFamily="18" charset="0"/>
            </a:rPr>
            <a:t>Return to start</a:t>
          </a:r>
        </a:p>
        <a:p>
          <a:pPr algn="ctr"/>
          <a:r>
            <a:rPr lang="en-GB" sz="1400">
              <a:solidFill>
                <a:schemeClr val="bg1"/>
              </a:solidFill>
              <a:latin typeface="Rockwell Light" panose="02040303020102020203" pitchFamily="18" charset="0"/>
            </a:rPr>
            <a:t>page</a:t>
          </a:r>
        </a:p>
      </xdr:txBody>
    </xdr:sp>
    <xdr:clientData/>
  </xdr:twoCellAnchor>
  <xdr:twoCellAnchor>
    <xdr:from>
      <xdr:col>4</xdr:col>
      <xdr:colOff>469900</xdr:colOff>
      <xdr:row>16</xdr:row>
      <xdr:rowOff>184150</xdr:rowOff>
    </xdr:from>
    <xdr:to>
      <xdr:col>7</xdr:col>
      <xdr:colOff>570300</xdr:colOff>
      <xdr:row>23</xdr:row>
      <xdr:rowOff>21750</xdr:rowOff>
    </xdr:to>
    <xdr:sp macro="[0]!ActivateG4Temporalmultipliers" textlink="">
      <xdr:nvSpPr>
        <xdr:cNvPr id="12" name="TextBox 11">
          <a:extLst>
            <a:ext uri="{FF2B5EF4-FFF2-40B4-BE49-F238E27FC236}">
              <a16:creationId xmlns:a16="http://schemas.microsoft.com/office/drawing/2014/main" id="{00000000-0008-0000-2700-00000C000000}"/>
            </a:ext>
          </a:extLst>
        </xdr:cNvPr>
        <xdr:cNvSpPr txBox="1"/>
      </xdr:nvSpPr>
      <xdr:spPr>
        <a:xfrm>
          <a:off x="2180167" y="3587750"/>
          <a:ext cx="1980000" cy="1260000"/>
        </a:xfrm>
        <a:prstGeom prst="roundRect">
          <a:avLst/>
        </a:prstGeom>
        <a:solidFill>
          <a:schemeClr val="accent1"/>
        </a:solidFill>
        <a:ln w="9525" cmpd="sng">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400">
              <a:solidFill>
                <a:schemeClr val="bg1"/>
              </a:solidFill>
              <a:latin typeface="Rockwell Light" panose="02040303020102020203" pitchFamily="18" charset="0"/>
            </a:rPr>
            <a:t>Temporal multipliers</a:t>
          </a:r>
        </a:p>
      </xdr:txBody>
    </xdr:sp>
    <xdr:clientData/>
  </xdr:twoCellAnchor>
  <xdr:twoCellAnchor>
    <xdr:from>
      <xdr:col>8</xdr:col>
      <xdr:colOff>381001</xdr:colOff>
      <xdr:row>16</xdr:row>
      <xdr:rowOff>167217</xdr:rowOff>
    </xdr:from>
    <xdr:to>
      <xdr:col>11</xdr:col>
      <xdr:colOff>625334</xdr:colOff>
      <xdr:row>23</xdr:row>
      <xdr:rowOff>4817</xdr:rowOff>
    </xdr:to>
    <xdr:sp macro="[0]!ActivateG5EnhancementTemporaldata" textlink="">
      <xdr:nvSpPr>
        <xdr:cNvPr id="13" name="TextBox 12">
          <a:extLst>
            <a:ext uri="{FF2B5EF4-FFF2-40B4-BE49-F238E27FC236}">
              <a16:creationId xmlns:a16="http://schemas.microsoft.com/office/drawing/2014/main" id="{00000000-0008-0000-2700-00000D000000}"/>
            </a:ext>
          </a:extLst>
        </xdr:cNvPr>
        <xdr:cNvSpPr txBox="1"/>
      </xdr:nvSpPr>
      <xdr:spPr>
        <a:xfrm>
          <a:off x="4597401" y="3570817"/>
          <a:ext cx="1980000" cy="1260000"/>
        </a:xfrm>
        <a:prstGeom prst="roundRect">
          <a:avLst/>
        </a:prstGeom>
        <a:solidFill>
          <a:schemeClr val="accent1"/>
        </a:solidFill>
        <a:ln w="9525" cmpd="sng">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400">
              <a:solidFill>
                <a:schemeClr val="bg1"/>
              </a:solidFill>
              <a:latin typeface="Rockwell Light" panose="02040303020102020203" pitchFamily="18" charset="0"/>
            </a:rPr>
            <a:t>Enhancement temporal multipliers</a:t>
          </a:r>
        </a:p>
      </xdr:txBody>
    </xdr:sp>
    <xdr:clientData/>
  </xdr:twoCellAnchor>
  <xdr:twoCellAnchor>
    <xdr:from>
      <xdr:col>12</xdr:col>
      <xdr:colOff>567267</xdr:colOff>
      <xdr:row>16</xdr:row>
      <xdr:rowOff>160867</xdr:rowOff>
    </xdr:from>
    <xdr:to>
      <xdr:col>15</xdr:col>
      <xdr:colOff>701534</xdr:colOff>
      <xdr:row>22</xdr:row>
      <xdr:rowOff>201667</xdr:rowOff>
    </xdr:to>
    <xdr:sp macro="[0]!ActivateG6Hedgerowdata" textlink="">
      <xdr:nvSpPr>
        <xdr:cNvPr id="14" name="TextBox 13">
          <a:extLst>
            <a:ext uri="{FF2B5EF4-FFF2-40B4-BE49-F238E27FC236}">
              <a16:creationId xmlns:a16="http://schemas.microsoft.com/office/drawing/2014/main" id="{00000000-0008-0000-2700-00000E000000}"/>
            </a:ext>
          </a:extLst>
        </xdr:cNvPr>
        <xdr:cNvSpPr txBox="1"/>
      </xdr:nvSpPr>
      <xdr:spPr>
        <a:xfrm>
          <a:off x="7145867" y="3564467"/>
          <a:ext cx="1980000" cy="1260000"/>
        </a:xfrm>
        <a:prstGeom prst="roundRect">
          <a:avLst/>
        </a:prstGeom>
        <a:solidFill>
          <a:schemeClr val="accent1"/>
        </a:solidFill>
        <a:ln w="9525" cmpd="sng">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400">
              <a:solidFill>
                <a:schemeClr val="bg1"/>
              </a:solidFill>
              <a:latin typeface="Rockwell Light" panose="02040303020102020203" pitchFamily="18" charset="0"/>
            </a:rPr>
            <a:t>Hedgerow data</a:t>
          </a:r>
        </a:p>
      </xdr:txBody>
    </xdr:sp>
    <xdr:clientData/>
  </xdr:twoCellAnchor>
  <xdr:twoCellAnchor>
    <xdr:from>
      <xdr:col>4</xdr:col>
      <xdr:colOff>457199</xdr:colOff>
      <xdr:row>24</xdr:row>
      <xdr:rowOff>42334</xdr:rowOff>
    </xdr:from>
    <xdr:to>
      <xdr:col>7</xdr:col>
      <xdr:colOff>557599</xdr:colOff>
      <xdr:row>30</xdr:row>
      <xdr:rowOff>150867</xdr:rowOff>
    </xdr:to>
    <xdr:sp macro="[0]!ActivateG7WaterCdata" textlink="">
      <xdr:nvSpPr>
        <xdr:cNvPr id="16" name="TextBox 15">
          <a:extLst>
            <a:ext uri="{FF2B5EF4-FFF2-40B4-BE49-F238E27FC236}">
              <a16:creationId xmlns:a16="http://schemas.microsoft.com/office/drawing/2014/main" id="{00000000-0008-0000-2700-000010000000}"/>
            </a:ext>
          </a:extLst>
        </xdr:cNvPr>
        <xdr:cNvSpPr txBox="1"/>
      </xdr:nvSpPr>
      <xdr:spPr>
        <a:xfrm>
          <a:off x="2167466" y="5071534"/>
          <a:ext cx="1980000" cy="1260000"/>
        </a:xfrm>
        <a:prstGeom prst="roundRect">
          <a:avLst/>
        </a:prstGeom>
        <a:solidFill>
          <a:schemeClr val="accent1"/>
        </a:solidFill>
        <a:ln w="9525" cmpd="sng">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400" baseline="0">
              <a:solidFill>
                <a:schemeClr val="bg1"/>
              </a:solidFill>
              <a:latin typeface="Rockwell Light" panose="02040303020102020203" pitchFamily="18" charset="0"/>
            </a:rPr>
            <a:t>Watercourse data</a:t>
          </a:r>
          <a:endParaRPr lang="en-GB" sz="1400">
            <a:solidFill>
              <a:schemeClr val="bg1"/>
            </a:solidFill>
            <a:latin typeface="Rockwell Light" panose="02040303020102020203" pitchFamily="18" charset="0"/>
          </a:endParaRPr>
        </a:p>
      </xdr:txBody>
    </xdr:sp>
    <xdr:clientData/>
  </xdr:twoCellAnchor>
  <xdr:twoCellAnchor>
    <xdr:from>
      <xdr:col>8</xdr:col>
      <xdr:colOff>465666</xdr:colOff>
      <xdr:row>24</xdr:row>
      <xdr:rowOff>59267</xdr:rowOff>
    </xdr:from>
    <xdr:to>
      <xdr:col>12</xdr:col>
      <xdr:colOff>83466</xdr:colOff>
      <xdr:row>30</xdr:row>
      <xdr:rowOff>167800</xdr:rowOff>
    </xdr:to>
    <xdr:sp macro="[0]!ActivateConditionlookup" textlink="">
      <xdr:nvSpPr>
        <xdr:cNvPr id="17" name="TextBox 16">
          <a:extLst>
            <a:ext uri="{FF2B5EF4-FFF2-40B4-BE49-F238E27FC236}">
              <a16:creationId xmlns:a16="http://schemas.microsoft.com/office/drawing/2014/main" id="{00000000-0008-0000-2700-000011000000}"/>
            </a:ext>
          </a:extLst>
        </xdr:cNvPr>
        <xdr:cNvSpPr txBox="1"/>
      </xdr:nvSpPr>
      <xdr:spPr>
        <a:xfrm>
          <a:off x="4682066" y="5088467"/>
          <a:ext cx="1980000" cy="1260000"/>
        </a:xfrm>
        <a:prstGeom prst="roundRect">
          <a:avLst/>
        </a:prstGeom>
        <a:solidFill>
          <a:schemeClr val="accent1"/>
        </a:solidFill>
        <a:ln w="9525" cmpd="sng">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400" baseline="0">
              <a:solidFill>
                <a:schemeClr val="bg1"/>
              </a:solidFill>
              <a:latin typeface="Rockwell Light" panose="02040303020102020203" pitchFamily="18" charset="0"/>
            </a:rPr>
            <a:t>Condition data</a:t>
          </a:r>
          <a:endParaRPr lang="en-GB" sz="1400">
            <a:solidFill>
              <a:schemeClr val="bg1"/>
            </a:solidFill>
            <a:latin typeface="Rockwell Light" panose="02040303020102020203" pitchFamily="18" charset="0"/>
          </a:endParaRPr>
        </a:p>
      </xdr:txBody>
    </xdr:sp>
    <xdr:clientData/>
  </xdr:twoCellAnchor>
  <xdr:twoCellAnchor>
    <xdr:from>
      <xdr:col>12</xdr:col>
      <xdr:colOff>601133</xdr:colOff>
      <xdr:row>24</xdr:row>
      <xdr:rowOff>59267</xdr:rowOff>
    </xdr:from>
    <xdr:to>
      <xdr:col>15</xdr:col>
      <xdr:colOff>735400</xdr:colOff>
      <xdr:row>30</xdr:row>
      <xdr:rowOff>167800</xdr:rowOff>
    </xdr:to>
    <xdr:sp macro="[0]!ActivateTranslationTool" textlink="">
      <xdr:nvSpPr>
        <xdr:cNvPr id="18" name="TextBox 17">
          <a:extLst>
            <a:ext uri="{FF2B5EF4-FFF2-40B4-BE49-F238E27FC236}">
              <a16:creationId xmlns:a16="http://schemas.microsoft.com/office/drawing/2014/main" id="{00000000-0008-0000-2700-000012000000}"/>
            </a:ext>
          </a:extLst>
        </xdr:cNvPr>
        <xdr:cNvSpPr txBox="1"/>
      </xdr:nvSpPr>
      <xdr:spPr>
        <a:xfrm>
          <a:off x="7179733" y="5088467"/>
          <a:ext cx="1980000" cy="1260000"/>
        </a:xfrm>
        <a:prstGeom prst="roundRect">
          <a:avLst/>
        </a:prstGeom>
        <a:solidFill>
          <a:schemeClr val="accent1"/>
        </a:solidFill>
        <a:ln w="9525" cmpd="sng">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400" baseline="0">
              <a:solidFill>
                <a:schemeClr val="bg1"/>
              </a:solidFill>
              <a:latin typeface="Rockwell Light" panose="02040303020102020203" pitchFamily="18" charset="0"/>
            </a:rPr>
            <a:t>Phase 1 - metric </a:t>
          </a:r>
        </a:p>
        <a:p>
          <a:pPr algn="ctr"/>
          <a:r>
            <a:rPr lang="en-GB" sz="1400" baseline="0">
              <a:solidFill>
                <a:schemeClr val="bg1"/>
              </a:solidFill>
              <a:latin typeface="Rockwell Light" panose="02040303020102020203" pitchFamily="18" charset="0"/>
            </a:rPr>
            <a:t>habitat translation tool</a:t>
          </a:r>
        </a:p>
      </xdr:txBody>
    </xdr:sp>
    <xdr:clientData/>
  </xdr:twoCellAnchor>
  <xdr:twoCellAnchor>
    <xdr:from>
      <xdr:col>3</xdr:col>
      <xdr:colOff>0</xdr:colOff>
      <xdr:row>0</xdr:row>
      <xdr:rowOff>200024</xdr:rowOff>
    </xdr:from>
    <xdr:to>
      <xdr:col>15</xdr:col>
      <xdr:colOff>609600</xdr:colOff>
      <xdr:row>8</xdr:row>
      <xdr:rowOff>9524</xdr:rowOff>
    </xdr:to>
    <xdr:sp macro="" textlink="">
      <xdr:nvSpPr>
        <xdr:cNvPr id="15" name="TextBox 14">
          <a:extLst>
            <a:ext uri="{FF2B5EF4-FFF2-40B4-BE49-F238E27FC236}">
              <a16:creationId xmlns:a16="http://schemas.microsoft.com/office/drawing/2014/main" id="{00000000-0008-0000-2700-00000F000000}"/>
            </a:ext>
          </a:extLst>
        </xdr:cNvPr>
        <xdr:cNvSpPr txBox="1"/>
      </xdr:nvSpPr>
      <xdr:spPr>
        <a:xfrm>
          <a:off x="428625" y="200024"/>
          <a:ext cx="8391525" cy="1457325"/>
        </a:xfrm>
        <a:prstGeom prst="roundRect">
          <a:avLst/>
        </a:prstGeom>
        <a:solidFill>
          <a:srgbClr val="E0DCD3"/>
        </a:solidFill>
        <a:ln w="9525" cmpd="sng">
          <a:solidFill>
            <a:schemeClr val="lt1">
              <a:shade val="50000"/>
            </a:schemeClr>
          </a:solidFill>
        </a:ln>
        <a:effectLst>
          <a:innerShdw blurRad="25400" dist="393700" dir="2160000">
            <a:prstClr val="black">
              <a:alpha val="47000"/>
            </a:prstClr>
          </a:innerShdw>
        </a:effectLst>
        <a:scene3d>
          <a:camera prst="orthographicFront"/>
          <a:lightRig rig="threePt" dir="t"/>
        </a:scene3d>
        <a:sp3d contourW="25400">
          <a:bevelT w="114300" prst="artDeco"/>
          <a:bevelB w="0" h="69850" prst="artDeco"/>
          <a:contourClr>
            <a:schemeClr val="bg1"/>
          </a:contourClr>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2800" b="0" i="0" u="none" strike="noStrike">
              <a:solidFill>
                <a:schemeClr val="accent1"/>
              </a:solidFill>
              <a:effectLst/>
              <a:latin typeface="Rockwell Light" panose="02040303020102020203" pitchFamily="18" charset="0"/>
              <a:ea typeface="Source Sans Pro" panose="020B0503030403020204" pitchFamily="34" charset="0"/>
              <a:cs typeface="+mn-cs"/>
            </a:rPr>
            <a:t>The Biodiversity Metric 4.0 - Calculation Tool</a:t>
          </a:r>
        </a:p>
        <a:p>
          <a:pPr algn="ctr"/>
          <a:r>
            <a:rPr lang="en-GB" sz="2800" b="0" i="0" u="none" strike="noStrike">
              <a:solidFill>
                <a:schemeClr val="accent1"/>
              </a:solidFill>
              <a:effectLst/>
              <a:latin typeface="Rockwell Light" panose="02040303020102020203" pitchFamily="18" charset="0"/>
              <a:ea typeface="Source Sans Pro" panose="020B0503030403020204" pitchFamily="34" charset="0"/>
              <a:cs typeface="+mn-cs"/>
            </a:rPr>
            <a:t>Technical Data</a:t>
          </a:r>
          <a:endParaRPr lang="en-GB" sz="2800" b="0">
            <a:solidFill>
              <a:schemeClr val="accent1"/>
            </a:solidFill>
            <a:latin typeface="Rockwell Light" panose="02040303020102020203" pitchFamily="18" charset="0"/>
            <a:ea typeface="Source Sans Pro" panose="020B0503030403020204" pitchFamily="34" charset="0"/>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137974</xdr:colOff>
      <xdr:row>13</xdr:row>
      <xdr:rowOff>125458</xdr:rowOff>
    </xdr:from>
    <xdr:to>
      <xdr:col>4</xdr:col>
      <xdr:colOff>364065</xdr:colOff>
      <xdr:row>38</xdr:row>
      <xdr:rowOff>1016000</xdr:rowOff>
    </xdr:to>
    <xdr:sp macro="" textlink="">
      <xdr:nvSpPr>
        <xdr:cNvPr id="33" name="TextBox 32">
          <a:extLst>
            <a:ext uri="{FF2B5EF4-FFF2-40B4-BE49-F238E27FC236}">
              <a16:creationId xmlns:a16="http://schemas.microsoft.com/office/drawing/2014/main" id="{00000000-0008-0000-0400-000021000000}"/>
            </a:ext>
          </a:extLst>
        </xdr:cNvPr>
        <xdr:cNvSpPr txBox="1"/>
      </xdr:nvSpPr>
      <xdr:spPr>
        <a:xfrm>
          <a:off x="281907" y="2944858"/>
          <a:ext cx="1792425" cy="5767342"/>
        </a:xfrm>
        <a:prstGeom prst="roundRect">
          <a:avLst/>
        </a:prstGeom>
        <a:solidFill>
          <a:srgbClr val="E0DCD3"/>
        </a:solidFill>
        <a:ln>
          <a:noFill/>
        </a:ln>
        <a:effectLst>
          <a:outerShdw blurRad="107950" dist="12700" dir="5400000" algn="ctr">
            <a:srgbClr val="000000"/>
          </a:outerShdw>
          <a:softEdge rad="0"/>
        </a:effectLst>
      </xdr:spPr>
      <xdr:style>
        <a:lnRef idx="2">
          <a:schemeClr val="dk1"/>
        </a:lnRef>
        <a:fillRef idx="1">
          <a:schemeClr val="lt1"/>
        </a:fillRef>
        <a:effectRef idx="0">
          <a:schemeClr val="dk1"/>
        </a:effectRef>
        <a:fontRef idx="minor">
          <a:schemeClr val="dk1"/>
        </a:fontRef>
      </xdr:style>
      <xdr:txBody>
        <a:bodyPr vertOverflow="clip" horzOverflow="clip" wrap="square" rtlCol="0" anchor="t"/>
        <a:lstStyle/>
        <a:p>
          <a:pPr algn="ctr"/>
          <a:r>
            <a:rPr lang="en-GB" sz="2000">
              <a:solidFill>
                <a:schemeClr val="accent1"/>
              </a:solidFill>
              <a:latin typeface="Rockwell Light" panose="02040303020102020203" pitchFamily="18" charset="0"/>
            </a:rPr>
            <a:t>On-site baseline  </a:t>
          </a:r>
        </a:p>
      </xdr:txBody>
    </xdr:sp>
    <xdr:clientData/>
  </xdr:twoCellAnchor>
  <xdr:twoCellAnchor>
    <xdr:from>
      <xdr:col>4</xdr:col>
      <xdr:colOff>495905</xdr:colOff>
      <xdr:row>13</xdr:row>
      <xdr:rowOff>67733</xdr:rowOff>
    </xdr:from>
    <xdr:to>
      <xdr:col>12</xdr:col>
      <xdr:colOff>536637</xdr:colOff>
      <xdr:row>38</xdr:row>
      <xdr:rowOff>1109132</xdr:rowOff>
    </xdr:to>
    <xdr:sp macro="" textlink="">
      <xdr:nvSpPr>
        <xdr:cNvPr id="35" name="TextBox 34">
          <a:extLst>
            <a:ext uri="{FF2B5EF4-FFF2-40B4-BE49-F238E27FC236}">
              <a16:creationId xmlns:a16="http://schemas.microsoft.com/office/drawing/2014/main" id="{00000000-0008-0000-0400-000023000000}"/>
            </a:ext>
          </a:extLst>
        </xdr:cNvPr>
        <xdr:cNvSpPr txBox="1"/>
      </xdr:nvSpPr>
      <xdr:spPr>
        <a:xfrm>
          <a:off x="2172305" y="2944283"/>
          <a:ext cx="4774657" cy="6051549"/>
        </a:xfrm>
        <a:prstGeom prst="roundRect">
          <a:avLst/>
        </a:prstGeom>
        <a:solidFill>
          <a:srgbClr val="E0DCD3"/>
        </a:solidFill>
        <a:ln>
          <a:noFill/>
        </a:ln>
        <a:effectLst>
          <a:outerShdw blurRad="107950" dist="12700" dir="5400000" algn="ctr">
            <a:srgbClr val="000000"/>
          </a:outerShdw>
        </a:effectLst>
        <a:scene3d>
          <a:camera prst="orthographicFront"/>
          <a:lightRig rig="threePt" dir="t"/>
        </a:scene3d>
        <a:sp3d prstMaterial="dkEdge"/>
      </xdr:spPr>
      <xdr:style>
        <a:lnRef idx="2">
          <a:schemeClr val="dk1"/>
        </a:lnRef>
        <a:fillRef idx="1">
          <a:schemeClr val="lt1"/>
        </a:fillRef>
        <a:effectRef idx="0">
          <a:schemeClr val="dk1"/>
        </a:effectRef>
        <a:fontRef idx="minor">
          <a:schemeClr val="dk1"/>
        </a:fontRef>
      </xdr:style>
      <xdr:txBody>
        <a:bodyPr vertOverflow="clip" horzOverflow="clip" wrap="square" rtlCol="0" anchor="t"/>
        <a:lstStyle/>
        <a:p>
          <a:pPr algn="ctr"/>
          <a:r>
            <a:rPr lang="en-GB" sz="2000">
              <a:solidFill>
                <a:schemeClr val="accent1"/>
              </a:solidFill>
              <a:latin typeface="Rockwell Light" panose="02040303020102020203" pitchFamily="18" charset="0"/>
            </a:rPr>
            <a:t>On-site post development </a:t>
          </a:r>
        </a:p>
      </xdr:txBody>
    </xdr:sp>
    <xdr:clientData/>
  </xdr:twoCellAnchor>
  <xdr:twoCellAnchor>
    <xdr:from>
      <xdr:col>3</xdr:col>
      <xdr:colOff>58814</xdr:colOff>
      <xdr:row>18</xdr:row>
      <xdr:rowOff>151039</xdr:rowOff>
    </xdr:from>
    <xdr:to>
      <xdr:col>4</xdr:col>
      <xdr:colOff>185057</xdr:colOff>
      <xdr:row>25</xdr:row>
      <xdr:rowOff>1</xdr:rowOff>
    </xdr:to>
    <xdr:sp macro="[0]!ActivateA1baseline" textlink="">
      <xdr:nvSpPr>
        <xdr:cNvPr id="39" name="TextBox 38">
          <a:extLst>
            <a:ext uri="{FF2B5EF4-FFF2-40B4-BE49-F238E27FC236}">
              <a16:creationId xmlns:a16="http://schemas.microsoft.com/office/drawing/2014/main" id="{00000000-0008-0000-0400-000027000000}"/>
            </a:ext>
          </a:extLst>
        </xdr:cNvPr>
        <xdr:cNvSpPr txBox="1"/>
      </xdr:nvSpPr>
      <xdr:spPr>
        <a:xfrm>
          <a:off x="490614" y="3986439"/>
          <a:ext cx="1404710" cy="1271362"/>
        </a:xfrm>
        <a:prstGeom prst="roundRect">
          <a:avLst/>
        </a:prstGeom>
        <a:solidFill>
          <a:srgbClr val="006600"/>
        </a:solidFill>
        <a:ln w="9525" cmpd="sng">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400" b="1" cap="none" spc="0">
              <a:ln w="0"/>
              <a:solidFill>
                <a:schemeClr val="bg1"/>
              </a:solidFill>
              <a:effectLst>
                <a:outerShdw blurRad="38100" dist="25400" dir="5400000" algn="ctr" rotWithShape="0">
                  <a:srgbClr val="6E747A">
                    <a:alpha val="43000"/>
                  </a:srgbClr>
                </a:outerShdw>
              </a:effectLst>
              <a:latin typeface="Rockwell Light" panose="02040303020102020203" pitchFamily="18" charset="0"/>
            </a:rPr>
            <a:t>A-1</a:t>
          </a:r>
          <a:r>
            <a:rPr lang="en-GB" sz="1400" b="1" cap="none" spc="0" baseline="0">
              <a:ln w="0"/>
              <a:solidFill>
                <a:schemeClr val="bg1"/>
              </a:solidFill>
              <a:effectLst>
                <a:outerShdw blurRad="38100" dist="25400" dir="5400000" algn="ctr" rotWithShape="0">
                  <a:srgbClr val="6E747A">
                    <a:alpha val="43000"/>
                  </a:srgbClr>
                </a:outerShdw>
              </a:effectLst>
              <a:latin typeface="Rockwell Light" panose="02040303020102020203" pitchFamily="18" charset="0"/>
            </a:rPr>
            <a:t> </a:t>
          </a:r>
          <a:r>
            <a:rPr lang="en-GB" sz="1400" b="1" cap="none" spc="0">
              <a:ln w="0"/>
              <a:solidFill>
                <a:schemeClr val="bg1"/>
              </a:solidFill>
              <a:effectLst>
                <a:outerShdw blurRad="38100" dist="25400" dir="5400000" algn="ctr" rotWithShape="0">
                  <a:srgbClr val="6E747A">
                    <a:alpha val="43000"/>
                  </a:srgbClr>
                </a:outerShdw>
              </a:effectLst>
              <a:latin typeface="Rockwell Light" panose="02040303020102020203" pitchFamily="18" charset="0"/>
            </a:rPr>
            <a:t>On-site Area Habitat</a:t>
          </a:r>
        </a:p>
        <a:p>
          <a:pPr algn="ctr"/>
          <a:r>
            <a:rPr lang="en-GB" sz="1400" b="1" cap="none" spc="0">
              <a:ln w="0"/>
              <a:solidFill>
                <a:schemeClr val="bg1"/>
              </a:solidFill>
              <a:effectLst>
                <a:outerShdw blurRad="38100" dist="25400" dir="5400000" algn="ctr" rotWithShape="0">
                  <a:srgbClr val="6E747A">
                    <a:alpha val="43000"/>
                  </a:srgbClr>
                </a:outerShdw>
              </a:effectLst>
              <a:latin typeface="Rockwell Light" panose="02040303020102020203" pitchFamily="18" charset="0"/>
            </a:rPr>
            <a:t>Baseline</a:t>
          </a:r>
          <a:r>
            <a:rPr lang="en-GB" sz="1400" b="1" cap="none" spc="0">
              <a:ln w="0"/>
              <a:solidFill>
                <a:schemeClr val="accent1"/>
              </a:solidFill>
              <a:effectLst>
                <a:outerShdw blurRad="38100" dist="25400" dir="5400000" algn="ctr" rotWithShape="0">
                  <a:srgbClr val="6E747A">
                    <a:alpha val="43000"/>
                  </a:srgbClr>
                </a:outerShdw>
              </a:effectLst>
              <a:latin typeface="Rockwell Light" panose="02040303020102020203" pitchFamily="18" charset="0"/>
            </a:rPr>
            <a:t> </a:t>
          </a:r>
        </a:p>
        <a:p>
          <a:pPr algn="ctr"/>
          <a:endParaRPr lang="en-GB" sz="1400" b="1" cap="none" spc="0">
            <a:ln w="0"/>
            <a:solidFill>
              <a:schemeClr val="accent1"/>
            </a:solidFill>
            <a:effectLst>
              <a:outerShdw blurRad="38100" dist="25400" dir="5400000" algn="ctr" rotWithShape="0">
                <a:srgbClr val="6E747A">
                  <a:alpha val="43000"/>
                </a:srgbClr>
              </a:outerShdw>
            </a:effectLst>
            <a:latin typeface="Rockwell Light" panose="02040303020102020203" pitchFamily="18" charset="0"/>
          </a:endParaRPr>
        </a:p>
        <a:p>
          <a:pPr algn="ctr"/>
          <a:endParaRPr lang="en-GB" sz="1400" b="1" cap="none" spc="0">
            <a:ln w="0"/>
            <a:solidFill>
              <a:schemeClr val="accent1"/>
            </a:solidFill>
            <a:effectLst>
              <a:outerShdw blurRad="38100" dist="25400" dir="5400000" algn="ctr" rotWithShape="0">
                <a:srgbClr val="6E747A">
                  <a:alpha val="43000"/>
                </a:srgbClr>
              </a:outerShdw>
            </a:effectLst>
            <a:latin typeface="Rockwell Light" panose="02040303020102020203" pitchFamily="18" charset="0"/>
          </a:endParaRPr>
        </a:p>
      </xdr:txBody>
    </xdr:sp>
    <xdr:clientData/>
  </xdr:twoCellAnchor>
  <xdr:twoCellAnchor>
    <xdr:from>
      <xdr:col>5</xdr:col>
      <xdr:colOff>423333</xdr:colOff>
      <xdr:row>18</xdr:row>
      <xdr:rowOff>143933</xdr:rowOff>
    </xdr:from>
    <xdr:to>
      <xdr:col>8</xdr:col>
      <xdr:colOff>194733</xdr:colOff>
      <xdr:row>24</xdr:row>
      <xdr:rowOff>194732</xdr:rowOff>
    </xdr:to>
    <xdr:sp macro="[0]!Activatecreation" textlink="">
      <xdr:nvSpPr>
        <xdr:cNvPr id="41" name="TextBox 40">
          <a:extLst>
            <a:ext uri="{FF2B5EF4-FFF2-40B4-BE49-F238E27FC236}">
              <a16:creationId xmlns:a16="http://schemas.microsoft.com/office/drawing/2014/main" id="{00000000-0008-0000-0400-000029000000}"/>
            </a:ext>
          </a:extLst>
        </xdr:cNvPr>
        <xdr:cNvSpPr txBox="1"/>
      </xdr:nvSpPr>
      <xdr:spPr>
        <a:xfrm>
          <a:off x="2760133" y="3979333"/>
          <a:ext cx="1651000" cy="1269999"/>
        </a:xfrm>
        <a:prstGeom prst="roundRect">
          <a:avLst/>
        </a:prstGeom>
        <a:solidFill>
          <a:srgbClr val="006600"/>
        </a:solidFill>
        <a:ln w="9525" cmpd="sng">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400" b="1">
              <a:solidFill>
                <a:schemeClr val="bg1"/>
              </a:solidFill>
              <a:latin typeface="Rockwell Light" panose="02040303020102020203" pitchFamily="18" charset="0"/>
            </a:rPr>
            <a:t>A-2 On-site</a:t>
          </a:r>
          <a:r>
            <a:rPr lang="en-GB" sz="1400" b="1" baseline="0">
              <a:solidFill>
                <a:schemeClr val="bg1"/>
              </a:solidFill>
              <a:latin typeface="Rockwell Light" panose="02040303020102020203" pitchFamily="18" charset="0"/>
            </a:rPr>
            <a:t> Area H</a:t>
          </a:r>
          <a:r>
            <a:rPr lang="en-GB" sz="1400" b="1">
              <a:solidFill>
                <a:schemeClr val="bg1"/>
              </a:solidFill>
              <a:latin typeface="Rockwell Light" panose="02040303020102020203" pitchFamily="18" charset="0"/>
            </a:rPr>
            <a:t>abitat Creation</a:t>
          </a:r>
        </a:p>
        <a:p>
          <a:pPr algn="ctr"/>
          <a:endParaRPr lang="en-GB" sz="1400">
            <a:solidFill>
              <a:schemeClr val="bg1"/>
            </a:solidFill>
            <a:latin typeface="Rockwell Light" panose="02040303020102020203" pitchFamily="18" charset="0"/>
          </a:endParaRPr>
        </a:p>
        <a:p>
          <a:pPr algn="ctr"/>
          <a:endParaRPr lang="en-GB" sz="1400">
            <a:solidFill>
              <a:schemeClr val="bg1"/>
            </a:solidFill>
            <a:latin typeface="Rockwell Light" panose="02040303020102020203" pitchFamily="18" charset="0"/>
          </a:endParaRPr>
        </a:p>
      </xdr:txBody>
    </xdr:sp>
    <xdr:clientData/>
  </xdr:twoCellAnchor>
  <xdr:twoCellAnchor>
    <xdr:from>
      <xdr:col>8</xdr:col>
      <xdr:colOff>455023</xdr:colOff>
      <xdr:row>18</xdr:row>
      <xdr:rowOff>159354</xdr:rowOff>
    </xdr:from>
    <xdr:to>
      <xdr:col>11</xdr:col>
      <xdr:colOff>499534</xdr:colOff>
      <xdr:row>25</xdr:row>
      <xdr:rowOff>25399</xdr:rowOff>
    </xdr:to>
    <xdr:sp macro="[0]!ActivateEnhancement" textlink="">
      <xdr:nvSpPr>
        <xdr:cNvPr id="42" name="TextBox 41">
          <a:extLst>
            <a:ext uri="{FF2B5EF4-FFF2-40B4-BE49-F238E27FC236}">
              <a16:creationId xmlns:a16="http://schemas.microsoft.com/office/drawing/2014/main" id="{00000000-0008-0000-0400-00002A000000}"/>
            </a:ext>
          </a:extLst>
        </xdr:cNvPr>
        <xdr:cNvSpPr txBox="1"/>
      </xdr:nvSpPr>
      <xdr:spPr>
        <a:xfrm>
          <a:off x="4671423" y="3994754"/>
          <a:ext cx="1780178" cy="1288445"/>
        </a:xfrm>
        <a:prstGeom prst="roundRect">
          <a:avLst/>
        </a:prstGeom>
        <a:solidFill>
          <a:srgbClr val="006600"/>
        </a:solidFill>
        <a:ln w="9525" cmpd="sng">
          <a:noFill/>
        </a:ln>
        <a:effectLst>
          <a:outerShdw blurRad="107950" dist="12700" dir="5400000" algn="ctr">
            <a:srgbClr val="000000"/>
          </a:outerShdw>
        </a:effectLst>
        <a:scene3d>
          <a:camera prst="orthographicFront">
            <a:rot lat="0" lon="0" rev="0"/>
          </a:camera>
          <a:lightRig rig="soft" dir="t">
            <a:rot lat="0" lon="0" rev="0"/>
          </a:lightRig>
        </a:scene3d>
        <a:sp3d contourW="25400" prstMaterial="matte">
          <a:bevelT w="63500" h="63500" prst="artDeco"/>
          <a:contourClr>
            <a:srgbClr val="FFFFFF"/>
          </a:contourClr>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400" b="1">
              <a:solidFill>
                <a:schemeClr val="bg1"/>
              </a:solidFill>
              <a:latin typeface="Rockwell Light" panose="02040303020102020203" pitchFamily="18" charset="0"/>
            </a:rPr>
            <a:t>A-3</a:t>
          </a:r>
          <a:r>
            <a:rPr lang="en-GB" sz="1400" b="1" baseline="0">
              <a:solidFill>
                <a:schemeClr val="bg1"/>
              </a:solidFill>
              <a:latin typeface="Rockwell Light" panose="02040303020102020203" pitchFamily="18" charset="0"/>
            </a:rPr>
            <a:t> On-site Area </a:t>
          </a:r>
          <a:r>
            <a:rPr lang="en-GB" sz="1400" b="1">
              <a:solidFill>
                <a:schemeClr val="bg1"/>
              </a:solidFill>
              <a:latin typeface="Rockwell Light" panose="02040303020102020203" pitchFamily="18" charset="0"/>
            </a:rPr>
            <a:t>Habitat Enhancement</a:t>
          </a:r>
        </a:p>
        <a:p>
          <a:pPr algn="ctr"/>
          <a:endParaRPr lang="en-GB" sz="1400">
            <a:solidFill>
              <a:schemeClr val="bg1"/>
            </a:solidFill>
            <a:latin typeface="Rockwell Light" panose="02040303020102020203" pitchFamily="18" charset="0"/>
          </a:endParaRPr>
        </a:p>
        <a:p>
          <a:pPr algn="ctr"/>
          <a:endParaRPr lang="en-GB" sz="1400">
            <a:solidFill>
              <a:schemeClr val="bg1"/>
            </a:solidFill>
            <a:latin typeface="Rockwell Light" panose="02040303020102020203" pitchFamily="18" charset="0"/>
          </a:endParaRPr>
        </a:p>
      </xdr:txBody>
    </xdr:sp>
    <xdr:clientData/>
  </xdr:twoCellAnchor>
  <xdr:twoCellAnchor>
    <xdr:from>
      <xdr:col>15</xdr:col>
      <xdr:colOff>1149893</xdr:colOff>
      <xdr:row>13</xdr:row>
      <xdr:rowOff>50800</xdr:rowOff>
    </xdr:from>
    <xdr:to>
      <xdr:col>21</xdr:col>
      <xdr:colOff>400050</xdr:colOff>
      <xdr:row>39</xdr:row>
      <xdr:rowOff>30479</xdr:rowOff>
    </xdr:to>
    <xdr:sp macro="" textlink="">
      <xdr:nvSpPr>
        <xdr:cNvPr id="46" name="TextBox 45">
          <a:extLst>
            <a:ext uri="{FF2B5EF4-FFF2-40B4-BE49-F238E27FC236}">
              <a16:creationId xmlns:a16="http://schemas.microsoft.com/office/drawing/2014/main" id="{00000000-0008-0000-0400-00002E000000}"/>
            </a:ext>
          </a:extLst>
        </xdr:cNvPr>
        <xdr:cNvSpPr txBox="1"/>
      </xdr:nvSpPr>
      <xdr:spPr>
        <a:xfrm>
          <a:off x="9360443" y="2927350"/>
          <a:ext cx="4755607" cy="6123304"/>
        </a:xfrm>
        <a:prstGeom prst="roundRect">
          <a:avLst/>
        </a:prstGeom>
        <a:solidFill>
          <a:srgbClr val="E0DCD3"/>
        </a:solidFill>
        <a:ln w="9525" cmpd="sng">
          <a:noFill/>
        </a:ln>
        <a:effectLst>
          <a:outerShdw blurRad="107950" dist="12700" dir="5400000" algn="ctr">
            <a:srgbClr val="000000"/>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GB" sz="2000">
              <a:solidFill>
                <a:schemeClr val="accent1"/>
              </a:solidFill>
              <a:latin typeface="Rockwell Light" panose="02040303020102020203" pitchFamily="18" charset="0"/>
            </a:rPr>
            <a:t>Off-site post development</a:t>
          </a:r>
        </a:p>
      </xdr:txBody>
    </xdr:sp>
    <xdr:clientData/>
  </xdr:twoCellAnchor>
  <xdr:twoCellAnchor>
    <xdr:from>
      <xdr:col>15</xdr:col>
      <xdr:colOff>1562373</xdr:colOff>
      <xdr:row>18</xdr:row>
      <xdr:rowOff>152400</xdr:rowOff>
    </xdr:from>
    <xdr:to>
      <xdr:col>17</xdr:col>
      <xdr:colOff>441960</xdr:colOff>
      <xdr:row>25</xdr:row>
      <xdr:rowOff>99060</xdr:rowOff>
    </xdr:to>
    <xdr:sp macro="[0]!ActivateD2creation" textlink="">
      <xdr:nvSpPr>
        <xdr:cNvPr id="51" name="TextBox 50">
          <a:extLst>
            <a:ext uri="{FF2B5EF4-FFF2-40B4-BE49-F238E27FC236}">
              <a16:creationId xmlns:a16="http://schemas.microsoft.com/office/drawing/2014/main" id="{00000000-0008-0000-0400-000033000000}"/>
            </a:ext>
          </a:extLst>
        </xdr:cNvPr>
        <xdr:cNvSpPr txBox="1"/>
      </xdr:nvSpPr>
      <xdr:spPr>
        <a:xfrm>
          <a:off x="9974853" y="4030980"/>
          <a:ext cx="1874247" cy="1386840"/>
        </a:xfrm>
        <a:prstGeom prst="roundRect">
          <a:avLst/>
        </a:prstGeom>
        <a:solidFill>
          <a:srgbClr val="006600"/>
        </a:solidFill>
        <a:ln w="9525" cmpd="sng">
          <a:noFill/>
        </a:ln>
        <a:effectLst>
          <a:outerShdw blurRad="107950" dist="12700" dir="5400000" algn="ctr">
            <a:srgbClr val="000000"/>
          </a:outerShdw>
        </a:effectLst>
        <a:scene3d>
          <a:camera prst="orthographicFront">
            <a:rot lat="0" lon="0" rev="0"/>
          </a:camera>
          <a:lightRig rig="soft" dir="t">
            <a:rot lat="0" lon="0" rev="0"/>
          </a:lightRig>
        </a:scene3d>
        <a:sp3d contourW="25400" prstMaterial="matte">
          <a:bevelT w="63500" h="63500" prst="artDeco"/>
          <a:contourClr>
            <a:srgbClr val="FFFFFF"/>
          </a:contourClr>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400" b="1">
              <a:solidFill>
                <a:schemeClr val="bg1"/>
              </a:solidFill>
              <a:latin typeface="Rockwell Light" panose="02040303020102020203" pitchFamily="18" charset="0"/>
            </a:rPr>
            <a:t>D-2 Off-site Area Habitat Creation</a:t>
          </a:r>
        </a:p>
        <a:p>
          <a:pPr algn="ctr"/>
          <a:endParaRPr lang="en-GB" sz="1400">
            <a:solidFill>
              <a:schemeClr val="bg1"/>
            </a:solidFill>
            <a:latin typeface="Rockwell Light" panose="02040303020102020203" pitchFamily="18" charset="0"/>
          </a:endParaRPr>
        </a:p>
        <a:p>
          <a:pPr algn="ctr"/>
          <a:endParaRPr lang="en-GB" sz="1400">
            <a:solidFill>
              <a:schemeClr val="bg1"/>
            </a:solidFill>
            <a:latin typeface="Rockwell Light" panose="02040303020102020203" pitchFamily="18" charset="0"/>
          </a:endParaRPr>
        </a:p>
      </xdr:txBody>
    </xdr:sp>
    <xdr:clientData/>
  </xdr:twoCellAnchor>
  <xdr:twoCellAnchor>
    <xdr:from>
      <xdr:col>17</xdr:col>
      <xdr:colOff>804181</xdr:colOff>
      <xdr:row>18</xdr:row>
      <xdr:rowOff>163830</xdr:rowOff>
    </xdr:from>
    <xdr:to>
      <xdr:col>20</xdr:col>
      <xdr:colOff>381000</xdr:colOff>
      <xdr:row>25</xdr:row>
      <xdr:rowOff>91440</xdr:rowOff>
    </xdr:to>
    <xdr:sp macro="[0]!ActivateD3Enhancement" textlink="">
      <xdr:nvSpPr>
        <xdr:cNvPr id="55" name="TextBox 54">
          <a:extLst>
            <a:ext uri="{FF2B5EF4-FFF2-40B4-BE49-F238E27FC236}">
              <a16:creationId xmlns:a16="http://schemas.microsoft.com/office/drawing/2014/main" id="{00000000-0008-0000-0400-000037000000}"/>
            </a:ext>
          </a:extLst>
        </xdr:cNvPr>
        <xdr:cNvSpPr txBox="1"/>
      </xdr:nvSpPr>
      <xdr:spPr>
        <a:xfrm>
          <a:off x="11929381" y="4088130"/>
          <a:ext cx="1729469" cy="1394460"/>
        </a:xfrm>
        <a:prstGeom prst="roundRect">
          <a:avLst/>
        </a:prstGeom>
        <a:solidFill>
          <a:srgbClr val="006600"/>
        </a:solidFill>
        <a:ln w="9525" cmpd="sng">
          <a:noFill/>
        </a:ln>
        <a:effectLst>
          <a:outerShdw blurRad="107950" dist="12700" dir="5400000" algn="ctr">
            <a:srgbClr val="000000"/>
          </a:outerShdw>
        </a:effectLst>
        <a:scene3d>
          <a:camera prst="orthographicFront">
            <a:rot lat="0" lon="0" rev="0"/>
          </a:camera>
          <a:lightRig rig="soft" dir="t">
            <a:rot lat="0" lon="0" rev="0"/>
          </a:lightRig>
        </a:scene3d>
        <a:sp3d contourW="25400" prstMaterial="matte">
          <a:bevelT w="63500" h="63500" prst="artDeco"/>
          <a:contourClr>
            <a:srgbClr val="FFFFFF"/>
          </a:contourClr>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400" b="1">
              <a:solidFill>
                <a:schemeClr val="bg1"/>
              </a:solidFill>
              <a:latin typeface="Rockwell Light" panose="02040303020102020203" pitchFamily="18" charset="0"/>
            </a:rPr>
            <a:t>D-3 Off-site Area Habitat Enhancement</a:t>
          </a:r>
        </a:p>
        <a:p>
          <a:pPr algn="ctr"/>
          <a:endParaRPr lang="en-GB" sz="1400">
            <a:solidFill>
              <a:schemeClr val="bg1"/>
            </a:solidFill>
            <a:latin typeface="Rockwell Light" panose="02040303020102020203" pitchFamily="18" charset="0"/>
          </a:endParaRPr>
        </a:p>
        <a:p>
          <a:pPr algn="ctr"/>
          <a:endParaRPr lang="en-GB" sz="1400">
            <a:solidFill>
              <a:schemeClr val="bg1"/>
            </a:solidFill>
            <a:latin typeface="Rockwell Light" panose="02040303020102020203" pitchFamily="18" charset="0"/>
          </a:endParaRPr>
        </a:p>
      </xdr:txBody>
    </xdr:sp>
    <xdr:clientData/>
  </xdr:twoCellAnchor>
  <xdr:twoCellAnchor>
    <xdr:from>
      <xdr:col>8</xdr:col>
      <xdr:colOff>447462</xdr:colOff>
      <xdr:row>26</xdr:row>
      <xdr:rowOff>88853</xdr:rowOff>
    </xdr:from>
    <xdr:to>
      <xdr:col>11</xdr:col>
      <xdr:colOff>499533</xdr:colOff>
      <xdr:row>33</xdr:row>
      <xdr:rowOff>135466</xdr:rowOff>
    </xdr:to>
    <xdr:sp macro="[0]!ActivateB3hedgeencancement" textlink="">
      <xdr:nvSpPr>
        <xdr:cNvPr id="58" name="TextBox 57">
          <a:extLst>
            <a:ext uri="{FF2B5EF4-FFF2-40B4-BE49-F238E27FC236}">
              <a16:creationId xmlns:a16="http://schemas.microsoft.com/office/drawing/2014/main" id="{00000000-0008-0000-0400-00003A000000}"/>
            </a:ext>
          </a:extLst>
        </xdr:cNvPr>
        <xdr:cNvSpPr txBox="1"/>
      </xdr:nvSpPr>
      <xdr:spPr>
        <a:xfrm>
          <a:off x="4663862" y="5549853"/>
          <a:ext cx="1787738" cy="1350480"/>
        </a:xfrm>
        <a:prstGeom prst="roundRect">
          <a:avLst/>
        </a:prstGeom>
        <a:solidFill>
          <a:srgbClr val="663300"/>
        </a:solidFill>
        <a:ln w="9525" cmpd="sng">
          <a:noFill/>
        </a:ln>
        <a:effectLst>
          <a:outerShdw blurRad="107950" dist="12700" dir="5400000" algn="ctr">
            <a:srgbClr val="000000"/>
          </a:outerShdw>
        </a:effectLst>
        <a:scene3d>
          <a:camera prst="orthographicFront">
            <a:rot lat="0" lon="0" rev="0"/>
          </a:camera>
          <a:lightRig rig="soft" dir="t">
            <a:rot lat="0" lon="0" rev="0"/>
          </a:lightRig>
        </a:scene3d>
        <a:sp3d contourW="25400" prstMaterial="matte">
          <a:bevelT w="63500" h="63500" prst="artDeco"/>
          <a:contourClr>
            <a:srgbClr val="FFFFFF"/>
          </a:contourClr>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400" b="1">
              <a:solidFill>
                <a:schemeClr val="bg1"/>
              </a:solidFill>
              <a:latin typeface="Rockwell Light" panose="02040303020102020203" pitchFamily="18" charset="0"/>
            </a:rPr>
            <a:t>B-3</a:t>
          </a:r>
          <a:r>
            <a:rPr lang="en-GB" sz="1400" b="1" baseline="0">
              <a:solidFill>
                <a:schemeClr val="bg1"/>
              </a:solidFill>
              <a:latin typeface="Rockwell Light" panose="02040303020102020203" pitchFamily="18" charset="0"/>
            </a:rPr>
            <a:t> On-site </a:t>
          </a:r>
          <a:r>
            <a:rPr lang="en-GB" sz="1400" b="1">
              <a:solidFill>
                <a:schemeClr val="bg1"/>
              </a:solidFill>
              <a:latin typeface="Rockwell Light" panose="02040303020102020203" pitchFamily="18" charset="0"/>
            </a:rPr>
            <a:t>Hedge Enhancement</a:t>
          </a:r>
        </a:p>
        <a:p>
          <a:pPr algn="ctr"/>
          <a:endParaRPr lang="en-GB" sz="1400">
            <a:solidFill>
              <a:schemeClr val="bg1"/>
            </a:solidFill>
            <a:latin typeface="Rockwell Light" panose="02040303020102020203" pitchFamily="18" charset="0"/>
          </a:endParaRPr>
        </a:p>
        <a:p>
          <a:pPr algn="ctr"/>
          <a:endParaRPr lang="en-GB" sz="1400">
            <a:solidFill>
              <a:schemeClr val="bg1"/>
            </a:solidFill>
            <a:latin typeface="Rockwell Light" panose="02040303020102020203" pitchFamily="18" charset="0"/>
          </a:endParaRPr>
        </a:p>
      </xdr:txBody>
    </xdr:sp>
    <xdr:clientData/>
  </xdr:twoCellAnchor>
  <xdr:twoCellAnchor>
    <xdr:from>
      <xdr:col>5</xdr:col>
      <xdr:colOff>392037</xdr:colOff>
      <xdr:row>26</xdr:row>
      <xdr:rowOff>87795</xdr:rowOff>
    </xdr:from>
    <xdr:to>
      <xdr:col>8</xdr:col>
      <xdr:colOff>135467</xdr:colOff>
      <xdr:row>33</xdr:row>
      <xdr:rowOff>118532</xdr:rowOff>
    </xdr:to>
    <xdr:sp macro="[0]!ActivateB2hedgecreation" textlink="">
      <xdr:nvSpPr>
        <xdr:cNvPr id="60" name="TextBox 59">
          <a:extLst>
            <a:ext uri="{FF2B5EF4-FFF2-40B4-BE49-F238E27FC236}">
              <a16:creationId xmlns:a16="http://schemas.microsoft.com/office/drawing/2014/main" id="{00000000-0008-0000-0400-00003C000000}"/>
            </a:ext>
          </a:extLst>
        </xdr:cNvPr>
        <xdr:cNvSpPr txBox="1"/>
      </xdr:nvSpPr>
      <xdr:spPr>
        <a:xfrm>
          <a:off x="2728837" y="5548795"/>
          <a:ext cx="1623030" cy="1334604"/>
        </a:xfrm>
        <a:prstGeom prst="roundRect">
          <a:avLst/>
        </a:prstGeom>
        <a:solidFill>
          <a:srgbClr val="663300"/>
        </a:solidFill>
        <a:ln w="9525" cmpd="sng">
          <a:noFill/>
        </a:ln>
        <a:effectLst>
          <a:outerShdw blurRad="107950" dist="12700" dir="5400000" algn="ctr">
            <a:srgbClr val="000000"/>
          </a:outerShdw>
        </a:effectLst>
        <a:scene3d>
          <a:camera prst="orthographicFront">
            <a:rot lat="0" lon="0" rev="0"/>
          </a:camera>
          <a:lightRig rig="soft" dir="t">
            <a:rot lat="0" lon="0" rev="0"/>
          </a:lightRig>
        </a:scene3d>
        <a:sp3d contourW="25400" prstMaterial="matte">
          <a:bevelT w="63500" h="63500" prst="artDeco"/>
          <a:contourClr>
            <a:srgbClr val="FFFFFF"/>
          </a:contourClr>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400" b="1">
              <a:solidFill>
                <a:schemeClr val="bg1"/>
              </a:solidFill>
              <a:latin typeface="Rockwell Light" panose="02040303020102020203" pitchFamily="18" charset="0"/>
            </a:rPr>
            <a:t>B-2</a:t>
          </a:r>
          <a:r>
            <a:rPr lang="en-GB" sz="1400" b="1" baseline="0">
              <a:solidFill>
                <a:schemeClr val="bg1"/>
              </a:solidFill>
              <a:latin typeface="Rockwell Light" panose="02040303020102020203" pitchFamily="18" charset="0"/>
            </a:rPr>
            <a:t> On-site </a:t>
          </a:r>
          <a:r>
            <a:rPr lang="en-GB" sz="1400" b="1">
              <a:solidFill>
                <a:schemeClr val="bg1"/>
              </a:solidFill>
              <a:latin typeface="Rockwell Light" panose="02040303020102020203" pitchFamily="18" charset="0"/>
            </a:rPr>
            <a:t>Hedge Creation</a:t>
          </a:r>
        </a:p>
        <a:p>
          <a:pPr algn="ctr"/>
          <a:endParaRPr lang="en-GB" sz="1400">
            <a:solidFill>
              <a:schemeClr val="bg1"/>
            </a:solidFill>
            <a:latin typeface="Rockwell Light" panose="02040303020102020203" pitchFamily="18" charset="0"/>
          </a:endParaRPr>
        </a:p>
        <a:p>
          <a:pPr algn="ctr"/>
          <a:endParaRPr lang="en-GB" sz="1400">
            <a:solidFill>
              <a:schemeClr val="bg1"/>
            </a:solidFill>
            <a:latin typeface="Rockwell Light" panose="02040303020102020203" pitchFamily="18" charset="0"/>
          </a:endParaRPr>
        </a:p>
      </xdr:txBody>
    </xdr:sp>
    <xdr:clientData/>
  </xdr:twoCellAnchor>
  <xdr:twoCellAnchor>
    <xdr:from>
      <xdr:col>8</xdr:col>
      <xdr:colOff>441775</xdr:colOff>
      <xdr:row>35</xdr:row>
      <xdr:rowOff>61215</xdr:rowOff>
    </xdr:from>
    <xdr:to>
      <xdr:col>11</xdr:col>
      <xdr:colOff>541865</xdr:colOff>
      <xdr:row>38</xdr:row>
      <xdr:rowOff>905932</xdr:rowOff>
    </xdr:to>
    <xdr:sp macro="[0]!Activatec3riverenhancement" textlink="">
      <xdr:nvSpPr>
        <xdr:cNvPr id="61" name="TextBox 60">
          <a:extLst>
            <a:ext uri="{FF2B5EF4-FFF2-40B4-BE49-F238E27FC236}">
              <a16:creationId xmlns:a16="http://schemas.microsoft.com/office/drawing/2014/main" id="{00000000-0008-0000-0400-00003D000000}"/>
            </a:ext>
          </a:extLst>
        </xdr:cNvPr>
        <xdr:cNvSpPr txBox="1"/>
      </xdr:nvSpPr>
      <xdr:spPr>
        <a:xfrm>
          <a:off x="4658175" y="7198615"/>
          <a:ext cx="1835757" cy="1403517"/>
        </a:xfrm>
        <a:prstGeom prst="roundRect">
          <a:avLst/>
        </a:prstGeom>
        <a:solidFill>
          <a:srgbClr val="0033CC"/>
        </a:solidFill>
        <a:ln w="9525" cmpd="sng">
          <a:noFill/>
        </a:ln>
        <a:effectLst>
          <a:outerShdw blurRad="107950" dist="12700" dir="5400000" algn="ctr">
            <a:srgbClr val="000000"/>
          </a:outerShdw>
        </a:effectLst>
        <a:scene3d>
          <a:camera prst="orthographicFront">
            <a:rot lat="0" lon="0" rev="0"/>
          </a:camera>
          <a:lightRig rig="soft" dir="t">
            <a:rot lat="0" lon="0" rev="0"/>
          </a:lightRig>
        </a:scene3d>
        <a:sp3d contourW="25400" prstMaterial="matte">
          <a:bevelT w="63500" h="63500" prst="artDeco"/>
          <a:contourClr>
            <a:srgbClr val="FFFFFF"/>
          </a:contourClr>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200" b="1">
              <a:solidFill>
                <a:schemeClr val="bg1"/>
              </a:solidFill>
              <a:latin typeface="Rockwell Light" panose="02040303020102020203" pitchFamily="18" charset="0"/>
            </a:rPr>
            <a:t>C-3</a:t>
          </a:r>
          <a:r>
            <a:rPr lang="en-GB" sz="1200" b="1" baseline="0">
              <a:solidFill>
                <a:schemeClr val="bg1"/>
              </a:solidFill>
              <a:latin typeface="Rockwell Light" panose="02040303020102020203" pitchFamily="18" charset="0"/>
            </a:rPr>
            <a:t> On-site Watercourse</a:t>
          </a:r>
          <a:r>
            <a:rPr lang="en-GB" sz="1200" b="1">
              <a:solidFill>
                <a:schemeClr val="bg1"/>
              </a:solidFill>
              <a:latin typeface="Rockwell Light" panose="02040303020102020203" pitchFamily="18" charset="0"/>
            </a:rPr>
            <a:t> Enhancement</a:t>
          </a:r>
        </a:p>
        <a:p>
          <a:pPr algn="ctr"/>
          <a:endParaRPr lang="en-GB" sz="1400">
            <a:solidFill>
              <a:schemeClr val="bg1"/>
            </a:solidFill>
            <a:latin typeface="Rockwell Light" panose="02040303020102020203" pitchFamily="18" charset="0"/>
          </a:endParaRPr>
        </a:p>
        <a:p>
          <a:pPr algn="ctr"/>
          <a:endParaRPr lang="en-GB" sz="1400">
            <a:solidFill>
              <a:schemeClr val="bg1"/>
            </a:solidFill>
            <a:latin typeface="Rockwell Light" panose="02040303020102020203" pitchFamily="18" charset="0"/>
          </a:endParaRPr>
        </a:p>
      </xdr:txBody>
    </xdr:sp>
    <xdr:clientData/>
  </xdr:twoCellAnchor>
  <xdr:twoCellAnchor>
    <xdr:from>
      <xdr:col>5</xdr:col>
      <xdr:colOff>370990</xdr:colOff>
      <xdr:row>35</xdr:row>
      <xdr:rowOff>59267</xdr:rowOff>
    </xdr:from>
    <xdr:to>
      <xdr:col>8</xdr:col>
      <xdr:colOff>152400</xdr:colOff>
      <xdr:row>38</xdr:row>
      <xdr:rowOff>902714</xdr:rowOff>
    </xdr:to>
    <xdr:sp macro="[0]!ActivateC2rivercreation" textlink="">
      <xdr:nvSpPr>
        <xdr:cNvPr id="63" name="TextBox 62">
          <a:extLst>
            <a:ext uri="{FF2B5EF4-FFF2-40B4-BE49-F238E27FC236}">
              <a16:creationId xmlns:a16="http://schemas.microsoft.com/office/drawing/2014/main" id="{00000000-0008-0000-0400-00003F000000}"/>
            </a:ext>
          </a:extLst>
        </xdr:cNvPr>
        <xdr:cNvSpPr txBox="1"/>
      </xdr:nvSpPr>
      <xdr:spPr>
        <a:xfrm>
          <a:off x="2707790" y="7196667"/>
          <a:ext cx="1661010" cy="1402247"/>
        </a:xfrm>
        <a:prstGeom prst="roundRect">
          <a:avLst/>
        </a:prstGeom>
        <a:solidFill>
          <a:srgbClr val="0033CC"/>
        </a:solidFill>
        <a:ln w="9525" cmpd="sng">
          <a:noFill/>
        </a:ln>
        <a:effectLst>
          <a:outerShdw blurRad="107950" dist="12700" dir="5400000" algn="ctr">
            <a:srgbClr val="000000"/>
          </a:outerShdw>
        </a:effectLst>
        <a:scene3d>
          <a:camera prst="orthographicFront">
            <a:rot lat="0" lon="0" rev="0"/>
          </a:camera>
          <a:lightRig rig="soft" dir="t">
            <a:rot lat="0" lon="0" rev="0"/>
          </a:lightRig>
        </a:scene3d>
        <a:sp3d contourW="25400" prstMaterial="matte">
          <a:bevelT w="63500" h="63500" prst="artDeco"/>
          <a:contourClr>
            <a:srgbClr val="FFFFFF"/>
          </a:contourClr>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200" b="1">
              <a:solidFill>
                <a:schemeClr val="bg1"/>
              </a:solidFill>
              <a:latin typeface="Rockwell Light" panose="02040303020102020203" pitchFamily="18" charset="0"/>
            </a:rPr>
            <a:t>C-2 On-site Watercourse Creation</a:t>
          </a:r>
        </a:p>
        <a:p>
          <a:pPr algn="ctr"/>
          <a:endParaRPr lang="en-GB" sz="1400">
            <a:solidFill>
              <a:schemeClr val="bg1"/>
            </a:solidFill>
            <a:latin typeface="Rockwell Light" panose="02040303020102020203" pitchFamily="18" charset="0"/>
          </a:endParaRPr>
        </a:p>
        <a:p>
          <a:pPr algn="ctr"/>
          <a:endParaRPr lang="en-GB" sz="1400">
            <a:solidFill>
              <a:schemeClr val="bg1"/>
            </a:solidFill>
            <a:latin typeface="Rockwell Light" panose="02040303020102020203" pitchFamily="18" charset="0"/>
          </a:endParaRPr>
        </a:p>
      </xdr:txBody>
    </xdr:sp>
    <xdr:clientData/>
  </xdr:twoCellAnchor>
  <xdr:twoCellAnchor>
    <xdr:from>
      <xdr:col>17</xdr:col>
      <xdr:colOff>772612</xdr:colOff>
      <xdr:row>26</xdr:row>
      <xdr:rowOff>175666</xdr:rowOff>
    </xdr:from>
    <xdr:to>
      <xdr:col>21</xdr:col>
      <xdr:colOff>0</xdr:colOff>
      <xdr:row>33</xdr:row>
      <xdr:rowOff>114300</xdr:rowOff>
    </xdr:to>
    <xdr:sp macro="[0]!ActivateE3hedgeencancement" textlink="">
      <xdr:nvSpPr>
        <xdr:cNvPr id="64" name="TextBox 63">
          <a:extLst>
            <a:ext uri="{FF2B5EF4-FFF2-40B4-BE49-F238E27FC236}">
              <a16:creationId xmlns:a16="http://schemas.microsoft.com/office/drawing/2014/main" id="{00000000-0008-0000-0400-000040000000}"/>
            </a:ext>
          </a:extLst>
        </xdr:cNvPr>
        <xdr:cNvSpPr txBox="1"/>
      </xdr:nvSpPr>
      <xdr:spPr>
        <a:xfrm>
          <a:off x="11897812" y="5776366"/>
          <a:ext cx="1818188" cy="1272134"/>
        </a:xfrm>
        <a:prstGeom prst="roundRect">
          <a:avLst/>
        </a:prstGeom>
        <a:solidFill>
          <a:srgbClr val="663300"/>
        </a:solidFill>
        <a:ln w="9525" cmpd="sng">
          <a:noFill/>
        </a:ln>
        <a:effectLst>
          <a:outerShdw blurRad="107950" dist="12700" dir="5400000" algn="ctr">
            <a:srgbClr val="000000"/>
          </a:outerShdw>
        </a:effectLst>
        <a:scene3d>
          <a:camera prst="orthographicFront">
            <a:rot lat="0" lon="0" rev="0"/>
          </a:camera>
          <a:lightRig rig="soft" dir="t">
            <a:rot lat="0" lon="0" rev="0"/>
          </a:lightRig>
        </a:scene3d>
        <a:sp3d contourW="25400" prstMaterial="matte">
          <a:bevelT w="63500" h="63500" prst="artDeco"/>
          <a:contourClr>
            <a:srgbClr val="FFFFFF"/>
          </a:contourClr>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400" b="1">
              <a:solidFill>
                <a:schemeClr val="bg1"/>
              </a:solidFill>
              <a:latin typeface="Rockwell Light" panose="02040303020102020203" pitchFamily="18" charset="0"/>
            </a:rPr>
            <a:t>E-3 Off-site Hedge Enhancement</a:t>
          </a:r>
        </a:p>
        <a:p>
          <a:pPr algn="ctr"/>
          <a:endParaRPr lang="en-GB" sz="1400">
            <a:solidFill>
              <a:schemeClr val="bg1"/>
            </a:solidFill>
            <a:latin typeface="Rockwell Light" panose="02040303020102020203" pitchFamily="18" charset="0"/>
          </a:endParaRPr>
        </a:p>
        <a:p>
          <a:pPr algn="ctr"/>
          <a:endParaRPr lang="en-GB" sz="1400">
            <a:solidFill>
              <a:schemeClr val="bg1"/>
            </a:solidFill>
            <a:latin typeface="Rockwell Light" panose="02040303020102020203" pitchFamily="18" charset="0"/>
          </a:endParaRPr>
        </a:p>
      </xdr:txBody>
    </xdr:sp>
    <xdr:clientData/>
  </xdr:twoCellAnchor>
  <xdr:twoCellAnchor>
    <xdr:from>
      <xdr:col>15</xdr:col>
      <xdr:colOff>1571444</xdr:colOff>
      <xdr:row>26</xdr:row>
      <xdr:rowOff>123414</xdr:rowOff>
    </xdr:from>
    <xdr:to>
      <xdr:col>17</xdr:col>
      <xdr:colOff>426720</xdr:colOff>
      <xdr:row>33</xdr:row>
      <xdr:rowOff>114300</xdr:rowOff>
    </xdr:to>
    <xdr:sp macro="[0]!ActivateE2hedgecreation" textlink="">
      <xdr:nvSpPr>
        <xdr:cNvPr id="66" name="TextBox 65">
          <a:extLst>
            <a:ext uri="{FF2B5EF4-FFF2-40B4-BE49-F238E27FC236}">
              <a16:creationId xmlns:a16="http://schemas.microsoft.com/office/drawing/2014/main" id="{00000000-0008-0000-0400-000042000000}"/>
            </a:ext>
          </a:extLst>
        </xdr:cNvPr>
        <xdr:cNvSpPr txBox="1"/>
      </xdr:nvSpPr>
      <xdr:spPr>
        <a:xfrm>
          <a:off x="9983924" y="5647914"/>
          <a:ext cx="1849936" cy="1271046"/>
        </a:xfrm>
        <a:prstGeom prst="roundRect">
          <a:avLst/>
        </a:prstGeom>
        <a:solidFill>
          <a:srgbClr val="663300"/>
        </a:solidFill>
        <a:ln w="9525" cmpd="sng">
          <a:noFill/>
        </a:ln>
        <a:effectLst>
          <a:outerShdw blurRad="107950" dist="12700" dir="5400000" algn="ctr">
            <a:srgbClr val="000000"/>
          </a:outerShdw>
        </a:effectLst>
        <a:scene3d>
          <a:camera prst="orthographicFront">
            <a:rot lat="0" lon="0" rev="0"/>
          </a:camera>
          <a:lightRig rig="soft" dir="t">
            <a:rot lat="0" lon="0" rev="0"/>
          </a:lightRig>
        </a:scene3d>
        <a:sp3d contourW="25400" prstMaterial="matte">
          <a:bevelT w="63500" h="63500" prst="artDeco"/>
          <a:contourClr>
            <a:srgbClr val="FFFFFF"/>
          </a:contourClr>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400" b="1">
              <a:solidFill>
                <a:schemeClr val="bg1"/>
              </a:solidFill>
              <a:latin typeface="Rockwell Light" panose="02040303020102020203" pitchFamily="18" charset="0"/>
            </a:rPr>
            <a:t>E-2 Off-site Hedge Creation</a:t>
          </a:r>
        </a:p>
        <a:p>
          <a:pPr algn="ctr"/>
          <a:endParaRPr lang="en-GB" sz="1400">
            <a:solidFill>
              <a:schemeClr val="bg1"/>
            </a:solidFill>
            <a:latin typeface="Rockwell Light" panose="02040303020102020203" pitchFamily="18" charset="0"/>
          </a:endParaRPr>
        </a:p>
        <a:p>
          <a:pPr algn="ctr"/>
          <a:endParaRPr lang="en-GB" sz="1400">
            <a:solidFill>
              <a:schemeClr val="bg1"/>
            </a:solidFill>
            <a:latin typeface="Rockwell Light" panose="02040303020102020203" pitchFamily="18" charset="0"/>
          </a:endParaRPr>
        </a:p>
      </xdr:txBody>
    </xdr:sp>
    <xdr:clientData/>
  </xdr:twoCellAnchor>
  <xdr:twoCellAnchor>
    <xdr:from>
      <xdr:col>17</xdr:col>
      <xdr:colOff>762000</xdr:colOff>
      <xdr:row>35</xdr:row>
      <xdr:rowOff>13063</xdr:rowOff>
    </xdr:from>
    <xdr:to>
      <xdr:col>21</xdr:col>
      <xdr:colOff>38099</xdr:colOff>
      <xdr:row>38</xdr:row>
      <xdr:rowOff>861061</xdr:rowOff>
    </xdr:to>
    <xdr:sp macro="[0]!ActivateF3riverenhancement" textlink="">
      <xdr:nvSpPr>
        <xdr:cNvPr id="70" name="TextBox 69">
          <a:extLst>
            <a:ext uri="{FF2B5EF4-FFF2-40B4-BE49-F238E27FC236}">
              <a16:creationId xmlns:a16="http://schemas.microsoft.com/office/drawing/2014/main" id="{00000000-0008-0000-0400-000046000000}"/>
            </a:ext>
          </a:extLst>
        </xdr:cNvPr>
        <xdr:cNvSpPr txBox="1"/>
      </xdr:nvSpPr>
      <xdr:spPr>
        <a:xfrm>
          <a:off x="11887200" y="7328263"/>
          <a:ext cx="1866899" cy="1419498"/>
        </a:xfrm>
        <a:prstGeom prst="roundRect">
          <a:avLst/>
        </a:prstGeom>
        <a:solidFill>
          <a:srgbClr val="0033CC"/>
        </a:solidFill>
        <a:ln w="9525" cmpd="sng">
          <a:noFill/>
        </a:ln>
        <a:effectLst>
          <a:outerShdw blurRad="107950" dist="12700" dir="5400000" algn="ctr">
            <a:srgbClr val="000000"/>
          </a:outerShdw>
        </a:effectLst>
        <a:scene3d>
          <a:camera prst="orthographicFront">
            <a:rot lat="0" lon="0" rev="0"/>
          </a:camera>
          <a:lightRig rig="soft" dir="t">
            <a:rot lat="0" lon="0" rev="0"/>
          </a:lightRig>
        </a:scene3d>
        <a:sp3d contourW="25400" prstMaterial="matte">
          <a:bevelT w="63500" h="63500" prst="artDeco"/>
          <a:contourClr>
            <a:srgbClr val="FFFFFF"/>
          </a:contourClr>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400" b="1">
              <a:solidFill>
                <a:schemeClr val="bg1"/>
              </a:solidFill>
              <a:latin typeface="Rockwell Light" panose="02040303020102020203" pitchFamily="18" charset="0"/>
            </a:rPr>
            <a:t>F-3 Off-site Watercourse Enhancement</a:t>
          </a:r>
        </a:p>
        <a:p>
          <a:pPr algn="ctr"/>
          <a:endParaRPr lang="en-GB" sz="1400">
            <a:solidFill>
              <a:schemeClr val="bg1"/>
            </a:solidFill>
            <a:latin typeface="Rockwell Light" panose="02040303020102020203" pitchFamily="18" charset="0"/>
          </a:endParaRPr>
        </a:p>
        <a:p>
          <a:pPr algn="ctr"/>
          <a:endParaRPr lang="en-GB" sz="1400">
            <a:solidFill>
              <a:schemeClr val="bg1"/>
            </a:solidFill>
            <a:latin typeface="Rockwell Light" panose="02040303020102020203" pitchFamily="18" charset="0"/>
          </a:endParaRPr>
        </a:p>
      </xdr:txBody>
    </xdr:sp>
    <xdr:clientData/>
  </xdr:twoCellAnchor>
  <xdr:twoCellAnchor>
    <xdr:from>
      <xdr:col>15</xdr:col>
      <xdr:colOff>1524636</xdr:colOff>
      <xdr:row>35</xdr:row>
      <xdr:rowOff>23676</xdr:rowOff>
    </xdr:from>
    <xdr:to>
      <xdr:col>17</xdr:col>
      <xdr:colOff>464820</xdr:colOff>
      <xdr:row>38</xdr:row>
      <xdr:rowOff>861060</xdr:rowOff>
    </xdr:to>
    <xdr:sp macro="[0]!ActivateF2rivercreation" textlink="">
      <xdr:nvSpPr>
        <xdr:cNvPr id="71" name="TextBox 70">
          <a:extLst>
            <a:ext uri="{FF2B5EF4-FFF2-40B4-BE49-F238E27FC236}">
              <a16:creationId xmlns:a16="http://schemas.microsoft.com/office/drawing/2014/main" id="{00000000-0008-0000-0400-000047000000}"/>
            </a:ext>
          </a:extLst>
        </xdr:cNvPr>
        <xdr:cNvSpPr txBox="1"/>
      </xdr:nvSpPr>
      <xdr:spPr>
        <a:xfrm>
          <a:off x="9937116" y="7194096"/>
          <a:ext cx="1934844" cy="1386024"/>
        </a:xfrm>
        <a:prstGeom prst="roundRect">
          <a:avLst/>
        </a:prstGeom>
        <a:solidFill>
          <a:srgbClr val="0033CC"/>
        </a:solidFill>
        <a:ln w="9525" cmpd="sng">
          <a:noFill/>
        </a:ln>
        <a:effectLst>
          <a:outerShdw blurRad="107950" dist="12700" dir="5400000" algn="ctr">
            <a:srgbClr val="000000"/>
          </a:outerShdw>
        </a:effectLst>
        <a:scene3d>
          <a:camera prst="orthographicFront">
            <a:rot lat="0" lon="0" rev="0"/>
          </a:camera>
          <a:lightRig rig="soft" dir="t">
            <a:rot lat="0" lon="0" rev="0"/>
          </a:lightRig>
        </a:scene3d>
        <a:sp3d contourW="25400" prstMaterial="matte">
          <a:bevelT w="63500" h="63500" prst="artDeco"/>
          <a:contourClr>
            <a:srgbClr val="FFFFFF"/>
          </a:contourClr>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400" b="1">
              <a:solidFill>
                <a:schemeClr val="bg1"/>
              </a:solidFill>
              <a:latin typeface="Rockwell Light" panose="02040303020102020203" pitchFamily="18" charset="0"/>
            </a:rPr>
            <a:t>F-2 Off-site</a:t>
          </a:r>
          <a:r>
            <a:rPr lang="en-GB" sz="1400" b="1" baseline="0">
              <a:solidFill>
                <a:schemeClr val="bg1"/>
              </a:solidFill>
              <a:latin typeface="Rockwell Light" panose="02040303020102020203" pitchFamily="18" charset="0"/>
            </a:rPr>
            <a:t> Watercourse</a:t>
          </a:r>
          <a:r>
            <a:rPr lang="en-GB" sz="1400" b="1">
              <a:solidFill>
                <a:schemeClr val="bg1"/>
              </a:solidFill>
              <a:latin typeface="Rockwell Light" panose="02040303020102020203" pitchFamily="18" charset="0"/>
            </a:rPr>
            <a:t> Creation</a:t>
          </a:r>
        </a:p>
        <a:p>
          <a:pPr algn="ctr"/>
          <a:endParaRPr lang="en-GB" sz="1400">
            <a:solidFill>
              <a:schemeClr val="bg1"/>
            </a:solidFill>
            <a:latin typeface="Rockwell Light" panose="02040303020102020203" pitchFamily="18" charset="0"/>
          </a:endParaRPr>
        </a:p>
        <a:p>
          <a:pPr algn="ctr"/>
          <a:endParaRPr lang="en-GB" sz="1400">
            <a:solidFill>
              <a:schemeClr val="bg1"/>
            </a:solidFill>
            <a:latin typeface="Rockwell Light" panose="02040303020102020203" pitchFamily="18" charset="0"/>
          </a:endParaRPr>
        </a:p>
      </xdr:txBody>
    </xdr:sp>
    <xdr:clientData/>
  </xdr:twoCellAnchor>
  <xdr:twoCellAnchor>
    <xdr:from>
      <xdr:col>3</xdr:col>
      <xdr:colOff>28726</xdr:colOff>
      <xdr:row>26</xdr:row>
      <xdr:rowOff>9675</xdr:rowOff>
    </xdr:from>
    <xdr:to>
      <xdr:col>4</xdr:col>
      <xdr:colOff>186266</xdr:colOff>
      <xdr:row>33</xdr:row>
      <xdr:rowOff>152400</xdr:rowOff>
    </xdr:to>
    <xdr:sp macro="[0]!Activateb1hedge1baseline" textlink="">
      <xdr:nvSpPr>
        <xdr:cNvPr id="38" name="TextBox 37">
          <a:extLst>
            <a:ext uri="{FF2B5EF4-FFF2-40B4-BE49-F238E27FC236}">
              <a16:creationId xmlns:a16="http://schemas.microsoft.com/office/drawing/2014/main" id="{00000000-0008-0000-0400-000026000000}"/>
            </a:ext>
          </a:extLst>
        </xdr:cNvPr>
        <xdr:cNvSpPr txBox="1"/>
      </xdr:nvSpPr>
      <xdr:spPr>
        <a:xfrm>
          <a:off x="460526" y="5470675"/>
          <a:ext cx="1436007" cy="1446592"/>
        </a:xfrm>
        <a:prstGeom prst="roundRect">
          <a:avLst/>
        </a:prstGeom>
        <a:solidFill>
          <a:srgbClr val="663300"/>
        </a:solidFill>
        <a:ln w="9525" cmpd="sng">
          <a:noFill/>
        </a:ln>
        <a:effectLst>
          <a:outerShdw blurRad="107950" dist="12700" dir="5400000" algn="ctr">
            <a:srgbClr val="000000"/>
          </a:outerShdw>
        </a:effectLst>
        <a:scene3d>
          <a:camera prst="orthographicFront">
            <a:rot lat="0" lon="0" rev="0"/>
          </a:camera>
          <a:lightRig rig="soft" dir="t">
            <a:rot lat="0" lon="0" rev="0"/>
          </a:lightRig>
        </a:scene3d>
        <a:sp3d contourW="25400" prstMaterial="matte">
          <a:bevelT w="63500" h="63500" prst="artDeco"/>
          <a:contourClr>
            <a:srgbClr val="FFFFFF"/>
          </a:contourClr>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GB" sz="1400" b="1" cap="none" spc="0">
              <a:ln w="0"/>
              <a:solidFill>
                <a:schemeClr val="bg1"/>
              </a:solidFill>
              <a:effectLst>
                <a:outerShdw blurRad="38100" dist="25400" dir="5400000" algn="ctr" rotWithShape="0">
                  <a:srgbClr val="6E747A">
                    <a:alpha val="43000"/>
                  </a:srgbClr>
                </a:outerShdw>
              </a:effectLst>
              <a:latin typeface="Rockwell Light" panose="02040303020102020203" pitchFamily="18" charset="0"/>
            </a:rPr>
            <a:t>B-1</a:t>
          </a:r>
        </a:p>
        <a:p>
          <a:pPr algn="ctr"/>
          <a:r>
            <a:rPr lang="en-GB" sz="1400" b="1" cap="none" spc="0">
              <a:ln w="0"/>
              <a:solidFill>
                <a:schemeClr val="bg1"/>
              </a:solidFill>
              <a:effectLst>
                <a:outerShdw blurRad="38100" dist="25400" dir="5400000" algn="ctr" rotWithShape="0">
                  <a:srgbClr val="6E747A">
                    <a:alpha val="43000"/>
                  </a:srgbClr>
                </a:outerShdw>
              </a:effectLst>
              <a:latin typeface="Rockwell Light" panose="02040303020102020203" pitchFamily="18" charset="0"/>
            </a:rPr>
            <a:t>On-site Hedge</a:t>
          </a:r>
        </a:p>
        <a:p>
          <a:pPr algn="ctr"/>
          <a:r>
            <a:rPr lang="en-GB" sz="1400" b="1" cap="none" spc="0">
              <a:ln w="0"/>
              <a:solidFill>
                <a:schemeClr val="bg1"/>
              </a:solidFill>
              <a:effectLst>
                <a:outerShdw blurRad="38100" dist="25400" dir="5400000" algn="ctr" rotWithShape="0">
                  <a:srgbClr val="6E747A">
                    <a:alpha val="43000"/>
                  </a:srgbClr>
                </a:outerShdw>
              </a:effectLst>
              <a:latin typeface="Rockwell Light" panose="02040303020102020203" pitchFamily="18" charset="0"/>
            </a:rPr>
            <a:t>Baseline</a:t>
          </a:r>
          <a:r>
            <a:rPr lang="en-GB" sz="1400" b="1" cap="none" spc="0">
              <a:ln w="0"/>
              <a:solidFill>
                <a:schemeClr val="accent1"/>
              </a:solidFill>
              <a:effectLst>
                <a:outerShdw blurRad="38100" dist="25400" dir="5400000" algn="ctr" rotWithShape="0">
                  <a:srgbClr val="6E747A">
                    <a:alpha val="43000"/>
                  </a:srgbClr>
                </a:outerShdw>
              </a:effectLst>
              <a:latin typeface="Rockwell Light" panose="02040303020102020203" pitchFamily="18" charset="0"/>
            </a:rPr>
            <a:t> </a:t>
          </a:r>
        </a:p>
        <a:p>
          <a:pPr algn="ctr"/>
          <a:endParaRPr lang="en-GB" sz="1400" b="0" cap="none" spc="0">
            <a:ln w="0"/>
            <a:solidFill>
              <a:schemeClr val="accent1"/>
            </a:solidFill>
            <a:effectLst>
              <a:outerShdw blurRad="38100" dist="25400" dir="5400000" algn="ctr" rotWithShape="0">
                <a:srgbClr val="6E747A">
                  <a:alpha val="43000"/>
                </a:srgbClr>
              </a:outerShdw>
            </a:effectLst>
            <a:latin typeface="Rockwell Light" panose="02040303020102020203" pitchFamily="18" charset="0"/>
          </a:endParaRPr>
        </a:p>
        <a:p>
          <a:pPr algn="ctr"/>
          <a:endParaRPr lang="en-GB" sz="1400" b="0" cap="none" spc="0">
            <a:ln w="0"/>
            <a:solidFill>
              <a:schemeClr val="accent1"/>
            </a:solidFill>
            <a:effectLst>
              <a:outerShdw blurRad="38100" dist="25400" dir="5400000" algn="ctr" rotWithShape="0">
                <a:srgbClr val="6E747A">
                  <a:alpha val="43000"/>
                </a:srgbClr>
              </a:outerShdw>
            </a:effectLst>
            <a:latin typeface="Rockwell Light" panose="02040303020102020203" pitchFamily="18" charset="0"/>
          </a:endParaRPr>
        </a:p>
      </xdr:txBody>
    </xdr:sp>
    <xdr:clientData/>
  </xdr:twoCellAnchor>
  <xdr:twoCellAnchor>
    <xdr:from>
      <xdr:col>3</xdr:col>
      <xdr:colOff>3630</xdr:colOff>
      <xdr:row>35</xdr:row>
      <xdr:rowOff>10429</xdr:rowOff>
    </xdr:from>
    <xdr:to>
      <xdr:col>4</xdr:col>
      <xdr:colOff>186267</xdr:colOff>
      <xdr:row>38</xdr:row>
      <xdr:rowOff>804332</xdr:rowOff>
    </xdr:to>
    <xdr:sp macro="[0]!Activatec1siteriverbaseline" textlink="">
      <xdr:nvSpPr>
        <xdr:cNvPr id="43" name="TextBox 42">
          <a:extLst>
            <a:ext uri="{FF2B5EF4-FFF2-40B4-BE49-F238E27FC236}">
              <a16:creationId xmlns:a16="http://schemas.microsoft.com/office/drawing/2014/main" id="{00000000-0008-0000-0400-00002B000000}"/>
            </a:ext>
          </a:extLst>
        </xdr:cNvPr>
        <xdr:cNvSpPr txBox="1"/>
      </xdr:nvSpPr>
      <xdr:spPr>
        <a:xfrm>
          <a:off x="435430" y="7147829"/>
          <a:ext cx="1461104" cy="1352703"/>
        </a:xfrm>
        <a:prstGeom prst="roundRect">
          <a:avLst/>
        </a:prstGeom>
        <a:solidFill>
          <a:srgbClr val="0033CC"/>
        </a:solidFill>
        <a:ln w="9525" cmpd="sng">
          <a:noFill/>
        </a:ln>
        <a:effectLst>
          <a:outerShdw blurRad="107950" dist="12700" dir="5400000" algn="ctr">
            <a:srgbClr val="000000"/>
          </a:outerShdw>
        </a:effectLst>
        <a:scene3d>
          <a:camera prst="orthographicFront">
            <a:rot lat="0" lon="0" rev="0"/>
          </a:camera>
          <a:lightRig rig="soft" dir="t">
            <a:rot lat="0" lon="0" rev="0"/>
          </a:lightRig>
        </a:scene3d>
        <a:sp3d contourW="25400" prstMaterial="matte">
          <a:bevelT w="63500" h="63500" prst="artDeco"/>
          <a:contourClr>
            <a:srgbClr val="FFFFFF"/>
          </a:contourClr>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100" b="1" cap="none" spc="0">
              <a:ln w="0"/>
              <a:solidFill>
                <a:schemeClr val="bg1"/>
              </a:solidFill>
              <a:effectLst>
                <a:outerShdw blurRad="38100" dist="25400" dir="5400000" algn="ctr" rotWithShape="0">
                  <a:srgbClr val="6E747A">
                    <a:alpha val="43000"/>
                  </a:srgbClr>
                </a:outerShdw>
              </a:effectLst>
              <a:latin typeface="Rockwell Light" panose="02040303020102020203" pitchFamily="18" charset="0"/>
            </a:rPr>
            <a:t>C-1</a:t>
          </a:r>
        </a:p>
        <a:p>
          <a:pPr algn="ctr"/>
          <a:r>
            <a:rPr lang="en-GB" sz="1100" b="1" cap="none" spc="0">
              <a:ln w="0"/>
              <a:solidFill>
                <a:schemeClr val="bg1"/>
              </a:solidFill>
              <a:effectLst>
                <a:outerShdw blurRad="38100" dist="25400" dir="5400000" algn="ctr" rotWithShape="0">
                  <a:srgbClr val="6E747A">
                    <a:alpha val="43000"/>
                  </a:srgbClr>
                </a:outerShdw>
              </a:effectLst>
              <a:latin typeface="Rockwell Light" panose="02040303020102020203" pitchFamily="18" charset="0"/>
            </a:rPr>
            <a:t>On-site Watercourse</a:t>
          </a:r>
        </a:p>
        <a:p>
          <a:pPr algn="ctr"/>
          <a:r>
            <a:rPr lang="en-GB" sz="1100" b="1" cap="none" spc="0">
              <a:ln w="0"/>
              <a:solidFill>
                <a:schemeClr val="bg1"/>
              </a:solidFill>
              <a:effectLst>
                <a:outerShdw blurRad="38100" dist="25400" dir="5400000" algn="ctr" rotWithShape="0">
                  <a:srgbClr val="6E747A">
                    <a:alpha val="43000"/>
                  </a:srgbClr>
                </a:outerShdw>
              </a:effectLst>
              <a:latin typeface="Rockwell Light" panose="02040303020102020203" pitchFamily="18" charset="0"/>
            </a:rPr>
            <a:t>Baseline</a:t>
          </a:r>
        </a:p>
        <a:p>
          <a:pPr algn="ctr"/>
          <a:endParaRPr lang="en-GB" sz="1400" b="0" cap="none" spc="0">
            <a:ln w="0"/>
            <a:solidFill>
              <a:schemeClr val="bg1"/>
            </a:solidFill>
            <a:effectLst>
              <a:outerShdw blurRad="38100" dist="25400" dir="5400000" algn="ctr" rotWithShape="0">
                <a:srgbClr val="6E747A">
                  <a:alpha val="43000"/>
                </a:srgbClr>
              </a:outerShdw>
            </a:effectLst>
            <a:latin typeface="Rockwell Light" panose="02040303020102020203" pitchFamily="18" charset="0"/>
          </a:endParaRPr>
        </a:p>
        <a:p>
          <a:pPr algn="ctr"/>
          <a:r>
            <a:rPr lang="en-GB" sz="1400" b="0" cap="none" spc="0">
              <a:ln w="0"/>
              <a:solidFill>
                <a:schemeClr val="bg1"/>
              </a:solidFill>
              <a:effectLst>
                <a:outerShdw blurRad="38100" dist="25400" dir="5400000" algn="ctr" rotWithShape="0">
                  <a:srgbClr val="6E747A">
                    <a:alpha val="43000"/>
                  </a:srgbClr>
                </a:outerShdw>
              </a:effectLst>
              <a:latin typeface="Rockwell Light" panose="02040303020102020203" pitchFamily="18" charset="0"/>
            </a:rPr>
            <a:t> </a:t>
          </a:r>
        </a:p>
      </xdr:txBody>
    </xdr:sp>
    <xdr:clientData/>
  </xdr:twoCellAnchor>
  <xdr:twoCellAnchor>
    <xdr:from>
      <xdr:col>12</xdr:col>
      <xdr:colOff>696685</xdr:colOff>
      <xdr:row>13</xdr:row>
      <xdr:rowOff>44903</xdr:rowOff>
    </xdr:from>
    <xdr:to>
      <xdr:col>15</xdr:col>
      <xdr:colOff>956733</xdr:colOff>
      <xdr:row>39</xdr:row>
      <xdr:rowOff>8467</xdr:rowOff>
    </xdr:to>
    <xdr:sp macro="" textlink="">
      <xdr:nvSpPr>
        <xdr:cNvPr id="36" name="TextBox 35">
          <a:extLst>
            <a:ext uri="{FF2B5EF4-FFF2-40B4-BE49-F238E27FC236}">
              <a16:creationId xmlns:a16="http://schemas.microsoft.com/office/drawing/2014/main" id="{00000000-0008-0000-0400-000024000000}"/>
            </a:ext>
          </a:extLst>
        </xdr:cNvPr>
        <xdr:cNvSpPr txBox="1"/>
      </xdr:nvSpPr>
      <xdr:spPr>
        <a:xfrm>
          <a:off x="7275285" y="2864303"/>
          <a:ext cx="2105781" cy="5974897"/>
        </a:xfrm>
        <a:prstGeom prst="roundRect">
          <a:avLst/>
        </a:prstGeom>
        <a:solidFill>
          <a:srgbClr val="E0DCD3"/>
        </a:solidFill>
        <a:ln>
          <a:noFill/>
        </a:ln>
        <a:effectLst>
          <a:outerShdw blurRad="107950" dist="12700" dir="5400000" algn="ctr">
            <a:srgbClr val="000000"/>
          </a:outerShdw>
        </a:effectLst>
      </xdr:spPr>
      <xdr:style>
        <a:lnRef idx="2">
          <a:schemeClr val="dk1"/>
        </a:lnRef>
        <a:fillRef idx="1">
          <a:schemeClr val="lt1"/>
        </a:fillRef>
        <a:effectRef idx="0">
          <a:schemeClr val="dk1"/>
        </a:effectRef>
        <a:fontRef idx="minor">
          <a:schemeClr val="dk1"/>
        </a:fontRef>
      </xdr:style>
      <xdr:txBody>
        <a:bodyPr vertOverflow="clip" horzOverflow="clip" wrap="square" rtlCol="0" anchor="t"/>
        <a:lstStyle/>
        <a:p>
          <a:pPr algn="ctr"/>
          <a:r>
            <a:rPr lang="en-GB" sz="2000">
              <a:solidFill>
                <a:schemeClr val="accent1"/>
              </a:solidFill>
              <a:latin typeface="Rockwell Light" panose="02040303020102020203" pitchFamily="18" charset="0"/>
            </a:rPr>
            <a:t>Off-site baseline  </a:t>
          </a:r>
        </a:p>
      </xdr:txBody>
    </xdr:sp>
    <xdr:clientData/>
  </xdr:twoCellAnchor>
  <xdr:twoCellAnchor>
    <xdr:from>
      <xdr:col>13</xdr:col>
      <xdr:colOff>12122</xdr:colOff>
      <xdr:row>35</xdr:row>
      <xdr:rowOff>112423</xdr:rowOff>
    </xdr:from>
    <xdr:to>
      <xdr:col>15</xdr:col>
      <xdr:colOff>863600</xdr:colOff>
      <xdr:row>38</xdr:row>
      <xdr:rowOff>812800</xdr:rowOff>
    </xdr:to>
    <xdr:sp macro="[0]!ActivateF1offriverbaseline" textlink="">
      <xdr:nvSpPr>
        <xdr:cNvPr id="49" name="TextBox 48">
          <a:extLst>
            <a:ext uri="{FF2B5EF4-FFF2-40B4-BE49-F238E27FC236}">
              <a16:creationId xmlns:a16="http://schemas.microsoft.com/office/drawing/2014/main" id="{00000000-0008-0000-0400-000031000000}"/>
            </a:ext>
          </a:extLst>
        </xdr:cNvPr>
        <xdr:cNvSpPr txBox="1"/>
      </xdr:nvSpPr>
      <xdr:spPr>
        <a:xfrm>
          <a:off x="7420455" y="7249823"/>
          <a:ext cx="1867478" cy="1259177"/>
        </a:xfrm>
        <a:prstGeom prst="roundRect">
          <a:avLst/>
        </a:prstGeom>
        <a:solidFill>
          <a:srgbClr val="0033CC"/>
        </a:solidFill>
        <a:ln w="9525" cmpd="sng">
          <a:noFill/>
        </a:ln>
        <a:effectLst>
          <a:outerShdw blurRad="107950" dist="12700" dir="5400000" algn="ctr">
            <a:srgbClr val="000000"/>
          </a:outerShdw>
        </a:effectLst>
        <a:scene3d>
          <a:camera prst="orthographicFront">
            <a:rot lat="0" lon="0" rev="0"/>
          </a:camera>
          <a:lightRig rig="soft" dir="t">
            <a:rot lat="0" lon="0" rev="0"/>
          </a:lightRig>
        </a:scene3d>
        <a:sp3d contourW="25400" prstMaterial="matte">
          <a:bevelT w="63500" h="63500" prst="artDeco"/>
          <a:contourClr>
            <a:srgbClr val="FFFFFF"/>
          </a:contourClr>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400" b="1" cap="none" spc="0">
              <a:ln w="0"/>
              <a:solidFill>
                <a:schemeClr val="bg1"/>
              </a:solidFill>
              <a:effectLst>
                <a:outerShdw blurRad="38100" dist="25400" dir="5400000" algn="ctr" rotWithShape="0">
                  <a:srgbClr val="6E747A">
                    <a:alpha val="43000"/>
                  </a:srgbClr>
                </a:outerShdw>
              </a:effectLst>
              <a:latin typeface="Rockwell Light" panose="02040303020102020203" pitchFamily="18" charset="0"/>
            </a:rPr>
            <a:t>F-1</a:t>
          </a:r>
        </a:p>
        <a:p>
          <a:pPr algn="ctr"/>
          <a:r>
            <a:rPr lang="en-GB" sz="1300" b="1" cap="none" spc="0">
              <a:ln w="0"/>
              <a:solidFill>
                <a:schemeClr val="bg1"/>
              </a:solidFill>
              <a:effectLst>
                <a:outerShdw blurRad="38100" dist="25400" dir="5400000" algn="ctr" rotWithShape="0">
                  <a:srgbClr val="6E747A">
                    <a:alpha val="43000"/>
                  </a:srgbClr>
                </a:outerShdw>
              </a:effectLst>
              <a:latin typeface="Rockwell Light" panose="02040303020102020203" pitchFamily="18" charset="0"/>
            </a:rPr>
            <a:t>Off-site Watercourse</a:t>
          </a:r>
        </a:p>
        <a:p>
          <a:pPr algn="ctr"/>
          <a:r>
            <a:rPr lang="en-GB" sz="1300" b="1" cap="none" spc="0">
              <a:ln w="0"/>
              <a:solidFill>
                <a:schemeClr val="bg1"/>
              </a:solidFill>
              <a:effectLst>
                <a:outerShdw blurRad="38100" dist="25400" dir="5400000" algn="ctr" rotWithShape="0">
                  <a:srgbClr val="6E747A">
                    <a:alpha val="43000"/>
                  </a:srgbClr>
                </a:outerShdw>
              </a:effectLst>
              <a:latin typeface="Rockwell Light" panose="02040303020102020203" pitchFamily="18" charset="0"/>
            </a:rPr>
            <a:t>Baseline</a:t>
          </a:r>
          <a:r>
            <a:rPr lang="en-GB" sz="1300" b="1" cap="none" spc="0">
              <a:ln w="0"/>
              <a:solidFill>
                <a:schemeClr val="accent1"/>
              </a:solidFill>
              <a:effectLst>
                <a:outerShdw blurRad="38100" dist="25400" dir="5400000" algn="ctr" rotWithShape="0">
                  <a:srgbClr val="6E747A">
                    <a:alpha val="43000"/>
                  </a:srgbClr>
                </a:outerShdw>
              </a:effectLst>
              <a:latin typeface="Rockwell Light" panose="02040303020102020203" pitchFamily="18" charset="0"/>
            </a:rPr>
            <a:t> </a:t>
          </a:r>
        </a:p>
        <a:p>
          <a:pPr algn="ctr"/>
          <a:endParaRPr lang="en-GB" sz="1400" b="0" cap="none" spc="0">
            <a:ln w="0"/>
            <a:solidFill>
              <a:schemeClr val="accent1"/>
            </a:solidFill>
            <a:effectLst>
              <a:outerShdw blurRad="38100" dist="25400" dir="5400000" algn="ctr" rotWithShape="0">
                <a:srgbClr val="6E747A">
                  <a:alpha val="43000"/>
                </a:srgbClr>
              </a:outerShdw>
            </a:effectLst>
            <a:latin typeface="Rockwell Light" panose="02040303020102020203" pitchFamily="18" charset="0"/>
          </a:endParaRPr>
        </a:p>
        <a:p>
          <a:pPr algn="ctr"/>
          <a:endParaRPr lang="en-GB" sz="1400" b="0" cap="none" spc="0">
            <a:ln w="0"/>
            <a:solidFill>
              <a:schemeClr val="accent1"/>
            </a:solidFill>
            <a:effectLst>
              <a:outerShdw blurRad="38100" dist="25400" dir="5400000" algn="ctr" rotWithShape="0">
                <a:srgbClr val="6E747A">
                  <a:alpha val="43000"/>
                </a:srgbClr>
              </a:outerShdw>
            </a:effectLst>
            <a:latin typeface="Rockwell Light" panose="02040303020102020203" pitchFamily="18" charset="0"/>
          </a:endParaRPr>
        </a:p>
        <a:p>
          <a:pPr algn="ctr"/>
          <a:endParaRPr lang="en-GB" sz="1400" b="0" cap="none" spc="0">
            <a:ln w="0"/>
            <a:solidFill>
              <a:schemeClr val="accent1"/>
            </a:solidFill>
            <a:effectLst>
              <a:outerShdw blurRad="38100" dist="25400" dir="5400000" algn="ctr" rotWithShape="0">
                <a:srgbClr val="6E747A">
                  <a:alpha val="43000"/>
                </a:srgbClr>
              </a:outerShdw>
            </a:effectLst>
            <a:latin typeface="Rockwell Light" panose="02040303020102020203" pitchFamily="18" charset="0"/>
          </a:endParaRPr>
        </a:p>
        <a:p>
          <a:pPr algn="ctr"/>
          <a:endParaRPr lang="en-GB" sz="1400" b="0" cap="none" spc="0">
            <a:ln w="0"/>
            <a:solidFill>
              <a:schemeClr val="accent1"/>
            </a:solidFill>
            <a:effectLst>
              <a:outerShdw blurRad="38100" dist="25400" dir="5400000" algn="ctr" rotWithShape="0">
                <a:srgbClr val="6E747A">
                  <a:alpha val="43000"/>
                </a:srgbClr>
              </a:outerShdw>
            </a:effectLst>
            <a:latin typeface="Rockwell Light" panose="02040303020102020203" pitchFamily="18" charset="0"/>
          </a:endParaRPr>
        </a:p>
      </xdr:txBody>
    </xdr:sp>
    <xdr:clientData/>
  </xdr:twoCellAnchor>
  <xdr:twoCellAnchor>
    <xdr:from>
      <xdr:col>12</xdr:col>
      <xdr:colOff>821267</xdr:colOff>
      <xdr:row>26</xdr:row>
      <xdr:rowOff>76200</xdr:rowOff>
    </xdr:from>
    <xdr:to>
      <xdr:col>15</xdr:col>
      <xdr:colOff>863599</xdr:colOff>
      <xdr:row>33</xdr:row>
      <xdr:rowOff>101600</xdr:rowOff>
    </xdr:to>
    <xdr:sp macro="[0]!ActivateE1hedgeoffbaseline" textlink="">
      <xdr:nvSpPr>
        <xdr:cNvPr id="47" name="TextBox 46">
          <a:extLst>
            <a:ext uri="{FF2B5EF4-FFF2-40B4-BE49-F238E27FC236}">
              <a16:creationId xmlns:a16="http://schemas.microsoft.com/office/drawing/2014/main" id="{00000000-0008-0000-0400-00002F000000}"/>
            </a:ext>
          </a:extLst>
        </xdr:cNvPr>
        <xdr:cNvSpPr txBox="1"/>
      </xdr:nvSpPr>
      <xdr:spPr>
        <a:xfrm>
          <a:off x="7399867" y="5537200"/>
          <a:ext cx="1888065" cy="1329267"/>
        </a:xfrm>
        <a:prstGeom prst="roundRect">
          <a:avLst>
            <a:gd name="adj" fmla="val 13832"/>
          </a:avLst>
        </a:prstGeom>
        <a:solidFill>
          <a:srgbClr val="663300"/>
        </a:solidFill>
        <a:ln w="9525" cmpd="sng">
          <a:noFill/>
        </a:ln>
        <a:effectLst>
          <a:outerShdw blurRad="107950" dist="12700" dir="5400000" algn="ctr">
            <a:srgbClr val="000000"/>
          </a:outerShdw>
        </a:effectLst>
        <a:scene3d>
          <a:camera prst="orthographicFront">
            <a:rot lat="0" lon="0" rev="0"/>
          </a:camera>
          <a:lightRig rig="soft" dir="t">
            <a:rot lat="0" lon="0" rev="0"/>
          </a:lightRig>
        </a:scene3d>
        <a:sp3d contourW="25400" prstMaterial="matte">
          <a:bevelT w="63500" h="63500" prst="artDeco"/>
          <a:contourClr>
            <a:srgbClr val="FFFFFF"/>
          </a:contourClr>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400" b="1" cap="none" spc="0">
              <a:ln w="0"/>
              <a:solidFill>
                <a:schemeClr val="bg1"/>
              </a:solidFill>
              <a:effectLst>
                <a:outerShdw blurRad="38100" dist="25400" dir="5400000" algn="ctr" rotWithShape="0">
                  <a:srgbClr val="6E747A">
                    <a:alpha val="43000"/>
                  </a:srgbClr>
                </a:outerShdw>
              </a:effectLst>
              <a:latin typeface="Rockwell Light" panose="02040303020102020203" pitchFamily="18" charset="0"/>
            </a:rPr>
            <a:t>E-1</a:t>
          </a:r>
        </a:p>
        <a:p>
          <a:pPr algn="ctr"/>
          <a:r>
            <a:rPr lang="en-GB" sz="1400" b="1" cap="none" spc="0">
              <a:ln w="0"/>
              <a:solidFill>
                <a:schemeClr val="bg1"/>
              </a:solidFill>
              <a:effectLst>
                <a:outerShdw blurRad="38100" dist="25400" dir="5400000" algn="ctr" rotWithShape="0">
                  <a:srgbClr val="6E747A">
                    <a:alpha val="43000"/>
                  </a:srgbClr>
                </a:outerShdw>
              </a:effectLst>
              <a:latin typeface="Rockwell Light" panose="02040303020102020203" pitchFamily="18" charset="0"/>
            </a:rPr>
            <a:t>Off-site Hedge</a:t>
          </a:r>
        </a:p>
        <a:p>
          <a:pPr algn="ctr"/>
          <a:r>
            <a:rPr lang="en-GB" sz="1400" b="1" cap="none" spc="0">
              <a:ln w="0"/>
              <a:solidFill>
                <a:schemeClr val="bg1"/>
              </a:solidFill>
              <a:effectLst>
                <a:outerShdw blurRad="38100" dist="25400" dir="5400000" algn="ctr" rotWithShape="0">
                  <a:srgbClr val="6E747A">
                    <a:alpha val="43000"/>
                  </a:srgbClr>
                </a:outerShdw>
              </a:effectLst>
              <a:latin typeface="Rockwell Light" panose="02040303020102020203" pitchFamily="18" charset="0"/>
            </a:rPr>
            <a:t>Baseline </a:t>
          </a:r>
        </a:p>
        <a:p>
          <a:pPr algn="ctr"/>
          <a:endParaRPr lang="en-GB" sz="1400" b="0" cap="none" spc="0">
            <a:ln w="0"/>
            <a:solidFill>
              <a:schemeClr val="bg1"/>
            </a:solidFill>
            <a:effectLst>
              <a:outerShdw blurRad="38100" dist="25400" dir="5400000" algn="ctr" rotWithShape="0">
                <a:srgbClr val="6E747A">
                  <a:alpha val="43000"/>
                </a:srgbClr>
              </a:outerShdw>
            </a:effectLst>
            <a:latin typeface="Rockwell Light" panose="02040303020102020203" pitchFamily="18" charset="0"/>
          </a:endParaRPr>
        </a:p>
        <a:p>
          <a:pPr algn="ctr"/>
          <a:endParaRPr lang="en-GB" sz="1400" b="0" cap="none" spc="0">
            <a:ln w="0"/>
            <a:solidFill>
              <a:schemeClr val="bg1"/>
            </a:solidFill>
            <a:effectLst>
              <a:outerShdw blurRad="38100" dist="25400" dir="5400000" algn="ctr" rotWithShape="0">
                <a:srgbClr val="6E747A">
                  <a:alpha val="43000"/>
                </a:srgbClr>
              </a:outerShdw>
            </a:effectLst>
            <a:latin typeface="Rockwell Light" panose="02040303020102020203" pitchFamily="18" charset="0"/>
          </a:endParaRPr>
        </a:p>
      </xdr:txBody>
    </xdr:sp>
    <xdr:clientData/>
  </xdr:twoCellAnchor>
  <xdr:twoCellAnchor>
    <xdr:from>
      <xdr:col>12</xdr:col>
      <xdr:colOff>821266</xdr:colOff>
      <xdr:row>18</xdr:row>
      <xdr:rowOff>142875</xdr:rowOff>
    </xdr:from>
    <xdr:to>
      <xdr:col>15</xdr:col>
      <xdr:colOff>872066</xdr:colOff>
      <xdr:row>25</xdr:row>
      <xdr:rowOff>59267</xdr:rowOff>
    </xdr:to>
    <xdr:sp macro="[0]!ActivateD1offbaseline" textlink="">
      <xdr:nvSpPr>
        <xdr:cNvPr id="40" name="TextBox 39">
          <a:extLst>
            <a:ext uri="{FF2B5EF4-FFF2-40B4-BE49-F238E27FC236}">
              <a16:creationId xmlns:a16="http://schemas.microsoft.com/office/drawing/2014/main" id="{00000000-0008-0000-0400-000028000000}"/>
            </a:ext>
          </a:extLst>
        </xdr:cNvPr>
        <xdr:cNvSpPr txBox="1"/>
      </xdr:nvSpPr>
      <xdr:spPr>
        <a:xfrm>
          <a:off x="7399866" y="3978275"/>
          <a:ext cx="1896533" cy="1338792"/>
        </a:xfrm>
        <a:prstGeom prst="roundRect">
          <a:avLst/>
        </a:prstGeom>
        <a:solidFill>
          <a:srgbClr val="006600"/>
        </a:solidFill>
        <a:ln w="9525" cmpd="sng">
          <a:noFill/>
        </a:ln>
        <a:effectLst>
          <a:outerShdw blurRad="107950" dist="12700" dir="5400000" algn="ctr">
            <a:srgbClr val="000000"/>
          </a:outerShdw>
        </a:effectLst>
        <a:scene3d>
          <a:camera prst="orthographicFront">
            <a:rot lat="0" lon="0" rev="0"/>
          </a:camera>
          <a:lightRig rig="soft" dir="t">
            <a:rot lat="0" lon="0" rev="0"/>
          </a:lightRig>
        </a:scene3d>
        <a:sp3d contourW="25400" prstMaterial="matte">
          <a:bevelT w="63500" h="63500" prst="artDeco"/>
          <a:contourClr>
            <a:srgbClr val="FFFFFF"/>
          </a:contourClr>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300" b="1">
              <a:solidFill>
                <a:schemeClr val="bg1"/>
              </a:solidFill>
              <a:latin typeface="Rockwell Light" panose="02040303020102020203" pitchFamily="18" charset="0"/>
            </a:rPr>
            <a:t>D-1</a:t>
          </a:r>
        </a:p>
        <a:p>
          <a:pPr algn="ctr"/>
          <a:r>
            <a:rPr lang="en-GB" sz="1300" b="1" baseline="0">
              <a:solidFill>
                <a:schemeClr val="bg1"/>
              </a:solidFill>
              <a:latin typeface="Rockwell Light" panose="02040303020102020203" pitchFamily="18" charset="0"/>
            </a:rPr>
            <a:t> </a:t>
          </a:r>
          <a:r>
            <a:rPr lang="en-GB" sz="1300" b="1">
              <a:solidFill>
                <a:schemeClr val="bg1"/>
              </a:solidFill>
              <a:latin typeface="Rockwell Light" panose="02040303020102020203" pitchFamily="18" charset="0"/>
            </a:rPr>
            <a:t>Off-site</a:t>
          </a:r>
        </a:p>
        <a:p>
          <a:pPr algn="ctr"/>
          <a:r>
            <a:rPr lang="en-GB" sz="1300" b="1">
              <a:solidFill>
                <a:schemeClr val="bg1"/>
              </a:solidFill>
              <a:latin typeface="Rockwell Light" panose="02040303020102020203" pitchFamily="18" charset="0"/>
            </a:rPr>
            <a:t>Area Habitat Baseline</a:t>
          </a:r>
        </a:p>
        <a:p>
          <a:pPr algn="ctr"/>
          <a:endParaRPr lang="en-GB" sz="1400">
            <a:solidFill>
              <a:schemeClr val="bg1"/>
            </a:solidFill>
            <a:latin typeface="Rockwell Light" panose="02040303020102020203" pitchFamily="18" charset="0"/>
          </a:endParaRPr>
        </a:p>
        <a:p>
          <a:pPr algn="ctr"/>
          <a:endParaRPr lang="en-GB" sz="1400">
            <a:solidFill>
              <a:schemeClr val="bg1"/>
            </a:solidFill>
            <a:latin typeface="Rockwell Light" panose="02040303020102020203" pitchFamily="18" charset="0"/>
          </a:endParaRPr>
        </a:p>
      </xdr:txBody>
    </xdr:sp>
    <xdr:clientData/>
  </xdr:twoCellAnchor>
  <xdr:twoCellAnchor>
    <xdr:from>
      <xdr:col>3</xdr:col>
      <xdr:colOff>133652</xdr:colOff>
      <xdr:row>9</xdr:row>
      <xdr:rowOff>133350</xdr:rowOff>
    </xdr:from>
    <xdr:to>
      <xdr:col>3</xdr:col>
      <xdr:colOff>1172634</xdr:colOff>
      <xdr:row>10</xdr:row>
      <xdr:rowOff>37343</xdr:rowOff>
    </xdr:to>
    <xdr:sp macro="" textlink="">
      <xdr:nvSpPr>
        <xdr:cNvPr id="7" name="TextBox 6">
          <a:extLst>
            <a:ext uri="{FF2B5EF4-FFF2-40B4-BE49-F238E27FC236}">
              <a16:creationId xmlns:a16="http://schemas.microsoft.com/office/drawing/2014/main" id="{00000000-0008-0000-0400-000007000000}"/>
            </a:ext>
          </a:extLst>
        </xdr:cNvPr>
        <xdr:cNvSpPr txBox="1"/>
      </xdr:nvSpPr>
      <xdr:spPr>
        <a:xfrm>
          <a:off x="590852" y="1993900"/>
          <a:ext cx="1038982" cy="284993"/>
        </a:xfrm>
        <a:prstGeom prst="rect">
          <a:avLst/>
        </a:prstGeom>
        <a:solidFill>
          <a:srgbClr val="E0DCD3"/>
        </a:solidFill>
        <a:ln w="9525" cmpd="sng">
          <a:solidFill>
            <a:srgbClr val="CCBE9F"/>
          </a:solidFill>
        </a:ln>
        <a:effectLst>
          <a:outerShdw blurRad="50800" dist="38100" dir="5400000" algn="t" rotWithShape="0">
            <a:prstClr val="black">
              <a:alpha val="40000"/>
            </a:prstClr>
          </a:outerShdw>
        </a:effectLst>
        <a:scene3d>
          <a:camera prst="orthographicFront"/>
          <a:lightRig rig="threePt" dir="t"/>
        </a:scene3d>
        <a:sp3d>
          <a:bevelT w="101600" prst="riblet"/>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600">
              <a:ln>
                <a:noFill/>
              </a:ln>
              <a:solidFill>
                <a:schemeClr val="accent1"/>
              </a:solidFill>
            </a:rPr>
            <a:t>Start here</a:t>
          </a:r>
        </a:p>
      </xdr:txBody>
    </xdr:sp>
    <xdr:clientData/>
  </xdr:twoCellAnchor>
  <xdr:twoCellAnchor>
    <xdr:from>
      <xdr:col>3</xdr:col>
      <xdr:colOff>368300</xdr:colOff>
      <xdr:row>10</xdr:row>
      <xdr:rowOff>142875</xdr:rowOff>
    </xdr:from>
    <xdr:to>
      <xdr:col>3</xdr:col>
      <xdr:colOff>1025525</xdr:colOff>
      <xdr:row>12</xdr:row>
      <xdr:rowOff>161925</xdr:rowOff>
    </xdr:to>
    <xdr:sp macro="" textlink="">
      <xdr:nvSpPr>
        <xdr:cNvPr id="9" name="TextBox 8">
          <a:extLst>
            <a:ext uri="{FF2B5EF4-FFF2-40B4-BE49-F238E27FC236}">
              <a16:creationId xmlns:a16="http://schemas.microsoft.com/office/drawing/2014/main" id="{00000000-0008-0000-0400-000009000000}"/>
            </a:ext>
          </a:extLst>
        </xdr:cNvPr>
        <xdr:cNvSpPr txBox="1"/>
      </xdr:nvSpPr>
      <xdr:spPr>
        <a:xfrm>
          <a:off x="825500" y="2384425"/>
          <a:ext cx="657225" cy="438150"/>
        </a:xfrm>
        <a:prstGeom prst="ellipse">
          <a:avLst/>
        </a:prstGeom>
        <a:solidFill>
          <a:srgbClr val="E0DCD3"/>
        </a:solidFill>
        <a:ln/>
        <a:effectLst>
          <a:glow rad="63500">
            <a:schemeClr val="accent1">
              <a:alpha val="40000"/>
            </a:schemeClr>
          </a:glow>
          <a:outerShdw blurRad="50800" dist="38100" dir="5400000" algn="t" rotWithShape="0">
            <a:prstClr val="black">
              <a:alpha val="40000"/>
            </a:prstClr>
          </a:outerShdw>
        </a:effectLst>
        <a:scene3d>
          <a:camera prst="orthographicFront"/>
          <a:lightRig rig="threePt" dir="t"/>
        </a:scene3d>
        <a:sp3d contourW="25400">
          <a:bevelT w="114300" prst="artDeco"/>
          <a:bevelB w="114300" prst="artDeco"/>
          <a:contourClr>
            <a:srgbClr val="CCBE9F"/>
          </a:contourClr>
        </a:sp3d>
      </xdr:spPr>
      <xdr:style>
        <a:lnRef idx="2">
          <a:schemeClr val="accent1"/>
        </a:lnRef>
        <a:fillRef idx="1">
          <a:schemeClr val="lt1"/>
        </a:fillRef>
        <a:effectRef idx="0">
          <a:schemeClr val="accent1"/>
        </a:effectRef>
        <a:fontRef idx="minor">
          <a:schemeClr val="dk1"/>
        </a:fontRef>
      </xdr:style>
      <xdr:txBody>
        <a:bodyPr vertOverflow="clip" horzOverflow="clip" wrap="square" rtlCol="0" anchor="ctr"/>
        <a:lstStyle/>
        <a:p>
          <a:pPr algn="ctr"/>
          <a:r>
            <a:rPr lang="en-GB" sz="1600">
              <a:solidFill>
                <a:schemeClr val="accent1"/>
              </a:solidFill>
            </a:rPr>
            <a:t>1</a:t>
          </a:r>
        </a:p>
      </xdr:txBody>
    </xdr:sp>
    <xdr:clientData/>
  </xdr:twoCellAnchor>
  <xdr:twoCellAnchor>
    <xdr:from>
      <xdr:col>7</xdr:col>
      <xdr:colOff>609600</xdr:colOff>
      <xdr:row>10</xdr:row>
      <xdr:rowOff>15875</xdr:rowOff>
    </xdr:from>
    <xdr:to>
      <xdr:col>9</xdr:col>
      <xdr:colOff>155575</xdr:colOff>
      <xdr:row>12</xdr:row>
      <xdr:rowOff>34925</xdr:rowOff>
    </xdr:to>
    <xdr:sp macro="" textlink="">
      <xdr:nvSpPr>
        <xdr:cNvPr id="45" name="TextBox 44">
          <a:extLst>
            <a:ext uri="{FF2B5EF4-FFF2-40B4-BE49-F238E27FC236}">
              <a16:creationId xmlns:a16="http://schemas.microsoft.com/office/drawing/2014/main" id="{00000000-0008-0000-0400-00002D000000}"/>
            </a:ext>
          </a:extLst>
        </xdr:cNvPr>
        <xdr:cNvSpPr txBox="1"/>
      </xdr:nvSpPr>
      <xdr:spPr>
        <a:xfrm>
          <a:off x="4178300" y="2251075"/>
          <a:ext cx="650875" cy="425450"/>
        </a:xfrm>
        <a:prstGeom prst="ellipse">
          <a:avLst/>
        </a:prstGeom>
        <a:solidFill>
          <a:srgbClr val="E0DCD3"/>
        </a:solidFill>
        <a:ln/>
        <a:effectLst>
          <a:outerShdw blurRad="50800" dist="38100" dir="5400000" algn="t" rotWithShape="0">
            <a:prstClr val="black">
              <a:alpha val="40000"/>
            </a:prstClr>
          </a:outerShdw>
          <a:softEdge rad="952500"/>
        </a:effectLst>
        <a:scene3d>
          <a:camera prst="orthographicFront"/>
          <a:lightRig rig="threePt" dir="t"/>
        </a:scene3d>
        <a:sp3d contourW="25400">
          <a:bevelT w="114300" prst="artDeco"/>
          <a:bevelB w="152400" h="50800" prst="softRound"/>
          <a:contourClr>
            <a:srgbClr val="CCBE9F"/>
          </a:contourClr>
        </a:sp3d>
      </xdr:spPr>
      <xdr:style>
        <a:lnRef idx="2">
          <a:schemeClr val="accent1"/>
        </a:lnRef>
        <a:fillRef idx="1">
          <a:schemeClr val="lt1"/>
        </a:fillRef>
        <a:effectRef idx="0">
          <a:schemeClr val="accent1"/>
        </a:effectRef>
        <a:fontRef idx="minor">
          <a:schemeClr val="dk1"/>
        </a:fontRef>
      </xdr:style>
      <xdr:txBody>
        <a:bodyPr vertOverflow="clip" horzOverflow="clip" wrap="square" rtlCol="0" anchor="ctr"/>
        <a:lstStyle/>
        <a:p>
          <a:pPr algn="ctr"/>
          <a:r>
            <a:rPr lang="en-GB" sz="1600">
              <a:solidFill>
                <a:schemeClr val="accent1"/>
              </a:solidFill>
            </a:rPr>
            <a:t>2</a:t>
          </a:r>
        </a:p>
      </xdr:txBody>
    </xdr:sp>
    <xdr:clientData/>
  </xdr:twoCellAnchor>
  <xdr:twoCellAnchor>
    <xdr:from>
      <xdr:col>14</xdr:col>
      <xdr:colOff>141968</xdr:colOff>
      <xdr:row>10</xdr:row>
      <xdr:rowOff>24946</xdr:rowOff>
    </xdr:from>
    <xdr:to>
      <xdr:col>15</xdr:col>
      <xdr:colOff>177346</xdr:colOff>
      <xdr:row>12</xdr:row>
      <xdr:rowOff>43996</xdr:rowOff>
    </xdr:to>
    <xdr:sp macro="" textlink="">
      <xdr:nvSpPr>
        <xdr:cNvPr id="54" name="TextBox 53">
          <a:extLst>
            <a:ext uri="{FF2B5EF4-FFF2-40B4-BE49-F238E27FC236}">
              <a16:creationId xmlns:a16="http://schemas.microsoft.com/office/drawing/2014/main" id="{00000000-0008-0000-0400-000036000000}"/>
            </a:ext>
          </a:extLst>
        </xdr:cNvPr>
        <xdr:cNvSpPr txBox="1"/>
      </xdr:nvSpPr>
      <xdr:spPr>
        <a:xfrm>
          <a:off x="7901668" y="2260146"/>
          <a:ext cx="657678" cy="425450"/>
        </a:xfrm>
        <a:prstGeom prst="ellipse">
          <a:avLst/>
        </a:prstGeom>
        <a:solidFill>
          <a:srgbClr val="E0DCD3"/>
        </a:solidFill>
        <a:ln/>
        <a:effectLst>
          <a:outerShdw blurRad="50800" dist="38100" dir="5400000" algn="t" rotWithShape="0">
            <a:prstClr val="black">
              <a:alpha val="40000"/>
            </a:prstClr>
          </a:outerShdw>
        </a:effectLst>
        <a:scene3d>
          <a:camera prst="orthographicFront"/>
          <a:lightRig rig="threePt" dir="t"/>
        </a:scene3d>
        <a:sp3d contourW="25400">
          <a:bevelT w="114300" prst="artDeco"/>
          <a:bevelB w="114300" prst="artDeco"/>
          <a:contourClr>
            <a:srgbClr val="CCBE9F"/>
          </a:contourClr>
        </a:sp3d>
      </xdr:spPr>
      <xdr:style>
        <a:lnRef idx="2">
          <a:schemeClr val="accent1"/>
        </a:lnRef>
        <a:fillRef idx="1">
          <a:schemeClr val="lt1"/>
        </a:fillRef>
        <a:effectRef idx="0">
          <a:schemeClr val="accent1"/>
        </a:effectRef>
        <a:fontRef idx="minor">
          <a:schemeClr val="dk1"/>
        </a:fontRef>
      </xdr:style>
      <xdr:txBody>
        <a:bodyPr vertOverflow="clip" horzOverflow="clip" wrap="square" rtlCol="0" anchor="ctr"/>
        <a:lstStyle/>
        <a:p>
          <a:pPr algn="ctr"/>
          <a:r>
            <a:rPr lang="en-GB" sz="1600">
              <a:solidFill>
                <a:schemeClr val="accent1"/>
              </a:solidFill>
            </a:rPr>
            <a:t>3</a:t>
          </a:r>
        </a:p>
      </xdr:txBody>
    </xdr:sp>
    <xdr:clientData/>
  </xdr:twoCellAnchor>
  <xdr:twoCellAnchor>
    <xdr:from>
      <xdr:col>17</xdr:col>
      <xdr:colOff>176378</xdr:colOff>
      <xdr:row>10</xdr:row>
      <xdr:rowOff>2267</xdr:rowOff>
    </xdr:from>
    <xdr:to>
      <xdr:col>17</xdr:col>
      <xdr:colOff>863599</xdr:colOff>
      <xdr:row>12</xdr:row>
      <xdr:rowOff>24038</xdr:rowOff>
    </xdr:to>
    <xdr:sp macro="" textlink="">
      <xdr:nvSpPr>
        <xdr:cNvPr id="57" name="TextBox 56">
          <a:extLst>
            <a:ext uri="{FF2B5EF4-FFF2-40B4-BE49-F238E27FC236}">
              <a16:creationId xmlns:a16="http://schemas.microsoft.com/office/drawing/2014/main" id="{00000000-0008-0000-0400-000039000000}"/>
            </a:ext>
          </a:extLst>
        </xdr:cNvPr>
        <xdr:cNvSpPr txBox="1"/>
      </xdr:nvSpPr>
      <xdr:spPr>
        <a:xfrm>
          <a:off x="11555578" y="2237467"/>
          <a:ext cx="687221" cy="428171"/>
        </a:xfrm>
        <a:prstGeom prst="ellipse">
          <a:avLst/>
        </a:prstGeom>
        <a:solidFill>
          <a:srgbClr val="E0DCD3"/>
        </a:solidFill>
        <a:ln/>
        <a:effectLst>
          <a:outerShdw blurRad="50800" dist="38100" dir="5400000" algn="t" rotWithShape="0">
            <a:prstClr val="black">
              <a:alpha val="40000"/>
            </a:prstClr>
          </a:outerShdw>
        </a:effectLst>
        <a:scene3d>
          <a:camera prst="orthographicFront"/>
          <a:lightRig rig="threePt" dir="t"/>
        </a:scene3d>
        <a:sp3d contourW="25400">
          <a:bevelT w="114300" prst="artDeco"/>
          <a:bevelB w="114300" prst="artDeco"/>
          <a:contourClr>
            <a:srgbClr val="CCBE9F"/>
          </a:contourClr>
        </a:sp3d>
      </xdr:spPr>
      <xdr:style>
        <a:lnRef idx="2">
          <a:schemeClr val="accent1"/>
        </a:lnRef>
        <a:fillRef idx="1">
          <a:schemeClr val="lt1"/>
        </a:fillRef>
        <a:effectRef idx="0">
          <a:schemeClr val="accent1"/>
        </a:effectRef>
        <a:fontRef idx="minor">
          <a:schemeClr val="dk1"/>
        </a:fontRef>
      </xdr:style>
      <xdr:txBody>
        <a:bodyPr vertOverflow="clip" horzOverflow="clip" wrap="square" rtlCol="0" anchor="ctr"/>
        <a:lstStyle/>
        <a:p>
          <a:pPr algn="ctr"/>
          <a:r>
            <a:rPr lang="en-GB" sz="1600">
              <a:solidFill>
                <a:schemeClr val="accent1"/>
              </a:solidFill>
            </a:rPr>
            <a:t>4</a:t>
          </a:r>
        </a:p>
      </xdr:txBody>
    </xdr:sp>
    <xdr:clientData/>
  </xdr:twoCellAnchor>
  <xdr:twoCellAnchor>
    <xdr:from>
      <xdr:col>4</xdr:col>
      <xdr:colOff>331107</xdr:colOff>
      <xdr:row>10</xdr:row>
      <xdr:rowOff>89353</xdr:rowOff>
    </xdr:from>
    <xdr:to>
      <xdr:col>5</xdr:col>
      <xdr:colOff>540657</xdr:colOff>
      <xdr:row>11</xdr:row>
      <xdr:rowOff>184603</xdr:rowOff>
    </xdr:to>
    <xdr:sp macro="" textlink="">
      <xdr:nvSpPr>
        <xdr:cNvPr id="10" name="Right Arrow 9">
          <a:extLst>
            <a:ext uri="{FF2B5EF4-FFF2-40B4-BE49-F238E27FC236}">
              <a16:creationId xmlns:a16="http://schemas.microsoft.com/office/drawing/2014/main" id="{00000000-0008-0000-0400-00000A000000}"/>
            </a:ext>
          </a:extLst>
        </xdr:cNvPr>
        <xdr:cNvSpPr/>
      </xdr:nvSpPr>
      <xdr:spPr>
        <a:xfrm>
          <a:off x="2040164" y="2701924"/>
          <a:ext cx="830036" cy="302079"/>
        </a:xfrm>
        <a:prstGeom prst="rightArrow">
          <a:avLst/>
        </a:prstGeom>
        <a:solidFill>
          <a:srgbClr val="E0DCD3"/>
        </a:solidFill>
        <a:ln>
          <a:solidFill>
            <a:srgbClr val="382119"/>
          </a:solidFill>
        </a:ln>
        <a:effectLst>
          <a:outerShdw blurRad="50800" dist="38100" dir="5400000" algn="t" rotWithShape="0">
            <a:prstClr val="black">
              <a:alpha val="40000"/>
            </a:prstClr>
          </a:outerShdw>
        </a:effectLst>
        <a:scene3d>
          <a:camera prst="orthographicFront"/>
          <a:lightRig rig="threePt" dir="t"/>
        </a:scene3d>
        <a:sp3d>
          <a:bevelT w="139700" h="139700" prst="divot"/>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6</xdr:col>
      <xdr:colOff>106498</xdr:colOff>
      <xdr:row>6</xdr:row>
      <xdr:rowOff>151131</xdr:rowOff>
    </xdr:from>
    <xdr:to>
      <xdr:col>15</xdr:col>
      <xdr:colOff>1747974</xdr:colOff>
      <xdr:row>8</xdr:row>
      <xdr:rowOff>166371</xdr:rowOff>
    </xdr:to>
    <xdr:grpSp>
      <xdr:nvGrpSpPr>
        <xdr:cNvPr id="4" name="Group 3">
          <a:extLst>
            <a:ext uri="{FF2B5EF4-FFF2-40B4-BE49-F238E27FC236}">
              <a16:creationId xmlns:a16="http://schemas.microsoft.com/office/drawing/2014/main" id="{00000000-0008-0000-0400-000004000000}"/>
            </a:ext>
          </a:extLst>
        </xdr:cNvPr>
        <xdr:cNvGrpSpPr/>
      </xdr:nvGrpSpPr>
      <xdr:grpSpPr>
        <a:xfrm>
          <a:off x="3116874" y="1627506"/>
          <a:ext cx="7142164" cy="459581"/>
          <a:chOff x="2777308" y="1638300"/>
          <a:chExt cx="7073266" cy="373757"/>
        </a:xfrm>
      </xdr:grpSpPr>
      <xdr:sp macro="[0]!Activatestart" textlink="">
        <xdr:nvSpPr>
          <xdr:cNvPr id="32" name="TextBox 31">
            <a:extLst>
              <a:ext uri="{FF2B5EF4-FFF2-40B4-BE49-F238E27FC236}">
                <a16:creationId xmlns:a16="http://schemas.microsoft.com/office/drawing/2014/main" id="{00000000-0008-0000-0400-000020000000}"/>
              </a:ext>
            </a:extLst>
          </xdr:cNvPr>
          <xdr:cNvSpPr txBox="1"/>
        </xdr:nvSpPr>
        <xdr:spPr>
          <a:xfrm>
            <a:off x="2777308" y="1647370"/>
            <a:ext cx="1450160" cy="360000"/>
          </a:xfrm>
          <a:prstGeom prst="roundRect">
            <a:avLst/>
          </a:prstGeom>
          <a:solidFill>
            <a:srgbClr val="383745"/>
          </a:solidFill>
          <a:ln w="9525" cmpd="sng">
            <a:noFill/>
          </a:ln>
          <a:effectLst>
            <a:outerShdw blurRad="107950" dist="12700" dir="5400000" algn="ctr">
              <a:srgbClr val="000000"/>
            </a:outerShdw>
          </a:effectLst>
          <a:scene3d>
            <a:camera prst="orthographicFront">
              <a:rot lat="0" lon="0" rev="0"/>
            </a:camera>
            <a:lightRig rig="soft" dir="t">
              <a:rot lat="0" lon="0" rev="0"/>
            </a:lightRig>
          </a:scene3d>
          <a:sp3d contourW="25400" prstMaterial="matte">
            <a:bevelT w="63500" h="63500" prst="artDeco"/>
            <a:contourClr>
              <a:srgbClr val="FFFFFF"/>
            </a:contourClr>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400" b="1">
                <a:solidFill>
                  <a:schemeClr val="bg1"/>
                </a:solidFill>
                <a:latin typeface="Rockwell Light" panose="02040303020102020203" pitchFamily="18" charset="0"/>
              </a:rPr>
              <a:t>Start  page</a:t>
            </a:r>
            <a:r>
              <a:rPr lang="en-GB" sz="1400" b="1" baseline="0">
                <a:solidFill>
                  <a:schemeClr val="bg1"/>
                </a:solidFill>
                <a:latin typeface="Rockwell Light" panose="02040303020102020203" pitchFamily="18" charset="0"/>
              </a:rPr>
              <a:t> </a:t>
            </a:r>
            <a:endParaRPr lang="en-GB" sz="1400" b="1">
              <a:solidFill>
                <a:schemeClr val="bg1"/>
              </a:solidFill>
              <a:latin typeface="Rockwell Light" panose="02040303020102020203" pitchFamily="18" charset="0"/>
            </a:endParaRPr>
          </a:p>
        </xdr:txBody>
      </xdr:sp>
      <xdr:sp macro="[0]!ActivateResults" textlink="">
        <xdr:nvSpPr>
          <xdr:cNvPr id="34" name="Rounded Rectangle 33">
            <a:extLst>
              <a:ext uri="{FF2B5EF4-FFF2-40B4-BE49-F238E27FC236}">
                <a16:creationId xmlns:a16="http://schemas.microsoft.com/office/drawing/2014/main" id="{00000000-0008-0000-0400-000022000000}"/>
              </a:ext>
            </a:extLst>
          </xdr:cNvPr>
          <xdr:cNvSpPr/>
        </xdr:nvSpPr>
        <xdr:spPr>
          <a:xfrm>
            <a:off x="8408034" y="1638934"/>
            <a:ext cx="1442540" cy="360000"/>
          </a:xfrm>
          <a:prstGeom prst="roundRect">
            <a:avLst/>
          </a:prstGeom>
          <a:solidFill>
            <a:srgbClr val="F4D4D4"/>
          </a:solidFill>
          <a:ln>
            <a:noFill/>
          </a:ln>
          <a:effectLst>
            <a:outerShdw blurRad="107950" dist="12700" dir="5400000" algn="ctr">
              <a:srgbClr val="000000"/>
            </a:outerShdw>
          </a:effectLst>
          <a:scene3d>
            <a:camera prst="orthographicFront">
              <a:rot lat="0" lon="0" rev="0"/>
            </a:camera>
            <a:lightRig rig="soft" dir="t">
              <a:rot lat="0" lon="0" rev="0"/>
            </a:lightRig>
          </a:scene3d>
          <a:sp3d contourW="2540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400" b="1">
                <a:solidFill>
                  <a:schemeClr val="accent1"/>
                </a:solidFill>
                <a:latin typeface="Rockwell Light" panose="02040303020102020203" pitchFamily="18" charset="0"/>
              </a:rPr>
              <a:t>Results</a:t>
            </a:r>
          </a:p>
        </xdr:txBody>
      </xdr:sp>
      <xdr:sp macro="[0]!ActivateTechnicaldata" textlink="">
        <xdr:nvSpPr>
          <xdr:cNvPr id="52" name="TextBox 51">
            <a:extLst>
              <a:ext uri="{FF2B5EF4-FFF2-40B4-BE49-F238E27FC236}">
                <a16:creationId xmlns:a16="http://schemas.microsoft.com/office/drawing/2014/main" id="{00000000-0008-0000-0400-000034000000}"/>
              </a:ext>
            </a:extLst>
          </xdr:cNvPr>
          <xdr:cNvSpPr txBox="1"/>
        </xdr:nvSpPr>
        <xdr:spPr>
          <a:xfrm>
            <a:off x="6587738" y="1652057"/>
            <a:ext cx="1432380" cy="360000"/>
          </a:xfrm>
          <a:prstGeom prst="roundRect">
            <a:avLst/>
          </a:prstGeom>
          <a:solidFill>
            <a:schemeClr val="accent1"/>
          </a:solidFill>
          <a:ln w="9525" cmpd="sng">
            <a:noFill/>
          </a:ln>
          <a:effectLst>
            <a:outerShdw blurRad="107950" dist="12700" dir="5400000" algn="ctr">
              <a:srgbClr val="000000"/>
            </a:outerShdw>
          </a:effectLst>
          <a:scene3d>
            <a:camera prst="orthographicFront">
              <a:rot lat="0" lon="0" rev="0"/>
            </a:camera>
            <a:lightRig rig="soft" dir="t">
              <a:rot lat="0" lon="0" rev="0"/>
            </a:lightRig>
          </a:scene3d>
          <a:sp3d contourW="25400" prstMaterial="matte">
            <a:bevelT w="63500" h="63500" prst="artDeco"/>
            <a:contourClr>
              <a:srgbClr val="FFFFFF"/>
            </a:contourClr>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400" b="1">
                <a:solidFill>
                  <a:schemeClr val="bg1"/>
                </a:solidFill>
                <a:latin typeface="Rockwell Light" panose="02040303020102020203" pitchFamily="18" charset="0"/>
              </a:rPr>
              <a:t>Technical data</a:t>
            </a:r>
            <a:r>
              <a:rPr lang="en-GB" sz="1400" b="1" baseline="0">
                <a:solidFill>
                  <a:schemeClr val="bg1"/>
                </a:solidFill>
                <a:latin typeface="Rockwell Light" panose="02040303020102020203" pitchFamily="18" charset="0"/>
              </a:rPr>
              <a:t> </a:t>
            </a:r>
            <a:endParaRPr lang="en-GB" sz="1400" b="1">
              <a:solidFill>
                <a:schemeClr val="bg1"/>
              </a:solidFill>
              <a:latin typeface="Rockwell Light" panose="02040303020102020203" pitchFamily="18" charset="0"/>
            </a:endParaRPr>
          </a:p>
        </xdr:txBody>
      </xdr:sp>
      <xdr:sp macro="[0]!ActivateInstructions" textlink="">
        <xdr:nvSpPr>
          <xdr:cNvPr id="50" name="Rounded Rectangle 49">
            <a:extLst>
              <a:ext uri="{FF2B5EF4-FFF2-40B4-BE49-F238E27FC236}">
                <a16:creationId xmlns:a16="http://schemas.microsoft.com/office/drawing/2014/main" id="{00000000-0008-0000-0400-000032000000}"/>
              </a:ext>
            </a:extLst>
          </xdr:cNvPr>
          <xdr:cNvSpPr/>
        </xdr:nvSpPr>
        <xdr:spPr>
          <a:xfrm>
            <a:off x="4716780" y="1638300"/>
            <a:ext cx="1434920" cy="360000"/>
          </a:xfrm>
          <a:prstGeom prst="roundRect">
            <a:avLst/>
          </a:prstGeom>
          <a:solidFill>
            <a:schemeClr val="accent1"/>
          </a:solidFill>
          <a:ln>
            <a:noFill/>
          </a:ln>
          <a:effectLst>
            <a:outerShdw blurRad="107950" dist="12700" dir="5400000" algn="ctr">
              <a:srgbClr val="000000"/>
            </a:outerShdw>
          </a:effectLst>
          <a:scene3d>
            <a:camera prst="orthographicFront">
              <a:rot lat="0" lon="0" rev="0"/>
            </a:camera>
            <a:lightRig rig="soft" dir="t">
              <a:rot lat="0" lon="0" rev="0"/>
            </a:lightRig>
          </a:scene3d>
          <a:sp3d contourW="2540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400" b="1">
                <a:solidFill>
                  <a:schemeClr val="bg1"/>
                </a:solidFill>
                <a:latin typeface="Rockwell Light" panose="02040303020102020203" pitchFamily="18" charset="0"/>
              </a:rPr>
              <a:t>Instructions</a:t>
            </a:r>
          </a:p>
        </xdr:txBody>
      </xdr:sp>
    </xdr:grpSp>
    <xdr:clientData/>
  </xdr:twoCellAnchor>
  <xdr:twoCellAnchor>
    <xdr:from>
      <xdr:col>11</xdr:col>
      <xdr:colOff>158750</xdr:colOff>
      <xdr:row>10</xdr:row>
      <xdr:rowOff>85725</xdr:rowOff>
    </xdr:from>
    <xdr:to>
      <xdr:col>12</xdr:col>
      <xdr:colOff>368300</xdr:colOff>
      <xdr:row>11</xdr:row>
      <xdr:rowOff>180975</xdr:rowOff>
    </xdr:to>
    <xdr:sp macro="" textlink="">
      <xdr:nvSpPr>
        <xdr:cNvPr id="44" name="Right Arrow 9">
          <a:extLst>
            <a:ext uri="{FF2B5EF4-FFF2-40B4-BE49-F238E27FC236}">
              <a16:creationId xmlns:a16="http://schemas.microsoft.com/office/drawing/2014/main" id="{00000000-0008-0000-0400-00002C000000}"/>
            </a:ext>
          </a:extLst>
        </xdr:cNvPr>
        <xdr:cNvSpPr/>
      </xdr:nvSpPr>
      <xdr:spPr>
        <a:xfrm>
          <a:off x="6076950" y="2320925"/>
          <a:ext cx="831850" cy="298450"/>
        </a:xfrm>
        <a:prstGeom prst="rightArrow">
          <a:avLst/>
        </a:prstGeom>
        <a:solidFill>
          <a:srgbClr val="E0DCD3"/>
        </a:solidFill>
        <a:ln>
          <a:solidFill>
            <a:srgbClr val="382119"/>
          </a:solidFill>
        </a:ln>
        <a:effectLst>
          <a:outerShdw blurRad="50800" dist="38100" dir="5400000" algn="t" rotWithShape="0">
            <a:prstClr val="black">
              <a:alpha val="40000"/>
            </a:prstClr>
          </a:outerShdw>
        </a:effectLst>
        <a:scene3d>
          <a:camera prst="orthographicFront"/>
          <a:lightRig rig="threePt" dir="t"/>
        </a:scene3d>
        <a:sp3d>
          <a:bevelT w="139700" h="139700" prst="divot"/>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15</xdr:col>
      <xdr:colOff>1152525</xdr:colOff>
      <xdr:row>10</xdr:row>
      <xdr:rowOff>114300</xdr:rowOff>
    </xdr:from>
    <xdr:to>
      <xdr:col>15</xdr:col>
      <xdr:colOff>1971675</xdr:colOff>
      <xdr:row>12</xdr:row>
      <xdr:rowOff>0</xdr:rowOff>
    </xdr:to>
    <xdr:sp macro="" textlink="">
      <xdr:nvSpPr>
        <xdr:cNvPr id="53" name="Right Arrow 9">
          <a:extLst>
            <a:ext uri="{FF2B5EF4-FFF2-40B4-BE49-F238E27FC236}">
              <a16:creationId xmlns:a16="http://schemas.microsoft.com/office/drawing/2014/main" id="{00000000-0008-0000-0400-000035000000}"/>
            </a:ext>
          </a:extLst>
        </xdr:cNvPr>
        <xdr:cNvSpPr/>
      </xdr:nvSpPr>
      <xdr:spPr>
        <a:xfrm>
          <a:off x="9534525" y="2349500"/>
          <a:ext cx="819150" cy="292100"/>
        </a:xfrm>
        <a:prstGeom prst="rightArrow">
          <a:avLst/>
        </a:prstGeom>
        <a:solidFill>
          <a:srgbClr val="E0DCD3"/>
        </a:solidFill>
        <a:ln>
          <a:solidFill>
            <a:srgbClr val="382119"/>
          </a:solidFill>
        </a:ln>
        <a:effectLst>
          <a:outerShdw blurRad="50800" dist="38100" dir="5400000" algn="t" rotWithShape="0">
            <a:prstClr val="black">
              <a:alpha val="40000"/>
            </a:prstClr>
          </a:outerShdw>
        </a:effectLst>
        <a:scene3d>
          <a:camera prst="orthographicFront"/>
          <a:lightRig rig="threePt" dir="t"/>
        </a:scene3d>
        <a:sp3d>
          <a:bevelT w="139700" h="139700" prst="divot"/>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5</xdr:col>
      <xdr:colOff>285749</xdr:colOff>
      <xdr:row>0</xdr:row>
      <xdr:rowOff>146050</xdr:rowOff>
    </xdr:from>
    <xdr:to>
      <xdr:col>15</xdr:col>
      <xdr:colOff>1895474</xdr:colOff>
      <xdr:row>6</xdr:row>
      <xdr:rowOff>19050</xdr:rowOff>
    </xdr:to>
    <xdr:sp macro="" textlink="">
      <xdr:nvSpPr>
        <xdr:cNvPr id="56" name="TextBox 55">
          <a:extLst>
            <a:ext uri="{FF2B5EF4-FFF2-40B4-BE49-F238E27FC236}">
              <a16:creationId xmlns:a16="http://schemas.microsoft.com/office/drawing/2014/main" id="{00000000-0008-0000-0400-000038000000}"/>
            </a:ext>
          </a:extLst>
        </xdr:cNvPr>
        <xdr:cNvSpPr txBox="1"/>
      </xdr:nvSpPr>
      <xdr:spPr>
        <a:xfrm>
          <a:off x="2571749" y="146050"/>
          <a:ext cx="7534275" cy="1339850"/>
        </a:xfrm>
        <a:prstGeom prst="roundRect">
          <a:avLst/>
        </a:prstGeom>
        <a:solidFill>
          <a:srgbClr val="E0DCD3"/>
        </a:solidFill>
        <a:ln w="9525" cmpd="sng">
          <a:solidFill>
            <a:schemeClr val="lt1">
              <a:shade val="50000"/>
            </a:schemeClr>
          </a:solidFill>
        </a:ln>
        <a:effectLst>
          <a:innerShdw blurRad="25400" dist="393700" dir="2160000">
            <a:prstClr val="black">
              <a:alpha val="47000"/>
            </a:prstClr>
          </a:innerShdw>
        </a:effectLst>
        <a:scene3d>
          <a:camera prst="orthographicFront"/>
          <a:lightRig rig="threePt" dir="t"/>
        </a:scene3d>
        <a:sp3d contourW="25400">
          <a:bevelT w="114300" prst="artDeco"/>
          <a:bevelB w="0" h="69850" prst="artDeco"/>
          <a:contourClr>
            <a:schemeClr val="bg1"/>
          </a:contourClr>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2800" b="0" i="0" u="none" strike="noStrike">
              <a:solidFill>
                <a:schemeClr val="accent1"/>
              </a:solidFill>
              <a:effectLst/>
              <a:latin typeface="Rockwell Light" panose="02040303020102020203" pitchFamily="18" charset="0"/>
              <a:ea typeface="Source Sans Pro" panose="020B0503030403020204" pitchFamily="34" charset="0"/>
              <a:cs typeface="+mn-cs"/>
            </a:rPr>
            <a:t>The Biodiversity Metric 4.0 - Calculation Tool</a:t>
          </a:r>
        </a:p>
        <a:p>
          <a:pPr algn="ctr"/>
          <a:r>
            <a:rPr lang="en-GB" sz="2800" b="0" i="0" u="none" strike="noStrike">
              <a:solidFill>
                <a:schemeClr val="accent1"/>
              </a:solidFill>
              <a:effectLst/>
              <a:latin typeface="Rockwell Light" panose="02040303020102020203" pitchFamily="18" charset="0"/>
              <a:ea typeface="Source Sans Pro" panose="020B0503030403020204" pitchFamily="34" charset="0"/>
              <a:cs typeface="+mn-cs"/>
            </a:rPr>
            <a:t>Main menu</a:t>
          </a:r>
          <a:r>
            <a:rPr lang="en-GB" sz="2800" b="0">
              <a:solidFill>
                <a:schemeClr val="accent1"/>
              </a:solidFill>
              <a:latin typeface="Rockwell Light" panose="02040303020102020203" pitchFamily="18" charset="0"/>
              <a:ea typeface="Source Sans Pro" panose="020B0503030403020204" pitchFamily="34" charset="0"/>
            </a:rPr>
            <a:t> </a:t>
          </a:r>
        </a:p>
      </xdr:txBody>
    </xdr:sp>
    <xdr:clientData/>
  </xdr:twoCellAnchor>
  <xdr:twoCellAnchor editAs="oneCell">
    <xdr:from>
      <xdr:col>3</xdr:col>
      <xdr:colOff>535064</xdr:colOff>
      <xdr:row>22</xdr:row>
      <xdr:rowOff>36739</xdr:rowOff>
    </xdr:from>
    <xdr:to>
      <xdr:col>3</xdr:col>
      <xdr:colOff>996950</xdr:colOff>
      <xdr:row>24</xdr:row>
      <xdr:rowOff>38100</xdr:rowOff>
    </xdr:to>
    <xdr:pic>
      <xdr:nvPicPr>
        <xdr:cNvPr id="48" name="Graphic 6" descr="Agriculture with solid fill">
          <a:extLst>
            <a:ext uri="{FF2B5EF4-FFF2-40B4-BE49-F238E27FC236}">
              <a16:creationId xmlns:a16="http://schemas.microsoft.com/office/drawing/2014/main" id="{00000000-0008-0000-0400-000030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992264" y="4792889"/>
          <a:ext cx="465061" cy="420461"/>
        </a:xfrm>
        <a:prstGeom prst="rect">
          <a:avLst/>
        </a:prstGeom>
      </xdr:spPr>
    </xdr:pic>
    <xdr:clientData/>
  </xdr:twoCellAnchor>
  <xdr:twoCellAnchor editAs="oneCell">
    <xdr:from>
      <xdr:col>6</xdr:col>
      <xdr:colOff>366183</xdr:colOff>
      <xdr:row>21</xdr:row>
      <xdr:rowOff>156633</xdr:rowOff>
    </xdr:from>
    <xdr:to>
      <xdr:col>7</xdr:col>
      <xdr:colOff>189894</xdr:colOff>
      <xdr:row>23</xdr:row>
      <xdr:rowOff>161169</xdr:rowOff>
    </xdr:to>
    <xdr:pic>
      <xdr:nvPicPr>
        <xdr:cNvPr id="59" name="Graphic 6" descr="Agriculture with solid fill">
          <a:extLst>
            <a:ext uri="{FF2B5EF4-FFF2-40B4-BE49-F238E27FC236}">
              <a16:creationId xmlns:a16="http://schemas.microsoft.com/office/drawing/2014/main" id="{00000000-0008-0000-0400-00003B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3414183" y="4703233"/>
          <a:ext cx="465061" cy="420461"/>
        </a:xfrm>
        <a:prstGeom prst="rect">
          <a:avLst/>
        </a:prstGeom>
      </xdr:spPr>
    </xdr:pic>
    <xdr:clientData/>
  </xdr:twoCellAnchor>
  <xdr:twoCellAnchor editAs="oneCell">
    <xdr:from>
      <xdr:col>9</xdr:col>
      <xdr:colOff>626473</xdr:colOff>
      <xdr:row>22</xdr:row>
      <xdr:rowOff>64104</xdr:rowOff>
    </xdr:from>
    <xdr:to>
      <xdr:col>10</xdr:col>
      <xdr:colOff>447009</xdr:colOff>
      <xdr:row>24</xdr:row>
      <xdr:rowOff>68640</xdr:rowOff>
    </xdr:to>
    <xdr:pic>
      <xdr:nvPicPr>
        <xdr:cNvPr id="62" name="Graphic 6" descr="Agriculture with solid fill">
          <a:extLst>
            <a:ext uri="{FF2B5EF4-FFF2-40B4-BE49-F238E27FC236}">
              <a16:creationId xmlns:a16="http://schemas.microsoft.com/office/drawing/2014/main" id="{00000000-0008-0000-0400-00003E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5452473" y="5017104"/>
          <a:ext cx="466649" cy="414111"/>
        </a:xfrm>
        <a:prstGeom prst="rect">
          <a:avLst/>
        </a:prstGeom>
      </xdr:spPr>
    </xdr:pic>
    <xdr:clientData/>
  </xdr:twoCellAnchor>
  <xdr:twoCellAnchor editAs="oneCell">
    <xdr:from>
      <xdr:col>14</xdr:col>
      <xdr:colOff>294216</xdr:colOff>
      <xdr:row>22</xdr:row>
      <xdr:rowOff>73025</xdr:rowOff>
    </xdr:from>
    <xdr:to>
      <xdr:col>15</xdr:col>
      <xdr:colOff>121102</xdr:colOff>
      <xdr:row>24</xdr:row>
      <xdr:rowOff>74386</xdr:rowOff>
    </xdr:to>
    <xdr:pic>
      <xdr:nvPicPr>
        <xdr:cNvPr id="65" name="Graphic 6" descr="Agriculture with solid fill">
          <a:extLst>
            <a:ext uri="{FF2B5EF4-FFF2-40B4-BE49-F238E27FC236}">
              <a16:creationId xmlns:a16="http://schemas.microsoft.com/office/drawing/2014/main" id="{00000000-0008-0000-0400-000041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8288866" y="4829175"/>
          <a:ext cx="465061" cy="420461"/>
        </a:xfrm>
        <a:prstGeom prst="rect">
          <a:avLst/>
        </a:prstGeom>
      </xdr:spPr>
    </xdr:pic>
    <xdr:clientData/>
  </xdr:twoCellAnchor>
  <xdr:twoCellAnchor editAs="oneCell">
    <xdr:from>
      <xdr:col>16</xdr:col>
      <xdr:colOff>221253</xdr:colOff>
      <xdr:row>22</xdr:row>
      <xdr:rowOff>66992</xdr:rowOff>
    </xdr:from>
    <xdr:to>
      <xdr:col>16</xdr:col>
      <xdr:colOff>686314</xdr:colOff>
      <xdr:row>24</xdr:row>
      <xdr:rowOff>65178</xdr:rowOff>
    </xdr:to>
    <xdr:pic>
      <xdr:nvPicPr>
        <xdr:cNvPr id="67" name="Graphic 6" descr="Agriculture with solid fill">
          <a:extLst>
            <a:ext uri="{FF2B5EF4-FFF2-40B4-BE49-F238E27FC236}">
              <a16:creationId xmlns:a16="http://schemas.microsoft.com/office/drawing/2014/main" id="{00000000-0008-0000-0400-000043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10960691" y="5019992"/>
          <a:ext cx="465061" cy="414111"/>
        </a:xfrm>
        <a:prstGeom prst="rect">
          <a:avLst/>
        </a:prstGeom>
      </xdr:spPr>
    </xdr:pic>
    <xdr:clientData/>
  </xdr:twoCellAnchor>
  <xdr:twoCellAnchor editAs="oneCell">
    <xdr:from>
      <xdr:col>19</xdr:col>
      <xdr:colOff>131081</xdr:colOff>
      <xdr:row>22</xdr:row>
      <xdr:rowOff>73342</xdr:rowOff>
    </xdr:from>
    <xdr:to>
      <xdr:col>19</xdr:col>
      <xdr:colOff>599317</xdr:colOff>
      <xdr:row>24</xdr:row>
      <xdr:rowOff>74703</xdr:rowOff>
    </xdr:to>
    <xdr:pic>
      <xdr:nvPicPr>
        <xdr:cNvPr id="68" name="Graphic 6" descr="Agriculture with solid fill">
          <a:extLst>
            <a:ext uri="{FF2B5EF4-FFF2-40B4-BE49-F238E27FC236}">
              <a16:creationId xmlns:a16="http://schemas.microsoft.com/office/drawing/2014/main" id="{00000000-0008-0000-0400-000044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13188269" y="5026342"/>
          <a:ext cx="465061" cy="414111"/>
        </a:xfrm>
        <a:prstGeom prst="rect">
          <a:avLst/>
        </a:prstGeom>
      </xdr:spPr>
    </xdr:pic>
    <xdr:clientData/>
  </xdr:twoCellAnchor>
  <xdr:twoCellAnchor>
    <xdr:from>
      <xdr:col>3</xdr:col>
      <xdr:colOff>479576</xdr:colOff>
      <xdr:row>31</xdr:row>
      <xdr:rowOff>16025</xdr:rowOff>
    </xdr:from>
    <xdr:to>
      <xdr:col>3</xdr:col>
      <xdr:colOff>1022501</xdr:colOff>
      <xdr:row>31</xdr:row>
      <xdr:rowOff>111275</xdr:rowOff>
    </xdr:to>
    <xdr:sp macro="" textlink="">
      <xdr:nvSpPr>
        <xdr:cNvPr id="69" name="Minus Sign 68">
          <a:extLst>
            <a:ext uri="{FF2B5EF4-FFF2-40B4-BE49-F238E27FC236}">
              <a16:creationId xmlns:a16="http://schemas.microsoft.com/office/drawing/2014/main" id="{00000000-0008-0000-0400-000045000000}"/>
            </a:ext>
          </a:extLst>
        </xdr:cNvPr>
        <xdr:cNvSpPr/>
      </xdr:nvSpPr>
      <xdr:spPr>
        <a:xfrm>
          <a:off x="936776" y="6531125"/>
          <a:ext cx="542925" cy="95250"/>
        </a:xfrm>
        <a:prstGeom prst="mathMinus">
          <a:avLst/>
        </a:prstGeom>
        <a:solidFill>
          <a:sysClr val="window" lastClr="FFFFFF"/>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n-GB"/>
        </a:p>
      </xdr:txBody>
    </xdr:sp>
    <xdr:clientData/>
  </xdr:twoCellAnchor>
  <xdr:twoCellAnchor>
    <xdr:from>
      <xdr:col>6</xdr:col>
      <xdr:colOff>315837</xdr:colOff>
      <xdr:row>30</xdr:row>
      <xdr:rowOff>183045</xdr:rowOff>
    </xdr:from>
    <xdr:to>
      <xdr:col>7</xdr:col>
      <xdr:colOff>217412</xdr:colOff>
      <xdr:row>31</xdr:row>
      <xdr:rowOff>94145</xdr:rowOff>
    </xdr:to>
    <xdr:sp macro="" textlink="">
      <xdr:nvSpPr>
        <xdr:cNvPr id="72" name="Minus Sign 71">
          <a:extLst>
            <a:ext uri="{FF2B5EF4-FFF2-40B4-BE49-F238E27FC236}">
              <a16:creationId xmlns:a16="http://schemas.microsoft.com/office/drawing/2014/main" id="{00000000-0008-0000-0400-000048000000}"/>
            </a:ext>
          </a:extLst>
        </xdr:cNvPr>
        <xdr:cNvSpPr/>
      </xdr:nvSpPr>
      <xdr:spPr>
        <a:xfrm>
          <a:off x="3363837" y="6513995"/>
          <a:ext cx="542925" cy="95250"/>
        </a:xfrm>
        <a:prstGeom prst="mathMinus">
          <a:avLst/>
        </a:prstGeom>
        <a:solidFill>
          <a:sysClr val="window" lastClr="FFFFFF"/>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n-GB"/>
        </a:p>
      </xdr:txBody>
    </xdr:sp>
    <xdr:clientData/>
  </xdr:twoCellAnchor>
  <xdr:twoCellAnchor>
    <xdr:from>
      <xdr:col>9</xdr:col>
      <xdr:colOff>612562</xdr:colOff>
      <xdr:row>30</xdr:row>
      <xdr:rowOff>177753</xdr:rowOff>
    </xdr:from>
    <xdr:to>
      <xdr:col>10</xdr:col>
      <xdr:colOff>514137</xdr:colOff>
      <xdr:row>31</xdr:row>
      <xdr:rowOff>88853</xdr:rowOff>
    </xdr:to>
    <xdr:sp macro="" textlink="">
      <xdr:nvSpPr>
        <xdr:cNvPr id="73" name="Minus Sign 72">
          <a:extLst>
            <a:ext uri="{FF2B5EF4-FFF2-40B4-BE49-F238E27FC236}">
              <a16:creationId xmlns:a16="http://schemas.microsoft.com/office/drawing/2014/main" id="{00000000-0008-0000-0400-000049000000}"/>
            </a:ext>
          </a:extLst>
        </xdr:cNvPr>
        <xdr:cNvSpPr/>
      </xdr:nvSpPr>
      <xdr:spPr>
        <a:xfrm>
          <a:off x="5432212" y="6508703"/>
          <a:ext cx="542925" cy="95250"/>
        </a:xfrm>
        <a:prstGeom prst="mathMinus">
          <a:avLst/>
        </a:prstGeom>
        <a:solidFill>
          <a:sysClr val="window" lastClr="FFFFFF"/>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n-GB"/>
        </a:p>
      </xdr:txBody>
    </xdr:sp>
    <xdr:clientData/>
  </xdr:twoCellAnchor>
  <xdr:twoCellAnchor>
    <xdr:from>
      <xdr:col>14</xdr:col>
      <xdr:colOff>268817</xdr:colOff>
      <xdr:row>31</xdr:row>
      <xdr:rowOff>6350</xdr:rowOff>
    </xdr:from>
    <xdr:to>
      <xdr:col>15</xdr:col>
      <xdr:colOff>170392</xdr:colOff>
      <xdr:row>31</xdr:row>
      <xdr:rowOff>101600</xdr:rowOff>
    </xdr:to>
    <xdr:sp macro="" textlink="">
      <xdr:nvSpPr>
        <xdr:cNvPr id="74" name="Minus Sign 73">
          <a:extLst>
            <a:ext uri="{FF2B5EF4-FFF2-40B4-BE49-F238E27FC236}">
              <a16:creationId xmlns:a16="http://schemas.microsoft.com/office/drawing/2014/main" id="{00000000-0008-0000-0400-00004A000000}"/>
            </a:ext>
          </a:extLst>
        </xdr:cNvPr>
        <xdr:cNvSpPr/>
      </xdr:nvSpPr>
      <xdr:spPr>
        <a:xfrm>
          <a:off x="8263467" y="6521450"/>
          <a:ext cx="542925" cy="95250"/>
        </a:xfrm>
        <a:prstGeom prst="mathMinus">
          <a:avLst/>
        </a:prstGeom>
        <a:solidFill>
          <a:sysClr val="window" lastClr="FFFFFF"/>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n-GB"/>
        </a:p>
      </xdr:txBody>
    </xdr:sp>
    <xdr:clientData/>
  </xdr:twoCellAnchor>
  <xdr:twoCellAnchor>
    <xdr:from>
      <xdr:col>16</xdr:col>
      <xdr:colOff>236674</xdr:colOff>
      <xdr:row>30</xdr:row>
      <xdr:rowOff>180564</xdr:rowOff>
    </xdr:from>
    <xdr:to>
      <xdr:col>16</xdr:col>
      <xdr:colOff>779599</xdr:colOff>
      <xdr:row>31</xdr:row>
      <xdr:rowOff>91664</xdr:rowOff>
    </xdr:to>
    <xdr:sp macro="" textlink="">
      <xdr:nvSpPr>
        <xdr:cNvPr id="75" name="Minus Sign 74">
          <a:extLst>
            <a:ext uri="{FF2B5EF4-FFF2-40B4-BE49-F238E27FC236}">
              <a16:creationId xmlns:a16="http://schemas.microsoft.com/office/drawing/2014/main" id="{00000000-0008-0000-0400-00004B000000}"/>
            </a:ext>
          </a:extLst>
        </xdr:cNvPr>
        <xdr:cNvSpPr/>
      </xdr:nvSpPr>
      <xdr:spPr>
        <a:xfrm>
          <a:off x="10968174" y="6511514"/>
          <a:ext cx="542925" cy="95250"/>
        </a:xfrm>
        <a:prstGeom prst="mathMinus">
          <a:avLst/>
        </a:prstGeom>
        <a:solidFill>
          <a:sysClr val="window" lastClr="FFFFFF"/>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n-GB"/>
        </a:p>
      </xdr:txBody>
    </xdr:sp>
    <xdr:clientData/>
  </xdr:twoCellAnchor>
  <xdr:twoCellAnchor>
    <xdr:from>
      <xdr:col>19</xdr:col>
      <xdr:colOff>182062</xdr:colOff>
      <xdr:row>30</xdr:row>
      <xdr:rowOff>169316</xdr:rowOff>
    </xdr:from>
    <xdr:to>
      <xdr:col>19</xdr:col>
      <xdr:colOff>724987</xdr:colOff>
      <xdr:row>31</xdr:row>
      <xdr:rowOff>80416</xdr:rowOff>
    </xdr:to>
    <xdr:sp macro="" textlink="">
      <xdr:nvSpPr>
        <xdr:cNvPr id="76" name="Minus Sign 75">
          <a:extLst>
            <a:ext uri="{FF2B5EF4-FFF2-40B4-BE49-F238E27FC236}">
              <a16:creationId xmlns:a16="http://schemas.microsoft.com/office/drawing/2014/main" id="{00000000-0008-0000-0400-00004C000000}"/>
            </a:ext>
          </a:extLst>
        </xdr:cNvPr>
        <xdr:cNvSpPr/>
      </xdr:nvSpPr>
      <xdr:spPr>
        <a:xfrm>
          <a:off x="13224962" y="6500266"/>
          <a:ext cx="542925" cy="95250"/>
        </a:xfrm>
        <a:prstGeom prst="mathMinus">
          <a:avLst/>
        </a:prstGeom>
        <a:solidFill>
          <a:sysClr val="window" lastClr="FFFFFF"/>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n-GB"/>
        </a:p>
      </xdr:txBody>
    </xdr:sp>
    <xdr:clientData/>
  </xdr:twoCellAnchor>
  <xdr:twoCellAnchor editAs="oneCell">
    <xdr:from>
      <xdr:col>3</xdr:col>
      <xdr:colOff>592592</xdr:colOff>
      <xdr:row>38</xdr:row>
      <xdr:rowOff>272366</xdr:rowOff>
    </xdr:from>
    <xdr:to>
      <xdr:col>3</xdr:col>
      <xdr:colOff>925512</xdr:colOff>
      <xdr:row>38</xdr:row>
      <xdr:rowOff>601662</xdr:rowOff>
    </xdr:to>
    <xdr:pic>
      <xdr:nvPicPr>
        <xdr:cNvPr id="77" name="Graphic 3" descr="Aquarius with solid fill">
          <a:extLst>
            <a:ext uri="{FF2B5EF4-FFF2-40B4-BE49-F238E27FC236}">
              <a16:creationId xmlns:a16="http://schemas.microsoft.com/office/drawing/2014/main" id="{00000000-0008-0000-0400-00004D000000}"/>
            </a:ext>
          </a:extLst>
        </xdr:cNvPr>
        <xdr:cNvPicPr/>
      </xdr:nvPicPr>
      <xdr:blipFill>
        <a:blip xmlns:r="http://schemas.openxmlformats.org/officeDocument/2006/relationships" r:embed="rId3" cstate="print">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a:off x="1045030" y="8241616"/>
          <a:ext cx="336095" cy="326121"/>
        </a:xfrm>
        <a:prstGeom prst="rect">
          <a:avLst/>
        </a:prstGeom>
      </xdr:spPr>
    </xdr:pic>
    <xdr:clientData/>
  </xdr:twoCellAnchor>
  <xdr:twoCellAnchor editAs="oneCell">
    <xdr:from>
      <xdr:col>6</xdr:col>
      <xdr:colOff>390040</xdr:colOff>
      <xdr:row>38</xdr:row>
      <xdr:rowOff>262467</xdr:rowOff>
    </xdr:from>
    <xdr:to>
      <xdr:col>7</xdr:col>
      <xdr:colOff>87960</xdr:colOff>
      <xdr:row>38</xdr:row>
      <xdr:rowOff>588588</xdr:rowOff>
    </xdr:to>
    <xdr:pic>
      <xdr:nvPicPr>
        <xdr:cNvPr id="78" name="Graphic 3" descr="Aquarius with solid fill">
          <a:extLst>
            <a:ext uri="{FF2B5EF4-FFF2-40B4-BE49-F238E27FC236}">
              <a16:creationId xmlns:a16="http://schemas.microsoft.com/office/drawing/2014/main" id="{00000000-0008-0000-0400-00004E000000}"/>
            </a:ext>
          </a:extLst>
        </xdr:cNvPr>
        <xdr:cNvPicPr/>
      </xdr:nvPicPr>
      <xdr:blipFill>
        <a:blip xmlns:r="http://schemas.openxmlformats.org/officeDocument/2006/relationships" r:embed="rId3" cstate="print">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a:off x="3438040" y="8066617"/>
          <a:ext cx="336095" cy="326121"/>
        </a:xfrm>
        <a:prstGeom prst="rect">
          <a:avLst/>
        </a:prstGeom>
      </xdr:spPr>
    </xdr:pic>
    <xdr:clientData/>
  </xdr:twoCellAnchor>
  <xdr:twoCellAnchor editAs="oneCell">
    <xdr:from>
      <xdr:col>10</xdr:col>
      <xdr:colOff>79825</xdr:colOff>
      <xdr:row>38</xdr:row>
      <xdr:rowOff>304102</xdr:rowOff>
    </xdr:from>
    <xdr:to>
      <xdr:col>10</xdr:col>
      <xdr:colOff>412745</xdr:colOff>
      <xdr:row>38</xdr:row>
      <xdr:rowOff>630223</xdr:rowOff>
    </xdr:to>
    <xdr:pic>
      <xdr:nvPicPr>
        <xdr:cNvPr id="79" name="Graphic 3" descr="Aquarius with solid fill">
          <a:extLst>
            <a:ext uri="{FF2B5EF4-FFF2-40B4-BE49-F238E27FC236}">
              <a16:creationId xmlns:a16="http://schemas.microsoft.com/office/drawing/2014/main" id="{00000000-0008-0000-0400-00004F000000}"/>
            </a:ext>
          </a:extLst>
        </xdr:cNvPr>
        <xdr:cNvPicPr/>
      </xdr:nvPicPr>
      <xdr:blipFill>
        <a:blip xmlns:r="http://schemas.openxmlformats.org/officeDocument/2006/relationships" r:embed="rId3" cstate="print">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a:off x="5548763" y="8273352"/>
          <a:ext cx="336095" cy="326121"/>
        </a:xfrm>
        <a:prstGeom prst="rect">
          <a:avLst/>
        </a:prstGeom>
      </xdr:spPr>
    </xdr:pic>
    <xdr:clientData/>
  </xdr:twoCellAnchor>
  <xdr:twoCellAnchor editAs="oneCell">
    <xdr:from>
      <xdr:col>14</xdr:col>
      <xdr:colOff>375130</xdr:colOff>
      <xdr:row>38</xdr:row>
      <xdr:rowOff>315623</xdr:rowOff>
    </xdr:from>
    <xdr:to>
      <xdr:col>15</xdr:col>
      <xdr:colOff>66700</xdr:colOff>
      <xdr:row>38</xdr:row>
      <xdr:rowOff>638569</xdr:rowOff>
    </xdr:to>
    <xdr:pic>
      <xdr:nvPicPr>
        <xdr:cNvPr id="80" name="Graphic 3" descr="Aquarius with solid fill">
          <a:extLst>
            <a:ext uri="{FF2B5EF4-FFF2-40B4-BE49-F238E27FC236}">
              <a16:creationId xmlns:a16="http://schemas.microsoft.com/office/drawing/2014/main" id="{00000000-0008-0000-0400-000050000000}"/>
            </a:ext>
          </a:extLst>
        </xdr:cNvPr>
        <xdr:cNvPicPr/>
      </xdr:nvPicPr>
      <xdr:blipFill>
        <a:blip xmlns:r="http://schemas.openxmlformats.org/officeDocument/2006/relationships" r:embed="rId3" cstate="print">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a:off x="8376130" y="8284873"/>
          <a:ext cx="337683" cy="326121"/>
        </a:xfrm>
        <a:prstGeom prst="rect">
          <a:avLst/>
        </a:prstGeom>
      </xdr:spPr>
    </xdr:pic>
    <xdr:clientData/>
  </xdr:twoCellAnchor>
  <xdr:twoCellAnchor editAs="oneCell">
    <xdr:from>
      <xdr:col>16</xdr:col>
      <xdr:colOff>229554</xdr:colOff>
      <xdr:row>38</xdr:row>
      <xdr:rowOff>304346</xdr:rowOff>
    </xdr:from>
    <xdr:to>
      <xdr:col>16</xdr:col>
      <xdr:colOff>562474</xdr:colOff>
      <xdr:row>38</xdr:row>
      <xdr:rowOff>630467</xdr:rowOff>
    </xdr:to>
    <xdr:pic>
      <xdr:nvPicPr>
        <xdr:cNvPr id="81" name="Graphic 3" descr="Aquarius with solid fill">
          <a:extLst>
            <a:ext uri="{FF2B5EF4-FFF2-40B4-BE49-F238E27FC236}">
              <a16:creationId xmlns:a16="http://schemas.microsoft.com/office/drawing/2014/main" id="{00000000-0008-0000-0400-000051000000}"/>
            </a:ext>
          </a:extLst>
        </xdr:cNvPr>
        <xdr:cNvPicPr/>
      </xdr:nvPicPr>
      <xdr:blipFill>
        <a:blip xmlns:r="http://schemas.openxmlformats.org/officeDocument/2006/relationships" r:embed="rId3" cstate="print">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a:off x="10968992" y="8273596"/>
          <a:ext cx="336095" cy="326121"/>
        </a:xfrm>
        <a:prstGeom prst="rect">
          <a:avLst/>
        </a:prstGeom>
      </xdr:spPr>
    </xdr:pic>
    <xdr:clientData/>
  </xdr:twoCellAnchor>
  <xdr:twoCellAnchor editAs="oneCell">
    <xdr:from>
      <xdr:col>19</xdr:col>
      <xdr:colOff>273050</xdr:colOff>
      <xdr:row>38</xdr:row>
      <xdr:rowOff>309925</xdr:rowOff>
    </xdr:from>
    <xdr:to>
      <xdr:col>19</xdr:col>
      <xdr:colOff>609145</xdr:colOff>
      <xdr:row>38</xdr:row>
      <xdr:rowOff>639221</xdr:rowOff>
    </xdr:to>
    <xdr:pic>
      <xdr:nvPicPr>
        <xdr:cNvPr id="82" name="Graphic 3" descr="Aquarius with solid fill">
          <a:extLst>
            <a:ext uri="{FF2B5EF4-FFF2-40B4-BE49-F238E27FC236}">
              <a16:creationId xmlns:a16="http://schemas.microsoft.com/office/drawing/2014/main" id="{00000000-0008-0000-0400-000052000000}"/>
            </a:ext>
          </a:extLst>
        </xdr:cNvPr>
        <xdr:cNvPicPr/>
      </xdr:nvPicPr>
      <xdr:blipFill>
        <a:blip xmlns:r="http://schemas.openxmlformats.org/officeDocument/2006/relationships" r:embed="rId3" cstate="print">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a:off x="13330238" y="8279175"/>
          <a:ext cx="336095" cy="326121"/>
        </a:xfrm>
        <a:prstGeom prst="rect">
          <a:avLst/>
        </a:prstGeom>
      </xdr:spPr>
    </xdr:pic>
    <xdr:clientData/>
  </xdr:twoCellAnchor>
  <xdr:twoCellAnchor>
    <xdr:from>
      <xdr:col>2</xdr:col>
      <xdr:colOff>95250</xdr:colOff>
      <xdr:row>0</xdr:row>
      <xdr:rowOff>76200</xdr:rowOff>
    </xdr:from>
    <xdr:to>
      <xdr:col>5</xdr:col>
      <xdr:colOff>69850</xdr:colOff>
      <xdr:row>9</xdr:row>
      <xdr:rowOff>25400</xdr:rowOff>
    </xdr:to>
    <xdr:sp macro="" textlink="">
      <xdr:nvSpPr>
        <xdr:cNvPr id="83" name="TextBox 82">
          <a:extLst>
            <a:ext uri="{FF2B5EF4-FFF2-40B4-BE49-F238E27FC236}">
              <a16:creationId xmlns:a16="http://schemas.microsoft.com/office/drawing/2014/main" id="{00000000-0008-0000-0400-000053000000}"/>
            </a:ext>
          </a:extLst>
        </xdr:cNvPr>
        <xdr:cNvSpPr txBox="1"/>
      </xdr:nvSpPr>
      <xdr:spPr>
        <a:xfrm>
          <a:off x="400050" y="76200"/>
          <a:ext cx="2076450" cy="1809750"/>
        </a:xfrm>
        <a:prstGeom prst="roundRect">
          <a:avLst/>
        </a:prstGeom>
        <a:solidFill>
          <a:srgbClr val="E0DCD3"/>
        </a:solidFill>
        <a:ln>
          <a:noFill/>
        </a:ln>
        <a:effectLst>
          <a:outerShdw blurRad="107950" dist="12700" dir="5400000" algn="ctr">
            <a:srgbClr val="000000"/>
          </a:outerShdw>
          <a:softEdge rad="0"/>
        </a:effectLst>
      </xdr:spPr>
      <xdr:style>
        <a:lnRef idx="2">
          <a:schemeClr val="dk1"/>
        </a:lnRef>
        <a:fillRef idx="1">
          <a:schemeClr val="lt1"/>
        </a:fillRef>
        <a:effectRef idx="0">
          <a:schemeClr val="dk1"/>
        </a:effectRef>
        <a:fontRef idx="minor">
          <a:schemeClr val="dk1"/>
        </a:fontRef>
      </xdr:style>
      <xdr:txBody>
        <a:bodyPr vertOverflow="clip" horzOverflow="clip" wrap="square" rtlCol="0" anchor="t"/>
        <a:lstStyle/>
        <a:p>
          <a:pPr algn="ctr"/>
          <a:r>
            <a:rPr lang="en-GB" sz="2000">
              <a:solidFill>
                <a:schemeClr val="accent1"/>
              </a:solidFill>
              <a:latin typeface="Rockwell Light" panose="02040303020102020203" pitchFamily="18" charset="0"/>
            </a:rPr>
            <a:t>Key</a:t>
          </a:r>
        </a:p>
      </xdr:txBody>
    </xdr:sp>
    <xdr:clientData/>
  </xdr:twoCellAnchor>
  <xdr:twoCellAnchor>
    <xdr:from>
      <xdr:col>3</xdr:col>
      <xdr:colOff>88901</xdr:colOff>
      <xdr:row>2</xdr:row>
      <xdr:rowOff>101600</xdr:rowOff>
    </xdr:from>
    <xdr:to>
      <xdr:col>3</xdr:col>
      <xdr:colOff>571500</xdr:colOff>
      <xdr:row>3</xdr:row>
      <xdr:rowOff>374650</xdr:rowOff>
    </xdr:to>
    <xdr:sp macro="" textlink="">
      <xdr:nvSpPr>
        <xdr:cNvPr id="91" name="TextBox 90">
          <a:extLst>
            <a:ext uri="{FF2B5EF4-FFF2-40B4-BE49-F238E27FC236}">
              <a16:creationId xmlns:a16="http://schemas.microsoft.com/office/drawing/2014/main" id="{00000000-0008-0000-0400-00005B000000}"/>
            </a:ext>
          </a:extLst>
        </xdr:cNvPr>
        <xdr:cNvSpPr txBox="1"/>
      </xdr:nvSpPr>
      <xdr:spPr>
        <a:xfrm>
          <a:off x="546101" y="495300"/>
          <a:ext cx="482599" cy="469900"/>
        </a:xfrm>
        <a:prstGeom prst="roundRect">
          <a:avLst/>
        </a:prstGeom>
        <a:solidFill>
          <a:srgbClr val="006600"/>
        </a:solidFill>
        <a:ln w="9525" cmpd="sng">
          <a:noFill/>
        </a:ln>
        <a:effectLst>
          <a:outerShdw blurRad="107950" dist="12700" dir="5400000" algn="ctr">
            <a:srgbClr val="000000"/>
          </a:outerShdw>
        </a:effectLst>
        <a:scene3d>
          <a:camera prst="orthographicFront">
            <a:rot lat="0" lon="0" rev="0"/>
          </a:camera>
          <a:lightRig rig="soft" dir="t">
            <a:rot lat="0" lon="0" rev="0"/>
          </a:lightRig>
        </a:scene3d>
        <a:sp3d contourW="25400" prstMaterial="matte">
          <a:contourClr>
            <a:srgbClr val="FFFFFF"/>
          </a:contourClr>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n-GB" sz="1400" b="1" cap="none" spc="0">
            <a:ln w="0"/>
            <a:solidFill>
              <a:schemeClr val="accent1"/>
            </a:solidFill>
            <a:effectLst>
              <a:outerShdw blurRad="38100" dist="25400" dir="5400000" algn="ctr" rotWithShape="0">
                <a:srgbClr val="6E747A">
                  <a:alpha val="43000"/>
                </a:srgbClr>
              </a:outerShdw>
            </a:effectLst>
            <a:latin typeface="Rockwell Light" panose="02040303020102020203" pitchFamily="18" charset="0"/>
          </a:endParaRPr>
        </a:p>
        <a:p>
          <a:pPr algn="ctr"/>
          <a:endParaRPr lang="en-GB" sz="1400" b="1" cap="none" spc="0">
            <a:ln w="0"/>
            <a:solidFill>
              <a:schemeClr val="accent1"/>
            </a:solidFill>
            <a:effectLst>
              <a:outerShdw blurRad="38100" dist="25400" dir="5400000" algn="ctr" rotWithShape="0">
                <a:srgbClr val="6E747A">
                  <a:alpha val="43000"/>
                </a:srgbClr>
              </a:outerShdw>
            </a:effectLst>
            <a:latin typeface="Rockwell Light" panose="02040303020102020203" pitchFamily="18" charset="0"/>
          </a:endParaRPr>
        </a:p>
        <a:p>
          <a:pPr algn="ctr"/>
          <a:endParaRPr lang="en-GB" sz="1400" b="1" cap="none" spc="0">
            <a:ln w="0"/>
            <a:solidFill>
              <a:schemeClr val="accent1"/>
            </a:solidFill>
            <a:effectLst>
              <a:outerShdw blurRad="38100" dist="25400" dir="5400000" algn="ctr" rotWithShape="0">
                <a:srgbClr val="6E747A">
                  <a:alpha val="43000"/>
                </a:srgbClr>
              </a:outerShdw>
            </a:effectLst>
            <a:latin typeface="Rockwell Light" panose="02040303020102020203" pitchFamily="18" charset="0"/>
          </a:endParaRPr>
        </a:p>
      </xdr:txBody>
    </xdr:sp>
    <xdr:clientData/>
  </xdr:twoCellAnchor>
  <xdr:twoCellAnchor>
    <xdr:from>
      <xdr:col>3</xdr:col>
      <xdr:colOff>101601</xdr:colOff>
      <xdr:row>4</xdr:row>
      <xdr:rowOff>19050</xdr:rowOff>
    </xdr:from>
    <xdr:to>
      <xdr:col>3</xdr:col>
      <xdr:colOff>571500</xdr:colOff>
      <xdr:row>6</xdr:row>
      <xdr:rowOff>38100</xdr:rowOff>
    </xdr:to>
    <xdr:sp macro="" textlink="">
      <xdr:nvSpPr>
        <xdr:cNvPr id="92" name="TextBox 91">
          <a:extLst>
            <a:ext uri="{FF2B5EF4-FFF2-40B4-BE49-F238E27FC236}">
              <a16:creationId xmlns:a16="http://schemas.microsoft.com/office/drawing/2014/main" id="{00000000-0008-0000-0400-00005C000000}"/>
            </a:ext>
          </a:extLst>
        </xdr:cNvPr>
        <xdr:cNvSpPr txBox="1"/>
      </xdr:nvSpPr>
      <xdr:spPr>
        <a:xfrm>
          <a:off x="558801" y="1054100"/>
          <a:ext cx="469899" cy="438150"/>
        </a:xfrm>
        <a:prstGeom prst="roundRect">
          <a:avLst/>
        </a:prstGeom>
        <a:solidFill>
          <a:srgbClr val="663300"/>
        </a:solidFill>
        <a:ln w="9525" cmpd="sng">
          <a:noFill/>
        </a:ln>
        <a:effectLst>
          <a:outerShdw blurRad="107950" dist="12700" dir="5400000" algn="ctr">
            <a:srgbClr val="000000"/>
          </a:outerShdw>
        </a:effectLst>
        <a:scene3d>
          <a:camera prst="orthographicFront">
            <a:rot lat="0" lon="0" rev="0"/>
          </a:camera>
          <a:lightRig rig="soft" dir="t">
            <a:rot lat="0" lon="0" rev="0"/>
          </a:lightRig>
        </a:scene3d>
        <a:sp3d contourW="25400" prstMaterial="matte">
          <a:contourClr>
            <a:srgbClr val="FFFFFF"/>
          </a:contourClr>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n-GB" sz="1400" b="1" cap="none" spc="0">
            <a:ln w="0"/>
            <a:solidFill>
              <a:schemeClr val="accent1"/>
            </a:solidFill>
            <a:effectLst>
              <a:outerShdw blurRad="38100" dist="25400" dir="5400000" algn="ctr" rotWithShape="0">
                <a:srgbClr val="6E747A">
                  <a:alpha val="43000"/>
                </a:srgbClr>
              </a:outerShdw>
            </a:effectLst>
            <a:latin typeface="Rockwell Light" panose="02040303020102020203" pitchFamily="18" charset="0"/>
          </a:endParaRPr>
        </a:p>
        <a:p>
          <a:pPr algn="ctr"/>
          <a:endParaRPr lang="en-GB" sz="1400" b="1" cap="none" spc="0">
            <a:ln w="0"/>
            <a:solidFill>
              <a:schemeClr val="accent1"/>
            </a:solidFill>
            <a:effectLst>
              <a:outerShdw blurRad="38100" dist="25400" dir="5400000" algn="ctr" rotWithShape="0">
                <a:srgbClr val="6E747A">
                  <a:alpha val="43000"/>
                </a:srgbClr>
              </a:outerShdw>
            </a:effectLst>
            <a:latin typeface="Rockwell Light" panose="02040303020102020203" pitchFamily="18" charset="0"/>
          </a:endParaRPr>
        </a:p>
      </xdr:txBody>
    </xdr:sp>
    <xdr:clientData/>
  </xdr:twoCellAnchor>
  <xdr:twoCellAnchor>
    <xdr:from>
      <xdr:col>3</xdr:col>
      <xdr:colOff>171451</xdr:colOff>
      <xdr:row>5</xdr:row>
      <xdr:rowOff>12700</xdr:rowOff>
    </xdr:from>
    <xdr:to>
      <xdr:col>3</xdr:col>
      <xdr:colOff>482601</xdr:colOff>
      <xdr:row>5</xdr:row>
      <xdr:rowOff>63500</xdr:rowOff>
    </xdr:to>
    <xdr:sp macro="" textlink="">
      <xdr:nvSpPr>
        <xdr:cNvPr id="85" name="Minus Sign 84">
          <a:extLst>
            <a:ext uri="{FF2B5EF4-FFF2-40B4-BE49-F238E27FC236}">
              <a16:creationId xmlns:a16="http://schemas.microsoft.com/office/drawing/2014/main" id="{00000000-0008-0000-0400-000055000000}"/>
            </a:ext>
          </a:extLst>
        </xdr:cNvPr>
        <xdr:cNvSpPr/>
      </xdr:nvSpPr>
      <xdr:spPr>
        <a:xfrm>
          <a:off x="628651" y="1257300"/>
          <a:ext cx="311150" cy="50800"/>
        </a:xfrm>
        <a:prstGeom prst="mathMinus">
          <a:avLst/>
        </a:prstGeom>
        <a:solidFill>
          <a:sysClr val="window" lastClr="FFFFFF"/>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n-GB"/>
        </a:p>
      </xdr:txBody>
    </xdr:sp>
    <xdr:clientData/>
  </xdr:twoCellAnchor>
  <xdr:twoCellAnchor editAs="oneCell">
    <xdr:from>
      <xdr:col>3</xdr:col>
      <xdr:colOff>152399</xdr:colOff>
      <xdr:row>2</xdr:row>
      <xdr:rowOff>138339</xdr:rowOff>
    </xdr:from>
    <xdr:to>
      <xdr:col>3</xdr:col>
      <xdr:colOff>485775</xdr:colOff>
      <xdr:row>3</xdr:row>
      <xdr:rowOff>304800</xdr:rowOff>
    </xdr:to>
    <xdr:pic>
      <xdr:nvPicPr>
        <xdr:cNvPr id="84" name="Graphic 6" descr="Agriculture with solid fill">
          <a:extLst>
            <a:ext uri="{FF2B5EF4-FFF2-40B4-BE49-F238E27FC236}">
              <a16:creationId xmlns:a16="http://schemas.microsoft.com/office/drawing/2014/main" id="{00000000-0008-0000-0400-000054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609599" y="532039"/>
          <a:ext cx="330201" cy="363311"/>
        </a:xfrm>
        <a:prstGeom prst="rect">
          <a:avLst/>
        </a:prstGeom>
      </xdr:spPr>
    </xdr:pic>
    <xdr:clientData/>
  </xdr:twoCellAnchor>
  <xdr:twoCellAnchor>
    <xdr:from>
      <xdr:col>3</xdr:col>
      <xdr:colOff>82550</xdr:colOff>
      <xdr:row>6</xdr:row>
      <xdr:rowOff>107950</xdr:rowOff>
    </xdr:from>
    <xdr:to>
      <xdr:col>3</xdr:col>
      <xdr:colOff>565150</xdr:colOff>
      <xdr:row>8</xdr:row>
      <xdr:rowOff>63500</xdr:rowOff>
    </xdr:to>
    <xdr:sp macro="" textlink="">
      <xdr:nvSpPr>
        <xdr:cNvPr id="93" name="TextBox 92">
          <a:extLst>
            <a:ext uri="{FF2B5EF4-FFF2-40B4-BE49-F238E27FC236}">
              <a16:creationId xmlns:a16="http://schemas.microsoft.com/office/drawing/2014/main" id="{00000000-0008-0000-0400-00005D000000}"/>
            </a:ext>
          </a:extLst>
        </xdr:cNvPr>
        <xdr:cNvSpPr txBox="1"/>
      </xdr:nvSpPr>
      <xdr:spPr>
        <a:xfrm>
          <a:off x="539750" y="1562100"/>
          <a:ext cx="482600" cy="393700"/>
        </a:xfrm>
        <a:prstGeom prst="roundRect">
          <a:avLst/>
        </a:prstGeom>
        <a:solidFill>
          <a:srgbClr val="0033CC"/>
        </a:solidFill>
        <a:ln w="9525" cmpd="sng">
          <a:noFill/>
        </a:ln>
        <a:effectLst>
          <a:outerShdw blurRad="107950" dist="12700" dir="5400000" algn="ctr">
            <a:srgbClr val="000000"/>
          </a:outerShdw>
        </a:effectLst>
        <a:scene3d>
          <a:camera prst="orthographicFront">
            <a:rot lat="0" lon="0" rev="0"/>
          </a:camera>
          <a:lightRig rig="soft" dir="t">
            <a:rot lat="0" lon="0" rev="0"/>
          </a:lightRig>
        </a:scene3d>
        <a:sp3d contourW="25400" prstMaterial="matte">
          <a:contourClr>
            <a:srgbClr val="FFFFFF"/>
          </a:contourClr>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n-GB" sz="1400" b="1" cap="none" spc="0">
            <a:ln w="0"/>
            <a:solidFill>
              <a:schemeClr val="accent1"/>
            </a:solidFill>
            <a:effectLst>
              <a:outerShdw blurRad="38100" dist="25400" dir="5400000" algn="ctr" rotWithShape="0">
                <a:srgbClr val="6E747A">
                  <a:alpha val="43000"/>
                </a:srgbClr>
              </a:outerShdw>
            </a:effectLst>
            <a:latin typeface="Rockwell Light" panose="02040303020102020203" pitchFamily="18" charset="0"/>
          </a:endParaRPr>
        </a:p>
        <a:p>
          <a:pPr algn="ctr"/>
          <a:endParaRPr lang="en-GB" sz="1400" b="1" cap="none" spc="0">
            <a:ln w="0"/>
            <a:solidFill>
              <a:schemeClr val="accent1"/>
            </a:solidFill>
            <a:effectLst>
              <a:outerShdw blurRad="38100" dist="25400" dir="5400000" algn="ctr" rotWithShape="0">
                <a:srgbClr val="6E747A">
                  <a:alpha val="43000"/>
                </a:srgbClr>
              </a:outerShdw>
            </a:effectLst>
            <a:latin typeface="Rockwell Light" panose="02040303020102020203" pitchFamily="18" charset="0"/>
          </a:endParaRPr>
        </a:p>
      </xdr:txBody>
    </xdr:sp>
    <xdr:clientData/>
  </xdr:twoCellAnchor>
  <xdr:twoCellAnchor editAs="oneCell">
    <xdr:from>
      <xdr:col>3</xdr:col>
      <xdr:colOff>152400</xdr:colOff>
      <xdr:row>6</xdr:row>
      <xdr:rowOff>139700</xdr:rowOff>
    </xdr:from>
    <xdr:to>
      <xdr:col>3</xdr:col>
      <xdr:colOff>485320</xdr:colOff>
      <xdr:row>8</xdr:row>
      <xdr:rowOff>30846</xdr:rowOff>
    </xdr:to>
    <xdr:pic>
      <xdr:nvPicPr>
        <xdr:cNvPr id="86" name="Graphic 3" descr="Aquarius with solid fill">
          <a:extLst>
            <a:ext uri="{FF2B5EF4-FFF2-40B4-BE49-F238E27FC236}">
              <a16:creationId xmlns:a16="http://schemas.microsoft.com/office/drawing/2014/main" id="{00000000-0008-0000-0400-000056000000}"/>
            </a:ext>
          </a:extLst>
        </xdr:cNvPr>
        <xdr:cNvPicPr/>
      </xdr:nvPicPr>
      <xdr:blipFill>
        <a:blip xmlns:r="http://schemas.openxmlformats.org/officeDocument/2006/relationships" r:embed="rId3" cstate="print">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a:off x="609600" y="1593850"/>
          <a:ext cx="336095" cy="326121"/>
        </a:xfrm>
        <a:prstGeom prst="rect">
          <a:avLst/>
        </a:prstGeom>
      </xdr:spPr>
    </xdr:pic>
    <xdr:clientData/>
  </xdr:twoCellAnchor>
  <xdr:twoCellAnchor>
    <xdr:from>
      <xdr:col>3</xdr:col>
      <xdr:colOff>615950</xdr:colOff>
      <xdr:row>2</xdr:row>
      <xdr:rowOff>177800</xdr:rowOff>
    </xdr:from>
    <xdr:to>
      <xdr:col>4</xdr:col>
      <xdr:colOff>393700</xdr:colOff>
      <xdr:row>3</xdr:row>
      <xdr:rowOff>241300</xdr:rowOff>
    </xdr:to>
    <xdr:sp macro="" textlink="">
      <xdr:nvSpPr>
        <xdr:cNvPr id="2" name="TextBox 1">
          <a:extLst>
            <a:ext uri="{FF2B5EF4-FFF2-40B4-BE49-F238E27FC236}">
              <a16:creationId xmlns:a16="http://schemas.microsoft.com/office/drawing/2014/main" id="{00000000-0008-0000-0400-000002000000}"/>
            </a:ext>
          </a:extLst>
        </xdr:cNvPr>
        <xdr:cNvSpPr txBox="1"/>
      </xdr:nvSpPr>
      <xdr:spPr>
        <a:xfrm>
          <a:off x="1073150" y="571500"/>
          <a:ext cx="1085850" cy="2603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b="1">
              <a:solidFill>
                <a:sysClr val="windowText" lastClr="000000"/>
              </a:solidFill>
              <a:latin typeface="Rockwell Light" panose="02040303020102020203" pitchFamily="18" charset="0"/>
            </a:rPr>
            <a:t>Area habitats</a:t>
          </a:r>
        </a:p>
      </xdr:txBody>
    </xdr:sp>
    <xdr:clientData/>
  </xdr:twoCellAnchor>
  <xdr:twoCellAnchor>
    <xdr:from>
      <xdr:col>3</xdr:col>
      <xdr:colOff>603250</xdr:colOff>
      <xdr:row>4</xdr:row>
      <xdr:rowOff>6350</xdr:rowOff>
    </xdr:from>
    <xdr:to>
      <xdr:col>4</xdr:col>
      <xdr:colOff>501650</xdr:colOff>
      <xdr:row>6</xdr:row>
      <xdr:rowOff>38100</xdr:rowOff>
    </xdr:to>
    <xdr:sp macro="" textlink="">
      <xdr:nvSpPr>
        <xdr:cNvPr id="94" name="TextBox 93">
          <a:extLst>
            <a:ext uri="{FF2B5EF4-FFF2-40B4-BE49-F238E27FC236}">
              <a16:creationId xmlns:a16="http://schemas.microsoft.com/office/drawing/2014/main" id="{00000000-0008-0000-0400-00005E000000}"/>
            </a:ext>
          </a:extLst>
        </xdr:cNvPr>
        <xdr:cNvSpPr txBox="1"/>
      </xdr:nvSpPr>
      <xdr:spPr>
        <a:xfrm>
          <a:off x="1060450" y="1041400"/>
          <a:ext cx="1206500" cy="4508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b="1">
              <a:solidFill>
                <a:sysClr val="windowText" lastClr="000000"/>
              </a:solidFill>
              <a:latin typeface="Rockwell Light" panose="02040303020102020203" pitchFamily="18" charset="0"/>
            </a:rPr>
            <a:t>Hedgerows</a:t>
          </a:r>
          <a:r>
            <a:rPr lang="en-GB" sz="1100" b="1" baseline="0">
              <a:solidFill>
                <a:sysClr val="windowText" lastClr="000000"/>
              </a:solidFill>
              <a:latin typeface="Rockwell Light" panose="02040303020102020203" pitchFamily="18" charset="0"/>
            </a:rPr>
            <a:t> and lines of trees</a:t>
          </a:r>
        </a:p>
        <a:p>
          <a:endParaRPr lang="en-GB" sz="1100">
            <a:solidFill>
              <a:sysClr val="windowText" lastClr="000000"/>
            </a:solidFill>
          </a:endParaRPr>
        </a:p>
      </xdr:txBody>
    </xdr:sp>
    <xdr:clientData/>
  </xdr:twoCellAnchor>
  <xdr:twoCellAnchor>
    <xdr:from>
      <xdr:col>3</xdr:col>
      <xdr:colOff>609600</xdr:colOff>
      <xdr:row>6</xdr:row>
      <xdr:rowOff>146050</xdr:rowOff>
    </xdr:from>
    <xdr:to>
      <xdr:col>5</xdr:col>
      <xdr:colOff>38100</xdr:colOff>
      <xdr:row>7</xdr:row>
      <xdr:rowOff>196850</xdr:rowOff>
    </xdr:to>
    <xdr:sp macro="" textlink="">
      <xdr:nvSpPr>
        <xdr:cNvPr id="95" name="TextBox 94">
          <a:extLst>
            <a:ext uri="{FF2B5EF4-FFF2-40B4-BE49-F238E27FC236}">
              <a16:creationId xmlns:a16="http://schemas.microsoft.com/office/drawing/2014/main" id="{00000000-0008-0000-0400-00005F000000}"/>
            </a:ext>
          </a:extLst>
        </xdr:cNvPr>
        <xdr:cNvSpPr txBox="1"/>
      </xdr:nvSpPr>
      <xdr:spPr>
        <a:xfrm>
          <a:off x="1066800" y="1600200"/>
          <a:ext cx="1377950" cy="2603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b="1">
              <a:solidFill>
                <a:sysClr val="windowText" lastClr="000000"/>
              </a:solidFill>
              <a:latin typeface="Rockwell Light" panose="02040303020102020203" pitchFamily="18" charset="0"/>
            </a:rPr>
            <a:t>Watercourses</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4</xdr:col>
      <xdr:colOff>256117</xdr:colOff>
      <xdr:row>9</xdr:row>
      <xdr:rowOff>298450</xdr:rowOff>
    </xdr:from>
    <xdr:to>
      <xdr:col>6</xdr:col>
      <xdr:colOff>571500</xdr:colOff>
      <xdr:row>15</xdr:row>
      <xdr:rowOff>21750</xdr:rowOff>
    </xdr:to>
    <xdr:sp macro="[0]!ActivateHeadlineResults" textlink="">
      <xdr:nvSpPr>
        <xdr:cNvPr id="6" name="TextBox 5">
          <a:extLst>
            <a:ext uri="{FF2B5EF4-FFF2-40B4-BE49-F238E27FC236}">
              <a16:creationId xmlns:a16="http://schemas.microsoft.com/office/drawing/2014/main" id="{00000000-0008-0000-0500-000006000000}"/>
            </a:ext>
          </a:extLst>
        </xdr:cNvPr>
        <xdr:cNvSpPr txBox="1"/>
      </xdr:nvSpPr>
      <xdr:spPr>
        <a:xfrm>
          <a:off x="2021417" y="2146300"/>
          <a:ext cx="1598083" cy="1152050"/>
        </a:xfrm>
        <a:prstGeom prst="roundRect">
          <a:avLst/>
        </a:prstGeom>
        <a:solidFill>
          <a:schemeClr val="accent3"/>
        </a:solidFill>
        <a:ln w="9525" cmpd="sng">
          <a:noFill/>
        </a:ln>
        <a:effectLst>
          <a:outerShdw blurRad="107950" dist="12700" dir="5400000" algn="ctr">
            <a:srgbClr val="000000"/>
          </a:outerShdw>
        </a:effectLst>
        <a:scene3d>
          <a:camera prst="orthographicFront">
            <a:rot lat="0" lon="0" rev="0"/>
          </a:camera>
          <a:lightRig rig="soft" dir="t">
            <a:rot lat="0" lon="0" rev="0"/>
          </a:lightRig>
        </a:scene3d>
        <a:sp3d contourW="25400" prstMaterial="matte">
          <a:bevelT w="63500" h="63500" prst="artDeco"/>
          <a:contourClr>
            <a:srgbClr val="FFFFFF"/>
          </a:contourClr>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400" b="1">
              <a:solidFill>
                <a:schemeClr val="accent1"/>
              </a:solidFill>
              <a:latin typeface="Rockwell Light" panose="02040303020102020203" pitchFamily="18" charset="0"/>
            </a:rPr>
            <a:t>Headline</a:t>
          </a:r>
          <a:r>
            <a:rPr lang="en-GB" sz="1400" b="1" baseline="0">
              <a:solidFill>
                <a:schemeClr val="accent1"/>
              </a:solidFill>
              <a:latin typeface="Rockwell Light" panose="02040303020102020203" pitchFamily="18" charset="0"/>
            </a:rPr>
            <a:t> results</a:t>
          </a:r>
          <a:endParaRPr lang="en-GB" sz="1400" b="1">
            <a:solidFill>
              <a:schemeClr val="accent1"/>
            </a:solidFill>
            <a:latin typeface="Rockwell Light" panose="02040303020102020203" pitchFamily="18" charset="0"/>
          </a:endParaRPr>
        </a:p>
      </xdr:txBody>
    </xdr:sp>
    <xdr:clientData/>
  </xdr:twoCellAnchor>
  <xdr:twoCellAnchor>
    <xdr:from>
      <xdr:col>7</xdr:col>
      <xdr:colOff>194733</xdr:colOff>
      <xdr:row>9</xdr:row>
      <xdr:rowOff>279399</xdr:rowOff>
    </xdr:from>
    <xdr:to>
      <xdr:col>10</xdr:col>
      <xdr:colOff>177800</xdr:colOff>
      <xdr:row>15</xdr:row>
      <xdr:rowOff>22806</xdr:rowOff>
    </xdr:to>
    <xdr:sp macro="[0]!ActivateDetailedResults" textlink="">
      <xdr:nvSpPr>
        <xdr:cNvPr id="9" name="Rounded Rectangle 8">
          <a:extLst>
            <a:ext uri="{FF2B5EF4-FFF2-40B4-BE49-F238E27FC236}">
              <a16:creationId xmlns:a16="http://schemas.microsoft.com/office/drawing/2014/main" id="{00000000-0008-0000-0500-000009000000}"/>
            </a:ext>
          </a:extLst>
        </xdr:cNvPr>
        <xdr:cNvSpPr/>
      </xdr:nvSpPr>
      <xdr:spPr>
        <a:xfrm>
          <a:off x="3884083" y="2127249"/>
          <a:ext cx="1754717" cy="1172157"/>
        </a:xfrm>
        <a:prstGeom prst="roundRect">
          <a:avLst/>
        </a:prstGeom>
        <a:solidFill>
          <a:schemeClr val="accent3"/>
        </a:solidFill>
        <a:ln>
          <a:noFill/>
        </a:ln>
        <a:effectLst>
          <a:outerShdw blurRad="107950" dist="12700" dir="5400000" algn="ctr">
            <a:srgbClr val="000000"/>
          </a:outerShdw>
        </a:effectLst>
        <a:scene3d>
          <a:camera prst="orthographicFront">
            <a:rot lat="0" lon="0" rev="0"/>
          </a:camera>
          <a:lightRig rig="soft" dir="t">
            <a:rot lat="0" lon="0" rev="0"/>
          </a:lightRig>
        </a:scene3d>
        <a:sp3d contourW="2540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400" b="1">
              <a:solidFill>
                <a:schemeClr val="accent1"/>
              </a:solidFill>
              <a:latin typeface="Rockwell Light" panose="02040303020102020203" pitchFamily="18" charset="0"/>
            </a:rPr>
            <a:t>Detailed results</a:t>
          </a:r>
        </a:p>
      </xdr:txBody>
    </xdr:sp>
    <xdr:clientData/>
  </xdr:twoCellAnchor>
  <xdr:twoCellAnchor>
    <xdr:from>
      <xdr:col>10</xdr:col>
      <xdr:colOff>395817</xdr:colOff>
      <xdr:row>9</xdr:row>
      <xdr:rowOff>317501</xdr:rowOff>
    </xdr:from>
    <xdr:to>
      <xdr:col>13</xdr:col>
      <xdr:colOff>19050</xdr:colOff>
      <xdr:row>15</xdr:row>
      <xdr:rowOff>12223</xdr:rowOff>
    </xdr:to>
    <xdr:sp macro="[0]!ActivateTradingSummary" textlink="">
      <xdr:nvSpPr>
        <xdr:cNvPr id="17" name="Rounded Rectangle 16">
          <a:extLst>
            <a:ext uri="{FF2B5EF4-FFF2-40B4-BE49-F238E27FC236}">
              <a16:creationId xmlns:a16="http://schemas.microsoft.com/office/drawing/2014/main" id="{00000000-0008-0000-0500-000011000000}"/>
            </a:ext>
          </a:extLst>
        </xdr:cNvPr>
        <xdr:cNvSpPr/>
      </xdr:nvSpPr>
      <xdr:spPr>
        <a:xfrm>
          <a:off x="5856817" y="2165351"/>
          <a:ext cx="1756833" cy="1123472"/>
        </a:xfrm>
        <a:prstGeom prst="roundRect">
          <a:avLst/>
        </a:prstGeom>
        <a:solidFill>
          <a:schemeClr val="accent3"/>
        </a:solidFill>
        <a:ln>
          <a:noFill/>
        </a:ln>
        <a:effectLst>
          <a:outerShdw blurRad="107950" dist="12700" dir="5400000" algn="ctr">
            <a:srgbClr val="000000"/>
          </a:outerShdw>
        </a:effectLst>
        <a:scene3d>
          <a:camera prst="orthographicFront">
            <a:rot lat="0" lon="0" rev="0"/>
          </a:camera>
          <a:lightRig rig="soft" dir="t">
            <a:rot lat="0" lon="0" rev="0"/>
          </a:lightRig>
        </a:scene3d>
        <a:sp3d contourW="2540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400" b="1">
              <a:solidFill>
                <a:schemeClr val="accent1"/>
              </a:solidFill>
              <a:latin typeface="Rockwell Light" panose="02040303020102020203" pitchFamily="18" charset="0"/>
            </a:rPr>
            <a:t>Habitat trading summaries</a:t>
          </a:r>
          <a:endParaRPr lang="en-GB" sz="2000" b="1">
            <a:solidFill>
              <a:schemeClr val="accent1"/>
            </a:solidFill>
            <a:latin typeface="Rockwell Light" panose="02040303020102020203" pitchFamily="18" charset="0"/>
          </a:endParaRPr>
        </a:p>
      </xdr:txBody>
    </xdr:sp>
    <xdr:clientData/>
  </xdr:twoCellAnchor>
  <xdr:twoCellAnchor>
    <xdr:from>
      <xdr:col>1</xdr:col>
      <xdr:colOff>93134</xdr:colOff>
      <xdr:row>9</xdr:row>
      <xdr:rowOff>220134</xdr:rowOff>
    </xdr:from>
    <xdr:to>
      <xdr:col>3</xdr:col>
      <xdr:colOff>1270000</xdr:colOff>
      <xdr:row>15</xdr:row>
      <xdr:rowOff>83134</xdr:rowOff>
    </xdr:to>
    <xdr:sp macro="[0]!Activatestart" textlink="">
      <xdr:nvSpPr>
        <xdr:cNvPr id="11" name="TextBox 10">
          <a:extLst>
            <a:ext uri="{FF2B5EF4-FFF2-40B4-BE49-F238E27FC236}">
              <a16:creationId xmlns:a16="http://schemas.microsoft.com/office/drawing/2014/main" id="{00000000-0008-0000-0500-00000B000000}"/>
            </a:ext>
          </a:extLst>
        </xdr:cNvPr>
        <xdr:cNvSpPr txBox="1"/>
      </xdr:nvSpPr>
      <xdr:spPr>
        <a:xfrm>
          <a:off x="237067" y="2023534"/>
          <a:ext cx="1464733" cy="1260000"/>
        </a:xfrm>
        <a:prstGeom prst="roundRect">
          <a:avLst/>
        </a:prstGeom>
        <a:solidFill>
          <a:schemeClr val="accent1"/>
        </a:solidFill>
        <a:ln w="9525" cmpd="sng">
          <a:noFill/>
        </a:ln>
        <a:effectLst>
          <a:outerShdw blurRad="107950" dist="12700" dir="5400000" algn="ctr">
            <a:srgbClr val="000000"/>
          </a:outerShdw>
        </a:effectLst>
        <a:scene3d>
          <a:camera prst="orthographicFront">
            <a:rot lat="0" lon="0" rev="0"/>
          </a:camera>
          <a:lightRig rig="soft" dir="t">
            <a:rot lat="0" lon="0" rev="0"/>
          </a:lightRig>
        </a:scene3d>
        <a:sp3d contourW="25400" prstMaterial="matte">
          <a:bevelT w="63500" h="63500" prst="artDeco"/>
          <a:contourClr>
            <a:srgbClr val="FFFFFF"/>
          </a:contourClr>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400" b="1">
              <a:solidFill>
                <a:schemeClr val="bg1"/>
              </a:solidFill>
              <a:latin typeface="Rockwell Light" panose="02040303020102020203" pitchFamily="18" charset="0"/>
            </a:rPr>
            <a:t>Return to start</a:t>
          </a:r>
        </a:p>
        <a:p>
          <a:pPr algn="ctr"/>
          <a:r>
            <a:rPr lang="en-GB" sz="1400" b="1">
              <a:solidFill>
                <a:schemeClr val="bg1"/>
              </a:solidFill>
              <a:latin typeface="Rockwell Light" panose="02040303020102020203" pitchFamily="18" charset="0"/>
            </a:rPr>
            <a:t>page</a:t>
          </a:r>
        </a:p>
      </xdr:txBody>
    </xdr:sp>
    <xdr:clientData/>
  </xdr:twoCellAnchor>
  <xdr:twoCellAnchor>
    <xdr:from>
      <xdr:col>3</xdr:col>
      <xdr:colOff>38100</xdr:colOff>
      <xdr:row>1</xdr:row>
      <xdr:rowOff>85726</xdr:rowOff>
    </xdr:from>
    <xdr:to>
      <xdr:col>15</xdr:col>
      <xdr:colOff>466725</xdr:colOff>
      <xdr:row>7</xdr:row>
      <xdr:rowOff>123826</xdr:rowOff>
    </xdr:to>
    <xdr:sp macro="" textlink="">
      <xdr:nvSpPr>
        <xdr:cNvPr id="8" name="TextBox 7">
          <a:extLst>
            <a:ext uri="{FF2B5EF4-FFF2-40B4-BE49-F238E27FC236}">
              <a16:creationId xmlns:a16="http://schemas.microsoft.com/office/drawing/2014/main" id="{00000000-0008-0000-0500-000008000000}"/>
            </a:ext>
          </a:extLst>
        </xdr:cNvPr>
        <xdr:cNvSpPr txBox="1"/>
      </xdr:nvSpPr>
      <xdr:spPr>
        <a:xfrm>
          <a:off x="466725" y="285751"/>
          <a:ext cx="8210550" cy="1276350"/>
        </a:xfrm>
        <a:prstGeom prst="roundRect">
          <a:avLst/>
        </a:prstGeom>
        <a:solidFill>
          <a:srgbClr val="E0DCD3"/>
        </a:solidFill>
        <a:ln w="9525" cmpd="sng">
          <a:solidFill>
            <a:schemeClr val="lt1">
              <a:shade val="50000"/>
            </a:schemeClr>
          </a:solidFill>
        </a:ln>
        <a:effectLst>
          <a:innerShdw blurRad="25400" dist="393700" dir="2160000">
            <a:prstClr val="black">
              <a:alpha val="47000"/>
            </a:prstClr>
          </a:innerShdw>
        </a:effectLst>
        <a:scene3d>
          <a:camera prst="orthographicFront"/>
          <a:lightRig rig="threePt" dir="t"/>
        </a:scene3d>
        <a:sp3d contourW="25400">
          <a:bevelT w="114300" prst="artDeco"/>
          <a:bevelB w="0" h="69850" prst="artDeco"/>
          <a:contourClr>
            <a:schemeClr val="bg1"/>
          </a:contourClr>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2800" b="0" i="0" u="none" strike="noStrike">
              <a:solidFill>
                <a:schemeClr val="accent1"/>
              </a:solidFill>
              <a:effectLst/>
              <a:latin typeface="Source Sans Pro" panose="020B0503030403020204" pitchFamily="34" charset="0"/>
              <a:ea typeface="Source Sans Pro" panose="020B0503030403020204" pitchFamily="34" charset="0"/>
              <a:cs typeface="+mn-cs"/>
            </a:rPr>
            <a:t>The Biodiversity Metric 4.0 - Calculation Tool</a:t>
          </a:r>
        </a:p>
        <a:p>
          <a:pPr algn="ctr"/>
          <a:r>
            <a:rPr lang="en-GB" sz="2800" b="0" i="0" u="none" strike="noStrike">
              <a:solidFill>
                <a:schemeClr val="accent1"/>
              </a:solidFill>
              <a:effectLst/>
              <a:latin typeface="Source Sans Pro" panose="020B0503030403020204" pitchFamily="34" charset="0"/>
              <a:ea typeface="Source Sans Pro" panose="020B0503030403020204" pitchFamily="34" charset="0"/>
              <a:cs typeface="+mn-cs"/>
            </a:rPr>
            <a:t>Results</a:t>
          </a:r>
          <a:endParaRPr lang="en-GB" sz="2800" b="0">
            <a:solidFill>
              <a:schemeClr val="accent1"/>
            </a:solidFill>
            <a:latin typeface="Source Sans Pro" panose="020B0503030403020204" pitchFamily="34" charset="0"/>
            <a:ea typeface="Source Sans Pro" panose="020B0503030403020204" pitchFamily="34" charset="0"/>
          </a:endParaRPr>
        </a:p>
      </xdr:txBody>
    </xdr:sp>
    <xdr:clientData/>
  </xdr:twoCellAnchor>
  <xdr:twoCellAnchor>
    <xdr:from>
      <xdr:col>13</xdr:col>
      <xdr:colOff>226484</xdr:colOff>
      <xdr:row>9</xdr:row>
      <xdr:rowOff>292100</xdr:rowOff>
    </xdr:from>
    <xdr:to>
      <xdr:col>15</xdr:col>
      <xdr:colOff>1035050</xdr:colOff>
      <xdr:row>15</xdr:row>
      <xdr:rowOff>15400</xdr:rowOff>
    </xdr:to>
    <xdr:sp macro="[0]!ActivateSelectOffsitesummary" textlink="">
      <xdr:nvSpPr>
        <xdr:cNvPr id="7" name="TextBox 6">
          <a:extLst>
            <a:ext uri="{FF2B5EF4-FFF2-40B4-BE49-F238E27FC236}">
              <a16:creationId xmlns:a16="http://schemas.microsoft.com/office/drawing/2014/main" id="{00000000-0008-0000-0500-000007000000}"/>
            </a:ext>
          </a:extLst>
        </xdr:cNvPr>
        <xdr:cNvSpPr txBox="1"/>
      </xdr:nvSpPr>
      <xdr:spPr>
        <a:xfrm>
          <a:off x="7821084" y="2139950"/>
          <a:ext cx="1849966" cy="1152050"/>
        </a:xfrm>
        <a:prstGeom prst="roundRect">
          <a:avLst/>
        </a:prstGeom>
        <a:solidFill>
          <a:schemeClr val="accent3"/>
        </a:solidFill>
        <a:ln w="9525" cmpd="sng">
          <a:noFill/>
        </a:ln>
        <a:effectLst>
          <a:outerShdw blurRad="107950" dist="12700" dir="5400000" algn="ctr">
            <a:srgbClr val="000000"/>
          </a:outerShdw>
        </a:effectLst>
        <a:scene3d>
          <a:camera prst="orthographicFront">
            <a:rot lat="0" lon="0" rev="0"/>
          </a:camera>
          <a:lightRig rig="soft" dir="t">
            <a:rot lat="0" lon="0" rev="0"/>
          </a:lightRig>
        </a:scene3d>
        <a:sp3d contourW="25400" prstMaterial="matte">
          <a:bevelT w="63500" h="63500" prst="artDeco"/>
          <a:contourClr>
            <a:srgbClr val="FFFFFF"/>
          </a:contourClr>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400" b="1">
              <a:solidFill>
                <a:schemeClr val="accent1"/>
              </a:solidFill>
              <a:latin typeface="Rockwell Light" panose="02040303020102020203" pitchFamily="18" charset="0"/>
            </a:rPr>
            <a:t>Off-site</a:t>
          </a:r>
          <a:endParaRPr lang="en-GB" sz="1400" b="1" baseline="0">
            <a:solidFill>
              <a:schemeClr val="accent1"/>
            </a:solidFill>
            <a:latin typeface="Rockwell Light" panose="02040303020102020203" pitchFamily="18" charset="0"/>
          </a:endParaRPr>
        </a:p>
        <a:p>
          <a:pPr algn="ctr"/>
          <a:r>
            <a:rPr lang="en-GB" sz="1400" b="1" baseline="0">
              <a:solidFill>
                <a:schemeClr val="accent1"/>
              </a:solidFill>
              <a:latin typeface="Rockwell Light" panose="02040303020102020203" pitchFamily="18" charset="0"/>
            </a:rPr>
            <a:t> summary</a:t>
          </a:r>
          <a:endParaRPr lang="en-GB" sz="1400" b="1">
            <a:solidFill>
              <a:schemeClr val="accent1"/>
            </a:solidFill>
            <a:latin typeface="Rockwell Light" panose="02040303020102020203" pitchFamily="18" charset="0"/>
          </a:endParaRP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4</xdr:col>
      <xdr:colOff>166791</xdr:colOff>
      <xdr:row>1</xdr:row>
      <xdr:rowOff>12701</xdr:rowOff>
    </xdr:from>
    <xdr:to>
      <xdr:col>4</xdr:col>
      <xdr:colOff>1466850</xdr:colOff>
      <xdr:row>3</xdr:row>
      <xdr:rowOff>190500</xdr:rowOff>
    </xdr:to>
    <xdr:sp macro="[0]!ActivateResults" textlink="">
      <xdr:nvSpPr>
        <xdr:cNvPr id="26" name="TextBox 25">
          <a:extLst>
            <a:ext uri="{FF2B5EF4-FFF2-40B4-BE49-F238E27FC236}">
              <a16:creationId xmlns:a16="http://schemas.microsoft.com/office/drawing/2014/main" id="{00000000-0008-0000-0600-00001A000000}"/>
            </a:ext>
          </a:extLst>
        </xdr:cNvPr>
        <xdr:cNvSpPr txBox="1"/>
      </xdr:nvSpPr>
      <xdr:spPr>
        <a:xfrm>
          <a:off x="4367316" y="212726"/>
          <a:ext cx="1300059" cy="615949"/>
        </a:xfrm>
        <a:prstGeom prst="roundRect">
          <a:avLst/>
        </a:prstGeom>
        <a:solidFill>
          <a:schemeClr val="accent3"/>
        </a:solidFill>
        <a:ln w="9525" cmpd="sng">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400">
              <a:solidFill>
                <a:schemeClr val="accent1"/>
              </a:solidFill>
              <a:latin typeface="+mn-lt"/>
            </a:rPr>
            <a:t>Return to results menu</a:t>
          </a:r>
        </a:p>
      </xdr:txBody>
    </xdr:sp>
    <xdr:clientData/>
  </xdr:twoCellAnchor>
</xdr:wsDr>
</file>

<file path=xl/drawings/drawing7.xml><?xml version="1.0" encoding="utf-8"?>
<xdr:wsDr xmlns:xdr="http://schemas.openxmlformats.org/drawingml/2006/spreadsheetDrawing" xmlns:a="http://schemas.openxmlformats.org/drawingml/2006/main">
  <xdr:twoCellAnchor editAs="absolute">
    <xdr:from>
      <xdr:col>18</xdr:col>
      <xdr:colOff>628913</xdr:colOff>
      <xdr:row>35</xdr:row>
      <xdr:rowOff>11679</xdr:rowOff>
    </xdr:from>
    <xdr:to>
      <xdr:col>27</xdr:col>
      <xdr:colOff>258762</xdr:colOff>
      <xdr:row>49</xdr:row>
      <xdr:rowOff>11906</xdr:rowOff>
    </xdr:to>
    <xdr:graphicFrame macro="">
      <xdr:nvGraphicFramePr>
        <xdr:cNvPr id="23" name="Chart 22">
          <a:extLst>
            <a:ext uri="{FF2B5EF4-FFF2-40B4-BE49-F238E27FC236}">
              <a16:creationId xmlns:a16="http://schemas.microsoft.com/office/drawing/2014/main" id="{00000000-0008-0000-0700-00001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absolute">
    <xdr:from>
      <xdr:col>28</xdr:col>
      <xdr:colOff>35719</xdr:colOff>
      <xdr:row>34</xdr:row>
      <xdr:rowOff>217646</xdr:rowOff>
    </xdr:from>
    <xdr:to>
      <xdr:col>36</xdr:col>
      <xdr:colOff>543085</xdr:colOff>
      <xdr:row>49</xdr:row>
      <xdr:rowOff>35717</xdr:rowOff>
    </xdr:to>
    <xdr:graphicFrame macro="">
      <xdr:nvGraphicFramePr>
        <xdr:cNvPr id="25" name="Chart 24">
          <a:extLst>
            <a:ext uri="{FF2B5EF4-FFF2-40B4-BE49-F238E27FC236}">
              <a16:creationId xmlns:a16="http://schemas.microsoft.com/office/drawing/2014/main" id="{00000000-0008-0000-0700-000019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absolute">
    <xdr:from>
      <xdr:col>18</xdr:col>
      <xdr:colOff>640554</xdr:colOff>
      <xdr:row>52</xdr:row>
      <xdr:rowOff>85725</xdr:rowOff>
    </xdr:from>
    <xdr:to>
      <xdr:col>36</xdr:col>
      <xdr:colOff>588167</xdr:colOff>
      <xdr:row>89</xdr:row>
      <xdr:rowOff>178594</xdr:rowOff>
    </xdr:to>
    <xdr:graphicFrame macro="">
      <xdr:nvGraphicFramePr>
        <xdr:cNvPr id="27" name="Chart 26">
          <a:extLst>
            <a:ext uri="{FF2B5EF4-FFF2-40B4-BE49-F238E27FC236}">
              <a16:creationId xmlns:a16="http://schemas.microsoft.com/office/drawing/2014/main" id="{00000000-0008-0000-0700-00001B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absolute">
    <xdr:from>
      <xdr:col>9</xdr:col>
      <xdr:colOff>6985</xdr:colOff>
      <xdr:row>52</xdr:row>
      <xdr:rowOff>83493</xdr:rowOff>
    </xdr:from>
    <xdr:to>
      <xdr:col>18</xdr:col>
      <xdr:colOff>160337</xdr:colOff>
      <xdr:row>90</xdr:row>
      <xdr:rowOff>0</xdr:rowOff>
    </xdr:to>
    <xdr:graphicFrame macro="">
      <xdr:nvGraphicFramePr>
        <xdr:cNvPr id="28" name="Chart 27">
          <a:extLst>
            <a:ext uri="{FF2B5EF4-FFF2-40B4-BE49-F238E27FC236}">
              <a16:creationId xmlns:a16="http://schemas.microsoft.com/office/drawing/2014/main" id="{00000000-0008-0000-0700-00001C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absolute">
    <xdr:from>
      <xdr:col>12</xdr:col>
      <xdr:colOff>497682</xdr:colOff>
      <xdr:row>35</xdr:row>
      <xdr:rowOff>6918</xdr:rowOff>
    </xdr:from>
    <xdr:to>
      <xdr:col>17</xdr:col>
      <xdr:colOff>615950</xdr:colOff>
      <xdr:row>49</xdr:row>
      <xdr:rowOff>7755</xdr:rowOff>
    </xdr:to>
    <xdr:graphicFrame macro="">
      <xdr:nvGraphicFramePr>
        <xdr:cNvPr id="31" name="Chart 30">
          <a:extLst>
            <a:ext uri="{FF2B5EF4-FFF2-40B4-BE49-F238E27FC236}">
              <a16:creationId xmlns:a16="http://schemas.microsoft.com/office/drawing/2014/main" id="{00000000-0008-0000-0700-00001F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4</xdr:col>
      <xdr:colOff>135466</xdr:colOff>
      <xdr:row>1</xdr:row>
      <xdr:rowOff>4</xdr:rowOff>
    </xdr:from>
    <xdr:to>
      <xdr:col>5</xdr:col>
      <xdr:colOff>923925</xdr:colOff>
      <xdr:row>3</xdr:row>
      <xdr:rowOff>209551</xdr:rowOff>
    </xdr:to>
    <xdr:sp macro="[0]!ActivateResults" textlink="">
      <xdr:nvSpPr>
        <xdr:cNvPr id="29" name="TextBox 28">
          <a:extLst>
            <a:ext uri="{FF2B5EF4-FFF2-40B4-BE49-F238E27FC236}">
              <a16:creationId xmlns:a16="http://schemas.microsoft.com/office/drawing/2014/main" id="{00000000-0008-0000-0700-00001D000000}"/>
            </a:ext>
          </a:extLst>
        </xdr:cNvPr>
        <xdr:cNvSpPr txBox="1"/>
      </xdr:nvSpPr>
      <xdr:spPr>
        <a:xfrm>
          <a:off x="7422091" y="200029"/>
          <a:ext cx="1855259" cy="733422"/>
        </a:xfrm>
        <a:prstGeom prst="roundRect">
          <a:avLst/>
        </a:prstGeom>
        <a:solidFill>
          <a:schemeClr val="accent3"/>
        </a:solidFill>
        <a:ln w="9525" cmpd="sng">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400">
              <a:solidFill>
                <a:schemeClr val="accent1"/>
              </a:solidFill>
              <a:latin typeface="Rockwell Light" panose="02040303020102020203" pitchFamily="18" charset="0"/>
            </a:rPr>
            <a:t>Return to results  menu</a:t>
          </a:r>
        </a:p>
      </xdr:txBody>
    </xdr:sp>
    <xdr:clientData/>
  </xdr:twoCellAnchor>
  <xdr:twoCellAnchor editAs="absolute">
    <xdr:from>
      <xdr:col>12</xdr:col>
      <xdr:colOff>392905</xdr:colOff>
      <xdr:row>96</xdr:row>
      <xdr:rowOff>8731</xdr:rowOff>
    </xdr:from>
    <xdr:to>
      <xdr:col>18</xdr:col>
      <xdr:colOff>130967</xdr:colOff>
      <xdr:row>111</xdr:row>
      <xdr:rowOff>162189</xdr:rowOff>
    </xdr:to>
    <xdr:graphicFrame macro="">
      <xdr:nvGraphicFramePr>
        <xdr:cNvPr id="15" name="Chart 14">
          <a:extLst>
            <a:ext uri="{FF2B5EF4-FFF2-40B4-BE49-F238E27FC236}">
              <a16:creationId xmlns:a16="http://schemas.microsoft.com/office/drawing/2014/main" id="{00000000-0008-0000-0700-00000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editAs="absolute">
    <xdr:from>
      <xdr:col>18</xdr:col>
      <xdr:colOff>655638</xdr:colOff>
      <xdr:row>96</xdr:row>
      <xdr:rowOff>47625</xdr:rowOff>
    </xdr:from>
    <xdr:to>
      <xdr:col>27</xdr:col>
      <xdr:colOff>95250</xdr:colOff>
      <xdr:row>112</xdr:row>
      <xdr:rowOff>25778</xdr:rowOff>
    </xdr:to>
    <xdr:graphicFrame macro="">
      <xdr:nvGraphicFramePr>
        <xdr:cNvPr id="16" name="Chart 15">
          <a:extLst>
            <a:ext uri="{FF2B5EF4-FFF2-40B4-BE49-F238E27FC236}">
              <a16:creationId xmlns:a16="http://schemas.microsoft.com/office/drawing/2014/main" id="{00000000-0008-0000-0700-00001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editAs="absolute">
    <xdr:from>
      <xdr:col>28</xdr:col>
      <xdr:colOff>190500</xdr:colOff>
      <xdr:row>96</xdr:row>
      <xdr:rowOff>11906</xdr:rowOff>
    </xdr:from>
    <xdr:to>
      <xdr:col>36</xdr:col>
      <xdr:colOff>485208</xdr:colOff>
      <xdr:row>112</xdr:row>
      <xdr:rowOff>38477</xdr:rowOff>
    </xdr:to>
    <xdr:graphicFrame macro="">
      <xdr:nvGraphicFramePr>
        <xdr:cNvPr id="17" name="Chart 16">
          <a:extLst>
            <a:ext uri="{FF2B5EF4-FFF2-40B4-BE49-F238E27FC236}">
              <a16:creationId xmlns:a16="http://schemas.microsoft.com/office/drawing/2014/main" id="{00000000-0008-0000-0700-00001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editAs="absolute">
    <xdr:from>
      <xdr:col>9</xdr:col>
      <xdr:colOff>6896</xdr:colOff>
      <xdr:row>114</xdr:row>
      <xdr:rowOff>59532</xdr:rowOff>
    </xdr:from>
    <xdr:to>
      <xdr:col>18</xdr:col>
      <xdr:colOff>130968</xdr:colOff>
      <xdr:row>149</xdr:row>
      <xdr:rowOff>182034</xdr:rowOff>
    </xdr:to>
    <xdr:graphicFrame macro="">
      <xdr:nvGraphicFramePr>
        <xdr:cNvPr id="19" name="Chart 18">
          <a:extLst>
            <a:ext uri="{FF2B5EF4-FFF2-40B4-BE49-F238E27FC236}">
              <a16:creationId xmlns:a16="http://schemas.microsoft.com/office/drawing/2014/main" id="{00000000-0008-0000-0700-00001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editAs="absolute">
    <xdr:from>
      <xdr:col>18</xdr:col>
      <xdr:colOff>669924</xdr:colOff>
      <xdr:row>114</xdr:row>
      <xdr:rowOff>67469</xdr:rowOff>
    </xdr:from>
    <xdr:to>
      <xdr:col>36</xdr:col>
      <xdr:colOff>545079</xdr:colOff>
      <xdr:row>149</xdr:row>
      <xdr:rowOff>180446</xdr:rowOff>
    </xdr:to>
    <xdr:graphicFrame macro="">
      <xdr:nvGraphicFramePr>
        <xdr:cNvPr id="21" name="Chart 20">
          <a:extLst>
            <a:ext uri="{FF2B5EF4-FFF2-40B4-BE49-F238E27FC236}">
              <a16:creationId xmlns:a16="http://schemas.microsoft.com/office/drawing/2014/main" id="{00000000-0008-0000-0700-00001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editAs="absolute">
    <xdr:from>
      <xdr:col>12</xdr:col>
      <xdr:colOff>844550</xdr:colOff>
      <xdr:row>156</xdr:row>
      <xdr:rowOff>87759</xdr:rowOff>
    </xdr:from>
    <xdr:to>
      <xdr:col>18</xdr:col>
      <xdr:colOff>35718</xdr:colOff>
      <xdr:row>169</xdr:row>
      <xdr:rowOff>168449</xdr:rowOff>
    </xdr:to>
    <xdr:graphicFrame macro="">
      <xdr:nvGraphicFramePr>
        <xdr:cNvPr id="24" name="Chart 23">
          <a:extLst>
            <a:ext uri="{FF2B5EF4-FFF2-40B4-BE49-F238E27FC236}">
              <a16:creationId xmlns:a16="http://schemas.microsoft.com/office/drawing/2014/main" id="{00000000-0008-0000-0700-00001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editAs="absolute">
    <xdr:from>
      <xdr:col>18</xdr:col>
      <xdr:colOff>654699</xdr:colOff>
      <xdr:row>156</xdr:row>
      <xdr:rowOff>103360</xdr:rowOff>
    </xdr:from>
    <xdr:to>
      <xdr:col>27</xdr:col>
      <xdr:colOff>238124</xdr:colOff>
      <xdr:row>170</xdr:row>
      <xdr:rowOff>10413</xdr:rowOff>
    </xdr:to>
    <xdr:graphicFrame macro="">
      <xdr:nvGraphicFramePr>
        <xdr:cNvPr id="26" name="Chart 25">
          <a:extLst>
            <a:ext uri="{FF2B5EF4-FFF2-40B4-BE49-F238E27FC236}">
              <a16:creationId xmlns:a16="http://schemas.microsoft.com/office/drawing/2014/main" id="{00000000-0008-0000-0700-00001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editAs="absolute">
    <xdr:from>
      <xdr:col>28</xdr:col>
      <xdr:colOff>163512</xdr:colOff>
      <xdr:row>156</xdr:row>
      <xdr:rowOff>102545</xdr:rowOff>
    </xdr:from>
    <xdr:to>
      <xdr:col>36</xdr:col>
      <xdr:colOff>485662</xdr:colOff>
      <xdr:row>170</xdr:row>
      <xdr:rowOff>21695</xdr:rowOff>
    </xdr:to>
    <xdr:graphicFrame macro="">
      <xdr:nvGraphicFramePr>
        <xdr:cNvPr id="30" name="Chart 29">
          <a:extLst>
            <a:ext uri="{FF2B5EF4-FFF2-40B4-BE49-F238E27FC236}">
              <a16:creationId xmlns:a16="http://schemas.microsoft.com/office/drawing/2014/main" id="{00000000-0008-0000-0700-00001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editAs="absolute">
    <xdr:from>
      <xdr:col>9</xdr:col>
      <xdr:colOff>4761</xdr:colOff>
      <xdr:row>172</xdr:row>
      <xdr:rowOff>95250</xdr:rowOff>
    </xdr:from>
    <xdr:to>
      <xdr:col>18</xdr:col>
      <xdr:colOff>86517</xdr:colOff>
      <xdr:row>206</xdr:row>
      <xdr:rowOff>103980</xdr:rowOff>
    </xdr:to>
    <xdr:graphicFrame macro="">
      <xdr:nvGraphicFramePr>
        <xdr:cNvPr id="35" name="Chart 34">
          <a:extLst>
            <a:ext uri="{FF2B5EF4-FFF2-40B4-BE49-F238E27FC236}">
              <a16:creationId xmlns:a16="http://schemas.microsoft.com/office/drawing/2014/main" id="{00000000-0008-0000-07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editAs="absolute">
    <xdr:from>
      <xdr:col>18</xdr:col>
      <xdr:colOff>539750</xdr:colOff>
      <xdr:row>172</xdr:row>
      <xdr:rowOff>149419</xdr:rowOff>
    </xdr:from>
    <xdr:to>
      <xdr:col>36</xdr:col>
      <xdr:colOff>506412</xdr:colOff>
      <xdr:row>206</xdr:row>
      <xdr:rowOff>103981</xdr:rowOff>
    </xdr:to>
    <xdr:graphicFrame macro="">
      <xdr:nvGraphicFramePr>
        <xdr:cNvPr id="36" name="Chart 35">
          <a:extLst>
            <a:ext uri="{FF2B5EF4-FFF2-40B4-BE49-F238E27FC236}">
              <a16:creationId xmlns:a16="http://schemas.microsoft.com/office/drawing/2014/main" id="{00000000-0008-0000-0700-00002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0</xdr:col>
      <xdr:colOff>49439</xdr:colOff>
      <xdr:row>0</xdr:row>
      <xdr:rowOff>117749</xdr:rowOff>
    </xdr:from>
    <xdr:to>
      <xdr:col>0</xdr:col>
      <xdr:colOff>1124857</xdr:colOff>
      <xdr:row>4</xdr:row>
      <xdr:rowOff>25853</xdr:rowOff>
    </xdr:to>
    <xdr:sp macro="[0]!ActivateResults" textlink="">
      <xdr:nvSpPr>
        <xdr:cNvPr id="4" name="TextBox 3">
          <a:extLst>
            <a:ext uri="{FF2B5EF4-FFF2-40B4-BE49-F238E27FC236}">
              <a16:creationId xmlns:a16="http://schemas.microsoft.com/office/drawing/2014/main" id="{00000000-0008-0000-0800-000004000000}"/>
            </a:ext>
          </a:extLst>
        </xdr:cNvPr>
        <xdr:cNvSpPr txBox="1"/>
      </xdr:nvSpPr>
      <xdr:spPr>
        <a:xfrm>
          <a:off x="49439" y="117749"/>
          <a:ext cx="1075418" cy="797104"/>
        </a:xfrm>
        <a:prstGeom prst="roundRect">
          <a:avLst/>
        </a:prstGeom>
        <a:solidFill>
          <a:srgbClr val="383745"/>
        </a:solidFill>
        <a:ln w="9525" cmpd="sng">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200">
              <a:solidFill>
                <a:schemeClr val="bg1"/>
              </a:solidFill>
            </a:rPr>
            <a:t>Return to results</a:t>
          </a:r>
        </a:p>
        <a:p>
          <a:pPr algn="ctr"/>
          <a:r>
            <a:rPr lang="en-GB" sz="1200">
              <a:solidFill>
                <a:schemeClr val="bg1"/>
              </a:solidFill>
            </a:rPr>
            <a:t>menu</a:t>
          </a:r>
        </a:p>
      </xdr:txBody>
    </xdr:sp>
    <xdr:clientData/>
  </xdr:twoCellAnchor>
  <xdr:twoCellAnchor>
    <xdr:from>
      <xdr:col>0</xdr:col>
      <xdr:colOff>0</xdr:colOff>
      <xdr:row>4</xdr:row>
      <xdr:rowOff>235858</xdr:rowOff>
    </xdr:from>
    <xdr:to>
      <xdr:col>0</xdr:col>
      <xdr:colOff>1115786</xdr:colOff>
      <xdr:row>8</xdr:row>
      <xdr:rowOff>7891</xdr:rowOff>
    </xdr:to>
    <xdr:sp macro="[0]!ActivateTradingSummaryHedgerows_Click" textlink="">
      <xdr:nvSpPr>
        <xdr:cNvPr id="3" name="TextBox 2">
          <a:extLst>
            <a:ext uri="{FF2B5EF4-FFF2-40B4-BE49-F238E27FC236}">
              <a16:creationId xmlns:a16="http://schemas.microsoft.com/office/drawing/2014/main" id="{00000000-0008-0000-0800-000003000000}"/>
            </a:ext>
          </a:extLst>
        </xdr:cNvPr>
        <xdr:cNvSpPr txBox="1"/>
      </xdr:nvSpPr>
      <xdr:spPr>
        <a:xfrm>
          <a:off x="0" y="1124858"/>
          <a:ext cx="1115786" cy="797104"/>
        </a:xfrm>
        <a:prstGeom prst="roundRect">
          <a:avLst/>
        </a:prstGeom>
        <a:solidFill>
          <a:schemeClr val="accent3"/>
        </a:solidFill>
        <a:ln w="9525" cmpd="sng">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200">
              <a:solidFill>
                <a:schemeClr val="accent1"/>
              </a:solidFill>
            </a:rPr>
            <a:t>Trading summary hedgerows</a:t>
          </a:r>
        </a:p>
      </xdr:txBody>
    </xdr:sp>
    <xdr:clientData/>
  </xdr:twoCellAnchor>
  <xdr:twoCellAnchor>
    <xdr:from>
      <xdr:col>0</xdr:col>
      <xdr:colOff>0</xdr:colOff>
      <xdr:row>9</xdr:row>
      <xdr:rowOff>90715</xdr:rowOff>
    </xdr:from>
    <xdr:to>
      <xdr:col>0</xdr:col>
      <xdr:colOff>1079500</xdr:colOff>
      <xdr:row>11</xdr:row>
      <xdr:rowOff>379819</xdr:rowOff>
    </xdr:to>
    <xdr:sp macro="[0]!ActivateWatercourseTradingSummary" textlink="">
      <xdr:nvSpPr>
        <xdr:cNvPr id="5" name="TextBox 4">
          <a:extLst>
            <a:ext uri="{FF2B5EF4-FFF2-40B4-BE49-F238E27FC236}">
              <a16:creationId xmlns:a16="http://schemas.microsoft.com/office/drawing/2014/main" id="{00000000-0008-0000-0800-000005000000}"/>
            </a:ext>
          </a:extLst>
        </xdr:cNvPr>
        <xdr:cNvSpPr txBox="1"/>
      </xdr:nvSpPr>
      <xdr:spPr>
        <a:xfrm>
          <a:off x="0" y="2186215"/>
          <a:ext cx="1079500" cy="797104"/>
        </a:xfrm>
        <a:prstGeom prst="roundRect">
          <a:avLst/>
        </a:prstGeom>
        <a:solidFill>
          <a:schemeClr val="accent3"/>
        </a:solidFill>
        <a:ln w="9525" cmpd="sng">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100">
              <a:solidFill>
                <a:schemeClr val="accent1"/>
              </a:solidFill>
            </a:rPr>
            <a:t>Trading summary Watercourses</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53975</xdr:colOff>
      <xdr:row>0</xdr:row>
      <xdr:rowOff>72391</xdr:rowOff>
    </xdr:from>
    <xdr:to>
      <xdr:col>0</xdr:col>
      <xdr:colOff>1100667</xdr:colOff>
      <xdr:row>4</xdr:row>
      <xdr:rowOff>21166</xdr:rowOff>
    </xdr:to>
    <xdr:sp macro="[0]!ActivateResults" textlink="">
      <xdr:nvSpPr>
        <xdr:cNvPr id="2" name="TextBox 1">
          <a:extLst>
            <a:ext uri="{FF2B5EF4-FFF2-40B4-BE49-F238E27FC236}">
              <a16:creationId xmlns:a16="http://schemas.microsoft.com/office/drawing/2014/main" id="{00000000-0008-0000-0900-000002000000}"/>
            </a:ext>
          </a:extLst>
        </xdr:cNvPr>
        <xdr:cNvSpPr txBox="1"/>
      </xdr:nvSpPr>
      <xdr:spPr>
        <a:xfrm>
          <a:off x="53975" y="72391"/>
          <a:ext cx="1046692" cy="837775"/>
        </a:xfrm>
        <a:prstGeom prst="roundRect">
          <a:avLst/>
        </a:prstGeom>
        <a:solidFill>
          <a:srgbClr val="383745"/>
        </a:solidFill>
        <a:ln w="9525" cmpd="sng">
          <a:solidFill>
            <a:srgbClr val="383745"/>
          </a:solid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200">
              <a:solidFill>
                <a:schemeClr val="bg1"/>
              </a:solidFill>
            </a:rPr>
            <a:t>Return to results</a:t>
          </a:r>
        </a:p>
        <a:p>
          <a:pPr algn="ctr"/>
          <a:r>
            <a:rPr lang="en-GB" sz="1200">
              <a:solidFill>
                <a:schemeClr val="bg1"/>
              </a:solidFill>
            </a:rPr>
            <a:t>menu</a:t>
          </a:r>
        </a:p>
      </xdr:txBody>
    </xdr:sp>
    <xdr:clientData/>
  </xdr:twoCellAnchor>
  <xdr:twoCellAnchor>
    <xdr:from>
      <xdr:col>0</xdr:col>
      <xdr:colOff>0</xdr:colOff>
      <xdr:row>4</xdr:row>
      <xdr:rowOff>201084</xdr:rowOff>
    </xdr:from>
    <xdr:to>
      <xdr:col>0</xdr:col>
      <xdr:colOff>1115786</xdr:colOff>
      <xdr:row>7</xdr:row>
      <xdr:rowOff>204438</xdr:rowOff>
    </xdr:to>
    <xdr:sp macro="[0]!ActivateAreaHabitatTradingSummary" textlink="">
      <xdr:nvSpPr>
        <xdr:cNvPr id="5" name="TextBox 4">
          <a:extLst>
            <a:ext uri="{FF2B5EF4-FFF2-40B4-BE49-F238E27FC236}">
              <a16:creationId xmlns:a16="http://schemas.microsoft.com/office/drawing/2014/main" id="{00000000-0008-0000-0900-000005000000}"/>
            </a:ext>
          </a:extLst>
        </xdr:cNvPr>
        <xdr:cNvSpPr txBox="1"/>
      </xdr:nvSpPr>
      <xdr:spPr>
        <a:xfrm>
          <a:off x="0" y="1090084"/>
          <a:ext cx="1115786" cy="797104"/>
        </a:xfrm>
        <a:prstGeom prst="roundRect">
          <a:avLst/>
        </a:prstGeom>
        <a:solidFill>
          <a:schemeClr val="accent3"/>
        </a:solidFill>
        <a:ln w="9525" cmpd="sng">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200">
              <a:solidFill>
                <a:schemeClr val="accent1"/>
              </a:solidFill>
            </a:rPr>
            <a:t>Trading summary Area Habitats</a:t>
          </a:r>
        </a:p>
      </xdr:txBody>
    </xdr:sp>
    <xdr:clientData/>
  </xdr:twoCellAnchor>
  <xdr:twoCellAnchor>
    <xdr:from>
      <xdr:col>0</xdr:col>
      <xdr:colOff>31751</xdr:colOff>
      <xdr:row>8</xdr:row>
      <xdr:rowOff>169333</xdr:rowOff>
    </xdr:from>
    <xdr:to>
      <xdr:col>0</xdr:col>
      <xdr:colOff>1111251</xdr:colOff>
      <xdr:row>11</xdr:row>
      <xdr:rowOff>373771</xdr:rowOff>
    </xdr:to>
    <xdr:sp macro="[0]!ActivateWatercourseTradingSummary" textlink="">
      <xdr:nvSpPr>
        <xdr:cNvPr id="6" name="TextBox 5">
          <a:extLst>
            <a:ext uri="{FF2B5EF4-FFF2-40B4-BE49-F238E27FC236}">
              <a16:creationId xmlns:a16="http://schemas.microsoft.com/office/drawing/2014/main" id="{00000000-0008-0000-0900-000006000000}"/>
            </a:ext>
          </a:extLst>
        </xdr:cNvPr>
        <xdr:cNvSpPr txBox="1"/>
      </xdr:nvSpPr>
      <xdr:spPr>
        <a:xfrm>
          <a:off x="31751" y="2095500"/>
          <a:ext cx="1079500" cy="797104"/>
        </a:xfrm>
        <a:prstGeom prst="roundRect">
          <a:avLst/>
        </a:prstGeom>
        <a:solidFill>
          <a:schemeClr val="accent3"/>
        </a:solidFill>
        <a:ln w="9525" cmpd="sng">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100">
              <a:solidFill>
                <a:schemeClr val="accent1"/>
              </a:solidFill>
            </a:rPr>
            <a:t>Trading summary Watercourses</a:t>
          </a:r>
        </a:p>
      </xdr:txBody>
    </xdr:sp>
    <xdr:clientData/>
  </xdr:twoCellAnchor>
</xdr:wsDr>
</file>

<file path=xl/externalLinks/_rels/externalLink1.xml.rels><?xml version="1.0" encoding="UTF-8" standalone="yes"?>
<Relationships xmlns="http://schemas.openxmlformats.org/package/2006/relationships"><Relationship Id="rId2" Type="http://schemas.microsoft.com/office/2019/04/relationships/externalLinkLongPath" Target="https://defra.sharepoint.com/personal/charlie_bird_naturalengland_org_uk/Documents/Migrated%20Data/Biodiversity%20Metric%203.0/14-02-23/Biodiversity%20Metric%204.1%20auditing%20and%20accounting%20for%20biodiversity%20calculation%20tool%20-%20off-site%20gain%20summary%20draft%20tab.xlsm?5C8A74D9" TargetMode="External"/><Relationship Id="rId1" Type="http://schemas.openxmlformats.org/officeDocument/2006/relationships/externalLinkPath" Target="file:///\\5C8A74D9\Biodiversity%20Metric%204.1%20auditing%20and%20accounting%20for%20biodiversity%20calculation%20tool%20-%20off-site%20gain%20summary%20draft%20tab.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G:\Net%20Gain\Rivers%20and%20Streams\Master%20metric%20with%20RS%20amendments%20with%20new%20G7%20layout.xlsm"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LYN264DF\m312897$\Net%20Gain\Rivers%20and%20Streams\Master%20metric%20with%20RS%20amendments%20with%20new%20G7%20layout.xlsm"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LYN264DF\m312897$\Net%20Gain\Latest%20Tool%20with%20updated%20hedgerows%2006%2011%202020.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duction"/>
      <sheetName val="Start"/>
      <sheetName val="Instructions"/>
      <sheetName val="Irreplaceable Habitats"/>
      <sheetName val="Main Menu"/>
      <sheetName val="Results"/>
      <sheetName val="Headline Results"/>
      <sheetName val="Detailed Results"/>
      <sheetName val="Trading Summary"/>
      <sheetName val="Trading Summary Hedgerows"/>
      <sheetName val="Trading Summary WaterC's"/>
      <sheetName val="Off-site gain site summary"/>
      <sheetName val="A-1 On-Site Habitat Baseline"/>
      <sheetName val="A-2 On-Site Habitat Creation"/>
      <sheetName val="A-3 On-Site Habitat Enhancement"/>
      <sheetName val="D-1 Off-Site Habitat Baseline"/>
      <sheetName val="D-2 Off-Site Habitat Creation"/>
      <sheetName val="D-3 Off-Site Habitat Enhancment"/>
      <sheetName val="B-1 On-Site Hedge Baseline"/>
      <sheetName val="B-2 On-Site Hedge Creation"/>
      <sheetName val="B-3 On-Site Hedge Enhancement"/>
      <sheetName val="E-1 Off-Site Hedge Baseline"/>
      <sheetName val="E-2 Off-Site Hedge Creation"/>
      <sheetName val="E-3 Off-Site Hedge Enhancement"/>
      <sheetName val="C-1 On-Site WaterC' Baseline"/>
      <sheetName val="C-2 On-Site WaterC' Creation"/>
      <sheetName val="C-3 On-Site WaterC' Enhancement"/>
      <sheetName val="F-1 Off-Site WaterC' Baseline"/>
      <sheetName val="F-2 Off-Site WaterC' Creation"/>
      <sheetName val="F-3 Off-Site WaterC Enhancement"/>
      <sheetName val="G-1 All Habitats"/>
      <sheetName val="G-2 Habitat groups"/>
      <sheetName val="G-3 Multipliers"/>
      <sheetName val="G-6 Hedgerow Data"/>
      <sheetName val="G-4 Temporal multipliers"/>
      <sheetName val="G-5 Enhancement Temporal"/>
      <sheetName val="G-7 WaterC' Data"/>
      <sheetName val="G-8 Condition Look up"/>
      <sheetName val="Translation Phase 1"/>
      <sheetName val="Technical Data"/>
      <sheetName val="List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duction"/>
      <sheetName val="Start"/>
      <sheetName val="Instructions"/>
      <sheetName val="Main Menu"/>
      <sheetName val="Results"/>
      <sheetName val="Headline Results"/>
      <sheetName val="Detailed Results"/>
      <sheetName val="Trading Summary"/>
      <sheetName val="A-1 Site Habitat Baseline"/>
      <sheetName val="A-2 Site Habitat Creation"/>
      <sheetName val="A-3 Site Habitat Enhancement"/>
      <sheetName val="A-4 Site Habitat Succession"/>
      <sheetName val="B-1 Site Hedge Baseline"/>
      <sheetName val="B-2 Site Hedge Creation"/>
      <sheetName val="B-3 Site Hedge Enhancement"/>
      <sheetName val="C-1 Site River Baseline"/>
      <sheetName val="C-2 Site River Creation"/>
      <sheetName val="C-3 Site River Enhancement"/>
      <sheetName val="D-1 Off Site Habitat Baseline"/>
      <sheetName val="D-2 Off Site Habitat Creation"/>
      <sheetName val="D-3 Off Site Habitat Enhancment"/>
      <sheetName val="D-4 Off Site Habitat Succession"/>
      <sheetName val="E-1 Off Site Hedge Baseline"/>
      <sheetName val="E-2 Off Site Hedge Creation"/>
      <sheetName val="E-3 Off Site Hedge Enhancement"/>
      <sheetName val="F-1 Off Site River Baseline"/>
      <sheetName val="F-2 Off Site River Creation"/>
      <sheetName val="F-3 Off Site River Enhancement"/>
      <sheetName val="G-1 All Habitats"/>
      <sheetName val="G-2 Habitat groups"/>
      <sheetName val="G-3 Multipliers"/>
      <sheetName val="G-4 Temporal multipliers"/>
      <sheetName val="G-5 Enhancement Temporal"/>
      <sheetName val="G-6 Hedgerow Data"/>
      <sheetName val="G-7 Rivers Data"/>
      <sheetName val="G-8 Condition Look up"/>
      <sheetName val="G-9 Translation Phase 1"/>
      <sheetName val="Technical Data"/>
      <sheetName val="Lists"/>
      <sheetName val="Master metric with RS amendment"/>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row r="9">
          <cell r="C9" t="str">
            <v>Baseline ref</v>
          </cell>
        </row>
      </sheetData>
      <sheetData sheetId="26"/>
      <sheetData sheetId="27"/>
      <sheetData sheetId="28"/>
      <sheetData sheetId="29"/>
      <sheetData sheetId="30"/>
      <sheetData sheetId="31"/>
      <sheetData sheetId="32"/>
      <sheetData sheetId="33"/>
      <sheetData sheetId="34" refreshError="1">
        <row r="2">
          <cell r="C2" t="str">
            <v>Distinctivness</v>
          </cell>
        </row>
        <row r="4">
          <cell r="AA4" t="str">
            <v xml:space="preserve">No Encroachment </v>
          </cell>
          <cell r="AB4">
            <v>1</v>
          </cell>
        </row>
        <row r="5">
          <cell r="AA5" t="str">
            <v>Minor</v>
          </cell>
          <cell r="AB5">
            <v>0.8</v>
          </cell>
        </row>
        <row r="6">
          <cell r="AA6" t="str">
            <v>Major</v>
          </cell>
          <cell r="AB6">
            <v>0.5</v>
          </cell>
        </row>
      </sheetData>
      <sheetData sheetId="35"/>
      <sheetData sheetId="36"/>
      <sheetData sheetId="37"/>
      <sheetData sheetId="38"/>
      <sheetData sheetId="39"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7 Rivers Data"/>
      <sheetName val="Introduction"/>
      <sheetName val="Start"/>
      <sheetName val="Instructions"/>
      <sheetName val="Main Menu"/>
      <sheetName val="Results"/>
      <sheetName val="Headline Results"/>
      <sheetName val="Detailed Results"/>
      <sheetName val="Trading Summary"/>
      <sheetName val="A-1 Site Habitat Baseline"/>
      <sheetName val="A-2 Site Habitat Creation"/>
      <sheetName val="A-3 Site Habitat Enhancement"/>
      <sheetName val="A-4 Site Habitat Succession"/>
      <sheetName val="B-1 Site Hedge Baseline"/>
      <sheetName val="B-2 Site Hedge Creation"/>
      <sheetName val="B-3 Site Hedge Enhancement"/>
      <sheetName val="C-1 Site River Baseline"/>
      <sheetName val="C-2 Site River Creation"/>
      <sheetName val="C-3 Site River Enhancement"/>
      <sheetName val="D-1 Off Site Habitat Baseline"/>
      <sheetName val="D-2 Off Site Habitat Creation"/>
      <sheetName val="D-3 Off Site Habitat Enhancment"/>
      <sheetName val="D-4 Off Site Habitat Succession"/>
      <sheetName val="E-1 Off Site Hedge Baseline"/>
      <sheetName val="E-2 Off Site Hedge Creation"/>
      <sheetName val="E-3 Off Site Hedge Enhancement"/>
      <sheetName val="F-1 Off Site River Baseline"/>
      <sheetName val="F-2 Off Site River Creation"/>
      <sheetName val="F-3 Off Site River Enhancement"/>
      <sheetName val="G-1 All Habitats"/>
      <sheetName val="G-2 Habitat groups"/>
      <sheetName val="G-3 Multipliers"/>
      <sheetName val="G-4 Temporal multipliers"/>
      <sheetName val="G-5 Enhancement Temporal"/>
      <sheetName val="G-6 Hedgerow Data"/>
      <sheetName val="G-8 Condition Look up"/>
      <sheetName val="G-9 Translation Phase 1"/>
      <sheetName val="Technical Data"/>
      <sheetName val="Lists"/>
      <sheetName val="Master metric with RS amendment"/>
    </sheetNames>
    <sheetDataSet>
      <sheetData sheetId="0" refreshError="1"/>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row r="9">
          <cell r="C9" t="str">
            <v>Baseline ref</v>
          </cell>
        </row>
      </sheetData>
      <sheetData sheetId="27"/>
      <sheetData sheetId="28"/>
      <sheetData sheetId="29"/>
      <sheetData sheetId="30"/>
      <sheetData sheetId="31"/>
      <sheetData sheetId="32"/>
      <sheetData sheetId="33"/>
      <sheetData sheetId="34"/>
      <sheetData sheetId="35"/>
      <sheetData sheetId="36"/>
      <sheetData sheetId="37"/>
      <sheetData sheetId="38"/>
      <sheetData sheetId="39"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duction"/>
      <sheetName val="Start"/>
      <sheetName val="Instructions"/>
      <sheetName val="Main Menu"/>
      <sheetName val="Results"/>
      <sheetName val="Headline Results"/>
      <sheetName val="Detailed Results"/>
      <sheetName val="Trading Summary"/>
      <sheetName val="C-1 Site River Baseline"/>
      <sheetName val="C-2 Site River Creation"/>
      <sheetName val="C-3 Site River Enhancement"/>
      <sheetName val="F-1 Off Site River Baseline"/>
      <sheetName val="F-2 Off Site River Creation"/>
      <sheetName val="F-3 Off Site River Enhancement"/>
      <sheetName val="G-7 Rivers Data"/>
      <sheetName val="A-1 Site Habitat Baseline"/>
      <sheetName val="A-2 Site Habitat Creation"/>
      <sheetName val="A-3 Site Habitat Enhancement"/>
      <sheetName val="A-4 Site Habitat Succession"/>
      <sheetName val="D-1 Off Site Habitat Baseline"/>
      <sheetName val="D-2 Off Site Habitat Creation"/>
      <sheetName val="D-3 Off Site Habitat Enhancment"/>
      <sheetName val="D-4 Off Site Habitat Succession"/>
      <sheetName val="B-1 Site Hedge Baseline"/>
      <sheetName val="B-2 Site Hedge Creation"/>
      <sheetName val="B-3 Site Hedge Enhancement"/>
      <sheetName val="E-1 Off Site Hedge Baseline"/>
      <sheetName val="E-2 Off Site Hedge Creation"/>
      <sheetName val="E-3 Off Site Hedge Enhancement"/>
      <sheetName val="G-6 Hedgerow Data"/>
      <sheetName val="G-1 All Habitats"/>
      <sheetName val="G-2 Habitat groups"/>
      <sheetName val="G-3 Multipliers"/>
      <sheetName val="G-4 Temporal multipliers"/>
      <sheetName val="G-5 Enhancement Temporal"/>
      <sheetName val="G-8 Condition Look up"/>
      <sheetName val="G-9 Translation Phase 1"/>
      <sheetName val="Technical Data"/>
      <sheetName val="Lists"/>
    </sheetNames>
    <sheetDataSet>
      <sheetData sheetId="0" refreshError="1"/>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sheetData sheetId="24" refreshError="1"/>
      <sheetData sheetId="25" refreshError="1"/>
      <sheetData sheetId="26"/>
      <sheetData sheetId="27" refreshError="1"/>
      <sheetData sheetId="28" refreshError="1"/>
      <sheetData sheetId="29">
        <row r="3">
          <cell r="B3" t="str">
            <v>Native Species Rich Hedgerow with trees - Associated with bank or ditch</v>
          </cell>
        </row>
      </sheetData>
      <sheetData sheetId="30"/>
      <sheetData sheetId="31" refreshError="1"/>
      <sheetData sheetId="32"/>
      <sheetData sheetId="33"/>
      <sheetData sheetId="34" refreshError="1"/>
      <sheetData sheetId="35" refreshError="1"/>
      <sheetData sheetId="36" refreshError="1"/>
      <sheetData sheetId="37" refreshError="1"/>
      <sheetData sheetId="38" refreshError="1"/>
    </sheetDataSet>
  </externalBook>
</externalLink>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13</v>
    <v>3</v>
  </rv>
</rvData>
</file>

<file path=xl/richData/rdrichvaluestructure.xml><?xml version="1.0" encoding="utf-8"?>
<rvStructures xmlns="http://schemas.microsoft.com/office/spreadsheetml/2017/richdata" count="1">
  <s t="_error">
    <k n="errorType" t="i"/>
    <k n="subType" t="i"/>
  </s>
</rvStructures>
</file>

<file path=xl/theme/theme1.xml><?xml version="1.0" encoding="utf-8"?>
<a:theme xmlns:a="http://schemas.openxmlformats.org/drawingml/2006/main" name="Office Theme">
  <a:themeElements>
    <a:clrScheme name="Metric Theme Elegant">
      <a:dk1>
        <a:srgbClr val="ABC3C9"/>
      </a:dk1>
      <a:lt1>
        <a:sysClr val="window" lastClr="FFFFFF"/>
      </a:lt1>
      <a:dk2>
        <a:srgbClr val="CCBE9F"/>
      </a:dk2>
      <a:lt2>
        <a:srgbClr val="E0DCD3"/>
      </a:lt2>
      <a:accent1>
        <a:srgbClr val="383745"/>
      </a:accent1>
      <a:accent2>
        <a:srgbClr val="CAB8CB"/>
      </a:accent2>
      <a:accent3>
        <a:srgbClr val="F4D4D4"/>
      </a:accent3>
      <a:accent4>
        <a:srgbClr val="C0C0C0"/>
      </a:accent4>
      <a:accent5>
        <a:srgbClr val="92D050"/>
      </a:accent5>
      <a:accent6>
        <a:srgbClr val="945642"/>
      </a:accent6>
      <a:hlink>
        <a:srgbClr val="00B0F0"/>
      </a:hlink>
      <a:folHlink>
        <a:srgbClr val="FFC000"/>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Metric Theme Elegant">
    <a:dk1>
      <a:srgbClr val="ABC3C9"/>
    </a:dk1>
    <a:lt1>
      <a:sysClr val="window" lastClr="FFFFFF"/>
    </a:lt1>
    <a:dk2>
      <a:srgbClr val="CCBE9F"/>
    </a:dk2>
    <a:lt2>
      <a:srgbClr val="E0DCD3"/>
    </a:lt2>
    <a:accent1>
      <a:srgbClr val="383745"/>
    </a:accent1>
    <a:accent2>
      <a:srgbClr val="CAB8CB"/>
    </a:accent2>
    <a:accent3>
      <a:srgbClr val="F4D4D4"/>
    </a:accent3>
    <a:accent4>
      <a:srgbClr val="C0C0C0"/>
    </a:accent4>
    <a:accent5>
      <a:srgbClr val="92D050"/>
    </a:accent5>
    <a:accent6>
      <a:srgbClr val="945642"/>
    </a:accent6>
    <a:hlink>
      <a:srgbClr val="00B0F0"/>
    </a:hlink>
    <a:folHlink>
      <a:srgbClr val="FFC000"/>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2.xml><?xml version="1.0" encoding="utf-8"?>
<a:themeOverride xmlns:a="http://schemas.openxmlformats.org/drawingml/2006/main">
  <a:clrScheme name="Metric Theme Elegant">
    <a:dk1>
      <a:srgbClr val="ABC3C9"/>
    </a:dk1>
    <a:lt1>
      <a:sysClr val="window" lastClr="FFFFFF"/>
    </a:lt1>
    <a:dk2>
      <a:srgbClr val="CCBE9F"/>
    </a:dk2>
    <a:lt2>
      <a:srgbClr val="E0DCD3"/>
    </a:lt2>
    <a:accent1>
      <a:srgbClr val="383745"/>
    </a:accent1>
    <a:accent2>
      <a:srgbClr val="CAB8CB"/>
    </a:accent2>
    <a:accent3>
      <a:srgbClr val="F4D4D4"/>
    </a:accent3>
    <a:accent4>
      <a:srgbClr val="C0C0C0"/>
    </a:accent4>
    <a:accent5>
      <a:srgbClr val="92D050"/>
    </a:accent5>
    <a:accent6>
      <a:srgbClr val="945642"/>
    </a:accent6>
    <a:hlink>
      <a:srgbClr val="00B0F0"/>
    </a:hlink>
    <a:folHlink>
      <a:srgbClr val="FFC000"/>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3.xml"/><Relationship Id="rId1" Type="http://schemas.openxmlformats.org/officeDocument/2006/relationships/printerSettings" Target="../printerSettings/printerSettings3.bin"/><Relationship Id="rId5" Type="http://schemas.openxmlformats.org/officeDocument/2006/relationships/image" Target="../media/image3.emf"/><Relationship Id="rId4" Type="http://schemas.openxmlformats.org/officeDocument/2006/relationships/oleObject" Target="../embeddings/oleObject1.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35.xml"/><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2" Type="http://schemas.openxmlformats.org/officeDocument/2006/relationships/drawing" Target="../drawings/drawing36.xml"/><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2" Type="http://schemas.openxmlformats.org/officeDocument/2006/relationships/drawing" Target="../drawings/drawing37.xml"/><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2" Type="http://schemas.openxmlformats.org/officeDocument/2006/relationships/drawing" Target="../drawings/drawing38.xml"/><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45">
    <tabColor theme="0" tint="-0.249977111117893"/>
  </sheetPr>
  <dimension ref="A1:J591"/>
  <sheetViews>
    <sheetView showGridLines="0" showRowColHeaders="0" zoomScale="80" zoomScaleNormal="80" workbookViewId="0">
      <selection activeCell="P8" sqref="P8"/>
    </sheetView>
  </sheetViews>
  <sheetFormatPr defaultColWidth="9.28515625" defaultRowHeight="14.65" customHeight="1" zeroHeight="1"/>
  <cols>
    <col min="1" max="2" width="9.28515625" style="9" customWidth="1"/>
    <col min="3" max="3" width="7" style="9" customWidth="1"/>
    <col min="4" max="6" width="9.28515625" style="9" customWidth="1"/>
    <col min="7" max="7" width="12.28515625" style="9" customWidth="1"/>
    <col min="8" max="8" width="5.7109375" style="9" customWidth="1"/>
    <col min="9" max="9" width="9.28515625" style="9" customWidth="1"/>
    <col min="10" max="10" width="34.5703125" style="9" customWidth="1"/>
    <col min="11" max="11" width="13.7109375" style="9" bestFit="1" customWidth="1"/>
    <col min="12" max="12" width="19.28515625" style="9" customWidth="1"/>
    <col min="13" max="14" width="9.28515625" style="9" customWidth="1"/>
    <col min="15" max="16384" width="9.28515625" style="9"/>
  </cols>
  <sheetData>
    <row r="1" spans="1:7" ht="30" customHeight="1">
      <c r="A1" s="8"/>
      <c r="B1" s="8"/>
      <c r="C1" s="8"/>
      <c r="D1" s="8"/>
      <c r="E1" s="8"/>
      <c r="F1" s="8"/>
      <c r="G1" s="8"/>
    </row>
    <row r="2" spans="1:7" ht="16.5" customHeight="1"/>
    <row r="3" spans="1:7" ht="16.5" customHeight="1"/>
    <row r="4" spans="1:7" ht="16.5" customHeight="1"/>
    <row r="5" spans="1:7" ht="16.5" customHeight="1"/>
    <row r="6" spans="1:7" ht="16.5" customHeight="1"/>
    <row r="7" spans="1:7" ht="16.5" customHeight="1"/>
    <row r="8" spans="1:7" ht="16.5" customHeight="1"/>
    <row r="9" spans="1:7" ht="16.5" customHeight="1"/>
    <row r="10" spans="1:7" ht="16.5" customHeight="1"/>
    <row r="11" spans="1:7" ht="16.5" customHeight="1"/>
    <row r="12" spans="1:7" ht="16.5" customHeight="1"/>
    <row r="13" spans="1:7" ht="16.5" customHeight="1"/>
    <row r="14" spans="1:7" ht="16.5" customHeight="1"/>
    <row r="15" spans="1:7" ht="16.5" customHeight="1"/>
    <row r="16" spans="1:7" ht="16.5" customHeight="1"/>
    <row r="17" spans="10:10" ht="16.5" customHeight="1"/>
    <row r="18" spans="10:10" ht="16.5" customHeight="1"/>
    <row r="19" spans="10:10" ht="16.5" customHeight="1"/>
    <row r="20" spans="10:10" ht="16.5" customHeight="1"/>
    <row r="21" spans="10:10" ht="16.5" customHeight="1"/>
    <row r="22" spans="10:10" ht="16.5" customHeight="1"/>
    <row r="23" spans="10:10" ht="16.5" customHeight="1"/>
    <row r="24" spans="10:10" ht="16.5" customHeight="1"/>
    <row r="25" spans="10:10" ht="16.5" customHeight="1">
      <c r="J25" s="10"/>
    </row>
    <row r="26" spans="10:10" ht="16.5" customHeight="1"/>
    <row r="27" spans="10:10" ht="16.5" customHeight="1"/>
    <row r="28" spans="10:10" ht="16.5" customHeight="1"/>
    <row r="29" spans="10:10" ht="16.5" customHeight="1"/>
    <row r="30" spans="10:10" ht="16.5" customHeight="1"/>
    <row r="31" spans="10:10" ht="16.5" customHeight="1"/>
    <row r="32" spans="10:10" ht="16.5" customHeight="1"/>
    <row r="33" ht="16.5" customHeight="1"/>
    <row r="34" ht="16.5" customHeight="1"/>
    <row r="35" ht="16.5" customHeight="1"/>
    <row r="36" ht="16.5" customHeight="1"/>
    <row r="37" ht="16.5" customHeight="1"/>
    <row r="38" ht="16.5" customHeight="1"/>
    <row r="39" ht="16.5" customHeight="1"/>
    <row r="40" ht="16.5" customHeight="1"/>
    <row r="41" ht="16.5" customHeight="1"/>
    <row r="42" ht="16.5" customHeight="1"/>
    <row r="43" ht="16.5" customHeight="1"/>
    <row r="44" ht="16.5" customHeight="1"/>
    <row r="45" ht="16.5" customHeight="1"/>
    <row r="46" ht="16.5" customHeight="1"/>
    <row r="47" ht="16.5" customHeight="1"/>
    <row r="48" ht="16.5" customHeight="1"/>
    <row r="49" ht="16.5" customHeight="1"/>
    <row r="50" ht="16.5" customHeight="1"/>
    <row r="51" ht="16.5" customHeight="1"/>
    <row r="52" ht="16.5" customHeight="1"/>
    <row r="53" ht="16.5" customHeight="1"/>
    <row r="54" ht="16.5" customHeight="1"/>
    <row r="55" ht="16.5" customHeight="1"/>
    <row r="56" ht="16.5" customHeight="1"/>
    <row r="57" ht="16.5" customHeight="1"/>
    <row r="58" ht="16.5" customHeight="1"/>
    <row r="59" ht="16.5" customHeight="1"/>
    <row r="60" ht="16.5" customHeight="1"/>
    <row r="61" ht="16.5" customHeight="1"/>
    <row r="62" ht="16.5" customHeight="1"/>
    <row r="63" ht="16.5" customHeight="1"/>
    <row r="64" ht="16.5" customHeight="1"/>
    <row r="65" ht="16.5" customHeight="1"/>
    <row r="66" ht="16.5" customHeight="1"/>
    <row r="67" ht="16.5" customHeight="1"/>
    <row r="68" ht="16.5" customHeight="1"/>
    <row r="69" ht="16.5" customHeight="1"/>
    <row r="70" ht="16.5" customHeight="1"/>
    <row r="71" ht="16.5" customHeight="1"/>
    <row r="72" ht="16.5" customHeight="1"/>
    <row r="73" ht="16.5" customHeight="1"/>
    <row r="74" ht="16.5" customHeight="1"/>
    <row r="75" ht="16.5" customHeight="1"/>
    <row r="76" ht="16.5" customHeight="1"/>
    <row r="77" ht="16.5" customHeight="1"/>
    <row r="78" ht="16.5" customHeight="1"/>
    <row r="79" ht="16.5" customHeight="1"/>
    <row r="80" ht="16.5" customHeight="1"/>
    <row r="81" ht="16.5" customHeight="1"/>
    <row r="82" ht="16.5" customHeight="1"/>
    <row r="83" ht="16.5" customHeight="1"/>
    <row r="84" ht="16.5" customHeight="1"/>
    <row r="85" ht="16.5" customHeight="1"/>
    <row r="86" ht="16.5" customHeight="1"/>
    <row r="87" ht="16.5" customHeight="1"/>
    <row r="88" ht="16.5" customHeight="1"/>
    <row r="89" ht="16.5" customHeight="1"/>
    <row r="90" ht="16.5" customHeight="1"/>
    <row r="91" ht="16.5" customHeight="1"/>
    <row r="92" ht="16.5" customHeight="1"/>
    <row r="93" ht="16.5" customHeight="1"/>
    <row r="94" ht="16.5" customHeight="1"/>
    <row r="95" ht="16.5" customHeight="1"/>
    <row r="96" ht="16.5" customHeight="1"/>
    <row r="97" ht="16.5" customHeight="1"/>
    <row r="98" ht="16.5" customHeight="1"/>
    <row r="99" ht="16.5" customHeight="1"/>
    <row r="100" ht="16.5" customHeight="1"/>
    <row r="101" ht="16.5" customHeight="1"/>
    <row r="102" ht="16.5" customHeight="1"/>
    <row r="103" ht="16.5" customHeight="1"/>
    <row r="104" ht="16.5" customHeight="1"/>
    <row r="105" ht="16.5" customHeight="1"/>
    <row r="106" ht="16.5" customHeight="1"/>
    <row r="107" ht="16.5" customHeight="1"/>
    <row r="108" ht="16.5" customHeight="1"/>
    <row r="109" ht="16.5" customHeight="1"/>
    <row r="110" ht="16.5" customHeight="1"/>
    <row r="111" ht="16.5" customHeight="1"/>
    <row r="112" ht="16.5" customHeight="1"/>
    <row r="113" ht="16.5" customHeight="1"/>
    <row r="114" ht="16.5" customHeight="1"/>
    <row r="115" ht="16.5" customHeight="1"/>
    <row r="116" ht="16.5" customHeight="1"/>
    <row r="117" ht="16.5" customHeight="1"/>
    <row r="118" ht="16.5" customHeight="1"/>
    <row r="119" ht="16.5" customHeight="1"/>
    <row r="120" ht="16.5" customHeight="1"/>
    <row r="121" ht="16.5" customHeight="1"/>
    <row r="122" ht="16.5" customHeight="1"/>
    <row r="123" ht="16.5" customHeight="1"/>
    <row r="124" ht="16.5" customHeight="1"/>
    <row r="125" ht="16.5" customHeight="1"/>
    <row r="126" ht="16.5" customHeight="1"/>
    <row r="127" ht="16.5" customHeight="1"/>
    <row r="128" ht="16.5" customHeight="1"/>
    <row r="129" ht="16.5" customHeight="1"/>
    <row r="130" ht="16.5" customHeight="1"/>
    <row r="131" ht="16.5" customHeight="1"/>
    <row r="132" ht="16.5" customHeight="1"/>
    <row r="133" ht="16.5" customHeight="1"/>
    <row r="134" ht="16.5" customHeight="1"/>
    <row r="135" ht="16.5" customHeight="1"/>
    <row r="136" ht="16.5" customHeight="1"/>
    <row r="137" ht="16.5" customHeight="1"/>
    <row r="138" ht="16.5" customHeight="1"/>
    <row r="139" ht="16.5" customHeight="1"/>
    <row r="140" ht="16.5" customHeight="1"/>
    <row r="141" ht="16.5" customHeight="1"/>
    <row r="142" ht="16.5" customHeight="1"/>
    <row r="143" ht="16.5" customHeight="1"/>
    <row r="144" ht="16.5" customHeight="1"/>
    <row r="145" ht="16.5" customHeight="1"/>
    <row r="146" ht="16.5" customHeight="1"/>
    <row r="147" ht="16.5" customHeight="1"/>
    <row r="148" ht="16.5" customHeight="1"/>
    <row r="149" ht="16.5" customHeight="1"/>
    <row r="150" ht="16.5" customHeight="1"/>
    <row r="151" ht="16.5" customHeight="1"/>
    <row r="152" ht="16.5" customHeight="1"/>
    <row r="153" ht="16.5" customHeight="1"/>
    <row r="154" ht="16.5" customHeight="1"/>
    <row r="155" ht="16.5" customHeight="1"/>
    <row r="156" ht="16.5" customHeight="1"/>
    <row r="157" ht="16.5" customHeight="1"/>
    <row r="158" ht="16.5" customHeight="1"/>
    <row r="159" ht="16.5" customHeight="1"/>
    <row r="160" ht="16.5" customHeight="1"/>
    <row r="161" ht="16.5" customHeight="1"/>
    <row r="162" ht="16.5" customHeight="1"/>
    <row r="163" ht="16.5" customHeight="1"/>
    <row r="164" ht="16.5" customHeight="1"/>
    <row r="165" ht="16.5" customHeight="1"/>
    <row r="166" ht="16.5" customHeight="1"/>
    <row r="167" ht="16.5" customHeight="1"/>
    <row r="168" ht="16.5" customHeight="1"/>
    <row r="169" ht="16.5" customHeight="1"/>
    <row r="170" ht="16.5" customHeight="1"/>
    <row r="171" ht="16.5" customHeight="1"/>
    <row r="172" ht="16.5" customHeight="1"/>
    <row r="173" ht="16.5" customHeight="1"/>
    <row r="174" ht="16.5" customHeight="1"/>
    <row r="175" ht="16.5" customHeight="1"/>
    <row r="176" ht="16.5" customHeight="1"/>
    <row r="177" ht="16.5" customHeight="1"/>
    <row r="178" ht="16.5" customHeight="1"/>
    <row r="179" ht="16.5" customHeight="1"/>
    <row r="180" ht="16.5" customHeight="1"/>
    <row r="181" ht="16.5" customHeight="1"/>
    <row r="182" ht="16.5" customHeight="1"/>
    <row r="183" ht="16.5" customHeight="1"/>
    <row r="184" ht="16.5" customHeight="1"/>
    <row r="185" ht="16.5" customHeight="1"/>
    <row r="186" ht="16.5" customHeight="1"/>
    <row r="187" ht="16.5" customHeight="1"/>
    <row r="188" ht="16.5" customHeight="1"/>
    <row r="189" ht="16.5" customHeight="1"/>
    <row r="190" ht="16.5" customHeight="1"/>
    <row r="191" ht="16.5" customHeight="1"/>
    <row r="192" ht="16.5" customHeight="1"/>
    <row r="193" ht="16.5" customHeight="1"/>
    <row r="194" ht="16.5" customHeight="1"/>
    <row r="195" ht="16.5" customHeight="1"/>
    <row r="196" ht="16.5" customHeight="1"/>
    <row r="197" ht="16.5" customHeight="1"/>
    <row r="198" ht="16.5" customHeight="1"/>
    <row r="199" ht="16.5" customHeight="1"/>
    <row r="200" ht="16.5" customHeight="1"/>
    <row r="201" ht="16.5" customHeight="1"/>
    <row r="202" ht="16.5" customHeight="1"/>
    <row r="203" ht="16.5" customHeight="1"/>
    <row r="204" ht="16.5" customHeight="1"/>
    <row r="205" ht="16.5" customHeight="1"/>
    <row r="206" ht="16.5" customHeight="1"/>
    <row r="207" ht="16.5" customHeight="1"/>
    <row r="208" ht="16.5" customHeight="1"/>
    <row r="209" ht="16.5" customHeight="1"/>
    <row r="210" ht="16.5" customHeight="1"/>
    <row r="211" ht="16.5" customHeight="1"/>
    <row r="212" ht="16.5" customHeight="1"/>
    <row r="213" ht="16.5" customHeight="1"/>
    <row r="214" ht="16.5" customHeight="1"/>
    <row r="215" ht="16.5" customHeight="1"/>
    <row r="216" ht="16.5" customHeight="1"/>
    <row r="217" ht="16.5" customHeight="1"/>
    <row r="218" ht="16.5" customHeight="1"/>
    <row r="219" ht="16.5" customHeight="1"/>
    <row r="220" ht="16.5" customHeight="1"/>
    <row r="221" ht="16.5" customHeight="1"/>
    <row r="222" ht="16.5" customHeight="1"/>
    <row r="223" ht="16.5" customHeight="1"/>
    <row r="224" ht="16.5" customHeight="1"/>
    <row r="225" ht="16.5" customHeight="1"/>
    <row r="226" ht="16.5" customHeight="1"/>
    <row r="227" ht="16.5" customHeight="1"/>
    <row r="228" ht="16.5" customHeight="1"/>
    <row r="229" ht="16.5" customHeight="1"/>
    <row r="230" ht="16.5" customHeight="1"/>
    <row r="231" ht="16.5" customHeight="1"/>
    <row r="232" ht="16.5" customHeight="1"/>
    <row r="233" ht="16.5" customHeight="1"/>
    <row r="234" ht="16.5" customHeight="1"/>
    <row r="235" ht="16.5" customHeight="1"/>
    <row r="236" ht="16.5" customHeight="1"/>
    <row r="237" ht="16.5" customHeight="1"/>
    <row r="238" ht="16.5" customHeight="1"/>
    <row r="239" ht="16.5" customHeight="1"/>
    <row r="240" ht="16.5" customHeight="1"/>
    <row r="241" ht="16.5" customHeight="1"/>
    <row r="242" ht="16.5" customHeight="1"/>
    <row r="243" ht="16.5" customHeight="1"/>
    <row r="244" ht="16.5" customHeight="1"/>
    <row r="245" ht="16.5" customHeight="1"/>
    <row r="246" ht="16.5" customHeight="1"/>
    <row r="247" ht="16.5" customHeight="1"/>
    <row r="248" ht="16.5" customHeight="1"/>
    <row r="249" ht="16.5" customHeight="1"/>
    <row r="250" ht="16.5" customHeight="1"/>
    <row r="251" ht="16.5" customHeight="1"/>
    <row r="252" ht="16.5" customHeight="1"/>
    <row r="253" ht="16.5" customHeight="1"/>
    <row r="254" ht="16.5" customHeight="1"/>
    <row r="255" ht="16.5" customHeight="1"/>
    <row r="256" ht="16.5" customHeight="1"/>
    <row r="257" ht="16.5" customHeight="1"/>
    <row r="258" ht="16.5" customHeight="1"/>
    <row r="259" ht="16.5" customHeight="1"/>
    <row r="260" ht="16.5" customHeight="1"/>
    <row r="261" ht="16.5" customHeight="1"/>
    <row r="262" ht="16.5" customHeight="1"/>
    <row r="263" ht="16.5" customHeight="1"/>
    <row r="264" ht="16.5" customHeight="1"/>
    <row r="265" ht="16.5" customHeight="1"/>
    <row r="266" ht="16.5" customHeight="1"/>
    <row r="267" ht="16.5" customHeight="1"/>
    <row r="268" ht="16.5" customHeight="1"/>
    <row r="269" ht="16.5" customHeight="1"/>
    <row r="270" ht="16.5" customHeight="1"/>
    <row r="271" ht="16.5" customHeight="1"/>
    <row r="272" ht="16.5" customHeight="1"/>
    <row r="273" ht="16.5" customHeight="1"/>
    <row r="274" ht="16.5" customHeight="1"/>
    <row r="275" ht="16.5" customHeight="1"/>
    <row r="276" ht="16.5" customHeight="1"/>
    <row r="277" ht="16.5" customHeight="1"/>
    <row r="278" ht="16.5" customHeight="1"/>
    <row r="279" ht="16.5" customHeight="1"/>
    <row r="280" ht="16.5" customHeight="1"/>
    <row r="281" ht="16.5" customHeight="1"/>
    <row r="282" ht="16.5" customHeight="1"/>
    <row r="283" ht="16.5" customHeight="1"/>
    <row r="284" ht="16.5" customHeight="1"/>
    <row r="285" ht="16.5" customHeight="1"/>
    <row r="286" ht="16.5" customHeight="1"/>
    <row r="287" ht="16.5" customHeight="1"/>
    <row r="288" ht="16.5" customHeight="1"/>
    <row r="289" ht="16.5" customHeight="1"/>
    <row r="290" ht="16.5" customHeight="1"/>
    <row r="291" ht="16.5" customHeight="1"/>
    <row r="292" ht="16.5" customHeight="1"/>
    <row r="293" ht="16.5" customHeight="1"/>
    <row r="294" ht="16.5" customHeight="1"/>
    <row r="295" ht="16.5" customHeight="1"/>
    <row r="296" ht="16.5" customHeight="1"/>
    <row r="297" ht="16.5" customHeight="1"/>
    <row r="298" ht="16.5" customHeight="1"/>
    <row r="299" ht="16.5" customHeight="1"/>
    <row r="300" ht="16.5" customHeight="1"/>
    <row r="301" ht="16.5" customHeight="1"/>
    <row r="302" ht="16.5" customHeight="1"/>
    <row r="303" ht="16.5" customHeight="1"/>
    <row r="304" ht="16.5" customHeight="1"/>
    <row r="305" ht="16.5" customHeight="1"/>
    <row r="306" ht="16.5" customHeight="1"/>
    <row r="307" ht="16.5" customHeight="1"/>
    <row r="308" ht="16.5" customHeight="1"/>
    <row r="309" ht="16.5" customHeight="1"/>
    <row r="310" ht="16.5" customHeight="1"/>
    <row r="311" ht="16.5" customHeight="1"/>
    <row r="312" ht="16.5" customHeight="1"/>
    <row r="313" ht="16.5" customHeight="1"/>
    <row r="314" ht="16.5" customHeight="1"/>
    <row r="315" ht="16.5" customHeight="1"/>
    <row r="316" ht="16.5" customHeight="1"/>
    <row r="317" ht="16.5" customHeight="1"/>
    <row r="318" ht="16.5" customHeight="1"/>
    <row r="319" ht="16.5" customHeight="1"/>
    <row r="320" ht="16.5" customHeight="1"/>
    <row r="321" ht="16.5" customHeight="1"/>
    <row r="322" ht="16.5" customHeight="1"/>
    <row r="323" ht="16.5" customHeight="1"/>
    <row r="324" ht="16.5" customHeight="1"/>
    <row r="325" ht="16.5" customHeight="1"/>
    <row r="326" ht="16.5" customHeight="1"/>
    <row r="327" ht="16.5" customHeight="1"/>
    <row r="328" ht="16.5" customHeight="1"/>
    <row r="329" ht="16.5" customHeight="1"/>
    <row r="330" ht="16.5" customHeight="1"/>
    <row r="331" ht="16.5" customHeight="1"/>
    <row r="332" ht="16.5" customHeight="1"/>
    <row r="333" ht="16.5" customHeight="1"/>
    <row r="334" ht="16.5" customHeight="1"/>
    <row r="335" ht="16.5" customHeight="1"/>
    <row r="336" ht="16.5" customHeight="1"/>
    <row r="337" ht="16.5" customHeight="1"/>
    <row r="338" ht="16.5" customHeight="1"/>
    <row r="339" ht="16.5" customHeight="1"/>
    <row r="340" ht="16.5" customHeight="1"/>
    <row r="341" ht="16.5" customHeight="1"/>
    <row r="342" ht="16.5" customHeight="1"/>
    <row r="343" ht="16.5" customHeight="1"/>
    <row r="344" ht="16.5" customHeight="1"/>
    <row r="345" ht="16.5" customHeight="1"/>
    <row r="346" ht="16.5" customHeight="1"/>
    <row r="347" ht="16.5" customHeight="1"/>
    <row r="348" ht="16.5" customHeight="1"/>
    <row r="349" ht="16.5" customHeight="1"/>
    <row r="350" ht="16.5" customHeight="1"/>
    <row r="351" ht="16.5" customHeight="1"/>
    <row r="352" ht="16.5" customHeight="1"/>
    <row r="353" ht="16.5" customHeight="1"/>
    <row r="354" ht="16.5" customHeight="1"/>
    <row r="355" ht="16.5" customHeight="1"/>
    <row r="356" ht="16.5" customHeight="1"/>
    <row r="357" ht="16.5" customHeight="1"/>
    <row r="358" ht="16.5" customHeight="1"/>
    <row r="359" ht="16.5" customHeight="1"/>
    <row r="360" ht="16.5" customHeight="1"/>
    <row r="361" ht="16.5" customHeight="1"/>
    <row r="362" ht="16.5" customHeight="1"/>
    <row r="363" ht="16.5" customHeight="1"/>
    <row r="364" ht="16.5" customHeight="1"/>
    <row r="365" ht="16.5" customHeight="1"/>
    <row r="366" ht="16.5" customHeight="1"/>
    <row r="367" ht="16.5" customHeight="1"/>
    <row r="368" ht="16.5" customHeight="1"/>
    <row r="369" ht="16.5" customHeight="1"/>
    <row r="370" ht="16.5" customHeight="1"/>
    <row r="371" ht="16.5" customHeight="1"/>
    <row r="372" ht="16.5" customHeight="1"/>
    <row r="373" ht="16.5" customHeight="1"/>
    <row r="374" ht="16.5" customHeight="1"/>
    <row r="375" ht="16.5" customHeight="1"/>
    <row r="376" ht="16.5" customHeight="1"/>
    <row r="377" ht="16.5" customHeight="1"/>
    <row r="378" ht="16.5" customHeight="1"/>
    <row r="379" ht="16.5" customHeight="1"/>
    <row r="380" ht="16.5" customHeight="1"/>
    <row r="381" ht="16.5" customHeight="1"/>
    <row r="382" ht="16.5" customHeight="1"/>
    <row r="383" ht="16.5" customHeight="1"/>
    <row r="384" ht="16.5" customHeight="1"/>
    <row r="385" ht="16.5" customHeight="1"/>
    <row r="386" ht="16.5" customHeight="1"/>
    <row r="387" ht="16.5" customHeight="1"/>
    <row r="388" ht="16.5" customHeight="1"/>
    <row r="389" ht="16.5" customHeight="1"/>
    <row r="390" ht="16.5" customHeight="1"/>
    <row r="391" ht="16.5" customHeight="1"/>
    <row r="392" ht="16.5" customHeight="1"/>
    <row r="393" ht="16.5" customHeight="1"/>
    <row r="394" ht="16.5" customHeight="1"/>
    <row r="395" ht="16.5" customHeight="1"/>
    <row r="396" ht="16.5" customHeight="1"/>
    <row r="397" ht="16.5" customHeight="1"/>
    <row r="398" ht="16.5" customHeight="1"/>
    <row r="399" ht="16.5" customHeight="1"/>
    <row r="400" ht="16.5" customHeight="1"/>
    <row r="401" ht="16.5" customHeight="1"/>
    <row r="402" ht="16.5" customHeight="1"/>
    <row r="403" ht="16.5" customHeight="1"/>
    <row r="404" ht="16.5" customHeight="1"/>
    <row r="405" ht="16.5" customHeight="1"/>
    <row r="406" ht="16.5" customHeight="1"/>
    <row r="407" ht="16.5" customHeight="1"/>
    <row r="408" ht="16.5" customHeight="1"/>
    <row r="409" ht="16.5" customHeight="1"/>
    <row r="410" ht="16.5" customHeight="1"/>
    <row r="411" ht="16.5" customHeight="1"/>
    <row r="412" ht="16.5" customHeight="1"/>
    <row r="413" ht="16.5" customHeight="1"/>
    <row r="414" ht="16.5" customHeight="1"/>
    <row r="415" ht="16.5" customHeight="1"/>
    <row r="416" ht="16.5" customHeight="1"/>
    <row r="417" ht="16.5" customHeight="1"/>
    <row r="418" ht="16.5" customHeight="1"/>
    <row r="419" ht="16.5" customHeight="1"/>
    <row r="420" ht="16.5" customHeight="1"/>
    <row r="421" ht="16.5" customHeight="1"/>
    <row r="422" ht="16.5" customHeight="1"/>
    <row r="423" ht="16.5" customHeight="1"/>
    <row r="424" ht="16.5" customHeight="1"/>
    <row r="425" ht="16.5" customHeight="1"/>
    <row r="426" ht="16.5" customHeight="1"/>
    <row r="427" ht="16.5" customHeight="1"/>
    <row r="428" ht="16.5" customHeight="1"/>
    <row r="429" ht="16.5" customHeight="1"/>
    <row r="430" ht="16.5" customHeight="1"/>
    <row r="431" ht="16.5" customHeight="1"/>
    <row r="432" ht="16.5" customHeight="1"/>
    <row r="433" ht="16.5" customHeight="1"/>
    <row r="434" ht="16.5" customHeight="1"/>
    <row r="435" ht="16.5" customHeight="1"/>
    <row r="436" ht="16.5" customHeight="1"/>
    <row r="437" ht="16.5" customHeight="1"/>
    <row r="438" ht="16.5" customHeight="1"/>
    <row r="439" ht="16.5" customHeight="1"/>
    <row r="440" ht="16.5" customHeight="1"/>
    <row r="441" ht="16.5" customHeight="1"/>
    <row r="442" ht="16.5" customHeight="1"/>
    <row r="443" ht="16.5" customHeight="1"/>
    <row r="444" ht="16.5" customHeight="1"/>
    <row r="445" ht="16.5" customHeight="1"/>
    <row r="446" ht="16.5" customHeight="1"/>
    <row r="447" ht="16.5" customHeight="1"/>
    <row r="448" ht="16.5" customHeight="1"/>
    <row r="449" ht="16.5" customHeight="1"/>
    <row r="450" ht="16.5" customHeight="1"/>
    <row r="451" ht="16.5" customHeight="1"/>
    <row r="452" ht="16.5" customHeight="1"/>
    <row r="453" ht="16.5" customHeight="1"/>
    <row r="454" ht="16.5" customHeight="1"/>
    <row r="455" ht="16.5" customHeight="1"/>
    <row r="456" ht="16.5" customHeight="1"/>
    <row r="457" ht="16.5" customHeight="1"/>
    <row r="458" ht="16.5" customHeight="1"/>
    <row r="459" ht="16.5" customHeight="1"/>
    <row r="460" ht="16.5" customHeight="1"/>
    <row r="461" ht="16.5" customHeight="1"/>
    <row r="462" ht="16.5" customHeight="1"/>
    <row r="463" ht="16.5" customHeight="1"/>
    <row r="464" ht="16.5" customHeight="1"/>
    <row r="465" ht="16.5" customHeight="1"/>
    <row r="466" ht="16.5" customHeight="1"/>
    <row r="467" ht="16.5" customHeight="1"/>
    <row r="468" ht="16.5" customHeight="1"/>
    <row r="469" ht="16.5" customHeight="1"/>
    <row r="470" ht="16.5" customHeight="1"/>
    <row r="471" ht="16.5" customHeight="1"/>
    <row r="472" ht="16.5" customHeight="1"/>
    <row r="473" ht="16.5" customHeight="1"/>
    <row r="474" ht="16.5" customHeight="1"/>
    <row r="475" ht="16.5" customHeight="1"/>
    <row r="476" ht="16.5" customHeight="1"/>
    <row r="477" ht="16.5" customHeight="1"/>
    <row r="478" ht="16.5" customHeight="1"/>
    <row r="479" ht="16.5" customHeight="1"/>
    <row r="480" ht="16.5" customHeight="1"/>
    <row r="481" ht="16.5" customHeight="1"/>
    <row r="482" ht="16.5" customHeight="1"/>
    <row r="483" ht="16.5" customHeight="1"/>
    <row r="484" ht="16.5" customHeight="1"/>
    <row r="485" ht="16.5" customHeight="1"/>
    <row r="486" ht="16.5" customHeight="1"/>
    <row r="487" ht="16.5" customHeight="1"/>
    <row r="488" ht="16.5" customHeight="1"/>
    <row r="489" ht="16.5" customHeight="1"/>
    <row r="490" ht="16.5" customHeight="1"/>
    <row r="491" ht="16.5" customHeight="1"/>
    <row r="492" ht="16.5" customHeight="1"/>
    <row r="493" ht="16.5" customHeight="1"/>
    <row r="494" ht="16.5" customHeight="1"/>
    <row r="495" ht="16.5" customHeight="1"/>
    <row r="496" ht="16.5" customHeight="1"/>
    <row r="497" ht="16.5" customHeight="1"/>
    <row r="498" ht="16.5" customHeight="1"/>
    <row r="499" ht="16.5" customHeight="1"/>
    <row r="500" ht="16.5" customHeight="1"/>
    <row r="501" ht="16.5" customHeight="1"/>
    <row r="502" ht="16.5" customHeight="1"/>
    <row r="503" ht="16.5" customHeight="1"/>
    <row r="504" ht="16.5" customHeight="1"/>
    <row r="505" ht="16.5" customHeight="1"/>
    <row r="506" ht="16.5" customHeight="1"/>
    <row r="507" ht="16.5" customHeight="1"/>
    <row r="508" ht="16.5" customHeight="1"/>
    <row r="509" ht="16.5" customHeight="1"/>
    <row r="510" ht="16.5" customHeight="1"/>
    <row r="511" ht="16.5" customHeight="1"/>
    <row r="512" ht="16.5" customHeight="1"/>
    <row r="513" ht="16.5" customHeight="1"/>
    <row r="514" ht="16.5" customHeight="1"/>
    <row r="515" ht="16.5" customHeight="1"/>
    <row r="516" ht="16.5" customHeight="1"/>
    <row r="517" ht="16.5" customHeight="1"/>
    <row r="518" ht="16.5" customHeight="1"/>
    <row r="519" ht="16.5" customHeight="1"/>
    <row r="520" ht="16.5" customHeight="1"/>
    <row r="521" ht="16.5" customHeight="1"/>
    <row r="522" ht="16.5" customHeight="1"/>
    <row r="523" ht="16.5" customHeight="1"/>
    <row r="524" ht="16.5" customHeight="1"/>
    <row r="525" ht="16.5" customHeight="1"/>
    <row r="526" ht="16.5" customHeight="1"/>
    <row r="527" ht="16.5" customHeight="1"/>
    <row r="528" ht="16.5" customHeight="1"/>
    <row r="529" ht="16.5" customHeight="1"/>
    <row r="530" ht="16.5" customHeight="1"/>
    <row r="531" ht="16.5" customHeight="1"/>
    <row r="532" ht="16.5" customHeight="1"/>
    <row r="533" ht="16.5" customHeight="1"/>
    <row r="534" ht="16.5" customHeight="1"/>
    <row r="535" ht="16.5" customHeight="1"/>
    <row r="536" ht="16.5" customHeight="1"/>
    <row r="537" ht="16.5" customHeight="1"/>
    <row r="538" ht="16.5" customHeight="1"/>
    <row r="539" ht="16.5" customHeight="1"/>
    <row r="540" ht="16.5" customHeight="1"/>
    <row r="541" ht="16.5" customHeight="1"/>
    <row r="542" ht="16.5" customHeight="1"/>
    <row r="543" ht="16.5" customHeight="1"/>
    <row r="544" ht="16.5" customHeight="1"/>
    <row r="545" ht="16.5" customHeight="1"/>
    <row r="546" ht="16.5" customHeight="1"/>
    <row r="547" ht="16.5" customHeight="1"/>
    <row r="548" ht="16.5" customHeight="1"/>
    <row r="549" ht="16.5" customHeight="1"/>
    <row r="550" ht="16.5" customHeight="1"/>
    <row r="551" ht="16.5" customHeight="1"/>
    <row r="552" ht="16.5" customHeight="1"/>
    <row r="553" ht="16.5" customHeight="1"/>
    <row r="554" ht="16.5" customHeight="1"/>
    <row r="555" ht="16.5" customHeight="1"/>
    <row r="556" ht="15"/>
    <row r="557" ht="15"/>
    <row r="558" ht="15"/>
    <row r="559" ht="15"/>
    <row r="560" ht="15"/>
    <row r="561" ht="15"/>
    <row r="562" ht="15"/>
    <row r="563" ht="15"/>
    <row r="564" ht="15"/>
    <row r="565" ht="15"/>
    <row r="566" ht="15"/>
    <row r="567" ht="15"/>
    <row r="568" ht="15"/>
    <row r="569" ht="15"/>
    <row r="570" ht="15"/>
    <row r="571" ht="15"/>
    <row r="572" ht="15"/>
    <row r="573" ht="15"/>
    <row r="574" ht="15"/>
    <row r="575" ht="15"/>
    <row r="576" ht="15"/>
    <row r="577" ht="15"/>
    <row r="578" ht="15"/>
    <row r="579" ht="15"/>
    <row r="580" ht="15"/>
    <row r="581" ht="15"/>
    <row r="583" ht="14.65" customHeight="1"/>
    <row r="584" ht="14.65" customHeight="1"/>
    <row r="585" ht="14.65" customHeight="1"/>
    <row r="586" ht="14.65" customHeight="1"/>
    <row r="587" ht="14.65" customHeight="1"/>
    <row r="588" ht="14.65" customHeight="1"/>
    <row r="589" ht="14.65" customHeight="1"/>
    <row r="590" ht="14.65" customHeight="1"/>
    <row r="591" ht="14.65" customHeight="1"/>
  </sheetData>
  <sheetProtection algorithmName="SHA-512" hashValue="Vpi7Rv7RQx4tXDQb4SCYPAY7hN0SXw/mpGou42FDTR7hvWg2peovHOOEAfTtAofNwLHoPTw2beGxLg6+H9WKbA==" saltValue="q8cXX6xPYXn+3XTyVtBpuw==" spinCount="100000" sheet="1" objects="1" scenarios="1"/>
  <customSheetViews>
    <customSheetView guid="{8BDA793C-C9C5-4FC6-A0A5-F1109F6D4F22}" scale="80" state="hidden">
      <selection activeCell="D14" sqref="D14"/>
    </customSheetView>
  </customSheetViews>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102CFD-3DBF-461A-BAA5-6511AF78DE4C}">
  <sheetPr codeName="Sheet21">
    <tabColor rgb="FFF4D4D4"/>
  </sheetPr>
  <dimension ref="A1:V308"/>
  <sheetViews>
    <sheetView showGridLines="0" showRowColHeaders="0" zoomScale="80" zoomScaleNormal="80" workbookViewId="0">
      <selection activeCell="B1" sqref="B1"/>
    </sheetView>
  </sheetViews>
  <sheetFormatPr defaultColWidth="0" defaultRowHeight="0" customHeight="1" zeroHeight="1"/>
  <cols>
    <col min="1" max="1" width="17" style="30" customWidth="1"/>
    <col min="2" max="2" width="104.7109375" style="30" bestFit="1" customWidth="1"/>
    <col min="3" max="3" width="24.42578125" style="30" bestFit="1" customWidth="1"/>
    <col min="4" max="4" width="12.7109375" style="30" customWidth="1"/>
    <col min="5" max="5" width="12.42578125" style="30" customWidth="1"/>
    <col min="6" max="6" width="18.28515625" style="30" customWidth="1"/>
    <col min="7" max="7" width="31" style="30" customWidth="1"/>
    <col min="8" max="8" width="27.7109375" style="30" customWidth="1"/>
    <col min="9" max="9" width="49.42578125" style="30" customWidth="1"/>
    <col min="10" max="10" width="10.7109375" style="30" customWidth="1"/>
    <col min="11" max="11" width="2" style="30" customWidth="1"/>
    <col min="12" max="12" width="2.5703125" style="30" customWidth="1"/>
    <col min="13" max="13" width="4.28515625" style="30" customWidth="1"/>
    <col min="14" max="16" width="9.28515625" style="30" customWidth="1"/>
    <col min="17" max="17" width="10.5703125" style="30" customWidth="1"/>
    <col min="18" max="20" width="9.28515625" style="30" customWidth="1"/>
    <col min="21" max="22" width="0" style="30" hidden="1" customWidth="1"/>
    <col min="23" max="16384" width="9.28515625" style="30" hidden="1"/>
  </cols>
  <sheetData>
    <row r="1" spans="1:17" ht="15.75" thickBot="1">
      <c r="A1" s="333"/>
      <c r="B1" s="32"/>
      <c r="C1" s="32"/>
      <c r="D1" s="32"/>
      <c r="E1" s="32"/>
      <c r="G1" s="32"/>
      <c r="H1" s="32"/>
      <c r="I1" s="32"/>
      <c r="J1" s="32"/>
      <c r="K1" s="32"/>
      <c r="L1" s="32"/>
      <c r="M1" s="32"/>
      <c r="N1" s="32"/>
      <c r="O1" s="32"/>
      <c r="P1" s="32"/>
      <c r="Q1" s="32"/>
    </row>
    <row r="2" spans="1:17" ht="26.25" thickBot="1">
      <c r="A2" s="32"/>
      <c r="B2" s="1328" t="s">
        <v>207</v>
      </c>
      <c r="C2" s="1329"/>
      <c r="D2" s="1329"/>
      <c r="E2" s="1329"/>
      <c r="F2" s="1329"/>
      <c r="G2" s="1329"/>
      <c r="H2" s="1330"/>
      <c r="I2" s="32"/>
      <c r="J2" s="32"/>
      <c r="K2" s="32"/>
      <c r="L2" s="32"/>
      <c r="M2" s="32"/>
      <c r="N2" s="32"/>
      <c r="O2" s="32"/>
      <c r="P2" s="32"/>
      <c r="Q2" s="32"/>
    </row>
    <row r="3" spans="1:17" ht="15" customHeight="1">
      <c r="A3" s="32"/>
      <c r="B3" s="1315" t="s">
        <v>208</v>
      </c>
      <c r="C3" s="1317" t="s">
        <v>209</v>
      </c>
      <c r="D3" s="1317"/>
      <c r="E3" s="1317"/>
      <c r="F3" s="1317"/>
      <c r="G3" s="1317" t="s">
        <v>210</v>
      </c>
      <c r="H3" s="1313"/>
      <c r="I3" s="219"/>
      <c r="J3" s="219"/>
      <c r="K3" s="219"/>
      <c r="L3" s="32"/>
      <c r="M3" s="32"/>
      <c r="N3" s="32"/>
      <c r="O3" s="32"/>
      <c r="P3" s="32"/>
      <c r="Q3" s="32"/>
    </row>
    <row r="4" spans="1:17" ht="14.25" customHeight="1">
      <c r="A4" s="32"/>
      <c r="B4" s="1316"/>
      <c r="C4" s="1318"/>
      <c r="D4" s="1318"/>
      <c r="E4" s="1318"/>
      <c r="F4" s="1318"/>
      <c r="G4" s="1318"/>
      <c r="H4" s="1314"/>
      <c r="I4" s="219"/>
      <c r="J4" s="219"/>
      <c r="K4" s="219"/>
      <c r="L4" s="32"/>
      <c r="M4" s="32"/>
      <c r="N4" s="32"/>
      <c r="O4" s="32"/>
      <c r="P4" s="32"/>
      <c r="Q4" s="32"/>
    </row>
    <row r="5" spans="1:17" ht="20.25">
      <c r="A5" s="32"/>
      <c r="B5" s="99" t="s">
        <v>211</v>
      </c>
      <c r="C5" s="1337" t="s">
        <v>240</v>
      </c>
      <c r="D5" s="1337"/>
      <c r="E5" s="1337"/>
      <c r="F5" s="1337"/>
      <c r="G5" s="1333" t="str">
        <f>IFERROR(IF(H14&lt;0,"No ▲","Yes ✓"),"")</f>
        <v>Yes ✓</v>
      </c>
      <c r="H5" s="1334"/>
      <c r="I5" s="219"/>
      <c r="J5" s="219"/>
      <c r="K5" s="219"/>
      <c r="L5" s="32"/>
      <c r="M5" s="32"/>
      <c r="N5" s="32"/>
      <c r="O5" s="32"/>
      <c r="P5" s="32"/>
      <c r="Q5" s="32"/>
    </row>
    <row r="6" spans="1:17" ht="20.25">
      <c r="A6" s="32"/>
      <c r="B6" s="99" t="s">
        <v>213</v>
      </c>
      <c r="C6" s="1342" t="s">
        <v>241</v>
      </c>
      <c r="D6" s="1342"/>
      <c r="E6" s="1342"/>
      <c r="F6" s="1342"/>
      <c r="G6" s="1333" t="str">
        <f>IF(H22+H13&lt;0, "No ▲","Yes ✓")</f>
        <v>Yes ✓</v>
      </c>
      <c r="H6" s="1334"/>
      <c r="I6" s="219"/>
      <c r="J6" s="219"/>
      <c r="K6" s="219"/>
      <c r="L6" s="32"/>
      <c r="M6" s="32"/>
      <c r="N6" s="32"/>
      <c r="O6" s="32"/>
      <c r="P6" s="32"/>
      <c r="Q6" s="32"/>
    </row>
    <row r="7" spans="1:17" ht="22.5" customHeight="1">
      <c r="A7" s="32"/>
      <c r="B7" s="99" t="s">
        <v>70</v>
      </c>
      <c r="C7" s="1338" t="s">
        <v>242</v>
      </c>
      <c r="D7" s="1338"/>
      <c r="E7" s="1338"/>
      <c r="F7" s="1338"/>
      <c r="G7" s="1333" t="str">
        <f>IF(H33&lt;0, "No ▲","Yes ✓")</f>
        <v>Yes ✓</v>
      </c>
      <c r="H7" s="1334"/>
      <c r="I7" s="32"/>
      <c r="J7" s="32"/>
      <c r="K7" s="32"/>
      <c r="L7" s="32"/>
      <c r="M7" s="32"/>
      <c r="N7" s="32"/>
      <c r="O7" s="32"/>
      <c r="P7" s="32"/>
      <c r="Q7" s="32"/>
    </row>
    <row r="8" spans="1:17" ht="19.5" customHeight="1" thickBot="1">
      <c r="A8" s="32"/>
      <c r="B8" s="74" t="s">
        <v>243</v>
      </c>
      <c r="C8" s="1341" t="s">
        <v>242</v>
      </c>
      <c r="D8" s="1341"/>
      <c r="E8" s="1341"/>
      <c r="F8" s="1341"/>
      <c r="G8" s="1335" t="str">
        <f>IF(H44&lt;0,"No ▲","Yes ✓")</f>
        <v>Yes ✓</v>
      </c>
      <c r="H8" s="1336"/>
      <c r="I8" s="32"/>
      <c r="J8" s="32"/>
      <c r="K8" s="32"/>
      <c r="L8" s="32"/>
      <c r="M8" s="32"/>
      <c r="N8" s="32"/>
      <c r="O8" s="32"/>
      <c r="P8" s="32"/>
      <c r="Q8" s="32"/>
    </row>
    <row r="9" spans="1:17" ht="18.75" customHeight="1">
      <c r="A9" s="32"/>
      <c r="H9" s="32"/>
      <c r="I9" s="32"/>
      <c r="J9" s="32"/>
      <c r="K9" s="32"/>
      <c r="L9" s="32"/>
      <c r="M9" s="32"/>
      <c r="N9" s="32"/>
      <c r="O9" s="32"/>
      <c r="P9" s="32"/>
      <c r="Q9" s="32"/>
    </row>
    <row r="10" spans="1:17" ht="15">
      <c r="A10" s="32"/>
      <c r="B10" s="32"/>
      <c r="C10" s="32"/>
      <c r="D10" s="32"/>
      <c r="E10" s="32"/>
      <c r="F10" s="32"/>
      <c r="G10" s="32"/>
      <c r="H10" s="32"/>
      <c r="I10" s="32"/>
      <c r="J10" s="32"/>
      <c r="K10" s="32"/>
      <c r="L10" s="32"/>
      <c r="M10" s="32"/>
      <c r="N10" s="32"/>
      <c r="O10" s="32"/>
      <c r="P10" s="32"/>
      <c r="Q10" s="32"/>
    </row>
    <row r="11" spans="1:17" ht="15.75" thickBot="1">
      <c r="A11" s="32"/>
      <c r="B11" s="32"/>
      <c r="C11" s="32"/>
      <c r="D11" s="32"/>
      <c r="E11" s="32"/>
      <c r="F11" s="32"/>
      <c r="G11" s="32"/>
      <c r="H11" s="32"/>
      <c r="I11" s="32"/>
      <c r="J11" s="32"/>
      <c r="K11" s="32"/>
      <c r="L11" s="32"/>
      <c r="M11" s="32"/>
      <c r="N11" s="32"/>
      <c r="O11" s="32"/>
      <c r="P11" s="32"/>
      <c r="Q11" s="32"/>
    </row>
    <row r="12" spans="1:17" s="33" customFormat="1" ht="52.5" customHeight="1" thickBot="1">
      <c r="A12" s="32"/>
      <c r="B12" s="1325" t="s">
        <v>218</v>
      </c>
      <c r="C12" s="1326"/>
      <c r="D12" s="1326"/>
      <c r="E12" s="1327"/>
      <c r="F12" s="606"/>
      <c r="G12" s="1304" t="s">
        <v>219</v>
      </c>
      <c r="H12" s="1305"/>
      <c r="K12" s="32"/>
      <c r="L12" s="32"/>
      <c r="M12" s="32"/>
    </row>
    <row r="13" spans="1:17" ht="47.25">
      <c r="A13" s="32"/>
      <c r="B13" s="70" t="s">
        <v>114</v>
      </c>
      <c r="C13" s="71" t="s">
        <v>221</v>
      </c>
      <c r="D13" s="71" t="s">
        <v>147</v>
      </c>
      <c r="E13" s="72" t="s">
        <v>222</v>
      </c>
      <c r="G13" s="73" t="s">
        <v>224</v>
      </c>
      <c r="H13" s="350">
        <f>SUMIF($E$14:$E$14,"&gt;0")</f>
        <v>0</v>
      </c>
      <c r="I13" s="896"/>
      <c r="K13" s="32"/>
      <c r="L13" s="32"/>
      <c r="M13" s="32"/>
      <c r="N13" s="32"/>
      <c r="O13" s="32"/>
    </row>
    <row r="14" spans="1:17" ht="30.75" thickBot="1">
      <c r="A14" s="32"/>
      <c r="B14" s="273" t="str">
        <f>'G-2 Habitat groups'!A150</f>
        <v>Species-rich native hedgerow with trees - associated with bank or ditch</v>
      </c>
      <c r="C14" s="355">
        <f>'G-2 Habitat groups'!R150</f>
        <v>0</v>
      </c>
      <c r="D14" s="355">
        <f>'G-2 Habitat groups'!AD150</f>
        <v>0</v>
      </c>
      <c r="E14" s="599">
        <f>'G-2 Habitat groups'!AF150</f>
        <v>0</v>
      </c>
      <c r="G14" s="74" t="s">
        <v>229</v>
      </c>
      <c r="H14" s="351">
        <f>SUMIF(E14, "&lt;0", E14)</f>
        <v>0</v>
      </c>
      <c r="K14" s="32"/>
      <c r="L14" s="32"/>
      <c r="M14" s="32"/>
      <c r="N14" s="32"/>
      <c r="O14" s="32"/>
    </row>
    <row r="15" spans="1:17" ht="15.75" thickBot="1">
      <c r="A15" s="32"/>
      <c r="C15" s="609">
        <f>SUM(C14:C14)</f>
        <v>0</v>
      </c>
      <c r="D15" s="610">
        <f>SUM(D14:D14)</f>
        <v>0</v>
      </c>
      <c r="E15" s="344">
        <f>SUM(E14:E14)</f>
        <v>0</v>
      </c>
      <c r="G15" s="563"/>
      <c r="H15" s="32"/>
      <c r="I15" s="32"/>
      <c r="J15" s="32"/>
      <c r="K15" s="32"/>
      <c r="L15" s="32"/>
      <c r="M15" s="32"/>
      <c r="N15" s="32"/>
      <c r="O15" s="32"/>
      <c r="P15" s="32"/>
      <c r="Q15" s="32"/>
    </row>
    <row r="16" spans="1:17" ht="15">
      <c r="A16" s="32"/>
      <c r="B16" s="32"/>
      <c r="C16" s="32"/>
      <c r="D16" s="32"/>
      <c r="E16" s="32"/>
      <c r="F16" s="32"/>
      <c r="G16" s="32"/>
      <c r="H16" s="32"/>
      <c r="I16" s="32"/>
      <c r="J16" s="32"/>
      <c r="K16" s="32"/>
      <c r="L16" s="32"/>
      <c r="M16" s="32"/>
      <c r="N16" s="32"/>
      <c r="O16" s="32"/>
      <c r="P16" s="32"/>
      <c r="Q16" s="32"/>
    </row>
    <row r="17" spans="1:17" ht="15">
      <c r="A17" s="32"/>
      <c r="B17" s="32"/>
      <c r="C17" s="32"/>
      <c r="D17" s="32"/>
      <c r="E17" s="32"/>
      <c r="F17" s="32"/>
      <c r="G17" s="32"/>
      <c r="H17" s="32"/>
      <c r="I17" s="32"/>
      <c r="J17" s="32"/>
      <c r="K17" s="32"/>
      <c r="L17" s="32"/>
      <c r="M17" s="32"/>
      <c r="N17" s="32"/>
      <c r="O17" s="32"/>
      <c r="P17" s="32"/>
      <c r="Q17" s="32"/>
    </row>
    <row r="18" spans="1:17" ht="15">
      <c r="A18" s="32"/>
      <c r="B18" s="32"/>
      <c r="C18" s="32"/>
      <c r="D18" s="32"/>
      <c r="E18" s="32"/>
      <c r="F18" s="32"/>
      <c r="G18" s="32"/>
      <c r="H18" s="32"/>
      <c r="I18" s="32"/>
      <c r="J18" s="32"/>
      <c r="K18" s="32"/>
      <c r="L18" s="32"/>
      <c r="M18" s="32"/>
      <c r="N18" s="32"/>
      <c r="O18" s="32"/>
      <c r="P18" s="32"/>
      <c r="Q18" s="32"/>
    </row>
    <row r="19" spans="1:17" ht="15.75" thickBot="1">
      <c r="A19" s="32"/>
      <c r="B19" s="32"/>
      <c r="C19" s="32"/>
      <c r="D19" s="32"/>
      <c r="E19" s="32"/>
      <c r="F19" s="32"/>
      <c r="G19" s="32"/>
      <c r="H19" s="32"/>
      <c r="I19" s="32"/>
      <c r="J19" s="32"/>
      <c r="K19" s="32"/>
      <c r="L19" s="32"/>
      <c r="M19" s="32"/>
      <c r="N19" s="32"/>
      <c r="O19" s="32"/>
      <c r="P19" s="32"/>
      <c r="Q19" s="32"/>
    </row>
    <row r="20" spans="1:17" ht="68.099999999999994" customHeight="1" thickBot="1">
      <c r="A20" s="32"/>
      <c r="B20" s="1343" t="s">
        <v>225</v>
      </c>
      <c r="C20" s="1344"/>
      <c r="D20" s="1344"/>
      <c r="E20" s="1345"/>
      <c r="F20" s="603"/>
      <c r="G20" s="1331" t="s">
        <v>226</v>
      </c>
      <c r="H20" s="1332"/>
      <c r="K20" s="32"/>
      <c r="L20" s="32"/>
      <c r="M20" s="32"/>
      <c r="N20" s="32"/>
      <c r="O20" s="32"/>
    </row>
    <row r="21" spans="1:17" ht="47.25">
      <c r="A21" s="32"/>
      <c r="B21" s="70" t="s">
        <v>114</v>
      </c>
      <c r="C21" s="71" t="s">
        <v>120</v>
      </c>
      <c r="D21" s="71" t="s">
        <v>147</v>
      </c>
      <c r="E21" s="72" t="s">
        <v>233</v>
      </c>
      <c r="G21" s="73" t="s">
        <v>228</v>
      </c>
      <c r="H21" s="350">
        <f>SUMIF(E22:E24,"&gt;0")</f>
        <v>0</v>
      </c>
      <c r="K21" s="32"/>
      <c r="L21" s="32"/>
    </row>
    <row r="22" spans="1:17" ht="30">
      <c r="A22" s="32"/>
      <c r="B22" s="271" t="str">
        <f>'G-2 Habitat groups'!A151</f>
        <v>Species-rich native hedgerow with trees</v>
      </c>
      <c r="C22" s="346">
        <f>'G-2 Habitat groups'!R151</f>
        <v>0</v>
      </c>
      <c r="D22" s="346">
        <f>'G-2 Habitat groups'!AD151</f>
        <v>0</v>
      </c>
      <c r="E22" s="347">
        <f>'G-2 Habitat groups'!AF151</f>
        <v>0</v>
      </c>
      <c r="G22" s="99" t="s">
        <v>1681</v>
      </c>
      <c r="H22" s="353">
        <f>SUMIF(E22:E24, "&lt;0")</f>
        <v>0</v>
      </c>
      <c r="I22" s="897"/>
      <c r="K22" s="32"/>
      <c r="L22" s="32"/>
    </row>
    <row r="23" spans="1:17" ht="45.75" thickBot="1">
      <c r="A23" s="32"/>
      <c r="B23" s="271" t="str">
        <f>'G-2 Habitat groups'!A152</f>
        <v>Species-rich native hedgerow - associated with bank or ditch</v>
      </c>
      <c r="C23" s="346">
        <f>'G-2 Habitat groups'!R152</f>
        <v>0</v>
      </c>
      <c r="D23" s="346">
        <f>'G-2 Habitat groups'!AD152</f>
        <v>0</v>
      </c>
      <c r="E23" s="347">
        <f>'G-2 Habitat groups'!AF152</f>
        <v>0</v>
      </c>
      <c r="G23" s="74" t="s">
        <v>1682</v>
      </c>
      <c r="H23" s="351">
        <f>H13+H22</f>
        <v>0</v>
      </c>
    </row>
    <row r="24" spans="1:17" ht="15" customHeight="1" thickBot="1">
      <c r="A24" s="32"/>
      <c r="B24" s="273" t="str">
        <f>'G-2 Habitat groups'!A153</f>
        <v>Native hedgerow with trees - associated with bank or ditch</v>
      </c>
      <c r="C24" s="355">
        <f>'G-2 Habitat groups'!R153</f>
        <v>0</v>
      </c>
      <c r="D24" s="355">
        <f>'G-2 Habitat groups'!AD153</f>
        <v>0</v>
      </c>
      <c r="E24" s="599">
        <f>'G-2 Habitat groups'!AF153</f>
        <v>0</v>
      </c>
      <c r="G24" s="608"/>
      <c r="H24" s="32"/>
      <c r="K24" s="32"/>
      <c r="L24" s="32"/>
    </row>
    <row r="25" spans="1:17" ht="15" hidden="1">
      <c r="A25" s="32"/>
      <c r="B25" s="270" t="str">
        <f>'G-2 Habitat groups'!A158</f>
        <v>Ecologically valuable line of trees - associated with bank or ditch</v>
      </c>
      <c r="C25" s="349">
        <f>'G-2 Habitat groups'!BB87</f>
        <v>0</v>
      </c>
      <c r="D25" s="349">
        <f>'G-2 Habitat groups'!BD87</f>
        <v>0</v>
      </c>
      <c r="E25" s="349">
        <f>'G-2 Habitat groups'!BE87</f>
        <v>0</v>
      </c>
      <c r="G25" s="598">
        <f>SUM(E25:E25)</f>
        <v>0</v>
      </c>
      <c r="H25" s="32"/>
      <c r="K25" s="32"/>
      <c r="L25" s="32"/>
      <c r="M25" s="32"/>
    </row>
    <row r="26" spans="1:17" ht="14.65" customHeight="1" thickBot="1">
      <c r="A26" s="32"/>
      <c r="B26" s="32"/>
      <c r="C26" s="756">
        <f>SUM(C22:C25)</f>
        <v>0</v>
      </c>
      <c r="D26" s="343">
        <f>SUM(D22:D25)</f>
        <v>0</v>
      </c>
      <c r="E26" s="344">
        <f>SUM(E22:E25)</f>
        <v>0</v>
      </c>
      <c r="H26" s="32"/>
      <c r="K26" s="32"/>
      <c r="L26" s="32"/>
      <c r="M26" s="32"/>
      <c r="N26" s="32"/>
      <c r="O26" s="32"/>
    </row>
    <row r="27" spans="1:17" ht="15">
      <c r="A27" s="32"/>
      <c r="B27" s="32"/>
      <c r="C27" s="32"/>
      <c r="D27" s="32"/>
      <c r="E27" s="32"/>
      <c r="F27" s="32"/>
      <c r="G27" s="32"/>
      <c r="H27" s="32"/>
      <c r="I27" s="32"/>
      <c r="J27" s="32"/>
      <c r="K27" s="32"/>
      <c r="L27" s="32"/>
      <c r="M27" s="32"/>
      <c r="N27" s="32"/>
      <c r="O27" s="32"/>
      <c r="P27" s="32"/>
      <c r="Q27" s="32"/>
    </row>
    <row r="28" spans="1:17" ht="15">
      <c r="A28" s="32"/>
      <c r="B28" s="32"/>
      <c r="C28" s="32"/>
      <c r="D28" s="32"/>
      <c r="E28" s="32"/>
      <c r="F28" s="32"/>
      <c r="G28" s="32"/>
      <c r="H28" s="32"/>
      <c r="I28" s="32"/>
      <c r="J28" s="32"/>
      <c r="K28" s="32"/>
      <c r="L28" s="32"/>
      <c r="M28" s="32"/>
      <c r="N28" s="32"/>
      <c r="O28" s="32"/>
      <c r="P28" s="32"/>
      <c r="Q28" s="32"/>
    </row>
    <row r="29" spans="1:17" ht="15.75" thickBot="1">
      <c r="A29" s="32"/>
      <c r="B29" s="32"/>
      <c r="C29" s="32"/>
      <c r="D29" s="32"/>
      <c r="E29" s="32"/>
      <c r="F29" s="32"/>
      <c r="G29" s="32"/>
      <c r="H29" s="32"/>
      <c r="I29" s="32"/>
      <c r="J29" s="32"/>
      <c r="K29" s="32"/>
      <c r="L29" s="32"/>
      <c r="M29" s="32"/>
      <c r="N29" s="32"/>
      <c r="O29" s="32"/>
      <c r="P29" s="32"/>
      <c r="Q29" s="32"/>
    </row>
    <row r="30" spans="1:17" ht="27.75" thickBot="1">
      <c r="A30" s="32"/>
      <c r="B30" s="1343" t="s">
        <v>231</v>
      </c>
      <c r="C30" s="1344"/>
      <c r="D30" s="1344"/>
      <c r="E30" s="1345"/>
      <c r="F30" s="603"/>
      <c r="G30" s="1339" t="s">
        <v>232</v>
      </c>
      <c r="H30" s="1340"/>
      <c r="K30" s="32"/>
      <c r="L30" s="32"/>
      <c r="M30" s="32"/>
      <c r="N30" s="32"/>
      <c r="O30" s="32"/>
      <c r="P30" s="32"/>
      <c r="Q30" s="32"/>
    </row>
    <row r="31" spans="1:17" ht="47.25">
      <c r="A31" s="32"/>
      <c r="B31" s="70" t="s">
        <v>114</v>
      </c>
      <c r="C31" s="71" t="s">
        <v>120</v>
      </c>
      <c r="D31" s="71" t="s">
        <v>147</v>
      </c>
      <c r="E31" s="72" t="s">
        <v>233</v>
      </c>
      <c r="G31" s="707" t="s">
        <v>244</v>
      </c>
      <c r="H31" s="352">
        <f>IF(H23&gt;0, H23, 0)+H21</f>
        <v>0</v>
      </c>
      <c r="K31" s="32"/>
      <c r="L31" s="32"/>
      <c r="M31" s="32"/>
      <c r="N31" s="32"/>
      <c r="O31" s="32"/>
      <c r="P31" s="32"/>
      <c r="Q31" s="32"/>
    </row>
    <row r="32" spans="1:17" ht="30">
      <c r="A32" s="32"/>
      <c r="B32" s="271" t="str">
        <f>'G-2 Habitat groups'!A154</f>
        <v>Species-rich native hedgerow</v>
      </c>
      <c r="C32" s="346">
        <f>'G-2 Habitat groups'!R154</f>
        <v>16.669627715952004</v>
      </c>
      <c r="D32" s="346">
        <f>'G-2 Habitat groups'!AD154</f>
        <v>0</v>
      </c>
      <c r="E32" s="347">
        <f>'G-2 Habitat groups'!AF154</f>
        <v>16.669627715952004</v>
      </c>
      <c r="G32" s="99" t="s">
        <v>245</v>
      </c>
      <c r="H32" s="347">
        <f>E38</f>
        <v>16.669627715952004</v>
      </c>
      <c r="K32" s="32"/>
      <c r="L32" s="32"/>
      <c r="M32" s="32"/>
      <c r="N32" s="32"/>
      <c r="O32" s="32"/>
      <c r="P32" s="32"/>
      <c r="Q32" s="32"/>
    </row>
    <row r="33" spans="1:17" ht="15.75" thickBot="1">
      <c r="A33" s="32"/>
      <c r="B33" s="271" t="str">
        <f>'G-2 Habitat groups'!A155</f>
        <v>Native hedgerow - associated with bank or ditch</v>
      </c>
      <c r="C33" s="346">
        <f>'G-2 Habitat groups'!R155</f>
        <v>0</v>
      </c>
      <c r="D33" s="346">
        <f>'G-2 Habitat groups'!AD155</f>
        <v>0</v>
      </c>
      <c r="E33" s="347">
        <f>'G-2 Habitat groups'!AF155</f>
        <v>0</v>
      </c>
      <c r="G33" s="74" t="s">
        <v>1674</v>
      </c>
      <c r="H33" s="351">
        <f>H32+H31</f>
        <v>16.669627715952004</v>
      </c>
      <c r="K33" s="32"/>
      <c r="L33" s="32"/>
      <c r="M33" s="32"/>
      <c r="N33" s="32"/>
      <c r="O33" s="32"/>
    </row>
    <row r="34" spans="1:17" ht="15">
      <c r="A34" s="32"/>
      <c r="B34" s="271" t="str">
        <f>'G-2 Habitat groups'!A156</f>
        <v>Native hedgerow with trees</v>
      </c>
      <c r="C34" s="346">
        <f>'G-2 Habitat groups'!R156</f>
        <v>0</v>
      </c>
      <c r="D34" s="346">
        <f>'G-2 Habitat groups'!AD156</f>
        <v>0</v>
      </c>
      <c r="E34" s="347">
        <f>'G-2 Habitat groups'!AF156</f>
        <v>0</v>
      </c>
      <c r="K34" s="32"/>
      <c r="L34" s="32"/>
      <c r="M34" s="32"/>
      <c r="N34" s="32"/>
    </row>
    <row r="35" spans="1:17" ht="15">
      <c r="A35" s="32"/>
      <c r="B35" s="271" t="str">
        <f>'G-2 Habitat groups'!A157</f>
        <v>Ecologically valuable line of trees</v>
      </c>
      <c r="C35" s="346">
        <f>'G-2 Habitat groups'!R157</f>
        <v>0</v>
      </c>
      <c r="D35" s="346">
        <f>'G-2 Habitat groups'!AD157</f>
        <v>0</v>
      </c>
      <c r="E35" s="347">
        <f>'G-2 Habitat groups'!AF157</f>
        <v>0</v>
      </c>
      <c r="G35" s="38"/>
      <c r="H35" s="649"/>
      <c r="K35" s="32"/>
      <c r="L35" s="32"/>
      <c r="M35" s="32"/>
      <c r="N35" s="32"/>
    </row>
    <row r="36" spans="1:17" ht="15.75" thickBot="1">
      <c r="A36" s="32"/>
      <c r="B36" s="273" t="str">
        <f>'G-2 Habitat groups'!A158</f>
        <v>Ecologically valuable line of trees - associated with bank or ditch</v>
      </c>
      <c r="C36" s="355">
        <f>'G-2 Habitat groups'!R158</f>
        <v>0</v>
      </c>
      <c r="D36" s="355">
        <f>'G-2 Habitat groups'!AD158</f>
        <v>0</v>
      </c>
      <c r="E36" s="599">
        <f>'G-2 Habitat groups'!AF158</f>
        <v>0</v>
      </c>
      <c r="G36" s="608"/>
      <c r="H36" s="32"/>
      <c r="K36" s="32"/>
      <c r="L36" s="32"/>
      <c r="M36" s="32"/>
      <c r="N36" s="32"/>
    </row>
    <row r="37" spans="1:17" ht="15" hidden="1">
      <c r="A37" s="32"/>
      <c r="B37" s="270" t="str">
        <f>'G-2 Habitat groups'!A158</f>
        <v>Ecologically valuable line of trees - associated with bank or ditch</v>
      </c>
      <c r="C37" s="349">
        <f>'G-2 Habitat groups'!BB30</f>
        <v>0</v>
      </c>
      <c r="D37" s="349">
        <f>'G-2 Habitat groups'!BD30</f>
        <v>0</v>
      </c>
      <c r="E37" s="349">
        <f>'G-2 Habitat groups'!BE30</f>
        <v>0</v>
      </c>
      <c r="G37" s="598">
        <f>SUM(E37:E37)</f>
        <v>0</v>
      </c>
      <c r="H37" s="32"/>
      <c r="K37" s="32"/>
      <c r="L37" s="32"/>
      <c r="M37" s="32"/>
      <c r="N37" s="32"/>
    </row>
    <row r="38" spans="1:17" ht="14.65" customHeight="1" thickBot="1">
      <c r="A38" s="32"/>
      <c r="B38" s="32"/>
      <c r="C38" s="609">
        <f>SUM(C32:C37)</f>
        <v>16.669627715952004</v>
      </c>
      <c r="D38" s="343">
        <f>SUM(D32:D37)</f>
        <v>0</v>
      </c>
      <c r="E38" s="344">
        <f>SUM(E32:E37)</f>
        <v>16.669627715952004</v>
      </c>
      <c r="H38" s="32"/>
      <c r="I38" s="32"/>
      <c r="J38" s="32"/>
      <c r="K38" s="32"/>
      <c r="L38" s="32"/>
      <c r="M38" s="32"/>
      <c r="N38" s="32"/>
      <c r="O38" s="32"/>
      <c r="P38" s="32"/>
      <c r="Q38" s="32"/>
    </row>
    <row r="39" spans="1:17" ht="15">
      <c r="A39" s="32"/>
      <c r="B39" s="32"/>
      <c r="C39" s="32"/>
      <c r="D39" s="32"/>
      <c r="E39" s="32"/>
      <c r="F39" s="32"/>
      <c r="G39" s="32"/>
      <c r="H39" s="32"/>
      <c r="I39" s="32"/>
      <c r="J39" s="32"/>
      <c r="K39" s="32"/>
      <c r="L39" s="32"/>
      <c r="M39" s="32"/>
      <c r="N39" s="32"/>
      <c r="O39" s="32"/>
      <c r="P39" s="32"/>
      <c r="Q39" s="32"/>
    </row>
    <row r="40" spans="1:17" ht="15">
      <c r="A40" s="32"/>
      <c r="B40" s="32"/>
      <c r="C40" s="32"/>
      <c r="D40" s="32"/>
      <c r="E40" s="32"/>
      <c r="F40" s="32"/>
      <c r="G40" s="32"/>
      <c r="H40" s="32"/>
      <c r="I40" s="32"/>
      <c r="J40" s="32"/>
      <c r="K40" s="32"/>
      <c r="L40" s="32"/>
      <c r="M40" s="32"/>
      <c r="N40" s="32"/>
      <c r="O40" s="32"/>
      <c r="P40" s="32"/>
      <c r="Q40" s="32"/>
    </row>
    <row r="41" spans="1:17" ht="15.75" thickBot="1">
      <c r="A41" s="32"/>
      <c r="B41" s="32"/>
      <c r="C41" s="32"/>
      <c r="D41" s="32"/>
      <c r="E41" s="32"/>
      <c r="F41" s="32"/>
      <c r="G41" s="32"/>
      <c r="H41" s="32"/>
      <c r="I41" s="32"/>
      <c r="J41" s="32"/>
      <c r="K41" s="32"/>
      <c r="L41" s="32"/>
      <c r="M41" s="32"/>
      <c r="N41" s="32"/>
      <c r="O41" s="32"/>
      <c r="P41" s="32"/>
      <c r="Q41" s="32"/>
    </row>
    <row r="42" spans="1:17" ht="26.25" thickBot="1">
      <c r="A42" s="32"/>
      <c r="B42" s="611" t="s">
        <v>246</v>
      </c>
      <c r="C42" s="607"/>
      <c r="D42" s="607"/>
      <c r="E42" s="605"/>
      <c r="F42" s="32"/>
      <c r="G42" s="1302" t="s">
        <v>238</v>
      </c>
      <c r="H42" s="1303"/>
      <c r="I42" s="32"/>
      <c r="J42" s="32"/>
      <c r="K42" s="32"/>
      <c r="L42" s="32"/>
      <c r="M42" s="32"/>
      <c r="N42" s="32"/>
      <c r="O42" s="32"/>
      <c r="P42" s="32"/>
      <c r="Q42" s="32"/>
    </row>
    <row r="43" spans="1:17" ht="47.25">
      <c r="A43" s="32"/>
      <c r="B43" s="70" t="s">
        <v>114</v>
      </c>
      <c r="C43" s="71" t="s">
        <v>221</v>
      </c>
      <c r="D43" s="71" t="s">
        <v>147</v>
      </c>
      <c r="E43" s="72" t="s">
        <v>233</v>
      </c>
      <c r="F43" s="32"/>
      <c r="G43" s="73" t="s">
        <v>239</v>
      </c>
      <c r="H43" s="352">
        <f>E48</f>
        <v>0</v>
      </c>
      <c r="I43" s="32"/>
      <c r="J43" s="32"/>
      <c r="K43" s="32"/>
      <c r="L43" s="32"/>
      <c r="M43" s="32"/>
      <c r="N43" s="32"/>
      <c r="O43" s="32"/>
      <c r="P43" s="32"/>
      <c r="Q43" s="32"/>
    </row>
    <row r="44" spans="1:17" ht="15.75" thickBot="1">
      <c r="A44" s="32"/>
      <c r="B44" s="215" t="str">
        <f>'G-2 Habitat groups'!A159</f>
        <v>Native hedgerow</v>
      </c>
      <c r="C44" s="346">
        <f>'G-2 Habitat groups'!R159</f>
        <v>0</v>
      </c>
      <c r="D44" s="346">
        <f>'G-2 Habitat groups'!AD159</f>
        <v>0</v>
      </c>
      <c r="E44" s="347">
        <f>'G-2 Habitat groups'!AF159</f>
        <v>0</v>
      </c>
      <c r="F44" s="32"/>
      <c r="G44" s="74" t="s">
        <v>1674</v>
      </c>
      <c r="H44" s="351">
        <f>H43+H33</f>
        <v>16.669627715952004</v>
      </c>
      <c r="I44" s="32"/>
      <c r="J44" s="32"/>
      <c r="K44" s="32"/>
      <c r="L44" s="32"/>
      <c r="M44" s="32"/>
      <c r="N44" s="32"/>
      <c r="O44" s="32"/>
      <c r="P44" s="32"/>
      <c r="Q44" s="32"/>
    </row>
    <row r="45" spans="1:17" ht="15">
      <c r="A45" s="32"/>
      <c r="B45" s="215" t="str">
        <f>'G-2 Habitat groups'!A160</f>
        <v>Line of trees</v>
      </c>
      <c r="C45" s="346">
        <f>'G-2 Habitat groups'!R160</f>
        <v>0</v>
      </c>
      <c r="D45" s="346">
        <f>'G-2 Habitat groups'!AD160</f>
        <v>0</v>
      </c>
      <c r="E45" s="347">
        <f>'G-2 Habitat groups'!AF160</f>
        <v>0</v>
      </c>
      <c r="F45" s="32"/>
      <c r="G45" s="32"/>
      <c r="H45" s="32"/>
      <c r="I45" s="32"/>
      <c r="J45" s="32"/>
      <c r="K45" s="32"/>
      <c r="L45" s="32"/>
      <c r="M45" s="32"/>
      <c r="N45" s="32"/>
      <c r="O45" s="32"/>
      <c r="P45" s="32"/>
      <c r="Q45" s="32"/>
    </row>
    <row r="46" spans="1:17" ht="25.5">
      <c r="A46" s="32"/>
      <c r="B46" s="215" t="str">
        <f>'G-2 Habitat groups'!A161</f>
        <v>Line of trees - associated with bank or ditch</v>
      </c>
      <c r="C46" s="346">
        <f>'G-2 Habitat groups'!R161</f>
        <v>0</v>
      </c>
      <c r="D46" s="346">
        <f>'G-2 Habitat groups'!AD161</f>
        <v>0</v>
      </c>
      <c r="E46" s="347">
        <f>'G-2 Habitat groups'!AF161</f>
        <v>0</v>
      </c>
      <c r="F46" s="606"/>
      <c r="K46" s="32"/>
      <c r="L46" s="32"/>
      <c r="M46" s="32"/>
      <c r="N46" s="32"/>
      <c r="O46" s="32"/>
      <c r="P46" s="32"/>
      <c r="Q46" s="32"/>
    </row>
    <row r="47" spans="1:17" ht="15.75" thickBot="1">
      <c r="A47" s="32"/>
      <c r="B47" s="211" t="str">
        <f>'G-2 Habitat groups'!A162</f>
        <v>Non-native and ornamental hedgerow</v>
      </c>
      <c r="C47" s="355">
        <f>'G-2 Habitat groups'!R162</f>
        <v>0</v>
      </c>
      <c r="D47" s="355">
        <f>'G-2 Habitat groups'!AD162</f>
        <v>0</v>
      </c>
      <c r="E47" s="599">
        <f>'G-2 Habitat groups'!AF162</f>
        <v>0</v>
      </c>
      <c r="K47" s="32"/>
      <c r="L47" s="32"/>
      <c r="M47" s="32"/>
      <c r="N47" s="32"/>
      <c r="O47" s="32"/>
      <c r="P47" s="32"/>
      <c r="Q47" s="32"/>
    </row>
    <row r="48" spans="1:17" ht="15.75" thickBot="1">
      <c r="A48" s="32"/>
      <c r="B48" s="32"/>
      <c r="C48" s="414">
        <f>SUM(C44:C47)</f>
        <v>0</v>
      </c>
      <c r="D48" s="414">
        <f>SUM(D44:D47)</f>
        <v>0</v>
      </c>
      <c r="E48" s="414">
        <f>SUM(E44:E47)</f>
        <v>0</v>
      </c>
      <c r="K48" s="32"/>
      <c r="L48" s="32"/>
      <c r="M48" s="32"/>
      <c r="N48" s="32"/>
      <c r="O48" s="32"/>
      <c r="P48" s="32"/>
      <c r="Q48" s="32"/>
    </row>
    <row r="49" spans="1:17" ht="15">
      <c r="A49" s="32"/>
      <c r="G49" s="32"/>
      <c r="H49" s="32"/>
      <c r="I49" s="32"/>
      <c r="J49" s="32"/>
      <c r="K49" s="32"/>
      <c r="L49" s="32"/>
      <c r="M49" s="32"/>
      <c r="N49" s="32"/>
      <c r="O49" s="32"/>
      <c r="P49" s="32"/>
      <c r="Q49" s="32"/>
    </row>
    <row r="50" spans="1:17" ht="15">
      <c r="A50" s="32"/>
      <c r="G50" s="32"/>
      <c r="H50" s="32"/>
      <c r="I50" s="32"/>
      <c r="J50" s="32"/>
      <c r="K50" s="32"/>
      <c r="L50" s="32"/>
      <c r="M50" s="32"/>
      <c r="N50" s="32"/>
      <c r="O50" s="32"/>
      <c r="P50" s="32"/>
      <c r="Q50" s="32"/>
    </row>
    <row r="51" spans="1:17" ht="15">
      <c r="A51" s="32"/>
      <c r="G51" s="32"/>
      <c r="H51" s="32"/>
      <c r="I51" s="32"/>
      <c r="J51" s="32"/>
      <c r="K51" s="32"/>
      <c r="L51" s="32"/>
      <c r="M51" s="32"/>
      <c r="N51" s="32"/>
      <c r="O51" s="32"/>
      <c r="P51" s="32"/>
      <c r="Q51" s="32"/>
    </row>
    <row r="52" spans="1:17" ht="15">
      <c r="A52" s="32"/>
      <c r="G52" s="32"/>
      <c r="H52" s="32"/>
      <c r="I52" s="32"/>
      <c r="J52" s="32"/>
      <c r="K52" s="32"/>
      <c r="L52" s="32"/>
      <c r="M52" s="32"/>
      <c r="N52" s="32"/>
      <c r="O52" s="32"/>
      <c r="P52" s="32"/>
      <c r="Q52" s="32"/>
    </row>
    <row r="53" spans="1:17" ht="15">
      <c r="A53" s="32"/>
      <c r="B53" s="32"/>
      <c r="C53" s="32"/>
      <c r="D53" s="32"/>
      <c r="E53" s="32"/>
      <c r="F53" s="32"/>
      <c r="G53" s="32"/>
      <c r="H53" s="32"/>
      <c r="I53" s="32"/>
      <c r="J53" s="32"/>
      <c r="K53" s="32"/>
      <c r="L53" s="32"/>
      <c r="M53" s="32"/>
      <c r="N53" s="32"/>
      <c r="O53" s="32"/>
      <c r="P53" s="32"/>
      <c r="Q53" s="32"/>
    </row>
    <row r="54" spans="1:17" ht="15">
      <c r="A54" s="32"/>
      <c r="B54" s="32"/>
      <c r="C54" s="32"/>
      <c r="D54" s="32"/>
      <c r="E54" s="32"/>
      <c r="F54" s="32"/>
      <c r="G54" s="32"/>
      <c r="H54" s="32"/>
      <c r="I54" s="32"/>
      <c r="J54" s="32"/>
      <c r="K54" s="32"/>
      <c r="L54" s="32"/>
      <c r="M54" s="32"/>
      <c r="N54" s="32"/>
      <c r="O54" s="32"/>
      <c r="P54" s="32"/>
      <c r="Q54" s="32"/>
    </row>
    <row r="55" spans="1:17" ht="15">
      <c r="A55" s="32"/>
      <c r="B55" s="32"/>
      <c r="C55" s="32"/>
      <c r="D55" s="32"/>
      <c r="E55" s="32"/>
      <c r="F55" s="32"/>
      <c r="G55" s="32"/>
      <c r="H55" s="32"/>
      <c r="I55" s="32"/>
      <c r="J55" s="32"/>
      <c r="K55" s="32"/>
      <c r="L55" s="32"/>
      <c r="M55" s="32"/>
      <c r="N55" s="32"/>
      <c r="O55" s="32"/>
      <c r="P55" s="32"/>
      <c r="Q55" s="32"/>
    </row>
    <row r="56" spans="1:17" ht="15">
      <c r="A56" s="32"/>
      <c r="B56" s="32"/>
      <c r="C56" s="32"/>
      <c r="D56" s="32"/>
      <c r="E56" s="32"/>
      <c r="F56" s="32"/>
      <c r="G56" s="32"/>
      <c r="H56" s="32"/>
      <c r="I56" s="32"/>
      <c r="J56" s="32"/>
      <c r="K56" s="32"/>
      <c r="L56" s="32"/>
      <c r="M56" s="32"/>
      <c r="N56" s="32"/>
      <c r="O56" s="32"/>
      <c r="P56" s="32"/>
      <c r="Q56" s="32"/>
    </row>
    <row r="57" spans="1:17" ht="15">
      <c r="A57" s="32"/>
      <c r="B57" s="32"/>
      <c r="C57" s="32"/>
      <c r="D57" s="32"/>
      <c r="E57" s="32"/>
      <c r="F57" s="32"/>
      <c r="G57" s="32"/>
      <c r="H57" s="32"/>
      <c r="I57" s="32"/>
      <c r="J57" s="32"/>
      <c r="K57" s="32"/>
      <c r="L57" s="32"/>
      <c r="M57" s="32"/>
      <c r="N57" s="32"/>
      <c r="O57" s="32"/>
      <c r="P57" s="32"/>
      <c r="Q57" s="32"/>
    </row>
    <row r="58" spans="1:17" ht="15">
      <c r="A58" s="32"/>
      <c r="B58" s="32"/>
      <c r="C58" s="32"/>
      <c r="D58" s="32"/>
      <c r="E58" s="32"/>
      <c r="F58" s="32"/>
      <c r="G58" s="32"/>
      <c r="H58" s="32"/>
      <c r="I58" s="32"/>
      <c r="J58" s="32"/>
      <c r="K58" s="32"/>
      <c r="L58" s="32"/>
      <c r="M58" s="32"/>
      <c r="N58" s="32"/>
      <c r="O58" s="32"/>
      <c r="P58" s="32"/>
      <c r="Q58" s="32"/>
    </row>
    <row r="59" spans="1:17" ht="15">
      <c r="A59" s="32"/>
      <c r="B59" s="32"/>
      <c r="C59" s="32"/>
      <c r="D59" s="32"/>
      <c r="E59" s="32"/>
      <c r="F59" s="32"/>
      <c r="G59" s="32"/>
      <c r="H59" s="32"/>
      <c r="I59" s="32"/>
      <c r="J59" s="32"/>
      <c r="K59" s="32"/>
      <c r="L59" s="32"/>
      <c r="M59" s="32"/>
      <c r="N59" s="32"/>
      <c r="O59" s="32"/>
      <c r="P59" s="32"/>
      <c r="Q59" s="32"/>
    </row>
    <row r="60" spans="1:17" ht="15">
      <c r="A60" s="32"/>
      <c r="B60" s="32"/>
      <c r="C60" s="32"/>
      <c r="D60" s="32"/>
      <c r="E60" s="32"/>
      <c r="F60" s="32"/>
      <c r="G60" s="32"/>
      <c r="H60" s="32"/>
      <c r="I60" s="32"/>
      <c r="J60" s="32"/>
      <c r="K60" s="32"/>
      <c r="L60" s="32"/>
      <c r="M60" s="32"/>
      <c r="N60" s="32"/>
      <c r="O60" s="32"/>
      <c r="P60" s="32"/>
      <c r="Q60" s="32"/>
    </row>
    <row r="61" spans="1:17" ht="15">
      <c r="A61" s="32"/>
      <c r="B61" s="32"/>
      <c r="C61" s="32"/>
      <c r="D61" s="32"/>
      <c r="E61" s="32"/>
      <c r="F61" s="32"/>
      <c r="G61" s="32"/>
      <c r="H61" s="32"/>
      <c r="I61" s="32"/>
      <c r="J61" s="32"/>
      <c r="K61" s="32"/>
      <c r="L61" s="32"/>
      <c r="M61" s="32"/>
      <c r="N61" s="32"/>
      <c r="O61" s="32"/>
      <c r="P61" s="32"/>
      <c r="Q61" s="32"/>
    </row>
    <row r="62" spans="1:17" ht="15">
      <c r="A62" s="32"/>
      <c r="B62" s="32"/>
      <c r="C62" s="32"/>
      <c r="D62" s="32"/>
      <c r="E62" s="32"/>
      <c r="F62" s="32"/>
      <c r="G62" s="32"/>
      <c r="H62" s="32"/>
      <c r="I62" s="32"/>
      <c r="J62" s="32"/>
      <c r="K62" s="32"/>
      <c r="L62" s="32"/>
      <c r="M62" s="32"/>
      <c r="N62" s="32"/>
      <c r="O62" s="32"/>
      <c r="P62" s="32"/>
      <c r="Q62" s="32"/>
    </row>
    <row r="63" spans="1:17" ht="15">
      <c r="A63" s="32"/>
      <c r="B63" s="32"/>
      <c r="C63" s="32"/>
      <c r="D63" s="32"/>
      <c r="E63" s="32"/>
      <c r="F63" s="32"/>
      <c r="G63" s="32"/>
      <c r="H63" s="32"/>
      <c r="I63" s="32"/>
      <c r="J63" s="32"/>
      <c r="K63" s="32"/>
      <c r="L63" s="32"/>
      <c r="M63" s="32"/>
      <c r="N63" s="32"/>
      <c r="O63" s="32"/>
      <c r="P63" s="32"/>
      <c r="Q63" s="32"/>
    </row>
    <row r="64" spans="1:17" ht="15">
      <c r="A64" s="32"/>
      <c r="B64" s="32"/>
      <c r="C64" s="32"/>
      <c r="D64" s="32"/>
      <c r="E64" s="32"/>
      <c r="F64" s="32"/>
      <c r="G64" s="32"/>
      <c r="H64" s="32"/>
      <c r="I64" s="32"/>
      <c r="J64" s="32"/>
      <c r="K64" s="32"/>
      <c r="L64" s="32"/>
      <c r="M64" s="32"/>
      <c r="N64" s="32"/>
      <c r="O64" s="32"/>
      <c r="P64" s="32"/>
      <c r="Q64" s="32"/>
    </row>
    <row r="65" spans="1:17" ht="15">
      <c r="A65" s="32"/>
      <c r="B65" s="32"/>
      <c r="C65" s="32"/>
      <c r="D65" s="32"/>
      <c r="E65" s="32"/>
      <c r="F65" s="32"/>
      <c r="G65" s="32"/>
      <c r="H65" s="32"/>
      <c r="I65" s="32"/>
      <c r="J65" s="32"/>
      <c r="K65" s="32"/>
      <c r="L65" s="32"/>
      <c r="M65" s="32"/>
      <c r="N65" s="32"/>
      <c r="O65" s="32"/>
      <c r="P65" s="32"/>
      <c r="Q65" s="32"/>
    </row>
    <row r="66" spans="1:17" ht="15">
      <c r="A66" s="32"/>
      <c r="B66" s="32"/>
      <c r="C66" s="32"/>
      <c r="D66" s="32"/>
      <c r="E66" s="32"/>
      <c r="F66" s="32"/>
      <c r="G66" s="32"/>
      <c r="H66" s="32"/>
      <c r="I66" s="32"/>
      <c r="J66" s="32"/>
      <c r="K66" s="32"/>
      <c r="L66" s="32"/>
      <c r="M66" s="32"/>
      <c r="N66" s="32"/>
      <c r="O66" s="32"/>
      <c r="P66" s="32"/>
      <c r="Q66" s="32"/>
    </row>
    <row r="67" spans="1:17" ht="15">
      <c r="A67" s="32"/>
      <c r="B67" s="32"/>
      <c r="C67" s="32"/>
      <c r="D67" s="32"/>
      <c r="E67" s="32"/>
      <c r="F67" s="32"/>
      <c r="G67" s="32"/>
      <c r="H67" s="32"/>
      <c r="I67" s="32"/>
      <c r="J67" s="32"/>
      <c r="K67" s="32"/>
      <c r="L67" s="32"/>
      <c r="M67" s="32"/>
      <c r="N67" s="32"/>
      <c r="O67" s="32"/>
      <c r="P67" s="32"/>
      <c r="Q67" s="32"/>
    </row>
    <row r="68" spans="1:17" ht="15">
      <c r="A68" s="32"/>
      <c r="B68" s="32"/>
      <c r="C68" s="32"/>
      <c r="D68" s="32"/>
      <c r="E68" s="32"/>
      <c r="F68" s="32"/>
      <c r="G68" s="32"/>
      <c r="H68" s="32"/>
      <c r="I68" s="32"/>
      <c r="J68" s="32"/>
      <c r="K68" s="32"/>
      <c r="L68" s="32"/>
      <c r="M68" s="32"/>
      <c r="N68" s="32"/>
      <c r="O68" s="32"/>
      <c r="P68" s="32"/>
      <c r="Q68" s="32"/>
    </row>
    <row r="69" spans="1:17" ht="15">
      <c r="A69" s="32"/>
      <c r="B69" s="32"/>
      <c r="C69" s="32"/>
      <c r="D69" s="32"/>
      <c r="E69" s="32"/>
      <c r="F69" s="32"/>
      <c r="G69" s="32"/>
      <c r="H69" s="32"/>
      <c r="I69" s="32"/>
      <c r="J69" s="32"/>
      <c r="K69" s="32"/>
      <c r="L69" s="32"/>
      <c r="M69" s="32"/>
      <c r="N69" s="32"/>
      <c r="O69" s="32"/>
      <c r="P69" s="32"/>
      <c r="Q69" s="32"/>
    </row>
    <row r="70" spans="1:17" ht="15">
      <c r="A70" s="32"/>
      <c r="B70" s="32"/>
      <c r="C70" s="32"/>
      <c r="D70" s="32"/>
      <c r="E70" s="32"/>
      <c r="F70" s="32"/>
      <c r="G70" s="32"/>
      <c r="H70" s="32"/>
      <c r="I70" s="32"/>
      <c r="J70" s="32"/>
      <c r="K70" s="32"/>
      <c r="L70" s="32"/>
      <c r="M70" s="32"/>
      <c r="N70" s="32"/>
      <c r="O70" s="32"/>
      <c r="P70" s="32"/>
      <c r="Q70" s="32"/>
    </row>
    <row r="71" spans="1:17" ht="15">
      <c r="A71" s="32"/>
      <c r="B71" s="32"/>
      <c r="C71" s="32"/>
      <c r="D71" s="32"/>
      <c r="E71" s="32"/>
      <c r="F71" s="32"/>
      <c r="G71" s="32"/>
      <c r="H71" s="32"/>
      <c r="I71" s="32"/>
      <c r="J71" s="32"/>
      <c r="K71" s="32"/>
      <c r="L71" s="32"/>
      <c r="M71" s="32"/>
      <c r="N71" s="32"/>
      <c r="O71" s="32"/>
      <c r="P71" s="32"/>
      <c r="Q71" s="32"/>
    </row>
    <row r="72" spans="1:17" ht="15">
      <c r="A72" s="32"/>
      <c r="B72" s="32"/>
      <c r="C72" s="32"/>
      <c r="D72" s="32"/>
      <c r="E72" s="32"/>
      <c r="F72" s="32"/>
      <c r="G72" s="32"/>
      <c r="H72" s="32"/>
      <c r="I72" s="32"/>
      <c r="J72" s="32"/>
      <c r="K72" s="32"/>
      <c r="L72" s="32"/>
      <c r="M72" s="32"/>
      <c r="N72" s="32"/>
      <c r="O72" s="32"/>
      <c r="P72" s="32"/>
      <c r="Q72" s="32"/>
    </row>
    <row r="73" spans="1:17" ht="15">
      <c r="A73" s="32"/>
      <c r="B73" s="32"/>
      <c r="C73" s="32"/>
      <c r="D73" s="32"/>
      <c r="E73" s="32"/>
      <c r="F73" s="32"/>
      <c r="G73" s="32"/>
      <c r="H73" s="32"/>
      <c r="I73" s="32"/>
      <c r="J73" s="32"/>
      <c r="K73" s="32"/>
      <c r="L73" s="32"/>
      <c r="M73" s="32"/>
      <c r="N73" s="32"/>
      <c r="O73" s="32"/>
      <c r="P73" s="32"/>
      <c r="Q73" s="32"/>
    </row>
    <row r="74" spans="1:17" ht="15">
      <c r="A74" s="32"/>
      <c r="B74" s="32"/>
      <c r="C74" s="32"/>
      <c r="D74" s="32"/>
      <c r="E74" s="32"/>
      <c r="F74" s="32"/>
      <c r="G74" s="32"/>
      <c r="H74" s="32"/>
      <c r="I74" s="32"/>
      <c r="J74" s="32"/>
      <c r="K74" s="32"/>
      <c r="L74" s="32"/>
      <c r="M74" s="32"/>
      <c r="N74" s="32"/>
      <c r="O74" s="32"/>
      <c r="P74" s="32"/>
      <c r="Q74" s="32"/>
    </row>
    <row r="75" spans="1:17" ht="15">
      <c r="A75" s="32"/>
      <c r="B75" s="32"/>
      <c r="C75" s="32"/>
      <c r="D75" s="32"/>
      <c r="E75" s="32"/>
      <c r="F75" s="32"/>
      <c r="G75" s="32"/>
      <c r="H75" s="32"/>
      <c r="I75" s="32"/>
      <c r="J75" s="32"/>
      <c r="K75" s="32"/>
      <c r="L75" s="32"/>
      <c r="M75" s="32"/>
      <c r="N75" s="32"/>
      <c r="O75" s="32"/>
      <c r="P75" s="32"/>
      <c r="Q75" s="32"/>
    </row>
    <row r="76" spans="1:17" ht="15">
      <c r="A76" s="32"/>
      <c r="B76" s="32"/>
      <c r="C76" s="32"/>
      <c r="D76" s="32"/>
      <c r="E76" s="32"/>
      <c r="F76" s="32"/>
      <c r="G76" s="32"/>
      <c r="H76" s="32"/>
      <c r="I76" s="32"/>
      <c r="J76" s="32"/>
      <c r="K76" s="32"/>
      <c r="L76" s="32"/>
      <c r="M76" s="32"/>
      <c r="N76" s="32"/>
      <c r="O76" s="32"/>
      <c r="P76" s="32"/>
      <c r="Q76" s="32"/>
    </row>
    <row r="77" spans="1:17" ht="15">
      <c r="A77" s="32"/>
      <c r="B77" s="32"/>
      <c r="C77" s="32"/>
      <c r="D77" s="32"/>
      <c r="E77" s="32"/>
      <c r="F77" s="32"/>
      <c r="G77" s="32"/>
      <c r="H77" s="32"/>
      <c r="I77" s="32"/>
      <c r="J77" s="32"/>
      <c r="K77" s="32"/>
      <c r="L77" s="32"/>
      <c r="M77" s="32"/>
      <c r="N77" s="32"/>
      <c r="O77" s="32"/>
      <c r="P77" s="32"/>
      <c r="Q77" s="32"/>
    </row>
    <row r="78" spans="1:17" ht="15">
      <c r="A78" s="32"/>
      <c r="B78" s="32"/>
      <c r="C78" s="32"/>
      <c r="D78" s="32"/>
      <c r="E78" s="32"/>
      <c r="F78" s="32"/>
      <c r="G78" s="32"/>
      <c r="H78" s="32"/>
      <c r="I78" s="32"/>
      <c r="J78" s="32"/>
      <c r="K78" s="32"/>
      <c r="L78" s="32"/>
      <c r="M78" s="32"/>
      <c r="N78" s="32"/>
      <c r="O78" s="32"/>
      <c r="P78" s="32"/>
      <c r="Q78" s="32"/>
    </row>
    <row r="79" spans="1:17" ht="15">
      <c r="A79" s="32"/>
      <c r="B79" s="32"/>
      <c r="C79" s="32"/>
      <c r="D79" s="32"/>
      <c r="E79" s="32"/>
      <c r="F79" s="32"/>
      <c r="G79" s="32"/>
      <c r="H79" s="32"/>
      <c r="I79" s="32"/>
      <c r="J79" s="32"/>
      <c r="K79" s="32"/>
      <c r="L79" s="32"/>
      <c r="M79" s="32"/>
      <c r="N79" s="32"/>
      <c r="O79" s="32"/>
      <c r="P79" s="32"/>
      <c r="Q79" s="32"/>
    </row>
    <row r="80" spans="1:17" ht="15">
      <c r="A80" s="32"/>
      <c r="B80" s="32"/>
      <c r="C80" s="32"/>
      <c r="D80" s="32"/>
      <c r="E80" s="32"/>
      <c r="F80" s="32"/>
      <c r="G80" s="32"/>
      <c r="H80" s="32"/>
      <c r="I80" s="32"/>
      <c r="J80" s="32"/>
      <c r="K80" s="32"/>
      <c r="L80" s="32"/>
      <c r="M80" s="32"/>
      <c r="N80" s="32"/>
      <c r="O80" s="32"/>
      <c r="P80" s="32"/>
      <c r="Q80" s="32"/>
    </row>
    <row r="81" spans="1:17" ht="15">
      <c r="A81" s="32"/>
      <c r="B81" s="32"/>
      <c r="C81" s="32"/>
      <c r="D81" s="32"/>
      <c r="E81" s="32"/>
      <c r="F81" s="32"/>
      <c r="G81" s="32"/>
      <c r="H81" s="32"/>
      <c r="I81" s="32"/>
      <c r="J81" s="32"/>
      <c r="K81" s="32"/>
      <c r="L81" s="32"/>
      <c r="M81" s="32"/>
      <c r="N81" s="32"/>
      <c r="O81" s="32"/>
      <c r="P81" s="32"/>
      <c r="Q81" s="32"/>
    </row>
    <row r="82" spans="1:17" ht="15">
      <c r="A82" s="32"/>
      <c r="B82" s="32"/>
      <c r="C82" s="32"/>
      <c r="D82" s="32"/>
      <c r="E82" s="32"/>
      <c r="F82" s="32"/>
      <c r="G82" s="32"/>
      <c r="H82" s="32"/>
      <c r="I82" s="32"/>
      <c r="J82" s="32"/>
      <c r="K82" s="32"/>
      <c r="L82" s="32"/>
      <c r="M82" s="32"/>
      <c r="N82" s="32"/>
      <c r="O82" s="32"/>
      <c r="P82" s="32"/>
      <c r="Q82" s="32"/>
    </row>
    <row r="83" spans="1:17" ht="15">
      <c r="A83" s="32"/>
      <c r="B83" s="32"/>
      <c r="C83" s="32"/>
      <c r="D83" s="32"/>
      <c r="E83" s="32"/>
      <c r="F83" s="32"/>
      <c r="G83" s="32"/>
      <c r="H83" s="32"/>
      <c r="I83" s="32"/>
      <c r="J83" s="32"/>
      <c r="K83" s="32"/>
      <c r="L83" s="32"/>
      <c r="M83" s="32"/>
      <c r="N83" s="32"/>
      <c r="O83" s="32"/>
      <c r="P83" s="32"/>
      <c r="Q83" s="32"/>
    </row>
    <row r="84" spans="1:17" ht="15">
      <c r="A84" s="32"/>
      <c r="B84" s="32"/>
      <c r="C84" s="32"/>
      <c r="D84" s="32"/>
      <c r="E84" s="32"/>
      <c r="F84" s="32"/>
      <c r="G84" s="32"/>
      <c r="H84" s="32"/>
      <c r="I84" s="32"/>
      <c r="J84" s="32"/>
      <c r="K84" s="32"/>
      <c r="L84" s="32"/>
      <c r="M84" s="32"/>
      <c r="N84" s="32"/>
      <c r="O84" s="32"/>
      <c r="P84" s="32"/>
      <c r="Q84" s="32"/>
    </row>
    <row r="85" spans="1:17" ht="15">
      <c r="A85" s="32"/>
      <c r="B85" s="32"/>
      <c r="C85" s="32"/>
      <c r="D85" s="32"/>
      <c r="E85" s="32"/>
      <c r="F85" s="32"/>
      <c r="G85" s="32"/>
      <c r="H85" s="32"/>
      <c r="I85" s="32"/>
      <c r="J85" s="32"/>
      <c r="K85" s="32"/>
      <c r="L85" s="32"/>
      <c r="M85" s="32"/>
      <c r="N85" s="32"/>
      <c r="O85" s="32"/>
      <c r="P85" s="32"/>
      <c r="Q85" s="32"/>
    </row>
    <row r="86" spans="1:17" ht="15">
      <c r="A86" s="32"/>
      <c r="B86" s="32"/>
      <c r="C86" s="32"/>
      <c r="D86" s="32"/>
      <c r="E86" s="32"/>
      <c r="F86" s="32"/>
      <c r="G86" s="32"/>
      <c r="H86" s="32"/>
      <c r="I86" s="32"/>
      <c r="J86" s="32"/>
      <c r="K86" s="32"/>
      <c r="L86" s="32"/>
      <c r="M86" s="32"/>
      <c r="N86" s="32"/>
      <c r="O86" s="32"/>
      <c r="P86" s="32"/>
      <c r="Q86" s="32"/>
    </row>
    <row r="87" spans="1:17" ht="15">
      <c r="A87" s="32"/>
      <c r="B87" s="32"/>
      <c r="C87" s="32"/>
      <c r="D87" s="32"/>
      <c r="E87" s="32"/>
      <c r="F87" s="32"/>
      <c r="G87" s="32"/>
      <c r="H87" s="32"/>
      <c r="I87" s="32"/>
      <c r="J87" s="32"/>
      <c r="K87" s="32"/>
      <c r="L87" s="32"/>
      <c r="M87" s="32"/>
      <c r="N87" s="32"/>
      <c r="O87" s="32"/>
      <c r="P87" s="32"/>
      <c r="Q87" s="32"/>
    </row>
    <row r="88" spans="1:17" ht="15">
      <c r="A88" s="32"/>
      <c r="B88" s="32"/>
      <c r="C88" s="32"/>
      <c r="D88" s="32"/>
      <c r="E88" s="32"/>
      <c r="F88" s="32"/>
      <c r="G88" s="32"/>
      <c r="H88" s="32"/>
      <c r="I88" s="32"/>
      <c r="J88" s="32"/>
      <c r="K88" s="32"/>
      <c r="L88" s="32"/>
      <c r="M88" s="32"/>
      <c r="N88" s="32"/>
      <c r="O88" s="32"/>
      <c r="P88" s="32"/>
      <c r="Q88" s="32"/>
    </row>
    <row r="89" spans="1:17" ht="15">
      <c r="A89" s="32"/>
      <c r="B89" s="32"/>
      <c r="C89" s="32"/>
      <c r="D89" s="32"/>
      <c r="E89" s="32"/>
      <c r="F89" s="32"/>
      <c r="G89" s="32"/>
      <c r="H89" s="32"/>
      <c r="I89" s="32"/>
      <c r="J89" s="32"/>
      <c r="K89" s="32"/>
      <c r="L89" s="32"/>
      <c r="M89" s="32"/>
      <c r="N89" s="32"/>
      <c r="O89" s="32"/>
      <c r="P89" s="32"/>
      <c r="Q89" s="32"/>
    </row>
    <row r="90" spans="1:17" ht="15">
      <c r="A90" s="32"/>
      <c r="B90" s="32"/>
      <c r="C90" s="32"/>
      <c r="D90" s="32"/>
      <c r="E90" s="32"/>
      <c r="F90" s="32"/>
      <c r="G90" s="32"/>
      <c r="H90" s="32"/>
      <c r="I90" s="32"/>
      <c r="J90" s="32"/>
      <c r="K90" s="32"/>
      <c r="L90" s="32"/>
      <c r="M90" s="32"/>
      <c r="N90" s="32"/>
      <c r="O90" s="32"/>
      <c r="P90" s="32"/>
      <c r="Q90" s="32"/>
    </row>
    <row r="91" spans="1:17" ht="15">
      <c r="A91" s="32"/>
      <c r="B91" s="32"/>
      <c r="C91" s="32"/>
      <c r="D91" s="32"/>
      <c r="E91" s="32"/>
      <c r="F91" s="32"/>
      <c r="G91" s="32"/>
      <c r="H91" s="32"/>
      <c r="I91" s="32"/>
      <c r="J91" s="32"/>
      <c r="K91" s="32"/>
      <c r="L91" s="32"/>
      <c r="M91" s="32"/>
      <c r="N91" s="32"/>
      <c r="O91" s="32"/>
      <c r="P91" s="32"/>
      <c r="Q91" s="32"/>
    </row>
    <row r="92" spans="1:17" ht="15">
      <c r="A92" s="32"/>
      <c r="B92" s="32"/>
      <c r="C92" s="32"/>
      <c r="D92" s="32"/>
      <c r="E92" s="32"/>
      <c r="F92" s="32"/>
      <c r="G92" s="32"/>
      <c r="H92" s="32"/>
      <c r="I92" s="32"/>
      <c r="J92" s="32"/>
      <c r="K92" s="32"/>
      <c r="L92" s="32"/>
      <c r="M92" s="32"/>
      <c r="N92" s="32"/>
      <c r="O92" s="32"/>
      <c r="P92" s="32"/>
      <c r="Q92" s="32"/>
    </row>
    <row r="93" spans="1:17" ht="15">
      <c r="A93" s="32"/>
      <c r="B93" s="32"/>
      <c r="C93" s="32"/>
      <c r="D93" s="32"/>
      <c r="E93" s="32"/>
      <c r="F93" s="32"/>
      <c r="G93" s="32"/>
      <c r="H93" s="32"/>
      <c r="I93" s="32"/>
      <c r="J93" s="32"/>
      <c r="K93" s="32"/>
      <c r="L93" s="32"/>
      <c r="M93" s="32"/>
      <c r="N93" s="32"/>
      <c r="O93" s="32"/>
      <c r="P93" s="32"/>
      <c r="Q93" s="32"/>
    </row>
    <row r="94" spans="1:17" ht="15">
      <c r="A94" s="32"/>
      <c r="B94" s="32"/>
      <c r="C94" s="32"/>
      <c r="D94" s="32"/>
      <c r="E94" s="32"/>
      <c r="F94" s="32"/>
      <c r="G94" s="32"/>
      <c r="H94" s="32"/>
      <c r="I94" s="32"/>
      <c r="J94" s="32"/>
      <c r="K94" s="32"/>
      <c r="L94" s="32"/>
      <c r="M94" s="32"/>
      <c r="N94" s="32"/>
      <c r="O94" s="32"/>
      <c r="P94" s="32"/>
      <c r="Q94" s="32"/>
    </row>
    <row r="95" spans="1:17" ht="15">
      <c r="A95" s="32"/>
      <c r="B95" s="32"/>
      <c r="C95" s="32"/>
      <c r="D95" s="32"/>
      <c r="E95" s="32"/>
      <c r="F95" s="32"/>
      <c r="G95" s="32"/>
      <c r="H95" s="32"/>
      <c r="I95" s="32"/>
      <c r="J95" s="32"/>
      <c r="K95" s="32"/>
      <c r="L95" s="32"/>
      <c r="M95" s="32"/>
      <c r="N95" s="32"/>
      <c r="O95" s="32"/>
      <c r="P95" s="32"/>
      <c r="Q95" s="32"/>
    </row>
    <row r="96" spans="1:17" ht="15">
      <c r="A96" s="32"/>
      <c r="B96" s="32"/>
      <c r="C96" s="32"/>
      <c r="D96" s="32"/>
      <c r="E96" s="32"/>
      <c r="F96" s="32"/>
      <c r="G96" s="32"/>
      <c r="H96" s="32"/>
      <c r="I96" s="32"/>
      <c r="J96" s="32"/>
      <c r="K96" s="32"/>
      <c r="L96" s="32"/>
      <c r="M96" s="32"/>
      <c r="N96" s="32"/>
      <c r="O96" s="32"/>
      <c r="P96" s="32"/>
      <c r="Q96" s="32"/>
    </row>
    <row r="97" spans="1:17" ht="15">
      <c r="A97" s="32"/>
      <c r="B97" s="32"/>
      <c r="C97" s="32"/>
      <c r="D97" s="32"/>
      <c r="E97" s="32"/>
      <c r="F97" s="32"/>
      <c r="G97" s="32"/>
      <c r="H97" s="32"/>
      <c r="I97" s="32"/>
      <c r="J97" s="32"/>
      <c r="K97" s="32"/>
      <c r="L97" s="32"/>
      <c r="M97" s="32"/>
      <c r="N97" s="32"/>
      <c r="O97" s="32"/>
      <c r="P97" s="32"/>
      <c r="Q97" s="32"/>
    </row>
    <row r="98" spans="1:17" ht="15">
      <c r="A98" s="32"/>
      <c r="B98" s="32"/>
      <c r="C98" s="32"/>
      <c r="D98" s="32"/>
      <c r="E98" s="32"/>
      <c r="F98" s="32"/>
      <c r="G98" s="32"/>
      <c r="H98" s="32"/>
      <c r="I98" s="32"/>
      <c r="J98" s="32"/>
      <c r="K98" s="32"/>
      <c r="L98" s="32"/>
      <c r="M98" s="32"/>
      <c r="N98" s="32"/>
      <c r="O98" s="32"/>
      <c r="P98" s="32"/>
      <c r="Q98" s="32"/>
    </row>
    <row r="99" spans="1:17" ht="15">
      <c r="A99" s="32"/>
      <c r="B99" s="32"/>
      <c r="C99" s="32"/>
      <c r="D99" s="32"/>
      <c r="E99" s="32"/>
      <c r="F99" s="32"/>
      <c r="G99" s="32"/>
      <c r="H99" s="32"/>
      <c r="I99" s="32"/>
      <c r="J99" s="32"/>
      <c r="K99" s="32"/>
      <c r="L99" s="32"/>
      <c r="M99" s="32"/>
      <c r="N99" s="32"/>
      <c r="O99" s="32"/>
      <c r="P99" s="32"/>
      <c r="Q99" s="32"/>
    </row>
    <row r="100" spans="1:17" ht="15">
      <c r="A100" s="32"/>
      <c r="B100" s="32"/>
      <c r="C100" s="32"/>
      <c r="D100" s="32"/>
      <c r="E100" s="32"/>
      <c r="F100" s="32"/>
      <c r="G100" s="32"/>
      <c r="H100" s="32"/>
      <c r="I100" s="32"/>
      <c r="J100" s="32"/>
      <c r="K100" s="32"/>
      <c r="L100" s="32"/>
      <c r="M100" s="32"/>
      <c r="N100" s="32"/>
      <c r="O100" s="32"/>
      <c r="P100" s="32"/>
      <c r="Q100" s="32"/>
    </row>
    <row r="101" spans="1:17" ht="15">
      <c r="A101" s="32"/>
      <c r="B101" s="32"/>
      <c r="C101" s="32"/>
      <c r="D101" s="32"/>
      <c r="E101" s="32"/>
      <c r="F101" s="32"/>
      <c r="G101" s="32"/>
      <c r="H101" s="32"/>
      <c r="I101" s="32"/>
      <c r="J101" s="32"/>
      <c r="K101" s="32"/>
      <c r="L101" s="32"/>
      <c r="M101" s="32"/>
      <c r="N101" s="32"/>
      <c r="O101" s="32"/>
      <c r="P101" s="32"/>
      <c r="Q101" s="32"/>
    </row>
    <row r="102" spans="1:17" ht="15">
      <c r="A102" s="32"/>
      <c r="B102" s="32"/>
      <c r="C102" s="32"/>
      <c r="D102" s="32"/>
      <c r="E102" s="32"/>
      <c r="F102" s="32"/>
      <c r="G102" s="32"/>
      <c r="H102" s="32"/>
      <c r="I102" s="32"/>
      <c r="J102" s="32"/>
      <c r="K102" s="32"/>
      <c r="L102" s="32"/>
      <c r="M102" s="32"/>
      <c r="N102" s="32"/>
      <c r="O102" s="32"/>
      <c r="P102" s="32"/>
      <c r="Q102" s="32"/>
    </row>
    <row r="103" spans="1:17" ht="15">
      <c r="A103" s="32"/>
      <c r="B103" s="32"/>
      <c r="C103" s="32"/>
      <c r="D103" s="32"/>
      <c r="E103" s="32"/>
      <c r="F103" s="32"/>
      <c r="G103" s="32"/>
      <c r="H103" s="32"/>
      <c r="I103" s="32"/>
      <c r="J103" s="32"/>
      <c r="K103" s="32"/>
      <c r="L103" s="32"/>
      <c r="M103" s="32"/>
      <c r="N103" s="32"/>
      <c r="O103" s="32"/>
      <c r="P103" s="32"/>
      <c r="Q103" s="32"/>
    </row>
    <row r="104" spans="1:17" ht="15">
      <c r="A104" s="32"/>
      <c r="B104" s="32"/>
      <c r="C104" s="32"/>
      <c r="D104" s="32"/>
      <c r="E104" s="32"/>
      <c r="F104" s="32"/>
      <c r="G104" s="32"/>
      <c r="H104" s="32"/>
      <c r="I104" s="32"/>
      <c r="J104" s="32"/>
      <c r="K104" s="32"/>
      <c r="L104" s="32"/>
      <c r="M104" s="32"/>
      <c r="N104" s="32"/>
      <c r="O104" s="32"/>
      <c r="P104" s="32"/>
      <c r="Q104" s="32"/>
    </row>
    <row r="105" spans="1:17" ht="15">
      <c r="A105" s="32"/>
      <c r="B105" s="32"/>
      <c r="C105" s="32"/>
      <c r="D105" s="32"/>
      <c r="E105" s="32"/>
      <c r="F105" s="32"/>
      <c r="G105" s="32"/>
      <c r="H105" s="32"/>
      <c r="K105" s="32"/>
      <c r="L105" s="32"/>
      <c r="M105" s="32"/>
      <c r="N105" s="32"/>
      <c r="O105" s="32"/>
      <c r="P105" s="32"/>
      <c r="Q105" s="32"/>
    </row>
    <row r="106" spans="1:17" ht="15">
      <c r="A106" s="32"/>
      <c r="B106" s="32"/>
      <c r="C106" s="32"/>
      <c r="D106" s="32"/>
      <c r="E106" s="32"/>
      <c r="F106" s="32"/>
      <c r="G106" s="32"/>
      <c r="H106" s="32"/>
      <c r="K106" s="32"/>
      <c r="L106" s="32"/>
      <c r="M106" s="32"/>
      <c r="N106" s="32"/>
      <c r="O106" s="32"/>
      <c r="P106" s="32"/>
      <c r="Q106" s="32"/>
    </row>
    <row r="107" spans="1:17" ht="15">
      <c r="A107" s="32"/>
      <c r="B107" s="32"/>
      <c r="C107" s="32"/>
      <c r="D107" s="32"/>
      <c r="E107" s="32"/>
      <c r="F107" s="32"/>
      <c r="G107" s="32"/>
      <c r="H107" s="32"/>
      <c r="K107" s="32"/>
      <c r="L107" s="32"/>
      <c r="M107" s="32"/>
      <c r="N107" s="32"/>
      <c r="O107" s="32"/>
      <c r="P107" s="32"/>
      <c r="Q107" s="32"/>
    </row>
    <row r="108" spans="1:17" ht="15">
      <c r="A108" s="32"/>
      <c r="B108" s="32"/>
      <c r="C108" s="32"/>
      <c r="D108" s="32"/>
      <c r="E108" s="32"/>
      <c r="F108" s="32"/>
      <c r="G108" s="32"/>
      <c r="H108" s="32"/>
      <c r="K108" s="32"/>
      <c r="L108" s="32"/>
      <c r="M108" s="32"/>
      <c r="N108" s="32"/>
      <c r="O108" s="32"/>
      <c r="P108" s="32"/>
      <c r="Q108" s="32"/>
    </row>
    <row r="109" spans="1:17" ht="15">
      <c r="A109" s="32"/>
      <c r="B109" s="32"/>
      <c r="C109" s="32"/>
      <c r="D109" s="32"/>
      <c r="E109" s="32"/>
      <c r="F109" s="32"/>
      <c r="G109" s="32"/>
      <c r="H109" s="32"/>
      <c r="K109" s="32"/>
      <c r="L109" s="32"/>
      <c r="M109" s="32"/>
      <c r="N109" s="32"/>
      <c r="O109" s="32"/>
      <c r="P109" s="32"/>
      <c r="Q109" s="32"/>
    </row>
    <row r="110" spans="1:17" ht="15">
      <c r="A110" s="32"/>
      <c r="B110" s="32"/>
      <c r="C110" s="32"/>
      <c r="D110" s="32"/>
      <c r="E110" s="32"/>
      <c r="F110" s="32"/>
      <c r="G110" s="32"/>
      <c r="H110" s="32"/>
      <c r="K110" s="32"/>
      <c r="L110" s="32"/>
      <c r="M110" s="32"/>
      <c r="N110" s="32"/>
      <c r="O110" s="32"/>
      <c r="P110" s="32"/>
      <c r="Q110" s="32"/>
    </row>
    <row r="111" spans="1:17" ht="15">
      <c r="A111" s="32"/>
      <c r="B111" s="32"/>
      <c r="C111" s="32"/>
      <c r="D111" s="32"/>
      <c r="E111" s="32"/>
      <c r="F111" s="32"/>
      <c r="G111" s="32"/>
      <c r="H111" s="32"/>
      <c r="K111" s="32"/>
      <c r="L111" s="32"/>
      <c r="M111" s="32"/>
      <c r="N111" s="32"/>
      <c r="O111" s="32"/>
      <c r="P111" s="32"/>
      <c r="Q111" s="32"/>
    </row>
    <row r="112" spans="1:17" ht="15">
      <c r="A112" s="32"/>
      <c r="B112" s="32"/>
      <c r="C112" s="32"/>
      <c r="D112" s="32"/>
      <c r="E112" s="32"/>
      <c r="F112" s="32"/>
      <c r="G112" s="32"/>
      <c r="H112" s="32"/>
      <c r="K112" s="32"/>
      <c r="L112" s="32"/>
      <c r="M112" s="32"/>
      <c r="N112" s="32"/>
      <c r="O112" s="32"/>
      <c r="P112" s="32"/>
      <c r="Q112" s="32"/>
    </row>
    <row r="113" spans="1:17" ht="15">
      <c r="A113" s="32"/>
      <c r="B113" s="32"/>
      <c r="C113" s="32"/>
      <c r="D113" s="32"/>
      <c r="E113" s="32"/>
      <c r="F113" s="32"/>
      <c r="G113" s="32"/>
      <c r="H113" s="32"/>
      <c r="K113" s="32"/>
      <c r="L113" s="32"/>
      <c r="M113" s="32"/>
      <c r="N113" s="32"/>
      <c r="O113" s="32"/>
      <c r="P113" s="32"/>
      <c r="Q113" s="32"/>
    </row>
    <row r="114" spans="1:17" ht="15">
      <c r="A114" s="32"/>
      <c r="B114" s="32"/>
      <c r="C114" s="32"/>
      <c r="D114" s="32"/>
      <c r="E114" s="32"/>
      <c r="F114" s="32"/>
      <c r="G114" s="32"/>
      <c r="H114" s="32"/>
      <c r="K114" s="32"/>
      <c r="L114" s="32"/>
      <c r="M114" s="32"/>
      <c r="N114" s="32"/>
      <c r="O114" s="32"/>
      <c r="P114" s="32"/>
      <c r="Q114" s="32"/>
    </row>
    <row r="115" spans="1:17" ht="15">
      <c r="A115" s="32"/>
      <c r="B115" s="32"/>
      <c r="C115" s="32"/>
      <c r="D115" s="32"/>
      <c r="E115" s="32"/>
      <c r="F115" s="32"/>
      <c r="G115" s="32"/>
      <c r="H115" s="32"/>
      <c r="K115" s="32"/>
      <c r="L115" s="32"/>
      <c r="M115" s="32"/>
      <c r="N115" s="32"/>
      <c r="O115" s="32"/>
      <c r="P115" s="32"/>
      <c r="Q115" s="32"/>
    </row>
    <row r="116" spans="1:17" ht="15">
      <c r="A116" s="32"/>
      <c r="B116" s="32"/>
      <c r="C116" s="32"/>
      <c r="D116" s="32"/>
      <c r="E116" s="32"/>
      <c r="F116" s="32"/>
      <c r="G116" s="32"/>
      <c r="H116" s="32"/>
      <c r="K116" s="32"/>
      <c r="L116" s="32"/>
      <c r="M116" s="32"/>
      <c r="N116" s="32"/>
      <c r="O116" s="32"/>
      <c r="P116" s="32"/>
      <c r="Q116" s="32"/>
    </row>
    <row r="117" spans="1:17" ht="15">
      <c r="A117" s="32"/>
      <c r="B117" s="32"/>
      <c r="C117" s="32"/>
      <c r="D117" s="32"/>
      <c r="E117" s="32"/>
      <c r="F117" s="32"/>
      <c r="G117" s="32"/>
      <c r="H117" s="32"/>
      <c r="K117" s="32"/>
      <c r="L117" s="32"/>
      <c r="M117" s="32"/>
      <c r="N117" s="32"/>
      <c r="O117" s="32"/>
      <c r="P117" s="32"/>
      <c r="Q117" s="32"/>
    </row>
    <row r="118" spans="1:17" ht="15">
      <c r="A118" s="32"/>
      <c r="B118" s="32"/>
      <c r="C118" s="32"/>
      <c r="D118" s="32"/>
      <c r="E118" s="32"/>
      <c r="F118" s="32"/>
      <c r="G118" s="32"/>
    </row>
    <row r="119" spans="1:17" ht="15">
      <c r="A119" s="32"/>
      <c r="B119" s="32"/>
      <c r="C119" s="32"/>
      <c r="D119" s="32"/>
      <c r="E119" s="32"/>
      <c r="F119" s="32"/>
      <c r="G119" s="32"/>
    </row>
    <row r="120" spans="1:17" ht="15">
      <c r="A120" s="32"/>
      <c r="B120" s="32"/>
      <c r="C120" s="32"/>
      <c r="D120" s="32"/>
      <c r="E120" s="32"/>
      <c r="F120" s="32"/>
      <c r="G120" s="32"/>
    </row>
    <row r="121" spans="1:17" ht="15">
      <c r="A121" s="32"/>
      <c r="B121" s="32"/>
      <c r="C121" s="32"/>
      <c r="D121" s="32"/>
      <c r="E121" s="32"/>
      <c r="F121" s="32"/>
      <c r="G121" s="32"/>
    </row>
    <row r="122" spans="1:17" ht="15">
      <c r="A122" s="32"/>
      <c r="B122" s="32"/>
      <c r="C122" s="32"/>
      <c r="D122" s="32"/>
      <c r="E122" s="32"/>
      <c r="F122" s="32"/>
      <c r="G122" s="32"/>
    </row>
    <row r="123" spans="1:17" ht="15">
      <c r="A123" s="32"/>
      <c r="B123" s="32"/>
      <c r="C123" s="32"/>
      <c r="D123" s="32"/>
      <c r="E123" s="32"/>
      <c r="F123" s="32"/>
      <c r="G123" s="32"/>
    </row>
    <row r="124" spans="1:17" ht="15">
      <c r="A124" s="32"/>
      <c r="B124" s="32"/>
      <c r="C124" s="32"/>
      <c r="D124" s="32"/>
      <c r="E124" s="32"/>
      <c r="F124" s="32"/>
      <c r="G124" s="32"/>
    </row>
    <row r="125" spans="1:17" ht="15">
      <c r="A125" s="32"/>
      <c r="B125" s="32"/>
      <c r="C125" s="32"/>
      <c r="D125" s="32"/>
      <c r="E125" s="32"/>
      <c r="F125" s="32"/>
      <c r="G125" s="32"/>
    </row>
    <row r="126" spans="1:17" ht="15">
      <c r="A126" s="32"/>
      <c r="B126" s="32"/>
      <c r="C126" s="32"/>
      <c r="D126" s="32"/>
      <c r="E126" s="32"/>
      <c r="F126" s="32"/>
      <c r="G126" s="32"/>
    </row>
    <row r="127" spans="1:17" ht="15">
      <c r="A127" s="32"/>
      <c r="B127" s="32"/>
      <c r="C127" s="32"/>
      <c r="D127" s="32"/>
      <c r="E127" s="32"/>
      <c r="F127" s="32"/>
      <c r="G127" s="32"/>
    </row>
    <row r="128" spans="1:17" ht="15">
      <c r="A128" s="32"/>
      <c r="B128" s="32"/>
      <c r="C128" s="32"/>
      <c r="D128" s="32"/>
      <c r="E128" s="32"/>
      <c r="F128" s="32"/>
      <c r="G128" s="32"/>
    </row>
    <row r="129" spans="1:7" ht="15">
      <c r="A129" s="32"/>
      <c r="B129" s="32"/>
      <c r="C129" s="32"/>
      <c r="D129" s="32"/>
      <c r="E129" s="32"/>
      <c r="F129" s="32"/>
      <c r="G129" s="32"/>
    </row>
    <row r="130" spans="1:7" ht="15">
      <c r="A130" s="32"/>
      <c r="B130" s="32"/>
      <c r="C130" s="32"/>
      <c r="D130" s="32"/>
      <c r="E130" s="32"/>
      <c r="F130" s="32"/>
      <c r="G130" s="32"/>
    </row>
    <row r="131" spans="1:7" ht="15">
      <c r="A131" s="32"/>
      <c r="B131" s="32"/>
      <c r="C131" s="32"/>
      <c r="D131" s="32"/>
      <c r="E131" s="32"/>
      <c r="F131" s="32"/>
      <c r="G131" s="32"/>
    </row>
    <row r="132" spans="1:7" ht="15">
      <c r="A132" s="32"/>
      <c r="B132" s="32"/>
      <c r="C132" s="32"/>
      <c r="D132" s="32"/>
      <c r="E132" s="32"/>
      <c r="F132" s="32"/>
      <c r="G132" s="32"/>
    </row>
    <row r="133" spans="1:7" ht="15">
      <c r="A133" s="32"/>
      <c r="B133" s="32"/>
      <c r="C133" s="32"/>
      <c r="D133" s="32"/>
      <c r="E133" s="32"/>
      <c r="F133" s="32"/>
      <c r="G133" s="32"/>
    </row>
    <row r="134" spans="1:7" ht="15">
      <c r="A134" s="32"/>
      <c r="B134" s="32"/>
      <c r="C134" s="32"/>
      <c r="D134" s="32"/>
      <c r="E134" s="32"/>
      <c r="F134" s="32"/>
      <c r="G134" s="32"/>
    </row>
    <row r="135" spans="1:7" ht="15">
      <c r="A135" s="32"/>
      <c r="B135" s="32"/>
      <c r="C135" s="32"/>
      <c r="D135" s="32"/>
      <c r="E135" s="32"/>
      <c r="F135" s="32"/>
      <c r="G135" s="32"/>
    </row>
    <row r="136" spans="1:7" ht="15">
      <c r="A136" s="32"/>
      <c r="B136" s="32"/>
      <c r="C136" s="32"/>
      <c r="D136" s="32"/>
      <c r="E136" s="32"/>
      <c r="F136" s="32"/>
      <c r="G136" s="32"/>
    </row>
    <row r="137" spans="1:7" ht="15">
      <c r="A137" s="32"/>
      <c r="B137" s="32"/>
      <c r="C137" s="32"/>
      <c r="D137" s="32"/>
      <c r="E137" s="32"/>
      <c r="F137" s="32"/>
      <c r="G137" s="32"/>
    </row>
    <row r="138" spans="1:7" ht="15">
      <c r="A138" s="32"/>
      <c r="B138" s="32"/>
      <c r="C138" s="32"/>
      <c r="D138" s="32"/>
      <c r="E138" s="32"/>
      <c r="F138" s="32"/>
      <c r="G138" s="32"/>
    </row>
    <row r="139" spans="1:7" ht="15">
      <c r="A139" s="32"/>
      <c r="B139" s="32"/>
      <c r="C139" s="32"/>
      <c r="D139" s="32"/>
      <c r="E139" s="32"/>
      <c r="F139" s="32"/>
      <c r="G139" s="32"/>
    </row>
    <row r="140" spans="1:7" ht="15">
      <c r="A140" s="32"/>
      <c r="B140" s="32"/>
      <c r="C140" s="32"/>
      <c r="D140" s="32"/>
      <c r="E140" s="32"/>
      <c r="F140" s="32"/>
      <c r="G140" s="32"/>
    </row>
    <row r="141" spans="1:7" ht="15">
      <c r="A141" s="32"/>
      <c r="B141" s="32"/>
      <c r="C141" s="32"/>
      <c r="D141" s="32"/>
      <c r="E141" s="32"/>
      <c r="F141" s="32"/>
      <c r="G141" s="32"/>
    </row>
    <row r="142" spans="1:7" ht="15">
      <c r="A142" s="32"/>
      <c r="B142" s="32"/>
      <c r="C142" s="32"/>
      <c r="D142" s="32"/>
      <c r="E142" s="32"/>
      <c r="F142" s="32"/>
      <c r="G142" s="32"/>
    </row>
    <row r="143" spans="1:7" ht="15">
      <c r="A143" s="32"/>
      <c r="B143" s="32"/>
      <c r="C143" s="32"/>
      <c r="D143" s="32"/>
      <c r="E143" s="32"/>
      <c r="F143" s="32"/>
      <c r="G143" s="32"/>
    </row>
    <row r="144" spans="1:7" ht="15">
      <c r="A144" s="32"/>
      <c r="B144" s="32"/>
      <c r="C144" s="32"/>
      <c r="D144" s="32"/>
      <c r="E144" s="32"/>
      <c r="F144" s="32"/>
      <c r="G144" s="32"/>
    </row>
    <row r="145" spans="1:7" ht="15">
      <c r="A145" s="32"/>
      <c r="B145" s="32"/>
      <c r="C145" s="32"/>
      <c r="D145" s="32"/>
      <c r="E145" s="32"/>
      <c r="F145" s="32"/>
      <c r="G145" s="32"/>
    </row>
    <row r="146" spans="1:7" ht="15">
      <c r="A146" s="32"/>
      <c r="B146" s="32"/>
      <c r="C146" s="32"/>
      <c r="D146" s="32"/>
      <c r="E146" s="32"/>
      <c r="F146" s="32"/>
      <c r="G146" s="32"/>
    </row>
    <row r="147" spans="1:7" ht="15">
      <c r="A147" s="32"/>
      <c r="B147" s="32"/>
      <c r="C147" s="32"/>
      <c r="D147" s="32"/>
      <c r="E147" s="32"/>
      <c r="F147" s="32"/>
      <c r="G147" s="32"/>
    </row>
    <row r="148" spans="1:7" ht="15">
      <c r="A148" s="32"/>
      <c r="B148" s="32"/>
      <c r="C148" s="32"/>
      <c r="D148" s="32"/>
      <c r="E148" s="32"/>
      <c r="F148" s="32"/>
      <c r="G148" s="32"/>
    </row>
    <row r="149" spans="1:7" ht="15">
      <c r="A149" s="32"/>
      <c r="B149" s="32"/>
      <c r="C149" s="32"/>
      <c r="D149" s="32"/>
      <c r="E149" s="32"/>
      <c r="F149" s="32"/>
      <c r="G149" s="32"/>
    </row>
    <row r="150" spans="1:7" ht="15">
      <c r="A150" s="32"/>
      <c r="B150" s="32"/>
      <c r="C150" s="32"/>
      <c r="D150" s="32"/>
      <c r="E150" s="32"/>
      <c r="F150" s="32"/>
      <c r="G150" s="32"/>
    </row>
    <row r="151" spans="1:7" ht="15">
      <c r="A151" s="32"/>
      <c r="B151" s="32"/>
      <c r="C151" s="32"/>
      <c r="D151" s="32"/>
      <c r="E151" s="32"/>
      <c r="F151" s="32"/>
      <c r="G151" s="32"/>
    </row>
    <row r="152" spans="1:7" ht="15">
      <c r="A152" s="32"/>
      <c r="B152" s="32"/>
      <c r="C152" s="32"/>
      <c r="D152" s="32"/>
      <c r="E152" s="32"/>
      <c r="F152" s="32"/>
      <c r="G152" s="32"/>
    </row>
    <row r="153" spans="1:7" ht="15">
      <c r="A153" s="32"/>
      <c r="B153" s="32"/>
      <c r="C153" s="32"/>
      <c r="D153" s="32"/>
      <c r="E153" s="32"/>
      <c r="F153" s="32"/>
      <c r="G153" s="32"/>
    </row>
    <row r="154" spans="1:7" ht="15">
      <c r="A154" s="32"/>
      <c r="B154" s="32"/>
      <c r="C154" s="32"/>
      <c r="D154" s="32"/>
      <c r="E154" s="32"/>
      <c r="F154" s="32"/>
      <c r="G154" s="32"/>
    </row>
    <row r="155" spans="1:7" ht="15">
      <c r="A155" s="32"/>
      <c r="B155" s="32"/>
      <c r="C155" s="32"/>
      <c r="D155" s="32"/>
      <c r="E155" s="32"/>
      <c r="F155" s="32"/>
      <c r="G155" s="32"/>
    </row>
    <row r="156" spans="1:7" ht="15">
      <c r="A156" s="32"/>
      <c r="B156" s="32"/>
      <c r="C156" s="32"/>
      <c r="D156" s="32"/>
      <c r="E156" s="32"/>
      <c r="F156" s="32"/>
      <c r="G156" s="32"/>
    </row>
    <row r="157" spans="1:7" ht="15">
      <c r="A157" s="32"/>
      <c r="B157" s="32"/>
      <c r="C157" s="32"/>
      <c r="D157" s="32"/>
      <c r="E157" s="32"/>
      <c r="F157" s="32"/>
      <c r="G157" s="32"/>
    </row>
    <row r="158" spans="1:7" ht="15">
      <c r="B158" s="32"/>
      <c r="C158" s="32"/>
      <c r="D158" s="32"/>
      <c r="E158" s="32"/>
      <c r="F158" s="32"/>
      <c r="G158" s="32"/>
    </row>
    <row r="159" spans="1:7" ht="15">
      <c r="B159" s="32"/>
      <c r="C159" s="32"/>
      <c r="D159" s="32"/>
      <c r="E159" s="32"/>
      <c r="F159" s="32"/>
      <c r="G159" s="32"/>
    </row>
    <row r="160" spans="1:7" ht="15">
      <c r="B160" s="32"/>
      <c r="C160" s="32"/>
      <c r="D160" s="32"/>
      <c r="E160" s="32"/>
      <c r="F160" s="32"/>
      <c r="G160" s="32"/>
    </row>
    <row r="161" spans="2:7" ht="15">
      <c r="B161" s="32"/>
      <c r="C161" s="32"/>
      <c r="D161" s="32"/>
      <c r="E161" s="32"/>
      <c r="F161" s="32"/>
      <c r="G161" s="32"/>
    </row>
    <row r="162" spans="2:7" ht="15">
      <c r="B162" s="32"/>
      <c r="C162" s="32"/>
      <c r="D162" s="32"/>
      <c r="E162" s="32"/>
      <c r="F162" s="32"/>
      <c r="G162" s="32"/>
    </row>
    <row r="163" spans="2:7" ht="15">
      <c r="B163" s="32"/>
      <c r="C163" s="32"/>
      <c r="D163" s="32"/>
      <c r="E163" s="32"/>
      <c r="F163" s="32"/>
      <c r="G163" s="32"/>
    </row>
    <row r="164" spans="2:7" ht="15">
      <c r="B164" s="32"/>
      <c r="C164" s="32"/>
      <c r="D164" s="32"/>
      <c r="E164" s="32"/>
      <c r="F164" s="32"/>
      <c r="G164" s="32"/>
    </row>
    <row r="165" spans="2:7" ht="15"/>
    <row r="166" spans="2:7" ht="14.1" customHeight="1"/>
    <row r="167" spans="2:7" ht="14.1" customHeight="1"/>
    <row r="168" spans="2:7" ht="14.1" customHeight="1"/>
    <row r="169" spans="2:7" ht="14.1" customHeight="1"/>
    <row r="170" spans="2:7" ht="14.1" customHeight="1"/>
    <row r="171" spans="2:7" ht="14.1" customHeight="1"/>
    <row r="172" spans="2:7" ht="14.1" customHeight="1"/>
    <row r="173" spans="2:7" ht="14.1" customHeight="1"/>
    <row r="174" spans="2:7" ht="14.1" customHeight="1"/>
    <row r="175" spans="2:7" ht="14.1" customHeight="1"/>
    <row r="176" spans="2:7" ht="14.1" customHeight="1"/>
    <row r="177" ht="14.1" customHeight="1"/>
    <row r="178" ht="14.1" customHeight="1"/>
    <row r="179" ht="14.1" customHeight="1"/>
    <row r="180" ht="14.1" customHeight="1"/>
    <row r="181" ht="14.1" customHeight="1"/>
    <row r="182" ht="14.1" customHeight="1"/>
    <row r="183" ht="14.1" customHeight="1"/>
    <row r="184" ht="14.1" customHeight="1"/>
    <row r="185" ht="14.1" customHeight="1"/>
    <row r="186" ht="14.1" customHeight="1"/>
    <row r="187" ht="14.1" customHeight="1"/>
    <row r="188" ht="14.1" customHeight="1"/>
    <row r="189" ht="14.1" customHeight="1"/>
    <row r="190" ht="14.1" customHeight="1"/>
    <row r="191" ht="14.1" customHeight="1"/>
    <row r="192" ht="14.1" customHeight="1"/>
    <row r="193" ht="14.1" customHeight="1"/>
    <row r="194" ht="14.1" customHeight="1"/>
    <row r="195" ht="14.1" customHeight="1"/>
    <row r="196" ht="14.1" customHeight="1"/>
    <row r="197" ht="14.1" customHeight="1"/>
    <row r="198" ht="14.1" customHeight="1"/>
    <row r="199" ht="14.1" customHeight="1"/>
    <row r="200" ht="14.1" customHeight="1"/>
    <row r="201" ht="14.1" customHeight="1"/>
    <row r="202" ht="14.1" customHeight="1"/>
    <row r="203" ht="14.1" customHeight="1"/>
    <row r="204" ht="14.1" customHeight="1"/>
    <row r="205" ht="14.1" customHeight="1"/>
    <row r="206" ht="14.1" customHeight="1"/>
    <row r="207" ht="14.1" customHeight="1"/>
    <row r="208" ht="14.1" customHeight="1"/>
    <row r="209" ht="14.1" customHeight="1"/>
    <row r="210" ht="14.1" customHeight="1"/>
    <row r="211" ht="14.1" customHeight="1"/>
    <row r="212" ht="14.1" customHeight="1"/>
    <row r="213" ht="14.1" customHeight="1"/>
    <row r="214" ht="14.1" customHeight="1"/>
    <row r="215" ht="14.1" customHeight="1"/>
    <row r="216" ht="14.1" customHeight="1"/>
    <row r="217" ht="14.1" customHeight="1"/>
    <row r="218" ht="14.1" customHeight="1"/>
    <row r="219" ht="14.1" customHeight="1"/>
    <row r="220" ht="14.1" customHeight="1"/>
    <row r="221" ht="14.1" customHeight="1"/>
    <row r="222" ht="14.1" customHeight="1"/>
    <row r="223" ht="14.1" customHeight="1"/>
    <row r="224" ht="14.1" customHeight="1"/>
    <row r="225" ht="14.1" customHeight="1"/>
    <row r="226" ht="14.1" customHeight="1"/>
    <row r="227" ht="14.1" customHeight="1"/>
    <row r="228" ht="14.1" customHeight="1"/>
    <row r="229" ht="14.1" customHeight="1"/>
    <row r="230" ht="14.1" customHeight="1"/>
    <row r="231" ht="14.1" customHeight="1"/>
    <row r="232" ht="14.1" customHeight="1"/>
    <row r="233" ht="14.1" customHeight="1"/>
    <row r="234" ht="14.1" customHeight="1"/>
    <row r="235" ht="14.1" customHeight="1"/>
    <row r="236" ht="14.1" customHeight="1"/>
    <row r="237" ht="14.1" customHeight="1"/>
    <row r="238" ht="14.1" customHeight="1"/>
    <row r="239" ht="14.1" customHeight="1"/>
    <row r="240" ht="14.1" customHeight="1"/>
    <row r="241" ht="14.1" customHeight="1"/>
    <row r="242" ht="14.1" customHeight="1"/>
    <row r="243" ht="14.1" customHeight="1"/>
    <row r="244" ht="14.1" customHeight="1"/>
    <row r="245" ht="14.1" customHeight="1"/>
    <row r="246" ht="14.1" customHeight="1"/>
    <row r="247" ht="14.1" customHeight="1"/>
    <row r="248" ht="14.1" customHeight="1"/>
    <row r="249" ht="14.1" customHeight="1"/>
    <row r="250" ht="14.1" customHeight="1"/>
    <row r="251" ht="14.1" customHeight="1"/>
    <row r="252" ht="14.1" customHeight="1"/>
    <row r="253" ht="14.1" customHeight="1"/>
    <row r="254" ht="14.1" customHeight="1"/>
    <row r="255" ht="14.1" customHeight="1"/>
    <row r="256" ht="14.1" customHeight="1"/>
    <row r="257" ht="14.1" customHeight="1"/>
    <row r="258" ht="14.1" customHeight="1"/>
    <row r="259" ht="14.1" customHeight="1"/>
    <row r="260" ht="14.1" customHeight="1"/>
    <row r="261" ht="14.1" customHeight="1"/>
    <row r="262" ht="14.1" customHeight="1"/>
    <row r="263" ht="14.1" customHeight="1"/>
    <row r="264" ht="14.1" customHeight="1"/>
    <row r="265" ht="14.1" customHeight="1"/>
    <row r="266" ht="14.1" customHeight="1"/>
    <row r="267" ht="14.1" customHeight="1"/>
    <row r="268" ht="14.1" customHeight="1"/>
    <row r="269" ht="14.1" customHeight="1"/>
    <row r="270" ht="14.1" customHeight="1"/>
    <row r="271" ht="14.1" customHeight="1"/>
    <row r="272" ht="14.1" customHeight="1"/>
    <row r="273" ht="14.1" customHeight="1"/>
    <row r="274" ht="14.1" customHeight="1"/>
    <row r="275" ht="14.1" customHeight="1"/>
    <row r="276" ht="14.1" customHeight="1"/>
    <row r="277" ht="14.1" customHeight="1"/>
    <row r="278" ht="14.1" customHeight="1"/>
    <row r="279" ht="14.1" customHeight="1"/>
    <row r="280" ht="14.1" customHeight="1"/>
    <row r="281" ht="14.1" customHeight="1"/>
    <row r="282" ht="14.1" customHeight="1"/>
    <row r="283" ht="14.1" customHeight="1"/>
    <row r="284" ht="14.1" customHeight="1"/>
    <row r="285" ht="14.1" customHeight="1"/>
    <row r="286" ht="14.1" customHeight="1"/>
    <row r="287" ht="14.1" customHeight="1"/>
    <row r="288" ht="14.1" customHeight="1"/>
    <row r="289" ht="14.1" customHeight="1"/>
    <row r="290" ht="14.1" customHeight="1"/>
    <row r="291" ht="14.1" customHeight="1"/>
    <row r="292" ht="14.1" customHeight="1"/>
    <row r="293" ht="14.1" customHeight="1"/>
    <row r="294" ht="14.1" customHeight="1"/>
    <row r="295" ht="14.1" customHeight="1"/>
    <row r="296" ht="14.1" customHeight="1"/>
    <row r="297" ht="14.1" customHeight="1"/>
    <row r="298" ht="14.1" customHeight="1"/>
    <row r="299" ht="14.1" customHeight="1"/>
    <row r="300" ht="14.1" customHeight="1"/>
    <row r="301" ht="14.1" customHeight="1"/>
    <row r="302" ht="14.1" customHeight="1"/>
    <row r="303" ht="14.1" customHeight="1"/>
    <row r="304" ht="14.1" customHeight="1"/>
    <row r="305" ht="14.1" customHeight="1"/>
    <row r="306" ht="14.1" customHeight="1"/>
    <row r="307" ht="14.1" customHeight="1"/>
    <row r="308" ht="14.1" customHeight="1"/>
  </sheetData>
  <sheetProtection algorithmName="SHA-512" hashValue="E8qs1feo5fNMVbi9URwsOgF1tztzVT1Yo4wM12IljEHF8ynLB/Jv/90RNFz8UDO965YdmexELBoD5h8WBilXxA==" saltValue="pzs4dFM96FegyYlZ35MgvQ==" spinCount="100000" sheet="1" objects="1" scenarios="1"/>
  <mergeCells count="19">
    <mergeCell ref="G42:H42"/>
    <mergeCell ref="C5:F5"/>
    <mergeCell ref="C7:F7"/>
    <mergeCell ref="G30:H30"/>
    <mergeCell ref="C8:F8"/>
    <mergeCell ref="G12:H12"/>
    <mergeCell ref="C6:F6"/>
    <mergeCell ref="B12:E12"/>
    <mergeCell ref="B20:E20"/>
    <mergeCell ref="B30:E30"/>
    <mergeCell ref="B2:H2"/>
    <mergeCell ref="G20:H20"/>
    <mergeCell ref="G3:H4"/>
    <mergeCell ref="G5:H5"/>
    <mergeCell ref="G6:H6"/>
    <mergeCell ref="G7:H7"/>
    <mergeCell ref="G8:H8"/>
    <mergeCell ref="B3:B4"/>
    <mergeCell ref="C3:F4"/>
  </mergeCells>
  <conditionalFormatting sqref="H14">
    <cfRule type="cellIs" dxfId="812" priority="43" operator="lessThan">
      <formula>0</formula>
    </cfRule>
    <cfRule type="cellIs" dxfId="811" priority="46" operator="greaterThan">
      <formula>0</formula>
    </cfRule>
  </conditionalFormatting>
  <conditionalFormatting sqref="H13">
    <cfRule type="cellIs" dxfId="810" priority="44" operator="greaterThan">
      <formula>0</formula>
    </cfRule>
    <cfRule type="cellIs" dxfId="809" priority="45" operator="lessThan">
      <formula>0</formula>
    </cfRule>
  </conditionalFormatting>
  <conditionalFormatting sqref="H32 H43:H44 H35">
    <cfRule type="cellIs" dxfId="808" priority="41" operator="lessThan">
      <formula>0</formula>
    </cfRule>
    <cfRule type="cellIs" dxfId="807" priority="42" operator="greaterThan">
      <formula>0</formula>
    </cfRule>
  </conditionalFormatting>
  <conditionalFormatting sqref="G5:G8">
    <cfRule type="containsText" dxfId="806" priority="47" operator="containsText" text="Yes">
      <formula>NOT(ISERROR(SEARCH("Yes",G5)))</formula>
    </cfRule>
    <cfRule type="containsText" dxfId="805" priority="48" operator="containsText" text="No">
      <formula>NOT(ISERROR(SEARCH("No",G5)))</formula>
    </cfRule>
  </conditionalFormatting>
  <conditionalFormatting sqref="H33">
    <cfRule type="cellIs" dxfId="804" priority="7" operator="greaterThan">
      <formula>0</formula>
    </cfRule>
    <cfRule type="cellIs" dxfId="803" priority="40" operator="lessThan">
      <formula>0</formula>
    </cfRule>
  </conditionalFormatting>
  <conditionalFormatting sqref="G25 G36:G37">
    <cfRule type="expression" dxfId="802" priority="36">
      <formula>$G25&gt;0</formula>
    </cfRule>
    <cfRule type="expression" dxfId="801" priority="37">
      <formula>$G25&lt;0</formula>
    </cfRule>
  </conditionalFormatting>
  <conditionalFormatting sqref="H22">
    <cfRule type="cellIs" dxfId="800" priority="16" operator="greaterThan">
      <formula>0</formula>
    </cfRule>
    <cfRule type="cellIs" dxfId="799" priority="19" operator="lessThan">
      <formula>0</formula>
    </cfRule>
  </conditionalFormatting>
  <conditionalFormatting sqref="H21">
    <cfRule type="cellIs" dxfId="798" priority="17" operator="greaterThan">
      <formula>0</formula>
    </cfRule>
    <cfRule type="cellIs" dxfId="797" priority="18" operator="lessThan">
      <formula>0</formula>
    </cfRule>
  </conditionalFormatting>
  <conditionalFormatting sqref="B14 B22:E25 B44:E47 B37:E37 B32:E35 C36:E36">
    <cfRule type="expression" dxfId="796" priority="368">
      <formula>$E14&gt;0</formula>
    </cfRule>
    <cfRule type="expression" dxfId="795" priority="369">
      <formula>$E14&lt;0</formula>
    </cfRule>
  </conditionalFormatting>
  <conditionalFormatting sqref="C14:E14">
    <cfRule type="expression" dxfId="794" priority="370">
      <formula>$E14&gt;0</formula>
    </cfRule>
    <cfRule type="expression" dxfId="793" priority="371">
      <formula>$E14&lt;0</formula>
    </cfRule>
  </conditionalFormatting>
  <conditionalFormatting sqref="B36">
    <cfRule type="expression" dxfId="792" priority="8">
      <formula>$E36&gt;0</formula>
    </cfRule>
    <cfRule type="expression" dxfId="791" priority="9">
      <formula>$E36&lt;0</formula>
    </cfRule>
  </conditionalFormatting>
  <conditionalFormatting sqref="H31">
    <cfRule type="cellIs" dxfId="790" priority="5" operator="lessThan">
      <formula>0</formula>
    </cfRule>
    <cfRule type="cellIs" dxfId="789" priority="6" operator="greaterThan">
      <formula>0</formula>
    </cfRule>
  </conditionalFormatting>
  <conditionalFormatting sqref="H23">
    <cfRule type="cellIs" dxfId="788" priority="3" operator="greaterThan">
      <formula>0</formula>
    </cfRule>
    <cfRule type="cellIs" dxfId="787" priority="2" operator="lessThan">
      <formula>0</formula>
    </cfRule>
  </conditionalFormatting>
  <conditionalFormatting sqref="I22">
    <cfRule type="cellIs" dxfId="786" priority="1" operator="equal">
      <formula>"Trading Rules Not Satisfied"</formula>
    </cfRule>
  </conditionalFormatting>
  <pageMargins left="0.7" right="0.7" top="0.75" bottom="0.75" header="0.3" footer="0.3"/>
  <pageSetup paperSize="9"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A176F3-0C63-411C-828C-132F2A45A8F5}">
  <sheetPr codeName="Sheet24">
    <tabColor rgb="FFF4D4D4"/>
  </sheetPr>
  <dimension ref="A1:V306"/>
  <sheetViews>
    <sheetView showGridLines="0" showRowColHeaders="0" zoomScale="80" zoomScaleNormal="80" workbookViewId="0"/>
  </sheetViews>
  <sheetFormatPr defaultColWidth="0" defaultRowHeight="14.1" customHeight="1" zeroHeight="1"/>
  <cols>
    <col min="1" max="1" width="17" style="30" customWidth="1"/>
    <col min="2" max="2" width="104.7109375" style="30" bestFit="1" customWidth="1"/>
    <col min="3" max="3" width="24.42578125" style="30" bestFit="1" customWidth="1"/>
    <col min="4" max="4" width="10.5703125" style="30" bestFit="1" customWidth="1"/>
    <col min="5" max="5" width="10.28515625" style="30" bestFit="1" customWidth="1"/>
    <col min="6" max="6" width="18.28515625" style="30" customWidth="1"/>
    <col min="7" max="7" width="31" style="30" customWidth="1"/>
    <col min="8" max="8" width="15" style="30" customWidth="1"/>
    <col min="9" max="9" width="49.42578125" style="30" customWidth="1"/>
    <col min="10" max="10" width="10.7109375" style="30" customWidth="1"/>
    <col min="11" max="11" width="2" style="30" customWidth="1"/>
    <col min="12" max="12" width="2.5703125" style="30" customWidth="1"/>
    <col min="13" max="13" width="4.28515625" style="30" customWidth="1"/>
    <col min="14" max="16" width="9.28515625" style="30" customWidth="1"/>
    <col min="17" max="17" width="10.5703125" style="30" customWidth="1"/>
    <col min="18" max="20" width="9.28515625" style="30" customWidth="1"/>
    <col min="21" max="22" width="0" style="30" hidden="1" customWidth="1"/>
    <col min="23" max="16384" width="9.28515625" style="30" hidden="1"/>
  </cols>
  <sheetData>
    <row r="1" spans="1:17" ht="15.75" thickBot="1">
      <c r="A1" s="333"/>
      <c r="B1" s="32"/>
      <c r="C1" s="32"/>
      <c r="D1" s="32"/>
      <c r="E1" s="32"/>
      <c r="G1" s="32"/>
      <c r="H1" s="32"/>
      <c r="I1" s="32"/>
      <c r="J1" s="32"/>
      <c r="K1" s="32"/>
      <c r="L1" s="32"/>
      <c r="M1" s="32"/>
      <c r="N1" s="32"/>
      <c r="O1" s="32"/>
      <c r="P1" s="32"/>
      <c r="Q1" s="32"/>
    </row>
    <row r="2" spans="1:17" ht="26.25" thickBot="1">
      <c r="A2" s="32"/>
      <c r="B2" s="1325" t="s">
        <v>207</v>
      </c>
      <c r="C2" s="1326"/>
      <c r="D2" s="1326"/>
      <c r="E2" s="1326"/>
      <c r="F2" s="1326"/>
      <c r="G2" s="1326"/>
      <c r="H2" s="1327"/>
      <c r="I2" s="32"/>
      <c r="J2" s="32"/>
      <c r="K2" s="32"/>
      <c r="L2" s="32"/>
      <c r="M2" s="32"/>
      <c r="N2" s="32"/>
      <c r="O2" s="32"/>
      <c r="P2" s="32"/>
      <c r="Q2" s="32"/>
    </row>
    <row r="3" spans="1:17" ht="15" customHeight="1">
      <c r="A3" s="32"/>
      <c r="B3" s="1315" t="s">
        <v>208</v>
      </c>
      <c r="C3" s="1317" t="s">
        <v>209</v>
      </c>
      <c r="D3" s="1317"/>
      <c r="E3" s="1317"/>
      <c r="F3" s="1317"/>
      <c r="G3" s="1317" t="s">
        <v>210</v>
      </c>
      <c r="H3" s="1313"/>
      <c r="I3" s="219"/>
      <c r="J3" s="219"/>
      <c r="K3" s="219"/>
      <c r="L3" s="32"/>
      <c r="M3" s="32"/>
      <c r="N3" s="32"/>
      <c r="O3" s="32"/>
      <c r="P3" s="32"/>
      <c r="Q3" s="32"/>
    </row>
    <row r="4" spans="1:17" ht="14.25" customHeight="1">
      <c r="A4" s="32"/>
      <c r="B4" s="1316"/>
      <c r="C4" s="1318"/>
      <c r="D4" s="1318"/>
      <c r="E4" s="1318"/>
      <c r="F4" s="1318"/>
      <c r="G4" s="1318"/>
      <c r="H4" s="1314"/>
      <c r="I4" s="219"/>
      <c r="J4" s="219"/>
      <c r="K4" s="219"/>
      <c r="L4" s="32"/>
      <c r="M4" s="32"/>
      <c r="N4" s="32"/>
      <c r="O4" s="32"/>
      <c r="P4" s="32"/>
      <c r="Q4" s="32"/>
    </row>
    <row r="5" spans="1:17" ht="20.25">
      <c r="A5" s="32"/>
      <c r="B5" s="99" t="s">
        <v>211</v>
      </c>
      <c r="C5" s="1348" t="s">
        <v>212</v>
      </c>
      <c r="D5" s="1348"/>
      <c r="E5" s="1348"/>
      <c r="F5" s="1348"/>
      <c r="G5" s="1346" t="str">
        <f>IFERROR(IF(E14&lt;0,"No ▲","Yes ✓"),"")</f>
        <v>Yes ✓</v>
      </c>
      <c r="H5" s="1347"/>
      <c r="I5" s="219"/>
      <c r="J5" s="219"/>
      <c r="K5" s="219"/>
      <c r="L5" s="32"/>
      <c r="M5" s="32"/>
      <c r="N5" s="32"/>
      <c r="O5" s="32"/>
      <c r="P5" s="32"/>
      <c r="Q5" s="32"/>
    </row>
    <row r="6" spans="1:17" ht="22.5" customHeight="1">
      <c r="A6" s="32"/>
      <c r="B6" s="99" t="s">
        <v>213</v>
      </c>
      <c r="C6" s="1349" t="s">
        <v>240</v>
      </c>
      <c r="D6" s="1349"/>
      <c r="E6" s="1349"/>
      <c r="F6" s="1349"/>
      <c r="G6" s="1346" t="str">
        <f>IF(H22&lt;0, "No ▲","Yes ✓")</f>
        <v>Yes ✓</v>
      </c>
      <c r="H6" s="1347"/>
      <c r="I6" s="32"/>
      <c r="J6" s="32"/>
      <c r="K6" s="32"/>
      <c r="L6" s="32"/>
      <c r="M6" s="32"/>
      <c r="N6" s="32"/>
      <c r="O6" s="32"/>
      <c r="P6" s="32"/>
      <c r="Q6" s="32"/>
    </row>
    <row r="7" spans="1:17" ht="19.5" customHeight="1">
      <c r="A7" s="32"/>
      <c r="B7" s="99" t="s">
        <v>70</v>
      </c>
      <c r="C7" s="1349" t="s">
        <v>240</v>
      </c>
      <c r="D7" s="1349"/>
      <c r="E7" s="1349"/>
      <c r="F7" s="1349"/>
      <c r="G7" s="1333" t="str">
        <f>IF(H30&lt;0, "No ▲","Yes ✓")</f>
        <v>Yes ✓</v>
      </c>
      <c r="H7" s="1334"/>
      <c r="I7" s="32"/>
      <c r="J7" s="32"/>
      <c r="K7" s="32"/>
      <c r="L7" s="32"/>
      <c r="M7" s="32"/>
      <c r="N7" s="32"/>
      <c r="O7" s="32"/>
      <c r="P7" s="32"/>
      <c r="Q7" s="32"/>
    </row>
    <row r="8" spans="1:17" ht="18.75" customHeight="1" thickBot="1">
      <c r="A8" s="32"/>
      <c r="B8" s="74" t="s">
        <v>216</v>
      </c>
      <c r="C8" s="1350" t="s">
        <v>247</v>
      </c>
      <c r="D8" s="1350"/>
      <c r="E8" s="1350"/>
      <c r="F8" s="1350"/>
      <c r="G8" s="1335" t="str">
        <f>IF(H42&lt;0,"No ▲","Yes ✓")</f>
        <v>Yes ✓</v>
      </c>
      <c r="H8" s="1336"/>
      <c r="I8" s="32"/>
      <c r="J8" s="32"/>
      <c r="K8" s="32"/>
      <c r="L8" s="32"/>
      <c r="M8" s="32"/>
      <c r="N8" s="32"/>
      <c r="O8" s="32"/>
      <c r="P8" s="32"/>
      <c r="Q8" s="32"/>
    </row>
    <row r="9" spans="1:17" ht="14.25" customHeight="1">
      <c r="A9" s="32"/>
      <c r="B9" s="32"/>
      <c r="C9" s="32"/>
      <c r="D9" s="32"/>
      <c r="E9" s="32"/>
      <c r="F9" s="32"/>
      <c r="G9" s="32"/>
      <c r="H9" s="32"/>
      <c r="I9" s="32"/>
      <c r="J9" s="32"/>
      <c r="K9" s="32"/>
      <c r="L9" s="32"/>
      <c r="M9" s="32"/>
      <c r="N9" s="32"/>
      <c r="O9" s="32"/>
      <c r="P9" s="32"/>
      <c r="Q9" s="32"/>
    </row>
    <row r="10" spans="1:17" ht="15.75" thickBot="1">
      <c r="A10" s="32"/>
      <c r="B10" s="32"/>
      <c r="C10" s="32"/>
      <c r="D10" s="32"/>
      <c r="E10" s="32"/>
      <c r="F10" s="32"/>
      <c r="G10" s="32"/>
      <c r="H10" s="32"/>
      <c r="I10" s="32"/>
      <c r="J10" s="32"/>
      <c r="K10" s="32"/>
      <c r="L10" s="32"/>
      <c r="M10" s="32"/>
      <c r="N10" s="32"/>
      <c r="O10" s="32"/>
      <c r="P10" s="32"/>
      <c r="Q10" s="32"/>
    </row>
    <row r="11" spans="1:17" ht="48.6" customHeight="1" thickBot="1">
      <c r="A11" s="32"/>
      <c r="B11" s="1325" t="s">
        <v>218</v>
      </c>
      <c r="C11" s="1326"/>
      <c r="D11" s="1326"/>
      <c r="E11" s="1327"/>
      <c r="F11" s="606"/>
      <c r="G11" s="1331" t="s">
        <v>219</v>
      </c>
      <c r="H11" s="1332"/>
      <c r="K11" s="32"/>
      <c r="L11" s="32"/>
      <c r="M11" s="32"/>
      <c r="N11" s="32"/>
      <c r="O11" s="32"/>
      <c r="P11" s="32"/>
      <c r="Q11" s="32"/>
    </row>
    <row r="12" spans="1:17" s="33" customFormat="1" ht="48" thickBot="1">
      <c r="A12" s="32"/>
      <c r="B12" s="70" t="s">
        <v>114</v>
      </c>
      <c r="C12" s="71" t="s">
        <v>221</v>
      </c>
      <c r="D12" s="71" t="s">
        <v>147</v>
      </c>
      <c r="E12" s="72" t="s">
        <v>222</v>
      </c>
      <c r="F12" s="602"/>
      <c r="G12" s="716" t="s">
        <v>224</v>
      </c>
      <c r="H12" s="717">
        <f>SUMIF($E$13:$E$13,"&gt;0")</f>
        <v>0</v>
      </c>
      <c r="K12" s="32"/>
      <c r="L12" s="32"/>
      <c r="M12" s="32"/>
      <c r="N12" s="32"/>
      <c r="O12" s="32"/>
      <c r="P12" s="32"/>
      <c r="Q12" s="32"/>
    </row>
    <row r="13" spans="1:17" ht="27.6" customHeight="1" thickBot="1">
      <c r="A13" s="32"/>
      <c r="B13" s="273" t="str">
        <f>'G-2 Habitat groups'!A172</f>
        <v>Priority habitat</v>
      </c>
      <c r="C13" s="355">
        <f>'G-2 Habitat groups'!R172</f>
        <v>0</v>
      </c>
      <c r="D13" s="355">
        <f>'G-2 Habitat groups'!AD172</f>
        <v>0</v>
      </c>
      <c r="E13" s="599">
        <f>'G-2 Habitat groups'!AF172</f>
        <v>0</v>
      </c>
      <c r="F13" s="604"/>
      <c r="H13" s="32"/>
      <c r="I13" s="1351"/>
      <c r="J13" s="1351"/>
      <c r="K13" s="32"/>
      <c r="L13" s="32"/>
      <c r="M13" s="32"/>
      <c r="N13" s="32"/>
      <c r="O13" s="32"/>
      <c r="P13" s="32"/>
      <c r="Q13" s="32"/>
    </row>
    <row r="14" spans="1:17" ht="15.75" thickBot="1">
      <c r="A14" s="32"/>
      <c r="B14" s="32"/>
      <c r="C14" s="609">
        <f>SUM(C13:C13)</f>
        <v>0</v>
      </c>
      <c r="D14" s="610">
        <f>SUM(D13:D13)</f>
        <v>0</v>
      </c>
      <c r="E14" s="344">
        <f>SUM(E13:E13)</f>
        <v>0</v>
      </c>
      <c r="F14" s="563"/>
      <c r="H14" s="32"/>
      <c r="I14" s="32"/>
      <c r="J14" s="32"/>
      <c r="K14" s="32"/>
      <c r="L14" s="32"/>
      <c r="M14" s="32"/>
      <c r="N14" s="32"/>
      <c r="O14" s="32"/>
      <c r="P14" s="32"/>
      <c r="Q14" s="32"/>
    </row>
    <row r="15" spans="1:17" ht="15">
      <c r="A15" s="32"/>
      <c r="B15" s="32"/>
      <c r="C15" s="32"/>
      <c r="D15" s="32"/>
      <c r="E15" s="32"/>
      <c r="F15" s="32"/>
      <c r="G15" s="32"/>
      <c r="H15" s="32"/>
      <c r="I15" s="32"/>
      <c r="J15" s="32"/>
      <c r="K15" s="32"/>
      <c r="L15" s="32"/>
      <c r="M15" s="32"/>
      <c r="N15" s="32"/>
      <c r="O15" s="32"/>
      <c r="P15" s="32"/>
      <c r="Q15" s="32"/>
    </row>
    <row r="16" spans="1:17" ht="15">
      <c r="A16" s="32"/>
      <c r="B16" s="32"/>
      <c r="C16" s="32"/>
      <c r="D16" s="32"/>
      <c r="E16" s="32"/>
      <c r="F16" s="32"/>
      <c r="G16" s="32"/>
      <c r="H16" s="32"/>
      <c r="I16" s="32"/>
      <c r="J16" s="32"/>
      <c r="K16" s="32"/>
      <c r="L16" s="32"/>
      <c r="M16" s="32"/>
      <c r="N16" s="32"/>
      <c r="O16" s="32"/>
      <c r="P16" s="32"/>
      <c r="Q16" s="32"/>
    </row>
    <row r="17" spans="1:17" ht="15">
      <c r="A17" s="32"/>
      <c r="B17" s="32"/>
      <c r="C17" s="32"/>
      <c r="D17" s="32"/>
      <c r="E17" s="32"/>
      <c r="F17" s="32"/>
      <c r="G17" s="32"/>
      <c r="H17" s="32"/>
      <c r="I17" s="32"/>
      <c r="J17" s="32"/>
      <c r="K17" s="32"/>
      <c r="L17" s="32"/>
      <c r="M17" s="32"/>
      <c r="N17" s="32"/>
      <c r="O17" s="32"/>
      <c r="P17" s="32"/>
      <c r="Q17" s="32"/>
    </row>
    <row r="18" spans="1:17" ht="15">
      <c r="A18" s="32"/>
      <c r="B18" s="32"/>
      <c r="C18" s="32"/>
      <c r="D18" s="32"/>
      <c r="E18" s="32"/>
      <c r="F18" s="32"/>
      <c r="G18" s="32"/>
      <c r="H18" s="32"/>
      <c r="I18" s="32"/>
      <c r="J18" s="32"/>
      <c r="K18" s="32"/>
      <c r="L18" s="32"/>
      <c r="M18" s="32"/>
      <c r="N18" s="32"/>
      <c r="O18" s="32"/>
      <c r="P18" s="32"/>
      <c r="Q18" s="32"/>
    </row>
    <row r="19" spans="1:17" ht="15.75" thickBot="1">
      <c r="A19" s="32"/>
      <c r="B19" s="32"/>
      <c r="C19" s="32"/>
      <c r="D19" s="32"/>
      <c r="E19" s="32"/>
      <c r="F19" s="32"/>
      <c r="G19" s="32"/>
      <c r="H19" s="32"/>
      <c r="I19" s="32"/>
      <c r="J19" s="32"/>
      <c r="K19" s="32"/>
      <c r="L19" s="32"/>
      <c r="M19" s="32"/>
      <c r="N19" s="32"/>
      <c r="O19" s="32"/>
      <c r="P19" s="32"/>
      <c r="Q19" s="32"/>
    </row>
    <row r="20" spans="1:17" ht="45.6" customHeight="1" thickBot="1">
      <c r="A20" s="32"/>
      <c r="B20" s="1325" t="s">
        <v>225</v>
      </c>
      <c r="C20" s="1326"/>
      <c r="D20" s="1326"/>
      <c r="E20" s="1327"/>
      <c r="F20" s="606"/>
      <c r="G20" s="1304" t="s">
        <v>226</v>
      </c>
      <c r="H20" s="1305"/>
      <c r="K20" s="32"/>
      <c r="L20" s="32"/>
      <c r="M20" s="32"/>
    </row>
    <row r="21" spans="1:17" ht="47.25">
      <c r="A21" s="32"/>
      <c r="B21" s="70" t="s">
        <v>114</v>
      </c>
      <c r="C21" s="71" t="s">
        <v>221</v>
      </c>
      <c r="D21" s="71" t="s">
        <v>147</v>
      </c>
      <c r="E21" s="72" t="s">
        <v>222</v>
      </c>
      <c r="G21" s="73" t="s">
        <v>228</v>
      </c>
      <c r="H21" s="350">
        <f>IF(E23&gt;0, E23, 0)</f>
        <v>0</v>
      </c>
      <c r="K21" s="32"/>
      <c r="L21" s="32"/>
      <c r="M21" s="32"/>
      <c r="N21" s="32"/>
      <c r="O21" s="32"/>
    </row>
    <row r="22" spans="1:17" ht="30.75" thickBot="1">
      <c r="A22" s="32"/>
      <c r="B22" s="273" t="str">
        <f>'G-2 Habitat groups'!A173</f>
        <v>Other rivers and streams</v>
      </c>
      <c r="C22" s="355">
        <f>'G-2 Habitat groups'!R173</f>
        <v>0</v>
      </c>
      <c r="D22" s="355">
        <f>'G-2 Habitat groups'!AD173</f>
        <v>0</v>
      </c>
      <c r="E22" s="599">
        <f>'G-2 Habitat groups'!AF173</f>
        <v>0</v>
      </c>
      <c r="G22" s="74" t="s">
        <v>229</v>
      </c>
      <c r="H22" s="351">
        <f>IF(E23&lt;0, E23, 0)</f>
        <v>0</v>
      </c>
      <c r="K22" s="32"/>
      <c r="L22" s="32"/>
      <c r="M22" s="32"/>
      <c r="N22" s="32"/>
      <c r="O22" s="32"/>
    </row>
    <row r="23" spans="1:17" ht="15.75" thickBot="1">
      <c r="A23" s="32"/>
      <c r="C23" s="609">
        <f>SUM(C22:C22)</f>
        <v>0</v>
      </c>
      <c r="D23" s="610">
        <f>SUM(D22:D22)</f>
        <v>0</v>
      </c>
      <c r="E23" s="344">
        <f>SUM(E22:E22)</f>
        <v>0</v>
      </c>
      <c r="G23" s="563"/>
      <c r="H23" s="32"/>
      <c r="I23" s="32"/>
      <c r="J23" s="32"/>
      <c r="K23" s="32"/>
      <c r="L23" s="32"/>
      <c r="M23" s="32"/>
      <c r="N23" s="32"/>
      <c r="O23" s="32"/>
      <c r="P23" s="32"/>
      <c r="Q23" s="32"/>
    </row>
    <row r="24" spans="1:17" ht="15">
      <c r="A24" s="32"/>
      <c r="B24" s="32"/>
      <c r="C24" s="32"/>
      <c r="D24" s="32"/>
      <c r="E24" s="32"/>
      <c r="F24" s="32"/>
      <c r="G24" s="32"/>
      <c r="H24" s="32"/>
      <c r="I24" s="32"/>
      <c r="J24" s="32"/>
      <c r="K24" s="32"/>
      <c r="L24" s="32"/>
      <c r="M24" s="32"/>
      <c r="N24" s="32"/>
      <c r="O24" s="32"/>
      <c r="P24" s="32"/>
      <c r="Q24" s="32"/>
    </row>
    <row r="25" spans="1:17" ht="15">
      <c r="A25" s="32"/>
      <c r="B25" s="32"/>
      <c r="C25" s="32"/>
      <c r="D25" s="32"/>
      <c r="E25" s="32"/>
      <c r="F25" s="32"/>
      <c r="G25" s="32"/>
      <c r="H25" s="32"/>
      <c r="I25" s="32"/>
      <c r="J25" s="32"/>
      <c r="K25" s="32"/>
      <c r="L25" s="32"/>
      <c r="M25" s="32"/>
      <c r="N25" s="32"/>
      <c r="O25" s="32"/>
      <c r="P25" s="32"/>
      <c r="Q25" s="32"/>
    </row>
    <row r="26" spans="1:17" ht="15">
      <c r="A26" s="32"/>
      <c r="B26" s="32"/>
      <c r="C26" s="32"/>
      <c r="D26" s="32"/>
      <c r="E26" s="32"/>
      <c r="F26" s="32"/>
      <c r="G26" s="32"/>
      <c r="H26" s="32"/>
      <c r="I26" s="32"/>
      <c r="J26" s="32"/>
      <c r="K26" s="32"/>
      <c r="L26" s="32"/>
      <c r="M26" s="32"/>
      <c r="N26" s="32"/>
      <c r="O26" s="32"/>
      <c r="P26" s="32"/>
      <c r="Q26" s="32"/>
    </row>
    <row r="27" spans="1:17" ht="15.75" thickBot="1">
      <c r="A27" s="32"/>
      <c r="B27" s="32"/>
      <c r="C27" s="32"/>
      <c r="D27" s="32"/>
      <c r="E27" s="32"/>
      <c r="F27" s="32"/>
      <c r="G27" s="32"/>
      <c r="H27" s="32"/>
      <c r="I27" s="32"/>
      <c r="J27" s="32"/>
      <c r="K27" s="32"/>
      <c r="L27" s="32"/>
      <c r="M27" s="32"/>
      <c r="N27" s="32"/>
      <c r="O27" s="32"/>
      <c r="P27" s="32"/>
      <c r="Q27" s="32"/>
    </row>
    <row r="28" spans="1:17" ht="46.15" customHeight="1" thickBot="1">
      <c r="A28" s="32"/>
      <c r="B28" s="1343" t="s">
        <v>231</v>
      </c>
      <c r="C28" s="1344"/>
      <c r="D28" s="1344"/>
      <c r="E28" s="1345"/>
      <c r="F28" s="603"/>
      <c r="G28" s="1352" t="s">
        <v>232</v>
      </c>
      <c r="H28" s="1353"/>
      <c r="K28" s="32"/>
      <c r="L28" s="32"/>
      <c r="M28" s="32"/>
      <c r="N28" s="32"/>
      <c r="O28" s="32"/>
    </row>
    <row r="29" spans="1:17" ht="47.25">
      <c r="A29" s="32"/>
      <c r="B29" s="70" t="s">
        <v>114</v>
      </c>
      <c r="C29" s="71" t="s">
        <v>120</v>
      </c>
      <c r="D29" s="71" t="s">
        <v>147</v>
      </c>
      <c r="E29" s="72" t="s">
        <v>233</v>
      </c>
      <c r="F29" s="35"/>
      <c r="G29" s="73" t="s">
        <v>248</v>
      </c>
      <c r="H29" s="352">
        <f>SUMIF(E30:E31, "&gt;0")</f>
        <v>0</v>
      </c>
      <c r="K29" s="32"/>
      <c r="L29" s="32"/>
    </row>
    <row r="30" spans="1:17" ht="30">
      <c r="A30" s="32"/>
      <c r="B30" s="271" t="str">
        <f>'G-2 Habitat groups'!A174</f>
        <v>Ditches</v>
      </c>
      <c r="C30" s="346">
        <f>'G-2 Habitat groups'!R174</f>
        <v>0</v>
      </c>
      <c r="D30" s="346">
        <f>'G-2 Habitat groups'!AD174</f>
        <v>0</v>
      </c>
      <c r="E30" s="347">
        <f>'G-2 Habitat groups'!AF174</f>
        <v>0</v>
      </c>
      <c r="F30" s="35"/>
      <c r="G30" s="99" t="s">
        <v>229</v>
      </c>
      <c r="H30" s="353">
        <f>SUMIF(E30:E31, "&lt;0", E30:E31)</f>
        <v>0</v>
      </c>
      <c r="K30" s="32"/>
      <c r="L30" s="32"/>
    </row>
    <row r="31" spans="1:17" ht="15.75" thickBot="1">
      <c r="A31" s="32"/>
      <c r="B31" s="273" t="str">
        <f>'G-2 Habitat groups'!A175</f>
        <v>Canals</v>
      </c>
      <c r="C31" s="355">
        <f>'G-2 Habitat groups'!R175</f>
        <v>0</v>
      </c>
      <c r="D31" s="355">
        <f>'G-2 Habitat groups'!AD175</f>
        <v>0</v>
      </c>
      <c r="E31" s="599">
        <f>'G-2 Habitat groups'!AF175</f>
        <v>0</v>
      </c>
      <c r="F31" s="35"/>
      <c r="H31" s="32"/>
    </row>
    <row r="32" spans="1:17" ht="15.75" thickBot="1">
      <c r="A32" s="32"/>
      <c r="B32" s="36"/>
      <c r="C32" s="410">
        <f>SUM(C30:C31)</f>
        <v>0</v>
      </c>
      <c r="D32" s="612">
        <f>SUM(D30:D31)</f>
        <v>0</v>
      </c>
      <c r="E32" s="377">
        <f>SUM(E30:E31)</f>
        <v>0</v>
      </c>
      <c r="F32" s="35"/>
      <c r="H32" s="32"/>
      <c r="K32" s="32"/>
      <c r="L32" s="32"/>
    </row>
    <row r="33" spans="1:17" ht="14.65" customHeight="1">
      <c r="A33" s="32"/>
      <c r="B33" s="32"/>
      <c r="C33" s="32"/>
      <c r="H33" s="32"/>
      <c r="I33" s="32"/>
      <c r="J33" s="32"/>
      <c r="K33" s="32"/>
      <c r="L33" s="32"/>
      <c r="M33" s="32"/>
      <c r="N33" s="32"/>
      <c r="O33" s="32"/>
    </row>
    <row r="34" spans="1:17" ht="15">
      <c r="A34" s="32"/>
      <c r="B34" s="32"/>
      <c r="C34" s="32"/>
      <c r="D34" s="32"/>
      <c r="E34" s="32"/>
      <c r="F34" s="32"/>
      <c r="G34" s="32"/>
      <c r="H34" s="32"/>
      <c r="I34" s="32"/>
      <c r="J34" s="32"/>
      <c r="K34" s="32"/>
      <c r="L34" s="32"/>
      <c r="M34" s="32"/>
      <c r="N34" s="32"/>
      <c r="O34" s="32"/>
      <c r="P34" s="32"/>
      <c r="Q34" s="32"/>
    </row>
    <row r="35" spans="1:17" ht="15">
      <c r="A35" s="32"/>
      <c r="B35" s="32"/>
      <c r="C35" s="32"/>
      <c r="D35" s="32"/>
      <c r="E35" s="32"/>
      <c r="F35" s="32"/>
      <c r="G35" s="32"/>
      <c r="H35" s="32"/>
      <c r="I35" s="32"/>
      <c r="J35" s="32"/>
      <c r="K35" s="32"/>
      <c r="L35" s="32"/>
      <c r="M35" s="32"/>
      <c r="N35" s="32"/>
      <c r="O35" s="32"/>
      <c r="P35" s="32"/>
      <c r="Q35" s="32"/>
    </row>
    <row r="36" spans="1:17" ht="15">
      <c r="A36" s="32"/>
      <c r="B36" s="32"/>
      <c r="C36" s="32"/>
      <c r="D36" s="32"/>
      <c r="E36" s="32"/>
      <c r="F36" s="32"/>
      <c r="G36" s="32"/>
      <c r="H36" s="32"/>
      <c r="I36" s="32"/>
      <c r="J36" s="32"/>
      <c r="K36" s="32"/>
      <c r="L36" s="32"/>
      <c r="M36" s="32"/>
      <c r="N36" s="32"/>
      <c r="O36" s="32"/>
      <c r="P36" s="32"/>
      <c r="Q36" s="32"/>
    </row>
    <row r="37" spans="1:17" ht="15">
      <c r="A37" s="32"/>
      <c r="B37" s="32"/>
      <c r="C37" s="32"/>
      <c r="D37" s="32"/>
      <c r="E37" s="32"/>
      <c r="F37" s="32"/>
      <c r="G37" s="32"/>
      <c r="H37" s="32"/>
      <c r="I37" s="32"/>
      <c r="J37" s="32"/>
      <c r="K37" s="32"/>
      <c r="L37" s="32"/>
      <c r="M37" s="32"/>
      <c r="N37" s="32"/>
      <c r="O37" s="32"/>
      <c r="P37" s="32"/>
      <c r="Q37" s="32"/>
    </row>
    <row r="38" spans="1:17" ht="15">
      <c r="A38" s="32"/>
      <c r="B38" s="32"/>
      <c r="C38" s="32"/>
      <c r="D38" s="32"/>
      <c r="E38" s="32"/>
      <c r="F38" s="32"/>
      <c r="G38" s="32"/>
      <c r="H38" s="32"/>
      <c r="I38" s="32"/>
      <c r="J38" s="32"/>
      <c r="K38" s="32"/>
      <c r="L38" s="32"/>
      <c r="M38" s="32"/>
      <c r="N38" s="32"/>
      <c r="O38" s="32"/>
      <c r="P38" s="32"/>
      <c r="Q38" s="32"/>
    </row>
    <row r="39" spans="1:17" ht="15.75" thickBot="1">
      <c r="A39" s="32"/>
      <c r="B39" s="32"/>
      <c r="C39" s="32"/>
      <c r="D39" s="32"/>
      <c r="E39" s="32"/>
      <c r="F39" s="38"/>
      <c r="G39" s="32"/>
      <c r="H39" s="32"/>
      <c r="I39" s="32"/>
      <c r="J39" s="32"/>
      <c r="K39" s="32"/>
      <c r="L39" s="32"/>
      <c r="M39" s="32"/>
      <c r="N39" s="32"/>
      <c r="O39" s="32"/>
      <c r="P39" s="32"/>
      <c r="Q39" s="32"/>
    </row>
    <row r="40" spans="1:17" ht="45.6" customHeight="1" thickBot="1">
      <c r="A40" s="32"/>
      <c r="B40" s="1325" t="s">
        <v>237</v>
      </c>
      <c r="C40" s="1326"/>
      <c r="D40" s="1326"/>
      <c r="E40" s="1327"/>
      <c r="F40" s="606"/>
      <c r="G40" s="1352" t="s">
        <v>238</v>
      </c>
      <c r="H40" s="1353"/>
      <c r="I40" s="32"/>
      <c r="J40" s="32"/>
      <c r="K40" s="32"/>
      <c r="L40" s="32"/>
      <c r="M40" s="32"/>
      <c r="N40" s="32"/>
      <c r="O40" s="32"/>
    </row>
    <row r="41" spans="1:17" ht="47.25">
      <c r="A41" s="32"/>
      <c r="B41" s="70" t="s">
        <v>114</v>
      </c>
      <c r="C41" s="71" t="s">
        <v>221</v>
      </c>
      <c r="D41" s="71" t="s">
        <v>147</v>
      </c>
      <c r="E41" s="72" t="s">
        <v>233</v>
      </c>
      <c r="G41" s="73" t="s">
        <v>239</v>
      </c>
      <c r="H41" s="352">
        <f>E43</f>
        <v>0</v>
      </c>
      <c r="K41" s="32"/>
      <c r="L41" s="32"/>
      <c r="M41" s="32"/>
      <c r="N41" s="32"/>
    </row>
    <row r="42" spans="1:17" ht="15.75" thickBot="1">
      <c r="A42" s="32"/>
      <c r="B42" s="211" t="str">
        <f>'G-2 Habitat groups'!A176</f>
        <v>Culvert</v>
      </c>
      <c r="C42" s="355">
        <f>'G-2 Habitat groups'!R176</f>
        <v>0</v>
      </c>
      <c r="D42" s="355">
        <f>'G-2 Habitat groups'!AD176</f>
        <v>0</v>
      </c>
      <c r="E42" s="599">
        <f>'G-2 Habitat groups'!AF176</f>
        <v>0</v>
      </c>
      <c r="G42" s="74" t="s">
        <v>1674</v>
      </c>
      <c r="H42" s="351">
        <f>H41+(H29+H21+H12)</f>
        <v>0</v>
      </c>
      <c r="K42" s="32"/>
      <c r="L42" s="32"/>
      <c r="M42" s="32"/>
      <c r="N42" s="32"/>
    </row>
    <row r="43" spans="1:17" ht="15.75" thickBot="1">
      <c r="A43" s="32"/>
      <c r="B43" s="36"/>
      <c r="C43" s="414">
        <f>SUM(C42:C42)</f>
        <v>0</v>
      </c>
      <c r="D43" s="414">
        <f>D42</f>
        <v>0</v>
      </c>
      <c r="E43" s="414">
        <f>SUM(E42:E42)</f>
        <v>0</v>
      </c>
      <c r="G43" s="32"/>
      <c r="H43" s="32"/>
      <c r="K43" s="32"/>
      <c r="L43" s="32"/>
      <c r="M43" s="32"/>
      <c r="N43" s="32"/>
    </row>
    <row r="44" spans="1:17" ht="15">
      <c r="A44" s="32"/>
      <c r="B44" s="32"/>
      <c r="C44" s="32"/>
      <c r="G44" s="32"/>
      <c r="H44" s="32"/>
      <c r="I44" s="32"/>
      <c r="J44" s="32"/>
      <c r="K44" s="32"/>
      <c r="L44" s="32"/>
      <c r="M44" s="32"/>
      <c r="N44" s="32"/>
      <c r="O44" s="32"/>
      <c r="P44" s="32"/>
      <c r="Q44" s="32"/>
    </row>
    <row r="45" spans="1:17" ht="15">
      <c r="A45" s="32"/>
      <c r="G45" s="32"/>
      <c r="H45" s="32"/>
      <c r="I45" s="32"/>
      <c r="J45" s="32"/>
      <c r="K45" s="32"/>
      <c r="L45" s="32"/>
      <c r="M45" s="32"/>
      <c r="N45" s="32"/>
      <c r="O45" s="32"/>
      <c r="P45" s="32"/>
      <c r="Q45" s="32"/>
    </row>
    <row r="46" spans="1:17" ht="15" hidden="1">
      <c r="A46" s="32"/>
      <c r="B46" s="32"/>
      <c r="C46" s="32"/>
      <c r="D46" s="32"/>
      <c r="E46" s="32"/>
      <c r="F46" s="32"/>
      <c r="G46" s="32"/>
      <c r="H46" s="32"/>
      <c r="I46" s="32"/>
      <c r="J46" s="32"/>
      <c r="K46" s="32"/>
      <c r="L46" s="32"/>
      <c r="M46" s="32"/>
      <c r="N46" s="32"/>
      <c r="O46" s="32"/>
      <c r="P46" s="32"/>
      <c r="Q46" s="32"/>
    </row>
    <row r="47" spans="1:17" ht="15" hidden="1">
      <c r="A47" s="32"/>
      <c r="B47" s="32"/>
      <c r="C47" s="32"/>
      <c r="D47" s="32"/>
      <c r="E47" s="32"/>
      <c r="F47" s="32"/>
      <c r="G47" s="32"/>
      <c r="H47" s="32"/>
      <c r="I47" s="32"/>
      <c r="J47" s="32"/>
      <c r="K47" s="32"/>
      <c r="L47" s="32"/>
      <c r="M47" s="32"/>
      <c r="N47" s="32"/>
      <c r="O47" s="32"/>
      <c r="P47" s="32"/>
      <c r="Q47" s="32"/>
    </row>
    <row r="48" spans="1:17" ht="15" hidden="1">
      <c r="A48" s="32"/>
      <c r="B48" s="32"/>
      <c r="C48" s="32"/>
      <c r="D48" s="32"/>
      <c r="E48" s="32"/>
      <c r="F48" s="32"/>
      <c r="G48" s="32"/>
      <c r="H48" s="32"/>
      <c r="I48" s="32"/>
      <c r="J48" s="32"/>
      <c r="K48" s="32"/>
      <c r="L48" s="32"/>
      <c r="M48" s="32"/>
      <c r="N48" s="32"/>
      <c r="O48" s="32"/>
      <c r="P48" s="32"/>
      <c r="Q48" s="32"/>
    </row>
    <row r="49" spans="1:17" ht="15" hidden="1">
      <c r="A49" s="32"/>
      <c r="B49" s="32"/>
      <c r="C49" s="32"/>
      <c r="D49" s="32"/>
      <c r="E49" s="32"/>
      <c r="F49" s="32"/>
      <c r="G49" s="32"/>
      <c r="H49" s="32"/>
      <c r="I49" s="32"/>
      <c r="J49" s="32"/>
      <c r="K49" s="32"/>
      <c r="L49" s="32"/>
      <c r="M49" s="32"/>
      <c r="N49" s="32"/>
      <c r="O49" s="32"/>
      <c r="P49" s="32"/>
      <c r="Q49" s="32"/>
    </row>
    <row r="50" spans="1:17" ht="15" hidden="1">
      <c r="A50" s="32"/>
      <c r="B50" s="32"/>
      <c r="C50" s="32"/>
      <c r="D50" s="32"/>
      <c r="E50" s="32"/>
      <c r="F50" s="32"/>
      <c r="G50" s="32"/>
      <c r="H50" s="32"/>
      <c r="I50" s="32"/>
      <c r="J50" s="32"/>
      <c r="K50" s="32"/>
      <c r="L50" s="32"/>
      <c r="M50" s="32"/>
      <c r="N50" s="32"/>
      <c r="O50" s="32"/>
      <c r="P50" s="32"/>
      <c r="Q50" s="32"/>
    </row>
    <row r="51" spans="1:17" ht="15" hidden="1">
      <c r="A51" s="32"/>
      <c r="B51" s="32"/>
      <c r="C51" s="32"/>
      <c r="D51" s="32"/>
      <c r="E51" s="32"/>
      <c r="F51" s="32"/>
      <c r="G51" s="32"/>
      <c r="H51" s="32"/>
      <c r="I51" s="32"/>
      <c r="J51" s="32"/>
      <c r="K51" s="32"/>
      <c r="L51" s="32"/>
      <c r="M51" s="32"/>
      <c r="N51" s="32"/>
      <c r="O51" s="32"/>
      <c r="P51" s="32"/>
      <c r="Q51" s="32"/>
    </row>
    <row r="52" spans="1:17" ht="15" hidden="1">
      <c r="A52" s="32"/>
      <c r="B52" s="32"/>
      <c r="C52" s="32"/>
      <c r="D52" s="32"/>
      <c r="E52" s="32"/>
      <c r="F52" s="32"/>
      <c r="G52" s="32"/>
      <c r="H52" s="32"/>
      <c r="I52" s="32"/>
      <c r="J52" s="32"/>
      <c r="K52" s="32"/>
      <c r="L52" s="32"/>
      <c r="M52" s="32"/>
      <c r="N52" s="32"/>
      <c r="O52" s="32"/>
      <c r="P52" s="32"/>
      <c r="Q52" s="32"/>
    </row>
    <row r="53" spans="1:17" ht="15" hidden="1">
      <c r="A53" s="32"/>
      <c r="B53" s="32"/>
      <c r="C53" s="32"/>
      <c r="D53" s="32"/>
      <c r="E53" s="32"/>
      <c r="F53" s="32"/>
      <c r="G53" s="32"/>
      <c r="H53" s="32"/>
      <c r="I53" s="32"/>
      <c r="J53" s="32"/>
      <c r="K53" s="32"/>
      <c r="L53" s="32"/>
      <c r="M53" s="32"/>
      <c r="N53" s="32"/>
      <c r="O53" s="32"/>
      <c r="P53" s="32"/>
      <c r="Q53" s="32"/>
    </row>
    <row r="54" spans="1:17" ht="15" hidden="1">
      <c r="A54" s="32"/>
      <c r="B54" s="32"/>
      <c r="C54" s="32"/>
      <c r="D54" s="32"/>
      <c r="E54" s="32"/>
      <c r="F54" s="32"/>
      <c r="G54" s="32"/>
      <c r="H54" s="32"/>
      <c r="I54" s="32"/>
      <c r="J54" s="32"/>
      <c r="K54" s="32"/>
      <c r="L54" s="32"/>
      <c r="M54" s="32"/>
      <c r="N54" s="32"/>
      <c r="O54" s="32"/>
      <c r="P54" s="32"/>
      <c r="Q54" s="32"/>
    </row>
    <row r="55" spans="1:17" ht="15" hidden="1">
      <c r="A55" s="32"/>
      <c r="B55" s="32"/>
      <c r="C55" s="32"/>
      <c r="D55" s="32"/>
      <c r="E55" s="32"/>
      <c r="F55" s="32"/>
      <c r="G55" s="32"/>
      <c r="H55" s="32"/>
      <c r="I55" s="32"/>
      <c r="J55" s="32"/>
      <c r="K55" s="32"/>
      <c r="L55" s="32"/>
      <c r="M55" s="32"/>
      <c r="N55" s="32"/>
      <c r="O55" s="32"/>
      <c r="P55" s="32"/>
      <c r="Q55" s="32"/>
    </row>
    <row r="56" spans="1:17" ht="15" hidden="1">
      <c r="A56" s="32"/>
      <c r="B56" s="32"/>
      <c r="C56" s="32"/>
      <c r="D56" s="32"/>
      <c r="E56" s="32"/>
      <c r="F56" s="32"/>
      <c r="G56" s="32"/>
      <c r="H56" s="32"/>
      <c r="I56" s="32"/>
      <c r="J56" s="32"/>
      <c r="K56" s="32"/>
      <c r="L56" s="32"/>
      <c r="M56" s="32"/>
      <c r="N56" s="32"/>
      <c r="O56" s="32"/>
      <c r="P56" s="32"/>
      <c r="Q56" s="32"/>
    </row>
    <row r="57" spans="1:17" ht="15" hidden="1">
      <c r="A57" s="32"/>
      <c r="B57" s="32"/>
      <c r="C57" s="32"/>
      <c r="D57" s="32"/>
      <c r="E57" s="32"/>
      <c r="F57" s="32"/>
      <c r="G57" s="32"/>
      <c r="H57" s="32"/>
      <c r="I57" s="32"/>
      <c r="J57" s="32"/>
      <c r="K57" s="32"/>
      <c r="L57" s="32"/>
      <c r="M57" s="32"/>
      <c r="N57" s="32"/>
      <c r="O57" s="32"/>
      <c r="P57" s="32"/>
      <c r="Q57" s="32"/>
    </row>
    <row r="58" spans="1:17" ht="15" hidden="1">
      <c r="A58" s="32"/>
      <c r="B58" s="32"/>
      <c r="C58" s="32"/>
      <c r="D58" s="32"/>
      <c r="E58" s="32"/>
      <c r="F58" s="32"/>
      <c r="G58" s="32"/>
      <c r="H58" s="32"/>
      <c r="I58" s="32"/>
      <c r="J58" s="32"/>
      <c r="K58" s="32"/>
      <c r="L58" s="32"/>
      <c r="M58" s="32"/>
      <c r="N58" s="32"/>
      <c r="O58" s="32"/>
      <c r="P58" s="32"/>
      <c r="Q58" s="32"/>
    </row>
    <row r="59" spans="1:17" ht="15" hidden="1">
      <c r="A59" s="32"/>
      <c r="B59" s="32"/>
      <c r="C59" s="32"/>
      <c r="D59" s="32"/>
      <c r="E59" s="32"/>
      <c r="F59" s="32"/>
      <c r="G59" s="32"/>
      <c r="H59" s="32"/>
      <c r="I59" s="32"/>
      <c r="J59" s="32"/>
      <c r="K59" s="32"/>
      <c r="L59" s="32"/>
      <c r="M59" s="32"/>
      <c r="N59" s="32"/>
      <c r="O59" s="32"/>
      <c r="P59" s="32"/>
      <c r="Q59" s="32"/>
    </row>
    <row r="60" spans="1:17" ht="15" hidden="1">
      <c r="A60" s="32"/>
      <c r="B60" s="32"/>
      <c r="C60" s="32"/>
      <c r="D60" s="32"/>
      <c r="E60" s="32"/>
      <c r="F60" s="32"/>
      <c r="G60" s="32"/>
      <c r="H60" s="32"/>
      <c r="I60" s="32"/>
      <c r="J60" s="32"/>
      <c r="K60" s="32"/>
      <c r="L60" s="32"/>
      <c r="M60" s="32"/>
      <c r="N60" s="32"/>
      <c r="O60" s="32"/>
      <c r="P60" s="32"/>
      <c r="Q60" s="32"/>
    </row>
    <row r="61" spans="1:17" ht="15" hidden="1">
      <c r="A61" s="32"/>
      <c r="B61" s="32"/>
      <c r="C61" s="32"/>
      <c r="D61" s="32"/>
      <c r="E61" s="32"/>
      <c r="F61" s="32"/>
      <c r="G61" s="32"/>
      <c r="H61" s="32"/>
      <c r="I61" s="32"/>
      <c r="J61" s="32"/>
      <c r="K61" s="32"/>
      <c r="L61" s="32"/>
      <c r="M61" s="32"/>
      <c r="N61" s="32"/>
      <c r="O61" s="32"/>
      <c r="P61" s="32"/>
      <c r="Q61" s="32"/>
    </row>
    <row r="62" spans="1:17" ht="15" hidden="1">
      <c r="A62" s="32"/>
      <c r="B62" s="32"/>
      <c r="C62" s="32"/>
      <c r="D62" s="32"/>
      <c r="E62" s="32"/>
      <c r="F62" s="32"/>
      <c r="G62" s="32"/>
      <c r="H62" s="32"/>
      <c r="I62" s="32"/>
      <c r="J62" s="32"/>
      <c r="K62" s="32"/>
      <c r="L62" s="32"/>
      <c r="M62" s="32"/>
      <c r="N62" s="32"/>
      <c r="O62" s="32"/>
      <c r="P62" s="32"/>
      <c r="Q62" s="32"/>
    </row>
    <row r="63" spans="1:17" ht="15" hidden="1">
      <c r="A63" s="32"/>
      <c r="B63" s="32"/>
      <c r="C63" s="32"/>
      <c r="D63" s="32"/>
      <c r="E63" s="32"/>
      <c r="F63" s="32"/>
      <c r="G63" s="32"/>
      <c r="H63" s="32"/>
      <c r="I63" s="32"/>
      <c r="J63" s="32"/>
      <c r="K63" s="32"/>
      <c r="L63" s="32"/>
      <c r="M63" s="32"/>
      <c r="N63" s="32"/>
      <c r="O63" s="32"/>
      <c r="P63" s="32"/>
      <c r="Q63" s="32"/>
    </row>
    <row r="64" spans="1:17" ht="15" hidden="1">
      <c r="A64" s="32"/>
      <c r="B64" s="32"/>
      <c r="C64" s="32"/>
      <c r="D64" s="32"/>
      <c r="E64" s="32"/>
      <c r="F64" s="32"/>
      <c r="G64" s="32"/>
      <c r="H64" s="32"/>
      <c r="I64" s="32"/>
      <c r="J64" s="32"/>
      <c r="K64" s="32"/>
      <c r="L64" s="32"/>
      <c r="M64" s="32"/>
      <c r="N64" s="32"/>
      <c r="O64" s="32"/>
      <c r="P64" s="32"/>
      <c r="Q64" s="32"/>
    </row>
    <row r="65" spans="1:17" ht="15" hidden="1">
      <c r="A65" s="32"/>
      <c r="B65" s="32"/>
      <c r="C65" s="32"/>
      <c r="D65" s="32"/>
      <c r="E65" s="32"/>
      <c r="F65" s="32"/>
      <c r="G65" s="32"/>
      <c r="H65" s="32"/>
      <c r="I65" s="32"/>
      <c r="J65" s="32"/>
      <c r="K65" s="32"/>
      <c r="L65" s="32"/>
      <c r="M65" s="32"/>
      <c r="N65" s="32"/>
      <c r="O65" s="32"/>
      <c r="P65" s="32"/>
      <c r="Q65" s="32"/>
    </row>
    <row r="66" spans="1:17" ht="15" hidden="1">
      <c r="A66" s="32"/>
      <c r="B66" s="32"/>
      <c r="C66" s="32"/>
      <c r="D66" s="32"/>
      <c r="E66" s="32"/>
      <c r="F66" s="32"/>
      <c r="G66" s="32"/>
      <c r="H66" s="32"/>
      <c r="I66" s="32"/>
      <c r="J66" s="32"/>
      <c r="K66" s="32"/>
      <c r="L66" s="32"/>
      <c r="M66" s="32"/>
      <c r="N66" s="32"/>
      <c r="O66" s="32"/>
      <c r="P66" s="32"/>
      <c r="Q66" s="32"/>
    </row>
    <row r="67" spans="1:17" ht="15" hidden="1">
      <c r="A67" s="32"/>
      <c r="B67" s="32"/>
      <c r="C67" s="32"/>
      <c r="D67" s="32"/>
      <c r="E67" s="32"/>
      <c r="F67" s="32"/>
      <c r="G67" s="32"/>
      <c r="H67" s="32"/>
      <c r="I67" s="32"/>
      <c r="J67" s="32"/>
      <c r="K67" s="32"/>
      <c r="L67" s="32"/>
      <c r="M67" s="32"/>
      <c r="N67" s="32"/>
      <c r="O67" s="32"/>
      <c r="P67" s="32"/>
      <c r="Q67" s="32"/>
    </row>
    <row r="68" spans="1:17" ht="15" hidden="1">
      <c r="A68" s="32"/>
      <c r="B68" s="32"/>
      <c r="C68" s="32"/>
      <c r="D68" s="32"/>
      <c r="E68" s="32"/>
      <c r="F68" s="32"/>
      <c r="G68" s="32"/>
      <c r="H68" s="32"/>
      <c r="I68" s="32"/>
      <c r="J68" s="32"/>
      <c r="K68" s="32"/>
      <c r="L68" s="32"/>
      <c r="M68" s="32"/>
      <c r="N68" s="32"/>
      <c r="O68" s="32"/>
      <c r="P68" s="32"/>
      <c r="Q68" s="32"/>
    </row>
    <row r="69" spans="1:17" ht="15" hidden="1">
      <c r="A69" s="32"/>
      <c r="B69" s="32"/>
      <c r="C69" s="32"/>
      <c r="D69" s="32"/>
      <c r="E69" s="32"/>
      <c r="F69" s="32"/>
      <c r="G69" s="32"/>
      <c r="H69" s="32"/>
      <c r="I69" s="32"/>
      <c r="J69" s="32"/>
      <c r="K69" s="32"/>
      <c r="L69" s="32"/>
      <c r="M69" s="32"/>
      <c r="N69" s="32"/>
      <c r="O69" s="32"/>
      <c r="P69" s="32"/>
      <c r="Q69" s="32"/>
    </row>
    <row r="70" spans="1:17" ht="15" hidden="1">
      <c r="A70" s="32"/>
      <c r="B70" s="32"/>
      <c r="C70" s="32"/>
      <c r="D70" s="32"/>
      <c r="E70" s="32"/>
      <c r="F70" s="32"/>
      <c r="G70" s="32"/>
      <c r="H70" s="32"/>
      <c r="I70" s="32"/>
      <c r="J70" s="32"/>
      <c r="K70" s="32"/>
      <c r="L70" s="32"/>
      <c r="M70" s="32"/>
      <c r="N70" s="32"/>
      <c r="O70" s="32"/>
      <c r="P70" s="32"/>
      <c r="Q70" s="32"/>
    </row>
    <row r="71" spans="1:17" ht="15" hidden="1">
      <c r="A71" s="32"/>
      <c r="B71" s="32"/>
      <c r="C71" s="32"/>
      <c r="D71" s="32"/>
      <c r="E71" s="32"/>
      <c r="F71" s="32"/>
      <c r="G71" s="32"/>
      <c r="H71" s="32"/>
      <c r="I71" s="32"/>
      <c r="J71" s="32"/>
      <c r="K71" s="32"/>
      <c r="L71" s="32"/>
      <c r="M71" s="32"/>
      <c r="N71" s="32"/>
      <c r="O71" s="32"/>
      <c r="P71" s="32"/>
      <c r="Q71" s="32"/>
    </row>
    <row r="72" spans="1:17" ht="15" hidden="1">
      <c r="A72" s="32"/>
      <c r="B72" s="32"/>
      <c r="C72" s="32"/>
      <c r="D72" s="32"/>
      <c r="E72" s="32"/>
      <c r="F72" s="32"/>
      <c r="G72" s="32"/>
      <c r="H72" s="32"/>
      <c r="I72" s="32"/>
      <c r="J72" s="32"/>
      <c r="K72" s="32"/>
      <c r="L72" s="32"/>
      <c r="M72" s="32"/>
      <c r="N72" s="32"/>
      <c r="O72" s="32"/>
      <c r="P72" s="32"/>
      <c r="Q72" s="32"/>
    </row>
    <row r="73" spans="1:17" ht="15" hidden="1">
      <c r="A73" s="32"/>
      <c r="B73" s="32"/>
      <c r="C73" s="32"/>
      <c r="D73" s="32"/>
      <c r="E73" s="32"/>
      <c r="F73" s="32"/>
      <c r="G73" s="32"/>
      <c r="H73" s="32"/>
      <c r="I73" s="32"/>
      <c r="J73" s="32"/>
      <c r="K73" s="32"/>
      <c r="L73" s="32"/>
      <c r="M73" s="32"/>
      <c r="N73" s="32"/>
      <c r="O73" s="32"/>
      <c r="P73" s="32"/>
      <c r="Q73" s="32"/>
    </row>
    <row r="74" spans="1:17" ht="15" hidden="1">
      <c r="A74" s="32"/>
      <c r="B74" s="32"/>
      <c r="C74" s="32"/>
      <c r="D74" s="32"/>
      <c r="E74" s="32"/>
      <c r="F74" s="32"/>
      <c r="G74" s="32"/>
      <c r="H74" s="32"/>
      <c r="I74" s="32"/>
      <c r="J74" s="32"/>
      <c r="K74" s="32"/>
      <c r="L74" s="32"/>
      <c r="M74" s="32"/>
      <c r="N74" s="32"/>
      <c r="O74" s="32"/>
      <c r="P74" s="32"/>
      <c r="Q74" s="32"/>
    </row>
    <row r="75" spans="1:17" ht="15" hidden="1">
      <c r="A75" s="32"/>
      <c r="B75" s="32"/>
      <c r="C75" s="32"/>
      <c r="D75" s="32"/>
      <c r="E75" s="32"/>
      <c r="F75" s="32"/>
      <c r="G75" s="32"/>
      <c r="H75" s="32"/>
      <c r="I75" s="32"/>
      <c r="J75" s="32"/>
      <c r="K75" s="32"/>
      <c r="L75" s="32"/>
      <c r="M75" s="32"/>
      <c r="N75" s="32"/>
      <c r="O75" s="32"/>
      <c r="P75" s="32"/>
      <c r="Q75" s="32"/>
    </row>
    <row r="76" spans="1:17" ht="15" hidden="1">
      <c r="A76" s="32"/>
      <c r="B76" s="32"/>
      <c r="C76" s="32"/>
      <c r="D76" s="32"/>
      <c r="E76" s="32"/>
      <c r="F76" s="32"/>
      <c r="G76" s="32"/>
      <c r="H76" s="32"/>
      <c r="I76" s="32"/>
      <c r="J76" s="32"/>
      <c r="K76" s="32"/>
      <c r="L76" s="32"/>
      <c r="M76" s="32"/>
      <c r="N76" s="32"/>
      <c r="O76" s="32"/>
      <c r="P76" s="32"/>
      <c r="Q76" s="32"/>
    </row>
    <row r="77" spans="1:17" ht="15" hidden="1">
      <c r="A77" s="32"/>
      <c r="B77" s="32"/>
      <c r="C77" s="32"/>
      <c r="D77" s="32"/>
      <c r="E77" s="32"/>
      <c r="F77" s="32"/>
      <c r="G77" s="32"/>
      <c r="H77" s="32"/>
      <c r="I77" s="32"/>
      <c r="J77" s="32"/>
      <c r="K77" s="32"/>
      <c r="L77" s="32"/>
      <c r="M77" s="32"/>
      <c r="N77" s="32"/>
      <c r="O77" s="32"/>
      <c r="P77" s="32"/>
      <c r="Q77" s="32"/>
    </row>
    <row r="78" spans="1:17" ht="15" hidden="1">
      <c r="A78" s="32"/>
      <c r="B78" s="32"/>
      <c r="C78" s="32"/>
      <c r="D78" s="32"/>
      <c r="E78" s="32"/>
      <c r="F78" s="32"/>
      <c r="G78" s="32"/>
      <c r="H78" s="32"/>
      <c r="I78" s="32"/>
      <c r="J78" s="32"/>
      <c r="K78" s="32"/>
      <c r="L78" s="32"/>
      <c r="M78" s="32"/>
      <c r="N78" s="32"/>
      <c r="O78" s="32"/>
      <c r="P78" s="32"/>
      <c r="Q78" s="32"/>
    </row>
    <row r="79" spans="1:17" ht="15" hidden="1">
      <c r="A79" s="32"/>
      <c r="B79" s="32"/>
      <c r="C79" s="32"/>
      <c r="D79" s="32"/>
      <c r="E79" s="32"/>
      <c r="F79" s="32"/>
      <c r="G79" s="32"/>
      <c r="H79" s="32"/>
      <c r="I79" s="32"/>
      <c r="J79" s="32"/>
      <c r="K79" s="32"/>
      <c r="L79" s="32"/>
      <c r="M79" s="32"/>
      <c r="N79" s="32"/>
      <c r="O79" s="32"/>
      <c r="P79" s="32"/>
      <c r="Q79" s="32"/>
    </row>
    <row r="80" spans="1:17" ht="15" hidden="1">
      <c r="A80" s="32"/>
      <c r="B80" s="32"/>
      <c r="C80" s="32"/>
      <c r="D80" s="32"/>
      <c r="E80" s="32"/>
      <c r="F80" s="32"/>
      <c r="G80" s="32"/>
      <c r="H80" s="32"/>
      <c r="I80" s="32"/>
      <c r="J80" s="32"/>
      <c r="K80" s="32"/>
      <c r="L80" s="32"/>
      <c r="M80" s="32"/>
      <c r="N80" s="32"/>
      <c r="O80" s="32"/>
      <c r="P80" s="32"/>
      <c r="Q80" s="32"/>
    </row>
    <row r="81" spans="1:17" ht="15" hidden="1">
      <c r="A81" s="32"/>
      <c r="B81" s="32"/>
      <c r="C81" s="32"/>
      <c r="D81" s="32"/>
      <c r="E81" s="32"/>
      <c r="F81" s="32"/>
      <c r="G81" s="32"/>
      <c r="H81" s="32"/>
      <c r="I81" s="32"/>
      <c r="J81" s="32"/>
      <c r="K81" s="32"/>
      <c r="L81" s="32"/>
      <c r="M81" s="32"/>
      <c r="N81" s="32"/>
      <c r="O81" s="32"/>
      <c r="P81" s="32"/>
      <c r="Q81" s="32"/>
    </row>
    <row r="82" spans="1:17" ht="15" hidden="1">
      <c r="A82" s="32"/>
      <c r="B82" s="32"/>
      <c r="C82" s="32"/>
      <c r="D82" s="32"/>
      <c r="E82" s="32"/>
      <c r="F82" s="32"/>
      <c r="G82" s="32"/>
      <c r="H82" s="32"/>
      <c r="I82" s="32"/>
      <c r="J82" s="32"/>
      <c r="K82" s="32"/>
      <c r="L82" s="32"/>
      <c r="M82" s="32"/>
      <c r="N82" s="32"/>
      <c r="O82" s="32"/>
      <c r="P82" s="32"/>
      <c r="Q82" s="32"/>
    </row>
    <row r="83" spans="1:17" ht="15" hidden="1">
      <c r="A83" s="32"/>
      <c r="B83" s="32"/>
      <c r="C83" s="32"/>
      <c r="D83" s="32"/>
      <c r="E83" s="32"/>
      <c r="F83" s="32"/>
      <c r="G83" s="32"/>
      <c r="H83" s="32"/>
      <c r="I83" s="32"/>
      <c r="J83" s="32"/>
      <c r="K83" s="32"/>
      <c r="L83" s="32"/>
      <c r="M83" s="32"/>
      <c r="N83" s="32"/>
      <c r="O83" s="32"/>
      <c r="P83" s="32"/>
      <c r="Q83" s="32"/>
    </row>
    <row r="84" spans="1:17" ht="15" hidden="1">
      <c r="A84" s="32"/>
      <c r="B84" s="32"/>
      <c r="C84" s="32"/>
      <c r="D84" s="32"/>
      <c r="E84" s="32"/>
      <c r="F84" s="32"/>
      <c r="G84" s="32"/>
      <c r="H84" s="32"/>
      <c r="I84" s="32"/>
      <c r="J84" s="32"/>
      <c r="K84" s="32"/>
      <c r="L84" s="32"/>
      <c r="M84" s="32"/>
      <c r="N84" s="32"/>
      <c r="O84" s="32"/>
      <c r="P84" s="32"/>
      <c r="Q84" s="32"/>
    </row>
    <row r="85" spans="1:17" ht="15" hidden="1">
      <c r="A85" s="32"/>
      <c r="B85" s="32"/>
      <c r="C85" s="32"/>
      <c r="D85" s="32"/>
      <c r="E85" s="32"/>
      <c r="F85" s="32"/>
      <c r="G85" s="32"/>
      <c r="H85" s="32"/>
      <c r="I85" s="32"/>
      <c r="J85" s="32"/>
      <c r="K85" s="32"/>
      <c r="L85" s="32"/>
      <c r="M85" s="32"/>
      <c r="N85" s="32"/>
      <c r="O85" s="32"/>
      <c r="P85" s="32"/>
      <c r="Q85" s="32"/>
    </row>
    <row r="86" spans="1:17" ht="15" hidden="1">
      <c r="A86" s="32"/>
      <c r="B86" s="32"/>
      <c r="C86" s="32"/>
      <c r="D86" s="32"/>
      <c r="E86" s="32"/>
      <c r="F86" s="32"/>
      <c r="G86" s="32"/>
      <c r="H86" s="32"/>
      <c r="I86" s="32"/>
      <c r="J86" s="32"/>
      <c r="K86" s="32"/>
      <c r="L86" s="32"/>
      <c r="M86" s="32"/>
      <c r="N86" s="32"/>
      <c r="O86" s="32"/>
      <c r="P86" s="32"/>
      <c r="Q86" s="32"/>
    </row>
    <row r="87" spans="1:17" ht="15" hidden="1">
      <c r="A87" s="32"/>
      <c r="B87" s="32"/>
      <c r="C87" s="32"/>
      <c r="D87" s="32"/>
      <c r="E87" s="32"/>
      <c r="F87" s="32"/>
      <c r="G87" s="32"/>
      <c r="H87" s="32"/>
      <c r="I87" s="32"/>
      <c r="J87" s="32"/>
      <c r="K87" s="32"/>
      <c r="L87" s="32"/>
      <c r="M87" s="32"/>
      <c r="N87" s="32"/>
      <c r="O87" s="32"/>
      <c r="P87" s="32"/>
      <c r="Q87" s="32"/>
    </row>
    <row r="88" spans="1:17" ht="15" hidden="1">
      <c r="A88" s="32"/>
      <c r="B88" s="32"/>
      <c r="C88" s="32"/>
      <c r="D88" s="32"/>
      <c r="E88" s="32"/>
      <c r="F88" s="32"/>
      <c r="G88" s="32"/>
      <c r="H88" s="32"/>
      <c r="I88" s="32"/>
      <c r="J88" s="32"/>
      <c r="K88" s="32"/>
      <c r="L88" s="32"/>
      <c r="M88" s="32"/>
      <c r="N88" s="32"/>
      <c r="O88" s="32"/>
      <c r="P88" s="32"/>
      <c r="Q88" s="32"/>
    </row>
    <row r="89" spans="1:17" ht="15" hidden="1">
      <c r="A89" s="32"/>
      <c r="B89" s="32"/>
      <c r="C89" s="32"/>
      <c r="D89" s="32"/>
      <c r="E89" s="32"/>
      <c r="F89" s="32"/>
      <c r="G89" s="32"/>
      <c r="H89" s="32"/>
      <c r="I89" s="32"/>
      <c r="J89" s="32"/>
      <c r="K89" s="32"/>
      <c r="L89" s="32"/>
      <c r="M89" s="32"/>
      <c r="N89" s="32"/>
      <c r="O89" s="32"/>
      <c r="P89" s="32"/>
      <c r="Q89" s="32"/>
    </row>
    <row r="90" spans="1:17" ht="15" hidden="1">
      <c r="A90" s="32"/>
      <c r="B90" s="32"/>
      <c r="C90" s="32"/>
      <c r="D90" s="32"/>
      <c r="E90" s="32"/>
      <c r="F90" s="32"/>
      <c r="G90" s="32"/>
      <c r="H90" s="32"/>
      <c r="I90" s="32"/>
      <c r="J90" s="32"/>
      <c r="K90" s="32"/>
      <c r="L90" s="32"/>
      <c r="M90" s="32"/>
      <c r="N90" s="32"/>
      <c r="O90" s="32"/>
      <c r="P90" s="32"/>
      <c r="Q90" s="32"/>
    </row>
    <row r="91" spans="1:17" ht="15" hidden="1">
      <c r="A91" s="32"/>
      <c r="B91" s="32"/>
      <c r="C91" s="32"/>
      <c r="D91" s="32"/>
      <c r="E91" s="32"/>
      <c r="F91" s="32"/>
      <c r="G91" s="32"/>
      <c r="H91" s="32"/>
      <c r="I91" s="32"/>
      <c r="J91" s="32"/>
      <c r="K91" s="32"/>
      <c r="L91" s="32"/>
      <c r="M91" s="32"/>
      <c r="N91" s="32"/>
      <c r="O91" s="32"/>
      <c r="P91" s="32"/>
      <c r="Q91" s="32"/>
    </row>
    <row r="92" spans="1:17" ht="15" hidden="1">
      <c r="A92" s="32"/>
      <c r="B92" s="32"/>
      <c r="C92" s="32"/>
      <c r="D92" s="32"/>
      <c r="E92" s="32"/>
      <c r="F92" s="32"/>
      <c r="G92" s="32"/>
      <c r="H92" s="32"/>
      <c r="I92" s="32"/>
      <c r="J92" s="32"/>
      <c r="K92" s="32"/>
      <c r="L92" s="32"/>
      <c r="M92" s="32"/>
      <c r="N92" s="32"/>
      <c r="O92" s="32"/>
      <c r="P92" s="32"/>
      <c r="Q92" s="32"/>
    </row>
    <row r="93" spans="1:17" ht="15" hidden="1">
      <c r="A93" s="32"/>
      <c r="B93" s="32"/>
      <c r="C93" s="32"/>
      <c r="D93" s="32"/>
      <c r="E93" s="32"/>
      <c r="F93" s="32"/>
      <c r="G93" s="32"/>
      <c r="H93" s="32"/>
      <c r="I93" s="32"/>
      <c r="J93" s="32"/>
      <c r="K93" s="32"/>
      <c r="L93" s="32"/>
      <c r="M93" s="32"/>
      <c r="N93" s="32"/>
      <c r="O93" s="32"/>
      <c r="P93" s="32"/>
      <c r="Q93" s="32"/>
    </row>
    <row r="94" spans="1:17" ht="15" hidden="1">
      <c r="A94" s="32"/>
      <c r="B94" s="32"/>
      <c r="C94" s="32"/>
      <c r="D94" s="32"/>
      <c r="E94" s="32"/>
      <c r="F94" s="32"/>
      <c r="G94" s="32"/>
      <c r="H94" s="32"/>
      <c r="I94" s="32"/>
      <c r="J94" s="32"/>
      <c r="K94" s="32"/>
      <c r="L94" s="32"/>
      <c r="M94" s="32"/>
      <c r="N94" s="32"/>
      <c r="O94" s="32"/>
      <c r="P94" s="32"/>
      <c r="Q94" s="32"/>
    </row>
    <row r="95" spans="1:17" ht="15" hidden="1">
      <c r="A95" s="32"/>
      <c r="B95" s="32"/>
      <c r="C95" s="32"/>
      <c r="D95" s="32"/>
      <c r="E95" s="32"/>
      <c r="F95" s="32"/>
      <c r="G95" s="32"/>
      <c r="H95" s="32"/>
      <c r="I95" s="32"/>
      <c r="J95" s="32"/>
      <c r="K95" s="32"/>
      <c r="L95" s="32"/>
      <c r="M95" s="32"/>
      <c r="N95" s="32"/>
      <c r="O95" s="32"/>
      <c r="P95" s="32"/>
      <c r="Q95" s="32"/>
    </row>
    <row r="96" spans="1:17" ht="15" hidden="1">
      <c r="A96" s="32"/>
      <c r="B96" s="32"/>
      <c r="C96" s="32"/>
      <c r="D96" s="32"/>
      <c r="E96" s="32"/>
      <c r="F96" s="32"/>
      <c r="G96" s="32"/>
      <c r="H96" s="32"/>
      <c r="I96" s="32"/>
      <c r="J96" s="32"/>
      <c r="K96" s="32"/>
      <c r="L96" s="32"/>
      <c r="M96" s="32"/>
      <c r="N96" s="32"/>
      <c r="O96" s="32"/>
      <c r="P96" s="32"/>
      <c r="Q96" s="32"/>
    </row>
    <row r="97" spans="1:17" ht="15" hidden="1">
      <c r="A97" s="32"/>
      <c r="B97" s="32"/>
      <c r="C97" s="32"/>
      <c r="D97" s="32"/>
      <c r="E97" s="32"/>
      <c r="F97" s="32"/>
      <c r="G97" s="32"/>
      <c r="H97" s="32"/>
      <c r="I97" s="32"/>
      <c r="J97" s="32"/>
      <c r="K97" s="32"/>
      <c r="L97" s="32"/>
      <c r="M97" s="32"/>
      <c r="N97" s="32"/>
      <c r="O97" s="32"/>
      <c r="P97" s="32"/>
      <c r="Q97" s="32"/>
    </row>
    <row r="98" spans="1:17" ht="15" hidden="1">
      <c r="A98" s="32"/>
      <c r="B98" s="32"/>
      <c r="C98" s="32"/>
      <c r="D98" s="32"/>
      <c r="E98" s="32"/>
      <c r="F98" s="32"/>
      <c r="G98" s="32"/>
      <c r="H98" s="32"/>
      <c r="I98" s="32"/>
      <c r="J98" s="32"/>
      <c r="K98" s="32"/>
      <c r="L98" s="32"/>
      <c r="M98" s="32"/>
      <c r="N98" s="32"/>
      <c r="O98" s="32"/>
      <c r="P98" s="32"/>
      <c r="Q98" s="32"/>
    </row>
    <row r="99" spans="1:17" ht="15" hidden="1">
      <c r="A99" s="32"/>
      <c r="B99" s="32"/>
      <c r="C99" s="32"/>
      <c r="D99" s="32"/>
      <c r="E99" s="32"/>
      <c r="F99" s="32"/>
      <c r="G99" s="32"/>
      <c r="H99" s="32"/>
      <c r="I99" s="32"/>
      <c r="J99" s="32"/>
      <c r="K99" s="32"/>
      <c r="L99" s="32"/>
      <c r="M99" s="32"/>
      <c r="N99" s="32"/>
      <c r="O99" s="32"/>
      <c r="P99" s="32"/>
      <c r="Q99" s="32"/>
    </row>
    <row r="100" spans="1:17" ht="15" hidden="1">
      <c r="A100" s="32"/>
      <c r="B100" s="32"/>
      <c r="C100" s="32"/>
      <c r="D100" s="32"/>
      <c r="E100" s="32"/>
      <c r="F100" s="32"/>
      <c r="G100" s="32"/>
      <c r="H100" s="32"/>
      <c r="I100" s="32"/>
      <c r="J100" s="32"/>
      <c r="K100" s="32"/>
      <c r="L100" s="32"/>
      <c r="M100" s="32"/>
      <c r="N100" s="32"/>
      <c r="O100" s="32"/>
      <c r="P100" s="32"/>
      <c r="Q100" s="32"/>
    </row>
    <row r="101" spans="1:17" ht="15" hidden="1">
      <c r="A101" s="32"/>
      <c r="B101" s="32"/>
      <c r="C101" s="32"/>
      <c r="D101" s="32"/>
      <c r="E101" s="32"/>
      <c r="F101" s="32"/>
      <c r="G101" s="32"/>
      <c r="H101" s="32"/>
      <c r="I101" s="32"/>
      <c r="J101" s="32"/>
      <c r="K101" s="32"/>
      <c r="L101" s="32"/>
      <c r="M101" s="32"/>
      <c r="N101" s="32"/>
      <c r="O101" s="32"/>
      <c r="P101" s="32"/>
      <c r="Q101" s="32"/>
    </row>
    <row r="102" spans="1:17" ht="15" hidden="1">
      <c r="A102" s="32"/>
      <c r="B102" s="32"/>
      <c r="C102" s="32"/>
      <c r="D102" s="32"/>
      <c r="E102" s="32"/>
      <c r="F102" s="32"/>
      <c r="G102" s="32"/>
      <c r="H102" s="32"/>
      <c r="I102" s="32"/>
      <c r="J102" s="32"/>
      <c r="K102" s="32"/>
      <c r="L102" s="32"/>
      <c r="M102" s="32"/>
      <c r="N102" s="32"/>
      <c r="O102" s="32"/>
      <c r="P102" s="32"/>
      <c r="Q102" s="32"/>
    </row>
    <row r="103" spans="1:17" ht="15" hidden="1">
      <c r="A103" s="32"/>
      <c r="B103" s="32"/>
      <c r="C103" s="32"/>
      <c r="D103" s="32"/>
      <c r="E103" s="32"/>
      <c r="F103" s="32"/>
      <c r="G103" s="32"/>
      <c r="H103" s="32"/>
      <c r="I103" s="32"/>
      <c r="J103" s="32"/>
      <c r="K103" s="32"/>
      <c r="L103" s="32"/>
      <c r="M103" s="32"/>
      <c r="N103" s="32"/>
      <c r="O103" s="32"/>
      <c r="P103" s="32"/>
      <c r="Q103" s="32"/>
    </row>
    <row r="104" spans="1:17" ht="15" hidden="1">
      <c r="A104" s="32"/>
      <c r="B104" s="32"/>
      <c r="C104" s="32"/>
      <c r="D104" s="32"/>
      <c r="E104" s="32"/>
      <c r="F104" s="32"/>
      <c r="G104" s="32"/>
      <c r="H104" s="32"/>
      <c r="I104" s="32"/>
      <c r="J104" s="32"/>
      <c r="K104" s="32"/>
      <c r="L104" s="32"/>
      <c r="M104" s="32"/>
      <c r="N104" s="32"/>
      <c r="O104" s="32"/>
      <c r="P104" s="32"/>
      <c r="Q104" s="32"/>
    </row>
    <row r="105" spans="1:17" ht="15" hidden="1">
      <c r="A105" s="32"/>
      <c r="B105" s="32"/>
      <c r="C105" s="32"/>
      <c r="D105" s="32"/>
      <c r="E105" s="32"/>
      <c r="F105" s="32"/>
      <c r="G105" s="32"/>
      <c r="H105" s="32"/>
      <c r="I105" s="32"/>
      <c r="J105" s="32"/>
      <c r="K105" s="32"/>
      <c r="L105" s="32"/>
      <c r="M105" s="32"/>
      <c r="N105" s="32"/>
      <c r="O105" s="32"/>
      <c r="P105" s="32"/>
      <c r="Q105" s="32"/>
    </row>
    <row r="106" spans="1:17" ht="15" hidden="1">
      <c r="A106" s="32"/>
      <c r="B106" s="32"/>
      <c r="C106" s="32"/>
      <c r="D106" s="32"/>
      <c r="E106" s="32"/>
      <c r="F106" s="32"/>
      <c r="G106" s="32"/>
      <c r="H106" s="32"/>
      <c r="I106" s="32"/>
      <c r="J106" s="32"/>
      <c r="K106" s="32"/>
      <c r="L106" s="32"/>
      <c r="M106" s="32"/>
      <c r="N106" s="32"/>
      <c r="O106" s="32"/>
      <c r="P106" s="32"/>
      <c r="Q106" s="32"/>
    </row>
    <row r="107" spans="1:17" ht="15" hidden="1">
      <c r="A107" s="32"/>
      <c r="B107" s="32"/>
      <c r="C107" s="32"/>
      <c r="D107" s="32"/>
      <c r="E107" s="32"/>
      <c r="F107" s="32"/>
      <c r="H107" s="32"/>
      <c r="I107" s="32"/>
      <c r="J107" s="32"/>
      <c r="K107" s="32"/>
      <c r="L107" s="32"/>
      <c r="M107" s="32"/>
      <c r="N107" s="32"/>
      <c r="O107" s="32"/>
      <c r="P107" s="32"/>
      <c r="Q107" s="32"/>
    </row>
    <row r="108" spans="1:17" ht="15" hidden="1">
      <c r="A108" s="32"/>
      <c r="B108" s="32"/>
      <c r="C108" s="32"/>
      <c r="D108" s="32"/>
      <c r="E108" s="32"/>
      <c r="F108" s="32"/>
      <c r="H108" s="32"/>
      <c r="I108" s="32"/>
      <c r="J108" s="32"/>
      <c r="K108" s="32"/>
      <c r="L108" s="32"/>
      <c r="M108" s="32"/>
      <c r="N108" s="32"/>
      <c r="O108" s="32"/>
      <c r="P108" s="32"/>
      <c r="Q108" s="32"/>
    </row>
    <row r="109" spans="1:17" ht="15" hidden="1">
      <c r="A109" s="32"/>
      <c r="B109" s="32"/>
      <c r="C109" s="32"/>
      <c r="D109" s="32"/>
      <c r="E109" s="32"/>
      <c r="F109" s="32"/>
      <c r="H109" s="32"/>
      <c r="I109" s="32"/>
      <c r="J109" s="32"/>
      <c r="K109" s="32"/>
      <c r="L109" s="32"/>
      <c r="M109" s="32"/>
      <c r="N109" s="32"/>
      <c r="O109" s="32"/>
      <c r="P109" s="32"/>
      <c r="Q109" s="32"/>
    </row>
    <row r="110" spans="1:17" ht="15" hidden="1">
      <c r="A110" s="32"/>
      <c r="B110" s="32"/>
      <c r="C110" s="32"/>
      <c r="D110" s="32"/>
      <c r="E110" s="32"/>
      <c r="F110" s="32"/>
      <c r="H110" s="32"/>
      <c r="I110" s="32"/>
      <c r="J110" s="32"/>
      <c r="K110" s="32"/>
      <c r="L110" s="32"/>
      <c r="M110" s="32"/>
      <c r="N110" s="32"/>
      <c r="O110" s="32"/>
      <c r="P110" s="32"/>
      <c r="Q110" s="32"/>
    </row>
    <row r="111" spans="1:17" ht="15" hidden="1">
      <c r="A111" s="32"/>
      <c r="B111" s="32"/>
      <c r="C111" s="32"/>
      <c r="D111" s="32"/>
      <c r="E111" s="32"/>
      <c r="F111" s="32"/>
      <c r="H111" s="32"/>
      <c r="I111" s="32"/>
      <c r="J111" s="32"/>
      <c r="K111" s="32"/>
      <c r="L111" s="32"/>
      <c r="M111" s="32"/>
      <c r="N111" s="32"/>
      <c r="O111" s="32"/>
      <c r="P111" s="32"/>
      <c r="Q111" s="32"/>
    </row>
    <row r="112" spans="1:17" ht="15" hidden="1">
      <c r="A112" s="32"/>
      <c r="B112" s="32"/>
      <c r="C112" s="32"/>
      <c r="D112" s="32"/>
      <c r="E112" s="32"/>
      <c r="F112" s="32"/>
      <c r="H112" s="32"/>
      <c r="I112" s="32"/>
      <c r="J112" s="32"/>
      <c r="K112" s="32"/>
      <c r="L112" s="32"/>
      <c r="M112" s="32"/>
      <c r="N112" s="32"/>
      <c r="O112" s="32"/>
      <c r="P112" s="32"/>
      <c r="Q112" s="32"/>
    </row>
    <row r="113" spans="1:17" ht="15" hidden="1">
      <c r="A113" s="32"/>
      <c r="B113" s="32"/>
      <c r="C113" s="32"/>
      <c r="D113" s="32"/>
      <c r="E113" s="32"/>
      <c r="F113" s="32"/>
      <c r="H113" s="32"/>
      <c r="I113" s="32"/>
      <c r="J113" s="32"/>
      <c r="K113" s="32"/>
      <c r="L113" s="32"/>
      <c r="M113" s="32"/>
      <c r="N113" s="32"/>
      <c r="O113" s="32"/>
      <c r="P113" s="32"/>
      <c r="Q113" s="32"/>
    </row>
    <row r="114" spans="1:17" ht="15" hidden="1">
      <c r="A114" s="32"/>
      <c r="B114" s="32"/>
      <c r="C114" s="32"/>
      <c r="D114" s="32"/>
      <c r="E114" s="32"/>
      <c r="F114" s="32"/>
      <c r="H114" s="32"/>
      <c r="I114" s="32"/>
      <c r="J114" s="32"/>
      <c r="K114" s="32"/>
      <c r="L114" s="32"/>
      <c r="M114" s="32"/>
      <c r="N114" s="32"/>
      <c r="O114" s="32"/>
      <c r="P114" s="32"/>
      <c r="Q114" s="32"/>
    </row>
    <row r="115" spans="1:17" ht="15" hidden="1">
      <c r="A115" s="32"/>
      <c r="B115" s="32"/>
      <c r="C115" s="32"/>
      <c r="D115" s="32"/>
      <c r="E115" s="32"/>
      <c r="F115" s="32"/>
      <c r="H115" s="32"/>
      <c r="I115" s="32"/>
      <c r="J115" s="32"/>
      <c r="K115" s="32"/>
      <c r="L115" s="32"/>
      <c r="M115" s="32"/>
      <c r="N115" s="32"/>
      <c r="O115" s="32"/>
      <c r="P115" s="32"/>
      <c r="Q115" s="32"/>
    </row>
    <row r="116" spans="1:17" ht="15" hidden="1">
      <c r="A116" s="32"/>
      <c r="B116" s="32"/>
      <c r="C116" s="32"/>
      <c r="D116" s="32"/>
      <c r="E116" s="32"/>
      <c r="F116" s="32"/>
      <c r="H116" s="32"/>
      <c r="I116" s="32"/>
      <c r="J116" s="32"/>
      <c r="K116" s="32"/>
      <c r="L116" s="32"/>
      <c r="M116" s="32"/>
      <c r="N116" s="32"/>
      <c r="O116" s="32"/>
      <c r="P116" s="32"/>
      <c r="Q116" s="32"/>
    </row>
    <row r="117" spans="1:17" ht="15" hidden="1">
      <c r="A117" s="32"/>
      <c r="B117" s="32"/>
      <c r="C117" s="32"/>
      <c r="D117" s="32"/>
      <c r="E117" s="32"/>
      <c r="F117" s="32"/>
      <c r="H117" s="32"/>
      <c r="I117" s="32"/>
      <c r="J117" s="32"/>
      <c r="K117" s="32"/>
      <c r="L117" s="32"/>
      <c r="M117" s="32"/>
      <c r="N117" s="32"/>
      <c r="O117" s="32"/>
      <c r="P117" s="32"/>
      <c r="Q117" s="32"/>
    </row>
    <row r="118" spans="1:17" ht="15" hidden="1">
      <c r="A118" s="32"/>
      <c r="B118" s="32"/>
      <c r="C118" s="32"/>
      <c r="D118" s="32"/>
      <c r="E118" s="32"/>
      <c r="F118" s="32"/>
      <c r="H118" s="32"/>
      <c r="I118" s="32"/>
      <c r="J118" s="32"/>
      <c r="K118" s="32"/>
      <c r="L118" s="32"/>
      <c r="M118" s="32"/>
      <c r="N118" s="32"/>
      <c r="O118" s="32"/>
      <c r="P118" s="32"/>
      <c r="Q118" s="32"/>
    </row>
    <row r="119" spans="1:17" ht="15" hidden="1">
      <c r="A119" s="32"/>
      <c r="B119" s="32"/>
      <c r="C119" s="32"/>
      <c r="D119" s="32"/>
      <c r="E119" s="32"/>
      <c r="F119" s="32"/>
      <c r="H119" s="32"/>
      <c r="I119" s="32"/>
      <c r="J119" s="32"/>
      <c r="K119" s="32"/>
      <c r="L119" s="32"/>
      <c r="M119" s="32"/>
      <c r="N119" s="32"/>
      <c r="O119" s="32"/>
      <c r="P119" s="32"/>
      <c r="Q119" s="32"/>
    </row>
    <row r="120" spans="1:17" ht="15" hidden="1">
      <c r="A120" s="32"/>
      <c r="B120" s="32"/>
      <c r="C120" s="32"/>
      <c r="D120" s="32"/>
      <c r="E120" s="32"/>
      <c r="F120" s="32"/>
      <c r="H120" s="32"/>
      <c r="I120" s="32"/>
      <c r="J120" s="32"/>
      <c r="K120" s="32"/>
      <c r="L120" s="32"/>
      <c r="M120" s="32"/>
      <c r="N120" s="32"/>
      <c r="O120" s="32"/>
      <c r="P120" s="32"/>
      <c r="Q120" s="32"/>
    </row>
    <row r="121" spans="1:17" ht="15" hidden="1">
      <c r="A121" s="32"/>
      <c r="B121" s="32"/>
      <c r="C121" s="32"/>
      <c r="D121" s="32"/>
      <c r="E121" s="32"/>
      <c r="F121" s="32"/>
      <c r="H121" s="32"/>
      <c r="I121" s="32"/>
      <c r="J121" s="32"/>
      <c r="K121" s="32"/>
      <c r="L121" s="32"/>
      <c r="M121" s="32"/>
      <c r="N121" s="32"/>
      <c r="O121" s="32"/>
      <c r="P121" s="32"/>
      <c r="Q121" s="32"/>
    </row>
    <row r="122" spans="1:17" ht="15" hidden="1">
      <c r="A122" s="32"/>
      <c r="B122" s="32"/>
      <c r="C122" s="32"/>
      <c r="D122" s="32"/>
      <c r="E122" s="32"/>
      <c r="F122" s="32"/>
      <c r="H122" s="32"/>
      <c r="I122" s="32"/>
      <c r="J122" s="32"/>
      <c r="K122" s="32"/>
      <c r="L122" s="32"/>
      <c r="M122" s="32"/>
      <c r="N122" s="32"/>
      <c r="O122" s="32"/>
      <c r="P122" s="32"/>
      <c r="Q122" s="32"/>
    </row>
    <row r="123" spans="1:17" ht="15" hidden="1">
      <c r="A123" s="32"/>
      <c r="B123" s="32"/>
      <c r="C123" s="32"/>
      <c r="D123" s="32"/>
      <c r="E123" s="32"/>
      <c r="F123" s="32"/>
      <c r="H123" s="32"/>
      <c r="I123" s="32"/>
      <c r="J123" s="32"/>
      <c r="K123" s="32"/>
      <c r="L123" s="32"/>
      <c r="M123" s="32"/>
      <c r="N123" s="32"/>
      <c r="O123" s="32"/>
      <c r="P123" s="32"/>
      <c r="Q123" s="32"/>
    </row>
    <row r="124" spans="1:17" ht="15" hidden="1">
      <c r="A124" s="32"/>
      <c r="B124" s="32"/>
      <c r="C124" s="32"/>
      <c r="D124" s="32"/>
      <c r="E124" s="32"/>
      <c r="F124" s="32"/>
      <c r="H124" s="32"/>
      <c r="I124" s="32"/>
      <c r="J124" s="32"/>
      <c r="K124" s="32"/>
      <c r="L124" s="32"/>
      <c r="M124" s="32"/>
      <c r="N124" s="32"/>
      <c r="O124" s="32"/>
      <c r="P124" s="32"/>
      <c r="Q124" s="32"/>
    </row>
    <row r="125" spans="1:17" ht="15" hidden="1">
      <c r="A125" s="32"/>
      <c r="B125" s="32"/>
      <c r="C125" s="32"/>
      <c r="D125" s="32"/>
      <c r="E125" s="32"/>
      <c r="F125" s="32"/>
      <c r="H125" s="32"/>
      <c r="I125" s="32"/>
      <c r="J125" s="32"/>
      <c r="K125" s="32"/>
      <c r="L125" s="32"/>
      <c r="M125" s="32"/>
      <c r="N125" s="32"/>
      <c r="O125" s="32"/>
      <c r="P125" s="32"/>
      <c r="Q125" s="32"/>
    </row>
    <row r="126" spans="1:17" ht="15" hidden="1">
      <c r="A126" s="32"/>
      <c r="B126" s="32"/>
      <c r="C126" s="32"/>
      <c r="D126" s="32"/>
      <c r="E126" s="32"/>
      <c r="F126" s="32"/>
      <c r="H126" s="32"/>
      <c r="I126" s="32"/>
      <c r="J126" s="32"/>
      <c r="K126" s="32"/>
      <c r="L126" s="32"/>
      <c r="M126" s="32"/>
      <c r="N126" s="32"/>
      <c r="O126" s="32"/>
      <c r="P126" s="32"/>
      <c r="Q126" s="32"/>
    </row>
    <row r="127" spans="1:17" ht="15" hidden="1">
      <c r="A127" s="32"/>
      <c r="B127" s="32"/>
      <c r="C127" s="32"/>
      <c r="D127" s="32"/>
      <c r="E127" s="32"/>
      <c r="F127" s="32"/>
      <c r="H127" s="32"/>
      <c r="I127" s="32"/>
      <c r="J127" s="32"/>
      <c r="K127" s="32"/>
      <c r="L127" s="32"/>
      <c r="M127" s="32"/>
      <c r="N127" s="32"/>
      <c r="O127" s="32"/>
      <c r="P127" s="32"/>
      <c r="Q127" s="32"/>
    </row>
    <row r="128" spans="1:17" ht="15" hidden="1">
      <c r="A128" s="32"/>
      <c r="B128" s="32"/>
      <c r="C128" s="32"/>
      <c r="D128" s="32"/>
      <c r="E128" s="32"/>
      <c r="F128" s="32"/>
      <c r="H128" s="32"/>
      <c r="I128" s="32"/>
      <c r="J128" s="32"/>
      <c r="K128" s="32"/>
      <c r="L128" s="32"/>
      <c r="M128" s="32"/>
      <c r="N128" s="32"/>
      <c r="O128" s="32"/>
      <c r="P128" s="32"/>
      <c r="Q128" s="32"/>
    </row>
    <row r="129" spans="1:17" ht="15" hidden="1">
      <c r="A129" s="32"/>
      <c r="B129" s="32"/>
      <c r="C129" s="32"/>
      <c r="D129" s="32"/>
      <c r="E129" s="32"/>
      <c r="F129" s="32"/>
      <c r="H129" s="32"/>
      <c r="I129" s="32"/>
      <c r="J129" s="32"/>
      <c r="K129" s="32"/>
      <c r="L129" s="32"/>
      <c r="M129" s="32"/>
      <c r="N129" s="32"/>
      <c r="O129" s="32"/>
      <c r="P129" s="32"/>
      <c r="Q129" s="32"/>
    </row>
    <row r="130" spans="1:17" ht="15" hidden="1">
      <c r="A130" s="32"/>
      <c r="B130" s="32"/>
      <c r="C130" s="32"/>
      <c r="D130" s="32"/>
      <c r="E130" s="32"/>
      <c r="F130" s="32"/>
      <c r="H130" s="32"/>
      <c r="I130" s="32"/>
      <c r="J130" s="32"/>
      <c r="K130" s="32"/>
      <c r="L130" s="32"/>
      <c r="M130" s="32"/>
      <c r="N130" s="32"/>
      <c r="O130" s="32"/>
      <c r="P130" s="32"/>
      <c r="Q130" s="32"/>
    </row>
    <row r="131" spans="1:17" ht="15" hidden="1">
      <c r="A131" s="32"/>
      <c r="B131" s="32"/>
      <c r="C131" s="32"/>
      <c r="D131" s="32"/>
      <c r="E131" s="32"/>
      <c r="F131" s="32"/>
      <c r="H131" s="32"/>
      <c r="K131" s="32"/>
      <c r="L131" s="32"/>
      <c r="M131" s="32"/>
      <c r="N131" s="32"/>
      <c r="O131" s="32"/>
      <c r="P131" s="32"/>
      <c r="Q131" s="32"/>
    </row>
    <row r="132" spans="1:17" ht="15" hidden="1">
      <c r="A132" s="32"/>
      <c r="B132" s="32"/>
      <c r="C132" s="32"/>
      <c r="D132" s="32"/>
      <c r="E132" s="32"/>
      <c r="F132" s="32"/>
      <c r="H132" s="32"/>
      <c r="K132" s="32"/>
      <c r="L132" s="32"/>
      <c r="M132" s="32"/>
      <c r="N132" s="32"/>
      <c r="O132" s="32"/>
      <c r="P132" s="32"/>
      <c r="Q132" s="32"/>
    </row>
    <row r="133" spans="1:17" ht="15" hidden="1">
      <c r="A133" s="32"/>
      <c r="B133" s="32"/>
      <c r="C133" s="32"/>
      <c r="D133" s="32"/>
      <c r="E133" s="32"/>
      <c r="F133" s="32"/>
      <c r="H133" s="32"/>
      <c r="K133" s="32"/>
      <c r="L133" s="32"/>
      <c r="M133" s="32"/>
      <c r="N133" s="32"/>
      <c r="O133" s="32"/>
      <c r="P133" s="32"/>
      <c r="Q133" s="32"/>
    </row>
    <row r="134" spans="1:17" ht="15" hidden="1">
      <c r="A134" s="32"/>
      <c r="B134" s="32"/>
      <c r="C134" s="32"/>
      <c r="D134" s="32"/>
      <c r="E134" s="32"/>
      <c r="F134" s="32"/>
      <c r="H134" s="32"/>
      <c r="K134" s="32"/>
      <c r="L134" s="32"/>
      <c r="M134" s="32"/>
      <c r="N134" s="32"/>
      <c r="O134" s="32"/>
      <c r="P134" s="32"/>
      <c r="Q134" s="32"/>
    </row>
    <row r="135" spans="1:17" ht="15" hidden="1">
      <c r="A135" s="32"/>
      <c r="B135" s="32"/>
      <c r="C135" s="32"/>
      <c r="D135" s="32"/>
      <c r="E135" s="32"/>
      <c r="F135" s="32"/>
      <c r="H135" s="32"/>
      <c r="K135" s="32"/>
      <c r="L135" s="32"/>
      <c r="M135" s="32"/>
      <c r="N135" s="32"/>
      <c r="O135" s="32"/>
      <c r="P135" s="32"/>
      <c r="Q135" s="32"/>
    </row>
    <row r="136" spans="1:17" ht="15" hidden="1">
      <c r="A136" s="32"/>
      <c r="B136" s="32"/>
      <c r="C136" s="32"/>
      <c r="D136" s="32"/>
      <c r="E136" s="32"/>
      <c r="F136" s="32"/>
      <c r="H136" s="32"/>
      <c r="K136" s="32"/>
      <c r="L136" s="32"/>
      <c r="M136" s="32"/>
      <c r="N136" s="32"/>
      <c r="O136" s="32"/>
      <c r="P136" s="32"/>
      <c r="Q136" s="32"/>
    </row>
    <row r="137" spans="1:17" ht="15" hidden="1">
      <c r="A137" s="32"/>
      <c r="B137" s="32"/>
      <c r="C137" s="32"/>
      <c r="D137" s="32"/>
      <c r="E137" s="32"/>
      <c r="F137" s="32"/>
      <c r="H137" s="32"/>
      <c r="K137" s="32"/>
      <c r="L137" s="32"/>
      <c r="M137" s="32"/>
      <c r="N137" s="32"/>
      <c r="O137" s="32"/>
      <c r="P137" s="32"/>
      <c r="Q137" s="32"/>
    </row>
    <row r="138" spans="1:17" ht="15" hidden="1">
      <c r="A138" s="32"/>
      <c r="B138" s="32"/>
      <c r="C138" s="32"/>
      <c r="D138" s="32"/>
      <c r="E138" s="32"/>
      <c r="F138" s="32"/>
      <c r="H138" s="32"/>
      <c r="K138" s="32"/>
      <c r="L138" s="32"/>
      <c r="M138" s="32"/>
      <c r="N138" s="32"/>
      <c r="O138" s="32"/>
      <c r="P138" s="32"/>
      <c r="Q138" s="32"/>
    </row>
    <row r="139" spans="1:17" ht="15" hidden="1">
      <c r="A139" s="32"/>
      <c r="B139" s="32"/>
      <c r="C139" s="32"/>
      <c r="D139" s="32"/>
      <c r="E139" s="32"/>
      <c r="F139" s="32"/>
      <c r="H139" s="32"/>
      <c r="K139" s="32"/>
      <c r="L139" s="32"/>
      <c r="M139" s="32"/>
      <c r="N139" s="32"/>
      <c r="O139" s="32"/>
      <c r="P139" s="32"/>
      <c r="Q139" s="32"/>
    </row>
    <row r="140" spans="1:17" ht="15" hidden="1">
      <c r="A140" s="32"/>
      <c r="B140" s="32"/>
      <c r="C140" s="32"/>
      <c r="D140" s="32"/>
      <c r="E140" s="32"/>
      <c r="F140" s="32"/>
      <c r="H140" s="32"/>
      <c r="K140" s="32"/>
      <c r="L140" s="32"/>
      <c r="M140" s="32"/>
      <c r="N140" s="32"/>
      <c r="O140" s="32"/>
      <c r="P140" s="32"/>
      <c r="Q140" s="32"/>
    </row>
    <row r="141" spans="1:17" ht="15" hidden="1">
      <c r="A141" s="32"/>
      <c r="B141" s="32"/>
      <c r="C141" s="32"/>
      <c r="D141" s="32"/>
      <c r="E141" s="32"/>
      <c r="F141" s="32"/>
      <c r="H141" s="32"/>
      <c r="K141" s="32"/>
      <c r="L141" s="32"/>
      <c r="M141" s="32"/>
      <c r="N141" s="32"/>
      <c r="O141" s="32"/>
      <c r="P141" s="32"/>
      <c r="Q141" s="32"/>
    </row>
    <row r="142" spans="1:17" ht="15" hidden="1">
      <c r="A142" s="32"/>
      <c r="B142" s="32"/>
      <c r="C142" s="32"/>
      <c r="D142" s="32"/>
      <c r="E142" s="32"/>
      <c r="F142" s="32"/>
      <c r="H142" s="32"/>
      <c r="K142" s="32"/>
      <c r="L142" s="32"/>
      <c r="M142" s="32"/>
      <c r="N142" s="32"/>
      <c r="O142" s="32"/>
      <c r="P142" s="32"/>
      <c r="Q142" s="32"/>
    </row>
    <row r="143" spans="1:17" ht="15" hidden="1">
      <c r="A143" s="32"/>
      <c r="B143" s="32"/>
      <c r="C143" s="32"/>
      <c r="D143" s="32"/>
      <c r="E143" s="32"/>
      <c r="F143" s="32"/>
      <c r="H143" s="32"/>
      <c r="K143" s="32"/>
      <c r="L143" s="32"/>
      <c r="M143" s="32"/>
      <c r="N143" s="32"/>
      <c r="O143" s="32"/>
      <c r="P143" s="32"/>
      <c r="Q143" s="32"/>
    </row>
    <row r="144" spans="1:17" ht="15" hidden="1">
      <c r="A144" s="32"/>
    </row>
    <row r="145" spans="1:1" ht="15" hidden="1">
      <c r="A145" s="32"/>
    </row>
    <row r="146" spans="1:1" ht="15" hidden="1">
      <c r="A146" s="32"/>
    </row>
    <row r="147" spans="1:1" ht="15" hidden="1">
      <c r="A147" s="32"/>
    </row>
    <row r="148" spans="1:1" ht="15" hidden="1">
      <c r="A148" s="32"/>
    </row>
    <row r="149" spans="1:1" ht="15" hidden="1">
      <c r="A149" s="32"/>
    </row>
    <row r="150" spans="1:1" ht="15" hidden="1">
      <c r="A150" s="32"/>
    </row>
    <row r="151" spans="1:1" ht="15" hidden="1">
      <c r="A151" s="32"/>
    </row>
    <row r="152" spans="1:1" ht="15" hidden="1">
      <c r="A152" s="32"/>
    </row>
    <row r="153" spans="1:1" ht="15" hidden="1">
      <c r="A153" s="32"/>
    </row>
    <row r="154" spans="1:1" ht="15" hidden="1">
      <c r="A154" s="32"/>
    </row>
    <row r="155" spans="1:1" ht="15" hidden="1">
      <c r="A155" s="32"/>
    </row>
    <row r="156" spans="1:1" ht="15" hidden="1">
      <c r="A156" s="32"/>
    </row>
    <row r="157" spans="1:1" ht="15" hidden="1">
      <c r="A157" s="32"/>
    </row>
    <row r="158" spans="1:1" ht="15" hidden="1">
      <c r="A158" s="32"/>
    </row>
    <row r="159" spans="1:1" ht="15" hidden="1">
      <c r="A159" s="32"/>
    </row>
    <row r="160" spans="1:1" ht="15" hidden="1">
      <c r="A160" s="32"/>
    </row>
    <row r="161" spans="1:1" ht="15" hidden="1">
      <c r="A161" s="32"/>
    </row>
    <row r="162" spans="1:1" ht="15" hidden="1">
      <c r="A162" s="32"/>
    </row>
    <row r="163" spans="1:1" ht="15" hidden="1">
      <c r="A163" s="32"/>
    </row>
    <row r="164" spans="1:1" ht="15" hidden="1">
      <c r="A164" s="32"/>
    </row>
    <row r="165" spans="1:1" ht="15" hidden="1">
      <c r="A165" s="32"/>
    </row>
    <row r="166" spans="1:1" ht="15" hidden="1">
      <c r="A166" s="32"/>
    </row>
    <row r="167" spans="1:1" ht="15" hidden="1">
      <c r="A167" s="32"/>
    </row>
    <row r="168" spans="1:1" ht="15" hidden="1">
      <c r="A168" s="32"/>
    </row>
    <row r="169" spans="1:1" ht="15" hidden="1">
      <c r="A169" s="32"/>
    </row>
    <row r="170" spans="1:1" ht="15" hidden="1">
      <c r="A170" s="32"/>
    </row>
    <row r="171" spans="1:1" ht="15" hidden="1">
      <c r="A171" s="32"/>
    </row>
    <row r="172" spans="1:1" ht="15" hidden="1">
      <c r="A172" s="32"/>
    </row>
    <row r="173" spans="1:1" ht="15" hidden="1">
      <c r="A173" s="32"/>
    </row>
    <row r="174" spans="1:1" ht="15" hidden="1">
      <c r="A174" s="32"/>
    </row>
    <row r="175" spans="1:1" ht="15" hidden="1">
      <c r="A175" s="32"/>
    </row>
    <row r="176" spans="1:1" ht="15" hidden="1">
      <c r="A176" s="32"/>
    </row>
    <row r="177" spans="1:1" ht="15" hidden="1">
      <c r="A177" s="32"/>
    </row>
    <row r="178" spans="1:1" ht="15" hidden="1">
      <c r="A178" s="32"/>
    </row>
    <row r="179" spans="1:1" ht="15" hidden="1">
      <c r="A179" s="32"/>
    </row>
    <row r="180" spans="1:1" ht="15" hidden="1">
      <c r="A180" s="32"/>
    </row>
    <row r="181" spans="1:1" ht="15" hidden="1">
      <c r="A181" s="32"/>
    </row>
    <row r="182" spans="1:1" ht="15" hidden="1">
      <c r="A182" s="32"/>
    </row>
    <row r="183" spans="1:1" ht="15" hidden="1">
      <c r="A183" s="32"/>
    </row>
    <row r="184" spans="1:1" ht="15"/>
    <row r="185" spans="1:1" ht="15"/>
    <row r="186" spans="1:1" ht="15"/>
    <row r="187" spans="1:1" ht="15"/>
    <row r="188" spans="1:1" ht="15"/>
    <row r="189" spans="1:1" ht="15"/>
    <row r="190" spans="1:1" ht="15"/>
    <row r="191" spans="1:1" ht="15"/>
    <row r="192" spans="1:1" ht="14.1" customHeight="1"/>
    <row r="193" ht="14.1" customHeight="1"/>
    <row r="194" ht="14.1" customHeight="1"/>
    <row r="195" ht="14.1" customHeight="1"/>
    <row r="196" ht="14.1" customHeight="1"/>
    <row r="197" ht="14.1" customHeight="1"/>
    <row r="198" ht="14.1" customHeight="1"/>
    <row r="199" ht="14.1" customHeight="1"/>
    <row r="200" ht="14.1" customHeight="1"/>
    <row r="201" ht="14.1" customHeight="1"/>
    <row r="202" ht="14.1" customHeight="1"/>
    <row r="203" ht="14.1" customHeight="1"/>
    <row r="204" ht="14.1" customHeight="1"/>
    <row r="205" ht="14.1" customHeight="1"/>
    <row r="206" ht="14.1" customHeight="1"/>
    <row r="207" ht="14.1" customHeight="1"/>
    <row r="208" ht="14.1" customHeight="1"/>
    <row r="209" ht="14.1" customHeight="1"/>
    <row r="210" ht="14.1" customHeight="1"/>
    <row r="211" ht="14.1" customHeight="1"/>
    <row r="212" ht="14.1" customHeight="1"/>
    <row r="213" ht="14.1" customHeight="1"/>
    <row r="214" ht="14.1" customHeight="1"/>
    <row r="215" ht="14.1" customHeight="1"/>
    <row r="216" ht="14.1" customHeight="1"/>
    <row r="217" ht="14.1" customHeight="1"/>
    <row r="218" ht="14.1" customHeight="1"/>
    <row r="219" ht="14.1" customHeight="1"/>
    <row r="220" ht="14.1" customHeight="1"/>
    <row r="221" ht="14.1" customHeight="1"/>
    <row r="222" ht="14.1" customHeight="1"/>
    <row r="223" ht="14.1" customHeight="1"/>
    <row r="224" ht="14.1" customHeight="1"/>
    <row r="225" ht="14.1" customHeight="1"/>
    <row r="226" ht="14.1" customHeight="1"/>
    <row r="227" ht="14.1" customHeight="1"/>
    <row r="228" ht="14.1" customHeight="1"/>
    <row r="229" ht="14.1" customHeight="1"/>
    <row r="230" ht="14.1" customHeight="1"/>
    <row r="231" ht="14.1" customHeight="1"/>
    <row r="232" ht="14.1" customHeight="1"/>
    <row r="233" ht="14.1" customHeight="1"/>
    <row r="234" ht="14.1" customHeight="1"/>
    <row r="235" ht="14.1" customHeight="1"/>
    <row r="236" ht="14.1" customHeight="1"/>
    <row r="237" ht="14.1" customHeight="1"/>
    <row r="238" ht="14.1" customHeight="1"/>
    <row r="239" ht="14.1" customHeight="1"/>
    <row r="240" ht="14.1" customHeight="1"/>
    <row r="241" ht="14.1" customHeight="1"/>
    <row r="242" ht="14.1" customHeight="1"/>
    <row r="243" ht="14.1" customHeight="1"/>
    <row r="244" ht="14.1" customHeight="1"/>
    <row r="245" ht="14.1" customHeight="1"/>
    <row r="246" ht="14.1" customHeight="1"/>
    <row r="247" ht="14.1" customHeight="1"/>
    <row r="248" ht="14.1" customHeight="1"/>
    <row r="249" ht="14.1" customHeight="1"/>
    <row r="250" ht="14.1" customHeight="1"/>
    <row r="251" ht="14.1" customHeight="1"/>
    <row r="252" ht="14.1" customHeight="1"/>
    <row r="253" ht="14.1" customHeight="1"/>
    <row r="254" ht="14.1" customHeight="1"/>
    <row r="255" ht="14.1" customHeight="1"/>
    <row r="256" ht="14.1" customHeight="1"/>
    <row r="257" ht="14.1" customHeight="1"/>
    <row r="258" ht="14.1" customHeight="1"/>
    <row r="259" ht="14.1" customHeight="1"/>
    <row r="260" ht="14.1" customHeight="1"/>
    <row r="261" ht="14.1" customHeight="1"/>
    <row r="262" ht="14.1" customHeight="1"/>
    <row r="263" ht="14.1" customHeight="1"/>
    <row r="264" ht="14.1" customHeight="1"/>
    <row r="265" ht="14.1" customHeight="1"/>
    <row r="266" ht="14.1" customHeight="1"/>
    <row r="267" ht="14.1" customHeight="1"/>
    <row r="268" ht="14.1" customHeight="1"/>
    <row r="269" ht="14.1" customHeight="1"/>
    <row r="270" ht="14.1" customHeight="1"/>
    <row r="271" ht="14.1" customHeight="1"/>
    <row r="272" ht="14.1" customHeight="1"/>
    <row r="273" ht="14.1" customHeight="1"/>
    <row r="274" ht="14.1" customHeight="1"/>
    <row r="275" ht="14.1" customHeight="1"/>
    <row r="276" ht="14.1" customHeight="1"/>
    <row r="277" ht="14.1" customHeight="1"/>
    <row r="278" ht="14.1" customHeight="1"/>
    <row r="279" ht="14.1" customHeight="1"/>
    <row r="280" ht="14.1" customHeight="1"/>
    <row r="281" ht="14.1" customHeight="1"/>
    <row r="282" ht="14.1" customHeight="1"/>
    <row r="283" ht="14.1" customHeight="1"/>
    <row r="284" ht="14.1" customHeight="1"/>
    <row r="285" ht="14.1" customHeight="1"/>
    <row r="286" ht="14.1" customHeight="1"/>
    <row r="287" ht="14.1" customHeight="1"/>
    <row r="288" ht="14.1" customHeight="1"/>
    <row r="289" ht="14.1" customHeight="1"/>
    <row r="290" ht="14.1" customHeight="1"/>
    <row r="291" ht="14.1" customHeight="1"/>
    <row r="292" ht="14.1" customHeight="1"/>
    <row r="293" ht="14.1" customHeight="1"/>
    <row r="294" ht="14.1" customHeight="1"/>
    <row r="295" ht="14.1" customHeight="1"/>
    <row r="296" ht="14.1" customHeight="1"/>
    <row r="297" ht="14.1" customHeight="1"/>
    <row r="298" ht="14.1" customHeight="1"/>
    <row r="299" ht="14.1" customHeight="1"/>
    <row r="300" ht="14.1" customHeight="1"/>
    <row r="301" ht="14.1" customHeight="1"/>
    <row r="302" ht="14.1" customHeight="1"/>
    <row r="303" ht="14.1" customHeight="1"/>
    <row r="304" ht="14.1" customHeight="1"/>
    <row r="305" ht="14.1" customHeight="1"/>
    <row r="306" ht="14.1" customHeight="1"/>
  </sheetData>
  <sheetProtection algorithmName="SHA-512" hashValue="TQ1G7t3G1YqxCkxDnTd2VlXj3wwqnzJXpDXPPc2/ORJm4AvY8Cljku3ujwQPG7yVzSn1Tn4N3y8MIoQZ41Z9HQ==" saltValue="b/YHlQTwnPK1p3VnS2pHuQ==" spinCount="100000" sheet="1" objects="1" scenarios="1"/>
  <mergeCells count="21">
    <mergeCell ref="G11:H11"/>
    <mergeCell ref="I13:J13"/>
    <mergeCell ref="B11:E11"/>
    <mergeCell ref="B20:E20"/>
    <mergeCell ref="G40:H40"/>
    <mergeCell ref="G28:H28"/>
    <mergeCell ref="B28:E28"/>
    <mergeCell ref="B40:E40"/>
    <mergeCell ref="G20:H20"/>
    <mergeCell ref="G8:H8"/>
    <mergeCell ref="B2:H2"/>
    <mergeCell ref="G3:H4"/>
    <mergeCell ref="G5:H5"/>
    <mergeCell ref="G6:H6"/>
    <mergeCell ref="G7:H7"/>
    <mergeCell ref="B3:B4"/>
    <mergeCell ref="C3:F4"/>
    <mergeCell ref="C5:F5"/>
    <mergeCell ref="C6:F6"/>
    <mergeCell ref="C7:F7"/>
    <mergeCell ref="C8:F8"/>
  </mergeCells>
  <conditionalFormatting sqref="H12">
    <cfRule type="cellIs" dxfId="785" priority="24" operator="greaterThan">
      <formula>0</formula>
    </cfRule>
    <cfRule type="cellIs" dxfId="784" priority="25" operator="lessThan">
      <formula>0</formula>
    </cfRule>
  </conditionalFormatting>
  <conditionalFormatting sqref="H22">
    <cfRule type="cellIs" dxfId="783" priority="18" operator="greaterThan">
      <formula>0</formula>
    </cfRule>
    <cfRule type="cellIs" dxfId="782" priority="21" operator="lessThan">
      <formula>0</formula>
    </cfRule>
  </conditionalFormatting>
  <conditionalFormatting sqref="H21">
    <cfRule type="cellIs" dxfId="781" priority="19" operator="greaterThan">
      <formula>0</formula>
    </cfRule>
    <cfRule type="cellIs" dxfId="780" priority="20" operator="lessThan">
      <formula>0</formula>
    </cfRule>
  </conditionalFormatting>
  <conditionalFormatting sqref="H29 H41:H42">
    <cfRule type="cellIs" dxfId="779" priority="16" operator="lessThan">
      <formula>0</formula>
    </cfRule>
    <cfRule type="cellIs" dxfId="778" priority="17" operator="greaterThan">
      <formula>0</formula>
    </cfRule>
  </conditionalFormatting>
  <conditionalFormatting sqref="G5:G8">
    <cfRule type="containsText" dxfId="777" priority="22" operator="containsText" text="Yes">
      <formula>NOT(ISERROR(SEARCH("Yes",G5)))</formula>
    </cfRule>
    <cfRule type="containsText" dxfId="776" priority="23" operator="containsText" text="No">
      <formula>NOT(ISERROR(SEARCH("No",G5)))</formula>
    </cfRule>
  </conditionalFormatting>
  <conditionalFormatting sqref="H30">
    <cfRule type="cellIs" dxfId="775" priority="15" operator="lessThan">
      <formula>0</formula>
    </cfRule>
  </conditionalFormatting>
  <conditionalFormatting sqref="I13:J13">
    <cfRule type="containsText" dxfId="774" priority="8" operator="containsText" text="Very high distinctiveness unit defecit - CHECK DATA">
      <formula>NOT(ISERROR(SEARCH("Very high distinctiveness unit defecit - CHECK DATA",I13)))</formula>
    </cfRule>
  </conditionalFormatting>
  <conditionalFormatting sqref="B32 B43">
    <cfRule type="expression" dxfId="773" priority="359">
      <formula>#REF!&gt;0</formula>
    </cfRule>
    <cfRule type="expression" dxfId="772" priority="360">
      <formula>#REF!&lt;0</formula>
    </cfRule>
  </conditionalFormatting>
  <conditionalFormatting sqref="B22:E22 B30:E31 B42:E42">
    <cfRule type="expression" dxfId="771" priority="367">
      <formula>$E22&gt;0</formula>
    </cfRule>
    <cfRule type="expression" dxfId="770" priority="368">
      <formula>$E22&lt;0</formula>
    </cfRule>
  </conditionalFormatting>
  <conditionalFormatting sqref="B13:E13">
    <cfRule type="expression" dxfId="769" priority="365">
      <formula>$E13&gt;0</formula>
    </cfRule>
    <cfRule type="expression" dxfId="768" priority="366">
      <formula>$E13&lt;0</formula>
    </cfRule>
  </conditionalFormatting>
  <pageMargins left="0.7" right="0.7" top="0.75" bottom="0.75" header="0.3" footer="0.3"/>
  <pageSetup paperSize="9" orientation="portrait" r:id="rId1"/>
  <ignoredErrors>
    <ignoredError sqref="D43" formula="1"/>
  </ignoredError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650695-3FEA-4B47-B255-91F5C4F76C25}">
  <sheetPr codeName="Sheet38">
    <tabColor rgb="FFF4D4D4"/>
  </sheetPr>
  <dimension ref="A1:AF749"/>
  <sheetViews>
    <sheetView showRowColHeaders="0" zoomScale="80" zoomScaleNormal="80" workbookViewId="0">
      <selection activeCell="B7" sqref="B7"/>
    </sheetView>
  </sheetViews>
  <sheetFormatPr defaultColWidth="8.7109375" defaultRowHeight="15"/>
  <cols>
    <col min="1" max="1" width="8.7109375" style="757"/>
    <col min="2" max="2" width="10" style="1" customWidth="1"/>
    <col min="3" max="3" width="14.28515625" style="1" customWidth="1"/>
    <col min="4" max="9" width="8.7109375" style="1"/>
    <col min="10" max="10" width="23.28515625" style="1" customWidth="1"/>
    <col min="11" max="11" width="12.28515625" style="1" customWidth="1"/>
    <col min="12" max="12" width="23.5703125" style="1" customWidth="1"/>
    <col min="13" max="13" width="8.7109375" style="757"/>
    <col min="14" max="14" width="11.42578125" style="1" customWidth="1"/>
    <col min="15" max="15" width="13.5703125" style="1" customWidth="1"/>
    <col min="16" max="16" width="14.5703125" style="1" customWidth="1"/>
    <col min="17" max="17" width="19.28515625" style="1" customWidth="1"/>
    <col min="18" max="18" width="15.28515625" style="1" customWidth="1"/>
    <col min="19" max="19" width="21.28515625" style="1" customWidth="1"/>
    <col min="20" max="20" width="10.42578125" style="1" customWidth="1"/>
    <col min="21" max="21" width="24.42578125" style="1" customWidth="1"/>
    <col min="22" max="23" width="8.7109375" style="1"/>
    <col min="24" max="24" width="13.28515625" style="1" customWidth="1"/>
    <col min="25" max="27" width="12.42578125" style="1" customWidth="1"/>
    <col min="28" max="28" width="26.42578125" style="1" customWidth="1"/>
    <col min="29" max="29" width="8.7109375" style="1"/>
    <col min="30" max="30" width="20.7109375" style="1" customWidth="1"/>
    <col min="31" max="31" width="8.7109375" style="1"/>
    <col min="32" max="32" width="11.28515625" style="1" customWidth="1"/>
    <col min="33" max="16384" width="8.7109375" style="1"/>
  </cols>
  <sheetData>
    <row r="1" spans="1:32" ht="19.5" customHeight="1"/>
    <row r="2" spans="1:32" ht="15.75" thickBot="1"/>
    <row r="3" spans="1:32" ht="35.65" customHeight="1">
      <c r="B3" s="1381" t="s">
        <v>249</v>
      </c>
      <c r="C3" s="1382"/>
      <c r="D3" s="1382"/>
      <c r="E3" s="1382"/>
      <c r="F3" s="1382"/>
      <c r="G3" s="1382"/>
      <c r="H3" s="1382"/>
      <c r="I3" s="1382"/>
      <c r="J3" s="1382"/>
      <c r="K3" s="1382"/>
      <c r="L3" s="1383"/>
      <c r="N3" s="1373" t="s">
        <v>250</v>
      </c>
      <c r="O3" s="1374"/>
      <c r="P3" s="1374"/>
      <c r="Q3" s="1374"/>
      <c r="R3" s="1374"/>
      <c r="S3" s="1374"/>
      <c r="T3" s="1374"/>
      <c r="U3" s="1375"/>
      <c r="W3" s="1391" t="s">
        <v>251</v>
      </c>
      <c r="X3" s="1392"/>
      <c r="Y3" s="1392"/>
      <c r="Z3" s="1392"/>
      <c r="AA3" s="1392"/>
      <c r="AB3" s="1392"/>
      <c r="AC3" s="1392"/>
      <c r="AD3" s="1393"/>
      <c r="AE3" s="679"/>
      <c r="AF3" s="679"/>
    </row>
    <row r="4" spans="1:32" ht="15" customHeight="1" thickBot="1">
      <c r="B4" s="1384"/>
      <c r="C4" s="1385"/>
      <c r="D4" s="1385"/>
      <c r="E4" s="1385"/>
      <c r="F4" s="1385"/>
      <c r="G4" s="1385"/>
      <c r="H4" s="1385"/>
      <c r="I4" s="1385"/>
      <c r="J4" s="1385"/>
      <c r="K4" s="1385"/>
      <c r="L4" s="1386"/>
      <c r="N4" s="1376"/>
      <c r="O4" s="1377"/>
      <c r="P4" s="1377"/>
      <c r="Q4" s="1377"/>
      <c r="R4" s="1377"/>
      <c r="S4" s="1377"/>
      <c r="T4" s="1377"/>
      <c r="U4" s="1378"/>
      <c r="W4" s="1394"/>
      <c r="X4" s="1395"/>
      <c r="Y4" s="1395"/>
      <c r="Z4" s="1395"/>
      <c r="AA4" s="1395"/>
      <c r="AB4" s="1395"/>
      <c r="AC4" s="1395"/>
      <c r="AD4" s="1396"/>
      <c r="AE4" s="679"/>
      <c r="AF4" s="679"/>
    </row>
    <row r="5" spans="1:32" ht="14.65" customHeight="1">
      <c r="B5" s="1363" t="s">
        <v>252</v>
      </c>
      <c r="C5" s="1363" t="s">
        <v>253</v>
      </c>
      <c r="D5" s="1369" t="s">
        <v>254</v>
      </c>
      <c r="E5" s="1388"/>
      <c r="F5" s="1369" t="s">
        <v>255</v>
      </c>
      <c r="G5" s="1388"/>
      <c r="H5" s="1369" t="s">
        <v>256</v>
      </c>
      <c r="I5" s="1388"/>
      <c r="J5" s="1369" t="s">
        <v>257</v>
      </c>
      <c r="K5" s="1367" t="s">
        <v>258</v>
      </c>
      <c r="L5" s="1357" t="s">
        <v>259</v>
      </c>
      <c r="N5" s="1365" t="s">
        <v>252</v>
      </c>
      <c r="O5" s="1363" t="s">
        <v>253</v>
      </c>
      <c r="P5" s="1367" t="s">
        <v>254</v>
      </c>
      <c r="Q5" s="1367" t="s">
        <v>255</v>
      </c>
      <c r="R5" s="1369" t="s">
        <v>256</v>
      </c>
      <c r="S5" s="1359" t="s">
        <v>257</v>
      </c>
      <c r="T5" s="1371" t="s">
        <v>260</v>
      </c>
      <c r="U5" s="1357" t="s">
        <v>259</v>
      </c>
      <c r="W5" s="1399" t="s">
        <v>252</v>
      </c>
      <c r="X5" s="1359" t="s">
        <v>253</v>
      </c>
      <c r="Y5" s="1359" t="s">
        <v>254</v>
      </c>
      <c r="Z5" s="1359" t="s">
        <v>255</v>
      </c>
      <c r="AA5" s="1359" t="s">
        <v>261</v>
      </c>
      <c r="AB5" s="1359" t="s">
        <v>257</v>
      </c>
      <c r="AC5" s="1359" t="s">
        <v>260</v>
      </c>
      <c r="AD5" s="1361" t="s">
        <v>259</v>
      </c>
      <c r="AF5" s="680"/>
    </row>
    <row r="6" spans="1:32" ht="15.75" thickBot="1">
      <c r="B6" s="1387"/>
      <c r="C6" s="1387"/>
      <c r="D6" s="1389"/>
      <c r="E6" s="1390"/>
      <c r="F6" s="1389"/>
      <c r="G6" s="1390"/>
      <c r="H6" s="1389"/>
      <c r="I6" s="1390"/>
      <c r="J6" s="1370"/>
      <c r="K6" s="1368"/>
      <c r="L6" s="1358"/>
      <c r="N6" s="1366"/>
      <c r="O6" s="1364"/>
      <c r="P6" s="1368"/>
      <c r="Q6" s="1368"/>
      <c r="R6" s="1370"/>
      <c r="S6" s="1360"/>
      <c r="T6" s="1372"/>
      <c r="U6" s="1358"/>
      <c r="W6" s="1400"/>
      <c r="X6" s="1360"/>
      <c r="Y6" s="1360"/>
      <c r="Z6" s="1360"/>
      <c r="AA6" s="1360"/>
      <c r="AB6" s="1360"/>
      <c r="AC6" s="1360"/>
      <c r="AD6" s="1362"/>
      <c r="AF6" s="680"/>
    </row>
    <row r="7" spans="1:32">
      <c r="A7" s="757">
        <f>'D-1 Off-Site Habitat Baseline'!AF11</f>
        <v>0</v>
      </c>
      <c r="B7" s="759" t="e" cm="1" vm="1">
        <f t="array" ref="B7">_xlfn.UNIQUE(_xlfn._xlws.FILTER(A7:A747,A7:A747&lt;&gt;0))</f>
        <v>#VALUE!</v>
      </c>
      <c r="C7" s="760">
        <f>SUMIF('D-1 Off-Site Habitat Baseline'!AF11:AF14,B7,'D-1 Off-Site Habitat Baseline'!T11:T14)</f>
        <v>0</v>
      </c>
      <c r="D7" s="1379">
        <f>SUMIF('D-1 Off-Site Habitat Baseline'!$AF$11:$AF$258,'Off-site gain site summary'!$B$7,'D-1 Off-Site Habitat Baseline'!$X$11:$X$258)</f>
        <v>0</v>
      </c>
      <c r="E7" s="1380"/>
      <c r="F7" s="1379">
        <f>SUMIF('D-3 Off-Site Habitat Enhancment'!$AU$12:$AU$258,'Off-site gain site summary'!B7,'D-3 Off-Site Habitat Enhancment'!$AQ$12:$AQ$258)</f>
        <v>0</v>
      </c>
      <c r="G7" s="1380"/>
      <c r="H7" s="1379">
        <f>SUMIF('D-2 Off-Site Habitat Creation'!$AF$11:$AF$256,'Off-site gain site summary'!B7,'D-2 Off-Site Habitat Creation'!$AB$11:$AB$256)</f>
        <v>0</v>
      </c>
      <c r="I7" s="1380"/>
      <c r="J7" s="761">
        <f>(H7+F7+D7)-(C7)</f>
        <v>0</v>
      </c>
      <c r="K7" s="760" t="str">
        <f>IFERROR(_xlfn.XLOOKUP(B7,'D-2 Off-Site Habitat Creation'!$AF$11:$AF$256,'D-2 Off-Site Habitat Creation'!$Z$11:$Z$256), IFERROR(_xlfn.XLOOKUP(B7,'D-1 Off-Site Habitat Baseline'!AF11:AF258,'D-1 Off-Site Habitat Baseline'!S11:S258), " "))</f>
        <v xml:space="preserve"> </v>
      </c>
      <c r="L7" s="763">
        <f>IF(J7&gt;0,IFERROR(J7*K7, "0"), J7)</f>
        <v>0</v>
      </c>
      <c r="M7" s="757">
        <f>'E-1 Off-Site Hedge Baseline'!AB10</f>
        <v>0</v>
      </c>
      <c r="N7" s="759" t="e" cm="1" vm="1">
        <f t="array" ref="N7">_xlfn.UNIQUE(_xlfn._xlws.FILTER(M7:M745,M7:M745&lt;&gt;0))</f>
        <v>#VALUE!</v>
      </c>
      <c r="O7" s="778">
        <f>SUMIF('E-1 Off-Site Hedge Baseline'!AB10:AB257,'Off-site gain site summary'!N7,'E-1 Off-Site Hedge Baseline'!Q10:Q257)</f>
        <v>0</v>
      </c>
      <c r="P7" s="778">
        <f>SUMIF('E-1 Off-Site Hedge Baseline'!$AB$10:$AB$257,'Off-site gain site summary'!$N7,'E-1 Off-Site Hedge Baseline'!$U$10:$U$257)</f>
        <v>0</v>
      </c>
      <c r="Q7" s="778">
        <f>SUMIF('E-3 Off-Site Hedge Enhancement'!$AO$12:$AO$257,'Off-site gain site summary'!$N7,'E-3 Off-Site Hedge Enhancement'!$AK$12:$AK$257)</f>
        <v>0</v>
      </c>
      <c r="R7" s="778">
        <f>SUMIF('E-2 Off-Site Hedge Creation'!$AD$12:$AD$259,'Off-site gain site summary'!$N7,'E-2 Off-Site Hedge Creation'!$Z$12:$Z$259)</f>
        <v>0</v>
      </c>
      <c r="S7" s="778">
        <f>(R7+Q7+P7)-O7</f>
        <v>0</v>
      </c>
      <c r="T7" s="778" t="str">
        <f>IFERROR(_xlfn.XLOOKUP(N7,'E-2 Off-Site Hedge Creation'!AD12:AD259,'E-2 Off-Site Hedge Creation'!N12:N259), IFERROR(_xlfn.XLOOKUP(N7,'E-1 Off-Site Hedge Baseline'!AB10:AB257,'E-1 Off-Site Hedge Baseline'!P10:P257), " "))</f>
        <v xml:space="preserve"> </v>
      </c>
      <c r="U7" s="779">
        <f>IF(S7&gt;0,IFERROR(S7*T7, "0"), S7)</f>
        <v>0</v>
      </c>
      <c r="V7" s="1">
        <f>'F-1 Off-Site WaterC'' Baseline'!AG10</f>
        <v>0</v>
      </c>
      <c r="W7" s="759" t="e" cm="1" vm="1">
        <f t="array" ref="W7">_xlfn.UNIQUE(_xlfn._xlws.FILTER(V7:V748, V7:V748&lt;&gt;0))</f>
        <v>#VALUE!</v>
      </c>
      <c r="X7" s="778">
        <f>SUMIF('F-1 Off-Site WaterC'' Baseline'!$AG$10:$AG$257,'Off-site gain site summary'!$W7,'F-1 Off-Site WaterC'' Baseline'!$U$10:$U$257)</f>
        <v>0</v>
      </c>
      <c r="Y7" s="778">
        <f>SUMIF('F-1 Off-Site WaterC'' Baseline'!$AG$10:$AG$257,'Off-site gain site summary'!$W7,'F-1 Off-Site WaterC'' Baseline'!$Y$10:$Y$257)</f>
        <v>0</v>
      </c>
      <c r="Z7" s="778">
        <f>SUMIF('F-3 Off-Site WaterC Enhancement'!$AT$12:$AT$257,'Off-site gain site summary'!$W7,'F-3 Off-Site WaterC Enhancement'!$AP$12:$AP$257)</f>
        <v>0</v>
      </c>
      <c r="AA7" s="778">
        <f>SUMIF('F-2 Off-Site WaterC'' Creation'!$AG$12:$AG$259,'Off-site gain site summary'!$W7,'F-2 Off-Site WaterC'' Creation'!$AC$12:$AC$259)</f>
        <v>0</v>
      </c>
      <c r="AB7" s="778">
        <f>(Z7+AA7+Y7)-X7</f>
        <v>0</v>
      </c>
      <c r="AC7" s="778" t="str">
        <f>IFERROR(_xlfn.XLOOKUP(W7,'F-2 Off-Site WaterC'' Creation'!AG12:AG258,'F-2 Off-Site WaterC'' Creation'!AA12:AA259), IFERROR(_xlfn.XLOOKUP(W7,'F-1 Off-Site WaterC'' Baseline'!AG10:AG257,'F-1 Off-Site WaterC'' Baseline'!T10:T257)," "))</f>
        <v xml:space="preserve"> </v>
      </c>
      <c r="AD7" s="779">
        <f>IF(AB7&gt;0,IFERROR(AB7*AC7, "0"), AB7)</f>
        <v>0</v>
      </c>
      <c r="AE7" s="681"/>
      <c r="AF7" s="681"/>
    </row>
    <row r="8" spans="1:32">
      <c r="A8" s="757">
        <f>'D-1 Off-Site Habitat Baseline'!AF12</f>
        <v>0</v>
      </c>
      <c r="B8" s="764"/>
      <c r="C8" s="762">
        <f>SUMIF('D-1 Off-Site Habitat Baseline'!AF12:AF15,B8,'D-1 Off-Site Habitat Baseline'!T12:T15)</f>
        <v>0</v>
      </c>
      <c r="D8" s="1354">
        <f>SUMIF('D-1 Off-Site Habitat Baseline'!$AF$11:$AF$258,'Off-site gain site summary'!$B$7,'D-1 Off-Site Habitat Baseline'!$X$11:$X$258)</f>
        <v>0</v>
      </c>
      <c r="E8" s="1355"/>
      <c r="F8" s="1354">
        <f>SUMIF('D-3 Off-Site Habitat Enhancment'!$AU$12:$AU$258,'Off-site gain site summary'!B8,'D-3 Off-Site Habitat Enhancment'!$AQ$12:$AQ$258)</f>
        <v>0</v>
      </c>
      <c r="G8" s="1355"/>
      <c r="H8" s="1354">
        <f>SUMIF('D-2 Off-Site Habitat Creation'!$AF$11:$AF$256,'Off-site gain site summary'!B8,'D-2 Off-Site Habitat Creation'!$AB$11:$AB$256)</f>
        <v>0</v>
      </c>
      <c r="I8" s="1355"/>
      <c r="J8" s="765">
        <f t="shared" ref="J8:J71" si="0">(H8+F8+D8)-(C8)</f>
        <v>0</v>
      </c>
      <c r="K8" s="762" t="str">
        <f>IFERROR(_xlfn.XLOOKUP(B8,'D-2 Off-Site Habitat Creation'!$AF$11:$AF$256,'D-2 Off-Site Habitat Creation'!$Z$11:$Z$256), IFERROR(_xlfn.XLOOKUP(B8,'D-1 Off-Site Habitat Baseline'!AF12:AF259,'D-1 Off-Site Habitat Baseline'!S12:S259), " "))</f>
        <v/>
      </c>
      <c r="L8" s="766">
        <f t="shared" ref="L8:L71" si="1">IF(J8&gt;0,IFERROR(J8*K8, "0"), J8)</f>
        <v>0</v>
      </c>
      <c r="M8" s="757">
        <f>'E-1 Off-Site Hedge Baseline'!AB11</f>
        <v>0</v>
      </c>
      <c r="N8" s="772"/>
      <c r="O8" s="773">
        <f>SUMIF('E-1 Off-Site Hedge Baseline'!AB11:AB258,'Off-site gain site summary'!N8,'E-1 Off-Site Hedge Baseline'!Q11:Q258)</f>
        <v>0</v>
      </c>
      <c r="P8" s="773">
        <f>SUMIF('E-1 Off-Site Hedge Baseline'!$AB$10:$AB$257,'Off-site gain site summary'!$N8,'E-1 Off-Site Hedge Baseline'!$U$10:$U$257)</f>
        <v>0</v>
      </c>
      <c r="Q8" s="773">
        <f>SUMIF('E-3 Off-Site Hedge Enhancement'!$AO$12:$AO$257,'Off-site gain site summary'!$N8,'E-3 Off-Site Hedge Enhancement'!$AK$12:$AK$257)</f>
        <v>0</v>
      </c>
      <c r="R8" s="773">
        <f>SUMIF('E-2 Off-Site Hedge Creation'!$AD$12:$AD$259,'Off-site gain site summary'!$N8,'E-2 Off-Site Hedge Creation'!$Z$12:$Z$259)</f>
        <v>0</v>
      </c>
      <c r="S8" s="771">
        <f t="shared" ref="S8:S71" si="2">(R8+Q8+P8)-O8</f>
        <v>0</v>
      </c>
      <c r="T8" s="771" t="str">
        <f>IFERROR(_xlfn.XLOOKUP(N8,'E-2 Off-Site Hedge Creation'!AD13:AD260,'E-2 Off-Site Hedge Creation'!N13:N260), IFERROR(_xlfn.XLOOKUP(N8,'E-1 Off-Site Hedge Baseline'!AB11:AB258,'E-1 Off-Site Hedge Baseline'!P11:P258), " "))</f>
        <v/>
      </c>
      <c r="U8" s="774">
        <f t="shared" ref="U8:U71" si="3">IF(S8&gt;0,IFERROR(S8*T8, "0"), S8)</f>
        <v>0</v>
      </c>
      <c r="V8" s="1">
        <f>'F-1 Off-Site WaterC'' Baseline'!AG11</f>
        <v>0</v>
      </c>
      <c r="W8" s="772"/>
      <c r="X8" s="773">
        <f>SUMIF('F-1 Off-Site WaterC'' Baseline'!$AG$10:$AG$257,'Off-site gain site summary'!$W8,'F-1 Off-Site WaterC'' Baseline'!$U$10:$U$257)</f>
        <v>0</v>
      </c>
      <c r="Y8" s="773">
        <f>SUMIF('F-1 Off-Site WaterC'' Baseline'!$AG$10:$AG$257,'Off-site gain site summary'!$W8,'F-1 Off-Site WaterC'' Baseline'!$Y$10:$Y$257)</f>
        <v>0</v>
      </c>
      <c r="Z8" s="773">
        <f>SUMIF('F-3 Off-Site WaterC Enhancement'!$AT$12:$AT$257,'Off-site gain site summary'!$W8,'F-3 Off-Site WaterC Enhancement'!$AP$12:$AP$257)</f>
        <v>0</v>
      </c>
      <c r="AA8" s="773">
        <f>SUMIF('F-2 Off-Site WaterC'' Creation'!$AG$12:$AG$259,'Off-site gain site summary'!$W8,'F-2 Off-Site WaterC'' Creation'!$AC$12:$AC$259)</f>
        <v>0</v>
      </c>
      <c r="AB8" s="773">
        <f t="shared" ref="AB8:AB71" si="4">(Z8+AA8+Y8)-X8</f>
        <v>0</v>
      </c>
      <c r="AC8" s="773" t="str">
        <f>IFERROR(_xlfn.XLOOKUP(W8,'F-2 Off-Site WaterC'' Creation'!AG13:AG259,'F-2 Off-Site WaterC'' Creation'!AA13:AA260), IFERROR(_xlfn.XLOOKUP(W8,'F-1 Off-Site WaterC'' Baseline'!AG11:AG258,'F-1 Off-Site WaterC'' Baseline'!T11:T258)," "))</f>
        <v/>
      </c>
      <c r="AD8" s="774">
        <f t="shared" ref="AD8:AD71" si="5">IF(AB8&gt;0,IFERROR(AB8*AC8, "0"), AB8)</f>
        <v>0</v>
      </c>
      <c r="AE8" s="1356"/>
      <c r="AF8" s="1356"/>
    </row>
    <row r="9" spans="1:32">
      <c r="A9" s="757">
        <f>'D-1 Off-Site Habitat Baseline'!AF13</f>
        <v>0</v>
      </c>
      <c r="B9" s="764"/>
      <c r="C9" s="762">
        <f>SUMIF('D-1 Off-Site Habitat Baseline'!AF13:AF16,B9,'D-1 Off-Site Habitat Baseline'!T13:T16)</f>
        <v>0</v>
      </c>
      <c r="D9" s="1354">
        <f>SUMIF('D-1 Off-Site Habitat Baseline'!$AF$11:$AF$258,'Off-site gain site summary'!$B$7,'D-1 Off-Site Habitat Baseline'!$X$11:$X$258)</f>
        <v>0</v>
      </c>
      <c r="E9" s="1355"/>
      <c r="F9" s="1354">
        <f>SUMIF('D-3 Off-Site Habitat Enhancment'!$AU$12:$AU$258,'Off-site gain site summary'!B9,'D-3 Off-Site Habitat Enhancment'!$AQ$12:$AQ$258)</f>
        <v>0</v>
      </c>
      <c r="G9" s="1355"/>
      <c r="H9" s="1354">
        <f>SUMIF('D-2 Off-Site Habitat Creation'!$AF$11:$AF$256,'Off-site gain site summary'!B9,'D-2 Off-Site Habitat Creation'!$AB$11:$AB$256)</f>
        <v>0</v>
      </c>
      <c r="I9" s="1355"/>
      <c r="J9" s="765">
        <f t="shared" si="0"/>
        <v>0</v>
      </c>
      <c r="K9" s="762" t="str">
        <f>IFERROR(_xlfn.XLOOKUP(B9,'D-2 Off-Site Habitat Creation'!$AF$11:$AF$256,'D-2 Off-Site Habitat Creation'!$Z$11:$Z$256), IFERROR(_xlfn.XLOOKUP(B9,'D-1 Off-Site Habitat Baseline'!AF13:AF260,'D-1 Off-Site Habitat Baseline'!S13:S260), " "))</f>
        <v/>
      </c>
      <c r="L9" s="766">
        <f t="shared" si="1"/>
        <v>0</v>
      </c>
      <c r="M9" s="757">
        <f>'E-1 Off-Site Hedge Baseline'!AB12</f>
        <v>0</v>
      </c>
      <c r="N9" s="772"/>
      <c r="O9" s="773">
        <f>SUMIF('E-1 Off-Site Hedge Baseline'!AB12:AB259,'Off-site gain site summary'!N9,'E-1 Off-Site Hedge Baseline'!Q12:Q259)</f>
        <v>0</v>
      </c>
      <c r="P9" s="773">
        <f>SUMIF('E-1 Off-Site Hedge Baseline'!$AB$10:$AB$257,'Off-site gain site summary'!$N9,'E-1 Off-Site Hedge Baseline'!$U$10:$U$257)</f>
        <v>0</v>
      </c>
      <c r="Q9" s="773">
        <f>SUMIF('E-3 Off-Site Hedge Enhancement'!$AO$12:$AO$257,'Off-site gain site summary'!$N9,'E-3 Off-Site Hedge Enhancement'!$AK$12:$AK$257)</f>
        <v>0</v>
      </c>
      <c r="R9" s="773">
        <f>SUMIF('E-2 Off-Site Hedge Creation'!$AD$12:$AD$259,'Off-site gain site summary'!$N9,'E-2 Off-Site Hedge Creation'!$Z$12:$Z$259)</f>
        <v>0</v>
      </c>
      <c r="S9" s="771">
        <f t="shared" si="2"/>
        <v>0</v>
      </c>
      <c r="T9" s="771" t="str">
        <f>IFERROR(_xlfn.XLOOKUP(N9,'E-2 Off-Site Hedge Creation'!AD14:AD261,'E-2 Off-Site Hedge Creation'!N14:N261), IFERROR(_xlfn.XLOOKUP(N9,'E-1 Off-Site Hedge Baseline'!AB12:AB259,'E-1 Off-Site Hedge Baseline'!P12:P259), " "))</f>
        <v/>
      </c>
      <c r="U9" s="774">
        <f t="shared" si="3"/>
        <v>0</v>
      </c>
      <c r="V9" s="1">
        <f>'F-1 Off-Site WaterC'' Baseline'!AG12</f>
        <v>0</v>
      </c>
      <c r="W9" s="772"/>
      <c r="X9" s="773">
        <f>SUMIF('F-1 Off-Site WaterC'' Baseline'!$AG$10:$AG$257,'Off-site gain site summary'!$W9,'F-1 Off-Site WaterC'' Baseline'!$U$10:$U$257)</f>
        <v>0</v>
      </c>
      <c r="Y9" s="773">
        <f>SUMIF('F-1 Off-Site WaterC'' Baseline'!$AG$10:$AG$257,'Off-site gain site summary'!$W9,'F-1 Off-Site WaterC'' Baseline'!$Y$10:$Y$257)</f>
        <v>0</v>
      </c>
      <c r="Z9" s="773">
        <f>SUMIF('F-3 Off-Site WaterC Enhancement'!$AT$12:$AT$257,'Off-site gain site summary'!$W9,'F-3 Off-Site WaterC Enhancement'!$AP$12:$AP$257)</f>
        <v>0</v>
      </c>
      <c r="AA9" s="773">
        <f>SUMIF('F-2 Off-Site WaterC'' Creation'!$AG$12:$AG$259,'Off-site gain site summary'!$W9,'F-2 Off-Site WaterC'' Creation'!$AC$12:$AC$259)</f>
        <v>0</v>
      </c>
      <c r="AB9" s="773">
        <f t="shared" si="4"/>
        <v>0</v>
      </c>
      <c r="AC9" s="773" t="str">
        <f>IFERROR(_xlfn.XLOOKUP(W9,'F-2 Off-Site WaterC'' Creation'!AG14:AG260,'F-2 Off-Site WaterC'' Creation'!AA14:AA261), IFERROR(_xlfn.XLOOKUP(W9,'F-1 Off-Site WaterC'' Baseline'!AG12:AG259,'F-1 Off-Site WaterC'' Baseline'!T12:T259)," "))</f>
        <v/>
      </c>
      <c r="AD9" s="774">
        <f t="shared" si="5"/>
        <v>0</v>
      </c>
      <c r="AE9" s="1356"/>
      <c r="AF9" s="1356"/>
    </row>
    <row r="10" spans="1:32">
      <c r="A10" s="757">
        <f>'D-1 Off-Site Habitat Baseline'!AF14</f>
        <v>0</v>
      </c>
      <c r="B10" s="764"/>
      <c r="C10" s="762">
        <f>SUMIF('D-1 Off-Site Habitat Baseline'!AF14:AF17,B10,'D-1 Off-Site Habitat Baseline'!T14:T17)</f>
        <v>0</v>
      </c>
      <c r="D10" s="1354">
        <f>SUMIF('D-1 Off-Site Habitat Baseline'!$AF$11:$AF$258,'Off-site gain site summary'!$B$7,'D-1 Off-Site Habitat Baseline'!$X$11:$X$258)</f>
        <v>0</v>
      </c>
      <c r="E10" s="1355"/>
      <c r="F10" s="1354">
        <f>SUMIF('D-3 Off-Site Habitat Enhancment'!$AU$12:$AU$258,'Off-site gain site summary'!B10,'D-3 Off-Site Habitat Enhancment'!$AQ$12:$AQ$258)</f>
        <v>0</v>
      </c>
      <c r="G10" s="1355"/>
      <c r="H10" s="1354">
        <f>SUMIF('D-2 Off-Site Habitat Creation'!$AF$11:$AF$256,'Off-site gain site summary'!B10,'D-2 Off-Site Habitat Creation'!$AB$11:$AB$256)</f>
        <v>0</v>
      </c>
      <c r="I10" s="1355"/>
      <c r="J10" s="765">
        <f t="shared" si="0"/>
        <v>0</v>
      </c>
      <c r="K10" s="762" t="str">
        <f>IFERROR(_xlfn.XLOOKUP(B10,'D-2 Off-Site Habitat Creation'!$AF$11:$AF$256,'D-2 Off-Site Habitat Creation'!$Z$11:$Z$256), IFERROR(_xlfn.XLOOKUP(B10,'D-1 Off-Site Habitat Baseline'!AF14:AF261,'D-1 Off-Site Habitat Baseline'!S14:S261), " "))</f>
        <v/>
      </c>
      <c r="L10" s="766">
        <f t="shared" si="1"/>
        <v>0</v>
      </c>
      <c r="M10" s="757">
        <f>'E-1 Off-Site Hedge Baseline'!AB13</f>
        <v>0</v>
      </c>
      <c r="N10" s="772"/>
      <c r="O10" s="773">
        <f>SUMIF('E-1 Off-Site Hedge Baseline'!AB13:AB260,'Off-site gain site summary'!N10,'E-1 Off-Site Hedge Baseline'!Q13:Q260)</f>
        <v>0</v>
      </c>
      <c r="P10" s="773">
        <f>SUMIF('E-1 Off-Site Hedge Baseline'!$AB$10:$AB$257,'Off-site gain site summary'!$N10,'E-1 Off-Site Hedge Baseline'!$U$10:$U$257)</f>
        <v>0</v>
      </c>
      <c r="Q10" s="773">
        <f>SUMIF('E-3 Off-Site Hedge Enhancement'!$AO$12:$AO$257,'Off-site gain site summary'!$N10,'E-3 Off-Site Hedge Enhancement'!$AK$12:$AK$257)</f>
        <v>0</v>
      </c>
      <c r="R10" s="773">
        <f>SUMIF('E-2 Off-Site Hedge Creation'!$AD$12:$AD$259,'Off-site gain site summary'!$N10,'E-2 Off-Site Hedge Creation'!$Z$12:$Z$259)</f>
        <v>0</v>
      </c>
      <c r="S10" s="771">
        <f t="shared" si="2"/>
        <v>0</v>
      </c>
      <c r="T10" s="771" t="str">
        <f>IFERROR(_xlfn.XLOOKUP(N10,'E-2 Off-Site Hedge Creation'!AD15:AD262,'E-2 Off-Site Hedge Creation'!N15:N262), IFERROR(_xlfn.XLOOKUP(N10,'E-1 Off-Site Hedge Baseline'!AB13:AB260,'E-1 Off-Site Hedge Baseline'!P13:P260), " "))</f>
        <v/>
      </c>
      <c r="U10" s="774">
        <f t="shared" si="3"/>
        <v>0</v>
      </c>
      <c r="V10" s="1">
        <f>'F-1 Off-Site WaterC'' Baseline'!AG13</f>
        <v>0</v>
      </c>
      <c r="W10" s="772"/>
      <c r="X10" s="773">
        <f>SUMIF('F-1 Off-Site WaterC'' Baseline'!$AG$10:$AG$257,'Off-site gain site summary'!$W10,'F-1 Off-Site WaterC'' Baseline'!$U$10:$U$257)</f>
        <v>0</v>
      </c>
      <c r="Y10" s="773">
        <f>SUMIF('F-1 Off-Site WaterC'' Baseline'!$AG$10:$AG$257,'Off-site gain site summary'!$W10,'F-1 Off-Site WaterC'' Baseline'!$Y$10:$Y$257)</f>
        <v>0</v>
      </c>
      <c r="Z10" s="773">
        <f>SUMIF('F-3 Off-Site WaterC Enhancement'!$AT$12:$AT$257,'Off-site gain site summary'!$W10,'F-3 Off-Site WaterC Enhancement'!$AP$12:$AP$257)</f>
        <v>0</v>
      </c>
      <c r="AA10" s="773">
        <f>SUMIF('F-2 Off-Site WaterC'' Creation'!$AG$12:$AG$259,'Off-site gain site summary'!$W10,'F-2 Off-Site WaterC'' Creation'!$AC$12:$AC$259)</f>
        <v>0</v>
      </c>
      <c r="AB10" s="773">
        <f t="shared" si="4"/>
        <v>0</v>
      </c>
      <c r="AC10" s="773" t="str">
        <f>IFERROR(_xlfn.XLOOKUP(W10,'F-2 Off-Site WaterC'' Creation'!AG15:AG261,'F-2 Off-Site WaterC'' Creation'!AA15:AA262), IFERROR(_xlfn.XLOOKUP(W10,'F-1 Off-Site WaterC'' Baseline'!AG13:AG260,'F-1 Off-Site WaterC'' Baseline'!T13:T260)," "))</f>
        <v/>
      </c>
      <c r="AD10" s="774">
        <f t="shared" si="5"/>
        <v>0</v>
      </c>
      <c r="AE10" s="1356"/>
      <c r="AF10" s="1356"/>
    </row>
    <row r="11" spans="1:32">
      <c r="A11" s="757">
        <f>'D-1 Off-Site Habitat Baseline'!AF15</f>
        <v>0</v>
      </c>
      <c r="B11" s="764"/>
      <c r="C11" s="762">
        <f>SUMIF('D-1 Off-Site Habitat Baseline'!AF15:AF18,B11,'D-1 Off-Site Habitat Baseline'!T15:T18)</f>
        <v>0</v>
      </c>
      <c r="D11" s="1354">
        <f>SUMIF('D-1 Off-Site Habitat Baseline'!$AF$11:$AF$258,'Off-site gain site summary'!$B$7,'D-1 Off-Site Habitat Baseline'!$X$11:$X$258)</f>
        <v>0</v>
      </c>
      <c r="E11" s="1355"/>
      <c r="F11" s="1354">
        <f>SUMIF('D-3 Off-Site Habitat Enhancment'!$AU$12:$AU$258,'Off-site gain site summary'!B11,'D-3 Off-Site Habitat Enhancment'!$AQ$12:$AQ$258)</f>
        <v>0</v>
      </c>
      <c r="G11" s="1355"/>
      <c r="H11" s="1354">
        <f>SUMIF('D-2 Off-Site Habitat Creation'!$AF$11:$AF$256,'Off-site gain site summary'!B11,'D-2 Off-Site Habitat Creation'!$AB$11:$AB$256)</f>
        <v>0</v>
      </c>
      <c r="I11" s="1355"/>
      <c r="J11" s="765">
        <f t="shared" si="0"/>
        <v>0</v>
      </c>
      <c r="K11" s="762" t="str">
        <f>IFERROR(_xlfn.XLOOKUP(B11,'D-2 Off-Site Habitat Creation'!$AF$11:$AF$256,'D-2 Off-Site Habitat Creation'!$Z$11:$Z$256), IFERROR(_xlfn.XLOOKUP(B11,'D-1 Off-Site Habitat Baseline'!AF15:AF262,'D-1 Off-Site Habitat Baseline'!S15:S262), " "))</f>
        <v/>
      </c>
      <c r="L11" s="766">
        <f t="shared" si="1"/>
        <v>0</v>
      </c>
      <c r="M11" s="757">
        <f>'E-1 Off-Site Hedge Baseline'!AB14</f>
        <v>0</v>
      </c>
      <c r="N11" s="772"/>
      <c r="O11" s="773">
        <f>SUMIF('E-1 Off-Site Hedge Baseline'!AB14:AB261,'Off-site gain site summary'!N11,'E-1 Off-Site Hedge Baseline'!Q14:Q261)</f>
        <v>0</v>
      </c>
      <c r="P11" s="773">
        <f>SUMIF('E-1 Off-Site Hedge Baseline'!$AB$10:$AB$257,'Off-site gain site summary'!$N11,'E-1 Off-Site Hedge Baseline'!$U$10:$U$257)</f>
        <v>0</v>
      </c>
      <c r="Q11" s="773">
        <f>SUMIF('E-3 Off-Site Hedge Enhancement'!$AO$12:$AO$257,'Off-site gain site summary'!$N11,'E-3 Off-Site Hedge Enhancement'!$AK$12:$AK$257)</f>
        <v>0</v>
      </c>
      <c r="R11" s="773">
        <f>SUMIF('E-2 Off-Site Hedge Creation'!$AD$12:$AD$259,'Off-site gain site summary'!$N11,'E-2 Off-Site Hedge Creation'!$Z$12:$Z$259)</f>
        <v>0</v>
      </c>
      <c r="S11" s="771">
        <f t="shared" si="2"/>
        <v>0</v>
      </c>
      <c r="T11" s="771" t="str">
        <f>IFERROR(_xlfn.XLOOKUP(N11,'E-2 Off-Site Hedge Creation'!AD16:AD263,'E-2 Off-Site Hedge Creation'!N16:N263), IFERROR(_xlfn.XLOOKUP(N11,'E-1 Off-Site Hedge Baseline'!AB14:AB261,'E-1 Off-Site Hedge Baseline'!P14:P261), " "))</f>
        <v/>
      </c>
      <c r="U11" s="774">
        <f t="shared" si="3"/>
        <v>0</v>
      </c>
      <c r="V11" s="1">
        <f>'F-1 Off-Site WaterC'' Baseline'!AG14</f>
        <v>0</v>
      </c>
      <c r="W11" s="772"/>
      <c r="X11" s="773">
        <f>SUMIF('F-1 Off-Site WaterC'' Baseline'!$AG$10:$AG$257,'Off-site gain site summary'!$W11,'F-1 Off-Site WaterC'' Baseline'!$U$10:$U$257)</f>
        <v>0</v>
      </c>
      <c r="Y11" s="773">
        <f>SUMIF('F-1 Off-Site WaterC'' Baseline'!$AG$10:$AG$257,'Off-site gain site summary'!$W11,'F-1 Off-Site WaterC'' Baseline'!$Y$10:$Y$257)</f>
        <v>0</v>
      </c>
      <c r="Z11" s="773">
        <f>SUMIF('F-3 Off-Site WaterC Enhancement'!$AT$12:$AT$257,'Off-site gain site summary'!$W11,'F-3 Off-Site WaterC Enhancement'!$AP$12:$AP$257)</f>
        <v>0</v>
      </c>
      <c r="AA11" s="773">
        <f>SUMIF('F-2 Off-Site WaterC'' Creation'!$AG$12:$AG$259,'Off-site gain site summary'!$W11,'F-2 Off-Site WaterC'' Creation'!$AC$12:$AC$259)</f>
        <v>0</v>
      </c>
      <c r="AB11" s="773">
        <f t="shared" si="4"/>
        <v>0</v>
      </c>
      <c r="AC11" s="773" t="str">
        <f>IFERROR(_xlfn.XLOOKUP(W11,'F-2 Off-Site WaterC'' Creation'!AG16:AG262,'F-2 Off-Site WaterC'' Creation'!AA16:AA263), IFERROR(_xlfn.XLOOKUP(W11,'F-1 Off-Site WaterC'' Baseline'!AG14:AG261,'F-1 Off-Site WaterC'' Baseline'!T14:T261)," "))</f>
        <v/>
      </c>
      <c r="AD11" s="774">
        <f t="shared" si="5"/>
        <v>0</v>
      </c>
      <c r="AE11" s="1356"/>
      <c r="AF11" s="1356"/>
    </row>
    <row r="12" spans="1:32">
      <c r="A12" s="757">
        <f>'D-1 Off-Site Habitat Baseline'!AF16</f>
        <v>0</v>
      </c>
      <c r="B12" s="764"/>
      <c r="C12" s="762">
        <f>SUMIF('D-1 Off-Site Habitat Baseline'!AF16:AF19,B12,'D-1 Off-Site Habitat Baseline'!T16:T19)</f>
        <v>0</v>
      </c>
      <c r="D12" s="1354">
        <f>SUMIF('D-1 Off-Site Habitat Baseline'!$AF$11:$AF$258,'Off-site gain site summary'!$B$7,'D-1 Off-Site Habitat Baseline'!$X$11:$X$258)</f>
        <v>0</v>
      </c>
      <c r="E12" s="1355"/>
      <c r="F12" s="1354">
        <f>SUMIF('D-3 Off-Site Habitat Enhancment'!$AU$12:$AU$258,'Off-site gain site summary'!B12,'D-3 Off-Site Habitat Enhancment'!$AQ$12:$AQ$258)</f>
        <v>0</v>
      </c>
      <c r="G12" s="1355"/>
      <c r="H12" s="1354">
        <f>SUMIF('D-2 Off-Site Habitat Creation'!$AF$11:$AF$256,'Off-site gain site summary'!B12,'D-2 Off-Site Habitat Creation'!$AB$11:$AB$256)</f>
        <v>0</v>
      </c>
      <c r="I12" s="1355"/>
      <c r="J12" s="765">
        <f t="shared" si="0"/>
        <v>0</v>
      </c>
      <c r="K12" s="762" t="str">
        <f>IFERROR(_xlfn.XLOOKUP(B12,'D-2 Off-Site Habitat Creation'!$AF$11:$AF$256,'D-2 Off-Site Habitat Creation'!$Z$11:$Z$256), IFERROR(_xlfn.XLOOKUP(B12,'D-1 Off-Site Habitat Baseline'!AF16:AF263,'D-1 Off-Site Habitat Baseline'!S16:S263), " "))</f>
        <v/>
      </c>
      <c r="L12" s="766">
        <f t="shared" si="1"/>
        <v>0</v>
      </c>
      <c r="M12" s="757">
        <f>'E-1 Off-Site Hedge Baseline'!AB15</f>
        <v>0</v>
      </c>
      <c r="N12" s="772"/>
      <c r="O12" s="773">
        <f>SUMIF('E-1 Off-Site Hedge Baseline'!AB15:AB262,'Off-site gain site summary'!N12,'E-1 Off-Site Hedge Baseline'!Q15:Q262)</f>
        <v>0</v>
      </c>
      <c r="P12" s="773">
        <f>SUMIF('E-1 Off-Site Hedge Baseline'!$AB$10:$AB$257,'Off-site gain site summary'!$N12,'E-1 Off-Site Hedge Baseline'!$U$10:$U$257)</f>
        <v>0</v>
      </c>
      <c r="Q12" s="773">
        <f>SUMIF('E-3 Off-Site Hedge Enhancement'!$AO$12:$AO$257,'Off-site gain site summary'!$N12,'E-3 Off-Site Hedge Enhancement'!$AK$12:$AK$257)</f>
        <v>0</v>
      </c>
      <c r="R12" s="773">
        <f>SUMIF('E-2 Off-Site Hedge Creation'!$AD$12:$AD$259,'Off-site gain site summary'!$N12,'E-2 Off-Site Hedge Creation'!$Z$12:$Z$259)</f>
        <v>0</v>
      </c>
      <c r="S12" s="771">
        <f t="shared" si="2"/>
        <v>0</v>
      </c>
      <c r="T12" s="771" t="str">
        <f>IFERROR(_xlfn.XLOOKUP(N12,'E-2 Off-Site Hedge Creation'!AD17:AD264,'E-2 Off-Site Hedge Creation'!N17:N264), IFERROR(_xlfn.XLOOKUP(N12,'E-1 Off-Site Hedge Baseline'!AB15:AB262,'E-1 Off-Site Hedge Baseline'!P15:P262), " "))</f>
        <v/>
      </c>
      <c r="U12" s="774">
        <f t="shared" si="3"/>
        <v>0</v>
      </c>
      <c r="V12" s="1">
        <f>'F-1 Off-Site WaterC'' Baseline'!AG15</f>
        <v>0</v>
      </c>
      <c r="W12" s="772"/>
      <c r="X12" s="773">
        <f>SUMIF('F-1 Off-Site WaterC'' Baseline'!$AG$10:$AG$257,'Off-site gain site summary'!$W12,'F-1 Off-Site WaterC'' Baseline'!$U$10:$U$257)</f>
        <v>0</v>
      </c>
      <c r="Y12" s="773">
        <f>SUMIF('F-1 Off-Site WaterC'' Baseline'!$AG$10:$AG$257,'Off-site gain site summary'!$W12,'F-1 Off-Site WaterC'' Baseline'!$Y$10:$Y$257)</f>
        <v>0</v>
      </c>
      <c r="Z12" s="773">
        <f>SUMIF('F-3 Off-Site WaterC Enhancement'!$AT$12:$AT$257,'Off-site gain site summary'!$W12,'F-3 Off-Site WaterC Enhancement'!$AP$12:$AP$257)</f>
        <v>0</v>
      </c>
      <c r="AA12" s="773">
        <f>SUMIF('F-2 Off-Site WaterC'' Creation'!$AG$12:$AG$259,'Off-site gain site summary'!$W12,'F-2 Off-Site WaterC'' Creation'!$AC$12:$AC$259)</f>
        <v>0</v>
      </c>
      <c r="AB12" s="773">
        <f t="shared" si="4"/>
        <v>0</v>
      </c>
      <c r="AC12" s="773" t="str">
        <f>IFERROR(_xlfn.XLOOKUP(W12,'F-2 Off-Site WaterC'' Creation'!AG17:AG263,'F-2 Off-Site WaterC'' Creation'!AA17:AA264), IFERROR(_xlfn.XLOOKUP(W12,'F-1 Off-Site WaterC'' Baseline'!AG15:AG262,'F-1 Off-Site WaterC'' Baseline'!T15:T262)," "))</f>
        <v/>
      </c>
      <c r="AD12" s="774">
        <f t="shared" si="5"/>
        <v>0</v>
      </c>
      <c r="AE12" s="1356"/>
      <c r="AF12" s="1356"/>
    </row>
    <row r="13" spans="1:32">
      <c r="A13" s="757">
        <f>'D-1 Off-Site Habitat Baseline'!AF17</f>
        <v>0</v>
      </c>
      <c r="B13" s="764"/>
      <c r="C13" s="762">
        <f>SUMIF('D-1 Off-Site Habitat Baseline'!AF17:AF20,B13,'D-1 Off-Site Habitat Baseline'!T17:T20)</f>
        <v>0</v>
      </c>
      <c r="D13" s="1354">
        <f>SUMIF('D-1 Off-Site Habitat Baseline'!$AF$11:$AF$258,'Off-site gain site summary'!$B$7,'D-1 Off-Site Habitat Baseline'!$X$11:$X$258)</f>
        <v>0</v>
      </c>
      <c r="E13" s="1355"/>
      <c r="F13" s="1354">
        <f>SUMIF('D-3 Off-Site Habitat Enhancment'!$AU$12:$AU$258,'Off-site gain site summary'!B13,'D-3 Off-Site Habitat Enhancment'!$AQ$12:$AQ$258)</f>
        <v>0</v>
      </c>
      <c r="G13" s="1355"/>
      <c r="H13" s="1354">
        <f>SUMIF('D-2 Off-Site Habitat Creation'!$AF$11:$AF$256,'Off-site gain site summary'!B13,'D-2 Off-Site Habitat Creation'!$AB$11:$AB$256)</f>
        <v>0</v>
      </c>
      <c r="I13" s="1355"/>
      <c r="J13" s="765">
        <f t="shared" si="0"/>
        <v>0</v>
      </c>
      <c r="K13" s="762" t="str">
        <f>IFERROR(_xlfn.XLOOKUP(B13,'D-2 Off-Site Habitat Creation'!$AF$11:$AF$256,'D-2 Off-Site Habitat Creation'!$Z$11:$Z$256), IFERROR(_xlfn.XLOOKUP(B13,'D-1 Off-Site Habitat Baseline'!AF17:AF264,'D-1 Off-Site Habitat Baseline'!S17:S264), " "))</f>
        <v/>
      </c>
      <c r="L13" s="766">
        <f t="shared" si="1"/>
        <v>0</v>
      </c>
      <c r="M13" s="757">
        <f>'E-1 Off-Site Hedge Baseline'!AB16</f>
        <v>0</v>
      </c>
      <c r="N13" s="772"/>
      <c r="O13" s="773">
        <f>SUMIF('E-1 Off-Site Hedge Baseline'!AB16:AB263,'Off-site gain site summary'!N13,'E-1 Off-Site Hedge Baseline'!Q16:Q263)</f>
        <v>0</v>
      </c>
      <c r="P13" s="773">
        <f>SUMIF('E-1 Off-Site Hedge Baseline'!$AB$10:$AB$257,'Off-site gain site summary'!$N13,'E-1 Off-Site Hedge Baseline'!$U$10:$U$257)</f>
        <v>0</v>
      </c>
      <c r="Q13" s="773">
        <f>SUMIF('E-3 Off-Site Hedge Enhancement'!$AO$12:$AO$257,'Off-site gain site summary'!$N13,'E-3 Off-Site Hedge Enhancement'!$AK$12:$AK$257)</f>
        <v>0</v>
      </c>
      <c r="R13" s="773">
        <f>SUMIF('E-2 Off-Site Hedge Creation'!$AD$12:$AD$259,'Off-site gain site summary'!$N13,'E-2 Off-Site Hedge Creation'!$Z$12:$Z$259)</f>
        <v>0</v>
      </c>
      <c r="S13" s="771">
        <f t="shared" si="2"/>
        <v>0</v>
      </c>
      <c r="T13" s="771" t="str">
        <f>IFERROR(_xlfn.XLOOKUP(N13,'E-2 Off-Site Hedge Creation'!AD18:AD265,'E-2 Off-Site Hedge Creation'!N18:N265), IFERROR(_xlfn.XLOOKUP(N13,'E-1 Off-Site Hedge Baseline'!AB16:AB263,'E-1 Off-Site Hedge Baseline'!P16:P263), " "))</f>
        <v/>
      </c>
      <c r="U13" s="774">
        <f t="shared" si="3"/>
        <v>0</v>
      </c>
      <c r="V13" s="1">
        <f>'F-1 Off-Site WaterC'' Baseline'!AG16</f>
        <v>0</v>
      </c>
      <c r="W13" s="772"/>
      <c r="X13" s="773">
        <f>SUMIF('F-1 Off-Site WaterC'' Baseline'!$AG$10:$AG$257,'Off-site gain site summary'!$W13,'F-1 Off-Site WaterC'' Baseline'!$U$10:$U$257)</f>
        <v>0</v>
      </c>
      <c r="Y13" s="773">
        <f>SUMIF('F-1 Off-Site WaterC'' Baseline'!$AG$10:$AG$257,'Off-site gain site summary'!$W13,'F-1 Off-Site WaterC'' Baseline'!$Y$10:$Y$257)</f>
        <v>0</v>
      </c>
      <c r="Z13" s="773">
        <f>SUMIF('F-3 Off-Site WaterC Enhancement'!$AT$12:$AT$257,'Off-site gain site summary'!$W13,'F-3 Off-Site WaterC Enhancement'!$AP$12:$AP$257)</f>
        <v>0</v>
      </c>
      <c r="AA13" s="773">
        <f>SUMIF('F-2 Off-Site WaterC'' Creation'!$AG$12:$AG$259,'Off-site gain site summary'!$W13,'F-2 Off-Site WaterC'' Creation'!$AC$12:$AC$259)</f>
        <v>0</v>
      </c>
      <c r="AB13" s="773">
        <f t="shared" si="4"/>
        <v>0</v>
      </c>
      <c r="AC13" s="773" t="str">
        <f>IFERROR(_xlfn.XLOOKUP(W13,'F-2 Off-Site WaterC'' Creation'!AG18:AG264,'F-2 Off-Site WaterC'' Creation'!AA18:AA265), IFERROR(_xlfn.XLOOKUP(W13,'F-1 Off-Site WaterC'' Baseline'!AG16:AG263,'F-1 Off-Site WaterC'' Baseline'!T16:T263)," "))</f>
        <v/>
      </c>
      <c r="AD13" s="774">
        <f t="shared" si="5"/>
        <v>0</v>
      </c>
      <c r="AE13" s="1356"/>
      <c r="AF13" s="1356"/>
    </row>
    <row r="14" spans="1:32">
      <c r="A14" s="757">
        <f>'D-1 Off-Site Habitat Baseline'!AF18</f>
        <v>0</v>
      </c>
      <c r="B14" s="764"/>
      <c r="C14" s="762">
        <f>SUMIF('D-1 Off-Site Habitat Baseline'!AF18:AF21,B14,'D-1 Off-Site Habitat Baseline'!T18:T21)</f>
        <v>0</v>
      </c>
      <c r="D14" s="1354">
        <f>SUMIF('D-1 Off-Site Habitat Baseline'!$AF$11:$AF$258,'Off-site gain site summary'!$B$7,'D-1 Off-Site Habitat Baseline'!$X$11:$X$258)</f>
        <v>0</v>
      </c>
      <c r="E14" s="1355"/>
      <c r="F14" s="1354">
        <f>SUMIF('D-3 Off-Site Habitat Enhancment'!$AU$12:$AU$258,'Off-site gain site summary'!B14,'D-3 Off-Site Habitat Enhancment'!$AQ$12:$AQ$258)</f>
        <v>0</v>
      </c>
      <c r="G14" s="1355"/>
      <c r="H14" s="1354">
        <f>SUMIF('D-2 Off-Site Habitat Creation'!$AF$11:$AF$256,'Off-site gain site summary'!B14,'D-2 Off-Site Habitat Creation'!$AB$11:$AB$256)</f>
        <v>0</v>
      </c>
      <c r="I14" s="1355"/>
      <c r="J14" s="765">
        <f t="shared" si="0"/>
        <v>0</v>
      </c>
      <c r="K14" s="762" t="str">
        <f>IFERROR(_xlfn.XLOOKUP(B14,'D-2 Off-Site Habitat Creation'!$AF$11:$AF$256,'D-2 Off-Site Habitat Creation'!$Z$11:$Z$256), IFERROR(_xlfn.XLOOKUP(B14,'D-1 Off-Site Habitat Baseline'!AF18:AF265,'D-1 Off-Site Habitat Baseline'!S18:S265), " "))</f>
        <v/>
      </c>
      <c r="L14" s="766">
        <f t="shared" si="1"/>
        <v>0</v>
      </c>
      <c r="M14" s="757">
        <f>'E-1 Off-Site Hedge Baseline'!AB17</f>
        <v>0</v>
      </c>
      <c r="N14" s="772"/>
      <c r="O14" s="773">
        <f>SUMIF('E-1 Off-Site Hedge Baseline'!AB17:AB264,'Off-site gain site summary'!N14,'E-1 Off-Site Hedge Baseline'!Q17:Q264)</f>
        <v>0</v>
      </c>
      <c r="P14" s="773">
        <f>SUMIF('E-1 Off-Site Hedge Baseline'!$AB$10:$AB$257,'Off-site gain site summary'!$N14,'E-1 Off-Site Hedge Baseline'!$U$10:$U$257)</f>
        <v>0</v>
      </c>
      <c r="Q14" s="773">
        <f>SUMIF('E-3 Off-Site Hedge Enhancement'!$AO$12:$AO$257,'Off-site gain site summary'!$N14,'E-3 Off-Site Hedge Enhancement'!$AK$12:$AK$257)</f>
        <v>0</v>
      </c>
      <c r="R14" s="773">
        <f>SUMIF('E-2 Off-Site Hedge Creation'!$AD$12:$AD$259,'Off-site gain site summary'!$N14,'E-2 Off-Site Hedge Creation'!$Z$12:$Z$259)</f>
        <v>0</v>
      </c>
      <c r="S14" s="771">
        <f t="shared" si="2"/>
        <v>0</v>
      </c>
      <c r="T14" s="771" t="str">
        <f>IFERROR(_xlfn.XLOOKUP(N14,'E-2 Off-Site Hedge Creation'!AD19:AD266,'E-2 Off-Site Hedge Creation'!N19:N266), IFERROR(_xlfn.XLOOKUP(N14,'E-1 Off-Site Hedge Baseline'!AB17:AB264,'E-1 Off-Site Hedge Baseline'!P17:P264), " "))</f>
        <v/>
      </c>
      <c r="U14" s="774">
        <f t="shared" si="3"/>
        <v>0</v>
      </c>
      <c r="V14" s="1">
        <f>'F-1 Off-Site WaterC'' Baseline'!AG17</f>
        <v>0</v>
      </c>
      <c r="W14" s="772"/>
      <c r="X14" s="773">
        <f>SUMIF('F-1 Off-Site WaterC'' Baseline'!$AG$10:$AG$257,'Off-site gain site summary'!$W14,'F-1 Off-Site WaterC'' Baseline'!$U$10:$U$257)</f>
        <v>0</v>
      </c>
      <c r="Y14" s="773">
        <f>SUMIF('F-1 Off-Site WaterC'' Baseline'!$AG$10:$AG$257,'Off-site gain site summary'!$W14,'F-1 Off-Site WaterC'' Baseline'!$Y$10:$Y$257)</f>
        <v>0</v>
      </c>
      <c r="Z14" s="773">
        <f>SUMIF('F-3 Off-Site WaterC Enhancement'!$AT$12:$AT$257,'Off-site gain site summary'!$W14,'F-3 Off-Site WaterC Enhancement'!$AP$12:$AP$257)</f>
        <v>0</v>
      </c>
      <c r="AA14" s="773">
        <f>SUMIF('F-2 Off-Site WaterC'' Creation'!$AG$12:$AG$259,'Off-site gain site summary'!$W14,'F-2 Off-Site WaterC'' Creation'!$AC$12:$AC$259)</f>
        <v>0</v>
      </c>
      <c r="AB14" s="773">
        <f t="shared" si="4"/>
        <v>0</v>
      </c>
      <c r="AC14" s="773" t="str">
        <f>IFERROR(_xlfn.XLOOKUP(W14,'F-2 Off-Site WaterC'' Creation'!AG19:AG265,'F-2 Off-Site WaterC'' Creation'!AA19:AA266), IFERROR(_xlfn.XLOOKUP(W14,'F-1 Off-Site WaterC'' Baseline'!AG17:AG264,'F-1 Off-Site WaterC'' Baseline'!T17:T264)," "))</f>
        <v/>
      </c>
      <c r="AD14" s="774">
        <f t="shared" si="5"/>
        <v>0</v>
      </c>
      <c r="AE14" s="1356"/>
      <c r="AF14" s="1356"/>
    </row>
    <row r="15" spans="1:32">
      <c r="A15" s="757">
        <f>'D-1 Off-Site Habitat Baseline'!AF19</f>
        <v>0</v>
      </c>
      <c r="B15" s="764"/>
      <c r="C15" s="762">
        <f>SUMIF('D-1 Off-Site Habitat Baseline'!AF19:AF22,B15,'D-1 Off-Site Habitat Baseline'!T19:T22)</f>
        <v>0</v>
      </c>
      <c r="D15" s="1354">
        <f>SUMIF('D-1 Off-Site Habitat Baseline'!$AF$11:$AF$258,'Off-site gain site summary'!$B$7,'D-1 Off-Site Habitat Baseline'!$X$11:$X$258)</f>
        <v>0</v>
      </c>
      <c r="E15" s="1355"/>
      <c r="F15" s="1354">
        <f>SUMIF('D-3 Off-Site Habitat Enhancment'!$AU$12:$AU$258,'Off-site gain site summary'!B15,'D-3 Off-Site Habitat Enhancment'!$AQ$12:$AQ$258)</f>
        <v>0</v>
      </c>
      <c r="G15" s="1355"/>
      <c r="H15" s="1354">
        <f>SUMIF('D-2 Off-Site Habitat Creation'!$AF$11:$AF$256,'Off-site gain site summary'!B15,'D-2 Off-Site Habitat Creation'!$AB$11:$AB$256)</f>
        <v>0</v>
      </c>
      <c r="I15" s="1355"/>
      <c r="J15" s="765">
        <f t="shared" si="0"/>
        <v>0</v>
      </c>
      <c r="K15" s="762" t="str">
        <f>IFERROR(_xlfn.XLOOKUP(B15,'D-2 Off-Site Habitat Creation'!$AF$11:$AF$256,'D-2 Off-Site Habitat Creation'!$Z$11:$Z$256), IFERROR(_xlfn.XLOOKUP(B15,'D-1 Off-Site Habitat Baseline'!AF19:AF266,'D-1 Off-Site Habitat Baseline'!S19:S266), " "))</f>
        <v/>
      </c>
      <c r="L15" s="766">
        <f t="shared" si="1"/>
        <v>0</v>
      </c>
      <c r="M15" s="757">
        <f>'E-1 Off-Site Hedge Baseline'!AB18</f>
        <v>0</v>
      </c>
      <c r="N15" s="772"/>
      <c r="O15" s="773">
        <f>SUMIF('E-1 Off-Site Hedge Baseline'!AB18:AB265,'Off-site gain site summary'!N15,'E-1 Off-Site Hedge Baseline'!Q18:Q265)</f>
        <v>0</v>
      </c>
      <c r="P15" s="773">
        <f>SUMIF('E-1 Off-Site Hedge Baseline'!$AB$10:$AB$257,'Off-site gain site summary'!$N15,'E-1 Off-Site Hedge Baseline'!$U$10:$U$257)</f>
        <v>0</v>
      </c>
      <c r="Q15" s="773">
        <f>SUMIF('E-3 Off-Site Hedge Enhancement'!$AO$12:$AO$257,'Off-site gain site summary'!$N15,'E-3 Off-Site Hedge Enhancement'!$AK$12:$AK$257)</f>
        <v>0</v>
      </c>
      <c r="R15" s="773">
        <f>SUMIF('E-2 Off-Site Hedge Creation'!$AD$12:$AD$259,'Off-site gain site summary'!$N15,'E-2 Off-Site Hedge Creation'!$Z$12:$Z$259)</f>
        <v>0</v>
      </c>
      <c r="S15" s="771">
        <f t="shared" si="2"/>
        <v>0</v>
      </c>
      <c r="T15" s="771" t="str">
        <f>IFERROR(_xlfn.XLOOKUP(N15,'E-2 Off-Site Hedge Creation'!AD20:AD267,'E-2 Off-Site Hedge Creation'!N20:N267), IFERROR(_xlfn.XLOOKUP(N15,'E-1 Off-Site Hedge Baseline'!AB18:AB265,'E-1 Off-Site Hedge Baseline'!P18:P265), " "))</f>
        <v/>
      </c>
      <c r="U15" s="774">
        <f t="shared" si="3"/>
        <v>0</v>
      </c>
      <c r="V15" s="1">
        <f>'F-1 Off-Site WaterC'' Baseline'!AG18</f>
        <v>0</v>
      </c>
      <c r="W15" s="772"/>
      <c r="X15" s="773">
        <f>SUMIF('F-1 Off-Site WaterC'' Baseline'!$AG$10:$AG$257,'Off-site gain site summary'!$W15,'F-1 Off-Site WaterC'' Baseline'!$U$10:$U$257)</f>
        <v>0</v>
      </c>
      <c r="Y15" s="773">
        <f>SUMIF('F-1 Off-Site WaterC'' Baseline'!$AG$10:$AG$257,'Off-site gain site summary'!$W15,'F-1 Off-Site WaterC'' Baseline'!$Y$10:$Y$257)</f>
        <v>0</v>
      </c>
      <c r="Z15" s="773">
        <f>SUMIF('F-3 Off-Site WaterC Enhancement'!$AT$12:$AT$257,'Off-site gain site summary'!$W15,'F-3 Off-Site WaterC Enhancement'!$AP$12:$AP$257)</f>
        <v>0</v>
      </c>
      <c r="AA15" s="773">
        <f>SUMIF('F-2 Off-Site WaterC'' Creation'!$AG$12:$AG$259,'Off-site gain site summary'!$W15,'F-2 Off-Site WaterC'' Creation'!$AC$12:$AC$259)</f>
        <v>0</v>
      </c>
      <c r="AB15" s="773">
        <f t="shared" si="4"/>
        <v>0</v>
      </c>
      <c r="AC15" s="773" t="str">
        <f>IFERROR(_xlfn.XLOOKUP(W15,'F-2 Off-Site WaterC'' Creation'!AG20:AG266,'F-2 Off-Site WaterC'' Creation'!AA20:AA267), IFERROR(_xlfn.XLOOKUP(W15,'F-1 Off-Site WaterC'' Baseline'!AG18:AG265,'F-1 Off-Site WaterC'' Baseline'!T18:T265)," "))</f>
        <v/>
      </c>
      <c r="AD15" s="774">
        <f t="shared" si="5"/>
        <v>0</v>
      </c>
      <c r="AE15" s="1356"/>
      <c r="AF15" s="1356"/>
    </row>
    <row r="16" spans="1:32">
      <c r="A16" s="757">
        <f>'D-1 Off-Site Habitat Baseline'!AF20</f>
        <v>0</v>
      </c>
      <c r="B16" s="764"/>
      <c r="C16" s="762">
        <f>SUMIF('D-1 Off-Site Habitat Baseline'!AF20:AF23,B16,'D-1 Off-Site Habitat Baseline'!T20:T23)</f>
        <v>0</v>
      </c>
      <c r="D16" s="1354">
        <f>SUMIF('D-1 Off-Site Habitat Baseline'!$AF$11:$AF$258,'Off-site gain site summary'!$B$7,'D-1 Off-Site Habitat Baseline'!$X$11:$X$258)</f>
        <v>0</v>
      </c>
      <c r="E16" s="1355"/>
      <c r="F16" s="1354">
        <f>SUMIF('D-3 Off-Site Habitat Enhancment'!$AU$12:$AU$258,'Off-site gain site summary'!B16,'D-3 Off-Site Habitat Enhancment'!$AQ$12:$AQ$258)</f>
        <v>0</v>
      </c>
      <c r="G16" s="1355"/>
      <c r="H16" s="1354">
        <f>SUMIF('D-2 Off-Site Habitat Creation'!$AF$11:$AF$256,'Off-site gain site summary'!B16,'D-2 Off-Site Habitat Creation'!$AB$11:$AB$256)</f>
        <v>0</v>
      </c>
      <c r="I16" s="1355"/>
      <c r="J16" s="765">
        <f t="shared" si="0"/>
        <v>0</v>
      </c>
      <c r="K16" s="762" t="str">
        <f>IFERROR(_xlfn.XLOOKUP(B16,'D-2 Off-Site Habitat Creation'!$AF$11:$AF$256,'D-2 Off-Site Habitat Creation'!$Z$11:$Z$256), IFERROR(_xlfn.XLOOKUP(B16,'D-1 Off-Site Habitat Baseline'!AF20:AF267,'D-1 Off-Site Habitat Baseline'!S20:S267), " "))</f>
        <v/>
      </c>
      <c r="L16" s="766">
        <f t="shared" si="1"/>
        <v>0</v>
      </c>
      <c r="M16" s="757">
        <f>'E-1 Off-Site Hedge Baseline'!AB19</f>
        <v>0</v>
      </c>
      <c r="N16" s="772"/>
      <c r="O16" s="773">
        <f>SUMIF('E-1 Off-Site Hedge Baseline'!AB19:AB266,'Off-site gain site summary'!N16,'E-1 Off-Site Hedge Baseline'!Q19:Q266)</f>
        <v>0</v>
      </c>
      <c r="P16" s="773">
        <f>SUMIF('E-1 Off-Site Hedge Baseline'!$AB$10:$AB$257,'Off-site gain site summary'!$N16,'E-1 Off-Site Hedge Baseline'!$U$10:$U$257)</f>
        <v>0</v>
      </c>
      <c r="Q16" s="773">
        <f>SUMIF('E-3 Off-Site Hedge Enhancement'!$AO$12:$AO$257,'Off-site gain site summary'!$N16,'E-3 Off-Site Hedge Enhancement'!$AK$12:$AK$257)</f>
        <v>0</v>
      </c>
      <c r="R16" s="773">
        <f>SUMIF('E-2 Off-Site Hedge Creation'!$AD$12:$AD$259,'Off-site gain site summary'!$N16,'E-2 Off-Site Hedge Creation'!$Z$12:$Z$259)</f>
        <v>0</v>
      </c>
      <c r="S16" s="771">
        <f t="shared" si="2"/>
        <v>0</v>
      </c>
      <c r="T16" s="771" t="str">
        <f>IFERROR(_xlfn.XLOOKUP(N16,'E-2 Off-Site Hedge Creation'!AD21:AD268,'E-2 Off-Site Hedge Creation'!N21:N268), IFERROR(_xlfn.XLOOKUP(N16,'E-1 Off-Site Hedge Baseline'!AB19:AB266,'E-1 Off-Site Hedge Baseline'!P19:P266), " "))</f>
        <v/>
      </c>
      <c r="U16" s="774">
        <f t="shared" si="3"/>
        <v>0</v>
      </c>
      <c r="V16" s="1">
        <f>'F-1 Off-Site WaterC'' Baseline'!AG19</f>
        <v>0</v>
      </c>
      <c r="W16" s="772"/>
      <c r="X16" s="773">
        <f>SUMIF('F-1 Off-Site WaterC'' Baseline'!$AG$10:$AG$257,'Off-site gain site summary'!$W16,'F-1 Off-Site WaterC'' Baseline'!$U$10:$U$257)</f>
        <v>0</v>
      </c>
      <c r="Y16" s="773">
        <f>SUMIF('F-1 Off-Site WaterC'' Baseline'!$AG$10:$AG$257,'Off-site gain site summary'!$W16,'F-1 Off-Site WaterC'' Baseline'!$Y$10:$Y$257)</f>
        <v>0</v>
      </c>
      <c r="Z16" s="773">
        <f>SUMIF('F-3 Off-Site WaterC Enhancement'!$AT$12:$AT$257,'Off-site gain site summary'!$W16,'F-3 Off-Site WaterC Enhancement'!$AP$12:$AP$257)</f>
        <v>0</v>
      </c>
      <c r="AA16" s="773">
        <f>SUMIF('F-2 Off-Site WaterC'' Creation'!$AG$12:$AG$259,'Off-site gain site summary'!$W16,'F-2 Off-Site WaterC'' Creation'!$AC$12:$AC$259)</f>
        <v>0</v>
      </c>
      <c r="AB16" s="773">
        <f t="shared" si="4"/>
        <v>0</v>
      </c>
      <c r="AC16" s="773" t="str">
        <f>IFERROR(_xlfn.XLOOKUP(W16,'F-2 Off-Site WaterC'' Creation'!AG21:AG267,'F-2 Off-Site WaterC'' Creation'!AA21:AA268), IFERROR(_xlfn.XLOOKUP(W16,'F-1 Off-Site WaterC'' Baseline'!AG19:AG266,'F-1 Off-Site WaterC'' Baseline'!T19:T266)," "))</f>
        <v/>
      </c>
      <c r="AD16" s="774">
        <f t="shared" si="5"/>
        <v>0</v>
      </c>
      <c r="AE16" s="1356"/>
      <c r="AF16" s="1356"/>
    </row>
    <row r="17" spans="1:32">
      <c r="A17" s="757">
        <f>'D-1 Off-Site Habitat Baseline'!AF21</f>
        <v>0</v>
      </c>
      <c r="B17" s="764"/>
      <c r="C17" s="762">
        <f>SUMIF('D-1 Off-Site Habitat Baseline'!AF21:AF24,B17,'D-1 Off-Site Habitat Baseline'!T21:T24)</f>
        <v>0</v>
      </c>
      <c r="D17" s="1354">
        <f>SUMIF('D-1 Off-Site Habitat Baseline'!$AF$11:$AF$258,'Off-site gain site summary'!$B$7,'D-1 Off-Site Habitat Baseline'!$X$11:$X$258)</f>
        <v>0</v>
      </c>
      <c r="E17" s="1355"/>
      <c r="F17" s="1354">
        <f>SUMIF('D-3 Off-Site Habitat Enhancment'!$AU$12:$AU$258,'Off-site gain site summary'!B17,'D-3 Off-Site Habitat Enhancment'!$AQ$12:$AQ$258)</f>
        <v>0</v>
      </c>
      <c r="G17" s="1355"/>
      <c r="H17" s="1354">
        <f>SUMIF('D-2 Off-Site Habitat Creation'!$AF$11:$AF$256,'Off-site gain site summary'!B17,'D-2 Off-Site Habitat Creation'!$AB$11:$AB$256)</f>
        <v>0</v>
      </c>
      <c r="I17" s="1355"/>
      <c r="J17" s="765">
        <f t="shared" si="0"/>
        <v>0</v>
      </c>
      <c r="K17" s="762" t="str">
        <f>IFERROR(_xlfn.XLOOKUP(B17,'D-2 Off-Site Habitat Creation'!$AF$11:$AF$256,'D-2 Off-Site Habitat Creation'!$Z$11:$Z$256), IFERROR(_xlfn.XLOOKUP(B17,'D-1 Off-Site Habitat Baseline'!AF21:AF268,'D-1 Off-Site Habitat Baseline'!S21:S268), " "))</f>
        <v/>
      </c>
      <c r="L17" s="766">
        <f t="shared" si="1"/>
        <v>0</v>
      </c>
      <c r="M17" s="757">
        <f>'E-1 Off-Site Hedge Baseline'!AB20</f>
        <v>0</v>
      </c>
      <c r="N17" s="772"/>
      <c r="O17" s="773">
        <f>SUMIF('E-1 Off-Site Hedge Baseline'!AB20:AB267,'Off-site gain site summary'!N17,'E-1 Off-Site Hedge Baseline'!Q20:Q267)</f>
        <v>0</v>
      </c>
      <c r="P17" s="773">
        <f>SUMIF('E-1 Off-Site Hedge Baseline'!$AB$10:$AB$257,'Off-site gain site summary'!$N17,'E-1 Off-Site Hedge Baseline'!$U$10:$U$257)</f>
        <v>0</v>
      </c>
      <c r="Q17" s="773">
        <f>SUMIF('E-3 Off-Site Hedge Enhancement'!$AO$12:$AO$257,'Off-site gain site summary'!$N17,'E-3 Off-Site Hedge Enhancement'!$AK$12:$AK$257)</f>
        <v>0</v>
      </c>
      <c r="R17" s="773">
        <f>SUMIF('E-2 Off-Site Hedge Creation'!$AD$12:$AD$259,'Off-site gain site summary'!$N17,'E-2 Off-Site Hedge Creation'!$Z$12:$Z$259)</f>
        <v>0</v>
      </c>
      <c r="S17" s="771">
        <f t="shared" si="2"/>
        <v>0</v>
      </c>
      <c r="T17" s="771" t="str">
        <f>IFERROR(_xlfn.XLOOKUP(N17,'E-2 Off-Site Hedge Creation'!AD22:AD269,'E-2 Off-Site Hedge Creation'!N22:N269), IFERROR(_xlfn.XLOOKUP(N17,'E-1 Off-Site Hedge Baseline'!AB20:AB267,'E-1 Off-Site Hedge Baseline'!P20:P267), " "))</f>
        <v/>
      </c>
      <c r="U17" s="774">
        <f t="shared" si="3"/>
        <v>0</v>
      </c>
      <c r="V17" s="1">
        <f>'F-1 Off-Site WaterC'' Baseline'!AG20</f>
        <v>0</v>
      </c>
      <c r="W17" s="772"/>
      <c r="X17" s="773">
        <f>SUMIF('F-1 Off-Site WaterC'' Baseline'!$AG$10:$AG$257,'Off-site gain site summary'!$W17,'F-1 Off-Site WaterC'' Baseline'!$U$10:$U$257)</f>
        <v>0</v>
      </c>
      <c r="Y17" s="773">
        <f>SUMIF('F-1 Off-Site WaterC'' Baseline'!$AG$10:$AG$257,'Off-site gain site summary'!$W17,'F-1 Off-Site WaterC'' Baseline'!$Y$10:$Y$257)</f>
        <v>0</v>
      </c>
      <c r="Z17" s="773">
        <f>SUMIF('F-3 Off-Site WaterC Enhancement'!$AT$12:$AT$257,'Off-site gain site summary'!$W17,'F-3 Off-Site WaterC Enhancement'!$AP$12:$AP$257)</f>
        <v>0</v>
      </c>
      <c r="AA17" s="773">
        <f>SUMIF('F-2 Off-Site WaterC'' Creation'!$AG$12:$AG$259,'Off-site gain site summary'!$W17,'F-2 Off-Site WaterC'' Creation'!$AC$12:$AC$259)</f>
        <v>0</v>
      </c>
      <c r="AB17" s="773">
        <f t="shared" si="4"/>
        <v>0</v>
      </c>
      <c r="AC17" s="773" t="str">
        <f>IFERROR(_xlfn.XLOOKUP(W17,'F-2 Off-Site WaterC'' Creation'!AG22:AG268,'F-2 Off-Site WaterC'' Creation'!AA22:AA269), IFERROR(_xlfn.XLOOKUP(W17,'F-1 Off-Site WaterC'' Baseline'!AG20:AG267,'F-1 Off-Site WaterC'' Baseline'!T20:T267)," "))</f>
        <v/>
      </c>
      <c r="AD17" s="774">
        <f t="shared" si="5"/>
        <v>0</v>
      </c>
      <c r="AE17" s="1356"/>
      <c r="AF17" s="1356"/>
    </row>
    <row r="18" spans="1:32">
      <c r="A18" s="757">
        <f>'D-1 Off-Site Habitat Baseline'!AF22</f>
        <v>0</v>
      </c>
      <c r="B18" s="764"/>
      <c r="C18" s="762">
        <f>SUMIF('D-1 Off-Site Habitat Baseline'!AF22:AF25,B18,'D-1 Off-Site Habitat Baseline'!T22:T25)</f>
        <v>0</v>
      </c>
      <c r="D18" s="1354">
        <f>SUMIF('D-1 Off-Site Habitat Baseline'!$AF$11:$AF$258,'Off-site gain site summary'!$B$7,'D-1 Off-Site Habitat Baseline'!$X$11:$X$258)</f>
        <v>0</v>
      </c>
      <c r="E18" s="1355"/>
      <c r="F18" s="1354">
        <f>SUMIF('D-3 Off-Site Habitat Enhancment'!$AU$12:$AU$258,'Off-site gain site summary'!B18,'D-3 Off-Site Habitat Enhancment'!$AQ$12:$AQ$258)</f>
        <v>0</v>
      </c>
      <c r="G18" s="1355"/>
      <c r="H18" s="1354">
        <f>SUMIF('D-2 Off-Site Habitat Creation'!$AF$11:$AF$256,'Off-site gain site summary'!B18,'D-2 Off-Site Habitat Creation'!$AB$11:$AB$256)</f>
        <v>0</v>
      </c>
      <c r="I18" s="1355"/>
      <c r="J18" s="765">
        <f t="shared" si="0"/>
        <v>0</v>
      </c>
      <c r="K18" s="762" t="str">
        <f>IFERROR(_xlfn.XLOOKUP(B18,'D-2 Off-Site Habitat Creation'!$AF$11:$AF$256,'D-2 Off-Site Habitat Creation'!$Z$11:$Z$256), IFERROR(_xlfn.XLOOKUP(B18,'D-1 Off-Site Habitat Baseline'!AF22:AF269,'D-1 Off-Site Habitat Baseline'!S22:S269), " "))</f>
        <v/>
      </c>
      <c r="L18" s="766">
        <f t="shared" si="1"/>
        <v>0</v>
      </c>
      <c r="M18" s="757">
        <f>'E-1 Off-Site Hedge Baseline'!AB21</f>
        <v>0</v>
      </c>
      <c r="N18" s="772"/>
      <c r="O18" s="773">
        <f>SUMIF('E-1 Off-Site Hedge Baseline'!AB21:AB268,'Off-site gain site summary'!N18,'E-1 Off-Site Hedge Baseline'!Q21:Q268)</f>
        <v>0</v>
      </c>
      <c r="P18" s="773">
        <f>SUMIF('E-1 Off-Site Hedge Baseline'!$AB$10:$AB$257,'Off-site gain site summary'!$N18,'E-1 Off-Site Hedge Baseline'!$U$10:$U$257)</f>
        <v>0</v>
      </c>
      <c r="Q18" s="773">
        <f>SUMIF('E-3 Off-Site Hedge Enhancement'!$AO$12:$AO$257,'Off-site gain site summary'!$N18,'E-3 Off-Site Hedge Enhancement'!$AK$12:$AK$257)</f>
        <v>0</v>
      </c>
      <c r="R18" s="773">
        <f>SUMIF('E-2 Off-Site Hedge Creation'!$AD$12:$AD$259,'Off-site gain site summary'!$N18,'E-2 Off-Site Hedge Creation'!$Z$12:$Z$259)</f>
        <v>0</v>
      </c>
      <c r="S18" s="771">
        <f t="shared" si="2"/>
        <v>0</v>
      </c>
      <c r="T18" s="771" t="str">
        <f>IFERROR(_xlfn.XLOOKUP(N18,'E-2 Off-Site Hedge Creation'!AD23:AD270,'E-2 Off-Site Hedge Creation'!N23:N270), IFERROR(_xlfn.XLOOKUP(N18,'E-1 Off-Site Hedge Baseline'!AB21:AB268,'E-1 Off-Site Hedge Baseline'!P21:P268), " "))</f>
        <v/>
      </c>
      <c r="U18" s="774">
        <f t="shared" si="3"/>
        <v>0</v>
      </c>
      <c r="V18" s="1">
        <f>'F-1 Off-Site WaterC'' Baseline'!AG21</f>
        <v>0</v>
      </c>
      <c r="W18" s="772"/>
      <c r="X18" s="773">
        <f>SUMIF('F-1 Off-Site WaterC'' Baseline'!$AG$10:$AG$257,'Off-site gain site summary'!$W18,'F-1 Off-Site WaterC'' Baseline'!$U$10:$U$257)</f>
        <v>0</v>
      </c>
      <c r="Y18" s="773">
        <f>SUMIF('F-1 Off-Site WaterC'' Baseline'!$AG$10:$AG$257,'Off-site gain site summary'!$W18,'F-1 Off-Site WaterC'' Baseline'!$Y$10:$Y$257)</f>
        <v>0</v>
      </c>
      <c r="Z18" s="773">
        <f>SUMIF('F-3 Off-Site WaterC Enhancement'!$AT$12:$AT$257,'Off-site gain site summary'!$W18,'F-3 Off-Site WaterC Enhancement'!$AP$12:$AP$257)</f>
        <v>0</v>
      </c>
      <c r="AA18" s="773">
        <f>SUMIF('F-2 Off-Site WaterC'' Creation'!$AG$12:$AG$259,'Off-site gain site summary'!$W18,'F-2 Off-Site WaterC'' Creation'!$AC$12:$AC$259)</f>
        <v>0</v>
      </c>
      <c r="AB18" s="773">
        <f t="shared" si="4"/>
        <v>0</v>
      </c>
      <c r="AC18" s="773" t="str">
        <f>IFERROR(_xlfn.XLOOKUP(W18,'F-2 Off-Site WaterC'' Creation'!AG23:AG269,'F-2 Off-Site WaterC'' Creation'!AA23:AA270), IFERROR(_xlfn.XLOOKUP(W18,'F-1 Off-Site WaterC'' Baseline'!AG21:AG268,'F-1 Off-Site WaterC'' Baseline'!T21:T268)," "))</f>
        <v/>
      </c>
      <c r="AD18" s="774">
        <f t="shared" si="5"/>
        <v>0</v>
      </c>
      <c r="AE18" s="1356"/>
      <c r="AF18" s="1356"/>
    </row>
    <row r="19" spans="1:32">
      <c r="A19" s="757">
        <f>'D-1 Off-Site Habitat Baseline'!AF23</f>
        <v>0</v>
      </c>
      <c r="B19" s="764"/>
      <c r="C19" s="762">
        <f>SUMIF('D-1 Off-Site Habitat Baseline'!AF23:AF26,B19,'D-1 Off-Site Habitat Baseline'!T23:T26)</f>
        <v>0</v>
      </c>
      <c r="D19" s="1354">
        <f>SUMIF('D-1 Off-Site Habitat Baseline'!$AF$11:$AF$258,'Off-site gain site summary'!$B$7,'D-1 Off-Site Habitat Baseline'!$X$11:$X$258)</f>
        <v>0</v>
      </c>
      <c r="E19" s="1355"/>
      <c r="F19" s="1354">
        <f>SUMIF('D-3 Off-Site Habitat Enhancment'!$AU$12:$AU$258,'Off-site gain site summary'!B19,'D-3 Off-Site Habitat Enhancment'!$AQ$12:$AQ$258)</f>
        <v>0</v>
      </c>
      <c r="G19" s="1355"/>
      <c r="H19" s="1354">
        <f>SUMIF('D-2 Off-Site Habitat Creation'!$AF$11:$AF$256,'Off-site gain site summary'!B19,'D-2 Off-Site Habitat Creation'!$AB$11:$AB$256)</f>
        <v>0</v>
      </c>
      <c r="I19" s="1355"/>
      <c r="J19" s="765">
        <f t="shared" si="0"/>
        <v>0</v>
      </c>
      <c r="K19" s="762" t="str">
        <f>IFERROR(_xlfn.XLOOKUP(B19,'D-2 Off-Site Habitat Creation'!$AF$11:$AF$256,'D-2 Off-Site Habitat Creation'!$Z$11:$Z$256), IFERROR(_xlfn.XLOOKUP(B19,'D-1 Off-Site Habitat Baseline'!AF23:AF270,'D-1 Off-Site Habitat Baseline'!S23:S270), " "))</f>
        <v/>
      </c>
      <c r="L19" s="766">
        <f t="shared" si="1"/>
        <v>0</v>
      </c>
      <c r="M19" s="757">
        <f>'E-1 Off-Site Hedge Baseline'!AB22</f>
        <v>0</v>
      </c>
      <c r="N19" s="772"/>
      <c r="O19" s="773">
        <f>SUMIF('E-1 Off-Site Hedge Baseline'!AB22:AB269,'Off-site gain site summary'!N19,'E-1 Off-Site Hedge Baseline'!Q22:Q269)</f>
        <v>0</v>
      </c>
      <c r="P19" s="773">
        <f>SUMIF('E-1 Off-Site Hedge Baseline'!$AB$10:$AB$257,'Off-site gain site summary'!$N19,'E-1 Off-Site Hedge Baseline'!$U$10:$U$257)</f>
        <v>0</v>
      </c>
      <c r="Q19" s="773">
        <f>SUMIF('E-3 Off-Site Hedge Enhancement'!$AO$12:$AO$257,'Off-site gain site summary'!$N19,'E-3 Off-Site Hedge Enhancement'!$AK$12:$AK$257)</f>
        <v>0</v>
      </c>
      <c r="R19" s="773">
        <f>SUMIF('E-2 Off-Site Hedge Creation'!$AD$12:$AD$259,'Off-site gain site summary'!$N19,'E-2 Off-Site Hedge Creation'!$Z$12:$Z$259)</f>
        <v>0</v>
      </c>
      <c r="S19" s="771">
        <f t="shared" si="2"/>
        <v>0</v>
      </c>
      <c r="T19" s="771" t="str">
        <f>IFERROR(_xlfn.XLOOKUP(N19,'E-2 Off-Site Hedge Creation'!AD24:AD271,'E-2 Off-Site Hedge Creation'!N24:N271), IFERROR(_xlfn.XLOOKUP(N19,'E-1 Off-Site Hedge Baseline'!AB22:AB269,'E-1 Off-Site Hedge Baseline'!P22:P269), " "))</f>
        <v/>
      </c>
      <c r="U19" s="774">
        <f t="shared" si="3"/>
        <v>0</v>
      </c>
      <c r="V19" s="1">
        <f>'F-1 Off-Site WaterC'' Baseline'!AG22</f>
        <v>0</v>
      </c>
      <c r="W19" s="772"/>
      <c r="X19" s="773">
        <f>SUMIF('F-1 Off-Site WaterC'' Baseline'!$AG$10:$AG$257,'Off-site gain site summary'!$W19,'F-1 Off-Site WaterC'' Baseline'!$U$10:$U$257)</f>
        <v>0</v>
      </c>
      <c r="Y19" s="773">
        <f>SUMIF('F-1 Off-Site WaterC'' Baseline'!$AG$10:$AG$257,'Off-site gain site summary'!$W19,'F-1 Off-Site WaterC'' Baseline'!$Y$10:$Y$257)</f>
        <v>0</v>
      </c>
      <c r="Z19" s="773">
        <f>SUMIF('F-3 Off-Site WaterC Enhancement'!$AT$12:$AT$257,'Off-site gain site summary'!$W19,'F-3 Off-Site WaterC Enhancement'!$AP$12:$AP$257)</f>
        <v>0</v>
      </c>
      <c r="AA19" s="773">
        <f>SUMIF('F-2 Off-Site WaterC'' Creation'!$AG$12:$AG$259,'Off-site gain site summary'!$W19,'F-2 Off-Site WaterC'' Creation'!$AC$12:$AC$259)</f>
        <v>0</v>
      </c>
      <c r="AB19" s="773">
        <f t="shared" si="4"/>
        <v>0</v>
      </c>
      <c r="AC19" s="773" t="str">
        <f>IFERROR(_xlfn.XLOOKUP(W19,'F-2 Off-Site WaterC'' Creation'!AG24:AG270,'F-2 Off-Site WaterC'' Creation'!AA24:AA271), IFERROR(_xlfn.XLOOKUP(W19,'F-1 Off-Site WaterC'' Baseline'!AG22:AG269,'F-1 Off-Site WaterC'' Baseline'!T22:T269)," "))</f>
        <v/>
      </c>
      <c r="AD19" s="774">
        <f t="shared" si="5"/>
        <v>0</v>
      </c>
      <c r="AE19" s="1356"/>
      <c r="AF19" s="1356"/>
    </row>
    <row r="20" spans="1:32">
      <c r="A20" s="757">
        <f>'D-1 Off-Site Habitat Baseline'!AF24</f>
        <v>0</v>
      </c>
      <c r="B20" s="764"/>
      <c r="C20" s="762">
        <f>SUMIF('D-1 Off-Site Habitat Baseline'!AF24:AF27,B20,'D-1 Off-Site Habitat Baseline'!T24:T27)</f>
        <v>0</v>
      </c>
      <c r="D20" s="1354">
        <f>SUMIF('D-1 Off-Site Habitat Baseline'!$AF$11:$AF$258,'Off-site gain site summary'!$B$7,'D-1 Off-Site Habitat Baseline'!$X$11:$X$258)</f>
        <v>0</v>
      </c>
      <c r="E20" s="1355"/>
      <c r="F20" s="1354">
        <f>SUMIF('D-3 Off-Site Habitat Enhancment'!$AU$12:$AU$258,'Off-site gain site summary'!B20,'D-3 Off-Site Habitat Enhancment'!$AQ$12:$AQ$258)</f>
        <v>0</v>
      </c>
      <c r="G20" s="1355"/>
      <c r="H20" s="1354">
        <f>SUMIF('D-2 Off-Site Habitat Creation'!$AF$11:$AF$256,'Off-site gain site summary'!B20,'D-2 Off-Site Habitat Creation'!$AB$11:$AB$256)</f>
        <v>0</v>
      </c>
      <c r="I20" s="1355"/>
      <c r="J20" s="765">
        <f t="shared" si="0"/>
        <v>0</v>
      </c>
      <c r="K20" s="762" t="str">
        <f>IFERROR(_xlfn.XLOOKUP(B20,'D-2 Off-Site Habitat Creation'!$AF$11:$AF$256,'D-2 Off-Site Habitat Creation'!$Z$11:$Z$256), IFERROR(_xlfn.XLOOKUP(B20,'D-1 Off-Site Habitat Baseline'!AF24:AF271,'D-1 Off-Site Habitat Baseline'!S24:S271), " "))</f>
        <v/>
      </c>
      <c r="L20" s="766">
        <f t="shared" si="1"/>
        <v>0</v>
      </c>
      <c r="M20" s="757">
        <f>'E-1 Off-Site Hedge Baseline'!AB23</f>
        <v>0</v>
      </c>
      <c r="N20" s="772"/>
      <c r="O20" s="773">
        <f>SUMIF('E-1 Off-Site Hedge Baseline'!AB23:AB270,'Off-site gain site summary'!N20,'E-1 Off-Site Hedge Baseline'!Q23:Q270)</f>
        <v>0</v>
      </c>
      <c r="P20" s="773">
        <f>SUMIF('E-1 Off-Site Hedge Baseline'!$AB$10:$AB$257,'Off-site gain site summary'!$N20,'E-1 Off-Site Hedge Baseline'!$U$10:$U$257)</f>
        <v>0</v>
      </c>
      <c r="Q20" s="773">
        <f>SUMIF('E-3 Off-Site Hedge Enhancement'!$AO$12:$AO$257,'Off-site gain site summary'!$N20,'E-3 Off-Site Hedge Enhancement'!$AK$12:$AK$257)</f>
        <v>0</v>
      </c>
      <c r="R20" s="773">
        <f>SUMIF('E-2 Off-Site Hedge Creation'!$AD$12:$AD$259,'Off-site gain site summary'!$N20,'E-2 Off-Site Hedge Creation'!$Z$12:$Z$259)</f>
        <v>0</v>
      </c>
      <c r="S20" s="771">
        <f t="shared" si="2"/>
        <v>0</v>
      </c>
      <c r="T20" s="771" t="str">
        <f>IFERROR(_xlfn.XLOOKUP(N20,'E-2 Off-Site Hedge Creation'!AD25:AD272,'E-2 Off-Site Hedge Creation'!N25:N272), IFERROR(_xlfn.XLOOKUP(N20,'E-1 Off-Site Hedge Baseline'!AB23:AB270,'E-1 Off-Site Hedge Baseline'!P23:P270), " "))</f>
        <v/>
      </c>
      <c r="U20" s="774">
        <f t="shared" si="3"/>
        <v>0</v>
      </c>
      <c r="V20" s="1">
        <f>'F-1 Off-Site WaterC'' Baseline'!AG23</f>
        <v>0</v>
      </c>
      <c r="W20" s="772"/>
      <c r="X20" s="773">
        <f>SUMIF('F-1 Off-Site WaterC'' Baseline'!$AG$10:$AG$257,'Off-site gain site summary'!$W20,'F-1 Off-Site WaterC'' Baseline'!$U$10:$U$257)</f>
        <v>0</v>
      </c>
      <c r="Y20" s="773">
        <f>SUMIF('F-1 Off-Site WaterC'' Baseline'!$AG$10:$AG$257,'Off-site gain site summary'!$W20,'F-1 Off-Site WaterC'' Baseline'!$Y$10:$Y$257)</f>
        <v>0</v>
      </c>
      <c r="Z20" s="773">
        <f>SUMIF('F-3 Off-Site WaterC Enhancement'!$AT$12:$AT$257,'Off-site gain site summary'!$W20,'F-3 Off-Site WaterC Enhancement'!$AP$12:$AP$257)</f>
        <v>0</v>
      </c>
      <c r="AA20" s="773">
        <f>SUMIF('F-2 Off-Site WaterC'' Creation'!$AG$12:$AG$259,'Off-site gain site summary'!$W20,'F-2 Off-Site WaterC'' Creation'!$AC$12:$AC$259)</f>
        <v>0</v>
      </c>
      <c r="AB20" s="773">
        <f t="shared" si="4"/>
        <v>0</v>
      </c>
      <c r="AC20" s="773" t="str">
        <f>IFERROR(_xlfn.XLOOKUP(W20,'F-2 Off-Site WaterC'' Creation'!AG25:AG271,'F-2 Off-Site WaterC'' Creation'!AA25:AA272), IFERROR(_xlfn.XLOOKUP(W20,'F-1 Off-Site WaterC'' Baseline'!AG23:AG270,'F-1 Off-Site WaterC'' Baseline'!T23:T270)," "))</f>
        <v/>
      </c>
      <c r="AD20" s="774">
        <f t="shared" si="5"/>
        <v>0</v>
      </c>
      <c r="AE20" s="1356"/>
      <c r="AF20" s="1356"/>
    </row>
    <row r="21" spans="1:32">
      <c r="A21" s="757">
        <f>'D-1 Off-Site Habitat Baseline'!AF25</f>
        <v>0</v>
      </c>
      <c r="B21" s="764"/>
      <c r="C21" s="762">
        <f>SUMIF('D-1 Off-Site Habitat Baseline'!AF25:AF28,B21,'D-1 Off-Site Habitat Baseline'!T25:T28)</f>
        <v>0</v>
      </c>
      <c r="D21" s="1354">
        <f>SUMIF('D-1 Off-Site Habitat Baseline'!$AF$11:$AF$258,'Off-site gain site summary'!$B$7,'D-1 Off-Site Habitat Baseline'!$X$11:$X$258)</f>
        <v>0</v>
      </c>
      <c r="E21" s="1355"/>
      <c r="F21" s="1354">
        <f>SUMIF('D-3 Off-Site Habitat Enhancment'!$AU$12:$AU$258,'Off-site gain site summary'!B21,'D-3 Off-Site Habitat Enhancment'!$AQ$12:$AQ$258)</f>
        <v>0</v>
      </c>
      <c r="G21" s="1355"/>
      <c r="H21" s="1354">
        <f>SUMIF('D-2 Off-Site Habitat Creation'!$AF$11:$AF$256,'Off-site gain site summary'!B21,'D-2 Off-Site Habitat Creation'!$AB$11:$AB$256)</f>
        <v>0</v>
      </c>
      <c r="I21" s="1355"/>
      <c r="J21" s="765">
        <f t="shared" si="0"/>
        <v>0</v>
      </c>
      <c r="K21" s="762" t="str">
        <f>IFERROR(_xlfn.XLOOKUP(B21,'D-2 Off-Site Habitat Creation'!$AF$11:$AF$256,'D-2 Off-Site Habitat Creation'!$Z$11:$Z$256), IFERROR(_xlfn.XLOOKUP(B21,'D-1 Off-Site Habitat Baseline'!AF25:AF272,'D-1 Off-Site Habitat Baseline'!S25:S272), " "))</f>
        <v/>
      </c>
      <c r="L21" s="766">
        <f t="shared" si="1"/>
        <v>0</v>
      </c>
      <c r="M21" s="757">
        <f>'E-1 Off-Site Hedge Baseline'!AB24</f>
        <v>0</v>
      </c>
      <c r="N21" s="772"/>
      <c r="O21" s="773">
        <f>SUMIF('E-1 Off-Site Hedge Baseline'!AB24:AB271,'Off-site gain site summary'!N21,'E-1 Off-Site Hedge Baseline'!Q24:Q271)</f>
        <v>0</v>
      </c>
      <c r="P21" s="773">
        <f>SUMIF('E-1 Off-Site Hedge Baseline'!$AB$10:$AB$257,'Off-site gain site summary'!$N21,'E-1 Off-Site Hedge Baseline'!$U$10:$U$257)</f>
        <v>0</v>
      </c>
      <c r="Q21" s="773">
        <f>SUMIF('E-3 Off-Site Hedge Enhancement'!$AO$12:$AO$257,'Off-site gain site summary'!$N21,'E-3 Off-Site Hedge Enhancement'!$AK$12:$AK$257)</f>
        <v>0</v>
      </c>
      <c r="R21" s="773">
        <f>SUMIF('E-2 Off-Site Hedge Creation'!$AD$12:$AD$259,'Off-site gain site summary'!$N21,'E-2 Off-Site Hedge Creation'!$Z$12:$Z$259)</f>
        <v>0</v>
      </c>
      <c r="S21" s="771">
        <f t="shared" si="2"/>
        <v>0</v>
      </c>
      <c r="T21" s="771" t="str">
        <f>IFERROR(_xlfn.XLOOKUP(N21,'E-2 Off-Site Hedge Creation'!AD26:AD273,'E-2 Off-Site Hedge Creation'!N26:N273), IFERROR(_xlfn.XLOOKUP(N21,'E-1 Off-Site Hedge Baseline'!AB24:AB271,'E-1 Off-Site Hedge Baseline'!P24:P271), " "))</f>
        <v/>
      </c>
      <c r="U21" s="774">
        <f t="shared" si="3"/>
        <v>0</v>
      </c>
      <c r="V21" s="1">
        <f>'F-1 Off-Site WaterC'' Baseline'!AG24</f>
        <v>0</v>
      </c>
      <c r="W21" s="772"/>
      <c r="X21" s="773">
        <f>SUMIF('F-1 Off-Site WaterC'' Baseline'!$AG$10:$AG$257,'Off-site gain site summary'!$W21,'F-1 Off-Site WaterC'' Baseline'!$U$10:$U$257)</f>
        <v>0</v>
      </c>
      <c r="Y21" s="773">
        <f>SUMIF('F-1 Off-Site WaterC'' Baseline'!$AG$10:$AG$257,'Off-site gain site summary'!$W21,'F-1 Off-Site WaterC'' Baseline'!$Y$10:$Y$257)</f>
        <v>0</v>
      </c>
      <c r="Z21" s="773">
        <f>SUMIF('F-3 Off-Site WaterC Enhancement'!$AT$12:$AT$257,'Off-site gain site summary'!$W21,'F-3 Off-Site WaterC Enhancement'!$AP$12:$AP$257)</f>
        <v>0</v>
      </c>
      <c r="AA21" s="773">
        <f>SUMIF('F-2 Off-Site WaterC'' Creation'!$AG$12:$AG$259,'Off-site gain site summary'!$W21,'F-2 Off-Site WaterC'' Creation'!$AC$12:$AC$259)</f>
        <v>0</v>
      </c>
      <c r="AB21" s="773">
        <f t="shared" si="4"/>
        <v>0</v>
      </c>
      <c r="AC21" s="773" t="str">
        <f>IFERROR(_xlfn.XLOOKUP(W21,'F-2 Off-Site WaterC'' Creation'!AG26:AG272,'F-2 Off-Site WaterC'' Creation'!AA26:AA273), IFERROR(_xlfn.XLOOKUP(W21,'F-1 Off-Site WaterC'' Baseline'!AG24:AG271,'F-1 Off-Site WaterC'' Baseline'!T24:T271)," "))</f>
        <v/>
      </c>
      <c r="AD21" s="774">
        <f t="shared" si="5"/>
        <v>0</v>
      </c>
      <c r="AE21" s="1356"/>
      <c r="AF21" s="1356"/>
    </row>
    <row r="22" spans="1:32">
      <c r="A22" s="757">
        <f>'D-1 Off-Site Habitat Baseline'!AF26</f>
        <v>0</v>
      </c>
      <c r="B22" s="764"/>
      <c r="C22" s="762">
        <f>SUMIF('D-1 Off-Site Habitat Baseline'!AF26:AF29,B22,'D-1 Off-Site Habitat Baseline'!T26:T29)</f>
        <v>0</v>
      </c>
      <c r="D22" s="1354">
        <f>SUMIF('D-1 Off-Site Habitat Baseline'!$AF$11:$AF$258,'Off-site gain site summary'!$B$7,'D-1 Off-Site Habitat Baseline'!$X$11:$X$258)</f>
        <v>0</v>
      </c>
      <c r="E22" s="1355"/>
      <c r="F22" s="1354">
        <f>SUMIF('D-3 Off-Site Habitat Enhancment'!$AU$12:$AU$258,'Off-site gain site summary'!B22,'D-3 Off-Site Habitat Enhancment'!$AQ$12:$AQ$258)</f>
        <v>0</v>
      </c>
      <c r="G22" s="1355"/>
      <c r="H22" s="1354">
        <f>SUMIF('D-2 Off-Site Habitat Creation'!$AF$11:$AF$256,'Off-site gain site summary'!B22,'D-2 Off-Site Habitat Creation'!$AB$11:$AB$256)</f>
        <v>0</v>
      </c>
      <c r="I22" s="1355"/>
      <c r="J22" s="765">
        <f t="shared" si="0"/>
        <v>0</v>
      </c>
      <c r="K22" s="762" t="str">
        <f>IFERROR(_xlfn.XLOOKUP(B22,'D-2 Off-Site Habitat Creation'!$AF$11:$AF$256,'D-2 Off-Site Habitat Creation'!$Z$11:$Z$256), IFERROR(_xlfn.XLOOKUP(B22,'D-1 Off-Site Habitat Baseline'!AF26:AF273,'D-1 Off-Site Habitat Baseline'!S26:S273), " "))</f>
        <v/>
      </c>
      <c r="L22" s="766">
        <f t="shared" si="1"/>
        <v>0</v>
      </c>
      <c r="M22" s="757">
        <f>'E-1 Off-Site Hedge Baseline'!AB25</f>
        <v>0</v>
      </c>
      <c r="N22" s="772"/>
      <c r="O22" s="773">
        <f>SUMIF('E-1 Off-Site Hedge Baseline'!AB25:AB272,'Off-site gain site summary'!N22,'E-1 Off-Site Hedge Baseline'!Q25:Q272)</f>
        <v>0</v>
      </c>
      <c r="P22" s="773">
        <f>SUMIF('E-1 Off-Site Hedge Baseline'!$AB$10:$AB$257,'Off-site gain site summary'!$N22,'E-1 Off-Site Hedge Baseline'!$U$10:$U$257)</f>
        <v>0</v>
      </c>
      <c r="Q22" s="773">
        <f>SUMIF('E-3 Off-Site Hedge Enhancement'!$AO$12:$AO$257,'Off-site gain site summary'!$N22,'E-3 Off-Site Hedge Enhancement'!$AK$12:$AK$257)</f>
        <v>0</v>
      </c>
      <c r="R22" s="773">
        <f>SUMIF('E-2 Off-Site Hedge Creation'!$AD$12:$AD$259,'Off-site gain site summary'!$N22,'E-2 Off-Site Hedge Creation'!$Z$12:$Z$259)</f>
        <v>0</v>
      </c>
      <c r="S22" s="771">
        <f t="shared" si="2"/>
        <v>0</v>
      </c>
      <c r="T22" s="771" t="str">
        <f>IFERROR(_xlfn.XLOOKUP(N22,'E-2 Off-Site Hedge Creation'!AD27:AD274,'E-2 Off-Site Hedge Creation'!N27:N274), IFERROR(_xlfn.XLOOKUP(N22,'E-1 Off-Site Hedge Baseline'!AB25:AB272,'E-1 Off-Site Hedge Baseline'!P25:P272), " "))</f>
        <v/>
      </c>
      <c r="U22" s="774">
        <f t="shared" si="3"/>
        <v>0</v>
      </c>
      <c r="V22" s="1">
        <f>'F-1 Off-Site WaterC'' Baseline'!AG25</f>
        <v>0</v>
      </c>
      <c r="W22" s="772"/>
      <c r="X22" s="773">
        <f>SUMIF('F-1 Off-Site WaterC'' Baseline'!$AG$10:$AG$257,'Off-site gain site summary'!$W22,'F-1 Off-Site WaterC'' Baseline'!$U$10:$U$257)</f>
        <v>0</v>
      </c>
      <c r="Y22" s="773">
        <f>SUMIF('F-1 Off-Site WaterC'' Baseline'!$AG$10:$AG$257,'Off-site gain site summary'!$W22,'F-1 Off-Site WaterC'' Baseline'!$Y$10:$Y$257)</f>
        <v>0</v>
      </c>
      <c r="Z22" s="773">
        <f>SUMIF('F-3 Off-Site WaterC Enhancement'!$AT$12:$AT$257,'Off-site gain site summary'!$W22,'F-3 Off-Site WaterC Enhancement'!$AP$12:$AP$257)</f>
        <v>0</v>
      </c>
      <c r="AA22" s="773">
        <f>SUMIF('F-2 Off-Site WaterC'' Creation'!$AG$12:$AG$259,'Off-site gain site summary'!$W22,'F-2 Off-Site WaterC'' Creation'!$AC$12:$AC$259)</f>
        <v>0</v>
      </c>
      <c r="AB22" s="773">
        <f t="shared" si="4"/>
        <v>0</v>
      </c>
      <c r="AC22" s="773" t="str">
        <f>IFERROR(_xlfn.XLOOKUP(W22,'F-2 Off-Site WaterC'' Creation'!AG27:AG273,'F-2 Off-Site WaterC'' Creation'!AA27:AA274), IFERROR(_xlfn.XLOOKUP(W22,'F-1 Off-Site WaterC'' Baseline'!AG25:AG272,'F-1 Off-Site WaterC'' Baseline'!T25:T272)," "))</f>
        <v/>
      </c>
      <c r="AD22" s="774">
        <f t="shared" si="5"/>
        <v>0</v>
      </c>
      <c r="AE22" s="1356"/>
      <c r="AF22" s="1356"/>
    </row>
    <row r="23" spans="1:32">
      <c r="A23" s="757">
        <f>'D-1 Off-Site Habitat Baseline'!AF27</f>
        <v>0</v>
      </c>
      <c r="B23" s="764"/>
      <c r="C23" s="762">
        <f>SUMIF('D-1 Off-Site Habitat Baseline'!AF27:AF30,B23,'D-1 Off-Site Habitat Baseline'!T27:T30)</f>
        <v>0</v>
      </c>
      <c r="D23" s="1354">
        <f>SUMIF('D-1 Off-Site Habitat Baseline'!$AF$11:$AF$258,'Off-site gain site summary'!$B$7,'D-1 Off-Site Habitat Baseline'!$X$11:$X$258)</f>
        <v>0</v>
      </c>
      <c r="E23" s="1355"/>
      <c r="F23" s="1354">
        <f>SUMIF('D-3 Off-Site Habitat Enhancment'!$AU$12:$AU$258,'Off-site gain site summary'!B23,'D-3 Off-Site Habitat Enhancment'!$AQ$12:$AQ$258)</f>
        <v>0</v>
      </c>
      <c r="G23" s="1355"/>
      <c r="H23" s="1354">
        <f>SUMIF('D-2 Off-Site Habitat Creation'!$AF$11:$AF$256,'Off-site gain site summary'!B23,'D-2 Off-Site Habitat Creation'!$AB$11:$AB$256)</f>
        <v>0</v>
      </c>
      <c r="I23" s="1355"/>
      <c r="J23" s="765">
        <f t="shared" si="0"/>
        <v>0</v>
      </c>
      <c r="K23" s="762" t="str">
        <f>IFERROR(_xlfn.XLOOKUP(B23,'D-2 Off-Site Habitat Creation'!$AF$11:$AF$256,'D-2 Off-Site Habitat Creation'!$Z$11:$Z$256), IFERROR(_xlfn.XLOOKUP(B23,'D-1 Off-Site Habitat Baseline'!AF27:AF274,'D-1 Off-Site Habitat Baseline'!S27:S274), " "))</f>
        <v/>
      </c>
      <c r="L23" s="766">
        <f t="shared" si="1"/>
        <v>0</v>
      </c>
      <c r="M23" s="757">
        <f>'E-1 Off-Site Hedge Baseline'!AB26</f>
        <v>0</v>
      </c>
      <c r="N23" s="772"/>
      <c r="O23" s="773">
        <f>SUMIF('E-1 Off-Site Hedge Baseline'!AB26:AB273,'Off-site gain site summary'!N23,'E-1 Off-Site Hedge Baseline'!Q26:Q273)</f>
        <v>0</v>
      </c>
      <c r="P23" s="773">
        <f>SUMIF('E-1 Off-Site Hedge Baseline'!$AB$10:$AB$257,'Off-site gain site summary'!$N23,'E-1 Off-Site Hedge Baseline'!$U$10:$U$257)</f>
        <v>0</v>
      </c>
      <c r="Q23" s="773">
        <f>SUMIF('E-3 Off-Site Hedge Enhancement'!$AO$12:$AO$257,'Off-site gain site summary'!$N23,'E-3 Off-Site Hedge Enhancement'!$AK$12:$AK$257)</f>
        <v>0</v>
      </c>
      <c r="R23" s="773">
        <f>SUMIF('E-2 Off-Site Hedge Creation'!$AD$12:$AD$259,'Off-site gain site summary'!$N23,'E-2 Off-Site Hedge Creation'!$Z$12:$Z$259)</f>
        <v>0</v>
      </c>
      <c r="S23" s="771">
        <f t="shared" si="2"/>
        <v>0</v>
      </c>
      <c r="T23" s="771" t="str">
        <f>IFERROR(_xlfn.XLOOKUP(N23,'E-2 Off-Site Hedge Creation'!AD28:AD275,'E-2 Off-Site Hedge Creation'!N28:N275), IFERROR(_xlfn.XLOOKUP(N23,'E-1 Off-Site Hedge Baseline'!AB26:AB273,'E-1 Off-Site Hedge Baseline'!P26:P273), " "))</f>
        <v/>
      </c>
      <c r="U23" s="774">
        <f t="shared" si="3"/>
        <v>0</v>
      </c>
      <c r="V23" s="1">
        <f>'F-1 Off-Site WaterC'' Baseline'!AG26</f>
        <v>0</v>
      </c>
      <c r="W23" s="772"/>
      <c r="X23" s="773">
        <f>SUMIF('F-1 Off-Site WaterC'' Baseline'!$AG$10:$AG$257,'Off-site gain site summary'!$W23,'F-1 Off-Site WaterC'' Baseline'!$U$10:$U$257)</f>
        <v>0</v>
      </c>
      <c r="Y23" s="773">
        <f>SUMIF('F-1 Off-Site WaterC'' Baseline'!$AG$10:$AG$257,'Off-site gain site summary'!$W23,'F-1 Off-Site WaterC'' Baseline'!$Y$10:$Y$257)</f>
        <v>0</v>
      </c>
      <c r="Z23" s="773">
        <f>SUMIF('F-3 Off-Site WaterC Enhancement'!$AT$12:$AT$257,'Off-site gain site summary'!$W23,'F-3 Off-Site WaterC Enhancement'!$AP$12:$AP$257)</f>
        <v>0</v>
      </c>
      <c r="AA23" s="773">
        <f>SUMIF('F-2 Off-Site WaterC'' Creation'!$AG$12:$AG$259,'Off-site gain site summary'!$W23,'F-2 Off-Site WaterC'' Creation'!$AC$12:$AC$259)</f>
        <v>0</v>
      </c>
      <c r="AB23" s="773">
        <f t="shared" si="4"/>
        <v>0</v>
      </c>
      <c r="AC23" s="773" t="str">
        <f>IFERROR(_xlfn.XLOOKUP(W23,'F-2 Off-Site WaterC'' Creation'!AG28:AG274,'F-2 Off-Site WaterC'' Creation'!AA28:AA275), IFERROR(_xlfn.XLOOKUP(W23,'F-1 Off-Site WaterC'' Baseline'!AG26:AG273,'F-1 Off-Site WaterC'' Baseline'!T26:T273)," "))</f>
        <v/>
      </c>
      <c r="AD23" s="774">
        <f t="shared" si="5"/>
        <v>0</v>
      </c>
      <c r="AE23" s="1356"/>
      <c r="AF23" s="1356"/>
    </row>
    <row r="24" spans="1:32">
      <c r="A24" s="757">
        <f>'D-1 Off-Site Habitat Baseline'!AF28</f>
        <v>0</v>
      </c>
      <c r="B24" s="764"/>
      <c r="C24" s="762">
        <f>SUMIF('D-1 Off-Site Habitat Baseline'!AF28:AF31,B24,'D-1 Off-Site Habitat Baseline'!T28:T31)</f>
        <v>0</v>
      </c>
      <c r="D24" s="1354">
        <f>SUMIF('D-1 Off-Site Habitat Baseline'!$AF$11:$AF$258,'Off-site gain site summary'!$B$7,'D-1 Off-Site Habitat Baseline'!$X$11:$X$258)</f>
        <v>0</v>
      </c>
      <c r="E24" s="1355"/>
      <c r="F24" s="1354">
        <f>SUMIF('D-3 Off-Site Habitat Enhancment'!$AU$12:$AU$258,'Off-site gain site summary'!B24,'D-3 Off-Site Habitat Enhancment'!$AQ$12:$AQ$258)</f>
        <v>0</v>
      </c>
      <c r="G24" s="1355"/>
      <c r="H24" s="1354">
        <f>SUMIF('D-2 Off-Site Habitat Creation'!$AF$11:$AF$256,'Off-site gain site summary'!B24,'D-2 Off-Site Habitat Creation'!$AB$11:$AB$256)</f>
        <v>0</v>
      </c>
      <c r="I24" s="1355"/>
      <c r="J24" s="765">
        <f t="shared" si="0"/>
        <v>0</v>
      </c>
      <c r="K24" s="762" t="str">
        <f>IFERROR(_xlfn.XLOOKUP(B24,'D-2 Off-Site Habitat Creation'!$AF$11:$AF$256,'D-2 Off-Site Habitat Creation'!$Z$11:$Z$256), IFERROR(_xlfn.XLOOKUP(B24,'D-1 Off-Site Habitat Baseline'!AF28:AF275,'D-1 Off-Site Habitat Baseline'!S28:S275), " "))</f>
        <v/>
      </c>
      <c r="L24" s="766">
        <f t="shared" si="1"/>
        <v>0</v>
      </c>
      <c r="M24" s="757">
        <f>'E-1 Off-Site Hedge Baseline'!AB27</f>
        <v>0</v>
      </c>
      <c r="N24" s="772"/>
      <c r="O24" s="773">
        <f>SUMIF('E-1 Off-Site Hedge Baseline'!AB27:AB274,'Off-site gain site summary'!N24,'E-1 Off-Site Hedge Baseline'!Q27:Q274)</f>
        <v>0</v>
      </c>
      <c r="P24" s="773">
        <f>SUMIF('E-1 Off-Site Hedge Baseline'!$AB$10:$AB$257,'Off-site gain site summary'!$N24,'E-1 Off-Site Hedge Baseline'!$U$10:$U$257)</f>
        <v>0</v>
      </c>
      <c r="Q24" s="773">
        <f>SUMIF('E-3 Off-Site Hedge Enhancement'!$AO$12:$AO$257,'Off-site gain site summary'!$N24,'E-3 Off-Site Hedge Enhancement'!$AK$12:$AK$257)</f>
        <v>0</v>
      </c>
      <c r="R24" s="773">
        <f>SUMIF('E-2 Off-Site Hedge Creation'!$AD$12:$AD$259,'Off-site gain site summary'!$N24,'E-2 Off-Site Hedge Creation'!$Z$12:$Z$259)</f>
        <v>0</v>
      </c>
      <c r="S24" s="771">
        <f t="shared" si="2"/>
        <v>0</v>
      </c>
      <c r="T24" s="771" t="str">
        <f>IFERROR(_xlfn.XLOOKUP(N24,'E-2 Off-Site Hedge Creation'!AD29:AD276,'E-2 Off-Site Hedge Creation'!N29:N276), IFERROR(_xlfn.XLOOKUP(N24,'E-1 Off-Site Hedge Baseline'!AB27:AB274,'E-1 Off-Site Hedge Baseline'!P27:P274), " "))</f>
        <v/>
      </c>
      <c r="U24" s="774">
        <f t="shared" si="3"/>
        <v>0</v>
      </c>
      <c r="V24" s="1">
        <f>'F-1 Off-Site WaterC'' Baseline'!AG27</f>
        <v>0</v>
      </c>
      <c r="W24" s="772"/>
      <c r="X24" s="773">
        <f>SUMIF('F-1 Off-Site WaterC'' Baseline'!$AG$10:$AG$257,'Off-site gain site summary'!$W24,'F-1 Off-Site WaterC'' Baseline'!$U$10:$U$257)</f>
        <v>0</v>
      </c>
      <c r="Y24" s="773">
        <f>SUMIF('F-1 Off-Site WaterC'' Baseline'!$AG$10:$AG$257,'Off-site gain site summary'!$W24,'F-1 Off-Site WaterC'' Baseline'!$Y$10:$Y$257)</f>
        <v>0</v>
      </c>
      <c r="Z24" s="773">
        <f>SUMIF('F-3 Off-Site WaterC Enhancement'!$AT$12:$AT$257,'Off-site gain site summary'!$W24,'F-3 Off-Site WaterC Enhancement'!$AP$12:$AP$257)</f>
        <v>0</v>
      </c>
      <c r="AA24" s="773">
        <f>SUMIF('F-2 Off-Site WaterC'' Creation'!$AG$12:$AG$259,'Off-site gain site summary'!$W24,'F-2 Off-Site WaterC'' Creation'!$AC$12:$AC$259)</f>
        <v>0</v>
      </c>
      <c r="AB24" s="773">
        <f t="shared" si="4"/>
        <v>0</v>
      </c>
      <c r="AC24" s="773" t="str">
        <f>IFERROR(_xlfn.XLOOKUP(W24,'F-2 Off-Site WaterC'' Creation'!AG29:AG275,'F-2 Off-Site WaterC'' Creation'!AA29:AA276), IFERROR(_xlfn.XLOOKUP(W24,'F-1 Off-Site WaterC'' Baseline'!AG27:AG274,'F-1 Off-Site WaterC'' Baseline'!T27:T274)," "))</f>
        <v/>
      </c>
      <c r="AD24" s="774">
        <f t="shared" si="5"/>
        <v>0</v>
      </c>
      <c r="AE24" s="1356"/>
      <c r="AF24" s="1356"/>
    </row>
    <row r="25" spans="1:32">
      <c r="A25" s="757">
        <f>'D-1 Off-Site Habitat Baseline'!AF29</f>
        <v>0</v>
      </c>
      <c r="B25" s="764"/>
      <c r="C25" s="762">
        <f>SUMIF('D-1 Off-Site Habitat Baseline'!AF29:AF32,B25,'D-1 Off-Site Habitat Baseline'!T29:T32)</f>
        <v>0</v>
      </c>
      <c r="D25" s="1354">
        <f>SUMIF('D-1 Off-Site Habitat Baseline'!$AF$11:$AF$258,'Off-site gain site summary'!$B$7,'D-1 Off-Site Habitat Baseline'!$X$11:$X$258)</f>
        <v>0</v>
      </c>
      <c r="E25" s="1355"/>
      <c r="F25" s="1354">
        <f>SUMIF('D-3 Off-Site Habitat Enhancment'!$AU$12:$AU$258,'Off-site gain site summary'!B25,'D-3 Off-Site Habitat Enhancment'!$AQ$12:$AQ$258)</f>
        <v>0</v>
      </c>
      <c r="G25" s="1355"/>
      <c r="H25" s="1354">
        <f>SUMIF('D-2 Off-Site Habitat Creation'!$AF$11:$AF$256,'Off-site gain site summary'!B25,'D-2 Off-Site Habitat Creation'!$AB$11:$AB$256)</f>
        <v>0</v>
      </c>
      <c r="I25" s="1355"/>
      <c r="J25" s="765">
        <f t="shared" si="0"/>
        <v>0</v>
      </c>
      <c r="K25" s="762" t="str">
        <f>IFERROR(_xlfn.XLOOKUP(B25,'D-2 Off-Site Habitat Creation'!$AF$11:$AF$256,'D-2 Off-Site Habitat Creation'!$Z$11:$Z$256), IFERROR(_xlfn.XLOOKUP(B25,'D-1 Off-Site Habitat Baseline'!AF29:AF276,'D-1 Off-Site Habitat Baseline'!S29:S276), " "))</f>
        <v/>
      </c>
      <c r="L25" s="766">
        <f t="shared" si="1"/>
        <v>0</v>
      </c>
      <c r="M25" s="757">
        <f>'E-1 Off-Site Hedge Baseline'!AB28</f>
        <v>0</v>
      </c>
      <c r="N25" s="772"/>
      <c r="O25" s="773">
        <f>SUMIF('E-1 Off-Site Hedge Baseline'!AB28:AB275,'Off-site gain site summary'!N25,'E-1 Off-Site Hedge Baseline'!Q28:Q275)</f>
        <v>0</v>
      </c>
      <c r="P25" s="773">
        <f>SUMIF('E-1 Off-Site Hedge Baseline'!$AB$10:$AB$257,'Off-site gain site summary'!$N25,'E-1 Off-Site Hedge Baseline'!$U$10:$U$257)</f>
        <v>0</v>
      </c>
      <c r="Q25" s="773">
        <f>SUMIF('E-3 Off-Site Hedge Enhancement'!$AO$12:$AO$257,'Off-site gain site summary'!$N25,'E-3 Off-Site Hedge Enhancement'!$AK$12:$AK$257)</f>
        <v>0</v>
      </c>
      <c r="R25" s="773">
        <f>SUMIF('E-2 Off-Site Hedge Creation'!$AD$12:$AD$259,'Off-site gain site summary'!$N25,'E-2 Off-Site Hedge Creation'!$Z$12:$Z$259)</f>
        <v>0</v>
      </c>
      <c r="S25" s="771">
        <f t="shared" si="2"/>
        <v>0</v>
      </c>
      <c r="T25" s="771" t="str">
        <f>IFERROR(_xlfn.XLOOKUP(N25,'E-2 Off-Site Hedge Creation'!AD30:AD277,'E-2 Off-Site Hedge Creation'!N30:N277), IFERROR(_xlfn.XLOOKUP(N25,'E-1 Off-Site Hedge Baseline'!AB28:AB275,'E-1 Off-Site Hedge Baseline'!P28:P275), " "))</f>
        <v/>
      </c>
      <c r="U25" s="774">
        <f t="shared" si="3"/>
        <v>0</v>
      </c>
      <c r="V25" s="1">
        <f>'F-1 Off-Site WaterC'' Baseline'!AG28</f>
        <v>0</v>
      </c>
      <c r="W25" s="772"/>
      <c r="X25" s="773">
        <f>SUMIF('F-1 Off-Site WaterC'' Baseline'!$AG$10:$AG$257,'Off-site gain site summary'!$W25,'F-1 Off-Site WaterC'' Baseline'!$U$10:$U$257)</f>
        <v>0</v>
      </c>
      <c r="Y25" s="773">
        <f>SUMIF('F-1 Off-Site WaterC'' Baseline'!$AG$10:$AG$257,'Off-site gain site summary'!$W25,'F-1 Off-Site WaterC'' Baseline'!$Y$10:$Y$257)</f>
        <v>0</v>
      </c>
      <c r="Z25" s="773">
        <f>SUMIF('F-3 Off-Site WaterC Enhancement'!$AT$12:$AT$257,'Off-site gain site summary'!$W25,'F-3 Off-Site WaterC Enhancement'!$AP$12:$AP$257)</f>
        <v>0</v>
      </c>
      <c r="AA25" s="773">
        <f>SUMIF('F-2 Off-Site WaterC'' Creation'!$AG$12:$AG$259,'Off-site gain site summary'!$W25,'F-2 Off-Site WaterC'' Creation'!$AC$12:$AC$259)</f>
        <v>0</v>
      </c>
      <c r="AB25" s="773">
        <f t="shared" si="4"/>
        <v>0</v>
      </c>
      <c r="AC25" s="773" t="str">
        <f>IFERROR(_xlfn.XLOOKUP(W25,'F-2 Off-Site WaterC'' Creation'!AG30:AG276,'F-2 Off-Site WaterC'' Creation'!AA30:AA277), IFERROR(_xlfn.XLOOKUP(W25,'F-1 Off-Site WaterC'' Baseline'!AG28:AG275,'F-1 Off-Site WaterC'' Baseline'!T28:T275)," "))</f>
        <v/>
      </c>
      <c r="AD25" s="774">
        <f t="shared" si="5"/>
        <v>0</v>
      </c>
      <c r="AE25" s="1356"/>
      <c r="AF25" s="1356"/>
    </row>
    <row r="26" spans="1:32">
      <c r="A26" s="757">
        <f>'D-1 Off-Site Habitat Baseline'!AF30</f>
        <v>0</v>
      </c>
      <c r="B26" s="764"/>
      <c r="C26" s="762">
        <f>SUMIF('D-1 Off-Site Habitat Baseline'!AF30:AF33,B26,'D-1 Off-Site Habitat Baseline'!T30:T33)</f>
        <v>0</v>
      </c>
      <c r="D26" s="1354">
        <f>SUMIF('D-1 Off-Site Habitat Baseline'!$AF$11:$AF$258,'Off-site gain site summary'!$B$7,'D-1 Off-Site Habitat Baseline'!$X$11:$X$258)</f>
        <v>0</v>
      </c>
      <c r="E26" s="1355"/>
      <c r="F26" s="1354">
        <f>SUMIF('D-3 Off-Site Habitat Enhancment'!$AU$12:$AU$258,'Off-site gain site summary'!B26,'D-3 Off-Site Habitat Enhancment'!$AQ$12:$AQ$258)</f>
        <v>0</v>
      </c>
      <c r="G26" s="1355"/>
      <c r="H26" s="1354">
        <f>SUMIF('D-2 Off-Site Habitat Creation'!$AF$11:$AF$256,'Off-site gain site summary'!B26,'D-2 Off-Site Habitat Creation'!$AB$11:$AB$256)</f>
        <v>0</v>
      </c>
      <c r="I26" s="1355"/>
      <c r="J26" s="765">
        <f t="shared" si="0"/>
        <v>0</v>
      </c>
      <c r="K26" s="762" t="str">
        <f>IFERROR(_xlfn.XLOOKUP(B26,'D-2 Off-Site Habitat Creation'!$AF$11:$AF$256,'D-2 Off-Site Habitat Creation'!$Z$11:$Z$256), IFERROR(_xlfn.XLOOKUP(B26,'D-1 Off-Site Habitat Baseline'!AF30:AF277,'D-1 Off-Site Habitat Baseline'!S30:S277), " "))</f>
        <v/>
      </c>
      <c r="L26" s="766">
        <f t="shared" si="1"/>
        <v>0</v>
      </c>
      <c r="M26" s="757">
        <f>'E-1 Off-Site Hedge Baseline'!AB29</f>
        <v>0</v>
      </c>
      <c r="N26" s="772"/>
      <c r="O26" s="773">
        <f>SUMIF('E-1 Off-Site Hedge Baseline'!AB29:AB276,'Off-site gain site summary'!N26,'E-1 Off-Site Hedge Baseline'!Q29:Q276)</f>
        <v>0</v>
      </c>
      <c r="P26" s="773">
        <f>SUMIF('E-1 Off-Site Hedge Baseline'!$AB$10:$AB$257,'Off-site gain site summary'!$N26,'E-1 Off-Site Hedge Baseline'!$U$10:$U$257)</f>
        <v>0</v>
      </c>
      <c r="Q26" s="773">
        <f>SUMIF('E-3 Off-Site Hedge Enhancement'!$AO$12:$AO$257,'Off-site gain site summary'!$N26,'E-3 Off-Site Hedge Enhancement'!$AK$12:$AK$257)</f>
        <v>0</v>
      </c>
      <c r="R26" s="773">
        <f>SUMIF('E-2 Off-Site Hedge Creation'!$AD$12:$AD$259,'Off-site gain site summary'!$N26,'E-2 Off-Site Hedge Creation'!$Z$12:$Z$259)</f>
        <v>0</v>
      </c>
      <c r="S26" s="771">
        <f t="shared" si="2"/>
        <v>0</v>
      </c>
      <c r="T26" s="771" t="str">
        <f>IFERROR(_xlfn.XLOOKUP(N26,'E-2 Off-Site Hedge Creation'!AD31:AD278,'E-2 Off-Site Hedge Creation'!N31:N278), IFERROR(_xlfn.XLOOKUP(N26,'E-1 Off-Site Hedge Baseline'!AB29:AB276,'E-1 Off-Site Hedge Baseline'!P29:P276), " "))</f>
        <v/>
      </c>
      <c r="U26" s="774">
        <f t="shared" si="3"/>
        <v>0</v>
      </c>
      <c r="V26" s="1">
        <f>'F-1 Off-Site WaterC'' Baseline'!AG29</f>
        <v>0</v>
      </c>
      <c r="W26" s="772"/>
      <c r="X26" s="773">
        <f>SUMIF('F-1 Off-Site WaterC'' Baseline'!$AG$10:$AG$257,'Off-site gain site summary'!$W26,'F-1 Off-Site WaterC'' Baseline'!$U$10:$U$257)</f>
        <v>0</v>
      </c>
      <c r="Y26" s="773">
        <f>SUMIF('F-1 Off-Site WaterC'' Baseline'!$AG$10:$AG$257,'Off-site gain site summary'!$W26,'F-1 Off-Site WaterC'' Baseline'!$Y$10:$Y$257)</f>
        <v>0</v>
      </c>
      <c r="Z26" s="773">
        <f>SUMIF('F-3 Off-Site WaterC Enhancement'!$AT$12:$AT$257,'Off-site gain site summary'!$W26,'F-3 Off-Site WaterC Enhancement'!$AP$12:$AP$257)</f>
        <v>0</v>
      </c>
      <c r="AA26" s="773">
        <f>SUMIF('F-2 Off-Site WaterC'' Creation'!$AG$12:$AG$259,'Off-site gain site summary'!$W26,'F-2 Off-Site WaterC'' Creation'!$AC$12:$AC$259)</f>
        <v>0</v>
      </c>
      <c r="AB26" s="773">
        <f t="shared" si="4"/>
        <v>0</v>
      </c>
      <c r="AC26" s="773" t="str">
        <f>IFERROR(_xlfn.XLOOKUP(W26,'F-2 Off-Site WaterC'' Creation'!AG31:AG277,'F-2 Off-Site WaterC'' Creation'!AA31:AA278), IFERROR(_xlfn.XLOOKUP(W26,'F-1 Off-Site WaterC'' Baseline'!AG29:AG276,'F-1 Off-Site WaterC'' Baseline'!T29:T276)," "))</f>
        <v/>
      </c>
      <c r="AD26" s="774">
        <f t="shared" si="5"/>
        <v>0</v>
      </c>
      <c r="AE26" s="1356"/>
      <c r="AF26" s="1356"/>
    </row>
    <row r="27" spans="1:32">
      <c r="A27" s="757">
        <f>'D-1 Off-Site Habitat Baseline'!AF31</f>
        <v>0</v>
      </c>
      <c r="B27" s="764"/>
      <c r="C27" s="762">
        <f>SUMIF('D-1 Off-Site Habitat Baseline'!AF31:AF34,B27,'D-1 Off-Site Habitat Baseline'!T31:T34)</f>
        <v>0</v>
      </c>
      <c r="D27" s="1354">
        <f>SUMIF('D-1 Off-Site Habitat Baseline'!$AF$11:$AF$258,'Off-site gain site summary'!$B$7,'D-1 Off-Site Habitat Baseline'!$X$11:$X$258)</f>
        <v>0</v>
      </c>
      <c r="E27" s="1355"/>
      <c r="F27" s="1354">
        <f>SUMIF('D-3 Off-Site Habitat Enhancment'!$AU$12:$AU$258,'Off-site gain site summary'!B27,'D-3 Off-Site Habitat Enhancment'!$AQ$12:$AQ$258)</f>
        <v>0</v>
      </c>
      <c r="G27" s="1355"/>
      <c r="H27" s="1354">
        <f>SUMIF('D-2 Off-Site Habitat Creation'!$AF$11:$AF$256,'Off-site gain site summary'!B27,'D-2 Off-Site Habitat Creation'!$AB$11:$AB$256)</f>
        <v>0</v>
      </c>
      <c r="I27" s="1355"/>
      <c r="J27" s="765">
        <f t="shared" si="0"/>
        <v>0</v>
      </c>
      <c r="K27" s="762" t="str">
        <f>IFERROR(_xlfn.XLOOKUP(B27,'D-2 Off-Site Habitat Creation'!$AF$11:$AF$256,'D-2 Off-Site Habitat Creation'!$Z$11:$Z$256), IFERROR(_xlfn.XLOOKUP(B27,'D-1 Off-Site Habitat Baseline'!AF31:AF278,'D-1 Off-Site Habitat Baseline'!S31:S278), " "))</f>
        <v/>
      </c>
      <c r="L27" s="766">
        <f t="shared" si="1"/>
        <v>0</v>
      </c>
      <c r="M27" s="757">
        <f>'E-1 Off-Site Hedge Baseline'!AB30</f>
        <v>0</v>
      </c>
      <c r="N27" s="772"/>
      <c r="O27" s="773">
        <f>SUMIF('E-1 Off-Site Hedge Baseline'!AB30:AB277,'Off-site gain site summary'!N27,'E-1 Off-Site Hedge Baseline'!Q30:Q277)</f>
        <v>0</v>
      </c>
      <c r="P27" s="773">
        <f>SUMIF('E-1 Off-Site Hedge Baseline'!$AB$10:$AB$257,'Off-site gain site summary'!$N27,'E-1 Off-Site Hedge Baseline'!$U$10:$U$257)</f>
        <v>0</v>
      </c>
      <c r="Q27" s="773">
        <f>SUMIF('E-3 Off-Site Hedge Enhancement'!$AO$12:$AO$257,'Off-site gain site summary'!$N27,'E-3 Off-Site Hedge Enhancement'!$AK$12:$AK$257)</f>
        <v>0</v>
      </c>
      <c r="R27" s="773">
        <f>SUMIF('E-2 Off-Site Hedge Creation'!$AD$12:$AD$259,'Off-site gain site summary'!$N27,'E-2 Off-Site Hedge Creation'!$Z$12:$Z$259)</f>
        <v>0</v>
      </c>
      <c r="S27" s="771">
        <f t="shared" si="2"/>
        <v>0</v>
      </c>
      <c r="T27" s="771" t="str">
        <f>IFERROR(_xlfn.XLOOKUP(N27,'E-2 Off-Site Hedge Creation'!AD32:AD279,'E-2 Off-Site Hedge Creation'!N32:N279), IFERROR(_xlfn.XLOOKUP(N27,'E-1 Off-Site Hedge Baseline'!AB30:AB277,'E-1 Off-Site Hedge Baseline'!P30:P277), " "))</f>
        <v/>
      </c>
      <c r="U27" s="774">
        <f t="shared" si="3"/>
        <v>0</v>
      </c>
      <c r="V27" s="1">
        <f>'F-1 Off-Site WaterC'' Baseline'!AG30</f>
        <v>0</v>
      </c>
      <c r="W27" s="772"/>
      <c r="X27" s="773">
        <f>SUMIF('F-1 Off-Site WaterC'' Baseline'!$AG$10:$AG$257,'Off-site gain site summary'!$W27,'F-1 Off-Site WaterC'' Baseline'!$U$10:$U$257)</f>
        <v>0</v>
      </c>
      <c r="Y27" s="773">
        <f>SUMIF('F-1 Off-Site WaterC'' Baseline'!$AG$10:$AG$257,'Off-site gain site summary'!$W27,'F-1 Off-Site WaterC'' Baseline'!$Y$10:$Y$257)</f>
        <v>0</v>
      </c>
      <c r="Z27" s="773">
        <f>SUMIF('F-3 Off-Site WaterC Enhancement'!$AT$12:$AT$257,'Off-site gain site summary'!$W27,'F-3 Off-Site WaterC Enhancement'!$AP$12:$AP$257)</f>
        <v>0</v>
      </c>
      <c r="AA27" s="773">
        <f>SUMIF('F-2 Off-Site WaterC'' Creation'!$AG$12:$AG$259,'Off-site gain site summary'!$W27,'F-2 Off-Site WaterC'' Creation'!$AC$12:$AC$259)</f>
        <v>0</v>
      </c>
      <c r="AB27" s="773">
        <f t="shared" si="4"/>
        <v>0</v>
      </c>
      <c r="AC27" s="773" t="str">
        <f>IFERROR(_xlfn.XLOOKUP(W27,'F-2 Off-Site WaterC'' Creation'!AG32:AG278,'F-2 Off-Site WaterC'' Creation'!AA32:AA279), IFERROR(_xlfn.XLOOKUP(W27,'F-1 Off-Site WaterC'' Baseline'!AG30:AG277,'F-1 Off-Site WaterC'' Baseline'!T30:T277)," "))</f>
        <v/>
      </c>
      <c r="AD27" s="774">
        <f t="shared" si="5"/>
        <v>0</v>
      </c>
      <c r="AE27" s="1356"/>
      <c r="AF27" s="1356"/>
    </row>
    <row r="28" spans="1:32">
      <c r="A28" s="757">
        <f>'D-1 Off-Site Habitat Baseline'!AF32</f>
        <v>0</v>
      </c>
      <c r="B28" s="764"/>
      <c r="C28" s="762">
        <f>SUMIF('D-1 Off-Site Habitat Baseline'!AF32:AF35,B28,'D-1 Off-Site Habitat Baseline'!T32:T35)</f>
        <v>0</v>
      </c>
      <c r="D28" s="1354">
        <f>SUMIF('D-1 Off-Site Habitat Baseline'!$AF$11:$AF$258,'Off-site gain site summary'!$B$7,'D-1 Off-Site Habitat Baseline'!$X$11:$X$258)</f>
        <v>0</v>
      </c>
      <c r="E28" s="1355"/>
      <c r="F28" s="1354">
        <f>SUMIF('D-3 Off-Site Habitat Enhancment'!$AU$12:$AU$258,'Off-site gain site summary'!B28,'D-3 Off-Site Habitat Enhancment'!$AQ$12:$AQ$258)</f>
        <v>0</v>
      </c>
      <c r="G28" s="1355"/>
      <c r="H28" s="1354">
        <f>SUMIF('D-2 Off-Site Habitat Creation'!$AF$11:$AF$256,'Off-site gain site summary'!B28,'D-2 Off-Site Habitat Creation'!$AB$11:$AB$256)</f>
        <v>0</v>
      </c>
      <c r="I28" s="1355"/>
      <c r="J28" s="765">
        <f t="shared" si="0"/>
        <v>0</v>
      </c>
      <c r="K28" s="762" t="str">
        <f>IFERROR(_xlfn.XLOOKUP(B28,'D-2 Off-Site Habitat Creation'!$AF$11:$AF$256,'D-2 Off-Site Habitat Creation'!$Z$11:$Z$256), IFERROR(_xlfn.XLOOKUP(B28,'D-1 Off-Site Habitat Baseline'!AF32:AF279,'D-1 Off-Site Habitat Baseline'!S32:S279), " "))</f>
        <v/>
      </c>
      <c r="L28" s="766">
        <f t="shared" si="1"/>
        <v>0</v>
      </c>
      <c r="M28" s="757">
        <f>'E-1 Off-Site Hedge Baseline'!AB31</f>
        <v>0</v>
      </c>
      <c r="N28" s="772"/>
      <c r="O28" s="773">
        <f>SUMIF('E-1 Off-Site Hedge Baseline'!AB31:AB278,'Off-site gain site summary'!N28,'E-1 Off-Site Hedge Baseline'!Q31:Q278)</f>
        <v>0</v>
      </c>
      <c r="P28" s="773">
        <f>SUMIF('E-1 Off-Site Hedge Baseline'!$AB$10:$AB$257,'Off-site gain site summary'!$N28,'E-1 Off-Site Hedge Baseline'!$U$10:$U$257)</f>
        <v>0</v>
      </c>
      <c r="Q28" s="773">
        <f>SUMIF('E-3 Off-Site Hedge Enhancement'!$AO$12:$AO$257,'Off-site gain site summary'!$N28,'E-3 Off-Site Hedge Enhancement'!$AK$12:$AK$257)</f>
        <v>0</v>
      </c>
      <c r="R28" s="773">
        <f>SUMIF('E-2 Off-Site Hedge Creation'!$AD$12:$AD$259,'Off-site gain site summary'!$N28,'E-2 Off-Site Hedge Creation'!$Z$12:$Z$259)</f>
        <v>0</v>
      </c>
      <c r="S28" s="771">
        <f t="shared" si="2"/>
        <v>0</v>
      </c>
      <c r="T28" s="771" t="str">
        <f>IFERROR(_xlfn.XLOOKUP(N28,'E-2 Off-Site Hedge Creation'!AD33:AD280,'E-2 Off-Site Hedge Creation'!N33:N280), IFERROR(_xlfn.XLOOKUP(N28,'E-1 Off-Site Hedge Baseline'!AB31:AB278,'E-1 Off-Site Hedge Baseline'!P31:P278), " "))</f>
        <v/>
      </c>
      <c r="U28" s="774">
        <f t="shared" si="3"/>
        <v>0</v>
      </c>
      <c r="V28" s="1">
        <f>'F-1 Off-Site WaterC'' Baseline'!AG31</f>
        <v>0</v>
      </c>
      <c r="W28" s="772"/>
      <c r="X28" s="773">
        <f>SUMIF('F-1 Off-Site WaterC'' Baseline'!$AG$10:$AG$257,'Off-site gain site summary'!$W28,'F-1 Off-Site WaterC'' Baseline'!$U$10:$U$257)</f>
        <v>0</v>
      </c>
      <c r="Y28" s="773">
        <f>SUMIF('F-1 Off-Site WaterC'' Baseline'!$AG$10:$AG$257,'Off-site gain site summary'!$W28,'F-1 Off-Site WaterC'' Baseline'!$Y$10:$Y$257)</f>
        <v>0</v>
      </c>
      <c r="Z28" s="773">
        <f>SUMIF('F-3 Off-Site WaterC Enhancement'!$AT$12:$AT$257,'Off-site gain site summary'!$W28,'F-3 Off-Site WaterC Enhancement'!$AP$12:$AP$257)</f>
        <v>0</v>
      </c>
      <c r="AA28" s="773">
        <f>SUMIF('F-2 Off-Site WaterC'' Creation'!$AG$12:$AG$259,'Off-site gain site summary'!$W28,'F-2 Off-Site WaterC'' Creation'!$AC$12:$AC$259)</f>
        <v>0</v>
      </c>
      <c r="AB28" s="773">
        <f t="shared" si="4"/>
        <v>0</v>
      </c>
      <c r="AC28" s="773" t="str">
        <f>IFERROR(_xlfn.XLOOKUP(W28,'F-2 Off-Site WaterC'' Creation'!AG33:AG279,'F-2 Off-Site WaterC'' Creation'!AA33:AA280), IFERROR(_xlfn.XLOOKUP(W28,'F-1 Off-Site WaterC'' Baseline'!AG31:AG278,'F-1 Off-Site WaterC'' Baseline'!T31:T278)," "))</f>
        <v/>
      </c>
      <c r="AD28" s="774">
        <f t="shared" si="5"/>
        <v>0</v>
      </c>
      <c r="AE28" s="1356"/>
      <c r="AF28" s="1356"/>
    </row>
    <row r="29" spans="1:32">
      <c r="A29" s="757">
        <f>'D-1 Off-Site Habitat Baseline'!AF33</f>
        <v>0</v>
      </c>
      <c r="B29" s="764"/>
      <c r="C29" s="762">
        <f>SUMIF('D-1 Off-Site Habitat Baseline'!AF33:AF36,B29,'D-1 Off-Site Habitat Baseline'!T33:T36)</f>
        <v>0</v>
      </c>
      <c r="D29" s="1354">
        <f>SUMIF('D-1 Off-Site Habitat Baseline'!$AF$11:$AF$258,'Off-site gain site summary'!$B$7,'D-1 Off-Site Habitat Baseline'!$X$11:$X$258)</f>
        <v>0</v>
      </c>
      <c r="E29" s="1355"/>
      <c r="F29" s="1354">
        <f>SUMIF('D-3 Off-Site Habitat Enhancment'!$AU$12:$AU$258,'Off-site gain site summary'!B29,'D-3 Off-Site Habitat Enhancment'!$AQ$12:$AQ$258)</f>
        <v>0</v>
      </c>
      <c r="G29" s="1355"/>
      <c r="H29" s="1354">
        <f>SUMIF('D-2 Off-Site Habitat Creation'!$AF$11:$AF$256,'Off-site gain site summary'!B29,'D-2 Off-Site Habitat Creation'!$AB$11:$AB$256)</f>
        <v>0</v>
      </c>
      <c r="I29" s="1355"/>
      <c r="J29" s="765">
        <f t="shared" si="0"/>
        <v>0</v>
      </c>
      <c r="K29" s="762" t="str">
        <f>IFERROR(_xlfn.XLOOKUP(B29,'D-2 Off-Site Habitat Creation'!$AF$11:$AF$256,'D-2 Off-Site Habitat Creation'!$Z$11:$Z$256), IFERROR(_xlfn.XLOOKUP(B29,'D-1 Off-Site Habitat Baseline'!AF33:AF280,'D-1 Off-Site Habitat Baseline'!S33:S280), " "))</f>
        <v/>
      </c>
      <c r="L29" s="766">
        <f t="shared" si="1"/>
        <v>0</v>
      </c>
      <c r="M29" s="757">
        <f>'E-1 Off-Site Hedge Baseline'!AB32</f>
        <v>0</v>
      </c>
      <c r="N29" s="772"/>
      <c r="O29" s="773">
        <f>SUMIF('E-1 Off-Site Hedge Baseline'!AB32:AB279,'Off-site gain site summary'!N29,'E-1 Off-Site Hedge Baseline'!Q32:Q279)</f>
        <v>0</v>
      </c>
      <c r="P29" s="773">
        <f>SUMIF('E-1 Off-Site Hedge Baseline'!$AB$10:$AB$257,'Off-site gain site summary'!$N29,'E-1 Off-Site Hedge Baseline'!$U$10:$U$257)</f>
        <v>0</v>
      </c>
      <c r="Q29" s="773">
        <f>SUMIF('E-3 Off-Site Hedge Enhancement'!$AO$12:$AO$257,'Off-site gain site summary'!$N29,'E-3 Off-Site Hedge Enhancement'!$AK$12:$AK$257)</f>
        <v>0</v>
      </c>
      <c r="R29" s="773">
        <f>SUMIF('E-2 Off-Site Hedge Creation'!$AD$12:$AD$259,'Off-site gain site summary'!$N29,'E-2 Off-Site Hedge Creation'!$Z$12:$Z$259)</f>
        <v>0</v>
      </c>
      <c r="S29" s="771">
        <f t="shared" si="2"/>
        <v>0</v>
      </c>
      <c r="T29" s="771" t="str">
        <f>IFERROR(_xlfn.XLOOKUP(N29,'E-2 Off-Site Hedge Creation'!AD34:AD281,'E-2 Off-Site Hedge Creation'!N34:N281), IFERROR(_xlfn.XLOOKUP(N29,'E-1 Off-Site Hedge Baseline'!AB32:AB279,'E-1 Off-Site Hedge Baseline'!P32:P279), " "))</f>
        <v/>
      </c>
      <c r="U29" s="774">
        <f t="shared" si="3"/>
        <v>0</v>
      </c>
      <c r="V29" s="1">
        <f>'F-1 Off-Site WaterC'' Baseline'!AG32</f>
        <v>0</v>
      </c>
      <c r="W29" s="772"/>
      <c r="X29" s="773">
        <f>SUMIF('F-1 Off-Site WaterC'' Baseline'!$AG$10:$AG$257,'Off-site gain site summary'!$W29,'F-1 Off-Site WaterC'' Baseline'!$U$10:$U$257)</f>
        <v>0</v>
      </c>
      <c r="Y29" s="773">
        <f>SUMIF('F-1 Off-Site WaterC'' Baseline'!$AG$10:$AG$257,'Off-site gain site summary'!$W29,'F-1 Off-Site WaterC'' Baseline'!$Y$10:$Y$257)</f>
        <v>0</v>
      </c>
      <c r="Z29" s="773">
        <f>SUMIF('F-3 Off-Site WaterC Enhancement'!$AT$12:$AT$257,'Off-site gain site summary'!$W29,'F-3 Off-Site WaterC Enhancement'!$AP$12:$AP$257)</f>
        <v>0</v>
      </c>
      <c r="AA29" s="773">
        <f>SUMIF('F-2 Off-Site WaterC'' Creation'!$AG$12:$AG$259,'Off-site gain site summary'!$W29,'F-2 Off-Site WaterC'' Creation'!$AC$12:$AC$259)</f>
        <v>0</v>
      </c>
      <c r="AB29" s="773">
        <f t="shared" si="4"/>
        <v>0</v>
      </c>
      <c r="AC29" s="773" t="str">
        <f>IFERROR(_xlfn.XLOOKUP(W29,'F-2 Off-Site WaterC'' Creation'!AG34:AG280,'F-2 Off-Site WaterC'' Creation'!AA34:AA281), IFERROR(_xlfn.XLOOKUP(W29,'F-1 Off-Site WaterC'' Baseline'!AG32:AG279,'F-1 Off-Site WaterC'' Baseline'!T32:T279)," "))</f>
        <v/>
      </c>
      <c r="AD29" s="774">
        <f t="shared" si="5"/>
        <v>0</v>
      </c>
      <c r="AE29" s="1356"/>
      <c r="AF29" s="1356"/>
    </row>
    <row r="30" spans="1:32">
      <c r="A30" s="757">
        <f>'D-1 Off-Site Habitat Baseline'!AF34</f>
        <v>0</v>
      </c>
      <c r="B30" s="764"/>
      <c r="C30" s="762">
        <f>SUMIF('D-1 Off-Site Habitat Baseline'!AF34:AF37,B30,'D-1 Off-Site Habitat Baseline'!T34:T37)</f>
        <v>0</v>
      </c>
      <c r="D30" s="1354">
        <f>SUMIF('D-1 Off-Site Habitat Baseline'!$AF$11:$AF$258,'Off-site gain site summary'!$B$7,'D-1 Off-Site Habitat Baseline'!$X$11:$X$258)</f>
        <v>0</v>
      </c>
      <c r="E30" s="1355"/>
      <c r="F30" s="1354">
        <f>SUMIF('D-3 Off-Site Habitat Enhancment'!$AU$12:$AU$258,'Off-site gain site summary'!B30,'D-3 Off-Site Habitat Enhancment'!$AQ$12:$AQ$258)</f>
        <v>0</v>
      </c>
      <c r="G30" s="1355"/>
      <c r="H30" s="1354">
        <f>SUMIF('D-2 Off-Site Habitat Creation'!$AF$11:$AF$256,'Off-site gain site summary'!B30,'D-2 Off-Site Habitat Creation'!$AB$11:$AB$256)</f>
        <v>0</v>
      </c>
      <c r="I30" s="1355"/>
      <c r="J30" s="765">
        <f t="shared" si="0"/>
        <v>0</v>
      </c>
      <c r="K30" s="762" t="str">
        <f>IFERROR(_xlfn.XLOOKUP(B30,'D-2 Off-Site Habitat Creation'!$AF$11:$AF$256,'D-2 Off-Site Habitat Creation'!$Z$11:$Z$256), IFERROR(_xlfn.XLOOKUP(B30,'D-1 Off-Site Habitat Baseline'!AF34:AF281,'D-1 Off-Site Habitat Baseline'!S34:S281), " "))</f>
        <v/>
      </c>
      <c r="L30" s="766">
        <f t="shared" si="1"/>
        <v>0</v>
      </c>
      <c r="M30" s="757">
        <f>'E-1 Off-Site Hedge Baseline'!AB33</f>
        <v>0</v>
      </c>
      <c r="N30" s="772"/>
      <c r="O30" s="773">
        <f>SUMIF('E-1 Off-Site Hedge Baseline'!AB33:AB280,'Off-site gain site summary'!N30,'E-1 Off-Site Hedge Baseline'!Q33:Q280)</f>
        <v>0</v>
      </c>
      <c r="P30" s="773">
        <f>SUMIF('E-1 Off-Site Hedge Baseline'!$AB$10:$AB$257,'Off-site gain site summary'!$N30,'E-1 Off-Site Hedge Baseline'!$U$10:$U$257)</f>
        <v>0</v>
      </c>
      <c r="Q30" s="773">
        <f>SUMIF('E-3 Off-Site Hedge Enhancement'!$AO$12:$AO$257,'Off-site gain site summary'!$N30,'E-3 Off-Site Hedge Enhancement'!$AK$12:$AK$257)</f>
        <v>0</v>
      </c>
      <c r="R30" s="773">
        <f>SUMIF('E-2 Off-Site Hedge Creation'!$AD$12:$AD$259,'Off-site gain site summary'!$N30,'E-2 Off-Site Hedge Creation'!$Z$12:$Z$259)</f>
        <v>0</v>
      </c>
      <c r="S30" s="771">
        <f t="shared" si="2"/>
        <v>0</v>
      </c>
      <c r="T30" s="771" t="str">
        <f>IFERROR(_xlfn.XLOOKUP(N30,'E-2 Off-Site Hedge Creation'!AD35:AD282,'E-2 Off-Site Hedge Creation'!N35:N282), IFERROR(_xlfn.XLOOKUP(N30,'E-1 Off-Site Hedge Baseline'!AB33:AB280,'E-1 Off-Site Hedge Baseline'!P33:P280), " "))</f>
        <v/>
      </c>
      <c r="U30" s="774">
        <f t="shared" si="3"/>
        <v>0</v>
      </c>
      <c r="V30" s="1">
        <f>'F-1 Off-Site WaterC'' Baseline'!AG33</f>
        <v>0</v>
      </c>
      <c r="W30" s="772"/>
      <c r="X30" s="773">
        <f>SUMIF('F-1 Off-Site WaterC'' Baseline'!$AG$10:$AG$257,'Off-site gain site summary'!$W30,'F-1 Off-Site WaterC'' Baseline'!$U$10:$U$257)</f>
        <v>0</v>
      </c>
      <c r="Y30" s="773">
        <f>SUMIF('F-1 Off-Site WaterC'' Baseline'!$AG$10:$AG$257,'Off-site gain site summary'!$W30,'F-1 Off-Site WaterC'' Baseline'!$Y$10:$Y$257)</f>
        <v>0</v>
      </c>
      <c r="Z30" s="773">
        <f>SUMIF('F-3 Off-Site WaterC Enhancement'!$AT$12:$AT$257,'Off-site gain site summary'!$W30,'F-3 Off-Site WaterC Enhancement'!$AP$12:$AP$257)</f>
        <v>0</v>
      </c>
      <c r="AA30" s="773">
        <f>SUMIF('F-2 Off-Site WaterC'' Creation'!$AG$12:$AG$259,'Off-site gain site summary'!$W30,'F-2 Off-Site WaterC'' Creation'!$AC$12:$AC$259)</f>
        <v>0</v>
      </c>
      <c r="AB30" s="773">
        <f t="shared" si="4"/>
        <v>0</v>
      </c>
      <c r="AC30" s="773" t="str">
        <f>IFERROR(_xlfn.XLOOKUP(W30,'F-2 Off-Site WaterC'' Creation'!AG35:AG281,'F-2 Off-Site WaterC'' Creation'!AA35:AA282), IFERROR(_xlfn.XLOOKUP(W30,'F-1 Off-Site WaterC'' Baseline'!AG33:AG280,'F-1 Off-Site WaterC'' Baseline'!T33:T280)," "))</f>
        <v/>
      </c>
      <c r="AD30" s="774">
        <f t="shared" si="5"/>
        <v>0</v>
      </c>
      <c r="AE30" s="1356"/>
      <c r="AF30" s="1356"/>
    </row>
    <row r="31" spans="1:32">
      <c r="A31" s="757">
        <f>'D-1 Off-Site Habitat Baseline'!AF35</f>
        <v>0</v>
      </c>
      <c r="B31" s="764"/>
      <c r="C31" s="762">
        <f>SUMIF('D-1 Off-Site Habitat Baseline'!AF35:AF38,B31,'D-1 Off-Site Habitat Baseline'!T35:T38)</f>
        <v>0</v>
      </c>
      <c r="D31" s="1354">
        <f>SUMIF('D-1 Off-Site Habitat Baseline'!$AF$11:$AF$258,'Off-site gain site summary'!$B$7,'D-1 Off-Site Habitat Baseline'!$X$11:$X$258)</f>
        <v>0</v>
      </c>
      <c r="E31" s="1355"/>
      <c r="F31" s="1354">
        <f>SUMIF('D-3 Off-Site Habitat Enhancment'!$AU$12:$AU$258,'Off-site gain site summary'!B31,'D-3 Off-Site Habitat Enhancment'!$AQ$12:$AQ$258)</f>
        <v>0</v>
      </c>
      <c r="G31" s="1355"/>
      <c r="H31" s="1354">
        <f>SUMIF('D-2 Off-Site Habitat Creation'!$AF$11:$AF$256,'Off-site gain site summary'!B31,'D-2 Off-Site Habitat Creation'!$AB$11:$AB$256)</f>
        <v>0</v>
      </c>
      <c r="I31" s="1355"/>
      <c r="J31" s="765">
        <f t="shared" si="0"/>
        <v>0</v>
      </c>
      <c r="K31" s="762" t="str">
        <f>IFERROR(_xlfn.XLOOKUP(B31,'D-2 Off-Site Habitat Creation'!$AF$11:$AF$256,'D-2 Off-Site Habitat Creation'!$Z$11:$Z$256), IFERROR(_xlfn.XLOOKUP(B31,'D-1 Off-Site Habitat Baseline'!AF35:AF282,'D-1 Off-Site Habitat Baseline'!S35:S282), " "))</f>
        <v/>
      </c>
      <c r="L31" s="766">
        <f t="shared" si="1"/>
        <v>0</v>
      </c>
      <c r="M31" s="757">
        <f>'E-1 Off-Site Hedge Baseline'!AB34</f>
        <v>0</v>
      </c>
      <c r="N31" s="772"/>
      <c r="O31" s="773">
        <f>SUMIF('E-1 Off-Site Hedge Baseline'!AB34:AB281,'Off-site gain site summary'!N31,'E-1 Off-Site Hedge Baseline'!Q34:Q281)</f>
        <v>0</v>
      </c>
      <c r="P31" s="773">
        <f>SUMIF('E-1 Off-Site Hedge Baseline'!$AB$10:$AB$257,'Off-site gain site summary'!$N31,'E-1 Off-Site Hedge Baseline'!$U$10:$U$257)</f>
        <v>0</v>
      </c>
      <c r="Q31" s="773">
        <f>SUMIF('E-3 Off-Site Hedge Enhancement'!$AO$12:$AO$257,'Off-site gain site summary'!$N31,'E-3 Off-Site Hedge Enhancement'!$AK$12:$AK$257)</f>
        <v>0</v>
      </c>
      <c r="R31" s="773">
        <f>SUMIF('E-2 Off-Site Hedge Creation'!$AD$12:$AD$259,'Off-site gain site summary'!$N31,'E-2 Off-Site Hedge Creation'!$Z$12:$Z$259)</f>
        <v>0</v>
      </c>
      <c r="S31" s="771">
        <f t="shared" si="2"/>
        <v>0</v>
      </c>
      <c r="T31" s="771" t="str">
        <f>IFERROR(_xlfn.XLOOKUP(N31,'E-2 Off-Site Hedge Creation'!AD36:AD283,'E-2 Off-Site Hedge Creation'!N36:N283), IFERROR(_xlfn.XLOOKUP(N31,'E-1 Off-Site Hedge Baseline'!AB34:AB281,'E-1 Off-Site Hedge Baseline'!P34:P281), " "))</f>
        <v/>
      </c>
      <c r="U31" s="774">
        <f t="shared" si="3"/>
        <v>0</v>
      </c>
      <c r="V31" s="1">
        <f>'F-1 Off-Site WaterC'' Baseline'!AG34</f>
        <v>0</v>
      </c>
      <c r="W31" s="772"/>
      <c r="X31" s="773">
        <f>SUMIF('F-1 Off-Site WaterC'' Baseline'!$AG$10:$AG$257,'Off-site gain site summary'!$W31,'F-1 Off-Site WaterC'' Baseline'!$U$10:$U$257)</f>
        <v>0</v>
      </c>
      <c r="Y31" s="773">
        <f>SUMIF('F-1 Off-Site WaterC'' Baseline'!$AG$10:$AG$257,'Off-site gain site summary'!$W31,'F-1 Off-Site WaterC'' Baseline'!$Y$10:$Y$257)</f>
        <v>0</v>
      </c>
      <c r="Z31" s="773">
        <f>SUMIF('F-3 Off-Site WaterC Enhancement'!$AT$12:$AT$257,'Off-site gain site summary'!$W31,'F-3 Off-Site WaterC Enhancement'!$AP$12:$AP$257)</f>
        <v>0</v>
      </c>
      <c r="AA31" s="773">
        <f>SUMIF('F-2 Off-Site WaterC'' Creation'!$AG$12:$AG$259,'Off-site gain site summary'!$W31,'F-2 Off-Site WaterC'' Creation'!$AC$12:$AC$259)</f>
        <v>0</v>
      </c>
      <c r="AB31" s="773">
        <f t="shared" si="4"/>
        <v>0</v>
      </c>
      <c r="AC31" s="773" t="str">
        <f>IFERROR(_xlfn.XLOOKUP(W31,'F-2 Off-Site WaterC'' Creation'!AG36:AG282,'F-2 Off-Site WaterC'' Creation'!AA36:AA283), IFERROR(_xlfn.XLOOKUP(W31,'F-1 Off-Site WaterC'' Baseline'!AG34:AG281,'F-1 Off-Site WaterC'' Baseline'!T34:T281)," "))</f>
        <v/>
      </c>
      <c r="AD31" s="774">
        <f t="shared" si="5"/>
        <v>0</v>
      </c>
      <c r="AE31" s="1356"/>
      <c r="AF31" s="1356"/>
    </row>
    <row r="32" spans="1:32">
      <c r="A32" s="757">
        <f>'D-1 Off-Site Habitat Baseline'!AF36</f>
        <v>0</v>
      </c>
      <c r="B32" s="764"/>
      <c r="C32" s="762">
        <f>SUMIF('D-1 Off-Site Habitat Baseline'!AF36:AF39,B32,'D-1 Off-Site Habitat Baseline'!T36:T39)</f>
        <v>0</v>
      </c>
      <c r="D32" s="1354">
        <f>SUMIF('D-1 Off-Site Habitat Baseline'!$AF$11:$AF$258,'Off-site gain site summary'!$B$7,'D-1 Off-Site Habitat Baseline'!$X$11:$X$258)</f>
        <v>0</v>
      </c>
      <c r="E32" s="1355"/>
      <c r="F32" s="1354">
        <f>SUMIF('D-3 Off-Site Habitat Enhancment'!$AU$12:$AU$258,'Off-site gain site summary'!B32,'D-3 Off-Site Habitat Enhancment'!$AQ$12:$AQ$258)</f>
        <v>0</v>
      </c>
      <c r="G32" s="1355"/>
      <c r="H32" s="1354">
        <f>SUMIF('D-2 Off-Site Habitat Creation'!$AF$11:$AF$256,'Off-site gain site summary'!B32,'D-2 Off-Site Habitat Creation'!$AB$11:$AB$256)</f>
        <v>0</v>
      </c>
      <c r="I32" s="1355"/>
      <c r="J32" s="765">
        <f t="shared" si="0"/>
        <v>0</v>
      </c>
      <c r="K32" s="762" t="str">
        <f>IFERROR(_xlfn.XLOOKUP(B32,'D-2 Off-Site Habitat Creation'!$AF$11:$AF$256,'D-2 Off-Site Habitat Creation'!$Z$11:$Z$256), IFERROR(_xlfn.XLOOKUP(B32,'D-1 Off-Site Habitat Baseline'!AF36:AF283,'D-1 Off-Site Habitat Baseline'!S36:S283), " "))</f>
        <v/>
      </c>
      <c r="L32" s="766">
        <f t="shared" si="1"/>
        <v>0</v>
      </c>
      <c r="M32" s="757">
        <f>'E-1 Off-Site Hedge Baseline'!AB35</f>
        <v>0</v>
      </c>
      <c r="N32" s="772"/>
      <c r="O32" s="773">
        <f>SUMIF('E-1 Off-Site Hedge Baseline'!AB35:AB282,'Off-site gain site summary'!N32,'E-1 Off-Site Hedge Baseline'!Q35:Q282)</f>
        <v>0</v>
      </c>
      <c r="P32" s="773">
        <f>SUMIF('E-1 Off-Site Hedge Baseline'!$AB$10:$AB$257,'Off-site gain site summary'!$N32,'E-1 Off-Site Hedge Baseline'!$U$10:$U$257)</f>
        <v>0</v>
      </c>
      <c r="Q32" s="773">
        <f>SUMIF('E-3 Off-Site Hedge Enhancement'!$AO$12:$AO$257,'Off-site gain site summary'!$N32,'E-3 Off-Site Hedge Enhancement'!$AK$12:$AK$257)</f>
        <v>0</v>
      </c>
      <c r="R32" s="773">
        <f>SUMIF('E-2 Off-Site Hedge Creation'!$AD$12:$AD$259,'Off-site gain site summary'!$N32,'E-2 Off-Site Hedge Creation'!$Z$12:$Z$259)</f>
        <v>0</v>
      </c>
      <c r="S32" s="771">
        <f t="shared" si="2"/>
        <v>0</v>
      </c>
      <c r="T32" s="771" t="str">
        <f>IFERROR(_xlfn.XLOOKUP(N32,'E-2 Off-Site Hedge Creation'!AD37:AD284,'E-2 Off-Site Hedge Creation'!N37:N284), IFERROR(_xlfn.XLOOKUP(N32,'E-1 Off-Site Hedge Baseline'!AB35:AB282,'E-1 Off-Site Hedge Baseline'!P35:P282), " "))</f>
        <v/>
      </c>
      <c r="U32" s="774">
        <f t="shared" si="3"/>
        <v>0</v>
      </c>
      <c r="V32" s="1">
        <f>'F-1 Off-Site WaterC'' Baseline'!AG35</f>
        <v>0</v>
      </c>
      <c r="W32" s="772"/>
      <c r="X32" s="773">
        <f>SUMIF('F-1 Off-Site WaterC'' Baseline'!$AG$10:$AG$257,'Off-site gain site summary'!$W32,'F-1 Off-Site WaterC'' Baseline'!$U$10:$U$257)</f>
        <v>0</v>
      </c>
      <c r="Y32" s="773">
        <f>SUMIF('F-1 Off-Site WaterC'' Baseline'!$AG$10:$AG$257,'Off-site gain site summary'!$W32,'F-1 Off-Site WaterC'' Baseline'!$Y$10:$Y$257)</f>
        <v>0</v>
      </c>
      <c r="Z32" s="773">
        <f>SUMIF('F-3 Off-Site WaterC Enhancement'!$AT$12:$AT$257,'Off-site gain site summary'!$W32,'F-3 Off-Site WaterC Enhancement'!$AP$12:$AP$257)</f>
        <v>0</v>
      </c>
      <c r="AA32" s="773">
        <f>SUMIF('F-2 Off-Site WaterC'' Creation'!$AG$12:$AG$259,'Off-site gain site summary'!$W32,'F-2 Off-Site WaterC'' Creation'!$AC$12:$AC$259)</f>
        <v>0</v>
      </c>
      <c r="AB32" s="773">
        <f t="shared" si="4"/>
        <v>0</v>
      </c>
      <c r="AC32" s="773" t="str">
        <f>IFERROR(_xlfn.XLOOKUP(W32,'F-2 Off-Site WaterC'' Creation'!AG37:AG283,'F-2 Off-Site WaterC'' Creation'!AA37:AA284), IFERROR(_xlfn.XLOOKUP(W32,'F-1 Off-Site WaterC'' Baseline'!AG35:AG282,'F-1 Off-Site WaterC'' Baseline'!T35:T282)," "))</f>
        <v/>
      </c>
      <c r="AD32" s="774">
        <f t="shared" si="5"/>
        <v>0</v>
      </c>
      <c r="AE32" s="1356"/>
      <c r="AF32" s="1356"/>
    </row>
    <row r="33" spans="1:32">
      <c r="A33" s="757">
        <f>'D-1 Off-Site Habitat Baseline'!AF37</f>
        <v>0</v>
      </c>
      <c r="B33" s="764"/>
      <c r="C33" s="762">
        <f>SUMIF('D-1 Off-Site Habitat Baseline'!AF37:AF40,B33,'D-1 Off-Site Habitat Baseline'!T37:T40)</f>
        <v>0</v>
      </c>
      <c r="D33" s="1354">
        <f>SUMIF('D-1 Off-Site Habitat Baseline'!$AF$11:$AF$258,'Off-site gain site summary'!$B$7,'D-1 Off-Site Habitat Baseline'!$X$11:$X$258)</f>
        <v>0</v>
      </c>
      <c r="E33" s="1355"/>
      <c r="F33" s="1354">
        <f>SUMIF('D-3 Off-Site Habitat Enhancment'!$AU$12:$AU$258,'Off-site gain site summary'!B33,'D-3 Off-Site Habitat Enhancment'!$AQ$12:$AQ$258)</f>
        <v>0</v>
      </c>
      <c r="G33" s="1355"/>
      <c r="H33" s="1354">
        <f>SUMIF('D-2 Off-Site Habitat Creation'!$AF$11:$AF$256,'Off-site gain site summary'!B33,'D-2 Off-Site Habitat Creation'!$AB$11:$AB$256)</f>
        <v>0</v>
      </c>
      <c r="I33" s="1355"/>
      <c r="J33" s="765">
        <f t="shared" si="0"/>
        <v>0</v>
      </c>
      <c r="K33" s="762" t="str">
        <f>IFERROR(_xlfn.XLOOKUP(B33,'D-2 Off-Site Habitat Creation'!$AF$11:$AF$256,'D-2 Off-Site Habitat Creation'!$Z$11:$Z$256), IFERROR(_xlfn.XLOOKUP(B33,'D-1 Off-Site Habitat Baseline'!AF37:AF284,'D-1 Off-Site Habitat Baseline'!S37:S284), " "))</f>
        <v/>
      </c>
      <c r="L33" s="766">
        <f t="shared" si="1"/>
        <v>0</v>
      </c>
      <c r="M33" s="757">
        <f>'E-1 Off-Site Hedge Baseline'!AB36</f>
        <v>0</v>
      </c>
      <c r="N33" s="772"/>
      <c r="O33" s="773">
        <f>SUMIF('E-1 Off-Site Hedge Baseline'!AB36:AB283,'Off-site gain site summary'!N33,'E-1 Off-Site Hedge Baseline'!Q36:Q283)</f>
        <v>0</v>
      </c>
      <c r="P33" s="773">
        <f>SUMIF('E-1 Off-Site Hedge Baseline'!$AB$10:$AB$257,'Off-site gain site summary'!$N33,'E-1 Off-Site Hedge Baseline'!$U$10:$U$257)</f>
        <v>0</v>
      </c>
      <c r="Q33" s="773">
        <f>SUMIF('E-3 Off-Site Hedge Enhancement'!$AO$12:$AO$257,'Off-site gain site summary'!$N33,'E-3 Off-Site Hedge Enhancement'!$AK$12:$AK$257)</f>
        <v>0</v>
      </c>
      <c r="R33" s="773">
        <f>SUMIF('E-2 Off-Site Hedge Creation'!$AD$12:$AD$259,'Off-site gain site summary'!$N33,'E-2 Off-Site Hedge Creation'!$Z$12:$Z$259)</f>
        <v>0</v>
      </c>
      <c r="S33" s="771">
        <f t="shared" si="2"/>
        <v>0</v>
      </c>
      <c r="T33" s="771" t="str">
        <f>IFERROR(_xlfn.XLOOKUP(N33,'E-2 Off-Site Hedge Creation'!AD38:AD285,'E-2 Off-Site Hedge Creation'!N38:N285), IFERROR(_xlfn.XLOOKUP(N33,'E-1 Off-Site Hedge Baseline'!AB36:AB283,'E-1 Off-Site Hedge Baseline'!P36:P283), " "))</f>
        <v/>
      </c>
      <c r="U33" s="774">
        <f t="shared" si="3"/>
        <v>0</v>
      </c>
      <c r="V33" s="1">
        <f>'F-1 Off-Site WaterC'' Baseline'!AG36</f>
        <v>0</v>
      </c>
      <c r="W33" s="772"/>
      <c r="X33" s="773">
        <f>SUMIF('F-1 Off-Site WaterC'' Baseline'!$AG$10:$AG$257,'Off-site gain site summary'!$W33,'F-1 Off-Site WaterC'' Baseline'!$U$10:$U$257)</f>
        <v>0</v>
      </c>
      <c r="Y33" s="773">
        <f>SUMIF('F-1 Off-Site WaterC'' Baseline'!$AG$10:$AG$257,'Off-site gain site summary'!$W33,'F-1 Off-Site WaterC'' Baseline'!$Y$10:$Y$257)</f>
        <v>0</v>
      </c>
      <c r="Z33" s="773">
        <f>SUMIF('F-3 Off-Site WaterC Enhancement'!$AT$12:$AT$257,'Off-site gain site summary'!$W33,'F-3 Off-Site WaterC Enhancement'!$AP$12:$AP$257)</f>
        <v>0</v>
      </c>
      <c r="AA33" s="773">
        <f>SUMIF('F-2 Off-Site WaterC'' Creation'!$AG$12:$AG$259,'Off-site gain site summary'!$W33,'F-2 Off-Site WaterC'' Creation'!$AC$12:$AC$259)</f>
        <v>0</v>
      </c>
      <c r="AB33" s="773">
        <f t="shared" si="4"/>
        <v>0</v>
      </c>
      <c r="AC33" s="773" t="str">
        <f>IFERROR(_xlfn.XLOOKUP(W33,'F-2 Off-Site WaterC'' Creation'!AG38:AG284,'F-2 Off-Site WaterC'' Creation'!AA38:AA285), IFERROR(_xlfn.XLOOKUP(W33,'F-1 Off-Site WaterC'' Baseline'!AG36:AG283,'F-1 Off-Site WaterC'' Baseline'!T36:T283)," "))</f>
        <v/>
      </c>
      <c r="AD33" s="774">
        <f t="shared" si="5"/>
        <v>0</v>
      </c>
      <c r="AE33" s="1356"/>
      <c r="AF33" s="1356"/>
    </row>
    <row r="34" spans="1:32">
      <c r="A34" s="757">
        <f>'D-1 Off-Site Habitat Baseline'!AF38</f>
        <v>0</v>
      </c>
      <c r="B34" s="764"/>
      <c r="C34" s="762">
        <f>SUMIF('D-1 Off-Site Habitat Baseline'!AF38:AF41,B34,'D-1 Off-Site Habitat Baseline'!T38:T41)</f>
        <v>0</v>
      </c>
      <c r="D34" s="1354">
        <f>SUMIF('D-1 Off-Site Habitat Baseline'!$AF$11:$AF$258,'Off-site gain site summary'!$B$7,'D-1 Off-Site Habitat Baseline'!$X$11:$X$258)</f>
        <v>0</v>
      </c>
      <c r="E34" s="1355"/>
      <c r="F34" s="1354">
        <f>SUMIF('D-3 Off-Site Habitat Enhancment'!$AU$12:$AU$258,'Off-site gain site summary'!B34,'D-3 Off-Site Habitat Enhancment'!$AQ$12:$AQ$258)</f>
        <v>0</v>
      </c>
      <c r="G34" s="1355"/>
      <c r="H34" s="1354">
        <f>SUMIF('D-2 Off-Site Habitat Creation'!$AF$11:$AF$256,'Off-site gain site summary'!B34,'D-2 Off-Site Habitat Creation'!$AB$11:$AB$256)</f>
        <v>0</v>
      </c>
      <c r="I34" s="1355"/>
      <c r="J34" s="765">
        <f t="shared" si="0"/>
        <v>0</v>
      </c>
      <c r="K34" s="762" t="str">
        <f>IFERROR(_xlfn.XLOOKUP(B34,'D-2 Off-Site Habitat Creation'!$AF$11:$AF$256,'D-2 Off-Site Habitat Creation'!$Z$11:$Z$256), IFERROR(_xlfn.XLOOKUP(B34,'D-1 Off-Site Habitat Baseline'!AF38:AF285,'D-1 Off-Site Habitat Baseline'!S38:S285), " "))</f>
        <v/>
      </c>
      <c r="L34" s="766">
        <f t="shared" si="1"/>
        <v>0</v>
      </c>
      <c r="M34" s="757">
        <f>'E-1 Off-Site Hedge Baseline'!AB37</f>
        <v>0</v>
      </c>
      <c r="N34" s="772"/>
      <c r="O34" s="773">
        <f>SUMIF('E-1 Off-Site Hedge Baseline'!AB37:AB284,'Off-site gain site summary'!N34,'E-1 Off-Site Hedge Baseline'!Q37:Q284)</f>
        <v>0</v>
      </c>
      <c r="P34" s="773">
        <f>SUMIF('E-1 Off-Site Hedge Baseline'!$AB$10:$AB$257,'Off-site gain site summary'!$N34,'E-1 Off-Site Hedge Baseline'!$U$10:$U$257)</f>
        <v>0</v>
      </c>
      <c r="Q34" s="773">
        <f>SUMIF('E-3 Off-Site Hedge Enhancement'!$AO$12:$AO$257,'Off-site gain site summary'!$N34,'E-3 Off-Site Hedge Enhancement'!$AK$12:$AK$257)</f>
        <v>0</v>
      </c>
      <c r="R34" s="773">
        <f>SUMIF('E-2 Off-Site Hedge Creation'!$AD$12:$AD$259,'Off-site gain site summary'!$N34,'E-2 Off-Site Hedge Creation'!$Z$12:$Z$259)</f>
        <v>0</v>
      </c>
      <c r="S34" s="771">
        <f t="shared" si="2"/>
        <v>0</v>
      </c>
      <c r="T34" s="771" t="str">
        <f>IFERROR(_xlfn.XLOOKUP(N34,'E-2 Off-Site Hedge Creation'!AD39:AD286,'E-2 Off-Site Hedge Creation'!N39:N286), IFERROR(_xlfn.XLOOKUP(N34,'E-1 Off-Site Hedge Baseline'!AB37:AB284,'E-1 Off-Site Hedge Baseline'!P37:P284), " "))</f>
        <v/>
      </c>
      <c r="U34" s="774">
        <f t="shared" si="3"/>
        <v>0</v>
      </c>
      <c r="V34" s="1">
        <f>'F-1 Off-Site WaterC'' Baseline'!AG37</f>
        <v>0</v>
      </c>
      <c r="W34" s="772"/>
      <c r="X34" s="773">
        <f>SUMIF('F-1 Off-Site WaterC'' Baseline'!$AG$10:$AG$257,'Off-site gain site summary'!$W34,'F-1 Off-Site WaterC'' Baseline'!$U$10:$U$257)</f>
        <v>0</v>
      </c>
      <c r="Y34" s="773">
        <f>SUMIF('F-1 Off-Site WaterC'' Baseline'!$AG$10:$AG$257,'Off-site gain site summary'!$W34,'F-1 Off-Site WaterC'' Baseline'!$Y$10:$Y$257)</f>
        <v>0</v>
      </c>
      <c r="Z34" s="773">
        <f>SUMIF('F-3 Off-Site WaterC Enhancement'!$AT$12:$AT$257,'Off-site gain site summary'!$W34,'F-3 Off-Site WaterC Enhancement'!$AP$12:$AP$257)</f>
        <v>0</v>
      </c>
      <c r="AA34" s="773">
        <f>SUMIF('F-2 Off-Site WaterC'' Creation'!$AG$12:$AG$259,'Off-site gain site summary'!$W34,'F-2 Off-Site WaterC'' Creation'!$AC$12:$AC$259)</f>
        <v>0</v>
      </c>
      <c r="AB34" s="773">
        <f t="shared" si="4"/>
        <v>0</v>
      </c>
      <c r="AC34" s="773" t="str">
        <f>IFERROR(_xlfn.XLOOKUP(W34,'F-2 Off-Site WaterC'' Creation'!AG39:AG285,'F-2 Off-Site WaterC'' Creation'!AA39:AA286), IFERROR(_xlfn.XLOOKUP(W34,'F-1 Off-Site WaterC'' Baseline'!AG37:AG284,'F-1 Off-Site WaterC'' Baseline'!T37:T284)," "))</f>
        <v/>
      </c>
      <c r="AD34" s="774">
        <f t="shared" si="5"/>
        <v>0</v>
      </c>
      <c r="AE34" s="1356"/>
      <c r="AF34" s="1356"/>
    </row>
    <row r="35" spans="1:32">
      <c r="A35" s="757">
        <f>'D-1 Off-Site Habitat Baseline'!AF39</f>
        <v>0</v>
      </c>
      <c r="B35" s="764"/>
      <c r="C35" s="762">
        <f>SUMIF('D-1 Off-Site Habitat Baseline'!AF39:AF42,B35,'D-1 Off-Site Habitat Baseline'!T39:T42)</f>
        <v>0</v>
      </c>
      <c r="D35" s="1354">
        <f>SUMIF('D-1 Off-Site Habitat Baseline'!$AF$11:$AF$258,'Off-site gain site summary'!$B$7,'D-1 Off-Site Habitat Baseline'!$X$11:$X$258)</f>
        <v>0</v>
      </c>
      <c r="E35" s="1355"/>
      <c r="F35" s="1354">
        <f>SUMIF('D-3 Off-Site Habitat Enhancment'!$AU$12:$AU$258,'Off-site gain site summary'!B35,'D-3 Off-Site Habitat Enhancment'!$AQ$12:$AQ$258)</f>
        <v>0</v>
      </c>
      <c r="G35" s="1355"/>
      <c r="H35" s="1354">
        <f>SUMIF('D-2 Off-Site Habitat Creation'!$AF$11:$AF$256,'Off-site gain site summary'!B35,'D-2 Off-Site Habitat Creation'!$AB$11:$AB$256)</f>
        <v>0</v>
      </c>
      <c r="I35" s="1355"/>
      <c r="J35" s="765">
        <f t="shared" si="0"/>
        <v>0</v>
      </c>
      <c r="K35" s="762" t="str">
        <f>IFERROR(_xlfn.XLOOKUP(B35,'D-2 Off-Site Habitat Creation'!$AF$11:$AF$256,'D-2 Off-Site Habitat Creation'!$Z$11:$Z$256), IFERROR(_xlfn.XLOOKUP(B35,'D-1 Off-Site Habitat Baseline'!AF39:AF286,'D-1 Off-Site Habitat Baseline'!S39:S286), " "))</f>
        <v/>
      </c>
      <c r="L35" s="766">
        <f t="shared" si="1"/>
        <v>0</v>
      </c>
      <c r="M35" s="757">
        <f>'E-1 Off-Site Hedge Baseline'!AB38</f>
        <v>0</v>
      </c>
      <c r="N35" s="772"/>
      <c r="O35" s="773">
        <f>SUMIF('E-1 Off-Site Hedge Baseline'!AB38:AB285,'Off-site gain site summary'!N35,'E-1 Off-Site Hedge Baseline'!Q38:Q285)</f>
        <v>0</v>
      </c>
      <c r="P35" s="773">
        <f>SUMIF('E-1 Off-Site Hedge Baseline'!$AB$10:$AB$257,'Off-site gain site summary'!$N35,'E-1 Off-Site Hedge Baseline'!$U$10:$U$257)</f>
        <v>0</v>
      </c>
      <c r="Q35" s="773">
        <f>SUMIF('E-3 Off-Site Hedge Enhancement'!$AO$12:$AO$257,'Off-site gain site summary'!$N35,'E-3 Off-Site Hedge Enhancement'!$AK$12:$AK$257)</f>
        <v>0</v>
      </c>
      <c r="R35" s="773">
        <f>SUMIF('E-2 Off-Site Hedge Creation'!$AD$12:$AD$259,'Off-site gain site summary'!$N35,'E-2 Off-Site Hedge Creation'!$Z$12:$Z$259)</f>
        <v>0</v>
      </c>
      <c r="S35" s="771">
        <f t="shared" si="2"/>
        <v>0</v>
      </c>
      <c r="T35" s="771" t="str">
        <f>IFERROR(_xlfn.XLOOKUP(N35,'E-2 Off-Site Hedge Creation'!AD40:AD287,'E-2 Off-Site Hedge Creation'!N40:N287), IFERROR(_xlfn.XLOOKUP(N35,'E-1 Off-Site Hedge Baseline'!AB38:AB285,'E-1 Off-Site Hedge Baseline'!P38:P285), " "))</f>
        <v/>
      </c>
      <c r="U35" s="774">
        <f t="shared" si="3"/>
        <v>0</v>
      </c>
      <c r="V35" s="1">
        <f>'F-1 Off-Site WaterC'' Baseline'!AG38</f>
        <v>0</v>
      </c>
      <c r="W35" s="772"/>
      <c r="X35" s="773">
        <f>SUMIF('F-1 Off-Site WaterC'' Baseline'!$AG$10:$AG$257,'Off-site gain site summary'!$W35,'F-1 Off-Site WaterC'' Baseline'!$U$10:$U$257)</f>
        <v>0</v>
      </c>
      <c r="Y35" s="773">
        <f>SUMIF('F-1 Off-Site WaterC'' Baseline'!$AG$10:$AG$257,'Off-site gain site summary'!$W35,'F-1 Off-Site WaterC'' Baseline'!$Y$10:$Y$257)</f>
        <v>0</v>
      </c>
      <c r="Z35" s="773">
        <f>SUMIF('F-3 Off-Site WaterC Enhancement'!$AT$12:$AT$257,'Off-site gain site summary'!$W35,'F-3 Off-Site WaterC Enhancement'!$AP$12:$AP$257)</f>
        <v>0</v>
      </c>
      <c r="AA35" s="773">
        <f>SUMIF('F-2 Off-Site WaterC'' Creation'!$AG$12:$AG$259,'Off-site gain site summary'!$W35,'F-2 Off-Site WaterC'' Creation'!$AC$12:$AC$259)</f>
        <v>0</v>
      </c>
      <c r="AB35" s="773">
        <f t="shared" si="4"/>
        <v>0</v>
      </c>
      <c r="AC35" s="773" t="str">
        <f>IFERROR(_xlfn.XLOOKUP(W35,'F-2 Off-Site WaterC'' Creation'!AG40:AG286,'F-2 Off-Site WaterC'' Creation'!AA40:AA287), IFERROR(_xlfn.XLOOKUP(W35,'F-1 Off-Site WaterC'' Baseline'!AG38:AG285,'F-1 Off-Site WaterC'' Baseline'!T38:T285)," "))</f>
        <v/>
      </c>
      <c r="AD35" s="774">
        <f t="shared" si="5"/>
        <v>0</v>
      </c>
      <c r="AE35" s="1356"/>
      <c r="AF35" s="1356"/>
    </row>
    <row r="36" spans="1:32">
      <c r="A36" s="757">
        <f>'D-1 Off-Site Habitat Baseline'!AF40</f>
        <v>0</v>
      </c>
      <c r="B36" s="764"/>
      <c r="C36" s="762">
        <f>SUMIF('D-1 Off-Site Habitat Baseline'!AF40:AF43,B36,'D-1 Off-Site Habitat Baseline'!T40:T43)</f>
        <v>0</v>
      </c>
      <c r="D36" s="1354">
        <f>SUMIF('D-1 Off-Site Habitat Baseline'!$AF$11:$AF$258,'Off-site gain site summary'!$B$7,'D-1 Off-Site Habitat Baseline'!$X$11:$X$258)</f>
        <v>0</v>
      </c>
      <c r="E36" s="1355"/>
      <c r="F36" s="1354">
        <f>SUMIF('D-3 Off-Site Habitat Enhancment'!$AU$12:$AU$258,'Off-site gain site summary'!B36,'D-3 Off-Site Habitat Enhancment'!$AQ$12:$AQ$258)</f>
        <v>0</v>
      </c>
      <c r="G36" s="1355"/>
      <c r="H36" s="1354">
        <f>SUMIF('D-2 Off-Site Habitat Creation'!$AF$11:$AF$256,'Off-site gain site summary'!B36,'D-2 Off-Site Habitat Creation'!$AB$11:$AB$256)</f>
        <v>0</v>
      </c>
      <c r="I36" s="1355"/>
      <c r="J36" s="765">
        <f t="shared" si="0"/>
        <v>0</v>
      </c>
      <c r="K36" s="762" t="str">
        <f>IFERROR(_xlfn.XLOOKUP(B36,'D-2 Off-Site Habitat Creation'!$AF$11:$AF$256,'D-2 Off-Site Habitat Creation'!$Z$11:$Z$256), IFERROR(_xlfn.XLOOKUP(B36,'D-1 Off-Site Habitat Baseline'!AF40:AF287,'D-1 Off-Site Habitat Baseline'!S40:S287), " "))</f>
        <v/>
      </c>
      <c r="L36" s="766">
        <f t="shared" si="1"/>
        <v>0</v>
      </c>
      <c r="M36" s="757">
        <f>'E-1 Off-Site Hedge Baseline'!AB39</f>
        <v>0</v>
      </c>
      <c r="N36" s="772"/>
      <c r="O36" s="773">
        <f>SUMIF('E-1 Off-Site Hedge Baseline'!AB39:AB286,'Off-site gain site summary'!N36,'E-1 Off-Site Hedge Baseline'!Q39:Q286)</f>
        <v>0</v>
      </c>
      <c r="P36" s="773">
        <f>SUMIF('E-1 Off-Site Hedge Baseline'!$AB$10:$AB$257,'Off-site gain site summary'!$N36,'E-1 Off-Site Hedge Baseline'!$U$10:$U$257)</f>
        <v>0</v>
      </c>
      <c r="Q36" s="773">
        <f>SUMIF('E-3 Off-Site Hedge Enhancement'!$AO$12:$AO$257,'Off-site gain site summary'!$N36,'E-3 Off-Site Hedge Enhancement'!$AK$12:$AK$257)</f>
        <v>0</v>
      </c>
      <c r="R36" s="773">
        <f>SUMIF('E-2 Off-Site Hedge Creation'!$AD$12:$AD$259,'Off-site gain site summary'!$N36,'E-2 Off-Site Hedge Creation'!$Z$12:$Z$259)</f>
        <v>0</v>
      </c>
      <c r="S36" s="771">
        <f t="shared" si="2"/>
        <v>0</v>
      </c>
      <c r="T36" s="771" t="str">
        <f>IFERROR(_xlfn.XLOOKUP(N36,'E-2 Off-Site Hedge Creation'!AD41:AD288,'E-2 Off-Site Hedge Creation'!N41:N288), IFERROR(_xlfn.XLOOKUP(N36,'E-1 Off-Site Hedge Baseline'!AB39:AB286,'E-1 Off-Site Hedge Baseline'!P39:P286), " "))</f>
        <v/>
      </c>
      <c r="U36" s="774">
        <f t="shared" si="3"/>
        <v>0</v>
      </c>
      <c r="V36" s="1">
        <f>'F-1 Off-Site WaterC'' Baseline'!AG39</f>
        <v>0</v>
      </c>
      <c r="W36" s="772"/>
      <c r="X36" s="773">
        <f>SUMIF('F-1 Off-Site WaterC'' Baseline'!$AG$10:$AG$257,'Off-site gain site summary'!$W36,'F-1 Off-Site WaterC'' Baseline'!$U$10:$U$257)</f>
        <v>0</v>
      </c>
      <c r="Y36" s="773">
        <f>SUMIF('F-1 Off-Site WaterC'' Baseline'!$AG$10:$AG$257,'Off-site gain site summary'!$W36,'F-1 Off-Site WaterC'' Baseline'!$Y$10:$Y$257)</f>
        <v>0</v>
      </c>
      <c r="Z36" s="773">
        <f>SUMIF('F-3 Off-Site WaterC Enhancement'!$AT$12:$AT$257,'Off-site gain site summary'!$W36,'F-3 Off-Site WaterC Enhancement'!$AP$12:$AP$257)</f>
        <v>0</v>
      </c>
      <c r="AA36" s="773">
        <f>SUMIF('F-2 Off-Site WaterC'' Creation'!$AG$12:$AG$259,'Off-site gain site summary'!$W36,'F-2 Off-Site WaterC'' Creation'!$AC$12:$AC$259)</f>
        <v>0</v>
      </c>
      <c r="AB36" s="773">
        <f t="shared" si="4"/>
        <v>0</v>
      </c>
      <c r="AC36" s="773" t="str">
        <f>IFERROR(_xlfn.XLOOKUP(W36,'F-2 Off-Site WaterC'' Creation'!AG41:AG287,'F-2 Off-Site WaterC'' Creation'!AA41:AA288), IFERROR(_xlfn.XLOOKUP(W36,'F-1 Off-Site WaterC'' Baseline'!AG39:AG286,'F-1 Off-Site WaterC'' Baseline'!T39:T286)," "))</f>
        <v/>
      </c>
      <c r="AD36" s="774">
        <f t="shared" si="5"/>
        <v>0</v>
      </c>
      <c r="AE36" s="1356"/>
      <c r="AF36" s="1356"/>
    </row>
    <row r="37" spans="1:32">
      <c r="A37" s="757">
        <f>'D-1 Off-Site Habitat Baseline'!AF41</f>
        <v>0</v>
      </c>
      <c r="B37" s="764"/>
      <c r="C37" s="762">
        <f>SUMIF('D-1 Off-Site Habitat Baseline'!AF41:AF44,B37,'D-1 Off-Site Habitat Baseline'!T41:T44)</f>
        <v>0</v>
      </c>
      <c r="D37" s="1354">
        <f>SUMIF('D-1 Off-Site Habitat Baseline'!$AF$11:$AF$258,'Off-site gain site summary'!$B$7,'D-1 Off-Site Habitat Baseline'!$X$11:$X$258)</f>
        <v>0</v>
      </c>
      <c r="E37" s="1355"/>
      <c r="F37" s="1354">
        <f>SUMIF('D-3 Off-Site Habitat Enhancment'!$AU$12:$AU$258,'Off-site gain site summary'!B37,'D-3 Off-Site Habitat Enhancment'!$AQ$12:$AQ$258)</f>
        <v>0</v>
      </c>
      <c r="G37" s="1355"/>
      <c r="H37" s="1354">
        <f>SUMIF('D-2 Off-Site Habitat Creation'!$AF$11:$AF$256,'Off-site gain site summary'!B37,'D-2 Off-Site Habitat Creation'!$AB$11:$AB$256)</f>
        <v>0</v>
      </c>
      <c r="I37" s="1355"/>
      <c r="J37" s="765">
        <f t="shared" si="0"/>
        <v>0</v>
      </c>
      <c r="K37" s="762" t="str">
        <f>IFERROR(_xlfn.XLOOKUP(B37,'D-2 Off-Site Habitat Creation'!$AF$11:$AF$256,'D-2 Off-Site Habitat Creation'!$Z$11:$Z$256), IFERROR(_xlfn.XLOOKUP(B37,'D-1 Off-Site Habitat Baseline'!AF41:AF288,'D-1 Off-Site Habitat Baseline'!S41:S288), " "))</f>
        <v/>
      </c>
      <c r="L37" s="766">
        <f t="shared" si="1"/>
        <v>0</v>
      </c>
      <c r="M37" s="757">
        <f>'E-1 Off-Site Hedge Baseline'!AB40</f>
        <v>0</v>
      </c>
      <c r="N37" s="772"/>
      <c r="O37" s="773">
        <f>SUMIF('E-1 Off-Site Hedge Baseline'!AB40:AB287,'Off-site gain site summary'!N37,'E-1 Off-Site Hedge Baseline'!Q40:Q287)</f>
        <v>0</v>
      </c>
      <c r="P37" s="773">
        <f>SUMIF('E-1 Off-Site Hedge Baseline'!$AB$10:$AB$257,'Off-site gain site summary'!$N37,'E-1 Off-Site Hedge Baseline'!$U$10:$U$257)</f>
        <v>0</v>
      </c>
      <c r="Q37" s="773">
        <f>SUMIF('E-3 Off-Site Hedge Enhancement'!$AO$12:$AO$257,'Off-site gain site summary'!$N37,'E-3 Off-Site Hedge Enhancement'!$AK$12:$AK$257)</f>
        <v>0</v>
      </c>
      <c r="R37" s="773">
        <f>SUMIF('E-2 Off-Site Hedge Creation'!$AD$12:$AD$259,'Off-site gain site summary'!$N37,'E-2 Off-Site Hedge Creation'!$Z$12:$Z$259)</f>
        <v>0</v>
      </c>
      <c r="S37" s="771">
        <f t="shared" si="2"/>
        <v>0</v>
      </c>
      <c r="T37" s="771" t="str">
        <f>IFERROR(_xlfn.XLOOKUP(N37,'E-2 Off-Site Hedge Creation'!AD42:AD289,'E-2 Off-Site Hedge Creation'!N42:N289), IFERROR(_xlfn.XLOOKUP(N37,'E-1 Off-Site Hedge Baseline'!AB40:AB287,'E-1 Off-Site Hedge Baseline'!P40:P287), " "))</f>
        <v/>
      </c>
      <c r="U37" s="774">
        <f t="shared" si="3"/>
        <v>0</v>
      </c>
      <c r="V37" s="1">
        <f>'F-1 Off-Site WaterC'' Baseline'!AG40</f>
        <v>0</v>
      </c>
      <c r="W37" s="772"/>
      <c r="X37" s="773">
        <f>SUMIF('F-1 Off-Site WaterC'' Baseline'!$AG$10:$AG$257,'Off-site gain site summary'!$W37,'F-1 Off-Site WaterC'' Baseline'!$U$10:$U$257)</f>
        <v>0</v>
      </c>
      <c r="Y37" s="773">
        <f>SUMIF('F-1 Off-Site WaterC'' Baseline'!$AG$10:$AG$257,'Off-site gain site summary'!$W37,'F-1 Off-Site WaterC'' Baseline'!$Y$10:$Y$257)</f>
        <v>0</v>
      </c>
      <c r="Z37" s="773">
        <f>SUMIF('F-3 Off-Site WaterC Enhancement'!$AT$12:$AT$257,'Off-site gain site summary'!$W37,'F-3 Off-Site WaterC Enhancement'!$AP$12:$AP$257)</f>
        <v>0</v>
      </c>
      <c r="AA37" s="773">
        <f>SUMIF('F-2 Off-Site WaterC'' Creation'!$AG$12:$AG$259,'Off-site gain site summary'!$W37,'F-2 Off-Site WaterC'' Creation'!$AC$12:$AC$259)</f>
        <v>0</v>
      </c>
      <c r="AB37" s="773">
        <f t="shared" si="4"/>
        <v>0</v>
      </c>
      <c r="AC37" s="773" t="str">
        <f>IFERROR(_xlfn.XLOOKUP(W37,'F-2 Off-Site WaterC'' Creation'!AG42:AG288,'F-2 Off-Site WaterC'' Creation'!AA42:AA289), IFERROR(_xlfn.XLOOKUP(W37,'F-1 Off-Site WaterC'' Baseline'!AG40:AG287,'F-1 Off-Site WaterC'' Baseline'!T40:T287)," "))</f>
        <v/>
      </c>
      <c r="AD37" s="774">
        <f t="shared" si="5"/>
        <v>0</v>
      </c>
      <c r="AE37" s="1356"/>
      <c r="AF37" s="1356"/>
    </row>
    <row r="38" spans="1:32">
      <c r="A38" s="757">
        <f>'D-1 Off-Site Habitat Baseline'!AF42</f>
        <v>0</v>
      </c>
      <c r="B38" s="764"/>
      <c r="C38" s="762">
        <f>SUMIF('D-1 Off-Site Habitat Baseline'!AF42:AF45,B38,'D-1 Off-Site Habitat Baseline'!T42:T45)</f>
        <v>0</v>
      </c>
      <c r="D38" s="1354">
        <f>SUMIF('D-1 Off-Site Habitat Baseline'!$AF$11:$AF$258,'Off-site gain site summary'!$B$7,'D-1 Off-Site Habitat Baseline'!$X$11:$X$258)</f>
        <v>0</v>
      </c>
      <c r="E38" s="1355"/>
      <c r="F38" s="1354">
        <f>SUMIF('D-3 Off-Site Habitat Enhancment'!$AU$12:$AU$258,'Off-site gain site summary'!B38,'D-3 Off-Site Habitat Enhancment'!$AQ$12:$AQ$258)</f>
        <v>0</v>
      </c>
      <c r="G38" s="1355"/>
      <c r="H38" s="1354">
        <f>SUMIF('D-2 Off-Site Habitat Creation'!$AF$11:$AF$256,'Off-site gain site summary'!B38,'D-2 Off-Site Habitat Creation'!$AB$11:$AB$256)</f>
        <v>0</v>
      </c>
      <c r="I38" s="1355"/>
      <c r="J38" s="765">
        <f t="shared" si="0"/>
        <v>0</v>
      </c>
      <c r="K38" s="762" t="str">
        <f>IFERROR(_xlfn.XLOOKUP(B38,'D-2 Off-Site Habitat Creation'!$AF$11:$AF$256,'D-2 Off-Site Habitat Creation'!$Z$11:$Z$256), IFERROR(_xlfn.XLOOKUP(B38,'D-1 Off-Site Habitat Baseline'!AF42:AF289,'D-1 Off-Site Habitat Baseline'!S42:S289), " "))</f>
        <v/>
      </c>
      <c r="L38" s="766">
        <f t="shared" si="1"/>
        <v>0</v>
      </c>
      <c r="M38" s="757">
        <f>'E-1 Off-Site Hedge Baseline'!AB41</f>
        <v>0</v>
      </c>
      <c r="N38" s="772"/>
      <c r="O38" s="773">
        <f>SUMIF('E-1 Off-Site Hedge Baseline'!AB41:AB288,'Off-site gain site summary'!N38,'E-1 Off-Site Hedge Baseline'!Q41:Q288)</f>
        <v>0</v>
      </c>
      <c r="P38" s="773">
        <f>SUMIF('E-1 Off-Site Hedge Baseline'!$AB$10:$AB$257,'Off-site gain site summary'!$N38,'E-1 Off-Site Hedge Baseline'!$U$10:$U$257)</f>
        <v>0</v>
      </c>
      <c r="Q38" s="773">
        <f>SUMIF('E-3 Off-Site Hedge Enhancement'!$AO$12:$AO$257,'Off-site gain site summary'!$N38,'E-3 Off-Site Hedge Enhancement'!$AK$12:$AK$257)</f>
        <v>0</v>
      </c>
      <c r="R38" s="773">
        <f>SUMIF('E-2 Off-Site Hedge Creation'!$AD$12:$AD$259,'Off-site gain site summary'!$N38,'E-2 Off-Site Hedge Creation'!$Z$12:$Z$259)</f>
        <v>0</v>
      </c>
      <c r="S38" s="771">
        <f t="shared" si="2"/>
        <v>0</v>
      </c>
      <c r="T38" s="771" t="str">
        <f>IFERROR(_xlfn.XLOOKUP(N38,'E-2 Off-Site Hedge Creation'!AD43:AD290,'E-2 Off-Site Hedge Creation'!N43:N290), IFERROR(_xlfn.XLOOKUP(N38,'E-1 Off-Site Hedge Baseline'!AB41:AB288,'E-1 Off-Site Hedge Baseline'!P41:P288), " "))</f>
        <v/>
      </c>
      <c r="U38" s="774">
        <f t="shared" si="3"/>
        <v>0</v>
      </c>
      <c r="V38" s="1">
        <f>'F-1 Off-Site WaterC'' Baseline'!AG41</f>
        <v>0</v>
      </c>
      <c r="W38" s="772"/>
      <c r="X38" s="773">
        <f>SUMIF('F-1 Off-Site WaterC'' Baseline'!$AG$10:$AG$257,'Off-site gain site summary'!$W38,'F-1 Off-Site WaterC'' Baseline'!$U$10:$U$257)</f>
        <v>0</v>
      </c>
      <c r="Y38" s="773">
        <f>SUMIF('F-1 Off-Site WaterC'' Baseline'!$AG$10:$AG$257,'Off-site gain site summary'!$W38,'F-1 Off-Site WaterC'' Baseline'!$Y$10:$Y$257)</f>
        <v>0</v>
      </c>
      <c r="Z38" s="773">
        <f>SUMIF('F-3 Off-Site WaterC Enhancement'!$AT$12:$AT$257,'Off-site gain site summary'!$W38,'F-3 Off-Site WaterC Enhancement'!$AP$12:$AP$257)</f>
        <v>0</v>
      </c>
      <c r="AA38" s="773">
        <f>SUMIF('F-2 Off-Site WaterC'' Creation'!$AG$12:$AG$259,'Off-site gain site summary'!$W38,'F-2 Off-Site WaterC'' Creation'!$AC$12:$AC$259)</f>
        <v>0</v>
      </c>
      <c r="AB38" s="773">
        <f t="shared" si="4"/>
        <v>0</v>
      </c>
      <c r="AC38" s="773" t="str">
        <f>IFERROR(_xlfn.XLOOKUP(W38,'F-2 Off-Site WaterC'' Creation'!AG43:AG289,'F-2 Off-Site WaterC'' Creation'!AA43:AA290), IFERROR(_xlfn.XLOOKUP(W38,'F-1 Off-Site WaterC'' Baseline'!AG41:AG288,'F-1 Off-Site WaterC'' Baseline'!T41:T288)," "))</f>
        <v/>
      </c>
      <c r="AD38" s="774">
        <f t="shared" si="5"/>
        <v>0</v>
      </c>
      <c r="AE38" s="1356"/>
      <c r="AF38" s="1356"/>
    </row>
    <row r="39" spans="1:32">
      <c r="A39" s="757">
        <f>'D-1 Off-Site Habitat Baseline'!AF43</f>
        <v>0</v>
      </c>
      <c r="B39" s="764"/>
      <c r="C39" s="762">
        <f>SUMIF('D-1 Off-Site Habitat Baseline'!AF43:AF46,B39,'D-1 Off-Site Habitat Baseline'!T43:T46)</f>
        <v>0</v>
      </c>
      <c r="D39" s="1354">
        <f>SUMIF('D-1 Off-Site Habitat Baseline'!$AF$11:$AF$258,'Off-site gain site summary'!$B$7,'D-1 Off-Site Habitat Baseline'!$X$11:$X$258)</f>
        <v>0</v>
      </c>
      <c r="E39" s="1355"/>
      <c r="F39" s="1354">
        <f>SUMIF('D-3 Off-Site Habitat Enhancment'!$AU$12:$AU$258,'Off-site gain site summary'!B39,'D-3 Off-Site Habitat Enhancment'!$AQ$12:$AQ$258)</f>
        <v>0</v>
      </c>
      <c r="G39" s="1355"/>
      <c r="H39" s="1354">
        <f>SUMIF('D-2 Off-Site Habitat Creation'!$AF$11:$AF$256,'Off-site gain site summary'!B39,'D-2 Off-Site Habitat Creation'!$AB$11:$AB$256)</f>
        <v>0</v>
      </c>
      <c r="I39" s="1355"/>
      <c r="J39" s="765">
        <f t="shared" si="0"/>
        <v>0</v>
      </c>
      <c r="K39" s="762" t="str">
        <f>IFERROR(_xlfn.XLOOKUP(B39,'D-2 Off-Site Habitat Creation'!$AF$11:$AF$256,'D-2 Off-Site Habitat Creation'!$Z$11:$Z$256), IFERROR(_xlfn.XLOOKUP(B39,'D-1 Off-Site Habitat Baseline'!AF43:AF290,'D-1 Off-Site Habitat Baseline'!S43:S290), " "))</f>
        <v/>
      </c>
      <c r="L39" s="766">
        <f t="shared" si="1"/>
        <v>0</v>
      </c>
      <c r="M39" s="757">
        <f>'E-1 Off-Site Hedge Baseline'!AB42</f>
        <v>0</v>
      </c>
      <c r="N39" s="772"/>
      <c r="O39" s="773">
        <f>SUMIF('E-1 Off-Site Hedge Baseline'!AB42:AB289,'Off-site gain site summary'!N39,'E-1 Off-Site Hedge Baseline'!Q42:Q289)</f>
        <v>0</v>
      </c>
      <c r="P39" s="773">
        <f>SUMIF('E-1 Off-Site Hedge Baseline'!$AB$10:$AB$257,'Off-site gain site summary'!$N39,'E-1 Off-Site Hedge Baseline'!$U$10:$U$257)</f>
        <v>0</v>
      </c>
      <c r="Q39" s="773">
        <f>SUMIF('E-3 Off-Site Hedge Enhancement'!$AO$12:$AO$257,'Off-site gain site summary'!$N39,'E-3 Off-Site Hedge Enhancement'!$AK$12:$AK$257)</f>
        <v>0</v>
      </c>
      <c r="R39" s="773">
        <f>SUMIF('E-2 Off-Site Hedge Creation'!$AD$12:$AD$259,'Off-site gain site summary'!$N39,'E-2 Off-Site Hedge Creation'!$Z$12:$Z$259)</f>
        <v>0</v>
      </c>
      <c r="S39" s="771">
        <f t="shared" si="2"/>
        <v>0</v>
      </c>
      <c r="T39" s="771" t="str">
        <f>IFERROR(_xlfn.XLOOKUP(N39,'E-2 Off-Site Hedge Creation'!AD44:AD291,'E-2 Off-Site Hedge Creation'!N44:N291), IFERROR(_xlfn.XLOOKUP(N39,'E-1 Off-Site Hedge Baseline'!AB42:AB289,'E-1 Off-Site Hedge Baseline'!P42:P289), " "))</f>
        <v/>
      </c>
      <c r="U39" s="774">
        <f t="shared" si="3"/>
        <v>0</v>
      </c>
      <c r="V39" s="1">
        <f>'F-1 Off-Site WaterC'' Baseline'!AG42</f>
        <v>0</v>
      </c>
      <c r="W39" s="772"/>
      <c r="X39" s="773">
        <f>SUMIF('F-1 Off-Site WaterC'' Baseline'!$AG$10:$AG$257,'Off-site gain site summary'!$W39,'F-1 Off-Site WaterC'' Baseline'!$U$10:$U$257)</f>
        <v>0</v>
      </c>
      <c r="Y39" s="773">
        <f>SUMIF('F-1 Off-Site WaterC'' Baseline'!$AG$10:$AG$257,'Off-site gain site summary'!$W39,'F-1 Off-Site WaterC'' Baseline'!$Y$10:$Y$257)</f>
        <v>0</v>
      </c>
      <c r="Z39" s="773">
        <f>SUMIF('F-3 Off-Site WaterC Enhancement'!$AT$12:$AT$257,'Off-site gain site summary'!$W39,'F-3 Off-Site WaterC Enhancement'!$AP$12:$AP$257)</f>
        <v>0</v>
      </c>
      <c r="AA39" s="773">
        <f>SUMIF('F-2 Off-Site WaterC'' Creation'!$AG$12:$AG$259,'Off-site gain site summary'!$W39,'F-2 Off-Site WaterC'' Creation'!$AC$12:$AC$259)</f>
        <v>0</v>
      </c>
      <c r="AB39" s="773">
        <f t="shared" si="4"/>
        <v>0</v>
      </c>
      <c r="AC39" s="773" t="str">
        <f>IFERROR(_xlfn.XLOOKUP(W39,'F-2 Off-Site WaterC'' Creation'!AG44:AG290,'F-2 Off-Site WaterC'' Creation'!AA44:AA291), IFERROR(_xlfn.XLOOKUP(W39,'F-1 Off-Site WaterC'' Baseline'!AG42:AG289,'F-1 Off-Site WaterC'' Baseline'!T42:T289)," "))</f>
        <v/>
      </c>
      <c r="AD39" s="774">
        <f t="shared" si="5"/>
        <v>0</v>
      </c>
      <c r="AE39" s="1356"/>
      <c r="AF39" s="1356"/>
    </row>
    <row r="40" spans="1:32">
      <c r="A40" s="757">
        <f>'D-1 Off-Site Habitat Baseline'!AF44</f>
        <v>0</v>
      </c>
      <c r="B40" s="764"/>
      <c r="C40" s="762">
        <f>SUMIF('D-1 Off-Site Habitat Baseline'!AF44:AF47,B40,'D-1 Off-Site Habitat Baseline'!T44:T47)</f>
        <v>0</v>
      </c>
      <c r="D40" s="1354">
        <f>SUMIF('D-1 Off-Site Habitat Baseline'!$AF$11:$AF$258,'Off-site gain site summary'!$B$7,'D-1 Off-Site Habitat Baseline'!$X$11:$X$258)</f>
        <v>0</v>
      </c>
      <c r="E40" s="1355"/>
      <c r="F40" s="1354">
        <f>SUMIF('D-3 Off-Site Habitat Enhancment'!$AU$12:$AU$258,'Off-site gain site summary'!B40,'D-3 Off-Site Habitat Enhancment'!$AQ$12:$AQ$258)</f>
        <v>0</v>
      </c>
      <c r="G40" s="1355"/>
      <c r="H40" s="1354">
        <f>SUMIF('D-2 Off-Site Habitat Creation'!$AF$11:$AF$256,'Off-site gain site summary'!B40,'D-2 Off-Site Habitat Creation'!$AB$11:$AB$256)</f>
        <v>0</v>
      </c>
      <c r="I40" s="1355"/>
      <c r="J40" s="765">
        <f t="shared" si="0"/>
        <v>0</v>
      </c>
      <c r="K40" s="762" t="str">
        <f>IFERROR(_xlfn.XLOOKUP(B40,'D-2 Off-Site Habitat Creation'!$AF$11:$AF$256,'D-2 Off-Site Habitat Creation'!$Z$11:$Z$256), IFERROR(_xlfn.XLOOKUP(B40,'D-1 Off-Site Habitat Baseline'!AF44:AF291,'D-1 Off-Site Habitat Baseline'!S44:S291), " "))</f>
        <v/>
      </c>
      <c r="L40" s="766">
        <f t="shared" si="1"/>
        <v>0</v>
      </c>
      <c r="M40" s="757">
        <f>'E-1 Off-Site Hedge Baseline'!AB43</f>
        <v>0</v>
      </c>
      <c r="N40" s="772"/>
      <c r="O40" s="773">
        <f>SUMIF('E-1 Off-Site Hedge Baseline'!AB43:AB290,'Off-site gain site summary'!N40,'E-1 Off-Site Hedge Baseline'!Q43:Q290)</f>
        <v>0</v>
      </c>
      <c r="P40" s="773">
        <f>SUMIF('E-1 Off-Site Hedge Baseline'!$AB$10:$AB$257,'Off-site gain site summary'!$N40,'E-1 Off-Site Hedge Baseline'!$U$10:$U$257)</f>
        <v>0</v>
      </c>
      <c r="Q40" s="773">
        <f>SUMIF('E-3 Off-Site Hedge Enhancement'!$AO$12:$AO$257,'Off-site gain site summary'!$N40,'E-3 Off-Site Hedge Enhancement'!$AK$12:$AK$257)</f>
        <v>0</v>
      </c>
      <c r="R40" s="773">
        <f>SUMIF('E-2 Off-Site Hedge Creation'!$AD$12:$AD$259,'Off-site gain site summary'!$N40,'E-2 Off-Site Hedge Creation'!$Z$12:$Z$259)</f>
        <v>0</v>
      </c>
      <c r="S40" s="771">
        <f t="shared" si="2"/>
        <v>0</v>
      </c>
      <c r="T40" s="771" t="str">
        <f>IFERROR(_xlfn.XLOOKUP(N40,'E-2 Off-Site Hedge Creation'!AD45:AD292,'E-2 Off-Site Hedge Creation'!N45:N292), IFERROR(_xlfn.XLOOKUP(N40,'E-1 Off-Site Hedge Baseline'!AB43:AB290,'E-1 Off-Site Hedge Baseline'!P43:P290), " "))</f>
        <v/>
      </c>
      <c r="U40" s="774">
        <f t="shared" si="3"/>
        <v>0</v>
      </c>
      <c r="V40" s="1">
        <f>'F-1 Off-Site WaterC'' Baseline'!AG43</f>
        <v>0</v>
      </c>
      <c r="W40" s="772"/>
      <c r="X40" s="773">
        <f>SUMIF('F-1 Off-Site WaterC'' Baseline'!$AG$10:$AG$257,'Off-site gain site summary'!$W40,'F-1 Off-Site WaterC'' Baseline'!$U$10:$U$257)</f>
        <v>0</v>
      </c>
      <c r="Y40" s="773">
        <f>SUMIF('F-1 Off-Site WaterC'' Baseline'!$AG$10:$AG$257,'Off-site gain site summary'!$W40,'F-1 Off-Site WaterC'' Baseline'!$Y$10:$Y$257)</f>
        <v>0</v>
      </c>
      <c r="Z40" s="773">
        <f>SUMIF('F-3 Off-Site WaterC Enhancement'!$AT$12:$AT$257,'Off-site gain site summary'!$W40,'F-3 Off-Site WaterC Enhancement'!$AP$12:$AP$257)</f>
        <v>0</v>
      </c>
      <c r="AA40" s="773">
        <f>SUMIF('F-2 Off-Site WaterC'' Creation'!$AG$12:$AG$259,'Off-site gain site summary'!$W40,'F-2 Off-Site WaterC'' Creation'!$AC$12:$AC$259)</f>
        <v>0</v>
      </c>
      <c r="AB40" s="773">
        <f t="shared" si="4"/>
        <v>0</v>
      </c>
      <c r="AC40" s="773" t="str">
        <f>IFERROR(_xlfn.XLOOKUP(W40,'F-2 Off-Site WaterC'' Creation'!AG45:AG291,'F-2 Off-Site WaterC'' Creation'!AA45:AA292), IFERROR(_xlfn.XLOOKUP(W40,'F-1 Off-Site WaterC'' Baseline'!AG43:AG290,'F-1 Off-Site WaterC'' Baseline'!T43:T290)," "))</f>
        <v/>
      </c>
      <c r="AD40" s="774">
        <f t="shared" si="5"/>
        <v>0</v>
      </c>
      <c r="AE40" s="1356"/>
      <c r="AF40" s="1356"/>
    </row>
    <row r="41" spans="1:32">
      <c r="A41" s="757">
        <f>'D-1 Off-Site Habitat Baseline'!AF45</f>
        <v>0</v>
      </c>
      <c r="B41" s="764"/>
      <c r="C41" s="762">
        <f>SUMIF('D-1 Off-Site Habitat Baseline'!AF45:AF48,B41,'D-1 Off-Site Habitat Baseline'!T45:T48)</f>
        <v>0</v>
      </c>
      <c r="D41" s="1354">
        <f>SUMIF('D-1 Off-Site Habitat Baseline'!$AF$11:$AF$258,'Off-site gain site summary'!$B$7,'D-1 Off-Site Habitat Baseline'!$X$11:$X$258)</f>
        <v>0</v>
      </c>
      <c r="E41" s="1355"/>
      <c r="F41" s="1354">
        <f>SUMIF('D-3 Off-Site Habitat Enhancment'!$AU$12:$AU$258,'Off-site gain site summary'!B41,'D-3 Off-Site Habitat Enhancment'!$AQ$12:$AQ$258)</f>
        <v>0</v>
      </c>
      <c r="G41" s="1355"/>
      <c r="H41" s="1354">
        <f>SUMIF('D-2 Off-Site Habitat Creation'!$AF$11:$AF$256,'Off-site gain site summary'!B41,'D-2 Off-Site Habitat Creation'!$AB$11:$AB$256)</f>
        <v>0</v>
      </c>
      <c r="I41" s="1355"/>
      <c r="J41" s="765">
        <f t="shared" si="0"/>
        <v>0</v>
      </c>
      <c r="K41" s="762" t="str">
        <f>IFERROR(_xlfn.XLOOKUP(B41,'D-2 Off-Site Habitat Creation'!$AF$11:$AF$256,'D-2 Off-Site Habitat Creation'!$Z$11:$Z$256), IFERROR(_xlfn.XLOOKUP(B41,'D-1 Off-Site Habitat Baseline'!AF45:AF292,'D-1 Off-Site Habitat Baseline'!S45:S292), " "))</f>
        <v/>
      </c>
      <c r="L41" s="766">
        <f t="shared" si="1"/>
        <v>0</v>
      </c>
      <c r="M41" s="757">
        <f>'E-1 Off-Site Hedge Baseline'!AB44</f>
        <v>0</v>
      </c>
      <c r="N41" s="772"/>
      <c r="O41" s="773">
        <f>SUMIF('E-1 Off-Site Hedge Baseline'!AB44:AB291,'Off-site gain site summary'!N41,'E-1 Off-Site Hedge Baseline'!Q44:Q291)</f>
        <v>0</v>
      </c>
      <c r="P41" s="773">
        <f>SUMIF('E-1 Off-Site Hedge Baseline'!$AB$10:$AB$257,'Off-site gain site summary'!$N41,'E-1 Off-Site Hedge Baseline'!$U$10:$U$257)</f>
        <v>0</v>
      </c>
      <c r="Q41" s="773">
        <f>SUMIF('E-3 Off-Site Hedge Enhancement'!$AO$12:$AO$257,'Off-site gain site summary'!$N41,'E-3 Off-Site Hedge Enhancement'!$AK$12:$AK$257)</f>
        <v>0</v>
      </c>
      <c r="R41" s="773">
        <f>SUMIF('E-2 Off-Site Hedge Creation'!$AD$12:$AD$259,'Off-site gain site summary'!$N41,'E-2 Off-Site Hedge Creation'!$Z$12:$Z$259)</f>
        <v>0</v>
      </c>
      <c r="S41" s="771">
        <f t="shared" si="2"/>
        <v>0</v>
      </c>
      <c r="T41" s="771" t="str">
        <f>IFERROR(_xlfn.XLOOKUP(N41,'E-2 Off-Site Hedge Creation'!AD46:AD293,'E-2 Off-Site Hedge Creation'!N46:N293), IFERROR(_xlfn.XLOOKUP(N41,'E-1 Off-Site Hedge Baseline'!AB44:AB291,'E-1 Off-Site Hedge Baseline'!P44:P291), " "))</f>
        <v/>
      </c>
      <c r="U41" s="774">
        <f t="shared" si="3"/>
        <v>0</v>
      </c>
      <c r="V41" s="1">
        <f>'F-1 Off-Site WaterC'' Baseline'!AG44</f>
        <v>0</v>
      </c>
      <c r="W41" s="772"/>
      <c r="X41" s="773">
        <f>SUMIF('F-1 Off-Site WaterC'' Baseline'!$AG$10:$AG$257,'Off-site gain site summary'!$W41,'F-1 Off-Site WaterC'' Baseline'!$U$10:$U$257)</f>
        <v>0</v>
      </c>
      <c r="Y41" s="773">
        <f>SUMIF('F-1 Off-Site WaterC'' Baseline'!$AG$10:$AG$257,'Off-site gain site summary'!$W41,'F-1 Off-Site WaterC'' Baseline'!$Y$10:$Y$257)</f>
        <v>0</v>
      </c>
      <c r="Z41" s="773">
        <f>SUMIF('F-3 Off-Site WaterC Enhancement'!$AT$12:$AT$257,'Off-site gain site summary'!$W41,'F-3 Off-Site WaterC Enhancement'!$AP$12:$AP$257)</f>
        <v>0</v>
      </c>
      <c r="AA41" s="773">
        <f>SUMIF('F-2 Off-Site WaterC'' Creation'!$AG$12:$AG$259,'Off-site gain site summary'!$W41,'F-2 Off-Site WaterC'' Creation'!$AC$12:$AC$259)</f>
        <v>0</v>
      </c>
      <c r="AB41" s="773">
        <f t="shared" si="4"/>
        <v>0</v>
      </c>
      <c r="AC41" s="773" t="str">
        <f>IFERROR(_xlfn.XLOOKUP(W41,'F-2 Off-Site WaterC'' Creation'!AG46:AG292,'F-2 Off-Site WaterC'' Creation'!AA46:AA293), IFERROR(_xlfn.XLOOKUP(W41,'F-1 Off-Site WaterC'' Baseline'!AG44:AG291,'F-1 Off-Site WaterC'' Baseline'!T44:T291)," "))</f>
        <v/>
      </c>
      <c r="AD41" s="774">
        <f t="shared" si="5"/>
        <v>0</v>
      </c>
      <c r="AE41" s="1356"/>
      <c r="AF41" s="1356"/>
    </row>
    <row r="42" spans="1:32">
      <c r="A42" s="757">
        <f>'D-1 Off-Site Habitat Baseline'!AF46</f>
        <v>0</v>
      </c>
      <c r="B42" s="764"/>
      <c r="C42" s="762">
        <f>SUMIF('D-1 Off-Site Habitat Baseline'!AF46:AF49,B42,'D-1 Off-Site Habitat Baseline'!T46:T49)</f>
        <v>0</v>
      </c>
      <c r="D42" s="1354">
        <f>SUMIF('D-1 Off-Site Habitat Baseline'!$AF$11:$AF$258,'Off-site gain site summary'!$B$7,'D-1 Off-Site Habitat Baseline'!$X$11:$X$258)</f>
        <v>0</v>
      </c>
      <c r="E42" s="1355"/>
      <c r="F42" s="1354">
        <f>SUMIF('D-3 Off-Site Habitat Enhancment'!$AU$12:$AU$258,'Off-site gain site summary'!B42,'D-3 Off-Site Habitat Enhancment'!$AQ$12:$AQ$258)</f>
        <v>0</v>
      </c>
      <c r="G42" s="1355"/>
      <c r="H42" s="1354">
        <f>SUMIF('D-2 Off-Site Habitat Creation'!$AF$11:$AF$256,'Off-site gain site summary'!B42,'D-2 Off-Site Habitat Creation'!$AB$11:$AB$256)</f>
        <v>0</v>
      </c>
      <c r="I42" s="1355"/>
      <c r="J42" s="765">
        <f t="shared" si="0"/>
        <v>0</v>
      </c>
      <c r="K42" s="762" t="str">
        <f>IFERROR(_xlfn.XLOOKUP(B42,'D-2 Off-Site Habitat Creation'!$AF$11:$AF$256,'D-2 Off-Site Habitat Creation'!$Z$11:$Z$256), IFERROR(_xlfn.XLOOKUP(B42,'D-1 Off-Site Habitat Baseline'!AF46:AF293,'D-1 Off-Site Habitat Baseline'!S46:S293), " "))</f>
        <v/>
      </c>
      <c r="L42" s="766">
        <f t="shared" si="1"/>
        <v>0</v>
      </c>
      <c r="M42" s="757">
        <f>'E-1 Off-Site Hedge Baseline'!AB45</f>
        <v>0</v>
      </c>
      <c r="N42" s="772"/>
      <c r="O42" s="773">
        <f>SUMIF('E-1 Off-Site Hedge Baseline'!AB45:AB292,'Off-site gain site summary'!N42,'E-1 Off-Site Hedge Baseline'!Q45:Q292)</f>
        <v>0</v>
      </c>
      <c r="P42" s="773">
        <f>SUMIF('E-1 Off-Site Hedge Baseline'!$AB$10:$AB$257,'Off-site gain site summary'!$N42,'E-1 Off-Site Hedge Baseline'!$U$10:$U$257)</f>
        <v>0</v>
      </c>
      <c r="Q42" s="773">
        <f>SUMIF('E-3 Off-Site Hedge Enhancement'!$AO$12:$AO$257,'Off-site gain site summary'!$N42,'E-3 Off-Site Hedge Enhancement'!$AK$12:$AK$257)</f>
        <v>0</v>
      </c>
      <c r="R42" s="773">
        <f>SUMIF('E-2 Off-Site Hedge Creation'!$AD$12:$AD$259,'Off-site gain site summary'!$N42,'E-2 Off-Site Hedge Creation'!$Z$12:$Z$259)</f>
        <v>0</v>
      </c>
      <c r="S42" s="771">
        <f t="shared" si="2"/>
        <v>0</v>
      </c>
      <c r="T42" s="771" t="str">
        <f>IFERROR(_xlfn.XLOOKUP(N42,'E-2 Off-Site Hedge Creation'!AD47:AD294,'E-2 Off-Site Hedge Creation'!N47:N294), IFERROR(_xlfn.XLOOKUP(N42,'E-1 Off-Site Hedge Baseline'!AB45:AB292,'E-1 Off-Site Hedge Baseline'!P45:P292), " "))</f>
        <v/>
      </c>
      <c r="U42" s="774">
        <f t="shared" si="3"/>
        <v>0</v>
      </c>
      <c r="V42" s="1">
        <f>'F-1 Off-Site WaterC'' Baseline'!AG45</f>
        <v>0</v>
      </c>
      <c r="W42" s="772"/>
      <c r="X42" s="773">
        <f>SUMIF('F-1 Off-Site WaterC'' Baseline'!$AG$10:$AG$257,'Off-site gain site summary'!$W42,'F-1 Off-Site WaterC'' Baseline'!$U$10:$U$257)</f>
        <v>0</v>
      </c>
      <c r="Y42" s="773">
        <f>SUMIF('F-1 Off-Site WaterC'' Baseline'!$AG$10:$AG$257,'Off-site gain site summary'!$W42,'F-1 Off-Site WaterC'' Baseline'!$Y$10:$Y$257)</f>
        <v>0</v>
      </c>
      <c r="Z42" s="773">
        <f>SUMIF('F-3 Off-Site WaterC Enhancement'!$AT$12:$AT$257,'Off-site gain site summary'!$W42,'F-3 Off-Site WaterC Enhancement'!$AP$12:$AP$257)</f>
        <v>0</v>
      </c>
      <c r="AA42" s="773">
        <f>SUMIF('F-2 Off-Site WaterC'' Creation'!$AG$12:$AG$259,'Off-site gain site summary'!$W42,'F-2 Off-Site WaterC'' Creation'!$AC$12:$AC$259)</f>
        <v>0</v>
      </c>
      <c r="AB42" s="773">
        <f t="shared" si="4"/>
        <v>0</v>
      </c>
      <c r="AC42" s="773" t="str">
        <f>IFERROR(_xlfn.XLOOKUP(W42,'F-2 Off-Site WaterC'' Creation'!AG47:AG293,'F-2 Off-Site WaterC'' Creation'!AA47:AA294), IFERROR(_xlfn.XLOOKUP(W42,'F-1 Off-Site WaterC'' Baseline'!AG45:AG292,'F-1 Off-Site WaterC'' Baseline'!T45:T292)," "))</f>
        <v/>
      </c>
      <c r="AD42" s="774">
        <f t="shared" si="5"/>
        <v>0</v>
      </c>
      <c r="AE42" s="1356"/>
      <c r="AF42" s="1356"/>
    </row>
    <row r="43" spans="1:32">
      <c r="A43" s="757">
        <f>'D-1 Off-Site Habitat Baseline'!AF47</f>
        <v>0</v>
      </c>
      <c r="B43" s="764"/>
      <c r="C43" s="762">
        <f>SUMIF('D-1 Off-Site Habitat Baseline'!AF47:AF50,B43,'D-1 Off-Site Habitat Baseline'!T47:T50)</f>
        <v>0</v>
      </c>
      <c r="D43" s="1354">
        <f>SUMIF('D-1 Off-Site Habitat Baseline'!$AF$11:$AF$258,'Off-site gain site summary'!$B$7,'D-1 Off-Site Habitat Baseline'!$X$11:$X$258)</f>
        <v>0</v>
      </c>
      <c r="E43" s="1355"/>
      <c r="F43" s="1354">
        <f>SUMIF('D-3 Off-Site Habitat Enhancment'!$AU$12:$AU$258,'Off-site gain site summary'!B43,'D-3 Off-Site Habitat Enhancment'!$AQ$12:$AQ$258)</f>
        <v>0</v>
      </c>
      <c r="G43" s="1355"/>
      <c r="H43" s="1354">
        <f>SUMIF('D-2 Off-Site Habitat Creation'!$AF$11:$AF$256,'Off-site gain site summary'!B43,'D-2 Off-Site Habitat Creation'!$AB$11:$AB$256)</f>
        <v>0</v>
      </c>
      <c r="I43" s="1355"/>
      <c r="J43" s="765">
        <f t="shared" si="0"/>
        <v>0</v>
      </c>
      <c r="K43" s="762" t="str">
        <f>IFERROR(_xlfn.XLOOKUP(B43,'D-2 Off-Site Habitat Creation'!$AF$11:$AF$256,'D-2 Off-Site Habitat Creation'!$Z$11:$Z$256), IFERROR(_xlfn.XLOOKUP(B43,'D-1 Off-Site Habitat Baseline'!AF47:AF294,'D-1 Off-Site Habitat Baseline'!S47:S294), " "))</f>
        <v/>
      </c>
      <c r="L43" s="766">
        <f t="shared" si="1"/>
        <v>0</v>
      </c>
      <c r="M43" s="757">
        <f>'E-1 Off-Site Hedge Baseline'!AB46</f>
        <v>0</v>
      </c>
      <c r="N43" s="772"/>
      <c r="O43" s="773">
        <f>SUMIF('E-1 Off-Site Hedge Baseline'!AB46:AB293,'Off-site gain site summary'!N43,'E-1 Off-Site Hedge Baseline'!Q46:Q293)</f>
        <v>0</v>
      </c>
      <c r="P43" s="773">
        <f>SUMIF('E-1 Off-Site Hedge Baseline'!$AB$10:$AB$257,'Off-site gain site summary'!$N43,'E-1 Off-Site Hedge Baseline'!$U$10:$U$257)</f>
        <v>0</v>
      </c>
      <c r="Q43" s="773">
        <f>SUMIF('E-3 Off-Site Hedge Enhancement'!$AO$12:$AO$257,'Off-site gain site summary'!$N43,'E-3 Off-Site Hedge Enhancement'!$AK$12:$AK$257)</f>
        <v>0</v>
      </c>
      <c r="R43" s="773">
        <f>SUMIF('E-2 Off-Site Hedge Creation'!$AD$12:$AD$259,'Off-site gain site summary'!$N43,'E-2 Off-Site Hedge Creation'!$Z$12:$Z$259)</f>
        <v>0</v>
      </c>
      <c r="S43" s="771">
        <f t="shared" si="2"/>
        <v>0</v>
      </c>
      <c r="T43" s="771" t="str">
        <f>IFERROR(_xlfn.XLOOKUP(N43,'E-2 Off-Site Hedge Creation'!AD48:AD295,'E-2 Off-Site Hedge Creation'!N48:N295), IFERROR(_xlfn.XLOOKUP(N43,'E-1 Off-Site Hedge Baseline'!AB46:AB293,'E-1 Off-Site Hedge Baseline'!P46:P293), " "))</f>
        <v/>
      </c>
      <c r="U43" s="774">
        <f t="shared" si="3"/>
        <v>0</v>
      </c>
      <c r="V43" s="1">
        <f>'F-1 Off-Site WaterC'' Baseline'!AG46</f>
        <v>0</v>
      </c>
      <c r="W43" s="772"/>
      <c r="X43" s="773">
        <f>SUMIF('F-1 Off-Site WaterC'' Baseline'!$AG$10:$AG$257,'Off-site gain site summary'!$W43,'F-1 Off-Site WaterC'' Baseline'!$U$10:$U$257)</f>
        <v>0</v>
      </c>
      <c r="Y43" s="773">
        <f>SUMIF('F-1 Off-Site WaterC'' Baseline'!$AG$10:$AG$257,'Off-site gain site summary'!$W43,'F-1 Off-Site WaterC'' Baseline'!$Y$10:$Y$257)</f>
        <v>0</v>
      </c>
      <c r="Z43" s="773">
        <f>SUMIF('F-3 Off-Site WaterC Enhancement'!$AT$12:$AT$257,'Off-site gain site summary'!$W43,'F-3 Off-Site WaterC Enhancement'!$AP$12:$AP$257)</f>
        <v>0</v>
      </c>
      <c r="AA43" s="773">
        <f>SUMIF('F-2 Off-Site WaterC'' Creation'!$AG$12:$AG$259,'Off-site gain site summary'!$W43,'F-2 Off-Site WaterC'' Creation'!$AC$12:$AC$259)</f>
        <v>0</v>
      </c>
      <c r="AB43" s="773">
        <f t="shared" si="4"/>
        <v>0</v>
      </c>
      <c r="AC43" s="773" t="str">
        <f>IFERROR(_xlfn.XLOOKUP(W43,'F-2 Off-Site WaterC'' Creation'!AG48:AG294,'F-2 Off-Site WaterC'' Creation'!AA48:AA295), IFERROR(_xlfn.XLOOKUP(W43,'F-1 Off-Site WaterC'' Baseline'!AG46:AG293,'F-1 Off-Site WaterC'' Baseline'!T46:T293)," "))</f>
        <v/>
      </c>
      <c r="AD43" s="774">
        <f t="shared" si="5"/>
        <v>0</v>
      </c>
      <c r="AE43" s="1356"/>
      <c r="AF43" s="1356"/>
    </row>
    <row r="44" spans="1:32">
      <c r="A44" s="757">
        <f>'D-1 Off-Site Habitat Baseline'!AF48</f>
        <v>0</v>
      </c>
      <c r="B44" s="764"/>
      <c r="C44" s="762">
        <f>SUMIF('D-1 Off-Site Habitat Baseline'!AF48:AF51,B44,'D-1 Off-Site Habitat Baseline'!T48:T51)</f>
        <v>0</v>
      </c>
      <c r="D44" s="1354">
        <f>SUMIF('D-1 Off-Site Habitat Baseline'!$AF$11:$AF$258,'Off-site gain site summary'!$B$7,'D-1 Off-Site Habitat Baseline'!$X$11:$X$258)</f>
        <v>0</v>
      </c>
      <c r="E44" s="1355"/>
      <c r="F44" s="1354">
        <f>SUMIF('D-3 Off-Site Habitat Enhancment'!$AU$12:$AU$258,'Off-site gain site summary'!B44,'D-3 Off-Site Habitat Enhancment'!$AQ$12:$AQ$258)</f>
        <v>0</v>
      </c>
      <c r="G44" s="1355"/>
      <c r="H44" s="1354">
        <f>SUMIF('D-2 Off-Site Habitat Creation'!$AF$11:$AF$256,'Off-site gain site summary'!B44,'D-2 Off-Site Habitat Creation'!$AB$11:$AB$256)</f>
        <v>0</v>
      </c>
      <c r="I44" s="1355"/>
      <c r="J44" s="765">
        <f t="shared" si="0"/>
        <v>0</v>
      </c>
      <c r="K44" s="762" t="str">
        <f>IFERROR(_xlfn.XLOOKUP(B44,'D-2 Off-Site Habitat Creation'!$AF$11:$AF$256,'D-2 Off-Site Habitat Creation'!$Z$11:$Z$256), IFERROR(_xlfn.XLOOKUP(B44,'D-1 Off-Site Habitat Baseline'!AF48:AF295,'D-1 Off-Site Habitat Baseline'!S48:S295), " "))</f>
        <v/>
      </c>
      <c r="L44" s="766">
        <f t="shared" si="1"/>
        <v>0</v>
      </c>
      <c r="M44" s="757">
        <f>'E-1 Off-Site Hedge Baseline'!AB47</f>
        <v>0</v>
      </c>
      <c r="N44" s="772"/>
      <c r="O44" s="773">
        <f>SUMIF('E-1 Off-Site Hedge Baseline'!AB47:AB294,'Off-site gain site summary'!N44,'E-1 Off-Site Hedge Baseline'!Q47:Q294)</f>
        <v>0</v>
      </c>
      <c r="P44" s="773">
        <f>SUMIF('E-1 Off-Site Hedge Baseline'!$AB$10:$AB$257,'Off-site gain site summary'!$N44,'E-1 Off-Site Hedge Baseline'!$U$10:$U$257)</f>
        <v>0</v>
      </c>
      <c r="Q44" s="773">
        <f>SUMIF('E-3 Off-Site Hedge Enhancement'!$AO$12:$AO$257,'Off-site gain site summary'!$N44,'E-3 Off-Site Hedge Enhancement'!$AK$12:$AK$257)</f>
        <v>0</v>
      </c>
      <c r="R44" s="773">
        <f>SUMIF('E-2 Off-Site Hedge Creation'!$AD$12:$AD$259,'Off-site gain site summary'!$N44,'E-2 Off-Site Hedge Creation'!$Z$12:$Z$259)</f>
        <v>0</v>
      </c>
      <c r="S44" s="771">
        <f t="shared" si="2"/>
        <v>0</v>
      </c>
      <c r="T44" s="771" t="str">
        <f>IFERROR(_xlfn.XLOOKUP(N44,'E-2 Off-Site Hedge Creation'!AD49:AD296,'E-2 Off-Site Hedge Creation'!N49:N296), IFERROR(_xlfn.XLOOKUP(N44,'E-1 Off-Site Hedge Baseline'!AB47:AB294,'E-1 Off-Site Hedge Baseline'!P47:P294), " "))</f>
        <v/>
      </c>
      <c r="U44" s="774">
        <f t="shared" si="3"/>
        <v>0</v>
      </c>
      <c r="V44" s="1">
        <f>'F-1 Off-Site WaterC'' Baseline'!AG47</f>
        <v>0</v>
      </c>
      <c r="W44" s="772"/>
      <c r="X44" s="773">
        <f>SUMIF('F-1 Off-Site WaterC'' Baseline'!$AG$10:$AG$257,'Off-site gain site summary'!$W44,'F-1 Off-Site WaterC'' Baseline'!$U$10:$U$257)</f>
        <v>0</v>
      </c>
      <c r="Y44" s="773">
        <f>SUMIF('F-1 Off-Site WaterC'' Baseline'!$AG$10:$AG$257,'Off-site gain site summary'!$W44,'F-1 Off-Site WaterC'' Baseline'!$Y$10:$Y$257)</f>
        <v>0</v>
      </c>
      <c r="Z44" s="773">
        <f>SUMIF('F-3 Off-Site WaterC Enhancement'!$AT$12:$AT$257,'Off-site gain site summary'!$W44,'F-3 Off-Site WaterC Enhancement'!$AP$12:$AP$257)</f>
        <v>0</v>
      </c>
      <c r="AA44" s="773">
        <f>SUMIF('F-2 Off-Site WaterC'' Creation'!$AG$12:$AG$259,'Off-site gain site summary'!$W44,'F-2 Off-Site WaterC'' Creation'!$AC$12:$AC$259)</f>
        <v>0</v>
      </c>
      <c r="AB44" s="773">
        <f t="shared" si="4"/>
        <v>0</v>
      </c>
      <c r="AC44" s="773" t="str">
        <f>IFERROR(_xlfn.XLOOKUP(W44,'F-2 Off-Site WaterC'' Creation'!AG49:AG295,'F-2 Off-Site WaterC'' Creation'!AA49:AA296), IFERROR(_xlfn.XLOOKUP(W44,'F-1 Off-Site WaterC'' Baseline'!AG47:AG294,'F-1 Off-Site WaterC'' Baseline'!T47:T294)," "))</f>
        <v/>
      </c>
      <c r="AD44" s="774">
        <f t="shared" si="5"/>
        <v>0</v>
      </c>
      <c r="AE44" s="1356"/>
      <c r="AF44" s="1356"/>
    </row>
    <row r="45" spans="1:32">
      <c r="A45" s="757">
        <f>'D-1 Off-Site Habitat Baseline'!AF49</f>
        <v>0</v>
      </c>
      <c r="B45" s="764"/>
      <c r="C45" s="762">
        <f>SUMIF('D-1 Off-Site Habitat Baseline'!AF49:AF52,B45,'D-1 Off-Site Habitat Baseline'!T49:T52)</f>
        <v>0</v>
      </c>
      <c r="D45" s="1354">
        <f>SUMIF('D-1 Off-Site Habitat Baseline'!$AF$11:$AF$258,'Off-site gain site summary'!$B$7,'D-1 Off-Site Habitat Baseline'!$X$11:$X$258)</f>
        <v>0</v>
      </c>
      <c r="E45" s="1355"/>
      <c r="F45" s="1354">
        <f>SUMIF('D-3 Off-Site Habitat Enhancment'!$AU$12:$AU$258,'Off-site gain site summary'!B45,'D-3 Off-Site Habitat Enhancment'!$AQ$12:$AQ$258)</f>
        <v>0</v>
      </c>
      <c r="G45" s="1355"/>
      <c r="H45" s="1354">
        <f>SUMIF('D-2 Off-Site Habitat Creation'!$AF$11:$AF$256,'Off-site gain site summary'!B45,'D-2 Off-Site Habitat Creation'!$AB$11:$AB$256)</f>
        <v>0</v>
      </c>
      <c r="I45" s="1355"/>
      <c r="J45" s="765">
        <f t="shared" si="0"/>
        <v>0</v>
      </c>
      <c r="K45" s="762" t="str">
        <f>IFERROR(_xlfn.XLOOKUP(B45,'D-2 Off-Site Habitat Creation'!$AF$11:$AF$256,'D-2 Off-Site Habitat Creation'!$Z$11:$Z$256), IFERROR(_xlfn.XLOOKUP(B45,'D-1 Off-Site Habitat Baseline'!AF49:AF296,'D-1 Off-Site Habitat Baseline'!S49:S296), " "))</f>
        <v/>
      </c>
      <c r="L45" s="766">
        <f t="shared" si="1"/>
        <v>0</v>
      </c>
      <c r="M45" s="757">
        <f>'E-1 Off-Site Hedge Baseline'!AB48</f>
        <v>0</v>
      </c>
      <c r="N45" s="772"/>
      <c r="O45" s="773">
        <f>SUMIF('E-1 Off-Site Hedge Baseline'!AB48:AB295,'Off-site gain site summary'!N45,'E-1 Off-Site Hedge Baseline'!Q48:Q295)</f>
        <v>0</v>
      </c>
      <c r="P45" s="773">
        <f>SUMIF('E-1 Off-Site Hedge Baseline'!$AB$10:$AB$257,'Off-site gain site summary'!$N45,'E-1 Off-Site Hedge Baseline'!$U$10:$U$257)</f>
        <v>0</v>
      </c>
      <c r="Q45" s="773">
        <f>SUMIF('E-3 Off-Site Hedge Enhancement'!$AO$12:$AO$257,'Off-site gain site summary'!$N45,'E-3 Off-Site Hedge Enhancement'!$AK$12:$AK$257)</f>
        <v>0</v>
      </c>
      <c r="R45" s="773">
        <f>SUMIF('E-2 Off-Site Hedge Creation'!$AD$12:$AD$259,'Off-site gain site summary'!$N45,'E-2 Off-Site Hedge Creation'!$Z$12:$Z$259)</f>
        <v>0</v>
      </c>
      <c r="S45" s="771">
        <f t="shared" si="2"/>
        <v>0</v>
      </c>
      <c r="T45" s="771" t="str">
        <f>IFERROR(_xlfn.XLOOKUP(N45,'E-2 Off-Site Hedge Creation'!AD50:AD297,'E-2 Off-Site Hedge Creation'!N50:N297), IFERROR(_xlfn.XLOOKUP(N45,'E-1 Off-Site Hedge Baseline'!AB48:AB295,'E-1 Off-Site Hedge Baseline'!P48:P295), " "))</f>
        <v/>
      </c>
      <c r="U45" s="774">
        <f t="shared" si="3"/>
        <v>0</v>
      </c>
      <c r="V45" s="1">
        <f>'F-1 Off-Site WaterC'' Baseline'!AG48</f>
        <v>0</v>
      </c>
      <c r="W45" s="772"/>
      <c r="X45" s="773">
        <f>SUMIF('F-1 Off-Site WaterC'' Baseline'!$AG$10:$AG$257,'Off-site gain site summary'!$W45,'F-1 Off-Site WaterC'' Baseline'!$U$10:$U$257)</f>
        <v>0</v>
      </c>
      <c r="Y45" s="773">
        <f>SUMIF('F-1 Off-Site WaterC'' Baseline'!$AG$10:$AG$257,'Off-site gain site summary'!$W45,'F-1 Off-Site WaterC'' Baseline'!$Y$10:$Y$257)</f>
        <v>0</v>
      </c>
      <c r="Z45" s="773">
        <f>SUMIF('F-3 Off-Site WaterC Enhancement'!$AT$12:$AT$257,'Off-site gain site summary'!$W45,'F-3 Off-Site WaterC Enhancement'!$AP$12:$AP$257)</f>
        <v>0</v>
      </c>
      <c r="AA45" s="773">
        <f>SUMIF('F-2 Off-Site WaterC'' Creation'!$AG$12:$AG$259,'Off-site gain site summary'!$W45,'F-2 Off-Site WaterC'' Creation'!$AC$12:$AC$259)</f>
        <v>0</v>
      </c>
      <c r="AB45" s="773">
        <f t="shared" si="4"/>
        <v>0</v>
      </c>
      <c r="AC45" s="773" t="str">
        <f>IFERROR(_xlfn.XLOOKUP(W45,'F-2 Off-Site WaterC'' Creation'!AG50:AG296,'F-2 Off-Site WaterC'' Creation'!AA50:AA297), IFERROR(_xlfn.XLOOKUP(W45,'F-1 Off-Site WaterC'' Baseline'!AG48:AG295,'F-1 Off-Site WaterC'' Baseline'!T48:T295)," "))</f>
        <v/>
      </c>
      <c r="AD45" s="774">
        <f t="shared" si="5"/>
        <v>0</v>
      </c>
      <c r="AE45" s="1356"/>
      <c r="AF45" s="1356"/>
    </row>
    <row r="46" spans="1:32">
      <c r="A46" s="757">
        <f>'D-1 Off-Site Habitat Baseline'!AF50</f>
        <v>0</v>
      </c>
      <c r="B46" s="764"/>
      <c r="C46" s="762">
        <f>SUMIF('D-1 Off-Site Habitat Baseline'!AF50:AF53,B46,'D-1 Off-Site Habitat Baseline'!T50:T53)</f>
        <v>0</v>
      </c>
      <c r="D46" s="1354">
        <f>SUMIF('D-1 Off-Site Habitat Baseline'!$AF$11:$AF$258,'Off-site gain site summary'!$B$7,'D-1 Off-Site Habitat Baseline'!$X$11:$X$258)</f>
        <v>0</v>
      </c>
      <c r="E46" s="1355"/>
      <c r="F46" s="1354">
        <f>SUMIF('D-3 Off-Site Habitat Enhancment'!$AU$12:$AU$258,'Off-site gain site summary'!B46,'D-3 Off-Site Habitat Enhancment'!$AQ$12:$AQ$258)</f>
        <v>0</v>
      </c>
      <c r="G46" s="1355"/>
      <c r="H46" s="1354">
        <f>SUMIF('D-2 Off-Site Habitat Creation'!$AF$11:$AF$256,'Off-site gain site summary'!B46,'D-2 Off-Site Habitat Creation'!$AB$11:$AB$256)</f>
        <v>0</v>
      </c>
      <c r="I46" s="1355"/>
      <c r="J46" s="765">
        <f t="shared" si="0"/>
        <v>0</v>
      </c>
      <c r="K46" s="762" t="str">
        <f>IFERROR(_xlfn.XLOOKUP(B46,'D-2 Off-Site Habitat Creation'!$AF$11:$AF$256,'D-2 Off-Site Habitat Creation'!$Z$11:$Z$256), IFERROR(_xlfn.XLOOKUP(B46,'D-1 Off-Site Habitat Baseline'!AF50:AF297,'D-1 Off-Site Habitat Baseline'!S50:S297), " "))</f>
        <v/>
      </c>
      <c r="L46" s="766">
        <f t="shared" si="1"/>
        <v>0</v>
      </c>
      <c r="M46" s="757">
        <f>'E-1 Off-Site Hedge Baseline'!AB49</f>
        <v>0</v>
      </c>
      <c r="N46" s="772"/>
      <c r="O46" s="773">
        <f>SUMIF('E-1 Off-Site Hedge Baseline'!AB49:AB296,'Off-site gain site summary'!N46,'E-1 Off-Site Hedge Baseline'!Q49:Q296)</f>
        <v>0</v>
      </c>
      <c r="P46" s="773">
        <f>SUMIF('E-1 Off-Site Hedge Baseline'!$AB$10:$AB$257,'Off-site gain site summary'!$N46,'E-1 Off-Site Hedge Baseline'!$U$10:$U$257)</f>
        <v>0</v>
      </c>
      <c r="Q46" s="773">
        <f>SUMIF('E-3 Off-Site Hedge Enhancement'!$AO$12:$AO$257,'Off-site gain site summary'!$N46,'E-3 Off-Site Hedge Enhancement'!$AK$12:$AK$257)</f>
        <v>0</v>
      </c>
      <c r="R46" s="773">
        <f>SUMIF('E-2 Off-Site Hedge Creation'!$AD$12:$AD$259,'Off-site gain site summary'!$N46,'E-2 Off-Site Hedge Creation'!$Z$12:$Z$259)</f>
        <v>0</v>
      </c>
      <c r="S46" s="771">
        <f t="shared" si="2"/>
        <v>0</v>
      </c>
      <c r="T46" s="771" t="str">
        <f>IFERROR(_xlfn.XLOOKUP(N46,'E-2 Off-Site Hedge Creation'!AD51:AD298,'E-2 Off-Site Hedge Creation'!N51:N298), IFERROR(_xlfn.XLOOKUP(N46,'E-1 Off-Site Hedge Baseline'!AB49:AB296,'E-1 Off-Site Hedge Baseline'!P49:P296), " "))</f>
        <v/>
      </c>
      <c r="U46" s="774">
        <f t="shared" si="3"/>
        <v>0</v>
      </c>
      <c r="V46" s="1">
        <f>'F-1 Off-Site WaterC'' Baseline'!AG49</f>
        <v>0</v>
      </c>
      <c r="W46" s="772"/>
      <c r="X46" s="773">
        <f>SUMIF('F-1 Off-Site WaterC'' Baseline'!$AG$10:$AG$257,'Off-site gain site summary'!$W46,'F-1 Off-Site WaterC'' Baseline'!$U$10:$U$257)</f>
        <v>0</v>
      </c>
      <c r="Y46" s="773">
        <f>SUMIF('F-1 Off-Site WaterC'' Baseline'!$AG$10:$AG$257,'Off-site gain site summary'!$W46,'F-1 Off-Site WaterC'' Baseline'!$Y$10:$Y$257)</f>
        <v>0</v>
      </c>
      <c r="Z46" s="773">
        <f>SUMIF('F-3 Off-Site WaterC Enhancement'!$AT$12:$AT$257,'Off-site gain site summary'!$W46,'F-3 Off-Site WaterC Enhancement'!$AP$12:$AP$257)</f>
        <v>0</v>
      </c>
      <c r="AA46" s="773">
        <f>SUMIF('F-2 Off-Site WaterC'' Creation'!$AG$12:$AG$259,'Off-site gain site summary'!$W46,'F-2 Off-Site WaterC'' Creation'!$AC$12:$AC$259)</f>
        <v>0</v>
      </c>
      <c r="AB46" s="773">
        <f t="shared" si="4"/>
        <v>0</v>
      </c>
      <c r="AC46" s="773" t="str">
        <f>IFERROR(_xlfn.XLOOKUP(W46,'F-2 Off-Site WaterC'' Creation'!AG51:AG297,'F-2 Off-Site WaterC'' Creation'!AA51:AA298), IFERROR(_xlfn.XLOOKUP(W46,'F-1 Off-Site WaterC'' Baseline'!AG49:AG296,'F-1 Off-Site WaterC'' Baseline'!T49:T296)," "))</f>
        <v/>
      </c>
      <c r="AD46" s="774">
        <f t="shared" si="5"/>
        <v>0</v>
      </c>
      <c r="AE46" s="1356"/>
      <c r="AF46" s="1356"/>
    </row>
    <row r="47" spans="1:32">
      <c r="A47" s="757">
        <f>'D-1 Off-Site Habitat Baseline'!AF51</f>
        <v>0</v>
      </c>
      <c r="B47" s="764"/>
      <c r="C47" s="762">
        <f>SUMIF('D-1 Off-Site Habitat Baseline'!AF51:AF54,B47,'D-1 Off-Site Habitat Baseline'!T51:T54)</f>
        <v>0</v>
      </c>
      <c r="D47" s="1354">
        <f>SUMIF('D-1 Off-Site Habitat Baseline'!$AF$11:$AF$258,'Off-site gain site summary'!$B$7,'D-1 Off-Site Habitat Baseline'!$X$11:$X$258)</f>
        <v>0</v>
      </c>
      <c r="E47" s="1355"/>
      <c r="F47" s="1354">
        <f>SUMIF('D-3 Off-Site Habitat Enhancment'!$AU$12:$AU$258,'Off-site gain site summary'!B47,'D-3 Off-Site Habitat Enhancment'!$AQ$12:$AQ$258)</f>
        <v>0</v>
      </c>
      <c r="G47" s="1355"/>
      <c r="H47" s="1354">
        <f>SUMIF('D-2 Off-Site Habitat Creation'!$AF$11:$AF$256,'Off-site gain site summary'!B47,'D-2 Off-Site Habitat Creation'!$AB$11:$AB$256)</f>
        <v>0</v>
      </c>
      <c r="I47" s="1355"/>
      <c r="J47" s="765">
        <f t="shared" si="0"/>
        <v>0</v>
      </c>
      <c r="K47" s="762" t="str">
        <f>IFERROR(_xlfn.XLOOKUP(B47,'D-2 Off-Site Habitat Creation'!$AF$11:$AF$256,'D-2 Off-Site Habitat Creation'!$Z$11:$Z$256), IFERROR(_xlfn.XLOOKUP(B47,'D-1 Off-Site Habitat Baseline'!AF51:AF298,'D-1 Off-Site Habitat Baseline'!S51:S298), " "))</f>
        <v/>
      </c>
      <c r="L47" s="766">
        <f t="shared" si="1"/>
        <v>0</v>
      </c>
      <c r="M47" s="757">
        <f>'E-1 Off-Site Hedge Baseline'!AB50</f>
        <v>0</v>
      </c>
      <c r="N47" s="772"/>
      <c r="O47" s="773">
        <f>SUMIF('E-1 Off-Site Hedge Baseline'!AB50:AB297,'Off-site gain site summary'!N47,'E-1 Off-Site Hedge Baseline'!Q50:Q297)</f>
        <v>0</v>
      </c>
      <c r="P47" s="773">
        <f>SUMIF('E-1 Off-Site Hedge Baseline'!$AB$10:$AB$257,'Off-site gain site summary'!$N47,'E-1 Off-Site Hedge Baseline'!$U$10:$U$257)</f>
        <v>0</v>
      </c>
      <c r="Q47" s="773">
        <f>SUMIF('E-3 Off-Site Hedge Enhancement'!$AO$12:$AO$257,'Off-site gain site summary'!$N47,'E-3 Off-Site Hedge Enhancement'!$AK$12:$AK$257)</f>
        <v>0</v>
      </c>
      <c r="R47" s="773">
        <f>SUMIF('E-2 Off-Site Hedge Creation'!$AD$12:$AD$259,'Off-site gain site summary'!$N47,'E-2 Off-Site Hedge Creation'!$Z$12:$Z$259)</f>
        <v>0</v>
      </c>
      <c r="S47" s="771">
        <f t="shared" si="2"/>
        <v>0</v>
      </c>
      <c r="T47" s="771" t="str">
        <f>IFERROR(_xlfn.XLOOKUP(N47,'E-2 Off-Site Hedge Creation'!AD52:AD299,'E-2 Off-Site Hedge Creation'!N52:N299), IFERROR(_xlfn.XLOOKUP(N47,'E-1 Off-Site Hedge Baseline'!AB50:AB297,'E-1 Off-Site Hedge Baseline'!P50:P297), " "))</f>
        <v/>
      </c>
      <c r="U47" s="774">
        <f t="shared" si="3"/>
        <v>0</v>
      </c>
      <c r="V47" s="1">
        <f>'F-1 Off-Site WaterC'' Baseline'!AG50</f>
        <v>0</v>
      </c>
      <c r="W47" s="772"/>
      <c r="X47" s="773">
        <f>SUMIF('F-1 Off-Site WaterC'' Baseline'!$AG$10:$AG$257,'Off-site gain site summary'!$W47,'F-1 Off-Site WaterC'' Baseline'!$U$10:$U$257)</f>
        <v>0</v>
      </c>
      <c r="Y47" s="773">
        <f>SUMIF('F-1 Off-Site WaterC'' Baseline'!$AG$10:$AG$257,'Off-site gain site summary'!$W47,'F-1 Off-Site WaterC'' Baseline'!$Y$10:$Y$257)</f>
        <v>0</v>
      </c>
      <c r="Z47" s="773">
        <f>SUMIF('F-3 Off-Site WaterC Enhancement'!$AT$12:$AT$257,'Off-site gain site summary'!$W47,'F-3 Off-Site WaterC Enhancement'!$AP$12:$AP$257)</f>
        <v>0</v>
      </c>
      <c r="AA47" s="773">
        <f>SUMIF('F-2 Off-Site WaterC'' Creation'!$AG$12:$AG$259,'Off-site gain site summary'!$W47,'F-2 Off-Site WaterC'' Creation'!$AC$12:$AC$259)</f>
        <v>0</v>
      </c>
      <c r="AB47" s="773">
        <f t="shared" si="4"/>
        <v>0</v>
      </c>
      <c r="AC47" s="773" t="str">
        <f>IFERROR(_xlfn.XLOOKUP(W47,'F-2 Off-Site WaterC'' Creation'!AG52:AG298,'F-2 Off-Site WaterC'' Creation'!AA52:AA299), IFERROR(_xlfn.XLOOKUP(W47,'F-1 Off-Site WaterC'' Baseline'!AG50:AG297,'F-1 Off-Site WaterC'' Baseline'!T50:T297)," "))</f>
        <v/>
      </c>
      <c r="AD47" s="774">
        <f t="shared" si="5"/>
        <v>0</v>
      </c>
      <c r="AE47" s="1356"/>
      <c r="AF47" s="1356"/>
    </row>
    <row r="48" spans="1:32">
      <c r="A48" s="757">
        <f>'D-1 Off-Site Habitat Baseline'!AF52</f>
        <v>0</v>
      </c>
      <c r="B48" s="764"/>
      <c r="C48" s="762">
        <f>SUMIF('D-1 Off-Site Habitat Baseline'!AF52:AF55,B48,'D-1 Off-Site Habitat Baseline'!T52:T55)</f>
        <v>0</v>
      </c>
      <c r="D48" s="1354">
        <f>SUMIF('D-1 Off-Site Habitat Baseline'!$AF$11:$AF$258,'Off-site gain site summary'!$B$7,'D-1 Off-Site Habitat Baseline'!$X$11:$X$258)</f>
        <v>0</v>
      </c>
      <c r="E48" s="1355"/>
      <c r="F48" s="1354">
        <f>SUMIF('D-3 Off-Site Habitat Enhancment'!$AU$12:$AU$258,'Off-site gain site summary'!B48,'D-3 Off-Site Habitat Enhancment'!$AQ$12:$AQ$258)</f>
        <v>0</v>
      </c>
      <c r="G48" s="1355"/>
      <c r="H48" s="1354">
        <f>SUMIF('D-2 Off-Site Habitat Creation'!$AF$11:$AF$256,'Off-site gain site summary'!B48,'D-2 Off-Site Habitat Creation'!$AB$11:$AB$256)</f>
        <v>0</v>
      </c>
      <c r="I48" s="1355"/>
      <c r="J48" s="765">
        <f t="shared" si="0"/>
        <v>0</v>
      </c>
      <c r="K48" s="762" t="str">
        <f>IFERROR(_xlfn.XLOOKUP(B48,'D-2 Off-Site Habitat Creation'!$AF$11:$AF$256,'D-2 Off-Site Habitat Creation'!$Z$11:$Z$256), IFERROR(_xlfn.XLOOKUP(B48,'D-1 Off-Site Habitat Baseline'!AF52:AF299,'D-1 Off-Site Habitat Baseline'!S52:S299), " "))</f>
        <v/>
      </c>
      <c r="L48" s="766">
        <f t="shared" si="1"/>
        <v>0</v>
      </c>
      <c r="M48" s="757">
        <f>'E-1 Off-Site Hedge Baseline'!AB51</f>
        <v>0</v>
      </c>
      <c r="N48" s="772"/>
      <c r="O48" s="773">
        <f>SUMIF('E-1 Off-Site Hedge Baseline'!AB51:AB298,'Off-site gain site summary'!N48,'E-1 Off-Site Hedge Baseline'!Q51:Q298)</f>
        <v>0</v>
      </c>
      <c r="P48" s="773">
        <f>SUMIF('E-1 Off-Site Hedge Baseline'!$AB$10:$AB$257,'Off-site gain site summary'!$N48,'E-1 Off-Site Hedge Baseline'!$U$10:$U$257)</f>
        <v>0</v>
      </c>
      <c r="Q48" s="773">
        <f>SUMIF('E-3 Off-Site Hedge Enhancement'!$AO$12:$AO$257,'Off-site gain site summary'!$N48,'E-3 Off-Site Hedge Enhancement'!$AK$12:$AK$257)</f>
        <v>0</v>
      </c>
      <c r="R48" s="773">
        <f>SUMIF('E-2 Off-Site Hedge Creation'!$AD$12:$AD$259,'Off-site gain site summary'!$N48,'E-2 Off-Site Hedge Creation'!$Z$12:$Z$259)</f>
        <v>0</v>
      </c>
      <c r="S48" s="771">
        <f t="shared" si="2"/>
        <v>0</v>
      </c>
      <c r="T48" s="771" t="str">
        <f>IFERROR(_xlfn.XLOOKUP(N48,'E-2 Off-Site Hedge Creation'!AD53:AD300,'E-2 Off-Site Hedge Creation'!N53:N300), IFERROR(_xlfn.XLOOKUP(N48,'E-1 Off-Site Hedge Baseline'!AB51:AB298,'E-1 Off-Site Hedge Baseline'!P51:P298), " "))</f>
        <v/>
      </c>
      <c r="U48" s="774">
        <f t="shared" si="3"/>
        <v>0</v>
      </c>
      <c r="V48" s="1">
        <f>'F-1 Off-Site WaterC'' Baseline'!AG51</f>
        <v>0</v>
      </c>
      <c r="W48" s="772"/>
      <c r="X48" s="773">
        <f>SUMIF('F-1 Off-Site WaterC'' Baseline'!$AG$10:$AG$257,'Off-site gain site summary'!$W48,'F-1 Off-Site WaterC'' Baseline'!$U$10:$U$257)</f>
        <v>0</v>
      </c>
      <c r="Y48" s="773">
        <f>SUMIF('F-1 Off-Site WaterC'' Baseline'!$AG$10:$AG$257,'Off-site gain site summary'!$W48,'F-1 Off-Site WaterC'' Baseline'!$Y$10:$Y$257)</f>
        <v>0</v>
      </c>
      <c r="Z48" s="773">
        <f>SUMIF('F-3 Off-Site WaterC Enhancement'!$AT$12:$AT$257,'Off-site gain site summary'!$W48,'F-3 Off-Site WaterC Enhancement'!$AP$12:$AP$257)</f>
        <v>0</v>
      </c>
      <c r="AA48" s="773">
        <f>SUMIF('F-2 Off-Site WaterC'' Creation'!$AG$12:$AG$259,'Off-site gain site summary'!$W48,'F-2 Off-Site WaterC'' Creation'!$AC$12:$AC$259)</f>
        <v>0</v>
      </c>
      <c r="AB48" s="773">
        <f t="shared" si="4"/>
        <v>0</v>
      </c>
      <c r="AC48" s="773" t="str">
        <f>IFERROR(_xlfn.XLOOKUP(W48,'F-2 Off-Site WaterC'' Creation'!AG53:AG299,'F-2 Off-Site WaterC'' Creation'!AA53:AA300), IFERROR(_xlfn.XLOOKUP(W48,'F-1 Off-Site WaterC'' Baseline'!AG51:AG298,'F-1 Off-Site WaterC'' Baseline'!T51:T298)," "))</f>
        <v/>
      </c>
      <c r="AD48" s="774">
        <f t="shared" si="5"/>
        <v>0</v>
      </c>
      <c r="AE48" s="1356"/>
      <c r="AF48" s="1356"/>
    </row>
    <row r="49" spans="1:32">
      <c r="A49" s="757">
        <f>'D-1 Off-Site Habitat Baseline'!AF53</f>
        <v>0</v>
      </c>
      <c r="B49" s="764"/>
      <c r="C49" s="762">
        <f>SUMIF('D-1 Off-Site Habitat Baseline'!AF53:AF56,B49,'D-1 Off-Site Habitat Baseline'!T53:T56)</f>
        <v>0</v>
      </c>
      <c r="D49" s="1354">
        <f>SUMIF('D-1 Off-Site Habitat Baseline'!$AF$11:$AF$258,'Off-site gain site summary'!$B$7,'D-1 Off-Site Habitat Baseline'!$X$11:$X$258)</f>
        <v>0</v>
      </c>
      <c r="E49" s="1355"/>
      <c r="F49" s="1354">
        <f>SUMIF('D-3 Off-Site Habitat Enhancment'!$AU$12:$AU$258,'Off-site gain site summary'!B49,'D-3 Off-Site Habitat Enhancment'!$AQ$12:$AQ$258)</f>
        <v>0</v>
      </c>
      <c r="G49" s="1355"/>
      <c r="H49" s="1354">
        <f>SUMIF('D-2 Off-Site Habitat Creation'!$AF$11:$AF$256,'Off-site gain site summary'!B49,'D-2 Off-Site Habitat Creation'!$AB$11:$AB$256)</f>
        <v>0</v>
      </c>
      <c r="I49" s="1355"/>
      <c r="J49" s="765">
        <f t="shared" si="0"/>
        <v>0</v>
      </c>
      <c r="K49" s="762" t="str">
        <f>IFERROR(_xlfn.XLOOKUP(B49,'D-2 Off-Site Habitat Creation'!$AF$11:$AF$256,'D-2 Off-Site Habitat Creation'!$Z$11:$Z$256), IFERROR(_xlfn.XLOOKUP(B49,'D-1 Off-Site Habitat Baseline'!AF53:AF300,'D-1 Off-Site Habitat Baseline'!S53:S300), " "))</f>
        <v/>
      </c>
      <c r="L49" s="766">
        <f t="shared" si="1"/>
        <v>0</v>
      </c>
      <c r="M49" s="757">
        <f>'E-1 Off-Site Hedge Baseline'!AB52</f>
        <v>0</v>
      </c>
      <c r="N49" s="772"/>
      <c r="O49" s="773">
        <f>SUMIF('E-1 Off-Site Hedge Baseline'!AB52:AB299,'Off-site gain site summary'!N49,'E-1 Off-Site Hedge Baseline'!Q52:Q299)</f>
        <v>0</v>
      </c>
      <c r="P49" s="773">
        <f>SUMIF('E-1 Off-Site Hedge Baseline'!$AB$10:$AB$257,'Off-site gain site summary'!$N49,'E-1 Off-Site Hedge Baseline'!$U$10:$U$257)</f>
        <v>0</v>
      </c>
      <c r="Q49" s="773">
        <f>SUMIF('E-3 Off-Site Hedge Enhancement'!$AO$12:$AO$257,'Off-site gain site summary'!$N49,'E-3 Off-Site Hedge Enhancement'!$AK$12:$AK$257)</f>
        <v>0</v>
      </c>
      <c r="R49" s="773">
        <f>SUMIF('E-2 Off-Site Hedge Creation'!$AD$12:$AD$259,'Off-site gain site summary'!$N49,'E-2 Off-Site Hedge Creation'!$Z$12:$Z$259)</f>
        <v>0</v>
      </c>
      <c r="S49" s="771">
        <f t="shared" si="2"/>
        <v>0</v>
      </c>
      <c r="T49" s="771" t="str">
        <f>IFERROR(_xlfn.XLOOKUP(N49,'E-2 Off-Site Hedge Creation'!AD54:AD301,'E-2 Off-Site Hedge Creation'!N54:N301), IFERROR(_xlfn.XLOOKUP(N49,'E-1 Off-Site Hedge Baseline'!AB52:AB299,'E-1 Off-Site Hedge Baseline'!P52:P299), " "))</f>
        <v/>
      </c>
      <c r="U49" s="774">
        <f t="shared" si="3"/>
        <v>0</v>
      </c>
      <c r="V49" s="1">
        <f>'F-1 Off-Site WaterC'' Baseline'!AG52</f>
        <v>0</v>
      </c>
      <c r="W49" s="772"/>
      <c r="X49" s="773">
        <f>SUMIF('F-1 Off-Site WaterC'' Baseline'!$AG$10:$AG$257,'Off-site gain site summary'!$W49,'F-1 Off-Site WaterC'' Baseline'!$U$10:$U$257)</f>
        <v>0</v>
      </c>
      <c r="Y49" s="773">
        <f>SUMIF('F-1 Off-Site WaterC'' Baseline'!$AG$10:$AG$257,'Off-site gain site summary'!$W49,'F-1 Off-Site WaterC'' Baseline'!$Y$10:$Y$257)</f>
        <v>0</v>
      </c>
      <c r="Z49" s="773">
        <f>SUMIF('F-3 Off-Site WaterC Enhancement'!$AT$12:$AT$257,'Off-site gain site summary'!$W49,'F-3 Off-Site WaterC Enhancement'!$AP$12:$AP$257)</f>
        <v>0</v>
      </c>
      <c r="AA49" s="773">
        <f>SUMIF('F-2 Off-Site WaterC'' Creation'!$AG$12:$AG$259,'Off-site gain site summary'!$W49,'F-2 Off-Site WaterC'' Creation'!$AC$12:$AC$259)</f>
        <v>0</v>
      </c>
      <c r="AB49" s="773">
        <f t="shared" si="4"/>
        <v>0</v>
      </c>
      <c r="AC49" s="773" t="str">
        <f>IFERROR(_xlfn.XLOOKUP(W49,'F-2 Off-Site WaterC'' Creation'!AG54:AG300,'F-2 Off-Site WaterC'' Creation'!AA54:AA301), IFERROR(_xlfn.XLOOKUP(W49,'F-1 Off-Site WaterC'' Baseline'!AG52:AG299,'F-1 Off-Site WaterC'' Baseline'!T52:T299)," "))</f>
        <v/>
      </c>
      <c r="AD49" s="774">
        <f t="shared" si="5"/>
        <v>0</v>
      </c>
      <c r="AE49" s="1356"/>
      <c r="AF49" s="1356"/>
    </row>
    <row r="50" spans="1:32">
      <c r="A50" s="757">
        <f>'D-1 Off-Site Habitat Baseline'!AF54</f>
        <v>0</v>
      </c>
      <c r="B50" s="764"/>
      <c r="C50" s="762">
        <f>SUMIF('D-1 Off-Site Habitat Baseline'!AF54:AF57,B50,'D-1 Off-Site Habitat Baseline'!T54:T57)</f>
        <v>0</v>
      </c>
      <c r="D50" s="1354">
        <f>SUMIF('D-1 Off-Site Habitat Baseline'!$AF$11:$AF$258,'Off-site gain site summary'!$B$7,'D-1 Off-Site Habitat Baseline'!$X$11:$X$258)</f>
        <v>0</v>
      </c>
      <c r="E50" s="1355"/>
      <c r="F50" s="1354">
        <f>SUMIF('D-3 Off-Site Habitat Enhancment'!$AU$12:$AU$258,'Off-site gain site summary'!B50,'D-3 Off-Site Habitat Enhancment'!$AQ$12:$AQ$258)</f>
        <v>0</v>
      </c>
      <c r="G50" s="1355"/>
      <c r="H50" s="1354">
        <f>SUMIF('D-2 Off-Site Habitat Creation'!$AF$11:$AF$256,'Off-site gain site summary'!B50,'D-2 Off-Site Habitat Creation'!$AB$11:$AB$256)</f>
        <v>0</v>
      </c>
      <c r="I50" s="1355"/>
      <c r="J50" s="765">
        <f t="shared" si="0"/>
        <v>0</v>
      </c>
      <c r="K50" s="762" t="str">
        <f>IFERROR(_xlfn.XLOOKUP(B50,'D-2 Off-Site Habitat Creation'!$AF$11:$AF$256,'D-2 Off-Site Habitat Creation'!$Z$11:$Z$256), IFERROR(_xlfn.XLOOKUP(B50,'D-1 Off-Site Habitat Baseline'!AF54:AF301,'D-1 Off-Site Habitat Baseline'!S54:S301), " "))</f>
        <v/>
      </c>
      <c r="L50" s="766">
        <f t="shared" si="1"/>
        <v>0</v>
      </c>
      <c r="M50" s="757">
        <f>'E-1 Off-Site Hedge Baseline'!AB53</f>
        <v>0</v>
      </c>
      <c r="N50" s="772"/>
      <c r="O50" s="773">
        <f>SUMIF('E-1 Off-Site Hedge Baseline'!AB53:AB300,'Off-site gain site summary'!N50,'E-1 Off-Site Hedge Baseline'!Q53:Q300)</f>
        <v>0</v>
      </c>
      <c r="P50" s="773">
        <f>SUMIF('E-1 Off-Site Hedge Baseline'!$AB$10:$AB$257,'Off-site gain site summary'!$N50,'E-1 Off-Site Hedge Baseline'!$U$10:$U$257)</f>
        <v>0</v>
      </c>
      <c r="Q50" s="773">
        <f>SUMIF('E-3 Off-Site Hedge Enhancement'!$AO$12:$AO$257,'Off-site gain site summary'!$N50,'E-3 Off-Site Hedge Enhancement'!$AK$12:$AK$257)</f>
        <v>0</v>
      </c>
      <c r="R50" s="773">
        <f>SUMIF('E-2 Off-Site Hedge Creation'!$AD$12:$AD$259,'Off-site gain site summary'!$N50,'E-2 Off-Site Hedge Creation'!$Z$12:$Z$259)</f>
        <v>0</v>
      </c>
      <c r="S50" s="771">
        <f t="shared" si="2"/>
        <v>0</v>
      </c>
      <c r="T50" s="771" t="str">
        <f>IFERROR(_xlfn.XLOOKUP(N50,'E-2 Off-Site Hedge Creation'!AD55:AD302,'E-2 Off-Site Hedge Creation'!N55:N302), IFERROR(_xlfn.XLOOKUP(N50,'E-1 Off-Site Hedge Baseline'!AB53:AB300,'E-1 Off-Site Hedge Baseline'!P53:P300), " "))</f>
        <v/>
      </c>
      <c r="U50" s="774">
        <f t="shared" si="3"/>
        <v>0</v>
      </c>
      <c r="V50" s="1">
        <f>'F-1 Off-Site WaterC'' Baseline'!AG53</f>
        <v>0</v>
      </c>
      <c r="W50" s="772"/>
      <c r="X50" s="773">
        <f>SUMIF('F-1 Off-Site WaterC'' Baseline'!$AG$10:$AG$257,'Off-site gain site summary'!$W50,'F-1 Off-Site WaterC'' Baseline'!$U$10:$U$257)</f>
        <v>0</v>
      </c>
      <c r="Y50" s="773">
        <f>SUMIF('F-1 Off-Site WaterC'' Baseline'!$AG$10:$AG$257,'Off-site gain site summary'!$W50,'F-1 Off-Site WaterC'' Baseline'!$Y$10:$Y$257)</f>
        <v>0</v>
      </c>
      <c r="Z50" s="773">
        <f>SUMIF('F-3 Off-Site WaterC Enhancement'!$AT$12:$AT$257,'Off-site gain site summary'!$W50,'F-3 Off-Site WaterC Enhancement'!$AP$12:$AP$257)</f>
        <v>0</v>
      </c>
      <c r="AA50" s="773">
        <f>SUMIF('F-2 Off-Site WaterC'' Creation'!$AG$12:$AG$259,'Off-site gain site summary'!$W50,'F-2 Off-Site WaterC'' Creation'!$AC$12:$AC$259)</f>
        <v>0</v>
      </c>
      <c r="AB50" s="773">
        <f t="shared" si="4"/>
        <v>0</v>
      </c>
      <c r="AC50" s="773" t="str">
        <f>IFERROR(_xlfn.XLOOKUP(W50,'F-2 Off-Site WaterC'' Creation'!AG55:AG301,'F-2 Off-Site WaterC'' Creation'!AA55:AA302), IFERROR(_xlfn.XLOOKUP(W50,'F-1 Off-Site WaterC'' Baseline'!AG53:AG300,'F-1 Off-Site WaterC'' Baseline'!T53:T300)," "))</f>
        <v/>
      </c>
      <c r="AD50" s="774">
        <f t="shared" si="5"/>
        <v>0</v>
      </c>
      <c r="AE50" s="1356"/>
      <c r="AF50" s="1356"/>
    </row>
    <row r="51" spans="1:32">
      <c r="A51" s="757">
        <f>'D-1 Off-Site Habitat Baseline'!AF55</f>
        <v>0</v>
      </c>
      <c r="B51" s="764"/>
      <c r="C51" s="762">
        <f>SUMIF('D-1 Off-Site Habitat Baseline'!AF55:AF58,B51,'D-1 Off-Site Habitat Baseline'!T55:T58)</f>
        <v>0</v>
      </c>
      <c r="D51" s="1354">
        <f>SUMIF('D-1 Off-Site Habitat Baseline'!$AF$11:$AF$258,'Off-site gain site summary'!$B$7,'D-1 Off-Site Habitat Baseline'!$X$11:$X$258)</f>
        <v>0</v>
      </c>
      <c r="E51" s="1355"/>
      <c r="F51" s="1354">
        <f>SUMIF('D-3 Off-Site Habitat Enhancment'!$AU$12:$AU$258,'Off-site gain site summary'!B51,'D-3 Off-Site Habitat Enhancment'!$AQ$12:$AQ$258)</f>
        <v>0</v>
      </c>
      <c r="G51" s="1355"/>
      <c r="H51" s="1354">
        <f>SUMIF('D-2 Off-Site Habitat Creation'!$AF$11:$AF$256,'Off-site gain site summary'!B51,'D-2 Off-Site Habitat Creation'!$AB$11:$AB$256)</f>
        <v>0</v>
      </c>
      <c r="I51" s="1355"/>
      <c r="J51" s="765">
        <f t="shared" si="0"/>
        <v>0</v>
      </c>
      <c r="K51" s="762" t="str">
        <f>IFERROR(_xlfn.XLOOKUP(B51,'D-2 Off-Site Habitat Creation'!$AF$11:$AF$256,'D-2 Off-Site Habitat Creation'!$Z$11:$Z$256), IFERROR(_xlfn.XLOOKUP(B51,'D-1 Off-Site Habitat Baseline'!AF55:AF302,'D-1 Off-Site Habitat Baseline'!S55:S302), " "))</f>
        <v/>
      </c>
      <c r="L51" s="766">
        <f t="shared" si="1"/>
        <v>0</v>
      </c>
      <c r="M51" s="757">
        <f>'E-1 Off-Site Hedge Baseline'!AB54</f>
        <v>0</v>
      </c>
      <c r="N51" s="772"/>
      <c r="O51" s="773">
        <f>SUMIF('E-1 Off-Site Hedge Baseline'!AB54:AB301,'Off-site gain site summary'!N51,'E-1 Off-Site Hedge Baseline'!Q54:Q301)</f>
        <v>0</v>
      </c>
      <c r="P51" s="773">
        <f>SUMIF('E-1 Off-Site Hedge Baseline'!$AB$10:$AB$257,'Off-site gain site summary'!$N51,'E-1 Off-Site Hedge Baseline'!$U$10:$U$257)</f>
        <v>0</v>
      </c>
      <c r="Q51" s="773">
        <f>SUMIF('E-3 Off-Site Hedge Enhancement'!$AO$12:$AO$257,'Off-site gain site summary'!$N51,'E-3 Off-Site Hedge Enhancement'!$AK$12:$AK$257)</f>
        <v>0</v>
      </c>
      <c r="R51" s="773">
        <f>SUMIF('E-2 Off-Site Hedge Creation'!$AD$12:$AD$259,'Off-site gain site summary'!$N51,'E-2 Off-Site Hedge Creation'!$Z$12:$Z$259)</f>
        <v>0</v>
      </c>
      <c r="S51" s="771">
        <f t="shared" si="2"/>
        <v>0</v>
      </c>
      <c r="T51" s="771" t="str">
        <f>IFERROR(_xlfn.XLOOKUP(N51,'E-2 Off-Site Hedge Creation'!AD56:AD303,'E-2 Off-Site Hedge Creation'!N56:N303), IFERROR(_xlfn.XLOOKUP(N51,'E-1 Off-Site Hedge Baseline'!AB54:AB301,'E-1 Off-Site Hedge Baseline'!P54:P301), " "))</f>
        <v/>
      </c>
      <c r="U51" s="774">
        <f t="shared" si="3"/>
        <v>0</v>
      </c>
      <c r="V51" s="1">
        <f>'F-1 Off-Site WaterC'' Baseline'!AG54</f>
        <v>0</v>
      </c>
      <c r="W51" s="772"/>
      <c r="X51" s="773">
        <f>SUMIF('F-1 Off-Site WaterC'' Baseline'!$AG$10:$AG$257,'Off-site gain site summary'!$W51,'F-1 Off-Site WaterC'' Baseline'!$U$10:$U$257)</f>
        <v>0</v>
      </c>
      <c r="Y51" s="773">
        <f>SUMIF('F-1 Off-Site WaterC'' Baseline'!$AG$10:$AG$257,'Off-site gain site summary'!$W51,'F-1 Off-Site WaterC'' Baseline'!$Y$10:$Y$257)</f>
        <v>0</v>
      </c>
      <c r="Z51" s="773">
        <f>SUMIF('F-3 Off-Site WaterC Enhancement'!$AT$12:$AT$257,'Off-site gain site summary'!$W51,'F-3 Off-Site WaterC Enhancement'!$AP$12:$AP$257)</f>
        <v>0</v>
      </c>
      <c r="AA51" s="773">
        <f>SUMIF('F-2 Off-Site WaterC'' Creation'!$AG$12:$AG$259,'Off-site gain site summary'!$W51,'F-2 Off-Site WaterC'' Creation'!$AC$12:$AC$259)</f>
        <v>0</v>
      </c>
      <c r="AB51" s="773">
        <f t="shared" si="4"/>
        <v>0</v>
      </c>
      <c r="AC51" s="773" t="str">
        <f>IFERROR(_xlfn.XLOOKUP(W51,'F-2 Off-Site WaterC'' Creation'!AG56:AG302,'F-2 Off-Site WaterC'' Creation'!AA56:AA303), IFERROR(_xlfn.XLOOKUP(W51,'F-1 Off-Site WaterC'' Baseline'!AG54:AG301,'F-1 Off-Site WaterC'' Baseline'!T54:T301)," "))</f>
        <v/>
      </c>
      <c r="AD51" s="774">
        <f t="shared" si="5"/>
        <v>0</v>
      </c>
      <c r="AE51" s="1356"/>
      <c r="AF51" s="1356"/>
    </row>
    <row r="52" spans="1:32">
      <c r="A52" s="757">
        <f>'D-1 Off-Site Habitat Baseline'!AF56</f>
        <v>0</v>
      </c>
      <c r="B52" s="764"/>
      <c r="C52" s="762">
        <f>SUMIF('D-1 Off-Site Habitat Baseline'!AF56:AF59,B52,'D-1 Off-Site Habitat Baseline'!T56:T59)</f>
        <v>0</v>
      </c>
      <c r="D52" s="1354">
        <f>SUMIF('D-1 Off-Site Habitat Baseline'!$AF$11:$AF$258,'Off-site gain site summary'!$B$7,'D-1 Off-Site Habitat Baseline'!$X$11:$X$258)</f>
        <v>0</v>
      </c>
      <c r="E52" s="1355"/>
      <c r="F52" s="1354">
        <f>SUMIF('D-3 Off-Site Habitat Enhancment'!$AU$12:$AU$258,'Off-site gain site summary'!B52,'D-3 Off-Site Habitat Enhancment'!$AQ$12:$AQ$258)</f>
        <v>0</v>
      </c>
      <c r="G52" s="1355"/>
      <c r="H52" s="1354">
        <f>SUMIF('D-2 Off-Site Habitat Creation'!$AF$11:$AF$256,'Off-site gain site summary'!B52,'D-2 Off-Site Habitat Creation'!$AB$11:$AB$256)</f>
        <v>0</v>
      </c>
      <c r="I52" s="1355"/>
      <c r="J52" s="765">
        <f t="shared" si="0"/>
        <v>0</v>
      </c>
      <c r="K52" s="762" t="str">
        <f>IFERROR(_xlfn.XLOOKUP(B52,'D-2 Off-Site Habitat Creation'!$AF$11:$AF$256,'D-2 Off-Site Habitat Creation'!$Z$11:$Z$256), IFERROR(_xlfn.XLOOKUP(B52,'D-1 Off-Site Habitat Baseline'!AF56:AF303,'D-1 Off-Site Habitat Baseline'!S56:S303), " "))</f>
        <v/>
      </c>
      <c r="L52" s="766">
        <f t="shared" si="1"/>
        <v>0</v>
      </c>
      <c r="M52" s="757">
        <f>'E-1 Off-Site Hedge Baseline'!AB55</f>
        <v>0</v>
      </c>
      <c r="N52" s="772"/>
      <c r="O52" s="773">
        <f>SUMIF('E-1 Off-Site Hedge Baseline'!AB55:AB302,'Off-site gain site summary'!N52,'E-1 Off-Site Hedge Baseline'!Q55:Q302)</f>
        <v>0</v>
      </c>
      <c r="P52" s="773">
        <f>SUMIF('E-1 Off-Site Hedge Baseline'!$AB$10:$AB$257,'Off-site gain site summary'!$N52,'E-1 Off-Site Hedge Baseline'!$U$10:$U$257)</f>
        <v>0</v>
      </c>
      <c r="Q52" s="773">
        <f>SUMIF('E-3 Off-Site Hedge Enhancement'!$AO$12:$AO$257,'Off-site gain site summary'!$N52,'E-3 Off-Site Hedge Enhancement'!$AK$12:$AK$257)</f>
        <v>0</v>
      </c>
      <c r="R52" s="773">
        <f>SUMIF('E-2 Off-Site Hedge Creation'!$AD$12:$AD$259,'Off-site gain site summary'!$N52,'E-2 Off-Site Hedge Creation'!$Z$12:$Z$259)</f>
        <v>0</v>
      </c>
      <c r="S52" s="771">
        <f t="shared" si="2"/>
        <v>0</v>
      </c>
      <c r="T52" s="771" t="str">
        <f>IFERROR(_xlfn.XLOOKUP(N52,'E-2 Off-Site Hedge Creation'!AD57:AD304,'E-2 Off-Site Hedge Creation'!N57:N304), IFERROR(_xlfn.XLOOKUP(N52,'E-1 Off-Site Hedge Baseline'!AB55:AB302,'E-1 Off-Site Hedge Baseline'!P55:P302), " "))</f>
        <v/>
      </c>
      <c r="U52" s="774">
        <f t="shared" si="3"/>
        <v>0</v>
      </c>
      <c r="V52" s="1">
        <f>'F-1 Off-Site WaterC'' Baseline'!AG55</f>
        <v>0</v>
      </c>
      <c r="W52" s="772"/>
      <c r="X52" s="773">
        <f>SUMIF('F-1 Off-Site WaterC'' Baseline'!$AG$10:$AG$257,'Off-site gain site summary'!$W52,'F-1 Off-Site WaterC'' Baseline'!$U$10:$U$257)</f>
        <v>0</v>
      </c>
      <c r="Y52" s="773">
        <f>SUMIF('F-1 Off-Site WaterC'' Baseline'!$AG$10:$AG$257,'Off-site gain site summary'!$W52,'F-1 Off-Site WaterC'' Baseline'!$Y$10:$Y$257)</f>
        <v>0</v>
      </c>
      <c r="Z52" s="773">
        <f>SUMIF('F-3 Off-Site WaterC Enhancement'!$AT$12:$AT$257,'Off-site gain site summary'!$W52,'F-3 Off-Site WaterC Enhancement'!$AP$12:$AP$257)</f>
        <v>0</v>
      </c>
      <c r="AA52" s="773">
        <f>SUMIF('F-2 Off-Site WaterC'' Creation'!$AG$12:$AG$259,'Off-site gain site summary'!$W52,'F-2 Off-Site WaterC'' Creation'!$AC$12:$AC$259)</f>
        <v>0</v>
      </c>
      <c r="AB52" s="773">
        <f t="shared" si="4"/>
        <v>0</v>
      </c>
      <c r="AC52" s="773" t="str">
        <f>IFERROR(_xlfn.XLOOKUP(W52,'F-2 Off-Site WaterC'' Creation'!AG57:AG303,'F-2 Off-Site WaterC'' Creation'!AA57:AA304), IFERROR(_xlfn.XLOOKUP(W52,'F-1 Off-Site WaterC'' Baseline'!AG55:AG302,'F-1 Off-Site WaterC'' Baseline'!T55:T302)," "))</f>
        <v/>
      </c>
      <c r="AD52" s="774">
        <f t="shared" si="5"/>
        <v>0</v>
      </c>
      <c r="AE52" s="1356"/>
      <c r="AF52" s="1356"/>
    </row>
    <row r="53" spans="1:32">
      <c r="A53" s="757">
        <f>'D-1 Off-Site Habitat Baseline'!AF57</f>
        <v>0</v>
      </c>
      <c r="B53" s="764"/>
      <c r="C53" s="762">
        <f>SUMIF('D-1 Off-Site Habitat Baseline'!AF57:AF60,B53,'D-1 Off-Site Habitat Baseline'!T57:T60)</f>
        <v>0</v>
      </c>
      <c r="D53" s="1354">
        <f>SUMIF('D-1 Off-Site Habitat Baseline'!$AF$11:$AF$258,'Off-site gain site summary'!$B$7,'D-1 Off-Site Habitat Baseline'!$X$11:$X$258)</f>
        <v>0</v>
      </c>
      <c r="E53" s="1355"/>
      <c r="F53" s="1354">
        <f>SUMIF('D-3 Off-Site Habitat Enhancment'!$AU$12:$AU$258,'Off-site gain site summary'!B53,'D-3 Off-Site Habitat Enhancment'!$AQ$12:$AQ$258)</f>
        <v>0</v>
      </c>
      <c r="G53" s="1355"/>
      <c r="H53" s="1354">
        <f>SUMIF('D-2 Off-Site Habitat Creation'!$AF$11:$AF$256,'Off-site gain site summary'!B53,'D-2 Off-Site Habitat Creation'!$AB$11:$AB$256)</f>
        <v>0</v>
      </c>
      <c r="I53" s="1355"/>
      <c r="J53" s="765">
        <f t="shared" si="0"/>
        <v>0</v>
      </c>
      <c r="K53" s="762" t="str">
        <f>IFERROR(_xlfn.XLOOKUP(B53,'D-2 Off-Site Habitat Creation'!$AF$11:$AF$256,'D-2 Off-Site Habitat Creation'!$Z$11:$Z$256), IFERROR(_xlfn.XLOOKUP(B53,'D-1 Off-Site Habitat Baseline'!AF57:AF304,'D-1 Off-Site Habitat Baseline'!S57:S304), " "))</f>
        <v/>
      </c>
      <c r="L53" s="766">
        <f t="shared" si="1"/>
        <v>0</v>
      </c>
      <c r="M53" s="757">
        <f>'E-1 Off-Site Hedge Baseline'!AB56</f>
        <v>0</v>
      </c>
      <c r="N53" s="772"/>
      <c r="O53" s="773">
        <f>SUMIF('E-1 Off-Site Hedge Baseline'!AB56:AB303,'Off-site gain site summary'!N53,'E-1 Off-Site Hedge Baseline'!Q56:Q303)</f>
        <v>0</v>
      </c>
      <c r="P53" s="773">
        <f>SUMIF('E-1 Off-Site Hedge Baseline'!$AB$10:$AB$257,'Off-site gain site summary'!$N53,'E-1 Off-Site Hedge Baseline'!$U$10:$U$257)</f>
        <v>0</v>
      </c>
      <c r="Q53" s="773">
        <f>SUMIF('E-3 Off-Site Hedge Enhancement'!$AO$12:$AO$257,'Off-site gain site summary'!$N53,'E-3 Off-Site Hedge Enhancement'!$AK$12:$AK$257)</f>
        <v>0</v>
      </c>
      <c r="R53" s="773">
        <f>SUMIF('E-2 Off-Site Hedge Creation'!$AD$12:$AD$259,'Off-site gain site summary'!$N53,'E-2 Off-Site Hedge Creation'!$Z$12:$Z$259)</f>
        <v>0</v>
      </c>
      <c r="S53" s="771">
        <f t="shared" si="2"/>
        <v>0</v>
      </c>
      <c r="T53" s="771" t="str">
        <f>IFERROR(_xlfn.XLOOKUP(N53,'E-2 Off-Site Hedge Creation'!AD58:AD305,'E-2 Off-Site Hedge Creation'!N58:N305), IFERROR(_xlfn.XLOOKUP(N53,'E-1 Off-Site Hedge Baseline'!AB56:AB303,'E-1 Off-Site Hedge Baseline'!P56:P303), " "))</f>
        <v/>
      </c>
      <c r="U53" s="774">
        <f t="shared" si="3"/>
        <v>0</v>
      </c>
      <c r="V53" s="1">
        <f>'F-1 Off-Site WaterC'' Baseline'!AG56</f>
        <v>0</v>
      </c>
      <c r="W53" s="772"/>
      <c r="X53" s="773">
        <f>SUMIF('F-1 Off-Site WaterC'' Baseline'!$AG$10:$AG$257,'Off-site gain site summary'!$W53,'F-1 Off-Site WaterC'' Baseline'!$U$10:$U$257)</f>
        <v>0</v>
      </c>
      <c r="Y53" s="773">
        <f>SUMIF('F-1 Off-Site WaterC'' Baseline'!$AG$10:$AG$257,'Off-site gain site summary'!$W53,'F-1 Off-Site WaterC'' Baseline'!$Y$10:$Y$257)</f>
        <v>0</v>
      </c>
      <c r="Z53" s="773">
        <f>SUMIF('F-3 Off-Site WaterC Enhancement'!$AT$12:$AT$257,'Off-site gain site summary'!$W53,'F-3 Off-Site WaterC Enhancement'!$AP$12:$AP$257)</f>
        <v>0</v>
      </c>
      <c r="AA53" s="773">
        <f>SUMIF('F-2 Off-Site WaterC'' Creation'!$AG$12:$AG$259,'Off-site gain site summary'!$W53,'F-2 Off-Site WaterC'' Creation'!$AC$12:$AC$259)</f>
        <v>0</v>
      </c>
      <c r="AB53" s="773">
        <f t="shared" si="4"/>
        <v>0</v>
      </c>
      <c r="AC53" s="773" t="str">
        <f>IFERROR(_xlfn.XLOOKUP(W53,'F-2 Off-Site WaterC'' Creation'!AG58:AG304,'F-2 Off-Site WaterC'' Creation'!AA58:AA305), IFERROR(_xlfn.XLOOKUP(W53,'F-1 Off-Site WaterC'' Baseline'!AG56:AG303,'F-1 Off-Site WaterC'' Baseline'!T56:T303)," "))</f>
        <v/>
      </c>
      <c r="AD53" s="774">
        <f t="shared" si="5"/>
        <v>0</v>
      </c>
      <c r="AE53" s="1356"/>
      <c r="AF53" s="1356"/>
    </row>
    <row r="54" spans="1:32">
      <c r="A54" s="757">
        <f>'D-1 Off-Site Habitat Baseline'!AF58</f>
        <v>0</v>
      </c>
      <c r="B54" s="764"/>
      <c r="C54" s="762">
        <f>SUMIF('D-1 Off-Site Habitat Baseline'!AF58:AF61,B54,'D-1 Off-Site Habitat Baseline'!T58:T61)</f>
        <v>0</v>
      </c>
      <c r="D54" s="1354">
        <f>SUMIF('D-1 Off-Site Habitat Baseline'!$AF$11:$AF$258,'Off-site gain site summary'!$B$7,'D-1 Off-Site Habitat Baseline'!$X$11:$X$258)</f>
        <v>0</v>
      </c>
      <c r="E54" s="1355"/>
      <c r="F54" s="1354">
        <f>SUMIF('D-3 Off-Site Habitat Enhancment'!$AU$12:$AU$258,'Off-site gain site summary'!B54,'D-3 Off-Site Habitat Enhancment'!$AQ$12:$AQ$258)</f>
        <v>0</v>
      </c>
      <c r="G54" s="1355"/>
      <c r="H54" s="1354">
        <f>SUMIF('D-2 Off-Site Habitat Creation'!$AF$11:$AF$256,'Off-site gain site summary'!B54,'D-2 Off-Site Habitat Creation'!$AB$11:$AB$256)</f>
        <v>0</v>
      </c>
      <c r="I54" s="1355"/>
      <c r="J54" s="765">
        <f t="shared" si="0"/>
        <v>0</v>
      </c>
      <c r="K54" s="762" t="str">
        <f>IFERROR(_xlfn.XLOOKUP(B54,'D-2 Off-Site Habitat Creation'!$AF$11:$AF$256,'D-2 Off-Site Habitat Creation'!$Z$11:$Z$256), IFERROR(_xlfn.XLOOKUP(B54,'D-1 Off-Site Habitat Baseline'!AF58:AF305,'D-1 Off-Site Habitat Baseline'!S58:S305), " "))</f>
        <v/>
      </c>
      <c r="L54" s="766">
        <f t="shared" si="1"/>
        <v>0</v>
      </c>
      <c r="M54" s="757">
        <f>'E-1 Off-Site Hedge Baseline'!AB57</f>
        <v>0</v>
      </c>
      <c r="N54" s="772"/>
      <c r="O54" s="773">
        <f>SUMIF('E-1 Off-Site Hedge Baseline'!AB57:AB304,'Off-site gain site summary'!N54,'E-1 Off-Site Hedge Baseline'!Q57:Q304)</f>
        <v>0</v>
      </c>
      <c r="P54" s="773">
        <f>SUMIF('E-1 Off-Site Hedge Baseline'!$AB$10:$AB$257,'Off-site gain site summary'!$N54,'E-1 Off-Site Hedge Baseline'!$U$10:$U$257)</f>
        <v>0</v>
      </c>
      <c r="Q54" s="773">
        <f>SUMIF('E-3 Off-Site Hedge Enhancement'!$AO$12:$AO$257,'Off-site gain site summary'!$N54,'E-3 Off-Site Hedge Enhancement'!$AK$12:$AK$257)</f>
        <v>0</v>
      </c>
      <c r="R54" s="773">
        <f>SUMIF('E-2 Off-Site Hedge Creation'!$AD$12:$AD$259,'Off-site gain site summary'!$N54,'E-2 Off-Site Hedge Creation'!$Z$12:$Z$259)</f>
        <v>0</v>
      </c>
      <c r="S54" s="771">
        <f t="shared" si="2"/>
        <v>0</v>
      </c>
      <c r="T54" s="771" t="str">
        <f>IFERROR(_xlfn.XLOOKUP(N54,'E-2 Off-Site Hedge Creation'!AD59:AD306,'E-2 Off-Site Hedge Creation'!N59:N306), IFERROR(_xlfn.XLOOKUP(N54,'E-1 Off-Site Hedge Baseline'!AB57:AB304,'E-1 Off-Site Hedge Baseline'!P57:P304), " "))</f>
        <v/>
      </c>
      <c r="U54" s="774">
        <f t="shared" si="3"/>
        <v>0</v>
      </c>
      <c r="V54" s="1">
        <f>'F-1 Off-Site WaterC'' Baseline'!AG57</f>
        <v>0</v>
      </c>
      <c r="W54" s="772"/>
      <c r="X54" s="773">
        <f>SUMIF('F-1 Off-Site WaterC'' Baseline'!$AG$10:$AG$257,'Off-site gain site summary'!$W54,'F-1 Off-Site WaterC'' Baseline'!$U$10:$U$257)</f>
        <v>0</v>
      </c>
      <c r="Y54" s="773">
        <f>SUMIF('F-1 Off-Site WaterC'' Baseline'!$AG$10:$AG$257,'Off-site gain site summary'!$W54,'F-1 Off-Site WaterC'' Baseline'!$Y$10:$Y$257)</f>
        <v>0</v>
      </c>
      <c r="Z54" s="773">
        <f>SUMIF('F-3 Off-Site WaterC Enhancement'!$AT$12:$AT$257,'Off-site gain site summary'!$W54,'F-3 Off-Site WaterC Enhancement'!$AP$12:$AP$257)</f>
        <v>0</v>
      </c>
      <c r="AA54" s="773">
        <f>SUMIF('F-2 Off-Site WaterC'' Creation'!$AG$12:$AG$259,'Off-site gain site summary'!$W54,'F-2 Off-Site WaterC'' Creation'!$AC$12:$AC$259)</f>
        <v>0</v>
      </c>
      <c r="AB54" s="773">
        <f t="shared" si="4"/>
        <v>0</v>
      </c>
      <c r="AC54" s="773" t="str">
        <f>IFERROR(_xlfn.XLOOKUP(W54,'F-2 Off-Site WaterC'' Creation'!AG59:AG305,'F-2 Off-Site WaterC'' Creation'!AA59:AA306), IFERROR(_xlfn.XLOOKUP(W54,'F-1 Off-Site WaterC'' Baseline'!AG57:AG304,'F-1 Off-Site WaterC'' Baseline'!T57:T304)," "))</f>
        <v/>
      </c>
      <c r="AD54" s="774">
        <f t="shared" si="5"/>
        <v>0</v>
      </c>
      <c r="AE54" s="1356"/>
      <c r="AF54" s="1356"/>
    </row>
    <row r="55" spans="1:32">
      <c r="A55" s="757">
        <f>'D-1 Off-Site Habitat Baseline'!AF59</f>
        <v>0</v>
      </c>
      <c r="B55" s="764"/>
      <c r="C55" s="762">
        <f>SUMIF('D-1 Off-Site Habitat Baseline'!AF59:AF62,B55,'D-1 Off-Site Habitat Baseline'!T59:T62)</f>
        <v>0</v>
      </c>
      <c r="D55" s="1354">
        <f>SUMIF('D-1 Off-Site Habitat Baseline'!$AF$11:$AF$258,'Off-site gain site summary'!$B$7,'D-1 Off-Site Habitat Baseline'!$X$11:$X$258)</f>
        <v>0</v>
      </c>
      <c r="E55" s="1355"/>
      <c r="F55" s="1354">
        <f>SUMIF('D-3 Off-Site Habitat Enhancment'!$AU$12:$AU$258,'Off-site gain site summary'!B55,'D-3 Off-Site Habitat Enhancment'!$AQ$12:$AQ$258)</f>
        <v>0</v>
      </c>
      <c r="G55" s="1355"/>
      <c r="H55" s="1354">
        <f>SUMIF('D-2 Off-Site Habitat Creation'!$AF$11:$AF$256,'Off-site gain site summary'!B55,'D-2 Off-Site Habitat Creation'!$AB$11:$AB$256)</f>
        <v>0</v>
      </c>
      <c r="I55" s="1355"/>
      <c r="J55" s="765">
        <f t="shared" si="0"/>
        <v>0</v>
      </c>
      <c r="K55" s="762" t="str">
        <f>IFERROR(_xlfn.XLOOKUP(B55,'D-2 Off-Site Habitat Creation'!$AF$11:$AF$256,'D-2 Off-Site Habitat Creation'!$Z$11:$Z$256), IFERROR(_xlfn.XLOOKUP(B55,'D-1 Off-Site Habitat Baseline'!AF59:AF306,'D-1 Off-Site Habitat Baseline'!S59:S306), " "))</f>
        <v/>
      </c>
      <c r="L55" s="766">
        <f t="shared" si="1"/>
        <v>0</v>
      </c>
      <c r="M55" s="757">
        <f>'E-1 Off-Site Hedge Baseline'!AB58</f>
        <v>0</v>
      </c>
      <c r="N55" s="772"/>
      <c r="O55" s="773">
        <f>SUMIF('E-1 Off-Site Hedge Baseline'!AB58:AB305,'Off-site gain site summary'!N55,'E-1 Off-Site Hedge Baseline'!Q58:Q305)</f>
        <v>0</v>
      </c>
      <c r="P55" s="773">
        <f>SUMIF('E-1 Off-Site Hedge Baseline'!$AB$10:$AB$257,'Off-site gain site summary'!$N55,'E-1 Off-Site Hedge Baseline'!$U$10:$U$257)</f>
        <v>0</v>
      </c>
      <c r="Q55" s="773">
        <f>SUMIF('E-3 Off-Site Hedge Enhancement'!$AO$12:$AO$257,'Off-site gain site summary'!$N55,'E-3 Off-Site Hedge Enhancement'!$AK$12:$AK$257)</f>
        <v>0</v>
      </c>
      <c r="R55" s="773">
        <f>SUMIF('E-2 Off-Site Hedge Creation'!$AD$12:$AD$259,'Off-site gain site summary'!$N55,'E-2 Off-Site Hedge Creation'!$Z$12:$Z$259)</f>
        <v>0</v>
      </c>
      <c r="S55" s="771">
        <f t="shared" si="2"/>
        <v>0</v>
      </c>
      <c r="T55" s="771" t="str">
        <f>IFERROR(_xlfn.XLOOKUP(N55,'E-2 Off-Site Hedge Creation'!AD60:AD307,'E-2 Off-Site Hedge Creation'!N60:N307), IFERROR(_xlfn.XLOOKUP(N55,'E-1 Off-Site Hedge Baseline'!AB58:AB305,'E-1 Off-Site Hedge Baseline'!P58:P305), " "))</f>
        <v/>
      </c>
      <c r="U55" s="774">
        <f t="shared" si="3"/>
        <v>0</v>
      </c>
      <c r="V55" s="1">
        <f>'F-1 Off-Site WaterC'' Baseline'!AG58</f>
        <v>0</v>
      </c>
      <c r="W55" s="772"/>
      <c r="X55" s="773">
        <f>SUMIF('F-1 Off-Site WaterC'' Baseline'!$AG$10:$AG$257,'Off-site gain site summary'!$W55,'F-1 Off-Site WaterC'' Baseline'!$U$10:$U$257)</f>
        <v>0</v>
      </c>
      <c r="Y55" s="773">
        <f>SUMIF('F-1 Off-Site WaterC'' Baseline'!$AG$10:$AG$257,'Off-site gain site summary'!$W55,'F-1 Off-Site WaterC'' Baseline'!$Y$10:$Y$257)</f>
        <v>0</v>
      </c>
      <c r="Z55" s="773">
        <f>SUMIF('F-3 Off-Site WaterC Enhancement'!$AT$12:$AT$257,'Off-site gain site summary'!$W55,'F-3 Off-Site WaterC Enhancement'!$AP$12:$AP$257)</f>
        <v>0</v>
      </c>
      <c r="AA55" s="773">
        <f>SUMIF('F-2 Off-Site WaterC'' Creation'!$AG$12:$AG$259,'Off-site gain site summary'!$W55,'F-2 Off-Site WaterC'' Creation'!$AC$12:$AC$259)</f>
        <v>0</v>
      </c>
      <c r="AB55" s="773">
        <f t="shared" si="4"/>
        <v>0</v>
      </c>
      <c r="AC55" s="773" t="str">
        <f>IFERROR(_xlfn.XLOOKUP(W55,'F-2 Off-Site WaterC'' Creation'!AG60:AG306,'F-2 Off-Site WaterC'' Creation'!AA60:AA307), IFERROR(_xlfn.XLOOKUP(W55,'F-1 Off-Site WaterC'' Baseline'!AG58:AG305,'F-1 Off-Site WaterC'' Baseline'!T58:T305)," "))</f>
        <v/>
      </c>
      <c r="AD55" s="774">
        <f t="shared" si="5"/>
        <v>0</v>
      </c>
      <c r="AE55" s="1356"/>
      <c r="AF55" s="1356"/>
    </row>
    <row r="56" spans="1:32">
      <c r="A56" s="757">
        <f>'D-1 Off-Site Habitat Baseline'!AF60</f>
        <v>0</v>
      </c>
      <c r="B56" s="764"/>
      <c r="C56" s="762">
        <f>SUMIF('D-1 Off-Site Habitat Baseline'!AF60:AF63,B56,'D-1 Off-Site Habitat Baseline'!T60:T63)</f>
        <v>0</v>
      </c>
      <c r="D56" s="1354">
        <f>SUMIF('D-1 Off-Site Habitat Baseline'!$AF$11:$AF$258,'Off-site gain site summary'!$B$7,'D-1 Off-Site Habitat Baseline'!$X$11:$X$258)</f>
        <v>0</v>
      </c>
      <c r="E56" s="1355"/>
      <c r="F56" s="1354">
        <f>SUMIF('D-3 Off-Site Habitat Enhancment'!$AU$12:$AU$258,'Off-site gain site summary'!B56,'D-3 Off-Site Habitat Enhancment'!$AQ$12:$AQ$258)</f>
        <v>0</v>
      </c>
      <c r="G56" s="1355"/>
      <c r="H56" s="1354">
        <f>SUMIF('D-2 Off-Site Habitat Creation'!$AF$11:$AF$256,'Off-site gain site summary'!B56,'D-2 Off-Site Habitat Creation'!$AB$11:$AB$256)</f>
        <v>0</v>
      </c>
      <c r="I56" s="1355"/>
      <c r="J56" s="765">
        <f t="shared" si="0"/>
        <v>0</v>
      </c>
      <c r="K56" s="762" t="str">
        <f>IFERROR(_xlfn.XLOOKUP(B56,'D-2 Off-Site Habitat Creation'!$AF$11:$AF$256,'D-2 Off-Site Habitat Creation'!$Z$11:$Z$256), IFERROR(_xlfn.XLOOKUP(B56,'D-1 Off-Site Habitat Baseline'!AF60:AF307,'D-1 Off-Site Habitat Baseline'!S60:S307), " "))</f>
        <v/>
      </c>
      <c r="L56" s="766">
        <f t="shared" si="1"/>
        <v>0</v>
      </c>
      <c r="M56" s="757">
        <f>'E-1 Off-Site Hedge Baseline'!AB59</f>
        <v>0</v>
      </c>
      <c r="N56" s="772"/>
      <c r="O56" s="773">
        <f>SUMIF('E-1 Off-Site Hedge Baseline'!AB59:AB306,'Off-site gain site summary'!N56,'E-1 Off-Site Hedge Baseline'!Q59:Q306)</f>
        <v>0</v>
      </c>
      <c r="P56" s="773">
        <f>SUMIF('E-1 Off-Site Hedge Baseline'!$AB$10:$AB$257,'Off-site gain site summary'!$N56,'E-1 Off-Site Hedge Baseline'!$U$10:$U$257)</f>
        <v>0</v>
      </c>
      <c r="Q56" s="773">
        <f>SUMIF('E-3 Off-Site Hedge Enhancement'!$AO$12:$AO$257,'Off-site gain site summary'!$N56,'E-3 Off-Site Hedge Enhancement'!$AK$12:$AK$257)</f>
        <v>0</v>
      </c>
      <c r="R56" s="773">
        <f>SUMIF('E-2 Off-Site Hedge Creation'!$AD$12:$AD$259,'Off-site gain site summary'!$N56,'E-2 Off-Site Hedge Creation'!$Z$12:$Z$259)</f>
        <v>0</v>
      </c>
      <c r="S56" s="771">
        <f t="shared" si="2"/>
        <v>0</v>
      </c>
      <c r="T56" s="771" t="str">
        <f>IFERROR(_xlfn.XLOOKUP(N56,'E-2 Off-Site Hedge Creation'!AD61:AD308,'E-2 Off-Site Hedge Creation'!N61:N308), IFERROR(_xlfn.XLOOKUP(N56,'E-1 Off-Site Hedge Baseline'!AB59:AB306,'E-1 Off-Site Hedge Baseline'!P59:P306), " "))</f>
        <v/>
      </c>
      <c r="U56" s="774">
        <f t="shared" si="3"/>
        <v>0</v>
      </c>
      <c r="V56" s="1">
        <f>'F-1 Off-Site WaterC'' Baseline'!AG59</f>
        <v>0</v>
      </c>
      <c r="W56" s="772"/>
      <c r="X56" s="773">
        <f>SUMIF('F-1 Off-Site WaterC'' Baseline'!$AG$10:$AG$257,'Off-site gain site summary'!$W56,'F-1 Off-Site WaterC'' Baseline'!$U$10:$U$257)</f>
        <v>0</v>
      </c>
      <c r="Y56" s="773">
        <f>SUMIF('F-1 Off-Site WaterC'' Baseline'!$AG$10:$AG$257,'Off-site gain site summary'!$W56,'F-1 Off-Site WaterC'' Baseline'!$Y$10:$Y$257)</f>
        <v>0</v>
      </c>
      <c r="Z56" s="773">
        <f>SUMIF('F-3 Off-Site WaterC Enhancement'!$AT$12:$AT$257,'Off-site gain site summary'!$W56,'F-3 Off-Site WaterC Enhancement'!$AP$12:$AP$257)</f>
        <v>0</v>
      </c>
      <c r="AA56" s="773">
        <f>SUMIF('F-2 Off-Site WaterC'' Creation'!$AG$12:$AG$259,'Off-site gain site summary'!$W56,'F-2 Off-Site WaterC'' Creation'!$AC$12:$AC$259)</f>
        <v>0</v>
      </c>
      <c r="AB56" s="773">
        <f t="shared" si="4"/>
        <v>0</v>
      </c>
      <c r="AC56" s="773" t="str">
        <f>IFERROR(_xlfn.XLOOKUP(W56,'F-2 Off-Site WaterC'' Creation'!AG61:AG307,'F-2 Off-Site WaterC'' Creation'!AA61:AA308), IFERROR(_xlfn.XLOOKUP(W56,'F-1 Off-Site WaterC'' Baseline'!AG59:AG306,'F-1 Off-Site WaterC'' Baseline'!T59:T306)," "))</f>
        <v/>
      </c>
      <c r="AD56" s="774">
        <f t="shared" si="5"/>
        <v>0</v>
      </c>
      <c r="AE56" s="1356"/>
      <c r="AF56" s="1356"/>
    </row>
    <row r="57" spans="1:32">
      <c r="A57" s="757">
        <f>'D-1 Off-Site Habitat Baseline'!AF61</f>
        <v>0</v>
      </c>
      <c r="B57" s="764"/>
      <c r="C57" s="762">
        <f>SUMIF('D-1 Off-Site Habitat Baseline'!AF61:AF64,B57,'D-1 Off-Site Habitat Baseline'!T61:T64)</f>
        <v>0</v>
      </c>
      <c r="D57" s="1354">
        <f>SUMIF('D-1 Off-Site Habitat Baseline'!$AF$11:$AF$258,'Off-site gain site summary'!$B$7,'D-1 Off-Site Habitat Baseline'!$X$11:$X$258)</f>
        <v>0</v>
      </c>
      <c r="E57" s="1355"/>
      <c r="F57" s="1354">
        <f>SUMIF('D-3 Off-Site Habitat Enhancment'!$AU$12:$AU$258,'Off-site gain site summary'!B57,'D-3 Off-Site Habitat Enhancment'!$AQ$12:$AQ$258)</f>
        <v>0</v>
      </c>
      <c r="G57" s="1355"/>
      <c r="H57" s="1354">
        <f>SUMIF('D-2 Off-Site Habitat Creation'!$AF$11:$AF$256,'Off-site gain site summary'!B57,'D-2 Off-Site Habitat Creation'!$AB$11:$AB$256)</f>
        <v>0</v>
      </c>
      <c r="I57" s="1355"/>
      <c r="J57" s="765">
        <f t="shared" si="0"/>
        <v>0</v>
      </c>
      <c r="K57" s="762" t="str">
        <f>IFERROR(_xlfn.XLOOKUP(B57,'D-2 Off-Site Habitat Creation'!$AF$11:$AF$256,'D-2 Off-Site Habitat Creation'!$Z$11:$Z$256), IFERROR(_xlfn.XLOOKUP(B57,'D-1 Off-Site Habitat Baseline'!AF61:AF308,'D-1 Off-Site Habitat Baseline'!S61:S308), " "))</f>
        <v/>
      </c>
      <c r="L57" s="766">
        <f t="shared" si="1"/>
        <v>0</v>
      </c>
      <c r="M57" s="757">
        <f>'E-1 Off-Site Hedge Baseline'!AB60</f>
        <v>0</v>
      </c>
      <c r="N57" s="772"/>
      <c r="O57" s="773">
        <f>SUMIF('E-1 Off-Site Hedge Baseline'!AB60:AB307,'Off-site gain site summary'!N57,'E-1 Off-Site Hedge Baseline'!Q60:Q307)</f>
        <v>0</v>
      </c>
      <c r="P57" s="773">
        <f>SUMIF('E-1 Off-Site Hedge Baseline'!$AB$10:$AB$257,'Off-site gain site summary'!$N57,'E-1 Off-Site Hedge Baseline'!$U$10:$U$257)</f>
        <v>0</v>
      </c>
      <c r="Q57" s="773">
        <f>SUMIF('E-3 Off-Site Hedge Enhancement'!$AO$12:$AO$257,'Off-site gain site summary'!$N57,'E-3 Off-Site Hedge Enhancement'!$AK$12:$AK$257)</f>
        <v>0</v>
      </c>
      <c r="R57" s="773">
        <f>SUMIF('E-2 Off-Site Hedge Creation'!$AD$12:$AD$259,'Off-site gain site summary'!$N57,'E-2 Off-Site Hedge Creation'!$Z$12:$Z$259)</f>
        <v>0</v>
      </c>
      <c r="S57" s="771">
        <f t="shared" si="2"/>
        <v>0</v>
      </c>
      <c r="T57" s="771" t="str">
        <f>IFERROR(_xlfn.XLOOKUP(N57,'E-2 Off-Site Hedge Creation'!AD62:AD309,'E-2 Off-Site Hedge Creation'!N62:N309), IFERROR(_xlfn.XLOOKUP(N57,'E-1 Off-Site Hedge Baseline'!AB60:AB307,'E-1 Off-Site Hedge Baseline'!P60:P307), " "))</f>
        <v/>
      </c>
      <c r="U57" s="774">
        <f t="shared" si="3"/>
        <v>0</v>
      </c>
      <c r="V57" s="1">
        <f>'F-1 Off-Site WaterC'' Baseline'!AG60</f>
        <v>0</v>
      </c>
      <c r="W57" s="772"/>
      <c r="X57" s="773">
        <f>SUMIF('F-1 Off-Site WaterC'' Baseline'!$AG$10:$AG$257,'Off-site gain site summary'!$W57,'F-1 Off-Site WaterC'' Baseline'!$U$10:$U$257)</f>
        <v>0</v>
      </c>
      <c r="Y57" s="773">
        <f>SUMIF('F-1 Off-Site WaterC'' Baseline'!$AG$10:$AG$257,'Off-site gain site summary'!$W57,'F-1 Off-Site WaterC'' Baseline'!$Y$10:$Y$257)</f>
        <v>0</v>
      </c>
      <c r="Z57" s="773">
        <f>SUMIF('F-3 Off-Site WaterC Enhancement'!$AT$12:$AT$257,'Off-site gain site summary'!$W57,'F-3 Off-Site WaterC Enhancement'!$AP$12:$AP$257)</f>
        <v>0</v>
      </c>
      <c r="AA57" s="773">
        <f>SUMIF('F-2 Off-Site WaterC'' Creation'!$AG$12:$AG$259,'Off-site gain site summary'!$W57,'F-2 Off-Site WaterC'' Creation'!$AC$12:$AC$259)</f>
        <v>0</v>
      </c>
      <c r="AB57" s="773">
        <f t="shared" si="4"/>
        <v>0</v>
      </c>
      <c r="AC57" s="773" t="str">
        <f>IFERROR(_xlfn.XLOOKUP(W57,'F-2 Off-Site WaterC'' Creation'!AG62:AG308,'F-2 Off-Site WaterC'' Creation'!AA62:AA309), IFERROR(_xlfn.XLOOKUP(W57,'F-1 Off-Site WaterC'' Baseline'!AG60:AG307,'F-1 Off-Site WaterC'' Baseline'!T60:T307)," "))</f>
        <v/>
      </c>
      <c r="AD57" s="774">
        <f t="shared" si="5"/>
        <v>0</v>
      </c>
      <c r="AE57" s="1356"/>
      <c r="AF57" s="1356"/>
    </row>
    <row r="58" spans="1:32">
      <c r="A58" s="757">
        <f>'D-1 Off-Site Habitat Baseline'!AF62</f>
        <v>0</v>
      </c>
      <c r="B58" s="764"/>
      <c r="C58" s="762">
        <f>SUMIF('D-1 Off-Site Habitat Baseline'!AF62:AF65,B58,'D-1 Off-Site Habitat Baseline'!T62:T65)</f>
        <v>0</v>
      </c>
      <c r="D58" s="1354">
        <f>SUMIF('D-1 Off-Site Habitat Baseline'!$AF$11:$AF$258,'Off-site gain site summary'!$B$7,'D-1 Off-Site Habitat Baseline'!$X$11:$X$258)</f>
        <v>0</v>
      </c>
      <c r="E58" s="1355"/>
      <c r="F58" s="1354">
        <f>SUMIF('D-3 Off-Site Habitat Enhancment'!$AU$12:$AU$258,'Off-site gain site summary'!B58,'D-3 Off-Site Habitat Enhancment'!$AQ$12:$AQ$258)</f>
        <v>0</v>
      </c>
      <c r="G58" s="1355"/>
      <c r="H58" s="1354">
        <f>SUMIF('D-2 Off-Site Habitat Creation'!$AF$11:$AF$256,'Off-site gain site summary'!B58,'D-2 Off-Site Habitat Creation'!$AB$11:$AB$256)</f>
        <v>0</v>
      </c>
      <c r="I58" s="1355"/>
      <c r="J58" s="765">
        <f t="shared" si="0"/>
        <v>0</v>
      </c>
      <c r="K58" s="762" t="str">
        <f>IFERROR(_xlfn.XLOOKUP(B58,'D-2 Off-Site Habitat Creation'!$AF$11:$AF$256,'D-2 Off-Site Habitat Creation'!$Z$11:$Z$256), IFERROR(_xlfn.XLOOKUP(B58,'D-1 Off-Site Habitat Baseline'!AF62:AF309,'D-1 Off-Site Habitat Baseline'!S62:S309), " "))</f>
        <v/>
      </c>
      <c r="L58" s="766">
        <f t="shared" si="1"/>
        <v>0</v>
      </c>
      <c r="M58" s="757">
        <f>'E-1 Off-Site Hedge Baseline'!AB61</f>
        <v>0</v>
      </c>
      <c r="N58" s="772"/>
      <c r="O58" s="773">
        <f>SUMIF('E-1 Off-Site Hedge Baseline'!AB61:AB308,'Off-site gain site summary'!N58,'E-1 Off-Site Hedge Baseline'!Q61:Q308)</f>
        <v>0</v>
      </c>
      <c r="P58" s="773">
        <f>SUMIF('E-1 Off-Site Hedge Baseline'!$AB$10:$AB$257,'Off-site gain site summary'!$N58,'E-1 Off-Site Hedge Baseline'!$U$10:$U$257)</f>
        <v>0</v>
      </c>
      <c r="Q58" s="773">
        <f>SUMIF('E-3 Off-Site Hedge Enhancement'!$AO$12:$AO$257,'Off-site gain site summary'!$N58,'E-3 Off-Site Hedge Enhancement'!$AK$12:$AK$257)</f>
        <v>0</v>
      </c>
      <c r="R58" s="773">
        <f>SUMIF('E-2 Off-Site Hedge Creation'!$AD$12:$AD$259,'Off-site gain site summary'!$N58,'E-2 Off-Site Hedge Creation'!$Z$12:$Z$259)</f>
        <v>0</v>
      </c>
      <c r="S58" s="771">
        <f t="shared" si="2"/>
        <v>0</v>
      </c>
      <c r="T58" s="771" t="str">
        <f>IFERROR(_xlfn.XLOOKUP(N58,'E-2 Off-Site Hedge Creation'!AD63:AD310,'E-2 Off-Site Hedge Creation'!N63:N310), IFERROR(_xlfn.XLOOKUP(N58,'E-1 Off-Site Hedge Baseline'!AB61:AB308,'E-1 Off-Site Hedge Baseline'!P61:P308), " "))</f>
        <v/>
      </c>
      <c r="U58" s="774">
        <f t="shared" si="3"/>
        <v>0</v>
      </c>
      <c r="V58" s="1">
        <f>'F-1 Off-Site WaterC'' Baseline'!AG61</f>
        <v>0</v>
      </c>
      <c r="W58" s="772"/>
      <c r="X58" s="773">
        <f>SUMIF('F-1 Off-Site WaterC'' Baseline'!$AG$10:$AG$257,'Off-site gain site summary'!$W58,'F-1 Off-Site WaterC'' Baseline'!$U$10:$U$257)</f>
        <v>0</v>
      </c>
      <c r="Y58" s="773">
        <f>SUMIF('F-1 Off-Site WaterC'' Baseline'!$AG$10:$AG$257,'Off-site gain site summary'!$W58,'F-1 Off-Site WaterC'' Baseline'!$Y$10:$Y$257)</f>
        <v>0</v>
      </c>
      <c r="Z58" s="773">
        <f>SUMIF('F-3 Off-Site WaterC Enhancement'!$AT$12:$AT$257,'Off-site gain site summary'!$W58,'F-3 Off-Site WaterC Enhancement'!$AP$12:$AP$257)</f>
        <v>0</v>
      </c>
      <c r="AA58" s="773">
        <f>SUMIF('F-2 Off-Site WaterC'' Creation'!$AG$12:$AG$259,'Off-site gain site summary'!$W58,'F-2 Off-Site WaterC'' Creation'!$AC$12:$AC$259)</f>
        <v>0</v>
      </c>
      <c r="AB58" s="773">
        <f t="shared" si="4"/>
        <v>0</v>
      </c>
      <c r="AC58" s="773" t="str">
        <f>IFERROR(_xlfn.XLOOKUP(W58,'F-2 Off-Site WaterC'' Creation'!AG63:AG309,'F-2 Off-Site WaterC'' Creation'!AA63:AA310), IFERROR(_xlfn.XLOOKUP(W58,'F-1 Off-Site WaterC'' Baseline'!AG61:AG308,'F-1 Off-Site WaterC'' Baseline'!T61:T308)," "))</f>
        <v/>
      </c>
      <c r="AD58" s="774">
        <f t="shared" si="5"/>
        <v>0</v>
      </c>
      <c r="AE58" s="1356"/>
      <c r="AF58" s="1356"/>
    </row>
    <row r="59" spans="1:32">
      <c r="A59" s="757">
        <f>'D-1 Off-Site Habitat Baseline'!AF63</f>
        <v>0</v>
      </c>
      <c r="B59" s="764"/>
      <c r="C59" s="762">
        <f>SUMIF('D-1 Off-Site Habitat Baseline'!AF63:AF66,B59,'D-1 Off-Site Habitat Baseline'!T63:T66)</f>
        <v>0</v>
      </c>
      <c r="D59" s="1354">
        <f>SUMIF('D-1 Off-Site Habitat Baseline'!$AF$11:$AF$258,'Off-site gain site summary'!$B$7,'D-1 Off-Site Habitat Baseline'!$X$11:$X$258)</f>
        <v>0</v>
      </c>
      <c r="E59" s="1355"/>
      <c r="F59" s="1354">
        <f>SUMIF('D-3 Off-Site Habitat Enhancment'!$AU$12:$AU$258,'Off-site gain site summary'!B59,'D-3 Off-Site Habitat Enhancment'!$AQ$12:$AQ$258)</f>
        <v>0</v>
      </c>
      <c r="G59" s="1355"/>
      <c r="H59" s="1354">
        <f>SUMIF('D-2 Off-Site Habitat Creation'!$AF$11:$AF$256,'Off-site gain site summary'!B59,'D-2 Off-Site Habitat Creation'!$AB$11:$AB$256)</f>
        <v>0</v>
      </c>
      <c r="I59" s="1355"/>
      <c r="J59" s="765">
        <f t="shared" si="0"/>
        <v>0</v>
      </c>
      <c r="K59" s="762" t="str">
        <f>IFERROR(_xlfn.XLOOKUP(B59,'D-2 Off-Site Habitat Creation'!$AF$11:$AF$256,'D-2 Off-Site Habitat Creation'!$Z$11:$Z$256), IFERROR(_xlfn.XLOOKUP(B59,'D-1 Off-Site Habitat Baseline'!AF63:AF310,'D-1 Off-Site Habitat Baseline'!S63:S310), " "))</f>
        <v/>
      </c>
      <c r="L59" s="766">
        <f t="shared" si="1"/>
        <v>0</v>
      </c>
      <c r="M59" s="757">
        <f>'E-1 Off-Site Hedge Baseline'!AB62</f>
        <v>0</v>
      </c>
      <c r="N59" s="772"/>
      <c r="O59" s="773">
        <f>SUMIF('E-1 Off-Site Hedge Baseline'!AB62:AB309,'Off-site gain site summary'!N59,'E-1 Off-Site Hedge Baseline'!Q62:Q309)</f>
        <v>0</v>
      </c>
      <c r="P59" s="773">
        <f>SUMIF('E-1 Off-Site Hedge Baseline'!$AB$10:$AB$257,'Off-site gain site summary'!$N59,'E-1 Off-Site Hedge Baseline'!$U$10:$U$257)</f>
        <v>0</v>
      </c>
      <c r="Q59" s="773">
        <f>SUMIF('E-3 Off-Site Hedge Enhancement'!$AO$12:$AO$257,'Off-site gain site summary'!$N59,'E-3 Off-Site Hedge Enhancement'!$AK$12:$AK$257)</f>
        <v>0</v>
      </c>
      <c r="R59" s="773">
        <f>SUMIF('E-2 Off-Site Hedge Creation'!$AD$12:$AD$259,'Off-site gain site summary'!$N59,'E-2 Off-Site Hedge Creation'!$Z$12:$Z$259)</f>
        <v>0</v>
      </c>
      <c r="S59" s="771">
        <f t="shared" si="2"/>
        <v>0</v>
      </c>
      <c r="T59" s="771" t="str">
        <f>IFERROR(_xlfn.XLOOKUP(N59,'E-2 Off-Site Hedge Creation'!AD64:AD311,'E-2 Off-Site Hedge Creation'!N64:N311), IFERROR(_xlfn.XLOOKUP(N59,'E-1 Off-Site Hedge Baseline'!AB62:AB309,'E-1 Off-Site Hedge Baseline'!P62:P309), " "))</f>
        <v/>
      </c>
      <c r="U59" s="774">
        <f t="shared" si="3"/>
        <v>0</v>
      </c>
      <c r="V59" s="1">
        <f>'F-1 Off-Site WaterC'' Baseline'!AG62</f>
        <v>0</v>
      </c>
      <c r="W59" s="772"/>
      <c r="X59" s="773">
        <f>SUMIF('F-1 Off-Site WaterC'' Baseline'!$AG$10:$AG$257,'Off-site gain site summary'!$W59,'F-1 Off-Site WaterC'' Baseline'!$U$10:$U$257)</f>
        <v>0</v>
      </c>
      <c r="Y59" s="773">
        <f>SUMIF('F-1 Off-Site WaterC'' Baseline'!$AG$10:$AG$257,'Off-site gain site summary'!$W59,'F-1 Off-Site WaterC'' Baseline'!$Y$10:$Y$257)</f>
        <v>0</v>
      </c>
      <c r="Z59" s="773">
        <f>SUMIF('F-3 Off-Site WaterC Enhancement'!$AT$12:$AT$257,'Off-site gain site summary'!$W59,'F-3 Off-Site WaterC Enhancement'!$AP$12:$AP$257)</f>
        <v>0</v>
      </c>
      <c r="AA59" s="773">
        <f>SUMIF('F-2 Off-Site WaterC'' Creation'!$AG$12:$AG$259,'Off-site gain site summary'!$W59,'F-2 Off-Site WaterC'' Creation'!$AC$12:$AC$259)</f>
        <v>0</v>
      </c>
      <c r="AB59" s="773">
        <f t="shared" si="4"/>
        <v>0</v>
      </c>
      <c r="AC59" s="773" t="str">
        <f>IFERROR(_xlfn.XLOOKUP(W59,'F-2 Off-Site WaterC'' Creation'!AG64:AG310,'F-2 Off-Site WaterC'' Creation'!AA64:AA311), IFERROR(_xlfn.XLOOKUP(W59,'F-1 Off-Site WaterC'' Baseline'!AG62:AG309,'F-1 Off-Site WaterC'' Baseline'!T62:T309)," "))</f>
        <v/>
      </c>
      <c r="AD59" s="774">
        <f t="shared" si="5"/>
        <v>0</v>
      </c>
      <c r="AE59" s="1356"/>
      <c r="AF59" s="1356"/>
    </row>
    <row r="60" spans="1:32">
      <c r="A60" s="757">
        <f>'D-1 Off-Site Habitat Baseline'!AF64</f>
        <v>0</v>
      </c>
      <c r="B60" s="764"/>
      <c r="C60" s="762">
        <f>SUMIF('D-1 Off-Site Habitat Baseline'!AF64:AF67,B60,'D-1 Off-Site Habitat Baseline'!T64:T67)</f>
        <v>0</v>
      </c>
      <c r="D60" s="1354">
        <f>SUMIF('D-1 Off-Site Habitat Baseline'!$AF$11:$AF$258,'Off-site gain site summary'!$B$7,'D-1 Off-Site Habitat Baseline'!$X$11:$X$258)</f>
        <v>0</v>
      </c>
      <c r="E60" s="1355"/>
      <c r="F60" s="1354">
        <f>SUMIF('D-3 Off-Site Habitat Enhancment'!$AU$12:$AU$258,'Off-site gain site summary'!B60,'D-3 Off-Site Habitat Enhancment'!$AQ$12:$AQ$258)</f>
        <v>0</v>
      </c>
      <c r="G60" s="1355"/>
      <c r="H60" s="1354">
        <f>SUMIF('D-2 Off-Site Habitat Creation'!$AF$11:$AF$256,'Off-site gain site summary'!B60,'D-2 Off-Site Habitat Creation'!$AB$11:$AB$256)</f>
        <v>0</v>
      </c>
      <c r="I60" s="1355"/>
      <c r="J60" s="765">
        <f t="shared" si="0"/>
        <v>0</v>
      </c>
      <c r="K60" s="762" t="str">
        <f>IFERROR(_xlfn.XLOOKUP(B60,'D-2 Off-Site Habitat Creation'!$AF$11:$AF$256,'D-2 Off-Site Habitat Creation'!$Z$11:$Z$256), IFERROR(_xlfn.XLOOKUP(B60,'D-1 Off-Site Habitat Baseline'!AF64:AF311,'D-1 Off-Site Habitat Baseline'!S64:S311), " "))</f>
        <v/>
      </c>
      <c r="L60" s="766">
        <f t="shared" si="1"/>
        <v>0</v>
      </c>
      <c r="M60" s="757">
        <f>'E-1 Off-Site Hedge Baseline'!AB63</f>
        <v>0</v>
      </c>
      <c r="N60" s="772"/>
      <c r="O60" s="773">
        <f>SUMIF('E-1 Off-Site Hedge Baseline'!AB63:AB310,'Off-site gain site summary'!N60,'E-1 Off-Site Hedge Baseline'!Q63:Q310)</f>
        <v>0</v>
      </c>
      <c r="P60" s="773">
        <f>SUMIF('E-1 Off-Site Hedge Baseline'!$AB$10:$AB$257,'Off-site gain site summary'!$N60,'E-1 Off-Site Hedge Baseline'!$U$10:$U$257)</f>
        <v>0</v>
      </c>
      <c r="Q60" s="773">
        <f>SUMIF('E-3 Off-Site Hedge Enhancement'!$AO$12:$AO$257,'Off-site gain site summary'!$N60,'E-3 Off-Site Hedge Enhancement'!$AK$12:$AK$257)</f>
        <v>0</v>
      </c>
      <c r="R60" s="773">
        <f>SUMIF('E-2 Off-Site Hedge Creation'!$AD$12:$AD$259,'Off-site gain site summary'!$N60,'E-2 Off-Site Hedge Creation'!$Z$12:$Z$259)</f>
        <v>0</v>
      </c>
      <c r="S60" s="771">
        <f t="shared" si="2"/>
        <v>0</v>
      </c>
      <c r="T60" s="771" t="str">
        <f>IFERROR(_xlfn.XLOOKUP(N60,'E-2 Off-Site Hedge Creation'!AD65:AD312,'E-2 Off-Site Hedge Creation'!N65:N312), IFERROR(_xlfn.XLOOKUP(N60,'E-1 Off-Site Hedge Baseline'!AB63:AB310,'E-1 Off-Site Hedge Baseline'!P63:P310), " "))</f>
        <v/>
      </c>
      <c r="U60" s="774">
        <f t="shared" si="3"/>
        <v>0</v>
      </c>
      <c r="V60" s="1">
        <f>'F-1 Off-Site WaterC'' Baseline'!AG63</f>
        <v>0</v>
      </c>
      <c r="W60" s="772"/>
      <c r="X60" s="773">
        <f>SUMIF('F-1 Off-Site WaterC'' Baseline'!$AG$10:$AG$257,'Off-site gain site summary'!$W60,'F-1 Off-Site WaterC'' Baseline'!$U$10:$U$257)</f>
        <v>0</v>
      </c>
      <c r="Y60" s="773">
        <f>SUMIF('F-1 Off-Site WaterC'' Baseline'!$AG$10:$AG$257,'Off-site gain site summary'!$W60,'F-1 Off-Site WaterC'' Baseline'!$Y$10:$Y$257)</f>
        <v>0</v>
      </c>
      <c r="Z60" s="773">
        <f>SUMIF('F-3 Off-Site WaterC Enhancement'!$AT$12:$AT$257,'Off-site gain site summary'!$W60,'F-3 Off-Site WaterC Enhancement'!$AP$12:$AP$257)</f>
        <v>0</v>
      </c>
      <c r="AA60" s="773">
        <f>SUMIF('F-2 Off-Site WaterC'' Creation'!$AG$12:$AG$259,'Off-site gain site summary'!$W60,'F-2 Off-Site WaterC'' Creation'!$AC$12:$AC$259)</f>
        <v>0</v>
      </c>
      <c r="AB60" s="773">
        <f t="shared" si="4"/>
        <v>0</v>
      </c>
      <c r="AC60" s="773" t="str">
        <f>IFERROR(_xlfn.XLOOKUP(W60,'F-2 Off-Site WaterC'' Creation'!AG65:AG311,'F-2 Off-Site WaterC'' Creation'!AA65:AA312), IFERROR(_xlfn.XLOOKUP(W60,'F-1 Off-Site WaterC'' Baseline'!AG63:AG310,'F-1 Off-Site WaterC'' Baseline'!T63:T310)," "))</f>
        <v/>
      </c>
      <c r="AD60" s="774">
        <f t="shared" si="5"/>
        <v>0</v>
      </c>
      <c r="AE60" s="1356"/>
      <c r="AF60" s="1356"/>
    </row>
    <row r="61" spans="1:32">
      <c r="A61" s="757">
        <f>'D-1 Off-Site Habitat Baseline'!AF65</f>
        <v>0</v>
      </c>
      <c r="B61" s="764"/>
      <c r="C61" s="762">
        <f>SUMIF('D-1 Off-Site Habitat Baseline'!AF65:AF68,B61,'D-1 Off-Site Habitat Baseline'!T65:T68)</f>
        <v>0</v>
      </c>
      <c r="D61" s="1354">
        <f>SUMIF('D-1 Off-Site Habitat Baseline'!$AF$11:$AF$258,'Off-site gain site summary'!$B$7,'D-1 Off-Site Habitat Baseline'!$X$11:$X$258)</f>
        <v>0</v>
      </c>
      <c r="E61" s="1355"/>
      <c r="F61" s="1354">
        <f>SUMIF('D-3 Off-Site Habitat Enhancment'!$AU$12:$AU$258,'Off-site gain site summary'!B61,'D-3 Off-Site Habitat Enhancment'!$AQ$12:$AQ$258)</f>
        <v>0</v>
      </c>
      <c r="G61" s="1355"/>
      <c r="H61" s="1354">
        <f>SUMIF('D-2 Off-Site Habitat Creation'!$AF$11:$AF$256,'Off-site gain site summary'!B61,'D-2 Off-Site Habitat Creation'!$AB$11:$AB$256)</f>
        <v>0</v>
      </c>
      <c r="I61" s="1355"/>
      <c r="J61" s="765">
        <f t="shared" si="0"/>
        <v>0</v>
      </c>
      <c r="K61" s="762" t="str">
        <f>IFERROR(_xlfn.XLOOKUP(B61,'D-2 Off-Site Habitat Creation'!$AF$11:$AF$256,'D-2 Off-Site Habitat Creation'!$Z$11:$Z$256), IFERROR(_xlfn.XLOOKUP(B61,'D-1 Off-Site Habitat Baseline'!AF65:AF312,'D-1 Off-Site Habitat Baseline'!S65:S312), " "))</f>
        <v/>
      </c>
      <c r="L61" s="766">
        <f t="shared" si="1"/>
        <v>0</v>
      </c>
      <c r="M61" s="757">
        <f>'E-1 Off-Site Hedge Baseline'!AB64</f>
        <v>0</v>
      </c>
      <c r="N61" s="772"/>
      <c r="O61" s="773">
        <f>SUMIF('E-1 Off-Site Hedge Baseline'!AB64:AB311,'Off-site gain site summary'!N61,'E-1 Off-Site Hedge Baseline'!Q64:Q311)</f>
        <v>0</v>
      </c>
      <c r="P61" s="773">
        <f>SUMIF('E-1 Off-Site Hedge Baseline'!$AB$10:$AB$257,'Off-site gain site summary'!$N61,'E-1 Off-Site Hedge Baseline'!$U$10:$U$257)</f>
        <v>0</v>
      </c>
      <c r="Q61" s="773">
        <f>SUMIF('E-3 Off-Site Hedge Enhancement'!$AO$12:$AO$257,'Off-site gain site summary'!$N61,'E-3 Off-Site Hedge Enhancement'!$AK$12:$AK$257)</f>
        <v>0</v>
      </c>
      <c r="R61" s="773">
        <f>SUMIF('E-2 Off-Site Hedge Creation'!$AD$12:$AD$259,'Off-site gain site summary'!$N61,'E-2 Off-Site Hedge Creation'!$Z$12:$Z$259)</f>
        <v>0</v>
      </c>
      <c r="S61" s="771">
        <f t="shared" si="2"/>
        <v>0</v>
      </c>
      <c r="T61" s="771" t="str">
        <f>IFERROR(_xlfn.XLOOKUP(N61,'E-2 Off-Site Hedge Creation'!AD66:AD313,'E-2 Off-Site Hedge Creation'!N66:N313), IFERROR(_xlfn.XLOOKUP(N61,'E-1 Off-Site Hedge Baseline'!AB64:AB311,'E-1 Off-Site Hedge Baseline'!P64:P311), " "))</f>
        <v/>
      </c>
      <c r="U61" s="774">
        <f t="shared" si="3"/>
        <v>0</v>
      </c>
      <c r="V61" s="1">
        <f>'F-1 Off-Site WaterC'' Baseline'!AG64</f>
        <v>0</v>
      </c>
      <c r="W61" s="772"/>
      <c r="X61" s="773">
        <f>SUMIF('F-1 Off-Site WaterC'' Baseline'!$AG$10:$AG$257,'Off-site gain site summary'!$W61,'F-1 Off-Site WaterC'' Baseline'!$U$10:$U$257)</f>
        <v>0</v>
      </c>
      <c r="Y61" s="773">
        <f>SUMIF('F-1 Off-Site WaterC'' Baseline'!$AG$10:$AG$257,'Off-site gain site summary'!$W61,'F-1 Off-Site WaterC'' Baseline'!$Y$10:$Y$257)</f>
        <v>0</v>
      </c>
      <c r="Z61" s="773">
        <f>SUMIF('F-3 Off-Site WaterC Enhancement'!$AT$12:$AT$257,'Off-site gain site summary'!$W61,'F-3 Off-Site WaterC Enhancement'!$AP$12:$AP$257)</f>
        <v>0</v>
      </c>
      <c r="AA61" s="773">
        <f>SUMIF('F-2 Off-Site WaterC'' Creation'!$AG$12:$AG$259,'Off-site gain site summary'!$W61,'F-2 Off-Site WaterC'' Creation'!$AC$12:$AC$259)</f>
        <v>0</v>
      </c>
      <c r="AB61" s="773">
        <f t="shared" si="4"/>
        <v>0</v>
      </c>
      <c r="AC61" s="773" t="str">
        <f>IFERROR(_xlfn.XLOOKUP(W61,'F-2 Off-Site WaterC'' Creation'!AG66:AG312,'F-2 Off-Site WaterC'' Creation'!AA66:AA313), IFERROR(_xlfn.XLOOKUP(W61,'F-1 Off-Site WaterC'' Baseline'!AG64:AG311,'F-1 Off-Site WaterC'' Baseline'!T64:T311)," "))</f>
        <v/>
      </c>
      <c r="AD61" s="774">
        <f t="shared" si="5"/>
        <v>0</v>
      </c>
      <c r="AE61" s="1356"/>
      <c r="AF61" s="1356"/>
    </row>
    <row r="62" spans="1:32">
      <c r="A62" s="757">
        <f>'D-1 Off-Site Habitat Baseline'!AF66</f>
        <v>0</v>
      </c>
      <c r="B62" s="764"/>
      <c r="C62" s="762">
        <f>SUMIF('D-1 Off-Site Habitat Baseline'!AF66:AF69,B62,'D-1 Off-Site Habitat Baseline'!T66:T69)</f>
        <v>0</v>
      </c>
      <c r="D62" s="1354">
        <f>SUMIF('D-1 Off-Site Habitat Baseline'!$AF$11:$AF$258,'Off-site gain site summary'!$B$7,'D-1 Off-Site Habitat Baseline'!$X$11:$X$258)</f>
        <v>0</v>
      </c>
      <c r="E62" s="1355"/>
      <c r="F62" s="1354">
        <f>SUMIF('D-3 Off-Site Habitat Enhancment'!$AU$12:$AU$258,'Off-site gain site summary'!B62,'D-3 Off-Site Habitat Enhancment'!$AQ$12:$AQ$258)</f>
        <v>0</v>
      </c>
      <c r="G62" s="1355"/>
      <c r="H62" s="1354">
        <f>SUMIF('D-2 Off-Site Habitat Creation'!$AF$11:$AF$256,'Off-site gain site summary'!B62,'D-2 Off-Site Habitat Creation'!$AB$11:$AB$256)</f>
        <v>0</v>
      </c>
      <c r="I62" s="1355"/>
      <c r="J62" s="765">
        <f t="shared" si="0"/>
        <v>0</v>
      </c>
      <c r="K62" s="762" t="str">
        <f>IFERROR(_xlfn.XLOOKUP(B62,'D-2 Off-Site Habitat Creation'!$AF$11:$AF$256,'D-2 Off-Site Habitat Creation'!$Z$11:$Z$256), IFERROR(_xlfn.XLOOKUP(B62,'D-1 Off-Site Habitat Baseline'!AF66:AF313,'D-1 Off-Site Habitat Baseline'!S66:S313), " "))</f>
        <v/>
      </c>
      <c r="L62" s="766">
        <f t="shared" si="1"/>
        <v>0</v>
      </c>
      <c r="M62" s="757">
        <f>'E-1 Off-Site Hedge Baseline'!AB65</f>
        <v>0</v>
      </c>
      <c r="N62" s="772"/>
      <c r="O62" s="773">
        <f>SUMIF('E-1 Off-Site Hedge Baseline'!AB65:AB312,'Off-site gain site summary'!N62,'E-1 Off-Site Hedge Baseline'!Q65:Q312)</f>
        <v>0</v>
      </c>
      <c r="P62" s="773">
        <f>SUMIF('E-1 Off-Site Hedge Baseline'!$AB$10:$AB$257,'Off-site gain site summary'!$N62,'E-1 Off-Site Hedge Baseline'!$U$10:$U$257)</f>
        <v>0</v>
      </c>
      <c r="Q62" s="773">
        <f>SUMIF('E-3 Off-Site Hedge Enhancement'!$AO$12:$AO$257,'Off-site gain site summary'!$N62,'E-3 Off-Site Hedge Enhancement'!$AK$12:$AK$257)</f>
        <v>0</v>
      </c>
      <c r="R62" s="773">
        <f>SUMIF('E-2 Off-Site Hedge Creation'!$AD$12:$AD$259,'Off-site gain site summary'!$N62,'E-2 Off-Site Hedge Creation'!$Z$12:$Z$259)</f>
        <v>0</v>
      </c>
      <c r="S62" s="771">
        <f t="shared" si="2"/>
        <v>0</v>
      </c>
      <c r="T62" s="771" t="str">
        <f>IFERROR(_xlfn.XLOOKUP(N62,'E-2 Off-Site Hedge Creation'!AD67:AD314,'E-2 Off-Site Hedge Creation'!N67:N314), IFERROR(_xlfn.XLOOKUP(N62,'E-1 Off-Site Hedge Baseline'!AB65:AB312,'E-1 Off-Site Hedge Baseline'!P65:P312), " "))</f>
        <v/>
      </c>
      <c r="U62" s="774">
        <f t="shared" si="3"/>
        <v>0</v>
      </c>
      <c r="V62" s="1">
        <f>'F-1 Off-Site WaterC'' Baseline'!AG65</f>
        <v>0</v>
      </c>
      <c r="W62" s="772"/>
      <c r="X62" s="773">
        <f>SUMIF('F-1 Off-Site WaterC'' Baseline'!$AG$10:$AG$257,'Off-site gain site summary'!$W62,'F-1 Off-Site WaterC'' Baseline'!$U$10:$U$257)</f>
        <v>0</v>
      </c>
      <c r="Y62" s="773">
        <f>SUMIF('F-1 Off-Site WaterC'' Baseline'!$AG$10:$AG$257,'Off-site gain site summary'!$W62,'F-1 Off-Site WaterC'' Baseline'!$Y$10:$Y$257)</f>
        <v>0</v>
      </c>
      <c r="Z62" s="773">
        <f>SUMIF('F-3 Off-Site WaterC Enhancement'!$AT$12:$AT$257,'Off-site gain site summary'!$W62,'F-3 Off-Site WaterC Enhancement'!$AP$12:$AP$257)</f>
        <v>0</v>
      </c>
      <c r="AA62" s="773">
        <f>SUMIF('F-2 Off-Site WaterC'' Creation'!$AG$12:$AG$259,'Off-site gain site summary'!$W62,'F-2 Off-Site WaterC'' Creation'!$AC$12:$AC$259)</f>
        <v>0</v>
      </c>
      <c r="AB62" s="773">
        <f t="shared" si="4"/>
        <v>0</v>
      </c>
      <c r="AC62" s="773" t="str">
        <f>IFERROR(_xlfn.XLOOKUP(W62,'F-2 Off-Site WaterC'' Creation'!AG67:AG313,'F-2 Off-Site WaterC'' Creation'!AA67:AA314), IFERROR(_xlfn.XLOOKUP(W62,'F-1 Off-Site WaterC'' Baseline'!AG65:AG312,'F-1 Off-Site WaterC'' Baseline'!T65:T312)," "))</f>
        <v/>
      </c>
      <c r="AD62" s="774">
        <f t="shared" si="5"/>
        <v>0</v>
      </c>
      <c r="AE62" s="1356"/>
      <c r="AF62" s="1356"/>
    </row>
    <row r="63" spans="1:32">
      <c r="A63" s="757">
        <f>'D-1 Off-Site Habitat Baseline'!AF67</f>
        <v>0</v>
      </c>
      <c r="B63" s="764"/>
      <c r="C63" s="762">
        <f>SUMIF('D-1 Off-Site Habitat Baseline'!AF67:AF70,B63,'D-1 Off-Site Habitat Baseline'!T67:T70)</f>
        <v>0</v>
      </c>
      <c r="D63" s="1354">
        <f>SUMIF('D-1 Off-Site Habitat Baseline'!$AF$11:$AF$258,'Off-site gain site summary'!$B$7,'D-1 Off-Site Habitat Baseline'!$X$11:$X$258)</f>
        <v>0</v>
      </c>
      <c r="E63" s="1355"/>
      <c r="F63" s="1354">
        <f>SUMIF('D-3 Off-Site Habitat Enhancment'!$AU$12:$AU$258,'Off-site gain site summary'!B63,'D-3 Off-Site Habitat Enhancment'!$AQ$12:$AQ$258)</f>
        <v>0</v>
      </c>
      <c r="G63" s="1355"/>
      <c r="H63" s="1354">
        <f>SUMIF('D-2 Off-Site Habitat Creation'!$AF$11:$AF$256,'Off-site gain site summary'!B63,'D-2 Off-Site Habitat Creation'!$AB$11:$AB$256)</f>
        <v>0</v>
      </c>
      <c r="I63" s="1355"/>
      <c r="J63" s="765">
        <f t="shared" si="0"/>
        <v>0</v>
      </c>
      <c r="K63" s="762" t="str">
        <f>IFERROR(_xlfn.XLOOKUP(B63,'D-2 Off-Site Habitat Creation'!$AF$11:$AF$256,'D-2 Off-Site Habitat Creation'!$Z$11:$Z$256), IFERROR(_xlfn.XLOOKUP(B63,'D-1 Off-Site Habitat Baseline'!AF67:AF314,'D-1 Off-Site Habitat Baseline'!S67:S314), " "))</f>
        <v/>
      </c>
      <c r="L63" s="766">
        <f t="shared" si="1"/>
        <v>0</v>
      </c>
      <c r="M63" s="757">
        <f>'E-1 Off-Site Hedge Baseline'!AB66</f>
        <v>0</v>
      </c>
      <c r="N63" s="772"/>
      <c r="O63" s="773">
        <f>SUMIF('E-1 Off-Site Hedge Baseline'!AB66:AB313,'Off-site gain site summary'!N63,'E-1 Off-Site Hedge Baseline'!Q66:Q313)</f>
        <v>0</v>
      </c>
      <c r="P63" s="773">
        <f>SUMIF('E-1 Off-Site Hedge Baseline'!$AB$10:$AB$257,'Off-site gain site summary'!$N63,'E-1 Off-Site Hedge Baseline'!$U$10:$U$257)</f>
        <v>0</v>
      </c>
      <c r="Q63" s="773">
        <f>SUMIF('E-3 Off-Site Hedge Enhancement'!$AO$12:$AO$257,'Off-site gain site summary'!$N63,'E-3 Off-Site Hedge Enhancement'!$AK$12:$AK$257)</f>
        <v>0</v>
      </c>
      <c r="R63" s="773">
        <f>SUMIF('E-2 Off-Site Hedge Creation'!$AD$12:$AD$259,'Off-site gain site summary'!$N63,'E-2 Off-Site Hedge Creation'!$Z$12:$Z$259)</f>
        <v>0</v>
      </c>
      <c r="S63" s="771">
        <f t="shared" si="2"/>
        <v>0</v>
      </c>
      <c r="T63" s="771" t="str">
        <f>IFERROR(_xlfn.XLOOKUP(N63,'E-2 Off-Site Hedge Creation'!AD68:AD315,'E-2 Off-Site Hedge Creation'!N68:N315), IFERROR(_xlfn.XLOOKUP(N63,'E-1 Off-Site Hedge Baseline'!AB66:AB313,'E-1 Off-Site Hedge Baseline'!P66:P313), " "))</f>
        <v/>
      </c>
      <c r="U63" s="774">
        <f t="shared" si="3"/>
        <v>0</v>
      </c>
      <c r="V63" s="1">
        <f>'F-1 Off-Site WaterC'' Baseline'!AG66</f>
        <v>0</v>
      </c>
      <c r="W63" s="772"/>
      <c r="X63" s="773">
        <f>SUMIF('F-1 Off-Site WaterC'' Baseline'!$AG$10:$AG$257,'Off-site gain site summary'!$W63,'F-1 Off-Site WaterC'' Baseline'!$U$10:$U$257)</f>
        <v>0</v>
      </c>
      <c r="Y63" s="773">
        <f>SUMIF('F-1 Off-Site WaterC'' Baseline'!$AG$10:$AG$257,'Off-site gain site summary'!$W63,'F-1 Off-Site WaterC'' Baseline'!$Y$10:$Y$257)</f>
        <v>0</v>
      </c>
      <c r="Z63" s="773">
        <f>SUMIF('F-3 Off-Site WaterC Enhancement'!$AT$12:$AT$257,'Off-site gain site summary'!$W63,'F-3 Off-Site WaterC Enhancement'!$AP$12:$AP$257)</f>
        <v>0</v>
      </c>
      <c r="AA63" s="773">
        <f>SUMIF('F-2 Off-Site WaterC'' Creation'!$AG$12:$AG$259,'Off-site gain site summary'!$W63,'F-2 Off-Site WaterC'' Creation'!$AC$12:$AC$259)</f>
        <v>0</v>
      </c>
      <c r="AB63" s="773">
        <f t="shared" si="4"/>
        <v>0</v>
      </c>
      <c r="AC63" s="773" t="str">
        <f>IFERROR(_xlfn.XLOOKUP(W63,'F-2 Off-Site WaterC'' Creation'!AG68:AG314,'F-2 Off-Site WaterC'' Creation'!AA68:AA315), IFERROR(_xlfn.XLOOKUP(W63,'F-1 Off-Site WaterC'' Baseline'!AG66:AG313,'F-1 Off-Site WaterC'' Baseline'!T66:T313)," "))</f>
        <v/>
      </c>
      <c r="AD63" s="774">
        <f t="shared" si="5"/>
        <v>0</v>
      </c>
      <c r="AE63" s="1356"/>
      <c r="AF63" s="1356"/>
    </row>
    <row r="64" spans="1:32">
      <c r="A64" s="757">
        <f>'D-1 Off-Site Habitat Baseline'!AF68</f>
        <v>0</v>
      </c>
      <c r="B64" s="764"/>
      <c r="C64" s="762">
        <f>SUMIF('D-1 Off-Site Habitat Baseline'!AF68:AF71,B64,'D-1 Off-Site Habitat Baseline'!T68:T71)</f>
        <v>0</v>
      </c>
      <c r="D64" s="1354">
        <f>SUMIF('D-1 Off-Site Habitat Baseline'!$AF$11:$AF$258,'Off-site gain site summary'!$B$7,'D-1 Off-Site Habitat Baseline'!$X$11:$X$258)</f>
        <v>0</v>
      </c>
      <c r="E64" s="1355"/>
      <c r="F64" s="1354">
        <f>SUMIF('D-3 Off-Site Habitat Enhancment'!$AU$12:$AU$258,'Off-site gain site summary'!B64,'D-3 Off-Site Habitat Enhancment'!$AQ$12:$AQ$258)</f>
        <v>0</v>
      </c>
      <c r="G64" s="1355"/>
      <c r="H64" s="1354">
        <f>SUMIF('D-2 Off-Site Habitat Creation'!$AF$11:$AF$256,'Off-site gain site summary'!B64,'D-2 Off-Site Habitat Creation'!$AB$11:$AB$256)</f>
        <v>0</v>
      </c>
      <c r="I64" s="1355"/>
      <c r="J64" s="765">
        <f t="shared" si="0"/>
        <v>0</v>
      </c>
      <c r="K64" s="762" t="str">
        <f>IFERROR(_xlfn.XLOOKUP(B64,'D-2 Off-Site Habitat Creation'!$AF$11:$AF$256,'D-2 Off-Site Habitat Creation'!$Z$11:$Z$256), IFERROR(_xlfn.XLOOKUP(B64,'D-1 Off-Site Habitat Baseline'!AF68:AF315,'D-1 Off-Site Habitat Baseline'!S68:S315), " "))</f>
        <v/>
      </c>
      <c r="L64" s="766">
        <f t="shared" si="1"/>
        <v>0</v>
      </c>
      <c r="M64" s="757">
        <f>'E-1 Off-Site Hedge Baseline'!AB67</f>
        <v>0</v>
      </c>
      <c r="N64" s="772"/>
      <c r="O64" s="773">
        <f>SUMIF('E-1 Off-Site Hedge Baseline'!AB67:AB314,'Off-site gain site summary'!N64,'E-1 Off-Site Hedge Baseline'!Q67:Q314)</f>
        <v>0</v>
      </c>
      <c r="P64" s="773">
        <f>SUMIF('E-1 Off-Site Hedge Baseline'!$AB$10:$AB$257,'Off-site gain site summary'!$N64,'E-1 Off-Site Hedge Baseline'!$U$10:$U$257)</f>
        <v>0</v>
      </c>
      <c r="Q64" s="773">
        <f>SUMIF('E-3 Off-Site Hedge Enhancement'!$AO$12:$AO$257,'Off-site gain site summary'!$N64,'E-3 Off-Site Hedge Enhancement'!$AK$12:$AK$257)</f>
        <v>0</v>
      </c>
      <c r="R64" s="773">
        <f>SUMIF('E-2 Off-Site Hedge Creation'!$AD$12:$AD$259,'Off-site gain site summary'!$N64,'E-2 Off-Site Hedge Creation'!$Z$12:$Z$259)</f>
        <v>0</v>
      </c>
      <c r="S64" s="771">
        <f t="shared" si="2"/>
        <v>0</v>
      </c>
      <c r="T64" s="771" t="str">
        <f>IFERROR(_xlfn.XLOOKUP(N64,'E-2 Off-Site Hedge Creation'!AD69:AD316,'E-2 Off-Site Hedge Creation'!N69:N316), IFERROR(_xlfn.XLOOKUP(N64,'E-1 Off-Site Hedge Baseline'!AB67:AB314,'E-1 Off-Site Hedge Baseline'!P67:P314), " "))</f>
        <v/>
      </c>
      <c r="U64" s="774">
        <f t="shared" si="3"/>
        <v>0</v>
      </c>
      <c r="V64" s="1">
        <f>'F-1 Off-Site WaterC'' Baseline'!AG67</f>
        <v>0</v>
      </c>
      <c r="W64" s="772"/>
      <c r="X64" s="773">
        <f>SUMIF('F-1 Off-Site WaterC'' Baseline'!$AG$10:$AG$257,'Off-site gain site summary'!$W64,'F-1 Off-Site WaterC'' Baseline'!$U$10:$U$257)</f>
        <v>0</v>
      </c>
      <c r="Y64" s="773">
        <f>SUMIF('F-1 Off-Site WaterC'' Baseline'!$AG$10:$AG$257,'Off-site gain site summary'!$W64,'F-1 Off-Site WaterC'' Baseline'!$Y$10:$Y$257)</f>
        <v>0</v>
      </c>
      <c r="Z64" s="773">
        <f>SUMIF('F-3 Off-Site WaterC Enhancement'!$AT$12:$AT$257,'Off-site gain site summary'!$W64,'F-3 Off-Site WaterC Enhancement'!$AP$12:$AP$257)</f>
        <v>0</v>
      </c>
      <c r="AA64" s="773">
        <f>SUMIF('F-2 Off-Site WaterC'' Creation'!$AG$12:$AG$259,'Off-site gain site summary'!$W64,'F-2 Off-Site WaterC'' Creation'!$AC$12:$AC$259)</f>
        <v>0</v>
      </c>
      <c r="AB64" s="773">
        <f t="shared" si="4"/>
        <v>0</v>
      </c>
      <c r="AC64" s="773" t="str">
        <f>IFERROR(_xlfn.XLOOKUP(W64,'F-2 Off-Site WaterC'' Creation'!AG69:AG315,'F-2 Off-Site WaterC'' Creation'!AA69:AA316), IFERROR(_xlfn.XLOOKUP(W64,'F-1 Off-Site WaterC'' Baseline'!AG67:AG314,'F-1 Off-Site WaterC'' Baseline'!T67:T314)," "))</f>
        <v/>
      </c>
      <c r="AD64" s="774">
        <f t="shared" si="5"/>
        <v>0</v>
      </c>
      <c r="AE64" s="1356"/>
      <c r="AF64" s="1356"/>
    </row>
    <row r="65" spans="1:32">
      <c r="A65" s="757">
        <f>'D-1 Off-Site Habitat Baseline'!AF69</f>
        <v>0</v>
      </c>
      <c r="B65" s="764"/>
      <c r="C65" s="762">
        <f>SUMIF('D-1 Off-Site Habitat Baseline'!AF69:AF72,B65,'D-1 Off-Site Habitat Baseline'!T69:T72)</f>
        <v>0</v>
      </c>
      <c r="D65" s="1354">
        <f>SUMIF('D-1 Off-Site Habitat Baseline'!$AF$11:$AF$258,'Off-site gain site summary'!$B$7,'D-1 Off-Site Habitat Baseline'!$X$11:$X$258)</f>
        <v>0</v>
      </c>
      <c r="E65" s="1355"/>
      <c r="F65" s="1354">
        <f>SUMIF('D-3 Off-Site Habitat Enhancment'!$AU$12:$AU$258,'Off-site gain site summary'!B65,'D-3 Off-Site Habitat Enhancment'!$AQ$12:$AQ$258)</f>
        <v>0</v>
      </c>
      <c r="G65" s="1355"/>
      <c r="H65" s="1354">
        <f>SUMIF('D-2 Off-Site Habitat Creation'!$AF$11:$AF$256,'Off-site gain site summary'!B65,'D-2 Off-Site Habitat Creation'!$AB$11:$AB$256)</f>
        <v>0</v>
      </c>
      <c r="I65" s="1355"/>
      <c r="J65" s="765">
        <f t="shared" si="0"/>
        <v>0</v>
      </c>
      <c r="K65" s="762" t="str">
        <f>IFERROR(_xlfn.XLOOKUP(B65,'D-2 Off-Site Habitat Creation'!$AF$11:$AF$256,'D-2 Off-Site Habitat Creation'!$Z$11:$Z$256), IFERROR(_xlfn.XLOOKUP(B65,'D-1 Off-Site Habitat Baseline'!AF69:AF316,'D-1 Off-Site Habitat Baseline'!S69:S316), " "))</f>
        <v/>
      </c>
      <c r="L65" s="766">
        <f t="shared" si="1"/>
        <v>0</v>
      </c>
      <c r="M65" s="757">
        <f>'E-1 Off-Site Hedge Baseline'!AB68</f>
        <v>0</v>
      </c>
      <c r="N65" s="772"/>
      <c r="O65" s="773">
        <f>SUMIF('E-1 Off-Site Hedge Baseline'!AB68:AB315,'Off-site gain site summary'!N65,'E-1 Off-Site Hedge Baseline'!Q68:Q315)</f>
        <v>0</v>
      </c>
      <c r="P65" s="773">
        <f>SUMIF('E-1 Off-Site Hedge Baseline'!$AB$10:$AB$257,'Off-site gain site summary'!$N65,'E-1 Off-Site Hedge Baseline'!$U$10:$U$257)</f>
        <v>0</v>
      </c>
      <c r="Q65" s="773">
        <f>SUMIF('E-3 Off-Site Hedge Enhancement'!$AO$12:$AO$257,'Off-site gain site summary'!$N65,'E-3 Off-Site Hedge Enhancement'!$AK$12:$AK$257)</f>
        <v>0</v>
      </c>
      <c r="R65" s="773">
        <f>SUMIF('E-2 Off-Site Hedge Creation'!$AD$12:$AD$259,'Off-site gain site summary'!$N65,'E-2 Off-Site Hedge Creation'!$Z$12:$Z$259)</f>
        <v>0</v>
      </c>
      <c r="S65" s="771">
        <f t="shared" si="2"/>
        <v>0</v>
      </c>
      <c r="T65" s="771" t="str">
        <f>IFERROR(_xlfn.XLOOKUP(N65,'E-2 Off-Site Hedge Creation'!AD70:AD317,'E-2 Off-Site Hedge Creation'!N70:N317), IFERROR(_xlfn.XLOOKUP(N65,'E-1 Off-Site Hedge Baseline'!AB68:AB315,'E-1 Off-Site Hedge Baseline'!P68:P315), " "))</f>
        <v/>
      </c>
      <c r="U65" s="774">
        <f t="shared" si="3"/>
        <v>0</v>
      </c>
      <c r="V65" s="1">
        <f>'F-1 Off-Site WaterC'' Baseline'!AG68</f>
        <v>0</v>
      </c>
      <c r="W65" s="772"/>
      <c r="X65" s="773">
        <f>SUMIF('F-1 Off-Site WaterC'' Baseline'!$AG$10:$AG$257,'Off-site gain site summary'!$W65,'F-1 Off-Site WaterC'' Baseline'!$U$10:$U$257)</f>
        <v>0</v>
      </c>
      <c r="Y65" s="773">
        <f>SUMIF('F-1 Off-Site WaterC'' Baseline'!$AG$10:$AG$257,'Off-site gain site summary'!$W65,'F-1 Off-Site WaterC'' Baseline'!$Y$10:$Y$257)</f>
        <v>0</v>
      </c>
      <c r="Z65" s="773">
        <f>SUMIF('F-3 Off-Site WaterC Enhancement'!$AT$12:$AT$257,'Off-site gain site summary'!$W65,'F-3 Off-Site WaterC Enhancement'!$AP$12:$AP$257)</f>
        <v>0</v>
      </c>
      <c r="AA65" s="773">
        <f>SUMIF('F-2 Off-Site WaterC'' Creation'!$AG$12:$AG$259,'Off-site gain site summary'!$W65,'F-2 Off-Site WaterC'' Creation'!$AC$12:$AC$259)</f>
        <v>0</v>
      </c>
      <c r="AB65" s="773">
        <f t="shared" si="4"/>
        <v>0</v>
      </c>
      <c r="AC65" s="773" t="str">
        <f>IFERROR(_xlfn.XLOOKUP(W65,'F-2 Off-Site WaterC'' Creation'!AG70:AG316,'F-2 Off-Site WaterC'' Creation'!AA70:AA317), IFERROR(_xlfn.XLOOKUP(W65,'F-1 Off-Site WaterC'' Baseline'!AG68:AG315,'F-1 Off-Site WaterC'' Baseline'!T68:T315)," "))</f>
        <v/>
      </c>
      <c r="AD65" s="774">
        <f t="shared" si="5"/>
        <v>0</v>
      </c>
      <c r="AE65" s="1356"/>
      <c r="AF65" s="1356"/>
    </row>
    <row r="66" spans="1:32">
      <c r="A66" s="757">
        <f>'D-1 Off-Site Habitat Baseline'!AF70</f>
        <v>0</v>
      </c>
      <c r="B66" s="764"/>
      <c r="C66" s="762">
        <f>SUMIF('D-1 Off-Site Habitat Baseline'!AF70:AF73,B66,'D-1 Off-Site Habitat Baseline'!T70:T73)</f>
        <v>0</v>
      </c>
      <c r="D66" s="1354">
        <f>SUMIF('D-1 Off-Site Habitat Baseline'!$AF$11:$AF$258,'Off-site gain site summary'!$B$7,'D-1 Off-Site Habitat Baseline'!$X$11:$X$258)</f>
        <v>0</v>
      </c>
      <c r="E66" s="1355"/>
      <c r="F66" s="1354">
        <f>SUMIF('D-3 Off-Site Habitat Enhancment'!$AU$12:$AU$258,'Off-site gain site summary'!B66,'D-3 Off-Site Habitat Enhancment'!$AQ$12:$AQ$258)</f>
        <v>0</v>
      </c>
      <c r="G66" s="1355"/>
      <c r="H66" s="1354">
        <f>SUMIF('D-2 Off-Site Habitat Creation'!$AF$11:$AF$256,'Off-site gain site summary'!B66,'D-2 Off-Site Habitat Creation'!$AB$11:$AB$256)</f>
        <v>0</v>
      </c>
      <c r="I66" s="1355"/>
      <c r="J66" s="765">
        <f t="shared" si="0"/>
        <v>0</v>
      </c>
      <c r="K66" s="762" t="str">
        <f>IFERROR(_xlfn.XLOOKUP(B66,'D-2 Off-Site Habitat Creation'!$AF$11:$AF$256,'D-2 Off-Site Habitat Creation'!$Z$11:$Z$256), IFERROR(_xlfn.XLOOKUP(B66,'D-1 Off-Site Habitat Baseline'!AF70:AF317,'D-1 Off-Site Habitat Baseline'!S70:S317), " "))</f>
        <v/>
      </c>
      <c r="L66" s="766">
        <f t="shared" si="1"/>
        <v>0</v>
      </c>
      <c r="M66" s="757">
        <f>'E-1 Off-Site Hedge Baseline'!AB69</f>
        <v>0</v>
      </c>
      <c r="N66" s="772"/>
      <c r="O66" s="773">
        <f>SUMIF('E-1 Off-Site Hedge Baseline'!AB69:AB316,'Off-site gain site summary'!N66,'E-1 Off-Site Hedge Baseline'!Q69:Q316)</f>
        <v>0</v>
      </c>
      <c r="P66" s="773">
        <f>SUMIF('E-1 Off-Site Hedge Baseline'!$AB$10:$AB$257,'Off-site gain site summary'!$N66,'E-1 Off-Site Hedge Baseline'!$U$10:$U$257)</f>
        <v>0</v>
      </c>
      <c r="Q66" s="773">
        <f>SUMIF('E-3 Off-Site Hedge Enhancement'!$AO$12:$AO$257,'Off-site gain site summary'!$N66,'E-3 Off-Site Hedge Enhancement'!$AK$12:$AK$257)</f>
        <v>0</v>
      </c>
      <c r="R66" s="773">
        <f>SUMIF('E-2 Off-Site Hedge Creation'!$AD$12:$AD$259,'Off-site gain site summary'!$N66,'E-2 Off-Site Hedge Creation'!$Z$12:$Z$259)</f>
        <v>0</v>
      </c>
      <c r="S66" s="771">
        <f t="shared" si="2"/>
        <v>0</v>
      </c>
      <c r="T66" s="771" t="str">
        <f>IFERROR(_xlfn.XLOOKUP(N66,'E-2 Off-Site Hedge Creation'!AD71:AD318,'E-2 Off-Site Hedge Creation'!N71:N318), IFERROR(_xlfn.XLOOKUP(N66,'E-1 Off-Site Hedge Baseline'!AB69:AB316,'E-1 Off-Site Hedge Baseline'!P69:P316), " "))</f>
        <v/>
      </c>
      <c r="U66" s="774">
        <f t="shared" si="3"/>
        <v>0</v>
      </c>
      <c r="V66" s="1">
        <f>'F-1 Off-Site WaterC'' Baseline'!AG69</f>
        <v>0</v>
      </c>
      <c r="W66" s="772"/>
      <c r="X66" s="773">
        <f>SUMIF('F-1 Off-Site WaterC'' Baseline'!$AG$10:$AG$257,'Off-site gain site summary'!$W66,'F-1 Off-Site WaterC'' Baseline'!$U$10:$U$257)</f>
        <v>0</v>
      </c>
      <c r="Y66" s="773">
        <f>SUMIF('F-1 Off-Site WaterC'' Baseline'!$AG$10:$AG$257,'Off-site gain site summary'!$W66,'F-1 Off-Site WaterC'' Baseline'!$Y$10:$Y$257)</f>
        <v>0</v>
      </c>
      <c r="Z66" s="773">
        <f>SUMIF('F-3 Off-Site WaterC Enhancement'!$AT$12:$AT$257,'Off-site gain site summary'!$W66,'F-3 Off-Site WaterC Enhancement'!$AP$12:$AP$257)</f>
        <v>0</v>
      </c>
      <c r="AA66" s="773">
        <f>SUMIF('F-2 Off-Site WaterC'' Creation'!$AG$12:$AG$259,'Off-site gain site summary'!$W66,'F-2 Off-Site WaterC'' Creation'!$AC$12:$AC$259)</f>
        <v>0</v>
      </c>
      <c r="AB66" s="773">
        <f t="shared" si="4"/>
        <v>0</v>
      </c>
      <c r="AC66" s="773" t="str">
        <f>IFERROR(_xlfn.XLOOKUP(W66,'F-2 Off-Site WaterC'' Creation'!AG71:AG317,'F-2 Off-Site WaterC'' Creation'!AA71:AA318), IFERROR(_xlfn.XLOOKUP(W66,'F-1 Off-Site WaterC'' Baseline'!AG69:AG316,'F-1 Off-Site WaterC'' Baseline'!T69:T316)," "))</f>
        <v/>
      </c>
      <c r="AD66" s="774">
        <f t="shared" si="5"/>
        <v>0</v>
      </c>
      <c r="AE66" s="1356"/>
      <c r="AF66" s="1356"/>
    </row>
    <row r="67" spans="1:32">
      <c r="A67" s="757">
        <f>'D-1 Off-Site Habitat Baseline'!AF71</f>
        <v>0</v>
      </c>
      <c r="B67" s="764"/>
      <c r="C67" s="762">
        <f>SUMIF('D-1 Off-Site Habitat Baseline'!AF71:AF74,B67,'D-1 Off-Site Habitat Baseline'!T71:T74)</f>
        <v>0</v>
      </c>
      <c r="D67" s="1354">
        <f>SUMIF('D-1 Off-Site Habitat Baseline'!$AF$11:$AF$258,'Off-site gain site summary'!$B$7,'D-1 Off-Site Habitat Baseline'!$X$11:$X$258)</f>
        <v>0</v>
      </c>
      <c r="E67" s="1355"/>
      <c r="F67" s="1354">
        <f>SUMIF('D-3 Off-Site Habitat Enhancment'!$AU$12:$AU$258,'Off-site gain site summary'!B67,'D-3 Off-Site Habitat Enhancment'!$AQ$12:$AQ$258)</f>
        <v>0</v>
      </c>
      <c r="G67" s="1355"/>
      <c r="H67" s="1354">
        <f>SUMIF('D-2 Off-Site Habitat Creation'!$AF$11:$AF$256,'Off-site gain site summary'!B67,'D-2 Off-Site Habitat Creation'!$AB$11:$AB$256)</f>
        <v>0</v>
      </c>
      <c r="I67" s="1355"/>
      <c r="J67" s="765">
        <f t="shared" si="0"/>
        <v>0</v>
      </c>
      <c r="K67" s="762" t="str">
        <f>IFERROR(_xlfn.XLOOKUP(B67,'D-2 Off-Site Habitat Creation'!$AF$11:$AF$256,'D-2 Off-Site Habitat Creation'!$Z$11:$Z$256), IFERROR(_xlfn.XLOOKUP(B67,'D-1 Off-Site Habitat Baseline'!AF71:AF318,'D-1 Off-Site Habitat Baseline'!S71:S318), " "))</f>
        <v/>
      </c>
      <c r="L67" s="766">
        <f t="shared" si="1"/>
        <v>0</v>
      </c>
      <c r="M67" s="757">
        <f>'E-1 Off-Site Hedge Baseline'!AB70</f>
        <v>0</v>
      </c>
      <c r="N67" s="772"/>
      <c r="O67" s="773">
        <f>SUMIF('E-1 Off-Site Hedge Baseline'!AB70:AB317,'Off-site gain site summary'!N67,'E-1 Off-Site Hedge Baseline'!Q70:Q317)</f>
        <v>0</v>
      </c>
      <c r="P67" s="773">
        <f>SUMIF('E-1 Off-Site Hedge Baseline'!$AB$10:$AB$257,'Off-site gain site summary'!$N67,'E-1 Off-Site Hedge Baseline'!$U$10:$U$257)</f>
        <v>0</v>
      </c>
      <c r="Q67" s="773">
        <f>SUMIF('E-3 Off-Site Hedge Enhancement'!$AO$12:$AO$257,'Off-site gain site summary'!$N67,'E-3 Off-Site Hedge Enhancement'!$AK$12:$AK$257)</f>
        <v>0</v>
      </c>
      <c r="R67" s="773">
        <f>SUMIF('E-2 Off-Site Hedge Creation'!$AD$12:$AD$259,'Off-site gain site summary'!$N67,'E-2 Off-Site Hedge Creation'!$Z$12:$Z$259)</f>
        <v>0</v>
      </c>
      <c r="S67" s="771">
        <f t="shared" si="2"/>
        <v>0</v>
      </c>
      <c r="T67" s="771" t="str">
        <f>IFERROR(_xlfn.XLOOKUP(N67,'E-2 Off-Site Hedge Creation'!AD72:AD319,'E-2 Off-Site Hedge Creation'!N72:N319), IFERROR(_xlfn.XLOOKUP(N67,'E-1 Off-Site Hedge Baseline'!AB70:AB317,'E-1 Off-Site Hedge Baseline'!P70:P317), " "))</f>
        <v/>
      </c>
      <c r="U67" s="774">
        <f t="shared" si="3"/>
        <v>0</v>
      </c>
      <c r="V67" s="1">
        <f>'F-1 Off-Site WaterC'' Baseline'!AG70</f>
        <v>0</v>
      </c>
      <c r="W67" s="772"/>
      <c r="X67" s="773">
        <f>SUMIF('F-1 Off-Site WaterC'' Baseline'!$AG$10:$AG$257,'Off-site gain site summary'!$W67,'F-1 Off-Site WaterC'' Baseline'!$U$10:$U$257)</f>
        <v>0</v>
      </c>
      <c r="Y67" s="773">
        <f>SUMIF('F-1 Off-Site WaterC'' Baseline'!$AG$10:$AG$257,'Off-site gain site summary'!$W67,'F-1 Off-Site WaterC'' Baseline'!$Y$10:$Y$257)</f>
        <v>0</v>
      </c>
      <c r="Z67" s="773">
        <f>SUMIF('F-3 Off-Site WaterC Enhancement'!$AT$12:$AT$257,'Off-site gain site summary'!$W67,'F-3 Off-Site WaterC Enhancement'!$AP$12:$AP$257)</f>
        <v>0</v>
      </c>
      <c r="AA67" s="773">
        <f>SUMIF('F-2 Off-Site WaterC'' Creation'!$AG$12:$AG$259,'Off-site gain site summary'!$W67,'F-2 Off-Site WaterC'' Creation'!$AC$12:$AC$259)</f>
        <v>0</v>
      </c>
      <c r="AB67" s="773">
        <f t="shared" si="4"/>
        <v>0</v>
      </c>
      <c r="AC67" s="773" t="str">
        <f>IFERROR(_xlfn.XLOOKUP(W67,'F-2 Off-Site WaterC'' Creation'!AG72:AG318,'F-2 Off-Site WaterC'' Creation'!AA72:AA319), IFERROR(_xlfn.XLOOKUP(W67,'F-1 Off-Site WaterC'' Baseline'!AG70:AG317,'F-1 Off-Site WaterC'' Baseline'!T70:T317)," "))</f>
        <v/>
      </c>
      <c r="AD67" s="774">
        <f t="shared" si="5"/>
        <v>0</v>
      </c>
      <c r="AE67" s="1356"/>
      <c r="AF67" s="1356"/>
    </row>
    <row r="68" spans="1:32">
      <c r="A68" s="757">
        <f>'D-1 Off-Site Habitat Baseline'!AF72</f>
        <v>0</v>
      </c>
      <c r="B68" s="764"/>
      <c r="C68" s="762">
        <f>SUMIF('D-1 Off-Site Habitat Baseline'!AF72:AF75,B68,'D-1 Off-Site Habitat Baseline'!T72:T75)</f>
        <v>0</v>
      </c>
      <c r="D68" s="1354">
        <f>SUMIF('D-1 Off-Site Habitat Baseline'!$AF$11:$AF$258,'Off-site gain site summary'!$B$7,'D-1 Off-Site Habitat Baseline'!$X$11:$X$258)</f>
        <v>0</v>
      </c>
      <c r="E68" s="1355"/>
      <c r="F68" s="1354">
        <f>SUMIF('D-3 Off-Site Habitat Enhancment'!$AU$12:$AU$258,'Off-site gain site summary'!B68,'D-3 Off-Site Habitat Enhancment'!$AQ$12:$AQ$258)</f>
        <v>0</v>
      </c>
      <c r="G68" s="1355"/>
      <c r="H68" s="1354">
        <f>SUMIF('D-2 Off-Site Habitat Creation'!$AF$11:$AF$256,'Off-site gain site summary'!B68,'D-2 Off-Site Habitat Creation'!$AB$11:$AB$256)</f>
        <v>0</v>
      </c>
      <c r="I68" s="1355"/>
      <c r="J68" s="765">
        <f t="shared" si="0"/>
        <v>0</v>
      </c>
      <c r="K68" s="762" t="str">
        <f>IFERROR(_xlfn.XLOOKUP(B68,'D-2 Off-Site Habitat Creation'!$AF$11:$AF$256,'D-2 Off-Site Habitat Creation'!$Z$11:$Z$256), IFERROR(_xlfn.XLOOKUP(B68,'D-1 Off-Site Habitat Baseline'!AF72:AF319,'D-1 Off-Site Habitat Baseline'!S72:S319), " "))</f>
        <v/>
      </c>
      <c r="L68" s="766">
        <f t="shared" si="1"/>
        <v>0</v>
      </c>
      <c r="M68" s="757">
        <f>'E-1 Off-Site Hedge Baseline'!AB71</f>
        <v>0</v>
      </c>
      <c r="N68" s="772"/>
      <c r="O68" s="773">
        <f>SUMIF('E-1 Off-Site Hedge Baseline'!AB71:AB318,'Off-site gain site summary'!N68,'E-1 Off-Site Hedge Baseline'!Q71:Q318)</f>
        <v>0</v>
      </c>
      <c r="P68" s="773">
        <f>SUMIF('E-1 Off-Site Hedge Baseline'!$AB$10:$AB$257,'Off-site gain site summary'!$N68,'E-1 Off-Site Hedge Baseline'!$U$10:$U$257)</f>
        <v>0</v>
      </c>
      <c r="Q68" s="773">
        <f>SUMIF('E-3 Off-Site Hedge Enhancement'!$AO$12:$AO$257,'Off-site gain site summary'!$N68,'E-3 Off-Site Hedge Enhancement'!$AK$12:$AK$257)</f>
        <v>0</v>
      </c>
      <c r="R68" s="773">
        <f>SUMIF('E-2 Off-Site Hedge Creation'!$AD$12:$AD$259,'Off-site gain site summary'!$N68,'E-2 Off-Site Hedge Creation'!$Z$12:$Z$259)</f>
        <v>0</v>
      </c>
      <c r="S68" s="771">
        <f t="shared" si="2"/>
        <v>0</v>
      </c>
      <c r="T68" s="771" t="str">
        <f>IFERROR(_xlfn.XLOOKUP(N68,'E-2 Off-Site Hedge Creation'!AD73:AD320,'E-2 Off-Site Hedge Creation'!N73:N320), IFERROR(_xlfn.XLOOKUP(N68,'E-1 Off-Site Hedge Baseline'!AB71:AB318,'E-1 Off-Site Hedge Baseline'!P71:P318), " "))</f>
        <v/>
      </c>
      <c r="U68" s="774">
        <f t="shared" si="3"/>
        <v>0</v>
      </c>
      <c r="V68" s="1">
        <f>'F-1 Off-Site WaterC'' Baseline'!AG71</f>
        <v>0</v>
      </c>
      <c r="W68" s="772"/>
      <c r="X68" s="773">
        <f>SUMIF('F-1 Off-Site WaterC'' Baseline'!$AG$10:$AG$257,'Off-site gain site summary'!$W68,'F-1 Off-Site WaterC'' Baseline'!$U$10:$U$257)</f>
        <v>0</v>
      </c>
      <c r="Y68" s="773">
        <f>SUMIF('F-1 Off-Site WaterC'' Baseline'!$AG$10:$AG$257,'Off-site gain site summary'!$W68,'F-1 Off-Site WaterC'' Baseline'!$Y$10:$Y$257)</f>
        <v>0</v>
      </c>
      <c r="Z68" s="773">
        <f>SUMIF('F-3 Off-Site WaterC Enhancement'!$AT$12:$AT$257,'Off-site gain site summary'!$W68,'F-3 Off-Site WaterC Enhancement'!$AP$12:$AP$257)</f>
        <v>0</v>
      </c>
      <c r="AA68" s="773">
        <f>SUMIF('F-2 Off-Site WaterC'' Creation'!$AG$12:$AG$259,'Off-site gain site summary'!$W68,'F-2 Off-Site WaterC'' Creation'!$AC$12:$AC$259)</f>
        <v>0</v>
      </c>
      <c r="AB68" s="773">
        <f t="shared" si="4"/>
        <v>0</v>
      </c>
      <c r="AC68" s="773" t="str">
        <f>IFERROR(_xlfn.XLOOKUP(W68,'F-2 Off-Site WaterC'' Creation'!AG73:AG319,'F-2 Off-Site WaterC'' Creation'!AA73:AA320), IFERROR(_xlfn.XLOOKUP(W68,'F-1 Off-Site WaterC'' Baseline'!AG71:AG318,'F-1 Off-Site WaterC'' Baseline'!T71:T318)," "))</f>
        <v/>
      </c>
      <c r="AD68" s="774">
        <f t="shared" si="5"/>
        <v>0</v>
      </c>
      <c r="AE68" s="1356"/>
      <c r="AF68" s="1356"/>
    </row>
    <row r="69" spans="1:32">
      <c r="A69" s="757">
        <f>'D-1 Off-Site Habitat Baseline'!AF73</f>
        <v>0</v>
      </c>
      <c r="B69" s="764"/>
      <c r="C69" s="762">
        <f>SUMIF('D-1 Off-Site Habitat Baseline'!AF73:AF76,B69,'D-1 Off-Site Habitat Baseline'!T73:T76)</f>
        <v>0</v>
      </c>
      <c r="D69" s="1354">
        <f>SUMIF('D-1 Off-Site Habitat Baseline'!$AF$11:$AF$258,'Off-site gain site summary'!$B$7,'D-1 Off-Site Habitat Baseline'!$X$11:$X$258)</f>
        <v>0</v>
      </c>
      <c r="E69" s="1355"/>
      <c r="F69" s="1354">
        <f>SUMIF('D-3 Off-Site Habitat Enhancment'!$AU$12:$AU$258,'Off-site gain site summary'!B69,'D-3 Off-Site Habitat Enhancment'!$AQ$12:$AQ$258)</f>
        <v>0</v>
      </c>
      <c r="G69" s="1355"/>
      <c r="H69" s="1354">
        <f>SUMIF('D-2 Off-Site Habitat Creation'!$AF$11:$AF$256,'Off-site gain site summary'!B69,'D-2 Off-Site Habitat Creation'!$AB$11:$AB$256)</f>
        <v>0</v>
      </c>
      <c r="I69" s="1355"/>
      <c r="J69" s="765">
        <f t="shared" si="0"/>
        <v>0</v>
      </c>
      <c r="K69" s="762" t="str">
        <f>IFERROR(_xlfn.XLOOKUP(B69,'D-2 Off-Site Habitat Creation'!$AF$11:$AF$256,'D-2 Off-Site Habitat Creation'!$Z$11:$Z$256), IFERROR(_xlfn.XLOOKUP(B69,'D-1 Off-Site Habitat Baseline'!AF73:AF320,'D-1 Off-Site Habitat Baseline'!S73:S320), " "))</f>
        <v/>
      </c>
      <c r="L69" s="766">
        <f t="shared" si="1"/>
        <v>0</v>
      </c>
      <c r="M69" s="757">
        <f>'E-1 Off-Site Hedge Baseline'!AB72</f>
        <v>0</v>
      </c>
      <c r="N69" s="772"/>
      <c r="O69" s="773">
        <f>SUMIF('E-1 Off-Site Hedge Baseline'!AB72:AB319,'Off-site gain site summary'!N69,'E-1 Off-Site Hedge Baseline'!Q72:Q319)</f>
        <v>0</v>
      </c>
      <c r="P69" s="773">
        <f>SUMIF('E-1 Off-Site Hedge Baseline'!$AB$10:$AB$257,'Off-site gain site summary'!$N69,'E-1 Off-Site Hedge Baseline'!$U$10:$U$257)</f>
        <v>0</v>
      </c>
      <c r="Q69" s="773">
        <f>SUMIF('E-3 Off-Site Hedge Enhancement'!$AO$12:$AO$257,'Off-site gain site summary'!$N69,'E-3 Off-Site Hedge Enhancement'!$AK$12:$AK$257)</f>
        <v>0</v>
      </c>
      <c r="R69" s="773">
        <f>SUMIF('E-2 Off-Site Hedge Creation'!$AD$12:$AD$259,'Off-site gain site summary'!$N69,'E-2 Off-Site Hedge Creation'!$Z$12:$Z$259)</f>
        <v>0</v>
      </c>
      <c r="S69" s="771">
        <f t="shared" si="2"/>
        <v>0</v>
      </c>
      <c r="T69" s="771" t="str">
        <f>IFERROR(_xlfn.XLOOKUP(N69,'E-2 Off-Site Hedge Creation'!AD74:AD321,'E-2 Off-Site Hedge Creation'!N74:N321), IFERROR(_xlfn.XLOOKUP(N69,'E-1 Off-Site Hedge Baseline'!AB72:AB319,'E-1 Off-Site Hedge Baseline'!P72:P319), " "))</f>
        <v/>
      </c>
      <c r="U69" s="774">
        <f t="shared" si="3"/>
        <v>0</v>
      </c>
      <c r="V69" s="1">
        <f>'F-1 Off-Site WaterC'' Baseline'!AG72</f>
        <v>0</v>
      </c>
      <c r="W69" s="772"/>
      <c r="X69" s="773">
        <f>SUMIF('F-1 Off-Site WaterC'' Baseline'!$AG$10:$AG$257,'Off-site gain site summary'!$W69,'F-1 Off-Site WaterC'' Baseline'!$U$10:$U$257)</f>
        <v>0</v>
      </c>
      <c r="Y69" s="773">
        <f>SUMIF('F-1 Off-Site WaterC'' Baseline'!$AG$10:$AG$257,'Off-site gain site summary'!$W69,'F-1 Off-Site WaterC'' Baseline'!$Y$10:$Y$257)</f>
        <v>0</v>
      </c>
      <c r="Z69" s="773">
        <f>SUMIF('F-3 Off-Site WaterC Enhancement'!$AT$12:$AT$257,'Off-site gain site summary'!$W69,'F-3 Off-Site WaterC Enhancement'!$AP$12:$AP$257)</f>
        <v>0</v>
      </c>
      <c r="AA69" s="773">
        <f>SUMIF('F-2 Off-Site WaterC'' Creation'!$AG$12:$AG$259,'Off-site gain site summary'!$W69,'F-2 Off-Site WaterC'' Creation'!$AC$12:$AC$259)</f>
        <v>0</v>
      </c>
      <c r="AB69" s="773">
        <f t="shared" si="4"/>
        <v>0</v>
      </c>
      <c r="AC69" s="773" t="str">
        <f>IFERROR(_xlfn.XLOOKUP(W69,'F-2 Off-Site WaterC'' Creation'!AG74:AG320,'F-2 Off-Site WaterC'' Creation'!AA74:AA321), IFERROR(_xlfn.XLOOKUP(W69,'F-1 Off-Site WaterC'' Baseline'!AG72:AG319,'F-1 Off-Site WaterC'' Baseline'!T72:T319)," "))</f>
        <v/>
      </c>
      <c r="AD69" s="774">
        <f t="shared" si="5"/>
        <v>0</v>
      </c>
      <c r="AE69" s="1356"/>
      <c r="AF69" s="1356"/>
    </row>
    <row r="70" spans="1:32">
      <c r="A70" s="757">
        <f>'D-1 Off-Site Habitat Baseline'!AF74</f>
        <v>0</v>
      </c>
      <c r="B70" s="764"/>
      <c r="C70" s="762">
        <f>SUMIF('D-1 Off-Site Habitat Baseline'!AF74:AF77,B70,'D-1 Off-Site Habitat Baseline'!T74:T77)</f>
        <v>0</v>
      </c>
      <c r="D70" s="1354">
        <f>SUMIF('D-1 Off-Site Habitat Baseline'!$AF$11:$AF$258,'Off-site gain site summary'!$B$7,'D-1 Off-Site Habitat Baseline'!$X$11:$X$258)</f>
        <v>0</v>
      </c>
      <c r="E70" s="1355"/>
      <c r="F70" s="1354">
        <f>SUMIF('D-3 Off-Site Habitat Enhancment'!$AU$12:$AU$258,'Off-site gain site summary'!B70,'D-3 Off-Site Habitat Enhancment'!$AQ$12:$AQ$258)</f>
        <v>0</v>
      </c>
      <c r="G70" s="1355"/>
      <c r="H70" s="1354">
        <f>SUMIF('D-2 Off-Site Habitat Creation'!$AF$11:$AF$256,'Off-site gain site summary'!B70,'D-2 Off-Site Habitat Creation'!$AB$11:$AB$256)</f>
        <v>0</v>
      </c>
      <c r="I70" s="1355"/>
      <c r="J70" s="765">
        <f t="shared" si="0"/>
        <v>0</v>
      </c>
      <c r="K70" s="762" t="str">
        <f>IFERROR(_xlfn.XLOOKUP(B70,'D-2 Off-Site Habitat Creation'!$AF$11:$AF$256,'D-2 Off-Site Habitat Creation'!$Z$11:$Z$256), IFERROR(_xlfn.XLOOKUP(B70,'D-1 Off-Site Habitat Baseline'!AF74:AF321,'D-1 Off-Site Habitat Baseline'!S74:S321), " "))</f>
        <v/>
      </c>
      <c r="L70" s="766">
        <f t="shared" si="1"/>
        <v>0</v>
      </c>
      <c r="M70" s="757">
        <f>'E-1 Off-Site Hedge Baseline'!AB73</f>
        <v>0</v>
      </c>
      <c r="N70" s="772"/>
      <c r="O70" s="773">
        <f>SUMIF('E-1 Off-Site Hedge Baseline'!AB73:AB320,'Off-site gain site summary'!N70,'E-1 Off-Site Hedge Baseline'!Q73:Q320)</f>
        <v>0</v>
      </c>
      <c r="P70" s="773">
        <f>SUMIF('E-1 Off-Site Hedge Baseline'!$AB$10:$AB$257,'Off-site gain site summary'!$N70,'E-1 Off-Site Hedge Baseline'!$U$10:$U$257)</f>
        <v>0</v>
      </c>
      <c r="Q70" s="773">
        <f>SUMIF('E-3 Off-Site Hedge Enhancement'!$AO$12:$AO$257,'Off-site gain site summary'!$N70,'E-3 Off-Site Hedge Enhancement'!$AK$12:$AK$257)</f>
        <v>0</v>
      </c>
      <c r="R70" s="773">
        <f>SUMIF('E-2 Off-Site Hedge Creation'!$AD$12:$AD$259,'Off-site gain site summary'!$N70,'E-2 Off-Site Hedge Creation'!$Z$12:$Z$259)</f>
        <v>0</v>
      </c>
      <c r="S70" s="771">
        <f t="shared" si="2"/>
        <v>0</v>
      </c>
      <c r="T70" s="771" t="str">
        <f>IFERROR(_xlfn.XLOOKUP(N70,'E-2 Off-Site Hedge Creation'!AD75:AD322,'E-2 Off-Site Hedge Creation'!N75:N322), IFERROR(_xlfn.XLOOKUP(N70,'E-1 Off-Site Hedge Baseline'!AB73:AB320,'E-1 Off-Site Hedge Baseline'!P73:P320), " "))</f>
        <v/>
      </c>
      <c r="U70" s="774">
        <f t="shared" si="3"/>
        <v>0</v>
      </c>
      <c r="V70" s="1">
        <f>'F-1 Off-Site WaterC'' Baseline'!AG73</f>
        <v>0</v>
      </c>
      <c r="W70" s="772"/>
      <c r="X70" s="773">
        <f>SUMIF('F-1 Off-Site WaterC'' Baseline'!$AG$10:$AG$257,'Off-site gain site summary'!$W70,'F-1 Off-Site WaterC'' Baseline'!$U$10:$U$257)</f>
        <v>0</v>
      </c>
      <c r="Y70" s="773">
        <f>SUMIF('F-1 Off-Site WaterC'' Baseline'!$AG$10:$AG$257,'Off-site gain site summary'!$W70,'F-1 Off-Site WaterC'' Baseline'!$Y$10:$Y$257)</f>
        <v>0</v>
      </c>
      <c r="Z70" s="773">
        <f>SUMIF('F-3 Off-Site WaterC Enhancement'!$AT$12:$AT$257,'Off-site gain site summary'!$W70,'F-3 Off-Site WaterC Enhancement'!$AP$12:$AP$257)</f>
        <v>0</v>
      </c>
      <c r="AA70" s="773">
        <f>SUMIF('F-2 Off-Site WaterC'' Creation'!$AG$12:$AG$259,'Off-site gain site summary'!$W70,'F-2 Off-Site WaterC'' Creation'!$AC$12:$AC$259)</f>
        <v>0</v>
      </c>
      <c r="AB70" s="773">
        <f t="shared" si="4"/>
        <v>0</v>
      </c>
      <c r="AC70" s="773" t="str">
        <f>IFERROR(_xlfn.XLOOKUP(W70,'F-2 Off-Site WaterC'' Creation'!AG75:AG321,'F-2 Off-Site WaterC'' Creation'!AA75:AA322), IFERROR(_xlfn.XLOOKUP(W70,'F-1 Off-Site WaterC'' Baseline'!AG73:AG320,'F-1 Off-Site WaterC'' Baseline'!T73:T320)," "))</f>
        <v/>
      </c>
      <c r="AD70" s="774">
        <f t="shared" si="5"/>
        <v>0</v>
      </c>
      <c r="AE70" s="1356"/>
      <c r="AF70" s="1356"/>
    </row>
    <row r="71" spans="1:32">
      <c r="A71" s="757">
        <f>'D-1 Off-Site Habitat Baseline'!AF75</f>
        <v>0</v>
      </c>
      <c r="B71" s="764"/>
      <c r="C71" s="762">
        <f>SUMIF('D-1 Off-Site Habitat Baseline'!AF75:AF78,B71,'D-1 Off-Site Habitat Baseline'!T75:T78)</f>
        <v>0</v>
      </c>
      <c r="D71" s="1354">
        <f>SUMIF('D-1 Off-Site Habitat Baseline'!$AF$11:$AF$258,'Off-site gain site summary'!$B$7,'D-1 Off-Site Habitat Baseline'!$X$11:$X$258)</f>
        <v>0</v>
      </c>
      <c r="E71" s="1355"/>
      <c r="F71" s="1354">
        <f>SUMIF('D-3 Off-Site Habitat Enhancment'!$AU$12:$AU$258,'Off-site gain site summary'!B71,'D-3 Off-Site Habitat Enhancment'!$AQ$12:$AQ$258)</f>
        <v>0</v>
      </c>
      <c r="G71" s="1355"/>
      <c r="H71" s="1354">
        <f>SUMIF('D-2 Off-Site Habitat Creation'!$AF$11:$AF$256,'Off-site gain site summary'!B71,'D-2 Off-Site Habitat Creation'!$AB$11:$AB$256)</f>
        <v>0</v>
      </c>
      <c r="I71" s="1355"/>
      <c r="J71" s="765">
        <f t="shared" si="0"/>
        <v>0</v>
      </c>
      <c r="K71" s="762" t="str">
        <f>IFERROR(_xlfn.XLOOKUP(B71,'D-2 Off-Site Habitat Creation'!$AF$11:$AF$256,'D-2 Off-Site Habitat Creation'!$Z$11:$Z$256), IFERROR(_xlfn.XLOOKUP(B71,'D-1 Off-Site Habitat Baseline'!AF75:AF322,'D-1 Off-Site Habitat Baseline'!S75:S322), " "))</f>
        <v/>
      </c>
      <c r="L71" s="766">
        <f t="shared" si="1"/>
        <v>0</v>
      </c>
      <c r="M71" s="757">
        <f>'E-1 Off-Site Hedge Baseline'!AB74</f>
        <v>0</v>
      </c>
      <c r="N71" s="772"/>
      <c r="O71" s="773">
        <f>SUMIF('E-1 Off-Site Hedge Baseline'!AB74:AB321,'Off-site gain site summary'!N71,'E-1 Off-Site Hedge Baseline'!Q74:Q321)</f>
        <v>0</v>
      </c>
      <c r="P71" s="773">
        <f>SUMIF('E-1 Off-Site Hedge Baseline'!$AB$10:$AB$257,'Off-site gain site summary'!$N71,'E-1 Off-Site Hedge Baseline'!$U$10:$U$257)</f>
        <v>0</v>
      </c>
      <c r="Q71" s="773">
        <f>SUMIF('E-3 Off-Site Hedge Enhancement'!$AO$12:$AO$257,'Off-site gain site summary'!$N71,'E-3 Off-Site Hedge Enhancement'!$AK$12:$AK$257)</f>
        <v>0</v>
      </c>
      <c r="R71" s="773">
        <f>SUMIF('E-2 Off-Site Hedge Creation'!$AD$12:$AD$259,'Off-site gain site summary'!$N71,'E-2 Off-Site Hedge Creation'!$Z$12:$Z$259)</f>
        <v>0</v>
      </c>
      <c r="S71" s="771">
        <f t="shared" si="2"/>
        <v>0</v>
      </c>
      <c r="T71" s="771" t="str">
        <f>IFERROR(_xlfn.XLOOKUP(N71,'E-2 Off-Site Hedge Creation'!AD76:AD323,'E-2 Off-Site Hedge Creation'!N76:N323), IFERROR(_xlfn.XLOOKUP(N71,'E-1 Off-Site Hedge Baseline'!AB74:AB321,'E-1 Off-Site Hedge Baseline'!P74:P321), " "))</f>
        <v/>
      </c>
      <c r="U71" s="774">
        <f t="shared" si="3"/>
        <v>0</v>
      </c>
      <c r="V71" s="1">
        <f>'F-1 Off-Site WaterC'' Baseline'!AG74</f>
        <v>0</v>
      </c>
      <c r="W71" s="772"/>
      <c r="X71" s="773">
        <f>SUMIF('F-1 Off-Site WaterC'' Baseline'!$AG$10:$AG$257,'Off-site gain site summary'!$W71,'F-1 Off-Site WaterC'' Baseline'!$U$10:$U$257)</f>
        <v>0</v>
      </c>
      <c r="Y71" s="773">
        <f>SUMIF('F-1 Off-Site WaterC'' Baseline'!$AG$10:$AG$257,'Off-site gain site summary'!$W71,'F-1 Off-Site WaterC'' Baseline'!$Y$10:$Y$257)</f>
        <v>0</v>
      </c>
      <c r="Z71" s="773">
        <f>SUMIF('F-3 Off-Site WaterC Enhancement'!$AT$12:$AT$257,'Off-site gain site summary'!$W71,'F-3 Off-Site WaterC Enhancement'!$AP$12:$AP$257)</f>
        <v>0</v>
      </c>
      <c r="AA71" s="773">
        <f>SUMIF('F-2 Off-Site WaterC'' Creation'!$AG$12:$AG$259,'Off-site gain site summary'!$W71,'F-2 Off-Site WaterC'' Creation'!$AC$12:$AC$259)</f>
        <v>0</v>
      </c>
      <c r="AB71" s="773">
        <f t="shared" si="4"/>
        <v>0</v>
      </c>
      <c r="AC71" s="773" t="str">
        <f>IFERROR(_xlfn.XLOOKUP(W71,'F-2 Off-Site WaterC'' Creation'!AG76:AG322,'F-2 Off-Site WaterC'' Creation'!AA76:AA323), IFERROR(_xlfn.XLOOKUP(W71,'F-1 Off-Site WaterC'' Baseline'!AG74:AG321,'F-1 Off-Site WaterC'' Baseline'!T74:T321)," "))</f>
        <v/>
      </c>
      <c r="AD71" s="774">
        <f t="shared" si="5"/>
        <v>0</v>
      </c>
      <c r="AE71" s="1356"/>
      <c r="AF71" s="1356"/>
    </row>
    <row r="72" spans="1:32">
      <c r="A72" s="757">
        <f>'D-1 Off-Site Habitat Baseline'!AF76</f>
        <v>0</v>
      </c>
      <c r="B72" s="764"/>
      <c r="C72" s="762">
        <f>SUMIF('D-1 Off-Site Habitat Baseline'!AF76:AF79,B72,'D-1 Off-Site Habitat Baseline'!T76:T79)</f>
        <v>0</v>
      </c>
      <c r="D72" s="1354">
        <f>SUMIF('D-1 Off-Site Habitat Baseline'!$AF$11:$AF$258,'Off-site gain site summary'!$B$7,'D-1 Off-Site Habitat Baseline'!$X$11:$X$258)</f>
        <v>0</v>
      </c>
      <c r="E72" s="1355"/>
      <c r="F72" s="1354">
        <f>SUMIF('D-3 Off-Site Habitat Enhancment'!$AU$12:$AU$258,'Off-site gain site summary'!B72,'D-3 Off-Site Habitat Enhancment'!$AQ$12:$AQ$258)</f>
        <v>0</v>
      </c>
      <c r="G72" s="1355"/>
      <c r="H72" s="1354">
        <f>SUMIF('D-2 Off-Site Habitat Creation'!$AF$11:$AF$256,'Off-site gain site summary'!B72,'D-2 Off-Site Habitat Creation'!$AB$11:$AB$256)</f>
        <v>0</v>
      </c>
      <c r="I72" s="1355"/>
      <c r="J72" s="765">
        <f t="shared" ref="J72:J107" si="6">(H72+F72+D72)-(C72)</f>
        <v>0</v>
      </c>
      <c r="K72" s="762" t="str">
        <f>IFERROR(_xlfn.XLOOKUP(B72,'D-2 Off-Site Habitat Creation'!$AF$11:$AF$256,'D-2 Off-Site Habitat Creation'!$Z$11:$Z$256), IFERROR(_xlfn.XLOOKUP(B72,'D-1 Off-Site Habitat Baseline'!AF76:AF323,'D-1 Off-Site Habitat Baseline'!S76:S323), " "))</f>
        <v/>
      </c>
      <c r="L72" s="766">
        <f t="shared" ref="L72:L107" si="7">IF(J72&gt;0,IFERROR(J72*K72, "0"), J72)</f>
        <v>0</v>
      </c>
      <c r="M72" s="757">
        <f>'E-1 Off-Site Hedge Baseline'!AB75</f>
        <v>0</v>
      </c>
      <c r="N72" s="772"/>
      <c r="O72" s="773">
        <f>SUMIF('E-1 Off-Site Hedge Baseline'!AB75:AB322,'Off-site gain site summary'!N72,'E-1 Off-Site Hedge Baseline'!Q75:Q322)</f>
        <v>0</v>
      </c>
      <c r="P72" s="773">
        <f>SUMIF('E-1 Off-Site Hedge Baseline'!$AB$10:$AB$257,'Off-site gain site summary'!$N72,'E-1 Off-Site Hedge Baseline'!$U$10:$U$257)</f>
        <v>0</v>
      </c>
      <c r="Q72" s="773">
        <f>SUMIF('E-3 Off-Site Hedge Enhancement'!$AO$12:$AO$257,'Off-site gain site summary'!$N72,'E-3 Off-Site Hedge Enhancement'!$AK$12:$AK$257)</f>
        <v>0</v>
      </c>
      <c r="R72" s="773">
        <f>SUMIF('E-2 Off-Site Hedge Creation'!$AD$12:$AD$259,'Off-site gain site summary'!$N72,'E-2 Off-Site Hedge Creation'!$Z$12:$Z$259)</f>
        <v>0</v>
      </c>
      <c r="S72" s="771">
        <f t="shared" ref="S72:S107" si="8">(R72+Q72+P72)-O72</f>
        <v>0</v>
      </c>
      <c r="T72" s="771" t="str">
        <f>IFERROR(_xlfn.XLOOKUP(N72,'E-2 Off-Site Hedge Creation'!AD77:AD324,'E-2 Off-Site Hedge Creation'!N77:N324), IFERROR(_xlfn.XLOOKUP(N72,'E-1 Off-Site Hedge Baseline'!AB75:AB322,'E-1 Off-Site Hedge Baseline'!P75:P322), " "))</f>
        <v/>
      </c>
      <c r="U72" s="774">
        <f t="shared" ref="U72:U107" si="9">IF(S72&gt;0,IFERROR(S72*T72, "0"), S72)</f>
        <v>0</v>
      </c>
      <c r="V72" s="1">
        <f>'F-1 Off-Site WaterC'' Baseline'!AG75</f>
        <v>0</v>
      </c>
      <c r="W72" s="772"/>
      <c r="X72" s="773">
        <f>SUMIF('F-1 Off-Site WaterC'' Baseline'!$AG$10:$AG$257,'Off-site gain site summary'!$W72,'F-1 Off-Site WaterC'' Baseline'!$U$10:$U$257)</f>
        <v>0</v>
      </c>
      <c r="Y72" s="773">
        <f>SUMIF('F-1 Off-Site WaterC'' Baseline'!$AG$10:$AG$257,'Off-site gain site summary'!$W72,'F-1 Off-Site WaterC'' Baseline'!$Y$10:$Y$257)</f>
        <v>0</v>
      </c>
      <c r="Z72" s="773">
        <f>SUMIF('F-3 Off-Site WaterC Enhancement'!$AT$12:$AT$257,'Off-site gain site summary'!$W72,'F-3 Off-Site WaterC Enhancement'!$AP$12:$AP$257)</f>
        <v>0</v>
      </c>
      <c r="AA72" s="773">
        <f>SUMIF('F-2 Off-Site WaterC'' Creation'!$AG$12:$AG$259,'Off-site gain site summary'!$W72,'F-2 Off-Site WaterC'' Creation'!$AC$12:$AC$259)</f>
        <v>0</v>
      </c>
      <c r="AB72" s="773">
        <f t="shared" ref="AB72:AB107" si="10">(Z72+AA72+Y72)-X72</f>
        <v>0</v>
      </c>
      <c r="AC72" s="773" t="str">
        <f>IFERROR(_xlfn.XLOOKUP(W72,'F-2 Off-Site WaterC'' Creation'!AG77:AG323,'F-2 Off-Site WaterC'' Creation'!AA77:AA324), IFERROR(_xlfn.XLOOKUP(W72,'F-1 Off-Site WaterC'' Baseline'!AG75:AG322,'F-1 Off-Site WaterC'' Baseline'!T75:T322)," "))</f>
        <v/>
      </c>
      <c r="AD72" s="774">
        <f t="shared" ref="AD72:AD107" si="11">IF(AB72&gt;0,IFERROR(AB72*AC72, "0"), AB72)</f>
        <v>0</v>
      </c>
      <c r="AE72" s="1356"/>
      <c r="AF72" s="1356"/>
    </row>
    <row r="73" spans="1:32">
      <c r="A73" s="757">
        <f>'D-1 Off-Site Habitat Baseline'!AF77</f>
        <v>0</v>
      </c>
      <c r="B73" s="764"/>
      <c r="C73" s="762">
        <f>SUMIF('D-1 Off-Site Habitat Baseline'!AF77:AF80,B73,'D-1 Off-Site Habitat Baseline'!T77:T80)</f>
        <v>0</v>
      </c>
      <c r="D73" s="1354">
        <f>SUMIF('D-1 Off-Site Habitat Baseline'!$AF$11:$AF$258,'Off-site gain site summary'!$B$7,'D-1 Off-Site Habitat Baseline'!$X$11:$X$258)</f>
        <v>0</v>
      </c>
      <c r="E73" s="1355"/>
      <c r="F73" s="1354">
        <f>SUMIF('D-3 Off-Site Habitat Enhancment'!$AU$12:$AU$258,'Off-site gain site summary'!B73,'D-3 Off-Site Habitat Enhancment'!$AQ$12:$AQ$258)</f>
        <v>0</v>
      </c>
      <c r="G73" s="1355"/>
      <c r="H73" s="1354">
        <f>SUMIF('D-2 Off-Site Habitat Creation'!$AF$11:$AF$256,'Off-site gain site summary'!B73,'D-2 Off-Site Habitat Creation'!$AB$11:$AB$256)</f>
        <v>0</v>
      </c>
      <c r="I73" s="1355"/>
      <c r="J73" s="765">
        <f t="shared" si="6"/>
        <v>0</v>
      </c>
      <c r="K73" s="762" t="str">
        <f>IFERROR(_xlfn.XLOOKUP(B73,'D-2 Off-Site Habitat Creation'!$AF$11:$AF$256,'D-2 Off-Site Habitat Creation'!$Z$11:$Z$256), IFERROR(_xlfn.XLOOKUP(B73,'D-1 Off-Site Habitat Baseline'!AF77:AF324,'D-1 Off-Site Habitat Baseline'!S77:S324), " "))</f>
        <v/>
      </c>
      <c r="L73" s="766">
        <f t="shared" si="7"/>
        <v>0</v>
      </c>
      <c r="M73" s="757">
        <f>'E-1 Off-Site Hedge Baseline'!AB76</f>
        <v>0</v>
      </c>
      <c r="N73" s="772"/>
      <c r="O73" s="773">
        <f>SUMIF('E-1 Off-Site Hedge Baseline'!AB76:AB323,'Off-site gain site summary'!N73,'E-1 Off-Site Hedge Baseline'!Q76:Q323)</f>
        <v>0</v>
      </c>
      <c r="P73" s="773">
        <f>SUMIF('E-1 Off-Site Hedge Baseline'!$AB$10:$AB$257,'Off-site gain site summary'!$N73,'E-1 Off-Site Hedge Baseline'!$U$10:$U$257)</f>
        <v>0</v>
      </c>
      <c r="Q73" s="773">
        <f>SUMIF('E-3 Off-Site Hedge Enhancement'!$AO$12:$AO$257,'Off-site gain site summary'!$N73,'E-3 Off-Site Hedge Enhancement'!$AK$12:$AK$257)</f>
        <v>0</v>
      </c>
      <c r="R73" s="773">
        <f>SUMIF('E-2 Off-Site Hedge Creation'!$AD$12:$AD$259,'Off-site gain site summary'!$N73,'E-2 Off-Site Hedge Creation'!$Z$12:$Z$259)</f>
        <v>0</v>
      </c>
      <c r="S73" s="771">
        <f t="shared" si="8"/>
        <v>0</v>
      </c>
      <c r="T73" s="771" t="str">
        <f>IFERROR(_xlfn.XLOOKUP(N73,'E-2 Off-Site Hedge Creation'!AD78:AD325,'E-2 Off-Site Hedge Creation'!N78:N325), IFERROR(_xlfn.XLOOKUP(N73,'E-1 Off-Site Hedge Baseline'!AB76:AB323,'E-1 Off-Site Hedge Baseline'!P76:P323), " "))</f>
        <v/>
      </c>
      <c r="U73" s="774">
        <f t="shared" si="9"/>
        <v>0</v>
      </c>
      <c r="V73" s="1">
        <f>'F-1 Off-Site WaterC'' Baseline'!AG76</f>
        <v>0</v>
      </c>
      <c r="W73" s="772"/>
      <c r="X73" s="773">
        <f>SUMIF('F-1 Off-Site WaterC'' Baseline'!$AG$10:$AG$257,'Off-site gain site summary'!$W73,'F-1 Off-Site WaterC'' Baseline'!$U$10:$U$257)</f>
        <v>0</v>
      </c>
      <c r="Y73" s="773">
        <f>SUMIF('F-1 Off-Site WaterC'' Baseline'!$AG$10:$AG$257,'Off-site gain site summary'!$W73,'F-1 Off-Site WaterC'' Baseline'!$Y$10:$Y$257)</f>
        <v>0</v>
      </c>
      <c r="Z73" s="773">
        <f>SUMIF('F-3 Off-Site WaterC Enhancement'!$AT$12:$AT$257,'Off-site gain site summary'!$W73,'F-3 Off-Site WaterC Enhancement'!$AP$12:$AP$257)</f>
        <v>0</v>
      </c>
      <c r="AA73" s="773">
        <f>SUMIF('F-2 Off-Site WaterC'' Creation'!$AG$12:$AG$259,'Off-site gain site summary'!$W73,'F-2 Off-Site WaterC'' Creation'!$AC$12:$AC$259)</f>
        <v>0</v>
      </c>
      <c r="AB73" s="773">
        <f t="shared" si="10"/>
        <v>0</v>
      </c>
      <c r="AC73" s="773" t="str">
        <f>IFERROR(_xlfn.XLOOKUP(W73,'F-2 Off-Site WaterC'' Creation'!AG78:AG324,'F-2 Off-Site WaterC'' Creation'!AA78:AA325), IFERROR(_xlfn.XLOOKUP(W73,'F-1 Off-Site WaterC'' Baseline'!AG76:AG323,'F-1 Off-Site WaterC'' Baseline'!T76:T323)," "))</f>
        <v/>
      </c>
      <c r="AD73" s="774">
        <f t="shared" si="11"/>
        <v>0</v>
      </c>
      <c r="AE73" s="1356"/>
      <c r="AF73" s="1356"/>
    </row>
    <row r="74" spans="1:32">
      <c r="A74" s="757">
        <f>'D-1 Off-Site Habitat Baseline'!AF78</f>
        <v>0</v>
      </c>
      <c r="B74" s="764"/>
      <c r="C74" s="762">
        <f>SUMIF('D-1 Off-Site Habitat Baseline'!AF78:AF81,B74,'D-1 Off-Site Habitat Baseline'!T78:T81)</f>
        <v>0</v>
      </c>
      <c r="D74" s="1354">
        <f>SUMIF('D-1 Off-Site Habitat Baseline'!$AF$11:$AF$258,'Off-site gain site summary'!$B$7,'D-1 Off-Site Habitat Baseline'!$X$11:$X$258)</f>
        <v>0</v>
      </c>
      <c r="E74" s="1355"/>
      <c r="F74" s="1354">
        <f>SUMIF('D-3 Off-Site Habitat Enhancment'!$AU$12:$AU$258,'Off-site gain site summary'!B74,'D-3 Off-Site Habitat Enhancment'!$AQ$12:$AQ$258)</f>
        <v>0</v>
      </c>
      <c r="G74" s="1355"/>
      <c r="H74" s="1354">
        <f>SUMIF('D-2 Off-Site Habitat Creation'!$AF$11:$AF$256,'Off-site gain site summary'!B74,'D-2 Off-Site Habitat Creation'!$AB$11:$AB$256)</f>
        <v>0</v>
      </c>
      <c r="I74" s="1355"/>
      <c r="J74" s="765">
        <f t="shared" si="6"/>
        <v>0</v>
      </c>
      <c r="K74" s="762" t="str">
        <f>IFERROR(_xlfn.XLOOKUP(B74,'D-2 Off-Site Habitat Creation'!$AF$11:$AF$256,'D-2 Off-Site Habitat Creation'!$Z$11:$Z$256), IFERROR(_xlfn.XLOOKUP(B74,'D-1 Off-Site Habitat Baseline'!AF78:AF325,'D-1 Off-Site Habitat Baseline'!S78:S325), " "))</f>
        <v/>
      </c>
      <c r="L74" s="766">
        <f t="shared" si="7"/>
        <v>0</v>
      </c>
      <c r="M74" s="757">
        <f>'E-1 Off-Site Hedge Baseline'!AB77</f>
        <v>0</v>
      </c>
      <c r="N74" s="772"/>
      <c r="O74" s="773">
        <f>SUMIF('E-1 Off-Site Hedge Baseline'!AB77:AB324,'Off-site gain site summary'!N74,'E-1 Off-Site Hedge Baseline'!Q77:Q324)</f>
        <v>0</v>
      </c>
      <c r="P74" s="773">
        <f>SUMIF('E-1 Off-Site Hedge Baseline'!$AB$10:$AB$257,'Off-site gain site summary'!$N74,'E-1 Off-Site Hedge Baseline'!$U$10:$U$257)</f>
        <v>0</v>
      </c>
      <c r="Q74" s="773">
        <f>SUMIF('E-3 Off-Site Hedge Enhancement'!$AO$12:$AO$257,'Off-site gain site summary'!$N74,'E-3 Off-Site Hedge Enhancement'!$AK$12:$AK$257)</f>
        <v>0</v>
      </c>
      <c r="R74" s="773">
        <f>SUMIF('E-2 Off-Site Hedge Creation'!$AD$12:$AD$259,'Off-site gain site summary'!$N74,'E-2 Off-Site Hedge Creation'!$Z$12:$Z$259)</f>
        <v>0</v>
      </c>
      <c r="S74" s="771">
        <f t="shared" si="8"/>
        <v>0</v>
      </c>
      <c r="T74" s="771" t="str">
        <f>IFERROR(_xlfn.XLOOKUP(N74,'E-2 Off-Site Hedge Creation'!AD79:AD326,'E-2 Off-Site Hedge Creation'!N79:N326), IFERROR(_xlfn.XLOOKUP(N74,'E-1 Off-Site Hedge Baseline'!AB77:AB324,'E-1 Off-Site Hedge Baseline'!P77:P324), " "))</f>
        <v/>
      </c>
      <c r="U74" s="774">
        <f t="shared" si="9"/>
        <v>0</v>
      </c>
      <c r="V74" s="1">
        <f>'F-1 Off-Site WaterC'' Baseline'!AG77</f>
        <v>0</v>
      </c>
      <c r="W74" s="772"/>
      <c r="X74" s="773">
        <f>SUMIF('F-1 Off-Site WaterC'' Baseline'!$AG$10:$AG$257,'Off-site gain site summary'!$W74,'F-1 Off-Site WaterC'' Baseline'!$U$10:$U$257)</f>
        <v>0</v>
      </c>
      <c r="Y74" s="773">
        <f>SUMIF('F-1 Off-Site WaterC'' Baseline'!$AG$10:$AG$257,'Off-site gain site summary'!$W74,'F-1 Off-Site WaterC'' Baseline'!$Y$10:$Y$257)</f>
        <v>0</v>
      </c>
      <c r="Z74" s="773">
        <f>SUMIF('F-3 Off-Site WaterC Enhancement'!$AT$12:$AT$257,'Off-site gain site summary'!$W74,'F-3 Off-Site WaterC Enhancement'!$AP$12:$AP$257)</f>
        <v>0</v>
      </c>
      <c r="AA74" s="773">
        <f>SUMIF('F-2 Off-Site WaterC'' Creation'!$AG$12:$AG$259,'Off-site gain site summary'!$W74,'F-2 Off-Site WaterC'' Creation'!$AC$12:$AC$259)</f>
        <v>0</v>
      </c>
      <c r="AB74" s="773">
        <f t="shared" si="10"/>
        <v>0</v>
      </c>
      <c r="AC74" s="773" t="str">
        <f>IFERROR(_xlfn.XLOOKUP(W74,'F-2 Off-Site WaterC'' Creation'!AG79:AG325,'F-2 Off-Site WaterC'' Creation'!AA79:AA326), IFERROR(_xlfn.XLOOKUP(W74,'F-1 Off-Site WaterC'' Baseline'!AG77:AG324,'F-1 Off-Site WaterC'' Baseline'!T77:T324)," "))</f>
        <v/>
      </c>
      <c r="AD74" s="774">
        <f t="shared" si="11"/>
        <v>0</v>
      </c>
      <c r="AE74" s="1356"/>
      <c r="AF74" s="1356"/>
    </row>
    <row r="75" spans="1:32">
      <c r="A75" s="757">
        <f>'D-1 Off-Site Habitat Baseline'!AF79</f>
        <v>0</v>
      </c>
      <c r="B75" s="764"/>
      <c r="C75" s="762">
        <f>SUMIF('D-1 Off-Site Habitat Baseline'!AF79:AF82,B75,'D-1 Off-Site Habitat Baseline'!T79:T82)</f>
        <v>0</v>
      </c>
      <c r="D75" s="1354">
        <f>SUMIF('D-1 Off-Site Habitat Baseline'!$AF$11:$AF$258,'Off-site gain site summary'!$B$7,'D-1 Off-Site Habitat Baseline'!$X$11:$X$258)</f>
        <v>0</v>
      </c>
      <c r="E75" s="1355"/>
      <c r="F75" s="1354">
        <f>SUMIF('D-3 Off-Site Habitat Enhancment'!$AU$12:$AU$258,'Off-site gain site summary'!B75,'D-3 Off-Site Habitat Enhancment'!$AQ$12:$AQ$258)</f>
        <v>0</v>
      </c>
      <c r="G75" s="1355"/>
      <c r="H75" s="1354">
        <f>SUMIF('D-2 Off-Site Habitat Creation'!$AF$11:$AF$256,'Off-site gain site summary'!B75,'D-2 Off-Site Habitat Creation'!$AB$11:$AB$256)</f>
        <v>0</v>
      </c>
      <c r="I75" s="1355"/>
      <c r="J75" s="765">
        <f t="shared" si="6"/>
        <v>0</v>
      </c>
      <c r="K75" s="762" t="str">
        <f>IFERROR(_xlfn.XLOOKUP(B75,'D-2 Off-Site Habitat Creation'!$AF$11:$AF$256,'D-2 Off-Site Habitat Creation'!$Z$11:$Z$256), IFERROR(_xlfn.XLOOKUP(B75,'D-1 Off-Site Habitat Baseline'!AF79:AF326,'D-1 Off-Site Habitat Baseline'!S79:S326), " "))</f>
        <v/>
      </c>
      <c r="L75" s="766">
        <f t="shared" si="7"/>
        <v>0</v>
      </c>
      <c r="M75" s="757">
        <f>'E-1 Off-Site Hedge Baseline'!AB78</f>
        <v>0</v>
      </c>
      <c r="N75" s="772"/>
      <c r="O75" s="773">
        <f>SUMIF('E-1 Off-Site Hedge Baseline'!AB78:AB325,'Off-site gain site summary'!N75,'E-1 Off-Site Hedge Baseline'!Q78:Q325)</f>
        <v>0</v>
      </c>
      <c r="P75" s="773">
        <f>SUMIF('E-1 Off-Site Hedge Baseline'!$AB$10:$AB$257,'Off-site gain site summary'!$N75,'E-1 Off-Site Hedge Baseline'!$U$10:$U$257)</f>
        <v>0</v>
      </c>
      <c r="Q75" s="773">
        <f>SUMIF('E-3 Off-Site Hedge Enhancement'!$AO$12:$AO$257,'Off-site gain site summary'!$N75,'E-3 Off-Site Hedge Enhancement'!$AK$12:$AK$257)</f>
        <v>0</v>
      </c>
      <c r="R75" s="773">
        <f>SUMIF('E-2 Off-Site Hedge Creation'!$AD$12:$AD$259,'Off-site gain site summary'!$N75,'E-2 Off-Site Hedge Creation'!$Z$12:$Z$259)</f>
        <v>0</v>
      </c>
      <c r="S75" s="771">
        <f t="shared" si="8"/>
        <v>0</v>
      </c>
      <c r="T75" s="771" t="str">
        <f>IFERROR(_xlfn.XLOOKUP(N75,'E-2 Off-Site Hedge Creation'!AD80:AD327,'E-2 Off-Site Hedge Creation'!N80:N327), IFERROR(_xlfn.XLOOKUP(N75,'E-1 Off-Site Hedge Baseline'!AB78:AB325,'E-1 Off-Site Hedge Baseline'!P78:P325), " "))</f>
        <v/>
      </c>
      <c r="U75" s="774">
        <f t="shared" si="9"/>
        <v>0</v>
      </c>
      <c r="V75" s="1">
        <f>'F-1 Off-Site WaterC'' Baseline'!AG78</f>
        <v>0</v>
      </c>
      <c r="W75" s="772"/>
      <c r="X75" s="773">
        <f>SUMIF('F-1 Off-Site WaterC'' Baseline'!$AG$10:$AG$257,'Off-site gain site summary'!$W75,'F-1 Off-Site WaterC'' Baseline'!$U$10:$U$257)</f>
        <v>0</v>
      </c>
      <c r="Y75" s="773">
        <f>SUMIF('F-1 Off-Site WaterC'' Baseline'!$AG$10:$AG$257,'Off-site gain site summary'!$W75,'F-1 Off-Site WaterC'' Baseline'!$Y$10:$Y$257)</f>
        <v>0</v>
      </c>
      <c r="Z75" s="773">
        <f>SUMIF('F-3 Off-Site WaterC Enhancement'!$AT$12:$AT$257,'Off-site gain site summary'!$W75,'F-3 Off-Site WaterC Enhancement'!$AP$12:$AP$257)</f>
        <v>0</v>
      </c>
      <c r="AA75" s="773">
        <f>SUMIF('F-2 Off-Site WaterC'' Creation'!$AG$12:$AG$259,'Off-site gain site summary'!$W75,'F-2 Off-Site WaterC'' Creation'!$AC$12:$AC$259)</f>
        <v>0</v>
      </c>
      <c r="AB75" s="773">
        <f t="shared" si="10"/>
        <v>0</v>
      </c>
      <c r="AC75" s="773" t="str">
        <f>IFERROR(_xlfn.XLOOKUP(W75,'F-2 Off-Site WaterC'' Creation'!AG80:AG326,'F-2 Off-Site WaterC'' Creation'!AA80:AA327), IFERROR(_xlfn.XLOOKUP(W75,'F-1 Off-Site WaterC'' Baseline'!AG78:AG325,'F-1 Off-Site WaterC'' Baseline'!T78:T325)," "))</f>
        <v/>
      </c>
      <c r="AD75" s="774">
        <f t="shared" si="11"/>
        <v>0</v>
      </c>
      <c r="AE75" s="1356"/>
      <c r="AF75" s="1356"/>
    </row>
    <row r="76" spans="1:32">
      <c r="A76" s="757">
        <f>'D-1 Off-Site Habitat Baseline'!AF80</f>
        <v>0</v>
      </c>
      <c r="B76" s="764"/>
      <c r="C76" s="762">
        <f>SUMIF('D-1 Off-Site Habitat Baseline'!AF80:AF83,B76,'D-1 Off-Site Habitat Baseline'!T80:T83)</f>
        <v>0</v>
      </c>
      <c r="D76" s="1354">
        <f>SUMIF('D-1 Off-Site Habitat Baseline'!$AF$11:$AF$258,'Off-site gain site summary'!$B$7,'D-1 Off-Site Habitat Baseline'!$X$11:$X$258)</f>
        <v>0</v>
      </c>
      <c r="E76" s="1355"/>
      <c r="F76" s="1354">
        <f>SUMIF('D-3 Off-Site Habitat Enhancment'!$AU$12:$AU$258,'Off-site gain site summary'!B76,'D-3 Off-Site Habitat Enhancment'!$AQ$12:$AQ$258)</f>
        <v>0</v>
      </c>
      <c r="G76" s="1355"/>
      <c r="H76" s="1354">
        <f>SUMIF('D-2 Off-Site Habitat Creation'!$AF$11:$AF$256,'Off-site gain site summary'!B76,'D-2 Off-Site Habitat Creation'!$AB$11:$AB$256)</f>
        <v>0</v>
      </c>
      <c r="I76" s="1355"/>
      <c r="J76" s="765">
        <f t="shared" si="6"/>
        <v>0</v>
      </c>
      <c r="K76" s="762" t="str">
        <f>IFERROR(_xlfn.XLOOKUP(B76,'D-2 Off-Site Habitat Creation'!$AF$11:$AF$256,'D-2 Off-Site Habitat Creation'!$Z$11:$Z$256), IFERROR(_xlfn.XLOOKUP(B76,'D-1 Off-Site Habitat Baseline'!AF80:AF327,'D-1 Off-Site Habitat Baseline'!S80:S327), " "))</f>
        <v/>
      </c>
      <c r="L76" s="766">
        <f t="shared" si="7"/>
        <v>0</v>
      </c>
      <c r="M76" s="757">
        <f>'E-1 Off-Site Hedge Baseline'!AB79</f>
        <v>0</v>
      </c>
      <c r="N76" s="772"/>
      <c r="O76" s="773">
        <f>SUMIF('E-1 Off-Site Hedge Baseline'!AB79:AB326,'Off-site gain site summary'!N76,'E-1 Off-Site Hedge Baseline'!Q79:Q326)</f>
        <v>0</v>
      </c>
      <c r="P76" s="773">
        <f>SUMIF('E-1 Off-Site Hedge Baseline'!$AB$10:$AB$257,'Off-site gain site summary'!$N76,'E-1 Off-Site Hedge Baseline'!$U$10:$U$257)</f>
        <v>0</v>
      </c>
      <c r="Q76" s="773">
        <f>SUMIF('E-3 Off-Site Hedge Enhancement'!$AO$12:$AO$257,'Off-site gain site summary'!$N76,'E-3 Off-Site Hedge Enhancement'!$AK$12:$AK$257)</f>
        <v>0</v>
      </c>
      <c r="R76" s="773">
        <f>SUMIF('E-2 Off-Site Hedge Creation'!$AD$12:$AD$259,'Off-site gain site summary'!$N76,'E-2 Off-Site Hedge Creation'!$Z$12:$Z$259)</f>
        <v>0</v>
      </c>
      <c r="S76" s="771">
        <f t="shared" si="8"/>
        <v>0</v>
      </c>
      <c r="T76" s="771" t="str">
        <f>IFERROR(_xlfn.XLOOKUP(N76,'E-2 Off-Site Hedge Creation'!AD81:AD328,'E-2 Off-Site Hedge Creation'!N81:N328), IFERROR(_xlfn.XLOOKUP(N76,'E-1 Off-Site Hedge Baseline'!AB79:AB326,'E-1 Off-Site Hedge Baseline'!P79:P326), " "))</f>
        <v/>
      </c>
      <c r="U76" s="774">
        <f t="shared" si="9"/>
        <v>0</v>
      </c>
      <c r="V76" s="1">
        <f>'F-1 Off-Site WaterC'' Baseline'!AG79</f>
        <v>0</v>
      </c>
      <c r="W76" s="772"/>
      <c r="X76" s="773">
        <f>SUMIF('F-1 Off-Site WaterC'' Baseline'!$AG$10:$AG$257,'Off-site gain site summary'!$W76,'F-1 Off-Site WaterC'' Baseline'!$U$10:$U$257)</f>
        <v>0</v>
      </c>
      <c r="Y76" s="773">
        <f>SUMIF('F-1 Off-Site WaterC'' Baseline'!$AG$10:$AG$257,'Off-site gain site summary'!$W76,'F-1 Off-Site WaterC'' Baseline'!$Y$10:$Y$257)</f>
        <v>0</v>
      </c>
      <c r="Z76" s="773">
        <f>SUMIF('F-3 Off-Site WaterC Enhancement'!$AT$12:$AT$257,'Off-site gain site summary'!$W76,'F-3 Off-Site WaterC Enhancement'!$AP$12:$AP$257)</f>
        <v>0</v>
      </c>
      <c r="AA76" s="773">
        <f>SUMIF('F-2 Off-Site WaterC'' Creation'!$AG$12:$AG$259,'Off-site gain site summary'!$W76,'F-2 Off-Site WaterC'' Creation'!$AC$12:$AC$259)</f>
        <v>0</v>
      </c>
      <c r="AB76" s="773">
        <f t="shared" si="10"/>
        <v>0</v>
      </c>
      <c r="AC76" s="773" t="str">
        <f>IFERROR(_xlfn.XLOOKUP(W76,'F-2 Off-Site WaterC'' Creation'!AG81:AG327,'F-2 Off-Site WaterC'' Creation'!AA81:AA328), IFERROR(_xlfn.XLOOKUP(W76,'F-1 Off-Site WaterC'' Baseline'!AG79:AG326,'F-1 Off-Site WaterC'' Baseline'!T79:T326)," "))</f>
        <v/>
      </c>
      <c r="AD76" s="774">
        <f t="shared" si="11"/>
        <v>0</v>
      </c>
      <c r="AE76" s="1356"/>
      <c r="AF76" s="1356"/>
    </row>
    <row r="77" spans="1:32">
      <c r="A77" s="757">
        <f>'D-1 Off-Site Habitat Baseline'!AF81</f>
        <v>0</v>
      </c>
      <c r="B77" s="764"/>
      <c r="C77" s="762">
        <f>SUMIF('D-1 Off-Site Habitat Baseline'!AF81:AF84,B77,'D-1 Off-Site Habitat Baseline'!T81:T84)</f>
        <v>0</v>
      </c>
      <c r="D77" s="1354">
        <f>SUMIF('D-1 Off-Site Habitat Baseline'!$AF$11:$AF$258,'Off-site gain site summary'!$B$7,'D-1 Off-Site Habitat Baseline'!$X$11:$X$258)</f>
        <v>0</v>
      </c>
      <c r="E77" s="1355"/>
      <c r="F77" s="1354">
        <f>SUMIF('D-3 Off-Site Habitat Enhancment'!$AU$12:$AU$258,'Off-site gain site summary'!B77,'D-3 Off-Site Habitat Enhancment'!$AQ$12:$AQ$258)</f>
        <v>0</v>
      </c>
      <c r="G77" s="1355"/>
      <c r="H77" s="1354">
        <f>SUMIF('D-2 Off-Site Habitat Creation'!$AF$11:$AF$256,'Off-site gain site summary'!B77,'D-2 Off-Site Habitat Creation'!$AB$11:$AB$256)</f>
        <v>0</v>
      </c>
      <c r="I77" s="1355"/>
      <c r="J77" s="765">
        <f t="shared" si="6"/>
        <v>0</v>
      </c>
      <c r="K77" s="762" t="str">
        <f>IFERROR(_xlfn.XLOOKUP(B77,'D-2 Off-Site Habitat Creation'!$AF$11:$AF$256,'D-2 Off-Site Habitat Creation'!$Z$11:$Z$256), IFERROR(_xlfn.XLOOKUP(B77,'D-1 Off-Site Habitat Baseline'!AF81:AF328,'D-1 Off-Site Habitat Baseline'!S81:S328), " "))</f>
        <v/>
      </c>
      <c r="L77" s="766">
        <f t="shared" si="7"/>
        <v>0</v>
      </c>
      <c r="M77" s="757">
        <f>'E-1 Off-Site Hedge Baseline'!AB80</f>
        <v>0</v>
      </c>
      <c r="N77" s="772"/>
      <c r="O77" s="773">
        <f>SUMIF('E-1 Off-Site Hedge Baseline'!AB80:AB327,'Off-site gain site summary'!N77,'E-1 Off-Site Hedge Baseline'!Q80:Q327)</f>
        <v>0</v>
      </c>
      <c r="P77" s="773">
        <f>SUMIF('E-1 Off-Site Hedge Baseline'!$AB$10:$AB$257,'Off-site gain site summary'!$N77,'E-1 Off-Site Hedge Baseline'!$U$10:$U$257)</f>
        <v>0</v>
      </c>
      <c r="Q77" s="773">
        <f>SUMIF('E-3 Off-Site Hedge Enhancement'!$AO$12:$AO$257,'Off-site gain site summary'!$N77,'E-3 Off-Site Hedge Enhancement'!$AK$12:$AK$257)</f>
        <v>0</v>
      </c>
      <c r="R77" s="773">
        <f>SUMIF('E-2 Off-Site Hedge Creation'!$AD$12:$AD$259,'Off-site gain site summary'!$N77,'E-2 Off-Site Hedge Creation'!$Z$12:$Z$259)</f>
        <v>0</v>
      </c>
      <c r="S77" s="771">
        <f t="shared" si="8"/>
        <v>0</v>
      </c>
      <c r="T77" s="771" t="str">
        <f>IFERROR(_xlfn.XLOOKUP(N77,'E-2 Off-Site Hedge Creation'!AD82:AD329,'E-2 Off-Site Hedge Creation'!N82:N329), IFERROR(_xlfn.XLOOKUP(N77,'E-1 Off-Site Hedge Baseline'!AB80:AB327,'E-1 Off-Site Hedge Baseline'!P80:P327), " "))</f>
        <v/>
      </c>
      <c r="U77" s="774">
        <f t="shared" si="9"/>
        <v>0</v>
      </c>
      <c r="V77" s="1">
        <f>'F-1 Off-Site WaterC'' Baseline'!AG80</f>
        <v>0</v>
      </c>
      <c r="W77" s="772"/>
      <c r="X77" s="773">
        <f>SUMIF('F-1 Off-Site WaterC'' Baseline'!$AG$10:$AG$257,'Off-site gain site summary'!$W77,'F-1 Off-Site WaterC'' Baseline'!$U$10:$U$257)</f>
        <v>0</v>
      </c>
      <c r="Y77" s="773">
        <f>SUMIF('F-1 Off-Site WaterC'' Baseline'!$AG$10:$AG$257,'Off-site gain site summary'!$W77,'F-1 Off-Site WaterC'' Baseline'!$Y$10:$Y$257)</f>
        <v>0</v>
      </c>
      <c r="Z77" s="773">
        <f>SUMIF('F-3 Off-Site WaterC Enhancement'!$AT$12:$AT$257,'Off-site gain site summary'!$W77,'F-3 Off-Site WaterC Enhancement'!$AP$12:$AP$257)</f>
        <v>0</v>
      </c>
      <c r="AA77" s="773">
        <f>SUMIF('F-2 Off-Site WaterC'' Creation'!$AG$12:$AG$259,'Off-site gain site summary'!$W77,'F-2 Off-Site WaterC'' Creation'!$AC$12:$AC$259)</f>
        <v>0</v>
      </c>
      <c r="AB77" s="773">
        <f t="shared" si="10"/>
        <v>0</v>
      </c>
      <c r="AC77" s="773" t="str">
        <f>IFERROR(_xlfn.XLOOKUP(W77,'F-2 Off-Site WaterC'' Creation'!AG82:AG328,'F-2 Off-Site WaterC'' Creation'!AA82:AA329), IFERROR(_xlfn.XLOOKUP(W77,'F-1 Off-Site WaterC'' Baseline'!AG80:AG327,'F-1 Off-Site WaterC'' Baseline'!T80:T327)," "))</f>
        <v/>
      </c>
      <c r="AD77" s="774">
        <f t="shared" si="11"/>
        <v>0</v>
      </c>
      <c r="AE77" s="1356"/>
      <c r="AF77" s="1356"/>
    </row>
    <row r="78" spans="1:32">
      <c r="A78" s="757">
        <f>'D-1 Off-Site Habitat Baseline'!AF82</f>
        <v>0</v>
      </c>
      <c r="B78" s="764"/>
      <c r="C78" s="762">
        <f>SUMIF('D-1 Off-Site Habitat Baseline'!AF82:AF85,B78,'D-1 Off-Site Habitat Baseline'!T82:T85)</f>
        <v>0</v>
      </c>
      <c r="D78" s="1354">
        <f>SUMIF('D-1 Off-Site Habitat Baseline'!$AF$11:$AF$258,'Off-site gain site summary'!$B$7,'D-1 Off-Site Habitat Baseline'!$X$11:$X$258)</f>
        <v>0</v>
      </c>
      <c r="E78" s="1355"/>
      <c r="F78" s="1354">
        <f>SUMIF('D-3 Off-Site Habitat Enhancment'!$AU$12:$AU$258,'Off-site gain site summary'!B78,'D-3 Off-Site Habitat Enhancment'!$AQ$12:$AQ$258)</f>
        <v>0</v>
      </c>
      <c r="G78" s="1355"/>
      <c r="H78" s="1354">
        <f>SUMIF('D-2 Off-Site Habitat Creation'!$AF$11:$AF$256,'Off-site gain site summary'!B78,'D-2 Off-Site Habitat Creation'!$AB$11:$AB$256)</f>
        <v>0</v>
      </c>
      <c r="I78" s="1355"/>
      <c r="J78" s="765">
        <f t="shared" si="6"/>
        <v>0</v>
      </c>
      <c r="K78" s="762" t="str">
        <f>IFERROR(_xlfn.XLOOKUP(B78,'D-2 Off-Site Habitat Creation'!$AF$11:$AF$256,'D-2 Off-Site Habitat Creation'!$Z$11:$Z$256), IFERROR(_xlfn.XLOOKUP(B78,'D-1 Off-Site Habitat Baseline'!AF82:AF329,'D-1 Off-Site Habitat Baseline'!S82:S329), " "))</f>
        <v/>
      </c>
      <c r="L78" s="766">
        <f t="shared" si="7"/>
        <v>0</v>
      </c>
      <c r="M78" s="757">
        <f>'E-1 Off-Site Hedge Baseline'!AB81</f>
        <v>0</v>
      </c>
      <c r="N78" s="772"/>
      <c r="O78" s="773">
        <f>SUMIF('E-1 Off-Site Hedge Baseline'!AB81:AB328,'Off-site gain site summary'!N78,'E-1 Off-Site Hedge Baseline'!Q81:Q328)</f>
        <v>0</v>
      </c>
      <c r="P78" s="773">
        <f>SUMIF('E-1 Off-Site Hedge Baseline'!$AB$10:$AB$257,'Off-site gain site summary'!$N78,'E-1 Off-Site Hedge Baseline'!$U$10:$U$257)</f>
        <v>0</v>
      </c>
      <c r="Q78" s="773">
        <f>SUMIF('E-3 Off-Site Hedge Enhancement'!$AO$12:$AO$257,'Off-site gain site summary'!$N78,'E-3 Off-Site Hedge Enhancement'!$AK$12:$AK$257)</f>
        <v>0</v>
      </c>
      <c r="R78" s="773">
        <f>SUMIF('E-2 Off-Site Hedge Creation'!$AD$12:$AD$259,'Off-site gain site summary'!$N78,'E-2 Off-Site Hedge Creation'!$Z$12:$Z$259)</f>
        <v>0</v>
      </c>
      <c r="S78" s="771">
        <f t="shared" si="8"/>
        <v>0</v>
      </c>
      <c r="T78" s="771" t="str">
        <f>IFERROR(_xlfn.XLOOKUP(N78,'E-2 Off-Site Hedge Creation'!AD83:AD330,'E-2 Off-Site Hedge Creation'!N83:N330), IFERROR(_xlfn.XLOOKUP(N78,'E-1 Off-Site Hedge Baseline'!AB81:AB328,'E-1 Off-Site Hedge Baseline'!P81:P328), " "))</f>
        <v/>
      </c>
      <c r="U78" s="774">
        <f t="shared" si="9"/>
        <v>0</v>
      </c>
      <c r="V78" s="1">
        <f>'F-1 Off-Site WaterC'' Baseline'!AG81</f>
        <v>0</v>
      </c>
      <c r="W78" s="772"/>
      <c r="X78" s="773">
        <f>SUMIF('F-1 Off-Site WaterC'' Baseline'!$AG$10:$AG$257,'Off-site gain site summary'!$W78,'F-1 Off-Site WaterC'' Baseline'!$U$10:$U$257)</f>
        <v>0</v>
      </c>
      <c r="Y78" s="773">
        <f>SUMIF('F-1 Off-Site WaterC'' Baseline'!$AG$10:$AG$257,'Off-site gain site summary'!$W78,'F-1 Off-Site WaterC'' Baseline'!$Y$10:$Y$257)</f>
        <v>0</v>
      </c>
      <c r="Z78" s="773">
        <f>SUMIF('F-3 Off-Site WaterC Enhancement'!$AT$12:$AT$257,'Off-site gain site summary'!$W78,'F-3 Off-Site WaterC Enhancement'!$AP$12:$AP$257)</f>
        <v>0</v>
      </c>
      <c r="AA78" s="773">
        <f>SUMIF('F-2 Off-Site WaterC'' Creation'!$AG$12:$AG$259,'Off-site gain site summary'!$W78,'F-2 Off-Site WaterC'' Creation'!$AC$12:$AC$259)</f>
        <v>0</v>
      </c>
      <c r="AB78" s="773">
        <f t="shared" si="10"/>
        <v>0</v>
      </c>
      <c r="AC78" s="773" t="str">
        <f>IFERROR(_xlfn.XLOOKUP(W78,'F-2 Off-Site WaterC'' Creation'!AG83:AG329,'F-2 Off-Site WaterC'' Creation'!AA83:AA330), IFERROR(_xlfn.XLOOKUP(W78,'F-1 Off-Site WaterC'' Baseline'!AG81:AG328,'F-1 Off-Site WaterC'' Baseline'!T81:T328)," "))</f>
        <v/>
      </c>
      <c r="AD78" s="774">
        <f t="shared" si="11"/>
        <v>0</v>
      </c>
      <c r="AE78" s="1356"/>
      <c r="AF78" s="1356"/>
    </row>
    <row r="79" spans="1:32">
      <c r="A79" s="757">
        <f>'D-1 Off-Site Habitat Baseline'!AF83</f>
        <v>0</v>
      </c>
      <c r="B79" s="764"/>
      <c r="C79" s="762">
        <f>SUMIF('D-1 Off-Site Habitat Baseline'!AF83:AF86,B79,'D-1 Off-Site Habitat Baseline'!T83:T86)</f>
        <v>0</v>
      </c>
      <c r="D79" s="1354">
        <f>SUMIF('D-1 Off-Site Habitat Baseline'!$AF$11:$AF$258,'Off-site gain site summary'!$B$7,'D-1 Off-Site Habitat Baseline'!$X$11:$X$258)</f>
        <v>0</v>
      </c>
      <c r="E79" s="1355"/>
      <c r="F79" s="1354">
        <f>SUMIF('D-3 Off-Site Habitat Enhancment'!$AU$12:$AU$258,'Off-site gain site summary'!B79,'D-3 Off-Site Habitat Enhancment'!$AQ$12:$AQ$258)</f>
        <v>0</v>
      </c>
      <c r="G79" s="1355"/>
      <c r="H79" s="1354">
        <f>SUMIF('D-2 Off-Site Habitat Creation'!$AF$11:$AF$256,'Off-site gain site summary'!B79,'D-2 Off-Site Habitat Creation'!$AB$11:$AB$256)</f>
        <v>0</v>
      </c>
      <c r="I79" s="1355"/>
      <c r="J79" s="765">
        <f t="shared" si="6"/>
        <v>0</v>
      </c>
      <c r="K79" s="762" t="str">
        <f>IFERROR(_xlfn.XLOOKUP(B79,'D-2 Off-Site Habitat Creation'!$AF$11:$AF$256,'D-2 Off-Site Habitat Creation'!$Z$11:$Z$256), IFERROR(_xlfn.XLOOKUP(B79,'D-1 Off-Site Habitat Baseline'!AF83:AF330,'D-1 Off-Site Habitat Baseline'!S83:S330), " "))</f>
        <v/>
      </c>
      <c r="L79" s="766">
        <f t="shared" si="7"/>
        <v>0</v>
      </c>
      <c r="M79" s="757">
        <f>'E-1 Off-Site Hedge Baseline'!AB82</f>
        <v>0</v>
      </c>
      <c r="N79" s="772"/>
      <c r="O79" s="773">
        <f>SUMIF('E-1 Off-Site Hedge Baseline'!AB82:AB329,'Off-site gain site summary'!N79,'E-1 Off-Site Hedge Baseline'!Q82:Q329)</f>
        <v>0</v>
      </c>
      <c r="P79" s="773">
        <f>SUMIF('E-1 Off-Site Hedge Baseline'!$AB$10:$AB$257,'Off-site gain site summary'!$N79,'E-1 Off-Site Hedge Baseline'!$U$10:$U$257)</f>
        <v>0</v>
      </c>
      <c r="Q79" s="773">
        <f>SUMIF('E-3 Off-Site Hedge Enhancement'!$AO$12:$AO$257,'Off-site gain site summary'!$N79,'E-3 Off-Site Hedge Enhancement'!$AK$12:$AK$257)</f>
        <v>0</v>
      </c>
      <c r="R79" s="773">
        <f>SUMIF('E-2 Off-Site Hedge Creation'!$AD$12:$AD$259,'Off-site gain site summary'!$N79,'E-2 Off-Site Hedge Creation'!$Z$12:$Z$259)</f>
        <v>0</v>
      </c>
      <c r="S79" s="771">
        <f t="shared" si="8"/>
        <v>0</v>
      </c>
      <c r="T79" s="771" t="str">
        <f>IFERROR(_xlfn.XLOOKUP(N79,'E-2 Off-Site Hedge Creation'!AD84:AD331,'E-2 Off-Site Hedge Creation'!N84:N331), IFERROR(_xlfn.XLOOKUP(N79,'E-1 Off-Site Hedge Baseline'!AB82:AB329,'E-1 Off-Site Hedge Baseline'!P82:P329), " "))</f>
        <v/>
      </c>
      <c r="U79" s="774">
        <f t="shared" si="9"/>
        <v>0</v>
      </c>
      <c r="V79" s="1">
        <f>'F-1 Off-Site WaterC'' Baseline'!AG82</f>
        <v>0</v>
      </c>
      <c r="W79" s="772"/>
      <c r="X79" s="773">
        <f>SUMIF('F-1 Off-Site WaterC'' Baseline'!$AG$10:$AG$257,'Off-site gain site summary'!$W79,'F-1 Off-Site WaterC'' Baseline'!$U$10:$U$257)</f>
        <v>0</v>
      </c>
      <c r="Y79" s="773">
        <f>SUMIF('F-1 Off-Site WaterC'' Baseline'!$AG$10:$AG$257,'Off-site gain site summary'!$W79,'F-1 Off-Site WaterC'' Baseline'!$Y$10:$Y$257)</f>
        <v>0</v>
      </c>
      <c r="Z79" s="773">
        <f>SUMIF('F-3 Off-Site WaterC Enhancement'!$AT$12:$AT$257,'Off-site gain site summary'!$W79,'F-3 Off-Site WaterC Enhancement'!$AP$12:$AP$257)</f>
        <v>0</v>
      </c>
      <c r="AA79" s="773">
        <f>SUMIF('F-2 Off-Site WaterC'' Creation'!$AG$12:$AG$259,'Off-site gain site summary'!$W79,'F-2 Off-Site WaterC'' Creation'!$AC$12:$AC$259)</f>
        <v>0</v>
      </c>
      <c r="AB79" s="773">
        <f t="shared" si="10"/>
        <v>0</v>
      </c>
      <c r="AC79" s="773" t="str">
        <f>IFERROR(_xlfn.XLOOKUP(W79,'F-2 Off-Site WaterC'' Creation'!AG84:AG330,'F-2 Off-Site WaterC'' Creation'!AA84:AA331), IFERROR(_xlfn.XLOOKUP(W79,'F-1 Off-Site WaterC'' Baseline'!AG82:AG329,'F-1 Off-Site WaterC'' Baseline'!T82:T329)," "))</f>
        <v/>
      </c>
      <c r="AD79" s="774">
        <f t="shared" si="11"/>
        <v>0</v>
      </c>
      <c r="AE79" s="1356"/>
      <c r="AF79" s="1356"/>
    </row>
    <row r="80" spans="1:32">
      <c r="A80" s="757">
        <f>'D-1 Off-Site Habitat Baseline'!AF84</f>
        <v>0</v>
      </c>
      <c r="B80" s="764"/>
      <c r="C80" s="762">
        <f>SUMIF('D-1 Off-Site Habitat Baseline'!AF84:AF87,B80,'D-1 Off-Site Habitat Baseline'!T84:T87)</f>
        <v>0</v>
      </c>
      <c r="D80" s="1354">
        <f>SUMIF('D-1 Off-Site Habitat Baseline'!$AF$11:$AF$258,'Off-site gain site summary'!$B$7,'D-1 Off-Site Habitat Baseline'!$X$11:$X$258)</f>
        <v>0</v>
      </c>
      <c r="E80" s="1355"/>
      <c r="F80" s="1354">
        <f>SUMIF('D-3 Off-Site Habitat Enhancment'!$AU$12:$AU$258,'Off-site gain site summary'!B80,'D-3 Off-Site Habitat Enhancment'!$AQ$12:$AQ$258)</f>
        <v>0</v>
      </c>
      <c r="G80" s="1355"/>
      <c r="H80" s="1354">
        <f>SUMIF('D-2 Off-Site Habitat Creation'!$AF$11:$AF$256,'Off-site gain site summary'!B80,'D-2 Off-Site Habitat Creation'!$AB$11:$AB$256)</f>
        <v>0</v>
      </c>
      <c r="I80" s="1355"/>
      <c r="J80" s="765">
        <f t="shared" si="6"/>
        <v>0</v>
      </c>
      <c r="K80" s="762" t="str">
        <f>IFERROR(_xlfn.XLOOKUP(B80,'D-2 Off-Site Habitat Creation'!$AF$11:$AF$256,'D-2 Off-Site Habitat Creation'!$Z$11:$Z$256), IFERROR(_xlfn.XLOOKUP(B80,'D-1 Off-Site Habitat Baseline'!AF84:AF331,'D-1 Off-Site Habitat Baseline'!S84:S331), " "))</f>
        <v/>
      </c>
      <c r="L80" s="766">
        <f t="shared" si="7"/>
        <v>0</v>
      </c>
      <c r="M80" s="757">
        <f>'E-1 Off-Site Hedge Baseline'!AB83</f>
        <v>0</v>
      </c>
      <c r="N80" s="772"/>
      <c r="O80" s="773">
        <f>SUMIF('E-1 Off-Site Hedge Baseline'!AB83:AB330,'Off-site gain site summary'!N80,'E-1 Off-Site Hedge Baseline'!Q83:Q330)</f>
        <v>0</v>
      </c>
      <c r="P80" s="773">
        <f>SUMIF('E-1 Off-Site Hedge Baseline'!$AB$10:$AB$257,'Off-site gain site summary'!$N80,'E-1 Off-Site Hedge Baseline'!$U$10:$U$257)</f>
        <v>0</v>
      </c>
      <c r="Q80" s="773">
        <f>SUMIF('E-3 Off-Site Hedge Enhancement'!$AO$12:$AO$257,'Off-site gain site summary'!$N80,'E-3 Off-Site Hedge Enhancement'!$AK$12:$AK$257)</f>
        <v>0</v>
      </c>
      <c r="R80" s="773">
        <f>SUMIF('E-2 Off-Site Hedge Creation'!$AD$12:$AD$259,'Off-site gain site summary'!$N80,'E-2 Off-Site Hedge Creation'!$Z$12:$Z$259)</f>
        <v>0</v>
      </c>
      <c r="S80" s="771">
        <f t="shared" si="8"/>
        <v>0</v>
      </c>
      <c r="T80" s="771" t="str">
        <f>IFERROR(_xlfn.XLOOKUP(N80,'E-2 Off-Site Hedge Creation'!AD85:AD332,'E-2 Off-Site Hedge Creation'!N85:N332), IFERROR(_xlfn.XLOOKUP(N80,'E-1 Off-Site Hedge Baseline'!AB83:AB330,'E-1 Off-Site Hedge Baseline'!P83:P330), " "))</f>
        <v/>
      </c>
      <c r="U80" s="774">
        <f t="shared" si="9"/>
        <v>0</v>
      </c>
      <c r="V80" s="1">
        <f>'F-1 Off-Site WaterC'' Baseline'!AG83</f>
        <v>0</v>
      </c>
      <c r="W80" s="772"/>
      <c r="X80" s="773">
        <f>SUMIF('F-1 Off-Site WaterC'' Baseline'!$AG$10:$AG$257,'Off-site gain site summary'!$W80,'F-1 Off-Site WaterC'' Baseline'!$U$10:$U$257)</f>
        <v>0</v>
      </c>
      <c r="Y80" s="773">
        <f>SUMIF('F-1 Off-Site WaterC'' Baseline'!$AG$10:$AG$257,'Off-site gain site summary'!$W80,'F-1 Off-Site WaterC'' Baseline'!$Y$10:$Y$257)</f>
        <v>0</v>
      </c>
      <c r="Z80" s="773">
        <f>SUMIF('F-3 Off-Site WaterC Enhancement'!$AT$12:$AT$257,'Off-site gain site summary'!$W80,'F-3 Off-Site WaterC Enhancement'!$AP$12:$AP$257)</f>
        <v>0</v>
      </c>
      <c r="AA80" s="773">
        <f>SUMIF('F-2 Off-Site WaterC'' Creation'!$AG$12:$AG$259,'Off-site gain site summary'!$W80,'F-2 Off-Site WaterC'' Creation'!$AC$12:$AC$259)</f>
        <v>0</v>
      </c>
      <c r="AB80" s="773">
        <f t="shared" si="10"/>
        <v>0</v>
      </c>
      <c r="AC80" s="773" t="str">
        <f>IFERROR(_xlfn.XLOOKUP(W80,'F-2 Off-Site WaterC'' Creation'!AG85:AG331,'F-2 Off-Site WaterC'' Creation'!AA85:AA332), IFERROR(_xlfn.XLOOKUP(W80,'F-1 Off-Site WaterC'' Baseline'!AG83:AG330,'F-1 Off-Site WaterC'' Baseline'!T83:T330)," "))</f>
        <v/>
      </c>
      <c r="AD80" s="774">
        <f t="shared" si="11"/>
        <v>0</v>
      </c>
      <c r="AE80" s="1356"/>
      <c r="AF80" s="1356"/>
    </row>
    <row r="81" spans="1:32">
      <c r="A81" s="757">
        <f>'D-1 Off-Site Habitat Baseline'!AF85</f>
        <v>0</v>
      </c>
      <c r="B81" s="764"/>
      <c r="C81" s="762">
        <f>SUMIF('D-1 Off-Site Habitat Baseline'!AF85:AF88,B81,'D-1 Off-Site Habitat Baseline'!T85:T88)</f>
        <v>0</v>
      </c>
      <c r="D81" s="1354">
        <f>SUMIF('D-1 Off-Site Habitat Baseline'!$AF$11:$AF$258,'Off-site gain site summary'!$B$7,'D-1 Off-Site Habitat Baseline'!$X$11:$X$258)</f>
        <v>0</v>
      </c>
      <c r="E81" s="1355"/>
      <c r="F81" s="1354">
        <f>SUMIF('D-3 Off-Site Habitat Enhancment'!$AU$12:$AU$258,'Off-site gain site summary'!B81,'D-3 Off-Site Habitat Enhancment'!$AQ$12:$AQ$258)</f>
        <v>0</v>
      </c>
      <c r="G81" s="1355"/>
      <c r="H81" s="1354">
        <f>SUMIF('D-2 Off-Site Habitat Creation'!$AF$11:$AF$256,'Off-site gain site summary'!B81,'D-2 Off-Site Habitat Creation'!$AB$11:$AB$256)</f>
        <v>0</v>
      </c>
      <c r="I81" s="1355"/>
      <c r="J81" s="765">
        <f t="shared" si="6"/>
        <v>0</v>
      </c>
      <c r="K81" s="762" t="str">
        <f>IFERROR(_xlfn.XLOOKUP(B81,'D-2 Off-Site Habitat Creation'!$AF$11:$AF$256,'D-2 Off-Site Habitat Creation'!$Z$11:$Z$256), IFERROR(_xlfn.XLOOKUP(B81,'D-1 Off-Site Habitat Baseline'!AF85:AF332,'D-1 Off-Site Habitat Baseline'!S85:S332), " "))</f>
        <v/>
      </c>
      <c r="L81" s="766">
        <f t="shared" si="7"/>
        <v>0</v>
      </c>
      <c r="M81" s="757">
        <f>'E-1 Off-Site Hedge Baseline'!AB84</f>
        <v>0</v>
      </c>
      <c r="N81" s="772"/>
      <c r="O81" s="773">
        <f>SUMIF('E-1 Off-Site Hedge Baseline'!AB84:AB331,'Off-site gain site summary'!N81,'E-1 Off-Site Hedge Baseline'!Q84:Q331)</f>
        <v>0</v>
      </c>
      <c r="P81" s="773">
        <f>SUMIF('E-1 Off-Site Hedge Baseline'!$AB$10:$AB$257,'Off-site gain site summary'!$N81,'E-1 Off-Site Hedge Baseline'!$U$10:$U$257)</f>
        <v>0</v>
      </c>
      <c r="Q81" s="773">
        <f>SUMIF('E-3 Off-Site Hedge Enhancement'!$AO$12:$AO$257,'Off-site gain site summary'!$N81,'E-3 Off-Site Hedge Enhancement'!$AK$12:$AK$257)</f>
        <v>0</v>
      </c>
      <c r="R81" s="773">
        <f>SUMIF('E-2 Off-Site Hedge Creation'!$AD$12:$AD$259,'Off-site gain site summary'!$N81,'E-2 Off-Site Hedge Creation'!$Z$12:$Z$259)</f>
        <v>0</v>
      </c>
      <c r="S81" s="771">
        <f t="shared" si="8"/>
        <v>0</v>
      </c>
      <c r="T81" s="771" t="str">
        <f>IFERROR(_xlfn.XLOOKUP(N81,'E-2 Off-Site Hedge Creation'!AD86:AD333,'E-2 Off-Site Hedge Creation'!N86:N333), IFERROR(_xlfn.XLOOKUP(N81,'E-1 Off-Site Hedge Baseline'!AB84:AB331,'E-1 Off-Site Hedge Baseline'!P84:P331), " "))</f>
        <v/>
      </c>
      <c r="U81" s="774">
        <f t="shared" si="9"/>
        <v>0</v>
      </c>
      <c r="V81" s="1">
        <f>'F-1 Off-Site WaterC'' Baseline'!AG84</f>
        <v>0</v>
      </c>
      <c r="W81" s="772"/>
      <c r="X81" s="773">
        <f>SUMIF('F-1 Off-Site WaterC'' Baseline'!$AG$10:$AG$257,'Off-site gain site summary'!$W81,'F-1 Off-Site WaterC'' Baseline'!$U$10:$U$257)</f>
        <v>0</v>
      </c>
      <c r="Y81" s="773">
        <f>SUMIF('F-1 Off-Site WaterC'' Baseline'!$AG$10:$AG$257,'Off-site gain site summary'!$W81,'F-1 Off-Site WaterC'' Baseline'!$Y$10:$Y$257)</f>
        <v>0</v>
      </c>
      <c r="Z81" s="773">
        <f>SUMIF('F-3 Off-Site WaterC Enhancement'!$AT$12:$AT$257,'Off-site gain site summary'!$W81,'F-3 Off-Site WaterC Enhancement'!$AP$12:$AP$257)</f>
        <v>0</v>
      </c>
      <c r="AA81" s="773">
        <f>SUMIF('F-2 Off-Site WaterC'' Creation'!$AG$12:$AG$259,'Off-site gain site summary'!$W81,'F-2 Off-Site WaterC'' Creation'!$AC$12:$AC$259)</f>
        <v>0</v>
      </c>
      <c r="AB81" s="773">
        <f t="shared" si="10"/>
        <v>0</v>
      </c>
      <c r="AC81" s="773" t="str">
        <f>IFERROR(_xlfn.XLOOKUP(W81,'F-2 Off-Site WaterC'' Creation'!AG86:AG332,'F-2 Off-Site WaterC'' Creation'!AA86:AA333), IFERROR(_xlfn.XLOOKUP(W81,'F-1 Off-Site WaterC'' Baseline'!AG84:AG331,'F-1 Off-Site WaterC'' Baseline'!T84:T331)," "))</f>
        <v/>
      </c>
      <c r="AD81" s="774">
        <f t="shared" si="11"/>
        <v>0</v>
      </c>
      <c r="AE81" s="1356"/>
      <c r="AF81" s="1356"/>
    </row>
    <row r="82" spans="1:32">
      <c r="A82" s="757">
        <f>'D-1 Off-Site Habitat Baseline'!AF86</f>
        <v>0</v>
      </c>
      <c r="B82" s="764"/>
      <c r="C82" s="762">
        <f>SUMIF('D-1 Off-Site Habitat Baseline'!AF86:AF89,B82,'D-1 Off-Site Habitat Baseline'!T86:T89)</f>
        <v>0</v>
      </c>
      <c r="D82" s="1354">
        <f>SUMIF('D-1 Off-Site Habitat Baseline'!$AF$11:$AF$258,'Off-site gain site summary'!$B$7,'D-1 Off-Site Habitat Baseline'!$X$11:$X$258)</f>
        <v>0</v>
      </c>
      <c r="E82" s="1355"/>
      <c r="F82" s="1354">
        <f>SUMIF('D-3 Off-Site Habitat Enhancment'!$AU$12:$AU$258,'Off-site gain site summary'!B82,'D-3 Off-Site Habitat Enhancment'!$AQ$12:$AQ$258)</f>
        <v>0</v>
      </c>
      <c r="G82" s="1355"/>
      <c r="H82" s="1354">
        <f>SUMIF('D-2 Off-Site Habitat Creation'!$AF$11:$AF$256,'Off-site gain site summary'!B82,'D-2 Off-Site Habitat Creation'!$AB$11:$AB$256)</f>
        <v>0</v>
      </c>
      <c r="I82" s="1355"/>
      <c r="J82" s="765">
        <f t="shared" si="6"/>
        <v>0</v>
      </c>
      <c r="K82" s="762" t="str">
        <f>IFERROR(_xlfn.XLOOKUP(B82,'D-2 Off-Site Habitat Creation'!$AF$11:$AF$256,'D-2 Off-Site Habitat Creation'!$Z$11:$Z$256), IFERROR(_xlfn.XLOOKUP(B82,'D-1 Off-Site Habitat Baseline'!AF86:AF333,'D-1 Off-Site Habitat Baseline'!S86:S333), " "))</f>
        <v/>
      </c>
      <c r="L82" s="766">
        <f t="shared" si="7"/>
        <v>0</v>
      </c>
      <c r="M82" s="757">
        <f>'E-1 Off-Site Hedge Baseline'!AB85</f>
        <v>0</v>
      </c>
      <c r="N82" s="772"/>
      <c r="O82" s="773">
        <f>SUMIF('E-1 Off-Site Hedge Baseline'!AB85:AB332,'Off-site gain site summary'!N82,'E-1 Off-Site Hedge Baseline'!Q85:Q332)</f>
        <v>0</v>
      </c>
      <c r="P82" s="773">
        <f>SUMIF('E-1 Off-Site Hedge Baseline'!$AB$10:$AB$257,'Off-site gain site summary'!$N82,'E-1 Off-Site Hedge Baseline'!$U$10:$U$257)</f>
        <v>0</v>
      </c>
      <c r="Q82" s="773">
        <f>SUMIF('E-3 Off-Site Hedge Enhancement'!$AO$12:$AO$257,'Off-site gain site summary'!$N82,'E-3 Off-Site Hedge Enhancement'!$AK$12:$AK$257)</f>
        <v>0</v>
      </c>
      <c r="R82" s="773">
        <f>SUMIF('E-2 Off-Site Hedge Creation'!$AD$12:$AD$259,'Off-site gain site summary'!$N82,'E-2 Off-Site Hedge Creation'!$Z$12:$Z$259)</f>
        <v>0</v>
      </c>
      <c r="S82" s="771">
        <f t="shared" si="8"/>
        <v>0</v>
      </c>
      <c r="T82" s="771" t="str">
        <f>IFERROR(_xlfn.XLOOKUP(N82,'E-2 Off-Site Hedge Creation'!AD87:AD334,'E-2 Off-Site Hedge Creation'!N87:N334), IFERROR(_xlfn.XLOOKUP(N82,'E-1 Off-Site Hedge Baseline'!AB85:AB332,'E-1 Off-Site Hedge Baseline'!P85:P332), " "))</f>
        <v/>
      </c>
      <c r="U82" s="774">
        <f t="shared" si="9"/>
        <v>0</v>
      </c>
      <c r="V82" s="1">
        <f>'F-1 Off-Site WaterC'' Baseline'!AG85</f>
        <v>0</v>
      </c>
      <c r="W82" s="772"/>
      <c r="X82" s="773">
        <f>SUMIF('F-1 Off-Site WaterC'' Baseline'!$AG$10:$AG$257,'Off-site gain site summary'!$W82,'F-1 Off-Site WaterC'' Baseline'!$U$10:$U$257)</f>
        <v>0</v>
      </c>
      <c r="Y82" s="773">
        <f>SUMIF('F-1 Off-Site WaterC'' Baseline'!$AG$10:$AG$257,'Off-site gain site summary'!$W82,'F-1 Off-Site WaterC'' Baseline'!$Y$10:$Y$257)</f>
        <v>0</v>
      </c>
      <c r="Z82" s="773">
        <f>SUMIF('F-3 Off-Site WaterC Enhancement'!$AT$12:$AT$257,'Off-site gain site summary'!$W82,'F-3 Off-Site WaterC Enhancement'!$AP$12:$AP$257)</f>
        <v>0</v>
      </c>
      <c r="AA82" s="773">
        <f>SUMIF('F-2 Off-Site WaterC'' Creation'!$AG$12:$AG$259,'Off-site gain site summary'!$W82,'F-2 Off-Site WaterC'' Creation'!$AC$12:$AC$259)</f>
        <v>0</v>
      </c>
      <c r="AB82" s="773">
        <f t="shared" si="10"/>
        <v>0</v>
      </c>
      <c r="AC82" s="773" t="str">
        <f>IFERROR(_xlfn.XLOOKUP(W82,'F-2 Off-Site WaterC'' Creation'!AG87:AG333,'F-2 Off-Site WaterC'' Creation'!AA87:AA334), IFERROR(_xlfn.XLOOKUP(W82,'F-1 Off-Site WaterC'' Baseline'!AG85:AG332,'F-1 Off-Site WaterC'' Baseline'!T85:T332)," "))</f>
        <v/>
      </c>
      <c r="AD82" s="774">
        <f t="shared" si="11"/>
        <v>0</v>
      </c>
      <c r="AE82" s="1356"/>
      <c r="AF82" s="1356"/>
    </row>
    <row r="83" spans="1:32">
      <c r="A83" s="757">
        <f>'D-1 Off-Site Habitat Baseline'!AF87</f>
        <v>0</v>
      </c>
      <c r="B83" s="764"/>
      <c r="C83" s="762">
        <f>SUMIF('D-1 Off-Site Habitat Baseline'!AF87:AF90,B83,'D-1 Off-Site Habitat Baseline'!T87:T90)</f>
        <v>0</v>
      </c>
      <c r="D83" s="1354">
        <f>SUMIF('D-1 Off-Site Habitat Baseline'!$AF$11:$AF$258,'Off-site gain site summary'!$B$7,'D-1 Off-Site Habitat Baseline'!$X$11:$X$258)</f>
        <v>0</v>
      </c>
      <c r="E83" s="1355"/>
      <c r="F83" s="1354">
        <f>SUMIF('D-3 Off-Site Habitat Enhancment'!$AU$12:$AU$258,'Off-site gain site summary'!B83,'D-3 Off-Site Habitat Enhancment'!$AQ$12:$AQ$258)</f>
        <v>0</v>
      </c>
      <c r="G83" s="1355"/>
      <c r="H83" s="1354">
        <f>SUMIF('D-2 Off-Site Habitat Creation'!$AF$11:$AF$256,'Off-site gain site summary'!B83,'D-2 Off-Site Habitat Creation'!$AB$11:$AB$256)</f>
        <v>0</v>
      </c>
      <c r="I83" s="1355"/>
      <c r="J83" s="765">
        <f t="shared" si="6"/>
        <v>0</v>
      </c>
      <c r="K83" s="762" t="str">
        <f>IFERROR(_xlfn.XLOOKUP(B83,'D-2 Off-Site Habitat Creation'!$AF$11:$AF$256,'D-2 Off-Site Habitat Creation'!$Z$11:$Z$256), IFERROR(_xlfn.XLOOKUP(B83,'D-1 Off-Site Habitat Baseline'!AF87:AF334,'D-1 Off-Site Habitat Baseline'!S87:S334), " "))</f>
        <v/>
      </c>
      <c r="L83" s="766">
        <f t="shared" si="7"/>
        <v>0</v>
      </c>
      <c r="M83" s="757">
        <f>'E-1 Off-Site Hedge Baseline'!AB86</f>
        <v>0</v>
      </c>
      <c r="N83" s="772"/>
      <c r="O83" s="773">
        <f>SUMIF('E-1 Off-Site Hedge Baseline'!AB86:AB333,'Off-site gain site summary'!N83,'E-1 Off-Site Hedge Baseline'!Q86:Q333)</f>
        <v>0</v>
      </c>
      <c r="P83" s="773">
        <f>SUMIF('E-1 Off-Site Hedge Baseline'!$AB$10:$AB$257,'Off-site gain site summary'!$N83,'E-1 Off-Site Hedge Baseline'!$U$10:$U$257)</f>
        <v>0</v>
      </c>
      <c r="Q83" s="773">
        <f>SUMIF('E-3 Off-Site Hedge Enhancement'!$AO$12:$AO$257,'Off-site gain site summary'!$N83,'E-3 Off-Site Hedge Enhancement'!$AK$12:$AK$257)</f>
        <v>0</v>
      </c>
      <c r="R83" s="773">
        <f>SUMIF('E-2 Off-Site Hedge Creation'!$AD$12:$AD$259,'Off-site gain site summary'!$N83,'E-2 Off-Site Hedge Creation'!$Z$12:$Z$259)</f>
        <v>0</v>
      </c>
      <c r="S83" s="771">
        <f t="shared" si="8"/>
        <v>0</v>
      </c>
      <c r="T83" s="771" t="str">
        <f>IFERROR(_xlfn.XLOOKUP(N83,'E-2 Off-Site Hedge Creation'!AD88:AD335,'E-2 Off-Site Hedge Creation'!N88:N335), IFERROR(_xlfn.XLOOKUP(N83,'E-1 Off-Site Hedge Baseline'!AB86:AB333,'E-1 Off-Site Hedge Baseline'!P86:P333), " "))</f>
        <v/>
      </c>
      <c r="U83" s="774">
        <f t="shared" si="9"/>
        <v>0</v>
      </c>
      <c r="V83" s="1">
        <f>'F-1 Off-Site WaterC'' Baseline'!AG86</f>
        <v>0</v>
      </c>
      <c r="W83" s="772"/>
      <c r="X83" s="773">
        <f>SUMIF('F-1 Off-Site WaterC'' Baseline'!$AG$10:$AG$257,'Off-site gain site summary'!$W83,'F-1 Off-Site WaterC'' Baseline'!$U$10:$U$257)</f>
        <v>0</v>
      </c>
      <c r="Y83" s="773">
        <f>SUMIF('F-1 Off-Site WaterC'' Baseline'!$AG$10:$AG$257,'Off-site gain site summary'!$W83,'F-1 Off-Site WaterC'' Baseline'!$Y$10:$Y$257)</f>
        <v>0</v>
      </c>
      <c r="Z83" s="773">
        <f>SUMIF('F-3 Off-Site WaterC Enhancement'!$AT$12:$AT$257,'Off-site gain site summary'!$W83,'F-3 Off-Site WaterC Enhancement'!$AP$12:$AP$257)</f>
        <v>0</v>
      </c>
      <c r="AA83" s="773">
        <f>SUMIF('F-2 Off-Site WaterC'' Creation'!$AG$12:$AG$259,'Off-site gain site summary'!$W83,'F-2 Off-Site WaterC'' Creation'!$AC$12:$AC$259)</f>
        <v>0</v>
      </c>
      <c r="AB83" s="773">
        <f t="shared" si="10"/>
        <v>0</v>
      </c>
      <c r="AC83" s="773" t="str">
        <f>IFERROR(_xlfn.XLOOKUP(W83,'F-2 Off-Site WaterC'' Creation'!AG88:AG334,'F-2 Off-Site WaterC'' Creation'!AA88:AA335), IFERROR(_xlfn.XLOOKUP(W83,'F-1 Off-Site WaterC'' Baseline'!AG86:AG333,'F-1 Off-Site WaterC'' Baseline'!T86:T333)," "))</f>
        <v/>
      </c>
      <c r="AD83" s="774">
        <f t="shared" si="11"/>
        <v>0</v>
      </c>
      <c r="AE83" s="1356"/>
      <c r="AF83" s="1356"/>
    </row>
    <row r="84" spans="1:32">
      <c r="A84" s="757">
        <f>'D-1 Off-Site Habitat Baseline'!AF88</f>
        <v>0</v>
      </c>
      <c r="B84" s="764"/>
      <c r="C84" s="762">
        <f>SUMIF('D-1 Off-Site Habitat Baseline'!AF88:AF91,B84,'D-1 Off-Site Habitat Baseline'!T88:T91)</f>
        <v>0</v>
      </c>
      <c r="D84" s="1354">
        <f>SUMIF('D-1 Off-Site Habitat Baseline'!$AF$11:$AF$258,'Off-site gain site summary'!$B$7,'D-1 Off-Site Habitat Baseline'!$X$11:$X$258)</f>
        <v>0</v>
      </c>
      <c r="E84" s="1355"/>
      <c r="F84" s="1354">
        <f>SUMIF('D-3 Off-Site Habitat Enhancment'!$AU$12:$AU$258,'Off-site gain site summary'!B84,'D-3 Off-Site Habitat Enhancment'!$AQ$12:$AQ$258)</f>
        <v>0</v>
      </c>
      <c r="G84" s="1355"/>
      <c r="H84" s="1354">
        <f>SUMIF('D-2 Off-Site Habitat Creation'!$AF$11:$AF$256,'Off-site gain site summary'!B84,'D-2 Off-Site Habitat Creation'!$AB$11:$AB$256)</f>
        <v>0</v>
      </c>
      <c r="I84" s="1355"/>
      <c r="J84" s="765">
        <f t="shared" si="6"/>
        <v>0</v>
      </c>
      <c r="K84" s="762" t="str">
        <f>IFERROR(_xlfn.XLOOKUP(B84,'D-2 Off-Site Habitat Creation'!$AF$11:$AF$256,'D-2 Off-Site Habitat Creation'!$Z$11:$Z$256), IFERROR(_xlfn.XLOOKUP(B84,'D-1 Off-Site Habitat Baseline'!AF88:AF335,'D-1 Off-Site Habitat Baseline'!S88:S335), " "))</f>
        <v/>
      </c>
      <c r="L84" s="766">
        <f t="shared" si="7"/>
        <v>0</v>
      </c>
      <c r="M84" s="757">
        <f>'E-1 Off-Site Hedge Baseline'!AB87</f>
        <v>0</v>
      </c>
      <c r="N84" s="772"/>
      <c r="O84" s="773">
        <f>SUMIF('E-1 Off-Site Hedge Baseline'!AB87:AB334,'Off-site gain site summary'!N84,'E-1 Off-Site Hedge Baseline'!Q87:Q334)</f>
        <v>0</v>
      </c>
      <c r="P84" s="773">
        <f>SUMIF('E-1 Off-Site Hedge Baseline'!$AB$10:$AB$257,'Off-site gain site summary'!$N84,'E-1 Off-Site Hedge Baseline'!$U$10:$U$257)</f>
        <v>0</v>
      </c>
      <c r="Q84" s="773">
        <f>SUMIF('E-3 Off-Site Hedge Enhancement'!$AO$12:$AO$257,'Off-site gain site summary'!$N84,'E-3 Off-Site Hedge Enhancement'!$AK$12:$AK$257)</f>
        <v>0</v>
      </c>
      <c r="R84" s="773">
        <f>SUMIF('E-2 Off-Site Hedge Creation'!$AD$12:$AD$259,'Off-site gain site summary'!$N84,'E-2 Off-Site Hedge Creation'!$Z$12:$Z$259)</f>
        <v>0</v>
      </c>
      <c r="S84" s="771">
        <f t="shared" si="8"/>
        <v>0</v>
      </c>
      <c r="T84" s="771" t="str">
        <f>IFERROR(_xlfn.XLOOKUP(N84,'E-2 Off-Site Hedge Creation'!AD89:AD336,'E-2 Off-Site Hedge Creation'!N89:N336), IFERROR(_xlfn.XLOOKUP(N84,'E-1 Off-Site Hedge Baseline'!AB87:AB334,'E-1 Off-Site Hedge Baseline'!P87:P334), " "))</f>
        <v/>
      </c>
      <c r="U84" s="774">
        <f t="shared" si="9"/>
        <v>0</v>
      </c>
      <c r="V84" s="1">
        <f>'F-1 Off-Site WaterC'' Baseline'!AG87</f>
        <v>0</v>
      </c>
      <c r="W84" s="772"/>
      <c r="X84" s="773">
        <f>SUMIF('F-1 Off-Site WaterC'' Baseline'!$AG$10:$AG$257,'Off-site gain site summary'!$W84,'F-1 Off-Site WaterC'' Baseline'!$U$10:$U$257)</f>
        <v>0</v>
      </c>
      <c r="Y84" s="773">
        <f>SUMIF('F-1 Off-Site WaterC'' Baseline'!$AG$10:$AG$257,'Off-site gain site summary'!$W84,'F-1 Off-Site WaterC'' Baseline'!$Y$10:$Y$257)</f>
        <v>0</v>
      </c>
      <c r="Z84" s="773">
        <f>SUMIF('F-3 Off-Site WaterC Enhancement'!$AT$12:$AT$257,'Off-site gain site summary'!$W84,'F-3 Off-Site WaterC Enhancement'!$AP$12:$AP$257)</f>
        <v>0</v>
      </c>
      <c r="AA84" s="773">
        <f>SUMIF('F-2 Off-Site WaterC'' Creation'!$AG$12:$AG$259,'Off-site gain site summary'!$W84,'F-2 Off-Site WaterC'' Creation'!$AC$12:$AC$259)</f>
        <v>0</v>
      </c>
      <c r="AB84" s="773">
        <f t="shared" si="10"/>
        <v>0</v>
      </c>
      <c r="AC84" s="773" t="str">
        <f>IFERROR(_xlfn.XLOOKUP(W84,'F-2 Off-Site WaterC'' Creation'!AG89:AG335,'F-2 Off-Site WaterC'' Creation'!AA89:AA336), IFERROR(_xlfn.XLOOKUP(W84,'F-1 Off-Site WaterC'' Baseline'!AG87:AG334,'F-1 Off-Site WaterC'' Baseline'!T87:T334)," "))</f>
        <v/>
      </c>
      <c r="AD84" s="774">
        <f t="shared" si="11"/>
        <v>0</v>
      </c>
      <c r="AE84" s="1356"/>
      <c r="AF84" s="1356"/>
    </row>
    <row r="85" spans="1:32">
      <c r="A85" s="757">
        <f>'D-1 Off-Site Habitat Baseline'!AF89</f>
        <v>0</v>
      </c>
      <c r="B85" s="764"/>
      <c r="C85" s="762">
        <f>SUMIF('D-1 Off-Site Habitat Baseline'!AF89:AF92,B85,'D-1 Off-Site Habitat Baseline'!T89:T92)</f>
        <v>0</v>
      </c>
      <c r="D85" s="1354">
        <f>SUMIF('D-1 Off-Site Habitat Baseline'!$AF$11:$AF$258,'Off-site gain site summary'!$B$7,'D-1 Off-Site Habitat Baseline'!$X$11:$X$258)</f>
        <v>0</v>
      </c>
      <c r="E85" s="1355"/>
      <c r="F85" s="1354">
        <f>SUMIF('D-3 Off-Site Habitat Enhancment'!$AU$12:$AU$258,'Off-site gain site summary'!B85,'D-3 Off-Site Habitat Enhancment'!$AQ$12:$AQ$258)</f>
        <v>0</v>
      </c>
      <c r="G85" s="1355"/>
      <c r="H85" s="1354">
        <f>SUMIF('D-2 Off-Site Habitat Creation'!$AF$11:$AF$256,'Off-site gain site summary'!B85,'D-2 Off-Site Habitat Creation'!$AB$11:$AB$256)</f>
        <v>0</v>
      </c>
      <c r="I85" s="1355"/>
      <c r="J85" s="765">
        <f t="shared" si="6"/>
        <v>0</v>
      </c>
      <c r="K85" s="762" t="str">
        <f>IFERROR(_xlfn.XLOOKUP(B85,'D-2 Off-Site Habitat Creation'!$AF$11:$AF$256,'D-2 Off-Site Habitat Creation'!$Z$11:$Z$256), IFERROR(_xlfn.XLOOKUP(B85,'D-1 Off-Site Habitat Baseline'!AF89:AF336,'D-1 Off-Site Habitat Baseline'!S89:S336), " "))</f>
        <v/>
      </c>
      <c r="L85" s="766">
        <f t="shared" si="7"/>
        <v>0</v>
      </c>
      <c r="M85" s="757">
        <f>'E-1 Off-Site Hedge Baseline'!AB88</f>
        <v>0</v>
      </c>
      <c r="N85" s="772"/>
      <c r="O85" s="773">
        <f>SUMIF('E-1 Off-Site Hedge Baseline'!AB88:AB335,'Off-site gain site summary'!N85,'E-1 Off-Site Hedge Baseline'!Q88:Q335)</f>
        <v>0</v>
      </c>
      <c r="P85" s="773">
        <f>SUMIF('E-1 Off-Site Hedge Baseline'!$AB$10:$AB$257,'Off-site gain site summary'!$N85,'E-1 Off-Site Hedge Baseline'!$U$10:$U$257)</f>
        <v>0</v>
      </c>
      <c r="Q85" s="773">
        <f>SUMIF('E-3 Off-Site Hedge Enhancement'!$AO$12:$AO$257,'Off-site gain site summary'!$N85,'E-3 Off-Site Hedge Enhancement'!$AK$12:$AK$257)</f>
        <v>0</v>
      </c>
      <c r="R85" s="773">
        <f>SUMIF('E-2 Off-Site Hedge Creation'!$AD$12:$AD$259,'Off-site gain site summary'!$N85,'E-2 Off-Site Hedge Creation'!$Z$12:$Z$259)</f>
        <v>0</v>
      </c>
      <c r="S85" s="771">
        <f t="shared" si="8"/>
        <v>0</v>
      </c>
      <c r="T85" s="771" t="str">
        <f>IFERROR(_xlfn.XLOOKUP(N85,'E-2 Off-Site Hedge Creation'!AD90:AD337,'E-2 Off-Site Hedge Creation'!N90:N337), IFERROR(_xlfn.XLOOKUP(N85,'E-1 Off-Site Hedge Baseline'!AB88:AB335,'E-1 Off-Site Hedge Baseline'!P88:P335), " "))</f>
        <v/>
      </c>
      <c r="U85" s="774">
        <f t="shared" si="9"/>
        <v>0</v>
      </c>
      <c r="V85" s="1">
        <f>'F-1 Off-Site WaterC'' Baseline'!AG88</f>
        <v>0</v>
      </c>
      <c r="W85" s="772"/>
      <c r="X85" s="773">
        <f>SUMIF('F-1 Off-Site WaterC'' Baseline'!$AG$10:$AG$257,'Off-site gain site summary'!$W85,'F-1 Off-Site WaterC'' Baseline'!$U$10:$U$257)</f>
        <v>0</v>
      </c>
      <c r="Y85" s="773">
        <f>SUMIF('F-1 Off-Site WaterC'' Baseline'!$AG$10:$AG$257,'Off-site gain site summary'!$W85,'F-1 Off-Site WaterC'' Baseline'!$Y$10:$Y$257)</f>
        <v>0</v>
      </c>
      <c r="Z85" s="773">
        <f>SUMIF('F-3 Off-Site WaterC Enhancement'!$AT$12:$AT$257,'Off-site gain site summary'!$W85,'F-3 Off-Site WaterC Enhancement'!$AP$12:$AP$257)</f>
        <v>0</v>
      </c>
      <c r="AA85" s="773">
        <f>SUMIF('F-2 Off-Site WaterC'' Creation'!$AG$12:$AG$259,'Off-site gain site summary'!$W85,'F-2 Off-Site WaterC'' Creation'!$AC$12:$AC$259)</f>
        <v>0</v>
      </c>
      <c r="AB85" s="773">
        <f t="shared" si="10"/>
        <v>0</v>
      </c>
      <c r="AC85" s="773" t="str">
        <f>IFERROR(_xlfn.XLOOKUP(W85,'F-2 Off-Site WaterC'' Creation'!AG90:AG336,'F-2 Off-Site WaterC'' Creation'!AA90:AA337), IFERROR(_xlfn.XLOOKUP(W85,'F-1 Off-Site WaterC'' Baseline'!AG88:AG335,'F-1 Off-Site WaterC'' Baseline'!T88:T335)," "))</f>
        <v/>
      </c>
      <c r="AD85" s="774">
        <f t="shared" si="11"/>
        <v>0</v>
      </c>
      <c r="AE85" s="1356"/>
      <c r="AF85" s="1356"/>
    </row>
    <row r="86" spans="1:32">
      <c r="A86" s="757">
        <f>'D-1 Off-Site Habitat Baseline'!AF90</f>
        <v>0</v>
      </c>
      <c r="B86" s="764"/>
      <c r="C86" s="762">
        <f>SUMIF('D-1 Off-Site Habitat Baseline'!AF90:AF93,B86,'D-1 Off-Site Habitat Baseline'!T90:T93)</f>
        <v>0</v>
      </c>
      <c r="D86" s="1354">
        <f>SUMIF('D-1 Off-Site Habitat Baseline'!$AF$11:$AF$258,'Off-site gain site summary'!$B$7,'D-1 Off-Site Habitat Baseline'!$X$11:$X$258)</f>
        <v>0</v>
      </c>
      <c r="E86" s="1355"/>
      <c r="F86" s="1354">
        <f>SUMIF('D-3 Off-Site Habitat Enhancment'!$AU$12:$AU$258,'Off-site gain site summary'!B86,'D-3 Off-Site Habitat Enhancment'!$AQ$12:$AQ$258)</f>
        <v>0</v>
      </c>
      <c r="G86" s="1355"/>
      <c r="H86" s="1354">
        <f>SUMIF('D-2 Off-Site Habitat Creation'!$AF$11:$AF$256,'Off-site gain site summary'!B86,'D-2 Off-Site Habitat Creation'!$AB$11:$AB$256)</f>
        <v>0</v>
      </c>
      <c r="I86" s="1355"/>
      <c r="J86" s="765">
        <f t="shared" si="6"/>
        <v>0</v>
      </c>
      <c r="K86" s="762" t="str">
        <f>IFERROR(_xlfn.XLOOKUP(B86,'D-2 Off-Site Habitat Creation'!$AF$11:$AF$256,'D-2 Off-Site Habitat Creation'!$Z$11:$Z$256), IFERROR(_xlfn.XLOOKUP(B86,'D-1 Off-Site Habitat Baseline'!AF90:AF337,'D-1 Off-Site Habitat Baseline'!S90:S337), " "))</f>
        <v/>
      </c>
      <c r="L86" s="766">
        <f t="shared" si="7"/>
        <v>0</v>
      </c>
      <c r="M86" s="757">
        <f>'E-1 Off-Site Hedge Baseline'!AB89</f>
        <v>0</v>
      </c>
      <c r="N86" s="772"/>
      <c r="O86" s="773">
        <f>SUMIF('E-1 Off-Site Hedge Baseline'!AB89:AB336,'Off-site gain site summary'!N86,'E-1 Off-Site Hedge Baseline'!Q89:Q336)</f>
        <v>0</v>
      </c>
      <c r="P86" s="773">
        <f>SUMIF('E-1 Off-Site Hedge Baseline'!$AB$10:$AB$257,'Off-site gain site summary'!$N86,'E-1 Off-Site Hedge Baseline'!$U$10:$U$257)</f>
        <v>0</v>
      </c>
      <c r="Q86" s="773">
        <f>SUMIF('E-3 Off-Site Hedge Enhancement'!$AO$12:$AO$257,'Off-site gain site summary'!$N86,'E-3 Off-Site Hedge Enhancement'!$AK$12:$AK$257)</f>
        <v>0</v>
      </c>
      <c r="R86" s="773">
        <f>SUMIF('E-2 Off-Site Hedge Creation'!$AD$12:$AD$259,'Off-site gain site summary'!$N86,'E-2 Off-Site Hedge Creation'!$Z$12:$Z$259)</f>
        <v>0</v>
      </c>
      <c r="S86" s="771">
        <f t="shared" si="8"/>
        <v>0</v>
      </c>
      <c r="T86" s="771" t="str">
        <f>IFERROR(_xlfn.XLOOKUP(N86,'E-2 Off-Site Hedge Creation'!AD91:AD338,'E-2 Off-Site Hedge Creation'!N91:N338), IFERROR(_xlfn.XLOOKUP(N86,'E-1 Off-Site Hedge Baseline'!AB89:AB336,'E-1 Off-Site Hedge Baseline'!P89:P336), " "))</f>
        <v/>
      </c>
      <c r="U86" s="774">
        <f t="shared" si="9"/>
        <v>0</v>
      </c>
      <c r="V86" s="1">
        <f>'F-1 Off-Site WaterC'' Baseline'!AG89</f>
        <v>0</v>
      </c>
      <c r="W86" s="772"/>
      <c r="X86" s="773">
        <f>SUMIF('F-1 Off-Site WaterC'' Baseline'!$AG$10:$AG$257,'Off-site gain site summary'!$W86,'F-1 Off-Site WaterC'' Baseline'!$U$10:$U$257)</f>
        <v>0</v>
      </c>
      <c r="Y86" s="773">
        <f>SUMIF('F-1 Off-Site WaterC'' Baseline'!$AG$10:$AG$257,'Off-site gain site summary'!$W86,'F-1 Off-Site WaterC'' Baseline'!$Y$10:$Y$257)</f>
        <v>0</v>
      </c>
      <c r="Z86" s="773">
        <f>SUMIF('F-3 Off-Site WaterC Enhancement'!$AT$12:$AT$257,'Off-site gain site summary'!$W86,'F-3 Off-Site WaterC Enhancement'!$AP$12:$AP$257)</f>
        <v>0</v>
      </c>
      <c r="AA86" s="773">
        <f>SUMIF('F-2 Off-Site WaterC'' Creation'!$AG$12:$AG$259,'Off-site gain site summary'!$W86,'F-2 Off-Site WaterC'' Creation'!$AC$12:$AC$259)</f>
        <v>0</v>
      </c>
      <c r="AB86" s="773">
        <f t="shared" si="10"/>
        <v>0</v>
      </c>
      <c r="AC86" s="773" t="str">
        <f>IFERROR(_xlfn.XLOOKUP(W86,'F-2 Off-Site WaterC'' Creation'!AG91:AG337,'F-2 Off-Site WaterC'' Creation'!AA91:AA338), IFERROR(_xlfn.XLOOKUP(W86,'F-1 Off-Site WaterC'' Baseline'!AG89:AG336,'F-1 Off-Site WaterC'' Baseline'!T89:T336)," "))</f>
        <v/>
      </c>
      <c r="AD86" s="774">
        <f t="shared" si="11"/>
        <v>0</v>
      </c>
      <c r="AE86" s="1356"/>
      <c r="AF86" s="1356"/>
    </row>
    <row r="87" spans="1:32">
      <c r="A87" s="757">
        <f>'D-1 Off-Site Habitat Baseline'!AF91</f>
        <v>0</v>
      </c>
      <c r="B87" s="764"/>
      <c r="C87" s="762">
        <f>SUMIF('D-1 Off-Site Habitat Baseline'!AF91:AF94,B87,'D-1 Off-Site Habitat Baseline'!T91:T94)</f>
        <v>0</v>
      </c>
      <c r="D87" s="1354">
        <f>SUMIF('D-1 Off-Site Habitat Baseline'!$AF$11:$AF$258,'Off-site gain site summary'!$B$7,'D-1 Off-Site Habitat Baseline'!$X$11:$X$258)</f>
        <v>0</v>
      </c>
      <c r="E87" s="1355"/>
      <c r="F87" s="1354">
        <f>SUMIF('D-3 Off-Site Habitat Enhancment'!$AU$12:$AU$258,'Off-site gain site summary'!B87,'D-3 Off-Site Habitat Enhancment'!$AQ$12:$AQ$258)</f>
        <v>0</v>
      </c>
      <c r="G87" s="1355"/>
      <c r="H87" s="1354">
        <f>SUMIF('D-2 Off-Site Habitat Creation'!$AF$11:$AF$256,'Off-site gain site summary'!B87,'D-2 Off-Site Habitat Creation'!$AB$11:$AB$256)</f>
        <v>0</v>
      </c>
      <c r="I87" s="1355"/>
      <c r="J87" s="765">
        <f t="shared" si="6"/>
        <v>0</v>
      </c>
      <c r="K87" s="762" t="str">
        <f>IFERROR(_xlfn.XLOOKUP(B87,'D-2 Off-Site Habitat Creation'!$AF$11:$AF$256,'D-2 Off-Site Habitat Creation'!$Z$11:$Z$256), IFERROR(_xlfn.XLOOKUP(B87,'D-1 Off-Site Habitat Baseline'!AF91:AF338,'D-1 Off-Site Habitat Baseline'!S91:S338), " "))</f>
        <v/>
      </c>
      <c r="L87" s="766">
        <f t="shared" si="7"/>
        <v>0</v>
      </c>
      <c r="M87" s="757">
        <f>'E-1 Off-Site Hedge Baseline'!AB90</f>
        <v>0</v>
      </c>
      <c r="N87" s="772"/>
      <c r="O87" s="773">
        <f>SUMIF('E-1 Off-Site Hedge Baseline'!AB90:AB337,'Off-site gain site summary'!N87,'E-1 Off-Site Hedge Baseline'!Q90:Q337)</f>
        <v>0</v>
      </c>
      <c r="P87" s="773">
        <f>SUMIF('E-1 Off-Site Hedge Baseline'!$AB$10:$AB$257,'Off-site gain site summary'!$N87,'E-1 Off-Site Hedge Baseline'!$U$10:$U$257)</f>
        <v>0</v>
      </c>
      <c r="Q87" s="773">
        <f>SUMIF('E-3 Off-Site Hedge Enhancement'!$AO$12:$AO$257,'Off-site gain site summary'!$N87,'E-3 Off-Site Hedge Enhancement'!$AK$12:$AK$257)</f>
        <v>0</v>
      </c>
      <c r="R87" s="773">
        <f>SUMIF('E-2 Off-Site Hedge Creation'!$AD$12:$AD$259,'Off-site gain site summary'!$N87,'E-2 Off-Site Hedge Creation'!$Z$12:$Z$259)</f>
        <v>0</v>
      </c>
      <c r="S87" s="771">
        <f t="shared" si="8"/>
        <v>0</v>
      </c>
      <c r="T87" s="771" t="str">
        <f>IFERROR(_xlfn.XLOOKUP(N87,'E-2 Off-Site Hedge Creation'!AD92:AD339,'E-2 Off-Site Hedge Creation'!N92:N339), IFERROR(_xlfn.XLOOKUP(N87,'E-1 Off-Site Hedge Baseline'!AB90:AB337,'E-1 Off-Site Hedge Baseline'!P90:P337), " "))</f>
        <v/>
      </c>
      <c r="U87" s="774">
        <f t="shared" si="9"/>
        <v>0</v>
      </c>
      <c r="V87" s="1">
        <f>'F-1 Off-Site WaterC'' Baseline'!AG90</f>
        <v>0</v>
      </c>
      <c r="W87" s="772"/>
      <c r="X87" s="773">
        <f>SUMIF('F-1 Off-Site WaterC'' Baseline'!$AG$10:$AG$257,'Off-site gain site summary'!$W87,'F-1 Off-Site WaterC'' Baseline'!$U$10:$U$257)</f>
        <v>0</v>
      </c>
      <c r="Y87" s="773">
        <f>SUMIF('F-1 Off-Site WaterC'' Baseline'!$AG$10:$AG$257,'Off-site gain site summary'!$W87,'F-1 Off-Site WaterC'' Baseline'!$Y$10:$Y$257)</f>
        <v>0</v>
      </c>
      <c r="Z87" s="773">
        <f>SUMIF('F-3 Off-Site WaterC Enhancement'!$AT$12:$AT$257,'Off-site gain site summary'!$W87,'F-3 Off-Site WaterC Enhancement'!$AP$12:$AP$257)</f>
        <v>0</v>
      </c>
      <c r="AA87" s="773">
        <f>SUMIF('F-2 Off-Site WaterC'' Creation'!$AG$12:$AG$259,'Off-site gain site summary'!$W87,'F-2 Off-Site WaterC'' Creation'!$AC$12:$AC$259)</f>
        <v>0</v>
      </c>
      <c r="AB87" s="773">
        <f t="shared" si="10"/>
        <v>0</v>
      </c>
      <c r="AC87" s="773" t="str">
        <f>IFERROR(_xlfn.XLOOKUP(W87,'F-2 Off-Site WaterC'' Creation'!AG92:AG338,'F-2 Off-Site WaterC'' Creation'!AA92:AA339), IFERROR(_xlfn.XLOOKUP(W87,'F-1 Off-Site WaterC'' Baseline'!AG90:AG337,'F-1 Off-Site WaterC'' Baseline'!T90:T337)," "))</f>
        <v/>
      </c>
      <c r="AD87" s="774">
        <f t="shared" si="11"/>
        <v>0</v>
      </c>
      <c r="AE87" s="1356"/>
      <c r="AF87" s="1356"/>
    </row>
    <row r="88" spans="1:32">
      <c r="A88" s="757">
        <f>'D-1 Off-Site Habitat Baseline'!AF92</f>
        <v>0</v>
      </c>
      <c r="B88" s="764"/>
      <c r="C88" s="762">
        <f>SUMIF('D-1 Off-Site Habitat Baseline'!AF92:AF95,B88,'D-1 Off-Site Habitat Baseline'!T92:T95)</f>
        <v>0</v>
      </c>
      <c r="D88" s="1354">
        <f>SUMIF('D-1 Off-Site Habitat Baseline'!$AF$11:$AF$258,'Off-site gain site summary'!$B$7,'D-1 Off-Site Habitat Baseline'!$X$11:$X$258)</f>
        <v>0</v>
      </c>
      <c r="E88" s="1355"/>
      <c r="F88" s="1354">
        <f>SUMIF('D-3 Off-Site Habitat Enhancment'!$AU$12:$AU$258,'Off-site gain site summary'!B88,'D-3 Off-Site Habitat Enhancment'!$AQ$12:$AQ$258)</f>
        <v>0</v>
      </c>
      <c r="G88" s="1355"/>
      <c r="H88" s="1354">
        <f>SUMIF('D-2 Off-Site Habitat Creation'!$AF$11:$AF$256,'Off-site gain site summary'!B88,'D-2 Off-Site Habitat Creation'!$AB$11:$AB$256)</f>
        <v>0</v>
      </c>
      <c r="I88" s="1355"/>
      <c r="J88" s="765">
        <f t="shared" si="6"/>
        <v>0</v>
      </c>
      <c r="K88" s="762" t="str">
        <f>IFERROR(_xlfn.XLOOKUP(B88,'D-2 Off-Site Habitat Creation'!$AF$11:$AF$256,'D-2 Off-Site Habitat Creation'!$Z$11:$Z$256), IFERROR(_xlfn.XLOOKUP(B88,'D-1 Off-Site Habitat Baseline'!AF92:AF339,'D-1 Off-Site Habitat Baseline'!S92:S339), " "))</f>
        <v/>
      </c>
      <c r="L88" s="766">
        <f t="shared" si="7"/>
        <v>0</v>
      </c>
      <c r="M88" s="757">
        <f>'E-1 Off-Site Hedge Baseline'!AB91</f>
        <v>0</v>
      </c>
      <c r="N88" s="772"/>
      <c r="O88" s="773">
        <f>SUMIF('E-1 Off-Site Hedge Baseline'!AB91:AB338,'Off-site gain site summary'!N88,'E-1 Off-Site Hedge Baseline'!Q91:Q338)</f>
        <v>0</v>
      </c>
      <c r="P88" s="773">
        <f>SUMIF('E-1 Off-Site Hedge Baseline'!$AB$10:$AB$257,'Off-site gain site summary'!$N88,'E-1 Off-Site Hedge Baseline'!$U$10:$U$257)</f>
        <v>0</v>
      </c>
      <c r="Q88" s="773">
        <f>SUMIF('E-3 Off-Site Hedge Enhancement'!$AO$12:$AO$257,'Off-site gain site summary'!$N88,'E-3 Off-Site Hedge Enhancement'!$AK$12:$AK$257)</f>
        <v>0</v>
      </c>
      <c r="R88" s="773">
        <f>SUMIF('E-2 Off-Site Hedge Creation'!$AD$12:$AD$259,'Off-site gain site summary'!$N88,'E-2 Off-Site Hedge Creation'!$Z$12:$Z$259)</f>
        <v>0</v>
      </c>
      <c r="S88" s="771">
        <f t="shared" si="8"/>
        <v>0</v>
      </c>
      <c r="T88" s="771" t="str">
        <f>IFERROR(_xlfn.XLOOKUP(N88,'E-2 Off-Site Hedge Creation'!AD93:AD340,'E-2 Off-Site Hedge Creation'!N93:N340), IFERROR(_xlfn.XLOOKUP(N88,'E-1 Off-Site Hedge Baseline'!AB91:AB338,'E-1 Off-Site Hedge Baseline'!P91:P338), " "))</f>
        <v/>
      </c>
      <c r="U88" s="774">
        <f t="shared" si="9"/>
        <v>0</v>
      </c>
      <c r="V88" s="1">
        <f>'F-1 Off-Site WaterC'' Baseline'!AG91</f>
        <v>0</v>
      </c>
      <c r="W88" s="772"/>
      <c r="X88" s="773">
        <f>SUMIF('F-1 Off-Site WaterC'' Baseline'!$AG$10:$AG$257,'Off-site gain site summary'!$W88,'F-1 Off-Site WaterC'' Baseline'!$U$10:$U$257)</f>
        <v>0</v>
      </c>
      <c r="Y88" s="773">
        <f>SUMIF('F-1 Off-Site WaterC'' Baseline'!$AG$10:$AG$257,'Off-site gain site summary'!$W88,'F-1 Off-Site WaterC'' Baseline'!$Y$10:$Y$257)</f>
        <v>0</v>
      </c>
      <c r="Z88" s="773">
        <f>SUMIF('F-3 Off-Site WaterC Enhancement'!$AT$12:$AT$257,'Off-site gain site summary'!$W88,'F-3 Off-Site WaterC Enhancement'!$AP$12:$AP$257)</f>
        <v>0</v>
      </c>
      <c r="AA88" s="773">
        <f>SUMIF('F-2 Off-Site WaterC'' Creation'!$AG$12:$AG$259,'Off-site gain site summary'!$W88,'F-2 Off-Site WaterC'' Creation'!$AC$12:$AC$259)</f>
        <v>0</v>
      </c>
      <c r="AB88" s="773">
        <f t="shared" si="10"/>
        <v>0</v>
      </c>
      <c r="AC88" s="773" t="str">
        <f>IFERROR(_xlfn.XLOOKUP(W88,'F-2 Off-Site WaterC'' Creation'!AG93:AG339,'F-2 Off-Site WaterC'' Creation'!AA93:AA340), IFERROR(_xlfn.XLOOKUP(W88,'F-1 Off-Site WaterC'' Baseline'!AG91:AG338,'F-1 Off-Site WaterC'' Baseline'!T91:T338)," "))</f>
        <v/>
      </c>
      <c r="AD88" s="774">
        <f t="shared" si="11"/>
        <v>0</v>
      </c>
      <c r="AE88" s="1356"/>
      <c r="AF88" s="1356"/>
    </row>
    <row r="89" spans="1:32">
      <c r="A89" s="757">
        <f>'D-1 Off-Site Habitat Baseline'!AF93</f>
        <v>0</v>
      </c>
      <c r="B89" s="764"/>
      <c r="C89" s="762">
        <f>SUMIF('D-1 Off-Site Habitat Baseline'!AF93:AF96,B89,'D-1 Off-Site Habitat Baseline'!T93:T96)</f>
        <v>0</v>
      </c>
      <c r="D89" s="1354">
        <f>SUMIF('D-1 Off-Site Habitat Baseline'!$AF$11:$AF$258,'Off-site gain site summary'!$B$7,'D-1 Off-Site Habitat Baseline'!$X$11:$X$258)</f>
        <v>0</v>
      </c>
      <c r="E89" s="1355"/>
      <c r="F89" s="1354">
        <f>SUMIF('D-3 Off-Site Habitat Enhancment'!$AU$12:$AU$258,'Off-site gain site summary'!B89,'D-3 Off-Site Habitat Enhancment'!$AQ$12:$AQ$258)</f>
        <v>0</v>
      </c>
      <c r="G89" s="1355"/>
      <c r="H89" s="1354">
        <f>SUMIF('D-2 Off-Site Habitat Creation'!$AF$11:$AF$256,'Off-site gain site summary'!B89,'D-2 Off-Site Habitat Creation'!$AB$11:$AB$256)</f>
        <v>0</v>
      </c>
      <c r="I89" s="1355"/>
      <c r="J89" s="765">
        <f t="shared" si="6"/>
        <v>0</v>
      </c>
      <c r="K89" s="762" t="str">
        <f>IFERROR(_xlfn.XLOOKUP(B89,'D-2 Off-Site Habitat Creation'!$AF$11:$AF$256,'D-2 Off-Site Habitat Creation'!$Z$11:$Z$256), IFERROR(_xlfn.XLOOKUP(B89,'D-1 Off-Site Habitat Baseline'!AF93:AF340,'D-1 Off-Site Habitat Baseline'!S93:S340), " "))</f>
        <v/>
      </c>
      <c r="L89" s="766">
        <f t="shared" si="7"/>
        <v>0</v>
      </c>
      <c r="M89" s="757">
        <f>'E-1 Off-Site Hedge Baseline'!AB92</f>
        <v>0</v>
      </c>
      <c r="N89" s="772"/>
      <c r="O89" s="773">
        <f>SUMIF('E-1 Off-Site Hedge Baseline'!AB92:AB339,'Off-site gain site summary'!N89,'E-1 Off-Site Hedge Baseline'!Q92:Q339)</f>
        <v>0</v>
      </c>
      <c r="P89" s="773">
        <f>SUMIF('E-1 Off-Site Hedge Baseline'!$AB$10:$AB$257,'Off-site gain site summary'!$N89,'E-1 Off-Site Hedge Baseline'!$U$10:$U$257)</f>
        <v>0</v>
      </c>
      <c r="Q89" s="773">
        <f>SUMIF('E-3 Off-Site Hedge Enhancement'!$AO$12:$AO$257,'Off-site gain site summary'!$N89,'E-3 Off-Site Hedge Enhancement'!$AK$12:$AK$257)</f>
        <v>0</v>
      </c>
      <c r="R89" s="773">
        <f>SUMIF('E-2 Off-Site Hedge Creation'!$AD$12:$AD$259,'Off-site gain site summary'!$N89,'E-2 Off-Site Hedge Creation'!$Z$12:$Z$259)</f>
        <v>0</v>
      </c>
      <c r="S89" s="771">
        <f t="shared" si="8"/>
        <v>0</v>
      </c>
      <c r="T89" s="771" t="str">
        <f>IFERROR(_xlfn.XLOOKUP(N89,'E-2 Off-Site Hedge Creation'!AD94:AD341,'E-2 Off-Site Hedge Creation'!N94:N341), IFERROR(_xlfn.XLOOKUP(N89,'E-1 Off-Site Hedge Baseline'!AB92:AB339,'E-1 Off-Site Hedge Baseline'!P92:P339), " "))</f>
        <v/>
      </c>
      <c r="U89" s="774">
        <f t="shared" si="9"/>
        <v>0</v>
      </c>
      <c r="V89" s="1">
        <f>'F-1 Off-Site WaterC'' Baseline'!AG92</f>
        <v>0</v>
      </c>
      <c r="W89" s="772"/>
      <c r="X89" s="773">
        <f>SUMIF('F-1 Off-Site WaterC'' Baseline'!$AG$10:$AG$257,'Off-site gain site summary'!$W89,'F-1 Off-Site WaterC'' Baseline'!$U$10:$U$257)</f>
        <v>0</v>
      </c>
      <c r="Y89" s="773">
        <f>SUMIF('F-1 Off-Site WaterC'' Baseline'!$AG$10:$AG$257,'Off-site gain site summary'!$W89,'F-1 Off-Site WaterC'' Baseline'!$Y$10:$Y$257)</f>
        <v>0</v>
      </c>
      <c r="Z89" s="773">
        <f>SUMIF('F-3 Off-Site WaterC Enhancement'!$AT$12:$AT$257,'Off-site gain site summary'!$W89,'F-3 Off-Site WaterC Enhancement'!$AP$12:$AP$257)</f>
        <v>0</v>
      </c>
      <c r="AA89" s="773">
        <f>SUMIF('F-2 Off-Site WaterC'' Creation'!$AG$12:$AG$259,'Off-site gain site summary'!$W89,'F-2 Off-Site WaterC'' Creation'!$AC$12:$AC$259)</f>
        <v>0</v>
      </c>
      <c r="AB89" s="773">
        <f t="shared" si="10"/>
        <v>0</v>
      </c>
      <c r="AC89" s="773" t="str">
        <f>IFERROR(_xlfn.XLOOKUP(W89,'F-2 Off-Site WaterC'' Creation'!AG94:AG340,'F-2 Off-Site WaterC'' Creation'!AA94:AA341), IFERROR(_xlfn.XLOOKUP(W89,'F-1 Off-Site WaterC'' Baseline'!AG92:AG339,'F-1 Off-Site WaterC'' Baseline'!T92:T339)," "))</f>
        <v/>
      </c>
      <c r="AD89" s="774">
        <f t="shared" si="11"/>
        <v>0</v>
      </c>
      <c r="AE89" s="1356"/>
      <c r="AF89" s="1356"/>
    </row>
    <row r="90" spans="1:32">
      <c r="A90" s="757">
        <f>'D-1 Off-Site Habitat Baseline'!AF94</f>
        <v>0</v>
      </c>
      <c r="B90" s="764"/>
      <c r="C90" s="762">
        <f>SUMIF('D-1 Off-Site Habitat Baseline'!AF94:AF97,B90,'D-1 Off-Site Habitat Baseline'!T94:T97)</f>
        <v>0</v>
      </c>
      <c r="D90" s="1354">
        <f>SUMIF('D-1 Off-Site Habitat Baseline'!$AF$11:$AF$258,'Off-site gain site summary'!$B$7,'D-1 Off-Site Habitat Baseline'!$X$11:$X$258)</f>
        <v>0</v>
      </c>
      <c r="E90" s="1355"/>
      <c r="F90" s="1354">
        <f>SUMIF('D-3 Off-Site Habitat Enhancment'!$AU$12:$AU$258,'Off-site gain site summary'!B90,'D-3 Off-Site Habitat Enhancment'!$AQ$12:$AQ$258)</f>
        <v>0</v>
      </c>
      <c r="G90" s="1355"/>
      <c r="H90" s="1354">
        <f>SUMIF('D-2 Off-Site Habitat Creation'!$AF$11:$AF$256,'Off-site gain site summary'!B90,'D-2 Off-Site Habitat Creation'!$AB$11:$AB$256)</f>
        <v>0</v>
      </c>
      <c r="I90" s="1355"/>
      <c r="J90" s="765">
        <f t="shared" si="6"/>
        <v>0</v>
      </c>
      <c r="K90" s="762" t="str">
        <f>IFERROR(_xlfn.XLOOKUP(B90,'D-2 Off-Site Habitat Creation'!$AF$11:$AF$256,'D-2 Off-Site Habitat Creation'!$Z$11:$Z$256), IFERROR(_xlfn.XLOOKUP(B90,'D-1 Off-Site Habitat Baseline'!AF94:AF341,'D-1 Off-Site Habitat Baseline'!S94:S341), " "))</f>
        <v/>
      </c>
      <c r="L90" s="766">
        <f t="shared" si="7"/>
        <v>0</v>
      </c>
      <c r="M90" s="757">
        <f>'E-1 Off-Site Hedge Baseline'!AB93</f>
        <v>0</v>
      </c>
      <c r="N90" s="772"/>
      <c r="O90" s="773">
        <f>SUMIF('E-1 Off-Site Hedge Baseline'!AB93:AB340,'Off-site gain site summary'!N90,'E-1 Off-Site Hedge Baseline'!Q93:Q340)</f>
        <v>0</v>
      </c>
      <c r="P90" s="773">
        <f>SUMIF('E-1 Off-Site Hedge Baseline'!$AB$10:$AB$257,'Off-site gain site summary'!$N90,'E-1 Off-Site Hedge Baseline'!$U$10:$U$257)</f>
        <v>0</v>
      </c>
      <c r="Q90" s="773">
        <f>SUMIF('E-3 Off-Site Hedge Enhancement'!$AO$12:$AO$257,'Off-site gain site summary'!$N90,'E-3 Off-Site Hedge Enhancement'!$AK$12:$AK$257)</f>
        <v>0</v>
      </c>
      <c r="R90" s="773">
        <f>SUMIF('E-2 Off-Site Hedge Creation'!$AD$12:$AD$259,'Off-site gain site summary'!$N90,'E-2 Off-Site Hedge Creation'!$Z$12:$Z$259)</f>
        <v>0</v>
      </c>
      <c r="S90" s="771">
        <f t="shared" si="8"/>
        <v>0</v>
      </c>
      <c r="T90" s="771" t="str">
        <f>IFERROR(_xlfn.XLOOKUP(N90,'E-2 Off-Site Hedge Creation'!AD95:AD342,'E-2 Off-Site Hedge Creation'!N95:N342), IFERROR(_xlfn.XLOOKUP(N90,'E-1 Off-Site Hedge Baseline'!AB93:AB340,'E-1 Off-Site Hedge Baseline'!P93:P340), " "))</f>
        <v/>
      </c>
      <c r="U90" s="774">
        <f t="shared" si="9"/>
        <v>0</v>
      </c>
      <c r="V90" s="1">
        <f>'F-1 Off-Site WaterC'' Baseline'!AG93</f>
        <v>0</v>
      </c>
      <c r="W90" s="772"/>
      <c r="X90" s="773">
        <f>SUMIF('F-1 Off-Site WaterC'' Baseline'!$AG$10:$AG$257,'Off-site gain site summary'!$W90,'F-1 Off-Site WaterC'' Baseline'!$U$10:$U$257)</f>
        <v>0</v>
      </c>
      <c r="Y90" s="773">
        <f>SUMIF('F-1 Off-Site WaterC'' Baseline'!$AG$10:$AG$257,'Off-site gain site summary'!$W90,'F-1 Off-Site WaterC'' Baseline'!$Y$10:$Y$257)</f>
        <v>0</v>
      </c>
      <c r="Z90" s="773">
        <f>SUMIF('F-3 Off-Site WaterC Enhancement'!$AT$12:$AT$257,'Off-site gain site summary'!$W90,'F-3 Off-Site WaterC Enhancement'!$AP$12:$AP$257)</f>
        <v>0</v>
      </c>
      <c r="AA90" s="773">
        <f>SUMIF('F-2 Off-Site WaterC'' Creation'!$AG$12:$AG$259,'Off-site gain site summary'!$W90,'F-2 Off-Site WaterC'' Creation'!$AC$12:$AC$259)</f>
        <v>0</v>
      </c>
      <c r="AB90" s="773">
        <f t="shared" si="10"/>
        <v>0</v>
      </c>
      <c r="AC90" s="773" t="str">
        <f>IFERROR(_xlfn.XLOOKUP(W90,'F-2 Off-Site WaterC'' Creation'!AG95:AG341,'F-2 Off-Site WaterC'' Creation'!AA95:AA342), IFERROR(_xlfn.XLOOKUP(W90,'F-1 Off-Site WaterC'' Baseline'!AG93:AG340,'F-1 Off-Site WaterC'' Baseline'!T93:T340)," "))</f>
        <v/>
      </c>
      <c r="AD90" s="774">
        <f t="shared" si="11"/>
        <v>0</v>
      </c>
      <c r="AE90" s="1356"/>
      <c r="AF90" s="1356"/>
    </row>
    <row r="91" spans="1:32">
      <c r="A91" s="757">
        <f>'D-1 Off-Site Habitat Baseline'!AF95</f>
        <v>0</v>
      </c>
      <c r="B91" s="764"/>
      <c r="C91" s="762">
        <f>SUMIF('D-1 Off-Site Habitat Baseline'!AF95:AF98,B91,'D-1 Off-Site Habitat Baseline'!T95:T98)</f>
        <v>0</v>
      </c>
      <c r="D91" s="1354">
        <f>SUMIF('D-1 Off-Site Habitat Baseline'!$AF$11:$AF$258,'Off-site gain site summary'!$B$7,'D-1 Off-Site Habitat Baseline'!$X$11:$X$258)</f>
        <v>0</v>
      </c>
      <c r="E91" s="1355"/>
      <c r="F91" s="1354">
        <f>SUMIF('D-3 Off-Site Habitat Enhancment'!$AU$12:$AU$258,'Off-site gain site summary'!B91,'D-3 Off-Site Habitat Enhancment'!$AQ$12:$AQ$258)</f>
        <v>0</v>
      </c>
      <c r="G91" s="1355"/>
      <c r="H91" s="1354">
        <f>SUMIF('D-2 Off-Site Habitat Creation'!$AF$11:$AF$256,'Off-site gain site summary'!B91,'D-2 Off-Site Habitat Creation'!$AB$11:$AB$256)</f>
        <v>0</v>
      </c>
      <c r="I91" s="1355"/>
      <c r="J91" s="765">
        <f t="shared" si="6"/>
        <v>0</v>
      </c>
      <c r="K91" s="762" t="str">
        <f>IFERROR(_xlfn.XLOOKUP(B91,'D-2 Off-Site Habitat Creation'!$AF$11:$AF$256,'D-2 Off-Site Habitat Creation'!$Z$11:$Z$256), IFERROR(_xlfn.XLOOKUP(B91,'D-1 Off-Site Habitat Baseline'!AF95:AF342,'D-1 Off-Site Habitat Baseline'!S95:S342), " "))</f>
        <v/>
      </c>
      <c r="L91" s="766">
        <f t="shared" si="7"/>
        <v>0</v>
      </c>
      <c r="M91" s="757">
        <f>'E-1 Off-Site Hedge Baseline'!AB94</f>
        <v>0</v>
      </c>
      <c r="N91" s="772"/>
      <c r="O91" s="773">
        <f>SUMIF('E-1 Off-Site Hedge Baseline'!AB94:AB341,'Off-site gain site summary'!N91,'E-1 Off-Site Hedge Baseline'!Q94:Q341)</f>
        <v>0</v>
      </c>
      <c r="P91" s="773">
        <f>SUMIF('E-1 Off-Site Hedge Baseline'!$AB$10:$AB$257,'Off-site gain site summary'!$N91,'E-1 Off-Site Hedge Baseline'!$U$10:$U$257)</f>
        <v>0</v>
      </c>
      <c r="Q91" s="773">
        <f>SUMIF('E-3 Off-Site Hedge Enhancement'!$AO$12:$AO$257,'Off-site gain site summary'!$N91,'E-3 Off-Site Hedge Enhancement'!$AK$12:$AK$257)</f>
        <v>0</v>
      </c>
      <c r="R91" s="773">
        <f>SUMIF('E-2 Off-Site Hedge Creation'!$AD$12:$AD$259,'Off-site gain site summary'!$N91,'E-2 Off-Site Hedge Creation'!$Z$12:$Z$259)</f>
        <v>0</v>
      </c>
      <c r="S91" s="771">
        <f t="shared" si="8"/>
        <v>0</v>
      </c>
      <c r="T91" s="771" t="str">
        <f>IFERROR(_xlfn.XLOOKUP(N91,'E-2 Off-Site Hedge Creation'!AD96:AD343,'E-2 Off-Site Hedge Creation'!N96:N343), IFERROR(_xlfn.XLOOKUP(N91,'E-1 Off-Site Hedge Baseline'!AB94:AB341,'E-1 Off-Site Hedge Baseline'!P94:P341), " "))</f>
        <v/>
      </c>
      <c r="U91" s="774">
        <f t="shared" si="9"/>
        <v>0</v>
      </c>
      <c r="V91" s="1">
        <f>'F-1 Off-Site WaterC'' Baseline'!AG94</f>
        <v>0</v>
      </c>
      <c r="W91" s="772"/>
      <c r="X91" s="773">
        <f>SUMIF('F-1 Off-Site WaterC'' Baseline'!$AG$10:$AG$257,'Off-site gain site summary'!$W91,'F-1 Off-Site WaterC'' Baseline'!$U$10:$U$257)</f>
        <v>0</v>
      </c>
      <c r="Y91" s="773">
        <f>SUMIF('F-1 Off-Site WaterC'' Baseline'!$AG$10:$AG$257,'Off-site gain site summary'!$W91,'F-1 Off-Site WaterC'' Baseline'!$Y$10:$Y$257)</f>
        <v>0</v>
      </c>
      <c r="Z91" s="773">
        <f>SUMIF('F-3 Off-Site WaterC Enhancement'!$AT$12:$AT$257,'Off-site gain site summary'!$W91,'F-3 Off-Site WaterC Enhancement'!$AP$12:$AP$257)</f>
        <v>0</v>
      </c>
      <c r="AA91" s="773">
        <f>SUMIF('F-2 Off-Site WaterC'' Creation'!$AG$12:$AG$259,'Off-site gain site summary'!$W91,'F-2 Off-Site WaterC'' Creation'!$AC$12:$AC$259)</f>
        <v>0</v>
      </c>
      <c r="AB91" s="773">
        <f t="shared" si="10"/>
        <v>0</v>
      </c>
      <c r="AC91" s="773" t="str">
        <f>IFERROR(_xlfn.XLOOKUP(W91,'F-2 Off-Site WaterC'' Creation'!AG96:AG342,'F-2 Off-Site WaterC'' Creation'!AA96:AA343), IFERROR(_xlfn.XLOOKUP(W91,'F-1 Off-Site WaterC'' Baseline'!AG94:AG341,'F-1 Off-Site WaterC'' Baseline'!T94:T341)," "))</f>
        <v/>
      </c>
      <c r="AD91" s="774">
        <f t="shared" si="11"/>
        <v>0</v>
      </c>
      <c r="AE91" s="1356"/>
      <c r="AF91" s="1356"/>
    </row>
    <row r="92" spans="1:32">
      <c r="A92" s="757">
        <f>'D-1 Off-Site Habitat Baseline'!AF96</f>
        <v>0</v>
      </c>
      <c r="B92" s="764"/>
      <c r="C92" s="762">
        <f>SUMIF('D-1 Off-Site Habitat Baseline'!AF96:AF99,B92,'D-1 Off-Site Habitat Baseline'!T96:T99)</f>
        <v>0</v>
      </c>
      <c r="D92" s="1354">
        <f>SUMIF('D-1 Off-Site Habitat Baseline'!$AF$11:$AF$258,'Off-site gain site summary'!$B$7,'D-1 Off-Site Habitat Baseline'!$X$11:$X$258)</f>
        <v>0</v>
      </c>
      <c r="E92" s="1355"/>
      <c r="F92" s="1354">
        <f>SUMIF('D-3 Off-Site Habitat Enhancment'!$AU$12:$AU$258,'Off-site gain site summary'!B92,'D-3 Off-Site Habitat Enhancment'!$AQ$12:$AQ$258)</f>
        <v>0</v>
      </c>
      <c r="G92" s="1355"/>
      <c r="H92" s="1354">
        <f>SUMIF('D-2 Off-Site Habitat Creation'!$AF$11:$AF$256,'Off-site gain site summary'!B92,'D-2 Off-Site Habitat Creation'!$AB$11:$AB$256)</f>
        <v>0</v>
      </c>
      <c r="I92" s="1355"/>
      <c r="J92" s="765">
        <f t="shared" si="6"/>
        <v>0</v>
      </c>
      <c r="K92" s="762" t="str">
        <f>IFERROR(_xlfn.XLOOKUP(B92,'D-2 Off-Site Habitat Creation'!$AF$11:$AF$256,'D-2 Off-Site Habitat Creation'!$Z$11:$Z$256), IFERROR(_xlfn.XLOOKUP(B92,'D-1 Off-Site Habitat Baseline'!AF96:AF343,'D-1 Off-Site Habitat Baseline'!S96:S343), " "))</f>
        <v/>
      </c>
      <c r="L92" s="766">
        <f t="shared" si="7"/>
        <v>0</v>
      </c>
      <c r="M92" s="757">
        <f>'E-1 Off-Site Hedge Baseline'!AB95</f>
        <v>0</v>
      </c>
      <c r="N92" s="772"/>
      <c r="O92" s="773">
        <f>SUMIF('E-1 Off-Site Hedge Baseline'!AB95:AB342,'Off-site gain site summary'!N92,'E-1 Off-Site Hedge Baseline'!Q95:Q342)</f>
        <v>0</v>
      </c>
      <c r="P92" s="773">
        <f>SUMIF('E-1 Off-Site Hedge Baseline'!$AB$10:$AB$257,'Off-site gain site summary'!$N92,'E-1 Off-Site Hedge Baseline'!$U$10:$U$257)</f>
        <v>0</v>
      </c>
      <c r="Q92" s="773">
        <f>SUMIF('E-3 Off-Site Hedge Enhancement'!$AO$12:$AO$257,'Off-site gain site summary'!$N92,'E-3 Off-Site Hedge Enhancement'!$AK$12:$AK$257)</f>
        <v>0</v>
      </c>
      <c r="R92" s="773">
        <f>SUMIF('E-2 Off-Site Hedge Creation'!$AD$12:$AD$259,'Off-site gain site summary'!$N92,'E-2 Off-Site Hedge Creation'!$Z$12:$Z$259)</f>
        <v>0</v>
      </c>
      <c r="S92" s="771">
        <f t="shared" si="8"/>
        <v>0</v>
      </c>
      <c r="T92" s="771" t="str">
        <f>IFERROR(_xlfn.XLOOKUP(N92,'E-2 Off-Site Hedge Creation'!AD97:AD344,'E-2 Off-Site Hedge Creation'!N97:N344), IFERROR(_xlfn.XLOOKUP(N92,'E-1 Off-Site Hedge Baseline'!AB95:AB342,'E-1 Off-Site Hedge Baseline'!P95:P342), " "))</f>
        <v/>
      </c>
      <c r="U92" s="774">
        <f t="shared" si="9"/>
        <v>0</v>
      </c>
      <c r="V92" s="1">
        <f>'F-1 Off-Site WaterC'' Baseline'!AG95</f>
        <v>0</v>
      </c>
      <c r="W92" s="772"/>
      <c r="X92" s="773">
        <f>SUMIF('F-1 Off-Site WaterC'' Baseline'!$AG$10:$AG$257,'Off-site gain site summary'!$W92,'F-1 Off-Site WaterC'' Baseline'!$U$10:$U$257)</f>
        <v>0</v>
      </c>
      <c r="Y92" s="773">
        <f>SUMIF('F-1 Off-Site WaterC'' Baseline'!$AG$10:$AG$257,'Off-site gain site summary'!$W92,'F-1 Off-Site WaterC'' Baseline'!$Y$10:$Y$257)</f>
        <v>0</v>
      </c>
      <c r="Z92" s="773">
        <f>SUMIF('F-3 Off-Site WaterC Enhancement'!$AT$12:$AT$257,'Off-site gain site summary'!$W92,'F-3 Off-Site WaterC Enhancement'!$AP$12:$AP$257)</f>
        <v>0</v>
      </c>
      <c r="AA92" s="773">
        <f>SUMIF('F-2 Off-Site WaterC'' Creation'!$AG$12:$AG$259,'Off-site gain site summary'!$W92,'F-2 Off-Site WaterC'' Creation'!$AC$12:$AC$259)</f>
        <v>0</v>
      </c>
      <c r="AB92" s="773">
        <f t="shared" si="10"/>
        <v>0</v>
      </c>
      <c r="AC92" s="773" t="str">
        <f>IFERROR(_xlfn.XLOOKUP(W92,'F-2 Off-Site WaterC'' Creation'!AG97:AG343,'F-2 Off-Site WaterC'' Creation'!AA97:AA344), IFERROR(_xlfn.XLOOKUP(W92,'F-1 Off-Site WaterC'' Baseline'!AG95:AG342,'F-1 Off-Site WaterC'' Baseline'!T95:T342)," "))</f>
        <v/>
      </c>
      <c r="AD92" s="774">
        <f t="shared" si="11"/>
        <v>0</v>
      </c>
      <c r="AE92" s="1356"/>
      <c r="AF92" s="1356"/>
    </row>
    <row r="93" spans="1:32">
      <c r="A93" s="757">
        <f>'D-1 Off-Site Habitat Baseline'!AF97</f>
        <v>0</v>
      </c>
      <c r="B93" s="764"/>
      <c r="C93" s="762">
        <f>SUMIF('D-1 Off-Site Habitat Baseline'!AF97:AF100,B93,'D-1 Off-Site Habitat Baseline'!T97:T100)</f>
        <v>0</v>
      </c>
      <c r="D93" s="1354">
        <f>SUMIF('D-1 Off-Site Habitat Baseline'!$AF$11:$AF$258,'Off-site gain site summary'!$B$7,'D-1 Off-Site Habitat Baseline'!$X$11:$X$258)</f>
        <v>0</v>
      </c>
      <c r="E93" s="1355"/>
      <c r="F93" s="1354">
        <f>SUMIF('D-3 Off-Site Habitat Enhancment'!$AU$12:$AU$258,'Off-site gain site summary'!B93,'D-3 Off-Site Habitat Enhancment'!$AQ$12:$AQ$258)</f>
        <v>0</v>
      </c>
      <c r="G93" s="1355"/>
      <c r="H93" s="1354">
        <f>SUMIF('D-2 Off-Site Habitat Creation'!$AF$11:$AF$256,'Off-site gain site summary'!B93,'D-2 Off-Site Habitat Creation'!$AB$11:$AB$256)</f>
        <v>0</v>
      </c>
      <c r="I93" s="1355"/>
      <c r="J93" s="765">
        <f t="shared" si="6"/>
        <v>0</v>
      </c>
      <c r="K93" s="762" t="str">
        <f>IFERROR(_xlfn.XLOOKUP(B93,'D-2 Off-Site Habitat Creation'!$AF$11:$AF$256,'D-2 Off-Site Habitat Creation'!$Z$11:$Z$256), IFERROR(_xlfn.XLOOKUP(B93,'D-1 Off-Site Habitat Baseline'!AF97:AF344,'D-1 Off-Site Habitat Baseline'!S97:S344), " "))</f>
        <v/>
      </c>
      <c r="L93" s="766">
        <f t="shared" si="7"/>
        <v>0</v>
      </c>
      <c r="M93" s="757">
        <f>'E-1 Off-Site Hedge Baseline'!AB96</f>
        <v>0</v>
      </c>
      <c r="N93" s="772"/>
      <c r="O93" s="773">
        <f>SUMIF('E-1 Off-Site Hedge Baseline'!AB96:AB343,'Off-site gain site summary'!N93,'E-1 Off-Site Hedge Baseline'!Q96:Q343)</f>
        <v>0</v>
      </c>
      <c r="P93" s="773">
        <f>SUMIF('E-1 Off-Site Hedge Baseline'!$AB$10:$AB$257,'Off-site gain site summary'!$N93,'E-1 Off-Site Hedge Baseline'!$U$10:$U$257)</f>
        <v>0</v>
      </c>
      <c r="Q93" s="773">
        <f>SUMIF('E-3 Off-Site Hedge Enhancement'!$AO$12:$AO$257,'Off-site gain site summary'!$N93,'E-3 Off-Site Hedge Enhancement'!$AK$12:$AK$257)</f>
        <v>0</v>
      </c>
      <c r="R93" s="773">
        <f>SUMIF('E-2 Off-Site Hedge Creation'!$AD$12:$AD$259,'Off-site gain site summary'!$N93,'E-2 Off-Site Hedge Creation'!$Z$12:$Z$259)</f>
        <v>0</v>
      </c>
      <c r="S93" s="771">
        <f t="shared" si="8"/>
        <v>0</v>
      </c>
      <c r="T93" s="771" t="str">
        <f>IFERROR(_xlfn.XLOOKUP(N93,'E-2 Off-Site Hedge Creation'!AD98:AD345,'E-2 Off-Site Hedge Creation'!N98:N345), IFERROR(_xlfn.XLOOKUP(N93,'E-1 Off-Site Hedge Baseline'!AB96:AB343,'E-1 Off-Site Hedge Baseline'!P96:P343), " "))</f>
        <v/>
      </c>
      <c r="U93" s="774">
        <f t="shared" si="9"/>
        <v>0</v>
      </c>
      <c r="V93" s="1">
        <f>'F-1 Off-Site WaterC'' Baseline'!AG96</f>
        <v>0</v>
      </c>
      <c r="W93" s="772"/>
      <c r="X93" s="773">
        <f>SUMIF('F-1 Off-Site WaterC'' Baseline'!$AG$10:$AG$257,'Off-site gain site summary'!$W93,'F-1 Off-Site WaterC'' Baseline'!$U$10:$U$257)</f>
        <v>0</v>
      </c>
      <c r="Y93" s="773">
        <f>SUMIF('F-1 Off-Site WaterC'' Baseline'!$AG$10:$AG$257,'Off-site gain site summary'!$W93,'F-1 Off-Site WaterC'' Baseline'!$Y$10:$Y$257)</f>
        <v>0</v>
      </c>
      <c r="Z93" s="773">
        <f>SUMIF('F-3 Off-Site WaterC Enhancement'!$AT$12:$AT$257,'Off-site gain site summary'!$W93,'F-3 Off-Site WaterC Enhancement'!$AP$12:$AP$257)</f>
        <v>0</v>
      </c>
      <c r="AA93" s="773">
        <f>SUMIF('F-2 Off-Site WaterC'' Creation'!$AG$12:$AG$259,'Off-site gain site summary'!$W93,'F-2 Off-Site WaterC'' Creation'!$AC$12:$AC$259)</f>
        <v>0</v>
      </c>
      <c r="AB93" s="773">
        <f t="shared" si="10"/>
        <v>0</v>
      </c>
      <c r="AC93" s="773" t="str">
        <f>IFERROR(_xlfn.XLOOKUP(W93,'F-2 Off-Site WaterC'' Creation'!AG98:AG344,'F-2 Off-Site WaterC'' Creation'!AA98:AA345), IFERROR(_xlfn.XLOOKUP(W93,'F-1 Off-Site WaterC'' Baseline'!AG96:AG343,'F-1 Off-Site WaterC'' Baseline'!T96:T343)," "))</f>
        <v/>
      </c>
      <c r="AD93" s="774">
        <f t="shared" si="11"/>
        <v>0</v>
      </c>
      <c r="AE93" s="1356"/>
      <c r="AF93" s="1356"/>
    </row>
    <row r="94" spans="1:32">
      <c r="A94" s="757">
        <f>'D-1 Off-Site Habitat Baseline'!AF98</f>
        <v>0</v>
      </c>
      <c r="B94" s="764"/>
      <c r="C94" s="762">
        <f>SUMIF('D-1 Off-Site Habitat Baseline'!AF98:AF101,B94,'D-1 Off-Site Habitat Baseline'!T98:T101)</f>
        <v>0</v>
      </c>
      <c r="D94" s="1354">
        <f>SUMIF('D-1 Off-Site Habitat Baseline'!$AF$11:$AF$258,'Off-site gain site summary'!$B$7,'D-1 Off-Site Habitat Baseline'!$X$11:$X$258)</f>
        <v>0</v>
      </c>
      <c r="E94" s="1355"/>
      <c r="F94" s="1354">
        <f>SUMIF('D-3 Off-Site Habitat Enhancment'!$AU$12:$AU$258,'Off-site gain site summary'!B94,'D-3 Off-Site Habitat Enhancment'!$AQ$12:$AQ$258)</f>
        <v>0</v>
      </c>
      <c r="G94" s="1355"/>
      <c r="H94" s="1354">
        <f>SUMIF('D-2 Off-Site Habitat Creation'!$AF$11:$AF$256,'Off-site gain site summary'!B94,'D-2 Off-Site Habitat Creation'!$AB$11:$AB$256)</f>
        <v>0</v>
      </c>
      <c r="I94" s="1355"/>
      <c r="J94" s="765">
        <f t="shared" si="6"/>
        <v>0</v>
      </c>
      <c r="K94" s="762" t="str">
        <f>IFERROR(_xlfn.XLOOKUP(B94,'D-2 Off-Site Habitat Creation'!$AF$11:$AF$256,'D-2 Off-Site Habitat Creation'!$Z$11:$Z$256), IFERROR(_xlfn.XLOOKUP(B94,'D-1 Off-Site Habitat Baseline'!AF98:AF345,'D-1 Off-Site Habitat Baseline'!S98:S345), " "))</f>
        <v/>
      </c>
      <c r="L94" s="766">
        <f t="shared" si="7"/>
        <v>0</v>
      </c>
      <c r="M94" s="757">
        <f>'E-1 Off-Site Hedge Baseline'!AB97</f>
        <v>0</v>
      </c>
      <c r="N94" s="772"/>
      <c r="O94" s="773">
        <f>SUMIF('E-1 Off-Site Hedge Baseline'!AB97:AB344,'Off-site gain site summary'!N94,'E-1 Off-Site Hedge Baseline'!Q97:Q344)</f>
        <v>0</v>
      </c>
      <c r="P94" s="773">
        <f>SUMIF('E-1 Off-Site Hedge Baseline'!$AB$10:$AB$257,'Off-site gain site summary'!$N94,'E-1 Off-Site Hedge Baseline'!$U$10:$U$257)</f>
        <v>0</v>
      </c>
      <c r="Q94" s="773">
        <f>SUMIF('E-3 Off-Site Hedge Enhancement'!$AO$12:$AO$257,'Off-site gain site summary'!$N94,'E-3 Off-Site Hedge Enhancement'!$AK$12:$AK$257)</f>
        <v>0</v>
      </c>
      <c r="R94" s="773">
        <f>SUMIF('E-2 Off-Site Hedge Creation'!$AD$12:$AD$259,'Off-site gain site summary'!$N94,'E-2 Off-Site Hedge Creation'!$Z$12:$Z$259)</f>
        <v>0</v>
      </c>
      <c r="S94" s="771">
        <f t="shared" si="8"/>
        <v>0</v>
      </c>
      <c r="T94" s="771" t="str">
        <f>IFERROR(_xlfn.XLOOKUP(N94,'E-2 Off-Site Hedge Creation'!AD99:AD346,'E-2 Off-Site Hedge Creation'!N99:N346), IFERROR(_xlfn.XLOOKUP(N94,'E-1 Off-Site Hedge Baseline'!AB97:AB344,'E-1 Off-Site Hedge Baseline'!P97:P344), " "))</f>
        <v/>
      </c>
      <c r="U94" s="774">
        <f t="shared" si="9"/>
        <v>0</v>
      </c>
      <c r="V94" s="1">
        <f>'F-1 Off-Site WaterC'' Baseline'!AG97</f>
        <v>0</v>
      </c>
      <c r="W94" s="772"/>
      <c r="X94" s="773">
        <f>SUMIF('F-1 Off-Site WaterC'' Baseline'!$AG$10:$AG$257,'Off-site gain site summary'!$W94,'F-1 Off-Site WaterC'' Baseline'!$U$10:$U$257)</f>
        <v>0</v>
      </c>
      <c r="Y94" s="773">
        <f>SUMIF('F-1 Off-Site WaterC'' Baseline'!$AG$10:$AG$257,'Off-site gain site summary'!$W94,'F-1 Off-Site WaterC'' Baseline'!$Y$10:$Y$257)</f>
        <v>0</v>
      </c>
      <c r="Z94" s="773">
        <f>SUMIF('F-3 Off-Site WaterC Enhancement'!$AT$12:$AT$257,'Off-site gain site summary'!$W94,'F-3 Off-Site WaterC Enhancement'!$AP$12:$AP$257)</f>
        <v>0</v>
      </c>
      <c r="AA94" s="773">
        <f>SUMIF('F-2 Off-Site WaterC'' Creation'!$AG$12:$AG$259,'Off-site gain site summary'!$W94,'F-2 Off-Site WaterC'' Creation'!$AC$12:$AC$259)</f>
        <v>0</v>
      </c>
      <c r="AB94" s="773">
        <f t="shared" si="10"/>
        <v>0</v>
      </c>
      <c r="AC94" s="773" t="str">
        <f>IFERROR(_xlfn.XLOOKUP(W94,'F-2 Off-Site WaterC'' Creation'!AG99:AG345,'F-2 Off-Site WaterC'' Creation'!AA99:AA346), IFERROR(_xlfn.XLOOKUP(W94,'F-1 Off-Site WaterC'' Baseline'!AG97:AG344,'F-1 Off-Site WaterC'' Baseline'!T97:T344)," "))</f>
        <v/>
      </c>
      <c r="AD94" s="774">
        <f t="shared" si="11"/>
        <v>0</v>
      </c>
      <c r="AE94" s="1356"/>
      <c r="AF94" s="1356"/>
    </row>
    <row r="95" spans="1:32">
      <c r="A95" s="757">
        <f>'D-1 Off-Site Habitat Baseline'!AF99</f>
        <v>0</v>
      </c>
      <c r="B95" s="764"/>
      <c r="C95" s="762">
        <f>SUMIF('D-1 Off-Site Habitat Baseline'!AF99:AF102,B95,'D-1 Off-Site Habitat Baseline'!T99:T102)</f>
        <v>0</v>
      </c>
      <c r="D95" s="1354">
        <f>SUMIF('D-1 Off-Site Habitat Baseline'!$AF$11:$AF$258,'Off-site gain site summary'!$B$7,'D-1 Off-Site Habitat Baseline'!$X$11:$X$258)</f>
        <v>0</v>
      </c>
      <c r="E95" s="1355"/>
      <c r="F95" s="1354">
        <f>SUMIF('D-3 Off-Site Habitat Enhancment'!$AU$12:$AU$258,'Off-site gain site summary'!B95,'D-3 Off-Site Habitat Enhancment'!$AQ$12:$AQ$258)</f>
        <v>0</v>
      </c>
      <c r="G95" s="1355"/>
      <c r="H95" s="1354">
        <f>SUMIF('D-2 Off-Site Habitat Creation'!$AF$11:$AF$256,'Off-site gain site summary'!B95,'D-2 Off-Site Habitat Creation'!$AB$11:$AB$256)</f>
        <v>0</v>
      </c>
      <c r="I95" s="1355"/>
      <c r="J95" s="765">
        <f t="shared" si="6"/>
        <v>0</v>
      </c>
      <c r="K95" s="762" t="str">
        <f>IFERROR(_xlfn.XLOOKUP(B95,'D-2 Off-Site Habitat Creation'!$AF$11:$AF$256,'D-2 Off-Site Habitat Creation'!$Z$11:$Z$256), IFERROR(_xlfn.XLOOKUP(B95,'D-1 Off-Site Habitat Baseline'!AF99:AF346,'D-1 Off-Site Habitat Baseline'!S99:S346), " "))</f>
        <v/>
      </c>
      <c r="L95" s="766">
        <f t="shared" si="7"/>
        <v>0</v>
      </c>
      <c r="M95" s="757">
        <f>'E-1 Off-Site Hedge Baseline'!AB98</f>
        <v>0</v>
      </c>
      <c r="N95" s="772"/>
      <c r="O95" s="773">
        <f>SUMIF('E-1 Off-Site Hedge Baseline'!AB98:AB345,'Off-site gain site summary'!N95,'E-1 Off-Site Hedge Baseline'!Q98:Q345)</f>
        <v>0</v>
      </c>
      <c r="P95" s="773">
        <f>SUMIF('E-1 Off-Site Hedge Baseline'!$AB$10:$AB$257,'Off-site gain site summary'!$N95,'E-1 Off-Site Hedge Baseline'!$U$10:$U$257)</f>
        <v>0</v>
      </c>
      <c r="Q95" s="773">
        <f>SUMIF('E-3 Off-Site Hedge Enhancement'!$AO$12:$AO$257,'Off-site gain site summary'!$N95,'E-3 Off-Site Hedge Enhancement'!$AK$12:$AK$257)</f>
        <v>0</v>
      </c>
      <c r="R95" s="773">
        <f>SUMIF('E-2 Off-Site Hedge Creation'!$AD$12:$AD$259,'Off-site gain site summary'!$N95,'E-2 Off-Site Hedge Creation'!$Z$12:$Z$259)</f>
        <v>0</v>
      </c>
      <c r="S95" s="771">
        <f t="shared" si="8"/>
        <v>0</v>
      </c>
      <c r="T95" s="771" t="str">
        <f>IFERROR(_xlfn.XLOOKUP(N95,'E-2 Off-Site Hedge Creation'!AD100:AD347,'E-2 Off-Site Hedge Creation'!N100:N347), IFERROR(_xlfn.XLOOKUP(N95,'E-1 Off-Site Hedge Baseline'!AB98:AB345,'E-1 Off-Site Hedge Baseline'!P98:P345), " "))</f>
        <v/>
      </c>
      <c r="U95" s="774">
        <f t="shared" si="9"/>
        <v>0</v>
      </c>
      <c r="V95" s="1">
        <f>'F-1 Off-Site WaterC'' Baseline'!AG98</f>
        <v>0</v>
      </c>
      <c r="W95" s="772"/>
      <c r="X95" s="773">
        <f>SUMIF('F-1 Off-Site WaterC'' Baseline'!$AG$10:$AG$257,'Off-site gain site summary'!$W95,'F-1 Off-Site WaterC'' Baseline'!$U$10:$U$257)</f>
        <v>0</v>
      </c>
      <c r="Y95" s="773">
        <f>SUMIF('F-1 Off-Site WaterC'' Baseline'!$AG$10:$AG$257,'Off-site gain site summary'!$W95,'F-1 Off-Site WaterC'' Baseline'!$Y$10:$Y$257)</f>
        <v>0</v>
      </c>
      <c r="Z95" s="773">
        <f>SUMIF('F-3 Off-Site WaterC Enhancement'!$AT$12:$AT$257,'Off-site gain site summary'!$W95,'F-3 Off-Site WaterC Enhancement'!$AP$12:$AP$257)</f>
        <v>0</v>
      </c>
      <c r="AA95" s="773">
        <f>SUMIF('F-2 Off-Site WaterC'' Creation'!$AG$12:$AG$259,'Off-site gain site summary'!$W95,'F-2 Off-Site WaterC'' Creation'!$AC$12:$AC$259)</f>
        <v>0</v>
      </c>
      <c r="AB95" s="773">
        <f t="shared" si="10"/>
        <v>0</v>
      </c>
      <c r="AC95" s="773" t="str">
        <f>IFERROR(_xlfn.XLOOKUP(W95,'F-2 Off-Site WaterC'' Creation'!AG100:AG346,'F-2 Off-Site WaterC'' Creation'!AA100:AA347), IFERROR(_xlfn.XLOOKUP(W95,'F-1 Off-Site WaterC'' Baseline'!AG98:AG345,'F-1 Off-Site WaterC'' Baseline'!T98:T345)," "))</f>
        <v/>
      </c>
      <c r="AD95" s="774">
        <f t="shared" si="11"/>
        <v>0</v>
      </c>
      <c r="AE95" s="1356"/>
      <c r="AF95" s="1356"/>
    </row>
    <row r="96" spans="1:32">
      <c r="A96" s="757">
        <f>'D-1 Off-Site Habitat Baseline'!AF100</f>
        <v>0</v>
      </c>
      <c r="B96" s="764"/>
      <c r="C96" s="762">
        <f>SUMIF('D-1 Off-Site Habitat Baseline'!AF100:AF103,B96,'D-1 Off-Site Habitat Baseline'!T100:T103)</f>
        <v>0</v>
      </c>
      <c r="D96" s="1354">
        <f>SUMIF('D-1 Off-Site Habitat Baseline'!$AF$11:$AF$258,'Off-site gain site summary'!$B$7,'D-1 Off-Site Habitat Baseline'!$X$11:$X$258)</f>
        <v>0</v>
      </c>
      <c r="E96" s="1355"/>
      <c r="F96" s="1354">
        <f>SUMIF('D-3 Off-Site Habitat Enhancment'!$AU$12:$AU$258,'Off-site gain site summary'!B96,'D-3 Off-Site Habitat Enhancment'!$AQ$12:$AQ$258)</f>
        <v>0</v>
      </c>
      <c r="G96" s="1355"/>
      <c r="H96" s="1354">
        <f>SUMIF('D-2 Off-Site Habitat Creation'!$AF$11:$AF$256,'Off-site gain site summary'!B96,'D-2 Off-Site Habitat Creation'!$AB$11:$AB$256)</f>
        <v>0</v>
      </c>
      <c r="I96" s="1355"/>
      <c r="J96" s="765">
        <f t="shared" si="6"/>
        <v>0</v>
      </c>
      <c r="K96" s="762" t="str">
        <f>IFERROR(_xlfn.XLOOKUP(B96,'D-2 Off-Site Habitat Creation'!$AF$11:$AF$256,'D-2 Off-Site Habitat Creation'!$Z$11:$Z$256), IFERROR(_xlfn.XLOOKUP(B96,'D-1 Off-Site Habitat Baseline'!AF100:AF347,'D-1 Off-Site Habitat Baseline'!S100:S347), " "))</f>
        <v/>
      </c>
      <c r="L96" s="766">
        <f t="shared" si="7"/>
        <v>0</v>
      </c>
      <c r="M96" s="757">
        <f>'E-1 Off-Site Hedge Baseline'!AB99</f>
        <v>0</v>
      </c>
      <c r="N96" s="772"/>
      <c r="O96" s="773">
        <f>SUMIF('E-1 Off-Site Hedge Baseline'!AB99:AB346,'Off-site gain site summary'!N96,'E-1 Off-Site Hedge Baseline'!Q99:Q346)</f>
        <v>0</v>
      </c>
      <c r="P96" s="773">
        <f>SUMIF('E-1 Off-Site Hedge Baseline'!$AB$10:$AB$257,'Off-site gain site summary'!$N96,'E-1 Off-Site Hedge Baseline'!$U$10:$U$257)</f>
        <v>0</v>
      </c>
      <c r="Q96" s="773">
        <f>SUMIF('E-3 Off-Site Hedge Enhancement'!$AO$12:$AO$257,'Off-site gain site summary'!$N96,'E-3 Off-Site Hedge Enhancement'!$AK$12:$AK$257)</f>
        <v>0</v>
      </c>
      <c r="R96" s="773">
        <f>SUMIF('E-2 Off-Site Hedge Creation'!$AD$12:$AD$259,'Off-site gain site summary'!$N96,'E-2 Off-Site Hedge Creation'!$Z$12:$Z$259)</f>
        <v>0</v>
      </c>
      <c r="S96" s="771">
        <f t="shared" si="8"/>
        <v>0</v>
      </c>
      <c r="T96" s="771" t="str">
        <f>IFERROR(_xlfn.XLOOKUP(N96,'E-2 Off-Site Hedge Creation'!AD101:AD348,'E-2 Off-Site Hedge Creation'!N101:N348), IFERROR(_xlfn.XLOOKUP(N96,'E-1 Off-Site Hedge Baseline'!AB99:AB346,'E-1 Off-Site Hedge Baseline'!P99:P346), " "))</f>
        <v/>
      </c>
      <c r="U96" s="774">
        <f t="shared" si="9"/>
        <v>0</v>
      </c>
      <c r="V96" s="1">
        <f>'F-1 Off-Site WaterC'' Baseline'!AG99</f>
        <v>0</v>
      </c>
      <c r="W96" s="772"/>
      <c r="X96" s="773">
        <f>SUMIF('F-1 Off-Site WaterC'' Baseline'!$AG$10:$AG$257,'Off-site gain site summary'!$W96,'F-1 Off-Site WaterC'' Baseline'!$U$10:$U$257)</f>
        <v>0</v>
      </c>
      <c r="Y96" s="773">
        <f>SUMIF('F-1 Off-Site WaterC'' Baseline'!$AG$10:$AG$257,'Off-site gain site summary'!$W96,'F-1 Off-Site WaterC'' Baseline'!$Y$10:$Y$257)</f>
        <v>0</v>
      </c>
      <c r="Z96" s="773">
        <f>SUMIF('F-3 Off-Site WaterC Enhancement'!$AT$12:$AT$257,'Off-site gain site summary'!$W96,'F-3 Off-Site WaterC Enhancement'!$AP$12:$AP$257)</f>
        <v>0</v>
      </c>
      <c r="AA96" s="773">
        <f>SUMIF('F-2 Off-Site WaterC'' Creation'!$AG$12:$AG$259,'Off-site gain site summary'!$W96,'F-2 Off-Site WaterC'' Creation'!$AC$12:$AC$259)</f>
        <v>0</v>
      </c>
      <c r="AB96" s="773">
        <f t="shared" si="10"/>
        <v>0</v>
      </c>
      <c r="AC96" s="773" t="str">
        <f>IFERROR(_xlfn.XLOOKUP(W96,'F-2 Off-Site WaterC'' Creation'!AG101:AG347,'F-2 Off-Site WaterC'' Creation'!AA101:AA348), IFERROR(_xlfn.XLOOKUP(W96,'F-1 Off-Site WaterC'' Baseline'!AG99:AG346,'F-1 Off-Site WaterC'' Baseline'!T99:T346)," "))</f>
        <v/>
      </c>
      <c r="AD96" s="774">
        <f t="shared" si="11"/>
        <v>0</v>
      </c>
      <c r="AE96" s="1356"/>
      <c r="AF96" s="1356"/>
    </row>
    <row r="97" spans="1:32">
      <c r="A97" s="757">
        <f>'D-1 Off-Site Habitat Baseline'!AF101</f>
        <v>0</v>
      </c>
      <c r="B97" s="764"/>
      <c r="C97" s="762">
        <f>SUMIF('D-1 Off-Site Habitat Baseline'!AF101:AF104,B97,'D-1 Off-Site Habitat Baseline'!T101:T104)</f>
        <v>0</v>
      </c>
      <c r="D97" s="1354">
        <f>SUMIF('D-1 Off-Site Habitat Baseline'!$AF$11:$AF$258,'Off-site gain site summary'!$B$7,'D-1 Off-Site Habitat Baseline'!$X$11:$X$258)</f>
        <v>0</v>
      </c>
      <c r="E97" s="1355"/>
      <c r="F97" s="1354">
        <f>SUMIF('D-3 Off-Site Habitat Enhancment'!$AU$12:$AU$258,'Off-site gain site summary'!B97,'D-3 Off-Site Habitat Enhancment'!$AQ$12:$AQ$258)</f>
        <v>0</v>
      </c>
      <c r="G97" s="1355"/>
      <c r="H97" s="1354">
        <f>SUMIF('D-2 Off-Site Habitat Creation'!$AF$11:$AF$256,'Off-site gain site summary'!B97,'D-2 Off-Site Habitat Creation'!$AB$11:$AB$256)</f>
        <v>0</v>
      </c>
      <c r="I97" s="1355"/>
      <c r="J97" s="765">
        <f t="shared" si="6"/>
        <v>0</v>
      </c>
      <c r="K97" s="762" t="str">
        <f>IFERROR(_xlfn.XLOOKUP(B97,'D-2 Off-Site Habitat Creation'!$AF$11:$AF$256,'D-2 Off-Site Habitat Creation'!$Z$11:$Z$256), IFERROR(_xlfn.XLOOKUP(B97,'D-1 Off-Site Habitat Baseline'!AF101:AF348,'D-1 Off-Site Habitat Baseline'!S101:S348), " "))</f>
        <v/>
      </c>
      <c r="L97" s="766">
        <f t="shared" si="7"/>
        <v>0</v>
      </c>
      <c r="M97" s="757">
        <f>'E-1 Off-Site Hedge Baseline'!AB100</f>
        <v>0</v>
      </c>
      <c r="N97" s="772"/>
      <c r="O97" s="773">
        <f>SUMIF('E-1 Off-Site Hedge Baseline'!AB100:AB347,'Off-site gain site summary'!N97,'E-1 Off-Site Hedge Baseline'!Q100:Q347)</f>
        <v>0</v>
      </c>
      <c r="P97" s="773">
        <f>SUMIF('E-1 Off-Site Hedge Baseline'!$AB$10:$AB$257,'Off-site gain site summary'!$N97,'E-1 Off-Site Hedge Baseline'!$U$10:$U$257)</f>
        <v>0</v>
      </c>
      <c r="Q97" s="773">
        <f>SUMIF('E-3 Off-Site Hedge Enhancement'!$AO$12:$AO$257,'Off-site gain site summary'!$N97,'E-3 Off-Site Hedge Enhancement'!$AK$12:$AK$257)</f>
        <v>0</v>
      </c>
      <c r="R97" s="773">
        <f>SUMIF('E-2 Off-Site Hedge Creation'!$AD$12:$AD$259,'Off-site gain site summary'!$N97,'E-2 Off-Site Hedge Creation'!$Z$12:$Z$259)</f>
        <v>0</v>
      </c>
      <c r="S97" s="771">
        <f t="shared" si="8"/>
        <v>0</v>
      </c>
      <c r="T97" s="771" t="str">
        <f>IFERROR(_xlfn.XLOOKUP(N97,'E-2 Off-Site Hedge Creation'!AD102:AD349,'E-2 Off-Site Hedge Creation'!N102:N349), IFERROR(_xlfn.XLOOKUP(N97,'E-1 Off-Site Hedge Baseline'!AB100:AB347,'E-1 Off-Site Hedge Baseline'!P100:P347), " "))</f>
        <v/>
      </c>
      <c r="U97" s="774">
        <f t="shared" si="9"/>
        <v>0</v>
      </c>
      <c r="V97" s="1">
        <f>'F-1 Off-Site WaterC'' Baseline'!AG100</f>
        <v>0</v>
      </c>
      <c r="W97" s="772"/>
      <c r="X97" s="773">
        <f>SUMIF('F-1 Off-Site WaterC'' Baseline'!$AG$10:$AG$257,'Off-site gain site summary'!$W97,'F-1 Off-Site WaterC'' Baseline'!$U$10:$U$257)</f>
        <v>0</v>
      </c>
      <c r="Y97" s="773">
        <f>SUMIF('F-1 Off-Site WaterC'' Baseline'!$AG$10:$AG$257,'Off-site gain site summary'!$W97,'F-1 Off-Site WaterC'' Baseline'!$Y$10:$Y$257)</f>
        <v>0</v>
      </c>
      <c r="Z97" s="773">
        <f>SUMIF('F-3 Off-Site WaterC Enhancement'!$AT$12:$AT$257,'Off-site gain site summary'!$W97,'F-3 Off-Site WaterC Enhancement'!$AP$12:$AP$257)</f>
        <v>0</v>
      </c>
      <c r="AA97" s="773">
        <f>SUMIF('F-2 Off-Site WaterC'' Creation'!$AG$12:$AG$259,'Off-site gain site summary'!$W97,'F-2 Off-Site WaterC'' Creation'!$AC$12:$AC$259)</f>
        <v>0</v>
      </c>
      <c r="AB97" s="773">
        <f t="shared" si="10"/>
        <v>0</v>
      </c>
      <c r="AC97" s="773" t="str">
        <f>IFERROR(_xlfn.XLOOKUP(W97,'F-2 Off-Site WaterC'' Creation'!AG102:AG348,'F-2 Off-Site WaterC'' Creation'!AA102:AA349), IFERROR(_xlfn.XLOOKUP(W97,'F-1 Off-Site WaterC'' Baseline'!AG100:AG347,'F-1 Off-Site WaterC'' Baseline'!T100:T347)," "))</f>
        <v/>
      </c>
      <c r="AD97" s="774">
        <f t="shared" si="11"/>
        <v>0</v>
      </c>
      <c r="AE97" s="1356"/>
      <c r="AF97" s="1356"/>
    </row>
    <row r="98" spans="1:32">
      <c r="A98" s="757">
        <f>'D-1 Off-Site Habitat Baseline'!AF102</f>
        <v>0</v>
      </c>
      <c r="B98" s="764"/>
      <c r="C98" s="762">
        <f>SUMIF('D-1 Off-Site Habitat Baseline'!AF102:AF105,B98,'D-1 Off-Site Habitat Baseline'!T102:T105)</f>
        <v>0</v>
      </c>
      <c r="D98" s="1354">
        <f>SUMIF('D-1 Off-Site Habitat Baseline'!$AF$11:$AF$258,'Off-site gain site summary'!$B$7,'D-1 Off-Site Habitat Baseline'!$X$11:$X$258)</f>
        <v>0</v>
      </c>
      <c r="E98" s="1355"/>
      <c r="F98" s="1354">
        <f>SUMIF('D-3 Off-Site Habitat Enhancment'!$AU$12:$AU$258,'Off-site gain site summary'!B98,'D-3 Off-Site Habitat Enhancment'!$AQ$12:$AQ$258)</f>
        <v>0</v>
      </c>
      <c r="G98" s="1355"/>
      <c r="H98" s="1354">
        <f>SUMIF('D-2 Off-Site Habitat Creation'!$AF$11:$AF$256,'Off-site gain site summary'!B98,'D-2 Off-Site Habitat Creation'!$AB$11:$AB$256)</f>
        <v>0</v>
      </c>
      <c r="I98" s="1355"/>
      <c r="J98" s="765">
        <f t="shared" si="6"/>
        <v>0</v>
      </c>
      <c r="K98" s="762" t="str">
        <f>IFERROR(_xlfn.XLOOKUP(B98,'D-2 Off-Site Habitat Creation'!$AF$11:$AF$256,'D-2 Off-Site Habitat Creation'!$Z$11:$Z$256), IFERROR(_xlfn.XLOOKUP(B98,'D-1 Off-Site Habitat Baseline'!AF102:AF349,'D-1 Off-Site Habitat Baseline'!S102:S349), " "))</f>
        <v/>
      </c>
      <c r="L98" s="766">
        <f t="shared" si="7"/>
        <v>0</v>
      </c>
      <c r="M98" s="757">
        <f>'E-1 Off-Site Hedge Baseline'!AB101</f>
        <v>0</v>
      </c>
      <c r="N98" s="772"/>
      <c r="O98" s="773">
        <f>SUMIF('E-1 Off-Site Hedge Baseline'!AB101:AB348,'Off-site gain site summary'!N98,'E-1 Off-Site Hedge Baseline'!Q101:Q348)</f>
        <v>0</v>
      </c>
      <c r="P98" s="773">
        <f>SUMIF('E-1 Off-Site Hedge Baseline'!$AB$10:$AB$257,'Off-site gain site summary'!$N98,'E-1 Off-Site Hedge Baseline'!$U$10:$U$257)</f>
        <v>0</v>
      </c>
      <c r="Q98" s="773">
        <f>SUMIF('E-3 Off-Site Hedge Enhancement'!$AO$12:$AO$257,'Off-site gain site summary'!$N98,'E-3 Off-Site Hedge Enhancement'!$AK$12:$AK$257)</f>
        <v>0</v>
      </c>
      <c r="R98" s="773">
        <f>SUMIF('E-2 Off-Site Hedge Creation'!$AD$12:$AD$259,'Off-site gain site summary'!$N98,'E-2 Off-Site Hedge Creation'!$Z$12:$Z$259)</f>
        <v>0</v>
      </c>
      <c r="S98" s="771">
        <f t="shared" si="8"/>
        <v>0</v>
      </c>
      <c r="T98" s="771" t="str">
        <f>IFERROR(_xlfn.XLOOKUP(N98,'E-2 Off-Site Hedge Creation'!AD103:AD350,'E-2 Off-Site Hedge Creation'!N103:N350), IFERROR(_xlfn.XLOOKUP(N98,'E-1 Off-Site Hedge Baseline'!AB101:AB348,'E-1 Off-Site Hedge Baseline'!P101:P348), " "))</f>
        <v/>
      </c>
      <c r="U98" s="774">
        <f t="shared" si="9"/>
        <v>0</v>
      </c>
      <c r="V98" s="1">
        <f>'F-1 Off-Site WaterC'' Baseline'!AG101</f>
        <v>0</v>
      </c>
      <c r="W98" s="772"/>
      <c r="X98" s="773">
        <f>SUMIF('F-1 Off-Site WaterC'' Baseline'!$AG$10:$AG$257,'Off-site gain site summary'!$W98,'F-1 Off-Site WaterC'' Baseline'!$U$10:$U$257)</f>
        <v>0</v>
      </c>
      <c r="Y98" s="773">
        <f>SUMIF('F-1 Off-Site WaterC'' Baseline'!$AG$10:$AG$257,'Off-site gain site summary'!$W98,'F-1 Off-Site WaterC'' Baseline'!$Y$10:$Y$257)</f>
        <v>0</v>
      </c>
      <c r="Z98" s="773">
        <f>SUMIF('F-3 Off-Site WaterC Enhancement'!$AT$12:$AT$257,'Off-site gain site summary'!$W98,'F-3 Off-Site WaterC Enhancement'!$AP$12:$AP$257)</f>
        <v>0</v>
      </c>
      <c r="AA98" s="773">
        <f>SUMIF('F-2 Off-Site WaterC'' Creation'!$AG$12:$AG$259,'Off-site gain site summary'!$W98,'F-2 Off-Site WaterC'' Creation'!$AC$12:$AC$259)</f>
        <v>0</v>
      </c>
      <c r="AB98" s="773">
        <f t="shared" si="10"/>
        <v>0</v>
      </c>
      <c r="AC98" s="773" t="str">
        <f>IFERROR(_xlfn.XLOOKUP(W98,'F-2 Off-Site WaterC'' Creation'!AG103:AG349,'F-2 Off-Site WaterC'' Creation'!AA103:AA350), IFERROR(_xlfn.XLOOKUP(W98,'F-1 Off-Site WaterC'' Baseline'!AG101:AG348,'F-1 Off-Site WaterC'' Baseline'!T101:T348)," "))</f>
        <v/>
      </c>
      <c r="AD98" s="774">
        <f t="shared" si="11"/>
        <v>0</v>
      </c>
      <c r="AE98" s="1356"/>
      <c r="AF98" s="1356"/>
    </row>
    <row r="99" spans="1:32">
      <c r="A99" s="757">
        <f>'D-1 Off-Site Habitat Baseline'!AF103</f>
        <v>0</v>
      </c>
      <c r="B99" s="764"/>
      <c r="C99" s="762">
        <f>SUMIF('D-1 Off-Site Habitat Baseline'!AF103:AF106,B99,'D-1 Off-Site Habitat Baseline'!T103:T106)</f>
        <v>0</v>
      </c>
      <c r="D99" s="1354">
        <f>SUMIF('D-1 Off-Site Habitat Baseline'!$AF$11:$AF$258,'Off-site gain site summary'!$B$7,'D-1 Off-Site Habitat Baseline'!$X$11:$X$258)</f>
        <v>0</v>
      </c>
      <c r="E99" s="1355"/>
      <c r="F99" s="1354">
        <f>SUMIF('D-3 Off-Site Habitat Enhancment'!$AU$12:$AU$258,'Off-site gain site summary'!B99,'D-3 Off-Site Habitat Enhancment'!$AQ$12:$AQ$258)</f>
        <v>0</v>
      </c>
      <c r="G99" s="1355"/>
      <c r="H99" s="1354">
        <f>SUMIF('D-2 Off-Site Habitat Creation'!$AF$11:$AF$256,'Off-site gain site summary'!B99,'D-2 Off-Site Habitat Creation'!$AB$11:$AB$256)</f>
        <v>0</v>
      </c>
      <c r="I99" s="1355"/>
      <c r="J99" s="765">
        <f t="shared" si="6"/>
        <v>0</v>
      </c>
      <c r="K99" s="762" t="str">
        <f>IFERROR(_xlfn.XLOOKUP(B99,'D-2 Off-Site Habitat Creation'!$AF$11:$AF$256,'D-2 Off-Site Habitat Creation'!$Z$11:$Z$256), IFERROR(_xlfn.XLOOKUP(B99,'D-1 Off-Site Habitat Baseline'!AF103:AF350,'D-1 Off-Site Habitat Baseline'!S103:S350), " "))</f>
        <v/>
      </c>
      <c r="L99" s="766">
        <f t="shared" si="7"/>
        <v>0</v>
      </c>
      <c r="M99" s="757">
        <f>'E-1 Off-Site Hedge Baseline'!AB102</f>
        <v>0</v>
      </c>
      <c r="N99" s="772"/>
      <c r="O99" s="773">
        <f>SUMIF('E-1 Off-Site Hedge Baseline'!AB102:AB349,'Off-site gain site summary'!N99,'E-1 Off-Site Hedge Baseline'!Q102:Q349)</f>
        <v>0</v>
      </c>
      <c r="P99" s="773">
        <f>SUMIF('E-1 Off-Site Hedge Baseline'!$AB$10:$AB$257,'Off-site gain site summary'!$N99,'E-1 Off-Site Hedge Baseline'!$U$10:$U$257)</f>
        <v>0</v>
      </c>
      <c r="Q99" s="773">
        <f>SUMIF('E-3 Off-Site Hedge Enhancement'!$AO$12:$AO$257,'Off-site gain site summary'!$N99,'E-3 Off-Site Hedge Enhancement'!$AK$12:$AK$257)</f>
        <v>0</v>
      </c>
      <c r="R99" s="773">
        <f>SUMIF('E-2 Off-Site Hedge Creation'!$AD$12:$AD$259,'Off-site gain site summary'!$N99,'E-2 Off-Site Hedge Creation'!$Z$12:$Z$259)</f>
        <v>0</v>
      </c>
      <c r="S99" s="771">
        <f t="shared" si="8"/>
        <v>0</v>
      </c>
      <c r="T99" s="771" t="str">
        <f>IFERROR(_xlfn.XLOOKUP(N99,'E-2 Off-Site Hedge Creation'!AD104:AD351,'E-2 Off-Site Hedge Creation'!N104:N351), IFERROR(_xlfn.XLOOKUP(N99,'E-1 Off-Site Hedge Baseline'!AB102:AB349,'E-1 Off-Site Hedge Baseline'!P102:P349), " "))</f>
        <v/>
      </c>
      <c r="U99" s="774">
        <f t="shared" si="9"/>
        <v>0</v>
      </c>
      <c r="V99" s="1">
        <f>'F-1 Off-Site WaterC'' Baseline'!AG102</f>
        <v>0</v>
      </c>
      <c r="W99" s="772"/>
      <c r="X99" s="773">
        <f>SUMIF('F-1 Off-Site WaterC'' Baseline'!$AG$10:$AG$257,'Off-site gain site summary'!$W99,'F-1 Off-Site WaterC'' Baseline'!$U$10:$U$257)</f>
        <v>0</v>
      </c>
      <c r="Y99" s="773">
        <f>SUMIF('F-1 Off-Site WaterC'' Baseline'!$AG$10:$AG$257,'Off-site gain site summary'!$W99,'F-1 Off-Site WaterC'' Baseline'!$Y$10:$Y$257)</f>
        <v>0</v>
      </c>
      <c r="Z99" s="773">
        <f>SUMIF('F-3 Off-Site WaterC Enhancement'!$AT$12:$AT$257,'Off-site gain site summary'!$W99,'F-3 Off-Site WaterC Enhancement'!$AP$12:$AP$257)</f>
        <v>0</v>
      </c>
      <c r="AA99" s="773">
        <f>SUMIF('F-2 Off-Site WaterC'' Creation'!$AG$12:$AG$259,'Off-site gain site summary'!$W99,'F-2 Off-Site WaterC'' Creation'!$AC$12:$AC$259)</f>
        <v>0</v>
      </c>
      <c r="AB99" s="773">
        <f t="shared" si="10"/>
        <v>0</v>
      </c>
      <c r="AC99" s="773" t="str">
        <f>IFERROR(_xlfn.XLOOKUP(W99,'F-2 Off-Site WaterC'' Creation'!AG104:AG350,'F-2 Off-Site WaterC'' Creation'!AA104:AA351), IFERROR(_xlfn.XLOOKUP(W99,'F-1 Off-Site WaterC'' Baseline'!AG102:AG349,'F-1 Off-Site WaterC'' Baseline'!T102:T349)," "))</f>
        <v/>
      </c>
      <c r="AD99" s="774">
        <f t="shared" si="11"/>
        <v>0</v>
      </c>
      <c r="AE99" s="1356"/>
      <c r="AF99" s="1356"/>
    </row>
    <row r="100" spans="1:32">
      <c r="A100" s="757">
        <f>'D-1 Off-Site Habitat Baseline'!AF104</f>
        <v>0</v>
      </c>
      <c r="B100" s="764"/>
      <c r="C100" s="762">
        <f>SUMIF('D-1 Off-Site Habitat Baseline'!AF104:AF107,B100,'D-1 Off-Site Habitat Baseline'!T104:T107)</f>
        <v>0</v>
      </c>
      <c r="D100" s="1354">
        <f>SUMIF('D-1 Off-Site Habitat Baseline'!$AF$11:$AF$258,'Off-site gain site summary'!$B$7,'D-1 Off-Site Habitat Baseline'!$X$11:$X$258)</f>
        <v>0</v>
      </c>
      <c r="E100" s="1355"/>
      <c r="F100" s="1354">
        <f>SUMIF('D-3 Off-Site Habitat Enhancment'!$AU$12:$AU$258,'Off-site gain site summary'!B100,'D-3 Off-Site Habitat Enhancment'!$AQ$12:$AQ$258)</f>
        <v>0</v>
      </c>
      <c r="G100" s="1355"/>
      <c r="H100" s="1354">
        <f>SUMIF('D-2 Off-Site Habitat Creation'!$AF$11:$AF$256,'Off-site gain site summary'!B100,'D-2 Off-Site Habitat Creation'!$AB$11:$AB$256)</f>
        <v>0</v>
      </c>
      <c r="I100" s="1355"/>
      <c r="J100" s="765">
        <f t="shared" si="6"/>
        <v>0</v>
      </c>
      <c r="K100" s="762" t="str">
        <f>IFERROR(_xlfn.XLOOKUP(B100,'D-2 Off-Site Habitat Creation'!$AF$11:$AF$256,'D-2 Off-Site Habitat Creation'!$Z$11:$Z$256), IFERROR(_xlfn.XLOOKUP(B100,'D-1 Off-Site Habitat Baseline'!AF104:AF351,'D-1 Off-Site Habitat Baseline'!S104:S351), " "))</f>
        <v/>
      </c>
      <c r="L100" s="766">
        <f t="shared" si="7"/>
        <v>0</v>
      </c>
      <c r="M100" s="757">
        <f>'E-1 Off-Site Hedge Baseline'!AB103</f>
        <v>0</v>
      </c>
      <c r="N100" s="772"/>
      <c r="O100" s="773">
        <f>SUMIF('E-1 Off-Site Hedge Baseline'!AB103:AB350,'Off-site gain site summary'!N100,'E-1 Off-Site Hedge Baseline'!Q103:Q350)</f>
        <v>0</v>
      </c>
      <c r="P100" s="773">
        <f>SUMIF('E-1 Off-Site Hedge Baseline'!$AB$10:$AB$257,'Off-site gain site summary'!$N100,'E-1 Off-Site Hedge Baseline'!$U$10:$U$257)</f>
        <v>0</v>
      </c>
      <c r="Q100" s="773">
        <f>SUMIF('E-3 Off-Site Hedge Enhancement'!$AO$12:$AO$257,'Off-site gain site summary'!$N100,'E-3 Off-Site Hedge Enhancement'!$AK$12:$AK$257)</f>
        <v>0</v>
      </c>
      <c r="R100" s="773">
        <f>SUMIF('E-2 Off-Site Hedge Creation'!$AD$12:$AD$259,'Off-site gain site summary'!$N100,'E-2 Off-Site Hedge Creation'!$Z$12:$Z$259)</f>
        <v>0</v>
      </c>
      <c r="S100" s="771">
        <f t="shared" si="8"/>
        <v>0</v>
      </c>
      <c r="T100" s="771" t="str">
        <f>IFERROR(_xlfn.XLOOKUP(N100,'E-2 Off-Site Hedge Creation'!AD105:AD352,'E-2 Off-Site Hedge Creation'!N105:N352), IFERROR(_xlfn.XLOOKUP(N100,'E-1 Off-Site Hedge Baseline'!AB103:AB350,'E-1 Off-Site Hedge Baseline'!P103:P350), " "))</f>
        <v/>
      </c>
      <c r="U100" s="774">
        <f t="shared" si="9"/>
        <v>0</v>
      </c>
      <c r="V100" s="1">
        <f>'F-1 Off-Site WaterC'' Baseline'!AG103</f>
        <v>0</v>
      </c>
      <c r="W100" s="772"/>
      <c r="X100" s="773">
        <f>SUMIF('F-1 Off-Site WaterC'' Baseline'!$AG$10:$AG$257,'Off-site gain site summary'!$W100,'F-1 Off-Site WaterC'' Baseline'!$U$10:$U$257)</f>
        <v>0</v>
      </c>
      <c r="Y100" s="773">
        <f>SUMIF('F-1 Off-Site WaterC'' Baseline'!$AG$10:$AG$257,'Off-site gain site summary'!$W100,'F-1 Off-Site WaterC'' Baseline'!$Y$10:$Y$257)</f>
        <v>0</v>
      </c>
      <c r="Z100" s="773">
        <f>SUMIF('F-3 Off-Site WaterC Enhancement'!$AT$12:$AT$257,'Off-site gain site summary'!$W100,'F-3 Off-Site WaterC Enhancement'!$AP$12:$AP$257)</f>
        <v>0</v>
      </c>
      <c r="AA100" s="773">
        <f>SUMIF('F-2 Off-Site WaterC'' Creation'!$AG$12:$AG$259,'Off-site gain site summary'!$W100,'F-2 Off-Site WaterC'' Creation'!$AC$12:$AC$259)</f>
        <v>0</v>
      </c>
      <c r="AB100" s="773">
        <f t="shared" si="10"/>
        <v>0</v>
      </c>
      <c r="AC100" s="773" t="str">
        <f>IFERROR(_xlfn.XLOOKUP(W100,'F-2 Off-Site WaterC'' Creation'!AG105:AG351,'F-2 Off-Site WaterC'' Creation'!AA105:AA352), IFERROR(_xlfn.XLOOKUP(W100,'F-1 Off-Site WaterC'' Baseline'!AG103:AG350,'F-1 Off-Site WaterC'' Baseline'!T103:T350)," "))</f>
        <v/>
      </c>
      <c r="AD100" s="774">
        <f t="shared" si="11"/>
        <v>0</v>
      </c>
      <c r="AE100" s="1356"/>
      <c r="AF100" s="1356"/>
    </row>
    <row r="101" spans="1:32">
      <c r="A101" s="757">
        <f>'D-1 Off-Site Habitat Baseline'!AF105</f>
        <v>0</v>
      </c>
      <c r="B101" s="764"/>
      <c r="C101" s="762">
        <f>SUMIF('D-1 Off-Site Habitat Baseline'!AF105:AF108,B101,'D-1 Off-Site Habitat Baseline'!T105:T108)</f>
        <v>0</v>
      </c>
      <c r="D101" s="1354">
        <f>SUMIF('D-1 Off-Site Habitat Baseline'!$AF$11:$AF$258,'Off-site gain site summary'!$B$7,'D-1 Off-Site Habitat Baseline'!$X$11:$X$258)</f>
        <v>0</v>
      </c>
      <c r="E101" s="1355"/>
      <c r="F101" s="1354">
        <f>SUMIF('D-3 Off-Site Habitat Enhancment'!$AU$12:$AU$258,'Off-site gain site summary'!B101,'D-3 Off-Site Habitat Enhancment'!$AQ$12:$AQ$258)</f>
        <v>0</v>
      </c>
      <c r="G101" s="1355"/>
      <c r="H101" s="1354">
        <f>SUMIF('D-2 Off-Site Habitat Creation'!$AF$11:$AF$256,'Off-site gain site summary'!B101,'D-2 Off-Site Habitat Creation'!$AB$11:$AB$256)</f>
        <v>0</v>
      </c>
      <c r="I101" s="1355"/>
      <c r="J101" s="765">
        <f t="shared" si="6"/>
        <v>0</v>
      </c>
      <c r="K101" s="762" t="str">
        <f>IFERROR(_xlfn.XLOOKUP(B101,'D-2 Off-Site Habitat Creation'!$AF$11:$AF$256,'D-2 Off-Site Habitat Creation'!$Z$11:$Z$256), IFERROR(_xlfn.XLOOKUP(B101,'D-1 Off-Site Habitat Baseline'!AF105:AF352,'D-1 Off-Site Habitat Baseline'!S105:S352), " "))</f>
        <v/>
      </c>
      <c r="L101" s="766">
        <f t="shared" si="7"/>
        <v>0</v>
      </c>
      <c r="M101" s="757">
        <f>'E-1 Off-Site Hedge Baseline'!AB104</f>
        <v>0</v>
      </c>
      <c r="N101" s="772"/>
      <c r="O101" s="773">
        <f>SUMIF('E-1 Off-Site Hedge Baseline'!AB104:AB351,'Off-site gain site summary'!N101,'E-1 Off-Site Hedge Baseline'!Q104:Q351)</f>
        <v>0</v>
      </c>
      <c r="P101" s="773">
        <f>SUMIF('E-1 Off-Site Hedge Baseline'!$AB$10:$AB$257,'Off-site gain site summary'!$N101,'E-1 Off-Site Hedge Baseline'!$U$10:$U$257)</f>
        <v>0</v>
      </c>
      <c r="Q101" s="773">
        <f>SUMIF('E-3 Off-Site Hedge Enhancement'!$AO$12:$AO$257,'Off-site gain site summary'!$N101,'E-3 Off-Site Hedge Enhancement'!$AK$12:$AK$257)</f>
        <v>0</v>
      </c>
      <c r="R101" s="773">
        <f>SUMIF('E-2 Off-Site Hedge Creation'!$AD$12:$AD$259,'Off-site gain site summary'!$N101,'E-2 Off-Site Hedge Creation'!$Z$12:$Z$259)</f>
        <v>0</v>
      </c>
      <c r="S101" s="771">
        <f t="shared" si="8"/>
        <v>0</v>
      </c>
      <c r="T101" s="771" t="str">
        <f>IFERROR(_xlfn.XLOOKUP(N101,'E-2 Off-Site Hedge Creation'!AD106:AD353,'E-2 Off-Site Hedge Creation'!N106:N353), IFERROR(_xlfn.XLOOKUP(N101,'E-1 Off-Site Hedge Baseline'!AB104:AB351,'E-1 Off-Site Hedge Baseline'!P104:P351), " "))</f>
        <v/>
      </c>
      <c r="U101" s="774">
        <f t="shared" si="9"/>
        <v>0</v>
      </c>
      <c r="V101" s="1">
        <f>'F-1 Off-Site WaterC'' Baseline'!AG104</f>
        <v>0</v>
      </c>
      <c r="W101" s="772"/>
      <c r="X101" s="773">
        <f>SUMIF('F-1 Off-Site WaterC'' Baseline'!$AG$10:$AG$257,'Off-site gain site summary'!$W101,'F-1 Off-Site WaterC'' Baseline'!$U$10:$U$257)</f>
        <v>0</v>
      </c>
      <c r="Y101" s="773">
        <f>SUMIF('F-1 Off-Site WaterC'' Baseline'!$AG$10:$AG$257,'Off-site gain site summary'!$W101,'F-1 Off-Site WaterC'' Baseline'!$Y$10:$Y$257)</f>
        <v>0</v>
      </c>
      <c r="Z101" s="773">
        <f>SUMIF('F-3 Off-Site WaterC Enhancement'!$AT$12:$AT$257,'Off-site gain site summary'!$W101,'F-3 Off-Site WaterC Enhancement'!$AP$12:$AP$257)</f>
        <v>0</v>
      </c>
      <c r="AA101" s="773">
        <f>SUMIF('F-2 Off-Site WaterC'' Creation'!$AG$12:$AG$259,'Off-site gain site summary'!$W101,'F-2 Off-Site WaterC'' Creation'!$AC$12:$AC$259)</f>
        <v>0</v>
      </c>
      <c r="AB101" s="773">
        <f t="shared" si="10"/>
        <v>0</v>
      </c>
      <c r="AC101" s="773" t="str">
        <f>IFERROR(_xlfn.XLOOKUP(W101,'F-2 Off-Site WaterC'' Creation'!AG106:AG352,'F-2 Off-Site WaterC'' Creation'!AA106:AA353), IFERROR(_xlfn.XLOOKUP(W101,'F-1 Off-Site WaterC'' Baseline'!AG104:AG351,'F-1 Off-Site WaterC'' Baseline'!T104:T351)," "))</f>
        <v/>
      </c>
      <c r="AD101" s="774">
        <f t="shared" si="11"/>
        <v>0</v>
      </c>
      <c r="AE101" s="1356"/>
      <c r="AF101" s="1356"/>
    </row>
    <row r="102" spans="1:32">
      <c r="A102" s="757">
        <f>'D-1 Off-Site Habitat Baseline'!AF106</f>
        <v>0</v>
      </c>
      <c r="B102" s="764"/>
      <c r="C102" s="762">
        <f>SUMIF('D-1 Off-Site Habitat Baseline'!AF106:AF109,B102,'D-1 Off-Site Habitat Baseline'!T106:T109)</f>
        <v>0</v>
      </c>
      <c r="D102" s="1354">
        <f>SUMIF('D-1 Off-Site Habitat Baseline'!$AF$11:$AF$258,'Off-site gain site summary'!$B$7,'D-1 Off-Site Habitat Baseline'!$X$11:$X$258)</f>
        <v>0</v>
      </c>
      <c r="E102" s="1355"/>
      <c r="F102" s="1354">
        <f>SUMIF('D-3 Off-Site Habitat Enhancment'!$AU$12:$AU$258,'Off-site gain site summary'!B102,'D-3 Off-Site Habitat Enhancment'!$AQ$12:$AQ$258)</f>
        <v>0</v>
      </c>
      <c r="G102" s="1355"/>
      <c r="H102" s="1354">
        <f>SUMIF('D-2 Off-Site Habitat Creation'!$AF$11:$AF$256,'Off-site gain site summary'!B102,'D-2 Off-Site Habitat Creation'!$AB$11:$AB$256)</f>
        <v>0</v>
      </c>
      <c r="I102" s="1355"/>
      <c r="J102" s="765">
        <f t="shared" si="6"/>
        <v>0</v>
      </c>
      <c r="K102" s="762" t="str">
        <f>IFERROR(_xlfn.XLOOKUP(B102,'D-2 Off-Site Habitat Creation'!$AF$11:$AF$256,'D-2 Off-Site Habitat Creation'!$Z$11:$Z$256), IFERROR(_xlfn.XLOOKUP(B102,'D-1 Off-Site Habitat Baseline'!AF106:AF353,'D-1 Off-Site Habitat Baseline'!S106:S353), " "))</f>
        <v/>
      </c>
      <c r="L102" s="766">
        <f t="shared" si="7"/>
        <v>0</v>
      </c>
      <c r="M102" s="757">
        <f>'E-1 Off-Site Hedge Baseline'!AB105</f>
        <v>0</v>
      </c>
      <c r="N102" s="772"/>
      <c r="O102" s="773">
        <f>SUMIF('E-1 Off-Site Hedge Baseline'!AB105:AB352,'Off-site gain site summary'!N102,'E-1 Off-Site Hedge Baseline'!Q105:Q352)</f>
        <v>0</v>
      </c>
      <c r="P102" s="773">
        <f>SUMIF('E-1 Off-Site Hedge Baseline'!$AB$10:$AB$257,'Off-site gain site summary'!$N102,'E-1 Off-Site Hedge Baseline'!$U$10:$U$257)</f>
        <v>0</v>
      </c>
      <c r="Q102" s="773">
        <f>SUMIF('E-3 Off-Site Hedge Enhancement'!$AO$12:$AO$257,'Off-site gain site summary'!$N102,'E-3 Off-Site Hedge Enhancement'!$AK$12:$AK$257)</f>
        <v>0</v>
      </c>
      <c r="R102" s="773">
        <f>SUMIF('E-2 Off-Site Hedge Creation'!$AD$12:$AD$259,'Off-site gain site summary'!$N102,'E-2 Off-Site Hedge Creation'!$Z$12:$Z$259)</f>
        <v>0</v>
      </c>
      <c r="S102" s="771">
        <f t="shared" si="8"/>
        <v>0</v>
      </c>
      <c r="T102" s="771" t="str">
        <f>IFERROR(_xlfn.XLOOKUP(N102,'E-2 Off-Site Hedge Creation'!AD107:AD354,'E-2 Off-Site Hedge Creation'!N107:N354), IFERROR(_xlfn.XLOOKUP(N102,'E-1 Off-Site Hedge Baseline'!AB105:AB352,'E-1 Off-Site Hedge Baseline'!P105:P352), " "))</f>
        <v/>
      </c>
      <c r="U102" s="774">
        <f t="shared" si="9"/>
        <v>0</v>
      </c>
      <c r="V102" s="1">
        <f>'F-1 Off-Site WaterC'' Baseline'!AG105</f>
        <v>0</v>
      </c>
      <c r="W102" s="772"/>
      <c r="X102" s="773">
        <f>SUMIF('F-1 Off-Site WaterC'' Baseline'!$AG$10:$AG$257,'Off-site gain site summary'!$W102,'F-1 Off-Site WaterC'' Baseline'!$U$10:$U$257)</f>
        <v>0</v>
      </c>
      <c r="Y102" s="773">
        <f>SUMIF('F-1 Off-Site WaterC'' Baseline'!$AG$10:$AG$257,'Off-site gain site summary'!$W102,'F-1 Off-Site WaterC'' Baseline'!$Y$10:$Y$257)</f>
        <v>0</v>
      </c>
      <c r="Z102" s="773">
        <f>SUMIF('F-3 Off-Site WaterC Enhancement'!$AT$12:$AT$257,'Off-site gain site summary'!$W102,'F-3 Off-Site WaterC Enhancement'!$AP$12:$AP$257)</f>
        <v>0</v>
      </c>
      <c r="AA102" s="773">
        <f>SUMIF('F-2 Off-Site WaterC'' Creation'!$AG$12:$AG$259,'Off-site gain site summary'!$W102,'F-2 Off-Site WaterC'' Creation'!$AC$12:$AC$259)</f>
        <v>0</v>
      </c>
      <c r="AB102" s="773">
        <f t="shared" si="10"/>
        <v>0</v>
      </c>
      <c r="AC102" s="773" t="str">
        <f>IFERROR(_xlfn.XLOOKUP(W102,'F-2 Off-Site WaterC'' Creation'!AG107:AG353,'F-2 Off-Site WaterC'' Creation'!AA107:AA354), IFERROR(_xlfn.XLOOKUP(W102,'F-1 Off-Site WaterC'' Baseline'!AG105:AG352,'F-1 Off-Site WaterC'' Baseline'!T105:T352)," "))</f>
        <v/>
      </c>
      <c r="AD102" s="774">
        <f t="shared" si="11"/>
        <v>0</v>
      </c>
      <c r="AE102" s="1356"/>
      <c r="AF102" s="1356"/>
    </row>
    <row r="103" spans="1:32">
      <c r="A103" s="757">
        <f>'D-1 Off-Site Habitat Baseline'!AF107</f>
        <v>0</v>
      </c>
      <c r="B103" s="764"/>
      <c r="C103" s="762">
        <f>SUMIF('D-1 Off-Site Habitat Baseline'!AF107:AF110,B103,'D-1 Off-Site Habitat Baseline'!T107:T110)</f>
        <v>0</v>
      </c>
      <c r="D103" s="1354">
        <f>SUMIF('D-1 Off-Site Habitat Baseline'!$AF$11:$AF$258,'Off-site gain site summary'!$B$7,'D-1 Off-Site Habitat Baseline'!$X$11:$X$258)</f>
        <v>0</v>
      </c>
      <c r="E103" s="1355"/>
      <c r="F103" s="1354">
        <f>SUMIF('D-3 Off-Site Habitat Enhancment'!$AU$12:$AU$258,'Off-site gain site summary'!B103,'D-3 Off-Site Habitat Enhancment'!$AQ$12:$AQ$258)</f>
        <v>0</v>
      </c>
      <c r="G103" s="1355"/>
      <c r="H103" s="1354">
        <f>SUMIF('D-2 Off-Site Habitat Creation'!$AF$11:$AF$256,'Off-site gain site summary'!B103,'D-2 Off-Site Habitat Creation'!$AB$11:$AB$256)</f>
        <v>0</v>
      </c>
      <c r="I103" s="1355"/>
      <c r="J103" s="765">
        <f t="shared" si="6"/>
        <v>0</v>
      </c>
      <c r="K103" s="762" t="str">
        <f>IFERROR(_xlfn.XLOOKUP(B103,'D-2 Off-Site Habitat Creation'!$AF$11:$AF$256,'D-2 Off-Site Habitat Creation'!$Z$11:$Z$256), IFERROR(_xlfn.XLOOKUP(B103,'D-1 Off-Site Habitat Baseline'!AF107:AF354,'D-1 Off-Site Habitat Baseline'!S107:S354), " "))</f>
        <v/>
      </c>
      <c r="L103" s="766">
        <f t="shared" si="7"/>
        <v>0</v>
      </c>
      <c r="M103" s="757">
        <f>'E-1 Off-Site Hedge Baseline'!AB106</f>
        <v>0</v>
      </c>
      <c r="N103" s="772"/>
      <c r="O103" s="773">
        <f>SUMIF('E-1 Off-Site Hedge Baseline'!AB106:AB353,'Off-site gain site summary'!N103,'E-1 Off-Site Hedge Baseline'!Q106:Q353)</f>
        <v>0</v>
      </c>
      <c r="P103" s="773">
        <f>SUMIF('E-1 Off-Site Hedge Baseline'!$AB$10:$AB$257,'Off-site gain site summary'!$N103,'E-1 Off-Site Hedge Baseline'!$U$10:$U$257)</f>
        <v>0</v>
      </c>
      <c r="Q103" s="773">
        <f>SUMIF('E-3 Off-Site Hedge Enhancement'!$AO$12:$AO$257,'Off-site gain site summary'!$N103,'E-3 Off-Site Hedge Enhancement'!$AK$12:$AK$257)</f>
        <v>0</v>
      </c>
      <c r="R103" s="773">
        <f>SUMIF('E-2 Off-Site Hedge Creation'!$AD$12:$AD$259,'Off-site gain site summary'!$N103,'E-2 Off-Site Hedge Creation'!$Z$12:$Z$259)</f>
        <v>0</v>
      </c>
      <c r="S103" s="771">
        <f t="shared" si="8"/>
        <v>0</v>
      </c>
      <c r="T103" s="771" t="str">
        <f>IFERROR(_xlfn.XLOOKUP(N103,'E-2 Off-Site Hedge Creation'!AD108:AD355,'E-2 Off-Site Hedge Creation'!N108:N355), IFERROR(_xlfn.XLOOKUP(N103,'E-1 Off-Site Hedge Baseline'!AB106:AB353,'E-1 Off-Site Hedge Baseline'!P106:P353), " "))</f>
        <v/>
      </c>
      <c r="U103" s="774">
        <f t="shared" si="9"/>
        <v>0</v>
      </c>
      <c r="V103" s="1">
        <f>'F-1 Off-Site WaterC'' Baseline'!AG106</f>
        <v>0</v>
      </c>
      <c r="W103" s="772"/>
      <c r="X103" s="773">
        <f>SUMIF('F-1 Off-Site WaterC'' Baseline'!$AG$10:$AG$257,'Off-site gain site summary'!$W103,'F-1 Off-Site WaterC'' Baseline'!$U$10:$U$257)</f>
        <v>0</v>
      </c>
      <c r="Y103" s="773">
        <f>SUMIF('F-1 Off-Site WaterC'' Baseline'!$AG$10:$AG$257,'Off-site gain site summary'!$W103,'F-1 Off-Site WaterC'' Baseline'!$Y$10:$Y$257)</f>
        <v>0</v>
      </c>
      <c r="Z103" s="773">
        <f>SUMIF('F-3 Off-Site WaterC Enhancement'!$AT$12:$AT$257,'Off-site gain site summary'!$W103,'F-3 Off-Site WaterC Enhancement'!$AP$12:$AP$257)</f>
        <v>0</v>
      </c>
      <c r="AA103" s="773">
        <f>SUMIF('F-2 Off-Site WaterC'' Creation'!$AG$12:$AG$259,'Off-site gain site summary'!$W103,'F-2 Off-Site WaterC'' Creation'!$AC$12:$AC$259)</f>
        <v>0</v>
      </c>
      <c r="AB103" s="773">
        <f t="shared" si="10"/>
        <v>0</v>
      </c>
      <c r="AC103" s="773" t="str">
        <f>IFERROR(_xlfn.XLOOKUP(W103,'F-2 Off-Site WaterC'' Creation'!AG108:AG354,'F-2 Off-Site WaterC'' Creation'!AA108:AA355), IFERROR(_xlfn.XLOOKUP(W103,'F-1 Off-Site WaterC'' Baseline'!AG106:AG353,'F-1 Off-Site WaterC'' Baseline'!T106:T353)," "))</f>
        <v/>
      </c>
      <c r="AD103" s="774">
        <f t="shared" si="11"/>
        <v>0</v>
      </c>
      <c r="AE103" s="1356"/>
      <c r="AF103" s="1356"/>
    </row>
    <row r="104" spans="1:32">
      <c r="A104" s="757">
        <f>'D-1 Off-Site Habitat Baseline'!AF108</f>
        <v>0</v>
      </c>
      <c r="B104" s="764"/>
      <c r="C104" s="762">
        <f>SUMIF('D-1 Off-Site Habitat Baseline'!AF108:AF111,B104,'D-1 Off-Site Habitat Baseline'!T108:T111)</f>
        <v>0</v>
      </c>
      <c r="D104" s="1354">
        <f>SUMIF('D-1 Off-Site Habitat Baseline'!$AF$11:$AF$258,'Off-site gain site summary'!$B$7,'D-1 Off-Site Habitat Baseline'!$X$11:$X$258)</f>
        <v>0</v>
      </c>
      <c r="E104" s="1355"/>
      <c r="F104" s="1354">
        <f>SUMIF('D-3 Off-Site Habitat Enhancment'!$AU$12:$AU$258,'Off-site gain site summary'!B104,'D-3 Off-Site Habitat Enhancment'!$AQ$12:$AQ$258)</f>
        <v>0</v>
      </c>
      <c r="G104" s="1355"/>
      <c r="H104" s="1354">
        <f>SUMIF('D-2 Off-Site Habitat Creation'!$AF$11:$AF$256,'Off-site gain site summary'!B104,'D-2 Off-Site Habitat Creation'!$AB$11:$AB$256)</f>
        <v>0</v>
      </c>
      <c r="I104" s="1355"/>
      <c r="J104" s="765">
        <f t="shared" si="6"/>
        <v>0</v>
      </c>
      <c r="K104" s="762" t="str">
        <f>IFERROR(_xlfn.XLOOKUP(B104,'D-2 Off-Site Habitat Creation'!$AF$11:$AF$256,'D-2 Off-Site Habitat Creation'!$Z$11:$Z$256), IFERROR(_xlfn.XLOOKUP(B104,'D-1 Off-Site Habitat Baseline'!AF108:AF355,'D-1 Off-Site Habitat Baseline'!S108:S355), " "))</f>
        <v/>
      </c>
      <c r="L104" s="766">
        <f t="shared" si="7"/>
        <v>0</v>
      </c>
      <c r="M104" s="757">
        <f>'E-1 Off-Site Hedge Baseline'!AB107</f>
        <v>0</v>
      </c>
      <c r="N104" s="772"/>
      <c r="O104" s="773">
        <f>SUMIF('E-1 Off-Site Hedge Baseline'!AB107:AB354,'Off-site gain site summary'!N104,'E-1 Off-Site Hedge Baseline'!Q107:Q354)</f>
        <v>0</v>
      </c>
      <c r="P104" s="773">
        <f>SUMIF('E-1 Off-Site Hedge Baseline'!$AB$10:$AB$257,'Off-site gain site summary'!$N104,'E-1 Off-Site Hedge Baseline'!$U$10:$U$257)</f>
        <v>0</v>
      </c>
      <c r="Q104" s="773">
        <f>SUMIF('E-3 Off-Site Hedge Enhancement'!$AO$12:$AO$257,'Off-site gain site summary'!$N104,'E-3 Off-Site Hedge Enhancement'!$AK$12:$AK$257)</f>
        <v>0</v>
      </c>
      <c r="R104" s="773">
        <f>SUMIF('E-2 Off-Site Hedge Creation'!$AD$12:$AD$259,'Off-site gain site summary'!$N104,'E-2 Off-Site Hedge Creation'!$Z$12:$Z$259)</f>
        <v>0</v>
      </c>
      <c r="S104" s="771">
        <f t="shared" si="8"/>
        <v>0</v>
      </c>
      <c r="T104" s="771" t="str">
        <f>IFERROR(_xlfn.XLOOKUP(N104,'E-2 Off-Site Hedge Creation'!AD109:AD356,'E-2 Off-Site Hedge Creation'!N109:N356), IFERROR(_xlfn.XLOOKUP(N104,'E-1 Off-Site Hedge Baseline'!AB107:AB354,'E-1 Off-Site Hedge Baseline'!P107:P354), " "))</f>
        <v/>
      </c>
      <c r="U104" s="774">
        <f t="shared" si="9"/>
        <v>0</v>
      </c>
      <c r="V104" s="1">
        <f>'F-1 Off-Site WaterC'' Baseline'!AG107</f>
        <v>0</v>
      </c>
      <c r="W104" s="772"/>
      <c r="X104" s="773">
        <f>SUMIF('F-1 Off-Site WaterC'' Baseline'!$AG$10:$AG$257,'Off-site gain site summary'!$W104,'F-1 Off-Site WaterC'' Baseline'!$U$10:$U$257)</f>
        <v>0</v>
      </c>
      <c r="Y104" s="773">
        <f>SUMIF('F-1 Off-Site WaterC'' Baseline'!$AG$10:$AG$257,'Off-site gain site summary'!$W104,'F-1 Off-Site WaterC'' Baseline'!$Y$10:$Y$257)</f>
        <v>0</v>
      </c>
      <c r="Z104" s="773">
        <f>SUMIF('F-3 Off-Site WaterC Enhancement'!$AT$12:$AT$257,'Off-site gain site summary'!$W104,'F-3 Off-Site WaterC Enhancement'!$AP$12:$AP$257)</f>
        <v>0</v>
      </c>
      <c r="AA104" s="773">
        <f>SUMIF('F-2 Off-Site WaterC'' Creation'!$AG$12:$AG$259,'Off-site gain site summary'!$W104,'F-2 Off-Site WaterC'' Creation'!$AC$12:$AC$259)</f>
        <v>0</v>
      </c>
      <c r="AB104" s="773">
        <f t="shared" si="10"/>
        <v>0</v>
      </c>
      <c r="AC104" s="773" t="str">
        <f>IFERROR(_xlfn.XLOOKUP(W104,'F-2 Off-Site WaterC'' Creation'!AG109:AG355,'F-2 Off-Site WaterC'' Creation'!AA109:AA356), IFERROR(_xlfn.XLOOKUP(W104,'F-1 Off-Site WaterC'' Baseline'!AG107:AG354,'F-1 Off-Site WaterC'' Baseline'!T107:T354)," "))</f>
        <v/>
      </c>
      <c r="AD104" s="774">
        <f t="shared" si="11"/>
        <v>0</v>
      </c>
      <c r="AE104" s="1356"/>
      <c r="AF104" s="1356"/>
    </row>
    <row r="105" spans="1:32">
      <c r="A105" s="757">
        <f>'D-1 Off-Site Habitat Baseline'!AF109</f>
        <v>0</v>
      </c>
      <c r="B105" s="764"/>
      <c r="C105" s="762">
        <f>SUMIF('D-1 Off-Site Habitat Baseline'!AF109:AF112,B105,'D-1 Off-Site Habitat Baseline'!T109:T112)</f>
        <v>0</v>
      </c>
      <c r="D105" s="1354">
        <f>SUMIF('D-1 Off-Site Habitat Baseline'!$AF$11:$AF$258,'Off-site gain site summary'!$B$7,'D-1 Off-Site Habitat Baseline'!$X$11:$X$258)</f>
        <v>0</v>
      </c>
      <c r="E105" s="1355"/>
      <c r="F105" s="1354">
        <f>SUMIF('D-3 Off-Site Habitat Enhancment'!$AU$12:$AU$258,'Off-site gain site summary'!B105,'D-3 Off-Site Habitat Enhancment'!$AQ$12:$AQ$258)</f>
        <v>0</v>
      </c>
      <c r="G105" s="1355"/>
      <c r="H105" s="1354">
        <f>SUMIF('D-2 Off-Site Habitat Creation'!$AF$11:$AF$256,'Off-site gain site summary'!B105,'D-2 Off-Site Habitat Creation'!$AB$11:$AB$256)</f>
        <v>0</v>
      </c>
      <c r="I105" s="1355"/>
      <c r="J105" s="765">
        <f t="shared" si="6"/>
        <v>0</v>
      </c>
      <c r="K105" s="762" t="str">
        <f>IFERROR(_xlfn.XLOOKUP(B105,'D-2 Off-Site Habitat Creation'!$AF$11:$AF$256,'D-2 Off-Site Habitat Creation'!$Z$11:$Z$256), IFERROR(_xlfn.XLOOKUP(B105,'D-1 Off-Site Habitat Baseline'!AF109:AF356,'D-1 Off-Site Habitat Baseline'!S109:S356), " "))</f>
        <v/>
      </c>
      <c r="L105" s="766">
        <f t="shared" si="7"/>
        <v>0</v>
      </c>
      <c r="M105" s="757">
        <f>'E-1 Off-Site Hedge Baseline'!AB108</f>
        <v>0</v>
      </c>
      <c r="N105" s="772"/>
      <c r="O105" s="773">
        <f>SUMIF('E-1 Off-Site Hedge Baseline'!AB108:AB355,'Off-site gain site summary'!N105,'E-1 Off-Site Hedge Baseline'!Q108:Q355)</f>
        <v>0</v>
      </c>
      <c r="P105" s="773">
        <f>SUMIF('E-1 Off-Site Hedge Baseline'!$AB$10:$AB$257,'Off-site gain site summary'!$N105,'E-1 Off-Site Hedge Baseline'!$U$10:$U$257)</f>
        <v>0</v>
      </c>
      <c r="Q105" s="773">
        <f>SUMIF('E-3 Off-Site Hedge Enhancement'!$AO$12:$AO$257,'Off-site gain site summary'!$N105,'E-3 Off-Site Hedge Enhancement'!$AK$12:$AK$257)</f>
        <v>0</v>
      </c>
      <c r="R105" s="773">
        <f>SUMIF('E-2 Off-Site Hedge Creation'!$AD$12:$AD$259,'Off-site gain site summary'!$N105,'E-2 Off-Site Hedge Creation'!$Z$12:$Z$259)</f>
        <v>0</v>
      </c>
      <c r="S105" s="771">
        <f t="shared" si="8"/>
        <v>0</v>
      </c>
      <c r="T105" s="771" t="str">
        <f>IFERROR(_xlfn.XLOOKUP(N105,'E-2 Off-Site Hedge Creation'!AD110:AD357,'E-2 Off-Site Hedge Creation'!N110:N357), IFERROR(_xlfn.XLOOKUP(N105,'E-1 Off-Site Hedge Baseline'!AB108:AB355,'E-1 Off-Site Hedge Baseline'!P108:P355), " "))</f>
        <v/>
      </c>
      <c r="U105" s="774">
        <f t="shared" si="9"/>
        <v>0</v>
      </c>
      <c r="V105" s="1">
        <f>'F-1 Off-Site WaterC'' Baseline'!AG108</f>
        <v>0</v>
      </c>
      <c r="W105" s="772"/>
      <c r="X105" s="773">
        <f>SUMIF('F-1 Off-Site WaterC'' Baseline'!$AG$10:$AG$257,'Off-site gain site summary'!$W105,'F-1 Off-Site WaterC'' Baseline'!$U$10:$U$257)</f>
        <v>0</v>
      </c>
      <c r="Y105" s="773">
        <f>SUMIF('F-1 Off-Site WaterC'' Baseline'!$AG$10:$AG$257,'Off-site gain site summary'!$W105,'F-1 Off-Site WaterC'' Baseline'!$Y$10:$Y$257)</f>
        <v>0</v>
      </c>
      <c r="Z105" s="773">
        <f>SUMIF('F-3 Off-Site WaterC Enhancement'!$AT$12:$AT$257,'Off-site gain site summary'!$W105,'F-3 Off-Site WaterC Enhancement'!$AP$12:$AP$257)</f>
        <v>0</v>
      </c>
      <c r="AA105" s="773">
        <f>SUMIF('F-2 Off-Site WaterC'' Creation'!$AG$12:$AG$259,'Off-site gain site summary'!$W105,'F-2 Off-Site WaterC'' Creation'!$AC$12:$AC$259)</f>
        <v>0</v>
      </c>
      <c r="AB105" s="773">
        <f t="shared" si="10"/>
        <v>0</v>
      </c>
      <c r="AC105" s="773" t="str">
        <f>IFERROR(_xlfn.XLOOKUP(W105,'F-2 Off-Site WaterC'' Creation'!AG110:AG356,'F-2 Off-Site WaterC'' Creation'!AA110:AA357), IFERROR(_xlfn.XLOOKUP(W105,'F-1 Off-Site WaterC'' Baseline'!AG108:AG355,'F-1 Off-Site WaterC'' Baseline'!T108:T355)," "))</f>
        <v/>
      </c>
      <c r="AD105" s="774">
        <f t="shared" si="11"/>
        <v>0</v>
      </c>
      <c r="AE105" s="1356"/>
      <c r="AF105" s="1356"/>
    </row>
    <row r="106" spans="1:32">
      <c r="A106" s="757">
        <f>'D-1 Off-Site Habitat Baseline'!AF110</f>
        <v>0</v>
      </c>
      <c r="B106" s="764"/>
      <c r="C106" s="762">
        <f>SUMIF('D-1 Off-Site Habitat Baseline'!AF110:AF113,B106,'D-1 Off-Site Habitat Baseline'!T110:T113)</f>
        <v>0</v>
      </c>
      <c r="D106" s="1354">
        <f>SUMIF('D-1 Off-Site Habitat Baseline'!$AF$11:$AF$258,'Off-site gain site summary'!$B$7,'D-1 Off-Site Habitat Baseline'!$X$11:$X$258)</f>
        <v>0</v>
      </c>
      <c r="E106" s="1355"/>
      <c r="F106" s="1354">
        <f>SUMIF('D-3 Off-Site Habitat Enhancment'!$AU$12:$AU$258,'Off-site gain site summary'!B106,'D-3 Off-Site Habitat Enhancment'!$AQ$12:$AQ$258)</f>
        <v>0</v>
      </c>
      <c r="G106" s="1355"/>
      <c r="H106" s="1354">
        <f>SUMIF('D-2 Off-Site Habitat Creation'!$AF$11:$AF$256,'Off-site gain site summary'!B106,'D-2 Off-Site Habitat Creation'!$AB$11:$AB$256)</f>
        <v>0</v>
      </c>
      <c r="I106" s="1355"/>
      <c r="J106" s="765">
        <f t="shared" si="6"/>
        <v>0</v>
      </c>
      <c r="K106" s="762" t="str">
        <f>IFERROR(_xlfn.XLOOKUP(B106,'D-2 Off-Site Habitat Creation'!$AF$11:$AF$256,'D-2 Off-Site Habitat Creation'!$Z$11:$Z$256), IFERROR(_xlfn.XLOOKUP(B106,'D-1 Off-Site Habitat Baseline'!AF110:AF357,'D-1 Off-Site Habitat Baseline'!S110:S357), " "))</f>
        <v/>
      </c>
      <c r="L106" s="766">
        <f t="shared" si="7"/>
        <v>0</v>
      </c>
      <c r="M106" s="757">
        <f>'E-1 Off-Site Hedge Baseline'!AB109</f>
        <v>0</v>
      </c>
      <c r="N106" s="772"/>
      <c r="O106" s="773">
        <f>SUMIF('E-1 Off-Site Hedge Baseline'!AB109:AB356,'Off-site gain site summary'!N106,'E-1 Off-Site Hedge Baseline'!Q109:Q356)</f>
        <v>0</v>
      </c>
      <c r="P106" s="773">
        <f>SUMIF('E-1 Off-Site Hedge Baseline'!$AB$10:$AB$257,'Off-site gain site summary'!$N106,'E-1 Off-Site Hedge Baseline'!$U$10:$U$257)</f>
        <v>0</v>
      </c>
      <c r="Q106" s="773">
        <f>SUMIF('E-3 Off-Site Hedge Enhancement'!$AO$12:$AO$257,'Off-site gain site summary'!$N106,'E-3 Off-Site Hedge Enhancement'!$AK$12:$AK$257)</f>
        <v>0</v>
      </c>
      <c r="R106" s="773">
        <f>SUMIF('E-2 Off-Site Hedge Creation'!$AD$12:$AD$259,'Off-site gain site summary'!$N106,'E-2 Off-Site Hedge Creation'!$Z$12:$Z$259)</f>
        <v>0</v>
      </c>
      <c r="S106" s="771">
        <f t="shared" si="8"/>
        <v>0</v>
      </c>
      <c r="T106" s="771" t="str">
        <f>IFERROR(_xlfn.XLOOKUP(N106,'E-2 Off-Site Hedge Creation'!AD111:AD358,'E-2 Off-Site Hedge Creation'!N111:N358), IFERROR(_xlfn.XLOOKUP(N106,'E-1 Off-Site Hedge Baseline'!AB109:AB356,'E-1 Off-Site Hedge Baseline'!P109:P356), " "))</f>
        <v/>
      </c>
      <c r="U106" s="774">
        <f t="shared" si="9"/>
        <v>0</v>
      </c>
      <c r="V106" s="1">
        <f>'F-1 Off-Site WaterC'' Baseline'!AG109</f>
        <v>0</v>
      </c>
      <c r="W106" s="772"/>
      <c r="X106" s="773">
        <f>SUMIF('F-1 Off-Site WaterC'' Baseline'!$AG$10:$AG$257,'Off-site gain site summary'!$W106,'F-1 Off-Site WaterC'' Baseline'!$U$10:$U$257)</f>
        <v>0</v>
      </c>
      <c r="Y106" s="773">
        <f>SUMIF('F-1 Off-Site WaterC'' Baseline'!$AG$10:$AG$257,'Off-site gain site summary'!$W106,'F-1 Off-Site WaterC'' Baseline'!$Y$10:$Y$257)</f>
        <v>0</v>
      </c>
      <c r="Z106" s="773">
        <f>SUMIF('F-3 Off-Site WaterC Enhancement'!$AT$12:$AT$257,'Off-site gain site summary'!$W106,'F-3 Off-Site WaterC Enhancement'!$AP$12:$AP$257)</f>
        <v>0</v>
      </c>
      <c r="AA106" s="773">
        <f>SUMIF('F-2 Off-Site WaterC'' Creation'!$AG$12:$AG$259,'Off-site gain site summary'!$W106,'F-2 Off-Site WaterC'' Creation'!$AC$12:$AC$259)</f>
        <v>0</v>
      </c>
      <c r="AB106" s="773">
        <f t="shared" si="10"/>
        <v>0</v>
      </c>
      <c r="AC106" s="773" t="str">
        <f>IFERROR(_xlfn.XLOOKUP(W106,'F-2 Off-Site WaterC'' Creation'!AG111:AG357,'F-2 Off-Site WaterC'' Creation'!AA111:AA358), IFERROR(_xlfn.XLOOKUP(W106,'F-1 Off-Site WaterC'' Baseline'!AG109:AG356,'F-1 Off-Site WaterC'' Baseline'!T109:T356)," "))</f>
        <v/>
      </c>
      <c r="AD106" s="774">
        <f t="shared" si="11"/>
        <v>0</v>
      </c>
      <c r="AE106" s="1356"/>
      <c r="AF106" s="1356"/>
    </row>
    <row r="107" spans="1:32" ht="15.75" thickBot="1">
      <c r="A107" s="757">
        <f>'D-1 Off-Site Habitat Baseline'!AF111</f>
        <v>0</v>
      </c>
      <c r="B107" s="767"/>
      <c r="C107" s="768">
        <f>SUMIF('D-1 Off-Site Habitat Baseline'!AF111:AF114,B107,'D-1 Off-Site Habitat Baseline'!T111:T114)</f>
        <v>0</v>
      </c>
      <c r="D107" s="1401">
        <f>SUMIF('D-1 Off-Site Habitat Baseline'!$AF$11:$AF$258,'Off-site gain site summary'!$B$7,'D-1 Off-Site Habitat Baseline'!$X$11:$X$258)</f>
        <v>0</v>
      </c>
      <c r="E107" s="1402"/>
      <c r="F107" s="1401">
        <f>SUMIF('D-3 Off-Site Habitat Enhancment'!$AU$12:$AU$258,'Off-site gain site summary'!B107,'D-3 Off-Site Habitat Enhancment'!$AQ$12:$AQ$258)</f>
        <v>0</v>
      </c>
      <c r="G107" s="1402"/>
      <c r="H107" s="1401">
        <f>SUMIF('D-2 Off-Site Habitat Creation'!$AF$11:$AF$256,'Off-site gain site summary'!B107,'D-2 Off-Site Habitat Creation'!$AB$11:$AB$256)</f>
        <v>0</v>
      </c>
      <c r="I107" s="1402"/>
      <c r="J107" s="769">
        <f t="shared" si="6"/>
        <v>0</v>
      </c>
      <c r="K107" s="768" t="str">
        <f>IFERROR(_xlfn.XLOOKUP(B107,'D-2 Off-Site Habitat Creation'!$AF$11:$AF$256,'D-2 Off-Site Habitat Creation'!$Z$11:$Z$256), IFERROR(_xlfn.XLOOKUP(B107,'D-1 Off-Site Habitat Baseline'!AF111:AF358,'D-1 Off-Site Habitat Baseline'!S111:S358), " "))</f>
        <v/>
      </c>
      <c r="L107" s="770">
        <f t="shared" si="7"/>
        <v>0</v>
      </c>
      <c r="M107" s="757">
        <f>'E-1 Off-Site Hedge Baseline'!AB110</f>
        <v>0</v>
      </c>
      <c r="N107" s="780"/>
      <c r="O107" s="781">
        <f>SUMIF('E-1 Off-Site Hedge Baseline'!AB110:AB357,'Off-site gain site summary'!N107,'E-1 Off-Site Hedge Baseline'!Q110:Q357)</f>
        <v>0</v>
      </c>
      <c r="P107" s="781">
        <f>SUMIF('E-1 Off-Site Hedge Baseline'!$AB$10:$AB$257,'Off-site gain site summary'!$N107,'E-1 Off-Site Hedge Baseline'!$U$10:$U$257)</f>
        <v>0</v>
      </c>
      <c r="Q107" s="781">
        <f>SUMIF('E-3 Off-Site Hedge Enhancement'!$AO$12:$AO$257,'Off-site gain site summary'!$N107,'E-3 Off-Site Hedge Enhancement'!$AK$12:$AK$257)</f>
        <v>0</v>
      </c>
      <c r="R107" s="781">
        <f>SUMIF('E-2 Off-Site Hedge Creation'!$AD$12:$AD$259,'Off-site gain site summary'!$N107,'E-2 Off-Site Hedge Creation'!$Z$12:$Z$259)</f>
        <v>0</v>
      </c>
      <c r="S107" s="782">
        <f t="shared" si="8"/>
        <v>0</v>
      </c>
      <c r="T107" s="782" t="str">
        <f>IFERROR(_xlfn.XLOOKUP(N107,'E-2 Off-Site Hedge Creation'!AD112:AD359,'E-2 Off-Site Hedge Creation'!N112:N359), IFERROR(_xlfn.XLOOKUP(N107,'E-1 Off-Site Hedge Baseline'!AB110:AB357,'E-1 Off-Site Hedge Baseline'!P110:P357), " "))</f>
        <v/>
      </c>
      <c r="U107" s="783">
        <f t="shared" si="9"/>
        <v>0</v>
      </c>
      <c r="V107" s="1">
        <f>'F-1 Off-Site WaterC'' Baseline'!AG110</f>
        <v>0</v>
      </c>
      <c r="W107" s="780"/>
      <c r="X107" s="781">
        <f>SUMIF('F-1 Off-Site WaterC'' Baseline'!$AG$10:$AG$257,'Off-site gain site summary'!$W107,'F-1 Off-Site WaterC'' Baseline'!$U$10:$U$257)</f>
        <v>0</v>
      </c>
      <c r="Y107" s="781">
        <f>SUMIF('F-1 Off-Site WaterC'' Baseline'!$AG$10:$AG$257,'Off-site gain site summary'!$W107,'F-1 Off-Site WaterC'' Baseline'!$Y$10:$Y$257)</f>
        <v>0</v>
      </c>
      <c r="Z107" s="781">
        <f>SUMIF('F-3 Off-Site WaterC Enhancement'!$AT$12:$AT$257,'Off-site gain site summary'!$W107,'F-3 Off-Site WaterC Enhancement'!$AP$12:$AP$257)</f>
        <v>0</v>
      </c>
      <c r="AA107" s="781">
        <f>SUMIF('F-2 Off-Site WaterC'' Creation'!$AG$12:$AG$259,'Off-site gain site summary'!$W107,'F-2 Off-Site WaterC'' Creation'!$AC$12:$AC$259)</f>
        <v>0</v>
      </c>
      <c r="AB107" s="781">
        <f t="shared" si="10"/>
        <v>0</v>
      </c>
      <c r="AC107" s="781" t="str">
        <f>IFERROR(_xlfn.XLOOKUP(W107,'F-2 Off-Site WaterC'' Creation'!AG112:AG358,'F-2 Off-Site WaterC'' Creation'!AA112:AA359), IFERROR(_xlfn.XLOOKUP(W107,'F-1 Off-Site WaterC'' Baseline'!AG110:AG357,'F-1 Off-Site WaterC'' Baseline'!T110:T357)," "))</f>
        <v/>
      </c>
      <c r="AD107" s="783">
        <f t="shared" si="11"/>
        <v>0</v>
      </c>
      <c r="AE107" s="1356"/>
      <c r="AF107" s="1356"/>
    </row>
    <row r="108" spans="1:32" ht="15.75" thickBot="1">
      <c r="A108" s="757">
        <f>'D-1 Off-Site Habitat Baseline'!AF112</f>
        <v>0</v>
      </c>
      <c r="B108" s="1397"/>
      <c r="C108" s="1398"/>
      <c r="D108" s="1398"/>
      <c r="E108" s="1398"/>
      <c r="F108" s="1398"/>
      <c r="G108" s="1398"/>
      <c r="H108" s="1398"/>
      <c r="I108" s="1398"/>
      <c r="J108" s="1398"/>
      <c r="K108" s="1398"/>
      <c r="L108" s="1403"/>
      <c r="M108" s="757">
        <f>'E-1 Off-Site Hedge Baseline'!AB111</f>
        <v>0</v>
      </c>
      <c r="N108" s="775"/>
      <c r="O108" s="776"/>
      <c r="P108" s="776"/>
      <c r="Q108" s="776"/>
      <c r="R108" s="776"/>
      <c r="S108" s="776"/>
      <c r="T108" s="776"/>
      <c r="U108" s="777"/>
      <c r="V108" s="1">
        <f>'F-1 Off-Site WaterC'' Baseline'!AG111</f>
        <v>0</v>
      </c>
      <c r="W108" s="1397"/>
      <c r="X108" s="1398"/>
      <c r="Y108" s="1398"/>
      <c r="Z108" s="1398"/>
      <c r="AA108" s="1398"/>
      <c r="AB108" s="1398"/>
      <c r="AC108" s="1398"/>
      <c r="AD108" s="1398"/>
    </row>
    <row r="109" spans="1:32">
      <c r="A109" s="757">
        <f>'D-1 Off-Site Habitat Baseline'!AF113</f>
        <v>0</v>
      </c>
      <c r="M109" s="757">
        <f>'E-1 Off-Site Hedge Baseline'!AB112</f>
        <v>0</v>
      </c>
      <c r="V109" s="1">
        <f>'F-1 Off-Site WaterC'' Baseline'!AG112</f>
        <v>0</v>
      </c>
    </row>
    <row r="110" spans="1:32">
      <c r="A110" s="757">
        <f>'D-1 Off-Site Habitat Baseline'!AF114</f>
        <v>0</v>
      </c>
      <c r="M110" s="757">
        <f>'E-1 Off-Site Hedge Baseline'!AB113</f>
        <v>0</v>
      </c>
      <c r="V110" s="1">
        <f>'F-1 Off-Site WaterC'' Baseline'!AG113</f>
        <v>0</v>
      </c>
    </row>
    <row r="111" spans="1:32">
      <c r="A111" s="757">
        <f>'D-1 Off-Site Habitat Baseline'!AF115</f>
        <v>0</v>
      </c>
      <c r="M111" s="757">
        <f>'E-1 Off-Site Hedge Baseline'!AB114</f>
        <v>0</v>
      </c>
      <c r="V111" s="1">
        <f>'F-1 Off-Site WaterC'' Baseline'!AG114</f>
        <v>0</v>
      </c>
    </row>
    <row r="112" spans="1:32">
      <c r="A112" s="757">
        <f>'D-1 Off-Site Habitat Baseline'!AF116</f>
        <v>0</v>
      </c>
      <c r="M112" s="757">
        <f>'E-1 Off-Site Hedge Baseline'!AB115</f>
        <v>0</v>
      </c>
      <c r="V112" s="1">
        <f>'F-1 Off-Site WaterC'' Baseline'!AG115</f>
        <v>0</v>
      </c>
    </row>
    <row r="113" spans="1:22">
      <c r="A113" s="757">
        <f>'D-1 Off-Site Habitat Baseline'!AF117</f>
        <v>0</v>
      </c>
      <c r="M113" s="757">
        <f>'E-1 Off-Site Hedge Baseline'!AB116</f>
        <v>0</v>
      </c>
      <c r="V113" s="1">
        <f>'F-1 Off-Site WaterC'' Baseline'!AG116</f>
        <v>0</v>
      </c>
    </row>
    <row r="114" spans="1:22">
      <c r="A114" s="757">
        <f>'D-1 Off-Site Habitat Baseline'!AF118</f>
        <v>0</v>
      </c>
      <c r="M114" s="757">
        <f>'E-1 Off-Site Hedge Baseline'!AB117</f>
        <v>0</v>
      </c>
      <c r="V114" s="1">
        <f>'F-1 Off-Site WaterC'' Baseline'!AG117</f>
        <v>0</v>
      </c>
    </row>
    <row r="115" spans="1:22">
      <c r="A115" s="757">
        <f>'D-1 Off-Site Habitat Baseline'!AF119</f>
        <v>0</v>
      </c>
      <c r="M115" s="757">
        <f>'E-1 Off-Site Hedge Baseline'!AB118</f>
        <v>0</v>
      </c>
      <c r="V115" s="1">
        <f>'F-1 Off-Site WaterC'' Baseline'!AG118</f>
        <v>0</v>
      </c>
    </row>
    <row r="116" spans="1:22">
      <c r="A116" s="757">
        <f>'D-1 Off-Site Habitat Baseline'!AF120</f>
        <v>0</v>
      </c>
      <c r="M116" s="757">
        <f>'E-1 Off-Site Hedge Baseline'!AB119</f>
        <v>0</v>
      </c>
      <c r="V116" s="1">
        <f>'F-1 Off-Site WaterC'' Baseline'!AG119</f>
        <v>0</v>
      </c>
    </row>
    <row r="117" spans="1:22">
      <c r="A117" s="757">
        <f>'D-1 Off-Site Habitat Baseline'!AF121</f>
        <v>0</v>
      </c>
      <c r="M117" s="757">
        <f>'E-1 Off-Site Hedge Baseline'!AB120</f>
        <v>0</v>
      </c>
      <c r="V117" s="1">
        <f>'F-1 Off-Site WaterC'' Baseline'!AG120</f>
        <v>0</v>
      </c>
    </row>
    <row r="118" spans="1:22">
      <c r="A118" s="757">
        <f>'D-1 Off-Site Habitat Baseline'!AF122</f>
        <v>0</v>
      </c>
      <c r="M118" s="757">
        <f>'E-1 Off-Site Hedge Baseline'!AB121</f>
        <v>0</v>
      </c>
      <c r="V118" s="1">
        <f>'F-1 Off-Site WaterC'' Baseline'!AG121</f>
        <v>0</v>
      </c>
    </row>
    <row r="119" spans="1:22">
      <c r="A119" s="757">
        <f>'D-1 Off-Site Habitat Baseline'!AF123</f>
        <v>0</v>
      </c>
      <c r="M119" s="757">
        <f>'E-1 Off-Site Hedge Baseline'!AB122</f>
        <v>0</v>
      </c>
      <c r="V119" s="1">
        <f>'F-1 Off-Site WaterC'' Baseline'!AG122</f>
        <v>0</v>
      </c>
    </row>
    <row r="120" spans="1:22">
      <c r="A120" s="757">
        <f>'D-1 Off-Site Habitat Baseline'!AF124</f>
        <v>0</v>
      </c>
      <c r="M120" s="757">
        <f>'E-1 Off-Site Hedge Baseline'!AB123</f>
        <v>0</v>
      </c>
      <c r="V120" s="1">
        <f>'F-1 Off-Site WaterC'' Baseline'!AG123</f>
        <v>0</v>
      </c>
    </row>
    <row r="121" spans="1:22">
      <c r="A121" s="757">
        <f>'D-1 Off-Site Habitat Baseline'!AF125</f>
        <v>0</v>
      </c>
      <c r="M121" s="757">
        <f>'E-1 Off-Site Hedge Baseline'!AB124</f>
        <v>0</v>
      </c>
      <c r="V121" s="1">
        <f>'F-1 Off-Site WaterC'' Baseline'!AG124</f>
        <v>0</v>
      </c>
    </row>
    <row r="122" spans="1:22">
      <c r="A122" s="757">
        <f>'D-1 Off-Site Habitat Baseline'!AF126</f>
        <v>0</v>
      </c>
      <c r="M122" s="757">
        <f>'E-1 Off-Site Hedge Baseline'!AB125</f>
        <v>0</v>
      </c>
      <c r="V122" s="1">
        <f>'F-1 Off-Site WaterC'' Baseline'!AG125</f>
        <v>0</v>
      </c>
    </row>
    <row r="123" spans="1:22">
      <c r="A123" s="757">
        <f>'D-1 Off-Site Habitat Baseline'!AF127</f>
        <v>0</v>
      </c>
      <c r="M123" s="757">
        <f>'E-1 Off-Site Hedge Baseline'!AB126</f>
        <v>0</v>
      </c>
      <c r="V123" s="1">
        <f>'F-1 Off-Site WaterC'' Baseline'!AG126</f>
        <v>0</v>
      </c>
    </row>
    <row r="124" spans="1:22">
      <c r="A124" s="757">
        <f>'D-1 Off-Site Habitat Baseline'!AF128</f>
        <v>0</v>
      </c>
      <c r="M124" s="757">
        <f>'E-1 Off-Site Hedge Baseline'!AB127</f>
        <v>0</v>
      </c>
      <c r="V124" s="1">
        <f>'F-1 Off-Site WaterC'' Baseline'!AG127</f>
        <v>0</v>
      </c>
    </row>
    <row r="125" spans="1:22">
      <c r="A125" s="757">
        <f>'D-1 Off-Site Habitat Baseline'!AF129</f>
        <v>0</v>
      </c>
      <c r="M125" s="757">
        <f>'E-1 Off-Site Hedge Baseline'!AB128</f>
        <v>0</v>
      </c>
      <c r="V125" s="1">
        <f>'F-1 Off-Site WaterC'' Baseline'!AG128</f>
        <v>0</v>
      </c>
    </row>
    <row r="126" spans="1:22">
      <c r="A126" s="757">
        <f>'D-1 Off-Site Habitat Baseline'!AF130</f>
        <v>0</v>
      </c>
      <c r="M126" s="757">
        <f>'E-1 Off-Site Hedge Baseline'!AB129</f>
        <v>0</v>
      </c>
      <c r="V126" s="1">
        <f>'F-1 Off-Site WaterC'' Baseline'!AG129</f>
        <v>0</v>
      </c>
    </row>
    <row r="127" spans="1:22">
      <c r="A127" s="757">
        <f>'D-1 Off-Site Habitat Baseline'!AF131</f>
        <v>0</v>
      </c>
      <c r="M127" s="757">
        <f>'E-1 Off-Site Hedge Baseline'!AB130</f>
        <v>0</v>
      </c>
      <c r="V127" s="1">
        <f>'F-1 Off-Site WaterC'' Baseline'!AG130</f>
        <v>0</v>
      </c>
    </row>
    <row r="128" spans="1:22">
      <c r="A128" s="757">
        <f>'D-1 Off-Site Habitat Baseline'!AF132</f>
        <v>0</v>
      </c>
      <c r="M128" s="757">
        <f>'E-1 Off-Site Hedge Baseline'!AB131</f>
        <v>0</v>
      </c>
      <c r="V128" s="1">
        <f>'F-1 Off-Site WaterC'' Baseline'!AG131</f>
        <v>0</v>
      </c>
    </row>
    <row r="129" spans="1:22">
      <c r="A129" s="757">
        <f>'D-1 Off-Site Habitat Baseline'!AF133</f>
        <v>0</v>
      </c>
      <c r="M129" s="757">
        <f>'E-1 Off-Site Hedge Baseline'!AB132</f>
        <v>0</v>
      </c>
      <c r="V129" s="1">
        <f>'F-1 Off-Site WaterC'' Baseline'!AG132</f>
        <v>0</v>
      </c>
    </row>
    <row r="130" spans="1:22">
      <c r="A130" s="757">
        <f>'D-1 Off-Site Habitat Baseline'!AF134</f>
        <v>0</v>
      </c>
      <c r="M130" s="757">
        <f>'E-1 Off-Site Hedge Baseline'!AB133</f>
        <v>0</v>
      </c>
      <c r="V130" s="1">
        <f>'F-1 Off-Site WaterC'' Baseline'!AG133</f>
        <v>0</v>
      </c>
    </row>
    <row r="131" spans="1:22">
      <c r="A131" s="757">
        <f>'D-1 Off-Site Habitat Baseline'!AF135</f>
        <v>0</v>
      </c>
      <c r="M131" s="757">
        <f>'E-1 Off-Site Hedge Baseline'!AB134</f>
        <v>0</v>
      </c>
      <c r="V131" s="1">
        <f>'F-1 Off-Site WaterC'' Baseline'!AG134</f>
        <v>0</v>
      </c>
    </row>
    <row r="132" spans="1:22">
      <c r="A132" s="757">
        <f>'D-1 Off-Site Habitat Baseline'!AF136</f>
        <v>0</v>
      </c>
      <c r="M132" s="757">
        <f>'E-1 Off-Site Hedge Baseline'!AB135</f>
        <v>0</v>
      </c>
      <c r="V132" s="1">
        <f>'F-1 Off-Site WaterC'' Baseline'!AG135</f>
        <v>0</v>
      </c>
    </row>
    <row r="133" spans="1:22">
      <c r="A133" s="757">
        <f>'D-1 Off-Site Habitat Baseline'!AF137</f>
        <v>0</v>
      </c>
      <c r="M133" s="757">
        <f>'E-1 Off-Site Hedge Baseline'!AB136</f>
        <v>0</v>
      </c>
      <c r="V133" s="1">
        <f>'F-1 Off-Site WaterC'' Baseline'!AG136</f>
        <v>0</v>
      </c>
    </row>
    <row r="134" spans="1:22">
      <c r="A134" s="757">
        <f>'D-1 Off-Site Habitat Baseline'!AF138</f>
        <v>0</v>
      </c>
      <c r="M134" s="757">
        <f>'E-1 Off-Site Hedge Baseline'!AB137</f>
        <v>0</v>
      </c>
      <c r="V134" s="1">
        <f>'F-1 Off-Site WaterC'' Baseline'!AG137</f>
        <v>0</v>
      </c>
    </row>
    <row r="135" spans="1:22">
      <c r="A135" s="757">
        <f>'D-1 Off-Site Habitat Baseline'!AF139</f>
        <v>0</v>
      </c>
      <c r="M135" s="757">
        <f>'E-1 Off-Site Hedge Baseline'!AB138</f>
        <v>0</v>
      </c>
      <c r="V135" s="1">
        <f>'F-1 Off-Site WaterC'' Baseline'!AG138</f>
        <v>0</v>
      </c>
    </row>
    <row r="136" spans="1:22">
      <c r="A136" s="757">
        <f>'D-1 Off-Site Habitat Baseline'!AF140</f>
        <v>0</v>
      </c>
      <c r="M136" s="757">
        <f>'E-1 Off-Site Hedge Baseline'!AB139</f>
        <v>0</v>
      </c>
      <c r="V136" s="1">
        <f>'F-1 Off-Site WaterC'' Baseline'!AG139</f>
        <v>0</v>
      </c>
    </row>
    <row r="137" spans="1:22">
      <c r="A137" s="757">
        <f>'D-1 Off-Site Habitat Baseline'!AF141</f>
        <v>0</v>
      </c>
      <c r="M137" s="757">
        <f>'E-1 Off-Site Hedge Baseline'!AB140</f>
        <v>0</v>
      </c>
      <c r="V137" s="1">
        <f>'F-1 Off-Site WaterC'' Baseline'!AG140</f>
        <v>0</v>
      </c>
    </row>
    <row r="138" spans="1:22">
      <c r="A138" s="757">
        <f>'D-1 Off-Site Habitat Baseline'!AF142</f>
        <v>0</v>
      </c>
      <c r="M138" s="757">
        <f>'E-1 Off-Site Hedge Baseline'!AB141</f>
        <v>0</v>
      </c>
      <c r="V138" s="1">
        <f>'F-1 Off-Site WaterC'' Baseline'!AG141</f>
        <v>0</v>
      </c>
    </row>
    <row r="139" spans="1:22">
      <c r="A139" s="757">
        <f>'D-1 Off-Site Habitat Baseline'!AF143</f>
        <v>0</v>
      </c>
      <c r="M139" s="757">
        <f>'E-1 Off-Site Hedge Baseline'!AB142</f>
        <v>0</v>
      </c>
      <c r="V139" s="1">
        <f>'F-1 Off-Site WaterC'' Baseline'!AG142</f>
        <v>0</v>
      </c>
    </row>
    <row r="140" spans="1:22">
      <c r="A140" s="757">
        <f>'D-1 Off-Site Habitat Baseline'!AF144</f>
        <v>0</v>
      </c>
      <c r="M140" s="757">
        <f>'E-1 Off-Site Hedge Baseline'!AB143</f>
        <v>0</v>
      </c>
      <c r="V140" s="1">
        <f>'F-1 Off-Site WaterC'' Baseline'!AG143</f>
        <v>0</v>
      </c>
    </row>
    <row r="141" spans="1:22">
      <c r="A141" s="757">
        <f>'D-1 Off-Site Habitat Baseline'!AF145</f>
        <v>0</v>
      </c>
      <c r="M141" s="757">
        <f>'E-1 Off-Site Hedge Baseline'!AB144</f>
        <v>0</v>
      </c>
      <c r="V141" s="1">
        <f>'F-1 Off-Site WaterC'' Baseline'!AG144</f>
        <v>0</v>
      </c>
    </row>
    <row r="142" spans="1:22">
      <c r="A142" s="757">
        <f>'D-1 Off-Site Habitat Baseline'!AF146</f>
        <v>0</v>
      </c>
      <c r="M142" s="757">
        <f>'E-1 Off-Site Hedge Baseline'!AB145</f>
        <v>0</v>
      </c>
      <c r="V142" s="1">
        <f>'F-1 Off-Site WaterC'' Baseline'!AG145</f>
        <v>0</v>
      </c>
    </row>
    <row r="143" spans="1:22">
      <c r="A143" s="757">
        <f>'D-1 Off-Site Habitat Baseline'!AF147</f>
        <v>0</v>
      </c>
      <c r="M143" s="757">
        <f>'E-1 Off-Site Hedge Baseline'!AB146</f>
        <v>0</v>
      </c>
      <c r="V143" s="1">
        <f>'F-1 Off-Site WaterC'' Baseline'!AG146</f>
        <v>0</v>
      </c>
    </row>
    <row r="144" spans="1:22">
      <c r="A144" s="757">
        <f>'D-1 Off-Site Habitat Baseline'!AF148</f>
        <v>0</v>
      </c>
      <c r="M144" s="757">
        <f>'E-1 Off-Site Hedge Baseline'!AB147</f>
        <v>0</v>
      </c>
      <c r="V144" s="1">
        <f>'F-1 Off-Site WaterC'' Baseline'!AG147</f>
        <v>0</v>
      </c>
    </row>
    <row r="145" spans="1:22">
      <c r="A145" s="757">
        <f>'D-1 Off-Site Habitat Baseline'!AF149</f>
        <v>0</v>
      </c>
      <c r="M145" s="757">
        <f>'E-1 Off-Site Hedge Baseline'!AB148</f>
        <v>0</v>
      </c>
      <c r="V145" s="1">
        <f>'F-1 Off-Site WaterC'' Baseline'!AG148</f>
        <v>0</v>
      </c>
    </row>
    <row r="146" spans="1:22">
      <c r="A146" s="757">
        <f>'D-1 Off-Site Habitat Baseline'!AF150</f>
        <v>0</v>
      </c>
      <c r="M146" s="757">
        <f>'E-1 Off-Site Hedge Baseline'!AB149</f>
        <v>0</v>
      </c>
      <c r="V146" s="1">
        <f>'F-1 Off-Site WaterC'' Baseline'!AG149</f>
        <v>0</v>
      </c>
    </row>
    <row r="147" spans="1:22">
      <c r="A147" s="757">
        <f>'D-1 Off-Site Habitat Baseline'!AF151</f>
        <v>0</v>
      </c>
      <c r="M147" s="757">
        <f>'E-1 Off-Site Hedge Baseline'!AB150</f>
        <v>0</v>
      </c>
      <c r="V147" s="1">
        <f>'F-1 Off-Site WaterC'' Baseline'!AG150</f>
        <v>0</v>
      </c>
    </row>
    <row r="148" spans="1:22">
      <c r="A148" s="757">
        <f>'D-1 Off-Site Habitat Baseline'!AF152</f>
        <v>0</v>
      </c>
      <c r="M148" s="757">
        <f>'E-1 Off-Site Hedge Baseline'!AB151</f>
        <v>0</v>
      </c>
      <c r="V148" s="1">
        <f>'F-1 Off-Site WaterC'' Baseline'!AG151</f>
        <v>0</v>
      </c>
    </row>
    <row r="149" spans="1:22">
      <c r="A149" s="757">
        <f>'D-1 Off-Site Habitat Baseline'!AF153</f>
        <v>0</v>
      </c>
      <c r="M149" s="757">
        <f>'E-1 Off-Site Hedge Baseline'!AB152</f>
        <v>0</v>
      </c>
      <c r="V149" s="1">
        <f>'F-1 Off-Site WaterC'' Baseline'!AG152</f>
        <v>0</v>
      </c>
    </row>
    <row r="150" spans="1:22">
      <c r="A150" s="757">
        <f>'D-1 Off-Site Habitat Baseline'!AF154</f>
        <v>0</v>
      </c>
      <c r="M150" s="757">
        <f>'E-1 Off-Site Hedge Baseline'!AB153</f>
        <v>0</v>
      </c>
      <c r="V150" s="1">
        <f>'F-1 Off-Site WaterC'' Baseline'!AG153</f>
        <v>0</v>
      </c>
    </row>
    <row r="151" spans="1:22">
      <c r="A151" s="757">
        <f>'D-1 Off-Site Habitat Baseline'!AF155</f>
        <v>0</v>
      </c>
      <c r="M151" s="757">
        <f>'E-1 Off-Site Hedge Baseline'!AB154</f>
        <v>0</v>
      </c>
      <c r="V151" s="1">
        <f>'F-1 Off-Site WaterC'' Baseline'!AG154</f>
        <v>0</v>
      </c>
    </row>
    <row r="152" spans="1:22">
      <c r="A152" s="757">
        <f>'D-1 Off-Site Habitat Baseline'!AF156</f>
        <v>0</v>
      </c>
      <c r="M152" s="757">
        <f>'E-1 Off-Site Hedge Baseline'!AB155</f>
        <v>0</v>
      </c>
      <c r="V152" s="1">
        <f>'F-1 Off-Site WaterC'' Baseline'!AG155</f>
        <v>0</v>
      </c>
    </row>
    <row r="153" spans="1:22">
      <c r="A153" s="757">
        <f>'D-1 Off-Site Habitat Baseline'!AF157</f>
        <v>0</v>
      </c>
      <c r="M153" s="757">
        <f>'E-1 Off-Site Hedge Baseline'!AB156</f>
        <v>0</v>
      </c>
      <c r="V153" s="1">
        <f>'F-1 Off-Site WaterC'' Baseline'!AG156</f>
        <v>0</v>
      </c>
    </row>
    <row r="154" spans="1:22">
      <c r="A154" s="757">
        <f>'D-1 Off-Site Habitat Baseline'!AF158</f>
        <v>0</v>
      </c>
      <c r="M154" s="757">
        <f>'E-1 Off-Site Hedge Baseline'!AB157</f>
        <v>0</v>
      </c>
      <c r="V154" s="1">
        <f>'F-1 Off-Site WaterC'' Baseline'!AG157</f>
        <v>0</v>
      </c>
    </row>
    <row r="155" spans="1:22">
      <c r="A155" s="757">
        <f>'D-1 Off-Site Habitat Baseline'!AF159</f>
        <v>0</v>
      </c>
      <c r="M155" s="757">
        <f>'E-1 Off-Site Hedge Baseline'!AB158</f>
        <v>0</v>
      </c>
      <c r="V155" s="1">
        <f>'F-1 Off-Site WaterC'' Baseline'!AG158</f>
        <v>0</v>
      </c>
    </row>
    <row r="156" spans="1:22">
      <c r="A156" s="757">
        <f>'D-1 Off-Site Habitat Baseline'!AF160</f>
        <v>0</v>
      </c>
      <c r="M156" s="757">
        <f>'E-1 Off-Site Hedge Baseline'!AB159</f>
        <v>0</v>
      </c>
      <c r="V156" s="1">
        <f>'F-1 Off-Site WaterC'' Baseline'!AG159</f>
        <v>0</v>
      </c>
    </row>
    <row r="157" spans="1:22">
      <c r="A157" s="757">
        <f>'D-1 Off-Site Habitat Baseline'!AF161</f>
        <v>0</v>
      </c>
      <c r="M157" s="757">
        <f>'E-1 Off-Site Hedge Baseline'!AB160</f>
        <v>0</v>
      </c>
      <c r="V157" s="1">
        <f>'F-1 Off-Site WaterC'' Baseline'!AG160</f>
        <v>0</v>
      </c>
    </row>
    <row r="158" spans="1:22">
      <c r="A158" s="757">
        <f>'D-1 Off-Site Habitat Baseline'!AF162</f>
        <v>0</v>
      </c>
      <c r="M158" s="757">
        <f>'E-1 Off-Site Hedge Baseline'!AB161</f>
        <v>0</v>
      </c>
      <c r="V158" s="1">
        <f>'F-1 Off-Site WaterC'' Baseline'!AG161</f>
        <v>0</v>
      </c>
    </row>
    <row r="159" spans="1:22">
      <c r="A159" s="757">
        <f>'D-1 Off-Site Habitat Baseline'!AF163</f>
        <v>0</v>
      </c>
      <c r="M159" s="757">
        <f>'E-1 Off-Site Hedge Baseline'!AB162</f>
        <v>0</v>
      </c>
      <c r="V159" s="1">
        <f>'F-1 Off-Site WaterC'' Baseline'!AG162</f>
        <v>0</v>
      </c>
    </row>
    <row r="160" spans="1:22">
      <c r="A160" s="757">
        <f>'D-1 Off-Site Habitat Baseline'!AF164</f>
        <v>0</v>
      </c>
      <c r="M160" s="757">
        <f>'E-1 Off-Site Hedge Baseline'!AB163</f>
        <v>0</v>
      </c>
      <c r="V160" s="1">
        <f>'F-1 Off-Site WaterC'' Baseline'!AG163</f>
        <v>0</v>
      </c>
    </row>
    <row r="161" spans="1:22">
      <c r="A161" s="757">
        <f>'D-1 Off-Site Habitat Baseline'!AF165</f>
        <v>0</v>
      </c>
      <c r="M161" s="757">
        <f>'E-1 Off-Site Hedge Baseline'!AB164</f>
        <v>0</v>
      </c>
      <c r="V161" s="1">
        <f>'F-1 Off-Site WaterC'' Baseline'!AG164</f>
        <v>0</v>
      </c>
    </row>
    <row r="162" spans="1:22">
      <c r="A162" s="757">
        <f>'D-1 Off-Site Habitat Baseline'!AF166</f>
        <v>0</v>
      </c>
      <c r="M162" s="757">
        <f>'E-1 Off-Site Hedge Baseline'!AB165</f>
        <v>0</v>
      </c>
      <c r="V162" s="1">
        <f>'F-1 Off-Site WaterC'' Baseline'!AG165</f>
        <v>0</v>
      </c>
    </row>
    <row r="163" spans="1:22">
      <c r="A163" s="757">
        <f>'D-1 Off-Site Habitat Baseline'!AF167</f>
        <v>0</v>
      </c>
      <c r="M163" s="757">
        <f>'E-1 Off-Site Hedge Baseline'!AB166</f>
        <v>0</v>
      </c>
      <c r="V163" s="1">
        <f>'F-1 Off-Site WaterC'' Baseline'!AG166</f>
        <v>0</v>
      </c>
    </row>
    <row r="164" spans="1:22">
      <c r="A164" s="757">
        <f>'D-1 Off-Site Habitat Baseline'!AF168</f>
        <v>0</v>
      </c>
      <c r="M164" s="757">
        <f>'E-1 Off-Site Hedge Baseline'!AB167</f>
        <v>0</v>
      </c>
      <c r="V164" s="1">
        <f>'F-1 Off-Site WaterC'' Baseline'!AG167</f>
        <v>0</v>
      </c>
    </row>
    <row r="165" spans="1:22">
      <c r="A165" s="757">
        <f>'D-1 Off-Site Habitat Baseline'!AF169</f>
        <v>0</v>
      </c>
      <c r="M165" s="757">
        <f>'E-1 Off-Site Hedge Baseline'!AB168</f>
        <v>0</v>
      </c>
      <c r="V165" s="1">
        <f>'F-1 Off-Site WaterC'' Baseline'!AG168</f>
        <v>0</v>
      </c>
    </row>
    <row r="166" spans="1:22">
      <c r="A166" s="757">
        <f>'D-1 Off-Site Habitat Baseline'!AF170</f>
        <v>0</v>
      </c>
      <c r="M166" s="757">
        <f>'E-1 Off-Site Hedge Baseline'!AB169</f>
        <v>0</v>
      </c>
      <c r="V166" s="1">
        <f>'F-1 Off-Site WaterC'' Baseline'!AG169</f>
        <v>0</v>
      </c>
    </row>
    <row r="167" spans="1:22">
      <c r="A167" s="757">
        <f>'D-1 Off-Site Habitat Baseline'!AF171</f>
        <v>0</v>
      </c>
      <c r="M167" s="757">
        <f>'E-1 Off-Site Hedge Baseline'!AB170</f>
        <v>0</v>
      </c>
      <c r="V167" s="1">
        <f>'F-1 Off-Site WaterC'' Baseline'!AG170</f>
        <v>0</v>
      </c>
    </row>
    <row r="168" spans="1:22">
      <c r="A168" s="757">
        <f>'D-1 Off-Site Habitat Baseline'!AF172</f>
        <v>0</v>
      </c>
      <c r="M168" s="757">
        <f>'E-1 Off-Site Hedge Baseline'!AB171</f>
        <v>0</v>
      </c>
      <c r="V168" s="1">
        <f>'F-1 Off-Site WaterC'' Baseline'!AG171</f>
        <v>0</v>
      </c>
    </row>
    <row r="169" spans="1:22">
      <c r="A169" s="757">
        <f>'D-1 Off-Site Habitat Baseline'!AF173</f>
        <v>0</v>
      </c>
      <c r="M169" s="757">
        <f>'E-1 Off-Site Hedge Baseline'!AB172</f>
        <v>0</v>
      </c>
      <c r="V169" s="1">
        <f>'F-1 Off-Site WaterC'' Baseline'!AG172</f>
        <v>0</v>
      </c>
    </row>
    <row r="170" spans="1:22">
      <c r="A170" s="757">
        <f>'D-1 Off-Site Habitat Baseline'!AF174</f>
        <v>0</v>
      </c>
      <c r="M170" s="757">
        <f>'E-1 Off-Site Hedge Baseline'!AB173</f>
        <v>0</v>
      </c>
      <c r="V170" s="1">
        <f>'F-1 Off-Site WaterC'' Baseline'!AG173</f>
        <v>0</v>
      </c>
    </row>
    <row r="171" spans="1:22">
      <c r="A171" s="757">
        <f>'D-1 Off-Site Habitat Baseline'!AF175</f>
        <v>0</v>
      </c>
      <c r="M171" s="757">
        <f>'E-1 Off-Site Hedge Baseline'!AB174</f>
        <v>0</v>
      </c>
      <c r="V171" s="1">
        <f>'F-1 Off-Site WaterC'' Baseline'!AG174</f>
        <v>0</v>
      </c>
    </row>
    <row r="172" spans="1:22">
      <c r="A172" s="757">
        <f>'D-1 Off-Site Habitat Baseline'!AF176</f>
        <v>0</v>
      </c>
      <c r="M172" s="757">
        <f>'E-1 Off-Site Hedge Baseline'!AB175</f>
        <v>0</v>
      </c>
      <c r="V172" s="1">
        <f>'F-1 Off-Site WaterC'' Baseline'!AG175</f>
        <v>0</v>
      </c>
    </row>
    <row r="173" spans="1:22">
      <c r="A173" s="757">
        <f>'D-1 Off-Site Habitat Baseline'!AF177</f>
        <v>0</v>
      </c>
      <c r="M173" s="757">
        <f>'E-1 Off-Site Hedge Baseline'!AB176</f>
        <v>0</v>
      </c>
      <c r="V173" s="1">
        <f>'F-1 Off-Site WaterC'' Baseline'!AG176</f>
        <v>0</v>
      </c>
    </row>
    <row r="174" spans="1:22">
      <c r="A174" s="757">
        <f>'D-1 Off-Site Habitat Baseline'!AF178</f>
        <v>0</v>
      </c>
      <c r="M174" s="757">
        <f>'E-1 Off-Site Hedge Baseline'!AB177</f>
        <v>0</v>
      </c>
      <c r="V174" s="1">
        <f>'F-1 Off-Site WaterC'' Baseline'!AG177</f>
        <v>0</v>
      </c>
    </row>
    <row r="175" spans="1:22">
      <c r="A175" s="757">
        <f>'D-1 Off-Site Habitat Baseline'!AF179</f>
        <v>0</v>
      </c>
      <c r="M175" s="757">
        <f>'E-1 Off-Site Hedge Baseline'!AB178</f>
        <v>0</v>
      </c>
      <c r="V175" s="1">
        <f>'F-1 Off-Site WaterC'' Baseline'!AG178</f>
        <v>0</v>
      </c>
    </row>
    <row r="176" spans="1:22">
      <c r="A176" s="757">
        <f>'D-1 Off-Site Habitat Baseline'!AF180</f>
        <v>0</v>
      </c>
      <c r="M176" s="757">
        <f>'E-1 Off-Site Hedge Baseline'!AB179</f>
        <v>0</v>
      </c>
      <c r="V176" s="1">
        <f>'F-1 Off-Site WaterC'' Baseline'!AG179</f>
        <v>0</v>
      </c>
    </row>
    <row r="177" spans="1:22">
      <c r="A177" s="757">
        <f>'D-1 Off-Site Habitat Baseline'!AF181</f>
        <v>0</v>
      </c>
      <c r="M177" s="757">
        <f>'E-1 Off-Site Hedge Baseline'!AB180</f>
        <v>0</v>
      </c>
      <c r="V177" s="1">
        <f>'F-1 Off-Site WaterC'' Baseline'!AG180</f>
        <v>0</v>
      </c>
    </row>
    <row r="178" spans="1:22">
      <c r="A178" s="757">
        <f>'D-1 Off-Site Habitat Baseline'!AF182</f>
        <v>0</v>
      </c>
      <c r="M178" s="757">
        <f>'E-1 Off-Site Hedge Baseline'!AB181</f>
        <v>0</v>
      </c>
      <c r="V178" s="1">
        <f>'F-1 Off-Site WaterC'' Baseline'!AG181</f>
        <v>0</v>
      </c>
    </row>
    <row r="179" spans="1:22">
      <c r="A179" s="757">
        <f>'D-1 Off-Site Habitat Baseline'!AF183</f>
        <v>0</v>
      </c>
      <c r="M179" s="757">
        <f>'E-1 Off-Site Hedge Baseline'!AB182</f>
        <v>0</v>
      </c>
      <c r="V179" s="1">
        <f>'F-1 Off-Site WaterC'' Baseline'!AG182</f>
        <v>0</v>
      </c>
    </row>
    <row r="180" spans="1:22">
      <c r="A180" s="757">
        <f>'D-1 Off-Site Habitat Baseline'!AF184</f>
        <v>0</v>
      </c>
      <c r="M180" s="757">
        <f>'E-1 Off-Site Hedge Baseline'!AB183</f>
        <v>0</v>
      </c>
      <c r="V180" s="1">
        <f>'F-1 Off-Site WaterC'' Baseline'!AG183</f>
        <v>0</v>
      </c>
    </row>
    <row r="181" spans="1:22">
      <c r="A181" s="757">
        <f>'D-1 Off-Site Habitat Baseline'!AF185</f>
        <v>0</v>
      </c>
      <c r="M181" s="757">
        <f>'E-1 Off-Site Hedge Baseline'!AB184</f>
        <v>0</v>
      </c>
      <c r="V181" s="1">
        <f>'F-1 Off-Site WaterC'' Baseline'!AG184</f>
        <v>0</v>
      </c>
    </row>
    <row r="182" spans="1:22">
      <c r="A182" s="757">
        <f>'D-1 Off-Site Habitat Baseline'!AF186</f>
        <v>0</v>
      </c>
      <c r="M182" s="757">
        <f>'E-1 Off-Site Hedge Baseline'!AB185</f>
        <v>0</v>
      </c>
      <c r="V182" s="1">
        <f>'F-1 Off-Site WaterC'' Baseline'!AG185</f>
        <v>0</v>
      </c>
    </row>
    <row r="183" spans="1:22">
      <c r="A183" s="757">
        <f>'D-1 Off-Site Habitat Baseline'!AF187</f>
        <v>0</v>
      </c>
      <c r="M183" s="757">
        <f>'E-1 Off-Site Hedge Baseline'!AB186</f>
        <v>0</v>
      </c>
      <c r="V183" s="1">
        <f>'F-1 Off-Site WaterC'' Baseline'!AG186</f>
        <v>0</v>
      </c>
    </row>
    <row r="184" spans="1:22">
      <c r="A184" s="757">
        <f>'D-1 Off-Site Habitat Baseline'!AF188</f>
        <v>0</v>
      </c>
      <c r="M184" s="757">
        <f>'E-1 Off-Site Hedge Baseline'!AB187</f>
        <v>0</v>
      </c>
      <c r="V184" s="1">
        <f>'F-1 Off-Site WaterC'' Baseline'!AG187</f>
        <v>0</v>
      </c>
    </row>
    <row r="185" spans="1:22">
      <c r="A185" s="757">
        <f>'D-1 Off-Site Habitat Baseline'!AF189</f>
        <v>0</v>
      </c>
      <c r="M185" s="757">
        <f>'E-1 Off-Site Hedge Baseline'!AB188</f>
        <v>0</v>
      </c>
      <c r="V185" s="1">
        <f>'F-1 Off-Site WaterC'' Baseline'!AG188</f>
        <v>0</v>
      </c>
    </row>
    <row r="186" spans="1:22">
      <c r="A186" s="757">
        <f>'D-1 Off-Site Habitat Baseline'!AF190</f>
        <v>0</v>
      </c>
      <c r="M186" s="757">
        <f>'E-1 Off-Site Hedge Baseline'!AB189</f>
        <v>0</v>
      </c>
      <c r="V186" s="1">
        <f>'F-1 Off-Site WaterC'' Baseline'!AG189</f>
        <v>0</v>
      </c>
    </row>
    <row r="187" spans="1:22">
      <c r="A187" s="757">
        <f>'D-1 Off-Site Habitat Baseline'!AF191</f>
        <v>0</v>
      </c>
      <c r="M187" s="757">
        <f>'E-1 Off-Site Hedge Baseline'!AB190</f>
        <v>0</v>
      </c>
      <c r="V187" s="1">
        <f>'F-1 Off-Site WaterC'' Baseline'!AG190</f>
        <v>0</v>
      </c>
    </row>
    <row r="188" spans="1:22">
      <c r="A188" s="757">
        <f>'D-1 Off-Site Habitat Baseline'!AF192</f>
        <v>0</v>
      </c>
      <c r="M188" s="757">
        <f>'E-1 Off-Site Hedge Baseline'!AB191</f>
        <v>0</v>
      </c>
      <c r="V188" s="1">
        <f>'F-1 Off-Site WaterC'' Baseline'!AG191</f>
        <v>0</v>
      </c>
    </row>
    <row r="189" spans="1:22">
      <c r="A189" s="757">
        <f>'D-1 Off-Site Habitat Baseline'!AF193</f>
        <v>0</v>
      </c>
      <c r="M189" s="757">
        <f>'E-1 Off-Site Hedge Baseline'!AB192</f>
        <v>0</v>
      </c>
      <c r="V189" s="1">
        <f>'F-1 Off-Site WaterC'' Baseline'!AG192</f>
        <v>0</v>
      </c>
    </row>
    <row r="190" spans="1:22">
      <c r="A190" s="757">
        <f>'D-1 Off-Site Habitat Baseline'!AF194</f>
        <v>0</v>
      </c>
      <c r="M190" s="757">
        <f>'E-1 Off-Site Hedge Baseline'!AB193</f>
        <v>0</v>
      </c>
      <c r="V190" s="1">
        <f>'F-1 Off-Site WaterC'' Baseline'!AG193</f>
        <v>0</v>
      </c>
    </row>
    <row r="191" spans="1:22">
      <c r="A191" s="757">
        <f>'D-1 Off-Site Habitat Baseline'!AF195</f>
        <v>0</v>
      </c>
      <c r="M191" s="757">
        <f>'E-1 Off-Site Hedge Baseline'!AB194</f>
        <v>0</v>
      </c>
      <c r="V191" s="1">
        <f>'F-1 Off-Site WaterC'' Baseline'!AG194</f>
        <v>0</v>
      </c>
    </row>
    <row r="192" spans="1:22">
      <c r="A192" s="757">
        <f>'D-1 Off-Site Habitat Baseline'!AF196</f>
        <v>0</v>
      </c>
      <c r="M192" s="757">
        <f>'E-1 Off-Site Hedge Baseline'!AB195</f>
        <v>0</v>
      </c>
      <c r="V192" s="1">
        <f>'F-1 Off-Site WaterC'' Baseline'!AG195</f>
        <v>0</v>
      </c>
    </row>
    <row r="193" spans="1:22">
      <c r="A193" s="757">
        <f>'D-1 Off-Site Habitat Baseline'!AF197</f>
        <v>0</v>
      </c>
      <c r="M193" s="757">
        <f>'E-1 Off-Site Hedge Baseline'!AB196</f>
        <v>0</v>
      </c>
      <c r="V193" s="1">
        <f>'F-1 Off-Site WaterC'' Baseline'!AG196</f>
        <v>0</v>
      </c>
    </row>
    <row r="194" spans="1:22">
      <c r="A194" s="757">
        <f>'D-1 Off-Site Habitat Baseline'!AF198</f>
        <v>0</v>
      </c>
      <c r="M194" s="757">
        <f>'E-1 Off-Site Hedge Baseline'!AB197</f>
        <v>0</v>
      </c>
      <c r="V194" s="1">
        <f>'F-1 Off-Site WaterC'' Baseline'!AG197</f>
        <v>0</v>
      </c>
    </row>
    <row r="195" spans="1:22">
      <c r="A195" s="757">
        <f>'D-1 Off-Site Habitat Baseline'!AF199</f>
        <v>0</v>
      </c>
      <c r="M195" s="757">
        <f>'E-1 Off-Site Hedge Baseline'!AB198</f>
        <v>0</v>
      </c>
      <c r="V195" s="1">
        <f>'F-1 Off-Site WaterC'' Baseline'!AG198</f>
        <v>0</v>
      </c>
    </row>
    <row r="196" spans="1:22">
      <c r="A196" s="757">
        <f>'D-1 Off-Site Habitat Baseline'!AF200</f>
        <v>0</v>
      </c>
      <c r="M196" s="757">
        <f>'E-1 Off-Site Hedge Baseline'!AB199</f>
        <v>0</v>
      </c>
      <c r="V196" s="1">
        <f>'F-1 Off-Site WaterC'' Baseline'!AG199</f>
        <v>0</v>
      </c>
    </row>
    <row r="197" spans="1:22">
      <c r="A197" s="757">
        <f>'D-1 Off-Site Habitat Baseline'!AF201</f>
        <v>0</v>
      </c>
      <c r="M197" s="757">
        <f>'E-1 Off-Site Hedge Baseline'!AB200</f>
        <v>0</v>
      </c>
      <c r="V197" s="1">
        <f>'F-1 Off-Site WaterC'' Baseline'!AG200</f>
        <v>0</v>
      </c>
    </row>
    <row r="198" spans="1:22">
      <c r="A198" s="757">
        <f>'D-1 Off-Site Habitat Baseline'!AF202</f>
        <v>0</v>
      </c>
      <c r="M198" s="757">
        <f>'E-1 Off-Site Hedge Baseline'!AB201</f>
        <v>0</v>
      </c>
      <c r="V198" s="1">
        <f>'F-1 Off-Site WaterC'' Baseline'!AG201</f>
        <v>0</v>
      </c>
    </row>
    <row r="199" spans="1:22">
      <c r="A199" s="757">
        <f>'D-1 Off-Site Habitat Baseline'!AF203</f>
        <v>0</v>
      </c>
      <c r="M199" s="757">
        <f>'E-1 Off-Site Hedge Baseline'!AB202</f>
        <v>0</v>
      </c>
      <c r="V199" s="1">
        <f>'F-1 Off-Site WaterC'' Baseline'!AG202</f>
        <v>0</v>
      </c>
    </row>
    <row r="200" spans="1:22">
      <c r="A200" s="757">
        <f>'D-1 Off-Site Habitat Baseline'!AF204</f>
        <v>0</v>
      </c>
      <c r="M200" s="757">
        <f>'E-1 Off-Site Hedge Baseline'!AB203</f>
        <v>0</v>
      </c>
      <c r="V200" s="1">
        <f>'F-1 Off-Site WaterC'' Baseline'!AG203</f>
        <v>0</v>
      </c>
    </row>
    <row r="201" spans="1:22">
      <c r="A201" s="757">
        <f>'D-1 Off-Site Habitat Baseline'!AF205</f>
        <v>0</v>
      </c>
      <c r="M201" s="757">
        <f>'E-1 Off-Site Hedge Baseline'!AB204</f>
        <v>0</v>
      </c>
      <c r="V201" s="1">
        <f>'F-1 Off-Site WaterC'' Baseline'!AG204</f>
        <v>0</v>
      </c>
    </row>
    <row r="202" spans="1:22">
      <c r="A202" s="757">
        <f>'D-1 Off-Site Habitat Baseline'!AF206</f>
        <v>0</v>
      </c>
      <c r="M202" s="757">
        <f>'E-1 Off-Site Hedge Baseline'!AB205</f>
        <v>0</v>
      </c>
      <c r="V202" s="1">
        <f>'F-1 Off-Site WaterC'' Baseline'!AG205</f>
        <v>0</v>
      </c>
    </row>
    <row r="203" spans="1:22">
      <c r="A203" s="757">
        <f>'D-1 Off-Site Habitat Baseline'!AF207</f>
        <v>0</v>
      </c>
      <c r="M203" s="757">
        <f>'E-1 Off-Site Hedge Baseline'!AB206</f>
        <v>0</v>
      </c>
      <c r="V203" s="1">
        <f>'F-1 Off-Site WaterC'' Baseline'!AG206</f>
        <v>0</v>
      </c>
    </row>
    <row r="204" spans="1:22">
      <c r="A204" s="757">
        <f>'D-1 Off-Site Habitat Baseline'!AF208</f>
        <v>0</v>
      </c>
      <c r="M204" s="757">
        <f>'E-1 Off-Site Hedge Baseline'!AB207</f>
        <v>0</v>
      </c>
      <c r="V204" s="1">
        <f>'F-1 Off-Site WaterC'' Baseline'!AG207</f>
        <v>0</v>
      </c>
    </row>
    <row r="205" spans="1:22">
      <c r="A205" s="757">
        <f>'D-1 Off-Site Habitat Baseline'!AF209</f>
        <v>0</v>
      </c>
      <c r="M205" s="757">
        <f>'E-1 Off-Site Hedge Baseline'!AB208</f>
        <v>0</v>
      </c>
      <c r="V205" s="1">
        <f>'F-1 Off-Site WaterC'' Baseline'!AG208</f>
        <v>0</v>
      </c>
    </row>
    <row r="206" spans="1:22">
      <c r="A206" s="757">
        <f>'D-1 Off-Site Habitat Baseline'!AF210</f>
        <v>0</v>
      </c>
      <c r="M206" s="757">
        <f>'E-1 Off-Site Hedge Baseline'!AB209</f>
        <v>0</v>
      </c>
      <c r="V206" s="1">
        <f>'F-1 Off-Site WaterC'' Baseline'!AG209</f>
        <v>0</v>
      </c>
    </row>
    <row r="207" spans="1:22">
      <c r="A207" s="757">
        <f>'D-1 Off-Site Habitat Baseline'!AF211</f>
        <v>0</v>
      </c>
      <c r="M207" s="757">
        <f>'E-1 Off-Site Hedge Baseline'!AB210</f>
        <v>0</v>
      </c>
      <c r="V207" s="1">
        <f>'F-1 Off-Site WaterC'' Baseline'!AG210</f>
        <v>0</v>
      </c>
    </row>
    <row r="208" spans="1:22">
      <c r="A208" s="757">
        <f>'D-1 Off-Site Habitat Baseline'!AF212</f>
        <v>0</v>
      </c>
      <c r="M208" s="757">
        <f>'E-1 Off-Site Hedge Baseline'!AB211</f>
        <v>0</v>
      </c>
      <c r="V208" s="1">
        <f>'F-1 Off-Site WaterC'' Baseline'!AG211</f>
        <v>0</v>
      </c>
    </row>
    <row r="209" spans="1:22">
      <c r="A209" s="757">
        <f>'D-1 Off-Site Habitat Baseline'!AF213</f>
        <v>0</v>
      </c>
      <c r="M209" s="757">
        <f>'E-1 Off-Site Hedge Baseline'!AB212</f>
        <v>0</v>
      </c>
      <c r="V209" s="1">
        <f>'F-1 Off-Site WaterC'' Baseline'!AG212</f>
        <v>0</v>
      </c>
    </row>
    <row r="210" spans="1:22">
      <c r="A210" s="757">
        <f>'D-1 Off-Site Habitat Baseline'!AF214</f>
        <v>0</v>
      </c>
      <c r="M210" s="757">
        <f>'E-1 Off-Site Hedge Baseline'!AB213</f>
        <v>0</v>
      </c>
      <c r="V210" s="1">
        <f>'F-1 Off-Site WaterC'' Baseline'!AG213</f>
        <v>0</v>
      </c>
    </row>
    <row r="211" spans="1:22">
      <c r="A211" s="757">
        <f>'D-1 Off-Site Habitat Baseline'!AF215</f>
        <v>0</v>
      </c>
      <c r="M211" s="757">
        <f>'E-1 Off-Site Hedge Baseline'!AB214</f>
        <v>0</v>
      </c>
      <c r="V211" s="1">
        <f>'F-1 Off-Site WaterC'' Baseline'!AG214</f>
        <v>0</v>
      </c>
    </row>
    <row r="212" spans="1:22">
      <c r="A212" s="757">
        <f>'D-1 Off-Site Habitat Baseline'!AF216</f>
        <v>0</v>
      </c>
      <c r="M212" s="757">
        <f>'E-1 Off-Site Hedge Baseline'!AB215</f>
        <v>0</v>
      </c>
      <c r="V212" s="1">
        <f>'F-1 Off-Site WaterC'' Baseline'!AG215</f>
        <v>0</v>
      </c>
    </row>
    <row r="213" spans="1:22">
      <c r="A213" s="757">
        <f>'D-1 Off-Site Habitat Baseline'!AF217</f>
        <v>0</v>
      </c>
      <c r="M213" s="757">
        <f>'E-1 Off-Site Hedge Baseline'!AB216</f>
        <v>0</v>
      </c>
      <c r="V213" s="1">
        <f>'F-1 Off-Site WaterC'' Baseline'!AG216</f>
        <v>0</v>
      </c>
    </row>
    <row r="214" spans="1:22">
      <c r="A214" s="757">
        <f>'D-1 Off-Site Habitat Baseline'!AF218</f>
        <v>0</v>
      </c>
      <c r="M214" s="757">
        <f>'E-1 Off-Site Hedge Baseline'!AB217</f>
        <v>0</v>
      </c>
      <c r="V214" s="1">
        <f>'F-1 Off-Site WaterC'' Baseline'!AG217</f>
        <v>0</v>
      </c>
    </row>
    <row r="215" spans="1:22">
      <c r="A215" s="757">
        <f>'D-1 Off-Site Habitat Baseline'!AF219</f>
        <v>0</v>
      </c>
      <c r="M215" s="757">
        <f>'E-1 Off-Site Hedge Baseline'!AB218</f>
        <v>0</v>
      </c>
      <c r="V215" s="1">
        <f>'F-1 Off-Site WaterC'' Baseline'!AG218</f>
        <v>0</v>
      </c>
    </row>
    <row r="216" spans="1:22">
      <c r="A216" s="757">
        <f>'D-1 Off-Site Habitat Baseline'!AF220</f>
        <v>0</v>
      </c>
      <c r="M216" s="757">
        <f>'E-1 Off-Site Hedge Baseline'!AB219</f>
        <v>0</v>
      </c>
      <c r="V216" s="1">
        <f>'F-1 Off-Site WaterC'' Baseline'!AG219</f>
        <v>0</v>
      </c>
    </row>
    <row r="217" spans="1:22">
      <c r="A217" s="757">
        <f>'D-1 Off-Site Habitat Baseline'!AF221</f>
        <v>0</v>
      </c>
      <c r="M217" s="757">
        <f>'E-1 Off-Site Hedge Baseline'!AB220</f>
        <v>0</v>
      </c>
      <c r="V217" s="1">
        <f>'F-1 Off-Site WaterC'' Baseline'!AG220</f>
        <v>0</v>
      </c>
    </row>
    <row r="218" spans="1:22">
      <c r="A218" s="757">
        <f>'D-1 Off-Site Habitat Baseline'!AF222</f>
        <v>0</v>
      </c>
      <c r="M218" s="757">
        <f>'E-1 Off-Site Hedge Baseline'!AB221</f>
        <v>0</v>
      </c>
      <c r="V218" s="1">
        <f>'F-1 Off-Site WaterC'' Baseline'!AG221</f>
        <v>0</v>
      </c>
    </row>
    <row r="219" spans="1:22">
      <c r="A219" s="757">
        <f>'D-1 Off-Site Habitat Baseline'!AF223</f>
        <v>0</v>
      </c>
      <c r="M219" s="757">
        <f>'E-1 Off-Site Hedge Baseline'!AB222</f>
        <v>0</v>
      </c>
      <c r="V219" s="1">
        <f>'F-1 Off-Site WaterC'' Baseline'!AG222</f>
        <v>0</v>
      </c>
    </row>
    <row r="220" spans="1:22">
      <c r="A220" s="757">
        <f>'D-1 Off-Site Habitat Baseline'!AF224</f>
        <v>0</v>
      </c>
      <c r="M220" s="757">
        <f>'E-1 Off-Site Hedge Baseline'!AB223</f>
        <v>0</v>
      </c>
      <c r="V220" s="1">
        <f>'F-1 Off-Site WaterC'' Baseline'!AG223</f>
        <v>0</v>
      </c>
    </row>
    <row r="221" spans="1:22">
      <c r="A221" s="757">
        <f>'D-1 Off-Site Habitat Baseline'!AF225</f>
        <v>0</v>
      </c>
      <c r="M221" s="757">
        <f>'E-1 Off-Site Hedge Baseline'!AB224</f>
        <v>0</v>
      </c>
      <c r="V221" s="1">
        <f>'F-1 Off-Site WaterC'' Baseline'!AG224</f>
        <v>0</v>
      </c>
    </row>
    <row r="222" spans="1:22">
      <c r="A222" s="757">
        <f>'D-1 Off-Site Habitat Baseline'!AF226</f>
        <v>0</v>
      </c>
      <c r="M222" s="757">
        <f>'E-1 Off-Site Hedge Baseline'!AB225</f>
        <v>0</v>
      </c>
      <c r="V222" s="1">
        <f>'F-1 Off-Site WaterC'' Baseline'!AG225</f>
        <v>0</v>
      </c>
    </row>
    <row r="223" spans="1:22">
      <c r="A223" s="757">
        <f>'D-1 Off-Site Habitat Baseline'!AF227</f>
        <v>0</v>
      </c>
      <c r="M223" s="757">
        <f>'E-1 Off-Site Hedge Baseline'!AB226</f>
        <v>0</v>
      </c>
      <c r="V223" s="1">
        <f>'F-1 Off-Site WaterC'' Baseline'!AG226</f>
        <v>0</v>
      </c>
    </row>
    <row r="224" spans="1:22">
      <c r="A224" s="757">
        <f>'D-1 Off-Site Habitat Baseline'!AF228</f>
        <v>0</v>
      </c>
      <c r="M224" s="757">
        <f>'E-1 Off-Site Hedge Baseline'!AB227</f>
        <v>0</v>
      </c>
      <c r="V224" s="1">
        <f>'F-1 Off-Site WaterC'' Baseline'!AG227</f>
        <v>0</v>
      </c>
    </row>
    <row r="225" spans="1:22">
      <c r="A225" s="757">
        <f>'D-1 Off-Site Habitat Baseline'!AF229</f>
        <v>0</v>
      </c>
      <c r="M225" s="757">
        <f>'E-1 Off-Site Hedge Baseline'!AB228</f>
        <v>0</v>
      </c>
      <c r="V225" s="1">
        <f>'F-1 Off-Site WaterC'' Baseline'!AG228</f>
        <v>0</v>
      </c>
    </row>
    <row r="226" spans="1:22">
      <c r="A226" s="757">
        <f>'D-1 Off-Site Habitat Baseline'!AF230</f>
        <v>0</v>
      </c>
      <c r="M226" s="757">
        <f>'E-1 Off-Site Hedge Baseline'!AB229</f>
        <v>0</v>
      </c>
      <c r="V226" s="1">
        <f>'F-1 Off-Site WaterC'' Baseline'!AG229</f>
        <v>0</v>
      </c>
    </row>
    <row r="227" spans="1:22">
      <c r="A227" s="757">
        <f>'D-1 Off-Site Habitat Baseline'!AF231</f>
        <v>0</v>
      </c>
      <c r="M227" s="757">
        <f>'E-1 Off-Site Hedge Baseline'!AB230</f>
        <v>0</v>
      </c>
      <c r="V227" s="1">
        <f>'F-1 Off-Site WaterC'' Baseline'!AG230</f>
        <v>0</v>
      </c>
    </row>
    <row r="228" spans="1:22">
      <c r="A228" s="757">
        <f>'D-1 Off-Site Habitat Baseline'!AF232</f>
        <v>0</v>
      </c>
      <c r="M228" s="757">
        <f>'E-1 Off-Site Hedge Baseline'!AB231</f>
        <v>0</v>
      </c>
      <c r="V228" s="1">
        <f>'F-1 Off-Site WaterC'' Baseline'!AG231</f>
        <v>0</v>
      </c>
    </row>
    <row r="229" spans="1:22">
      <c r="A229" s="757">
        <f>'D-1 Off-Site Habitat Baseline'!AF233</f>
        <v>0</v>
      </c>
      <c r="M229" s="757">
        <f>'E-1 Off-Site Hedge Baseline'!AB232</f>
        <v>0</v>
      </c>
      <c r="V229" s="1">
        <f>'F-1 Off-Site WaterC'' Baseline'!AG232</f>
        <v>0</v>
      </c>
    </row>
    <row r="230" spans="1:22">
      <c r="A230" s="757">
        <f>'D-1 Off-Site Habitat Baseline'!AF234</f>
        <v>0</v>
      </c>
      <c r="M230" s="757">
        <f>'E-1 Off-Site Hedge Baseline'!AB233</f>
        <v>0</v>
      </c>
      <c r="V230" s="1">
        <f>'F-1 Off-Site WaterC'' Baseline'!AG233</f>
        <v>0</v>
      </c>
    </row>
    <row r="231" spans="1:22">
      <c r="A231" s="757">
        <f>'D-1 Off-Site Habitat Baseline'!AF235</f>
        <v>0</v>
      </c>
      <c r="M231" s="757">
        <f>'E-1 Off-Site Hedge Baseline'!AB234</f>
        <v>0</v>
      </c>
      <c r="V231" s="1">
        <f>'F-1 Off-Site WaterC'' Baseline'!AG234</f>
        <v>0</v>
      </c>
    </row>
    <row r="232" spans="1:22">
      <c r="A232" s="757">
        <f>'D-1 Off-Site Habitat Baseline'!AF236</f>
        <v>0</v>
      </c>
      <c r="M232" s="757">
        <f>'E-1 Off-Site Hedge Baseline'!AB235</f>
        <v>0</v>
      </c>
      <c r="V232" s="1">
        <f>'F-1 Off-Site WaterC'' Baseline'!AG235</f>
        <v>0</v>
      </c>
    </row>
    <row r="233" spans="1:22">
      <c r="A233" s="757">
        <f>'D-1 Off-Site Habitat Baseline'!AF237</f>
        <v>0</v>
      </c>
      <c r="M233" s="757">
        <f>'E-1 Off-Site Hedge Baseline'!AB236</f>
        <v>0</v>
      </c>
      <c r="V233" s="1">
        <f>'F-1 Off-Site WaterC'' Baseline'!AG236</f>
        <v>0</v>
      </c>
    </row>
    <row r="234" spans="1:22">
      <c r="A234" s="757">
        <f>'D-1 Off-Site Habitat Baseline'!AF238</f>
        <v>0</v>
      </c>
      <c r="M234" s="757">
        <f>'E-1 Off-Site Hedge Baseline'!AB237</f>
        <v>0</v>
      </c>
      <c r="V234" s="1">
        <f>'F-1 Off-Site WaterC'' Baseline'!AG237</f>
        <v>0</v>
      </c>
    </row>
    <row r="235" spans="1:22">
      <c r="A235" s="757">
        <f>'D-1 Off-Site Habitat Baseline'!AF239</f>
        <v>0</v>
      </c>
      <c r="M235" s="757">
        <f>'E-1 Off-Site Hedge Baseline'!AB238</f>
        <v>0</v>
      </c>
      <c r="V235" s="1">
        <f>'F-1 Off-Site WaterC'' Baseline'!AG238</f>
        <v>0</v>
      </c>
    </row>
    <row r="236" spans="1:22">
      <c r="A236" s="757">
        <f>'D-1 Off-Site Habitat Baseline'!AF240</f>
        <v>0</v>
      </c>
      <c r="M236" s="757">
        <f>'E-1 Off-Site Hedge Baseline'!AB239</f>
        <v>0</v>
      </c>
      <c r="V236" s="1">
        <f>'F-1 Off-Site WaterC'' Baseline'!AG239</f>
        <v>0</v>
      </c>
    </row>
    <row r="237" spans="1:22">
      <c r="A237" s="757">
        <f>'D-1 Off-Site Habitat Baseline'!AF241</f>
        <v>0</v>
      </c>
      <c r="M237" s="757">
        <f>'E-1 Off-Site Hedge Baseline'!AB240</f>
        <v>0</v>
      </c>
      <c r="V237" s="1">
        <f>'F-1 Off-Site WaterC'' Baseline'!AG240</f>
        <v>0</v>
      </c>
    </row>
    <row r="238" spans="1:22">
      <c r="A238" s="757">
        <f>'D-1 Off-Site Habitat Baseline'!AF242</f>
        <v>0</v>
      </c>
      <c r="M238" s="757">
        <f>'E-1 Off-Site Hedge Baseline'!AB241</f>
        <v>0</v>
      </c>
      <c r="V238" s="1">
        <f>'F-1 Off-Site WaterC'' Baseline'!AG241</f>
        <v>0</v>
      </c>
    </row>
    <row r="239" spans="1:22">
      <c r="A239" s="757">
        <f>'D-1 Off-Site Habitat Baseline'!AF243</f>
        <v>0</v>
      </c>
      <c r="M239" s="757">
        <f>'E-1 Off-Site Hedge Baseline'!AB242</f>
        <v>0</v>
      </c>
      <c r="V239" s="1">
        <f>'F-1 Off-Site WaterC'' Baseline'!AG242</f>
        <v>0</v>
      </c>
    </row>
    <row r="240" spans="1:22">
      <c r="A240" s="757">
        <f>'D-1 Off-Site Habitat Baseline'!AF244</f>
        <v>0</v>
      </c>
      <c r="M240" s="757">
        <f>'E-1 Off-Site Hedge Baseline'!AB243</f>
        <v>0</v>
      </c>
      <c r="V240" s="1">
        <f>'F-1 Off-Site WaterC'' Baseline'!AG243</f>
        <v>0</v>
      </c>
    </row>
    <row r="241" spans="1:22">
      <c r="A241" s="757">
        <f>'D-1 Off-Site Habitat Baseline'!AF245</f>
        <v>0</v>
      </c>
      <c r="M241" s="757">
        <f>'E-1 Off-Site Hedge Baseline'!AB244</f>
        <v>0</v>
      </c>
      <c r="V241" s="1">
        <f>'F-1 Off-Site WaterC'' Baseline'!AG244</f>
        <v>0</v>
      </c>
    </row>
    <row r="242" spans="1:22">
      <c r="A242" s="757">
        <f>'D-1 Off-Site Habitat Baseline'!AF246</f>
        <v>0</v>
      </c>
      <c r="M242" s="757">
        <f>'E-1 Off-Site Hedge Baseline'!AB245</f>
        <v>0</v>
      </c>
      <c r="V242" s="1">
        <f>'F-1 Off-Site WaterC'' Baseline'!AG245</f>
        <v>0</v>
      </c>
    </row>
    <row r="243" spans="1:22">
      <c r="A243" s="757">
        <f>'D-1 Off-Site Habitat Baseline'!AF247</f>
        <v>0</v>
      </c>
      <c r="M243" s="757">
        <f>'E-1 Off-Site Hedge Baseline'!AB246</f>
        <v>0</v>
      </c>
      <c r="V243" s="1">
        <f>'F-1 Off-Site WaterC'' Baseline'!AG246</f>
        <v>0</v>
      </c>
    </row>
    <row r="244" spans="1:22">
      <c r="A244" s="757">
        <f>'D-1 Off-Site Habitat Baseline'!AF248</f>
        <v>0</v>
      </c>
      <c r="M244" s="757">
        <f>'E-1 Off-Site Hedge Baseline'!AB247</f>
        <v>0</v>
      </c>
      <c r="V244" s="1">
        <f>'F-1 Off-Site WaterC'' Baseline'!AG247</f>
        <v>0</v>
      </c>
    </row>
    <row r="245" spans="1:22">
      <c r="A245" s="757">
        <f>'D-1 Off-Site Habitat Baseline'!AF249</f>
        <v>0</v>
      </c>
      <c r="M245" s="757">
        <f>'E-1 Off-Site Hedge Baseline'!AB248</f>
        <v>0</v>
      </c>
      <c r="V245" s="1">
        <f>'F-1 Off-Site WaterC'' Baseline'!AG248</f>
        <v>0</v>
      </c>
    </row>
    <row r="246" spans="1:22">
      <c r="A246" s="757">
        <f>'D-1 Off-Site Habitat Baseline'!AF250</f>
        <v>0</v>
      </c>
      <c r="M246" s="757">
        <f>'E-1 Off-Site Hedge Baseline'!AB249</f>
        <v>0</v>
      </c>
      <c r="V246" s="1">
        <f>'F-1 Off-Site WaterC'' Baseline'!AG249</f>
        <v>0</v>
      </c>
    </row>
    <row r="247" spans="1:22">
      <c r="A247" s="757">
        <f>'D-1 Off-Site Habitat Baseline'!AF251</f>
        <v>0</v>
      </c>
      <c r="M247" s="757">
        <f>'E-1 Off-Site Hedge Baseline'!AB250</f>
        <v>0</v>
      </c>
      <c r="V247" s="1">
        <f>'F-1 Off-Site WaterC'' Baseline'!AG250</f>
        <v>0</v>
      </c>
    </row>
    <row r="248" spans="1:22">
      <c r="A248" s="757">
        <f>'D-1 Off-Site Habitat Baseline'!AF252</f>
        <v>0</v>
      </c>
      <c r="M248" s="757">
        <f>'E-1 Off-Site Hedge Baseline'!AB251</f>
        <v>0</v>
      </c>
      <c r="V248" s="1">
        <f>'F-1 Off-Site WaterC'' Baseline'!AG251</f>
        <v>0</v>
      </c>
    </row>
    <row r="249" spans="1:22">
      <c r="A249" s="757">
        <f>'D-1 Off-Site Habitat Baseline'!AF253</f>
        <v>0</v>
      </c>
      <c r="M249" s="757">
        <f>'E-1 Off-Site Hedge Baseline'!AB252</f>
        <v>0</v>
      </c>
      <c r="V249" s="1">
        <f>'F-1 Off-Site WaterC'' Baseline'!AG252</f>
        <v>0</v>
      </c>
    </row>
    <row r="250" spans="1:22">
      <c r="A250" s="757">
        <f>'D-1 Off-Site Habitat Baseline'!AF254</f>
        <v>0</v>
      </c>
      <c r="M250" s="757">
        <f>'E-1 Off-Site Hedge Baseline'!AB253</f>
        <v>0</v>
      </c>
      <c r="V250" s="1">
        <f>'F-1 Off-Site WaterC'' Baseline'!AG253</f>
        <v>0</v>
      </c>
    </row>
    <row r="251" spans="1:22">
      <c r="A251" s="757">
        <f>'D-1 Off-Site Habitat Baseline'!AF255</f>
        <v>0</v>
      </c>
      <c r="M251" s="757">
        <f>'E-1 Off-Site Hedge Baseline'!AB254</f>
        <v>0</v>
      </c>
      <c r="V251" s="1">
        <f>'F-1 Off-Site WaterC'' Baseline'!AG254</f>
        <v>0</v>
      </c>
    </row>
    <row r="252" spans="1:22">
      <c r="A252" s="757">
        <f>'D-1 Off-Site Habitat Baseline'!AF256</f>
        <v>0</v>
      </c>
      <c r="M252" s="757">
        <f>'E-1 Off-Site Hedge Baseline'!AB255</f>
        <v>0</v>
      </c>
      <c r="V252" s="1">
        <f>'F-1 Off-Site WaterC'' Baseline'!AG255</f>
        <v>0</v>
      </c>
    </row>
    <row r="253" spans="1:22">
      <c r="A253" s="757">
        <f>'D-1 Off-Site Habitat Baseline'!AF257</f>
        <v>0</v>
      </c>
      <c r="M253" s="757">
        <f>'E-1 Off-Site Hedge Baseline'!AB256</f>
        <v>0</v>
      </c>
      <c r="V253" s="1">
        <f>'F-1 Off-Site WaterC'' Baseline'!AG256</f>
        <v>0</v>
      </c>
    </row>
    <row r="254" spans="1:22">
      <c r="A254" s="757">
        <f>'D-1 Off-Site Habitat Baseline'!AF258</f>
        <v>0</v>
      </c>
      <c r="M254" s="757">
        <f>'E-1 Off-Site Hedge Baseline'!AB257</f>
        <v>0</v>
      </c>
      <c r="V254" s="1">
        <f>'F-1 Off-Site WaterC'' Baseline'!AG257</f>
        <v>0</v>
      </c>
    </row>
    <row r="255" spans="1:22">
      <c r="A255" s="757">
        <f>'D-2 Off-Site Habitat Creation'!AF11</f>
        <v>0</v>
      </c>
      <c r="M255" s="757">
        <f>'E-2 Off-Site Hedge Creation'!AD12</f>
        <v>0</v>
      </c>
      <c r="V255" s="1">
        <f>'F-2 Off-Site WaterC'' Creation'!AG12</f>
        <v>0</v>
      </c>
    </row>
    <row r="256" spans="1:22">
      <c r="A256" s="757">
        <f>'D-2 Off-Site Habitat Creation'!AF12</f>
        <v>0</v>
      </c>
      <c r="M256" s="757">
        <f>'E-2 Off-Site Hedge Creation'!AD13</f>
        <v>0</v>
      </c>
      <c r="V256" s="1">
        <f>'F-2 Off-Site WaterC'' Creation'!AG13</f>
        <v>0</v>
      </c>
    </row>
    <row r="257" spans="1:22">
      <c r="A257" s="757">
        <f>'D-2 Off-Site Habitat Creation'!AF13</f>
        <v>0</v>
      </c>
      <c r="M257" s="757">
        <f>'E-2 Off-Site Hedge Creation'!AD14</f>
        <v>0</v>
      </c>
      <c r="V257" s="1">
        <f>'F-2 Off-Site WaterC'' Creation'!AG14</f>
        <v>0</v>
      </c>
    </row>
    <row r="258" spans="1:22">
      <c r="A258" s="757">
        <f>'D-2 Off-Site Habitat Creation'!AF14</f>
        <v>0</v>
      </c>
      <c r="M258" s="757">
        <f>'E-2 Off-Site Hedge Creation'!AD15</f>
        <v>0</v>
      </c>
      <c r="V258" s="1">
        <f>'F-2 Off-Site WaterC'' Creation'!AG15</f>
        <v>0</v>
      </c>
    </row>
    <row r="259" spans="1:22">
      <c r="A259" s="757">
        <f>'D-2 Off-Site Habitat Creation'!AF15</f>
        <v>0</v>
      </c>
      <c r="M259" s="757">
        <f>'E-2 Off-Site Hedge Creation'!AD16</f>
        <v>0</v>
      </c>
      <c r="V259" s="1">
        <f>'F-2 Off-Site WaterC'' Creation'!AG16</f>
        <v>0</v>
      </c>
    </row>
    <row r="260" spans="1:22">
      <c r="A260" s="757">
        <f>'D-2 Off-Site Habitat Creation'!AF16</f>
        <v>0</v>
      </c>
      <c r="M260" s="757">
        <f>'E-2 Off-Site Hedge Creation'!AD17</f>
        <v>0</v>
      </c>
      <c r="V260" s="1">
        <f>'F-2 Off-Site WaterC'' Creation'!AG17</f>
        <v>0</v>
      </c>
    </row>
    <row r="261" spans="1:22">
      <c r="A261" s="757">
        <f>'D-2 Off-Site Habitat Creation'!AF17</f>
        <v>0</v>
      </c>
      <c r="M261" s="757">
        <f>'E-2 Off-Site Hedge Creation'!AD18</f>
        <v>0</v>
      </c>
      <c r="V261" s="1">
        <f>'F-2 Off-Site WaterC'' Creation'!AG18</f>
        <v>0</v>
      </c>
    </row>
    <row r="262" spans="1:22">
      <c r="A262" s="757">
        <f>'D-2 Off-Site Habitat Creation'!AF18</f>
        <v>0</v>
      </c>
      <c r="M262" s="757">
        <f>'E-2 Off-Site Hedge Creation'!AD19</f>
        <v>0</v>
      </c>
      <c r="V262" s="1">
        <f>'F-2 Off-Site WaterC'' Creation'!AG19</f>
        <v>0</v>
      </c>
    </row>
    <row r="263" spans="1:22">
      <c r="A263" s="757">
        <f>'D-2 Off-Site Habitat Creation'!AF19</f>
        <v>0</v>
      </c>
      <c r="M263" s="757">
        <f>'E-2 Off-Site Hedge Creation'!AD20</f>
        <v>0</v>
      </c>
      <c r="V263" s="1">
        <f>'F-2 Off-Site WaterC'' Creation'!AG20</f>
        <v>0</v>
      </c>
    </row>
    <row r="264" spans="1:22">
      <c r="A264" s="757">
        <f>'D-2 Off-Site Habitat Creation'!AF20</f>
        <v>0</v>
      </c>
      <c r="M264" s="757">
        <f>'E-2 Off-Site Hedge Creation'!AD21</f>
        <v>0</v>
      </c>
      <c r="V264" s="1">
        <f>'F-2 Off-Site WaterC'' Creation'!AG21</f>
        <v>0</v>
      </c>
    </row>
    <row r="265" spans="1:22">
      <c r="A265" s="757">
        <f>'D-2 Off-Site Habitat Creation'!AF21</f>
        <v>0</v>
      </c>
      <c r="M265" s="757">
        <f>'E-2 Off-Site Hedge Creation'!AD22</f>
        <v>0</v>
      </c>
      <c r="V265" s="1">
        <f>'F-2 Off-Site WaterC'' Creation'!AG22</f>
        <v>0</v>
      </c>
    </row>
    <row r="266" spans="1:22">
      <c r="A266" s="757">
        <f>'D-2 Off-Site Habitat Creation'!AF22</f>
        <v>0</v>
      </c>
      <c r="M266" s="757">
        <f>'E-2 Off-Site Hedge Creation'!AD23</f>
        <v>0</v>
      </c>
      <c r="V266" s="1">
        <f>'F-2 Off-Site WaterC'' Creation'!AG23</f>
        <v>0</v>
      </c>
    </row>
    <row r="267" spans="1:22">
      <c r="A267" s="757">
        <f>'D-2 Off-Site Habitat Creation'!AF23</f>
        <v>0</v>
      </c>
      <c r="M267" s="757">
        <f>'E-2 Off-Site Hedge Creation'!AD24</f>
        <v>0</v>
      </c>
      <c r="V267" s="1">
        <f>'F-2 Off-Site WaterC'' Creation'!AG24</f>
        <v>0</v>
      </c>
    </row>
    <row r="268" spans="1:22">
      <c r="A268" s="757">
        <f>'D-2 Off-Site Habitat Creation'!AF24</f>
        <v>0</v>
      </c>
      <c r="M268" s="757">
        <f>'E-2 Off-Site Hedge Creation'!AD25</f>
        <v>0</v>
      </c>
      <c r="V268" s="1">
        <f>'F-2 Off-Site WaterC'' Creation'!AG25</f>
        <v>0</v>
      </c>
    </row>
    <row r="269" spans="1:22">
      <c r="A269" s="757">
        <f>'D-2 Off-Site Habitat Creation'!AF25</f>
        <v>0</v>
      </c>
      <c r="M269" s="757">
        <f>'E-2 Off-Site Hedge Creation'!AD26</f>
        <v>0</v>
      </c>
      <c r="V269" s="1">
        <f>'F-2 Off-Site WaterC'' Creation'!AG26</f>
        <v>0</v>
      </c>
    </row>
    <row r="270" spans="1:22">
      <c r="A270" s="757">
        <f>'D-2 Off-Site Habitat Creation'!AF26</f>
        <v>0</v>
      </c>
      <c r="M270" s="757">
        <f>'E-2 Off-Site Hedge Creation'!AD27</f>
        <v>0</v>
      </c>
      <c r="V270" s="1">
        <f>'F-2 Off-Site WaterC'' Creation'!AG27</f>
        <v>0</v>
      </c>
    </row>
    <row r="271" spans="1:22">
      <c r="A271" s="757">
        <f>'D-2 Off-Site Habitat Creation'!AF27</f>
        <v>0</v>
      </c>
      <c r="M271" s="757">
        <f>'E-2 Off-Site Hedge Creation'!AD28</f>
        <v>0</v>
      </c>
      <c r="V271" s="1">
        <f>'F-2 Off-Site WaterC'' Creation'!AG28</f>
        <v>0</v>
      </c>
    </row>
    <row r="272" spans="1:22">
      <c r="A272" s="757">
        <f>'D-2 Off-Site Habitat Creation'!AF28</f>
        <v>0</v>
      </c>
      <c r="M272" s="757">
        <f>'E-2 Off-Site Hedge Creation'!AD29</f>
        <v>0</v>
      </c>
      <c r="V272" s="1">
        <f>'F-2 Off-Site WaterC'' Creation'!AG29</f>
        <v>0</v>
      </c>
    </row>
    <row r="273" spans="1:22">
      <c r="A273" s="757">
        <f>'D-2 Off-Site Habitat Creation'!AF29</f>
        <v>0</v>
      </c>
      <c r="M273" s="757">
        <f>'E-2 Off-Site Hedge Creation'!AD30</f>
        <v>0</v>
      </c>
      <c r="V273" s="1">
        <f>'F-2 Off-Site WaterC'' Creation'!AG30</f>
        <v>0</v>
      </c>
    </row>
    <row r="274" spans="1:22">
      <c r="A274" s="757">
        <f>'D-2 Off-Site Habitat Creation'!AF30</f>
        <v>0</v>
      </c>
      <c r="M274" s="757">
        <f>'E-2 Off-Site Hedge Creation'!AD31</f>
        <v>0</v>
      </c>
      <c r="V274" s="1">
        <f>'F-2 Off-Site WaterC'' Creation'!AG31</f>
        <v>0</v>
      </c>
    </row>
    <row r="275" spans="1:22">
      <c r="A275" s="757">
        <f>'D-2 Off-Site Habitat Creation'!AF31</f>
        <v>0</v>
      </c>
      <c r="M275" s="757">
        <f>'E-2 Off-Site Hedge Creation'!AD32</f>
        <v>0</v>
      </c>
      <c r="V275" s="1">
        <f>'F-2 Off-Site WaterC'' Creation'!AG32</f>
        <v>0</v>
      </c>
    </row>
    <row r="276" spans="1:22">
      <c r="A276" s="757">
        <f>'D-2 Off-Site Habitat Creation'!AF32</f>
        <v>0</v>
      </c>
      <c r="M276" s="757">
        <f>'E-2 Off-Site Hedge Creation'!AD33</f>
        <v>0</v>
      </c>
      <c r="V276" s="1">
        <f>'F-2 Off-Site WaterC'' Creation'!AG33</f>
        <v>0</v>
      </c>
    </row>
    <row r="277" spans="1:22">
      <c r="A277" s="757">
        <f>'D-2 Off-Site Habitat Creation'!AF33</f>
        <v>0</v>
      </c>
      <c r="M277" s="757">
        <f>'E-2 Off-Site Hedge Creation'!AD34</f>
        <v>0</v>
      </c>
      <c r="V277" s="1">
        <f>'F-2 Off-Site WaterC'' Creation'!AG34</f>
        <v>0</v>
      </c>
    </row>
    <row r="278" spans="1:22">
      <c r="A278" s="757">
        <f>'D-2 Off-Site Habitat Creation'!AF34</f>
        <v>0</v>
      </c>
      <c r="M278" s="757">
        <f>'E-2 Off-Site Hedge Creation'!AD35</f>
        <v>0</v>
      </c>
      <c r="V278" s="1">
        <f>'F-2 Off-Site WaterC'' Creation'!AG35</f>
        <v>0</v>
      </c>
    </row>
    <row r="279" spans="1:22">
      <c r="A279" s="757">
        <f>'D-2 Off-Site Habitat Creation'!AF35</f>
        <v>0</v>
      </c>
      <c r="M279" s="757">
        <f>'E-2 Off-Site Hedge Creation'!AD36</f>
        <v>0</v>
      </c>
      <c r="V279" s="1">
        <f>'F-2 Off-Site WaterC'' Creation'!AG36</f>
        <v>0</v>
      </c>
    </row>
    <row r="280" spans="1:22">
      <c r="A280" s="757">
        <f>'D-2 Off-Site Habitat Creation'!AF36</f>
        <v>0</v>
      </c>
      <c r="M280" s="757">
        <f>'E-2 Off-Site Hedge Creation'!AD37</f>
        <v>0</v>
      </c>
      <c r="V280" s="1">
        <f>'F-2 Off-Site WaterC'' Creation'!AG37</f>
        <v>0</v>
      </c>
    </row>
    <row r="281" spans="1:22">
      <c r="A281" s="757">
        <f>'D-2 Off-Site Habitat Creation'!AF37</f>
        <v>0</v>
      </c>
      <c r="M281" s="757">
        <f>'E-2 Off-Site Hedge Creation'!AD38</f>
        <v>0</v>
      </c>
      <c r="V281" s="1">
        <f>'F-2 Off-Site WaterC'' Creation'!AG38</f>
        <v>0</v>
      </c>
    </row>
    <row r="282" spans="1:22">
      <c r="A282" s="757">
        <f>'D-2 Off-Site Habitat Creation'!AF38</f>
        <v>0</v>
      </c>
      <c r="M282" s="757">
        <f>'E-2 Off-Site Hedge Creation'!AD39</f>
        <v>0</v>
      </c>
      <c r="V282" s="1">
        <f>'F-2 Off-Site WaterC'' Creation'!AG39</f>
        <v>0</v>
      </c>
    </row>
    <row r="283" spans="1:22">
      <c r="A283" s="757">
        <f>'D-2 Off-Site Habitat Creation'!AF39</f>
        <v>0</v>
      </c>
      <c r="M283" s="757">
        <f>'E-2 Off-Site Hedge Creation'!AD40</f>
        <v>0</v>
      </c>
      <c r="V283" s="1">
        <f>'F-2 Off-Site WaterC'' Creation'!AG40</f>
        <v>0</v>
      </c>
    </row>
    <row r="284" spans="1:22">
      <c r="A284" s="757">
        <f>'D-2 Off-Site Habitat Creation'!AF40</f>
        <v>0</v>
      </c>
      <c r="M284" s="757">
        <f>'E-2 Off-Site Hedge Creation'!AD41</f>
        <v>0</v>
      </c>
      <c r="V284" s="1">
        <f>'F-2 Off-Site WaterC'' Creation'!AG41</f>
        <v>0</v>
      </c>
    </row>
    <row r="285" spans="1:22">
      <c r="A285" s="757">
        <f>'D-2 Off-Site Habitat Creation'!AF41</f>
        <v>0</v>
      </c>
      <c r="M285" s="757">
        <f>'E-2 Off-Site Hedge Creation'!AD42</f>
        <v>0</v>
      </c>
      <c r="V285" s="1">
        <f>'F-2 Off-Site WaterC'' Creation'!AG42</f>
        <v>0</v>
      </c>
    </row>
    <row r="286" spans="1:22">
      <c r="A286" s="757">
        <f>'D-2 Off-Site Habitat Creation'!AF42</f>
        <v>0</v>
      </c>
      <c r="M286" s="757">
        <f>'E-2 Off-Site Hedge Creation'!AD43</f>
        <v>0</v>
      </c>
      <c r="V286" s="1">
        <f>'F-2 Off-Site WaterC'' Creation'!AG43</f>
        <v>0</v>
      </c>
    </row>
    <row r="287" spans="1:22">
      <c r="A287" s="757">
        <f>'D-2 Off-Site Habitat Creation'!AF43</f>
        <v>0</v>
      </c>
      <c r="M287" s="757">
        <f>'E-2 Off-Site Hedge Creation'!AD44</f>
        <v>0</v>
      </c>
      <c r="V287" s="1">
        <f>'F-2 Off-Site WaterC'' Creation'!AG44</f>
        <v>0</v>
      </c>
    </row>
    <row r="288" spans="1:22">
      <c r="A288" s="757">
        <f>'D-2 Off-Site Habitat Creation'!AF44</f>
        <v>0</v>
      </c>
      <c r="M288" s="757">
        <f>'E-2 Off-Site Hedge Creation'!AD45</f>
        <v>0</v>
      </c>
      <c r="V288" s="1">
        <f>'F-2 Off-Site WaterC'' Creation'!AG45</f>
        <v>0</v>
      </c>
    </row>
    <row r="289" spans="1:22">
      <c r="A289" s="757">
        <f>'D-2 Off-Site Habitat Creation'!AF45</f>
        <v>0</v>
      </c>
      <c r="M289" s="757">
        <f>'E-2 Off-Site Hedge Creation'!AD46</f>
        <v>0</v>
      </c>
      <c r="V289" s="1">
        <f>'F-2 Off-Site WaterC'' Creation'!AG46</f>
        <v>0</v>
      </c>
    </row>
    <row r="290" spans="1:22">
      <c r="A290" s="757">
        <f>'D-2 Off-Site Habitat Creation'!AF46</f>
        <v>0</v>
      </c>
      <c r="M290" s="757">
        <f>'E-2 Off-Site Hedge Creation'!AD47</f>
        <v>0</v>
      </c>
      <c r="V290" s="1">
        <f>'F-2 Off-Site WaterC'' Creation'!AG47</f>
        <v>0</v>
      </c>
    </row>
    <row r="291" spans="1:22">
      <c r="A291" s="757">
        <f>'D-2 Off-Site Habitat Creation'!AF47</f>
        <v>0</v>
      </c>
      <c r="M291" s="757">
        <f>'E-2 Off-Site Hedge Creation'!AD48</f>
        <v>0</v>
      </c>
      <c r="V291" s="1">
        <f>'F-2 Off-Site WaterC'' Creation'!AG48</f>
        <v>0</v>
      </c>
    </row>
    <row r="292" spans="1:22">
      <c r="A292" s="757">
        <f>'D-2 Off-Site Habitat Creation'!AF48</f>
        <v>0</v>
      </c>
      <c r="M292" s="757">
        <f>'E-2 Off-Site Hedge Creation'!AD49</f>
        <v>0</v>
      </c>
      <c r="V292" s="1">
        <f>'F-2 Off-Site WaterC'' Creation'!AG49</f>
        <v>0</v>
      </c>
    </row>
    <row r="293" spans="1:22">
      <c r="A293" s="757">
        <f>'D-2 Off-Site Habitat Creation'!AF49</f>
        <v>0</v>
      </c>
      <c r="M293" s="757">
        <f>'E-2 Off-Site Hedge Creation'!AD50</f>
        <v>0</v>
      </c>
      <c r="V293" s="1">
        <f>'F-2 Off-Site WaterC'' Creation'!AG50</f>
        <v>0</v>
      </c>
    </row>
    <row r="294" spans="1:22">
      <c r="A294" s="757">
        <f>'D-2 Off-Site Habitat Creation'!AF50</f>
        <v>0</v>
      </c>
      <c r="M294" s="757">
        <f>'E-2 Off-Site Hedge Creation'!AD51</f>
        <v>0</v>
      </c>
      <c r="V294" s="1">
        <f>'F-2 Off-Site WaterC'' Creation'!AG51</f>
        <v>0</v>
      </c>
    </row>
    <row r="295" spans="1:22">
      <c r="A295" s="757">
        <f>'D-2 Off-Site Habitat Creation'!AF51</f>
        <v>0</v>
      </c>
      <c r="M295" s="757">
        <f>'E-2 Off-Site Hedge Creation'!AD52</f>
        <v>0</v>
      </c>
      <c r="V295" s="1">
        <f>'F-2 Off-Site WaterC'' Creation'!AG52</f>
        <v>0</v>
      </c>
    </row>
    <row r="296" spans="1:22">
      <c r="A296" s="757">
        <f>'D-2 Off-Site Habitat Creation'!AF52</f>
        <v>0</v>
      </c>
      <c r="M296" s="757">
        <f>'E-2 Off-Site Hedge Creation'!AD53</f>
        <v>0</v>
      </c>
      <c r="V296" s="1">
        <f>'F-2 Off-Site WaterC'' Creation'!AG53</f>
        <v>0</v>
      </c>
    </row>
    <row r="297" spans="1:22">
      <c r="A297" s="757">
        <f>'D-2 Off-Site Habitat Creation'!AF53</f>
        <v>0</v>
      </c>
      <c r="M297" s="757">
        <f>'E-2 Off-Site Hedge Creation'!AD54</f>
        <v>0</v>
      </c>
      <c r="V297" s="1">
        <f>'F-2 Off-Site WaterC'' Creation'!AG54</f>
        <v>0</v>
      </c>
    </row>
    <row r="298" spans="1:22">
      <c r="A298" s="757">
        <f>'D-2 Off-Site Habitat Creation'!AF54</f>
        <v>0</v>
      </c>
      <c r="M298" s="757">
        <f>'E-2 Off-Site Hedge Creation'!AD55</f>
        <v>0</v>
      </c>
      <c r="V298" s="1">
        <f>'F-2 Off-Site WaterC'' Creation'!AG55</f>
        <v>0</v>
      </c>
    </row>
    <row r="299" spans="1:22">
      <c r="A299" s="757">
        <f>'D-2 Off-Site Habitat Creation'!AF55</f>
        <v>0</v>
      </c>
      <c r="M299" s="757">
        <f>'E-2 Off-Site Hedge Creation'!AD56</f>
        <v>0</v>
      </c>
      <c r="V299" s="1">
        <f>'F-2 Off-Site WaterC'' Creation'!AG56</f>
        <v>0</v>
      </c>
    </row>
    <row r="300" spans="1:22">
      <c r="A300" s="757">
        <f>'D-2 Off-Site Habitat Creation'!AF56</f>
        <v>0</v>
      </c>
      <c r="M300" s="757">
        <f>'E-2 Off-Site Hedge Creation'!AD57</f>
        <v>0</v>
      </c>
      <c r="V300" s="1">
        <f>'F-2 Off-Site WaterC'' Creation'!AG57</f>
        <v>0</v>
      </c>
    </row>
    <row r="301" spans="1:22">
      <c r="A301" s="757">
        <f>'D-2 Off-Site Habitat Creation'!AF57</f>
        <v>0</v>
      </c>
      <c r="M301" s="757">
        <f>'E-2 Off-Site Hedge Creation'!AD58</f>
        <v>0</v>
      </c>
      <c r="V301" s="1">
        <f>'F-2 Off-Site WaterC'' Creation'!AG58</f>
        <v>0</v>
      </c>
    </row>
    <row r="302" spans="1:22">
      <c r="A302" s="757">
        <f>'D-2 Off-Site Habitat Creation'!AF58</f>
        <v>0</v>
      </c>
      <c r="M302" s="757">
        <f>'E-2 Off-Site Hedge Creation'!AD59</f>
        <v>0</v>
      </c>
      <c r="V302" s="1">
        <f>'F-2 Off-Site WaterC'' Creation'!AG59</f>
        <v>0</v>
      </c>
    </row>
    <row r="303" spans="1:22">
      <c r="A303" s="757">
        <f>'D-2 Off-Site Habitat Creation'!AF59</f>
        <v>0</v>
      </c>
      <c r="M303" s="757">
        <f>'E-2 Off-Site Hedge Creation'!AD60</f>
        <v>0</v>
      </c>
      <c r="V303" s="1">
        <f>'F-2 Off-Site WaterC'' Creation'!AG60</f>
        <v>0</v>
      </c>
    </row>
    <row r="304" spans="1:22">
      <c r="A304" s="757">
        <f>'D-2 Off-Site Habitat Creation'!AF60</f>
        <v>0</v>
      </c>
      <c r="M304" s="757">
        <f>'E-2 Off-Site Hedge Creation'!AD61</f>
        <v>0</v>
      </c>
      <c r="V304" s="1">
        <f>'F-2 Off-Site WaterC'' Creation'!AG61</f>
        <v>0</v>
      </c>
    </row>
    <row r="305" spans="1:22">
      <c r="A305" s="757">
        <f>'D-2 Off-Site Habitat Creation'!AF61</f>
        <v>0</v>
      </c>
      <c r="M305" s="757">
        <f>'E-2 Off-Site Hedge Creation'!AD62</f>
        <v>0</v>
      </c>
      <c r="V305" s="1">
        <f>'F-2 Off-Site WaterC'' Creation'!AG62</f>
        <v>0</v>
      </c>
    </row>
    <row r="306" spans="1:22">
      <c r="A306" s="757">
        <f>'D-2 Off-Site Habitat Creation'!AF62</f>
        <v>0</v>
      </c>
      <c r="M306" s="757">
        <f>'E-2 Off-Site Hedge Creation'!AD63</f>
        <v>0</v>
      </c>
      <c r="V306" s="1">
        <f>'F-2 Off-Site WaterC'' Creation'!AG63</f>
        <v>0</v>
      </c>
    </row>
    <row r="307" spans="1:22">
      <c r="A307" s="757">
        <f>'D-2 Off-Site Habitat Creation'!AF63</f>
        <v>0</v>
      </c>
      <c r="M307" s="757">
        <f>'E-2 Off-Site Hedge Creation'!AD64</f>
        <v>0</v>
      </c>
      <c r="V307" s="1">
        <f>'F-2 Off-Site WaterC'' Creation'!AG64</f>
        <v>0</v>
      </c>
    </row>
    <row r="308" spans="1:22">
      <c r="A308" s="757">
        <f>'D-2 Off-Site Habitat Creation'!AF64</f>
        <v>0</v>
      </c>
      <c r="M308" s="757">
        <f>'E-2 Off-Site Hedge Creation'!AD65</f>
        <v>0</v>
      </c>
      <c r="V308" s="1">
        <f>'F-2 Off-Site WaterC'' Creation'!AG65</f>
        <v>0</v>
      </c>
    </row>
    <row r="309" spans="1:22">
      <c r="A309" s="757">
        <f>'D-2 Off-Site Habitat Creation'!AF65</f>
        <v>0</v>
      </c>
      <c r="M309" s="757">
        <f>'E-2 Off-Site Hedge Creation'!AD66</f>
        <v>0</v>
      </c>
      <c r="V309" s="1">
        <f>'F-2 Off-Site WaterC'' Creation'!AG66</f>
        <v>0</v>
      </c>
    </row>
    <row r="310" spans="1:22">
      <c r="A310" s="757">
        <f>'D-2 Off-Site Habitat Creation'!AF66</f>
        <v>0</v>
      </c>
      <c r="M310" s="757">
        <f>'E-2 Off-Site Hedge Creation'!AD67</f>
        <v>0</v>
      </c>
      <c r="V310" s="1">
        <f>'F-2 Off-Site WaterC'' Creation'!AG67</f>
        <v>0</v>
      </c>
    </row>
    <row r="311" spans="1:22">
      <c r="A311" s="757">
        <f>'D-2 Off-Site Habitat Creation'!AF67</f>
        <v>0</v>
      </c>
      <c r="M311" s="757">
        <f>'E-2 Off-Site Hedge Creation'!AD68</f>
        <v>0</v>
      </c>
      <c r="V311" s="1">
        <f>'F-2 Off-Site WaterC'' Creation'!AG68</f>
        <v>0</v>
      </c>
    </row>
    <row r="312" spans="1:22">
      <c r="A312" s="757">
        <f>'D-2 Off-Site Habitat Creation'!AF68</f>
        <v>0</v>
      </c>
      <c r="M312" s="757">
        <f>'E-2 Off-Site Hedge Creation'!AD69</f>
        <v>0</v>
      </c>
      <c r="V312" s="1">
        <f>'F-2 Off-Site WaterC'' Creation'!AG69</f>
        <v>0</v>
      </c>
    </row>
    <row r="313" spans="1:22">
      <c r="A313" s="757">
        <f>'D-2 Off-Site Habitat Creation'!AF69</f>
        <v>0</v>
      </c>
      <c r="M313" s="757">
        <f>'E-2 Off-Site Hedge Creation'!AD70</f>
        <v>0</v>
      </c>
      <c r="V313" s="1">
        <f>'F-2 Off-Site WaterC'' Creation'!AG70</f>
        <v>0</v>
      </c>
    </row>
    <row r="314" spans="1:22">
      <c r="A314" s="757">
        <f>'D-2 Off-Site Habitat Creation'!AF70</f>
        <v>0</v>
      </c>
      <c r="M314" s="757">
        <f>'E-2 Off-Site Hedge Creation'!AD71</f>
        <v>0</v>
      </c>
      <c r="V314" s="1">
        <f>'F-2 Off-Site WaterC'' Creation'!AG71</f>
        <v>0</v>
      </c>
    </row>
    <row r="315" spans="1:22">
      <c r="A315" s="757">
        <f>'D-2 Off-Site Habitat Creation'!AF71</f>
        <v>0</v>
      </c>
      <c r="M315" s="757">
        <f>'E-2 Off-Site Hedge Creation'!AD72</f>
        <v>0</v>
      </c>
      <c r="V315" s="1">
        <f>'F-2 Off-Site WaterC'' Creation'!AG72</f>
        <v>0</v>
      </c>
    </row>
    <row r="316" spans="1:22">
      <c r="A316" s="757">
        <f>'D-2 Off-Site Habitat Creation'!AF72</f>
        <v>0</v>
      </c>
      <c r="M316" s="757">
        <f>'E-2 Off-Site Hedge Creation'!AD73</f>
        <v>0</v>
      </c>
      <c r="V316" s="1">
        <f>'F-2 Off-Site WaterC'' Creation'!AG73</f>
        <v>0</v>
      </c>
    </row>
    <row r="317" spans="1:22">
      <c r="A317" s="757">
        <f>'D-2 Off-Site Habitat Creation'!AF73</f>
        <v>0</v>
      </c>
      <c r="M317" s="757">
        <f>'E-2 Off-Site Hedge Creation'!AD74</f>
        <v>0</v>
      </c>
      <c r="V317" s="1">
        <f>'F-2 Off-Site WaterC'' Creation'!AG74</f>
        <v>0</v>
      </c>
    </row>
    <row r="318" spans="1:22">
      <c r="A318" s="757">
        <f>'D-2 Off-Site Habitat Creation'!AF74</f>
        <v>0</v>
      </c>
      <c r="M318" s="757">
        <f>'E-2 Off-Site Hedge Creation'!AD75</f>
        <v>0</v>
      </c>
      <c r="V318" s="1">
        <f>'F-2 Off-Site WaterC'' Creation'!AG75</f>
        <v>0</v>
      </c>
    </row>
    <row r="319" spans="1:22">
      <c r="A319" s="757">
        <f>'D-2 Off-Site Habitat Creation'!AF75</f>
        <v>0</v>
      </c>
      <c r="M319" s="757">
        <f>'E-2 Off-Site Hedge Creation'!AD76</f>
        <v>0</v>
      </c>
      <c r="V319" s="1">
        <f>'F-2 Off-Site WaterC'' Creation'!AG76</f>
        <v>0</v>
      </c>
    </row>
    <row r="320" spans="1:22">
      <c r="A320" s="757">
        <f>'D-2 Off-Site Habitat Creation'!AF76</f>
        <v>0</v>
      </c>
      <c r="M320" s="757">
        <f>'E-2 Off-Site Hedge Creation'!AD77</f>
        <v>0</v>
      </c>
      <c r="V320" s="1">
        <f>'F-2 Off-Site WaterC'' Creation'!AG77</f>
        <v>0</v>
      </c>
    </row>
    <row r="321" spans="1:22">
      <c r="A321" s="757">
        <f>'D-2 Off-Site Habitat Creation'!AF77</f>
        <v>0</v>
      </c>
      <c r="M321" s="757">
        <f>'E-2 Off-Site Hedge Creation'!AD78</f>
        <v>0</v>
      </c>
      <c r="V321" s="1">
        <f>'F-2 Off-Site WaterC'' Creation'!AG78</f>
        <v>0</v>
      </c>
    </row>
    <row r="322" spans="1:22">
      <c r="A322" s="757">
        <f>'D-2 Off-Site Habitat Creation'!AF78</f>
        <v>0</v>
      </c>
      <c r="M322" s="757">
        <f>'E-2 Off-Site Hedge Creation'!AD79</f>
        <v>0</v>
      </c>
      <c r="V322" s="1">
        <f>'F-2 Off-Site WaterC'' Creation'!AG79</f>
        <v>0</v>
      </c>
    </row>
    <row r="323" spans="1:22">
      <c r="A323" s="757">
        <f>'D-2 Off-Site Habitat Creation'!AF79</f>
        <v>0</v>
      </c>
      <c r="M323" s="757">
        <f>'E-2 Off-Site Hedge Creation'!AD80</f>
        <v>0</v>
      </c>
      <c r="V323" s="1">
        <f>'F-2 Off-Site WaterC'' Creation'!AG80</f>
        <v>0</v>
      </c>
    </row>
    <row r="324" spans="1:22">
      <c r="A324" s="757">
        <f>'D-2 Off-Site Habitat Creation'!AF80</f>
        <v>0</v>
      </c>
      <c r="M324" s="757">
        <f>'E-2 Off-Site Hedge Creation'!AD81</f>
        <v>0</v>
      </c>
      <c r="V324" s="1">
        <f>'F-2 Off-Site WaterC'' Creation'!AG81</f>
        <v>0</v>
      </c>
    </row>
    <row r="325" spans="1:22">
      <c r="A325" s="757">
        <f>'D-2 Off-Site Habitat Creation'!AF81</f>
        <v>0</v>
      </c>
      <c r="M325" s="757">
        <f>'E-2 Off-Site Hedge Creation'!AD82</f>
        <v>0</v>
      </c>
      <c r="V325" s="1">
        <f>'F-2 Off-Site WaterC'' Creation'!AG82</f>
        <v>0</v>
      </c>
    </row>
    <row r="326" spans="1:22">
      <c r="A326" s="757">
        <f>'D-2 Off-Site Habitat Creation'!AF82</f>
        <v>0</v>
      </c>
      <c r="M326" s="757">
        <f>'E-2 Off-Site Hedge Creation'!AD83</f>
        <v>0</v>
      </c>
      <c r="V326" s="1">
        <f>'F-2 Off-Site WaterC'' Creation'!AG83</f>
        <v>0</v>
      </c>
    </row>
    <row r="327" spans="1:22">
      <c r="A327" s="757">
        <f>'D-2 Off-Site Habitat Creation'!AF83</f>
        <v>0</v>
      </c>
      <c r="M327" s="757">
        <f>'E-2 Off-Site Hedge Creation'!AD84</f>
        <v>0</v>
      </c>
      <c r="V327" s="1">
        <f>'F-2 Off-Site WaterC'' Creation'!AG84</f>
        <v>0</v>
      </c>
    </row>
    <row r="328" spans="1:22">
      <c r="A328" s="757">
        <f>'D-2 Off-Site Habitat Creation'!AF84</f>
        <v>0</v>
      </c>
      <c r="M328" s="757">
        <f>'E-2 Off-Site Hedge Creation'!AD85</f>
        <v>0</v>
      </c>
      <c r="V328" s="1">
        <f>'F-2 Off-Site WaterC'' Creation'!AG85</f>
        <v>0</v>
      </c>
    </row>
    <row r="329" spans="1:22">
      <c r="A329" s="757">
        <f>'D-2 Off-Site Habitat Creation'!AF85</f>
        <v>0</v>
      </c>
      <c r="M329" s="757">
        <f>'E-2 Off-Site Hedge Creation'!AD86</f>
        <v>0</v>
      </c>
      <c r="V329" s="1">
        <f>'F-2 Off-Site WaterC'' Creation'!AG86</f>
        <v>0</v>
      </c>
    </row>
    <row r="330" spans="1:22">
      <c r="A330" s="757">
        <f>'D-2 Off-Site Habitat Creation'!AF86</f>
        <v>0</v>
      </c>
      <c r="M330" s="757">
        <f>'E-2 Off-Site Hedge Creation'!AD87</f>
        <v>0</v>
      </c>
      <c r="V330" s="1">
        <f>'F-2 Off-Site WaterC'' Creation'!AG87</f>
        <v>0</v>
      </c>
    </row>
    <row r="331" spans="1:22">
      <c r="A331" s="757">
        <f>'D-2 Off-Site Habitat Creation'!AF87</f>
        <v>0</v>
      </c>
      <c r="M331" s="757">
        <f>'E-2 Off-Site Hedge Creation'!AD88</f>
        <v>0</v>
      </c>
      <c r="V331" s="1">
        <f>'F-2 Off-Site WaterC'' Creation'!AG88</f>
        <v>0</v>
      </c>
    </row>
    <row r="332" spans="1:22">
      <c r="A332" s="757">
        <f>'D-2 Off-Site Habitat Creation'!AF88</f>
        <v>0</v>
      </c>
      <c r="M332" s="757">
        <f>'E-2 Off-Site Hedge Creation'!AD89</f>
        <v>0</v>
      </c>
      <c r="V332" s="1">
        <f>'F-2 Off-Site WaterC'' Creation'!AG89</f>
        <v>0</v>
      </c>
    </row>
    <row r="333" spans="1:22">
      <c r="A333" s="757">
        <f>'D-2 Off-Site Habitat Creation'!AF89</f>
        <v>0</v>
      </c>
      <c r="M333" s="757">
        <f>'E-2 Off-Site Hedge Creation'!AD90</f>
        <v>0</v>
      </c>
      <c r="V333" s="1">
        <f>'F-2 Off-Site WaterC'' Creation'!AG90</f>
        <v>0</v>
      </c>
    </row>
    <row r="334" spans="1:22">
      <c r="A334" s="757">
        <f>'D-2 Off-Site Habitat Creation'!AF90</f>
        <v>0</v>
      </c>
      <c r="M334" s="757">
        <f>'E-2 Off-Site Hedge Creation'!AD91</f>
        <v>0</v>
      </c>
      <c r="V334" s="1">
        <f>'F-2 Off-Site WaterC'' Creation'!AG91</f>
        <v>0</v>
      </c>
    </row>
    <row r="335" spans="1:22">
      <c r="A335" s="757">
        <f>'D-2 Off-Site Habitat Creation'!AF91</f>
        <v>0</v>
      </c>
      <c r="M335" s="757">
        <f>'E-2 Off-Site Hedge Creation'!AD92</f>
        <v>0</v>
      </c>
      <c r="V335" s="1">
        <f>'F-2 Off-Site WaterC'' Creation'!AG92</f>
        <v>0</v>
      </c>
    </row>
    <row r="336" spans="1:22">
      <c r="A336" s="757">
        <f>'D-2 Off-Site Habitat Creation'!AF92</f>
        <v>0</v>
      </c>
      <c r="M336" s="757">
        <f>'E-2 Off-Site Hedge Creation'!AD93</f>
        <v>0</v>
      </c>
      <c r="V336" s="1">
        <f>'F-2 Off-Site WaterC'' Creation'!AG93</f>
        <v>0</v>
      </c>
    </row>
    <row r="337" spans="1:22">
      <c r="A337" s="757">
        <f>'D-2 Off-Site Habitat Creation'!AF93</f>
        <v>0</v>
      </c>
      <c r="M337" s="757">
        <f>'E-2 Off-Site Hedge Creation'!AD94</f>
        <v>0</v>
      </c>
      <c r="V337" s="1">
        <f>'F-2 Off-Site WaterC'' Creation'!AG94</f>
        <v>0</v>
      </c>
    </row>
    <row r="338" spans="1:22">
      <c r="A338" s="757">
        <f>'D-2 Off-Site Habitat Creation'!AF94</f>
        <v>0</v>
      </c>
      <c r="M338" s="757">
        <f>'E-2 Off-Site Hedge Creation'!AD95</f>
        <v>0</v>
      </c>
      <c r="V338" s="1">
        <f>'F-2 Off-Site WaterC'' Creation'!AG95</f>
        <v>0</v>
      </c>
    </row>
    <row r="339" spans="1:22">
      <c r="A339" s="757">
        <f>'D-2 Off-Site Habitat Creation'!AF95</f>
        <v>0</v>
      </c>
      <c r="M339" s="757">
        <f>'E-2 Off-Site Hedge Creation'!AD96</f>
        <v>0</v>
      </c>
      <c r="V339" s="1">
        <f>'F-2 Off-Site WaterC'' Creation'!AG96</f>
        <v>0</v>
      </c>
    </row>
    <row r="340" spans="1:22">
      <c r="A340" s="757">
        <f>'D-2 Off-Site Habitat Creation'!AF96</f>
        <v>0</v>
      </c>
      <c r="M340" s="757">
        <f>'E-2 Off-Site Hedge Creation'!AD97</f>
        <v>0</v>
      </c>
      <c r="V340" s="1">
        <f>'F-2 Off-Site WaterC'' Creation'!AG97</f>
        <v>0</v>
      </c>
    </row>
    <row r="341" spans="1:22">
      <c r="A341" s="757">
        <f>'D-2 Off-Site Habitat Creation'!AF97</f>
        <v>0</v>
      </c>
      <c r="M341" s="757">
        <f>'E-2 Off-Site Hedge Creation'!AD98</f>
        <v>0</v>
      </c>
      <c r="V341" s="1">
        <f>'F-2 Off-Site WaterC'' Creation'!AG98</f>
        <v>0</v>
      </c>
    </row>
    <row r="342" spans="1:22">
      <c r="A342" s="757">
        <f>'D-2 Off-Site Habitat Creation'!AF98</f>
        <v>0</v>
      </c>
      <c r="M342" s="757">
        <f>'E-2 Off-Site Hedge Creation'!AD99</f>
        <v>0</v>
      </c>
      <c r="V342" s="1">
        <f>'F-2 Off-Site WaterC'' Creation'!AG99</f>
        <v>0</v>
      </c>
    </row>
    <row r="343" spans="1:22">
      <c r="A343" s="757">
        <f>'D-2 Off-Site Habitat Creation'!AF99</f>
        <v>0</v>
      </c>
      <c r="M343" s="757">
        <f>'E-2 Off-Site Hedge Creation'!AD100</f>
        <v>0</v>
      </c>
      <c r="V343" s="1">
        <f>'F-2 Off-Site WaterC'' Creation'!AG100</f>
        <v>0</v>
      </c>
    </row>
    <row r="344" spans="1:22">
      <c r="A344" s="757">
        <f>'D-2 Off-Site Habitat Creation'!AF100</f>
        <v>0</v>
      </c>
      <c r="M344" s="757">
        <f>'E-2 Off-Site Hedge Creation'!AD101</f>
        <v>0</v>
      </c>
      <c r="V344" s="1">
        <f>'F-2 Off-Site WaterC'' Creation'!AG101</f>
        <v>0</v>
      </c>
    </row>
    <row r="345" spans="1:22">
      <c r="A345" s="757">
        <f>'D-2 Off-Site Habitat Creation'!AF101</f>
        <v>0</v>
      </c>
      <c r="M345" s="757">
        <f>'E-2 Off-Site Hedge Creation'!AD102</f>
        <v>0</v>
      </c>
      <c r="V345" s="1">
        <f>'F-2 Off-Site WaterC'' Creation'!AG102</f>
        <v>0</v>
      </c>
    </row>
    <row r="346" spans="1:22">
      <c r="A346" s="757">
        <f>'D-2 Off-Site Habitat Creation'!AF102</f>
        <v>0</v>
      </c>
      <c r="M346" s="757">
        <f>'E-2 Off-Site Hedge Creation'!AD103</f>
        <v>0</v>
      </c>
      <c r="V346" s="1">
        <f>'F-2 Off-Site WaterC'' Creation'!AG103</f>
        <v>0</v>
      </c>
    </row>
    <row r="347" spans="1:22">
      <c r="A347" s="757">
        <f>'D-2 Off-Site Habitat Creation'!AF103</f>
        <v>0</v>
      </c>
      <c r="M347" s="757">
        <f>'E-2 Off-Site Hedge Creation'!AD104</f>
        <v>0</v>
      </c>
      <c r="V347" s="1">
        <f>'F-2 Off-Site WaterC'' Creation'!AG104</f>
        <v>0</v>
      </c>
    </row>
    <row r="348" spans="1:22">
      <c r="A348" s="757">
        <f>'D-2 Off-Site Habitat Creation'!AF104</f>
        <v>0</v>
      </c>
      <c r="M348" s="757">
        <f>'E-2 Off-Site Hedge Creation'!AD105</f>
        <v>0</v>
      </c>
      <c r="V348" s="1">
        <f>'F-2 Off-Site WaterC'' Creation'!AG105</f>
        <v>0</v>
      </c>
    </row>
    <row r="349" spans="1:22">
      <c r="A349" s="757">
        <f>'D-2 Off-Site Habitat Creation'!AF105</f>
        <v>0</v>
      </c>
      <c r="M349" s="757">
        <f>'E-2 Off-Site Hedge Creation'!AD106</f>
        <v>0</v>
      </c>
      <c r="V349" s="1">
        <f>'F-2 Off-Site WaterC'' Creation'!AG106</f>
        <v>0</v>
      </c>
    </row>
    <row r="350" spans="1:22">
      <c r="A350" s="757">
        <f>'D-2 Off-Site Habitat Creation'!AF106</f>
        <v>0</v>
      </c>
      <c r="M350" s="757">
        <f>'E-2 Off-Site Hedge Creation'!AD107</f>
        <v>0</v>
      </c>
      <c r="V350" s="1">
        <f>'F-2 Off-Site WaterC'' Creation'!AG107</f>
        <v>0</v>
      </c>
    </row>
    <row r="351" spans="1:22">
      <c r="A351" s="757">
        <f>'D-2 Off-Site Habitat Creation'!AF107</f>
        <v>0</v>
      </c>
      <c r="M351" s="757">
        <f>'E-2 Off-Site Hedge Creation'!AD108</f>
        <v>0</v>
      </c>
      <c r="V351" s="1">
        <f>'F-2 Off-Site WaterC'' Creation'!AG108</f>
        <v>0</v>
      </c>
    </row>
    <row r="352" spans="1:22">
      <c r="A352" s="757">
        <f>'D-2 Off-Site Habitat Creation'!AF108</f>
        <v>0</v>
      </c>
      <c r="M352" s="757">
        <f>'E-2 Off-Site Hedge Creation'!AD109</f>
        <v>0</v>
      </c>
      <c r="V352" s="1">
        <f>'F-2 Off-Site WaterC'' Creation'!AG109</f>
        <v>0</v>
      </c>
    </row>
    <row r="353" spans="1:22">
      <c r="A353" s="757">
        <f>'D-2 Off-Site Habitat Creation'!AF109</f>
        <v>0</v>
      </c>
      <c r="M353" s="757">
        <f>'E-2 Off-Site Hedge Creation'!AD110</f>
        <v>0</v>
      </c>
      <c r="V353" s="1">
        <f>'F-2 Off-Site WaterC'' Creation'!AG110</f>
        <v>0</v>
      </c>
    </row>
    <row r="354" spans="1:22">
      <c r="A354" s="757">
        <f>'D-2 Off-Site Habitat Creation'!AF110</f>
        <v>0</v>
      </c>
      <c r="M354" s="757">
        <f>'E-2 Off-Site Hedge Creation'!AD111</f>
        <v>0</v>
      </c>
      <c r="V354" s="1">
        <f>'F-2 Off-Site WaterC'' Creation'!AG111</f>
        <v>0</v>
      </c>
    </row>
    <row r="355" spans="1:22">
      <c r="A355" s="757">
        <f>'D-2 Off-Site Habitat Creation'!AF111</f>
        <v>0</v>
      </c>
      <c r="M355" s="757">
        <f>'E-2 Off-Site Hedge Creation'!AD112</f>
        <v>0</v>
      </c>
      <c r="V355" s="1">
        <f>'F-2 Off-Site WaterC'' Creation'!AG112</f>
        <v>0</v>
      </c>
    </row>
    <row r="356" spans="1:22">
      <c r="A356" s="757">
        <f>'D-2 Off-Site Habitat Creation'!AF112</f>
        <v>0</v>
      </c>
      <c r="M356" s="757">
        <f>'E-2 Off-Site Hedge Creation'!AD113</f>
        <v>0</v>
      </c>
      <c r="V356" s="1">
        <f>'F-2 Off-Site WaterC'' Creation'!AG113</f>
        <v>0</v>
      </c>
    </row>
    <row r="357" spans="1:22">
      <c r="A357" s="757">
        <f>'D-2 Off-Site Habitat Creation'!AF113</f>
        <v>0</v>
      </c>
      <c r="M357" s="757">
        <f>'E-2 Off-Site Hedge Creation'!AD114</f>
        <v>0</v>
      </c>
      <c r="V357" s="1">
        <f>'F-2 Off-Site WaterC'' Creation'!AG114</f>
        <v>0</v>
      </c>
    </row>
    <row r="358" spans="1:22">
      <c r="A358" s="757">
        <f>'D-2 Off-Site Habitat Creation'!AF114</f>
        <v>0</v>
      </c>
      <c r="M358" s="757">
        <f>'E-2 Off-Site Hedge Creation'!AD115</f>
        <v>0</v>
      </c>
      <c r="V358" s="1">
        <f>'F-2 Off-Site WaterC'' Creation'!AG115</f>
        <v>0</v>
      </c>
    </row>
    <row r="359" spans="1:22">
      <c r="A359" s="757">
        <f>'D-2 Off-Site Habitat Creation'!AF115</f>
        <v>0</v>
      </c>
      <c r="M359" s="757">
        <f>'E-2 Off-Site Hedge Creation'!AD116</f>
        <v>0</v>
      </c>
      <c r="V359" s="1">
        <f>'F-2 Off-Site WaterC'' Creation'!AG116</f>
        <v>0</v>
      </c>
    </row>
    <row r="360" spans="1:22">
      <c r="A360" s="757">
        <f>'D-2 Off-Site Habitat Creation'!AF116</f>
        <v>0</v>
      </c>
      <c r="M360" s="757">
        <f>'E-2 Off-Site Hedge Creation'!AD117</f>
        <v>0</v>
      </c>
      <c r="V360" s="1">
        <f>'F-2 Off-Site WaterC'' Creation'!AG117</f>
        <v>0</v>
      </c>
    </row>
    <row r="361" spans="1:22">
      <c r="A361" s="757">
        <f>'D-2 Off-Site Habitat Creation'!AF117</f>
        <v>0</v>
      </c>
      <c r="M361" s="757">
        <f>'E-2 Off-Site Hedge Creation'!AD118</f>
        <v>0</v>
      </c>
      <c r="V361" s="1">
        <f>'F-2 Off-Site WaterC'' Creation'!AG118</f>
        <v>0</v>
      </c>
    </row>
    <row r="362" spans="1:22">
      <c r="A362" s="757">
        <f>'D-2 Off-Site Habitat Creation'!AF118</f>
        <v>0</v>
      </c>
      <c r="M362" s="757">
        <f>'E-2 Off-Site Hedge Creation'!AD119</f>
        <v>0</v>
      </c>
      <c r="V362" s="1">
        <f>'F-2 Off-Site WaterC'' Creation'!AG119</f>
        <v>0</v>
      </c>
    </row>
    <row r="363" spans="1:22">
      <c r="A363" s="757">
        <f>'D-2 Off-Site Habitat Creation'!AF119</f>
        <v>0</v>
      </c>
      <c r="M363" s="757">
        <f>'E-2 Off-Site Hedge Creation'!AD120</f>
        <v>0</v>
      </c>
      <c r="V363" s="1">
        <f>'F-2 Off-Site WaterC'' Creation'!AG120</f>
        <v>0</v>
      </c>
    </row>
    <row r="364" spans="1:22">
      <c r="A364" s="757">
        <f>'D-2 Off-Site Habitat Creation'!AF120</f>
        <v>0</v>
      </c>
      <c r="M364" s="757">
        <f>'E-2 Off-Site Hedge Creation'!AD121</f>
        <v>0</v>
      </c>
      <c r="V364" s="1">
        <f>'F-2 Off-Site WaterC'' Creation'!AG121</f>
        <v>0</v>
      </c>
    </row>
    <row r="365" spans="1:22">
      <c r="A365" s="757">
        <f>'D-2 Off-Site Habitat Creation'!AF121</f>
        <v>0</v>
      </c>
      <c r="M365" s="757">
        <f>'E-2 Off-Site Hedge Creation'!AD122</f>
        <v>0</v>
      </c>
      <c r="V365" s="1">
        <f>'F-2 Off-Site WaterC'' Creation'!AG122</f>
        <v>0</v>
      </c>
    </row>
    <row r="366" spans="1:22">
      <c r="A366" s="757">
        <f>'D-2 Off-Site Habitat Creation'!AF122</f>
        <v>0</v>
      </c>
      <c r="M366" s="757">
        <f>'E-2 Off-Site Hedge Creation'!AD123</f>
        <v>0</v>
      </c>
      <c r="V366" s="1">
        <f>'F-2 Off-Site WaterC'' Creation'!AG123</f>
        <v>0</v>
      </c>
    </row>
    <row r="367" spans="1:22">
      <c r="A367" s="757">
        <f>'D-2 Off-Site Habitat Creation'!AF123</f>
        <v>0</v>
      </c>
      <c r="M367" s="757">
        <f>'E-2 Off-Site Hedge Creation'!AD124</f>
        <v>0</v>
      </c>
      <c r="V367" s="1">
        <f>'F-2 Off-Site WaterC'' Creation'!AG124</f>
        <v>0</v>
      </c>
    </row>
    <row r="368" spans="1:22">
      <c r="A368" s="757">
        <f>'D-2 Off-Site Habitat Creation'!AF124</f>
        <v>0</v>
      </c>
      <c r="M368" s="757">
        <f>'E-2 Off-Site Hedge Creation'!AD125</f>
        <v>0</v>
      </c>
      <c r="V368" s="1">
        <f>'F-2 Off-Site WaterC'' Creation'!AG125</f>
        <v>0</v>
      </c>
    </row>
    <row r="369" spans="1:22">
      <c r="A369" s="757">
        <f>'D-2 Off-Site Habitat Creation'!AF125</f>
        <v>0</v>
      </c>
      <c r="M369" s="757">
        <f>'E-2 Off-Site Hedge Creation'!AD126</f>
        <v>0</v>
      </c>
      <c r="V369" s="1">
        <f>'F-2 Off-Site WaterC'' Creation'!AG126</f>
        <v>0</v>
      </c>
    </row>
    <row r="370" spans="1:22">
      <c r="A370" s="757">
        <f>'D-2 Off-Site Habitat Creation'!AF126</f>
        <v>0</v>
      </c>
      <c r="M370" s="757">
        <f>'E-2 Off-Site Hedge Creation'!AD127</f>
        <v>0</v>
      </c>
      <c r="V370" s="1">
        <f>'F-2 Off-Site WaterC'' Creation'!AG127</f>
        <v>0</v>
      </c>
    </row>
    <row r="371" spans="1:22">
      <c r="A371" s="757">
        <f>'D-2 Off-Site Habitat Creation'!AF127</f>
        <v>0</v>
      </c>
      <c r="M371" s="757">
        <f>'E-2 Off-Site Hedge Creation'!AD128</f>
        <v>0</v>
      </c>
      <c r="V371" s="1">
        <f>'F-2 Off-Site WaterC'' Creation'!AG128</f>
        <v>0</v>
      </c>
    </row>
    <row r="372" spans="1:22">
      <c r="A372" s="757">
        <f>'D-2 Off-Site Habitat Creation'!AF128</f>
        <v>0</v>
      </c>
      <c r="M372" s="757">
        <f>'E-2 Off-Site Hedge Creation'!AD129</f>
        <v>0</v>
      </c>
      <c r="V372" s="1">
        <f>'F-2 Off-Site WaterC'' Creation'!AG129</f>
        <v>0</v>
      </c>
    </row>
    <row r="373" spans="1:22">
      <c r="A373" s="757">
        <f>'D-2 Off-Site Habitat Creation'!AF129</f>
        <v>0</v>
      </c>
      <c r="M373" s="757">
        <f>'E-2 Off-Site Hedge Creation'!AD130</f>
        <v>0</v>
      </c>
      <c r="V373" s="1">
        <f>'F-2 Off-Site WaterC'' Creation'!AG130</f>
        <v>0</v>
      </c>
    </row>
    <row r="374" spans="1:22">
      <c r="A374" s="757">
        <f>'D-2 Off-Site Habitat Creation'!AF130</f>
        <v>0</v>
      </c>
      <c r="M374" s="757">
        <f>'E-2 Off-Site Hedge Creation'!AD131</f>
        <v>0</v>
      </c>
      <c r="V374" s="1">
        <f>'F-2 Off-Site WaterC'' Creation'!AG131</f>
        <v>0</v>
      </c>
    </row>
    <row r="375" spans="1:22">
      <c r="A375" s="757">
        <f>'D-2 Off-Site Habitat Creation'!AF131</f>
        <v>0</v>
      </c>
      <c r="M375" s="757">
        <f>'E-2 Off-Site Hedge Creation'!AD132</f>
        <v>0</v>
      </c>
      <c r="V375" s="1">
        <f>'F-2 Off-Site WaterC'' Creation'!AG132</f>
        <v>0</v>
      </c>
    </row>
    <row r="376" spans="1:22">
      <c r="A376" s="757">
        <f>'D-2 Off-Site Habitat Creation'!AF132</f>
        <v>0</v>
      </c>
      <c r="M376" s="757">
        <f>'E-2 Off-Site Hedge Creation'!AD133</f>
        <v>0</v>
      </c>
      <c r="V376" s="1">
        <f>'F-2 Off-Site WaterC'' Creation'!AG133</f>
        <v>0</v>
      </c>
    </row>
    <row r="377" spans="1:22">
      <c r="A377" s="757">
        <f>'D-2 Off-Site Habitat Creation'!AF133</f>
        <v>0</v>
      </c>
      <c r="M377" s="757">
        <f>'E-2 Off-Site Hedge Creation'!AD134</f>
        <v>0</v>
      </c>
      <c r="V377" s="1">
        <f>'F-2 Off-Site WaterC'' Creation'!AG134</f>
        <v>0</v>
      </c>
    </row>
    <row r="378" spans="1:22">
      <c r="A378" s="757">
        <f>'D-2 Off-Site Habitat Creation'!AF134</f>
        <v>0</v>
      </c>
      <c r="M378" s="757">
        <f>'E-2 Off-Site Hedge Creation'!AD135</f>
        <v>0</v>
      </c>
      <c r="V378" s="1">
        <f>'F-2 Off-Site WaterC'' Creation'!AG135</f>
        <v>0</v>
      </c>
    </row>
    <row r="379" spans="1:22">
      <c r="A379" s="757">
        <f>'D-2 Off-Site Habitat Creation'!AF135</f>
        <v>0</v>
      </c>
      <c r="M379" s="757">
        <f>'E-2 Off-Site Hedge Creation'!AD136</f>
        <v>0</v>
      </c>
      <c r="V379" s="1">
        <f>'F-2 Off-Site WaterC'' Creation'!AG136</f>
        <v>0</v>
      </c>
    </row>
    <row r="380" spans="1:22">
      <c r="A380" s="757">
        <f>'D-2 Off-Site Habitat Creation'!AF136</f>
        <v>0</v>
      </c>
      <c r="M380" s="757">
        <f>'E-2 Off-Site Hedge Creation'!AD137</f>
        <v>0</v>
      </c>
      <c r="V380" s="1">
        <f>'F-2 Off-Site WaterC'' Creation'!AG137</f>
        <v>0</v>
      </c>
    </row>
    <row r="381" spans="1:22">
      <c r="A381" s="757">
        <f>'D-2 Off-Site Habitat Creation'!AF137</f>
        <v>0</v>
      </c>
      <c r="M381" s="757">
        <f>'E-2 Off-Site Hedge Creation'!AD138</f>
        <v>0</v>
      </c>
      <c r="V381" s="1">
        <f>'F-2 Off-Site WaterC'' Creation'!AG138</f>
        <v>0</v>
      </c>
    </row>
    <row r="382" spans="1:22">
      <c r="A382" s="757">
        <f>'D-2 Off-Site Habitat Creation'!AF138</f>
        <v>0</v>
      </c>
      <c r="M382" s="757">
        <f>'E-2 Off-Site Hedge Creation'!AD139</f>
        <v>0</v>
      </c>
      <c r="V382" s="1">
        <f>'F-2 Off-Site WaterC'' Creation'!AG139</f>
        <v>0</v>
      </c>
    </row>
    <row r="383" spans="1:22">
      <c r="A383" s="757">
        <f>'D-2 Off-Site Habitat Creation'!AF139</f>
        <v>0</v>
      </c>
      <c r="M383" s="757">
        <f>'E-2 Off-Site Hedge Creation'!AD140</f>
        <v>0</v>
      </c>
      <c r="V383" s="1">
        <f>'F-2 Off-Site WaterC'' Creation'!AG140</f>
        <v>0</v>
      </c>
    </row>
    <row r="384" spans="1:22">
      <c r="A384" s="757">
        <f>'D-2 Off-Site Habitat Creation'!AF140</f>
        <v>0</v>
      </c>
      <c r="M384" s="757">
        <f>'E-2 Off-Site Hedge Creation'!AD141</f>
        <v>0</v>
      </c>
      <c r="V384" s="1">
        <f>'F-2 Off-Site WaterC'' Creation'!AG141</f>
        <v>0</v>
      </c>
    </row>
    <row r="385" spans="1:22">
      <c r="A385" s="757">
        <f>'D-2 Off-Site Habitat Creation'!AF141</f>
        <v>0</v>
      </c>
      <c r="M385" s="757">
        <f>'E-2 Off-Site Hedge Creation'!AD142</f>
        <v>0</v>
      </c>
      <c r="V385" s="1">
        <f>'F-2 Off-Site WaterC'' Creation'!AG142</f>
        <v>0</v>
      </c>
    </row>
    <row r="386" spans="1:22">
      <c r="A386" s="757">
        <f>'D-2 Off-Site Habitat Creation'!AF142</f>
        <v>0</v>
      </c>
      <c r="M386" s="757">
        <f>'E-2 Off-Site Hedge Creation'!AD143</f>
        <v>0</v>
      </c>
      <c r="V386" s="1">
        <f>'F-2 Off-Site WaterC'' Creation'!AG143</f>
        <v>0</v>
      </c>
    </row>
    <row r="387" spans="1:22">
      <c r="A387" s="757">
        <f>'D-2 Off-Site Habitat Creation'!AF143</f>
        <v>0</v>
      </c>
      <c r="M387" s="757">
        <f>'E-2 Off-Site Hedge Creation'!AD144</f>
        <v>0</v>
      </c>
      <c r="V387" s="1">
        <f>'F-2 Off-Site WaterC'' Creation'!AG144</f>
        <v>0</v>
      </c>
    </row>
    <row r="388" spans="1:22">
      <c r="A388" s="757">
        <f>'D-2 Off-Site Habitat Creation'!AF144</f>
        <v>0</v>
      </c>
      <c r="M388" s="757">
        <f>'E-2 Off-Site Hedge Creation'!AD145</f>
        <v>0</v>
      </c>
      <c r="V388" s="1">
        <f>'F-2 Off-Site WaterC'' Creation'!AG145</f>
        <v>0</v>
      </c>
    </row>
    <row r="389" spans="1:22">
      <c r="A389" s="757">
        <f>'D-2 Off-Site Habitat Creation'!AF145</f>
        <v>0</v>
      </c>
      <c r="M389" s="757">
        <f>'E-2 Off-Site Hedge Creation'!AD146</f>
        <v>0</v>
      </c>
      <c r="V389" s="1">
        <f>'F-2 Off-Site WaterC'' Creation'!AG146</f>
        <v>0</v>
      </c>
    </row>
    <row r="390" spans="1:22">
      <c r="A390" s="757">
        <f>'D-2 Off-Site Habitat Creation'!AF146</f>
        <v>0</v>
      </c>
      <c r="M390" s="757">
        <f>'E-2 Off-Site Hedge Creation'!AD147</f>
        <v>0</v>
      </c>
      <c r="V390" s="1">
        <f>'F-2 Off-Site WaterC'' Creation'!AG147</f>
        <v>0</v>
      </c>
    </row>
    <row r="391" spans="1:22">
      <c r="A391" s="757">
        <f>'D-2 Off-Site Habitat Creation'!AF147</f>
        <v>0</v>
      </c>
      <c r="M391" s="757">
        <f>'E-2 Off-Site Hedge Creation'!AD148</f>
        <v>0</v>
      </c>
      <c r="V391" s="1">
        <f>'F-2 Off-Site WaterC'' Creation'!AG148</f>
        <v>0</v>
      </c>
    </row>
    <row r="392" spans="1:22">
      <c r="A392" s="757">
        <f>'D-2 Off-Site Habitat Creation'!AF148</f>
        <v>0</v>
      </c>
      <c r="M392" s="757">
        <f>'E-2 Off-Site Hedge Creation'!AD149</f>
        <v>0</v>
      </c>
      <c r="V392" s="1">
        <f>'F-2 Off-Site WaterC'' Creation'!AG149</f>
        <v>0</v>
      </c>
    </row>
    <row r="393" spans="1:22">
      <c r="A393" s="757">
        <f>'D-2 Off-Site Habitat Creation'!AF149</f>
        <v>0</v>
      </c>
      <c r="M393" s="757">
        <f>'E-2 Off-Site Hedge Creation'!AD150</f>
        <v>0</v>
      </c>
      <c r="V393" s="1">
        <f>'F-2 Off-Site WaterC'' Creation'!AG150</f>
        <v>0</v>
      </c>
    </row>
    <row r="394" spans="1:22">
      <c r="A394" s="757">
        <f>'D-2 Off-Site Habitat Creation'!AF150</f>
        <v>0</v>
      </c>
      <c r="M394" s="757">
        <f>'E-2 Off-Site Hedge Creation'!AD151</f>
        <v>0</v>
      </c>
      <c r="V394" s="1">
        <f>'F-2 Off-Site WaterC'' Creation'!AG151</f>
        <v>0</v>
      </c>
    </row>
    <row r="395" spans="1:22">
      <c r="A395" s="757">
        <f>'D-2 Off-Site Habitat Creation'!AF151</f>
        <v>0</v>
      </c>
      <c r="M395" s="757">
        <f>'E-2 Off-Site Hedge Creation'!AD152</f>
        <v>0</v>
      </c>
      <c r="V395" s="1">
        <f>'F-2 Off-Site WaterC'' Creation'!AG152</f>
        <v>0</v>
      </c>
    </row>
    <row r="396" spans="1:22">
      <c r="A396" s="757">
        <f>'D-2 Off-Site Habitat Creation'!AF152</f>
        <v>0</v>
      </c>
      <c r="M396" s="757">
        <f>'E-2 Off-Site Hedge Creation'!AD153</f>
        <v>0</v>
      </c>
      <c r="V396" s="1">
        <f>'F-2 Off-Site WaterC'' Creation'!AG153</f>
        <v>0</v>
      </c>
    </row>
    <row r="397" spans="1:22">
      <c r="A397" s="757">
        <f>'D-2 Off-Site Habitat Creation'!AF153</f>
        <v>0</v>
      </c>
      <c r="M397" s="757">
        <f>'E-2 Off-Site Hedge Creation'!AD154</f>
        <v>0</v>
      </c>
      <c r="V397" s="1">
        <f>'F-2 Off-Site WaterC'' Creation'!AG154</f>
        <v>0</v>
      </c>
    </row>
    <row r="398" spans="1:22">
      <c r="A398" s="757">
        <f>'D-2 Off-Site Habitat Creation'!AF154</f>
        <v>0</v>
      </c>
      <c r="M398" s="757">
        <f>'E-2 Off-Site Hedge Creation'!AD155</f>
        <v>0</v>
      </c>
      <c r="V398" s="1">
        <f>'F-2 Off-Site WaterC'' Creation'!AG155</f>
        <v>0</v>
      </c>
    </row>
    <row r="399" spans="1:22">
      <c r="A399" s="757">
        <f>'D-2 Off-Site Habitat Creation'!AF155</f>
        <v>0</v>
      </c>
      <c r="M399" s="757">
        <f>'E-2 Off-Site Hedge Creation'!AD156</f>
        <v>0</v>
      </c>
      <c r="V399" s="1">
        <f>'F-2 Off-Site WaterC'' Creation'!AG156</f>
        <v>0</v>
      </c>
    </row>
    <row r="400" spans="1:22">
      <c r="A400" s="757">
        <f>'D-2 Off-Site Habitat Creation'!AF156</f>
        <v>0</v>
      </c>
      <c r="M400" s="757">
        <f>'E-2 Off-Site Hedge Creation'!AD157</f>
        <v>0</v>
      </c>
      <c r="V400" s="1">
        <f>'F-2 Off-Site WaterC'' Creation'!AG157</f>
        <v>0</v>
      </c>
    </row>
    <row r="401" spans="1:22">
      <c r="A401" s="757">
        <f>'D-2 Off-Site Habitat Creation'!AF157</f>
        <v>0</v>
      </c>
      <c r="M401" s="757">
        <f>'E-2 Off-Site Hedge Creation'!AD158</f>
        <v>0</v>
      </c>
      <c r="V401" s="1">
        <f>'F-2 Off-Site WaterC'' Creation'!AG158</f>
        <v>0</v>
      </c>
    </row>
    <row r="402" spans="1:22">
      <c r="A402" s="757">
        <f>'D-2 Off-Site Habitat Creation'!AF158</f>
        <v>0</v>
      </c>
      <c r="M402" s="757">
        <f>'E-2 Off-Site Hedge Creation'!AD159</f>
        <v>0</v>
      </c>
      <c r="V402" s="1">
        <f>'F-2 Off-Site WaterC'' Creation'!AG159</f>
        <v>0</v>
      </c>
    </row>
    <row r="403" spans="1:22">
      <c r="A403" s="757">
        <f>'D-2 Off-Site Habitat Creation'!AF159</f>
        <v>0</v>
      </c>
      <c r="M403" s="757">
        <f>'E-2 Off-Site Hedge Creation'!AD160</f>
        <v>0</v>
      </c>
      <c r="V403" s="1">
        <f>'F-2 Off-Site WaterC'' Creation'!AG160</f>
        <v>0</v>
      </c>
    </row>
    <row r="404" spans="1:22">
      <c r="A404" s="757">
        <f>'D-2 Off-Site Habitat Creation'!AF160</f>
        <v>0</v>
      </c>
      <c r="M404" s="757">
        <f>'E-2 Off-Site Hedge Creation'!AD161</f>
        <v>0</v>
      </c>
      <c r="V404" s="1">
        <f>'F-2 Off-Site WaterC'' Creation'!AG161</f>
        <v>0</v>
      </c>
    </row>
    <row r="405" spans="1:22">
      <c r="A405" s="757">
        <f>'D-2 Off-Site Habitat Creation'!AF161</f>
        <v>0</v>
      </c>
      <c r="M405" s="757">
        <f>'E-2 Off-Site Hedge Creation'!AD162</f>
        <v>0</v>
      </c>
      <c r="V405" s="1">
        <f>'F-2 Off-Site WaterC'' Creation'!AG162</f>
        <v>0</v>
      </c>
    </row>
    <row r="406" spans="1:22">
      <c r="A406" s="757">
        <f>'D-2 Off-Site Habitat Creation'!AF162</f>
        <v>0</v>
      </c>
      <c r="M406" s="757">
        <f>'E-2 Off-Site Hedge Creation'!AD163</f>
        <v>0</v>
      </c>
      <c r="V406" s="1">
        <f>'F-2 Off-Site WaterC'' Creation'!AG163</f>
        <v>0</v>
      </c>
    </row>
    <row r="407" spans="1:22">
      <c r="A407" s="757">
        <f>'D-2 Off-Site Habitat Creation'!AF163</f>
        <v>0</v>
      </c>
      <c r="M407" s="757">
        <f>'E-2 Off-Site Hedge Creation'!AD164</f>
        <v>0</v>
      </c>
      <c r="V407" s="1">
        <f>'F-2 Off-Site WaterC'' Creation'!AG164</f>
        <v>0</v>
      </c>
    </row>
    <row r="408" spans="1:22">
      <c r="A408" s="757">
        <f>'D-2 Off-Site Habitat Creation'!AF164</f>
        <v>0</v>
      </c>
      <c r="M408" s="757">
        <f>'E-2 Off-Site Hedge Creation'!AD165</f>
        <v>0</v>
      </c>
      <c r="V408" s="1">
        <f>'F-2 Off-Site WaterC'' Creation'!AG165</f>
        <v>0</v>
      </c>
    </row>
    <row r="409" spans="1:22">
      <c r="A409" s="757">
        <f>'D-2 Off-Site Habitat Creation'!AF165</f>
        <v>0</v>
      </c>
      <c r="M409" s="757">
        <f>'E-2 Off-Site Hedge Creation'!AD166</f>
        <v>0</v>
      </c>
      <c r="V409" s="1">
        <f>'F-2 Off-Site WaterC'' Creation'!AG166</f>
        <v>0</v>
      </c>
    </row>
    <row r="410" spans="1:22">
      <c r="A410" s="757">
        <f>'D-2 Off-Site Habitat Creation'!AF166</f>
        <v>0</v>
      </c>
      <c r="M410" s="757">
        <f>'E-2 Off-Site Hedge Creation'!AD167</f>
        <v>0</v>
      </c>
      <c r="V410" s="1">
        <f>'F-2 Off-Site WaterC'' Creation'!AG167</f>
        <v>0</v>
      </c>
    </row>
    <row r="411" spans="1:22">
      <c r="A411" s="757">
        <f>'D-2 Off-Site Habitat Creation'!AF167</f>
        <v>0</v>
      </c>
      <c r="M411" s="757">
        <f>'E-2 Off-Site Hedge Creation'!AD168</f>
        <v>0</v>
      </c>
      <c r="V411" s="1">
        <f>'F-2 Off-Site WaterC'' Creation'!AG168</f>
        <v>0</v>
      </c>
    </row>
    <row r="412" spans="1:22">
      <c r="A412" s="757">
        <f>'D-2 Off-Site Habitat Creation'!AF168</f>
        <v>0</v>
      </c>
      <c r="M412" s="757">
        <f>'E-2 Off-Site Hedge Creation'!AD169</f>
        <v>0</v>
      </c>
      <c r="V412" s="1">
        <f>'F-2 Off-Site WaterC'' Creation'!AG169</f>
        <v>0</v>
      </c>
    </row>
    <row r="413" spans="1:22">
      <c r="A413" s="757">
        <f>'D-2 Off-Site Habitat Creation'!AF169</f>
        <v>0</v>
      </c>
      <c r="M413" s="757">
        <f>'E-2 Off-Site Hedge Creation'!AD170</f>
        <v>0</v>
      </c>
      <c r="V413" s="1">
        <f>'F-2 Off-Site WaterC'' Creation'!AG170</f>
        <v>0</v>
      </c>
    </row>
    <row r="414" spans="1:22">
      <c r="A414" s="757">
        <f>'D-2 Off-Site Habitat Creation'!AF170</f>
        <v>0</v>
      </c>
      <c r="M414" s="757">
        <f>'E-2 Off-Site Hedge Creation'!AD171</f>
        <v>0</v>
      </c>
      <c r="V414" s="1">
        <f>'F-2 Off-Site WaterC'' Creation'!AG171</f>
        <v>0</v>
      </c>
    </row>
    <row r="415" spans="1:22">
      <c r="A415" s="757">
        <f>'D-2 Off-Site Habitat Creation'!AF171</f>
        <v>0</v>
      </c>
      <c r="M415" s="757">
        <f>'E-2 Off-Site Hedge Creation'!AD172</f>
        <v>0</v>
      </c>
      <c r="V415" s="1">
        <f>'F-2 Off-Site WaterC'' Creation'!AG172</f>
        <v>0</v>
      </c>
    </row>
    <row r="416" spans="1:22">
      <c r="A416" s="757">
        <f>'D-2 Off-Site Habitat Creation'!AF172</f>
        <v>0</v>
      </c>
      <c r="M416" s="757">
        <f>'E-2 Off-Site Hedge Creation'!AD173</f>
        <v>0</v>
      </c>
      <c r="V416" s="1">
        <f>'F-2 Off-Site WaterC'' Creation'!AG173</f>
        <v>0</v>
      </c>
    </row>
    <row r="417" spans="1:22">
      <c r="A417" s="757">
        <f>'D-2 Off-Site Habitat Creation'!AF173</f>
        <v>0</v>
      </c>
      <c r="M417" s="757">
        <f>'E-2 Off-Site Hedge Creation'!AD174</f>
        <v>0</v>
      </c>
      <c r="V417" s="1">
        <f>'F-2 Off-Site WaterC'' Creation'!AG174</f>
        <v>0</v>
      </c>
    </row>
    <row r="418" spans="1:22">
      <c r="A418" s="757">
        <f>'D-2 Off-Site Habitat Creation'!AF174</f>
        <v>0</v>
      </c>
      <c r="M418" s="757">
        <f>'E-2 Off-Site Hedge Creation'!AD175</f>
        <v>0</v>
      </c>
      <c r="V418" s="1">
        <f>'F-2 Off-Site WaterC'' Creation'!AG175</f>
        <v>0</v>
      </c>
    </row>
    <row r="419" spans="1:22">
      <c r="A419" s="757">
        <f>'D-2 Off-Site Habitat Creation'!AF175</f>
        <v>0</v>
      </c>
      <c r="M419" s="757">
        <f>'E-2 Off-Site Hedge Creation'!AD176</f>
        <v>0</v>
      </c>
      <c r="V419" s="1">
        <f>'F-2 Off-Site WaterC'' Creation'!AG176</f>
        <v>0</v>
      </c>
    </row>
    <row r="420" spans="1:22">
      <c r="A420" s="757">
        <f>'D-2 Off-Site Habitat Creation'!AF176</f>
        <v>0</v>
      </c>
      <c r="M420" s="757">
        <f>'E-2 Off-Site Hedge Creation'!AD177</f>
        <v>0</v>
      </c>
      <c r="V420" s="1">
        <f>'F-2 Off-Site WaterC'' Creation'!AG177</f>
        <v>0</v>
      </c>
    </row>
    <row r="421" spans="1:22">
      <c r="A421" s="757">
        <f>'D-2 Off-Site Habitat Creation'!AF177</f>
        <v>0</v>
      </c>
      <c r="M421" s="757">
        <f>'E-2 Off-Site Hedge Creation'!AD178</f>
        <v>0</v>
      </c>
      <c r="V421" s="1">
        <f>'F-2 Off-Site WaterC'' Creation'!AG178</f>
        <v>0</v>
      </c>
    </row>
    <row r="422" spans="1:22">
      <c r="A422" s="757">
        <f>'D-2 Off-Site Habitat Creation'!AF178</f>
        <v>0</v>
      </c>
      <c r="M422" s="757">
        <f>'E-2 Off-Site Hedge Creation'!AD179</f>
        <v>0</v>
      </c>
      <c r="V422" s="1">
        <f>'F-2 Off-Site WaterC'' Creation'!AG179</f>
        <v>0</v>
      </c>
    </row>
    <row r="423" spans="1:22">
      <c r="A423" s="757">
        <f>'D-2 Off-Site Habitat Creation'!AF179</f>
        <v>0</v>
      </c>
      <c r="M423" s="757">
        <f>'E-2 Off-Site Hedge Creation'!AD180</f>
        <v>0</v>
      </c>
      <c r="V423" s="1">
        <f>'F-2 Off-Site WaterC'' Creation'!AG180</f>
        <v>0</v>
      </c>
    </row>
    <row r="424" spans="1:22">
      <c r="A424" s="757">
        <f>'D-2 Off-Site Habitat Creation'!AF180</f>
        <v>0</v>
      </c>
      <c r="M424" s="757">
        <f>'E-2 Off-Site Hedge Creation'!AD181</f>
        <v>0</v>
      </c>
      <c r="V424" s="1">
        <f>'F-2 Off-Site WaterC'' Creation'!AG181</f>
        <v>0</v>
      </c>
    </row>
    <row r="425" spans="1:22">
      <c r="A425" s="757">
        <f>'D-2 Off-Site Habitat Creation'!AF181</f>
        <v>0</v>
      </c>
      <c r="M425" s="757">
        <f>'E-2 Off-Site Hedge Creation'!AD182</f>
        <v>0</v>
      </c>
      <c r="V425" s="1">
        <f>'F-2 Off-Site WaterC'' Creation'!AG182</f>
        <v>0</v>
      </c>
    </row>
    <row r="426" spans="1:22">
      <c r="A426" s="757">
        <f>'D-2 Off-Site Habitat Creation'!AF182</f>
        <v>0</v>
      </c>
      <c r="M426" s="757">
        <f>'E-2 Off-Site Hedge Creation'!AD183</f>
        <v>0</v>
      </c>
      <c r="V426" s="1">
        <f>'F-2 Off-Site WaterC'' Creation'!AG183</f>
        <v>0</v>
      </c>
    </row>
    <row r="427" spans="1:22">
      <c r="A427" s="757">
        <f>'D-2 Off-Site Habitat Creation'!AF183</f>
        <v>0</v>
      </c>
      <c r="M427" s="757">
        <f>'E-2 Off-Site Hedge Creation'!AD184</f>
        <v>0</v>
      </c>
      <c r="V427" s="1">
        <f>'F-2 Off-Site WaterC'' Creation'!AG184</f>
        <v>0</v>
      </c>
    </row>
    <row r="428" spans="1:22">
      <c r="A428" s="757">
        <f>'D-2 Off-Site Habitat Creation'!AF184</f>
        <v>0</v>
      </c>
      <c r="M428" s="757">
        <f>'E-2 Off-Site Hedge Creation'!AD185</f>
        <v>0</v>
      </c>
      <c r="V428" s="1">
        <f>'F-2 Off-Site WaterC'' Creation'!AG185</f>
        <v>0</v>
      </c>
    </row>
    <row r="429" spans="1:22">
      <c r="A429" s="757">
        <f>'D-2 Off-Site Habitat Creation'!AF185</f>
        <v>0</v>
      </c>
      <c r="M429" s="757">
        <f>'E-2 Off-Site Hedge Creation'!AD186</f>
        <v>0</v>
      </c>
      <c r="V429" s="1">
        <f>'F-2 Off-Site WaterC'' Creation'!AG186</f>
        <v>0</v>
      </c>
    </row>
    <row r="430" spans="1:22">
      <c r="A430" s="757">
        <f>'D-2 Off-Site Habitat Creation'!AF186</f>
        <v>0</v>
      </c>
      <c r="M430" s="757">
        <f>'E-2 Off-Site Hedge Creation'!AD187</f>
        <v>0</v>
      </c>
      <c r="V430" s="1">
        <f>'F-2 Off-Site WaterC'' Creation'!AG187</f>
        <v>0</v>
      </c>
    </row>
    <row r="431" spans="1:22">
      <c r="A431" s="757">
        <f>'D-2 Off-Site Habitat Creation'!AF187</f>
        <v>0</v>
      </c>
      <c r="M431" s="757">
        <f>'E-2 Off-Site Hedge Creation'!AD188</f>
        <v>0</v>
      </c>
      <c r="V431" s="1">
        <f>'F-2 Off-Site WaterC'' Creation'!AG188</f>
        <v>0</v>
      </c>
    </row>
    <row r="432" spans="1:22">
      <c r="A432" s="757">
        <f>'D-2 Off-Site Habitat Creation'!AF188</f>
        <v>0</v>
      </c>
      <c r="M432" s="757">
        <f>'E-2 Off-Site Hedge Creation'!AD189</f>
        <v>0</v>
      </c>
      <c r="V432" s="1">
        <f>'F-2 Off-Site WaterC'' Creation'!AG189</f>
        <v>0</v>
      </c>
    </row>
    <row r="433" spans="1:22">
      <c r="A433" s="757">
        <f>'D-2 Off-Site Habitat Creation'!AF189</f>
        <v>0</v>
      </c>
      <c r="M433" s="757">
        <f>'E-2 Off-Site Hedge Creation'!AD190</f>
        <v>0</v>
      </c>
      <c r="V433" s="1">
        <f>'F-2 Off-Site WaterC'' Creation'!AG190</f>
        <v>0</v>
      </c>
    </row>
    <row r="434" spans="1:22">
      <c r="A434" s="757">
        <f>'D-2 Off-Site Habitat Creation'!AF190</f>
        <v>0</v>
      </c>
      <c r="M434" s="757">
        <f>'E-2 Off-Site Hedge Creation'!AD191</f>
        <v>0</v>
      </c>
      <c r="V434" s="1">
        <f>'F-2 Off-Site WaterC'' Creation'!AG191</f>
        <v>0</v>
      </c>
    </row>
    <row r="435" spans="1:22">
      <c r="A435" s="757">
        <f>'D-2 Off-Site Habitat Creation'!AF191</f>
        <v>0</v>
      </c>
      <c r="M435" s="757">
        <f>'E-2 Off-Site Hedge Creation'!AD192</f>
        <v>0</v>
      </c>
      <c r="V435" s="1">
        <f>'F-2 Off-Site WaterC'' Creation'!AG192</f>
        <v>0</v>
      </c>
    </row>
    <row r="436" spans="1:22">
      <c r="A436" s="757">
        <f>'D-2 Off-Site Habitat Creation'!AF192</f>
        <v>0</v>
      </c>
      <c r="M436" s="757">
        <f>'E-2 Off-Site Hedge Creation'!AD193</f>
        <v>0</v>
      </c>
      <c r="V436" s="1">
        <f>'F-2 Off-Site WaterC'' Creation'!AG193</f>
        <v>0</v>
      </c>
    </row>
    <row r="437" spans="1:22">
      <c r="A437" s="757">
        <f>'D-2 Off-Site Habitat Creation'!AF193</f>
        <v>0</v>
      </c>
      <c r="M437" s="757">
        <f>'E-2 Off-Site Hedge Creation'!AD194</f>
        <v>0</v>
      </c>
      <c r="V437" s="1">
        <f>'F-2 Off-Site WaterC'' Creation'!AG194</f>
        <v>0</v>
      </c>
    </row>
    <row r="438" spans="1:22">
      <c r="A438" s="757">
        <f>'D-2 Off-Site Habitat Creation'!AF194</f>
        <v>0</v>
      </c>
      <c r="M438" s="757">
        <f>'E-2 Off-Site Hedge Creation'!AD195</f>
        <v>0</v>
      </c>
      <c r="V438" s="1">
        <f>'F-2 Off-Site WaterC'' Creation'!AG195</f>
        <v>0</v>
      </c>
    </row>
    <row r="439" spans="1:22">
      <c r="A439" s="757">
        <f>'D-2 Off-Site Habitat Creation'!AF195</f>
        <v>0</v>
      </c>
      <c r="M439" s="757">
        <f>'E-2 Off-Site Hedge Creation'!AD196</f>
        <v>0</v>
      </c>
      <c r="V439" s="1">
        <f>'F-2 Off-Site WaterC'' Creation'!AG196</f>
        <v>0</v>
      </c>
    </row>
    <row r="440" spans="1:22">
      <c r="A440" s="757">
        <f>'D-2 Off-Site Habitat Creation'!AF196</f>
        <v>0</v>
      </c>
      <c r="M440" s="757">
        <f>'E-2 Off-Site Hedge Creation'!AD197</f>
        <v>0</v>
      </c>
      <c r="V440" s="1">
        <f>'F-2 Off-Site WaterC'' Creation'!AG197</f>
        <v>0</v>
      </c>
    </row>
    <row r="441" spans="1:22">
      <c r="A441" s="757">
        <f>'D-2 Off-Site Habitat Creation'!AF197</f>
        <v>0</v>
      </c>
      <c r="M441" s="757">
        <f>'E-2 Off-Site Hedge Creation'!AD198</f>
        <v>0</v>
      </c>
      <c r="V441" s="1">
        <f>'F-2 Off-Site WaterC'' Creation'!AG198</f>
        <v>0</v>
      </c>
    </row>
    <row r="442" spans="1:22">
      <c r="A442" s="757">
        <f>'D-2 Off-Site Habitat Creation'!AF198</f>
        <v>0</v>
      </c>
      <c r="M442" s="757">
        <f>'E-2 Off-Site Hedge Creation'!AD199</f>
        <v>0</v>
      </c>
      <c r="V442" s="1">
        <f>'F-2 Off-Site WaterC'' Creation'!AG199</f>
        <v>0</v>
      </c>
    </row>
    <row r="443" spans="1:22">
      <c r="A443" s="757">
        <f>'D-2 Off-Site Habitat Creation'!AF199</f>
        <v>0</v>
      </c>
      <c r="M443" s="757">
        <f>'E-2 Off-Site Hedge Creation'!AD200</f>
        <v>0</v>
      </c>
      <c r="V443" s="1">
        <f>'F-2 Off-Site WaterC'' Creation'!AG200</f>
        <v>0</v>
      </c>
    </row>
    <row r="444" spans="1:22">
      <c r="A444" s="757">
        <f>'D-2 Off-Site Habitat Creation'!AF200</f>
        <v>0</v>
      </c>
      <c r="M444" s="757">
        <f>'E-2 Off-Site Hedge Creation'!AD201</f>
        <v>0</v>
      </c>
      <c r="V444" s="1">
        <f>'F-2 Off-Site WaterC'' Creation'!AG201</f>
        <v>0</v>
      </c>
    </row>
    <row r="445" spans="1:22">
      <c r="A445" s="757">
        <f>'D-2 Off-Site Habitat Creation'!AF201</f>
        <v>0</v>
      </c>
      <c r="M445" s="757">
        <f>'E-2 Off-Site Hedge Creation'!AD202</f>
        <v>0</v>
      </c>
      <c r="V445" s="1">
        <f>'F-2 Off-Site WaterC'' Creation'!AG202</f>
        <v>0</v>
      </c>
    </row>
    <row r="446" spans="1:22">
      <c r="A446" s="757">
        <f>'D-2 Off-Site Habitat Creation'!AF202</f>
        <v>0</v>
      </c>
      <c r="M446" s="757">
        <f>'E-2 Off-Site Hedge Creation'!AD203</f>
        <v>0</v>
      </c>
      <c r="V446" s="1">
        <f>'F-2 Off-Site WaterC'' Creation'!AG203</f>
        <v>0</v>
      </c>
    </row>
    <row r="447" spans="1:22">
      <c r="A447" s="757">
        <f>'D-2 Off-Site Habitat Creation'!AF203</f>
        <v>0</v>
      </c>
      <c r="M447" s="757">
        <f>'E-2 Off-Site Hedge Creation'!AD204</f>
        <v>0</v>
      </c>
      <c r="V447" s="1">
        <f>'F-2 Off-Site WaterC'' Creation'!AG204</f>
        <v>0</v>
      </c>
    </row>
    <row r="448" spans="1:22">
      <c r="A448" s="757">
        <f>'D-2 Off-Site Habitat Creation'!AF204</f>
        <v>0</v>
      </c>
      <c r="M448" s="757">
        <f>'E-2 Off-Site Hedge Creation'!AD205</f>
        <v>0</v>
      </c>
      <c r="V448" s="1">
        <f>'F-2 Off-Site WaterC'' Creation'!AG205</f>
        <v>0</v>
      </c>
    </row>
    <row r="449" spans="1:22">
      <c r="A449" s="757">
        <f>'D-2 Off-Site Habitat Creation'!AF205</f>
        <v>0</v>
      </c>
      <c r="M449" s="757">
        <f>'E-2 Off-Site Hedge Creation'!AD206</f>
        <v>0</v>
      </c>
      <c r="V449" s="1">
        <f>'F-2 Off-Site WaterC'' Creation'!AG206</f>
        <v>0</v>
      </c>
    </row>
    <row r="450" spans="1:22">
      <c r="A450" s="757">
        <f>'D-2 Off-Site Habitat Creation'!AF206</f>
        <v>0</v>
      </c>
      <c r="M450" s="757">
        <f>'E-2 Off-Site Hedge Creation'!AD207</f>
        <v>0</v>
      </c>
      <c r="V450" s="1">
        <f>'F-2 Off-Site WaterC'' Creation'!AG207</f>
        <v>0</v>
      </c>
    </row>
    <row r="451" spans="1:22">
      <c r="A451" s="757">
        <f>'D-2 Off-Site Habitat Creation'!AF207</f>
        <v>0</v>
      </c>
      <c r="M451" s="757">
        <f>'E-2 Off-Site Hedge Creation'!AD208</f>
        <v>0</v>
      </c>
      <c r="V451" s="1">
        <f>'F-2 Off-Site WaterC'' Creation'!AG208</f>
        <v>0</v>
      </c>
    </row>
    <row r="452" spans="1:22">
      <c r="A452" s="757">
        <f>'D-2 Off-Site Habitat Creation'!AF208</f>
        <v>0</v>
      </c>
      <c r="M452" s="757">
        <f>'E-2 Off-Site Hedge Creation'!AD209</f>
        <v>0</v>
      </c>
      <c r="V452" s="1">
        <f>'F-2 Off-Site WaterC'' Creation'!AG209</f>
        <v>0</v>
      </c>
    </row>
    <row r="453" spans="1:22">
      <c r="A453" s="757">
        <f>'D-2 Off-Site Habitat Creation'!AF209</f>
        <v>0</v>
      </c>
      <c r="M453" s="757">
        <f>'E-2 Off-Site Hedge Creation'!AD210</f>
        <v>0</v>
      </c>
      <c r="V453" s="1">
        <f>'F-2 Off-Site WaterC'' Creation'!AG210</f>
        <v>0</v>
      </c>
    </row>
    <row r="454" spans="1:22">
      <c r="A454" s="757">
        <f>'D-2 Off-Site Habitat Creation'!AF210</f>
        <v>0</v>
      </c>
      <c r="M454" s="757">
        <f>'E-2 Off-Site Hedge Creation'!AD211</f>
        <v>0</v>
      </c>
      <c r="V454" s="1">
        <f>'F-2 Off-Site WaterC'' Creation'!AG211</f>
        <v>0</v>
      </c>
    </row>
    <row r="455" spans="1:22">
      <c r="A455" s="757">
        <f>'D-2 Off-Site Habitat Creation'!AF211</f>
        <v>0</v>
      </c>
      <c r="M455" s="757">
        <f>'E-2 Off-Site Hedge Creation'!AD212</f>
        <v>0</v>
      </c>
      <c r="V455" s="1">
        <f>'F-2 Off-Site WaterC'' Creation'!AG212</f>
        <v>0</v>
      </c>
    </row>
    <row r="456" spans="1:22">
      <c r="A456" s="757">
        <f>'D-2 Off-Site Habitat Creation'!AF212</f>
        <v>0</v>
      </c>
      <c r="M456" s="757">
        <f>'E-2 Off-Site Hedge Creation'!AD213</f>
        <v>0</v>
      </c>
      <c r="V456" s="1">
        <f>'F-2 Off-Site WaterC'' Creation'!AG213</f>
        <v>0</v>
      </c>
    </row>
    <row r="457" spans="1:22">
      <c r="A457" s="757">
        <f>'D-2 Off-Site Habitat Creation'!AF213</f>
        <v>0</v>
      </c>
      <c r="M457" s="757">
        <f>'E-2 Off-Site Hedge Creation'!AD214</f>
        <v>0</v>
      </c>
      <c r="V457" s="1">
        <f>'F-2 Off-Site WaterC'' Creation'!AG214</f>
        <v>0</v>
      </c>
    </row>
    <row r="458" spans="1:22">
      <c r="A458" s="757">
        <f>'D-2 Off-Site Habitat Creation'!AF214</f>
        <v>0</v>
      </c>
      <c r="M458" s="757">
        <f>'E-2 Off-Site Hedge Creation'!AD215</f>
        <v>0</v>
      </c>
      <c r="V458" s="1">
        <f>'F-2 Off-Site WaterC'' Creation'!AG215</f>
        <v>0</v>
      </c>
    </row>
    <row r="459" spans="1:22">
      <c r="A459" s="757">
        <f>'D-2 Off-Site Habitat Creation'!AF215</f>
        <v>0</v>
      </c>
      <c r="M459" s="757">
        <f>'E-2 Off-Site Hedge Creation'!AD216</f>
        <v>0</v>
      </c>
      <c r="V459" s="1">
        <f>'F-2 Off-Site WaterC'' Creation'!AG216</f>
        <v>0</v>
      </c>
    </row>
    <row r="460" spans="1:22">
      <c r="A460" s="757">
        <f>'D-2 Off-Site Habitat Creation'!AF216</f>
        <v>0</v>
      </c>
      <c r="M460" s="757">
        <f>'E-2 Off-Site Hedge Creation'!AD217</f>
        <v>0</v>
      </c>
      <c r="V460" s="1">
        <f>'F-2 Off-Site WaterC'' Creation'!AG217</f>
        <v>0</v>
      </c>
    </row>
    <row r="461" spans="1:22">
      <c r="A461" s="757">
        <f>'D-2 Off-Site Habitat Creation'!AF217</f>
        <v>0</v>
      </c>
      <c r="M461" s="757">
        <f>'E-2 Off-Site Hedge Creation'!AD218</f>
        <v>0</v>
      </c>
      <c r="V461" s="1">
        <f>'F-2 Off-Site WaterC'' Creation'!AG218</f>
        <v>0</v>
      </c>
    </row>
    <row r="462" spans="1:22">
      <c r="A462" s="757">
        <f>'D-2 Off-Site Habitat Creation'!AF218</f>
        <v>0</v>
      </c>
      <c r="M462" s="757">
        <f>'E-2 Off-Site Hedge Creation'!AD219</f>
        <v>0</v>
      </c>
      <c r="V462" s="1">
        <f>'F-2 Off-Site WaterC'' Creation'!AG219</f>
        <v>0</v>
      </c>
    </row>
    <row r="463" spans="1:22">
      <c r="A463" s="757">
        <f>'D-2 Off-Site Habitat Creation'!AF219</f>
        <v>0</v>
      </c>
      <c r="M463" s="757">
        <f>'E-2 Off-Site Hedge Creation'!AD220</f>
        <v>0</v>
      </c>
      <c r="V463" s="1">
        <f>'F-2 Off-Site WaterC'' Creation'!AG220</f>
        <v>0</v>
      </c>
    </row>
    <row r="464" spans="1:22">
      <c r="A464" s="757">
        <f>'D-2 Off-Site Habitat Creation'!AF220</f>
        <v>0</v>
      </c>
      <c r="M464" s="757">
        <f>'E-2 Off-Site Hedge Creation'!AD221</f>
        <v>0</v>
      </c>
      <c r="V464" s="1">
        <f>'F-2 Off-Site WaterC'' Creation'!AG221</f>
        <v>0</v>
      </c>
    </row>
    <row r="465" spans="1:22">
      <c r="A465" s="757">
        <f>'D-2 Off-Site Habitat Creation'!AF221</f>
        <v>0</v>
      </c>
      <c r="M465" s="757">
        <f>'E-2 Off-Site Hedge Creation'!AD222</f>
        <v>0</v>
      </c>
      <c r="V465" s="1">
        <f>'F-2 Off-Site WaterC'' Creation'!AG222</f>
        <v>0</v>
      </c>
    </row>
    <row r="466" spans="1:22">
      <c r="A466" s="757">
        <f>'D-2 Off-Site Habitat Creation'!AF222</f>
        <v>0</v>
      </c>
      <c r="M466" s="757">
        <f>'E-2 Off-Site Hedge Creation'!AD223</f>
        <v>0</v>
      </c>
      <c r="V466" s="1">
        <f>'F-2 Off-Site WaterC'' Creation'!AG223</f>
        <v>0</v>
      </c>
    </row>
    <row r="467" spans="1:22">
      <c r="A467" s="757">
        <f>'D-2 Off-Site Habitat Creation'!AF223</f>
        <v>0</v>
      </c>
      <c r="M467" s="757">
        <f>'E-2 Off-Site Hedge Creation'!AD224</f>
        <v>0</v>
      </c>
      <c r="V467" s="1">
        <f>'F-2 Off-Site WaterC'' Creation'!AG224</f>
        <v>0</v>
      </c>
    </row>
    <row r="468" spans="1:22">
      <c r="A468" s="757">
        <f>'D-2 Off-Site Habitat Creation'!AF224</f>
        <v>0</v>
      </c>
      <c r="M468" s="757">
        <f>'E-2 Off-Site Hedge Creation'!AD225</f>
        <v>0</v>
      </c>
      <c r="V468" s="1">
        <f>'F-2 Off-Site WaterC'' Creation'!AG225</f>
        <v>0</v>
      </c>
    </row>
    <row r="469" spans="1:22">
      <c r="A469" s="757">
        <f>'D-2 Off-Site Habitat Creation'!AF225</f>
        <v>0</v>
      </c>
      <c r="M469" s="757">
        <f>'E-2 Off-Site Hedge Creation'!AD226</f>
        <v>0</v>
      </c>
      <c r="V469" s="1">
        <f>'F-2 Off-Site WaterC'' Creation'!AG226</f>
        <v>0</v>
      </c>
    </row>
    <row r="470" spans="1:22">
      <c r="A470" s="757">
        <f>'D-2 Off-Site Habitat Creation'!AF226</f>
        <v>0</v>
      </c>
      <c r="M470" s="757">
        <f>'E-2 Off-Site Hedge Creation'!AD227</f>
        <v>0</v>
      </c>
      <c r="V470" s="1">
        <f>'F-2 Off-Site WaterC'' Creation'!AG227</f>
        <v>0</v>
      </c>
    </row>
    <row r="471" spans="1:22">
      <c r="A471" s="757">
        <f>'D-2 Off-Site Habitat Creation'!AF227</f>
        <v>0</v>
      </c>
      <c r="M471" s="757">
        <f>'E-2 Off-Site Hedge Creation'!AD228</f>
        <v>0</v>
      </c>
      <c r="V471" s="1">
        <f>'F-2 Off-Site WaterC'' Creation'!AG228</f>
        <v>0</v>
      </c>
    </row>
    <row r="472" spans="1:22">
      <c r="A472" s="757">
        <f>'D-2 Off-Site Habitat Creation'!AF228</f>
        <v>0</v>
      </c>
      <c r="M472" s="757">
        <f>'E-2 Off-Site Hedge Creation'!AD229</f>
        <v>0</v>
      </c>
      <c r="V472" s="1">
        <f>'F-2 Off-Site WaterC'' Creation'!AG229</f>
        <v>0</v>
      </c>
    </row>
    <row r="473" spans="1:22">
      <c r="A473" s="757">
        <f>'D-2 Off-Site Habitat Creation'!AF229</f>
        <v>0</v>
      </c>
      <c r="M473" s="757">
        <f>'E-2 Off-Site Hedge Creation'!AD230</f>
        <v>0</v>
      </c>
      <c r="V473" s="1">
        <f>'F-2 Off-Site WaterC'' Creation'!AG230</f>
        <v>0</v>
      </c>
    </row>
    <row r="474" spans="1:22">
      <c r="A474" s="757">
        <f>'D-2 Off-Site Habitat Creation'!AF230</f>
        <v>0</v>
      </c>
      <c r="M474" s="757">
        <f>'E-2 Off-Site Hedge Creation'!AD231</f>
        <v>0</v>
      </c>
      <c r="V474" s="1">
        <f>'F-2 Off-Site WaterC'' Creation'!AG231</f>
        <v>0</v>
      </c>
    </row>
    <row r="475" spans="1:22">
      <c r="A475" s="757">
        <f>'D-2 Off-Site Habitat Creation'!AF231</f>
        <v>0</v>
      </c>
      <c r="M475" s="757">
        <f>'E-2 Off-Site Hedge Creation'!AD232</f>
        <v>0</v>
      </c>
      <c r="V475" s="1">
        <f>'F-2 Off-Site WaterC'' Creation'!AG232</f>
        <v>0</v>
      </c>
    </row>
    <row r="476" spans="1:22">
      <c r="A476" s="757">
        <f>'D-2 Off-Site Habitat Creation'!AF232</f>
        <v>0</v>
      </c>
      <c r="M476" s="757">
        <f>'E-2 Off-Site Hedge Creation'!AD233</f>
        <v>0</v>
      </c>
      <c r="V476" s="1">
        <f>'F-2 Off-Site WaterC'' Creation'!AG233</f>
        <v>0</v>
      </c>
    </row>
    <row r="477" spans="1:22">
      <c r="A477" s="757">
        <f>'D-2 Off-Site Habitat Creation'!AF233</f>
        <v>0</v>
      </c>
      <c r="M477" s="757">
        <f>'E-2 Off-Site Hedge Creation'!AD234</f>
        <v>0</v>
      </c>
      <c r="V477" s="1">
        <f>'F-2 Off-Site WaterC'' Creation'!AG234</f>
        <v>0</v>
      </c>
    </row>
    <row r="478" spans="1:22">
      <c r="A478" s="757">
        <f>'D-2 Off-Site Habitat Creation'!AF234</f>
        <v>0</v>
      </c>
      <c r="M478" s="757">
        <f>'E-2 Off-Site Hedge Creation'!AD235</f>
        <v>0</v>
      </c>
      <c r="V478" s="1">
        <f>'F-2 Off-Site WaterC'' Creation'!AG235</f>
        <v>0</v>
      </c>
    </row>
    <row r="479" spans="1:22">
      <c r="A479" s="757">
        <f>'D-2 Off-Site Habitat Creation'!AF235</f>
        <v>0</v>
      </c>
      <c r="M479" s="757">
        <f>'E-2 Off-Site Hedge Creation'!AD236</f>
        <v>0</v>
      </c>
      <c r="V479" s="1">
        <f>'F-2 Off-Site WaterC'' Creation'!AG236</f>
        <v>0</v>
      </c>
    </row>
    <row r="480" spans="1:22">
      <c r="A480" s="757">
        <f>'D-2 Off-Site Habitat Creation'!AF236</f>
        <v>0</v>
      </c>
      <c r="M480" s="757">
        <f>'E-2 Off-Site Hedge Creation'!AD237</f>
        <v>0</v>
      </c>
      <c r="V480" s="1">
        <f>'F-2 Off-Site WaterC'' Creation'!AG237</f>
        <v>0</v>
      </c>
    </row>
    <row r="481" spans="1:22">
      <c r="A481" s="757">
        <f>'D-2 Off-Site Habitat Creation'!AF237</f>
        <v>0</v>
      </c>
      <c r="M481" s="757">
        <f>'E-2 Off-Site Hedge Creation'!AD238</f>
        <v>0</v>
      </c>
      <c r="V481" s="1">
        <f>'F-2 Off-Site WaterC'' Creation'!AG238</f>
        <v>0</v>
      </c>
    </row>
    <row r="482" spans="1:22">
      <c r="A482" s="757">
        <f>'D-2 Off-Site Habitat Creation'!AF238</f>
        <v>0</v>
      </c>
      <c r="M482" s="757">
        <f>'E-2 Off-Site Hedge Creation'!AD239</f>
        <v>0</v>
      </c>
      <c r="V482" s="1">
        <f>'F-2 Off-Site WaterC'' Creation'!AG239</f>
        <v>0</v>
      </c>
    </row>
    <row r="483" spans="1:22">
      <c r="A483" s="757">
        <f>'D-2 Off-Site Habitat Creation'!AF239</f>
        <v>0</v>
      </c>
      <c r="M483" s="757">
        <f>'E-2 Off-Site Hedge Creation'!AD240</f>
        <v>0</v>
      </c>
      <c r="V483" s="1">
        <f>'F-2 Off-Site WaterC'' Creation'!AG240</f>
        <v>0</v>
      </c>
    </row>
    <row r="484" spans="1:22">
      <c r="A484" s="757">
        <f>'D-2 Off-Site Habitat Creation'!AF240</f>
        <v>0</v>
      </c>
      <c r="M484" s="757">
        <f>'E-2 Off-Site Hedge Creation'!AD241</f>
        <v>0</v>
      </c>
      <c r="V484" s="1">
        <f>'F-2 Off-Site WaterC'' Creation'!AG241</f>
        <v>0</v>
      </c>
    </row>
    <row r="485" spans="1:22">
      <c r="A485" s="757">
        <f>'D-2 Off-Site Habitat Creation'!AF241</f>
        <v>0</v>
      </c>
      <c r="M485" s="757">
        <f>'E-2 Off-Site Hedge Creation'!AD242</f>
        <v>0</v>
      </c>
      <c r="V485" s="1">
        <f>'F-2 Off-Site WaterC'' Creation'!AG242</f>
        <v>0</v>
      </c>
    </row>
    <row r="486" spans="1:22">
      <c r="A486" s="757">
        <f>'D-2 Off-Site Habitat Creation'!AF242</f>
        <v>0</v>
      </c>
      <c r="M486" s="757">
        <f>'E-2 Off-Site Hedge Creation'!AD243</f>
        <v>0</v>
      </c>
      <c r="V486" s="1">
        <f>'F-2 Off-Site WaterC'' Creation'!AG243</f>
        <v>0</v>
      </c>
    </row>
    <row r="487" spans="1:22">
      <c r="A487" s="757">
        <f>'D-2 Off-Site Habitat Creation'!AF243</f>
        <v>0</v>
      </c>
      <c r="M487" s="757">
        <f>'E-2 Off-Site Hedge Creation'!AD244</f>
        <v>0</v>
      </c>
      <c r="V487" s="1">
        <f>'F-2 Off-Site WaterC'' Creation'!AG244</f>
        <v>0</v>
      </c>
    </row>
    <row r="488" spans="1:22">
      <c r="A488" s="757">
        <f>'D-2 Off-Site Habitat Creation'!AF244</f>
        <v>0</v>
      </c>
      <c r="M488" s="757">
        <f>'E-2 Off-Site Hedge Creation'!AD245</f>
        <v>0</v>
      </c>
      <c r="V488" s="1">
        <f>'F-2 Off-Site WaterC'' Creation'!AG245</f>
        <v>0</v>
      </c>
    </row>
    <row r="489" spans="1:22">
      <c r="A489" s="757">
        <f>'D-2 Off-Site Habitat Creation'!AF245</f>
        <v>0</v>
      </c>
      <c r="M489" s="757">
        <f>'E-2 Off-Site Hedge Creation'!AD246</f>
        <v>0</v>
      </c>
      <c r="V489" s="1">
        <f>'F-2 Off-Site WaterC'' Creation'!AG246</f>
        <v>0</v>
      </c>
    </row>
    <row r="490" spans="1:22">
      <c r="A490" s="757">
        <f>'D-2 Off-Site Habitat Creation'!AF246</f>
        <v>0</v>
      </c>
      <c r="M490" s="757">
        <f>'E-2 Off-Site Hedge Creation'!AD247</f>
        <v>0</v>
      </c>
      <c r="V490" s="1">
        <f>'F-2 Off-Site WaterC'' Creation'!AG247</f>
        <v>0</v>
      </c>
    </row>
    <row r="491" spans="1:22">
      <c r="A491" s="757">
        <f>'D-2 Off-Site Habitat Creation'!AF247</f>
        <v>0</v>
      </c>
      <c r="M491" s="757">
        <f>'E-2 Off-Site Hedge Creation'!AD248</f>
        <v>0</v>
      </c>
      <c r="V491" s="1">
        <f>'F-2 Off-Site WaterC'' Creation'!AG248</f>
        <v>0</v>
      </c>
    </row>
    <row r="492" spans="1:22">
      <c r="A492" s="757">
        <f>'D-2 Off-Site Habitat Creation'!AF248</f>
        <v>0</v>
      </c>
      <c r="M492" s="757">
        <f>'E-2 Off-Site Hedge Creation'!AD249</f>
        <v>0</v>
      </c>
      <c r="V492" s="1">
        <f>'F-2 Off-Site WaterC'' Creation'!AG249</f>
        <v>0</v>
      </c>
    </row>
    <row r="493" spans="1:22">
      <c r="A493" s="757">
        <f>'D-2 Off-Site Habitat Creation'!AF249</f>
        <v>0</v>
      </c>
      <c r="M493" s="757">
        <f>'E-2 Off-Site Hedge Creation'!AD250</f>
        <v>0</v>
      </c>
      <c r="V493" s="1">
        <f>'F-2 Off-Site WaterC'' Creation'!AG250</f>
        <v>0</v>
      </c>
    </row>
    <row r="494" spans="1:22">
      <c r="A494" s="757">
        <f>'D-2 Off-Site Habitat Creation'!AF250</f>
        <v>0</v>
      </c>
      <c r="M494" s="757">
        <f>'E-2 Off-Site Hedge Creation'!AD251</f>
        <v>0</v>
      </c>
      <c r="V494" s="1">
        <f>'F-2 Off-Site WaterC'' Creation'!AG251</f>
        <v>0</v>
      </c>
    </row>
    <row r="495" spans="1:22">
      <c r="A495" s="757">
        <f>'D-2 Off-Site Habitat Creation'!AF251</f>
        <v>0</v>
      </c>
      <c r="M495" s="757">
        <f>'E-2 Off-Site Hedge Creation'!AD252</f>
        <v>0</v>
      </c>
      <c r="V495" s="1">
        <f>'F-2 Off-Site WaterC'' Creation'!AG252</f>
        <v>0</v>
      </c>
    </row>
    <row r="496" spans="1:22">
      <c r="A496" s="757">
        <f>'D-2 Off-Site Habitat Creation'!AF252</f>
        <v>0</v>
      </c>
      <c r="M496" s="757">
        <f>'E-2 Off-Site Hedge Creation'!AD253</f>
        <v>0</v>
      </c>
      <c r="V496" s="1">
        <f>'F-2 Off-Site WaterC'' Creation'!AG253</f>
        <v>0</v>
      </c>
    </row>
    <row r="497" spans="1:22">
      <c r="A497" s="757">
        <f>'D-2 Off-Site Habitat Creation'!AF253</f>
        <v>0</v>
      </c>
      <c r="M497" s="757">
        <f>'E-2 Off-Site Hedge Creation'!AD254</f>
        <v>0</v>
      </c>
      <c r="V497" s="1">
        <f>'F-2 Off-Site WaterC'' Creation'!AG254</f>
        <v>0</v>
      </c>
    </row>
    <row r="498" spans="1:22">
      <c r="A498" s="757">
        <f>'D-2 Off-Site Habitat Creation'!AF254</f>
        <v>0</v>
      </c>
      <c r="M498" s="757">
        <f>'E-2 Off-Site Hedge Creation'!AD255</f>
        <v>0</v>
      </c>
      <c r="V498" s="1">
        <f>'F-2 Off-Site WaterC'' Creation'!AG255</f>
        <v>0</v>
      </c>
    </row>
    <row r="499" spans="1:22">
      <c r="A499" s="757">
        <f>'D-2 Off-Site Habitat Creation'!AF255</f>
        <v>0</v>
      </c>
      <c r="M499" s="757">
        <f>'E-2 Off-Site Hedge Creation'!AD256</f>
        <v>0</v>
      </c>
      <c r="V499" s="1">
        <f>'F-2 Off-Site WaterC'' Creation'!AG256</f>
        <v>0</v>
      </c>
    </row>
    <row r="500" spans="1:22">
      <c r="A500" s="757">
        <f>'D-2 Off-Site Habitat Creation'!AF256</f>
        <v>0</v>
      </c>
      <c r="M500" s="757">
        <f>'E-3 Off-Site Hedge Enhancement'!AO12</f>
        <v>0</v>
      </c>
      <c r="V500" s="1">
        <f>'F-2 Off-Site WaterC'' Creation'!AG257</f>
        <v>0</v>
      </c>
    </row>
    <row r="501" spans="1:22">
      <c r="A501" s="757">
        <f>'D-3 Off-Site Habitat Enhancment'!AU12</f>
        <v>0</v>
      </c>
      <c r="M501" s="757">
        <f>'E-3 Off-Site Hedge Enhancement'!AO13</f>
        <v>0</v>
      </c>
      <c r="V501" s="1">
        <f>'F-2 Off-Site WaterC'' Creation'!AG258</f>
        <v>0</v>
      </c>
    </row>
    <row r="502" spans="1:22">
      <c r="A502" s="757">
        <f>'D-3 Off-Site Habitat Enhancment'!AU13</f>
        <v>0</v>
      </c>
      <c r="M502" s="757">
        <f>'E-3 Off-Site Hedge Enhancement'!AO14</f>
        <v>0</v>
      </c>
      <c r="V502" s="1">
        <f>'F-2 Off-Site WaterC'' Creation'!AG259</f>
        <v>0</v>
      </c>
    </row>
    <row r="503" spans="1:22">
      <c r="A503" s="757">
        <f>'D-3 Off-Site Habitat Enhancment'!AU14</f>
        <v>0</v>
      </c>
      <c r="M503" s="757">
        <f>'E-3 Off-Site Hedge Enhancement'!AO15</f>
        <v>0</v>
      </c>
      <c r="V503" s="1">
        <f>'F-3 Off-Site WaterC Enhancement'!AT12</f>
        <v>0</v>
      </c>
    </row>
    <row r="504" spans="1:22">
      <c r="A504" s="757">
        <f>'D-3 Off-Site Habitat Enhancment'!AU15</f>
        <v>0</v>
      </c>
      <c r="M504" s="757">
        <f>'E-3 Off-Site Hedge Enhancement'!AO16</f>
        <v>0</v>
      </c>
      <c r="V504" s="1">
        <f>'F-3 Off-Site WaterC Enhancement'!AT13</f>
        <v>0</v>
      </c>
    </row>
    <row r="505" spans="1:22">
      <c r="A505" s="757">
        <f>'D-3 Off-Site Habitat Enhancment'!AU16</f>
        <v>0</v>
      </c>
      <c r="M505" s="757">
        <f>'E-3 Off-Site Hedge Enhancement'!AO17</f>
        <v>0</v>
      </c>
      <c r="V505" s="1">
        <f>'F-3 Off-Site WaterC Enhancement'!AT14</f>
        <v>0</v>
      </c>
    </row>
    <row r="506" spans="1:22">
      <c r="A506" s="757">
        <f>'D-3 Off-Site Habitat Enhancment'!AU17</f>
        <v>0</v>
      </c>
      <c r="M506" s="757">
        <f>'E-3 Off-Site Hedge Enhancement'!AO18</f>
        <v>0</v>
      </c>
      <c r="V506" s="1">
        <f>'F-3 Off-Site WaterC Enhancement'!AT15</f>
        <v>0</v>
      </c>
    </row>
    <row r="507" spans="1:22">
      <c r="A507" s="757">
        <f>'D-3 Off-Site Habitat Enhancment'!AU18</f>
        <v>0</v>
      </c>
      <c r="M507" s="757">
        <f>'E-3 Off-Site Hedge Enhancement'!AO19</f>
        <v>0</v>
      </c>
      <c r="V507" s="1">
        <f>'F-3 Off-Site WaterC Enhancement'!AT16</f>
        <v>0</v>
      </c>
    </row>
    <row r="508" spans="1:22">
      <c r="A508" s="757">
        <f>'D-3 Off-Site Habitat Enhancment'!AU19</f>
        <v>0</v>
      </c>
      <c r="M508" s="757">
        <f>'E-3 Off-Site Hedge Enhancement'!AO20</f>
        <v>0</v>
      </c>
      <c r="V508" s="1">
        <f>'F-3 Off-Site WaterC Enhancement'!AT17</f>
        <v>0</v>
      </c>
    </row>
    <row r="509" spans="1:22">
      <c r="A509" s="757">
        <f>'D-3 Off-Site Habitat Enhancment'!AU20</f>
        <v>0</v>
      </c>
      <c r="M509" s="757">
        <f>'E-3 Off-Site Hedge Enhancement'!AO21</f>
        <v>0</v>
      </c>
      <c r="V509" s="1">
        <f>'F-3 Off-Site WaterC Enhancement'!AT18</f>
        <v>0</v>
      </c>
    </row>
    <row r="510" spans="1:22">
      <c r="A510" s="757">
        <f>'D-3 Off-Site Habitat Enhancment'!AU21</f>
        <v>0</v>
      </c>
      <c r="M510" s="757">
        <f>'E-3 Off-Site Hedge Enhancement'!AO22</f>
        <v>0</v>
      </c>
      <c r="V510" s="1">
        <f>'F-3 Off-Site WaterC Enhancement'!AT19</f>
        <v>0</v>
      </c>
    </row>
    <row r="511" spans="1:22">
      <c r="A511" s="757">
        <f>'D-3 Off-Site Habitat Enhancment'!AU22</f>
        <v>0</v>
      </c>
      <c r="M511" s="757">
        <f>'E-3 Off-Site Hedge Enhancement'!AO23</f>
        <v>0</v>
      </c>
      <c r="V511" s="1">
        <f>'F-3 Off-Site WaterC Enhancement'!AT20</f>
        <v>0</v>
      </c>
    </row>
    <row r="512" spans="1:22">
      <c r="A512" s="757">
        <f>'D-3 Off-Site Habitat Enhancment'!AU23</f>
        <v>0</v>
      </c>
      <c r="M512" s="757">
        <f>'E-3 Off-Site Hedge Enhancement'!AO24</f>
        <v>0</v>
      </c>
      <c r="V512" s="1">
        <f>'F-3 Off-Site WaterC Enhancement'!AT21</f>
        <v>0</v>
      </c>
    </row>
    <row r="513" spans="1:22">
      <c r="A513" s="757">
        <f>'D-3 Off-Site Habitat Enhancment'!AU24</f>
        <v>0</v>
      </c>
      <c r="M513" s="757">
        <f>'E-3 Off-Site Hedge Enhancement'!AO25</f>
        <v>0</v>
      </c>
      <c r="V513" s="1">
        <f>'F-3 Off-Site WaterC Enhancement'!AT22</f>
        <v>0</v>
      </c>
    </row>
    <row r="514" spans="1:22">
      <c r="A514" s="757">
        <f>'D-3 Off-Site Habitat Enhancment'!AU25</f>
        <v>0</v>
      </c>
      <c r="M514" s="757">
        <f>'E-3 Off-Site Hedge Enhancement'!AO26</f>
        <v>0</v>
      </c>
      <c r="V514" s="1">
        <f>'F-3 Off-Site WaterC Enhancement'!AT23</f>
        <v>0</v>
      </c>
    </row>
    <row r="515" spans="1:22">
      <c r="A515" s="757">
        <f>'D-3 Off-Site Habitat Enhancment'!AU26</f>
        <v>0</v>
      </c>
      <c r="M515" s="757">
        <f>'E-3 Off-Site Hedge Enhancement'!AO27</f>
        <v>0</v>
      </c>
      <c r="V515" s="1">
        <f>'F-3 Off-Site WaterC Enhancement'!AT24</f>
        <v>0</v>
      </c>
    </row>
    <row r="516" spans="1:22">
      <c r="A516" s="757">
        <f>'D-3 Off-Site Habitat Enhancment'!AU27</f>
        <v>0</v>
      </c>
      <c r="M516" s="757">
        <f>'E-3 Off-Site Hedge Enhancement'!AO28</f>
        <v>0</v>
      </c>
      <c r="V516" s="1">
        <f>'F-3 Off-Site WaterC Enhancement'!AT25</f>
        <v>0</v>
      </c>
    </row>
    <row r="517" spans="1:22">
      <c r="A517" s="757">
        <f>'D-3 Off-Site Habitat Enhancment'!AU28</f>
        <v>0</v>
      </c>
      <c r="M517" s="757">
        <f>'E-3 Off-Site Hedge Enhancement'!AO29</f>
        <v>0</v>
      </c>
      <c r="V517" s="1">
        <f>'F-3 Off-Site WaterC Enhancement'!AT26</f>
        <v>0</v>
      </c>
    </row>
    <row r="518" spans="1:22">
      <c r="A518" s="757">
        <f>'D-3 Off-Site Habitat Enhancment'!AU29</f>
        <v>0</v>
      </c>
      <c r="M518" s="757">
        <f>'E-3 Off-Site Hedge Enhancement'!AO30</f>
        <v>0</v>
      </c>
      <c r="V518" s="1">
        <f>'F-3 Off-Site WaterC Enhancement'!AT27</f>
        <v>0</v>
      </c>
    </row>
    <row r="519" spans="1:22">
      <c r="A519" s="757">
        <f>'D-3 Off-Site Habitat Enhancment'!AU30</f>
        <v>0</v>
      </c>
      <c r="M519" s="757">
        <f>'E-3 Off-Site Hedge Enhancement'!AO31</f>
        <v>0</v>
      </c>
      <c r="V519" s="1">
        <f>'F-3 Off-Site WaterC Enhancement'!AT28</f>
        <v>0</v>
      </c>
    </row>
    <row r="520" spans="1:22">
      <c r="A520" s="757">
        <f>'D-3 Off-Site Habitat Enhancment'!AU31</f>
        <v>0</v>
      </c>
      <c r="M520" s="757">
        <f>'E-3 Off-Site Hedge Enhancement'!AO32</f>
        <v>0</v>
      </c>
      <c r="V520" s="1">
        <f>'F-3 Off-Site WaterC Enhancement'!AT29</f>
        <v>0</v>
      </c>
    </row>
    <row r="521" spans="1:22">
      <c r="A521" s="757">
        <f>'D-3 Off-Site Habitat Enhancment'!AU32</f>
        <v>0</v>
      </c>
      <c r="M521" s="757">
        <f>'E-3 Off-Site Hedge Enhancement'!AO33</f>
        <v>0</v>
      </c>
      <c r="V521" s="1">
        <f>'F-3 Off-Site WaterC Enhancement'!AT30</f>
        <v>0</v>
      </c>
    </row>
    <row r="522" spans="1:22">
      <c r="A522" s="757">
        <f>'D-3 Off-Site Habitat Enhancment'!AU33</f>
        <v>0</v>
      </c>
      <c r="M522" s="757">
        <f>'E-3 Off-Site Hedge Enhancement'!AO34</f>
        <v>0</v>
      </c>
      <c r="V522" s="1">
        <f>'F-3 Off-Site WaterC Enhancement'!AT31</f>
        <v>0</v>
      </c>
    </row>
    <row r="523" spans="1:22">
      <c r="A523" s="757">
        <f>'D-3 Off-Site Habitat Enhancment'!AU34</f>
        <v>0</v>
      </c>
      <c r="M523" s="757">
        <f>'E-3 Off-Site Hedge Enhancement'!AO35</f>
        <v>0</v>
      </c>
      <c r="V523" s="1">
        <f>'F-3 Off-Site WaterC Enhancement'!AT32</f>
        <v>0</v>
      </c>
    </row>
    <row r="524" spans="1:22">
      <c r="A524" s="757">
        <f>'D-3 Off-Site Habitat Enhancment'!AU35</f>
        <v>0</v>
      </c>
      <c r="M524" s="757">
        <f>'E-3 Off-Site Hedge Enhancement'!AO36</f>
        <v>0</v>
      </c>
      <c r="V524" s="1">
        <f>'F-3 Off-Site WaterC Enhancement'!AT33</f>
        <v>0</v>
      </c>
    </row>
    <row r="525" spans="1:22">
      <c r="A525" s="757">
        <f>'D-3 Off-Site Habitat Enhancment'!AU36</f>
        <v>0</v>
      </c>
      <c r="M525" s="757">
        <f>'E-3 Off-Site Hedge Enhancement'!AO37</f>
        <v>0</v>
      </c>
      <c r="V525" s="1">
        <f>'F-3 Off-Site WaterC Enhancement'!AT34</f>
        <v>0</v>
      </c>
    </row>
    <row r="526" spans="1:22">
      <c r="A526" s="757">
        <f>'D-3 Off-Site Habitat Enhancment'!AU37</f>
        <v>0</v>
      </c>
      <c r="M526" s="757">
        <f>'E-3 Off-Site Hedge Enhancement'!AO38</f>
        <v>0</v>
      </c>
      <c r="V526" s="1">
        <f>'F-3 Off-Site WaterC Enhancement'!AT35</f>
        <v>0</v>
      </c>
    </row>
    <row r="527" spans="1:22">
      <c r="A527" s="757">
        <f>'D-3 Off-Site Habitat Enhancment'!AU38</f>
        <v>0</v>
      </c>
      <c r="M527" s="757">
        <f>'E-3 Off-Site Hedge Enhancement'!AO39</f>
        <v>0</v>
      </c>
      <c r="V527" s="1">
        <f>'F-3 Off-Site WaterC Enhancement'!AT36</f>
        <v>0</v>
      </c>
    </row>
    <row r="528" spans="1:22">
      <c r="A528" s="757">
        <f>'D-3 Off-Site Habitat Enhancment'!AU39</f>
        <v>0</v>
      </c>
      <c r="M528" s="757">
        <f>'E-3 Off-Site Hedge Enhancement'!AO40</f>
        <v>0</v>
      </c>
      <c r="V528" s="1">
        <f>'F-3 Off-Site WaterC Enhancement'!AT37</f>
        <v>0</v>
      </c>
    </row>
    <row r="529" spans="1:22">
      <c r="A529" s="757">
        <f>'D-3 Off-Site Habitat Enhancment'!AU40</f>
        <v>0</v>
      </c>
      <c r="M529" s="757">
        <f>'E-3 Off-Site Hedge Enhancement'!AO41</f>
        <v>0</v>
      </c>
      <c r="V529" s="1">
        <f>'F-3 Off-Site WaterC Enhancement'!AT38</f>
        <v>0</v>
      </c>
    </row>
    <row r="530" spans="1:22">
      <c r="A530" s="757">
        <f>'D-3 Off-Site Habitat Enhancment'!AU41</f>
        <v>0</v>
      </c>
      <c r="M530" s="757">
        <f>'E-3 Off-Site Hedge Enhancement'!AO42</f>
        <v>0</v>
      </c>
      <c r="V530" s="1">
        <f>'F-3 Off-Site WaterC Enhancement'!AT39</f>
        <v>0</v>
      </c>
    </row>
    <row r="531" spans="1:22">
      <c r="A531" s="757">
        <f>'D-3 Off-Site Habitat Enhancment'!AU42</f>
        <v>0</v>
      </c>
      <c r="M531" s="757">
        <f>'E-3 Off-Site Hedge Enhancement'!AO43</f>
        <v>0</v>
      </c>
      <c r="V531" s="1">
        <f>'F-3 Off-Site WaterC Enhancement'!AT40</f>
        <v>0</v>
      </c>
    </row>
    <row r="532" spans="1:22">
      <c r="A532" s="757">
        <f>'D-3 Off-Site Habitat Enhancment'!AU43</f>
        <v>0</v>
      </c>
      <c r="M532" s="757">
        <f>'E-3 Off-Site Hedge Enhancement'!AO44</f>
        <v>0</v>
      </c>
      <c r="V532" s="1">
        <f>'F-3 Off-Site WaterC Enhancement'!AT41</f>
        <v>0</v>
      </c>
    </row>
    <row r="533" spans="1:22">
      <c r="A533" s="757">
        <f>'D-3 Off-Site Habitat Enhancment'!AU44</f>
        <v>0</v>
      </c>
      <c r="M533" s="757">
        <f>'E-3 Off-Site Hedge Enhancement'!AO45</f>
        <v>0</v>
      </c>
      <c r="V533" s="1">
        <f>'F-3 Off-Site WaterC Enhancement'!AT42</f>
        <v>0</v>
      </c>
    </row>
    <row r="534" spans="1:22">
      <c r="A534" s="757">
        <f>'D-3 Off-Site Habitat Enhancment'!AU45</f>
        <v>0</v>
      </c>
      <c r="M534" s="757">
        <f>'E-3 Off-Site Hedge Enhancement'!AO46</f>
        <v>0</v>
      </c>
      <c r="V534" s="1">
        <f>'F-3 Off-Site WaterC Enhancement'!AT43</f>
        <v>0</v>
      </c>
    </row>
    <row r="535" spans="1:22">
      <c r="A535" s="757">
        <f>'D-3 Off-Site Habitat Enhancment'!AU46</f>
        <v>0</v>
      </c>
      <c r="M535" s="757">
        <f>'E-3 Off-Site Hedge Enhancement'!AO47</f>
        <v>0</v>
      </c>
      <c r="V535" s="1">
        <f>'F-3 Off-Site WaterC Enhancement'!AT44</f>
        <v>0</v>
      </c>
    </row>
    <row r="536" spans="1:22">
      <c r="A536" s="757">
        <f>'D-3 Off-Site Habitat Enhancment'!AU47</f>
        <v>0</v>
      </c>
      <c r="M536" s="757">
        <f>'E-3 Off-Site Hedge Enhancement'!AO48</f>
        <v>0</v>
      </c>
      <c r="V536" s="1">
        <f>'F-3 Off-Site WaterC Enhancement'!AT45</f>
        <v>0</v>
      </c>
    </row>
    <row r="537" spans="1:22">
      <c r="A537" s="757">
        <f>'D-3 Off-Site Habitat Enhancment'!AU48</f>
        <v>0</v>
      </c>
      <c r="M537" s="757">
        <f>'E-3 Off-Site Hedge Enhancement'!AO49</f>
        <v>0</v>
      </c>
      <c r="V537" s="1">
        <f>'F-3 Off-Site WaterC Enhancement'!AT46</f>
        <v>0</v>
      </c>
    </row>
    <row r="538" spans="1:22">
      <c r="A538" s="757">
        <f>'D-3 Off-Site Habitat Enhancment'!AU49</f>
        <v>0</v>
      </c>
      <c r="M538" s="757">
        <f>'E-3 Off-Site Hedge Enhancement'!AO50</f>
        <v>0</v>
      </c>
      <c r="V538" s="1">
        <f>'F-3 Off-Site WaterC Enhancement'!AT47</f>
        <v>0</v>
      </c>
    </row>
    <row r="539" spans="1:22">
      <c r="A539" s="757">
        <f>'D-3 Off-Site Habitat Enhancment'!AU50</f>
        <v>0</v>
      </c>
      <c r="M539" s="757">
        <f>'E-3 Off-Site Hedge Enhancement'!AO51</f>
        <v>0</v>
      </c>
      <c r="V539" s="1">
        <f>'F-3 Off-Site WaterC Enhancement'!AT48</f>
        <v>0</v>
      </c>
    </row>
    <row r="540" spans="1:22">
      <c r="A540" s="757">
        <f>'D-3 Off-Site Habitat Enhancment'!AU51</f>
        <v>0</v>
      </c>
      <c r="M540" s="757">
        <f>'E-3 Off-Site Hedge Enhancement'!AO52</f>
        <v>0</v>
      </c>
      <c r="V540" s="1">
        <f>'F-3 Off-Site WaterC Enhancement'!AT49</f>
        <v>0</v>
      </c>
    </row>
    <row r="541" spans="1:22">
      <c r="A541" s="757">
        <f>'D-3 Off-Site Habitat Enhancment'!AU52</f>
        <v>0</v>
      </c>
      <c r="M541" s="757">
        <f>'E-3 Off-Site Hedge Enhancement'!AO53</f>
        <v>0</v>
      </c>
      <c r="V541" s="1">
        <f>'F-3 Off-Site WaterC Enhancement'!AT50</f>
        <v>0</v>
      </c>
    </row>
    <row r="542" spans="1:22">
      <c r="A542" s="757">
        <f>'D-3 Off-Site Habitat Enhancment'!AU53</f>
        <v>0</v>
      </c>
      <c r="M542" s="757">
        <f>'E-3 Off-Site Hedge Enhancement'!AO54</f>
        <v>0</v>
      </c>
      <c r="V542" s="1">
        <f>'F-3 Off-Site WaterC Enhancement'!AT51</f>
        <v>0</v>
      </c>
    </row>
    <row r="543" spans="1:22">
      <c r="A543" s="757">
        <f>'D-3 Off-Site Habitat Enhancment'!AU54</f>
        <v>0</v>
      </c>
      <c r="M543" s="757">
        <f>'E-3 Off-Site Hedge Enhancement'!AO55</f>
        <v>0</v>
      </c>
      <c r="V543" s="1">
        <f>'F-3 Off-Site WaterC Enhancement'!AT52</f>
        <v>0</v>
      </c>
    </row>
    <row r="544" spans="1:22">
      <c r="A544" s="757">
        <f>'D-3 Off-Site Habitat Enhancment'!AU55</f>
        <v>0</v>
      </c>
      <c r="M544" s="757">
        <f>'E-3 Off-Site Hedge Enhancement'!AO56</f>
        <v>0</v>
      </c>
      <c r="V544" s="1">
        <f>'F-3 Off-Site WaterC Enhancement'!AT53</f>
        <v>0</v>
      </c>
    </row>
    <row r="545" spans="1:22">
      <c r="A545" s="757">
        <f>'D-3 Off-Site Habitat Enhancment'!AU56</f>
        <v>0</v>
      </c>
      <c r="M545" s="757">
        <f>'E-3 Off-Site Hedge Enhancement'!AO57</f>
        <v>0</v>
      </c>
      <c r="V545" s="1">
        <f>'F-3 Off-Site WaterC Enhancement'!AT54</f>
        <v>0</v>
      </c>
    </row>
    <row r="546" spans="1:22">
      <c r="A546" s="757">
        <f>'D-3 Off-Site Habitat Enhancment'!AU57</f>
        <v>0</v>
      </c>
      <c r="M546" s="757">
        <f>'E-3 Off-Site Hedge Enhancement'!AO58</f>
        <v>0</v>
      </c>
      <c r="V546" s="1">
        <f>'F-3 Off-Site WaterC Enhancement'!AT55</f>
        <v>0</v>
      </c>
    </row>
    <row r="547" spans="1:22">
      <c r="A547" s="757">
        <f>'D-3 Off-Site Habitat Enhancment'!AU58</f>
        <v>0</v>
      </c>
      <c r="M547" s="757">
        <f>'E-3 Off-Site Hedge Enhancement'!AO59</f>
        <v>0</v>
      </c>
      <c r="V547" s="1">
        <f>'F-3 Off-Site WaterC Enhancement'!AT56</f>
        <v>0</v>
      </c>
    </row>
    <row r="548" spans="1:22">
      <c r="A548" s="757">
        <f>'D-3 Off-Site Habitat Enhancment'!AU59</f>
        <v>0</v>
      </c>
      <c r="M548" s="757">
        <f>'E-3 Off-Site Hedge Enhancement'!AO60</f>
        <v>0</v>
      </c>
      <c r="V548" s="1">
        <f>'F-3 Off-Site WaterC Enhancement'!AT57</f>
        <v>0</v>
      </c>
    </row>
    <row r="549" spans="1:22">
      <c r="A549" s="757">
        <f>'D-3 Off-Site Habitat Enhancment'!AU60</f>
        <v>0</v>
      </c>
      <c r="M549" s="757">
        <f>'E-3 Off-Site Hedge Enhancement'!AO61</f>
        <v>0</v>
      </c>
      <c r="V549" s="1">
        <f>'F-3 Off-Site WaterC Enhancement'!AT58</f>
        <v>0</v>
      </c>
    </row>
    <row r="550" spans="1:22">
      <c r="A550" s="757">
        <f>'D-3 Off-Site Habitat Enhancment'!AU61</f>
        <v>0</v>
      </c>
      <c r="M550" s="757">
        <f>'E-3 Off-Site Hedge Enhancement'!AO62</f>
        <v>0</v>
      </c>
      <c r="V550" s="1">
        <f>'F-3 Off-Site WaterC Enhancement'!AT59</f>
        <v>0</v>
      </c>
    </row>
    <row r="551" spans="1:22">
      <c r="A551" s="757">
        <f>'D-3 Off-Site Habitat Enhancment'!AU62</f>
        <v>0</v>
      </c>
      <c r="M551" s="757">
        <f>'E-3 Off-Site Hedge Enhancement'!AO63</f>
        <v>0</v>
      </c>
      <c r="V551" s="1">
        <f>'F-3 Off-Site WaterC Enhancement'!AT60</f>
        <v>0</v>
      </c>
    </row>
    <row r="552" spans="1:22">
      <c r="A552" s="757">
        <f>'D-3 Off-Site Habitat Enhancment'!AU63</f>
        <v>0</v>
      </c>
      <c r="M552" s="757">
        <f>'E-3 Off-Site Hedge Enhancement'!AO64</f>
        <v>0</v>
      </c>
      <c r="V552" s="1">
        <f>'F-3 Off-Site WaterC Enhancement'!AT61</f>
        <v>0</v>
      </c>
    </row>
    <row r="553" spans="1:22">
      <c r="A553" s="757">
        <f>'D-3 Off-Site Habitat Enhancment'!AU64</f>
        <v>0</v>
      </c>
      <c r="M553" s="757">
        <f>'E-3 Off-Site Hedge Enhancement'!AO65</f>
        <v>0</v>
      </c>
      <c r="V553" s="1">
        <f>'F-3 Off-Site WaterC Enhancement'!AT62</f>
        <v>0</v>
      </c>
    </row>
    <row r="554" spans="1:22">
      <c r="A554" s="757">
        <f>'D-3 Off-Site Habitat Enhancment'!AU65</f>
        <v>0</v>
      </c>
      <c r="M554" s="757">
        <f>'E-3 Off-Site Hedge Enhancement'!AO66</f>
        <v>0</v>
      </c>
      <c r="V554" s="1">
        <f>'F-3 Off-Site WaterC Enhancement'!AT63</f>
        <v>0</v>
      </c>
    </row>
    <row r="555" spans="1:22">
      <c r="A555" s="757">
        <f>'D-3 Off-Site Habitat Enhancment'!AU66</f>
        <v>0</v>
      </c>
      <c r="M555" s="757">
        <f>'E-3 Off-Site Hedge Enhancement'!AO67</f>
        <v>0</v>
      </c>
      <c r="V555" s="1">
        <f>'F-3 Off-Site WaterC Enhancement'!AT64</f>
        <v>0</v>
      </c>
    </row>
    <row r="556" spans="1:22">
      <c r="A556" s="757">
        <f>'D-3 Off-Site Habitat Enhancment'!AU67</f>
        <v>0</v>
      </c>
      <c r="M556" s="757">
        <f>'E-3 Off-Site Hedge Enhancement'!AO68</f>
        <v>0</v>
      </c>
      <c r="V556" s="1">
        <f>'F-3 Off-Site WaterC Enhancement'!AT65</f>
        <v>0</v>
      </c>
    </row>
    <row r="557" spans="1:22">
      <c r="A557" s="757">
        <f>'D-3 Off-Site Habitat Enhancment'!AU68</f>
        <v>0</v>
      </c>
      <c r="M557" s="757">
        <f>'E-3 Off-Site Hedge Enhancement'!AO69</f>
        <v>0</v>
      </c>
      <c r="V557" s="1">
        <f>'F-3 Off-Site WaterC Enhancement'!AT66</f>
        <v>0</v>
      </c>
    </row>
    <row r="558" spans="1:22">
      <c r="A558" s="757">
        <f>'D-3 Off-Site Habitat Enhancment'!AU69</f>
        <v>0</v>
      </c>
      <c r="M558" s="757">
        <f>'E-3 Off-Site Hedge Enhancement'!AO70</f>
        <v>0</v>
      </c>
      <c r="V558" s="1">
        <f>'F-3 Off-Site WaterC Enhancement'!AT67</f>
        <v>0</v>
      </c>
    </row>
    <row r="559" spans="1:22">
      <c r="A559" s="757">
        <f>'D-3 Off-Site Habitat Enhancment'!AU70</f>
        <v>0</v>
      </c>
      <c r="M559" s="757">
        <f>'E-3 Off-Site Hedge Enhancement'!AO71</f>
        <v>0</v>
      </c>
      <c r="V559" s="1">
        <f>'F-3 Off-Site WaterC Enhancement'!AT68</f>
        <v>0</v>
      </c>
    </row>
    <row r="560" spans="1:22">
      <c r="A560" s="757">
        <f>'D-3 Off-Site Habitat Enhancment'!AU71</f>
        <v>0</v>
      </c>
      <c r="M560" s="757">
        <f>'E-3 Off-Site Hedge Enhancement'!AO72</f>
        <v>0</v>
      </c>
      <c r="V560" s="1">
        <f>'F-3 Off-Site WaterC Enhancement'!AT69</f>
        <v>0</v>
      </c>
    </row>
    <row r="561" spans="1:22">
      <c r="A561" s="757">
        <f>'D-3 Off-Site Habitat Enhancment'!AU72</f>
        <v>0</v>
      </c>
      <c r="M561" s="757">
        <f>'E-3 Off-Site Hedge Enhancement'!AO73</f>
        <v>0</v>
      </c>
      <c r="V561" s="1">
        <f>'F-3 Off-Site WaterC Enhancement'!AT70</f>
        <v>0</v>
      </c>
    </row>
    <row r="562" spans="1:22">
      <c r="A562" s="757">
        <f>'D-3 Off-Site Habitat Enhancment'!AU73</f>
        <v>0</v>
      </c>
      <c r="M562" s="757">
        <f>'E-3 Off-Site Hedge Enhancement'!AO74</f>
        <v>0</v>
      </c>
      <c r="V562" s="1">
        <f>'F-3 Off-Site WaterC Enhancement'!AT71</f>
        <v>0</v>
      </c>
    </row>
    <row r="563" spans="1:22">
      <c r="A563" s="757">
        <f>'D-3 Off-Site Habitat Enhancment'!AU74</f>
        <v>0</v>
      </c>
      <c r="M563" s="757">
        <f>'E-3 Off-Site Hedge Enhancement'!AO75</f>
        <v>0</v>
      </c>
      <c r="V563" s="1">
        <f>'F-3 Off-Site WaterC Enhancement'!AT72</f>
        <v>0</v>
      </c>
    </row>
    <row r="564" spans="1:22">
      <c r="A564" s="757">
        <f>'D-3 Off-Site Habitat Enhancment'!AU75</f>
        <v>0</v>
      </c>
      <c r="M564" s="757">
        <f>'E-3 Off-Site Hedge Enhancement'!AO76</f>
        <v>0</v>
      </c>
      <c r="V564" s="1">
        <f>'F-3 Off-Site WaterC Enhancement'!AT73</f>
        <v>0</v>
      </c>
    </row>
    <row r="565" spans="1:22">
      <c r="A565" s="757">
        <f>'D-3 Off-Site Habitat Enhancment'!AU76</f>
        <v>0</v>
      </c>
      <c r="M565" s="757">
        <f>'E-3 Off-Site Hedge Enhancement'!AO77</f>
        <v>0</v>
      </c>
      <c r="V565" s="1">
        <f>'F-3 Off-Site WaterC Enhancement'!AT74</f>
        <v>0</v>
      </c>
    </row>
    <row r="566" spans="1:22">
      <c r="A566" s="757">
        <f>'D-3 Off-Site Habitat Enhancment'!AU77</f>
        <v>0</v>
      </c>
      <c r="M566" s="757">
        <f>'E-3 Off-Site Hedge Enhancement'!AO78</f>
        <v>0</v>
      </c>
      <c r="V566" s="1">
        <f>'F-3 Off-Site WaterC Enhancement'!AT75</f>
        <v>0</v>
      </c>
    </row>
    <row r="567" spans="1:22">
      <c r="A567" s="757">
        <f>'D-3 Off-Site Habitat Enhancment'!AU78</f>
        <v>0</v>
      </c>
      <c r="M567" s="757">
        <f>'E-3 Off-Site Hedge Enhancement'!AO79</f>
        <v>0</v>
      </c>
      <c r="V567" s="1">
        <f>'F-3 Off-Site WaterC Enhancement'!AT76</f>
        <v>0</v>
      </c>
    </row>
    <row r="568" spans="1:22">
      <c r="A568" s="757">
        <f>'D-3 Off-Site Habitat Enhancment'!AU79</f>
        <v>0</v>
      </c>
      <c r="M568" s="757">
        <f>'E-3 Off-Site Hedge Enhancement'!AO80</f>
        <v>0</v>
      </c>
      <c r="V568" s="1">
        <f>'F-3 Off-Site WaterC Enhancement'!AT77</f>
        <v>0</v>
      </c>
    </row>
    <row r="569" spans="1:22">
      <c r="A569" s="757">
        <f>'D-3 Off-Site Habitat Enhancment'!AU80</f>
        <v>0</v>
      </c>
      <c r="M569" s="757">
        <f>'E-3 Off-Site Hedge Enhancement'!AO81</f>
        <v>0</v>
      </c>
      <c r="V569" s="1">
        <f>'F-3 Off-Site WaterC Enhancement'!AT78</f>
        <v>0</v>
      </c>
    </row>
    <row r="570" spans="1:22">
      <c r="A570" s="757">
        <f>'D-3 Off-Site Habitat Enhancment'!AU81</f>
        <v>0</v>
      </c>
      <c r="M570" s="757">
        <f>'E-3 Off-Site Hedge Enhancement'!AO82</f>
        <v>0</v>
      </c>
      <c r="V570" s="1">
        <f>'F-3 Off-Site WaterC Enhancement'!AT79</f>
        <v>0</v>
      </c>
    </row>
    <row r="571" spans="1:22">
      <c r="A571" s="757">
        <f>'D-3 Off-Site Habitat Enhancment'!AU82</f>
        <v>0</v>
      </c>
      <c r="M571" s="757">
        <f>'E-3 Off-Site Hedge Enhancement'!AO83</f>
        <v>0</v>
      </c>
      <c r="V571" s="1">
        <f>'F-3 Off-Site WaterC Enhancement'!AT80</f>
        <v>0</v>
      </c>
    </row>
    <row r="572" spans="1:22">
      <c r="A572" s="757">
        <f>'D-3 Off-Site Habitat Enhancment'!AU83</f>
        <v>0</v>
      </c>
      <c r="M572" s="757">
        <f>'E-3 Off-Site Hedge Enhancement'!AO84</f>
        <v>0</v>
      </c>
      <c r="V572" s="1">
        <f>'F-3 Off-Site WaterC Enhancement'!AT81</f>
        <v>0</v>
      </c>
    </row>
    <row r="573" spans="1:22">
      <c r="A573" s="757">
        <f>'D-3 Off-Site Habitat Enhancment'!AU84</f>
        <v>0</v>
      </c>
      <c r="M573" s="757">
        <f>'E-3 Off-Site Hedge Enhancement'!AO85</f>
        <v>0</v>
      </c>
      <c r="V573" s="1">
        <f>'F-3 Off-Site WaterC Enhancement'!AT82</f>
        <v>0</v>
      </c>
    </row>
    <row r="574" spans="1:22">
      <c r="A574" s="757">
        <f>'D-3 Off-Site Habitat Enhancment'!AU85</f>
        <v>0</v>
      </c>
      <c r="M574" s="757">
        <f>'E-3 Off-Site Hedge Enhancement'!AO86</f>
        <v>0</v>
      </c>
      <c r="V574" s="1">
        <f>'F-3 Off-Site WaterC Enhancement'!AT83</f>
        <v>0</v>
      </c>
    </row>
    <row r="575" spans="1:22">
      <c r="A575" s="757">
        <f>'D-3 Off-Site Habitat Enhancment'!AU86</f>
        <v>0</v>
      </c>
      <c r="M575" s="757">
        <f>'E-3 Off-Site Hedge Enhancement'!AO87</f>
        <v>0</v>
      </c>
      <c r="V575" s="1">
        <f>'F-3 Off-Site WaterC Enhancement'!AT84</f>
        <v>0</v>
      </c>
    </row>
    <row r="576" spans="1:22">
      <c r="A576" s="757">
        <f>'D-3 Off-Site Habitat Enhancment'!AU87</f>
        <v>0</v>
      </c>
      <c r="M576" s="757">
        <f>'E-3 Off-Site Hedge Enhancement'!AO88</f>
        <v>0</v>
      </c>
      <c r="V576" s="1">
        <f>'F-3 Off-Site WaterC Enhancement'!AT85</f>
        <v>0</v>
      </c>
    </row>
    <row r="577" spans="1:22">
      <c r="A577" s="757">
        <f>'D-3 Off-Site Habitat Enhancment'!AU88</f>
        <v>0</v>
      </c>
      <c r="M577" s="757">
        <f>'E-3 Off-Site Hedge Enhancement'!AO89</f>
        <v>0</v>
      </c>
      <c r="V577" s="1">
        <f>'F-3 Off-Site WaterC Enhancement'!AT86</f>
        <v>0</v>
      </c>
    </row>
    <row r="578" spans="1:22">
      <c r="A578" s="757">
        <f>'D-3 Off-Site Habitat Enhancment'!AU89</f>
        <v>0</v>
      </c>
      <c r="M578" s="757">
        <f>'E-3 Off-Site Hedge Enhancement'!AO90</f>
        <v>0</v>
      </c>
      <c r="V578" s="1">
        <f>'F-3 Off-Site WaterC Enhancement'!AT87</f>
        <v>0</v>
      </c>
    </row>
    <row r="579" spans="1:22">
      <c r="A579" s="757">
        <f>'D-3 Off-Site Habitat Enhancment'!AU90</f>
        <v>0</v>
      </c>
      <c r="M579" s="757">
        <f>'E-3 Off-Site Hedge Enhancement'!AO91</f>
        <v>0</v>
      </c>
      <c r="V579" s="1">
        <f>'F-3 Off-Site WaterC Enhancement'!AT88</f>
        <v>0</v>
      </c>
    </row>
    <row r="580" spans="1:22">
      <c r="A580" s="757">
        <f>'D-3 Off-Site Habitat Enhancment'!AU91</f>
        <v>0</v>
      </c>
      <c r="M580" s="757">
        <f>'E-3 Off-Site Hedge Enhancement'!AO92</f>
        <v>0</v>
      </c>
      <c r="V580" s="1">
        <f>'F-3 Off-Site WaterC Enhancement'!AT89</f>
        <v>0</v>
      </c>
    </row>
    <row r="581" spans="1:22">
      <c r="A581" s="757">
        <f>'D-3 Off-Site Habitat Enhancment'!AU92</f>
        <v>0</v>
      </c>
      <c r="M581" s="757">
        <f>'E-3 Off-Site Hedge Enhancement'!AO93</f>
        <v>0</v>
      </c>
      <c r="V581" s="1">
        <f>'F-3 Off-Site WaterC Enhancement'!AT90</f>
        <v>0</v>
      </c>
    </row>
    <row r="582" spans="1:22">
      <c r="A582" s="757">
        <f>'D-3 Off-Site Habitat Enhancment'!AU93</f>
        <v>0</v>
      </c>
      <c r="M582" s="757">
        <f>'E-3 Off-Site Hedge Enhancement'!AO94</f>
        <v>0</v>
      </c>
      <c r="V582" s="1">
        <f>'F-3 Off-Site WaterC Enhancement'!AT91</f>
        <v>0</v>
      </c>
    </row>
    <row r="583" spans="1:22">
      <c r="A583" s="757">
        <f>'D-3 Off-Site Habitat Enhancment'!AU94</f>
        <v>0</v>
      </c>
      <c r="M583" s="757">
        <f>'E-3 Off-Site Hedge Enhancement'!AO95</f>
        <v>0</v>
      </c>
      <c r="V583" s="1">
        <f>'F-3 Off-Site WaterC Enhancement'!AT92</f>
        <v>0</v>
      </c>
    </row>
    <row r="584" spans="1:22">
      <c r="A584" s="757">
        <f>'D-3 Off-Site Habitat Enhancment'!AU95</f>
        <v>0</v>
      </c>
      <c r="M584" s="757">
        <f>'E-3 Off-Site Hedge Enhancement'!AO96</f>
        <v>0</v>
      </c>
      <c r="V584" s="1">
        <f>'F-3 Off-Site WaterC Enhancement'!AT93</f>
        <v>0</v>
      </c>
    </row>
    <row r="585" spans="1:22">
      <c r="A585" s="757">
        <f>'D-3 Off-Site Habitat Enhancment'!AU96</f>
        <v>0</v>
      </c>
      <c r="M585" s="757">
        <f>'E-3 Off-Site Hedge Enhancement'!AO97</f>
        <v>0</v>
      </c>
      <c r="V585" s="1">
        <f>'F-3 Off-Site WaterC Enhancement'!AT94</f>
        <v>0</v>
      </c>
    </row>
    <row r="586" spans="1:22">
      <c r="A586" s="757">
        <f>'D-3 Off-Site Habitat Enhancment'!AU97</f>
        <v>0</v>
      </c>
      <c r="M586" s="757">
        <f>'E-3 Off-Site Hedge Enhancement'!AO98</f>
        <v>0</v>
      </c>
      <c r="V586" s="1">
        <f>'F-3 Off-Site WaterC Enhancement'!AT95</f>
        <v>0</v>
      </c>
    </row>
    <row r="587" spans="1:22">
      <c r="A587" s="757">
        <f>'D-3 Off-Site Habitat Enhancment'!AU98</f>
        <v>0</v>
      </c>
      <c r="M587" s="757">
        <f>'E-3 Off-Site Hedge Enhancement'!AO99</f>
        <v>0</v>
      </c>
      <c r="V587" s="1">
        <f>'F-3 Off-Site WaterC Enhancement'!AT96</f>
        <v>0</v>
      </c>
    </row>
    <row r="588" spans="1:22">
      <c r="A588" s="757">
        <f>'D-3 Off-Site Habitat Enhancment'!AU99</f>
        <v>0</v>
      </c>
      <c r="M588" s="757">
        <f>'E-3 Off-Site Hedge Enhancement'!AO100</f>
        <v>0</v>
      </c>
      <c r="V588" s="1">
        <f>'F-3 Off-Site WaterC Enhancement'!AT97</f>
        <v>0</v>
      </c>
    </row>
    <row r="589" spans="1:22">
      <c r="A589" s="757">
        <f>'D-3 Off-Site Habitat Enhancment'!AU100</f>
        <v>0</v>
      </c>
      <c r="M589" s="757">
        <f>'E-3 Off-Site Hedge Enhancement'!AO101</f>
        <v>0</v>
      </c>
      <c r="V589" s="1">
        <f>'F-3 Off-Site WaterC Enhancement'!AT98</f>
        <v>0</v>
      </c>
    </row>
    <row r="590" spans="1:22">
      <c r="A590" s="757">
        <f>'D-3 Off-Site Habitat Enhancment'!AU101</f>
        <v>0</v>
      </c>
      <c r="M590" s="757">
        <f>'E-3 Off-Site Hedge Enhancement'!AO102</f>
        <v>0</v>
      </c>
      <c r="V590" s="1">
        <f>'F-3 Off-Site WaterC Enhancement'!AT99</f>
        <v>0</v>
      </c>
    </row>
    <row r="591" spans="1:22">
      <c r="A591" s="757">
        <f>'D-3 Off-Site Habitat Enhancment'!AU102</f>
        <v>0</v>
      </c>
      <c r="M591" s="757">
        <f>'E-3 Off-Site Hedge Enhancement'!AO103</f>
        <v>0</v>
      </c>
      <c r="V591" s="1">
        <f>'F-3 Off-Site WaterC Enhancement'!AT100</f>
        <v>0</v>
      </c>
    </row>
    <row r="592" spans="1:22">
      <c r="A592" s="757">
        <f>'D-3 Off-Site Habitat Enhancment'!AU103</f>
        <v>0</v>
      </c>
      <c r="M592" s="757">
        <f>'E-3 Off-Site Hedge Enhancement'!AO104</f>
        <v>0</v>
      </c>
      <c r="V592" s="1">
        <f>'F-3 Off-Site WaterC Enhancement'!AT101</f>
        <v>0</v>
      </c>
    </row>
    <row r="593" spans="1:22">
      <c r="A593" s="757">
        <f>'D-3 Off-Site Habitat Enhancment'!AU104</f>
        <v>0</v>
      </c>
      <c r="M593" s="757">
        <f>'E-3 Off-Site Hedge Enhancement'!AO105</f>
        <v>0</v>
      </c>
      <c r="V593" s="1">
        <f>'F-3 Off-Site WaterC Enhancement'!AT102</f>
        <v>0</v>
      </c>
    </row>
    <row r="594" spans="1:22">
      <c r="A594" s="757">
        <f>'D-3 Off-Site Habitat Enhancment'!AU105</f>
        <v>0</v>
      </c>
      <c r="M594" s="757">
        <f>'E-3 Off-Site Hedge Enhancement'!AO106</f>
        <v>0</v>
      </c>
      <c r="V594" s="1">
        <f>'F-3 Off-Site WaterC Enhancement'!AT103</f>
        <v>0</v>
      </c>
    </row>
    <row r="595" spans="1:22">
      <c r="A595" s="757">
        <f>'D-3 Off-Site Habitat Enhancment'!AU106</f>
        <v>0</v>
      </c>
      <c r="M595" s="757">
        <f>'E-3 Off-Site Hedge Enhancement'!AO107</f>
        <v>0</v>
      </c>
      <c r="V595" s="1">
        <f>'F-3 Off-Site WaterC Enhancement'!AT104</f>
        <v>0</v>
      </c>
    </row>
    <row r="596" spans="1:22">
      <c r="A596" s="757">
        <f>'D-3 Off-Site Habitat Enhancment'!AU107</f>
        <v>0</v>
      </c>
      <c r="M596" s="757">
        <f>'E-3 Off-Site Hedge Enhancement'!AO108</f>
        <v>0</v>
      </c>
      <c r="V596" s="1">
        <f>'F-3 Off-Site WaterC Enhancement'!AT105</f>
        <v>0</v>
      </c>
    </row>
    <row r="597" spans="1:22">
      <c r="A597" s="757">
        <f>'D-3 Off-Site Habitat Enhancment'!AU108</f>
        <v>0</v>
      </c>
      <c r="M597" s="757">
        <f>'E-3 Off-Site Hedge Enhancement'!AO109</f>
        <v>0</v>
      </c>
      <c r="V597" s="1">
        <f>'F-3 Off-Site WaterC Enhancement'!AT106</f>
        <v>0</v>
      </c>
    </row>
    <row r="598" spans="1:22">
      <c r="A598" s="757">
        <f>'D-3 Off-Site Habitat Enhancment'!AU109</f>
        <v>0</v>
      </c>
      <c r="M598" s="757">
        <f>'E-3 Off-Site Hedge Enhancement'!AO110</f>
        <v>0</v>
      </c>
      <c r="V598" s="1">
        <f>'F-3 Off-Site WaterC Enhancement'!AT107</f>
        <v>0</v>
      </c>
    </row>
    <row r="599" spans="1:22">
      <c r="A599" s="757">
        <f>'D-3 Off-Site Habitat Enhancment'!AU110</f>
        <v>0</v>
      </c>
      <c r="M599" s="757">
        <f>'E-3 Off-Site Hedge Enhancement'!AO111</f>
        <v>0</v>
      </c>
      <c r="V599" s="1">
        <f>'F-3 Off-Site WaterC Enhancement'!AT108</f>
        <v>0</v>
      </c>
    </row>
    <row r="600" spans="1:22">
      <c r="A600" s="757">
        <f>'D-3 Off-Site Habitat Enhancment'!AU111</f>
        <v>0</v>
      </c>
      <c r="M600" s="757">
        <f>'E-3 Off-Site Hedge Enhancement'!AO112</f>
        <v>0</v>
      </c>
      <c r="V600" s="1">
        <f>'F-3 Off-Site WaterC Enhancement'!AT109</f>
        <v>0</v>
      </c>
    </row>
    <row r="601" spans="1:22">
      <c r="A601" s="757">
        <f>'D-3 Off-Site Habitat Enhancment'!AU112</f>
        <v>0</v>
      </c>
      <c r="M601" s="757">
        <f>'E-3 Off-Site Hedge Enhancement'!AO113</f>
        <v>0</v>
      </c>
      <c r="V601" s="1">
        <f>'F-3 Off-Site WaterC Enhancement'!AT110</f>
        <v>0</v>
      </c>
    </row>
    <row r="602" spans="1:22">
      <c r="A602" s="757">
        <f>'D-3 Off-Site Habitat Enhancment'!AU113</f>
        <v>0</v>
      </c>
      <c r="M602" s="757">
        <f>'E-3 Off-Site Hedge Enhancement'!AO114</f>
        <v>0</v>
      </c>
      <c r="V602" s="1">
        <f>'F-3 Off-Site WaterC Enhancement'!AT111</f>
        <v>0</v>
      </c>
    </row>
    <row r="603" spans="1:22">
      <c r="A603" s="757">
        <f>'D-3 Off-Site Habitat Enhancment'!AU114</f>
        <v>0</v>
      </c>
      <c r="M603" s="757">
        <f>'E-3 Off-Site Hedge Enhancement'!AO115</f>
        <v>0</v>
      </c>
      <c r="V603" s="1">
        <f>'F-3 Off-Site WaterC Enhancement'!AT112</f>
        <v>0</v>
      </c>
    </row>
    <row r="604" spans="1:22">
      <c r="A604" s="757">
        <f>'D-3 Off-Site Habitat Enhancment'!AU115</f>
        <v>0</v>
      </c>
      <c r="M604" s="757">
        <f>'E-3 Off-Site Hedge Enhancement'!AO116</f>
        <v>0</v>
      </c>
      <c r="V604" s="1">
        <f>'F-3 Off-Site WaterC Enhancement'!AT113</f>
        <v>0</v>
      </c>
    </row>
    <row r="605" spans="1:22">
      <c r="A605" s="757">
        <f>'D-3 Off-Site Habitat Enhancment'!AU116</f>
        <v>0</v>
      </c>
      <c r="M605" s="757">
        <f>'E-3 Off-Site Hedge Enhancement'!AO117</f>
        <v>0</v>
      </c>
      <c r="V605" s="1">
        <f>'F-3 Off-Site WaterC Enhancement'!AT114</f>
        <v>0</v>
      </c>
    </row>
    <row r="606" spans="1:22">
      <c r="A606" s="757">
        <f>'D-3 Off-Site Habitat Enhancment'!AU117</f>
        <v>0</v>
      </c>
      <c r="M606" s="757">
        <f>'E-3 Off-Site Hedge Enhancement'!AO118</f>
        <v>0</v>
      </c>
      <c r="V606" s="1">
        <f>'F-3 Off-Site WaterC Enhancement'!AT115</f>
        <v>0</v>
      </c>
    </row>
    <row r="607" spans="1:22">
      <c r="A607" s="757">
        <f>'D-3 Off-Site Habitat Enhancment'!AU118</f>
        <v>0</v>
      </c>
      <c r="M607" s="757">
        <f>'E-3 Off-Site Hedge Enhancement'!AO119</f>
        <v>0</v>
      </c>
      <c r="V607" s="1">
        <f>'F-3 Off-Site WaterC Enhancement'!AT116</f>
        <v>0</v>
      </c>
    </row>
    <row r="608" spans="1:22">
      <c r="A608" s="757">
        <f>'D-3 Off-Site Habitat Enhancment'!AU119</f>
        <v>0</v>
      </c>
      <c r="M608" s="757">
        <f>'E-3 Off-Site Hedge Enhancement'!AO120</f>
        <v>0</v>
      </c>
      <c r="V608" s="1">
        <f>'F-3 Off-Site WaterC Enhancement'!AT117</f>
        <v>0</v>
      </c>
    </row>
    <row r="609" spans="1:22">
      <c r="A609" s="757">
        <f>'D-3 Off-Site Habitat Enhancment'!AU120</f>
        <v>0</v>
      </c>
      <c r="M609" s="757">
        <f>'E-3 Off-Site Hedge Enhancement'!AO121</f>
        <v>0</v>
      </c>
      <c r="V609" s="1">
        <f>'F-3 Off-Site WaterC Enhancement'!AT118</f>
        <v>0</v>
      </c>
    </row>
    <row r="610" spans="1:22">
      <c r="A610" s="757">
        <f>'D-3 Off-Site Habitat Enhancment'!AU121</f>
        <v>0</v>
      </c>
      <c r="M610" s="757">
        <f>'E-3 Off-Site Hedge Enhancement'!AO122</f>
        <v>0</v>
      </c>
      <c r="V610" s="1">
        <f>'F-3 Off-Site WaterC Enhancement'!AT119</f>
        <v>0</v>
      </c>
    </row>
    <row r="611" spans="1:22">
      <c r="A611" s="757">
        <f>'D-3 Off-Site Habitat Enhancment'!AU122</f>
        <v>0</v>
      </c>
      <c r="M611" s="757">
        <f>'E-3 Off-Site Hedge Enhancement'!AO123</f>
        <v>0</v>
      </c>
      <c r="V611" s="1">
        <f>'F-3 Off-Site WaterC Enhancement'!AT120</f>
        <v>0</v>
      </c>
    </row>
    <row r="612" spans="1:22">
      <c r="A612" s="757">
        <f>'D-3 Off-Site Habitat Enhancment'!AU123</f>
        <v>0</v>
      </c>
      <c r="M612" s="757">
        <f>'E-3 Off-Site Hedge Enhancement'!AO124</f>
        <v>0</v>
      </c>
      <c r="V612" s="1">
        <f>'F-3 Off-Site WaterC Enhancement'!AT121</f>
        <v>0</v>
      </c>
    </row>
    <row r="613" spans="1:22">
      <c r="A613" s="757">
        <f>'D-3 Off-Site Habitat Enhancment'!AU124</f>
        <v>0</v>
      </c>
      <c r="M613" s="757">
        <f>'E-3 Off-Site Hedge Enhancement'!AO125</f>
        <v>0</v>
      </c>
      <c r="V613" s="1">
        <f>'F-3 Off-Site WaterC Enhancement'!AT122</f>
        <v>0</v>
      </c>
    </row>
    <row r="614" spans="1:22">
      <c r="A614" s="757">
        <f>'D-3 Off-Site Habitat Enhancment'!AU125</f>
        <v>0</v>
      </c>
      <c r="M614" s="757">
        <f>'E-3 Off-Site Hedge Enhancement'!AO126</f>
        <v>0</v>
      </c>
      <c r="V614" s="1">
        <f>'F-3 Off-Site WaterC Enhancement'!AT123</f>
        <v>0</v>
      </c>
    </row>
    <row r="615" spans="1:22">
      <c r="A615" s="757">
        <f>'D-3 Off-Site Habitat Enhancment'!AU126</f>
        <v>0</v>
      </c>
      <c r="M615" s="757">
        <f>'E-3 Off-Site Hedge Enhancement'!AO127</f>
        <v>0</v>
      </c>
      <c r="V615" s="1">
        <f>'F-3 Off-Site WaterC Enhancement'!AT124</f>
        <v>0</v>
      </c>
    </row>
    <row r="616" spans="1:22">
      <c r="A616" s="757">
        <f>'D-3 Off-Site Habitat Enhancment'!AU127</f>
        <v>0</v>
      </c>
      <c r="M616" s="757">
        <f>'E-3 Off-Site Hedge Enhancement'!AO128</f>
        <v>0</v>
      </c>
      <c r="V616" s="1">
        <f>'F-3 Off-Site WaterC Enhancement'!AT125</f>
        <v>0</v>
      </c>
    </row>
    <row r="617" spans="1:22">
      <c r="A617" s="757">
        <f>'D-3 Off-Site Habitat Enhancment'!AU128</f>
        <v>0</v>
      </c>
      <c r="M617" s="757">
        <f>'E-3 Off-Site Hedge Enhancement'!AO129</f>
        <v>0</v>
      </c>
      <c r="V617" s="1">
        <f>'F-3 Off-Site WaterC Enhancement'!AT126</f>
        <v>0</v>
      </c>
    </row>
    <row r="618" spans="1:22">
      <c r="A618" s="757">
        <f>'D-3 Off-Site Habitat Enhancment'!AU129</f>
        <v>0</v>
      </c>
      <c r="M618" s="757">
        <f>'E-3 Off-Site Hedge Enhancement'!AO130</f>
        <v>0</v>
      </c>
      <c r="V618" s="1">
        <f>'F-3 Off-Site WaterC Enhancement'!AT127</f>
        <v>0</v>
      </c>
    </row>
    <row r="619" spans="1:22">
      <c r="A619" s="757">
        <f>'D-3 Off-Site Habitat Enhancment'!AU130</f>
        <v>0</v>
      </c>
      <c r="M619" s="757">
        <f>'E-3 Off-Site Hedge Enhancement'!AO131</f>
        <v>0</v>
      </c>
      <c r="V619" s="1">
        <f>'F-3 Off-Site WaterC Enhancement'!AT128</f>
        <v>0</v>
      </c>
    </row>
    <row r="620" spans="1:22">
      <c r="A620" s="757">
        <f>'D-3 Off-Site Habitat Enhancment'!AU131</f>
        <v>0</v>
      </c>
      <c r="M620" s="757">
        <f>'E-3 Off-Site Hedge Enhancement'!AO132</f>
        <v>0</v>
      </c>
      <c r="V620" s="1">
        <f>'F-3 Off-Site WaterC Enhancement'!AT129</f>
        <v>0</v>
      </c>
    </row>
    <row r="621" spans="1:22">
      <c r="A621" s="757">
        <f>'D-3 Off-Site Habitat Enhancment'!AU132</f>
        <v>0</v>
      </c>
      <c r="M621" s="757">
        <f>'E-3 Off-Site Hedge Enhancement'!AO133</f>
        <v>0</v>
      </c>
      <c r="V621" s="1">
        <f>'F-3 Off-Site WaterC Enhancement'!AT130</f>
        <v>0</v>
      </c>
    </row>
    <row r="622" spans="1:22">
      <c r="A622" s="757">
        <f>'D-3 Off-Site Habitat Enhancment'!AU133</f>
        <v>0</v>
      </c>
      <c r="M622" s="757">
        <f>'E-3 Off-Site Hedge Enhancement'!AO134</f>
        <v>0</v>
      </c>
      <c r="V622" s="1">
        <f>'F-3 Off-Site WaterC Enhancement'!AT131</f>
        <v>0</v>
      </c>
    </row>
    <row r="623" spans="1:22">
      <c r="A623" s="757">
        <f>'D-3 Off-Site Habitat Enhancment'!AU134</f>
        <v>0</v>
      </c>
      <c r="M623" s="757">
        <f>'E-3 Off-Site Hedge Enhancement'!AO135</f>
        <v>0</v>
      </c>
      <c r="V623" s="1">
        <f>'F-3 Off-Site WaterC Enhancement'!AT132</f>
        <v>0</v>
      </c>
    </row>
    <row r="624" spans="1:22">
      <c r="A624" s="757">
        <f>'D-3 Off-Site Habitat Enhancment'!AU135</f>
        <v>0</v>
      </c>
      <c r="M624" s="757">
        <f>'E-3 Off-Site Hedge Enhancement'!AO136</f>
        <v>0</v>
      </c>
      <c r="V624" s="1">
        <f>'F-3 Off-Site WaterC Enhancement'!AT133</f>
        <v>0</v>
      </c>
    </row>
    <row r="625" spans="1:22">
      <c r="A625" s="757">
        <f>'D-3 Off-Site Habitat Enhancment'!AU136</f>
        <v>0</v>
      </c>
      <c r="M625" s="757">
        <f>'E-3 Off-Site Hedge Enhancement'!AO137</f>
        <v>0</v>
      </c>
      <c r="V625" s="1">
        <f>'F-3 Off-Site WaterC Enhancement'!AT134</f>
        <v>0</v>
      </c>
    </row>
    <row r="626" spans="1:22">
      <c r="A626" s="757">
        <f>'D-3 Off-Site Habitat Enhancment'!AU137</f>
        <v>0</v>
      </c>
      <c r="M626" s="757">
        <f>'E-3 Off-Site Hedge Enhancement'!AO138</f>
        <v>0</v>
      </c>
      <c r="V626" s="1">
        <f>'F-3 Off-Site WaterC Enhancement'!AT135</f>
        <v>0</v>
      </c>
    </row>
    <row r="627" spans="1:22">
      <c r="A627" s="757">
        <f>'D-3 Off-Site Habitat Enhancment'!AU138</f>
        <v>0</v>
      </c>
      <c r="M627" s="757">
        <f>'E-3 Off-Site Hedge Enhancement'!AO139</f>
        <v>0</v>
      </c>
      <c r="V627" s="1">
        <f>'F-3 Off-Site WaterC Enhancement'!AT136</f>
        <v>0</v>
      </c>
    </row>
    <row r="628" spans="1:22">
      <c r="A628" s="757">
        <f>'D-3 Off-Site Habitat Enhancment'!AU139</f>
        <v>0</v>
      </c>
      <c r="M628" s="757">
        <f>'E-3 Off-Site Hedge Enhancement'!AO140</f>
        <v>0</v>
      </c>
      <c r="V628" s="1">
        <f>'F-3 Off-Site WaterC Enhancement'!AT137</f>
        <v>0</v>
      </c>
    </row>
    <row r="629" spans="1:22">
      <c r="A629" s="757">
        <f>'D-3 Off-Site Habitat Enhancment'!AU140</f>
        <v>0</v>
      </c>
      <c r="M629" s="757">
        <f>'E-3 Off-Site Hedge Enhancement'!AO141</f>
        <v>0</v>
      </c>
      <c r="V629" s="1">
        <f>'F-3 Off-Site WaterC Enhancement'!AT138</f>
        <v>0</v>
      </c>
    </row>
    <row r="630" spans="1:22">
      <c r="A630" s="757">
        <f>'D-3 Off-Site Habitat Enhancment'!AU141</f>
        <v>0</v>
      </c>
      <c r="M630" s="757">
        <f>'E-3 Off-Site Hedge Enhancement'!AO142</f>
        <v>0</v>
      </c>
      <c r="V630" s="1">
        <f>'F-3 Off-Site WaterC Enhancement'!AT139</f>
        <v>0</v>
      </c>
    </row>
    <row r="631" spans="1:22">
      <c r="A631" s="757">
        <f>'D-3 Off-Site Habitat Enhancment'!AU142</f>
        <v>0</v>
      </c>
      <c r="M631" s="757">
        <f>'E-3 Off-Site Hedge Enhancement'!AO143</f>
        <v>0</v>
      </c>
      <c r="V631" s="1">
        <f>'F-3 Off-Site WaterC Enhancement'!AT140</f>
        <v>0</v>
      </c>
    </row>
    <row r="632" spans="1:22">
      <c r="A632" s="757">
        <f>'D-3 Off-Site Habitat Enhancment'!AU143</f>
        <v>0</v>
      </c>
      <c r="M632" s="757">
        <f>'E-3 Off-Site Hedge Enhancement'!AO144</f>
        <v>0</v>
      </c>
      <c r="V632" s="1">
        <f>'F-3 Off-Site WaterC Enhancement'!AT141</f>
        <v>0</v>
      </c>
    </row>
    <row r="633" spans="1:22">
      <c r="A633" s="757">
        <f>'D-3 Off-Site Habitat Enhancment'!AU144</f>
        <v>0</v>
      </c>
      <c r="M633" s="757">
        <f>'E-3 Off-Site Hedge Enhancement'!AO145</f>
        <v>0</v>
      </c>
      <c r="V633" s="1">
        <f>'F-3 Off-Site WaterC Enhancement'!AT142</f>
        <v>0</v>
      </c>
    </row>
    <row r="634" spans="1:22">
      <c r="A634" s="757">
        <f>'D-3 Off-Site Habitat Enhancment'!AU145</f>
        <v>0</v>
      </c>
      <c r="M634" s="757">
        <f>'E-3 Off-Site Hedge Enhancement'!AO146</f>
        <v>0</v>
      </c>
      <c r="V634" s="1">
        <f>'F-3 Off-Site WaterC Enhancement'!AT143</f>
        <v>0</v>
      </c>
    </row>
    <row r="635" spans="1:22">
      <c r="A635" s="757">
        <f>'D-3 Off-Site Habitat Enhancment'!AU146</f>
        <v>0</v>
      </c>
      <c r="M635" s="757">
        <f>'E-3 Off-Site Hedge Enhancement'!AO147</f>
        <v>0</v>
      </c>
      <c r="V635" s="1">
        <f>'F-3 Off-Site WaterC Enhancement'!AT144</f>
        <v>0</v>
      </c>
    </row>
    <row r="636" spans="1:22">
      <c r="A636" s="757">
        <f>'D-3 Off-Site Habitat Enhancment'!AU147</f>
        <v>0</v>
      </c>
      <c r="M636" s="757">
        <f>'E-3 Off-Site Hedge Enhancement'!AO148</f>
        <v>0</v>
      </c>
      <c r="V636" s="1">
        <f>'F-3 Off-Site WaterC Enhancement'!AT145</f>
        <v>0</v>
      </c>
    </row>
    <row r="637" spans="1:22">
      <c r="A637" s="757">
        <f>'D-3 Off-Site Habitat Enhancment'!AU148</f>
        <v>0</v>
      </c>
      <c r="M637" s="757">
        <f>'E-3 Off-Site Hedge Enhancement'!AO149</f>
        <v>0</v>
      </c>
      <c r="V637" s="1">
        <f>'F-3 Off-Site WaterC Enhancement'!AT146</f>
        <v>0</v>
      </c>
    </row>
    <row r="638" spans="1:22">
      <c r="A638" s="757">
        <f>'D-3 Off-Site Habitat Enhancment'!AU149</f>
        <v>0</v>
      </c>
      <c r="M638" s="757">
        <f>'E-3 Off-Site Hedge Enhancement'!AO150</f>
        <v>0</v>
      </c>
      <c r="V638" s="1">
        <f>'F-3 Off-Site WaterC Enhancement'!AT147</f>
        <v>0</v>
      </c>
    </row>
    <row r="639" spans="1:22">
      <c r="A639" s="757">
        <f>'D-3 Off-Site Habitat Enhancment'!AU150</f>
        <v>0</v>
      </c>
      <c r="M639" s="757">
        <f>'E-3 Off-Site Hedge Enhancement'!AO151</f>
        <v>0</v>
      </c>
      <c r="V639" s="1">
        <f>'F-3 Off-Site WaterC Enhancement'!AT148</f>
        <v>0</v>
      </c>
    </row>
    <row r="640" spans="1:22">
      <c r="A640" s="757">
        <f>'D-3 Off-Site Habitat Enhancment'!AU151</f>
        <v>0</v>
      </c>
      <c r="M640" s="757">
        <f>'E-3 Off-Site Hedge Enhancement'!AO152</f>
        <v>0</v>
      </c>
      <c r="V640" s="1">
        <f>'F-3 Off-Site WaterC Enhancement'!AT149</f>
        <v>0</v>
      </c>
    </row>
    <row r="641" spans="1:22">
      <c r="A641" s="757">
        <f>'D-3 Off-Site Habitat Enhancment'!AU152</f>
        <v>0</v>
      </c>
      <c r="M641" s="757">
        <f>'E-3 Off-Site Hedge Enhancement'!AO153</f>
        <v>0</v>
      </c>
      <c r="V641" s="1">
        <f>'F-3 Off-Site WaterC Enhancement'!AT150</f>
        <v>0</v>
      </c>
    </row>
    <row r="642" spans="1:22">
      <c r="A642" s="757">
        <f>'D-3 Off-Site Habitat Enhancment'!AU153</f>
        <v>0</v>
      </c>
      <c r="M642" s="757">
        <f>'E-3 Off-Site Hedge Enhancement'!AO154</f>
        <v>0</v>
      </c>
      <c r="V642" s="1">
        <f>'F-3 Off-Site WaterC Enhancement'!AT151</f>
        <v>0</v>
      </c>
    </row>
    <row r="643" spans="1:22">
      <c r="A643" s="757">
        <f>'D-3 Off-Site Habitat Enhancment'!AU154</f>
        <v>0</v>
      </c>
      <c r="M643" s="757">
        <f>'E-3 Off-Site Hedge Enhancement'!AO155</f>
        <v>0</v>
      </c>
      <c r="V643" s="1">
        <f>'F-3 Off-Site WaterC Enhancement'!AT152</f>
        <v>0</v>
      </c>
    </row>
    <row r="644" spans="1:22">
      <c r="A644" s="757">
        <f>'D-3 Off-Site Habitat Enhancment'!AU155</f>
        <v>0</v>
      </c>
      <c r="M644" s="757">
        <f>'E-3 Off-Site Hedge Enhancement'!AO156</f>
        <v>0</v>
      </c>
      <c r="V644" s="1">
        <f>'F-3 Off-Site WaterC Enhancement'!AT153</f>
        <v>0</v>
      </c>
    </row>
    <row r="645" spans="1:22">
      <c r="A645" s="757">
        <f>'D-3 Off-Site Habitat Enhancment'!AU156</f>
        <v>0</v>
      </c>
      <c r="M645" s="757">
        <f>'E-3 Off-Site Hedge Enhancement'!AO157</f>
        <v>0</v>
      </c>
      <c r="V645" s="1">
        <f>'F-3 Off-Site WaterC Enhancement'!AT154</f>
        <v>0</v>
      </c>
    </row>
    <row r="646" spans="1:22">
      <c r="A646" s="757">
        <f>'D-3 Off-Site Habitat Enhancment'!AU157</f>
        <v>0</v>
      </c>
      <c r="M646" s="757">
        <f>'E-3 Off-Site Hedge Enhancement'!AO158</f>
        <v>0</v>
      </c>
      <c r="V646" s="1">
        <f>'F-3 Off-Site WaterC Enhancement'!AT155</f>
        <v>0</v>
      </c>
    </row>
    <row r="647" spans="1:22">
      <c r="A647" s="757">
        <f>'D-3 Off-Site Habitat Enhancment'!AU158</f>
        <v>0</v>
      </c>
      <c r="M647" s="757">
        <f>'E-3 Off-Site Hedge Enhancement'!AO159</f>
        <v>0</v>
      </c>
      <c r="V647" s="1">
        <f>'F-3 Off-Site WaterC Enhancement'!AT156</f>
        <v>0</v>
      </c>
    </row>
    <row r="648" spans="1:22">
      <c r="A648" s="757">
        <f>'D-3 Off-Site Habitat Enhancment'!AU159</f>
        <v>0</v>
      </c>
      <c r="M648" s="757">
        <f>'E-3 Off-Site Hedge Enhancement'!AO160</f>
        <v>0</v>
      </c>
      <c r="V648" s="1">
        <f>'F-3 Off-Site WaterC Enhancement'!AT157</f>
        <v>0</v>
      </c>
    </row>
    <row r="649" spans="1:22">
      <c r="A649" s="757">
        <f>'D-3 Off-Site Habitat Enhancment'!AU160</f>
        <v>0</v>
      </c>
      <c r="M649" s="757">
        <f>'E-3 Off-Site Hedge Enhancement'!AO161</f>
        <v>0</v>
      </c>
      <c r="V649" s="1">
        <f>'F-3 Off-Site WaterC Enhancement'!AT158</f>
        <v>0</v>
      </c>
    </row>
    <row r="650" spans="1:22">
      <c r="A650" s="757">
        <f>'D-3 Off-Site Habitat Enhancment'!AU161</f>
        <v>0</v>
      </c>
      <c r="M650" s="757">
        <f>'E-3 Off-Site Hedge Enhancement'!AO162</f>
        <v>0</v>
      </c>
      <c r="V650" s="1">
        <f>'F-3 Off-Site WaterC Enhancement'!AT159</f>
        <v>0</v>
      </c>
    </row>
    <row r="651" spans="1:22">
      <c r="A651" s="757">
        <f>'D-3 Off-Site Habitat Enhancment'!AU162</f>
        <v>0</v>
      </c>
      <c r="M651" s="757">
        <f>'E-3 Off-Site Hedge Enhancement'!AO163</f>
        <v>0</v>
      </c>
      <c r="V651" s="1">
        <f>'F-3 Off-Site WaterC Enhancement'!AT160</f>
        <v>0</v>
      </c>
    </row>
    <row r="652" spans="1:22">
      <c r="A652" s="757">
        <f>'D-3 Off-Site Habitat Enhancment'!AU163</f>
        <v>0</v>
      </c>
      <c r="M652" s="757">
        <f>'E-3 Off-Site Hedge Enhancement'!AO164</f>
        <v>0</v>
      </c>
      <c r="V652" s="1">
        <f>'F-3 Off-Site WaterC Enhancement'!AT161</f>
        <v>0</v>
      </c>
    </row>
    <row r="653" spans="1:22">
      <c r="A653" s="757">
        <f>'D-3 Off-Site Habitat Enhancment'!AU164</f>
        <v>0</v>
      </c>
      <c r="M653" s="757">
        <f>'E-3 Off-Site Hedge Enhancement'!AO165</f>
        <v>0</v>
      </c>
      <c r="V653" s="1">
        <f>'F-3 Off-Site WaterC Enhancement'!AT162</f>
        <v>0</v>
      </c>
    </row>
    <row r="654" spans="1:22">
      <c r="A654" s="757">
        <f>'D-3 Off-Site Habitat Enhancment'!AU165</f>
        <v>0</v>
      </c>
      <c r="M654" s="757">
        <f>'E-3 Off-Site Hedge Enhancement'!AO166</f>
        <v>0</v>
      </c>
      <c r="V654" s="1">
        <f>'F-3 Off-Site WaterC Enhancement'!AT163</f>
        <v>0</v>
      </c>
    </row>
    <row r="655" spans="1:22">
      <c r="A655" s="757">
        <f>'D-3 Off-Site Habitat Enhancment'!AU166</f>
        <v>0</v>
      </c>
      <c r="M655" s="757">
        <f>'E-3 Off-Site Hedge Enhancement'!AO167</f>
        <v>0</v>
      </c>
      <c r="V655" s="1">
        <f>'F-3 Off-Site WaterC Enhancement'!AT164</f>
        <v>0</v>
      </c>
    </row>
    <row r="656" spans="1:22">
      <c r="A656" s="757">
        <f>'D-3 Off-Site Habitat Enhancment'!AU167</f>
        <v>0</v>
      </c>
      <c r="M656" s="757">
        <f>'E-3 Off-Site Hedge Enhancement'!AO168</f>
        <v>0</v>
      </c>
      <c r="V656" s="1">
        <f>'F-3 Off-Site WaterC Enhancement'!AT165</f>
        <v>0</v>
      </c>
    </row>
    <row r="657" spans="1:22">
      <c r="A657" s="757">
        <f>'D-3 Off-Site Habitat Enhancment'!AU168</f>
        <v>0</v>
      </c>
      <c r="M657" s="757">
        <f>'E-3 Off-Site Hedge Enhancement'!AO169</f>
        <v>0</v>
      </c>
      <c r="V657" s="1">
        <f>'F-3 Off-Site WaterC Enhancement'!AT166</f>
        <v>0</v>
      </c>
    </row>
    <row r="658" spans="1:22">
      <c r="A658" s="757">
        <f>'D-3 Off-Site Habitat Enhancment'!AU169</f>
        <v>0</v>
      </c>
      <c r="M658" s="757">
        <f>'E-3 Off-Site Hedge Enhancement'!AO170</f>
        <v>0</v>
      </c>
      <c r="V658" s="1">
        <f>'F-3 Off-Site WaterC Enhancement'!AT167</f>
        <v>0</v>
      </c>
    </row>
    <row r="659" spans="1:22">
      <c r="A659" s="757">
        <f>'D-3 Off-Site Habitat Enhancment'!AU170</f>
        <v>0</v>
      </c>
      <c r="M659" s="757">
        <f>'E-3 Off-Site Hedge Enhancement'!AO171</f>
        <v>0</v>
      </c>
      <c r="V659" s="1">
        <f>'F-3 Off-Site WaterC Enhancement'!AT168</f>
        <v>0</v>
      </c>
    </row>
    <row r="660" spans="1:22">
      <c r="A660" s="757">
        <f>'D-3 Off-Site Habitat Enhancment'!AU171</f>
        <v>0</v>
      </c>
      <c r="M660" s="757">
        <f>'E-3 Off-Site Hedge Enhancement'!AO172</f>
        <v>0</v>
      </c>
      <c r="V660" s="1">
        <f>'F-3 Off-Site WaterC Enhancement'!AT169</f>
        <v>0</v>
      </c>
    </row>
    <row r="661" spans="1:22">
      <c r="A661" s="757">
        <f>'D-3 Off-Site Habitat Enhancment'!AU172</f>
        <v>0</v>
      </c>
      <c r="M661" s="757">
        <f>'E-3 Off-Site Hedge Enhancement'!AO173</f>
        <v>0</v>
      </c>
      <c r="V661" s="1">
        <f>'F-3 Off-Site WaterC Enhancement'!AT170</f>
        <v>0</v>
      </c>
    </row>
    <row r="662" spans="1:22">
      <c r="A662" s="757">
        <f>'D-3 Off-Site Habitat Enhancment'!AU173</f>
        <v>0</v>
      </c>
      <c r="M662" s="757">
        <f>'E-3 Off-Site Hedge Enhancement'!AO174</f>
        <v>0</v>
      </c>
      <c r="V662" s="1">
        <f>'F-3 Off-Site WaterC Enhancement'!AT171</f>
        <v>0</v>
      </c>
    </row>
    <row r="663" spans="1:22">
      <c r="A663" s="757">
        <f>'D-3 Off-Site Habitat Enhancment'!AU174</f>
        <v>0</v>
      </c>
      <c r="M663" s="757">
        <f>'E-3 Off-Site Hedge Enhancement'!AO175</f>
        <v>0</v>
      </c>
      <c r="V663" s="1">
        <f>'F-3 Off-Site WaterC Enhancement'!AT172</f>
        <v>0</v>
      </c>
    </row>
    <row r="664" spans="1:22">
      <c r="A664" s="757">
        <f>'D-3 Off-Site Habitat Enhancment'!AU175</f>
        <v>0</v>
      </c>
      <c r="M664" s="757">
        <f>'E-3 Off-Site Hedge Enhancement'!AO176</f>
        <v>0</v>
      </c>
      <c r="V664" s="1">
        <f>'F-3 Off-Site WaterC Enhancement'!AT173</f>
        <v>0</v>
      </c>
    </row>
    <row r="665" spans="1:22">
      <c r="A665" s="757">
        <f>'D-3 Off-Site Habitat Enhancment'!AU176</f>
        <v>0</v>
      </c>
      <c r="M665" s="757">
        <f>'E-3 Off-Site Hedge Enhancement'!AO177</f>
        <v>0</v>
      </c>
      <c r="V665" s="1">
        <f>'F-3 Off-Site WaterC Enhancement'!AT174</f>
        <v>0</v>
      </c>
    </row>
    <row r="666" spans="1:22">
      <c r="A666" s="757">
        <f>'D-3 Off-Site Habitat Enhancment'!AU177</f>
        <v>0</v>
      </c>
      <c r="M666" s="757">
        <f>'E-3 Off-Site Hedge Enhancement'!AO178</f>
        <v>0</v>
      </c>
      <c r="V666" s="1">
        <f>'F-3 Off-Site WaterC Enhancement'!AT175</f>
        <v>0</v>
      </c>
    </row>
    <row r="667" spans="1:22">
      <c r="A667" s="757">
        <f>'D-3 Off-Site Habitat Enhancment'!AU178</f>
        <v>0</v>
      </c>
      <c r="M667" s="757">
        <f>'E-3 Off-Site Hedge Enhancement'!AO179</f>
        <v>0</v>
      </c>
      <c r="V667" s="1">
        <f>'F-3 Off-Site WaterC Enhancement'!AT176</f>
        <v>0</v>
      </c>
    </row>
    <row r="668" spans="1:22">
      <c r="A668" s="757">
        <f>'D-3 Off-Site Habitat Enhancment'!AU179</f>
        <v>0</v>
      </c>
      <c r="M668" s="757">
        <f>'E-3 Off-Site Hedge Enhancement'!AO180</f>
        <v>0</v>
      </c>
      <c r="V668" s="1">
        <f>'F-3 Off-Site WaterC Enhancement'!AT177</f>
        <v>0</v>
      </c>
    </row>
    <row r="669" spans="1:22">
      <c r="A669" s="757">
        <f>'D-3 Off-Site Habitat Enhancment'!AU180</f>
        <v>0</v>
      </c>
      <c r="M669" s="757">
        <f>'E-3 Off-Site Hedge Enhancement'!AO181</f>
        <v>0</v>
      </c>
      <c r="V669" s="1">
        <f>'F-3 Off-Site WaterC Enhancement'!AT178</f>
        <v>0</v>
      </c>
    </row>
    <row r="670" spans="1:22">
      <c r="A670" s="757">
        <f>'D-3 Off-Site Habitat Enhancment'!AU181</f>
        <v>0</v>
      </c>
      <c r="M670" s="757">
        <f>'E-3 Off-Site Hedge Enhancement'!AO182</f>
        <v>0</v>
      </c>
      <c r="V670" s="1">
        <f>'F-3 Off-Site WaterC Enhancement'!AT179</f>
        <v>0</v>
      </c>
    </row>
    <row r="671" spans="1:22">
      <c r="A671" s="757">
        <f>'D-3 Off-Site Habitat Enhancment'!AU182</f>
        <v>0</v>
      </c>
      <c r="M671" s="757">
        <f>'E-3 Off-Site Hedge Enhancement'!AO183</f>
        <v>0</v>
      </c>
      <c r="V671" s="1">
        <f>'F-3 Off-Site WaterC Enhancement'!AT180</f>
        <v>0</v>
      </c>
    </row>
    <row r="672" spans="1:22">
      <c r="A672" s="757">
        <f>'D-3 Off-Site Habitat Enhancment'!AU183</f>
        <v>0</v>
      </c>
      <c r="M672" s="757">
        <f>'E-3 Off-Site Hedge Enhancement'!AO184</f>
        <v>0</v>
      </c>
      <c r="V672" s="1">
        <f>'F-3 Off-Site WaterC Enhancement'!AT181</f>
        <v>0</v>
      </c>
    </row>
    <row r="673" spans="1:22">
      <c r="A673" s="757">
        <f>'D-3 Off-Site Habitat Enhancment'!AU184</f>
        <v>0</v>
      </c>
      <c r="M673" s="757">
        <f>'E-3 Off-Site Hedge Enhancement'!AO185</f>
        <v>0</v>
      </c>
      <c r="V673" s="1">
        <f>'F-3 Off-Site WaterC Enhancement'!AT182</f>
        <v>0</v>
      </c>
    </row>
    <row r="674" spans="1:22">
      <c r="A674" s="757">
        <f>'D-3 Off-Site Habitat Enhancment'!AU185</f>
        <v>0</v>
      </c>
      <c r="M674" s="757">
        <f>'E-3 Off-Site Hedge Enhancement'!AO186</f>
        <v>0</v>
      </c>
      <c r="V674" s="1">
        <f>'F-3 Off-Site WaterC Enhancement'!AT183</f>
        <v>0</v>
      </c>
    </row>
    <row r="675" spans="1:22">
      <c r="A675" s="757">
        <f>'D-3 Off-Site Habitat Enhancment'!AU186</f>
        <v>0</v>
      </c>
      <c r="M675" s="757">
        <f>'E-3 Off-Site Hedge Enhancement'!AO187</f>
        <v>0</v>
      </c>
      <c r="V675" s="1">
        <f>'F-3 Off-Site WaterC Enhancement'!AT184</f>
        <v>0</v>
      </c>
    </row>
    <row r="676" spans="1:22">
      <c r="A676" s="757">
        <f>'D-3 Off-Site Habitat Enhancment'!AU187</f>
        <v>0</v>
      </c>
      <c r="M676" s="757">
        <f>'E-3 Off-Site Hedge Enhancement'!AO188</f>
        <v>0</v>
      </c>
      <c r="V676" s="1">
        <f>'F-3 Off-Site WaterC Enhancement'!AT185</f>
        <v>0</v>
      </c>
    </row>
    <row r="677" spans="1:22">
      <c r="A677" s="757">
        <f>'D-3 Off-Site Habitat Enhancment'!AU188</f>
        <v>0</v>
      </c>
      <c r="M677" s="757">
        <f>'E-3 Off-Site Hedge Enhancement'!AO189</f>
        <v>0</v>
      </c>
      <c r="V677" s="1">
        <f>'F-3 Off-Site WaterC Enhancement'!AT186</f>
        <v>0</v>
      </c>
    </row>
    <row r="678" spans="1:22">
      <c r="A678" s="757">
        <f>'D-3 Off-Site Habitat Enhancment'!AU189</f>
        <v>0</v>
      </c>
      <c r="M678" s="757">
        <f>'E-3 Off-Site Hedge Enhancement'!AO190</f>
        <v>0</v>
      </c>
      <c r="V678" s="1">
        <f>'F-3 Off-Site WaterC Enhancement'!AT187</f>
        <v>0</v>
      </c>
    </row>
    <row r="679" spans="1:22">
      <c r="A679" s="757">
        <f>'D-3 Off-Site Habitat Enhancment'!AU190</f>
        <v>0</v>
      </c>
      <c r="M679" s="757">
        <f>'E-3 Off-Site Hedge Enhancement'!AO191</f>
        <v>0</v>
      </c>
      <c r="V679" s="1">
        <f>'F-3 Off-Site WaterC Enhancement'!AT188</f>
        <v>0</v>
      </c>
    </row>
    <row r="680" spans="1:22">
      <c r="A680" s="757">
        <f>'D-3 Off-Site Habitat Enhancment'!AU191</f>
        <v>0</v>
      </c>
      <c r="M680" s="757">
        <f>'E-3 Off-Site Hedge Enhancement'!AO192</f>
        <v>0</v>
      </c>
      <c r="V680" s="1">
        <f>'F-3 Off-Site WaterC Enhancement'!AT189</f>
        <v>0</v>
      </c>
    </row>
    <row r="681" spans="1:22">
      <c r="A681" s="757">
        <f>'D-3 Off-Site Habitat Enhancment'!AU192</f>
        <v>0</v>
      </c>
      <c r="M681" s="757">
        <f>'E-3 Off-Site Hedge Enhancement'!AO193</f>
        <v>0</v>
      </c>
      <c r="V681" s="1">
        <f>'F-3 Off-Site WaterC Enhancement'!AT190</f>
        <v>0</v>
      </c>
    </row>
    <row r="682" spans="1:22">
      <c r="A682" s="757">
        <f>'D-3 Off-Site Habitat Enhancment'!AU193</f>
        <v>0</v>
      </c>
      <c r="M682" s="757">
        <f>'E-3 Off-Site Hedge Enhancement'!AO194</f>
        <v>0</v>
      </c>
      <c r="V682" s="1">
        <f>'F-3 Off-Site WaterC Enhancement'!AT191</f>
        <v>0</v>
      </c>
    </row>
    <row r="683" spans="1:22">
      <c r="A683" s="757">
        <f>'D-3 Off-Site Habitat Enhancment'!AU194</f>
        <v>0</v>
      </c>
      <c r="M683" s="757">
        <f>'E-3 Off-Site Hedge Enhancement'!AO195</f>
        <v>0</v>
      </c>
      <c r="V683" s="1">
        <f>'F-3 Off-Site WaterC Enhancement'!AT192</f>
        <v>0</v>
      </c>
    </row>
    <row r="684" spans="1:22">
      <c r="A684" s="757">
        <f>'D-3 Off-Site Habitat Enhancment'!AU195</f>
        <v>0</v>
      </c>
      <c r="M684" s="757">
        <f>'E-3 Off-Site Hedge Enhancement'!AO196</f>
        <v>0</v>
      </c>
      <c r="V684" s="1">
        <f>'F-3 Off-Site WaterC Enhancement'!AT193</f>
        <v>0</v>
      </c>
    </row>
    <row r="685" spans="1:22">
      <c r="A685" s="757">
        <f>'D-3 Off-Site Habitat Enhancment'!AU196</f>
        <v>0</v>
      </c>
      <c r="M685" s="757">
        <f>'E-3 Off-Site Hedge Enhancement'!AO197</f>
        <v>0</v>
      </c>
      <c r="V685" s="1">
        <f>'F-3 Off-Site WaterC Enhancement'!AT194</f>
        <v>0</v>
      </c>
    </row>
    <row r="686" spans="1:22">
      <c r="A686" s="757">
        <f>'D-3 Off-Site Habitat Enhancment'!AU197</f>
        <v>0</v>
      </c>
      <c r="M686" s="757">
        <f>'E-3 Off-Site Hedge Enhancement'!AO198</f>
        <v>0</v>
      </c>
      <c r="V686" s="1">
        <f>'F-3 Off-Site WaterC Enhancement'!AT195</f>
        <v>0</v>
      </c>
    </row>
    <row r="687" spans="1:22">
      <c r="A687" s="757">
        <f>'D-3 Off-Site Habitat Enhancment'!AU198</f>
        <v>0</v>
      </c>
      <c r="M687" s="757">
        <f>'E-3 Off-Site Hedge Enhancement'!AO199</f>
        <v>0</v>
      </c>
      <c r="V687" s="1">
        <f>'F-3 Off-Site WaterC Enhancement'!AT196</f>
        <v>0</v>
      </c>
    </row>
    <row r="688" spans="1:22">
      <c r="A688" s="757">
        <f>'D-3 Off-Site Habitat Enhancment'!AU199</f>
        <v>0</v>
      </c>
      <c r="M688" s="757">
        <f>'E-3 Off-Site Hedge Enhancement'!AO200</f>
        <v>0</v>
      </c>
      <c r="V688" s="1">
        <f>'F-3 Off-Site WaterC Enhancement'!AT197</f>
        <v>0</v>
      </c>
    </row>
    <row r="689" spans="1:22">
      <c r="A689" s="757">
        <f>'D-3 Off-Site Habitat Enhancment'!AU200</f>
        <v>0</v>
      </c>
      <c r="M689" s="757">
        <f>'E-3 Off-Site Hedge Enhancement'!AO201</f>
        <v>0</v>
      </c>
      <c r="V689" s="1">
        <f>'F-3 Off-Site WaterC Enhancement'!AT198</f>
        <v>0</v>
      </c>
    </row>
    <row r="690" spans="1:22">
      <c r="A690" s="757">
        <f>'D-3 Off-Site Habitat Enhancment'!AU201</f>
        <v>0</v>
      </c>
      <c r="M690" s="757">
        <f>'E-3 Off-Site Hedge Enhancement'!AO202</f>
        <v>0</v>
      </c>
      <c r="V690" s="1">
        <f>'F-3 Off-Site WaterC Enhancement'!AT199</f>
        <v>0</v>
      </c>
    </row>
    <row r="691" spans="1:22">
      <c r="A691" s="757">
        <f>'D-3 Off-Site Habitat Enhancment'!AU202</f>
        <v>0</v>
      </c>
      <c r="M691" s="757">
        <f>'E-3 Off-Site Hedge Enhancement'!AO203</f>
        <v>0</v>
      </c>
      <c r="V691" s="1">
        <f>'F-3 Off-Site WaterC Enhancement'!AT200</f>
        <v>0</v>
      </c>
    </row>
    <row r="692" spans="1:22">
      <c r="A692" s="757">
        <f>'D-3 Off-Site Habitat Enhancment'!AU203</f>
        <v>0</v>
      </c>
      <c r="M692" s="757">
        <f>'E-3 Off-Site Hedge Enhancement'!AO204</f>
        <v>0</v>
      </c>
      <c r="V692" s="1">
        <f>'F-3 Off-Site WaterC Enhancement'!AT201</f>
        <v>0</v>
      </c>
    </row>
    <row r="693" spans="1:22">
      <c r="A693" s="757">
        <f>'D-3 Off-Site Habitat Enhancment'!AU204</f>
        <v>0</v>
      </c>
      <c r="M693" s="757">
        <f>'E-3 Off-Site Hedge Enhancement'!AO205</f>
        <v>0</v>
      </c>
      <c r="V693" s="1">
        <f>'F-3 Off-Site WaterC Enhancement'!AT202</f>
        <v>0</v>
      </c>
    </row>
    <row r="694" spans="1:22">
      <c r="A694" s="757">
        <f>'D-3 Off-Site Habitat Enhancment'!AU205</f>
        <v>0</v>
      </c>
      <c r="M694" s="757">
        <f>'E-3 Off-Site Hedge Enhancement'!AO206</f>
        <v>0</v>
      </c>
      <c r="V694" s="1">
        <f>'F-3 Off-Site WaterC Enhancement'!AT203</f>
        <v>0</v>
      </c>
    </row>
    <row r="695" spans="1:22">
      <c r="A695" s="757">
        <f>'D-3 Off-Site Habitat Enhancment'!AU206</f>
        <v>0</v>
      </c>
      <c r="M695" s="757">
        <f>'E-3 Off-Site Hedge Enhancement'!AO207</f>
        <v>0</v>
      </c>
      <c r="V695" s="1">
        <f>'F-3 Off-Site WaterC Enhancement'!AT204</f>
        <v>0</v>
      </c>
    </row>
    <row r="696" spans="1:22">
      <c r="A696" s="757">
        <f>'D-3 Off-Site Habitat Enhancment'!AU207</f>
        <v>0</v>
      </c>
      <c r="M696" s="757">
        <f>'E-3 Off-Site Hedge Enhancement'!AO208</f>
        <v>0</v>
      </c>
      <c r="V696" s="1">
        <f>'F-3 Off-Site WaterC Enhancement'!AT205</f>
        <v>0</v>
      </c>
    </row>
    <row r="697" spans="1:22">
      <c r="A697" s="757">
        <f>'D-3 Off-Site Habitat Enhancment'!AU208</f>
        <v>0</v>
      </c>
      <c r="M697" s="757">
        <f>'E-3 Off-Site Hedge Enhancement'!AO209</f>
        <v>0</v>
      </c>
      <c r="V697" s="1">
        <f>'F-3 Off-Site WaterC Enhancement'!AT206</f>
        <v>0</v>
      </c>
    </row>
    <row r="698" spans="1:22">
      <c r="A698" s="757">
        <f>'D-3 Off-Site Habitat Enhancment'!AU209</f>
        <v>0</v>
      </c>
      <c r="M698" s="757">
        <f>'E-3 Off-Site Hedge Enhancement'!AO210</f>
        <v>0</v>
      </c>
      <c r="V698" s="1">
        <f>'F-3 Off-Site WaterC Enhancement'!AT207</f>
        <v>0</v>
      </c>
    </row>
    <row r="699" spans="1:22">
      <c r="A699" s="757">
        <f>'D-3 Off-Site Habitat Enhancment'!AU210</f>
        <v>0</v>
      </c>
      <c r="M699" s="757">
        <f>'E-3 Off-Site Hedge Enhancement'!AO211</f>
        <v>0</v>
      </c>
      <c r="V699" s="1">
        <f>'F-3 Off-Site WaterC Enhancement'!AT208</f>
        <v>0</v>
      </c>
    </row>
    <row r="700" spans="1:22">
      <c r="A700" s="757">
        <f>'D-3 Off-Site Habitat Enhancment'!AU211</f>
        <v>0</v>
      </c>
      <c r="M700" s="757">
        <f>'E-3 Off-Site Hedge Enhancement'!AO212</f>
        <v>0</v>
      </c>
      <c r="V700" s="1">
        <f>'F-3 Off-Site WaterC Enhancement'!AT209</f>
        <v>0</v>
      </c>
    </row>
    <row r="701" spans="1:22">
      <c r="A701" s="757">
        <f>'D-3 Off-Site Habitat Enhancment'!AU212</f>
        <v>0</v>
      </c>
      <c r="M701" s="757">
        <f>'E-3 Off-Site Hedge Enhancement'!AO213</f>
        <v>0</v>
      </c>
      <c r="V701" s="1">
        <f>'F-3 Off-Site WaterC Enhancement'!AT210</f>
        <v>0</v>
      </c>
    </row>
    <row r="702" spans="1:22">
      <c r="A702" s="757">
        <f>'D-3 Off-Site Habitat Enhancment'!AU213</f>
        <v>0</v>
      </c>
      <c r="M702" s="757">
        <f>'E-3 Off-Site Hedge Enhancement'!AO214</f>
        <v>0</v>
      </c>
      <c r="V702" s="1">
        <f>'F-3 Off-Site WaterC Enhancement'!AT211</f>
        <v>0</v>
      </c>
    </row>
    <row r="703" spans="1:22">
      <c r="A703" s="757">
        <f>'D-3 Off-Site Habitat Enhancment'!AU214</f>
        <v>0</v>
      </c>
      <c r="M703" s="757">
        <f>'E-3 Off-Site Hedge Enhancement'!AO215</f>
        <v>0</v>
      </c>
      <c r="V703" s="1">
        <f>'F-3 Off-Site WaterC Enhancement'!AT212</f>
        <v>0</v>
      </c>
    </row>
    <row r="704" spans="1:22">
      <c r="A704" s="757">
        <f>'D-3 Off-Site Habitat Enhancment'!AU215</f>
        <v>0</v>
      </c>
      <c r="M704" s="757">
        <f>'E-3 Off-Site Hedge Enhancement'!AO216</f>
        <v>0</v>
      </c>
      <c r="V704" s="1">
        <f>'F-3 Off-Site WaterC Enhancement'!AT213</f>
        <v>0</v>
      </c>
    </row>
    <row r="705" spans="1:22">
      <c r="A705" s="757">
        <f>'D-3 Off-Site Habitat Enhancment'!AU216</f>
        <v>0</v>
      </c>
      <c r="M705" s="757">
        <f>'E-3 Off-Site Hedge Enhancement'!AO217</f>
        <v>0</v>
      </c>
      <c r="V705" s="1">
        <f>'F-3 Off-Site WaterC Enhancement'!AT214</f>
        <v>0</v>
      </c>
    </row>
    <row r="706" spans="1:22">
      <c r="A706" s="757">
        <f>'D-3 Off-Site Habitat Enhancment'!AU217</f>
        <v>0</v>
      </c>
      <c r="M706" s="757">
        <f>'E-3 Off-Site Hedge Enhancement'!AO218</f>
        <v>0</v>
      </c>
      <c r="V706" s="1">
        <f>'F-3 Off-Site WaterC Enhancement'!AT215</f>
        <v>0</v>
      </c>
    </row>
    <row r="707" spans="1:22">
      <c r="A707" s="757">
        <f>'D-3 Off-Site Habitat Enhancment'!AU218</f>
        <v>0</v>
      </c>
      <c r="M707" s="757">
        <f>'E-3 Off-Site Hedge Enhancement'!AO219</f>
        <v>0</v>
      </c>
      <c r="V707" s="1">
        <f>'F-3 Off-Site WaterC Enhancement'!AT216</f>
        <v>0</v>
      </c>
    </row>
    <row r="708" spans="1:22">
      <c r="A708" s="757">
        <f>'D-3 Off-Site Habitat Enhancment'!AU219</f>
        <v>0</v>
      </c>
      <c r="M708" s="757">
        <f>'E-3 Off-Site Hedge Enhancement'!AO220</f>
        <v>0</v>
      </c>
      <c r="V708" s="1">
        <f>'F-3 Off-Site WaterC Enhancement'!AT217</f>
        <v>0</v>
      </c>
    </row>
    <row r="709" spans="1:22">
      <c r="A709" s="757">
        <f>'D-3 Off-Site Habitat Enhancment'!AU220</f>
        <v>0</v>
      </c>
      <c r="M709" s="757">
        <f>'E-3 Off-Site Hedge Enhancement'!AO221</f>
        <v>0</v>
      </c>
      <c r="V709" s="1">
        <f>'F-3 Off-Site WaterC Enhancement'!AT218</f>
        <v>0</v>
      </c>
    </row>
    <row r="710" spans="1:22">
      <c r="A710" s="757">
        <f>'D-3 Off-Site Habitat Enhancment'!AU221</f>
        <v>0</v>
      </c>
      <c r="M710" s="757">
        <f>'E-3 Off-Site Hedge Enhancement'!AO222</f>
        <v>0</v>
      </c>
      <c r="V710" s="1">
        <f>'F-3 Off-Site WaterC Enhancement'!AT219</f>
        <v>0</v>
      </c>
    </row>
    <row r="711" spans="1:22">
      <c r="A711" s="757">
        <f>'D-3 Off-Site Habitat Enhancment'!AU222</f>
        <v>0</v>
      </c>
      <c r="M711" s="757">
        <f>'E-3 Off-Site Hedge Enhancement'!AO223</f>
        <v>0</v>
      </c>
      <c r="V711" s="1">
        <f>'F-3 Off-Site WaterC Enhancement'!AT220</f>
        <v>0</v>
      </c>
    </row>
    <row r="712" spans="1:22">
      <c r="A712" s="757">
        <f>'D-3 Off-Site Habitat Enhancment'!AU223</f>
        <v>0</v>
      </c>
      <c r="M712" s="757">
        <f>'E-3 Off-Site Hedge Enhancement'!AO224</f>
        <v>0</v>
      </c>
      <c r="V712" s="1">
        <f>'F-3 Off-Site WaterC Enhancement'!AT221</f>
        <v>0</v>
      </c>
    </row>
    <row r="713" spans="1:22">
      <c r="A713" s="757">
        <f>'D-3 Off-Site Habitat Enhancment'!AU224</f>
        <v>0</v>
      </c>
      <c r="M713" s="757">
        <f>'E-3 Off-Site Hedge Enhancement'!AO225</f>
        <v>0</v>
      </c>
      <c r="V713" s="1">
        <f>'F-3 Off-Site WaterC Enhancement'!AT222</f>
        <v>0</v>
      </c>
    </row>
    <row r="714" spans="1:22">
      <c r="A714" s="757">
        <f>'D-3 Off-Site Habitat Enhancment'!AU225</f>
        <v>0</v>
      </c>
      <c r="M714" s="757">
        <f>'E-3 Off-Site Hedge Enhancement'!AO226</f>
        <v>0</v>
      </c>
      <c r="V714" s="1">
        <f>'F-3 Off-Site WaterC Enhancement'!AT223</f>
        <v>0</v>
      </c>
    </row>
    <row r="715" spans="1:22">
      <c r="A715" s="757">
        <f>'D-3 Off-Site Habitat Enhancment'!AU226</f>
        <v>0</v>
      </c>
      <c r="M715" s="757">
        <f>'E-3 Off-Site Hedge Enhancement'!AO227</f>
        <v>0</v>
      </c>
      <c r="V715" s="1">
        <f>'F-3 Off-Site WaterC Enhancement'!AT224</f>
        <v>0</v>
      </c>
    </row>
    <row r="716" spans="1:22">
      <c r="A716" s="757">
        <f>'D-3 Off-Site Habitat Enhancment'!AU227</f>
        <v>0</v>
      </c>
      <c r="M716" s="757">
        <f>'E-3 Off-Site Hedge Enhancement'!AO228</f>
        <v>0</v>
      </c>
      <c r="V716" s="1">
        <f>'F-3 Off-Site WaterC Enhancement'!AT225</f>
        <v>0</v>
      </c>
    </row>
    <row r="717" spans="1:22">
      <c r="A717" s="757">
        <f>'D-3 Off-Site Habitat Enhancment'!AU228</f>
        <v>0</v>
      </c>
      <c r="M717" s="757">
        <f>'E-3 Off-Site Hedge Enhancement'!AO229</f>
        <v>0</v>
      </c>
      <c r="V717" s="1">
        <f>'F-3 Off-Site WaterC Enhancement'!AT226</f>
        <v>0</v>
      </c>
    </row>
    <row r="718" spans="1:22">
      <c r="A718" s="757">
        <f>'D-3 Off-Site Habitat Enhancment'!AU229</f>
        <v>0</v>
      </c>
      <c r="M718" s="757">
        <f>'E-3 Off-Site Hedge Enhancement'!AO230</f>
        <v>0</v>
      </c>
      <c r="V718" s="1">
        <f>'F-3 Off-Site WaterC Enhancement'!AT227</f>
        <v>0</v>
      </c>
    </row>
    <row r="719" spans="1:22">
      <c r="A719" s="757">
        <f>'D-3 Off-Site Habitat Enhancment'!AU230</f>
        <v>0</v>
      </c>
      <c r="M719" s="757">
        <f>'E-3 Off-Site Hedge Enhancement'!AO231</f>
        <v>0</v>
      </c>
      <c r="V719" s="1">
        <f>'F-3 Off-Site WaterC Enhancement'!AT228</f>
        <v>0</v>
      </c>
    </row>
    <row r="720" spans="1:22">
      <c r="A720" s="757">
        <f>'D-3 Off-Site Habitat Enhancment'!AU231</f>
        <v>0</v>
      </c>
      <c r="M720" s="757">
        <f>'E-3 Off-Site Hedge Enhancement'!AO232</f>
        <v>0</v>
      </c>
      <c r="V720" s="1">
        <f>'F-3 Off-Site WaterC Enhancement'!AT229</f>
        <v>0</v>
      </c>
    </row>
    <row r="721" spans="1:22">
      <c r="A721" s="757">
        <f>'D-3 Off-Site Habitat Enhancment'!AU232</f>
        <v>0</v>
      </c>
      <c r="M721" s="757">
        <f>'E-3 Off-Site Hedge Enhancement'!AO233</f>
        <v>0</v>
      </c>
      <c r="V721" s="1">
        <f>'F-3 Off-Site WaterC Enhancement'!AT230</f>
        <v>0</v>
      </c>
    </row>
    <row r="722" spans="1:22">
      <c r="A722" s="757">
        <f>'D-3 Off-Site Habitat Enhancment'!AU233</f>
        <v>0</v>
      </c>
      <c r="M722" s="757">
        <f>'E-3 Off-Site Hedge Enhancement'!AO234</f>
        <v>0</v>
      </c>
      <c r="V722" s="1">
        <f>'F-3 Off-Site WaterC Enhancement'!AT231</f>
        <v>0</v>
      </c>
    </row>
    <row r="723" spans="1:22">
      <c r="A723" s="757">
        <f>'D-3 Off-Site Habitat Enhancment'!AU234</f>
        <v>0</v>
      </c>
      <c r="M723" s="757">
        <f>'E-3 Off-Site Hedge Enhancement'!AO235</f>
        <v>0</v>
      </c>
      <c r="V723" s="1">
        <f>'F-3 Off-Site WaterC Enhancement'!AT232</f>
        <v>0</v>
      </c>
    </row>
    <row r="724" spans="1:22">
      <c r="A724" s="757">
        <f>'D-3 Off-Site Habitat Enhancment'!AU235</f>
        <v>0</v>
      </c>
      <c r="M724" s="757">
        <f>'E-3 Off-Site Hedge Enhancement'!AO236</f>
        <v>0</v>
      </c>
      <c r="V724" s="1">
        <f>'F-3 Off-Site WaterC Enhancement'!AT233</f>
        <v>0</v>
      </c>
    </row>
    <row r="725" spans="1:22">
      <c r="A725" s="757">
        <f>'D-3 Off-Site Habitat Enhancment'!AU236</f>
        <v>0</v>
      </c>
      <c r="M725" s="757">
        <f>'E-3 Off-Site Hedge Enhancement'!AO237</f>
        <v>0</v>
      </c>
      <c r="V725" s="1">
        <f>'F-3 Off-Site WaterC Enhancement'!AT234</f>
        <v>0</v>
      </c>
    </row>
    <row r="726" spans="1:22">
      <c r="A726" s="757">
        <f>'D-3 Off-Site Habitat Enhancment'!AU237</f>
        <v>0</v>
      </c>
      <c r="M726" s="757">
        <f>'E-3 Off-Site Hedge Enhancement'!AO238</f>
        <v>0</v>
      </c>
      <c r="V726" s="1">
        <f>'F-3 Off-Site WaterC Enhancement'!AT235</f>
        <v>0</v>
      </c>
    </row>
    <row r="727" spans="1:22">
      <c r="A727" s="757">
        <f>'D-3 Off-Site Habitat Enhancment'!AU238</f>
        <v>0</v>
      </c>
      <c r="M727" s="757">
        <f>'E-3 Off-Site Hedge Enhancement'!AO239</f>
        <v>0</v>
      </c>
      <c r="V727" s="1">
        <f>'F-3 Off-Site WaterC Enhancement'!AT236</f>
        <v>0</v>
      </c>
    </row>
    <row r="728" spans="1:22">
      <c r="A728" s="757">
        <f>'D-3 Off-Site Habitat Enhancment'!AU239</f>
        <v>0</v>
      </c>
      <c r="M728" s="757">
        <f>'E-3 Off-Site Hedge Enhancement'!AO240</f>
        <v>0</v>
      </c>
      <c r="V728" s="1">
        <f>'F-3 Off-Site WaterC Enhancement'!AT237</f>
        <v>0</v>
      </c>
    </row>
    <row r="729" spans="1:22">
      <c r="A729" s="757">
        <f>'D-3 Off-Site Habitat Enhancment'!AU240</f>
        <v>0</v>
      </c>
      <c r="M729" s="757">
        <f>'E-3 Off-Site Hedge Enhancement'!AO241</f>
        <v>0</v>
      </c>
      <c r="V729" s="1">
        <f>'F-3 Off-Site WaterC Enhancement'!AT238</f>
        <v>0</v>
      </c>
    </row>
    <row r="730" spans="1:22">
      <c r="A730" s="757">
        <f>'D-3 Off-Site Habitat Enhancment'!AU241</f>
        <v>0</v>
      </c>
      <c r="M730" s="757">
        <f>'E-3 Off-Site Hedge Enhancement'!AO242</f>
        <v>0</v>
      </c>
      <c r="V730" s="1">
        <f>'F-3 Off-Site WaterC Enhancement'!AT239</f>
        <v>0</v>
      </c>
    </row>
    <row r="731" spans="1:22">
      <c r="A731" s="757">
        <f>'D-3 Off-Site Habitat Enhancment'!AU242</f>
        <v>0</v>
      </c>
      <c r="M731" s="757">
        <f>'E-3 Off-Site Hedge Enhancement'!AO243</f>
        <v>0</v>
      </c>
      <c r="V731" s="1">
        <f>'F-3 Off-Site WaterC Enhancement'!AT240</f>
        <v>0</v>
      </c>
    </row>
    <row r="732" spans="1:22">
      <c r="A732" s="757">
        <f>'D-3 Off-Site Habitat Enhancment'!AU243</f>
        <v>0</v>
      </c>
      <c r="M732" s="757">
        <f>'E-3 Off-Site Hedge Enhancement'!AO244</f>
        <v>0</v>
      </c>
      <c r="V732" s="1">
        <f>'F-3 Off-Site WaterC Enhancement'!AT241</f>
        <v>0</v>
      </c>
    </row>
    <row r="733" spans="1:22">
      <c r="A733" s="757">
        <f>'D-3 Off-Site Habitat Enhancment'!AU244</f>
        <v>0</v>
      </c>
      <c r="M733" s="757">
        <f>'E-3 Off-Site Hedge Enhancement'!AO245</f>
        <v>0</v>
      </c>
      <c r="V733" s="1">
        <f>'F-3 Off-Site WaterC Enhancement'!AT242</f>
        <v>0</v>
      </c>
    </row>
    <row r="734" spans="1:22">
      <c r="A734" s="757">
        <f>'D-3 Off-Site Habitat Enhancment'!AU245</f>
        <v>0</v>
      </c>
      <c r="M734" s="757">
        <f>'E-3 Off-Site Hedge Enhancement'!AO246</f>
        <v>0</v>
      </c>
      <c r="V734" s="1">
        <f>'F-3 Off-Site WaterC Enhancement'!AT243</f>
        <v>0</v>
      </c>
    </row>
    <row r="735" spans="1:22">
      <c r="A735" s="757">
        <f>'D-3 Off-Site Habitat Enhancment'!AU246</f>
        <v>0</v>
      </c>
      <c r="M735" s="757">
        <f>'E-3 Off-Site Hedge Enhancement'!AO247</f>
        <v>0</v>
      </c>
      <c r="V735" s="1">
        <f>'F-3 Off-Site WaterC Enhancement'!AT244</f>
        <v>0</v>
      </c>
    </row>
    <row r="736" spans="1:22">
      <c r="A736" s="757">
        <f>'D-3 Off-Site Habitat Enhancment'!AU247</f>
        <v>0</v>
      </c>
      <c r="M736" s="757">
        <f>'E-3 Off-Site Hedge Enhancement'!AO248</f>
        <v>0</v>
      </c>
      <c r="V736" s="1">
        <f>'F-3 Off-Site WaterC Enhancement'!AT245</f>
        <v>0</v>
      </c>
    </row>
    <row r="737" spans="1:22">
      <c r="A737" s="757">
        <f>'D-3 Off-Site Habitat Enhancment'!AU248</f>
        <v>0</v>
      </c>
      <c r="M737" s="757">
        <f>'E-3 Off-Site Hedge Enhancement'!AO249</f>
        <v>0</v>
      </c>
      <c r="V737" s="1">
        <f>'F-3 Off-Site WaterC Enhancement'!AT246</f>
        <v>0</v>
      </c>
    </row>
    <row r="738" spans="1:22">
      <c r="A738" s="757">
        <f>'D-3 Off-Site Habitat Enhancment'!AU249</f>
        <v>0</v>
      </c>
      <c r="M738" s="757">
        <f>'E-3 Off-Site Hedge Enhancement'!AO250</f>
        <v>0</v>
      </c>
      <c r="V738" s="1">
        <f>'F-3 Off-Site WaterC Enhancement'!AT247</f>
        <v>0</v>
      </c>
    </row>
    <row r="739" spans="1:22">
      <c r="A739" s="757">
        <f>'D-3 Off-Site Habitat Enhancment'!AU250</f>
        <v>0</v>
      </c>
      <c r="M739" s="757">
        <f>'E-3 Off-Site Hedge Enhancement'!AO251</f>
        <v>0</v>
      </c>
      <c r="V739" s="1">
        <f>'F-3 Off-Site WaterC Enhancement'!AT248</f>
        <v>0</v>
      </c>
    </row>
    <row r="740" spans="1:22">
      <c r="A740" s="757">
        <f>'D-3 Off-Site Habitat Enhancment'!AU251</f>
        <v>0</v>
      </c>
      <c r="M740" s="757">
        <f>'E-3 Off-Site Hedge Enhancement'!AO252</f>
        <v>0</v>
      </c>
      <c r="V740" s="1">
        <f>'F-3 Off-Site WaterC Enhancement'!AT249</f>
        <v>0</v>
      </c>
    </row>
    <row r="741" spans="1:22">
      <c r="A741" s="757">
        <f>'D-3 Off-Site Habitat Enhancment'!AU252</f>
        <v>0</v>
      </c>
      <c r="M741" s="757">
        <f>'E-3 Off-Site Hedge Enhancement'!AO253</f>
        <v>0</v>
      </c>
      <c r="V741" s="1">
        <f>'F-3 Off-Site WaterC Enhancement'!AT250</f>
        <v>0</v>
      </c>
    </row>
    <row r="742" spans="1:22">
      <c r="A742" s="757">
        <f>'D-3 Off-Site Habitat Enhancment'!AU253</f>
        <v>0</v>
      </c>
      <c r="M742" s="757">
        <f>'E-3 Off-Site Hedge Enhancement'!AO254</f>
        <v>0</v>
      </c>
      <c r="V742" s="1">
        <f>'F-3 Off-Site WaterC Enhancement'!AT251</f>
        <v>0</v>
      </c>
    </row>
    <row r="743" spans="1:22">
      <c r="A743" s="757">
        <f>'D-3 Off-Site Habitat Enhancment'!AU254</f>
        <v>0</v>
      </c>
      <c r="M743" s="757">
        <f>'E-3 Off-Site Hedge Enhancement'!AO255</f>
        <v>0</v>
      </c>
      <c r="V743" s="1">
        <f>'F-3 Off-Site WaterC Enhancement'!AT252</f>
        <v>0</v>
      </c>
    </row>
    <row r="744" spans="1:22">
      <c r="A744" s="757">
        <f>'D-3 Off-Site Habitat Enhancment'!AU255</f>
        <v>0</v>
      </c>
      <c r="M744" s="757">
        <f>'E-3 Off-Site Hedge Enhancement'!AO256</f>
        <v>0</v>
      </c>
      <c r="V744" s="1">
        <f>'F-3 Off-Site WaterC Enhancement'!AT253</f>
        <v>0</v>
      </c>
    </row>
    <row r="745" spans="1:22">
      <c r="A745" s="757">
        <f>'D-3 Off-Site Habitat Enhancment'!AU256</f>
        <v>0</v>
      </c>
      <c r="M745" s="757">
        <f>'E-3 Off-Site Hedge Enhancement'!AO257</f>
        <v>0</v>
      </c>
      <c r="V745" s="1">
        <f>'F-3 Off-Site WaterC Enhancement'!AT254</f>
        <v>0</v>
      </c>
    </row>
    <row r="746" spans="1:22">
      <c r="A746" s="757">
        <f>'D-3 Off-Site Habitat Enhancment'!AU257</f>
        <v>0</v>
      </c>
      <c r="M746" s="758"/>
      <c r="V746" s="1">
        <f>'F-3 Off-Site WaterC Enhancement'!AT255</f>
        <v>0</v>
      </c>
    </row>
    <row r="747" spans="1:22">
      <c r="A747" s="757">
        <f>'D-3 Off-Site Habitat Enhancment'!AU258</f>
        <v>0</v>
      </c>
      <c r="V747" s="1">
        <f>'F-3 Off-Site WaterC Enhancement'!AT256</f>
        <v>0</v>
      </c>
    </row>
    <row r="748" spans="1:22">
      <c r="A748" s="758"/>
      <c r="V748" s="1">
        <f>'F-3 Off-Site WaterC Enhancement'!AT257</f>
        <v>0</v>
      </c>
    </row>
    <row r="749" spans="1:22">
      <c r="V749" s="721"/>
    </row>
  </sheetData>
  <sheetProtection algorithmName="SHA-512" hashValue="wnmXZkPXWCrAkPZPIwyuLA1aE2eQ8pNMTXXBauYSg3WATgdCAFQK9PqrNp6Ym1P2rfaMmkGC2lH+/nOWidFFmA==" saltValue="oJvQdU+cg09Hm09ODwHEHQ==" spinCount="100000" sheet="1" objects="1" scenarios="1"/>
  <mergeCells count="432">
    <mergeCell ref="W3:AD4"/>
    <mergeCell ref="W108:AD108"/>
    <mergeCell ref="W5:W6"/>
    <mergeCell ref="X5:X6"/>
    <mergeCell ref="Y5:Y6"/>
    <mergeCell ref="D107:E107"/>
    <mergeCell ref="F107:G107"/>
    <mergeCell ref="H107:I107"/>
    <mergeCell ref="B108:L108"/>
    <mergeCell ref="D103:E103"/>
    <mergeCell ref="F103:G103"/>
    <mergeCell ref="H103:I103"/>
    <mergeCell ref="D99:E99"/>
    <mergeCell ref="F99:G99"/>
    <mergeCell ref="H99:I99"/>
    <mergeCell ref="D95:E95"/>
    <mergeCell ref="F95:G95"/>
    <mergeCell ref="H95:I95"/>
    <mergeCell ref="D91:E91"/>
    <mergeCell ref="F91:G91"/>
    <mergeCell ref="H91:I91"/>
    <mergeCell ref="D87:E87"/>
    <mergeCell ref="F87:G87"/>
    <mergeCell ref="H87:I87"/>
    <mergeCell ref="AE107:AF107"/>
    <mergeCell ref="D105:E105"/>
    <mergeCell ref="F105:G105"/>
    <mergeCell ref="H105:I105"/>
    <mergeCell ref="AE105:AF105"/>
    <mergeCell ref="D106:E106"/>
    <mergeCell ref="F106:G106"/>
    <mergeCell ref="H106:I106"/>
    <mergeCell ref="AE106:AF106"/>
    <mergeCell ref="AE103:AF103"/>
    <mergeCell ref="D104:E104"/>
    <mergeCell ref="F104:G104"/>
    <mergeCell ref="H104:I104"/>
    <mergeCell ref="AE104:AF104"/>
    <mergeCell ref="D101:E101"/>
    <mergeCell ref="F101:G101"/>
    <mergeCell ref="H101:I101"/>
    <mergeCell ref="AE101:AF101"/>
    <mergeCell ref="D102:E102"/>
    <mergeCell ref="F102:G102"/>
    <mergeCell ref="H102:I102"/>
    <mergeCell ref="AE102:AF102"/>
    <mergeCell ref="AE99:AF99"/>
    <mergeCell ref="D100:E100"/>
    <mergeCell ref="F100:G100"/>
    <mergeCell ref="H100:I100"/>
    <mergeCell ref="AE100:AF100"/>
    <mergeCell ref="D97:E97"/>
    <mergeCell ref="F97:G97"/>
    <mergeCell ref="H97:I97"/>
    <mergeCell ref="AE97:AF97"/>
    <mergeCell ref="D98:E98"/>
    <mergeCell ref="F98:G98"/>
    <mergeCell ref="H98:I98"/>
    <mergeCell ref="AE98:AF98"/>
    <mergeCell ref="AE95:AF95"/>
    <mergeCell ref="D96:E96"/>
    <mergeCell ref="F96:G96"/>
    <mergeCell ref="H96:I96"/>
    <mergeCell ref="AE96:AF96"/>
    <mergeCell ref="D93:E93"/>
    <mergeCell ref="F93:G93"/>
    <mergeCell ref="H93:I93"/>
    <mergeCell ref="AE93:AF93"/>
    <mergeCell ref="D94:E94"/>
    <mergeCell ref="F94:G94"/>
    <mergeCell ref="H94:I94"/>
    <mergeCell ref="AE94:AF94"/>
    <mergeCell ref="AE91:AF91"/>
    <mergeCell ref="D92:E92"/>
    <mergeCell ref="F92:G92"/>
    <mergeCell ref="H92:I92"/>
    <mergeCell ref="AE92:AF92"/>
    <mergeCell ref="D89:E89"/>
    <mergeCell ref="F89:G89"/>
    <mergeCell ref="H89:I89"/>
    <mergeCell ref="AE89:AF89"/>
    <mergeCell ref="D90:E90"/>
    <mergeCell ref="F90:G90"/>
    <mergeCell ref="H90:I90"/>
    <mergeCell ref="AE90:AF90"/>
    <mergeCell ref="AE87:AF87"/>
    <mergeCell ref="D88:E88"/>
    <mergeCell ref="F88:G88"/>
    <mergeCell ref="H88:I88"/>
    <mergeCell ref="AE88:AF88"/>
    <mergeCell ref="D85:E85"/>
    <mergeCell ref="F85:G85"/>
    <mergeCell ref="H85:I85"/>
    <mergeCell ref="AE85:AF85"/>
    <mergeCell ref="D86:E86"/>
    <mergeCell ref="F86:G86"/>
    <mergeCell ref="H86:I86"/>
    <mergeCell ref="AE86:AF86"/>
    <mergeCell ref="D83:E83"/>
    <mergeCell ref="F83:G83"/>
    <mergeCell ref="H83:I83"/>
    <mergeCell ref="AE83:AF83"/>
    <mergeCell ref="D84:E84"/>
    <mergeCell ref="F84:G84"/>
    <mergeCell ref="H84:I84"/>
    <mergeCell ref="AE84:AF84"/>
    <mergeCell ref="D81:E81"/>
    <mergeCell ref="F81:G81"/>
    <mergeCell ref="H81:I81"/>
    <mergeCell ref="AE81:AF81"/>
    <mergeCell ref="D82:E82"/>
    <mergeCell ref="F82:G82"/>
    <mergeCell ref="H82:I82"/>
    <mergeCell ref="AE82:AF82"/>
    <mergeCell ref="D79:E79"/>
    <mergeCell ref="F79:G79"/>
    <mergeCell ref="H79:I79"/>
    <mergeCell ref="AE79:AF79"/>
    <mergeCell ref="D80:E80"/>
    <mergeCell ref="F80:G80"/>
    <mergeCell ref="H80:I80"/>
    <mergeCell ref="AE80:AF80"/>
    <mergeCell ref="D77:E77"/>
    <mergeCell ref="F77:G77"/>
    <mergeCell ref="H77:I77"/>
    <mergeCell ref="AE77:AF77"/>
    <mergeCell ref="D78:E78"/>
    <mergeCell ref="F78:G78"/>
    <mergeCell ref="H78:I78"/>
    <mergeCell ref="AE78:AF78"/>
    <mergeCell ref="D75:E75"/>
    <mergeCell ref="F75:G75"/>
    <mergeCell ref="H75:I75"/>
    <mergeCell ref="AE75:AF75"/>
    <mergeCell ref="D76:E76"/>
    <mergeCell ref="F76:G76"/>
    <mergeCell ref="H76:I76"/>
    <mergeCell ref="AE76:AF76"/>
    <mergeCell ref="D73:E73"/>
    <mergeCell ref="F73:G73"/>
    <mergeCell ref="H73:I73"/>
    <mergeCell ref="AE73:AF73"/>
    <mergeCell ref="D74:E74"/>
    <mergeCell ref="F74:G74"/>
    <mergeCell ref="H74:I74"/>
    <mergeCell ref="AE74:AF74"/>
    <mergeCell ref="D71:E71"/>
    <mergeCell ref="F71:G71"/>
    <mergeCell ref="H71:I71"/>
    <mergeCell ref="AE71:AF71"/>
    <mergeCell ref="D72:E72"/>
    <mergeCell ref="F72:G72"/>
    <mergeCell ref="H72:I72"/>
    <mergeCell ref="AE72:AF72"/>
    <mergeCell ref="D69:E69"/>
    <mergeCell ref="F69:G69"/>
    <mergeCell ref="H69:I69"/>
    <mergeCell ref="AE69:AF69"/>
    <mergeCell ref="D70:E70"/>
    <mergeCell ref="F70:G70"/>
    <mergeCell ref="H70:I70"/>
    <mergeCell ref="AE70:AF70"/>
    <mergeCell ref="D67:E67"/>
    <mergeCell ref="F67:G67"/>
    <mergeCell ref="H67:I67"/>
    <mergeCell ref="AE67:AF67"/>
    <mergeCell ref="D68:E68"/>
    <mergeCell ref="F68:G68"/>
    <mergeCell ref="H68:I68"/>
    <mergeCell ref="AE68:AF68"/>
    <mergeCell ref="D65:E65"/>
    <mergeCell ref="F65:G65"/>
    <mergeCell ref="H65:I65"/>
    <mergeCell ref="AE65:AF65"/>
    <mergeCell ref="D66:E66"/>
    <mergeCell ref="F66:G66"/>
    <mergeCell ref="H66:I66"/>
    <mergeCell ref="AE66:AF66"/>
    <mergeCell ref="D63:E63"/>
    <mergeCell ref="F63:G63"/>
    <mergeCell ref="H63:I63"/>
    <mergeCell ref="AE63:AF63"/>
    <mergeCell ref="D64:E64"/>
    <mergeCell ref="F64:G64"/>
    <mergeCell ref="H64:I64"/>
    <mergeCell ref="AE64:AF64"/>
    <mergeCell ref="D61:E61"/>
    <mergeCell ref="F61:G61"/>
    <mergeCell ref="H61:I61"/>
    <mergeCell ref="AE61:AF61"/>
    <mergeCell ref="D62:E62"/>
    <mergeCell ref="F62:G62"/>
    <mergeCell ref="H62:I62"/>
    <mergeCell ref="AE62:AF62"/>
    <mergeCell ref="D59:E59"/>
    <mergeCell ref="F59:G59"/>
    <mergeCell ref="H59:I59"/>
    <mergeCell ref="AE59:AF59"/>
    <mergeCell ref="D60:E60"/>
    <mergeCell ref="F60:G60"/>
    <mergeCell ref="H60:I60"/>
    <mergeCell ref="AE60:AF60"/>
    <mergeCell ref="D57:E57"/>
    <mergeCell ref="F57:G57"/>
    <mergeCell ref="H57:I57"/>
    <mergeCell ref="AE57:AF57"/>
    <mergeCell ref="D58:E58"/>
    <mergeCell ref="F58:G58"/>
    <mergeCell ref="H58:I58"/>
    <mergeCell ref="AE58:AF58"/>
    <mergeCell ref="D55:E55"/>
    <mergeCell ref="F55:G55"/>
    <mergeCell ref="H55:I55"/>
    <mergeCell ref="AE55:AF55"/>
    <mergeCell ref="D56:E56"/>
    <mergeCell ref="F56:G56"/>
    <mergeCell ref="H56:I56"/>
    <mergeCell ref="AE56:AF56"/>
    <mergeCell ref="D53:E53"/>
    <mergeCell ref="F53:G53"/>
    <mergeCell ref="H53:I53"/>
    <mergeCell ref="AE53:AF53"/>
    <mergeCell ref="D54:E54"/>
    <mergeCell ref="F54:G54"/>
    <mergeCell ref="H54:I54"/>
    <mergeCell ref="AE54:AF54"/>
    <mergeCell ref="D51:E51"/>
    <mergeCell ref="F51:G51"/>
    <mergeCell ref="H51:I51"/>
    <mergeCell ref="AE51:AF51"/>
    <mergeCell ref="D52:E52"/>
    <mergeCell ref="F52:G52"/>
    <mergeCell ref="H52:I52"/>
    <mergeCell ref="AE52:AF52"/>
    <mergeCell ref="D49:E49"/>
    <mergeCell ref="F49:G49"/>
    <mergeCell ref="H49:I49"/>
    <mergeCell ref="AE49:AF49"/>
    <mergeCell ref="D50:E50"/>
    <mergeCell ref="F50:G50"/>
    <mergeCell ref="H50:I50"/>
    <mergeCell ref="AE50:AF50"/>
    <mergeCell ref="D47:E47"/>
    <mergeCell ref="F47:G47"/>
    <mergeCell ref="H47:I47"/>
    <mergeCell ref="AE47:AF47"/>
    <mergeCell ref="D48:E48"/>
    <mergeCell ref="F48:G48"/>
    <mergeCell ref="H48:I48"/>
    <mergeCell ref="AE48:AF48"/>
    <mergeCell ref="D45:E45"/>
    <mergeCell ref="F45:G45"/>
    <mergeCell ref="H45:I45"/>
    <mergeCell ref="AE45:AF45"/>
    <mergeCell ref="D46:E46"/>
    <mergeCell ref="F46:G46"/>
    <mergeCell ref="H46:I46"/>
    <mergeCell ref="AE46:AF46"/>
    <mergeCell ref="D43:E43"/>
    <mergeCell ref="F43:G43"/>
    <mergeCell ref="H43:I43"/>
    <mergeCell ref="AE43:AF43"/>
    <mergeCell ref="D44:E44"/>
    <mergeCell ref="F44:G44"/>
    <mergeCell ref="H44:I44"/>
    <mergeCell ref="AE44:AF44"/>
    <mergeCell ref="D41:E41"/>
    <mergeCell ref="F41:G41"/>
    <mergeCell ref="H41:I41"/>
    <mergeCell ref="AE41:AF41"/>
    <mergeCell ref="D42:E42"/>
    <mergeCell ref="F42:G42"/>
    <mergeCell ref="H42:I42"/>
    <mergeCell ref="AE42:AF42"/>
    <mergeCell ref="D39:E39"/>
    <mergeCell ref="F39:G39"/>
    <mergeCell ref="H39:I39"/>
    <mergeCell ref="AE39:AF39"/>
    <mergeCell ref="D40:E40"/>
    <mergeCell ref="F40:G40"/>
    <mergeCell ref="H40:I40"/>
    <mergeCell ref="AE40:AF40"/>
    <mergeCell ref="D37:E37"/>
    <mergeCell ref="F37:G37"/>
    <mergeCell ref="H37:I37"/>
    <mergeCell ref="AE37:AF37"/>
    <mergeCell ref="D38:E38"/>
    <mergeCell ref="F38:G38"/>
    <mergeCell ref="H38:I38"/>
    <mergeCell ref="AE38:AF38"/>
    <mergeCell ref="D35:E35"/>
    <mergeCell ref="F35:G35"/>
    <mergeCell ref="H35:I35"/>
    <mergeCell ref="AE35:AF35"/>
    <mergeCell ref="D36:E36"/>
    <mergeCell ref="F36:G36"/>
    <mergeCell ref="H36:I36"/>
    <mergeCell ref="AE36:AF36"/>
    <mergeCell ref="D33:E33"/>
    <mergeCell ref="F33:G33"/>
    <mergeCell ref="H33:I33"/>
    <mergeCell ref="AE33:AF33"/>
    <mergeCell ref="D34:E34"/>
    <mergeCell ref="F34:G34"/>
    <mergeCell ref="H34:I34"/>
    <mergeCell ref="AE34:AF34"/>
    <mergeCell ref="D31:E31"/>
    <mergeCell ref="F31:G31"/>
    <mergeCell ref="H31:I31"/>
    <mergeCell ref="AE31:AF31"/>
    <mergeCell ref="D32:E32"/>
    <mergeCell ref="F32:G32"/>
    <mergeCell ref="H32:I32"/>
    <mergeCell ref="AE32:AF32"/>
    <mergeCell ref="D29:E29"/>
    <mergeCell ref="F29:G29"/>
    <mergeCell ref="H29:I29"/>
    <mergeCell ref="AE29:AF29"/>
    <mergeCell ref="D30:E30"/>
    <mergeCell ref="F30:G30"/>
    <mergeCell ref="H30:I30"/>
    <mergeCell ref="AE30:AF30"/>
    <mergeCell ref="D27:E27"/>
    <mergeCell ref="F27:G27"/>
    <mergeCell ref="H27:I27"/>
    <mergeCell ref="AE27:AF27"/>
    <mergeCell ref="D28:E28"/>
    <mergeCell ref="F28:G28"/>
    <mergeCell ref="H28:I28"/>
    <mergeCell ref="AE28:AF28"/>
    <mergeCell ref="D25:E25"/>
    <mergeCell ref="F25:G25"/>
    <mergeCell ref="H25:I25"/>
    <mergeCell ref="AE25:AF25"/>
    <mergeCell ref="D26:E26"/>
    <mergeCell ref="F26:G26"/>
    <mergeCell ref="H26:I26"/>
    <mergeCell ref="AE26:AF26"/>
    <mergeCell ref="D23:E23"/>
    <mergeCell ref="F23:G23"/>
    <mergeCell ref="H23:I23"/>
    <mergeCell ref="AE23:AF23"/>
    <mergeCell ref="D24:E24"/>
    <mergeCell ref="F24:G24"/>
    <mergeCell ref="H24:I24"/>
    <mergeCell ref="AE24:AF24"/>
    <mergeCell ref="D21:E21"/>
    <mergeCell ref="F21:G21"/>
    <mergeCell ref="H21:I21"/>
    <mergeCell ref="AE21:AF21"/>
    <mergeCell ref="D22:E22"/>
    <mergeCell ref="F22:G22"/>
    <mergeCell ref="H22:I22"/>
    <mergeCell ref="AE22:AF22"/>
    <mergeCell ref="D19:E19"/>
    <mergeCell ref="F19:G19"/>
    <mergeCell ref="H19:I19"/>
    <mergeCell ref="AE19:AF19"/>
    <mergeCell ref="D20:E20"/>
    <mergeCell ref="F20:G20"/>
    <mergeCell ref="H20:I20"/>
    <mergeCell ref="AE20:AF20"/>
    <mergeCell ref="D17:E17"/>
    <mergeCell ref="F17:G17"/>
    <mergeCell ref="H17:I17"/>
    <mergeCell ref="AE17:AF17"/>
    <mergeCell ref="D18:E18"/>
    <mergeCell ref="F18:G18"/>
    <mergeCell ref="H18:I18"/>
    <mergeCell ref="AE18:AF18"/>
    <mergeCell ref="D15:E15"/>
    <mergeCell ref="F15:G15"/>
    <mergeCell ref="H15:I15"/>
    <mergeCell ref="AE15:AF15"/>
    <mergeCell ref="D16:E16"/>
    <mergeCell ref="F16:G16"/>
    <mergeCell ref="H16:I16"/>
    <mergeCell ref="AE16:AF16"/>
    <mergeCell ref="D13:E13"/>
    <mergeCell ref="F13:G13"/>
    <mergeCell ref="H13:I13"/>
    <mergeCell ref="AE13:AF13"/>
    <mergeCell ref="D14:E14"/>
    <mergeCell ref="F14:G14"/>
    <mergeCell ref="H14:I14"/>
    <mergeCell ref="AE14:AF14"/>
    <mergeCell ref="D11:E11"/>
    <mergeCell ref="F11:G11"/>
    <mergeCell ref="H11:I11"/>
    <mergeCell ref="AE11:AF11"/>
    <mergeCell ref="D12:E12"/>
    <mergeCell ref="F12:G12"/>
    <mergeCell ref="H12:I12"/>
    <mergeCell ref="AE12:AF12"/>
    <mergeCell ref="D9:E9"/>
    <mergeCell ref="F9:G9"/>
    <mergeCell ref="H9:I9"/>
    <mergeCell ref="AE9:AF9"/>
    <mergeCell ref="D10:E10"/>
    <mergeCell ref="F10:G10"/>
    <mergeCell ref="H10:I10"/>
    <mergeCell ref="AE10:AF10"/>
    <mergeCell ref="N3:U4"/>
    <mergeCell ref="D7:E7"/>
    <mergeCell ref="F7:G7"/>
    <mergeCell ref="H7:I7"/>
    <mergeCell ref="B3:L4"/>
    <mergeCell ref="B5:B6"/>
    <mergeCell ref="D5:E6"/>
    <mergeCell ref="F5:G6"/>
    <mergeCell ref="H5:I6"/>
    <mergeCell ref="C5:C6"/>
    <mergeCell ref="J5:J6"/>
    <mergeCell ref="L5:L6"/>
    <mergeCell ref="K5:K6"/>
    <mergeCell ref="D8:E8"/>
    <mergeCell ref="F8:G8"/>
    <mergeCell ref="H8:I8"/>
    <mergeCell ref="AE8:AF8"/>
    <mergeCell ref="U5:U6"/>
    <mergeCell ref="Z5:Z6"/>
    <mergeCell ref="AA5:AA6"/>
    <mergeCell ref="AB5:AB6"/>
    <mergeCell ref="AC5:AC6"/>
    <mergeCell ref="AD5:AD6"/>
    <mergeCell ref="O5:O6"/>
    <mergeCell ref="N5:N6"/>
    <mergeCell ref="P5:P6"/>
    <mergeCell ref="Q5:Q6"/>
    <mergeCell ref="R5:R6"/>
    <mergeCell ref="S5:S6"/>
    <mergeCell ref="T5:T6"/>
  </mergeCell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4">
    <tabColor rgb="FF006600"/>
  </sheetPr>
  <dimension ref="A1:AT275"/>
  <sheetViews>
    <sheetView showGridLines="0" topLeftCell="N16" zoomScale="70" zoomScaleNormal="70" workbookViewId="0">
      <selection activeCell="Z22" sqref="Z22"/>
    </sheetView>
  </sheetViews>
  <sheetFormatPr defaultColWidth="0" defaultRowHeight="15" zeroHeight="1"/>
  <cols>
    <col min="1" max="1" width="9.28515625" style="35" hidden="1" customWidth="1"/>
    <col min="2" max="2" width="12.42578125" style="35" hidden="1" customWidth="1"/>
    <col min="3" max="3" width="14.42578125" style="35" hidden="1" customWidth="1"/>
    <col min="4" max="4" width="5.28515625" style="37" customWidth="1"/>
    <col min="5" max="5" width="24.28515625" style="37" customWidth="1"/>
    <col min="6" max="6" width="72.7109375" style="37" customWidth="1"/>
    <col min="7" max="7" width="25.42578125" style="35" hidden="1" customWidth="1"/>
    <col min="8" max="8" width="14.28515625" style="37" customWidth="1"/>
    <col min="9" max="9" width="17.7109375" style="37" customWidth="1"/>
    <col min="10" max="10" width="7.42578125" style="37" customWidth="1"/>
    <col min="11" max="11" width="17.28515625" style="37" customWidth="1"/>
    <col min="12" max="12" width="9.5703125" style="37" customWidth="1"/>
    <col min="13" max="13" width="41.7109375" style="37" customWidth="1"/>
    <col min="14" max="14" width="17.42578125" style="37" customWidth="1"/>
    <col min="15" max="15" width="17.28515625" style="37" customWidth="1"/>
    <col min="16" max="16" width="30.7109375" style="37" customWidth="1"/>
    <col min="17" max="17" width="18" style="37" bestFit="1" customWidth="1"/>
    <col min="18" max="18" width="6" style="35" customWidth="1"/>
    <col min="19" max="19" width="10.28515625" style="37" customWidth="1"/>
    <col min="20" max="20" width="11.42578125" style="37" customWidth="1"/>
    <col min="21" max="21" width="10.28515625" style="37" bestFit="1" customWidth="1"/>
    <col min="22" max="22" width="11.7109375" style="37" bestFit="1" customWidth="1"/>
    <col min="23" max="23" width="14.42578125" style="37" customWidth="1"/>
    <col min="24" max="24" width="17" style="37" customWidth="1"/>
    <col min="25" max="25" width="19" style="37" customWidth="1"/>
    <col min="26" max="26" width="50.28515625" style="37" customWidth="1"/>
    <col min="27" max="27" width="41.7109375" style="37" customWidth="1"/>
    <col min="28" max="28" width="20.7109375" style="37" customWidth="1"/>
    <col min="29" max="46" width="12.7109375" style="35" hidden="1" customWidth="1"/>
    <col min="47" max="16379" width="12.7109375" style="35" customWidth="1"/>
    <col min="16380" max="16381" width="5.7109375" style="35" customWidth="1"/>
    <col min="16382" max="16382" width="6" style="35" customWidth="1"/>
    <col min="16383" max="16383" width="5.42578125" style="35" customWidth="1"/>
    <col min="16384" max="16384" width="16.28515625" style="35" customWidth="1"/>
  </cols>
  <sheetData>
    <row r="1" spans="1:43" ht="15.75" thickBot="1"/>
    <row r="2" spans="1:43" ht="19.5" thickBot="1">
      <c r="D2" s="1433" t="str">
        <f>CONCATENATE("Project Name:", " ", Start!F12, "     ", "Map Reference:", " ", Start!F55)</f>
        <v xml:space="preserve">Project Name: Grove Farm Solar     Map Reference: </v>
      </c>
      <c r="E2" s="1434"/>
      <c r="F2" s="1435"/>
      <c r="I2" s="1404" t="s">
        <v>262</v>
      </c>
      <c r="J2" s="1405"/>
      <c r="K2" s="1405"/>
      <c r="L2" s="1405"/>
      <c r="M2" s="1406"/>
      <c r="Q2" s="1423" t="str" cm="1">
        <f t="array" ref="Q2">IF(OR(K11:K258 = "Fairly Good", K11:K258 = "Fairly Poor"),"A 'Fairly' Category has been used - check evidence to ensure this is appropriate ⚠", "")</f>
        <v/>
      </c>
      <c r="R2" s="1423"/>
      <c r="S2" s="1423"/>
      <c r="T2" s="1423"/>
      <c r="U2" s="1423"/>
      <c r="V2" s="1423"/>
      <c r="W2" s="1423"/>
      <c r="X2" s="1423"/>
    </row>
    <row r="3" spans="1:43" ht="15.6" customHeight="1">
      <c r="D3" s="1427" t="str">
        <f ca="1">MID(CELL("filename",C1),FIND("]",CELL("filename",C1))+1,256)</f>
        <v>A-1 On-Site Habitat Baseline</v>
      </c>
      <c r="E3" s="1428"/>
      <c r="F3" s="1429"/>
      <c r="I3" s="1442" t="s">
        <v>263</v>
      </c>
      <c r="J3" s="1443"/>
      <c r="K3" s="1443"/>
      <c r="L3" s="1436">
        <f>'Headline Results'!H47</f>
        <v>97.897490402123225</v>
      </c>
      <c r="M3" s="1437"/>
      <c r="N3" s="735"/>
      <c r="Q3" s="1423"/>
      <c r="R3" s="1423"/>
      <c r="S3" s="1423"/>
      <c r="T3" s="1423"/>
      <c r="U3" s="1423"/>
      <c r="V3" s="1423"/>
      <c r="W3" s="1423"/>
      <c r="X3" s="1423"/>
      <c r="AC3" s="35" t="s">
        <v>264</v>
      </c>
      <c r="AD3" s="35" t="s">
        <v>264</v>
      </c>
      <c r="AE3" s="35" t="s">
        <v>264</v>
      </c>
      <c r="AF3" s="35" t="s">
        <v>264</v>
      </c>
      <c r="AG3" s="35" t="s">
        <v>264</v>
      </c>
      <c r="AH3" s="35" t="s">
        <v>264</v>
      </c>
      <c r="AI3" s="35" t="s">
        <v>264</v>
      </c>
      <c r="AJ3" s="35" t="s">
        <v>264</v>
      </c>
      <c r="AK3" s="35" t="s">
        <v>264</v>
      </c>
      <c r="AL3" s="35" t="s">
        <v>264</v>
      </c>
      <c r="AM3" s="35" t="s">
        <v>264</v>
      </c>
      <c r="AN3" s="35" t="s">
        <v>264</v>
      </c>
    </row>
    <row r="4" spans="1:43" ht="15" customHeight="1" thickBot="1">
      <c r="D4" s="1430"/>
      <c r="E4" s="1431"/>
      <c r="F4" s="1432"/>
      <c r="I4" s="1444" t="s">
        <v>265</v>
      </c>
      <c r="J4" s="1445"/>
      <c r="K4" s="1445"/>
      <c r="L4" s="1438">
        <f>'Headline Results'!H51</f>
        <v>1.012467323068333</v>
      </c>
      <c r="M4" s="1439"/>
      <c r="N4" s="735"/>
      <c r="Q4" s="1423"/>
      <c r="R4" s="1423"/>
      <c r="S4" s="1423"/>
      <c r="T4" s="1423"/>
      <c r="U4" s="1423"/>
      <c r="V4" s="1423"/>
      <c r="W4" s="1423"/>
      <c r="X4" s="1423"/>
      <c r="AF4" s="35" t="s">
        <v>266</v>
      </c>
      <c r="AG4" s="35" t="s">
        <v>266</v>
      </c>
      <c r="AH4" s="35" t="s">
        <v>266</v>
      </c>
      <c r="AI4" s="35" t="s">
        <v>266</v>
      </c>
      <c r="AJ4" s="35" t="s">
        <v>266</v>
      </c>
      <c r="AK4" s="35" t="s">
        <v>266</v>
      </c>
      <c r="AL4" s="35" t="s">
        <v>266</v>
      </c>
      <c r="AM4" s="35" t="s">
        <v>266</v>
      </c>
      <c r="AN4" s="35" t="s">
        <v>266</v>
      </c>
    </row>
    <row r="5" spans="1:43" ht="15.6" customHeight="1" thickBot="1">
      <c r="I5" s="1446" t="s">
        <v>267</v>
      </c>
      <c r="J5" s="1440"/>
      <c r="K5" s="1440"/>
      <c r="L5" s="1440" t="str" cm="1">
        <f t="array" ref="L5">IF(OR('Trading Summary Area Habitats'!G5:G8="No ▲"), "No - check trading summaries ▲", "Yes ✓")</f>
        <v>Yes ✓</v>
      </c>
      <c r="M5" s="1441"/>
      <c r="N5" s="735"/>
      <c r="Q5" s="1423"/>
      <c r="R5" s="1423"/>
      <c r="S5" s="1423"/>
      <c r="T5" s="1423"/>
      <c r="U5" s="1423"/>
      <c r="V5" s="1423"/>
      <c r="W5" s="1423"/>
      <c r="X5" s="1423"/>
    </row>
    <row r="6" spans="1:43" ht="16.149999999999999" customHeight="1">
      <c r="I6" s="1415" t="str" cm="1">
        <f t="array" ref="I6">IF(OR(E11:E258="watercourse footprint"),"Please ensure the watercourse details for any watercourse footprints recorded are included in the watercourse tabs ⚠","")</f>
        <v/>
      </c>
      <c r="J6" s="1415"/>
      <c r="K6" s="1415"/>
      <c r="L6" s="1415"/>
      <c r="M6" s="1415"/>
    </row>
    <row r="7" spans="1:43">
      <c r="I7" s="1184"/>
      <c r="J7" s="1184"/>
      <c r="K7" s="1184"/>
      <c r="L7" s="1184"/>
      <c r="M7" s="1184"/>
    </row>
    <row r="8" spans="1:43" ht="31.15" customHeight="1" thickBot="1">
      <c r="D8" s="38"/>
      <c r="E8" s="38"/>
      <c r="F8" s="38"/>
      <c r="I8" s="1416"/>
      <c r="J8" s="1416"/>
      <c r="K8" s="1416"/>
      <c r="L8" s="1416"/>
      <c r="M8" s="1416"/>
    </row>
    <row r="9" spans="1:43" ht="29.65" customHeight="1" thickBot="1">
      <c r="D9" s="38"/>
      <c r="E9" s="1410" t="s">
        <v>268</v>
      </c>
      <c r="F9" s="1411"/>
      <c r="G9" s="1411"/>
      <c r="H9" s="1412"/>
      <c r="I9" s="1410" t="s">
        <v>269</v>
      </c>
      <c r="J9" s="1412"/>
      <c r="K9" s="1410" t="s">
        <v>270</v>
      </c>
      <c r="L9" s="1412"/>
      <c r="M9" s="1410" t="s">
        <v>271</v>
      </c>
      <c r="N9" s="1411"/>
      <c r="O9" s="1412"/>
      <c r="P9" s="1413" t="s">
        <v>272</v>
      </c>
      <c r="Q9" s="718" t="s">
        <v>273</v>
      </c>
      <c r="R9" s="39"/>
      <c r="S9" s="1407" t="s">
        <v>274</v>
      </c>
      <c r="T9" s="1408"/>
      <c r="U9" s="1408"/>
      <c r="V9" s="1408"/>
      <c r="W9" s="1408"/>
      <c r="X9" s="1409"/>
      <c r="Y9" s="1413" t="s">
        <v>275</v>
      </c>
      <c r="Z9" s="1407" t="s">
        <v>276</v>
      </c>
      <c r="AA9" s="1408"/>
      <c r="AB9" s="1409"/>
      <c r="AC9" s="35" t="s">
        <v>266</v>
      </c>
      <c r="AD9" s="35" t="s">
        <v>266</v>
      </c>
      <c r="AF9" s="40" t="s">
        <v>277</v>
      </c>
      <c r="AG9" s="40"/>
      <c r="AH9" s="40"/>
      <c r="AI9" s="40"/>
      <c r="AJ9" s="40"/>
      <c r="AK9" s="40" t="s">
        <v>278</v>
      </c>
      <c r="AL9" s="40"/>
      <c r="AM9" s="40"/>
      <c r="AN9" s="40"/>
      <c r="AQ9" s="35" t="s">
        <v>279</v>
      </c>
    </row>
    <row r="10" spans="1:43" ht="44.25" customHeight="1" thickBot="1">
      <c r="B10" s="41" t="s">
        <v>280</v>
      </c>
      <c r="D10" s="44" t="s">
        <v>281</v>
      </c>
      <c r="E10" s="476" t="s">
        <v>282</v>
      </c>
      <c r="F10" s="477" t="s">
        <v>283</v>
      </c>
      <c r="G10" s="728" t="s">
        <v>284</v>
      </c>
      <c r="H10" s="43" t="s">
        <v>285</v>
      </c>
      <c r="I10" s="44" t="s">
        <v>269</v>
      </c>
      <c r="J10" s="43" t="s">
        <v>286</v>
      </c>
      <c r="K10" s="44" t="s">
        <v>270</v>
      </c>
      <c r="L10" s="43" t="s">
        <v>286</v>
      </c>
      <c r="M10" s="44" t="s">
        <v>271</v>
      </c>
      <c r="N10" s="292" t="s">
        <v>271</v>
      </c>
      <c r="O10" s="43" t="s">
        <v>287</v>
      </c>
      <c r="P10" s="1414"/>
      <c r="Q10" s="42" t="s">
        <v>288</v>
      </c>
      <c r="R10" s="39"/>
      <c r="S10" s="45" t="s">
        <v>289</v>
      </c>
      <c r="T10" s="46" t="s">
        <v>290</v>
      </c>
      <c r="U10" s="47" t="s">
        <v>291</v>
      </c>
      <c r="V10" s="47" t="s">
        <v>292</v>
      </c>
      <c r="W10" s="47" t="s">
        <v>293</v>
      </c>
      <c r="X10" s="48" t="s">
        <v>294</v>
      </c>
      <c r="Y10" s="1414"/>
      <c r="Z10" s="49" t="s">
        <v>295</v>
      </c>
      <c r="AA10" s="524" t="s">
        <v>296</v>
      </c>
      <c r="AB10" s="48" t="s">
        <v>297</v>
      </c>
      <c r="AC10" s="733" t="s">
        <v>298</v>
      </c>
      <c r="AD10" s="733" t="s">
        <v>299</v>
      </c>
      <c r="AF10" s="40" t="s">
        <v>300</v>
      </c>
      <c r="AG10" s="40" t="s">
        <v>301</v>
      </c>
      <c r="AH10" s="40" t="s">
        <v>302</v>
      </c>
      <c r="AI10" s="40" t="s">
        <v>303</v>
      </c>
      <c r="AJ10" s="40"/>
      <c r="AK10" s="40" t="s">
        <v>300</v>
      </c>
      <c r="AL10" s="40" t="s">
        <v>301</v>
      </c>
      <c r="AM10" s="40" t="s">
        <v>302</v>
      </c>
      <c r="AN10" s="40"/>
    </row>
    <row r="11" spans="1:43" ht="30">
      <c r="A11" s="35" t="str">
        <f>IFERROR(INDEX('G-1 All Habitats'!$AG$3:$AG$17,MATCH(E11,'G-1 All Habitats'!$AF$3:$AF$17,0)),"")</f>
        <v>Cropland</v>
      </c>
      <c r="B11" s="35" t="str">
        <f>IFERROR(INDEX('G-8 Condition Look up'!$I$4:$I$135,MATCH(G11,'G-8 Condition Look up'!$A$4:$A$135,0)),"")</f>
        <v>Cond1</v>
      </c>
      <c r="D11" s="787">
        <v>1</v>
      </c>
      <c r="E11" s="812" t="s">
        <v>124</v>
      </c>
      <c r="F11" s="51" t="s">
        <v>501</v>
      </c>
      <c r="G11" s="788" t="str">
        <f>IFERROR(INDEX('G-1 All Habitats'!$B$3:$B$134,MATCH(F11,'G-1 All Habitats'!$A$3:$A$134,0)),"")</f>
        <v>Cropland - Non-cereal crops</v>
      </c>
      <c r="H11" s="789">
        <f>9.896-0.079</f>
        <v>9.8170000000000002</v>
      </c>
      <c r="I11" s="443" t="str">
        <f>IF(G11="","",VLOOKUP(G11,'G-1 All Habitats'!$B$2:$M$134,10,FALSE))</f>
        <v>Low</v>
      </c>
      <c r="J11" s="790">
        <f>IFERROR(VLOOKUP(I11,'G-1 All Habitats'!$V$3:$W$7,2,FALSE),"")</f>
        <v>2</v>
      </c>
      <c r="K11" s="791" t="s">
        <v>492</v>
      </c>
      <c r="L11" s="790">
        <f>IFERROR(INDEX('G-8 Condition Look up'!$A$3:$H$135,MATCH(G11,'G-8 Condition Look up'!$A$3:$A$135,0),MATCH(K11,'G-8 Condition Look up'!$A$3:$H$3,0)),"")</f>
        <v>1</v>
      </c>
      <c r="M11" s="54" t="s">
        <v>1034</v>
      </c>
      <c r="N11" s="367" t="str">
        <f>IF(M11="","",IF(VLOOKUP(M11,'G-3 Multipliers'!$L$3:$N$6,2,FALSE)=0,"Spatial Data Missing",VLOOKUP(M11,'G-3 Multipliers'!$L$3:$N$6,2,FALSE)))</f>
        <v>Low Strategic Significance</v>
      </c>
      <c r="O11" s="792">
        <f>IF(M11="","",IF(VLOOKUP(M11,'G-3 Multipliers'!$L$3:$N$6,3,FALSE)=0,"Spatial Data Missing ▲",VLOOKUP(M11,'G-3 Multipliers'!$L$3:$N$6,3,FALSE)))</f>
        <v>1</v>
      </c>
      <c r="P11" s="793" t="str">
        <f>IFERROR(VLOOKUP(G11,'G-1 All Habitats'!$B$2:$M$134,12,FALSE),"")</f>
        <v>Same distinctiveness or better habitat required ≥</v>
      </c>
      <c r="Q11" s="794">
        <f>IFERROR(IF(P11="","",IF(AND(P11='G-1 All Habitats'!$X$3,T11&gt;0),U11+V11,IF(AND(P11='G-1 All Habitats'!$X$3,S11&gt;0),U11+V11,IF(AND(P11='G-1 All Habitats'!$X$3,AC11&gt;0),"Any Loss Unacceptable ⚠",IF(AND(P11='G-1 All Habitats'!$X$3,W11&gt;0),"Any Loss Unacceptable ⚠",H11*J11*L11*O11))))),"Check Data ▲")</f>
        <v>19.634</v>
      </c>
      <c r="R11" s="36"/>
      <c r="S11" s="791"/>
      <c r="T11" s="801"/>
      <c r="U11" s="802">
        <f>IFERROR(S11*J11*L11*O11,"")</f>
        <v>0</v>
      </c>
      <c r="V11" s="802">
        <f>IFERROR(T11*J11*L11*O11,"")</f>
        <v>0</v>
      </c>
      <c r="W11" s="802">
        <f>IF(E11="","",IF(H11&lt;S11+T11,"Error in Areas ▲",IF(P11&lt;&gt;'G-1 All Habitats'!$X$3,H11-S11-T11,IF(AND(P11='G-1 All Habitats'!$X$3,Y11="Yes"),"Unacceptable Loss ⚠",IF(AND(P11='G-1 All Habitats'!$X$3,Y11="No"),AC11,IF(AND(P11='G-1 All Habitats'!$X$3,Y11=""),AC11,IF(AND(P11='G-1 All Habitats'!$X$3,AC11="None",AC11),IF(AND(P11='G-1 All Habitats'!$X$3,AC11&gt;0),H11-S11-T11))))))))</f>
        <v>9.8170000000000002</v>
      </c>
      <c r="X11" s="803">
        <f>IFERROR(IF(H11="","",IF(H11-S11-T11=0&lt;0,"Error in Areas ▲",IF(S11+T11&gt;H11,"Error in Areas ▲",IF(AND(P11='G-1 All Habitats'!$X$3,Y11="Yes"),"Alternative Compensation ✓",IF(W11=0,0,IF(P11='G-1 All Habitats'!$X$3,"Any Loss Unacceptable ▲",Q11-U11-V11)))))),"Check Data ▲")</f>
        <v>19.634</v>
      </c>
      <c r="Y11" s="801"/>
      <c r="Z11" s="56" t="s">
        <v>1723</v>
      </c>
      <c r="AA11" s="525"/>
      <c r="AB11" s="137" t="s">
        <v>829</v>
      </c>
      <c r="AC11" s="726" t="str">
        <f>IF(P11="","",IF(P11='G-1 All Habitats'!$X$3,H11-S11-T11,"None"))</f>
        <v>None</v>
      </c>
      <c r="AD11" s="727" t="str">
        <f>IF(P11="","", IF(P11='G-1 All Habitats'!$X$3, AC11*J11*L11*O11,"None"))</f>
        <v>None</v>
      </c>
      <c r="AF11" s="40" t="b">
        <f t="shared" ref="AF11:AF74" si="0">IF(G11="","",IF(S11&gt;0,TRUE,FALSE))</f>
        <v>0</v>
      </c>
      <c r="AG11" s="40" t="b">
        <f t="shared" ref="AG11:AG74" si="1">IF(H11="","",IF(T11&gt;0,TRUE,FALSE))</f>
        <v>0</v>
      </c>
      <c r="AH11" s="40" t="e">
        <f>IF(I11="","",IF(#REF!&gt;0,TRUE,FALSE))</f>
        <v>#REF!</v>
      </c>
      <c r="AI11" s="40">
        <v>1</v>
      </c>
      <c r="AJ11" s="40"/>
      <c r="AK11" s="40">
        <f t="array" ref="AK11">IFERROR(INDEX($AI$11:$AI$259, MATCH(0, IF(TRUE=$AF$11:$AF$259, COUNTIF($AK$10:$AK10, $AI$11:$AI$259), ""), 0)),"")</f>
        <v>2</v>
      </c>
      <c r="AL11" s="40" t="str">
        <f t="array" ref="AL11">IFERROR(INDEX($AI$11:$AI$259, MATCH(0, IF(TRUE=$AG$11:$AG$259, COUNTIF($AL$10:$AL10, $AI$11:$AI$259), ""), 0)),"")</f>
        <v/>
      </c>
      <c r="AM11" s="40" t="str">
        <f t="array" ref="AM11">IFERROR(INDEX($AI$11:$AI$259, MATCH(0, IF(TRUE=$AH$11:$AH$259, COUNTIF($AM$10:$AM10, $AI$11:$AI$259), ""), 0)),"")</f>
        <v/>
      </c>
      <c r="AN11" s="40"/>
      <c r="AQ11" s="35">
        <f>IF(X11="Unacceptable Loss",1,0)</f>
        <v>0</v>
      </c>
    </row>
    <row r="12" spans="1:43" ht="75">
      <c r="A12" s="35" t="str">
        <f>IFERROR(INDEX('G-1 All Habitats'!$AG$3:$AG$17,MATCH(E12,'G-1 All Habitats'!$AF$3:$AF$17,0)),"")</f>
        <v>Cropland</v>
      </c>
      <c r="B12" s="35" t="str">
        <f>IFERROR(INDEX('G-8 Condition Look up'!$I$4:$I$135,MATCH(G12,'G-8 Condition Look up'!$A$4:$A$135,0)),"")</f>
        <v>Cond1</v>
      </c>
      <c r="D12" s="287">
        <v>2</v>
      </c>
      <c r="E12" s="892" t="s">
        <v>124</v>
      </c>
      <c r="F12" s="61" t="s">
        <v>483</v>
      </c>
      <c r="G12" s="52" t="str">
        <f>IFERROR(INDEX('G-1 All Habitats'!$B$3:$B$134,MATCH(F12,'G-1 All Habitats'!$A$3:$A$134,0)),"")</f>
        <v>Cropland - Cereal crops</v>
      </c>
      <c r="H12" s="53">
        <v>0.58299999999999996</v>
      </c>
      <c r="I12" s="362" t="str">
        <f>IF(G12="","",VLOOKUP(G12,'G-1 All Habitats'!$B$2:$M$134,10,FALSE))</f>
        <v>Low</v>
      </c>
      <c r="J12" s="363">
        <f>IFERROR(VLOOKUP(I12,'G-1 All Habitats'!$V$3:$W$7,2,FALSE),"")</f>
        <v>2</v>
      </c>
      <c r="K12" s="54" t="s">
        <v>492</v>
      </c>
      <c r="L12" s="363">
        <f>IFERROR(INDEX('G-8 Condition Look up'!$A$3:$H$135,MATCH(G12,'G-8 Condition Look up'!$A$3:$A$135,0),MATCH(K12,'G-8 Condition Look up'!$A$3:$H$3,0)),"")</f>
        <v>1</v>
      </c>
      <c r="M12" s="54" t="s">
        <v>1034</v>
      </c>
      <c r="N12" s="382" t="str">
        <f>IF(M12="","",IF(VLOOKUP(M12,'G-3 Multipliers'!$L$3:$N$6,2,FALSE)=0,"Spatial Data Missing",VLOOKUP(M12,'G-3 Multipliers'!$L$3:$N$6,2,FALSE)))</f>
        <v>Low Strategic Significance</v>
      </c>
      <c r="O12" s="368">
        <f>IF(M12="","",IF(VLOOKUP(M12,'G-3 Multipliers'!$L$3:$N$6,3,FALSE)=0,"Spatial Data Missing ▲",VLOOKUP(M12,'G-3 Multipliers'!$L$3:$N$6,3,FALSE)))</f>
        <v>1</v>
      </c>
      <c r="P12" s="369" t="str">
        <f>IFERROR(VLOOKUP(G12,'G-1 All Habitats'!$B$2:$M$134,12,FALSE),"")</f>
        <v>Same distinctiveness or better habitat required ≥</v>
      </c>
      <c r="Q12" s="376">
        <f>IFERROR(IF(P12="","",IF(AND(P12='G-1 All Habitats'!$X$3,T12&gt;0),U12+V12,IF(AND(P12='G-1 All Habitats'!$X$3,S12&gt;0),U12+V12,IF(AND(P12='G-1 All Habitats'!$X$3,AC12&gt;0),"Any Loss Unacceptable ⚠",IF(AND(P12='G-1 All Habitats'!$X$3,W12&gt;0),"Any Loss Unacceptable ⚠",H12*J12*L12*O12))))),"Check Data ▲")</f>
        <v>1.1659999999999999</v>
      </c>
      <c r="R12" s="38"/>
      <c r="S12" s="54">
        <f>0.053+0.006</f>
        <v>5.8999999999999997E-2</v>
      </c>
      <c r="T12" s="55"/>
      <c r="U12" s="374">
        <f>IFERROR(S12*J12*L12*O12,"")</f>
        <v>0.11799999999999999</v>
      </c>
      <c r="V12" s="374">
        <f>IFERROR(T12*J12*L12*O12,"")</f>
        <v>0</v>
      </c>
      <c r="W12" s="374">
        <f>IF(E12="","",IF(H12&lt;S12+T12,"Error in Areas ▲",IF(P12&lt;&gt;'G-1 All Habitats'!$X$3,H12-S12-T12,IF(AND(P12='G-1 All Habitats'!$X$3,Y12="Yes"),"Unacceptable Loss ⚠",IF(AND(P12='G-1 All Habitats'!$X$3,Y12="No"),AC12,IF(AND(P12='G-1 All Habitats'!$X$3,Y12=""),AC12,IF(AND(P12='G-1 All Habitats'!$X$3,AC12="None",AC12),IF(AND(P12='G-1 All Habitats'!$X$3,AC12&gt;0),H12-S12-T12))))))))</f>
        <v>0.52400000000000002</v>
      </c>
      <c r="X12" s="378">
        <f>IFERROR(IF(H12="","",IF(H12-S12-T12=0&lt;0,"Error in Areas ▲",IF(S12+T12&gt;H12,"Error in Areas ▲",IF(AND(P12='G-1 All Habitats'!$X$3,Y12="Yes"),"Alternative Compensation ✓",IF(W12=0,0,IF(P12='G-1 All Habitats'!$X$3,"Any Loss Unacceptable ▲",Q12-U12-V12)))))),"Check Data ▲")</f>
        <v>1.048</v>
      </c>
      <c r="Y12" s="55"/>
      <c r="Z12" s="62" t="s">
        <v>1705</v>
      </c>
      <c r="AA12" s="526"/>
      <c r="AB12" s="120" t="s">
        <v>858</v>
      </c>
      <c r="AC12" s="726" t="str">
        <f>IF(P12="","",IF(P12='G-1 All Habitats'!$X$3,H12-S12-T12,"None"))</f>
        <v>None</v>
      </c>
      <c r="AD12" s="727" t="str">
        <f>IF(P12="","", IF(P12='G-1 All Habitats'!$X$3, AC12*J12*L12*O12,"None"))</f>
        <v>None</v>
      </c>
      <c r="AF12" s="40" t="b">
        <f t="shared" si="0"/>
        <v>1</v>
      </c>
      <c r="AG12" s="40" t="b">
        <f t="shared" si="1"/>
        <v>0</v>
      </c>
      <c r="AH12" s="40" t="e">
        <f>IF(I12="","",IF(#REF!&gt;0,TRUE,FALSE))</f>
        <v>#REF!</v>
      </c>
      <c r="AI12" s="40">
        <v>2</v>
      </c>
      <c r="AJ12" s="40"/>
      <c r="AK12" s="40">
        <f t="array" ref="AK12">IFERROR(INDEX($AI$11:$AI$259, MATCH(0, IF(TRUE=$AF$11:$AF$259, COUNTIF($AK$10:$AK11, $AI$11:$AI$259), ""), 0)),"")</f>
        <v>7</v>
      </c>
      <c r="AL12" s="40" t="str">
        <f t="array" ref="AL12">IFERROR(INDEX($AI$11:$AI$259, MATCH(0, IF(TRUE=$AG$11:$AG$259, COUNTIF($AL$10:$AL11, $AI$11:$AI$259), ""), 0)),"")</f>
        <v/>
      </c>
      <c r="AM12" s="40" t="str">
        <f t="array" ref="AM12">IFERROR(INDEX($AI$11:$AI$259, MATCH(0, IF(TRUE=$AH$11:$AH$259, COUNTIF($AM$10:$AM11, $AI$11:$AI$259), ""), 0)),"")</f>
        <v/>
      </c>
      <c r="AN12" s="40"/>
      <c r="AQ12" s="35">
        <f t="shared" ref="AQ12:AQ75" si="2">IF(X12="Unacceptable Loss",1,0)</f>
        <v>0</v>
      </c>
    </row>
    <row r="13" spans="1:43" ht="30">
      <c r="A13" s="35" t="str">
        <f>IFERROR(INDEX('G-1 All Habitats'!$AG$3:$AG$17,MATCH(E13,'G-1 All Habitats'!$AF$3:$AF$17,0)),"")</f>
        <v>Cropland</v>
      </c>
      <c r="B13" s="35" t="str">
        <f>IFERROR(INDEX('G-8 Condition Look up'!$I$4:$I$135,MATCH(G13,'G-8 Condition Look up'!$A$4:$A$135,0)),"")</f>
        <v>Cond1</v>
      </c>
      <c r="D13" s="287">
        <v>3</v>
      </c>
      <c r="E13" s="267" t="s">
        <v>124</v>
      </c>
      <c r="F13" s="61" t="s">
        <v>501</v>
      </c>
      <c r="G13" s="52" t="str">
        <f>IFERROR(INDEX('G-1 All Habitats'!$B$3:$B$134,MATCH(F13,'G-1 All Habitats'!$A$3:$A$134,0)),"")</f>
        <v>Cropland - Non-cereal crops</v>
      </c>
      <c r="H13" s="53">
        <v>5.8730000000000002</v>
      </c>
      <c r="I13" s="362" t="str">
        <f>IF(G13="","",VLOOKUP(G13,'G-1 All Habitats'!$B$2:$M$134,10,FALSE))</f>
        <v>Low</v>
      </c>
      <c r="J13" s="363">
        <f>IFERROR(VLOOKUP(I13,'G-1 All Habitats'!$V$3:$W$7,2,FALSE),"")</f>
        <v>2</v>
      </c>
      <c r="K13" s="54" t="s">
        <v>492</v>
      </c>
      <c r="L13" s="363">
        <f>IFERROR(INDEX('G-8 Condition Look up'!$A$3:$H$135,MATCH(G13,'G-8 Condition Look up'!$A$3:$A$135,0),MATCH(K13,'G-8 Condition Look up'!$A$3:$H$3,0)),"")</f>
        <v>1</v>
      </c>
      <c r="M13" s="54" t="s">
        <v>1034</v>
      </c>
      <c r="N13" s="382" t="str">
        <f>IF(M13="","",IF(VLOOKUP(M13,'G-3 Multipliers'!$L$3:$N$6,2,FALSE)=0,"Spatial Data Missing",VLOOKUP(M13,'G-3 Multipliers'!$L$3:$N$6,2,FALSE)))</f>
        <v>Low Strategic Significance</v>
      </c>
      <c r="O13" s="368">
        <f>IF(M13="","",IF(VLOOKUP(M13,'G-3 Multipliers'!$L$3:$N$6,3,FALSE)=0,"Spatial Data Missing ▲",VLOOKUP(M13,'G-3 Multipliers'!$L$3:$N$6,3,FALSE)))</f>
        <v>1</v>
      </c>
      <c r="P13" s="369" t="str">
        <f>IFERROR(VLOOKUP(G13,'G-1 All Habitats'!$B$2:$M$134,12,FALSE),"")</f>
        <v>Same distinctiveness or better habitat required ≥</v>
      </c>
      <c r="Q13" s="376">
        <f>IFERROR(IF(P13="","",IF(AND(P13='G-1 All Habitats'!$X$3,T13&gt;0),U13+V13,IF(AND(P13='G-1 All Habitats'!$X$3,S13&gt;0),U13+V13,IF(AND(P13='G-1 All Habitats'!$X$3,AC13&gt;0),"Any Loss Unacceptable ⚠",IF(AND(P13='G-1 All Habitats'!$X$3,W13&gt;0),"Any Loss Unacceptable ⚠",H13*J13*L13*O13))))),"Check Data ▲")</f>
        <v>11.746</v>
      </c>
      <c r="R13" s="38"/>
      <c r="S13" s="54"/>
      <c r="T13" s="55"/>
      <c r="U13" s="374">
        <f t="shared" ref="U13:U76" si="3">IFERROR(S13*J13*L13*O13,"")</f>
        <v>0</v>
      </c>
      <c r="V13" s="374">
        <f t="shared" ref="V13:V76" si="4">IFERROR(T13*J13*L13*O13,"")</f>
        <v>0</v>
      </c>
      <c r="W13" s="374">
        <f>IF(E13="","",IF(H13&lt;S13+T13,"Error in Areas ▲",IF(P13&lt;&gt;'G-1 All Habitats'!$X$3,H13-S13-T13,IF(AND(P13='G-1 All Habitats'!$X$3,Y13="Yes"),"Unacceptable Loss ⚠",IF(AND(P13='G-1 All Habitats'!$X$3,Y13="No"),AC13,IF(AND(P13='G-1 All Habitats'!$X$3,Y13=""),AC13,IF(AND(P13='G-1 All Habitats'!$X$3,AC13="None",AC13),IF(AND(P13='G-1 All Habitats'!$X$3,AC13&gt;0),H13-S13-T13))))))))</f>
        <v>5.8730000000000002</v>
      </c>
      <c r="X13" s="378">
        <f>IFERROR(IF(H13="","",IF(H13-S13-T13=0&lt;0,"Error in Areas ▲",IF(S13+T13&gt;H13,"Error in Areas ▲",IF(AND(P13='G-1 All Habitats'!$X$3,Y13="Yes"),"Alternative Compensation ✓",IF(W13=0,0,IF(P13='G-1 All Habitats'!$X$3,"Any Loss Unacceptable ▲",Q13-U13-V13)))))),"Check Data ▲")</f>
        <v>11.746</v>
      </c>
      <c r="Y13" s="55"/>
      <c r="Z13" s="62" t="s">
        <v>1703</v>
      </c>
      <c r="AA13" s="526"/>
      <c r="AB13" s="120" t="s">
        <v>1702</v>
      </c>
      <c r="AC13" s="726" t="str">
        <f>IF(P13="","",IF(P13='G-1 All Habitats'!$X$3,H13-S13-T13,"None"))</f>
        <v>None</v>
      </c>
      <c r="AD13" s="727" t="str">
        <f>IF(P13="","", IF(P13='G-1 All Habitats'!$X$3, AC13*J13*L13*O13,"None"))</f>
        <v>None</v>
      </c>
      <c r="AF13" s="40" t="b">
        <f t="shared" si="0"/>
        <v>0</v>
      </c>
      <c r="AG13" s="40" t="b">
        <f t="shared" si="1"/>
        <v>0</v>
      </c>
      <c r="AH13" s="40" t="e">
        <f>IF(I13="","",IF(#REF!&gt;0,TRUE,FALSE))</f>
        <v>#REF!</v>
      </c>
      <c r="AI13" s="40">
        <v>3</v>
      </c>
      <c r="AJ13" s="40"/>
      <c r="AK13" s="40">
        <f t="array" ref="AK13">IFERROR(INDEX($AI$11:$AI$259, MATCH(0, IF(TRUE=$AF$11:$AF$259, COUNTIF($AK$10:$AK12, $AI$11:$AI$259), ""), 0)),"")</f>
        <v>13</v>
      </c>
      <c r="AL13" s="40" t="str">
        <f t="array" ref="AL13">IFERROR(INDEX($AI$11:$AI$259, MATCH(0, IF(TRUE=$AG$11:$AG$259, COUNTIF($AL$10:$AL12, $AI$11:$AI$259), ""), 0)),"")</f>
        <v/>
      </c>
      <c r="AM13" s="40" t="str">
        <f t="array" ref="AM13">IFERROR(INDEX($AI$11:$AI$259, MATCH(0, IF(TRUE=$AH$11:$AH$259, COUNTIF($AM$10:$AM12, $AI$11:$AI$259), ""), 0)),"")</f>
        <v/>
      </c>
      <c r="AN13" s="40"/>
      <c r="AQ13" s="35">
        <f t="shared" si="2"/>
        <v>0</v>
      </c>
    </row>
    <row r="14" spans="1:43" ht="30">
      <c r="A14" s="35" t="str">
        <f>IFERROR(INDEX('G-1 All Habitats'!$AG$3:$AG$17,MATCH(E14,'G-1 All Habitats'!$AF$3:$AF$17,0)),"")</f>
        <v>Grassland</v>
      </c>
      <c r="B14" s="35" t="str">
        <f>IFERROR(INDEX('G-8 Condition Look up'!$I$4:$I$135,MATCH(G14,'G-8 Condition Look up'!$A$4:$A$135,0)),"")</f>
        <v>Cond4</v>
      </c>
      <c r="D14" s="287">
        <v>4</v>
      </c>
      <c r="E14" s="267" t="s">
        <v>125</v>
      </c>
      <c r="F14" s="61" t="s">
        <v>537</v>
      </c>
      <c r="G14" s="52" t="str">
        <f>IFERROR(INDEX('G-1 All Habitats'!$B$3:$B$134,MATCH(F14,'G-1 All Habitats'!$A$3:$A$134,0)),"")</f>
        <v>Grassland - Modified grassland</v>
      </c>
      <c r="H14" s="53">
        <v>9.39</v>
      </c>
      <c r="I14" s="362" t="str">
        <f>IF(G14="","",VLOOKUP(G14,'G-1 All Habitats'!$B$2:$M$134,10,FALSE))</f>
        <v>Low</v>
      </c>
      <c r="J14" s="363">
        <f>IFERROR(VLOOKUP(I14,'G-1 All Habitats'!$V$3:$W$7,2,FALSE),"")</f>
        <v>2</v>
      </c>
      <c r="K14" s="54" t="s">
        <v>328</v>
      </c>
      <c r="L14" s="363">
        <f>IFERROR(INDEX('G-8 Condition Look up'!$A$3:$H$135,MATCH(G14,'G-8 Condition Look up'!$A$3:$A$135,0),MATCH(K14,'G-8 Condition Look up'!$A$3:$H$3,0)),"")</f>
        <v>1</v>
      </c>
      <c r="M14" s="54" t="s">
        <v>1034</v>
      </c>
      <c r="N14" s="382" t="str">
        <f>IF(M14="","",IF(VLOOKUP(M14,'G-3 Multipliers'!$L$3:$N$6,2,FALSE)=0,"Spatial Data Missing",VLOOKUP(M14,'G-3 Multipliers'!$L$3:$N$6,2,FALSE)))</f>
        <v>Low Strategic Significance</v>
      </c>
      <c r="O14" s="368">
        <f>IF(M14="","",IF(VLOOKUP(M14,'G-3 Multipliers'!$L$3:$N$6,3,FALSE)=0,"Spatial Data Missing ▲",VLOOKUP(M14,'G-3 Multipliers'!$L$3:$N$6,3,FALSE)))</f>
        <v>1</v>
      </c>
      <c r="P14" s="369" t="str">
        <f>IFERROR(VLOOKUP(G14,'G-1 All Habitats'!$B$2:$M$134,12,FALSE),"")</f>
        <v>Same distinctiveness or better habitat required ≥</v>
      </c>
      <c r="Q14" s="376">
        <f>IFERROR(IF(P14="","",IF(AND(P14='G-1 All Habitats'!$X$3,T14&gt;0),U14+V14,IF(AND(P14='G-1 All Habitats'!$X$3,S14&gt;0),U14+V14,IF(AND(P14='G-1 All Habitats'!$X$3,AC14&gt;0),"Any Loss Unacceptable ⚠",IF(AND(P14='G-1 All Habitats'!$X$3,W14&gt;0),"Any Loss Unacceptable ⚠",H14*J14*L14*O14))))),"Check Data ▲")</f>
        <v>18.78</v>
      </c>
      <c r="R14" s="38"/>
      <c r="S14" s="54"/>
      <c r="T14" s="55"/>
      <c r="U14" s="374">
        <f t="shared" si="3"/>
        <v>0</v>
      </c>
      <c r="V14" s="374">
        <f t="shared" si="4"/>
        <v>0</v>
      </c>
      <c r="W14" s="374">
        <f>IF(E14="","",IF(H14&lt;S14+T14,"Error in Areas ▲",IF(P14&lt;&gt;'G-1 All Habitats'!$X$3,H14-S14-T14,IF(AND(P14='G-1 All Habitats'!$X$3,Y14="Yes"),"Unacceptable Loss ⚠",IF(AND(P14='G-1 All Habitats'!$X$3,Y14="No"),AC14,IF(AND(P14='G-1 All Habitats'!$X$3,Y14=""),AC14,IF(AND(P14='G-1 All Habitats'!$X$3,AC14="None",AC14),IF(AND(P14='G-1 All Habitats'!$X$3,AC14&gt;0),H14-S14-T14))))))))</f>
        <v>9.39</v>
      </c>
      <c r="X14" s="378">
        <f>IFERROR(IF(H14="","",IF(H14-S14-T14=0&lt;0,"Error in Areas ▲",IF(S14+T14&gt;H14,"Error in Areas ▲",IF(AND(P14='G-1 All Habitats'!$X$3,Y14="Yes"),"Alternative Compensation ✓",IF(W14=0,0,IF(P14='G-1 All Habitats'!$X$3,"Any Loss Unacceptable ▲",Q14-U14-V14)))))),"Check Data ▲")</f>
        <v>18.78</v>
      </c>
      <c r="Y14" s="55"/>
      <c r="Z14" s="62" t="s">
        <v>1690</v>
      </c>
      <c r="AA14" s="526"/>
      <c r="AB14" s="120" t="s">
        <v>1689</v>
      </c>
      <c r="AC14" s="726" t="str">
        <f>IF(P14="","",IF(P14='G-1 All Habitats'!$X$3,H14-S14-T14,"None"))</f>
        <v>None</v>
      </c>
      <c r="AD14" s="727" t="str">
        <f>IF(P14="","", IF(P14='G-1 All Habitats'!$X$3, AC14*J14*L14*O14,"None"))</f>
        <v>None</v>
      </c>
      <c r="AF14" s="40" t="b">
        <f t="shared" si="0"/>
        <v>0</v>
      </c>
      <c r="AG14" s="40" t="b">
        <f t="shared" si="1"/>
        <v>0</v>
      </c>
      <c r="AH14" s="40" t="e">
        <f>IF(I14="","",IF(#REF!&gt;0,TRUE,FALSE))</f>
        <v>#REF!</v>
      </c>
      <c r="AI14" s="40">
        <v>4</v>
      </c>
      <c r="AJ14" s="40"/>
      <c r="AK14" s="40">
        <f t="array" ref="AK14">IFERROR(INDEX($AI$11:$AI$259, MATCH(0, IF(TRUE=$AF$11:$AF$259, COUNTIF($AK$10:$AK13, $AI$11:$AI$259), ""), 0)),"")</f>
        <v>14</v>
      </c>
      <c r="AL14" s="40" t="str">
        <f t="array" ref="AL14">IFERROR(INDEX($AI$11:$AI$259, MATCH(0, IF(TRUE=$AG$11:$AG$259, COUNTIF($AL$10:$AL13, $AI$11:$AI$259), ""), 0)),"")</f>
        <v/>
      </c>
      <c r="AM14" s="40" t="str">
        <f t="array" ref="AM14">IFERROR(INDEX($AI$11:$AI$259, MATCH(0, IF(TRUE=$AH$11:$AH$259, COUNTIF($AM$10:$AM13, $AI$11:$AI$259), ""), 0)),"")</f>
        <v/>
      </c>
      <c r="AN14" s="40"/>
      <c r="AQ14" s="35">
        <f t="shared" si="2"/>
        <v>0</v>
      </c>
    </row>
    <row r="15" spans="1:43" ht="30">
      <c r="A15" s="35" t="str">
        <f>IFERROR(INDEX('G-1 All Habitats'!$AG$3:$AG$17,MATCH(E15,'G-1 All Habitats'!$AF$3:$AF$17,0)),"")</f>
        <v>Grassland</v>
      </c>
      <c r="B15" s="35" t="str">
        <f>IFERROR(INDEX('G-8 Condition Look up'!$I$4:$I$135,MATCH(G15,'G-8 Condition Look up'!$A$4:$A$135,0)),"")</f>
        <v>Cond4</v>
      </c>
      <c r="D15" s="287">
        <v>5</v>
      </c>
      <c r="E15" s="267" t="s">
        <v>125</v>
      </c>
      <c r="F15" s="61" t="s">
        <v>537</v>
      </c>
      <c r="G15" s="52" t="str">
        <f>IFERROR(INDEX('G-1 All Habitats'!$B$3:$B$134,MATCH(F15,'G-1 All Habitats'!$A$3:$A$134,0)),"")</f>
        <v>Grassland - Modified grassland</v>
      </c>
      <c r="H15" s="53">
        <v>19.847999999999999</v>
      </c>
      <c r="I15" s="362" t="str">
        <f>IF(G15="","",VLOOKUP(G15,'G-1 All Habitats'!$B$2:$M$134,10,FALSE))</f>
        <v>Low</v>
      </c>
      <c r="J15" s="363">
        <f>IFERROR(VLOOKUP(I15,'G-1 All Habitats'!$V$3:$W$7,2,FALSE),"")</f>
        <v>2</v>
      </c>
      <c r="K15" s="54" t="s">
        <v>328</v>
      </c>
      <c r="L15" s="363">
        <f>IFERROR(INDEX('G-8 Condition Look up'!$A$3:$H$135,MATCH(G15,'G-8 Condition Look up'!$A$3:$A$135,0),MATCH(K15,'G-8 Condition Look up'!$A$3:$H$3,0)),"")</f>
        <v>1</v>
      </c>
      <c r="M15" s="54" t="s">
        <v>1034</v>
      </c>
      <c r="N15" s="382" t="str">
        <f>IF(M15="","",IF(VLOOKUP(M15,'G-3 Multipliers'!$L$3:$N$6,2,FALSE)=0,"Spatial Data Missing",VLOOKUP(M15,'G-3 Multipliers'!$L$3:$N$6,2,FALSE)))</f>
        <v>Low Strategic Significance</v>
      </c>
      <c r="O15" s="368">
        <f>IF(M15="","",IF(VLOOKUP(M15,'G-3 Multipliers'!$L$3:$N$6,3,FALSE)=0,"Spatial Data Missing ▲",VLOOKUP(M15,'G-3 Multipliers'!$L$3:$N$6,3,FALSE)))</f>
        <v>1</v>
      </c>
      <c r="P15" s="369" t="str">
        <f>IFERROR(VLOOKUP(G15,'G-1 All Habitats'!$B$2:$M$134,12,FALSE),"")</f>
        <v>Same distinctiveness or better habitat required ≥</v>
      </c>
      <c r="Q15" s="376">
        <f>IFERROR(IF(P15="","",IF(AND(P15='G-1 All Habitats'!$X$3,T15&gt;0),U15+V15,IF(AND(P15='G-1 All Habitats'!$X$3,S15&gt;0),U15+V15,IF(AND(P15='G-1 All Habitats'!$X$3,AC15&gt;0),"Any Loss Unacceptable ⚠",IF(AND(P15='G-1 All Habitats'!$X$3,W15&gt;0),"Any Loss Unacceptable ⚠",H15*J15*L15*O15))))),"Check Data ▲")</f>
        <v>39.695999999999998</v>
      </c>
      <c r="R15" s="38"/>
      <c r="S15" s="54"/>
      <c r="T15" s="55"/>
      <c r="U15" s="374">
        <f t="shared" si="3"/>
        <v>0</v>
      </c>
      <c r="V15" s="374">
        <f t="shared" si="4"/>
        <v>0</v>
      </c>
      <c r="W15" s="374">
        <f>IF(E15="","",IF(H15&lt;S15+T15,"Error in Areas ▲",IF(P15&lt;&gt;'G-1 All Habitats'!$X$3,H15-S15-T15,IF(AND(P15='G-1 All Habitats'!$X$3,Y15="Yes"),"Unacceptable Loss ⚠",IF(AND(P15='G-1 All Habitats'!$X$3,Y15="No"),AC15,IF(AND(P15='G-1 All Habitats'!$X$3,Y15=""),AC15,IF(AND(P15='G-1 All Habitats'!$X$3,AC15="None",AC15),IF(AND(P15='G-1 All Habitats'!$X$3,AC15&gt;0),H15-S15-T15))))))))</f>
        <v>19.847999999999999</v>
      </c>
      <c r="X15" s="378">
        <f>IFERROR(IF(H15="","",IF(H15-S15-T15=0&lt;0,"Error in Areas ▲",IF(S15+T15&gt;H15,"Error in Areas ▲",IF(AND(P15='G-1 All Habitats'!$X$3,Y15="Yes"),"Alternative Compensation ✓",IF(W15=0,0,IF(P15='G-1 All Habitats'!$X$3,"Any Loss Unacceptable ▲",Q15-U15-V15)))))),"Check Data ▲")</f>
        <v>39.695999999999998</v>
      </c>
      <c r="Y15" s="55"/>
      <c r="Z15" s="62" t="s">
        <v>1690</v>
      </c>
      <c r="AA15" s="526"/>
      <c r="AB15" s="120" t="s">
        <v>1688</v>
      </c>
      <c r="AC15" s="726" t="str">
        <f>IF(P15="","",IF(P15='G-1 All Habitats'!$X$3,H15-S15-T15,"None"))</f>
        <v>None</v>
      </c>
      <c r="AD15" s="727" t="str">
        <f>IF(P15="","", IF(P15='G-1 All Habitats'!$X$3, AC15*J15*L15*O15,"None"))</f>
        <v>None</v>
      </c>
      <c r="AF15" s="40" t="b">
        <f t="shared" si="0"/>
        <v>0</v>
      </c>
      <c r="AG15" s="40" t="b">
        <f t="shared" si="1"/>
        <v>0</v>
      </c>
      <c r="AH15" s="40" t="e">
        <f>IF(I15="","",IF(#REF!&gt;0,TRUE,FALSE))</f>
        <v>#REF!</v>
      </c>
      <c r="AI15" s="40">
        <v>5</v>
      </c>
      <c r="AJ15" s="40"/>
      <c r="AK15" s="40">
        <f t="array" ref="AK15">IFERROR(INDEX($AI$11:$AI$259, MATCH(0, IF(TRUE=$AF$11:$AF$259, COUNTIF($AK$10:$AK14, $AI$11:$AI$259), ""), 0)),"")</f>
        <v>15</v>
      </c>
      <c r="AL15" s="40" t="str">
        <f t="array" ref="AL15">IFERROR(INDEX($AI$11:$AI$259, MATCH(0, IF(TRUE=$AG$11:$AG$259, COUNTIF($AL$10:$AL14, $AI$11:$AI$259), ""), 0)),"")</f>
        <v/>
      </c>
      <c r="AM15" s="40" t="str">
        <f t="array" ref="AM15">IFERROR(INDEX($AI$11:$AI$259, MATCH(0, IF(TRUE=$AH$11:$AH$259, COUNTIF($AM$10:$AM14, $AI$11:$AI$259), ""), 0)),"")</f>
        <v/>
      </c>
      <c r="AN15" s="40"/>
      <c r="AQ15" s="35">
        <f t="shared" si="2"/>
        <v>0</v>
      </c>
    </row>
    <row r="16" spans="1:43" ht="30">
      <c r="A16" s="35" t="str">
        <f>IFERROR(INDEX('G-1 All Habitats'!$AG$3:$AG$17,MATCH(E16,'G-1 All Habitats'!$AF$3:$AF$17,0)),"")</f>
        <v>Grassland</v>
      </c>
      <c r="B16" s="35" t="str">
        <f>IFERROR(INDEX('G-8 Condition Look up'!$I$4:$I$135,MATCH(G16,'G-8 Condition Look up'!$A$4:$A$135,0)),"")</f>
        <v>Cond4</v>
      </c>
      <c r="D16" s="287">
        <v>6</v>
      </c>
      <c r="E16" s="267" t="s">
        <v>125</v>
      </c>
      <c r="F16" s="61" t="s">
        <v>537</v>
      </c>
      <c r="G16" s="52" t="str">
        <f>IFERROR(INDEX('G-1 All Habitats'!$B$3:$B$134,MATCH(F16,'G-1 All Habitats'!$A$3:$A$134,0)),"")</f>
        <v>Grassland - Modified grassland</v>
      </c>
      <c r="H16" s="53">
        <v>0.01</v>
      </c>
      <c r="I16" s="362" t="str">
        <f>IF(G16="","",VLOOKUP(G16,'G-1 All Habitats'!$B$2:$M$134,10,FALSE))</f>
        <v>Low</v>
      </c>
      <c r="J16" s="363">
        <f>IFERROR(VLOOKUP(I16,'G-1 All Habitats'!$V$3:$W$7,2,FALSE),"")</f>
        <v>2</v>
      </c>
      <c r="K16" s="54" t="s">
        <v>328</v>
      </c>
      <c r="L16" s="363">
        <f>IFERROR(INDEX('G-8 Condition Look up'!$A$3:$H$135,MATCH(G16,'G-8 Condition Look up'!$A$3:$A$135,0),MATCH(K16,'G-8 Condition Look up'!$A$3:$H$3,0)),"")</f>
        <v>1</v>
      </c>
      <c r="M16" s="54" t="s">
        <v>1034</v>
      </c>
      <c r="N16" s="382" t="str">
        <f>IF(M16="","",IF(VLOOKUP(M16,'G-3 Multipliers'!$L$3:$N$6,2,FALSE)=0,"Spatial Data Missing",VLOOKUP(M16,'G-3 Multipliers'!$L$3:$N$6,2,FALSE)))</f>
        <v>Low Strategic Significance</v>
      </c>
      <c r="O16" s="368">
        <f>IF(M16="","",IF(VLOOKUP(M16,'G-3 Multipliers'!$L$3:$N$6,3,FALSE)=0,"Spatial Data Missing ▲",VLOOKUP(M16,'G-3 Multipliers'!$L$3:$N$6,3,FALSE)))</f>
        <v>1</v>
      </c>
      <c r="P16" s="369" t="str">
        <f>IFERROR(VLOOKUP(G16,'G-1 All Habitats'!$B$2:$M$134,12,FALSE),"")</f>
        <v>Same distinctiveness or better habitat required ≥</v>
      </c>
      <c r="Q16" s="376">
        <f>IFERROR(IF(P16="","",IF(AND(P16='G-1 All Habitats'!$X$3,T16&gt;0),U16+V16,IF(AND(P16='G-1 All Habitats'!$X$3,S16&gt;0),U16+V16,IF(AND(P16='G-1 All Habitats'!$X$3,AC16&gt;0),"Any Loss Unacceptable ⚠",IF(AND(P16='G-1 All Habitats'!$X$3,W16&gt;0),"Any Loss Unacceptable ⚠",H16*J16*L16*O16))))),"Check Data ▲")</f>
        <v>0.02</v>
      </c>
      <c r="R16" s="38"/>
      <c r="S16" s="54"/>
      <c r="T16" s="55"/>
      <c r="U16" s="374">
        <f t="shared" si="3"/>
        <v>0</v>
      </c>
      <c r="V16" s="374">
        <f t="shared" si="4"/>
        <v>0</v>
      </c>
      <c r="W16" s="374">
        <f>IF(E16="","",IF(H16&lt;S16+T16,"Error in Areas ▲",IF(P16&lt;&gt;'G-1 All Habitats'!$X$3,H16-S16-T16,IF(AND(P16='G-1 All Habitats'!$X$3,Y16="Yes"),"Unacceptable Loss ⚠",IF(AND(P16='G-1 All Habitats'!$X$3,Y16="No"),AC16,IF(AND(P16='G-1 All Habitats'!$X$3,Y16=""),AC16,IF(AND(P16='G-1 All Habitats'!$X$3,AC16="None",AC16),IF(AND(P16='G-1 All Habitats'!$X$3,AC16&gt;0),H16-S16-T16))))))))</f>
        <v>0.01</v>
      </c>
      <c r="X16" s="378">
        <f>IFERROR(IF(H16="","",IF(H16-S16-T16=0&lt;0,"Error in Areas ▲",IF(S16+T16&gt;H16,"Error in Areas ▲",IF(AND(P16='G-1 All Habitats'!$X$3,Y16="Yes"),"Alternative Compensation ✓",IF(W16=0,0,IF(P16='G-1 All Habitats'!$X$3,"Any Loss Unacceptable ▲",Q16-U16-V16)))))),"Check Data ▲")</f>
        <v>0.02</v>
      </c>
      <c r="Y16" s="55"/>
      <c r="Z16" s="62" t="s">
        <v>1690</v>
      </c>
      <c r="AA16" s="526"/>
      <c r="AB16" s="120" t="s">
        <v>1687</v>
      </c>
      <c r="AC16" s="726" t="str">
        <f>IF(P16="","",IF(P16='G-1 All Habitats'!$X$3,H16-S16-T16,"None"))</f>
        <v>None</v>
      </c>
      <c r="AD16" s="727" t="str">
        <f>IF(P16="","", IF(P16='G-1 All Habitats'!$X$3, AC16*J16*L16*O16,"None"))</f>
        <v>None</v>
      </c>
      <c r="AF16" s="40" t="b">
        <f t="shared" si="0"/>
        <v>0</v>
      </c>
      <c r="AG16" s="40" t="b">
        <f t="shared" si="1"/>
        <v>0</v>
      </c>
      <c r="AH16" s="40" t="e">
        <f>IF(I16="","",IF(#REF!&gt;0,TRUE,FALSE))</f>
        <v>#REF!</v>
      </c>
      <c r="AI16" s="40">
        <v>6</v>
      </c>
      <c r="AJ16" s="40"/>
      <c r="AK16" s="40" t="str">
        <f t="array" ref="AK16">IFERROR(INDEX($AI$11:$AI$259, MATCH(0, IF(TRUE=$AF$11:$AF$259, COUNTIF($AK$10:$AK15, $AI$11:$AI$259), ""), 0)),"")</f>
        <v/>
      </c>
      <c r="AL16" s="40" t="str">
        <f t="array" ref="AL16">IFERROR(INDEX($AI$11:$AI$259, MATCH(0, IF(TRUE=$AG$11:$AG$259, COUNTIF($AL$10:$AL15, $AI$11:$AI$259), ""), 0)),"")</f>
        <v/>
      </c>
      <c r="AM16" s="40" t="str">
        <f t="array" ref="AM16">IFERROR(INDEX($AI$11:$AI$259, MATCH(0, IF(TRUE=$AH$11:$AH$259, COUNTIF($AM$10:$AM15, $AI$11:$AI$259), ""), 0)),"")</f>
        <v/>
      </c>
      <c r="AN16" s="40"/>
      <c r="AQ16" s="35">
        <f t="shared" si="2"/>
        <v>0</v>
      </c>
    </row>
    <row r="17" spans="1:43" ht="60">
      <c r="A17" s="35" t="str">
        <f>IFERROR(INDEX('G-1 All Habitats'!$AG$3:$AG$17,MATCH(E17,'G-1 All Habitats'!$AF$3:$AF$17,0)),"")</f>
        <v>Grassland</v>
      </c>
      <c r="B17" s="35" t="str">
        <f>IFERROR(INDEX('G-8 Condition Look up'!$I$4:$I$135,MATCH(G17,'G-8 Condition Look up'!$A$4:$A$135,0)),"")</f>
        <v>Cond1</v>
      </c>
      <c r="D17" s="287">
        <v>7</v>
      </c>
      <c r="E17" s="267" t="s">
        <v>125</v>
      </c>
      <c r="F17" s="61" t="s">
        <v>510</v>
      </c>
      <c r="G17" s="52" t="str">
        <f>IFERROR(INDEX('G-1 All Habitats'!$B$3:$B$134,MATCH(F17,'G-1 All Habitats'!$A$3:$A$134,0)),"")</f>
        <v>Grassland - Bracken</v>
      </c>
      <c r="H17" s="53">
        <v>7.2999999999999995E-2</v>
      </c>
      <c r="I17" s="362" t="str">
        <f>IF(G17="","",VLOOKUP(G17,'G-1 All Habitats'!$B$2:$M$134,10,FALSE))</f>
        <v>Low</v>
      </c>
      <c r="J17" s="363">
        <f>IFERROR(VLOOKUP(I17,'G-1 All Habitats'!$V$3:$W$7,2,FALSE),"")</f>
        <v>2</v>
      </c>
      <c r="K17" s="54" t="s">
        <v>492</v>
      </c>
      <c r="L17" s="363">
        <f>IFERROR(INDEX('G-8 Condition Look up'!$A$3:$H$135,MATCH(G17,'G-8 Condition Look up'!$A$3:$A$135,0),MATCH(K17,'G-8 Condition Look up'!$A$3:$H$3,0)),"")</f>
        <v>1</v>
      </c>
      <c r="M17" s="54" t="s">
        <v>1034</v>
      </c>
      <c r="N17" s="382" t="str">
        <f>IF(M17="","",IF(VLOOKUP(M17,'G-3 Multipliers'!$L$3:$N$6,2,FALSE)=0,"Spatial Data Missing",VLOOKUP(M17,'G-3 Multipliers'!$L$3:$N$6,2,FALSE)))</f>
        <v>Low Strategic Significance</v>
      </c>
      <c r="O17" s="368">
        <f>IF(M17="","",IF(VLOOKUP(M17,'G-3 Multipliers'!$L$3:$N$6,3,FALSE)=0,"Spatial Data Missing ▲",VLOOKUP(M17,'G-3 Multipliers'!$L$3:$N$6,3,FALSE)))</f>
        <v>1</v>
      </c>
      <c r="P17" s="369" t="str">
        <f>IFERROR(VLOOKUP(G17,'G-1 All Habitats'!$B$2:$M$134,12,FALSE),"")</f>
        <v>Same distinctiveness or better habitat required ≥</v>
      </c>
      <c r="Q17" s="376">
        <f>IFERROR(IF(P17="","",IF(AND(P17='G-1 All Habitats'!$X$3,T17&gt;0),U17+V17,IF(AND(P17='G-1 All Habitats'!$X$3,S17&gt;0),U17+V17,IF(AND(P17='G-1 All Habitats'!$X$3,AC17&gt;0),"Any Loss Unacceptable ⚠",IF(AND(P17='G-1 All Habitats'!$X$3,W17&gt;0),"Any Loss Unacceptable ⚠",H17*J17*L17*O17))))),"Check Data ▲")</f>
        <v>0.14599999999999999</v>
      </c>
      <c r="R17" s="38"/>
      <c r="S17" s="54">
        <v>7.2999999999999995E-2</v>
      </c>
      <c r="T17" s="55"/>
      <c r="U17" s="374">
        <f t="shared" si="3"/>
        <v>0.14599999999999999</v>
      </c>
      <c r="V17" s="374">
        <f t="shared" si="4"/>
        <v>0</v>
      </c>
      <c r="W17" s="374">
        <f>IF(E17="","",IF(H17&lt;S17+T17,"Error in Areas ▲",IF(P17&lt;&gt;'G-1 All Habitats'!$X$3,H17-S17-T17,IF(AND(P17='G-1 All Habitats'!$X$3,Y17="Yes"),"Unacceptable Loss ⚠",IF(AND(P17='G-1 All Habitats'!$X$3,Y17="No"),AC17,IF(AND(P17='G-1 All Habitats'!$X$3,Y17=""),AC17,IF(AND(P17='G-1 All Habitats'!$X$3,AC17="None",AC17),IF(AND(P17='G-1 All Habitats'!$X$3,AC17&gt;0),H17-S17-T17))))))))</f>
        <v>0</v>
      </c>
      <c r="X17" s="378">
        <f>IFERROR(IF(H17="","",IF(H17-S17-T17=0&lt;0,"Error in Areas ▲",IF(S17+T17&gt;H17,"Error in Areas ▲",IF(AND(P17='G-1 All Habitats'!$X$3,Y17="Yes"),"Alternative Compensation ✓",IF(W17=0,0,IF(P17='G-1 All Habitats'!$X$3,"Any Loss Unacceptable ▲",Q17-U17-V17)))))),"Check Data ▲")</f>
        <v>0</v>
      </c>
      <c r="Y17" s="55"/>
      <c r="Z17" s="62" t="s">
        <v>1704</v>
      </c>
      <c r="AA17" s="526"/>
      <c r="AB17" s="120" t="s">
        <v>1691</v>
      </c>
      <c r="AC17" s="726" t="str">
        <f>IF(P17="","",IF(P17='G-1 All Habitats'!$X$3,H17-S17-T17,"None"))</f>
        <v>None</v>
      </c>
      <c r="AD17" s="727" t="str">
        <f>IF(P17="","", IF(P17='G-1 All Habitats'!$X$3, AC17*J17*L17*O17,"None"))</f>
        <v>None</v>
      </c>
      <c r="AF17" s="40" t="b">
        <f t="shared" si="0"/>
        <v>1</v>
      </c>
      <c r="AG17" s="40" t="b">
        <f t="shared" si="1"/>
        <v>0</v>
      </c>
      <c r="AH17" s="40" t="e">
        <f>IF(I17="","",IF(#REF!&gt;0,TRUE,FALSE))</f>
        <v>#REF!</v>
      </c>
      <c r="AI17" s="40">
        <v>7</v>
      </c>
      <c r="AJ17" s="40"/>
      <c r="AK17" s="40" t="str">
        <f t="array" ref="AK17">IFERROR(INDEX($AI$11:$AI$259, MATCH(0, IF(TRUE=$AF$11:$AF$259, COUNTIF($AK$10:$AK16, $AI$11:$AI$259), ""), 0)),"")</f>
        <v/>
      </c>
      <c r="AL17" s="40" t="str">
        <f t="array" ref="AL17">IFERROR(INDEX($AI$11:$AI$259, MATCH(0, IF(TRUE=$AG$11:$AG$259, COUNTIF($AL$10:$AL16, $AI$11:$AI$259), ""), 0)),"")</f>
        <v/>
      </c>
      <c r="AM17" s="40" t="str">
        <f t="array" ref="AM17">IFERROR(INDEX($AI$11:$AI$259, MATCH(0, IF(TRUE=$AH$11:$AH$259, COUNTIF($AM$10:$AM16, $AI$11:$AI$259), ""), 0)),"")</f>
        <v/>
      </c>
      <c r="AN17" s="40"/>
      <c r="AQ17" s="35">
        <f t="shared" si="2"/>
        <v>0</v>
      </c>
    </row>
    <row r="18" spans="1:43" ht="30">
      <c r="A18" s="35" t="str">
        <f>IFERROR(INDEX('G-1 All Habitats'!$AG$3:$AG$17,MATCH(E18,'G-1 All Habitats'!$AF$3:$AF$17,0)),"")</f>
        <v>Heathland_and_shrub</v>
      </c>
      <c r="B18" s="35" t="str">
        <f>IFERROR(INDEX('G-8 Condition Look up'!$I$4:$I$135,MATCH(G18,'G-8 Condition Look up'!$A$4:$A$135,0)),"")</f>
        <v>Cond4</v>
      </c>
      <c r="D18" s="287">
        <v>8</v>
      </c>
      <c r="E18" s="267" t="s">
        <v>126</v>
      </c>
      <c r="F18" s="61" t="s">
        <v>586</v>
      </c>
      <c r="G18" s="52" t="str">
        <f>IFERROR(INDEX('G-1 All Habitats'!$B$3:$B$134,MATCH(F18,'G-1 All Habitats'!$A$3:$A$134,0)),"")</f>
        <v>Heathland and shrub - Mixed scrub</v>
      </c>
      <c r="H18" s="53">
        <v>2.3E-2</v>
      </c>
      <c r="I18" s="362" t="str">
        <f>IF(G18="","",VLOOKUP(G18,'G-1 All Habitats'!$B$2:$M$134,10,FALSE))</f>
        <v>Medium</v>
      </c>
      <c r="J18" s="363">
        <f>IFERROR(VLOOKUP(I18,'G-1 All Habitats'!$V$3:$W$7,2,FALSE),"")</f>
        <v>4</v>
      </c>
      <c r="K18" s="54" t="s">
        <v>67</v>
      </c>
      <c r="L18" s="363">
        <f>IFERROR(INDEX('G-8 Condition Look up'!$A$3:$H$135,MATCH(G18,'G-8 Condition Look up'!$A$3:$A$135,0),MATCH(K18,'G-8 Condition Look up'!$A$3:$H$3,0)),"")</f>
        <v>2</v>
      </c>
      <c r="M18" s="54" t="s">
        <v>1034</v>
      </c>
      <c r="N18" s="382" t="str">
        <f>IF(M18="","",IF(VLOOKUP(M18,'G-3 Multipliers'!$L$3:$N$6,2,FALSE)=0,"Spatial Data Missing",VLOOKUP(M18,'G-3 Multipliers'!$L$3:$N$6,2,FALSE)))</f>
        <v>Low Strategic Significance</v>
      </c>
      <c r="O18" s="368">
        <f>IF(M18="","",IF(VLOOKUP(M18,'G-3 Multipliers'!$L$3:$N$6,3,FALSE)=0,"Spatial Data Missing ▲",VLOOKUP(M18,'G-3 Multipliers'!$L$3:$N$6,3,FALSE)))</f>
        <v>1</v>
      </c>
      <c r="P18" s="369" t="str">
        <f>IFERROR(VLOOKUP(G18,'G-1 All Habitats'!$B$2:$M$134,12,FALSE),"")</f>
        <v>Same broad habitat or a higher distinctiveness habitat required (≥)</v>
      </c>
      <c r="Q18" s="376">
        <f>IFERROR(IF(P18="","",IF(AND(P18='G-1 All Habitats'!$X$3,T18&gt;0),U18+V18,IF(AND(P18='G-1 All Habitats'!$X$3,S18&gt;0),U18+V18,IF(AND(P18='G-1 All Habitats'!$X$3,AC18&gt;0),"Any Loss Unacceptable ⚠",IF(AND(P18='G-1 All Habitats'!$X$3,W18&gt;0),"Any Loss Unacceptable ⚠",H18*J18*L18*O18))))),"Check Data ▲")</f>
        <v>0.184</v>
      </c>
      <c r="R18" s="38"/>
      <c r="S18" s="54"/>
      <c r="T18" s="55"/>
      <c r="U18" s="374">
        <f t="shared" si="3"/>
        <v>0</v>
      </c>
      <c r="V18" s="374">
        <f t="shared" si="4"/>
        <v>0</v>
      </c>
      <c r="W18" s="374">
        <f>IF(E18="","",IF(H18&lt;S18+T18,"Error in Areas ▲",IF(P18&lt;&gt;'G-1 All Habitats'!$X$3,H18-S18-T18,IF(AND(P18='G-1 All Habitats'!$X$3,Y18="Yes"),"Unacceptable Loss ⚠",IF(AND(P18='G-1 All Habitats'!$X$3,Y18="No"),AC18,IF(AND(P18='G-1 All Habitats'!$X$3,Y18=""),AC18,IF(AND(P18='G-1 All Habitats'!$X$3,AC18="None",AC18),IF(AND(P18='G-1 All Habitats'!$X$3,AC18&gt;0),H18-S18-T18))))))))</f>
        <v>2.3E-2</v>
      </c>
      <c r="X18" s="378">
        <f>IFERROR(IF(H18="","",IF(H18-S18-T18=0&lt;0,"Error in Areas ▲",IF(S18+T18&gt;H18,"Error in Areas ▲",IF(AND(P18='G-1 All Habitats'!$X$3,Y18="Yes"),"Alternative Compensation ✓",IF(W18=0,0,IF(P18='G-1 All Habitats'!$X$3,"Any Loss Unacceptable ▲",Q18-U18-V18)))))),"Check Data ▲")</f>
        <v>0.184</v>
      </c>
      <c r="Y18" s="55"/>
      <c r="Z18" s="62"/>
      <c r="AA18" s="526"/>
      <c r="AB18" s="120" t="s">
        <v>1692</v>
      </c>
      <c r="AC18" s="726" t="str">
        <f>IF(P18="","",IF(P18='G-1 All Habitats'!$X$3,H18-S18-T18,"None"))</f>
        <v>None</v>
      </c>
      <c r="AD18" s="727" t="str">
        <f>IF(P18="","", IF(P18='G-1 All Habitats'!$X$3, AC18*J18*L18*O18,"None"))</f>
        <v>None</v>
      </c>
      <c r="AF18" s="40" t="b">
        <f t="shared" si="0"/>
        <v>0</v>
      </c>
      <c r="AG18" s="40" t="b">
        <f t="shared" si="1"/>
        <v>0</v>
      </c>
      <c r="AH18" s="40" t="e">
        <f>IF(I18="","",IF(#REF!&gt;0,TRUE,FALSE))</f>
        <v>#REF!</v>
      </c>
      <c r="AI18" s="40">
        <v>8</v>
      </c>
      <c r="AJ18" s="40"/>
      <c r="AK18" s="40" t="str">
        <f t="array" ref="AK18">IFERROR(INDEX($AI$11:$AI$259, MATCH(0, IF(TRUE=$AF$11:$AF$259, COUNTIF($AK$10:$AK17, $AI$11:$AI$259), ""), 0)),"")</f>
        <v/>
      </c>
      <c r="AL18" s="40" t="str">
        <f t="array" ref="AL18">IFERROR(INDEX($AI$11:$AI$259, MATCH(0, IF(TRUE=$AG$11:$AG$259, COUNTIF($AL$10:$AL17, $AI$11:$AI$259), ""), 0)),"")</f>
        <v/>
      </c>
      <c r="AM18" s="40" t="str">
        <f t="array" ref="AM18">IFERROR(INDEX($AI$11:$AI$259, MATCH(0, IF(TRUE=$AH$11:$AH$259, COUNTIF($AM$10:$AM17, $AI$11:$AI$259), ""), 0)),"")</f>
        <v/>
      </c>
      <c r="AN18" s="40"/>
      <c r="AQ18" s="35">
        <f t="shared" si="2"/>
        <v>0</v>
      </c>
    </row>
    <row r="19" spans="1:43" ht="30">
      <c r="A19" s="35" t="str">
        <f>IFERROR(INDEX('G-1 All Habitats'!$AG$3:$AG$17,MATCH(E19,'G-1 All Habitats'!$AF$3:$AF$17,0)),"")</f>
        <v>Urban</v>
      </c>
      <c r="B19" s="35" t="str">
        <f>IFERROR(INDEX('G-8 Condition Look up'!$I$4:$I$135,MATCH(G19,'G-8 Condition Look up'!$A$4:$A$135,0)),"")</f>
        <v>Cond2</v>
      </c>
      <c r="D19" s="287">
        <v>9</v>
      </c>
      <c r="E19" s="267" t="s">
        <v>129</v>
      </c>
      <c r="F19" s="61" t="s">
        <v>696</v>
      </c>
      <c r="G19" s="52" t="str">
        <f>IFERROR(INDEX('G-1 All Habitats'!$B$3:$B$134,MATCH(F19,'G-1 All Habitats'!$A$3:$A$134,0)),"")</f>
        <v>Urban - Developed land; sealed surface</v>
      </c>
      <c r="H19" s="53">
        <v>4.2999999999999997E-2</v>
      </c>
      <c r="I19" s="362" t="str">
        <f>IF(G19="","",VLOOKUP(G19,'G-1 All Habitats'!$B$2:$M$134,10,FALSE))</f>
        <v>V.Low</v>
      </c>
      <c r="J19" s="363">
        <f>IFERROR(VLOOKUP(I19,'G-1 All Habitats'!$V$3:$W$7,2,FALSE),"")</f>
        <v>0</v>
      </c>
      <c r="K19" s="54" t="s">
        <v>496</v>
      </c>
      <c r="L19" s="363">
        <f>IFERROR(INDEX('G-8 Condition Look up'!$A$3:$H$135,MATCH(G19,'G-8 Condition Look up'!$A$3:$A$135,0),MATCH(K19,'G-8 Condition Look up'!$A$3:$H$3,0)),"")</f>
        <v>0</v>
      </c>
      <c r="M19" s="54" t="s">
        <v>1034</v>
      </c>
      <c r="N19" s="382" t="str">
        <f>IF(M19="","",IF(VLOOKUP(M19,'G-3 Multipliers'!$L$3:$N$6,2,FALSE)=0,"Spatial Data Missing",VLOOKUP(M19,'G-3 Multipliers'!$L$3:$N$6,2,FALSE)))</f>
        <v>Low Strategic Significance</v>
      </c>
      <c r="O19" s="368">
        <f>IF(M19="","",IF(VLOOKUP(M19,'G-3 Multipliers'!$L$3:$N$6,3,FALSE)=0,"Spatial Data Missing ▲",VLOOKUP(M19,'G-3 Multipliers'!$L$3:$N$6,3,FALSE)))</f>
        <v>1</v>
      </c>
      <c r="P19" s="369" t="str">
        <f>IFERROR(VLOOKUP(G19,'G-1 All Habitats'!$B$2:$M$134,12,FALSE),"")</f>
        <v>Compensation Not Required</v>
      </c>
      <c r="Q19" s="376">
        <f>IFERROR(IF(P19="","",IF(AND(P19='G-1 All Habitats'!$X$3,T19&gt;0),U19+V19,IF(AND(P19='G-1 All Habitats'!$X$3,S19&gt;0),U19+V19,IF(AND(P19='G-1 All Habitats'!$X$3,AC19&gt;0),"Any Loss Unacceptable ⚠",IF(AND(P19='G-1 All Habitats'!$X$3,W19&gt;0),"Any Loss Unacceptable ⚠",H19*J19*L19*O19))))),"Check Data ▲")</f>
        <v>0</v>
      </c>
      <c r="R19" s="38"/>
      <c r="S19" s="54"/>
      <c r="T19" s="55"/>
      <c r="U19" s="374">
        <f t="shared" si="3"/>
        <v>0</v>
      </c>
      <c r="V19" s="374">
        <f t="shared" si="4"/>
        <v>0</v>
      </c>
      <c r="W19" s="374">
        <f>IF(E19="","",IF(H19&lt;S19+T19,"Error in Areas ▲",IF(P19&lt;&gt;'G-1 All Habitats'!$X$3,H19-S19-T19,IF(AND(P19='G-1 All Habitats'!$X$3,Y19="Yes"),"Unacceptable Loss ⚠",IF(AND(P19='G-1 All Habitats'!$X$3,Y19="No"),AC19,IF(AND(P19='G-1 All Habitats'!$X$3,Y19=""),AC19,IF(AND(P19='G-1 All Habitats'!$X$3,AC19="None",AC19),IF(AND(P19='G-1 All Habitats'!$X$3,AC19&gt;0),H19-S19-T19))))))))</f>
        <v>4.2999999999999997E-2</v>
      </c>
      <c r="X19" s="378">
        <f>IFERROR(IF(H19="","",IF(H19-S19-T19=0&lt;0,"Error in Areas ▲",IF(S19+T19&gt;H19,"Error in Areas ▲",IF(AND(P19='G-1 All Habitats'!$X$3,Y19="Yes"),"Alternative Compensation ✓",IF(W19=0,0,IF(P19='G-1 All Habitats'!$X$3,"Any Loss Unacceptable ▲",Q19-U19-V19)))))),"Check Data ▲")</f>
        <v>0</v>
      </c>
      <c r="Y19" s="55"/>
      <c r="Z19" s="62" t="s">
        <v>1700</v>
      </c>
      <c r="AA19" s="526"/>
      <c r="AB19" s="120" t="s">
        <v>1696</v>
      </c>
      <c r="AC19" s="726" t="str">
        <f>IF(P19="","",IF(P19='G-1 All Habitats'!$X$3,H19-S19-T19,"None"))</f>
        <v>None</v>
      </c>
      <c r="AD19" s="727" t="str">
        <f>IF(P19="","", IF(P19='G-1 All Habitats'!$X$3, AC19*J19*L19*O19,"None"))</f>
        <v>None</v>
      </c>
      <c r="AF19" s="40" t="b">
        <f t="shared" si="0"/>
        <v>0</v>
      </c>
      <c r="AG19" s="40" t="b">
        <f t="shared" si="1"/>
        <v>0</v>
      </c>
      <c r="AH19" s="40" t="e">
        <f>IF(I19="","",IF(#REF!&gt;0,TRUE,FALSE))</f>
        <v>#REF!</v>
      </c>
      <c r="AI19" s="40">
        <v>9</v>
      </c>
      <c r="AJ19" s="40"/>
      <c r="AK19" s="40" t="str">
        <f t="array" ref="AK19">IFERROR(INDEX($AI$11:$AI$259, MATCH(0, IF(TRUE=$AF$11:$AF$259, COUNTIF($AK$10:$AK18, $AI$11:$AI$259), ""), 0)),"")</f>
        <v/>
      </c>
      <c r="AL19" s="40" t="str">
        <f t="array" ref="AL19">IFERROR(INDEX($AI$11:$AI$259, MATCH(0, IF(TRUE=$AG$11:$AG$259, COUNTIF($AL$10:$AL18, $AI$11:$AI$259), ""), 0)),"")</f>
        <v/>
      </c>
      <c r="AM19" s="40" t="str">
        <f t="array" ref="AM19">IFERROR(INDEX($AI$11:$AI$259, MATCH(0, IF(TRUE=$AH$11:$AH$259, COUNTIF($AM$10:$AM18, $AI$11:$AI$259), ""), 0)),"")</f>
        <v/>
      </c>
      <c r="AN19" s="40"/>
      <c r="AQ19" s="35">
        <f t="shared" si="2"/>
        <v>0</v>
      </c>
    </row>
    <row r="20" spans="1:43" ht="30">
      <c r="A20" s="35" t="str">
        <f>IFERROR(INDEX('G-1 All Habitats'!$AG$3:$AG$17,MATCH(E20,'G-1 All Habitats'!$AF$3:$AF$17,0)),"")</f>
        <v>Urban</v>
      </c>
      <c r="B20" s="35" t="str">
        <f>IFERROR(INDEX('G-8 Condition Look up'!$I$4:$I$135,MATCH(G20,'G-8 Condition Look up'!$A$4:$A$135,0)),"")</f>
        <v>Cond2</v>
      </c>
      <c r="D20" s="287">
        <v>10</v>
      </c>
      <c r="E20" s="267" t="s">
        <v>129</v>
      </c>
      <c r="F20" s="61" t="s">
        <v>683</v>
      </c>
      <c r="G20" s="52" t="str">
        <f>IFERROR(INDEX('G-1 All Habitats'!$B$3:$B$134,MATCH(F20,'G-1 All Habitats'!$A$3:$A$134,0)),"")</f>
        <v>Urban - Artificial unvegetated, unsealed surface</v>
      </c>
      <c r="H20" s="53">
        <v>0.14799999999999999</v>
      </c>
      <c r="I20" s="362" t="str">
        <f>IF(G20="","",VLOOKUP(G20,'G-1 All Habitats'!$B$2:$M$134,10,FALSE))</f>
        <v>V.Low</v>
      </c>
      <c r="J20" s="363">
        <f>IFERROR(VLOOKUP(I20,'G-1 All Habitats'!$V$3:$W$7,2,FALSE),"")</f>
        <v>0</v>
      </c>
      <c r="K20" s="54" t="s">
        <v>496</v>
      </c>
      <c r="L20" s="363">
        <f>IFERROR(INDEX('G-8 Condition Look up'!$A$3:$H$135,MATCH(G20,'G-8 Condition Look up'!$A$3:$A$135,0),MATCH(K20,'G-8 Condition Look up'!$A$3:$H$3,0)),"")</f>
        <v>0</v>
      </c>
      <c r="M20" s="54" t="s">
        <v>1034</v>
      </c>
      <c r="N20" s="382" t="str">
        <f>IF(M20="","",IF(VLOOKUP(M20,'G-3 Multipliers'!$L$3:$N$6,2,FALSE)=0,"Spatial Data Missing",VLOOKUP(M20,'G-3 Multipliers'!$L$3:$N$6,2,FALSE)))</f>
        <v>Low Strategic Significance</v>
      </c>
      <c r="O20" s="368">
        <f>IF(M20="","",IF(VLOOKUP(M20,'G-3 Multipliers'!$L$3:$N$6,3,FALSE)=0,"Spatial Data Missing ▲",VLOOKUP(M20,'G-3 Multipliers'!$L$3:$N$6,3,FALSE)))</f>
        <v>1</v>
      </c>
      <c r="P20" s="369" t="str">
        <f>IFERROR(VLOOKUP(G20,'G-1 All Habitats'!$B$2:$M$134,12,FALSE),"")</f>
        <v>Compensation Not Required</v>
      </c>
      <c r="Q20" s="376">
        <f>IFERROR(IF(P20="","",IF(AND(P20='G-1 All Habitats'!$X$3,T20&gt;0),U20+V20,IF(AND(P20='G-1 All Habitats'!$X$3,S20&gt;0),U20+V20,IF(AND(P20='G-1 All Habitats'!$X$3,AC20&gt;0),"Any Loss Unacceptable ⚠",IF(AND(P20='G-1 All Habitats'!$X$3,W20&gt;0),"Any Loss Unacceptable ⚠",H20*J20*L20*O20))))),"Check Data ▲")</f>
        <v>0</v>
      </c>
      <c r="R20" s="38"/>
      <c r="S20" s="54"/>
      <c r="T20" s="55"/>
      <c r="U20" s="374">
        <f t="shared" si="3"/>
        <v>0</v>
      </c>
      <c r="V20" s="374">
        <f t="shared" si="4"/>
        <v>0</v>
      </c>
      <c r="W20" s="374">
        <f>IF(E20="","",IF(H20&lt;S20+T20,"Error in Areas ▲",IF(P20&lt;&gt;'G-1 All Habitats'!$X$3,H20-S20-T20,IF(AND(P20='G-1 All Habitats'!$X$3,Y20="Yes"),"Unacceptable Loss ⚠",IF(AND(P20='G-1 All Habitats'!$X$3,Y20="No"),AC20,IF(AND(P20='G-1 All Habitats'!$X$3,Y20=""),AC20,IF(AND(P20='G-1 All Habitats'!$X$3,AC20="None",AC20),IF(AND(P20='G-1 All Habitats'!$X$3,AC20&gt;0),H20-S20-T20))))))))</f>
        <v>0.14799999999999999</v>
      </c>
      <c r="X20" s="378">
        <f>IFERROR(IF(H20="","",IF(H20-S20-T20=0&lt;0,"Error in Areas ▲",IF(S20+T20&gt;H20,"Error in Areas ▲",IF(AND(P20='G-1 All Habitats'!$X$3,Y20="Yes"),"Alternative Compensation ✓",IF(W20=0,0,IF(P20='G-1 All Habitats'!$X$3,"Any Loss Unacceptable ▲",Q20-U20-V20)))))),"Check Data ▲")</f>
        <v>0</v>
      </c>
      <c r="Y20" s="55"/>
      <c r="Z20" s="62" t="s">
        <v>1698</v>
      </c>
      <c r="AA20" s="526"/>
      <c r="AB20" s="120" t="s">
        <v>1695</v>
      </c>
      <c r="AC20" s="726" t="str">
        <f>IF(P20="","",IF(P20='G-1 All Habitats'!$X$3,H20-S20-T20,"None"))</f>
        <v>None</v>
      </c>
      <c r="AD20" s="727" t="str">
        <f>IF(P20="","", IF(P20='G-1 All Habitats'!$X$3, AC20*J20*L20*O20,"None"))</f>
        <v>None</v>
      </c>
      <c r="AF20" s="40" t="b">
        <f t="shared" si="0"/>
        <v>0</v>
      </c>
      <c r="AG20" s="40" t="b">
        <f t="shared" si="1"/>
        <v>0</v>
      </c>
      <c r="AH20" s="40" t="e">
        <f>IF(I20="","",IF(#REF!&gt;0,TRUE,FALSE))</f>
        <v>#REF!</v>
      </c>
      <c r="AI20" s="40">
        <v>10</v>
      </c>
      <c r="AJ20" s="40"/>
      <c r="AK20" s="40" t="str">
        <f t="array" ref="AK20">IFERROR(INDEX($AI$11:$AI$259, MATCH(0, IF(TRUE=$AF$11:$AF$259, COUNTIF($AK$10:$AK19, $AI$11:$AI$259), ""), 0)),"")</f>
        <v/>
      </c>
      <c r="AL20" s="40" t="str">
        <f t="array" ref="AL20">IFERROR(INDEX($AI$11:$AI$259, MATCH(0, IF(TRUE=$AG$11:$AG$259, COUNTIF($AL$10:$AL19, $AI$11:$AI$259), ""), 0)),"")</f>
        <v/>
      </c>
      <c r="AM20" s="40" t="str">
        <f t="array" ref="AM20">IFERROR(INDEX($AI$11:$AI$259, MATCH(0, IF(TRUE=$AH$11:$AH$259, COUNTIF($AM$10:$AM19, $AI$11:$AI$259), ""), 0)),"")</f>
        <v/>
      </c>
      <c r="AN20" s="40"/>
      <c r="AQ20" s="35">
        <f t="shared" si="2"/>
        <v>0</v>
      </c>
    </row>
    <row r="21" spans="1:43" ht="30">
      <c r="A21" s="35" t="str">
        <f>IFERROR(INDEX('G-1 All Habitats'!$AG$3:$AG$17,MATCH(E21,'G-1 All Habitats'!$AF$3:$AF$17,0)),"")</f>
        <v>Urban</v>
      </c>
      <c r="B21" s="35" t="str">
        <f>IFERROR(INDEX('G-8 Condition Look up'!$I$4:$I$135,MATCH(G21,'G-8 Condition Look up'!$A$4:$A$135,0)),"")</f>
        <v>Cond2</v>
      </c>
      <c r="D21" s="287">
        <v>11</v>
      </c>
      <c r="E21" s="267" t="s">
        <v>129</v>
      </c>
      <c r="F21" s="61" t="s">
        <v>696</v>
      </c>
      <c r="G21" s="52" t="str">
        <f>IFERROR(INDEX('G-1 All Habitats'!$B$3:$B$134,MATCH(F21,'G-1 All Habitats'!$A$3:$A$134,0)),"")</f>
        <v>Urban - Developed land; sealed surface</v>
      </c>
      <c r="H21" s="53">
        <v>9.0999999999999998E-2</v>
      </c>
      <c r="I21" s="362" t="str">
        <f>IF(G21="","",VLOOKUP(G21,'G-1 All Habitats'!$B$2:$M$134,10,FALSE))</f>
        <v>V.Low</v>
      </c>
      <c r="J21" s="363">
        <f>IFERROR(VLOOKUP(I21,'G-1 All Habitats'!$V$3:$W$7,2,FALSE),"")</f>
        <v>0</v>
      </c>
      <c r="K21" s="54" t="s">
        <v>496</v>
      </c>
      <c r="L21" s="363">
        <f>IFERROR(INDEX('G-8 Condition Look up'!$A$3:$H$135,MATCH(G21,'G-8 Condition Look up'!$A$3:$A$135,0),MATCH(K21,'G-8 Condition Look up'!$A$3:$H$3,0)),"")</f>
        <v>0</v>
      </c>
      <c r="M21" s="54" t="s">
        <v>1034</v>
      </c>
      <c r="N21" s="382" t="str">
        <f>IF(M21="","",IF(VLOOKUP(M21,'G-3 Multipliers'!$L$3:$N$6,2,FALSE)=0,"Spatial Data Missing",VLOOKUP(M21,'G-3 Multipliers'!$L$3:$N$6,2,FALSE)))</f>
        <v>Low Strategic Significance</v>
      </c>
      <c r="O21" s="368">
        <f>IF(M21="","",IF(VLOOKUP(M21,'G-3 Multipliers'!$L$3:$N$6,3,FALSE)=0,"Spatial Data Missing ▲",VLOOKUP(M21,'G-3 Multipliers'!$L$3:$N$6,3,FALSE)))</f>
        <v>1</v>
      </c>
      <c r="P21" s="369" t="str">
        <f>IFERROR(VLOOKUP(G21,'G-1 All Habitats'!$B$2:$M$134,12,FALSE),"")</f>
        <v>Compensation Not Required</v>
      </c>
      <c r="Q21" s="376">
        <f>IFERROR(IF(P21="","",IF(AND(P21='G-1 All Habitats'!$X$3,T21&gt;0),U21+V21,IF(AND(P21='G-1 All Habitats'!$X$3,S21&gt;0),U21+V21,IF(AND(P21='G-1 All Habitats'!$X$3,AC21&gt;0),"Any Loss Unacceptable ⚠",IF(AND(P21='G-1 All Habitats'!$X$3,W21&gt;0),"Any Loss Unacceptable ⚠",H21*J21*L21*O21))))),"Check Data ▲")</f>
        <v>0</v>
      </c>
      <c r="R21" s="38"/>
      <c r="S21" s="54"/>
      <c r="T21" s="55"/>
      <c r="U21" s="374">
        <f t="shared" si="3"/>
        <v>0</v>
      </c>
      <c r="V21" s="374">
        <f t="shared" si="4"/>
        <v>0</v>
      </c>
      <c r="W21" s="374">
        <f>IF(E21="","",IF(H21&lt;S21+T21,"Error in Areas ▲",IF(P21&lt;&gt;'G-1 All Habitats'!$X$3,H21-S21-T21,IF(AND(P21='G-1 All Habitats'!$X$3,Y21="Yes"),"Unacceptable Loss ⚠",IF(AND(P21='G-1 All Habitats'!$X$3,Y21="No"),AC21,IF(AND(P21='G-1 All Habitats'!$X$3,Y21=""),AC21,IF(AND(P21='G-1 All Habitats'!$X$3,AC21="None",AC21),IF(AND(P21='G-1 All Habitats'!$X$3,AC21&gt;0),H21-S21-T21))))))))</f>
        <v>9.0999999999999998E-2</v>
      </c>
      <c r="X21" s="378">
        <f>IFERROR(IF(H21="","",IF(H21-S21-T21=0&lt;0,"Error in Areas ▲",IF(S21+T21&gt;H21,"Error in Areas ▲",IF(AND(P21='G-1 All Habitats'!$X$3,Y21="Yes"),"Alternative Compensation ✓",IF(W21=0,0,IF(P21='G-1 All Habitats'!$X$3,"Any Loss Unacceptable ▲",Q21-U21-V21)))))),"Check Data ▲")</f>
        <v>0</v>
      </c>
      <c r="Y21" s="55"/>
      <c r="Z21" s="62" t="s">
        <v>1699</v>
      </c>
      <c r="AA21" s="526"/>
      <c r="AB21" s="120" t="s">
        <v>1694</v>
      </c>
      <c r="AC21" s="726" t="str">
        <f>IF(P21="","",IF(P21='G-1 All Habitats'!$X$3,H21-S21-T21,"None"))</f>
        <v>None</v>
      </c>
      <c r="AD21" s="727" t="str">
        <f>IF(P21="","", IF(P21='G-1 All Habitats'!$X$3, AC21*J21*L21*O21,"None"))</f>
        <v>None</v>
      </c>
      <c r="AF21" s="40" t="b">
        <f t="shared" si="0"/>
        <v>0</v>
      </c>
      <c r="AG21" s="40" t="b">
        <f t="shared" si="1"/>
        <v>0</v>
      </c>
      <c r="AH21" s="40" t="e">
        <f>IF(I21="","",IF(#REF!&gt;0,TRUE,FALSE))</f>
        <v>#REF!</v>
      </c>
      <c r="AI21" s="40">
        <v>11</v>
      </c>
      <c r="AJ21" s="40"/>
      <c r="AK21" s="40" t="str">
        <f t="array" ref="AK21">IFERROR(INDEX($AI$11:$AI$259, MATCH(0, IF(TRUE=$AF$11:$AF$259, COUNTIF($AK$10:$AK20, $AI$11:$AI$259), ""), 0)),"")</f>
        <v/>
      </c>
      <c r="AL21" s="40" t="str">
        <f t="array" ref="AL21">IFERROR(INDEX($AI$11:$AI$259, MATCH(0, IF(TRUE=$AG$11:$AG$259, COUNTIF($AL$10:$AL20, $AI$11:$AI$259), ""), 0)),"")</f>
        <v/>
      </c>
      <c r="AM21" s="40" t="str">
        <f t="array" ref="AM21">IFERROR(INDEX($AI$11:$AI$259, MATCH(0, IF(TRUE=$AH$11:$AH$259, COUNTIF($AM$10:$AM20, $AI$11:$AI$259), ""), 0)),"")</f>
        <v/>
      </c>
      <c r="AN21" s="40"/>
      <c r="AQ21" s="35">
        <f t="shared" si="2"/>
        <v>0</v>
      </c>
    </row>
    <row r="22" spans="1:43" ht="30">
      <c r="A22" s="35" t="str">
        <f>IFERROR(INDEX('G-1 All Habitats'!$AG$3:$AG$17,MATCH(E22,'G-1 All Habitats'!$AF$3:$AF$17,0)),"")</f>
        <v>Urban</v>
      </c>
      <c r="B22" s="35" t="str">
        <f>IFERROR(INDEX('G-8 Condition Look up'!$I$4:$I$135,MATCH(G22,'G-8 Condition Look up'!$A$4:$A$135,0)),"")</f>
        <v>Cond2</v>
      </c>
      <c r="D22" s="287">
        <v>12</v>
      </c>
      <c r="E22" s="267" t="s">
        <v>129</v>
      </c>
      <c r="F22" s="61" t="s">
        <v>696</v>
      </c>
      <c r="G22" s="52" t="str">
        <f>IFERROR(INDEX('G-1 All Habitats'!$B$3:$B$134,MATCH(F22,'G-1 All Habitats'!$A$3:$A$134,0)),"")</f>
        <v>Urban - Developed land; sealed surface</v>
      </c>
      <c r="H22" s="53">
        <v>0.17100000000000001</v>
      </c>
      <c r="I22" s="362" t="str">
        <f>IF(G22="","",VLOOKUP(G22,'G-1 All Habitats'!$B$2:$M$134,10,FALSE))</f>
        <v>V.Low</v>
      </c>
      <c r="J22" s="363">
        <f>IFERROR(VLOOKUP(I22,'G-1 All Habitats'!$V$3:$W$7,2,FALSE),"")</f>
        <v>0</v>
      </c>
      <c r="K22" s="54" t="s">
        <v>496</v>
      </c>
      <c r="L22" s="363">
        <f>IFERROR(INDEX('G-8 Condition Look up'!$A$3:$H$135,MATCH(G22,'G-8 Condition Look up'!$A$3:$A$135,0),MATCH(K22,'G-8 Condition Look up'!$A$3:$H$3,0)),"")</f>
        <v>0</v>
      </c>
      <c r="M22" s="54" t="s">
        <v>1034</v>
      </c>
      <c r="N22" s="382" t="str">
        <f>IF(M22="","",IF(VLOOKUP(M22,'G-3 Multipliers'!$L$3:$N$6,2,FALSE)=0,"Spatial Data Missing",VLOOKUP(M22,'G-3 Multipliers'!$L$3:$N$6,2,FALSE)))</f>
        <v>Low Strategic Significance</v>
      </c>
      <c r="O22" s="368">
        <f>IF(M22="","",IF(VLOOKUP(M22,'G-3 Multipliers'!$L$3:$N$6,3,FALSE)=0,"Spatial Data Missing ▲",VLOOKUP(M22,'G-3 Multipliers'!$L$3:$N$6,3,FALSE)))</f>
        <v>1</v>
      </c>
      <c r="P22" s="369" t="str">
        <f>IFERROR(VLOOKUP(G22,'G-1 All Habitats'!$B$2:$M$134,12,FALSE),"")</f>
        <v>Compensation Not Required</v>
      </c>
      <c r="Q22" s="376">
        <f>IFERROR(IF(P22="","",IF(AND(P22='G-1 All Habitats'!$X$3,T22&gt;0),U22+V22,IF(AND(P22='G-1 All Habitats'!$X$3,S22&gt;0),U22+V22,IF(AND(P22='G-1 All Habitats'!$X$3,AC22&gt;0),"Any Loss Unacceptable ⚠",IF(AND(P22='G-1 All Habitats'!$X$3,W22&gt;0),"Any Loss Unacceptable ⚠",H22*J22*L22*O22))))),"Check Data ▲")</f>
        <v>0</v>
      </c>
      <c r="R22" s="38"/>
      <c r="S22" s="54"/>
      <c r="T22" s="55"/>
      <c r="U22" s="374">
        <f t="shared" si="3"/>
        <v>0</v>
      </c>
      <c r="V22" s="374">
        <f t="shared" si="4"/>
        <v>0</v>
      </c>
      <c r="W22" s="374">
        <f>IF(E22="","",IF(H22&lt;S22+T22,"Error in Areas ▲",IF(P22&lt;&gt;'G-1 All Habitats'!$X$3,H22-S22-T22,IF(AND(P22='G-1 All Habitats'!$X$3,Y22="Yes"),"Unacceptable Loss ⚠",IF(AND(P22='G-1 All Habitats'!$X$3,Y22="No"),AC22,IF(AND(P22='G-1 All Habitats'!$X$3,Y22=""),AC22,IF(AND(P22='G-1 All Habitats'!$X$3,AC22="None",AC22),IF(AND(P22='G-1 All Habitats'!$X$3,AC22&gt;0),H22-S22-T22))))))))</f>
        <v>0.17100000000000001</v>
      </c>
      <c r="X22" s="378">
        <f>IFERROR(IF(H22="","",IF(H22-S22-T22=0&lt;0,"Error in Areas ▲",IF(S22+T22&gt;H22,"Error in Areas ▲",IF(AND(P22='G-1 All Habitats'!$X$3,Y22="Yes"),"Alternative Compensation ✓",IF(W22=0,0,IF(P22='G-1 All Habitats'!$X$3,"Any Loss Unacceptable ▲",Q22-U22-V22)))))),"Check Data ▲")</f>
        <v>0</v>
      </c>
      <c r="Y22" s="55"/>
      <c r="Z22" s="62" t="s">
        <v>1697</v>
      </c>
      <c r="AA22" s="526"/>
      <c r="AB22" s="120" t="s">
        <v>1693</v>
      </c>
      <c r="AC22" s="726" t="str">
        <f>IF(P22="","",IF(P22='G-1 All Habitats'!$X$3,H22-S22-T22,"None"))</f>
        <v>None</v>
      </c>
      <c r="AD22" s="727" t="str">
        <f>IF(P22="","", IF(P22='G-1 All Habitats'!$X$3, AC22*J22*L22*O22,"None"))</f>
        <v>None</v>
      </c>
      <c r="AF22" s="40" t="b">
        <f t="shared" si="0"/>
        <v>0</v>
      </c>
      <c r="AG22" s="40" t="b">
        <f t="shared" si="1"/>
        <v>0</v>
      </c>
      <c r="AH22" s="40" t="e">
        <f>IF(I22="","",IF(#REF!&gt;0,TRUE,FALSE))</f>
        <v>#REF!</v>
      </c>
      <c r="AI22" s="40">
        <v>12</v>
      </c>
      <c r="AJ22" s="40"/>
      <c r="AK22" s="40" t="str">
        <f t="array" ref="AK22">IFERROR(INDEX($AI$11:$AI$259, MATCH(0, IF(TRUE=$AF$11:$AF$259, COUNTIF($AK$10:$AK21, $AI$11:$AI$259), ""), 0)),"")</f>
        <v/>
      </c>
      <c r="AL22" s="40" t="str">
        <f t="array" ref="AL22">IFERROR(INDEX($AI$11:$AI$259, MATCH(0, IF(TRUE=$AG$11:$AG$259, COUNTIF($AL$10:$AL21, $AI$11:$AI$259), ""), 0)),"")</f>
        <v/>
      </c>
      <c r="AM22" s="40" t="str">
        <f t="array" ref="AM22">IFERROR(INDEX($AI$11:$AI$259, MATCH(0, IF(TRUE=$AH$11:$AH$259, COUNTIF($AM$10:$AM21, $AI$11:$AI$259), ""), 0)),"")</f>
        <v/>
      </c>
      <c r="AN22" s="40"/>
      <c r="AQ22" s="35">
        <f t="shared" si="2"/>
        <v>0</v>
      </c>
    </row>
    <row r="23" spans="1:43" ht="60">
      <c r="A23" s="35" t="str">
        <f>IFERROR(INDEX('G-1 All Habitats'!$AG$3:$AG$17,MATCH(E23,'G-1 All Habitats'!$AF$3:$AF$17,0)),"")</f>
        <v>Urban</v>
      </c>
      <c r="B23" s="35" t="str">
        <f>IFERROR(INDEX('G-8 Condition Look up'!$I$4:$I$135,MATCH(G23,'G-8 Condition Look up'!$A$4:$A$135,0)),"")</f>
        <v>Cond2</v>
      </c>
      <c r="D23" s="287">
        <v>13</v>
      </c>
      <c r="E23" s="267" t="s">
        <v>129</v>
      </c>
      <c r="F23" s="61" t="s">
        <v>691</v>
      </c>
      <c r="G23" s="52" t="str">
        <f>IFERROR(INDEX('G-1 All Habitats'!$B$3:$B$134,MATCH(F23,'G-1 All Habitats'!$A$3:$A$134,0)),"")</f>
        <v>Urban - Built linear features</v>
      </c>
      <c r="H23" s="53">
        <v>0.06</v>
      </c>
      <c r="I23" s="362" t="str">
        <f>IF(G23="","",VLOOKUP(G23,'G-1 All Habitats'!$B$2:$M$134,10,FALSE))</f>
        <v>V.Low</v>
      </c>
      <c r="J23" s="363">
        <f>IFERROR(VLOOKUP(I23,'G-1 All Habitats'!$V$3:$W$7,2,FALSE),"")</f>
        <v>0</v>
      </c>
      <c r="K23" s="54" t="s">
        <v>496</v>
      </c>
      <c r="L23" s="363">
        <f>IFERROR(INDEX('G-8 Condition Look up'!$A$3:$H$135,MATCH(G23,'G-8 Condition Look up'!$A$3:$A$135,0),MATCH(K23,'G-8 Condition Look up'!$A$3:$H$3,0)),"")</f>
        <v>0</v>
      </c>
      <c r="M23" s="54" t="s">
        <v>1034</v>
      </c>
      <c r="N23" s="382" t="str">
        <f>IF(M23="","",IF(VLOOKUP(M23,'G-3 Multipliers'!$L$3:$N$6,2,FALSE)=0,"Spatial Data Missing",VLOOKUP(M23,'G-3 Multipliers'!$L$3:$N$6,2,FALSE)))</f>
        <v>Low Strategic Significance</v>
      </c>
      <c r="O23" s="368">
        <f>IF(M23="","",IF(VLOOKUP(M23,'G-3 Multipliers'!$L$3:$N$6,3,FALSE)=0,"Spatial Data Missing ▲",VLOOKUP(M23,'G-3 Multipliers'!$L$3:$N$6,3,FALSE)))</f>
        <v>1</v>
      </c>
      <c r="P23" s="369" t="str">
        <f>IFERROR(VLOOKUP(G23,'G-1 All Habitats'!$B$2:$M$134,12,FALSE),"")</f>
        <v>Compensation Not Required</v>
      </c>
      <c r="Q23" s="376">
        <f>IFERROR(IF(P23="","",IF(AND(P23='G-1 All Habitats'!$X$3,T23&gt;0),U23+V23,IF(AND(P23='G-1 All Habitats'!$X$3,S23&gt;0),U23+V23,IF(AND(P23='G-1 All Habitats'!$X$3,AC23&gt;0),"Any Loss Unacceptable ⚠",IF(AND(P23='G-1 All Habitats'!$X$3,W23&gt;0),"Any Loss Unacceptable ⚠",H23*J23*L23*O23))))),"Check Data ▲")</f>
        <v>0</v>
      </c>
      <c r="R23" s="38"/>
      <c r="S23" s="54">
        <v>0.06</v>
      </c>
      <c r="T23" s="55"/>
      <c r="U23" s="374">
        <f t="shared" si="3"/>
        <v>0</v>
      </c>
      <c r="V23" s="374">
        <f t="shared" si="4"/>
        <v>0</v>
      </c>
      <c r="W23" s="374">
        <f>IF(E23="","",IF(H23&lt;S23+T23,"Error in Areas ▲",IF(P23&lt;&gt;'G-1 All Habitats'!$X$3,H23-S23-T23,IF(AND(P23='G-1 All Habitats'!$X$3,Y23="Yes"),"Unacceptable Loss ⚠",IF(AND(P23='G-1 All Habitats'!$X$3,Y23="No"),AC23,IF(AND(P23='G-1 All Habitats'!$X$3,Y23=""),AC23,IF(AND(P23='G-1 All Habitats'!$X$3,AC23="None",AC23),IF(AND(P23='G-1 All Habitats'!$X$3,AC23&gt;0),H23-S23-T23))))))))</f>
        <v>0</v>
      </c>
      <c r="X23" s="378">
        <f>IFERROR(IF(H23="","",IF(H23-S23-T23=0&lt;0,"Error in Areas ▲",IF(S23+T23&gt;H23,"Error in Areas ▲",IF(AND(P23='G-1 All Habitats'!$X$3,Y23="Yes"),"Alternative Compensation ✓",IF(W23=0,0,IF(P23='G-1 All Habitats'!$X$3,"Any Loss Unacceptable ▲",Q23-U23-V23)))))),"Check Data ▲")</f>
        <v>0</v>
      </c>
      <c r="Y23" s="55"/>
      <c r="Z23" s="62" t="s">
        <v>1706</v>
      </c>
      <c r="AA23" s="526"/>
      <c r="AB23" s="120" t="s">
        <v>1701</v>
      </c>
      <c r="AC23" s="726" t="str">
        <f>IF(P23="","",IF(P23='G-1 All Habitats'!$X$3,H23-S23-T23,"None"))</f>
        <v>None</v>
      </c>
      <c r="AD23" s="727" t="str">
        <f>IF(P23="","", IF(P23='G-1 All Habitats'!$X$3, AC23*J23*L23*O23,"None"))</f>
        <v>None</v>
      </c>
      <c r="AF23" s="40" t="b">
        <f t="shared" si="0"/>
        <v>1</v>
      </c>
      <c r="AG23" s="40" t="b">
        <f t="shared" si="1"/>
        <v>0</v>
      </c>
      <c r="AH23" s="40" t="e">
        <f>IF(I23="","",IF(#REF!&gt;0,TRUE,FALSE))</f>
        <v>#REF!</v>
      </c>
      <c r="AI23" s="40">
        <v>13</v>
      </c>
      <c r="AJ23" s="40"/>
      <c r="AK23" s="40" t="str">
        <f t="array" ref="AK23">IFERROR(INDEX($AI$11:$AI$259, MATCH(0, IF(TRUE=$AF$11:$AF$259, COUNTIF($AK$10:$AK22, $AI$11:$AI$259), ""), 0)),"")</f>
        <v/>
      </c>
      <c r="AL23" s="40" t="str">
        <f t="array" ref="AL23">IFERROR(INDEX($AI$11:$AI$259, MATCH(0, IF(TRUE=$AG$11:$AG$259, COUNTIF($AL$10:$AL22, $AI$11:$AI$259), ""), 0)),"")</f>
        <v/>
      </c>
      <c r="AM23" s="40" t="str">
        <f t="array" ref="AM23">IFERROR(INDEX($AI$11:$AI$259, MATCH(0, IF(TRUE=$AH$11:$AH$259, COUNTIF($AM$10:$AM22, $AI$11:$AI$259), ""), 0)),"")</f>
        <v/>
      </c>
      <c r="AN23" s="40"/>
      <c r="AQ23" s="35">
        <f t="shared" si="2"/>
        <v>0</v>
      </c>
    </row>
    <row r="24" spans="1:43" ht="30">
      <c r="A24" s="35" t="str">
        <f>IFERROR(INDEX('G-1 All Habitats'!$AG$3:$AG$17,MATCH(E24,'G-1 All Habitats'!$AF$3:$AF$17,0)),"")</f>
        <v>Grassland</v>
      </c>
      <c r="B24" s="35" t="str">
        <f>IFERROR(INDEX('G-8 Condition Look up'!$I$4:$I$135,MATCH(G24,'G-8 Condition Look up'!$A$4:$A$135,0)),"")</f>
        <v>Cond4</v>
      </c>
      <c r="D24" s="287">
        <v>14</v>
      </c>
      <c r="E24" s="267" t="s">
        <v>125</v>
      </c>
      <c r="F24" s="61" t="s">
        <v>544</v>
      </c>
      <c r="G24" s="52" t="str">
        <f>IFERROR(INDEX('G-1 All Habitats'!$B$3:$B$134,MATCH(F24,'G-1 All Habitats'!$A$3:$A$134,0)),"")</f>
        <v>Grassland - Other neutral grassland</v>
      </c>
      <c r="H24" s="53">
        <f>0.261+0.079</f>
        <v>0.34</v>
      </c>
      <c r="I24" s="362" t="str">
        <f>IF(G24="","",VLOOKUP(G24,'G-1 All Habitats'!$B$2:$M$134,10,FALSE))</f>
        <v>Medium</v>
      </c>
      <c r="J24" s="363">
        <f>IFERROR(VLOOKUP(I24,'G-1 All Habitats'!$V$3:$W$7,2,FALSE),"")</f>
        <v>4</v>
      </c>
      <c r="K24" s="54" t="s">
        <v>67</v>
      </c>
      <c r="L24" s="363">
        <f>IFERROR(INDEX('G-8 Condition Look up'!$A$3:$H$135,MATCH(G24,'G-8 Condition Look up'!$A$3:$A$135,0),MATCH(K24,'G-8 Condition Look up'!$A$3:$H$3,0)),"")</f>
        <v>2</v>
      </c>
      <c r="M24" s="54" t="s">
        <v>1034</v>
      </c>
      <c r="N24" s="382" t="str">
        <f>IF(M24="","",IF(VLOOKUP(M24,'G-3 Multipliers'!$L$3:$N$6,2,FALSE)=0,"Spatial Data Missing",VLOOKUP(M24,'G-3 Multipliers'!$L$3:$N$6,2,FALSE)))</f>
        <v>Low Strategic Significance</v>
      </c>
      <c r="O24" s="368">
        <f>IF(M24="","",IF(VLOOKUP(M24,'G-3 Multipliers'!$L$3:$N$6,3,FALSE)=0,"Spatial Data Missing ▲",VLOOKUP(M24,'G-3 Multipliers'!$L$3:$N$6,3,FALSE)))</f>
        <v>1</v>
      </c>
      <c r="P24" s="369" t="str">
        <f>IFERROR(VLOOKUP(G24,'G-1 All Habitats'!$B$2:$M$134,12,FALSE),"")</f>
        <v>Same broad habitat or a higher distinctiveness habitat required (≥)</v>
      </c>
      <c r="Q24" s="376">
        <f>IFERROR(IF(P24="","",IF(AND(P24='G-1 All Habitats'!$X$3,T24&gt;0),U24+V24,IF(AND(P24='G-1 All Habitats'!$X$3,S24&gt;0),U24+V24,IF(AND(P24='G-1 All Habitats'!$X$3,AC24&gt;0),"Any Loss Unacceptable ⚠",IF(AND(P24='G-1 All Habitats'!$X$3,W24&gt;0),"Any Loss Unacceptable ⚠",H24*J24*L24*O24))))),"Check Data ▲")</f>
        <v>2.72</v>
      </c>
      <c r="R24" s="38"/>
      <c r="S24" s="54">
        <f>0.261+0.079</f>
        <v>0.34</v>
      </c>
      <c r="T24" s="55"/>
      <c r="U24" s="374">
        <f t="shared" si="3"/>
        <v>2.72</v>
      </c>
      <c r="V24" s="374">
        <f t="shared" si="4"/>
        <v>0</v>
      </c>
      <c r="W24" s="374">
        <f>IF(E24="","",IF(H24&lt;S24+T24,"Error in Areas ▲",IF(P24&lt;&gt;'G-1 All Habitats'!$X$3,H24-S24-T24,IF(AND(P24='G-1 All Habitats'!$X$3,Y24="Yes"),"Unacceptable Loss ⚠",IF(AND(P24='G-1 All Habitats'!$X$3,Y24="No"),AC24,IF(AND(P24='G-1 All Habitats'!$X$3,Y24=""),AC24,IF(AND(P24='G-1 All Habitats'!$X$3,AC24="None",AC24),IF(AND(P24='G-1 All Habitats'!$X$3,AC24&gt;0),H24-S24-T24))))))))</f>
        <v>0</v>
      </c>
      <c r="X24" s="378">
        <f>IFERROR(IF(H24="","",IF(H24-S24-T24=0&lt;0,"Error in Areas ▲",IF(S24+T24&gt;H24,"Error in Areas ▲",IF(AND(P24='G-1 All Habitats'!$X$3,Y24="Yes"),"Alternative Compensation ✓",IF(W24=0,0,IF(P24='G-1 All Habitats'!$X$3,"Any Loss Unacceptable ▲",Q24-U24-V24)))))),"Check Data ▲")</f>
        <v>0</v>
      </c>
      <c r="Y24" s="55"/>
      <c r="Z24" s="62" t="s">
        <v>1709</v>
      </c>
      <c r="AA24" s="526"/>
      <c r="AB24" s="120"/>
      <c r="AC24" s="726" t="str">
        <f>IF(P24="","",IF(P24='G-1 All Habitats'!$X$3,H24-S24-T24,"None"))</f>
        <v>None</v>
      </c>
      <c r="AD24" s="727" t="str">
        <f>IF(P24="","", IF(P24='G-1 All Habitats'!$X$3, AC24*J24*L24*O24,"None"))</f>
        <v>None</v>
      </c>
      <c r="AF24" s="40" t="b">
        <f t="shared" si="0"/>
        <v>1</v>
      </c>
      <c r="AG24" s="40" t="b">
        <f t="shared" si="1"/>
        <v>0</v>
      </c>
      <c r="AH24" s="40" t="e">
        <f>IF(I24="","",IF(#REF!&gt;0,TRUE,FALSE))</f>
        <v>#REF!</v>
      </c>
      <c r="AI24" s="40">
        <v>14</v>
      </c>
      <c r="AJ24" s="40"/>
      <c r="AK24" s="40" t="str">
        <f t="array" ref="AK24">IFERROR(INDEX($AI$11:$AI$259, MATCH(0, IF(TRUE=$AF$11:$AF$259, COUNTIF($AK$10:$AK23, $AI$11:$AI$259), ""), 0)),"")</f>
        <v/>
      </c>
      <c r="AL24" s="40" t="str">
        <f t="array" ref="AL24">IFERROR(INDEX($AI$11:$AI$259, MATCH(0, IF(TRUE=$AG$11:$AG$259, COUNTIF($AL$10:$AL23, $AI$11:$AI$259), ""), 0)),"")</f>
        <v/>
      </c>
      <c r="AM24" s="40" t="str">
        <f t="array" ref="AM24">IFERROR(INDEX($AI$11:$AI$259, MATCH(0, IF(TRUE=$AH$11:$AH$259, COUNTIF($AM$10:$AM23, $AI$11:$AI$259), ""), 0)),"")</f>
        <v/>
      </c>
      <c r="AN24" s="40"/>
      <c r="AQ24" s="35">
        <f t="shared" si="2"/>
        <v>0</v>
      </c>
    </row>
    <row r="25" spans="1:43" ht="30">
      <c r="A25" s="35" t="str">
        <f>IFERROR(INDEX('G-1 All Habitats'!$AG$3:$AG$17,MATCH(E25,'G-1 All Habitats'!$AF$3:$AF$17,0)),"")</f>
        <v>Woodland_and_forest</v>
      </c>
      <c r="B25" s="35" t="str">
        <f>IFERROR(INDEX('G-8 Condition Look up'!$I$4:$I$135,MATCH(G25,'G-8 Condition Look up'!$A$4:$A$135,0)),"")</f>
        <v>Cond4</v>
      </c>
      <c r="D25" s="287">
        <v>15</v>
      </c>
      <c r="E25" s="267" t="s">
        <v>131</v>
      </c>
      <c r="F25" s="61" t="s">
        <v>800</v>
      </c>
      <c r="G25" s="52" t="str">
        <f>IFERROR(INDEX('G-1 All Habitats'!$B$3:$B$134,MATCH(F25,'G-1 All Habitats'!$A$3:$A$134,0)),"")</f>
        <v>Woodland and forest - Other woodland; broadleaved</v>
      </c>
      <c r="H25" s="53">
        <v>0.32500000000000001</v>
      </c>
      <c r="I25" s="362" t="str">
        <f>IF(G25="","",VLOOKUP(G25,'G-1 All Habitats'!$B$2:$M$134,10,FALSE))</f>
        <v>Medium</v>
      </c>
      <c r="J25" s="363">
        <f>IFERROR(VLOOKUP(I25,'G-1 All Habitats'!$V$3:$W$7,2,FALSE),"")</f>
        <v>4</v>
      </c>
      <c r="K25" s="54" t="s">
        <v>67</v>
      </c>
      <c r="L25" s="363">
        <f>IFERROR(INDEX('G-8 Condition Look up'!$A$3:$H$135,MATCH(G25,'G-8 Condition Look up'!$A$3:$A$135,0),MATCH(K25,'G-8 Condition Look up'!$A$3:$H$3,0)),"")</f>
        <v>2</v>
      </c>
      <c r="M25" s="54" t="s">
        <v>1034</v>
      </c>
      <c r="N25" s="382" t="str">
        <f>IF(M25="","",IF(VLOOKUP(M25,'G-3 Multipliers'!$L$3:$N$6,2,FALSE)=0,"Spatial Data Missing",VLOOKUP(M25,'G-3 Multipliers'!$L$3:$N$6,2,FALSE)))</f>
        <v>Low Strategic Significance</v>
      </c>
      <c r="O25" s="368">
        <f>IF(M25="","",IF(VLOOKUP(M25,'G-3 Multipliers'!$L$3:$N$6,3,FALSE)=0,"Spatial Data Missing ▲",VLOOKUP(M25,'G-3 Multipliers'!$L$3:$N$6,3,FALSE)))</f>
        <v>1</v>
      </c>
      <c r="P25" s="369" t="str">
        <f>IFERROR(VLOOKUP(G25,'G-1 All Habitats'!$B$2:$M$134,12,FALSE),"")</f>
        <v>Same broad habitat or a higher distinctiveness habitat required (≥)</v>
      </c>
      <c r="Q25" s="376">
        <f>IFERROR(IF(P25="","",IF(AND(P25='G-1 All Habitats'!$X$3,T25&gt;0),U25+V25,IF(AND(P25='G-1 All Habitats'!$X$3,S25&gt;0),U25+V25,IF(AND(P25='G-1 All Habitats'!$X$3,AC25&gt;0),"Any Loss Unacceptable ⚠",IF(AND(P25='G-1 All Habitats'!$X$3,W25&gt;0),"Any Loss Unacceptable ⚠",H25*J25*L25*O25))))),"Check Data ▲")</f>
        <v>2.6</v>
      </c>
      <c r="R25" s="38"/>
      <c r="S25" s="54">
        <v>0.32500000000000001</v>
      </c>
      <c r="T25" s="55"/>
      <c r="U25" s="374">
        <f t="shared" si="3"/>
        <v>2.6</v>
      </c>
      <c r="V25" s="374">
        <f t="shared" si="4"/>
        <v>0</v>
      </c>
      <c r="W25" s="374">
        <f>IF(E25="","",IF(H25&lt;S25+T25,"Error in Areas ▲",IF(P25&lt;&gt;'G-1 All Habitats'!$X$3,H25-S25-T25,IF(AND(P25='G-1 All Habitats'!$X$3,Y25="Yes"),"Unacceptable Loss ⚠",IF(AND(P25='G-1 All Habitats'!$X$3,Y25="No"),AC25,IF(AND(P25='G-1 All Habitats'!$X$3,Y25=""),AC25,IF(AND(P25='G-1 All Habitats'!$X$3,AC25="None",AC25),IF(AND(P25='G-1 All Habitats'!$X$3,AC25&gt;0),H25-S25-T25))))))))</f>
        <v>0</v>
      </c>
      <c r="X25" s="378">
        <f>IFERROR(IF(H25="","",IF(H25-S25-T25=0&lt;0,"Error in Areas ▲",IF(S25+T25&gt;H25,"Error in Areas ▲",IF(AND(P25='G-1 All Habitats'!$X$3,Y25="Yes"),"Alternative Compensation ✓",IF(W25=0,0,IF(P25='G-1 All Habitats'!$X$3,"Any Loss Unacceptable ▲",Q25-U25-V25)))))),"Check Data ▲")</f>
        <v>0</v>
      </c>
      <c r="Y25" s="55"/>
      <c r="Z25" s="62" t="s">
        <v>1710</v>
      </c>
      <c r="AA25" s="526"/>
      <c r="AB25" s="120"/>
      <c r="AC25" s="726" t="str">
        <f>IF(P25="","",IF(P25='G-1 All Habitats'!$X$3,H25-S25-T25,"None"))</f>
        <v>None</v>
      </c>
      <c r="AD25" s="727" t="str">
        <f>IF(P25="","", IF(P25='G-1 All Habitats'!$X$3, AC25*J25*L25*O25,"None"))</f>
        <v>None</v>
      </c>
      <c r="AF25" s="40" t="b">
        <f t="shared" si="0"/>
        <v>1</v>
      </c>
      <c r="AG25" s="40" t="b">
        <f t="shared" si="1"/>
        <v>0</v>
      </c>
      <c r="AH25" s="40" t="e">
        <f>IF(I25="","",IF(#REF!&gt;0,TRUE,FALSE))</f>
        <v>#REF!</v>
      </c>
      <c r="AI25" s="40">
        <v>15</v>
      </c>
      <c r="AJ25" s="40"/>
      <c r="AK25" s="40" t="str">
        <f t="array" ref="AK25">IFERROR(INDEX($AI$11:$AI$259, MATCH(0, IF(TRUE=$AF$11:$AF$259, COUNTIF($AK$10:$AK24, $AI$11:$AI$259), ""), 0)),"")</f>
        <v/>
      </c>
      <c r="AL25" s="40" t="str">
        <f t="array" ref="AL25">IFERROR(INDEX($AI$11:$AI$259, MATCH(0, IF(TRUE=$AG$11:$AG$259, COUNTIF($AL$10:$AL24, $AI$11:$AI$259), ""), 0)),"")</f>
        <v/>
      </c>
      <c r="AM25" s="40" t="str">
        <f t="array" ref="AM25">IFERROR(INDEX($AI$11:$AI$259, MATCH(0, IF(TRUE=$AH$11:$AH$259, COUNTIF($AM$10:$AM24, $AI$11:$AI$259), ""), 0)),"")</f>
        <v/>
      </c>
      <c r="AN25" s="40"/>
      <c r="AQ25" s="35">
        <f t="shared" si="2"/>
        <v>0</v>
      </c>
    </row>
    <row r="26" spans="1:43">
      <c r="A26" s="35" t="str">
        <f>IFERROR(INDEX('G-1 All Habitats'!$AG$3:$AG$17,MATCH(E26,'G-1 All Habitats'!$AF$3:$AF$17,0)),"")</f>
        <v/>
      </c>
      <c r="B26" s="35" t="str">
        <f>IFERROR(INDEX('G-8 Condition Look up'!$I$4:$I$135,MATCH(G26,'G-8 Condition Look up'!$A$4:$A$135,0)),"")</f>
        <v/>
      </c>
      <c r="D26" s="287">
        <v>16</v>
      </c>
      <c r="E26" s="267"/>
      <c r="F26" s="61"/>
      <c r="G26" s="52" t="str">
        <f>IFERROR(INDEX('G-1 All Habitats'!$B$3:$B$134,MATCH(F26,'G-1 All Habitats'!$A$3:$A$134,0)),"")</f>
        <v/>
      </c>
      <c r="H26" s="53"/>
      <c r="I26" s="362" t="str">
        <f>IF(G26="","",VLOOKUP(G26,'G-1 All Habitats'!$B$2:$M$134,10,FALSE))</f>
        <v/>
      </c>
      <c r="J26" s="363" t="str">
        <f>IFERROR(VLOOKUP(I26,'G-1 All Habitats'!$V$3:$W$7,2,FALSE),"")</f>
        <v/>
      </c>
      <c r="K26" s="54"/>
      <c r="L26" s="363" t="str">
        <f>IFERROR(INDEX('G-8 Condition Look up'!$A$3:$H$135,MATCH(G26,'G-8 Condition Look up'!$A$3:$A$135,0),MATCH(K26,'G-8 Condition Look up'!$A$3:$H$3,0)),"")</f>
        <v/>
      </c>
      <c r="M26" s="54"/>
      <c r="N26" s="382" t="str">
        <f>IF(M26="","",IF(VLOOKUP(M26,'G-3 Multipliers'!$L$3:$N$6,2,FALSE)=0,"Spatial Data Missing",VLOOKUP(M26,'G-3 Multipliers'!$L$3:$N$6,2,FALSE)))</f>
        <v/>
      </c>
      <c r="O26" s="368" t="str">
        <f>IF(M26="","",IF(VLOOKUP(M26,'G-3 Multipliers'!$L$3:$N$6,3,FALSE)=0,"Spatial Data Missing ▲",VLOOKUP(M26,'G-3 Multipliers'!$L$3:$N$6,3,FALSE)))</f>
        <v/>
      </c>
      <c r="P26" s="369" t="str">
        <f>IFERROR(VLOOKUP(G26,'G-1 All Habitats'!$B$2:$M$134,12,FALSE),"")</f>
        <v/>
      </c>
      <c r="Q26" s="376" t="str">
        <f>IFERROR(IF(P26="","",IF(AND(P26='G-1 All Habitats'!$X$3,T26&gt;0),U26+V26,IF(AND(P26='G-1 All Habitats'!$X$3,S26&gt;0),U26+V26,IF(AND(P26='G-1 All Habitats'!$X$3,AC26&gt;0),"Any Loss Unacceptable ⚠",IF(AND(P26='G-1 All Habitats'!$X$3,W26&gt;0),"Any Loss Unacceptable ⚠",H26*J26*L26*O26))))),"Check Data ▲")</f>
        <v/>
      </c>
      <c r="R26" s="38"/>
      <c r="S26" s="54"/>
      <c r="T26" s="55"/>
      <c r="U26" s="374" t="str">
        <f t="shared" si="3"/>
        <v/>
      </c>
      <c r="V26" s="374" t="str">
        <f t="shared" si="4"/>
        <v/>
      </c>
      <c r="W26" s="374" t="str">
        <f>IF(E26="","",IF(H26&lt;S26+T26,"Error in Areas ▲",IF(P26&lt;&gt;'G-1 All Habitats'!$X$3,H26-S26-T26,IF(AND(P26='G-1 All Habitats'!$X$3,Y26="Yes"),"Unacceptable Loss ⚠",IF(AND(P26='G-1 All Habitats'!$X$3,Y26="No"),AC26,IF(AND(P26='G-1 All Habitats'!$X$3,Y26=""),AC26,IF(AND(P26='G-1 All Habitats'!$X$3,AC26="None",AC26),IF(AND(P26='G-1 All Habitats'!$X$3,AC26&gt;0),H26-S26-T26))))))))</f>
        <v/>
      </c>
      <c r="X26" s="378" t="str">
        <f>IFERROR(IF(H26="","",IF(H26-S26-T26=0&lt;0,"Error in Areas ▲",IF(S26+T26&gt;H26,"Error in Areas ▲",IF(AND(P26='G-1 All Habitats'!$X$3,Y26="Yes"),"Alternative Compensation ✓",IF(W26=0,0,IF(P26='G-1 All Habitats'!$X$3,"Any Loss Unacceptable ▲",Q26-U26-V26)))))),"Check Data ▲")</f>
        <v/>
      </c>
      <c r="Y26" s="55"/>
      <c r="Z26" s="62"/>
      <c r="AA26" s="526"/>
      <c r="AB26" s="120"/>
      <c r="AC26" s="726" t="str">
        <f>IF(P26="","",IF(P26='G-1 All Habitats'!$X$3,H26-S26-T26,"None"))</f>
        <v/>
      </c>
      <c r="AD26" s="727" t="str">
        <f>IF(P26="","", IF(P26='G-1 All Habitats'!$X$3, AC26*J26*L26*O26,"None"))</f>
        <v/>
      </c>
      <c r="AF26" s="40" t="str">
        <f t="shared" si="0"/>
        <v/>
      </c>
      <c r="AG26" s="40" t="str">
        <f t="shared" si="1"/>
        <v/>
      </c>
      <c r="AH26" s="40" t="str">
        <f>IF(I26="","",IF(#REF!&gt;0,TRUE,FALSE))</f>
        <v/>
      </c>
      <c r="AI26" s="40">
        <v>16</v>
      </c>
      <c r="AJ26" s="40"/>
      <c r="AK26" s="40" t="str">
        <f t="array" ref="AK26">IFERROR(INDEX($AI$11:$AI$259, MATCH(0, IF(TRUE=$AF$11:$AF$259, COUNTIF($AK$10:$AK25, $AI$11:$AI$259), ""), 0)),"")</f>
        <v/>
      </c>
      <c r="AL26" s="40" t="str">
        <f t="array" ref="AL26">IFERROR(INDEX($AI$11:$AI$259, MATCH(0, IF(TRUE=$AG$11:$AG$259, COUNTIF($AL$10:$AL25, $AI$11:$AI$259), ""), 0)),"")</f>
        <v/>
      </c>
      <c r="AM26" s="40" t="str">
        <f t="array" ref="AM26">IFERROR(INDEX($AI$11:$AI$259, MATCH(0, IF(TRUE=$AH$11:$AH$259, COUNTIF($AM$10:$AM25, $AI$11:$AI$259), ""), 0)),"")</f>
        <v/>
      </c>
      <c r="AN26" s="40"/>
      <c r="AQ26" s="35">
        <f t="shared" si="2"/>
        <v>0</v>
      </c>
    </row>
    <row r="27" spans="1:43">
      <c r="A27" s="35" t="str">
        <f>IFERROR(INDEX('G-1 All Habitats'!$AG$3:$AG$17,MATCH(E27,'G-1 All Habitats'!$AF$3:$AF$17,0)),"")</f>
        <v/>
      </c>
      <c r="B27" s="35" t="str">
        <f>IFERROR(INDEX('G-8 Condition Look up'!$I$4:$I$135,MATCH(G27,'G-8 Condition Look up'!$A$4:$A$135,0)),"")</f>
        <v/>
      </c>
      <c r="D27" s="287">
        <v>17</v>
      </c>
      <c r="E27" s="267"/>
      <c r="F27" s="61"/>
      <c r="G27" s="52" t="str">
        <f>IFERROR(INDEX('G-1 All Habitats'!$B$3:$B$134,MATCH(F27,'G-1 All Habitats'!$A$3:$A$134,0)),"")</f>
        <v/>
      </c>
      <c r="H27" s="53"/>
      <c r="I27" s="362" t="str">
        <f>IF(G27="","",VLOOKUP(G27,'G-1 All Habitats'!$B$2:$M$134,10,FALSE))</f>
        <v/>
      </c>
      <c r="J27" s="363" t="str">
        <f>IFERROR(VLOOKUP(I27,'G-1 All Habitats'!$V$3:$W$7,2,FALSE),"")</f>
        <v/>
      </c>
      <c r="K27" s="54"/>
      <c r="L27" s="363" t="str">
        <f>IFERROR(INDEX('G-8 Condition Look up'!$A$3:$H$135,MATCH(G27,'G-8 Condition Look up'!$A$3:$A$135,0),MATCH(K27,'G-8 Condition Look up'!$A$3:$H$3,0)),"")</f>
        <v/>
      </c>
      <c r="M27" s="54"/>
      <c r="N27" s="382" t="str">
        <f>IF(M27="","",IF(VLOOKUP(M27,'G-3 Multipliers'!$L$3:$N$6,2,FALSE)=0,"Spatial Data Missing",VLOOKUP(M27,'G-3 Multipliers'!$L$3:$N$6,2,FALSE)))</f>
        <v/>
      </c>
      <c r="O27" s="368" t="str">
        <f>IF(M27="","",IF(VLOOKUP(M27,'G-3 Multipliers'!$L$3:$N$6,3,FALSE)=0,"Spatial Data Missing ▲",VLOOKUP(M27,'G-3 Multipliers'!$L$3:$N$6,3,FALSE)))</f>
        <v/>
      </c>
      <c r="P27" s="369" t="str">
        <f>IFERROR(VLOOKUP(G27,'G-1 All Habitats'!$B$2:$M$134,12,FALSE),"")</f>
        <v/>
      </c>
      <c r="Q27" s="376" t="str">
        <f>IFERROR(IF(P27="","",IF(AND(P27='G-1 All Habitats'!$X$3,T27&gt;0),U27+V27,IF(AND(P27='G-1 All Habitats'!$X$3,S27&gt;0),U27+V27,IF(AND(P27='G-1 All Habitats'!$X$3,AC27&gt;0),"Any Loss Unacceptable ⚠",IF(AND(P27='G-1 All Habitats'!$X$3,W27&gt;0),"Any Loss Unacceptable ⚠",H27*J27*L27*O27))))),"Check Data ▲")</f>
        <v/>
      </c>
      <c r="R27" s="38"/>
      <c r="S27" s="54"/>
      <c r="T27" s="55"/>
      <c r="U27" s="374" t="str">
        <f t="shared" si="3"/>
        <v/>
      </c>
      <c r="V27" s="374" t="str">
        <f t="shared" si="4"/>
        <v/>
      </c>
      <c r="W27" s="374" t="str">
        <f>IF(E27="","",IF(H27&lt;S27+T27,"Error in Areas ▲",IF(P27&lt;&gt;'G-1 All Habitats'!$X$3,H27-S27-T27,IF(AND(P27='G-1 All Habitats'!$X$3,Y27="Yes"),"Unacceptable Loss ⚠",IF(AND(P27='G-1 All Habitats'!$X$3,Y27="No"),AC27,IF(AND(P27='G-1 All Habitats'!$X$3,Y27=""),AC27,IF(AND(P27='G-1 All Habitats'!$X$3,AC27="None",AC27),IF(AND(P27='G-1 All Habitats'!$X$3,AC27&gt;0),H27-S27-T27))))))))</f>
        <v/>
      </c>
      <c r="X27" s="378" t="str">
        <f>IFERROR(IF(H27="","",IF(H27-S27-T27=0&lt;0,"Error in Areas ▲",IF(S27+T27&gt;H27,"Error in Areas ▲",IF(AND(P27='G-1 All Habitats'!$X$3,Y27="Yes"),"Alternative Compensation ✓",IF(W27=0,0,IF(P27='G-1 All Habitats'!$X$3,"Any Loss Unacceptable ▲",Q27-U27-V27)))))),"Check Data ▲")</f>
        <v/>
      </c>
      <c r="Y27" s="55"/>
      <c r="Z27" s="62"/>
      <c r="AA27" s="526"/>
      <c r="AB27" s="120"/>
      <c r="AC27" s="726" t="str">
        <f>IF(P27="","",IF(P27='G-1 All Habitats'!$X$3,H27-S27-T27,"None"))</f>
        <v/>
      </c>
      <c r="AD27" s="727" t="str">
        <f>IF(P27="","", IF(P27='G-1 All Habitats'!$X$3, AC27*J27*L27*O27,"None"))</f>
        <v/>
      </c>
      <c r="AF27" s="40" t="str">
        <f t="shared" si="0"/>
        <v/>
      </c>
      <c r="AG27" s="40" t="str">
        <f t="shared" si="1"/>
        <v/>
      </c>
      <c r="AH27" s="40" t="str">
        <f>IF(I27="","",IF(#REF!&gt;0,TRUE,FALSE))</f>
        <v/>
      </c>
      <c r="AI27" s="40">
        <v>17</v>
      </c>
      <c r="AJ27" s="40"/>
      <c r="AK27" s="40" t="str">
        <f t="array" ref="AK27">IFERROR(INDEX($AI$11:$AI$259, MATCH(0, IF(TRUE=$AF$11:$AF$259, COUNTIF($AK$10:$AK26, $AI$11:$AI$259), ""), 0)),"")</f>
        <v/>
      </c>
      <c r="AL27" s="40" t="str">
        <f t="array" ref="AL27">IFERROR(INDEX($AI$11:$AI$259, MATCH(0, IF(TRUE=$AG$11:$AG$259, COUNTIF($AL$10:$AL26, $AI$11:$AI$259), ""), 0)),"")</f>
        <v/>
      </c>
      <c r="AM27" s="40" t="str">
        <f t="array" ref="AM27">IFERROR(INDEX($AI$11:$AI$259, MATCH(0, IF(TRUE=$AH$11:$AH$259, COUNTIF($AM$10:$AM26, $AI$11:$AI$259), ""), 0)),"")</f>
        <v/>
      </c>
      <c r="AN27" s="40"/>
      <c r="AQ27" s="35">
        <f t="shared" si="2"/>
        <v>0</v>
      </c>
    </row>
    <row r="28" spans="1:43">
      <c r="A28" s="35" t="str">
        <f>IFERROR(INDEX('G-1 All Habitats'!$AG$3:$AG$17,MATCH(E28,'G-1 All Habitats'!$AF$3:$AF$17,0)),"")</f>
        <v/>
      </c>
      <c r="B28" s="35" t="str">
        <f>IFERROR(INDEX('G-8 Condition Look up'!$I$4:$I$135,MATCH(G28,'G-8 Condition Look up'!$A$4:$A$135,0)),"")</f>
        <v/>
      </c>
      <c r="D28" s="287">
        <v>18</v>
      </c>
      <c r="E28" s="267"/>
      <c r="F28" s="61"/>
      <c r="G28" s="52" t="str">
        <f>IFERROR(INDEX('G-1 All Habitats'!$B$3:$B$134,MATCH(F28,'G-1 All Habitats'!$A$3:$A$134,0)),"")</f>
        <v/>
      </c>
      <c r="H28" s="53"/>
      <c r="I28" s="362" t="str">
        <f>IF(G28="","",VLOOKUP(G28,'G-1 All Habitats'!$B$2:$M$134,10,FALSE))</f>
        <v/>
      </c>
      <c r="J28" s="363" t="str">
        <f>IFERROR(VLOOKUP(I28,'G-1 All Habitats'!$V$3:$W$7,2,FALSE),"")</f>
        <v/>
      </c>
      <c r="K28" s="54"/>
      <c r="L28" s="363" t="str">
        <f>IFERROR(INDEX('G-8 Condition Look up'!$A$3:$H$135,MATCH(G28,'G-8 Condition Look up'!$A$3:$A$135,0),MATCH(K28,'G-8 Condition Look up'!$A$3:$H$3,0)),"")</f>
        <v/>
      </c>
      <c r="M28" s="54"/>
      <c r="N28" s="382" t="str">
        <f>IF(M28="","",IF(VLOOKUP(M28,'G-3 Multipliers'!$L$3:$N$6,2,FALSE)=0,"Spatial Data Missing",VLOOKUP(M28,'G-3 Multipliers'!$L$3:$N$6,2,FALSE)))</f>
        <v/>
      </c>
      <c r="O28" s="368" t="str">
        <f>IF(M28="","",IF(VLOOKUP(M28,'G-3 Multipliers'!$L$3:$N$6,3,FALSE)=0,"Spatial Data Missing ▲",VLOOKUP(M28,'G-3 Multipliers'!$L$3:$N$6,3,FALSE)))</f>
        <v/>
      </c>
      <c r="P28" s="369" t="str">
        <f>IFERROR(VLOOKUP(G28,'G-1 All Habitats'!$B$2:$M$134,12,FALSE),"")</f>
        <v/>
      </c>
      <c r="Q28" s="376" t="str">
        <f>IFERROR(IF(P28="","",IF(AND(P28='G-1 All Habitats'!$X$3,T28&gt;0),U28+V28,IF(AND(P28='G-1 All Habitats'!$X$3,S28&gt;0),U28+V28,IF(AND(P28='G-1 All Habitats'!$X$3,AC28&gt;0),"Any Loss Unacceptable ⚠",IF(AND(P28='G-1 All Habitats'!$X$3,W28&gt;0),"Any Loss Unacceptable ⚠",H28*J28*L28*O28))))),"Check Data ▲")</f>
        <v/>
      </c>
      <c r="R28" s="38"/>
      <c r="S28" s="54"/>
      <c r="T28" s="55"/>
      <c r="U28" s="374" t="str">
        <f t="shared" si="3"/>
        <v/>
      </c>
      <c r="V28" s="374" t="str">
        <f t="shared" si="4"/>
        <v/>
      </c>
      <c r="W28" s="374" t="str">
        <f>IF(E28="","",IF(H28&lt;S28+T28,"Error in Areas ▲",IF(P28&lt;&gt;'G-1 All Habitats'!$X$3,H28-S28-T28,IF(AND(P28='G-1 All Habitats'!$X$3,Y28="Yes"),"Unacceptable Loss ⚠",IF(AND(P28='G-1 All Habitats'!$X$3,Y28="No"),AC28,IF(AND(P28='G-1 All Habitats'!$X$3,Y28=""),AC28,IF(AND(P28='G-1 All Habitats'!$X$3,AC28="None",AC28),IF(AND(P28='G-1 All Habitats'!$X$3,AC28&gt;0),H28-S28-T28))))))))</f>
        <v/>
      </c>
      <c r="X28" s="378" t="str">
        <f>IFERROR(IF(H28="","",IF(H28-S28-T28=0&lt;0,"Error in Areas ▲",IF(S28+T28&gt;H28,"Error in Areas ▲",IF(AND(P28='G-1 All Habitats'!$X$3,Y28="Yes"),"Alternative Compensation ✓",IF(W28=0,0,IF(P28='G-1 All Habitats'!$X$3,"Any Loss Unacceptable ▲",Q28-U28-V28)))))),"Check Data ▲")</f>
        <v/>
      </c>
      <c r="Y28" s="55"/>
      <c r="Z28" s="62"/>
      <c r="AA28" s="526"/>
      <c r="AB28" s="120"/>
      <c r="AC28" s="726" t="str">
        <f>IF(P28="","",IF(P28='G-1 All Habitats'!$X$3,H28-S28-T28,"None"))</f>
        <v/>
      </c>
      <c r="AD28" s="727" t="str">
        <f>IF(P28="","", IF(P28='G-1 All Habitats'!$X$3, AC28*J28*L28*O28,"None"))</f>
        <v/>
      </c>
      <c r="AF28" s="40" t="str">
        <f t="shared" si="0"/>
        <v/>
      </c>
      <c r="AG28" s="40" t="str">
        <f t="shared" si="1"/>
        <v/>
      </c>
      <c r="AH28" s="40" t="str">
        <f>IF(I28="","",IF(#REF!&gt;0,TRUE,FALSE))</f>
        <v/>
      </c>
      <c r="AI28" s="40">
        <v>18</v>
      </c>
      <c r="AJ28" s="40"/>
      <c r="AK28" s="40" t="str">
        <f t="array" ref="AK28">IFERROR(INDEX($AI$11:$AI$259, MATCH(0, IF(TRUE=$AF$11:$AF$259, COUNTIF($AK$10:$AK27, $AI$11:$AI$259), ""), 0)),"")</f>
        <v/>
      </c>
      <c r="AL28" s="40" t="str">
        <f t="array" ref="AL28">IFERROR(INDEX($AI$11:$AI$259, MATCH(0, IF(TRUE=$AG$11:$AG$259, COUNTIF($AL$10:$AL27, $AI$11:$AI$259), ""), 0)),"")</f>
        <v/>
      </c>
      <c r="AM28" s="40" t="str">
        <f t="array" ref="AM28">IFERROR(INDEX($AI$11:$AI$259, MATCH(0, IF(TRUE=$AH$11:$AH$259, COUNTIF($AM$10:$AM27, $AI$11:$AI$259), ""), 0)),"")</f>
        <v/>
      </c>
      <c r="AN28" s="40"/>
      <c r="AQ28" s="35">
        <f t="shared" si="2"/>
        <v>0</v>
      </c>
    </row>
    <row r="29" spans="1:43">
      <c r="A29" s="35" t="str">
        <f>IFERROR(INDEX('G-1 All Habitats'!$AG$3:$AG$17,MATCH(E29,'G-1 All Habitats'!$AF$3:$AF$17,0)),"")</f>
        <v/>
      </c>
      <c r="B29" s="35" t="str">
        <f>IFERROR(INDEX('G-8 Condition Look up'!$I$4:$I$135,MATCH(G29,'G-8 Condition Look up'!$A$4:$A$135,0)),"")</f>
        <v/>
      </c>
      <c r="D29" s="287">
        <v>19</v>
      </c>
      <c r="E29" s="267"/>
      <c r="F29" s="61"/>
      <c r="G29" s="52" t="str">
        <f>IFERROR(INDEX('G-1 All Habitats'!$B$3:$B$134,MATCH(F29,'G-1 All Habitats'!$A$3:$A$134,0)),"")</f>
        <v/>
      </c>
      <c r="H29" s="53"/>
      <c r="I29" s="362" t="str">
        <f>IF(G29="","",VLOOKUP(G29,'G-1 All Habitats'!$B$2:$M$134,10,FALSE))</f>
        <v/>
      </c>
      <c r="J29" s="363" t="str">
        <f>IFERROR(VLOOKUP(I29,'G-1 All Habitats'!$V$3:$W$7,2,FALSE),"")</f>
        <v/>
      </c>
      <c r="K29" s="54"/>
      <c r="L29" s="363" t="str">
        <f>IFERROR(INDEX('G-8 Condition Look up'!$A$3:$H$135,MATCH(G29,'G-8 Condition Look up'!$A$3:$A$135,0),MATCH(K29,'G-8 Condition Look up'!$A$3:$H$3,0)),"")</f>
        <v/>
      </c>
      <c r="M29" s="54"/>
      <c r="N29" s="382" t="str">
        <f>IF(M29="","",IF(VLOOKUP(M29,'G-3 Multipliers'!$L$3:$N$6,2,FALSE)=0,"Spatial Data Missing",VLOOKUP(M29,'G-3 Multipliers'!$L$3:$N$6,2,FALSE)))</f>
        <v/>
      </c>
      <c r="O29" s="368" t="str">
        <f>IF(M29="","",IF(VLOOKUP(M29,'G-3 Multipliers'!$L$3:$N$6,3,FALSE)=0,"Spatial Data Missing ▲",VLOOKUP(M29,'G-3 Multipliers'!$L$3:$N$6,3,FALSE)))</f>
        <v/>
      </c>
      <c r="P29" s="369" t="str">
        <f>IFERROR(VLOOKUP(G29,'G-1 All Habitats'!$B$2:$M$134,12,FALSE),"")</f>
        <v/>
      </c>
      <c r="Q29" s="376" t="str">
        <f>IFERROR(IF(P29="","",IF(AND(P29='G-1 All Habitats'!$X$3,T29&gt;0),U29+V29,IF(AND(P29='G-1 All Habitats'!$X$3,S29&gt;0),U29+V29,IF(AND(P29='G-1 All Habitats'!$X$3,AC29&gt;0),"Any Loss Unacceptable ⚠",IF(AND(P29='G-1 All Habitats'!$X$3,W29&gt;0),"Any Loss Unacceptable ⚠",H29*J29*L29*O29))))),"Check Data ▲")</f>
        <v/>
      </c>
      <c r="R29" s="38"/>
      <c r="S29" s="54"/>
      <c r="T29" s="55"/>
      <c r="U29" s="374" t="str">
        <f t="shared" si="3"/>
        <v/>
      </c>
      <c r="V29" s="374" t="str">
        <f t="shared" si="4"/>
        <v/>
      </c>
      <c r="W29" s="374" t="str">
        <f>IF(E29="","",IF(H29&lt;S29+T29,"Error in Areas ▲",IF(P29&lt;&gt;'G-1 All Habitats'!$X$3,H29-S29-T29,IF(AND(P29='G-1 All Habitats'!$X$3,Y29="Yes"),"Unacceptable Loss ⚠",IF(AND(P29='G-1 All Habitats'!$X$3,Y29="No"),AC29,IF(AND(P29='G-1 All Habitats'!$X$3,Y29=""),AC29,IF(AND(P29='G-1 All Habitats'!$X$3,AC29="None",AC29),IF(AND(P29='G-1 All Habitats'!$X$3,AC29&gt;0),H29-S29-T29))))))))</f>
        <v/>
      </c>
      <c r="X29" s="378" t="str">
        <f>IFERROR(IF(H29="","",IF(H29-S29-T29=0&lt;0,"Error in Areas ▲",IF(S29+T29&gt;H29,"Error in Areas ▲",IF(AND(P29='G-1 All Habitats'!$X$3,Y29="Yes"),"Alternative Compensation ✓",IF(W29=0,0,IF(P29='G-1 All Habitats'!$X$3,"Any Loss Unacceptable ▲",Q29-U29-V29)))))),"Check Data ▲")</f>
        <v/>
      </c>
      <c r="Y29" s="55"/>
      <c r="Z29" s="62"/>
      <c r="AA29" s="526"/>
      <c r="AB29" s="120"/>
      <c r="AC29" s="726" t="str">
        <f>IF(P29="","",IF(P29='G-1 All Habitats'!$X$3,H29-S29-T29,"None"))</f>
        <v/>
      </c>
      <c r="AD29" s="727" t="str">
        <f>IF(P29="","", IF(P29='G-1 All Habitats'!$X$3, AC29*J29*L29*O29,"None"))</f>
        <v/>
      </c>
      <c r="AF29" s="40" t="str">
        <f t="shared" si="0"/>
        <v/>
      </c>
      <c r="AG29" s="40" t="str">
        <f t="shared" si="1"/>
        <v/>
      </c>
      <c r="AH29" s="40" t="str">
        <f>IF(I29="","",IF(#REF!&gt;0,TRUE,FALSE))</f>
        <v/>
      </c>
      <c r="AI29" s="40">
        <v>19</v>
      </c>
      <c r="AJ29" s="40"/>
      <c r="AK29" s="40" t="str">
        <f t="array" ref="AK29">IFERROR(INDEX($AI$11:$AI$259, MATCH(0, IF(TRUE=$AF$11:$AF$259, COUNTIF($AK$10:$AK28, $AI$11:$AI$259), ""), 0)),"")</f>
        <v/>
      </c>
      <c r="AL29" s="40" t="str">
        <f t="array" ref="AL29">IFERROR(INDEX($AI$11:$AI$259, MATCH(0, IF(TRUE=$AG$11:$AG$259, COUNTIF($AL$10:$AL28, $AI$11:$AI$259), ""), 0)),"")</f>
        <v/>
      </c>
      <c r="AM29" s="40" t="str">
        <f t="array" ref="AM29">IFERROR(INDEX($AI$11:$AI$259, MATCH(0, IF(TRUE=$AH$11:$AH$259, COUNTIF($AM$10:$AM28, $AI$11:$AI$259), ""), 0)),"")</f>
        <v/>
      </c>
      <c r="AN29" s="40"/>
      <c r="AQ29" s="35">
        <f t="shared" si="2"/>
        <v>0</v>
      </c>
    </row>
    <row r="30" spans="1:43">
      <c r="A30" s="35" t="str">
        <f>IFERROR(INDEX('G-1 All Habitats'!$AG$3:$AG$17,MATCH(E30,'G-1 All Habitats'!$AF$3:$AF$17,0)),"")</f>
        <v/>
      </c>
      <c r="B30" s="35" t="str">
        <f>IFERROR(INDEX('G-8 Condition Look up'!$I$4:$I$135,MATCH(G30,'G-8 Condition Look up'!$A$4:$A$135,0)),"")</f>
        <v/>
      </c>
      <c r="D30" s="287">
        <v>20</v>
      </c>
      <c r="E30" s="267"/>
      <c r="F30" s="61"/>
      <c r="G30" s="52" t="str">
        <f>IFERROR(INDEX('G-1 All Habitats'!$B$3:$B$134,MATCH(F30,'G-1 All Habitats'!$A$3:$A$134,0)),"")</f>
        <v/>
      </c>
      <c r="H30" s="53"/>
      <c r="I30" s="362" t="str">
        <f>IF(G30="","",VLOOKUP(G30,'G-1 All Habitats'!$B$2:$M$134,10,FALSE))</f>
        <v/>
      </c>
      <c r="J30" s="363" t="str">
        <f>IFERROR(VLOOKUP(I30,'G-1 All Habitats'!$V$3:$W$7,2,FALSE),"")</f>
        <v/>
      </c>
      <c r="K30" s="54"/>
      <c r="L30" s="363" t="str">
        <f>IFERROR(INDEX('G-8 Condition Look up'!$A$3:$H$135,MATCH(G30,'G-8 Condition Look up'!$A$3:$A$135,0),MATCH(K30,'G-8 Condition Look up'!$A$3:$H$3,0)),"")</f>
        <v/>
      </c>
      <c r="M30" s="54"/>
      <c r="N30" s="382" t="str">
        <f>IF(M30="","",IF(VLOOKUP(M30,'G-3 Multipliers'!$L$3:$N$6,2,FALSE)=0,"Spatial Data Missing",VLOOKUP(M30,'G-3 Multipliers'!$L$3:$N$6,2,FALSE)))</f>
        <v/>
      </c>
      <c r="O30" s="368" t="str">
        <f>IF(M30="","",IF(VLOOKUP(M30,'G-3 Multipliers'!$L$3:$N$6,3,FALSE)=0,"Spatial Data Missing ▲",VLOOKUP(M30,'G-3 Multipliers'!$L$3:$N$6,3,FALSE)))</f>
        <v/>
      </c>
      <c r="P30" s="369" t="str">
        <f>IFERROR(VLOOKUP(G30,'G-1 All Habitats'!$B$2:$M$134,12,FALSE),"")</f>
        <v/>
      </c>
      <c r="Q30" s="376" t="str">
        <f>IFERROR(IF(P30="","",IF(AND(P30='G-1 All Habitats'!$X$3,T30&gt;0),U30+V30,IF(AND(P30='G-1 All Habitats'!$X$3,S30&gt;0),U30+V30,IF(AND(P30='G-1 All Habitats'!$X$3,AC30&gt;0),"Any Loss Unacceptable ⚠",IF(AND(P30='G-1 All Habitats'!$X$3,W30&gt;0),"Any Loss Unacceptable ⚠",H30*J30*L30*O30))))),"Check Data ▲")</f>
        <v/>
      </c>
      <c r="R30" s="38"/>
      <c r="S30" s="54"/>
      <c r="T30" s="55"/>
      <c r="U30" s="374" t="str">
        <f t="shared" si="3"/>
        <v/>
      </c>
      <c r="V30" s="374" t="str">
        <f t="shared" si="4"/>
        <v/>
      </c>
      <c r="W30" s="374" t="str">
        <f>IF(E30="","",IF(H30&lt;S30+T30,"Error in Areas ▲",IF(P30&lt;&gt;'G-1 All Habitats'!$X$3,H30-S30-T30,IF(AND(P30='G-1 All Habitats'!$X$3,Y30="Yes"),"Unacceptable Loss ⚠",IF(AND(P30='G-1 All Habitats'!$X$3,Y30="No"),AC30,IF(AND(P30='G-1 All Habitats'!$X$3,Y30=""),AC30,IF(AND(P30='G-1 All Habitats'!$X$3,AC30="None",AC30),IF(AND(P30='G-1 All Habitats'!$X$3,AC30&gt;0),H30-S30-T30))))))))</f>
        <v/>
      </c>
      <c r="X30" s="378" t="str">
        <f>IFERROR(IF(H30="","",IF(H30-S30-T30=0&lt;0,"Error in Areas ▲",IF(S30+T30&gt;H30,"Error in Areas ▲",IF(AND(P30='G-1 All Habitats'!$X$3,Y30="Yes"),"Alternative Compensation ✓",IF(W30=0,0,IF(P30='G-1 All Habitats'!$X$3,"Any Loss Unacceptable ▲",Q30-U30-V30)))))),"Check Data ▲")</f>
        <v/>
      </c>
      <c r="Y30" s="55"/>
      <c r="Z30" s="62"/>
      <c r="AA30" s="526"/>
      <c r="AB30" s="120"/>
      <c r="AC30" s="726" t="str">
        <f>IF(P30="","",IF(P30='G-1 All Habitats'!$X$3,H30-S30-T30,"None"))</f>
        <v/>
      </c>
      <c r="AD30" s="727" t="str">
        <f>IF(P30="","", IF(P30='G-1 All Habitats'!$X$3, AC30*J30*L30*O30,"None"))</f>
        <v/>
      </c>
      <c r="AF30" s="40" t="str">
        <f t="shared" si="0"/>
        <v/>
      </c>
      <c r="AG30" s="40" t="str">
        <f t="shared" si="1"/>
        <v/>
      </c>
      <c r="AH30" s="40" t="str">
        <f>IF(I30="","",IF(#REF!&gt;0,TRUE,FALSE))</f>
        <v/>
      </c>
      <c r="AI30" s="40">
        <v>20</v>
      </c>
      <c r="AJ30" s="40"/>
      <c r="AK30" s="40" t="str">
        <f t="array" ref="AK30">IFERROR(INDEX($AI$11:$AI$259, MATCH(0, IF(TRUE=$AF$11:$AF$259, COUNTIF($AK$10:$AK29, $AI$11:$AI$259), ""), 0)),"")</f>
        <v/>
      </c>
      <c r="AL30" s="40" t="str">
        <f t="array" ref="AL30">IFERROR(INDEX($AI$11:$AI$259, MATCH(0, IF(TRUE=$AG$11:$AG$259, COUNTIF($AL$10:$AL29, $AI$11:$AI$259), ""), 0)),"")</f>
        <v/>
      </c>
      <c r="AM30" s="40" t="str">
        <f t="array" ref="AM30">IFERROR(INDEX($AI$11:$AI$259, MATCH(0, IF(TRUE=$AH$11:$AH$259, COUNTIF($AM$10:$AM29, $AI$11:$AI$259), ""), 0)),"")</f>
        <v/>
      </c>
      <c r="AN30" s="40"/>
      <c r="AQ30" s="35">
        <f t="shared" si="2"/>
        <v>0</v>
      </c>
    </row>
    <row r="31" spans="1:43">
      <c r="A31" s="35" t="str">
        <f>IFERROR(INDEX('G-1 All Habitats'!$AG$3:$AG$17,MATCH(E31,'G-1 All Habitats'!$AF$3:$AF$17,0)),"")</f>
        <v/>
      </c>
      <c r="B31" s="35" t="str">
        <f>IFERROR(INDEX('G-8 Condition Look up'!$I$4:$I$135,MATCH(G31,'G-8 Condition Look up'!$A$4:$A$135,0)),"")</f>
        <v/>
      </c>
      <c r="D31" s="287">
        <v>21</v>
      </c>
      <c r="E31" s="267"/>
      <c r="F31" s="61"/>
      <c r="G31" s="52" t="str">
        <f>IFERROR(INDEX('G-1 All Habitats'!$B$3:$B$134,MATCH(F31,'G-1 All Habitats'!$A$3:$A$134,0)),"")</f>
        <v/>
      </c>
      <c r="H31" s="53"/>
      <c r="I31" s="362" t="str">
        <f>IF(G31="","",VLOOKUP(G31,'G-1 All Habitats'!$B$2:$M$134,10,FALSE))</f>
        <v/>
      </c>
      <c r="J31" s="363" t="str">
        <f>IFERROR(VLOOKUP(I31,'G-1 All Habitats'!$V$3:$W$7,2,FALSE),"")</f>
        <v/>
      </c>
      <c r="K31" s="54"/>
      <c r="L31" s="363" t="str">
        <f>IFERROR(INDEX('G-8 Condition Look up'!$A$3:$H$135,MATCH(G31,'G-8 Condition Look up'!$A$3:$A$135,0),MATCH(K31,'G-8 Condition Look up'!$A$3:$H$3,0)),"")</f>
        <v/>
      </c>
      <c r="M31" s="54"/>
      <c r="N31" s="382" t="str">
        <f>IF(M31="","",IF(VLOOKUP(M31,'G-3 Multipliers'!$L$3:$N$6,2,FALSE)=0,"Spatial Data Missing",VLOOKUP(M31,'G-3 Multipliers'!$L$3:$N$6,2,FALSE)))</f>
        <v/>
      </c>
      <c r="O31" s="368" t="str">
        <f>IF(M31="","",IF(VLOOKUP(M31,'G-3 Multipliers'!$L$3:$N$6,3,FALSE)=0,"Spatial Data Missing ▲",VLOOKUP(M31,'G-3 Multipliers'!$L$3:$N$6,3,FALSE)))</f>
        <v/>
      </c>
      <c r="P31" s="369" t="str">
        <f>IFERROR(VLOOKUP(G31,'G-1 All Habitats'!$B$2:$M$134,12,FALSE),"")</f>
        <v/>
      </c>
      <c r="Q31" s="376" t="str">
        <f>IFERROR(IF(P31="","",IF(AND(P31='G-1 All Habitats'!$X$3,T31&gt;0),U31+V31,IF(AND(P31='G-1 All Habitats'!$X$3,S31&gt;0),U31+V31,IF(AND(P31='G-1 All Habitats'!$X$3,AC31&gt;0),"Any Loss Unacceptable ⚠",IF(AND(P31='G-1 All Habitats'!$X$3,W31&gt;0),"Any Loss Unacceptable ⚠",H31*J31*L31*O31))))),"Check Data ▲")</f>
        <v/>
      </c>
      <c r="R31" s="38"/>
      <c r="S31" s="54"/>
      <c r="T31" s="55"/>
      <c r="U31" s="374" t="str">
        <f t="shared" si="3"/>
        <v/>
      </c>
      <c r="V31" s="374" t="str">
        <f t="shared" si="4"/>
        <v/>
      </c>
      <c r="W31" s="374" t="str">
        <f>IF(E31="","",IF(H31&lt;S31+T31,"Error in Areas ▲",IF(P31&lt;&gt;'G-1 All Habitats'!$X$3,H31-S31-T31,IF(AND(P31='G-1 All Habitats'!$X$3,Y31="Yes"),"Unacceptable Loss ⚠",IF(AND(P31='G-1 All Habitats'!$X$3,Y31="No"),AC31,IF(AND(P31='G-1 All Habitats'!$X$3,Y31=""),AC31,IF(AND(P31='G-1 All Habitats'!$X$3,AC31="None",AC31),IF(AND(P31='G-1 All Habitats'!$X$3,AC31&gt;0),H31-S31-T31))))))))</f>
        <v/>
      </c>
      <c r="X31" s="378" t="str">
        <f>IFERROR(IF(H31="","",IF(H31-S31-T31=0&lt;0,"Error in Areas ▲",IF(S31+T31&gt;H31,"Error in Areas ▲",IF(AND(P31='G-1 All Habitats'!$X$3,Y31="Yes"),"Alternative Compensation ✓",IF(W31=0,0,IF(P31='G-1 All Habitats'!$X$3,"Any Loss Unacceptable ▲",Q31-U31-V31)))))),"Check Data ▲")</f>
        <v/>
      </c>
      <c r="Y31" s="55"/>
      <c r="Z31" s="62"/>
      <c r="AA31" s="526"/>
      <c r="AB31" s="120"/>
      <c r="AC31" s="726" t="str">
        <f>IF(P31="","",IF(P31='G-1 All Habitats'!$X$3,H31-S31-T31,"None"))</f>
        <v/>
      </c>
      <c r="AD31" s="727" t="str">
        <f>IF(P31="","", IF(P31='G-1 All Habitats'!$X$3, AC31*J31*L31*O31,"None"))</f>
        <v/>
      </c>
      <c r="AF31" s="40" t="str">
        <f t="shared" si="0"/>
        <v/>
      </c>
      <c r="AG31" s="40" t="str">
        <f t="shared" si="1"/>
        <v/>
      </c>
      <c r="AH31" s="40" t="str">
        <f>IF(I31="","",IF(#REF!&gt;0,TRUE,FALSE))</f>
        <v/>
      </c>
      <c r="AI31" s="40">
        <v>21</v>
      </c>
      <c r="AJ31" s="40"/>
      <c r="AK31" s="40" t="str">
        <f t="array" ref="AK31">IFERROR(INDEX($AI$11:$AI$259, MATCH(0, IF(TRUE=$AF$11:$AF$259, COUNTIF($AK$10:$AK30, $AI$11:$AI$259), ""), 0)),"")</f>
        <v/>
      </c>
      <c r="AL31" s="40" t="str">
        <f t="array" ref="AL31">IFERROR(INDEX($AI$11:$AI$259, MATCH(0, IF(TRUE=$AG$11:$AG$259, COUNTIF($AL$10:$AL30, $AI$11:$AI$259), ""), 0)),"")</f>
        <v/>
      </c>
      <c r="AM31" s="40" t="str">
        <f t="array" ref="AM31">IFERROR(INDEX($AI$11:$AI$259, MATCH(0, IF(TRUE=$AH$11:$AH$259, COUNTIF($AM$10:$AM30, $AI$11:$AI$259), ""), 0)),"")</f>
        <v/>
      </c>
      <c r="AN31" s="40"/>
      <c r="AQ31" s="35">
        <f t="shared" si="2"/>
        <v>0</v>
      </c>
    </row>
    <row r="32" spans="1:43">
      <c r="A32" s="35" t="str">
        <f>IFERROR(INDEX('G-1 All Habitats'!$AG$3:$AG$17,MATCH(E32,'G-1 All Habitats'!$AF$3:$AF$17,0)),"")</f>
        <v/>
      </c>
      <c r="B32" s="35" t="str">
        <f>IFERROR(INDEX('G-8 Condition Look up'!$I$4:$I$135,MATCH(G32,'G-8 Condition Look up'!$A$4:$A$135,0)),"")</f>
        <v/>
      </c>
      <c r="D32" s="287">
        <v>22</v>
      </c>
      <c r="E32" s="267"/>
      <c r="F32" s="61"/>
      <c r="G32" s="52" t="str">
        <f>IFERROR(INDEX('G-1 All Habitats'!$B$3:$B$134,MATCH(F32,'G-1 All Habitats'!$A$3:$A$134,0)),"")</f>
        <v/>
      </c>
      <c r="H32" s="53"/>
      <c r="I32" s="362" t="str">
        <f>IF(G32="","",VLOOKUP(G32,'G-1 All Habitats'!$B$2:$M$134,10,FALSE))</f>
        <v/>
      </c>
      <c r="J32" s="363" t="str">
        <f>IFERROR(VLOOKUP(I32,'G-1 All Habitats'!$V$3:$W$7,2,FALSE),"")</f>
        <v/>
      </c>
      <c r="K32" s="54"/>
      <c r="L32" s="363" t="str">
        <f>IFERROR(INDEX('G-8 Condition Look up'!$A$3:$H$135,MATCH(G32,'G-8 Condition Look up'!$A$3:$A$135,0),MATCH(K32,'G-8 Condition Look up'!$A$3:$H$3,0)),"")</f>
        <v/>
      </c>
      <c r="M32" s="54"/>
      <c r="N32" s="382" t="str">
        <f>IF(M32="","",IF(VLOOKUP(M32,'G-3 Multipliers'!$L$3:$N$6,2,FALSE)=0,"Spatial Data Missing",VLOOKUP(M32,'G-3 Multipliers'!$L$3:$N$6,2,FALSE)))</f>
        <v/>
      </c>
      <c r="O32" s="368" t="str">
        <f>IF(M32="","",IF(VLOOKUP(M32,'G-3 Multipliers'!$L$3:$N$6,3,FALSE)=0,"Spatial Data Missing ▲",VLOOKUP(M32,'G-3 Multipliers'!$L$3:$N$6,3,FALSE)))</f>
        <v/>
      </c>
      <c r="P32" s="369" t="str">
        <f>IFERROR(VLOOKUP(G32,'G-1 All Habitats'!$B$2:$M$134,12,FALSE),"")</f>
        <v/>
      </c>
      <c r="Q32" s="376" t="str">
        <f>IFERROR(IF(P32="","",IF(AND(P32='G-1 All Habitats'!$X$3,T32&gt;0),U32+V32,IF(AND(P32='G-1 All Habitats'!$X$3,S32&gt;0),U32+V32,IF(AND(P32='G-1 All Habitats'!$X$3,AC32&gt;0),"Any Loss Unacceptable ⚠",IF(AND(P32='G-1 All Habitats'!$X$3,W32&gt;0),"Any Loss Unacceptable ⚠",H32*J32*L32*O32))))),"Check Data ▲")</f>
        <v/>
      </c>
      <c r="R32" s="38"/>
      <c r="S32" s="54"/>
      <c r="T32" s="55"/>
      <c r="U32" s="374" t="str">
        <f t="shared" si="3"/>
        <v/>
      </c>
      <c r="V32" s="374" t="str">
        <f t="shared" si="4"/>
        <v/>
      </c>
      <c r="W32" s="374" t="str">
        <f>IF(E32="","",IF(H32&lt;S32+T32,"Error in Areas ▲",IF(P32&lt;&gt;'G-1 All Habitats'!$X$3,H32-S32-T32,IF(AND(P32='G-1 All Habitats'!$X$3,Y32="Yes"),"Unacceptable Loss ⚠",IF(AND(P32='G-1 All Habitats'!$X$3,Y32="No"),AC32,IF(AND(P32='G-1 All Habitats'!$X$3,Y32=""),AC32,IF(AND(P32='G-1 All Habitats'!$X$3,AC32="None",AC32),IF(AND(P32='G-1 All Habitats'!$X$3,AC32&gt;0),H32-S32-T32))))))))</f>
        <v/>
      </c>
      <c r="X32" s="378" t="str">
        <f>IFERROR(IF(H32="","",IF(H32-S32-T32=0&lt;0,"Error in Areas ▲",IF(S32+T32&gt;H32,"Error in Areas ▲",IF(AND(P32='G-1 All Habitats'!$X$3,Y32="Yes"),"Alternative Compensation ✓",IF(W32=0,0,IF(P32='G-1 All Habitats'!$X$3,"Any Loss Unacceptable ▲",Q32-U32-V32)))))),"Check Data ▲")</f>
        <v/>
      </c>
      <c r="Y32" s="55"/>
      <c r="Z32" s="62"/>
      <c r="AA32" s="526"/>
      <c r="AB32" s="120"/>
      <c r="AC32" s="726" t="str">
        <f>IF(P32="","",IF(P32='G-1 All Habitats'!$X$3,H32-S32-T32,"None"))</f>
        <v/>
      </c>
      <c r="AD32" s="727" t="str">
        <f>IF(P32="","", IF(P32='G-1 All Habitats'!$X$3, AC32*J32*L32*O32,"None"))</f>
        <v/>
      </c>
      <c r="AF32" s="40" t="str">
        <f t="shared" si="0"/>
        <v/>
      </c>
      <c r="AG32" s="40" t="str">
        <f t="shared" si="1"/>
        <v/>
      </c>
      <c r="AH32" s="40" t="str">
        <f>IF(I32="","",IF(#REF!&gt;0,TRUE,FALSE))</f>
        <v/>
      </c>
      <c r="AI32" s="40">
        <v>22</v>
      </c>
      <c r="AJ32" s="40"/>
      <c r="AK32" s="40" t="str">
        <f t="array" ref="AK32">IFERROR(INDEX($AI$11:$AI$259, MATCH(0, IF(TRUE=$AF$11:$AF$259, COUNTIF($AK$10:$AK31, $AI$11:$AI$259), ""), 0)),"")</f>
        <v/>
      </c>
      <c r="AL32" s="40" t="str">
        <f t="array" ref="AL32">IFERROR(INDEX($AI$11:$AI$259, MATCH(0, IF(TRUE=$AG$11:$AG$259, COUNTIF($AL$10:$AL31, $AI$11:$AI$259), ""), 0)),"")</f>
        <v/>
      </c>
      <c r="AM32" s="40" t="str">
        <f t="array" ref="AM32">IFERROR(INDEX($AI$11:$AI$259, MATCH(0, IF(TRUE=$AH$11:$AH$259, COUNTIF($AM$10:$AM31, $AI$11:$AI$259), ""), 0)),"")</f>
        <v/>
      </c>
      <c r="AN32" s="40"/>
      <c r="AQ32" s="35">
        <f t="shared" si="2"/>
        <v>0</v>
      </c>
    </row>
    <row r="33" spans="1:43">
      <c r="A33" s="35" t="str">
        <f>IFERROR(INDEX('G-1 All Habitats'!$AG$3:$AG$17,MATCH(E33,'G-1 All Habitats'!$AF$3:$AF$17,0)),"")</f>
        <v/>
      </c>
      <c r="B33" s="35" t="str">
        <f>IFERROR(INDEX('G-8 Condition Look up'!$I$4:$I$135,MATCH(G33,'G-8 Condition Look up'!$A$4:$A$135,0)),"")</f>
        <v/>
      </c>
      <c r="D33" s="287">
        <v>23</v>
      </c>
      <c r="E33" s="267"/>
      <c r="F33" s="61"/>
      <c r="G33" s="52" t="str">
        <f>IFERROR(INDEX('G-1 All Habitats'!$B$3:$B$134,MATCH(F33,'G-1 All Habitats'!$A$3:$A$134,0)),"")</f>
        <v/>
      </c>
      <c r="H33" s="53"/>
      <c r="I33" s="362" t="str">
        <f>IF(G33="","",VLOOKUP(G33,'G-1 All Habitats'!$B$2:$M$134,10,FALSE))</f>
        <v/>
      </c>
      <c r="J33" s="363" t="str">
        <f>IFERROR(VLOOKUP(I33,'G-1 All Habitats'!$V$3:$W$7,2,FALSE),"")</f>
        <v/>
      </c>
      <c r="K33" s="54"/>
      <c r="L33" s="363" t="str">
        <f>IFERROR(INDEX('G-8 Condition Look up'!$A$3:$H$135,MATCH(G33,'G-8 Condition Look up'!$A$3:$A$135,0),MATCH(K33,'G-8 Condition Look up'!$A$3:$H$3,0)),"")</f>
        <v/>
      </c>
      <c r="M33" s="54"/>
      <c r="N33" s="382" t="str">
        <f>IF(M33="","",IF(VLOOKUP(M33,'G-3 Multipliers'!$L$3:$N$6,2,FALSE)=0,"Spatial Data Missing",VLOOKUP(M33,'G-3 Multipliers'!$L$3:$N$6,2,FALSE)))</f>
        <v/>
      </c>
      <c r="O33" s="368" t="str">
        <f>IF(M33="","",IF(VLOOKUP(M33,'G-3 Multipliers'!$L$3:$N$6,3,FALSE)=0,"Spatial Data Missing ▲",VLOOKUP(M33,'G-3 Multipliers'!$L$3:$N$6,3,FALSE)))</f>
        <v/>
      </c>
      <c r="P33" s="369" t="str">
        <f>IFERROR(VLOOKUP(G33,'G-1 All Habitats'!$B$2:$M$134,12,FALSE),"")</f>
        <v/>
      </c>
      <c r="Q33" s="376" t="str">
        <f>IFERROR(IF(P33="","",IF(AND(P33='G-1 All Habitats'!$X$3,T33&gt;0),U33+V33,IF(AND(P33='G-1 All Habitats'!$X$3,S33&gt;0),U33+V33,IF(AND(P33='G-1 All Habitats'!$X$3,AC33&gt;0),"Any Loss Unacceptable ⚠",IF(AND(P33='G-1 All Habitats'!$X$3,W33&gt;0),"Any Loss Unacceptable ⚠",H33*J33*L33*O33))))),"Check Data ▲")</f>
        <v/>
      </c>
      <c r="R33" s="38"/>
      <c r="S33" s="54"/>
      <c r="T33" s="55"/>
      <c r="U33" s="374" t="str">
        <f t="shared" si="3"/>
        <v/>
      </c>
      <c r="V33" s="374" t="str">
        <f t="shared" si="4"/>
        <v/>
      </c>
      <c r="W33" s="374" t="str">
        <f>IF(E33="","",IF(H33&lt;S33+T33,"Error in Areas ▲",IF(P33&lt;&gt;'G-1 All Habitats'!$X$3,H33-S33-T33,IF(AND(P33='G-1 All Habitats'!$X$3,Y33="Yes"),"Unacceptable Loss ⚠",IF(AND(P33='G-1 All Habitats'!$X$3,Y33="No"),AC33,IF(AND(P33='G-1 All Habitats'!$X$3,Y33=""),AC33,IF(AND(P33='G-1 All Habitats'!$X$3,AC33="None",AC33),IF(AND(P33='G-1 All Habitats'!$X$3,AC33&gt;0),H33-S33-T33))))))))</f>
        <v/>
      </c>
      <c r="X33" s="378" t="str">
        <f>IFERROR(IF(H33="","",IF(H33-S33-T33=0&lt;0,"Error in Areas ▲",IF(S33+T33&gt;H33,"Error in Areas ▲",IF(AND(P33='G-1 All Habitats'!$X$3,Y33="Yes"),"Alternative Compensation ✓",IF(W33=0,0,IF(P33='G-1 All Habitats'!$X$3,"Any Loss Unacceptable ▲",Q33-U33-V33)))))),"Check Data ▲")</f>
        <v/>
      </c>
      <c r="Y33" s="55"/>
      <c r="Z33" s="62"/>
      <c r="AA33" s="526"/>
      <c r="AB33" s="120"/>
      <c r="AC33" s="726" t="str">
        <f>IF(P33="","",IF(P33='G-1 All Habitats'!$X$3,H33-S33-T33,"None"))</f>
        <v/>
      </c>
      <c r="AD33" s="727" t="str">
        <f>IF(P33="","", IF(P33='G-1 All Habitats'!$X$3, AC33*J33*L33*O33,"None"))</f>
        <v/>
      </c>
      <c r="AF33" s="40" t="str">
        <f t="shared" si="0"/>
        <v/>
      </c>
      <c r="AG33" s="40" t="str">
        <f t="shared" si="1"/>
        <v/>
      </c>
      <c r="AH33" s="40" t="str">
        <f>IF(I33="","",IF(#REF!&gt;0,TRUE,FALSE))</f>
        <v/>
      </c>
      <c r="AI33" s="40">
        <v>23</v>
      </c>
      <c r="AJ33" s="40"/>
      <c r="AK33" s="40" t="str">
        <f t="array" ref="AK33">IFERROR(INDEX($AI$11:$AI$259, MATCH(0, IF(TRUE=$AF$11:$AF$259, COUNTIF($AK$10:$AK32, $AI$11:$AI$259), ""), 0)),"")</f>
        <v/>
      </c>
      <c r="AL33" s="40" t="str">
        <f t="array" ref="AL33">IFERROR(INDEX($AI$11:$AI$259, MATCH(0, IF(TRUE=$AG$11:$AG$259, COUNTIF($AL$10:$AL32, $AI$11:$AI$259), ""), 0)),"")</f>
        <v/>
      </c>
      <c r="AM33" s="40" t="str">
        <f t="array" ref="AM33">IFERROR(INDEX($AI$11:$AI$259, MATCH(0, IF(TRUE=$AH$11:$AH$259, COUNTIF($AM$10:$AM32, $AI$11:$AI$259), ""), 0)),"")</f>
        <v/>
      </c>
      <c r="AN33" s="40"/>
      <c r="AQ33" s="35">
        <f t="shared" si="2"/>
        <v>0</v>
      </c>
    </row>
    <row r="34" spans="1:43">
      <c r="A34" s="35" t="str">
        <f>IFERROR(INDEX('G-1 All Habitats'!$AG$3:$AG$17,MATCH(E34,'G-1 All Habitats'!$AF$3:$AF$17,0)),"")</f>
        <v/>
      </c>
      <c r="B34" s="35" t="str">
        <f>IFERROR(INDEX('G-8 Condition Look up'!$I$4:$I$135,MATCH(G34,'G-8 Condition Look up'!$A$4:$A$135,0)),"")</f>
        <v/>
      </c>
      <c r="D34" s="287">
        <v>24</v>
      </c>
      <c r="E34" s="267"/>
      <c r="F34" s="61"/>
      <c r="G34" s="52" t="str">
        <f>IFERROR(INDEX('G-1 All Habitats'!$B$3:$B$134,MATCH(F34,'G-1 All Habitats'!$A$3:$A$134,0)),"")</f>
        <v/>
      </c>
      <c r="H34" s="53"/>
      <c r="I34" s="362" t="str">
        <f>IF(G34="","",VLOOKUP(G34,'G-1 All Habitats'!$B$2:$M$134,10,FALSE))</f>
        <v/>
      </c>
      <c r="J34" s="363" t="str">
        <f>IFERROR(VLOOKUP(I34,'G-1 All Habitats'!$V$3:$W$7,2,FALSE),"")</f>
        <v/>
      </c>
      <c r="K34" s="54"/>
      <c r="L34" s="363" t="str">
        <f>IFERROR(INDEX('G-8 Condition Look up'!$A$3:$H$135,MATCH(G34,'G-8 Condition Look up'!$A$3:$A$135,0),MATCH(K34,'G-8 Condition Look up'!$A$3:$H$3,0)),"")</f>
        <v/>
      </c>
      <c r="M34" s="54"/>
      <c r="N34" s="382" t="str">
        <f>IF(M34="","",IF(VLOOKUP(M34,'G-3 Multipliers'!$L$3:$N$6,2,FALSE)=0,"Spatial Data Missing",VLOOKUP(M34,'G-3 Multipliers'!$L$3:$N$6,2,FALSE)))</f>
        <v/>
      </c>
      <c r="O34" s="368" t="str">
        <f>IF(M34="","",IF(VLOOKUP(M34,'G-3 Multipliers'!$L$3:$N$6,3,FALSE)=0,"Spatial Data Missing ▲",VLOOKUP(M34,'G-3 Multipliers'!$L$3:$N$6,3,FALSE)))</f>
        <v/>
      </c>
      <c r="P34" s="369" t="str">
        <f>IFERROR(VLOOKUP(G34,'G-1 All Habitats'!$B$2:$M$134,12,FALSE),"")</f>
        <v/>
      </c>
      <c r="Q34" s="376" t="str">
        <f>IFERROR(IF(P34="","",IF(AND(P34='G-1 All Habitats'!$X$3,T34&gt;0),U34+V34,IF(AND(P34='G-1 All Habitats'!$X$3,S34&gt;0),U34+V34,IF(AND(P34='G-1 All Habitats'!$X$3,AC34&gt;0),"Any Loss Unacceptable ⚠",IF(AND(P34='G-1 All Habitats'!$X$3,W34&gt;0),"Any Loss Unacceptable ⚠",H34*J34*L34*O34))))),"Check Data ▲")</f>
        <v/>
      </c>
      <c r="R34" s="38"/>
      <c r="S34" s="54"/>
      <c r="T34" s="55"/>
      <c r="U34" s="374" t="str">
        <f t="shared" si="3"/>
        <v/>
      </c>
      <c r="V34" s="374" t="str">
        <f t="shared" si="4"/>
        <v/>
      </c>
      <c r="W34" s="374" t="str">
        <f>IF(E34="","",IF(H34&lt;S34+T34,"Error in Areas ▲",IF(P34&lt;&gt;'G-1 All Habitats'!$X$3,H34-S34-T34,IF(AND(P34='G-1 All Habitats'!$X$3,Y34="Yes"),"Unacceptable Loss ⚠",IF(AND(P34='G-1 All Habitats'!$X$3,Y34="No"),AC34,IF(AND(P34='G-1 All Habitats'!$X$3,Y34=""),AC34,IF(AND(P34='G-1 All Habitats'!$X$3,AC34="None",AC34),IF(AND(P34='G-1 All Habitats'!$X$3,AC34&gt;0),H34-S34-T34))))))))</f>
        <v/>
      </c>
      <c r="X34" s="378" t="str">
        <f>IFERROR(IF(H34="","",IF(H34-S34-T34=0&lt;0,"Error in Areas ▲",IF(S34+T34&gt;H34,"Error in Areas ▲",IF(AND(P34='G-1 All Habitats'!$X$3,Y34="Yes"),"Alternative Compensation ✓",IF(W34=0,0,IF(P34='G-1 All Habitats'!$X$3,"Any Loss Unacceptable ▲",Q34-U34-V34)))))),"Check Data ▲")</f>
        <v/>
      </c>
      <c r="Y34" s="55"/>
      <c r="Z34" s="62"/>
      <c r="AA34" s="526"/>
      <c r="AB34" s="120"/>
      <c r="AC34" s="726" t="str">
        <f>IF(P34="","",IF(P34='G-1 All Habitats'!$X$3,H34-S34-T34,"None"))</f>
        <v/>
      </c>
      <c r="AD34" s="727" t="str">
        <f>IF(P34="","", IF(P34='G-1 All Habitats'!$X$3, AC34*J34*L34*O34,"None"))</f>
        <v/>
      </c>
      <c r="AF34" s="40" t="str">
        <f t="shared" si="0"/>
        <v/>
      </c>
      <c r="AG34" s="40" t="str">
        <f t="shared" si="1"/>
        <v/>
      </c>
      <c r="AH34" s="40" t="str">
        <f>IF(I34="","",IF(#REF!&gt;0,TRUE,FALSE))</f>
        <v/>
      </c>
      <c r="AI34" s="40">
        <v>24</v>
      </c>
      <c r="AJ34" s="40"/>
      <c r="AK34" s="40" t="str">
        <f t="array" ref="AK34">IFERROR(INDEX($AI$11:$AI$259, MATCH(0, IF(TRUE=$AF$11:$AF$259, COUNTIF($AK$10:$AK33, $AI$11:$AI$259), ""), 0)),"")</f>
        <v/>
      </c>
      <c r="AL34" s="40" t="str">
        <f t="array" ref="AL34">IFERROR(INDEX($AI$11:$AI$259, MATCH(0, IF(TRUE=$AG$11:$AG$259, COUNTIF($AL$10:$AL33, $AI$11:$AI$259), ""), 0)),"")</f>
        <v/>
      </c>
      <c r="AM34" s="40" t="str">
        <f t="array" ref="AM34">IFERROR(INDEX($AI$11:$AI$259, MATCH(0, IF(TRUE=$AH$11:$AH$259, COUNTIF($AM$10:$AM33, $AI$11:$AI$259), ""), 0)),"")</f>
        <v/>
      </c>
      <c r="AN34" s="40"/>
      <c r="AQ34" s="35">
        <f t="shared" si="2"/>
        <v>0</v>
      </c>
    </row>
    <row r="35" spans="1:43">
      <c r="A35" s="35" t="str">
        <f>IFERROR(INDEX('G-1 All Habitats'!$AG$3:$AG$17,MATCH(E35,'G-1 All Habitats'!$AF$3:$AF$17,0)),"")</f>
        <v/>
      </c>
      <c r="B35" s="35" t="str">
        <f>IFERROR(INDEX('G-8 Condition Look up'!$I$4:$I$135,MATCH(G35,'G-8 Condition Look up'!$A$4:$A$135,0)),"")</f>
        <v/>
      </c>
      <c r="D35" s="287">
        <v>25</v>
      </c>
      <c r="E35" s="267"/>
      <c r="F35" s="61"/>
      <c r="G35" s="52" t="str">
        <f>IFERROR(INDEX('G-1 All Habitats'!$B$3:$B$134,MATCH(F35,'G-1 All Habitats'!$A$3:$A$134,0)),"")</f>
        <v/>
      </c>
      <c r="H35" s="53"/>
      <c r="I35" s="362" t="str">
        <f>IF(G35="","",VLOOKUP(G35,'G-1 All Habitats'!$B$2:$M$134,10,FALSE))</f>
        <v/>
      </c>
      <c r="J35" s="363" t="str">
        <f>IFERROR(VLOOKUP(I35,'G-1 All Habitats'!$V$3:$W$7,2,FALSE),"")</f>
        <v/>
      </c>
      <c r="K35" s="54"/>
      <c r="L35" s="363" t="str">
        <f>IFERROR(INDEX('G-8 Condition Look up'!$A$3:$H$135,MATCH(G35,'G-8 Condition Look up'!$A$3:$A$135,0),MATCH(K35,'G-8 Condition Look up'!$A$3:$H$3,0)),"")</f>
        <v/>
      </c>
      <c r="M35" s="54"/>
      <c r="N35" s="382" t="str">
        <f>IF(M35="","",IF(VLOOKUP(M35,'G-3 Multipliers'!$L$3:$N$6,2,FALSE)=0,"Spatial Data Missing",VLOOKUP(M35,'G-3 Multipliers'!$L$3:$N$6,2,FALSE)))</f>
        <v/>
      </c>
      <c r="O35" s="368" t="str">
        <f>IF(M35="","",IF(VLOOKUP(M35,'G-3 Multipliers'!$L$3:$N$6,3,FALSE)=0,"Spatial Data Missing ▲",VLOOKUP(M35,'G-3 Multipliers'!$L$3:$N$6,3,FALSE)))</f>
        <v/>
      </c>
      <c r="P35" s="369" t="str">
        <f>IFERROR(VLOOKUP(G35,'G-1 All Habitats'!$B$2:$M$134,12,FALSE),"")</f>
        <v/>
      </c>
      <c r="Q35" s="376" t="str">
        <f>IFERROR(IF(P35="","",IF(AND(P35='G-1 All Habitats'!$X$3,T35&gt;0),U35+V35,IF(AND(P35='G-1 All Habitats'!$X$3,S35&gt;0),U35+V35,IF(AND(P35='G-1 All Habitats'!$X$3,AC35&gt;0),"Any Loss Unacceptable ⚠",IF(AND(P35='G-1 All Habitats'!$X$3,W35&gt;0),"Any Loss Unacceptable ⚠",H35*J35*L35*O35))))),"Check Data ▲")</f>
        <v/>
      </c>
      <c r="R35" s="38"/>
      <c r="S35" s="54"/>
      <c r="T35" s="55"/>
      <c r="U35" s="374" t="str">
        <f t="shared" si="3"/>
        <v/>
      </c>
      <c r="V35" s="374" t="str">
        <f t="shared" si="4"/>
        <v/>
      </c>
      <c r="W35" s="374" t="str">
        <f>IF(E35="","",IF(H35&lt;S35+T35,"Error in Areas ▲",IF(P35&lt;&gt;'G-1 All Habitats'!$X$3,H35-S35-T35,IF(AND(P35='G-1 All Habitats'!$X$3,Y35="Yes"),"Unacceptable Loss ⚠",IF(AND(P35='G-1 All Habitats'!$X$3,Y35="No"),AC35,IF(AND(P35='G-1 All Habitats'!$X$3,Y35=""),AC35,IF(AND(P35='G-1 All Habitats'!$X$3,AC35="None",AC35),IF(AND(P35='G-1 All Habitats'!$X$3,AC35&gt;0),H35-S35-T35))))))))</f>
        <v/>
      </c>
      <c r="X35" s="378" t="str">
        <f>IFERROR(IF(H35="","",IF(H35-S35-T35=0&lt;0,"Error in Areas ▲",IF(S35+T35&gt;H35,"Error in Areas ▲",IF(AND(P35='G-1 All Habitats'!$X$3,Y35="Yes"),"Alternative Compensation ✓",IF(W35=0,0,IF(P35='G-1 All Habitats'!$X$3,"Any Loss Unacceptable ▲",Q35-U35-V35)))))),"Check Data ▲")</f>
        <v/>
      </c>
      <c r="Y35" s="55"/>
      <c r="Z35" s="62"/>
      <c r="AA35" s="526"/>
      <c r="AB35" s="120"/>
      <c r="AC35" s="726" t="str">
        <f>IF(P35="","",IF(P35='G-1 All Habitats'!$X$3,H35-S35-T35,"None"))</f>
        <v/>
      </c>
      <c r="AD35" s="727" t="str">
        <f>IF(P35="","", IF(P35='G-1 All Habitats'!$X$3, AC35*J35*L35*O35,"None"))</f>
        <v/>
      </c>
      <c r="AF35" s="40" t="str">
        <f t="shared" si="0"/>
        <v/>
      </c>
      <c r="AG35" s="40" t="str">
        <f t="shared" si="1"/>
        <v/>
      </c>
      <c r="AH35" s="40" t="str">
        <f>IF(I35="","",IF(#REF!&gt;0,TRUE,FALSE))</f>
        <v/>
      </c>
      <c r="AI35" s="40">
        <v>25</v>
      </c>
      <c r="AJ35" s="40"/>
      <c r="AK35" s="40" t="str">
        <f t="array" ref="AK35">IFERROR(INDEX($AI$11:$AI$259, MATCH(0, IF(TRUE=$AF$11:$AF$259, COUNTIF($AK$10:$AK34, $AI$11:$AI$259), ""), 0)),"")</f>
        <v/>
      </c>
      <c r="AL35" s="40" t="str">
        <f t="array" ref="AL35">IFERROR(INDEX($AI$11:$AI$259, MATCH(0, IF(TRUE=$AG$11:$AG$259, COUNTIF($AL$10:$AL34, $AI$11:$AI$259), ""), 0)),"")</f>
        <v/>
      </c>
      <c r="AM35" s="40" t="str">
        <f t="array" ref="AM35">IFERROR(INDEX($AI$11:$AI$259, MATCH(0, IF(TRUE=$AH$11:$AH$259, COUNTIF($AM$10:$AM34, $AI$11:$AI$259), ""), 0)),"")</f>
        <v/>
      </c>
      <c r="AN35" s="40"/>
      <c r="AQ35" s="35">
        <f t="shared" si="2"/>
        <v>0</v>
      </c>
    </row>
    <row r="36" spans="1:43">
      <c r="A36" s="35" t="str">
        <f>IFERROR(INDEX('G-1 All Habitats'!$AG$3:$AG$17,MATCH(E36,'G-1 All Habitats'!$AF$3:$AF$17,0)),"")</f>
        <v/>
      </c>
      <c r="B36" s="35" t="str">
        <f>IFERROR(INDEX('G-8 Condition Look up'!$I$4:$I$135,MATCH(G36,'G-8 Condition Look up'!$A$4:$A$135,0)),"")</f>
        <v/>
      </c>
      <c r="D36" s="287">
        <v>26</v>
      </c>
      <c r="E36" s="267"/>
      <c r="F36" s="61"/>
      <c r="G36" s="52" t="str">
        <f>IFERROR(INDEX('G-1 All Habitats'!$B$3:$B$134,MATCH(F36,'G-1 All Habitats'!$A$3:$A$134,0)),"")</f>
        <v/>
      </c>
      <c r="H36" s="53"/>
      <c r="I36" s="362" t="str">
        <f>IF(G36="","",VLOOKUP(G36,'G-1 All Habitats'!$B$2:$M$134,10,FALSE))</f>
        <v/>
      </c>
      <c r="J36" s="363" t="str">
        <f>IFERROR(VLOOKUP(I36,'G-1 All Habitats'!$V$3:$W$7,2,FALSE),"")</f>
        <v/>
      </c>
      <c r="K36" s="54"/>
      <c r="L36" s="363" t="str">
        <f>IFERROR(INDEX('G-8 Condition Look up'!$A$3:$H$135,MATCH(G36,'G-8 Condition Look up'!$A$3:$A$135,0),MATCH(K36,'G-8 Condition Look up'!$A$3:$H$3,0)),"")</f>
        <v/>
      </c>
      <c r="M36" s="54"/>
      <c r="N36" s="382" t="str">
        <f>IF(M36="","",IF(VLOOKUP(M36,'G-3 Multipliers'!$L$3:$N$6,2,FALSE)=0,"Spatial Data Missing",VLOOKUP(M36,'G-3 Multipliers'!$L$3:$N$6,2,FALSE)))</f>
        <v/>
      </c>
      <c r="O36" s="368" t="str">
        <f>IF(M36="","",IF(VLOOKUP(M36,'G-3 Multipliers'!$L$3:$N$6,3,FALSE)=0,"Spatial Data Missing ▲",VLOOKUP(M36,'G-3 Multipliers'!$L$3:$N$6,3,FALSE)))</f>
        <v/>
      </c>
      <c r="P36" s="369" t="str">
        <f>IFERROR(VLOOKUP(G36,'G-1 All Habitats'!$B$2:$M$134,12,FALSE),"")</f>
        <v/>
      </c>
      <c r="Q36" s="376" t="str">
        <f>IFERROR(IF(P36="","",IF(AND(P36='G-1 All Habitats'!$X$3,T36&gt;0),U36+V36,IF(AND(P36='G-1 All Habitats'!$X$3,S36&gt;0),U36+V36,IF(AND(P36='G-1 All Habitats'!$X$3,AC36&gt;0),"Any Loss Unacceptable ⚠",IF(AND(P36='G-1 All Habitats'!$X$3,W36&gt;0),"Any Loss Unacceptable ⚠",H36*J36*L36*O36))))),"Check Data ▲")</f>
        <v/>
      </c>
      <c r="R36" s="38"/>
      <c r="S36" s="54"/>
      <c r="T36" s="55"/>
      <c r="U36" s="374" t="str">
        <f t="shared" si="3"/>
        <v/>
      </c>
      <c r="V36" s="374" t="str">
        <f t="shared" si="4"/>
        <v/>
      </c>
      <c r="W36" s="374" t="str">
        <f>IF(E36="","",IF(H36&lt;S36+T36,"Error in Areas ▲",IF(P36&lt;&gt;'G-1 All Habitats'!$X$3,H36-S36-T36,IF(AND(P36='G-1 All Habitats'!$X$3,Y36="Yes"),"Unacceptable Loss ⚠",IF(AND(P36='G-1 All Habitats'!$X$3,Y36="No"),AC36,IF(AND(P36='G-1 All Habitats'!$X$3,Y36=""),AC36,IF(AND(P36='G-1 All Habitats'!$X$3,AC36="None",AC36),IF(AND(P36='G-1 All Habitats'!$X$3,AC36&gt;0),H36-S36-T36))))))))</f>
        <v/>
      </c>
      <c r="X36" s="378" t="str">
        <f>IFERROR(IF(H36="","",IF(H36-S36-T36=0&lt;0,"Error in Areas ▲",IF(S36+T36&gt;H36,"Error in Areas ▲",IF(AND(P36='G-1 All Habitats'!$X$3,Y36="Yes"),"Alternative Compensation ✓",IF(W36=0,0,IF(P36='G-1 All Habitats'!$X$3,"Any Loss Unacceptable ▲",Q36-U36-V36)))))),"Check Data ▲")</f>
        <v/>
      </c>
      <c r="Y36" s="55"/>
      <c r="Z36" s="62"/>
      <c r="AA36" s="526"/>
      <c r="AB36" s="120"/>
      <c r="AC36" s="726" t="str">
        <f>IF(P36="","",IF(P36='G-1 All Habitats'!$X$3,H36-S36-T36,"None"))</f>
        <v/>
      </c>
      <c r="AD36" s="727" t="str">
        <f>IF(P36="","", IF(P36='G-1 All Habitats'!$X$3, AC36*J36*L36*O36,"None"))</f>
        <v/>
      </c>
      <c r="AF36" s="40" t="str">
        <f t="shared" si="0"/>
        <v/>
      </c>
      <c r="AG36" s="40" t="str">
        <f t="shared" si="1"/>
        <v/>
      </c>
      <c r="AH36" s="40" t="str">
        <f>IF(I36="","",IF(#REF!&gt;0,TRUE,FALSE))</f>
        <v/>
      </c>
      <c r="AI36" s="40">
        <v>26</v>
      </c>
      <c r="AJ36" s="40"/>
      <c r="AK36" s="40" t="str">
        <f t="array" ref="AK36">IFERROR(INDEX($AI$11:$AI$259, MATCH(0, IF(TRUE=$AF$11:$AF$259, COUNTIF($AK$10:$AK35, $AI$11:$AI$259), ""), 0)),"")</f>
        <v/>
      </c>
      <c r="AL36" s="40" t="str">
        <f t="array" ref="AL36">IFERROR(INDEX($AI$11:$AI$259, MATCH(0, IF(TRUE=$AG$11:$AG$259, COUNTIF($AL$10:$AL35, $AI$11:$AI$259), ""), 0)),"")</f>
        <v/>
      </c>
      <c r="AM36" s="40" t="str">
        <f t="array" ref="AM36">IFERROR(INDEX($AI$11:$AI$259, MATCH(0, IF(TRUE=$AH$11:$AH$259, COUNTIF($AM$10:$AM35, $AI$11:$AI$259), ""), 0)),"")</f>
        <v/>
      </c>
      <c r="AN36" s="40"/>
      <c r="AQ36" s="35">
        <f t="shared" si="2"/>
        <v>0</v>
      </c>
    </row>
    <row r="37" spans="1:43">
      <c r="A37" s="35" t="str">
        <f>IFERROR(INDEX('G-1 All Habitats'!$AG$3:$AG$17,MATCH(E37,'G-1 All Habitats'!$AF$3:$AF$17,0)),"")</f>
        <v/>
      </c>
      <c r="B37" s="35" t="str">
        <f>IFERROR(INDEX('G-8 Condition Look up'!$I$4:$I$135,MATCH(G37,'G-8 Condition Look up'!$A$4:$A$135,0)),"")</f>
        <v/>
      </c>
      <c r="D37" s="287">
        <v>27</v>
      </c>
      <c r="E37" s="267"/>
      <c r="F37" s="61"/>
      <c r="G37" s="52" t="str">
        <f>IFERROR(INDEX('G-1 All Habitats'!$B$3:$B$134,MATCH(F37,'G-1 All Habitats'!$A$3:$A$134,0)),"")</f>
        <v/>
      </c>
      <c r="H37" s="53"/>
      <c r="I37" s="362" t="str">
        <f>IF(G37="","",VLOOKUP(G37,'G-1 All Habitats'!$B$2:$M$134,10,FALSE))</f>
        <v/>
      </c>
      <c r="J37" s="363" t="str">
        <f>IFERROR(VLOOKUP(I37,'G-1 All Habitats'!$V$3:$W$7,2,FALSE),"")</f>
        <v/>
      </c>
      <c r="K37" s="54"/>
      <c r="L37" s="363" t="str">
        <f>IFERROR(INDEX('G-8 Condition Look up'!$A$3:$H$135,MATCH(G37,'G-8 Condition Look up'!$A$3:$A$135,0),MATCH(K37,'G-8 Condition Look up'!$A$3:$H$3,0)),"")</f>
        <v/>
      </c>
      <c r="M37" s="54"/>
      <c r="N37" s="382" t="str">
        <f>IF(M37="","",IF(VLOOKUP(M37,'G-3 Multipliers'!$L$3:$N$6,2,FALSE)=0,"Spatial Data Missing",VLOOKUP(M37,'G-3 Multipliers'!$L$3:$N$6,2,FALSE)))</f>
        <v/>
      </c>
      <c r="O37" s="368" t="str">
        <f>IF(M37="","",IF(VLOOKUP(M37,'G-3 Multipliers'!$L$3:$N$6,3,FALSE)=0,"Spatial Data Missing ▲",VLOOKUP(M37,'G-3 Multipliers'!$L$3:$N$6,3,FALSE)))</f>
        <v/>
      </c>
      <c r="P37" s="369" t="str">
        <f>IFERROR(VLOOKUP(G37,'G-1 All Habitats'!$B$2:$M$134,12,FALSE),"")</f>
        <v/>
      </c>
      <c r="Q37" s="376" t="str">
        <f>IFERROR(IF(P37="","",IF(AND(P37='G-1 All Habitats'!$X$3,T37&gt;0),U37+V37,IF(AND(P37='G-1 All Habitats'!$X$3,S37&gt;0),U37+V37,IF(AND(P37='G-1 All Habitats'!$X$3,AC37&gt;0),"Any Loss Unacceptable ⚠",IF(AND(P37='G-1 All Habitats'!$X$3,W37&gt;0),"Any Loss Unacceptable ⚠",H37*J37*L37*O37))))),"Check Data ▲")</f>
        <v/>
      </c>
      <c r="R37" s="38"/>
      <c r="S37" s="54"/>
      <c r="T37" s="55"/>
      <c r="U37" s="374" t="str">
        <f t="shared" si="3"/>
        <v/>
      </c>
      <c r="V37" s="374" t="str">
        <f t="shared" si="4"/>
        <v/>
      </c>
      <c r="W37" s="374" t="str">
        <f>IF(E37="","",IF(H37&lt;S37+T37,"Error in Areas ▲",IF(P37&lt;&gt;'G-1 All Habitats'!$X$3,H37-S37-T37,IF(AND(P37='G-1 All Habitats'!$X$3,Y37="Yes"),"Unacceptable Loss ⚠",IF(AND(P37='G-1 All Habitats'!$X$3,Y37="No"),AC37,IF(AND(P37='G-1 All Habitats'!$X$3,Y37=""),AC37,IF(AND(P37='G-1 All Habitats'!$X$3,AC37="None",AC37),IF(AND(P37='G-1 All Habitats'!$X$3,AC37&gt;0),H37-S37-T37))))))))</f>
        <v/>
      </c>
      <c r="X37" s="378" t="str">
        <f>IFERROR(IF(H37="","",IF(H37-S37-T37=0&lt;0,"Error in Areas ▲",IF(S37+T37&gt;H37,"Error in Areas ▲",IF(AND(P37='G-1 All Habitats'!$X$3,Y37="Yes"),"Alternative Compensation ✓",IF(W37=0,0,IF(P37='G-1 All Habitats'!$X$3,"Any Loss Unacceptable ▲",Q37-U37-V37)))))),"Check Data ▲")</f>
        <v/>
      </c>
      <c r="Y37" s="55"/>
      <c r="Z37" s="62"/>
      <c r="AA37" s="526"/>
      <c r="AB37" s="120"/>
      <c r="AC37" s="726" t="str">
        <f>IF(P37="","",IF(P37='G-1 All Habitats'!$X$3,H37-S37-T37,"None"))</f>
        <v/>
      </c>
      <c r="AD37" s="727" t="str">
        <f>IF(P37="","", IF(P37='G-1 All Habitats'!$X$3, AC37*J37*L37*O37,"None"))</f>
        <v/>
      </c>
      <c r="AF37" s="40" t="str">
        <f t="shared" si="0"/>
        <v/>
      </c>
      <c r="AG37" s="40" t="str">
        <f t="shared" si="1"/>
        <v/>
      </c>
      <c r="AH37" s="40" t="str">
        <f>IF(I37="","",IF(#REF!&gt;0,TRUE,FALSE))</f>
        <v/>
      </c>
      <c r="AI37" s="40">
        <v>27</v>
      </c>
      <c r="AJ37" s="40"/>
      <c r="AK37" s="40" t="str">
        <f t="array" ref="AK37">IFERROR(INDEX($AI$11:$AI$259, MATCH(0, IF(TRUE=$AF$11:$AF$259, COUNTIF($AK$10:$AK36, $AI$11:$AI$259), ""), 0)),"")</f>
        <v/>
      </c>
      <c r="AL37" s="40" t="str">
        <f t="array" ref="AL37">IFERROR(INDEX($AI$11:$AI$259, MATCH(0, IF(TRUE=$AG$11:$AG$259, COUNTIF($AL$10:$AL36, $AI$11:$AI$259), ""), 0)),"")</f>
        <v/>
      </c>
      <c r="AM37" s="40" t="str">
        <f t="array" ref="AM37">IFERROR(INDEX($AI$11:$AI$259, MATCH(0, IF(TRUE=$AH$11:$AH$259, COUNTIF($AM$10:$AM36, $AI$11:$AI$259), ""), 0)),"")</f>
        <v/>
      </c>
      <c r="AN37" s="40"/>
      <c r="AQ37" s="35">
        <f t="shared" si="2"/>
        <v>0</v>
      </c>
    </row>
    <row r="38" spans="1:43">
      <c r="A38" s="35" t="str">
        <f>IFERROR(INDEX('G-1 All Habitats'!$AG$3:$AG$17,MATCH(E38,'G-1 All Habitats'!$AF$3:$AF$17,0)),"")</f>
        <v/>
      </c>
      <c r="B38" s="35" t="str">
        <f>IFERROR(INDEX('G-8 Condition Look up'!$I$4:$I$135,MATCH(G38,'G-8 Condition Look up'!$A$4:$A$135,0)),"")</f>
        <v/>
      </c>
      <c r="D38" s="287">
        <v>28</v>
      </c>
      <c r="E38" s="267"/>
      <c r="F38" s="61"/>
      <c r="G38" s="52" t="str">
        <f>IFERROR(INDEX('G-1 All Habitats'!$B$3:$B$134,MATCH(F38,'G-1 All Habitats'!$A$3:$A$134,0)),"")</f>
        <v/>
      </c>
      <c r="H38" s="53"/>
      <c r="I38" s="362" t="str">
        <f>IF(G38="","",VLOOKUP(G38,'G-1 All Habitats'!$B$2:$M$134,10,FALSE))</f>
        <v/>
      </c>
      <c r="J38" s="363" t="str">
        <f>IFERROR(VLOOKUP(I38,'G-1 All Habitats'!$V$3:$W$7,2,FALSE),"")</f>
        <v/>
      </c>
      <c r="K38" s="54"/>
      <c r="L38" s="363" t="str">
        <f>IFERROR(INDEX('G-8 Condition Look up'!$A$3:$H$135,MATCH(G38,'G-8 Condition Look up'!$A$3:$A$135,0),MATCH(K38,'G-8 Condition Look up'!$A$3:$H$3,0)),"")</f>
        <v/>
      </c>
      <c r="M38" s="54"/>
      <c r="N38" s="382" t="str">
        <f>IF(M38="","",IF(VLOOKUP(M38,'G-3 Multipliers'!$L$3:$N$6,2,FALSE)=0,"Spatial Data Missing",VLOOKUP(M38,'G-3 Multipliers'!$L$3:$N$6,2,FALSE)))</f>
        <v/>
      </c>
      <c r="O38" s="368" t="str">
        <f>IF(M38="","",IF(VLOOKUP(M38,'G-3 Multipliers'!$L$3:$N$6,3,FALSE)=0,"Spatial Data Missing ▲",VLOOKUP(M38,'G-3 Multipliers'!$L$3:$N$6,3,FALSE)))</f>
        <v/>
      </c>
      <c r="P38" s="369" t="str">
        <f>IFERROR(VLOOKUP(G38,'G-1 All Habitats'!$B$2:$M$134,12,FALSE),"")</f>
        <v/>
      </c>
      <c r="Q38" s="376" t="str">
        <f>IFERROR(IF(P38="","",IF(AND(P38='G-1 All Habitats'!$X$3,T38&gt;0),U38+V38,IF(AND(P38='G-1 All Habitats'!$X$3,S38&gt;0),U38+V38,IF(AND(P38='G-1 All Habitats'!$X$3,AC38&gt;0),"Any Loss Unacceptable ⚠",IF(AND(P38='G-1 All Habitats'!$X$3,W38&gt;0),"Any Loss Unacceptable ⚠",H38*J38*L38*O38))))),"Check Data ▲")</f>
        <v/>
      </c>
      <c r="R38" s="38"/>
      <c r="S38" s="54"/>
      <c r="T38" s="55"/>
      <c r="U38" s="374" t="str">
        <f t="shared" si="3"/>
        <v/>
      </c>
      <c r="V38" s="374" t="str">
        <f t="shared" si="4"/>
        <v/>
      </c>
      <c r="W38" s="374" t="str">
        <f>IF(E38="","",IF(H38&lt;S38+T38,"Error in Areas ▲",IF(P38&lt;&gt;'G-1 All Habitats'!$X$3,H38-S38-T38,IF(AND(P38='G-1 All Habitats'!$X$3,Y38="Yes"),"Unacceptable Loss ⚠",IF(AND(P38='G-1 All Habitats'!$X$3,Y38="No"),AC38,IF(AND(P38='G-1 All Habitats'!$X$3,Y38=""),AC38,IF(AND(P38='G-1 All Habitats'!$X$3,AC38="None",AC38),IF(AND(P38='G-1 All Habitats'!$X$3,AC38&gt;0),H38-S38-T38))))))))</f>
        <v/>
      </c>
      <c r="X38" s="378" t="str">
        <f>IFERROR(IF(H38="","",IF(H38-S38-T38=0&lt;0,"Error in Areas ▲",IF(S38+T38&gt;H38,"Error in Areas ▲",IF(AND(P38='G-1 All Habitats'!$X$3,Y38="Yes"),"Alternative Compensation ✓",IF(W38=0,0,IF(P38='G-1 All Habitats'!$X$3,"Any Loss Unacceptable ▲",Q38-U38-V38)))))),"Check Data ▲")</f>
        <v/>
      </c>
      <c r="Y38" s="55"/>
      <c r="Z38" s="62"/>
      <c r="AA38" s="526"/>
      <c r="AB38" s="120"/>
      <c r="AC38" s="726" t="str">
        <f>IF(P38="","",IF(P38='G-1 All Habitats'!$X$3,H38-S38-T38,"None"))</f>
        <v/>
      </c>
      <c r="AD38" s="727" t="str">
        <f>IF(P38="","", IF(P38='G-1 All Habitats'!$X$3, AC38*J38*L38*O38,"None"))</f>
        <v/>
      </c>
      <c r="AF38" s="40" t="str">
        <f t="shared" si="0"/>
        <v/>
      </c>
      <c r="AG38" s="40" t="str">
        <f t="shared" si="1"/>
        <v/>
      </c>
      <c r="AH38" s="40" t="str">
        <f>IF(I38="","",IF(#REF!&gt;0,TRUE,FALSE))</f>
        <v/>
      </c>
      <c r="AI38" s="40">
        <v>28</v>
      </c>
      <c r="AJ38" s="40"/>
      <c r="AK38" s="40" t="str">
        <f t="array" ref="AK38">IFERROR(INDEX($AI$11:$AI$259, MATCH(0, IF(TRUE=$AF$11:$AF$259, COUNTIF($AK$10:$AK37, $AI$11:$AI$259), ""), 0)),"")</f>
        <v/>
      </c>
      <c r="AL38" s="40" t="str">
        <f t="array" ref="AL38">IFERROR(INDEX($AI$11:$AI$259, MATCH(0, IF(TRUE=$AG$11:$AG$259, COUNTIF($AL$10:$AL37, $AI$11:$AI$259), ""), 0)),"")</f>
        <v/>
      </c>
      <c r="AM38" s="40" t="str">
        <f t="array" ref="AM38">IFERROR(INDEX($AI$11:$AI$259, MATCH(0, IF(TRUE=$AH$11:$AH$259, COUNTIF($AM$10:$AM37, $AI$11:$AI$259), ""), 0)),"")</f>
        <v/>
      </c>
      <c r="AN38" s="40"/>
      <c r="AQ38" s="35">
        <f t="shared" si="2"/>
        <v>0</v>
      </c>
    </row>
    <row r="39" spans="1:43">
      <c r="A39" s="35" t="str">
        <f>IFERROR(INDEX('G-1 All Habitats'!$AG$3:$AG$17,MATCH(E39,'G-1 All Habitats'!$AF$3:$AF$17,0)),"")</f>
        <v/>
      </c>
      <c r="B39" s="35" t="str">
        <f>IFERROR(INDEX('G-8 Condition Look up'!$I$4:$I$135,MATCH(G39,'G-8 Condition Look up'!$A$4:$A$135,0)),"")</f>
        <v/>
      </c>
      <c r="D39" s="287">
        <v>29</v>
      </c>
      <c r="E39" s="267"/>
      <c r="F39" s="61"/>
      <c r="G39" s="52" t="str">
        <f>IFERROR(INDEX('G-1 All Habitats'!$B$3:$B$134,MATCH(F39,'G-1 All Habitats'!$A$3:$A$134,0)),"")</f>
        <v/>
      </c>
      <c r="H39" s="53"/>
      <c r="I39" s="362" t="str">
        <f>IF(G39="","",VLOOKUP(G39,'G-1 All Habitats'!$B$2:$M$134,10,FALSE))</f>
        <v/>
      </c>
      <c r="J39" s="363" t="str">
        <f>IFERROR(VLOOKUP(I39,'G-1 All Habitats'!$V$3:$W$7,2,FALSE),"")</f>
        <v/>
      </c>
      <c r="K39" s="54"/>
      <c r="L39" s="363" t="str">
        <f>IFERROR(INDEX('G-8 Condition Look up'!$A$3:$H$135,MATCH(G39,'G-8 Condition Look up'!$A$3:$A$135,0),MATCH(K39,'G-8 Condition Look up'!$A$3:$H$3,0)),"")</f>
        <v/>
      </c>
      <c r="M39" s="54"/>
      <c r="N39" s="382" t="str">
        <f>IF(M39="","",IF(VLOOKUP(M39,'G-3 Multipliers'!$L$3:$N$6,2,FALSE)=0,"Spatial Data Missing",VLOOKUP(M39,'G-3 Multipliers'!$L$3:$N$6,2,FALSE)))</f>
        <v/>
      </c>
      <c r="O39" s="368" t="str">
        <f>IF(M39="","",IF(VLOOKUP(M39,'G-3 Multipliers'!$L$3:$N$6,3,FALSE)=0,"Spatial Data Missing ▲",VLOOKUP(M39,'G-3 Multipliers'!$L$3:$N$6,3,FALSE)))</f>
        <v/>
      </c>
      <c r="P39" s="369" t="str">
        <f>IFERROR(VLOOKUP(G39,'G-1 All Habitats'!$B$2:$M$134,12,FALSE),"")</f>
        <v/>
      </c>
      <c r="Q39" s="376" t="str">
        <f>IFERROR(IF(P39="","",IF(AND(P39='G-1 All Habitats'!$X$3,T39&gt;0),U39+V39,IF(AND(P39='G-1 All Habitats'!$X$3,S39&gt;0),U39+V39,IF(AND(P39='G-1 All Habitats'!$X$3,AC39&gt;0),"Any Loss Unacceptable ⚠",IF(AND(P39='G-1 All Habitats'!$X$3,W39&gt;0),"Any Loss Unacceptable ⚠",H39*J39*L39*O39))))),"Check Data ▲")</f>
        <v/>
      </c>
      <c r="R39" s="38"/>
      <c r="S39" s="54"/>
      <c r="T39" s="55"/>
      <c r="U39" s="374" t="str">
        <f t="shared" si="3"/>
        <v/>
      </c>
      <c r="V39" s="374" t="str">
        <f t="shared" si="4"/>
        <v/>
      </c>
      <c r="W39" s="374" t="str">
        <f>IF(E39="","",IF(H39&lt;S39+T39,"Error in Areas ▲",IF(P39&lt;&gt;'G-1 All Habitats'!$X$3,H39-S39-T39,IF(AND(P39='G-1 All Habitats'!$X$3,Y39="Yes"),"Unacceptable Loss ⚠",IF(AND(P39='G-1 All Habitats'!$X$3,Y39="No"),AC39,IF(AND(P39='G-1 All Habitats'!$X$3,Y39=""),AC39,IF(AND(P39='G-1 All Habitats'!$X$3,AC39="None",AC39),IF(AND(P39='G-1 All Habitats'!$X$3,AC39&gt;0),H39-S39-T39))))))))</f>
        <v/>
      </c>
      <c r="X39" s="378" t="str">
        <f>IFERROR(IF(H39="","",IF(H39-S39-T39=0&lt;0,"Error in Areas ▲",IF(S39+T39&gt;H39,"Error in Areas ▲",IF(AND(P39='G-1 All Habitats'!$X$3,Y39="Yes"),"Alternative Compensation ✓",IF(W39=0,0,IF(P39='G-1 All Habitats'!$X$3,"Any Loss Unacceptable ▲",Q39-U39-V39)))))),"Check Data ▲")</f>
        <v/>
      </c>
      <c r="Y39" s="55"/>
      <c r="Z39" s="62"/>
      <c r="AA39" s="526"/>
      <c r="AB39" s="120"/>
      <c r="AC39" s="726" t="str">
        <f>IF(P39="","",IF(P39='G-1 All Habitats'!$X$3,H39-S39-T39,"None"))</f>
        <v/>
      </c>
      <c r="AD39" s="727" t="str">
        <f>IF(P39="","", IF(P39='G-1 All Habitats'!$X$3, AC39*J39*L39*O39,"None"))</f>
        <v/>
      </c>
      <c r="AF39" s="40" t="str">
        <f t="shared" si="0"/>
        <v/>
      </c>
      <c r="AG39" s="40" t="str">
        <f t="shared" si="1"/>
        <v/>
      </c>
      <c r="AH39" s="40" t="str">
        <f>IF(I39="","",IF(#REF!&gt;0,TRUE,FALSE))</f>
        <v/>
      </c>
      <c r="AI39" s="40">
        <v>29</v>
      </c>
      <c r="AJ39" s="40"/>
      <c r="AK39" s="40" t="str">
        <f t="array" ref="AK39">IFERROR(INDEX($AI$11:$AI$259, MATCH(0, IF(TRUE=$AF$11:$AF$259, COUNTIF($AK$10:$AK38, $AI$11:$AI$259), ""), 0)),"")</f>
        <v/>
      </c>
      <c r="AL39" s="40" t="str">
        <f t="array" ref="AL39">IFERROR(INDEX($AI$11:$AI$259, MATCH(0, IF(TRUE=$AG$11:$AG$259, COUNTIF($AL$10:$AL38, $AI$11:$AI$259), ""), 0)),"")</f>
        <v/>
      </c>
      <c r="AM39" s="40" t="str">
        <f t="array" ref="AM39">IFERROR(INDEX($AI$11:$AI$259, MATCH(0, IF(TRUE=$AH$11:$AH$259, COUNTIF($AM$10:$AM38, $AI$11:$AI$259), ""), 0)),"")</f>
        <v/>
      </c>
      <c r="AN39" s="40"/>
      <c r="AQ39" s="35">
        <f t="shared" si="2"/>
        <v>0</v>
      </c>
    </row>
    <row r="40" spans="1:43">
      <c r="A40" s="35" t="str">
        <f>IFERROR(INDEX('G-1 All Habitats'!$AG$3:$AG$17,MATCH(E40,'G-1 All Habitats'!$AF$3:$AF$17,0)),"")</f>
        <v/>
      </c>
      <c r="B40" s="35" t="str">
        <f>IFERROR(INDEX('G-8 Condition Look up'!$I$4:$I$135,MATCH(G40,'G-8 Condition Look up'!$A$4:$A$135,0)),"")</f>
        <v/>
      </c>
      <c r="D40" s="287">
        <v>30</v>
      </c>
      <c r="E40" s="267"/>
      <c r="F40" s="61"/>
      <c r="G40" s="52" t="str">
        <f>IFERROR(INDEX('G-1 All Habitats'!$B$3:$B$134,MATCH(F40,'G-1 All Habitats'!$A$3:$A$134,0)),"")</f>
        <v/>
      </c>
      <c r="H40" s="53"/>
      <c r="I40" s="362" t="str">
        <f>IF(G40="","",VLOOKUP(G40,'G-1 All Habitats'!$B$2:$M$134,10,FALSE))</f>
        <v/>
      </c>
      <c r="J40" s="363" t="str">
        <f>IFERROR(VLOOKUP(I40,'G-1 All Habitats'!$V$3:$W$7,2,FALSE),"")</f>
        <v/>
      </c>
      <c r="K40" s="54"/>
      <c r="L40" s="363" t="str">
        <f>IFERROR(INDEX('G-8 Condition Look up'!$A$3:$H$135,MATCH(G40,'G-8 Condition Look up'!$A$3:$A$135,0),MATCH(K40,'G-8 Condition Look up'!$A$3:$H$3,0)),"")</f>
        <v/>
      </c>
      <c r="M40" s="54"/>
      <c r="N40" s="382" t="str">
        <f>IF(M40="","",IF(VLOOKUP(M40,'G-3 Multipliers'!$L$3:$N$6,2,FALSE)=0,"Spatial Data Missing",VLOOKUP(M40,'G-3 Multipliers'!$L$3:$N$6,2,FALSE)))</f>
        <v/>
      </c>
      <c r="O40" s="368" t="str">
        <f>IF(M40="","",IF(VLOOKUP(M40,'G-3 Multipliers'!$L$3:$N$6,3,FALSE)=0,"Spatial Data Missing ▲",VLOOKUP(M40,'G-3 Multipliers'!$L$3:$N$6,3,FALSE)))</f>
        <v/>
      </c>
      <c r="P40" s="369" t="str">
        <f>IFERROR(VLOOKUP(G40,'G-1 All Habitats'!$B$2:$M$134,12,FALSE),"")</f>
        <v/>
      </c>
      <c r="Q40" s="376" t="str">
        <f>IFERROR(IF(P40="","",IF(AND(P40='G-1 All Habitats'!$X$3,T40&gt;0),U40+V40,IF(AND(P40='G-1 All Habitats'!$X$3,S40&gt;0),U40+V40,IF(AND(P40='G-1 All Habitats'!$X$3,AC40&gt;0),"Any Loss Unacceptable ⚠",IF(AND(P40='G-1 All Habitats'!$X$3,W40&gt;0),"Any Loss Unacceptable ⚠",H40*J40*L40*O40))))),"Check Data ▲")</f>
        <v/>
      </c>
      <c r="R40" s="38"/>
      <c r="S40" s="54"/>
      <c r="T40" s="55"/>
      <c r="U40" s="374" t="str">
        <f t="shared" si="3"/>
        <v/>
      </c>
      <c r="V40" s="374" t="str">
        <f t="shared" si="4"/>
        <v/>
      </c>
      <c r="W40" s="374" t="str">
        <f>IF(E40="","",IF(H40&lt;S40+T40,"Error in Areas ▲",IF(P40&lt;&gt;'G-1 All Habitats'!$X$3,H40-S40-T40,IF(AND(P40='G-1 All Habitats'!$X$3,Y40="Yes"),"Unacceptable Loss ⚠",IF(AND(P40='G-1 All Habitats'!$X$3,Y40="No"),AC40,IF(AND(P40='G-1 All Habitats'!$X$3,Y40=""),AC40,IF(AND(P40='G-1 All Habitats'!$X$3,AC40="None",AC40),IF(AND(P40='G-1 All Habitats'!$X$3,AC40&gt;0),H40-S40-T40))))))))</f>
        <v/>
      </c>
      <c r="X40" s="378" t="str">
        <f>IFERROR(IF(H40="","",IF(H40-S40-T40=0&lt;0,"Error in Areas ▲",IF(S40+T40&gt;H40,"Error in Areas ▲",IF(AND(P40='G-1 All Habitats'!$X$3,Y40="Yes"),"Alternative Compensation ✓",IF(W40=0,0,IF(P40='G-1 All Habitats'!$X$3,"Any Loss Unacceptable ▲",Q40-U40-V40)))))),"Check Data ▲")</f>
        <v/>
      </c>
      <c r="Y40" s="55"/>
      <c r="Z40" s="62"/>
      <c r="AA40" s="526"/>
      <c r="AB40" s="120"/>
      <c r="AC40" s="726" t="str">
        <f>IF(P40="","",IF(P40='G-1 All Habitats'!$X$3,H40-S40-T40,"None"))</f>
        <v/>
      </c>
      <c r="AD40" s="727" t="str">
        <f>IF(P40="","", IF(P40='G-1 All Habitats'!$X$3, AC40*J40*L40*O40,"None"))</f>
        <v/>
      </c>
      <c r="AF40" s="40" t="str">
        <f t="shared" si="0"/>
        <v/>
      </c>
      <c r="AG40" s="40" t="str">
        <f t="shared" si="1"/>
        <v/>
      </c>
      <c r="AH40" s="40" t="str">
        <f>IF(I40="","",IF(#REF!&gt;0,TRUE,FALSE))</f>
        <v/>
      </c>
      <c r="AI40" s="40">
        <v>30</v>
      </c>
      <c r="AJ40" s="40"/>
      <c r="AK40" s="40" t="str">
        <f t="array" ref="AK40">IFERROR(INDEX($AI$11:$AI$259, MATCH(0, IF(TRUE=$AF$11:$AF$259, COUNTIF($AK$10:$AK39, $AI$11:$AI$259), ""), 0)),"")</f>
        <v/>
      </c>
      <c r="AL40" s="40" t="str">
        <f t="array" ref="AL40">IFERROR(INDEX($AI$11:$AI$259, MATCH(0, IF(TRUE=$AG$11:$AG$259, COUNTIF($AL$10:$AL39, $AI$11:$AI$259), ""), 0)),"")</f>
        <v/>
      </c>
      <c r="AM40" s="40" t="str">
        <f t="array" ref="AM40">IFERROR(INDEX($AI$11:$AI$259, MATCH(0, IF(TRUE=$AH$11:$AH$259, COUNTIF($AM$10:$AM39, $AI$11:$AI$259), ""), 0)),"")</f>
        <v/>
      </c>
      <c r="AN40" s="40"/>
      <c r="AQ40" s="35">
        <f t="shared" si="2"/>
        <v>0</v>
      </c>
    </row>
    <row r="41" spans="1:43">
      <c r="A41" s="35" t="str">
        <f>IFERROR(INDEX('G-1 All Habitats'!$AG$3:$AG$17,MATCH(E41,'G-1 All Habitats'!$AF$3:$AF$17,0)),"")</f>
        <v/>
      </c>
      <c r="B41" s="35" t="str">
        <f>IFERROR(INDEX('G-8 Condition Look up'!$I$4:$I$135,MATCH(G41,'G-8 Condition Look up'!$A$4:$A$135,0)),"")</f>
        <v/>
      </c>
      <c r="D41" s="287">
        <v>31</v>
      </c>
      <c r="E41" s="267"/>
      <c r="F41" s="61"/>
      <c r="G41" s="52" t="str">
        <f>IFERROR(INDEX('G-1 All Habitats'!$B$3:$B$134,MATCH(F41,'G-1 All Habitats'!$A$3:$A$134,0)),"")</f>
        <v/>
      </c>
      <c r="H41" s="53"/>
      <c r="I41" s="362" t="str">
        <f>IF(G41="","",VLOOKUP(G41,'G-1 All Habitats'!$B$2:$M$134,10,FALSE))</f>
        <v/>
      </c>
      <c r="J41" s="363" t="str">
        <f>IFERROR(VLOOKUP(I41,'G-1 All Habitats'!$V$3:$W$7,2,FALSE),"")</f>
        <v/>
      </c>
      <c r="K41" s="54"/>
      <c r="L41" s="363" t="str">
        <f>IFERROR(INDEX('G-8 Condition Look up'!$A$3:$H$135,MATCH(G41,'G-8 Condition Look up'!$A$3:$A$135,0),MATCH(K41,'G-8 Condition Look up'!$A$3:$H$3,0)),"")</f>
        <v/>
      </c>
      <c r="M41" s="54"/>
      <c r="N41" s="382" t="str">
        <f>IF(M41="","",IF(VLOOKUP(M41,'G-3 Multipliers'!$L$3:$N$6,2,FALSE)=0,"Spatial Data Missing",VLOOKUP(M41,'G-3 Multipliers'!$L$3:$N$6,2,FALSE)))</f>
        <v/>
      </c>
      <c r="O41" s="368" t="str">
        <f>IF(M41="","",IF(VLOOKUP(M41,'G-3 Multipliers'!$L$3:$N$6,3,FALSE)=0,"Spatial Data Missing ▲",VLOOKUP(M41,'G-3 Multipliers'!$L$3:$N$6,3,FALSE)))</f>
        <v/>
      </c>
      <c r="P41" s="369" t="str">
        <f>IFERROR(VLOOKUP(G41,'G-1 All Habitats'!$B$2:$M$134,12,FALSE),"")</f>
        <v/>
      </c>
      <c r="Q41" s="376" t="str">
        <f>IFERROR(IF(P41="","",IF(AND(P41='G-1 All Habitats'!$X$3,T41&gt;0),U41+V41,IF(AND(P41='G-1 All Habitats'!$X$3,S41&gt;0),U41+V41,IF(AND(P41='G-1 All Habitats'!$X$3,AC41&gt;0),"Any Loss Unacceptable ⚠",IF(AND(P41='G-1 All Habitats'!$X$3,W41&gt;0),"Any Loss Unacceptable ⚠",H41*J41*L41*O41))))),"Check Data ▲")</f>
        <v/>
      </c>
      <c r="R41" s="38"/>
      <c r="S41" s="54"/>
      <c r="T41" s="55"/>
      <c r="U41" s="374" t="str">
        <f t="shared" si="3"/>
        <v/>
      </c>
      <c r="V41" s="374" t="str">
        <f t="shared" si="4"/>
        <v/>
      </c>
      <c r="W41" s="374" t="str">
        <f>IF(E41="","",IF(H41&lt;S41+T41,"Error in Areas ▲",IF(P41&lt;&gt;'G-1 All Habitats'!$X$3,H41-S41-T41,IF(AND(P41='G-1 All Habitats'!$X$3,Y41="Yes"),"Unacceptable Loss ⚠",IF(AND(P41='G-1 All Habitats'!$X$3,Y41="No"),AC41,IF(AND(P41='G-1 All Habitats'!$X$3,Y41=""),AC41,IF(AND(P41='G-1 All Habitats'!$X$3,AC41="None",AC41),IF(AND(P41='G-1 All Habitats'!$X$3,AC41&gt;0),H41-S41-T41))))))))</f>
        <v/>
      </c>
      <c r="X41" s="378" t="str">
        <f>IFERROR(IF(H41="","",IF(H41-S41-T41=0&lt;0,"Error in Areas ▲",IF(S41+T41&gt;H41,"Error in Areas ▲",IF(AND(P41='G-1 All Habitats'!$X$3,Y41="Yes"),"Alternative Compensation ✓",IF(W41=0,0,IF(P41='G-1 All Habitats'!$X$3,"Any Loss Unacceptable ▲",Q41-U41-V41)))))),"Check Data ▲")</f>
        <v/>
      </c>
      <c r="Y41" s="55"/>
      <c r="Z41" s="62"/>
      <c r="AA41" s="526"/>
      <c r="AB41" s="120"/>
      <c r="AC41" s="726" t="str">
        <f>IF(P41="","",IF(P41='G-1 All Habitats'!$X$3,H41-S41-T41,"None"))</f>
        <v/>
      </c>
      <c r="AD41" s="727" t="str">
        <f>IF(P41="","", IF(P41='G-1 All Habitats'!$X$3, AC41*J41*L41*O41,"None"))</f>
        <v/>
      </c>
      <c r="AF41" s="40" t="str">
        <f t="shared" si="0"/>
        <v/>
      </c>
      <c r="AG41" s="40" t="str">
        <f t="shared" si="1"/>
        <v/>
      </c>
      <c r="AH41" s="40" t="str">
        <f>IF(I41="","",IF(#REF!&gt;0,TRUE,FALSE))</f>
        <v/>
      </c>
      <c r="AI41" s="40">
        <v>31</v>
      </c>
      <c r="AJ41" s="40"/>
      <c r="AK41" s="40" t="str">
        <f t="array" ref="AK41">IFERROR(INDEX($AI$11:$AI$259, MATCH(0, IF(TRUE=$AF$11:$AF$259, COUNTIF($AK$10:$AK40, $AI$11:$AI$259), ""), 0)),"")</f>
        <v/>
      </c>
      <c r="AL41" s="40" t="str">
        <f t="array" ref="AL41">IFERROR(INDEX($AI$11:$AI$259, MATCH(0, IF(TRUE=$AG$11:$AG$259, COUNTIF($AL$10:$AL40, $AI$11:$AI$259), ""), 0)),"")</f>
        <v/>
      </c>
      <c r="AM41" s="40" t="str">
        <f t="array" ref="AM41">IFERROR(INDEX($AI$11:$AI$259, MATCH(0, IF(TRUE=$AH$11:$AH$259, COUNTIF($AM$10:$AM40, $AI$11:$AI$259), ""), 0)),"")</f>
        <v/>
      </c>
      <c r="AN41" s="40"/>
      <c r="AQ41" s="35">
        <f t="shared" si="2"/>
        <v>0</v>
      </c>
    </row>
    <row r="42" spans="1:43">
      <c r="A42" s="35" t="str">
        <f>IFERROR(INDEX('G-1 All Habitats'!$AG$3:$AG$17,MATCH(E42,'G-1 All Habitats'!$AF$3:$AF$17,0)),"")</f>
        <v/>
      </c>
      <c r="B42" s="35" t="str">
        <f>IFERROR(INDEX('G-8 Condition Look up'!$I$4:$I$135,MATCH(G42,'G-8 Condition Look up'!$A$4:$A$135,0)),"")</f>
        <v/>
      </c>
      <c r="D42" s="287">
        <v>32</v>
      </c>
      <c r="E42" s="267"/>
      <c r="F42" s="61"/>
      <c r="G42" s="52" t="str">
        <f>IFERROR(INDEX('G-1 All Habitats'!$B$3:$B$134,MATCH(F42,'G-1 All Habitats'!$A$3:$A$134,0)),"")</f>
        <v/>
      </c>
      <c r="H42" s="53"/>
      <c r="I42" s="362" t="str">
        <f>IF(G42="","",VLOOKUP(G42,'G-1 All Habitats'!$B$2:$M$134,10,FALSE))</f>
        <v/>
      </c>
      <c r="J42" s="363" t="str">
        <f>IFERROR(VLOOKUP(I42,'G-1 All Habitats'!$V$3:$W$7,2,FALSE),"")</f>
        <v/>
      </c>
      <c r="K42" s="54"/>
      <c r="L42" s="363" t="str">
        <f>IFERROR(INDEX('G-8 Condition Look up'!$A$3:$H$135,MATCH(G42,'G-8 Condition Look up'!$A$3:$A$135,0),MATCH(K42,'G-8 Condition Look up'!$A$3:$H$3,0)),"")</f>
        <v/>
      </c>
      <c r="M42" s="54"/>
      <c r="N42" s="382" t="str">
        <f>IF(M42="","",IF(VLOOKUP(M42,'G-3 Multipliers'!$L$3:$N$6,2,FALSE)=0,"Spatial Data Missing",VLOOKUP(M42,'G-3 Multipliers'!$L$3:$N$6,2,FALSE)))</f>
        <v/>
      </c>
      <c r="O42" s="368" t="str">
        <f>IF(M42="","",IF(VLOOKUP(M42,'G-3 Multipliers'!$L$3:$N$6,3,FALSE)=0,"Spatial Data Missing ▲",VLOOKUP(M42,'G-3 Multipliers'!$L$3:$N$6,3,FALSE)))</f>
        <v/>
      </c>
      <c r="P42" s="369" t="str">
        <f>IFERROR(VLOOKUP(G42,'G-1 All Habitats'!$B$2:$M$134,12,FALSE),"")</f>
        <v/>
      </c>
      <c r="Q42" s="376" t="str">
        <f>IFERROR(IF(P42="","",IF(AND(P42='G-1 All Habitats'!$X$3,T42&gt;0),U42+V42,IF(AND(P42='G-1 All Habitats'!$X$3,S42&gt;0),U42+V42,IF(AND(P42='G-1 All Habitats'!$X$3,AC42&gt;0),"Any Loss Unacceptable ⚠",IF(AND(P42='G-1 All Habitats'!$X$3,W42&gt;0),"Any Loss Unacceptable ⚠",H42*J42*L42*O42))))),"Check Data ▲")</f>
        <v/>
      </c>
      <c r="R42" s="38"/>
      <c r="S42" s="54"/>
      <c r="T42" s="55"/>
      <c r="U42" s="374" t="str">
        <f t="shared" si="3"/>
        <v/>
      </c>
      <c r="V42" s="374" t="str">
        <f t="shared" si="4"/>
        <v/>
      </c>
      <c r="W42" s="374" t="str">
        <f>IF(E42="","",IF(H42&lt;S42+T42,"Error in Areas ▲",IF(P42&lt;&gt;'G-1 All Habitats'!$X$3,H42-S42-T42,IF(AND(P42='G-1 All Habitats'!$X$3,Y42="Yes"),"Unacceptable Loss ⚠",IF(AND(P42='G-1 All Habitats'!$X$3,Y42="No"),AC42,IF(AND(P42='G-1 All Habitats'!$X$3,Y42=""),AC42,IF(AND(P42='G-1 All Habitats'!$X$3,AC42="None",AC42),IF(AND(P42='G-1 All Habitats'!$X$3,AC42&gt;0),H42-S42-T42))))))))</f>
        <v/>
      </c>
      <c r="X42" s="378" t="str">
        <f>IFERROR(IF(H42="","",IF(H42-S42-T42=0&lt;0,"Error in Areas ▲",IF(S42+T42&gt;H42,"Error in Areas ▲",IF(AND(P42='G-1 All Habitats'!$X$3,Y42="Yes"),"Alternative Compensation ✓",IF(W42=0,0,IF(P42='G-1 All Habitats'!$X$3,"Any Loss Unacceptable ▲",Q42-U42-V42)))))),"Check Data ▲")</f>
        <v/>
      </c>
      <c r="Y42" s="55"/>
      <c r="Z42" s="62"/>
      <c r="AA42" s="526"/>
      <c r="AB42" s="120"/>
      <c r="AC42" s="726" t="str">
        <f>IF(P42="","",IF(P42='G-1 All Habitats'!$X$3,H42-S42-T42,"None"))</f>
        <v/>
      </c>
      <c r="AD42" s="727" t="str">
        <f>IF(P42="","", IF(P42='G-1 All Habitats'!$X$3, AC42*J42*L42*O42,"None"))</f>
        <v/>
      </c>
      <c r="AF42" s="40" t="str">
        <f t="shared" si="0"/>
        <v/>
      </c>
      <c r="AG42" s="40" t="str">
        <f t="shared" si="1"/>
        <v/>
      </c>
      <c r="AH42" s="40" t="str">
        <f>IF(I42="","",IF(#REF!&gt;0,TRUE,FALSE))</f>
        <v/>
      </c>
      <c r="AI42" s="40">
        <v>32</v>
      </c>
      <c r="AJ42" s="40"/>
      <c r="AK42" s="40" t="str">
        <f t="array" ref="AK42">IFERROR(INDEX($AI$11:$AI$259, MATCH(0, IF(TRUE=$AF$11:$AF$259, COUNTIF($AK$10:$AK41, $AI$11:$AI$259), ""), 0)),"")</f>
        <v/>
      </c>
      <c r="AL42" s="40" t="str">
        <f t="array" ref="AL42">IFERROR(INDEX($AI$11:$AI$259, MATCH(0, IF(TRUE=$AG$11:$AG$259, COUNTIF($AL$10:$AL41, $AI$11:$AI$259), ""), 0)),"")</f>
        <v/>
      </c>
      <c r="AM42" s="40" t="str">
        <f t="array" ref="AM42">IFERROR(INDEX($AI$11:$AI$259, MATCH(0, IF(TRUE=$AH$11:$AH$259, COUNTIF($AM$10:$AM41, $AI$11:$AI$259), ""), 0)),"")</f>
        <v/>
      </c>
      <c r="AN42" s="40"/>
      <c r="AQ42" s="35">
        <f t="shared" si="2"/>
        <v>0</v>
      </c>
    </row>
    <row r="43" spans="1:43">
      <c r="A43" s="35" t="str">
        <f>IFERROR(INDEX('G-1 All Habitats'!$AG$3:$AG$17,MATCH(E43,'G-1 All Habitats'!$AF$3:$AF$17,0)),"")</f>
        <v/>
      </c>
      <c r="B43" s="35" t="str">
        <f>IFERROR(INDEX('G-8 Condition Look up'!$I$4:$I$135,MATCH(G43,'G-8 Condition Look up'!$A$4:$A$135,0)),"")</f>
        <v/>
      </c>
      <c r="D43" s="287">
        <v>33</v>
      </c>
      <c r="E43" s="267"/>
      <c r="F43" s="61"/>
      <c r="G43" s="52" t="str">
        <f>IFERROR(INDEX('G-1 All Habitats'!$B$3:$B$134,MATCH(F43,'G-1 All Habitats'!$A$3:$A$134,0)),"")</f>
        <v/>
      </c>
      <c r="H43" s="53"/>
      <c r="I43" s="362" t="str">
        <f>IF(G43="","",VLOOKUP(G43,'G-1 All Habitats'!$B$2:$M$134,10,FALSE))</f>
        <v/>
      </c>
      <c r="J43" s="363" t="str">
        <f>IFERROR(VLOOKUP(I43,'G-1 All Habitats'!$V$3:$W$7,2,FALSE),"")</f>
        <v/>
      </c>
      <c r="K43" s="54"/>
      <c r="L43" s="363" t="str">
        <f>IFERROR(INDEX('G-8 Condition Look up'!$A$3:$H$135,MATCH(G43,'G-8 Condition Look up'!$A$3:$A$135,0),MATCH(K43,'G-8 Condition Look up'!$A$3:$H$3,0)),"")</f>
        <v/>
      </c>
      <c r="M43" s="54"/>
      <c r="N43" s="382" t="str">
        <f>IF(M43="","",IF(VLOOKUP(M43,'G-3 Multipliers'!$L$3:$N$6,2,FALSE)=0,"Spatial Data Missing",VLOOKUP(M43,'G-3 Multipliers'!$L$3:$N$6,2,FALSE)))</f>
        <v/>
      </c>
      <c r="O43" s="368" t="str">
        <f>IF(M43="","",IF(VLOOKUP(M43,'G-3 Multipliers'!$L$3:$N$6,3,FALSE)=0,"Spatial Data Missing ▲",VLOOKUP(M43,'G-3 Multipliers'!$L$3:$N$6,3,FALSE)))</f>
        <v/>
      </c>
      <c r="P43" s="369" t="str">
        <f>IFERROR(VLOOKUP(G43,'G-1 All Habitats'!$B$2:$M$134,12,FALSE),"")</f>
        <v/>
      </c>
      <c r="Q43" s="376" t="str">
        <f>IFERROR(IF(P43="","",IF(AND(P43='G-1 All Habitats'!$X$3,T43&gt;0),U43+V43,IF(AND(P43='G-1 All Habitats'!$X$3,S43&gt;0),U43+V43,IF(AND(P43='G-1 All Habitats'!$X$3,AC43&gt;0),"Any Loss Unacceptable ⚠",IF(AND(P43='G-1 All Habitats'!$X$3,W43&gt;0),"Any Loss Unacceptable ⚠",H43*J43*L43*O43))))),"Check Data ▲")</f>
        <v/>
      </c>
      <c r="R43" s="38"/>
      <c r="S43" s="54"/>
      <c r="T43" s="55"/>
      <c r="U43" s="374" t="str">
        <f t="shared" si="3"/>
        <v/>
      </c>
      <c r="V43" s="374" t="str">
        <f t="shared" si="4"/>
        <v/>
      </c>
      <c r="W43" s="374" t="str">
        <f>IF(E43="","",IF(H43&lt;S43+T43,"Error in Areas ▲",IF(P43&lt;&gt;'G-1 All Habitats'!$X$3,H43-S43-T43,IF(AND(P43='G-1 All Habitats'!$X$3,Y43="Yes"),"Unacceptable Loss ⚠",IF(AND(P43='G-1 All Habitats'!$X$3,Y43="No"),AC43,IF(AND(P43='G-1 All Habitats'!$X$3,Y43=""),AC43,IF(AND(P43='G-1 All Habitats'!$X$3,AC43="None",AC43),IF(AND(P43='G-1 All Habitats'!$X$3,AC43&gt;0),H43-S43-T43))))))))</f>
        <v/>
      </c>
      <c r="X43" s="378" t="str">
        <f>IFERROR(IF(H43="","",IF(H43-S43-T43=0&lt;0,"Error in Areas ▲",IF(S43+T43&gt;H43,"Error in Areas ▲",IF(AND(P43='G-1 All Habitats'!$X$3,Y43="Yes"),"Alternative Compensation ✓",IF(W43=0,0,IF(P43='G-1 All Habitats'!$X$3,"Any Loss Unacceptable ▲",Q43-U43-V43)))))),"Check Data ▲")</f>
        <v/>
      </c>
      <c r="Y43" s="55"/>
      <c r="Z43" s="62"/>
      <c r="AA43" s="526"/>
      <c r="AB43" s="120"/>
      <c r="AC43" s="726" t="str">
        <f>IF(P43="","",IF(P43='G-1 All Habitats'!$X$3,H43-S43-T43,"None"))</f>
        <v/>
      </c>
      <c r="AD43" s="727" t="str">
        <f>IF(P43="","", IF(P43='G-1 All Habitats'!$X$3, AC43*J43*L43*O43,"None"))</f>
        <v/>
      </c>
      <c r="AF43" s="40" t="str">
        <f t="shared" si="0"/>
        <v/>
      </c>
      <c r="AG43" s="40" t="str">
        <f t="shared" si="1"/>
        <v/>
      </c>
      <c r="AH43" s="40" t="str">
        <f>IF(I43="","",IF(#REF!&gt;0,TRUE,FALSE))</f>
        <v/>
      </c>
      <c r="AI43" s="40">
        <v>33</v>
      </c>
      <c r="AJ43" s="40"/>
      <c r="AK43" s="40" t="str">
        <f t="array" ref="AK43">IFERROR(INDEX($AI$11:$AI$259, MATCH(0, IF(TRUE=$AF$11:$AF$259, COUNTIF($AK$10:$AK42, $AI$11:$AI$259), ""), 0)),"")</f>
        <v/>
      </c>
      <c r="AL43" s="40" t="str">
        <f t="array" ref="AL43">IFERROR(INDEX($AI$11:$AI$259, MATCH(0, IF(TRUE=$AG$11:$AG$259, COUNTIF($AL$10:$AL42, $AI$11:$AI$259), ""), 0)),"")</f>
        <v/>
      </c>
      <c r="AM43" s="40" t="str">
        <f t="array" ref="AM43">IFERROR(INDEX($AI$11:$AI$259, MATCH(0, IF(TRUE=$AH$11:$AH$259, COUNTIF($AM$10:$AM42, $AI$11:$AI$259), ""), 0)),"")</f>
        <v/>
      </c>
      <c r="AN43" s="40"/>
      <c r="AQ43" s="35">
        <f t="shared" si="2"/>
        <v>0</v>
      </c>
    </row>
    <row r="44" spans="1:43">
      <c r="A44" s="35" t="str">
        <f>IFERROR(INDEX('G-1 All Habitats'!$AG$3:$AG$17,MATCH(E44,'G-1 All Habitats'!$AF$3:$AF$17,0)),"")</f>
        <v/>
      </c>
      <c r="B44" s="35" t="str">
        <f>IFERROR(INDEX('G-8 Condition Look up'!$I$4:$I$135,MATCH(G44,'G-8 Condition Look up'!$A$4:$A$135,0)),"")</f>
        <v/>
      </c>
      <c r="D44" s="287">
        <v>34</v>
      </c>
      <c r="E44" s="267"/>
      <c r="F44" s="61"/>
      <c r="G44" s="52" t="str">
        <f>IFERROR(INDEX('G-1 All Habitats'!$B$3:$B$134,MATCH(F44,'G-1 All Habitats'!$A$3:$A$134,0)),"")</f>
        <v/>
      </c>
      <c r="H44" s="53"/>
      <c r="I44" s="362" t="str">
        <f>IF(G44="","",VLOOKUP(G44,'G-1 All Habitats'!$B$2:$M$134,10,FALSE))</f>
        <v/>
      </c>
      <c r="J44" s="363" t="str">
        <f>IFERROR(VLOOKUP(I44,'G-1 All Habitats'!$V$3:$W$7,2,FALSE),"")</f>
        <v/>
      </c>
      <c r="K44" s="54"/>
      <c r="L44" s="363" t="str">
        <f>IFERROR(INDEX('G-8 Condition Look up'!$A$3:$H$135,MATCH(G44,'G-8 Condition Look up'!$A$3:$A$135,0),MATCH(K44,'G-8 Condition Look up'!$A$3:$H$3,0)),"")</f>
        <v/>
      </c>
      <c r="M44" s="54"/>
      <c r="N44" s="382" t="str">
        <f>IF(M44="","",IF(VLOOKUP(M44,'G-3 Multipliers'!$L$3:$N$6,2,FALSE)=0,"Spatial Data Missing",VLOOKUP(M44,'G-3 Multipliers'!$L$3:$N$6,2,FALSE)))</f>
        <v/>
      </c>
      <c r="O44" s="368" t="str">
        <f>IF(M44="","",IF(VLOOKUP(M44,'G-3 Multipliers'!$L$3:$N$6,3,FALSE)=0,"Spatial Data Missing ▲",VLOOKUP(M44,'G-3 Multipliers'!$L$3:$N$6,3,FALSE)))</f>
        <v/>
      </c>
      <c r="P44" s="369" t="str">
        <f>IFERROR(VLOOKUP(G44,'G-1 All Habitats'!$B$2:$M$134,12,FALSE),"")</f>
        <v/>
      </c>
      <c r="Q44" s="376" t="str">
        <f>IFERROR(IF(P44="","",IF(AND(P44='G-1 All Habitats'!$X$3,T44&gt;0),U44+V44,IF(AND(P44='G-1 All Habitats'!$X$3,S44&gt;0),U44+V44,IF(AND(P44='G-1 All Habitats'!$X$3,AC44&gt;0),"Any Loss Unacceptable ⚠",IF(AND(P44='G-1 All Habitats'!$X$3,W44&gt;0),"Any Loss Unacceptable ⚠",H44*J44*L44*O44))))),"Check Data ▲")</f>
        <v/>
      </c>
      <c r="R44" s="38"/>
      <c r="S44" s="54"/>
      <c r="T44" s="55"/>
      <c r="U44" s="374" t="str">
        <f t="shared" si="3"/>
        <v/>
      </c>
      <c r="V44" s="374" t="str">
        <f t="shared" si="4"/>
        <v/>
      </c>
      <c r="W44" s="374" t="str">
        <f>IF(E44="","",IF(H44&lt;S44+T44,"Error in Areas ▲",IF(P44&lt;&gt;'G-1 All Habitats'!$X$3,H44-S44-T44,IF(AND(P44='G-1 All Habitats'!$X$3,Y44="Yes"),"Unacceptable Loss ⚠",IF(AND(P44='G-1 All Habitats'!$X$3,Y44="No"),AC44,IF(AND(P44='G-1 All Habitats'!$X$3,Y44=""),AC44,IF(AND(P44='G-1 All Habitats'!$X$3,AC44="None",AC44),IF(AND(P44='G-1 All Habitats'!$X$3,AC44&gt;0),H44-S44-T44))))))))</f>
        <v/>
      </c>
      <c r="X44" s="378" t="str">
        <f>IFERROR(IF(H44="","",IF(H44-S44-T44=0&lt;0,"Error in Areas ▲",IF(S44+T44&gt;H44,"Error in Areas ▲",IF(AND(P44='G-1 All Habitats'!$X$3,Y44="Yes"),"Alternative Compensation ✓",IF(W44=0,0,IF(P44='G-1 All Habitats'!$X$3,"Any Loss Unacceptable ▲",Q44-U44-V44)))))),"Check Data ▲")</f>
        <v/>
      </c>
      <c r="Y44" s="55"/>
      <c r="Z44" s="62"/>
      <c r="AA44" s="526"/>
      <c r="AB44" s="120"/>
      <c r="AC44" s="726" t="str">
        <f>IF(P44="","",IF(P44='G-1 All Habitats'!$X$3,H44-S44-T44,"None"))</f>
        <v/>
      </c>
      <c r="AD44" s="727" t="str">
        <f>IF(P44="","", IF(P44='G-1 All Habitats'!$X$3, AC44*J44*L44*O44,"None"))</f>
        <v/>
      </c>
      <c r="AF44" s="40" t="str">
        <f t="shared" si="0"/>
        <v/>
      </c>
      <c r="AG44" s="40" t="str">
        <f t="shared" si="1"/>
        <v/>
      </c>
      <c r="AH44" s="40" t="str">
        <f>IF(I44="","",IF(#REF!&gt;0,TRUE,FALSE))</f>
        <v/>
      </c>
      <c r="AI44" s="40">
        <v>34</v>
      </c>
      <c r="AJ44" s="40"/>
      <c r="AK44" s="40" t="str">
        <f t="array" ref="AK44">IFERROR(INDEX($AI$11:$AI$259, MATCH(0, IF(TRUE=$AF$11:$AF$259, COUNTIF($AK$10:$AK43, $AI$11:$AI$259), ""), 0)),"")</f>
        <v/>
      </c>
      <c r="AL44" s="40" t="str">
        <f t="array" ref="AL44">IFERROR(INDEX($AI$11:$AI$259, MATCH(0, IF(TRUE=$AG$11:$AG$259, COUNTIF($AL$10:$AL43, $AI$11:$AI$259), ""), 0)),"")</f>
        <v/>
      </c>
      <c r="AM44" s="40" t="str">
        <f t="array" ref="AM44">IFERROR(INDEX($AI$11:$AI$259, MATCH(0, IF(TRUE=$AH$11:$AH$259, COUNTIF($AM$10:$AM43, $AI$11:$AI$259), ""), 0)),"")</f>
        <v/>
      </c>
      <c r="AN44" s="40"/>
      <c r="AQ44" s="35">
        <f t="shared" si="2"/>
        <v>0</v>
      </c>
    </row>
    <row r="45" spans="1:43">
      <c r="A45" s="35" t="str">
        <f>IFERROR(INDEX('G-1 All Habitats'!$AG$3:$AG$17,MATCH(E45,'G-1 All Habitats'!$AF$3:$AF$17,0)),"")</f>
        <v/>
      </c>
      <c r="B45" s="35" t="str">
        <f>IFERROR(INDEX('G-8 Condition Look up'!$I$4:$I$135,MATCH(G45,'G-8 Condition Look up'!$A$4:$A$135,0)),"")</f>
        <v/>
      </c>
      <c r="D45" s="287">
        <v>35</v>
      </c>
      <c r="E45" s="267"/>
      <c r="F45" s="61"/>
      <c r="G45" s="52" t="str">
        <f>IFERROR(INDEX('G-1 All Habitats'!$B$3:$B$134,MATCH(F45,'G-1 All Habitats'!$A$3:$A$134,0)),"")</f>
        <v/>
      </c>
      <c r="H45" s="53"/>
      <c r="I45" s="362" t="str">
        <f>IF(G45="","",VLOOKUP(G45,'G-1 All Habitats'!$B$2:$M$134,10,FALSE))</f>
        <v/>
      </c>
      <c r="J45" s="363" t="str">
        <f>IFERROR(VLOOKUP(I45,'G-1 All Habitats'!$V$3:$W$7,2,FALSE),"")</f>
        <v/>
      </c>
      <c r="K45" s="54"/>
      <c r="L45" s="363" t="str">
        <f>IFERROR(INDEX('G-8 Condition Look up'!$A$3:$H$135,MATCH(G45,'G-8 Condition Look up'!$A$3:$A$135,0),MATCH(K45,'G-8 Condition Look up'!$A$3:$H$3,0)),"")</f>
        <v/>
      </c>
      <c r="M45" s="54"/>
      <c r="N45" s="382" t="str">
        <f>IF(M45="","",IF(VLOOKUP(M45,'G-3 Multipliers'!$L$3:$N$6,2,FALSE)=0,"Spatial Data Missing",VLOOKUP(M45,'G-3 Multipliers'!$L$3:$N$6,2,FALSE)))</f>
        <v/>
      </c>
      <c r="O45" s="368" t="str">
        <f>IF(M45="","",IF(VLOOKUP(M45,'G-3 Multipliers'!$L$3:$N$6,3,FALSE)=0,"Spatial Data Missing ▲",VLOOKUP(M45,'G-3 Multipliers'!$L$3:$N$6,3,FALSE)))</f>
        <v/>
      </c>
      <c r="P45" s="369" t="str">
        <f>IFERROR(VLOOKUP(G45,'G-1 All Habitats'!$B$2:$M$134,12,FALSE),"")</f>
        <v/>
      </c>
      <c r="Q45" s="376" t="str">
        <f>IFERROR(IF(P45="","",IF(AND(P45='G-1 All Habitats'!$X$3,T45&gt;0),U45+V45,IF(AND(P45='G-1 All Habitats'!$X$3,S45&gt;0),U45+V45,IF(AND(P45='G-1 All Habitats'!$X$3,AC45&gt;0),"Any Loss Unacceptable ⚠",IF(AND(P45='G-1 All Habitats'!$X$3,W45&gt;0),"Any Loss Unacceptable ⚠",H45*J45*L45*O45))))),"Check Data ▲")</f>
        <v/>
      </c>
      <c r="R45" s="38"/>
      <c r="S45" s="54"/>
      <c r="T45" s="55"/>
      <c r="U45" s="374" t="str">
        <f t="shared" si="3"/>
        <v/>
      </c>
      <c r="V45" s="374" t="str">
        <f t="shared" si="4"/>
        <v/>
      </c>
      <c r="W45" s="374" t="str">
        <f>IF(E45="","",IF(H45&lt;S45+T45,"Error in Areas ▲",IF(P45&lt;&gt;'G-1 All Habitats'!$X$3,H45-S45-T45,IF(AND(P45='G-1 All Habitats'!$X$3,Y45="Yes"),"Unacceptable Loss ⚠",IF(AND(P45='G-1 All Habitats'!$X$3,Y45="No"),AC45,IF(AND(P45='G-1 All Habitats'!$X$3,Y45=""),AC45,IF(AND(P45='G-1 All Habitats'!$X$3,AC45="None",AC45),IF(AND(P45='G-1 All Habitats'!$X$3,AC45&gt;0),H45-S45-T45))))))))</f>
        <v/>
      </c>
      <c r="X45" s="378" t="str">
        <f>IFERROR(IF(H45="","",IF(H45-S45-T45=0&lt;0,"Error in Areas ▲",IF(S45+T45&gt;H45,"Error in Areas ▲",IF(AND(P45='G-1 All Habitats'!$X$3,Y45="Yes"),"Alternative Compensation ✓",IF(W45=0,0,IF(P45='G-1 All Habitats'!$X$3,"Any Loss Unacceptable ▲",Q45-U45-V45)))))),"Check Data ▲")</f>
        <v/>
      </c>
      <c r="Y45" s="55"/>
      <c r="Z45" s="62"/>
      <c r="AA45" s="526"/>
      <c r="AB45" s="120"/>
      <c r="AC45" s="726" t="str">
        <f>IF(P45="","",IF(P45='G-1 All Habitats'!$X$3,H45-S45-T45,"None"))</f>
        <v/>
      </c>
      <c r="AD45" s="727" t="str">
        <f>IF(P45="","", IF(P45='G-1 All Habitats'!$X$3, AC45*J45*L45*O45,"None"))</f>
        <v/>
      </c>
      <c r="AF45" s="40" t="str">
        <f t="shared" si="0"/>
        <v/>
      </c>
      <c r="AG45" s="40" t="str">
        <f t="shared" si="1"/>
        <v/>
      </c>
      <c r="AH45" s="40" t="str">
        <f>IF(I45="","",IF(#REF!&gt;0,TRUE,FALSE))</f>
        <v/>
      </c>
      <c r="AI45" s="40">
        <v>35</v>
      </c>
      <c r="AJ45" s="40"/>
      <c r="AK45" s="40" t="str">
        <f t="array" ref="AK45">IFERROR(INDEX($AI$11:$AI$259, MATCH(0, IF(TRUE=$AF$11:$AF$259, COUNTIF($AK$10:$AK44, $AI$11:$AI$259), ""), 0)),"")</f>
        <v/>
      </c>
      <c r="AL45" s="40" t="str">
        <f t="array" ref="AL45">IFERROR(INDEX($AI$11:$AI$259, MATCH(0, IF(TRUE=$AG$11:$AG$259, COUNTIF($AL$10:$AL44, $AI$11:$AI$259), ""), 0)),"")</f>
        <v/>
      </c>
      <c r="AM45" s="40" t="str">
        <f t="array" ref="AM45">IFERROR(INDEX($AI$11:$AI$259, MATCH(0, IF(TRUE=$AH$11:$AH$259, COUNTIF($AM$10:$AM44, $AI$11:$AI$259), ""), 0)),"")</f>
        <v/>
      </c>
      <c r="AN45" s="40"/>
      <c r="AQ45" s="35">
        <f t="shared" si="2"/>
        <v>0</v>
      </c>
    </row>
    <row r="46" spans="1:43">
      <c r="A46" s="35" t="str">
        <f>IFERROR(INDEX('G-1 All Habitats'!$AG$3:$AG$17,MATCH(E46,'G-1 All Habitats'!$AF$3:$AF$17,0)),"")</f>
        <v/>
      </c>
      <c r="B46" s="35" t="str">
        <f>IFERROR(INDEX('G-8 Condition Look up'!$I$4:$I$135,MATCH(G46,'G-8 Condition Look up'!$A$4:$A$135,0)),"")</f>
        <v/>
      </c>
      <c r="D46" s="287">
        <v>36</v>
      </c>
      <c r="E46" s="267"/>
      <c r="F46" s="61"/>
      <c r="G46" s="52" t="str">
        <f>IFERROR(INDEX('G-1 All Habitats'!$B$3:$B$134,MATCH(F46,'G-1 All Habitats'!$A$3:$A$134,0)),"")</f>
        <v/>
      </c>
      <c r="H46" s="53"/>
      <c r="I46" s="362" t="str">
        <f>IF(G46="","",VLOOKUP(G46,'G-1 All Habitats'!$B$2:$M$134,10,FALSE))</f>
        <v/>
      </c>
      <c r="J46" s="363" t="str">
        <f>IFERROR(VLOOKUP(I46,'G-1 All Habitats'!$V$3:$W$7,2,FALSE),"")</f>
        <v/>
      </c>
      <c r="K46" s="54"/>
      <c r="L46" s="363" t="str">
        <f>IFERROR(INDEX('G-8 Condition Look up'!$A$3:$H$135,MATCH(G46,'G-8 Condition Look up'!$A$3:$A$135,0),MATCH(K46,'G-8 Condition Look up'!$A$3:$H$3,0)),"")</f>
        <v/>
      </c>
      <c r="M46" s="54"/>
      <c r="N46" s="382" t="str">
        <f>IF(M46="","",IF(VLOOKUP(M46,'G-3 Multipliers'!$L$3:$N$6,2,FALSE)=0,"Spatial Data Missing",VLOOKUP(M46,'G-3 Multipliers'!$L$3:$N$6,2,FALSE)))</f>
        <v/>
      </c>
      <c r="O46" s="368" t="str">
        <f>IF(M46="","",IF(VLOOKUP(M46,'G-3 Multipliers'!$L$3:$N$6,3,FALSE)=0,"Spatial Data Missing ▲",VLOOKUP(M46,'G-3 Multipliers'!$L$3:$N$6,3,FALSE)))</f>
        <v/>
      </c>
      <c r="P46" s="369" t="str">
        <f>IFERROR(VLOOKUP(G46,'G-1 All Habitats'!$B$2:$M$134,12,FALSE),"")</f>
        <v/>
      </c>
      <c r="Q46" s="376" t="str">
        <f>IFERROR(IF(P46="","",IF(AND(P46='G-1 All Habitats'!$X$3,T46&gt;0),U46+V46,IF(AND(P46='G-1 All Habitats'!$X$3,S46&gt;0),U46+V46,IF(AND(P46='G-1 All Habitats'!$X$3,AC46&gt;0),"Any Loss Unacceptable ⚠",IF(AND(P46='G-1 All Habitats'!$X$3,W46&gt;0),"Any Loss Unacceptable ⚠",H46*J46*L46*O46))))),"Check Data ▲")</f>
        <v/>
      </c>
      <c r="R46" s="38"/>
      <c r="S46" s="54"/>
      <c r="T46" s="55"/>
      <c r="U46" s="374" t="str">
        <f t="shared" si="3"/>
        <v/>
      </c>
      <c r="V46" s="374" t="str">
        <f t="shared" si="4"/>
        <v/>
      </c>
      <c r="W46" s="374" t="str">
        <f>IF(E46="","",IF(H46&lt;S46+T46,"Error in Areas ▲",IF(P46&lt;&gt;'G-1 All Habitats'!$X$3,H46-S46-T46,IF(AND(P46='G-1 All Habitats'!$X$3,Y46="Yes"),"Unacceptable Loss ⚠",IF(AND(P46='G-1 All Habitats'!$X$3,Y46="No"),AC46,IF(AND(P46='G-1 All Habitats'!$X$3,Y46=""),AC46,IF(AND(P46='G-1 All Habitats'!$X$3,AC46="None",AC46),IF(AND(P46='G-1 All Habitats'!$X$3,AC46&gt;0),H46-S46-T46))))))))</f>
        <v/>
      </c>
      <c r="X46" s="378" t="str">
        <f>IFERROR(IF(H46="","",IF(H46-S46-T46=0&lt;0,"Error in Areas ▲",IF(S46+T46&gt;H46,"Error in Areas ▲",IF(AND(P46='G-1 All Habitats'!$X$3,Y46="Yes"),"Alternative Compensation ✓",IF(W46=0,0,IF(P46='G-1 All Habitats'!$X$3,"Any Loss Unacceptable ▲",Q46-U46-V46)))))),"Check Data ▲")</f>
        <v/>
      </c>
      <c r="Y46" s="55"/>
      <c r="Z46" s="62"/>
      <c r="AA46" s="526"/>
      <c r="AB46" s="120"/>
      <c r="AC46" s="726" t="str">
        <f>IF(P46="","",IF(P46='G-1 All Habitats'!$X$3,H46-S46-T46,"None"))</f>
        <v/>
      </c>
      <c r="AD46" s="727" t="str">
        <f>IF(P46="","", IF(P46='G-1 All Habitats'!$X$3, AC46*J46*L46*O46,"None"))</f>
        <v/>
      </c>
      <c r="AF46" s="40" t="str">
        <f t="shared" si="0"/>
        <v/>
      </c>
      <c r="AG46" s="40" t="str">
        <f t="shared" si="1"/>
        <v/>
      </c>
      <c r="AH46" s="40" t="str">
        <f>IF(I46="","",IF(#REF!&gt;0,TRUE,FALSE))</f>
        <v/>
      </c>
      <c r="AI46" s="40">
        <v>36</v>
      </c>
      <c r="AJ46" s="40"/>
      <c r="AK46" s="40" t="str">
        <f t="array" ref="AK46">IFERROR(INDEX($AI$11:$AI$259, MATCH(0, IF(TRUE=$AF$11:$AF$259, COUNTIF($AK$10:$AK45, $AI$11:$AI$259), ""), 0)),"")</f>
        <v/>
      </c>
      <c r="AL46" s="40" t="str">
        <f t="array" ref="AL46">IFERROR(INDEX($AI$11:$AI$259, MATCH(0, IF(TRUE=$AG$11:$AG$259, COUNTIF($AL$10:$AL45, $AI$11:$AI$259), ""), 0)),"")</f>
        <v/>
      </c>
      <c r="AM46" s="40" t="str">
        <f t="array" ref="AM46">IFERROR(INDEX($AI$11:$AI$259, MATCH(0, IF(TRUE=$AH$11:$AH$259, COUNTIF($AM$10:$AM45, $AI$11:$AI$259), ""), 0)),"")</f>
        <v/>
      </c>
      <c r="AN46" s="40"/>
      <c r="AQ46" s="35">
        <f t="shared" si="2"/>
        <v>0</v>
      </c>
    </row>
    <row r="47" spans="1:43">
      <c r="A47" s="35" t="str">
        <f>IFERROR(INDEX('G-1 All Habitats'!$AG$3:$AG$17,MATCH(E47,'G-1 All Habitats'!$AF$3:$AF$17,0)),"")</f>
        <v/>
      </c>
      <c r="B47" s="35" t="str">
        <f>IFERROR(INDEX('G-8 Condition Look up'!$I$4:$I$135,MATCH(G47,'G-8 Condition Look up'!$A$4:$A$135,0)),"")</f>
        <v/>
      </c>
      <c r="D47" s="287">
        <v>37</v>
      </c>
      <c r="E47" s="267"/>
      <c r="F47" s="61"/>
      <c r="G47" s="52" t="str">
        <f>IFERROR(INDEX('G-1 All Habitats'!$B$3:$B$134,MATCH(F47,'G-1 All Habitats'!$A$3:$A$134,0)),"")</f>
        <v/>
      </c>
      <c r="H47" s="53"/>
      <c r="I47" s="362" t="str">
        <f>IF(G47="","",VLOOKUP(G47,'G-1 All Habitats'!$B$2:$M$134,10,FALSE))</f>
        <v/>
      </c>
      <c r="J47" s="363" t="str">
        <f>IFERROR(VLOOKUP(I47,'G-1 All Habitats'!$V$3:$W$7,2,FALSE),"")</f>
        <v/>
      </c>
      <c r="K47" s="54"/>
      <c r="L47" s="363" t="str">
        <f>IFERROR(INDEX('G-8 Condition Look up'!$A$3:$H$135,MATCH(G47,'G-8 Condition Look up'!$A$3:$A$135,0),MATCH(K47,'G-8 Condition Look up'!$A$3:$H$3,0)),"")</f>
        <v/>
      </c>
      <c r="M47" s="54"/>
      <c r="N47" s="382" t="str">
        <f>IF(M47="","",IF(VLOOKUP(M47,'G-3 Multipliers'!$L$3:$N$6,2,FALSE)=0,"Spatial Data Missing",VLOOKUP(M47,'G-3 Multipliers'!$L$3:$N$6,2,FALSE)))</f>
        <v/>
      </c>
      <c r="O47" s="368" t="str">
        <f>IF(M47="","",IF(VLOOKUP(M47,'G-3 Multipliers'!$L$3:$N$6,3,FALSE)=0,"Spatial Data Missing ▲",VLOOKUP(M47,'G-3 Multipliers'!$L$3:$N$6,3,FALSE)))</f>
        <v/>
      </c>
      <c r="P47" s="369" t="str">
        <f>IFERROR(VLOOKUP(G47,'G-1 All Habitats'!$B$2:$M$134,12,FALSE),"")</f>
        <v/>
      </c>
      <c r="Q47" s="376" t="str">
        <f>IFERROR(IF(P47="","",IF(AND(P47='G-1 All Habitats'!$X$3,T47&gt;0),U47+V47,IF(AND(P47='G-1 All Habitats'!$X$3,S47&gt;0),U47+V47,IF(AND(P47='G-1 All Habitats'!$X$3,AC47&gt;0),"Any Loss Unacceptable ⚠",IF(AND(P47='G-1 All Habitats'!$X$3,W47&gt;0),"Any Loss Unacceptable ⚠",H47*J47*L47*O47))))),"Check Data ▲")</f>
        <v/>
      </c>
      <c r="R47" s="38"/>
      <c r="S47" s="54"/>
      <c r="T47" s="55"/>
      <c r="U47" s="374" t="str">
        <f t="shared" si="3"/>
        <v/>
      </c>
      <c r="V47" s="374" t="str">
        <f t="shared" si="4"/>
        <v/>
      </c>
      <c r="W47" s="374" t="str">
        <f>IF(E47="","",IF(H47&lt;S47+T47,"Error in Areas ▲",IF(P47&lt;&gt;'G-1 All Habitats'!$X$3,H47-S47-T47,IF(AND(P47='G-1 All Habitats'!$X$3,Y47="Yes"),"Unacceptable Loss ⚠",IF(AND(P47='G-1 All Habitats'!$X$3,Y47="No"),AC47,IF(AND(P47='G-1 All Habitats'!$X$3,Y47=""),AC47,IF(AND(P47='G-1 All Habitats'!$X$3,AC47="None",AC47),IF(AND(P47='G-1 All Habitats'!$X$3,AC47&gt;0),H47-S47-T47))))))))</f>
        <v/>
      </c>
      <c r="X47" s="378" t="str">
        <f>IFERROR(IF(H47="","",IF(H47-S47-T47=0&lt;0,"Error in Areas ▲",IF(S47+T47&gt;H47,"Error in Areas ▲",IF(AND(P47='G-1 All Habitats'!$X$3,Y47="Yes"),"Alternative Compensation ✓",IF(W47=0,0,IF(P47='G-1 All Habitats'!$X$3,"Any Loss Unacceptable ▲",Q47-U47-V47)))))),"Check Data ▲")</f>
        <v/>
      </c>
      <c r="Y47" s="55"/>
      <c r="Z47" s="62"/>
      <c r="AA47" s="526"/>
      <c r="AB47" s="120"/>
      <c r="AC47" s="726" t="str">
        <f>IF(P47="","",IF(P47='G-1 All Habitats'!$X$3,H47-S47-T47,"None"))</f>
        <v/>
      </c>
      <c r="AD47" s="727" t="str">
        <f>IF(P47="","", IF(P47='G-1 All Habitats'!$X$3, AC47*J47*L47*O47,"None"))</f>
        <v/>
      </c>
      <c r="AF47" s="40" t="str">
        <f t="shared" si="0"/>
        <v/>
      </c>
      <c r="AG47" s="40" t="str">
        <f t="shared" si="1"/>
        <v/>
      </c>
      <c r="AH47" s="40" t="str">
        <f>IF(I47="","",IF(#REF!&gt;0,TRUE,FALSE))</f>
        <v/>
      </c>
      <c r="AI47" s="40">
        <v>37</v>
      </c>
      <c r="AJ47" s="40"/>
      <c r="AK47" s="40" t="str">
        <f t="array" ref="AK47">IFERROR(INDEX($AI$11:$AI$259, MATCH(0, IF(TRUE=$AF$11:$AF$259, COUNTIF($AK$10:$AK46, $AI$11:$AI$259), ""), 0)),"")</f>
        <v/>
      </c>
      <c r="AL47" s="40" t="str">
        <f t="array" ref="AL47">IFERROR(INDEX($AI$11:$AI$259, MATCH(0, IF(TRUE=$AG$11:$AG$259, COUNTIF($AL$10:$AL46, $AI$11:$AI$259), ""), 0)),"")</f>
        <v/>
      </c>
      <c r="AM47" s="40" t="str">
        <f t="array" ref="AM47">IFERROR(INDEX($AI$11:$AI$259, MATCH(0, IF(TRUE=$AH$11:$AH$259, COUNTIF($AM$10:$AM46, $AI$11:$AI$259), ""), 0)),"")</f>
        <v/>
      </c>
      <c r="AN47" s="40"/>
      <c r="AQ47" s="35">
        <f t="shared" si="2"/>
        <v>0</v>
      </c>
    </row>
    <row r="48" spans="1:43">
      <c r="A48" s="35" t="str">
        <f>IFERROR(INDEX('G-1 All Habitats'!$AG$3:$AG$17,MATCH(E48,'G-1 All Habitats'!$AF$3:$AF$17,0)),"")</f>
        <v/>
      </c>
      <c r="B48" s="35" t="str">
        <f>IFERROR(INDEX('G-8 Condition Look up'!$I$4:$I$135,MATCH(G48,'G-8 Condition Look up'!$A$4:$A$135,0)),"")</f>
        <v/>
      </c>
      <c r="D48" s="287">
        <v>38</v>
      </c>
      <c r="E48" s="267"/>
      <c r="F48" s="61"/>
      <c r="G48" s="52" t="str">
        <f>IFERROR(INDEX('G-1 All Habitats'!$B$3:$B$134,MATCH(F48,'G-1 All Habitats'!$A$3:$A$134,0)),"")</f>
        <v/>
      </c>
      <c r="H48" s="53"/>
      <c r="I48" s="362" t="str">
        <f>IF(G48="","",VLOOKUP(G48,'G-1 All Habitats'!$B$2:$M$134,10,FALSE))</f>
        <v/>
      </c>
      <c r="J48" s="363" t="str">
        <f>IFERROR(VLOOKUP(I48,'G-1 All Habitats'!$V$3:$W$7,2,FALSE),"")</f>
        <v/>
      </c>
      <c r="K48" s="54"/>
      <c r="L48" s="363" t="str">
        <f>IFERROR(INDEX('G-8 Condition Look up'!$A$3:$H$135,MATCH(G48,'G-8 Condition Look up'!$A$3:$A$135,0),MATCH(K48,'G-8 Condition Look up'!$A$3:$H$3,0)),"")</f>
        <v/>
      </c>
      <c r="M48" s="54"/>
      <c r="N48" s="382" t="str">
        <f>IF(M48="","",IF(VLOOKUP(M48,'G-3 Multipliers'!$L$3:$N$6,2,FALSE)=0,"Spatial Data Missing",VLOOKUP(M48,'G-3 Multipliers'!$L$3:$N$6,2,FALSE)))</f>
        <v/>
      </c>
      <c r="O48" s="368" t="str">
        <f>IF(M48="","",IF(VLOOKUP(M48,'G-3 Multipliers'!$L$3:$N$6,3,FALSE)=0,"Spatial Data Missing ▲",VLOOKUP(M48,'G-3 Multipliers'!$L$3:$N$6,3,FALSE)))</f>
        <v/>
      </c>
      <c r="P48" s="369" t="str">
        <f>IFERROR(VLOOKUP(G48,'G-1 All Habitats'!$B$2:$M$134,12,FALSE),"")</f>
        <v/>
      </c>
      <c r="Q48" s="376" t="str">
        <f>IFERROR(IF(P48="","",IF(AND(P48='G-1 All Habitats'!$X$3,T48&gt;0),U48+V48,IF(AND(P48='G-1 All Habitats'!$X$3,S48&gt;0),U48+V48,IF(AND(P48='G-1 All Habitats'!$X$3,AC48&gt;0),"Any Loss Unacceptable ⚠",IF(AND(P48='G-1 All Habitats'!$X$3,W48&gt;0),"Any Loss Unacceptable ⚠",H48*J48*L48*O48))))),"Check Data ▲")</f>
        <v/>
      </c>
      <c r="R48" s="38"/>
      <c r="S48" s="54"/>
      <c r="T48" s="55"/>
      <c r="U48" s="374" t="str">
        <f t="shared" si="3"/>
        <v/>
      </c>
      <c r="V48" s="374" t="str">
        <f t="shared" si="4"/>
        <v/>
      </c>
      <c r="W48" s="374" t="str">
        <f>IF(E48="","",IF(H48&lt;S48+T48,"Error in Areas ▲",IF(P48&lt;&gt;'G-1 All Habitats'!$X$3,H48-S48-T48,IF(AND(P48='G-1 All Habitats'!$X$3,Y48="Yes"),"Unacceptable Loss ⚠",IF(AND(P48='G-1 All Habitats'!$X$3,Y48="No"),AC48,IF(AND(P48='G-1 All Habitats'!$X$3,Y48=""),AC48,IF(AND(P48='G-1 All Habitats'!$X$3,AC48="None",AC48),IF(AND(P48='G-1 All Habitats'!$X$3,AC48&gt;0),H48-S48-T48))))))))</f>
        <v/>
      </c>
      <c r="X48" s="378" t="str">
        <f>IFERROR(IF(H48="","",IF(H48-S48-T48=0&lt;0,"Error in Areas ▲",IF(S48+T48&gt;H48,"Error in Areas ▲",IF(AND(P48='G-1 All Habitats'!$X$3,Y48="Yes"),"Alternative Compensation ✓",IF(W48=0,0,IF(P48='G-1 All Habitats'!$X$3,"Any Loss Unacceptable ▲",Q48-U48-V48)))))),"Check Data ▲")</f>
        <v/>
      </c>
      <c r="Y48" s="55"/>
      <c r="Z48" s="62"/>
      <c r="AA48" s="526"/>
      <c r="AB48" s="120"/>
      <c r="AC48" s="726" t="str">
        <f>IF(P48="","",IF(P48='G-1 All Habitats'!$X$3,H48-S48-T48,"None"))</f>
        <v/>
      </c>
      <c r="AD48" s="727" t="str">
        <f>IF(P48="","", IF(P48='G-1 All Habitats'!$X$3, AC48*J48*L48*O48,"None"))</f>
        <v/>
      </c>
      <c r="AF48" s="40" t="str">
        <f t="shared" si="0"/>
        <v/>
      </c>
      <c r="AG48" s="40" t="str">
        <f t="shared" si="1"/>
        <v/>
      </c>
      <c r="AH48" s="40" t="str">
        <f>IF(I48="","",IF(#REF!&gt;0,TRUE,FALSE))</f>
        <v/>
      </c>
      <c r="AI48" s="40">
        <v>38</v>
      </c>
      <c r="AJ48" s="40"/>
      <c r="AK48" s="40" t="str">
        <f t="array" ref="AK48">IFERROR(INDEX($AI$11:$AI$259, MATCH(0, IF(TRUE=$AF$11:$AF$259, COUNTIF($AK$10:$AK47, $AI$11:$AI$259), ""), 0)),"")</f>
        <v/>
      </c>
      <c r="AL48" s="40" t="str">
        <f t="array" ref="AL48">IFERROR(INDEX($AI$11:$AI$259, MATCH(0, IF(TRUE=$AG$11:$AG$259, COUNTIF($AL$10:$AL47, $AI$11:$AI$259), ""), 0)),"")</f>
        <v/>
      </c>
      <c r="AM48" s="40" t="str">
        <f t="array" ref="AM48">IFERROR(INDEX($AI$11:$AI$259, MATCH(0, IF(TRUE=$AH$11:$AH$259, COUNTIF($AM$10:$AM47, $AI$11:$AI$259), ""), 0)),"")</f>
        <v/>
      </c>
      <c r="AN48" s="40"/>
      <c r="AQ48" s="35">
        <f t="shared" si="2"/>
        <v>0</v>
      </c>
    </row>
    <row r="49" spans="1:43">
      <c r="A49" s="35" t="str">
        <f>IFERROR(INDEX('G-1 All Habitats'!$AG$3:$AG$17,MATCH(E49,'G-1 All Habitats'!$AF$3:$AF$17,0)),"")</f>
        <v/>
      </c>
      <c r="B49" s="35" t="str">
        <f>IFERROR(INDEX('G-8 Condition Look up'!$I$4:$I$135,MATCH(G49,'G-8 Condition Look up'!$A$4:$A$135,0)),"")</f>
        <v/>
      </c>
      <c r="D49" s="287">
        <v>39</v>
      </c>
      <c r="E49" s="267"/>
      <c r="F49" s="61"/>
      <c r="G49" s="52" t="str">
        <f>IFERROR(INDEX('G-1 All Habitats'!$B$3:$B$134,MATCH(F49,'G-1 All Habitats'!$A$3:$A$134,0)),"")</f>
        <v/>
      </c>
      <c r="H49" s="53"/>
      <c r="I49" s="362" t="str">
        <f>IF(G49="","",VLOOKUP(G49,'G-1 All Habitats'!$B$2:$M$134,10,FALSE))</f>
        <v/>
      </c>
      <c r="J49" s="363" t="str">
        <f>IFERROR(VLOOKUP(I49,'G-1 All Habitats'!$V$3:$W$7,2,FALSE),"")</f>
        <v/>
      </c>
      <c r="K49" s="54"/>
      <c r="L49" s="363" t="str">
        <f>IFERROR(INDEX('G-8 Condition Look up'!$A$3:$H$135,MATCH(G49,'G-8 Condition Look up'!$A$3:$A$135,0),MATCH(K49,'G-8 Condition Look up'!$A$3:$H$3,0)),"")</f>
        <v/>
      </c>
      <c r="M49" s="54"/>
      <c r="N49" s="382" t="str">
        <f>IF(M49="","",IF(VLOOKUP(M49,'G-3 Multipliers'!$L$3:$N$6,2,FALSE)=0,"Spatial Data Missing",VLOOKUP(M49,'G-3 Multipliers'!$L$3:$N$6,2,FALSE)))</f>
        <v/>
      </c>
      <c r="O49" s="368" t="str">
        <f>IF(M49="","",IF(VLOOKUP(M49,'G-3 Multipliers'!$L$3:$N$6,3,FALSE)=0,"Spatial Data Missing ▲",VLOOKUP(M49,'G-3 Multipliers'!$L$3:$N$6,3,FALSE)))</f>
        <v/>
      </c>
      <c r="P49" s="369" t="str">
        <f>IFERROR(VLOOKUP(G49,'G-1 All Habitats'!$B$2:$M$134,12,FALSE),"")</f>
        <v/>
      </c>
      <c r="Q49" s="376" t="str">
        <f>IFERROR(IF(P49="","",IF(AND(P49='G-1 All Habitats'!$X$3,T49&gt;0),U49+V49,IF(AND(P49='G-1 All Habitats'!$X$3,S49&gt;0),U49+V49,IF(AND(P49='G-1 All Habitats'!$X$3,AC49&gt;0),"Any Loss Unacceptable ⚠",IF(AND(P49='G-1 All Habitats'!$X$3,W49&gt;0),"Any Loss Unacceptable ⚠",H49*J49*L49*O49))))),"Check Data ▲")</f>
        <v/>
      </c>
      <c r="R49" s="38"/>
      <c r="S49" s="54"/>
      <c r="T49" s="55"/>
      <c r="U49" s="374" t="str">
        <f t="shared" si="3"/>
        <v/>
      </c>
      <c r="V49" s="374" t="str">
        <f t="shared" si="4"/>
        <v/>
      </c>
      <c r="W49" s="374" t="str">
        <f>IF(E49="","",IF(H49&lt;S49+T49,"Error in Areas ▲",IF(P49&lt;&gt;'G-1 All Habitats'!$X$3,H49-S49-T49,IF(AND(P49='G-1 All Habitats'!$X$3,Y49="Yes"),"Unacceptable Loss ⚠",IF(AND(P49='G-1 All Habitats'!$X$3,Y49="No"),AC49,IF(AND(P49='G-1 All Habitats'!$X$3,Y49=""),AC49,IF(AND(P49='G-1 All Habitats'!$X$3,AC49="None",AC49),IF(AND(P49='G-1 All Habitats'!$X$3,AC49&gt;0),H49-S49-T49))))))))</f>
        <v/>
      </c>
      <c r="X49" s="378" t="str">
        <f>IFERROR(IF(H49="","",IF(H49-S49-T49=0&lt;0,"Error in Areas ▲",IF(S49+T49&gt;H49,"Error in Areas ▲",IF(AND(P49='G-1 All Habitats'!$X$3,Y49="Yes"),"Alternative Compensation ✓",IF(W49=0,0,IF(P49='G-1 All Habitats'!$X$3,"Any Loss Unacceptable ▲",Q49-U49-V49)))))),"Check Data ▲")</f>
        <v/>
      </c>
      <c r="Y49" s="55"/>
      <c r="Z49" s="62"/>
      <c r="AA49" s="526"/>
      <c r="AB49" s="120"/>
      <c r="AC49" s="726" t="str">
        <f>IF(P49="","",IF(P49='G-1 All Habitats'!$X$3,H49-S49-T49,"None"))</f>
        <v/>
      </c>
      <c r="AD49" s="727" t="str">
        <f>IF(P49="","", IF(P49='G-1 All Habitats'!$X$3, AC49*J49*L49*O49,"None"))</f>
        <v/>
      </c>
      <c r="AF49" s="40" t="str">
        <f t="shared" si="0"/>
        <v/>
      </c>
      <c r="AG49" s="40" t="str">
        <f t="shared" si="1"/>
        <v/>
      </c>
      <c r="AH49" s="40" t="str">
        <f>IF(I49="","",IF(#REF!&gt;0,TRUE,FALSE))</f>
        <v/>
      </c>
      <c r="AI49" s="40">
        <v>39</v>
      </c>
      <c r="AJ49" s="40"/>
      <c r="AK49" s="40" t="str">
        <f t="array" ref="AK49">IFERROR(INDEX($AI$11:$AI$259, MATCH(0, IF(TRUE=$AF$11:$AF$259, COUNTIF($AK$10:$AK48, $AI$11:$AI$259), ""), 0)),"")</f>
        <v/>
      </c>
      <c r="AL49" s="40" t="str">
        <f t="array" ref="AL49">IFERROR(INDEX($AI$11:$AI$259, MATCH(0, IF(TRUE=$AG$11:$AG$259, COUNTIF($AL$10:$AL48, $AI$11:$AI$259), ""), 0)),"")</f>
        <v/>
      </c>
      <c r="AM49" s="40" t="str">
        <f t="array" ref="AM49">IFERROR(INDEX($AI$11:$AI$259, MATCH(0, IF(TRUE=$AH$11:$AH$259, COUNTIF($AM$10:$AM48, $AI$11:$AI$259), ""), 0)),"")</f>
        <v/>
      </c>
      <c r="AN49" s="40"/>
      <c r="AQ49" s="35">
        <f t="shared" si="2"/>
        <v>0</v>
      </c>
    </row>
    <row r="50" spans="1:43">
      <c r="A50" s="35" t="str">
        <f>IFERROR(INDEX('G-1 All Habitats'!$AG$3:$AG$17,MATCH(E50,'G-1 All Habitats'!$AF$3:$AF$17,0)),"")</f>
        <v/>
      </c>
      <c r="B50" s="35" t="str">
        <f>IFERROR(INDEX('G-8 Condition Look up'!$I$4:$I$135,MATCH(G50,'G-8 Condition Look up'!$A$4:$A$135,0)),"")</f>
        <v/>
      </c>
      <c r="D50" s="287">
        <v>40</v>
      </c>
      <c r="E50" s="267"/>
      <c r="F50" s="61"/>
      <c r="G50" s="52" t="str">
        <f>IFERROR(INDEX('G-1 All Habitats'!$B$3:$B$134,MATCH(F50,'G-1 All Habitats'!$A$3:$A$134,0)),"")</f>
        <v/>
      </c>
      <c r="H50" s="53"/>
      <c r="I50" s="362" t="str">
        <f>IF(G50="","",VLOOKUP(G50,'G-1 All Habitats'!$B$2:$M$134,10,FALSE))</f>
        <v/>
      </c>
      <c r="J50" s="363" t="str">
        <f>IFERROR(VLOOKUP(I50,'G-1 All Habitats'!$V$3:$W$7,2,FALSE),"")</f>
        <v/>
      </c>
      <c r="K50" s="54"/>
      <c r="L50" s="363" t="str">
        <f>IFERROR(INDEX('G-8 Condition Look up'!$A$3:$H$135,MATCH(G50,'G-8 Condition Look up'!$A$3:$A$135,0),MATCH(K50,'G-8 Condition Look up'!$A$3:$H$3,0)),"")</f>
        <v/>
      </c>
      <c r="M50" s="54"/>
      <c r="N50" s="382" t="str">
        <f>IF(M50="","",IF(VLOOKUP(M50,'G-3 Multipliers'!$L$3:$N$6,2,FALSE)=0,"Spatial Data Missing",VLOOKUP(M50,'G-3 Multipliers'!$L$3:$N$6,2,FALSE)))</f>
        <v/>
      </c>
      <c r="O50" s="368" t="str">
        <f>IF(M50="","",IF(VLOOKUP(M50,'G-3 Multipliers'!$L$3:$N$6,3,FALSE)=0,"Spatial Data Missing ▲",VLOOKUP(M50,'G-3 Multipliers'!$L$3:$N$6,3,FALSE)))</f>
        <v/>
      </c>
      <c r="P50" s="369" t="str">
        <f>IFERROR(VLOOKUP(G50,'G-1 All Habitats'!$B$2:$M$134,12,FALSE),"")</f>
        <v/>
      </c>
      <c r="Q50" s="376" t="str">
        <f>IFERROR(IF(P50="","",IF(AND(P50='G-1 All Habitats'!$X$3,T50&gt;0),U50+V50,IF(AND(P50='G-1 All Habitats'!$X$3,S50&gt;0),U50+V50,IF(AND(P50='G-1 All Habitats'!$X$3,AC50&gt;0),"Any Loss Unacceptable ⚠",IF(AND(P50='G-1 All Habitats'!$X$3,W50&gt;0),"Any Loss Unacceptable ⚠",H50*J50*L50*O50))))),"Check Data ▲")</f>
        <v/>
      </c>
      <c r="R50" s="38"/>
      <c r="S50" s="54"/>
      <c r="T50" s="55"/>
      <c r="U50" s="374" t="str">
        <f t="shared" si="3"/>
        <v/>
      </c>
      <c r="V50" s="374" t="str">
        <f t="shared" si="4"/>
        <v/>
      </c>
      <c r="W50" s="374" t="str">
        <f>IF(E50="","",IF(H50&lt;S50+T50,"Error in Areas ▲",IF(P50&lt;&gt;'G-1 All Habitats'!$X$3,H50-S50-T50,IF(AND(P50='G-1 All Habitats'!$X$3,Y50="Yes"),"Unacceptable Loss ⚠",IF(AND(P50='G-1 All Habitats'!$X$3,Y50="No"),AC50,IF(AND(P50='G-1 All Habitats'!$X$3,Y50=""),AC50,IF(AND(P50='G-1 All Habitats'!$X$3,AC50="None",AC50),IF(AND(P50='G-1 All Habitats'!$X$3,AC50&gt;0),H50-S50-T50))))))))</f>
        <v/>
      </c>
      <c r="X50" s="378" t="str">
        <f>IFERROR(IF(H50="","",IF(H50-S50-T50=0&lt;0,"Error in Areas ▲",IF(S50+T50&gt;H50,"Error in Areas ▲",IF(AND(P50='G-1 All Habitats'!$X$3,Y50="Yes"),"Alternative Compensation ✓",IF(W50=0,0,IF(P50='G-1 All Habitats'!$X$3,"Any Loss Unacceptable ▲",Q50-U50-V50)))))),"Check Data ▲")</f>
        <v/>
      </c>
      <c r="Y50" s="55"/>
      <c r="Z50" s="62"/>
      <c r="AA50" s="526"/>
      <c r="AB50" s="120"/>
      <c r="AC50" s="726" t="str">
        <f>IF(P50="","",IF(P50='G-1 All Habitats'!$X$3,H50-S50-T50,"None"))</f>
        <v/>
      </c>
      <c r="AD50" s="727" t="str">
        <f>IF(P50="","", IF(P50='G-1 All Habitats'!$X$3, AC50*J50*L50*O50,"None"))</f>
        <v/>
      </c>
      <c r="AF50" s="40" t="str">
        <f t="shared" si="0"/>
        <v/>
      </c>
      <c r="AG50" s="40" t="str">
        <f t="shared" si="1"/>
        <v/>
      </c>
      <c r="AH50" s="40" t="str">
        <f>IF(I50="","",IF(#REF!&gt;0,TRUE,FALSE))</f>
        <v/>
      </c>
      <c r="AI50" s="40">
        <v>40</v>
      </c>
      <c r="AJ50" s="40"/>
      <c r="AK50" s="40" t="str">
        <f t="array" ref="AK50">IFERROR(INDEX($AI$11:$AI$259, MATCH(0, IF(TRUE=$AF$11:$AF$259, COUNTIF($AK$10:$AK49, $AI$11:$AI$259), ""), 0)),"")</f>
        <v/>
      </c>
      <c r="AL50" s="40" t="str">
        <f t="array" ref="AL50">IFERROR(INDEX($AI$11:$AI$259, MATCH(0, IF(TRUE=$AG$11:$AG$259, COUNTIF($AL$10:$AL49, $AI$11:$AI$259), ""), 0)),"")</f>
        <v/>
      </c>
      <c r="AM50" s="40" t="str">
        <f t="array" ref="AM50">IFERROR(INDEX($AI$11:$AI$259, MATCH(0, IF(TRUE=$AH$11:$AH$259, COUNTIF($AM$10:$AM49, $AI$11:$AI$259), ""), 0)),"")</f>
        <v/>
      </c>
      <c r="AN50" s="40"/>
      <c r="AQ50" s="35">
        <f t="shared" si="2"/>
        <v>0</v>
      </c>
    </row>
    <row r="51" spans="1:43">
      <c r="A51" s="35" t="str">
        <f>IFERROR(INDEX('G-1 All Habitats'!$AG$3:$AG$17,MATCH(E51,'G-1 All Habitats'!$AF$3:$AF$17,0)),"")</f>
        <v/>
      </c>
      <c r="B51" s="35" t="str">
        <f>IFERROR(INDEX('G-8 Condition Look up'!$I$4:$I$135,MATCH(G51,'G-8 Condition Look up'!$A$4:$A$135,0)),"")</f>
        <v/>
      </c>
      <c r="D51" s="287">
        <v>41</v>
      </c>
      <c r="E51" s="267"/>
      <c r="F51" s="61"/>
      <c r="G51" s="52" t="str">
        <f>IFERROR(INDEX('G-1 All Habitats'!$B$3:$B$134,MATCH(F51,'G-1 All Habitats'!$A$3:$A$134,0)),"")</f>
        <v/>
      </c>
      <c r="H51" s="53"/>
      <c r="I51" s="362" t="str">
        <f>IF(G51="","",VLOOKUP(G51,'G-1 All Habitats'!$B$2:$M$134,10,FALSE))</f>
        <v/>
      </c>
      <c r="J51" s="363" t="str">
        <f>IFERROR(VLOOKUP(I51,'G-1 All Habitats'!$V$3:$W$7,2,FALSE),"")</f>
        <v/>
      </c>
      <c r="K51" s="54"/>
      <c r="L51" s="363" t="str">
        <f>IFERROR(INDEX('G-8 Condition Look up'!$A$3:$H$135,MATCH(G51,'G-8 Condition Look up'!$A$3:$A$135,0),MATCH(K51,'G-8 Condition Look up'!$A$3:$H$3,0)),"")</f>
        <v/>
      </c>
      <c r="M51" s="54"/>
      <c r="N51" s="382" t="str">
        <f>IF(M51="","",IF(VLOOKUP(M51,'G-3 Multipliers'!$L$3:$N$6,2,FALSE)=0,"Spatial Data Missing",VLOOKUP(M51,'G-3 Multipliers'!$L$3:$N$6,2,FALSE)))</f>
        <v/>
      </c>
      <c r="O51" s="368" t="str">
        <f>IF(M51="","",IF(VLOOKUP(M51,'G-3 Multipliers'!$L$3:$N$6,3,FALSE)=0,"Spatial Data Missing ▲",VLOOKUP(M51,'G-3 Multipliers'!$L$3:$N$6,3,FALSE)))</f>
        <v/>
      </c>
      <c r="P51" s="369" t="str">
        <f>IFERROR(VLOOKUP(G51,'G-1 All Habitats'!$B$2:$M$134,12,FALSE),"")</f>
        <v/>
      </c>
      <c r="Q51" s="376" t="str">
        <f>IFERROR(IF(P51="","",IF(AND(P51='G-1 All Habitats'!$X$3,T51&gt;0),U51+V51,IF(AND(P51='G-1 All Habitats'!$X$3,S51&gt;0),U51+V51,IF(AND(P51='G-1 All Habitats'!$X$3,AC51&gt;0),"Any Loss Unacceptable ⚠",IF(AND(P51='G-1 All Habitats'!$X$3,W51&gt;0),"Any Loss Unacceptable ⚠",H51*J51*L51*O51))))),"Check Data ▲")</f>
        <v/>
      </c>
      <c r="R51" s="38"/>
      <c r="S51" s="54"/>
      <c r="T51" s="55"/>
      <c r="U51" s="374" t="str">
        <f t="shared" si="3"/>
        <v/>
      </c>
      <c r="V51" s="374" t="str">
        <f t="shared" si="4"/>
        <v/>
      </c>
      <c r="W51" s="374" t="str">
        <f>IF(E51="","",IF(H51&lt;S51+T51,"Error in Areas ▲",IF(P51&lt;&gt;'G-1 All Habitats'!$X$3,H51-S51-T51,IF(AND(P51='G-1 All Habitats'!$X$3,Y51="Yes"),"Unacceptable Loss ⚠",IF(AND(P51='G-1 All Habitats'!$X$3,Y51="No"),AC51,IF(AND(P51='G-1 All Habitats'!$X$3,Y51=""),AC51,IF(AND(P51='G-1 All Habitats'!$X$3,AC51="None",AC51),IF(AND(P51='G-1 All Habitats'!$X$3,AC51&gt;0),H51-S51-T51))))))))</f>
        <v/>
      </c>
      <c r="X51" s="378" t="str">
        <f>IFERROR(IF(H51="","",IF(H51-S51-T51=0&lt;0,"Error in Areas ▲",IF(S51+T51&gt;H51,"Error in Areas ▲",IF(AND(P51='G-1 All Habitats'!$X$3,Y51="Yes"),"Alternative Compensation ✓",IF(W51=0,0,IF(P51='G-1 All Habitats'!$X$3,"Any Loss Unacceptable ▲",Q51-U51-V51)))))),"Check Data ▲")</f>
        <v/>
      </c>
      <c r="Y51" s="55"/>
      <c r="Z51" s="62"/>
      <c r="AA51" s="526"/>
      <c r="AB51" s="120"/>
      <c r="AC51" s="726" t="str">
        <f>IF(P51="","",IF(P51='G-1 All Habitats'!$X$3,H51-S51-T51,"None"))</f>
        <v/>
      </c>
      <c r="AD51" s="727" t="str">
        <f>IF(P51="","", IF(P51='G-1 All Habitats'!$X$3, AC51*J51*L51*O51,"None"))</f>
        <v/>
      </c>
      <c r="AF51" s="40" t="str">
        <f t="shared" si="0"/>
        <v/>
      </c>
      <c r="AG51" s="40" t="str">
        <f t="shared" si="1"/>
        <v/>
      </c>
      <c r="AH51" s="40" t="str">
        <f>IF(I51="","",IF(#REF!&gt;0,TRUE,FALSE))</f>
        <v/>
      </c>
      <c r="AI51" s="40">
        <v>41</v>
      </c>
      <c r="AJ51" s="40"/>
      <c r="AK51" s="40" t="str">
        <f t="array" ref="AK51">IFERROR(INDEX($AI$11:$AI$259, MATCH(0, IF(TRUE=$AF$11:$AF$259, COUNTIF($AK$10:$AK50, $AI$11:$AI$259), ""), 0)),"")</f>
        <v/>
      </c>
      <c r="AL51" s="40" t="str">
        <f t="array" ref="AL51">IFERROR(INDEX($AI$11:$AI$259, MATCH(0, IF(TRUE=$AG$11:$AG$259, COUNTIF($AL$10:$AL50, $AI$11:$AI$259), ""), 0)),"")</f>
        <v/>
      </c>
      <c r="AM51" s="40" t="str">
        <f t="array" ref="AM51">IFERROR(INDEX($AI$11:$AI$259, MATCH(0, IF(TRUE=$AH$11:$AH$259, COUNTIF($AM$10:$AM50, $AI$11:$AI$259), ""), 0)),"")</f>
        <v/>
      </c>
      <c r="AN51" s="40"/>
      <c r="AQ51" s="35">
        <f t="shared" si="2"/>
        <v>0</v>
      </c>
    </row>
    <row r="52" spans="1:43">
      <c r="A52" s="35" t="str">
        <f>IFERROR(INDEX('G-1 All Habitats'!$AG$3:$AG$17,MATCH(E52,'G-1 All Habitats'!$AF$3:$AF$17,0)),"")</f>
        <v/>
      </c>
      <c r="B52" s="35" t="str">
        <f>IFERROR(INDEX('G-8 Condition Look up'!$I$4:$I$135,MATCH(G52,'G-8 Condition Look up'!$A$4:$A$135,0)),"")</f>
        <v/>
      </c>
      <c r="D52" s="287">
        <v>42</v>
      </c>
      <c r="E52" s="267"/>
      <c r="F52" s="61"/>
      <c r="G52" s="52" t="str">
        <f>IFERROR(INDEX('G-1 All Habitats'!$B$3:$B$134,MATCH(F52,'G-1 All Habitats'!$A$3:$A$134,0)),"")</f>
        <v/>
      </c>
      <c r="H52" s="53"/>
      <c r="I52" s="362" t="str">
        <f>IF(G52="","",VLOOKUP(G52,'G-1 All Habitats'!$B$2:$M$134,10,FALSE))</f>
        <v/>
      </c>
      <c r="J52" s="363" t="str">
        <f>IFERROR(VLOOKUP(I52,'G-1 All Habitats'!$V$3:$W$7,2,FALSE),"")</f>
        <v/>
      </c>
      <c r="K52" s="54"/>
      <c r="L52" s="363" t="str">
        <f>IFERROR(INDEX('G-8 Condition Look up'!$A$3:$H$135,MATCH(G52,'G-8 Condition Look up'!$A$3:$A$135,0),MATCH(K52,'G-8 Condition Look up'!$A$3:$H$3,0)),"")</f>
        <v/>
      </c>
      <c r="M52" s="54"/>
      <c r="N52" s="382" t="str">
        <f>IF(M52="","",IF(VLOOKUP(M52,'G-3 Multipliers'!$L$3:$N$6,2,FALSE)=0,"Spatial Data Missing",VLOOKUP(M52,'G-3 Multipliers'!$L$3:$N$6,2,FALSE)))</f>
        <v/>
      </c>
      <c r="O52" s="368" t="str">
        <f>IF(M52="","",IF(VLOOKUP(M52,'G-3 Multipliers'!$L$3:$N$6,3,FALSE)=0,"Spatial Data Missing ▲",VLOOKUP(M52,'G-3 Multipliers'!$L$3:$N$6,3,FALSE)))</f>
        <v/>
      </c>
      <c r="P52" s="369" t="str">
        <f>IFERROR(VLOOKUP(G52,'G-1 All Habitats'!$B$2:$M$134,12,FALSE),"")</f>
        <v/>
      </c>
      <c r="Q52" s="376" t="str">
        <f>IFERROR(IF(P52="","",IF(AND(P52='G-1 All Habitats'!$X$3,T52&gt;0),U52+V52,IF(AND(P52='G-1 All Habitats'!$X$3,S52&gt;0),U52+V52,IF(AND(P52='G-1 All Habitats'!$X$3,AC52&gt;0),"Any Loss Unacceptable ⚠",IF(AND(P52='G-1 All Habitats'!$X$3,W52&gt;0),"Any Loss Unacceptable ⚠",H52*J52*L52*O52))))),"Check Data ▲")</f>
        <v/>
      </c>
      <c r="R52" s="38"/>
      <c r="S52" s="54"/>
      <c r="T52" s="55"/>
      <c r="U52" s="374" t="str">
        <f t="shared" si="3"/>
        <v/>
      </c>
      <c r="V52" s="374" t="str">
        <f t="shared" si="4"/>
        <v/>
      </c>
      <c r="W52" s="374" t="str">
        <f>IF(E52="","",IF(H52&lt;S52+T52,"Error in Areas ▲",IF(P52&lt;&gt;'G-1 All Habitats'!$X$3,H52-S52-T52,IF(AND(P52='G-1 All Habitats'!$X$3,Y52="Yes"),"Unacceptable Loss ⚠",IF(AND(P52='G-1 All Habitats'!$X$3,Y52="No"),AC52,IF(AND(P52='G-1 All Habitats'!$X$3,Y52=""),AC52,IF(AND(P52='G-1 All Habitats'!$X$3,AC52="None",AC52),IF(AND(P52='G-1 All Habitats'!$X$3,AC52&gt;0),H52-S52-T52))))))))</f>
        <v/>
      </c>
      <c r="X52" s="378" t="str">
        <f>IFERROR(IF(H52="","",IF(H52-S52-T52=0&lt;0,"Error in Areas ▲",IF(S52+T52&gt;H52,"Error in Areas ▲",IF(AND(P52='G-1 All Habitats'!$X$3,Y52="Yes"),"Alternative Compensation ✓",IF(W52=0,0,IF(P52='G-1 All Habitats'!$X$3,"Any Loss Unacceptable ▲",Q52-U52-V52)))))),"Check Data ▲")</f>
        <v/>
      </c>
      <c r="Y52" s="55"/>
      <c r="Z52" s="62"/>
      <c r="AA52" s="526"/>
      <c r="AB52" s="120"/>
      <c r="AC52" s="726" t="str">
        <f>IF(P52="","",IF(P52='G-1 All Habitats'!$X$3,H52-S52-T52,"None"))</f>
        <v/>
      </c>
      <c r="AD52" s="727" t="str">
        <f>IF(P52="","", IF(P52='G-1 All Habitats'!$X$3, AC52*J52*L52*O52,"None"))</f>
        <v/>
      </c>
      <c r="AF52" s="40" t="str">
        <f t="shared" si="0"/>
        <v/>
      </c>
      <c r="AG52" s="40" t="str">
        <f t="shared" si="1"/>
        <v/>
      </c>
      <c r="AH52" s="40" t="str">
        <f>IF(I52="","",IF(#REF!&gt;0,TRUE,FALSE))</f>
        <v/>
      </c>
      <c r="AI52" s="40">
        <v>42</v>
      </c>
      <c r="AJ52" s="40"/>
      <c r="AK52" s="40" t="str">
        <f t="array" ref="AK52">IFERROR(INDEX($AI$11:$AI$259, MATCH(0, IF(TRUE=$AF$11:$AF$259, COUNTIF($AK$10:$AK51, $AI$11:$AI$259), ""), 0)),"")</f>
        <v/>
      </c>
      <c r="AL52" s="40" t="str">
        <f t="array" ref="AL52">IFERROR(INDEX($AI$11:$AI$259, MATCH(0, IF(TRUE=$AG$11:$AG$259, COUNTIF($AL$10:$AL51, $AI$11:$AI$259), ""), 0)),"")</f>
        <v/>
      </c>
      <c r="AM52" s="40" t="str">
        <f t="array" ref="AM52">IFERROR(INDEX($AI$11:$AI$259, MATCH(0, IF(TRUE=$AH$11:$AH$259, COUNTIF($AM$10:$AM51, $AI$11:$AI$259), ""), 0)),"")</f>
        <v/>
      </c>
      <c r="AN52" s="40"/>
      <c r="AQ52" s="35">
        <f t="shared" si="2"/>
        <v>0</v>
      </c>
    </row>
    <row r="53" spans="1:43">
      <c r="A53" s="35" t="str">
        <f>IFERROR(INDEX('G-1 All Habitats'!$AG$3:$AG$17,MATCH(E53,'G-1 All Habitats'!$AF$3:$AF$17,0)),"")</f>
        <v/>
      </c>
      <c r="B53" s="35" t="str">
        <f>IFERROR(INDEX('G-8 Condition Look up'!$I$4:$I$135,MATCH(G53,'G-8 Condition Look up'!$A$4:$A$135,0)),"")</f>
        <v/>
      </c>
      <c r="D53" s="287">
        <v>43</v>
      </c>
      <c r="E53" s="267"/>
      <c r="F53" s="61"/>
      <c r="G53" s="52" t="str">
        <f>IFERROR(INDEX('G-1 All Habitats'!$B$3:$B$134,MATCH(F53,'G-1 All Habitats'!$A$3:$A$134,0)),"")</f>
        <v/>
      </c>
      <c r="H53" s="53"/>
      <c r="I53" s="362" t="str">
        <f>IF(G53="","",VLOOKUP(G53,'G-1 All Habitats'!$B$2:$M$134,10,FALSE))</f>
        <v/>
      </c>
      <c r="J53" s="363" t="str">
        <f>IFERROR(VLOOKUP(I53,'G-1 All Habitats'!$V$3:$W$7,2,FALSE),"")</f>
        <v/>
      </c>
      <c r="K53" s="54"/>
      <c r="L53" s="363" t="str">
        <f>IFERROR(INDEX('G-8 Condition Look up'!$A$3:$H$135,MATCH(G53,'G-8 Condition Look up'!$A$3:$A$135,0),MATCH(K53,'G-8 Condition Look up'!$A$3:$H$3,0)),"")</f>
        <v/>
      </c>
      <c r="M53" s="54"/>
      <c r="N53" s="382" t="str">
        <f>IF(M53="","",IF(VLOOKUP(M53,'G-3 Multipliers'!$L$3:$N$6,2,FALSE)=0,"Spatial Data Missing",VLOOKUP(M53,'G-3 Multipliers'!$L$3:$N$6,2,FALSE)))</f>
        <v/>
      </c>
      <c r="O53" s="368" t="str">
        <f>IF(M53="","",IF(VLOOKUP(M53,'G-3 Multipliers'!$L$3:$N$6,3,FALSE)=0,"Spatial Data Missing ▲",VLOOKUP(M53,'G-3 Multipliers'!$L$3:$N$6,3,FALSE)))</f>
        <v/>
      </c>
      <c r="P53" s="369" t="str">
        <f>IFERROR(VLOOKUP(G53,'G-1 All Habitats'!$B$2:$M$134,12,FALSE),"")</f>
        <v/>
      </c>
      <c r="Q53" s="376" t="str">
        <f>IFERROR(IF(P53="","",IF(AND(P53='G-1 All Habitats'!$X$3,T53&gt;0),U53+V53,IF(AND(P53='G-1 All Habitats'!$X$3,S53&gt;0),U53+V53,IF(AND(P53='G-1 All Habitats'!$X$3,AC53&gt;0),"Any Loss Unacceptable ⚠",IF(AND(P53='G-1 All Habitats'!$X$3,W53&gt;0),"Any Loss Unacceptable ⚠",H53*J53*L53*O53))))),"Check Data ▲")</f>
        <v/>
      </c>
      <c r="R53" s="38"/>
      <c r="S53" s="54"/>
      <c r="T53" s="55"/>
      <c r="U53" s="374" t="str">
        <f t="shared" si="3"/>
        <v/>
      </c>
      <c r="V53" s="374" t="str">
        <f t="shared" si="4"/>
        <v/>
      </c>
      <c r="W53" s="374" t="str">
        <f>IF(E53="","",IF(H53&lt;S53+T53,"Error in Areas ▲",IF(P53&lt;&gt;'G-1 All Habitats'!$X$3,H53-S53-T53,IF(AND(P53='G-1 All Habitats'!$X$3,Y53="Yes"),"Unacceptable Loss ⚠",IF(AND(P53='G-1 All Habitats'!$X$3,Y53="No"),AC53,IF(AND(P53='G-1 All Habitats'!$X$3,Y53=""),AC53,IF(AND(P53='G-1 All Habitats'!$X$3,AC53="None",AC53),IF(AND(P53='G-1 All Habitats'!$X$3,AC53&gt;0),H53-S53-T53))))))))</f>
        <v/>
      </c>
      <c r="X53" s="378" t="str">
        <f>IFERROR(IF(H53="","",IF(H53-S53-T53=0&lt;0,"Error in Areas ▲",IF(S53+T53&gt;H53,"Error in Areas ▲",IF(AND(P53='G-1 All Habitats'!$X$3,Y53="Yes"),"Alternative Compensation ✓",IF(W53=0,0,IF(P53='G-1 All Habitats'!$X$3,"Any Loss Unacceptable ▲",Q53-U53-V53)))))),"Check Data ▲")</f>
        <v/>
      </c>
      <c r="Y53" s="55"/>
      <c r="Z53" s="62"/>
      <c r="AA53" s="526"/>
      <c r="AB53" s="120"/>
      <c r="AC53" s="726" t="str">
        <f>IF(P53="","",IF(P53='G-1 All Habitats'!$X$3,H53-S53-T53,"None"))</f>
        <v/>
      </c>
      <c r="AD53" s="727" t="str">
        <f>IF(P53="","", IF(P53='G-1 All Habitats'!$X$3, AC53*J53*L53*O53,"None"))</f>
        <v/>
      </c>
      <c r="AF53" s="40" t="str">
        <f t="shared" si="0"/>
        <v/>
      </c>
      <c r="AG53" s="40" t="str">
        <f t="shared" si="1"/>
        <v/>
      </c>
      <c r="AH53" s="40" t="str">
        <f>IF(I53="","",IF(#REF!&gt;0,TRUE,FALSE))</f>
        <v/>
      </c>
      <c r="AI53" s="40">
        <v>43</v>
      </c>
      <c r="AJ53" s="40"/>
      <c r="AK53" s="40" t="str">
        <f t="array" ref="AK53">IFERROR(INDEX($AI$11:$AI$259, MATCH(0, IF(TRUE=$AF$11:$AF$259, COUNTIF($AK$10:$AK52, $AI$11:$AI$259), ""), 0)),"")</f>
        <v/>
      </c>
      <c r="AL53" s="40" t="str">
        <f t="array" ref="AL53">IFERROR(INDEX($AI$11:$AI$259, MATCH(0, IF(TRUE=$AG$11:$AG$259, COUNTIF($AL$10:$AL52, $AI$11:$AI$259), ""), 0)),"")</f>
        <v/>
      </c>
      <c r="AM53" s="40" t="str">
        <f t="array" ref="AM53">IFERROR(INDEX($AI$11:$AI$259, MATCH(0, IF(TRUE=$AH$11:$AH$259, COUNTIF($AM$10:$AM52, $AI$11:$AI$259), ""), 0)),"")</f>
        <v/>
      </c>
      <c r="AN53" s="40"/>
      <c r="AQ53" s="35">
        <f t="shared" si="2"/>
        <v>0</v>
      </c>
    </row>
    <row r="54" spans="1:43">
      <c r="A54" s="35" t="str">
        <f>IFERROR(INDEX('G-1 All Habitats'!$AG$3:$AG$17,MATCH(E54,'G-1 All Habitats'!$AF$3:$AF$17,0)),"")</f>
        <v/>
      </c>
      <c r="B54" s="35" t="str">
        <f>IFERROR(INDEX('G-8 Condition Look up'!$I$4:$I$135,MATCH(G54,'G-8 Condition Look up'!$A$4:$A$135,0)),"")</f>
        <v/>
      </c>
      <c r="D54" s="287">
        <v>44</v>
      </c>
      <c r="E54" s="267"/>
      <c r="F54" s="61"/>
      <c r="G54" s="52" t="str">
        <f>IFERROR(INDEX('G-1 All Habitats'!$B$3:$B$134,MATCH(F54,'G-1 All Habitats'!$A$3:$A$134,0)),"")</f>
        <v/>
      </c>
      <c r="H54" s="53"/>
      <c r="I54" s="362" t="str">
        <f>IF(G54="","",VLOOKUP(G54,'G-1 All Habitats'!$B$2:$M$134,10,FALSE))</f>
        <v/>
      </c>
      <c r="J54" s="363" t="str">
        <f>IFERROR(VLOOKUP(I54,'G-1 All Habitats'!$V$3:$W$7,2,FALSE),"")</f>
        <v/>
      </c>
      <c r="K54" s="54"/>
      <c r="L54" s="363" t="str">
        <f>IFERROR(INDEX('G-8 Condition Look up'!$A$3:$H$135,MATCH(G54,'G-8 Condition Look up'!$A$3:$A$135,0),MATCH(K54,'G-8 Condition Look up'!$A$3:$H$3,0)),"")</f>
        <v/>
      </c>
      <c r="M54" s="54"/>
      <c r="N54" s="382" t="str">
        <f>IF(M54="","",IF(VLOOKUP(M54,'G-3 Multipliers'!$L$3:$N$6,2,FALSE)=0,"Spatial Data Missing",VLOOKUP(M54,'G-3 Multipliers'!$L$3:$N$6,2,FALSE)))</f>
        <v/>
      </c>
      <c r="O54" s="368" t="str">
        <f>IF(M54="","",IF(VLOOKUP(M54,'G-3 Multipliers'!$L$3:$N$6,3,FALSE)=0,"Spatial Data Missing ▲",VLOOKUP(M54,'G-3 Multipliers'!$L$3:$N$6,3,FALSE)))</f>
        <v/>
      </c>
      <c r="P54" s="369" t="str">
        <f>IFERROR(VLOOKUP(G54,'G-1 All Habitats'!$B$2:$M$134,12,FALSE),"")</f>
        <v/>
      </c>
      <c r="Q54" s="376" t="str">
        <f>IFERROR(IF(P54="","",IF(AND(P54='G-1 All Habitats'!$X$3,T54&gt;0),U54+V54,IF(AND(P54='G-1 All Habitats'!$X$3,S54&gt;0),U54+V54,IF(AND(P54='G-1 All Habitats'!$X$3,AC54&gt;0),"Any Loss Unacceptable ⚠",IF(AND(P54='G-1 All Habitats'!$X$3,W54&gt;0),"Any Loss Unacceptable ⚠",H54*J54*L54*O54))))),"Check Data ▲")</f>
        <v/>
      </c>
      <c r="R54" s="38"/>
      <c r="S54" s="54"/>
      <c r="T54" s="55"/>
      <c r="U54" s="374" t="str">
        <f t="shared" si="3"/>
        <v/>
      </c>
      <c r="V54" s="374" t="str">
        <f t="shared" si="4"/>
        <v/>
      </c>
      <c r="W54" s="374" t="str">
        <f>IF(E54="","",IF(H54&lt;S54+T54,"Error in Areas ▲",IF(P54&lt;&gt;'G-1 All Habitats'!$X$3,H54-S54-T54,IF(AND(P54='G-1 All Habitats'!$X$3,Y54="Yes"),"Unacceptable Loss ⚠",IF(AND(P54='G-1 All Habitats'!$X$3,Y54="No"),AC54,IF(AND(P54='G-1 All Habitats'!$X$3,Y54=""),AC54,IF(AND(P54='G-1 All Habitats'!$X$3,AC54="None",AC54),IF(AND(P54='G-1 All Habitats'!$X$3,AC54&gt;0),H54-S54-T54))))))))</f>
        <v/>
      </c>
      <c r="X54" s="378" t="str">
        <f>IFERROR(IF(H54="","",IF(H54-S54-T54=0&lt;0,"Error in Areas ▲",IF(S54+T54&gt;H54,"Error in Areas ▲",IF(AND(P54='G-1 All Habitats'!$X$3,Y54="Yes"),"Alternative Compensation ✓",IF(W54=0,0,IF(P54='G-1 All Habitats'!$X$3,"Any Loss Unacceptable ▲",Q54-U54-V54)))))),"Check Data ▲")</f>
        <v/>
      </c>
      <c r="Y54" s="55"/>
      <c r="Z54" s="62"/>
      <c r="AA54" s="526"/>
      <c r="AB54" s="120"/>
      <c r="AC54" s="726" t="str">
        <f>IF(P54="","",IF(P54='G-1 All Habitats'!$X$3,H54-S54-T54,"None"))</f>
        <v/>
      </c>
      <c r="AD54" s="727" t="str">
        <f>IF(P54="","", IF(P54='G-1 All Habitats'!$X$3, AC54*J54*L54*O54,"None"))</f>
        <v/>
      </c>
      <c r="AF54" s="40" t="str">
        <f t="shared" si="0"/>
        <v/>
      </c>
      <c r="AG54" s="40" t="str">
        <f t="shared" si="1"/>
        <v/>
      </c>
      <c r="AH54" s="40" t="str">
        <f>IF(I54="","",IF(#REF!&gt;0,TRUE,FALSE))</f>
        <v/>
      </c>
      <c r="AI54" s="40">
        <v>44</v>
      </c>
      <c r="AJ54" s="40"/>
      <c r="AK54" s="40" t="str">
        <f t="array" ref="AK54">IFERROR(INDEX($AI$11:$AI$259, MATCH(0, IF(TRUE=$AF$11:$AF$259, COUNTIF($AK$10:$AK53, $AI$11:$AI$259), ""), 0)),"")</f>
        <v/>
      </c>
      <c r="AL54" s="40" t="str">
        <f t="array" ref="AL54">IFERROR(INDEX($AI$11:$AI$259, MATCH(0, IF(TRUE=$AG$11:$AG$259, COUNTIF($AL$10:$AL53, $AI$11:$AI$259), ""), 0)),"")</f>
        <v/>
      </c>
      <c r="AM54" s="40" t="str">
        <f t="array" ref="AM54">IFERROR(INDEX($AI$11:$AI$259, MATCH(0, IF(TRUE=$AH$11:$AH$259, COUNTIF($AM$10:$AM53, $AI$11:$AI$259), ""), 0)),"")</f>
        <v/>
      </c>
      <c r="AN54" s="40"/>
      <c r="AQ54" s="35">
        <f t="shared" si="2"/>
        <v>0</v>
      </c>
    </row>
    <row r="55" spans="1:43">
      <c r="A55" s="35" t="str">
        <f>IFERROR(INDEX('G-1 All Habitats'!$AG$3:$AG$17,MATCH(E55,'G-1 All Habitats'!$AF$3:$AF$17,0)),"")</f>
        <v/>
      </c>
      <c r="B55" s="35" t="str">
        <f>IFERROR(INDEX('G-8 Condition Look up'!$I$4:$I$135,MATCH(G55,'G-8 Condition Look up'!$A$4:$A$135,0)),"")</f>
        <v/>
      </c>
      <c r="D55" s="287">
        <v>45</v>
      </c>
      <c r="E55" s="267"/>
      <c r="F55" s="61"/>
      <c r="G55" s="52" t="str">
        <f>IFERROR(INDEX('G-1 All Habitats'!$B$3:$B$134,MATCH(F55,'G-1 All Habitats'!$A$3:$A$134,0)),"")</f>
        <v/>
      </c>
      <c r="H55" s="53"/>
      <c r="I55" s="362" t="str">
        <f>IF(G55="","",VLOOKUP(G55,'G-1 All Habitats'!$B$2:$M$134,10,FALSE))</f>
        <v/>
      </c>
      <c r="J55" s="363" t="str">
        <f>IFERROR(VLOOKUP(I55,'G-1 All Habitats'!$V$3:$W$7,2,FALSE),"")</f>
        <v/>
      </c>
      <c r="K55" s="54"/>
      <c r="L55" s="363" t="str">
        <f>IFERROR(INDEX('G-8 Condition Look up'!$A$3:$H$135,MATCH(G55,'G-8 Condition Look up'!$A$3:$A$135,0),MATCH(K55,'G-8 Condition Look up'!$A$3:$H$3,0)),"")</f>
        <v/>
      </c>
      <c r="M55" s="54"/>
      <c r="N55" s="382" t="str">
        <f>IF(M55="","",IF(VLOOKUP(M55,'G-3 Multipliers'!$L$3:$N$6,2,FALSE)=0,"Spatial Data Missing",VLOOKUP(M55,'G-3 Multipliers'!$L$3:$N$6,2,FALSE)))</f>
        <v/>
      </c>
      <c r="O55" s="368" t="str">
        <f>IF(M55="","",IF(VLOOKUP(M55,'G-3 Multipliers'!$L$3:$N$6,3,FALSE)=0,"Spatial Data Missing ▲",VLOOKUP(M55,'G-3 Multipliers'!$L$3:$N$6,3,FALSE)))</f>
        <v/>
      </c>
      <c r="P55" s="369" t="str">
        <f>IFERROR(VLOOKUP(G55,'G-1 All Habitats'!$B$2:$M$134,12,FALSE),"")</f>
        <v/>
      </c>
      <c r="Q55" s="376" t="str">
        <f>IFERROR(IF(P55="","",IF(AND(P55='G-1 All Habitats'!$X$3,T55&gt;0),U55+V55,IF(AND(P55='G-1 All Habitats'!$X$3,S55&gt;0),U55+V55,IF(AND(P55='G-1 All Habitats'!$X$3,AC55&gt;0),"Any Loss Unacceptable ⚠",IF(AND(P55='G-1 All Habitats'!$X$3,W55&gt;0),"Any Loss Unacceptable ⚠",H55*J55*L55*O55))))),"Check Data ▲")</f>
        <v/>
      </c>
      <c r="R55" s="38"/>
      <c r="S55" s="54"/>
      <c r="T55" s="55"/>
      <c r="U55" s="374" t="str">
        <f t="shared" si="3"/>
        <v/>
      </c>
      <c r="V55" s="374" t="str">
        <f t="shared" si="4"/>
        <v/>
      </c>
      <c r="W55" s="374" t="str">
        <f>IF(E55="","",IF(H55&lt;S55+T55,"Error in Areas ▲",IF(P55&lt;&gt;'G-1 All Habitats'!$X$3,H55-S55-T55,IF(AND(P55='G-1 All Habitats'!$X$3,Y55="Yes"),"Unacceptable Loss ⚠",IF(AND(P55='G-1 All Habitats'!$X$3,Y55="No"),AC55,IF(AND(P55='G-1 All Habitats'!$X$3,Y55=""),AC55,IF(AND(P55='G-1 All Habitats'!$X$3,AC55="None",AC55),IF(AND(P55='G-1 All Habitats'!$X$3,AC55&gt;0),H55-S55-T55))))))))</f>
        <v/>
      </c>
      <c r="X55" s="378" t="str">
        <f>IFERROR(IF(H55="","",IF(H55-S55-T55=0&lt;0,"Error in Areas ▲",IF(S55+T55&gt;H55,"Error in Areas ▲",IF(AND(P55='G-1 All Habitats'!$X$3,Y55="Yes"),"Alternative Compensation ✓",IF(W55=0,0,IF(P55='G-1 All Habitats'!$X$3,"Any Loss Unacceptable ▲",Q55-U55-V55)))))),"Check Data ▲")</f>
        <v/>
      </c>
      <c r="Y55" s="55"/>
      <c r="Z55" s="62"/>
      <c r="AA55" s="526"/>
      <c r="AB55" s="120"/>
      <c r="AC55" s="726" t="str">
        <f>IF(P55="","",IF(P55='G-1 All Habitats'!$X$3,H55-S55-T55,"None"))</f>
        <v/>
      </c>
      <c r="AD55" s="727" t="str">
        <f>IF(P55="","", IF(P55='G-1 All Habitats'!$X$3, AC55*J55*L55*O55,"None"))</f>
        <v/>
      </c>
      <c r="AF55" s="40" t="str">
        <f t="shared" si="0"/>
        <v/>
      </c>
      <c r="AG55" s="40" t="str">
        <f t="shared" si="1"/>
        <v/>
      </c>
      <c r="AH55" s="40" t="str">
        <f>IF(I55="","",IF(#REF!&gt;0,TRUE,FALSE))</f>
        <v/>
      </c>
      <c r="AI55" s="40">
        <v>45</v>
      </c>
      <c r="AJ55" s="40"/>
      <c r="AK55" s="40" t="str">
        <f t="array" ref="AK55">IFERROR(INDEX($AI$11:$AI$259, MATCH(0, IF(TRUE=$AF$11:$AF$259, COUNTIF($AK$10:$AK54, $AI$11:$AI$259), ""), 0)),"")</f>
        <v/>
      </c>
      <c r="AL55" s="40" t="str">
        <f t="array" ref="AL55">IFERROR(INDEX($AI$11:$AI$259, MATCH(0, IF(TRUE=$AG$11:$AG$259, COUNTIF($AL$10:$AL54, $AI$11:$AI$259), ""), 0)),"")</f>
        <v/>
      </c>
      <c r="AM55" s="40" t="str">
        <f t="array" ref="AM55">IFERROR(INDEX($AI$11:$AI$259, MATCH(0, IF(TRUE=$AH$11:$AH$259, COUNTIF($AM$10:$AM54, $AI$11:$AI$259), ""), 0)),"")</f>
        <v/>
      </c>
      <c r="AN55" s="40"/>
      <c r="AQ55" s="35">
        <f t="shared" si="2"/>
        <v>0</v>
      </c>
    </row>
    <row r="56" spans="1:43">
      <c r="A56" s="35" t="str">
        <f>IFERROR(INDEX('G-1 All Habitats'!$AG$3:$AG$17,MATCH(E56,'G-1 All Habitats'!$AF$3:$AF$17,0)),"")</f>
        <v/>
      </c>
      <c r="B56" s="35" t="str">
        <f>IFERROR(INDEX('G-8 Condition Look up'!$I$4:$I$135,MATCH(G56,'G-8 Condition Look up'!$A$4:$A$135,0)),"")</f>
        <v/>
      </c>
      <c r="D56" s="287">
        <v>46</v>
      </c>
      <c r="E56" s="267"/>
      <c r="F56" s="61"/>
      <c r="G56" s="52" t="str">
        <f>IFERROR(INDEX('G-1 All Habitats'!$B$3:$B$134,MATCH(F56,'G-1 All Habitats'!$A$3:$A$134,0)),"")</f>
        <v/>
      </c>
      <c r="H56" s="53"/>
      <c r="I56" s="362" t="str">
        <f>IF(G56="","",VLOOKUP(G56,'G-1 All Habitats'!$B$2:$M$134,10,FALSE))</f>
        <v/>
      </c>
      <c r="J56" s="363" t="str">
        <f>IFERROR(VLOOKUP(I56,'G-1 All Habitats'!$V$3:$W$7,2,FALSE),"")</f>
        <v/>
      </c>
      <c r="K56" s="54"/>
      <c r="L56" s="363" t="str">
        <f>IFERROR(INDEX('G-8 Condition Look up'!$A$3:$H$135,MATCH(G56,'G-8 Condition Look up'!$A$3:$A$135,0),MATCH(K56,'G-8 Condition Look up'!$A$3:$H$3,0)),"")</f>
        <v/>
      </c>
      <c r="M56" s="54"/>
      <c r="N56" s="382" t="str">
        <f>IF(M56="","",IF(VLOOKUP(M56,'G-3 Multipliers'!$L$3:$N$6,2,FALSE)=0,"Spatial Data Missing",VLOOKUP(M56,'G-3 Multipliers'!$L$3:$N$6,2,FALSE)))</f>
        <v/>
      </c>
      <c r="O56" s="368" t="str">
        <f>IF(M56="","",IF(VLOOKUP(M56,'G-3 Multipliers'!$L$3:$N$6,3,FALSE)=0,"Spatial Data Missing ▲",VLOOKUP(M56,'G-3 Multipliers'!$L$3:$N$6,3,FALSE)))</f>
        <v/>
      </c>
      <c r="P56" s="369" t="str">
        <f>IFERROR(VLOOKUP(G56,'G-1 All Habitats'!$B$2:$M$134,12,FALSE),"")</f>
        <v/>
      </c>
      <c r="Q56" s="376" t="str">
        <f>IFERROR(IF(P56="","",IF(AND(P56='G-1 All Habitats'!$X$3,T56&gt;0),U56+V56,IF(AND(P56='G-1 All Habitats'!$X$3,S56&gt;0),U56+V56,IF(AND(P56='G-1 All Habitats'!$X$3,AC56&gt;0),"Any Loss Unacceptable ⚠",IF(AND(P56='G-1 All Habitats'!$X$3,W56&gt;0),"Any Loss Unacceptable ⚠",H56*J56*L56*O56))))),"Check Data ▲")</f>
        <v/>
      </c>
      <c r="R56" s="38"/>
      <c r="S56" s="54"/>
      <c r="T56" s="55"/>
      <c r="U56" s="374" t="str">
        <f t="shared" si="3"/>
        <v/>
      </c>
      <c r="V56" s="374" t="str">
        <f t="shared" si="4"/>
        <v/>
      </c>
      <c r="W56" s="374" t="str">
        <f>IF(E56="","",IF(H56&lt;S56+T56,"Error in Areas ▲",IF(P56&lt;&gt;'G-1 All Habitats'!$X$3,H56-S56-T56,IF(AND(P56='G-1 All Habitats'!$X$3,Y56="Yes"),"Unacceptable Loss ⚠",IF(AND(P56='G-1 All Habitats'!$X$3,Y56="No"),AC56,IF(AND(P56='G-1 All Habitats'!$X$3,Y56=""),AC56,IF(AND(P56='G-1 All Habitats'!$X$3,AC56="None",AC56),IF(AND(P56='G-1 All Habitats'!$X$3,AC56&gt;0),H56-S56-T56))))))))</f>
        <v/>
      </c>
      <c r="X56" s="378" t="str">
        <f>IFERROR(IF(H56="","",IF(H56-S56-T56=0&lt;0,"Error in Areas ▲",IF(S56+T56&gt;H56,"Error in Areas ▲",IF(AND(P56='G-1 All Habitats'!$X$3,Y56="Yes"),"Alternative Compensation ✓",IF(W56=0,0,IF(P56='G-1 All Habitats'!$X$3,"Any Loss Unacceptable ▲",Q56-U56-V56)))))),"Check Data ▲")</f>
        <v/>
      </c>
      <c r="Y56" s="55"/>
      <c r="Z56" s="62"/>
      <c r="AA56" s="526"/>
      <c r="AB56" s="120"/>
      <c r="AC56" s="726" t="str">
        <f>IF(P56="","",IF(P56='G-1 All Habitats'!$X$3,H56-S56-T56,"None"))</f>
        <v/>
      </c>
      <c r="AD56" s="727" t="str">
        <f>IF(P56="","", IF(P56='G-1 All Habitats'!$X$3, AC56*J56*L56*O56,"None"))</f>
        <v/>
      </c>
      <c r="AF56" s="40" t="str">
        <f t="shared" si="0"/>
        <v/>
      </c>
      <c r="AG56" s="40" t="str">
        <f t="shared" si="1"/>
        <v/>
      </c>
      <c r="AH56" s="40" t="str">
        <f>IF(I56="","",IF(#REF!&gt;0,TRUE,FALSE))</f>
        <v/>
      </c>
      <c r="AI56" s="40">
        <v>46</v>
      </c>
      <c r="AJ56" s="40"/>
      <c r="AK56" s="40" t="str">
        <f t="array" ref="AK56">IFERROR(INDEX($AI$11:$AI$259, MATCH(0, IF(TRUE=$AF$11:$AF$259, COUNTIF($AK$10:$AK55, $AI$11:$AI$259), ""), 0)),"")</f>
        <v/>
      </c>
      <c r="AL56" s="40" t="str">
        <f t="array" ref="AL56">IFERROR(INDEX($AI$11:$AI$259, MATCH(0, IF(TRUE=$AG$11:$AG$259, COUNTIF($AL$10:$AL55, $AI$11:$AI$259), ""), 0)),"")</f>
        <v/>
      </c>
      <c r="AM56" s="40" t="str">
        <f t="array" ref="AM56">IFERROR(INDEX($AI$11:$AI$259, MATCH(0, IF(TRUE=$AH$11:$AH$259, COUNTIF($AM$10:$AM55, $AI$11:$AI$259), ""), 0)),"")</f>
        <v/>
      </c>
      <c r="AN56" s="40"/>
      <c r="AQ56" s="35">
        <f t="shared" si="2"/>
        <v>0</v>
      </c>
    </row>
    <row r="57" spans="1:43">
      <c r="A57" s="35" t="str">
        <f>IFERROR(INDEX('G-1 All Habitats'!$AG$3:$AG$17,MATCH(E57,'G-1 All Habitats'!$AF$3:$AF$17,0)),"")</f>
        <v/>
      </c>
      <c r="B57" s="35" t="str">
        <f>IFERROR(INDEX('G-8 Condition Look up'!$I$4:$I$135,MATCH(G57,'G-8 Condition Look up'!$A$4:$A$135,0)),"")</f>
        <v/>
      </c>
      <c r="D57" s="287">
        <v>47</v>
      </c>
      <c r="E57" s="267"/>
      <c r="F57" s="61"/>
      <c r="G57" s="52" t="str">
        <f>IFERROR(INDEX('G-1 All Habitats'!$B$3:$B$134,MATCH(F57,'G-1 All Habitats'!$A$3:$A$134,0)),"")</f>
        <v/>
      </c>
      <c r="H57" s="53"/>
      <c r="I57" s="362" t="str">
        <f>IF(G57="","",VLOOKUP(G57,'G-1 All Habitats'!$B$2:$M$134,10,FALSE))</f>
        <v/>
      </c>
      <c r="J57" s="363" t="str">
        <f>IFERROR(VLOOKUP(I57,'G-1 All Habitats'!$V$3:$W$7,2,FALSE),"")</f>
        <v/>
      </c>
      <c r="K57" s="54"/>
      <c r="L57" s="363" t="str">
        <f>IFERROR(INDEX('G-8 Condition Look up'!$A$3:$H$135,MATCH(G57,'G-8 Condition Look up'!$A$3:$A$135,0),MATCH(K57,'G-8 Condition Look up'!$A$3:$H$3,0)),"")</f>
        <v/>
      </c>
      <c r="M57" s="54"/>
      <c r="N57" s="382" t="str">
        <f>IF(M57="","",IF(VLOOKUP(M57,'G-3 Multipliers'!$L$3:$N$6,2,FALSE)=0,"Spatial Data Missing",VLOOKUP(M57,'G-3 Multipliers'!$L$3:$N$6,2,FALSE)))</f>
        <v/>
      </c>
      <c r="O57" s="368" t="str">
        <f>IF(M57="","",IF(VLOOKUP(M57,'G-3 Multipliers'!$L$3:$N$6,3,FALSE)=0,"Spatial Data Missing ▲",VLOOKUP(M57,'G-3 Multipliers'!$L$3:$N$6,3,FALSE)))</f>
        <v/>
      </c>
      <c r="P57" s="369" t="str">
        <f>IFERROR(VLOOKUP(G57,'G-1 All Habitats'!$B$2:$M$134,12,FALSE),"")</f>
        <v/>
      </c>
      <c r="Q57" s="376" t="str">
        <f>IFERROR(IF(P57="","",IF(AND(P57='G-1 All Habitats'!$X$3,T57&gt;0),U57+V57,IF(AND(P57='G-1 All Habitats'!$X$3,S57&gt;0),U57+V57,IF(AND(P57='G-1 All Habitats'!$X$3,AC57&gt;0),"Any Loss Unacceptable ⚠",IF(AND(P57='G-1 All Habitats'!$X$3,W57&gt;0),"Any Loss Unacceptable ⚠",H57*J57*L57*O57))))),"Check Data ▲")</f>
        <v/>
      </c>
      <c r="R57" s="38"/>
      <c r="S57" s="54"/>
      <c r="T57" s="55"/>
      <c r="U57" s="374" t="str">
        <f t="shared" si="3"/>
        <v/>
      </c>
      <c r="V57" s="374" t="str">
        <f t="shared" si="4"/>
        <v/>
      </c>
      <c r="W57" s="374" t="str">
        <f>IF(E57="","",IF(H57&lt;S57+T57,"Error in Areas ▲",IF(P57&lt;&gt;'G-1 All Habitats'!$X$3,H57-S57-T57,IF(AND(P57='G-1 All Habitats'!$X$3,Y57="Yes"),"Unacceptable Loss ⚠",IF(AND(P57='G-1 All Habitats'!$X$3,Y57="No"),AC57,IF(AND(P57='G-1 All Habitats'!$X$3,Y57=""),AC57,IF(AND(P57='G-1 All Habitats'!$X$3,AC57="None",AC57),IF(AND(P57='G-1 All Habitats'!$X$3,AC57&gt;0),H57-S57-T57))))))))</f>
        <v/>
      </c>
      <c r="X57" s="378" t="str">
        <f>IFERROR(IF(H57="","",IF(H57-S57-T57=0&lt;0,"Error in Areas ▲",IF(S57+T57&gt;H57,"Error in Areas ▲",IF(AND(P57='G-1 All Habitats'!$X$3,Y57="Yes"),"Alternative Compensation ✓",IF(W57=0,0,IF(P57='G-1 All Habitats'!$X$3,"Any Loss Unacceptable ▲",Q57-U57-V57)))))),"Check Data ▲")</f>
        <v/>
      </c>
      <c r="Y57" s="55"/>
      <c r="Z57" s="62"/>
      <c r="AA57" s="526"/>
      <c r="AB57" s="120"/>
      <c r="AC57" s="726" t="str">
        <f>IF(P57="","",IF(P57='G-1 All Habitats'!$X$3,H57-S57-T57,"None"))</f>
        <v/>
      </c>
      <c r="AD57" s="727" t="str">
        <f>IF(P57="","", IF(P57='G-1 All Habitats'!$X$3, AC57*J57*L57*O57,"None"))</f>
        <v/>
      </c>
      <c r="AF57" s="40" t="str">
        <f t="shared" si="0"/>
        <v/>
      </c>
      <c r="AG57" s="40" t="str">
        <f t="shared" si="1"/>
        <v/>
      </c>
      <c r="AH57" s="40" t="str">
        <f>IF(I57="","",IF(#REF!&gt;0,TRUE,FALSE))</f>
        <v/>
      </c>
      <c r="AI57" s="40">
        <v>47</v>
      </c>
      <c r="AJ57" s="40"/>
      <c r="AK57" s="40" t="str">
        <f t="array" ref="AK57">IFERROR(INDEX($AI$11:$AI$259, MATCH(0, IF(TRUE=$AF$11:$AF$259, COUNTIF($AK$10:$AK56, $AI$11:$AI$259), ""), 0)),"")</f>
        <v/>
      </c>
      <c r="AL57" s="40" t="str">
        <f t="array" ref="AL57">IFERROR(INDEX($AI$11:$AI$259, MATCH(0, IF(TRUE=$AG$11:$AG$259, COUNTIF($AL$10:$AL56, $AI$11:$AI$259), ""), 0)),"")</f>
        <v/>
      </c>
      <c r="AM57" s="40" t="str">
        <f t="array" ref="AM57">IFERROR(INDEX($AI$11:$AI$259, MATCH(0, IF(TRUE=$AH$11:$AH$259, COUNTIF($AM$10:$AM56, $AI$11:$AI$259), ""), 0)),"")</f>
        <v/>
      </c>
      <c r="AN57" s="40"/>
      <c r="AQ57" s="35">
        <f t="shared" si="2"/>
        <v>0</v>
      </c>
    </row>
    <row r="58" spans="1:43">
      <c r="A58" s="35" t="str">
        <f>IFERROR(INDEX('G-1 All Habitats'!$AG$3:$AG$17,MATCH(E58,'G-1 All Habitats'!$AF$3:$AF$17,0)),"")</f>
        <v/>
      </c>
      <c r="B58" s="35" t="str">
        <f>IFERROR(INDEX('G-8 Condition Look up'!$I$4:$I$135,MATCH(G58,'G-8 Condition Look up'!$A$4:$A$135,0)),"")</f>
        <v/>
      </c>
      <c r="D58" s="287">
        <v>48</v>
      </c>
      <c r="E58" s="267"/>
      <c r="F58" s="61"/>
      <c r="G58" s="52" t="str">
        <f>IFERROR(INDEX('G-1 All Habitats'!$B$3:$B$134,MATCH(F58,'G-1 All Habitats'!$A$3:$A$134,0)),"")</f>
        <v/>
      </c>
      <c r="H58" s="53"/>
      <c r="I58" s="362" t="str">
        <f>IF(G58="","",VLOOKUP(G58,'G-1 All Habitats'!$B$2:$M$134,10,FALSE))</f>
        <v/>
      </c>
      <c r="J58" s="363" t="str">
        <f>IFERROR(VLOOKUP(I58,'G-1 All Habitats'!$V$3:$W$7,2,FALSE),"")</f>
        <v/>
      </c>
      <c r="K58" s="54"/>
      <c r="L58" s="363" t="str">
        <f>IFERROR(INDEX('G-8 Condition Look up'!$A$3:$H$135,MATCH(G58,'G-8 Condition Look up'!$A$3:$A$135,0),MATCH(K58,'G-8 Condition Look up'!$A$3:$H$3,0)),"")</f>
        <v/>
      </c>
      <c r="M58" s="54"/>
      <c r="N58" s="382" t="str">
        <f>IF(M58="","",IF(VLOOKUP(M58,'G-3 Multipliers'!$L$3:$N$6,2,FALSE)=0,"Spatial Data Missing",VLOOKUP(M58,'G-3 Multipliers'!$L$3:$N$6,2,FALSE)))</f>
        <v/>
      </c>
      <c r="O58" s="368" t="str">
        <f>IF(M58="","",IF(VLOOKUP(M58,'G-3 Multipliers'!$L$3:$N$6,3,FALSE)=0,"Spatial Data Missing ▲",VLOOKUP(M58,'G-3 Multipliers'!$L$3:$N$6,3,FALSE)))</f>
        <v/>
      </c>
      <c r="P58" s="369" t="str">
        <f>IFERROR(VLOOKUP(G58,'G-1 All Habitats'!$B$2:$M$134,12,FALSE),"")</f>
        <v/>
      </c>
      <c r="Q58" s="376" t="str">
        <f>IFERROR(IF(P58="","",IF(AND(P58='G-1 All Habitats'!$X$3,T58&gt;0),U58+V58,IF(AND(P58='G-1 All Habitats'!$X$3,S58&gt;0),U58+V58,IF(AND(P58='G-1 All Habitats'!$X$3,AC58&gt;0),"Any Loss Unacceptable ⚠",IF(AND(P58='G-1 All Habitats'!$X$3,W58&gt;0),"Any Loss Unacceptable ⚠",H58*J58*L58*O58))))),"Check Data ▲")</f>
        <v/>
      </c>
      <c r="R58" s="38"/>
      <c r="S58" s="54"/>
      <c r="T58" s="55"/>
      <c r="U58" s="374" t="str">
        <f t="shared" si="3"/>
        <v/>
      </c>
      <c r="V58" s="374" t="str">
        <f t="shared" si="4"/>
        <v/>
      </c>
      <c r="W58" s="374" t="str">
        <f>IF(E58="","",IF(H58&lt;S58+T58,"Error in Areas ▲",IF(P58&lt;&gt;'G-1 All Habitats'!$X$3,H58-S58-T58,IF(AND(P58='G-1 All Habitats'!$X$3,Y58="Yes"),"Unacceptable Loss ⚠",IF(AND(P58='G-1 All Habitats'!$X$3,Y58="No"),AC58,IF(AND(P58='G-1 All Habitats'!$X$3,Y58=""),AC58,IF(AND(P58='G-1 All Habitats'!$X$3,AC58="None",AC58),IF(AND(P58='G-1 All Habitats'!$X$3,AC58&gt;0),H58-S58-T58))))))))</f>
        <v/>
      </c>
      <c r="X58" s="378" t="str">
        <f>IFERROR(IF(H58="","",IF(H58-S58-T58=0&lt;0,"Error in Areas ▲",IF(S58+T58&gt;H58,"Error in Areas ▲",IF(AND(P58='G-1 All Habitats'!$X$3,Y58="Yes"),"Alternative Compensation ✓",IF(W58=0,0,IF(P58='G-1 All Habitats'!$X$3,"Any Loss Unacceptable ▲",Q58-U58-V58)))))),"Check Data ▲")</f>
        <v/>
      </c>
      <c r="Y58" s="55"/>
      <c r="Z58" s="62"/>
      <c r="AA58" s="526"/>
      <c r="AB58" s="120"/>
      <c r="AC58" s="726" t="str">
        <f>IF(P58="","",IF(P58='G-1 All Habitats'!$X$3,H58-S58-T58,"None"))</f>
        <v/>
      </c>
      <c r="AD58" s="727" t="str">
        <f>IF(P58="","", IF(P58='G-1 All Habitats'!$X$3, AC58*J58*L58*O58,"None"))</f>
        <v/>
      </c>
      <c r="AF58" s="40" t="str">
        <f t="shared" si="0"/>
        <v/>
      </c>
      <c r="AG58" s="40" t="str">
        <f t="shared" si="1"/>
        <v/>
      </c>
      <c r="AH58" s="40" t="str">
        <f>IF(I58="","",IF(#REF!&gt;0,TRUE,FALSE))</f>
        <v/>
      </c>
      <c r="AI58" s="40">
        <v>48</v>
      </c>
      <c r="AJ58" s="40"/>
      <c r="AK58" s="40" t="str">
        <f t="array" ref="AK58">IFERROR(INDEX($AI$11:$AI$259, MATCH(0, IF(TRUE=$AF$11:$AF$259, COUNTIF($AK$10:$AK57, $AI$11:$AI$259), ""), 0)),"")</f>
        <v/>
      </c>
      <c r="AL58" s="40" t="str">
        <f t="array" ref="AL58">IFERROR(INDEX($AI$11:$AI$259, MATCH(0, IF(TRUE=$AG$11:$AG$259, COUNTIF($AL$10:$AL57, $AI$11:$AI$259), ""), 0)),"")</f>
        <v/>
      </c>
      <c r="AM58" s="40" t="str">
        <f t="array" ref="AM58">IFERROR(INDEX($AI$11:$AI$259, MATCH(0, IF(TRUE=$AH$11:$AH$259, COUNTIF($AM$10:$AM57, $AI$11:$AI$259), ""), 0)),"")</f>
        <v/>
      </c>
      <c r="AN58" s="40"/>
      <c r="AQ58" s="35">
        <f t="shared" si="2"/>
        <v>0</v>
      </c>
    </row>
    <row r="59" spans="1:43">
      <c r="A59" s="35" t="str">
        <f>IFERROR(INDEX('G-1 All Habitats'!$AG$3:$AG$17,MATCH(E59,'G-1 All Habitats'!$AF$3:$AF$17,0)),"")</f>
        <v/>
      </c>
      <c r="B59" s="35" t="str">
        <f>IFERROR(INDEX('G-8 Condition Look up'!$I$4:$I$135,MATCH(G59,'G-8 Condition Look up'!$A$4:$A$135,0)),"")</f>
        <v/>
      </c>
      <c r="D59" s="287">
        <v>49</v>
      </c>
      <c r="E59" s="267"/>
      <c r="F59" s="61"/>
      <c r="G59" s="52" t="str">
        <f>IFERROR(INDEX('G-1 All Habitats'!$B$3:$B$134,MATCH(F59,'G-1 All Habitats'!$A$3:$A$134,0)),"")</f>
        <v/>
      </c>
      <c r="H59" s="53"/>
      <c r="I59" s="362" t="str">
        <f>IF(G59="","",VLOOKUP(G59,'G-1 All Habitats'!$B$2:$M$134,10,FALSE))</f>
        <v/>
      </c>
      <c r="J59" s="363" t="str">
        <f>IFERROR(VLOOKUP(I59,'G-1 All Habitats'!$V$3:$W$7,2,FALSE),"")</f>
        <v/>
      </c>
      <c r="K59" s="54"/>
      <c r="L59" s="363" t="str">
        <f>IFERROR(INDEX('G-8 Condition Look up'!$A$3:$H$135,MATCH(G59,'G-8 Condition Look up'!$A$3:$A$135,0),MATCH(K59,'G-8 Condition Look up'!$A$3:$H$3,0)),"")</f>
        <v/>
      </c>
      <c r="M59" s="54"/>
      <c r="N59" s="382" t="str">
        <f>IF(M59="","",IF(VLOOKUP(M59,'G-3 Multipliers'!$L$3:$N$6,2,FALSE)=0,"Spatial Data Missing",VLOOKUP(M59,'G-3 Multipliers'!$L$3:$N$6,2,FALSE)))</f>
        <v/>
      </c>
      <c r="O59" s="368" t="str">
        <f>IF(M59="","",IF(VLOOKUP(M59,'G-3 Multipliers'!$L$3:$N$6,3,FALSE)=0,"Spatial Data Missing ▲",VLOOKUP(M59,'G-3 Multipliers'!$L$3:$N$6,3,FALSE)))</f>
        <v/>
      </c>
      <c r="P59" s="369" t="str">
        <f>IFERROR(VLOOKUP(G59,'G-1 All Habitats'!$B$2:$M$134,12,FALSE),"")</f>
        <v/>
      </c>
      <c r="Q59" s="376" t="str">
        <f>IFERROR(IF(P59="","",IF(AND(P59='G-1 All Habitats'!$X$3,T59&gt;0),U59+V59,IF(AND(P59='G-1 All Habitats'!$X$3,S59&gt;0),U59+V59,IF(AND(P59='G-1 All Habitats'!$X$3,AC59&gt;0),"Any Loss Unacceptable ⚠",IF(AND(P59='G-1 All Habitats'!$X$3,W59&gt;0),"Any Loss Unacceptable ⚠",H59*J59*L59*O59))))),"Check Data ▲")</f>
        <v/>
      </c>
      <c r="R59" s="38"/>
      <c r="S59" s="54"/>
      <c r="T59" s="55"/>
      <c r="U59" s="374" t="str">
        <f t="shared" si="3"/>
        <v/>
      </c>
      <c r="V59" s="374" t="str">
        <f t="shared" si="4"/>
        <v/>
      </c>
      <c r="W59" s="374" t="str">
        <f>IF(E59="","",IF(H59&lt;S59+T59,"Error in Areas ▲",IF(P59&lt;&gt;'G-1 All Habitats'!$X$3,H59-S59-T59,IF(AND(P59='G-1 All Habitats'!$X$3,Y59="Yes"),"Unacceptable Loss ⚠",IF(AND(P59='G-1 All Habitats'!$X$3,Y59="No"),AC59,IF(AND(P59='G-1 All Habitats'!$X$3,Y59=""),AC59,IF(AND(P59='G-1 All Habitats'!$X$3,AC59="None",AC59),IF(AND(P59='G-1 All Habitats'!$X$3,AC59&gt;0),H59-S59-T59))))))))</f>
        <v/>
      </c>
      <c r="X59" s="378" t="str">
        <f>IFERROR(IF(H59="","",IF(H59-S59-T59=0&lt;0,"Error in Areas ▲",IF(S59+T59&gt;H59,"Error in Areas ▲",IF(AND(P59='G-1 All Habitats'!$X$3,Y59="Yes"),"Alternative Compensation ✓",IF(W59=0,0,IF(P59='G-1 All Habitats'!$X$3,"Any Loss Unacceptable ▲",Q59-U59-V59)))))),"Check Data ▲")</f>
        <v/>
      </c>
      <c r="Y59" s="55"/>
      <c r="Z59" s="62"/>
      <c r="AA59" s="526"/>
      <c r="AB59" s="120"/>
      <c r="AC59" s="726" t="str">
        <f>IF(P59="","",IF(P59='G-1 All Habitats'!$X$3,H59-S59-T59,"None"))</f>
        <v/>
      </c>
      <c r="AD59" s="727" t="str">
        <f>IF(P59="","", IF(P59='G-1 All Habitats'!$X$3, AC59*J59*L59*O59,"None"))</f>
        <v/>
      </c>
      <c r="AF59" s="40" t="str">
        <f t="shared" si="0"/>
        <v/>
      </c>
      <c r="AG59" s="40" t="str">
        <f t="shared" si="1"/>
        <v/>
      </c>
      <c r="AH59" s="40" t="str">
        <f>IF(I59="","",IF(#REF!&gt;0,TRUE,FALSE))</f>
        <v/>
      </c>
      <c r="AI59" s="40">
        <v>49</v>
      </c>
      <c r="AJ59" s="40"/>
      <c r="AK59" s="40" t="str">
        <f t="array" ref="AK59">IFERROR(INDEX($AI$11:$AI$259, MATCH(0, IF(TRUE=$AF$11:$AF$259, COUNTIF($AK$10:$AK58, $AI$11:$AI$259), ""), 0)),"")</f>
        <v/>
      </c>
      <c r="AL59" s="40" t="str">
        <f t="array" ref="AL59">IFERROR(INDEX($AI$11:$AI$259, MATCH(0, IF(TRUE=$AG$11:$AG$259, COUNTIF($AL$10:$AL58, $AI$11:$AI$259), ""), 0)),"")</f>
        <v/>
      </c>
      <c r="AM59" s="40" t="str">
        <f t="array" ref="AM59">IFERROR(INDEX($AI$11:$AI$259, MATCH(0, IF(TRUE=$AH$11:$AH$259, COUNTIF($AM$10:$AM58, $AI$11:$AI$259), ""), 0)),"")</f>
        <v/>
      </c>
      <c r="AN59" s="40"/>
      <c r="AQ59" s="35">
        <f t="shared" si="2"/>
        <v>0</v>
      </c>
    </row>
    <row r="60" spans="1:43">
      <c r="A60" s="35" t="str">
        <f>IFERROR(INDEX('G-1 All Habitats'!$AG$3:$AG$17,MATCH(E60,'G-1 All Habitats'!$AF$3:$AF$17,0)),"")</f>
        <v/>
      </c>
      <c r="B60" s="35" t="str">
        <f>IFERROR(INDEX('G-8 Condition Look up'!$I$4:$I$135,MATCH(G60,'G-8 Condition Look up'!$A$4:$A$135,0)),"")</f>
        <v/>
      </c>
      <c r="D60" s="287">
        <v>50</v>
      </c>
      <c r="E60" s="267"/>
      <c r="F60" s="61"/>
      <c r="G60" s="52" t="str">
        <f>IFERROR(INDEX('G-1 All Habitats'!$B$3:$B$134,MATCH(F60,'G-1 All Habitats'!$A$3:$A$134,0)),"")</f>
        <v/>
      </c>
      <c r="H60" s="53"/>
      <c r="I60" s="362" t="str">
        <f>IF(G60="","",VLOOKUP(G60,'G-1 All Habitats'!$B$2:$M$134,10,FALSE))</f>
        <v/>
      </c>
      <c r="J60" s="363" t="str">
        <f>IFERROR(VLOOKUP(I60,'G-1 All Habitats'!$V$3:$W$7,2,FALSE),"")</f>
        <v/>
      </c>
      <c r="K60" s="54"/>
      <c r="L60" s="363" t="str">
        <f>IFERROR(INDEX('G-8 Condition Look up'!$A$3:$H$135,MATCH(G60,'G-8 Condition Look up'!$A$3:$A$135,0),MATCH(K60,'G-8 Condition Look up'!$A$3:$H$3,0)),"")</f>
        <v/>
      </c>
      <c r="M60" s="54"/>
      <c r="N60" s="382" t="str">
        <f>IF(M60="","",IF(VLOOKUP(M60,'G-3 Multipliers'!$L$3:$N$6,2,FALSE)=0,"Spatial Data Missing",VLOOKUP(M60,'G-3 Multipliers'!$L$3:$N$6,2,FALSE)))</f>
        <v/>
      </c>
      <c r="O60" s="368" t="str">
        <f>IF(M60="","",IF(VLOOKUP(M60,'G-3 Multipliers'!$L$3:$N$6,3,FALSE)=0,"Spatial Data Missing ▲",VLOOKUP(M60,'G-3 Multipliers'!$L$3:$N$6,3,FALSE)))</f>
        <v/>
      </c>
      <c r="P60" s="369" t="str">
        <f>IFERROR(VLOOKUP(G60,'G-1 All Habitats'!$B$2:$M$134,12,FALSE),"")</f>
        <v/>
      </c>
      <c r="Q60" s="376" t="str">
        <f>IFERROR(IF(P60="","",IF(AND(P60='G-1 All Habitats'!$X$3,T60&gt;0),U60+V60,IF(AND(P60='G-1 All Habitats'!$X$3,S60&gt;0),U60+V60,IF(AND(P60='G-1 All Habitats'!$X$3,AC60&gt;0),"Any Loss Unacceptable ⚠",IF(AND(P60='G-1 All Habitats'!$X$3,W60&gt;0),"Any Loss Unacceptable ⚠",H60*J60*L60*O60))))),"Check Data ▲")</f>
        <v/>
      </c>
      <c r="R60" s="38"/>
      <c r="S60" s="54"/>
      <c r="T60" s="55"/>
      <c r="U60" s="374" t="str">
        <f t="shared" si="3"/>
        <v/>
      </c>
      <c r="V60" s="374" t="str">
        <f t="shared" si="4"/>
        <v/>
      </c>
      <c r="W60" s="374" t="str">
        <f>IF(E60="","",IF(H60&lt;S60+T60,"Error in Areas ▲",IF(P60&lt;&gt;'G-1 All Habitats'!$X$3,H60-S60-T60,IF(AND(P60='G-1 All Habitats'!$X$3,Y60="Yes"),"Unacceptable Loss ⚠",IF(AND(P60='G-1 All Habitats'!$X$3,Y60="No"),AC60,IF(AND(P60='G-1 All Habitats'!$X$3,Y60=""),AC60,IF(AND(P60='G-1 All Habitats'!$X$3,AC60="None",AC60),IF(AND(P60='G-1 All Habitats'!$X$3,AC60&gt;0),H60-S60-T60))))))))</f>
        <v/>
      </c>
      <c r="X60" s="378" t="str">
        <f>IFERROR(IF(H60="","",IF(H60-S60-T60=0&lt;0,"Error in Areas ▲",IF(S60+T60&gt;H60,"Error in Areas ▲",IF(AND(P60='G-1 All Habitats'!$X$3,Y60="Yes"),"Alternative Compensation ✓",IF(W60=0,0,IF(P60='G-1 All Habitats'!$X$3,"Any Loss Unacceptable ▲",Q60-U60-V60)))))),"Check Data ▲")</f>
        <v/>
      </c>
      <c r="Y60" s="55"/>
      <c r="Z60" s="62"/>
      <c r="AA60" s="526"/>
      <c r="AB60" s="120"/>
      <c r="AC60" s="726" t="str">
        <f>IF(P60="","",IF(P60='G-1 All Habitats'!$X$3,H60-S60-T60,"None"))</f>
        <v/>
      </c>
      <c r="AD60" s="727" t="str">
        <f>IF(P60="","", IF(P60='G-1 All Habitats'!$X$3, AC60*J60*L60*O60,"None"))</f>
        <v/>
      </c>
      <c r="AF60" s="40" t="str">
        <f t="shared" si="0"/>
        <v/>
      </c>
      <c r="AG60" s="40" t="str">
        <f t="shared" si="1"/>
        <v/>
      </c>
      <c r="AH60" s="40" t="str">
        <f>IF(I60="","",IF(#REF!&gt;0,TRUE,FALSE))</f>
        <v/>
      </c>
      <c r="AI60" s="40">
        <v>50</v>
      </c>
      <c r="AJ60" s="40"/>
      <c r="AK60" s="40" t="str">
        <f t="array" ref="AK60">IFERROR(INDEX($AI$11:$AI$259, MATCH(0, IF(TRUE=$AF$11:$AF$259, COUNTIF($AK$10:$AK59, $AI$11:$AI$259), ""), 0)),"")</f>
        <v/>
      </c>
      <c r="AL60" s="40" t="str">
        <f t="array" ref="AL60">IFERROR(INDEX($AI$11:$AI$259, MATCH(0, IF(TRUE=$AG$11:$AG$259, COUNTIF($AL$10:$AL59, $AI$11:$AI$259), ""), 0)),"")</f>
        <v/>
      </c>
      <c r="AM60" s="40" t="str">
        <f t="array" ref="AM60">IFERROR(INDEX($AI$11:$AI$259, MATCH(0, IF(TRUE=$AH$11:$AH$259, COUNTIF($AM$10:$AM59, $AI$11:$AI$259), ""), 0)),"")</f>
        <v/>
      </c>
      <c r="AN60" s="40"/>
      <c r="AQ60" s="35">
        <f t="shared" si="2"/>
        <v>0</v>
      </c>
    </row>
    <row r="61" spans="1:43">
      <c r="A61" s="35" t="str">
        <f>IFERROR(INDEX('G-1 All Habitats'!$AG$3:$AG$17,MATCH(E61,'G-1 All Habitats'!$AF$3:$AF$17,0)),"")</f>
        <v/>
      </c>
      <c r="B61" s="35" t="str">
        <f>IFERROR(INDEX('G-8 Condition Look up'!$I$4:$I$135,MATCH(G61,'G-8 Condition Look up'!$A$4:$A$135,0)),"")</f>
        <v/>
      </c>
      <c r="D61" s="287">
        <v>51</v>
      </c>
      <c r="E61" s="267"/>
      <c r="F61" s="61"/>
      <c r="G61" s="52" t="str">
        <f>IFERROR(INDEX('G-1 All Habitats'!$B$3:$B$134,MATCH(F61,'G-1 All Habitats'!$A$3:$A$134,0)),"")</f>
        <v/>
      </c>
      <c r="H61" s="53"/>
      <c r="I61" s="362" t="str">
        <f>IF(G61="","",VLOOKUP(G61,'G-1 All Habitats'!$B$2:$M$134,10,FALSE))</f>
        <v/>
      </c>
      <c r="J61" s="363" t="str">
        <f>IFERROR(VLOOKUP(I61,'G-1 All Habitats'!$V$3:$W$7,2,FALSE),"")</f>
        <v/>
      </c>
      <c r="K61" s="54"/>
      <c r="L61" s="363" t="str">
        <f>IFERROR(INDEX('G-8 Condition Look up'!$A$3:$H$135,MATCH(G61,'G-8 Condition Look up'!$A$3:$A$135,0),MATCH(K61,'G-8 Condition Look up'!$A$3:$H$3,0)),"")</f>
        <v/>
      </c>
      <c r="M61" s="54"/>
      <c r="N61" s="382" t="str">
        <f>IF(M61="","",IF(VLOOKUP(M61,'G-3 Multipliers'!$L$3:$N$6,2,FALSE)=0,"Spatial Data Missing",VLOOKUP(M61,'G-3 Multipliers'!$L$3:$N$6,2,FALSE)))</f>
        <v/>
      </c>
      <c r="O61" s="368" t="str">
        <f>IF(M61="","",IF(VLOOKUP(M61,'G-3 Multipliers'!$L$3:$N$6,3,FALSE)=0,"Spatial Data Missing ▲",VLOOKUP(M61,'G-3 Multipliers'!$L$3:$N$6,3,FALSE)))</f>
        <v/>
      </c>
      <c r="P61" s="369" t="str">
        <f>IFERROR(VLOOKUP(G61,'G-1 All Habitats'!$B$2:$M$134,12,FALSE),"")</f>
        <v/>
      </c>
      <c r="Q61" s="376" t="str">
        <f>IFERROR(IF(P61="","",IF(AND(P61='G-1 All Habitats'!$X$3,T61&gt;0),U61+V61,IF(AND(P61='G-1 All Habitats'!$X$3,S61&gt;0),U61+V61,IF(AND(P61='G-1 All Habitats'!$X$3,AC61&gt;0),"Any Loss Unacceptable ⚠",IF(AND(P61='G-1 All Habitats'!$X$3,W61&gt;0),"Any Loss Unacceptable ⚠",H61*J61*L61*O61))))),"Check Data ▲")</f>
        <v/>
      </c>
      <c r="R61" s="38"/>
      <c r="S61" s="54"/>
      <c r="T61" s="55"/>
      <c r="U61" s="374" t="str">
        <f t="shared" si="3"/>
        <v/>
      </c>
      <c r="V61" s="374" t="str">
        <f t="shared" si="4"/>
        <v/>
      </c>
      <c r="W61" s="374" t="str">
        <f>IF(E61="","",IF(H61&lt;S61+T61,"Error in Areas ▲",IF(P61&lt;&gt;'G-1 All Habitats'!$X$3,H61-S61-T61,IF(AND(P61='G-1 All Habitats'!$X$3,Y61="Yes"),"Unacceptable Loss ⚠",IF(AND(P61='G-1 All Habitats'!$X$3,Y61="No"),AC61,IF(AND(P61='G-1 All Habitats'!$X$3,Y61=""),AC61,IF(AND(P61='G-1 All Habitats'!$X$3,AC61="None",AC61),IF(AND(P61='G-1 All Habitats'!$X$3,AC61&gt;0),H61-S61-T61))))))))</f>
        <v/>
      </c>
      <c r="X61" s="378" t="str">
        <f>IFERROR(IF(H61="","",IF(H61-S61-T61=0&lt;0,"Error in Areas ▲",IF(S61+T61&gt;H61,"Error in Areas ▲",IF(AND(P61='G-1 All Habitats'!$X$3,Y61="Yes"),"Alternative Compensation ✓",IF(W61=0,0,IF(P61='G-1 All Habitats'!$X$3,"Any Loss Unacceptable ▲",Q61-U61-V61)))))),"Check Data ▲")</f>
        <v/>
      </c>
      <c r="Y61" s="55"/>
      <c r="Z61" s="62"/>
      <c r="AA61" s="526"/>
      <c r="AB61" s="120"/>
      <c r="AC61" s="726" t="str">
        <f>IF(P61="","",IF(P61='G-1 All Habitats'!$X$3,H61-S61-T61,"None"))</f>
        <v/>
      </c>
      <c r="AD61" s="727" t="str">
        <f>IF(P61="","", IF(P61='G-1 All Habitats'!$X$3, AC61*J61*L61*O61,"None"))</f>
        <v/>
      </c>
      <c r="AF61" s="40" t="str">
        <f t="shared" si="0"/>
        <v/>
      </c>
      <c r="AG61" s="40" t="str">
        <f t="shared" si="1"/>
        <v/>
      </c>
      <c r="AH61" s="40" t="str">
        <f>IF(I61="","",IF(#REF!&gt;0,TRUE,FALSE))</f>
        <v/>
      </c>
      <c r="AI61" s="40">
        <v>51</v>
      </c>
      <c r="AJ61" s="40"/>
      <c r="AK61" s="40" t="str">
        <f t="array" ref="AK61">IFERROR(INDEX($AI$11:$AI$259, MATCH(0, IF(TRUE=$AF$11:$AF$259, COUNTIF($AK$10:$AK60, $AI$11:$AI$259), ""), 0)),"")</f>
        <v/>
      </c>
      <c r="AL61" s="40" t="str">
        <f t="array" ref="AL61">IFERROR(INDEX($AI$11:$AI$259, MATCH(0, IF(TRUE=$AG$11:$AG$259, COUNTIF($AL$10:$AL60, $AI$11:$AI$259), ""), 0)),"")</f>
        <v/>
      </c>
      <c r="AM61" s="40" t="str">
        <f t="array" ref="AM61">IFERROR(INDEX($AI$11:$AI$259, MATCH(0, IF(TRUE=$AH$11:$AH$259, COUNTIF($AM$10:$AM60, $AI$11:$AI$259), ""), 0)),"")</f>
        <v/>
      </c>
      <c r="AN61" s="40"/>
      <c r="AQ61" s="35">
        <f t="shared" si="2"/>
        <v>0</v>
      </c>
    </row>
    <row r="62" spans="1:43">
      <c r="A62" s="35" t="str">
        <f>IFERROR(INDEX('G-1 All Habitats'!$AG$3:$AG$17,MATCH(E62,'G-1 All Habitats'!$AF$3:$AF$17,0)),"")</f>
        <v/>
      </c>
      <c r="B62" s="35" t="str">
        <f>IFERROR(INDEX('G-8 Condition Look up'!$I$4:$I$135,MATCH(G62,'G-8 Condition Look up'!$A$4:$A$135,0)),"")</f>
        <v/>
      </c>
      <c r="D62" s="287">
        <v>52</v>
      </c>
      <c r="E62" s="267"/>
      <c r="F62" s="61"/>
      <c r="G62" s="52" t="str">
        <f>IFERROR(INDEX('G-1 All Habitats'!$B$3:$B$134,MATCH(F62,'G-1 All Habitats'!$A$3:$A$134,0)),"")</f>
        <v/>
      </c>
      <c r="H62" s="53"/>
      <c r="I62" s="362" t="str">
        <f>IF(G62="","",VLOOKUP(G62,'G-1 All Habitats'!$B$2:$M$134,10,FALSE))</f>
        <v/>
      </c>
      <c r="J62" s="363" t="str">
        <f>IFERROR(VLOOKUP(I62,'G-1 All Habitats'!$V$3:$W$7,2,FALSE),"")</f>
        <v/>
      </c>
      <c r="K62" s="54"/>
      <c r="L62" s="363" t="str">
        <f>IFERROR(INDEX('G-8 Condition Look up'!$A$3:$H$135,MATCH(G62,'G-8 Condition Look up'!$A$3:$A$135,0),MATCH(K62,'G-8 Condition Look up'!$A$3:$H$3,0)),"")</f>
        <v/>
      </c>
      <c r="M62" s="54"/>
      <c r="N62" s="382" t="str">
        <f>IF(M62="","",IF(VLOOKUP(M62,'G-3 Multipliers'!$L$3:$N$6,2,FALSE)=0,"Spatial Data Missing",VLOOKUP(M62,'G-3 Multipliers'!$L$3:$N$6,2,FALSE)))</f>
        <v/>
      </c>
      <c r="O62" s="368" t="str">
        <f>IF(M62="","",IF(VLOOKUP(M62,'G-3 Multipliers'!$L$3:$N$6,3,FALSE)=0,"Spatial Data Missing ▲",VLOOKUP(M62,'G-3 Multipliers'!$L$3:$N$6,3,FALSE)))</f>
        <v/>
      </c>
      <c r="P62" s="369" t="str">
        <f>IFERROR(VLOOKUP(G62,'G-1 All Habitats'!$B$2:$M$134,12,FALSE),"")</f>
        <v/>
      </c>
      <c r="Q62" s="376" t="str">
        <f>IFERROR(IF(P62="","",IF(AND(P62='G-1 All Habitats'!$X$3,T62&gt;0),U62+V62,IF(AND(P62='G-1 All Habitats'!$X$3,S62&gt;0),U62+V62,IF(AND(P62='G-1 All Habitats'!$X$3,AC62&gt;0),"Any Loss Unacceptable ⚠",IF(AND(P62='G-1 All Habitats'!$X$3,W62&gt;0),"Any Loss Unacceptable ⚠",H62*J62*L62*O62))))),"Check Data ▲")</f>
        <v/>
      </c>
      <c r="R62" s="38"/>
      <c r="S62" s="54"/>
      <c r="T62" s="55"/>
      <c r="U62" s="374" t="str">
        <f t="shared" si="3"/>
        <v/>
      </c>
      <c r="V62" s="374" t="str">
        <f t="shared" si="4"/>
        <v/>
      </c>
      <c r="W62" s="374" t="str">
        <f>IF(E62="","",IF(H62&lt;S62+T62,"Error in Areas ▲",IF(P62&lt;&gt;'G-1 All Habitats'!$X$3,H62-S62-T62,IF(AND(P62='G-1 All Habitats'!$X$3,Y62="Yes"),"Unacceptable Loss ⚠",IF(AND(P62='G-1 All Habitats'!$X$3,Y62="No"),AC62,IF(AND(P62='G-1 All Habitats'!$X$3,Y62=""),AC62,IF(AND(P62='G-1 All Habitats'!$X$3,AC62="None",AC62),IF(AND(P62='G-1 All Habitats'!$X$3,AC62&gt;0),H62-S62-T62))))))))</f>
        <v/>
      </c>
      <c r="X62" s="378" t="str">
        <f>IFERROR(IF(H62="","",IF(H62-S62-T62=0&lt;0,"Error in Areas ▲",IF(S62+T62&gt;H62,"Error in Areas ▲",IF(AND(P62='G-1 All Habitats'!$X$3,Y62="Yes"),"Alternative Compensation ✓",IF(W62=0,0,IF(P62='G-1 All Habitats'!$X$3,"Any Loss Unacceptable ▲",Q62-U62-V62)))))),"Check Data ▲")</f>
        <v/>
      </c>
      <c r="Y62" s="55"/>
      <c r="Z62" s="62"/>
      <c r="AA62" s="526"/>
      <c r="AB62" s="120"/>
      <c r="AC62" s="726" t="str">
        <f>IF(P62="","",IF(P62='G-1 All Habitats'!$X$3,H62-S62-T62,"None"))</f>
        <v/>
      </c>
      <c r="AD62" s="727" t="str">
        <f>IF(P62="","", IF(P62='G-1 All Habitats'!$X$3, AC62*J62*L62*O62,"None"))</f>
        <v/>
      </c>
      <c r="AF62" s="40" t="str">
        <f t="shared" si="0"/>
        <v/>
      </c>
      <c r="AG62" s="40" t="str">
        <f t="shared" si="1"/>
        <v/>
      </c>
      <c r="AH62" s="40" t="str">
        <f>IF(I62="","",IF(#REF!&gt;0,TRUE,FALSE))</f>
        <v/>
      </c>
      <c r="AI62" s="40">
        <v>52</v>
      </c>
      <c r="AJ62" s="40"/>
      <c r="AK62" s="40" t="str">
        <f t="array" ref="AK62">IFERROR(INDEX($AI$11:$AI$259, MATCH(0, IF(TRUE=$AF$11:$AF$259, COUNTIF($AK$10:$AK61, $AI$11:$AI$259), ""), 0)),"")</f>
        <v/>
      </c>
      <c r="AL62" s="40" t="str">
        <f t="array" ref="AL62">IFERROR(INDEX($AI$11:$AI$259, MATCH(0, IF(TRUE=$AG$11:$AG$259, COUNTIF($AL$10:$AL61, $AI$11:$AI$259), ""), 0)),"")</f>
        <v/>
      </c>
      <c r="AM62" s="40" t="str">
        <f t="array" ref="AM62">IFERROR(INDEX($AI$11:$AI$259, MATCH(0, IF(TRUE=$AH$11:$AH$259, COUNTIF($AM$10:$AM61, $AI$11:$AI$259), ""), 0)),"")</f>
        <v/>
      </c>
      <c r="AN62" s="40"/>
      <c r="AQ62" s="35">
        <f t="shared" si="2"/>
        <v>0</v>
      </c>
    </row>
    <row r="63" spans="1:43">
      <c r="A63" s="35" t="str">
        <f>IFERROR(INDEX('G-1 All Habitats'!$AG$3:$AG$17,MATCH(E63,'G-1 All Habitats'!$AF$3:$AF$17,0)),"")</f>
        <v/>
      </c>
      <c r="B63" s="35" t="str">
        <f>IFERROR(INDEX('G-8 Condition Look up'!$I$4:$I$135,MATCH(G63,'G-8 Condition Look up'!$A$4:$A$135,0)),"")</f>
        <v/>
      </c>
      <c r="D63" s="287">
        <v>53</v>
      </c>
      <c r="E63" s="267"/>
      <c r="F63" s="61"/>
      <c r="G63" s="52" t="str">
        <f>IFERROR(INDEX('G-1 All Habitats'!$B$3:$B$134,MATCH(F63,'G-1 All Habitats'!$A$3:$A$134,0)),"")</f>
        <v/>
      </c>
      <c r="H63" s="53"/>
      <c r="I63" s="362" t="str">
        <f>IF(G63="","",VLOOKUP(G63,'G-1 All Habitats'!$B$2:$M$134,10,FALSE))</f>
        <v/>
      </c>
      <c r="J63" s="363" t="str">
        <f>IFERROR(VLOOKUP(I63,'G-1 All Habitats'!$V$3:$W$7,2,FALSE),"")</f>
        <v/>
      </c>
      <c r="K63" s="54"/>
      <c r="L63" s="363" t="str">
        <f>IFERROR(INDEX('G-8 Condition Look up'!$A$3:$H$135,MATCH(G63,'G-8 Condition Look up'!$A$3:$A$135,0),MATCH(K63,'G-8 Condition Look up'!$A$3:$H$3,0)),"")</f>
        <v/>
      </c>
      <c r="M63" s="54"/>
      <c r="N63" s="382" t="str">
        <f>IF(M63="","",IF(VLOOKUP(M63,'G-3 Multipliers'!$L$3:$N$6,2,FALSE)=0,"Spatial Data Missing",VLOOKUP(M63,'G-3 Multipliers'!$L$3:$N$6,2,FALSE)))</f>
        <v/>
      </c>
      <c r="O63" s="368" t="str">
        <f>IF(M63="","",IF(VLOOKUP(M63,'G-3 Multipliers'!$L$3:$N$6,3,FALSE)=0,"Spatial Data Missing ▲",VLOOKUP(M63,'G-3 Multipliers'!$L$3:$N$6,3,FALSE)))</f>
        <v/>
      </c>
      <c r="P63" s="369" t="str">
        <f>IFERROR(VLOOKUP(G63,'G-1 All Habitats'!$B$2:$M$134,12,FALSE),"")</f>
        <v/>
      </c>
      <c r="Q63" s="376" t="str">
        <f>IFERROR(IF(P63="","",IF(AND(P63='G-1 All Habitats'!$X$3,T63&gt;0),U63+V63,IF(AND(P63='G-1 All Habitats'!$X$3,S63&gt;0),U63+V63,IF(AND(P63='G-1 All Habitats'!$X$3,AC63&gt;0),"Any Loss Unacceptable ⚠",IF(AND(P63='G-1 All Habitats'!$X$3,W63&gt;0),"Any Loss Unacceptable ⚠",H63*J63*L63*O63))))),"Check Data ▲")</f>
        <v/>
      </c>
      <c r="R63" s="38"/>
      <c r="S63" s="54"/>
      <c r="T63" s="55"/>
      <c r="U63" s="374" t="str">
        <f t="shared" si="3"/>
        <v/>
      </c>
      <c r="V63" s="374" t="str">
        <f t="shared" si="4"/>
        <v/>
      </c>
      <c r="W63" s="374" t="str">
        <f>IF(E63="","",IF(H63&lt;S63+T63,"Error in Areas ▲",IF(P63&lt;&gt;'G-1 All Habitats'!$X$3,H63-S63-T63,IF(AND(P63='G-1 All Habitats'!$X$3,Y63="Yes"),"Unacceptable Loss ⚠",IF(AND(P63='G-1 All Habitats'!$X$3,Y63="No"),AC63,IF(AND(P63='G-1 All Habitats'!$X$3,Y63=""),AC63,IF(AND(P63='G-1 All Habitats'!$X$3,AC63="None",AC63),IF(AND(P63='G-1 All Habitats'!$X$3,AC63&gt;0),H63-S63-T63))))))))</f>
        <v/>
      </c>
      <c r="X63" s="378" t="str">
        <f>IFERROR(IF(H63="","",IF(H63-S63-T63=0&lt;0,"Error in Areas ▲",IF(S63+T63&gt;H63,"Error in Areas ▲",IF(AND(P63='G-1 All Habitats'!$X$3,Y63="Yes"),"Alternative Compensation ✓",IF(W63=0,0,IF(P63='G-1 All Habitats'!$X$3,"Any Loss Unacceptable ▲",Q63-U63-V63)))))),"Check Data ▲")</f>
        <v/>
      </c>
      <c r="Y63" s="55"/>
      <c r="Z63" s="62"/>
      <c r="AA63" s="526"/>
      <c r="AB63" s="120"/>
      <c r="AC63" s="726" t="str">
        <f>IF(P63="","",IF(P63='G-1 All Habitats'!$X$3,H63-S63-T63,"None"))</f>
        <v/>
      </c>
      <c r="AD63" s="727" t="str">
        <f>IF(P63="","", IF(P63='G-1 All Habitats'!$X$3, AC63*J63*L63*O63,"None"))</f>
        <v/>
      </c>
      <c r="AF63" s="40" t="str">
        <f t="shared" si="0"/>
        <v/>
      </c>
      <c r="AG63" s="40" t="str">
        <f t="shared" si="1"/>
        <v/>
      </c>
      <c r="AH63" s="40" t="str">
        <f>IF(I63="","",IF(#REF!&gt;0,TRUE,FALSE))</f>
        <v/>
      </c>
      <c r="AI63" s="40">
        <v>53</v>
      </c>
      <c r="AJ63" s="40"/>
      <c r="AK63" s="40" t="str">
        <f t="array" ref="AK63">IFERROR(INDEX($AI$11:$AI$259, MATCH(0, IF(TRUE=$AF$11:$AF$259, COUNTIF($AK$10:$AK62, $AI$11:$AI$259), ""), 0)),"")</f>
        <v/>
      </c>
      <c r="AL63" s="40" t="str">
        <f t="array" ref="AL63">IFERROR(INDEX($AI$11:$AI$259, MATCH(0, IF(TRUE=$AG$11:$AG$259, COUNTIF($AL$10:$AL62, $AI$11:$AI$259), ""), 0)),"")</f>
        <v/>
      </c>
      <c r="AM63" s="40" t="str">
        <f t="array" ref="AM63">IFERROR(INDEX($AI$11:$AI$259, MATCH(0, IF(TRUE=$AH$11:$AH$259, COUNTIF($AM$10:$AM62, $AI$11:$AI$259), ""), 0)),"")</f>
        <v/>
      </c>
      <c r="AN63" s="40"/>
      <c r="AQ63" s="35">
        <f t="shared" si="2"/>
        <v>0</v>
      </c>
    </row>
    <row r="64" spans="1:43">
      <c r="A64" s="35" t="str">
        <f>IFERROR(INDEX('G-1 All Habitats'!$AG$3:$AG$17,MATCH(E64,'G-1 All Habitats'!$AF$3:$AF$17,0)),"")</f>
        <v/>
      </c>
      <c r="B64" s="35" t="str">
        <f>IFERROR(INDEX('G-8 Condition Look up'!$I$4:$I$135,MATCH(G64,'G-8 Condition Look up'!$A$4:$A$135,0)),"")</f>
        <v/>
      </c>
      <c r="D64" s="287">
        <v>54</v>
      </c>
      <c r="E64" s="267"/>
      <c r="F64" s="61"/>
      <c r="G64" s="52" t="str">
        <f>IFERROR(INDEX('G-1 All Habitats'!$B$3:$B$134,MATCH(F64,'G-1 All Habitats'!$A$3:$A$134,0)),"")</f>
        <v/>
      </c>
      <c r="H64" s="53"/>
      <c r="I64" s="362" t="str">
        <f>IF(G64="","",VLOOKUP(G64,'G-1 All Habitats'!$B$2:$M$134,10,FALSE))</f>
        <v/>
      </c>
      <c r="J64" s="363" t="str">
        <f>IFERROR(VLOOKUP(I64,'G-1 All Habitats'!$V$3:$W$7,2,FALSE),"")</f>
        <v/>
      </c>
      <c r="K64" s="54"/>
      <c r="L64" s="363" t="str">
        <f>IFERROR(INDEX('G-8 Condition Look up'!$A$3:$H$135,MATCH(G64,'G-8 Condition Look up'!$A$3:$A$135,0),MATCH(K64,'G-8 Condition Look up'!$A$3:$H$3,0)),"")</f>
        <v/>
      </c>
      <c r="M64" s="54"/>
      <c r="N64" s="382" t="str">
        <f>IF(M64="","",IF(VLOOKUP(M64,'G-3 Multipliers'!$L$3:$N$6,2,FALSE)=0,"Spatial Data Missing",VLOOKUP(M64,'G-3 Multipliers'!$L$3:$N$6,2,FALSE)))</f>
        <v/>
      </c>
      <c r="O64" s="368" t="str">
        <f>IF(M64="","",IF(VLOOKUP(M64,'G-3 Multipliers'!$L$3:$N$6,3,FALSE)=0,"Spatial Data Missing ▲",VLOOKUP(M64,'G-3 Multipliers'!$L$3:$N$6,3,FALSE)))</f>
        <v/>
      </c>
      <c r="P64" s="369" t="str">
        <f>IFERROR(VLOOKUP(G64,'G-1 All Habitats'!$B$2:$M$134,12,FALSE),"")</f>
        <v/>
      </c>
      <c r="Q64" s="376" t="str">
        <f>IFERROR(IF(P64="","",IF(AND(P64='G-1 All Habitats'!$X$3,T64&gt;0),U64+V64,IF(AND(P64='G-1 All Habitats'!$X$3,S64&gt;0),U64+V64,IF(AND(P64='G-1 All Habitats'!$X$3,AC64&gt;0),"Any Loss Unacceptable ⚠",IF(AND(P64='G-1 All Habitats'!$X$3,W64&gt;0),"Any Loss Unacceptable ⚠",H64*J64*L64*O64))))),"Check Data ▲")</f>
        <v/>
      </c>
      <c r="R64" s="38"/>
      <c r="S64" s="54"/>
      <c r="T64" s="55"/>
      <c r="U64" s="374" t="str">
        <f t="shared" si="3"/>
        <v/>
      </c>
      <c r="V64" s="374" t="str">
        <f t="shared" si="4"/>
        <v/>
      </c>
      <c r="W64" s="374" t="str">
        <f>IF(E64="","",IF(H64&lt;S64+T64,"Error in Areas ▲",IF(P64&lt;&gt;'G-1 All Habitats'!$X$3,H64-S64-T64,IF(AND(P64='G-1 All Habitats'!$X$3,Y64="Yes"),"Unacceptable Loss ⚠",IF(AND(P64='G-1 All Habitats'!$X$3,Y64="No"),AC64,IF(AND(P64='G-1 All Habitats'!$X$3,Y64=""),AC64,IF(AND(P64='G-1 All Habitats'!$X$3,AC64="None",AC64),IF(AND(P64='G-1 All Habitats'!$X$3,AC64&gt;0),H64-S64-T64))))))))</f>
        <v/>
      </c>
      <c r="X64" s="378" t="str">
        <f>IFERROR(IF(H64="","",IF(H64-S64-T64=0&lt;0,"Error in Areas ▲",IF(S64+T64&gt;H64,"Error in Areas ▲",IF(AND(P64='G-1 All Habitats'!$X$3,Y64="Yes"),"Alternative Compensation ✓",IF(W64=0,0,IF(P64='G-1 All Habitats'!$X$3,"Any Loss Unacceptable ▲",Q64-U64-V64)))))),"Check Data ▲")</f>
        <v/>
      </c>
      <c r="Y64" s="55"/>
      <c r="Z64" s="62"/>
      <c r="AA64" s="526"/>
      <c r="AB64" s="120"/>
      <c r="AC64" s="726" t="str">
        <f>IF(P64="","",IF(P64='G-1 All Habitats'!$X$3,H64-S64-T64,"None"))</f>
        <v/>
      </c>
      <c r="AD64" s="727" t="str">
        <f>IF(P64="","", IF(P64='G-1 All Habitats'!$X$3, AC64*J64*L64*O64,"None"))</f>
        <v/>
      </c>
      <c r="AF64" s="40" t="str">
        <f t="shared" si="0"/>
        <v/>
      </c>
      <c r="AG64" s="40" t="str">
        <f t="shared" si="1"/>
        <v/>
      </c>
      <c r="AH64" s="40" t="str">
        <f>IF(I64="","",IF(#REF!&gt;0,TRUE,FALSE))</f>
        <v/>
      </c>
      <c r="AI64" s="40">
        <v>54</v>
      </c>
      <c r="AJ64" s="40"/>
      <c r="AK64" s="40" t="str">
        <f t="array" ref="AK64">IFERROR(INDEX($AI$11:$AI$259, MATCH(0, IF(TRUE=$AF$11:$AF$259, COUNTIF($AK$10:$AK63, $AI$11:$AI$259), ""), 0)),"")</f>
        <v/>
      </c>
      <c r="AL64" s="40" t="str">
        <f t="array" ref="AL64">IFERROR(INDEX($AI$11:$AI$259, MATCH(0, IF(TRUE=$AG$11:$AG$259, COUNTIF($AL$10:$AL63, $AI$11:$AI$259), ""), 0)),"")</f>
        <v/>
      </c>
      <c r="AM64" s="40" t="str">
        <f t="array" ref="AM64">IFERROR(INDEX($AI$11:$AI$259, MATCH(0, IF(TRUE=$AH$11:$AH$259, COUNTIF($AM$10:$AM63, $AI$11:$AI$259), ""), 0)),"")</f>
        <v/>
      </c>
      <c r="AN64" s="40"/>
      <c r="AQ64" s="35">
        <f t="shared" si="2"/>
        <v>0</v>
      </c>
    </row>
    <row r="65" spans="1:43">
      <c r="A65" s="35" t="str">
        <f>IFERROR(INDEX('G-1 All Habitats'!$AG$3:$AG$17,MATCH(E65,'G-1 All Habitats'!$AF$3:$AF$17,0)),"")</f>
        <v/>
      </c>
      <c r="B65" s="35" t="str">
        <f>IFERROR(INDEX('G-8 Condition Look up'!$I$4:$I$135,MATCH(G65,'G-8 Condition Look up'!$A$4:$A$135,0)),"")</f>
        <v/>
      </c>
      <c r="D65" s="287">
        <v>55</v>
      </c>
      <c r="E65" s="267"/>
      <c r="F65" s="61"/>
      <c r="G65" s="52" t="str">
        <f>IFERROR(INDEX('G-1 All Habitats'!$B$3:$B$134,MATCH(F65,'G-1 All Habitats'!$A$3:$A$134,0)),"")</f>
        <v/>
      </c>
      <c r="H65" s="53"/>
      <c r="I65" s="362" t="str">
        <f>IF(G65="","",VLOOKUP(G65,'G-1 All Habitats'!$B$2:$M$134,10,FALSE))</f>
        <v/>
      </c>
      <c r="J65" s="363" t="str">
        <f>IFERROR(VLOOKUP(I65,'G-1 All Habitats'!$V$3:$W$7,2,FALSE),"")</f>
        <v/>
      </c>
      <c r="K65" s="54"/>
      <c r="L65" s="363" t="str">
        <f>IFERROR(INDEX('G-8 Condition Look up'!$A$3:$H$135,MATCH(G65,'G-8 Condition Look up'!$A$3:$A$135,0),MATCH(K65,'G-8 Condition Look up'!$A$3:$H$3,0)),"")</f>
        <v/>
      </c>
      <c r="M65" s="54"/>
      <c r="N65" s="382" t="str">
        <f>IF(M65="","",IF(VLOOKUP(M65,'G-3 Multipliers'!$L$3:$N$6,2,FALSE)=0,"Spatial Data Missing",VLOOKUP(M65,'G-3 Multipliers'!$L$3:$N$6,2,FALSE)))</f>
        <v/>
      </c>
      <c r="O65" s="368" t="str">
        <f>IF(M65="","",IF(VLOOKUP(M65,'G-3 Multipliers'!$L$3:$N$6,3,FALSE)=0,"Spatial Data Missing ▲",VLOOKUP(M65,'G-3 Multipliers'!$L$3:$N$6,3,FALSE)))</f>
        <v/>
      </c>
      <c r="P65" s="369" t="str">
        <f>IFERROR(VLOOKUP(G65,'G-1 All Habitats'!$B$2:$M$134,12,FALSE),"")</f>
        <v/>
      </c>
      <c r="Q65" s="376" t="str">
        <f>IFERROR(IF(P65="","",IF(AND(P65='G-1 All Habitats'!$X$3,T65&gt;0),U65+V65,IF(AND(P65='G-1 All Habitats'!$X$3,S65&gt;0),U65+V65,IF(AND(P65='G-1 All Habitats'!$X$3,AC65&gt;0),"Any Loss Unacceptable ⚠",IF(AND(P65='G-1 All Habitats'!$X$3,W65&gt;0),"Any Loss Unacceptable ⚠",H65*J65*L65*O65))))),"Check Data ▲")</f>
        <v/>
      </c>
      <c r="R65" s="38"/>
      <c r="S65" s="54"/>
      <c r="T65" s="55"/>
      <c r="U65" s="374" t="str">
        <f t="shared" si="3"/>
        <v/>
      </c>
      <c r="V65" s="374" t="str">
        <f t="shared" si="4"/>
        <v/>
      </c>
      <c r="W65" s="374" t="str">
        <f>IF(E65="","",IF(H65&lt;S65+T65,"Error in Areas ▲",IF(P65&lt;&gt;'G-1 All Habitats'!$X$3,H65-S65-T65,IF(AND(P65='G-1 All Habitats'!$X$3,Y65="Yes"),"Unacceptable Loss ⚠",IF(AND(P65='G-1 All Habitats'!$X$3,Y65="No"),AC65,IF(AND(P65='G-1 All Habitats'!$X$3,Y65=""),AC65,IF(AND(P65='G-1 All Habitats'!$X$3,AC65="None",AC65),IF(AND(P65='G-1 All Habitats'!$X$3,AC65&gt;0),H65-S65-T65))))))))</f>
        <v/>
      </c>
      <c r="X65" s="378" t="str">
        <f>IFERROR(IF(H65="","",IF(H65-S65-T65=0&lt;0,"Error in Areas ▲",IF(S65+T65&gt;H65,"Error in Areas ▲",IF(AND(P65='G-1 All Habitats'!$X$3,Y65="Yes"),"Alternative Compensation ✓",IF(W65=0,0,IF(P65='G-1 All Habitats'!$X$3,"Any Loss Unacceptable ▲",Q65-U65-V65)))))),"Check Data ▲")</f>
        <v/>
      </c>
      <c r="Y65" s="55"/>
      <c r="Z65" s="62"/>
      <c r="AA65" s="526"/>
      <c r="AB65" s="120"/>
      <c r="AC65" s="726" t="str">
        <f>IF(P65="","",IF(P65='G-1 All Habitats'!$X$3,H65-S65-T65,"None"))</f>
        <v/>
      </c>
      <c r="AD65" s="727" t="str">
        <f>IF(P65="","", IF(P65='G-1 All Habitats'!$X$3, AC65*J65*L65*O65,"None"))</f>
        <v/>
      </c>
      <c r="AF65" s="40" t="str">
        <f t="shared" si="0"/>
        <v/>
      </c>
      <c r="AG65" s="40" t="str">
        <f t="shared" si="1"/>
        <v/>
      </c>
      <c r="AH65" s="40" t="str">
        <f>IF(I65="","",IF(#REF!&gt;0,TRUE,FALSE))</f>
        <v/>
      </c>
      <c r="AI65" s="40">
        <v>55</v>
      </c>
      <c r="AJ65" s="40"/>
      <c r="AK65" s="40" t="str">
        <f t="array" ref="AK65">IFERROR(INDEX($AI$11:$AI$259, MATCH(0, IF(TRUE=$AF$11:$AF$259, COUNTIF($AK$10:$AK64, $AI$11:$AI$259), ""), 0)),"")</f>
        <v/>
      </c>
      <c r="AL65" s="40" t="str">
        <f t="array" ref="AL65">IFERROR(INDEX($AI$11:$AI$259, MATCH(0, IF(TRUE=$AG$11:$AG$259, COUNTIF($AL$10:$AL64, $AI$11:$AI$259), ""), 0)),"")</f>
        <v/>
      </c>
      <c r="AM65" s="40" t="str">
        <f t="array" ref="AM65">IFERROR(INDEX($AI$11:$AI$259, MATCH(0, IF(TRUE=$AH$11:$AH$259, COUNTIF($AM$10:$AM64, $AI$11:$AI$259), ""), 0)),"")</f>
        <v/>
      </c>
      <c r="AN65" s="40"/>
      <c r="AQ65" s="35">
        <f t="shared" si="2"/>
        <v>0</v>
      </c>
    </row>
    <row r="66" spans="1:43">
      <c r="A66" s="35" t="str">
        <f>IFERROR(INDEX('G-1 All Habitats'!$AG$3:$AG$17,MATCH(E66,'G-1 All Habitats'!$AF$3:$AF$17,0)),"")</f>
        <v/>
      </c>
      <c r="B66" s="35" t="str">
        <f>IFERROR(INDEX('G-8 Condition Look up'!$I$4:$I$135,MATCH(G66,'G-8 Condition Look up'!$A$4:$A$135,0)),"")</f>
        <v/>
      </c>
      <c r="D66" s="287">
        <v>56</v>
      </c>
      <c r="E66" s="267"/>
      <c r="F66" s="61"/>
      <c r="G66" s="52" t="str">
        <f>IFERROR(INDEX('G-1 All Habitats'!$B$3:$B$134,MATCH(F66,'G-1 All Habitats'!$A$3:$A$134,0)),"")</f>
        <v/>
      </c>
      <c r="H66" s="53"/>
      <c r="I66" s="362" t="str">
        <f>IF(G66="","",VLOOKUP(G66,'G-1 All Habitats'!$B$2:$M$134,10,FALSE))</f>
        <v/>
      </c>
      <c r="J66" s="363" t="str">
        <f>IFERROR(VLOOKUP(I66,'G-1 All Habitats'!$V$3:$W$7,2,FALSE),"")</f>
        <v/>
      </c>
      <c r="K66" s="54"/>
      <c r="L66" s="363" t="str">
        <f>IFERROR(INDEX('G-8 Condition Look up'!$A$3:$H$135,MATCH(G66,'G-8 Condition Look up'!$A$3:$A$135,0),MATCH(K66,'G-8 Condition Look up'!$A$3:$H$3,0)),"")</f>
        <v/>
      </c>
      <c r="M66" s="54"/>
      <c r="N66" s="382" t="str">
        <f>IF(M66="","",IF(VLOOKUP(M66,'G-3 Multipliers'!$L$3:$N$6,2,FALSE)=0,"Spatial Data Missing",VLOOKUP(M66,'G-3 Multipliers'!$L$3:$N$6,2,FALSE)))</f>
        <v/>
      </c>
      <c r="O66" s="368" t="str">
        <f>IF(M66="","",IF(VLOOKUP(M66,'G-3 Multipliers'!$L$3:$N$6,3,FALSE)=0,"Spatial Data Missing ▲",VLOOKUP(M66,'G-3 Multipliers'!$L$3:$N$6,3,FALSE)))</f>
        <v/>
      </c>
      <c r="P66" s="369" t="str">
        <f>IFERROR(VLOOKUP(G66,'G-1 All Habitats'!$B$2:$M$134,12,FALSE),"")</f>
        <v/>
      </c>
      <c r="Q66" s="376" t="str">
        <f>IFERROR(IF(P66="","",IF(AND(P66='G-1 All Habitats'!$X$3,T66&gt;0),U66+V66,IF(AND(P66='G-1 All Habitats'!$X$3,S66&gt;0),U66+V66,IF(AND(P66='G-1 All Habitats'!$X$3,AC66&gt;0),"Any Loss Unacceptable ⚠",IF(AND(P66='G-1 All Habitats'!$X$3,W66&gt;0),"Any Loss Unacceptable ⚠",H66*J66*L66*O66))))),"Check Data ▲")</f>
        <v/>
      </c>
      <c r="R66" s="38"/>
      <c r="S66" s="54"/>
      <c r="T66" s="55"/>
      <c r="U66" s="374" t="str">
        <f t="shared" si="3"/>
        <v/>
      </c>
      <c r="V66" s="374" t="str">
        <f t="shared" si="4"/>
        <v/>
      </c>
      <c r="W66" s="374" t="str">
        <f>IF(E66="","",IF(H66&lt;S66+T66,"Error in Areas ▲",IF(P66&lt;&gt;'G-1 All Habitats'!$X$3,H66-S66-T66,IF(AND(P66='G-1 All Habitats'!$X$3,Y66="Yes"),"Unacceptable Loss ⚠",IF(AND(P66='G-1 All Habitats'!$X$3,Y66="No"),AC66,IF(AND(P66='G-1 All Habitats'!$X$3,Y66=""),AC66,IF(AND(P66='G-1 All Habitats'!$X$3,AC66="None",AC66),IF(AND(P66='G-1 All Habitats'!$X$3,AC66&gt;0),H66-S66-T66))))))))</f>
        <v/>
      </c>
      <c r="X66" s="378" t="str">
        <f>IFERROR(IF(H66="","",IF(H66-S66-T66=0&lt;0,"Error in Areas ▲",IF(S66+T66&gt;H66,"Error in Areas ▲",IF(AND(P66='G-1 All Habitats'!$X$3,Y66="Yes"),"Alternative Compensation ✓",IF(W66=0,0,IF(P66='G-1 All Habitats'!$X$3,"Any Loss Unacceptable ▲",Q66-U66-V66)))))),"Check Data ▲")</f>
        <v/>
      </c>
      <c r="Y66" s="55"/>
      <c r="Z66" s="62"/>
      <c r="AA66" s="526"/>
      <c r="AB66" s="120"/>
      <c r="AC66" s="726" t="str">
        <f>IF(P66="","",IF(P66='G-1 All Habitats'!$X$3,H66-S66-T66,"None"))</f>
        <v/>
      </c>
      <c r="AD66" s="727" t="str">
        <f>IF(P66="","", IF(P66='G-1 All Habitats'!$X$3, AC66*J66*L66*O66,"None"))</f>
        <v/>
      </c>
      <c r="AF66" s="40" t="str">
        <f t="shared" si="0"/>
        <v/>
      </c>
      <c r="AG66" s="40" t="str">
        <f t="shared" si="1"/>
        <v/>
      </c>
      <c r="AH66" s="40" t="str">
        <f>IF(I66="","",IF(#REF!&gt;0,TRUE,FALSE))</f>
        <v/>
      </c>
      <c r="AI66" s="40">
        <v>56</v>
      </c>
      <c r="AJ66" s="40"/>
      <c r="AK66" s="40" t="str">
        <f t="array" ref="AK66">IFERROR(INDEX($AI$11:$AI$259, MATCH(0, IF(TRUE=$AF$11:$AF$259, COUNTIF($AK$10:$AK65, $AI$11:$AI$259), ""), 0)),"")</f>
        <v/>
      </c>
      <c r="AL66" s="40" t="str">
        <f t="array" ref="AL66">IFERROR(INDEX($AI$11:$AI$259, MATCH(0, IF(TRUE=$AG$11:$AG$259, COUNTIF($AL$10:$AL65, $AI$11:$AI$259), ""), 0)),"")</f>
        <v/>
      </c>
      <c r="AM66" s="40" t="str">
        <f t="array" ref="AM66">IFERROR(INDEX($AI$11:$AI$259, MATCH(0, IF(TRUE=$AH$11:$AH$259, COUNTIF($AM$10:$AM65, $AI$11:$AI$259), ""), 0)),"")</f>
        <v/>
      </c>
      <c r="AN66" s="40"/>
      <c r="AQ66" s="35">
        <f t="shared" si="2"/>
        <v>0</v>
      </c>
    </row>
    <row r="67" spans="1:43">
      <c r="A67" s="35" t="str">
        <f>IFERROR(INDEX('G-1 All Habitats'!$AG$3:$AG$17,MATCH(E67,'G-1 All Habitats'!$AF$3:$AF$17,0)),"")</f>
        <v/>
      </c>
      <c r="B67" s="35" t="str">
        <f>IFERROR(INDEX('G-8 Condition Look up'!$I$4:$I$135,MATCH(G67,'G-8 Condition Look up'!$A$4:$A$135,0)),"")</f>
        <v/>
      </c>
      <c r="D67" s="287">
        <v>57</v>
      </c>
      <c r="E67" s="267"/>
      <c r="F67" s="61"/>
      <c r="G67" s="52" t="str">
        <f>IFERROR(INDEX('G-1 All Habitats'!$B$3:$B$134,MATCH(F67,'G-1 All Habitats'!$A$3:$A$134,0)),"")</f>
        <v/>
      </c>
      <c r="H67" s="53"/>
      <c r="I67" s="362" t="str">
        <f>IF(G67="","",VLOOKUP(G67,'G-1 All Habitats'!$B$2:$M$134,10,FALSE))</f>
        <v/>
      </c>
      <c r="J67" s="363" t="str">
        <f>IFERROR(VLOOKUP(I67,'G-1 All Habitats'!$V$3:$W$7,2,FALSE),"")</f>
        <v/>
      </c>
      <c r="K67" s="54"/>
      <c r="L67" s="363" t="str">
        <f>IFERROR(INDEX('G-8 Condition Look up'!$A$3:$H$135,MATCH(G67,'G-8 Condition Look up'!$A$3:$A$135,0),MATCH(K67,'G-8 Condition Look up'!$A$3:$H$3,0)),"")</f>
        <v/>
      </c>
      <c r="M67" s="54"/>
      <c r="N67" s="382" t="str">
        <f>IF(M67="","",IF(VLOOKUP(M67,'G-3 Multipliers'!$L$3:$N$6,2,FALSE)=0,"Spatial Data Missing",VLOOKUP(M67,'G-3 Multipliers'!$L$3:$N$6,2,FALSE)))</f>
        <v/>
      </c>
      <c r="O67" s="368" t="str">
        <f>IF(M67="","",IF(VLOOKUP(M67,'G-3 Multipliers'!$L$3:$N$6,3,FALSE)=0,"Spatial Data Missing ▲",VLOOKUP(M67,'G-3 Multipliers'!$L$3:$N$6,3,FALSE)))</f>
        <v/>
      </c>
      <c r="P67" s="369" t="str">
        <f>IFERROR(VLOOKUP(G67,'G-1 All Habitats'!$B$2:$M$134,12,FALSE),"")</f>
        <v/>
      </c>
      <c r="Q67" s="376" t="str">
        <f>IFERROR(IF(P67="","",IF(AND(P67='G-1 All Habitats'!$X$3,T67&gt;0),U67+V67,IF(AND(P67='G-1 All Habitats'!$X$3,S67&gt;0),U67+V67,IF(AND(P67='G-1 All Habitats'!$X$3,AC67&gt;0),"Any Loss Unacceptable ⚠",IF(AND(P67='G-1 All Habitats'!$X$3,W67&gt;0),"Any Loss Unacceptable ⚠",H67*J67*L67*O67))))),"Check Data ▲")</f>
        <v/>
      </c>
      <c r="R67" s="38"/>
      <c r="S67" s="54"/>
      <c r="T67" s="55"/>
      <c r="U67" s="374" t="str">
        <f t="shared" si="3"/>
        <v/>
      </c>
      <c r="V67" s="374" t="str">
        <f t="shared" si="4"/>
        <v/>
      </c>
      <c r="W67" s="374" t="str">
        <f>IF(E67="","",IF(H67&lt;S67+T67,"Error in Areas ▲",IF(P67&lt;&gt;'G-1 All Habitats'!$X$3,H67-S67-T67,IF(AND(P67='G-1 All Habitats'!$X$3,Y67="Yes"),"Unacceptable Loss ⚠",IF(AND(P67='G-1 All Habitats'!$X$3,Y67="No"),AC67,IF(AND(P67='G-1 All Habitats'!$X$3,Y67=""),AC67,IF(AND(P67='G-1 All Habitats'!$X$3,AC67="None",AC67),IF(AND(P67='G-1 All Habitats'!$X$3,AC67&gt;0),H67-S67-T67))))))))</f>
        <v/>
      </c>
      <c r="X67" s="378" t="str">
        <f>IFERROR(IF(H67="","",IF(H67-S67-T67=0&lt;0,"Error in Areas ▲",IF(S67+T67&gt;H67,"Error in Areas ▲",IF(AND(P67='G-1 All Habitats'!$X$3,Y67="Yes"),"Alternative Compensation ✓",IF(W67=0,0,IF(P67='G-1 All Habitats'!$X$3,"Any Loss Unacceptable ▲",Q67-U67-V67)))))),"Check Data ▲")</f>
        <v/>
      </c>
      <c r="Y67" s="55"/>
      <c r="Z67" s="62"/>
      <c r="AA67" s="526"/>
      <c r="AB67" s="120"/>
      <c r="AC67" s="726" t="str">
        <f>IF(P67="","",IF(P67='G-1 All Habitats'!$X$3,H67-S67-T67,"None"))</f>
        <v/>
      </c>
      <c r="AD67" s="727" t="str">
        <f>IF(P67="","", IF(P67='G-1 All Habitats'!$X$3, AC67*J67*L67*O67,"None"))</f>
        <v/>
      </c>
      <c r="AF67" s="40" t="str">
        <f t="shared" si="0"/>
        <v/>
      </c>
      <c r="AG67" s="40" t="str">
        <f t="shared" si="1"/>
        <v/>
      </c>
      <c r="AH67" s="40" t="str">
        <f>IF(I67="","",IF(#REF!&gt;0,TRUE,FALSE))</f>
        <v/>
      </c>
      <c r="AI67" s="40">
        <v>57</v>
      </c>
      <c r="AJ67" s="40"/>
      <c r="AK67" s="40" t="str">
        <f t="array" ref="AK67">IFERROR(INDEX($AI$11:$AI$259, MATCH(0, IF(TRUE=$AF$11:$AF$259, COUNTIF($AK$10:$AK66, $AI$11:$AI$259), ""), 0)),"")</f>
        <v/>
      </c>
      <c r="AL67" s="40" t="str">
        <f t="array" ref="AL67">IFERROR(INDEX($AI$11:$AI$259, MATCH(0, IF(TRUE=$AG$11:$AG$259, COUNTIF($AL$10:$AL66, $AI$11:$AI$259), ""), 0)),"")</f>
        <v/>
      </c>
      <c r="AM67" s="40" t="str">
        <f t="array" ref="AM67">IFERROR(INDEX($AI$11:$AI$259, MATCH(0, IF(TRUE=$AH$11:$AH$259, COUNTIF($AM$10:$AM66, $AI$11:$AI$259), ""), 0)),"")</f>
        <v/>
      </c>
      <c r="AN67" s="40"/>
      <c r="AQ67" s="35">
        <f t="shared" si="2"/>
        <v>0</v>
      </c>
    </row>
    <row r="68" spans="1:43">
      <c r="A68" s="35" t="str">
        <f>IFERROR(INDEX('G-1 All Habitats'!$AG$3:$AG$17,MATCH(E68,'G-1 All Habitats'!$AF$3:$AF$17,0)),"")</f>
        <v/>
      </c>
      <c r="B68" s="35" t="str">
        <f>IFERROR(INDEX('G-8 Condition Look up'!$I$4:$I$135,MATCH(G68,'G-8 Condition Look up'!$A$4:$A$135,0)),"")</f>
        <v/>
      </c>
      <c r="D68" s="287">
        <v>58</v>
      </c>
      <c r="E68" s="267"/>
      <c r="F68" s="61"/>
      <c r="G68" s="52" t="str">
        <f>IFERROR(INDEX('G-1 All Habitats'!$B$3:$B$134,MATCH(F68,'G-1 All Habitats'!$A$3:$A$134,0)),"")</f>
        <v/>
      </c>
      <c r="H68" s="53"/>
      <c r="I68" s="362" t="str">
        <f>IF(G68="","",VLOOKUP(G68,'G-1 All Habitats'!$B$2:$M$134,10,FALSE))</f>
        <v/>
      </c>
      <c r="J68" s="363" t="str">
        <f>IFERROR(VLOOKUP(I68,'G-1 All Habitats'!$V$3:$W$7,2,FALSE),"")</f>
        <v/>
      </c>
      <c r="K68" s="54"/>
      <c r="L68" s="363" t="str">
        <f>IFERROR(INDEX('G-8 Condition Look up'!$A$3:$H$135,MATCH(G68,'G-8 Condition Look up'!$A$3:$A$135,0),MATCH(K68,'G-8 Condition Look up'!$A$3:$H$3,0)),"")</f>
        <v/>
      </c>
      <c r="M68" s="54"/>
      <c r="N68" s="382" t="str">
        <f>IF(M68="","",IF(VLOOKUP(M68,'G-3 Multipliers'!$L$3:$N$6,2,FALSE)=0,"Spatial Data Missing",VLOOKUP(M68,'G-3 Multipliers'!$L$3:$N$6,2,FALSE)))</f>
        <v/>
      </c>
      <c r="O68" s="368" t="str">
        <f>IF(M68="","",IF(VLOOKUP(M68,'G-3 Multipliers'!$L$3:$N$6,3,FALSE)=0,"Spatial Data Missing ▲",VLOOKUP(M68,'G-3 Multipliers'!$L$3:$N$6,3,FALSE)))</f>
        <v/>
      </c>
      <c r="P68" s="369" t="str">
        <f>IFERROR(VLOOKUP(G68,'G-1 All Habitats'!$B$2:$M$134,12,FALSE),"")</f>
        <v/>
      </c>
      <c r="Q68" s="376" t="str">
        <f>IFERROR(IF(P68="","",IF(AND(P68='G-1 All Habitats'!$X$3,T68&gt;0),U68+V68,IF(AND(P68='G-1 All Habitats'!$X$3,S68&gt;0),U68+V68,IF(AND(P68='G-1 All Habitats'!$X$3,AC68&gt;0),"Any Loss Unacceptable ⚠",IF(AND(P68='G-1 All Habitats'!$X$3,W68&gt;0),"Any Loss Unacceptable ⚠",H68*J68*L68*O68))))),"Check Data ▲")</f>
        <v/>
      </c>
      <c r="R68" s="38"/>
      <c r="S68" s="54"/>
      <c r="T68" s="55"/>
      <c r="U68" s="374" t="str">
        <f t="shared" si="3"/>
        <v/>
      </c>
      <c r="V68" s="374" t="str">
        <f t="shared" si="4"/>
        <v/>
      </c>
      <c r="W68" s="374" t="str">
        <f>IF(E68="","",IF(H68&lt;S68+T68,"Error in Areas ▲",IF(P68&lt;&gt;'G-1 All Habitats'!$X$3,H68-S68-T68,IF(AND(P68='G-1 All Habitats'!$X$3,Y68="Yes"),"Unacceptable Loss ⚠",IF(AND(P68='G-1 All Habitats'!$X$3,Y68="No"),AC68,IF(AND(P68='G-1 All Habitats'!$X$3,Y68=""),AC68,IF(AND(P68='G-1 All Habitats'!$X$3,AC68="None",AC68),IF(AND(P68='G-1 All Habitats'!$X$3,AC68&gt;0),H68-S68-T68))))))))</f>
        <v/>
      </c>
      <c r="X68" s="378" t="str">
        <f>IFERROR(IF(H68="","",IF(H68-S68-T68=0&lt;0,"Error in Areas ▲",IF(S68+T68&gt;H68,"Error in Areas ▲",IF(AND(P68='G-1 All Habitats'!$X$3,Y68="Yes"),"Alternative Compensation ✓",IF(W68=0,0,IF(P68='G-1 All Habitats'!$X$3,"Any Loss Unacceptable ▲",Q68-U68-V68)))))),"Check Data ▲")</f>
        <v/>
      </c>
      <c r="Y68" s="55"/>
      <c r="Z68" s="62"/>
      <c r="AA68" s="526"/>
      <c r="AB68" s="120"/>
      <c r="AC68" s="726" t="str">
        <f>IF(P68="","",IF(P68='G-1 All Habitats'!$X$3,H68-S68-T68,"None"))</f>
        <v/>
      </c>
      <c r="AD68" s="727" t="str">
        <f>IF(P68="","", IF(P68='G-1 All Habitats'!$X$3, AC68*J68*L68*O68,"None"))</f>
        <v/>
      </c>
      <c r="AF68" s="40" t="str">
        <f t="shared" si="0"/>
        <v/>
      </c>
      <c r="AG68" s="40" t="str">
        <f t="shared" si="1"/>
        <v/>
      </c>
      <c r="AH68" s="40" t="str">
        <f>IF(I68="","",IF(#REF!&gt;0,TRUE,FALSE))</f>
        <v/>
      </c>
      <c r="AI68" s="40">
        <v>58</v>
      </c>
      <c r="AJ68" s="40"/>
      <c r="AK68" s="40" t="str">
        <f t="array" ref="AK68">IFERROR(INDEX($AI$11:$AI$259, MATCH(0, IF(TRUE=$AF$11:$AF$259, COUNTIF($AK$10:$AK67, $AI$11:$AI$259), ""), 0)),"")</f>
        <v/>
      </c>
      <c r="AL68" s="40" t="str">
        <f t="array" ref="AL68">IFERROR(INDEX($AI$11:$AI$259, MATCH(0, IF(TRUE=$AG$11:$AG$259, COUNTIF($AL$10:$AL67, $AI$11:$AI$259), ""), 0)),"")</f>
        <v/>
      </c>
      <c r="AM68" s="40" t="str">
        <f t="array" ref="AM68">IFERROR(INDEX($AI$11:$AI$259, MATCH(0, IF(TRUE=$AH$11:$AH$259, COUNTIF($AM$10:$AM67, $AI$11:$AI$259), ""), 0)),"")</f>
        <v/>
      </c>
      <c r="AN68" s="40"/>
      <c r="AQ68" s="35">
        <f t="shared" si="2"/>
        <v>0</v>
      </c>
    </row>
    <row r="69" spans="1:43">
      <c r="A69" s="35" t="str">
        <f>IFERROR(INDEX('G-1 All Habitats'!$AG$3:$AG$17,MATCH(E69,'G-1 All Habitats'!$AF$3:$AF$17,0)),"")</f>
        <v/>
      </c>
      <c r="B69" s="35" t="str">
        <f>IFERROR(INDEX('G-8 Condition Look up'!$I$4:$I$135,MATCH(G69,'G-8 Condition Look up'!$A$4:$A$135,0)),"")</f>
        <v/>
      </c>
      <c r="D69" s="287">
        <v>59</v>
      </c>
      <c r="E69" s="267"/>
      <c r="F69" s="61"/>
      <c r="G69" s="52" t="str">
        <f>IFERROR(INDEX('G-1 All Habitats'!$B$3:$B$134,MATCH(F69,'G-1 All Habitats'!$A$3:$A$134,0)),"")</f>
        <v/>
      </c>
      <c r="H69" s="53"/>
      <c r="I69" s="362" t="str">
        <f>IF(G69="","",VLOOKUP(G69,'G-1 All Habitats'!$B$2:$M$134,10,FALSE))</f>
        <v/>
      </c>
      <c r="J69" s="363" t="str">
        <f>IFERROR(VLOOKUP(I69,'G-1 All Habitats'!$V$3:$W$7,2,FALSE),"")</f>
        <v/>
      </c>
      <c r="K69" s="54"/>
      <c r="L69" s="363" t="str">
        <f>IFERROR(INDEX('G-8 Condition Look up'!$A$3:$H$135,MATCH(G69,'G-8 Condition Look up'!$A$3:$A$135,0),MATCH(K69,'G-8 Condition Look up'!$A$3:$H$3,0)),"")</f>
        <v/>
      </c>
      <c r="M69" s="54"/>
      <c r="N69" s="382" t="str">
        <f>IF(M69="","",IF(VLOOKUP(M69,'G-3 Multipliers'!$L$3:$N$6,2,FALSE)=0,"Spatial Data Missing",VLOOKUP(M69,'G-3 Multipliers'!$L$3:$N$6,2,FALSE)))</f>
        <v/>
      </c>
      <c r="O69" s="368" t="str">
        <f>IF(M69="","",IF(VLOOKUP(M69,'G-3 Multipliers'!$L$3:$N$6,3,FALSE)=0,"Spatial Data Missing ▲",VLOOKUP(M69,'G-3 Multipliers'!$L$3:$N$6,3,FALSE)))</f>
        <v/>
      </c>
      <c r="P69" s="369" t="str">
        <f>IFERROR(VLOOKUP(G69,'G-1 All Habitats'!$B$2:$M$134,12,FALSE),"")</f>
        <v/>
      </c>
      <c r="Q69" s="376" t="str">
        <f>IFERROR(IF(P69="","",IF(AND(P69='G-1 All Habitats'!$X$3,T69&gt;0),U69+V69,IF(AND(P69='G-1 All Habitats'!$X$3,S69&gt;0),U69+V69,IF(AND(P69='G-1 All Habitats'!$X$3,AC69&gt;0),"Any Loss Unacceptable ⚠",IF(AND(P69='G-1 All Habitats'!$X$3,W69&gt;0),"Any Loss Unacceptable ⚠",H69*J69*L69*O69))))),"Check Data ▲")</f>
        <v/>
      </c>
      <c r="R69" s="38"/>
      <c r="S69" s="54"/>
      <c r="T69" s="55"/>
      <c r="U69" s="374" t="str">
        <f t="shared" si="3"/>
        <v/>
      </c>
      <c r="V69" s="374" t="str">
        <f t="shared" si="4"/>
        <v/>
      </c>
      <c r="W69" s="374" t="str">
        <f>IF(E69="","",IF(H69&lt;S69+T69,"Error in Areas ▲",IF(P69&lt;&gt;'G-1 All Habitats'!$X$3,H69-S69-T69,IF(AND(P69='G-1 All Habitats'!$X$3,Y69="Yes"),"Unacceptable Loss ⚠",IF(AND(P69='G-1 All Habitats'!$X$3,Y69="No"),AC69,IF(AND(P69='G-1 All Habitats'!$X$3,Y69=""),AC69,IF(AND(P69='G-1 All Habitats'!$X$3,AC69="None",AC69),IF(AND(P69='G-1 All Habitats'!$X$3,AC69&gt;0),H69-S69-T69))))))))</f>
        <v/>
      </c>
      <c r="X69" s="378" t="str">
        <f>IFERROR(IF(H69="","",IF(H69-S69-T69=0&lt;0,"Error in Areas ▲",IF(S69+T69&gt;H69,"Error in Areas ▲",IF(AND(P69='G-1 All Habitats'!$X$3,Y69="Yes"),"Alternative Compensation ✓",IF(W69=0,0,IF(P69='G-1 All Habitats'!$X$3,"Any Loss Unacceptable ▲",Q69-U69-V69)))))),"Check Data ▲")</f>
        <v/>
      </c>
      <c r="Y69" s="55"/>
      <c r="Z69" s="62"/>
      <c r="AA69" s="526"/>
      <c r="AB69" s="120"/>
      <c r="AC69" s="726" t="str">
        <f>IF(P69="","",IF(P69='G-1 All Habitats'!$X$3,H69-S69-T69,"None"))</f>
        <v/>
      </c>
      <c r="AD69" s="727" t="str">
        <f>IF(P69="","", IF(P69='G-1 All Habitats'!$X$3, AC69*J69*L69*O69,"None"))</f>
        <v/>
      </c>
      <c r="AF69" s="40" t="str">
        <f t="shared" si="0"/>
        <v/>
      </c>
      <c r="AG69" s="40" t="str">
        <f t="shared" si="1"/>
        <v/>
      </c>
      <c r="AH69" s="40" t="str">
        <f>IF(I69="","",IF(#REF!&gt;0,TRUE,FALSE))</f>
        <v/>
      </c>
      <c r="AI69" s="40">
        <v>59</v>
      </c>
      <c r="AJ69" s="40"/>
      <c r="AK69" s="40" t="str">
        <f t="array" ref="AK69">IFERROR(INDEX($AI$11:$AI$259, MATCH(0, IF(TRUE=$AF$11:$AF$259, COUNTIF($AK$10:$AK68, $AI$11:$AI$259), ""), 0)),"")</f>
        <v/>
      </c>
      <c r="AL69" s="40" t="str">
        <f t="array" ref="AL69">IFERROR(INDEX($AI$11:$AI$259, MATCH(0, IF(TRUE=$AG$11:$AG$259, COUNTIF($AL$10:$AL68, $AI$11:$AI$259), ""), 0)),"")</f>
        <v/>
      </c>
      <c r="AM69" s="40" t="str">
        <f t="array" ref="AM69">IFERROR(INDEX($AI$11:$AI$259, MATCH(0, IF(TRUE=$AH$11:$AH$259, COUNTIF($AM$10:$AM68, $AI$11:$AI$259), ""), 0)),"")</f>
        <v/>
      </c>
      <c r="AN69" s="40"/>
      <c r="AQ69" s="35">
        <f t="shared" si="2"/>
        <v>0</v>
      </c>
    </row>
    <row r="70" spans="1:43">
      <c r="A70" s="35" t="str">
        <f>IFERROR(INDEX('G-1 All Habitats'!$AG$3:$AG$17,MATCH(E70,'G-1 All Habitats'!$AF$3:$AF$17,0)),"")</f>
        <v/>
      </c>
      <c r="B70" s="35" t="str">
        <f>IFERROR(INDEX('G-8 Condition Look up'!$I$4:$I$135,MATCH(G70,'G-8 Condition Look up'!$A$4:$A$135,0)),"")</f>
        <v/>
      </c>
      <c r="D70" s="287">
        <v>60</v>
      </c>
      <c r="E70" s="267"/>
      <c r="F70" s="61"/>
      <c r="G70" s="52" t="str">
        <f>IFERROR(INDEX('G-1 All Habitats'!$B$3:$B$134,MATCH(F70,'G-1 All Habitats'!$A$3:$A$134,0)),"")</f>
        <v/>
      </c>
      <c r="H70" s="53"/>
      <c r="I70" s="362" t="str">
        <f>IF(G70="","",VLOOKUP(G70,'G-1 All Habitats'!$B$2:$M$134,10,FALSE))</f>
        <v/>
      </c>
      <c r="J70" s="363" t="str">
        <f>IFERROR(VLOOKUP(I70,'G-1 All Habitats'!$V$3:$W$7,2,FALSE),"")</f>
        <v/>
      </c>
      <c r="K70" s="54"/>
      <c r="L70" s="363" t="str">
        <f>IFERROR(INDEX('G-8 Condition Look up'!$A$3:$H$135,MATCH(G70,'G-8 Condition Look up'!$A$3:$A$135,0),MATCH(K70,'G-8 Condition Look up'!$A$3:$H$3,0)),"")</f>
        <v/>
      </c>
      <c r="M70" s="54"/>
      <c r="N70" s="382" t="str">
        <f>IF(M70="","",IF(VLOOKUP(M70,'G-3 Multipliers'!$L$3:$N$6,2,FALSE)=0,"Spatial Data Missing",VLOOKUP(M70,'G-3 Multipliers'!$L$3:$N$6,2,FALSE)))</f>
        <v/>
      </c>
      <c r="O70" s="368" t="str">
        <f>IF(M70="","",IF(VLOOKUP(M70,'G-3 Multipliers'!$L$3:$N$6,3,FALSE)=0,"Spatial Data Missing ▲",VLOOKUP(M70,'G-3 Multipliers'!$L$3:$N$6,3,FALSE)))</f>
        <v/>
      </c>
      <c r="P70" s="369" t="str">
        <f>IFERROR(VLOOKUP(G70,'G-1 All Habitats'!$B$2:$M$134,12,FALSE),"")</f>
        <v/>
      </c>
      <c r="Q70" s="376" t="str">
        <f>IFERROR(IF(P70="","",IF(AND(P70='G-1 All Habitats'!$X$3,T70&gt;0),U70+V70,IF(AND(P70='G-1 All Habitats'!$X$3,S70&gt;0),U70+V70,IF(AND(P70='G-1 All Habitats'!$X$3,AC70&gt;0),"Any Loss Unacceptable ⚠",IF(AND(P70='G-1 All Habitats'!$X$3,W70&gt;0),"Any Loss Unacceptable ⚠",H70*J70*L70*O70))))),"Check Data ▲")</f>
        <v/>
      </c>
      <c r="R70" s="38"/>
      <c r="S70" s="54"/>
      <c r="T70" s="55"/>
      <c r="U70" s="374" t="str">
        <f t="shared" si="3"/>
        <v/>
      </c>
      <c r="V70" s="374" t="str">
        <f t="shared" si="4"/>
        <v/>
      </c>
      <c r="W70" s="374" t="str">
        <f>IF(E70="","",IF(H70&lt;S70+T70,"Error in Areas ▲",IF(P70&lt;&gt;'G-1 All Habitats'!$X$3,H70-S70-T70,IF(AND(P70='G-1 All Habitats'!$X$3,Y70="Yes"),"Unacceptable Loss ⚠",IF(AND(P70='G-1 All Habitats'!$X$3,Y70="No"),AC70,IF(AND(P70='G-1 All Habitats'!$X$3,Y70=""),AC70,IF(AND(P70='G-1 All Habitats'!$X$3,AC70="None",AC70),IF(AND(P70='G-1 All Habitats'!$X$3,AC70&gt;0),H70-S70-T70))))))))</f>
        <v/>
      </c>
      <c r="X70" s="378" t="str">
        <f>IFERROR(IF(H70="","",IF(H70-S70-T70=0&lt;0,"Error in Areas ▲",IF(S70+T70&gt;H70,"Error in Areas ▲",IF(AND(P70='G-1 All Habitats'!$X$3,Y70="Yes"),"Alternative Compensation ✓",IF(W70=0,0,IF(P70='G-1 All Habitats'!$X$3,"Any Loss Unacceptable ▲",Q70-U70-V70)))))),"Check Data ▲")</f>
        <v/>
      </c>
      <c r="Y70" s="55"/>
      <c r="Z70" s="62"/>
      <c r="AA70" s="526"/>
      <c r="AB70" s="120"/>
      <c r="AC70" s="726" t="str">
        <f>IF(P70="","",IF(P70='G-1 All Habitats'!$X$3,H70-S70-T70,"None"))</f>
        <v/>
      </c>
      <c r="AD70" s="727" t="str">
        <f>IF(P70="","", IF(P70='G-1 All Habitats'!$X$3, AC70*J70*L70*O70,"None"))</f>
        <v/>
      </c>
      <c r="AF70" s="40" t="str">
        <f t="shared" si="0"/>
        <v/>
      </c>
      <c r="AG70" s="40" t="str">
        <f t="shared" si="1"/>
        <v/>
      </c>
      <c r="AH70" s="40" t="str">
        <f>IF(I70="","",IF(#REF!&gt;0,TRUE,FALSE))</f>
        <v/>
      </c>
      <c r="AI70" s="40">
        <v>60</v>
      </c>
      <c r="AJ70" s="40"/>
      <c r="AK70" s="40" t="str">
        <f t="array" ref="AK70">IFERROR(INDEX($AI$11:$AI$259, MATCH(0, IF(TRUE=$AF$11:$AF$259, COUNTIF($AK$10:$AK69, $AI$11:$AI$259), ""), 0)),"")</f>
        <v/>
      </c>
      <c r="AL70" s="40" t="str">
        <f t="array" ref="AL70">IFERROR(INDEX($AI$11:$AI$259, MATCH(0, IF(TRUE=$AG$11:$AG$259, COUNTIF($AL$10:$AL69, $AI$11:$AI$259), ""), 0)),"")</f>
        <v/>
      </c>
      <c r="AM70" s="40" t="str">
        <f t="array" ref="AM70">IFERROR(INDEX($AI$11:$AI$259, MATCH(0, IF(TRUE=$AH$11:$AH$259, COUNTIF($AM$10:$AM69, $AI$11:$AI$259), ""), 0)),"")</f>
        <v/>
      </c>
      <c r="AN70" s="40"/>
      <c r="AQ70" s="35">
        <f t="shared" si="2"/>
        <v>0</v>
      </c>
    </row>
    <row r="71" spans="1:43">
      <c r="A71" s="35" t="str">
        <f>IFERROR(INDEX('G-1 All Habitats'!$AG$3:$AG$17,MATCH(E71,'G-1 All Habitats'!$AF$3:$AF$17,0)),"")</f>
        <v/>
      </c>
      <c r="B71" s="35" t="str">
        <f>IFERROR(INDEX('G-8 Condition Look up'!$I$4:$I$135,MATCH(G71,'G-8 Condition Look up'!$A$4:$A$135,0)),"")</f>
        <v/>
      </c>
      <c r="D71" s="287">
        <v>61</v>
      </c>
      <c r="E71" s="267"/>
      <c r="F71" s="61"/>
      <c r="G71" s="52" t="str">
        <f>IFERROR(INDEX('G-1 All Habitats'!$B$3:$B$134,MATCH(F71,'G-1 All Habitats'!$A$3:$A$134,0)),"")</f>
        <v/>
      </c>
      <c r="H71" s="53"/>
      <c r="I71" s="362" t="str">
        <f>IF(G71="","",VLOOKUP(G71,'G-1 All Habitats'!$B$2:$M$134,10,FALSE))</f>
        <v/>
      </c>
      <c r="J71" s="363" t="str">
        <f>IFERROR(VLOOKUP(I71,'G-1 All Habitats'!$V$3:$W$7,2,FALSE),"")</f>
        <v/>
      </c>
      <c r="K71" s="54"/>
      <c r="L71" s="363" t="str">
        <f>IFERROR(INDEX('G-8 Condition Look up'!$A$3:$H$135,MATCH(G71,'G-8 Condition Look up'!$A$3:$A$135,0),MATCH(K71,'G-8 Condition Look up'!$A$3:$H$3,0)),"")</f>
        <v/>
      </c>
      <c r="M71" s="54"/>
      <c r="N71" s="382" t="str">
        <f>IF(M71="","",IF(VLOOKUP(M71,'G-3 Multipliers'!$L$3:$N$6,2,FALSE)=0,"Spatial Data Missing",VLOOKUP(M71,'G-3 Multipliers'!$L$3:$N$6,2,FALSE)))</f>
        <v/>
      </c>
      <c r="O71" s="368" t="str">
        <f>IF(M71="","",IF(VLOOKUP(M71,'G-3 Multipliers'!$L$3:$N$6,3,FALSE)=0,"Spatial Data Missing ▲",VLOOKUP(M71,'G-3 Multipliers'!$L$3:$N$6,3,FALSE)))</f>
        <v/>
      </c>
      <c r="P71" s="369" t="str">
        <f>IFERROR(VLOOKUP(G71,'G-1 All Habitats'!$B$2:$M$134,12,FALSE),"")</f>
        <v/>
      </c>
      <c r="Q71" s="376" t="str">
        <f>IFERROR(IF(P71="","",IF(AND(P71='G-1 All Habitats'!$X$3,T71&gt;0),U71+V71,IF(AND(P71='G-1 All Habitats'!$X$3,S71&gt;0),U71+V71,IF(AND(P71='G-1 All Habitats'!$X$3,AC71&gt;0),"Any Loss Unacceptable ⚠",IF(AND(P71='G-1 All Habitats'!$X$3,W71&gt;0),"Any Loss Unacceptable ⚠",H71*J71*L71*O71))))),"Check Data ▲")</f>
        <v/>
      </c>
      <c r="R71" s="38"/>
      <c r="S71" s="54"/>
      <c r="T71" s="55"/>
      <c r="U71" s="374" t="str">
        <f t="shared" si="3"/>
        <v/>
      </c>
      <c r="V71" s="374" t="str">
        <f t="shared" si="4"/>
        <v/>
      </c>
      <c r="W71" s="374" t="str">
        <f>IF(E71="","",IF(H71&lt;S71+T71,"Error in Areas ▲",IF(P71&lt;&gt;'G-1 All Habitats'!$X$3,H71-S71-T71,IF(AND(P71='G-1 All Habitats'!$X$3,Y71="Yes"),"Unacceptable Loss ⚠",IF(AND(P71='G-1 All Habitats'!$X$3,Y71="No"),AC71,IF(AND(P71='G-1 All Habitats'!$X$3,Y71=""),AC71,IF(AND(P71='G-1 All Habitats'!$X$3,AC71="None",AC71),IF(AND(P71='G-1 All Habitats'!$X$3,AC71&gt;0),H71-S71-T71))))))))</f>
        <v/>
      </c>
      <c r="X71" s="378" t="str">
        <f>IFERROR(IF(H71="","",IF(H71-S71-T71=0&lt;0,"Error in Areas ▲",IF(S71+T71&gt;H71,"Error in Areas ▲",IF(AND(P71='G-1 All Habitats'!$X$3,Y71="Yes"),"Alternative Compensation ✓",IF(W71=0,0,IF(P71='G-1 All Habitats'!$X$3,"Any Loss Unacceptable ▲",Q71-U71-V71)))))),"Check Data ▲")</f>
        <v/>
      </c>
      <c r="Y71" s="55"/>
      <c r="Z71" s="62"/>
      <c r="AA71" s="526"/>
      <c r="AB71" s="120"/>
      <c r="AC71" s="726" t="str">
        <f>IF(P71="","",IF(P71='G-1 All Habitats'!$X$3,H71-S71-T71,"None"))</f>
        <v/>
      </c>
      <c r="AD71" s="727" t="str">
        <f>IF(P71="","", IF(P71='G-1 All Habitats'!$X$3, AC71*J71*L71*O71,"None"))</f>
        <v/>
      </c>
      <c r="AF71" s="40" t="str">
        <f t="shared" si="0"/>
        <v/>
      </c>
      <c r="AG71" s="40" t="str">
        <f t="shared" si="1"/>
        <v/>
      </c>
      <c r="AH71" s="40" t="str">
        <f>IF(I71="","",IF(#REF!&gt;0,TRUE,FALSE))</f>
        <v/>
      </c>
      <c r="AI71" s="40">
        <v>61</v>
      </c>
      <c r="AJ71" s="40"/>
      <c r="AK71" s="40" t="str">
        <f t="array" ref="AK71">IFERROR(INDEX($AI$11:$AI$259, MATCH(0, IF(TRUE=$AF$11:$AF$259, COUNTIF($AK$10:$AK70, $AI$11:$AI$259), ""), 0)),"")</f>
        <v/>
      </c>
      <c r="AL71" s="40" t="str">
        <f t="array" ref="AL71">IFERROR(INDEX($AI$11:$AI$259, MATCH(0, IF(TRUE=$AG$11:$AG$259, COUNTIF($AL$10:$AL70, $AI$11:$AI$259), ""), 0)),"")</f>
        <v/>
      </c>
      <c r="AM71" s="40" t="str">
        <f t="array" ref="AM71">IFERROR(INDEX($AI$11:$AI$259, MATCH(0, IF(TRUE=$AH$11:$AH$259, COUNTIF($AM$10:$AM70, $AI$11:$AI$259), ""), 0)),"")</f>
        <v/>
      </c>
      <c r="AN71" s="40"/>
      <c r="AQ71" s="35">
        <f t="shared" si="2"/>
        <v>0</v>
      </c>
    </row>
    <row r="72" spans="1:43">
      <c r="A72" s="35" t="str">
        <f>IFERROR(INDEX('G-1 All Habitats'!$AG$3:$AG$17,MATCH(E72,'G-1 All Habitats'!$AF$3:$AF$17,0)),"")</f>
        <v/>
      </c>
      <c r="B72" s="35" t="str">
        <f>IFERROR(INDEX('G-8 Condition Look up'!$I$4:$I$135,MATCH(G72,'G-8 Condition Look up'!$A$4:$A$135,0)),"")</f>
        <v/>
      </c>
      <c r="D72" s="287">
        <v>62</v>
      </c>
      <c r="E72" s="267"/>
      <c r="F72" s="61"/>
      <c r="G72" s="52" t="str">
        <f>IFERROR(INDEX('G-1 All Habitats'!$B$3:$B$134,MATCH(F72,'G-1 All Habitats'!$A$3:$A$134,0)),"")</f>
        <v/>
      </c>
      <c r="H72" s="53"/>
      <c r="I72" s="362" t="str">
        <f>IF(G72="","",VLOOKUP(G72,'G-1 All Habitats'!$B$2:$M$134,10,FALSE))</f>
        <v/>
      </c>
      <c r="J72" s="363" t="str">
        <f>IFERROR(VLOOKUP(I72,'G-1 All Habitats'!$V$3:$W$7,2,FALSE),"")</f>
        <v/>
      </c>
      <c r="K72" s="54"/>
      <c r="L72" s="363" t="str">
        <f>IFERROR(INDEX('G-8 Condition Look up'!$A$3:$H$135,MATCH(G72,'G-8 Condition Look up'!$A$3:$A$135,0),MATCH(K72,'G-8 Condition Look up'!$A$3:$H$3,0)),"")</f>
        <v/>
      </c>
      <c r="M72" s="54"/>
      <c r="N72" s="382" t="str">
        <f>IF(M72="","",IF(VLOOKUP(M72,'G-3 Multipliers'!$L$3:$N$6,2,FALSE)=0,"Spatial Data Missing",VLOOKUP(M72,'G-3 Multipliers'!$L$3:$N$6,2,FALSE)))</f>
        <v/>
      </c>
      <c r="O72" s="368" t="str">
        <f>IF(M72="","",IF(VLOOKUP(M72,'G-3 Multipliers'!$L$3:$N$6,3,FALSE)=0,"Spatial Data Missing ▲",VLOOKUP(M72,'G-3 Multipliers'!$L$3:$N$6,3,FALSE)))</f>
        <v/>
      </c>
      <c r="P72" s="369" t="str">
        <f>IFERROR(VLOOKUP(G72,'G-1 All Habitats'!$B$2:$M$134,12,FALSE),"")</f>
        <v/>
      </c>
      <c r="Q72" s="376" t="str">
        <f>IFERROR(IF(P72="","",IF(AND(P72='G-1 All Habitats'!$X$3,T72&gt;0),U72+V72,IF(AND(P72='G-1 All Habitats'!$X$3,S72&gt;0),U72+V72,IF(AND(P72='G-1 All Habitats'!$X$3,AC72&gt;0),"Any Loss Unacceptable ⚠",IF(AND(P72='G-1 All Habitats'!$X$3,W72&gt;0),"Any Loss Unacceptable ⚠",H72*J72*L72*O72))))),"Check Data ▲")</f>
        <v/>
      </c>
      <c r="R72" s="38"/>
      <c r="S72" s="54"/>
      <c r="T72" s="55"/>
      <c r="U72" s="374" t="str">
        <f t="shared" si="3"/>
        <v/>
      </c>
      <c r="V72" s="374" t="str">
        <f t="shared" si="4"/>
        <v/>
      </c>
      <c r="W72" s="374" t="str">
        <f>IF(E72="","",IF(H72&lt;S72+T72,"Error in Areas ▲",IF(P72&lt;&gt;'G-1 All Habitats'!$X$3,H72-S72-T72,IF(AND(P72='G-1 All Habitats'!$X$3,Y72="Yes"),"Unacceptable Loss ⚠",IF(AND(P72='G-1 All Habitats'!$X$3,Y72="No"),AC72,IF(AND(P72='G-1 All Habitats'!$X$3,Y72=""),AC72,IF(AND(P72='G-1 All Habitats'!$X$3,AC72="None",AC72),IF(AND(P72='G-1 All Habitats'!$X$3,AC72&gt;0),H72-S72-T72))))))))</f>
        <v/>
      </c>
      <c r="X72" s="378" t="str">
        <f>IFERROR(IF(H72="","",IF(H72-S72-T72=0&lt;0,"Error in Areas ▲",IF(S72+T72&gt;H72,"Error in Areas ▲",IF(AND(P72='G-1 All Habitats'!$X$3,Y72="Yes"),"Alternative Compensation ✓",IF(W72=0,0,IF(P72='G-1 All Habitats'!$X$3,"Any Loss Unacceptable ▲",Q72-U72-V72)))))),"Check Data ▲")</f>
        <v/>
      </c>
      <c r="Y72" s="55"/>
      <c r="Z72" s="62"/>
      <c r="AA72" s="526"/>
      <c r="AB72" s="120"/>
      <c r="AC72" s="726" t="str">
        <f>IF(P72="","",IF(P72='G-1 All Habitats'!$X$3,H72-S72-T72,"None"))</f>
        <v/>
      </c>
      <c r="AD72" s="727" t="str">
        <f>IF(P72="","", IF(P72='G-1 All Habitats'!$X$3, AC72*J72*L72*O72,"None"))</f>
        <v/>
      </c>
      <c r="AF72" s="40" t="str">
        <f t="shared" si="0"/>
        <v/>
      </c>
      <c r="AG72" s="40" t="str">
        <f t="shared" si="1"/>
        <v/>
      </c>
      <c r="AH72" s="40" t="str">
        <f>IF(I72="","",IF(#REF!&gt;0,TRUE,FALSE))</f>
        <v/>
      </c>
      <c r="AI72" s="40">
        <v>62</v>
      </c>
      <c r="AJ72" s="40"/>
      <c r="AK72" s="40" t="str">
        <f t="array" ref="AK72">IFERROR(INDEX($AI$11:$AI$259, MATCH(0, IF(TRUE=$AF$11:$AF$259, COUNTIF($AK$10:$AK71, $AI$11:$AI$259), ""), 0)),"")</f>
        <v/>
      </c>
      <c r="AL72" s="40" t="str">
        <f t="array" ref="AL72">IFERROR(INDEX($AI$11:$AI$259, MATCH(0, IF(TRUE=$AG$11:$AG$259, COUNTIF($AL$10:$AL71, $AI$11:$AI$259), ""), 0)),"")</f>
        <v/>
      </c>
      <c r="AM72" s="40" t="str">
        <f t="array" ref="AM72">IFERROR(INDEX($AI$11:$AI$259, MATCH(0, IF(TRUE=$AH$11:$AH$259, COUNTIF($AM$10:$AM71, $AI$11:$AI$259), ""), 0)),"")</f>
        <v/>
      </c>
      <c r="AN72" s="40"/>
      <c r="AQ72" s="35">
        <f t="shared" si="2"/>
        <v>0</v>
      </c>
    </row>
    <row r="73" spans="1:43">
      <c r="A73" s="35" t="str">
        <f>IFERROR(INDEX('G-1 All Habitats'!$AG$3:$AG$17,MATCH(E73,'G-1 All Habitats'!$AF$3:$AF$17,0)),"")</f>
        <v/>
      </c>
      <c r="B73" s="35" t="str">
        <f>IFERROR(INDEX('G-8 Condition Look up'!$I$4:$I$135,MATCH(G73,'G-8 Condition Look up'!$A$4:$A$135,0)),"")</f>
        <v/>
      </c>
      <c r="D73" s="287">
        <v>63</v>
      </c>
      <c r="E73" s="267"/>
      <c r="F73" s="61"/>
      <c r="G73" s="52" t="str">
        <f>IFERROR(INDEX('G-1 All Habitats'!$B$3:$B$134,MATCH(F73,'G-1 All Habitats'!$A$3:$A$134,0)),"")</f>
        <v/>
      </c>
      <c r="H73" s="53"/>
      <c r="I73" s="362" t="str">
        <f>IF(G73="","",VLOOKUP(G73,'G-1 All Habitats'!$B$2:$M$134,10,FALSE))</f>
        <v/>
      </c>
      <c r="J73" s="363" t="str">
        <f>IFERROR(VLOOKUP(I73,'G-1 All Habitats'!$V$3:$W$7,2,FALSE),"")</f>
        <v/>
      </c>
      <c r="K73" s="54"/>
      <c r="L73" s="363" t="str">
        <f>IFERROR(INDEX('G-8 Condition Look up'!$A$3:$H$135,MATCH(G73,'G-8 Condition Look up'!$A$3:$A$135,0),MATCH(K73,'G-8 Condition Look up'!$A$3:$H$3,0)),"")</f>
        <v/>
      </c>
      <c r="M73" s="54"/>
      <c r="N73" s="382" t="str">
        <f>IF(M73="","",IF(VLOOKUP(M73,'G-3 Multipliers'!$L$3:$N$6,2,FALSE)=0,"Spatial Data Missing",VLOOKUP(M73,'G-3 Multipliers'!$L$3:$N$6,2,FALSE)))</f>
        <v/>
      </c>
      <c r="O73" s="368" t="str">
        <f>IF(M73="","",IF(VLOOKUP(M73,'G-3 Multipliers'!$L$3:$N$6,3,FALSE)=0,"Spatial Data Missing ▲",VLOOKUP(M73,'G-3 Multipliers'!$L$3:$N$6,3,FALSE)))</f>
        <v/>
      </c>
      <c r="P73" s="369" t="str">
        <f>IFERROR(VLOOKUP(G73,'G-1 All Habitats'!$B$2:$M$134,12,FALSE),"")</f>
        <v/>
      </c>
      <c r="Q73" s="376" t="str">
        <f>IFERROR(IF(P73="","",IF(AND(P73='G-1 All Habitats'!$X$3,T73&gt;0),U73+V73,IF(AND(P73='G-1 All Habitats'!$X$3,S73&gt;0),U73+V73,IF(AND(P73='G-1 All Habitats'!$X$3,AC73&gt;0),"Any Loss Unacceptable ⚠",IF(AND(P73='G-1 All Habitats'!$X$3,W73&gt;0),"Any Loss Unacceptable ⚠",H73*J73*L73*O73))))),"Check Data ▲")</f>
        <v/>
      </c>
      <c r="R73" s="38"/>
      <c r="S73" s="54"/>
      <c r="T73" s="55"/>
      <c r="U73" s="374" t="str">
        <f t="shared" si="3"/>
        <v/>
      </c>
      <c r="V73" s="374" t="str">
        <f t="shared" si="4"/>
        <v/>
      </c>
      <c r="W73" s="374" t="str">
        <f>IF(E73="","",IF(H73&lt;S73+T73,"Error in Areas ▲",IF(P73&lt;&gt;'G-1 All Habitats'!$X$3,H73-S73-T73,IF(AND(P73='G-1 All Habitats'!$X$3,Y73="Yes"),"Unacceptable Loss ⚠",IF(AND(P73='G-1 All Habitats'!$X$3,Y73="No"),AC73,IF(AND(P73='G-1 All Habitats'!$X$3,Y73=""),AC73,IF(AND(P73='G-1 All Habitats'!$X$3,AC73="None",AC73),IF(AND(P73='G-1 All Habitats'!$X$3,AC73&gt;0),H73-S73-T73))))))))</f>
        <v/>
      </c>
      <c r="X73" s="378" t="str">
        <f>IFERROR(IF(H73="","",IF(H73-S73-T73=0&lt;0,"Error in Areas ▲",IF(S73+T73&gt;H73,"Error in Areas ▲",IF(AND(P73='G-1 All Habitats'!$X$3,Y73="Yes"),"Alternative Compensation ✓",IF(W73=0,0,IF(P73='G-1 All Habitats'!$X$3,"Any Loss Unacceptable ▲",Q73-U73-V73)))))),"Check Data ▲")</f>
        <v/>
      </c>
      <c r="Y73" s="55"/>
      <c r="Z73" s="62"/>
      <c r="AA73" s="526"/>
      <c r="AB73" s="120"/>
      <c r="AC73" s="726" t="str">
        <f>IF(P73="","",IF(P73='G-1 All Habitats'!$X$3,H73-S73-T73,"None"))</f>
        <v/>
      </c>
      <c r="AD73" s="727" t="str">
        <f>IF(P73="","", IF(P73='G-1 All Habitats'!$X$3, AC73*J73*L73*O73,"None"))</f>
        <v/>
      </c>
      <c r="AF73" s="40" t="str">
        <f t="shared" si="0"/>
        <v/>
      </c>
      <c r="AG73" s="40" t="str">
        <f t="shared" si="1"/>
        <v/>
      </c>
      <c r="AH73" s="40" t="str">
        <f>IF(I73="","",IF(#REF!&gt;0,TRUE,FALSE))</f>
        <v/>
      </c>
      <c r="AI73" s="40">
        <v>63</v>
      </c>
      <c r="AJ73" s="40"/>
      <c r="AK73" s="40" t="str">
        <f t="array" ref="AK73">IFERROR(INDEX($AI$11:$AI$259, MATCH(0, IF(TRUE=$AF$11:$AF$259, COUNTIF($AK$10:$AK72, $AI$11:$AI$259), ""), 0)),"")</f>
        <v/>
      </c>
      <c r="AL73" s="40" t="str">
        <f t="array" ref="AL73">IFERROR(INDEX($AI$11:$AI$259, MATCH(0, IF(TRUE=$AG$11:$AG$259, COUNTIF($AL$10:$AL72, $AI$11:$AI$259), ""), 0)),"")</f>
        <v/>
      </c>
      <c r="AM73" s="40" t="str">
        <f t="array" ref="AM73">IFERROR(INDEX($AI$11:$AI$259, MATCH(0, IF(TRUE=$AH$11:$AH$259, COUNTIF($AM$10:$AM72, $AI$11:$AI$259), ""), 0)),"")</f>
        <v/>
      </c>
      <c r="AN73" s="40"/>
      <c r="AQ73" s="35">
        <f t="shared" si="2"/>
        <v>0</v>
      </c>
    </row>
    <row r="74" spans="1:43">
      <c r="A74" s="35" t="str">
        <f>IFERROR(INDEX('G-1 All Habitats'!$AG$3:$AG$17,MATCH(E74,'G-1 All Habitats'!$AF$3:$AF$17,0)),"")</f>
        <v/>
      </c>
      <c r="B74" s="35" t="str">
        <f>IFERROR(INDEX('G-8 Condition Look up'!$I$4:$I$135,MATCH(G74,'G-8 Condition Look up'!$A$4:$A$135,0)),"")</f>
        <v/>
      </c>
      <c r="D74" s="287">
        <v>64</v>
      </c>
      <c r="E74" s="267"/>
      <c r="F74" s="61"/>
      <c r="G74" s="52" t="str">
        <f>IFERROR(INDEX('G-1 All Habitats'!$B$3:$B$134,MATCH(F74,'G-1 All Habitats'!$A$3:$A$134,0)),"")</f>
        <v/>
      </c>
      <c r="H74" s="53"/>
      <c r="I74" s="362" t="str">
        <f>IF(G74="","",VLOOKUP(G74,'G-1 All Habitats'!$B$2:$M$134,10,FALSE))</f>
        <v/>
      </c>
      <c r="J74" s="363" t="str">
        <f>IFERROR(VLOOKUP(I74,'G-1 All Habitats'!$V$3:$W$7,2,FALSE),"")</f>
        <v/>
      </c>
      <c r="K74" s="54"/>
      <c r="L74" s="363" t="str">
        <f>IFERROR(INDEX('G-8 Condition Look up'!$A$3:$H$135,MATCH(G74,'G-8 Condition Look up'!$A$3:$A$135,0),MATCH(K74,'G-8 Condition Look up'!$A$3:$H$3,0)),"")</f>
        <v/>
      </c>
      <c r="M74" s="54"/>
      <c r="N74" s="382" t="str">
        <f>IF(M74="","",IF(VLOOKUP(M74,'G-3 Multipliers'!$L$3:$N$6,2,FALSE)=0,"Spatial Data Missing",VLOOKUP(M74,'G-3 Multipliers'!$L$3:$N$6,2,FALSE)))</f>
        <v/>
      </c>
      <c r="O74" s="368" t="str">
        <f>IF(M74="","",IF(VLOOKUP(M74,'G-3 Multipliers'!$L$3:$N$6,3,FALSE)=0,"Spatial Data Missing ▲",VLOOKUP(M74,'G-3 Multipliers'!$L$3:$N$6,3,FALSE)))</f>
        <v/>
      </c>
      <c r="P74" s="369" t="str">
        <f>IFERROR(VLOOKUP(G74,'G-1 All Habitats'!$B$2:$M$134,12,FALSE),"")</f>
        <v/>
      </c>
      <c r="Q74" s="376" t="str">
        <f>IFERROR(IF(P74="","",IF(AND(P74='G-1 All Habitats'!$X$3,T74&gt;0),U74+V74,IF(AND(P74='G-1 All Habitats'!$X$3,S74&gt;0),U74+V74,IF(AND(P74='G-1 All Habitats'!$X$3,AC74&gt;0),"Any Loss Unacceptable ⚠",IF(AND(P74='G-1 All Habitats'!$X$3,W74&gt;0),"Any Loss Unacceptable ⚠",H74*J74*L74*O74))))),"Check Data ▲")</f>
        <v/>
      </c>
      <c r="R74" s="38"/>
      <c r="S74" s="54"/>
      <c r="T74" s="55"/>
      <c r="U74" s="374" t="str">
        <f t="shared" si="3"/>
        <v/>
      </c>
      <c r="V74" s="374" t="str">
        <f t="shared" si="4"/>
        <v/>
      </c>
      <c r="W74" s="374" t="str">
        <f>IF(E74="","",IF(H74&lt;S74+T74,"Error in Areas ▲",IF(P74&lt;&gt;'G-1 All Habitats'!$X$3,H74-S74-T74,IF(AND(P74='G-1 All Habitats'!$X$3,Y74="Yes"),"Unacceptable Loss ⚠",IF(AND(P74='G-1 All Habitats'!$X$3,Y74="No"),AC74,IF(AND(P74='G-1 All Habitats'!$X$3,Y74=""),AC74,IF(AND(P74='G-1 All Habitats'!$X$3,AC74="None",AC74),IF(AND(P74='G-1 All Habitats'!$X$3,AC74&gt;0),H74-S74-T74))))))))</f>
        <v/>
      </c>
      <c r="X74" s="378" t="str">
        <f>IFERROR(IF(H74="","",IF(H74-S74-T74=0&lt;0,"Error in Areas ▲",IF(S74+T74&gt;H74,"Error in Areas ▲",IF(AND(P74='G-1 All Habitats'!$X$3,Y74="Yes"),"Alternative Compensation ✓",IF(W74=0,0,IF(P74='G-1 All Habitats'!$X$3,"Any Loss Unacceptable ▲",Q74-U74-V74)))))),"Check Data ▲")</f>
        <v/>
      </c>
      <c r="Y74" s="55"/>
      <c r="Z74" s="62"/>
      <c r="AA74" s="526"/>
      <c r="AB74" s="120"/>
      <c r="AC74" s="726" t="str">
        <f>IF(P74="","",IF(P74='G-1 All Habitats'!$X$3,H74-S74-T74,"None"))</f>
        <v/>
      </c>
      <c r="AD74" s="727" t="str">
        <f>IF(P74="","", IF(P74='G-1 All Habitats'!$X$3, AC74*J74*L74*O74,"None"))</f>
        <v/>
      </c>
      <c r="AF74" s="40" t="str">
        <f t="shared" si="0"/>
        <v/>
      </c>
      <c r="AG74" s="40" t="str">
        <f t="shared" si="1"/>
        <v/>
      </c>
      <c r="AH74" s="40" t="str">
        <f>IF(I74="","",IF(#REF!&gt;0,TRUE,FALSE))</f>
        <v/>
      </c>
      <c r="AI74" s="40">
        <v>64</v>
      </c>
      <c r="AJ74" s="40"/>
      <c r="AK74" s="40" t="str">
        <f t="array" ref="AK74">IFERROR(INDEX($AI$11:$AI$259, MATCH(0, IF(TRUE=$AF$11:$AF$259, COUNTIF($AK$10:$AK73, $AI$11:$AI$259), ""), 0)),"")</f>
        <v/>
      </c>
      <c r="AL74" s="40" t="str">
        <f t="array" ref="AL74">IFERROR(INDEX($AI$11:$AI$259, MATCH(0, IF(TRUE=$AG$11:$AG$259, COUNTIF($AL$10:$AL73, $AI$11:$AI$259), ""), 0)),"")</f>
        <v/>
      </c>
      <c r="AM74" s="40" t="str">
        <f t="array" ref="AM74">IFERROR(INDEX($AI$11:$AI$259, MATCH(0, IF(TRUE=$AH$11:$AH$259, COUNTIF($AM$10:$AM73, $AI$11:$AI$259), ""), 0)),"")</f>
        <v/>
      </c>
      <c r="AN74" s="40"/>
      <c r="AQ74" s="35">
        <f t="shared" si="2"/>
        <v>0</v>
      </c>
    </row>
    <row r="75" spans="1:43">
      <c r="A75" s="35" t="str">
        <f>IFERROR(INDEX('G-1 All Habitats'!$AG$3:$AG$17,MATCH(E75,'G-1 All Habitats'!$AF$3:$AF$17,0)),"")</f>
        <v/>
      </c>
      <c r="B75" s="35" t="str">
        <f>IFERROR(INDEX('G-8 Condition Look up'!$I$4:$I$135,MATCH(G75,'G-8 Condition Look up'!$A$4:$A$135,0)),"")</f>
        <v/>
      </c>
      <c r="D75" s="287">
        <v>65</v>
      </c>
      <c r="E75" s="267"/>
      <c r="F75" s="61"/>
      <c r="G75" s="52" t="str">
        <f>IFERROR(INDEX('G-1 All Habitats'!$B$3:$B$134,MATCH(F75,'G-1 All Habitats'!$A$3:$A$134,0)),"")</f>
        <v/>
      </c>
      <c r="H75" s="53"/>
      <c r="I75" s="362" t="str">
        <f>IF(G75="","",VLOOKUP(G75,'G-1 All Habitats'!$B$2:$M$134,10,FALSE))</f>
        <v/>
      </c>
      <c r="J75" s="363" t="str">
        <f>IFERROR(VLOOKUP(I75,'G-1 All Habitats'!$V$3:$W$7,2,FALSE),"")</f>
        <v/>
      </c>
      <c r="K75" s="54"/>
      <c r="L75" s="363" t="str">
        <f>IFERROR(INDEX('G-8 Condition Look up'!$A$3:$H$135,MATCH(G75,'G-8 Condition Look up'!$A$3:$A$135,0),MATCH(K75,'G-8 Condition Look up'!$A$3:$H$3,0)),"")</f>
        <v/>
      </c>
      <c r="M75" s="54"/>
      <c r="N75" s="382" t="str">
        <f>IF(M75="","",IF(VLOOKUP(M75,'G-3 Multipliers'!$L$3:$N$6,2,FALSE)=0,"Spatial Data Missing",VLOOKUP(M75,'G-3 Multipliers'!$L$3:$N$6,2,FALSE)))</f>
        <v/>
      </c>
      <c r="O75" s="368" t="str">
        <f>IF(M75="","",IF(VLOOKUP(M75,'G-3 Multipliers'!$L$3:$N$6,3,FALSE)=0,"Spatial Data Missing ▲",VLOOKUP(M75,'G-3 Multipliers'!$L$3:$N$6,3,FALSE)))</f>
        <v/>
      </c>
      <c r="P75" s="369" t="str">
        <f>IFERROR(VLOOKUP(G75,'G-1 All Habitats'!$B$2:$M$134,12,FALSE),"")</f>
        <v/>
      </c>
      <c r="Q75" s="376" t="str">
        <f>IFERROR(IF(P75="","",IF(AND(P75='G-1 All Habitats'!$X$3,T75&gt;0),U75+V75,IF(AND(P75='G-1 All Habitats'!$X$3,S75&gt;0),U75+V75,IF(AND(P75='G-1 All Habitats'!$X$3,AC75&gt;0),"Any Loss Unacceptable ⚠",IF(AND(P75='G-1 All Habitats'!$X$3,W75&gt;0),"Any Loss Unacceptable ⚠",H75*J75*L75*O75))))),"Check Data ▲")</f>
        <v/>
      </c>
      <c r="R75" s="38"/>
      <c r="S75" s="54"/>
      <c r="T75" s="55"/>
      <c r="U75" s="374" t="str">
        <f t="shared" si="3"/>
        <v/>
      </c>
      <c r="V75" s="374" t="str">
        <f t="shared" si="4"/>
        <v/>
      </c>
      <c r="W75" s="374" t="str">
        <f>IF(E75="","",IF(H75&lt;S75+T75,"Error in Areas ▲",IF(P75&lt;&gt;'G-1 All Habitats'!$X$3,H75-S75-T75,IF(AND(P75='G-1 All Habitats'!$X$3,Y75="Yes"),"Unacceptable Loss ⚠",IF(AND(P75='G-1 All Habitats'!$X$3,Y75="No"),AC75,IF(AND(P75='G-1 All Habitats'!$X$3,Y75=""),AC75,IF(AND(P75='G-1 All Habitats'!$X$3,AC75="None",AC75),IF(AND(P75='G-1 All Habitats'!$X$3,AC75&gt;0),H75-S75-T75))))))))</f>
        <v/>
      </c>
      <c r="X75" s="378" t="str">
        <f>IFERROR(IF(H75="","",IF(H75-S75-T75=0&lt;0,"Error in Areas ▲",IF(S75+T75&gt;H75,"Error in Areas ▲",IF(AND(P75='G-1 All Habitats'!$X$3,Y75="Yes"),"Alternative Compensation ✓",IF(W75=0,0,IF(P75='G-1 All Habitats'!$X$3,"Any Loss Unacceptable ▲",Q75-U75-V75)))))),"Check Data ▲")</f>
        <v/>
      </c>
      <c r="Y75" s="55"/>
      <c r="Z75" s="62"/>
      <c r="AA75" s="526"/>
      <c r="AB75" s="120"/>
      <c r="AC75" s="726" t="str">
        <f>IF(P75="","",IF(P75='G-1 All Habitats'!$X$3,H75-S75-T75,"None"))</f>
        <v/>
      </c>
      <c r="AD75" s="727" t="str">
        <f>IF(P75="","", IF(P75='G-1 All Habitats'!$X$3, AC75*J75*L75*O75,"None"))</f>
        <v/>
      </c>
      <c r="AF75" s="40" t="str">
        <f t="shared" ref="AF75:AF138" si="5">IF(G75="","",IF(S75&gt;0,TRUE,FALSE))</f>
        <v/>
      </c>
      <c r="AG75" s="40" t="str">
        <f t="shared" ref="AG75:AG138" si="6">IF(H75="","",IF(T75&gt;0,TRUE,FALSE))</f>
        <v/>
      </c>
      <c r="AH75" s="40" t="str">
        <f>IF(I75="","",IF(#REF!&gt;0,TRUE,FALSE))</f>
        <v/>
      </c>
      <c r="AI75" s="40">
        <v>65</v>
      </c>
      <c r="AJ75" s="40"/>
      <c r="AK75" s="40" t="str">
        <f t="array" ref="AK75">IFERROR(INDEX($AI$11:$AI$259, MATCH(0, IF(TRUE=$AF$11:$AF$259, COUNTIF($AK$10:$AK74, $AI$11:$AI$259), ""), 0)),"")</f>
        <v/>
      </c>
      <c r="AL75" s="40" t="str">
        <f t="array" ref="AL75">IFERROR(INDEX($AI$11:$AI$259, MATCH(0, IF(TRUE=$AG$11:$AG$259, COUNTIF($AL$10:$AL74, $AI$11:$AI$259), ""), 0)),"")</f>
        <v/>
      </c>
      <c r="AM75" s="40" t="str">
        <f t="array" ref="AM75">IFERROR(INDEX($AI$11:$AI$259, MATCH(0, IF(TRUE=$AH$11:$AH$259, COUNTIF($AM$10:$AM74, $AI$11:$AI$259), ""), 0)),"")</f>
        <v/>
      </c>
      <c r="AN75" s="40"/>
      <c r="AQ75" s="35">
        <f t="shared" si="2"/>
        <v>0</v>
      </c>
    </row>
    <row r="76" spans="1:43">
      <c r="A76" s="35" t="str">
        <f>IFERROR(INDEX('G-1 All Habitats'!$AG$3:$AG$17,MATCH(E76,'G-1 All Habitats'!$AF$3:$AF$17,0)),"")</f>
        <v/>
      </c>
      <c r="B76" s="35" t="str">
        <f>IFERROR(INDEX('G-8 Condition Look up'!$I$4:$I$135,MATCH(G76,'G-8 Condition Look up'!$A$4:$A$135,0)),"")</f>
        <v/>
      </c>
      <c r="D76" s="287">
        <v>66</v>
      </c>
      <c r="E76" s="267"/>
      <c r="F76" s="61"/>
      <c r="G76" s="52" t="str">
        <f>IFERROR(INDEX('G-1 All Habitats'!$B$3:$B$134,MATCH(F76,'G-1 All Habitats'!$A$3:$A$134,0)),"")</f>
        <v/>
      </c>
      <c r="H76" s="53"/>
      <c r="I76" s="362" t="str">
        <f>IF(G76="","",VLOOKUP(G76,'G-1 All Habitats'!$B$2:$M$134,10,FALSE))</f>
        <v/>
      </c>
      <c r="J76" s="363" t="str">
        <f>IFERROR(VLOOKUP(I76,'G-1 All Habitats'!$V$3:$W$7,2,FALSE),"")</f>
        <v/>
      </c>
      <c r="K76" s="54"/>
      <c r="L76" s="363" t="str">
        <f>IFERROR(INDEX('G-8 Condition Look up'!$A$3:$H$135,MATCH(G76,'G-8 Condition Look up'!$A$3:$A$135,0),MATCH(K76,'G-8 Condition Look up'!$A$3:$H$3,0)),"")</f>
        <v/>
      </c>
      <c r="M76" s="54"/>
      <c r="N76" s="382" t="str">
        <f>IF(M76="","",IF(VLOOKUP(M76,'G-3 Multipliers'!$L$3:$N$6,2,FALSE)=0,"Spatial Data Missing",VLOOKUP(M76,'G-3 Multipliers'!$L$3:$N$6,2,FALSE)))</f>
        <v/>
      </c>
      <c r="O76" s="368" t="str">
        <f>IF(M76="","",IF(VLOOKUP(M76,'G-3 Multipliers'!$L$3:$N$6,3,FALSE)=0,"Spatial Data Missing ▲",VLOOKUP(M76,'G-3 Multipliers'!$L$3:$N$6,3,FALSE)))</f>
        <v/>
      </c>
      <c r="P76" s="369" t="str">
        <f>IFERROR(VLOOKUP(G76,'G-1 All Habitats'!$B$2:$M$134,12,FALSE),"")</f>
        <v/>
      </c>
      <c r="Q76" s="376" t="str">
        <f>IFERROR(IF(P76="","",IF(AND(P76='G-1 All Habitats'!$X$3,T76&gt;0),U76+V76,IF(AND(P76='G-1 All Habitats'!$X$3,S76&gt;0),U76+V76,IF(AND(P76='G-1 All Habitats'!$X$3,AC76&gt;0),"Any Loss Unacceptable ⚠",IF(AND(P76='G-1 All Habitats'!$X$3,W76&gt;0),"Any Loss Unacceptable ⚠",H76*J76*L76*O76))))),"Check Data ▲")</f>
        <v/>
      </c>
      <c r="R76" s="38"/>
      <c r="S76" s="54"/>
      <c r="T76" s="55"/>
      <c r="U76" s="374" t="str">
        <f t="shared" si="3"/>
        <v/>
      </c>
      <c r="V76" s="374" t="str">
        <f t="shared" si="4"/>
        <v/>
      </c>
      <c r="W76" s="374" t="str">
        <f>IF(E76="","",IF(H76&lt;S76+T76,"Error in Areas ▲",IF(P76&lt;&gt;'G-1 All Habitats'!$X$3,H76-S76-T76,IF(AND(P76='G-1 All Habitats'!$X$3,Y76="Yes"),"Unacceptable Loss ⚠",IF(AND(P76='G-1 All Habitats'!$X$3,Y76="No"),AC76,IF(AND(P76='G-1 All Habitats'!$X$3,Y76=""),AC76,IF(AND(P76='G-1 All Habitats'!$X$3,AC76="None",AC76),IF(AND(P76='G-1 All Habitats'!$X$3,AC76&gt;0),H76-S76-T76))))))))</f>
        <v/>
      </c>
      <c r="X76" s="378" t="str">
        <f>IFERROR(IF(H76="","",IF(H76-S76-T76=0&lt;0,"Error in Areas ▲",IF(S76+T76&gt;H76,"Error in Areas ▲",IF(AND(P76='G-1 All Habitats'!$X$3,Y76="Yes"),"Alternative Compensation ✓",IF(W76=0,0,IF(P76='G-1 All Habitats'!$X$3,"Any Loss Unacceptable ▲",Q76-U76-V76)))))),"Check Data ▲")</f>
        <v/>
      </c>
      <c r="Y76" s="55"/>
      <c r="Z76" s="62"/>
      <c r="AA76" s="526"/>
      <c r="AB76" s="120"/>
      <c r="AC76" s="726" t="str">
        <f>IF(P76="","",IF(P76='G-1 All Habitats'!$X$3,H76-S76-T76,"None"))</f>
        <v/>
      </c>
      <c r="AD76" s="727" t="str">
        <f>IF(P76="","", IF(P76='G-1 All Habitats'!$X$3, AC76*J76*L76*O76,"None"))</f>
        <v/>
      </c>
      <c r="AF76" s="40" t="str">
        <f t="shared" si="5"/>
        <v/>
      </c>
      <c r="AG76" s="40" t="str">
        <f t="shared" si="6"/>
        <v/>
      </c>
      <c r="AH76" s="40" t="str">
        <f>IF(I76="","",IF(#REF!&gt;0,TRUE,FALSE))</f>
        <v/>
      </c>
      <c r="AI76" s="40">
        <v>66</v>
      </c>
      <c r="AJ76" s="40"/>
      <c r="AK76" s="40" t="str">
        <f t="array" ref="AK76">IFERROR(INDEX($AI$11:$AI$259, MATCH(0, IF(TRUE=$AF$11:$AF$259, COUNTIF($AK$10:$AK75, $AI$11:$AI$259), ""), 0)),"")</f>
        <v/>
      </c>
      <c r="AL76" s="40" t="str">
        <f t="array" ref="AL76">IFERROR(INDEX($AI$11:$AI$259, MATCH(0, IF(TRUE=$AG$11:$AG$259, COUNTIF($AL$10:$AL75, $AI$11:$AI$259), ""), 0)),"")</f>
        <v/>
      </c>
      <c r="AM76" s="40" t="str">
        <f t="array" ref="AM76">IFERROR(INDEX($AI$11:$AI$259, MATCH(0, IF(TRUE=$AH$11:$AH$259, COUNTIF($AM$10:$AM75, $AI$11:$AI$259), ""), 0)),"")</f>
        <v/>
      </c>
      <c r="AN76" s="40"/>
      <c r="AQ76" s="35">
        <f t="shared" ref="AQ76:AQ139" si="7">IF(X76="Unacceptable Loss",1,0)</f>
        <v>0</v>
      </c>
    </row>
    <row r="77" spans="1:43">
      <c r="A77" s="35" t="str">
        <f>IFERROR(INDEX('G-1 All Habitats'!$AG$3:$AG$17,MATCH(E77,'G-1 All Habitats'!$AF$3:$AF$17,0)),"")</f>
        <v/>
      </c>
      <c r="B77" s="35" t="str">
        <f>IFERROR(INDEX('G-8 Condition Look up'!$I$4:$I$135,MATCH(G77,'G-8 Condition Look up'!$A$4:$A$135,0)),"")</f>
        <v/>
      </c>
      <c r="D77" s="287">
        <v>67</v>
      </c>
      <c r="E77" s="267"/>
      <c r="F77" s="61"/>
      <c r="G77" s="52" t="str">
        <f>IFERROR(INDEX('G-1 All Habitats'!$B$3:$B$134,MATCH(F77,'G-1 All Habitats'!$A$3:$A$134,0)),"")</f>
        <v/>
      </c>
      <c r="H77" s="53"/>
      <c r="I77" s="362" t="str">
        <f>IF(G77="","",VLOOKUP(G77,'G-1 All Habitats'!$B$2:$M$134,10,FALSE))</f>
        <v/>
      </c>
      <c r="J77" s="363" t="str">
        <f>IFERROR(VLOOKUP(I77,'G-1 All Habitats'!$V$3:$W$7,2,FALSE),"")</f>
        <v/>
      </c>
      <c r="K77" s="54"/>
      <c r="L77" s="363" t="str">
        <f>IFERROR(INDEX('G-8 Condition Look up'!$A$3:$H$135,MATCH(G77,'G-8 Condition Look up'!$A$3:$A$135,0),MATCH(K77,'G-8 Condition Look up'!$A$3:$H$3,0)),"")</f>
        <v/>
      </c>
      <c r="M77" s="54"/>
      <c r="N77" s="382" t="str">
        <f>IF(M77="","",IF(VLOOKUP(M77,'G-3 Multipliers'!$L$3:$N$6,2,FALSE)=0,"Spatial Data Missing",VLOOKUP(M77,'G-3 Multipliers'!$L$3:$N$6,2,FALSE)))</f>
        <v/>
      </c>
      <c r="O77" s="368" t="str">
        <f>IF(M77="","",IF(VLOOKUP(M77,'G-3 Multipliers'!$L$3:$N$6,3,FALSE)=0,"Spatial Data Missing ▲",VLOOKUP(M77,'G-3 Multipliers'!$L$3:$N$6,3,FALSE)))</f>
        <v/>
      </c>
      <c r="P77" s="369" t="str">
        <f>IFERROR(VLOOKUP(G77,'G-1 All Habitats'!$B$2:$M$134,12,FALSE),"")</f>
        <v/>
      </c>
      <c r="Q77" s="376" t="str">
        <f>IFERROR(IF(P77="","",IF(AND(P77='G-1 All Habitats'!$X$3,T77&gt;0),U77+V77,IF(AND(P77='G-1 All Habitats'!$X$3,S77&gt;0),U77+V77,IF(AND(P77='G-1 All Habitats'!$X$3,AC77&gt;0),"Any Loss Unacceptable ⚠",IF(AND(P77='G-1 All Habitats'!$X$3,W77&gt;0),"Any Loss Unacceptable ⚠",H77*J77*L77*O77))))),"Check Data ▲")</f>
        <v/>
      </c>
      <c r="R77" s="38"/>
      <c r="S77" s="54"/>
      <c r="T77" s="55"/>
      <c r="U77" s="374" t="str">
        <f t="shared" ref="U77:U140" si="8">IFERROR(S77*J77*L77*O77,"")</f>
        <v/>
      </c>
      <c r="V77" s="374" t="str">
        <f t="shared" ref="V77:V140" si="9">IFERROR(T77*J77*L77*O77,"")</f>
        <v/>
      </c>
      <c r="W77" s="374" t="str">
        <f>IF(E77="","",IF(H77&lt;S77+T77,"Error in Areas ▲",IF(P77&lt;&gt;'G-1 All Habitats'!$X$3,H77-S77-T77,IF(AND(P77='G-1 All Habitats'!$X$3,Y77="Yes"),"Unacceptable Loss ⚠",IF(AND(P77='G-1 All Habitats'!$X$3,Y77="No"),AC77,IF(AND(P77='G-1 All Habitats'!$X$3,Y77=""),AC77,IF(AND(P77='G-1 All Habitats'!$X$3,AC77="None",AC77),IF(AND(P77='G-1 All Habitats'!$X$3,AC77&gt;0),H77-S77-T77))))))))</f>
        <v/>
      </c>
      <c r="X77" s="378" t="str">
        <f>IFERROR(IF(H77="","",IF(H77-S77-T77=0&lt;0,"Error in Areas ▲",IF(S77+T77&gt;H77,"Error in Areas ▲",IF(AND(P77='G-1 All Habitats'!$X$3,Y77="Yes"),"Alternative Compensation ✓",IF(W77=0,0,IF(P77='G-1 All Habitats'!$X$3,"Any Loss Unacceptable ▲",Q77-U77-V77)))))),"Check Data ▲")</f>
        <v/>
      </c>
      <c r="Y77" s="55"/>
      <c r="Z77" s="62"/>
      <c r="AA77" s="526"/>
      <c r="AB77" s="120"/>
      <c r="AC77" s="726" t="str">
        <f>IF(P77="","",IF(P77='G-1 All Habitats'!$X$3,H77-S77-T77,"None"))</f>
        <v/>
      </c>
      <c r="AD77" s="727" t="str">
        <f>IF(P77="","", IF(P77='G-1 All Habitats'!$X$3, AC77*J77*L77*O77,"None"))</f>
        <v/>
      </c>
      <c r="AF77" s="40" t="str">
        <f t="shared" si="5"/>
        <v/>
      </c>
      <c r="AG77" s="40" t="str">
        <f t="shared" si="6"/>
        <v/>
      </c>
      <c r="AH77" s="40" t="str">
        <f>IF(I77="","",IF(#REF!&gt;0,TRUE,FALSE))</f>
        <v/>
      </c>
      <c r="AI77" s="40">
        <v>67</v>
      </c>
      <c r="AJ77" s="40"/>
      <c r="AK77" s="40" t="str">
        <f t="array" ref="AK77">IFERROR(INDEX($AI$11:$AI$259, MATCH(0, IF(TRUE=$AF$11:$AF$259, COUNTIF($AK$10:$AK76, $AI$11:$AI$259), ""), 0)),"")</f>
        <v/>
      </c>
      <c r="AL77" s="40" t="str">
        <f t="array" ref="AL77">IFERROR(INDEX($AI$11:$AI$259, MATCH(0, IF(TRUE=$AG$11:$AG$259, COUNTIF($AL$10:$AL76, $AI$11:$AI$259), ""), 0)),"")</f>
        <v/>
      </c>
      <c r="AM77" s="40" t="str">
        <f t="array" ref="AM77">IFERROR(INDEX($AI$11:$AI$259, MATCH(0, IF(TRUE=$AH$11:$AH$259, COUNTIF($AM$10:$AM76, $AI$11:$AI$259), ""), 0)),"")</f>
        <v/>
      </c>
      <c r="AN77" s="40"/>
      <c r="AQ77" s="35">
        <f t="shared" si="7"/>
        <v>0</v>
      </c>
    </row>
    <row r="78" spans="1:43">
      <c r="A78" s="35" t="str">
        <f>IFERROR(INDEX('G-1 All Habitats'!$AG$3:$AG$17,MATCH(E78,'G-1 All Habitats'!$AF$3:$AF$17,0)),"")</f>
        <v/>
      </c>
      <c r="B78" s="35" t="str">
        <f>IFERROR(INDEX('G-8 Condition Look up'!$I$4:$I$135,MATCH(G78,'G-8 Condition Look up'!$A$4:$A$135,0)),"")</f>
        <v/>
      </c>
      <c r="D78" s="287">
        <v>68</v>
      </c>
      <c r="E78" s="267"/>
      <c r="F78" s="61"/>
      <c r="G78" s="52" t="str">
        <f>IFERROR(INDEX('G-1 All Habitats'!$B$3:$B$134,MATCH(F78,'G-1 All Habitats'!$A$3:$A$134,0)),"")</f>
        <v/>
      </c>
      <c r="H78" s="53"/>
      <c r="I78" s="362" t="str">
        <f>IF(G78="","",VLOOKUP(G78,'G-1 All Habitats'!$B$2:$M$134,10,FALSE))</f>
        <v/>
      </c>
      <c r="J78" s="363" t="str">
        <f>IFERROR(VLOOKUP(I78,'G-1 All Habitats'!$V$3:$W$7,2,FALSE),"")</f>
        <v/>
      </c>
      <c r="K78" s="54"/>
      <c r="L78" s="363" t="str">
        <f>IFERROR(INDEX('G-8 Condition Look up'!$A$3:$H$135,MATCH(G78,'G-8 Condition Look up'!$A$3:$A$135,0),MATCH(K78,'G-8 Condition Look up'!$A$3:$H$3,0)),"")</f>
        <v/>
      </c>
      <c r="M78" s="54"/>
      <c r="N78" s="382" t="str">
        <f>IF(M78="","",IF(VLOOKUP(M78,'G-3 Multipliers'!$L$3:$N$6,2,FALSE)=0,"Spatial Data Missing",VLOOKUP(M78,'G-3 Multipliers'!$L$3:$N$6,2,FALSE)))</f>
        <v/>
      </c>
      <c r="O78" s="368" t="str">
        <f>IF(M78="","",IF(VLOOKUP(M78,'G-3 Multipliers'!$L$3:$N$6,3,FALSE)=0,"Spatial Data Missing ▲",VLOOKUP(M78,'G-3 Multipliers'!$L$3:$N$6,3,FALSE)))</f>
        <v/>
      </c>
      <c r="P78" s="369" t="str">
        <f>IFERROR(VLOOKUP(G78,'G-1 All Habitats'!$B$2:$M$134,12,FALSE),"")</f>
        <v/>
      </c>
      <c r="Q78" s="376" t="str">
        <f>IFERROR(IF(P78="","",IF(AND(P78='G-1 All Habitats'!$X$3,T78&gt;0),U78+V78,IF(AND(P78='G-1 All Habitats'!$X$3,S78&gt;0),U78+V78,IF(AND(P78='G-1 All Habitats'!$X$3,AC78&gt;0),"Any Loss Unacceptable ⚠",IF(AND(P78='G-1 All Habitats'!$X$3,W78&gt;0),"Any Loss Unacceptable ⚠",H78*J78*L78*O78))))),"Check Data ▲")</f>
        <v/>
      </c>
      <c r="R78" s="38"/>
      <c r="S78" s="54"/>
      <c r="T78" s="55"/>
      <c r="U78" s="374" t="str">
        <f t="shared" si="8"/>
        <v/>
      </c>
      <c r="V78" s="374" t="str">
        <f t="shared" si="9"/>
        <v/>
      </c>
      <c r="W78" s="374" t="str">
        <f>IF(E78="","",IF(H78&lt;S78+T78,"Error in Areas ▲",IF(P78&lt;&gt;'G-1 All Habitats'!$X$3,H78-S78-T78,IF(AND(P78='G-1 All Habitats'!$X$3,Y78="Yes"),"Unacceptable Loss ⚠",IF(AND(P78='G-1 All Habitats'!$X$3,Y78="No"),AC78,IF(AND(P78='G-1 All Habitats'!$X$3,Y78=""),AC78,IF(AND(P78='G-1 All Habitats'!$X$3,AC78="None",AC78),IF(AND(P78='G-1 All Habitats'!$X$3,AC78&gt;0),H78-S78-T78))))))))</f>
        <v/>
      </c>
      <c r="X78" s="378" t="str">
        <f>IFERROR(IF(H78="","",IF(H78-S78-T78=0&lt;0,"Error in Areas ▲",IF(S78+T78&gt;H78,"Error in Areas ▲",IF(AND(P78='G-1 All Habitats'!$X$3,Y78="Yes"),"Alternative Compensation ✓",IF(W78=0,0,IF(P78='G-1 All Habitats'!$X$3,"Any Loss Unacceptable ▲",Q78-U78-V78)))))),"Check Data ▲")</f>
        <v/>
      </c>
      <c r="Y78" s="55"/>
      <c r="Z78" s="62"/>
      <c r="AA78" s="526"/>
      <c r="AB78" s="120"/>
      <c r="AC78" s="726" t="str">
        <f>IF(P78="","",IF(P78='G-1 All Habitats'!$X$3,H78-S78-T78,"None"))</f>
        <v/>
      </c>
      <c r="AD78" s="727" t="str">
        <f>IF(P78="","", IF(P78='G-1 All Habitats'!$X$3, AC78*J78*L78*O78,"None"))</f>
        <v/>
      </c>
      <c r="AF78" s="40" t="str">
        <f t="shared" si="5"/>
        <v/>
      </c>
      <c r="AG78" s="40" t="str">
        <f t="shared" si="6"/>
        <v/>
      </c>
      <c r="AH78" s="40" t="str">
        <f>IF(I78="","",IF(#REF!&gt;0,TRUE,FALSE))</f>
        <v/>
      </c>
      <c r="AI78" s="40">
        <v>68</v>
      </c>
      <c r="AJ78" s="40"/>
      <c r="AK78" s="40" t="str">
        <f t="array" ref="AK78">IFERROR(INDEX($AI$11:$AI$259, MATCH(0, IF(TRUE=$AF$11:$AF$259, COUNTIF($AK$10:$AK77, $AI$11:$AI$259), ""), 0)),"")</f>
        <v/>
      </c>
      <c r="AL78" s="40" t="str">
        <f t="array" ref="AL78">IFERROR(INDEX($AI$11:$AI$259, MATCH(0, IF(TRUE=$AG$11:$AG$259, COUNTIF($AL$10:$AL77, $AI$11:$AI$259), ""), 0)),"")</f>
        <v/>
      </c>
      <c r="AM78" s="40" t="str">
        <f t="array" ref="AM78">IFERROR(INDEX($AI$11:$AI$259, MATCH(0, IF(TRUE=$AH$11:$AH$259, COUNTIF($AM$10:$AM77, $AI$11:$AI$259), ""), 0)),"")</f>
        <v/>
      </c>
      <c r="AN78" s="40"/>
      <c r="AQ78" s="35">
        <f t="shared" si="7"/>
        <v>0</v>
      </c>
    </row>
    <row r="79" spans="1:43">
      <c r="A79" s="35" t="str">
        <f>IFERROR(INDEX('G-1 All Habitats'!$AG$3:$AG$17,MATCH(E79,'G-1 All Habitats'!$AF$3:$AF$17,0)),"")</f>
        <v/>
      </c>
      <c r="B79" s="35" t="str">
        <f>IFERROR(INDEX('G-8 Condition Look up'!$I$4:$I$135,MATCH(G79,'G-8 Condition Look up'!$A$4:$A$135,0)),"")</f>
        <v/>
      </c>
      <c r="D79" s="287">
        <v>69</v>
      </c>
      <c r="E79" s="267"/>
      <c r="F79" s="61"/>
      <c r="G79" s="52" t="str">
        <f>IFERROR(INDEX('G-1 All Habitats'!$B$3:$B$134,MATCH(F79,'G-1 All Habitats'!$A$3:$A$134,0)),"")</f>
        <v/>
      </c>
      <c r="H79" s="53"/>
      <c r="I79" s="362" t="str">
        <f>IF(G79="","",VLOOKUP(G79,'G-1 All Habitats'!$B$2:$M$134,10,FALSE))</f>
        <v/>
      </c>
      <c r="J79" s="363" t="str">
        <f>IFERROR(VLOOKUP(I79,'G-1 All Habitats'!$V$3:$W$7,2,FALSE),"")</f>
        <v/>
      </c>
      <c r="K79" s="54"/>
      <c r="L79" s="363" t="str">
        <f>IFERROR(INDEX('G-8 Condition Look up'!$A$3:$H$135,MATCH(G79,'G-8 Condition Look up'!$A$3:$A$135,0),MATCH(K79,'G-8 Condition Look up'!$A$3:$H$3,0)),"")</f>
        <v/>
      </c>
      <c r="M79" s="54"/>
      <c r="N79" s="382" t="str">
        <f>IF(M79="","",IF(VLOOKUP(M79,'G-3 Multipliers'!$L$3:$N$6,2,FALSE)=0,"Spatial Data Missing",VLOOKUP(M79,'G-3 Multipliers'!$L$3:$N$6,2,FALSE)))</f>
        <v/>
      </c>
      <c r="O79" s="368" t="str">
        <f>IF(M79="","",IF(VLOOKUP(M79,'G-3 Multipliers'!$L$3:$N$6,3,FALSE)=0,"Spatial Data Missing ▲",VLOOKUP(M79,'G-3 Multipliers'!$L$3:$N$6,3,FALSE)))</f>
        <v/>
      </c>
      <c r="P79" s="369" t="str">
        <f>IFERROR(VLOOKUP(G79,'G-1 All Habitats'!$B$2:$M$134,12,FALSE),"")</f>
        <v/>
      </c>
      <c r="Q79" s="376" t="str">
        <f>IFERROR(IF(P79="","",IF(AND(P79='G-1 All Habitats'!$X$3,T79&gt;0),U79+V79,IF(AND(P79='G-1 All Habitats'!$X$3,S79&gt;0),U79+V79,IF(AND(P79='G-1 All Habitats'!$X$3,AC79&gt;0),"Any Loss Unacceptable ⚠",IF(AND(P79='G-1 All Habitats'!$X$3,W79&gt;0),"Any Loss Unacceptable ⚠",H79*J79*L79*O79))))),"Check Data ▲")</f>
        <v/>
      </c>
      <c r="R79" s="38"/>
      <c r="S79" s="54"/>
      <c r="T79" s="55"/>
      <c r="U79" s="374" t="str">
        <f t="shared" si="8"/>
        <v/>
      </c>
      <c r="V79" s="374" t="str">
        <f t="shared" si="9"/>
        <v/>
      </c>
      <c r="W79" s="374" t="str">
        <f>IF(E79="","",IF(H79&lt;S79+T79,"Error in Areas ▲",IF(P79&lt;&gt;'G-1 All Habitats'!$X$3,H79-S79-T79,IF(AND(P79='G-1 All Habitats'!$X$3,Y79="Yes"),"Unacceptable Loss ⚠",IF(AND(P79='G-1 All Habitats'!$X$3,Y79="No"),AC79,IF(AND(P79='G-1 All Habitats'!$X$3,Y79=""),AC79,IF(AND(P79='G-1 All Habitats'!$X$3,AC79="None",AC79),IF(AND(P79='G-1 All Habitats'!$X$3,AC79&gt;0),H79-S79-T79))))))))</f>
        <v/>
      </c>
      <c r="X79" s="378" t="str">
        <f>IFERROR(IF(H79="","",IF(H79-S79-T79=0&lt;0,"Error in Areas ▲",IF(S79+T79&gt;H79,"Error in Areas ▲",IF(AND(P79='G-1 All Habitats'!$X$3,Y79="Yes"),"Alternative Compensation ✓",IF(W79=0,0,IF(P79='G-1 All Habitats'!$X$3,"Any Loss Unacceptable ▲",Q79-U79-V79)))))),"Check Data ▲")</f>
        <v/>
      </c>
      <c r="Y79" s="55"/>
      <c r="Z79" s="62"/>
      <c r="AA79" s="526"/>
      <c r="AB79" s="120"/>
      <c r="AC79" s="726" t="str">
        <f>IF(P79="","",IF(P79='G-1 All Habitats'!$X$3,H79-S79-T79,"None"))</f>
        <v/>
      </c>
      <c r="AD79" s="727" t="str">
        <f>IF(P79="","", IF(P79='G-1 All Habitats'!$X$3, AC79*J79*L79*O79,"None"))</f>
        <v/>
      </c>
      <c r="AF79" s="40" t="str">
        <f t="shared" si="5"/>
        <v/>
      </c>
      <c r="AG79" s="40" t="str">
        <f t="shared" si="6"/>
        <v/>
      </c>
      <c r="AH79" s="40" t="str">
        <f>IF(I79="","",IF(#REF!&gt;0,TRUE,FALSE))</f>
        <v/>
      </c>
      <c r="AI79" s="40">
        <v>69</v>
      </c>
      <c r="AJ79" s="40"/>
      <c r="AK79" s="40" t="str">
        <f t="array" ref="AK79">IFERROR(INDEX($AI$11:$AI$259, MATCH(0, IF(TRUE=$AF$11:$AF$259, COUNTIF($AK$10:$AK78, $AI$11:$AI$259), ""), 0)),"")</f>
        <v/>
      </c>
      <c r="AL79" s="40" t="str">
        <f t="array" ref="AL79">IFERROR(INDEX($AI$11:$AI$259, MATCH(0, IF(TRUE=$AG$11:$AG$259, COUNTIF($AL$10:$AL78, $AI$11:$AI$259), ""), 0)),"")</f>
        <v/>
      </c>
      <c r="AM79" s="40" t="str">
        <f t="array" ref="AM79">IFERROR(INDEX($AI$11:$AI$259, MATCH(0, IF(TRUE=$AH$11:$AH$259, COUNTIF($AM$10:$AM78, $AI$11:$AI$259), ""), 0)),"")</f>
        <v/>
      </c>
      <c r="AN79" s="40"/>
      <c r="AQ79" s="35">
        <f t="shared" si="7"/>
        <v>0</v>
      </c>
    </row>
    <row r="80" spans="1:43">
      <c r="A80" s="35" t="str">
        <f>IFERROR(INDEX('G-1 All Habitats'!$AG$3:$AG$17,MATCH(E80,'G-1 All Habitats'!$AF$3:$AF$17,0)),"")</f>
        <v/>
      </c>
      <c r="B80" s="35" t="str">
        <f>IFERROR(INDEX('G-8 Condition Look up'!$I$4:$I$135,MATCH(G80,'G-8 Condition Look up'!$A$4:$A$135,0)),"")</f>
        <v/>
      </c>
      <c r="D80" s="287">
        <v>70</v>
      </c>
      <c r="E80" s="267"/>
      <c r="F80" s="61"/>
      <c r="G80" s="52" t="str">
        <f>IFERROR(INDEX('G-1 All Habitats'!$B$3:$B$134,MATCH(F80,'G-1 All Habitats'!$A$3:$A$134,0)),"")</f>
        <v/>
      </c>
      <c r="H80" s="53"/>
      <c r="I80" s="362" t="str">
        <f>IF(G80="","",VLOOKUP(G80,'G-1 All Habitats'!$B$2:$M$134,10,FALSE))</f>
        <v/>
      </c>
      <c r="J80" s="363" t="str">
        <f>IFERROR(VLOOKUP(I80,'G-1 All Habitats'!$V$3:$W$7,2,FALSE),"")</f>
        <v/>
      </c>
      <c r="K80" s="54"/>
      <c r="L80" s="363" t="str">
        <f>IFERROR(INDEX('G-8 Condition Look up'!$A$3:$H$135,MATCH(G80,'G-8 Condition Look up'!$A$3:$A$135,0),MATCH(K80,'G-8 Condition Look up'!$A$3:$H$3,0)),"")</f>
        <v/>
      </c>
      <c r="M80" s="54"/>
      <c r="N80" s="382" t="str">
        <f>IF(M80="","",IF(VLOOKUP(M80,'G-3 Multipliers'!$L$3:$N$6,2,FALSE)=0,"Spatial Data Missing",VLOOKUP(M80,'G-3 Multipliers'!$L$3:$N$6,2,FALSE)))</f>
        <v/>
      </c>
      <c r="O80" s="368" t="str">
        <f>IF(M80="","",IF(VLOOKUP(M80,'G-3 Multipliers'!$L$3:$N$6,3,FALSE)=0,"Spatial Data Missing ▲",VLOOKUP(M80,'G-3 Multipliers'!$L$3:$N$6,3,FALSE)))</f>
        <v/>
      </c>
      <c r="P80" s="369" t="str">
        <f>IFERROR(VLOOKUP(G80,'G-1 All Habitats'!$B$2:$M$134,12,FALSE),"")</f>
        <v/>
      </c>
      <c r="Q80" s="376" t="str">
        <f>IFERROR(IF(P80="","",IF(AND(P80='G-1 All Habitats'!$X$3,T80&gt;0),U80+V80,IF(AND(P80='G-1 All Habitats'!$X$3,S80&gt;0),U80+V80,IF(AND(P80='G-1 All Habitats'!$X$3,AC80&gt;0),"Any Loss Unacceptable ⚠",IF(AND(P80='G-1 All Habitats'!$X$3,W80&gt;0),"Any Loss Unacceptable ⚠",H80*J80*L80*O80))))),"Check Data ▲")</f>
        <v/>
      </c>
      <c r="R80" s="38"/>
      <c r="S80" s="54"/>
      <c r="T80" s="55"/>
      <c r="U80" s="374" t="str">
        <f t="shared" si="8"/>
        <v/>
      </c>
      <c r="V80" s="374" t="str">
        <f t="shared" si="9"/>
        <v/>
      </c>
      <c r="W80" s="374" t="str">
        <f>IF(E80="","",IF(H80&lt;S80+T80,"Error in Areas ▲",IF(P80&lt;&gt;'G-1 All Habitats'!$X$3,H80-S80-T80,IF(AND(P80='G-1 All Habitats'!$X$3,Y80="Yes"),"Unacceptable Loss ⚠",IF(AND(P80='G-1 All Habitats'!$X$3,Y80="No"),AC80,IF(AND(P80='G-1 All Habitats'!$X$3,Y80=""),AC80,IF(AND(P80='G-1 All Habitats'!$X$3,AC80="None",AC80),IF(AND(P80='G-1 All Habitats'!$X$3,AC80&gt;0),H80-S80-T80))))))))</f>
        <v/>
      </c>
      <c r="X80" s="378" t="str">
        <f>IFERROR(IF(H80="","",IF(H80-S80-T80=0&lt;0,"Error in Areas ▲",IF(S80+T80&gt;H80,"Error in Areas ▲",IF(AND(P80='G-1 All Habitats'!$X$3,Y80="Yes"),"Alternative Compensation ✓",IF(W80=0,0,IF(P80='G-1 All Habitats'!$X$3,"Any Loss Unacceptable ▲",Q80-U80-V80)))))),"Check Data ▲")</f>
        <v/>
      </c>
      <c r="Y80" s="55"/>
      <c r="Z80" s="62"/>
      <c r="AA80" s="526"/>
      <c r="AB80" s="120"/>
      <c r="AC80" s="726" t="str">
        <f>IF(P80="","",IF(P80='G-1 All Habitats'!$X$3,H80-S80-T80,"None"))</f>
        <v/>
      </c>
      <c r="AD80" s="727" t="str">
        <f>IF(P80="","", IF(P80='G-1 All Habitats'!$X$3, AC80*J80*L80*O80,"None"))</f>
        <v/>
      </c>
      <c r="AF80" s="40" t="str">
        <f t="shared" si="5"/>
        <v/>
      </c>
      <c r="AG80" s="40" t="str">
        <f t="shared" si="6"/>
        <v/>
      </c>
      <c r="AH80" s="40" t="str">
        <f>IF(I80="","",IF(#REF!&gt;0,TRUE,FALSE))</f>
        <v/>
      </c>
      <c r="AI80" s="40">
        <v>70</v>
      </c>
      <c r="AJ80" s="40"/>
      <c r="AK80" s="40" t="str">
        <f t="array" ref="AK80">IFERROR(INDEX($AI$11:$AI$259, MATCH(0, IF(TRUE=$AF$11:$AF$259, COUNTIF($AK$10:$AK79, $AI$11:$AI$259), ""), 0)),"")</f>
        <v/>
      </c>
      <c r="AL80" s="40" t="str">
        <f t="array" ref="AL80">IFERROR(INDEX($AI$11:$AI$259, MATCH(0, IF(TRUE=$AG$11:$AG$259, COUNTIF($AL$10:$AL79, $AI$11:$AI$259), ""), 0)),"")</f>
        <v/>
      </c>
      <c r="AM80" s="40" t="str">
        <f t="array" ref="AM80">IFERROR(INDEX($AI$11:$AI$259, MATCH(0, IF(TRUE=$AH$11:$AH$259, COUNTIF($AM$10:$AM79, $AI$11:$AI$259), ""), 0)),"")</f>
        <v/>
      </c>
      <c r="AN80" s="40"/>
      <c r="AQ80" s="35">
        <f t="shared" si="7"/>
        <v>0</v>
      </c>
    </row>
    <row r="81" spans="1:43">
      <c r="A81" s="35" t="str">
        <f>IFERROR(INDEX('G-1 All Habitats'!$AG$3:$AG$17,MATCH(E81,'G-1 All Habitats'!$AF$3:$AF$17,0)),"")</f>
        <v/>
      </c>
      <c r="B81" s="35" t="str">
        <f>IFERROR(INDEX('G-8 Condition Look up'!$I$4:$I$135,MATCH(G81,'G-8 Condition Look up'!$A$4:$A$135,0)),"")</f>
        <v/>
      </c>
      <c r="D81" s="287">
        <v>71</v>
      </c>
      <c r="E81" s="267"/>
      <c r="F81" s="61"/>
      <c r="G81" s="52" t="str">
        <f>IFERROR(INDEX('G-1 All Habitats'!$B$3:$B$134,MATCH(F81,'G-1 All Habitats'!$A$3:$A$134,0)),"")</f>
        <v/>
      </c>
      <c r="H81" s="53"/>
      <c r="I81" s="362" t="str">
        <f>IF(G81="","",VLOOKUP(G81,'G-1 All Habitats'!$B$2:$M$134,10,FALSE))</f>
        <v/>
      </c>
      <c r="J81" s="363" t="str">
        <f>IFERROR(VLOOKUP(I81,'G-1 All Habitats'!$V$3:$W$7,2,FALSE),"")</f>
        <v/>
      </c>
      <c r="K81" s="54"/>
      <c r="L81" s="363" t="str">
        <f>IFERROR(INDEX('G-8 Condition Look up'!$A$3:$H$135,MATCH(G81,'G-8 Condition Look up'!$A$3:$A$135,0),MATCH(K81,'G-8 Condition Look up'!$A$3:$H$3,0)),"")</f>
        <v/>
      </c>
      <c r="M81" s="54"/>
      <c r="N81" s="382" t="str">
        <f>IF(M81="","",IF(VLOOKUP(M81,'G-3 Multipliers'!$L$3:$N$6,2,FALSE)=0,"Spatial Data Missing",VLOOKUP(M81,'G-3 Multipliers'!$L$3:$N$6,2,FALSE)))</f>
        <v/>
      </c>
      <c r="O81" s="368" t="str">
        <f>IF(M81="","",IF(VLOOKUP(M81,'G-3 Multipliers'!$L$3:$N$6,3,FALSE)=0,"Spatial Data Missing ▲",VLOOKUP(M81,'G-3 Multipliers'!$L$3:$N$6,3,FALSE)))</f>
        <v/>
      </c>
      <c r="P81" s="369" t="str">
        <f>IFERROR(VLOOKUP(G81,'G-1 All Habitats'!$B$2:$M$134,12,FALSE),"")</f>
        <v/>
      </c>
      <c r="Q81" s="376" t="str">
        <f>IFERROR(IF(P81="","",IF(AND(P81='G-1 All Habitats'!$X$3,T81&gt;0),U81+V81,IF(AND(P81='G-1 All Habitats'!$X$3,S81&gt;0),U81+V81,IF(AND(P81='G-1 All Habitats'!$X$3,AC81&gt;0),"Any Loss Unacceptable ⚠",IF(AND(P81='G-1 All Habitats'!$X$3,W81&gt;0),"Any Loss Unacceptable ⚠",H81*J81*L81*O81))))),"Check Data ▲")</f>
        <v/>
      </c>
      <c r="R81" s="38"/>
      <c r="S81" s="54"/>
      <c r="T81" s="55"/>
      <c r="U81" s="374" t="str">
        <f t="shared" si="8"/>
        <v/>
      </c>
      <c r="V81" s="374" t="str">
        <f t="shared" si="9"/>
        <v/>
      </c>
      <c r="W81" s="374" t="str">
        <f>IF(E81="","",IF(H81&lt;S81+T81,"Error in Areas ▲",IF(P81&lt;&gt;'G-1 All Habitats'!$X$3,H81-S81-T81,IF(AND(P81='G-1 All Habitats'!$X$3,Y81="Yes"),"Unacceptable Loss ⚠",IF(AND(P81='G-1 All Habitats'!$X$3,Y81="No"),AC81,IF(AND(P81='G-1 All Habitats'!$X$3,Y81=""),AC81,IF(AND(P81='G-1 All Habitats'!$X$3,AC81="None",AC81),IF(AND(P81='G-1 All Habitats'!$X$3,AC81&gt;0),H81-S81-T81))))))))</f>
        <v/>
      </c>
      <c r="X81" s="378" t="str">
        <f>IFERROR(IF(H81="","",IF(H81-S81-T81=0&lt;0,"Error in Areas ▲",IF(S81+T81&gt;H81,"Error in Areas ▲",IF(AND(P81='G-1 All Habitats'!$X$3,Y81="Yes"),"Alternative Compensation ✓",IF(W81=0,0,IF(P81='G-1 All Habitats'!$X$3,"Any Loss Unacceptable ▲",Q81-U81-V81)))))),"Check Data ▲")</f>
        <v/>
      </c>
      <c r="Y81" s="55"/>
      <c r="Z81" s="62"/>
      <c r="AA81" s="526"/>
      <c r="AB81" s="120"/>
      <c r="AC81" s="726" t="str">
        <f>IF(P81="","",IF(P81='G-1 All Habitats'!$X$3,H81-S81-T81,"None"))</f>
        <v/>
      </c>
      <c r="AD81" s="727" t="str">
        <f>IF(P81="","", IF(P81='G-1 All Habitats'!$X$3, AC81*J81*L81*O81,"None"))</f>
        <v/>
      </c>
      <c r="AF81" s="40" t="str">
        <f t="shared" si="5"/>
        <v/>
      </c>
      <c r="AG81" s="40" t="str">
        <f t="shared" si="6"/>
        <v/>
      </c>
      <c r="AH81" s="40" t="str">
        <f>IF(I81="","",IF(#REF!&gt;0,TRUE,FALSE))</f>
        <v/>
      </c>
      <c r="AI81" s="40">
        <v>71</v>
      </c>
      <c r="AJ81" s="40"/>
      <c r="AK81" s="40" t="str">
        <f t="array" ref="AK81">IFERROR(INDEX($AI$11:$AI$259, MATCH(0, IF(TRUE=$AF$11:$AF$259, COUNTIF($AK$10:$AK80, $AI$11:$AI$259), ""), 0)),"")</f>
        <v/>
      </c>
      <c r="AL81" s="40" t="str">
        <f t="array" ref="AL81">IFERROR(INDEX($AI$11:$AI$259, MATCH(0, IF(TRUE=$AG$11:$AG$259, COUNTIF($AL$10:$AL80, $AI$11:$AI$259), ""), 0)),"")</f>
        <v/>
      </c>
      <c r="AM81" s="40" t="str">
        <f t="array" ref="AM81">IFERROR(INDEX($AI$11:$AI$259, MATCH(0, IF(TRUE=$AH$11:$AH$259, COUNTIF($AM$10:$AM80, $AI$11:$AI$259), ""), 0)),"")</f>
        <v/>
      </c>
      <c r="AN81" s="40"/>
      <c r="AQ81" s="35">
        <f t="shared" si="7"/>
        <v>0</v>
      </c>
    </row>
    <row r="82" spans="1:43">
      <c r="A82" s="35" t="str">
        <f>IFERROR(INDEX('G-1 All Habitats'!$AG$3:$AG$17,MATCH(E82,'G-1 All Habitats'!$AF$3:$AF$17,0)),"")</f>
        <v/>
      </c>
      <c r="B82" s="35" t="str">
        <f>IFERROR(INDEX('G-8 Condition Look up'!$I$4:$I$135,MATCH(G82,'G-8 Condition Look up'!$A$4:$A$135,0)),"")</f>
        <v/>
      </c>
      <c r="D82" s="287">
        <v>72</v>
      </c>
      <c r="E82" s="267"/>
      <c r="F82" s="61"/>
      <c r="G82" s="52" t="str">
        <f>IFERROR(INDEX('G-1 All Habitats'!$B$3:$B$134,MATCH(F82,'G-1 All Habitats'!$A$3:$A$134,0)),"")</f>
        <v/>
      </c>
      <c r="H82" s="53"/>
      <c r="I82" s="362" t="str">
        <f>IF(G82="","",VLOOKUP(G82,'G-1 All Habitats'!$B$2:$M$134,10,FALSE))</f>
        <v/>
      </c>
      <c r="J82" s="363" t="str">
        <f>IFERROR(VLOOKUP(I82,'G-1 All Habitats'!$V$3:$W$7,2,FALSE),"")</f>
        <v/>
      </c>
      <c r="K82" s="54"/>
      <c r="L82" s="363" t="str">
        <f>IFERROR(INDEX('G-8 Condition Look up'!$A$3:$H$135,MATCH(G82,'G-8 Condition Look up'!$A$3:$A$135,0),MATCH(K82,'G-8 Condition Look up'!$A$3:$H$3,0)),"")</f>
        <v/>
      </c>
      <c r="M82" s="54"/>
      <c r="N82" s="382" t="str">
        <f>IF(M82="","",IF(VLOOKUP(M82,'G-3 Multipliers'!$L$3:$N$6,2,FALSE)=0,"Spatial Data Missing",VLOOKUP(M82,'G-3 Multipliers'!$L$3:$N$6,2,FALSE)))</f>
        <v/>
      </c>
      <c r="O82" s="368" t="str">
        <f>IF(M82="","",IF(VLOOKUP(M82,'G-3 Multipliers'!$L$3:$N$6,3,FALSE)=0,"Spatial Data Missing ▲",VLOOKUP(M82,'G-3 Multipliers'!$L$3:$N$6,3,FALSE)))</f>
        <v/>
      </c>
      <c r="P82" s="369" t="str">
        <f>IFERROR(VLOOKUP(G82,'G-1 All Habitats'!$B$2:$M$134,12,FALSE),"")</f>
        <v/>
      </c>
      <c r="Q82" s="376" t="str">
        <f>IFERROR(IF(P82="","",IF(AND(P82='G-1 All Habitats'!$X$3,T82&gt;0),U82+V82,IF(AND(P82='G-1 All Habitats'!$X$3,S82&gt;0),U82+V82,IF(AND(P82='G-1 All Habitats'!$X$3,AC82&gt;0),"Any Loss Unacceptable ⚠",IF(AND(P82='G-1 All Habitats'!$X$3,W82&gt;0),"Any Loss Unacceptable ⚠",H82*J82*L82*O82))))),"Check Data ▲")</f>
        <v/>
      </c>
      <c r="R82" s="38"/>
      <c r="S82" s="54"/>
      <c r="T82" s="55"/>
      <c r="U82" s="374" t="str">
        <f t="shared" si="8"/>
        <v/>
      </c>
      <c r="V82" s="374" t="str">
        <f t="shared" si="9"/>
        <v/>
      </c>
      <c r="W82" s="374" t="str">
        <f>IF(E82="","",IF(H82&lt;S82+T82,"Error in Areas ▲",IF(P82&lt;&gt;'G-1 All Habitats'!$X$3,H82-S82-T82,IF(AND(P82='G-1 All Habitats'!$X$3,Y82="Yes"),"Unacceptable Loss ⚠",IF(AND(P82='G-1 All Habitats'!$X$3,Y82="No"),AC82,IF(AND(P82='G-1 All Habitats'!$X$3,Y82=""),AC82,IF(AND(P82='G-1 All Habitats'!$X$3,AC82="None",AC82),IF(AND(P82='G-1 All Habitats'!$X$3,AC82&gt;0),H82-S82-T82))))))))</f>
        <v/>
      </c>
      <c r="X82" s="378" t="str">
        <f>IFERROR(IF(H82="","",IF(H82-S82-T82=0&lt;0,"Error in Areas ▲",IF(S82+T82&gt;H82,"Error in Areas ▲",IF(AND(P82='G-1 All Habitats'!$X$3,Y82="Yes"),"Alternative Compensation ✓",IF(W82=0,0,IF(P82='G-1 All Habitats'!$X$3,"Any Loss Unacceptable ▲",Q82-U82-V82)))))),"Check Data ▲")</f>
        <v/>
      </c>
      <c r="Y82" s="55"/>
      <c r="Z82" s="62"/>
      <c r="AA82" s="526"/>
      <c r="AB82" s="120"/>
      <c r="AC82" s="726" t="str">
        <f>IF(P82="","",IF(P82='G-1 All Habitats'!$X$3,H82-S82-T82,"None"))</f>
        <v/>
      </c>
      <c r="AD82" s="727" t="str">
        <f>IF(P82="","", IF(P82='G-1 All Habitats'!$X$3, AC82*J82*L82*O82,"None"))</f>
        <v/>
      </c>
      <c r="AF82" s="40" t="str">
        <f t="shared" si="5"/>
        <v/>
      </c>
      <c r="AG82" s="40" t="str">
        <f t="shared" si="6"/>
        <v/>
      </c>
      <c r="AH82" s="40" t="str">
        <f>IF(I82="","",IF(#REF!&gt;0,TRUE,FALSE))</f>
        <v/>
      </c>
      <c r="AI82" s="40">
        <v>72</v>
      </c>
      <c r="AJ82" s="40"/>
      <c r="AK82" s="40" t="str">
        <f t="array" ref="AK82">IFERROR(INDEX($AI$11:$AI$259, MATCH(0, IF(TRUE=$AF$11:$AF$259, COUNTIF($AK$10:$AK81, $AI$11:$AI$259), ""), 0)),"")</f>
        <v/>
      </c>
      <c r="AL82" s="40" t="str">
        <f t="array" ref="AL82">IFERROR(INDEX($AI$11:$AI$259, MATCH(0, IF(TRUE=$AG$11:$AG$259, COUNTIF($AL$10:$AL81, $AI$11:$AI$259), ""), 0)),"")</f>
        <v/>
      </c>
      <c r="AM82" s="40" t="str">
        <f t="array" ref="AM82">IFERROR(INDEX($AI$11:$AI$259, MATCH(0, IF(TRUE=$AH$11:$AH$259, COUNTIF($AM$10:$AM81, $AI$11:$AI$259), ""), 0)),"")</f>
        <v/>
      </c>
      <c r="AN82" s="40"/>
      <c r="AQ82" s="35">
        <f t="shared" si="7"/>
        <v>0</v>
      </c>
    </row>
    <row r="83" spans="1:43">
      <c r="A83" s="35" t="str">
        <f>IFERROR(INDEX('G-1 All Habitats'!$AG$3:$AG$17,MATCH(E83,'G-1 All Habitats'!$AF$3:$AF$17,0)),"")</f>
        <v/>
      </c>
      <c r="B83" s="35" t="str">
        <f>IFERROR(INDEX('G-8 Condition Look up'!$I$4:$I$135,MATCH(G83,'G-8 Condition Look up'!$A$4:$A$135,0)),"")</f>
        <v/>
      </c>
      <c r="D83" s="287">
        <v>73</v>
      </c>
      <c r="E83" s="267"/>
      <c r="F83" s="61"/>
      <c r="G83" s="52" t="str">
        <f>IFERROR(INDEX('G-1 All Habitats'!$B$3:$B$134,MATCH(F83,'G-1 All Habitats'!$A$3:$A$134,0)),"")</f>
        <v/>
      </c>
      <c r="H83" s="53"/>
      <c r="I83" s="362" t="str">
        <f>IF(G83="","",VLOOKUP(G83,'G-1 All Habitats'!$B$2:$M$134,10,FALSE))</f>
        <v/>
      </c>
      <c r="J83" s="363" t="str">
        <f>IFERROR(VLOOKUP(I83,'G-1 All Habitats'!$V$3:$W$7,2,FALSE),"")</f>
        <v/>
      </c>
      <c r="K83" s="54"/>
      <c r="L83" s="363" t="str">
        <f>IFERROR(INDEX('G-8 Condition Look up'!$A$3:$H$135,MATCH(G83,'G-8 Condition Look up'!$A$3:$A$135,0),MATCH(K83,'G-8 Condition Look up'!$A$3:$H$3,0)),"")</f>
        <v/>
      </c>
      <c r="M83" s="54"/>
      <c r="N83" s="382" t="str">
        <f>IF(M83="","",IF(VLOOKUP(M83,'G-3 Multipliers'!$L$3:$N$6,2,FALSE)=0,"Spatial Data Missing",VLOOKUP(M83,'G-3 Multipliers'!$L$3:$N$6,2,FALSE)))</f>
        <v/>
      </c>
      <c r="O83" s="368" t="str">
        <f>IF(M83="","",IF(VLOOKUP(M83,'G-3 Multipliers'!$L$3:$N$6,3,FALSE)=0,"Spatial Data Missing ▲",VLOOKUP(M83,'G-3 Multipliers'!$L$3:$N$6,3,FALSE)))</f>
        <v/>
      </c>
      <c r="P83" s="369" t="str">
        <f>IFERROR(VLOOKUP(G83,'G-1 All Habitats'!$B$2:$M$134,12,FALSE),"")</f>
        <v/>
      </c>
      <c r="Q83" s="376" t="str">
        <f>IFERROR(IF(P83="","",IF(AND(P83='G-1 All Habitats'!$X$3,T83&gt;0),U83+V83,IF(AND(P83='G-1 All Habitats'!$X$3,S83&gt;0),U83+V83,IF(AND(P83='G-1 All Habitats'!$X$3,AC83&gt;0),"Any Loss Unacceptable ⚠",IF(AND(P83='G-1 All Habitats'!$X$3,W83&gt;0),"Any Loss Unacceptable ⚠",H83*J83*L83*O83))))),"Check Data ▲")</f>
        <v/>
      </c>
      <c r="R83" s="38"/>
      <c r="S83" s="54"/>
      <c r="T83" s="55"/>
      <c r="U83" s="374" t="str">
        <f t="shared" si="8"/>
        <v/>
      </c>
      <c r="V83" s="374" t="str">
        <f t="shared" si="9"/>
        <v/>
      </c>
      <c r="W83" s="374" t="str">
        <f>IF(E83="","",IF(H83&lt;S83+T83,"Error in Areas ▲",IF(P83&lt;&gt;'G-1 All Habitats'!$X$3,H83-S83-T83,IF(AND(P83='G-1 All Habitats'!$X$3,Y83="Yes"),"Unacceptable Loss ⚠",IF(AND(P83='G-1 All Habitats'!$X$3,Y83="No"),AC83,IF(AND(P83='G-1 All Habitats'!$X$3,Y83=""),AC83,IF(AND(P83='G-1 All Habitats'!$X$3,AC83="None",AC83),IF(AND(P83='G-1 All Habitats'!$X$3,AC83&gt;0),H83-S83-T83))))))))</f>
        <v/>
      </c>
      <c r="X83" s="378" t="str">
        <f>IFERROR(IF(H83="","",IF(H83-S83-T83=0&lt;0,"Error in Areas ▲",IF(S83+T83&gt;H83,"Error in Areas ▲",IF(AND(P83='G-1 All Habitats'!$X$3,Y83="Yes"),"Alternative Compensation ✓",IF(W83=0,0,IF(P83='G-1 All Habitats'!$X$3,"Any Loss Unacceptable ▲",Q83-U83-V83)))))),"Check Data ▲")</f>
        <v/>
      </c>
      <c r="Y83" s="55"/>
      <c r="Z83" s="62"/>
      <c r="AA83" s="526"/>
      <c r="AB83" s="120"/>
      <c r="AC83" s="726" t="str">
        <f>IF(P83="","",IF(P83='G-1 All Habitats'!$X$3,H83-S83-T83,"None"))</f>
        <v/>
      </c>
      <c r="AD83" s="727" t="str">
        <f>IF(P83="","", IF(P83='G-1 All Habitats'!$X$3, AC83*J83*L83*O83,"None"))</f>
        <v/>
      </c>
      <c r="AF83" s="40" t="str">
        <f t="shared" si="5"/>
        <v/>
      </c>
      <c r="AG83" s="40" t="str">
        <f t="shared" si="6"/>
        <v/>
      </c>
      <c r="AH83" s="40" t="str">
        <f>IF(I83="","",IF(#REF!&gt;0,TRUE,FALSE))</f>
        <v/>
      </c>
      <c r="AI83" s="40">
        <v>73</v>
      </c>
      <c r="AJ83" s="40"/>
      <c r="AK83" s="40" t="str">
        <f t="array" ref="AK83">IFERROR(INDEX($AI$11:$AI$259, MATCH(0, IF(TRUE=$AF$11:$AF$259, COUNTIF($AK$10:$AK82, $AI$11:$AI$259), ""), 0)),"")</f>
        <v/>
      </c>
      <c r="AL83" s="40" t="str">
        <f t="array" ref="AL83">IFERROR(INDEX($AI$11:$AI$259, MATCH(0, IF(TRUE=$AG$11:$AG$259, COUNTIF($AL$10:$AL82, $AI$11:$AI$259), ""), 0)),"")</f>
        <v/>
      </c>
      <c r="AM83" s="40" t="str">
        <f t="array" ref="AM83">IFERROR(INDEX($AI$11:$AI$259, MATCH(0, IF(TRUE=$AH$11:$AH$259, COUNTIF($AM$10:$AM82, $AI$11:$AI$259), ""), 0)),"")</f>
        <v/>
      </c>
      <c r="AN83" s="40"/>
      <c r="AQ83" s="35">
        <f t="shared" si="7"/>
        <v>0</v>
      </c>
    </row>
    <row r="84" spans="1:43">
      <c r="A84" s="35" t="str">
        <f>IFERROR(INDEX('G-1 All Habitats'!$AG$3:$AG$17,MATCH(E84,'G-1 All Habitats'!$AF$3:$AF$17,0)),"")</f>
        <v/>
      </c>
      <c r="B84" s="35" t="str">
        <f>IFERROR(INDEX('G-8 Condition Look up'!$I$4:$I$135,MATCH(G84,'G-8 Condition Look up'!$A$4:$A$135,0)),"")</f>
        <v/>
      </c>
      <c r="D84" s="287">
        <v>74</v>
      </c>
      <c r="E84" s="267"/>
      <c r="F84" s="61"/>
      <c r="G84" s="52" t="str">
        <f>IFERROR(INDEX('G-1 All Habitats'!$B$3:$B$134,MATCH(F84,'G-1 All Habitats'!$A$3:$A$134,0)),"")</f>
        <v/>
      </c>
      <c r="H84" s="53"/>
      <c r="I84" s="362" t="str">
        <f>IF(G84="","",VLOOKUP(G84,'G-1 All Habitats'!$B$2:$M$134,10,FALSE))</f>
        <v/>
      </c>
      <c r="J84" s="363" t="str">
        <f>IFERROR(VLOOKUP(I84,'G-1 All Habitats'!$V$3:$W$7,2,FALSE),"")</f>
        <v/>
      </c>
      <c r="K84" s="54"/>
      <c r="L84" s="363" t="str">
        <f>IFERROR(INDEX('G-8 Condition Look up'!$A$3:$H$135,MATCH(G84,'G-8 Condition Look up'!$A$3:$A$135,0),MATCH(K84,'G-8 Condition Look up'!$A$3:$H$3,0)),"")</f>
        <v/>
      </c>
      <c r="M84" s="54"/>
      <c r="N84" s="382" t="str">
        <f>IF(M84="","",IF(VLOOKUP(M84,'G-3 Multipliers'!$L$3:$N$6,2,FALSE)=0,"Spatial Data Missing",VLOOKUP(M84,'G-3 Multipliers'!$L$3:$N$6,2,FALSE)))</f>
        <v/>
      </c>
      <c r="O84" s="368" t="str">
        <f>IF(M84="","",IF(VLOOKUP(M84,'G-3 Multipliers'!$L$3:$N$6,3,FALSE)=0,"Spatial Data Missing ▲",VLOOKUP(M84,'G-3 Multipliers'!$L$3:$N$6,3,FALSE)))</f>
        <v/>
      </c>
      <c r="P84" s="369" t="str">
        <f>IFERROR(VLOOKUP(G84,'G-1 All Habitats'!$B$2:$M$134,12,FALSE),"")</f>
        <v/>
      </c>
      <c r="Q84" s="376" t="str">
        <f>IFERROR(IF(P84="","",IF(AND(P84='G-1 All Habitats'!$X$3,T84&gt;0),U84+V84,IF(AND(P84='G-1 All Habitats'!$X$3,S84&gt;0),U84+V84,IF(AND(P84='G-1 All Habitats'!$X$3,AC84&gt;0),"Any Loss Unacceptable ⚠",IF(AND(P84='G-1 All Habitats'!$X$3,W84&gt;0),"Any Loss Unacceptable ⚠",H84*J84*L84*O84))))),"Check Data ▲")</f>
        <v/>
      </c>
      <c r="R84" s="38"/>
      <c r="S84" s="54"/>
      <c r="T84" s="55"/>
      <c r="U84" s="374" t="str">
        <f t="shared" si="8"/>
        <v/>
      </c>
      <c r="V84" s="374" t="str">
        <f t="shared" si="9"/>
        <v/>
      </c>
      <c r="W84" s="374" t="str">
        <f>IF(E84="","",IF(H84&lt;S84+T84,"Error in Areas ▲",IF(P84&lt;&gt;'G-1 All Habitats'!$X$3,H84-S84-T84,IF(AND(P84='G-1 All Habitats'!$X$3,Y84="Yes"),"Unacceptable Loss ⚠",IF(AND(P84='G-1 All Habitats'!$X$3,Y84="No"),AC84,IF(AND(P84='G-1 All Habitats'!$X$3,Y84=""),AC84,IF(AND(P84='G-1 All Habitats'!$X$3,AC84="None",AC84),IF(AND(P84='G-1 All Habitats'!$X$3,AC84&gt;0),H84-S84-T84))))))))</f>
        <v/>
      </c>
      <c r="X84" s="378" t="str">
        <f>IFERROR(IF(H84="","",IF(H84-S84-T84=0&lt;0,"Error in Areas ▲",IF(S84+T84&gt;H84,"Error in Areas ▲",IF(AND(P84='G-1 All Habitats'!$X$3,Y84="Yes"),"Alternative Compensation ✓",IF(W84=0,0,IF(P84='G-1 All Habitats'!$X$3,"Any Loss Unacceptable ▲",Q84-U84-V84)))))),"Check Data ▲")</f>
        <v/>
      </c>
      <c r="Y84" s="55"/>
      <c r="Z84" s="62"/>
      <c r="AA84" s="526"/>
      <c r="AB84" s="120"/>
      <c r="AC84" s="726" t="str">
        <f>IF(P84="","",IF(P84='G-1 All Habitats'!$X$3,H84-S84-T84,"None"))</f>
        <v/>
      </c>
      <c r="AD84" s="727" t="str">
        <f>IF(P84="","", IF(P84='G-1 All Habitats'!$X$3, AC84*J84*L84*O84,"None"))</f>
        <v/>
      </c>
      <c r="AF84" s="40" t="str">
        <f t="shared" si="5"/>
        <v/>
      </c>
      <c r="AG84" s="40" t="str">
        <f t="shared" si="6"/>
        <v/>
      </c>
      <c r="AH84" s="40" t="str">
        <f>IF(I84="","",IF(#REF!&gt;0,TRUE,FALSE))</f>
        <v/>
      </c>
      <c r="AI84" s="40">
        <v>74</v>
      </c>
      <c r="AJ84" s="40"/>
      <c r="AK84" s="40" t="str">
        <f t="array" ref="AK84">IFERROR(INDEX($AI$11:$AI$259, MATCH(0, IF(TRUE=$AF$11:$AF$259, COUNTIF($AK$10:$AK83, $AI$11:$AI$259), ""), 0)),"")</f>
        <v/>
      </c>
      <c r="AL84" s="40" t="str">
        <f t="array" ref="AL84">IFERROR(INDEX($AI$11:$AI$259, MATCH(0, IF(TRUE=$AG$11:$AG$259, COUNTIF($AL$10:$AL83, $AI$11:$AI$259), ""), 0)),"")</f>
        <v/>
      </c>
      <c r="AM84" s="40" t="str">
        <f t="array" ref="AM84">IFERROR(INDEX($AI$11:$AI$259, MATCH(0, IF(TRUE=$AH$11:$AH$259, COUNTIF($AM$10:$AM83, $AI$11:$AI$259), ""), 0)),"")</f>
        <v/>
      </c>
      <c r="AN84" s="40"/>
      <c r="AQ84" s="35">
        <f t="shared" si="7"/>
        <v>0</v>
      </c>
    </row>
    <row r="85" spans="1:43">
      <c r="A85" s="35" t="str">
        <f>IFERROR(INDEX('G-1 All Habitats'!$AG$3:$AG$17,MATCH(E85,'G-1 All Habitats'!$AF$3:$AF$17,0)),"")</f>
        <v/>
      </c>
      <c r="B85" s="35" t="str">
        <f>IFERROR(INDEX('G-8 Condition Look up'!$I$4:$I$135,MATCH(G85,'G-8 Condition Look up'!$A$4:$A$135,0)),"")</f>
        <v/>
      </c>
      <c r="D85" s="287">
        <v>75</v>
      </c>
      <c r="E85" s="267"/>
      <c r="F85" s="61"/>
      <c r="G85" s="52" t="str">
        <f>IFERROR(INDEX('G-1 All Habitats'!$B$3:$B$134,MATCH(F85,'G-1 All Habitats'!$A$3:$A$134,0)),"")</f>
        <v/>
      </c>
      <c r="H85" s="53"/>
      <c r="I85" s="362" t="str">
        <f>IF(G85="","",VLOOKUP(G85,'G-1 All Habitats'!$B$2:$M$134,10,FALSE))</f>
        <v/>
      </c>
      <c r="J85" s="363" t="str">
        <f>IFERROR(VLOOKUP(I85,'G-1 All Habitats'!$V$3:$W$7,2,FALSE),"")</f>
        <v/>
      </c>
      <c r="K85" s="54"/>
      <c r="L85" s="363" t="str">
        <f>IFERROR(INDEX('G-8 Condition Look up'!$A$3:$H$135,MATCH(G85,'G-8 Condition Look up'!$A$3:$A$135,0),MATCH(K85,'G-8 Condition Look up'!$A$3:$H$3,0)),"")</f>
        <v/>
      </c>
      <c r="M85" s="54"/>
      <c r="N85" s="382" t="str">
        <f>IF(M85="","",IF(VLOOKUP(M85,'G-3 Multipliers'!$L$3:$N$6,2,FALSE)=0,"Spatial Data Missing",VLOOKUP(M85,'G-3 Multipliers'!$L$3:$N$6,2,FALSE)))</f>
        <v/>
      </c>
      <c r="O85" s="368" t="str">
        <f>IF(M85="","",IF(VLOOKUP(M85,'G-3 Multipliers'!$L$3:$N$6,3,FALSE)=0,"Spatial Data Missing ▲",VLOOKUP(M85,'G-3 Multipliers'!$L$3:$N$6,3,FALSE)))</f>
        <v/>
      </c>
      <c r="P85" s="369" t="str">
        <f>IFERROR(VLOOKUP(G85,'G-1 All Habitats'!$B$2:$M$134,12,FALSE),"")</f>
        <v/>
      </c>
      <c r="Q85" s="376" t="str">
        <f>IFERROR(IF(P85="","",IF(AND(P85='G-1 All Habitats'!$X$3,T85&gt;0),U85+V85,IF(AND(P85='G-1 All Habitats'!$X$3,S85&gt;0),U85+V85,IF(AND(P85='G-1 All Habitats'!$X$3,AC85&gt;0),"Any Loss Unacceptable ⚠",IF(AND(P85='G-1 All Habitats'!$X$3,W85&gt;0),"Any Loss Unacceptable ⚠",H85*J85*L85*O85))))),"Check Data ▲")</f>
        <v/>
      </c>
      <c r="R85" s="38"/>
      <c r="S85" s="54"/>
      <c r="T85" s="55"/>
      <c r="U85" s="374" t="str">
        <f t="shared" si="8"/>
        <v/>
      </c>
      <c r="V85" s="374" t="str">
        <f t="shared" si="9"/>
        <v/>
      </c>
      <c r="W85" s="374" t="str">
        <f>IF(E85="","",IF(H85&lt;S85+T85,"Error in Areas ▲",IF(P85&lt;&gt;'G-1 All Habitats'!$X$3,H85-S85-T85,IF(AND(P85='G-1 All Habitats'!$X$3,Y85="Yes"),"Unacceptable Loss ⚠",IF(AND(P85='G-1 All Habitats'!$X$3,Y85="No"),AC85,IF(AND(P85='G-1 All Habitats'!$X$3,Y85=""),AC85,IF(AND(P85='G-1 All Habitats'!$X$3,AC85="None",AC85),IF(AND(P85='G-1 All Habitats'!$X$3,AC85&gt;0),H85-S85-T85))))))))</f>
        <v/>
      </c>
      <c r="X85" s="378" t="str">
        <f>IFERROR(IF(H85="","",IF(H85-S85-T85=0&lt;0,"Error in Areas ▲",IF(S85+T85&gt;H85,"Error in Areas ▲",IF(AND(P85='G-1 All Habitats'!$X$3,Y85="Yes"),"Alternative Compensation ✓",IF(W85=0,0,IF(P85='G-1 All Habitats'!$X$3,"Any Loss Unacceptable ▲",Q85-U85-V85)))))),"Check Data ▲")</f>
        <v/>
      </c>
      <c r="Y85" s="55"/>
      <c r="Z85" s="62"/>
      <c r="AA85" s="526"/>
      <c r="AB85" s="120"/>
      <c r="AC85" s="726" t="str">
        <f>IF(P85="","",IF(P85='G-1 All Habitats'!$X$3,H85-S85-T85,"None"))</f>
        <v/>
      </c>
      <c r="AD85" s="727" t="str">
        <f>IF(P85="","", IF(P85='G-1 All Habitats'!$X$3, AC85*J85*L85*O85,"None"))</f>
        <v/>
      </c>
      <c r="AF85" s="40" t="str">
        <f t="shared" si="5"/>
        <v/>
      </c>
      <c r="AG85" s="40" t="str">
        <f t="shared" si="6"/>
        <v/>
      </c>
      <c r="AH85" s="40" t="str">
        <f>IF(I85="","",IF(#REF!&gt;0,TRUE,FALSE))</f>
        <v/>
      </c>
      <c r="AI85" s="40">
        <v>75</v>
      </c>
      <c r="AJ85" s="40"/>
      <c r="AK85" s="40" t="str">
        <f t="array" ref="AK85">IFERROR(INDEX($AI$11:$AI$259, MATCH(0, IF(TRUE=$AF$11:$AF$259, COUNTIF($AK$10:$AK84, $AI$11:$AI$259), ""), 0)),"")</f>
        <v/>
      </c>
      <c r="AL85" s="40" t="str">
        <f t="array" ref="AL85">IFERROR(INDEX($AI$11:$AI$259, MATCH(0, IF(TRUE=$AG$11:$AG$259, COUNTIF($AL$10:$AL84, $AI$11:$AI$259), ""), 0)),"")</f>
        <v/>
      </c>
      <c r="AM85" s="40" t="str">
        <f t="array" ref="AM85">IFERROR(INDEX($AI$11:$AI$259, MATCH(0, IF(TRUE=$AH$11:$AH$259, COUNTIF($AM$10:$AM84, $AI$11:$AI$259), ""), 0)),"")</f>
        <v/>
      </c>
      <c r="AN85" s="40"/>
      <c r="AQ85" s="35">
        <f t="shared" si="7"/>
        <v>0</v>
      </c>
    </row>
    <row r="86" spans="1:43">
      <c r="A86" s="35" t="str">
        <f>IFERROR(INDEX('G-1 All Habitats'!$AG$3:$AG$17,MATCH(E86,'G-1 All Habitats'!$AF$3:$AF$17,0)),"")</f>
        <v/>
      </c>
      <c r="B86" s="35" t="str">
        <f>IFERROR(INDEX('G-8 Condition Look up'!$I$4:$I$135,MATCH(G86,'G-8 Condition Look up'!$A$4:$A$135,0)),"")</f>
        <v/>
      </c>
      <c r="D86" s="287">
        <v>76</v>
      </c>
      <c r="E86" s="267"/>
      <c r="F86" s="61"/>
      <c r="G86" s="52" t="str">
        <f>IFERROR(INDEX('G-1 All Habitats'!$B$3:$B$134,MATCH(F86,'G-1 All Habitats'!$A$3:$A$134,0)),"")</f>
        <v/>
      </c>
      <c r="H86" s="53"/>
      <c r="I86" s="362" t="str">
        <f>IF(G86="","",VLOOKUP(G86,'G-1 All Habitats'!$B$2:$M$134,10,FALSE))</f>
        <v/>
      </c>
      <c r="J86" s="363" t="str">
        <f>IFERROR(VLOOKUP(I86,'G-1 All Habitats'!$V$3:$W$7,2,FALSE),"")</f>
        <v/>
      </c>
      <c r="K86" s="54"/>
      <c r="L86" s="363" t="str">
        <f>IFERROR(INDEX('G-8 Condition Look up'!$A$3:$H$135,MATCH(G86,'G-8 Condition Look up'!$A$3:$A$135,0),MATCH(K86,'G-8 Condition Look up'!$A$3:$H$3,0)),"")</f>
        <v/>
      </c>
      <c r="M86" s="54"/>
      <c r="N86" s="382" t="str">
        <f>IF(M86="","",IF(VLOOKUP(M86,'G-3 Multipliers'!$L$3:$N$6,2,FALSE)=0,"Spatial Data Missing",VLOOKUP(M86,'G-3 Multipliers'!$L$3:$N$6,2,FALSE)))</f>
        <v/>
      </c>
      <c r="O86" s="368" t="str">
        <f>IF(M86="","",IF(VLOOKUP(M86,'G-3 Multipliers'!$L$3:$N$6,3,FALSE)=0,"Spatial Data Missing ▲",VLOOKUP(M86,'G-3 Multipliers'!$L$3:$N$6,3,FALSE)))</f>
        <v/>
      </c>
      <c r="P86" s="369" t="str">
        <f>IFERROR(VLOOKUP(G86,'G-1 All Habitats'!$B$2:$M$134,12,FALSE),"")</f>
        <v/>
      </c>
      <c r="Q86" s="376" t="str">
        <f>IFERROR(IF(P86="","",IF(AND(P86='G-1 All Habitats'!$X$3,T86&gt;0),U86+V86,IF(AND(P86='G-1 All Habitats'!$X$3,S86&gt;0),U86+V86,IF(AND(P86='G-1 All Habitats'!$X$3,AC86&gt;0),"Any Loss Unacceptable ⚠",IF(AND(P86='G-1 All Habitats'!$X$3,W86&gt;0),"Any Loss Unacceptable ⚠",H86*J86*L86*O86))))),"Check Data ▲")</f>
        <v/>
      </c>
      <c r="R86" s="38"/>
      <c r="S86" s="54"/>
      <c r="T86" s="55"/>
      <c r="U86" s="374" t="str">
        <f t="shared" si="8"/>
        <v/>
      </c>
      <c r="V86" s="374" t="str">
        <f t="shared" si="9"/>
        <v/>
      </c>
      <c r="W86" s="374" t="str">
        <f>IF(E86="","",IF(H86&lt;S86+T86,"Error in Areas ▲",IF(P86&lt;&gt;'G-1 All Habitats'!$X$3,H86-S86-T86,IF(AND(P86='G-1 All Habitats'!$X$3,Y86="Yes"),"Unacceptable Loss ⚠",IF(AND(P86='G-1 All Habitats'!$X$3,Y86="No"),AC86,IF(AND(P86='G-1 All Habitats'!$X$3,Y86=""),AC86,IF(AND(P86='G-1 All Habitats'!$X$3,AC86="None",AC86),IF(AND(P86='G-1 All Habitats'!$X$3,AC86&gt;0),H86-S86-T86))))))))</f>
        <v/>
      </c>
      <c r="X86" s="378" t="str">
        <f>IFERROR(IF(H86="","",IF(H86-S86-T86=0&lt;0,"Error in Areas ▲",IF(S86+T86&gt;H86,"Error in Areas ▲",IF(AND(P86='G-1 All Habitats'!$X$3,Y86="Yes"),"Alternative Compensation ✓",IF(W86=0,0,IF(P86='G-1 All Habitats'!$X$3,"Any Loss Unacceptable ▲",Q86-U86-V86)))))),"Check Data ▲")</f>
        <v/>
      </c>
      <c r="Y86" s="55"/>
      <c r="Z86" s="62"/>
      <c r="AA86" s="526"/>
      <c r="AB86" s="120"/>
      <c r="AC86" s="726" t="str">
        <f>IF(P86="","",IF(P86='G-1 All Habitats'!$X$3,H86-S86-T86,"None"))</f>
        <v/>
      </c>
      <c r="AD86" s="727" t="str">
        <f>IF(P86="","", IF(P86='G-1 All Habitats'!$X$3, AC86*J86*L86*O86,"None"))</f>
        <v/>
      </c>
      <c r="AF86" s="40" t="str">
        <f t="shared" si="5"/>
        <v/>
      </c>
      <c r="AG86" s="40" t="str">
        <f t="shared" si="6"/>
        <v/>
      </c>
      <c r="AH86" s="40" t="str">
        <f>IF(I86="","",IF(#REF!&gt;0,TRUE,FALSE))</f>
        <v/>
      </c>
      <c r="AI86" s="40">
        <v>76</v>
      </c>
      <c r="AJ86" s="40"/>
      <c r="AK86" s="40" t="str">
        <f t="array" ref="AK86">IFERROR(INDEX($AI$11:$AI$259, MATCH(0, IF(TRUE=$AF$11:$AF$259, COUNTIF($AK$10:$AK85, $AI$11:$AI$259), ""), 0)),"")</f>
        <v/>
      </c>
      <c r="AL86" s="40" t="str">
        <f t="array" ref="AL86">IFERROR(INDEX($AI$11:$AI$259, MATCH(0, IF(TRUE=$AG$11:$AG$259, COUNTIF($AL$10:$AL85, $AI$11:$AI$259), ""), 0)),"")</f>
        <v/>
      </c>
      <c r="AM86" s="40" t="str">
        <f t="array" ref="AM86">IFERROR(INDEX($AI$11:$AI$259, MATCH(0, IF(TRUE=$AH$11:$AH$259, COUNTIF($AM$10:$AM85, $AI$11:$AI$259), ""), 0)),"")</f>
        <v/>
      </c>
      <c r="AN86" s="40"/>
      <c r="AQ86" s="35">
        <f t="shared" si="7"/>
        <v>0</v>
      </c>
    </row>
    <row r="87" spans="1:43">
      <c r="A87" s="35" t="str">
        <f>IFERROR(INDEX('G-1 All Habitats'!$AG$3:$AG$17,MATCH(E87,'G-1 All Habitats'!$AF$3:$AF$17,0)),"")</f>
        <v/>
      </c>
      <c r="B87" s="35" t="str">
        <f>IFERROR(INDEX('G-8 Condition Look up'!$I$4:$I$135,MATCH(G87,'G-8 Condition Look up'!$A$4:$A$135,0)),"")</f>
        <v/>
      </c>
      <c r="D87" s="287">
        <v>77</v>
      </c>
      <c r="E87" s="267"/>
      <c r="F87" s="61"/>
      <c r="G87" s="52" t="str">
        <f>IFERROR(INDEX('G-1 All Habitats'!$B$3:$B$134,MATCH(F87,'G-1 All Habitats'!$A$3:$A$134,0)),"")</f>
        <v/>
      </c>
      <c r="H87" s="53"/>
      <c r="I87" s="362" t="str">
        <f>IF(G87="","",VLOOKUP(G87,'G-1 All Habitats'!$B$2:$M$134,10,FALSE))</f>
        <v/>
      </c>
      <c r="J87" s="363" t="str">
        <f>IFERROR(VLOOKUP(I87,'G-1 All Habitats'!$V$3:$W$7,2,FALSE),"")</f>
        <v/>
      </c>
      <c r="K87" s="54"/>
      <c r="L87" s="363" t="str">
        <f>IFERROR(INDEX('G-8 Condition Look up'!$A$3:$H$135,MATCH(G87,'G-8 Condition Look up'!$A$3:$A$135,0),MATCH(K87,'G-8 Condition Look up'!$A$3:$H$3,0)),"")</f>
        <v/>
      </c>
      <c r="M87" s="54"/>
      <c r="N87" s="382" t="str">
        <f>IF(M87="","",IF(VLOOKUP(M87,'G-3 Multipliers'!$L$3:$N$6,2,FALSE)=0,"Spatial Data Missing",VLOOKUP(M87,'G-3 Multipliers'!$L$3:$N$6,2,FALSE)))</f>
        <v/>
      </c>
      <c r="O87" s="368" t="str">
        <f>IF(M87="","",IF(VLOOKUP(M87,'G-3 Multipliers'!$L$3:$N$6,3,FALSE)=0,"Spatial Data Missing ▲",VLOOKUP(M87,'G-3 Multipliers'!$L$3:$N$6,3,FALSE)))</f>
        <v/>
      </c>
      <c r="P87" s="369" t="str">
        <f>IFERROR(VLOOKUP(G87,'G-1 All Habitats'!$B$2:$M$134,12,FALSE),"")</f>
        <v/>
      </c>
      <c r="Q87" s="376" t="str">
        <f>IFERROR(IF(P87="","",IF(AND(P87='G-1 All Habitats'!$X$3,T87&gt;0),U87+V87,IF(AND(P87='G-1 All Habitats'!$X$3,S87&gt;0),U87+V87,IF(AND(P87='G-1 All Habitats'!$X$3,AC87&gt;0),"Any Loss Unacceptable ⚠",IF(AND(P87='G-1 All Habitats'!$X$3,W87&gt;0),"Any Loss Unacceptable ⚠",H87*J87*L87*O87))))),"Check Data ▲")</f>
        <v/>
      </c>
      <c r="R87" s="38"/>
      <c r="S87" s="54"/>
      <c r="T87" s="55"/>
      <c r="U87" s="374" t="str">
        <f t="shared" si="8"/>
        <v/>
      </c>
      <c r="V87" s="374" t="str">
        <f t="shared" si="9"/>
        <v/>
      </c>
      <c r="W87" s="374" t="str">
        <f>IF(E87="","",IF(H87&lt;S87+T87,"Error in Areas ▲",IF(P87&lt;&gt;'G-1 All Habitats'!$X$3,H87-S87-T87,IF(AND(P87='G-1 All Habitats'!$X$3,Y87="Yes"),"Unacceptable Loss ⚠",IF(AND(P87='G-1 All Habitats'!$X$3,Y87="No"),AC87,IF(AND(P87='G-1 All Habitats'!$X$3,Y87=""),AC87,IF(AND(P87='G-1 All Habitats'!$X$3,AC87="None",AC87),IF(AND(P87='G-1 All Habitats'!$X$3,AC87&gt;0),H87-S87-T87))))))))</f>
        <v/>
      </c>
      <c r="X87" s="378" t="str">
        <f>IFERROR(IF(H87="","",IF(H87-S87-T87=0&lt;0,"Error in Areas ▲",IF(S87+T87&gt;H87,"Error in Areas ▲",IF(AND(P87='G-1 All Habitats'!$X$3,Y87="Yes"),"Alternative Compensation ✓",IF(W87=0,0,IF(P87='G-1 All Habitats'!$X$3,"Any Loss Unacceptable ▲",Q87-U87-V87)))))),"Check Data ▲")</f>
        <v/>
      </c>
      <c r="Y87" s="55"/>
      <c r="Z87" s="62"/>
      <c r="AA87" s="526"/>
      <c r="AB87" s="120"/>
      <c r="AC87" s="726" t="str">
        <f>IF(P87="","",IF(P87='G-1 All Habitats'!$X$3,H87-S87-T87,"None"))</f>
        <v/>
      </c>
      <c r="AD87" s="727" t="str">
        <f>IF(P87="","", IF(P87='G-1 All Habitats'!$X$3, AC87*J87*L87*O87,"None"))</f>
        <v/>
      </c>
      <c r="AF87" s="40" t="str">
        <f t="shared" si="5"/>
        <v/>
      </c>
      <c r="AG87" s="40" t="str">
        <f t="shared" si="6"/>
        <v/>
      </c>
      <c r="AH87" s="40" t="str">
        <f>IF(I87="","",IF(#REF!&gt;0,TRUE,FALSE))</f>
        <v/>
      </c>
      <c r="AI87" s="40">
        <v>77</v>
      </c>
      <c r="AJ87" s="40"/>
      <c r="AK87" s="40" t="str">
        <f t="array" ref="AK87">IFERROR(INDEX($AI$11:$AI$259, MATCH(0, IF(TRUE=$AF$11:$AF$259, COUNTIF($AK$10:$AK86, $AI$11:$AI$259), ""), 0)),"")</f>
        <v/>
      </c>
      <c r="AL87" s="40" t="str">
        <f t="array" ref="AL87">IFERROR(INDEX($AI$11:$AI$259, MATCH(0, IF(TRUE=$AG$11:$AG$259, COUNTIF($AL$10:$AL86, $AI$11:$AI$259), ""), 0)),"")</f>
        <v/>
      </c>
      <c r="AM87" s="40" t="str">
        <f t="array" ref="AM87">IFERROR(INDEX($AI$11:$AI$259, MATCH(0, IF(TRUE=$AH$11:$AH$259, COUNTIF($AM$10:$AM86, $AI$11:$AI$259), ""), 0)),"")</f>
        <v/>
      </c>
      <c r="AN87" s="40"/>
      <c r="AQ87" s="35">
        <f t="shared" si="7"/>
        <v>0</v>
      </c>
    </row>
    <row r="88" spans="1:43">
      <c r="A88" s="35" t="str">
        <f>IFERROR(INDEX('G-1 All Habitats'!$AG$3:$AG$17,MATCH(E88,'G-1 All Habitats'!$AF$3:$AF$17,0)),"")</f>
        <v/>
      </c>
      <c r="B88" s="35" t="str">
        <f>IFERROR(INDEX('G-8 Condition Look up'!$I$4:$I$135,MATCH(G88,'G-8 Condition Look up'!$A$4:$A$135,0)),"")</f>
        <v/>
      </c>
      <c r="D88" s="287">
        <v>78</v>
      </c>
      <c r="E88" s="267"/>
      <c r="F88" s="61"/>
      <c r="G88" s="52" t="str">
        <f>IFERROR(INDEX('G-1 All Habitats'!$B$3:$B$134,MATCH(F88,'G-1 All Habitats'!$A$3:$A$134,0)),"")</f>
        <v/>
      </c>
      <c r="H88" s="53"/>
      <c r="I88" s="362" t="str">
        <f>IF(G88="","",VLOOKUP(G88,'G-1 All Habitats'!$B$2:$M$134,10,FALSE))</f>
        <v/>
      </c>
      <c r="J88" s="363" t="str">
        <f>IFERROR(VLOOKUP(I88,'G-1 All Habitats'!$V$3:$W$7,2,FALSE),"")</f>
        <v/>
      </c>
      <c r="K88" s="54"/>
      <c r="L88" s="363" t="str">
        <f>IFERROR(INDEX('G-8 Condition Look up'!$A$3:$H$135,MATCH(G88,'G-8 Condition Look up'!$A$3:$A$135,0),MATCH(K88,'G-8 Condition Look up'!$A$3:$H$3,0)),"")</f>
        <v/>
      </c>
      <c r="M88" s="54"/>
      <c r="N88" s="382" t="str">
        <f>IF(M88="","",IF(VLOOKUP(M88,'G-3 Multipliers'!$L$3:$N$6,2,FALSE)=0,"Spatial Data Missing",VLOOKUP(M88,'G-3 Multipliers'!$L$3:$N$6,2,FALSE)))</f>
        <v/>
      </c>
      <c r="O88" s="368" t="str">
        <f>IF(M88="","",IF(VLOOKUP(M88,'G-3 Multipliers'!$L$3:$N$6,3,FALSE)=0,"Spatial Data Missing ▲",VLOOKUP(M88,'G-3 Multipliers'!$L$3:$N$6,3,FALSE)))</f>
        <v/>
      </c>
      <c r="P88" s="369" t="str">
        <f>IFERROR(VLOOKUP(G88,'G-1 All Habitats'!$B$2:$M$134,12,FALSE),"")</f>
        <v/>
      </c>
      <c r="Q88" s="376" t="str">
        <f>IFERROR(IF(P88="","",IF(AND(P88='G-1 All Habitats'!$X$3,T88&gt;0),U88+V88,IF(AND(P88='G-1 All Habitats'!$X$3,S88&gt;0),U88+V88,IF(AND(P88='G-1 All Habitats'!$X$3,AC88&gt;0),"Any Loss Unacceptable ⚠",IF(AND(P88='G-1 All Habitats'!$X$3,W88&gt;0),"Any Loss Unacceptable ⚠",H88*J88*L88*O88))))),"Check Data ▲")</f>
        <v/>
      </c>
      <c r="R88" s="38"/>
      <c r="S88" s="54"/>
      <c r="T88" s="55"/>
      <c r="U88" s="374" t="str">
        <f t="shared" si="8"/>
        <v/>
      </c>
      <c r="V88" s="374" t="str">
        <f t="shared" si="9"/>
        <v/>
      </c>
      <c r="W88" s="374" t="str">
        <f>IF(E88="","",IF(H88&lt;S88+T88,"Error in Areas ▲",IF(P88&lt;&gt;'G-1 All Habitats'!$X$3,H88-S88-T88,IF(AND(P88='G-1 All Habitats'!$X$3,Y88="Yes"),"Unacceptable Loss ⚠",IF(AND(P88='G-1 All Habitats'!$X$3,Y88="No"),AC88,IF(AND(P88='G-1 All Habitats'!$X$3,Y88=""),AC88,IF(AND(P88='G-1 All Habitats'!$X$3,AC88="None",AC88),IF(AND(P88='G-1 All Habitats'!$X$3,AC88&gt;0),H88-S88-T88))))))))</f>
        <v/>
      </c>
      <c r="X88" s="378" t="str">
        <f>IFERROR(IF(H88="","",IF(H88-S88-T88=0&lt;0,"Error in Areas ▲",IF(S88+T88&gt;H88,"Error in Areas ▲",IF(AND(P88='G-1 All Habitats'!$X$3,Y88="Yes"),"Alternative Compensation ✓",IF(W88=0,0,IF(P88='G-1 All Habitats'!$X$3,"Any Loss Unacceptable ▲",Q88-U88-V88)))))),"Check Data ▲")</f>
        <v/>
      </c>
      <c r="Y88" s="55"/>
      <c r="Z88" s="62"/>
      <c r="AA88" s="526"/>
      <c r="AB88" s="120"/>
      <c r="AC88" s="726" t="str">
        <f>IF(P88="","",IF(P88='G-1 All Habitats'!$X$3,H88-S88-T88,"None"))</f>
        <v/>
      </c>
      <c r="AD88" s="727" t="str">
        <f>IF(P88="","", IF(P88='G-1 All Habitats'!$X$3, AC88*J88*L88*O88,"None"))</f>
        <v/>
      </c>
      <c r="AF88" s="40" t="str">
        <f t="shared" si="5"/>
        <v/>
      </c>
      <c r="AG88" s="40" t="str">
        <f t="shared" si="6"/>
        <v/>
      </c>
      <c r="AH88" s="40" t="str">
        <f>IF(I88="","",IF(#REF!&gt;0,TRUE,FALSE))</f>
        <v/>
      </c>
      <c r="AI88" s="40">
        <v>78</v>
      </c>
      <c r="AJ88" s="40"/>
      <c r="AK88" s="40" t="str">
        <f t="array" ref="AK88">IFERROR(INDEX($AI$11:$AI$259, MATCH(0, IF(TRUE=$AF$11:$AF$259, COUNTIF($AK$10:$AK87, $AI$11:$AI$259), ""), 0)),"")</f>
        <v/>
      </c>
      <c r="AL88" s="40" t="str">
        <f t="array" ref="AL88">IFERROR(INDEX($AI$11:$AI$259, MATCH(0, IF(TRUE=$AG$11:$AG$259, COUNTIF($AL$10:$AL87, $AI$11:$AI$259), ""), 0)),"")</f>
        <v/>
      </c>
      <c r="AM88" s="40" t="str">
        <f t="array" ref="AM88">IFERROR(INDEX($AI$11:$AI$259, MATCH(0, IF(TRUE=$AH$11:$AH$259, COUNTIF($AM$10:$AM87, $AI$11:$AI$259), ""), 0)),"")</f>
        <v/>
      </c>
      <c r="AN88" s="40"/>
      <c r="AQ88" s="35">
        <f t="shared" si="7"/>
        <v>0</v>
      </c>
    </row>
    <row r="89" spans="1:43">
      <c r="A89" s="35" t="str">
        <f>IFERROR(INDEX('G-1 All Habitats'!$AG$3:$AG$17,MATCH(E89,'G-1 All Habitats'!$AF$3:$AF$17,0)),"")</f>
        <v/>
      </c>
      <c r="B89" s="35" t="str">
        <f>IFERROR(INDEX('G-8 Condition Look up'!$I$4:$I$135,MATCH(G89,'G-8 Condition Look up'!$A$4:$A$135,0)),"")</f>
        <v/>
      </c>
      <c r="D89" s="287">
        <v>79</v>
      </c>
      <c r="E89" s="267"/>
      <c r="F89" s="61"/>
      <c r="G89" s="52" t="str">
        <f>IFERROR(INDEX('G-1 All Habitats'!$B$3:$B$134,MATCH(F89,'G-1 All Habitats'!$A$3:$A$134,0)),"")</f>
        <v/>
      </c>
      <c r="H89" s="53"/>
      <c r="I89" s="362" t="str">
        <f>IF(G89="","",VLOOKUP(G89,'G-1 All Habitats'!$B$2:$M$134,10,FALSE))</f>
        <v/>
      </c>
      <c r="J89" s="363" t="str">
        <f>IFERROR(VLOOKUP(I89,'G-1 All Habitats'!$V$3:$W$7,2,FALSE),"")</f>
        <v/>
      </c>
      <c r="K89" s="54"/>
      <c r="L89" s="363" t="str">
        <f>IFERROR(INDEX('G-8 Condition Look up'!$A$3:$H$135,MATCH(G89,'G-8 Condition Look up'!$A$3:$A$135,0),MATCH(K89,'G-8 Condition Look up'!$A$3:$H$3,0)),"")</f>
        <v/>
      </c>
      <c r="M89" s="54"/>
      <c r="N89" s="382" t="str">
        <f>IF(M89="","",IF(VLOOKUP(M89,'G-3 Multipliers'!$L$3:$N$6,2,FALSE)=0,"Spatial Data Missing",VLOOKUP(M89,'G-3 Multipliers'!$L$3:$N$6,2,FALSE)))</f>
        <v/>
      </c>
      <c r="O89" s="368" t="str">
        <f>IF(M89="","",IF(VLOOKUP(M89,'G-3 Multipliers'!$L$3:$N$6,3,FALSE)=0,"Spatial Data Missing ▲",VLOOKUP(M89,'G-3 Multipliers'!$L$3:$N$6,3,FALSE)))</f>
        <v/>
      </c>
      <c r="P89" s="369" t="str">
        <f>IFERROR(VLOOKUP(G89,'G-1 All Habitats'!$B$2:$M$134,12,FALSE),"")</f>
        <v/>
      </c>
      <c r="Q89" s="376" t="str">
        <f>IFERROR(IF(P89="","",IF(AND(P89='G-1 All Habitats'!$X$3,T89&gt;0),U89+V89,IF(AND(P89='G-1 All Habitats'!$X$3,S89&gt;0),U89+V89,IF(AND(P89='G-1 All Habitats'!$X$3,AC89&gt;0),"Any Loss Unacceptable ⚠",IF(AND(P89='G-1 All Habitats'!$X$3,W89&gt;0),"Any Loss Unacceptable ⚠",H89*J89*L89*O89))))),"Check Data ▲")</f>
        <v/>
      </c>
      <c r="R89" s="38"/>
      <c r="S89" s="54"/>
      <c r="T89" s="55"/>
      <c r="U89" s="374" t="str">
        <f t="shared" si="8"/>
        <v/>
      </c>
      <c r="V89" s="374" t="str">
        <f t="shared" si="9"/>
        <v/>
      </c>
      <c r="W89" s="374" t="str">
        <f>IF(E89="","",IF(H89&lt;S89+T89,"Error in Areas ▲",IF(P89&lt;&gt;'G-1 All Habitats'!$X$3,H89-S89-T89,IF(AND(P89='G-1 All Habitats'!$X$3,Y89="Yes"),"Unacceptable Loss ⚠",IF(AND(P89='G-1 All Habitats'!$X$3,Y89="No"),AC89,IF(AND(P89='G-1 All Habitats'!$X$3,Y89=""),AC89,IF(AND(P89='G-1 All Habitats'!$X$3,AC89="None",AC89),IF(AND(P89='G-1 All Habitats'!$X$3,AC89&gt;0),H89-S89-T89))))))))</f>
        <v/>
      </c>
      <c r="X89" s="378" t="str">
        <f>IFERROR(IF(H89="","",IF(H89-S89-T89=0&lt;0,"Error in Areas ▲",IF(S89+T89&gt;H89,"Error in Areas ▲",IF(AND(P89='G-1 All Habitats'!$X$3,Y89="Yes"),"Alternative Compensation ✓",IF(W89=0,0,IF(P89='G-1 All Habitats'!$X$3,"Any Loss Unacceptable ▲",Q89-U89-V89)))))),"Check Data ▲")</f>
        <v/>
      </c>
      <c r="Y89" s="55"/>
      <c r="Z89" s="62"/>
      <c r="AA89" s="526"/>
      <c r="AB89" s="120"/>
      <c r="AC89" s="726" t="str">
        <f>IF(P89="","",IF(P89='G-1 All Habitats'!$X$3,H89-S89-T89,"None"))</f>
        <v/>
      </c>
      <c r="AD89" s="727" t="str">
        <f>IF(P89="","", IF(P89='G-1 All Habitats'!$X$3, AC89*J89*L89*O89,"None"))</f>
        <v/>
      </c>
      <c r="AF89" s="40" t="str">
        <f t="shared" si="5"/>
        <v/>
      </c>
      <c r="AG89" s="40" t="str">
        <f t="shared" si="6"/>
        <v/>
      </c>
      <c r="AH89" s="40" t="str">
        <f>IF(I89="","",IF(#REF!&gt;0,TRUE,FALSE))</f>
        <v/>
      </c>
      <c r="AI89" s="40">
        <v>79</v>
      </c>
      <c r="AJ89" s="40"/>
      <c r="AK89" s="40" t="str">
        <f t="array" ref="AK89">IFERROR(INDEX($AI$11:$AI$259, MATCH(0, IF(TRUE=$AF$11:$AF$259, COUNTIF($AK$10:$AK88, $AI$11:$AI$259), ""), 0)),"")</f>
        <v/>
      </c>
      <c r="AL89" s="40" t="str">
        <f t="array" ref="AL89">IFERROR(INDEX($AI$11:$AI$259, MATCH(0, IF(TRUE=$AG$11:$AG$259, COUNTIF($AL$10:$AL88, $AI$11:$AI$259), ""), 0)),"")</f>
        <v/>
      </c>
      <c r="AM89" s="40" t="str">
        <f t="array" ref="AM89">IFERROR(INDEX($AI$11:$AI$259, MATCH(0, IF(TRUE=$AH$11:$AH$259, COUNTIF($AM$10:$AM88, $AI$11:$AI$259), ""), 0)),"")</f>
        <v/>
      </c>
      <c r="AN89" s="40"/>
      <c r="AQ89" s="35">
        <f t="shared" si="7"/>
        <v>0</v>
      </c>
    </row>
    <row r="90" spans="1:43">
      <c r="A90" s="35" t="str">
        <f>IFERROR(INDEX('G-1 All Habitats'!$AG$3:$AG$17,MATCH(E90,'G-1 All Habitats'!$AF$3:$AF$17,0)),"")</f>
        <v/>
      </c>
      <c r="B90" s="35" t="str">
        <f>IFERROR(INDEX('G-8 Condition Look up'!$I$4:$I$135,MATCH(G90,'G-8 Condition Look up'!$A$4:$A$135,0)),"")</f>
        <v/>
      </c>
      <c r="D90" s="287">
        <v>80</v>
      </c>
      <c r="E90" s="267"/>
      <c r="F90" s="61"/>
      <c r="G90" s="52" t="str">
        <f>IFERROR(INDEX('G-1 All Habitats'!$B$3:$B$134,MATCH(F90,'G-1 All Habitats'!$A$3:$A$134,0)),"")</f>
        <v/>
      </c>
      <c r="H90" s="53"/>
      <c r="I90" s="362" t="str">
        <f>IF(G90="","",VLOOKUP(G90,'G-1 All Habitats'!$B$2:$M$134,10,FALSE))</f>
        <v/>
      </c>
      <c r="J90" s="363" t="str">
        <f>IFERROR(VLOOKUP(I90,'G-1 All Habitats'!$V$3:$W$7,2,FALSE),"")</f>
        <v/>
      </c>
      <c r="K90" s="54"/>
      <c r="L90" s="363" t="str">
        <f>IFERROR(INDEX('G-8 Condition Look up'!$A$3:$H$135,MATCH(G90,'G-8 Condition Look up'!$A$3:$A$135,0),MATCH(K90,'G-8 Condition Look up'!$A$3:$H$3,0)),"")</f>
        <v/>
      </c>
      <c r="M90" s="54"/>
      <c r="N90" s="382" t="str">
        <f>IF(M90="","",IF(VLOOKUP(M90,'G-3 Multipliers'!$L$3:$N$6,2,FALSE)=0,"Spatial Data Missing",VLOOKUP(M90,'G-3 Multipliers'!$L$3:$N$6,2,FALSE)))</f>
        <v/>
      </c>
      <c r="O90" s="368" t="str">
        <f>IF(M90="","",IF(VLOOKUP(M90,'G-3 Multipliers'!$L$3:$N$6,3,FALSE)=0,"Spatial Data Missing ▲",VLOOKUP(M90,'G-3 Multipliers'!$L$3:$N$6,3,FALSE)))</f>
        <v/>
      </c>
      <c r="P90" s="369" t="str">
        <f>IFERROR(VLOOKUP(G90,'G-1 All Habitats'!$B$2:$M$134,12,FALSE),"")</f>
        <v/>
      </c>
      <c r="Q90" s="376" t="str">
        <f>IFERROR(IF(P90="","",IF(AND(P90='G-1 All Habitats'!$X$3,T90&gt;0),U90+V90,IF(AND(P90='G-1 All Habitats'!$X$3,S90&gt;0),U90+V90,IF(AND(P90='G-1 All Habitats'!$X$3,AC90&gt;0),"Any Loss Unacceptable ⚠",IF(AND(P90='G-1 All Habitats'!$X$3,W90&gt;0),"Any Loss Unacceptable ⚠",H90*J90*L90*O90))))),"Check Data ▲")</f>
        <v/>
      </c>
      <c r="R90" s="38"/>
      <c r="S90" s="54"/>
      <c r="T90" s="55"/>
      <c r="U90" s="374" t="str">
        <f t="shared" si="8"/>
        <v/>
      </c>
      <c r="V90" s="374" t="str">
        <f t="shared" si="9"/>
        <v/>
      </c>
      <c r="W90" s="374" t="str">
        <f>IF(E90="","",IF(H90&lt;S90+T90,"Error in Areas ▲",IF(P90&lt;&gt;'G-1 All Habitats'!$X$3,H90-S90-T90,IF(AND(P90='G-1 All Habitats'!$X$3,Y90="Yes"),"Unacceptable Loss ⚠",IF(AND(P90='G-1 All Habitats'!$X$3,Y90="No"),AC90,IF(AND(P90='G-1 All Habitats'!$X$3,Y90=""),AC90,IF(AND(P90='G-1 All Habitats'!$X$3,AC90="None",AC90),IF(AND(P90='G-1 All Habitats'!$X$3,AC90&gt;0),H90-S90-T90))))))))</f>
        <v/>
      </c>
      <c r="X90" s="378" t="str">
        <f>IFERROR(IF(H90="","",IF(H90-S90-T90=0&lt;0,"Error in Areas ▲",IF(S90+T90&gt;H90,"Error in Areas ▲",IF(AND(P90='G-1 All Habitats'!$X$3,Y90="Yes"),"Alternative Compensation ✓",IF(W90=0,0,IF(P90='G-1 All Habitats'!$X$3,"Any Loss Unacceptable ▲",Q90-U90-V90)))))),"Check Data ▲")</f>
        <v/>
      </c>
      <c r="Y90" s="55"/>
      <c r="Z90" s="62"/>
      <c r="AA90" s="526"/>
      <c r="AB90" s="120"/>
      <c r="AC90" s="726" t="str">
        <f>IF(P90="","",IF(P90='G-1 All Habitats'!$X$3,H90-S90-T90,"None"))</f>
        <v/>
      </c>
      <c r="AD90" s="727" t="str">
        <f>IF(P90="","", IF(P90='G-1 All Habitats'!$X$3, AC90*J90*L90*O90,"None"))</f>
        <v/>
      </c>
      <c r="AF90" s="40" t="str">
        <f t="shared" si="5"/>
        <v/>
      </c>
      <c r="AG90" s="40" t="str">
        <f t="shared" si="6"/>
        <v/>
      </c>
      <c r="AH90" s="40" t="str">
        <f>IF(I90="","",IF(#REF!&gt;0,TRUE,FALSE))</f>
        <v/>
      </c>
      <c r="AI90" s="40">
        <v>80</v>
      </c>
      <c r="AJ90" s="40"/>
      <c r="AK90" s="40" t="str">
        <f t="array" ref="AK90">IFERROR(INDEX($AI$11:$AI$259, MATCH(0, IF(TRUE=$AF$11:$AF$259, COUNTIF($AK$10:$AK89, $AI$11:$AI$259), ""), 0)),"")</f>
        <v/>
      </c>
      <c r="AL90" s="40" t="str">
        <f t="array" ref="AL90">IFERROR(INDEX($AI$11:$AI$259, MATCH(0, IF(TRUE=$AG$11:$AG$259, COUNTIF($AL$10:$AL89, $AI$11:$AI$259), ""), 0)),"")</f>
        <v/>
      </c>
      <c r="AM90" s="40" t="str">
        <f t="array" ref="AM90">IFERROR(INDEX($AI$11:$AI$259, MATCH(0, IF(TRUE=$AH$11:$AH$259, COUNTIF($AM$10:$AM89, $AI$11:$AI$259), ""), 0)),"")</f>
        <v/>
      </c>
      <c r="AN90" s="40"/>
      <c r="AQ90" s="35">
        <f t="shared" si="7"/>
        <v>0</v>
      </c>
    </row>
    <row r="91" spans="1:43">
      <c r="A91" s="35" t="str">
        <f>IFERROR(INDEX('G-1 All Habitats'!$AG$3:$AG$17,MATCH(E91,'G-1 All Habitats'!$AF$3:$AF$17,0)),"")</f>
        <v/>
      </c>
      <c r="B91" s="35" t="str">
        <f>IFERROR(INDEX('G-8 Condition Look up'!$I$4:$I$135,MATCH(G91,'G-8 Condition Look up'!$A$4:$A$135,0)),"")</f>
        <v/>
      </c>
      <c r="D91" s="287">
        <v>81</v>
      </c>
      <c r="E91" s="267"/>
      <c r="F91" s="61"/>
      <c r="G91" s="52" t="str">
        <f>IFERROR(INDEX('G-1 All Habitats'!$B$3:$B$134,MATCH(F91,'G-1 All Habitats'!$A$3:$A$134,0)),"")</f>
        <v/>
      </c>
      <c r="H91" s="53"/>
      <c r="I91" s="362" t="str">
        <f>IF(G91="","",VLOOKUP(G91,'G-1 All Habitats'!$B$2:$M$134,10,FALSE))</f>
        <v/>
      </c>
      <c r="J91" s="363" t="str">
        <f>IFERROR(VLOOKUP(I91,'G-1 All Habitats'!$V$3:$W$7,2,FALSE),"")</f>
        <v/>
      </c>
      <c r="K91" s="54"/>
      <c r="L91" s="363" t="str">
        <f>IFERROR(INDEX('G-8 Condition Look up'!$A$3:$H$135,MATCH(G91,'G-8 Condition Look up'!$A$3:$A$135,0),MATCH(K91,'G-8 Condition Look up'!$A$3:$H$3,0)),"")</f>
        <v/>
      </c>
      <c r="M91" s="54"/>
      <c r="N91" s="382" t="str">
        <f>IF(M91="","",IF(VLOOKUP(M91,'G-3 Multipliers'!$L$3:$N$6,2,FALSE)=0,"Spatial Data Missing",VLOOKUP(M91,'G-3 Multipliers'!$L$3:$N$6,2,FALSE)))</f>
        <v/>
      </c>
      <c r="O91" s="368" t="str">
        <f>IF(M91="","",IF(VLOOKUP(M91,'G-3 Multipliers'!$L$3:$N$6,3,FALSE)=0,"Spatial Data Missing ▲",VLOOKUP(M91,'G-3 Multipliers'!$L$3:$N$6,3,FALSE)))</f>
        <v/>
      </c>
      <c r="P91" s="369" t="str">
        <f>IFERROR(VLOOKUP(G91,'G-1 All Habitats'!$B$2:$M$134,12,FALSE),"")</f>
        <v/>
      </c>
      <c r="Q91" s="376" t="str">
        <f>IFERROR(IF(P91="","",IF(AND(P91='G-1 All Habitats'!$X$3,T91&gt;0),U91+V91,IF(AND(P91='G-1 All Habitats'!$X$3,S91&gt;0),U91+V91,IF(AND(P91='G-1 All Habitats'!$X$3,AC91&gt;0),"Any Loss Unacceptable ⚠",IF(AND(P91='G-1 All Habitats'!$X$3,W91&gt;0),"Any Loss Unacceptable ⚠",H91*J91*L91*O91))))),"Check Data ▲")</f>
        <v/>
      </c>
      <c r="R91" s="38"/>
      <c r="S91" s="54"/>
      <c r="T91" s="55"/>
      <c r="U91" s="374" t="str">
        <f t="shared" si="8"/>
        <v/>
      </c>
      <c r="V91" s="374" t="str">
        <f t="shared" si="9"/>
        <v/>
      </c>
      <c r="W91" s="374" t="str">
        <f>IF(E91="","",IF(H91&lt;S91+T91,"Error in Areas ▲",IF(P91&lt;&gt;'G-1 All Habitats'!$X$3,H91-S91-T91,IF(AND(P91='G-1 All Habitats'!$X$3,Y91="Yes"),"Unacceptable Loss ⚠",IF(AND(P91='G-1 All Habitats'!$X$3,Y91="No"),AC91,IF(AND(P91='G-1 All Habitats'!$X$3,Y91=""),AC91,IF(AND(P91='G-1 All Habitats'!$X$3,AC91="None",AC91),IF(AND(P91='G-1 All Habitats'!$X$3,AC91&gt;0),H91-S91-T91))))))))</f>
        <v/>
      </c>
      <c r="X91" s="378" t="str">
        <f>IFERROR(IF(H91="","",IF(H91-S91-T91=0&lt;0,"Error in Areas ▲",IF(S91+T91&gt;H91,"Error in Areas ▲",IF(AND(P91='G-1 All Habitats'!$X$3,Y91="Yes"),"Alternative Compensation ✓",IF(W91=0,0,IF(P91='G-1 All Habitats'!$X$3,"Any Loss Unacceptable ▲",Q91-U91-V91)))))),"Check Data ▲")</f>
        <v/>
      </c>
      <c r="Y91" s="55"/>
      <c r="Z91" s="62"/>
      <c r="AA91" s="526"/>
      <c r="AB91" s="120"/>
      <c r="AC91" s="726" t="str">
        <f>IF(P91="","",IF(P91='G-1 All Habitats'!$X$3,H91-S91-T91,"None"))</f>
        <v/>
      </c>
      <c r="AD91" s="727" t="str">
        <f>IF(P91="","", IF(P91='G-1 All Habitats'!$X$3, AC91*J91*L91*O91,"None"))</f>
        <v/>
      </c>
      <c r="AF91" s="40" t="str">
        <f t="shared" si="5"/>
        <v/>
      </c>
      <c r="AG91" s="40" t="str">
        <f t="shared" si="6"/>
        <v/>
      </c>
      <c r="AH91" s="40" t="str">
        <f>IF(I91="","",IF(#REF!&gt;0,TRUE,FALSE))</f>
        <v/>
      </c>
      <c r="AI91" s="40">
        <v>81</v>
      </c>
      <c r="AJ91" s="40"/>
      <c r="AK91" s="40" t="str">
        <f t="array" ref="AK91">IFERROR(INDEX($AI$11:$AI$259, MATCH(0, IF(TRUE=$AF$11:$AF$259, COUNTIF($AK$10:$AK90, $AI$11:$AI$259), ""), 0)),"")</f>
        <v/>
      </c>
      <c r="AL91" s="40" t="str">
        <f t="array" ref="AL91">IFERROR(INDEX($AI$11:$AI$259, MATCH(0, IF(TRUE=$AG$11:$AG$259, COUNTIF($AL$10:$AL90, $AI$11:$AI$259), ""), 0)),"")</f>
        <v/>
      </c>
      <c r="AM91" s="40" t="str">
        <f t="array" ref="AM91">IFERROR(INDEX($AI$11:$AI$259, MATCH(0, IF(TRUE=$AH$11:$AH$259, COUNTIF($AM$10:$AM90, $AI$11:$AI$259), ""), 0)),"")</f>
        <v/>
      </c>
      <c r="AN91" s="40"/>
      <c r="AQ91" s="35">
        <f t="shared" si="7"/>
        <v>0</v>
      </c>
    </row>
    <row r="92" spans="1:43">
      <c r="A92" s="35" t="str">
        <f>IFERROR(INDEX('G-1 All Habitats'!$AG$3:$AG$17,MATCH(E92,'G-1 All Habitats'!$AF$3:$AF$17,0)),"")</f>
        <v/>
      </c>
      <c r="B92" s="35" t="str">
        <f>IFERROR(INDEX('G-8 Condition Look up'!$I$4:$I$135,MATCH(G92,'G-8 Condition Look up'!$A$4:$A$135,0)),"")</f>
        <v/>
      </c>
      <c r="D92" s="287">
        <v>82</v>
      </c>
      <c r="E92" s="267"/>
      <c r="F92" s="61"/>
      <c r="G92" s="52" t="str">
        <f>IFERROR(INDEX('G-1 All Habitats'!$B$3:$B$134,MATCH(F92,'G-1 All Habitats'!$A$3:$A$134,0)),"")</f>
        <v/>
      </c>
      <c r="H92" s="53"/>
      <c r="I92" s="362" t="str">
        <f>IF(G92="","",VLOOKUP(G92,'G-1 All Habitats'!$B$2:$M$134,10,FALSE))</f>
        <v/>
      </c>
      <c r="J92" s="363" t="str">
        <f>IFERROR(VLOOKUP(I92,'G-1 All Habitats'!$V$3:$W$7,2,FALSE),"")</f>
        <v/>
      </c>
      <c r="K92" s="54"/>
      <c r="L92" s="363" t="str">
        <f>IFERROR(INDEX('G-8 Condition Look up'!$A$3:$H$135,MATCH(G92,'G-8 Condition Look up'!$A$3:$A$135,0),MATCH(K92,'G-8 Condition Look up'!$A$3:$H$3,0)),"")</f>
        <v/>
      </c>
      <c r="M92" s="54"/>
      <c r="N92" s="382" t="str">
        <f>IF(M92="","",IF(VLOOKUP(M92,'G-3 Multipliers'!$L$3:$N$6,2,FALSE)=0,"Spatial Data Missing",VLOOKUP(M92,'G-3 Multipliers'!$L$3:$N$6,2,FALSE)))</f>
        <v/>
      </c>
      <c r="O92" s="368" t="str">
        <f>IF(M92="","",IF(VLOOKUP(M92,'G-3 Multipliers'!$L$3:$N$6,3,FALSE)=0,"Spatial Data Missing ▲",VLOOKUP(M92,'G-3 Multipliers'!$L$3:$N$6,3,FALSE)))</f>
        <v/>
      </c>
      <c r="P92" s="369" t="str">
        <f>IFERROR(VLOOKUP(G92,'G-1 All Habitats'!$B$2:$M$134,12,FALSE),"")</f>
        <v/>
      </c>
      <c r="Q92" s="376" t="str">
        <f>IFERROR(IF(P92="","",IF(AND(P92='G-1 All Habitats'!$X$3,T92&gt;0),U92+V92,IF(AND(P92='G-1 All Habitats'!$X$3,S92&gt;0),U92+V92,IF(AND(P92='G-1 All Habitats'!$X$3,AC92&gt;0),"Any Loss Unacceptable ⚠",IF(AND(P92='G-1 All Habitats'!$X$3,W92&gt;0),"Any Loss Unacceptable ⚠",H92*J92*L92*O92))))),"Check Data ▲")</f>
        <v/>
      </c>
      <c r="R92" s="38"/>
      <c r="S92" s="54"/>
      <c r="T92" s="55"/>
      <c r="U92" s="374" t="str">
        <f t="shared" si="8"/>
        <v/>
      </c>
      <c r="V92" s="374" t="str">
        <f t="shared" si="9"/>
        <v/>
      </c>
      <c r="W92" s="374" t="str">
        <f>IF(E92="","",IF(H92&lt;S92+T92,"Error in Areas ▲",IF(P92&lt;&gt;'G-1 All Habitats'!$X$3,H92-S92-T92,IF(AND(P92='G-1 All Habitats'!$X$3,Y92="Yes"),"Unacceptable Loss ⚠",IF(AND(P92='G-1 All Habitats'!$X$3,Y92="No"),AC92,IF(AND(P92='G-1 All Habitats'!$X$3,Y92=""),AC92,IF(AND(P92='G-1 All Habitats'!$X$3,AC92="None",AC92),IF(AND(P92='G-1 All Habitats'!$X$3,AC92&gt;0),H92-S92-T92))))))))</f>
        <v/>
      </c>
      <c r="X92" s="378" t="str">
        <f>IFERROR(IF(H92="","",IF(H92-S92-T92=0&lt;0,"Error in Areas ▲",IF(S92+T92&gt;H92,"Error in Areas ▲",IF(AND(P92='G-1 All Habitats'!$X$3,Y92="Yes"),"Alternative Compensation ✓",IF(W92=0,0,IF(P92='G-1 All Habitats'!$X$3,"Any Loss Unacceptable ▲",Q92-U92-V92)))))),"Check Data ▲")</f>
        <v/>
      </c>
      <c r="Y92" s="55"/>
      <c r="Z92" s="62"/>
      <c r="AA92" s="526"/>
      <c r="AB92" s="120"/>
      <c r="AC92" s="726" t="str">
        <f>IF(P92="","",IF(P92='G-1 All Habitats'!$X$3,H92-S92-T92,"None"))</f>
        <v/>
      </c>
      <c r="AD92" s="727" t="str">
        <f>IF(P92="","", IF(P92='G-1 All Habitats'!$X$3, AC92*J92*L92*O92,"None"))</f>
        <v/>
      </c>
      <c r="AF92" s="40" t="str">
        <f t="shared" si="5"/>
        <v/>
      </c>
      <c r="AG92" s="40" t="str">
        <f t="shared" si="6"/>
        <v/>
      </c>
      <c r="AH92" s="40" t="str">
        <f>IF(I92="","",IF(#REF!&gt;0,TRUE,FALSE))</f>
        <v/>
      </c>
      <c r="AI92" s="40">
        <v>82</v>
      </c>
      <c r="AJ92" s="40"/>
      <c r="AK92" s="40" t="str">
        <f t="array" ref="AK92">IFERROR(INDEX($AI$11:$AI$259, MATCH(0, IF(TRUE=$AF$11:$AF$259, COUNTIF($AK$10:$AK91, $AI$11:$AI$259), ""), 0)),"")</f>
        <v/>
      </c>
      <c r="AL92" s="40" t="str">
        <f t="array" ref="AL92">IFERROR(INDEX($AI$11:$AI$259, MATCH(0, IF(TRUE=$AG$11:$AG$259, COUNTIF($AL$10:$AL91, $AI$11:$AI$259), ""), 0)),"")</f>
        <v/>
      </c>
      <c r="AM92" s="40" t="str">
        <f t="array" ref="AM92">IFERROR(INDEX($AI$11:$AI$259, MATCH(0, IF(TRUE=$AH$11:$AH$259, COUNTIF($AM$10:$AM91, $AI$11:$AI$259), ""), 0)),"")</f>
        <v/>
      </c>
      <c r="AN92" s="40"/>
      <c r="AQ92" s="35">
        <f t="shared" si="7"/>
        <v>0</v>
      </c>
    </row>
    <row r="93" spans="1:43">
      <c r="A93" s="35" t="str">
        <f>IFERROR(INDEX('G-1 All Habitats'!$AG$3:$AG$17,MATCH(E93,'G-1 All Habitats'!$AF$3:$AF$17,0)),"")</f>
        <v/>
      </c>
      <c r="B93" s="35" t="str">
        <f>IFERROR(INDEX('G-8 Condition Look up'!$I$4:$I$135,MATCH(G93,'G-8 Condition Look up'!$A$4:$A$135,0)),"")</f>
        <v/>
      </c>
      <c r="D93" s="287">
        <v>83</v>
      </c>
      <c r="E93" s="267"/>
      <c r="F93" s="61"/>
      <c r="G93" s="52" t="str">
        <f>IFERROR(INDEX('G-1 All Habitats'!$B$3:$B$134,MATCH(F93,'G-1 All Habitats'!$A$3:$A$134,0)),"")</f>
        <v/>
      </c>
      <c r="H93" s="53"/>
      <c r="I93" s="362" t="str">
        <f>IF(G93="","",VLOOKUP(G93,'G-1 All Habitats'!$B$2:$M$134,10,FALSE))</f>
        <v/>
      </c>
      <c r="J93" s="363" t="str">
        <f>IFERROR(VLOOKUP(I93,'G-1 All Habitats'!$V$3:$W$7,2,FALSE),"")</f>
        <v/>
      </c>
      <c r="K93" s="54"/>
      <c r="L93" s="363" t="str">
        <f>IFERROR(INDEX('G-8 Condition Look up'!$A$3:$H$135,MATCH(G93,'G-8 Condition Look up'!$A$3:$A$135,0),MATCH(K93,'G-8 Condition Look up'!$A$3:$H$3,0)),"")</f>
        <v/>
      </c>
      <c r="M93" s="54"/>
      <c r="N93" s="382" t="str">
        <f>IF(M93="","",IF(VLOOKUP(M93,'G-3 Multipliers'!$L$3:$N$6,2,FALSE)=0,"Spatial Data Missing",VLOOKUP(M93,'G-3 Multipliers'!$L$3:$N$6,2,FALSE)))</f>
        <v/>
      </c>
      <c r="O93" s="368" t="str">
        <f>IF(M93="","",IF(VLOOKUP(M93,'G-3 Multipliers'!$L$3:$N$6,3,FALSE)=0,"Spatial Data Missing ▲",VLOOKUP(M93,'G-3 Multipliers'!$L$3:$N$6,3,FALSE)))</f>
        <v/>
      </c>
      <c r="P93" s="369" t="str">
        <f>IFERROR(VLOOKUP(G93,'G-1 All Habitats'!$B$2:$M$134,12,FALSE),"")</f>
        <v/>
      </c>
      <c r="Q93" s="376" t="str">
        <f>IFERROR(IF(P93="","",IF(AND(P93='G-1 All Habitats'!$X$3,T93&gt;0),U93+V93,IF(AND(P93='G-1 All Habitats'!$X$3,S93&gt;0),U93+V93,IF(AND(P93='G-1 All Habitats'!$X$3,AC93&gt;0),"Any Loss Unacceptable ⚠",IF(AND(P93='G-1 All Habitats'!$X$3,W93&gt;0),"Any Loss Unacceptable ⚠",H93*J93*L93*O93))))),"Check Data ▲")</f>
        <v/>
      </c>
      <c r="R93" s="38"/>
      <c r="S93" s="54"/>
      <c r="T93" s="55"/>
      <c r="U93" s="374" t="str">
        <f t="shared" si="8"/>
        <v/>
      </c>
      <c r="V93" s="374" t="str">
        <f t="shared" si="9"/>
        <v/>
      </c>
      <c r="W93" s="374" t="str">
        <f>IF(E93="","",IF(H93&lt;S93+T93,"Error in Areas ▲",IF(P93&lt;&gt;'G-1 All Habitats'!$X$3,H93-S93-T93,IF(AND(P93='G-1 All Habitats'!$X$3,Y93="Yes"),"Unacceptable Loss ⚠",IF(AND(P93='G-1 All Habitats'!$X$3,Y93="No"),AC93,IF(AND(P93='G-1 All Habitats'!$X$3,Y93=""),AC93,IF(AND(P93='G-1 All Habitats'!$X$3,AC93="None",AC93),IF(AND(P93='G-1 All Habitats'!$X$3,AC93&gt;0),H93-S93-T93))))))))</f>
        <v/>
      </c>
      <c r="X93" s="378" t="str">
        <f>IFERROR(IF(H93="","",IF(H93-S93-T93=0&lt;0,"Error in Areas ▲",IF(S93+T93&gt;H93,"Error in Areas ▲",IF(AND(P93='G-1 All Habitats'!$X$3,Y93="Yes"),"Alternative Compensation ✓",IF(W93=0,0,IF(P93='G-1 All Habitats'!$X$3,"Any Loss Unacceptable ▲",Q93-U93-V93)))))),"Check Data ▲")</f>
        <v/>
      </c>
      <c r="Y93" s="55"/>
      <c r="Z93" s="62"/>
      <c r="AA93" s="526"/>
      <c r="AB93" s="120"/>
      <c r="AC93" s="726" t="str">
        <f>IF(P93="","",IF(P93='G-1 All Habitats'!$X$3,H93-S93-T93,"None"))</f>
        <v/>
      </c>
      <c r="AD93" s="727" t="str">
        <f>IF(P93="","", IF(P93='G-1 All Habitats'!$X$3, AC93*J93*L93*O93,"None"))</f>
        <v/>
      </c>
      <c r="AF93" s="40" t="str">
        <f t="shared" si="5"/>
        <v/>
      </c>
      <c r="AG93" s="40" t="str">
        <f t="shared" si="6"/>
        <v/>
      </c>
      <c r="AH93" s="40" t="str">
        <f>IF(I93="","",IF(#REF!&gt;0,TRUE,FALSE))</f>
        <v/>
      </c>
      <c r="AI93" s="40">
        <v>83</v>
      </c>
      <c r="AJ93" s="40"/>
      <c r="AK93" s="40" t="str">
        <f t="array" ref="AK93">IFERROR(INDEX($AI$11:$AI$259, MATCH(0, IF(TRUE=$AF$11:$AF$259, COUNTIF($AK$10:$AK92, $AI$11:$AI$259), ""), 0)),"")</f>
        <v/>
      </c>
      <c r="AL93" s="40" t="str">
        <f t="array" ref="AL93">IFERROR(INDEX($AI$11:$AI$259, MATCH(0, IF(TRUE=$AG$11:$AG$259, COUNTIF($AL$10:$AL92, $AI$11:$AI$259), ""), 0)),"")</f>
        <v/>
      </c>
      <c r="AM93" s="40" t="str">
        <f t="array" ref="AM93">IFERROR(INDEX($AI$11:$AI$259, MATCH(0, IF(TRUE=$AH$11:$AH$259, COUNTIF($AM$10:$AM92, $AI$11:$AI$259), ""), 0)),"")</f>
        <v/>
      </c>
      <c r="AN93" s="40"/>
      <c r="AQ93" s="35">
        <f t="shared" si="7"/>
        <v>0</v>
      </c>
    </row>
    <row r="94" spans="1:43">
      <c r="A94" s="35" t="str">
        <f>IFERROR(INDEX('G-1 All Habitats'!$AG$3:$AG$17,MATCH(E94,'G-1 All Habitats'!$AF$3:$AF$17,0)),"")</f>
        <v/>
      </c>
      <c r="B94" s="35" t="str">
        <f>IFERROR(INDEX('G-8 Condition Look up'!$I$4:$I$135,MATCH(G94,'G-8 Condition Look up'!$A$4:$A$135,0)),"")</f>
        <v/>
      </c>
      <c r="D94" s="287">
        <v>84</v>
      </c>
      <c r="E94" s="267"/>
      <c r="F94" s="61"/>
      <c r="G94" s="52" t="str">
        <f>IFERROR(INDEX('G-1 All Habitats'!$B$3:$B$134,MATCH(F94,'G-1 All Habitats'!$A$3:$A$134,0)),"")</f>
        <v/>
      </c>
      <c r="H94" s="53"/>
      <c r="I94" s="362" t="str">
        <f>IF(G94="","",VLOOKUP(G94,'G-1 All Habitats'!$B$2:$M$134,10,FALSE))</f>
        <v/>
      </c>
      <c r="J94" s="363" t="str">
        <f>IFERROR(VLOOKUP(I94,'G-1 All Habitats'!$V$3:$W$7,2,FALSE),"")</f>
        <v/>
      </c>
      <c r="K94" s="54"/>
      <c r="L94" s="363" t="str">
        <f>IFERROR(INDEX('G-8 Condition Look up'!$A$3:$H$135,MATCH(G94,'G-8 Condition Look up'!$A$3:$A$135,0),MATCH(K94,'G-8 Condition Look up'!$A$3:$H$3,0)),"")</f>
        <v/>
      </c>
      <c r="M94" s="54"/>
      <c r="N94" s="382" t="str">
        <f>IF(M94="","",IF(VLOOKUP(M94,'G-3 Multipliers'!$L$3:$N$6,2,FALSE)=0,"Spatial Data Missing",VLOOKUP(M94,'G-3 Multipliers'!$L$3:$N$6,2,FALSE)))</f>
        <v/>
      </c>
      <c r="O94" s="368" t="str">
        <f>IF(M94="","",IF(VLOOKUP(M94,'G-3 Multipliers'!$L$3:$N$6,3,FALSE)=0,"Spatial Data Missing ▲",VLOOKUP(M94,'G-3 Multipliers'!$L$3:$N$6,3,FALSE)))</f>
        <v/>
      </c>
      <c r="P94" s="369" t="str">
        <f>IFERROR(VLOOKUP(G94,'G-1 All Habitats'!$B$2:$M$134,12,FALSE),"")</f>
        <v/>
      </c>
      <c r="Q94" s="376" t="str">
        <f>IFERROR(IF(P94="","",IF(AND(P94='G-1 All Habitats'!$X$3,T94&gt;0),U94+V94,IF(AND(P94='G-1 All Habitats'!$X$3,S94&gt;0),U94+V94,IF(AND(P94='G-1 All Habitats'!$X$3,AC94&gt;0),"Any Loss Unacceptable ⚠",IF(AND(P94='G-1 All Habitats'!$X$3,W94&gt;0),"Any Loss Unacceptable ⚠",H94*J94*L94*O94))))),"Check Data ▲")</f>
        <v/>
      </c>
      <c r="R94" s="38"/>
      <c r="S94" s="54"/>
      <c r="T94" s="55"/>
      <c r="U94" s="374" t="str">
        <f t="shared" si="8"/>
        <v/>
      </c>
      <c r="V94" s="374" t="str">
        <f t="shared" si="9"/>
        <v/>
      </c>
      <c r="W94" s="374" t="str">
        <f>IF(E94="","",IF(H94&lt;S94+T94,"Error in Areas ▲",IF(P94&lt;&gt;'G-1 All Habitats'!$X$3,H94-S94-T94,IF(AND(P94='G-1 All Habitats'!$X$3,Y94="Yes"),"Unacceptable Loss ⚠",IF(AND(P94='G-1 All Habitats'!$X$3,Y94="No"),AC94,IF(AND(P94='G-1 All Habitats'!$X$3,Y94=""),AC94,IF(AND(P94='G-1 All Habitats'!$X$3,AC94="None",AC94),IF(AND(P94='G-1 All Habitats'!$X$3,AC94&gt;0),H94-S94-T94))))))))</f>
        <v/>
      </c>
      <c r="X94" s="378" t="str">
        <f>IFERROR(IF(H94="","",IF(H94-S94-T94=0&lt;0,"Error in Areas ▲",IF(S94+T94&gt;H94,"Error in Areas ▲",IF(AND(P94='G-1 All Habitats'!$X$3,Y94="Yes"),"Alternative Compensation ✓",IF(W94=0,0,IF(P94='G-1 All Habitats'!$X$3,"Any Loss Unacceptable ▲",Q94-U94-V94)))))),"Check Data ▲")</f>
        <v/>
      </c>
      <c r="Y94" s="55"/>
      <c r="Z94" s="62"/>
      <c r="AA94" s="526"/>
      <c r="AB94" s="120"/>
      <c r="AC94" s="726" t="str">
        <f>IF(P94="","",IF(P94='G-1 All Habitats'!$X$3,H94-S94-T94,"None"))</f>
        <v/>
      </c>
      <c r="AD94" s="727" t="str">
        <f>IF(P94="","", IF(P94='G-1 All Habitats'!$X$3, AC94*J94*L94*O94,"None"))</f>
        <v/>
      </c>
      <c r="AF94" s="40" t="str">
        <f t="shared" si="5"/>
        <v/>
      </c>
      <c r="AG94" s="40" t="str">
        <f t="shared" si="6"/>
        <v/>
      </c>
      <c r="AH94" s="40" t="str">
        <f>IF(I94="","",IF(#REF!&gt;0,TRUE,FALSE))</f>
        <v/>
      </c>
      <c r="AI94" s="40">
        <v>84</v>
      </c>
      <c r="AJ94" s="40"/>
      <c r="AK94" s="40" t="str">
        <f t="array" ref="AK94">IFERROR(INDEX($AI$11:$AI$259, MATCH(0, IF(TRUE=$AF$11:$AF$259, COUNTIF($AK$10:$AK93, $AI$11:$AI$259), ""), 0)),"")</f>
        <v/>
      </c>
      <c r="AL94" s="40" t="str">
        <f t="array" ref="AL94">IFERROR(INDEX($AI$11:$AI$259, MATCH(0, IF(TRUE=$AG$11:$AG$259, COUNTIF($AL$10:$AL93, $AI$11:$AI$259), ""), 0)),"")</f>
        <v/>
      </c>
      <c r="AM94" s="40" t="str">
        <f t="array" ref="AM94">IFERROR(INDEX($AI$11:$AI$259, MATCH(0, IF(TRUE=$AH$11:$AH$259, COUNTIF($AM$10:$AM93, $AI$11:$AI$259), ""), 0)),"")</f>
        <v/>
      </c>
      <c r="AN94" s="40"/>
      <c r="AQ94" s="35">
        <f t="shared" si="7"/>
        <v>0</v>
      </c>
    </row>
    <row r="95" spans="1:43">
      <c r="A95" s="35" t="str">
        <f>IFERROR(INDEX('G-1 All Habitats'!$AG$3:$AG$17,MATCH(E95,'G-1 All Habitats'!$AF$3:$AF$17,0)),"")</f>
        <v/>
      </c>
      <c r="B95" s="35" t="str">
        <f>IFERROR(INDEX('G-8 Condition Look up'!$I$4:$I$135,MATCH(G95,'G-8 Condition Look up'!$A$4:$A$135,0)),"")</f>
        <v/>
      </c>
      <c r="D95" s="287">
        <v>85</v>
      </c>
      <c r="E95" s="267"/>
      <c r="F95" s="61"/>
      <c r="G95" s="52" t="str">
        <f>IFERROR(INDEX('G-1 All Habitats'!$B$3:$B$134,MATCH(F95,'G-1 All Habitats'!$A$3:$A$134,0)),"")</f>
        <v/>
      </c>
      <c r="H95" s="53"/>
      <c r="I95" s="362" t="str">
        <f>IF(G95="","",VLOOKUP(G95,'G-1 All Habitats'!$B$2:$M$134,10,FALSE))</f>
        <v/>
      </c>
      <c r="J95" s="363" t="str">
        <f>IFERROR(VLOOKUP(I95,'G-1 All Habitats'!$V$3:$W$7,2,FALSE),"")</f>
        <v/>
      </c>
      <c r="K95" s="54"/>
      <c r="L95" s="363" t="str">
        <f>IFERROR(INDEX('G-8 Condition Look up'!$A$3:$H$135,MATCH(G95,'G-8 Condition Look up'!$A$3:$A$135,0),MATCH(K95,'G-8 Condition Look up'!$A$3:$H$3,0)),"")</f>
        <v/>
      </c>
      <c r="M95" s="54"/>
      <c r="N95" s="382" t="str">
        <f>IF(M95="","",IF(VLOOKUP(M95,'G-3 Multipliers'!$L$3:$N$6,2,FALSE)=0,"Spatial Data Missing",VLOOKUP(M95,'G-3 Multipliers'!$L$3:$N$6,2,FALSE)))</f>
        <v/>
      </c>
      <c r="O95" s="368" t="str">
        <f>IF(M95="","",IF(VLOOKUP(M95,'G-3 Multipliers'!$L$3:$N$6,3,FALSE)=0,"Spatial Data Missing ▲",VLOOKUP(M95,'G-3 Multipliers'!$L$3:$N$6,3,FALSE)))</f>
        <v/>
      </c>
      <c r="P95" s="369" t="str">
        <f>IFERROR(VLOOKUP(G95,'G-1 All Habitats'!$B$2:$M$134,12,FALSE),"")</f>
        <v/>
      </c>
      <c r="Q95" s="376" t="str">
        <f>IFERROR(IF(P95="","",IF(AND(P95='G-1 All Habitats'!$X$3,T95&gt;0),U95+V95,IF(AND(P95='G-1 All Habitats'!$X$3,S95&gt;0),U95+V95,IF(AND(P95='G-1 All Habitats'!$X$3,AC95&gt;0),"Any Loss Unacceptable ⚠",IF(AND(P95='G-1 All Habitats'!$X$3,W95&gt;0),"Any Loss Unacceptable ⚠",H95*J95*L95*O95))))),"Check Data ▲")</f>
        <v/>
      </c>
      <c r="R95" s="38"/>
      <c r="S95" s="54"/>
      <c r="T95" s="55"/>
      <c r="U95" s="374" t="str">
        <f t="shared" si="8"/>
        <v/>
      </c>
      <c r="V95" s="374" t="str">
        <f t="shared" si="9"/>
        <v/>
      </c>
      <c r="W95" s="374" t="str">
        <f>IF(E95="","",IF(H95&lt;S95+T95,"Error in Areas ▲",IF(P95&lt;&gt;'G-1 All Habitats'!$X$3,H95-S95-T95,IF(AND(P95='G-1 All Habitats'!$X$3,Y95="Yes"),"Unacceptable Loss ⚠",IF(AND(P95='G-1 All Habitats'!$X$3,Y95="No"),AC95,IF(AND(P95='G-1 All Habitats'!$X$3,Y95=""),AC95,IF(AND(P95='G-1 All Habitats'!$X$3,AC95="None",AC95),IF(AND(P95='G-1 All Habitats'!$X$3,AC95&gt;0),H95-S95-T95))))))))</f>
        <v/>
      </c>
      <c r="X95" s="378" t="str">
        <f>IFERROR(IF(H95="","",IF(H95-S95-T95=0&lt;0,"Error in Areas ▲",IF(S95+T95&gt;H95,"Error in Areas ▲",IF(AND(P95='G-1 All Habitats'!$X$3,Y95="Yes"),"Alternative Compensation ✓",IF(W95=0,0,IF(P95='G-1 All Habitats'!$X$3,"Any Loss Unacceptable ▲",Q95-U95-V95)))))),"Check Data ▲")</f>
        <v/>
      </c>
      <c r="Y95" s="55"/>
      <c r="Z95" s="62"/>
      <c r="AA95" s="526"/>
      <c r="AB95" s="120"/>
      <c r="AC95" s="726" t="str">
        <f>IF(P95="","",IF(P95='G-1 All Habitats'!$X$3,H95-S95-T95,"None"))</f>
        <v/>
      </c>
      <c r="AD95" s="727" t="str">
        <f>IF(P95="","", IF(P95='G-1 All Habitats'!$X$3, AC95*J95*L95*O95,"None"))</f>
        <v/>
      </c>
      <c r="AF95" s="40" t="str">
        <f t="shared" si="5"/>
        <v/>
      </c>
      <c r="AG95" s="40" t="str">
        <f t="shared" si="6"/>
        <v/>
      </c>
      <c r="AH95" s="40" t="str">
        <f>IF(I95="","",IF(#REF!&gt;0,TRUE,FALSE))</f>
        <v/>
      </c>
      <c r="AI95" s="40">
        <v>85</v>
      </c>
      <c r="AJ95" s="40"/>
      <c r="AK95" s="40" t="str">
        <f t="array" ref="AK95">IFERROR(INDEX($AI$11:$AI$259, MATCH(0, IF(TRUE=$AF$11:$AF$259, COUNTIF($AK$10:$AK94, $AI$11:$AI$259), ""), 0)),"")</f>
        <v/>
      </c>
      <c r="AL95" s="40" t="str">
        <f t="array" ref="AL95">IFERROR(INDEX($AI$11:$AI$259, MATCH(0, IF(TRUE=$AG$11:$AG$259, COUNTIF($AL$10:$AL94, $AI$11:$AI$259), ""), 0)),"")</f>
        <v/>
      </c>
      <c r="AM95" s="40" t="str">
        <f t="array" ref="AM95">IFERROR(INDEX($AI$11:$AI$259, MATCH(0, IF(TRUE=$AH$11:$AH$259, COUNTIF($AM$10:$AM94, $AI$11:$AI$259), ""), 0)),"")</f>
        <v/>
      </c>
      <c r="AN95" s="40"/>
      <c r="AQ95" s="35">
        <f t="shared" si="7"/>
        <v>0</v>
      </c>
    </row>
    <row r="96" spans="1:43">
      <c r="A96" s="35" t="str">
        <f>IFERROR(INDEX('G-1 All Habitats'!$AG$3:$AG$17,MATCH(E96,'G-1 All Habitats'!$AF$3:$AF$17,0)),"")</f>
        <v/>
      </c>
      <c r="B96" s="35" t="str">
        <f>IFERROR(INDEX('G-8 Condition Look up'!$I$4:$I$135,MATCH(G96,'G-8 Condition Look up'!$A$4:$A$135,0)),"")</f>
        <v/>
      </c>
      <c r="D96" s="287">
        <v>86</v>
      </c>
      <c r="E96" s="267"/>
      <c r="F96" s="61"/>
      <c r="G96" s="52" t="str">
        <f>IFERROR(INDEX('G-1 All Habitats'!$B$3:$B$134,MATCH(F96,'G-1 All Habitats'!$A$3:$A$134,0)),"")</f>
        <v/>
      </c>
      <c r="H96" s="53"/>
      <c r="I96" s="362" t="str">
        <f>IF(G96="","",VLOOKUP(G96,'G-1 All Habitats'!$B$2:$M$134,10,FALSE))</f>
        <v/>
      </c>
      <c r="J96" s="363" t="str">
        <f>IFERROR(VLOOKUP(I96,'G-1 All Habitats'!$V$3:$W$7,2,FALSE),"")</f>
        <v/>
      </c>
      <c r="K96" s="54"/>
      <c r="L96" s="363" t="str">
        <f>IFERROR(INDEX('G-8 Condition Look up'!$A$3:$H$135,MATCH(G96,'G-8 Condition Look up'!$A$3:$A$135,0),MATCH(K96,'G-8 Condition Look up'!$A$3:$H$3,0)),"")</f>
        <v/>
      </c>
      <c r="M96" s="54"/>
      <c r="N96" s="382" t="str">
        <f>IF(M96="","",IF(VLOOKUP(M96,'G-3 Multipliers'!$L$3:$N$6,2,FALSE)=0,"Spatial Data Missing",VLOOKUP(M96,'G-3 Multipliers'!$L$3:$N$6,2,FALSE)))</f>
        <v/>
      </c>
      <c r="O96" s="368" t="str">
        <f>IF(M96="","",IF(VLOOKUP(M96,'G-3 Multipliers'!$L$3:$N$6,3,FALSE)=0,"Spatial Data Missing ▲",VLOOKUP(M96,'G-3 Multipliers'!$L$3:$N$6,3,FALSE)))</f>
        <v/>
      </c>
      <c r="P96" s="369" t="str">
        <f>IFERROR(VLOOKUP(G96,'G-1 All Habitats'!$B$2:$M$134,12,FALSE),"")</f>
        <v/>
      </c>
      <c r="Q96" s="376" t="str">
        <f>IFERROR(IF(P96="","",IF(AND(P96='G-1 All Habitats'!$X$3,T96&gt;0),U96+V96,IF(AND(P96='G-1 All Habitats'!$X$3,S96&gt;0),U96+V96,IF(AND(P96='G-1 All Habitats'!$X$3,AC96&gt;0),"Any Loss Unacceptable ⚠",IF(AND(P96='G-1 All Habitats'!$X$3,W96&gt;0),"Any Loss Unacceptable ⚠",H96*J96*L96*O96))))),"Check Data ▲")</f>
        <v/>
      </c>
      <c r="R96" s="38"/>
      <c r="S96" s="54"/>
      <c r="T96" s="55"/>
      <c r="U96" s="374" t="str">
        <f t="shared" si="8"/>
        <v/>
      </c>
      <c r="V96" s="374" t="str">
        <f t="shared" si="9"/>
        <v/>
      </c>
      <c r="W96" s="374" t="str">
        <f>IF(E96="","",IF(H96&lt;S96+T96,"Error in Areas ▲",IF(P96&lt;&gt;'G-1 All Habitats'!$X$3,H96-S96-T96,IF(AND(P96='G-1 All Habitats'!$X$3,Y96="Yes"),"Unacceptable Loss ⚠",IF(AND(P96='G-1 All Habitats'!$X$3,Y96="No"),AC96,IF(AND(P96='G-1 All Habitats'!$X$3,Y96=""),AC96,IF(AND(P96='G-1 All Habitats'!$X$3,AC96="None",AC96),IF(AND(P96='G-1 All Habitats'!$X$3,AC96&gt;0),H96-S96-T96))))))))</f>
        <v/>
      </c>
      <c r="X96" s="378" t="str">
        <f>IFERROR(IF(H96="","",IF(H96-S96-T96=0&lt;0,"Error in Areas ▲",IF(S96+T96&gt;H96,"Error in Areas ▲",IF(AND(P96='G-1 All Habitats'!$X$3,Y96="Yes"),"Alternative Compensation ✓",IF(W96=0,0,IF(P96='G-1 All Habitats'!$X$3,"Any Loss Unacceptable ▲",Q96-U96-V96)))))),"Check Data ▲")</f>
        <v/>
      </c>
      <c r="Y96" s="55"/>
      <c r="Z96" s="62"/>
      <c r="AA96" s="526"/>
      <c r="AB96" s="120"/>
      <c r="AC96" s="726" t="str">
        <f>IF(P96="","",IF(P96='G-1 All Habitats'!$X$3,H96-S96-T96,"None"))</f>
        <v/>
      </c>
      <c r="AD96" s="727" t="str">
        <f>IF(P96="","", IF(P96='G-1 All Habitats'!$X$3, AC96*J96*L96*O96,"None"))</f>
        <v/>
      </c>
      <c r="AF96" s="40" t="str">
        <f t="shared" si="5"/>
        <v/>
      </c>
      <c r="AG96" s="40" t="str">
        <f t="shared" si="6"/>
        <v/>
      </c>
      <c r="AH96" s="40" t="str">
        <f>IF(I96="","",IF(#REF!&gt;0,TRUE,FALSE))</f>
        <v/>
      </c>
      <c r="AI96" s="40">
        <v>86</v>
      </c>
      <c r="AJ96" s="40"/>
      <c r="AK96" s="40" t="str">
        <f t="array" ref="AK96">IFERROR(INDEX($AI$11:$AI$259, MATCH(0, IF(TRUE=$AF$11:$AF$259, COUNTIF($AK$10:$AK95, $AI$11:$AI$259), ""), 0)),"")</f>
        <v/>
      </c>
      <c r="AL96" s="40" t="str">
        <f t="array" ref="AL96">IFERROR(INDEX($AI$11:$AI$259, MATCH(0, IF(TRUE=$AG$11:$AG$259, COUNTIF($AL$10:$AL95, $AI$11:$AI$259), ""), 0)),"")</f>
        <v/>
      </c>
      <c r="AM96" s="40" t="str">
        <f t="array" ref="AM96">IFERROR(INDEX($AI$11:$AI$259, MATCH(0, IF(TRUE=$AH$11:$AH$259, COUNTIF($AM$10:$AM95, $AI$11:$AI$259), ""), 0)),"")</f>
        <v/>
      </c>
      <c r="AN96" s="40"/>
      <c r="AQ96" s="35">
        <f t="shared" si="7"/>
        <v>0</v>
      </c>
    </row>
    <row r="97" spans="1:43">
      <c r="A97" s="35" t="str">
        <f>IFERROR(INDEX('G-1 All Habitats'!$AG$3:$AG$17,MATCH(E97,'G-1 All Habitats'!$AF$3:$AF$17,0)),"")</f>
        <v/>
      </c>
      <c r="B97" s="35" t="str">
        <f>IFERROR(INDEX('G-8 Condition Look up'!$I$4:$I$135,MATCH(G97,'G-8 Condition Look up'!$A$4:$A$135,0)),"")</f>
        <v/>
      </c>
      <c r="D97" s="287">
        <v>87</v>
      </c>
      <c r="E97" s="267"/>
      <c r="F97" s="61"/>
      <c r="G97" s="52" t="str">
        <f>IFERROR(INDEX('G-1 All Habitats'!$B$3:$B$134,MATCH(F97,'G-1 All Habitats'!$A$3:$A$134,0)),"")</f>
        <v/>
      </c>
      <c r="H97" s="53"/>
      <c r="I97" s="362" t="str">
        <f>IF(G97="","",VLOOKUP(G97,'G-1 All Habitats'!$B$2:$M$134,10,FALSE))</f>
        <v/>
      </c>
      <c r="J97" s="363" t="str">
        <f>IFERROR(VLOOKUP(I97,'G-1 All Habitats'!$V$3:$W$7,2,FALSE),"")</f>
        <v/>
      </c>
      <c r="K97" s="54"/>
      <c r="L97" s="363" t="str">
        <f>IFERROR(INDEX('G-8 Condition Look up'!$A$3:$H$135,MATCH(G97,'G-8 Condition Look up'!$A$3:$A$135,0),MATCH(K97,'G-8 Condition Look up'!$A$3:$H$3,0)),"")</f>
        <v/>
      </c>
      <c r="M97" s="54"/>
      <c r="N97" s="382" t="str">
        <f>IF(M97="","",IF(VLOOKUP(M97,'G-3 Multipliers'!$L$3:$N$6,2,FALSE)=0,"Spatial Data Missing",VLOOKUP(M97,'G-3 Multipliers'!$L$3:$N$6,2,FALSE)))</f>
        <v/>
      </c>
      <c r="O97" s="368" t="str">
        <f>IF(M97="","",IF(VLOOKUP(M97,'G-3 Multipliers'!$L$3:$N$6,3,FALSE)=0,"Spatial Data Missing ▲",VLOOKUP(M97,'G-3 Multipliers'!$L$3:$N$6,3,FALSE)))</f>
        <v/>
      </c>
      <c r="P97" s="369" t="str">
        <f>IFERROR(VLOOKUP(G97,'G-1 All Habitats'!$B$2:$M$134,12,FALSE),"")</f>
        <v/>
      </c>
      <c r="Q97" s="376" t="str">
        <f>IFERROR(IF(P97="","",IF(AND(P97='G-1 All Habitats'!$X$3,T97&gt;0),U97+V97,IF(AND(P97='G-1 All Habitats'!$X$3,S97&gt;0),U97+V97,IF(AND(P97='G-1 All Habitats'!$X$3,AC97&gt;0),"Any Loss Unacceptable ⚠",IF(AND(P97='G-1 All Habitats'!$X$3,W97&gt;0),"Any Loss Unacceptable ⚠",H97*J97*L97*O97))))),"Check Data ▲")</f>
        <v/>
      </c>
      <c r="R97" s="38"/>
      <c r="S97" s="54"/>
      <c r="T97" s="55"/>
      <c r="U97" s="374" t="str">
        <f t="shared" si="8"/>
        <v/>
      </c>
      <c r="V97" s="374" t="str">
        <f t="shared" si="9"/>
        <v/>
      </c>
      <c r="W97" s="374" t="str">
        <f>IF(E97="","",IF(H97&lt;S97+T97,"Error in Areas ▲",IF(P97&lt;&gt;'G-1 All Habitats'!$X$3,H97-S97-T97,IF(AND(P97='G-1 All Habitats'!$X$3,Y97="Yes"),"Unacceptable Loss ⚠",IF(AND(P97='G-1 All Habitats'!$X$3,Y97="No"),AC97,IF(AND(P97='G-1 All Habitats'!$X$3,Y97=""),AC97,IF(AND(P97='G-1 All Habitats'!$X$3,AC97="None",AC97),IF(AND(P97='G-1 All Habitats'!$X$3,AC97&gt;0),H97-S97-T97))))))))</f>
        <v/>
      </c>
      <c r="X97" s="378" t="str">
        <f>IFERROR(IF(H97="","",IF(H97-S97-T97=0&lt;0,"Error in Areas ▲",IF(S97+T97&gt;H97,"Error in Areas ▲",IF(AND(P97='G-1 All Habitats'!$X$3,Y97="Yes"),"Alternative Compensation ✓",IF(W97=0,0,IF(P97='G-1 All Habitats'!$X$3,"Any Loss Unacceptable ▲",Q97-U97-V97)))))),"Check Data ▲")</f>
        <v/>
      </c>
      <c r="Y97" s="55"/>
      <c r="Z97" s="62"/>
      <c r="AA97" s="526"/>
      <c r="AB97" s="120"/>
      <c r="AC97" s="726" t="str">
        <f>IF(P97="","",IF(P97='G-1 All Habitats'!$X$3,H97-S97-T97,"None"))</f>
        <v/>
      </c>
      <c r="AD97" s="727" t="str">
        <f>IF(P97="","", IF(P97='G-1 All Habitats'!$X$3, AC97*J97*L97*O97,"None"))</f>
        <v/>
      </c>
      <c r="AF97" s="40" t="str">
        <f t="shared" si="5"/>
        <v/>
      </c>
      <c r="AG97" s="40" t="str">
        <f t="shared" si="6"/>
        <v/>
      </c>
      <c r="AH97" s="40" t="str">
        <f>IF(I97="","",IF(#REF!&gt;0,TRUE,FALSE))</f>
        <v/>
      </c>
      <c r="AI97" s="40">
        <v>87</v>
      </c>
      <c r="AJ97" s="40"/>
      <c r="AK97" s="40" t="str">
        <f t="array" ref="AK97">IFERROR(INDEX($AI$11:$AI$259, MATCH(0, IF(TRUE=$AF$11:$AF$259, COUNTIF($AK$10:$AK96, $AI$11:$AI$259), ""), 0)),"")</f>
        <v/>
      </c>
      <c r="AL97" s="40" t="str">
        <f t="array" ref="AL97">IFERROR(INDEX($AI$11:$AI$259, MATCH(0, IF(TRUE=$AG$11:$AG$259, COUNTIF($AL$10:$AL96, $AI$11:$AI$259), ""), 0)),"")</f>
        <v/>
      </c>
      <c r="AM97" s="40" t="str">
        <f t="array" ref="AM97">IFERROR(INDEX($AI$11:$AI$259, MATCH(0, IF(TRUE=$AH$11:$AH$259, COUNTIF($AM$10:$AM96, $AI$11:$AI$259), ""), 0)),"")</f>
        <v/>
      </c>
      <c r="AN97" s="40"/>
      <c r="AQ97" s="35">
        <f t="shared" si="7"/>
        <v>0</v>
      </c>
    </row>
    <row r="98" spans="1:43">
      <c r="A98" s="35" t="str">
        <f>IFERROR(INDEX('G-1 All Habitats'!$AG$3:$AG$17,MATCH(E98,'G-1 All Habitats'!$AF$3:$AF$17,0)),"")</f>
        <v/>
      </c>
      <c r="B98" s="35" t="str">
        <f>IFERROR(INDEX('G-8 Condition Look up'!$I$4:$I$135,MATCH(G98,'G-8 Condition Look up'!$A$4:$A$135,0)),"")</f>
        <v/>
      </c>
      <c r="D98" s="287">
        <v>88</v>
      </c>
      <c r="E98" s="267"/>
      <c r="F98" s="61"/>
      <c r="G98" s="52" t="str">
        <f>IFERROR(INDEX('G-1 All Habitats'!$B$3:$B$134,MATCH(F98,'G-1 All Habitats'!$A$3:$A$134,0)),"")</f>
        <v/>
      </c>
      <c r="H98" s="53"/>
      <c r="I98" s="362" t="str">
        <f>IF(G98="","",VLOOKUP(G98,'G-1 All Habitats'!$B$2:$M$134,10,FALSE))</f>
        <v/>
      </c>
      <c r="J98" s="363" t="str">
        <f>IFERROR(VLOOKUP(I98,'G-1 All Habitats'!$V$3:$W$7,2,FALSE),"")</f>
        <v/>
      </c>
      <c r="K98" s="54"/>
      <c r="L98" s="363" t="str">
        <f>IFERROR(INDEX('G-8 Condition Look up'!$A$3:$H$135,MATCH(G98,'G-8 Condition Look up'!$A$3:$A$135,0),MATCH(K98,'G-8 Condition Look up'!$A$3:$H$3,0)),"")</f>
        <v/>
      </c>
      <c r="M98" s="54"/>
      <c r="N98" s="382" t="str">
        <f>IF(M98="","",IF(VLOOKUP(M98,'G-3 Multipliers'!$L$3:$N$6,2,FALSE)=0,"Spatial Data Missing",VLOOKUP(M98,'G-3 Multipliers'!$L$3:$N$6,2,FALSE)))</f>
        <v/>
      </c>
      <c r="O98" s="368" t="str">
        <f>IF(M98="","",IF(VLOOKUP(M98,'G-3 Multipliers'!$L$3:$N$6,3,FALSE)=0,"Spatial Data Missing ▲",VLOOKUP(M98,'G-3 Multipliers'!$L$3:$N$6,3,FALSE)))</f>
        <v/>
      </c>
      <c r="P98" s="369" t="str">
        <f>IFERROR(VLOOKUP(G98,'G-1 All Habitats'!$B$2:$M$134,12,FALSE),"")</f>
        <v/>
      </c>
      <c r="Q98" s="376" t="str">
        <f>IFERROR(IF(P98="","",IF(AND(P98='G-1 All Habitats'!$X$3,T98&gt;0),U98+V98,IF(AND(P98='G-1 All Habitats'!$X$3,S98&gt;0),U98+V98,IF(AND(P98='G-1 All Habitats'!$X$3,AC98&gt;0),"Any Loss Unacceptable ⚠",IF(AND(P98='G-1 All Habitats'!$X$3,W98&gt;0),"Any Loss Unacceptable ⚠",H98*J98*L98*O98))))),"Check Data ▲")</f>
        <v/>
      </c>
      <c r="R98" s="38"/>
      <c r="S98" s="54"/>
      <c r="T98" s="55"/>
      <c r="U98" s="374" t="str">
        <f t="shared" si="8"/>
        <v/>
      </c>
      <c r="V98" s="374" t="str">
        <f t="shared" si="9"/>
        <v/>
      </c>
      <c r="W98" s="374" t="str">
        <f>IF(E98="","",IF(H98&lt;S98+T98,"Error in Areas ▲",IF(P98&lt;&gt;'G-1 All Habitats'!$X$3,H98-S98-T98,IF(AND(P98='G-1 All Habitats'!$X$3,Y98="Yes"),"Unacceptable Loss ⚠",IF(AND(P98='G-1 All Habitats'!$X$3,Y98="No"),AC98,IF(AND(P98='G-1 All Habitats'!$X$3,Y98=""),AC98,IF(AND(P98='G-1 All Habitats'!$X$3,AC98="None",AC98),IF(AND(P98='G-1 All Habitats'!$X$3,AC98&gt;0),H98-S98-T98))))))))</f>
        <v/>
      </c>
      <c r="X98" s="378" t="str">
        <f>IFERROR(IF(H98="","",IF(H98-S98-T98=0&lt;0,"Error in Areas ▲",IF(S98+T98&gt;H98,"Error in Areas ▲",IF(AND(P98='G-1 All Habitats'!$X$3,Y98="Yes"),"Alternative Compensation ✓",IF(W98=0,0,IF(P98='G-1 All Habitats'!$X$3,"Any Loss Unacceptable ▲",Q98-U98-V98)))))),"Check Data ▲")</f>
        <v/>
      </c>
      <c r="Y98" s="55"/>
      <c r="Z98" s="62"/>
      <c r="AA98" s="526"/>
      <c r="AB98" s="120"/>
      <c r="AC98" s="726" t="str">
        <f>IF(P98="","",IF(P98='G-1 All Habitats'!$X$3,H98-S98-T98,"None"))</f>
        <v/>
      </c>
      <c r="AD98" s="727" t="str">
        <f>IF(P98="","", IF(P98='G-1 All Habitats'!$X$3, AC98*J98*L98*O98,"None"))</f>
        <v/>
      </c>
      <c r="AF98" s="40" t="str">
        <f t="shared" si="5"/>
        <v/>
      </c>
      <c r="AG98" s="40" t="str">
        <f t="shared" si="6"/>
        <v/>
      </c>
      <c r="AH98" s="40" t="str">
        <f>IF(I98="","",IF(#REF!&gt;0,TRUE,FALSE))</f>
        <v/>
      </c>
      <c r="AI98" s="40">
        <v>88</v>
      </c>
      <c r="AJ98" s="40"/>
      <c r="AK98" s="40" t="str">
        <f t="array" ref="AK98">IFERROR(INDEX($AI$11:$AI$259, MATCH(0, IF(TRUE=$AF$11:$AF$259, COUNTIF($AK$10:$AK97, $AI$11:$AI$259), ""), 0)),"")</f>
        <v/>
      </c>
      <c r="AL98" s="40" t="str">
        <f t="array" ref="AL98">IFERROR(INDEX($AI$11:$AI$259, MATCH(0, IF(TRUE=$AG$11:$AG$259, COUNTIF($AL$10:$AL97, $AI$11:$AI$259), ""), 0)),"")</f>
        <v/>
      </c>
      <c r="AM98" s="40" t="str">
        <f t="array" ref="AM98">IFERROR(INDEX($AI$11:$AI$259, MATCH(0, IF(TRUE=$AH$11:$AH$259, COUNTIF($AM$10:$AM97, $AI$11:$AI$259), ""), 0)),"")</f>
        <v/>
      </c>
      <c r="AN98" s="40"/>
      <c r="AQ98" s="35">
        <f t="shared" si="7"/>
        <v>0</v>
      </c>
    </row>
    <row r="99" spans="1:43">
      <c r="A99" s="35" t="str">
        <f>IFERROR(INDEX('G-1 All Habitats'!$AG$3:$AG$17,MATCH(E99,'G-1 All Habitats'!$AF$3:$AF$17,0)),"")</f>
        <v/>
      </c>
      <c r="B99" s="35" t="str">
        <f>IFERROR(INDEX('G-8 Condition Look up'!$I$4:$I$135,MATCH(G99,'G-8 Condition Look up'!$A$4:$A$135,0)),"")</f>
        <v/>
      </c>
      <c r="D99" s="287">
        <v>89</v>
      </c>
      <c r="E99" s="267"/>
      <c r="F99" s="61"/>
      <c r="G99" s="52" t="str">
        <f>IFERROR(INDEX('G-1 All Habitats'!$B$3:$B$134,MATCH(F99,'G-1 All Habitats'!$A$3:$A$134,0)),"")</f>
        <v/>
      </c>
      <c r="H99" s="53"/>
      <c r="I99" s="362" t="str">
        <f>IF(G99="","",VLOOKUP(G99,'G-1 All Habitats'!$B$2:$M$134,10,FALSE))</f>
        <v/>
      </c>
      <c r="J99" s="363" t="str">
        <f>IFERROR(VLOOKUP(I99,'G-1 All Habitats'!$V$3:$W$7,2,FALSE),"")</f>
        <v/>
      </c>
      <c r="K99" s="54"/>
      <c r="L99" s="363" t="str">
        <f>IFERROR(INDEX('G-8 Condition Look up'!$A$3:$H$135,MATCH(G99,'G-8 Condition Look up'!$A$3:$A$135,0),MATCH(K99,'G-8 Condition Look up'!$A$3:$H$3,0)),"")</f>
        <v/>
      </c>
      <c r="M99" s="54"/>
      <c r="N99" s="382" t="str">
        <f>IF(M99="","",IF(VLOOKUP(M99,'G-3 Multipliers'!$L$3:$N$6,2,FALSE)=0,"Spatial Data Missing",VLOOKUP(M99,'G-3 Multipliers'!$L$3:$N$6,2,FALSE)))</f>
        <v/>
      </c>
      <c r="O99" s="368" t="str">
        <f>IF(M99="","",IF(VLOOKUP(M99,'G-3 Multipliers'!$L$3:$N$6,3,FALSE)=0,"Spatial Data Missing ▲",VLOOKUP(M99,'G-3 Multipliers'!$L$3:$N$6,3,FALSE)))</f>
        <v/>
      </c>
      <c r="P99" s="369" t="str">
        <f>IFERROR(VLOOKUP(G99,'G-1 All Habitats'!$B$2:$M$134,12,FALSE),"")</f>
        <v/>
      </c>
      <c r="Q99" s="376" t="str">
        <f>IFERROR(IF(P99="","",IF(AND(P99='G-1 All Habitats'!$X$3,T99&gt;0),U99+V99,IF(AND(P99='G-1 All Habitats'!$X$3,S99&gt;0),U99+V99,IF(AND(P99='G-1 All Habitats'!$X$3,AC99&gt;0),"Any Loss Unacceptable ⚠",IF(AND(P99='G-1 All Habitats'!$X$3,W99&gt;0),"Any Loss Unacceptable ⚠",H99*J99*L99*O99))))),"Check Data ▲")</f>
        <v/>
      </c>
      <c r="R99" s="38"/>
      <c r="S99" s="54"/>
      <c r="T99" s="55"/>
      <c r="U99" s="374" t="str">
        <f t="shared" si="8"/>
        <v/>
      </c>
      <c r="V99" s="374" t="str">
        <f t="shared" si="9"/>
        <v/>
      </c>
      <c r="W99" s="374" t="str">
        <f>IF(E99="","",IF(H99&lt;S99+T99,"Error in Areas ▲",IF(P99&lt;&gt;'G-1 All Habitats'!$X$3,H99-S99-T99,IF(AND(P99='G-1 All Habitats'!$X$3,Y99="Yes"),"Unacceptable Loss ⚠",IF(AND(P99='G-1 All Habitats'!$X$3,Y99="No"),AC99,IF(AND(P99='G-1 All Habitats'!$X$3,Y99=""),AC99,IF(AND(P99='G-1 All Habitats'!$X$3,AC99="None",AC99),IF(AND(P99='G-1 All Habitats'!$X$3,AC99&gt;0),H99-S99-T99))))))))</f>
        <v/>
      </c>
      <c r="X99" s="378" t="str">
        <f>IFERROR(IF(H99="","",IF(H99-S99-T99=0&lt;0,"Error in Areas ▲",IF(S99+T99&gt;H99,"Error in Areas ▲",IF(AND(P99='G-1 All Habitats'!$X$3,Y99="Yes"),"Alternative Compensation ✓",IF(W99=0,0,IF(P99='G-1 All Habitats'!$X$3,"Any Loss Unacceptable ▲",Q99-U99-V99)))))),"Check Data ▲")</f>
        <v/>
      </c>
      <c r="Y99" s="55"/>
      <c r="Z99" s="62"/>
      <c r="AA99" s="526"/>
      <c r="AB99" s="120"/>
      <c r="AC99" s="726" t="str">
        <f>IF(P99="","",IF(P99='G-1 All Habitats'!$X$3,H99-S99-T99,"None"))</f>
        <v/>
      </c>
      <c r="AD99" s="727" t="str">
        <f>IF(P99="","", IF(P99='G-1 All Habitats'!$X$3, AC99*J99*L99*O99,"None"))</f>
        <v/>
      </c>
      <c r="AF99" s="40" t="str">
        <f t="shared" si="5"/>
        <v/>
      </c>
      <c r="AG99" s="40" t="str">
        <f t="shared" si="6"/>
        <v/>
      </c>
      <c r="AH99" s="40" t="str">
        <f>IF(I99="","",IF(#REF!&gt;0,TRUE,FALSE))</f>
        <v/>
      </c>
      <c r="AI99" s="40">
        <v>89</v>
      </c>
      <c r="AJ99" s="40"/>
      <c r="AK99" s="40" t="str">
        <f t="array" ref="AK99">IFERROR(INDEX($AI$11:$AI$259, MATCH(0, IF(TRUE=$AF$11:$AF$259, COUNTIF($AK$10:$AK98, $AI$11:$AI$259), ""), 0)),"")</f>
        <v/>
      </c>
      <c r="AL99" s="40" t="str">
        <f t="array" ref="AL99">IFERROR(INDEX($AI$11:$AI$259, MATCH(0, IF(TRUE=$AG$11:$AG$259, COUNTIF($AL$10:$AL98, $AI$11:$AI$259), ""), 0)),"")</f>
        <v/>
      </c>
      <c r="AM99" s="40" t="str">
        <f t="array" ref="AM99">IFERROR(INDEX($AI$11:$AI$259, MATCH(0, IF(TRUE=$AH$11:$AH$259, COUNTIF($AM$10:$AM98, $AI$11:$AI$259), ""), 0)),"")</f>
        <v/>
      </c>
      <c r="AN99" s="40"/>
      <c r="AQ99" s="35">
        <f t="shared" si="7"/>
        <v>0</v>
      </c>
    </row>
    <row r="100" spans="1:43">
      <c r="A100" s="35" t="str">
        <f>IFERROR(INDEX('G-1 All Habitats'!$AG$3:$AG$17,MATCH(E100,'G-1 All Habitats'!$AF$3:$AF$17,0)),"")</f>
        <v/>
      </c>
      <c r="B100" s="35" t="str">
        <f>IFERROR(INDEX('G-8 Condition Look up'!$I$4:$I$135,MATCH(G100,'G-8 Condition Look up'!$A$4:$A$135,0)),"")</f>
        <v/>
      </c>
      <c r="D100" s="287">
        <v>90</v>
      </c>
      <c r="E100" s="267"/>
      <c r="F100" s="61"/>
      <c r="G100" s="52" t="str">
        <f>IFERROR(INDEX('G-1 All Habitats'!$B$3:$B$134,MATCH(F100,'G-1 All Habitats'!$A$3:$A$134,0)),"")</f>
        <v/>
      </c>
      <c r="H100" s="53"/>
      <c r="I100" s="362" t="str">
        <f>IF(G100="","",VLOOKUP(G100,'G-1 All Habitats'!$B$2:$M$134,10,FALSE))</f>
        <v/>
      </c>
      <c r="J100" s="363" t="str">
        <f>IFERROR(VLOOKUP(I100,'G-1 All Habitats'!$V$3:$W$7,2,FALSE),"")</f>
        <v/>
      </c>
      <c r="K100" s="54"/>
      <c r="L100" s="363" t="str">
        <f>IFERROR(INDEX('G-8 Condition Look up'!$A$3:$H$135,MATCH(G100,'G-8 Condition Look up'!$A$3:$A$135,0),MATCH(K100,'G-8 Condition Look up'!$A$3:$H$3,0)),"")</f>
        <v/>
      </c>
      <c r="M100" s="54"/>
      <c r="N100" s="382" t="str">
        <f>IF(M100="","",IF(VLOOKUP(M100,'G-3 Multipliers'!$L$3:$N$6,2,FALSE)=0,"Spatial Data Missing",VLOOKUP(M100,'G-3 Multipliers'!$L$3:$N$6,2,FALSE)))</f>
        <v/>
      </c>
      <c r="O100" s="368" t="str">
        <f>IF(M100="","",IF(VLOOKUP(M100,'G-3 Multipliers'!$L$3:$N$6,3,FALSE)=0,"Spatial Data Missing ▲",VLOOKUP(M100,'G-3 Multipliers'!$L$3:$N$6,3,FALSE)))</f>
        <v/>
      </c>
      <c r="P100" s="369" t="str">
        <f>IFERROR(VLOOKUP(G100,'G-1 All Habitats'!$B$2:$M$134,12,FALSE),"")</f>
        <v/>
      </c>
      <c r="Q100" s="376" t="str">
        <f>IFERROR(IF(P100="","",IF(AND(P100='G-1 All Habitats'!$X$3,T100&gt;0),U100+V100,IF(AND(P100='G-1 All Habitats'!$X$3,S100&gt;0),U100+V100,IF(AND(P100='G-1 All Habitats'!$X$3,AC100&gt;0),"Any Loss Unacceptable ⚠",IF(AND(P100='G-1 All Habitats'!$X$3,W100&gt;0),"Any Loss Unacceptable ⚠",H100*J100*L100*O100))))),"Check Data ▲")</f>
        <v/>
      </c>
      <c r="R100" s="38"/>
      <c r="S100" s="54"/>
      <c r="T100" s="55"/>
      <c r="U100" s="374" t="str">
        <f t="shared" si="8"/>
        <v/>
      </c>
      <c r="V100" s="374" t="str">
        <f t="shared" si="9"/>
        <v/>
      </c>
      <c r="W100" s="374" t="str">
        <f>IF(E100="","",IF(H100&lt;S100+T100,"Error in Areas ▲",IF(P100&lt;&gt;'G-1 All Habitats'!$X$3,H100-S100-T100,IF(AND(P100='G-1 All Habitats'!$X$3,Y100="Yes"),"Unacceptable Loss ⚠",IF(AND(P100='G-1 All Habitats'!$X$3,Y100="No"),AC100,IF(AND(P100='G-1 All Habitats'!$X$3,Y100=""),AC100,IF(AND(P100='G-1 All Habitats'!$X$3,AC100="None",AC100),IF(AND(P100='G-1 All Habitats'!$X$3,AC100&gt;0),H100-S100-T100))))))))</f>
        <v/>
      </c>
      <c r="X100" s="378" t="str">
        <f>IFERROR(IF(H100="","",IF(H100-S100-T100=0&lt;0,"Error in Areas ▲",IF(S100+T100&gt;H100,"Error in Areas ▲",IF(AND(P100='G-1 All Habitats'!$X$3,Y100="Yes"),"Alternative Compensation ✓",IF(W100=0,0,IF(P100='G-1 All Habitats'!$X$3,"Any Loss Unacceptable ▲",Q100-U100-V100)))))),"Check Data ▲")</f>
        <v/>
      </c>
      <c r="Y100" s="55"/>
      <c r="Z100" s="62"/>
      <c r="AA100" s="526"/>
      <c r="AB100" s="120"/>
      <c r="AC100" s="726" t="str">
        <f>IF(P100="","",IF(P100='G-1 All Habitats'!$X$3,H100-S100-T100,"None"))</f>
        <v/>
      </c>
      <c r="AD100" s="727" t="str">
        <f>IF(P100="","", IF(P100='G-1 All Habitats'!$X$3, AC100*J100*L100*O100,"None"))</f>
        <v/>
      </c>
      <c r="AF100" s="40" t="str">
        <f t="shared" si="5"/>
        <v/>
      </c>
      <c r="AG100" s="40" t="str">
        <f t="shared" si="6"/>
        <v/>
      </c>
      <c r="AH100" s="40" t="str">
        <f>IF(I100="","",IF(#REF!&gt;0,TRUE,FALSE))</f>
        <v/>
      </c>
      <c r="AI100" s="40">
        <v>90</v>
      </c>
      <c r="AJ100" s="40"/>
      <c r="AK100" s="40" t="str">
        <f t="array" ref="AK100">IFERROR(INDEX($AI$11:$AI$259, MATCH(0, IF(TRUE=$AF$11:$AF$259, COUNTIF($AK$10:$AK99, $AI$11:$AI$259), ""), 0)),"")</f>
        <v/>
      </c>
      <c r="AL100" s="40" t="str">
        <f t="array" ref="AL100">IFERROR(INDEX($AI$11:$AI$259, MATCH(0, IF(TRUE=$AG$11:$AG$259, COUNTIF($AL$10:$AL99, $AI$11:$AI$259), ""), 0)),"")</f>
        <v/>
      </c>
      <c r="AM100" s="40" t="str">
        <f t="array" ref="AM100">IFERROR(INDEX($AI$11:$AI$259, MATCH(0, IF(TRUE=$AH$11:$AH$259, COUNTIF($AM$10:$AM99, $AI$11:$AI$259), ""), 0)),"")</f>
        <v/>
      </c>
      <c r="AN100" s="40"/>
      <c r="AQ100" s="35">
        <f t="shared" si="7"/>
        <v>0</v>
      </c>
    </row>
    <row r="101" spans="1:43">
      <c r="A101" s="35" t="str">
        <f>IFERROR(INDEX('G-1 All Habitats'!$AG$3:$AG$17,MATCH(E101,'G-1 All Habitats'!$AF$3:$AF$17,0)),"")</f>
        <v/>
      </c>
      <c r="B101" s="35" t="str">
        <f>IFERROR(INDEX('G-8 Condition Look up'!$I$4:$I$135,MATCH(G101,'G-8 Condition Look up'!$A$4:$A$135,0)),"")</f>
        <v/>
      </c>
      <c r="D101" s="287">
        <v>91</v>
      </c>
      <c r="E101" s="267"/>
      <c r="F101" s="61"/>
      <c r="G101" s="52" t="str">
        <f>IFERROR(INDEX('G-1 All Habitats'!$B$3:$B$134,MATCH(F101,'G-1 All Habitats'!$A$3:$A$134,0)),"")</f>
        <v/>
      </c>
      <c r="H101" s="53"/>
      <c r="I101" s="362" t="str">
        <f>IF(G101="","",VLOOKUP(G101,'G-1 All Habitats'!$B$2:$M$134,10,FALSE))</f>
        <v/>
      </c>
      <c r="J101" s="363" t="str">
        <f>IFERROR(VLOOKUP(I101,'G-1 All Habitats'!$V$3:$W$7,2,FALSE),"")</f>
        <v/>
      </c>
      <c r="K101" s="54"/>
      <c r="L101" s="363" t="str">
        <f>IFERROR(INDEX('G-8 Condition Look up'!$A$3:$H$135,MATCH(G101,'G-8 Condition Look up'!$A$3:$A$135,0),MATCH(K101,'G-8 Condition Look up'!$A$3:$H$3,0)),"")</f>
        <v/>
      </c>
      <c r="M101" s="54"/>
      <c r="N101" s="382" t="str">
        <f>IF(M101="","",IF(VLOOKUP(M101,'G-3 Multipliers'!$L$3:$N$6,2,FALSE)=0,"Spatial Data Missing",VLOOKUP(M101,'G-3 Multipliers'!$L$3:$N$6,2,FALSE)))</f>
        <v/>
      </c>
      <c r="O101" s="368" t="str">
        <f>IF(M101="","",IF(VLOOKUP(M101,'G-3 Multipliers'!$L$3:$N$6,3,FALSE)=0,"Spatial Data Missing",VLOOKUP(M101,'G-3 Multipliers'!$L$3:$N$6,3,FALSE)))</f>
        <v/>
      </c>
      <c r="P101" s="369" t="str">
        <f>IFERROR(VLOOKUP(G101,'G-1 All Habitats'!$B$2:$M$134,12,FALSE),"")</f>
        <v/>
      </c>
      <c r="Q101" s="376" t="str">
        <f>IFERROR(IF(P101="","",IF(AND(P101='G-1 All Habitats'!$X$3,T101&gt;0),U101+V101,IF(AND(P101='G-1 All Habitats'!$X$3,S101&gt;0),U101+V101,IF(AND(P101='G-1 All Habitats'!$X$3,AC101&gt;0),"Any Loss Unacceptable ⚠",IF(AND(P101='G-1 All Habitats'!$X$3,W101&gt;0),"Any Loss Unacceptable ⚠",H101*J101*L101*O101))))),"Check Data ▲")</f>
        <v/>
      </c>
      <c r="R101" s="38"/>
      <c r="S101" s="54"/>
      <c r="T101" s="55"/>
      <c r="U101" s="374" t="str">
        <f t="shared" si="8"/>
        <v/>
      </c>
      <c r="V101" s="374" t="str">
        <f t="shared" si="9"/>
        <v/>
      </c>
      <c r="W101" s="374" t="str">
        <f>IF(E101="","",IF(H101&lt;S101+T101,"Error in Areas ▲",IF(P101&lt;&gt;'G-1 All Habitats'!$X$3,H101-S101-T101,IF(AND(P101='G-1 All Habitats'!$X$3,Y101="Yes"),"Unacceptable Loss ⚠",IF(AND(P101='G-1 All Habitats'!$X$3,Y101="No"),AC101,IF(AND(P101='G-1 All Habitats'!$X$3,Y101=""),AC101,IF(AND(P101='G-1 All Habitats'!$X$3,AC101="None",AC101),IF(AND(P101='G-1 All Habitats'!$X$3,AC101&gt;0),H101-S101-T101))))))))</f>
        <v/>
      </c>
      <c r="X101" s="378" t="str">
        <f>IFERROR(IF(H101="","",IF(H101-S101-T101=0&lt;0,"Error in Areas ▲",IF(S101+T101&gt;H101,"Error in Areas ▲",IF(AND(P101='G-1 All Habitats'!$X$3,Y101="Yes"),"Alternative Compensation ✓",IF(W101=0,0,IF(P101='G-1 All Habitats'!$X$3,"Any Loss Unacceptable ▲",Q101-U101-V101)))))),"Check Data ▲")</f>
        <v/>
      </c>
      <c r="Y101" s="55"/>
      <c r="Z101" s="62"/>
      <c r="AA101" s="526"/>
      <c r="AB101" s="120"/>
      <c r="AC101" s="726" t="str">
        <f>IF(P101="","",IF(P101='G-1 All Habitats'!$X$3,H101-S101-T101,"None"))</f>
        <v/>
      </c>
      <c r="AD101" s="727" t="str">
        <f>IF(P101="","", IF(P101='G-1 All Habitats'!$X$3, AC101*J101*L101*O101,"None"))</f>
        <v/>
      </c>
      <c r="AF101" s="40" t="str">
        <f t="shared" si="5"/>
        <v/>
      </c>
      <c r="AG101" s="40" t="str">
        <f t="shared" si="6"/>
        <v/>
      </c>
      <c r="AH101" s="40" t="str">
        <f>IF(I101="","",IF(#REF!&gt;0,TRUE,FALSE))</f>
        <v/>
      </c>
      <c r="AI101" s="40">
        <v>91</v>
      </c>
      <c r="AJ101" s="40"/>
      <c r="AK101" s="40" t="str">
        <f t="array" ref="AK101">IFERROR(INDEX($AI$11:$AI$259, MATCH(0, IF(TRUE=$AF$11:$AF$259, COUNTIF($AK$10:$AK100, $AI$11:$AI$259), ""), 0)),"")</f>
        <v/>
      </c>
      <c r="AL101" s="40" t="str">
        <f t="array" ref="AL101">IFERROR(INDEX($AI$11:$AI$259, MATCH(0, IF(TRUE=$AG$11:$AG$259, COUNTIF($AL$10:$AL100, $AI$11:$AI$259), ""), 0)),"")</f>
        <v/>
      </c>
      <c r="AM101" s="40" t="str">
        <f t="array" ref="AM101">IFERROR(INDEX($AI$11:$AI$259, MATCH(0, IF(TRUE=$AH$11:$AH$259, COUNTIF($AM$10:$AM100, $AI$11:$AI$259), ""), 0)),"")</f>
        <v/>
      </c>
      <c r="AN101" s="40"/>
      <c r="AQ101" s="35">
        <f t="shared" si="7"/>
        <v>0</v>
      </c>
    </row>
    <row r="102" spans="1:43">
      <c r="A102" s="35" t="str">
        <f>IFERROR(INDEX('G-1 All Habitats'!$AG$3:$AG$17,MATCH(E102,'G-1 All Habitats'!$AF$3:$AF$17,0)),"")</f>
        <v/>
      </c>
      <c r="B102" s="35" t="str">
        <f>IFERROR(INDEX('G-8 Condition Look up'!$I$4:$I$135,MATCH(G102,'G-8 Condition Look up'!$A$4:$A$135,0)),"")</f>
        <v/>
      </c>
      <c r="D102" s="287">
        <v>92</v>
      </c>
      <c r="E102" s="267"/>
      <c r="F102" s="61"/>
      <c r="G102" s="52" t="str">
        <f>IFERROR(INDEX('G-1 All Habitats'!$B$3:$B$134,MATCH(F102,'G-1 All Habitats'!$A$3:$A$134,0)),"")</f>
        <v/>
      </c>
      <c r="H102" s="53"/>
      <c r="I102" s="362" t="str">
        <f>IF(G102="","",VLOOKUP(G102,'G-1 All Habitats'!$B$2:$M$134,10,FALSE))</f>
        <v/>
      </c>
      <c r="J102" s="363" t="str">
        <f>IFERROR(VLOOKUP(I102,'G-1 All Habitats'!$V$3:$W$7,2,FALSE),"")</f>
        <v/>
      </c>
      <c r="K102" s="54"/>
      <c r="L102" s="363" t="str">
        <f>IFERROR(INDEX('G-8 Condition Look up'!$A$3:$H$135,MATCH(G102,'G-8 Condition Look up'!$A$3:$A$135,0),MATCH(K102,'G-8 Condition Look up'!$A$3:$H$3,0)),"")</f>
        <v/>
      </c>
      <c r="M102" s="54"/>
      <c r="N102" s="382" t="str">
        <f>IF(M102="","",IF(VLOOKUP(M102,'G-3 Multipliers'!$L$3:$N$6,2,FALSE)=0,"Spatial Data Missing",VLOOKUP(M102,'G-3 Multipliers'!$L$3:$N$6,2,FALSE)))</f>
        <v/>
      </c>
      <c r="O102" s="368" t="str">
        <f>IF(M102="","",IF(VLOOKUP(M102,'G-3 Multipliers'!$L$3:$N$6,3,FALSE)=0,"Spatial Data Missing",VLOOKUP(M102,'G-3 Multipliers'!$L$3:$N$6,3,FALSE)))</f>
        <v/>
      </c>
      <c r="P102" s="369" t="str">
        <f>IFERROR(VLOOKUP(G102,'G-1 All Habitats'!$B$2:$M$134,12,FALSE),"")</f>
        <v/>
      </c>
      <c r="Q102" s="376" t="str">
        <f>IFERROR(IF(P102="","",IF(AND(P102='G-1 All Habitats'!$X$3,T102&gt;0),U102+V102,IF(AND(P102='G-1 All Habitats'!$X$3,S102&gt;0),U102+V102,IF(AND(P102='G-1 All Habitats'!$X$3,AC102&gt;0),"Any Loss Unacceptable ⚠",IF(AND(P102='G-1 All Habitats'!$X$3,W102&gt;0),"Any Loss Unacceptable ⚠",H102*J102*L102*O102))))),"Check Data ▲")</f>
        <v/>
      </c>
      <c r="R102" s="38"/>
      <c r="S102" s="54"/>
      <c r="T102" s="55"/>
      <c r="U102" s="374" t="str">
        <f t="shared" si="8"/>
        <v/>
      </c>
      <c r="V102" s="374" t="str">
        <f t="shared" si="9"/>
        <v/>
      </c>
      <c r="W102" s="374" t="str">
        <f>IF(E102="","",IF(H102&lt;S102+T102,"Error in Areas ▲",IF(P102&lt;&gt;'G-1 All Habitats'!$X$3,H102-S102-T102,IF(AND(P102='G-1 All Habitats'!$X$3,Y102="Yes"),"Unacceptable Loss ⚠",IF(AND(P102='G-1 All Habitats'!$X$3,Y102="No"),AC102,IF(AND(P102='G-1 All Habitats'!$X$3,Y102=""),AC102,IF(AND(P102='G-1 All Habitats'!$X$3,AC102="None",AC102),IF(AND(P102='G-1 All Habitats'!$X$3,AC102&gt;0),H102-S102-T102))))))))</f>
        <v/>
      </c>
      <c r="X102" s="378" t="str">
        <f>IFERROR(IF(H102="","",IF(H102-S102-T102=0&lt;0,"Error in Areas ▲",IF(S102+T102&gt;H102,"Error in Areas ▲",IF(AND(P102='G-1 All Habitats'!$X$3,Y102="Yes"),"Alternative Compensation ✓",IF(W102=0,0,IF(P102='G-1 All Habitats'!$X$3,"Any Loss Unacceptable ▲",Q102-U102-V102)))))),"Check Data ▲")</f>
        <v/>
      </c>
      <c r="Y102" s="55"/>
      <c r="Z102" s="62"/>
      <c r="AA102" s="526"/>
      <c r="AB102" s="120"/>
      <c r="AC102" s="726" t="str">
        <f>IF(P102="","",IF(P102='G-1 All Habitats'!$X$3,H102-S102-T102,"None"))</f>
        <v/>
      </c>
      <c r="AD102" s="727" t="str">
        <f>IF(P102="","", IF(P102='G-1 All Habitats'!$X$3, AC102*J102*L102*O102,"None"))</f>
        <v/>
      </c>
      <c r="AF102" s="40" t="str">
        <f t="shared" si="5"/>
        <v/>
      </c>
      <c r="AG102" s="40" t="str">
        <f t="shared" si="6"/>
        <v/>
      </c>
      <c r="AH102" s="40" t="str">
        <f>IF(I102="","",IF(#REF!&gt;0,TRUE,FALSE))</f>
        <v/>
      </c>
      <c r="AI102" s="40">
        <v>92</v>
      </c>
      <c r="AJ102" s="40"/>
      <c r="AK102" s="40" t="str">
        <f t="array" ref="AK102">IFERROR(INDEX($AI$11:$AI$259, MATCH(0, IF(TRUE=$AF$11:$AF$259, COUNTIF($AK$10:$AK101, $AI$11:$AI$259), ""), 0)),"")</f>
        <v/>
      </c>
      <c r="AL102" s="40" t="str">
        <f t="array" ref="AL102">IFERROR(INDEX($AI$11:$AI$259, MATCH(0, IF(TRUE=$AG$11:$AG$259, COUNTIF($AL$10:$AL101, $AI$11:$AI$259), ""), 0)),"")</f>
        <v/>
      </c>
      <c r="AM102" s="40" t="str">
        <f t="array" ref="AM102">IFERROR(INDEX($AI$11:$AI$259, MATCH(0, IF(TRUE=$AH$11:$AH$259, COUNTIF($AM$10:$AM101, $AI$11:$AI$259), ""), 0)),"")</f>
        <v/>
      </c>
      <c r="AN102" s="40"/>
      <c r="AQ102" s="35">
        <f t="shared" si="7"/>
        <v>0</v>
      </c>
    </row>
    <row r="103" spans="1:43">
      <c r="A103" s="35" t="str">
        <f>IFERROR(INDEX('G-1 All Habitats'!$AG$3:$AG$17,MATCH(E103,'G-1 All Habitats'!$AF$3:$AF$17,0)),"")</f>
        <v/>
      </c>
      <c r="B103" s="35" t="str">
        <f>IFERROR(INDEX('G-8 Condition Look up'!$I$4:$I$135,MATCH(G103,'G-8 Condition Look up'!$A$4:$A$135,0)),"")</f>
        <v/>
      </c>
      <c r="D103" s="287">
        <v>93</v>
      </c>
      <c r="E103" s="267"/>
      <c r="F103" s="61"/>
      <c r="G103" s="52" t="str">
        <f>IFERROR(INDEX('G-1 All Habitats'!$B$3:$B$134,MATCH(F103,'G-1 All Habitats'!$A$3:$A$134,0)),"")</f>
        <v/>
      </c>
      <c r="H103" s="53"/>
      <c r="I103" s="362" t="str">
        <f>IF(G103="","",VLOOKUP(G103,'G-1 All Habitats'!$B$2:$M$134,10,FALSE))</f>
        <v/>
      </c>
      <c r="J103" s="363" t="str">
        <f>IFERROR(VLOOKUP(I103,'G-1 All Habitats'!$V$3:$W$7,2,FALSE),"")</f>
        <v/>
      </c>
      <c r="K103" s="54"/>
      <c r="L103" s="363" t="str">
        <f>IFERROR(INDEX('G-8 Condition Look up'!$A$3:$H$135,MATCH(G103,'G-8 Condition Look up'!$A$3:$A$135,0),MATCH(K103,'G-8 Condition Look up'!$A$3:$H$3,0)),"")</f>
        <v/>
      </c>
      <c r="M103" s="54"/>
      <c r="N103" s="382" t="str">
        <f>IF(M103="","",IF(VLOOKUP(M103,'G-3 Multipliers'!$L$3:$N$6,2,FALSE)=0,"Spatial Data Missing",VLOOKUP(M103,'G-3 Multipliers'!$L$3:$N$6,2,FALSE)))</f>
        <v/>
      </c>
      <c r="O103" s="368" t="str">
        <f>IF(M103="","",IF(VLOOKUP(M103,'G-3 Multipliers'!$L$3:$N$6,3,FALSE)=0,"Spatial Data Missing",VLOOKUP(M103,'G-3 Multipliers'!$L$3:$N$6,3,FALSE)))</f>
        <v/>
      </c>
      <c r="P103" s="369" t="str">
        <f>IFERROR(VLOOKUP(G103,'G-1 All Habitats'!$B$2:$M$134,12,FALSE),"")</f>
        <v/>
      </c>
      <c r="Q103" s="376" t="str">
        <f>IFERROR(IF(P103="","",IF(AND(P103='G-1 All Habitats'!$X$3,T103&gt;0),U103+V103,IF(AND(P103='G-1 All Habitats'!$X$3,S103&gt;0),U103+V103,IF(AND(P103='G-1 All Habitats'!$X$3,AC103&gt;0),"Any Loss Unacceptable ⚠",IF(AND(P103='G-1 All Habitats'!$X$3,W103&gt;0),"Any Loss Unacceptable ⚠",H103*J103*L103*O103))))),"Check Data ▲")</f>
        <v/>
      </c>
      <c r="R103" s="38"/>
      <c r="S103" s="54"/>
      <c r="T103" s="55"/>
      <c r="U103" s="374" t="str">
        <f t="shared" si="8"/>
        <v/>
      </c>
      <c r="V103" s="374" t="str">
        <f t="shared" si="9"/>
        <v/>
      </c>
      <c r="W103" s="374" t="str">
        <f>IF(E103="","",IF(H103&lt;S103+T103,"Error in Areas ▲",IF(P103&lt;&gt;'G-1 All Habitats'!$X$3,H103-S103-T103,IF(AND(P103='G-1 All Habitats'!$X$3,Y103="Yes"),"Unacceptable Loss ⚠",IF(AND(P103='G-1 All Habitats'!$X$3,Y103="No"),AC103,IF(AND(P103='G-1 All Habitats'!$X$3,Y103=""),AC103,IF(AND(P103='G-1 All Habitats'!$X$3,AC103="None",AC103),IF(AND(P103='G-1 All Habitats'!$X$3,AC103&gt;0),H103-S103-T103))))))))</f>
        <v/>
      </c>
      <c r="X103" s="378" t="str">
        <f>IFERROR(IF(H103="","",IF(H103-S103-T103=0&lt;0,"Error in Areas ▲",IF(S103+T103&gt;H103,"Error in Areas ▲",IF(AND(P103='G-1 All Habitats'!$X$3,Y103="Yes"),"Alternative Compensation ✓",IF(W103=0,0,IF(P103='G-1 All Habitats'!$X$3,"Any Loss Unacceptable ▲",Q103-U103-V103)))))),"Check Data ▲")</f>
        <v/>
      </c>
      <c r="Y103" s="55"/>
      <c r="Z103" s="62"/>
      <c r="AA103" s="526"/>
      <c r="AB103" s="120"/>
      <c r="AC103" s="726" t="str">
        <f>IF(P103="","",IF(P103='G-1 All Habitats'!$X$3,H103-S103-T103,"None"))</f>
        <v/>
      </c>
      <c r="AD103" s="727" t="str">
        <f>IF(P103="","", IF(P103='G-1 All Habitats'!$X$3, AC103*J103*L103*O103,"None"))</f>
        <v/>
      </c>
      <c r="AF103" s="40" t="str">
        <f t="shared" si="5"/>
        <v/>
      </c>
      <c r="AG103" s="40" t="str">
        <f t="shared" si="6"/>
        <v/>
      </c>
      <c r="AH103" s="40" t="str">
        <f>IF(I103="","",IF(#REF!&gt;0,TRUE,FALSE))</f>
        <v/>
      </c>
      <c r="AI103" s="40">
        <v>93</v>
      </c>
      <c r="AJ103" s="40"/>
      <c r="AK103" s="40" t="str">
        <f t="array" ref="AK103">IFERROR(INDEX($AI$11:$AI$259, MATCH(0, IF(TRUE=$AF$11:$AF$259, COUNTIF($AK$10:$AK102, $AI$11:$AI$259), ""), 0)),"")</f>
        <v/>
      </c>
      <c r="AL103" s="40" t="str">
        <f t="array" ref="AL103">IFERROR(INDEX($AI$11:$AI$259, MATCH(0, IF(TRUE=$AG$11:$AG$259, COUNTIF($AL$10:$AL102, $AI$11:$AI$259), ""), 0)),"")</f>
        <v/>
      </c>
      <c r="AM103" s="40" t="str">
        <f t="array" ref="AM103">IFERROR(INDEX($AI$11:$AI$259, MATCH(0, IF(TRUE=$AH$11:$AH$259, COUNTIF($AM$10:$AM102, $AI$11:$AI$259), ""), 0)),"")</f>
        <v/>
      </c>
      <c r="AN103" s="40"/>
      <c r="AQ103" s="35">
        <f t="shared" si="7"/>
        <v>0</v>
      </c>
    </row>
    <row r="104" spans="1:43">
      <c r="A104" s="35" t="str">
        <f>IFERROR(INDEX('G-1 All Habitats'!$AG$3:$AG$17,MATCH(E104,'G-1 All Habitats'!$AF$3:$AF$17,0)),"")</f>
        <v/>
      </c>
      <c r="B104" s="35" t="str">
        <f>IFERROR(INDEX('G-8 Condition Look up'!$I$4:$I$135,MATCH(G104,'G-8 Condition Look up'!$A$4:$A$135,0)),"")</f>
        <v/>
      </c>
      <c r="D104" s="287">
        <v>94</v>
      </c>
      <c r="E104" s="267"/>
      <c r="F104" s="61"/>
      <c r="G104" s="52" t="str">
        <f>IFERROR(INDEX('G-1 All Habitats'!$B$3:$B$134,MATCH(F104,'G-1 All Habitats'!$A$3:$A$134,0)),"")</f>
        <v/>
      </c>
      <c r="H104" s="53"/>
      <c r="I104" s="362" t="str">
        <f>IF(G104="","",VLOOKUP(G104,'G-1 All Habitats'!$B$2:$M$134,10,FALSE))</f>
        <v/>
      </c>
      <c r="J104" s="363" t="str">
        <f>IFERROR(VLOOKUP(I104,'G-1 All Habitats'!$V$3:$W$7,2,FALSE),"")</f>
        <v/>
      </c>
      <c r="K104" s="54"/>
      <c r="L104" s="363" t="str">
        <f>IFERROR(INDEX('G-8 Condition Look up'!$A$3:$H$135,MATCH(G104,'G-8 Condition Look up'!$A$3:$A$135,0),MATCH(K104,'G-8 Condition Look up'!$A$3:$H$3,0)),"")</f>
        <v/>
      </c>
      <c r="M104" s="54"/>
      <c r="N104" s="382" t="str">
        <f>IF(M104="","",IF(VLOOKUP(M104,'G-3 Multipliers'!$L$3:$N$6,2,FALSE)=0,"Spatial Data Missing",VLOOKUP(M104,'G-3 Multipliers'!$L$3:$N$6,2,FALSE)))</f>
        <v/>
      </c>
      <c r="O104" s="368" t="str">
        <f>IF(M104="","",IF(VLOOKUP(M104,'G-3 Multipliers'!$L$3:$N$6,3,FALSE)=0,"Spatial Data Missing",VLOOKUP(M104,'G-3 Multipliers'!$L$3:$N$6,3,FALSE)))</f>
        <v/>
      </c>
      <c r="P104" s="369" t="str">
        <f>IFERROR(VLOOKUP(G104,'G-1 All Habitats'!$B$2:$M$134,12,FALSE),"")</f>
        <v/>
      </c>
      <c r="Q104" s="376" t="str">
        <f>IFERROR(IF(P104="","",IF(AND(P104='G-1 All Habitats'!$X$3,T104&gt;0),U104+V104,IF(AND(P104='G-1 All Habitats'!$X$3,S104&gt;0),U104+V104,IF(AND(P104='G-1 All Habitats'!$X$3,AC104&gt;0),"Any Loss Unacceptable ⚠",IF(AND(P104='G-1 All Habitats'!$X$3,W104&gt;0),"Any Loss Unacceptable ⚠",H104*J104*L104*O104))))),"Check Data ▲")</f>
        <v/>
      </c>
      <c r="R104" s="38"/>
      <c r="S104" s="54"/>
      <c r="T104" s="55"/>
      <c r="U104" s="374" t="str">
        <f t="shared" si="8"/>
        <v/>
      </c>
      <c r="V104" s="374" t="str">
        <f t="shared" si="9"/>
        <v/>
      </c>
      <c r="W104" s="374" t="str">
        <f>IF(E104="","",IF(H104&lt;S104+T104,"Error in Areas ▲",IF(P104&lt;&gt;'G-1 All Habitats'!$X$3,H104-S104-T104,IF(AND(P104='G-1 All Habitats'!$X$3,Y104="Yes"),"Unacceptable Loss ⚠",IF(AND(P104='G-1 All Habitats'!$X$3,Y104="No"),AC104,IF(AND(P104='G-1 All Habitats'!$X$3,Y104=""),AC104,IF(AND(P104='G-1 All Habitats'!$X$3,AC104="None",AC104),IF(AND(P104='G-1 All Habitats'!$X$3,AC104&gt;0),H104-S104-T104))))))))</f>
        <v/>
      </c>
      <c r="X104" s="378" t="str">
        <f>IFERROR(IF(H104="","",IF(H104-S104-T104=0&lt;0,"Error in Areas ▲",IF(S104+T104&gt;H104,"Error in Areas ▲",IF(AND(P104='G-1 All Habitats'!$X$3,Y104="Yes"),"Alternative Compensation ✓",IF(W104=0,0,IF(P104='G-1 All Habitats'!$X$3,"Any Loss Unacceptable ▲",Q104-U104-V104)))))),"Check Data ▲")</f>
        <v/>
      </c>
      <c r="Y104" s="55"/>
      <c r="Z104" s="62"/>
      <c r="AA104" s="526"/>
      <c r="AB104" s="120"/>
      <c r="AC104" s="726" t="str">
        <f>IF(P104="","",IF(P104='G-1 All Habitats'!$X$3,H104-S104-T104,"None"))</f>
        <v/>
      </c>
      <c r="AD104" s="727" t="str">
        <f>IF(P104="","", IF(P104='G-1 All Habitats'!$X$3, AC104*J104*L104*O104,"None"))</f>
        <v/>
      </c>
      <c r="AF104" s="40" t="str">
        <f t="shared" si="5"/>
        <v/>
      </c>
      <c r="AG104" s="40" t="str">
        <f t="shared" si="6"/>
        <v/>
      </c>
      <c r="AH104" s="40" t="str">
        <f>IF(I104="","",IF(#REF!&gt;0,TRUE,FALSE))</f>
        <v/>
      </c>
      <c r="AI104" s="40">
        <v>94</v>
      </c>
      <c r="AJ104" s="40"/>
      <c r="AK104" s="40" t="str">
        <f t="array" ref="AK104">IFERROR(INDEX($AI$11:$AI$259, MATCH(0, IF(TRUE=$AF$11:$AF$259, COUNTIF($AK$10:$AK103, $AI$11:$AI$259), ""), 0)),"")</f>
        <v/>
      </c>
      <c r="AL104" s="40" t="str">
        <f t="array" ref="AL104">IFERROR(INDEX($AI$11:$AI$259, MATCH(0, IF(TRUE=$AG$11:$AG$259, COUNTIF($AL$10:$AL103, $AI$11:$AI$259), ""), 0)),"")</f>
        <v/>
      </c>
      <c r="AM104" s="40" t="str">
        <f t="array" ref="AM104">IFERROR(INDEX($AI$11:$AI$259, MATCH(0, IF(TRUE=$AH$11:$AH$259, COUNTIF($AM$10:$AM103, $AI$11:$AI$259), ""), 0)),"")</f>
        <v/>
      </c>
      <c r="AN104" s="40"/>
      <c r="AQ104" s="35">
        <f t="shared" si="7"/>
        <v>0</v>
      </c>
    </row>
    <row r="105" spans="1:43">
      <c r="A105" s="35" t="str">
        <f>IFERROR(INDEX('G-1 All Habitats'!$AG$3:$AG$17,MATCH(E105,'G-1 All Habitats'!$AF$3:$AF$17,0)),"")</f>
        <v/>
      </c>
      <c r="B105" s="35" t="str">
        <f>IFERROR(INDEX('G-8 Condition Look up'!$I$4:$I$135,MATCH(G105,'G-8 Condition Look up'!$A$4:$A$135,0)),"")</f>
        <v/>
      </c>
      <c r="D105" s="287">
        <v>95</v>
      </c>
      <c r="E105" s="267"/>
      <c r="F105" s="61"/>
      <c r="G105" s="52" t="str">
        <f>IFERROR(INDEX('G-1 All Habitats'!$B$3:$B$134,MATCH(F105,'G-1 All Habitats'!$A$3:$A$134,0)),"")</f>
        <v/>
      </c>
      <c r="H105" s="53"/>
      <c r="I105" s="362" t="str">
        <f>IF(G105="","",VLOOKUP(G105,'G-1 All Habitats'!$B$2:$M$134,10,FALSE))</f>
        <v/>
      </c>
      <c r="J105" s="363" t="str">
        <f>IFERROR(VLOOKUP(I105,'G-1 All Habitats'!$V$3:$W$7,2,FALSE),"")</f>
        <v/>
      </c>
      <c r="K105" s="54"/>
      <c r="L105" s="363" t="str">
        <f>IFERROR(INDEX('G-8 Condition Look up'!$A$3:$H$135,MATCH(G105,'G-8 Condition Look up'!$A$3:$A$135,0),MATCH(K105,'G-8 Condition Look up'!$A$3:$H$3,0)),"")</f>
        <v/>
      </c>
      <c r="M105" s="54"/>
      <c r="N105" s="382" t="str">
        <f>IF(M105="","",IF(VLOOKUP(M105,'G-3 Multipliers'!$L$3:$N$6,2,FALSE)=0,"Spatial Data Missing",VLOOKUP(M105,'G-3 Multipliers'!$L$3:$N$6,2,FALSE)))</f>
        <v/>
      </c>
      <c r="O105" s="368" t="str">
        <f>IF(M105="","",IF(VLOOKUP(M105,'G-3 Multipliers'!$L$3:$N$6,3,FALSE)=0,"Spatial Data Missing",VLOOKUP(M105,'G-3 Multipliers'!$L$3:$N$6,3,FALSE)))</f>
        <v/>
      </c>
      <c r="P105" s="369" t="str">
        <f>IFERROR(VLOOKUP(G105,'G-1 All Habitats'!$B$2:$M$134,12,FALSE),"")</f>
        <v/>
      </c>
      <c r="Q105" s="376" t="str">
        <f>IFERROR(IF(P105="","",IF(AND(P105='G-1 All Habitats'!$X$3,T105&gt;0),U105+V105,IF(AND(P105='G-1 All Habitats'!$X$3,S105&gt;0),U105+V105,IF(AND(P105='G-1 All Habitats'!$X$3,AC105&gt;0),"Any Loss Unacceptable ⚠",IF(AND(P105='G-1 All Habitats'!$X$3,W105&gt;0),"Any Loss Unacceptable ⚠",H105*J105*L105*O105))))),"Check Data ▲")</f>
        <v/>
      </c>
      <c r="R105" s="38"/>
      <c r="S105" s="54"/>
      <c r="T105" s="55"/>
      <c r="U105" s="374" t="str">
        <f t="shared" si="8"/>
        <v/>
      </c>
      <c r="V105" s="374" t="str">
        <f t="shared" si="9"/>
        <v/>
      </c>
      <c r="W105" s="374" t="str">
        <f>IF(E105="","",IF(H105&lt;S105+T105,"Error in Areas ▲",IF(P105&lt;&gt;'G-1 All Habitats'!$X$3,H105-S105-T105,IF(AND(P105='G-1 All Habitats'!$X$3,Y105="Yes"),"Unacceptable Loss ⚠",IF(AND(P105='G-1 All Habitats'!$X$3,Y105="No"),AC105,IF(AND(P105='G-1 All Habitats'!$X$3,Y105=""),AC105,IF(AND(P105='G-1 All Habitats'!$X$3,AC105="None",AC105),IF(AND(P105='G-1 All Habitats'!$X$3,AC105&gt;0),H105-S105-T105))))))))</f>
        <v/>
      </c>
      <c r="X105" s="378" t="str">
        <f>IFERROR(IF(H105="","",IF(H105-S105-T105=0&lt;0,"Error in Areas ▲",IF(S105+T105&gt;H105,"Error in Areas ▲",IF(AND(P105='G-1 All Habitats'!$X$3,Y105="Yes"),"Alternative Compensation ✓",IF(W105=0,0,IF(P105='G-1 All Habitats'!$X$3,"Any Loss Unacceptable ▲",Q105-U105-V105)))))),"Check Data ▲")</f>
        <v/>
      </c>
      <c r="Y105" s="55"/>
      <c r="Z105" s="62"/>
      <c r="AA105" s="526"/>
      <c r="AB105" s="120"/>
      <c r="AC105" s="726" t="str">
        <f>IF(P105="","",IF(P105='G-1 All Habitats'!$X$3,H105-S105-T105,"None"))</f>
        <v/>
      </c>
      <c r="AD105" s="727" t="str">
        <f>IF(P105="","", IF(P105='G-1 All Habitats'!$X$3, AC105*J105*L105*O105,"None"))</f>
        <v/>
      </c>
      <c r="AF105" s="40" t="str">
        <f t="shared" si="5"/>
        <v/>
      </c>
      <c r="AG105" s="40" t="str">
        <f t="shared" si="6"/>
        <v/>
      </c>
      <c r="AH105" s="40" t="str">
        <f>IF(I105="","",IF(#REF!&gt;0,TRUE,FALSE))</f>
        <v/>
      </c>
      <c r="AI105" s="40">
        <v>95</v>
      </c>
      <c r="AJ105" s="40"/>
      <c r="AK105" s="40" t="str">
        <f t="array" ref="AK105">IFERROR(INDEX($AI$11:$AI$259, MATCH(0, IF(TRUE=$AF$11:$AF$259, COUNTIF($AK$10:$AK104, $AI$11:$AI$259), ""), 0)),"")</f>
        <v/>
      </c>
      <c r="AL105" s="40" t="str">
        <f t="array" ref="AL105">IFERROR(INDEX($AI$11:$AI$259, MATCH(0, IF(TRUE=$AG$11:$AG$259, COUNTIF($AL$10:$AL104, $AI$11:$AI$259), ""), 0)),"")</f>
        <v/>
      </c>
      <c r="AM105" s="40" t="str">
        <f t="array" ref="AM105">IFERROR(INDEX($AI$11:$AI$259, MATCH(0, IF(TRUE=$AH$11:$AH$259, COUNTIF($AM$10:$AM104, $AI$11:$AI$259), ""), 0)),"")</f>
        <v/>
      </c>
      <c r="AN105" s="40"/>
      <c r="AQ105" s="35">
        <f t="shared" si="7"/>
        <v>0</v>
      </c>
    </row>
    <row r="106" spans="1:43">
      <c r="A106" s="35" t="str">
        <f>IFERROR(INDEX('G-1 All Habitats'!$AG$3:$AG$17,MATCH(E106,'G-1 All Habitats'!$AF$3:$AF$17,0)),"")</f>
        <v/>
      </c>
      <c r="B106" s="35" t="str">
        <f>IFERROR(INDEX('G-8 Condition Look up'!$I$4:$I$135,MATCH(G106,'G-8 Condition Look up'!$A$4:$A$135,0)),"")</f>
        <v/>
      </c>
      <c r="D106" s="287">
        <v>96</v>
      </c>
      <c r="E106" s="267"/>
      <c r="F106" s="61"/>
      <c r="G106" s="52" t="str">
        <f>IFERROR(INDEX('G-1 All Habitats'!$B$3:$B$134,MATCH(F106,'G-1 All Habitats'!$A$3:$A$134,0)),"")</f>
        <v/>
      </c>
      <c r="H106" s="53"/>
      <c r="I106" s="362" t="str">
        <f>IF(G106="","",VLOOKUP(G106,'G-1 All Habitats'!$B$2:$M$134,10,FALSE))</f>
        <v/>
      </c>
      <c r="J106" s="363" t="str">
        <f>IFERROR(VLOOKUP(I106,'G-1 All Habitats'!$V$3:$W$7,2,FALSE),"")</f>
        <v/>
      </c>
      <c r="K106" s="54"/>
      <c r="L106" s="363" t="str">
        <f>IFERROR(INDEX('G-8 Condition Look up'!$A$3:$H$135,MATCH(G106,'G-8 Condition Look up'!$A$3:$A$135,0),MATCH(K106,'G-8 Condition Look up'!$A$3:$H$3,0)),"")</f>
        <v/>
      </c>
      <c r="M106" s="54"/>
      <c r="N106" s="382" t="str">
        <f>IF(M106="","",IF(VLOOKUP(M106,'G-3 Multipliers'!$L$3:$N$6,2,FALSE)=0,"Spatial Data Missing",VLOOKUP(M106,'G-3 Multipliers'!$L$3:$N$6,2,FALSE)))</f>
        <v/>
      </c>
      <c r="O106" s="368" t="str">
        <f>IF(M106="","",IF(VLOOKUP(M106,'G-3 Multipliers'!$L$3:$N$6,3,FALSE)=0,"Spatial Data Missing",VLOOKUP(M106,'G-3 Multipliers'!$L$3:$N$6,3,FALSE)))</f>
        <v/>
      </c>
      <c r="P106" s="369" t="str">
        <f>IFERROR(VLOOKUP(G106,'G-1 All Habitats'!$B$2:$M$134,12,FALSE),"")</f>
        <v/>
      </c>
      <c r="Q106" s="376" t="str">
        <f>IFERROR(IF(P106="","",IF(AND(P106='G-1 All Habitats'!$X$3,T106&gt;0),U106+V106,IF(AND(P106='G-1 All Habitats'!$X$3,S106&gt;0),U106+V106,IF(AND(P106='G-1 All Habitats'!$X$3,AC106&gt;0),"Any Loss Unacceptable ⚠",IF(AND(P106='G-1 All Habitats'!$X$3,W106&gt;0),"Any Loss Unacceptable ⚠",H106*J106*L106*O106))))),"Check Data ▲")</f>
        <v/>
      </c>
      <c r="R106" s="38"/>
      <c r="S106" s="54"/>
      <c r="T106" s="55"/>
      <c r="U106" s="374" t="str">
        <f t="shared" si="8"/>
        <v/>
      </c>
      <c r="V106" s="374" t="str">
        <f t="shared" si="9"/>
        <v/>
      </c>
      <c r="W106" s="374" t="str">
        <f>IF(E106="","",IF(H106&lt;S106+T106,"Error in Areas ▲",IF(P106&lt;&gt;'G-1 All Habitats'!$X$3,H106-S106-T106,IF(AND(P106='G-1 All Habitats'!$X$3,Y106="Yes"),"Unacceptable Loss ⚠",IF(AND(P106='G-1 All Habitats'!$X$3,Y106="No"),AC106,IF(AND(P106='G-1 All Habitats'!$X$3,Y106=""),AC106,IF(AND(P106='G-1 All Habitats'!$X$3,AC106="None",AC106),IF(AND(P106='G-1 All Habitats'!$X$3,AC106&gt;0),H106-S106-T106))))))))</f>
        <v/>
      </c>
      <c r="X106" s="378" t="str">
        <f>IFERROR(IF(H106="","",IF(H106-S106-T106=0&lt;0,"Error in Areas ▲",IF(S106+T106&gt;H106,"Error in Areas ▲",IF(AND(P106='G-1 All Habitats'!$X$3,Y106="Yes"),"Alternative Compensation ✓",IF(W106=0,0,IF(P106='G-1 All Habitats'!$X$3,"Any Loss Unacceptable ▲",Q106-U106-V106)))))),"Check Data ▲")</f>
        <v/>
      </c>
      <c r="Y106" s="55"/>
      <c r="Z106" s="62"/>
      <c r="AA106" s="526"/>
      <c r="AB106" s="120"/>
      <c r="AC106" s="726" t="str">
        <f>IF(P106="","",IF(P106='G-1 All Habitats'!$X$3,H106-S106-T106,"None"))</f>
        <v/>
      </c>
      <c r="AD106" s="727" t="str">
        <f>IF(P106="","", IF(P106='G-1 All Habitats'!$X$3, AC106*J106*L106*O106,"None"))</f>
        <v/>
      </c>
      <c r="AF106" s="40" t="str">
        <f t="shared" si="5"/>
        <v/>
      </c>
      <c r="AG106" s="40" t="str">
        <f t="shared" si="6"/>
        <v/>
      </c>
      <c r="AH106" s="40" t="str">
        <f>IF(I106="","",IF(#REF!&gt;0,TRUE,FALSE))</f>
        <v/>
      </c>
      <c r="AI106" s="40">
        <v>96</v>
      </c>
      <c r="AJ106" s="40"/>
      <c r="AK106" s="40" t="str">
        <f t="array" ref="AK106">IFERROR(INDEX($AI$11:$AI$259, MATCH(0, IF(TRUE=$AF$11:$AF$259, COUNTIF($AK$10:$AK105, $AI$11:$AI$259), ""), 0)),"")</f>
        <v/>
      </c>
      <c r="AL106" s="40" t="str">
        <f t="array" ref="AL106">IFERROR(INDEX($AI$11:$AI$259, MATCH(0, IF(TRUE=$AG$11:$AG$259, COUNTIF($AL$10:$AL105, $AI$11:$AI$259), ""), 0)),"")</f>
        <v/>
      </c>
      <c r="AM106" s="40" t="str">
        <f t="array" ref="AM106">IFERROR(INDEX($AI$11:$AI$259, MATCH(0, IF(TRUE=$AH$11:$AH$259, COUNTIF($AM$10:$AM105, $AI$11:$AI$259), ""), 0)),"")</f>
        <v/>
      </c>
      <c r="AN106" s="40"/>
      <c r="AQ106" s="35">
        <f t="shared" si="7"/>
        <v>0</v>
      </c>
    </row>
    <row r="107" spans="1:43">
      <c r="A107" s="35" t="str">
        <f>IFERROR(INDEX('G-1 All Habitats'!$AG$3:$AG$17,MATCH(E107,'G-1 All Habitats'!$AF$3:$AF$17,0)),"")</f>
        <v/>
      </c>
      <c r="B107" s="35" t="str">
        <f>IFERROR(INDEX('G-8 Condition Look up'!$I$4:$I$135,MATCH(G107,'G-8 Condition Look up'!$A$4:$A$135,0)),"")</f>
        <v/>
      </c>
      <c r="D107" s="287">
        <v>97</v>
      </c>
      <c r="E107" s="267"/>
      <c r="F107" s="61"/>
      <c r="G107" s="52" t="str">
        <f>IFERROR(INDEX('G-1 All Habitats'!$B$3:$B$134,MATCH(F107,'G-1 All Habitats'!$A$3:$A$134,0)),"")</f>
        <v/>
      </c>
      <c r="H107" s="53"/>
      <c r="I107" s="362" t="str">
        <f>IF(G107="","",VLOOKUP(G107,'G-1 All Habitats'!$B$2:$M$134,10,FALSE))</f>
        <v/>
      </c>
      <c r="J107" s="363" t="str">
        <f>IFERROR(VLOOKUP(I107,'G-1 All Habitats'!$V$3:$W$7,2,FALSE),"")</f>
        <v/>
      </c>
      <c r="K107" s="54"/>
      <c r="L107" s="363" t="str">
        <f>IFERROR(INDEX('G-8 Condition Look up'!$A$3:$H$135,MATCH(G107,'G-8 Condition Look up'!$A$3:$A$135,0),MATCH(K107,'G-8 Condition Look up'!$A$3:$H$3,0)),"")</f>
        <v/>
      </c>
      <c r="M107" s="54"/>
      <c r="N107" s="382" t="str">
        <f>IF(M107="","",IF(VLOOKUP(M107,'G-3 Multipliers'!$L$3:$N$6,2,FALSE)=0,"Spatial Data Missing",VLOOKUP(M107,'G-3 Multipliers'!$L$3:$N$6,2,FALSE)))</f>
        <v/>
      </c>
      <c r="O107" s="368" t="str">
        <f>IF(M107="","",IF(VLOOKUP(M107,'G-3 Multipliers'!$L$3:$N$6,3,FALSE)=0,"Spatial Data Missing",VLOOKUP(M107,'G-3 Multipliers'!$L$3:$N$6,3,FALSE)))</f>
        <v/>
      </c>
      <c r="P107" s="369" t="str">
        <f>IFERROR(VLOOKUP(G107,'G-1 All Habitats'!$B$2:$M$134,12,FALSE),"")</f>
        <v/>
      </c>
      <c r="Q107" s="376" t="str">
        <f>IFERROR(IF(P107="","",IF(AND(P107='G-1 All Habitats'!$X$3,T107&gt;0),U107+V107,IF(AND(P107='G-1 All Habitats'!$X$3,S107&gt;0),U107+V107,IF(AND(P107='G-1 All Habitats'!$X$3,AC107&gt;0),"Any Loss Unacceptable ⚠",IF(AND(P107='G-1 All Habitats'!$X$3,W107&gt;0),"Any Loss Unacceptable ⚠",H107*J107*L107*O107))))),"Check Data ▲")</f>
        <v/>
      </c>
      <c r="R107" s="38"/>
      <c r="S107" s="54"/>
      <c r="T107" s="55"/>
      <c r="U107" s="374" t="str">
        <f t="shared" si="8"/>
        <v/>
      </c>
      <c r="V107" s="374" t="str">
        <f t="shared" si="9"/>
        <v/>
      </c>
      <c r="W107" s="374" t="str">
        <f>IF(E107="","",IF(H107&lt;S107+T107,"Error in Areas ▲",IF(P107&lt;&gt;'G-1 All Habitats'!$X$3,H107-S107-T107,IF(AND(P107='G-1 All Habitats'!$X$3,Y107="Yes"),"Unacceptable Loss ⚠",IF(AND(P107='G-1 All Habitats'!$X$3,Y107="No"),AC107,IF(AND(P107='G-1 All Habitats'!$X$3,Y107=""),AC107,IF(AND(P107='G-1 All Habitats'!$X$3,AC107="None",AC107),IF(AND(P107='G-1 All Habitats'!$X$3,AC107&gt;0),H107-S107-T107))))))))</f>
        <v/>
      </c>
      <c r="X107" s="378" t="str">
        <f>IFERROR(IF(H107="","",IF(H107-S107-T107=0&lt;0,"Error in Areas ▲",IF(S107+T107&gt;H107,"Error in Areas ▲",IF(AND(P107='G-1 All Habitats'!$X$3,Y107="Yes"),"Alternative Compensation ✓",IF(W107=0,0,IF(P107='G-1 All Habitats'!$X$3,"Any Loss Unacceptable ▲",Q107-U107-V107)))))),"Check Data ▲")</f>
        <v/>
      </c>
      <c r="Y107" s="55"/>
      <c r="Z107" s="62"/>
      <c r="AA107" s="526"/>
      <c r="AB107" s="120"/>
      <c r="AC107" s="726" t="str">
        <f>IF(P107="","",IF(P107='G-1 All Habitats'!$X$3,H107-S107-T107,"None"))</f>
        <v/>
      </c>
      <c r="AD107" s="727" t="str">
        <f>IF(P107="","", IF(P107='G-1 All Habitats'!$X$3, AC107*J107*L107*O107,"None"))</f>
        <v/>
      </c>
      <c r="AF107" s="40" t="str">
        <f t="shared" si="5"/>
        <v/>
      </c>
      <c r="AG107" s="40" t="str">
        <f t="shared" si="6"/>
        <v/>
      </c>
      <c r="AH107" s="40" t="str">
        <f>IF(I107="","",IF(#REF!&gt;0,TRUE,FALSE))</f>
        <v/>
      </c>
      <c r="AI107" s="40">
        <v>97</v>
      </c>
      <c r="AJ107" s="40"/>
      <c r="AK107" s="40" t="str">
        <f t="array" ref="AK107">IFERROR(INDEX($AI$11:$AI$259, MATCH(0, IF(TRUE=$AF$11:$AF$259, COUNTIF($AK$10:$AK106, $AI$11:$AI$259), ""), 0)),"")</f>
        <v/>
      </c>
      <c r="AL107" s="40" t="str">
        <f t="array" ref="AL107">IFERROR(INDEX($AI$11:$AI$259, MATCH(0, IF(TRUE=$AG$11:$AG$259, COUNTIF($AL$10:$AL106, $AI$11:$AI$259), ""), 0)),"")</f>
        <v/>
      </c>
      <c r="AM107" s="40" t="str">
        <f t="array" ref="AM107">IFERROR(INDEX($AI$11:$AI$259, MATCH(0, IF(TRUE=$AH$11:$AH$259, COUNTIF($AM$10:$AM106, $AI$11:$AI$259), ""), 0)),"")</f>
        <v/>
      </c>
      <c r="AN107" s="40"/>
      <c r="AQ107" s="35">
        <f t="shared" si="7"/>
        <v>0</v>
      </c>
    </row>
    <row r="108" spans="1:43">
      <c r="A108" s="35" t="str">
        <f>IFERROR(INDEX('G-1 All Habitats'!$AG$3:$AG$17,MATCH(E108,'G-1 All Habitats'!$AF$3:$AF$17,0)),"")</f>
        <v/>
      </c>
      <c r="B108" s="35" t="str">
        <f>IFERROR(INDEX('G-8 Condition Look up'!$I$4:$I$135,MATCH(G108,'G-8 Condition Look up'!$A$4:$A$135,0)),"")</f>
        <v/>
      </c>
      <c r="D108" s="287">
        <v>98</v>
      </c>
      <c r="E108" s="267"/>
      <c r="F108" s="61"/>
      <c r="G108" s="52" t="str">
        <f>IFERROR(INDEX('G-1 All Habitats'!$B$3:$B$134,MATCH(F108,'G-1 All Habitats'!$A$3:$A$134,0)),"")</f>
        <v/>
      </c>
      <c r="H108" s="53"/>
      <c r="I108" s="362" t="str">
        <f>IF(G108="","",VLOOKUP(G108,'G-1 All Habitats'!$B$2:$M$134,10,FALSE))</f>
        <v/>
      </c>
      <c r="J108" s="363" t="str">
        <f>IFERROR(VLOOKUP(I108,'G-1 All Habitats'!$V$3:$W$7,2,FALSE),"")</f>
        <v/>
      </c>
      <c r="K108" s="54"/>
      <c r="L108" s="363" t="str">
        <f>IFERROR(INDEX('G-8 Condition Look up'!$A$3:$H$135,MATCH(G108,'G-8 Condition Look up'!$A$3:$A$135,0),MATCH(K108,'G-8 Condition Look up'!$A$3:$H$3,0)),"")</f>
        <v/>
      </c>
      <c r="M108" s="54"/>
      <c r="N108" s="382" t="str">
        <f>IF(M108="","",IF(VLOOKUP(M108,'G-3 Multipliers'!$L$3:$N$6,2,FALSE)=0,"Spatial Data Missing",VLOOKUP(M108,'G-3 Multipliers'!$L$3:$N$6,2,FALSE)))</f>
        <v/>
      </c>
      <c r="O108" s="368" t="str">
        <f>IF(M108="","",IF(VLOOKUP(M108,'G-3 Multipliers'!$L$3:$N$6,3,FALSE)=0,"Spatial Data Missing",VLOOKUP(M108,'G-3 Multipliers'!$L$3:$N$6,3,FALSE)))</f>
        <v/>
      </c>
      <c r="P108" s="369" t="str">
        <f>IFERROR(VLOOKUP(G108,'G-1 All Habitats'!$B$2:$M$134,12,FALSE),"")</f>
        <v/>
      </c>
      <c r="Q108" s="376" t="str">
        <f>IFERROR(IF(P108="","",IF(AND(P108='G-1 All Habitats'!$X$3,T108&gt;0),U108+V108,IF(AND(P108='G-1 All Habitats'!$X$3,S108&gt;0),U108+V108,IF(AND(P108='G-1 All Habitats'!$X$3,AC108&gt;0),"Any Loss Unacceptable ⚠",IF(AND(P108='G-1 All Habitats'!$X$3,W108&gt;0),"Any Loss Unacceptable ⚠",H108*J108*L108*O108))))),"Check Data ▲")</f>
        <v/>
      </c>
      <c r="R108" s="38"/>
      <c r="S108" s="54"/>
      <c r="T108" s="55"/>
      <c r="U108" s="374" t="str">
        <f t="shared" si="8"/>
        <v/>
      </c>
      <c r="V108" s="374" t="str">
        <f t="shared" si="9"/>
        <v/>
      </c>
      <c r="W108" s="374" t="str">
        <f>IF(E108="","",IF(H108&lt;S108+T108,"Error in Areas ▲",IF(P108&lt;&gt;'G-1 All Habitats'!$X$3,H108-S108-T108,IF(AND(P108='G-1 All Habitats'!$X$3,Y108="Yes"),"Unacceptable Loss ⚠",IF(AND(P108='G-1 All Habitats'!$X$3,Y108="No"),AC108,IF(AND(P108='G-1 All Habitats'!$X$3,Y108=""),AC108,IF(AND(P108='G-1 All Habitats'!$X$3,AC108="None",AC108),IF(AND(P108='G-1 All Habitats'!$X$3,AC108&gt;0),H108-S108-T108))))))))</f>
        <v/>
      </c>
      <c r="X108" s="378" t="str">
        <f>IFERROR(IF(H108="","",IF(H108-S108-T108=0&lt;0,"Error in Areas ▲",IF(S108+T108&gt;H108,"Error in Areas ▲",IF(AND(P108='G-1 All Habitats'!$X$3,Y108="Yes"),"Alternative Compensation ✓",IF(W108=0,0,IF(P108='G-1 All Habitats'!$X$3,"Any Loss Unacceptable ▲",Q108-U108-V108)))))),"Check Data ▲")</f>
        <v/>
      </c>
      <c r="Y108" s="55"/>
      <c r="Z108" s="62"/>
      <c r="AA108" s="526"/>
      <c r="AB108" s="120"/>
      <c r="AC108" s="726" t="str">
        <f>IF(P108="","",IF(P108='G-1 All Habitats'!$X$3,H108-S108-T108,"None"))</f>
        <v/>
      </c>
      <c r="AD108" s="727" t="str">
        <f>IF(P108="","", IF(P108='G-1 All Habitats'!$X$3, AC108*J108*L108*O108,"None"))</f>
        <v/>
      </c>
      <c r="AF108" s="40" t="str">
        <f t="shared" si="5"/>
        <v/>
      </c>
      <c r="AG108" s="40" t="str">
        <f t="shared" si="6"/>
        <v/>
      </c>
      <c r="AH108" s="40" t="str">
        <f>IF(I108="","",IF(#REF!&gt;0,TRUE,FALSE))</f>
        <v/>
      </c>
      <c r="AI108" s="40">
        <v>98</v>
      </c>
      <c r="AJ108" s="40"/>
      <c r="AK108" s="40" t="str">
        <f t="array" ref="AK108">IFERROR(INDEX($AI$11:$AI$259, MATCH(0, IF(TRUE=$AF$11:$AF$259, COUNTIF($AK$10:$AK107, $AI$11:$AI$259), ""), 0)),"")</f>
        <v/>
      </c>
      <c r="AL108" s="40" t="str">
        <f t="array" ref="AL108">IFERROR(INDEX($AI$11:$AI$259, MATCH(0, IF(TRUE=$AG$11:$AG$259, COUNTIF($AL$10:$AL107, $AI$11:$AI$259), ""), 0)),"")</f>
        <v/>
      </c>
      <c r="AM108" s="40" t="str">
        <f t="array" ref="AM108">IFERROR(INDEX($AI$11:$AI$259, MATCH(0, IF(TRUE=$AH$11:$AH$259, COUNTIF($AM$10:$AM107, $AI$11:$AI$259), ""), 0)),"")</f>
        <v/>
      </c>
      <c r="AN108" s="40"/>
      <c r="AQ108" s="35">
        <f t="shared" si="7"/>
        <v>0</v>
      </c>
    </row>
    <row r="109" spans="1:43">
      <c r="A109" s="35" t="str">
        <f>IFERROR(INDEX('G-1 All Habitats'!$AG$3:$AG$17,MATCH(E109,'G-1 All Habitats'!$AF$3:$AF$17,0)),"")</f>
        <v/>
      </c>
      <c r="B109" s="35" t="str">
        <f>IFERROR(INDEX('G-8 Condition Look up'!$I$4:$I$135,MATCH(G109,'G-8 Condition Look up'!$A$4:$A$135,0)),"")</f>
        <v/>
      </c>
      <c r="D109" s="287">
        <v>99</v>
      </c>
      <c r="E109" s="267"/>
      <c r="F109" s="61"/>
      <c r="G109" s="52" t="str">
        <f>IFERROR(INDEX('G-1 All Habitats'!$B$3:$B$134,MATCH(F109,'G-1 All Habitats'!$A$3:$A$134,0)),"")</f>
        <v/>
      </c>
      <c r="H109" s="53"/>
      <c r="I109" s="362" t="str">
        <f>IF(G109="","",VLOOKUP(G109,'G-1 All Habitats'!$B$2:$M$134,10,FALSE))</f>
        <v/>
      </c>
      <c r="J109" s="363" t="str">
        <f>IFERROR(VLOOKUP(I109,'G-1 All Habitats'!$V$3:$W$7,2,FALSE),"")</f>
        <v/>
      </c>
      <c r="K109" s="54"/>
      <c r="L109" s="363" t="str">
        <f>IFERROR(INDEX('G-8 Condition Look up'!$A$3:$H$135,MATCH(G109,'G-8 Condition Look up'!$A$3:$A$135,0),MATCH(K109,'G-8 Condition Look up'!$A$3:$H$3,0)),"")</f>
        <v/>
      </c>
      <c r="M109" s="54"/>
      <c r="N109" s="382" t="str">
        <f>IF(M109="","",IF(VLOOKUP(M109,'G-3 Multipliers'!$L$3:$N$6,2,FALSE)=0,"Spatial Data Missing",VLOOKUP(M109,'G-3 Multipliers'!$L$3:$N$6,2,FALSE)))</f>
        <v/>
      </c>
      <c r="O109" s="368" t="str">
        <f>IF(M109="","",IF(VLOOKUP(M109,'G-3 Multipliers'!$L$3:$N$6,3,FALSE)=0,"Spatial Data Missing",VLOOKUP(M109,'G-3 Multipliers'!$L$3:$N$6,3,FALSE)))</f>
        <v/>
      </c>
      <c r="P109" s="369" t="str">
        <f>IFERROR(VLOOKUP(G109,'G-1 All Habitats'!$B$2:$M$134,12,FALSE),"")</f>
        <v/>
      </c>
      <c r="Q109" s="376" t="str">
        <f>IFERROR(IF(P109="","",IF(AND(P109='G-1 All Habitats'!$X$3,T109&gt;0),U109+V109,IF(AND(P109='G-1 All Habitats'!$X$3,S109&gt;0),U109+V109,IF(AND(P109='G-1 All Habitats'!$X$3,AC109&gt;0),"Any Loss Unacceptable ⚠",IF(AND(P109='G-1 All Habitats'!$X$3,W109&gt;0),"Any Loss Unacceptable ⚠",H109*J109*L109*O109))))),"Check Data ▲")</f>
        <v/>
      </c>
      <c r="R109" s="38"/>
      <c r="S109" s="54"/>
      <c r="T109" s="55"/>
      <c r="U109" s="374" t="str">
        <f t="shared" si="8"/>
        <v/>
      </c>
      <c r="V109" s="374" t="str">
        <f t="shared" si="9"/>
        <v/>
      </c>
      <c r="W109" s="374" t="str">
        <f>IF(E109="","",IF(H109&lt;S109+T109,"Error in Areas ▲",IF(P109&lt;&gt;'G-1 All Habitats'!$X$3,H109-S109-T109,IF(AND(P109='G-1 All Habitats'!$X$3,Y109="Yes"),"Unacceptable Loss ⚠",IF(AND(P109='G-1 All Habitats'!$X$3,Y109="No"),AC109,IF(AND(P109='G-1 All Habitats'!$X$3,Y109=""),AC109,IF(AND(P109='G-1 All Habitats'!$X$3,AC109="None",AC109),IF(AND(P109='G-1 All Habitats'!$X$3,AC109&gt;0),H109-S109-T109))))))))</f>
        <v/>
      </c>
      <c r="X109" s="378" t="str">
        <f>IFERROR(IF(H109="","",IF(H109-S109-T109=0&lt;0,"Error in Areas ▲",IF(S109+T109&gt;H109,"Error in Areas ▲",IF(AND(P109='G-1 All Habitats'!$X$3,Y109="Yes"),"Alternative Compensation ✓",IF(W109=0,0,IF(P109='G-1 All Habitats'!$X$3,"Any Loss Unacceptable ▲",Q109-U109-V109)))))),"Check Data ▲")</f>
        <v/>
      </c>
      <c r="Y109" s="55"/>
      <c r="Z109" s="62"/>
      <c r="AA109" s="526"/>
      <c r="AB109" s="120"/>
      <c r="AC109" s="726" t="str">
        <f>IF(P109="","",IF(P109='G-1 All Habitats'!$X$3,H109-S109-T109,"None"))</f>
        <v/>
      </c>
      <c r="AD109" s="727" t="str">
        <f>IF(P109="","", IF(P109='G-1 All Habitats'!$X$3, AC109*J109*L109*O109,"None"))</f>
        <v/>
      </c>
      <c r="AF109" s="40" t="str">
        <f t="shared" si="5"/>
        <v/>
      </c>
      <c r="AG109" s="40" t="str">
        <f t="shared" si="6"/>
        <v/>
      </c>
      <c r="AH109" s="40" t="str">
        <f>IF(I109="","",IF(#REF!&gt;0,TRUE,FALSE))</f>
        <v/>
      </c>
      <c r="AI109" s="40">
        <v>99</v>
      </c>
      <c r="AJ109" s="40"/>
      <c r="AK109" s="40" t="str">
        <f t="array" ref="AK109">IFERROR(INDEX($AI$11:$AI$259, MATCH(0, IF(TRUE=$AF$11:$AF$259, COUNTIF($AK$10:$AK108, $AI$11:$AI$259), ""), 0)),"")</f>
        <v/>
      </c>
      <c r="AL109" s="40" t="str">
        <f t="array" ref="AL109">IFERROR(INDEX($AI$11:$AI$259, MATCH(0, IF(TRUE=$AG$11:$AG$259, COUNTIF($AL$10:$AL108, $AI$11:$AI$259), ""), 0)),"")</f>
        <v/>
      </c>
      <c r="AM109" s="40" t="str">
        <f t="array" ref="AM109">IFERROR(INDEX($AI$11:$AI$259, MATCH(0, IF(TRUE=$AH$11:$AH$259, COUNTIF($AM$10:$AM108, $AI$11:$AI$259), ""), 0)),"")</f>
        <v/>
      </c>
      <c r="AN109" s="40"/>
      <c r="AQ109" s="35">
        <f t="shared" si="7"/>
        <v>0</v>
      </c>
    </row>
    <row r="110" spans="1:43">
      <c r="A110" s="35" t="str">
        <f>IFERROR(INDEX('G-1 All Habitats'!$AG$3:$AG$17,MATCH(E110,'G-1 All Habitats'!$AF$3:$AF$17,0)),"")</f>
        <v/>
      </c>
      <c r="B110" s="35" t="str">
        <f>IFERROR(INDEX('G-8 Condition Look up'!$I$4:$I$135,MATCH(G110,'G-8 Condition Look up'!$A$4:$A$135,0)),"")</f>
        <v/>
      </c>
      <c r="D110" s="287">
        <v>100</v>
      </c>
      <c r="E110" s="267"/>
      <c r="F110" s="61"/>
      <c r="G110" s="52" t="str">
        <f>IFERROR(INDEX('G-1 All Habitats'!$B$3:$B$134,MATCH(F110,'G-1 All Habitats'!$A$3:$A$134,0)),"")</f>
        <v/>
      </c>
      <c r="H110" s="53"/>
      <c r="I110" s="362" t="str">
        <f>IF(G110="","",VLOOKUP(G110,'G-1 All Habitats'!$B$2:$M$134,10,FALSE))</f>
        <v/>
      </c>
      <c r="J110" s="363" t="str">
        <f>IFERROR(VLOOKUP(I110,'G-1 All Habitats'!$V$3:$W$7,2,FALSE),"")</f>
        <v/>
      </c>
      <c r="K110" s="54"/>
      <c r="L110" s="363" t="str">
        <f>IFERROR(INDEX('G-8 Condition Look up'!$A$3:$H$135,MATCH(G110,'G-8 Condition Look up'!$A$3:$A$135,0),MATCH(K110,'G-8 Condition Look up'!$A$3:$H$3,0)),"")</f>
        <v/>
      </c>
      <c r="M110" s="54"/>
      <c r="N110" s="382" t="str">
        <f>IF(M110="","",IF(VLOOKUP(M110,'G-3 Multipliers'!$L$3:$N$6,2,FALSE)=0,"Spatial Data Missing",VLOOKUP(M110,'G-3 Multipliers'!$L$3:$N$6,2,FALSE)))</f>
        <v/>
      </c>
      <c r="O110" s="368" t="str">
        <f>IF(M110="","",IF(VLOOKUP(M110,'G-3 Multipliers'!$L$3:$N$6,3,FALSE)=0,"Spatial Data Missing",VLOOKUP(M110,'G-3 Multipliers'!$L$3:$N$6,3,FALSE)))</f>
        <v/>
      </c>
      <c r="P110" s="369" t="str">
        <f>IFERROR(VLOOKUP(G110,'G-1 All Habitats'!$B$2:$M$134,12,FALSE),"")</f>
        <v/>
      </c>
      <c r="Q110" s="376" t="str">
        <f>IFERROR(IF(P110="","",IF(AND(P110='G-1 All Habitats'!$X$3,T110&gt;0),U110+V110,IF(AND(P110='G-1 All Habitats'!$X$3,S110&gt;0),U110+V110,IF(AND(P110='G-1 All Habitats'!$X$3,AC110&gt;0),"Any Loss Unacceptable ⚠",IF(AND(P110='G-1 All Habitats'!$X$3,W110&gt;0),"Any Loss Unacceptable ⚠",H110*J110*L110*O110))))),"Check Data ▲")</f>
        <v/>
      </c>
      <c r="R110" s="38"/>
      <c r="S110" s="54"/>
      <c r="T110" s="55"/>
      <c r="U110" s="374" t="str">
        <f t="shared" si="8"/>
        <v/>
      </c>
      <c r="V110" s="374" t="str">
        <f t="shared" si="9"/>
        <v/>
      </c>
      <c r="W110" s="374" t="str">
        <f>IF(E110="","",IF(H110&lt;S110+T110,"Error in Areas ▲",IF(P110&lt;&gt;'G-1 All Habitats'!$X$3,H110-S110-T110,IF(AND(P110='G-1 All Habitats'!$X$3,Y110="Yes"),"Unacceptable Loss ⚠",IF(AND(P110='G-1 All Habitats'!$X$3,Y110="No"),AC110,IF(AND(P110='G-1 All Habitats'!$X$3,Y110=""),AC110,IF(AND(P110='G-1 All Habitats'!$X$3,AC110="None",AC110),IF(AND(P110='G-1 All Habitats'!$X$3,AC110&gt;0),H110-S110-T110))))))))</f>
        <v/>
      </c>
      <c r="X110" s="378" t="str">
        <f>IFERROR(IF(H110="","",IF(H110-S110-T110=0&lt;0,"Error in Areas ▲",IF(S110+T110&gt;H110,"Error in Areas ▲",IF(AND(P110='G-1 All Habitats'!$X$3,Y110="Yes"),"Alternative Compensation ✓",IF(W110=0,0,IF(P110='G-1 All Habitats'!$X$3,"Any Loss Unacceptable ▲",Q110-U110-V110)))))),"Check Data ▲")</f>
        <v/>
      </c>
      <c r="Y110" s="55"/>
      <c r="Z110" s="62"/>
      <c r="AA110" s="526"/>
      <c r="AB110" s="120"/>
      <c r="AC110" s="726" t="str">
        <f>IF(P110="","",IF(P110='G-1 All Habitats'!$X$3,H110-S110-T110,"None"))</f>
        <v/>
      </c>
      <c r="AD110" s="727" t="str">
        <f>IF(P110="","", IF(P110='G-1 All Habitats'!$X$3, AC110*J110*L110*O110,"None"))</f>
        <v/>
      </c>
      <c r="AF110" s="40" t="str">
        <f t="shared" si="5"/>
        <v/>
      </c>
      <c r="AG110" s="40" t="str">
        <f t="shared" si="6"/>
        <v/>
      </c>
      <c r="AH110" s="40" t="str">
        <f>IF(I110="","",IF(#REF!&gt;0,TRUE,FALSE))</f>
        <v/>
      </c>
      <c r="AI110" s="40">
        <v>100</v>
      </c>
      <c r="AJ110" s="40"/>
      <c r="AK110" s="40" t="str">
        <f t="array" ref="AK110">IFERROR(INDEX($AI$11:$AI$259, MATCH(0, IF(TRUE=$AF$11:$AF$259, COUNTIF($AK$10:$AK109, $AI$11:$AI$259), ""), 0)),"")</f>
        <v/>
      </c>
      <c r="AL110" s="40" t="str">
        <f t="array" ref="AL110">IFERROR(INDEX($AI$11:$AI$259, MATCH(0, IF(TRUE=$AG$11:$AG$259, COUNTIF($AL$10:$AL109, $AI$11:$AI$259), ""), 0)),"")</f>
        <v/>
      </c>
      <c r="AM110" s="40" t="str">
        <f t="array" ref="AM110">IFERROR(INDEX($AI$11:$AI$259, MATCH(0, IF(TRUE=$AH$11:$AH$259, COUNTIF($AM$10:$AM109, $AI$11:$AI$259), ""), 0)),"")</f>
        <v/>
      </c>
      <c r="AN110" s="40"/>
      <c r="AQ110" s="35">
        <f t="shared" si="7"/>
        <v>0</v>
      </c>
    </row>
    <row r="111" spans="1:43">
      <c r="A111" s="35" t="str">
        <f>IFERROR(INDEX('G-1 All Habitats'!$AG$3:$AG$17,MATCH(E111,'G-1 All Habitats'!$AF$3:$AF$17,0)),"")</f>
        <v/>
      </c>
      <c r="B111" s="35" t="str">
        <f>IFERROR(INDEX('G-8 Condition Look up'!$I$4:$I$135,MATCH(G111,'G-8 Condition Look up'!$A$4:$A$135,0)),"")</f>
        <v/>
      </c>
      <c r="D111" s="287">
        <v>101</v>
      </c>
      <c r="E111" s="267"/>
      <c r="F111" s="61"/>
      <c r="G111" s="52" t="str">
        <f>IFERROR(INDEX('G-1 All Habitats'!$B$3:$B$134,MATCH(F111,'G-1 All Habitats'!$A$3:$A$134,0)),"")</f>
        <v/>
      </c>
      <c r="H111" s="53"/>
      <c r="I111" s="362" t="str">
        <f>IF(G111="","",VLOOKUP(G111,'G-1 All Habitats'!$B$2:$M$134,10,FALSE))</f>
        <v/>
      </c>
      <c r="J111" s="363" t="str">
        <f>IFERROR(VLOOKUP(I111,'G-1 All Habitats'!$V$3:$W$7,2,FALSE),"")</f>
        <v/>
      </c>
      <c r="K111" s="54"/>
      <c r="L111" s="363" t="str">
        <f>IFERROR(INDEX('G-8 Condition Look up'!$A$3:$H$135,MATCH(G111,'G-8 Condition Look up'!$A$3:$A$135,0),MATCH(K111,'G-8 Condition Look up'!$A$3:$H$3,0)),"")</f>
        <v/>
      </c>
      <c r="M111" s="54"/>
      <c r="N111" s="382" t="str">
        <f>IF(M111="","",IF(VLOOKUP(M111,'G-3 Multipliers'!$L$3:$N$6,2,FALSE)=0,"Spatial Data Missing",VLOOKUP(M111,'G-3 Multipliers'!$L$3:$N$6,2,FALSE)))</f>
        <v/>
      </c>
      <c r="O111" s="368" t="str">
        <f>IF(M111="","",IF(VLOOKUP(M111,'G-3 Multipliers'!$L$3:$N$6,3,FALSE)=0,"Spatial Data Missing",VLOOKUP(M111,'G-3 Multipliers'!$L$3:$N$6,3,FALSE)))</f>
        <v/>
      </c>
      <c r="P111" s="369" t="str">
        <f>IFERROR(VLOOKUP(G111,'G-1 All Habitats'!$B$2:$M$134,12,FALSE),"")</f>
        <v/>
      </c>
      <c r="Q111" s="376" t="str">
        <f>IFERROR(IF(P111="","",IF(AND(P111='G-1 All Habitats'!$X$3,T111&gt;0),U111+V111,IF(AND(P111='G-1 All Habitats'!$X$3,S111&gt;0),U111+V111,IF(AND(P111='G-1 All Habitats'!$X$3,AC111&gt;0),"Any Loss Unacceptable ⚠",IF(AND(P111='G-1 All Habitats'!$X$3,W111&gt;0),"Any Loss Unacceptable ⚠",H111*J111*L111*O111))))),"Check Data ▲")</f>
        <v/>
      </c>
      <c r="R111" s="38"/>
      <c r="S111" s="54"/>
      <c r="T111" s="55"/>
      <c r="U111" s="374" t="str">
        <f t="shared" si="8"/>
        <v/>
      </c>
      <c r="V111" s="374" t="str">
        <f t="shared" si="9"/>
        <v/>
      </c>
      <c r="W111" s="374" t="str">
        <f>IF(E111="","",IF(H111&lt;S111+T111,"Error in Areas ▲",IF(P111&lt;&gt;'G-1 All Habitats'!$X$3,H111-S111-T111,IF(AND(P111='G-1 All Habitats'!$X$3,Y111="Yes"),"Unacceptable Loss ⚠",IF(AND(P111='G-1 All Habitats'!$X$3,Y111="No"),AC111,IF(AND(P111='G-1 All Habitats'!$X$3,Y111=""),AC111,IF(AND(P111='G-1 All Habitats'!$X$3,AC111="None",AC111),IF(AND(P111='G-1 All Habitats'!$X$3,AC111&gt;0),H111-S111-T111))))))))</f>
        <v/>
      </c>
      <c r="X111" s="378" t="str">
        <f>IFERROR(IF(H111="","",IF(H111-S111-T111=0&lt;0,"Error in Areas ▲",IF(S111+T111&gt;H111,"Error in Areas ▲",IF(AND(P111='G-1 All Habitats'!$X$3,Y111="Yes"),"Alternative Compensation ✓",IF(W111=0,0,IF(P111='G-1 All Habitats'!$X$3,"Any Loss Unacceptable ▲",Q111-U111-V111)))))),"Check Data ▲")</f>
        <v/>
      </c>
      <c r="Y111" s="55"/>
      <c r="Z111" s="62"/>
      <c r="AA111" s="526"/>
      <c r="AB111" s="120"/>
      <c r="AC111" s="726" t="str">
        <f>IF(P111="","",IF(P111='G-1 All Habitats'!$X$3,H111-S111-T111,"None"))</f>
        <v/>
      </c>
      <c r="AD111" s="727" t="str">
        <f>IF(P111="","", IF(P111='G-1 All Habitats'!$X$3, AC111*J111*L111*O111,"None"))</f>
        <v/>
      </c>
      <c r="AF111" s="40" t="str">
        <f t="shared" si="5"/>
        <v/>
      </c>
      <c r="AG111" s="40" t="str">
        <f t="shared" si="6"/>
        <v/>
      </c>
      <c r="AH111" s="40" t="str">
        <f>IF(I111="","",IF(#REF!&gt;0,TRUE,FALSE))</f>
        <v/>
      </c>
      <c r="AI111" s="40">
        <v>101</v>
      </c>
      <c r="AJ111" s="40"/>
      <c r="AK111" s="40" t="str">
        <f t="array" ref="AK111">IFERROR(INDEX($AI$11:$AI$259, MATCH(0, IF(TRUE=$AF$11:$AF$259, COUNTIF($AK$10:$AK110, $AI$11:$AI$259), ""), 0)),"")</f>
        <v/>
      </c>
      <c r="AL111" s="40" t="str">
        <f t="array" ref="AL111">IFERROR(INDEX($AI$11:$AI$259, MATCH(0, IF(TRUE=$AG$11:$AG$259, COUNTIF($AL$10:$AL110, $AI$11:$AI$259), ""), 0)),"")</f>
        <v/>
      </c>
      <c r="AM111" s="40" t="str">
        <f t="array" ref="AM111">IFERROR(INDEX($AI$11:$AI$259, MATCH(0, IF(TRUE=$AH$11:$AH$259, COUNTIF($AM$10:$AM110, $AI$11:$AI$259), ""), 0)),"")</f>
        <v/>
      </c>
      <c r="AN111" s="40"/>
      <c r="AQ111" s="35">
        <f t="shared" si="7"/>
        <v>0</v>
      </c>
    </row>
    <row r="112" spans="1:43">
      <c r="A112" s="35" t="str">
        <f>IFERROR(INDEX('G-1 All Habitats'!$AG$3:$AG$17,MATCH(E112,'G-1 All Habitats'!$AF$3:$AF$17,0)),"")</f>
        <v/>
      </c>
      <c r="B112" s="35" t="str">
        <f>IFERROR(INDEX('G-8 Condition Look up'!$I$4:$I$135,MATCH(G112,'G-8 Condition Look up'!$A$4:$A$135,0)),"")</f>
        <v/>
      </c>
      <c r="D112" s="287">
        <v>102</v>
      </c>
      <c r="E112" s="267"/>
      <c r="F112" s="61"/>
      <c r="G112" s="52" t="str">
        <f>IFERROR(INDEX('G-1 All Habitats'!$B$3:$B$134,MATCH(F112,'G-1 All Habitats'!$A$3:$A$134,0)),"")</f>
        <v/>
      </c>
      <c r="H112" s="53"/>
      <c r="I112" s="362" t="str">
        <f>IF(G112="","",VLOOKUP(G112,'G-1 All Habitats'!$B$2:$M$134,10,FALSE))</f>
        <v/>
      </c>
      <c r="J112" s="363" t="str">
        <f>IFERROR(VLOOKUP(I112,'G-1 All Habitats'!$V$3:$W$7,2,FALSE),"")</f>
        <v/>
      </c>
      <c r="K112" s="54"/>
      <c r="L112" s="363" t="str">
        <f>IFERROR(INDEX('G-8 Condition Look up'!$A$3:$H$135,MATCH(G112,'G-8 Condition Look up'!$A$3:$A$135,0),MATCH(K112,'G-8 Condition Look up'!$A$3:$H$3,0)),"")</f>
        <v/>
      </c>
      <c r="M112" s="54"/>
      <c r="N112" s="382" t="str">
        <f>IF(M112="","",IF(VLOOKUP(M112,'G-3 Multipliers'!$L$3:$N$6,2,FALSE)=0,"Spatial Data Missing",VLOOKUP(M112,'G-3 Multipliers'!$L$3:$N$6,2,FALSE)))</f>
        <v/>
      </c>
      <c r="O112" s="368" t="str">
        <f>IF(M112="","",IF(VLOOKUP(M112,'G-3 Multipliers'!$L$3:$N$6,3,FALSE)=0,"Spatial Data Missing",VLOOKUP(M112,'G-3 Multipliers'!$L$3:$N$6,3,FALSE)))</f>
        <v/>
      </c>
      <c r="P112" s="369" t="str">
        <f>IFERROR(VLOOKUP(G112,'G-1 All Habitats'!$B$2:$M$134,12,FALSE),"")</f>
        <v/>
      </c>
      <c r="Q112" s="376" t="str">
        <f>IFERROR(IF(P112="","",IF(AND(P112='G-1 All Habitats'!$X$3,T112&gt;0),U112+V112,IF(AND(P112='G-1 All Habitats'!$X$3,S112&gt;0),U112+V112,IF(AND(P112='G-1 All Habitats'!$X$3,AC112&gt;0),"Any Loss Unacceptable ⚠",IF(AND(P112='G-1 All Habitats'!$X$3,W112&gt;0),"Any Loss Unacceptable ⚠",H112*J112*L112*O112))))),"Check Data ▲")</f>
        <v/>
      </c>
      <c r="R112" s="38"/>
      <c r="S112" s="54"/>
      <c r="T112" s="55"/>
      <c r="U112" s="374" t="str">
        <f t="shared" si="8"/>
        <v/>
      </c>
      <c r="V112" s="374" t="str">
        <f t="shared" si="9"/>
        <v/>
      </c>
      <c r="W112" s="374" t="str">
        <f>IF(E112="","",IF(H112&lt;S112+T112,"Error in Areas ▲",IF(P112&lt;&gt;'G-1 All Habitats'!$X$3,H112-S112-T112,IF(AND(P112='G-1 All Habitats'!$X$3,Y112="Yes"),"Unacceptable Loss ⚠",IF(AND(P112='G-1 All Habitats'!$X$3,Y112="No"),AC112,IF(AND(P112='G-1 All Habitats'!$X$3,Y112=""),AC112,IF(AND(P112='G-1 All Habitats'!$X$3,AC112="None",AC112),IF(AND(P112='G-1 All Habitats'!$X$3,AC112&gt;0),H112-S112-T112))))))))</f>
        <v/>
      </c>
      <c r="X112" s="378" t="str">
        <f>IFERROR(IF(H112="","",IF(H112-S112-T112=0&lt;0,"Error in Areas ▲",IF(S112+T112&gt;H112,"Error in Areas ▲",IF(AND(P112='G-1 All Habitats'!$X$3,Y112="Yes"),"Alternative Compensation ✓",IF(W112=0,0,IF(P112='G-1 All Habitats'!$X$3,"Any Loss Unacceptable ▲",Q112-U112-V112)))))),"Check Data ▲")</f>
        <v/>
      </c>
      <c r="Y112" s="55"/>
      <c r="Z112" s="62"/>
      <c r="AA112" s="526"/>
      <c r="AB112" s="120"/>
      <c r="AC112" s="726" t="str">
        <f>IF(P112="","",IF(P112='G-1 All Habitats'!$X$3,H112-S112-T112,"None"))</f>
        <v/>
      </c>
      <c r="AD112" s="727" t="str">
        <f>IF(P112="","", IF(P112='G-1 All Habitats'!$X$3, AC112*J112*L112*O112,"None"))</f>
        <v/>
      </c>
      <c r="AF112" s="40" t="str">
        <f t="shared" si="5"/>
        <v/>
      </c>
      <c r="AG112" s="40" t="str">
        <f t="shared" si="6"/>
        <v/>
      </c>
      <c r="AH112" s="40" t="str">
        <f>IF(I112="","",IF(#REF!&gt;0,TRUE,FALSE))</f>
        <v/>
      </c>
      <c r="AI112" s="40">
        <v>102</v>
      </c>
      <c r="AJ112" s="40"/>
      <c r="AK112" s="40" t="str">
        <f t="array" ref="AK112">IFERROR(INDEX($AI$11:$AI$259, MATCH(0, IF(TRUE=$AF$11:$AF$259, COUNTIF($AK$10:$AK111, $AI$11:$AI$259), ""), 0)),"")</f>
        <v/>
      </c>
      <c r="AL112" s="40" t="str">
        <f t="array" ref="AL112">IFERROR(INDEX($AI$11:$AI$259, MATCH(0, IF(TRUE=$AG$11:$AG$259, COUNTIF($AL$10:$AL111, $AI$11:$AI$259), ""), 0)),"")</f>
        <v/>
      </c>
      <c r="AM112" s="40" t="str">
        <f t="array" ref="AM112">IFERROR(INDEX($AI$11:$AI$259, MATCH(0, IF(TRUE=$AH$11:$AH$259, COUNTIF($AM$10:$AM111, $AI$11:$AI$259), ""), 0)),"")</f>
        <v/>
      </c>
      <c r="AN112" s="40"/>
      <c r="AQ112" s="35">
        <f t="shared" si="7"/>
        <v>0</v>
      </c>
    </row>
    <row r="113" spans="1:43">
      <c r="A113" s="35" t="str">
        <f>IFERROR(INDEX('G-1 All Habitats'!$AG$3:$AG$17,MATCH(E113,'G-1 All Habitats'!$AF$3:$AF$17,0)),"")</f>
        <v/>
      </c>
      <c r="B113" s="35" t="str">
        <f>IFERROR(INDEX('G-8 Condition Look up'!$I$4:$I$135,MATCH(G113,'G-8 Condition Look up'!$A$4:$A$135,0)),"")</f>
        <v/>
      </c>
      <c r="D113" s="287">
        <v>103</v>
      </c>
      <c r="E113" s="267"/>
      <c r="F113" s="61"/>
      <c r="G113" s="52" t="str">
        <f>IFERROR(INDEX('G-1 All Habitats'!$B$3:$B$134,MATCH(F113,'G-1 All Habitats'!$A$3:$A$134,0)),"")</f>
        <v/>
      </c>
      <c r="H113" s="53"/>
      <c r="I113" s="362" t="str">
        <f>IF(G113="","",VLOOKUP(G113,'G-1 All Habitats'!$B$2:$M$134,10,FALSE))</f>
        <v/>
      </c>
      <c r="J113" s="363" t="str">
        <f>IFERROR(VLOOKUP(I113,'G-1 All Habitats'!$V$3:$W$7,2,FALSE),"")</f>
        <v/>
      </c>
      <c r="K113" s="54"/>
      <c r="L113" s="363" t="str">
        <f>IFERROR(INDEX('G-8 Condition Look up'!$A$3:$H$135,MATCH(G113,'G-8 Condition Look up'!$A$3:$A$135,0),MATCH(K113,'G-8 Condition Look up'!$A$3:$H$3,0)),"")</f>
        <v/>
      </c>
      <c r="M113" s="54"/>
      <c r="N113" s="382" t="str">
        <f>IF(M113="","",IF(VLOOKUP(M113,'G-3 Multipliers'!$L$3:$N$6,2,FALSE)=0,"Spatial Data Missing",VLOOKUP(M113,'G-3 Multipliers'!$L$3:$N$6,2,FALSE)))</f>
        <v/>
      </c>
      <c r="O113" s="368" t="str">
        <f>IF(M113="","",IF(VLOOKUP(M113,'G-3 Multipliers'!$L$3:$N$6,3,FALSE)=0,"Spatial Data Missing",VLOOKUP(M113,'G-3 Multipliers'!$L$3:$N$6,3,FALSE)))</f>
        <v/>
      </c>
      <c r="P113" s="369" t="str">
        <f>IFERROR(VLOOKUP(G113,'G-1 All Habitats'!$B$2:$M$134,12,FALSE),"")</f>
        <v/>
      </c>
      <c r="Q113" s="376" t="str">
        <f>IFERROR(IF(P113="","",IF(AND(P113='G-1 All Habitats'!$X$3,T113&gt;0),U113+V113,IF(AND(P113='G-1 All Habitats'!$X$3,S113&gt;0),U113+V113,IF(AND(P113='G-1 All Habitats'!$X$3,AC113&gt;0),"Any Loss Unacceptable ⚠",IF(AND(P113='G-1 All Habitats'!$X$3,W113&gt;0),"Any Loss Unacceptable ⚠",H113*J113*L113*O113))))),"Check Data ▲")</f>
        <v/>
      </c>
      <c r="R113" s="38"/>
      <c r="S113" s="54"/>
      <c r="T113" s="55"/>
      <c r="U113" s="374" t="str">
        <f t="shared" si="8"/>
        <v/>
      </c>
      <c r="V113" s="374" t="str">
        <f t="shared" si="9"/>
        <v/>
      </c>
      <c r="W113" s="374" t="str">
        <f>IF(E113="","",IF(H113&lt;S113+T113,"Error in Areas ▲",IF(P113&lt;&gt;'G-1 All Habitats'!$X$3,H113-S113-T113,IF(AND(P113='G-1 All Habitats'!$X$3,Y113="Yes"),"Unacceptable Loss ⚠",IF(AND(P113='G-1 All Habitats'!$X$3,Y113="No"),AC113,IF(AND(P113='G-1 All Habitats'!$X$3,Y113=""),AC113,IF(AND(P113='G-1 All Habitats'!$X$3,AC113="None",AC113),IF(AND(P113='G-1 All Habitats'!$X$3,AC113&gt;0),H113-S113-T113))))))))</f>
        <v/>
      </c>
      <c r="X113" s="378" t="str">
        <f>IFERROR(IF(H113="","",IF(H113-S113-T113=0&lt;0,"Error in Areas ▲",IF(S113+T113&gt;H113,"Error in Areas ▲",IF(AND(P113='G-1 All Habitats'!$X$3,Y113="Yes"),"Alternative Compensation ✓",IF(W113=0,0,IF(P113='G-1 All Habitats'!$X$3,"Any Loss Unacceptable ▲",Q113-U113-V113)))))),"Check Data ▲")</f>
        <v/>
      </c>
      <c r="Y113" s="55"/>
      <c r="Z113" s="62"/>
      <c r="AA113" s="526"/>
      <c r="AB113" s="120"/>
      <c r="AC113" s="726" t="str">
        <f>IF(P113="","",IF(P113='G-1 All Habitats'!$X$3,H113-S113-T113,"None"))</f>
        <v/>
      </c>
      <c r="AD113" s="727" t="str">
        <f>IF(P113="","", IF(P113='G-1 All Habitats'!$X$3, AC113*J113*L113*O113,"None"))</f>
        <v/>
      </c>
      <c r="AF113" s="40" t="str">
        <f t="shared" si="5"/>
        <v/>
      </c>
      <c r="AG113" s="40" t="str">
        <f t="shared" si="6"/>
        <v/>
      </c>
      <c r="AH113" s="40" t="str">
        <f>IF(I113="","",IF(#REF!&gt;0,TRUE,FALSE))</f>
        <v/>
      </c>
      <c r="AI113" s="40">
        <v>103</v>
      </c>
      <c r="AJ113" s="40"/>
      <c r="AK113" s="40" t="str">
        <f t="array" ref="AK113">IFERROR(INDEX($AI$11:$AI$259, MATCH(0, IF(TRUE=$AF$11:$AF$259, COUNTIF($AK$10:$AK112, $AI$11:$AI$259), ""), 0)),"")</f>
        <v/>
      </c>
      <c r="AL113" s="40" t="str">
        <f t="array" ref="AL113">IFERROR(INDEX($AI$11:$AI$259, MATCH(0, IF(TRUE=$AG$11:$AG$259, COUNTIF($AL$10:$AL112, $AI$11:$AI$259), ""), 0)),"")</f>
        <v/>
      </c>
      <c r="AM113" s="40" t="str">
        <f t="array" ref="AM113">IFERROR(INDEX($AI$11:$AI$259, MATCH(0, IF(TRUE=$AH$11:$AH$259, COUNTIF($AM$10:$AM112, $AI$11:$AI$259), ""), 0)),"")</f>
        <v/>
      </c>
      <c r="AN113" s="40"/>
      <c r="AQ113" s="35">
        <f t="shared" si="7"/>
        <v>0</v>
      </c>
    </row>
    <row r="114" spans="1:43">
      <c r="A114" s="35" t="str">
        <f>IFERROR(INDEX('G-1 All Habitats'!$AG$3:$AG$17,MATCH(E114,'G-1 All Habitats'!$AF$3:$AF$17,0)),"")</f>
        <v/>
      </c>
      <c r="B114" s="35" t="str">
        <f>IFERROR(INDEX('G-8 Condition Look up'!$I$4:$I$135,MATCH(G114,'G-8 Condition Look up'!$A$4:$A$135,0)),"")</f>
        <v/>
      </c>
      <c r="D114" s="287">
        <v>104</v>
      </c>
      <c r="E114" s="267"/>
      <c r="F114" s="61"/>
      <c r="G114" s="52" t="str">
        <f>IFERROR(INDEX('G-1 All Habitats'!$B$3:$B$134,MATCH(F114,'G-1 All Habitats'!$A$3:$A$134,0)),"")</f>
        <v/>
      </c>
      <c r="H114" s="53"/>
      <c r="I114" s="362" t="str">
        <f>IF(G114="","",VLOOKUP(G114,'G-1 All Habitats'!$B$2:$M$134,10,FALSE))</f>
        <v/>
      </c>
      <c r="J114" s="363" t="str">
        <f>IFERROR(VLOOKUP(I114,'G-1 All Habitats'!$V$3:$W$7,2,FALSE),"")</f>
        <v/>
      </c>
      <c r="K114" s="54"/>
      <c r="L114" s="363" t="str">
        <f>IFERROR(INDEX('G-8 Condition Look up'!$A$3:$H$135,MATCH(G114,'G-8 Condition Look up'!$A$3:$A$135,0),MATCH(K114,'G-8 Condition Look up'!$A$3:$H$3,0)),"")</f>
        <v/>
      </c>
      <c r="M114" s="54"/>
      <c r="N114" s="382" t="str">
        <f>IF(M114="","",IF(VLOOKUP(M114,'G-3 Multipliers'!$L$3:$N$6,2,FALSE)=0,"Spatial Data Missing",VLOOKUP(M114,'G-3 Multipliers'!$L$3:$N$6,2,FALSE)))</f>
        <v/>
      </c>
      <c r="O114" s="368" t="str">
        <f>IF(M114="","",IF(VLOOKUP(M114,'G-3 Multipliers'!$L$3:$N$6,3,FALSE)=0,"Spatial Data Missing",VLOOKUP(M114,'G-3 Multipliers'!$L$3:$N$6,3,FALSE)))</f>
        <v/>
      </c>
      <c r="P114" s="369" t="str">
        <f>IFERROR(VLOOKUP(G114,'G-1 All Habitats'!$B$2:$M$134,12,FALSE),"")</f>
        <v/>
      </c>
      <c r="Q114" s="376" t="str">
        <f>IFERROR(IF(P114="","",IF(AND(P114='G-1 All Habitats'!$X$3,T114&gt;0),U114+V114,IF(AND(P114='G-1 All Habitats'!$X$3,S114&gt;0),U114+V114,IF(AND(P114='G-1 All Habitats'!$X$3,AC114&gt;0),"Any Loss Unacceptable ⚠",IF(AND(P114='G-1 All Habitats'!$X$3,W114&gt;0),"Any Loss Unacceptable ⚠",H114*J114*L114*O114))))),"Check Data ▲")</f>
        <v/>
      </c>
      <c r="R114" s="38"/>
      <c r="S114" s="54"/>
      <c r="T114" s="55"/>
      <c r="U114" s="374" t="str">
        <f t="shared" si="8"/>
        <v/>
      </c>
      <c r="V114" s="374" t="str">
        <f t="shared" si="9"/>
        <v/>
      </c>
      <c r="W114" s="374" t="str">
        <f>IF(E114="","",IF(H114&lt;S114+T114,"Error in Areas ▲",IF(P114&lt;&gt;'G-1 All Habitats'!$X$3,H114-S114-T114,IF(AND(P114='G-1 All Habitats'!$X$3,Y114="Yes"),"Unacceptable Loss ⚠",IF(AND(P114='G-1 All Habitats'!$X$3,Y114="No"),AC114,IF(AND(P114='G-1 All Habitats'!$X$3,Y114=""),AC114,IF(AND(P114='G-1 All Habitats'!$X$3,AC114="None",AC114),IF(AND(P114='G-1 All Habitats'!$X$3,AC114&gt;0),H114-S114-T114))))))))</f>
        <v/>
      </c>
      <c r="X114" s="378" t="str">
        <f>IFERROR(IF(H114="","",IF(H114-S114-T114=0&lt;0,"Error in Areas ▲",IF(S114+T114&gt;H114,"Error in Areas ▲",IF(AND(P114='G-1 All Habitats'!$X$3,Y114="Yes"),"Alternative Compensation ✓",IF(W114=0,0,IF(P114='G-1 All Habitats'!$X$3,"Any Loss Unacceptable ▲",Q114-U114-V114)))))),"Check Data ▲")</f>
        <v/>
      </c>
      <c r="Y114" s="55"/>
      <c r="Z114" s="62"/>
      <c r="AA114" s="526"/>
      <c r="AB114" s="120"/>
      <c r="AC114" s="726" t="str">
        <f>IF(P114="","",IF(P114='G-1 All Habitats'!$X$3,H114-S114-T114,"None"))</f>
        <v/>
      </c>
      <c r="AD114" s="727" t="str">
        <f>IF(P114="","", IF(P114='G-1 All Habitats'!$X$3, AC114*J114*L114*O114,"None"))</f>
        <v/>
      </c>
      <c r="AF114" s="40" t="str">
        <f t="shared" si="5"/>
        <v/>
      </c>
      <c r="AG114" s="40" t="str">
        <f t="shared" si="6"/>
        <v/>
      </c>
      <c r="AH114" s="40" t="str">
        <f>IF(I114="","",IF(#REF!&gt;0,TRUE,FALSE))</f>
        <v/>
      </c>
      <c r="AI114" s="40">
        <v>104</v>
      </c>
      <c r="AJ114" s="40"/>
      <c r="AK114" s="40" t="str">
        <f t="array" ref="AK114">IFERROR(INDEX($AI$11:$AI$259, MATCH(0, IF(TRUE=$AF$11:$AF$259, COUNTIF($AK$10:$AK113, $AI$11:$AI$259), ""), 0)),"")</f>
        <v/>
      </c>
      <c r="AL114" s="40" t="str">
        <f t="array" ref="AL114">IFERROR(INDEX($AI$11:$AI$259, MATCH(0, IF(TRUE=$AG$11:$AG$259, COUNTIF($AL$10:$AL113, $AI$11:$AI$259), ""), 0)),"")</f>
        <v/>
      </c>
      <c r="AM114" s="40" t="str">
        <f t="array" ref="AM114">IFERROR(INDEX($AI$11:$AI$259, MATCH(0, IF(TRUE=$AH$11:$AH$259, COUNTIF($AM$10:$AM113, $AI$11:$AI$259), ""), 0)),"")</f>
        <v/>
      </c>
      <c r="AN114" s="40"/>
      <c r="AQ114" s="35">
        <f t="shared" si="7"/>
        <v>0</v>
      </c>
    </row>
    <row r="115" spans="1:43">
      <c r="A115" s="35" t="str">
        <f>IFERROR(INDEX('G-1 All Habitats'!$AG$3:$AG$17,MATCH(E115,'G-1 All Habitats'!$AF$3:$AF$17,0)),"")</f>
        <v/>
      </c>
      <c r="B115" s="35" t="str">
        <f>IFERROR(INDEX('G-8 Condition Look up'!$I$4:$I$135,MATCH(G115,'G-8 Condition Look up'!$A$4:$A$135,0)),"")</f>
        <v/>
      </c>
      <c r="D115" s="287">
        <v>105</v>
      </c>
      <c r="E115" s="267"/>
      <c r="F115" s="61"/>
      <c r="G115" s="52" t="str">
        <f>IFERROR(INDEX('G-1 All Habitats'!$B$3:$B$134,MATCH(F115,'G-1 All Habitats'!$A$3:$A$134,0)),"")</f>
        <v/>
      </c>
      <c r="H115" s="53"/>
      <c r="I115" s="362" t="str">
        <f>IF(G115="","",VLOOKUP(G115,'G-1 All Habitats'!$B$2:$M$134,10,FALSE))</f>
        <v/>
      </c>
      <c r="J115" s="363" t="str">
        <f>IFERROR(VLOOKUP(I115,'G-1 All Habitats'!$V$3:$W$7,2,FALSE),"")</f>
        <v/>
      </c>
      <c r="K115" s="54"/>
      <c r="L115" s="363" t="str">
        <f>IFERROR(INDEX('G-8 Condition Look up'!$A$3:$H$135,MATCH(G115,'G-8 Condition Look up'!$A$3:$A$135,0),MATCH(K115,'G-8 Condition Look up'!$A$3:$H$3,0)),"")</f>
        <v/>
      </c>
      <c r="M115" s="54"/>
      <c r="N115" s="382" t="str">
        <f>IF(M115="","",IF(VLOOKUP(M115,'G-3 Multipliers'!$L$3:$N$6,2,FALSE)=0,"Spatial Data Missing",VLOOKUP(M115,'G-3 Multipliers'!$L$3:$N$6,2,FALSE)))</f>
        <v/>
      </c>
      <c r="O115" s="368" t="str">
        <f>IF(M115="","",IF(VLOOKUP(M115,'G-3 Multipliers'!$L$3:$N$6,3,FALSE)=0,"Spatial Data Missing",VLOOKUP(M115,'G-3 Multipliers'!$L$3:$N$6,3,FALSE)))</f>
        <v/>
      </c>
      <c r="P115" s="369" t="str">
        <f>IFERROR(VLOOKUP(G115,'G-1 All Habitats'!$B$2:$M$134,12,FALSE),"")</f>
        <v/>
      </c>
      <c r="Q115" s="376" t="str">
        <f>IFERROR(IF(P115="","",IF(AND(P115='G-1 All Habitats'!$X$3,T115&gt;0),U115+V115,IF(AND(P115='G-1 All Habitats'!$X$3,S115&gt;0),U115+V115,IF(AND(P115='G-1 All Habitats'!$X$3,AC115&gt;0),"Any Loss Unacceptable ⚠",IF(AND(P115='G-1 All Habitats'!$X$3,W115&gt;0),"Any Loss Unacceptable ⚠",H115*J115*L115*O115))))),"Check Data ▲")</f>
        <v/>
      </c>
      <c r="R115" s="38"/>
      <c r="S115" s="54"/>
      <c r="T115" s="55"/>
      <c r="U115" s="374" t="str">
        <f t="shared" si="8"/>
        <v/>
      </c>
      <c r="V115" s="374" t="str">
        <f t="shared" si="9"/>
        <v/>
      </c>
      <c r="W115" s="374" t="str">
        <f>IF(E115="","",IF(H115&lt;S115+T115,"Error in Areas ▲",IF(P115&lt;&gt;'G-1 All Habitats'!$X$3,H115-S115-T115,IF(AND(P115='G-1 All Habitats'!$X$3,Y115="Yes"),"Unacceptable Loss ⚠",IF(AND(P115='G-1 All Habitats'!$X$3,Y115="No"),AC115,IF(AND(P115='G-1 All Habitats'!$X$3,Y115=""),AC115,IF(AND(P115='G-1 All Habitats'!$X$3,AC115="None",AC115),IF(AND(P115='G-1 All Habitats'!$X$3,AC115&gt;0),H115-S115-T115))))))))</f>
        <v/>
      </c>
      <c r="X115" s="378" t="str">
        <f>IFERROR(IF(H115="","",IF(H115-S115-T115=0&lt;0,"Error in Areas ▲",IF(S115+T115&gt;H115,"Error in Areas ▲",IF(AND(P115='G-1 All Habitats'!$X$3,Y115="Yes"),"Alternative Compensation ✓",IF(W115=0,0,IF(P115='G-1 All Habitats'!$X$3,"Any Loss Unacceptable ▲",Q115-U115-V115)))))),"Check Data ▲")</f>
        <v/>
      </c>
      <c r="Y115" s="55"/>
      <c r="Z115" s="62"/>
      <c r="AA115" s="526"/>
      <c r="AB115" s="120"/>
      <c r="AC115" s="726" t="str">
        <f>IF(P115="","",IF(P115='G-1 All Habitats'!$X$3,H115-S115-T115,"None"))</f>
        <v/>
      </c>
      <c r="AD115" s="727" t="str">
        <f>IF(P115="","", IF(P115='G-1 All Habitats'!$X$3, AC115*J115*L115*O115,"None"))</f>
        <v/>
      </c>
      <c r="AF115" s="40" t="str">
        <f t="shared" si="5"/>
        <v/>
      </c>
      <c r="AG115" s="40" t="str">
        <f t="shared" si="6"/>
        <v/>
      </c>
      <c r="AH115" s="40" t="str">
        <f>IF(I115="","",IF(#REF!&gt;0,TRUE,FALSE))</f>
        <v/>
      </c>
      <c r="AI115" s="40">
        <v>105</v>
      </c>
      <c r="AJ115" s="40"/>
      <c r="AK115" s="40" t="str">
        <f t="array" ref="AK115">IFERROR(INDEX($AI$11:$AI$259, MATCH(0, IF(TRUE=$AF$11:$AF$259, COUNTIF($AK$10:$AK114, $AI$11:$AI$259), ""), 0)),"")</f>
        <v/>
      </c>
      <c r="AL115" s="40" t="str">
        <f t="array" ref="AL115">IFERROR(INDEX($AI$11:$AI$259, MATCH(0, IF(TRUE=$AG$11:$AG$259, COUNTIF($AL$10:$AL114, $AI$11:$AI$259), ""), 0)),"")</f>
        <v/>
      </c>
      <c r="AM115" s="40" t="str">
        <f t="array" ref="AM115">IFERROR(INDEX($AI$11:$AI$259, MATCH(0, IF(TRUE=$AH$11:$AH$259, COUNTIF($AM$10:$AM114, $AI$11:$AI$259), ""), 0)),"")</f>
        <v/>
      </c>
      <c r="AN115" s="40"/>
      <c r="AQ115" s="35">
        <f t="shared" si="7"/>
        <v>0</v>
      </c>
    </row>
    <row r="116" spans="1:43">
      <c r="A116" s="35" t="str">
        <f>IFERROR(INDEX('G-1 All Habitats'!$AG$3:$AG$17,MATCH(E116,'G-1 All Habitats'!$AF$3:$AF$17,0)),"")</f>
        <v/>
      </c>
      <c r="B116" s="35" t="str">
        <f>IFERROR(INDEX('G-8 Condition Look up'!$I$4:$I$135,MATCH(G116,'G-8 Condition Look up'!$A$4:$A$135,0)),"")</f>
        <v/>
      </c>
      <c r="D116" s="287">
        <v>106</v>
      </c>
      <c r="E116" s="267"/>
      <c r="F116" s="61"/>
      <c r="G116" s="52" t="str">
        <f>IFERROR(INDEX('G-1 All Habitats'!$B$3:$B$134,MATCH(F116,'G-1 All Habitats'!$A$3:$A$134,0)),"")</f>
        <v/>
      </c>
      <c r="H116" s="53"/>
      <c r="I116" s="362" t="str">
        <f>IF(G116="","",VLOOKUP(G116,'G-1 All Habitats'!$B$2:$M$134,10,FALSE))</f>
        <v/>
      </c>
      <c r="J116" s="363" t="str">
        <f>IFERROR(VLOOKUP(I116,'G-1 All Habitats'!$V$3:$W$7,2,FALSE),"")</f>
        <v/>
      </c>
      <c r="K116" s="54"/>
      <c r="L116" s="363" t="str">
        <f>IFERROR(INDEX('G-8 Condition Look up'!$A$3:$H$135,MATCH(G116,'G-8 Condition Look up'!$A$3:$A$135,0),MATCH(K116,'G-8 Condition Look up'!$A$3:$H$3,0)),"")</f>
        <v/>
      </c>
      <c r="M116" s="54"/>
      <c r="N116" s="382" t="str">
        <f>IF(M116="","",IF(VLOOKUP(M116,'G-3 Multipliers'!$L$3:$N$6,2,FALSE)=0,"Spatial Data Missing",VLOOKUP(M116,'G-3 Multipliers'!$L$3:$N$6,2,FALSE)))</f>
        <v/>
      </c>
      <c r="O116" s="368" t="str">
        <f>IF(M116="","",IF(VLOOKUP(M116,'G-3 Multipliers'!$L$3:$N$6,3,FALSE)=0,"Spatial Data Missing",VLOOKUP(M116,'G-3 Multipliers'!$L$3:$N$6,3,FALSE)))</f>
        <v/>
      </c>
      <c r="P116" s="369" t="str">
        <f>IFERROR(VLOOKUP(G116,'G-1 All Habitats'!$B$2:$M$134,12,FALSE),"")</f>
        <v/>
      </c>
      <c r="Q116" s="376" t="str">
        <f>IFERROR(IF(P116="","",IF(AND(P116='G-1 All Habitats'!$X$3,T116&gt;0),U116+V116,IF(AND(P116='G-1 All Habitats'!$X$3,S116&gt;0),U116+V116,IF(AND(P116='G-1 All Habitats'!$X$3,AC116&gt;0),"Any Loss Unacceptable ⚠",IF(AND(P116='G-1 All Habitats'!$X$3,W116&gt;0),"Any Loss Unacceptable ⚠",H116*J116*L116*O116))))),"Check Data ▲")</f>
        <v/>
      </c>
      <c r="R116" s="38"/>
      <c r="S116" s="54"/>
      <c r="T116" s="55"/>
      <c r="U116" s="374" t="str">
        <f t="shared" si="8"/>
        <v/>
      </c>
      <c r="V116" s="374" t="str">
        <f t="shared" si="9"/>
        <v/>
      </c>
      <c r="W116" s="374" t="str">
        <f>IF(E116="","",IF(H116&lt;S116+T116,"Error in Areas ▲",IF(P116&lt;&gt;'G-1 All Habitats'!$X$3,H116-S116-T116,IF(AND(P116='G-1 All Habitats'!$X$3,Y116="Yes"),"Unacceptable Loss ⚠",IF(AND(P116='G-1 All Habitats'!$X$3,Y116="No"),AC116,IF(AND(P116='G-1 All Habitats'!$X$3,Y116=""),AC116,IF(AND(P116='G-1 All Habitats'!$X$3,AC116="None",AC116),IF(AND(P116='G-1 All Habitats'!$X$3,AC116&gt;0),H116-S116-T116))))))))</f>
        <v/>
      </c>
      <c r="X116" s="378" t="str">
        <f>IFERROR(IF(H116="","",IF(H116-S116-T116=0&lt;0,"Error in Areas ▲",IF(S116+T116&gt;H116,"Error in Areas ▲",IF(AND(P116='G-1 All Habitats'!$X$3,Y116="Yes"),"Alternative Compensation ✓",IF(W116=0,0,IF(P116='G-1 All Habitats'!$X$3,"Any Loss Unacceptable ▲",Q116-U116-V116)))))),"Check Data ▲")</f>
        <v/>
      </c>
      <c r="Y116" s="55"/>
      <c r="Z116" s="62"/>
      <c r="AA116" s="526"/>
      <c r="AB116" s="120"/>
      <c r="AC116" s="726" t="str">
        <f>IF(P116="","",IF(P116='G-1 All Habitats'!$X$3,H116-S116-T116,"None"))</f>
        <v/>
      </c>
      <c r="AD116" s="727" t="str">
        <f>IF(P116="","", IF(P116='G-1 All Habitats'!$X$3, AC116*J116*L116*O116,"None"))</f>
        <v/>
      </c>
      <c r="AF116" s="40" t="str">
        <f t="shared" si="5"/>
        <v/>
      </c>
      <c r="AG116" s="40" t="str">
        <f t="shared" si="6"/>
        <v/>
      </c>
      <c r="AH116" s="40" t="str">
        <f>IF(I116="","",IF(#REF!&gt;0,TRUE,FALSE))</f>
        <v/>
      </c>
      <c r="AI116" s="40">
        <v>106</v>
      </c>
      <c r="AJ116" s="40"/>
      <c r="AK116" s="40" t="str">
        <f t="array" ref="AK116">IFERROR(INDEX($AI$11:$AI$259, MATCH(0, IF(TRUE=$AF$11:$AF$259, COUNTIF($AK$10:$AK115, $AI$11:$AI$259), ""), 0)),"")</f>
        <v/>
      </c>
      <c r="AL116" s="40" t="str">
        <f t="array" ref="AL116">IFERROR(INDEX($AI$11:$AI$259, MATCH(0, IF(TRUE=$AG$11:$AG$259, COUNTIF($AL$10:$AL115, $AI$11:$AI$259), ""), 0)),"")</f>
        <v/>
      </c>
      <c r="AM116" s="40" t="str">
        <f t="array" ref="AM116">IFERROR(INDEX($AI$11:$AI$259, MATCH(0, IF(TRUE=$AH$11:$AH$259, COUNTIF($AM$10:$AM115, $AI$11:$AI$259), ""), 0)),"")</f>
        <v/>
      </c>
      <c r="AN116" s="40"/>
      <c r="AQ116" s="35">
        <f t="shared" si="7"/>
        <v>0</v>
      </c>
    </row>
    <row r="117" spans="1:43">
      <c r="A117" s="35" t="str">
        <f>IFERROR(INDEX('G-1 All Habitats'!$AG$3:$AG$17,MATCH(E117,'G-1 All Habitats'!$AF$3:$AF$17,0)),"")</f>
        <v/>
      </c>
      <c r="B117" s="35" t="str">
        <f>IFERROR(INDEX('G-8 Condition Look up'!$I$4:$I$135,MATCH(G117,'G-8 Condition Look up'!$A$4:$A$135,0)),"")</f>
        <v/>
      </c>
      <c r="D117" s="287">
        <v>107</v>
      </c>
      <c r="E117" s="267"/>
      <c r="F117" s="61"/>
      <c r="G117" s="52" t="str">
        <f>IFERROR(INDEX('G-1 All Habitats'!$B$3:$B$134,MATCH(F117,'G-1 All Habitats'!$A$3:$A$134,0)),"")</f>
        <v/>
      </c>
      <c r="H117" s="53"/>
      <c r="I117" s="362" t="str">
        <f>IF(G117="","",VLOOKUP(G117,'G-1 All Habitats'!$B$2:$M$134,10,FALSE))</f>
        <v/>
      </c>
      <c r="J117" s="363" t="str">
        <f>IFERROR(VLOOKUP(I117,'G-1 All Habitats'!$V$3:$W$7,2,FALSE),"")</f>
        <v/>
      </c>
      <c r="K117" s="54"/>
      <c r="L117" s="363" t="str">
        <f>IFERROR(INDEX('G-8 Condition Look up'!$A$3:$H$135,MATCH(G117,'G-8 Condition Look up'!$A$3:$A$135,0),MATCH(K117,'G-8 Condition Look up'!$A$3:$H$3,0)),"")</f>
        <v/>
      </c>
      <c r="M117" s="54"/>
      <c r="N117" s="382" t="str">
        <f>IF(M117="","",IF(VLOOKUP(M117,'G-3 Multipliers'!$L$3:$N$6,2,FALSE)=0,"Spatial Data Missing",VLOOKUP(M117,'G-3 Multipliers'!$L$3:$N$6,2,FALSE)))</f>
        <v/>
      </c>
      <c r="O117" s="368" t="str">
        <f>IF(M117="","",IF(VLOOKUP(M117,'G-3 Multipliers'!$L$3:$N$6,3,FALSE)=0,"Spatial Data Missing",VLOOKUP(M117,'G-3 Multipliers'!$L$3:$N$6,3,FALSE)))</f>
        <v/>
      </c>
      <c r="P117" s="369" t="str">
        <f>IFERROR(VLOOKUP(G117,'G-1 All Habitats'!$B$2:$M$134,12,FALSE),"")</f>
        <v/>
      </c>
      <c r="Q117" s="376" t="str">
        <f>IFERROR(IF(P117="","",IF(AND(P117='G-1 All Habitats'!$X$3,T117&gt;0),U117+V117,IF(AND(P117='G-1 All Habitats'!$X$3,S117&gt;0),U117+V117,IF(AND(P117='G-1 All Habitats'!$X$3,AC117&gt;0),"Any Loss Unacceptable ⚠",IF(AND(P117='G-1 All Habitats'!$X$3,W117&gt;0),"Any Loss Unacceptable ⚠",H117*J117*L117*O117))))),"Check Data ▲")</f>
        <v/>
      </c>
      <c r="R117" s="38"/>
      <c r="S117" s="54"/>
      <c r="T117" s="55"/>
      <c r="U117" s="374" t="str">
        <f t="shared" si="8"/>
        <v/>
      </c>
      <c r="V117" s="374" t="str">
        <f t="shared" si="9"/>
        <v/>
      </c>
      <c r="W117" s="374" t="str">
        <f>IF(E117="","",IF(H117&lt;S117+T117,"Error in Areas ▲",IF(P117&lt;&gt;'G-1 All Habitats'!$X$3,H117-S117-T117,IF(AND(P117='G-1 All Habitats'!$X$3,Y117="Yes"),"Unacceptable Loss ⚠",IF(AND(P117='G-1 All Habitats'!$X$3,Y117="No"),AC117,IF(AND(P117='G-1 All Habitats'!$X$3,Y117=""),AC117,IF(AND(P117='G-1 All Habitats'!$X$3,AC117="None",AC117),IF(AND(P117='G-1 All Habitats'!$X$3,AC117&gt;0),H117-S117-T117))))))))</f>
        <v/>
      </c>
      <c r="X117" s="378" t="str">
        <f>IFERROR(IF(H117="","",IF(H117-S117-T117=0&lt;0,"Error in Areas ▲",IF(S117+T117&gt;H117,"Error in Areas ▲",IF(AND(P117='G-1 All Habitats'!$X$3,Y117="Yes"),"Alternative Compensation ✓",IF(W117=0,0,IF(P117='G-1 All Habitats'!$X$3,"Any Loss Unacceptable ▲",Q117-U117-V117)))))),"Check Data ▲")</f>
        <v/>
      </c>
      <c r="Y117" s="55"/>
      <c r="Z117" s="62"/>
      <c r="AA117" s="526"/>
      <c r="AB117" s="120"/>
      <c r="AC117" s="726" t="str">
        <f>IF(P117="","",IF(P117='G-1 All Habitats'!$X$3,H117-S117-T117,"None"))</f>
        <v/>
      </c>
      <c r="AD117" s="727" t="str">
        <f>IF(P117="","", IF(P117='G-1 All Habitats'!$X$3, AC117*J117*L117*O117,"None"))</f>
        <v/>
      </c>
      <c r="AF117" s="40" t="str">
        <f t="shared" si="5"/>
        <v/>
      </c>
      <c r="AG117" s="40" t="str">
        <f t="shared" si="6"/>
        <v/>
      </c>
      <c r="AH117" s="40" t="str">
        <f>IF(I117="","",IF(#REF!&gt;0,TRUE,FALSE))</f>
        <v/>
      </c>
      <c r="AI117" s="40">
        <v>107</v>
      </c>
      <c r="AJ117" s="40"/>
      <c r="AK117" s="40" t="str">
        <f t="array" ref="AK117">IFERROR(INDEX($AI$11:$AI$259, MATCH(0, IF(TRUE=$AF$11:$AF$259, COUNTIF($AK$10:$AK116, $AI$11:$AI$259), ""), 0)),"")</f>
        <v/>
      </c>
      <c r="AL117" s="40" t="str">
        <f t="array" ref="AL117">IFERROR(INDEX($AI$11:$AI$259, MATCH(0, IF(TRUE=$AG$11:$AG$259, COUNTIF($AL$10:$AL116, $AI$11:$AI$259), ""), 0)),"")</f>
        <v/>
      </c>
      <c r="AM117" s="40" t="str">
        <f t="array" ref="AM117">IFERROR(INDEX($AI$11:$AI$259, MATCH(0, IF(TRUE=$AH$11:$AH$259, COUNTIF($AM$10:$AM116, $AI$11:$AI$259), ""), 0)),"")</f>
        <v/>
      </c>
      <c r="AN117" s="40"/>
      <c r="AQ117" s="35">
        <f t="shared" si="7"/>
        <v>0</v>
      </c>
    </row>
    <row r="118" spans="1:43">
      <c r="A118" s="35" t="str">
        <f>IFERROR(INDEX('G-1 All Habitats'!$AG$3:$AG$17,MATCH(E118,'G-1 All Habitats'!$AF$3:$AF$17,0)),"")</f>
        <v/>
      </c>
      <c r="B118" s="35" t="str">
        <f>IFERROR(INDEX('G-8 Condition Look up'!$I$4:$I$135,MATCH(G118,'G-8 Condition Look up'!$A$4:$A$135,0)),"")</f>
        <v/>
      </c>
      <c r="D118" s="287">
        <v>108</v>
      </c>
      <c r="E118" s="267"/>
      <c r="F118" s="61"/>
      <c r="G118" s="52" t="str">
        <f>IFERROR(INDEX('G-1 All Habitats'!$B$3:$B$134,MATCH(F118,'G-1 All Habitats'!$A$3:$A$134,0)),"")</f>
        <v/>
      </c>
      <c r="H118" s="53"/>
      <c r="I118" s="362" t="str">
        <f>IF(G118="","",VLOOKUP(G118,'G-1 All Habitats'!$B$2:$M$134,10,FALSE))</f>
        <v/>
      </c>
      <c r="J118" s="363" t="str">
        <f>IFERROR(VLOOKUP(I118,'G-1 All Habitats'!$V$3:$W$7,2,FALSE),"")</f>
        <v/>
      </c>
      <c r="K118" s="54"/>
      <c r="L118" s="363" t="str">
        <f>IFERROR(INDEX('G-8 Condition Look up'!$A$3:$H$135,MATCH(G118,'G-8 Condition Look up'!$A$3:$A$135,0),MATCH(K118,'G-8 Condition Look up'!$A$3:$H$3,0)),"")</f>
        <v/>
      </c>
      <c r="M118" s="54"/>
      <c r="N118" s="382" t="str">
        <f>IF(M118="","",IF(VLOOKUP(M118,'G-3 Multipliers'!$L$3:$N$6,2,FALSE)=0,"Spatial Data Missing",VLOOKUP(M118,'G-3 Multipliers'!$L$3:$N$6,2,FALSE)))</f>
        <v/>
      </c>
      <c r="O118" s="368" t="str">
        <f>IF(M118="","",IF(VLOOKUP(M118,'G-3 Multipliers'!$L$3:$N$6,3,FALSE)=0,"Spatial Data Missing",VLOOKUP(M118,'G-3 Multipliers'!$L$3:$N$6,3,FALSE)))</f>
        <v/>
      </c>
      <c r="P118" s="369" t="str">
        <f>IFERROR(VLOOKUP(G118,'G-1 All Habitats'!$B$2:$M$134,12,FALSE),"")</f>
        <v/>
      </c>
      <c r="Q118" s="376" t="str">
        <f>IFERROR(IF(P118="","",IF(AND(P118='G-1 All Habitats'!$X$3,T118&gt;0),U118+V118,IF(AND(P118='G-1 All Habitats'!$X$3,S118&gt;0),U118+V118,IF(AND(P118='G-1 All Habitats'!$X$3,AC118&gt;0),"Any Loss Unacceptable ⚠",IF(AND(P118='G-1 All Habitats'!$X$3,W118&gt;0),"Any Loss Unacceptable ⚠",H118*J118*L118*O118))))),"Check Data ▲")</f>
        <v/>
      </c>
      <c r="R118" s="38"/>
      <c r="S118" s="54"/>
      <c r="T118" s="55"/>
      <c r="U118" s="374" t="str">
        <f t="shared" si="8"/>
        <v/>
      </c>
      <c r="V118" s="374" t="str">
        <f t="shared" si="9"/>
        <v/>
      </c>
      <c r="W118" s="374" t="str">
        <f>IF(E118="","",IF(H118&lt;S118+T118,"Error in Areas ▲",IF(P118&lt;&gt;'G-1 All Habitats'!$X$3,H118-S118-T118,IF(AND(P118='G-1 All Habitats'!$X$3,Y118="Yes"),"Unacceptable Loss ⚠",IF(AND(P118='G-1 All Habitats'!$X$3,Y118="No"),AC118,IF(AND(P118='G-1 All Habitats'!$X$3,Y118=""),AC118,IF(AND(P118='G-1 All Habitats'!$X$3,AC118="None",AC118),IF(AND(P118='G-1 All Habitats'!$X$3,AC118&gt;0),H118-S118-T118))))))))</f>
        <v/>
      </c>
      <c r="X118" s="378" t="str">
        <f>IFERROR(IF(H118="","",IF(H118-S118-T118=0&lt;0,"Error in Areas ▲",IF(S118+T118&gt;H118,"Error in Areas ▲",IF(AND(P118='G-1 All Habitats'!$X$3,Y118="Yes"),"Alternative Compensation ✓",IF(W118=0,0,IF(P118='G-1 All Habitats'!$X$3,"Any Loss Unacceptable ▲",Q118-U118-V118)))))),"Check Data ▲")</f>
        <v/>
      </c>
      <c r="Y118" s="55"/>
      <c r="Z118" s="62"/>
      <c r="AA118" s="526"/>
      <c r="AB118" s="120"/>
      <c r="AC118" s="726" t="str">
        <f>IF(P118="","",IF(P118='G-1 All Habitats'!$X$3,H118-S118-T118,"None"))</f>
        <v/>
      </c>
      <c r="AD118" s="727" t="str">
        <f>IF(P118="","", IF(P118='G-1 All Habitats'!$X$3, AC118*J118*L118*O118,"None"))</f>
        <v/>
      </c>
      <c r="AF118" s="40" t="str">
        <f t="shared" si="5"/>
        <v/>
      </c>
      <c r="AG118" s="40" t="str">
        <f t="shared" si="6"/>
        <v/>
      </c>
      <c r="AH118" s="40" t="str">
        <f>IF(I118="","",IF(#REF!&gt;0,TRUE,FALSE))</f>
        <v/>
      </c>
      <c r="AI118" s="40">
        <v>108</v>
      </c>
      <c r="AJ118" s="40"/>
      <c r="AK118" s="40" t="str">
        <f t="array" ref="AK118">IFERROR(INDEX($AI$11:$AI$259, MATCH(0, IF(TRUE=$AF$11:$AF$259, COUNTIF($AK$10:$AK117, $AI$11:$AI$259), ""), 0)),"")</f>
        <v/>
      </c>
      <c r="AL118" s="40" t="str">
        <f t="array" ref="AL118">IFERROR(INDEX($AI$11:$AI$259, MATCH(0, IF(TRUE=$AG$11:$AG$259, COUNTIF($AL$10:$AL117, $AI$11:$AI$259), ""), 0)),"")</f>
        <v/>
      </c>
      <c r="AM118" s="40" t="str">
        <f t="array" ref="AM118">IFERROR(INDEX($AI$11:$AI$259, MATCH(0, IF(TRUE=$AH$11:$AH$259, COUNTIF($AM$10:$AM117, $AI$11:$AI$259), ""), 0)),"")</f>
        <v/>
      </c>
      <c r="AN118" s="40"/>
      <c r="AQ118" s="35">
        <f t="shared" si="7"/>
        <v>0</v>
      </c>
    </row>
    <row r="119" spans="1:43">
      <c r="A119" s="35" t="str">
        <f>IFERROR(INDEX('G-1 All Habitats'!$AG$3:$AG$17,MATCH(E119,'G-1 All Habitats'!$AF$3:$AF$17,0)),"")</f>
        <v/>
      </c>
      <c r="B119" s="35" t="str">
        <f>IFERROR(INDEX('G-8 Condition Look up'!$I$4:$I$135,MATCH(G119,'G-8 Condition Look up'!$A$4:$A$135,0)),"")</f>
        <v/>
      </c>
      <c r="D119" s="287">
        <v>109</v>
      </c>
      <c r="E119" s="267"/>
      <c r="F119" s="61"/>
      <c r="G119" s="52" t="str">
        <f>IFERROR(INDEX('G-1 All Habitats'!$B$3:$B$134,MATCH(F119,'G-1 All Habitats'!$A$3:$A$134,0)),"")</f>
        <v/>
      </c>
      <c r="H119" s="53"/>
      <c r="I119" s="362" t="str">
        <f>IF(G119="","",VLOOKUP(G119,'G-1 All Habitats'!$B$2:$M$134,10,FALSE))</f>
        <v/>
      </c>
      <c r="J119" s="363" t="str">
        <f>IFERROR(VLOOKUP(I119,'G-1 All Habitats'!$V$3:$W$7,2,FALSE),"")</f>
        <v/>
      </c>
      <c r="K119" s="54"/>
      <c r="L119" s="363" t="str">
        <f>IFERROR(INDEX('G-8 Condition Look up'!$A$3:$H$135,MATCH(G119,'G-8 Condition Look up'!$A$3:$A$135,0),MATCH(K119,'G-8 Condition Look up'!$A$3:$H$3,0)),"")</f>
        <v/>
      </c>
      <c r="M119" s="54"/>
      <c r="N119" s="382" t="str">
        <f>IF(M119="","",IF(VLOOKUP(M119,'G-3 Multipliers'!$L$3:$N$6,2,FALSE)=0,"Spatial Data Missing",VLOOKUP(M119,'G-3 Multipliers'!$L$3:$N$6,2,FALSE)))</f>
        <v/>
      </c>
      <c r="O119" s="368" t="str">
        <f>IF(M119="","",IF(VLOOKUP(M119,'G-3 Multipliers'!$L$3:$N$6,3,FALSE)=0,"Spatial Data Missing",VLOOKUP(M119,'G-3 Multipliers'!$L$3:$N$6,3,FALSE)))</f>
        <v/>
      </c>
      <c r="P119" s="369" t="str">
        <f>IFERROR(VLOOKUP(G119,'G-1 All Habitats'!$B$2:$M$134,12,FALSE),"")</f>
        <v/>
      </c>
      <c r="Q119" s="376" t="str">
        <f>IFERROR(IF(P119="","",IF(AND(P119='G-1 All Habitats'!$X$3,T119&gt;0),U119+V119,IF(AND(P119='G-1 All Habitats'!$X$3,S119&gt;0),U119+V119,IF(AND(P119='G-1 All Habitats'!$X$3,AC119&gt;0),"Any Loss Unacceptable ⚠",IF(AND(P119='G-1 All Habitats'!$X$3,W119&gt;0),"Any Loss Unacceptable ⚠",H119*J119*L119*O119))))),"Check Data ▲")</f>
        <v/>
      </c>
      <c r="R119" s="38"/>
      <c r="S119" s="54"/>
      <c r="T119" s="55"/>
      <c r="U119" s="374" t="str">
        <f t="shared" si="8"/>
        <v/>
      </c>
      <c r="V119" s="374" t="str">
        <f t="shared" si="9"/>
        <v/>
      </c>
      <c r="W119" s="374" t="str">
        <f>IF(E119="","",IF(H119&lt;S119+T119,"Error in Areas ▲",IF(P119&lt;&gt;'G-1 All Habitats'!$X$3,H119-S119-T119,IF(AND(P119='G-1 All Habitats'!$X$3,Y119="Yes"),"Unacceptable Loss ⚠",IF(AND(P119='G-1 All Habitats'!$X$3,Y119="No"),AC119,IF(AND(P119='G-1 All Habitats'!$X$3,Y119=""),AC119,IF(AND(P119='G-1 All Habitats'!$X$3,AC119="None",AC119),IF(AND(P119='G-1 All Habitats'!$X$3,AC119&gt;0),H119-S119-T119))))))))</f>
        <v/>
      </c>
      <c r="X119" s="378" t="str">
        <f>IFERROR(IF(H119="","",IF(H119-S119-T119=0&lt;0,"Error in Areas ▲",IF(S119+T119&gt;H119,"Error in Areas ▲",IF(AND(P119='G-1 All Habitats'!$X$3,Y119="Yes"),"Alternative Compensation ✓",IF(W119=0,0,IF(P119='G-1 All Habitats'!$X$3,"Any Loss Unacceptable ▲",Q119-U119-V119)))))),"Check Data ▲")</f>
        <v/>
      </c>
      <c r="Y119" s="55"/>
      <c r="Z119" s="62"/>
      <c r="AA119" s="526"/>
      <c r="AB119" s="120"/>
      <c r="AC119" s="726" t="str">
        <f>IF(P119="","",IF(P119='G-1 All Habitats'!$X$3,H119-S119-T119,"None"))</f>
        <v/>
      </c>
      <c r="AD119" s="727" t="str">
        <f>IF(P119="","", IF(P119='G-1 All Habitats'!$X$3, AC119*J119*L119*O119,"None"))</f>
        <v/>
      </c>
      <c r="AF119" s="40" t="str">
        <f t="shared" si="5"/>
        <v/>
      </c>
      <c r="AG119" s="40" t="str">
        <f t="shared" si="6"/>
        <v/>
      </c>
      <c r="AH119" s="40" t="str">
        <f>IF(I119="","",IF(#REF!&gt;0,TRUE,FALSE))</f>
        <v/>
      </c>
      <c r="AI119" s="40">
        <v>109</v>
      </c>
      <c r="AJ119" s="40"/>
      <c r="AK119" s="40" t="str">
        <f t="array" ref="AK119">IFERROR(INDEX($AI$11:$AI$259, MATCH(0, IF(TRUE=$AF$11:$AF$259, COUNTIF($AK$10:$AK118, $AI$11:$AI$259), ""), 0)),"")</f>
        <v/>
      </c>
      <c r="AL119" s="40" t="str">
        <f t="array" ref="AL119">IFERROR(INDEX($AI$11:$AI$259, MATCH(0, IF(TRUE=$AG$11:$AG$259, COUNTIF($AL$10:$AL118, $AI$11:$AI$259), ""), 0)),"")</f>
        <v/>
      </c>
      <c r="AM119" s="40" t="str">
        <f t="array" ref="AM119">IFERROR(INDEX($AI$11:$AI$259, MATCH(0, IF(TRUE=$AH$11:$AH$259, COUNTIF($AM$10:$AM118, $AI$11:$AI$259), ""), 0)),"")</f>
        <v/>
      </c>
      <c r="AN119" s="40"/>
      <c r="AQ119" s="35">
        <f t="shared" si="7"/>
        <v>0</v>
      </c>
    </row>
    <row r="120" spans="1:43">
      <c r="A120" s="35" t="str">
        <f>IFERROR(INDEX('G-1 All Habitats'!$AG$3:$AG$17,MATCH(E120,'G-1 All Habitats'!$AF$3:$AF$17,0)),"")</f>
        <v/>
      </c>
      <c r="B120" s="35" t="str">
        <f>IFERROR(INDEX('G-8 Condition Look up'!$I$4:$I$135,MATCH(G120,'G-8 Condition Look up'!$A$4:$A$135,0)),"")</f>
        <v/>
      </c>
      <c r="D120" s="287">
        <v>110</v>
      </c>
      <c r="E120" s="267"/>
      <c r="F120" s="61"/>
      <c r="G120" s="52" t="str">
        <f>IFERROR(INDEX('G-1 All Habitats'!$B$3:$B$134,MATCH(F120,'G-1 All Habitats'!$A$3:$A$134,0)),"")</f>
        <v/>
      </c>
      <c r="H120" s="53"/>
      <c r="I120" s="362" t="str">
        <f>IF(G120="","",VLOOKUP(G120,'G-1 All Habitats'!$B$2:$M$134,10,FALSE))</f>
        <v/>
      </c>
      <c r="J120" s="363" t="str">
        <f>IFERROR(VLOOKUP(I120,'G-1 All Habitats'!$V$3:$W$7,2,FALSE),"")</f>
        <v/>
      </c>
      <c r="K120" s="54"/>
      <c r="L120" s="363" t="str">
        <f>IFERROR(INDEX('G-8 Condition Look up'!$A$3:$H$135,MATCH(G120,'G-8 Condition Look up'!$A$3:$A$135,0),MATCH(K120,'G-8 Condition Look up'!$A$3:$H$3,0)),"")</f>
        <v/>
      </c>
      <c r="M120" s="54"/>
      <c r="N120" s="382" t="str">
        <f>IF(M120="","",IF(VLOOKUP(M120,'G-3 Multipliers'!$L$3:$N$6,2,FALSE)=0,"Spatial Data Missing",VLOOKUP(M120,'G-3 Multipliers'!$L$3:$N$6,2,FALSE)))</f>
        <v/>
      </c>
      <c r="O120" s="368" t="str">
        <f>IF(M120="","",IF(VLOOKUP(M120,'G-3 Multipliers'!$L$3:$N$6,3,FALSE)=0,"Spatial Data Missing",VLOOKUP(M120,'G-3 Multipliers'!$L$3:$N$6,3,FALSE)))</f>
        <v/>
      </c>
      <c r="P120" s="369" t="str">
        <f>IFERROR(VLOOKUP(G120,'G-1 All Habitats'!$B$2:$M$134,12,FALSE),"")</f>
        <v/>
      </c>
      <c r="Q120" s="376" t="str">
        <f>IFERROR(IF(P120="","",IF(AND(P120='G-1 All Habitats'!$X$3,T120&gt;0),U120+V120,IF(AND(P120='G-1 All Habitats'!$X$3,S120&gt;0),U120+V120,IF(AND(P120='G-1 All Habitats'!$X$3,AC120&gt;0),"Any Loss Unacceptable ⚠",IF(AND(P120='G-1 All Habitats'!$X$3,W120&gt;0),"Any Loss Unacceptable ⚠",H120*J120*L120*O120))))),"Check Data ▲")</f>
        <v/>
      </c>
      <c r="R120" s="38"/>
      <c r="S120" s="54"/>
      <c r="T120" s="55"/>
      <c r="U120" s="374" t="str">
        <f t="shared" si="8"/>
        <v/>
      </c>
      <c r="V120" s="374" t="str">
        <f t="shared" si="9"/>
        <v/>
      </c>
      <c r="W120" s="374" t="str">
        <f>IF(E120="","",IF(H120&lt;S120+T120,"Error in Areas ▲",IF(P120&lt;&gt;'G-1 All Habitats'!$X$3,H120-S120-T120,IF(AND(P120='G-1 All Habitats'!$X$3,Y120="Yes"),"Unacceptable Loss ⚠",IF(AND(P120='G-1 All Habitats'!$X$3,Y120="No"),AC120,IF(AND(P120='G-1 All Habitats'!$X$3,Y120=""),AC120,IF(AND(P120='G-1 All Habitats'!$X$3,AC120="None",AC120),IF(AND(P120='G-1 All Habitats'!$X$3,AC120&gt;0),H120-S120-T120))))))))</f>
        <v/>
      </c>
      <c r="X120" s="378" t="str">
        <f>IFERROR(IF(H120="","",IF(H120-S120-T120=0&lt;0,"Error in Areas ▲",IF(S120+T120&gt;H120,"Error in Areas ▲",IF(AND(P120='G-1 All Habitats'!$X$3,Y120="Yes"),"Alternative Compensation ✓",IF(W120=0,0,IF(P120='G-1 All Habitats'!$X$3,"Any Loss Unacceptable ▲",Q120-U120-V120)))))),"Check Data ▲")</f>
        <v/>
      </c>
      <c r="Y120" s="55"/>
      <c r="Z120" s="62"/>
      <c r="AA120" s="526"/>
      <c r="AB120" s="120"/>
      <c r="AC120" s="726" t="str">
        <f>IF(P120="","",IF(P120='G-1 All Habitats'!$X$3,H120-S120-T120,"None"))</f>
        <v/>
      </c>
      <c r="AD120" s="727" t="str">
        <f>IF(P120="","", IF(P120='G-1 All Habitats'!$X$3, AC120*J120*L120*O120,"None"))</f>
        <v/>
      </c>
      <c r="AF120" s="40" t="str">
        <f t="shared" si="5"/>
        <v/>
      </c>
      <c r="AG120" s="40" t="str">
        <f t="shared" si="6"/>
        <v/>
      </c>
      <c r="AH120" s="40" t="str">
        <f>IF(I120="","",IF(#REF!&gt;0,TRUE,FALSE))</f>
        <v/>
      </c>
      <c r="AI120" s="40">
        <v>110</v>
      </c>
      <c r="AJ120" s="40"/>
      <c r="AK120" s="40" t="str">
        <f t="array" ref="AK120">IFERROR(INDEX($AI$11:$AI$259, MATCH(0, IF(TRUE=$AF$11:$AF$259, COUNTIF($AK$10:$AK119, $AI$11:$AI$259), ""), 0)),"")</f>
        <v/>
      </c>
      <c r="AL120" s="40" t="str">
        <f t="array" ref="AL120">IFERROR(INDEX($AI$11:$AI$259, MATCH(0, IF(TRUE=$AG$11:$AG$259, COUNTIF($AL$10:$AL119, $AI$11:$AI$259), ""), 0)),"")</f>
        <v/>
      </c>
      <c r="AM120" s="40" t="str">
        <f t="array" ref="AM120">IFERROR(INDEX($AI$11:$AI$259, MATCH(0, IF(TRUE=$AH$11:$AH$259, COUNTIF($AM$10:$AM119, $AI$11:$AI$259), ""), 0)),"")</f>
        <v/>
      </c>
      <c r="AN120" s="40"/>
      <c r="AQ120" s="35">
        <f t="shared" si="7"/>
        <v>0</v>
      </c>
    </row>
    <row r="121" spans="1:43">
      <c r="A121" s="35" t="str">
        <f>IFERROR(INDEX('G-1 All Habitats'!$AG$3:$AG$17,MATCH(E121,'G-1 All Habitats'!$AF$3:$AF$17,0)),"")</f>
        <v/>
      </c>
      <c r="B121" s="35" t="str">
        <f>IFERROR(INDEX('G-8 Condition Look up'!$I$4:$I$135,MATCH(G121,'G-8 Condition Look up'!$A$4:$A$135,0)),"")</f>
        <v/>
      </c>
      <c r="D121" s="287">
        <v>111</v>
      </c>
      <c r="E121" s="267"/>
      <c r="F121" s="61"/>
      <c r="G121" s="52" t="str">
        <f>IFERROR(INDEX('G-1 All Habitats'!$B$3:$B$134,MATCH(F121,'G-1 All Habitats'!$A$3:$A$134,0)),"")</f>
        <v/>
      </c>
      <c r="H121" s="53"/>
      <c r="I121" s="362" t="str">
        <f>IF(G121="","",VLOOKUP(G121,'G-1 All Habitats'!$B$2:$M$134,10,FALSE))</f>
        <v/>
      </c>
      <c r="J121" s="363" t="str">
        <f>IFERROR(VLOOKUP(I121,'G-1 All Habitats'!$V$3:$W$7,2,FALSE),"")</f>
        <v/>
      </c>
      <c r="K121" s="54"/>
      <c r="L121" s="363" t="str">
        <f>IFERROR(INDEX('G-8 Condition Look up'!$A$3:$H$135,MATCH(G121,'G-8 Condition Look up'!$A$3:$A$135,0),MATCH(K121,'G-8 Condition Look up'!$A$3:$H$3,0)),"")</f>
        <v/>
      </c>
      <c r="M121" s="54"/>
      <c r="N121" s="382" t="str">
        <f>IF(M121="","",IF(VLOOKUP(M121,'G-3 Multipliers'!$L$3:$N$6,2,FALSE)=0,"Spatial Data Missing",VLOOKUP(M121,'G-3 Multipliers'!$L$3:$N$6,2,FALSE)))</f>
        <v/>
      </c>
      <c r="O121" s="368" t="str">
        <f>IF(M121="","",IF(VLOOKUP(M121,'G-3 Multipliers'!$L$3:$N$6,3,FALSE)=0,"Spatial Data Missing",VLOOKUP(M121,'G-3 Multipliers'!$L$3:$N$6,3,FALSE)))</f>
        <v/>
      </c>
      <c r="P121" s="369" t="str">
        <f>IFERROR(VLOOKUP(G121,'G-1 All Habitats'!$B$2:$M$134,12,FALSE),"")</f>
        <v/>
      </c>
      <c r="Q121" s="376" t="str">
        <f>IFERROR(IF(P121="","",IF(AND(P121='G-1 All Habitats'!$X$3,T121&gt;0),U121+V121,IF(AND(P121='G-1 All Habitats'!$X$3,S121&gt;0),U121+V121,IF(AND(P121='G-1 All Habitats'!$X$3,AC121&gt;0),"Any Loss Unacceptable ⚠",IF(AND(P121='G-1 All Habitats'!$X$3,W121&gt;0),"Any Loss Unacceptable ⚠",H121*J121*L121*O121))))),"Check Data ▲")</f>
        <v/>
      </c>
      <c r="R121" s="38"/>
      <c r="S121" s="54"/>
      <c r="T121" s="55"/>
      <c r="U121" s="374" t="str">
        <f t="shared" si="8"/>
        <v/>
      </c>
      <c r="V121" s="374" t="str">
        <f t="shared" si="9"/>
        <v/>
      </c>
      <c r="W121" s="374" t="str">
        <f>IF(E121="","",IF(H121&lt;S121+T121,"Error in Areas ▲",IF(P121&lt;&gt;'G-1 All Habitats'!$X$3,H121-S121-T121,IF(AND(P121='G-1 All Habitats'!$X$3,Y121="Yes"),"Unacceptable Loss ⚠",IF(AND(P121='G-1 All Habitats'!$X$3,Y121="No"),AC121,IF(AND(P121='G-1 All Habitats'!$X$3,Y121=""),AC121,IF(AND(P121='G-1 All Habitats'!$X$3,AC121="None",AC121),IF(AND(P121='G-1 All Habitats'!$X$3,AC121&gt;0),H121-S121-T121))))))))</f>
        <v/>
      </c>
      <c r="X121" s="378" t="str">
        <f>IFERROR(IF(H121="","",IF(H121-S121-T121=0&lt;0,"Error in Areas ▲",IF(S121+T121&gt;H121,"Error in Areas ▲",IF(AND(P121='G-1 All Habitats'!$X$3,Y121="Yes"),"Alternative Compensation ✓",IF(W121=0,0,IF(P121='G-1 All Habitats'!$X$3,"Any Loss Unacceptable ▲",Q121-U121-V121)))))),"Check Data ▲")</f>
        <v/>
      </c>
      <c r="Y121" s="55"/>
      <c r="Z121" s="62"/>
      <c r="AA121" s="526"/>
      <c r="AB121" s="120"/>
      <c r="AC121" s="726" t="str">
        <f>IF(P121="","",IF(P121='G-1 All Habitats'!$X$3,H121-S121-T121,"None"))</f>
        <v/>
      </c>
      <c r="AD121" s="727" t="str">
        <f>IF(P121="","", IF(P121='G-1 All Habitats'!$X$3, AC121*J121*L121*O121,"None"))</f>
        <v/>
      </c>
      <c r="AF121" s="40" t="str">
        <f t="shared" si="5"/>
        <v/>
      </c>
      <c r="AG121" s="40" t="str">
        <f t="shared" si="6"/>
        <v/>
      </c>
      <c r="AH121" s="40" t="str">
        <f>IF(I121="","",IF(#REF!&gt;0,TRUE,FALSE))</f>
        <v/>
      </c>
      <c r="AI121" s="40">
        <v>111</v>
      </c>
      <c r="AJ121" s="40"/>
      <c r="AK121" s="40" t="str">
        <f t="array" ref="AK121">IFERROR(INDEX($AI$11:$AI$259, MATCH(0, IF(TRUE=$AF$11:$AF$259, COUNTIF($AK$10:$AK120, $AI$11:$AI$259), ""), 0)),"")</f>
        <v/>
      </c>
      <c r="AL121" s="40" t="str">
        <f t="array" ref="AL121">IFERROR(INDEX($AI$11:$AI$259, MATCH(0, IF(TRUE=$AG$11:$AG$259, COUNTIF($AL$10:$AL120, $AI$11:$AI$259), ""), 0)),"")</f>
        <v/>
      </c>
      <c r="AM121" s="40" t="str">
        <f t="array" ref="AM121">IFERROR(INDEX($AI$11:$AI$259, MATCH(0, IF(TRUE=$AH$11:$AH$259, COUNTIF($AM$10:$AM120, $AI$11:$AI$259), ""), 0)),"")</f>
        <v/>
      </c>
      <c r="AN121" s="40"/>
      <c r="AQ121" s="35">
        <f t="shared" si="7"/>
        <v>0</v>
      </c>
    </row>
    <row r="122" spans="1:43">
      <c r="A122" s="35" t="str">
        <f>IFERROR(INDEX('G-1 All Habitats'!$AG$3:$AG$17,MATCH(E122,'G-1 All Habitats'!$AF$3:$AF$17,0)),"")</f>
        <v/>
      </c>
      <c r="B122" s="35" t="str">
        <f>IFERROR(INDEX('G-8 Condition Look up'!$I$4:$I$135,MATCH(G122,'G-8 Condition Look up'!$A$4:$A$135,0)),"")</f>
        <v/>
      </c>
      <c r="D122" s="287">
        <v>112</v>
      </c>
      <c r="E122" s="267"/>
      <c r="F122" s="61"/>
      <c r="G122" s="52" t="str">
        <f>IFERROR(INDEX('G-1 All Habitats'!$B$3:$B$134,MATCH(F122,'G-1 All Habitats'!$A$3:$A$134,0)),"")</f>
        <v/>
      </c>
      <c r="H122" s="53"/>
      <c r="I122" s="362" t="str">
        <f>IF(G122="","",VLOOKUP(G122,'G-1 All Habitats'!$B$2:$M$134,10,FALSE))</f>
        <v/>
      </c>
      <c r="J122" s="363" t="str">
        <f>IFERROR(VLOOKUP(I122,'G-1 All Habitats'!$V$3:$W$7,2,FALSE),"")</f>
        <v/>
      </c>
      <c r="K122" s="54"/>
      <c r="L122" s="363" t="str">
        <f>IFERROR(INDEX('G-8 Condition Look up'!$A$3:$H$135,MATCH(G122,'G-8 Condition Look up'!$A$3:$A$135,0),MATCH(K122,'G-8 Condition Look up'!$A$3:$H$3,0)),"")</f>
        <v/>
      </c>
      <c r="M122" s="54"/>
      <c r="N122" s="382" t="str">
        <f>IF(M122="","",IF(VLOOKUP(M122,'G-3 Multipliers'!$L$3:$N$6,2,FALSE)=0,"Spatial Data Missing",VLOOKUP(M122,'G-3 Multipliers'!$L$3:$N$6,2,FALSE)))</f>
        <v/>
      </c>
      <c r="O122" s="368" t="str">
        <f>IF(M122="","",IF(VLOOKUP(M122,'G-3 Multipliers'!$L$3:$N$6,3,FALSE)=0,"Spatial Data Missing",VLOOKUP(M122,'G-3 Multipliers'!$L$3:$N$6,3,FALSE)))</f>
        <v/>
      </c>
      <c r="P122" s="369" t="str">
        <f>IFERROR(VLOOKUP(G122,'G-1 All Habitats'!$B$2:$M$134,12,FALSE),"")</f>
        <v/>
      </c>
      <c r="Q122" s="376" t="str">
        <f>IFERROR(IF(P122="","",IF(AND(P122='G-1 All Habitats'!$X$3,T122&gt;0),U122+V122,IF(AND(P122='G-1 All Habitats'!$X$3,S122&gt;0),U122+V122,IF(AND(P122='G-1 All Habitats'!$X$3,AC122&gt;0),"Any Loss Unacceptable ⚠",IF(AND(P122='G-1 All Habitats'!$X$3,W122&gt;0),"Any Loss Unacceptable ⚠",H122*J122*L122*O122))))),"Check Data ▲")</f>
        <v/>
      </c>
      <c r="R122" s="38"/>
      <c r="S122" s="54"/>
      <c r="T122" s="55"/>
      <c r="U122" s="374" t="str">
        <f t="shared" si="8"/>
        <v/>
      </c>
      <c r="V122" s="374" t="str">
        <f t="shared" si="9"/>
        <v/>
      </c>
      <c r="W122" s="374" t="str">
        <f>IF(E122="","",IF(H122&lt;S122+T122,"Error in Areas ▲",IF(P122&lt;&gt;'G-1 All Habitats'!$X$3,H122-S122-T122,IF(AND(P122='G-1 All Habitats'!$X$3,Y122="Yes"),"Unacceptable Loss ⚠",IF(AND(P122='G-1 All Habitats'!$X$3,Y122="No"),AC122,IF(AND(P122='G-1 All Habitats'!$X$3,Y122=""),AC122,IF(AND(P122='G-1 All Habitats'!$X$3,AC122="None",AC122),IF(AND(P122='G-1 All Habitats'!$X$3,AC122&gt;0),H122-S122-T122))))))))</f>
        <v/>
      </c>
      <c r="X122" s="378" t="str">
        <f>IFERROR(IF(H122="","",IF(H122-S122-T122=0&lt;0,"Error in Areas ▲",IF(S122+T122&gt;H122,"Error in Areas ▲",IF(AND(P122='G-1 All Habitats'!$X$3,Y122="Yes"),"Alternative Compensation ✓",IF(W122=0,0,IF(P122='G-1 All Habitats'!$X$3,"Any Loss Unacceptable ▲",Q122-U122-V122)))))),"Check Data ▲")</f>
        <v/>
      </c>
      <c r="Y122" s="55"/>
      <c r="Z122" s="62"/>
      <c r="AA122" s="526"/>
      <c r="AB122" s="120"/>
      <c r="AC122" s="726" t="str">
        <f>IF(P122="","",IF(P122='G-1 All Habitats'!$X$3,H122-S122-T122,"None"))</f>
        <v/>
      </c>
      <c r="AD122" s="727" t="str">
        <f>IF(P122="","", IF(P122='G-1 All Habitats'!$X$3, AC122*J122*L122*O122,"None"))</f>
        <v/>
      </c>
      <c r="AF122" s="40" t="str">
        <f t="shared" si="5"/>
        <v/>
      </c>
      <c r="AG122" s="40" t="str">
        <f t="shared" si="6"/>
        <v/>
      </c>
      <c r="AH122" s="40" t="str">
        <f>IF(I122="","",IF(#REF!&gt;0,TRUE,FALSE))</f>
        <v/>
      </c>
      <c r="AI122" s="40">
        <v>112</v>
      </c>
      <c r="AJ122" s="40"/>
      <c r="AK122" s="40" t="str">
        <f t="array" ref="AK122">IFERROR(INDEX($AI$11:$AI$259, MATCH(0, IF(TRUE=$AF$11:$AF$259, COUNTIF($AK$10:$AK121, $AI$11:$AI$259), ""), 0)),"")</f>
        <v/>
      </c>
      <c r="AL122" s="40" t="str">
        <f t="array" ref="AL122">IFERROR(INDEX($AI$11:$AI$259, MATCH(0, IF(TRUE=$AG$11:$AG$259, COUNTIF($AL$10:$AL121, $AI$11:$AI$259), ""), 0)),"")</f>
        <v/>
      </c>
      <c r="AM122" s="40" t="str">
        <f t="array" ref="AM122">IFERROR(INDEX($AI$11:$AI$259, MATCH(0, IF(TRUE=$AH$11:$AH$259, COUNTIF($AM$10:$AM121, $AI$11:$AI$259), ""), 0)),"")</f>
        <v/>
      </c>
      <c r="AN122" s="40"/>
      <c r="AQ122" s="35">
        <f t="shared" si="7"/>
        <v>0</v>
      </c>
    </row>
    <row r="123" spans="1:43">
      <c r="A123" s="35" t="str">
        <f>IFERROR(INDEX('G-1 All Habitats'!$AG$3:$AG$17,MATCH(E123,'G-1 All Habitats'!$AF$3:$AF$17,0)),"")</f>
        <v/>
      </c>
      <c r="B123" s="35" t="str">
        <f>IFERROR(INDEX('G-8 Condition Look up'!$I$4:$I$135,MATCH(G123,'G-8 Condition Look up'!$A$4:$A$135,0)),"")</f>
        <v/>
      </c>
      <c r="D123" s="287">
        <v>113</v>
      </c>
      <c r="E123" s="267"/>
      <c r="F123" s="61"/>
      <c r="G123" s="52" t="str">
        <f>IFERROR(INDEX('G-1 All Habitats'!$B$3:$B$134,MATCH(F123,'G-1 All Habitats'!$A$3:$A$134,0)),"")</f>
        <v/>
      </c>
      <c r="H123" s="53"/>
      <c r="I123" s="362" t="str">
        <f>IF(G123="","",VLOOKUP(G123,'G-1 All Habitats'!$B$2:$M$134,10,FALSE))</f>
        <v/>
      </c>
      <c r="J123" s="363" t="str">
        <f>IFERROR(VLOOKUP(I123,'G-1 All Habitats'!$V$3:$W$7,2,FALSE),"")</f>
        <v/>
      </c>
      <c r="K123" s="54"/>
      <c r="L123" s="363" t="str">
        <f>IFERROR(INDEX('G-8 Condition Look up'!$A$3:$H$135,MATCH(G123,'G-8 Condition Look up'!$A$3:$A$135,0),MATCH(K123,'G-8 Condition Look up'!$A$3:$H$3,0)),"")</f>
        <v/>
      </c>
      <c r="M123" s="54"/>
      <c r="N123" s="382" t="str">
        <f>IF(M123="","",IF(VLOOKUP(M123,'G-3 Multipliers'!$L$3:$N$6,2,FALSE)=0,"Spatial Data Missing",VLOOKUP(M123,'G-3 Multipliers'!$L$3:$N$6,2,FALSE)))</f>
        <v/>
      </c>
      <c r="O123" s="368" t="str">
        <f>IF(M123="","",IF(VLOOKUP(M123,'G-3 Multipliers'!$L$3:$N$6,3,FALSE)=0,"Spatial Data Missing",VLOOKUP(M123,'G-3 Multipliers'!$L$3:$N$6,3,FALSE)))</f>
        <v/>
      </c>
      <c r="P123" s="369" t="str">
        <f>IFERROR(VLOOKUP(G123,'G-1 All Habitats'!$B$2:$M$134,12,FALSE),"")</f>
        <v/>
      </c>
      <c r="Q123" s="376" t="str">
        <f>IFERROR(IF(P123="","",IF(AND(P123='G-1 All Habitats'!$X$3,T123&gt;0),U123+V123,IF(AND(P123='G-1 All Habitats'!$X$3,S123&gt;0),U123+V123,IF(AND(P123='G-1 All Habitats'!$X$3,AC123&gt;0),"Any Loss Unacceptable ⚠",IF(AND(P123='G-1 All Habitats'!$X$3,W123&gt;0),"Any Loss Unacceptable ⚠",H123*J123*L123*O123))))),"Check Data ▲")</f>
        <v/>
      </c>
      <c r="R123" s="38"/>
      <c r="S123" s="54"/>
      <c r="T123" s="55"/>
      <c r="U123" s="374" t="str">
        <f t="shared" si="8"/>
        <v/>
      </c>
      <c r="V123" s="374" t="str">
        <f t="shared" si="9"/>
        <v/>
      </c>
      <c r="W123" s="374" t="str">
        <f>IF(E123="","",IF(H123&lt;S123+T123,"Error in Areas ▲",IF(P123&lt;&gt;'G-1 All Habitats'!$X$3,H123-S123-T123,IF(AND(P123='G-1 All Habitats'!$X$3,Y123="Yes"),"Unacceptable Loss ⚠",IF(AND(P123='G-1 All Habitats'!$X$3,Y123="No"),AC123,IF(AND(P123='G-1 All Habitats'!$X$3,Y123=""),AC123,IF(AND(P123='G-1 All Habitats'!$X$3,AC123="None",AC123),IF(AND(P123='G-1 All Habitats'!$X$3,AC123&gt;0),H123-S123-T123))))))))</f>
        <v/>
      </c>
      <c r="X123" s="378" t="str">
        <f>IFERROR(IF(H123="","",IF(H123-S123-T123=0&lt;0,"Error in Areas ▲",IF(S123+T123&gt;H123,"Error in Areas ▲",IF(AND(P123='G-1 All Habitats'!$X$3,Y123="Yes"),"Alternative Compensation ✓",IF(W123=0,0,IF(P123='G-1 All Habitats'!$X$3,"Any Loss Unacceptable ▲",Q123-U123-V123)))))),"Check Data ▲")</f>
        <v/>
      </c>
      <c r="Y123" s="55"/>
      <c r="Z123" s="62"/>
      <c r="AA123" s="526"/>
      <c r="AB123" s="120"/>
      <c r="AC123" s="726" t="str">
        <f>IF(P123="","",IF(P123='G-1 All Habitats'!$X$3,H123-S123-T123,"None"))</f>
        <v/>
      </c>
      <c r="AD123" s="727" t="str">
        <f>IF(P123="","", IF(P123='G-1 All Habitats'!$X$3, AC123*J123*L123*O123,"None"))</f>
        <v/>
      </c>
      <c r="AF123" s="40" t="str">
        <f t="shared" si="5"/>
        <v/>
      </c>
      <c r="AG123" s="40" t="str">
        <f t="shared" si="6"/>
        <v/>
      </c>
      <c r="AH123" s="40" t="str">
        <f>IF(I123="","",IF(#REF!&gt;0,TRUE,FALSE))</f>
        <v/>
      </c>
      <c r="AI123" s="40">
        <v>113</v>
      </c>
      <c r="AJ123" s="40"/>
      <c r="AK123" s="40" t="str">
        <f t="array" ref="AK123">IFERROR(INDEX($AI$11:$AI$259, MATCH(0, IF(TRUE=$AF$11:$AF$259, COUNTIF($AK$10:$AK122, $AI$11:$AI$259), ""), 0)),"")</f>
        <v/>
      </c>
      <c r="AL123" s="40" t="str">
        <f t="array" ref="AL123">IFERROR(INDEX($AI$11:$AI$259, MATCH(0, IF(TRUE=$AG$11:$AG$259, COUNTIF($AL$10:$AL122, $AI$11:$AI$259), ""), 0)),"")</f>
        <v/>
      </c>
      <c r="AM123" s="40" t="str">
        <f t="array" ref="AM123">IFERROR(INDEX($AI$11:$AI$259, MATCH(0, IF(TRUE=$AH$11:$AH$259, COUNTIF($AM$10:$AM122, $AI$11:$AI$259), ""), 0)),"")</f>
        <v/>
      </c>
      <c r="AN123" s="40"/>
      <c r="AQ123" s="35">
        <f t="shared" si="7"/>
        <v>0</v>
      </c>
    </row>
    <row r="124" spans="1:43">
      <c r="A124" s="35" t="str">
        <f>IFERROR(INDEX('G-1 All Habitats'!$AG$3:$AG$17,MATCH(E124,'G-1 All Habitats'!$AF$3:$AF$17,0)),"")</f>
        <v/>
      </c>
      <c r="B124" s="35" t="str">
        <f>IFERROR(INDEX('G-8 Condition Look up'!$I$4:$I$135,MATCH(G124,'G-8 Condition Look up'!$A$4:$A$135,0)),"")</f>
        <v/>
      </c>
      <c r="D124" s="287">
        <v>114</v>
      </c>
      <c r="E124" s="267"/>
      <c r="F124" s="61"/>
      <c r="G124" s="52" t="str">
        <f>IFERROR(INDEX('G-1 All Habitats'!$B$3:$B$134,MATCH(F124,'G-1 All Habitats'!$A$3:$A$134,0)),"")</f>
        <v/>
      </c>
      <c r="H124" s="53"/>
      <c r="I124" s="362" t="str">
        <f>IF(G124="","",VLOOKUP(G124,'G-1 All Habitats'!$B$2:$M$134,10,FALSE))</f>
        <v/>
      </c>
      <c r="J124" s="363" t="str">
        <f>IFERROR(VLOOKUP(I124,'G-1 All Habitats'!$V$3:$W$7,2,FALSE),"")</f>
        <v/>
      </c>
      <c r="K124" s="54"/>
      <c r="L124" s="363" t="str">
        <f>IFERROR(INDEX('G-8 Condition Look up'!$A$3:$H$135,MATCH(G124,'G-8 Condition Look up'!$A$3:$A$135,0),MATCH(K124,'G-8 Condition Look up'!$A$3:$H$3,0)),"")</f>
        <v/>
      </c>
      <c r="M124" s="54"/>
      <c r="N124" s="382" t="str">
        <f>IF(M124="","",IF(VLOOKUP(M124,'G-3 Multipliers'!$L$3:$N$6,2,FALSE)=0,"Spatial Data Missing",VLOOKUP(M124,'G-3 Multipliers'!$L$3:$N$6,2,FALSE)))</f>
        <v/>
      </c>
      <c r="O124" s="368" t="str">
        <f>IF(M124="","",IF(VLOOKUP(M124,'G-3 Multipliers'!$L$3:$N$6,3,FALSE)=0,"Spatial Data Missing",VLOOKUP(M124,'G-3 Multipliers'!$L$3:$N$6,3,FALSE)))</f>
        <v/>
      </c>
      <c r="P124" s="369" t="str">
        <f>IFERROR(VLOOKUP(G124,'G-1 All Habitats'!$B$2:$M$134,12,FALSE),"")</f>
        <v/>
      </c>
      <c r="Q124" s="376" t="str">
        <f>IFERROR(IF(P124="","",IF(AND(P124='G-1 All Habitats'!$X$3,T124&gt;0),U124+V124,IF(AND(P124='G-1 All Habitats'!$X$3,S124&gt;0),U124+V124,IF(AND(P124='G-1 All Habitats'!$X$3,AC124&gt;0),"Any Loss Unacceptable ⚠",IF(AND(P124='G-1 All Habitats'!$X$3,W124&gt;0),"Any Loss Unacceptable ⚠",H124*J124*L124*O124))))),"Check Data ▲")</f>
        <v/>
      </c>
      <c r="R124" s="38"/>
      <c r="S124" s="54"/>
      <c r="T124" s="55"/>
      <c r="U124" s="374" t="str">
        <f t="shared" si="8"/>
        <v/>
      </c>
      <c r="V124" s="374" t="str">
        <f t="shared" si="9"/>
        <v/>
      </c>
      <c r="W124" s="374" t="str">
        <f>IF(E124="","",IF(H124&lt;S124+T124,"Error in Areas ▲",IF(P124&lt;&gt;'G-1 All Habitats'!$X$3,H124-S124-T124,IF(AND(P124='G-1 All Habitats'!$X$3,Y124="Yes"),"Unacceptable Loss ⚠",IF(AND(P124='G-1 All Habitats'!$X$3,Y124="No"),AC124,IF(AND(P124='G-1 All Habitats'!$X$3,Y124=""),AC124,IF(AND(P124='G-1 All Habitats'!$X$3,AC124="None",AC124),IF(AND(P124='G-1 All Habitats'!$X$3,AC124&gt;0),H124-S124-T124))))))))</f>
        <v/>
      </c>
      <c r="X124" s="378" t="str">
        <f>IFERROR(IF(H124="","",IF(H124-S124-T124=0&lt;0,"Error in Areas ▲",IF(S124+T124&gt;H124,"Error in Areas ▲",IF(AND(P124='G-1 All Habitats'!$X$3,Y124="Yes"),"Alternative Compensation ✓",IF(W124=0,0,IF(P124='G-1 All Habitats'!$X$3,"Any Loss Unacceptable ▲",Q124-U124-V124)))))),"Check Data ▲")</f>
        <v/>
      </c>
      <c r="Y124" s="55"/>
      <c r="Z124" s="62"/>
      <c r="AA124" s="526"/>
      <c r="AB124" s="120"/>
      <c r="AC124" s="726" t="str">
        <f>IF(P124="","",IF(P124='G-1 All Habitats'!$X$3,H124-S124-T124,"None"))</f>
        <v/>
      </c>
      <c r="AD124" s="727" t="str">
        <f>IF(P124="","", IF(P124='G-1 All Habitats'!$X$3, AC124*J124*L124*O124,"None"))</f>
        <v/>
      </c>
      <c r="AF124" s="40" t="str">
        <f t="shared" si="5"/>
        <v/>
      </c>
      <c r="AG124" s="40" t="str">
        <f t="shared" si="6"/>
        <v/>
      </c>
      <c r="AH124" s="40" t="str">
        <f>IF(I124="","",IF(#REF!&gt;0,TRUE,FALSE))</f>
        <v/>
      </c>
      <c r="AI124" s="40">
        <v>114</v>
      </c>
      <c r="AJ124" s="40"/>
      <c r="AK124" s="40" t="str">
        <f t="array" ref="AK124">IFERROR(INDEX($AI$11:$AI$259, MATCH(0, IF(TRUE=$AF$11:$AF$259, COUNTIF($AK$10:$AK123, $AI$11:$AI$259), ""), 0)),"")</f>
        <v/>
      </c>
      <c r="AL124" s="40" t="str">
        <f t="array" ref="AL124">IFERROR(INDEX($AI$11:$AI$259, MATCH(0, IF(TRUE=$AG$11:$AG$259, COUNTIF($AL$10:$AL123, $AI$11:$AI$259), ""), 0)),"")</f>
        <v/>
      </c>
      <c r="AM124" s="40" t="str">
        <f t="array" ref="AM124">IFERROR(INDEX($AI$11:$AI$259, MATCH(0, IF(TRUE=$AH$11:$AH$259, COUNTIF($AM$10:$AM123, $AI$11:$AI$259), ""), 0)),"")</f>
        <v/>
      </c>
      <c r="AN124" s="40"/>
      <c r="AQ124" s="35">
        <f t="shared" si="7"/>
        <v>0</v>
      </c>
    </row>
    <row r="125" spans="1:43">
      <c r="A125" s="35" t="str">
        <f>IFERROR(INDEX('G-1 All Habitats'!$AG$3:$AG$17,MATCH(E125,'G-1 All Habitats'!$AF$3:$AF$17,0)),"")</f>
        <v/>
      </c>
      <c r="B125" s="35" t="str">
        <f>IFERROR(INDEX('G-8 Condition Look up'!$I$4:$I$135,MATCH(G125,'G-8 Condition Look up'!$A$4:$A$135,0)),"")</f>
        <v/>
      </c>
      <c r="D125" s="287">
        <v>115</v>
      </c>
      <c r="E125" s="267"/>
      <c r="F125" s="61"/>
      <c r="G125" s="52" t="str">
        <f>IFERROR(INDEX('G-1 All Habitats'!$B$3:$B$134,MATCH(F125,'G-1 All Habitats'!$A$3:$A$134,0)),"")</f>
        <v/>
      </c>
      <c r="H125" s="53"/>
      <c r="I125" s="362" t="str">
        <f>IF(G125="","",VLOOKUP(G125,'G-1 All Habitats'!$B$2:$M$134,10,FALSE))</f>
        <v/>
      </c>
      <c r="J125" s="363" t="str">
        <f>IFERROR(VLOOKUP(I125,'G-1 All Habitats'!$V$3:$W$7,2,FALSE),"")</f>
        <v/>
      </c>
      <c r="K125" s="54"/>
      <c r="L125" s="363" t="str">
        <f>IFERROR(INDEX('G-8 Condition Look up'!$A$3:$H$135,MATCH(G125,'G-8 Condition Look up'!$A$3:$A$135,0),MATCH(K125,'G-8 Condition Look up'!$A$3:$H$3,0)),"")</f>
        <v/>
      </c>
      <c r="M125" s="54"/>
      <c r="N125" s="382" t="str">
        <f>IF(M125="","",IF(VLOOKUP(M125,'G-3 Multipliers'!$L$3:$N$6,2,FALSE)=0,"Spatial Data Missing",VLOOKUP(M125,'G-3 Multipliers'!$L$3:$N$6,2,FALSE)))</f>
        <v/>
      </c>
      <c r="O125" s="368" t="str">
        <f>IF(M125="","",IF(VLOOKUP(M125,'G-3 Multipliers'!$L$3:$N$6,3,FALSE)=0,"Spatial Data Missing",VLOOKUP(M125,'G-3 Multipliers'!$L$3:$N$6,3,FALSE)))</f>
        <v/>
      </c>
      <c r="P125" s="369" t="str">
        <f>IFERROR(VLOOKUP(G125,'G-1 All Habitats'!$B$2:$M$134,12,FALSE),"")</f>
        <v/>
      </c>
      <c r="Q125" s="376" t="str">
        <f>IFERROR(IF(P125="","",IF(AND(P125='G-1 All Habitats'!$X$3,T125&gt;0),U125+V125,IF(AND(P125='G-1 All Habitats'!$X$3,S125&gt;0),U125+V125,IF(AND(P125='G-1 All Habitats'!$X$3,AC125&gt;0),"Any Loss Unacceptable ⚠",IF(AND(P125='G-1 All Habitats'!$X$3,W125&gt;0),"Any Loss Unacceptable ⚠",H125*J125*L125*O125))))),"Check Data ▲")</f>
        <v/>
      </c>
      <c r="R125" s="38"/>
      <c r="S125" s="54"/>
      <c r="T125" s="55"/>
      <c r="U125" s="374" t="str">
        <f t="shared" si="8"/>
        <v/>
      </c>
      <c r="V125" s="374" t="str">
        <f t="shared" si="9"/>
        <v/>
      </c>
      <c r="W125" s="374" t="str">
        <f>IF(E125="","",IF(H125&lt;S125+T125,"Error in Areas ▲",IF(P125&lt;&gt;'G-1 All Habitats'!$X$3,H125-S125-T125,IF(AND(P125='G-1 All Habitats'!$X$3,Y125="Yes"),"Unacceptable Loss ⚠",IF(AND(P125='G-1 All Habitats'!$X$3,Y125="No"),AC125,IF(AND(P125='G-1 All Habitats'!$X$3,Y125=""),AC125,IF(AND(P125='G-1 All Habitats'!$X$3,AC125="None",AC125),IF(AND(P125='G-1 All Habitats'!$X$3,AC125&gt;0),H125-S125-T125))))))))</f>
        <v/>
      </c>
      <c r="X125" s="378" t="str">
        <f>IFERROR(IF(H125="","",IF(H125-S125-T125=0&lt;0,"Error in Areas ▲",IF(S125+T125&gt;H125,"Error in Areas ▲",IF(AND(P125='G-1 All Habitats'!$X$3,Y125="Yes"),"Alternative Compensation ✓",IF(W125=0,0,IF(P125='G-1 All Habitats'!$X$3,"Any Loss Unacceptable ▲",Q125-U125-V125)))))),"Check Data ▲")</f>
        <v/>
      </c>
      <c r="Y125" s="55"/>
      <c r="Z125" s="62"/>
      <c r="AA125" s="526"/>
      <c r="AB125" s="120"/>
      <c r="AC125" s="726" t="str">
        <f>IF(P125="","",IF(P125='G-1 All Habitats'!$X$3,H125-S125-T125,"None"))</f>
        <v/>
      </c>
      <c r="AD125" s="727" t="str">
        <f>IF(P125="","", IF(P125='G-1 All Habitats'!$X$3, AC125*J125*L125*O125,"None"))</f>
        <v/>
      </c>
      <c r="AF125" s="40" t="str">
        <f t="shared" si="5"/>
        <v/>
      </c>
      <c r="AG125" s="40" t="str">
        <f t="shared" si="6"/>
        <v/>
      </c>
      <c r="AH125" s="40" t="str">
        <f>IF(I125="","",IF(#REF!&gt;0,TRUE,FALSE))</f>
        <v/>
      </c>
      <c r="AI125" s="40">
        <v>115</v>
      </c>
      <c r="AJ125" s="40"/>
      <c r="AK125" s="40" t="str">
        <f t="array" ref="AK125">IFERROR(INDEX($AI$11:$AI$259, MATCH(0, IF(TRUE=$AF$11:$AF$259, COUNTIF($AK$10:$AK124, $AI$11:$AI$259), ""), 0)),"")</f>
        <v/>
      </c>
      <c r="AL125" s="40" t="str">
        <f t="array" ref="AL125">IFERROR(INDEX($AI$11:$AI$259, MATCH(0, IF(TRUE=$AG$11:$AG$259, COUNTIF($AL$10:$AL124, $AI$11:$AI$259), ""), 0)),"")</f>
        <v/>
      </c>
      <c r="AM125" s="40" t="str">
        <f t="array" ref="AM125">IFERROR(INDEX($AI$11:$AI$259, MATCH(0, IF(TRUE=$AH$11:$AH$259, COUNTIF($AM$10:$AM124, $AI$11:$AI$259), ""), 0)),"")</f>
        <v/>
      </c>
      <c r="AN125" s="40"/>
      <c r="AQ125" s="35">
        <f t="shared" si="7"/>
        <v>0</v>
      </c>
    </row>
    <row r="126" spans="1:43">
      <c r="A126" s="35" t="str">
        <f>IFERROR(INDEX('G-1 All Habitats'!$AG$3:$AG$17,MATCH(E126,'G-1 All Habitats'!$AF$3:$AF$17,0)),"")</f>
        <v/>
      </c>
      <c r="B126" s="35" t="str">
        <f>IFERROR(INDEX('G-8 Condition Look up'!$I$4:$I$135,MATCH(G126,'G-8 Condition Look up'!$A$4:$A$135,0)),"")</f>
        <v/>
      </c>
      <c r="D126" s="287">
        <v>116</v>
      </c>
      <c r="E126" s="267"/>
      <c r="F126" s="61"/>
      <c r="G126" s="52" t="str">
        <f>IFERROR(INDEX('G-1 All Habitats'!$B$3:$B$134,MATCH(F126,'G-1 All Habitats'!$A$3:$A$134,0)),"")</f>
        <v/>
      </c>
      <c r="H126" s="53"/>
      <c r="I126" s="362" t="str">
        <f>IF(G126="","",VLOOKUP(G126,'G-1 All Habitats'!$B$2:$M$134,10,FALSE))</f>
        <v/>
      </c>
      <c r="J126" s="363" t="str">
        <f>IFERROR(VLOOKUP(I126,'G-1 All Habitats'!$V$3:$W$7,2,FALSE),"")</f>
        <v/>
      </c>
      <c r="K126" s="54"/>
      <c r="L126" s="363" t="str">
        <f>IFERROR(INDEX('G-8 Condition Look up'!$A$3:$H$135,MATCH(G126,'G-8 Condition Look up'!$A$3:$A$135,0),MATCH(K126,'G-8 Condition Look up'!$A$3:$H$3,0)),"")</f>
        <v/>
      </c>
      <c r="M126" s="54"/>
      <c r="N126" s="382" t="str">
        <f>IF(M126="","",IF(VLOOKUP(M126,'G-3 Multipliers'!$L$3:$N$6,2,FALSE)=0,"Spatial Data Missing",VLOOKUP(M126,'G-3 Multipliers'!$L$3:$N$6,2,FALSE)))</f>
        <v/>
      </c>
      <c r="O126" s="368" t="str">
        <f>IF(M126="","",IF(VLOOKUP(M126,'G-3 Multipliers'!$L$3:$N$6,3,FALSE)=0,"Spatial Data Missing",VLOOKUP(M126,'G-3 Multipliers'!$L$3:$N$6,3,FALSE)))</f>
        <v/>
      </c>
      <c r="P126" s="369" t="str">
        <f>IFERROR(VLOOKUP(G126,'G-1 All Habitats'!$B$2:$M$134,12,FALSE),"")</f>
        <v/>
      </c>
      <c r="Q126" s="376" t="str">
        <f>IFERROR(IF(P126="","",IF(AND(P126='G-1 All Habitats'!$X$3,T126&gt;0),U126+V126,IF(AND(P126='G-1 All Habitats'!$X$3,S126&gt;0),U126+V126,IF(AND(P126='G-1 All Habitats'!$X$3,AC126&gt;0),"Any Loss Unacceptable ⚠",IF(AND(P126='G-1 All Habitats'!$X$3,W126&gt;0),"Any Loss Unacceptable ⚠",H126*J126*L126*O126))))),"Check Data ▲")</f>
        <v/>
      </c>
      <c r="R126" s="38"/>
      <c r="S126" s="54"/>
      <c r="T126" s="55"/>
      <c r="U126" s="374" t="str">
        <f t="shared" si="8"/>
        <v/>
      </c>
      <c r="V126" s="374" t="str">
        <f t="shared" si="9"/>
        <v/>
      </c>
      <c r="W126" s="374" t="str">
        <f>IF(E126="","",IF(H126&lt;S126+T126,"Error in Areas ▲",IF(P126&lt;&gt;'G-1 All Habitats'!$X$3,H126-S126-T126,IF(AND(P126='G-1 All Habitats'!$X$3,Y126="Yes"),"Unacceptable Loss ⚠",IF(AND(P126='G-1 All Habitats'!$X$3,Y126="No"),AC126,IF(AND(P126='G-1 All Habitats'!$X$3,Y126=""),AC126,IF(AND(P126='G-1 All Habitats'!$X$3,AC126="None",AC126),IF(AND(P126='G-1 All Habitats'!$X$3,AC126&gt;0),H126-S126-T126))))))))</f>
        <v/>
      </c>
      <c r="X126" s="378" t="str">
        <f>IFERROR(IF(H126="","",IF(H126-S126-T126=0&lt;0,"Error in Areas ▲",IF(S126+T126&gt;H126,"Error in Areas ▲",IF(AND(P126='G-1 All Habitats'!$X$3,Y126="Yes"),"Alternative Compensation ✓",IF(W126=0,0,IF(P126='G-1 All Habitats'!$X$3,"Any Loss Unacceptable ▲",Q126-U126-V126)))))),"Check Data ▲")</f>
        <v/>
      </c>
      <c r="Y126" s="55"/>
      <c r="Z126" s="62"/>
      <c r="AA126" s="526"/>
      <c r="AB126" s="120"/>
      <c r="AC126" s="726" t="str">
        <f>IF(P126="","",IF(P126='G-1 All Habitats'!$X$3,H126-S126-T126,"None"))</f>
        <v/>
      </c>
      <c r="AD126" s="727" t="str">
        <f>IF(P126="","", IF(P126='G-1 All Habitats'!$X$3, AC126*J126*L126*O126,"None"))</f>
        <v/>
      </c>
      <c r="AF126" s="40" t="str">
        <f t="shared" si="5"/>
        <v/>
      </c>
      <c r="AG126" s="40" t="str">
        <f t="shared" si="6"/>
        <v/>
      </c>
      <c r="AH126" s="40" t="str">
        <f>IF(I126="","",IF(#REF!&gt;0,TRUE,FALSE))</f>
        <v/>
      </c>
      <c r="AI126" s="40">
        <v>116</v>
      </c>
      <c r="AJ126" s="40"/>
      <c r="AK126" s="40" t="str">
        <f t="array" ref="AK126">IFERROR(INDEX($AI$11:$AI$259, MATCH(0, IF(TRUE=$AF$11:$AF$259, COUNTIF($AK$10:$AK125, $AI$11:$AI$259), ""), 0)),"")</f>
        <v/>
      </c>
      <c r="AL126" s="40" t="str">
        <f t="array" ref="AL126">IFERROR(INDEX($AI$11:$AI$259, MATCH(0, IF(TRUE=$AG$11:$AG$259, COUNTIF($AL$10:$AL125, $AI$11:$AI$259), ""), 0)),"")</f>
        <v/>
      </c>
      <c r="AM126" s="40" t="str">
        <f t="array" ref="AM126">IFERROR(INDEX($AI$11:$AI$259, MATCH(0, IF(TRUE=$AH$11:$AH$259, COUNTIF($AM$10:$AM125, $AI$11:$AI$259), ""), 0)),"")</f>
        <v/>
      </c>
      <c r="AN126" s="40"/>
      <c r="AQ126" s="35">
        <f t="shared" si="7"/>
        <v>0</v>
      </c>
    </row>
    <row r="127" spans="1:43">
      <c r="A127" s="35" t="str">
        <f>IFERROR(INDEX('G-1 All Habitats'!$AG$3:$AG$17,MATCH(E127,'G-1 All Habitats'!$AF$3:$AF$17,0)),"")</f>
        <v/>
      </c>
      <c r="B127" s="35" t="str">
        <f>IFERROR(INDEX('G-8 Condition Look up'!$I$4:$I$135,MATCH(G127,'G-8 Condition Look up'!$A$4:$A$135,0)),"")</f>
        <v/>
      </c>
      <c r="D127" s="287">
        <v>117</v>
      </c>
      <c r="E127" s="267"/>
      <c r="F127" s="61"/>
      <c r="G127" s="52" t="str">
        <f>IFERROR(INDEX('G-1 All Habitats'!$B$3:$B$134,MATCH(F127,'G-1 All Habitats'!$A$3:$A$134,0)),"")</f>
        <v/>
      </c>
      <c r="H127" s="53"/>
      <c r="I127" s="362" t="str">
        <f>IF(G127="","",VLOOKUP(G127,'G-1 All Habitats'!$B$2:$M$134,10,FALSE))</f>
        <v/>
      </c>
      <c r="J127" s="363" t="str">
        <f>IFERROR(VLOOKUP(I127,'G-1 All Habitats'!$V$3:$W$7,2,FALSE),"")</f>
        <v/>
      </c>
      <c r="K127" s="54"/>
      <c r="L127" s="363" t="str">
        <f>IFERROR(INDEX('G-8 Condition Look up'!$A$3:$H$135,MATCH(G127,'G-8 Condition Look up'!$A$3:$A$135,0),MATCH(K127,'G-8 Condition Look up'!$A$3:$H$3,0)),"")</f>
        <v/>
      </c>
      <c r="M127" s="54"/>
      <c r="N127" s="382" t="str">
        <f>IF(M127="","",IF(VLOOKUP(M127,'G-3 Multipliers'!$L$3:$N$6,2,FALSE)=0,"Spatial Data Missing",VLOOKUP(M127,'G-3 Multipliers'!$L$3:$N$6,2,FALSE)))</f>
        <v/>
      </c>
      <c r="O127" s="368" t="str">
        <f>IF(M127="","",IF(VLOOKUP(M127,'G-3 Multipliers'!$L$3:$N$6,3,FALSE)=0,"Spatial Data Missing",VLOOKUP(M127,'G-3 Multipliers'!$L$3:$N$6,3,FALSE)))</f>
        <v/>
      </c>
      <c r="P127" s="369" t="str">
        <f>IFERROR(VLOOKUP(G127,'G-1 All Habitats'!$B$2:$M$134,12,FALSE),"")</f>
        <v/>
      </c>
      <c r="Q127" s="376" t="str">
        <f>IFERROR(IF(P127="","",IF(AND(P127='G-1 All Habitats'!$X$3,T127&gt;0),U127+V127,IF(AND(P127='G-1 All Habitats'!$X$3,S127&gt;0),U127+V127,IF(AND(P127='G-1 All Habitats'!$X$3,AC127&gt;0),"Any Loss Unacceptable ⚠",IF(AND(P127='G-1 All Habitats'!$X$3,W127&gt;0),"Any Loss Unacceptable ⚠",H127*J127*L127*O127))))),"Check Data ▲")</f>
        <v/>
      </c>
      <c r="R127" s="38"/>
      <c r="S127" s="54"/>
      <c r="T127" s="55"/>
      <c r="U127" s="374" t="str">
        <f t="shared" si="8"/>
        <v/>
      </c>
      <c r="V127" s="374" t="str">
        <f t="shared" si="9"/>
        <v/>
      </c>
      <c r="W127" s="374" t="str">
        <f>IF(E127="","",IF(H127&lt;S127+T127,"Error in Areas ▲",IF(P127&lt;&gt;'G-1 All Habitats'!$X$3,H127-S127-T127,IF(AND(P127='G-1 All Habitats'!$X$3,Y127="Yes"),"Unacceptable Loss ⚠",IF(AND(P127='G-1 All Habitats'!$X$3,Y127="No"),AC127,IF(AND(P127='G-1 All Habitats'!$X$3,Y127=""),AC127,IF(AND(P127='G-1 All Habitats'!$X$3,AC127="None",AC127),IF(AND(P127='G-1 All Habitats'!$X$3,AC127&gt;0),H127-S127-T127))))))))</f>
        <v/>
      </c>
      <c r="X127" s="378" t="str">
        <f>IFERROR(IF(H127="","",IF(H127-S127-T127=0&lt;0,"Error in Areas ▲",IF(S127+T127&gt;H127,"Error in Areas ▲",IF(AND(P127='G-1 All Habitats'!$X$3,Y127="Yes"),"Alternative Compensation ✓",IF(W127=0,0,IF(P127='G-1 All Habitats'!$X$3,"Any Loss Unacceptable ▲",Q127-U127-V127)))))),"Check Data ▲")</f>
        <v/>
      </c>
      <c r="Y127" s="55"/>
      <c r="Z127" s="62"/>
      <c r="AA127" s="526"/>
      <c r="AB127" s="120"/>
      <c r="AC127" s="726" t="str">
        <f>IF(P127="","",IF(P127='G-1 All Habitats'!$X$3,H127-S127-T127,"None"))</f>
        <v/>
      </c>
      <c r="AD127" s="727" t="str">
        <f>IF(P127="","", IF(P127='G-1 All Habitats'!$X$3, AC127*J127*L127*O127,"None"))</f>
        <v/>
      </c>
      <c r="AF127" s="40" t="str">
        <f t="shared" si="5"/>
        <v/>
      </c>
      <c r="AG127" s="40" t="str">
        <f t="shared" si="6"/>
        <v/>
      </c>
      <c r="AH127" s="40" t="str">
        <f>IF(I127="","",IF(#REF!&gt;0,TRUE,FALSE))</f>
        <v/>
      </c>
      <c r="AI127" s="40">
        <v>117</v>
      </c>
      <c r="AJ127" s="40"/>
      <c r="AK127" s="40" t="str">
        <f t="array" ref="AK127">IFERROR(INDEX($AI$11:$AI$259, MATCH(0, IF(TRUE=$AF$11:$AF$259, COUNTIF($AK$10:$AK126, $AI$11:$AI$259), ""), 0)),"")</f>
        <v/>
      </c>
      <c r="AL127" s="40" t="str">
        <f t="array" ref="AL127">IFERROR(INDEX($AI$11:$AI$259, MATCH(0, IF(TRUE=$AG$11:$AG$259, COUNTIF($AL$10:$AL126, $AI$11:$AI$259), ""), 0)),"")</f>
        <v/>
      </c>
      <c r="AM127" s="40" t="str">
        <f t="array" ref="AM127">IFERROR(INDEX($AI$11:$AI$259, MATCH(0, IF(TRUE=$AH$11:$AH$259, COUNTIF($AM$10:$AM126, $AI$11:$AI$259), ""), 0)),"")</f>
        <v/>
      </c>
      <c r="AN127" s="40"/>
      <c r="AQ127" s="35">
        <f t="shared" si="7"/>
        <v>0</v>
      </c>
    </row>
    <row r="128" spans="1:43">
      <c r="A128" s="35" t="str">
        <f>IFERROR(INDEX('G-1 All Habitats'!$AG$3:$AG$17,MATCH(E128,'G-1 All Habitats'!$AF$3:$AF$17,0)),"")</f>
        <v/>
      </c>
      <c r="B128" s="35" t="str">
        <f>IFERROR(INDEX('G-8 Condition Look up'!$I$4:$I$135,MATCH(G128,'G-8 Condition Look up'!$A$4:$A$135,0)),"")</f>
        <v/>
      </c>
      <c r="D128" s="287">
        <v>118</v>
      </c>
      <c r="E128" s="267"/>
      <c r="F128" s="61"/>
      <c r="G128" s="52" t="str">
        <f>IFERROR(INDEX('G-1 All Habitats'!$B$3:$B$134,MATCH(F128,'G-1 All Habitats'!$A$3:$A$134,0)),"")</f>
        <v/>
      </c>
      <c r="H128" s="53"/>
      <c r="I128" s="362" t="str">
        <f>IF(G128="","",VLOOKUP(G128,'G-1 All Habitats'!$B$2:$M$134,10,FALSE))</f>
        <v/>
      </c>
      <c r="J128" s="363" t="str">
        <f>IFERROR(VLOOKUP(I128,'G-1 All Habitats'!$V$3:$W$7,2,FALSE),"")</f>
        <v/>
      </c>
      <c r="K128" s="54"/>
      <c r="L128" s="363" t="str">
        <f>IFERROR(INDEX('G-8 Condition Look up'!$A$3:$H$135,MATCH(G128,'G-8 Condition Look up'!$A$3:$A$135,0),MATCH(K128,'G-8 Condition Look up'!$A$3:$H$3,0)),"")</f>
        <v/>
      </c>
      <c r="M128" s="54"/>
      <c r="N128" s="382" t="str">
        <f>IF(M128="","",IF(VLOOKUP(M128,'G-3 Multipliers'!$L$3:$N$6,2,FALSE)=0,"Spatial Data Missing",VLOOKUP(M128,'G-3 Multipliers'!$L$3:$N$6,2,FALSE)))</f>
        <v/>
      </c>
      <c r="O128" s="368" t="str">
        <f>IF(M128="","",IF(VLOOKUP(M128,'G-3 Multipliers'!$L$3:$N$6,3,FALSE)=0,"Spatial Data Missing",VLOOKUP(M128,'G-3 Multipliers'!$L$3:$N$6,3,FALSE)))</f>
        <v/>
      </c>
      <c r="P128" s="369" t="str">
        <f>IFERROR(VLOOKUP(G128,'G-1 All Habitats'!$B$2:$M$134,12,FALSE),"")</f>
        <v/>
      </c>
      <c r="Q128" s="376" t="str">
        <f>IFERROR(IF(P128="","",IF(AND(P128='G-1 All Habitats'!$X$3,T128&gt;0),U128+V128,IF(AND(P128='G-1 All Habitats'!$X$3,S128&gt;0),U128+V128,IF(AND(P128='G-1 All Habitats'!$X$3,AC128&gt;0),"Any Loss Unacceptable ⚠",IF(AND(P128='G-1 All Habitats'!$X$3,W128&gt;0),"Any Loss Unacceptable ⚠",H128*J128*L128*O128))))),"Check Data ▲")</f>
        <v/>
      </c>
      <c r="R128" s="38"/>
      <c r="S128" s="54"/>
      <c r="T128" s="55"/>
      <c r="U128" s="374" t="str">
        <f t="shared" si="8"/>
        <v/>
      </c>
      <c r="V128" s="374" t="str">
        <f t="shared" si="9"/>
        <v/>
      </c>
      <c r="W128" s="374" t="str">
        <f>IF(E128="","",IF(H128&lt;S128+T128,"Error in Areas ▲",IF(P128&lt;&gt;'G-1 All Habitats'!$X$3,H128-S128-T128,IF(AND(P128='G-1 All Habitats'!$X$3,Y128="Yes"),"Unacceptable Loss ⚠",IF(AND(P128='G-1 All Habitats'!$X$3,Y128="No"),AC128,IF(AND(P128='G-1 All Habitats'!$X$3,Y128=""),AC128,IF(AND(P128='G-1 All Habitats'!$X$3,AC128="None",AC128),IF(AND(P128='G-1 All Habitats'!$X$3,AC128&gt;0),H128-S128-T128))))))))</f>
        <v/>
      </c>
      <c r="X128" s="378" t="str">
        <f>IFERROR(IF(H128="","",IF(H128-S128-T128=0&lt;0,"Error in Areas ▲",IF(S128+T128&gt;H128,"Error in Areas ▲",IF(AND(P128='G-1 All Habitats'!$X$3,Y128="Yes"),"Alternative Compensation ✓",IF(W128=0,0,IF(P128='G-1 All Habitats'!$X$3,"Any Loss Unacceptable ▲",Q128-U128-V128)))))),"Check Data ▲")</f>
        <v/>
      </c>
      <c r="Y128" s="55"/>
      <c r="Z128" s="62"/>
      <c r="AA128" s="526"/>
      <c r="AB128" s="120"/>
      <c r="AC128" s="726" t="str">
        <f>IF(P128="","",IF(P128='G-1 All Habitats'!$X$3,H128-S128-T128,"None"))</f>
        <v/>
      </c>
      <c r="AD128" s="727" t="str">
        <f>IF(P128="","", IF(P128='G-1 All Habitats'!$X$3, AC128*J128*L128*O128,"None"))</f>
        <v/>
      </c>
      <c r="AF128" s="40" t="str">
        <f t="shared" si="5"/>
        <v/>
      </c>
      <c r="AG128" s="40" t="str">
        <f t="shared" si="6"/>
        <v/>
      </c>
      <c r="AH128" s="40" t="str">
        <f>IF(I128="","",IF(#REF!&gt;0,TRUE,FALSE))</f>
        <v/>
      </c>
      <c r="AI128" s="40">
        <v>118</v>
      </c>
      <c r="AJ128" s="40"/>
      <c r="AK128" s="40" t="str">
        <f t="array" ref="AK128">IFERROR(INDEX($AI$11:$AI$259, MATCH(0, IF(TRUE=$AF$11:$AF$259, COUNTIF($AK$10:$AK127, $AI$11:$AI$259), ""), 0)),"")</f>
        <v/>
      </c>
      <c r="AL128" s="40" t="str">
        <f t="array" ref="AL128">IFERROR(INDEX($AI$11:$AI$259, MATCH(0, IF(TRUE=$AG$11:$AG$259, COUNTIF($AL$10:$AL127, $AI$11:$AI$259), ""), 0)),"")</f>
        <v/>
      </c>
      <c r="AM128" s="40" t="str">
        <f t="array" ref="AM128">IFERROR(INDEX($AI$11:$AI$259, MATCH(0, IF(TRUE=$AH$11:$AH$259, COUNTIF($AM$10:$AM127, $AI$11:$AI$259), ""), 0)),"")</f>
        <v/>
      </c>
      <c r="AN128" s="40"/>
      <c r="AQ128" s="35">
        <f t="shared" si="7"/>
        <v>0</v>
      </c>
    </row>
    <row r="129" spans="1:43">
      <c r="A129" s="35" t="str">
        <f>IFERROR(INDEX('G-1 All Habitats'!$AG$3:$AG$17,MATCH(E129,'G-1 All Habitats'!$AF$3:$AF$17,0)),"")</f>
        <v/>
      </c>
      <c r="B129" s="35" t="str">
        <f>IFERROR(INDEX('G-8 Condition Look up'!$I$4:$I$135,MATCH(G129,'G-8 Condition Look up'!$A$4:$A$135,0)),"")</f>
        <v/>
      </c>
      <c r="D129" s="287">
        <v>119</v>
      </c>
      <c r="E129" s="267"/>
      <c r="F129" s="61"/>
      <c r="G129" s="52" t="str">
        <f>IFERROR(INDEX('G-1 All Habitats'!$B$3:$B$134,MATCH(F129,'G-1 All Habitats'!$A$3:$A$134,0)),"")</f>
        <v/>
      </c>
      <c r="H129" s="53"/>
      <c r="I129" s="362" t="str">
        <f>IF(G129="","",VLOOKUP(G129,'G-1 All Habitats'!$B$2:$M$134,10,FALSE))</f>
        <v/>
      </c>
      <c r="J129" s="363" t="str">
        <f>IFERROR(VLOOKUP(I129,'G-1 All Habitats'!$V$3:$W$7,2,FALSE),"")</f>
        <v/>
      </c>
      <c r="K129" s="54"/>
      <c r="L129" s="363" t="str">
        <f>IFERROR(INDEX('G-8 Condition Look up'!$A$3:$H$135,MATCH(G129,'G-8 Condition Look up'!$A$3:$A$135,0),MATCH(K129,'G-8 Condition Look up'!$A$3:$H$3,0)),"")</f>
        <v/>
      </c>
      <c r="M129" s="54"/>
      <c r="N129" s="382" t="str">
        <f>IF(M129="","",IF(VLOOKUP(M129,'G-3 Multipliers'!$L$3:$N$6,2,FALSE)=0,"Spatial Data Missing",VLOOKUP(M129,'G-3 Multipliers'!$L$3:$N$6,2,FALSE)))</f>
        <v/>
      </c>
      <c r="O129" s="368" t="str">
        <f>IF(M129="","",IF(VLOOKUP(M129,'G-3 Multipliers'!$L$3:$N$6,3,FALSE)=0,"Spatial Data Missing",VLOOKUP(M129,'G-3 Multipliers'!$L$3:$N$6,3,FALSE)))</f>
        <v/>
      </c>
      <c r="P129" s="369" t="str">
        <f>IFERROR(VLOOKUP(G129,'G-1 All Habitats'!$B$2:$M$134,12,FALSE),"")</f>
        <v/>
      </c>
      <c r="Q129" s="376" t="str">
        <f>IFERROR(IF(P129="","",IF(AND(P129='G-1 All Habitats'!$X$3,T129&gt;0),U129+V129,IF(AND(P129='G-1 All Habitats'!$X$3,S129&gt;0),U129+V129,IF(AND(P129='G-1 All Habitats'!$X$3,AC129&gt;0),"Any Loss Unacceptable ⚠",IF(AND(P129='G-1 All Habitats'!$X$3,W129&gt;0),"Any Loss Unacceptable ⚠",H129*J129*L129*O129))))),"Check Data ▲")</f>
        <v/>
      </c>
      <c r="R129" s="38"/>
      <c r="S129" s="54"/>
      <c r="T129" s="55"/>
      <c r="U129" s="374" t="str">
        <f t="shared" si="8"/>
        <v/>
      </c>
      <c r="V129" s="374" t="str">
        <f t="shared" si="9"/>
        <v/>
      </c>
      <c r="W129" s="374" t="str">
        <f>IF(E129="","",IF(H129&lt;S129+T129,"Error in Areas ▲",IF(P129&lt;&gt;'G-1 All Habitats'!$X$3,H129-S129-T129,IF(AND(P129='G-1 All Habitats'!$X$3,Y129="Yes"),"Unacceptable Loss ⚠",IF(AND(P129='G-1 All Habitats'!$X$3,Y129="No"),AC129,IF(AND(P129='G-1 All Habitats'!$X$3,Y129=""),AC129,IF(AND(P129='G-1 All Habitats'!$X$3,AC129="None",AC129),IF(AND(P129='G-1 All Habitats'!$X$3,AC129&gt;0),H129-S129-T129))))))))</f>
        <v/>
      </c>
      <c r="X129" s="378" t="str">
        <f>IFERROR(IF(H129="","",IF(H129-S129-T129=0&lt;0,"Error in Areas ▲",IF(S129+T129&gt;H129,"Error in Areas ▲",IF(AND(P129='G-1 All Habitats'!$X$3,Y129="Yes"),"Alternative Compensation ✓",IF(W129=0,0,IF(P129='G-1 All Habitats'!$X$3,"Any Loss Unacceptable ▲",Q129-U129-V129)))))),"Check Data ▲")</f>
        <v/>
      </c>
      <c r="Y129" s="55"/>
      <c r="Z129" s="62"/>
      <c r="AA129" s="526"/>
      <c r="AB129" s="120"/>
      <c r="AC129" s="726" t="str">
        <f>IF(P129="","",IF(P129='G-1 All Habitats'!$X$3,H129-S129-T129,"None"))</f>
        <v/>
      </c>
      <c r="AD129" s="727" t="str">
        <f>IF(P129="","", IF(P129='G-1 All Habitats'!$X$3, AC129*J129*L129*O129,"None"))</f>
        <v/>
      </c>
      <c r="AF129" s="40" t="str">
        <f t="shared" si="5"/>
        <v/>
      </c>
      <c r="AG129" s="40" t="str">
        <f t="shared" si="6"/>
        <v/>
      </c>
      <c r="AH129" s="40" t="str">
        <f>IF(I129="","",IF(#REF!&gt;0,TRUE,FALSE))</f>
        <v/>
      </c>
      <c r="AI129" s="40">
        <v>119</v>
      </c>
      <c r="AJ129" s="40"/>
      <c r="AK129" s="40" t="str">
        <f t="array" ref="AK129">IFERROR(INDEX($AI$11:$AI$259, MATCH(0, IF(TRUE=$AF$11:$AF$259, COUNTIF($AK$10:$AK128, $AI$11:$AI$259), ""), 0)),"")</f>
        <v/>
      </c>
      <c r="AL129" s="40" t="str">
        <f t="array" ref="AL129">IFERROR(INDEX($AI$11:$AI$259, MATCH(0, IF(TRUE=$AG$11:$AG$259, COUNTIF($AL$10:$AL128, $AI$11:$AI$259), ""), 0)),"")</f>
        <v/>
      </c>
      <c r="AM129" s="40" t="str">
        <f t="array" ref="AM129">IFERROR(INDEX($AI$11:$AI$259, MATCH(0, IF(TRUE=$AH$11:$AH$259, COUNTIF($AM$10:$AM128, $AI$11:$AI$259), ""), 0)),"")</f>
        <v/>
      </c>
      <c r="AN129" s="40"/>
      <c r="AQ129" s="35">
        <f t="shared" si="7"/>
        <v>0</v>
      </c>
    </row>
    <row r="130" spans="1:43">
      <c r="A130" s="35" t="str">
        <f>IFERROR(INDEX('G-1 All Habitats'!$AG$3:$AG$17,MATCH(E130,'G-1 All Habitats'!$AF$3:$AF$17,0)),"")</f>
        <v/>
      </c>
      <c r="B130" s="35" t="str">
        <f>IFERROR(INDEX('G-8 Condition Look up'!$I$4:$I$135,MATCH(G130,'G-8 Condition Look up'!$A$4:$A$135,0)),"")</f>
        <v/>
      </c>
      <c r="D130" s="287">
        <v>120</v>
      </c>
      <c r="E130" s="267"/>
      <c r="F130" s="61"/>
      <c r="G130" s="52" t="str">
        <f>IFERROR(INDEX('G-1 All Habitats'!$B$3:$B$134,MATCH(F130,'G-1 All Habitats'!$A$3:$A$134,0)),"")</f>
        <v/>
      </c>
      <c r="H130" s="53"/>
      <c r="I130" s="362" t="str">
        <f>IF(G130="","",VLOOKUP(G130,'G-1 All Habitats'!$B$2:$M$134,10,FALSE))</f>
        <v/>
      </c>
      <c r="J130" s="363" t="str">
        <f>IFERROR(VLOOKUP(I130,'G-1 All Habitats'!$V$3:$W$7,2,FALSE),"")</f>
        <v/>
      </c>
      <c r="K130" s="54"/>
      <c r="L130" s="363" t="str">
        <f>IFERROR(INDEX('G-8 Condition Look up'!$A$3:$H$135,MATCH(G130,'G-8 Condition Look up'!$A$3:$A$135,0),MATCH(K130,'G-8 Condition Look up'!$A$3:$H$3,0)),"")</f>
        <v/>
      </c>
      <c r="M130" s="54"/>
      <c r="N130" s="382" t="str">
        <f>IF(M130="","",IF(VLOOKUP(M130,'G-3 Multipliers'!$L$3:$N$6,2,FALSE)=0,"Spatial Data Missing",VLOOKUP(M130,'G-3 Multipliers'!$L$3:$N$6,2,FALSE)))</f>
        <v/>
      </c>
      <c r="O130" s="368" t="str">
        <f>IF(M130="","",IF(VLOOKUP(M130,'G-3 Multipliers'!$L$3:$N$6,3,FALSE)=0,"Spatial Data Missing",VLOOKUP(M130,'G-3 Multipliers'!$L$3:$N$6,3,FALSE)))</f>
        <v/>
      </c>
      <c r="P130" s="369" t="str">
        <f>IFERROR(VLOOKUP(G130,'G-1 All Habitats'!$B$2:$M$134,12,FALSE),"")</f>
        <v/>
      </c>
      <c r="Q130" s="376" t="str">
        <f>IFERROR(IF(P130="","",IF(AND(P130='G-1 All Habitats'!$X$3,T130&gt;0),U130+V130,IF(AND(P130='G-1 All Habitats'!$X$3,S130&gt;0),U130+V130,IF(AND(P130='G-1 All Habitats'!$X$3,AC130&gt;0),"Any Loss Unacceptable ⚠",IF(AND(P130='G-1 All Habitats'!$X$3,W130&gt;0),"Any Loss Unacceptable ⚠",H130*J130*L130*O130))))),"Check Data ▲")</f>
        <v/>
      </c>
      <c r="R130" s="38"/>
      <c r="S130" s="54"/>
      <c r="T130" s="55"/>
      <c r="U130" s="374" t="str">
        <f t="shared" si="8"/>
        <v/>
      </c>
      <c r="V130" s="374" t="str">
        <f t="shared" si="9"/>
        <v/>
      </c>
      <c r="W130" s="374" t="str">
        <f>IF(E130="","",IF(H130&lt;S130+T130,"Error in Areas ▲",IF(P130&lt;&gt;'G-1 All Habitats'!$X$3,H130-S130-T130,IF(AND(P130='G-1 All Habitats'!$X$3,Y130="Yes"),"Unacceptable Loss ⚠",IF(AND(P130='G-1 All Habitats'!$X$3,Y130="No"),AC130,IF(AND(P130='G-1 All Habitats'!$X$3,Y130=""),AC130,IF(AND(P130='G-1 All Habitats'!$X$3,AC130="None",AC130),IF(AND(P130='G-1 All Habitats'!$X$3,AC130&gt;0),H130-S130-T130))))))))</f>
        <v/>
      </c>
      <c r="X130" s="378" t="str">
        <f>IFERROR(IF(H130="","",IF(H130-S130-T130=0&lt;0,"Error in Areas ▲",IF(S130+T130&gt;H130,"Error in Areas ▲",IF(AND(P130='G-1 All Habitats'!$X$3,Y130="Yes"),"Alternative Compensation ✓",IF(W130=0,0,IF(P130='G-1 All Habitats'!$X$3,"Any Loss Unacceptable ▲",Q130-U130-V130)))))),"Check Data ▲")</f>
        <v/>
      </c>
      <c r="Y130" s="55"/>
      <c r="Z130" s="62"/>
      <c r="AA130" s="526"/>
      <c r="AB130" s="120"/>
      <c r="AC130" s="726" t="str">
        <f>IF(P130="","",IF(P130='G-1 All Habitats'!$X$3,H130-S130-T130,"None"))</f>
        <v/>
      </c>
      <c r="AD130" s="727" t="str">
        <f>IF(P130="","", IF(P130='G-1 All Habitats'!$X$3, AC130*J130*L130*O130,"None"))</f>
        <v/>
      </c>
      <c r="AF130" s="40" t="str">
        <f t="shared" si="5"/>
        <v/>
      </c>
      <c r="AG130" s="40" t="str">
        <f t="shared" si="6"/>
        <v/>
      </c>
      <c r="AH130" s="40" t="str">
        <f>IF(I130="","",IF(#REF!&gt;0,TRUE,FALSE))</f>
        <v/>
      </c>
      <c r="AI130" s="40">
        <v>120</v>
      </c>
      <c r="AJ130" s="40"/>
      <c r="AK130" s="40" t="str">
        <f t="array" ref="AK130">IFERROR(INDEX($AI$11:$AI$259, MATCH(0, IF(TRUE=$AF$11:$AF$259, COUNTIF($AK$10:$AK129, $AI$11:$AI$259), ""), 0)),"")</f>
        <v/>
      </c>
      <c r="AL130" s="40" t="str">
        <f t="array" ref="AL130">IFERROR(INDEX($AI$11:$AI$259, MATCH(0, IF(TRUE=$AG$11:$AG$259, COUNTIF($AL$10:$AL129, $AI$11:$AI$259), ""), 0)),"")</f>
        <v/>
      </c>
      <c r="AM130" s="40" t="str">
        <f t="array" ref="AM130">IFERROR(INDEX($AI$11:$AI$259, MATCH(0, IF(TRUE=$AH$11:$AH$259, COUNTIF($AM$10:$AM129, $AI$11:$AI$259), ""), 0)),"")</f>
        <v/>
      </c>
      <c r="AN130" s="40"/>
      <c r="AQ130" s="35">
        <f t="shared" si="7"/>
        <v>0</v>
      </c>
    </row>
    <row r="131" spans="1:43">
      <c r="A131" s="35" t="str">
        <f>IFERROR(INDEX('G-1 All Habitats'!$AG$3:$AG$17,MATCH(E131,'G-1 All Habitats'!$AF$3:$AF$17,0)),"")</f>
        <v/>
      </c>
      <c r="B131" s="35" t="str">
        <f>IFERROR(INDEX('G-8 Condition Look up'!$I$4:$I$135,MATCH(G131,'G-8 Condition Look up'!$A$4:$A$135,0)),"")</f>
        <v/>
      </c>
      <c r="D131" s="287">
        <v>121</v>
      </c>
      <c r="E131" s="267"/>
      <c r="F131" s="61"/>
      <c r="G131" s="52" t="str">
        <f>IFERROR(INDEX('G-1 All Habitats'!$B$3:$B$134,MATCH(F131,'G-1 All Habitats'!$A$3:$A$134,0)),"")</f>
        <v/>
      </c>
      <c r="H131" s="53"/>
      <c r="I131" s="362" t="str">
        <f>IF(G131="","",VLOOKUP(G131,'G-1 All Habitats'!$B$2:$M$134,10,FALSE))</f>
        <v/>
      </c>
      <c r="J131" s="363" t="str">
        <f>IFERROR(VLOOKUP(I131,'G-1 All Habitats'!$V$3:$W$7,2,FALSE),"")</f>
        <v/>
      </c>
      <c r="K131" s="54"/>
      <c r="L131" s="363" t="str">
        <f>IFERROR(INDEX('G-8 Condition Look up'!$A$3:$H$135,MATCH(G131,'G-8 Condition Look up'!$A$3:$A$135,0),MATCH(K131,'G-8 Condition Look up'!$A$3:$H$3,0)),"")</f>
        <v/>
      </c>
      <c r="M131" s="54"/>
      <c r="N131" s="382" t="str">
        <f>IF(M131="","",IF(VLOOKUP(M131,'G-3 Multipliers'!$L$3:$N$6,2,FALSE)=0,"Spatial Data Missing",VLOOKUP(M131,'G-3 Multipliers'!$L$3:$N$6,2,FALSE)))</f>
        <v/>
      </c>
      <c r="O131" s="368" t="str">
        <f>IF(M131="","",IF(VLOOKUP(M131,'G-3 Multipliers'!$L$3:$N$6,3,FALSE)=0,"Spatial Data Missing",VLOOKUP(M131,'G-3 Multipliers'!$L$3:$N$6,3,FALSE)))</f>
        <v/>
      </c>
      <c r="P131" s="369" t="str">
        <f>IFERROR(VLOOKUP(G131,'G-1 All Habitats'!$B$2:$M$134,12,FALSE),"")</f>
        <v/>
      </c>
      <c r="Q131" s="376" t="str">
        <f>IFERROR(IF(P131="","",IF(AND(P131='G-1 All Habitats'!$X$3,T131&gt;0),U131+V131,IF(AND(P131='G-1 All Habitats'!$X$3,S131&gt;0),U131+V131,IF(AND(P131='G-1 All Habitats'!$X$3,AC131&gt;0),"Any Loss Unacceptable ⚠",IF(AND(P131='G-1 All Habitats'!$X$3,W131&gt;0),"Any Loss Unacceptable ⚠",H131*J131*L131*O131))))),"Check Data ▲")</f>
        <v/>
      </c>
      <c r="R131" s="38"/>
      <c r="S131" s="54"/>
      <c r="T131" s="55"/>
      <c r="U131" s="374" t="str">
        <f t="shared" si="8"/>
        <v/>
      </c>
      <c r="V131" s="374" t="str">
        <f t="shared" si="9"/>
        <v/>
      </c>
      <c r="W131" s="374" t="str">
        <f>IF(E131="","",IF(H131&lt;S131+T131,"Error in Areas ▲",IF(P131&lt;&gt;'G-1 All Habitats'!$X$3,H131-S131-T131,IF(AND(P131='G-1 All Habitats'!$X$3,Y131="Yes"),"Unacceptable Loss ⚠",IF(AND(P131='G-1 All Habitats'!$X$3,Y131="No"),AC131,IF(AND(P131='G-1 All Habitats'!$X$3,Y131=""),AC131,IF(AND(P131='G-1 All Habitats'!$X$3,AC131="None",AC131),IF(AND(P131='G-1 All Habitats'!$X$3,AC131&gt;0),H131-S131-T131))))))))</f>
        <v/>
      </c>
      <c r="X131" s="378" t="str">
        <f>IFERROR(IF(H131="","",IF(H131-S131-T131=0&lt;0,"Error in Areas ▲",IF(S131+T131&gt;H131,"Error in Areas ▲",IF(AND(P131='G-1 All Habitats'!$X$3,Y131="Yes"),"Alternative Compensation ✓",IF(W131=0,0,IF(P131='G-1 All Habitats'!$X$3,"Any Loss Unacceptable ▲",Q131-U131-V131)))))),"Check Data ▲")</f>
        <v/>
      </c>
      <c r="Y131" s="55"/>
      <c r="Z131" s="62"/>
      <c r="AA131" s="526"/>
      <c r="AB131" s="120"/>
      <c r="AC131" s="726" t="str">
        <f>IF(P131="","",IF(P131='G-1 All Habitats'!$X$3,H131-S131-T131,"None"))</f>
        <v/>
      </c>
      <c r="AD131" s="727" t="str">
        <f>IF(P131="","", IF(P131='G-1 All Habitats'!$X$3, AC131*J131*L131*O131,"None"))</f>
        <v/>
      </c>
      <c r="AF131" s="40" t="str">
        <f t="shared" si="5"/>
        <v/>
      </c>
      <c r="AG131" s="40" t="str">
        <f t="shared" si="6"/>
        <v/>
      </c>
      <c r="AH131" s="40" t="str">
        <f>IF(I131="","",IF(#REF!&gt;0,TRUE,FALSE))</f>
        <v/>
      </c>
      <c r="AI131" s="40">
        <v>121</v>
      </c>
      <c r="AJ131" s="40"/>
      <c r="AK131" s="40" t="str">
        <f t="array" ref="AK131">IFERROR(INDEX($AI$11:$AI$259, MATCH(0, IF(TRUE=$AF$11:$AF$259, COUNTIF($AK$10:$AK130, $AI$11:$AI$259), ""), 0)),"")</f>
        <v/>
      </c>
      <c r="AL131" s="40" t="str">
        <f t="array" ref="AL131">IFERROR(INDEX($AI$11:$AI$259, MATCH(0, IF(TRUE=$AG$11:$AG$259, COUNTIF($AL$10:$AL130, $AI$11:$AI$259), ""), 0)),"")</f>
        <v/>
      </c>
      <c r="AM131" s="40" t="str">
        <f t="array" ref="AM131">IFERROR(INDEX($AI$11:$AI$259, MATCH(0, IF(TRUE=$AH$11:$AH$259, COUNTIF($AM$10:$AM130, $AI$11:$AI$259), ""), 0)),"")</f>
        <v/>
      </c>
      <c r="AN131" s="40"/>
      <c r="AQ131" s="35">
        <f t="shared" si="7"/>
        <v>0</v>
      </c>
    </row>
    <row r="132" spans="1:43">
      <c r="A132" s="35" t="str">
        <f>IFERROR(INDEX('G-1 All Habitats'!$AG$3:$AG$17,MATCH(E132,'G-1 All Habitats'!$AF$3:$AF$17,0)),"")</f>
        <v/>
      </c>
      <c r="B132" s="35" t="str">
        <f>IFERROR(INDEX('G-8 Condition Look up'!$I$4:$I$135,MATCH(G132,'G-8 Condition Look up'!$A$4:$A$135,0)),"")</f>
        <v/>
      </c>
      <c r="D132" s="287">
        <v>122</v>
      </c>
      <c r="E132" s="267"/>
      <c r="F132" s="61"/>
      <c r="G132" s="52" t="str">
        <f>IFERROR(INDEX('G-1 All Habitats'!$B$3:$B$134,MATCH(F132,'G-1 All Habitats'!$A$3:$A$134,0)),"")</f>
        <v/>
      </c>
      <c r="H132" s="53"/>
      <c r="I132" s="362" t="str">
        <f>IF(G132="","",VLOOKUP(G132,'G-1 All Habitats'!$B$2:$M$134,10,FALSE))</f>
        <v/>
      </c>
      <c r="J132" s="363" t="str">
        <f>IFERROR(VLOOKUP(I132,'G-1 All Habitats'!$V$3:$W$7,2,FALSE),"")</f>
        <v/>
      </c>
      <c r="K132" s="54"/>
      <c r="L132" s="363" t="str">
        <f>IFERROR(INDEX('G-8 Condition Look up'!$A$3:$H$135,MATCH(G132,'G-8 Condition Look up'!$A$3:$A$135,0),MATCH(K132,'G-8 Condition Look up'!$A$3:$H$3,0)),"")</f>
        <v/>
      </c>
      <c r="M132" s="54"/>
      <c r="N132" s="382" t="str">
        <f>IF(M132="","",IF(VLOOKUP(M132,'G-3 Multipliers'!$L$3:$N$6,2,FALSE)=0,"Spatial Data Missing",VLOOKUP(M132,'G-3 Multipliers'!$L$3:$N$6,2,FALSE)))</f>
        <v/>
      </c>
      <c r="O132" s="368" t="str">
        <f>IF(M132="","",IF(VLOOKUP(M132,'G-3 Multipliers'!$L$3:$N$6,3,FALSE)=0,"Spatial Data Missing",VLOOKUP(M132,'G-3 Multipliers'!$L$3:$N$6,3,FALSE)))</f>
        <v/>
      </c>
      <c r="P132" s="369" t="str">
        <f>IFERROR(VLOOKUP(G132,'G-1 All Habitats'!$B$2:$M$134,12,FALSE),"")</f>
        <v/>
      </c>
      <c r="Q132" s="376" t="str">
        <f>IFERROR(IF(P132="","",IF(AND(P132='G-1 All Habitats'!$X$3,T132&gt;0),U132+V132,IF(AND(P132='G-1 All Habitats'!$X$3,S132&gt;0),U132+V132,IF(AND(P132='G-1 All Habitats'!$X$3,AC132&gt;0),"Any Loss Unacceptable ⚠",IF(AND(P132='G-1 All Habitats'!$X$3,W132&gt;0),"Any Loss Unacceptable ⚠",H132*J132*L132*O132))))),"Check Data ▲")</f>
        <v/>
      </c>
      <c r="R132" s="38"/>
      <c r="S132" s="54"/>
      <c r="T132" s="55"/>
      <c r="U132" s="374" t="str">
        <f t="shared" si="8"/>
        <v/>
      </c>
      <c r="V132" s="374" t="str">
        <f t="shared" si="9"/>
        <v/>
      </c>
      <c r="W132" s="374" t="str">
        <f>IF(E132="","",IF(H132&lt;S132+T132,"Error in Areas ▲",IF(P132&lt;&gt;'G-1 All Habitats'!$X$3,H132-S132-T132,IF(AND(P132='G-1 All Habitats'!$X$3,Y132="Yes"),"Unacceptable Loss ⚠",IF(AND(P132='G-1 All Habitats'!$X$3,Y132="No"),AC132,IF(AND(P132='G-1 All Habitats'!$X$3,Y132=""),AC132,IF(AND(P132='G-1 All Habitats'!$X$3,AC132="None",AC132),IF(AND(P132='G-1 All Habitats'!$X$3,AC132&gt;0),H132-S132-T132))))))))</f>
        <v/>
      </c>
      <c r="X132" s="378" t="str">
        <f>IFERROR(IF(H132="","",IF(H132-S132-T132=0&lt;0,"Error in Areas ▲",IF(S132+T132&gt;H132,"Error in Areas ▲",IF(AND(P132='G-1 All Habitats'!$X$3,Y132="Yes"),"Alternative Compensation ✓",IF(W132=0,0,IF(P132='G-1 All Habitats'!$X$3,"Any Loss Unacceptable ▲",Q132-U132-V132)))))),"Check Data ▲")</f>
        <v/>
      </c>
      <c r="Y132" s="55"/>
      <c r="Z132" s="62"/>
      <c r="AA132" s="526"/>
      <c r="AB132" s="120"/>
      <c r="AC132" s="726" t="str">
        <f>IF(P132="","",IF(P132='G-1 All Habitats'!$X$3,H132-S132-T132,"None"))</f>
        <v/>
      </c>
      <c r="AD132" s="727" t="str">
        <f>IF(P132="","", IF(P132='G-1 All Habitats'!$X$3, AC132*J132*L132*O132,"None"))</f>
        <v/>
      </c>
      <c r="AF132" s="40" t="str">
        <f t="shared" si="5"/>
        <v/>
      </c>
      <c r="AG132" s="40" t="str">
        <f t="shared" si="6"/>
        <v/>
      </c>
      <c r="AH132" s="40" t="str">
        <f>IF(I132="","",IF(#REF!&gt;0,TRUE,FALSE))</f>
        <v/>
      </c>
      <c r="AI132" s="40">
        <v>122</v>
      </c>
      <c r="AJ132" s="40"/>
      <c r="AK132" s="40" t="str">
        <f t="array" ref="AK132">IFERROR(INDEX($AI$11:$AI$259, MATCH(0, IF(TRUE=$AF$11:$AF$259, COUNTIF($AK$10:$AK131, $AI$11:$AI$259), ""), 0)),"")</f>
        <v/>
      </c>
      <c r="AL132" s="40" t="str">
        <f t="array" ref="AL132">IFERROR(INDEX($AI$11:$AI$259, MATCH(0, IF(TRUE=$AG$11:$AG$259, COUNTIF($AL$10:$AL131, $AI$11:$AI$259), ""), 0)),"")</f>
        <v/>
      </c>
      <c r="AM132" s="40" t="str">
        <f t="array" ref="AM132">IFERROR(INDEX($AI$11:$AI$259, MATCH(0, IF(TRUE=$AH$11:$AH$259, COUNTIF($AM$10:$AM131, $AI$11:$AI$259), ""), 0)),"")</f>
        <v/>
      </c>
      <c r="AN132" s="40"/>
      <c r="AQ132" s="35">
        <f t="shared" si="7"/>
        <v>0</v>
      </c>
    </row>
    <row r="133" spans="1:43">
      <c r="A133" s="35" t="str">
        <f>IFERROR(INDEX('G-1 All Habitats'!$AG$3:$AG$17,MATCH(E133,'G-1 All Habitats'!$AF$3:$AF$17,0)),"")</f>
        <v/>
      </c>
      <c r="B133" s="35" t="str">
        <f>IFERROR(INDEX('G-8 Condition Look up'!$I$4:$I$135,MATCH(G133,'G-8 Condition Look up'!$A$4:$A$135,0)),"")</f>
        <v/>
      </c>
      <c r="D133" s="287">
        <v>123</v>
      </c>
      <c r="E133" s="267"/>
      <c r="F133" s="61"/>
      <c r="G133" s="52" t="str">
        <f>IFERROR(INDEX('G-1 All Habitats'!$B$3:$B$134,MATCH(F133,'G-1 All Habitats'!$A$3:$A$134,0)),"")</f>
        <v/>
      </c>
      <c r="H133" s="53"/>
      <c r="I133" s="362" t="str">
        <f>IF(G133="","",VLOOKUP(G133,'G-1 All Habitats'!$B$2:$M$134,10,FALSE))</f>
        <v/>
      </c>
      <c r="J133" s="363" t="str">
        <f>IFERROR(VLOOKUP(I133,'G-1 All Habitats'!$V$3:$W$7,2,FALSE),"")</f>
        <v/>
      </c>
      <c r="K133" s="54"/>
      <c r="L133" s="363" t="str">
        <f>IFERROR(INDEX('G-8 Condition Look up'!$A$3:$H$135,MATCH(G133,'G-8 Condition Look up'!$A$3:$A$135,0),MATCH(K133,'G-8 Condition Look up'!$A$3:$H$3,0)),"")</f>
        <v/>
      </c>
      <c r="M133" s="54"/>
      <c r="N133" s="382" t="str">
        <f>IF(M133="","",IF(VLOOKUP(M133,'G-3 Multipliers'!$L$3:$N$6,2,FALSE)=0,"Spatial Data Missing",VLOOKUP(M133,'G-3 Multipliers'!$L$3:$N$6,2,FALSE)))</f>
        <v/>
      </c>
      <c r="O133" s="368" t="str">
        <f>IF(M133="","",IF(VLOOKUP(M133,'G-3 Multipliers'!$L$3:$N$6,3,FALSE)=0,"Spatial Data Missing",VLOOKUP(M133,'G-3 Multipliers'!$L$3:$N$6,3,FALSE)))</f>
        <v/>
      </c>
      <c r="P133" s="369" t="str">
        <f>IFERROR(VLOOKUP(G133,'G-1 All Habitats'!$B$2:$M$134,12,FALSE),"")</f>
        <v/>
      </c>
      <c r="Q133" s="376" t="str">
        <f>IFERROR(IF(P133="","",IF(AND(P133='G-1 All Habitats'!$X$3,T133&gt;0),U133+V133,IF(AND(P133='G-1 All Habitats'!$X$3,S133&gt;0),U133+V133,IF(AND(P133='G-1 All Habitats'!$X$3,AC133&gt;0),"Any Loss Unacceptable ⚠",IF(AND(P133='G-1 All Habitats'!$X$3,W133&gt;0),"Any Loss Unacceptable ⚠",H133*J133*L133*O133))))),"Check Data ▲")</f>
        <v/>
      </c>
      <c r="R133" s="38"/>
      <c r="S133" s="54"/>
      <c r="T133" s="55"/>
      <c r="U133" s="374" t="str">
        <f t="shared" si="8"/>
        <v/>
      </c>
      <c r="V133" s="374" t="str">
        <f t="shared" si="9"/>
        <v/>
      </c>
      <c r="W133" s="374" t="str">
        <f>IF(E133="","",IF(H133&lt;S133+T133,"Error in Areas ▲",IF(P133&lt;&gt;'G-1 All Habitats'!$X$3,H133-S133-T133,IF(AND(P133='G-1 All Habitats'!$X$3,Y133="Yes"),"Unacceptable Loss ⚠",IF(AND(P133='G-1 All Habitats'!$X$3,Y133="No"),AC133,IF(AND(P133='G-1 All Habitats'!$X$3,Y133=""),AC133,IF(AND(P133='G-1 All Habitats'!$X$3,AC133="None",AC133),IF(AND(P133='G-1 All Habitats'!$X$3,AC133&gt;0),H133-S133-T133))))))))</f>
        <v/>
      </c>
      <c r="X133" s="378" t="str">
        <f>IFERROR(IF(H133="","",IF(H133-S133-T133=0&lt;0,"Error in Areas ▲",IF(S133+T133&gt;H133,"Error in Areas ▲",IF(AND(P133='G-1 All Habitats'!$X$3,Y133="Yes"),"Alternative Compensation ✓",IF(W133=0,0,IF(P133='G-1 All Habitats'!$X$3,"Any Loss Unacceptable ▲",Q133-U133-V133)))))),"Check Data ▲")</f>
        <v/>
      </c>
      <c r="Y133" s="55"/>
      <c r="Z133" s="62"/>
      <c r="AA133" s="526"/>
      <c r="AB133" s="120"/>
      <c r="AC133" s="726" t="str">
        <f>IF(P133="","",IF(P133='G-1 All Habitats'!$X$3,H133-S133-T133,"None"))</f>
        <v/>
      </c>
      <c r="AD133" s="727" t="str">
        <f>IF(P133="","", IF(P133='G-1 All Habitats'!$X$3, AC133*J133*L133*O133,"None"))</f>
        <v/>
      </c>
      <c r="AF133" s="40" t="str">
        <f t="shared" si="5"/>
        <v/>
      </c>
      <c r="AG133" s="40" t="str">
        <f t="shared" si="6"/>
        <v/>
      </c>
      <c r="AH133" s="40" t="str">
        <f>IF(I133="","",IF(#REF!&gt;0,TRUE,FALSE))</f>
        <v/>
      </c>
      <c r="AI133" s="40">
        <v>123</v>
      </c>
      <c r="AJ133" s="40"/>
      <c r="AK133" s="40" t="str">
        <f t="array" ref="AK133">IFERROR(INDEX($AI$11:$AI$259, MATCH(0, IF(TRUE=$AF$11:$AF$259, COUNTIF($AK$10:$AK132, $AI$11:$AI$259), ""), 0)),"")</f>
        <v/>
      </c>
      <c r="AL133" s="40" t="str">
        <f t="array" ref="AL133">IFERROR(INDEX($AI$11:$AI$259, MATCH(0, IF(TRUE=$AG$11:$AG$259, COUNTIF($AL$10:$AL132, $AI$11:$AI$259), ""), 0)),"")</f>
        <v/>
      </c>
      <c r="AM133" s="40" t="str">
        <f t="array" ref="AM133">IFERROR(INDEX($AI$11:$AI$259, MATCH(0, IF(TRUE=$AH$11:$AH$259, COUNTIF($AM$10:$AM132, $AI$11:$AI$259), ""), 0)),"")</f>
        <v/>
      </c>
      <c r="AN133" s="40"/>
      <c r="AQ133" s="35">
        <f t="shared" si="7"/>
        <v>0</v>
      </c>
    </row>
    <row r="134" spans="1:43">
      <c r="A134" s="35" t="str">
        <f>IFERROR(INDEX('G-1 All Habitats'!$AG$3:$AG$17,MATCH(E134,'G-1 All Habitats'!$AF$3:$AF$17,0)),"")</f>
        <v/>
      </c>
      <c r="B134" s="35" t="str">
        <f>IFERROR(INDEX('G-8 Condition Look up'!$I$4:$I$135,MATCH(G134,'G-8 Condition Look up'!$A$4:$A$135,0)),"")</f>
        <v/>
      </c>
      <c r="D134" s="287">
        <v>124</v>
      </c>
      <c r="E134" s="267"/>
      <c r="F134" s="61"/>
      <c r="G134" s="52" t="str">
        <f>IFERROR(INDEX('G-1 All Habitats'!$B$3:$B$134,MATCH(F134,'G-1 All Habitats'!$A$3:$A$134,0)),"")</f>
        <v/>
      </c>
      <c r="H134" s="53"/>
      <c r="I134" s="362" t="str">
        <f>IF(G134="","",VLOOKUP(G134,'G-1 All Habitats'!$B$2:$M$134,10,FALSE))</f>
        <v/>
      </c>
      <c r="J134" s="363" t="str">
        <f>IFERROR(VLOOKUP(I134,'G-1 All Habitats'!$V$3:$W$7,2,FALSE),"")</f>
        <v/>
      </c>
      <c r="K134" s="54"/>
      <c r="L134" s="363" t="str">
        <f>IFERROR(INDEX('G-8 Condition Look up'!$A$3:$H$135,MATCH(G134,'G-8 Condition Look up'!$A$3:$A$135,0),MATCH(K134,'G-8 Condition Look up'!$A$3:$H$3,0)),"")</f>
        <v/>
      </c>
      <c r="M134" s="54"/>
      <c r="N134" s="382" t="str">
        <f>IF(M134="","",IF(VLOOKUP(M134,'G-3 Multipliers'!$L$3:$N$6,2,FALSE)=0,"Spatial Data Missing",VLOOKUP(M134,'G-3 Multipliers'!$L$3:$N$6,2,FALSE)))</f>
        <v/>
      </c>
      <c r="O134" s="368" t="str">
        <f>IF(M134="","",IF(VLOOKUP(M134,'G-3 Multipliers'!$L$3:$N$6,3,FALSE)=0,"Spatial Data Missing",VLOOKUP(M134,'G-3 Multipliers'!$L$3:$N$6,3,FALSE)))</f>
        <v/>
      </c>
      <c r="P134" s="369" t="str">
        <f>IFERROR(VLOOKUP(G134,'G-1 All Habitats'!$B$2:$M$134,12,FALSE),"")</f>
        <v/>
      </c>
      <c r="Q134" s="376" t="str">
        <f>IFERROR(IF(P134="","",IF(AND(P134='G-1 All Habitats'!$X$3,T134&gt;0),U134+V134,IF(AND(P134='G-1 All Habitats'!$X$3,S134&gt;0),U134+V134,IF(AND(P134='G-1 All Habitats'!$X$3,AC134&gt;0),"Any Loss Unacceptable ⚠",IF(AND(P134='G-1 All Habitats'!$X$3,W134&gt;0),"Any Loss Unacceptable ⚠",H134*J134*L134*O134))))),"Check Data ▲")</f>
        <v/>
      </c>
      <c r="R134" s="38"/>
      <c r="S134" s="54"/>
      <c r="T134" s="55"/>
      <c r="U134" s="374" t="str">
        <f t="shared" si="8"/>
        <v/>
      </c>
      <c r="V134" s="374" t="str">
        <f t="shared" si="9"/>
        <v/>
      </c>
      <c r="W134" s="374" t="str">
        <f>IF(E134="","",IF(H134&lt;S134+T134,"Error in Areas ▲",IF(P134&lt;&gt;'G-1 All Habitats'!$X$3,H134-S134-T134,IF(AND(P134='G-1 All Habitats'!$X$3,Y134="Yes"),"Unacceptable Loss ⚠",IF(AND(P134='G-1 All Habitats'!$X$3,Y134="No"),AC134,IF(AND(P134='G-1 All Habitats'!$X$3,Y134=""),AC134,IF(AND(P134='G-1 All Habitats'!$X$3,AC134="None",AC134),IF(AND(P134='G-1 All Habitats'!$X$3,AC134&gt;0),H134-S134-T134))))))))</f>
        <v/>
      </c>
      <c r="X134" s="378" t="str">
        <f>IFERROR(IF(H134="","",IF(H134-S134-T134=0&lt;0,"Error in Areas ▲",IF(S134+T134&gt;H134,"Error in Areas ▲",IF(AND(P134='G-1 All Habitats'!$X$3,Y134="Yes"),"Alternative Compensation ✓",IF(W134=0,0,IF(P134='G-1 All Habitats'!$X$3,"Any Loss Unacceptable ▲",Q134-U134-V134)))))),"Check Data ▲")</f>
        <v/>
      </c>
      <c r="Y134" s="55"/>
      <c r="Z134" s="62"/>
      <c r="AA134" s="526"/>
      <c r="AB134" s="120"/>
      <c r="AC134" s="726" t="str">
        <f>IF(P134="","",IF(P134='G-1 All Habitats'!$X$3,H134-S134-T134,"None"))</f>
        <v/>
      </c>
      <c r="AD134" s="727" t="str">
        <f>IF(P134="","", IF(P134='G-1 All Habitats'!$X$3, AC134*J134*L134*O134,"None"))</f>
        <v/>
      </c>
      <c r="AF134" s="40" t="str">
        <f t="shared" si="5"/>
        <v/>
      </c>
      <c r="AG134" s="40" t="str">
        <f t="shared" si="6"/>
        <v/>
      </c>
      <c r="AH134" s="40" t="str">
        <f>IF(I134="","",IF(#REF!&gt;0,TRUE,FALSE))</f>
        <v/>
      </c>
      <c r="AI134" s="40">
        <v>124</v>
      </c>
      <c r="AJ134" s="40"/>
      <c r="AK134" s="40" t="str">
        <f t="array" ref="AK134">IFERROR(INDEX($AI$11:$AI$259, MATCH(0, IF(TRUE=$AF$11:$AF$259, COUNTIF($AK$10:$AK133, $AI$11:$AI$259), ""), 0)),"")</f>
        <v/>
      </c>
      <c r="AL134" s="40" t="str">
        <f t="array" ref="AL134">IFERROR(INDEX($AI$11:$AI$259, MATCH(0, IF(TRUE=$AG$11:$AG$259, COUNTIF($AL$10:$AL133, $AI$11:$AI$259), ""), 0)),"")</f>
        <v/>
      </c>
      <c r="AM134" s="40" t="str">
        <f t="array" ref="AM134">IFERROR(INDEX($AI$11:$AI$259, MATCH(0, IF(TRUE=$AH$11:$AH$259, COUNTIF($AM$10:$AM133, $AI$11:$AI$259), ""), 0)),"")</f>
        <v/>
      </c>
      <c r="AN134" s="40"/>
      <c r="AQ134" s="35">
        <f t="shared" si="7"/>
        <v>0</v>
      </c>
    </row>
    <row r="135" spans="1:43">
      <c r="A135" s="35" t="str">
        <f>IFERROR(INDEX('G-1 All Habitats'!$AG$3:$AG$17,MATCH(E135,'G-1 All Habitats'!$AF$3:$AF$17,0)),"")</f>
        <v/>
      </c>
      <c r="B135" s="35" t="str">
        <f>IFERROR(INDEX('G-8 Condition Look up'!$I$4:$I$135,MATCH(G135,'G-8 Condition Look up'!$A$4:$A$135,0)),"")</f>
        <v/>
      </c>
      <c r="D135" s="287">
        <v>125</v>
      </c>
      <c r="E135" s="267"/>
      <c r="F135" s="61"/>
      <c r="G135" s="52" t="str">
        <f>IFERROR(INDEX('G-1 All Habitats'!$B$3:$B$134,MATCH(F135,'G-1 All Habitats'!$A$3:$A$134,0)),"")</f>
        <v/>
      </c>
      <c r="H135" s="53"/>
      <c r="I135" s="362" t="str">
        <f>IF(G135="","",VLOOKUP(G135,'G-1 All Habitats'!$B$2:$M$134,10,FALSE))</f>
        <v/>
      </c>
      <c r="J135" s="363" t="str">
        <f>IFERROR(VLOOKUP(I135,'G-1 All Habitats'!$V$3:$W$7,2,FALSE),"")</f>
        <v/>
      </c>
      <c r="K135" s="54"/>
      <c r="L135" s="363" t="str">
        <f>IFERROR(INDEX('G-8 Condition Look up'!$A$3:$H$135,MATCH(G135,'G-8 Condition Look up'!$A$3:$A$135,0),MATCH(K135,'G-8 Condition Look up'!$A$3:$H$3,0)),"")</f>
        <v/>
      </c>
      <c r="M135" s="54"/>
      <c r="N135" s="382" t="str">
        <f>IF(M135="","",IF(VLOOKUP(M135,'G-3 Multipliers'!$L$3:$N$6,2,FALSE)=0,"Spatial Data Missing",VLOOKUP(M135,'G-3 Multipliers'!$L$3:$N$6,2,FALSE)))</f>
        <v/>
      </c>
      <c r="O135" s="368" t="str">
        <f>IF(M135="","",IF(VLOOKUP(M135,'G-3 Multipliers'!$L$3:$N$6,3,FALSE)=0,"Spatial Data Missing",VLOOKUP(M135,'G-3 Multipliers'!$L$3:$N$6,3,FALSE)))</f>
        <v/>
      </c>
      <c r="P135" s="369" t="str">
        <f>IFERROR(VLOOKUP(G135,'G-1 All Habitats'!$B$2:$M$134,12,FALSE),"")</f>
        <v/>
      </c>
      <c r="Q135" s="376" t="str">
        <f>IFERROR(IF(P135="","",IF(AND(P135='G-1 All Habitats'!$X$3,T135&gt;0),U135+V135,IF(AND(P135='G-1 All Habitats'!$X$3,S135&gt;0),U135+V135,IF(AND(P135='G-1 All Habitats'!$X$3,AC135&gt;0),"Any Loss Unacceptable ⚠",IF(AND(P135='G-1 All Habitats'!$X$3,W135&gt;0),"Any Loss Unacceptable ⚠",H135*J135*L135*O135))))),"Check Data ▲")</f>
        <v/>
      </c>
      <c r="R135" s="38"/>
      <c r="S135" s="54"/>
      <c r="T135" s="55"/>
      <c r="U135" s="374" t="str">
        <f t="shared" si="8"/>
        <v/>
      </c>
      <c r="V135" s="374" t="str">
        <f t="shared" si="9"/>
        <v/>
      </c>
      <c r="W135" s="374" t="str">
        <f>IF(E135="","",IF(H135&lt;S135+T135,"Error in Areas ▲",IF(P135&lt;&gt;'G-1 All Habitats'!$X$3,H135-S135-T135,IF(AND(P135='G-1 All Habitats'!$X$3,Y135="Yes"),"Unacceptable Loss ⚠",IF(AND(P135='G-1 All Habitats'!$X$3,Y135="No"),AC135,IF(AND(P135='G-1 All Habitats'!$X$3,Y135=""),AC135,IF(AND(P135='G-1 All Habitats'!$X$3,AC135="None",AC135),IF(AND(P135='G-1 All Habitats'!$X$3,AC135&gt;0),H135-S135-T135))))))))</f>
        <v/>
      </c>
      <c r="X135" s="378" t="str">
        <f>IFERROR(IF(H135="","",IF(H135-S135-T135=0&lt;0,"Error in Areas ▲",IF(S135+T135&gt;H135,"Error in Areas ▲",IF(AND(P135='G-1 All Habitats'!$X$3,Y135="Yes"),"Alternative Compensation ✓",IF(W135=0,0,IF(P135='G-1 All Habitats'!$X$3,"Any Loss Unacceptable ▲",Q135-U135-V135)))))),"Check Data ▲")</f>
        <v/>
      </c>
      <c r="Y135" s="55"/>
      <c r="Z135" s="62"/>
      <c r="AA135" s="526"/>
      <c r="AB135" s="120"/>
      <c r="AC135" s="726" t="str">
        <f>IF(P135="","",IF(P135='G-1 All Habitats'!$X$3,H135-S135-T135,"None"))</f>
        <v/>
      </c>
      <c r="AD135" s="727" t="str">
        <f>IF(P135="","", IF(P135='G-1 All Habitats'!$X$3, AC135*J135*L135*O135,"None"))</f>
        <v/>
      </c>
      <c r="AF135" s="40" t="str">
        <f t="shared" si="5"/>
        <v/>
      </c>
      <c r="AG135" s="40" t="str">
        <f t="shared" si="6"/>
        <v/>
      </c>
      <c r="AH135" s="40" t="str">
        <f>IF(I135="","",IF(#REF!&gt;0,TRUE,FALSE))</f>
        <v/>
      </c>
      <c r="AI135" s="40">
        <v>125</v>
      </c>
      <c r="AJ135" s="40"/>
      <c r="AK135" s="40" t="str">
        <f t="array" ref="AK135">IFERROR(INDEX($AI$11:$AI$259, MATCH(0, IF(TRUE=$AF$11:$AF$259, COUNTIF($AK$10:$AK134, $AI$11:$AI$259), ""), 0)),"")</f>
        <v/>
      </c>
      <c r="AL135" s="40" t="str">
        <f t="array" ref="AL135">IFERROR(INDEX($AI$11:$AI$259, MATCH(0, IF(TRUE=$AG$11:$AG$259, COUNTIF($AL$10:$AL134, $AI$11:$AI$259), ""), 0)),"")</f>
        <v/>
      </c>
      <c r="AM135" s="40" t="str">
        <f t="array" ref="AM135">IFERROR(INDEX($AI$11:$AI$259, MATCH(0, IF(TRUE=$AH$11:$AH$259, COUNTIF($AM$10:$AM134, $AI$11:$AI$259), ""), 0)),"")</f>
        <v/>
      </c>
      <c r="AN135" s="40"/>
      <c r="AQ135" s="35">
        <f t="shared" si="7"/>
        <v>0</v>
      </c>
    </row>
    <row r="136" spans="1:43">
      <c r="A136" s="35" t="str">
        <f>IFERROR(INDEX('G-1 All Habitats'!$AG$3:$AG$17,MATCH(E136,'G-1 All Habitats'!$AF$3:$AF$17,0)),"")</f>
        <v/>
      </c>
      <c r="B136" s="35" t="str">
        <f>IFERROR(INDEX('G-8 Condition Look up'!$I$4:$I$135,MATCH(G136,'G-8 Condition Look up'!$A$4:$A$135,0)),"")</f>
        <v/>
      </c>
      <c r="D136" s="287">
        <v>126</v>
      </c>
      <c r="E136" s="267"/>
      <c r="F136" s="61"/>
      <c r="G136" s="52" t="str">
        <f>IFERROR(INDEX('G-1 All Habitats'!$B$3:$B$134,MATCH(F136,'G-1 All Habitats'!$A$3:$A$134,0)),"")</f>
        <v/>
      </c>
      <c r="H136" s="53"/>
      <c r="I136" s="362" t="str">
        <f>IF(G136="","",VLOOKUP(G136,'G-1 All Habitats'!$B$2:$M$134,10,FALSE))</f>
        <v/>
      </c>
      <c r="J136" s="363" t="str">
        <f>IFERROR(VLOOKUP(I136,'G-1 All Habitats'!$V$3:$W$7,2,FALSE),"")</f>
        <v/>
      </c>
      <c r="K136" s="54"/>
      <c r="L136" s="363" t="str">
        <f>IFERROR(INDEX('G-8 Condition Look up'!$A$3:$H$135,MATCH(G136,'G-8 Condition Look up'!$A$3:$A$135,0),MATCH(K136,'G-8 Condition Look up'!$A$3:$H$3,0)),"")</f>
        <v/>
      </c>
      <c r="M136" s="54"/>
      <c r="N136" s="382" t="str">
        <f>IF(M136="","",IF(VLOOKUP(M136,'G-3 Multipliers'!$L$3:$N$6,2,FALSE)=0,"Spatial Data Missing",VLOOKUP(M136,'G-3 Multipliers'!$L$3:$N$6,2,FALSE)))</f>
        <v/>
      </c>
      <c r="O136" s="368" t="str">
        <f>IF(M136="","",IF(VLOOKUP(M136,'G-3 Multipliers'!$L$3:$N$6,3,FALSE)=0,"Spatial Data Missing",VLOOKUP(M136,'G-3 Multipliers'!$L$3:$N$6,3,FALSE)))</f>
        <v/>
      </c>
      <c r="P136" s="369" t="str">
        <f>IFERROR(VLOOKUP(G136,'G-1 All Habitats'!$B$2:$M$134,12,FALSE),"")</f>
        <v/>
      </c>
      <c r="Q136" s="376" t="str">
        <f>IFERROR(IF(P136="","",IF(AND(P136='G-1 All Habitats'!$X$3,T136&gt;0),U136+V136,IF(AND(P136='G-1 All Habitats'!$X$3,S136&gt;0),U136+V136,IF(AND(P136='G-1 All Habitats'!$X$3,AC136&gt;0),"Any Loss Unacceptable ⚠",IF(AND(P136='G-1 All Habitats'!$X$3,W136&gt;0),"Any Loss Unacceptable ⚠",H136*J136*L136*O136))))),"Check Data ▲")</f>
        <v/>
      </c>
      <c r="R136" s="38"/>
      <c r="S136" s="54"/>
      <c r="T136" s="55"/>
      <c r="U136" s="374" t="str">
        <f t="shared" si="8"/>
        <v/>
      </c>
      <c r="V136" s="374" t="str">
        <f t="shared" si="9"/>
        <v/>
      </c>
      <c r="W136" s="374" t="str">
        <f>IF(E136="","",IF(H136&lt;S136+T136,"Error in Areas ▲",IF(P136&lt;&gt;'G-1 All Habitats'!$X$3,H136-S136-T136,IF(AND(P136='G-1 All Habitats'!$X$3,Y136="Yes"),"Unacceptable Loss ⚠",IF(AND(P136='G-1 All Habitats'!$X$3,Y136="No"),AC136,IF(AND(P136='G-1 All Habitats'!$X$3,Y136=""),AC136,IF(AND(P136='G-1 All Habitats'!$X$3,AC136="None",AC136),IF(AND(P136='G-1 All Habitats'!$X$3,AC136&gt;0),H136-S136-T136))))))))</f>
        <v/>
      </c>
      <c r="X136" s="378" t="str">
        <f>IFERROR(IF(H136="","",IF(H136-S136-T136=0&lt;0,"Error in Areas ▲",IF(S136+T136&gt;H136,"Error in Areas ▲",IF(AND(P136='G-1 All Habitats'!$X$3,Y136="Yes"),"Alternative Compensation ✓",IF(W136=0,0,IF(P136='G-1 All Habitats'!$X$3,"Any Loss Unacceptable ▲",Q136-U136-V136)))))),"Check Data ▲")</f>
        <v/>
      </c>
      <c r="Y136" s="55"/>
      <c r="Z136" s="62"/>
      <c r="AA136" s="526"/>
      <c r="AB136" s="120"/>
      <c r="AC136" s="726" t="str">
        <f>IF(P136="","",IF(P136='G-1 All Habitats'!$X$3,H136-S136-T136,"None"))</f>
        <v/>
      </c>
      <c r="AD136" s="727" t="str">
        <f>IF(P136="","", IF(P136='G-1 All Habitats'!$X$3, AC136*J136*L136*O136,"None"))</f>
        <v/>
      </c>
      <c r="AF136" s="40" t="str">
        <f t="shared" si="5"/>
        <v/>
      </c>
      <c r="AG136" s="40" t="str">
        <f t="shared" si="6"/>
        <v/>
      </c>
      <c r="AH136" s="40" t="str">
        <f>IF(I136="","",IF(#REF!&gt;0,TRUE,FALSE))</f>
        <v/>
      </c>
      <c r="AI136" s="40">
        <v>126</v>
      </c>
      <c r="AJ136" s="40"/>
      <c r="AK136" s="40" t="str">
        <f t="array" ref="AK136">IFERROR(INDEX($AI$11:$AI$259, MATCH(0, IF(TRUE=$AF$11:$AF$259, COUNTIF($AK$10:$AK135, $AI$11:$AI$259), ""), 0)),"")</f>
        <v/>
      </c>
      <c r="AL136" s="40" t="str">
        <f t="array" ref="AL136">IFERROR(INDEX($AI$11:$AI$259, MATCH(0, IF(TRUE=$AG$11:$AG$259, COUNTIF($AL$10:$AL135, $AI$11:$AI$259), ""), 0)),"")</f>
        <v/>
      </c>
      <c r="AM136" s="40" t="str">
        <f t="array" ref="AM136">IFERROR(INDEX($AI$11:$AI$259, MATCH(0, IF(TRUE=$AH$11:$AH$259, COUNTIF($AM$10:$AM135, $AI$11:$AI$259), ""), 0)),"")</f>
        <v/>
      </c>
      <c r="AN136" s="40"/>
      <c r="AQ136" s="35">
        <f t="shared" si="7"/>
        <v>0</v>
      </c>
    </row>
    <row r="137" spans="1:43">
      <c r="A137" s="35" t="str">
        <f>IFERROR(INDEX('G-1 All Habitats'!$AG$3:$AG$17,MATCH(E137,'G-1 All Habitats'!$AF$3:$AF$17,0)),"")</f>
        <v/>
      </c>
      <c r="B137" s="35" t="str">
        <f>IFERROR(INDEX('G-8 Condition Look up'!$I$4:$I$135,MATCH(G137,'G-8 Condition Look up'!$A$4:$A$135,0)),"")</f>
        <v/>
      </c>
      <c r="D137" s="287">
        <v>127</v>
      </c>
      <c r="E137" s="267"/>
      <c r="F137" s="61"/>
      <c r="G137" s="52" t="str">
        <f>IFERROR(INDEX('G-1 All Habitats'!$B$3:$B$134,MATCH(F137,'G-1 All Habitats'!$A$3:$A$134,0)),"")</f>
        <v/>
      </c>
      <c r="H137" s="53"/>
      <c r="I137" s="362" t="str">
        <f>IF(G137="","",VLOOKUP(G137,'G-1 All Habitats'!$B$2:$M$134,10,FALSE))</f>
        <v/>
      </c>
      <c r="J137" s="363" t="str">
        <f>IFERROR(VLOOKUP(I137,'G-1 All Habitats'!$V$3:$W$7,2,FALSE),"")</f>
        <v/>
      </c>
      <c r="K137" s="54"/>
      <c r="L137" s="363" t="str">
        <f>IFERROR(INDEX('G-8 Condition Look up'!$A$3:$H$135,MATCH(G137,'G-8 Condition Look up'!$A$3:$A$135,0),MATCH(K137,'G-8 Condition Look up'!$A$3:$H$3,0)),"")</f>
        <v/>
      </c>
      <c r="M137" s="54"/>
      <c r="N137" s="382" t="str">
        <f>IF(M137="","",IF(VLOOKUP(M137,'G-3 Multipliers'!$L$3:$N$6,2,FALSE)=0,"Spatial Data Missing",VLOOKUP(M137,'G-3 Multipliers'!$L$3:$N$6,2,FALSE)))</f>
        <v/>
      </c>
      <c r="O137" s="368" t="str">
        <f>IF(M137="","",IF(VLOOKUP(M137,'G-3 Multipliers'!$L$3:$N$6,3,FALSE)=0,"Spatial Data Missing",VLOOKUP(M137,'G-3 Multipliers'!$L$3:$N$6,3,FALSE)))</f>
        <v/>
      </c>
      <c r="P137" s="369" t="str">
        <f>IFERROR(VLOOKUP(G137,'G-1 All Habitats'!$B$2:$M$134,12,FALSE),"")</f>
        <v/>
      </c>
      <c r="Q137" s="376" t="str">
        <f>IFERROR(IF(P137="","",IF(AND(P137='G-1 All Habitats'!$X$3,T137&gt;0),U137+V137,IF(AND(P137='G-1 All Habitats'!$X$3,S137&gt;0),U137+V137,IF(AND(P137='G-1 All Habitats'!$X$3,AC137&gt;0),"Any Loss Unacceptable ⚠",IF(AND(P137='G-1 All Habitats'!$X$3,W137&gt;0),"Any Loss Unacceptable ⚠",H137*J137*L137*O137))))),"Check Data ▲")</f>
        <v/>
      </c>
      <c r="R137" s="38"/>
      <c r="S137" s="54"/>
      <c r="T137" s="55"/>
      <c r="U137" s="374" t="str">
        <f t="shared" si="8"/>
        <v/>
      </c>
      <c r="V137" s="374" t="str">
        <f t="shared" si="9"/>
        <v/>
      </c>
      <c r="W137" s="374" t="str">
        <f>IF(E137="","",IF(H137&lt;S137+T137,"Error in Areas ▲",IF(P137&lt;&gt;'G-1 All Habitats'!$X$3,H137-S137-T137,IF(AND(P137='G-1 All Habitats'!$X$3,Y137="Yes"),"Unacceptable Loss ⚠",IF(AND(P137='G-1 All Habitats'!$X$3,Y137="No"),AC137,IF(AND(P137='G-1 All Habitats'!$X$3,Y137=""),AC137,IF(AND(P137='G-1 All Habitats'!$X$3,AC137="None",AC137),IF(AND(P137='G-1 All Habitats'!$X$3,AC137&gt;0),H137-S137-T137))))))))</f>
        <v/>
      </c>
      <c r="X137" s="378" t="str">
        <f>IFERROR(IF(H137="","",IF(H137-S137-T137=0&lt;0,"Error in Areas ▲",IF(S137+T137&gt;H137,"Error in Areas ▲",IF(AND(P137='G-1 All Habitats'!$X$3,Y137="Yes"),"Alternative Compensation ✓",IF(W137=0,0,IF(P137='G-1 All Habitats'!$X$3,"Any Loss Unacceptable ▲",Q137-U137-V137)))))),"Check Data ▲")</f>
        <v/>
      </c>
      <c r="Y137" s="55"/>
      <c r="Z137" s="62"/>
      <c r="AA137" s="526"/>
      <c r="AB137" s="120"/>
      <c r="AC137" s="726" t="str">
        <f>IF(P137="","",IF(P137='G-1 All Habitats'!$X$3,H137-S137-T137,"None"))</f>
        <v/>
      </c>
      <c r="AD137" s="727" t="str">
        <f>IF(P137="","", IF(P137='G-1 All Habitats'!$X$3, AC137*J137*L137*O137,"None"))</f>
        <v/>
      </c>
      <c r="AF137" s="40" t="str">
        <f t="shared" si="5"/>
        <v/>
      </c>
      <c r="AG137" s="40" t="str">
        <f t="shared" si="6"/>
        <v/>
      </c>
      <c r="AH137" s="40" t="str">
        <f>IF(I137="","",IF(#REF!&gt;0,TRUE,FALSE))</f>
        <v/>
      </c>
      <c r="AI137" s="40">
        <v>127</v>
      </c>
      <c r="AJ137" s="40"/>
      <c r="AK137" s="40" t="str">
        <f t="array" ref="AK137">IFERROR(INDEX($AI$11:$AI$259, MATCH(0, IF(TRUE=$AF$11:$AF$259, COUNTIF($AK$10:$AK136, $AI$11:$AI$259), ""), 0)),"")</f>
        <v/>
      </c>
      <c r="AL137" s="40" t="str">
        <f t="array" ref="AL137">IFERROR(INDEX($AI$11:$AI$259, MATCH(0, IF(TRUE=$AG$11:$AG$259, COUNTIF($AL$10:$AL136, $AI$11:$AI$259), ""), 0)),"")</f>
        <v/>
      </c>
      <c r="AM137" s="40" t="str">
        <f t="array" ref="AM137">IFERROR(INDEX($AI$11:$AI$259, MATCH(0, IF(TRUE=$AH$11:$AH$259, COUNTIF($AM$10:$AM136, $AI$11:$AI$259), ""), 0)),"")</f>
        <v/>
      </c>
      <c r="AN137" s="40"/>
      <c r="AQ137" s="35">
        <f t="shared" si="7"/>
        <v>0</v>
      </c>
    </row>
    <row r="138" spans="1:43">
      <c r="A138" s="35" t="str">
        <f>IFERROR(INDEX('G-1 All Habitats'!$AG$3:$AG$17,MATCH(E138,'G-1 All Habitats'!$AF$3:$AF$17,0)),"")</f>
        <v/>
      </c>
      <c r="B138" s="35" t="str">
        <f>IFERROR(INDEX('G-8 Condition Look up'!$I$4:$I$135,MATCH(G138,'G-8 Condition Look up'!$A$4:$A$135,0)),"")</f>
        <v/>
      </c>
      <c r="D138" s="287">
        <v>128</v>
      </c>
      <c r="E138" s="267"/>
      <c r="F138" s="61"/>
      <c r="G138" s="52" t="str">
        <f>IFERROR(INDEX('G-1 All Habitats'!$B$3:$B$134,MATCH(F138,'G-1 All Habitats'!$A$3:$A$134,0)),"")</f>
        <v/>
      </c>
      <c r="H138" s="53"/>
      <c r="I138" s="362" t="str">
        <f>IF(G138="","",VLOOKUP(G138,'G-1 All Habitats'!$B$2:$M$134,10,FALSE))</f>
        <v/>
      </c>
      <c r="J138" s="363" t="str">
        <f>IFERROR(VLOOKUP(I138,'G-1 All Habitats'!$V$3:$W$7,2,FALSE),"")</f>
        <v/>
      </c>
      <c r="K138" s="54"/>
      <c r="L138" s="363" t="str">
        <f>IFERROR(INDEX('G-8 Condition Look up'!$A$3:$H$135,MATCH(G138,'G-8 Condition Look up'!$A$3:$A$135,0),MATCH(K138,'G-8 Condition Look up'!$A$3:$H$3,0)),"")</f>
        <v/>
      </c>
      <c r="M138" s="54"/>
      <c r="N138" s="382" t="str">
        <f>IF(M138="","",IF(VLOOKUP(M138,'G-3 Multipliers'!$L$3:$N$6,2,FALSE)=0,"Spatial Data Missing",VLOOKUP(M138,'G-3 Multipliers'!$L$3:$N$6,2,FALSE)))</f>
        <v/>
      </c>
      <c r="O138" s="368" t="str">
        <f>IF(M138="","",IF(VLOOKUP(M138,'G-3 Multipliers'!$L$3:$N$6,3,FALSE)=0,"Spatial Data Missing",VLOOKUP(M138,'G-3 Multipliers'!$L$3:$N$6,3,FALSE)))</f>
        <v/>
      </c>
      <c r="P138" s="369" t="str">
        <f>IFERROR(VLOOKUP(G138,'G-1 All Habitats'!$B$2:$M$134,12,FALSE),"")</f>
        <v/>
      </c>
      <c r="Q138" s="376" t="str">
        <f>IFERROR(IF(P138="","",IF(AND(P138='G-1 All Habitats'!$X$3,T138&gt;0),U138+V138,IF(AND(P138='G-1 All Habitats'!$X$3,S138&gt;0),U138+V138,IF(AND(P138='G-1 All Habitats'!$X$3,AC138&gt;0),"Any Loss Unacceptable ⚠",IF(AND(P138='G-1 All Habitats'!$X$3,W138&gt;0),"Any Loss Unacceptable ⚠",H138*J138*L138*O138))))),"Check Data ▲")</f>
        <v/>
      </c>
      <c r="R138" s="38"/>
      <c r="S138" s="54"/>
      <c r="T138" s="55"/>
      <c r="U138" s="374" t="str">
        <f t="shared" si="8"/>
        <v/>
      </c>
      <c r="V138" s="374" t="str">
        <f t="shared" si="9"/>
        <v/>
      </c>
      <c r="W138" s="374" t="str">
        <f>IF(E138="","",IF(H138&lt;S138+T138,"Error in Areas ▲",IF(P138&lt;&gt;'G-1 All Habitats'!$X$3,H138-S138-T138,IF(AND(P138='G-1 All Habitats'!$X$3,Y138="Yes"),"Unacceptable Loss ⚠",IF(AND(P138='G-1 All Habitats'!$X$3,Y138="No"),AC138,IF(AND(P138='G-1 All Habitats'!$X$3,Y138=""),AC138,IF(AND(P138='G-1 All Habitats'!$X$3,AC138="None",AC138),IF(AND(P138='G-1 All Habitats'!$X$3,AC138&gt;0),H138-S138-T138))))))))</f>
        <v/>
      </c>
      <c r="X138" s="378" t="str">
        <f>IFERROR(IF(H138="","",IF(H138-S138-T138=0&lt;0,"Error in Areas ▲",IF(S138+T138&gt;H138,"Error in Areas ▲",IF(AND(P138='G-1 All Habitats'!$X$3,Y138="Yes"),"Alternative Compensation ✓",IF(W138=0,0,IF(P138='G-1 All Habitats'!$X$3,"Any Loss Unacceptable ▲",Q138-U138-V138)))))),"Check Data ▲")</f>
        <v/>
      </c>
      <c r="Y138" s="55"/>
      <c r="Z138" s="62"/>
      <c r="AA138" s="526"/>
      <c r="AB138" s="120"/>
      <c r="AC138" s="726" t="str">
        <f>IF(P138="","",IF(P138='G-1 All Habitats'!$X$3,H138-S138-T138,"None"))</f>
        <v/>
      </c>
      <c r="AD138" s="727" t="str">
        <f>IF(P138="","", IF(P138='G-1 All Habitats'!$X$3, AC138*J138*L138*O138,"None"))</f>
        <v/>
      </c>
      <c r="AF138" s="40" t="str">
        <f t="shared" si="5"/>
        <v/>
      </c>
      <c r="AG138" s="40" t="str">
        <f t="shared" si="6"/>
        <v/>
      </c>
      <c r="AH138" s="40" t="str">
        <f>IF(I138="","",IF(#REF!&gt;0,TRUE,FALSE))</f>
        <v/>
      </c>
      <c r="AI138" s="40">
        <v>128</v>
      </c>
      <c r="AJ138" s="40"/>
      <c r="AK138" s="40" t="str">
        <f t="array" ref="AK138">IFERROR(INDEX($AI$11:$AI$259, MATCH(0, IF(TRUE=$AF$11:$AF$259, COUNTIF($AK$10:$AK137, $AI$11:$AI$259), ""), 0)),"")</f>
        <v/>
      </c>
      <c r="AL138" s="40" t="str">
        <f t="array" ref="AL138">IFERROR(INDEX($AI$11:$AI$259, MATCH(0, IF(TRUE=$AG$11:$AG$259, COUNTIF($AL$10:$AL137, $AI$11:$AI$259), ""), 0)),"")</f>
        <v/>
      </c>
      <c r="AM138" s="40" t="str">
        <f t="array" ref="AM138">IFERROR(INDEX($AI$11:$AI$259, MATCH(0, IF(TRUE=$AH$11:$AH$259, COUNTIF($AM$10:$AM137, $AI$11:$AI$259), ""), 0)),"")</f>
        <v/>
      </c>
      <c r="AN138" s="40"/>
      <c r="AQ138" s="35">
        <f t="shared" si="7"/>
        <v>0</v>
      </c>
    </row>
    <row r="139" spans="1:43">
      <c r="A139" s="35" t="str">
        <f>IFERROR(INDEX('G-1 All Habitats'!$AG$3:$AG$17,MATCH(E139,'G-1 All Habitats'!$AF$3:$AF$17,0)),"")</f>
        <v/>
      </c>
      <c r="B139" s="35" t="str">
        <f>IFERROR(INDEX('G-8 Condition Look up'!$I$4:$I$135,MATCH(G139,'G-8 Condition Look up'!$A$4:$A$135,0)),"")</f>
        <v/>
      </c>
      <c r="D139" s="287">
        <v>129</v>
      </c>
      <c r="E139" s="267"/>
      <c r="F139" s="61"/>
      <c r="G139" s="52" t="str">
        <f>IFERROR(INDEX('G-1 All Habitats'!$B$3:$B$134,MATCH(F139,'G-1 All Habitats'!$A$3:$A$134,0)),"")</f>
        <v/>
      </c>
      <c r="H139" s="53"/>
      <c r="I139" s="362" t="str">
        <f>IF(G139="","",VLOOKUP(G139,'G-1 All Habitats'!$B$2:$M$134,10,FALSE))</f>
        <v/>
      </c>
      <c r="J139" s="363" t="str">
        <f>IFERROR(VLOOKUP(I139,'G-1 All Habitats'!$V$3:$W$7,2,FALSE),"")</f>
        <v/>
      </c>
      <c r="K139" s="54"/>
      <c r="L139" s="363" t="str">
        <f>IFERROR(INDEX('G-8 Condition Look up'!$A$3:$H$135,MATCH(G139,'G-8 Condition Look up'!$A$3:$A$135,0),MATCH(K139,'G-8 Condition Look up'!$A$3:$H$3,0)),"")</f>
        <v/>
      </c>
      <c r="M139" s="54"/>
      <c r="N139" s="382" t="str">
        <f>IF(M139="","",IF(VLOOKUP(M139,'G-3 Multipliers'!$L$3:$N$6,2,FALSE)=0,"Spatial Data Missing",VLOOKUP(M139,'G-3 Multipliers'!$L$3:$N$6,2,FALSE)))</f>
        <v/>
      </c>
      <c r="O139" s="368" t="str">
        <f>IF(M139="","",IF(VLOOKUP(M139,'G-3 Multipliers'!$L$3:$N$6,3,FALSE)=0,"Spatial Data Missing",VLOOKUP(M139,'G-3 Multipliers'!$L$3:$N$6,3,FALSE)))</f>
        <v/>
      </c>
      <c r="P139" s="369" t="str">
        <f>IFERROR(VLOOKUP(G139,'G-1 All Habitats'!$B$2:$M$134,12,FALSE),"")</f>
        <v/>
      </c>
      <c r="Q139" s="376" t="str">
        <f>IFERROR(IF(P139="","",IF(AND(P139='G-1 All Habitats'!$X$3,T139&gt;0),U139+V139,IF(AND(P139='G-1 All Habitats'!$X$3,S139&gt;0),U139+V139,IF(AND(P139='G-1 All Habitats'!$X$3,AC139&gt;0),"Any Loss Unacceptable ⚠",IF(AND(P139='G-1 All Habitats'!$X$3,W139&gt;0),"Any Loss Unacceptable ⚠",H139*J139*L139*O139))))),"Check Data ▲")</f>
        <v/>
      </c>
      <c r="R139" s="38"/>
      <c r="S139" s="54"/>
      <c r="T139" s="55"/>
      <c r="U139" s="374" t="str">
        <f t="shared" si="8"/>
        <v/>
      </c>
      <c r="V139" s="374" t="str">
        <f t="shared" si="9"/>
        <v/>
      </c>
      <c r="W139" s="374" t="str">
        <f>IF(E139="","",IF(H139&lt;S139+T139,"Error in Areas ▲",IF(P139&lt;&gt;'G-1 All Habitats'!$X$3,H139-S139-T139,IF(AND(P139='G-1 All Habitats'!$X$3,Y139="Yes"),"Unacceptable Loss ⚠",IF(AND(P139='G-1 All Habitats'!$X$3,Y139="No"),AC139,IF(AND(P139='G-1 All Habitats'!$X$3,Y139=""),AC139,IF(AND(P139='G-1 All Habitats'!$X$3,AC139="None",AC139),IF(AND(P139='G-1 All Habitats'!$X$3,AC139&gt;0),H139-S139-T139))))))))</f>
        <v/>
      </c>
      <c r="X139" s="378" t="str">
        <f>IFERROR(IF(H139="","",IF(H139-S139-T139=0&lt;0,"Error in Areas ▲",IF(S139+T139&gt;H139,"Error in Areas ▲",IF(AND(P139='G-1 All Habitats'!$X$3,Y139="Yes"),"Alternative Compensation ✓",IF(W139=0,0,IF(P139='G-1 All Habitats'!$X$3,"Any Loss Unacceptable ▲",Q139-U139-V139)))))),"Check Data ▲")</f>
        <v/>
      </c>
      <c r="Y139" s="55"/>
      <c r="Z139" s="62"/>
      <c r="AA139" s="526"/>
      <c r="AB139" s="120"/>
      <c r="AC139" s="726" t="str">
        <f>IF(P139="","",IF(P139='G-1 All Habitats'!$X$3,H139-S139-T139,"None"))</f>
        <v/>
      </c>
      <c r="AD139" s="727" t="str">
        <f>IF(P139="","", IF(P139='G-1 All Habitats'!$X$3, AC139*J139*L139*O139,"None"))</f>
        <v/>
      </c>
      <c r="AF139" s="40" t="str">
        <f t="shared" ref="AF139:AF202" si="10">IF(G139="","",IF(S139&gt;0,TRUE,FALSE))</f>
        <v/>
      </c>
      <c r="AG139" s="40" t="str">
        <f t="shared" ref="AG139:AG202" si="11">IF(H139="","",IF(T139&gt;0,TRUE,FALSE))</f>
        <v/>
      </c>
      <c r="AH139" s="40" t="str">
        <f>IF(I139="","",IF(#REF!&gt;0,TRUE,FALSE))</f>
        <v/>
      </c>
      <c r="AI139" s="40">
        <v>129</v>
      </c>
      <c r="AJ139" s="40"/>
      <c r="AK139" s="40" t="str">
        <f t="array" ref="AK139">IFERROR(INDEX($AI$11:$AI$259, MATCH(0, IF(TRUE=$AF$11:$AF$259, COUNTIF($AK$10:$AK138, $AI$11:$AI$259), ""), 0)),"")</f>
        <v/>
      </c>
      <c r="AL139" s="40" t="str">
        <f t="array" ref="AL139">IFERROR(INDEX($AI$11:$AI$259, MATCH(0, IF(TRUE=$AG$11:$AG$259, COUNTIF($AL$10:$AL138, $AI$11:$AI$259), ""), 0)),"")</f>
        <v/>
      </c>
      <c r="AM139" s="40" t="str">
        <f t="array" ref="AM139">IFERROR(INDEX($AI$11:$AI$259, MATCH(0, IF(TRUE=$AH$11:$AH$259, COUNTIF($AM$10:$AM138, $AI$11:$AI$259), ""), 0)),"")</f>
        <v/>
      </c>
      <c r="AN139" s="40"/>
      <c r="AQ139" s="35">
        <f t="shared" si="7"/>
        <v>0</v>
      </c>
    </row>
    <row r="140" spans="1:43">
      <c r="A140" s="35" t="str">
        <f>IFERROR(INDEX('G-1 All Habitats'!$AG$3:$AG$17,MATCH(E140,'G-1 All Habitats'!$AF$3:$AF$17,0)),"")</f>
        <v/>
      </c>
      <c r="B140" s="35" t="str">
        <f>IFERROR(INDEX('G-8 Condition Look up'!$I$4:$I$135,MATCH(G140,'G-8 Condition Look up'!$A$4:$A$135,0)),"")</f>
        <v/>
      </c>
      <c r="D140" s="287">
        <v>130</v>
      </c>
      <c r="E140" s="267"/>
      <c r="F140" s="61"/>
      <c r="G140" s="52" t="str">
        <f>IFERROR(INDEX('G-1 All Habitats'!$B$3:$B$134,MATCH(F140,'G-1 All Habitats'!$A$3:$A$134,0)),"")</f>
        <v/>
      </c>
      <c r="H140" s="53"/>
      <c r="I140" s="362" t="str">
        <f>IF(G140="","",VLOOKUP(G140,'G-1 All Habitats'!$B$2:$M$134,10,FALSE))</f>
        <v/>
      </c>
      <c r="J140" s="363" t="str">
        <f>IFERROR(VLOOKUP(I140,'G-1 All Habitats'!$V$3:$W$7,2,FALSE),"")</f>
        <v/>
      </c>
      <c r="K140" s="54"/>
      <c r="L140" s="363" t="str">
        <f>IFERROR(INDEX('G-8 Condition Look up'!$A$3:$H$135,MATCH(G140,'G-8 Condition Look up'!$A$3:$A$135,0),MATCH(K140,'G-8 Condition Look up'!$A$3:$H$3,0)),"")</f>
        <v/>
      </c>
      <c r="M140" s="54"/>
      <c r="N140" s="382" t="str">
        <f>IF(M140="","",IF(VLOOKUP(M140,'G-3 Multipliers'!$L$3:$N$6,2,FALSE)=0,"Spatial Data Missing",VLOOKUP(M140,'G-3 Multipliers'!$L$3:$N$6,2,FALSE)))</f>
        <v/>
      </c>
      <c r="O140" s="368" t="str">
        <f>IF(M140="","",IF(VLOOKUP(M140,'G-3 Multipliers'!$L$3:$N$6,3,FALSE)=0,"Spatial Data Missing",VLOOKUP(M140,'G-3 Multipliers'!$L$3:$N$6,3,FALSE)))</f>
        <v/>
      </c>
      <c r="P140" s="369" t="str">
        <f>IFERROR(VLOOKUP(G140,'G-1 All Habitats'!$B$2:$M$134,12,FALSE),"")</f>
        <v/>
      </c>
      <c r="Q140" s="376" t="str">
        <f>IFERROR(IF(P140="","",IF(AND(P140='G-1 All Habitats'!$X$3,T140&gt;0),U140+V140,IF(AND(P140='G-1 All Habitats'!$X$3,S140&gt;0),U140+V140,IF(AND(P140='G-1 All Habitats'!$X$3,AC140&gt;0),"Any Loss Unacceptable ⚠",IF(AND(P140='G-1 All Habitats'!$X$3,W140&gt;0),"Any Loss Unacceptable ⚠",H140*J140*L140*O140))))),"Check Data ▲")</f>
        <v/>
      </c>
      <c r="R140" s="38"/>
      <c r="S140" s="54"/>
      <c r="T140" s="55"/>
      <c r="U140" s="374" t="str">
        <f t="shared" si="8"/>
        <v/>
      </c>
      <c r="V140" s="374" t="str">
        <f t="shared" si="9"/>
        <v/>
      </c>
      <c r="W140" s="374" t="str">
        <f>IF(E140="","",IF(H140&lt;S140+T140,"Error in Areas ▲",IF(P140&lt;&gt;'G-1 All Habitats'!$X$3,H140-S140-T140,IF(AND(P140='G-1 All Habitats'!$X$3,Y140="Yes"),"Unacceptable Loss ⚠",IF(AND(P140='G-1 All Habitats'!$X$3,Y140="No"),AC140,IF(AND(P140='G-1 All Habitats'!$X$3,Y140=""),AC140,IF(AND(P140='G-1 All Habitats'!$X$3,AC140="None",AC140),IF(AND(P140='G-1 All Habitats'!$X$3,AC140&gt;0),H140-S140-T140))))))))</f>
        <v/>
      </c>
      <c r="X140" s="378" t="str">
        <f>IFERROR(IF(H140="","",IF(H140-S140-T140=0&lt;0,"Error in Areas ▲",IF(S140+T140&gt;H140,"Error in Areas ▲",IF(AND(P140='G-1 All Habitats'!$X$3,Y140="Yes"),"Alternative Compensation ✓",IF(W140=0,0,IF(P140='G-1 All Habitats'!$X$3,"Any Loss Unacceptable ▲",Q140-U140-V140)))))),"Check Data ▲")</f>
        <v/>
      </c>
      <c r="Y140" s="55"/>
      <c r="Z140" s="62"/>
      <c r="AA140" s="526"/>
      <c r="AB140" s="120"/>
      <c r="AC140" s="726" t="str">
        <f>IF(P140="","",IF(P140='G-1 All Habitats'!$X$3,H140-S140-T140,"None"))</f>
        <v/>
      </c>
      <c r="AD140" s="727" t="str">
        <f>IF(P140="","", IF(P140='G-1 All Habitats'!$X$3, AC140*J140*L140*O140,"None"))</f>
        <v/>
      </c>
      <c r="AF140" s="40" t="str">
        <f t="shared" si="10"/>
        <v/>
      </c>
      <c r="AG140" s="40" t="str">
        <f t="shared" si="11"/>
        <v/>
      </c>
      <c r="AH140" s="40" t="str">
        <f>IF(I140="","",IF(#REF!&gt;0,TRUE,FALSE))</f>
        <v/>
      </c>
      <c r="AI140" s="40">
        <v>130</v>
      </c>
      <c r="AJ140" s="40"/>
      <c r="AK140" s="40" t="str">
        <f t="array" ref="AK140">IFERROR(INDEX($AI$11:$AI$259, MATCH(0, IF(TRUE=$AF$11:$AF$259, COUNTIF($AK$10:$AK139, $AI$11:$AI$259), ""), 0)),"")</f>
        <v/>
      </c>
      <c r="AL140" s="40" t="str">
        <f t="array" ref="AL140">IFERROR(INDEX($AI$11:$AI$259, MATCH(0, IF(TRUE=$AG$11:$AG$259, COUNTIF($AL$10:$AL139, $AI$11:$AI$259), ""), 0)),"")</f>
        <v/>
      </c>
      <c r="AM140" s="40" t="str">
        <f t="array" ref="AM140">IFERROR(INDEX($AI$11:$AI$259, MATCH(0, IF(TRUE=$AH$11:$AH$259, COUNTIF($AM$10:$AM139, $AI$11:$AI$259), ""), 0)),"")</f>
        <v/>
      </c>
      <c r="AN140" s="40"/>
      <c r="AQ140" s="35">
        <f t="shared" ref="AQ140:AQ203" si="12">IF(X140="Unacceptable Loss",1,0)</f>
        <v>0</v>
      </c>
    </row>
    <row r="141" spans="1:43">
      <c r="A141" s="35" t="str">
        <f>IFERROR(INDEX('G-1 All Habitats'!$AG$3:$AG$17,MATCH(E141,'G-1 All Habitats'!$AF$3:$AF$17,0)),"")</f>
        <v/>
      </c>
      <c r="B141" s="35" t="str">
        <f>IFERROR(INDEX('G-8 Condition Look up'!$I$4:$I$135,MATCH(G141,'G-8 Condition Look up'!$A$4:$A$135,0)),"")</f>
        <v/>
      </c>
      <c r="D141" s="287">
        <v>131</v>
      </c>
      <c r="E141" s="267"/>
      <c r="F141" s="61"/>
      <c r="G141" s="52" t="str">
        <f>IFERROR(INDEX('G-1 All Habitats'!$B$3:$B$134,MATCH(F141,'G-1 All Habitats'!$A$3:$A$134,0)),"")</f>
        <v/>
      </c>
      <c r="H141" s="53"/>
      <c r="I141" s="362" t="str">
        <f>IF(G141="","",VLOOKUP(G141,'G-1 All Habitats'!$B$2:$M$134,10,FALSE))</f>
        <v/>
      </c>
      <c r="J141" s="363" t="str">
        <f>IFERROR(VLOOKUP(I141,'G-1 All Habitats'!$V$3:$W$7,2,FALSE),"")</f>
        <v/>
      </c>
      <c r="K141" s="54"/>
      <c r="L141" s="363" t="str">
        <f>IFERROR(INDEX('G-8 Condition Look up'!$A$3:$H$135,MATCH(G141,'G-8 Condition Look up'!$A$3:$A$135,0),MATCH(K141,'G-8 Condition Look up'!$A$3:$H$3,0)),"")</f>
        <v/>
      </c>
      <c r="M141" s="54"/>
      <c r="N141" s="382" t="str">
        <f>IF(M141="","",IF(VLOOKUP(M141,'G-3 Multipliers'!$L$3:$N$6,2,FALSE)=0,"Spatial Data Missing",VLOOKUP(M141,'G-3 Multipliers'!$L$3:$N$6,2,FALSE)))</f>
        <v/>
      </c>
      <c r="O141" s="368" t="str">
        <f>IF(M141="","",IF(VLOOKUP(M141,'G-3 Multipliers'!$L$3:$N$6,3,FALSE)=0,"Spatial Data Missing",VLOOKUP(M141,'G-3 Multipliers'!$L$3:$N$6,3,FALSE)))</f>
        <v/>
      </c>
      <c r="P141" s="369" t="str">
        <f>IFERROR(VLOOKUP(G141,'G-1 All Habitats'!$B$2:$M$134,12,FALSE),"")</f>
        <v/>
      </c>
      <c r="Q141" s="376" t="str">
        <f>IFERROR(IF(P141="","",IF(AND(P141='G-1 All Habitats'!$X$3,T141&gt;0),U141+V141,IF(AND(P141='G-1 All Habitats'!$X$3,S141&gt;0),U141+V141,IF(AND(P141='G-1 All Habitats'!$X$3,AC141&gt;0),"Any Loss Unacceptable ⚠",IF(AND(P141='G-1 All Habitats'!$X$3,W141&gt;0),"Any Loss Unacceptable ⚠",H141*J141*L141*O141))))),"Check Data ▲")</f>
        <v/>
      </c>
      <c r="R141" s="38"/>
      <c r="S141" s="54"/>
      <c r="T141" s="55"/>
      <c r="U141" s="374" t="str">
        <f t="shared" ref="U141:U204" si="13">IFERROR(S141*J141*L141*O141,"")</f>
        <v/>
      </c>
      <c r="V141" s="374" t="str">
        <f t="shared" ref="V141:V204" si="14">IFERROR(T141*J141*L141*O141,"")</f>
        <v/>
      </c>
      <c r="W141" s="374" t="str">
        <f>IF(E141="","",IF(H141&lt;S141+T141,"Error in Areas ▲",IF(P141&lt;&gt;'G-1 All Habitats'!$X$3,H141-S141-T141,IF(AND(P141='G-1 All Habitats'!$X$3,Y141="Yes"),"Unacceptable Loss ⚠",IF(AND(P141='G-1 All Habitats'!$X$3,Y141="No"),AC141,IF(AND(P141='G-1 All Habitats'!$X$3,Y141=""),AC141,IF(AND(P141='G-1 All Habitats'!$X$3,AC141="None",AC141),IF(AND(P141='G-1 All Habitats'!$X$3,AC141&gt;0),H141-S141-T141))))))))</f>
        <v/>
      </c>
      <c r="X141" s="378" t="str">
        <f>IFERROR(IF(H141="","",IF(H141-S141-T141=0&lt;0,"Error in Areas ▲",IF(S141+T141&gt;H141,"Error in Areas ▲",IF(AND(P141='G-1 All Habitats'!$X$3,Y141="Yes"),"Alternative Compensation ✓",IF(W141=0,0,IF(P141='G-1 All Habitats'!$X$3,"Any Loss Unacceptable ▲",Q141-U141-V141)))))),"Check Data ▲")</f>
        <v/>
      </c>
      <c r="Y141" s="55"/>
      <c r="Z141" s="62"/>
      <c r="AA141" s="526"/>
      <c r="AB141" s="120"/>
      <c r="AC141" s="726" t="str">
        <f>IF(P141="","",IF(P141='G-1 All Habitats'!$X$3,H141-S141-T141,"None"))</f>
        <v/>
      </c>
      <c r="AD141" s="727" t="str">
        <f>IF(P141="","", IF(P141='G-1 All Habitats'!$X$3, AC141*J141*L141*O141,"None"))</f>
        <v/>
      </c>
      <c r="AF141" s="40" t="str">
        <f t="shared" si="10"/>
        <v/>
      </c>
      <c r="AG141" s="40" t="str">
        <f t="shared" si="11"/>
        <v/>
      </c>
      <c r="AH141" s="40" t="str">
        <f>IF(I141="","",IF(#REF!&gt;0,TRUE,FALSE))</f>
        <v/>
      </c>
      <c r="AI141" s="40">
        <v>131</v>
      </c>
      <c r="AJ141" s="40"/>
      <c r="AK141" s="40" t="str">
        <f t="array" ref="AK141">IFERROR(INDEX($AI$11:$AI$259, MATCH(0, IF(TRUE=$AF$11:$AF$259, COUNTIF($AK$10:$AK140, $AI$11:$AI$259), ""), 0)),"")</f>
        <v/>
      </c>
      <c r="AL141" s="40" t="str">
        <f t="array" ref="AL141">IFERROR(INDEX($AI$11:$AI$259, MATCH(0, IF(TRUE=$AG$11:$AG$259, COUNTIF($AL$10:$AL140, $AI$11:$AI$259), ""), 0)),"")</f>
        <v/>
      </c>
      <c r="AM141" s="40" t="str">
        <f t="array" ref="AM141">IFERROR(INDEX($AI$11:$AI$259, MATCH(0, IF(TRUE=$AH$11:$AH$259, COUNTIF($AM$10:$AM140, $AI$11:$AI$259), ""), 0)),"")</f>
        <v/>
      </c>
      <c r="AN141" s="40"/>
      <c r="AQ141" s="35">
        <f t="shared" si="12"/>
        <v>0</v>
      </c>
    </row>
    <row r="142" spans="1:43">
      <c r="A142" s="35" t="str">
        <f>IFERROR(INDEX('G-1 All Habitats'!$AG$3:$AG$17,MATCH(E142,'G-1 All Habitats'!$AF$3:$AF$17,0)),"")</f>
        <v/>
      </c>
      <c r="B142" s="35" t="str">
        <f>IFERROR(INDEX('G-8 Condition Look up'!$I$4:$I$135,MATCH(G142,'G-8 Condition Look up'!$A$4:$A$135,0)),"")</f>
        <v/>
      </c>
      <c r="D142" s="287">
        <v>132</v>
      </c>
      <c r="E142" s="267"/>
      <c r="F142" s="61"/>
      <c r="G142" s="52" t="str">
        <f>IFERROR(INDEX('G-1 All Habitats'!$B$3:$B$134,MATCH(F142,'G-1 All Habitats'!$A$3:$A$134,0)),"")</f>
        <v/>
      </c>
      <c r="H142" s="53"/>
      <c r="I142" s="362" t="str">
        <f>IF(G142="","",VLOOKUP(G142,'G-1 All Habitats'!$B$2:$M$134,10,FALSE))</f>
        <v/>
      </c>
      <c r="J142" s="363" t="str">
        <f>IFERROR(VLOOKUP(I142,'G-1 All Habitats'!$V$3:$W$7,2,FALSE),"")</f>
        <v/>
      </c>
      <c r="K142" s="54"/>
      <c r="L142" s="363" t="str">
        <f>IFERROR(INDEX('G-8 Condition Look up'!$A$3:$H$135,MATCH(G142,'G-8 Condition Look up'!$A$3:$A$135,0),MATCH(K142,'G-8 Condition Look up'!$A$3:$H$3,0)),"")</f>
        <v/>
      </c>
      <c r="M142" s="54"/>
      <c r="N142" s="382" t="str">
        <f>IF(M142="","",IF(VLOOKUP(M142,'G-3 Multipliers'!$L$3:$N$6,2,FALSE)=0,"Spatial Data Missing",VLOOKUP(M142,'G-3 Multipliers'!$L$3:$N$6,2,FALSE)))</f>
        <v/>
      </c>
      <c r="O142" s="368" t="str">
        <f>IF(M142="","",IF(VLOOKUP(M142,'G-3 Multipliers'!$L$3:$N$6,3,FALSE)=0,"Spatial Data Missing",VLOOKUP(M142,'G-3 Multipliers'!$L$3:$N$6,3,FALSE)))</f>
        <v/>
      </c>
      <c r="P142" s="369" t="str">
        <f>IFERROR(VLOOKUP(G142,'G-1 All Habitats'!$B$2:$M$134,12,FALSE),"")</f>
        <v/>
      </c>
      <c r="Q142" s="376" t="str">
        <f>IFERROR(IF(P142="","",IF(AND(P142='G-1 All Habitats'!$X$3,T142&gt;0),U142+V142,IF(AND(P142='G-1 All Habitats'!$X$3,S142&gt;0),U142+V142,IF(AND(P142='G-1 All Habitats'!$X$3,AC142&gt;0),"Any Loss Unacceptable ⚠",IF(AND(P142='G-1 All Habitats'!$X$3,W142&gt;0),"Any Loss Unacceptable ⚠",H142*J142*L142*O142))))),"Check Data ▲")</f>
        <v/>
      </c>
      <c r="R142" s="38"/>
      <c r="S142" s="54"/>
      <c r="T142" s="55"/>
      <c r="U142" s="374" t="str">
        <f t="shared" si="13"/>
        <v/>
      </c>
      <c r="V142" s="374" t="str">
        <f t="shared" si="14"/>
        <v/>
      </c>
      <c r="W142" s="374" t="str">
        <f>IF(E142="","",IF(H142&lt;S142+T142,"Error in Areas ▲",IF(P142&lt;&gt;'G-1 All Habitats'!$X$3,H142-S142-T142,IF(AND(P142='G-1 All Habitats'!$X$3,Y142="Yes"),"Unacceptable Loss ⚠",IF(AND(P142='G-1 All Habitats'!$X$3,Y142="No"),AC142,IF(AND(P142='G-1 All Habitats'!$X$3,Y142=""),AC142,IF(AND(P142='G-1 All Habitats'!$X$3,AC142="None",AC142),IF(AND(P142='G-1 All Habitats'!$X$3,AC142&gt;0),H142-S142-T142))))))))</f>
        <v/>
      </c>
      <c r="X142" s="378" t="str">
        <f>IFERROR(IF(H142="","",IF(H142-S142-T142=0&lt;0,"Error in Areas ▲",IF(S142+T142&gt;H142,"Error in Areas ▲",IF(AND(P142='G-1 All Habitats'!$X$3,Y142="Yes"),"Alternative Compensation ✓",IF(W142=0,0,IF(P142='G-1 All Habitats'!$X$3,"Any Loss Unacceptable ▲",Q142-U142-V142)))))),"Check Data ▲")</f>
        <v/>
      </c>
      <c r="Y142" s="55"/>
      <c r="Z142" s="62"/>
      <c r="AA142" s="526"/>
      <c r="AB142" s="120"/>
      <c r="AC142" s="726" t="str">
        <f>IF(P142="","",IF(P142='G-1 All Habitats'!$X$3,H142-S142-T142,"None"))</f>
        <v/>
      </c>
      <c r="AD142" s="727" t="str">
        <f>IF(P142="","", IF(P142='G-1 All Habitats'!$X$3, AC142*J142*L142*O142,"None"))</f>
        <v/>
      </c>
      <c r="AF142" s="40" t="str">
        <f t="shared" si="10"/>
        <v/>
      </c>
      <c r="AG142" s="40" t="str">
        <f t="shared" si="11"/>
        <v/>
      </c>
      <c r="AH142" s="40" t="str">
        <f>IF(I142="","",IF(#REF!&gt;0,TRUE,FALSE))</f>
        <v/>
      </c>
      <c r="AI142" s="40">
        <v>132</v>
      </c>
      <c r="AJ142" s="40"/>
      <c r="AK142" s="40" t="str">
        <f t="array" ref="AK142">IFERROR(INDEX($AI$11:$AI$259, MATCH(0, IF(TRUE=$AF$11:$AF$259, COUNTIF($AK$10:$AK141, $AI$11:$AI$259), ""), 0)),"")</f>
        <v/>
      </c>
      <c r="AL142" s="40" t="str">
        <f t="array" ref="AL142">IFERROR(INDEX($AI$11:$AI$259, MATCH(0, IF(TRUE=$AG$11:$AG$259, COUNTIF($AL$10:$AL141, $AI$11:$AI$259), ""), 0)),"")</f>
        <v/>
      </c>
      <c r="AM142" s="40" t="str">
        <f t="array" ref="AM142">IFERROR(INDEX($AI$11:$AI$259, MATCH(0, IF(TRUE=$AH$11:$AH$259, COUNTIF($AM$10:$AM141, $AI$11:$AI$259), ""), 0)),"")</f>
        <v/>
      </c>
      <c r="AN142" s="40"/>
      <c r="AQ142" s="35">
        <f t="shared" si="12"/>
        <v>0</v>
      </c>
    </row>
    <row r="143" spans="1:43">
      <c r="A143" s="35" t="str">
        <f>IFERROR(INDEX('G-1 All Habitats'!$AG$3:$AG$17,MATCH(E143,'G-1 All Habitats'!$AF$3:$AF$17,0)),"")</f>
        <v/>
      </c>
      <c r="B143" s="35" t="str">
        <f>IFERROR(INDEX('G-8 Condition Look up'!$I$4:$I$135,MATCH(G143,'G-8 Condition Look up'!$A$4:$A$135,0)),"")</f>
        <v/>
      </c>
      <c r="D143" s="287">
        <v>133</v>
      </c>
      <c r="E143" s="267"/>
      <c r="F143" s="61"/>
      <c r="G143" s="52" t="str">
        <f>IFERROR(INDEX('G-1 All Habitats'!$B$3:$B$134,MATCH(F143,'G-1 All Habitats'!$A$3:$A$134,0)),"")</f>
        <v/>
      </c>
      <c r="H143" s="53"/>
      <c r="I143" s="362" t="str">
        <f>IF(G143="","",VLOOKUP(G143,'G-1 All Habitats'!$B$2:$M$134,10,FALSE))</f>
        <v/>
      </c>
      <c r="J143" s="363" t="str">
        <f>IFERROR(VLOOKUP(I143,'G-1 All Habitats'!$V$3:$W$7,2,FALSE),"")</f>
        <v/>
      </c>
      <c r="K143" s="54"/>
      <c r="L143" s="363" t="str">
        <f>IFERROR(INDEX('G-8 Condition Look up'!$A$3:$H$135,MATCH(G143,'G-8 Condition Look up'!$A$3:$A$135,0),MATCH(K143,'G-8 Condition Look up'!$A$3:$H$3,0)),"")</f>
        <v/>
      </c>
      <c r="M143" s="54"/>
      <c r="N143" s="382" t="str">
        <f>IF(M143="","",IF(VLOOKUP(M143,'G-3 Multipliers'!$L$3:$N$6,2,FALSE)=0,"Spatial Data Missing",VLOOKUP(M143,'G-3 Multipliers'!$L$3:$N$6,2,FALSE)))</f>
        <v/>
      </c>
      <c r="O143" s="368" t="str">
        <f>IF(M143="","",IF(VLOOKUP(M143,'G-3 Multipliers'!$L$3:$N$6,3,FALSE)=0,"Spatial Data Missing",VLOOKUP(M143,'G-3 Multipliers'!$L$3:$N$6,3,FALSE)))</f>
        <v/>
      </c>
      <c r="P143" s="369" t="str">
        <f>IFERROR(VLOOKUP(G143,'G-1 All Habitats'!$B$2:$M$134,12,FALSE),"")</f>
        <v/>
      </c>
      <c r="Q143" s="376" t="str">
        <f>IFERROR(IF(P143="","",IF(AND(P143='G-1 All Habitats'!$X$3,T143&gt;0),U143+V143,IF(AND(P143='G-1 All Habitats'!$X$3,S143&gt;0),U143+V143,IF(AND(P143='G-1 All Habitats'!$X$3,AC143&gt;0),"Any Loss Unacceptable ⚠",IF(AND(P143='G-1 All Habitats'!$X$3,W143&gt;0),"Any Loss Unacceptable ⚠",H143*J143*L143*O143))))),"Check Data ▲")</f>
        <v/>
      </c>
      <c r="R143" s="38"/>
      <c r="S143" s="54"/>
      <c r="T143" s="55"/>
      <c r="U143" s="374" t="str">
        <f t="shared" si="13"/>
        <v/>
      </c>
      <c r="V143" s="374" t="str">
        <f t="shared" si="14"/>
        <v/>
      </c>
      <c r="W143" s="374" t="str">
        <f>IF(E143="","",IF(H143&lt;S143+T143,"Error in Areas ▲",IF(P143&lt;&gt;'G-1 All Habitats'!$X$3,H143-S143-T143,IF(AND(P143='G-1 All Habitats'!$X$3,Y143="Yes"),"Unacceptable Loss ⚠",IF(AND(P143='G-1 All Habitats'!$X$3,Y143="No"),AC143,IF(AND(P143='G-1 All Habitats'!$X$3,Y143=""),AC143,IF(AND(P143='G-1 All Habitats'!$X$3,AC143="None",AC143),IF(AND(P143='G-1 All Habitats'!$X$3,AC143&gt;0),H143-S143-T143))))))))</f>
        <v/>
      </c>
      <c r="X143" s="378" t="str">
        <f>IFERROR(IF(H143="","",IF(H143-S143-T143=0&lt;0,"Error in Areas ▲",IF(S143+T143&gt;H143,"Error in Areas ▲",IF(AND(P143='G-1 All Habitats'!$X$3,Y143="Yes"),"Alternative Compensation ✓",IF(W143=0,0,IF(P143='G-1 All Habitats'!$X$3,"Any Loss Unacceptable ▲",Q143-U143-V143)))))),"Check Data ▲")</f>
        <v/>
      </c>
      <c r="Y143" s="55"/>
      <c r="Z143" s="62"/>
      <c r="AA143" s="526"/>
      <c r="AB143" s="120"/>
      <c r="AC143" s="726" t="str">
        <f>IF(P143="","",IF(P143='G-1 All Habitats'!$X$3,H143-S143-T143,"None"))</f>
        <v/>
      </c>
      <c r="AD143" s="727" t="str">
        <f>IF(P143="","", IF(P143='G-1 All Habitats'!$X$3, AC143*J143*L143*O143,"None"))</f>
        <v/>
      </c>
      <c r="AF143" s="40" t="str">
        <f t="shared" si="10"/>
        <v/>
      </c>
      <c r="AG143" s="40" t="str">
        <f t="shared" si="11"/>
        <v/>
      </c>
      <c r="AH143" s="40" t="str">
        <f>IF(I143="","",IF(#REF!&gt;0,TRUE,FALSE))</f>
        <v/>
      </c>
      <c r="AI143" s="40">
        <v>133</v>
      </c>
      <c r="AJ143" s="40"/>
      <c r="AK143" s="40" t="str">
        <f t="array" ref="AK143">IFERROR(INDEX($AI$11:$AI$259, MATCH(0, IF(TRUE=$AF$11:$AF$259, COUNTIF($AK$10:$AK142, $AI$11:$AI$259), ""), 0)),"")</f>
        <v/>
      </c>
      <c r="AL143" s="40" t="str">
        <f t="array" ref="AL143">IFERROR(INDEX($AI$11:$AI$259, MATCH(0, IF(TRUE=$AG$11:$AG$259, COUNTIF($AL$10:$AL142, $AI$11:$AI$259), ""), 0)),"")</f>
        <v/>
      </c>
      <c r="AM143" s="40" t="str">
        <f t="array" ref="AM143">IFERROR(INDEX($AI$11:$AI$259, MATCH(0, IF(TRUE=$AH$11:$AH$259, COUNTIF($AM$10:$AM142, $AI$11:$AI$259), ""), 0)),"")</f>
        <v/>
      </c>
      <c r="AN143" s="40"/>
      <c r="AQ143" s="35">
        <f t="shared" si="12"/>
        <v>0</v>
      </c>
    </row>
    <row r="144" spans="1:43">
      <c r="A144" s="35" t="str">
        <f>IFERROR(INDEX('G-1 All Habitats'!$AG$3:$AG$17,MATCH(E144,'G-1 All Habitats'!$AF$3:$AF$17,0)),"")</f>
        <v/>
      </c>
      <c r="B144" s="35" t="str">
        <f>IFERROR(INDEX('G-8 Condition Look up'!$I$4:$I$135,MATCH(G144,'G-8 Condition Look up'!$A$4:$A$135,0)),"")</f>
        <v/>
      </c>
      <c r="D144" s="287">
        <v>134</v>
      </c>
      <c r="E144" s="267"/>
      <c r="F144" s="61"/>
      <c r="G144" s="52" t="str">
        <f>IFERROR(INDEX('G-1 All Habitats'!$B$3:$B$134,MATCH(F144,'G-1 All Habitats'!$A$3:$A$134,0)),"")</f>
        <v/>
      </c>
      <c r="H144" s="53"/>
      <c r="I144" s="362" t="str">
        <f>IF(G144="","",VLOOKUP(G144,'G-1 All Habitats'!$B$2:$M$134,10,FALSE))</f>
        <v/>
      </c>
      <c r="J144" s="363" t="str">
        <f>IFERROR(VLOOKUP(I144,'G-1 All Habitats'!$V$3:$W$7,2,FALSE),"")</f>
        <v/>
      </c>
      <c r="K144" s="54"/>
      <c r="L144" s="363" t="str">
        <f>IFERROR(INDEX('G-8 Condition Look up'!$A$3:$H$135,MATCH(G144,'G-8 Condition Look up'!$A$3:$A$135,0),MATCH(K144,'G-8 Condition Look up'!$A$3:$H$3,0)),"")</f>
        <v/>
      </c>
      <c r="M144" s="54"/>
      <c r="N144" s="382" t="str">
        <f>IF(M144="","",IF(VLOOKUP(M144,'G-3 Multipliers'!$L$3:$N$6,2,FALSE)=0,"Spatial Data Missing",VLOOKUP(M144,'G-3 Multipliers'!$L$3:$N$6,2,FALSE)))</f>
        <v/>
      </c>
      <c r="O144" s="368" t="str">
        <f>IF(M144="","",IF(VLOOKUP(M144,'G-3 Multipliers'!$L$3:$N$6,3,FALSE)=0,"Spatial Data Missing",VLOOKUP(M144,'G-3 Multipliers'!$L$3:$N$6,3,FALSE)))</f>
        <v/>
      </c>
      <c r="P144" s="369" t="str">
        <f>IFERROR(VLOOKUP(G144,'G-1 All Habitats'!$B$2:$M$134,12,FALSE),"")</f>
        <v/>
      </c>
      <c r="Q144" s="376" t="str">
        <f>IFERROR(IF(P144="","",IF(AND(P144='G-1 All Habitats'!$X$3,T144&gt;0),U144+V144,IF(AND(P144='G-1 All Habitats'!$X$3,S144&gt;0),U144+V144,IF(AND(P144='G-1 All Habitats'!$X$3,AC144&gt;0),"Any Loss Unacceptable ⚠",IF(AND(P144='G-1 All Habitats'!$X$3,W144&gt;0),"Any Loss Unacceptable ⚠",H144*J144*L144*O144))))),"Check Data ▲")</f>
        <v/>
      </c>
      <c r="R144" s="38"/>
      <c r="S144" s="54"/>
      <c r="T144" s="55"/>
      <c r="U144" s="374" t="str">
        <f t="shared" si="13"/>
        <v/>
      </c>
      <c r="V144" s="374" t="str">
        <f t="shared" si="14"/>
        <v/>
      </c>
      <c r="W144" s="374" t="str">
        <f>IF(E144="","",IF(H144&lt;S144+T144,"Error in Areas ▲",IF(P144&lt;&gt;'G-1 All Habitats'!$X$3,H144-S144-T144,IF(AND(P144='G-1 All Habitats'!$X$3,Y144="Yes"),"Unacceptable Loss ⚠",IF(AND(P144='G-1 All Habitats'!$X$3,Y144="No"),AC144,IF(AND(P144='G-1 All Habitats'!$X$3,Y144=""),AC144,IF(AND(P144='G-1 All Habitats'!$X$3,AC144="None",AC144),IF(AND(P144='G-1 All Habitats'!$X$3,AC144&gt;0),H144-S144-T144))))))))</f>
        <v/>
      </c>
      <c r="X144" s="378" t="str">
        <f>IFERROR(IF(H144="","",IF(H144-S144-T144=0&lt;0,"Error in Areas ▲",IF(S144+T144&gt;H144,"Error in Areas ▲",IF(AND(P144='G-1 All Habitats'!$X$3,Y144="Yes"),"Alternative Compensation ✓",IF(W144=0,0,IF(P144='G-1 All Habitats'!$X$3,"Any Loss Unacceptable ▲",Q144-U144-V144)))))),"Check Data ▲")</f>
        <v/>
      </c>
      <c r="Y144" s="55"/>
      <c r="Z144" s="62"/>
      <c r="AA144" s="526"/>
      <c r="AB144" s="120"/>
      <c r="AC144" s="726" t="str">
        <f>IF(P144="","",IF(P144='G-1 All Habitats'!$X$3,H144-S144-T144,"None"))</f>
        <v/>
      </c>
      <c r="AD144" s="727" t="str">
        <f>IF(P144="","", IF(P144='G-1 All Habitats'!$X$3, AC144*J144*L144*O144,"None"))</f>
        <v/>
      </c>
      <c r="AF144" s="40" t="str">
        <f t="shared" si="10"/>
        <v/>
      </c>
      <c r="AG144" s="40" t="str">
        <f t="shared" si="11"/>
        <v/>
      </c>
      <c r="AH144" s="40" t="str">
        <f>IF(I144="","",IF(#REF!&gt;0,TRUE,FALSE))</f>
        <v/>
      </c>
      <c r="AI144" s="40">
        <v>134</v>
      </c>
      <c r="AJ144" s="40"/>
      <c r="AK144" s="40" t="str">
        <f t="array" ref="AK144">IFERROR(INDEX($AI$11:$AI$259, MATCH(0, IF(TRUE=$AF$11:$AF$259, COUNTIF($AK$10:$AK143, $AI$11:$AI$259), ""), 0)),"")</f>
        <v/>
      </c>
      <c r="AL144" s="40" t="str">
        <f t="array" ref="AL144">IFERROR(INDEX($AI$11:$AI$259, MATCH(0, IF(TRUE=$AG$11:$AG$259, COUNTIF($AL$10:$AL143, $AI$11:$AI$259), ""), 0)),"")</f>
        <v/>
      </c>
      <c r="AM144" s="40" t="str">
        <f t="array" ref="AM144">IFERROR(INDEX($AI$11:$AI$259, MATCH(0, IF(TRUE=$AH$11:$AH$259, COUNTIF($AM$10:$AM143, $AI$11:$AI$259), ""), 0)),"")</f>
        <v/>
      </c>
      <c r="AN144" s="40"/>
      <c r="AQ144" s="35">
        <f t="shared" si="12"/>
        <v>0</v>
      </c>
    </row>
    <row r="145" spans="1:43">
      <c r="A145" s="35" t="str">
        <f>IFERROR(INDEX('G-1 All Habitats'!$AG$3:$AG$17,MATCH(E145,'G-1 All Habitats'!$AF$3:$AF$17,0)),"")</f>
        <v/>
      </c>
      <c r="B145" s="35" t="str">
        <f>IFERROR(INDEX('G-8 Condition Look up'!$I$4:$I$135,MATCH(G145,'G-8 Condition Look up'!$A$4:$A$135,0)),"")</f>
        <v/>
      </c>
      <c r="D145" s="287">
        <v>135</v>
      </c>
      <c r="E145" s="267"/>
      <c r="F145" s="61"/>
      <c r="G145" s="52" t="str">
        <f>IFERROR(INDEX('G-1 All Habitats'!$B$3:$B$134,MATCH(F145,'G-1 All Habitats'!$A$3:$A$134,0)),"")</f>
        <v/>
      </c>
      <c r="H145" s="53"/>
      <c r="I145" s="362" t="str">
        <f>IF(G145="","",VLOOKUP(G145,'G-1 All Habitats'!$B$2:$M$134,10,FALSE))</f>
        <v/>
      </c>
      <c r="J145" s="363" t="str">
        <f>IFERROR(VLOOKUP(I145,'G-1 All Habitats'!$V$3:$W$7,2,FALSE),"")</f>
        <v/>
      </c>
      <c r="K145" s="54"/>
      <c r="L145" s="363" t="str">
        <f>IFERROR(INDEX('G-8 Condition Look up'!$A$3:$H$135,MATCH(G145,'G-8 Condition Look up'!$A$3:$A$135,0),MATCH(K145,'G-8 Condition Look up'!$A$3:$H$3,0)),"")</f>
        <v/>
      </c>
      <c r="M145" s="54"/>
      <c r="N145" s="382" t="str">
        <f>IF(M145="","",IF(VLOOKUP(M145,'G-3 Multipliers'!$L$3:$N$6,2,FALSE)=0,"Spatial Data Missing",VLOOKUP(M145,'G-3 Multipliers'!$L$3:$N$6,2,FALSE)))</f>
        <v/>
      </c>
      <c r="O145" s="368" t="str">
        <f>IF(M145="","",IF(VLOOKUP(M145,'G-3 Multipliers'!$L$3:$N$6,3,FALSE)=0,"Spatial Data Missing",VLOOKUP(M145,'G-3 Multipliers'!$L$3:$N$6,3,FALSE)))</f>
        <v/>
      </c>
      <c r="P145" s="369" t="str">
        <f>IFERROR(VLOOKUP(G145,'G-1 All Habitats'!$B$2:$M$134,12,FALSE),"")</f>
        <v/>
      </c>
      <c r="Q145" s="376" t="str">
        <f>IFERROR(IF(P145="","",IF(AND(P145='G-1 All Habitats'!$X$3,T145&gt;0),U145+V145,IF(AND(P145='G-1 All Habitats'!$X$3,S145&gt;0),U145+V145,IF(AND(P145='G-1 All Habitats'!$X$3,AC145&gt;0),"Any Loss Unacceptable ⚠",IF(AND(P145='G-1 All Habitats'!$X$3,W145&gt;0),"Any Loss Unacceptable ⚠",H145*J145*L145*O145))))),"Check Data ▲")</f>
        <v/>
      </c>
      <c r="R145" s="38"/>
      <c r="S145" s="54"/>
      <c r="T145" s="55"/>
      <c r="U145" s="374" t="str">
        <f t="shared" si="13"/>
        <v/>
      </c>
      <c r="V145" s="374" t="str">
        <f t="shared" si="14"/>
        <v/>
      </c>
      <c r="W145" s="374" t="str">
        <f>IF(E145="","",IF(H145&lt;S145+T145,"Error in Areas ▲",IF(P145&lt;&gt;'G-1 All Habitats'!$X$3,H145-S145-T145,IF(AND(P145='G-1 All Habitats'!$X$3,Y145="Yes"),"Unacceptable Loss ⚠",IF(AND(P145='G-1 All Habitats'!$X$3,Y145="No"),AC145,IF(AND(P145='G-1 All Habitats'!$X$3,Y145=""),AC145,IF(AND(P145='G-1 All Habitats'!$X$3,AC145="None",AC145),IF(AND(P145='G-1 All Habitats'!$X$3,AC145&gt;0),H145-S145-T145))))))))</f>
        <v/>
      </c>
      <c r="X145" s="378" t="str">
        <f>IFERROR(IF(H145="","",IF(H145-S145-T145=0&lt;0,"Error in Areas ▲",IF(S145+T145&gt;H145,"Error in Areas ▲",IF(AND(P145='G-1 All Habitats'!$X$3,Y145="Yes"),"Alternative Compensation ✓",IF(W145=0,0,IF(P145='G-1 All Habitats'!$X$3,"Any Loss Unacceptable ▲",Q145-U145-V145)))))),"Check Data ▲")</f>
        <v/>
      </c>
      <c r="Y145" s="55"/>
      <c r="Z145" s="62"/>
      <c r="AA145" s="526"/>
      <c r="AB145" s="120"/>
      <c r="AC145" s="726" t="str">
        <f>IF(P145="","",IF(P145='G-1 All Habitats'!$X$3,H145-S145-T145,"None"))</f>
        <v/>
      </c>
      <c r="AD145" s="727" t="str">
        <f>IF(P145="","", IF(P145='G-1 All Habitats'!$X$3, AC145*J145*L145*O145,"None"))</f>
        <v/>
      </c>
      <c r="AF145" s="40" t="str">
        <f t="shared" si="10"/>
        <v/>
      </c>
      <c r="AG145" s="40" t="str">
        <f t="shared" si="11"/>
        <v/>
      </c>
      <c r="AH145" s="40" t="str">
        <f>IF(I145="","",IF(#REF!&gt;0,TRUE,FALSE))</f>
        <v/>
      </c>
      <c r="AI145" s="40">
        <v>135</v>
      </c>
      <c r="AJ145" s="40"/>
      <c r="AK145" s="40" t="str">
        <f t="array" ref="AK145">IFERROR(INDEX($AI$11:$AI$259, MATCH(0, IF(TRUE=$AF$11:$AF$259, COUNTIF($AK$10:$AK144, $AI$11:$AI$259), ""), 0)),"")</f>
        <v/>
      </c>
      <c r="AL145" s="40" t="str">
        <f t="array" ref="AL145">IFERROR(INDEX($AI$11:$AI$259, MATCH(0, IF(TRUE=$AG$11:$AG$259, COUNTIF($AL$10:$AL144, $AI$11:$AI$259), ""), 0)),"")</f>
        <v/>
      </c>
      <c r="AM145" s="40" t="str">
        <f t="array" ref="AM145">IFERROR(INDEX($AI$11:$AI$259, MATCH(0, IF(TRUE=$AH$11:$AH$259, COUNTIF($AM$10:$AM144, $AI$11:$AI$259), ""), 0)),"")</f>
        <v/>
      </c>
      <c r="AN145" s="40"/>
      <c r="AQ145" s="35">
        <f t="shared" si="12"/>
        <v>0</v>
      </c>
    </row>
    <row r="146" spans="1:43">
      <c r="A146" s="35" t="str">
        <f>IFERROR(INDEX('G-1 All Habitats'!$AG$3:$AG$17,MATCH(E146,'G-1 All Habitats'!$AF$3:$AF$17,0)),"")</f>
        <v/>
      </c>
      <c r="B146" s="35" t="str">
        <f>IFERROR(INDEX('G-8 Condition Look up'!$I$4:$I$135,MATCH(G146,'G-8 Condition Look up'!$A$4:$A$135,0)),"")</f>
        <v/>
      </c>
      <c r="D146" s="287">
        <v>136</v>
      </c>
      <c r="E146" s="267"/>
      <c r="F146" s="61"/>
      <c r="G146" s="52" t="str">
        <f>IFERROR(INDEX('G-1 All Habitats'!$B$3:$B$134,MATCH(F146,'G-1 All Habitats'!$A$3:$A$134,0)),"")</f>
        <v/>
      </c>
      <c r="H146" s="53"/>
      <c r="I146" s="362" t="str">
        <f>IF(G146="","",VLOOKUP(G146,'G-1 All Habitats'!$B$2:$M$134,10,FALSE))</f>
        <v/>
      </c>
      <c r="J146" s="363" t="str">
        <f>IFERROR(VLOOKUP(I146,'G-1 All Habitats'!$V$3:$W$7,2,FALSE),"")</f>
        <v/>
      </c>
      <c r="K146" s="54"/>
      <c r="L146" s="363" t="str">
        <f>IFERROR(INDEX('G-8 Condition Look up'!$A$3:$H$135,MATCH(G146,'G-8 Condition Look up'!$A$3:$A$135,0),MATCH(K146,'G-8 Condition Look up'!$A$3:$H$3,0)),"")</f>
        <v/>
      </c>
      <c r="M146" s="54"/>
      <c r="N146" s="382" t="str">
        <f>IF(M146="","",IF(VLOOKUP(M146,'G-3 Multipliers'!$L$3:$N$6,2,FALSE)=0,"Spatial Data Missing",VLOOKUP(M146,'G-3 Multipliers'!$L$3:$N$6,2,FALSE)))</f>
        <v/>
      </c>
      <c r="O146" s="368" t="str">
        <f>IF(M146="","",IF(VLOOKUP(M146,'G-3 Multipliers'!$L$3:$N$6,3,FALSE)=0,"Spatial Data Missing",VLOOKUP(M146,'G-3 Multipliers'!$L$3:$N$6,3,FALSE)))</f>
        <v/>
      </c>
      <c r="P146" s="369" t="str">
        <f>IFERROR(VLOOKUP(G146,'G-1 All Habitats'!$B$2:$M$134,12,FALSE),"")</f>
        <v/>
      </c>
      <c r="Q146" s="376" t="str">
        <f>IFERROR(IF(P146="","",IF(AND(P146='G-1 All Habitats'!$X$3,T146&gt;0),U146+V146,IF(AND(P146='G-1 All Habitats'!$X$3,S146&gt;0),U146+V146,IF(AND(P146='G-1 All Habitats'!$X$3,AC146&gt;0),"Any Loss Unacceptable ⚠",IF(AND(P146='G-1 All Habitats'!$X$3,W146&gt;0),"Any Loss Unacceptable ⚠",H146*J146*L146*O146))))),"Check Data ▲")</f>
        <v/>
      </c>
      <c r="R146" s="38"/>
      <c r="S146" s="54"/>
      <c r="T146" s="55"/>
      <c r="U146" s="374" t="str">
        <f t="shared" si="13"/>
        <v/>
      </c>
      <c r="V146" s="374" t="str">
        <f t="shared" si="14"/>
        <v/>
      </c>
      <c r="W146" s="374" t="str">
        <f>IF(E146="","",IF(H146&lt;S146+T146,"Error in Areas ▲",IF(P146&lt;&gt;'G-1 All Habitats'!$X$3,H146-S146-T146,IF(AND(P146='G-1 All Habitats'!$X$3,Y146="Yes"),"Unacceptable Loss ⚠",IF(AND(P146='G-1 All Habitats'!$X$3,Y146="No"),AC146,IF(AND(P146='G-1 All Habitats'!$X$3,Y146=""),AC146,IF(AND(P146='G-1 All Habitats'!$X$3,AC146="None",AC146),IF(AND(P146='G-1 All Habitats'!$X$3,AC146&gt;0),H146-S146-T146))))))))</f>
        <v/>
      </c>
      <c r="X146" s="378" t="str">
        <f>IFERROR(IF(H146="","",IF(H146-S146-T146=0&lt;0,"Error in Areas ▲",IF(S146+T146&gt;H146,"Error in Areas ▲",IF(AND(P146='G-1 All Habitats'!$X$3,Y146="Yes"),"Alternative Compensation ✓",IF(W146=0,0,IF(P146='G-1 All Habitats'!$X$3,"Any Loss Unacceptable ▲",Q146-U146-V146)))))),"Check Data ▲")</f>
        <v/>
      </c>
      <c r="Y146" s="55"/>
      <c r="Z146" s="62"/>
      <c r="AA146" s="526"/>
      <c r="AB146" s="120"/>
      <c r="AC146" s="726" t="str">
        <f>IF(P146="","",IF(P146='G-1 All Habitats'!$X$3,H146-S146-T146,"None"))</f>
        <v/>
      </c>
      <c r="AD146" s="727" t="str">
        <f>IF(P146="","", IF(P146='G-1 All Habitats'!$X$3, AC146*J146*L146*O146,"None"))</f>
        <v/>
      </c>
      <c r="AF146" s="40" t="str">
        <f t="shared" si="10"/>
        <v/>
      </c>
      <c r="AG146" s="40" t="str">
        <f t="shared" si="11"/>
        <v/>
      </c>
      <c r="AH146" s="40" t="str">
        <f>IF(I146="","",IF(#REF!&gt;0,TRUE,FALSE))</f>
        <v/>
      </c>
      <c r="AI146" s="40">
        <v>136</v>
      </c>
      <c r="AJ146" s="40"/>
      <c r="AK146" s="40" t="str">
        <f t="array" ref="AK146">IFERROR(INDEX($AI$11:$AI$259, MATCH(0, IF(TRUE=$AF$11:$AF$259, COUNTIF($AK$10:$AK145, $AI$11:$AI$259), ""), 0)),"")</f>
        <v/>
      </c>
      <c r="AL146" s="40" t="str">
        <f t="array" ref="AL146">IFERROR(INDEX($AI$11:$AI$259, MATCH(0, IF(TRUE=$AG$11:$AG$259, COUNTIF($AL$10:$AL145, $AI$11:$AI$259), ""), 0)),"")</f>
        <v/>
      </c>
      <c r="AM146" s="40" t="str">
        <f t="array" ref="AM146">IFERROR(INDEX($AI$11:$AI$259, MATCH(0, IF(TRUE=$AH$11:$AH$259, COUNTIF($AM$10:$AM145, $AI$11:$AI$259), ""), 0)),"")</f>
        <v/>
      </c>
      <c r="AN146" s="40"/>
      <c r="AQ146" s="35">
        <f t="shared" si="12"/>
        <v>0</v>
      </c>
    </row>
    <row r="147" spans="1:43">
      <c r="A147" s="35" t="str">
        <f>IFERROR(INDEX('G-1 All Habitats'!$AG$3:$AG$17,MATCH(E147,'G-1 All Habitats'!$AF$3:$AF$17,0)),"")</f>
        <v/>
      </c>
      <c r="B147" s="35" t="str">
        <f>IFERROR(INDEX('G-8 Condition Look up'!$I$4:$I$135,MATCH(G147,'G-8 Condition Look up'!$A$4:$A$135,0)),"")</f>
        <v/>
      </c>
      <c r="D147" s="287">
        <v>137</v>
      </c>
      <c r="E147" s="267"/>
      <c r="F147" s="61"/>
      <c r="G147" s="52" t="str">
        <f>IFERROR(INDEX('G-1 All Habitats'!$B$3:$B$134,MATCH(F147,'G-1 All Habitats'!$A$3:$A$134,0)),"")</f>
        <v/>
      </c>
      <c r="H147" s="53"/>
      <c r="I147" s="362" t="str">
        <f>IF(G147="","",VLOOKUP(G147,'G-1 All Habitats'!$B$2:$M$134,10,FALSE))</f>
        <v/>
      </c>
      <c r="J147" s="363" t="str">
        <f>IFERROR(VLOOKUP(I147,'G-1 All Habitats'!$V$3:$W$7,2,FALSE),"")</f>
        <v/>
      </c>
      <c r="K147" s="54"/>
      <c r="L147" s="363" t="str">
        <f>IFERROR(INDEX('G-8 Condition Look up'!$A$3:$H$135,MATCH(G147,'G-8 Condition Look up'!$A$3:$A$135,0),MATCH(K147,'G-8 Condition Look up'!$A$3:$H$3,0)),"")</f>
        <v/>
      </c>
      <c r="M147" s="54"/>
      <c r="N147" s="382" t="str">
        <f>IF(M147="","",IF(VLOOKUP(M147,'G-3 Multipliers'!$L$3:$N$6,2,FALSE)=0,"Spatial Data Missing",VLOOKUP(M147,'G-3 Multipliers'!$L$3:$N$6,2,FALSE)))</f>
        <v/>
      </c>
      <c r="O147" s="368" t="str">
        <f>IF(M147="","",IF(VLOOKUP(M147,'G-3 Multipliers'!$L$3:$N$6,3,FALSE)=0,"Spatial Data Missing",VLOOKUP(M147,'G-3 Multipliers'!$L$3:$N$6,3,FALSE)))</f>
        <v/>
      </c>
      <c r="P147" s="369" t="str">
        <f>IFERROR(VLOOKUP(G147,'G-1 All Habitats'!$B$2:$M$134,12,FALSE),"")</f>
        <v/>
      </c>
      <c r="Q147" s="376" t="str">
        <f>IFERROR(IF(P147="","",IF(AND(P147='G-1 All Habitats'!$X$3,T147&gt;0),U147+V147,IF(AND(P147='G-1 All Habitats'!$X$3,S147&gt;0),U147+V147,IF(AND(P147='G-1 All Habitats'!$X$3,AC147&gt;0),"Any Loss Unacceptable ⚠",IF(AND(P147='G-1 All Habitats'!$X$3,W147&gt;0),"Any Loss Unacceptable ⚠",H147*J147*L147*O147))))),"Check Data ▲")</f>
        <v/>
      </c>
      <c r="R147" s="38"/>
      <c r="S147" s="54"/>
      <c r="T147" s="55"/>
      <c r="U147" s="374" t="str">
        <f t="shared" si="13"/>
        <v/>
      </c>
      <c r="V147" s="374" t="str">
        <f t="shared" si="14"/>
        <v/>
      </c>
      <c r="W147" s="374" t="str">
        <f>IF(E147="","",IF(H147&lt;S147+T147,"Error in Areas ▲",IF(P147&lt;&gt;'G-1 All Habitats'!$X$3,H147-S147-T147,IF(AND(P147='G-1 All Habitats'!$X$3,Y147="Yes"),"Unacceptable Loss ⚠",IF(AND(P147='G-1 All Habitats'!$X$3,Y147="No"),AC147,IF(AND(P147='G-1 All Habitats'!$X$3,Y147=""),AC147,IF(AND(P147='G-1 All Habitats'!$X$3,AC147="None",AC147),IF(AND(P147='G-1 All Habitats'!$X$3,AC147&gt;0),H147-S147-T147))))))))</f>
        <v/>
      </c>
      <c r="X147" s="378" t="str">
        <f>IFERROR(IF(H147="","",IF(H147-S147-T147=0&lt;0,"Error in Areas ▲",IF(S147+T147&gt;H147,"Error in Areas ▲",IF(AND(P147='G-1 All Habitats'!$X$3,Y147="Yes"),"Alternative Compensation ✓",IF(W147=0,0,IF(P147='G-1 All Habitats'!$X$3,"Any Loss Unacceptable ▲",Q147-U147-V147)))))),"Check Data ▲")</f>
        <v/>
      </c>
      <c r="Y147" s="55"/>
      <c r="Z147" s="62"/>
      <c r="AA147" s="526"/>
      <c r="AB147" s="120"/>
      <c r="AC147" s="726" t="str">
        <f>IF(P147="","",IF(P147='G-1 All Habitats'!$X$3,H147-S147-T147,"None"))</f>
        <v/>
      </c>
      <c r="AD147" s="727" t="str">
        <f>IF(P147="","", IF(P147='G-1 All Habitats'!$X$3, AC147*J147*L147*O147,"None"))</f>
        <v/>
      </c>
      <c r="AF147" s="40" t="str">
        <f t="shared" si="10"/>
        <v/>
      </c>
      <c r="AG147" s="40" t="str">
        <f t="shared" si="11"/>
        <v/>
      </c>
      <c r="AH147" s="40" t="str">
        <f>IF(I147="","",IF(#REF!&gt;0,TRUE,FALSE))</f>
        <v/>
      </c>
      <c r="AI147" s="40">
        <v>137</v>
      </c>
      <c r="AJ147" s="40"/>
      <c r="AK147" s="40" t="str">
        <f t="array" ref="AK147">IFERROR(INDEX($AI$11:$AI$259, MATCH(0, IF(TRUE=$AF$11:$AF$259, COUNTIF($AK$10:$AK146, $AI$11:$AI$259), ""), 0)),"")</f>
        <v/>
      </c>
      <c r="AL147" s="40" t="str">
        <f t="array" ref="AL147">IFERROR(INDEX($AI$11:$AI$259, MATCH(0, IF(TRUE=$AG$11:$AG$259, COUNTIF($AL$10:$AL146, $AI$11:$AI$259), ""), 0)),"")</f>
        <v/>
      </c>
      <c r="AM147" s="40" t="str">
        <f t="array" ref="AM147">IFERROR(INDEX($AI$11:$AI$259, MATCH(0, IF(TRUE=$AH$11:$AH$259, COUNTIF($AM$10:$AM146, $AI$11:$AI$259), ""), 0)),"")</f>
        <v/>
      </c>
      <c r="AN147" s="40"/>
      <c r="AQ147" s="35">
        <f t="shared" si="12"/>
        <v>0</v>
      </c>
    </row>
    <row r="148" spans="1:43">
      <c r="A148" s="35" t="str">
        <f>IFERROR(INDEX('G-1 All Habitats'!$AG$3:$AG$17,MATCH(E148,'G-1 All Habitats'!$AF$3:$AF$17,0)),"")</f>
        <v/>
      </c>
      <c r="B148" s="35" t="str">
        <f>IFERROR(INDEX('G-8 Condition Look up'!$I$4:$I$135,MATCH(G148,'G-8 Condition Look up'!$A$4:$A$135,0)),"")</f>
        <v/>
      </c>
      <c r="D148" s="287">
        <v>138</v>
      </c>
      <c r="E148" s="267"/>
      <c r="F148" s="61"/>
      <c r="G148" s="52" t="str">
        <f>IFERROR(INDEX('G-1 All Habitats'!$B$3:$B$134,MATCH(F148,'G-1 All Habitats'!$A$3:$A$134,0)),"")</f>
        <v/>
      </c>
      <c r="H148" s="53"/>
      <c r="I148" s="362" t="str">
        <f>IF(G148="","",VLOOKUP(G148,'G-1 All Habitats'!$B$2:$M$134,10,FALSE))</f>
        <v/>
      </c>
      <c r="J148" s="363" t="str">
        <f>IFERROR(VLOOKUP(I148,'G-1 All Habitats'!$V$3:$W$7,2,FALSE),"")</f>
        <v/>
      </c>
      <c r="K148" s="54"/>
      <c r="L148" s="363" t="str">
        <f>IFERROR(INDEX('G-8 Condition Look up'!$A$3:$H$135,MATCH(G148,'G-8 Condition Look up'!$A$3:$A$135,0),MATCH(K148,'G-8 Condition Look up'!$A$3:$H$3,0)),"")</f>
        <v/>
      </c>
      <c r="M148" s="54"/>
      <c r="N148" s="382" t="str">
        <f>IF(M148="","",IF(VLOOKUP(M148,'G-3 Multipliers'!$L$3:$N$6,2,FALSE)=0,"Spatial Data Missing",VLOOKUP(M148,'G-3 Multipliers'!$L$3:$N$6,2,FALSE)))</f>
        <v/>
      </c>
      <c r="O148" s="368" t="str">
        <f>IF(M148="","",IF(VLOOKUP(M148,'G-3 Multipliers'!$L$3:$N$6,3,FALSE)=0,"Spatial Data Missing",VLOOKUP(M148,'G-3 Multipliers'!$L$3:$N$6,3,FALSE)))</f>
        <v/>
      </c>
      <c r="P148" s="369" t="str">
        <f>IFERROR(VLOOKUP(G148,'G-1 All Habitats'!$B$2:$M$134,12,FALSE),"")</f>
        <v/>
      </c>
      <c r="Q148" s="376" t="str">
        <f>IFERROR(IF(P148="","",IF(AND(P148='G-1 All Habitats'!$X$3,T148&gt;0),U148+V148,IF(AND(P148='G-1 All Habitats'!$X$3,S148&gt;0),U148+V148,IF(AND(P148='G-1 All Habitats'!$X$3,AC148&gt;0),"Any Loss Unacceptable ⚠",IF(AND(P148='G-1 All Habitats'!$X$3,W148&gt;0),"Any Loss Unacceptable ⚠",H148*J148*L148*O148))))),"Check Data ▲")</f>
        <v/>
      </c>
      <c r="R148" s="38"/>
      <c r="S148" s="54"/>
      <c r="T148" s="55"/>
      <c r="U148" s="374" t="str">
        <f t="shared" si="13"/>
        <v/>
      </c>
      <c r="V148" s="374" t="str">
        <f t="shared" si="14"/>
        <v/>
      </c>
      <c r="W148" s="374" t="str">
        <f>IF(E148="","",IF(H148&lt;S148+T148,"Error in Areas ▲",IF(P148&lt;&gt;'G-1 All Habitats'!$X$3,H148-S148-T148,IF(AND(P148='G-1 All Habitats'!$X$3,Y148="Yes"),"Unacceptable Loss ⚠",IF(AND(P148='G-1 All Habitats'!$X$3,Y148="No"),AC148,IF(AND(P148='G-1 All Habitats'!$X$3,Y148=""),AC148,IF(AND(P148='G-1 All Habitats'!$X$3,AC148="None",AC148),IF(AND(P148='G-1 All Habitats'!$X$3,AC148&gt;0),H148-S148-T148))))))))</f>
        <v/>
      </c>
      <c r="X148" s="378" t="str">
        <f>IFERROR(IF(H148="","",IF(H148-S148-T148=0&lt;0,"Error in Areas ▲",IF(S148+T148&gt;H148,"Error in Areas ▲",IF(AND(P148='G-1 All Habitats'!$X$3,Y148="Yes"),"Alternative Compensation ✓",IF(W148=0,0,IF(P148='G-1 All Habitats'!$X$3,"Any Loss Unacceptable ▲",Q148-U148-V148)))))),"Check Data ▲")</f>
        <v/>
      </c>
      <c r="Y148" s="55"/>
      <c r="Z148" s="62"/>
      <c r="AA148" s="526"/>
      <c r="AB148" s="120"/>
      <c r="AC148" s="726" t="str">
        <f>IF(P148="","",IF(P148='G-1 All Habitats'!$X$3,H148-S148-T148,"None"))</f>
        <v/>
      </c>
      <c r="AD148" s="727" t="str">
        <f>IF(P148="","", IF(P148='G-1 All Habitats'!$X$3, AC148*J148*L148*O148,"None"))</f>
        <v/>
      </c>
      <c r="AF148" s="40" t="str">
        <f t="shared" si="10"/>
        <v/>
      </c>
      <c r="AG148" s="40" t="str">
        <f t="shared" si="11"/>
        <v/>
      </c>
      <c r="AH148" s="40" t="str">
        <f>IF(I148="","",IF(#REF!&gt;0,TRUE,FALSE))</f>
        <v/>
      </c>
      <c r="AI148" s="40">
        <v>138</v>
      </c>
      <c r="AJ148" s="40"/>
      <c r="AK148" s="40" t="str">
        <f t="array" ref="AK148">IFERROR(INDEX($AI$11:$AI$259, MATCH(0, IF(TRUE=$AF$11:$AF$259, COUNTIF($AK$10:$AK147, $AI$11:$AI$259), ""), 0)),"")</f>
        <v/>
      </c>
      <c r="AL148" s="40" t="str">
        <f t="array" ref="AL148">IFERROR(INDEX($AI$11:$AI$259, MATCH(0, IF(TRUE=$AG$11:$AG$259, COUNTIF($AL$10:$AL147, $AI$11:$AI$259), ""), 0)),"")</f>
        <v/>
      </c>
      <c r="AM148" s="40" t="str">
        <f t="array" ref="AM148">IFERROR(INDEX($AI$11:$AI$259, MATCH(0, IF(TRUE=$AH$11:$AH$259, COUNTIF($AM$10:$AM147, $AI$11:$AI$259), ""), 0)),"")</f>
        <v/>
      </c>
      <c r="AN148" s="40"/>
      <c r="AQ148" s="35">
        <f t="shared" si="12"/>
        <v>0</v>
      </c>
    </row>
    <row r="149" spans="1:43">
      <c r="A149" s="35" t="str">
        <f>IFERROR(INDEX('G-1 All Habitats'!$AG$3:$AG$17,MATCH(E149,'G-1 All Habitats'!$AF$3:$AF$17,0)),"")</f>
        <v/>
      </c>
      <c r="B149" s="35" t="str">
        <f>IFERROR(INDEX('G-8 Condition Look up'!$I$4:$I$135,MATCH(G149,'G-8 Condition Look up'!$A$4:$A$135,0)),"")</f>
        <v/>
      </c>
      <c r="D149" s="287">
        <v>139</v>
      </c>
      <c r="E149" s="267"/>
      <c r="F149" s="61"/>
      <c r="G149" s="52" t="str">
        <f>IFERROR(INDEX('G-1 All Habitats'!$B$3:$B$134,MATCH(F149,'G-1 All Habitats'!$A$3:$A$134,0)),"")</f>
        <v/>
      </c>
      <c r="H149" s="53"/>
      <c r="I149" s="362" t="str">
        <f>IF(G149="","",VLOOKUP(G149,'G-1 All Habitats'!$B$2:$M$134,10,FALSE))</f>
        <v/>
      </c>
      <c r="J149" s="363" t="str">
        <f>IFERROR(VLOOKUP(I149,'G-1 All Habitats'!$V$3:$W$7,2,FALSE),"")</f>
        <v/>
      </c>
      <c r="K149" s="54"/>
      <c r="L149" s="363" t="str">
        <f>IFERROR(INDEX('G-8 Condition Look up'!$A$3:$H$135,MATCH(G149,'G-8 Condition Look up'!$A$3:$A$135,0),MATCH(K149,'G-8 Condition Look up'!$A$3:$H$3,0)),"")</f>
        <v/>
      </c>
      <c r="M149" s="54"/>
      <c r="N149" s="382" t="str">
        <f>IF(M149="","",IF(VLOOKUP(M149,'G-3 Multipliers'!$L$3:$N$6,2,FALSE)=0,"Spatial Data Missing",VLOOKUP(M149,'G-3 Multipliers'!$L$3:$N$6,2,FALSE)))</f>
        <v/>
      </c>
      <c r="O149" s="368" t="str">
        <f>IF(M149="","",IF(VLOOKUP(M149,'G-3 Multipliers'!$L$3:$N$6,3,FALSE)=0,"Spatial Data Missing",VLOOKUP(M149,'G-3 Multipliers'!$L$3:$N$6,3,FALSE)))</f>
        <v/>
      </c>
      <c r="P149" s="369" t="str">
        <f>IFERROR(VLOOKUP(G149,'G-1 All Habitats'!$B$2:$M$134,12,FALSE),"")</f>
        <v/>
      </c>
      <c r="Q149" s="376" t="str">
        <f>IFERROR(IF(P149="","",IF(AND(P149='G-1 All Habitats'!$X$3,T149&gt;0),U149+V149,IF(AND(P149='G-1 All Habitats'!$X$3,S149&gt;0),U149+V149,IF(AND(P149='G-1 All Habitats'!$X$3,AC149&gt;0),"Any Loss Unacceptable ⚠",IF(AND(P149='G-1 All Habitats'!$X$3,W149&gt;0),"Any Loss Unacceptable ⚠",H149*J149*L149*O149))))),"Check Data ▲")</f>
        <v/>
      </c>
      <c r="R149" s="38"/>
      <c r="S149" s="54"/>
      <c r="T149" s="55"/>
      <c r="U149" s="374" t="str">
        <f t="shared" si="13"/>
        <v/>
      </c>
      <c r="V149" s="374" t="str">
        <f t="shared" si="14"/>
        <v/>
      </c>
      <c r="W149" s="374" t="str">
        <f>IF(E149="","",IF(H149&lt;S149+T149,"Error in Areas ▲",IF(P149&lt;&gt;'G-1 All Habitats'!$X$3,H149-S149-T149,IF(AND(P149='G-1 All Habitats'!$X$3,Y149="Yes"),"Unacceptable Loss ⚠",IF(AND(P149='G-1 All Habitats'!$X$3,Y149="No"),AC149,IF(AND(P149='G-1 All Habitats'!$X$3,Y149=""),AC149,IF(AND(P149='G-1 All Habitats'!$X$3,AC149="None",AC149),IF(AND(P149='G-1 All Habitats'!$X$3,AC149&gt;0),H149-S149-T149))))))))</f>
        <v/>
      </c>
      <c r="X149" s="378" t="str">
        <f>IFERROR(IF(H149="","",IF(H149-S149-T149=0&lt;0,"Error in Areas ▲",IF(S149+T149&gt;H149,"Error in Areas ▲",IF(AND(P149='G-1 All Habitats'!$X$3,Y149="Yes"),"Alternative Compensation ✓",IF(W149=0,0,IF(P149='G-1 All Habitats'!$X$3,"Any Loss Unacceptable ▲",Q149-U149-V149)))))),"Check Data ▲")</f>
        <v/>
      </c>
      <c r="Y149" s="55"/>
      <c r="Z149" s="62"/>
      <c r="AA149" s="526"/>
      <c r="AB149" s="120"/>
      <c r="AC149" s="726" t="str">
        <f>IF(P149="","",IF(P149='G-1 All Habitats'!$X$3,H149-S149-T149,"None"))</f>
        <v/>
      </c>
      <c r="AD149" s="727" t="str">
        <f>IF(P149="","", IF(P149='G-1 All Habitats'!$X$3, AC149*J149*L149*O149,"None"))</f>
        <v/>
      </c>
      <c r="AF149" s="40" t="str">
        <f t="shared" si="10"/>
        <v/>
      </c>
      <c r="AG149" s="40" t="str">
        <f t="shared" si="11"/>
        <v/>
      </c>
      <c r="AH149" s="40" t="str">
        <f>IF(I149="","",IF(#REF!&gt;0,TRUE,FALSE))</f>
        <v/>
      </c>
      <c r="AI149" s="40">
        <v>139</v>
      </c>
      <c r="AJ149" s="40"/>
      <c r="AK149" s="40" t="str">
        <f t="array" ref="AK149">IFERROR(INDEX($AI$11:$AI$259, MATCH(0, IF(TRUE=$AF$11:$AF$259, COUNTIF($AK$10:$AK148, $AI$11:$AI$259), ""), 0)),"")</f>
        <v/>
      </c>
      <c r="AL149" s="40" t="str">
        <f t="array" ref="AL149">IFERROR(INDEX($AI$11:$AI$259, MATCH(0, IF(TRUE=$AG$11:$AG$259, COUNTIF($AL$10:$AL148, $AI$11:$AI$259), ""), 0)),"")</f>
        <v/>
      </c>
      <c r="AM149" s="40" t="str">
        <f t="array" ref="AM149">IFERROR(INDEX($AI$11:$AI$259, MATCH(0, IF(TRUE=$AH$11:$AH$259, COUNTIF($AM$10:$AM148, $AI$11:$AI$259), ""), 0)),"")</f>
        <v/>
      </c>
      <c r="AN149" s="40"/>
      <c r="AQ149" s="35">
        <f t="shared" si="12"/>
        <v>0</v>
      </c>
    </row>
    <row r="150" spans="1:43">
      <c r="A150" s="35" t="str">
        <f>IFERROR(INDEX('G-1 All Habitats'!$AG$3:$AG$17,MATCH(E150,'G-1 All Habitats'!$AF$3:$AF$17,0)),"")</f>
        <v/>
      </c>
      <c r="B150" s="35" t="str">
        <f>IFERROR(INDEX('G-8 Condition Look up'!$I$4:$I$135,MATCH(G150,'G-8 Condition Look up'!$A$4:$A$135,0)),"")</f>
        <v/>
      </c>
      <c r="D150" s="287">
        <v>140</v>
      </c>
      <c r="E150" s="267"/>
      <c r="F150" s="61"/>
      <c r="G150" s="52" t="str">
        <f>IFERROR(INDEX('G-1 All Habitats'!$B$3:$B$134,MATCH(F150,'G-1 All Habitats'!$A$3:$A$134,0)),"")</f>
        <v/>
      </c>
      <c r="H150" s="53"/>
      <c r="I150" s="362" t="str">
        <f>IF(G150="","",VLOOKUP(G150,'G-1 All Habitats'!$B$2:$M$134,10,FALSE))</f>
        <v/>
      </c>
      <c r="J150" s="363" t="str">
        <f>IFERROR(VLOOKUP(I150,'G-1 All Habitats'!$V$3:$W$7,2,FALSE),"")</f>
        <v/>
      </c>
      <c r="K150" s="54"/>
      <c r="L150" s="363" t="str">
        <f>IFERROR(INDEX('G-8 Condition Look up'!$A$3:$H$135,MATCH(G150,'G-8 Condition Look up'!$A$3:$A$135,0),MATCH(K150,'G-8 Condition Look up'!$A$3:$H$3,0)),"")</f>
        <v/>
      </c>
      <c r="M150" s="54"/>
      <c r="N150" s="382" t="str">
        <f>IF(M150="","",IF(VLOOKUP(M150,'G-3 Multipliers'!$L$3:$N$6,2,FALSE)=0,"Spatial Data Missing",VLOOKUP(M150,'G-3 Multipliers'!$L$3:$N$6,2,FALSE)))</f>
        <v/>
      </c>
      <c r="O150" s="368" t="str">
        <f>IF(M150="","",IF(VLOOKUP(M150,'G-3 Multipliers'!$L$3:$N$6,3,FALSE)=0,"Spatial Data Missing",VLOOKUP(M150,'G-3 Multipliers'!$L$3:$N$6,3,FALSE)))</f>
        <v/>
      </c>
      <c r="P150" s="369" t="str">
        <f>IFERROR(VLOOKUP(G150,'G-1 All Habitats'!$B$2:$M$134,12,FALSE),"")</f>
        <v/>
      </c>
      <c r="Q150" s="376" t="str">
        <f>IFERROR(IF(P150="","",IF(AND(P150='G-1 All Habitats'!$X$3,T150&gt;0),U150+V150,IF(AND(P150='G-1 All Habitats'!$X$3,S150&gt;0),U150+V150,IF(AND(P150='G-1 All Habitats'!$X$3,AC150&gt;0),"Any Loss Unacceptable ⚠",IF(AND(P150='G-1 All Habitats'!$X$3,W150&gt;0),"Any Loss Unacceptable ⚠",H150*J150*L150*O150))))),"Check Data ▲")</f>
        <v/>
      </c>
      <c r="R150" s="38"/>
      <c r="S150" s="54"/>
      <c r="T150" s="55"/>
      <c r="U150" s="374" t="str">
        <f t="shared" si="13"/>
        <v/>
      </c>
      <c r="V150" s="374" t="str">
        <f t="shared" si="14"/>
        <v/>
      </c>
      <c r="W150" s="374" t="str">
        <f>IF(E150="","",IF(H150&lt;S150+T150,"Error in Areas ▲",IF(P150&lt;&gt;'G-1 All Habitats'!$X$3,H150-S150-T150,IF(AND(P150='G-1 All Habitats'!$X$3,Y150="Yes"),"Unacceptable Loss ⚠",IF(AND(P150='G-1 All Habitats'!$X$3,Y150="No"),AC150,IF(AND(P150='G-1 All Habitats'!$X$3,Y150=""),AC150,IF(AND(P150='G-1 All Habitats'!$X$3,AC150="None",AC150),IF(AND(P150='G-1 All Habitats'!$X$3,AC150&gt;0),H150-S150-T150))))))))</f>
        <v/>
      </c>
      <c r="X150" s="378" t="str">
        <f>IFERROR(IF(H150="","",IF(H150-S150-T150=0&lt;0,"Error in Areas ▲",IF(S150+T150&gt;H150,"Error in Areas ▲",IF(AND(P150='G-1 All Habitats'!$X$3,Y150="Yes"),"Alternative Compensation ✓",IF(W150=0,0,IF(P150='G-1 All Habitats'!$X$3,"Any Loss Unacceptable ▲",Q150-U150-V150)))))),"Check Data ▲")</f>
        <v/>
      </c>
      <c r="Y150" s="55"/>
      <c r="Z150" s="62"/>
      <c r="AA150" s="526"/>
      <c r="AB150" s="120"/>
      <c r="AC150" s="726" t="str">
        <f>IF(P150="","",IF(P150='G-1 All Habitats'!$X$3,H150-S150-T150,"None"))</f>
        <v/>
      </c>
      <c r="AD150" s="727" t="str">
        <f>IF(P150="","", IF(P150='G-1 All Habitats'!$X$3, AC150*J150*L150*O150,"None"))</f>
        <v/>
      </c>
      <c r="AF150" s="40" t="str">
        <f t="shared" si="10"/>
        <v/>
      </c>
      <c r="AG150" s="40" t="str">
        <f t="shared" si="11"/>
        <v/>
      </c>
      <c r="AH150" s="40" t="str">
        <f>IF(I150="","",IF(#REF!&gt;0,TRUE,FALSE))</f>
        <v/>
      </c>
      <c r="AI150" s="40">
        <v>140</v>
      </c>
      <c r="AJ150" s="40"/>
      <c r="AK150" s="40" t="str">
        <f t="array" ref="AK150">IFERROR(INDEX($AI$11:$AI$259, MATCH(0, IF(TRUE=$AF$11:$AF$259, COUNTIF($AK$10:$AK149, $AI$11:$AI$259), ""), 0)),"")</f>
        <v/>
      </c>
      <c r="AL150" s="40" t="str">
        <f t="array" ref="AL150">IFERROR(INDEX($AI$11:$AI$259, MATCH(0, IF(TRUE=$AG$11:$AG$259, COUNTIF($AL$10:$AL149, $AI$11:$AI$259), ""), 0)),"")</f>
        <v/>
      </c>
      <c r="AM150" s="40" t="str">
        <f t="array" ref="AM150">IFERROR(INDEX($AI$11:$AI$259, MATCH(0, IF(TRUE=$AH$11:$AH$259, COUNTIF($AM$10:$AM149, $AI$11:$AI$259), ""), 0)),"")</f>
        <v/>
      </c>
      <c r="AN150" s="40"/>
      <c r="AQ150" s="35">
        <f t="shared" si="12"/>
        <v>0</v>
      </c>
    </row>
    <row r="151" spans="1:43">
      <c r="A151" s="35" t="str">
        <f>IFERROR(INDEX('G-1 All Habitats'!$AG$3:$AG$17,MATCH(E151,'G-1 All Habitats'!$AF$3:$AF$17,0)),"")</f>
        <v/>
      </c>
      <c r="B151" s="35" t="str">
        <f>IFERROR(INDEX('G-8 Condition Look up'!$I$4:$I$135,MATCH(G151,'G-8 Condition Look up'!$A$4:$A$135,0)),"")</f>
        <v/>
      </c>
      <c r="D151" s="287">
        <v>141</v>
      </c>
      <c r="E151" s="267"/>
      <c r="F151" s="61"/>
      <c r="G151" s="52" t="str">
        <f>IFERROR(INDEX('G-1 All Habitats'!$B$3:$B$134,MATCH(F151,'G-1 All Habitats'!$A$3:$A$134,0)),"")</f>
        <v/>
      </c>
      <c r="H151" s="53"/>
      <c r="I151" s="362" t="str">
        <f>IF(G151="","",VLOOKUP(G151,'G-1 All Habitats'!$B$2:$M$134,10,FALSE))</f>
        <v/>
      </c>
      <c r="J151" s="363" t="str">
        <f>IFERROR(VLOOKUP(I151,'G-1 All Habitats'!$V$3:$W$7,2,FALSE),"")</f>
        <v/>
      </c>
      <c r="K151" s="54"/>
      <c r="L151" s="363" t="str">
        <f>IFERROR(INDEX('G-8 Condition Look up'!$A$3:$H$135,MATCH(G151,'G-8 Condition Look up'!$A$3:$A$135,0),MATCH(K151,'G-8 Condition Look up'!$A$3:$H$3,0)),"")</f>
        <v/>
      </c>
      <c r="M151" s="54"/>
      <c r="N151" s="382" t="str">
        <f>IF(M151="","",IF(VLOOKUP(M151,'G-3 Multipliers'!$L$3:$N$6,2,FALSE)=0,"Spatial Data Missing",VLOOKUP(M151,'G-3 Multipliers'!$L$3:$N$6,2,FALSE)))</f>
        <v/>
      </c>
      <c r="O151" s="368" t="str">
        <f>IF(M151="","",IF(VLOOKUP(M151,'G-3 Multipliers'!$L$3:$N$6,3,FALSE)=0,"Spatial Data Missing",VLOOKUP(M151,'G-3 Multipliers'!$L$3:$N$6,3,FALSE)))</f>
        <v/>
      </c>
      <c r="P151" s="369" t="str">
        <f>IFERROR(VLOOKUP(G151,'G-1 All Habitats'!$B$2:$M$134,12,FALSE),"")</f>
        <v/>
      </c>
      <c r="Q151" s="376" t="str">
        <f>IFERROR(IF(P151="","",IF(AND(P151='G-1 All Habitats'!$X$3,T151&gt;0),U151+V151,IF(AND(P151='G-1 All Habitats'!$X$3,S151&gt;0),U151+V151,IF(AND(P151='G-1 All Habitats'!$X$3,AC151&gt;0),"Any Loss Unacceptable ⚠",IF(AND(P151='G-1 All Habitats'!$X$3,W151&gt;0),"Any Loss Unacceptable ⚠",H151*J151*L151*O151))))),"Check Data ▲")</f>
        <v/>
      </c>
      <c r="R151" s="38"/>
      <c r="S151" s="54"/>
      <c r="T151" s="55"/>
      <c r="U151" s="374" t="str">
        <f t="shared" si="13"/>
        <v/>
      </c>
      <c r="V151" s="374" t="str">
        <f t="shared" si="14"/>
        <v/>
      </c>
      <c r="W151" s="374" t="str">
        <f>IF(E151="","",IF(H151&lt;S151+T151,"Error in Areas ▲",IF(P151&lt;&gt;'G-1 All Habitats'!$X$3,H151-S151-T151,IF(AND(P151='G-1 All Habitats'!$X$3,Y151="Yes"),"Unacceptable Loss ⚠",IF(AND(P151='G-1 All Habitats'!$X$3,Y151="No"),AC151,IF(AND(P151='G-1 All Habitats'!$X$3,Y151=""),AC151,IF(AND(P151='G-1 All Habitats'!$X$3,AC151="None",AC151),IF(AND(P151='G-1 All Habitats'!$X$3,AC151&gt;0),H151-S151-T151))))))))</f>
        <v/>
      </c>
      <c r="X151" s="378" t="str">
        <f>IFERROR(IF(H151="","",IF(H151-S151-T151=0&lt;0,"Error in Areas ▲",IF(S151+T151&gt;H151,"Error in Areas ▲",IF(AND(P151='G-1 All Habitats'!$X$3,Y151="Yes"),"Alternative Compensation ✓",IF(W151=0,0,IF(P151='G-1 All Habitats'!$X$3,"Any Loss Unacceptable ▲",Q151-U151-V151)))))),"Check Data ▲")</f>
        <v/>
      </c>
      <c r="Y151" s="55"/>
      <c r="Z151" s="62"/>
      <c r="AA151" s="526"/>
      <c r="AB151" s="120"/>
      <c r="AC151" s="726" t="str">
        <f>IF(P151="","",IF(P151='G-1 All Habitats'!$X$3,H151-S151-T151,"None"))</f>
        <v/>
      </c>
      <c r="AD151" s="727" t="str">
        <f>IF(P151="","", IF(P151='G-1 All Habitats'!$X$3, AC151*J151*L151*O151,"None"))</f>
        <v/>
      </c>
      <c r="AF151" s="40" t="str">
        <f t="shared" si="10"/>
        <v/>
      </c>
      <c r="AG151" s="40" t="str">
        <f t="shared" si="11"/>
        <v/>
      </c>
      <c r="AH151" s="40" t="str">
        <f>IF(I151="","",IF(#REF!&gt;0,TRUE,FALSE))</f>
        <v/>
      </c>
      <c r="AI151" s="40">
        <v>141</v>
      </c>
      <c r="AJ151" s="40"/>
      <c r="AK151" s="40" t="str">
        <f t="array" ref="AK151">IFERROR(INDEX($AI$11:$AI$259, MATCH(0, IF(TRUE=$AF$11:$AF$259, COUNTIF($AK$10:$AK150, $AI$11:$AI$259), ""), 0)),"")</f>
        <v/>
      </c>
      <c r="AL151" s="40" t="str">
        <f t="array" ref="AL151">IFERROR(INDEX($AI$11:$AI$259, MATCH(0, IF(TRUE=$AG$11:$AG$259, COUNTIF($AL$10:$AL150, $AI$11:$AI$259), ""), 0)),"")</f>
        <v/>
      </c>
      <c r="AM151" s="40" t="str">
        <f t="array" ref="AM151">IFERROR(INDEX($AI$11:$AI$259, MATCH(0, IF(TRUE=$AH$11:$AH$259, COUNTIF($AM$10:$AM150, $AI$11:$AI$259), ""), 0)),"")</f>
        <v/>
      </c>
      <c r="AN151" s="40"/>
      <c r="AQ151" s="35">
        <f t="shared" si="12"/>
        <v>0</v>
      </c>
    </row>
    <row r="152" spans="1:43">
      <c r="A152" s="35" t="str">
        <f>IFERROR(INDEX('G-1 All Habitats'!$AG$3:$AG$17,MATCH(E152,'G-1 All Habitats'!$AF$3:$AF$17,0)),"")</f>
        <v/>
      </c>
      <c r="B152" s="35" t="str">
        <f>IFERROR(INDEX('G-8 Condition Look up'!$I$4:$I$135,MATCH(G152,'G-8 Condition Look up'!$A$4:$A$135,0)),"")</f>
        <v/>
      </c>
      <c r="D152" s="287">
        <v>142</v>
      </c>
      <c r="E152" s="267"/>
      <c r="F152" s="61"/>
      <c r="G152" s="52" t="str">
        <f>IFERROR(INDEX('G-1 All Habitats'!$B$3:$B$134,MATCH(F152,'G-1 All Habitats'!$A$3:$A$134,0)),"")</f>
        <v/>
      </c>
      <c r="H152" s="53"/>
      <c r="I152" s="362" t="str">
        <f>IF(G152="","",VLOOKUP(G152,'G-1 All Habitats'!$B$2:$M$134,10,FALSE))</f>
        <v/>
      </c>
      <c r="J152" s="363" t="str">
        <f>IFERROR(VLOOKUP(I152,'G-1 All Habitats'!$V$3:$W$7,2,FALSE),"")</f>
        <v/>
      </c>
      <c r="K152" s="54"/>
      <c r="L152" s="363" t="str">
        <f>IFERROR(INDEX('G-8 Condition Look up'!$A$3:$H$135,MATCH(G152,'G-8 Condition Look up'!$A$3:$A$135,0),MATCH(K152,'G-8 Condition Look up'!$A$3:$H$3,0)),"")</f>
        <v/>
      </c>
      <c r="M152" s="54"/>
      <c r="N152" s="382" t="str">
        <f>IF(M152="","",IF(VLOOKUP(M152,'G-3 Multipliers'!$L$3:$N$6,2,FALSE)=0,"Spatial Data Missing",VLOOKUP(M152,'G-3 Multipliers'!$L$3:$N$6,2,FALSE)))</f>
        <v/>
      </c>
      <c r="O152" s="368" t="str">
        <f>IF(M152="","",IF(VLOOKUP(M152,'G-3 Multipliers'!$L$3:$N$6,3,FALSE)=0,"Spatial Data Missing",VLOOKUP(M152,'G-3 Multipliers'!$L$3:$N$6,3,FALSE)))</f>
        <v/>
      </c>
      <c r="P152" s="369" t="str">
        <f>IFERROR(VLOOKUP(G152,'G-1 All Habitats'!$B$2:$M$134,12,FALSE),"")</f>
        <v/>
      </c>
      <c r="Q152" s="376" t="str">
        <f>IFERROR(IF(P152="","",IF(AND(P152='G-1 All Habitats'!$X$3,T152&gt;0),U152+V152,IF(AND(P152='G-1 All Habitats'!$X$3,S152&gt;0),U152+V152,IF(AND(P152='G-1 All Habitats'!$X$3,AC152&gt;0),"Any Loss Unacceptable ⚠",IF(AND(P152='G-1 All Habitats'!$X$3,W152&gt;0),"Any Loss Unacceptable ⚠",H152*J152*L152*O152))))),"Check Data ▲")</f>
        <v/>
      </c>
      <c r="R152" s="38"/>
      <c r="S152" s="54"/>
      <c r="T152" s="55"/>
      <c r="U152" s="374" t="str">
        <f t="shared" si="13"/>
        <v/>
      </c>
      <c r="V152" s="374" t="str">
        <f t="shared" si="14"/>
        <v/>
      </c>
      <c r="W152" s="374" t="str">
        <f>IF(E152="","",IF(H152&lt;S152+T152,"Error in Areas ▲",IF(P152&lt;&gt;'G-1 All Habitats'!$X$3,H152-S152-T152,IF(AND(P152='G-1 All Habitats'!$X$3,Y152="Yes"),"Unacceptable Loss ⚠",IF(AND(P152='G-1 All Habitats'!$X$3,Y152="No"),AC152,IF(AND(P152='G-1 All Habitats'!$X$3,Y152=""),AC152,IF(AND(P152='G-1 All Habitats'!$X$3,AC152="None",AC152),IF(AND(P152='G-1 All Habitats'!$X$3,AC152&gt;0),H152-S152-T152))))))))</f>
        <v/>
      </c>
      <c r="X152" s="378" t="str">
        <f>IFERROR(IF(H152="","",IF(H152-S152-T152=0&lt;0,"Error in Areas ▲",IF(S152+T152&gt;H152,"Error in Areas ▲",IF(AND(P152='G-1 All Habitats'!$X$3,Y152="Yes"),"Alternative Compensation ✓",IF(W152=0,0,IF(P152='G-1 All Habitats'!$X$3,"Any Loss Unacceptable ▲",Q152-U152-V152)))))),"Check Data ▲")</f>
        <v/>
      </c>
      <c r="Y152" s="55"/>
      <c r="Z152" s="62"/>
      <c r="AA152" s="526"/>
      <c r="AB152" s="120"/>
      <c r="AC152" s="726" t="str">
        <f>IF(P152="","",IF(P152='G-1 All Habitats'!$X$3,H152-S152-T152,"None"))</f>
        <v/>
      </c>
      <c r="AD152" s="727" t="str">
        <f>IF(P152="","", IF(P152='G-1 All Habitats'!$X$3, AC152*J152*L152*O152,"None"))</f>
        <v/>
      </c>
      <c r="AF152" s="40" t="str">
        <f t="shared" si="10"/>
        <v/>
      </c>
      <c r="AG152" s="40" t="str">
        <f t="shared" si="11"/>
        <v/>
      </c>
      <c r="AH152" s="40" t="str">
        <f>IF(I152="","",IF(#REF!&gt;0,TRUE,FALSE))</f>
        <v/>
      </c>
      <c r="AI152" s="40">
        <v>142</v>
      </c>
      <c r="AJ152" s="40"/>
      <c r="AK152" s="40" t="str">
        <f t="array" ref="AK152">IFERROR(INDEX($AI$11:$AI$259, MATCH(0, IF(TRUE=$AF$11:$AF$259, COUNTIF($AK$10:$AK151, $AI$11:$AI$259), ""), 0)),"")</f>
        <v/>
      </c>
      <c r="AL152" s="40" t="str">
        <f t="array" ref="AL152">IFERROR(INDEX($AI$11:$AI$259, MATCH(0, IF(TRUE=$AG$11:$AG$259, COUNTIF($AL$10:$AL151, $AI$11:$AI$259), ""), 0)),"")</f>
        <v/>
      </c>
      <c r="AM152" s="40" t="str">
        <f t="array" ref="AM152">IFERROR(INDEX($AI$11:$AI$259, MATCH(0, IF(TRUE=$AH$11:$AH$259, COUNTIF($AM$10:$AM151, $AI$11:$AI$259), ""), 0)),"")</f>
        <v/>
      </c>
      <c r="AN152" s="40"/>
      <c r="AQ152" s="35">
        <f t="shared" si="12"/>
        <v>0</v>
      </c>
    </row>
    <row r="153" spans="1:43">
      <c r="A153" s="35" t="str">
        <f>IFERROR(INDEX('G-1 All Habitats'!$AG$3:$AG$17,MATCH(E153,'G-1 All Habitats'!$AF$3:$AF$17,0)),"")</f>
        <v/>
      </c>
      <c r="B153" s="35" t="str">
        <f>IFERROR(INDEX('G-8 Condition Look up'!$I$4:$I$135,MATCH(G153,'G-8 Condition Look up'!$A$4:$A$135,0)),"")</f>
        <v/>
      </c>
      <c r="D153" s="287">
        <v>143</v>
      </c>
      <c r="E153" s="267"/>
      <c r="F153" s="61"/>
      <c r="G153" s="52" t="str">
        <f>IFERROR(INDEX('G-1 All Habitats'!$B$3:$B$134,MATCH(F153,'G-1 All Habitats'!$A$3:$A$134,0)),"")</f>
        <v/>
      </c>
      <c r="H153" s="53"/>
      <c r="I153" s="362" t="str">
        <f>IF(G153="","",VLOOKUP(G153,'G-1 All Habitats'!$B$2:$M$134,10,FALSE))</f>
        <v/>
      </c>
      <c r="J153" s="363" t="str">
        <f>IFERROR(VLOOKUP(I153,'G-1 All Habitats'!$V$3:$W$7,2,FALSE),"")</f>
        <v/>
      </c>
      <c r="K153" s="54"/>
      <c r="L153" s="363" t="str">
        <f>IFERROR(INDEX('G-8 Condition Look up'!$A$3:$H$135,MATCH(G153,'G-8 Condition Look up'!$A$3:$A$135,0),MATCH(K153,'G-8 Condition Look up'!$A$3:$H$3,0)),"")</f>
        <v/>
      </c>
      <c r="M153" s="54"/>
      <c r="N153" s="382" t="str">
        <f>IF(M153="","",IF(VLOOKUP(M153,'G-3 Multipliers'!$L$3:$N$6,2,FALSE)=0,"Spatial Data Missing",VLOOKUP(M153,'G-3 Multipliers'!$L$3:$N$6,2,FALSE)))</f>
        <v/>
      </c>
      <c r="O153" s="368" t="str">
        <f>IF(M153="","",IF(VLOOKUP(M153,'G-3 Multipliers'!$L$3:$N$6,3,FALSE)=0,"Spatial Data Missing",VLOOKUP(M153,'G-3 Multipliers'!$L$3:$N$6,3,FALSE)))</f>
        <v/>
      </c>
      <c r="P153" s="369" t="str">
        <f>IFERROR(VLOOKUP(G153,'G-1 All Habitats'!$B$2:$M$134,12,FALSE),"")</f>
        <v/>
      </c>
      <c r="Q153" s="376" t="str">
        <f>IFERROR(IF(P153="","",IF(AND(P153='G-1 All Habitats'!$X$3,T153&gt;0),U153+V153,IF(AND(P153='G-1 All Habitats'!$X$3,S153&gt;0),U153+V153,IF(AND(P153='G-1 All Habitats'!$X$3,AC153&gt;0),"Any Loss Unacceptable ⚠",IF(AND(P153='G-1 All Habitats'!$X$3,W153&gt;0),"Any Loss Unacceptable ⚠",H153*J153*L153*O153))))),"Check Data ▲")</f>
        <v/>
      </c>
      <c r="R153" s="38"/>
      <c r="S153" s="54"/>
      <c r="T153" s="55"/>
      <c r="U153" s="374" t="str">
        <f t="shared" si="13"/>
        <v/>
      </c>
      <c r="V153" s="374" t="str">
        <f t="shared" si="14"/>
        <v/>
      </c>
      <c r="W153" s="374" t="str">
        <f>IF(E153="","",IF(H153&lt;S153+T153,"Error in Areas ▲",IF(P153&lt;&gt;'G-1 All Habitats'!$X$3,H153-S153-T153,IF(AND(P153='G-1 All Habitats'!$X$3,Y153="Yes"),"Unacceptable Loss ⚠",IF(AND(P153='G-1 All Habitats'!$X$3,Y153="No"),AC153,IF(AND(P153='G-1 All Habitats'!$X$3,Y153=""),AC153,IF(AND(P153='G-1 All Habitats'!$X$3,AC153="None",AC153),IF(AND(P153='G-1 All Habitats'!$X$3,AC153&gt;0),H153-S153-T153))))))))</f>
        <v/>
      </c>
      <c r="X153" s="378" t="str">
        <f>IFERROR(IF(H153="","",IF(H153-S153-T153=0&lt;0,"Error in Areas ▲",IF(S153+T153&gt;H153,"Error in Areas ▲",IF(AND(P153='G-1 All Habitats'!$X$3,Y153="Yes"),"Alternative Compensation ✓",IF(W153=0,0,IF(P153='G-1 All Habitats'!$X$3,"Any Loss Unacceptable ▲",Q153-U153-V153)))))),"Check Data ▲")</f>
        <v/>
      </c>
      <c r="Y153" s="55"/>
      <c r="Z153" s="62"/>
      <c r="AA153" s="526"/>
      <c r="AB153" s="120"/>
      <c r="AC153" s="726" t="str">
        <f>IF(P153="","",IF(P153='G-1 All Habitats'!$X$3,H153-S153-T153,"None"))</f>
        <v/>
      </c>
      <c r="AD153" s="727" t="str">
        <f>IF(P153="","", IF(P153='G-1 All Habitats'!$X$3, AC153*J153*L153*O153,"None"))</f>
        <v/>
      </c>
      <c r="AF153" s="40" t="str">
        <f t="shared" si="10"/>
        <v/>
      </c>
      <c r="AG153" s="40" t="str">
        <f t="shared" si="11"/>
        <v/>
      </c>
      <c r="AH153" s="40" t="str">
        <f>IF(I153="","",IF(#REF!&gt;0,TRUE,FALSE))</f>
        <v/>
      </c>
      <c r="AI153" s="40">
        <v>143</v>
      </c>
      <c r="AJ153" s="40"/>
      <c r="AK153" s="40" t="str">
        <f t="array" ref="AK153">IFERROR(INDEX($AI$11:$AI$259, MATCH(0, IF(TRUE=$AF$11:$AF$259, COUNTIF($AK$10:$AK152, $AI$11:$AI$259), ""), 0)),"")</f>
        <v/>
      </c>
      <c r="AL153" s="40" t="str">
        <f t="array" ref="AL153">IFERROR(INDEX($AI$11:$AI$259, MATCH(0, IF(TRUE=$AG$11:$AG$259, COUNTIF($AL$10:$AL152, $AI$11:$AI$259), ""), 0)),"")</f>
        <v/>
      </c>
      <c r="AM153" s="40" t="str">
        <f t="array" ref="AM153">IFERROR(INDEX($AI$11:$AI$259, MATCH(0, IF(TRUE=$AH$11:$AH$259, COUNTIF($AM$10:$AM152, $AI$11:$AI$259), ""), 0)),"")</f>
        <v/>
      </c>
      <c r="AN153" s="40"/>
      <c r="AQ153" s="35">
        <f t="shared" si="12"/>
        <v>0</v>
      </c>
    </row>
    <row r="154" spans="1:43">
      <c r="A154" s="35" t="str">
        <f>IFERROR(INDEX('G-1 All Habitats'!$AG$3:$AG$17,MATCH(E154,'G-1 All Habitats'!$AF$3:$AF$17,0)),"")</f>
        <v/>
      </c>
      <c r="B154" s="35" t="str">
        <f>IFERROR(INDEX('G-8 Condition Look up'!$I$4:$I$135,MATCH(G154,'G-8 Condition Look up'!$A$4:$A$135,0)),"")</f>
        <v/>
      </c>
      <c r="D154" s="287">
        <v>144</v>
      </c>
      <c r="E154" s="267"/>
      <c r="F154" s="61"/>
      <c r="G154" s="52" t="str">
        <f>IFERROR(INDEX('G-1 All Habitats'!$B$3:$B$134,MATCH(F154,'G-1 All Habitats'!$A$3:$A$134,0)),"")</f>
        <v/>
      </c>
      <c r="H154" s="53"/>
      <c r="I154" s="362" t="str">
        <f>IF(G154="","",VLOOKUP(G154,'G-1 All Habitats'!$B$2:$M$134,10,FALSE))</f>
        <v/>
      </c>
      <c r="J154" s="363" t="str">
        <f>IFERROR(VLOOKUP(I154,'G-1 All Habitats'!$V$3:$W$7,2,FALSE),"")</f>
        <v/>
      </c>
      <c r="K154" s="54"/>
      <c r="L154" s="363" t="str">
        <f>IFERROR(INDEX('G-8 Condition Look up'!$A$3:$H$135,MATCH(G154,'G-8 Condition Look up'!$A$3:$A$135,0),MATCH(K154,'G-8 Condition Look up'!$A$3:$H$3,0)),"")</f>
        <v/>
      </c>
      <c r="M154" s="54"/>
      <c r="N154" s="382" t="str">
        <f>IF(M154="","",IF(VLOOKUP(M154,'G-3 Multipliers'!$L$3:$N$6,2,FALSE)=0,"Spatial Data Missing",VLOOKUP(M154,'G-3 Multipliers'!$L$3:$N$6,2,FALSE)))</f>
        <v/>
      </c>
      <c r="O154" s="368" t="str">
        <f>IF(M154="","",IF(VLOOKUP(M154,'G-3 Multipliers'!$L$3:$N$6,3,FALSE)=0,"Spatial Data Missing",VLOOKUP(M154,'G-3 Multipliers'!$L$3:$N$6,3,FALSE)))</f>
        <v/>
      </c>
      <c r="P154" s="369" t="str">
        <f>IFERROR(VLOOKUP(G154,'G-1 All Habitats'!$B$2:$M$134,12,FALSE),"")</f>
        <v/>
      </c>
      <c r="Q154" s="376" t="str">
        <f>IFERROR(IF(P154="","",IF(AND(P154='G-1 All Habitats'!$X$3,T154&gt;0),U154+V154,IF(AND(P154='G-1 All Habitats'!$X$3,S154&gt;0),U154+V154,IF(AND(P154='G-1 All Habitats'!$X$3,AC154&gt;0),"Any Loss Unacceptable ⚠",IF(AND(P154='G-1 All Habitats'!$X$3,W154&gt;0),"Any Loss Unacceptable ⚠",H154*J154*L154*O154))))),"Check Data ▲")</f>
        <v/>
      </c>
      <c r="R154" s="38"/>
      <c r="S154" s="54"/>
      <c r="T154" s="55"/>
      <c r="U154" s="374" t="str">
        <f t="shared" si="13"/>
        <v/>
      </c>
      <c r="V154" s="374" t="str">
        <f t="shared" si="14"/>
        <v/>
      </c>
      <c r="W154" s="374" t="str">
        <f>IF(E154="","",IF(H154&lt;S154+T154,"Error in Areas ▲",IF(P154&lt;&gt;'G-1 All Habitats'!$X$3,H154-S154-T154,IF(AND(P154='G-1 All Habitats'!$X$3,Y154="Yes"),"Unacceptable Loss ⚠",IF(AND(P154='G-1 All Habitats'!$X$3,Y154="No"),AC154,IF(AND(P154='G-1 All Habitats'!$X$3,Y154=""),AC154,IF(AND(P154='G-1 All Habitats'!$X$3,AC154="None",AC154),IF(AND(P154='G-1 All Habitats'!$X$3,AC154&gt;0),H154-S154-T154))))))))</f>
        <v/>
      </c>
      <c r="X154" s="378" t="str">
        <f>IFERROR(IF(H154="","",IF(H154-S154-T154=0&lt;0,"Error in Areas ▲",IF(S154+T154&gt;H154,"Error in Areas ▲",IF(AND(P154='G-1 All Habitats'!$X$3,Y154="Yes"),"Alternative Compensation ✓",IF(W154=0,0,IF(P154='G-1 All Habitats'!$X$3,"Any Loss Unacceptable ▲",Q154-U154-V154)))))),"Check Data ▲")</f>
        <v/>
      </c>
      <c r="Y154" s="55"/>
      <c r="Z154" s="62"/>
      <c r="AA154" s="526"/>
      <c r="AB154" s="120"/>
      <c r="AC154" s="726" t="str">
        <f>IF(P154="","",IF(P154='G-1 All Habitats'!$X$3,H154-S154-T154,"None"))</f>
        <v/>
      </c>
      <c r="AD154" s="727" t="str">
        <f>IF(P154="","", IF(P154='G-1 All Habitats'!$X$3, AC154*J154*L154*O154,"None"))</f>
        <v/>
      </c>
      <c r="AF154" s="40" t="str">
        <f t="shared" si="10"/>
        <v/>
      </c>
      <c r="AG154" s="40" t="str">
        <f t="shared" si="11"/>
        <v/>
      </c>
      <c r="AH154" s="40" t="str">
        <f>IF(I154="","",IF(#REF!&gt;0,TRUE,FALSE))</f>
        <v/>
      </c>
      <c r="AI154" s="40">
        <v>144</v>
      </c>
      <c r="AJ154" s="40"/>
      <c r="AK154" s="40" t="str">
        <f t="array" ref="AK154">IFERROR(INDEX($AI$11:$AI$259, MATCH(0, IF(TRUE=$AF$11:$AF$259, COUNTIF($AK$10:$AK153, $AI$11:$AI$259), ""), 0)),"")</f>
        <v/>
      </c>
      <c r="AL154" s="40" t="str">
        <f t="array" ref="AL154">IFERROR(INDEX($AI$11:$AI$259, MATCH(0, IF(TRUE=$AG$11:$AG$259, COUNTIF($AL$10:$AL153, $AI$11:$AI$259), ""), 0)),"")</f>
        <v/>
      </c>
      <c r="AM154" s="40" t="str">
        <f t="array" ref="AM154">IFERROR(INDEX($AI$11:$AI$259, MATCH(0, IF(TRUE=$AH$11:$AH$259, COUNTIF($AM$10:$AM153, $AI$11:$AI$259), ""), 0)),"")</f>
        <v/>
      </c>
      <c r="AN154" s="40"/>
      <c r="AQ154" s="35">
        <f t="shared" si="12"/>
        <v>0</v>
      </c>
    </row>
    <row r="155" spans="1:43">
      <c r="A155" s="35" t="str">
        <f>IFERROR(INDEX('G-1 All Habitats'!$AG$3:$AG$17,MATCH(E155,'G-1 All Habitats'!$AF$3:$AF$17,0)),"")</f>
        <v/>
      </c>
      <c r="B155" s="35" t="str">
        <f>IFERROR(INDEX('G-8 Condition Look up'!$I$4:$I$135,MATCH(G155,'G-8 Condition Look up'!$A$4:$A$135,0)),"")</f>
        <v/>
      </c>
      <c r="D155" s="287">
        <v>145</v>
      </c>
      <c r="E155" s="267"/>
      <c r="F155" s="61"/>
      <c r="G155" s="52" t="str">
        <f>IFERROR(INDEX('G-1 All Habitats'!$B$3:$B$134,MATCH(F155,'G-1 All Habitats'!$A$3:$A$134,0)),"")</f>
        <v/>
      </c>
      <c r="H155" s="53"/>
      <c r="I155" s="362" t="str">
        <f>IF(G155="","",VLOOKUP(G155,'G-1 All Habitats'!$B$2:$M$134,10,FALSE))</f>
        <v/>
      </c>
      <c r="J155" s="363" t="str">
        <f>IFERROR(VLOOKUP(I155,'G-1 All Habitats'!$V$3:$W$7,2,FALSE),"")</f>
        <v/>
      </c>
      <c r="K155" s="54"/>
      <c r="L155" s="363" t="str">
        <f>IFERROR(INDEX('G-8 Condition Look up'!$A$3:$H$135,MATCH(G155,'G-8 Condition Look up'!$A$3:$A$135,0),MATCH(K155,'G-8 Condition Look up'!$A$3:$H$3,0)),"")</f>
        <v/>
      </c>
      <c r="M155" s="54"/>
      <c r="N155" s="382" t="str">
        <f>IF(M155="","",IF(VLOOKUP(M155,'G-3 Multipliers'!$L$3:$N$6,2,FALSE)=0,"Spatial Data Missing",VLOOKUP(M155,'G-3 Multipliers'!$L$3:$N$6,2,FALSE)))</f>
        <v/>
      </c>
      <c r="O155" s="368" t="str">
        <f>IF(M155="","",IF(VLOOKUP(M155,'G-3 Multipliers'!$L$3:$N$6,3,FALSE)=0,"Spatial Data Missing",VLOOKUP(M155,'G-3 Multipliers'!$L$3:$N$6,3,FALSE)))</f>
        <v/>
      </c>
      <c r="P155" s="369" t="str">
        <f>IFERROR(VLOOKUP(G155,'G-1 All Habitats'!$B$2:$M$134,12,FALSE),"")</f>
        <v/>
      </c>
      <c r="Q155" s="376" t="str">
        <f>IFERROR(IF(P155="","",IF(AND(P155='G-1 All Habitats'!$X$3,T155&gt;0),U155+V155,IF(AND(P155='G-1 All Habitats'!$X$3,S155&gt;0),U155+V155,IF(AND(P155='G-1 All Habitats'!$X$3,AC155&gt;0),"Any Loss Unacceptable ⚠",IF(AND(P155='G-1 All Habitats'!$X$3,W155&gt;0),"Any Loss Unacceptable ⚠",H155*J155*L155*O155))))),"Check Data ▲")</f>
        <v/>
      </c>
      <c r="R155" s="38"/>
      <c r="S155" s="54"/>
      <c r="T155" s="55"/>
      <c r="U155" s="374" t="str">
        <f t="shared" si="13"/>
        <v/>
      </c>
      <c r="V155" s="374" t="str">
        <f t="shared" si="14"/>
        <v/>
      </c>
      <c r="W155" s="374" t="str">
        <f>IF(E155="","",IF(H155&lt;S155+T155,"Error in Areas ▲",IF(P155&lt;&gt;'G-1 All Habitats'!$X$3,H155-S155-T155,IF(AND(P155='G-1 All Habitats'!$X$3,Y155="Yes"),"Unacceptable Loss ⚠",IF(AND(P155='G-1 All Habitats'!$X$3,Y155="No"),AC155,IF(AND(P155='G-1 All Habitats'!$X$3,Y155=""),AC155,IF(AND(P155='G-1 All Habitats'!$X$3,AC155="None",AC155),IF(AND(P155='G-1 All Habitats'!$X$3,AC155&gt;0),H155-S155-T155))))))))</f>
        <v/>
      </c>
      <c r="X155" s="378" t="str">
        <f>IFERROR(IF(H155="","",IF(H155-S155-T155=0&lt;0,"Error in Areas ▲",IF(S155+T155&gt;H155,"Error in Areas ▲",IF(AND(P155='G-1 All Habitats'!$X$3,Y155="Yes"),"Alternative Compensation ✓",IF(W155=0,0,IF(P155='G-1 All Habitats'!$X$3,"Any Loss Unacceptable ▲",Q155-U155-V155)))))),"Check Data ▲")</f>
        <v/>
      </c>
      <c r="Y155" s="55"/>
      <c r="Z155" s="62"/>
      <c r="AA155" s="526"/>
      <c r="AB155" s="120"/>
      <c r="AC155" s="726" t="str">
        <f>IF(P155="","",IF(P155='G-1 All Habitats'!$X$3,H155-S155-T155,"None"))</f>
        <v/>
      </c>
      <c r="AD155" s="727" t="str">
        <f>IF(P155="","", IF(P155='G-1 All Habitats'!$X$3, AC155*J155*L155*O155,"None"))</f>
        <v/>
      </c>
      <c r="AF155" s="40" t="str">
        <f t="shared" si="10"/>
        <v/>
      </c>
      <c r="AG155" s="40" t="str">
        <f t="shared" si="11"/>
        <v/>
      </c>
      <c r="AH155" s="40" t="str">
        <f>IF(I155="","",IF(#REF!&gt;0,TRUE,FALSE))</f>
        <v/>
      </c>
      <c r="AI155" s="40">
        <v>145</v>
      </c>
      <c r="AJ155" s="40"/>
      <c r="AK155" s="40" t="str">
        <f t="array" ref="AK155">IFERROR(INDEX($AI$11:$AI$259, MATCH(0, IF(TRUE=$AF$11:$AF$259, COUNTIF($AK$10:$AK154, $AI$11:$AI$259), ""), 0)),"")</f>
        <v/>
      </c>
      <c r="AL155" s="40" t="str">
        <f t="array" ref="AL155">IFERROR(INDEX($AI$11:$AI$259, MATCH(0, IF(TRUE=$AG$11:$AG$259, COUNTIF($AL$10:$AL154, $AI$11:$AI$259), ""), 0)),"")</f>
        <v/>
      </c>
      <c r="AM155" s="40" t="str">
        <f t="array" ref="AM155">IFERROR(INDEX($AI$11:$AI$259, MATCH(0, IF(TRUE=$AH$11:$AH$259, COUNTIF($AM$10:$AM154, $AI$11:$AI$259), ""), 0)),"")</f>
        <v/>
      </c>
      <c r="AN155" s="40"/>
      <c r="AQ155" s="35">
        <f t="shared" si="12"/>
        <v>0</v>
      </c>
    </row>
    <row r="156" spans="1:43">
      <c r="A156" s="35" t="str">
        <f>IFERROR(INDEX('G-1 All Habitats'!$AG$3:$AG$17,MATCH(E156,'G-1 All Habitats'!$AF$3:$AF$17,0)),"")</f>
        <v/>
      </c>
      <c r="B156" s="35" t="str">
        <f>IFERROR(INDEX('G-8 Condition Look up'!$I$4:$I$135,MATCH(G156,'G-8 Condition Look up'!$A$4:$A$135,0)),"")</f>
        <v/>
      </c>
      <c r="D156" s="287">
        <v>146</v>
      </c>
      <c r="E156" s="267"/>
      <c r="F156" s="61"/>
      <c r="G156" s="52" t="str">
        <f>IFERROR(INDEX('G-1 All Habitats'!$B$3:$B$134,MATCH(F156,'G-1 All Habitats'!$A$3:$A$134,0)),"")</f>
        <v/>
      </c>
      <c r="H156" s="53"/>
      <c r="I156" s="362" t="str">
        <f>IF(G156="","",VLOOKUP(G156,'G-1 All Habitats'!$B$2:$M$134,10,FALSE))</f>
        <v/>
      </c>
      <c r="J156" s="363" t="str">
        <f>IFERROR(VLOOKUP(I156,'G-1 All Habitats'!$V$3:$W$7,2,FALSE),"")</f>
        <v/>
      </c>
      <c r="K156" s="54"/>
      <c r="L156" s="363" t="str">
        <f>IFERROR(INDEX('G-8 Condition Look up'!$A$3:$H$135,MATCH(G156,'G-8 Condition Look up'!$A$3:$A$135,0),MATCH(K156,'G-8 Condition Look up'!$A$3:$H$3,0)),"")</f>
        <v/>
      </c>
      <c r="M156" s="54"/>
      <c r="N156" s="382" t="str">
        <f>IF(M156="","",IF(VLOOKUP(M156,'G-3 Multipliers'!$L$3:$N$6,2,FALSE)=0,"Spatial Data Missing",VLOOKUP(M156,'G-3 Multipliers'!$L$3:$N$6,2,FALSE)))</f>
        <v/>
      </c>
      <c r="O156" s="368" t="str">
        <f>IF(M156="","",IF(VLOOKUP(M156,'G-3 Multipliers'!$L$3:$N$6,3,FALSE)=0,"Spatial Data Missing",VLOOKUP(M156,'G-3 Multipliers'!$L$3:$N$6,3,FALSE)))</f>
        <v/>
      </c>
      <c r="P156" s="369" t="str">
        <f>IFERROR(VLOOKUP(G156,'G-1 All Habitats'!$B$2:$M$134,12,FALSE),"")</f>
        <v/>
      </c>
      <c r="Q156" s="376" t="str">
        <f>IFERROR(IF(P156="","",IF(AND(P156='G-1 All Habitats'!$X$3,T156&gt;0),U156+V156,IF(AND(P156='G-1 All Habitats'!$X$3,S156&gt;0),U156+V156,IF(AND(P156='G-1 All Habitats'!$X$3,AC156&gt;0),"Any Loss Unacceptable ⚠",IF(AND(P156='G-1 All Habitats'!$X$3,W156&gt;0),"Any Loss Unacceptable ⚠",H156*J156*L156*O156))))),"Check Data ▲")</f>
        <v/>
      </c>
      <c r="R156" s="38"/>
      <c r="S156" s="54"/>
      <c r="T156" s="55"/>
      <c r="U156" s="374" t="str">
        <f t="shared" si="13"/>
        <v/>
      </c>
      <c r="V156" s="374" t="str">
        <f t="shared" si="14"/>
        <v/>
      </c>
      <c r="W156" s="374" t="str">
        <f>IF(E156="","",IF(H156&lt;S156+T156,"Error in Areas ▲",IF(P156&lt;&gt;'G-1 All Habitats'!$X$3,H156-S156-T156,IF(AND(P156='G-1 All Habitats'!$X$3,Y156="Yes"),"Unacceptable Loss ⚠",IF(AND(P156='G-1 All Habitats'!$X$3,Y156="No"),AC156,IF(AND(P156='G-1 All Habitats'!$X$3,Y156=""),AC156,IF(AND(P156='G-1 All Habitats'!$X$3,AC156="None",AC156),IF(AND(P156='G-1 All Habitats'!$X$3,AC156&gt;0),H156-S156-T156))))))))</f>
        <v/>
      </c>
      <c r="X156" s="378" t="str">
        <f>IFERROR(IF(H156="","",IF(H156-S156-T156=0&lt;0,"Error in Areas ▲",IF(S156+T156&gt;H156,"Error in Areas ▲",IF(AND(P156='G-1 All Habitats'!$X$3,Y156="Yes"),"Alternative Compensation ✓",IF(W156=0,0,IF(P156='G-1 All Habitats'!$X$3,"Any Loss Unacceptable ▲",Q156-U156-V156)))))),"Check Data ▲")</f>
        <v/>
      </c>
      <c r="Y156" s="55"/>
      <c r="Z156" s="62"/>
      <c r="AA156" s="526"/>
      <c r="AB156" s="120"/>
      <c r="AC156" s="726" t="str">
        <f>IF(P156="","",IF(P156='G-1 All Habitats'!$X$3,H156-S156-T156,"None"))</f>
        <v/>
      </c>
      <c r="AD156" s="727" t="str">
        <f>IF(P156="","", IF(P156='G-1 All Habitats'!$X$3, AC156*J156*L156*O156,"None"))</f>
        <v/>
      </c>
      <c r="AF156" s="40" t="str">
        <f t="shared" si="10"/>
        <v/>
      </c>
      <c r="AG156" s="40" t="str">
        <f t="shared" si="11"/>
        <v/>
      </c>
      <c r="AH156" s="40" t="str">
        <f>IF(I156="","",IF(#REF!&gt;0,TRUE,FALSE))</f>
        <v/>
      </c>
      <c r="AI156" s="40">
        <v>146</v>
      </c>
      <c r="AJ156" s="40"/>
      <c r="AK156" s="40" t="str">
        <f t="array" ref="AK156">IFERROR(INDEX($AI$11:$AI$259, MATCH(0, IF(TRUE=$AF$11:$AF$259, COUNTIF($AK$10:$AK155, $AI$11:$AI$259), ""), 0)),"")</f>
        <v/>
      </c>
      <c r="AL156" s="40" t="str">
        <f t="array" ref="AL156">IFERROR(INDEX($AI$11:$AI$259, MATCH(0, IF(TRUE=$AG$11:$AG$259, COUNTIF($AL$10:$AL155, $AI$11:$AI$259), ""), 0)),"")</f>
        <v/>
      </c>
      <c r="AM156" s="40" t="str">
        <f t="array" ref="AM156">IFERROR(INDEX($AI$11:$AI$259, MATCH(0, IF(TRUE=$AH$11:$AH$259, COUNTIF($AM$10:$AM155, $AI$11:$AI$259), ""), 0)),"")</f>
        <v/>
      </c>
      <c r="AN156" s="40"/>
      <c r="AQ156" s="35">
        <f t="shared" si="12"/>
        <v>0</v>
      </c>
    </row>
    <row r="157" spans="1:43">
      <c r="A157" s="35" t="str">
        <f>IFERROR(INDEX('G-1 All Habitats'!$AG$3:$AG$17,MATCH(E157,'G-1 All Habitats'!$AF$3:$AF$17,0)),"")</f>
        <v/>
      </c>
      <c r="B157" s="35" t="str">
        <f>IFERROR(INDEX('G-8 Condition Look up'!$I$4:$I$135,MATCH(G157,'G-8 Condition Look up'!$A$4:$A$135,0)),"")</f>
        <v/>
      </c>
      <c r="D157" s="287">
        <v>147</v>
      </c>
      <c r="E157" s="267"/>
      <c r="F157" s="61"/>
      <c r="G157" s="52" t="str">
        <f>IFERROR(INDEX('G-1 All Habitats'!$B$3:$B$134,MATCH(F157,'G-1 All Habitats'!$A$3:$A$134,0)),"")</f>
        <v/>
      </c>
      <c r="H157" s="53"/>
      <c r="I157" s="362" t="str">
        <f>IF(G157="","",VLOOKUP(G157,'G-1 All Habitats'!$B$2:$M$134,10,FALSE))</f>
        <v/>
      </c>
      <c r="J157" s="363" t="str">
        <f>IFERROR(VLOOKUP(I157,'G-1 All Habitats'!$V$3:$W$7,2,FALSE),"")</f>
        <v/>
      </c>
      <c r="K157" s="54"/>
      <c r="L157" s="363" t="str">
        <f>IFERROR(INDEX('G-8 Condition Look up'!$A$3:$H$135,MATCH(G157,'G-8 Condition Look up'!$A$3:$A$135,0),MATCH(K157,'G-8 Condition Look up'!$A$3:$H$3,0)),"")</f>
        <v/>
      </c>
      <c r="M157" s="54"/>
      <c r="N157" s="382" t="str">
        <f>IF(M157="","",IF(VLOOKUP(M157,'G-3 Multipliers'!$L$3:$N$6,2,FALSE)=0,"Spatial Data Missing",VLOOKUP(M157,'G-3 Multipliers'!$L$3:$N$6,2,FALSE)))</f>
        <v/>
      </c>
      <c r="O157" s="368" t="str">
        <f>IF(M157="","",IF(VLOOKUP(M157,'G-3 Multipliers'!$L$3:$N$6,3,FALSE)=0,"Spatial Data Missing",VLOOKUP(M157,'G-3 Multipliers'!$L$3:$N$6,3,FALSE)))</f>
        <v/>
      </c>
      <c r="P157" s="369" t="str">
        <f>IFERROR(VLOOKUP(G157,'G-1 All Habitats'!$B$2:$M$134,12,FALSE),"")</f>
        <v/>
      </c>
      <c r="Q157" s="376" t="str">
        <f>IFERROR(IF(P157="","",IF(AND(P157='G-1 All Habitats'!$X$3,T157&gt;0),U157+V157,IF(AND(P157='G-1 All Habitats'!$X$3,S157&gt;0),U157+V157,IF(AND(P157='G-1 All Habitats'!$X$3,AC157&gt;0),"Any Loss Unacceptable ⚠",IF(AND(P157='G-1 All Habitats'!$X$3,W157&gt;0),"Any Loss Unacceptable ⚠",H157*J157*L157*O157))))),"Check Data ▲")</f>
        <v/>
      </c>
      <c r="R157" s="38"/>
      <c r="S157" s="54"/>
      <c r="T157" s="55"/>
      <c r="U157" s="374" t="str">
        <f t="shared" si="13"/>
        <v/>
      </c>
      <c r="V157" s="374" t="str">
        <f t="shared" si="14"/>
        <v/>
      </c>
      <c r="W157" s="374" t="str">
        <f>IF(E157="","",IF(H157&lt;S157+T157,"Error in Areas ▲",IF(P157&lt;&gt;'G-1 All Habitats'!$X$3,H157-S157-T157,IF(AND(P157='G-1 All Habitats'!$X$3,Y157="Yes"),"Unacceptable Loss ⚠",IF(AND(P157='G-1 All Habitats'!$X$3,Y157="No"),AC157,IF(AND(P157='G-1 All Habitats'!$X$3,Y157=""),AC157,IF(AND(P157='G-1 All Habitats'!$X$3,AC157="None",AC157),IF(AND(P157='G-1 All Habitats'!$X$3,AC157&gt;0),H157-S157-T157))))))))</f>
        <v/>
      </c>
      <c r="X157" s="378" t="str">
        <f>IFERROR(IF(H157="","",IF(H157-S157-T157=0&lt;0,"Error in Areas ▲",IF(S157+T157&gt;H157,"Error in Areas ▲",IF(AND(P157='G-1 All Habitats'!$X$3,Y157="Yes"),"Alternative Compensation ✓",IF(W157=0,0,IF(P157='G-1 All Habitats'!$X$3,"Any Loss Unacceptable ▲",Q157-U157-V157)))))),"Check Data ▲")</f>
        <v/>
      </c>
      <c r="Y157" s="55"/>
      <c r="Z157" s="62"/>
      <c r="AA157" s="526"/>
      <c r="AB157" s="120"/>
      <c r="AC157" s="726" t="str">
        <f>IF(P157="","",IF(P157='G-1 All Habitats'!$X$3,H157-S157-T157,"None"))</f>
        <v/>
      </c>
      <c r="AD157" s="727" t="str">
        <f>IF(P157="","", IF(P157='G-1 All Habitats'!$X$3, AC157*J157*L157*O157,"None"))</f>
        <v/>
      </c>
      <c r="AF157" s="40" t="str">
        <f t="shared" si="10"/>
        <v/>
      </c>
      <c r="AG157" s="40" t="str">
        <f t="shared" si="11"/>
        <v/>
      </c>
      <c r="AH157" s="40" t="str">
        <f>IF(I157="","",IF(#REF!&gt;0,TRUE,FALSE))</f>
        <v/>
      </c>
      <c r="AI157" s="40">
        <v>147</v>
      </c>
      <c r="AJ157" s="40"/>
      <c r="AK157" s="40" t="str">
        <f t="array" ref="AK157">IFERROR(INDEX($AI$11:$AI$259, MATCH(0, IF(TRUE=$AF$11:$AF$259, COUNTIF($AK$10:$AK156, $AI$11:$AI$259), ""), 0)),"")</f>
        <v/>
      </c>
      <c r="AL157" s="40" t="str">
        <f t="array" ref="AL157">IFERROR(INDEX($AI$11:$AI$259, MATCH(0, IF(TRUE=$AG$11:$AG$259, COUNTIF($AL$10:$AL156, $AI$11:$AI$259), ""), 0)),"")</f>
        <v/>
      </c>
      <c r="AM157" s="40" t="str">
        <f t="array" ref="AM157">IFERROR(INDEX($AI$11:$AI$259, MATCH(0, IF(TRUE=$AH$11:$AH$259, COUNTIF($AM$10:$AM156, $AI$11:$AI$259), ""), 0)),"")</f>
        <v/>
      </c>
      <c r="AN157" s="40"/>
      <c r="AQ157" s="35">
        <f t="shared" si="12"/>
        <v>0</v>
      </c>
    </row>
    <row r="158" spans="1:43">
      <c r="A158" s="35" t="str">
        <f>IFERROR(INDEX('G-1 All Habitats'!$AG$3:$AG$17,MATCH(E158,'G-1 All Habitats'!$AF$3:$AF$17,0)),"")</f>
        <v/>
      </c>
      <c r="B158" s="35" t="str">
        <f>IFERROR(INDEX('G-8 Condition Look up'!$I$4:$I$135,MATCH(G158,'G-8 Condition Look up'!$A$4:$A$135,0)),"")</f>
        <v/>
      </c>
      <c r="D158" s="287">
        <v>148</v>
      </c>
      <c r="E158" s="267"/>
      <c r="F158" s="61"/>
      <c r="G158" s="52" t="str">
        <f>IFERROR(INDEX('G-1 All Habitats'!$B$3:$B$134,MATCH(F158,'G-1 All Habitats'!$A$3:$A$134,0)),"")</f>
        <v/>
      </c>
      <c r="H158" s="53"/>
      <c r="I158" s="362" t="str">
        <f>IF(G158="","",VLOOKUP(G158,'G-1 All Habitats'!$B$2:$M$134,10,FALSE))</f>
        <v/>
      </c>
      <c r="J158" s="363" t="str">
        <f>IFERROR(VLOOKUP(I158,'G-1 All Habitats'!$V$3:$W$7,2,FALSE),"")</f>
        <v/>
      </c>
      <c r="K158" s="54"/>
      <c r="L158" s="363" t="str">
        <f>IFERROR(INDEX('G-8 Condition Look up'!$A$3:$H$135,MATCH(G158,'G-8 Condition Look up'!$A$3:$A$135,0),MATCH(K158,'G-8 Condition Look up'!$A$3:$H$3,0)),"")</f>
        <v/>
      </c>
      <c r="M158" s="54"/>
      <c r="N158" s="382" t="str">
        <f>IF(M158="","",IF(VLOOKUP(M158,'G-3 Multipliers'!$L$3:$N$6,2,FALSE)=0,"Spatial Data Missing",VLOOKUP(M158,'G-3 Multipliers'!$L$3:$N$6,2,FALSE)))</f>
        <v/>
      </c>
      <c r="O158" s="368" t="str">
        <f>IF(M158="","",IF(VLOOKUP(M158,'G-3 Multipliers'!$L$3:$N$6,3,FALSE)=0,"Spatial Data Missing",VLOOKUP(M158,'G-3 Multipliers'!$L$3:$N$6,3,FALSE)))</f>
        <v/>
      </c>
      <c r="P158" s="369" t="str">
        <f>IFERROR(VLOOKUP(G158,'G-1 All Habitats'!$B$2:$M$134,12,FALSE),"")</f>
        <v/>
      </c>
      <c r="Q158" s="376" t="str">
        <f>IFERROR(IF(P158="","",IF(AND(P158='G-1 All Habitats'!$X$3,T158&gt;0),U158+V158,IF(AND(P158='G-1 All Habitats'!$X$3,S158&gt;0),U158+V158,IF(AND(P158='G-1 All Habitats'!$X$3,AC158&gt;0),"Any Loss Unacceptable ⚠",IF(AND(P158='G-1 All Habitats'!$X$3,W158&gt;0),"Any Loss Unacceptable ⚠",H158*J158*L158*O158))))),"Check Data ▲")</f>
        <v/>
      </c>
      <c r="R158" s="38"/>
      <c r="S158" s="54"/>
      <c r="T158" s="55"/>
      <c r="U158" s="374" t="str">
        <f t="shared" si="13"/>
        <v/>
      </c>
      <c r="V158" s="374" t="str">
        <f t="shared" si="14"/>
        <v/>
      </c>
      <c r="W158" s="374" t="str">
        <f>IF(E158="","",IF(H158&lt;S158+T158,"Error in Areas ▲",IF(P158&lt;&gt;'G-1 All Habitats'!$X$3,H158-S158-T158,IF(AND(P158='G-1 All Habitats'!$X$3,Y158="Yes"),"Unacceptable Loss ⚠",IF(AND(P158='G-1 All Habitats'!$X$3,Y158="No"),AC158,IF(AND(P158='G-1 All Habitats'!$X$3,Y158=""),AC158,IF(AND(P158='G-1 All Habitats'!$X$3,AC158="None",AC158),IF(AND(P158='G-1 All Habitats'!$X$3,AC158&gt;0),H158-S158-T158))))))))</f>
        <v/>
      </c>
      <c r="X158" s="378" t="str">
        <f>IFERROR(IF(H158="","",IF(H158-S158-T158=0&lt;0,"Error in Areas ▲",IF(S158+T158&gt;H158,"Error in Areas ▲",IF(AND(P158='G-1 All Habitats'!$X$3,Y158="Yes"),"Alternative Compensation ✓",IF(W158=0,0,IF(P158='G-1 All Habitats'!$X$3,"Any Loss Unacceptable ▲",Q158-U158-V158)))))),"Check Data ▲")</f>
        <v/>
      </c>
      <c r="Y158" s="55"/>
      <c r="Z158" s="62"/>
      <c r="AA158" s="526"/>
      <c r="AB158" s="120"/>
      <c r="AC158" s="726" t="str">
        <f>IF(P158="","",IF(P158='G-1 All Habitats'!$X$3,H158-S158-T158,"None"))</f>
        <v/>
      </c>
      <c r="AD158" s="727" t="str">
        <f>IF(P158="","", IF(P158='G-1 All Habitats'!$X$3, AC158*J158*L158*O158,"None"))</f>
        <v/>
      </c>
      <c r="AF158" s="40" t="str">
        <f t="shared" si="10"/>
        <v/>
      </c>
      <c r="AG158" s="40" t="str">
        <f t="shared" si="11"/>
        <v/>
      </c>
      <c r="AH158" s="40" t="str">
        <f>IF(I158="","",IF(#REF!&gt;0,TRUE,FALSE))</f>
        <v/>
      </c>
      <c r="AI158" s="40">
        <v>148</v>
      </c>
      <c r="AJ158" s="40"/>
      <c r="AK158" s="40" t="str">
        <f t="array" ref="AK158">IFERROR(INDEX($AI$11:$AI$259, MATCH(0, IF(TRUE=$AF$11:$AF$259, COUNTIF($AK$10:$AK157, $AI$11:$AI$259), ""), 0)),"")</f>
        <v/>
      </c>
      <c r="AL158" s="40" t="str">
        <f t="array" ref="AL158">IFERROR(INDEX($AI$11:$AI$259, MATCH(0, IF(TRUE=$AG$11:$AG$259, COUNTIF($AL$10:$AL157, $AI$11:$AI$259), ""), 0)),"")</f>
        <v/>
      </c>
      <c r="AM158" s="40" t="str">
        <f t="array" ref="AM158">IFERROR(INDEX($AI$11:$AI$259, MATCH(0, IF(TRUE=$AH$11:$AH$259, COUNTIF($AM$10:$AM157, $AI$11:$AI$259), ""), 0)),"")</f>
        <v/>
      </c>
      <c r="AN158" s="40"/>
      <c r="AQ158" s="35">
        <f t="shared" si="12"/>
        <v>0</v>
      </c>
    </row>
    <row r="159" spans="1:43">
      <c r="A159" s="35" t="str">
        <f>IFERROR(INDEX('G-1 All Habitats'!$AG$3:$AG$17,MATCH(E159,'G-1 All Habitats'!$AF$3:$AF$17,0)),"")</f>
        <v/>
      </c>
      <c r="B159" s="35" t="str">
        <f>IFERROR(INDEX('G-8 Condition Look up'!$I$4:$I$135,MATCH(G159,'G-8 Condition Look up'!$A$4:$A$135,0)),"")</f>
        <v/>
      </c>
      <c r="D159" s="287">
        <v>149</v>
      </c>
      <c r="E159" s="267"/>
      <c r="F159" s="61"/>
      <c r="G159" s="52" t="str">
        <f>IFERROR(INDEX('G-1 All Habitats'!$B$3:$B$134,MATCH(F159,'G-1 All Habitats'!$A$3:$A$134,0)),"")</f>
        <v/>
      </c>
      <c r="H159" s="53"/>
      <c r="I159" s="362" t="str">
        <f>IF(G159="","",VLOOKUP(G159,'G-1 All Habitats'!$B$2:$M$134,10,FALSE))</f>
        <v/>
      </c>
      <c r="J159" s="363" t="str">
        <f>IFERROR(VLOOKUP(I159,'G-1 All Habitats'!$V$3:$W$7,2,FALSE),"")</f>
        <v/>
      </c>
      <c r="K159" s="54"/>
      <c r="L159" s="363" t="str">
        <f>IFERROR(INDEX('G-8 Condition Look up'!$A$3:$H$135,MATCH(G159,'G-8 Condition Look up'!$A$3:$A$135,0),MATCH(K159,'G-8 Condition Look up'!$A$3:$H$3,0)),"")</f>
        <v/>
      </c>
      <c r="M159" s="54"/>
      <c r="N159" s="382" t="str">
        <f>IF(M159="","",IF(VLOOKUP(M159,'G-3 Multipliers'!$L$3:$N$6,2,FALSE)=0,"Spatial Data Missing",VLOOKUP(M159,'G-3 Multipliers'!$L$3:$N$6,2,FALSE)))</f>
        <v/>
      </c>
      <c r="O159" s="368" t="str">
        <f>IF(M159="","",IF(VLOOKUP(M159,'G-3 Multipliers'!$L$3:$N$6,3,FALSE)=0,"Spatial Data Missing",VLOOKUP(M159,'G-3 Multipliers'!$L$3:$N$6,3,FALSE)))</f>
        <v/>
      </c>
      <c r="P159" s="369" t="str">
        <f>IFERROR(VLOOKUP(G159,'G-1 All Habitats'!$B$2:$M$134,12,FALSE),"")</f>
        <v/>
      </c>
      <c r="Q159" s="376" t="str">
        <f>IFERROR(IF(P159="","",IF(AND(P159='G-1 All Habitats'!$X$3,T159&gt;0),U159+V159,IF(AND(P159='G-1 All Habitats'!$X$3,S159&gt;0),U159+V159,IF(AND(P159='G-1 All Habitats'!$X$3,AC159&gt;0),"Any Loss Unacceptable ⚠",IF(AND(P159='G-1 All Habitats'!$X$3,W159&gt;0),"Any Loss Unacceptable ⚠",H159*J159*L159*O159))))),"Check Data ▲")</f>
        <v/>
      </c>
      <c r="R159" s="38"/>
      <c r="S159" s="54"/>
      <c r="T159" s="55"/>
      <c r="U159" s="374" t="str">
        <f t="shared" si="13"/>
        <v/>
      </c>
      <c r="V159" s="374" t="str">
        <f t="shared" si="14"/>
        <v/>
      </c>
      <c r="W159" s="374" t="str">
        <f>IF(E159="","",IF(H159&lt;S159+T159,"Error in Areas ▲",IF(P159&lt;&gt;'G-1 All Habitats'!$X$3,H159-S159-T159,IF(AND(P159='G-1 All Habitats'!$X$3,Y159="Yes"),"Unacceptable Loss ⚠",IF(AND(P159='G-1 All Habitats'!$X$3,Y159="No"),AC159,IF(AND(P159='G-1 All Habitats'!$X$3,Y159=""),AC159,IF(AND(P159='G-1 All Habitats'!$X$3,AC159="None",AC159),IF(AND(P159='G-1 All Habitats'!$X$3,AC159&gt;0),H159-S159-T159))))))))</f>
        <v/>
      </c>
      <c r="X159" s="378" t="str">
        <f>IFERROR(IF(H159="","",IF(H159-S159-T159=0&lt;0,"Error in Areas ▲",IF(S159+T159&gt;H159,"Error in Areas ▲",IF(AND(P159='G-1 All Habitats'!$X$3,Y159="Yes"),"Alternative Compensation ✓",IF(W159=0,0,IF(P159='G-1 All Habitats'!$X$3,"Any Loss Unacceptable ▲",Q159-U159-V159)))))),"Check Data ▲")</f>
        <v/>
      </c>
      <c r="Y159" s="55"/>
      <c r="Z159" s="62"/>
      <c r="AA159" s="526"/>
      <c r="AB159" s="120"/>
      <c r="AC159" s="726" t="str">
        <f>IF(P159="","",IF(P159='G-1 All Habitats'!$X$3,H159-S159-T159,"None"))</f>
        <v/>
      </c>
      <c r="AD159" s="727" t="str">
        <f>IF(P159="","", IF(P159='G-1 All Habitats'!$X$3, AC159*J159*L159*O159,"None"))</f>
        <v/>
      </c>
      <c r="AF159" s="40" t="str">
        <f t="shared" si="10"/>
        <v/>
      </c>
      <c r="AG159" s="40" t="str">
        <f t="shared" si="11"/>
        <v/>
      </c>
      <c r="AH159" s="40" t="str">
        <f>IF(I159="","",IF(#REF!&gt;0,TRUE,FALSE))</f>
        <v/>
      </c>
      <c r="AI159" s="40">
        <v>149</v>
      </c>
      <c r="AJ159" s="40"/>
      <c r="AK159" s="40" t="str">
        <f t="array" ref="AK159">IFERROR(INDEX($AI$11:$AI$259, MATCH(0, IF(TRUE=$AF$11:$AF$259, COUNTIF($AK$10:$AK158, $AI$11:$AI$259), ""), 0)),"")</f>
        <v/>
      </c>
      <c r="AL159" s="40" t="str">
        <f t="array" ref="AL159">IFERROR(INDEX($AI$11:$AI$259, MATCH(0, IF(TRUE=$AG$11:$AG$259, COUNTIF($AL$10:$AL158, $AI$11:$AI$259), ""), 0)),"")</f>
        <v/>
      </c>
      <c r="AM159" s="40" t="str">
        <f t="array" ref="AM159">IFERROR(INDEX($AI$11:$AI$259, MATCH(0, IF(TRUE=$AH$11:$AH$259, COUNTIF($AM$10:$AM158, $AI$11:$AI$259), ""), 0)),"")</f>
        <v/>
      </c>
      <c r="AN159" s="40"/>
      <c r="AQ159" s="35">
        <f t="shared" si="12"/>
        <v>0</v>
      </c>
    </row>
    <row r="160" spans="1:43">
      <c r="A160" s="35" t="str">
        <f>IFERROR(INDEX('G-1 All Habitats'!$AG$3:$AG$17,MATCH(E160,'G-1 All Habitats'!$AF$3:$AF$17,0)),"")</f>
        <v/>
      </c>
      <c r="B160" s="35" t="str">
        <f>IFERROR(INDEX('G-8 Condition Look up'!$I$4:$I$135,MATCH(G160,'G-8 Condition Look up'!$A$4:$A$135,0)),"")</f>
        <v/>
      </c>
      <c r="D160" s="287">
        <v>150</v>
      </c>
      <c r="E160" s="267"/>
      <c r="F160" s="61"/>
      <c r="G160" s="52" t="str">
        <f>IFERROR(INDEX('G-1 All Habitats'!$B$3:$B$134,MATCH(F160,'G-1 All Habitats'!$A$3:$A$134,0)),"")</f>
        <v/>
      </c>
      <c r="H160" s="53"/>
      <c r="I160" s="362" t="str">
        <f>IF(G160="","",VLOOKUP(G160,'G-1 All Habitats'!$B$2:$M$134,10,FALSE))</f>
        <v/>
      </c>
      <c r="J160" s="363" t="str">
        <f>IFERROR(VLOOKUP(I160,'G-1 All Habitats'!$V$3:$W$7,2,FALSE),"")</f>
        <v/>
      </c>
      <c r="K160" s="54"/>
      <c r="L160" s="363" t="str">
        <f>IFERROR(INDEX('G-8 Condition Look up'!$A$3:$H$135,MATCH(G160,'G-8 Condition Look up'!$A$3:$A$135,0),MATCH(K160,'G-8 Condition Look up'!$A$3:$H$3,0)),"")</f>
        <v/>
      </c>
      <c r="M160" s="54"/>
      <c r="N160" s="382" t="str">
        <f>IF(M160="","",IF(VLOOKUP(M160,'G-3 Multipliers'!$L$3:$N$6,2,FALSE)=0,"Spatial Data Missing",VLOOKUP(M160,'G-3 Multipliers'!$L$3:$N$6,2,FALSE)))</f>
        <v/>
      </c>
      <c r="O160" s="368" t="str">
        <f>IF(M160="","",IF(VLOOKUP(M160,'G-3 Multipliers'!$L$3:$N$6,3,FALSE)=0,"Spatial Data Missing",VLOOKUP(M160,'G-3 Multipliers'!$L$3:$N$6,3,FALSE)))</f>
        <v/>
      </c>
      <c r="P160" s="369" t="str">
        <f>IFERROR(VLOOKUP(G160,'G-1 All Habitats'!$B$2:$M$134,12,FALSE),"")</f>
        <v/>
      </c>
      <c r="Q160" s="376" t="str">
        <f>IFERROR(IF(P160="","",IF(AND(P160='G-1 All Habitats'!$X$3,T160&gt;0),U160+V160,IF(AND(P160='G-1 All Habitats'!$X$3,S160&gt;0),U160+V160,IF(AND(P160='G-1 All Habitats'!$X$3,AC160&gt;0),"Any Loss Unacceptable ⚠",IF(AND(P160='G-1 All Habitats'!$X$3,W160&gt;0),"Any Loss Unacceptable ⚠",H160*J160*L160*O160))))),"Check Data ▲")</f>
        <v/>
      </c>
      <c r="R160" s="38"/>
      <c r="S160" s="54"/>
      <c r="T160" s="55"/>
      <c r="U160" s="374" t="str">
        <f t="shared" si="13"/>
        <v/>
      </c>
      <c r="V160" s="374" t="str">
        <f t="shared" si="14"/>
        <v/>
      </c>
      <c r="W160" s="374" t="str">
        <f>IF(E160="","",IF(H160&lt;S160+T160,"Error in Areas ▲",IF(P160&lt;&gt;'G-1 All Habitats'!$X$3,H160-S160-T160,IF(AND(P160='G-1 All Habitats'!$X$3,Y160="Yes"),"Unacceptable Loss ⚠",IF(AND(P160='G-1 All Habitats'!$X$3,Y160="No"),AC160,IF(AND(P160='G-1 All Habitats'!$X$3,Y160=""),AC160,IF(AND(P160='G-1 All Habitats'!$X$3,AC160="None",AC160),IF(AND(P160='G-1 All Habitats'!$X$3,AC160&gt;0),H160-S160-T160))))))))</f>
        <v/>
      </c>
      <c r="X160" s="378" t="str">
        <f>IFERROR(IF(H160="","",IF(H160-S160-T160=0&lt;0,"Error in Areas ▲",IF(S160+T160&gt;H160,"Error in Areas ▲",IF(AND(P160='G-1 All Habitats'!$X$3,Y160="Yes"),"Alternative Compensation ✓",IF(W160=0,0,IF(P160='G-1 All Habitats'!$X$3,"Any Loss Unacceptable ▲",Q160-U160-V160)))))),"Check Data ▲")</f>
        <v/>
      </c>
      <c r="Y160" s="55"/>
      <c r="Z160" s="62"/>
      <c r="AA160" s="526"/>
      <c r="AB160" s="120"/>
      <c r="AC160" s="726" t="str">
        <f>IF(P160="","",IF(P160='G-1 All Habitats'!$X$3,H160-S160-T160,"None"))</f>
        <v/>
      </c>
      <c r="AD160" s="727" t="str">
        <f>IF(P160="","", IF(P160='G-1 All Habitats'!$X$3, AC160*J160*L160*O160,"None"))</f>
        <v/>
      </c>
      <c r="AF160" s="40" t="str">
        <f t="shared" si="10"/>
        <v/>
      </c>
      <c r="AG160" s="40" t="str">
        <f t="shared" si="11"/>
        <v/>
      </c>
      <c r="AH160" s="40" t="str">
        <f>IF(I160="","",IF(#REF!&gt;0,TRUE,FALSE))</f>
        <v/>
      </c>
      <c r="AI160" s="40">
        <v>150</v>
      </c>
      <c r="AJ160" s="40"/>
      <c r="AK160" s="40" t="str">
        <f t="array" ref="AK160">IFERROR(INDEX($AI$11:$AI$259, MATCH(0, IF(TRUE=$AF$11:$AF$259, COUNTIF($AK$10:$AK159, $AI$11:$AI$259), ""), 0)),"")</f>
        <v/>
      </c>
      <c r="AL160" s="40" t="str">
        <f t="array" ref="AL160">IFERROR(INDEX($AI$11:$AI$259, MATCH(0, IF(TRUE=$AG$11:$AG$259, COUNTIF($AL$10:$AL159, $AI$11:$AI$259), ""), 0)),"")</f>
        <v/>
      </c>
      <c r="AM160" s="40" t="str">
        <f t="array" ref="AM160">IFERROR(INDEX($AI$11:$AI$259, MATCH(0, IF(TRUE=$AH$11:$AH$259, COUNTIF($AM$10:$AM159, $AI$11:$AI$259), ""), 0)),"")</f>
        <v/>
      </c>
      <c r="AN160" s="40"/>
      <c r="AQ160" s="35">
        <f t="shared" si="12"/>
        <v>0</v>
      </c>
    </row>
    <row r="161" spans="1:43">
      <c r="A161" s="35" t="str">
        <f>IFERROR(INDEX('G-1 All Habitats'!$AG$3:$AG$17,MATCH(E161,'G-1 All Habitats'!$AF$3:$AF$17,0)),"")</f>
        <v/>
      </c>
      <c r="B161" s="35" t="str">
        <f>IFERROR(INDEX('G-8 Condition Look up'!$I$4:$I$135,MATCH(G161,'G-8 Condition Look up'!$A$4:$A$135,0)),"")</f>
        <v/>
      </c>
      <c r="D161" s="287">
        <v>151</v>
      </c>
      <c r="E161" s="267"/>
      <c r="F161" s="61"/>
      <c r="G161" s="52" t="str">
        <f>IFERROR(INDEX('G-1 All Habitats'!$B$3:$B$134,MATCH(F161,'G-1 All Habitats'!$A$3:$A$134,0)),"")</f>
        <v/>
      </c>
      <c r="H161" s="53"/>
      <c r="I161" s="362" t="str">
        <f>IF(G161="","",VLOOKUP(G161,'G-1 All Habitats'!$B$2:$M$134,10,FALSE))</f>
        <v/>
      </c>
      <c r="J161" s="363" t="str">
        <f>IFERROR(VLOOKUP(I161,'G-1 All Habitats'!$V$3:$W$7,2,FALSE),"")</f>
        <v/>
      </c>
      <c r="K161" s="54"/>
      <c r="L161" s="363" t="str">
        <f>IFERROR(INDEX('G-8 Condition Look up'!$A$3:$H$135,MATCH(G161,'G-8 Condition Look up'!$A$3:$A$135,0),MATCH(K161,'G-8 Condition Look up'!$A$3:$H$3,0)),"")</f>
        <v/>
      </c>
      <c r="M161" s="54"/>
      <c r="N161" s="382" t="str">
        <f>IF(M161="","",IF(VLOOKUP(M161,'G-3 Multipliers'!$L$3:$N$6,2,FALSE)=0,"Spatial Data Missing",VLOOKUP(M161,'G-3 Multipliers'!$L$3:$N$6,2,FALSE)))</f>
        <v/>
      </c>
      <c r="O161" s="368" t="str">
        <f>IF(M161="","",IF(VLOOKUP(M161,'G-3 Multipliers'!$L$3:$N$6,3,FALSE)=0,"Spatial Data Missing",VLOOKUP(M161,'G-3 Multipliers'!$L$3:$N$6,3,FALSE)))</f>
        <v/>
      </c>
      <c r="P161" s="369" t="str">
        <f>IFERROR(VLOOKUP(G161,'G-1 All Habitats'!$B$2:$M$134,12,FALSE),"")</f>
        <v/>
      </c>
      <c r="Q161" s="376" t="str">
        <f>IFERROR(IF(P161="","",IF(AND(P161='G-1 All Habitats'!$X$3,T161&gt;0),U161+V161,IF(AND(P161='G-1 All Habitats'!$X$3,S161&gt;0),U161+V161,IF(AND(P161='G-1 All Habitats'!$X$3,AC161&gt;0),"Any Loss Unacceptable ⚠",IF(AND(P161='G-1 All Habitats'!$X$3,W161&gt;0),"Any Loss Unacceptable ⚠",H161*J161*L161*O161))))),"Check Data ▲")</f>
        <v/>
      </c>
      <c r="R161" s="38"/>
      <c r="S161" s="54"/>
      <c r="T161" s="55"/>
      <c r="U161" s="374" t="str">
        <f t="shared" si="13"/>
        <v/>
      </c>
      <c r="V161" s="374" t="str">
        <f t="shared" si="14"/>
        <v/>
      </c>
      <c r="W161" s="374" t="str">
        <f>IF(E161="","",IF(H161&lt;S161+T161,"Error in Areas ▲",IF(P161&lt;&gt;'G-1 All Habitats'!$X$3,H161-S161-T161,IF(AND(P161='G-1 All Habitats'!$X$3,Y161="Yes"),"Unacceptable Loss ⚠",IF(AND(P161='G-1 All Habitats'!$X$3,Y161="No"),AC161,IF(AND(P161='G-1 All Habitats'!$X$3,Y161=""),AC161,IF(AND(P161='G-1 All Habitats'!$X$3,AC161="None",AC161),IF(AND(P161='G-1 All Habitats'!$X$3,AC161&gt;0),H161-S161-T161))))))))</f>
        <v/>
      </c>
      <c r="X161" s="378" t="str">
        <f>IFERROR(IF(H161="","",IF(H161-S161-T161=0&lt;0,"Error in Areas ▲",IF(S161+T161&gt;H161,"Error in Areas ▲",IF(AND(P161='G-1 All Habitats'!$X$3,Y161="Yes"),"Alternative Compensation ✓",IF(W161=0,0,IF(P161='G-1 All Habitats'!$X$3,"Any Loss Unacceptable ▲",Q161-U161-V161)))))),"Check Data ▲")</f>
        <v/>
      </c>
      <c r="Y161" s="55"/>
      <c r="Z161" s="62"/>
      <c r="AA161" s="526"/>
      <c r="AB161" s="120"/>
      <c r="AC161" s="726" t="str">
        <f>IF(P161="","",IF(P161='G-1 All Habitats'!$X$3,H161-S161-T161,"None"))</f>
        <v/>
      </c>
      <c r="AD161" s="727" t="str">
        <f>IF(P161="","", IF(P161='G-1 All Habitats'!$X$3, AC161*J161*L161*O161,"None"))</f>
        <v/>
      </c>
      <c r="AF161" s="40" t="str">
        <f t="shared" si="10"/>
        <v/>
      </c>
      <c r="AG161" s="40" t="str">
        <f t="shared" si="11"/>
        <v/>
      </c>
      <c r="AH161" s="40" t="str">
        <f>IF(I161="","",IF(#REF!&gt;0,TRUE,FALSE))</f>
        <v/>
      </c>
      <c r="AI161" s="40">
        <v>151</v>
      </c>
      <c r="AJ161" s="40"/>
      <c r="AK161" s="40" t="str">
        <f t="array" ref="AK161">IFERROR(INDEX($AI$11:$AI$259, MATCH(0, IF(TRUE=$AF$11:$AF$259, COUNTIF($AK$10:$AK160, $AI$11:$AI$259), ""), 0)),"")</f>
        <v/>
      </c>
      <c r="AL161" s="40" t="str">
        <f t="array" ref="AL161">IFERROR(INDEX($AI$11:$AI$259, MATCH(0, IF(TRUE=$AG$11:$AG$259, COUNTIF($AL$10:$AL160, $AI$11:$AI$259), ""), 0)),"")</f>
        <v/>
      </c>
      <c r="AM161" s="40" t="str">
        <f t="array" ref="AM161">IFERROR(INDEX($AI$11:$AI$259, MATCH(0, IF(TRUE=$AH$11:$AH$259, COUNTIF($AM$10:$AM160, $AI$11:$AI$259), ""), 0)),"")</f>
        <v/>
      </c>
      <c r="AN161" s="40"/>
      <c r="AQ161" s="35">
        <f t="shared" si="12"/>
        <v>0</v>
      </c>
    </row>
    <row r="162" spans="1:43">
      <c r="A162" s="35" t="str">
        <f>IFERROR(INDEX('G-1 All Habitats'!$AG$3:$AG$17,MATCH(E162,'G-1 All Habitats'!$AF$3:$AF$17,0)),"")</f>
        <v/>
      </c>
      <c r="B162" s="35" t="str">
        <f>IFERROR(INDEX('G-8 Condition Look up'!$I$4:$I$135,MATCH(G162,'G-8 Condition Look up'!$A$4:$A$135,0)),"")</f>
        <v/>
      </c>
      <c r="D162" s="287">
        <v>152</v>
      </c>
      <c r="E162" s="267"/>
      <c r="F162" s="61"/>
      <c r="G162" s="52" t="str">
        <f>IFERROR(INDEX('G-1 All Habitats'!$B$3:$B$134,MATCH(F162,'G-1 All Habitats'!$A$3:$A$134,0)),"")</f>
        <v/>
      </c>
      <c r="H162" s="53"/>
      <c r="I162" s="362" t="str">
        <f>IF(G162="","",VLOOKUP(G162,'G-1 All Habitats'!$B$2:$M$134,10,FALSE))</f>
        <v/>
      </c>
      <c r="J162" s="363" t="str">
        <f>IFERROR(VLOOKUP(I162,'G-1 All Habitats'!$V$3:$W$7,2,FALSE),"")</f>
        <v/>
      </c>
      <c r="K162" s="54"/>
      <c r="L162" s="363" t="str">
        <f>IFERROR(INDEX('G-8 Condition Look up'!$A$3:$H$135,MATCH(G162,'G-8 Condition Look up'!$A$3:$A$135,0),MATCH(K162,'G-8 Condition Look up'!$A$3:$H$3,0)),"")</f>
        <v/>
      </c>
      <c r="M162" s="54"/>
      <c r="N162" s="382" t="str">
        <f>IF(M162="","",IF(VLOOKUP(M162,'G-3 Multipliers'!$L$3:$N$6,2,FALSE)=0,"Spatial Data Missing",VLOOKUP(M162,'G-3 Multipliers'!$L$3:$N$6,2,FALSE)))</f>
        <v/>
      </c>
      <c r="O162" s="368" t="str">
        <f>IF(M162="","",IF(VLOOKUP(M162,'G-3 Multipliers'!$L$3:$N$6,3,FALSE)=0,"Spatial Data Missing",VLOOKUP(M162,'G-3 Multipliers'!$L$3:$N$6,3,FALSE)))</f>
        <v/>
      </c>
      <c r="P162" s="369" t="str">
        <f>IFERROR(VLOOKUP(G162,'G-1 All Habitats'!$B$2:$M$134,12,FALSE),"")</f>
        <v/>
      </c>
      <c r="Q162" s="376" t="str">
        <f>IFERROR(IF(P162="","",IF(AND(P162='G-1 All Habitats'!$X$3,T162&gt;0),U162+V162,IF(AND(P162='G-1 All Habitats'!$X$3,S162&gt;0),U162+V162,IF(AND(P162='G-1 All Habitats'!$X$3,AC162&gt;0),"Any Loss Unacceptable ⚠",IF(AND(P162='G-1 All Habitats'!$X$3,W162&gt;0),"Any Loss Unacceptable ⚠",H162*J162*L162*O162))))),"Check Data ▲")</f>
        <v/>
      </c>
      <c r="R162" s="38"/>
      <c r="S162" s="54"/>
      <c r="T162" s="55"/>
      <c r="U162" s="374" t="str">
        <f t="shared" si="13"/>
        <v/>
      </c>
      <c r="V162" s="374" t="str">
        <f t="shared" si="14"/>
        <v/>
      </c>
      <c r="W162" s="374" t="str">
        <f>IF(E162="","",IF(H162&lt;S162+T162,"Error in Areas ▲",IF(P162&lt;&gt;'G-1 All Habitats'!$X$3,H162-S162-T162,IF(AND(P162='G-1 All Habitats'!$X$3,Y162="Yes"),"Unacceptable Loss ⚠",IF(AND(P162='G-1 All Habitats'!$X$3,Y162="No"),AC162,IF(AND(P162='G-1 All Habitats'!$X$3,Y162=""),AC162,IF(AND(P162='G-1 All Habitats'!$X$3,AC162="None",AC162),IF(AND(P162='G-1 All Habitats'!$X$3,AC162&gt;0),H162-S162-T162))))))))</f>
        <v/>
      </c>
      <c r="X162" s="378" t="str">
        <f>IFERROR(IF(H162="","",IF(H162-S162-T162=0&lt;0,"Error in Areas ▲",IF(S162+T162&gt;H162,"Error in Areas ▲",IF(AND(P162='G-1 All Habitats'!$X$3,Y162="Yes"),"Alternative Compensation ✓",IF(W162=0,0,IF(P162='G-1 All Habitats'!$X$3,"Any Loss Unacceptable ▲",Q162-U162-V162)))))),"Check Data ▲")</f>
        <v/>
      </c>
      <c r="Y162" s="55"/>
      <c r="Z162" s="62"/>
      <c r="AA162" s="526"/>
      <c r="AB162" s="120"/>
      <c r="AC162" s="726" t="str">
        <f>IF(P162="","",IF(P162='G-1 All Habitats'!$X$3,H162-S162-T162,"None"))</f>
        <v/>
      </c>
      <c r="AD162" s="727" t="str">
        <f>IF(P162="","", IF(P162='G-1 All Habitats'!$X$3, AC162*J162*L162*O162,"None"))</f>
        <v/>
      </c>
      <c r="AF162" s="40" t="str">
        <f t="shared" si="10"/>
        <v/>
      </c>
      <c r="AG162" s="40" t="str">
        <f t="shared" si="11"/>
        <v/>
      </c>
      <c r="AH162" s="40" t="str">
        <f>IF(I162="","",IF(#REF!&gt;0,TRUE,FALSE))</f>
        <v/>
      </c>
      <c r="AI162" s="40">
        <v>152</v>
      </c>
      <c r="AJ162" s="40"/>
      <c r="AK162" s="40" t="str">
        <f t="array" ref="AK162">IFERROR(INDEX($AI$11:$AI$259, MATCH(0, IF(TRUE=$AF$11:$AF$259, COUNTIF($AK$10:$AK161, $AI$11:$AI$259), ""), 0)),"")</f>
        <v/>
      </c>
      <c r="AL162" s="40" t="str">
        <f t="array" ref="AL162">IFERROR(INDEX($AI$11:$AI$259, MATCH(0, IF(TRUE=$AG$11:$AG$259, COUNTIF($AL$10:$AL161, $AI$11:$AI$259), ""), 0)),"")</f>
        <v/>
      </c>
      <c r="AM162" s="40" t="str">
        <f t="array" ref="AM162">IFERROR(INDEX($AI$11:$AI$259, MATCH(0, IF(TRUE=$AH$11:$AH$259, COUNTIF($AM$10:$AM161, $AI$11:$AI$259), ""), 0)),"")</f>
        <v/>
      </c>
      <c r="AN162" s="40"/>
      <c r="AQ162" s="35">
        <f t="shared" si="12"/>
        <v>0</v>
      </c>
    </row>
    <row r="163" spans="1:43">
      <c r="A163" s="35" t="str">
        <f>IFERROR(INDEX('G-1 All Habitats'!$AG$3:$AG$17,MATCH(E163,'G-1 All Habitats'!$AF$3:$AF$17,0)),"")</f>
        <v/>
      </c>
      <c r="B163" s="35" t="str">
        <f>IFERROR(INDEX('G-8 Condition Look up'!$I$4:$I$135,MATCH(G163,'G-8 Condition Look up'!$A$4:$A$135,0)),"")</f>
        <v/>
      </c>
      <c r="D163" s="287">
        <v>153</v>
      </c>
      <c r="E163" s="267"/>
      <c r="F163" s="61"/>
      <c r="G163" s="52" t="str">
        <f>IFERROR(INDEX('G-1 All Habitats'!$B$3:$B$134,MATCH(F163,'G-1 All Habitats'!$A$3:$A$134,0)),"")</f>
        <v/>
      </c>
      <c r="H163" s="53"/>
      <c r="I163" s="362" t="str">
        <f>IF(G163="","",VLOOKUP(G163,'G-1 All Habitats'!$B$2:$M$134,10,FALSE))</f>
        <v/>
      </c>
      <c r="J163" s="363" t="str">
        <f>IFERROR(VLOOKUP(I163,'G-1 All Habitats'!$V$3:$W$7,2,FALSE),"")</f>
        <v/>
      </c>
      <c r="K163" s="54"/>
      <c r="L163" s="363" t="str">
        <f>IFERROR(INDEX('G-8 Condition Look up'!$A$3:$H$135,MATCH(G163,'G-8 Condition Look up'!$A$3:$A$135,0),MATCH(K163,'G-8 Condition Look up'!$A$3:$H$3,0)),"")</f>
        <v/>
      </c>
      <c r="M163" s="54"/>
      <c r="N163" s="382" t="str">
        <f>IF(M163="","",IF(VLOOKUP(M163,'G-3 Multipliers'!$L$3:$N$6,2,FALSE)=0,"Spatial Data Missing",VLOOKUP(M163,'G-3 Multipliers'!$L$3:$N$6,2,FALSE)))</f>
        <v/>
      </c>
      <c r="O163" s="368" t="str">
        <f>IF(M163="","",IF(VLOOKUP(M163,'G-3 Multipliers'!$L$3:$N$6,3,FALSE)=0,"Spatial Data Missing",VLOOKUP(M163,'G-3 Multipliers'!$L$3:$N$6,3,FALSE)))</f>
        <v/>
      </c>
      <c r="P163" s="369" t="str">
        <f>IFERROR(VLOOKUP(G163,'G-1 All Habitats'!$B$2:$M$134,12,FALSE),"")</f>
        <v/>
      </c>
      <c r="Q163" s="376" t="str">
        <f>IFERROR(IF(P163="","",IF(AND(P163='G-1 All Habitats'!$X$3,T163&gt;0),U163+V163,IF(AND(P163='G-1 All Habitats'!$X$3,S163&gt;0),U163+V163,IF(AND(P163='G-1 All Habitats'!$X$3,AC163&gt;0),"Any Loss Unacceptable ⚠",IF(AND(P163='G-1 All Habitats'!$X$3,W163&gt;0),"Any Loss Unacceptable ⚠",H163*J163*L163*O163))))),"Check Data ▲")</f>
        <v/>
      </c>
      <c r="R163" s="38"/>
      <c r="S163" s="54"/>
      <c r="T163" s="55"/>
      <c r="U163" s="374" t="str">
        <f t="shared" si="13"/>
        <v/>
      </c>
      <c r="V163" s="374" t="str">
        <f t="shared" si="14"/>
        <v/>
      </c>
      <c r="W163" s="374" t="str">
        <f>IF(E163="","",IF(H163&lt;S163+T163,"Error in Areas ▲",IF(P163&lt;&gt;'G-1 All Habitats'!$X$3,H163-S163-T163,IF(AND(P163='G-1 All Habitats'!$X$3,Y163="Yes"),"Unacceptable Loss ⚠",IF(AND(P163='G-1 All Habitats'!$X$3,Y163="No"),AC163,IF(AND(P163='G-1 All Habitats'!$X$3,Y163=""),AC163,IF(AND(P163='G-1 All Habitats'!$X$3,AC163="None",AC163),IF(AND(P163='G-1 All Habitats'!$X$3,AC163&gt;0),H163-S163-T163))))))))</f>
        <v/>
      </c>
      <c r="X163" s="378" t="str">
        <f>IFERROR(IF(H163="","",IF(H163-S163-T163=0&lt;0,"Error in Areas ▲",IF(S163+T163&gt;H163,"Error in Areas ▲",IF(AND(P163='G-1 All Habitats'!$X$3,Y163="Yes"),"Alternative Compensation ✓",IF(W163=0,0,IF(P163='G-1 All Habitats'!$X$3,"Any Loss Unacceptable ▲",Q163-U163-V163)))))),"Check Data ▲")</f>
        <v/>
      </c>
      <c r="Y163" s="55"/>
      <c r="Z163" s="62"/>
      <c r="AA163" s="526"/>
      <c r="AB163" s="120"/>
      <c r="AC163" s="726" t="str">
        <f>IF(P163="","",IF(P163='G-1 All Habitats'!$X$3,H163-S163-T163,"None"))</f>
        <v/>
      </c>
      <c r="AD163" s="727" t="str">
        <f>IF(P163="","", IF(P163='G-1 All Habitats'!$X$3, AC163*J163*L163*O163,"None"))</f>
        <v/>
      </c>
      <c r="AF163" s="40" t="str">
        <f t="shared" si="10"/>
        <v/>
      </c>
      <c r="AG163" s="40" t="str">
        <f t="shared" si="11"/>
        <v/>
      </c>
      <c r="AH163" s="40" t="str">
        <f>IF(I163="","",IF(#REF!&gt;0,TRUE,FALSE))</f>
        <v/>
      </c>
      <c r="AI163" s="40">
        <v>153</v>
      </c>
      <c r="AJ163" s="40"/>
      <c r="AK163" s="40" t="str">
        <f t="array" ref="AK163">IFERROR(INDEX($AI$11:$AI$259, MATCH(0, IF(TRUE=$AF$11:$AF$259, COUNTIF($AK$10:$AK162, $AI$11:$AI$259), ""), 0)),"")</f>
        <v/>
      </c>
      <c r="AL163" s="40" t="str">
        <f t="array" ref="AL163">IFERROR(INDEX($AI$11:$AI$259, MATCH(0, IF(TRUE=$AG$11:$AG$259, COUNTIF($AL$10:$AL162, $AI$11:$AI$259), ""), 0)),"")</f>
        <v/>
      </c>
      <c r="AM163" s="40" t="str">
        <f t="array" ref="AM163">IFERROR(INDEX($AI$11:$AI$259, MATCH(0, IF(TRUE=$AH$11:$AH$259, COUNTIF($AM$10:$AM162, $AI$11:$AI$259), ""), 0)),"")</f>
        <v/>
      </c>
      <c r="AN163" s="40"/>
      <c r="AQ163" s="35">
        <f t="shared" si="12"/>
        <v>0</v>
      </c>
    </row>
    <row r="164" spans="1:43">
      <c r="A164" s="35" t="str">
        <f>IFERROR(INDEX('G-1 All Habitats'!$AG$3:$AG$17,MATCH(E164,'G-1 All Habitats'!$AF$3:$AF$17,0)),"")</f>
        <v/>
      </c>
      <c r="B164" s="35" t="str">
        <f>IFERROR(INDEX('G-8 Condition Look up'!$I$4:$I$135,MATCH(G164,'G-8 Condition Look up'!$A$4:$A$135,0)),"")</f>
        <v/>
      </c>
      <c r="D164" s="287">
        <v>154</v>
      </c>
      <c r="E164" s="267"/>
      <c r="F164" s="61"/>
      <c r="G164" s="52" t="str">
        <f>IFERROR(INDEX('G-1 All Habitats'!$B$3:$B$134,MATCH(F164,'G-1 All Habitats'!$A$3:$A$134,0)),"")</f>
        <v/>
      </c>
      <c r="H164" s="53"/>
      <c r="I164" s="362" t="str">
        <f>IF(G164="","",VLOOKUP(G164,'G-1 All Habitats'!$B$2:$M$134,10,FALSE))</f>
        <v/>
      </c>
      <c r="J164" s="363" t="str">
        <f>IFERROR(VLOOKUP(I164,'G-1 All Habitats'!$V$3:$W$7,2,FALSE),"")</f>
        <v/>
      </c>
      <c r="K164" s="54"/>
      <c r="L164" s="363" t="str">
        <f>IFERROR(INDEX('G-8 Condition Look up'!$A$3:$H$135,MATCH(G164,'G-8 Condition Look up'!$A$3:$A$135,0),MATCH(K164,'G-8 Condition Look up'!$A$3:$H$3,0)),"")</f>
        <v/>
      </c>
      <c r="M164" s="54"/>
      <c r="N164" s="382" t="str">
        <f>IF(M164="","",IF(VLOOKUP(M164,'G-3 Multipliers'!$L$3:$N$6,2,FALSE)=0,"Spatial Data Missing",VLOOKUP(M164,'G-3 Multipliers'!$L$3:$N$6,2,FALSE)))</f>
        <v/>
      </c>
      <c r="O164" s="368" t="str">
        <f>IF(M164="","",IF(VLOOKUP(M164,'G-3 Multipliers'!$L$3:$N$6,3,FALSE)=0,"Spatial Data Missing",VLOOKUP(M164,'G-3 Multipliers'!$L$3:$N$6,3,FALSE)))</f>
        <v/>
      </c>
      <c r="P164" s="369" t="str">
        <f>IFERROR(VLOOKUP(G164,'G-1 All Habitats'!$B$2:$M$134,12,FALSE),"")</f>
        <v/>
      </c>
      <c r="Q164" s="376" t="str">
        <f>IFERROR(IF(P164="","",IF(AND(P164='G-1 All Habitats'!$X$3,T164&gt;0),U164+V164,IF(AND(P164='G-1 All Habitats'!$X$3,S164&gt;0),U164+V164,IF(AND(P164='G-1 All Habitats'!$X$3,AC164&gt;0),"Any Loss Unacceptable ⚠",IF(AND(P164='G-1 All Habitats'!$X$3,W164&gt;0),"Any Loss Unacceptable ⚠",H164*J164*L164*O164))))),"Check Data ▲")</f>
        <v/>
      </c>
      <c r="R164" s="38"/>
      <c r="S164" s="54"/>
      <c r="T164" s="55"/>
      <c r="U164" s="374" t="str">
        <f t="shared" si="13"/>
        <v/>
      </c>
      <c r="V164" s="374" t="str">
        <f t="shared" si="14"/>
        <v/>
      </c>
      <c r="W164" s="374" t="str">
        <f>IF(E164="","",IF(H164&lt;S164+T164,"Error in Areas ▲",IF(P164&lt;&gt;'G-1 All Habitats'!$X$3,H164-S164-T164,IF(AND(P164='G-1 All Habitats'!$X$3,Y164="Yes"),"Unacceptable Loss ⚠",IF(AND(P164='G-1 All Habitats'!$X$3,Y164="No"),AC164,IF(AND(P164='G-1 All Habitats'!$X$3,Y164=""),AC164,IF(AND(P164='G-1 All Habitats'!$X$3,AC164="None",AC164),IF(AND(P164='G-1 All Habitats'!$X$3,AC164&gt;0),H164-S164-T164))))))))</f>
        <v/>
      </c>
      <c r="X164" s="378" t="str">
        <f>IFERROR(IF(H164="","",IF(H164-S164-T164=0&lt;0,"Error in Areas ▲",IF(S164+T164&gt;H164,"Error in Areas ▲",IF(AND(P164='G-1 All Habitats'!$X$3,Y164="Yes"),"Alternative Compensation ✓",IF(W164=0,0,IF(P164='G-1 All Habitats'!$X$3,"Any Loss Unacceptable ▲",Q164-U164-V164)))))),"Check Data ▲")</f>
        <v/>
      </c>
      <c r="Y164" s="55"/>
      <c r="Z164" s="62"/>
      <c r="AA164" s="526"/>
      <c r="AB164" s="120"/>
      <c r="AC164" s="726" t="str">
        <f>IF(P164="","",IF(P164='G-1 All Habitats'!$X$3,H164-S164-T164,"None"))</f>
        <v/>
      </c>
      <c r="AD164" s="727" t="str">
        <f>IF(P164="","", IF(P164='G-1 All Habitats'!$X$3, AC164*J164*L164*O164,"None"))</f>
        <v/>
      </c>
      <c r="AF164" s="40" t="str">
        <f t="shared" si="10"/>
        <v/>
      </c>
      <c r="AG164" s="40" t="str">
        <f t="shared" si="11"/>
        <v/>
      </c>
      <c r="AH164" s="40" t="str">
        <f>IF(I164="","",IF(#REF!&gt;0,TRUE,FALSE))</f>
        <v/>
      </c>
      <c r="AI164" s="40">
        <v>154</v>
      </c>
      <c r="AJ164" s="40"/>
      <c r="AK164" s="40" t="str">
        <f t="array" ref="AK164">IFERROR(INDEX($AI$11:$AI$259, MATCH(0, IF(TRUE=$AF$11:$AF$259, COUNTIF($AK$10:$AK163, $AI$11:$AI$259), ""), 0)),"")</f>
        <v/>
      </c>
      <c r="AL164" s="40" t="str">
        <f t="array" ref="AL164">IFERROR(INDEX($AI$11:$AI$259, MATCH(0, IF(TRUE=$AG$11:$AG$259, COUNTIF($AL$10:$AL163, $AI$11:$AI$259), ""), 0)),"")</f>
        <v/>
      </c>
      <c r="AM164" s="40" t="str">
        <f t="array" ref="AM164">IFERROR(INDEX($AI$11:$AI$259, MATCH(0, IF(TRUE=$AH$11:$AH$259, COUNTIF($AM$10:$AM163, $AI$11:$AI$259), ""), 0)),"")</f>
        <v/>
      </c>
      <c r="AN164" s="40"/>
      <c r="AQ164" s="35">
        <f t="shared" si="12"/>
        <v>0</v>
      </c>
    </row>
    <row r="165" spans="1:43">
      <c r="A165" s="35" t="str">
        <f>IFERROR(INDEX('G-1 All Habitats'!$AG$3:$AG$17,MATCH(E165,'G-1 All Habitats'!$AF$3:$AF$17,0)),"")</f>
        <v/>
      </c>
      <c r="B165" s="35" t="str">
        <f>IFERROR(INDEX('G-8 Condition Look up'!$I$4:$I$135,MATCH(G165,'G-8 Condition Look up'!$A$4:$A$135,0)),"")</f>
        <v/>
      </c>
      <c r="D165" s="287">
        <v>155</v>
      </c>
      <c r="E165" s="267"/>
      <c r="F165" s="61"/>
      <c r="G165" s="52" t="str">
        <f>IFERROR(INDEX('G-1 All Habitats'!$B$3:$B$134,MATCH(F165,'G-1 All Habitats'!$A$3:$A$134,0)),"")</f>
        <v/>
      </c>
      <c r="H165" s="53"/>
      <c r="I165" s="362" t="str">
        <f>IF(G165="","",VLOOKUP(G165,'G-1 All Habitats'!$B$2:$M$134,10,FALSE))</f>
        <v/>
      </c>
      <c r="J165" s="363" t="str">
        <f>IFERROR(VLOOKUP(I165,'G-1 All Habitats'!$V$3:$W$7,2,FALSE),"")</f>
        <v/>
      </c>
      <c r="K165" s="54"/>
      <c r="L165" s="363" t="str">
        <f>IFERROR(INDEX('G-8 Condition Look up'!$A$3:$H$135,MATCH(G165,'G-8 Condition Look up'!$A$3:$A$135,0),MATCH(K165,'G-8 Condition Look up'!$A$3:$H$3,0)),"")</f>
        <v/>
      </c>
      <c r="M165" s="54"/>
      <c r="N165" s="382" t="str">
        <f>IF(M165="","",IF(VLOOKUP(M165,'G-3 Multipliers'!$L$3:$N$6,2,FALSE)=0,"Spatial Data Missing",VLOOKUP(M165,'G-3 Multipliers'!$L$3:$N$6,2,FALSE)))</f>
        <v/>
      </c>
      <c r="O165" s="368" t="str">
        <f>IF(M165="","",IF(VLOOKUP(M165,'G-3 Multipliers'!$L$3:$N$6,3,FALSE)=0,"Spatial Data Missing",VLOOKUP(M165,'G-3 Multipliers'!$L$3:$N$6,3,FALSE)))</f>
        <v/>
      </c>
      <c r="P165" s="369" t="str">
        <f>IFERROR(VLOOKUP(G165,'G-1 All Habitats'!$B$2:$M$134,12,FALSE),"")</f>
        <v/>
      </c>
      <c r="Q165" s="376" t="str">
        <f>IFERROR(IF(P165="","",IF(AND(P165='G-1 All Habitats'!$X$3,T165&gt;0),U165+V165,IF(AND(P165='G-1 All Habitats'!$X$3,S165&gt;0),U165+V165,IF(AND(P165='G-1 All Habitats'!$X$3,AC165&gt;0),"Any Loss Unacceptable ⚠",IF(AND(P165='G-1 All Habitats'!$X$3,W165&gt;0),"Any Loss Unacceptable ⚠",H165*J165*L165*O165))))),"Check Data ▲")</f>
        <v/>
      </c>
      <c r="R165" s="38"/>
      <c r="S165" s="54"/>
      <c r="T165" s="55"/>
      <c r="U165" s="374" t="str">
        <f t="shared" si="13"/>
        <v/>
      </c>
      <c r="V165" s="374" t="str">
        <f t="shared" si="14"/>
        <v/>
      </c>
      <c r="W165" s="374" t="str">
        <f>IF(E165="","",IF(H165&lt;S165+T165,"Error in Areas ▲",IF(P165&lt;&gt;'G-1 All Habitats'!$X$3,H165-S165-T165,IF(AND(P165='G-1 All Habitats'!$X$3,Y165="Yes"),"Unacceptable Loss ⚠",IF(AND(P165='G-1 All Habitats'!$X$3,Y165="No"),AC165,IF(AND(P165='G-1 All Habitats'!$X$3,Y165=""),AC165,IF(AND(P165='G-1 All Habitats'!$X$3,AC165="None",AC165),IF(AND(P165='G-1 All Habitats'!$X$3,AC165&gt;0),H165-S165-T165))))))))</f>
        <v/>
      </c>
      <c r="X165" s="378" t="str">
        <f>IFERROR(IF(H165="","",IF(H165-S165-T165=0&lt;0,"Error in Areas ▲",IF(S165+T165&gt;H165,"Error in Areas ▲",IF(AND(P165='G-1 All Habitats'!$X$3,Y165="Yes"),"Alternative Compensation ✓",IF(W165=0,0,IF(P165='G-1 All Habitats'!$X$3,"Any Loss Unacceptable ▲",Q165-U165-V165)))))),"Check Data ▲")</f>
        <v/>
      </c>
      <c r="Y165" s="55"/>
      <c r="Z165" s="62"/>
      <c r="AA165" s="526"/>
      <c r="AB165" s="120"/>
      <c r="AC165" s="726" t="str">
        <f>IF(P165="","",IF(P165='G-1 All Habitats'!$X$3,H165-S165-T165,"None"))</f>
        <v/>
      </c>
      <c r="AD165" s="727" t="str">
        <f>IF(P165="","", IF(P165='G-1 All Habitats'!$X$3, AC165*J165*L165*O165,"None"))</f>
        <v/>
      </c>
      <c r="AF165" s="40" t="str">
        <f t="shared" si="10"/>
        <v/>
      </c>
      <c r="AG165" s="40" t="str">
        <f t="shared" si="11"/>
        <v/>
      </c>
      <c r="AH165" s="40" t="str">
        <f>IF(I165="","",IF(#REF!&gt;0,TRUE,FALSE))</f>
        <v/>
      </c>
      <c r="AI165" s="40">
        <v>155</v>
      </c>
      <c r="AJ165" s="40"/>
      <c r="AK165" s="40" t="str">
        <f t="array" ref="AK165">IFERROR(INDEX($AI$11:$AI$259, MATCH(0, IF(TRUE=$AF$11:$AF$259, COUNTIF($AK$10:$AK164, $AI$11:$AI$259), ""), 0)),"")</f>
        <v/>
      </c>
      <c r="AL165" s="40" t="str">
        <f t="array" ref="AL165">IFERROR(INDEX($AI$11:$AI$259, MATCH(0, IF(TRUE=$AG$11:$AG$259, COUNTIF($AL$10:$AL164, $AI$11:$AI$259), ""), 0)),"")</f>
        <v/>
      </c>
      <c r="AM165" s="40" t="str">
        <f t="array" ref="AM165">IFERROR(INDEX($AI$11:$AI$259, MATCH(0, IF(TRUE=$AH$11:$AH$259, COUNTIF($AM$10:$AM164, $AI$11:$AI$259), ""), 0)),"")</f>
        <v/>
      </c>
      <c r="AN165" s="40"/>
      <c r="AQ165" s="35">
        <f t="shared" si="12"/>
        <v>0</v>
      </c>
    </row>
    <row r="166" spans="1:43">
      <c r="A166" s="35" t="str">
        <f>IFERROR(INDEX('G-1 All Habitats'!$AG$3:$AG$17,MATCH(E166,'G-1 All Habitats'!$AF$3:$AF$17,0)),"")</f>
        <v/>
      </c>
      <c r="B166" s="35" t="str">
        <f>IFERROR(INDEX('G-8 Condition Look up'!$I$4:$I$135,MATCH(G166,'G-8 Condition Look up'!$A$4:$A$135,0)),"")</f>
        <v/>
      </c>
      <c r="D166" s="287">
        <v>156</v>
      </c>
      <c r="E166" s="267"/>
      <c r="F166" s="61"/>
      <c r="G166" s="52" t="str">
        <f>IFERROR(INDEX('G-1 All Habitats'!$B$3:$B$134,MATCH(F166,'G-1 All Habitats'!$A$3:$A$134,0)),"")</f>
        <v/>
      </c>
      <c r="H166" s="53"/>
      <c r="I166" s="362" t="str">
        <f>IF(G166="","",VLOOKUP(G166,'G-1 All Habitats'!$B$2:$M$134,10,FALSE))</f>
        <v/>
      </c>
      <c r="J166" s="363" t="str">
        <f>IFERROR(VLOOKUP(I166,'G-1 All Habitats'!$V$3:$W$7,2,FALSE),"")</f>
        <v/>
      </c>
      <c r="K166" s="54"/>
      <c r="L166" s="363" t="str">
        <f>IFERROR(INDEX('G-8 Condition Look up'!$A$3:$H$135,MATCH(G166,'G-8 Condition Look up'!$A$3:$A$135,0),MATCH(K166,'G-8 Condition Look up'!$A$3:$H$3,0)),"")</f>
        <v/>
      </c>
      <c r="M166" s="54"/>
      <c r="N166" s="382" t="str">
        <f>IF(M166="","",IF(VLOOKUP(M166,'G-3 Multipliers'!$L$3:$N$6,2,FALSE)=0,"Spatial Data Missing",VLOOKUP(M166,'G-3 Multipliers'!$L$3:$N$6,2,FALSE)))</f>
        <v/>
      </c>
      <c r="O166" s="368" t="str">
        <f>IF(M166="","",IF(VLOOKUP(M166,'G-3 Multipliers'!$L$3:$N$6,3,FALSE)=0,"Spatial Data Missing",VLOOKUP(M166,'G-3 Multipliers'!$L$3:$N$6,3,FALSE)))</f>
        <v/>
      </c>
      <c r="P166" s="369" t="str">
        <f>IFERROR(VLOOKUP(G166,'G-1 All Habitats'!$B$2:$M$134,12,FALSE),"")</f>
        <v/>
      </c>
      <c r="Q166" s="376" t="str">
        <f>IFERROR(IF(P166="","",IF(AND(P166='G-1 All Habitats'!$X$3,T166&gt;0),U166+V166,IF(AND(P166='G-1 All Habitats'!$X$3,S166&gt;0),U166+V166,IF(AND(P166='G-1 All Habitats'!$X$3,AC166&gt;0),"Any Loss Unacceptable ⚠",IF(AND(P166='G-1 All Habitats'!$X$3,W166&gt;0),"Any Loss Unacceptable ⚠",H166*J166*L166*O166))))),"Check Data ▲")</f>
        <v/>
      </c>
      <c r="R166" s="38"/>
      <c r="S166" s="54"/>
      <c r="T166" s="55"/>
      <c r="U166" s="374" t="str">
        <f t="shared" si="13"/>
        <v/>
      </c>
      <c r="V166" s="374" t="str">
        <f t="shared" si="14"/>
        <v/>
      </c>
      <c r="W166" s="374" t="str">
        <f>IF(E166="","",IF(H166&lt;S166+T166,"Error in Areas ▲",IF(P166&lt;&gt;'G-1 All Habitats'!$X$3,H166-S166-T166,IF(AND(P166='G-1 All Habitats'!$X$3,Y166="Yes"),"Unacceptable Loss ⚠",IF(AND(P166='G-1 All Habitats'!$X$3,Y166="No"),AC166,IF(AND(P166='G-1 All Habitats'!$X$3,Y166=""),AC166,IF(AND(P166='G-1 All Habitats'!$X$3,AC166="None",AC166),IF(AND(P166='G-1 All Habitats'!$X$3,AC166&gt;0),H166-S166-T166))))))))</f>
        <v/>
      </c>
      <c r="X166" s="378" t="str">
        <f>IFERROR(IF(H166="","",IF(H166-S166-T166=0&lt;0,"Error in Areas ▲",IF(S166+T166&gt;H166,"Error in Areas ▲",IF(AND(P166='G-1 All Habitats'!$X$3,Y166="Yes"),"Alternative Compensation ✓",IF(W166=0,0,IF(P166='G-1 All Habitats'!$X$3,"Any Loss Unacceptable ▲",Q166-U166-V166)))))),"Check Data ▲")</f>
        <v/>
      </c>
      <c r="Y166" s="55"/>
      <c r="Z166" s="62"/>
      <c r="AA166" s="526"/>
      <c r="AB166" s="120"/>
      <c r="AC166" s="726" t="str">
        <f>IF(P166="","",IF(P166='G-1 All Habitats'!$X$3,H166-S166-T166,"None"))</f>
        <v/>
      </c>
      <c r="AD166" s="727" t="str">
        <f>IF(P166="","", IF(P166='G-1 All Habitats'!$X$3, AC166*J166*L166*O166,"None"))</f>
        <v/>
      </c>
      <c r="AF166" s="40" t="str">
        <f t="shared" si="10"/>
        <v/>
      </c>
      <c r="AG166" s="40" t="str">
        <f t="shared" si="11"/>
        <v/>
      </c>
      <c r="AH166" s="40" t="str">
        <f>IF(I166="","",IF(#REF!&gt;0,TRUE,FALSE))</f>
        <v/>
      </c>
      <c r="AI166" s="40">
        <v>156</v>
      </c>
      <c r="AJ166" s="40"/>
      <c r="AK166" s="40" t="str">
        <f t="array" ref="AK166">IFERROR(INDEX($AI$11:$AI$259, MATCH(0, IF(TRUE=$AF$11:$AF$259, COUNTIF($AK$10:$AK165, $AI$11:$AI$259), ""), 0)),"")</f>
        <v/>
      </c>
      <c r="AL166" s="40" t="str">
        <f t="array" ref="AL166">IFERROR(INDEX($AI$11:$AI$259, MATCH(0, IF(TRUE=$AG$11:$AG$259, COUNTIF($AL$10:$AL165, $AI$11:$AI$259), ""), 0)),"")</f>
        <v/>
      </c>
      <c r="AM166" s="40" t="str">
        <f t="array" ref="AM166">IFERROR(INDEX($AI$11:$AI$259, MATCH(0, IF(TRUE=$AH$11:$AH$259, COUNTIF($AM$10:$AM165, $AI$11:$AI$259), ""), 0)),"")</f>
        <v/>
      </c>
      <c r="AN166" s="40"/>
      <c r="AQ166" s="35">
        <f t="shared" si="12"/>
        <v>0</v>
      </c>
    </row>
    <row r="167" spans="1:43">
      <c r="A167" s="35" t="str">
        <f>IFERROR(INDEX('G-1 All Habitats'!$AG$3:$AG$17,MATCH(E167,'G-1 All Habitats'!$AF$3:$AF$17,0)),"")</f>
        <v/>
      </c>
      <c r="B167" s="35" t="str">
        <f>IFERROR(INDEX('G-8 Condition Look up'!$I$4:$I$135,MATCH(G167,'G-8 Condition Look up'!$A$4:$A$135,0)),"")</f>
        <v/>
      </c>
      <c r="D167" s="287">
        <v>157</v>
      </c>
      <c r="E167" s="267"/>
      <c r="F167" s="61"/>
      <c r="G167" s="52" t="str">
        <f>IFERROR(INDEX('G-1 All Habitats'!$B$3:$B$134,MATCH(F167,'G-1 All Habitats'!$A$3:$A$134,0)),"")</f>
        <v/>
      </c>
      <c r="H167" s="53"/>
      <c r="I167" s="362" t="str">
        <f>IF(G167="","",VLOOKUP(G167,'G-1 All Habitats'!$B$2:$M$134,10,FALSE))</f>
        <v/>
      </c>
      <c r="J167" s="363" t="str">
        <f>IFERROR(VLOOKUP(I167,'G-1 All Habitats'!$V$3:$W$7,2,FALSE),"")</f>
        <v/>
      </c>
      <c r="K167" s="54"/>
      <c r="L167" s="363" t="str">
        <f>IFERROR(INDEX('G-8 Condition Look up'!$A$3:$H$135,MATCH(G167,'G-8 Condition Look up'!$A$3:$A$135,0),MATCH(K167,'G-8 Condition Look up'!$A$3:$H$3,0)),"")</f>
        <v/>
      </c>
      <c r="M167" s="54"/>
      <c r="N167" s="382" t="str">
        <f>IF(M167="","",IF(VLOOKUP(M167,'G-3 Multipliers'!$L$3:$N$6,2,FALSE)=0,"Spatial Data Missing",VLOOKUP(M167,'G-3 Multipliers'!$L$3:$N$6,2,FALSE)))</f>
        <v/>
      </c>
      <c r="O167" s="368" t="str">
        <f>IF(M167="","",IF(VLOOKUP(M167,'G-3 Multipliers'!$L$3:$N$6,3,FALSE)=0,"Spatial Data Missing",VLOOKUP(M167,'G-3 Multipliers'!$L$3:$N$6,3,FALSE)))</f>
        <v/>
      </c>
      <c r="P167" s="369" t="str">
        <f>IFERROR(VLOOKUP(G167,'G-1 All Habitats'!$B$2:$M$134,12,FALSE),"")</f>
        <v/>
      </c>
      <c r="Q167" s="376" t="str">
        <f>IFERROR(IF(P167="","",IF(AND(P167='G-1 All Habitats'!$X$3,T167&gt;0),U167+V167,IF(AND(P167='G-1 All Habitats'!$X$3,S167&gt;0),U167+V167,IF(AND(P167='G-1 All Habitats'!$X$3,AC167&gt;0),"Any Loss Unacceptable ⚠",IF(AND(P167='G-1 All Habitats'!$X$3,W167&gt;0),"Any Loss Unacceptable ⚠",H167*J167*L167*O167))))),"Check Data ▲")</f>
        <v/>
      </c>
      <c r="R167" s="38"/>
      <c r="S167" s="54"/>
      <c r="T167" s="55"/>
      <c r="U167" s="374" t="str">
        <f t="shared" si="13"/>
        <v/>
      </c>
      <c r="V167" s="374" t="str">
        <f t="shared" si="14"/>
        <v/>
      </c>
      <c r="W167" s="374" t="str">
        <f>IF(E167="","",IF(H167&lt;S167+T167,"Error in Areas ▲",IF(P167&lt;&gt;'G-1 All Habitats'!$X$3,H167-S167-T167,IF(AND(P167='G-1 All Habitats'!$X$3,Y167="Yes"),"Unacceptable Loss ⚠",IF(AND(P167='G-1 All Habitats'!$X$3,Y167="No"),AC167,IF(AND(P167='G-1 All Habitats'!$X$3,Y167=""),AC167,IF(AND(P167='G-1 All Habitats'!$X$3,AC167="None",AC167),IF(AND(P167='G-1 All Habitats'!$X$3,AC167&gt;0),H167-S167-T167))))))))</f>
        <v/>
      </c>
      <c r="X167" s="378" t="str">
        <f>IFERROR(IF(H167="","",IF(H167-S167-T167=0&lt;0,"Error in Areas ▲",IF(S167+T167&gt;H167,"Error in Areas ▲",IF(AND(P167='G-1 All Habitats'!$X$3,Y167="Yes"),"Alternative Compensation ✓",IF(W167=0,0,IF(P167='G-1 All Habitats'!$X$3,"Any Loss Unacceptable ▲",Q167-U167-V167)))))),"Check Data ▲")</f>
        <v/>
      </c>
      <c r="Y167" s="55"/>
      <c r="Z167" s="62"/>
      <c r="AA167" s="526"/>
      <c r="AB167" s="120"/>
      <c r="AC167" s="726" t="str">
        <f>IF(P167="","",IF(P167='G-1 All Habitats'!$X$3,H167-S167-T167,"None"))</f>
        <v/>
      </c>
      <c r="AD167" s="727" t="str">
        <f>IF(P167="","", IF(P167='G-1 All Habitats'!$X$3, AC167*J167*L167*O167,"None"))</f>
        <v/>
      </c>
      <c r="AF167" s="40" t="str">
        <f t="shared" si="10"/>
        <v/>
      </c>
      <c r="AG167" s="40" t="str">
        <f t="shared" si="11"/>
        <v/>
      </c>
      <c r="AH167" s="40" t="str">
        <f>IF(I167="","",IF(#REF!&gt;0,TRUE,FALSE))</f>
        <v/>
      </c>
      <c r="AI167" s="40">
        <v>157</v>
      </c>
      <c r="AJ167" s="40"/>
      <c r="AK167" s="40" t="str">
        <f t="array" ref="AK167">IFERROR(INDEX($AI$11:$AI$259, MATCH(0, IF(TRUE=$AF$11:$AF$259, COUNTIF($AK$10:$AK166, $AI$11:$AI$259), ""), 0)),"")</f>
        <v/>
      </c>
      <c r="AL167" s="40" t="str">
        <f t="array" ref="AL167">IFERROR(INDEX($AI$11:$AI$259, MATCH(0, IF(TRUE=$AG$11:$AG$259, COUNTIF($AL$10:$AL166, $AI$11:$AI$259), ""), 0)),"")</f>
        <v/>
      </c>
      <c r="AM167" s="40" t="str">
        <f t="array" ref="AM167">IFERROR(INDEX($AI$11:$AI$259, MATCH(0, IF(TRUE=$AH$11:$AH$259, COUNTIF($AM$10:$AM166, $AI$11:$AI$259), ""), 0)),"")</f>
        <v/>
      </c>
      <c r="AN167" s="40"/>
      <c r="AQ167" s="35">
        <f t="shared" si="12"/>
        <v>0</v>
      </c>
    </row>
    <row r="168" spans="1:43">
      <c r="A168" s="35" t="str">
        <f>IFERROR(INDEX('G-1 All Habitats'!$AG$3:$AG$17,MATCH(E168,'G-1 All Habitats'!$AF$3:$AF$17,0)),"")</f>
        <v/>
      </c>
      <c r="B168" s="35" t="str">
        <f>IFERROR(INDEX('G-8 Condition Look up'!$I$4:$I$135,MATCH(G168,'G-8 Condition Look up'!$A$4:$A$135,0)),"")</f>
        <v/>
      </c>
      <c r="D168" s="287">
        <v>158</v>
      </c>
      <c r="E168" s="267"/>
      <c r="F168" s="61"/>
      <c r="G168" s="52" t="str">
        <f>IFERROR(INDEX('G-1 All Habitats'!$B$3:$B$134,MATCH(F168,'G-1 All Habitats'!$A$3:$A$134,0)),"")</f>
        <v/>
      </c>
      <c r="H168" s="53"/>
      <c r="I168" s="362" t="str">
        <f>IF(G168="","",VLOOKUP(G168,'G-1 All Habitats'!$B$2:$M$134,10,FALSE))</f>
        <v/>
      </c>
      <c r="J168" s="363" t="str">
        <f>IFERROR(VLOOKUP(I168,'G-1 All Habitats'!$V$3:$W$7,2,FALSE),"")</f>
        <v/>
      </c>
      <c r="K168" s="54"/>
      <c r="L168" s="363" t="str">
        <f>IFERROR(INDEX('G-8 Condition Look up'!$A$3:$H$135,MATCH(G168,'G-8 Condition Look up'!$A$3:$A$135,0),MATCH(K168,'G-8 Condition Look up'!$A$3:$H$3,0)),"")</f>
        <v/>
      </c>
      <c r="M168" s="54"/>
      <c r="N168" s="382" t="str">
        <f>IF(M168="","",IF(VLOOKUP(M168,'G-3 Multipliers'!$L$3:$N$6,2,FALSE)=0,"Spatial Data Missing",VLOOKUP(M168,'G-3 Multipliers'!$L$3:$N$6,2,FALSE)))</f>
        <v/>
      </c>
      <c r="O168" s="368" t="str">
        <f>IF(M168="","",IF(VLOOKUP(M168,'G-3 Multipliers'!$L$3:$N$6,3,FALSE)=0,"Spatial Data Missing",VLOOKUP(M168,'G-3 Multipliers'!$L$3:$N$6,3,FALSE)))</f>
        <v/>
      </c>
      <c r="P168" s="369" t="str">
        <f>IFERROR(VLOOKUP(G168,'G-1 All Habitats'!$B$2:$M$134,12,FALSE),"")</f>
        <v/>
      </c>
      <c r="Q168" s="376" t="str">
        <f>IFERROR(IF(P168="","",IF(AND(P168='G-1 All Habitats'!$X$3,T168&gt;0),U168+V168,IF(AND(P168='G-1 All Habitats'!$X$3,S168&gt;0),U168+V168,IF(AND(P168='G-1 All Habitats'!$X$3,AC168&gt;0),"Any Loss Unacceptable ⚠",IF(AND(P168='G-1 All Habitats'!$X$3,W168&gt;0),"Any Loss Unacceptable ⚠",H168*J168*L168*O168))))),"Check Data ▲")</f>
        <v/>
      </c>
      <c r="R168" s="38"/>
      <c r="S168" s="54"/>
      <c r="T168" s="55"/>
      <c r="U168" s="374" t="str">
        <f t="shared" si="13"/>
        <v/>
      </c>
      <c r="V168" s="374" t="str">
        <f t="shared" si="14"/>
        <v/>
      </c>
      <c r="W168" s="374" t="str">
        <f>IF(E168="","",IF(H168&lt;S168+T168,"Error in Areas ▲",IF(P168&lt;&gt;'G-1 All Habitats'!$X$3,H168-S168-T168,IF(AND(P168='G-1 All Habitats'!$X$3,Y168="Yes"),"Unacceptable Loss ⚠",IF(AND(P168='G-1 All Habitats'!$X$3,Y168="No"),AC168,IF(AND(P168='G-1 All Habitats'!$X$3,Y168=""),AC168,IF(AND(P168='G-1 All Habitats'!$X$3,AC168="None",AC168),IF(AND(P168='G-1 All Habitats'!$X$3,AC168&gt;0),H168-S168-T168))))))))</f>
        <v/>
      </c>
      <c r="X168" s="378" t="str">
        <f>IFERROR(IF(H168="","",IF(H168-S168-T168=0&lt;0,"Error in Areas ▲",IF(S168+T168&gt;H168,"Error in Areas ▲",IF(AND(P168='G-1 All Habitats'!$X$3,Y168="Yes"),"Alternative Compensation ✓",IF(W168=0,0,IF(P168='G-1 All Habitats'!$X$3,"Any Loss Unacceptable ▲",Q168-U168-V168)))))),"Check Data ▲")</f>
        <v/>
      </c>
      <c r="Y168" s="55"/>
      <c r="Z168" s="62"/>
      <c r="AA168" s="526"/>
      <c r="AB168" s="120"/>
      <c r="AC168" s="726" t="str">
        <f>IF(P168="","",IF(P168='G-1 All Habitats'!$X$3,H168-S168-T168,"None"))</f>
        <v/>
      </c>
      <c r="AD168" s="727" t="str">
        <f>IF(P168="","", IF(P168='G-1 All Habitats'!$X$3, AC168*J168*L168*O168,"None"))</f>
        <v/>
      </c>
      <c r="AF168" s="40" t="str">
        <f t="shared" si="10"/>
        <v/>
      </c>
      <c r="AG168" s="40" t="str">
        <f t="shared" si="11"/>
        <v/>
      </c>
      <c r="AH168" s="40" t="str">
        <f>IF(I168="","",IF(#REF!&gt;0,TRUE,FALSE))</f>
        <v/>
      </c>
      <c r="AI168" s="40">
        <v>158</v>
      </c>
      <c r="AJ168" s="40"/>
      <c r="AK168" s="40" t="str">
        <f t="array" ref="AK168">IFERROR(INDEX($AI$11:$AI$259, MATCH(0, IF(TRUE=$AF$11:$AF$259, COUNTIF($AK$10:$AK167, $AI$11:$AI$259), ""), 0)),"")</f>
        <v/>
      </c>
      <c r="AL168" s="40" t="str">
        <f t="array" ref="AL168">IFERROR(INDEX($AI$11:$AI$259, MATCH(0, IF(TRUE=$AG$11:$AG$259, COUNTIF($AL$10:$AL167, $AI$11:$AI$259), ""), 0)),"")</f>
        <v/>
      </c>
      <c r="AM168" s="40" t="str">
        <f t="array" ref="AM168">IFERROR(INDEX($AI$11:$AI$259, MATCH(0, IF(TRUE=$AH$11:$AH$259, COUNTIF($AM$10:$AM167, $AI$11:$AI$259), ""), 0)),"")</f>
        <v/>
      </c>
      <c r="AN168" s="40"/>
      <c r="AQ168" s="35">
        <f t="shared" si="12"/>
        <v>0</v>
      </c>
    </row>
    <row r="169" spans="1:43">
      <c r="A169" s="35" t="str">
        <f>IFERROR(INDEX('G-1 All Habitats'!$AG$3:$AG$17,MATCH(E169,'G-1 All Habitats'!$AF$3:$AF$17,0)),"")</f>
        <v/>
      </c>
      <c r="B169" s="35" t="str">
        <f>IFERROR(INDEX('G-8 Condition Look up'!$I$4:$I$135,MATCH(G169,'G-8 Condition Look up'!$A$4:$A$135,0)),"")</f>
        <v/>
      </c>
      <c r="D169" s="287">
        <v>159</v>
      </c>
      <c r="E169" s="267"/>
      <c r="F169" s="61"/>
      <c r="G169" s="52" t="str">
        <f>IFERROR(INDEX('G-1 All Habitats'!$B$3:$B$134,MATCH(F169,'G-1 All Habitats'!$A$3:$A$134,0)),"")</f>
        <v/>
      </c>
      <c r="H169" s="53"/>
      <c r="I169" s="362" t="str">
        <f>IF(G169="","",VLOOKUP(G169,'G-1 All Habitats'!$B$2:$M$134,10,FALSE))</f>
        <v/>
      </c>
      <c r="J169" s="363" t="str">
        <f>IFERROR(VLOOKUP(I169,'G-1 All Habitats'!$V$3:$W$7,2,FALSE),"")</f>
        <v/>
      </c>
      <c r="K169" s="54"/>
      <c r="L169" s="363" t="str">
        <f>IFERROR(INDEX('G-8 Condition Look up'!$A$3:$H$135,MATCH(G169,'G-8 Condition Look up'!$A$3:$A$135,0),MATCH(K169,'G-8 Condition Look up'!$A$3:$H$3,0)),"")</f>
        <v/>
      </c>
      <c r="M169" s="54"/>
      <c r="N169" s="382" t="str">
        <f>IF(M169="","",IF(VLOOKUP(M169,'G-3 Multipliers'!$L$3:$N$6,2,FALSE)=0,"Spatial Data Missing",VLOOKUP(M169,'G-3 Multipliers'!$L$3:$N$6,2,FALSE)))</f>
        <v/>
      </c>
      <c r="O169" s="368" t="str">
        <f>IF(M169="","",IF(VLOOKUP(M169,'G-3 Multipliers'!$L$3:$N$6,3,FALSE)=0,"Spatial Data Missing",VLOOKUP(M169,'G-3 Multipliers'!$L$3:$N$6,3,FALSE)))</f>
        <v/>
      </c>
      <c r="P169" s="369" t="str">
        <f>IFERROR(VLOOKUP(G169,'G-1 All Habitats'!$B$2:$M$134,12,FALSE),"")</f>
        <v/>
      </c>
      <c r="Q169" s="376" t="str">
        <f>IFERROR(IF(P169="","",IF(AND(P169='G-1 All Habitats'!$X$3,T169&gt;0),U169+V169,IF(AND(P169='G-1 All Habitats'!$X$3,S169&gt;0),U169+V169,IF(AND(P169='G-1 All Habitats'!$X$3,AC169&gt;0),"Any Loss Unacceptable ⚠",IF(AND(P169='G-1 All Habitats'!$X$3,W169&gt;0),"Any Loss Unacceptable ⚠",H169*J169*L169*O169))))),"Check Data ▲")</f>
        <v/>
      </c>
      <c r="R169" s="38"/>
      <c r="S169" s="54"/>
      <c r="T169" s="55"/>
      <c r="U169" s="374" t="str">
        <f t="shared" si="13"/>
        <v/>
      </c>
      <c r="V169" s="374" t="str">
        <f t="shared" si="14"/>
        <v/>
      </c>
      <c r="W169" s="374" t="str">
        <f>IF(E169="","",IF(H169&lt;S169+T169,"Error in Areas ▲",IF(P169&lt;&gt;'G-1 All Habitats'!$X$3,H169-S169-T169,IF(AND(P169='G-1 All Habitats'!$X$3,Y169="Yes"),"Unacceptable Loss ⚠",IF(AND(P169='G-1 All Habitats'!$X$3,Y169="No"),AC169,IF(AND(P169='G-1 All Habitats'!$X$3,Y169=""),AC169,IF(AND(P169='G-1 All Habitats'!$X$3,AC169="None",AC169),IF(AND(P169='G-1 All Habitats'!$X$3,AC169&gt;0),H169-S169-T169))))))))</f>
        <v/>
      </c>
      <c r="X169" s="378" t="str">
        <f>IFERROR(IF(H169="","",IF(H169-S169-T169=0&lt;0,"Error in Areas ▲",IF(S169+T169&gt;H169,"Error in Areas ▲",IF(AND(P169='G-1 All Habitats'!$X$3,Y169="Yes"),"Alternative Compensation ✓",IF(W169=0,0,IF(P169='G-1 All Habitats'!$X$3,"Any Loss Unacceptable ▲",Q169-U169-V169)))))),"Check Data ▲")</f>
        <v/>
      </c>
      <c r="Y169" s="55"/>
      <c r="Z169" s="62"/>
      <c r="AA169" s="526"/>
      <c r="AB169" s="120"/>
      <c r="AC169" s="726" t="str">
        <f>IF(P169="","",IF(P169='G-1 All Habitats'!$X$3,H169-S169-T169,"None"))</f>
        <v/>
      </c>
      <c r="AD169" s="727" t="str">
        <f>IF(P169="","", IF(P169='G-1 All Habitats'!$X$3, AC169*J169*L169*O169,"None"))</f>
        <v/>
      </c>
      <c r="AF169" s="40" t="str">
        <f t="shared" si="10"/>
        <v/>
      </c>
      <c r="AG169" s="40" t="str">
        <f t="shared" si="11"/>
        <v/>
      </c>
      <c r="AH169" s="40" t="str">
        <f>IF(I169="","",IF(#REF!&gt;0,TRUE,FALSE))</f>
        <v/>
      </c>
      <c r="AI169" s="40">
        <v>159</v>
      </c>
      <c r="AJ169" s="40"/>
      <c r="AK169" s="40" t="str">
        <f t="array" ref="AK169">IFERROR(INDEX($AI$11:$AI$259, MATCH(0, IF(TRUE=$AF$11:$AF$259, COUNTIF($AK$10:$AK168, $AI$11:$AI$259), ""), 0)),"")</f>
        <v/>
      </c>
      <c r="AL169" s="40" t="str">
        <f t="array" ref="AL169">IFERROR(INDEX($AI$11:$AI$259, MATCH(0, IF(TRUE=$AG$11:$AG$259, COUNTIF($AL$10:$AL168, $AI$11:$AI$259), ""), 0)),"")</f>
        <v/>
      </c>
      <c r="AM169" s="40" t="str">
        <f t="array" ref="AM169">IFERROR(INDEX($AI$11:$AI$259, MATCH(0, IF(TRUE=$AH$11:$AH$259, COUNTIF($AM$10:$AM168, $AI$11:$AI$259), ""), 0)),"")</f>
        <v/>
      </c>
      <c r="AN169" s="40"/>
      <c r="AQ169" s="35">
        <f t="shared" si="12"/>
        <v>0</v>
      </c>
    </row>
    <row r="170" spans="1:43">
      <c r="A170" s="35" t="str">
        <f>IFERROR(INDEX('G-1 All Habitats'!$AG$3:$AG$17,MATCH(E170,'G-1 All Habitats'!$AF$3:$AF$17,0)),"")</f>
        <v/>
      </c>
      <c r="B170" s="35" t="str">
        <f>IFERROR(INDEX('G-8 Condition Look up'!$I$4:$I$135,MATCH(G170,'G-8 Condition Look up'!$A$4:$A$135,0)),"")</f>
        <v/>
      </c>
      <c r="D170" s="287">
        <v>160</v>
      </c>
      <c r="E170" s="267"/>
      <c r="F170" s="61"/>
      <c r="G170" s="52" t="str">
        <f>IFERROR(INDEX('G-1 All Habitats'!$B$3:$B$134,MATCH(F170,'G-1 All Habitats'!$A$3:$A$134,0)),"")</f>
        <v/>
      </c>
      <c r="H170" s="53"/>
      <c r="I170" s="362" t="str">
        <f>IF(G170="","",VLOOKUP(G170,'G-1 All Habitats'!$B$2:$M$134,10,FALSE))</f>
        <v/>
      </c>
      <c r="J170" s="363" t="str">
        <f>IFERROR(VLOOKUP(I170,'G-1 All Habitats'!$V$3:$W$7,2,FALSE),"")</f>
        <v/>
      </c>
      <c r="K170" s="54"/>
      <c r="L170" s="363" t="str">
        <f>IFERROR(INDEX('G-8 Condition Look up'!$A$3:$H$135,MATCH(G170,'G-8 Condition Look up'!$A$3:$A$135,0),MATCH(K170,'G-8 Condition Look up'!$A$3:$H$3,0)),"")</f>
        <v/>
      </c>
      <c r="M170" s="54"/>
      <c r="N170" s="382" t="str">
        <f>IF(M170="","",IF(VLOOKUP(M170,'G-3 Multipliers'!$L$3:$N$6,2,FALSE)=0,"Spatial Data Missing",VLOOKUP(M170,'G-3 Multipliers'!$L$3:$N$6,2,FALSE)))</f>
        <v/>
      </c>
      <c r="O170" s="368" t="str">
        <f>IF(M170="","",IF(VLOOKUP(M170,'G-3 Multipliers'!$L$3:$N$6,3,FALSE)=0,"Spatial Data Missing",VLOOKUP(M170,'G-3 Multipliers'!$L$3:$N$6,3,FALSE)))</f>
        <v/>
      </c>
      <c r="P170" s="369" t="str">
        <f>IFERROR(VLOOKUP(G170,'G-1 All Habitats'!$B$2:$M$134,12,FALSE),"")</f>
        <v/>
      </c>
      <c r="Q170" s="376" t="str">
        <f>IFERROR(IF(P170="","",IF(AND(P170='G-1 All Habitats'!$X$3,T170&gt;0),U170+V170,IF(AND(P170='G-1 All Habitats'!$X$3,S170&gt;0),U170+V170,IF(AND(P170='G-1 All Habitats'!$X$3,AC170&gt;0),"Any Loss Unacceptable ⚠",IF(AND(P170='G-1 All Habitats'!$X$3,W170&gt;0),"Any Loss Unacceptable ⚠",H170*J170*L170*O170))))),"Check Data ▲")</f>
        <v/>
      </c>
      <c r="R170" s="38"/>
      <c r="S170" s="54"/>
      <c r="T170" s="55"/>
      <c r="U170" s="374" t="str">
        <f t="shared" si="13"/>
        <v/>
      </c>
      <c r="V170" s="374" t="str">
        <f t="shared" si="14"/>
        <v/>
      </c>
      <c r="W170" s="374" t="str">
        <f>IF(E170="","",IF(H170&lt;S170+T170,"Error in Areas ▲",IF(P170&lt;&gt;'G-1 All Habitats'!$X$3,H170-S170-T170,IF(AND(P170='G-1 All Habitats'!$X$3,Y170="Yes"),"Unacceptable Loss ⚠",IF(AND(P170='G-1 All Habitats'!$X$3,Y170="No"),AC170,IF(AND(P170='G-1 All Habitats'!$X$3,Y170=""),AC170,IF(AND(P170='G-1 All Habitats'!$X$3,AC170="None",AC170),IF(AND(P170='G-1 All Habitats'!$X$3,AC170&gt;0),H170-S170-T170))))))))</f>
        <v/>
      </c>
      <c r="X170" s="378" t="str">
        <f>IFERROR(IF(H170="","",IF(H170-S170-T170=0&lt;0,"Error in Areas ▲",IF(S170+T170&gt;H170,"Error in Areas ▲",IF(AND(P170='G-1 All Habitats'!$X$3,Y170="Yes"),"Alternative Compensation ✓",IF(W170=0,0,IF(P170='G-1 All Habitats'!$X$3,"Any Loss Unacceptable ▲",Q170-U170-V170)))))),"Check Data ▲")</f>
        <v/>
      </c>
      <c r="Y170" s="55"/>
      <c r="Z170" s="62"/>
      <c r="AA170" s="526"/>
      <c r="AB170" s="120"/>
      <c r="AC170" s="726" t="str">
        <f>IF(P170="","",IF(P170='G-1 All Habitats'!$X$3,H170-S170-T170,"None"))</f>
        <v/>
      </c>
      <c r="AD170" s="727" t="str">
        <f>IF(P170="","", IF(P170='G-1 All Habitats'!$X$3, AC170*J170*L170*O170,"None"))</f>
        <v/>
      </c>
      <c r="AF170" s="40" t="str">
        <f t="shared" si="10"/>
        <v/>
      </c>
      <c r="AG170" s="40" t="str">
        <f t="shared" si="11"/>
        <v/>
      </c>
      <c r="AH170" s="40" t="str">
        <f>IF(I170="","",IF(#REF!&gt;0,TRUE,FALSE))</f>
        <v/>
      </c>
      <c r="AI170" s="40">
        <v>160</v>
      </c>
      <c r="AJ170" s="40"/>
      <c r="AK170" s="40" t="str">
        <f t="array" ref="AK170">IFERROR(INDEX($AI$11:$AI$259, MATCH(0, IF(TRUE=$AF$11:$AF$259, COUNTIF($AK$10:$AK169, $AI$11:$AI$259), ""), 0)),"")</f>
        <v/>
      </c>
      <c r="AL170" s="40" t="str">
        <f t="array" ref="AL170">IFERROR(INDEX($AI$11:$AI$259, MATCH(0, IF(TRUE=$AG$11:$AG$259, COUNTIF($AL$10:$AL169, $AI$11:$AI$259), ""), 0)),"")</f>
        <v/>
      </c>
      <c r="AM170" s="40" t="str">
        <f t="array" ref="AM170">IFERROR(INDEX($AI$11:$AI$259, MATCH(0, IF(TRUE=$AH$11:$AH$259, COUNTIF($AM$10:$AM169, $AI$11:$AI$259), ""), 0)),"")</f>
        <v/>
      </c>
      <c r="AN170" s="40"/>
      <c r="AQ170" s="35">
        <f t="shared" si="12"/>
        <v>0</v>
      </c>
    </row>
    <row r="171" spans="1:43">
      <c r="A171" s="35" t="str">
        <f>IFERROR(INDEX('G-1 All Habitats'!$AG$3:$AG$17,MATCH(E171,'G-1 All Habitats'!$AF$3:$AF$17,0)),"")</f>
        <v/>
      </c>
      <c r="B171" s="35" t="str">
        <f>IFERROR(INDEX('G-8 Condition Look up'!$I$4:$I$135,MATCH(G171,'G-8 Condition Look up'!$A$4:$A$135,0)),"")</f>
        <v/>
      </c>
      <c r="D171" s="287">
        <v>161</v>
      </c>
      <c r="E171" s="267"/>
      <c r="F171" s="61"/>
      <c r="G171" s="52" t="str">
        <f>IFERROR(INDEX('G-1 All Habitats'!$B$3:$B$134,MATCH(F171,'G-1 All Habitats'!$A$3:$A$134,0)),"")</f>
        <v/>
      </c>
      <c r="H171" s="53"/>
      <c r="I171" s="362" t="str">
        <f>IF(G171="","",VLOOKUP(G171,'G-1 All Habitats'!$B$2:$M$134,10,FALSE))</f>
        <v/>
      </c>
      <c r="J171" s="363" t="str">
        <f>IFERROR(VLOOKUP(I171,'G-1 All Habitats'!$V$3:$W$7,2,FALSE),"")</f>
        <v/>
      </c>
      <c r="K171" s="54"/>
      <c r="L171" s="363" t="str">
        <f>IFERROR(INDEX('G-8 Condition Look up'!$A$3:$H$135,MATCH(G171,'G-8 Condition Look up'!$A$3:$A$135,0),MATCH(K171,'G-8 Condition Look up'!$A$3:$H$3,0)),"")</f>
        <v/>
      </c>
      <c r="M171" s="54"/>
      <c r="N171" s="382" t="str">
        <f>IF(M171="","",IF(VLOOKUP(M171,'G-3 Multipliers'!$L$3:$N$6,2,FALSE)=0,"Spatial Data Missing",VLOOKUP(M171,'G-3 Multipliers'!$L$3:$N$6,2,FALSE)))</f>
        <v/>
      </c>
      <c r="O171" s="368" t="str">
        <f>IF(M171="","",IF(VLOOKUP(M171,'G-3 Multipliers'!$L$3:$N$6,3,FALSE)=0,"Spatial Data Missing",VLOOKUP(M171,'G-3 Multipliers'!$L$3:$N$6,3,FALSE)))</f>
        <v/>
      </c>
      <c r="P171" s="369" t="str">
        <f>IFERROR(VLOOKUP(G171,'G-1 All Habitats'!$B$2:$M$134,12,FALSE),"")</f>
        <v/>
      </c>
      <c r="Q171" s="376" t="str">
        <f>IFERROR(IF(P171="","",IF(AND(P171='G-1 All Habitats'!$X$3,T171&gt;0),U171+V171,IF(AND(P171='G-1 All Habitats'!$X$3,S171&gt;0),U171+V171,IF(AND(P171='G-1 All Habitats'!$X$3,AC171&gt;0),"Any Loss Unacceptable ⚠",IF(AND(P171='G-1 All Habitats'!$X$3,W171&gt;0),"Any Loss Unacceptable ⚠",H171*J171*L171*O171))))),"Check Data ▲")</f>
        <v/>
      </c>
      <c r="R171" s="38"/>
      <c r="S171" s="54"/>
      <c r="T171" s="55"/>
      <c r="U171" s="374" t="str">
        <f t="shared" si="13"/>
        <v/>
      </c>
      <c r="V171" s="374" t="str">
        <f t="shared" si="14"/>
        <v/>
      </c>
      <c r="W171" s="374" t="str">
        <f>IF(E171="","",IF(H171&lt;S171+T171,"Error in Areas ▲",IF(P171&lt;&gt;'G-1 All Habitats'!$X$3,H171-S171-T171,IF(AND(P171='G-1 All Habitats'!$X$3,Y171="Yes"),"Unacceptable Loss ⚠",IF(AND(P171='G-1 All Habitats'!$X$3,Y171="No"),AC171,IF(AND(P171='G-1 All Habitats'!$X$3,Y171=""),AC171,IF(AND(P171='G-1 All Habitats'!$X$3,AC171="None",AC171),IF(AND(P171='G-1 All Habitats'!$X$3,AC171&gt;0),H171-S171-T171))))))))</f>
        <v/>
      </c>
      <c r="X171" s="378" t="str">
        <f>IFERROR(IF(H171="","",IF(H171-S171-T171=0&lt;0,"Error in Areas ▲",IF(S171+T171&gt;H171,"Error in Areas ▲",IF(AND(P171='G-1 All Habitats'!$X$3,Y171="Yes"),"Alternative Compensation ✓",IF(W171=0,0,IF(P171='G-1 All Habitats'!$X$3,"Any Loss Unacceptable ▲",Q171-U171-V171)))))),"Check Data ▲")</f>
        <v/>
      </c>
      <c r="Y171" s="55"/>
      <c r="Z171" s="62"/>
      <c r="AA171" s="526"/>
      <c r="AB171" s="120"/>
      <c r="AC171" s="726" t="str">
        <f>IF(P171="","",IF(P171='G-1 All Habitats'!$X$3,H171-S171-T171,"None"))</f>
        <v/>
      </c>
      <c r="AD171" s="727" t="str">
        <f>IF(P171="","", IF(P171='G-1 All Habitats'!$X$3, AC171*J171*L171*O171,"None"))</f>
        <v/>
      </c>
      <c r="AF171" s="40" t="str">
        <f t="shared" si="10"/>
        <v/>
      </c>
      <c r="AG171" s="40" t="str">
        <f t="shared" si="11"/>
        <v/>
      </c>
      <c r="AH171" s="40" t="str">
        <f>IF(I171="","",IF(#REF!&gt;0,TRUE,FALSE))</f>
        <v/>
      </c>
      <c r="AI171" s="40">
        <v>161</v>
      </c>
      <c r="AJ171" s="40"/>
      <c r="AK171" s="40" t="str">
        <f t="array" ref="AK171">IFERROR(INDEX($AI$11:$AI$259, MATCH(0, IF(TRUE=$AF$11:$AF$259, COUNTIF($AK$10:$AK170, $AI$11:$AI$259), ""), 0)),"")</f>
        <v/>
      </c>
      <c r="AL171" s="40" t="str">
        <f t="array" ref="AL171">IFERROR(INDEX($AI$11:$AI$259, MATCH(0, IF(TRUE=$AG$11:$AG$259, COUNTIF($AL$10:$AL170, $AI$11:$AI$259), ""), 0)),"")</f>
        <v/>
      </c>
      <c r="AM171" s="40" t="str">
        <f t="array" ref="AM171">IFERROR(INDEX($AI$11:$AI$259, MATCH(0, IF(TRUE=$AH$11:$AH$259, COUNTIF($AM$10:$AM170, $AI$11:$AI$259), ""), 0)),"")</f>
        <v/>
      </c>
      <c r="AN171" s="40"/>
      <c r="AQ171" s="35">
        <f t="shared" si="12"/>
        <v>0</v>
      </c>
    </row>
    <row r="172" spans="1:43">
      <c r="A172" s="35" t="str">
        <f>IFERROR(INDEX('G-1 All Habitats'!$AG$3:$AG$17,MATCH(E172,'G-1 All Habitats'!$AF$3:$AF$17,0)),"")</f>
        <v/>
      </c>
      <c r="B172" s="35" t="str">
        <f>IFERROR(INDEX('G-8 Condition Look up'!$I$4:$I$135,MATCH(G172,'G-8 Condition Look up'!$A$4:$A$135,0)),"")</f>
        <v/>
      </c>
      <c r="D172" s="287">
        <v>162</v>
      </c>
      <c r="E172" s="267"/>
      <c r="F172" s="61"/>
      <c r="G172" s="52" t="str">
        <f>IFERROR(INDEX('G-1 All Habitats'!$B$3:$B$134,MATCH(F172,'G-1 All Habitats'!$A$3:$A$134,0)),"")</f>
        <v/>
      </c>
      <c r="H172" s="53"/>
      <c r="I172" s="362" t="str">
        <f>IF(G172="","",VLOOKUP(G172,'G-1 All Habitats'!$B$2:$M$134,10,FALSE))</f>
        <v/>
      </c>
      <c r="J172" s="363" t="str">
        <f>IFERROR(VLOOKUP(I172,'G-1 All Habitats'!$V$3:$W$7,2,FALSE),"")</f>
        <v/>
      </c>
      <c r="K172" s="54"/>
      <c r="L172" s="363" t="str">
        <f>IFERROR(INDEX('G-8 Condition Look up'!$A$3:$H$135,MATCH(G172,'G-8 Condition Look up'!$A$3:$A$135,0),MATCH(K172,'G-8 Condition Look up'!$A$3:$H$3,0)),"")</f>
        <v/>
      </c>
      <c r="M172" s="54"/>
      <c r="N172" s="382" t="str">
        <f>IF(M172="","",IF(VLOOKUP(M172,'G-3 Multipliers'!$L$3:$N$6,2,FALSE)=0,"Spatial Data Missing",VLOOKUP(M172,'G-3 Multipliers'!$L$3:$N$6,2,FALSE)))</f>
        <v/>
      </c>
      <c r="O172" s="368" t="str">
        <f>IF(M172="","",IF(VLOOKUP(M172,'G-3 Multipliers'!$L$3:$N$6,3,FALSE)=0,"Spatial Data Missing",VLOOKUP(M172,'G-3 Multipliers'!$L$3:$N$6,3,FALSE)))</f>
        <v/>
      </c>
      <c r="P172" s="369" t="str">
        <f>IFERROR(VLOOKUP(G172,'G-1 All Habitats'!$B$2:$M$134,12,FALSE),"")</f>
        <v/>
      </c>
      <c r="Q172" s="376" t="str">
        <f>IFERROR(IF(P172="","",IF(AND(P172='G-1 All Habitats'!$X$3,T172&gt;0),U172+V172,IF(AND(P172='G-1 All Habitats'!$X$3,S172&gt;0),U172+V172,IF(AND(P172='G-1 All Habitats'!$X$3,AC172&gt;0),"Any Loss Unacceptable ⚠",IF(AND(P172='G-1 All Habitats'!$X$3,W172&gt;0),"Any Loss Unacceptable ⚠",H172*J172*L172*O172))))),"Check Data ▲")</f>
        <v/>
      </c>
      <c r="R172" s="38"/>
      <c r="S172" s="54"/>
      <c r="T172" s="55"/>
      <c r="U172" s="374" t="str">
        <f t="shared" si="13"/>
        <v/>
      </c>
      <c r="V172" s="374" t="str">
        <f t="shared" si="14"/>
        <v/>
      </c>
      <c r="W172" s="374" t="str">
        <f>IF(E172="","",IF(H172&lt;S172+T172,"Error in Areas ▲",IF(P172&lt;&gt;'G-1 All Habitats'!$X$3,H172-S172-T172,IF(AND(P172='G-1 All Habitats'!$X$3,Y172="Yes"),"Unacceptable Loss ⚠",IF(AND(P172='G-1 All Habitats'!$X$3,Y172="No"),AC172,IF(AND(P172='G-1 All Habitats'!$X$3,Y172=""),AC172,IF(AND(P172='G-1 All Habitats'!$X$3,AC172="None",AC172),IF(AND(P172='G-1 All Habitats'!$X$3,AC172&gt;0),H172-S172-T172))))))))</f>
        <v/>
      </c>
      <c r="X172" s="378" t="str">
        <f>IFERROR(IF(H172="","",IF(H172-S172-T172=0&lt;0,"Error in Areas ▲",IF(S172+T172&gt;H172,"Error in Areas ▲",IF(AND(P172='G-1 All Habitats'!$X$3,Y172="Yes"),"Alternative Compensation ✓",IF(W172=0,0,IF(P172='G-1 All Habitats'!$X$3,"Any Loss Unacceptable ▲",Q172-U172-V172)))))),"Check Data ▲")</f>
        <v/>
      </c>
      <c r="Y172" s="55"/>
      <c r="Z172" s="62"/>
      <c r="AA172" s="526"/>
      <c r="AB172" s="120"/>
      <c r="AC172" s="726" t="str">
        <f>IF(P172="","",IF(P172='G-1 All Habitats'!$X$3,H172-S172-T172,"None"))</f>
        <v/>
      </c>
      <c r="AD172" s="727" t="str">
        <f>IF(P172="","", IF(P172='G-1 All Habitats'!$X$3, AC172*J172*L172*O172,"None"))</f>
        <v/>
      </c>
      <c r="AF172" s="40" t="str">
        <f t="shared" si="10"/>
        <v/>
      </c>
      <c r="AG172" s="40" t="str">
        <f t="shared" si="11"/>
        <v/>
      </c>
      <c r="AH172" s="40" t="str">
        <f>IF(I172="","",IF(#REF!&gt;0,TRUE,FALSE))</f>
        <v/>
      </c>
      <c r="AI172" s="40">
        <v>162</v>
      </c>
      <c r="AJ172" s="40"/>
      <c r="AK172" s="40" t="str">
        <f t="array" ref="AK172">IFERROR(INDEX($AI$11:$AI$259, MATCH(0, IF(TRUE=$AF$11:$AF$259, COUNTIF($AK$10:$AK171, $AI$11:$AI$259), ""), 0)),"")</f>
        <v/>
      </c>
      <c r="AL172" s="40" t="str">
        <f t="array" ref="AL172">IFERROR(INDEX($AI$11:$AI$259, MATCH(0, IF(TRUE=$AG$11:$AG$259, COUNTIF($AL$10:$AL171, $AI$11:$AI$259), ""), 0)),"")</f>
        <v/>
      </c>
      <c r="AM172" s="40" t="str">
        <f t="array" ref="AM172">IFERROR(INDEX($AI$11:$AI$259, MATCH(0, IF(TRUE=$AH$11:$AH$259, COUNTIF($AM$10:$AM171, $AI$11:$AI$259), ""), 0)),"")</f>
        <v/>
      </c>
      <c r="AN172" s="40"/>
      <c r="AQ172" s="35">
        <f t="shared" si="12"/>
        <v>0</v>
      </c>
    </row>
    <row r="173" spans="1:43">
      <c r="A173" s="35" t="str">
        <f>IFERROR(INDEX('G-1 All Habitats'!$AG$3:$AG$17,MATCH(E173,'G-1 All Habitats'!$AF$3:$AF$17,0)),"")</f>
        <v/>
      </c>
      <c r="B173" s="35" t="str">
        <f>IFERROR(INDEX('G-8 Condition Look up'!$I$4:$I$135,MATCH(G173,'G-8 Condition Look up'!$A$4:$A$135,0)),"")</f>
        <v/>
      </c>
      <c r="D173" s="287">
        <v>163</v>
      </c>
      <c r="E173" s="267"/>
      <c r="F173" s="61"/>
      <c r="G173" s="52" t="str">
        <f>IFERROR(INDEX('G-1 All Habitats'!$B$3:$B$134,MATCH(F173,'G-1 All Habitats'!$A$3:$A$134,0)),"")</f>
        <v/>
      </c>
      <c r="H173" s="53"/>
      <c r="I173" s="362" t="str">
        <f>IF(G173="","",VLOOKUP(G173,'G-1 All Habitats'!$B$2:$M$134,10,FALSE))</f>
        <v/>
      </c>
      <c r="J173" s="363" t="str">
        <f>IFERROR(VLOOKUP(I173,'G-1 All Habitats'!$V$3:$W$7,2,FALSE),"")</f>
        <v/>
      </c>
      <c r="K173" s="54"/>
      <c r="L173" s="363" t="str">
        <f>IFERROR(INDEX('G-8 Condition Look up'!$A$3:$H$135,MATCH(G173,'G-8 Condition Look up'!$A$3:$A$135,0),MATCH(K173,'G-8 Condition Look up'!$A$3:$H$3,0)),"")</f>
        <v/>
      </c>
      <c r="M173" s="54"/>
      <c r="N173" s="382" t="str">
        <f>IF(M173="","",IF(VLOOKUP(M173,'G-3 Multipliers'!$L$3:$N$6,2,FALSE)=0,"Spatial Data Missing",VLOOKUP(M173,'G-3 Multipliers'!$L$3:$N$6,2,FALSE)))</f>
        <v/>
      </c>
      <c r="O173" s="368" t="str">
        <f>IF(M173="","",IF(VLOOKUP(M173,'G-3 Multipliers'!$L$3:$N$6,3,FALSE)=0,"Spatial Data Missing",VLOOKUP(M173,'G-3 Multipliers'!$L$3:$N$6,3,FALSE)))</f>
        <v/>
      </c>
      <c r="P173" s="369" t="str">
        <f>IFERROR(VLOOKUP(G173,'G-1 All Habitats'!$B$2:$M$134,12,FALSE),"")</f>
        <v/>
      </c>
      <c r="Q173" s="376" t="str">
        <f>IFERROR(IF(P173="","",IF(AND(P173='G-1 All Habitats'!$X$3,T173&gt;0),U173+V173,IF(AND(P173='G-1 All Habitats'!$X$3,S173&gt;0),U173+V173,IF(AND(P173='G-1 All Habitats'!$X$3,AC173&gt;0),"Any Loss Unacceptable ⚠",IF(AND(P173='G-1 All Habitats'!$X$3,W173&gt;0),"Any Loss Unacceptable ⚠",H173*J173*L173*O173))))),"Check Data ▲")</f>
        <v/>
      </c>
      <c r="R173" s="38"/>
      <c r="S173" s="54"/>
      <c r="T173" s="55"/>
      <c r="U173" s="374" t="str">
        <f t="shared" si="13"/>
        <v/>
      </c>
      <c r="V173" s="374" t="str">
        <f t="shared" si="14"/>
        <v/>
      </c>
      <c r="W173" s="374" t="str">
        <f>IF(E173="","",IF(H173&lt;S173+T173,"Error in Areas ▲",IF(P173&lt;&gt;'G-1 All Habitats'!$X$3,H173-S173-T173,IF(AND(P173='G-1 All Habitats'!$X$3,Y173="Yes"),"Unacceptable Loss ⚠",IF(AND(P173='G-1 All Habitats'!$X$3,Y173="No"),AC173,IF(AND(P173='G-1 All Habitats'!$X$3,Y173=""),AC173,IF(AND(P173='G-1 All Habitats'!$X$3,AC173="None",AC173),IF(AND(P173='G-1 All Habitats'!$X$3,AC173&gt;0),H173-S173-T173))))))))</f>
        <v/>
      </c>
      <c r="X173" s="378" t="str">
        <f>IFERROR(IF(H173="","",IF(H173-S173-T173=0&lt;0,"Error in Areas ▲",IF(S173+T173&gt;H173,"Error in Areas ▲",IF(AND(P173='G-1 All Habitats'!$X$3,Y173="Yes"),"Alternative Compensation ✓",IF(W173=0,0,IF(P173='G-1 All Habitats'!$X$3,"Any Loss Unacceptable ▲",Q173-U173-V173)))))),"Check Data ▲")</f>
        <v/>
      </c>
      <c r="Y173" s="55"/>
      <c r="Z173" s="62"/>
      <c r="AA173" s="526"/>
      <c r="AB173" s="120"/>
      <c r="AC173" s="726" t="str">
        <f>IF(P173="","",IF(P173='G-1 All Habitats'!$X$3,H173-S173-T173,"None"))</f>
        <v/>
      </c>
      <c r="AD173" s="727" t="str">
        <f>IF(P173="","", IF(P173='G-1 All Habitats'!$X$3, AC173*J173*L173*O173,"None"))</f>
        <v/>
      </c>
      <c r="AF173" s="40" t="str">
        <f t="shared" si="10"/>
        <v/>
      </c>
      <c r="AG173" s="40" t="str">
        <f t="shared" si="11"/>
        <v/>
      </c>
      <c r="AH173" s="40" t="str">
        <f>IF(I173="","",IF(#REF!&gt;0,TRUE,FALSE))</f>
        <v/>
      </c>
      <c r="AI173" s="40">
        <v>163</v>
      </c>
      <c r="AJ173" s="40"/>
      <c r="AK173" s="40" t="str">
        <f t="array" ref="AK173">IFERROR(INDEX($AI$11:$AI$259, MATCH(0, IF(TRUE=$AF$11:$AF$259, COUNTIF($AK$10:$AK172, $AI$11:$AI$259), ""), 0)),"")</f>
        <v/>
      </c>
      <c r="AL173" s="40" t="str">
        <f t="array" ref="AL173">IFERROR(INDEX($AI$11:$AI$259, MATCH(0, IF(TRUE=$AG$11:$AG$259, COUNTIF($AL$10:$AL172, $AI$11:$AI$259), ""), 0)),"")</f>
        <v/>
      </c>
      <c r="AM173" s="40" t="str">
        <f t="array" ref="AM173">IFERROR(INDEX($AI$11:$AI$259, MATCH(0, IF(TRUE=$AH$11:$AH$259, COUNTIF($AM$10:$AM172, $AI$11:$AI$259), ""), 0)),"")</f>
        <v/>
      </c>
      <c r="AN173" s="40"/>
      <c r="AQ173" s="35">
        <f t="shared" si="12"/>
        <v>0</v>
      </c>
    </row>
    <row r="174" spans="1:43">
      <c r="A174" s="35" t="str">
        <f>IFERROR(INDEX('G-1 All Habitats'!$AG$3:$AG$17,MATCH(E174,'G-1 All Habitats'!$AF$3:$AF$17,0)),"")</f>
        <v/>
      </c>
      <c r="B174" s="35" t="str">
        <f>IFERROR(INDEX('G-8 Condition Look up'!$I$4:$I$135,MATCH(G174,'G-8 Condition Look up'!$A$4:$A$135,0)),"")</f>
        <v/>
      </c>
      <c r="D174" s="287">
        <v>164</v>
      </c>
      <c r="E174" s="267"/>
      <c r="F174" s="61"/>
      <c r="G174" s="52" t="str">
        <f>IFERROR(INDEX('G-1 All Habitats'!$B$3:$B$134,MATCH(F174,'G-1 All Habitats'!$A$3:$A$134,0)),"")</f>
        <v/>
      </c>
      <c r="H174" s="53"/>
      <c r="I174" s="362" t="str">
        <f>IF(G174="","",VLOOKUP(G174,'G-1 All Habitats'!$B$2:$M$134,10,FALSE))</f>
        <v/>
      </c>
      <c r="J174" s="363" t="str">
        <f>IFERROR(VLOOKUP(I174,'G-1 All Habitats'!$V$3:$W$7,2,FALSE),"")</f>
        <v/>
      </c>
      <c r="K174" s="54"/>
      <c r="L174" s="363" t="str">
        <f>IFERROR(INDEX('G-8 Condition Look up'!$A$3:$H$135,MATCH(G174,'G-8 Condition Look up'!$A$3:$A$135,0),MATCH(K174,'G-8 Condition Look up'!$A$3:$H$3,0)),"")</f>
        <v/>
      </c>
      <c r="M174" s="54"/>
      <c r="N174" s="382" t="str">
        <f>IF(M174="","",IF(VLOOKUP(M174,'G-3 Multipliers'!$L$3:$N$6,2,FALSE)=0,"Spatial Data Missing",VLOOKUP(M174,'G-3 Multipliers'!$L$3:$N$6,2,FALSE)))</f>
        <v/>
      </c>
      <c r="O174" s="368" t="str">
        <f>IF(M174="","",IF(VLOOKUP(M174,'G-3 Multipliers'!$L$3:$N$6,3,FALSE)=0,"Spatial Data Missing",VLOOKUP(M174,'G-3 Multipliers'!$L$3:$N$6,3,FALSE)))</f>
        <v/>
      </c>
      <c r="P174" s="369" t="str">
        <f>IFERROR(VLOOKUP(G174,'G-1 All Habitats'!$B$2:$M$134,12,FALSE),"")</f>
        <v/>
      </c>
      <c r="Q174" s="376" t="str">
        <f>IFERROR(IF(P174="","",IF(AND(P174='G-1 All Habitats'!$X$3,T174&gt;0),U174+V174,IF(AND(P174='G-1 All Habitats'!$X$3,S174&gt;0),U174+V174,IF(AND(P174='G-1 All Habitats'!$X$3,AC174&gt;0),"Any Loss Unacceptable ⚠",IF(AND(P174='G-1 All Habitats'!$X$3,W174&gt;0),"Any Loss Unacceptable ⚠",H174*J174*L174*O174))))),"Check Data ▲")</f>
        <v/>
      </c>
      <c r="R174" s="38"/>
      <c r="S174" s="54"/>
      <c r="T174" s="55"/>
      <c r="U174" s="374" t="str">
        <f t="shared" si="13"/>
        <v/>
      </c>
      <c r="V174" s="374" t="str">
        <f t="shared" si="14"/>
        <v/>
      </c>
      <c r="W174" s="374" t="str">
        <f>IF(E174="","",IF(H174&lt;S174+T174,"Error in Areas ▲",IF(P174&lt;&gt;'G-1 All Habitats'!$X$3,H174-S174-T174,IF(AND(P174='G-1 All Habitats'!$X$3,Y174="Yes"),"Unacceptable Loss ⚠",IF(AND(P174='G-1 All Habitats'!$X$3,Y174="No"),AC174,IF(AND(P174='G-1 All Habitats'!$X$3,Y174=""),AC174,IF(AND(P174='G-1 All Habitats'!$X$3,AC174="None",AC174),IF(AND(P174='G-1 All Habitats'!$X$3,AC174&gt;0),H174-S174-T174))))))))</f>
        <v/>
      </c>
      <c r="X174" s="378" t="str">
        <f>IFERROR(IF(H174="","",IF(H174-S174-T174=0&lt;0,"Error in Areas ▲",IF(S174+T174&gt;H174,"Error in Areas ▲",IF(AND(P174='G-1 All Habitats'!$X$3,Y174="Yes"),"Alternative Compensation ✓",IF(W174=0,0,IF(P174='G-1 All Habitats'!$X$3,"Any Loss Unacceptable ▲",Q174-U174-V174)))))),"Check Data ▲")</f>
        <v/>
      </c>
      <c r="Y174" s="55"/>
      <c r="Z174" s="62"/>
      <c r="AA174" s="526"/>
      <c r="AB174" s="120"/>
      <c r="AC174" s="726" t="str">
        <f>IF(P174="","",IF(P174='G-1 All Habitats'!$X$3,H174-S174-T174,"None"))</f>
        <v/>
      </c>
      <c r="AD174" s="727" t="str">
        <f>IF(P174="","", IF(P174='G-1 All Habitats'!$X$3, AC174*J174*L174*O174,"None"))</f>
        <v/>
      </c>
      <c r="AF174" s="40" t="str">
        <f t="shared" si="10"/>
        <v/>
      </c>
      <c r="AG174" s="40" t="str">
        <f t="shared" si="11"/>
        <v/>
      </c>
      <c r="AH174" s="40" t="str">
        <f>IF(I174="","",IF(#REF!&gt;0,TRUE,FALSE))</f>
        <v/>
      </c>
      <c r="AI174" s="40">
        <v>164</v>
      </c>
      <c r="AJ174" s="40"/>
      <c r="AK174" s="40" t="str">
        <f t="array" ref="AK174">IFERROR(INDEX($AI$11:$AI$259, MATCH(0, IF(TRUE=$AF$11:$AF$259, COUNTIF($AK$10:$AK173, $AI$11:$AI$259), ""), 0)),"")</f>
        <v/>
      </c>
      <c r="AL174" s="40" t="str">
        <f t="array" ref="AL174">IFERROR(INDEX($AI$11:$AI$259, MATCH(0, IF(TRUE=$AG$11:$AG$259, COUNTIF($AL$10:$AL173, $AI$11:$AI$259), ""), 0)),"")</f>
        <v/>
      </c>
      <c r="AM174" s="40" t="str">
        <f t="array" ref="AM174">IFERROR(INDEX($AI$11:$AI$259, MATCH(0, IF(TRUE=$AH$11:$AH$259, COUNTIF($AM$10:$AM173, $AI$11:$AI$259), ""), 0)),"")</f>
        <v/>
      </c>
      <c r="AN174" s="40"/>
      <c r="AQ174" s="35">
        <f t="shared" si="12"/>
        <v>0</v>
      </c>
    </row>
    <row r="175" spans="1:43">
      <c r="A175" s="35" t="str">
        <f>IFERROR(INDEX('G-1 All Habitats'!$AG$3:$AG$17,MATCH(E175,'G-1 All Habitats'!$AF$3:$AF$17,0)),"")</f>
        <v/>
      </c>
      <c r="B175" s="35" t="str">
        <f>IFERROR(INDEX('G-8 Condition Look up'!$I$4:$I$135,MATCH(G175,'G-8 Condition Look up'!$A$4:$A$135,0)),"")</f>
        <v/>
      </c>
      <c r="D175" s="287">
        <v>165</v>
      </c>
      <c r="E175" s="267"/>
      <c r="F175" s="61"/>
      <c r="G175" s="52" t="str">
        <f>IFERROR(INDEX('G-1 All Habitats'!$B$3:$B$134,MATCH(F175,'G-1 All Habitats'!$A$3:$A$134,0)),"")</f>
        <v/>
      </c>
      <c r="H175" s="53"/>
      <c r="I175" s="362" t="str">
        <f>IF(G175="","",VLOOKUP(G175,'G-1 All Habitats'!$B$2:$M$134,10,FALSE))</f>
        <v/>
      </c>
      <c r="J175" s="363" t="str">
        <f>IFERROR(VLOOKUP(I175,'G-1 All Habitats'!$V$3:$W$7,2,FALSE),"")</f>
        <v/>
      </c>
      <c r="K175" s="54"/>
      <c r="L175" s="363" t="str">
        <f>IFERROR(INDEX('G-8 Condition Look up'!$A$3:$H$135,MATCH(G175,'G-8 Condition Look up'!$A$3:$A$135,0),MATCH(K175,'G-8 Condition Look up'!$A$3:$H$3,0)),"")</f>
        <v/>
      </c>
      <c r="M175" s="54"/>
      <c r="N175" s="382" t="str">
        <f>IF(M175="","",IF(VLOOKUP(M175,'G-3 Multipliers'!$L$3:$N$6,2,FALSE)=0,"Spatial Data Missing",VLOOKUP(M175,'G-3 Multipliers'!$L$3:$N$6,2,FALSE)))</f>
        <v/>
      </c>
      <c r="O175" s="368" t="str">
        <f>IF(M175="","",IF(VLOOKUP(M175,'G-3 Multipliers'!$L$3:$N$6,3,FALSE)=0,"Spatial Data Missing",VLOOKUP(M175,'G-3 Multipliers'!$L$3:$N$6,3,FALSE)))</f>
        <v/>
      </c>
      <c r="P175" s="369" t="str">
        <f>IFERROR(VLOOKUP(G175,'G-1 All Habitats'!$B$2:$M$134,12,FALSE),"")</f>
        <v/>
      </c>
      <c r="Q175" s="376" t="str">
        <f>IFERROR(IF(P175="","",IF(AND(P175='G-1 All Habitats'!$X$3,T175&gt;0),U175+V175,IF(AND(P175='G-1 All Habitats'!$X$3,S175&gt;0),U175+V175,IF(AND(P175='G-1 All Habitats'!$X$3,AC175&gt;0),"Any Loss Unacceptable ⚠",IF(AND(P175='G-1 All Habitats'!$X$3,W175&gt;0),"Any Loss Unacceptable ⚠",H175*J175*L175*O175))))),"Check Data ▲")</f>
        <v/>
      </c>
      <c r="R175" s="38"/>
      <c r="S175" s="54"/>
      <c r="T175" s="55"/>
      <c r="U175" s="374" t="str">
        <f t="shared" si="13"/>
        <v/>
      </c>
      <c r="V175" s="374" t="str">
        <f t="shared" si="14"/>
        <v/>
      </c>
      <c r="W175" s="374" t="str">
        <f>IF(E175="","",IF(H175&lt;S175+T175,"Error in Areas ▲",IF(P175&lt;&gt;'G-1 All Habitats'!$X$3,H175-S175-T175,IF(AND(P175='G-1 All Habitats'!$X$3,Y175="Yes"),"Unacceptable Loss ⚠",IF(AND(P175='G-1 All Habitats'!$X$3,Y175="No"),AC175,IF(AND(P175='G-1 All Habitats'!$X$3,Y175=""),AC175,IF(AND(P175='G-1 All Habitats'!$X$3,AC175="None",AC175),IF(AND(P175='G-1 All Habitats'!$X$3,AC175&gt;0),H175-S175-T175))))))))</f>
        <v/>
      </c>
      <c r="X175" s="378" t="str">
        <f>IFERROR(IF(H175="","",IF(H175-S175-T175=0&lt;0,"Error in Areas ▲",IF(S175+T175&gt;H175,"Error in Areas ▲",IF(AND(P175='G-1 All Habitats'!$X$3,Y175="Yes"),"Alternative Compensation ✓",IF(W175=0,0,IF(P175='G-1 All Habitats'!$X$3,"Any Loss Unacceptable ▲",Q175-U175-V175)))))),"Check Data ▲")</f>
        <v/>
      </c>
      <c r="Y175" s="55"/>
      <c r="Z175" s="62"/>
      <c r="AA175" s="526"/>
      <c r="AB175" s="120"/>
      <c r="AC175" s="726" t="str">
        <f>IF(P175="","",IF(P175='G-1 All Habitats'!$X$3,H175-S175-T175,"None"))</f>
        <v/>
      </c>
      <c r="AD175" s="727" t="str">
        <f>IF(P175="","", IF(P175='G-1 All Habitats'!$X$3, AC175*J175*L175*O175,"None"))</f>
        <v/>
      </c>
      <c r="AF175" s="40" t="str">
        <f t="shared" si="10"/>
        <v/>
      </c>
      <c r="AG175" s="40" t="str">
        <f t="shared" si="11"/>
        <v/>
      </c>
      <c r="AH175" s="40" t="str">
        <f>IF(I175="","",IF(#REF!&gt;0,TRUE,FALSE))</f>
        <v/>
      </c>
      <c r="AI175" s="40">
        <v>165</v>
      </c>
      <c r="AJ175" s="40"/>
      <c r="AK175" s="40" t="str">
        <f t="array" ref="AK175">IFERROR(INDEX($AI$11:$AI$259, MATCH(0, IF(TRUE=$AF$11:$AF$259, COUNTIF($AK$10:$AK174, $AI$11:$AI$259), ""), 0)),"")</f>
        <v/>
      </c>
      <c r="AL175" s="40" t="str">
        <f t="array" ref="AL175">IFERROR(INDEX($AI$11:$AI$259, MATCH(0, IF(TRUE=$AG$11:$AG$259, COUNTIF($AL$10:$AL174, $AI$11:$AI$259), ""), 0)),"")</f>
        <v/>
      </c>
      <c r="AM175" s="40" t="str">
        <f t="array" ref="AM175">IFERROR(INDEX($AI$11:$AI$259, MATCH(0, IF(TRUE=$AH$11:$AH$259, COUNTIF($AM$10:$AM174, $AI$11:$AI$259), ""), 0)),"")</f>
        <v/>
      </c>
      <c r="AN175" s="40"/>
      <c r="AQ175" s="35">
        <f t="shared" si="12"/>
        <v>0</v>
      </c>
    </row>
    <row r="176" spans="1:43">
      <c r="A176" s="35" t="str">
        <f>IFERROR(INDEX('G-1 All Habitats'!$AG$3:$AG$17,MATCH(E176,'G-1 All Habitats'!$AF$3:$AF$17,0)),"")</f>
        <v/>
      </c>
      <c r="B176" s="35" t="str">
        <f>IFERROR(INDEX('G-8 Condition Look up'!$I$4:$I$135,MATCH(G176,'G-8 Condition Look up'!$A$4:$A$135,0)),"")</f>
        <v/>
      </c>
      <c r="D176" s="287">
        <v>166</v>
      </c>
      <c r="E176" s="267"/>
      <c r="F176" s="61"/>
      <c r="G176" s="52" t="str">
        <f>IFERROR(INDEX('G-1 All Habitats'!$B$3:$B$134,MATCH(F176,'G-1 All Habitats'!$A$3:$A$134,0)),"")</f>
        <v/>
      </c>
      <c r="H176" s="53"/>
      <c r="I176" s="362" t="str">
        <f>IF(G176="","",VLOOKUP(G176,'G-1 All Habitats'!$B$2:$M$134,10,FALSE))</f>
        <v/>
      </c>
      <c r="J176" s="363" t="str">
        <f>IFERROR(VLOOKUP(I176,'G-1 All Habitats'!$V$3:$W$7,2,FALSE),"")</f>
        <v/>
      </c>
      <c r="K176" s="54"/>
      <c r="L176" s="363" t="str">
        <f>IFERROR(INDEX('G-8 Condition Look up'!$A$3:$H$135,MATCH(G176,'G-8 Condition Look up'!$A$3:$A$135,0),MATCH(K176,'G-8 Condition Look up'!$A$3:$H$3,0)),"")</f>
        <v/>
      </c>
      <c r="M176" s="54"/>
      <c r="N176" s="382" t="str">
        <f>IF(M176="","",IF(VLOOKUP(M176,'G-3 Multipliers'!$L$3:$N$6,2,FALSE)=0,"Spatial Data Missing",VLOOKUP(M176,'G-3 Multipliers'!$L$3:$N$6,2,FALSE)))</f>
        <v/>
      </c>
      <c r="O176" s="368" t="str">
        <f>IF(M176="","",IF(VLOOKUP(M176,'G-3 Multipliers'!$L$3:$N$6,3,FALSE)=0,"Spatial Data Missing",VLOOKUP(M176,'G-3 Multipliers'!$L$3:$N$6,3,FALSE)))</f>
        <v/>
      </c>
      <c r="P176" s="369" t="str">
        <f>IFERROR(VLOOKUP(G176,'G-1 All Habitats'!$B$2:$M$134,12,FALSE),"")</f>
        <v/>
      </c>
      <c r="Q176" s="376" t="str">
        <f>IFERROR(IF(P176="","",IF(AND(P176='G-1 All Habitats'!$X$3,T176&gt;0),U176+V176,IF(AND(P176='G-1 All Habitats'!$X$3,S176&gt;0),U176+V176,IF(AND(P176='G-1 All Habitats'!$X$3,AC176&gt;0),"Any Loss Unacceptable ⚠",IF(AND(P176='G-1 All Habitats'!$X$3,W176&gt;0),"Any Loss Unacceptable ⚠",H176*J176*L176*O176))))),"Check Data ▲")</f>
        <v/>
      </c>
      <c r="R176" s="38"/>
      <c r="S176" s="54"/>
      <c r="T176" s="55"/>
      <c r="U176" s="374" t="str">
        <f t="shared" si="13"/>
        <v/>
      </c>
      <c r="V176" s="374" t="str">
        <f t="shared" si="14"/>
        <v/>
      </c>
      <c r="W176" s="374" t="str">
        <f>IF(E176="","",IF(H176&lt;S176+T176,"Error in Areas ▲",IF(P176&lt;&gt;'G-1 All Habitats'!$X$3,H176-S176-T176,IF(AND(P176='G-1 All Habitats'!$X$3,Y176="Yes"),"Unacceptable Loss ⚠",IF(AND(P176='G-1 All Habitats'!$X$3,Y176="No"),AC176,IF(AND(P176='G-1 All Habitats'!$X$3,Y176=""),AC176,IF(AND(P176='G-1 All Habitats'!$X$3,AC176="None",AC176),IF(AND(P176='G-1 All Habitats'!$X$3,AC176&gt;0),H176-S176-T176))))))))</f>
        <v/>
      </c>
      <c r="X176" s="378" t="str">
        <f>IFERROR(IF(H176="","",IF(H176-S176-T176=0&lt;0,"Error in Areas ▲",IF(S176+T176&gt;H176,"Error in Areas ▲",IF(AND(P176='G-1 All Habitats'!$X$3,Y176="Yes"),"Alternative Compensation ✓",IF(W176=0,0,IF(P176='G-1 All Habitats'!$X$3,"Any Loss Unacceptable ▲",Q176-U176-V176)))))),"Check Data ▲")</f>
        <v/>
      </c>
      <c r="Y176" s="55"/>
      <c r="Z176" s="62"/>
      <c r="AA176" s="526"/>
      <c r="AB176" s="120"/>
      <c r="AC176" s="726" t="str">
        <f>IF(P176="","",IF(P176='G-1 All Habitats'!$X$3,H176-S176-T176,"None"))</f>
        <v/>
      </c>
      <c r="AD176" s="727" t="str">
        <f>IF(P176="","", IF(P176='G-1 All Habitats'!$X$3, AC176*J176*L176*O176,"None"))</f>
        <v/>
      </c>
      <c r="AF176" s="40" t="str">
        <f t="shared" si="10"/>
        <v/>
      </c>
      <c r="AG176" s="40" t="str">
        <f t="shared" si="11"/>
        <v/>
      </c>
      <c r="AH176" s="40" t="str">
        <f>IF(I176="","",IF(#REF!&gt;0,TRUE,FALSE))</f>
        <v/>
      </c>
      <c r="AI176" s="40">
        <v>166</v>
      </c>
      <c r="AJ176" s="40"/>
      <c r="AK176" s="40" t="str">
        <f t="array" ref="AK176">IFERROR(INDEX($AI$11:$AI$259, MATCH(0, IF(TRUE=$AF$11:$AF$259, COUNTIF($AK$10:$AK175, $AI$11:$AI$259), ""), 0)),"")</f>
        <v/>
      </c>
      <c r="AL176" s="40" t="str">
        <f t="array" ref="AL176">IFERROR(INDEX($AI$11:$AI$259, MATCH(0, IF(TRUE=$AG$11:$AG$259, COUNTIF($AL$10:$AL175, $AI$11:$AI$259), ""), 0)),"")</f>
        <v/>
      </c>
      <c r="AM176" s="40" t="str">
        <f t="array" ref="AM176">IFERROR(INDEX($AI$11:$AI$259, MATCH(0, IF(TRUE=$AH$11:$AH$259, COUNTIF($AM$10:$AM175, $AI$11:$AI$259), ""), 0)),"")</f>
        <v/>
      </c>
      <c r="AN176" s="40"/>
      <c r="AQ176" s="35">
        <f t="shared" si="12"/>
        <v>0</v>
      </c>
    </row>
    <row r="177" spans="1:43">
      <c r="A177" s="35" t="str">
        <f>IFERROR(INDEX('G-1 All Habitats'!$AG$3:$AG$17,MATCH(E177,'G-1 All Habitats'!$AF$3:$AF$17,0)),"")</f>
        <v/>
      </c>
      <c r="B177" s="35" t="str">
        <f>IFERROR(INDEX('G-8 Condition Look up'!$I$4:$I$135,MATCH(G177,'G-8 Condition Look up'!$A$4:$A$135,0)),"")</f>
        <v/>
      </c>
      <c r="D177" s="287">
        <v>167</v>
      </c>
      <c r="E177" s="267"/>
      <c r="F177" s="61"/>
      <c r="G177" s="52" t="str">
        <f>IFERROR(INDEX('G-1 All Habitats'!$B$3:$B$134,MATCH(F177,'G-1 All Habitats'!$A$3:$A$134,0)),"")</f>
        <v/>
      </c>
      <c r="H177" s="53"/>
      <c r="I177" s="362" t="str">
        <f>IF(G177="","",VLOOKUP(G177,'G-1 All Habitats'!$B$2:$M$134,10,FALSE))</f>
        <v/>
      </c>
      <c r="J177" s="363" t="str">
        <f>IFERROR(VLOOKUP(I177,'G-1 All Habitats'!$V$3:$W$7,2,FALSE),"")</f>
        <v/>
      </c>
      <c r="K177" s="54"/>
      <c r="L177" s="363" t="str">
        <f>IFERROR(INDEX('G-8 Condition Look up'!$A$3:$H$135,MATCH(G177,'G-8 Condition Look up'!$A$3:$A$135,0),MATCH(K177,'G-8 Condition Look up'!$A$3:$H$3,0)),"")</f>
        <v/>
      </c>
      <c r="M177" s="54"/>
      <c r="N177" s="382" t="str">
        <f>IF(M177="","",IF(VLOOKUP(M177,'G-3 Multipliers'!$L$3:$N$6,2,FALSE)=0,"Spatial Data Missing",VLOOKUP(M177,'G-3 Multipliers'!$L$3:$N$6,2,FALSE)))</f>
        <v/>
      </c>
      <c r="O177" s="368" t="str">
        <f>IF(M177="","",IF(VLOOKUP(M177,'G-3 Multipliers'!$L$3:$N$6,3,FALSE)=0,"Spatial Data Missing",VLOOKUP(M177,'G-3 Multipliers'!$L$3:$N$6,3,FALSE)))</f>
        <v/>
      </c>
      <c r="P177" s="369" t="str">
        <f>IFERROR(VLOOKUP(G177,'G-1 All Habitats'!$B$2:$M$134,12,FALSE),"")</f>
        <v/>
      </c>
      <c r="Q177" s="376" t="str">
        <f>IFERROR(IF(P177="","",IF(AND(P177='G-1 All Habitats'!$X$3,T177&gt;0),U177+V177,IF(AND(P177='G-1 All Habitats'!$X$3,S177&gt;0),U177+V177,IF(AND(P177='G-1 All Habitats'!$X$3,AC177&gt;0),"Any Loss Unacceptable ⚠",IF(AND(P177='G-1 All Habitats'!$X$3,W177&gt;0),"Any Loss Unacceptable ⚠",H177*J177*L177*O177))))),"Check Data ▲")</f>
        <v/>
      </c>
      <c r="R177" s="38"/>
      <c r="S177" s="54"/>
      <c r="T177" s="55"/>
      <c r="U177" s="374" t="str">
        <f t="shared" si="13"/>
        <v/>
      </c>
      <c r="V177" s="374" t="str">
        <f t="shared" si="14"/>
        <v/>
      </c>
      <c r="W177" s="374" t="str">
        <f>IF(E177="","",IF(H177&lt;S177+T177,"Error in Areas ▲",IF(P177&lt;&gt;'G-1 All Habitats'!$X$3,H177-S177-T177,IF(AND(P177='G-1 All Habitats'!$X$3,Y177="Yes"),"Unacceptable Loss ⚠",IF(AND(P177='G-1 All Habitats'!$X$3,Y177="No"),AC177,IF(AND(P177='G-1 All Habitats'!$X$3,Y177=""),AC177,IF(AND(P177='G-1 All Habitats'!$X$3,AC177="None",AC177),IF(AND(P177='G-1 All Habitats'!$X$3,AC177&gt;0),H177-S177-T177))))))))</f>
        <v/>
      </c>
      <c r="X177" s="378" t="str">
        <f>IFERROR(IF(H177="","",IF(H177-S177-T177=0&lt;0,"Error in Areas ▲",IF(S177+T177&gt;H177,"Error in Areas ▲",IF(AND(P177='G-1 All Habitats'!$X$3,Y177="Yes"),"Alternative Compensation ✓",IF(W177=0,0,IF(P177='G-1 All Habitats'!$X$3,"Any Loss Unacceptable ▲",Q177-U177-V177)))))),"Check Data ▲")</f>
        <v/>
      </c>
      <c r="Y177" s="55"/>
      <c r="Z177" s="62"/>
      <c r="AA177" s="526"/>
      <c r="AB177" s="120"/>
      <c r="AC177" s="726" t="str">
        <f>IF(P177="","",IF(P177='G-1 All Habitats'!$X$3,H177-S177-T177,"None"))</f>
        <v/>
      </c>
      <c r="AD177" s="727" t="str">
        <f>IF(P177="","", IF(P177='G-1 All Habitats'!$X$3, AC177*J177*L177*O177,"None"))</f>
        <v/>
      </c>
      <c r="AF177" s="40" t="str">
        <f t="shared" si="10"/>
        <v/>
      </c>
      <c r="AG177" s="40" t="str">
        <f t="shared" si="11"/>
        <v/>
      </c>
      <c r="AH177" s="40" t="str">
        <f>IF(I177="","",IF(#REF!&gt;0,TRUE,FALSE))</f>
        <v/>
      </c>
      <c r="AI177" s="40">
        <v>167</v>
      </c>
      <c r="AJ177" s="40"/>
      <c r="AK177" s="40" t="str">
        <f t="array" ref="AK177">IFERROR(INDEX($AI$11:$AI$259, MATCH(0, IF(TRUE=$AF$11:$AF$259, COUNTIF($AK$10:$AK176, $AI$11:$AI$259), ""), 0)),"")</f>
        <v/>
      </c>
      <c r="AL177" s="40" t="str">
        <f t="array" ref="AL177">IFERROR(INDEX($AI$11:$AI$259, MATCH(0, IF(TRUE=$AG$11:$AG$259, COUNTIF($AL$10:$AL176, $AI$11:$AI$259), ""), 0)),"")</f>
        <v/>
      </c>
      <c r="AM177" s="40" t="str">
        <f t="array" ref="AM177">IFERROR(INDEX($AI$11:$AI$259, MATCH(0, IF(TRUE=$AH$11:$AH$259, COUNTIF($AM$10:$AM176, $AI$11:$AI$259), ""), 0)),"")</f>
        <v/>
      </c>
      <c r="AN177" s="40"/>
      <c r="AQ177" s="35">
        <f t="shared" si="12"/>
        <v>0</v>
      </c>
    </row>
    <row r="178" spans="1:43">
      <c r="A178" s="35" t="str">
        <f>IFERROR(INDEX('G-1 All Habitats'!$AG$3:$AG$17,MATCH(E178,'G-1 All Habitats'!$AF$3:$AF$17,0)),"")</f>
        <v/>
      </c>
      <c r="B178" s="35" t="str">
        <f>IFERROR(INDEX('G-8 Condition Look up'!$I$4:$I$135,MATCH(G178,'G-8 Condition Look up'!$A$4:$A$135,0)),"")</f>
        <v/>
      </c>
      <c r="D178" s="287">
        <v>168</v>
      </c>
      <c r="E178" s="267"/>
      <c r="F178" s="61"/>
      <c r="G178" s="52" t="str">
        <f>IFERROR(INDEX('G-1 All Habitats'!$B$3:$B$134,MATCH(F178,'G-1 All Habitats'!$A$3:$A$134,0)),"")</f>
        <v/>
      </c>
      <c r="H178" s="53"/>
      <c r="I178" s="362" t="str">
        <f>IF(G178="","",VLOOKUP(G178,'G-1 All Habitats'!$B$2:$M$134,10,FALSE))</f>
        <v/>
      </c>
      <c r="J178" s="363" t="str">
        <f>IFERROR(VLOOKUP(I178,'G-1 All Habitats'!$V$3:$W$7,2,FALSE),"")</f>
        <v/>
      </c>
      <c r="K178" s="54"/>
      <c r="L178" s="363" t="str">
        <f>IFERROR(INDEX('G-8 Condition Look up'!$A$3:$H$135,MATCH(G178,'G-8 Condition Look up'!$A$3:$A$135,0),MATCH(K178,'G-8 Condition Look up'!$A$3:$H$3,0)),"")</f>
        <v/>
      </c>
      <c r="M178" s="54"/>
      <c r="N178" s="382" t="str">
        <f>IF(M178="","",IF(VLOOKUP(M178,'G-3 Multipliers'!$L$3:$N$6,2,FALSE)=0,"Spatial Data Missing",VLOOKUP(M178,'G-3 Multipliers'!$L$3:$N$6,2,FALSE)))</f>
        <v/>
      </c>
      <c r="O178" s="368" t="str">
        <f>IF(M178="","",IF(VLOOKUP(M178,'G-3 Multipliers'!$L$3:$N$6,3,FALSE)=0,"Spatial Data Missing",VLOOKUP(M178,'G-3 Multipliers'!$L$3:$N$6,3,FALSE)))</f>
        <v/>
      </c>
      <c r="P178" s="369" t="str">
        <f>IFERROR(VLOOKUP(G178,'G-1 All Habitats'!$B$2:$M$134,12,FALSE),"")</f>
        <v/>
      </c>
      <c r="Q178" s="376" t="str">
        <f>IFERROR(IF(P178="","",IF(AND(P178='G-1 All Habitats'!$X$3,T178&gt;0),U178+V178,IF(AND(P178='G-1 All Habitats'!$X$3,S178&gt;0),U178+V178,IF(AND(P178='G-1 All Habitats'!$X$3,AC178&gt;0),"Any Loss Unacceptable ⚠",IF(AND(P178='G-1 All Habitats'!$X$3,W178&gt;0),"Any Loss Unacceptable ⚠",H178*J178*L178*O178))))),"Check Data ▲")</f>
        <v/>
      </c>
      <c r="R178" s="38"/>
      <c r="S178" s="54"/>
      <c r="T178" s="55"/>
      <c r="U178" s="374" t="str">
        <f t="shared" si="13"/>
        <v/>
      </c>
      <c r="V178" s="374" t="str">
        <f t="shared" si="14"/>
        <v/>
      </c>
      <c r="W178" s="374" t="str">
        <f>IF(E178="","",IF(H178&lt;S178+T178,"Error in Areas ▲",IF(P178&lt;&gt;'G-1 All Habitats'!$X$3,H178-S178-T178,IF(AND(P178='G-1 All Habitats'!$X$3,Y178="Yes"),"Unacceptable Loss ⚠",IF(AND(P178='G-1 All Habitats'!$X$3,Y178="No"),AC178,IF(AND(P178='G-1 All Habitats'!$X$3,Y178=""),AC178,IF(AND(P178='G-1 All Habitats'!$X$3,AC178="None",AC178),IF(AND(P178='G-1 All Habitats'!$X$3,AC178&gt;0),H178-S178-T178))))))))</f>
        <v/>
      </c>
      <c r="X178" s="378" t="str">
        <f>IFERROR(IF(H178="","",IF(H178-S178-T178=0&lt;0,"Error in Areas ▲",IF(S178+T178&gt;H178,"Error in Areas ▲",IF(AND(P178='G-1 All Habitats'!$X$3,Y178="Yes"),"Alternative Compensation ✓",IF(W178=0,0,IF(P178='G-1 All Habitats'!$X$3,"Any Loss Unacceptable ▲",Q178-U178-V178)))))),"Check Data ▲")</f>
        <v/>
      </c>
      <c r="Y178" s="55"/>
      <c r="Z178" s="62"/>
      <c r="AA178" s="526"/>
      <c r="AB178" s="120"/>
      <c r="AC178" s="726" t="str">
        <f>IF(P178="","",IF(P178='G-1 All Habitats'!$X$3,H178-S178-T178,"None"))</f>
        <v/>
      </c>
      <c r="AD178" s="727" t="str">
        <f>IF(P178="","", IF(P178='G-1 All Habitats'!$X$3, AC178*J178*L178*O178,"None"))</f>
        <v/>
      </c>
      <c r="AF178" s="40" t="str">
        <f t="shared" si="10"/>
        <v/>
      </c>
      <c r="AG178" s="40" t="str">
        <f t="shared" si="11"/>
        <v/>
      </c>
      <c r="AH178" s="40" t="str">
        <f>IF(I178="","",IF(#REF!&gt;0,TRUE,FALSE))</f>
        <v/>
      </c>
      <c r="AI178" s="40">
        <v>168</v>
      </c>
      <c r="AJ178" s="40"/>
      <c r="AK178" s="40" t="str">
        <f t="array" ref="AK178">IFERROR(INDEX($AI$11:$AI$259, MATCH(0, IF(TRUE=$AF$11:$AF$259, COUNTIF($AK$10:$AK177, $AI$11:$AI$259), ""), 0)),"")</f>
        <v/>
      </c>
      <c r="AL178" s="40" t="str">
        <f t="array" ref="AL178">IFERROR(INDEX($AI$11:$AI$259, MATCH(0, IF(TRUE=$AG$11:$AG$259, COUNTIF($AL$10:$AL177, $AI$11:$AI$259), ""), 0)),"")</f>
        <v/>
      </c>
      <c r="AM178" s="40" t="str">
        <f t="array" ref="AM178">IFERROR(INDEX($AI$11:$AI$259, MATCH(0, IF(TRUE=$AH$11:$AH$259, COUNTIF($AM$10:$AM177, $AI$11:$AI$259), ""), 0)),"")</f>
        <v/>
      </c>
      <c r="AN178" s="40"/>
      <c r="AQ178" s="35">
        <f t="shared" si="12"/>
        <v>0</v>
      </c>
    </row>
    <row r="179" spans="1:43">
      <c r="A179" s="35" t="str">
        <f>IFERROR(INDEX('G-1 All Habitats'!$AG$3:$AG$17,MATCH(E179,'G-1 All Habitats'!$AF$3:$AF$17,0)),"")</f>
        <v/>
      </c>
      <c r="B179" s="35" t="str">
        <f>IFERROR(INDEX('G-8 Condition Look up'!$I$4:$I$135,MATCH(G179,'G-8 Condition Look up'!$A$4:$A$135,0)),"")</f>
        <v/>
      </c>
      <c r="D179" s="287">
        <v>169</v>
      </c>
      <c r="E179" s="267"/>
      <c r="F179" s="61"/>
      <c r="G179" s="52" t="str">
        <f>IFERROR(INDEX('G-1 All Habitats'!$B$3:$B$134,MATCH(F179,'G-1 All Habitats'!$A$3:$A$134,0)),"")</f>
        <v/>
      </c>
      <c r="H179" s="53"/>
      <c r="I179" s="362" t="str">
        <f>IF(G179="","",VLOOKUP(G179,'G-1 All Habitats'!$B$2:$M$134,10,FALSE))</f>
        <v/>
      </c>
      <c r="J179" s="363" t="str">
        <f>IFERROR(VLOOKUP(I179,'G-1 All Habitats'!$V$3:$W$7,2,FALSE),"")</f>
        <v/>
      </c>
      <c r="K179" s="54"/>
      <c r="L179" s="363" t="str">
        <f>IFERROR(INDEX('G-8 Condition Look up'!$A$3:$H$135,MATCH(G179,'G-8 Condition Look up'!$A$3:$A$135,0),MATCH(K179,'G-8 Condition Look up'!$A$3:$H$3,0)),"")</f>
        <v/>
      </c>
      <c r="M179" s="54"/>
      <c r="N179" s="382" t="str">
        <f>IF(M179="","",IF(VLOOKUP(M179,'G-3 Multipliers'!$L$3:$N$6,2,FALSE)=0,"Spatial Data Missing",VLOOKUP(M179,'G-3 Multipliers'!$L$3:$N$6,2,FALSE)))</f>
        <v/>
      </c>
      <c r="O179" s="368" t="str">
        <f>IF(M179="","",IF(VLOOKUP(M179,'G-3 Multipliers'!$L$3:$N$6,3,FALSE)=0,"Spatial Data Missing",VLOOKUP(M179,'G-3 Multipliers'!$L$3:$N$6,3,FALSE)))</f>
        <v/>
      </c>
      <c r="P179" s="369" t="str">
        <f>IFERROR(VLOOKUP(G179,'G-1 All Habitats'!$B$2:$M$134,12,FALSE),"")</f>
        <v/>
      </c>
      <c r="Q179" s="376" t="str">
        <f>IFERROR(IF(P179="","",IF(AND(P179='G-1 All Habitats'!$X$3,T179&gt;0),U179+V179,IF(AND(P179='G-1 All Habitats'!$X$3,S179&gt;0),U179+V179,IF(AND(P179='G-1 All Habitats'!$X$3,AC179&gt;0),"Any Loss Unacceptable ⚠",IF(AND(P179='G-1 All Habitats'!$X$3,W179&gt;0),"Any Loss Unacceptable ⚠",H179*J179*L179*O179))))),"Check Data ▲")</f>
        <v/>
      </c>
      <c r="R179" s="38"/>
      <c r="S179" s="54"/>
      <c r="T179" s="55"/>
      <c r="U179" s="374" t="str">
        <f t="shared" si="13"/>
        <v/>
      </c>
      <c r="V179" s="374" t="str">
        <f t="shared" si="14"/>
        <v/>
      </c>
      <c r="W179" s="374" t="str">
        <f>IF(E179="","",IF(H179&lt;S179+T179,"Error in Areas ▲",IF(P179&lt;&gt;'G-1 All Habitats'!$X$3,H179-S179-T179,IF(AND(P179='G-1 All Habitats'!$X$3,Y179="Yes"),"Unacceptable Loss ⚠",IF(AND(P179='G-1 All Habitats'!$X$3,Y179="No"),AC179,IF(AND(P179='G-1 All Habitats'!$X$3,Y179=""),AC179,IF(AND(P179='G-1 All Habitats'!$X$3,AC179="None",AC179),IF(AND(P179='G-1 All Habitats'!$X$3,AC179&gt;0),H179-S179-T179))))))))</f>
        <v/>
      </c>
      <c r="X179" s="378" t="str">
        <f>IFERROR(IF(H179="","",IF(H179-S179-T179=0&lt;0,"Error in Areas ▲",IF(S179+T179&gt;H179,"Error in Areas ▲",IF(AND(P179='G-1 All Habitats'!$X$3,Y179="Yes"),"Alternative Compensation ✓",IF(W179=0,0,IF(P179='G-1 All Habitats'!$X$3,"Any Loss Unacceptable ▲",Q179-U179-V179)))))),"Check Data ▲")</f>
        <v/>
      </c>
      <c r="Y179" s="55"/>
      <c r="Z179" s="62"/>
      <c r="AA179" s="526"/>
      <c r="AB179" s="120"/>
      <c r="AC179" s="726" t="str">
        <f>IF(P179="","",IF(P179='G-1 All Habitats'!$X$3,H179-S179-T179,"None"))</f>
        <v/>
      </c>
      <c r="AD179" s="727" t="str">
        <f>IF(P179="","", IF(P179='G-1 All Habitats'!$X$3, AC179*J179*L179*O179,"None"))</f>
        <v/>
      </c>
      <c r="AF179" s="40" t="str">
        <f t="shared" si="10"/>
        <v/>
      </c>
      <c r="AG179" s="40" t="str">
        <f t="shared" si="11"/>
        <v/>
      </c>
      <c r="AH179" s="40" t="str">
        <f>IF(I179="","",IF(#REF!&gt;0,TRUE,FALSE))</f>
        <v/>
      </c>
      <c r="AI179" s="40">
        <v>169</v>
      </c>
      <c r="AJ179" s="40"/>
      <c r="AK179" s="40" t="str">
        <f t="array" ref="AK179">IFERROR(INDEX($AI$11:$AI$259, MATCH(0, IF(TRUE=$AF$11:$AF$259, COUNTIF($AK$10:$AK178, $AI$11:$AI$259), ""), 0)),"")</f>
        <v/>
      </c>
      <c r="AL179" s="40" t="str">
        <f t="array" ref="AL179">IFERROR(INDEX($AI$11:$AI$259, MATCH(0, IF(TRUE=$AG$11:$AG$259, COUNTIF($AL$10:$AL178, $AI$11:$AI$259), ""), 0)),"")</f>
        <v/>
      </c>
      <c r="AM179" s="40" t="str">
        <f t="array" ref="AM179">IFERROR(INDEX($AI$11:$AI$259, MATCH(0, IF(TRUE=$AH$11:$AH$259, COUNTIF($AM$10:$AM178, $AI$11:$AI$259), ""), 0)),"")</f>
        <v/>
      </c>
      <c r="AN179" s="40"/>
      <c r="AQ179" s="35">
        <f t="shared" si="12"/>
        <v>0</v>
      </c>
    </row>
    <row r="180" spans="1:43">
      <c r="A180" s="35" t="str">
        <f>IFERROR(INDEX('G-1 All Habitats'!$AG$3:$AG$17,MATCH(E180,'G-1 All Habitats'!$AF$3:$AF$17,0)),"")</f>
        <v/>
      </c>
      <c r="B180" s="35" t="str">
        <f>IFERROR(INDEX('G-8 Condition Look up'!$I$4:$I$135,MATCH(G180,'G-8 Condition Look up'!$A$4:$A$135,0)),"")</f>
        <v/>
      </c>
      <c r="D180" s="287">
        <v>170</v>
      </c>
      <c r="E180" s="267"/>
      <c r="F180" s="61"/>
      <c r="G180" s="52" t="str">
        <f>IFERROR(INDEX('G-1 All Habitats'!$B$3:$B$134,MATCH(F180,'G-1 All Habitats'!$A$3:$A$134,0)),"")</f>
        <v/>
      </c>
      <c r="H180" s="53"/>
      <c r="I180" s="362" t="str">
        <f>IF(G180="","",VLOOKUP(G180,'G-1 All Habitats'!$B$2:$M$134,10,FALSE))</f>
        <v/>
      </c>
      <c r="J180" s="363" t="str">
        <f>IFERROR(VLOOKUP(I180,'G-1 All Habitats'!$V$3:$W$7,2,FALSE),"")</f>
        <v/>
      </c>
      <c r="K180" s="54"/>
      <c r="L180" s="363" t="str">
        <f>IFERROR(INDEX('G-8 Condition Look up'!$A$3:$H$135,MATCH(G180,'G-8 Condition Look up'!$A$3:$A$135,0),MATCH(K180,'G-8 Condition Look up'!$A$3:$H$3,0)),"")</f>
        <v/>
      </c>
      <c r="M180" s="54"/>
      <c r="N180" s="382" t="str">
        <f>IF(M180="","",IF(VLOOKUP(M180,'G-3 Multipliers'!$L$3:$N$6,2,FALSE)=0,"Spatial Data Missing",VLOOKUP(M180,'G-3 Multipliers'!$L$3:$N$6,2,FALSE)))</f>
        <v/>
      </c>
      <c r="O180" s="368" t="str">
        <f>IF(M180="","",IF(VLOOKUP(M180,'G-3 Multipliers'!$L$3:$N$6,3,FALSE)=0,"Spatial Data Missing",VLOOKUP(M180,'G-3 Multipliers'!$L$3:$N$6,3,FALSE)))</f>
        <v/>
      </c>
      <c r="P180" s="369" t="str">
        <f>IFERROR(VLOOKUP(G180,'G-1 All Habitats'!$B$2:$M$134,12,FALSE),"")</f>
        <v/>
      </c>
      <c r="Q180" s="376" t="str">
        <f>IFERROR(IF(P180="","",IF(AND(P180='G-1 All Habitats'!$X$3,T180&gt;0),U180+V180,IF(AND(P180='G-1 All Habitats'!$X$3,S180&gt;0),U180+V180,IF(AND(P180='G-1 All Habitats'!$X$3,AC180&gt;0),"Any Loss Unacceptable ⚠",IF(AND(P180='G-1 All Habitats'!$X$3,W180&gt;0),"Any Loss Unacceptable ⚠",H180*J180*L180*O180))))),"Check Data ▲")</f>
        <v/>
      </c>
      <c r="R180" s="38"/>
      <c r="S180" s="54"/>
      <c r="T180" s="55"/>
      <c r="U180" s="374" t="str">
        <f t="shared" si="13"/>
        <v/>
      </c>
      <c r="V180" s="374" t="str">
        <f t="shared" si="14"/>
        <v/>
      </c>
      <c r="W180" s="374" t="str">
        <f>IF(E180="","",IF(H180&lt;S180+T180,"Error in Areas ▲",IF(P180&lt;&gt;'G-1 All Habitats'!$X$3,H180-S180-T180,IF(AND(P180='G-1 All Habitats'!$X$3,Y180="Yes"),"Unacceptable Loss ⚠",IF(AND(P180='G-1 All Habitats'!$X$3,Y180="No"),AC180,IF(AND(P180='G-1 All Habitats'!$X$3,Y180=""),AC180,IF(AND(P180='G-1 All Habitats'!$X$3,AC180="None",AC180),IF(AND(P180='G-1 All Habitats'!$X$3,AC180&gt;0),H180-S180-T180))))))))</f>
        <v/>
      </c>
      <c r="X180" s="378" t="str">
        <f>IFERROR(IF(H180="","",IF(H180-S180-T180=0&lt;0,"Error in Areas ▲",IF(S180+T180&gt;H180,"Error in Areas ▲",IF(AND(P180='G-1 All Habitats'!$X$3,Y180="Yes"),"Alternative Compensation ✓",IF(W180=0,0,IF(P180='G-1 All Habitats'!$X$3,"Any Loss Unacceptable ▲",Q180-U180-V180)))))),"Check Data ▲")</f>
        <v/>
      </c>
      <c r="Y180" s="55"/>
      <c r="Z180" s="62"/>
      <c r="AA180" s="526"/>
      <c r="AB180" s="120"/>
      <c r="AC180" s="726" t="str">
        <f>IF(P180="","",IF(P180='G-1 All Habitats'!$X$3,H180-S180-T180,"None"))</f>
        <v/>
      </c>
      <c r="AD180" s="727" t="str">
        <f>IF(P180="","", IF(P180='G-1 All Habitats'!$X$3, AC180*J180*L180*O180,"None"))</f>
        <v/>
      </c>
      <c r="AF180" s="40" t="str">
        <f t="shared" si="10"/>
        <v/>
      </c>
      <c r="AG180" s="40" t="str">
        <f t="shared" si="11"/>
        <v/>
      </c>
      <c r="AH180" s="40" t="str">
        <f>IF(I180="","",IF(#REF!&gt;0,TRUE,FALSE))</f>
        <v/>
      </c>
      <c r="AI180" s="40">
        <v>170</v>
      </c>
      <c r="AJ180" s="40"/>
      <c r="AK180" s="40" t="str">
        <f t="array" ref="AK180">IFERROR(INDEX($AI$11:$AI$259, MATCH(0, IF(TRUE=$AF$11:$AF$259, COUNTIF($AK$10:$AK179, $AI$11:$AI$259), ""), 0)),"")</f>
        <v/>
      </c>
      <c r="AL180" s="40" t="str">
        <f t="array" ref="AL180">IFERROR(INDEX($AI$11:$AI$259, MATCH(0, IF(TRUE=$AG$11:$AG$259, COUNTIF($AL$10:$AL179, $AI$11:$AI$259), ""), 0)),"")</f>
        <v/>
      </c>
      <c r="AM180" s="40" t="str">
        <f t="array" ref="AM180">IFERROR(INDEX($AI$11:$AI$259, MATCH(0, IF(TRUE=$AH$11:$AH$259, COUNTIF($AM$10:$AM179, $AI$11:$AI$259), ""), 0)),"")</f>
        <v/>
      </c>
      <c r="AN180" s="40"/>
      <c r="AQ180" s="35">
        <f t="shared" si="12"/>
        <v>0</v>
      </c>
    </row>
    <row r="181" spans="1:43">
      <c r="A181" s="35" t="str">
        <f>IFERROR(INDEX('G-1 All Habitats'!$AG$3:$AG$17,MATCH(E181,'G-1 All Habitats'!$AF$3:$AF$17,0)),"")</f>
        <v/>
      </c>
      <c r="B181" s="35" t="str">
        <f>IFERROR(INDEX('G-8 Condition Look up'!$I$4:$I$135,MATCH(G181,'G-8 Condition Look up'!$A$4:$A$135,0)),"")</f>
        <v/>
      </c>
      <c r="D181" s="287">
        <v>171</v>
      </c>
      <c r="E181" s="267"/>
      <c r="F181" s="61"/>
      <c r="G181" s="52" t="str">
        <f>IFERROR(INDEX('G-1 All Habitats'!$B$3:$B$134,MATCH(F181,'G-1 All Habitats'!$A$3:$A$134,0)),"")</f>
        <v/>
      </c>
      <c r="H181" s="53"/>
      <c r="I181" s="362" t="str">
        <f>IF(G181="","",VLOOKUP(G181,'G-1 All Habitats'!$B$2:$M$134,10,FALSE))</f>
        <v/>
      </c>
      <c r="J181" s="363" t="str">
        <f>IFERROR(VLOOKUP(I181,'G-1 All Habitats'!$V$3:$W$7,2,FALSE),"")</f>
        <v/>
      </c>
      <c r="K181" s="54"/>
      <c r="L181" s="363" t="str">
        <f>IFERROR(INDEX('G-8 Condition Look up'!$A$3:$H$135,MATCH(G181,'G-8 Condition Look up'!$A$3:$A$135,0),MATCH(K181,'G-8 Condition Look up'!$A$3:$H$3,0)),"")</f>
        <v/>
      </c>
      <c r="M181" s="54"/>
      <c r="N181" s="382" t="str">
        <f>IF(M181="","",IF(VLOOKUP(M181,'G-3 Multipliers'!$L$3:$N$6,2,FALSE)=0,"Spatial Data Missing",VLOOKUP(M181,'G-3 Multipliers'!$L$3:$N$6,2,FALSE)))</f>
        <v/>
      </c>
      <c r="O181" s="368" t="str">
        <f>IF(M181="","",IF(VLOOKUP(M181,'G-3 Multipliers'!$L$3:$N$6,3,FALSE)=0,"Spatial Data Missing",VLOOKUP(M181,'G-3 Multipliers'!$L$3:$N$6,3,FALSE)))</f>
        <v/>
      </c>
      <c r="P181" s="369" t="str">
        <f>IFERROR(VLOOKUP(G181,'G-1 All Habitats'!$B$2:$M$134,12,FALSE),"")</f>
        <v/>
      </c>
      <c r="Q181" s="376" t="str">
        <f>IFERROR(IF(P181="","",IF(AND(P181='G-1 All Habitats'!$X$3,T181&gt;0),U181+V181,IF(AND(P181='G-1 All Habitats'!$X$3,S181&gt;0),U181+V181,IF(AND(P181='G-1 All Habitats'!$X$3,AC181&gt;0),"Any Loss Unacceptable ⚠",IF(AND(P181='G-1 All Habitats'!$X$3,W181&gt;0),"Any Loss Unacceptable ⚠",H181*J181*L181*O181))))),"Check Data ▲")</f>
        <v/>
      </c>
      <c r="R181" s="38"/>
      <c r="S181" s="54"/>
      <c r="T181" s="55"/>
      <c r="U181" s="374" t="str">
        <f t="shared" si="13"/>
        <v/>
      </c>
      <c r="V181" s="374" t="str">
        <f t="shared" si="14"/>
        <v/>
      </c>
      <c r="W181" s="374" t="str">
        <f>IF(E181="","",IF(H181&lt;S181+T181,"Error in Areas ▲",IF(P181&lt;&gt;'G-1 All Habitats'!$X$3,H181-S181-T181,IF(AND(P181='G-1 All Habitats'!$X$3,Y181="Yes"),"Unacceptable Loss ⚠",IF(AND(P181='G-1 All Habitats'!$X$3,Y181="No"),AC181,IF(AND(P181='G-1 All Habitats'!$X$3,Y181=""),AC181,IF(AND(P181='G-1 All Habitats'!$X$3,AC181="None",AC181),IF(AND(P181='G-1 All Habitats'!$X$3,AC181&gt;0),H181-S181-T181))))))))</f>
        <v/>
      </c>
      <c r="X181" s="378" t="str">
        <f>IFERROR(IF(H181="","",IF(H181-S181-T181=0&lt;0,"Error in Areas ▲",IF(S181+T181&gt;H181,"Error in Areas ▲",IF(AND(P181='G-1 All Habitats'!$X$3,Y181="Yes"),"Alternative Compensation ✓",IF(W181=0,0,IF(P181='G-1 All Habitats'!$X$3,"Any Loss Unacceptable ▲",Q181-U181-V181)))))),"Check Data ▲")</f>
        <v/>
      </c>
      <c r="Y181" s="55"/>
      <c r="Z181" s="62"/>
      <c r="AA181" s="526"/>
      <c r="AB181" s="120"/>
      <c r="AC181" s="726" t="str">
        <f>IF(P181="","",IF(P181='G-1 All Habitats'!$X$3,H181-S181-T181,"None"))</f>
        <v/>
      </c>
      <c r="AD181" s="727" t="str">
        <f>IF(P181="","", IF(P181='G-1 All Habitats'!$X$3, AC181*J181*L181*O181,"None"))</f>
        <v/>
      </c>
      <c r="AF181" s="40" t="str">
        <f t="shared" si="10"/>
        <v/>
      </c>
      <c r="AG181" s="40" t="str">
        <f t="shared" si="11"/>
        <v/>
      </c>
      <c r="AH181" s="40" t="str">
        <f>IF(I181="","",IF(#REF!&gt;0,TRUE,FALSE))</f>
        <v/>
      </c>
      <c r="AI181" s="40">
        <v>171</v>
      </c>
      <c r="AJ181" s="40"/>
      <c r="AK181" s="40" t="str">
        <f t="array" ref="AK181">IFERROR(INDEX($AI$11:$AI$259, MATCH(0, IF(TRUE=$AF$11:$AF$259, COUNTIF($AK$10:$AK180, $AI$11:$AI$259), ""), 0)),"")</f>
        <v/>
      </c>
      <c r="AL181" s="40" t="str">
        <f t="array" ref="AL181">IFERROR(INDEX($AI$11:$AI$259, MATCH(0, IF(TRUE=$AG$11:$AG$259, COUNTIF($AL$10:$AL180, $AI$11:$AI$259), ""), 0)),"")</f>
        <v/>
      </c>
      <c r="AM181" s="40" t="str">
        <f t="array" ref="AM181">IFERROR(INDEX($AI$11:$AI$259, MATCH(0, IF(TRUE=$AH$11:$AH$259, COUNTIF($AM$10:$AM180, $AI$11:$AI$259), ""), 0)),"")</f>
        <v/>
      </c>
      <c r="AN181" s="40"/>
      <c r="AQ181" s="35">
        <f t="shared" si="12"/>
        <v>0</v>
      </c>
    </row>
    <row r="182" spans="1:43">
      <c r="A182" s="35" t="str">
        <f>IFERROR(INDEX('G-1 All Habitats'!$AG$3:$AG$17,MATCH(E182,'G-1 All Habitats'!$AF$3:$AF$17,0)),"")</f>
        <v/>
      </c>
      <c r="B182" s="35" t="str">
        <f>IFERROR(INDEX('G-8 Condition Look up'!$I$4:$I$135,MATCH(G182,'G-8 Condition Look up'!$A$4:$A$135,0)),"")</f>
        <v/>
      </c>
      <c r="D182" s="287">
        <v>172</v>
      </c>
      <c r="E182" s="267"/>
      <c r="F182" s="61"/>
      <c r="G182" s="52" t="str">
        <f>IFERROR(INDEX('G-1 All Habitats'!$B$3:$B$134,MATCH(F182,'G-1 All Habitats'!$A$3:$A$134,0)),"")</f>
        <v/>
      </c>
      <c r="H182" s="53"/>
      <c r="I182" s="362" t="str">
        <f>IF(G182="","",VLOOKUP(G182,'G-1 All Habitats'!$B$2:$M$134,10,FALSE))</f>
        <v/>
      </c>
      <c r="J182" s="363" t="str">
        <f>IFERROR(VLOOKUP(I182,'G-1 All Habitats'!$V$3:$W$7,2,FALSE),"")</f>
        <v/>
      </c>
      <c r="K182" s="54"/>
      <c r="L182" s="363" t="str">
        <f>IFERROR(INDEX('G-8 Condition Look up'!$A$3:$H$135,MATCH(G182,'G-8 Condition Look up'!$A$3:$A$135,0),MATCH(K182,'G-8 Condition Look up'!$A$3:$H$3,0)),"")</f>
        <v/>
      </c>
      <c r="M182" s="54"/>
      <c r="N182" s="382" t="str">
        <f>IF(M182="","",IF(VLOOKUP(M182,'G-3 Multipliers'!$L$3:$N$6,2,FALSE)=0,"Spatial Data Missing",VLOOKUP(M182,'G-3 Multipliers'!$L$3:$N$6,2,FALSE)))</f>
        <v/>
      </c>
      <c r="O182" s="368" t="str">
        <f>IF(M182="","",IF(VLOOKUP(M182,'G-3 Multipliers'!$L$3:$N$6,3,FALSE)=0,"Spatial Data Missing",VLOOKUP(M182,'G-3 Multipliers'!$L$3:$N$6,3,FALSE)))</f>
        <v/>
      </c>
      <c r="P182" s="369" t="str">
        <f>IFERROR(VLOOKUP(G182,'G-1 All Habitats'!$B$2:$M$134,12,FALSE),"")</f>
        <v/>
      </c>
      <c r="Q182" s="376" t="str">
        <f>IFERROR(IF(P182="","",IF(AND(P182='G-1 All Habitats'!$X$3,T182&gt;0),U182+V182,IF(AND(P182='G-1 All Habitats'!$X$3,S182&gt;0),U182+V182,IF(AND(P182='G-1 All Habitats'!$X$3,AC182&gt;0),"Any Loss Unacceptable ⚠",IF(AND(P182='G-1 All Habitats'!$X$3,W182&gt;0),"Any Loss Unacceptable ⚠",H182*J182*L182*O182))))),"Check Data ▲")</f>
        <v/>
      </c>
      <c r="R182" s="38"/>
      <c r="S182" s="54"/>
      <c r="T182" s="55"/>
      <c r="U182" s="374" t="str">
        <f t="shared" si="13"/>
        <v/>
      </c>
      <c r="V182" s="374" t="str">
        <f t="shared" si="14"/>
        <v/>
      </c>
      <c r="W182" s="374" t="str">
        <f>IF(E182="","",IF(H182&lt;S182+T182,"Error in Areas ▲",IF(P182&lt;&gt;'G-1 All Habitats'!$X$3,H182-S182-T182,IF(AND(P182='G-1 All Habitats'!$X$3,Y182="Yes"),"Unacceptable Loss ⚠",IF(AND(P182='G-1 All Habitats'!$X$3,Y182="No"),AC182,IF(AND(P182='G-1 All Habitats'!$X$3,Y182=""),AC182,IF(AND(P182='G-1 All Habitats'!$X$3,AC182="None",AC182),IF(AND(P182='G-1 All Habitats'!$X$3,AC182&gt;0),H182-S182-T182))))))))</f>
        <v/>
      </c>
      <c r="X182" s="378" t="str">
        <f>IFERROR(IF(H182="","",IF(H182-S182-T182=0&lt;0,"Error in Areas ▲",IF(S182+T182&gt;H182,"Error in Areas ▲",IF(AND(P182='G-1 All Habitats'!$X$3,Y182="Yes"),"Alternative Compensation ✓",IF(W182=0,0,IF(P182='G-1 All Habitats'!$X$3,"Any Loss Unacceptable ▲",Q182-U182-V182)))))),"Check Data ▲")</f>
        <v/>
      </c>
      <c r="Y182" s="55"/>
      <c r="Z182" s="62"/>
      <c r="AA182" s="526"/>
      <c r="AB182" s="120"/>
      <c r="AC182" s="726" t="str">
        <f>IF(P182="","",IF(P182='G-1 All Habitats'!$X$3,H182-S182-T182,"None"))</f>
        <v/>
      </c>
      <c r="AD182" s="727" t="str">
        <f>IF(P182="","", IF(P182='G-1 All Habitats'!$X$3, AC182*J182*L182*O182,"None"))</f>
        <v/>
      </c>
      <c r="AF182" s="40" t="str">
        <f t="shared" si="10"/>
        <v/>
      </c>
      <c r="AG182" s="40" t="str">
        <f t="shared" si="11"/>
        <v/>
      </c>
      <c r="AH182" s="40" t="str">
        <f>IF(I182="","",IF(#REF!&gt;0,TRUE,FALSE))</f>
        <v/>
      </c>
      <c r="AI182" s="40">
        <v>172</v>
      </c>
      <c r="AJ182" s="40"/>
      <c r="AK182" s="40" t="str">
        <f t="array" ref="AK182">IFERROR(INDEX($AI$11:$AI$259, MATCH(0, IF(TRUE=$AF$11:$AF$259, COUNTIF($AK$10:$AK181, $AI$11:$AI$259), ""), 0)),"")</f>
        <v/>
      </c>
      <c r="AL182" s="40" t="str">
        <f t="array" ref="AL182">IFERROR(INDEX($AI$11:$AI$259, MATCH(0, IF(TRUE=$AG$11:$AG$259, COUNTIF($AL$10:$AL181, $AI$11:$AI$259), ""), 0)),"")</f>
        <v/>
      </c>
      <c r="AM182" s="40" t="str">
        <f t="array" ref="AM182">IFERROR(INDEX($AI$11:$AI$259, MATCH(0, IF(TRUE=$AH$11:$AH$259, COUNTIF($AM$10:$AM181, $AI$11:$AI$259), ""), 0)),"")</f>
        <v/>
      </c>
      <c r="AN182" s="40"/>
      <c r="AQ182" s="35">
        <f t="shared" si="12"/>
        <v>0</v>
      </c>
    </row>
    <row r="183" spans="1:43">
      <c r="A183" s="35" t="str">
        <f>IFERROR(INDEX('G-1 All Habitats'!$AG$3:$AG$17,MATCH(E183,'G-1 All Habitats'!$AF$3:$AF$17,0)),"")</f>
        <v/>
      </c>
      <c r="B183" s="35" t="str">
        <f>IFERROR(INDEX('G-8 Condition Look up'!$I$4:$I$135,MATCH(G183,'G-8 Condition Look up'!$A$4:$A$135,0)),"")</f>
        <v/>
      </c>
      <c r="D183" s="287">
        <v>173</v>
      </c>
      <c r="E183" s="267"/>
      <c r="F183" s="61"/>
      <c r="G183" s="52" t="str">
        <f>IFERROR(INDEX('G-1 All Habitats'!$B$3:$B$134,MATCH(F183,'G-1 All Habitats'!$A$3:$A$134,0)),"")</f>
        <v/>
      </c>
      <c r="H183" s="53"/>
      <c r="I183" s="362" t="str">
        <f>IF(G183="","",VLOOKUP(G183,'G-1 All Habitats'!$B$2:$M$134,10,FALSE))</f>
        <v/>
      </c>
      <c r="J183" s="363" t="str">
        <f>IFERROR(VLOOKUP(I183,'G-1 All Habitats'!$V$3:$W$7,2,FALSE),"")</f>
        <v/>
      </c>
      <c r="K183" s="54"/>
      <c r="L183" s="363" t="str">
        <f>IFERROR(INDEX('G-8 Condition Look up'!$A$3:$H$135,MATCH(G183,'G-8 Condition Look up'!$A$3:$A$135,0),MATCH(K183,'G-8 Condition Look up'!$A$3:$H$3,0)),"")</f>
        <v/>
      </c>
      <c r="M183" s="54"/>
      <c r="N183" s="382" t="str">
        <f>IF(M183="","",IF(VLOOKUP(M183,'G-3 Multipliers'!$L$3:$N$6,2,FALSE)=0,"Spatial Data Missing",VLOOKUP(M183,'G-3 Multipliers'!$L$3:$N$6,2,FALSE)))</f>
        <v/>
      </c>
      <c r="O183" s="368" t="str">
        <f>IF(M183="","",IF(VLOOKUP(M183,'G-3 Multipliers'!$L$3:$N$6,3,FALSE)=0,"Spatial Data Missing",VLOOKUP(M183,'G-3 Multipliers'!$L$3:$N$6,3,FALSE)))</f>
        <v/>
      </c>
      <c r="P183" s="369" t="str">
        <f>IFERROR(VLOOKUP(G183,'G-1 All Habitats'!$B$2:$M$134,12,FALSE),"")</f>
        <v/>
      </c>
      <c r="Q183" s="376" t="str">
        <f>IFERROR(IF(P183="","",IF(AND(P183='G-1 All Habitats'!$X$3,T183&gt;0),U183+V183,IF(AND(P183='G-1 All Habitats'!$X$3,S183&gt;0),U183+V183,IF(AND(P183='G-1 All Habitats'!$X$3,AC183&gt;0),"Any Loss Unacceptable ⚠",IF(AND(P183='G-1 All Habitats'!$X$3,W183&gt;0),"Any Loss Unacceptable ⚠",H183*J183*L183*O183))))),"Check Data ▲")</f>
        <v/>
      </c>
      <c r="R183" s="38"/>
      <c r="S183" s="54"/>
      <c r="T183" s="55"/>
      <c r="U183" s="374" t="str">
        <f t="shared" si="13"/>
        <v/>
      </c>
      <c r="V183" s="374" t="str">
        <f t="shared" si="14"/>
        <v/>
      </c>
      <c r="W183" s="374" t="str">
        <f>IF(E183="","",IF(H183&lt;S183+T183,"Error in Areas ▲",IF(P183&lt;&gt;'G-1 All Habitats'!$X$3,H183-S183-T183,IF(AND(P183='G-1 All Habitats'!$X$3,Y183="Yes"),"Unacceptable Loss ⚠",IF(AND(P183='G-1 All Habitats'!$X$3,Y183="No"),AC183,IF(AND(P183='G-1 All Habitats'!$X$3,Y183=""),AC183,IF(AND(P183='G-1 All Habitats'!$X$3,AC183="None",AC183),IF(AND(P183='G-1 All Habitats'!$X$3,AC183&gt;0),H183-S183-T183))))))))</f>
        <v/>
      </c>
      <c r="X183" s="378" t="str">
        <f>IFERROR(IF(H183="","",IF(H183-S183-T183=0&lt;0,"Error in Areas ▲",IF(S183+T183&gt;H183,"Error in Areas ▲",IF(AND(P183='G-1 All Habitats'!$X$3,Y183="Yes"),"Alternative Compensation ✓",IF(W183=0,0,IF(P183='G-1 All Habitats'!$X$3,"Any Loss Unacceptable ▲",Q183-U183-V183)))))),"Check Data ▲")</f>
        <v/>
      </c>
      <c r="Y183" s="55"/>
      <c r="Z183" s="62"/>
      <c r="AA183" s="526"/>
      <c r="AB183" s="120"/>
      <c r="AC183" s="726" t="str">
        <f>IF(P183="","",IF(P183='G-1 All Habitats'!$X$3,H183-S183-T183,"None"))</f>
        <v/>
      </c>
      <c r="AD183" s="727" t="str">
        <f>IF(P183="","", IF(P183='G-1 All Habitats'!$X$3, AC183*J183*L183*O183,"None"))</f>
        <v/>
      </c>
      <c r="AF183" s="40" t="str">
        <f t="shared" si="10"/>
        <v/>
      </c>
      <c r="AG183" s="40" t="str">
        <f t="shared" si="11"/>
        <v/>
      </c>
      <c r="AH183" s="40" t="str">
        <f>IF(I183="","",IF(#REF!&gt;0,TRUE,FALSE))</f>
        <v/>
      </c>
      <c r="AI183" s="40">
        <v>173</v>
      </c>
      <c r="AJ183" s="40"/>
      <c r="AK183" s="40" t="str">
        <f t="array" ref="AK183">IFERROR(INDEX($AI$11:$AI$259, MATCH(0, IF(TRUE=$AF$11:$AF$259, COUNTIF($AK$10:$AK182, $AI$11:$AI$259), ""), 0)),"")</f>
        <v/>
      </c>
      <c r="AL183" s="40" t="str">
        <f t="array" ref="AL183">IFERROR(INDEX($AI$11:$AI$259, MATCH(0, IF(TRUE=$AG$11:$AG$259, COUNTIF($AL$10:$AL182, $AI$11:$AI$259), ""), 0)),"")</f>
        <v/>
      </c>
      <c r="AM183" s="40" t="str">
        <f t="array" ref="AM183">IFERROR(INDEX($AI$11:$AI$259, MATCH(0, IF(TRUE=$AH$11:$AH$259, COUNTIF($AM$10:$AM182, $AI$11:$AI$259), ""), 0)),"")</f>
        <v/>
      </c>
      <c r="AN183" s="40"/>
      <c r="AQ183" s="35">
        <f t="shared" si="12"/>
        <v>0</v>
      </c>
    </row>
    <row r="184" spans="1:43">
      <c r="A184" s="35" t="str">
        <f>IFERROR(INDEX('G-1 All Habitats'!$AG$3:$AG$17,MATCH(E184,'G-1 All Habitats'!$AF$3:$AF$17,0)),"")</f>
        <v/>
      </c>
      <c r="B184" s="35" t="str">
        <f>IFERROR(INDEX('G-8 Condition Look up'!$I$4:$I$135,MATCH(G184,'G-8 Condition Look up'!$A$4:$A$135,0)),"")</f>
        <v/>
      </c>
      <c r="D184" s="287">
        <v>174</v>
      </c>
      <c r="E184" s="267"/>
      <c r="F184" s="61"/>
      <c r="G184" s="52" t="str">
        <f>IFERROR(INDEX('G-1 All Habitats'!$B$3:$B$134,MATCH(F184,'G-1 All Habitats'!$A$3:$A$134,0)),"")</f>
        <v/>
      </c>
      <c r="H184" s="53"/>
      <c r="I184" s="362" t="str">
        <f>IF(G184="","",VLOOKUP(G184,'G-1 All Habitats'!$B$2:$M$134,10,FALSE))</f>
        <v/>
      </c>
      <c r="J184" s="363" t="str">
        <f>IFERROR(VLOOKUP(I184,'G-1 All Habitats'!$V$3:$W$7,2,FALSE),"")</f>
        <v/>
      </c>
      <c r="K184" s="54"/>
      <c r="L184" s="363" t="str">
        <f>IFERROR(INDEX('G-8 Condition Look up'!$A$3:$H$135,MATCH(G184,'G-8 Condition Look up'!$A$3:$A$135,0),MATCH(K184,'G-8 Condition Look up'!$A$3:$H$3,0)),"")</f>
        <v/>
      </c>
      <c r="M184" s="54"/>
      <c r="N184" s="382" t="str">
        <f>IF(M184="","",IF(VLOOKUP(M184,'G-3 Multipliers'!$L$3:$N$6,2,FALSE)=0,"Spatial Data Missing",VLOOKUP(M184,'G-3 Multipliers'!$L$3:$N$6,2,FALSE)))</f>
        <v/>
      </c>
      <c r="O184" s="368" t="str">
        <f>IF(M184="","",IF(VLOOKUP(M184,'G-3 Multipliers'!$L$3:$N$6,3,FALSE)=0,"Spatial Data Missing",VLOOKUP(M184,'G-3 Multipliers'!$L$3:$N$6,3,FALSE)))</f>
        <v/>
      </c>
      <c r="P184" s="369" t="str">
        <f>IFERROR(VLOOKUP(G184,'G-1 All Habitats'!$B$2:$M$134,12,FALSE),"")</f>
        <v/>
      </c>
      <c r="Q184" s="376" t="str">
        <f>IFERROR(IF(P184="","",IF(AND(P184='G-1 All Habitats'!$X$3,T184&gt;0),U184+V184,IF(AND(P184='G-1 All Habitats'!$X$3,S184&gt;0),U184+V184,IF(AND(P184='G-1 All Habitats'!$X$3,AC184&gt;0),"Any Loss Unacceptable ⚠",IF(AND(P184='G-1 All Habitats'!$X$3,W184&gt;0),"Any Loss Unacceptable ⚠",H184*J184*L184*O184))))),"Check Data ▲")</f>
        <v/>
      </c>
      <c r="R184" s="38"/>
      <c r="S184" s="54"/>
      <c r="T184" s="55"/>
      <c r="U184" s="374" t="str">
        <f t="shared" si="13"/>
        <v/>
      </c>
      <c r="V184" s="374" t="str">
        <f t="shared" si="14"/>
        <v/>
      </c>
      <c r="W184" s="374" t="str">
        <f>IF(E184="","",IF(H184&lt;S184+T184,"Error in Areas ▲",IF(P184&lt;&gt;'G-1 All Habitats'!$X$3,H184-S184-T184,IF(AND(P184='G-1 All Habitats'!$X$3,Y184="Yes"),"Unacceptable Loss ⚠",IF(AND(P184='G-1 All Habitats'!$X$3,Y184="No"),AC184,IF(AND(P184='G-1 All Habitats'!$X$3,Y184=""),AC184,IF(AND(P184='G-1 All Habitats'!$X$3,AC184="None",AC184),IF(AND(P184='G-1 All Habitats'!$X$3,AC184&gt;0),H184-S184-T184))))))))</f>
        <v/>
      </c>
      <c r="X184" s="378" t="str">
        <f>IFERROR(IF(H184="","",IF(H184-S184-T184=0&lt;0,"Error in Areas ▲",IF(S184+T184&gt;H184,"Error in Areas ▲",IF(AND(P184='G-1 All Habitats'!$X$3,Y184="Yes"),"Alternative Compensation ✓",IF(W184=0,0,IF(P184='G-1 All Habitats'!$X$3,"Any Loss Unacceptable ▲",Q184-U184-V184)))))),"Check Data ▲")</f>
        <v/>
      </c>
      <c r="Y184" s="55"/>
      <c r="Z184" s="62"/>
      <c r="AA184" s="526"/>
      <c r="AB184" s="120"/>
      <c r="AC184" s="726" t="str">
        <f>IF(P184="","",IF(P184='G-1 All Habitats'!$X$3,H184-S184-T184,"None"))</f>
        <v/>
      </c>
      <c r="AD184" s="727" t="str">
        <f>IF(P184="","", IF(P184='G-1 All Habitats'!$X$3, AC184*J184*L184*O184,"None"))</f>
        <v/>
      </c>
      <c r="AF184" s="40" t="str">
        <f t="shared" si="10"/>
        <v/>
      </c>
      <c r="AG184" s="40" t="str">
        <f t="shared" si="11"/>
        <v/>
      </c>
      <c r="AH184" s="40" t="str">
        <f>IF(I184="","",IF(#REF!&gt;0,TRUE,FALSE))</f>
        <v/>
      </c>
      <c r="AI184" s="40">
        <v>174</v>
      </c>
      <c r="AJ184" s="40"/>
      <c r="AK184" s="40" t="str">
        <f t="array" ref="AK184">IFERROR(INDEX($AI$11:$AI$259, MATCH(0, IF(TRUE=$AF$11:$AF$259, COUNTIF($AK$10:$AK183, $AI$11:$AI$259), ""), 0)),"")</f>
        <v/>
      </c>
      <c r="AL184" s="40" t="str">
        <f t="array" ref="AL184">IFERROR(INDEX($AI$11:$AI$259, MATCH(0, IF(TRUE=$AG$11:$AG$259, COUNTIF($AL$10:$AL183, $AI$11:$AI$259), ""), 0)),"")</f>
        <v/>
      </c>
      <c r="AM184" s="40" t="str">
        <f t="array" ref="AM184">IFERROR(INDEX($AI$11:$AI$259, MATCH(0, IF(TRUE=$AH$11:$AH$259, COUNTIF($AM$10:$AM183, $AI$11:$AI$259), ""), 0)),"")</f>
        <v/>
      </c>
      <c r="AN184" s="40"/>
      <c r="AQ184" s="35">
        <f t="shared" si="12"/>
        <v>0</v>
      </c>
    </row>
    <row r="185" spans="1:43">
      <c r="A185" s="35" t="str">
        <f>IFERROR(INDEX('G-1 All Habitats'!$AG$3:$AG$17,MATCH(E185,'G-1 All Habitats'!$AF$3:$AF$17,0)),"")</f>
        <v/>
      </c>
      <c r="B185" s="35" t="str">
        <f>IFERROR(INDEX('G-8 Condition Look up'!$I$4:$I$135,MATCH(G185,'G-8 Condition Look up'!$A$4:$A$135,0)),"")</f>
        <v/>
      </c>
      <c r="D185" s="287">
        <v>175</v>
      </c>
      <c r="E185" s="267"/>
      <c r="F185" s="61"/>
      <c r="G185" s="52" t="str">
        <f>IFERROR(INDEX('G-1 All Habitats'!$B$3:$B$134,MATCH(F185,'G-1 All Habitats'!$A$3:$A$134,0)),"")</f>
        <v/>
      </c>
      <c r="H185" s="53"/>
      <c r="I185" s="362" t="str">
        <f>IF(G185="","",VLOOKUP(G185,'G-1 All Habitats'!$B$2:$M$134,10,FALSE))</f>
        <v/>
      </c>
      <c r="J185" s="363" t="str">
        <f>IFERROR(VLOOKUP(I185,'G-1 All Habitats'!$V$3:$W$7,2,FALSE),"")</f>
        <v/>
      </c>
      <c r="K185" s="54"/>
      <c r="L185" s="363" t="str">
        <f>IFERROR(INDEX('G-8 Condition Look up'!$A$3:$H$135,MATCH(G185,'G-8 Condition Look up'!$A$3:$A$135,0),MATCH(K185,'G-8 Condition Look up'!$A$3:$H$3,0)),"")</f>
        <v/>
      </c>
      <c r="M185" s="54"/>
      <c r="N185" s="382" t="str">
        <f>IF(M185="","",IF(VLOOKUP(M185,'G-3 Multipliers'!$L$3:$N$6,2,FALSE)=0,"Spatial Data Missing",VLOOKUP(M185,'G-3 Multipliers'!$L$3:$N$6,2,FALSE)))</f>
        <v/>
      </c>
      <c r="O185" s="368" t="str">
        <f>IF(M185="","",IF(VLOOKUP(M185,'G-3 Multipliers'!$L$3:$N$6,3,FALSE)=0,"Spatial Data Missing",VLOOKUP(M185,'G-3 Multipliers'!$L$3:$N$6,3,FALSE)))</f>
        <v/>
      </c>
      <c r="P185" s="369" t="str">
        <f>IFERROR(VLOOKUP(G185,'G-1 All Habitats'!$B$2:$M$134,12,FALSE),"")</f>
        <v/>
      </c>
      <c r="Q185" s="376" t="str">
        <f>IFERROR(IF(P185="","",IF(AND(P185='G-1 All Habitats'!$X$3,T185&gt;0),U185+V185,IF(AND(P185='G-1 All Habitats'!$X$3,S185&gt;0),U185+V185,IF(AND(P185='G-1 All Habitats'!$X$3,AC185&gt;0),"Any Loss Unacceptable ⚠",IF(AND(P185='G-1 All Habitats'!$X$3,W185&gt;0),"Any Loss Unacceptable ⚠",H185*J185*L185*O185))))),"Check Data ▲")</f>
        <v/>
      </c>
      <c r="R185" s="38"/>
      <c r="S185" s="54"/>
      <c r="T185" s="55"/>
      <c r="U185" s="374" t="str">
        <f t="shared" si="13"/>
        <v/>
      </c>
      <c r="V185" s="374" t="str">
        <f t="shared" si="14"/>
        <v/>
      </c>
      <c r="W185" s="374" t="str">
        <f>IF(E185="","",IF(H185&lt;S185+T185,"Error in Areas ▲",IF(P185&lt;&gt;'G-1 All Habitats'!$X$3,H185-S185-T185,IF(AND(P185='G-1 All Habitats'!$X$3,Y185="Yes"),"Unacceptable Loss ⚠",IF(AND(P185='G-1 All Habitats'!$X$3,Y185="No"),AC185,IF(AND(P185='G-1 All Habitats'!$X$3,Y185=""),AC185,IF(AND(P185='G-1 All Habitats'!$X$3,AC185="None",AC185),IF(AND(P185='G-1 All Habitats'!$X$3,AC185&gt;0),H185-S185-T185))))))))</f>
        <v/>
      </c>
      <c r="X185" s="378" t="str">
        <f>IFERROR(IF(H185="","",IF(H185-S185-T185=0&lt;0,"Error in Areas ▲",IF(S185+T185&gt;H185,"Error in Areas ▲",IF(AND(P185='G-1 All Habitats'!$X$3,Y185="Yes"),"Alternative Compensation ✓",IF(W185=0,0,IF(P185='G-1 All Habitats'!$X$3,"Any Loss Unacceptable ▲",Q185-U185-V185)))))),"Check Data ▲")</f>
        <v/>
      </c>
      <c r="Y185" s="55"/>
      <c r="Z185" s="62"/>
      <c r="AA185" s="526"/>
      <c r="AB185" s="120"/>
      <c r="AC185" s="726" t="str">
        <f>IF(P185="","",IF(P185='G-1 All Habitats'!$X$3,H185-S185-T185,"None"))</f>
        <v/>
      </c>
      <c r="AD185" s="727" t="str">
        <f>IF(P185="","", IF(P185='G-1 All Habitats'!$X$3, AC185*J185*L185*O185,"None"))</f>
        <v/>
      </c>
      <c r="AF185" s="40" t="str">
        <f t="shared" si="10"/>
        <v/>
      </c>
      <c r="AG185" s="40" t="str">
        <f t="shared" si="11"/>
        <v/>
      </c>
      <c r="AH185" s="40" t="str">
        <f>IF(I185="","",IF(#REF!&gt;0,TRUE,FALSE))</f>
        <v/>
      </c>
      <c r="AI185" s="40">
        <v>175</v>
      </c>
      <c r="AJ185" s="40"/>
      <c r="AK185" s="40" t="str">
        <f t="array" ref="AK185">IFERROR(INDEX($AI$11:$AI$259, MATCH(0, IF(TRUE=$AF$11:$AF$259, COUNTIF($AK$10:$AK184, $AI$11:$AI$259), ""), 0)),"")</f>
        <v/>
      </c>
      <c r="AL185" s="40" t="str">
        <f t="array" ref="AL185">IFERROR(INDEX($AI$11:$AI$259, MATCH(0, IF(TRUE=$AG$11:$AG$259, COUNTIF($AL$10:$AL184, $AI$11:$AI$259), ""), 0)),"")</f>
        <v/>
      </c>
      <c r="AM185" s="40" t="str">
        <f t="array" ref="AM185">IFERROR(INDEX($AI$11:$AI$259, MATCH(0, IF(TRUE=$AH$11:$AH$259, COUNTIF($AM$10:$AM184, $AI$11:$AI$259), ""), 0)),"")</f>
        <v/>
      </c>
      <c r="AN185" s="40"/>
      <c r="AQ185" s="35">
        <f t="shared" si="12"/>
        <v>0</v>
      </c>
    </row>
    <row r="186" spans="1:43">
      <c r="A186" s="35" t="str">
        <f>IFERROR(INDEX('G-1 All Habitats'!$AG$3:$AG$17,MATCH(E186,'G-1 All Habitats'!$AF$3:$AF$17,0)),"")</f>
        <v/>
      </c>
      <c r="B186" s="35" t="str">
        <f>IFERROR(INDEX('G-8 Condition Look up'!$I$4:$I$135,MATCH(G186,'G-8 Condition Look up'!$A$4:$A$135,0)),"")</f>
        <v/>
      </c>
      <c r="D186" s="287">
        <v>176</v>
      </c>
      <c r="E186" s="267"/>
      <c r="F186" s="61"/>
      <c r="G186" s="52" t="str">
        <f>IFERROR(INDEX('G-1 All Habitats'!$B$3:$B$134,MATCH(F186,'G-1 All Habitats'!$A$3:$A$134,0)),"")</f>
        <v/>
      </c>
      <c r="H186" s="53"/>
      <c r="I186" s="362" t="str">
        <f>IF(G186="","",VLOOKUP(G186,'G-1 All Habitats'!$B$2:$M$134,10,FALSE))</f>
        <v/>
      </c>
      <c r="J186" s="363" t="str">
        <f>IFERROR(VLOOKUP(I186,'G-1 All Habitats'!$V$3:$W$7,2,FALSE),"")</f>
        <v/>
      </c>
      <c r="K186" s="54"/>
      <c r="L186" s="363" t="str">
        <f>IFERROR(INDEX('G-8 Condition Look up'!$A$3:$H$135,MATCH(G186,'G-8 Condition Look up'!$A$3:$A$135,0),MATCH(K186,'G-8 Condition Look up'!$A$3:$H$3,0)),"")</f>
        <v/>
      </c>
      <c r="M186" s="54"/>
      <c r="N186" s="382" t="str">
        <f>IF(M186="","",IF(VLOOKUP(M186,'G-3 Multipliers'!$L$3:$N$6,2,FALSE)=0,"Spatial Data Missing",VLOOKUP(M186,'G-3 Multipliers'!$L$3:$N$6,2,FALSE)))</f>
        <v/>
      </c>
      <c r="O186" s="368" t="str">
        <f>IF(M186="","",IF(VLOOKUP(M186,'G-3 Multipliers'!$L$3:$N$6,3,FALSE)=0,"Spatial Data Missing",VLOOKUP(M186,'G-3 Multipliers'!$L$3:$N$6,3,FALSE)))</f>
        <v/>
      </c>
      <c r="P186" s="369" t="str">
        <f>IFERROR(VLOOKUP(G186,'G-1 All Habitats'!$B$2:$M$134,12,FALSE),"")</f>
        <v/>
      </c>
      <c r="Q186" s="376" t="str">
        <f>IFERROR(IF(P186="","",IF(AND(P186='G-1 All Habitats'!$X$3,T186&gt;0),U186+V186,IF(AND(P186='G-1 All Habitats'!$X$3,S186&gt;0),U186+V186,IF(AND(P186='G-1 All Habitats'!$X$3,AC186&gt;0),"Any Loss Unacceptable ⚠",IF(AND(P186='G-1 All Habitats'!$X$3,W186&gt;0),"Any Loss Unacceptable ⚠",H186*J186*L186*O186))))),"Check Data ▲")</f>
        <v/>
      </c>
      <c r="R186" s="38"/>
      <c r="S186" s="54"/>
      <c r="T186" s="55"/>
      <c r="U186" s="374" t="str">
        <f t="shared" si="13"/>
        <v/>
      </c>
      <c r="V186" s="374" t="str">
        <f t="shared" si="14"/>
        <v/>
      </c>
      <c r="W186" s="374" t="str">
        <f>IF(E186="","",IF(H186&lt;S186+T186,"Error in Areas ▲",IF(P186&lt;&gt;'G-1 All Habitats'!$X$3,H186-S186-T186,IF(AND(P186='G-1 All Habitats'!$X$3,Y186="Yes"),"Unacceptable Loss ⚠",IF(AND(P186='G-1 All Habitats'!$X$3,Y186="No"),AC186,IF(AND(P186='G-1 All Habitats'!$X$3,Y186=""),AC186,IF(AND(P186='G-1 All Habitats'!$X$3,AC186="None",AC186),IF(AND(P186='G-1 All Habitats'!$X$3,AC186&gt;0),H186-S186-T186))))))))</f>
        <v/>
      </c>
      <c r="X186" s="378" t="str">
        <f>IFERROR(IF(H186="","",IF(H186-S186-T186=0&lt;0,"Error in Areas ▲",IF(S186+T186&gt;H186,"Error in Areas ▲",IF(AND(P186='G-1 All Habitats'!$X$3,Y186="Yes"),"Alternative Compensation ✓",IF(W186=0,0,IF(P186='G-1 All Habitats'!$X$3,"Any Loss Unacceptable ▲",Q186-U186-V186)))))),"Check Data ▲")</f>
        <v/>
      </c>
      <c r="Y186" s="55"/>
      <c r="Z186" s="62"/>
      <c r="AA186" s="526"/>
      <c r="AB186" s="120"/>
      <c r="AC186" s="726" t="str">
        <f>IF(P186="","",IF(P186='G-1 All Habitats'!$X$3,H186-S186-T186,"None"))</f>
        <v/>
      </c>
      <c r="AD186" s="727" t="str">
        <f>IF(P186="","", IF(P186='G-1 All Habitats'!$X$3, AC186*J186*L186*O186,"None"))</f>
        <v/>
      </c>
      <c r="AF186" s="40" t="str">
        <f t="shared" si="10"/>
        <v/>
      </c>
      <c r="AG186" s="40" t="str">
        <f t="shared" si="11"/>
        <v/>
      </c>
      <c r="AH186" s="40" t="str">
        <f>IF(I186="","",IF(#REF!&gt;0,TRUE,FALSE))</f>
        <v/>
      </c>
      <c r="AI186" s="40">
        <v>176</v>
      </c>
      <c r="AJ186" s="40"/>
      <c r="AK186" s="40" t="str">
        <f t="array" ref="AK186">IFERROR(INDEX($AI$11:$AI$259, MATCH(0, IF(TRUE=$AF$11:$AF$259, COUNTIF($AK$10:$AK185, $AI$11:$AI$259), ""), 0)),"")</f>
        <v/>
      </c>
      <c r="AL186" s="40" t="str">
        <f t="array" ref="AL186">IFERROR(INDEX($AI$11:$AI$259, MATCH(0, IF(TRUE=$AG$11:$AG$259, COUNTIF($AL$10:$AL185, $AI$11:$AI$259), ""), 0)),"")</f>
        <v/>
      </c>
      <c r="AM186" s="40" t="str">
        <f t="array" ref="AM186">IFERROR(INDEX($AI$11:$AI$259, MATCH(0, IF(TRUE=$AH$11:$AH$259, COUNTIF($AM$10:$AM185, $AI$11:$AI$259), ""), 0)),"")</f>
        <v/>
      </c>
      <c r="AN186" s="40"/>
      <c r="AQ186" s="35">
        <f t="shared" si="12"/>
        <v>0</v>
      </c>
    </row>
    <row r="187" spans="1:43">
      <c r="A187" s="35" t="str">
        <f>IFERROR(INDEX('G-1 All Habitats'!$AG$3:$AG$17,MATCH(E187,'G-1 All Habitats'!$AF$3:$AF$17,0)),"")</f>
        <v/>
      </c>
      <c r="B187" s="35" t="str">
        <f>IFERROR(INDEX('G-8 Condition Look up'!$I$4:$I$135,MATCH(G187,'G-8 Condition Look up'!$A$4:$A$135,0)),"")</f>
        <v/>
      </c>
      <c r="D187" s="287">
        <v>177</v>
      </c>
      <c r="E187" s="267"/>
      <c r="F187" s="61"/>
      <c r="G187" s="52" t="str">
        <f>IFERROR(INDEX('G-1 All Habitats'!$B$3:$B$134,MATCH(F187,'G-1 All Habitats'!$A$3:$A$134,0)),"")</f>
        <v/>
      </c>
      <c r="H187" s="53"/>
      <c r="I187" s="362" t="str">
        <f>IF(G187="","",VLOOKUP(G187,'G-1 All Habitats'!$B$2:$M$134,10,FALSE))</f>
        <v/>
      </c>
      <c r="J187" s="363" t="str">
        <f>IFERROR(VLOOKUP(I187,'G-1 All Habitats'!$V$3:$W$7,2,FALSE),"")</f>
        <v/>
      </c>
      <c r="K187" s="54"/>
      <c r="L187" s="363" t="str">
        <f>IFERROR(INDEX('G-8 Condition Look up'!$A$3:$H$135,MATCH(G187,'G-8 Condition Look up'!$A$3:$A$135,0),MATCH(K187,'G-8 Condition Look up'!$A$3:$H$3,0)),"")</f>
        <v/>
      </c>
      <c r="M187" s="54"/>
      <c r="N187" s="382" t="str">
        <f>IF(M187="","",IF(VLOOKUP(M187,'G-3 Multipliers'!$L$3:$N$6,2,FALSE)=0,"Spatial Data Missing",VLOOKUP(M187,'G-3 Multipliers'!$L$3:$N$6,2,FALSE)))</f>
        <v/>
      </c>
      <c r="O187" s="368" t="str">
        <f>IF(M187="","",IF(VLOOKUP(M187,'G-3 Multipliers'!$L$3:$N$6,3,FALSE)=0,"Spatial Data Missing",VLOOKUP(M187,'G-3 Multipliers'!$L$3:$N$6,3,FALSE)))</f>
        <v/>
      </c>
      <c r="P187" s="369" t="str">
        <f>IFERROR(VLOOKUP(G187,'G-1 All Habitats'!$B$2:$M$134,12,FALSE),"")</f>
        <v/>
      </c>
      <c r="Q187" s="376" t="str">
        <f>IFERROR(IF(P187="","",IF(AND(P187='G-1 All Habitats'!$X$3,T187&gt;0),U187+V187,IF(AND(P187='G-1 All Habitats'!$X$3,S187&gt;0),U187+V187,IF(AND(P187='G-1 All Habitats'!$X$3,AC187&gt;0),"Any Loss Unacceptable ⚠",IF(AND(P187='G-1 All Habitats'!$X$3,W187&gt;0),"Any Loss Unacceptable ⚠",H187*J187*L187*O187))))),"Check Data ▲")</f>
        <v/>
      </c>
      <c r="R187" s="38"/>
      <c r="S187" s="54"/>
      <c r="T187" s="55"/>
      <c r="U187" s="374" t="str">
        <f t="shared" si="13"/>
        <v/>
      </c>
      <c r="V187" s="374" t="str">
        <f t="shared" si="14"/>
        <v/>
      </c>
      <c r="W187" s="374" t="str">
        <f>IF(E187="","",IF(H187&lt;S187+T187,"Error in Areas ▲",IF(P187&lt;&gt;'G-1 All Habitats'!$X$3,H187-S187-T187,IF(AND(P187='G-1 All Habitats'!$X$3,Y187="Yes"),"Unacceptable Loss ⚠",IF(AND(P187='G-1 All Habitats'!$X$3,Y187="No"),AC187,IF(AND(P187='G-1 All Habitats'!$X$3,Y187=""),AC187,IF(AND(P187='G-1 All Habitats'!$X$3,AC187="None",AC187),IF(AND(P187='G-1 All Habitats'!$X$3,AC187&gt;0),H187-S187-T187))))))))</f>
        <v/>
      </c>
      <c r="X187" s="378" t="str">
        <f>IFERROR(IF(H187="","",IF(H187-S187-T187=0&lt;0,"Error in Areas ▲",IF(S187+T187&gt;H187,"Error in Areas ▲",IF(AND(P187='G-1 All Habitats'!$X$3,Y187="Yes"),"Alternative Compensation ✓",IF(W187=0,0,IF(P187='G-1 All Habitats'!$X$3,"Any Loss Unacceptable ▲",Q187-U187-V187)))))),"Check Data ▲")</f>
        <v/>
      </c>
      <c r="Y187" s="55"/>
      <c r="Z187" s="62"/>
      <c r="AA187" s="526"/>
      <c r="AB187" s="120"/>
      <c r="AC187" s="726" t="str">
        <f>IF(P187="","",IF(P187='G-1 All Habitats'!$X$3,H187-S187-T187,"None"))</f>
        <v/>
      </c>
      <c r="AD187" s="727" t="str">
        <f>IF(P187="","", IF(P187='G-1 All Habitats'!$X$3, AC187*J187*L187*O187,"None"))</f>
        <v/>
      </c>
      <c r="AF187" s="40" t="str">
        <f t="shared" si="10"/>
        <v/>
      </c>
      <c r="AG187" s="40" t="str">
        <f t="shared" si="11"/>
        <v/>
      </c>
      <c r="AH187" s="40" t="str">
        <f>IF(I187="","",IF(#REF!&gt;0,TRUE,FALSE))</f>
        <v/>
      </c>
      <c r="AI187" s="40">
        <v>177</v>
      </c>
      <c r="AJ187" s="40"/>
      <c r="AK187" s="40" t="str">
        <f t="array" ref="AK187">IFERROR(INDEX($AI$11:$AI$259, MATCH(0, IF(TRUE=$AF$11:$AF$259, COUNTIF($AK$10:$AK186, $AI$11:$AI$259), ""), 0)),"")</f>
        <v/>
      </c>
      <c r="AL187" s="40" t="str">
        <f t="array" ref="AL187">IFERROR(INDEX($AI$11:$AI$259, MATCH(0, IF(TRUE=$AG$11:$AG$259, COUNTIF($AL$10:$AL186, $AI$11:$AI$259), ""), 0)),"")</f>
        <v/>
      </c>
      <c r="AM187" s="40" t="str">
        <f t="array" ref="AM187">IFERROR(INDEX($AI$11:$AI$259, MATCH(0, IF(TRUE=$AH$11:$AH$259, COUNTIF($AM$10:$AM186, $AI$11:$AI$259), ""), 0)),"")</f>
        <v/>
      </c>
      <c r="AN187" s="40"/>
      <c r="AQ187" s="35">
        <f t="shared" si="12"/>
        <v>0</v>
      </c>
    </row>
    <row r="188" spans="1:43">
      <c r="A188" s="35" t="str">
        <f>IFERROR(INDEX('G-1 All Habitats'!$AG$3:$AG$17,MATCH(E188,'G-1 All Habitats'!$AF$3:$AF$17,0)),"")</f>
        <v/>
      </c>
      <c r="B188" s="35" t="str">
        <f>IFERROR(INDEX('G-8 Condition Look up'!$I$4:$I$135,MATCH(G188,'G-8 Condition Look up'!$A$4:$A$135,0)),"")</f>
        <v/>
      </c>
      <c r="D188" s="287">
        <v>178</v>
      </c>
      <c r="E188" s="267"/>
      <c r="F188" s="61"/>
      <c r="G188" s="52" t="str">
        <f>IFERROR(INDEX('G-1 All Habitats'!$B$3:$B$134,MATCH(F188,'G-1 All Habitats'!$A$3:$A$134,0)),"")</f>
        <v/>
      </c>
      <c r="H188" s="53"/>
      <c r="I188" s="362" t="str">
        <f>IF(G188="","",VLOOKUP(G188,'G-1 All Habitats'!$B$2:$M$134,10,FALSE))</f>
        <v/>
      </c>
      <c r="J188" s="363" t="str">
        <f>IFERROR(VLOOKUP(I188,'G-1 All Habitats'!$V$3:$W$7,2,FALSE),"")</f>
        <v/>
      </c>
      <c r="K188" s="54"/>
      <c r="L188" s="363" t="str">
        <f>IFERROR(INDEX('G-8 Condition Look up'!$A$3:$H$135,MATCH(G188,'G-8 Condition Look up'!$A$3:$A$135,0),MATCH(K188,'G-8 Condition Look up'!$A$3:$H$3,0)),"")</f>
        <v/>
      </c>
      <c r="M188" s="54"/>
      <c r="N188" s="382" t="str">
        <f>IF(M188="","",IF(VLOOKUP(M188,'G-3 Multipliers'!$L$3:$N$6,2,FALSE)=0,"Spatial Data Missing",VLOOKUP(M188,'G-3 Multipliers'!$L$3:$N$6,2,FALSE)))</f>
        <v/>
      </c>
      <c r="O188" s="368" t="str">
        <f>IF(M188="","",IF(VLOOKUP(M188,'G-3 Multipliers'!$L$3:$N$6,3,FALSE)=0,"Spatial Data Missing",VLOOKUP(M188,'G-3 Multipliers'!$L$3:$N$6,3,FALSE)))</f>
        <v/>
      </c>
      <c r="P188" s="369" t="str">
        <f>IFERROR(VLOOKUP(G188,'G-1 All Habitats'!$B$2:$M$134,12,FALSE),"")</f>
        <v/>
      </c>
      <c r="Q188" s="376" t="str">
        <f>IFERROR(IF(P188="","",IF(AND(P188='G-1 All Habitats'!$X$3,T188&gt;0),U188+V188,IF(AND(P188='G-1 All Habitats'!$X$3,S188&gt;0),U188+V188,IF(AND(P188='G-1 All Habitats'!$X$3,AC188&gt;0),"Any Loss Unacceptable ⚠",IF(AND(P188='G-1 All Habitats'!$X$3,W188&gt;0),"Any Loss Unacceptable ⚠",H188*J188*L188*O188))))),"Check Data ▲")</f>
        <v/>
      </c>
      <c r="R188" s="38"/>
      <c r="S188" s="54"/>
      <c r="T188" s="55"/>
      <c r="U188" s="374" t="str">
        <f t="shared" si="13"/>
        <v/>
      </c>
      <c r="V188" s="374" t="str">
        <f t="shared" si="14"/>
        <v/>
      </c>
      <c r="W188" s="374" t="str">
        <f>IF(E188="","",IF(H188&lt;S188+T188,"Error in Areas ▲",IF(P188&lt;&gt;'G-1 All Habitats'!$X$3,H188-S188-T188,IF(AND(P188='G-1 All Habitats'!$X$3,Y188="Yes"),"Unacceptable Loss ⚠",IF(AND(P188='G-1 All Habitats'!$X$3,Y188="No"),AC188,IF(AND(P188='G-1 All Habitats'!$X$3,Y188=""),AC188,IF(AND(P188='G-1 All Habitats'!$X$3,AC188="None",AC188),IF(AND(P188='G-1 All Habitats'!$X$3,AC188&gt;0),H188-S188-T188))))))))</f>
        <v/>
      </c>
      <c r="X188" s="378" t="str">
        <f>IFERROR(IF(H188="","",IF(H188-S188-T188=0&lt;0,"Error in Areas ▲",IF(S188+T188&gt;H188,"Error in Areas ▲",IF(AND(P188='G-1 All Habitats'!$X$3,Y188="Yes"),"Alternative Compensation ✓",IF(W188=0,0,IF(P188='G-1 All Habitats'!$X$3,"Any Loss Unacceptable ▲",Q188-U188-V188)))))),"Check Data ▲")</f>
        <v/>
      </c>
      <c r="Y188" s="55"/>
      <c r="Z188" s="62"/>
      <c r="AA188" s="526"/>
      <c r="AB188" s="120"/>
      <c r="AC188" s="726" t="str">
        <f>IF(P188="","",IF(P188='G-1 All Habitats'!$X$3,H188-S188-T188,"None"))</f>
        <v/>
      </c>
      <c r="AD188" s="727" t="str">
        <f>IF(P188="","", IF(P188='G-1 All Habitats'!$X$3, AC188*J188*L188*O188,"None"))</f>
        <v/>
      </c>
      <c r="AF188" s="40" t="str">
        <f t="shared" si="10"/>
        <v/>
      </c>
      <c r="AG188" s="40" t="str">
        <f t="shared" si="11"/>
        <v/>
      </c>
      <c r="AH188" s="40" t="str">
        <f>IF(I188="","",IF(#REF!&gt;0,TRUE,FALSE))</f>
        <v/>
      </c>
      <c r="AI188" s="40">
        <v>178</v>
      </c>
      <c r="AJ188" s="40"/>
      <c r="AK188" s="40" t="str">
        <f t="array" ref="AK188">IFERROR(INDEX($AI$11:$AI$259, MATCH(0, IF(TRUE=$AF$11:$AF$259, COUNTIF($AK$10:$AK187, $AI$11:$AI$259), ""), 0)),"")</f>
        <v/>
      </c>
      <c r="AL188" s="40" t="str">
        <f t="array" ref="AL188">IFERROR(INDEX($AI$11:$AI$259, MATCH(0, IF(TRUE=$AG$11:$AG$259, COUNTIF($AL$10:$AL187, $AI$11:$AI$259), ""), 0)),"")</f>
        <v/>
      </c>
      <c r="AM188" s="40" t="str">
        <f t="array" ref="AM188">IFERROR(INDEX($AI$11:$AI$259, MATCH(0, IF(TRUE=$AH$11:$AH$259, COUNTIF($AM$10:$AM187, $AI$11:$AI$259), ""), 0)),"")</f>
        <v/>
      </c>
      <c r="AN188" s="40"/>
      <c r="AQ188" s="35">
        <f t="shared" si="12"/>
        <v>0</v>
      </c>
    </row>
    <row r="189" spans="1:43">
      <c r="A189" s="35" t="str">
        <f>IFERROR(INDEX('G-1 All Habitats'!$AG$3:$AG$17,MATCH(E189,'G-1 All Habitats'!$AF$3:$AF$17,0)),"")</f>
        <v/>
      </c>
      <c r="B189" s="35" t="str">
        <f>IFERROR(INDEX('G-8 Condition Look up'!$I$4:$I$135,MATCH(G189,'G-8 Condition Look up'!$A$4:$A$135,0)),"")</f>
        <v/>
      </c>
      <c r="D189" s="287">
        <v>179</v>
      </c>
      <c r="E189" s="267"/>
      <c r="F189" s="61"/>
      <c r="G189" s="52" t="str">
        <f>IFERROR(INDEX('G-1 All Habitats'!$B$3:$B$134,MATCH(F189,'G-1 All Habitats'!$A$3:$A$134,0)),"")</f>
        <v/>
      </c>
      <c r="H189" s="53"/>
      <c r="I189" s="362" t="str">
        <f>IF(G189="","",VLOOKUP(G189,'G-1 All Habitats'!$B$2:$M$134,10,FALSE))</f>
        <v/>
      </c>
      <c r="J189" s="363" t="str">
        <f>IFERROR(VLOOKUP(I189,'G-1 All Habitats'!$V$3:$W$7,2,FALSE),"")</f>
        <v/>
      </c>
      <c r="K189" s="54"/>
      <c r="L189" s="363" t="str">
        <f>IFERROR(INDEX('G-8 Condition Look up'!$A$3:$H$135,MATCH(G189,'G-8 Condition Look up'!$A$3:$A$135,0),MATCH(K189,'G-8 Condition Look up'!$A$3:$H$3,0)),"")</f>
        <v/>
      </c>
      <c r="M189" s="54"/>
      <c r="N189" s="382" t="str">
        <f>IF(M189="","",IF(VLOOKUP(M189,'G-3 Multipliers'!$L$3:$N$6,2,FALSE)=0,"Spatial Data Missing",VLOOKUP(M189,'G-3 Multipliers'!$L$3:$N$6,2,FALSE)))</f>
        <v/>
      </c>
      <c r="O189" s="368" t="str">
        <f>IF(M189="","",IF(VLOOKUP(M189,'G-3 Multipliers'!$L$3:$N$6,3,FALSE)=0,"Spatial Data Missing",VLOOKUP(M189,'G-3 Multipliers'!$L$3:$N$6,3,FALSE)))</f>
        <v/>
      </c>
      <c r="P189" s="369" t="str">
        <f>IFERROR(VLOOKUP(G189,'G-1 All Habitats'!$B$2:$M$134,12,FALSE),"")</f>
        <v/>
      </c>
      <c r="Q189" s="376" t="str">
        <f>IFERROR(IF(P189="","",IF(AND(P189='G-1 All Habitats'!$X$3,T189&gt;0),U189+V189,IF(AND(P189='G-1 All Habitats'!$X$3,S189&gt;0),U189+V189,IF(AND(P189='G-1 All Habitats'!$X$3,AC189&gt;0),"Any Loss Unacceptable ⚠",IF(AND(P189='G-1 All Habitats'!$X$3,W189&gt;0),"Any Loss Unacceptable ⚠",H189*J189*L189*O189))))),"Check Data ▲")</f>
        <v/>
      </c>
      <c r="R189" s="38"/>
      <c r="S189" s="54"/>
      <c r="T189" s="55"/>
      <c r="U189" s="374" t="str">
        <f t="shared" si="13"/>
        <v/>
      </c>
      <c r="V189" s="374" t="str">
        <f t="shared" si="14"/>
        <v/>
      </c>
      <c r="W189" s="374" t="str">
        <f>IF(E189="","",IF(H189&lt;S189+T189,"Error in Areas ▲",IF(P189&lt;&gt;'G-1 All Habitats'!$X$3,H189-S189-T189,IF(AND(P189='G-1 All Habitats'!$X$3,Y189="Yes"),"Unacceptable Loss ⚠",IF(AND(P189='G-1 All Habitats'!$X$3,Y189="No"),AC189,IF(AND(P189='G-1 All Habitats'!$X$3,Y189=""),AC189,IF(AND(P189='G-1 All Habitats'!$X$3,AC189="None",AC189),IF(AND(P189='G-1 All Habitats'!$X$3,AC189&gt;0),H189-S189-T189))))))))</f>
        <v/>
      </c>
      <c r="X189" s="378" t="str">
        <f>IFERROR(IF(H189="","",IF(H189-S189-T189=0&lt;0,"Error in Areas ▲",IF(S189+T189&gt;H189,"Error in Areas ▲",IF(AND(P189='G-1 All Habitats'!$X$3,Y189="Yes"),"Alternative Compensation ✓",IF(W189=0,0,IF(P189='G-1 All Habitats'!$X$3,"Any Loss Unacceptable ▲",Q189-U189-V189)))))),"Check Data ▲")</f>
        <v/>
      </c>
      <c r="Y189" s="55"/>
      <c r="Z189" s="62"/>
      <c r="AA189" s="526"/>
      <c r="AB189" s="120"/>
      <c r="AC189" s="726" t="str">
        <f>IF(P189="","",IF(P189='G-1 All Habitats'!$X$3,H189-S189-T189,"None"))</f>
        <v/>
      </c>
      <c r="AD189" s="727" t="str">
        <f>IF(P189="","", IF(P189='G-1 All Habitats'!$X$3, AC189*J189*L189*O189,"None"))</f>
        <v/>
      </c>
      <c r="AF189" s="40" t="str">
        <f t="shared" si="10"/>
        <v/>
      </c>
      <c r="AG189" s="40" t="str">
        <f t="shared" si="11"/>
        <v/>
      </c>
      <c r="AH189" s="40" t="str">
        <f>IF(I189="","",IF(#REF!&gt;0,TRUE,FALSE))</f>
        <v/>
      </c>
      <c r="AI189" s="40">
        <v>179</v>
      </c>
      <c r="AJ189" s="40"/>
      <c r="AK189" s="40" t="str">
        <f t="array" ref="AK189">IFERROR(INDEX($AI$11:$AI$259, MATCH(0, IF(TRUE=$AF$11:$AF$259, COUNTIF($AK$10:$AK188, $AI$11:$AI$259), ""), 0)),"")</f>
        <v/>
      </c>
      <c r="AL189" s="40" t="str">
        <f t="array" ref="AL189">IFERROR(INDEX($AI$11:$AI$259, MATCH(0, IF(TRUE=$AG$11:$AG$259, COUNTIF($AL$10:$AL188, $AI$11:$AI$259), ""), 0)),"")</f>
        <v/>
      </c>
      <c r="AM189" s="40" t="str">
        <f t="array" ref="AM189">IFERROR(INDEX($AI$11:$AI$259, MATCH(0, IF(TRUE=$AH$11:$AH$259, COUNTIF($AM$10:$AM188, $AI$11:$AI$259), ""), 0)),"")</f>
        <v/>
      </c>
      <c r="AN189" s="40"/>
      <c r="AQ189" s="35">
        <f t="shared" si="12"/>
        <v>0</v>
      </c>
    </row>
    <row r="190" spans="1:43">
      <c r="A190" s="35" t="str">
        <f>IFERROR(INDEX('G-1 All Habitats'!$AG$3:$AG$17,MATCH(E190,'G-1 All Habitats'!$AF$3:$AF$17,0)),"")</f>
        <v/>
      </c>
      <c r="B190" s="35" t="str">
        <f>IFERROR(INDEX('G-8 Condition Look up'!$I$4:$I$135,MATCH(G190,'G-8 Condition Look up'!$A$4:$A$135,0)),"")</f>
        <v/>
      </c>
      <c r="D190" s="287">
        <v>180</v>
      </c>
      <c r="E190" s="267"/>
      <c r="F190" s="61"/>
      <c r="G190" s="52" t="str">
        <f>IFERROR(INDEX('G-1 All Habitats'!$B$3:$B$134,MATCH(F190,'G-1 All Habitats'!$A$3:$A$134,0)),"")</f>
        <v/>
      </c>
      <c r="H190" s="53"/>
      <c r="I190" s="362" t="str">
        <f>IF(G190="","",VLOOKUP(G190,'G-1 All Habitats'!$B$2:$M$134,10,FALSE))</f>
        <v/>
      </c>
      <c r="J190" s="363" t="str">
        <f>IFERROR(VLOOKUP(I190,'G-1 All Habitats'!$V$3:$W$7,2,FALSE),"")</f>
        <v/>
      </c>
      <c r="K190" s="54"/>
      <c r="L190" s="363" t="str">
        <f>IFERROR(INDEX('G-8 Condition Look up'!$A$3:$H$135,MATCH(G190,'G-8 Condition Look up'!$A$3:$A$135,0),MATCH(K190,'G-8 Condition Look up'!$A$3:$H$3,0)),"")</f>
        <v/>
      </c>
      <c r="M190" s="54"/>
      <c r="N190" s="382" t="str">
        <f>IF(M190="","",IF(VLOOKUP(M190,'G-3 Multipliers'!$L$3:$N$6,2,FALSE)=0,"Spatial Data Missing",VLOOKUP(M190,'G-3 Multipliers'!$L$3:$N$6,2,FALSE)))</f>
        <v/>
      </c>
      <c r="O190" s="368" t="str">
        <f>IF(M190="","",IF(VLOOKUP(M190,'G-3 Multipliers'!$L$3:$N$6,3,FALSE)=0,"Spatial Data Missing",VLOOKUP(M190,'G-3 Multipliers'!$L$3:$N$6,3,FALSE)))</f>
        <v/>
      </c>
      <c r="P190" s="369" t="str">
        <f>IFERROR(VLOOKUP(G190,'G-1 All Habitats'!$B$2:$M$134,12,FALSE),"")</f>
        <v/>
      </c>
      <c r="Q190" s="376" t="str">
        <f>IFERROR(IF(P190="","",IF(AND(P190='G-1 All Habitats'!$X$3,T190&gt;0),U190+V190,IF(AND(P190='G-1 All Habitats'!$X$3,S190&gt;0),U190+V190,IF(AND(P190='G-1 All Habitats'!$X$3,AC190&gt;0),"Any Loss Unacceptable ⚠",IF(AND(P190='G-1 All Habitats'!$X$3,W190&gt;0),"Any Loss Unacceptable ⚠",H190*J190*L190*O190))))),"Check Data ▲")</f>
        <v/>
      </c>
      <c r="R190" s="38"/>
      <c r="S190" s="54"/>
      <c r="T190" s="55"/>
      <c r="U190" s="374" t="str">
        <f t="shared" si="13"/>
        <v/>
      </c>
      <c r="V190" s="374" t="str">
        <f t="shared" si="14"/>
        <v/>
      </c>
      <c r="W190" s="374" t="str">
        <f>IF(E190="","",IF(H190&lt;S190+T190,"Error in Areas ▲",IF(P190&lt;&gt;'G-1 All Habitats'!$X$3,H190-S190-T190,IF(AND(P190='G-1 All Habitats'!$X$3,Y190="Yes"),"Unacceptable Loss ⚠",IF(AND(P190='G-1 All Habitats'!$X$3,Y190="No"),AC190,IF(AND(P190='G-1 All Habitats'!$X$3,Y190=""),AC190,IF(AND(P190='G-1 All Habitats'!$X$3,AC190="None",AC190),IF(AND(P190='G-1 All Habitats'!$X$3,AC190&gt;0),H190-S190-T190))))))))</f>
        <v/>
      </c>
      <c r="X190" s="378" t="str">
        <f>IFERROR(IF(H190="","",IF(H190-S190-T190=0&lt;0,"Error in Areas ▲",IF(S190+T190&gt;H190,"Error in Areas ▲",IF(AND(P190='G-1 All Habitats'!$X$3,Y190="Yes"),"Alternative Compensation ✓",IF(W190=0,0,IF(P190='G-1 All Habitats'!$X$3,"Any Loss Unacceptable ▲",Q190-U190-V190)))))),"Check Data ▲")</f>
        <v/>
      </c>
      <c r="Y190" s="55"/>
      <c r="Z190" s="62"/>
      <c r="AA190" s="526"/>
      <c r="AB190" s="120"/>
      <c r="AC190" s="726" t="str">
        <f>IF(P190="","",IF(P190='G-1 All Habitats'!$X$3,H190-S190-T190,"None"))</f>
        <v/>
      </c>
      <c r="AD190" s="727" t="str">
        <f>IF(P190="","", IF(P190='G-1 All Habitats'!$X$3, AC190*J190*L190*O190,"None"))</f>
        <v/>
      </c>
      <c r="AF190" s="40" t="str">
        <f t="shared" si="10"/>
        <v/>
      </c>
      <c r="AG190" s="40" t="str">
        <f t="shared" si="11"/>
        <v/>
      </c>
      <c r="AH190" s="40" t="str">
        <f>IF(I190="","",IF(#REF!&gt;0,TRUE,FALSE))</f>
        <v/>
      </c>
      <c r="AI190" s="40">
        <v>180</v>
      </c>
      <c r="AJ190" s="40"/>
      <c r="AK190" s="40" t="str">
        <f t="array" ref="AK190">IFERROR(INDEX($AI$11:$AI$259, MATCH(0, IF(TRUE=$AF$11:$AF$259, COUNTIF($AK$10:$AK189, $AI$11:$AI$259), ""), 0)),"")</f>
        <v/>
      </c>
      <c r="AL190" s="40" t="str">
        <f t="array" ref="AL190">IFERROR(INDEX($AI$11:$AI$259, MATCH(0, IF(TRUE=$AG$11:$AG$259, COUNTIF($AL$10:$AL189, $AI$11:$AI$259), ""), 0)),"")</f>
        <v/>
      </c>
      <c r="AM190" s="40" t="str">
        <f t="array" ref="AM190">IFERROR(INDEX($AI$11:$AI$259, MATCH(0, IF(TRUE=$AH$11:$AH$259, COUNTIF($AM$10:$AM189, $AI$11:$AI$259), ""), 0)),"")</f>
        <v/>
      </c>
      <c r="AN190" s="40"/>
      <c r="AQ190" s="35">
        <f t="shared" si="12"/>
        <v>0</v>
      </c>
    </row>
    <row r="191" spans="1:43">
      <c r="A191" s="35" t="str">
        <f>IFERROR(INDEX('G-1 All Habitats'!$AG$3:$AG$17,MATCH(E191,'G-1 All Habitats'!$AF$3:$AF$17,0)),"")</f>
        <v/>
      </c>
      <c r="B191" s="35" t="str">
        <f>IFERROR(INDEX('G-8 Condition Look up'!$I$4:$I$135,MATCH(G191,'G-8 Condition Look up'!$A$4:$A$135,0)),"")</f>
        <v/>
      </c>
      <c r="D191" s="287">
        <v>181</v>
      </c>
      <c r="E191" s="267"/>
      <c r="F191" s="61"/>
      <c r="G191" s="52" t="str">
        <f>IFERROR(INDEX('G-1 All Habitats'!$B$3:$B$134,MATCH(F191,'G-1 All Habitats'!$A$3:$A$134,0)),"")</f>
        <v/>
      </c>
      <c r="H191" s="53"/>
      <c r="I191" s="362" t="str">
        <f>IF(G191="","",VLOOKUP(G191,'G-1 All Habitats'!$B$2:$M$134,10,FALSE))</f>
        <v/>
      </c>
      <c r="J191" s="363" t="str">
        <f>IFERROR(VLOOKUP(I191,'G-1 All Habitats'!$V$3:$W$7,2,FALSE),"")</f>
        <v/>
      </c>
      <c r="K191" s="54"/>
      <c r="L191" s="363" t="str">
        <f>IFERROR(INDEX('G-8 Condition Look up'!$A$3:$H$135,MATCH(G191,'G-8 Condition Look up'!$A$3:$A$135,0),MATCH(K191,'G-8 Condition Look up'!$A$3:$H$3,0)),"")</f>
        <v/>
      </c>
      <c r="M191" s="54"/>
      <c r="N191" s="382" t="str">
        <f>IF(M191="","",IF(VLOOKUP(M191,'G-3 Multipliers'!$L$3:$N$6,2,FALSE)=0,"Spatial Data Missing",VLOOKUP(M191,'G-3 Multipliers'!$L$3:$N$6,2,FALSE)))</f>
        <v/>
      </c>
      <c r="O191" s="368" t="str">
        <f>IF(M191="","",IF(VLOOKUP(M191,'G-3 Multipliers'!$L$3:$N$6,3,FALSE)=0,"Spatial Data Missing",VLOOKUP(M191,'G-3 Multipliers'!$L$3:$N$6,3,FALSE)))</f>
        <v/>
      </c>
      <c r="P191" s="369" t="str">
        <f>IFERROR(VLOOKUP(G191,'G-1 All Habitats'!$B$2:$M$134,12,FALSE),"")</f>
        <v/>
      </c>
      <c r="Q191" s="376" t="str">
        <f>IFERROR(IF(P191="","",IF(AND(P191='G-1 All Habitats'!$X$3,T191&gt;0),U191+V191,IF(AND(P191='G-1 All Habitats'!$X$3,S191&gt;0),U191+V191,IF(AND(P191='G-1 All Habitats'!$X$3,AC191&gt;0),"Any Loss Unacceptable ⚠",IF(AND(P191='G-1 All Habitats'!$X$3,W191&gt;0),"Any Loss Unacceptable ⚠",H191*J191*L191*O191))))),"Check Data ▲")</f>
        <v/>
      </c>
      <c r="R191" s="38"/>
      <c r="S191" s="54"/>
      <c r="T191" s="55"/>
      <c r="U191" s="374" t="str">
        <f t="shared" si="13"/>
        <v/>
      </c>
      <c r="V191" s="374" t="str">
        <f t="shared" si="14"/>
        <v/>
      </c>
      <c r="W191" s="374" t="str">
        <f>IF(E191="","",IF(H191&lt;S191+T191,"Error in Areas ▲",IF(P191&lt;&gt;'G-1 All Habitats'!$X$3,H191-S191-T191,IF(AND(P191='G-1 All Habitats'!$X$3,Y191="Yes"),"Unacceptable Loss ⚠",IF(AND(P191='G-1 All Habitats'!$X$3,Y191="No"),AC191,IF(AND(P191='G-1 All Habitats'!$X$3,Y191=""),AC191,IF(AND(P191='G-1 All Habitats'!$X$3,AC191="None",AC191),IF(AND(P191='G-1 All Habitats'!$X$3,AC191&gt;0),H191-S191-T191))))))))</f>
        <v/>
      </c>
      <c r="X191" s="378" t="str">
        <f>IFERROR(IF(H191="","",IF(H191-S191-T191=0&lt;0,"Error in Areas ▲",IF(S191+T191&gt;H191,"Error in Areas ▲",IF(AND(P191='G-1 All Habitats'!$X$3,Y191="Yes"),"Alternative Compensation ✓",IF(W191=0,0,IF(P191='G-1 All Habitats'!$X$3,"Any Loss Unacceptable ▲",Q191-U191-V191)))))),"Check Data ▲")</f>
        <v/>
      </c>
      <c r="Y191" s="55"/>
      <c r="Z191" s="62"/>
      <c r="AA191" s="526"/>
      <c r="AB191" s="120"/>
      <c r="AC191" s="726" t="str">
        <f>IF(P191="","",IF(P191='G-1 All Habitats'!$X$3,H191-S191-T191,"None"))</f>
        <v/>
      </c>
      <c r="AD191" s="727" t="str">
        <f>IF(P191="","", IF(P191='G-1 All Habitats'!$X$3, AC191*J191*L191*O191,"None"))</f>
        <v/>
      </c>
      <c r="AF191" s="40" t="str">
        <f t="shared" si="10"/>
        <v/>
      </c>
      <c r="AG191" s="40" t="str">
        <f t="shared" si="11"/>
        <v/>
      </c>
      <c r="AH191" s="40" t="str">
        <f>IF(I191="","",IF(#REF!&gt;0,TRUE,FALSE))</f>
        <v/>
      </c>
      <c r="AI191" s="40">
        <v>181</v>
      </c>
      <c r="AJ191" s="40"/>
      <c r="AK191" s="40" t="str">
        <f t="array" ref="AK191">IFERROR(INDEX($AI$11:$AI$259, MATCH(0, IF(TRUE=$AF$11:$AF$259, COUNTIF($AK$10:$AK190, $AI$11:$AI$259), ""), 0)),"")</f>
        <v/>
      </c>
      <c r="AL191" s="40" t="str">
        <f t="array" ref="AL191">IFERROR(INDEX($AI$11:$AI$259, MATCH(0, IF(TRUE=$AG$11:$AG$259, COUNTIF($AL$10:$AL190, $AI$11:$AI$259), ""), 0)),"")</f>
        <v/>
      </c>
      <c r="AM191" s="40" t="str">
        <f t="array" ref="AM191">IFERROR(INDEX($AI$11:$AI$259, MATCH(0, IF(TRUE=$AH$11:$AH$259, COUNTIF($AM$10:$AM190, $AI$11:$AI$259), ""), 0)),"")</f>
        <v/>
      </c>
      <c r="AN191" s="40"/>
      <c r="AQ191" s="35">
        <f t="shared" si="12"/>
        <v>0</v>
      </c>
    </row>
    <row r="192" spans="1:43">
      <c r="A192" s="35" t="str">
        <f>IFERROR(INDEX('G-1 All Habitats'!$AG$3:$AG$17,MATCH(E192,'G-1 All Habitats'!$AF$3:$AF$17,0)),"")</f>
        <v/>
      </c>
      <c r="B192" s="35" t="str">
        <f>IFERROR(INDEX('G-8 Condition Look up'!$I$4:$I$135,MATCH(G192,'G-8 Condition Look up'!$A$4:$A$135,0)),"")</f>
        <v/>
      </c>
      <c r="D192" s="287">
        <v>182</v>
      </c>
      <c r="E192" s="267"/>
      <c r="F192" s="61"/>
      <c r="G192" s="52" t="str">
        <f>IFERROR(INDEX('G-1 All Habitats'!$B$3:$B$134,MATCH(F192,'G-1 All Habitats'!$A$3:$A$134,0)),"")</f>
        <v/>
      </c>
      <c r="H192" s="53"/>
      <c r="I192" s="362" t="str">
        <f>IF(G192="","",VLOOKUP(G192,'G-1 All Habitats'!$B$2:$M$134,10,FALSE))</f>
        <v/>
      </c>
      <c r="J192" s="363" t="str">
        <f>IFERROR(VLOOKUP(I192,'G-1 All Habitats'!$V$3:$W$7,2,FALSE),"")</f>
        <v/>
      </c>
      <c r="K192" s="54"/>
      <c r="L192" s="363" t="str">
        <f>IFERROR(INDEX('G-8 Condition Look up'!$A$3:$H$135,MATCH(G192,'G-8 Condition Look up'!$A$3:$A$135,0),MATCH(K192,'G-8 Condition Look up'!$A$3:$H$3,0)),"")</f>
        <v/>
      </c>
      <c r="M192" s="54"/>
      <c r="N192" s="382" t="str">
        <f>IF(M192="","",IF(VLOOKUP(M192,'G-3 Multipliers'!$L$3:$N$6,2,FALSE)=0,"Spatial Data Missing",VLOOKUP(M192,'G-3 Multipliers'!$L$3:$N$6,2,FALSE)))</f>
        <v/>
      </c>
      <c r="O192" s="368" t="str">
        <f>IF(M192="","",IF(VLOOKUP(M192,'G-3 Multipliers'!$L$3:$N$6,3,FALSE)=0,"Spatial Data Missing",VLOOKUP(M192,'G-3 Multipliers'!$L$3:$N$6,3,FALSE)))</f>
        <v/>
      </c>
      <c r="P192" s="369" t="str">
        <f>IFERROR(VLOOKUP(G192,'G-1 All Habitats'!$B$2:$M$134,12,FALSE),"")</f>
        <v/>
      </c>
      <c r="Q192" s="376" t="str">
        <f>IFERROR(IF(P192="","",IF(AND(P192='G-1 All Habitats'!$X$3,T192&gt;0),U192+V192,IF(AND(P192='G-1 All Habitats'!$X$3,S192&gt;0),U192+V192,IF(AND(P192='G-1 All Habitats'!$X$3,AC192&gt;0),"Any Loss Unacceptable ⚠",IF(AND(P192='G-1 All Habitats'!$X$3,W192&gt;0),"Any Loss Unacceptable ⚠",H192*J192*L192*O192))))),"Check Data ▲")</f>
        <v/>
      </c>
      <c r="R192" s="38"/>
      <c r="S192" s="54"/>
      <c r="T192" s="55"/>
      <c r="U192" s="374" t="str">
        <f t="shared" si="13"/>
        <v/>
      </c>
      <c r="V192" s="374" t="str">
        <f t="shared" si="14"/>
        <v/>
      </c>
      <c r="W192" s="374" t="str">
        <f>IF(E192="","",IF(H192&lt;S192+T192,"Error in Areas ▲",IF(P192&lt;&gt;'G-1 All Habitats'!$X$3,H192-S192-T192,IF(AND(P192='G-1 All Habitats'!$X$3,Y192="Yes"),"Unacceptable Loss ⚠",IF(AND(P192='G-1 All Habitats'!$X$3,Y192="No"),AC192,IF(AND(P192='G-1 All Habitats'!$X$3,Y192=""),AC192,IF(AND(P192='G-1 All Habitats'!$X$3,AC192="None",AC192),IF(AND(P192='G-1 All Habitats'!$X$3,AC192&gt;0),H192-S192-T192))))))))</f>
        <v/>
      </c>
      <c r="X192" s="378" t="str">
        <f>IFERROR(IF(H192="","",IF(H192-S192-T192=0&lt;0,"Error in Areas ▲",IF(S192+T192&gt;H192,"Error in Areas ▲",IF(AND(P192='G-1 All Habitats'!$X$3,Y192="Yes"),"Alternative Compensation ✓",IF(W192=0,0,IF(P192='G-1 All Habitats'!$X$3,"Any Loss Unacceptable ▲",Q192-U192-V192)))))),"Check Data ▲")</f>
        <v/>
      </c>
      <c r="Y192" s="55"/>
      <c r="Z192" s="62"/>
      <c r="AA192" s="526"/>
      <c r="AB192" s="120"/>
      <c r="AC192" s="726" t="str">
        <f>IF(P192="","",IF(P192='G-1 All Habitats'!$X$3,H192-S192-T192,"None"))</f>
        <v/>
      </c>
      <c r="AD192" s="727" t="str">
        <f>IF(P192="","", IF(P192='G-1 All Habitats'!$X$3, AC192*J192*L192*O192,"None"))</f>
        <v/>
      </c>
      <c r="AF192" s="40" t="str">
        <f t="shared" si="10"/>
        <v/>
      </c>
      <c r="AG192" s="40" t="str">
        <f t="shared" si="11"/>
        <v/>
      </c>
      <c r="AH192" s="40" t="str">
        <f>IF(I192="","",IF(#REF!&gt;0,TRUE,FALSE))</f>
        <v/>
      </c>
      <c r="AI192" s="40">
        <v>182</v>
      </c>
      <c r="AJ192" s="40"/>
      <c r="AK192" s="40" t="str">
        <f t="array" ref="AK192">IFERROR(INDEX($AI$11:$AI$259, MATCH(0, IF(TRUE=$AF$11:$AF$259, COUNTIF($AK$10:$AK191, $AI$11:$AI$259), ""), 0)),"")</f>
        <v/>
      </c>
      <c r="AL192" s="40" t="str">
        <f t="array" ref="AL192">IFERROR(INDEX($AI$11:$AI$259, MATCH(0, IF(TRUE=$AG$11:$AG$259, COUNTIF($AL$10:$AL191, $AI$11:$AI$259), ""), 0)),"")</f>
        <v/>
      </c>
      <c r="AM192" s="40" t="str">
        <f t="array" ref="AM192">IFERROR(INDEX($AI$11:$AI$259, MATCH(0, IF(TRUE=$AH$11:$AH$259, COUNTIF($AM$10:$AM191, $AI$11:$AI$259), ""), 0)),"")</f>
        <v/>
      </c>
      <c r="AN192" s="40"/>
      <c r="AQ192" s="35">
        <f t="shared" si="12"/>
        <v>0</v>
      </c>
    </row>
    <row r="193" spans="1:43">
      <c r="A193" s="35" t="str">
        <f>IFERROR(INDEX('G-1 All Habitats'!$AG$3:$AG$17,MATCH(E193,'G-1 All Habitats'!$AF$3:$AF$17,0)),"")</f>
        <v/>
      </c>
      <c r="B193" s="35" t="str">
        <f>IFERROR(INDEX('G-8 Condition Look up'!$I$4:$I$135,MATCH(G193,'G-8 Condition Look up'!$A$4:$A$135,0)),"")</f>
        <v/>
      </c>
      <c r="D193" s="287">
        <v>183</v>
      </c>
      <c r="E193" s="267"/>
      <c r="F193" s="61"/>
      <c r="G193" s="52" t="str">
        <f>IFERROR(INDEX('G-1 All Habitats'!$B$3:$B$134,MATCH(F193,'G-1 All Habitats'!$A$3:$A$134,0)),"")</f>
        <v/>
      </c>
      <c r="H193" s="53"/>
      <c r="I193" s="362" t="str">
        <f>IF(G193="","",VLOOKUP(G193,'G-1 All Habitats'!$B$2:$M$134,10,FALSE))</f>
        <v/>
      </c>
      <c r="J193" s="363" t="str">
        <f>IFERROR(VLOOKUP(I193,'G-1 All Habitats'!$V$3:$W$7,2,FALSE),"")</f>
        <v/>
      </c>
      <c r="K193" s="54"/>
      <c r="L193" s="363" t="str">
        <f>IFERROR(INDEX('G-8 Condition Look up'!$A$3:$H$135,MATCH(G193,'G-8 Condition Look up'!$A$3:$A$135,0),MATCH(K193,'G-8 Condition Look up'!$A$3:$H$3,0)),"")</f>
        <v/>
      </c>
      <c r="M193" s="54"/>
      <c r="N193" s="382" t="str">
        <f>IF(M193="","",IF(VLOOKUP(M193,'G-3 Multipliers'!$L$3:$N$6,2,FALSE)=0,"Spatial Data Missing",VLOOKUP(M193,'G-3 Multipliers'!$L$3:$N$6,2,FALSE)))</f>
        <v/>
      </c>
      <c r="O193" s="368" t="str">
        <f>IF(M193="","",IF(VLOOKUP(M193,'G-3 Multipliers'!$L$3:$N$6,3,FALSE)=0,"Spatial Data Missing",VLOOKUP(M193,'G-3 Multipliers'!$L$3:$N$6,3,FALSE)))</f>
        <v/>
      </c>
      <c r="P193" s="369" t="str">
        <f>IFERROR(VLOOKUP(G193,'G-1 All Habitats'!$B$2:$M$134,12,FALSE),"")</f>
        <v/>
      </c>
      <c r="Q193" s="376" t="str">
        <f>IFERROR(IF(P193="","",IF(AND(P193='G-1 All Habitats'!$X$3,T193&gt;0),U193+V193,IF(AND(P193='G-1 All Habitats'!$X$3,S193&gt;0),U193+V193,IF(AND(P193='G-1 All Habitats'!$X$3,AC193&gt;0),"Any Loss Unacceptable ⚠",IF(AND(P193='G-1 All Habitats'!$X$3,W193&gt;0),"Any Loss Unacceptable ⚠",H193*J193*L193*O193))))),"Check Data ▲")</f>
        <v/>
      </c>
      <c r="R193" s="38"/>
      <c r="S193" s="54"/>
      <c r="T193" s="55"/>
      <c r="U193" s="374" t="str">
        <f t="shared" si="13"/>
        <v/>
      </c>
      <c r="V193" s="374" t="str">
        <f t="shared" si="14"/>
        <v/>
      </c>
      <c r="W193" s="374" t="str">
        <f>IF(E193="","",IF(H193&lt;S193+T193,"Error in Areas ▲",IF(P193&lt;&gt;'G-1 All Habitats'!$X$3,H193-S193-T193,IF(AND(P193='G-1 All Habitats'!$X$3,Y193="Yes"),"Unacceptable Loss ⚠",IF(AND(P193='G-1 All Habitats'!$X$3,Y193="No"),AC193,IF(AND(P193='G-1 All Habitats'!$X$3,Y193=""),AC193,IF(AND(P193='G-1 All Habitats'!$X$3,AC193="None",AC193),IF(AND(P193='G-1 All Habitats'!$X$3,AC193&gt;0),H193-S193-T193))))))))</f>
        <v/>
      </c>
      <c r="X193" s="378" t="str">
        <f>IFERROR(IF(H193="","",IF(H193-S193-T193=0&lt;0,"Error in Areas ▲",IF(S193+T193&gt;H193,"Error in Areas ▲",IF(AND(P193='G-1 All Habitats'!$X$3,Y193="Yes"),"Alternative Compensation ✓",IF(W193=0,0,IF(P193='G-1 All Habitats'!$X$3,"Any Loss Unacceptable ▲",Q193-U193-V193)))))),"Check Data ▲")</f>
        <v/>
      </c>
      <c r="Y193" s="55"/>
      <c r="Z193" s="62"/>
      <c r="AA193" s="526"/>
      <c r="AB193" s="120"/>
      <c r="AC193" s="726" t="str">
        <f>IF(P193="","",IF(P193='G-1 All Habitats'!$X$3,H193-S193-T193,"None"))</f>
        <v/>
      </c>
      <c r="AD193" s="727" t="str">
        <f>IF(P193="","", IF(P193='G-1 All Habitats'!$X$3, AC193*J193*L193*O193,"None"))</f>
        <v/>
      </c>
      <c r="AF193" s="40" t="str">
        <f t="shared" si="10"/>
        <v/>
      </c>
      <c r="AG193" s="40" t="str">
        <f t="shared" si="11"/>
        <v/>
      </c>
      <c r="AH193" s="40" t="str">
        <f>IF(I193="","",IF(#REF!&gt;0,TRUE,FALSE))</f>
        <v/>
      </c>
      <c r="AI193" s="40">
        <v>183</v>
      </c>
      <c r="AJ193" s="40"/>
      <c r="AK193" s="40" t="str">
        <f t="array" ref="AK193">IFERROR(INDEX($AI$11:$AI$259, MATCH(0, IF(TRUE=$AF$11:$AF$259, COUNTIF($AK$10:$AK192, $AI$11:$AI$259), ""), 0)),"")</f>
        <v/>
      </c>
      <c r="AL193" s="40" t="str">
        <f t="array" ref="AL193">IFERROR(INDEX($AI$11:$AI$259, MATCH(0, IF(TRUE=$AG$11:$AG$259, COUNTIF($AL$10:$AL192, $AI$11:$AI$259), ""), 0)),"")</f>
        <v/>
      </c>
      <c r="AM193" s="40" t="str">
        <f t="array" ref="AM193">IFERROR(INDEX($AI$11:$AI$259, MATCH(0, IF(TRUE=$AH$11:$AH$259, COUNTIF($AM$10:$AM192, $AI$11:$AI$259), ""), 0)),"")</f>
        <v/>
      </c>
      <c r="AN193" s="40"/>
      <c r="AQ193" s="35">
        <f t="shared" si="12"/>
        <v>0</v>
      </c>
    </row>
    <row r="194" spans="1:43">
      <c r="A194" s="35" t="str">
        <f>IFERROR(INDEX('G-1 All Habitats'!$AG$3:$AG$17,MATCH(E194,'G-1 All Habitats'!$AF$3:$AF$17,0)),"")</f>
        <v/>
      </c>
      <c r="B194" s="35" t="str">
        <f>IFERROR(INDEX('G-8 Condition Look up'!$I$4:$I$135,MATCH(G194,'G-8 Condition Look up'!$A$4:$A$135,0)),"")</f>
        <v/>
      </c>
      <c r="D194" s="287">
        <v>184</v>
      </c>
      <c r="E194" s="267"/>
      <c r="F194" s="61"/>
      <c r="G194" s="52" t="str">
        <f>IFERROR(INDEX('G-1 All Habitats'!$B$3:$B$134,MATCH(F194,'G-1 All Habitats'!$A$3:$A$134,0)),"")</f>
        <v/>
      </c>
      <c r="H194" s="53"/>
      <c r="I194" s="362" t="str">
        <f>IF(G194="","",VLOOKUP(G194,'G-1 All Habitats'!$B$2:$M$134,10,FALSE))</f>
        <v/>
      </c>
      <c r="J194" s="363" t="str">
        <f>IFERROR(VLOOKUP(I194,'G-1 All Habitats'!$V$3:$W$7,2,FALSE),"")</f>
        <v/>
      </c>
      <c r="K194" s="54"/>
      <c r="L194" s="363" t="str">
        <f>IFERROR(INDEX('G-8 Condition Look up'!$A$3:$H$135,MATCH(G194,'G-8 Condition Look up'!$A$3:$A$135,0),MATCH(K194,'G-8 Condition Look up'!$A$3:$H$3,0)),"")</f>
        <v/>
      </c>
      <c r="M194" s="54"/>
      <c r="N194" s="382" t="str">
        <f>IF(M194="","",IF(VLOOKUP(M194,'G-3 Multipliers'!$L$3:$N$6,2,FALSE)=0,"Spatial Data Missing",VLOOKUP(M194,'G-3 Multipliers'!$L$3:$N$6,2,FALSE)))</f>
        <v/>
      </c>
      <c r="O194" s="368" t="str">
        <f>IF(M194="","",IF(VLOOKUP(M194,'G-3 Multipliers'!$L$3:$N$6,3,FALSE)=0,"Spatial Data Missing",VLOOKUP(M194,'G-3 Multipliers'!$L$3:$N$6,3,FALSE)))</f>
        <v/>
      </c>
      <c r="P194" s="369" t="str">
        <f>IFERROR(VLOOKUP(G194,'G-1 All Habitats'!$B$2:$M$134,12,FALSE),"")</f>
        <v/>
      </c>
      <c r="Q194" s="376" t="str">
        <f>IFERROR(IF(P194="","",IF(AND(P194='G-1 All Habitats'!$X$3,T194&gt;0),U194+V194,IF(AND(P194='G-1 All Habitats'!$X$3,S194&gt;0),U194+V194,IF(AND(P194='G-1 All Habitats'!$X$3,AC194&gt;0),"Any Loss Unacceptable ⚠",IF(AND(P194='G-1 All Habitats'!$X$3,W194&gt;0),"Any Loss Unacceptable ⚠",H194*J194*L194*O194))))),"Check Data ▲")</f>
        <v/>
      </c>
      <c r="R194" s="38"/>
      <c r="S194" s="54"/>
      <c r="T194" s="55"/>
      <c r="U194" s="374" t="str">
        <f t="shared" si="13"/>
        <v/>
      </c>
      <c r="V194" s="374" t="str">
        <f t="shared" si="14"/>
        <v/>
      </c>
      <c r="W194" s="374" t="str">
        <f>IF(E194="","",IF(H194&lt;S194+T194,"Error in Areas ▲",IF(P194&lt;&gt;'G-1 All Habitats'!$X$3,H194-S194-T194,IF(AND(P194='G-1 All Habitats'!$X$3,Y194="Yes"),"Unacceptable Loss ⚠",IF(AND(P194='G-1 All Habitats'!$X$3,Y194="No"),AC194,IF(AND(P194='G-1 All Habitats'!$X$3,Y194=""),AC194,IF(AND(P194='G-1 All Habitats'!$X$3,AC194="None",AC194),IF(AND(P194='G-1 All Habitats'!$X$3,AC194&gt;0),H194-S194-T194))))))))</f>
        <v/>
      </c>
      <c r="X194" s="378" t="str">
        <f>IFERROR(IF(H194="","",IF(H194-S194-T194=0&lt;0,"Error in Areas ▲",IF(S194+T194&gt;H194,"Error in Areas ▲",IF(AND(P194='G-1 All Habitats'!$X$3,Y194="Yes"),"Alternative Compensation ✓",IF(W194=0,0,IF(P194='G-1 All Habitats'!$X$3,"Any Loss Unacceptable ▲",Q194-U194-V194)))))),"Check Data ▲")</f>
        <v/>
      </c>
      <c r="Y194" s="55"/>
      <c r="Z194" s="62"/>
      <c r="AA194" s="526"/>
      <c r="AB194" s="120"/>
      <c r="AC194" s="726" t="str">
        <f>IF(P194="","",IF(P194='G-1 All Habitats'!$X$3,H194-S194-T194,"None"))</f>
        <v/>
      </c>
      <c r="AD194" s="727" t="str">
        <f>IF(P194="","", IF(P194='G-1 All Habitats'!$X$3, AC194*J194*L194*O194,"None"))</f>
        <v/>
      </c>
      <c r="AF194" s="40" t="str">
        <f t="shared" si="10"/>
        <v/>
      </c>
      <c r="AG194" s="40" t="str">
        <f t="shared" si="11"/>
        <v/>
      </c>
      <c r="AH194" s="40" t="str">
        <f>IF(I194="","",IF(#REF!&gt;0,TRUE,FALSE))</f>
        <v/>
      </c>
      <c r="AI194" s="40">
        <v>184</v>
      </c>
      <c r="AJ194" s="40"/>
      <c r="AK194" s="40" t="str">
        <f t="array" ref="AK194">IFERROR(INDEX($AI$11:$AI$259, MATCH(0, IF(TRUE=$AF$11:$AF$259, COUNTIF($AK$10:$AK193, $AI$11:$AI$259), ""), 0)),"")</f>
        <v/>
      </c>
      <c r="AL194" s="40" t="str">
        <f t="array" ref="AL194">IFERROR(INDEX($AI$11:$AI$259, MATCH(0, IF(TRUE=$AG$11:$AG$259, COUNTIF($AL$10:$AL193, $AI$11:$AI$259), ""), 0)),"")</f>
        <v/>
      </c>
      <c r="AM194" s="40" t="str">
        <f t="array" ref="AM194">IFERROR(INDEX($AI$11:$AI$259, MATCH(0, IF(TRUE=$AH$11:$AH$259, COUNTIF($AM$10:$AM193, $AI$11:$AI$259), ""), 0)),"")</f>
        <v/>
      </c>
      <c r="AN194" s="40"/>
      <c r="AQ194" s="35">
        <f t="shared" si="12"/>
        <v>0</v>
      </c>
    </row>
    <row r="195" spans="1:43">
      <c r="A195" s="35" t="str">
        <f>IFERROR(INDEX('G-1 All Habitats'!$AG$3:$AG$17,MATCH(E195,'G-1 All Habitats'!$AF$3:$AF$17,0)),"")</f>
        <v/>
      </c>
      <c r="B195" s="35" t="str">
        <f>IFERROR(INDEX('G-8 Condition Look up'!$I$4:$I$135,MATCH(G195,'G-8 Condition Look up'!$A$4:$A$135,0)),"")</f>
        <v/>
      </c>
      <c r="D195" s="287">
        <v>185</v>
      </c>
      <c r="E195" s="267"/>
      <c r="F195" s="61"/>
      <c r="G195" s="52" t="str">
        <f>IFERROR(INDEX('G-1 All Habitats'!$B$3:$B$134,MATCH(F195,'G-1 All Habitats'!$A$3:$A$134,0)),"")</f>
        <v/>
      </c>
      <c r="H195" s="53"/>
      <c r="I195" s="362" t="str">
        <f>IF(G195="","",VLOOKUP(G195,'G-1 All Habitats'!$B$2:$M$134,10,FALSE))</f>
        <v/>
      </c>
      <c r="J195" s="363" t="str">
        <f>IFERROR(VLOOKUP(I195,'G-1 All Habitats'!$V$3:$W$7,2,FALSE),"")</f>
        <v/>
      </c>
      <c r="K195" s="54"/>
      <c r="L195" s="363" t="str">
        <f>IFERROR(INDEX('G-8 Condition Look up'!$A$3:$H$135,MATCH(G195,'G-8 Condition Look up'!$A$3:$A$135,0),MATCH(K195,'G-8 Condition Look up'!$A$3:$H$3,0)),"")</f>
        <v/>
      </c>
      <c r="M195" s="54"/>
      <c r="N195" s="382" t="str">
        <f>IF(M195="","",IF(VLOOKUP(M195,'G-3 Multipliers'!$L$3:$N$6,2,FALSE)=0,"Spatial Data Missing",VLOOKUP(M195,'G-3 Multipliers'!$L$3:$N$6,2,FALSE)))</f>
        <v/>
      </c>
      <c r="O195" s="368" t="str">
        <f>IF(M195="","",IF(VLOOKUP(M195,'G-3 Multipliers'!$L$3:$N$6,3,FALSE)=0,"Spatial Data Missing",VLOOKUP(M195,'G-3 Multipliers'!$L$3:$N$6,3,FALSE)))</f>
        <v/>
      </c>
      <c r="P195" s="369" t="str">
        <f>IFERROR(VLOOKUP(G195,'G-1 All Habitats'!$B$2:$M$134,12,FALSE),"")</f>
        <v/>
      </c>
      <c r="Q195" s="376" t="str">
        <f>IFERROR(IF(P195="","",IF(AND(P195='G-1 All Habitats'!$X$3,T195&gt;0),U195+V195,IF(AND(P195='G-1 All Habitats'!$X$3,S195&gt;0),U195+V195,IF(AND(P195='G-1 All Habitats'!$X$3,AC195&gt;0),"Any Loss Unacceptable ⚠",IF(AND(P195='G-1 All Habitats'!$X$3,W195&gt;0),"Any Loss Unacceptable ⚠",H195*J195*L195*O195))))),"Check Data ▲")</f>
        <v/>
      </c>
      <c r="R195" s="38"/>
      <c r="S195" s="54"/>
      <c r="T195" s="55"/>
      <c r="U195" s="374" t="str">
        <f t="shared" si="13"/>
        <v/>
      </c>
      <c r="V195" s="374" t="str">
        <f t="shared" si="14"/>
        <v/>
      </c>
      <c r="W195" s="374" t="str">
        <f>IF(E195="","",IF(H195&lt;S195+T195,"Error in Areas ▲",IF(P195&lt;&gt;'G-1 All Habitats'!$X$3,H195-S195-T195,IF(AND(P195='G-1 All Habitats'!$X$3,Y195="Yes"),"Unacceptable Loss ⚠",IF(AND(P195='G-1 All Habitats'!$X$3,Y195="No"),AC195,IF(AND(P195='G-1 All Habitats'!$X$3,Y195=""),AC195,IF(AND(P195='G-1 All Habitats'!$X$3,AC195="None",AC195),IF(AND(P195='G-1 All Habitats'!$X$3,AC195&gt;0),H195-S195-T195))))))))</f>
        <v/>
      </c>
      <c r="X195" s="378" t="str">
        <f>IFERROR(IF(H195="","",IF(H195-S195-T195=0&lt;0,"Error in Areas ▲",IF(S195+T195&gt;H195,"Error in Areas ▲",IF(AND(P195='G-1 All Habitats'!$X$3,Y195="Yes"),"Alternative Compensation ✓",IF(W195=0,0,IF(P195='G-1 All Habitats'!$X$3,"Any Loss Unacceptable ▲",Q195-U195-V195)))))),"Check Data ▲")</f>
        <v/>
      </c>
      <c r="Y195" s="55"/>
      <c r="Z195" s="62"/>
      <c r="AA195" s="526"/>
      <c r="AB195" s="120"/>
      <c r="AC195" s="726" t="str">
        <f>IF(P195="","",IF(P195='G-1 All Habitats'!$X$3,H195-S195-T195,"None"))</f>
        <v/>
      </c>
      <c r="AD195" s="727" t="str">
        <f>IF(P195="","", IF(P195='G-1 All Habitats'!$X$3, AC195*J195*L195*O195,"None"))</f>
        <v/>
      </c>
      <c r="AF195" s="40" t="str">
        <f t="shared" si="10"/>
        <v/>
      </c>
      <c r="AG195" s="40" t="str">
        <f t="shared" si="11"/>
        <v/>
      </c>
      <c r="AH195" s="40" t="str">
        <f>IF(I195="","",IF(#REF!&gt;0,TRUE,FALSE))</f>
        <v/>
      </c>
      <c r="AI195" s="40">
        <v>185</v>
      </c>
      <c r="AJ195" s="40"/>
      <c r="AK195" s="40" t="str">
        <f t="array" ref="AK195">IFERROR(INDEX($AI$11:$AI$259, MATCH(0, IF(TRUE=$AF$11:$AF$259, COUNTIF($AK$10:$AK194, $AI$11:$AI$259), ""), 0)),"")</f>
        <v/>
      </c>
      <c r="AL195" s="40" t="str">
        <f t="array" ref="AL195">IFERROR(INDEX($AI$11:$AI$259, MATCH(0, IF(TRUE=$AG$11:$AG$259, COUNTIF($AL$10:$AL194, $AI$11:$AI$259), ""), 0)),"")</f>
        <v/>
      </c>
      <c r="AM195" s="40" t="str">
        <f t="array" ref="AM195">IFERROR(INDEX($AI$11:$AI$259, MATCH(0, IF(TRUE=$AH$11:$AH$259, COUNTIF($AM$10:$AM194, $AI$11:$AI$259), ""), 0)),"")</f>
        <v/>
      </c>
      <c r="AN195" s="40"/>
      <c r="AQ195" s="35">
        <f t="shared" si="12"/>
        <v>0</v>
      </c>
    </row>
    <row r="196" spans="1:43">
      <c r="A196" s="35" t="str">
        <f>IFERROR(INDEX('G-1 All Habitats'!$AG$3:$AG$17,MATCH(E196,'G-1 All Habitats'!$AF$3:$AF$17,0)),"")</f>
        <v/>
      </c>
      <c r="B196" s="35" t="str">
        <f>IFERROR(INDEX('G-8 Condition Look up'!$I$4:$I$135,MATCH(G196,'G-8 Condition Look up'!$A$4:$A$135,0)),"")</f>
        <v/>
      </c>
      <c r="D196" s="287">
        <v>186</v>
      </c>
      <c r="E196" s="267"/>
      <c r="F196" s="61"/>
      <c r="G196" s="52" t="str">
        <f>IFERROR(INDEX('G-1 All Habitats'!$B$3:$B$134,MATCH(F196,'G-1 All Habitats'!$A$3:$A$134,0)),"")</f>
        <v/>
      </c>
      <c r="H196" s="53"/>
      <c r="I196" s="362" t="str">
        <f>IF(G196="","",VLOOKUP(G196,'G-1 All Habitats'!$B$2:$M$134,10,FALSE))</f>
        <v/>
      </c>
      <c r="J196" s="363" t="str">
        <f>IFERROR(VLOOKUP(I196,'G-1 All Habitats'!$V$3:$W$7,2,FALSE),"")</f>
        <v/>
      </c>
      <c r="K196" s="54"/>
      <c r="L196" s="363" t="str">
        <f>IFERROR(INDEX('G-8 Condition Look up'!$A$3:$H$135,MATCH(G196,'G-8 Condition Look up'!$A$3:$A$135,0),MATCH(K196,'G-8 Condition Look up'!$A$3:$H$3,0)),"")</f>
        <v/>
      </c>
      <c r="M196" s="54"/>
      <c r="N196" s="382" t="str">
        <f>IF(M196="","",IF(VLOOKUP(M196,'G-3 Multipliers'!$L$3:$N$6,2,FALSE)=0,"Spatial Data Missing",VLOOKUP(M196,'G-3 Multipliers'!$L$3:$N$6,2,FALSE)))</f>
        <v/>
      </c>
      <c r="O196" s="368" t="str">
        <f>IF(M196="","",IF(VLOOKUP(M196,'G-3 Multipliers'!$L$3:$N$6,3,FALSE)=0,"Spatial Data Missing",VLOOKUP(M196,'G-3 Multipliers'!$L$3:$N$6,3,FALSE)))</f>
        <v/>
      </c>
      <c r="P196" s="369" t="str">
        <f>IFERROR(VLOOKUP(G196,'G-1 All Habitats'!$B$2:$M$134,12,FALSE),"")</f>
        <v/>
      </c>
      <c r="Q196" s="376" t="str">
        <f>IFERROR(IF(P196="","",IF(AND(P196='G-1 All Habitats'!$X$3,T196&gt;0),U196+V196,IF(AND(P196='G-1 All Habitats'!$X$3,S196&gt;0),U196+V196,IF(AND(P196='G-1 All Habitats'!$X$3,AC196&gt;0),"Any Loss Unacceptable ⚠",IF(AND(P196='G-1 All Habitats'!$X$3,W196&gt;0),"Any Loss Unacceptable ⚠",H196*J196*L196*O196))))),"Check Data ▲")</f>
        <v/>
      </c>
      <c r="R196" s="38"/>
      <c r="S196" s="54"/>
      <c r="T196" s="55"/>
      <c r="U196" s="374" t="str">
        <f t="shared" si="13"/>
        <v/>
      </c>
      <c r="V196" s="374" t="str">
        <f t="shared" si="14"/>
        <v/>
      </c>
      <c r="W196" s="374" t="str">
        <f>IF(E196="","",IF(H196&lt;S196+T196,"Error in Areas ▲",IF(P196&lt;&gt;'G-1 All Habitats'!$X$3,H196-S196-T196,IF(AND(P196='G-1 All Habitats'!$X$3,Y196="Yes"),"Unacceptable Loss ⚠",IF(AND(P196='G-1 All Habitats'!$X$3,Y196="No"),AC196,IF(AND(P196='G-1 All Habitats'!$X$3,Y196=""),AC196,IF(AND(P196='G-1 All Habitats'!$X$3,AC196="None",AC196),IF(AND(P196='G-1 All Habitats'!$X$3,AC196&gt;0),H196-S196-T196))))))))</f>
        <v/>
      </c>
      <c r="X196" s="378" t="str">
        <f>IFERROR(IF(H196="","",IF(H196-S196-T196=0&lt;0,"Error in Areas ▲",IF(S196+T196&gt;H196,"Error in Areas ▲",IF(AND(P196='G-1 All Habitats'!$X$3,Y196="Yes"),"Alternative Compensation ✓",IF(W196=0,0,IF(P196='G-1 All Habitats'!$X$3,"Any Loss Unacceptable ▲",Q196-U196-V196)))))),"Check Data ▲")</f>
        <v/>
      </c>
      <c r="Y196" s="55"/>
      <c r="Z196" s="62"/>
      <c r="AA196" s="526"/>
      <c r="AB196" s="120"/>
      <c r="AC196" s="726" t="str">
        <f>IF(P196="","",IF(P196='G-1 All Habitats'!$X$3,H196-S196-T196,"None"))</f>
        <v/>
      </c>
      <c r="AD196" s="727" t="str">
        <f>IF(P196="","", IF(P196='G-1 All Habitats'!$X$3, AC196*J196*L196*O196,"None"))</f>
        <v/>
      </c>
      <c r="AF196" s="40" t="str">
        <f t="shared" si="10"/>
        <v/>
      </c>
      <c r="AG196" s="40" t="str">
        <f t="shared" si="11"/>
        <v/>
      </c>
      <c r="AH196" s="40" t="str">
        <f>IF(I196="","",IF(#REF!&gt;0,TRUE,FALSE))</f>
        <v/>
      </c>
      <c r="AI196" s="40">
        <v>186</v>
      </c>
      <c r="AJ196" s="40"/>
      <c r="AK196" s="40" t="str">
        <f t="array" ref="AK196">IFERROR(INDEX($AI$11:$AI$259, MATCH(0, IF(TRUE=$AF$11:$AF$259, COUNTIF($AK$10:$AK195, $AI$11:$AI$259), ""), 0)),"")</f>
        <v/>
      </c>
      <c r="AL196" s="40" t="str">
        <f t="array" ref="AL196">IFERROR(INDEX($AI$11:$AI$259, MATCH(0, IF(TRUE=$AG$11:$AG$259, COUNTIF($AL$10:$AL195, $AI$11:$AI$259), ""), 0)),"")</f>
        <v/>
      </c>
      <c r="AM196" s="40" t="str">
        <f t="array" ref="AM196">IFERROR(INDEX($AI$11:$AI$259, MATCH(0, IF(TRUE=$AH$11:$AH$259, COUNTIF($AM$10:$AM195, $AI$11:$AI$259), ""), 0)),"")</f>
        <v/>
      </c>
      <c r="AN196" s="40"/>
      <c r="AQ196" s="35">
        <f t="shared" si="12"/>
        <v>0</v>
      </c>
    </row>
    <row r="197" spans="1:43">
      <c r="A197" s="35" t="str">
        <f>IFERROR(INDEX('G-1 All Habitats'!$AG$3:$AG$17,MATCH(E197,'G-1 All Habitats'!$AF$3:$AF$17,0)),"")</f>
        <v/>
      </c>
      <c r="B197" s="35" t="str">
        <f>IFERROR(INDEX('G-8 Condition Look up'!$I$4:$I$135,MATCH(G197,'G-8 Condition Look up'!$A$4:$A$135,0)),"")</f>
        <v/>
      </c>
      <c r="D197" s="287">
        <v>187</v>
      </c>
      <c r="E197" s="267"/>
      <c r="F197" s="61"/>
      <c r="G197" s="52" t="str">
        <f>IFERROR(INDEX('G-1 All Habitats'!$B$3:$B$134,MATCH(F197,'G-1 All Habitats'!$A$3:$A$134,0)),"")</f>
        <v/>
      </c>
      <c r="H197" s="53"/>
      <c r="I197" s="362" t="str">
        <f>IF(G197="","",VLOOKUP(G197,'G-1 All Habitats'!$B$2:$M$134,10,FALSE))</f>
        <v/>
      </c>
      <c r="J197" s="363" t="str">
        <f>IFERROR(VLOOKUP(I197,'G-1 All Habitats'!$V$3:$W$7,2,FALSE),"")</f>
        <v/>
      </c>
      <c r="K197" s="54"/>
      <c r="L197" s="363" t="str">
        <f>IFERROR(INDEX('G-8 Condition Look up'!$A$3:$H$135,MATCH(G197,'G-8 Condition Look up'!$A$3:$A$135,0),MATCH(K197,'G-8 Condition Look up'!$A$3:$H$3,0)),"")</f>
        <v/>
      </c>
      <c r="M197" s="54"/>
      <c r="N197" s="382" t="str">
        <f>IF(M197="","",IF(VLOOKUP(M197,'G-3 Multipliers'!$L$3:$N$6,2,FALSE)=0,"Spatial Data Missing",VLOOKUP(M197,'G-3 Multipliers'!$L$3:$N$6,2,FALSE)))</f>
        <v/>
      </c>
      <c r="O197" s="368" t="str">
        <f>IF(M197="","",IF(VLOOKUP(M197,'G-3 Multipliers'!$L$3:$N$6,3,FALSE)=0,"Spatial Data Missing",VLOOKUP(M197,'G-3 Multipliers'!$L$3:$N$6,3,FALSE)))</f>
        <v/>
      </c>
      <c r="P197" s="369" t="str">
        <f>IFERROR(VLOOKUP(G197,'G-1 All Habitats'!$B$2:$M$134,12,FALSE),"")</f>
        <v/>
      </c>
      <c r="Q197" s="376" t="str">
        <f>IFERROR(IF(P197="","",IF(AND(P197='G-1 All Habitats'!$X$3,T197&gt;0),U197+V197,IF(AND(P197='G-1 All Habitats'!$X$3,S197&gt;0),U197+V197,IF(AND(P197='G-1 All Habitats'!$X$3,AC197&gt;0),"Any Loss Unacceptable ⚠",IF(AND(P197='G-1 All Habitats'!$X$3,W197&gt;0),"Any Loss Unacceptable ⚠",H197*J197*L197*O197))))),"Check Data ▲")</f>
        <v/>
      </c>
      <c r="R197" s="38"/>
      <c r="S197" s="54"/>
      <c r="T197" s="55"/>
      <c r="U197" s="374" t="str">
        <f t="shared" si="13"/>
        <v/>
      </c>
      <c r="V197" s="374" t="str">
        <f t="shared" si="14"/>
        <v/>
      </c>
      <c r="W197" s="374" t="str">
        <f>IF(E197="","",IF(H197&lt;S197+T197,"Error in Areas ▲",IF(P197&lt;&gt;'G-1 All Habitats'!$X$3,H197-S197-T197,IF(AND(P197='G-1 All Habitats'!$X$3,Y197="Yes"),"Unacceptable Loss ⚠",IF(AND(P197='G-1 All Habitats'!$X$3,Y197="No"),AC197,IF(AND(P197='G-1 All Habitats'!$X$3,Y197=""),AC197,IF(AND(P197='G-1 All Habitats'!$X$3,AC197="None",AC197),IF(AND(P197='G-1 All Habitats'!$X$3,AC197&gt;0),H197-S197-T197))))))))</f>
        <v/>
      </c>
      <c r="X197" s="378" t="str">
        <f>IFERROR(IF(H197="","",IF(H197-S197-T197=0&lt;0,"Error in Areas ▲",IF(S197+T197&gt;H197,"Error in Areas ▲",IF(AND(P197='G-1 All Habitats'!$X$3,Y197="Yes"),"Alternative Compensation ✓",IF(W197=0,0,IF(P197='G-1 All Habitats'!$X$3,"Any Loss Unacceptable ▲",Q197-U197-V197)))))),"Check Data ▲")</f>
        <v/>
      </c>
      <c r="Y197" s="55"/>
      <c r="Z197" s="62"/>
      <c r="AA197" s="526"/>
      <c r="AB197" s="120"/>
      <c r="AC197" s="726" t="str">
        <f>IF(P197="","",IF(P197='G-1 All Habitats'!$X$3,H197-S197-T197,"None"))</f>
        <v/>
      </c>
      <c r="AD197" s="727" t="str">
        <f>IF(P197="","", IF(P197='G-1 All Habitats'!$X$3, AC197*J197*L197*O197,"None"))</f>
        <v/>
      </c>
      <c r="AF197" s="40" t="str">
        <f t="shared" si="10"/>
        <v/>
      </c>
      <c r="AG197" s="40" t="str">
        <f t="shared" si="11"/>
        <v/>
      </c>
      <c r="AH197" s="40" t="str">
        <f>IF(I197="","",IF(#REF!&gt;0,TRUE,FALSE))</f>
        <v/>
      </c>
      <c r="AI197" s="40">
        <v>187</v>
      </c>
      <c r="AJ197" s="40"/>
      <c r="AK197" s="40" t="str">
        <f t="array" ref="AK197">IFERROR(INDEX($AI$11:$AI$259, MATCH(0, IF(TRUE=$AF$11:$AF$259, COUNTIF($AK$10:$AK196, $AI$11:$AI$259), ""), 0)),"")</f>
        <v/>
      </c>
      <c r="AL197" s="40" t="str">
        <f t="array" ref="AL197">IFERROR(INDEX($AI$11:$AI$259, MATCH(0, IF(TRUE=$AG$11:$AG$259, COUNTIF($AL$10:$AL196, $AI$11:$AI$259), ""), 0)),"")</f>
        <v/>
      </c>
      <c r="AM197" s="40" t="str">
        <f t="array" ref="AM197">IFERROR(INDEX($AI$11:$AI$259, MATCH(0, IF(TRUE=$AH$11:$AH$259, COUNTIF($AM$10:$AM196, $AI$11:$AI$259), ""), 0)),"")</f>
        <v/>
      </c>
      <c r="AN197" s="40"/>
      <c r="AQ197" s="35">
        <f t="shared" si="12"/>
        <v>0</v>
      </c>
    </row>
    <row r="198" spans="1:43">
      <c r="A198" s="35" t="str">
        <f>IFERROR(INDEX('G-1 All Habitats'!$AG$3:$AG$17,MATCH(E198,'G-1 All Habitats'!$AF$3:$AF$17,0)),"")</f>
        <v/>
      </c>
      <c r="B198" s="35" t="str">
        <f>IFERROR(INDEX('G-8 Condition Look up'!$I$4:$I$135,MATCH(G198,'G-8 Condition Look up'!$A$4:$A$135,0)),"")</f>
        <v/>
      </c>
      <c r="D198" s="287">
        <v>188</v>
      </c>
      <c r="E198" s="267"/>
      <c r="F198" s="61"/>
      <c r="G198" s="52" t="str">
        <f>IFERROR(INDEX('G-1 All Habitats'!$B$3:$B$134,MATCH(F198,'G-1 All Habitats'!$A$3:$A$134,0)),"")</f>
        <v/>
      </c>
      <c r="H198" s="53"/>
      <c r="I198" s="362" t="str">
        <f>IF(G198="","",VLOOKUP(G198,'G-1 All Habitats'!$B$2:$M$134,10,FALSE))</f>
        <v/>
      </c>
      <c r="J198" s="363" t="str">
        <f>IFERROR(VLOOKUP(I198,'G-1 All Habitats'!$V$3:$W$7,2,FALSE),"")</f>
        <v/>
      </c>
      <c r="K198" s="54"/>
      <c r="L198" s="363" t="str">
        <f>IFERROR(INDEX('G-8 Condition Look up'!$A$3:$H$135,MATCH(G198,'G-8 Condition Look up'!$A$3:$A$135,0),MATCH(K198,'G-8 Condition Look up'!$A$3:$H$3,0)),"")</f>
        <v/>
      </c>
      <c r="M198" s="54"/>
      <c r="N198" s="382" t="str">
        <f>IF(M198="","",IF(VLOOKUP(M198,'G-3 Multipliers'!$L$3:$N$6,2,FALSE)=0,"Spatial Data Missing",VLOOKUP(M198,'G-3 Multipliers'!$L$3:$N$6,2,FALSE)))</f>
        <v/>
      </c>
      <c r="O198" s="368" t="str">
        <f>IF(M198="","",IF(VLOOKUP(M198,'G-3 Multipliers'!$L$3:$N$6,3,FALSE)=0,"Spatial Data Missing",VLOOKUP(M198,'G-3 Multipliers'!$L$3:$N$6,3,FALSE)))</f>
        <v/>
      </c>
      <c r="P198" s="369" t="str">
        <f>IFERROR(VLOOKUP(G198,'G-1 All Habitats'!$B$2:$M$134,12,FALSE),"")</f>
        <v/>
      </c>
      <c r="Q198" s="376" t="str">
        <f>IFERROR(IF(P198="","",IF(AND(P198='G-1 All Habitats'!$X$3,T198&gt;0),U198+V198,IF(AND(P198='G-1 All Habitats'!$X$3,S198&gt;0),U198+V198,IF(AND(P198='G-1 All Habitats'!$X$3,AC198&gt;0),"Any Loss Unacceptable ⚠",IF(AND(P198='G-1 All Habitats'!$X$3,W198&gt;0),"Any Loss Unacceptable ⚠",H198*J198*L198*O198))))),"Check Data ▲")</f>
        <v/>
      </c>
      <c r="R198" s="38"/>
      <c r="S198" s="54"/>
      <c r="T198" s="55"/>
      <c r="U198" s="374" t="str">
        <f t="shared" si="13"/>
        <v/>
      </c>
      <c r="V198" s="374" t="str">
        <f t="shared" si="14"/>
        <v/>
      </c>
      <c r="W198" s="374" t="str">
        <f>IF(E198="","",IF(H198&lt;S198+T198,"Error in Areas ▲",IF(P198&lt;&gt;'G-1 All Habitats'!$X$3,H198-S198-T198,IF(AND(P198='G-1 All Habitats'!$X$3,Y198="Yes"),"Unacceptable Loss ⚠",IF(AND(P198='G-1 All Habitats'!$X$3,Y198="No"),AC198,IF(AND(P198='G-1 All Habitats'!$X$3,Y198=""),AC198,IF(AND(P198='G-1 All Habitats'!$X$3,AC198="None",AC198),IF(AND(P198='G-1 All Habitats'!$X$3,AC198&gt;0),H198-S198-T198))))))))</f>
        <v/>
      </c>
      <c r="X198" s="378" t="str">
        <f>IFERROR(IF(H198="","",IF(H198-S198-T198=0&lt;0,"Error in Areas ▲",IF(S198+T198&gt;H198,"Error in Areas ▲",IF(AND(P198='G-1 All Habitats'!$X$3,Y198="Yes"),"Alternative Compensation ✓",IF(W198=0,0,IF(P198='G-1 All Habitats'!$X$3,"Any Loss Unacceptable ▲",Q198-U198-V198)))))),"Check Data ▲")</f>
        <v/>
      </c>
      <c r="Y198" s="55"/>
      <c r="Z198" s="62"/>
      <c r="AA198" s="526"/>
      <c r="AB198" s="120"/>
      <c r="AC198" s="726" t="str">
        <f>IF(P198="","",IF(P198='G-1 All Habitats'!$X$3,H198-S198-T198,"None"))</f>
        <v/>
      </c>
      <c r="AD198" s="727" t="str">
        <f>IF(P198="","", IF(P198='G-1 All Habitats'!$X$3, AC198*J198*L198*O198,"None"))</f>
        <v/>
      </c>
      <c r="AF198" s="40" t="str">
        <f t="shared" si="10"/>
        <v/>
      </c>
      <c r="AG198" s="40" t="str">
        <f t="shared" si="11"/>
        <v/>
      </c>
      <c r="AH198" s="40" t="str">
        <f>IF(I198="","",IF(#REF!&gt;0,TRUE,FALSE))</f>
        <v/>
      </c>
      <c r="AI198" s="40">
        <v>188</v>
      </c>
      <c r="AJ198" s="40"/>
      <c r="AK198" s="40" t="str">
        <f t="array" ref="AK198">IFERROR(INDEX($AI$11:$AI$259, MATCH(0, IF(TRUE=$AF$11:$AF$259, COUNTIF($AK$10:$AK197, $AI$11:$AI$259), ""), 0)),"")</f>
        <v/>
      </c>
      <c r="AL198" s="40" t="str">
        <f t="array" ref="AL198">IFERROR(INDEX($AI$11:$AI$259, MATCH(0, IF(TRUE=$AG$11:$AG$259, COUNTIF($AL$10:$AL197, $AI$11:$AI$259), ""), 0)),"")</f>
        <v/>
      </c>
      <c r="AM198" s="40" t="str">
        <f t="array" ref="AM198">IFERROR(INDEX($AI$11:$AI$259, MATCH(0, IF(TRUE=$AH$11:$AH$259, COUNTIF($AM$10:$AM197, $AI$11:$AI$259), ""), 0)),"")</f>
        <v/>
      </c>
      <c r="AN198" s="40"/>
      <c r="AQ198" s="35">
        <f t="shared" si="12"/>
        <v>0</v>
      </c>
    </row>
    <row r="199" spans="1:43">
      <c r="A199" s="35" t="str">
        <f>IFERROR(INDEX('G-1 All Habitats'!$AG$3:$AG$17,MATCH(E199,'G-1 All Habitats'!$AF$3:$AF$17,0)),"")</f>
        <v/>
      </c>
      <c r="B199" s="35" t="str">
        <f>IFERROR(INDEX('G-8 Condition Look up'!$I$4:$I$135,MATCH(G199,'G-8 Condition Look up'!$A$4:$A$135,0)),"")</f>
        <v/>
      </c>
      <c r="D199" s="287">
        <v>189</v>
      </c>
      <c r="E199" s="267"/>
      <c r="F199" s="61"/>
      <c r="G199" s="52" t="str">
        <f>IFERROR(INDEX('G-1 All Habitats'!$B$3:$B$134,MATCH(F199,'G-1 All Habitats'!$A$3:$A$134,0)),"")</f>
        <v/>
      </c>
      <c r="H199" s="53"/>
      <c r="I199" s="362" t="str">
        <f>IF(G199="","",VLOOKUP(G199,'G-1 All Habitats'!$B$2:$M$134,10,FALSE))</f>
        <v/>
      </c>
      <c r="J199" s="363" t="str">
        <f>IFERROR(VLOOKUP(I199,'G-1 All Habitats'!$V$3:$W$7,2,FALSE),"")</f>
        <v/>
      </c>
      <c r="K199" s="54"/>
      <c r="L199" s="363" t="str">
        <f>IFERROR(INDEX('G-8 Condition Look up'!$A$3:$H$135,MATCH(G199,'G-8 Condition Look up'!$A$3:$A$135,0),MATCH(K199,'G-8 Condition Look up'!$A$3:$H$3,0)),"")</f>
        <v/>
      </c>
      <c r="M199" s="54"/>
      <c r="N199" s="382" t="str">
        <f>IF(M199="","",IF(VLOOKUP(M199,'G-3 Multipliers'!$L$3:$N$6,2,FALSE)=0,"Spatial Data Missing",VLOOKUP(M199,'G-3 Multipliers'!$L$3:$N$6,2,FALSE)))</f>
        <v/>
      </c>
      <c r="O199" s="368" t="str">
        <f>IF(M199="","",IF(VLOOKUP(M199,'G-3 Multipliers'!$L$3:$N$6,3,FALSE)=0,"Spatial Data Missing",VLOOKUP(M199,'G-3 Multipliers'!$L$3:$N$6,3,FALSE)))</f>
        <v/>
      </c>
      <c r="P199" s="369" t="str">
        <f>IFERROR(VLOOKUP(G199,'G-1 All Habitats'!$B$2:$M$134,12,FALSE),"")</f>
        <v/>
      </c>
      <c r="Q199" s="376" t="str">
        <f>IFERROR(IF(P199="","",IF(AND(P199='G-1 All Habitats'!$X$3,T199&gt;0),U199+V199,IF(AND(P199='G-1 All Habitats'!$X$3,S199&gt;0),U199+V199,IF(AND(P199='G-1 All Habitats'!$X$3,AC199&gt;0),"Any Loss Unacceptable ⚠",IF(AND(P199='G-1 All Habitats'!$X$3,W199&gt;0),"Any Loss Unacceptable ⚠",H199*J199*L199*O199))))),"Check Data ▲")</f>
        <v/>
      </c>
      <c r="R199" s="38"/>
      <c r="S199" s="54"/>
      <c r="T199" s="55"/>
      <c r="U199" s="374" t="str">
        <f t="shared" si="13"/>
        <v/>
      </c>
      <c r="V199" s="374" t="str">
        <f t="shared" si="14"/>
        <v/>
      </c>
      <c r="W199" s="374" t="str">
        <f>IF(E199="","",IF(H199&lt;S199+T199,"Error in Areas ▲",IF(P199&lt;&gt;'G-1 All Habitats'!$X$3,H199-S199-T199,IF(AND(P199='G-1 All Habitats'!$X$3,Y199="Yes"),"Unacceptable Loss ⚠",IF(AND(P199='G-1 All Habitats'!$X$3,Y199="No"),AC199,IF(AND(P199='G-1 All Habitats'!$X$3,Y199=""),AC199,IF(AND(P199='G-1 All Habitats'!$X$3,AC199="None",AC199),IF(AND(P199='G-1 All Habitats'!$X$3,AC199&gt;0),H199-S199-T199))))))))</f>
        <v/>
      </c>
      <c r="X199" s="378" t="str">
        <f>IFERROR(IF(H199="","",IF(H199-S199-T199=0&lt;0,"Error in Areas ▲",IF(S199+T199&gt;H199,"Error in Areas ▲",IF(AND(P199='G-1 All Habitats'!$X$3,Y199="Yes"),"Alternative Compensation ✓",IF(W199=0,0,IF(P199='G-1 All Habitats'!$X$3,"Any Loss Unacceptable ▲",Q199-U199-V199)))))),"Check Data ▲")</f>
        <v/>
      </c>
      <c r="Y199" s="55"/>
      <c r="Z199" s="62"/>
      <c r="AA199" s="526"/>
      <c r="AB199" s="120"/>
      <c r="AC199" s="726" t="str">
        <f>IF(P199="","",IF(P199='G-1 All Habitats'!$X$3,H199-S199-T199,"None"))</f>
        <v/>
      </c>
      <c r="AD199" s="727" t="str">
        <f>IF(P199="","", IF(P199='G-1 All Habitats'!$X$3, AC199*J199*L199*O199,"None"))</f>
        <v/>
      </c>
      <c r="AF199" s="40" t="str">
        <f t="shared" si="10"/>
        <v/>
      </c>
      <c r="AG199" s="40" t="str">
        <f t="shared" si="11"/>
        <v/>
      </c>
      <c r="AH199" s="40" t="str">
        <f>IF(I199="","",IF(#REF!&gt;0,TRUE,FALSE))</f>
        <v/>
      </c>
      <c r="AI199" s="40">
        <v>189</v>
      </c>
      <c r="AJ199" s="40"/>
      <c r="AK199" s="40" t="str">
        <f t="array" ref="AK199">IFERROR(INDEX($AI$11:$AI$259, MATCH(0, IF(TRUE=$AF$11:$AF$259, COUNTIF($AK$10:$AK198, $AI$11:$AI$259), ""), 0)),"")</f>
        <v/>
      </c>
      <c r="AL199" s="40" t="str">
        <f t="array" ref="AL199">IFERROR(INDEX($AI$11:$AI$259, MATCH(0, IF(TRUE=$AG$11:$AG$259, COUNTIF($AL$10:$AL198, $AI$11:$AI$259), ""), 0)),"")</f>
        <v/>
      </c>
      <c r="AM199" s="40" t="str">
        <f t="array" ref="AM199">IFERROR(INDEX($AI$11:$AI$259, MATCH(0, IF(TRUE=$AH$11:$AH$259, COUNTIF($AM$10:$AM198, $AI$11:$AI$259), ""), 0)),"")</f>
        <v/>
      </c>
      <c r="AN199" s="40"/>
      <c r="AQ199" s="35">
        <f t="shared" si="12"/>
        <v>0</v>
      </c>
    </row>
    <row r="200" spans="1:43">
      <c r="A200" s="35" t="str">
        <f>IFERROR(INDEX('G-1 All Habitats'!$AG$3:$AG$17,MATCH(E200,'G-1 All Habitats'!$AF$3:$AF$17,0)),"")</f>
        <v/>
      </c>
      <c r="B200" s="35" t="str">
        <f>IFERROR(INDEX('G-8 Condition Look up'!$I$4:$I$135,MATCH(G200,'G-8 Condition Look up'!$A$4:$A$135,0)),"")</f>
        <v/>
      </c>
      <c r="D200" s="287">
        <v>190</v>
      </c>
      <c r="E200" s="267"/>
      <c r="F200" s="61"/>
      <c r="G200" s="52" t="str">
        <f>IFERROR(INDEX('G-1 All Habitats'!$B$3:$B$134,MATCH(F200,'G-1 All Habitats'!$A$3:$A$134,0)),"")</f>
        <v/>
      </c>
      <c r="H200" s="53"/>
      <c r="I200" s="362" t="str">
        <f>IF(G200="","",VLOOKUP(G200,'G-1 All Habitats'!$B$2:$M$134,10,FALSE))</f>
        <v/>
      </c>
      <c r="J200" s="363" t="str">
        <f>IFERROR(VLOOKUP(I200,'G-1 All Habitats'!$V$3:$W$7,2,FALSE),"")</f>
        <v/>
      </c>
      <c r="K200" s="54"/>
      <c r="L200" s="363" t="str">
        <f>IFERROR(INDEX('G-8 Condition Look up'!$A$3:$H$135,MATCH(G200,'G-8 Condition Look up'!$A$3:$A$135,0),MATCH(K200,'G-8 Condition Look up'!$A$3:$H$3,0)),"")</f>
        <v/>
      </c>
      <c r="M200" s="54"/>
      <c r="N200" s="382" t="str">
        <f>IF(M200="","",IF(VLOOKUP(M200,'G-3 Multipliers'!$L$3:$N$6,2,FALSE)=0,"Spatial Data Missing",VLOOKUP(M200,'G-3 Multipliers'!$L$3:$N$6,2,FALSE)))</f>
        <v/>
      </c>
      <c r="O200" s="368" t="str">
        <f>IF(M200="","",IF(VLOOKUP(M200,'G-3 Multipliers'!$L$3:$N$6,3,FALSE)=0,"Spatial Data Missing",VLOOKUP(M200,'G-3 Multipliers'!$L$3:$N$6,3,FALSE)))</f>
        <v/>
      </c>
      <c r="P200" s="369" t="str">
        <f>IFERROR(VLOOKUP(G200,'G-1 All Habitats'!$B$2:$M$134,12,FALSE),"")</f>
        <v/>
      </c>
      <c r="Q200" s="376" t="str">
        <f>IFERROR(IF(P200="","",IF(AND(P200='G-1 All Habitats'!$X$3,T200&gt;0),U200+V200,IF(AND(P200='G-1 All Habitats'!$X$3,S200&gt;0),U200+V200,IF(AND(P200='G-1 All Habitats'!$X$3,AC200&gt;0),"Any Loss Unacceptable ⚠",IF(AND(P200='G-1 All Habitats'!$X$3,W200&gt;0),"Any Loss Unacceptable ⚠",H200*J200*L200*O200))))),"Check Data ▲")</f>
        <v/>
      </c>
      <c r="R200" s="38"/>
      <c r="S200" s="54"/>
      <c r="T200" s="55"/>
      <c r="U200" s="374" t="str">
        <f t="shared" si="13"/>
        <v/>
      </c>
      <c r="V200" s="374" t="str">
        <f t="shared" si="14"/>
        <v/>
      </c>
      <c r="W200" s="374" t="str">
        <f>IF(E200="","",IF(H200&lt;S200+T200,"Error in Areas ▲",IF(P200&lt;&gt;'G-1 All Habitats'!$X$3,H200-S200-T200,IF(AND(P200='G-1 All Habitats'!$X$3,Y200="Yes"),"Unacceptable Loss ⚠",IF(AND(P200='G-1 All Habitats'!$X$3,Y200="No"),AC200,IF(AND(P200='G-1 All Habitats'!$X$3,Y200=""),AC200,IF(AND(P200='G-1 All Habitats'!$X$3,AC200="None",AC200),IF(AND(P200='G-1 All Habitats'!$X$3,AC200&gt;0),H200-S200-T200))))))))</f>
        <v/>
      </c>
      <c r="X200" s="378" t="str">
        <f>IFERROR(IF(H200="","",IF(H200-S200-T200=0&lt;0,"Error in Areas ▲",IF(S200+T200&gt;H200,"Error in Areas ▲",IF(AND(P200='G-1 All Habitats'!$X$3,Y200="Yes"),"Alternative Compensation ✓",IF(W200=0,0,IF(P200='G-1 All Habitats'!$X$3,"Any Loss Unacceptable ▲",Q200-U200-V200)))))),"Check Data ▲")</f>
        <v/>
      </c>
      <c r="Y200" s="55"/>
      <c r="Z200" s="62"/>
      <c r="AA200" s="526"/>
      <c r="AB200" s="120"/>
      <c r="AC200" s="726" t="str">
        <f>IF(P200="","",IF(P200='G-1 All Habitats'!$X$3,H200-S200-T200,"None"))</f>
        <v/>
      </c>
      <c r="AD200" s="727" t="str">
        <f>IF(P200="","", IF(P200='G-1 All Habitats'!$X$3, AC200*J200*L200*O200,"None"))</f>
        <v/>
      </c>
      <c r="AF200" s="40" t="str">
        <f t="shared" si="10"/>
        <v/>
      </c>
      <c r="AG200" s="40" t="str">
        <f t="shared" si="11"/>
        <v/>
      </c>
      <c r="AH200" s="40" t="str">
        <f>IF(I200="","",IF(#REF!&gt;0,TRUE,FALSE))</f>
        <v/>
      </c>
      <c r="AI200" s="40">
        <v>190</v>
      </c>
      <c r="AJ200" s="40"/>
      <c r="AK200" s="40" t="str">
        <f t="array" ref="AK200">IFERROR(INDEX($AI$11:$AI$259, MATCH(0, IF(TRUE=$AF$11:$AF$259, COUNTIF($AK$10:$AK199, $AI$11:$AI$259), ""), 0)),"")</f>
        <v/>
      </c>
      <c r="AL200" s="40" t="str">
        <f t="array" ref="AL200">IFERROR(INDEX($AI$11:$AI$259, MATCH(0, IF(TRUE=$AG$11:$AG$259, COUNTIF($AL$10:$AL199, $AI$11:$AI$259), ""), 0)),"")</f>
        <v/>
      </c>
      <c r="AM200" s="40" t="str">
        <f t="array" ref="AM200">IFERROR(INDEX($AI$11:$AI$259, MATCH(0, IF(TRUE=$AH$11:$AH$259, COUNTIF($AM$10:$AM199, $AI$11:$AI$259), ""), 0)),"")</f>
        <v/>
      </c>
      <c r="AN200" s="40"/>
      <c r="AQ200" s="35">
        <f t="shared" si="12"/>
        <v>0</v>
      </c>
    </row>
    <row r="201" spans="1:43">
      <c r="A201" s="35" t="str">
        <f>IFERROR(INDEX('G-1 All Habitats'!$AG$3:$AG$17,MATCH(E201,'G-1 All Habitats'!$AF$3:$AF$17,0)),"")</f>
        <v/>
      </c>
      <c r="B201" s="35" t="str">
        <f>IFERROR(INDEX('G-8 Condition Look up'!$I$4:$I$135,MATCH(G201,'G-8 Condition Look up'!$A$4:$A$135,0)),"")</f>
        <v/>
      </c>
      <c r="D201" s="287">
        <v>191</v>
      </c>
      <c r="E201" s="267"/>
      <c r="F201" s="61"/>
      <c r="G201" s="52" t="str">
        <f>IFERROR(INDEX('G-1 All Habitats'!$B$3:$B$134,MATCH(F201,'G-1 All Habitats'!$A$3:$A$134,0)),"")</f>
        <v/>
      </c>
      <c r="H201" s="53"/>
      <c r="I201" s="362" t="str">
        <f>IF(G201="","",VLOOKUP(G201,'G-1 All Habitats'!$B$2:$M$134,10,FALSE))</f>
        <v/>
      </c>
      <c r="J201" s="363" t="str">
        <f>IFERROR(VLOOKUP(I201,'G-1 All Habitats'!$V$3:$W$7,2,FALSE),"")</f>
        <v/>
      </c>
      <c r="K201" s="54"/>
      <c r="L201" s="363" t="str">
        <f>IFERROR(INDEX('G-8 Condition Look up'!$A$3:$H$135,MATCH(G201,'G-8 Condition Look up'!$A$3:$A$135,0),MATCH(K201,'G-8 Condition Look up'!$A$3:$H$3,0)),"")</f>
        <v/>
      </c>
      <c r="M201" s="54"/>
      <c r="N201" s="382" t="str">
        <f>IF(M201="","",IF(VLOOKUP(M201,'G-3 Multipliers'!$L$3:$N$6,2,FALSE)=0,"Spatial Data Missing",VLOOKUP(M201,'G-3 Multipliers'!$L$3:$N$6,2,FALSE)))</f>
        <v/>
      </c>
      <c r="O201" s="368" t="str">
        <f>IF(M201="","",IF(VLOOKUP(M201,'G-3 Multipliers'!$L$3:$N$6,3,FALSE)=0,"Spatial Data Missing",VLOOKUP(M201,'G-3 Multipliers'!$L$3:$N$6,3,FALSE)))</f>
        <v/>
      </c>
      <c r="P201" s="369" t="str">
        <f>IFERROR(VLOOKUP(G201,'G-1 All Habitats'!$B$2:$M$134,12,FALSE),"")</f>
        <v/>
      </c>
      <c r="Q201" s="376" t="str">
        <f>IFERROR(IF(P201="","",IF(AND(P201='G-1 All Habitats'!$X$3,T201&gt;0),U201+V201,IF(AND(P201='G-1 All Habitats'!$X$3,S201&gt;0),U201+V201,IF(AND(P201='G-1 All Habitats'!$X$3,AC201&gt;0),"Any Loss Unacceptable ⚠",IF(AND(P201='G-1 All Habitats'!$X$3,W201&gt;0),"Any Loss Unacceptable ⚠",H201*J201*L201*O201))))),"Check Data ▲")</f>
        <v/>
      </c>
      <c r="R201" s="38"/>
      <c r="S201" s="54"/>
      <c r="T201" s="55"/>
      <c r="U201" s="374" t="str">
        <f t="shared" si="13"/>
        <v/>
      </c>
      <c r="V201" s="374" t="str">
        <f t="shared" si="14"/>
        <v/>
      </c>
      <c r="W201" s="374" t="str">
        <f>IF(E201="","",IF(H201&lt;S201+T201,"Error in Areas ▲",IF(P201&lt;&gt;'G-1 All Habitats'!$X$3,H201-S201-T201,IF(AND(P201='G-1 All Habitats'!$X$3,Y201="Yes"),"Unacceptable Loss ⚠",IF(AND(P201='G-1 All Habitats'!$X$3,Y201="No"),AC201,IF(AND(P201='G-1 All Habitats'!$X$3,Y201=""),AC201,IF(AND(P201='G-1 All Habitats'!$X$3,AC201="None",AC201),IF(AND(P201='G-1 All Habitats'!$X$3,AC201&gt;0),H201-S201-T201))))))))</f>
        <v/>
      </c>
      <c r="X201" s="378" t="str">
        <f>IFERROR(IF(H201="","",IF(H201-S201-T201=0&lt;0,"Error in Areas ▲",IF(S201+T201&gt;H201,"Error in Areas ▲",IF(AND(P201='G-1 All Habitats'!$X$3,Y201="Yes"),"Alternative Compensation ✓",IF(W201=0,0,IF(P201='G-1 All Habitats'!$X$3,"Any Loss Unacceptable ▲",Q201-U201-V201)))))),"Check Data ▲")</f>
        <v/>
      </c>
      <c r="Y201" s="55"/>
      <c r="Z201" s="62"/>
      <c r="AA201" s="526"/>
      <c r="AB201" s="120"/>
      <c r="AC201" s="726" t="str">
        <f>IF(P201="","",IF(P201='G-1 All Habitats'!$X$3,H201-S201-T201,"None"))</f>
        <v/>
      </c>
      <c r="AD201" s="727" t="str">
        <f>IF(P201="","", IF(P201='G-1 All Habitats'!$X$3, AC201*J201*L201*O201,"None"))</f>
        <v/>
      </c>
      <c r="AF201" s="40" t="str">
        <f t="shared" si="10"/>
        <v/>
      </c>
      <c r="AG201" s="40" t="str">
        <f t="shared" si="11"/>
        <v/>
      </c>
      <c r="AH201" s="40" t="str">
        <f>IF(I201="","",IF(#REF!&gt;0,TRUE,FALSE))</f>
        <v/>
      </c>
      <c r="AI201" s="40">
        <v>191</v>
      </c>
      <c r="AJ201" s="40"/>
      <c r="AK201" s="40" t="str">
        <f t="array" ref="AK201">IFERROR(INDEX($AI$11:$AI$259, MATCH(0, IF(TRUE=$AF$11:$AF$259, COUNTIF($AK$10:$AK200, $AI$11:$AI$259), ""), 0)),"")</f>
        <v/>
      </c>
      <c r="AL201" s="40" t="str">
        <f t="array" ref="AL201">IFERROR(INDEX($AI$11:$AI$259, MATCH(0, IF(TRUE=$AG$11:$AG$259, COUNTIF($AL$10:$AL200, $AI$11:$AI$259), ""), 0)),"")</f>
        <v/>
      </c>
      <c r="AM201" s="40" t="str">
        <f t="array" ref="AM201">IFERROR(INDEX($AI$11:$AI$259, MATCH(0, IF(TRUE=$AH$11:$AH$259, COUNTIF($AM$10:$AM200, $AI$11:$AI$259), ""), 0)),"")</f>
        <v/>
      </c>
      <c r="AN201" s="40"/>
      <c r="AQ201" s="35">
        <f t="shared" si="12"/>
        <v>0</v>
      </c>
    </row>
    <row r="202" spans="1:43">
      <c r="A202" s="35" t="str">
        <f>IFERROR(INDEX('G-1 All Habitats'!$AG$3:$AG$17,MATCH(E202,'G-1 All Habitats'!$AF$3:$AF$17,0)),"")</f>
        <v/>
      </c>
      <c r="B202" s="35" t="str">
        <f>IFERROR(INDEX('G-8 Condition Look up'!$I$4:$I$135,MATCH(G202,'G-8 Condition Look up'!$A$4:$A$135,0)),"")</f>
        <v/>
      </c>
      <c r="D202" s="287">
        <v>192</v>
      </c>
      <c r="E202" s="267"/>
      <c r="F202" s="61"/>
      <c r="G202" s="52" t="str">
        <f>IFERROR(INDEX('G-1 All Habitats'!$B$3:$B$134,MATCH(F202,'G-1 All Habitats'!$A$3:$A$134,0)),"")</f>
        <v/>
      </c>
      <c r="H202" s="53"/>
      <c r="I202" s="362" t="str">
        <f>IF(G202="","",VLOOKUP(G202,'G-1 All Habitats'!$B$2:$M$134,10,FALSE))</f>
        <v/>
      </c>
      <c r="J202" s="363" t="str">
        <f>IFERROR(VLOOKUP(I202,'G-1 All Habitats'!$V$3:$W$7,2,FALSE),"")</f>
        <v/>
      </c>
      <c r="K202" s="54"/>
      <c r="L202" s="363" t="str">
        <f>IFERROR(INDEX('G-8 Condition Look up'!$A$3:$H$135,MATCH(G202,'G-8 Condition Look up'!$A$3:$A$135,0),MATCH(K202,'G-8 Condition Look up'!$A$3:$H$3,0)),"")</f>
        <v/>
      </c>
      <c r="M202" s="54"/>
      <c r="N202" s="382" t="str">
        <f>IF(M202="","",IF(VLOOKUP(M202,'G-3 Multipliers'!$L$3:$N$6,2,FALSE)=0,"Spatial Data Missing",VLOOKUP(M202,'G-3 Multipliers'!$L$3:$N$6,2,FALSE)))</f>
        <v/>
      </c>
      <c r="O202" s="368" t="str">
        <f>IF(M202="","",IF(VLOOKUP(M202,'G-3 Multipliers'!$L$3:$N$6,3,FALSE)=0,"Spatial Data Missing",VLOOKUP(M202,'G-3 Multipliers'!$L$3:$N$6,3,FALSE)))</f>
        <v/>
      </c>
      <c r="P202" s="369" t="str">
        <f>IFERROR(VLOOKUP(G202,'G-1 All Habitats'!$B$2:$M$134,12,FALSE),"")</f>
        <v/>
      </c>
      <c r="Q202" s="376" t="str">
        <f>IFERROR(IF(P202="","",IF(AND(P202='G-1 All Habitats'!$X$3,T202&gt;0),U202+V202,IF(AND(P202='G-1 All Habitats'!$X$3,S202&gt;0),U202+V202,IF(AND(P202='G-1 All Habitats'!$X$3,AC202&gt;0),"Any Loss Unacceptable ⚠",IF(AND(P202='G-1 All Habitats'!$X$3,W202&gt;0),"Any Loss Unacceptable ⚠",H202*J202*L202*O202))))),"Check Data ▲")</f>
        <v/>
      </c>
      <c r="R202" s="38"/>
      <c r="S202" s="54"/>
      <c r="T202" s="55"/>
      <c r="U202" s="374" t="str">
        <f t="shared" si="13"/>
        <v/>
      </c>
      <c r="V202" s="374" t="str">
        <f t="shared" si="14"/>
        <v/>
      </c>
      <c r="W202" s="374" t="str">
        <f>IF(E202="","",IF(H202&lt;S202+T202,"Error in Areas ▲",IF(P202&lt;&gt;'G-1 All Habitats'!$X$3,H202-S202-T202,IF(AND(P202='G-1 All Habitats'!$X$3,Y202="Yes"),"Unacceptable Loss ⚠",IF(AND(P202='G-1 All Habitats'!$X$3,Y202="No"),AC202,IF(AND(P202='G-1 All Habitats'!$X$3,Y202=""),AC202,IF(AND(P202='G-1 All Habitats'!$X$3,AC202="None",AC202),IF(AND(P202='G-1 All Habitats'!$X$3,AC202&gt;0),H202-S202-T202))))))))</f>
        <v/>
      </c>
      <c r="X202" s="378" t="str">
        <f>IFERROR(IF(H202="","",IF(H202-S202-T202=0&lt;0,"Error in Areas ▲",IF(S202+T202&gt;H202,"Error in Areas ▲",IF(AND(P202='G-1 All Habitats'!$X$3,Y202="Yes"),"Alternative Compensation ✓",IF(W202=0,0,IF(P202='G-1 All Habitats'!$X$3,"Any Loss Unacceptable ▲",Q202-U202-V202)))))),"Check Data ▲")</f>
        <v/>
      </c>
      <c r="Y202" s="55"/>
      <c r="Z202" s="62"/>
      <c r="AA202" s="526"/>
      <c r="AB202" s="120"/>
      <c r="AC202" s="726" t="str">
        <f>IF(P202="","",IF(P202='G-1 All Habitats'!$X$3,H202-S202-T202,"None"))</f>
        <v/>
      </c>
      <c r="AD202" s="727" t="str">
        <f>IF(P202="","", IF(P202='G-1 All Habitats'!$X$3, AC202*J202*L202*O202,"None"))</f>
        <v/>
      </c>
      <c r="AF202" s="40" t="str">
        <f t="shared" si="10"/>
        <v/>
      </c>
      <c r="AG202" s="40" t="str">
        <f t="shared" si="11"/>
        <v/>
      </c>
      <c r="AH202" s="40" t="str">
        <f>IF(I202="","",IF(#REF!&gt;0,TRUE,FALSE))</f>
        <v/>
      </c>
      <c r="AI202" s="40">
        <v>192</v>
      </c>
      <c r="AJ202" s="40"/>
      <c r="AK202" s="40" t="str">
        <f t="array" ref="AK202">IFERROR(INDEX($AI$11:$AI$259, MATCH(0, IF(TRUE=$AF$11:$AF$259, COUNTIF($AK$10:$AK201, $AI$11:$AI$259), ""), 0)),"")</f>
        <v/>
      </c>
      <c r="AL202" s="40" t="str">
        <f t="array" ref="AL202">IFERROR(INDEX($AI$11:$AI$259, MATCH(0, IF(TRUE=$AG$11:$AG$259, COUNTIF($AL$10:$AL201, $AI$11:$AI$259), ""), 0)),"")</f>
        <v/>
      </c>
      <c r="AM202" s="40" t="str">
        <f t="array" ref="AM202">IFERROR(INDEX($AI$11:$AI$259, MATCH(0, IF(TRUE=$AH$11:$AH$259, COUNTIF($AM$10:$AM201, $AI$11:$AI$259), ""), 0)),"")</f>
        <v/>
      </c>
      <c r="AN202" s="40"/>
      <c r="AQ202" s="35">
        <f t="shared" si="12"/>
        <v>0</v>
      </c>
    </row>
    <row r="203" spans="1:43">
      <c r="A203" s="35" t="str">
        <f>IFERROR(INDEX('G-1 All Habitats'!$AG$3:$AG$17,MATCH(E203,'G-1 All Habitats'!$AF$3:$AF$17,0)),"")</f>
        <v/>
      </c>
      <c r="B203" s="35" t="str">
        <f>IFERROR(INDEX('G-8 Condition Look up'!$I$4:$I$135,MATCH(G203,'G-8 Condition Look up'!$A$4:$A$135,0)),"")</f>
        <v/>
      </c>
      <c r="D203" s="287">
        <v>193</v>
      </c>
      <c r="E203" s="267"/>
      <c r="F203" s="61"/>
      <c r="G203" s="52" t="str">
        <f>IFERROR(INDEX('G-1 All Habitats'!$B$3:$B$134,MATCH(F203,'G-1 All Habitats'!$A$3:$A$134,0)),"")</f>
        <v/>
      </c>
      <c r="H203" s="53"/>
      <c r="I203" s="362" t="str">
        <f>IF(G203="","",VLOOKUP(G203,'G-1 All Habitats'!$B$2:$M$134,10,FALSE))</f>
        <v/>
      </c>
      <c r="J203" s="363" t="str">
        <f>IFERROR(VLOOKUP(I203,'G-1 All Habitats'!$V$3:$W$7,2,FALSE),"")</f>
        <v/>
      </c>
      <c r="K203" s="54"/>
      <c r="L203" s="363" t="str">
        <f>IFERROR(INDEX('G-8 Condition Look up'!$A$3:$H$135,MATCH(G203,'G-8 Condition Look up'!$A$3:$A$135,0),MATCH(K203,'G-8 Condition Look up'!$A$3:$H$3,0)),"")</f>
        <v/>
      </c>
      <c r="M203" s="54"/>
      <c r="N203" s="382" t="str">
        <f>IF(M203="","",IF(VLOOKUP(M203,'G-3 Multipliers'!$L$3:$N$6,2,FALSE)=0,"Spatial Data Missing",VLOOKUP(M203,'G-3 Multipliers'!$L$3:$N$6,2,FALSE)))</f>
        <v/>
      </c>
      <c r="O203" s="368" t="str">
        <f>IF(M203="","",IF(VLOOKUP(M203,'G-3 Multipliers'!$L$3:$N$6,3,FALSE)=0,"Spatial Data Missing",VLOOKUP(M203,'G-3 Multipliers'!$L$3:$N$6,3,FALSE)))</f>
        <v/>
      </c>
      <c r="P203" s="369" t="str">
        <f>IFERROR(VLOOKUP(G203,'G-1 All Habitats'!$B$2:$M$134,12,FALSE),"")</f>
        <v/>
      </c>
      <c r="Q203" s="376" t="str">
        <f>IFERROR(IF(P203="","",IF(AND(P203='G-1 All Habitats'!$X$3,T203&gt;0),U203+V203,IF(AND(P203='G-1 All Habitats'!$X$3,S203&gt;0),U203+V203,IF(AND(P203='G-1 All Habitats'!$X$3,AC203&gt;0),"Any Loss Unacceptable ⚠",IF(AND(P203='G-1 All Habitats'!$X$3,W203&gt;0),"Any Loss Unacceptable ⚠",H203*J203*L203*O203))))),"Check Data ▲")</f>
        <v/>
      </c>
      <c r="R203" s="38"/>
      <c r="S203" s="54"/>
      <c r="T203" s="55"/>
      <c r="U203" s="374" t="str">
        <f t="shared" si="13"/>
        <v/>
      </c>
      <c r="V203" s="374" t="str">
        <f t="shared" si="14"/>
        <v/>
      </c>
      <c r="W203" s="374" t="str">
        <f>IF(E203="","",IF(H203&lt;S203+T203,"Error in Areas ▲",IF(P203&lt;&gt;'G-1 All Habitats'!$X$3,H203-S203-T203,IF(AND(P203='G-1 All Habitats'!$X$3,Y203="Yes"),"Unacceptable Loss ⚠",IF(AND(P203='G-1 All Habitats'!$X$3,Y203="No"),AC203,IF(AND(P203='G-1 All Habitats'!$X$3,Y203=""),AC203,IF(AND(P203='G-1 All Habitats'!$X$3,AC203="None",AC203),IF(AND(P203='G-1 All Habitats'!$X$3,AC203&gt;0),H203-S203-T203))))))))</f>
        <v/>
      </c>
      <c r="X203" s="378" t="str">
        <f>IFERROR(IF(H203="","",IF(H203-S203-T203=0&lt;0,"Error in Areas ▲",IF(S203+T203&gt;H203,"Error in Areas ▲",IF(AND(P203='G-1 All Habitats'!$X$3,Y203="Yes"),"Alternative Compensation ✓",IF(W203=0,0,IF(P203='G-1 All Habitats'!$X$3,"Any Loss Unacceptable ▲",Q203-U203-V203)))))),"Check Data ▲")</f>
        <v/>
      </c>
      <c r="Y203" s="55"/>
      <c r="Z203" s="62"/>
      <c r="AA203" s="526"/>
      <c r="AB203" s="120"/>
      <c r="AC203" s="726" t="str">
        <f>IF(P203="","",IF(P203='G-1 All Habitats'!$X$3,H203-S203-T203,"None"))</f>
        <v/>
      </c>
      <c r="AD203" s="727" t="str">
        <f>IF(P203="","", IF(P203='G-1 All Habitats'!$X$3, AC203*J203*L203*O203,"None"))</f>
        <v/>
      </c>
      <c r="AF203" s="40" t="str">
        <f t="shared" ref="AF203:AF258" si="15">IF(G203="","",IF(S203&gt;0,TRUE,FALSE))</f>
        <v/>
      </c>
      <c r="AG203" s="40" t="str">
        <f t="shared" ref="AG203:AG258" si="16">IF(H203="","",IF(T203&gt;0,TRUE,FALSE))</f>
        <v/>
      </c>
      <c r="AH203" s="40" t="str">
        <f>IF(I203="","",IF(#REF!&gt;0,TRUE,FALSE))</f>
        <v/>
      </c>
      <c r="AI203" s="40">
        <v>193</v>
      </c>
      <c r="AJ203" s="40"/>
      <c r="AK203" s="40" t="str">
        <f t="array" ref="AK203">IFERROR(INDEX($AI$11:$AI$259, MATCH(0, IF(TRUE=$AF$11:$AF$259, COUNTIF($AK$10:$AK202, $AI$11:$AI$259), ""), 0)),"")</f>
        <v/>
      </c>
      <c r="AL203" s="40" t="str">
        <f t="array" ref="AL203">IFERROR(INDEX($AI$11:$AI$259, MATCH(0, IF(TRUE=$AG$11:$AG$259, COUNTIF($AL$10:$AL202, $AI$11:$AI$259), ""), 0)),"")</f>
        <v/>
      </c>
      <c r="AM203" s="40" t="str">
        <f t="array" ref="AM203">IFERROR(INDEX($AI$11:$AI$259, MATCH(0, IF(TRUE=$AH$11:$AH$259, COUNTIF($AM$10:$AM202, $AI$11:$AI$259), ""), 0)),"")</f>
        <v/>
      </c>
      <c r="AN203" s="40"/>
      <c r="AQ203" s="35">
        <f t="shared" si="12"/>
        <v>0</v>
      </c>
    </row>
    <row r="204" spans="1:43">
      <c r="A204" s="35" t="str">
        <f>IFERROR(INDEX('G-1 All Habitats'!$AG$3:$AG$17,MATCH(E204,'G-1 All Habitats'!$AF$3:$AF$17,0)),"")</f>
        <v/>
      </c>
      <c r="B204" s="35" t="str">
        <f>IFERROR(INDEX('G-8 Condition Look up'!$I$4:$I$135,MATCH(G204,'G-8 Condition Look up'!$A$4:$A$135,0)),"")</f>
        <v/>
      </c>
      <c r="D204" s="287">
        <v>194</v>
      </c>
      <c r="E204" s="267"/>
      <c r="F204" s="61"/>
      <c r="G204" s="52" t="str">
        <f>IFERROR(INDEX('G-1 All Habitats'!$B$3:$B$134,MATCH(F204,'G-1 All Habitats'!$A$3:$A$134,0)),"")</f>
        <v/>
      </c>
      <c r="H204" s="53"/>
      <c r="I204" s="362" t="str">
        <f>IF(G204="","",VLOOKUP(G204,'G-1 All Habitats'!$B$2:$M$134,10,FALSE))</f>
        <v/>
      </c>
      <c r="J204" s="363" t="str">
        <f>IFERROR(VLOOKUP(I204,'G-1 All Habitats'!$V$3:$W$7,2,FALSE),"")</f>
        <v/>
      </c>
      <c r="K204" s="54"/>
      <c r="L204" s="363" t="str">
        <f>IFERROR(INDEX('G-8 Condition Look up'!$A$3:$H$135,MATCH(G204,'G-8 Condition Look up'!$A$3:$A$135,0),MATCH(K204,'G-8 Condition Look up'!$A$3:$H$3,0)),"")</f>
        <v/>
      </c>
      <c r="M204" s="54"/>
      <c r="N204" s="382" t="str">
        <f>IF(M204="","",IF(VLOOKUP(M204,'G-3 Multipliers'!$L$3:$N$6,2,FALSE)=0,"Spatial Data Missing",VLOOKUP(M204,'G-3 Multipliers'!$L$3:$N$6,2,FALSE)))</f>
        <v/>
      </c>
      <c r="O204" s="368" t="str">
        <f>IF(M204="","",IF(VLOOKUP(M204,'G-3 Multipliers'!$L$3:$N$6,3,FALSE)=0,"Spatial Data Missing",VLOOKUP(M204,'G-3 Multipliers'!$L$3:$N$6,3,FALSE)))</f>
        <v/>
      </c>
      <c r="P204" s="369" t="str">
        <f>IFERROR(VLOOKUP(G204,'G-1 All Habitats'!$B$2:$M$134,12,FALSE),"")</f>
        <v/>
      </c>
      <c r="Q204" s="376" t="str">
        <f>IFERROR(IF(P204="","",IF(AND(P204='G-1 All Habitats'!$X$3,T204&gt;0),U204+V204,IF(AND(P204='G-1 All Habitats'!$X$3,S204&gt;0),U204+V204,IF(AND(P204='G-1 All Habitats'!$X$3,AC204&gt;0),"Any Loss Unacceptable ⚠",IF(AND(P204='G-1 All Habitats'!$X$3,W204&gt;0),"Any Loss Unacceptable ⚠",H204*J204*L204*O204))))),"Check Data ▲")</f>
        <v/>
      </c>
      <c r="R204" s="38"/>
      <c r="S204" s="54"/>
      <c r="T204" s="55"/>
      <c r="U204" s="374" t="str">
        <f t="shared" si="13"/>
        <v/>
      </c>
      <c r="V204" s="374" t="str">
        <f t="shared" si="14"/>
        <v/>
      </c>
      <c r="W204" s="374" t="str">
        <f>IF(E204="","",IF(H204&lt;S204+T204,"Error in Areas ▲",IF(P204&lt;&gt;'G-1 All Habitats'!$X$3,H204-S204-T204,IF(AND(P204='G-1 All Habitats'!$X$3,Y204="Yes"),"Unacceptable Loss ⚠",IF(AND(P204='G-1 All Habitats'!$X$3,Y204="No"),AC204,IF(AND(P204='G-1 All Habitats'!$X$3,Y204=""),AC204,IF(AND(P204='G-1 All Habitats'!$X$3,AC204="None",AC204),IF(AND(P204='G-1 All Habitats'!$X$3,AC204&gt;0),H204-S204-T204))))))))</f>
        <v/>
      </c>
      <c r="X204" s="378" t="str">
        <f>IFERROR(IF(H204="","",IF(H204-S204-T204=0&lt;0,"Error in Areas ▲",IF(S204+T204&gt;H204,"Error in Areas ▲",IF(AND(P204='G-1 All Habitats'!$X$3,Y204="Yes"),"Alternative Compensation ✓",IF(W204=0,0,IF(P204='G-1 All Habitats'!$X$3,"Any Loss Unacceptable ▲",Q204-U204-V204)))))),"Check Data ▲")</f>
        <v/>
      </c>
      <c r="Y204" s="55"/>
      <c r="Z204" s="62"/>
      <c r="AA204" s="526"/>
      <c r="AB204" s="120"/>
      <c r="AC204" s="726" t="str">
        <f>IF(P204="","",IF(P204='G-1 All Habitats'!$X$3,H204-S204-T204,"None"))</f>
        <v/>
      </c>
      <c r="AD204" s="727" t="str">
        <f>IF(P204="","", IF(P204='G-1 All Habitats'!$X$3, AC204*J204*L204*O204,"None"))</f>
        <v/>
      </c>
      <c r="AF204" s="40" t="str">
        <f t="shared" si="15"/>
        <v/>
      </c>
      <c r="AG204" s="40" t="str">
        <f t="shared" si="16"/>
        <v/>
      </c>
      <c r="AH204" s="40" t="str">
        <f>IF(I204="","",IF(#REF!&gt;0,TRUE,FALSE))</f>
        <v/>
      </c>
      <c r="AI204" s="40">
        <v>194</v>
      </c>
      <c r="AJ204" s="40"/>
      <c r="AK204" s="40" t="str">
        <f t="array" ref="AK204">IFERROR(INDEX($AI$11:$AI$259, MATCH(0, IF(TRUE=$AF$11:$AF$259, COUNTIF($AK$10:$AK203, $AI$11:$AI$259), ""), 0)),"")</f>
        <v/>
      </c>
      <c r="AL204" s="40" t="str">
        <f t="array" ref="AL204">IFERROR(INDEX($AI$11:$AI$259, MATCH(0, IF(TRUE=$AG$11:$AG$259, COUNTIF($AL$10:$AL203, $AI$11:$AI$259), ""), 0)),"")</f>
        <v/>
      </c>
      <c r="AM204" s="40" t="str">
        <f t="array" ref="AM204">IFERROR(INDEX($AI$11:$AI$259, MATCH(0, IF(TRUE=$AH$11:$AH$259, COUNTIF($AM$10:$AM203, $AI$11:$AI$259), ""), 0)),"")</f>
        <v/>
      </c>
      <c r="AN204" s="40"/>
      <c r="AQ204" s="35">
        <f t="shared" ref="AQ204:AQ258" si="17">IF(X204="Unacceptable Loss",1,0)</f>
        <v>0</v>
      </c>
    </row>
    <row r="205" spans="1:43">
      <c r="A205" s="35" t="str">
        <f>IFERROR(INDEX('G-1 All Habitats'!$AG$3:$AG$17,MATCH(E205,'G-1 All Habitats'!$AF$3:$AF$17,0)),"")</f>
        <v/>
      </c>
      <c r="B205" s="35" t="str">
        <f>IFERROR(INDEX('G-8 Condition Look up'!$I$4:$I$135,MATCH(G205,'G-8 Condition Look up'!$A$4:$A$135,0)),"")</f>
        <v/>
      </c>
      <c r="D205" s="287">
        <v>195</v>
      </c>
      <c r="E205" s="267"/>
      <c r="F205" s="61"/>
      <c r="G205" s="52" t="str">
        <f>IFERROR(INDEX('G-1 All Habitats'!$B$3:$B$134,MATCH(F205,'G-1 All Habitats'!$A$3:$A$134,0)),"")</f>
        <v/>
      </c>
      <c r="H205" s="53"/>
      <c r="I205" s="362" t="str">
        <f>IF(G205="","",VLOOKUP(G205,'G-1 All Habitats'!$B$2:$M$134,10,FALSE))</f>
        <v/>
      </c>
      <c r="J205" s="363" t="str">
        <f>IFERROR(VLOOKUP(I205,'G-1 All Habitats'!$V$3:$W$7,2,FALSE),"")</f>
        <v/>
      </c>
      <c r="K205" s="54"/>
      <c r="L205" s="363" t="str">
        <f>IFERROR(INDEX('G-8 Condition Look up'!$A$3:$H$135,MATCH(G205,'G-8 Condition Look up'!$A$3:$A$135,0),MATCH(K205,'G-8 Condition Look up'!$A$3:$H$3,0)),"")</f>
        <v/>
      </c>
      <c r="M205" s="54"/>
      <c r="N205" s="382" t="str">
        <f>IF(M205="","",IF(VLOOKUP(M205,'G-3 Multipliers'!$L$3:$N$6,2,FALSE)=0,"Spatial Data Missing",VLOOKUP(M205,'G-3 Multipliers'!$L$3:$N$6,2,FALSE)))</f>
        <v/>
      </c>
      <c r="O205" s="368" t="str">
        <f>IF(M205="","",IF(VLOOKUP(M205,'G-3 Multipliers'!$L$3:$N$6,3,FALSE)=0,"Spatial Data Missing",VLOOKUP(M205,'G-3 Multipliers'!$L$3:$N$6,3,FALSE)))</f>
        <v/>
      </c>
      <c r="P205" s="369" t="str">
        <f>IFERROR(VLOOKUP(G205,'G-1 All Habitats'!$B$2:$M$134,12,FALSE),"")</f>
        <v/>
      </c>
      <c r="Q205" s="376" t="str">
        <f>IFERROR(IF(P205="","",IF(AND(P205='G-1 All Habitats'!$X$3,T205&gt;0),U205+V205,IF(AND(P205='G-1 All Habitats'!$X$3,S205&gt;0),U205+V205,IF(AND(P205='G-1 All Habitats'!$X$3,AC205&gt;0),"Any Loss Unacceptable ⚠",IF(AND(P205='G-1 All Habitats'!$X$3,W205&gt;0),"Any Loss Unacceptable ⚠",H205*J205*L205*O205))))),"Check Data ▲")</f>
        <v/>
      </c>
      <c r="R205" s="38"/>
      <c r="S205" s="54"/>
      <c r="T205" s="55"/>
      <c r="U205" s="374" t="str">
        <f t="shared" ref="U205:U258" si="18">IFERROR(S205*J205*L205*O205,"")</f>
        <v/>
      </c>
      <c r="V205" s="374" t="str">
        <f t="shared" ref="V205:V258" si="19">IFERROR(T205*J205*L205*O205,"")</f>
        <v/>
      </c>
      <c r="W205" s="374" t="str">
        <f>IF(E205="","",IF(H205&lt;S205+T205,"Error in Areas ▲",IF(P205&lt;&gt;'G-1 All Habitats'!$X$3,H205-S205-T205,IF(AND(P205='G-1 All Habitats'!$X$3,Y205="Yes"),"Unacceptable Loss ⚠",IF(AND(P205='G-1 All Habitats'!$X$3,Y205="No"),AC205,IF(AND(P205='G-1 All Habitats'!$X$3,Y205=""),AC205,IF(AND(P205='G-1 All Habitats'!$X$3,AC205="None",AC205),IF(AND(P205='G-1 All Habitats'!$X$3,AC205&gt;0),H205-S205-T205))))))))</f>
        <v/>
      </c>
      <c r="X205" s="378" t="str">
        <f>IFERROR(IF(H205="","",IF(H205-S205-T205=0&lt;0,"Error in Areas ▲",IF(S205+T205&gt;H205,"Error in Areas ▲",IF(AND(P205='G-1 All Habitats'!$X$3,Y205="Yes"),"Alternative Compensation ✓",IF(W205=0,0,IF(P205='G-1 All Habitats'!$X$3,"Any Loss Unacceptable ▲",Q205-U205-V205)))))),"Check Data ▲")</f>
        <v/>
      </c>
      <c r="Y205" s="55"/>
      <c r="Z205" s="62"/>
      <c r="AA205" s="526"/>
      <c r="AB205" s="120"/>
      <c r="AC205" s="726" t="str">
        <f>IF(P205="","",IF(P205='G-1 All Habitats'!$X$3,H205-S205-T205,"None"))</f>
        <v/>
      </c>
      <c r="AD205" s="727" t="str">
        <f>IF(P205="","", IF(P205='G-1 All Habitats'!$X$3, AC205*J205*L205*O205,"None"))</f>
        <v/>
      </c>
      <c r="AF205" s="40" t="str">
        <f t="shared" si="15"/>
        <v/>
      </c>
      <c r="AG205" s="40" t="str">
        <f t="shared" si="16"/>
        <v/>
      </c>
      <c r="AH205" s="40" t="str">
        <f>IF(I205="","",IF(#REF!&gt;0,TRUE,FALSE))</f>
        <v/>
      </c>
      <c r="AI205" s="40">
        <v>195</v>
      </c>
      <c r="AJ205" s="40"/>
      <c r="AK205" s="40" t="str">
        <f t="array" ref="AK205">IFERROR(INDEX($AI$11:$AI$259, MATCH(0, IF(TRUE=$AF$11:$AF$259, COUNTIF($AK$10:$AK204, $AI$11:$AI$259), ""), 0)),"")</f>
        <v/>
      </c>
      <c r="AL205" s="40" t="str">
        <f t="array" ref="AL205">IFERROR(INDEX($AI$11:$AI$259, MATCH(0, IF(TRUE=$AG$11:$AG$259, COUNTIF($AL$10:$AL204, $AI$11:$AI$259), ""), 0)),"")</f>
        <v/>
      </c>
      <c r="AM205" s="40" t="str">
        <f t="array" ref="AM205">IFERROR(INDEX($AI$11:$AI$259, MATCH(0, IF(TRUE=$AH$11:$AH$259, COUNTIF($AM$10:$AM204, $AI$11:$AI$259), ""), 0)),"")</f>
        <v/>
      </c>
      <c r="AN205" s="40"/>
      <c r="AQ205" s="35">
        <f t="shared" si="17"/>
        <v>0</v>
      </c>
    </row>
    <row r="206" spans="1:43">
      <c r="A206" s="35" t="str">
        <f>IFERROR(INDEX('G-1 All Habitats'!$AG$3:$AG$17,MATCH(E206,'G-1 All Habitats'!$AF$3:$AF$17,0)),"")</f>
        <v/>
      </c>
      <c r="B206" s="35" t="str">
        <f>IFERROR(INDEX('G-8 Condition Look up'!$I$4:$I$135,MATCH(G206,'G-8 Condition Look up'!$A$4:$A$135,0)),"")</f>
        <v/>
      </c>
      <c r="D206" s="287">
        <v>196</v>
      </c>
      <c r="E206" s="267"/>
      <c r="F206" s="61"/>
      <c r="G206" s="52" t="str">
        <f>IFERROR(INDEX('G-1 All Habitats'!$B$3:$B$134,MATCH(F206,'G-1 All Habitats'!$A$3:$A$134,0)),"")</f>
        <v/>
      </c>
      <c r="H206" s="53"/>
      <c r="I206" s="362" t="str">
        <f>IF(G206="","",VLOOKUP(G206,'G-1 All Habitats'!$B$2:$M$134,10,FALSE))</f>
        <v/>
      </c>
      <c r="J206" s="363" t="str">
        <f>IFERROR(VLOOKUP(I206,'G-1 All Habitats'!$V$3:$W$7,2,FALSE),"")</f>
        <v/>
      </c>
      <c r="K206" s="54"/>
      <c r="L206" s="363" t="str">
        <f>IFERROR(INDEX('G-8 Condition Look up'!$A$3:$H$135,MATCH(G206,'G-8 Condition Look up'!$A$3:$A$135,0),MATCH(K206,'G-8 Condition Look up'!$A$3:$H$3,0)),"")</f>
        <v/>
      </c>
      <c r="M206" s="54"/>
      <c r="N206" s="382" t="str">
        <f>IF(M206="","",IF(VLOOKUP(M206,'G-3 Multipliers'!$L$3:$N$6,2,FALSE)=0,"Spatial Data Missing",VLOOKUP(M206,'G-3 Multipliers'!$L$3:$N$6,2,FALSE)))</f>
        <v/>
      </c>
      <c r="O206" s="368" t="str">
        <f>IF(M206="","",IF(VLOOKUP(M206,'G-3 Multipliers'!$L$3:$N$6,3,FALSE)=0,"Spatial Data Missing",VLOOKUP(M206,'G-3 Multipliers'!$L$3:$N$6,3,FALSE)))</f>
        <v/>
      </c>
      <c r="P206" s="369" t="str">
        <f>IFERROR(VLOOKUP(G206,'G-1 All Habitats'!$B$2:$M$134,12,FALSE),"")</f>
        <v/>
      </c>
      <c r="Q206" s="376" t="str">
        <f>IFERROR(IF(P206="","",IF(AND(P206='G-1 All Habitats'!$X$3,T206&gt;0),U206+V206,IF(AND(P206='G-1 All Habitats'!$X$3,S206&gt;0),U206+V206,IF(AND(P206='G-1 All Habitats'!$X$3,AC206&gt;0),"Any Loss Unacceptable ⚠",IF(AND(P206='G-1 All Habitats'!$X$3,W206&gt;0),"Any Loss Unacceptable ⚠",H206*J206*L206*O206))))),"Check Data ▲")</f>
        <v/>
      </c>
      <c r="R206" s="38"/>
      <c r="S206" s="54"/>
      <c r="T206" s="55"/>
      <c r="U206" s="374" t="str">
        <f t="shared" si="18"/>
        <v/>
      </c>
      <c r="V206" s="374" t="str">
        <f t="shared" si="19"/>
        <v/>
      </c>
      <c r="W206" s="374" t="str">
        <f>IF(E206="","",IF(H206&lt;S206+T206,"Error in Areas ▲",IF(P206&lt;&gt;'G-1 All Habitats'!$X$3,H206-S206-T206,IF(AND(P206='G-1 All Habitats'!$X$3,Y206="Yes"),"Unacceptable Loss ⚠",IF(AND(P206='G-1 All Habitats'!$X$3,Y206="No"),AC206,IF(AND(P206='G-1 All Habitats'!$X$3,Y206=""),AC206,IF(AND(P206='G-1 All Habitats'!$X$3,AC206="None",AC206),IF(AND(P206='G-1 All Habitats'!$X$3,AC206&gt;0),H206-S206-T206))))))))</f>
        <v/>
      </c>
      <c r="X206" s="378" t="str">
        <f>IFERROR(IF(H206="","",IF(H206-S206-T206=0&lt;0,"Error in Areas ▲",IF(S206+T206&gt;H206,"Error in Areas ▲",IF(AND(P206='G-1 All Habitats'!$X$3,Y206="Yes"),"Alternative Compensation ✓",IF(W206=0,0,IF(P206='G-1 All Habitats'!$X$3,"Any Loss Unacceptable ▲",Q206-U206-V206)))))),"Check Data ▲")</f>
        <v/>
      </c>
      <c r="Y206" s="55"/>
      <c r="Z206" s="62"/>
      <c r="AA206" s="526"/>
      <c r="AB206" s="120"/>
      <c r="AC206" s="726" t="str">
        <f>IF(P206="","",IF(P206='G-1 All Habitats'!$X$3,H206-S206-T206,"None"))</f>
        <v/>
      </c>
      <c r="AD206" s="727" t="str">
        <f>IF(P206="","", IF(P206='G-1 All Habitats'!$X$3, AC206*J206*L206*O206,"None"))</f>
        <v/>
      </c>
      <c r="AF206" s="40" t="str">
        <f t="shared" si="15"/>
        <v/>
      </c>
      <c r="AG206" s="40" t="str">
        <f t="shared" si="16"/>
        <v/>
      </c>
      <c r="AH206" s="40" t="str">
        <f>IF(I206="","",IF(#REF!&gt;0,TRUE,FALSE))</f>
        <v/>
      </c>
      <c r="AI206" s="40">
        <v>196</v>
      </c>
      <c r="AJ206" s="40"/>
      <c r="AK206" s="40" t="str">
        <f t="array" ref="AK206">IFERROR(INDEX($AI$11:$AI$259, MATCH(0, IF(TRUE=$AF$11:$AF$259, COUNTIF($AK$10:$AK205, $AI$11:$AI$259), ""), 0)),"")</f>
        <v/>
      </c>
      <c r="AL206" s="40" t="str">
        <f t="array" ref="AL206">IFERROR(INDEX($AI$11:$AI$259, MATCH(0, IF(TRUE=$AG$11:$AG$259, COUNTIF($AL$10:$AL205, $AI$11:$AI$259), ""), 0)),"")</f>
        <v/>
      </c>
      <c r="AM206" s="40" t="str">
        <f t="array" ref="AM206">IFERROR(INDEX($AI$11:$AI$259, MATCH(0, IF(TRUE=$AH$11:$AH$259, COUNTIF($AM$10:$AM205, $AI$11:$AI$259), ""), 0)),"")</f>
        <v/>
      </c>
      <c r="AN206" s="40"/>
      <c r="AQ206" s="35">
        <f t="shared" si="17"/>
        <v>0</v>
      </c>
    </row>
    <row r="207" spans="1:43">
      <c r="A207" s="35" t="str">
        <f>IFERROR(INDEX('G-1 All Habitats'!$AG$3:$AG$17,MATCH(E207,'G-1 All Habitats'!$AF$3:$AF$17,0)),"")</f>
        <v/>
      </c>
      <c r="B207" s="35" t="str">
        <f>IFERROR(INDEX('G-8 Condition Look up'!$I$4:$I$135,MATCH(G207,'G-8 Condition Look up'!$A$4:$A$135,0)),"")</f>
        <v/>
      </c>
      <c r="D207" s="287">
        <v>197</v>
      </c>
      <c r="E207" s="267"/>
      <c r="F207" s="61"/>
      <c r="G207" s="52" t="str">
        <f>IFERROR(INDEX('G-1 All Habitats'!$B$3:$B$134,MATCH(F207,'G-1 All Habitats'!$A$3:$A$134,0)),"")</f>
        <v/>
      </c>
      <c r="H207" s="53"/>
      <c r="I207" s="362" t="str">
        <f>IF(G207="","",VLOOKUP(G207,'G-1 All Habitats'!$B$2:$M$134,10,FALSE))</f>
        <v/>
      </c>
      <c r="J207" s="363" t="str">
        <f>IFERROR(VLOOKUP(I207,'G-1 All Habitats'!$V$3:$W$7,2,FALSE),"")</f>
        <v/>
      </c>
      <c r="K207" s="54"/>
      <c r="L207" s="363" t="str">
        <f>IFERROR(INDEX('G-8 Condition Look up'!$A$3:$H$135,MATCH(G207,'G-8 Condition Look up'!$A$3:$A$135,0),MATCH(K207,'G-8 Condition Look up'!$A$3:$H$3,0)),"")</f>
        <v/>
      </c>
      <c r="M207" s="54"/>
      <c r="N207" s="382" t="str">
        <f>IF(M207="","",IF(VLOOKUP(M207,'G-3 Multipliers'!$L$3:$N$6,2,FALSE)=0,"Spatial Data Missing",VLOOKUP(M207,'G-3 Multipliers'!$L$3:$N$6,2,FALSE)))</f>
        <v/>
      </c>
      <c r="O207" s="368" t="str">
        <f>IF(M207="","",IF(VLOOKUP(M207,'G-3 Multipliers'!$L$3:$N$6,3,FALSE)=0,"Spatial Data Missing",VLOOKUP(M207,'G-3 Multipliers'!$L$3:$N$6,3,FALSE)))</f>
        <v/>
      </c>
      <c r="P207" s="369" t="str">
        <f>IFERROR(VLOOKUP(G207,'G-1 All Habitats'!$B$2:$M$134,12,FALSE),"")</f>
        <v/>
      </c>
      <c r="Q207" s="376" t="str">
        <f>IFERROR(IF(P207="","",IF(AND(P207='G-1 All Habitats'!$X$3,T207&gt;0),U207+V207,IF(AND(P207='G-1 All Habitats'!$X$3,S207&gt;0),U207+V207,IF(AND(P207='G-1 All Habitats'!$X$3,AC207&gt;0),"Any Loss Unacceptable ⚠",IF(AND(P207='G-1 All Habitats'!$X$3,W207&gt;0),"Any Loss Unacceptable ⚠",H207*J207*L207*O207))))),"Check Data ▲")</f>
        <v/>
      </c>
      <c r="R207" s="38"/>
      <c r="S207" s="54"/>
      <c r="T207" s="55"/>
      <c r="U207" s="374" t="str">
        <f t="shared" si="18"/>
        <v/>
      </c>
      <c r="V207" s="374" t="str">
        <f t="shared" si="19"/>
        <v/>
      </c>
      <c r="W207" s="374" t="str">
        <f>IF(E207="","",IF(H207&lt;S207+T207,"Error in Areas ▲",IF(P207&lt;&gt;'G-1 All Habitats'!$X$3,H207-S207-T207,IF(AND(P207='G-1 All Habitats'!$X$3,Y207="Yes"),"Unacceptable Loss ⚠",IF(AND(P207='G-1 All Habitats'!$X$3,Y207="No"),AC207,IF(AND(P207='G-1 All Habitats'!$X$3,Y207=""),AC207,IF(AND(P207='G-1 All Habitats'!$X$3,AC207="None",AC207),IF(AND(P207='G-1 All Habitats'!$X$3,AC207&gt;0),H207-S207-T207))))))))</f>
        <v/>
      </c>
      <c r="X207" s="378" t="str">
        <f>IFERROR(IF(H207="","",IF(H207-S207-T207=0&lt;0,"Error in Areas ▲",IF(S207+T207&gt;H207,"Error in Areas ▲",IF(AND(P207='G-1 All Habitats'!$X$3,Y207="Yes"),"Alternative Compensation ✓",IF(W207=0,0,IF(P207='G-1 All Habitats'!$X$3,"Any Loss Unacceptable ▲",Q207-U207-V207)))))),"Check Data ▲")</f>
        <v/>
      </c>
      <c r="Y207" s="55"/>
      <c r="Z207" s="62"/>
      <c r="AA207" s="526"/>
      <c r="AB207" s="120"/>
      <c r="AC207" s="726" t="str">
        <f>IF(P207="","",IF(P207='G-1 All Habitats'!$X$3,H207-S207-T207,"None"))</f>
        <v/>
      </c>
      <c r="AD207" s="727" t="str">
        <f>IF(P207="","", IF(P207='G-1 All Habitats'!$X$3, AC207*J207*L207*O207,"None"))</f>
        <v/>
      </c>
      <c r="AF207" s="40" t="str">
        <f t="shared" si="15"/>
        <v/>
      </c>
      <c r="AG207" s="40" t="str">
        <f t="shared" si="16"/>
        <v/>
      </c>
      <c r="AH207" s="40" t="str">
        <f>IF(I207="","",IF(#REF!&gt;0,TRUE,FALSE))</f>
        <v/>
      </c>
      <c r="AI207" s="40">
        <v>197</v>
      </c>
      <c r="AJ207" s="40"/>
      <c r="AK207" s="40" t="str">
        <f t="array" ref="AK207">IFERROR(INDEX($AI$11:$AI$259, MATCH(0, IF(TRUE=$AF$11:$AF$259, COUNTIF($AK$10:$AK206, $AI$11:$AI$259), ""), 0)),"")</f>
        <v/>
      </c>
      <c r="AL207" s="40" t="str">
        <f t="array" ref="AL207">IFERROR(INDEX($AI$11:$AI$259, MATCH(0, IF(TRUE=$AG$11:$AG$259, COUNTIF($AL$10:$AL206, $AI$11:$AI$259), ""), 0)),"")</f>
        <v/>
      </c>
      <c r="AM207" s="40" t="str">
        <f t="array" ref="AM207">IFERROR(INDEX($AI$11:$AI$259, MATCH(0, IF(TRUE=$AH$11:$AH$259, COUNTIF($AM$10:$AM206, $AI$11:$AI$259), ""), 0)),"")</f>
        <v/>
      </c>
      <c r="AN207" s="40"/>
      <c r="AQ207" s="35">
        <f t="shared" si="17"/>
        <v>0</v>
      </c>
    </row>
    <row r="208" spans="1:43">
      <c r="A208" s="35" t="str">
        <f>IFERROR(INDEX('G-1 All Habitats'!$AG$3:$AG$17,MATCH(E208,'G-1 All Habitats'!$AF$3:$AF$17,0)),"")</f>
        <v/>
      </c>
      <c r="B208" s="35" t="str">
        <f>IFERROR(INDEX('G-8 Condition Look up'!$I$4:$I$135,MATCH(G208,'G-8 Condition Look up'!$A$4:$A$135,0)),"")</f>
        <v/>
      </c>
      <c r="D208" s="287">
        <v>198</v>
      </c>
      <c r="E208" s="267"/>
      <c r="F208" s="61"/>
      <c r="G208" s="52" t="str">
        <f>IFERROR(INDEX('G-1 All Habitats'!$B$3:$B$134,MATCH(F208,'G-1 All Habitats'!$A$3:$A$134,0)),"")</f>
        <v/>
      </c>
      <c r="H208" s="53"/>
      <c r="I208" s="362" t="str">
        <f>IF(G208="","",VLOOKUP(G208,'G-1 All Habitats'!$B$2:$M$134,10,FALSE))</f>
        <v/>
      </c>
      <c r="J208" s="363" t="str">
        <f>IFERROR(VLOOKUP(I208,'G-1 All Habitats'!$V$3:$W$7,2,FALSE),"")</f>
        <v/>
      </c>
      <c r="K208" s="54"/>
      <c r="L208" s="363" t="str">
        <f>IFERROR(INDEX('G-8 Condition Look up'!$A$3:$H$135,MATCH(G208,'G-8 Condition Look up'!$A$3:$A$135,0),MATCH(K208,'G-8 Condition Look up'!$A$3:$H$3,0)),"")</f>
        <v/>
      </c>
      <c r="M208" s="54"/>
      <c r="N208" s="382" t="str">
        <f>IF(M208="","",IF(VLOOKUP(M208,'G-3 Multipliers'!$L$3:$N$6,2,FALSE)=0,"Spatial Data Missing",VLOOKUP(M208,'G-3 Multipliers'!$L$3:$N$6,2,FALSE)))</f>
        <v/>
      </c>
      <c r="O208" s="368" t="str">
        <f>IF(M208="","",IF(VLOOKUP(M208,'G-3 Multipliers'!$L$3:$N$6,3,FALSE)=0,"Spatial Data Missing",VLOOKUP(M208,'G-3 Multipliers'!$L$3:$N$6,3,FALSE)))</f>
        <v/>
      </c>
      <c r="P208" s="369" t="str">
        <f>IFERROR(VLOOKUP(G208,'G-1 All Habitats'!$B$2:$M$134,12,FALSE),"")</f>
        <v/>
      </c>
      <c r="Q208" s="376" t="str">
        <f>IFERROR(IF(P208="","",IF(AND(P208='G-1 All Habitats'!$X$3,T208&gt;0),U208+V208,IF(AND(P208='G-1 All Habitats'!$X$3,S208&gt;0),U208+V208,IF(AND(P208='G-1 All Habitats'!$X$3,AC208&gt;0),"Any Loss Unacceptable ⚠",IF(AND(P208='G-1 All Habitats'!$X$3,W208&gt;0),"Any Loss Unacceptable ⚠",H208*J208*L208*O208))))),"Check Data ▲")</f>
        <v/>
      </c>
      <c r="R208" s="38"/>
      <c r="S208" s="54"/>
      <c r="T208" s="55"/>
      <c r="U208" s="374" t="str">
        <f t="shared" si="18"/>
        <v/>
      </c>
      <c r="V208" s="374" t="str">
        <f t="shared" si="19"/>
        <v/>
      </c>
      <c r="W208" s="374" t="str">
        <f>IF(E208="","",IF(H208&lt;S208+T208,"Error in Areas ▲",IF(P208&lt;&gt;'G-1 All Habitats'!$X$3,H208-S208-T208,IF(AND(P208='G-1 All Habitats'!$X$3,Y208="Yes"),"Unacceptable Loss ⚠",IF(AND(P208='G-1 All Habitats'!$X$3,Y208="No"),AC208,IF(AND(P208='G-1 All Habitats'!$X$3,Y208=""),AC208,IF(AND(P208='G-1 All Habitats'!$X$3,AC208="None",AC208),IF(AND(P208='G-1 All Habitats'!$X$3,AC208&gt;0),H208-S208-T208))))))))</f>
        <v/>
      </c>
      <c r="X208" s="378" t="str">
        <f>IFERROR(IF(H208="","",IF(H208-S208-T208=0&lt;0,"Error in Areas ▲",IF(S208+T208&gt;H208,"Error in Areas ▲",IF(AND(P208='G-1 All Habitats'!$X$3,Y208="Yes"),"Alternative Compensation ✓",IF(W208=0,0,IF(P208='G-1 All Habitats'!$X$3,"Any Loss Unacceptable ▲",Q208-U208-V208)))))),"Check Data ▲")</f>
        <v/>
      </c>
      <c r="Y208" s="55"/>
      <c r="Z208" s="62"/>
      <c r="AA208" s="526"/>
      <c r="AB208" s="120"/>
      <c r="AC208" s="726" t="str">
        <f>IF(P208="","",IF(P208='G-1 All Habitats'!$X$3,H208-S208-T208,"None"))</f>
        <v/>
      </c>
      <c r="AD208" s="727" t="str">
        <f>IF(P208="","", IF(P208='G-1 All Habitats'!$X$3, AC208*J208*L208*O208,"None"))</f>
        <v/>
      </c>
      <c r="AF208" s="40" t="str">
        <f t="shared" si="15"/>
        <v/>
      </c>
      <c r="AG208" s="40" t="str">
        <f t="shared" si="16"/>
        <v/>
      </c>
      <c r="AH208" s="40" t="str">
        <f>IF(I208="","",IF(#REF!&gt;0,TRUE,FALSE))</f>
        <v/>
      </c>
      <c r="AI208" s="40">
        <v>198</v>
      </c>
      <c r="AJ208" s="40"/>
      <c r="AK208" s="40" t="str">
        <f t="array" ref="AK208">IFERROR(INDEX($AI$11:$AI$259, MATCH(0, IF(TRUE=$AF$11:$AF$259, COUNTIF($AK$10:$AK207, $AI$11:$AI$259), ""), 0)),"")</f>
        <v/>
      </c>
      <c r="AL208" s="40" t="str">
        <f t="array" ref="AL208">IFERROR(INDEX($AI$11:$AI$259, MATCH(0, IF(TRUE=$AG$11:$AG$259, COUNTIF($AL$10:$AL207, $AI$11:$AI$259), ""), 0)),"")</f>
        <v/>
      </c>
      <c r="AM208" s="40" t="str">
        <f t="array" ref="AM208">IFERROR(INDEX($AI$11:$AI$259, MATCH(0, IF(TRUE=$AH$11:$AH$259, COUNTIF($AM$10:$AM207, $AI$11:$AI$259), ""), 0)),"")</f>
        <v/>
      </c>
      <c r="AN208" s="40"/>
      <c r="AQ208" s="35">
        <f t="shared" si="17"/>
        <v>0</v>
      </c>
    </row>
    <row r="209" spans="1:43">
      <c r="A209" s="35" t="str">
        <f>IFERROR(INDEX('G-1 All Habitats'!$AG$3:$AG$17,MATCH(E209,'G-1 All Habitats'!$AF$3:$AF$17,0)),"")</f>
        <v/>
      </c>
      <c r="B209" s="35" t="str">
        <f>IFERROR(INDEX('G-8 Condition Look up'!$I$4:$I$135,MATCH(G209,'G-8 Condition Look up'!$A$4:$A$135,0)),"")</f>
        <v/>
      </c>
      <c r="D209" s="287">
        <v>199</v>
      </c>
      <c r="E209" s="267"/>
      <c r="F209" s="61"/>
      <c r="G209" s="52" t="str">
        <f>IFERROR(INDEX('G-1 All Habitats'!$B$3:$B$134,MATCH(F209,'G-1 All Habitats'!$A$3:$A$134,0)),"")</f>
        <v/>
      </c>
      <c r="H209" s="53"/>
      <c r="I209" s="362" t="str">
        <f>IF(G209="","",VLOOKUP(G209,'G-1 All Habitats'!$B$2:$M$134,10,FALSE))</f>
        <v/>
      </c>
      <c r="J209" s="363" t="str">
        <f>IFERROR(VLOOKUP(I209,'G-1 All Habitats'!$V$3:$W$7,2,FALSE),"")</f>
        <v/>
      </c>
      <c r="K209" s="54"/>
      <c r="L209" s="363" t="str">
        <f>IFERROR(INDEX('G-8 Condition Look up'!$A$3:$H$135,MATCH(G209,'G-8 Condition Look up'!$A$3:$A$135,0),MATCH(K209,'G-8 Condition Look up'!$A$3:$H$3,0)),"")</f>
        <v/>
      </c>
      <c r="M209" s="54"/>
      <c r="N209" s="382" t="str">
        <f>IF(M209="","",IF(VLOOKUP(M209,'G-3 Multipliers'!$L$3:$N$6,2,FALSE)=0,"Spatial Data Missing",VLOOKUP(M209,'G-3 Multipliers'!$L$3:$N$6,2,FALSE)))</f>
        <v/>
      </c>
      <c r="O209" s="368" t="str">
        <f>IF(M209="","",IF(VLOOKUP(M209,'G-3 Multipliers'!$L$3:$N$6,3,FALSE)=0,"Spatial Data Missing",VLOOKUP(M209,'G-3 Multipliers'!$L$3:$N$6,3,FALSE)))</f>
        <v/>
      </c>
      <c r="P209" s="369" t="str">
        <f>IFERROR(VLOOKUP(G209,'G-1 All Habitats'!$B$2:$M$134,12,FALSE),"")</f>
        <v/>
      </c>
      <c r="Q209" s="376" t="str">
        <f>IFERROR(IF(P209="","",IF(AND(P209='G-1 All Habitats'!$X$3,T209&gt;0),U209+V209,IF(AND(P209='G-1 All Habitats'!$X$3,S209&gt;0),U209+V209,IF(AND(P209='G-1 All Habitats'!$X$3,AC209&gt;0),"Any Loss Unacceptable ⚠",IF(AND(P209='G-1 All Habitats'!$X$3,W209&gt;0),"Any Loss Unacceptable ⚠",H209*J209*L209*O209))))),"Check Data ▲")</f>
        <v/>
      </c>
      <c r="R209" s="38"/>
      <c r="S209" s="54"/>
      <c r="T209" s="55"/>
      <c r="U209" s="374" t="str">
        <f t="shared" si="18"/>
        <v/>
      </c>
      <c r="V209" s="374" t="str">
        <f t="shared" si="19"/>
        <v/>
      </c>
      <c r="W209" s="374" t="str">
        <f>IF(E209="","",IF(H209&lt;S209+T209,"Error in Areas ▲",IF(P209&lt;&gt;'G-1 All Habitats'!$X$3,H209-S209-T209,IF(AND(P209='G-1 All Habitats'!$X$3,Y209="Yes"),"Unacceptable Loss ⚠",IF(AND(P209='G-1 All Habitats'!$X$3,Y209="No"),AC209,IF(AND(P209='G-1 All Habitats'!$X$3,Y209=""),AC209,IF(AND(P209='G-1 All Habitats'!$X$3,AC209="None",AC209),IF(AND(P209='G-1 All Habitats'!$X$3,AC209&gt;0),H209-S209-T209))))))))</f>
        <v/>
      </c>
      <c r="X209" s="378" t="str">
        <f>IFERROR(IF(H209="","",IF(H209-S209-T209=0&lt;0,"Error in Areas ▲",IF(S209+T209&gt;H209,"Error in Areas ▲",IF(AND(P209='G-1 All Habitats'!$X$3,Y209="Yes"),"Alternative Compensation ✓",IF(W209=0,0,IF(P209='G-1 All Habitats'!$X$3,"Any Loss Unacceptable ▲",Q209-U209-V209)))))),"Check Data ▲")</f>
        <v/>
      </c>
      <c r="Y209" s="55"/>
      <c r="Z209" s="62"/>
      <c r="AA209" s="526"/>
      <c r="AB209" s="120"/>
      <c r="AC209" s="726" t="str">
        <f>IF(P209="","",IF(P209='G-1 All Habitats'!$X$3,H209-S209-T209,"None"))</f>
        <v/>
      </c>
      <c r="AD209" s="727" t="str">
        <f>IF(P209="","", IF(P209='G-1 All Habitats'!$X$3, AC209*J209*L209*O209,"None"))</f>
        <v/>
      </c>
      <c r="AF209" s="40" t="str">
        <f t="shared" si="15"/>
        <v/>
      </c>
      <c r="AG209" s="40" t="str">
        <f t="shared" si="16"/>
        <v/>
      </c>
      <c r="AH209" s="40" t="str">
        <f>IF(I209="","",IF(#REF!&gt;0,TRUE,FALSE))</f>
        <v/>
      </c>
      <c r="AI209" s="40">
        <v>199</v>
      </c>
      <c r="AJ209" s="40"/>
      <c r="AK209" s="40" t="str">
        <f t="array" ref="AK209">IFERROR(INDEX($AI$11:$AI$259, MATCH(0, IF(TRUE=$AF$11:$AF$259, COUNTIF($AK$10:$AK208, $AI$11:$AI$259), ""), 0)),"")</f>
        <v/>
      </c>
      <c r="AL209" s="40" t="str">
        <f t="array" ref="AL209">IFERROR(INDEX($AI$11:$AI$259, MATCH(0, IF(TRUE=$AG$11:$AG$259, COUNTIF($AL$10:$AL208, $AI$11:$AI$259), ""), 0)),"")</f>
        <v/>
      </c>
      <c r="AM209" s="40" t="str">
        <f t="array" ref="AM209">IFERROR(INDEX($AI$11:$AI$259, MATCH(0, IF(TRUE=$AH$11:$AH$259, COUNTIF($AM$10:$AM208, $AI$11:$AI$259), ""), 0)),"")</f>
        <v/>
      </c>
      <c r="AN209" s="40"/>
      <c r="AQ209" s="35">
        <f t="shared" si="17"/>
        <v>0</v>
      </c>
    </row>
    <row r="210" spans="1:43">
      <c r="A210" s="35" t="str">
        <f>IFERROR(INDEX('G-1 All Habitats'!$AG$3:$AG$17,MATCH(E210,'G-1 All Habitats'!$AF$3:$AF$17,0)),"")</f>
        <v/>
      </c>
      <c r="B210" s="35" t="str">
        <f>IFERROR(INDEX('G-8 Condition Look up'!$I$4:$I$135,MATCH(G210,'G-8 Condition Look up'!$A$4:$A$135,0)),"")</f>
        <v/>
      </c>
      <c r="D210" s="287">
        <v>200</v>
      </c>
      <c r="E210" s="267"/>
      <c r="F210" s="61"/>
      <c r="G210" s="52" t="str">
        <f>IFERROR(INDEX('G-1 All Habitats'!$B$3:$B$134,MATCH(F210,'G-1 All Habitats'!$A$3:$A$134,0)),"")</f>
        <v/>
      </c>
      <c r="H210" s="53"/>
      <c r="I210" s="362" t="str">
        <f>IF(G210="","",VLOOKUP(G210,'G-1 All Habitats'!$B$2:$M$134,10,FALSE))</f>
        <v/>
      </c>
      <c r="J210" s="363" t="str">
        <f>IFERROR(VLOOKUP(I210,'G-1 All Habitats'!$V$3:$W$7,2,FALSE),"")</f>
        <v/>
      </c>
      <c r="K210" s="54"/>
      <c r="L210" s="363" t="str">
        <f>IFERROR(INDEX('G-8 Condition Look up'!$A$3:$H$135,MATCH(G210,'G-8 Condition Look up'!$A$3:$A$135,0),MATCH(K210,'G-8 Condition Look up'!$A$3:$H$3,0)),"")</f>
        <v/>
      </c>
      <c r="M210" s="54"/>
      <c r="N210" s="382" t="str">
        <f>IF(M210="","",IF(VLOOKUP(M210,'G-3 Multipliers'!$L$3:$N$6,2,FALSE)=0,"Spatial Data Missing",VLOOKUP(M210,'G-3 Multipliers'!$L$3:$N$6,2,FALSE)))</f>
        <v/>
      </c>
      <c r="O210" s="368" t="str">
        <f>IF(M210="","",IF(VLOOKUP(M210,'G-3 Multipliers'!$L$3:$N$6,3,FALSE)=0,"Spatial Data Missing",VLOOKUP(M210,'G-3 Multipliers'!$L$3:$N$6,3,FALSE)))</f>
        <v/>
      </c>
      <c r="P210" s="369" t="str">
        <f>IFERROR(VLOOKUP(G210,'G-1 All Habitats'!$B$2:$M$134,12,FALSE),"")</f>
        <v/>
      </c>
      <c r="Q210" s="376" t="str">
        <f>IFERROR(IF(P210="","",IF(AND(P210='G-1 All Habitats'!$X$3,T210&gt;0),U210+V210,IF(AND(P210='G-1 All Habitats'!$X$3,S210&gt;0),U210+V210,IF(AND(P210='G-1 All Habitats'!$X$3,AC210&gt;0),"Any Loss Unacceptable ⚠",IF(AND(P210='G-1 All Habitats'!$X$3,W210&gt;0),"Any Loss Unacceptable ⚠",H210*J210*L210*O210))))),"Check Data ▲")</f>
        <v/>
      </c>
      <c r="R210" s="38"/>
      <c r="S210" s="54"/>
      <c r="T210" s="55"/>
      <c r="U210" s="374" t="str">
        <f t="shared" si="18"/>
        <v/>
      </c>
      <c r="V210" s="374" t="str">
        <f t="shared" si="19"/>
        <v/>
      </c>
      <c r="W210" s="374" t="str">
        <f>IF(E210="","",IF(H210&lt;S210+T210,"Error in Areas ▲",IF(P210&lt;&gt;'G-1 All Habitats'!$X$3,H210-S210-T210,IF(AND(P210='G-1 All Habitats'!$X$3,Y210="Yes"),"Unacceptable Loss ⚠",IF(AND(P210='G-1 All Habitats'!$X$3,Y210="No"),AC210,IF(AND(P210='G-1 All Habitats'!$X$3,Y210=""),AC210,IF(AND(P210='G-1 All Habitats'!$X$3,AC210="None",AC210),IF(AND(P210='G-1 All Habitats'!$X$3,AC210&gt;0),H210-S210-T210))))))))</f>
        <v/>
      </c>
      <c r="X210" s="378" t="str">
        <f>IFERROR(IF(H210="","",IF(H210-S210-T210=0&lt;0,"Error in Areas ▲",IF(S210+T210&gt;H210,"Error in Areas ▲",IF(AND(P210='G-1 All Habitats'!$X$3,Y210="Yes"),"Alternative Compensation ✓",IF(W210=0,0,IF(P210='G-1 All Habitats'!$X$3,"Any Loss Unacceptable ▲",Q210-U210-V210)))))),"Check Data ▲")</f>
        <v/>
      </c>
      <c r="Y210" s="55"/>
      <c r="Z210" s="62"/>
      <c r="AA210" s="526"/>
      <c r="AB210" s="120"/>
      <c r="AC210" s="726" t="str">
        <f>IF(P210="","",IF(P210='G-1 All Habitats'!$X$3,H210-S210-T210,"None"))</f>
        <v/>
      </c>
      <c r="AD210" s="727" t="str">
        <f>IF(P210="","", IF(P210='G-1 All Habitats'!$X$3, AC210*J210*L210*O210,"None"))</f>
        <v/>
      </c>
      <c r="AF210" s="40" t="str">
        <f t="shared" si="15"/>
        <v/>
      </c>
      <c r="AG210" s="40" t="str">
        <f t="shared" si="16"/>
        <v/>
      </c>
      <c r="AH210" s="40" t="str">
        <f>IF(I210="","",IF(#REF!&gt;0,TRUE,FALSE))</f>
        <v/>
      </c>
      <c r="AI210" s="40">
        <v>200</v>
      </c>
      <c r="AJ210" s="40"/>
      <c r="AK210" s="40" t="str">
        <f t="array" ref="AK210">IFERROR(INDEX($AI$11:$AI$259, MATCH(0, IF(TRUE=$AF$11:$AF$259, COUNTIF($AK$10:$AK209, $AI$11:$AI$259), ""), 0)),"")</f>
        <v/>
      </c>
      <c r="AL210" s="40" t="str">
        <f t="array" ref="AL210">IFERROR(INDEX($AI$11:$AI$259, MATCH(0, IF(TRUE=$AG$11:$AG$259, COUNTIF($AL$10:$AL209, $AI$11:$AI$259), ""), 0)),"")</f>
        <v/>
      </c>
      <c r="AM210" s="40" t="str">
        <f t="array" ref="AM210">IFERROR(INDEX($AI$11:$AI$259, MATCH(0, IF(TRUE=$AH$11:$AH$259, COUNTIF($AM$10:$AM209, $AI$11:$AI$259), ""), 0)),"")</f>
        <v/>
      </c>
      <c r="AN210" s="40"/>
      <c r="AQ210" s="35">
        <f t="shared" si="17"/>
        <v>0</v>
      </c>
    </row>
    <row r="211" spans="1:43">
      <c r="A211" s="35" t="str">
        <f>IFERROR(INDEX('G-1 All Habitats'!$AG$3:$AG$17,MATCH(E211,'G-1 All Habitats'!$AF$3:$AF$17,0)),"")</f>
        <v/>
      </c>
      <c r="B211" s="35" t="str">
        <f>IFERROR(INDEX('G-8 Condition Look up'!$I$4:$I$135,MATCH(G211,'G-8 Condition Look up'!$A$4:$A$135,0)),"")</f>
        <v/>
      </c>
      <c r="D211" s="287">
        <v>201</v>
      </c>
      <c r="E211" s="267"/>
      <c r="F211" s="61"/>
      <c r="G211" s="52" t="str">
        <f>IFERROR(INDEX('G-1 All Habitats'!$B$3:$B$134,MATCH(F211,'G-1 All Habitats'!$A$3:$A$134,0)),"")</f>
        <v/>
      </c>
      <c r="H211" s="53"/>
      <c r="I211" s="362" t="str">
        <f>IF(G211="","",VLOOKUP(G211,'G-1 All Habitats'!$B$2:$M$134,10,FALSE))</f>
        <v/>
      </c>
      <c r="J211" s="363" t="str">
        <f>IFERROR(VLOOKUP(I211,'G-1 All Habitats'!$V$3:$W$7,2,FALSE),"")</f>
        <v/>
      </c>
      <c r="K211" s="54"/>
      <c r="L211" s="363" t="str">
        <f>IFERROR(INDEX('G-8 Condition Look up'!$A$3:$H$135,MATCH(G211,'G-8 Condition Look up'!$A$3:$A$135,0),MATCH(K211,'G-8 Condition Look up'!$A$3:$H$3,0)),"")</f>
        <v/>
      </c>
      <c r="M211" s="54"/>
      <c r="N211" s="382" t="str">
        <f>IF(M211="","",IF(VLOOKUP(M211,'G-3 Multipliers'!$L$3:$N$6,2,FALSE)=0,"Spatial Data Missing",VLOOKUP(M211,'G-3 Multipliers'!$L$3:$N$6,2,FALSE)))</f>
        <v/>
      </c>
      <c r="O211" s="368" t="str">
        <f>IF(M211="","",IF(VLOOKUP(M211,'G-3 Multipliers'!$L$3:$N$6,3,FALSE)=0,"Spatial Data Missing",VLOOKUP(M211,'G-3 Multipliers'!$L$3:$N$6,3,FALSE)))</f>
        <v/>
      </c>
      <c r="P211" s="369" t="str">
        <f>IFERROR(VLOOKUP(G211,'G-1 All Habitats'!$B$2:$M$134,12,FALSE),"")</f>
        <v/>
      </c>
      <c r="Q211" s="376" t="str">
        <f>IFERROR(IF(P211="","",IF(AND(P211='G-1 All Habitats'!$X$3,T211&gt;0),U211+V211,IF(AND(P211='G-1 All Habitats'!$X$3,S211&gt;0),U211+V211,IF(AND(P211='G-1 All Habitats'!$X$3,AC211&gt;0),"Any Loss Unacceptable ⚠",IF(AND(P211='G-1 All Habitats'!$X$3,W211&gt;0),"Any Loss Unacceptable ⚠",H211*J211*L211*O211))))),"Check Data ▲")</f>
        <v/>
      </c>
      <c r="R211" s="38"/>
      <c r="S211" s="54"/>
      <c r="T211" s="55"/>
      <c r="U211" s="374" t="str">
        <f t="shared" si="18"/>
        <v/>
      </c>
      <c r="V211" s="374" t="str">
        <f t="shared" si="19"/>
        <v/>
      </c>
      <c r="W211" s="374" t="str">
        <f>IF(E211="","",IF(H211&lt;S211+T211,"Error in Areas ▲",IF(P211&lt;&gt;'G-1 All Habitats'!$X$3,H211-S211-T211,IF(AND(P211='G-1 All Habitats'!$X$3,Y211="Yes"),"Unacceptable Loss ⚠",IF(AND(P211='G-1 All Habitats'!$X$3,Y211="No"),AC211,IF(AND(P211='G-1 All Habitats'!$X$3,Y211=""),AC211,IF(AND(P211='G-1 All Habitats'!$X$3,AC211="None",AC211),IF(AND(P211='G-1 All Habitats'!$X$3,AC211&gt;0),H211-S211-T211))))))))</f>
        <v/>
      </c>
      <c r="X211" s="378" t="str">
        <f>IFERROR(IF(H211="","",IF(H211-S211-T211=0&lt;0,"Error in Areas ▲",IF(S211+T211&gt;H211,"Error in Areas ▲",IF(AND(P211='G-1 All Habitats'!$X$3,Y211="Yes"),"Alternative Compensation ✓",IF(W211=0,0,IF(P211='G-1 All Habitats'!$X$3,"Any Loss Unacceptable ▲",Q211-U211-V211)))))),"Check Data ▲")</f>
        <v/>
      </c>
      <c r="Y211" s="55"/>
      <c r="Z211" s="62"/>
      <c r="AA211" s="526"/>
      <c r="AB211" s="120"/>
      <c r="AC211" s="726" t="str">
        <f>IF(P211="","",IF(P211='G-1 All Habitats'!$X$3,H211-S211-T211,"None"))</f>
        <v/>
      </c>
      <c r="AD211" s="727" t="str">
        <f>IF(P211="","", IF(P211='G-1 All Habitats'!$X$3, AC211*J211*L211*O211,"None"))</f>
        <v/>
      </c>
      <c r="AF211" s="40" t="str">
        <f t="shared" si="15"/>
        <v/>
      </c>
      <c r="AG211" s="40" t="str">
        <f t="shared" si="16"/>
        <v/>
      </c>
      <c r="AH211" s="40" t="str">
        <f>IF(I211="","",IF(#REF!&gt;0,TRUE,FALSE))</f>
        <v/>
      </c>
      <c r="AI211" s="40">
        <v>201</v>
      </c>
      <c r="AJ211" s="40"/>
      <c r="AK211" s="40" t="str">
        <f t="array" ref="AK211">IFERROR(INDEX($AI$11:$AI$259, MATCH(0, IF(TRUE=$AF$11:$AF$259, COUNTIF($AK$10:$AK210, $AI$11:$AI$259), ""), 0)),"")</f>
        <v/>
      </c>
      <c r="AL211" s="40" t="str">
        <f t="array" ref="AL211">IFERROR(INDEX($AI$11:$AI$259, MATCH(0, IF(TRUE=$AG$11:$AG$259, COUNTIF($AL$10:$AL210, $AI$11:$AI$259), ""), 0)),"")</f>
        <v/>
      </c>
      <c r="AM211" s="40" t="str">
        <f t="array" ref="AM211">IFERROR(INDEX($AI$11:$AI$259, MATCH(0, IF(TRUE=$AH$11:$AH$259, COUNTIF($AM$10:$AM210, $AI$11:$AI$259), ""), 0)),"")</f>
        <v/>
      </c>
      <c r="AN211" s="40"/>
      <c r="AQ211" s="35">
        <f t="shared" si="17"/>
        <v>0</v>
      </c>
    </row>
    <row r="212" spans="1:43">
      <c r="A212" s="35" t="str">
        <f>IFERROR(INDEX('G-1 All Habitats'!$AG$3:$AG$17,MATCH(E212,'G-1 All Habitats'!$AF$3:$AF$17,0)),"")</f>
        <v/>
      </c>
      <c r="B212" s="35" t="str">
        <f>IFERROR(INDEX('G-8 Condition Look up'!$I$4:$I$135,MATCH(G212,'G-8 Condition Look up'!$A$4:$A$135,0)),"")</f>
        <v/>
      </c>
      <c r="D212" s="287">
        <v>202</v>
      </c>
      <c r="E212" s="267"/>
      <c r="F212" s="61"/>
      <c r="G212" s="52" t="str">
        <f>IFERROR(INDEX('G-1 All Habitats'!$B$3:$B$134,MATCH(F212,'G-1 All Habitats'!$A$3:$A$134,0)),"")</f>
        <v/>
      </c>
      <c r="H212" s="53"/>
      <c r="I212" s="362" t="str">
        <f>IF(G212="","",VLOOKUP(G212,'G-1 All Habitats'!$B$2:$M$134,10,FALSE))</f>
        <v/>
      </c>
      <c r="J212" s="363" t="str">
        <f>IFERROR(VLOOKUP(I212,'G-1 All Habitats'!$V$3:$W$7,2,FALSE),"")</f>
        <v/>
      </c>
      <c r="K212" s="54"/>
      <c r="L212" s="363" t="str">
        <f>IFERROR(INDEX('G-8 Condition Look up'!$A$3:$H$135,MATCH(G212,'G-8 Condition Look up'!$A$3:$A$135,0),MATCH(K212,'G-8 Condition Look up'!$A$3:$H$3,0)),"")</f>
        <v/>
      </c>
      <c r="M212" s="54"/>
      <c r="N212" s="382" t="str">
        <f>IF(M212="","",IF(VLOOKUP(M212,'G-3 Multipliers'!$L$3:$N$6,2,FALSE)=0,"Spatial Data Missing",VLOOKUP(M212,'G-3 Multipliers'!$L$3:$N$6,2,FALSE)))</f>
        <v/>
      </c>
      <c r="O212" s="368" t="str">
        <f>IF(M212="","",IF(VLOOKUP(M212,'G-3 Multipliers'!$L$3:$N$6,3,FALSE)=0,"Spatial Data Missing",VLOOKUP(M212,'G-3 Multipliers'!$L$3:$N$6,3,FALSE)))</f>
        <v/>
      </c>
      <c r="P212" s="369" t="str">
        <f>IFERROR(VLOOKUP(G212,'G-1 All Habitats'!$B$2:$M$134,12,FALSE),"")</f>
        <v/>
      </c>
      <c r="Q212" s="376" t="str">
        <f>IFERROR(IF(P212="","",IF(AND(P212='G-1 All Habitats'!$X$3,T212&gt;0),U212+V212,IF(AND(P212='G-1 All Habitats'!$X$3,S212&gt;0),U212+V212,IF(AND(P212='G-1 All Habitats'!$X$3,AC212&gt;0),"Any Loss Unacceptable ⚠",IF(AND(P212='G-1 All Habitats'!$X$3,W212&gt;0),"Any Loss Unacceptable ⚠",H212*J212*L212*O212))))),"Check Data ▲")</f>
        <v/>
      </c>
      <c r="R212" s="38"/>
      <c r="S212" s="54"/>
      <c r="T212" s="55"/>
      <c r="U212" s="374" t="str">
        <f t="shared" si="18"/>
        <v/>
      </c>
      <c r="V212" s="374" t="str">
        <f t="shared" si="19"/>
        <v/>
      </c>
      <c r="W212" s="374" t="str">
        <f>IF(E212="","",IF(H212&lt;S212+T212,"Error in Areas ▲",IF(P212&lt;&gt;'G-1 All Habitats'!$X$3,H212-S212-T212,IF(AND(P212='G-1 All Habitats'!$X$3,Y212="Yes"),"Unacceptable Loss ⚠",IF(AND(P212='G-1 All Habitats'!$X$3,Y212="No"),AC212,IF(AND(P212='G-1 All Habitats'!$X$3,Y212=""),AC212,IF(AND(P212='G-1 All Habitats'!$X$3,AC212="None",AC212),IF(AND(P212='G-1 All Habitats'!$X$3,AC212&gt;0),H212-S212-T212))))))))</f>
        <v/>
      </c>
      <c r="X212" s="378" t="str">
        <f>IFERROR(IF(H212="","",IF(H212-S212-T212=0&lt;0,"Error in Areas ▲",IF(S212+T212&gt;H212,"Error in Areas ▲",IF(AND(P212='G-1 All Habitats'!$X$3,Y212="Yes"),"Alternative Compensation ✓",IF(W212=0,0,IF(P212='G-1 All Habitats'!$X$3,"Any Loss Unacceptable ▲",Q212-U212-V212)))))),"Check Data ▲")</f>
        <v/>
      </c>
      <c r="Y212" s="55"/>
      <c r="Z212" s="62"/>
      <c r="AA212" s="526"/>
      <c r="AB212" s="120"/>
      <c r="AC212" s="726" t="str">
        <f>IF(P212="","",IF(P212='G-1 All Habitats'!$X$3,H212-S212-T212,"None"))</f>
        <v/>
      </c>
      <c r="AD212" s="727" t="str">
        <f>IF(P212="","", IF(P212='G-1 All Habitats'!$X$3, AC212*J212*L212*O212,"None"))</f>
        <v/>
      </c>
      <c r="AF212" s="40" t="str">
        <f t="shared" si="15"/>
        <v/>
      </c>
      <c r="AG212" s="40" t="str">
        <f t="shared" si="16"/>
        <v/>
      </c>
      <c r="AH212" s="40" t="str">
        <f>IF(I212="","",IF(#REF!&gt;0,TRUE,FALSE))</f>
        <v/>
      </c>
      <c r="AI212" s="40">
        <v>202</v>
      </c>
      <c r="AJ212" s="40"/>
      <c r="AK212" s="40" t="str">
        <f t="array" ref="AK212">IFERROR(INDEX($AI$11:$AI$259, MATCH(0, IF(TRUE=$AF$11:$AF$259, COUNTIF($AK$10:$AK211, $AI$11:$AI$259), ""), 0)),"")</f>
        <v/>
      </c>
      <c r="AL212" s="40" t="str">
        <f t="array" ref="AL212">IFERROR(INDEX($AI$11:$AI$259, MATCH(0, IF(TRUE=$AG$11:$AG$259, COUNTIF($AL$10:$AL211, $AI$11:$AI$259), ""), 0)),"")</f>
        <v/>
      </c>
      <c r="AM212" s="40" t="str">
        <f t="array" ref="AM212">IFERROR(INDEX($AI$11:$AI$259, MATCH(0, IF(TRUE=$AH$11:$AH$259, COUNTIF($AM$10:$AM211, $AI$11:$AI$259), ""), 0)),"")</f>
        <v/>
      </c>
      <c r="AN212" s="40"/>
      <c r="AQ212" s="35">
        <f t="shared" si="17"/>
        <v>0</v>
      </c>
    </row>
    <row r="213" spans="1:43">
      <c r="A213" s="35" t="str">
        <f>IFERROR(INDEX('G-1 All Habitats'!$AG$3:$AG$17,MATCH(E213,'G-1 All Habitats'!$AF$3:$AF$17,0)),"")</f>
        <v/>
      </c>
      <c r="B213" s="35" t="str">
        <f>IFERROR(INDEX('G-8 Condition Look up'!$I$4:$I$135,MATCH(G213,'G-8 Condition Look up'!$A$4:$A$135,0)),"")</f>
        <v/>
      </c>
      <c r="D213" s="287">
        <v>203</v>
      </c>
      <c r="E213" s="267"/>
      <c r="F213" s="61"/>
      <c r="G213" s="52" t="str">
        <f>IFERROR(INDEX('G-1 All Habitats'!$B$3:$B$134,MATCH(F213,'G-1 All Habitats'!$A$3:$A$134,0)),"")</f>
        <v/>
      </c>
      <c r="H213" s="53"/>
      <c r="I213" s="362" t="str">
        <f>IF(G213="","",VLOOKUP(G213,'G-1 All Habitats'!$B$2:$M$134,10,FALSE))</f>
        <v/>
      </c>
      <c r="J213" s="363" t="str">
        <f>IFERROR(VLOOKUP(I213,'G-1 All Habitats'!$V$3:$W$7,2,FALSE),"")</f>
        <v/>
      </c>
      <c r="K213" s="54"/>
      <c r="L213" s="363" t="str">
        <f>IFERROR(INDEX('G-8 Condition Look up'!$A$3:$H$135,MATCH(G213,'G-8 Condition Look up'!$A$3:$A$135,0),MATCH(K213,'G-8 Condition Look up'!$A$3:$H$3,0)),"")</f>
        <v/>
      </c>
      <c r="M213" s="54"/>
      <c r="N213" s="382" t="str">
        <f>IF(M213="","",IF(VLOOKUP(M213,'G-3 Multipliers'!$L$3:$N$6,2,FALSE)=0,"Spatial Data Missing",VLOOKUP(M213,'G-3 Multipliers'!$L$3:$N$6,2,FALSE)))</f>
        <v/>
      </c>
      <c r="O213" s="368" t="str">
        <f>IF(M213="","",IF(VLOOKUP(M213,'G-3 Multipliers'!$L$3:$N$6,3,FALSE)=0,"Spatial Data Missing",VLOOKUP(M213,'G-3 Multipliers'!$L$3:$N$6,3,FALSE)))</f>
        <v/>
      </c>
      <c r="P213" s="369" t="str">
        <f>IFERROR(VLOOKUP(G213,'G-1 All Habitats'!$B$2:$M$134,12,FALSE),"")</f>
        <v/>
      </c>
      <c r="Q213" s="376" t="str">
        <f>IFERROR(IF(P213="","",IF(AND(P213='G-1 All Habitats'!$X$3,T213&gt;0),U213+V213,IF(AND(P213='G-1 All Habitats'!$X$3,S213&gt;0),U213+V213,IF(AND(P213='G-1 All Habitats'!$X$3,AC213&gt;0),"Any Loss Unacceptable ⚠",IF(AND(P213='G-1 All Habitats'!$X$3,W213&gt;0),"Any Loss Unacceptable ⚠",H213*J213*L213*O213))))),"Check Data ▲")</f>
        <v/>
      </c>
      <c r="R213" s="38"/>
      <c r="S213" s="54"/>
      <c r="T213" s="55"/>
      <c r="U213" s="374" t="str">
        <f t="shared" si="18"/>
        <v/>
      </c>
      <c r="V213" s="374" t="str">
        <f t="shared" si="19"/>
        <v/>
      </c>
      <c r="W213" s="374" t="str">
        <f>IF(E213="","",IF(H213&lt;S213+T213,"Error in Areas ▲",IF(P213&lt;&gt;'G-1 All Habitats'!$X$3,H213-S213-T213,IF(AND(P213='G-1 All Habitats'!$X$3,Y213="Yes"),"Unacceptable Loss ⚠",IF(AND(P213='G-1 All Habitats'!$X$3,Y213="No"),AC213,IF(AND(P213='G-1 All Habitats'!$X$3,Y213=""),AC213,IF(AND(P213='G-1 All Habitats'!$X$3,AC213="None",AC213),IF(AND(P213='G-1 All Habitats'!$X$3,AC213&gt;0),H213-S213-T213))))))))</f>
        <v/>
      </c>
      <c r="X213" s="378" t="str">
        <f>IFERROR(IF(H213="","",IF(H213-S213-T213=0&lt;0,"Error in Areas ▲",IF(S213+T213&gt;H213,"Error in Areas ▲",IF(AND(P213='G-1 All Habitats'!$X$3,Y213="Yes"),"Alternative Compensation ✓",IF(W213=0,0,IF(P213='G-1 All Habitats'!$X$3,"Any Loss Unacceptable ▲",Q213-U213-V213)))))),"Check Data ▲")</f>
        <v/>
      </c>
      <c r="Y213" s="55"/>
      <c r="Z213" s="62"/>
      <c r="AA213" s="526"/>
      <c r="AB213" s="120"/>
      <c r="AC213" s="726" t="str">
        <f>IF(P213="","",IF(P213='G-1 All Habitats'!$X$3,H213-S213-T213,"None"))</f>
        <v/>
      </c>
      <c r="AD213" s="727" t="str">
        <f>IF(P213="","", IF(P213='G-1 All Habitats'!$X$3, AC213*J213*L213*O213,"None"))</f>
        <v/>
      </c>
      <c r="AF213" s="40" t="str">
        <f t="shared" si="15"/>
        <v/>
      </c>
      <c r="AG213" s="40" t="str">
        <f t="shared" si="16"/>
        <v/>
      </c>
      <c r="AH213" s="40" t="str">
        <f>IF(I213="","",IF(#REF!&gt;0,TRUE,FALSE))</f>
        <v/>
      </c>
      <c r="AI213" s="40">
        <v>203</v>
      </c>
      <c r="AJ213" s="40"/>
      <c r="AK213" s="40" t="str">
        <f t="array" ref="AK213">IFERROR(INDEX($AI$11:$AI$259, MATCH(0, IF(TRUE=$AF$11:$AF$259, COUNTIF($AK$10:$AK212, $AI$11:$AI$259), ""), 0)),"")</f>
        <v/>
      </c>
      <c r="AL213" s="40" t="str">
        <f t="array" ref="AL213">IFERROR(INDEX($AI$11:$AI$259, MATCH(0, IF(TRUE=$AG$11:$AG$259, COUNTIF($AL$10:$AL212, $AI$11:$AI$259), ""), 0)),"")</f>
        <v/>
      </c>
      <c r="AM213" s="40" t="str">
        <f t="array" ref="AM213">IFERROR(INDEX($AI$11:$AI$259, MATCH(0, IF(TRUE=$AH$11:$AH$259, COUNTIF($AM$10:$AM212, $AI$11:$AI$259), ""), 0)),"")</f>
        <v/>
      </c>
      <c r="AN213" s="40"/>
      <c r="AQ213" s="35">
        <f t="shared" si="17"/>
        <v>0</v>
      </c>
    </row>
    <row r="214" spans="1:43">
      <c r="A214" s="35" t="str">
        <f>IFERROR(INDEX('G-1 All Habitats'!$AG$3:$AG$17,MATCH(E214,'G-1 All Habitats'!$AF$3:$AF$17,0)),"")</f>
        <v/>
      </c>
      <c r="B214" s="35" t="str">
        <f>IFERROR(INDEX('G-8 Condition Look up'!$I$4:$I$135,MATCH(G214,'G-8 Condition Look up'!$A$4:$A$135,0)),"")</f>
        <v/>
      </c>
      <c r="D214" s="287">
        <v>204</v>
      </c>
      <c r="E214" s="267"/>
      <c r="F214" s="61"/>
      <c r="G214" s="52" t="str">
        <f>IFERROR(INDEX('G-1 All Habitats'!$B$3:$B$134,MATCH(F214,'G-1 All Habitats'!$A$3:$A$134,0)),"")</f>
        <v/>
      </c>
      <c r="H214" s="53"/>
      <c r="I214" s="362" t="str">
        <f>IF(G214="","",VLOOKUP(G214,'G-1 All Habitats'!$B$2:$M$134,10,FALSE))</f>
        <v/>
      </c>
      <c r="J214" s="363" t="str">
        <f>IFERROR(VLOOKUP(I214,'G-1 All Habitats'!$V$3:$W$7,2,FALSE),"")</f>
        <v/>
      </c>
      <c r="K214" s="54"/>
      <c r="L214" s="363" t="str">
        <f>IFERROR(INDEX('G-8 Condition Look up'!$A$3:$H$135,MATCH(G214,'G-8 Condition Look up'!$A$3:$A$135,0),MATCH(K214,'G-8 Condition Look up'!$A$3:$H$3,0)),"")</f>
        <v/>
      </c>
      <c r="M214" s="54"/>
      <c r="N214" s="382" t="str">
        <f>IF(M214="","",IF(VLOOKUP(M214,'G-3 Multipliers'!$L$3:$N$6,2,FALSE)=0,"Spatial Data Missing",VLOOKUP(M214,'G-3 Multipliers'!$L$3:$N$6,2,FALSE)))</f>
        <v/>
      </c>
      <c r="O214" s="368" t="str">
        <f>IF(M214="","",IF(VLOOKUP(M214,'G-3 Multipliers'!$L$3:$N$6,3,FALSE)=0,"Spatial Data Missing",VLOOKUP(M214,'G-3 Multipliers'!$L$3:$N$6,3,FALSE)))</f>
        <v/>
      </c>
      <c r="P214" s="369" t="str">
        <f>IFERROR(VLOOKUP(G214,'G-1 All Habitats'!$B$2:$M$134,12,FALSE),"")</f>
        <v/>
      </c>
      <c r="Q214" s="376" t="str">
        <f>IFERROR(IF(P214="","",IF(AND(P214='G-1 All Habitats'!$X$3,T214&gt;0),U214+V214,IF(AND(P214='G-1 All Habitats'!$X$3,S214&gt;0),U214+V214,IF(AND(P214='G-1 All Habitats'!$X$3,AC214&gt;0),"Any Loss Unacceptable ⚠",IF(AND(P214='G-1 All Habitats'!$X$3,W214&gt;0),"Any Loss Unacceptable ⚠",H214*J214*L214*O214))))),"Check Data ▲")</f>
        <v/>
      </c>
      <c r="R214" s="38"/>
      <c r="S214" s="54"/>
      <c r="T214" s="55"/>
      <c r="U214" s="374" t="str">
        <f t="shared" si="18"/>
        <v/>
      </c>
      <c r="V214" s="374" t="str">
        <f t="shared" si="19"/>
        <v/>
      </c>
      <c r="W214" s="374" t="str">
        <f>IF(E214="","",IF(H214&lt;S214+T214,"Error in Areas ▲",IF(P214&lt;&gt;'G-1 All Habitats'!$X$3,H214-S214-T214,IF(AND(P214='G-1 All Habitats'!$X$3,Y214="Yes"),"Unacceptable Loss ⚠",IF(AND(P214='G-1 All Habitats'!$X$3,Y214="No"),AC214,IF(AND(P214='G-1 All Habitats'!$X$3,Y214=""),AC214,IF(AND(P214='G-1 All Habitats'!$X$3,AC214="None",AC214),IF(AND(P214='G-1 All Habitats'!$X$3,AC214&gt;0),H214-S214-T214))))))))</f>
        <v/>
      </c>
      <c r="X214" s="378" t="str">
        <f>IFERROR(IF(H214="","",IF(H214-S214-T214=0&lt;0,"Error in Areas ▲",IF(S214+T214&gt;H214,"Error in Areas ▲",IF(AND(P214='G-1 All Habitats'!$X$3,Y214="Yes"),"Alternative Compensation ✓",IF(W214=0,0,IF(P214='G-1 All Habitats'!$X$3,"Any Loss Unacceptable ▲",Q214-U214-V214)))))),"Check Data ▲")</f>
        <v/>
      </c>
      <c r="Y214" s="55"/>
      <c r="Z214" s="62"/>
      <c r="AA214" s="526"/>
      <c r="AB214" s="120"/>
      <c r="AC214" s="726" t="str">
        <f>IF(P214="","",IF(P214='G-1 All Habitats'!$X$3,H214-S214-T214,"None"))</f>
        <v/>
      </c>
      <c r="AD214" s="727" t="str">
        <f>IF(P214="","", IF(P214='G-1 All Habitats'!$X$3, AC214*J214*L214*O214,"None"))</f>
        <v/>
      </c>
      <c r="AF214" s="40" t="str">
        <f t="shared" si="15"/>
        <v/>
      </c>
      <c r="AG214" s="40" t="str">
        <f t="shared" si="16"/>
        <v/>
      </c>
      <c r="AH214" s="40" t="str">
        <f>IF(I214="","",IF(#REF!&gt;0,TRUE,FALSE))</f>
        <v/>
      </c>
      <c r="AI214" s="40">
        <v>204</v>
      </c>
      <c r="AJ214" s="40"/>
      <c r="AK214" s="40" t="str">
        <f t="array" ref="AK214">IFERROR(INDEX($AI$11:$AI$259, MATCH(0, IF(TRUE=$AF$11:$AF$259, COUNTIF($AK$10:$AK213, $AI$11:$AI$259), ""), 0)),"")</f>
        <v/>
      </c>
      <c r="AL214" s="40" t="str">
        <f t="array" ref="AL214">IFERROR(INDEX($AI$11:$AI$259, MATCH(0, IF(TRUE=$AG$11:$AG$259, COUNTIF($AL$10:$AL213, $AI$11:$AI$259), ""), 0)),"")</f>
        <v/>
      </c>
      <c r="AM214" s="40" t="str">
        <f t="array" ref="AM214">IFERROR(INDEX($AI$11:$AI$259, MATCH(0, IF(TRUE=$AH$11:$AH$259, COUNTIF($AM$10:$AM213, $AI$11:$AI$259), ""), 0)),"")</f>
        <v/>
      </c>
      <c r="AN214" s="40"/>
      <c r="AQ214" s="35">
        <f t="shared" si="17"/>
        <v>0</v>
      </c>
    </row>
    <row r="215" spans="1:43">
      <c r="A215" s="35" t="str">
        <f>IFERROR(INDEX('G-1 All Habitats'!$AG$3:$AG$17,MATCH(E215,'G-1 All Habitats'!$AF$3:$AF$17,0)),"")</f>
        <v/>
      </c>
      <c r="B215" s="35" t="str">
        <f>IFERROR(INDEX('G-8 Condition Look up'!$I$4:$I$135,MATCH(G215,'G-8 Condition Look up'!$A$4:$A$135,0)),"")</f>
        <v/>
      </c>
      <c r="D215" s="287">
        <v>205</v>
      </c>
      <c r="E215" s="267"/>
      <c r="F215" s="61"/>
      <c r="G215" s="52" t="str">
        <f>IFERROR(INDEX('G-1 All Habitats'!$B$3:$B$134,MATCH(F215,'G-1 All Habitats'!$A$3:$A$134,0)),"")</f>
        <v/>
      </c>
      <c r="H215" s="53"/>
      <c r="I215" s="362" t="str">
        <f>IF(G215="","",VLOOKUP(G215,'G-1 All Habitats'!$B$2:$M$134,10,FALSE))</f>
        <v/>
      </c>
      <c r="J215" s="363" t="str">
        <f>IFERROR(VLOOKUP(I215,'G-1 All Habitats'!$V$3:$W$7,2,FALSE),"")</f>
        <v/>
      </c>
      <c r="K215" s="54"/>
      <c r="L215" s="363" t="str">
        <f>IFERROR(INDEX('G-8 Condition Look up'!$A$3:$H$135,MATCH(G215,'G-8 Condition Look up'!$A$3:$A$135,0),MATCH(K215,'G-8 Condition Look up'!$A$3:$H$3,0)),"")</f>
        <v/>
      </c>
      <c r="M215" s="54"/>
      <c r="N215" s="382" t="str">
        <f>IF(M215="","",IF(VLOOKUP(M215,'G-3 Multipliers'!$L$3:$N$6,2,FALSE)=0,"Spatial Data Missing",VLOOKUP(M215,'G-3 Multipliers'!$L$3:$N$6,2,FALSE)))</f>
        <v/>
      </c>
      <c r="O215" s="368" t="str">
        <f>IF(M215="","",IF(VLOOKUP(M215,'G-3 Multipliers'!$L$3:$N$6,3,FALSE)=0,"Spatial Data Missing",VLOOKUP(M215,'G-3 Multipliers'!$L$3:$N$6,3,FALSE)))</f>
        <v/>
      </c>
      <c r="P215" s="369" t="str">
        <f>IFERROR(VLOOKUP(G215,'G-1 All Habitats'!$B$2:$M$134,12,FALSE),"")</f>
        <v/>
      </c>
      <c r="Q215" s="376" t="str">
        <f>IFERROR(IF(P215="","",IF(AND(P215='G-1 All Habitats'!$X$3,T215&gt;0),U215+V215,IF(AND(P215='G-1 All Habitats'!$X$3,S215&gt;0),U215+V215,IF(AND(P215='G-1 All Habitats'!$X$3,AC215&gt;0),"Any Loss Unacceptable ⚠",IF(AND(P215='G-1 All Habitats'!$X$3,W215&gt;0),"Any Loss Unacceptable ⚠",H215*J215*L215*O215))))),"Check Data ▲")</f>
        <v/>
      </c>
      <c r="R215" s="38"/>
      <c r="S215" s="54"/>
      <c r="T215" s="55"/>
      <c r="U215" s="374" t="str">
        <f t="shared" si="18"/>
        <v/>
      </c>
      <c r="V215" s="374" t="str">
        <f t="shared" si="19"/>
        <v/>
      </c>
      <c r="W215" s="374" t="str">
        <f>IF(E215="","",IF(H215&lt;S215+T215,"Error in Areas ▲",IF(P215&lt;&gt;'G-1 All Habitats'!$X$3,H215-S215-T215,IF(AND(P215='G-1 All Habitats'!$X$3,Y215="Yes"),"Unacceptable Loss ⚠",IF(AND(P215='G-1 All Habitats'!$X$3,Y215="No"),AC215,IF(AND(P215='G-1 All Habitats'!$X$3,Y215=""),AC215,IF(AND(P215='G-1 All Habitats'!$X$3,AC215="None",AC215),IF(AND(P215='G-1 All Habitats'!$X$3,AC215&gt;0),H215-S215-T215))))))))</f>
        <v/>
      </c>
      <c r="X215" s="378" t="str">
        <f>IFERROR(IF(H215="","",IF(H215-S215-T215=0&lt;0,"Error in Areas ▲",IF(S215+T215&gt;H215,"Error in Areas ▲",IF(AND(P215='G-1 All Habitats'!$X$3,Y215="Yes"),"Alternative Compensation ✓",IF(W215=0,0,IF(P215='G-1 All Habitats'!$X$3,"Any Loss Unacceptable ▲",Q215-U215-V215)))))),"Check Data ▲")</f>
        <v/>
      </c>
      <c r="Y215" s="55"/>
      <c r="Z215" s="62"/>
      <c r="AA215" s="526"/>
      <c r="AB215" s="120"/>
      <c r="AC215" s="726" t="str">
        <f>IF(P215="","",IF(P215='G-1 All Habitats'!$X$3,H215-S215-T215,"None"))</f>
        <v/>
      </c>
      <c r="AD215" s="727" t="str">
        <f>IF(P215="","", IF(P215='G-1 All Habitats'!$X$3, AC215*J215*L215*O215,"None"))</f>
        <v/>
      </c>
      <c r="AF215" s="40" t="str">
        <f t="shared" si="15"/>
        <v/>
      </c>
      <c r="AG215" s="40" t="str">
        <f t="shared" si="16"/>
        <v/>
      </c>
      <c r="AH215" s="40" t="str">
        <f>IF(I215="","",IF(#REF!&gt;0,TRUE,FALSE))</f>
        <v/>
      </c>
      <c r="AI215" s="40">
        <v>205</v>
      </c>
      <c r="AJ215" s="40"/>
      <c r="AK215" s="40" t="str">
        <f t="array" ref="AK215">IFERROR(INDEX($AI$11:$AI$259, MATCH(0, IF(TRUE=$AF$11:$AF$259, COUNTIF($AK$10:$AK214, $AI$11:$AI$259), ""), 0)),"")</f>
        <v/>
      </c>
      <c r="AL215" s="40" t="str">
        <f t="array" ref="AL215">IFERROR(INDEX($AI$11:$AI$259, MATCH(0, IF(TRUE=$AG$11:$AG$259, COUNTIF($AL$10:$AL214, $AI$11:$AI$259), ""), 0)),"")</f>
        <v/>
      </c>
      <c r="AM215" s="40" t="str">
        <f t="array" ref="AM215">IFERROR(INDEX($AI$11:$AI$259, MATCH(0, IF(TRUE=$AH$11:$AH$259, COUNTIF($AM$10:$AM214, $AI$11:$AI$259), ""), 0)),"")</f>
        <v/>
      </c>
      <c r="AN215" s="40"/>
      <c r="AQ215" s="35">
        <f t="shared" si="17"/>
        <v>0</v>
      </c>
    </row>
    <row r="216" spans="1:43">
      <c r="A216" s="35" t="str">
        <f>IFERROR(INDEX('G-1 All Habitats'!$AG$3:$AG$17,MATCH(E216,'G-1 All Habitats'!$AF$3:$AF$17,0)),"")</f>
        <v/>
      </c>
      <c r="B216" s="35" t="str">
        <f>IFERROR(INDEX('G-8 Condition Look up'!$I$4:$I$135,MATCH(G216,'G-8 Condition Look up'!$A$4:$A$135,0)),"")</f>
        <v/>
      </c>
      <c r="D216" s="287">
        <v>206</v>
      </c>
      <c r="E216" s="267"/>
      <c r="F216" s="61"/>
      <c r="G216" s="52" t="str">
        <f>IFERROR(INDEX('G-1 All Habitats'!$B$3:$B$134,MATCH(F216,'G-1 All Habitats'!$A$3:$A$134,0)),"")</f>
        <v/>
      </c>
      <c r="H216" s="53"/>
      <c r="I216" s="362" t="str">
        <f>IF(G216="","",VLOOKUP(G216,'G-1 All Habitats'!$B$2:$M$134,10,FALSE))</f>
        <v/>
      </c>
      <c r="J216" s="363" t="str">
        <f>IFERROR(VLOOKUP(I216,'G-1 All Habitats'!$V$3:$W$7,2,FALSE),"")</f>
        <v/>
      </c>
      <c r="K216" s="54"/>
      <c r="L216" s="363" t="str">
        <f>IFERROR(INDEX('G-8 Condition Look up'!$A$3:$H$135,MATCH(G216,'G-8 Condition Look up'!$A$3:$A$135,0),MATCH(K216,'G-8 Condition Look up'!$A$3:$H$3,0)),"")</f>
        <v/>
      </c>
      <c r="M216" s="54"/>
      <c r="N216" s="382" t="str">
        <f>IF(M216="","",IF(VLOOKUP(M216,'G-3 Multipliers'!$L$3:$N$6,2,FALSE)=0,"Spatial Data Missing",VLOOKUP(M216,'G-3 Multipliers'!$L$3:$N$6,2,FALSE)))</f>
        <v/>
      </c>
      <c r="O216" s="368" t="str">
        <f>IF(M216="","",IF(VLOOKUP(M216,'G-3 Multipliers'!$L$3:$N$6,3,FALSE)=0,"Spatial Data Missing",VLOOKUP(M216,'G-3 Multipliers'!$L$3:$N$6,3,FALSE)))</f>
        <v/>
      </c>
      <c r="P216" s="369" t="str">
        <f>IFERROR(VLOOKUP(G216,'G-1 All Habitats'!$B$2:$M$134,12,FALSE),"")</f>
        <v/>
      </c>
      <c r="Q216" s="376" t="str">
        <f>IFERROR(IF(P216="","",IF(AND(P216='G-1 All Habitats'!$X$3,T216&gt;0),U216+V216,IF(AND(P216='G-1 All Habitats'!$X$3,S216&gt;0),U216+V216,IF(AND(P216='G-1 All Habitats'!$X$3,AC216&gt;0),"Any Loss Unacceptable ⚠",IF(AND(P216='G-1 All Habitats'!$X$3,W216&gt;0),"Any Loss Unacceptable ⚠",H216*J216*L216*O216))))),"Check Data ▲")</f>
        <v/>
      </c>
      <c r="R216" s="38"/>
      <c r="S216" s="54"/>
      <c r="T216" s="55"/>
      <c r="U216" s="374" t="str">
        <f t="shared" si="18"/>
        <v/>
      </c>
      <c r="V216" s="374" t="str">
        <f t="shared" si="19"/>
        <v/>
      </c>
      <c r="W216" s="374" t="str">
        <f>IF(E216="","",IF(H216&lt;S216+T216,"Error in Areas ▲",IF(P216&lt;&gt;'G-1 All Habitats'!$X$3,H216-S216-T216,IF(AND(P216='G-1 All Habitats'!$X$3,Y216="Yes"),"Unacceptable Loss ⚠",IF(AND(P216='G-1 All Habitats'!$X$3,Y216="No"),AC216,IF(AND(P216='G-1 All Habitats'!$X$3,Y216=""),AC216,IF(AND(P216='G-1 All Habitats'!$X$3,AC216="None",AC216),IF(AND(P216='G-1 All Habitats'!$X$3,AC216&gt;0),H216-S216-T216))))))))</f>
        <v/>
      </c>
      <c r="X216" s="378" t="str">
        <f>IFERROR(IF(H216="","",IF(H216-S216-T216=0&lt;0,"Error in Areas ▲",IF(S216+T216&gt;H216,"Error in Areas ▲",IF(AND(P216='G-1 All Habitats'!$X$3,Y216="Yes"),"Alternative Compensation ✓",IF(W216=0,0,IF(P216='G-1 All Habitats'!$X$3,"Any Loss Unacceptable ▲",Q216-U216-V216)))))),"Check Data ▲")</f>
        <v/>
      </c>
      <c r="Y216" s="55"/>
      <c r="Z216" s="62"/>
      <c r="AA216" s="526"/>
      <c r="AB216" s="120"/>
      <c r="AC216" s="726" t="str">
        <f>IF(P216="","",IF(P216='G-1 All Habitats'!$X$3,H216-S216-T216,"None"))</f>
        <v/>
      </c>
      <c r="AD216" s="727" t="str">
        <f>IF(P216="","", IF(P216='G-1 All Habitats'!$X$3, AC216*J216*L216*O216,"None"))</f>
        <v/>
      </c>
      <c r="AF216" s="40" t="str">
        <f t="shared" si="15"/>
        <v/>
      </c>
      <c r="AG216" s="40" t="str">
        <f t="shared" si="16"/>
        <v/>
      </c>
      <c r="AH216" s="40" t="str">
        <f>IF(I216="","",IF(#REF!&gt;0,TRUE,FALSE))</f>
        <v/>
      </c>
      <c r="AI216" s="40">
        <v>206</v>
      </c>
      <c r="AJ216" s="40"/>
      <c r="AK216" s="40" t="str">
        <f t="array" ref="AK216">IFERROR(INDEX($AI$11:$AI$259, MATCH(0, IF(TRUE=$AF$11:$AF$259, COUNTIF($AK$10:$AK215, $AI$11:$AI$259), ""), 0)),"")</f>
        <v/>
      </c>
      <c r="AL216" s="40" t="str">
        <f t="array" ref="AL216">IFERROR(INDEX($AI$11:$AI$259, MATCH(0, IF(TRUE=$AG$11:$AG$259, COUNTIF($AL$10:$AL215, $AI$11:$AI$259), ""), 0)),"")</f>
        <v/>
      </c>
      <c r="AM216" s="40" t="str">
        <f t="array" ref="AM216">IFERROR(INDEX($AI$11:$AI$259, MATCH(0, IF(TRUE=$AH$11:$AH$259, COUNTIF($AM$10:$AM215, $AI$11:$AI$259), ""), 0)),"")</f>
        <v/>
      </c>
      <c r="AN216" s="40"/>
      <c r="AQ216" s="35">
        <f t="shared" si="17"/>
        <v>0</v>
      </c>
    </row>
    <row r="217" spans="1:43">
      <c r="A217" s="35" t="str">
        <f>IFERROR(INDEX('G-1 All Habitats'!$AG$3:$AG$17,MATCH(E217,'G-1 All Habitats'!$AF$3:$AF$17,0)),"")</f>
        <v/>
      </c>
      <c r="B217" s="35" t="str">
        <f>IFERROR(INDEX('G-8 Condition Look up'!$I$4:$I$135,MATCH(G217,'G-8 Condition Look up'!$A$4:$A$135,0)),"")</f>
        <v/>
      </c>
      <c r="D217" s="287">
        <v>207</v>
      </c>
      <c r="E217" s="267"/>
      <c r="F217" s="61"/>
      <c r="G217" s="52" t="str">
        <f>IFERROR(INDEX('G-1 All Habitats'!$B$3:$B$134,MATCH(F217,'G-1 All Habitats'!$A$3:$A$134,0)),"")</f>
        <v/>
      </c>
      <c r="H217" s="53"/>
      <c r="I217" s="362" t="str">
        <f>IF(G217="","",VLOOKUP(G217,'G-1 All Habitats'!$B$2:$M$134,10,FALSE))</f>
        <v/>
      </c>
      <c r="J217" s="363" t="str">
        <f>IFERROR(VLOOKUP(I217,'G-1 All Habitats'!$V$3:$W$7,2,FALSE),"")</f>
        <v/>
      </c>
      <c r="K217" s="54"/>
      <c r="L217" s="363" t="str">
        <f>IFERROR(INDEX('G-8 Condition Look up'!$A$3:$H$135,MATCH(G217,'G-8 Condition Look up'!$A$3:$A$135,0),MATCH(K217,'G-8 Condition Look up'!$A$3:$H$3,0)),"")</f>
        <v/>
      </c>
      <c r="M217" s="54"/>
      <c r="N217" s="382" t="str">
        <f>IF(M217="","",IF(VLOOKUP(M217,'G-3 Multipliers'!$L$3:$N$6,2,FALSE)=0,"Spatial Data Missing",VLOOKUP(M217,'G-3 Multipliers'!$L$3:$N$6,2,FALSE)))</f>
        <v/>
      </c>
      <c r="O217" s="368" t="str">
        <f>IF(M217="","",IF(VLOOKUP(M217,'G-3 Multipliers'!$L$3:$N$6,3,FALSE)=0,"Spatial Data Missing",VLOOKUP(M217,'G-3 Multipliers'!$L$3:$N$6,3,FALSE)))</f>
        <v/>
      </c>
      <c r="P217" s="369" t="str">
        <f>IFERROR(VLOOKUP(G217,'G-1 All Habitats'!$B$2:$M$134,12,FALSE),"")</f>
        <v/>
      </c>
      <c r="Q217" s="376" t="str">
        <f>IFERROR(IF(P217="","",IF(AND(P217='G-1 All Habitats'!$X$3,T217&gt;0),U217+V217,IF(AND(P217='G-1 All Habitats'!$X$3,S217&gt;0),U217+V217,IF(AND(P217='G-1 All Habitats'!$X$3,AC217&gt;0),"Any Loss Unacceptable ⚠",IF(AND(P217='G-1 All Habitats'!$X$3,W217&gt;0),"Any Loss Unacceptable ⚠",H217*J217*L217*O217))))),"Check Data ▲")</f>
        <v/>
      </c>
      <c r="R217" s="38"/>
      <c r="S217" s="54"/>
      <c r="T217" s="55"/>
      <c r="U217" s="374" t="str">
        <f t="shared" si="18"/>
        <v/>
      </c>
      <c r="V217" s="374" t="str">
        <f t="shared" si="19"/>
        <v/>
      </c>
      <c r="W217" s="374" t="str">
        <f>IF(E217="","",IF(H217&lt;S217+T217,"Error in Areas ▲",IF(P217&lt;&gt;'G-1 All Habitats'!$X$3,H217-S217-T217,IF(AND(P217='G-1 All Habitats'!$X$3,Y217="Yes"),"Unacceptable Loss ⚠",IF(AND(P217='G-1 All Habitats'!$X$3,Y217="No"),AC217,IF(AND(P217='G-1 All Habitats'!$X$3,Y217=""),AC217,IF(AND(P217='G-1 All Habitats'!$X$3,AC217="None",AC217),IF(AND(P217='G-1 All Habitats'!$X$3,AC217&gt;0),H217-S217-T217))))))))</f>
        <v/>
      </c>
      <c r="X217" s="378" t="str">
        <f>IFERROR(IF(H217="","",IF(H217-S217-T217=0&lt;0,"Error in Areas ▲",IF(S217+T217&gt;H217,"Error in Areas ▲",IF(AND(P217='G-1 All Habitats'!$X$3,Y217="Yes"),"Alternative Compensation ✓",IF(W217=0,0,IF(P217='G-1 All Habitats'!$X$3,"Any Loss Unacceptable ▲",Q217-U217-V217)))))),"Check Data ▲")</f>
        <v/>
      </c>
      <c r="Y217" s="55"/>
      <c r="Z217" s="62"/>
      <c r="AA217" s="526"/>
      <c r="AB217" s="120"/>
      <c r="AC217" s="726" t="str">
        <f>IF(P217="","",IF(P217='G-1 All Habitats'!$X$3,H217-S217-T217,"None"))</f>
        <v/>
      </c>
      <c r="AD217" s="727" t="str">
        <f>IF(P217="","", IF(P217='G-1 All Habitats'!$X$3, AC217*J217*L217*O217,"None"))</f>
        <v/>
      </c>
      <c r="AF217" s="40" t="str">
        <f t="shared" si="15"/>
        <v/>
      </c>
      <c r="AG217" s="40" t="str">
        <f t="shared" si="16"/>
        <v/>
      </c>
      <c r="AH217" s="40" t="str">
        <f>IF(I217="","",IF(#REF!&gt;0,TRUE,FALSE))</f>
        <v/>
      </c>
      <c r="AI217" s="40">
        <v>207</v>
      </c>
      <c r="AJ217" s="40"/>
      <c r="AK217" s="40" t="str">
        <f t="array" ref="AK217">IFERROR(INDEX($AI$11:$AI$259, MATCH(0, IF(TRUE=$AF$11:$AF$259, COUNTIF($AK$10:$AK216, $AI$11:$AI$259), ""), 0)),"")</f>
        <v/>
      </c>
      <c r="AL217" s="40" t="str">
        <f t="array" ref="AL217">IFERROR(INDEX($AI$11:$AI$259, MATCH(0, IF(TRUE=$AG$11:$AG$259, COUNTIF($AL$10:$AL216, $AI$11:$AI$259), ""), 0)),"")</f>
        <v/>
      </c>
      <c r="AM217" s="40" t="str">
        <f t="array" ref="AM217">IFERROR(INDEX($AI$11:$AI$259, MATCH(0, IF(TRUE=$AH$11:$AH$259, COUNTIF($AM$10:$AM216, $AI$11:$AI$259), ""), 0)),"")</f>
        <v/>
      </c>
      <c r="AN217" s="40"/>
      <c r="AQ217" s="35">
        <f t="shared" si="17"/>
        <v>0</v>
      </c>
    </row>
    <row r="218" spans="1:43">
      <c r="A218" s="35" t="str">
        <f>IFERROR(INDEX('G-1 All Habitats'!$AG$3:$AG$17,MATCH(E218,'G-1 All Habitats'!$AF$3:$AF$17,0)),"")</f>
        <v/>
      </c>
      <c r="B218" s="35" t="str">
        <f>IFERROR(INDEX('G-8 Condition Look up'!$I$4:$I$135,MATCH(G218,'G-8 Condition Look up'!$A$4:$A$135,0)),"")</f>
        <v/>
      </c>
      <c r="D218" s="287">
        <v>208</v>
      </c>
      <c r="E218" s="267"/>
      <c r="F218" s="61"/>
      <c r="G218" s="52" t="str">
        <f>IFERROR(INDEX('G-1 All Habitats'!$B$3:$B$134,MATCH(F218,'G-1 All Habitats'!$A$3:$A$134,0)),"")</f>
        <v/>
      </c>
      <c r="H218" s="53"/>
      <c r="I218" s="362" t="str">
        <f>IF(G218="","",VLOOKUP(G218,'G-1 All Habitats'!$B$2:$M$134,10,FALSE))</f>
        <v/>
      </c>
      <c r="J218" s="363" t="str">
        <f>IFERROR(VLOOKUP(I218,'G-1 All Habitats'!$V$3:$W$7,2,FALSE),"")</f>
        <v/>
      </c>
      <c r="K218" s="54"/>
      <c r="L218" s="363" t="str">
        <f>IFERROR(INDEX('G-8 Condition Look up'!$A$3:$H$135,MATCH(G218,'G-8 Condition Look up'!$A$3:$A$135,0),MATCH(K218,'G-8 Condition Look up'!$A$3:$H$3,0)),"")</f>
        <v/>
      </c>
      <c r="M218" s="54"/>
      <c r="N218" s="382" t="str">
        <f>IF(M218="","",IF(VLOOKUP(M218,'G-3 Multipliers'!$L$3:$N$6,2,FALSE)=0,"Spatial Data Missing",VLOOKUP(M218,'G-3 Multipliers'!$L$3:$N$6,2,FALSE)))</f>
        <v/>
      </c>
      <c r="O218" s="368" t="str">
        <f>IF(M218="","",IF(VLOOKUP(M218,'G-3 Multipliers'!$L$3:$N$6,3,FALSE)=0,"Spatial Data Missing",VLOOKUP(M218,'G-3 Multipliers'!$L$3:$N$6,3,FALSE)))</f>
        <v/>
      </c>
      <c r="P218" s="369" t="str">
        <f>IFERROR(VLOOKUP(G218,'G-1 All Habitats'!$B$2:$M$134,12,FALSE),"")</f>
        <v/>
      </c>
      <c r="Q218" s="376" t="str">
        <f>IFERROR(IF(P218="","",IF(AND(P218='G-1 All Habitats'!$X$3,T218&gt;0),U218+V218,IF(AND(P218='G-1 All Habitats'!$X$3,S218&gt;0),U218+V218,IF(AND(P218='G-1 All Habitats'!$X$3,AC218&gt;0),"Any Loss Unacceptable ⚠",IF(AND(P218='G-1 All Habitats'!$X$3,W218&gt;0),"Any Loss Unacceptable ⚠",H218*J218*L218*O218))))),"Check Data ▲")</f>
        <v/>
      </c>
      <c r="R218" s="38"/>
      <c r="S218" s="54"/>
      <c r="T218" s="55"/>
      <c r="U218" s="374" t="str">
        <f t="shared" si="18"/>
        <v/>
      </c>
      <c r="V218" s="374" t="str">
        <f t="shared" si="19"/>
        <v/>
      </c>
      <c r="W218" s="374" t="str">
        <f>IF(E218="","",IF(H218&lt;S218+T218,"Error in Areas ▲",IF(P218&lt;&gt;'G-1 All Habitats'!$X$3,H218-S218-T218,IF(AND(P218='G-1 All Habitats'!$X$3,Y218="Yes"),"Unacceptable Loss ⚠",IF(AND(P218='G-1 All Habitats'!$X$3,Y218="No"),AC218,IF(AND(P218='G-1 All Habitats'!$X$3,Y218=""),AC218,IF(AND(P218='G-1 All Habitats'!$X$3,AC218="None",AC218),IF(AND(P218='G-1 All Habitats'!$X$3,AC218&gt;0),H218-S218-T218))))))))</f>
        <v/>
      </c>
      <c r="X218" s="378" t="str">
        <f>IFERROR(IF(H218="","",IF(H218-S218-T218=0&lt;0,"Error in Areas ▲",IF(S218+T218&gt;H218,"Error in Areas ▲",IF(AND(P218='G-1 All Habitats'!$X$3,Y218="Yes"),"Alternative Compensation ✓",IF(W218=0,0,IF(P218='G-1 All Habitats'!$X$3,"Any Loss Unacceptable ▲",Q218-U218-V218)))))),"Check Data ▲")</f>
        <v/>
      </c>
      <c r="Y218" s="55"/>
      <c r="Z218" s="62"/>
      <c r="AA218" s="526"/>
      <c r="AB218" s="120"/>
      <c r="AC218" s="726" t="str">
        <f>IF(P218="","",IF(P218='G-1 All Habitats'!$X$3,H218-S218-T218,"None"))</f>
        <v/>
      </c>
      <c r="AD218" s="727" t="str">
        <f>IF(P218="","", IF(P218='G-1 All Habitats'!$X$3, AC218*J218*L218*O218,"None"))</f>
        <v/>
      </c>
      <c r="AF218" s="40" t="str">
        <f t="shared" si="15"/>
        <v/>
      </c>
      <c r="AG218" s="40" t="str">
        <f t="shared" si="16"/>
        <v/>
      </c>
      <c r="AH218" s="40" t="str">
        <f>IF(I218="","",IF(#REF!&gt;0,TRUE,FALSE))</f>
        <v/>
      </c>
      <c r="AI218" s="40">
        <v>208</v>
      </c>
      <c r="AJ218" s="40"/>
      <c r="AK218" s="40" t="str">
        <f t="array" ref="AK218">IFERROR(INDEX($AI$11:$AI$259, MATCH(0, IF(TRUE=$AF$11:$AF$259, COUNTIF($AK$10:$AK217, $AI$11:$AI$259), ""), 0)),"")</f>
        <v/>
      </c>
      <c r="AL218" s="40" t="str">
        <f t="array" ref="AL218">IFERROR(INDEX($AI$11:$AI$259, MATCH(0, IF(TRUE=$AG$11:$AG$259, COUNTIF($AL$10:$AL217, $AI$11:$AI$259), ""), 0)),"")</f>
        <v/>
      </c>
      <c r="AM218" s="40" t="str">
        <f t="array" ref="AM218">IFERROR(INDEX($AI$11:$AI$259, MATCH(0, IF(TRUE=$AH$11:$AH$259, COUNTIF($AM$10:$AM217, $AI$11:$AI$259), ""), 0)),"")</f>
        <v/>
      </c>
      <c r="AN218" s="40"/>
      <c r="AQ218" s="35">
        <f t="shared" si="17"/>
        <v>0</v>
      </c>
    </row>
    <row r="219" spans="1:43">
      <c r="A219" s="35" t="str">
        <f>IFERROR(INDEX('G-1 All Habitats'!$AG$3:$AG$17,MATCH(E219,'G-1 All Habitats'!$AF$3:$AF$17,0)),"")</f>
        <v/>
      </c>
      <c r="B219" s="35" t="str">
        <f>IFERROR(INDEX('G-8 Condition Look up'!$I$4:$I$135,MATCH(G219,'G-8 Condition Look up'!$A$4:$A$135,0)),"")</f>
        <v/>
      </c>
      <c r="D219" s="287">
        <v>209</v>
      </c>
      <c r="E219" s="267"/>
      <c r="F219" s="61"/>
      <c r="G219" s="52" t="str">
        <f>IFERROR(INDEX('G-1 All Habitats'!$B$3:$B$134,MATCH(F219,'G-1 All Habitats'!$A$3:$A$134,0)),"")</f>
        <v/>
      </c>
      <c r="H219" s="53"/>
      <c r="I219" s="362" t="str">
        <f>IF(G219="","",VLOOKUP(G219,'G-1 All Habitats'!$B$2:$M$134,10,FALSE))</f>
        <v/>
      </c>
      <c r="J219" s="363" t="str">
        <f>IFERROR(VLOOKUP(I219,'G-1 All Habitats'!$V$3:$W$7,2,FALSE),"")</f>
        <v/>
      </c>
      <c r="K219" s="54"/>
      <c r="L219" s="363" t="str">
        <f>IFERROR(INDEX('G-8 Condition Look up'!$A$3:$H$135,MATCH(G219,'G-8 Condition Look up'!$A$3:$A$135,0),MATCH(K219,'G-8 Condition Look up'!$A$3:$H$3,0)),"")</f>
        <v/>
      </c>
      <c r="M219" s="54"/>
      <c r="N219" s="382" t="str">
        <f>IF(M219="","",IF(VLOOKUP(M219,'G-3 Multipliers'!$L$3:$N$6,2,FALSE)=0,"Spatial Data Missing",VLOOKUP(M219,'G-3 Multipliers'!$L$3:$N$6,2,FALSE)))</f>
        <v/>
      </c>
      <c r="O219" s="368" t="str">
        <f>IF(M219="","",IF(VLOOKUP(M219,'G-3 Multipliers'!$L$3:$N$6,3,FALSE)=0,"Spatial Data Missing",VLOOKUP(M219,'G-3 Multipliers'!$L$3:$N$6,3,FALSE)))</f>
        <v/>
      </c>
      <c r="P219" s="369" t="str">
        <f>IFERROR(VLOOKUP(G219,'G-1 All Habitats'!$B$2:$M$134,12,FALSE),"")</f>
        <v/>
      </c>
      <c r="Q219" s="376" t="str">
        <f>IFERROR(IF(P219="","",IF(AND(P219='G-1 All Habitats'!$X$3,T219&gt;0),U219+V219,IF(AND(P219='G-1 All Habitats'!$X$3,S219&gt;0),U219+V219,IF(AND(P219='G-1 All Habitats'!$X$3,AC219&gt;0),"Any Loss Unacceptable ⚠",IF(AND(P219='G-1 All Habitats'!$X$3,W219&gt;0),"Any Loss Unacceptable ⚠",H219*J219*L219*O219))))),"Check Data ▲")</f>
        <v/>
      </c>
      <c r="R219" s="38"/>
      <c r="S219" s="54"/>
      <c r="T219" s="55"/>
      <c r="U219" s="374" t="str">
        <f t="shared" si="18"/>
        <v/>
      </c>
      <c r="V219" s="374" t="str">
        <f t="shared" si="19"/>
        <v/>
      </c>
      <c r="W219" s="374" t="str">
        <f>IF(E219="","",IF(H219&lt;S219+T219,"Error in Areas ▲",IF(P219&lt;&gt;'G-1 All Habitats'!$X$3,H219-S219-T219,IF(AND(P219='G-1 All Habitats'!$X$3,Y219="Yes"),"Unacceptable Loss ⚠",IF(AND(P219='G-1 All Habitats'!$X$3,Y219="No"),AC219,IF(AND(P219='G-1 All Habitats'!$X$3,Y219=""),AC219,IF(AND(P219='G-1 All Habitats'!$X$3,AC219="None",AC219),IF(AND(P219='G-1 All Habitats'!$X$3,AC219&gt;0),H219-S219-T219))))))))</f>
        <v/>
      </c>
      <c r="X219" s="378" t="str">
        <f>IFERROR(IF(H219="","",IF(H219-S219-T219=0&lt;0,"Error in Areas ▲",IF(S219+T219&gt;H219,"Error in Areas ▲",IF(AND(P219='G-1 All Habitats'!$X$3,Y219="Yes"),"Alternative Compensation ✓",IF(W219=0,0,IF(P219='G-1 All Habitats'!$X$3,"Any Loss Unacceptable ▲",Q219-U219-V219)))))),"Check Data ▲")</f>
        <v/>
      </c>
      <c r="Y219" s="55"/>
      <c r="Z219" s="62"/>
      <c r="AA219" s="526"/>
      <c r="AB219" s="120"/>
      <c r="AC219" s="726" t="str">
        <f>IF(P219="","",IF(P219='G-1 All Habitats'!$X$3,H219-S219-T219,"None"))</f>
        <v/>
      </c>
      <c r="AD219" s="727" t="str">
        <f>IF(P219="","", IF(P219='G-1 All Habitats'!$X$3, AC219*J219*L219*O219,"None"))</f>
        <v/>
      </c>
      <c r="AF219" s="40" t="str">
        <f t="shared" si="15"/>
        <v/>
      </c>
      <c r="AG219" s="40" t="str">
        <f t="shared" si="16"/>
        <v/>
      </c>
      <c r="AH219" s="40" t="str">
        <f>IF(I219="","",IF(#REF!&gt;0,TRUE,FALSE))</f>
        <v/>
      </c>
      <c r="AI219" s="40">
        <v>209</v>
      </c>
      <c r="AJ219" s="40"/>
      <c r="AK219" s="40" t="str">
        <f t="array" ref="AK219">IFERROR(INDEX($AI$11:$AI$259, MATCH(0, IF(TRUE=$AF$11:$AF$259, COUNTIF($AK$10:$AK218, $AI$11:$AI$259), ""), 0)),"")</f>
        <v/>
      </c>
      <c r="AL219" s="40" t="str">
        <f t="array" ref="AL219">IFERROR(INDEX($AI$11:$AI$259, MATCH(0, IF(TRUE=$AG$11:$AG$259, COUNTIF($AL$10:$AL218, $AI$11:$AI$259), ""), 0)),"")</f>
        <v/>
      </c>
      <c r="AM219" s="40" t="str">
        <f t="array" ref="AM219">IFERROR(INDEX($AI$11:$AI$259, MATCH(0, IF(TRUE=$AH$11:$AH$259, COUNTIF($AM$10:$AM218, $AI$11:$AI$259), ""), 0)),"")</f>
        <v/>
      </c>
      <c r="AN219" s="40"/>
      <c r="AQ219" s="35">
        <f t="shared" si="17"/>
        <v>0</v>
      </c>
    </row>
    <row r="220" spans="1:43">
      <c r="A220" s="35" t="str">
        <f>IFERROR(INDEX('G-1 All Habitats'!$AG$3:$AG$17,MATCH(E220,'G-1 All Habitats'!$AF$3:$AF$17,0)),"")</f>
        <v/>
      </c>
      <c r="B220" s="35" t="str">
        <f>IFERROR(INDEX('G-8 Condition Look up'!$I$4:$I$135,MATCH(G220,'G-8 Condition Look up'!$A$4:$A$135,0)),"")</f>
        <v/>
      </c>
      <c r="D220" s="287">
        <v>210</v>
      </c>
      <c r="E220" s="267"/>
      <c r="F220" s="61"/>
      <c r="G220" s="52" t="str">
        <f>IFERROR(INDEX('G-1 All Habitats'!$B$3:$B$134,MATCH(F220,'G-1 All Habitats'!$A$3:$A$134,0)),"")</f>
        <v/>
      </c>
      <c r="H220" s="53"/>
      <c r="I220" s="362" t="str">
        <f>IF(G220="","",VLOOKUP(G220,'G-1 All Habitats'!$B$2:$M$134,10,FALSE))</f>
        <v/>
      </c>
      <c r="J220" s="363" t="str">
        <f>IFERROR(VLOOKUP(I220,'G-1 All Habitats'!$V$3:$W$7,2,FALSE),"")</f>
        <v/>
      </c>
      <c r="K220" s="54"/>
      <c r="L220" s="363" t="str">
        <f>IFERROR(INDEX('G-8 Condition Look up'!$A$3:$H$135,MATCH(G220,'G-8 Condition Look up'!$A$3:$A$135,0),MATCH(K220,'G-8 Condition Look up'!$A$3:$H$3,0)),"")</f>
        <v/>
      </c>
      <c r="M220" s="54"/>
      <c r="N220" s="382" t="str">
        <f>IF(M220="","",IF(VLOOKUP(M220,'G-3 Multipliers'!$L$3:$N$6,2,FALSE)=0,"Spatial Data Missing",VLOOKUP(M220,'G-3 Multipliers'!$L$3:$N$6,2,FALSE)))</f>
        <v/>
      </c>
      <c r="O220" s="368" t="str">
        <f>IF(M220="","",IF(VLOOKUP(M220,'G-3 Multipliers'!$L$3:$N$6,3,FALSE)=0,"Spatial Data Missing",VLOOKUP(M220,'G-3 Multipliers'!$L$3:$N$6,3,FALSE)))</f>
        <v/>
      </c>
      <c r="P220" s="369" t="str">
        <f>IFERROR(VLOOKUP(G220,'G-1 All Habitats'!$B$2:$M$134,12,FALSE),"")</f>
        <v/>
      </c>
      <c r="Q220" s="376" t="str">
        <f>IFERROR(IF(P220="","",IF(AND(P220='G-1 All Habitats'!$X$3,T220&gt;0),U220+V220,IF(AND(P220='G-1 All Habitats'!$X$3,S220&gt;0),U220+V220,IF(AND(P220='G-1 All Habitats'!$X$3,AC220&gt;0),"Any Loss Unacceptable ⚠",IF(AND(P220='G-1 All Habitats'!$X$3,W220&gt;0),"Any Loss Unacceptable ⚠",H220*J220*L220*O220))))),"Check Data ▲")</f>
        <v/>
      </c>
      <c r="R220" s="38"/>
      <c r="S220" s="54"/>
      <c r="T220" s="55"/>
      <c r="U220" s="374" t="str">
        <f t="shared" si="18"/>
        <v/>
      </c>
      <c r="V220" s="374" t="str">
        <f t="shared" si="19"/>
        <v/>
      </c>
      <c r="W220" s="374" t="str">
        <f>IF(E220="","",IF(H220&lt;S220+T220,"Error in Areas ▲",IF(P220&lt;&gt;'G-1 All Habitats'!$X$3,H220-S220-T220,IF(AND(P220='G-1 All Habitats'!$X$3,Y220="Yes"),"Unacceptable Loss ⚠",IF(AND(P220='G-1 All Habitats'!$X$3,Y220="No"),AC220,IF(AND(P220='G-1 All Habitats'!$X$3,Y220=""),AC220,IF(AND(P220='G-1 All Habitats'!$X$3,AC220="None",AC220),IF(AND(P220='G-1 All Habitats'!$X$3,AC220&gt;0),H220-S220-T220))))))))</f>
        <v/>
      </c>
      <c r="X220" s="378" t="str">
        <f>IFERROR(IF(H220="","",IF(H220-S220-T220=0&lt;0,"Error in Areas ▲",IF(S220+T220&gt;H220,"Error in Areas ▲",IF(AND(P220='G-1 All Habitats'!$X$3,Y220="Yes"),"Alternative Compensation ✓",IF(W220=0,0,IF(P220='G-1 All Habitats'!$X$3,"Any Loss Unacceptable ▲",Q220-U220-V220)))))),"Check Data ▲")</f>
        <v/>
      </c>
      <c r="Y220" s="55"/>
      <c r="Z220" s="62"/>
      <c r="AA220" s="526"/>
      <c r="AB220" s="120"/>
      <c r="AC220" s="726" t="str">
        <f>IF(P220="","",IF(P220='G-1 All Habitats'!$X$3,H220-S220-T220,"None"))</f>
        <v/>
      </c>
      <c r="AD220" s="727" t="str">
        <f>IF(P220="","", IF(P220='G-1 All Habitats'!$X$3, AC220*J220*L220*O220,"None"))</f>
        <v/>
      </c>
      <c r="AF220" s="40" t="str">
        <f t="shared" si="15"/>
        <v/>
      </c>
      <c r="AG220" s="40" t="str">
        <f t="shared" si="16"/>
        <v/>
      </c>
      <c r="AH220" s="40" t="str">
        <f>IF(I220="","",IF(#REF!&gt;0,TRUE,FALSE))</f>
        <v/>
      </c>
      <c r="AI220" s="40">
        <v>210</v>
      </c>
      <c r="AJ220" s="40"/>
      <c r="AK220" s="40" t="str">
        <f t="array" ref="AK220">IFERROR(INDEX($AI$11:$AI$259, MATCH(0, IF(TRUE=$AF$11:$AF$259, COUNTIF($AK$10:$AK219, $AI$11:$AI$259), ""), 0)),"")</f>
        <v/>
      </c>
      <c r="AL220" s="40" t="str">
        <f t="array" ref="AL220">IFERROR(INDEX($AI$11:$AI$259, MATCH(0, IF(TRUE=$AG$11:$AG$259, COUNTIF($AL$10:$AL219, $AI$11:$AI$259), ""), 0)),"")</f>
        <v/>
      </c>
      <c r="AM220" s="40" t="str">
        <f t="array" ref="AM220">IFERROR(INDEX($AI$11:$AI$259, MATCH(0, IF(TRUE=$AH$11:$AH$259, COUNTIF($AM$10:$AM219, $AI$11:$AI$259), ""), 0)),"")</f>
        <v/>
      </c>
      <c r="AN220" s="40"/>
      <c r="AQ220" s="35">
        <f t="shared" si="17"/>
        <v>0</v>
      </c>
    </row>
    <row r="221" spans="1:43">
      <c r="A221" s="35" t="str">
        <f>IFERROR(INDEX('G-1 All Habitats'!$AG$3:$AG$17,MATCH(E221,'G-1 All Habitats'!$AF$3:$AF$17,0)),"")</f>
        <v/>
      </c>
      <c r="B221" s="35" t="str">
        <f>IFERROR(INDEX('G-8 Condition Look up'!$I$4:$I$135,MATCH(G221,'G-8 Condition Look up'!$A$4:$A$135,0)),"")</f>
        <v/>
      </c>
      <c r="D221" s="287">
        <v>211</v>
      </c>
      <c r="E221" s="267"/>
      <c r="F221" s="61"/>
      <c r="G221" s="52" t="str">
        <f>IFERROR(INDEX('G-1 All Habitats'!$B$3:$B$134,MATCH(F221,'G-1 All Habitats'!$A$3:$A$134,0)),"")</f>
        <v/>
      </c>
      <c r="H221" s="53"/>
      <c r="I221" s="362" t="str">
        <f>IF(G221="","",VLOOKUP(G221,'G-1 All Habitats'!$B$2:$M$134,10,FALSE))</f>
        <v/>
      </c>
      <c r="J221" s="363" t="str">
        <f>IFERROR(VLOOKUP(I221,'G-1 All Habitats'!$V$3:$W$7,2,FALSE),"")</f>
        <v/>
      </c>
      <c r="K221" s="54"/>
      <c r="L221" s="363" t="str">
        <f>IFERROR(INDEX('G-8 Condition Look up'!$A$3:$H$135,MATCH(G221,'G-8 Condition Look up'!$A$3:$A$135,0),MATCH(K221,'G-8 Condition Look up'!$A$3:$H$3,0)),"")</f>
        <v/>
      </c>
      <c r="M221" s="54"/>
      <c r="N221" s="382" t="str">
        <f>IF(M221="","",IF(VLOOKUP(M221,'G-3 Multipliers'!$L$3:$N$6,2,FALSE)=0,"Spatial Data Missing",VLOOKUP(M221,'G-3 Multipliers'!$L$3:$N$6,2,FALSE)))</f>
        <v/>
      </c>
      <c r="O221" s="368" t="str">
        <f>IF(M221="","",IF(VLOOKUP(M221,'G-3 Multipliers'!$L$3:$N$6,3,FALSE)=0,"Spatial Data Missing",VLOOKUP(M221,'G-3 Multipliers'!$L$3:$N$6,3,FALSE)))</f>
        <v/>
      </c>
      <c r="P221" s="369" t="str">
        <f>IFERROR(VLOOKUP(G221,'G-1 All Habitats'!$B$2:$M$134,12,FALSE),"")</f>
        <v/>
      </c>
      <c r="Q221" s="376" t="str">
        <f>IFERROR(IF(P221="","",IF(AND(P221='G-1 All Habitats'!$X$3,T221&gt;0),U221+V221,IF(AND(P221='G-1 All Habitats'!$X$3,S221&gt;0),U221+V221,IF(AND(P221='G-1 All Habitats'!$X$3,AC221&gt;0),"Any Loss Unacceptable ⚠",IF(AND(P221='G-1 All Habitats'!$X$3,W221&gt;0),"Any Loss Unacceptable ⚠",H221*J221*L221*O221))))),"Check Data ▲")</f>
        <v/>
      </c>
      <c r="R221" s="38"/>
      <c r="S221" s="54"/>
      <c r="T221" s="55"/>
      <c r="U221" s="374" t="str">
        <f t="shared" si="18"/>
        <v/>
      </c>
      <c r="V221" s="374" t="str">
        <f t="shared" si="19"/>
        <v/>
      </c>
      <c r="W221" s="374" t="str">
        <f>IF(E221="","",IF(H221&lt;S221+T221,"Error in Areas ▲",IF(P221&lt;&gt;'G-1 All Habitats'!$X$3,H221-S221-T221,IF(AND(P221='G-1 All Habitats'!$X$3,Y221="Yes"),"Unacceptable Loss ⚠",IF(AND(P221='G-1 All Habitats'!$X$3,Y221="No"),AC221,IF(AND(P221='G-1 All Habitats'!$X$3,Y221=""),AC221,IF(AND(P221='G-1 All Habitats'!$X$3,AC221="None",AC221),IF(AND(P221='G-1 All Habitats'!$X$3,AC221&gt;0),H221-S221-T221))))))))</f>
        <v/>
      </c>
      <c r="X221" s="378" t="str">
        <f>IFERROR(IF(H221="","",IF(H221-S221-T221=0&lt;0,"Error in Areas ▲",IF(S221+T221&gt;H221,"Error in Areas ▲",IF(AND(P221='G-1 All Habitats'!$X$3,Y221="Yes"),"Alternative Compensation ✓",IF(W221=0,0,IF(P221='G-1 All Habitats'!$X$3,"Any Loss Unacceptable ▲",Q221-U221-V221)))))),"Check Data ▲")</f>
        <v/>
      </c>
      <c r="Y221" s="55"/>
      <c r="Z221" s="62"/>
      <c r="AA221" s="526"/>
      <c r="AB221" s="120"/>
      <c r="AC221" s="726" t="str">
        <f>IF(P221="","",IF(P221='G-1 All Habitats'!$X$3,H221-S221-T221,"None"))</f>
        <v/>
      </c>
      <c r="AD221" s="727" t="str">
        <f>IF(P221="","", IF(P221='G-1 All Habitats'!$X$3, AC221*J221*L221*O221,"None"))</f>
        <v/>
      </c>
      <c r="AF221" s="40" t="str">
        <f t="shared" si="15"/>
        <v/>
      </c>
      <c r="AG221" s="40" t="str">
        <f t="shared" si="16"/>
        <v/>
      </c>
      <c r="AH221" s="40" t="str">
        <f>IF(I221="","",IF(#REF!&gt;0,TRUE,FALSE))</f>
        <v/>
      </c>
      <c r="AI221" s="40">
        <v>211</v>
      </c>
      <c r="AJ221" s="40"/>
      <c r="AK221" s="40" t="str">
        <f t="array" ref="AK221">IFERROR(INDEX($AI$11:$AI$259, MATCH(0, IF(TRUE=$AF$11:$AF$259, COUNTIF($AK$10:$AK220, $AI$11:$AI$259), ""), 0)),"")</f>
        <v/>
      </c>
      <c r="AL221" s="40" t="str">
        <f t="array" ref="AL221">IFERROR(INDEX($AI$11:$AI$259, MATCH(0, IF(TRUE=$AG$11:$AG$259, COUNTIF($AL$10:$AL220, $AI$11:$AI$259), ""), 0)),"")</f>
        <v/>
      </c>
      <c r="AM221" s="40" t="str">
        <f t="array" ref="AM221">IFERROR(INDEX($AI$11:$AI$259, MATCH(0, IF(TRUE=$AH$11:$AH$259, COUNTIF($AM$10:$AM220, $AI$11:$AI$259), ""), 0)),"")</f>
        <v/>
      </c>
      <c r="AN221" s="40"/>
      <c r="AQ221" s="35">
        <f t="shared" si="17"/>
        <v>0</v>
      </c>
    </row>
    <row r="222" spans="1:43">
      <c r="A222" s="35" t="str">
        <f>IFERROR(INDEX('G-1 All Habitats'!$AG$3:$AG$17,MATCH(E222,'G-1 All Habitats'!$AF$3:$AF$17,0)),"")</f>
        <v/>
      </c>
      <c r="B222" s="35" t="str">
        <f>IFERROR(INDEX('G-8 Condition Look up'!$I$4:$I$135,MATCH(G222,'G-8 Condition Look up'!$A$4:$A$135,0)),"")</f>
        <v/>
      </c>
      <c r="D222" s="287">
        <v>212</v>
      </c>
      <c r="E222" s="267"/>
      <c r="F222" s="61"/>
      <c r="G222" s="52" t="str">
        <f>IFERROR(INDEX('G-1 All Habitats'!$B$3:$B$134,MATCH(F222,'G-1 All Habitats'!$A$3:$A$134,0)),"")</f>
        <v/>
      </c>
      <c r="H222" s="53"/>
      <c r="I222" s="362" t="str">
        <f>IF(G222="","",VLOOKUP(G222,'G-1 All Habitats'!$B$2:$M$134,10,FALSE))</f>
        <v/>
      </c>
      <c r="J222" s="363" t="str">
        <f>IFERROR(VLOOKUP(I222,'G-1 All Habitats'!$V$3:$W$7,2,FALSE),"")</f>
        <v/>
      </c>
      <c r="K222" s="54"/>
      <c r="L222" s="363" t="str">
        <f>IFERROR(INDEX('G-8 Condition Look up'!$A$3:$H$135,MATCH(G222,'G-8 Condition Look up'!$A$3:$A$135,0),MATCH(K222,'G-8 Condition Look up'!$A$3:$H$3,0)),"")</f>
        <v/>
      </c>
      <c r="M222" s="54"/>
      <c r="N222" s="382" t="str">
        <f>IF(M222="","",IF(VLOOKUP(M222,'G-3 Multipliers'!$L$3:$N$6,2,FALSE)=0,"Spatial Data Missing",VLOOKUP(M222,'G-3 Multipliers'!$L$3:$N$6,2,FALSE)))</f>
        <v/>
      </c>
      <c r="O222" s="368" t="str">
        <f>IF(M222="","",IF(VLOOKUP(M222,'G-3 Multipliers'!$L$3:$N$6,3,FALSE)=0,"Spatial Data Missing",VLOOKUP(M222,'G-3 Multipliers'!$L$3:$N$6,3,FALSE)))</f>
        <v/>
      </c>
      <c r="P222" s="369" t="str">
        <f>IFERROR(VLOOKUP(G222,'G-1 All Habitats'!$B$2:$M$134,12,FALSE),"")</f>
        <v/>
      </c>
      <c r="Q222" s="376" t="str">
        <f>IFERROR(IF(P222="","",IF(AND(P222='G-1 All Habitats'!$X$3,T222&gt;0),U222+V222,IF(AND(P222='G-1 All Habitats'!$X$3,S222&gt;0),U222+V222,IF(AND(P222='G-1 All Habitats'!$X$3,AC222&gt;0),"Any Loss Unacceptable ⚠",IF(AND(P222='G-1 All Habitats'!$X$3,W222&gt;0),"Any Loss Unacceptable ⚠",H222*J222*L222*O222))))),"Check Data ▲")</f>
        <v/>
      </c>
      <c r="R222" s="38"/>
      <c r="S222" s="54"/>
      <c r="T222" s="55"/>
      <c r="U222" s="374" t="str">
        <f t="shared" si="18"/>
        <v/>
      </c>
      <c r="V222" s="374" t="str">
        <f t="shared" si="19"/>
        <v/>
      </c>
      <c r="W222" s="374" t="str">
        <f>IF(E222="","",IF(H222&lt;S222+T222,"Error in Areas ▲",IF(P222&lt;&gt;'G-1 All Habitats'!$X$3,H222-S222-T222,IF(AND(P222='G-1 All Habitats'!$X$3,Y222="Yes"),"Unacceptable Loss ⚠",IF(AND(P222='G-1 All Habitats'!$X$3,Y222="No"),AC222,IF(AND(P222='G-1 All Habitats'!$X$3,Y222=""),AC222,IF(AND(P222='G-1 All Habitats'!$X$3,AC222="None",AC222),IF(AND(P222='G-1 All Habitats'!$X$3,AC222&gt;0),H222-S222-T222))))))))</f>
        <v/>
      </c>
      <c r="X222" s="378" t="str">
        <f>IFERROR(IF(H222="","",IF(H222-S222-T222=0&lt;0,"Error in Areas ▲",IF(S222+T222&gt;H222,"Error in Areas ▲",IF(AND(P222='G-1 All Habitats'!$X$3,Y222="Yes"),"Alternative Compensation ✓",IF(W222=0,0,IF(P222='G-1 All Habitats'!$X$3,"Any Loss Unacceptable ▲",Q222-U222-V222)))))),"Check Data ▲")</f>
        <v/>
      </c>
      <c r="Y222" s="55"/>
      <c r="Z222" s="62"/>
      <c r="AA222" s="526"/>
      <c r="AB222" s="120"/>
      <c r="AC222" s="726" t="str">
        <f>IF(P222="","",IF(P222='G-1 All Habitats'!$X$3,H222-S222-T222,"None"))</f>
        <v/>
      </c>
      <c r="AD222" s="727" t="str">
        <f>IF(P222="","", IF(P222='G-1 All Habitats'!$X$3, AC222*J222*L222*O222,"None"))</f>
        <v/>
      </c>
      <c r="AF222" s="40" t="str">
        <f t="shared" si="15"/>
        <v/>
      </c>
      <c r="AG222" s="40" t="str">
        <f t="shared" si="16"/>
        <v/>
      </c>
      <c r="AH222" s="40" t="str">
        <f>IF(I222="","",IF(#REF!&gt;0,TRUE,FALSE))</f>
        <v/>
      </c>
      <c r="AI222" s="40">
        <v>212</v>
      </c>
      <c r="AJ222" s="40"/>
      <c r="AK222" s="40" t="str">
        <f t="array" ref="AK222">IFERROR(INDEX($AI$11:$AI$259, MATCH(0, IF(TRUE=$AF$11:$AF$259, COUNTIF($AK$10:$AK221, $AI$11:$AI$259), ""), 0)),"")</f>
        <v/>
      </c>
      <c r="AL222" s="40" t="str">
        <f t="array" ref="AL222">IFERROR(INDEX($AI$11:$AI$259, MATCH(0, IF(TRUE=$AG$11:$AG$259, COUNTIF($AL$10:$AL221, $AI$11:$AI$259), ""), 0)),"")</f>
        <v/>
      </c>
      <c r="AM222" s="40" t="str">
        <f t="array" ref="AM222">IFERROR(INDEX($AI$11:$AI$259, MATCH(0, IF(TRUE=$AH$11:$AH$259, COUNTIF($AM$10:$AM221, $AI$11:$AI$259), ""), 0)),"")</f>
        <v/>
      </c>
      <c r="AN222" s="40"/>
      <c r="AQ222" s="35">
        <f t="shared" si="17"/>
        <v>0</v>
      </c>
    </row>
    <row r="223" spans="1:43">
      <c r="A223" s="35" t="str">
        <f>IFERROR(INDEX('G-1 All Habitats'!$AG$3:$AG$17,MATCH(E223,'G-1 All Habitats'!$AF$3:$AF$17,0)),"")</f>
        <v/>
      </c>
      <c r="B223" s="35" t="str">
        <f>IFERROR(INDEX('G-8 Condition Look up'!$I$4:$I$135,MATCH(G223,'G-8 Condition Look up'!$A$4:$A$135,0)),"")</f>
        <v/>
      </c>
      <c r="D223" s="287">
        <v>213</v>
      </c>
      <c r="E223" s="267"/>
      <c r="F223" s="61"/>
      <c r="G223" s="52" t="str">
        <f>IFERROR(INDEX('G-1 All Habitats'!$B$3:$B$134,MATCH(F223,'G-1 All Habitats'!$A$3:$A$134,0)),"")</f>
        <v/>
      </c>
      <c r="H223" s="53"/>
      <c r="I223" s="362" t="str">
        <f>IF(G223="","",VLOOKUP(G223,'G-1 All Habitats'!$B$2:$M$134,10,FALSE))</f>
        <v/>
      </c>
      <c r="J223" s="363" t="str">
        <f>IFERROR(VLOOKUP(I223,'G-1 All Habitats'!$V$3:$W$7,2,FALSE),"")</f>
        <v/>
      </c>
      <c r="K223" s="54"/>
      <c r="L223" s="363" t="str">
        <f>IFERROR(INDEX('G-8 Condition Look up'!$A$3:$H$135,MATCH(G223,'G-8 Condition Look up'!$A$3:$A$135,0),MATCH(K223,'G-8 Condition Look up'!$A$3:$H$3,0)),"")</f>
        <v/>
      </c>
      <c r="M223" s="54"/>
      <c r="N223" s="382" t="str">
        <f>IF(M223="","",IF(VLOOKUP(M223,'G-3 Multipliers'!$L$3:$N$6,2,FALSE)=0,"Spatial Data Missing",VLOOKUP(M223,'G-3 Multipliers'!$L$3:$N$6,2,FALSE)))</f>
        <v/>
      </c>
      <c r="O223" s="368" t="str">
        <f>IF(M223="","",IF(VLOOKUP(M223,'G-3 Multipliers'!$L$3:$N$6,3,FALSE)=0,"Spatial Data Missing",VLOOKUP(M223,'G-3 Multipliers'!$L$3:$N$6,3,FALSE)))</f>
        <v/>
      </c>
      <c r="P223" s="369" t="str">
        <f>IFERROR(VLOOKUP(G223,'G-1 All Habitats'!$B$2:$M$134,12,FALSE),"")</f>
        <v/>
      </c>
      <c r="Q223" s="376" t="str">
        <f>IFERROR(IF(P223="","",IF(AND(P223='G-1 All Habitats'!$X$3,T223&gt;0),U223+V223,IF(AND(P223='G-1 All Habitats'!$X$3,S223&gt;0),U223+V223,IF(AND(P223='G-1 All Habitats'!$X$3,AC223&gt;0),"Any Loss Unacceptable ⚠",IF(AND(P223='G-1 All Habitats'!$X$3,W223&gt;0),"Any Loss Unacceptable ⚠",H223*J223*L223*O223))))),"Check Data ▲")</f>
        <v/>
      </c>
      <c r="R223" s="38"/>
      <c r="S223" s="54"/>
      <c r="T223" s="55"/>
      <c r="U223" s="374" t="str">
        <f t="shared" si="18"/>
        <v/>
      </c>
      <c r="V223" s="374" t="str">
        <f t="shared" si="19"/>
        <v/>
      </c>
      <c r="W223" s="374" t="str">
        <f>IF(E223="","",IF(H223&lt;S223+T223,"Error in Areas ▲",IF(P223&lt;&gt;'G-1 All Habitats'!$X$3,H223-S223-T223,IF(AND(P223='G-1 All Habitats'!$X$3,Y223="Yes"),"Unacceptable Loss ⚠",IF(AND(P223='G-1 All Habitats'!$X$3,Y223="No"),AC223,IF(AND(P223='G-1 All Habitats'!$X$3,Y223=""),AC223,IF(AND(P223='G-1 All Habitats'!$X$3,AC223="None",AC223),IF(AND(P223='G-1 All Habitats'!$X$3,AC223&gt;0),H223-S223-T223))))))))</f>
        <v/>
      </c>
      <c r="X223" s="378" t="str">
        <f>IFERROR(IF(H223="","",IF(H223-S223-T223=0&lt;0,"Error in Areas ▲",IF(S223+T223&gt;H223,"Error in Areas ▲",IF(AND(P223='G-1 All Habitats'!$X$3,Y223="Yes"),"Alternative Compensation ✓",IF(W223=0,0,IF(P223='G-1 All Habitats'!$X$3,"Any Loss Unacceptable ▲",Q223-U223-V223)))))),"Check Data ▲")</f>
        <v/>
      </c>
      <c r="Y223" s="55"/>
      <c r="Z223" s="62"/>
      <c r="AA223" s="526"/>
      <c r="AB223" s="120"/>
      <c r="AC223" s="726" t="str">
        <f>IF(P223="","",IF(P223='G-1 All Habitats'!$X$3,H223-S223-T223,"None"))</f>
        <v/>
      </c>
      <c r="AD223" s="727" t="str">
        <f>IF(P223="","", IF(P223='G-1 All Habitats'!$X$3, AC223*J223*L223*O223,"None"))</f>
        <v/>
      </c>
      <c r="AF223" s="40" t="str">
        <f t="shared" si="15"/>
        <v/>
      </c>
      <c r="AG223" s="40" t="str">
        <f t="shared" si="16"/>
        <v/>
      </c>
      <c r="AH223" s="40" t="str">
        <f>IF(I223="","",IF(#REF!&gt;0,TRUE,FALSE))</f>
        <v/>
      </c>
      <c r="AI223" s="40">
        <v>213</v>
      </c>
      <c r="AJ223" s="40"/>
      <c r="AK223" s="40" t="str">
        <f t="array" ref="AK223">IFERROR(INDEX($AI$11:$AI$259, MATCH(0, IF(TRUE=$AF$11:$AF$259, COUNTIF($AK$10:$AK222, $AI$11:$AI$259), ""), 0)),"")</f>
        <v/>
      </c>
      <c r="AL223" s="40" t="str">
        <f t="array" ref="AL223">IFERROR(INDEX($AI$11:$AI$259, MATCH(0, IF(TRUE=$AG$11:$AG$259, COUNTIF($AL$10:$AL222, $AI$11:$AI$259), ""), 0)),"")</f>
        <v/>
      </c>
      <c r="AM223" s="40" t="str">
        <f t="array" ref="AM223">IFERROR(INDEX($AI$11:$AI$259, MATCH(0, IF(TRUE=$AH$11:$AH$259, COUNTIF($AM$10:$AM222, $AI$11:$AI$259), ""), 0)),"")</f>
        <v/>
      </c>
      <c r="AN223" s="40"/>
      <c r="AQ223" s="35">
        <f t="shared" si="17"/>
        <v>0</v>
      </c>
    </row>
    <row r="224" spans="1:43">
      <c r="A224" s="35" t="str">
        <f>IFERROR(INDEX('G-1 All Habitats'!$AG$3:$AG$17,MATCH(E224,'G-1 All Habitats'!$AF$3:$AF$17,0)),"")</f>
        <v/>
      </c>
      <c r="B224" s="35" t="str">
        <f>IFERROR(INDEX('G-8 Condition Look up'!$I$4:$I$135,MATCH(G224,'G-8 Condition Look up'!$A$4:$A$135,0)),"")</f>
        <v/>
      </c>
      <c r="D224" s="287">
        <v>214</v>
      </c>
      <c r="E224" s="267"/>
      <c r="F224" s="61"/>
      <c r="G224" s="52" t="str">
        <f>IFERROR(INDEX('G-1 All Habitats'!$B$3:$B$134,MATCH(F224,'G-1 All Habitats'!$A$3:$A$134,0)),"")</f>
        <v/>
      </c>
      <c r="H224" s="53"/>
      <c r="I224" s="362" t="str">
        <f>IF(G224="","",VLOOKUP(G224,'G-1 All Habitats'!$B$2:$M$134,10,FALSE))</f>
        <v/>
      </c>
      <c r="J224" s="363" t="str">
        <f>IFERROR(VLOOKUP(I224,'G-1 All Habitats'!$V$3:$W$7,2,FALSE),"")</f>
        <v/>
      </c>
      <c r="K224" s="54"/>
      <c r="L224" s="363" t="str">
        <f>IFERROR(INDEX('G-8 Condition Look up'!$A$3:$H$135,MATCH(G224,'G-8 Condition Look up'!$A$3:$A$135,0),MATCH(K224,'G-8 Condition Look up'!$A$3:$H$3,0)),"")</f>
        <v/>
      </c>
      <c r="M224" s="54"/>
      <c r="N224" s="382" t="str">
        <f>IF(M224="","",IF(VLOOKUP(M224,'G-3 Multipliers'!$L$3:$N$6,2,FALSE)=0,"Spatial Data Missing",VLOOKUP(M224,'G-3 Multipliers'!$L$3:$N$6,2,FALSE)))</f>
        <v/>
      </c>
      <c r="O224" s="368" t="str">
        <f>IF(M224="","",IF(VLOOKUP(M224,'G-3 Multipliers'!$L$3:$N$6,3,FALSE)=0,"Spatial Data Missing",VLOOKUP(M224,'G-3 Multipliers'!$L$3:$N$6,3,FALSE)))</f>
        <v/>
      </c>
      <c r="P224" s="369" t="str">
        <f>IFERROR(VLOOKUP(G224,'G-1 All Habitats'!$B$2:$M$134,12,FALSE),"")</f>
        <v/>
      </c>
      <c r="Q224" s="376" t="str">
        <f>IFERROR(IF(P224="","",IF(AND(P224='G-1 All Habitats'!$X$3,T224&gt;0),U224+V224,IF(AND(P224='G-1 All Habitats'!$X$3,S224&gt;0),U224+V224,IF(AND(P224='G-1 All Habitats'!$X$3,AC224&gt;0),"Any Loss Unacceptable ⚠",IF(AND(P224='G-1 All Habitats'!$X$3,W224&gt;0),"Any Loss Unacceptable ⚠",H224*J224*L224*O224))))),"Check Data ▲")</f>
        <v/>
      </c>
      <c r="R224" s="38"/>
      <c r="S224" s="54"/>
      <c r="T224" s="55"/>
      <c r="U224" s="374" t="str">
        <f t="shared" si="18"/>
        <v/>
      </c>
      <c r="V224" s="374" t="str">
        <f t="shared" si="19"/>
        <v/>
      </c>
      <c r="W224" s="374" t="str">
        <f>IF(E224="","",IF(H224&lt;S224+T224,"Error in Areas ▲",IF(P224&lt;&gt;'G-1 All Habitats'!$X$3,H224-S224-T224,IF(AND(P224='G-1 All Habitats'!$X$3,Y224="Yes"),"Unacceptable Loss ⚠",IF(AND(P224='G-1 All Habitats'!$X$3,Y224="No"),AC224,IF(AND(P224='G-1 All Habitats'!$X$3,Y224=""),AC224,IF(AND(P224='G-1 All Habitats'!$X$3,AC224="None",AC224),IF(AND(P224='G-1 All Habitats'!$X$3,AC224&gt;0),H224-S224-T224))))))))</f>
        <v/>
      </c>
      <c r="X224" s="378" t="str">
        <f>IFERROR(IF(H224="","",IF(H224-S224-T224=0&lt;0,"Error in Areas ▲",IF(S224+T224&gt;H224,"Error in Areas ▲",IF(AND(P224='G-1 All Habitats'!$X$3,Y224="Yes"),"Alternative Compensation ✓",IF(W224=0,0,IF(P224='G-1 All Habitats'!$X$3,"Any Loss Unacceptable ▲",Q224-U224-V224)))))),"Check Data ▲")</f>
        <v/>
      </c>
      <c r="Y224" s="55"/>
      <c r="Z224" s="62"/>
      <c r="AA224" s="526"/>
      <c r="AB224" s="120"/>
      <c r="AC224" s="726" t="str">
        <f>IF(P224="","",IF(P224='G-1 All Habitats'!$X$3,H224-S224-T224,"None"))</f>
        <v/>
      </c>
      <c r="AD224" s="727" t="str">
        <f>IF(P224="","", IF(P224='G-1 All Habitats'!$X$3, AC224*J224*L224*O224,"None"))</f>
        <v/>
      </c>
      <c r="AF224" s="40" t="str">
        <f t="shared" si="15"/>
        <v/>
      </c>
      <c r="AG224" s="40" t="str">
        <f t="shared" si="16"/>
        <v/>
      </c>
      <c r="AH224" s="40" t="str">
        <f>IF(I224="","",IF(#REF!&gt;0,TRUE,FALSE))</f>
        <v/>
      </c>
      <c r="AI224" s="40">
        <v>214</v>
      </c>
      <c r="AJ224" s="40"/>
      <c r="AK224" s="40" t="str">
        <f t="array" ref="AK224">IFERROR(INDEX($AI$11:$AI$259, MATCH(0, IF(TRUE=$AF$11:$AF$259, COUNTIF($AK$10:$AK223, $AI$11:$AI$259), ""), 0)),"")</f>
        <v/>
      </c>
      <c r="AL224" s="40" t="str">
        <f t="array" ref="AL224">IFERROR(INDEX($AI$11:$AI$259, MATCH(0, IF(TRUE=$AG$11:$AG$259, COUNTIF($AL$10:$AL223, $AI$11:$AI$259), ""), 0)),"")</f>
        <v/>
      </c>
      <c r="AM224" s="40" t="str">
        <f t="array" ref="AM224">IFERROR(INDEX($AI$11:$AI$259, MATCH(0, IF(TRUE=$AH$11:$AH$259, COUNTIF($AM$10:$AM223, $AI$11:$AI$259), ""), 0)),"")</f>
        <v/>
      </c>
      <c r="AN224" s="40"/>
      <c r="AQ224" s="35">
        <f t="shared" si="17"/>
        <v>0</v>
      </c>
    </row>
    <row r="225" spans="1:43">
      <c r="A225" s="35" t="str">
        <f>IFERROR(INDEX('G-1 All Habitats'!$AG$3:$AG$17,MATCH(E225,'G-1 All Habitats'!$AF$3:$AF$17,0)),"")</f>
        <v/>
      </c>
      <c r="B225" s="35" t="str">
        <f>IFERROR(INDEX('G-8 Condition Look up'!$I$4:$I$135,MATCH(G225,'G-8 Condition Look up'!$A$4:$A$135,0)),"")</f>
        <v/>
      </c>
      <c r="D225" s="287">
        <v>215</v>
      </c>
      <c r="E225" s="267"/>
      <c r="F225" s="61"/>
      <c r="G225" s="52" t="str">
        <f>IFERROR(INDEX('G-1 All Habitats'!$B$3:$B$134,MATCH(F225,'G-1 All Habitats'!$A$3:$A$134,0)),"")</f>
        <v/>
      </c>
      <c r="H225" s="53"/>
      <c r="I225" s="362" t="str">
        <f>IF(G225="","",VLOOKUP(G225,'G-1 All Habitats'!$B$2:$M$134,10,FALSE))</f>
        <v/>
      </c>
      <c r="J225" s="363" t="str">
        <f>IFERROR(VLOOKUP(I225,'G-1 All Habitats'!$V$3:$W$7,2,FALSE),"")</f>
        <v/>
      </c>
      <c r="K225" s="54"/>
      <c r="L225" s="363" t="str">
        <f>IFERROR(INDEX('G-8 Condition Look up'!$A$3:$H$135,MATCH(G225,'G-8 Condition Look up'!$A$3:$A$135,0),MATCH(K225,'G-8 Condition Look up'!$A$3:$H$3,0)),"")</f>
        <v/>
      </c>
      <c r="M225" s="54"/>
      <c r="N225" s="382" t="str">
        <f>IF(M225="","",IF(VLOOKUP(M225,'G-3 Multipliers'!$L$3:$N$6,2,FALSE)=0,"Spatial Data Missing",VLOOKUP(M225,'G-3 Multipliers'!$L$3:$N$6,2,FALSE)))</f>
        <v/>
      </c>
      <c r="O225" s="368" t="str">
        <f>IF(M225="","",IF(VLOOKUP(M225,'G-3 Multipliers'!$L$3:$N$6,3,FALSE)=0,"Spatial Data Missing",VLOOKUP(M225,'G-3 Multipliers'!$L$3:$N$6,3,FALSE)))</f>
        <v/>
      </c>
      <c r="P225" s="369" t="str">
        <f>IFERROR(VLOOKUP(G225,'G-1 All Habitats'!$B$2:$M$134,12,FALSE),"")</f>
        <v/>
      </c>
      <c r="Q225" s="376" t="str">
        <f>IFERROR(IF(P225="","",IF(AND(P225='G-1 All Habitats'!$X$3,T225&gt;0),U225+V225,IF(AND(P225='G-1 All Habitats'!$X$3,S225&gt;0),U225+V225,IF(AND(P225='G-1 All Habitats'!$X$3,AC225&gt;0),"Any Loss Unacceptable ⚠",IF(AND(P225='G-1 All Habitats'!$X$3,W225&gt;0),"Any Loss Unacceptable ⚠",H225*J225*L225*O225))))),"Check Data ▲")</f>
        <v/>
      </c>
      <c r="R225" s="38"/>
      <c r="S225" s="54"/>
      <c r="T225" s="55"/>
      <c r="U225" s="374" t="str">
        <f t="shared" si="18"/>
        <v/>
      </c>
      <c r="V225" s="374" t="str">
        <f t="shared" si="19"/>
        <v/>
      </c>
      <c r="W225" s="374" t="str">
        <f>IF(E225="","",IF(H225&lt;S225+T225,"Error in Areas ▲",IF(P225&lt;&gt;'G-1 All Habitats'!$X$3,H225-S225-T225,IF(AND(P225='G-1 All Habitats'!$X$3,Y225="Yes"),"Unacceptable Loss ⚠",IF(AND(P225='G-1 All Habitats'!$X$3,Y225="No"),AC225,IF(AND(P225='G-1 All Habitats'!$X$3,Y225=""),AC225,IF(AND(P225='G-1 All Habitats'!$X$3,AC225="None",AC225),IF(AND(P225='G-1 All Habitats'!$X$3,AC225&gt;0),H225-S225-T225))))))))</f>
        <v/>
      </c>
      <c r="X225" s="378" t="str">
        <f>IFERROR(IF(H225="","",IF(H225-S225-T225=0&lt;0,"Error in Areas ▲",IF(S225+T225&gt;H225,"Error in Areas ▲",IF(AND(P225='G-1 All Habitats'!$X$3,Y225="Yes"),"Alternative Compensation ✓",IF(W225=0,0,IF(P225='G-1 All Habitats'!$X$3,"Any Loss Unacceptable ▲",Q225-U225-V225)))))),"Check Data ▲")</f>
        <v/>
      </c>
      <c r="Y225" s="55"/>
      <c r="Z225" s="62"/>
      <c r="AA225" s="526"/>
      <c r="AB225" s="120"/>
      <c r="AC225" s="726" t="str">
        <f>IF(P225="","",IF(P225='G-1 All Habitats'!$X$3,H225-S225-T225,"None"))</f>
        <v/>
      </c>
      <c r="AD225" s="727" t="str">
        <f>IF(P225="","", IF(P225='G-1 All Habitats'!$X$3, AC225*J225*L225*O225,"None"))</f>
        <v/>
      </c>
      <c r="AF225" s="40" t="str">
        <f t="shared" si="15"/>
        <v/>
      </c>
      <c r="AG225" s="40" t="str">
        <f t="shared" si="16"/>
        <v/>
      </c>
      <c r="AH225" s="40" t="str">
        <f>IF(I225="","",IF(#REF!&gt;0,TRUE,FALSE))</f>
        <v/>
      </c>
      <c r="AI225" s="40">
        <v>215</v>
      </c>
      <c r="AJ225" s="40"/>
      <c r="AK225" s="40" t="str">
        <f t="array" ref="AK225">IFERROR(INDEX($AI$11:$AI$259, MATCH(0, IF(TRUE=$AF$11:$AF$259, COUNTIF($AK$10:$AK224, $AI$11:$AI$259), ""), 0)),"")</f>
        <v/>
      </c>
      <c r="AL225" s="40" t="str">
        <f t="array" ref="AL225">IFERROR(INDEX($AI$11:$AI$259, MATCH(0, IF(TRUE=$AG$11:$AG$259, COUNTIF($AL$10:$AL224, $AI$11:$AI$259), ""), 0)),"")</f>
        <v/>
      </c>
      <c r="AM225" s="40" t="str">
        <f t="array" ref="AM225">IFERROR(INDEX($AI$11:$AI$259, MATCH(0, IF(TRUE=$AH$11:$AH$259, COUNTIF($AM$10:$AM224, $AI$11:$AI$259), ""), 0)),"")</f>
        <v/>
      </c>
      <c r="AN225" s="40"/>
      <c r="AQ225" s="35">
        <f t="shared" si="17"/>
        <v>0</v>
      </c>
    </row>
    <row r="226" spans="1:43">
      <c r="A226" s="35" t="str">
        <f>IFERROR(INDEX('G-1 All Habitats'!$AG$3:$AG$17,MATCH(E226,'G-1 All Habitats'!$AF$3:$AF$17,0)),"")</f>
        <v/>
      </c>
      <c r="B226" s="35" t="str">
        <f>IFERROR(INDEX('G-8 Condition Look up'!$I$4:$I$135,MATCH(G226,'G-8 Condition Look up'!$A$4:$A$135,0)),"")</f>
        <v/>
      </c>
      <c r="D226" s="287">
        <v>216</v>
      </c>
      <c r="E226" s="267"/>
      <c r="F226" s="61"/>
      <c r="G226" s="52" t="str">
        <f>IFERROR(INDEX('G-1 All Habitats'!$B$3:$B$134,MATCH(F226,'G-1 All Habitats'!$A$3:$A$134,0)),"")</f>
        <v/>
      </c>
      <c r="H226" s="53"/>
      <c r="I226" s="362" t="str">
        <f>IF(G226="","",VLOOKUP(G226,'G-1 All Habitats'!$B$2:$M$134,10,FALSE))</f>
        <v/>
      </c>
      <c r="J226" s="363" t="str">
        <f>IFERROR(VLOOKUP(I226,'G-1 All Habitats'!$V$3:$W$7,2,FALSE),"")</f>
        <v/>
      </c>
      <c r="K226" s="54"/>
      <c r="L226" s="363" t="str">
        <f>IFERROR(INDEX('G-8 Condition Look up'!$A$3:$H$135,MATCH(G226,'G-8 Condition Look up'!$A$3:$A$135,0),MATCH(K226,'G-8 Condition Look up'!$A$3:$H$3,0)),"")</f>
        <v/>
      </c>
      <c r="M226" s="54"/>
      <c r="N226" s="382" t="str">
        <f>IF(M226="","",IF(VLOOKUP(M226,'G-3 Multipliers'!$L$3:$N$6,2,FALSE)=0,"Spatial Data Missing",VLOOKUP(M226,'G-3 Multipliers'!$L$3:$N$6,2,FALSE)))</f>
        <v/>
      </c>
      <c r="O226" s="368" t="str">
        <f>IF(M226="","",IF(VLOOKUP(M226,'G-3 Multipliers'!$L$3:$N$6,3,FALSE)=0,"Spatial Data Missing",VLOOKUP(M226,'G-3 Multipliers'!$L$3:$N$6,3,FALSE)))</f>
        <v/>
      </c>
      <c r="P226" s="369" t="str">
        <f>IFERROR(VLOOKUP(G226,'G-1 All Habitats'!$B$2:$M$134,12,FALSE),"")</f>
        <v/>
      </c>
      <c r="Q226" s="376" t="str">
        <f>IFERROR(IF(P226="","",IF(AND(P226='G-1 All Habitats'!$X$3,T226&gt;0),U226+V226,IF(AND(P226='G-1 All Habitats'!$X$3,S226&gt;0),U226+V226,IF(AND(P226='G-1 All Habitats'!$X$3,AC226&gt;0),"Any Loss Unacceptable ⚠",IF(AND(P226='G-1 All Habitats'!$X$3,W226&gt;0),"Any Loss Unacceptable ⚠",H226*J226*L226*O226))))),"Check Data ▲")</f>
        <v/>
      </c>
      <c r="R226" s="38"/>
      <c r="S226" s="54"/>
      <c r="T226" s="55"/>
      <c r="U226" s="374" t="str">
        <f t="shared" si="18"/>
        <v/>
      </c>
      <c r="V226" s="374" t="str">
        <f t="shared" si="19"/>
        <v/>
      </c>
      <c r="W226" s="374" t="str">
        <f>IF(E226="","",IF(H226&lt;S226+T226,"Error in Areas ▲",IF(P226&lt;&gt;'G-1 All Habitats'!$X$3,H226-S226-T226,IF(AND(P226='G-1 All Habitats'!$X$3,Y226="Yes"),"Unacceptable Loss ⚠",IF(AND(P226='G-1 All Habitats'!$X$3,Y226="No"),AC226,IF(AND(P226='G-1 All Habitats'!$X$3,Y226=""),AC226,IF(AND(P226='G-1 All Habitats'!$X$3,AC226="None",AC226),IF(AND(P226='G-1 All Habitats'!$X$3,AC226&gt;0),H226-S226-T226))))))))</f>
        <v/>
      </c>
      <c r="X226" s="378" t="str">
        <f>IFERROR(IF(H226="","",IF(H226-S226-T226=0&lt;0,"Error in Areas ▲",IF(S226+T226&gt;H226,"Error in Areas ▲",IF(AND(P226='G-1 All Habitats'!$X$3,Y226="Yes"),"Alternative Compensation ✓",IF(W226=0,0,IF(P226='G-1 All Habitats'!$X$3,"Any Loss Unacceptable ▲",Q226-U226-V226)))))),"Check Data ▲")</f>
        <v/>
      </c>
      <c r="Y226" s="55"/>
      <c r="Z226" s="62"/>
      <c r="AA226" s="526"/>
      <c r="AB226" s="120"/>
      <c r="AC226" s="726" t="str">
        <f>IF(P226="","",IF(P226='G-1 All Habitats'!$X$3,H226-S226-T226,"None"))</f>
        <v/>
      </c>
      <c r="AD226" s="727" t="str">
        <f>IF(P226="","", IF(P226='G-1 All Habitats'!$X$3, AC226*J226*L226*O226,"None"))</f>
        <v/>
      </c>
      <c r="AF226" s="40" t="str">
        <f t="shared" si="15"/>
        <v/>
      </c>
      <c r="AG226" s="40" t="str">
        <f t="shared" si="16"/>
        <v/>
      </c>
      <c r="AH226" s="40" t="str">
        <f>IF(I226="","",IF(#REF!&gt;0,TRUE,FALSE))</f>
        <v/>
      </c>
      <c r="AI226" s="40">
        <v>216</v>
      </c>
      <c r="AJ226" s="40"/>
      <c r="AK226" s="40" t="str">
        <f t="array" ref="AK226">IFERROR(INDEX($AI$11:$AI$259, MATCH(0, IF(TRUE=$AF$11:$AF$259, COUNTIF($AK$10:$AK225, $AI$11:$AI$259), ""), 0)),"")</f>
        <v/>
      </c>
      <c r="AL226" s="40" t="str">
        <f t="array" ref="AL226">IFERROR(INDEX($AI$11:$AI$259, MATCH(0, IF(TRUE=$AG$11:$AG$259, COUNTIF($AL$10:$AL225, $AI$11:$AI$259), ""), 0)),"")</f>
        <v/>
      </c>
      <c r="AM226" s="40" t="str">
        <f t="array" ref="AM226">IFERROR(INDEX($AI$11:$AI$259, MATCH(0, IF(TRUE=$AH$11:$AH$259, COUNTIF($AM$10:$AM225, $AI$11:$AI$259), ""), 0)),"")</f>
        <v/>
      </c>
      <c r="AN226" s="40"/>
      <c r="AQ226" s="35">
        <f t="shared" si="17"/>
        <v>0</v>
      </c>
    </row>
    <row r="227" spans="1:43">
      <c r="A227" s="35" t="str">
        <f>IFERROR(INDEX('G-1 All Habitats'!$AG$3:$AG$17,MATCH(E227,'G-1 All Habitats'!$AF$3:$AF$17,0)),"")</f>
        <v/>
      </c>
      <c r="B227" s="35" t="str">
        <f>IFERROR(INDEX('G-8 Condition Look up'!$I$4:$I$135,MATCH(G227,'G-8 Condition Look up'!$A$4:$A$135,0)),"")</f>
        <v/>
      </c>
      <c r="D227" s="287">
        <v>217</v>
      </c>
      <c r="E227" s="267"/>
      <c r="F227" s="61"/>
      <c r="G227" s="52" t="str">
        <f>IFERROR(INDEX('G-1 All Habitats'!$B$3:$B$134,MATCH(F227,'G-1 All Habitats'!$A$3:$A$134,0)),"")</f>
        <v/>
      </c>
      <c r="H227" s="53"/>
      <c r="I227" s="362" t="str">
        <f>IF(G227="","",VLOOKUP(G227,'G-1 All Habitats'!$B$2:$M$134,10,FALSE))</f>
        <v/>
      </c>
      <c r="J227" s="363" t="str">
        <f>IFERROR(VLOOKUP(I227,'G-1 All Habitats'!$V$3:$W$7,2,FALSE),"")</f>
        <v/>
      </c>
      <c r="K227" s="54"/>
      <c r="L227" s="363" t="str">
        <f>IFERROR(INDEX('G-8 Condition Look up'!$A$3:$H$135,MATCH(G227,'G-8 Condition Look up'!$A$3:$A$135,0),MATCH(K227,'G-8 Condition Look up'!$A$3:$H$3,0)),"")</f>
        <v/>
      </c>
      <c r="M227" s="54"/>
      <c r="N227" s="382" t="str">
        <f>IF(M227="","",IF(VLOOKUP(M227,'G-3 Multipliers'!$L$3:$N$6,2,FALSE)=0,"Spatial Data Missing",VLOOKUP(M227,'G-3 Multipliers'!$L$3:$N$6,2,FALSE)))</f>
        <v/>
      </c>
      <c r="O227" s="368" t="str">
        <f>IF(M227="","",IF(VLOOKUP(M227,'G-3 Multipliers'!$L$3:$N$6,3,FALSE)=0,"Spatial Data Missing",VLOOKUP(M227,'G-3 Multipliers'!$L$3:$N$6,3,FALSE)))</f>
        <v/>
      </c>
      <c r="P227" s="369" t="str">
        <f>IFERROR(VLOOKUP(G227,'G-1 All Habitats'!$B$2:$M$134,12,FALSE),"")</f>
        <v/>
      </c>
      <c r="Q227" s="376" t="str">
        <f>IFERROR(IF(P227="","",IF(AND(P227='G-1 All Habitats'!$X$3,T227&gt;0),U227+V227,IF(AND(P227='G-1 All Habitats'!$X$3,S227&gt;0),U227+V227,IF(AND(P227='G-1 All Habitats'!$X$3,AC227&gt;0),"Any Loss Unacceptable ⚠",IF(AND(P227='G-1 All Habitats'!$X$3,W227&gt;0),"Any Loss Unacceptable ⚠",H227*J227*L227*O227))))),"Check Data ▲")</f>
        <v/>
      </c>
      <c r="R227" s="38"/>
      <c r="S227" s="54"/>
      <c r="T227" s="55"/>
      <c r="U227" s="374" t="str">
        <f t="shared" si="18"/>
        <v/>
      </c>
      <c r="V227" s="374" t="str">
        <f t="shared" si="19"/>
        <v/>
      </c>
      <c r="W227" s="374" t="str">
        <f>IF(E227="","",IF(H227&lt;S227+T227,"Error in Areas ▲",IF(P227&lt;&gt;'G-1 All Habitats'!$X$3,H227-S227-T227,IF(AND(P227='G-1 All Habitats'!$X$3,Y227="Yes"),"Unacceptable Loss ⚠",IF(AND(P227='G-1 All Habitats'!$X$3,Y227="No"),AC227,IF(AND(P227='G-1 All Habitats'!$X$3,Y227=""),AC227,IF(AND(P227='G-1 All Habitats'!$X$3,AC227="None",AC227),IF(AND(P227='G-1 All Habitats'!$X$3,AC227&gt;0),H227-S227-T227))))))))</f>
        <v/>
      </c>
      <c r="X227" s="378" t="str">
        <f>IFERROR(IF(H227="","",IF(H227-S227-T227=0&lt;0,"Error in Areas ▲",IF(S227+T227&gt;H227,"Error in Areas ▲",IF(AND(P227='G-1 All Habitats'!$X$3,Y227="Yes"),"Alternative Compensation ✓",IF(W227=0,0,IF(P227='G-1 All Habitats'!$X$3,"Any Loss Unacceptable ▲",Q227-U227-V227)))))),"Check Data ▲")</f>
        <v/>
      </c>
      <c r="Y227" s="55"/>
      <c r="Z227" s="62"/>
      <c r="AA227" s="526"/>
      <c r="AB227" s="120"/>
      <c r="AC227" s="726" t="str">
        <f>IF(P227="","",IF(P227='G-1 All Habitats'!$X$3,H227-S227-T227,"None"))</f>
        <v/>
      </c>
      <c r="AD227" s="727" t="str">
        <f>IF(P227="","", IF(P227='G-1 All Habitats'!$X$3, AC227*J227*L227*O227,"None"))</f>
        <v/>
      </c>
      <c r="AF227" s="40" t="str">
        <f t="shared" si="15"/>
        <v/>
      </c>
      <c r="AG227" s="40" t="str">
        <f t="shared" si="16"/>
        <v/>
      </c>
      <c r="AH227" s="40" t="str">
        <f>IF(I227="","",IF(#REF!&gt;0,TRUE,FALSE))</f>
        <v/>
      </c>
      <c r="AI227" s="40">
        <v>217</v>
      </c>
      <c r="AJ227" s="40"/>
      <c r="AK227" s="40" t="str">
        <f t="array" ref="AK227">IFERROR(INDEX($AI$11:$AI$259, MATCH(0, IF(TRUE=$AF$11:$AF$259, COUNTIF($AK$10:$AK226, $AI$11:$AI$259), ""), 0)),"")</f>
        <v/>
      </c>
      <c r="AL227" s="40" t="str">
        <f t="array" ref="AL227">IFERROR(INDEX($AI$11:$AI$259, MATCH(0, IF(TRUE=$AG$11:$AG$259, COUNTIF($AL$10:$AL226, $AI$11:$AI$259), ""), 0)),"")</f>
        <v/>
      </c>
      <c r="AM227" s="40" t="str">
        <f t="array" ref="AM227">IFERROR(INDEX($AI$11:$AI$259, MATCH(0, IF(TRUE=$AH$11:$AH$259, COUNTIF($AM$10:$AM226, $AI$11:$AI$259), ""), 0)),"")</f>
        <v/>
      </c>
      <c r="AN227" s="40"/>
      <c r="AQ227" s="35">
        <f t="shared" si="17"/>
        <v>0</v>
      </c>
    </row>
    <row r="228" spans="1:43">
      <c r="A228" s="35" t="str">
        <f>IFERROR(INDEX('G-1 All Habitats'!$AG$3:$AG$17,MATCH(E228,'G-1 All Habitats'!$AF$3:$AF$17,0)),"")</f>
        <v/>
      </c>
      <c r="B228" s="35" t="str">
        <f>IFERROR(INDEX('G-8 Condition Look up'!$I$4:$I$135,MATCH(G228,'G-8 Condition Look up'!$A$4:$A$135,0)),"")</f>
        <v/>
      </c>
      <c r="D228" s="287">
        <v>218</v>
      </c>
      <c r="E228" s="267"/>
      <c r="F228" s="61"/>
      <c r="G228" s="52" t="str">
        <f>IFERROR(INDEX('G-1 All Habitats'!$B$3:$B$134,MATCH(F228,'G-1 All Habitats'!$A$3:$A$134,0)),"")</f>
        <v/>
      </c>
      <c r="H228" s="53"/>
      <c r="I228" s="362" t="str">
        <f>IF(G228="","",VLOOKUP(G228,'G-1 All Habitats'!$B$2:$M$134,10,FALSE))</f>
        <v/>
      </c>
      <c r="J228" s="363" t="str">
        <f>IFERROR(VLOOKUP(I228,'G-1 All Habitats'!$V$3:$W$7,2,FALSE),"")</f>
        <v/>
      </c>
      <c r="K228" s="54"/>
      <c r="L228" s="363" t="str">
        <f>IFERROR(INDEX('G-8 Condition Look up'!$A$3:$H$135,MATCH(G228,'G-8 Condition Look up'!$A$3:$A$135,0),MATCH(K228,'G-8 Condition Look up'!$A$3:$H$3,0)),"")</f>
        <v/>
      </c>
      <c r="M228" s="54"/>
      <c r="N228" s="382" t="str">
        <f>IF(M228="","",IF(VLOOKUP(M228,'G-3 Multipliers'!$L$3:$N$6,2,FALSE)=0,"Spatial Data Missing",VLOOKUP(M228,'G-3 Multipliers'!$L$3:$N$6,2,FALSE)))</f>
        <v/>
      </c>
      <c r="O228" s="368" t="str">
        <f>IF(M228="","",IF(VLOOKUP(M228,'G-3 Multipliers'!$L$3:$N$6,3,FALSE)=0,"Spatial Data Missing",VLOOKUP(M228,'G-3 Multipliers'!$L$3:$N$6,3,FALSE)))</f>
        <v/>
      </c>
      <c r="P228" s="369" t="str">
        <f>IFERROR(VLOOKUP(G228,'G-1 All Habitats'!$B$2:$M$134,12,FALSE),"")</f>
        <v/>
      </c>
      <c r="Q228" s="376" t="str">
        <f>IFERROR(IF(P228="","",IF(AND(P228='G-1 All Habitats'!$X$3,T228&gt;0),U228+V228,IF(AND(P228='G-1 All Habitats'!$X$3,S228&gt;0),U228+V228,IF(AND(P228='G-1 All Habitats'!$X$3,AC228&gt;0),"Any Loss Unacceptable ⚠",IF(AND(P228='G-1 All Habitats'!$X$3,W228&gt;0),"Any Loss Unacceptable ⚠",H228*J228*L228*O228))))),"Check Data ▲")</f>
        <v/>
      </c>
      <c r="R228" s="38"/>
      <c r="S228" s="54"/>
      <c r="T228" s="55"/>
      <c r="U228" s="374" t="str">
        <f t="shared" si="18"/>
        <v/>
      </c>
      <c r="V228" s="374" t="str">
        <f t="shared" si="19"/>
        <v/>
      </c>
      <c r="W228" s="374" t="str">
        <f>IF(E228="","",IF(H228&lt;S228+T228,"Error in Areas ▲",IF(P228&lt;&gt;'G-1 All Habitats'!$X$3,H228-S228-T228,IF(AND(P228='G-1 All Habitats'!$X$3,Y228="Yes"),"Unacceptable Loss ⚠",IF(AND(P228='G-1 All Habitats'!$X$3,Y228="No"),AC228,IF(AND(P228='G-1 All Habitats'!$X$3,Y228=""),AC228,IF(AND(P228='G-1 All Habitats'!$X$3,AC228="None",AC228),IF(AND(P228='G-1 All Habitats'!$X$3,AC228&gt;0),H228-S228-T228))))))))</f>
        <v/>
      </c>
      <c r="X228" s="378" t="str">
        <f>IFERROR(IF(H228="","",IF(H228-S228-T228=0&lt;0,"Error in Areas ▲",IF(S228+T228&gt;H228,"Error in Areas ▲",IF(AND(P228='G-1 All Habitats'!$X$3,Y228="Yes"),"Alternative Compensation ✓",IF(W228=0,0,IF(P228='G-1 All Habitats'!$X$3,"Any Loss Unacceptable ▲",Q228-U228-V228)))))),"Check Data ▲")</f>
        <v/>
      </c>
      <c r="Y228" s="55"/>
      <c r="Z228" s="62"/>
      <c r="AA228" s="526"/>
      <c r="AB228" s="120"/>
      <c r="AC228" s="726" t="str">
        <f>IF(P228="","",IF(P228='G-1 All Habitats'!$X$3,H228-S228-T228,"None"))</f>
        <v/>
      </c>
      <c r="AD228" s="727" t="str">
        <f>IF(P228="","", IF(P228='G-1 All Habitats'!$X$3, AC228*J228*L228*O228,"None"))</f>
        <v/>
      </c>
      <c r="AF228" s="40" t="str">
        <f t="shared" si="15"/>
        <v/>
      </c>
      <c r="AG228" s="40" t="str">
        <f t="shared" si="16"/>
        <v/>
      </c>
      <c r="AH228" s="40" t="str">
        <f>IF(I228="","",IF(#REF!&gt;0,TRUE,FALSE))</f>
        <v/>
      </c>
      <c r="AI228" s="40">
        <v>218</v>
      </c>
      <c r="AJ228" s="40"/>
      <c r="AK228" s="40" t="str">
        <f t="array" ref="AK228">IFERROR(INDEX($AI$11:$AI$259, MATCH(0, IF(TRUE=$AF$11:$AF$259, COUNTIF($AK$10:$AK227, $AI$11:$AI$259), ""), 0)),"")</f>
        <v/>
      </c>
      <c r="AL228" s="40" t="str">
        <f t="array" ref="AL228">IFERROR(INDEX($AI$11:$AI$259, MATCH(0, IF(TRUE=$AG$11:$AG$259, COUNTIF($AL$10:$AL227, $AI$11:$AI$259), ""), 0)),"")</f>
        <v/>
      </c>
      <c r="AM228" s="40" t="str">
        <f t="array" ref="AM228">IFERROR(INDEX($AI$11:$AI$259, MATCH(0, IF(TRUE=$AH$11:$AH$259, COUNTIF($AM$10:$AM227, $AI$11:$AI$259), ""), 0)),"")</f>
        <v/>
      </c>
      <c r="AN228" s="40"/>
      <c r="AQ228" s="35">
        <f t="shared" si="17"/>
        <v>0</v>
      </c>
    </row>
    <row r="229" spans="1:43">
      <c r="A229" s="35" t="str">
        <f>IFERROR(INDEX('G-1 All Habitats'!$AG$3:$AG$17,MATCH(E229,'G-1 All Habitats'!$AF$3:$AF$17,0)),"")</f>
        <v/>
      </c>
      <c r="B229" s="35" t="str">
        <f>IFERROR(INDEX('G-8 Condition Look up'!$I$4:$I$135,MATCH(G229,'G-8 Condition Look up'!$A$4:$A$135,0)),"")</f>
        <v/>
      </c>
      <c r="D229" s="287">
        <v>219</v>
      </c>
      <c r="E229" s="267"/>
      <c r="F229" s="61"/>
      <c r="G229" s="52" t="str">
        <f>IFERROR(INDEX('G-1 All Habitats'!$B$3:$B$134,MATCH(F229,'G-1 All Habitats'!$A$3:$A$134,0)),"")</f>
        <v/>
      </c>
      <c r="H229" s="53"/>
      <c r="I229" s="362" t="str">
        <f>IF(G229="","",VLOOKUP(G229,'G-1 All Habitats'!$B$2:$M$134,10,FALSE))</f>
        <v/>
      </c>
      <c r="J229" s="363" t="str">
        <f>IFERROR(VLOOKUP(I229,'G-1 All Habitats'!$V$3:$W$7,2,FALSE),"")</f>
        <v/>
      </c>
      <c r="K229" s="54"/>
      <c r="L229" s="363" t="str">
        <f>IFERROR(INDEX('G-8 Condition Look up'!$A$3:$H$135,MATCH(G229,'G-8 Condition Look up'!$A$3:$A$135,0),MATCH(K229,'G-8 Condition Look up'!$A$3:$H$3,0)),"")</f>
        <v/>
      </c>
      <c r="M229" s="54"/>
      <c r="N229" s="382" t="str">
        <f>IF(M229="","",IF(VLOOKUP(M229,'G-3 Multipliers'!$L$3:$N$6,2,FALSE)=0,"Spatial Data Missing",VLOOKUP(M229,'G-3 Multipliers'!$L$3:$N$6,2,FALSE)))</f>
        <v/>
      </c>
      <c r="O229" s="368" t="str">
        <f>IF(M229="","",IF(VLOOKUP(M229,'G-3 Multipliers'!$L$3:$N$6,3,FALSE)=0,"Spatial Data Missing",VLOOKUP(M229,'G-3 Multipliers'!$L$3:$N$6,3,FALSE)))</f>
        <v/>
      </c>
      <c r="P229" s="369" t="str">
        <f>IFERROR(VLOOKUP(G229,'G-1 All Habitats'!$B$2:$M$134,12,FALSE),"")</f>
        <v/>
      </c>
      <c r="Q229" s="376" t="str">
        <f>IFERROR(IF(P229="","",IF(AND(P229='G-1 All Habitats'!$X$3,T229&gt;0),U229+V229,IF(AND(P229='G-1 All Habitats'!$X$3,S229&gt;0),U229+V229,IF(AND(P229='G-1 All Habitats'!$X$3,AC229&gt;0),"Any Loss Unacceptable ⚠",IF(AND(P229='G-1 All Habitats'!$X$3,W229&gt;0),"Any Loss Unacceptable ⚠",H229*J229*L229*O229))))),"Check Data ▲")</f>
        <v/>
      </c>
      <c r="R229" s="38"/>
      <c r="S229" s="54"/>
      <c r="T229" s="55"/>
      <c r="U229" s="374" t="str">
        <f t="shared" si="18"/>
        <v/>
      </c>
      <c r="V229" s="374" t="str">
        <f t="shared" si="19"/>
        <v/>
      </c>
      <c r="W229" s="374" t="str">
        <f>IF(E229="","",IF(H229&lt;S229+T229,"Error in Areas ▲",IF(P229&lt;&gt;'G-1 All Habitats'!$X$3,H229-S229-T229,IF(AND(P229='G-1 All Habitats'!$X$3,Y229="Yes"),"Unacceptable Loss ⚠",IF(AND(P229='G-1 All Habitats'!$X$3,Y229="No"),AC229,IF(AND(P229='G-1 All Habitats'!$X$3,Y229=""),AC229,IF(AND(P229='G-1 All Habitats'!$X$3,AC229="None",AC229),IF(AND(P229='G-1 All Habitats'!$X$3,AC229&gt;0),H229-S229-T229))))))))</f>
        <v/>
      </c>
      <c r="X229" s="378" t="str">
        <f>IFERROR(IF(H229="","",IF(H229-S229-T229=0&lt;0,"Error in Areas ▲",IF(S229+T229&gt;H229,"Error in Areas ▲",IF(AND(P229='G-1 All Habitats'!$X$3,Y229="Yes"),"Alternative Compensation ✓",IF(W229=0,0,IF(P229='G-1 All Habitats'!$X$3,"Any Loss Unacceptable ▲",Q229-U229-V229)))))),"Check Data ▲")</f>
        <v/>
      </c>
      <c r="Y229" s="55"/>
      <c r="Z229" s="62"/>
      <c r="AA229" s="526"/>
      <c r="AB229" s="120"/>
      <c r="AC229" s="726" t="str">
        <f>IF(P229="","",IF(P229='G-1 All Habitats'!$X$3,H229-S229-T229,"None"))</f>
        <v/>
      </c>
      <c r="AD229" s="727" t="str">
        <f>IF(P229="","", IF(P229='G-1 All Habitats'!$X$3, AC229*J229*L229*O229,"None"))</f>
        <v/>
      </c>
      <c r="AF229" s="40" t="str">
        <f t="shared" si="15"/>
        <v/>
      </c>
      <c r="AG229" s="40" t="str">
        <f t="shared" si="16"/>
        <v/>
      </c>
      <c r="AH229" s="40" t="str">
        <f>IF(I229="","",IF(#REF!&gt;0,TRUE,FALSE))</f>
        <v/>
      </c>
      <c r="AI229" s="40">
        <v>219</v>
      </c>
      <c r="AJ229" s="40"/>
      <c r="AK229" s="40" t="str">
        <f t="array" ref="AK229">IFERROR(INDEX($AI$11:$AI$259, MATCH(0, IF(TRUE=$AF$11:$AF$259, COUNTIF($AK$10:$AK228, $AI$11:$AI$259), ""), 0)),"")</f>
        <v/>
      </c>
      <c r="AL229" s="40" t="str">
        <f t="array" ref="AL229">IFERROR(INDEX($AI$11:$AI$259, MATCH(0, IF(TRUE=$AG$11:$AG$259, COUNTIF($AL$10:$AL228, $AI$11:$AI$259), ""), 0)),"")</f>
        <v/>
      </c>
      <c r="AM229" s="40" t="str">
        <f t="array" ref="AM229">IFERROR(INDEX($AI$11:$AI$259, MATCH(0, IF(TRUE=$AH$11:$AH$259, COUNTIF($AM$10:$AM228, $AI$11:$AI$259), ""), 0)),"")</f>
        <v/>
      </c>
      <c r="AN229" s="40"/>
      <c r="AQ229" s="35">
        <f t="shared" si="17"/>
        <v>0</v>
      </c>
    </row>
    <row r="230" spans="1:43">
      <c r="A230" s="35" t="str">
        <f>IFERROR(INDEX('G-1 All Habitats'!$AG$3:$AG$17,MATCH(E230,'G-1 All Habitats'!$AF$3:$AF$17,0)),"")</f>
        <v/>
      </c>
      <c r="B230" s="35" t="str">
        <f>IFERROR(INDEX('G-8 Condition Look up'!$I$4:$I$135,MATCH(G230,'G-8 Condition Look up'!$A$4:$A$135,0)),"")</f>
        <v/>
      </c>
      <c r="D230" s="287">
        <v>220</v>
      </c>
      <c r="E230" s="267"/>
      <c r="F230" s="61"/>
      <c r="G230" s="52" t="str">
        <f>IFERROR(INDEX('G-1 All Habitats'!$B$3:$B$134,MATCH(F230,'G-1 All Habitats'!$A$3:$A$134,0)),"")</f>
        <v/>
      </c>
      <c r="H230" s="53"/>
      <c r="I230" s="362" t="str">
        <f>IF(G230="","",VLOOKUP(G230,'G-1 All Habitats'!$B$2:$M$134,10,FALSE))</f>
        <v/>
      </c>
      <c r="J230" s="363" t="str">
        <f>IFERROR(VLOOKUP(I230,'G-1 All Habitats'!$V$3:$W$7,2,FALSE),"")</f>
        <v/>
      </c>
      <c r="K230" s="54"/>
      <c r="L230" s="363" t="str">
        <f>IFERROR(INDEX('G-8 Condition Look up'!$A$3:$H$135,MATCH(G230,'G-8 Condition Look up'!$A$3:$A$135,0),MATCH(K230,'G-8 Condition Look up'!$A$3:$H$3,0)),"")</f>
        <v/>
      </c>
      <c r="M230" s="54"/>
      <c r="N230" s="382" t="str">
        <f>IF(M230="","",IF(VLOOKUP(M230,'G-3 Multipliers'!$L$3:$N$6,2,FALSE)=0,"Spatial Data Missing",VLOOKUP(M230,'G-3 Multipliers'!$L$3:$N$6,2,FALSE)))</f>
        <v/>
      </c>
      <c r="O230" s="368" t="str">
        <f>IF(M230="","",IF(VLOOKUP(M230,'G-3 Multipliers'!$L$3:$N$6,3,FALSE)=0,"Spatial Data Missing",VLOOKUP(M230,'G-3 Multipliers'!$L$3:$N$6,3,FALSE)))</f>
        <v/>
      </c>
      <c r="P230" s="369" t="str">
        <f>IFERROR(VLOOKUP(G230,'G-1 All Habitats'!$B$2:$M$134,12,FALSE),"")</f>
        <v/>
      </c>
      <c r="Q230" s="376" t="str">
        <f>IFERROR(IF(P230="","",IF(AND(P230='G-1 All Habitats'!$X$3,T230&gt;0),U230+V230,IF(AND(P230='G-1 All Habitats'!$X$3,S230&gt;0),U230+V230,IF(AND(P230='G-1 All Habitats'!$X$3,AC230&gt;0),"Any Loss Unacceptable ⚠",IF(AND(P230='G-1 All Habitats'!$X$3,W230&gt;0),"Any Loss Unacceptable ⚠",H230*J230*L230*O230))))),"Check Data ▲")</f>
        <v/>
      </c>
      <c r="R230" s="38"/>
      <c r="S230" s="54"/>
      <c r="T230" s="55"/>
      <c r="U230" s="374" t="str">
        <f t="shared" si="18"/>
        <v/>
      </c>
      <c r="V230" s="374" t="str">
        <f t="shared" si="19"/>
        <v/>
      </c>
      <c r="W230" s="374" t="str">
        <f>IF(E230="","",IF(H230&lt;S230+T230,"Error in Areas ▲",IF(P230&lt;&gt;'G-1 All Habitats'!$X$3,H230-S230-T230,IF(AND(P230='G-1 All Habitats'!$X$3,Y230="Yes"),"Unacceptable Loss ⚠",IF(AND(P230='G-1 All Habitats'!$X$3,Y230="No"),AC230,IF(AND(P230='G-1 All Habitats'!$X$3,Y230=""),AC230,IF(AND(P230='G-1 All Habitats'!$X$3,AC230="None",AC230),IF(AND(P230='G-1 All Habitats'!$X$3,AC230&gt;0),H230-S230-T230))))))))</f>
        <v/>
      </c>
      <c r="X230" s="378" t="str">
        <f>IFERROR(IF(H230="","",IF(H230-S230-T230=0&lt;0,"Error in Areas ▲",IF(S230+T230&gt;H230,"Error in Areas ▲",IF(AND(P230='G-1 All Habitats'!$X$3,Y230="Yes"),"Alternative Compensation ✓",IF(W230=0,0,IF(P230='G-1 All Habitats'!$X$3,"Any Loss Unacceptable ▲",Q230-U230-V230)))))),"Check Data ▲")</f>
        <v/>
      </c>
      <c r="Y230" s="55"/>
      <c r="Z230" s="62"/>
      <c r="AA230" s="526"/>
      <c r="AB230" s="120"/>
      <c r="AC230" s="726" t="str">
        <f>IF(P230="","",IF(P230='G-1 All Habitats'!$X$3,H230-S230-T230,"None"))</f>
        <v/>
      </c>
      <c r="AD230" s="727" t="str">
        <f>IF(P230="","", IF(P230='G-1 All Habitats'!$X$3, AC230*J230*L230*O230,"None"))</f>
        <v/>
      </c>
      <c r="AF230" s="40" t="str">
        <f t="shared" si="15"/>
        <v/>
      </c>
      <c r="AG230" s="40" t="str">
        <f t="shared" si="16"/>
        <v/>
      </c>
      <c r="AH230" s="40" t="str">
        <f>IF(I230="","",IF(#REF!&gt;0,TRUE,FALSE))</f>
        <v/>
      </c>
      <c r="AI230" s="40">
        <v>220</v>
      </c>
      <c r="AJ230" s="40"/>
      <c r="AK230" s="40" t="str">
        <f t="array" ref="AK230">IFERROR(INDEX($AI$11:$AI$259, MATCH(0, IF(TRUE=$AF$11:$AF$259, COUNTIF($AK$10:$AK229, $AI$11:$AI$259), ""), 0)),"")</f>
        <v/>
      </c>
      <c r="AL230" s="40" t="str">
        <f t="array" ref="AL230">IFERROR(INDEX($AI$11:$AI$259, MATCH(0, IF(TRUE=$AG$11:$AG$259, COUNTIF($AL$10:$AL229, $AI$11:$AI$259), ""), 0)),"")</f>
        <v/>
      </c>
      <c r="AM230" s="40" t="str">
        <f t="array" ref="AM230">IFERROR(INDEX($AI$11:$AI$259, MATCH(0, IF(TRUE=$AH$11:$AH$259, COUNTIF($AM$10:$AM229, $AI$11:$AI$259), ""), 0)),"")</f>
        <v/>
      </c>
      <c r="AN230" s="40"/>
      <c r="AQ230" s="35">
        <f t="shared" si="17"/>
        <v>0</v>
      </c>
    </row>
    <row r="231" spans="1:43">
      <c r="A231" s="35" t="str">
        <f>IFERROR(INDEX('G-1 All Habitats'!$AG$3:$AG$17,MATCH(E231,'G-1 All Habitats'!$AF$3:$AF$17,0)),"")</f>
        <v/>
      </c>
      <c r="B231" s="35" t="str">
        <f>IFERROR(INDEX('G-8 Condition Look up'!$I$4:$I$135,MATCH(G231,'G-8 Condition Look up'!$A$4:$A$135,0)),"")</f>
        <v/>
      </c>
      <c r="D231" s="287">
        <v>221</v>
      </c>
      <c r="E231" s="267"/>
      <c r="F231" s="61"/>
      <c r="G231" s="52" t="str">
        <f>IFERROR(INDEX('G-1 All Habitats'!$B$3:$B$134,MATCH(F231,'G-1 All Habitats'!$A$3:$A$134,0)),"")</f>
        <v/>
      </c>
      <c r="H231" s="53"/>
      <c r="I231" s="362" t="str">
        <f>IF(G231="","",VLOOKUP(G231,'G-1 All Habitats'!$B$2:$M$134,10,FALSE))</f>
        <v/>
      </c>
      <c r="J231" s="363" t="str">
        <f>IFERROR(VLOOKUP(I231,'G-1 All Habitats'!$V$3:$W$7,2,FALSE),"")</f>
        <v/>
      </c>
      <c r="K231" s="54"/>
      <c r="L231" s="363" t="str">
        <f>IFERROR(INDEX('G-8 Condition Look up'!$A$3:$H$135,MATCH(G231,'G-8 Condition Look up'!$A$3:$A$135,0),MATCH(K231,'G-8 Condition Look up'!$A$3:$H$3,0)),"")</f>
        <v/>
      </c>
      <c r="M231" s="54"/>
      <c r="N231" s="382" t="str">
        <f>IF(M231="","",IF(VLOOKUP(M231,'G-3 Multipliers'!$L$3:$N$6,2,FALSE)=0,"Spatial Data Missing",VLOOKUP(M231,'G-3 Multipliers'!$L$3:$N$6,2,FALSE)))</f>
        <v/>
      </c>
      <c r="O231" s="368" t="str">
        <f>IF(M231="","",IF(VLOOKUP(M231,'G-3 Multipliers'!$L$3:$N$6,3,FALSE)=0,"Spatial Data Missing",VLOOKUP(M231,'G-3 Multipliers'!$L$3:$N$6,3,FALSE)))</f>
        <v/>
      </c>
      <c r="P231" s="369" t="str">
        <f>IFERROR(VLOOKUP(G231,'G-1 All Habitats'!$B$2:$M$134,12,FALSE),"")</f>
        <v/>
      </c>
      <c r="Q231" s="376" t="str">
        <f>IFERROR(IF(P231="","",IF(AND(P231='G-1 All Habitats'!$X$3,T231&gt;0),U231+V231,IF(AND(P231='G-1 All Habitats'!$X$3,S231&gt;0),U231+V231,IF(AND(P231='G-1 All Habitats'!$X$3,AC231&gt;0),"Any Loss Unacceptable ⚠",IF(AND(P231='G-1 All Habitats'!$X$3,W231&gt;0),"Any Loss Unacceptable ⚠",H231*J231*L231*O231))))),"Check Data ▲")</f>
        <v/>
      </c>
      <c r="R231" s="38"/>
      <c r="S231" s="54"/>
      <c r="T231" s="55"/>
      <c r="U231" s="374" t="str">
        <f t="shared" si="18"/>
        <v/>
      </c>
      <c r="V231" s="374" t="str">
        <f t="shared" si="19"/>
        <v/>
      </c>
      <c r="W231" s="374" t="str">
        <f>IF(E231="","",IF(H231&lt;S231+T231,"Error in Areas ▲",IF(P231&lt;&gt;'G-1 All Habitats'!$X$3,H231-S231-T231,IF(AND(P231='G-1 All Habitats'!$X$3,Y231="Yes"),"Unacceptable Loss ⚠",IF(AND(P231='G-1 All Habitats'!$X$3,Y231="No"),AC231,IF(AND(P231='G-1 All Habitats'!$X$3,Y231=""),AC231,IF(AND(P231='G-1 All Habitats'!$X$3,AC231="None",AC231),IF(AND(P231='G-1 All Habitats'!$X$3,AC231&gt;0),H231-S231-T231))))))))</f>
        <v/>
      </c>
      <c r="X231" s="378" t="str">
        <f>IFERROR(IF(H231="","",IF(H231-S231-T231=0&lt;0,"Error in Areas ▲",IF(S231+T231&gt;H231,"Error in Areas ▲",IF(AND(P231='G-1 All Habitats'!$X$3,Y231="Yes"),"Alternative Compensation ✓",IF(W231=0,0,IF(P231='G-1 All Habitats'!$X$3,"Any Loss Unacceptable ▲",Q231-U231-V231)))))),"Check Data ▲")</f>
        <v/>
      </c>
      <c r="Y231" s="55"/>
      <c r="Z231" s="62"/>
      <c r="AA231" s="526"/>
      <c r="AB231" s="120"/>
      <c r="AC231" s="726" t="str">
        <f>IF(P231="","",IF(P231='G-1 All Habitats'!$X$3,H231-S231-T231,"None"))</f>
        <v/>
      </c>
      <c r="AD231" s="727" t="str">
        <f>IF(P231="","", IF(P231='G-1 All Habitats'!$X$3, AC231*J231*L231*O231,"None"))</f>
        <v/>
      </c>
      <c r="AF231" s="40" t="str">
        <f t="shared" si="15"/>
        <v/>
      </c>
      <c r="AG231" s="40" t="str">
        <f t="shared" si="16"/>
        <v/>
      </c>
      <c r="AH231" s="40" t="str">
        <f>IF(I231="","",IF(#REF!&gt;0,TRUE,FALSE))</f>
        <v/>
      </c>
      <c r="AI231" s="40">
        <v>221</v>
      </c>
      <c r="AJ231" s="40"/>
      <c r="AK231" s="40" t="str">
        <f t="array" ref="AK231">IFERROR(INDEX($AI$11:$AI$259, MATCH(0, IF(TRUE=$AF$11:$AF$259, COUNTIF($AK$10:$AK230, $AI$11:$AI$259), ""), 0)),"")</f>
        <v/>
      </c>
      <c r="AL231" s="40" t="str">
        <f t="array" ref="AL231">IFERROR(INDEX($AI$11:$AI$259, MATCH(0, IF(TRUE=$AG$11:$AG$259, COUNTIF($AL$10:$AL230, $AI$11:$AI$259), ""), 0)),"")</f>
        <v/>
      </c>
      <c r="AM231" s="40" t="str">
        <f t="array" ref="AM231">IFERROR(INDEX($AI$11:$AI$259, MATCH(0, IF(TRUE=$AH$11:$AH$259, COUNTIF($AM$10:$AM230, $AI$11:$AI$259), ""), 0)),"")</f>
        <v/>
      </c>
      <c r="AN231" s="40"/>
      <c r="AQ231" s="35">
        <f t="shared" si="17"/>
        <v>0</v>
      </c>
    </row>
    <row r="232" spans="1:43">
      <c r="A232" s="35" t="str">
        <f>IFERROR(INDEX('G-1 All Habitats'!$AG$3:$AG$17,MATCH(E232,'G-1 All Habitats'!$AF$3:$AF$17,0)),"")</f>
        <v/>
      </c>
      <c r="B232" s="35" t="str">
        <f>IFERROR(INDEX('G-8 Condition Look up'!$I$4:$I$135,MATCH(G232,'G-8 Condition Look up'!$A$4:$A$135,0)),"")</f>
        <v/>
      </c>
      <c r="D232" s="287">
        <v>222</v>
      </c>
      <c r="E232" s="267"/>
      <c r="F232" s="61"/>
      <c r="G232" s="52" t="str">
        <f>IFERROR(INDEX('G-1 All Habitats'!$B$3:$B$134,MATCH(F232,'G-1 All Habitats'!$A$3:$A$134,0)),"")</f>
        <v/>
      </c>
      <c r="H232" s="53"/>
      <c r="I232" s="362" t="str">
        <f>IF(G232="","",VLOOKUP(G232,'G-1 All Habitats'!$B$2:$M$134,10,FALSE))</f>
        <v/>
      </c>
      <c r="J232" s="363" t="str">
        <f>IFERROR(VLOOKUP(I232,'G-1 All Habitats'!$V$3:$W$7,2,FALSE),"")</f>
        <v/>
      </c>
      <c r="K232" s="54"/>
      <c r="L232" s="363" t="str">
        <f>IFERROR(INDEX('G-8 Condition Look up'!$A$3:$H$135,MATCH(G232,'G-8 Condition Look up'!$A$3:$A$135,0),MATCH(K232,'G-8 Condition Look up'!$A$3:$H$3,0)),"")</f>
        <v/>
      </c>
      <c r="M232" s="54"/>
      <c r="N232" s="382" t="str">
        <f>IF(M232="","",IF(VLOOKUP(M232,'G-3 Multipliers'!$L$3:$N$6,2,FALSE)=0,"Spatial Data Missing",VLOOKUP(M232,'G-3 Multipliers'!$L$3:$N$6,2,FALSE)))</f>
        <v/>
      </c>
      <c r="O232" s="368" t="str">
        <f>IF(M232="","",IF(VLOOKUP(M232,'G-3 Multipliers'!$L$3:$N$6,3,FALSE)=0,"Spatial Data Missing",VLOOKUP(M232,'G-3 Multipliers'!$L$3:$N$6,3,FALSE)))</f>
        <v/>
      </c>
      <c r="P232" s="369" t="str">
        <f>IFERROR(VLOOKUP(G232,'G-1 All Habitats'!$B$2:$M$134,12,FALSE),"")</f>
        <v/>
      </c>
      <c r="Q232" s="376" t="str">
        <f>IFERROR(IF(P232="","",IF(AND(P232='G-1 All Habitats'!$X$3,T232&gt;0),U232+V232,IF(AND(P232='G-1 All Habitats'!$X$3,S232&gt;0),U232+V232,IF(AND(P232='G-1 All Habitats'!$X$3,AC232&gt;0),"Any Loss Unacceptable ⚠",IF(AND(P232='G-1 All Habitats'!$X$3,W232&gt;0),"Any Loss Unacceptable ⚠",H232*J232*L232*O232))))),"Check Data ▲")</f>
        <v/>
      </c>
      <c r="R232" s="38"/>
      <c r="S232" s="54"/>
      <c r="T232" s="55"/>
      <c r="U232" s="374" t="str">
        <f t="shared" si="18"/>
        <v/>
      </c>
      <c r="V232" s="374" t="str">
        <f t="shared" si="19"/>
        <v/>
      </c>
      <c r="W232" s="374" t="str">
        <f>IF(E232="","",IF(H232&lt;S232+T232,"Error in Areas ▲",IF(P232&lt;&gt;'G-1 All Habitats'!$X$3,H232-S232-T232,IF(AND(P232='G-1 All Habitats'!$X$3,Y232="Yes"),"Unacceptable Loss ⚠",IF(AND(P232='G-1 All Habitats'!$X$3,Y232="No"),AC232,IF(AND(P232='G-1 All Habitats'!$X$3,Y232=""),AC232,IF(AND(P232='G-1 All Habitats'!$X$3,AC232="None",AC232),IF(AND(P232='G-1 All Habitats'!$X$3,AC232&gt;0),H232-S232-T232))))))))</f>
        <v/>
      </c>
      <c r="X232" s="378" t="str">
        <f>IFERROR(IF(H232="","",IF(H232-S232-T232=0&lt;0,"Error in Areas ▲",IF(S232+T232&gt;H232,"Error in Areas ▲",IF(AND(P232='G-1 All Habitats'!$X$3,Y232="Yes"),"Alternative Compensation ✓",IF(W232=0,0,IF(P232='G-1 All Habitats'!$X$3,"Any Loss Unacceptable ▲",Q232-U232-V232)))))),"Check Data ▲")</f>
        <v/>
      </c>
      <c r="Y232" s="55"/>
      <c r="Z232" s="62"/>
      <c r="AA232" s="526"/>
      <c r="AB232" s="120"/>
      <c r="AC232" s="726" t="str">
        <f>IF(P232="","",IF(P232='G-1 All Habitats'!$X$3,H232-S232-T232,"None"))</f>
        <v/>
      </c>
      <c r="AD232" s="727" t="str">
        <f>IF(P232="","", IF(P232='G-1 All Habitats'!$X$3, AC232*J232*L232*O232,"None"))</f>
        <v/>
      </c>
      <c r="AF232" s="40" t="str">
        <f t="shared" si="15"/>
        <v/>
      </c>
      <c r="AG232" s="40" t="str">
        <f t="shared" si="16"/>
        <v/>
      </c>
      <c r="AH232" s="40" t="str">
        <f>IF(I232="","",IF(#REF!&gt;0,TRUE,FALSE))</f>
        <v/>
      </c>
      <c r="AI232" s="40">
        <v>222</v>
      </c>
      <c r="AJ232" s="40"/>
      <c r="AK232" s="40" t="str">
        <f t="array" ref="AK232">IFERROR(INDEX($AI$11:$AI$259, MATCH(0, IF(TRUE=$AF$11:$AF$259, COUNTIF($AK$10:$AK231, $AI$11:$AI$259), ""), 0)),"")</f>
        <v/>
      </c>
      <c r="AL232" s="40" t="str">
        <f t="array" ref="AL232">IFERROR(INDEX($AI$11:$AI$259, MATCH(0, IF(TRUE=$AG$11:$AG$259, COUNTIF($AL$10:$AL231, $AI$11:$AI$259), ""), 0)),"")</f>
        <v/>
      </c>
      <c r="AM232" s="40" t="str">
        <f t="array" ref="AM232">IFERROR(INDEX($AI$11:$AI$259, MATCH(0, IF(TRUE=$AH$11:$AH$259, COUNTIF($AM$10:$AM231, $AI$11:$AI$259), ""), 0)),"")</f>
        <v/>
      </c>
      <c r="AN232" s="40"/>
      <c r="AQ232" s="35">
        <f t="shared" si="17"/>
        <v>0</v>
      </c>
    </row>
    <row r="233" spans="1:43">
      <c r="A233" s="35" t="str">
        <f>IFERROR(INDEX('G-1 All Habitats'!$AG$3:$AG$17,MATCH(E233,'G-1 All Habitats'!$AF$3:$AF$17,0)),"")</f>
        <v/>
      </c>
      <c r="B233" s="35" t="str">
        <f>IFERROR(INDEX('G-8 Condition Look up'!$I$4:$I$135,MATCH(G233,'G-8 Condition Look up'!$A$4:$A$135,0)),"")</f>
        <v/>
      </c>
      <c r="D233" s="287">
        <v>223</v>
      </c>
      <c r="E233" s="267"/>
      <c r="F233" s="61"/>
      <c r="G233" s="52" t="str">
        <f>IFERROR(INDEX('G-1 All Habitats'!$B$3:$B$134,MATCH(F233,'G-1 All Habitats'!$A$3:$A$134,0)),"")</f>
        <v/>
      </c>
      <c r="H233" s="53"/>
      <c r="I233" s="362" t="str">
        <f>IF(G233="","",VLOOKUP(G233,'G-1 All Habitats'!$B$2:$M$134,10,FALSE))</f>
        <v/>
      </c>
      <c r="J233" s="363" t="str">
        <f>IFERROR(VLOOKUP(I233,'G-1 All Habitats'!$V$3:$W$7,2,FALSE),"")</f>
        <v/>
      </c>
      <c r="K233" s="54"/>
      <c r="L233" s="363" t="str">
        <f>IFERROR(INDEX('G-8 Condition Look up'!$A$3:$H$135,MATCH(G233,'G-8 Condition Look up'!$A$3:$A$135,0),MATCH(K233,'G-8 Condition Look up'!$A$3:$H$3,0)),"")</f>
        <v/>
      </c>
      <c r="M233" s="54"/>
      <c r="N233" s="382" t="str">
        <f>IF(M233="","",IF(VLOOKUP(M233,'G-3 Multipliers'!$L$3:$N$6,2,FALSE)=0,"Spatial Data Missing",VLOOKUP(M233,'G-3 Multipliers'!$L$3:$N$6,2,FALSE)))</f>
        <v/>
      </c>
      <c r="O233" s="368" t="str">
        <f>IF(M233="","",IF(VLOOKUP(M233,'G-3 Multipliers'!$L$3:$N$6,3,FALSE)=0,"Spatial Data Missing",VLOOKUP(M233,'G-3 Multipliers'!$L$3:$N$6,3,FALSE)))</f>
        <v/>
      </c>
      <c r="P233" s="369" t="str">
        <f>IFERROR(VLOOKUP(G233,'G-1 All Habitats'!$B$2:$M$134,12,FALSE),"")</f>
        <v/>
      </c>
      <c r="Q233" s="376" t="str">
        <f>IFERROR(IF(P233="","",IF(AND(P233='G-1 All Habitats'!$X$3,T233&gt;0),U233+V233,IF(AND(P233='G-1 All Habitats'!$X$3,S233&gt;0),U233+V233,IF(AND(P233='G-1 All Habitats'!$X$3,AC233&gt;0),"Any Loss Unacceptable ⚠",IF(AND(P233='G-1 All Habitats'!$X$3,W233&gt;0),"Any Loss Unacceptable ⚠",H233*J233*L233*O233))))),"Check Data ▲")</f>
        <v/>
      </c>
      <c r="R233" s="38"/>
      <c r="S233" s="54"/>
      <c r="T233" s="55"/>
      <c r="U233" s="374" t="str">
        <f t="shared" si="18"/>
        <v/>
      </c>
      <c r="V233" s="374" t="str">
        <f t="shared" si="19"/>
        <v/>
      </c>
      <c r="W233" s="374" t="str">
        <f>IF(E233="","",IF(H233&lt;S233+T233,"Error in Areas ▲",IF(P233&lt;&gt;'G-1 All Habitats'!$X$3,H233-S233-T233,IF(AND(P233='G-1 All Habitats'!$X$3,Y233="Yes"),"Unacceptable Loss ⚠",IF(AND(P233='G-1 All Habitats'!$X$3,Y233="No"),AC233,IF(AND(P233='G-1 All Habitats'!$X$3,Y233=""),AC233,IF(AND(P233='G-1 All Habitats'!$X$3,AC233="None",AC233),IF(AND(P233='G-1 All Habitats'!$X$3,AC233&gt;0),H233-S233-T233))))))))</f>
        <v/>
      </c>
      <c r="X233" s="378" t="str">
        <f>IFERROR(IF(H233="","",IF(H233-S233-T233=0&lt;0,"Error in Areas ▲",IF(S233+T233&gt;H233,"Error in Areas ▲",IF(AND(P233='G-1 All Habitats'!$X$3,Y233="Yes"),"Alternative Compensation ✓",IF(W233=0,0,IF(P233='G-1 All Habitats'!$X$3,"Any Loss Unacceptable ▲",Q233-U233-V233)))))),"Check Data ▲")</f>
        <v/>
      </c>
      <c r="Y233" s="55"/>
      <c r="Z233" s="62"/>
      <c r="AA233" s="526"/>
      <c r="AB233" s="120"/>
      <c r="AC233" s="726" t="str">
        <f>IF(P233="","",IF(P233='G-1 All Habitats'!$X$3,H233-S233-T233,"None"))</f>
        <v/>
      </c>
      <c r="AD233" s="727" t="str">
        <f>IF(P233="","", IF(P233='G-1 All Habitats'!$X$3, AC233*J233*L233*O233,"None"))</f>
        <v/>
      </c>
      <c r="AF233" s="40" t="str">
        <f t="shared" si="15"/>
        <v/>
      </c>
      <c r="AG233" s="40" t="str">
        <f t="shared" si="16"/>
        <v/>
      </c>
      <c r="AH233" s="40" t="str">
        <f>IF(I233="","",IF(#REF!&gt;0,TRUE,FALSE))</f>
        <v/>
      </c>
      <c r="AI233" s="40">
        <v>223</v>
      </c>
      <c r="AJ233" s="40"/>
      <c r="AK233" s="40" t="str">
        <f t="array" ref="AK233">IFERROR(INDEX($AI$11:$AI$259, MATCH(0, IF(TRUE=$AF$11:$AF$259, COUNTIF($AK$10:$AK232, $AI$11:$AI$259), ""), 0)),"")</f>
        <v/>
      </c>
      <c r="AL233" s="40" t="str">
        <f t="array" ref="AL233">IFERROR(INDEX($AI$11:$AI$259, MATCH(0, IF(TRUE=$AG$11:$AG$259, COUNTIF($AL$10:$AL232, $AI$11:$AI$259), ""), 0)),"")</f>
        <v/>
      </c>
      <c r="AM233" s="40" t="str">
        <f t="array" ref="AM233">IFERROR(INDEX($AI$11:$AI$259, MATCH(0, IF(TRUE=$AH$11:$AH$259, COUNTIF($AM$10:$AM232, $AI$11:$AI$259), ""), 0)),"")</f>
        <v/>
      </c>
      <c r="AN233" s="40"/>
      <c r="AQ233" s="35">
        <f t="shared" si="17"/>
        <v>0</v>
      </c>
    </row>
    <row r="234" spans="1:43">
      <c r="A234" s="35" t="str">
        <f>IFERROR(INDEX('G-1 All Habitats'!$AG$3:$AG$17,MATCH(E234,'G-1 All Habitats'!$AF$3:$AF$17,0)),"")</f>
        <v/>
      </c>
      <c r="B234" s="35" t="str">
        <f>IFERROR(INDEX('G-8 Condition Look up'!$I$4:$I$135,MATCH(G234,'G-8 Condition Look up'!$A$4:$A$135,0)),"")</f>
        <v/>
      </c>
      <c r="D234" s="287">
        <v>224</v>
      </c>
      <c r="E234" s="267"/>
      <c r="F234" s="61"/>
      <c r="G234" s="52" t="str">
        <f>IFERROR(INDEX('G-1 All Habitats'!$B$3:$B$134,MATCH(F234,'G-1 All Habitats'!$A$3:$A$134,0)),"")</f>
        <v/>
      </c>
      <c r="H234" s="53"/>
      <c r="I234" s="362" t="str">
        <f>IF(G234="","",VLOOKUP(G234,'G-1 All Habitats'!$B$2:$M$134,10,FALSE))</f>
        <v/>
      </c>
      <c r="J234" s="363" t="str">
        <f>IFERROR(VLOOKUP(I234,'G-1 All Habitats'!$V$3:$W$7,2,FALSE),"")</f>
        <v/>
      </c>
      <c r="K234" s="54"/>
      <c r="L234" s="363" t="str">
        <f>IFERROR(INDEX('G-8 Condition Look up'!$A$3:$H$135,MATCH(G234,'G-8 Condition Look up'!$A$3:$A$135,0),MATCH(K234,'G-8 Condition Look up'!$A$3:$H$3,0)),"")</f>
        <v/>
      </c>
      <c r="M234" s="54"/>
      <c r="N234" s="382" t="str">
        <f>IF(M234="","",IF(VLOOKUP(M234,'G-3 Multipliers'!$L$3:$N$6,2,FALSE)=0,"Spatial Data Missing",VLOOKUP(M234,'G-3 Multipliers'!$L$3:$N$6,2,FALSE)))</f>
        <v/>
      </c>
      <c r="O234" s="368" t="str">
        <f>IF(M234="","",IF(VLOOKUP(M234,'G-3 Multipliers'!$L$3:$N$6,3,FALSE)=0,"Spatial Data Missing",VLOOKUP(M234,'G-3 Multipliers'!$L$3:$N$6,3,FALSE)))</f>
        <v/>
      </c>
      <c r="P234" s="369" t="str">
        <f>IFERROR(VLOOKUP(G234,'G-1 All Habitats'!$B$2:$M$134,12,FALSE),"")</f>
        <v/>
      </c>
      <c r="Q234" s="376" t="str">
        <f>IFERROR(IF(P234="","",IF(AND(P234='G-1 All Habitats'!$X$3,T234&gt;0),U234+V234,IF(AND(P234='G-1 All Habitats'!$X$3,S234&gt;0),U234+V234,IF(AND(P234='G-1 All Habitats'!$X$3,AC234&gt;0),"Any Loss Unacceptable ⚠",IF(AND(P234='G-1 All Habitats'!$X$3,W234&gt;0),"Any Loss Unacceptable ⚠",H234*J234*L234*O234))))),"Check Data ▲")</f>
        <v/>
      </c>
      <c r="R234" s="38"/>
      <c r="S234" s="54"/>
      <c r="T234" s="55"/>
      <c r="U234" s="374" t="str">
        <f t="shared" si="18"/>
        <v/>
      </c>
      <c r="V234" s="374" t="str">
        <f t="shared" si="19"/>
        <v/>
      </c>
      <c r="W234" s="374" t="str">
        <f>IF(E234="","",IF(H234&lt;S234+T234,"Error in Areas ▲",IF(P234&lt;&gt;'G-1 All Habitats'!$X$3,H234-S234-T234,IF(AND(P234='G-1 All Habitats'!$X$3,Y234="Yes"),"Unacceptable Loss ⚠",IF(AND(P234='G-1 All Habitats'!$X$3,Y234="No"),AC234,IF(AND(P234='G-1 All Habitats'!$X$3,Y234=""),AC234,IF(AND(P234='G-1 All Habitats'!$X$3,AC234="None",AC234),IF(AND(P234='G-1 All Habitats'!$X$3,AC234&gt;0),H234-S234-T234))))))))</f>
        <v/>
      </c>
      <c r="X234" s="378" t="str">
        <f>IFERROR(IF(H234="","",IF(H234-S234-T234=0&lt;0,"Error in Areas ▲",IF(S234+T234&gt;H234,"Error in Areas ▲",IF(AND(P234='G-1 All Habitats'!$X$3,Y234="Yes"),"Alternative Compensation ✓",IF(W234=0,0,IF(P234='G-1 All Habitats'!$X$3,"Any Loss Unacceptable ▲",Q234-U234-V234)))))),"Check Data ▲")</f>
        <v/>
      </c>
      <c r="Y234" s="55"/>
      <c r="Z234" s="62"/>
      <c r="AA234" s="526"/>
      <c r="AB234" s="120"/>
      <c r="AC234" s="726" t="str">
        <f>IF(P234="","",IF(P234='G-1 All Habitats'!$X$3,H234-S234-T234,"None"))</f>
        <v/>
      </c>
      <c r="AD234" s="727" t="str">
        <f>IF(P234="","", IF(P234='G-1 All Habitats'!$X$3, AC234*J234*L234*O234,"None"))</f>
        <v/>
      </c>
      <c r="AF234" s="40" t="str">
        <f t="shared" si="15"/>
        <v/>
      </c>
      <c r="AG234" s="40" t="str">
        <f t="shared" si="16"/>
        <v/>
      </c>
      <c r="AH234" s="40" t="str">
        <f>IF(I234="","",IF(#REF!&gt;0,TRUE,FALSE))</f>
        <v/>
      </c>
      <c r="AI234" s="40">
        <v>224</v>
      </c>
      <c r="AJ234" s="40"/>
      <c r="AK234" s="40" t="str">
        <f t="array" ref="AK234">IFERROR(INDEX($AI$11:$AI$259, MATCH(0, IF(TRUE=$AF$11:$AF$259, COUNTIF($AK$10:$AK233, $AI$11:$AI$259), ""), 0)),"")</f>
        <v/>
      </c>
      <c r="AL234" s="40" t="str">
        <f t="array" ref="AL234">IFERROR(INDEX($AI$11:$AI$259, MATCH(0, IF(TRUE=$AG$11:$AG$259, COUNTIF($AL$10:$AL233, $AI$11:$AI$259), ""), 0)),"")</f>
        <v/>
      </c>
      <c r="AM234" s="40" t="str">
        <f t="array" ref="AM234">IFERROR(INDEX($AI$11:$AI$259, MATCH(0, IF(TRUE=$AH$11:$AH$259, COUNTIF($AM$10:$AM233, $AI$11:$AI$259), ""), 0)),"")</f>
        <v/>
      </c>
      <c r="AN234" s="40"/>
      <c r="AQ234" s="35">
        <f t="shared" si="17"/>
        <v>0</v>
      </c>
    </row>
    <row r="235" spans="1:43">
      <c r="A235" s="35" t="str">
        <f>IFERROR(INDEX('G-1 All Habitats'!$AG$3:$AG$17,MATCH(E235,'G-1 All Habitats'!$AF$3:$AF$17,0)),"")</f>
        <v/>
      </c>
      <c r="B235" s="35" t="str">
        <f>IFERROR(INDEX('G-8 Condition Look up'!$I$4:$I$135,MATCH(G235,'G-8 Condition Look up'!$A$4:$A$135,0)),"")</f>
        <v/>
      </c>
      <c r="D235" s="287">
        <v>225</v>
      </c>
      <c r="E235" s="267"/>
      <c r="F235" s="61"/>
      <c r="G235" s="52" t="str">
        <f>IFERROR(INDEX('G-1 All Habitats'!$B$3:$B$134,MATCH(F235,'G-1 All Habitats'!$A$3:$A$134,0)),"")</f>
        <v/>
      </c>
      <c r="H235" s="53"/>
      <c r="I235" s="362" t="str">
        <f>IF(G235="","",VLOOKUP(G235,'G-1 All Habitats'!$B$2:$M$134,10,FALSE))</f>
        <v/>
      </c>
      <c r="J235" s="363" t="str">
        <f>IFERROR(VLOOKUP(I235,'G-1 All Habitats'!$V$3:$W$7,2,FALSE),"")</f>
        <v/>
      </c>
      <c r="K235" s="54"/>
      <c r="L235" s="363" t="str">
        <f>IFERROR(INDEX('G-8 Condition Look up'!$A$3:$H$135,MATCH(G235,'G-8 Condition Look up'!$A$3:$A$135,0),MATCH(K235,'G-8 Condition Look up'!$A$3:$H$3,0)),"")</f>
        <v/>
      </c>
      <c r="M235" s="54"/>
      <c r="N235" s="382" t="str">
        <f>IF(M235="","",IF(VLOOKUP(M235,'G-3 Multipliers'!$L$3:$N$6,2,FALSE)=0,"Spatial Data Missing",VLOOKUP(M235,'G-3 Multipliers'!$L$3:$N$6,2,FALSE)))</f>
        <v/>
      </c>
      <c r="O235" s="368" t="str">
        <f>IF(M235="","",IF(VLOOKUP(M235,'G-3 Multipliers'!$L$3:$N$6,3,FALSE)=0,"Spatial Data Missing",VLOOKUP(M235,'G-3 Multipliers'!$L$3:$N$6,3,FALSE)))</f>
        <v/>
      </c>
      <c r="P235" s="369" t="str">
        <f>IFERROR(VLOOKUP(G235,'G-1 All Habitats'!$B$2:$M$134,12,FALSE),"")</f>
        <v/>
      </c>
      <c r="Q235" s="376" t="str">
        <f>IFERROR(IF(P235="","",IF(AND(P235='G-1 All Habitats'!$X$3,T235&gt;0),U235+V235,IF(AND(P235='G-1 All Habitats'!$X$3,S235&gt;0),U235+V235,IF(AND(P235='G-1 All Habitats'!$X$3,AC235&gt;0),"Any Loss Unacceptable ⚠",IF(AND(P235='G-1 All Habitats'!$X$3,W235&gt;0),"Any Loss Unacceptable ⚠",H235*J235*L235*O235))))),"Check Data ▲")</f>
        <v/>
      </c>
      <c r="R235" s="38"/>
      <c r="S235" s="54"/>
      <c r="T235" s="55"/>
      <c r="U235" s="374" t="str">
        <f t="shared" si="18"/>
        <v/>
      </c>
      <c r="V235" s="374" t="str">
        <f t="shared" si="19"/>
        <v/>
      </c>
      <c r="W235" s="374" t="str">
        <f>IF(E235="","",IF(H235&lt;S235+T235,"Error in Areas ▲",IF(P235&lt;&gt;'G-1 All Habitats'!$X$3,H235-S235-T235,IF(AND(P235='G-1 All Habitats'!$X$3,Y235="Yes"),"Unacceptable Loss ⚠",IF(AND(P235='G-1 All Habitats'!$X$3,Y235="No"),AC235,IF(AND(P235='G-1 All Habitats'!$X$3,Y235=""),AC235,IF(AND(P235='G-1 All Habitats'!$X$3,AC235="None",AC235),IF(AND(P235='G-1 All Habitats'!$X$3,AC235&gt;0),H235-S235-T235))))))))</f>
        <v/>
      </c>
      <c r="X235" s="378" t="str">
        <f>IFERROR(IF(H235="","",IF(H235-S235-T235=0&lt;0,"Error in Areas ▲",IF(S235+T235&gt;H235,"Error in Areas ▲",IF(AND(P235='G-1 All Habitats'!$X$3,Y235="Yes"),"Alternative Compensation ✓",IF(W235=0,0,IF(P235='G-1 All Habitats'!$X$3,"Any Loss Unacceptable ▲",Q235-U235-V235)))))),"Check Data ▲")</f>
        <v/>
      </c>
      <c r="Y235" s="55"/>
      <c r="Z235" s="62"/>
      <c r="AA235" s="526"/>
      <c r="AB235" s="120"/>
      <c r="AC235" s="726" t="str">
        <f>IF(P235="","",IF(P235='G-1 All Habitats'!$X$3,H235-S235-T235,"None"))</f>
        <v/>
      </c>
      <c r="AD235" s="727" t="str">
        <f>IF(P235="","", IF(P235='G-1 All Habitats'!$X$3, AC235*J235*L235*O235,"None"))</f>
        <v/>
      </c>
      <c r="AF235" s="40" t="str">
        <f t="shared" si="15"/>
        <v/>
      </c>
      <c r="AG235" s="40" t="str">
        <f t="shared" si="16"/>
        <v/>
      </c>
      <c r="AH235" s="40" t="str">
        <f>IF(I235="","",IF(#REF!&gt;0,TRUE,FALSE))</f>
        <v/>
      </c>
      <c r="AI235" s="40">
        <v>225</v>
      </c>
      <c r="AJ235" s="40"/>
      <c r="AK235" s="40" t="str">
        <f t="array" ref="AK235">IFERROR(INDEX($AI$11:$AI$259, MATCH(0, IF(TRUE=$AF$11:$AF$259, COUNTIF($AK$10:$AK234, $AI$11:$AI$259), ""), 0)),"")</f>
        <v/>
      </c>
      <c r="AL235" s="40" t="str">
        <f t="array" ref="AL235">IFERROR(INDEX($AI$11:$AI$259, MATCH(0, IF(TRUE=$AG$11:$AG$259, COUNTIF($AL$10:$AL234, $AI$11:$AI$259), ""), 0)),"")</f>
        <v/>
      </c>
      <c r="AM235" s="40" t="str">
        <f t="array" ref="AM235">IFERROR(INDEX($AI$11:$AI$259, MATCH(0, IF(TRUE=$AH$11:$AH$259, COUNTIF($AM$10:$AM234, $AI$11:$AI$259), ""), 0)),"")</f>
        <v/>
      </c>
      <c r="AN235" s="40"/>
      <c r="AQ235" s="35">
        <f t="shared" si="17"/>
        <v>0</v>
      </c>
    </row>
    <row r="236" spans="1:43">
      <c r="A236" s="35" t="str">
        <f>IFERROR(INDEX('G-1 All Habitats'!$AG$3:$AG$17,MATCH(E236,'G-1 All Habitats'!$AF$3:$AF$17,0)),"")</f>
        <v/>
      </c>
      <c r="B236" s="35" t="str">
        <f>IFERROR(INDEX('G-8 Condition Look up'!$I$4:$I$135,MATCH(G236,'G-8 Condition Look up'!$A$4:$A$135,0)),"")</f>
        <v/>
      </c>
      <c r="D236" s="287">
        <v>226</v>
      </c>
      <c r="E236" s="267"/>
      <c r="F236" s="61"/>
      <c r="G236" s="52" t="str">
        <f>IFERROR(INDEX('G-1 All Habitats'!$B$3:$B$134,MATCH(F236,'G-1 All Habitats'!$A$3:$A$134,0)),"")</f>
        <v/>
      </c>
      <c r="H236" s="53"/>
      <c r="I236" s="362" t="str">
        <f>IF(G236="","",VLOOKUP(G236,'G-1 All Habitats'!$B$2:$M$134,10,FALSE))</f>
        <v/>
      </c>
      <c r="J236" s="363" t="str">
        <f>IFERROR(VLOOKUP(I236,'G-1 All Habitats'!$V$3:$W$7,2,FALSE),"")</f>
        <v/>
      </c>
      <c r="K236" s="54"/>
      <c r="L236" s="363" t="str">
        <f>IFERROR(INDEX('G-8 Condition Look up'!$A$3:$H$135,MATCH(G236,'G-8 Condition Look up'!$A$3:$A$135,0),MATCH(K236,'G-8 Condition Look up'!$A$3:$H$3,0)),"")</f>
        <v/>
      </c>
      <c r="M236" s="54"/>
      <c r="N236" s="382" t="str">
        <f>IF(M236="","",IF(VLOOKUP(M236,'G-3 Multipliers'!$L$3:$N$6,2,FALSE)=0,"Spatial Data Missing",VLOOKUP(M236,'G-3 Multipliers'!$L$3:$N$6,2,FALSE)))</f>
        <v/>
      </c>
      <c r="O236" s="368" t="str">
        <f>IF(M236="","",IF(VLOOKUP(M236,'G-3 Multipliers'!$L$3:$N$6,3,FALSE)=0,"Spatial Data Missing",VLOOKUP(M236,'G-3 Multipliers'!$L$3:$N$6,3,FALSE)))</f>
        <v/>
      </c>
      <c r="P236" s="369" t="str">
        <f>IFERROR(VLOOKUP(G236,'G-1 All Habitats'!$B$2:$M$134,12,FALSE),"")</f>
        <v/>
      </c>
      <c r="Q236" s="376" t="str">
        <f>IFERROR(IF(P236="","",IF(AND(P236='G-1 All Habitats'!$X$3,T236&gt;0),U236+V236,IF(AND(P236='G-1 All Habitats'!$X$3,S236&gt;0),U236+V236,IF(AND(P236='G-1 All Habitats'!$X$3,AC236&gt;0),"Any Loss Unacceptable ⚠",IF(AND(P236='G-1 All Habitats'!$X$3,W236&gt;0),"Any Loss Unacceptable ⚠",H236*J236*L236*O236))))),"Check Data ▲")</f>
        <v/>
      </c>
      <c r="R236" s="38"/>
      <c r="S236" s="54"/>
      <c r="T236" s="55"/>
      <c r="U236" s="374" t="str">
        <f t="shared" si="18"/>
        <v/>
      </c>
      <c r="V236" s="374" t="str">
        <f t="shared" si="19"/>
        <v/>
      </c>
      <c r="W236" s="374" t="str">
        <f>IF(E236="","",IF(H236&lt;S236+T236,"Error in Areas ▲",IF(P236&lt;&gt;'G-1 All Habitats'!$X$3,H236-S236-T236,IF(AND(P236='G-1 All Habitats'!$X$3,Y236="Yes"),"Unacceptable Loss ⚠",IF(AND(P236='G-1 All Habitats'!$X$3,Y236="No"),AC236,IF(AND(P236='G-1 All Habitats'!$X$3,Y236=""),AC236,IF(AND(P236='G-1 All Habitats'!$X$3,AC236="None",AC236),IF(AND(P236='G-1 All Habitats'!$X$3,AC236&gt;0),H236-S236-T236))))))))</f>
        <v/>
      </c>
      <c r="X236" s="378" t="str">
        <f>IFERROR(IF(H236="","",IF(H236-S236-T236=0&lt;0,"Error in Areas ▲",IF(S236+T236&gt;H236,"Error in Areas ▲",IF(AND(P236='G-1 All Habitats'!$X$3,Y236="Yes"),"Alternative Compensation ✓",IF(W236=0,0,IF(P236='G-1 All Habitats'!$X$3,"Any Loss Unacceptable ▲",Q236-U236-V236)))))),"Check Data ▲")</f>
        <v/>
      </c>
      <c r="Y236" s="55"/>
      <c r="Z236" s="62"/>
      <c r="AA236" s="526"/>
      <c r="AB236" s="120"/>
      <c r="AC236" s="726" t="str">
        <f>IF(P236="","",IF(P236='G-1 All Habitats'!$X$3,H236-S236-T236,"None"))</f>
        <v/>
      </c>
      <c r="AD236" s="727" t="str">
        <f>IF(P236="","", IF(P236='G-1 All Habitats'!$X$3, AC236*J236*L236*O236,"None"))</f>
        <v/>
      </c>
      <c r="AF236" s="40" t="str">
        <f t="shared" si="15"/>
        <v/>
      </c>
      <c r="AG236" s="40" t="str">
        <f t="shared" si="16"/>
        <v/>
      </c>
      <c r="AH236" s="40" t="str">
        <f>IF(I236="","",IF(#REF!&gt;0,TRUE,FALSE))</f>
        <v/>
      </c>
      <c r="AI236" s="40">
        <v>226</v>
      </c>
      <c r="AJ236" s="40"/>
      <c r="AK236" s="40" t="str">
        <f t="array" ref="AK236">IFERROR(INDEX($AI$11:$AI$259, MATCH(0, IF(TRUE=$AF$11:$AF$259, COUNTIF($AK$10:$AK235, $AI$11:$AI$259), ""), 0)),"")</f>
        <v/>
      </c>
      <c r="AL236" s="40" t="str">
        <f t="array" ref="AL236">IFERROR(INDEX($AI$11:$AI$259, MATCH(0, IF(TRUE=$AG$11:$AG$259, COUNTIF($AL$10:$AL235, $AI$11:$AI$259), ""), 0)),"")</f>
        <v/>
      </c>
      <c r="AM236" s="40" t="str">
        <f t="array" ref="AM236">IFERROR(INDEX($AI$11:$AI$259, MATCH(0, IF(TRUE=$AH$11:$AH$259, COUNTIF($AM$10:$AM235, $AI$11:$AI$259), ""), 0)),"")</f>
        <v/>
      </c>
      <c r="AN236" s="40"/>
      <c r="AQ236" s="35">
        <f t="shared" si="17"/>
        <v>0</v>
      </c>
    </row>
    <row r="237" spans="1:43">
      <c r="A237" s="35" t="str">
        <f>IFERROR(INDEX('G-1 All Habitats'!$AG$3:$AG$17,MATCH(E237,'G-1 All Habitats'!$AF$3:$AF$17,0)),"")</f>
        <v/>
      </c>
      <c r="B237" s="35" t="str">
        <f>IFERROR(INDEX('G-8 Condition Look up'!$I$4:$I$135,MATCH(G237,'G-8 Condition Look up'!$A$4:$A$135,0)),"")</f>
        <v/>
      </c>
      <c r="D237" s="287">
        <v>227</v>
      </c>
      <c r="E237" s="267"/>
      <c r="F237" s="61"/>
      <c r="G237" s="52" t="str">
        <f>IFERROR(INDEX('G-1 All Habitats'!$B$3:$B$134,MATCH(F237,'G-1 All Habitats'!$A$3:$A$134,0)),"")</f>
        <v/>
      </c>
      <c r="H237" s="53"/>
      <c r="I237" s="362" t="str">
        <f>IF(G237="","",VLOOKUP(G237,'G-1 All Habitats'!$B$2:$M$134,10,FALSE))</f>
        <v/>
      </c>
      <c r="J237" s="363" t="str">
        <f>IFERROR(VLOOKUP(I237,'G-1 All Habitats'!$V$3:$W$7,2,FALSE),"")</f>
        <v/>
      </c>
      <c r="K237" s="54"/>
      <c r="L237" s="363" t="str">
        <f>IFERROR(INDEX('G-8 Condition Look up'!$A$3:$H$135,MATCH(G237,'G-8 Condition Look up'!$A$3:$A$135,0),MATCH(K237,'G-8 Condition Look up'!$A$3:$H$3,0)),"")</f>
        <v/>
      </c>
      <c r="M237" s="54"/>
      <c r="N237" s="382" t="str">
        <f>IF(M237="","",IF(VLOOKUP(M237,'G-3 Multipliers'!$L$3:$N$6,2,FALSE)=0,"Spatial Data Missing",VLOOKUP(M237,'G-3 Multipliers'!$L$3:$N$6,2,FALSE)))</f>
        <v/>
      </c>
      <c r="O237" s="368" t="str">
        <f>IF(M237="","",IF(VLOOKUP(M237,'G-3 Multipliers'!$L$3:$N$6,3,FALSE)=0,"Spatial Data Missing",VLOOKUP(M237,'G-3 Multipliers'!$L$3:$N$6,3,FALSE)))</f>
        <v/>
      </c>
      <c r="P237" s="369" t="str">
        <f>IFERROR(VLOOKUP(G237,'G-1 All Habitats'!$B$2:$M$134,12,FALSE),"")</f>
        <v/>
      </c>
      <c r="Q237" s="376" t="str">
        <f>IFERROR(IF(P237="","",IF(AND(P237='G-1 All Habitats'!$X$3,T237&gt;0),U237+V237,IF(AND(P237='G-1 All Habitats'!$X$3,S237&gt;0),U237+V237,IF(AND(P237='G-1 All Habitats'!$X$3,AC237&gt;0),"Any Loss Unacceptable ⚠",IF(AND(P237='G-1 All Habitats'!$X$3,W237&gt;0),"Any Loss Unacceptable ⚠",H237*J237*L237*O237))))),"Check Data ▲")</f>
        <v/>
      </c>
      <c r="R237" s="38"/>
      <c r="S237" s="54"/>
      <c r="T237" s="55"/>
      <c r="U237" s="374" t="str">
        <f t="shared" si="18"/>
        <v/>
      </c>
      <c r="V237" s="374" t="str">
        <f t="shared" si="19"/>
        <v/>
      </c>
      <c r="W237" s="374" t="str">
        <f>IF(E237="","",IF(H237&lt;S237+T237,"Error in Areas ▲",IF(P237&lt;&gt;'G-1 All Habitats'!$X$3,H237-S237-T237,IF(AND(P237='G-1 All Habitats'!$X$3,Y237="Yes"),"Unacceptable Loss ⚠",IF(AND(P237='G-1 All Habitats'!$X$3,Y237="No"),AC237,IF(AND(P237='G-1 All Habitats'!$X$3,Y237=""),AC237,IF(AND(P237='G-1 All Habitats'!$X$3,AC237="None",AC237),IF(AND(P237='G-1 All Habitats'!$X$3,AC237&gt;0),H237-S237-T237))))))))</f>
        <v/>
      </c>
      <c r="X237" s="378" t="str">
        <f>IFERROR(IF(H237="","",IF(H237-S237-T237=0&lt;0,"Error in Areas ▲",IF(S237+T237&gt;H237,"Error in Areas ▲",IF(AND(P237='G-1 All Habitats'!$X$3,Y237="Yes"),"Alternative Compensation ✓",IF(W237=0,0,IF(P237='G-1 All Habitats'!$X$3,"Any Loss Unacceptable ▲",Q237-U237-V237)))))),"Check Data ▲")</f>
        <v/>
      </c>
      <c r="Y237" s="55"/>
      <c r="Z237" s="62"/>
      <c r="AA237" s="526"/>
      <c r="AB237" s="120"/>
      <c r="AC237" s="726" t="str">
        <f>IF(P237="","",IF(P237='G-1 All Habitats'!$X$3,H237-S237-T237,"None"))</f>
        <v/>
      </c>
      <c r="AD237" s="727" t="str">
        <f>IF(P237="","", IF(P237='G-1 All Habitats'!$X$3, AC237*J237*L237*O237,"None"))</f>
        <v/>
      </c>
      <c r="AF237" s="40" t="str">
        <f t="shared" si="15"/>
        <v/>
      </c>
      <c r="AG237" s="40" t="str">
        <f t="shared" si="16"/>
        <v/>
      </c>
      <c r="AH237" s="40" t="str">
        <f>IF(I237="","",IF(#REF!&gt;0,TRUE,FALSE))</f>
        <v/>
      </c>
      <c r="AI237" s="40">
        <v>227</v>
      </c>
      <c r="AJ237" s="40"/>
      <c r="AK237" s="40" t="str">
        <f t="array" ref="AK237">IFERROR(INDEX($AI$11:$AI$259, MATCH(0, IF(TRUE=$AF$11:$AF$259, COUNTIF($AK$10:$AK236, $AI$11:$AI$259), ""), 0)),"")</f>
        <v/>
      </c>
      <c r="AL237" s="40" t="str">
        <f t="array" ref="AL237">IFERROR(INDEX($AI$11:$AI$259, MATCH(0, IF(TRUE=$AG$11:$AG$259, COUNTIF($AL$10:$AL236, $AI$11:$AI$259), ""), 0)),"")</f>
        <v/>
      </c>
      <c r="AM237" s="40" t="str">
        <f t="array" ref="AM237">IFERROR(INDEX($AI$11:$AI$259, MATCH(0, IF(TRUE=$AH$11:$AH$259, COUNTIF($AM$10:$AM236, $AI$11:$AI$259), ""), 0)),"")</f>
        <v/>
      </c>
      <c r="AN237" s="40"/>
      <c r="AQ237" s="35">
        <f t="shared" si="17"/>
        <v>0</v>
      </c>
    </row>
    <row r="238" spans="1:43">
      <c r="A238" s="35" t="str">
        <f>IFERROR(INDEX('G-1 All Habitats'!$AG$3:$AG$17,MATCH(E238,'G-1 All Habitats'!$AF$3:$AF$17,0)),"")</f>
        <v/>
      </c>
      <c r="B238" s="35" t="str">
        <f>IFERROR(INDEX('G-8 Condition Look up'!$I$4:$I$135,MATCH(G238,'G-8 Condition Look up'!$A$4:$A$135,0)),"")</f>
        <v/>
      </c>
      <c r="D238" s="287">
        <v>228</v>
      </c>
      <c r="E238" s="267"/>
      <c r="F238" s="61"/>
      <c r="G238" s="52" t="str">
        <f>IFERROR(INDEX('G-1 All Habitats'!$B$3:$B$134,MATCH(F238,'G-1 All Habitats'!$A$3:$A$134,0)),"")</f>
        <v/>
      </c>
      <c r="H238" s="53"/>
      <c r="I238" s="362" t="str">
        <f>IF(G238="","",VLOOKUP(G238,'G-1 All Habitats'!$B$2:$M$134,10,FALSE))</f>
        <v/>
      </c>
      <c r="J238" s="363" t="str">
        <f>IFERROR(VLOOKUP(I238,'G-1 All Habitats'!$V$3:$W$7,2,FALSE),"")</f>
        <v/>
      </c>
      <c r="K238" s="54"/>
      <c r="L238" s="363" t="str">
        <f>IFERROR(INDEX('G-8 Condition Look up'!$A$3:$H$135,MATCH(G238,'G-8 Condition Look up'!$A$3:$A$135,0),MATCH(K238,'G-8 Condition Look up'!$A$3:$H$3,0)),"")</f>
        <v/>
      </c>
      <c r="M238" s="54"/>
      <c r="N238" s="382" t="str">
        <f>IF(M238="","",IF(VLOOKUP(M238,'G-3 Multipliers'!$L$3:$N$6,2,FALSE)=0,"Spatial Data Missing",VLOOKUP(M238,'G-3 Multipliers'!$L$3:$N$6,2,FALSE)))</f>
        <v/>
      </c>
      <c r="O238" s="368" t="str">
        <f>IF(M238="","",IF(VLOOKUP(M238,'G-3 Multipliers'!$L$3:$N$6,3,FALSE)=0,"Spatial Data Missing",VLOOKUP(M238,'G-3 Multipliers'!$L$3:$N$6,3,FALSE)))</f>
        <v/>
      </c>
      <c r="P238" s="369" t="str">
        <f>IFERROR(VLOOKUP(G238,'G-1 All Habitats'!$B$2:$M$134,12,FALSE),"")</f>
        <v/>
      </c>
      <c r="Q238" s="376" t="str">
        <f>IFERROR(IF(P238="","",IF(AND(P238='G-1 All Habitats'!$X$3,T238&gt;0),U238+V238,IF(AND(P238='G-1 All Habitats'!$X$3,S238&gt;0),U238+V238,IF(AND(P238='G-1 All Habitats'!$X$3,AC238&gt;0),"Any Loss Unacceptable ⚠",IF(AND(P238='G-1 All Habitats'!$X$3,W238&gt;0),"Any Loss Unacceptable ⚠",H238*J238*L238*O238))))),"Check Data ▲")</f>
        <v/>
      </c>
      <c r="R238" s="38"/>
      <c r="S238" s="54"/>
      <c r="T238" s="55"/>
      <c r="U238" s="374" t="str">
        <f t="shared" si="18"/>
        <v/>
      </c>
      <c r="V238" s="374" t="str">
        <f t="shared" si="19"/>
        <v/>
      </c>
      <c r="W238" s="374" t="str">
        <f>IF(E238="","",IF(H238&lt;S238+T238,"Error in Areas ▲",IF(P238&lt;&gt;'G-1 All Habitats'!$X$3,H238-S238-T238,IF(AND(P238='G-1 All Habitats'!$X$3,Y238="Yes"),"Unacceptable Loss ⚠",IF(AND(P238='G-1 All Habitats'!$X$3,Y238="No"),AC238,IF(AND(P238='G-1 All Habitats'!$X$3,Y238=""),AC238,IF(AND(P238='G-1 All Habitats'!$X$3,AC238="None",AC238),IF(AND(P238='G-1 All Habitats'!$X$3,AC238&gt;0),H238-S238-T238))))))))</f>
        <v/>
      </c>
      <c r="X238" s="378" t="str">
        <f>IFERROR(IF(H238="","",IF(H238-S238-T238=0&lt;0,"Error in Areas ▲",IF(S238+T238&gt;H238,"Error in Areas ▲",IF(AND(P238='G-1 All Habitats'!$X$3,Y238="Yes"),"Alternative Compensation ✓",IF(W238=0,0,IF(P238='G-1 All Habitats'!$X$3,"Any Loss Unacceptable ▲",Q238-U238-V238)))))),"Check Data ▲")</f>
        <v/>
      </c>
      <c r="Y238" s="55"/>
      <c r="Z238" s="62"/>
      <c r="AA238" s="526"/>
      <c r="AB238" s="120"/>
      <c r="AC238" s="726" t="str">
        <f>IF(P238="","",IF(P238='G-1 All Habitats'!$X$3,H238-S238-T238,"None"))</f>
        <v/>
      </c>
      <c r="AD238" s="727" t="str">
        <f>IF(P238="","", IF(P238='G-1 All Habitats'!$X$3, AC238*J238*L238*O238,"None"))</f>
        <v/>
      </c>
      <c r="AF238" s="40" t="str">
        <f t="shared" si="15"/>
        <v/>
      </c>
      <c r="AG238" s="40" t="str">
        <f t="shared" si="16"/>
        <v/>
      </c>
      <c r="AH238" s="40" t="str">
        <f>IF(I238="","",IF(#REF!&gt;0,TRUE,FALSE))</f>
        <v/>
      </c>
      <c r="AI238" s="40">
        <v>228</v>
      </c>
      <c r="AJ238" s="40"/>
      <c r="AK238" s="40" t="str">
        <f t="array" ref="AK238">IFERROR(INDEX($AI$11:$AI$259, MATCH(0, IF(TRUE=$AF$11:$AF$259, COUNTIF($AK$10:$AK237, $AI$11:$AI$259), ""), 0)),"")</f>
        <v/>
      </c>
      <c r="AL238" s="40" t="str">
        <f t="array" ref="AL238">IFERROR(INDEX($AI$11:$AI$259, MATCH(0, IF(TRUE=$AG$11:$AG$259, COUNTIF($AL$10:$AL237, $AI$11:$AI$259), ""), 0)),"")</f>
        <v/>
      </c>
      <c r="AM238" s="40" t="str">
        <f t="array" ref="AM238">IFERROR(INDEX($AI$11:$AI$259, MATCH(0, IF(TRUE=$AH$11:$AH$259, COUNTIF($AM$10:$AM237, $AI$11:$AI$259), ""), 0)),"")</f>
        <v/>
      </c>
      <c r="AN238" s="40"/>
      <c r="AQ238" s="35">
        <f t="shared" si="17"/>
        <v>0</v>
      </c>
    </row>
    <row r="239" spans="1:43">
      <c r="A239" s="35" t="str">
        <f>IFERROR(INDEX('G-1 All Habitats'!$AG$3:$AG$17,MATCH(E239,'G-1 All Habitats'!$AF$3:$AF$17,0)),"")</f>
        <v/>
      </c>
      <c r="B239" s="35" t="str">
        <f>IFERROR(INDEX('G-8 Condition Look up'!$I$4:$I$135,MATCH(G239,'G-8 Condition Look up'!$A$4:$A$135,0)),"")</f>
        <v/>
      </c>
      <c r="D239" s="287">
        <v>229</v>
      </c>
      <c r="E239" s="267"/>
      <c r="F239" s="61"/>
      <c r="G239" s="52" t="str">
        <f>IFERROR(INDEX('G-1 All Habitats'!$B$3:$B$134,MATCH(F239,'G-1 All Habitats'!$A$3:$A$134,0)),"")</f>
        <v/>
      </c>
      <c r="H239" s="53"/>
      <c r="I239" s="362" t="str">
        <f>IF(G239="","",VLOOKUP(G239,'G-1 All Habitats'!$B$2:$M$134,10,FALSE))</f>
        <v/>
      </c>
      <c r="J239" s="363" t="str">
        <f>IFERROR(VLOOKUP(I239,'G-1 All Habitats'!$V$3:$W$7,2,FALSE),"")</f>
        <v/>
      </c>
      <c r="K239" s="54"/>
      <c r="L239" s="363" t="str">
        <f>IFERROR(INDEX('G-8 Condition Look up'!$A$3:$H$135,MATCH(G239,'G-8 Condition Look up'!$A$3:$A$135,0),MATCH(K239,'G-8 Condition Look up'!$A$3:$H$3,0)),"")</f>
        <v/>
      </c>
      <c r="M239" s="54"/>
      <c r="N239" s="382" t="str">
        <f>IF(M239="","",IF(VLOOKUP(M239,'G-3 Multipliers'!$L$3:$N$6,2,FALSE)=0,"Spatial Data Missing",VLOOKUP(M239,'G-3 Multipliers'!$L$3:$N$6,2,FALSE)))</f>
        <v/>
      </c>
      <c r="O239" s="368" t="str">
        <f>IF(M239="","",IF(VLOOKUP(M239,'G-3 Multipliers'!$L$3:$N$6,3,FALSE)=0,"Spatial Data Missing",VLOOKUP(M239,'G-3 Multipliers'!$L$3:$N$6,3,FALSE)))</f>
        <v/>
      </c>
      <c r="P239" s="369" t="str">
        <f>IFERROR(VLOOKUP(G239,'G-1 All Habitats'!$B$2:$M$134,12,FALSE),"")</f>
        <v/>
      </c>
      <c r="Q239" s="376" t="str">
        <f>IFERROR(IF(P239="","",IF(AND(P239='G-1 All Habitats'!$X$3,T239&gt;0),U239+V239,IF(AND(P239='G-1 All Habitats'!$X$3,S239&gt;0),U239+V239,IF(AND(P239='G-1 All Habitats'!$X$3,AC239&gt;0),"Any Loss Unacceptable ⚠",IF(AND(P239='G-1 All Habitats'!$X$3,W239&gt;0),"Any Loss Unacceptable ⚠",H239*J239*L239*O239))))),"Check Data ▲")</f>
        <v/>
      </c>
      <c r="R239" s="38"/>
      <c r="S239" s="54"/>
      <c r="T239" s="55"/>
      <c r="U239" s="374" t="str">
        <f t="shared" si="18"/>
        <v/>
      </c>
      <c r="V239" s="374" t="str">
        <f t="shared" si="19"/>
        <v/>
      </c>
      <c r="W239" s="374" t="str">
        <f>IF(E239="","",IF(H239&lt;S239+T239,"Error in Areas ▲",IF(P239&lt;&gt;'G-1 All Habitats'!$X$3,H239-S239-T239,IF(AND(P239='G-1 All Habitats'!$X$3,Y239="Yes"),"Unacceptable Loss ⚠",IF(AND(P239='G-1 All Habitats'!$X$3,Y239="No"),AC239,IF(AND(P239='G-1 All Habitats'!$X$3,Y239=""),AC239,IF(AND(P239='G-1 All Habitats'!$X$3,AC239="None",AC239),IF(AND(P239='G-1 All Habitats'!$X$3,AC239&gt;0),H239-S239-T239))))))))</f>
        <v/>
      </c>
      <c r="X239" s="378" t="str">
        <f>IFERROR(IF(H239="","",IF(H239-S239-T239=0&lt;0,"Error in Areas ▲",IF(S239+T239&gt;H239,"Error in Areas ▲",IF(AND(P239='G-1 All Habitats'!$X$3,Y239="Yes"),"Alternative Compensation ✓",IF(W239=0,0,IF(P239='G-1 All Habitats'!$X$3,"Any Loss Unacceptable ▲",Q239-U239-V239)))))),"Check Data ▲")</f>
        <v/>
      </c>
      <c r="Y239" s="55"/>
      <c r="Z239" s="62"/>
      <c r="AA239" s="526"/>
      <c r="AB239" s="120"/>
      <c r="AC239" s="726" t="str">
        <f>IF(P239="","",IF(P239='G-1 All Habitats'!$X$3,H239-S239-T239,"None"))</f>
        <v/>
      </c>
      <c r="AD239" s="727" t="str">
        <f>IF(P239="","", IF(P239='G-1 All Habitats'!$X$3, AC239*J239*L239*O239,"None"))</f>
        <v/>
      </c>
      <c r="AF239" s="40" t="str">
        <f t="shared" si="15"/>
        <v/>
      </c>
      <c r="AG239" s="40" t="str">
        <f t="shared" si="16"/>
        <v/>
      </c>
      <c r="AH239" s="40" t="str">
        <f>IF(I239="","",IF(#REF!&gt;0,TRUE,FALSE))</f>
        <v/>
      </c>
      <c r="AI239" s="40">
        <v>229</v>
      </c>
      <c r="AJ239" s="40"/>
      <c r="AK239" s="40" t="str">
        <f t="array" ref="AK239">IFERROR(INDEX($AI$11:$AI$259, MATCH(0, IF(TRUE=$AF$11:$AF$259, COUNTIF($AK$10:$AK238, $AI$11:$AI$259), ""), 0)),"")</f>
        <v/>
      </c>
      <c r="AL239" s="40" t="str">
        <f t="array" ref="AL239">IFERROR(INDEX($AI$11:$AI$259, MATCH(0, IF(TRUE=$AG$11:$AG$259, COUNTIF($AL$10:$AL238, $AI$11:$AI$259), ""), 0)),"")</f>
        <v/>
      </c>
      <c r="AM239" s="40" t="str">
        <f t="array" ref="AM239">IFERROR(INDEX($AI$11:$AI$259, MATCH(0, IF(TRUE=$AH$11:$AH$259, COUNTIF($AM$10:$AM238, $AI$11:$AI$259), ""), 0)),"")</f>
        <v/>
      </c>
      <c r="AN239" s="40"/>
      <c r="AQ239" s="35">
        <f t="shared" si="17"/>
        <v>0</v>
      </c>
    </row>
    <row r="240" spans="1:43">
      <c r="A240" s="35" t="str">
        <f>IFERROR(INDEX('G-1 All Habitats'!$AG$3:$AG$17,MATCH(E240,'G-1 All Habitats'!$AF$3:$AF$17,0)),"")</f>
        <v/>
      </c>
      <c r="B240" s="35" t="str">
        <f>IFERROR(INDEX('G-8 Condition Look up'!$I$4:$I$135,MATCH(G240,'G-8 Condition Look up'!$A$4:$A$135,0)),"")</f>
        <v/>
      </c>
      <c r="D240" s="287">
        <v>230</v>
      </c>
      <c r="E240" s="267"/>
      <c r="F240" s="61"/>
      <c r="G240" s="52" t="str">
        <f>IFERROR(INDEX('G-1 All Habitats'!$B$3:$B$134,MATCH(F240,'G-1 All Habitats'!$A$3:$A$134,0)),"")</f>
        <v/>
      </c>
      <c r="H240" s="53"/>
      <c r="I240" s="362" t="str">
        <f>IF(G240="","",VLOOKUP(G240,'G-1 All Habitats'!$B$2:$M$134,10,FALSE))</f>
        <v/>
      </c>
      <c r="J240" s="363" t="str">
        <f>IFERROR(VLOOKUP(I240,'G-1 All Habitats'!$V$3:$W$7,2,FALSE),"")</f>
        <v/>
      </c>
      <c r="K240" s="54"/>
      <c r="L240" s="363" t="str">
        <f>IFERROR(INDEX('G-8 Condition Look up'!$A$3:$H$135,MATCH(G240,'G-8 Condition Look up'!$A$3:$A$135,0),MATCH(K240,'G-8 Condition Look up'!$A$3:$H$3,0)),"")</f>
        <v/>
      </c>
      <c r="M240" s="54"/>
      <c r="N240" s="382" t="str">
        <f>IF(M240="","",IF(VLOOKUP(M240,'G-3 Multipliers'!$L$3:$N$6,2,FALSE)=0,"Spatial Data Missing",VLOOKUP(M240,'G-3 Multipliers'!$L$3:$N$6,2,FALSE)))</f>
        <v/>
      </c>
      <c r="O240" s="368" t="str">
        <f>IF(M240="","",IF(VLOOKUP(M240,'G-3 Multipliers'!$L$3:$N$6,3,FALSE)=0,"Spatial Data Missing",VLOOKUP(M240,'G-3 Multipliers'!$L$3:$N$6,3,FALSE)))</f>
        <v/>
      </c>
      <c r="P240" s="369" t="str">
        <f>IFERROR(VLOOKUP(G240,'G-1 All Habitats'!$B$2:$M$134,12,FALSE),"")</f>
        <v/>
      </c>
      <c r="Q240" s="376" t="str">
        <f>IFERROR(IF(P240="","",IF(AND(P240='G-1 All Habitats'!$X$3,T240&gt;0),U240+V240,IF(AND(P240='G-1 All Habitats'!$X$3,S240&gt;0),U240+V240,IF(AND(P240='G-1 All Habitats'!$X$3,AC240&gt;0),"Any Loss Unacceptable ⚠",IF(AND(P240='G-1 All Habitats'!$X$3,W240&gt;0),"Any Loss Unacceptable ⚠",H240*J240*L240*O240))))),"Check Data ▲")</f>
        <v/>
      </c>
      <c r="R240" s="38"/>
      <c r="S240" s="54"/>
      <c r="T240" s="55"/>
      <c r="U240" s="374" t="str">
        <f t="shared" si="18"/>
        <v/>
      </c>
      <c r="V240" s="374" t="str">
        <f t="shared" si="19"/>
        <v/>
      </c>
      <c r="W240" s="374" t="str">
        <f>IF(E240="","",IF(H240&lt;S240+T240,"Error in Areas ▲",IF(P240&lt;&gt;'G-1 All Habitats'!$X$3,H240-S240-T240,IF(AND(P240='G-1 All Habitats'!$X$3,Y240="Yes"),"Unacceptable Loss ⚠",IF(AND(P240='G-1 All Habitats'!$X$3,Y240="No"),AC240,IF(AND(P240='G-1 All Habitats'!$X$3,Y240=""),AC240,IF(AND(P240='G-1 All Habitats'!$X$3,AC240="None",AC240),IF(AND(P240='G-1 All Habitats'!$X$3,AC240&gt;0),H240-S240-T240))))))))</f>
        <v/>
      </c>
      <c r="X240" s="378" t="str">
        <f>IFERROR(IF(H240="","",IF(H240-S240-T240=0&lt;0,"Error in Areas ▲",IF(S240+T240&gt;H240,"Error in Areas ▲",IF(AND(P240='G-1 All Habitats'!$X$3,Y240="Yes"),"Alternative Compensation ✓",IF(W240=0,0,IF(P240='G-1 All Habitats'!$X$3,"Any Loss Unacceptable ▲",Q240-U240-V240)))))),"Check Data ▲")</f>
        <v/>
      </c>
      <c r="Y240" s="55"/>
      <c r="Z240" s="62"/>
      <c r="AA240" s="526"/>
      <c r="AB240" s="120"/>
      <c r="AC240" s="726" t="str">
        <f>IF(P240="","",IF(P240='G-1 All Habitats'!$X$3,H240-S240-T240,"None"))</f>
        <v/>
      </c>
      <c r="AD240" s="727" t="str">
        <f>IF(P240="","", IF(P240='G-1 All Habitats'!$X$3, AC240*J240*L240*O240,"None"))</f>
        <v/>
      </c>
      <c r="AF240" s="40" t="str">
        <f t="shared" si="15"/>
        <v/>
      </c>
      <c r="AG240" s="40" t="str">
        <f t="shared" si="16"/>
        <v/>
      </c>
      <c r="AH240" s="40" t="str">
        <f>IF(I240="","",IF(#REF!&gt;0,TRUE,FALSE))</f>
        <v/>
      </c>
      <c r="AI240" s="40">
        <v>230</v>
      </c>
      <c r="AJ240" s="40"/>
      <c r="AK240" s="40" t="str">
        <f t="array" ref="AK240">IFERROR(INDEX($AI$11:$AI$259, MATCH(0, IF(TRUE=$AF$11:$AF$259, COUNTIF($AK$10:$AK239, $AI$11:$AI$259), ""), 0)),"")</f>
        <v/>
      </c>
      <c r="AL240" s="40" t="str">
        <f t="array" ref="AL240">IFERROR(INDEX($AI$11:$AI$259, MATCH(0, IF(TRUE=$AG$11:$AG$259, COUNTIF($AL$10:$AL239, $AI$11:$AI$259), ""), 0)),"")</f>
        <v/>
      </c>
      <c r="AM240" s="40" t="str">
        <f t="array" ref="AM240">IFERROR(INDEX($AI$11:$AI$259, MATCH(0, IF(TRUE=$AH$11:$AH$259, COUNTIF($AM$10:$AM239, $AI$11:$AI$259), ""), 0)),"")</f>
        <v/>
      </c>
      <c r="AN240" s="40"/>
      <c r="AQ240" s="35">
        <f t="shared" si="17"/>
        <v>0</v>
      </c>
    </row>
    <row r="241" spans="1:43">
      <c r="A241" s="35" t="str">
        <f>IFERROR(INDEX('G-1 All Habitats'!$AG$3:$AG$17,MATCH(E241,'G-1 All Habitats'!$AF$3:$AF$17,0)),"")</f>
        <v/>
      </c>
      <c r="B241" s="35" t="str">
        <f>IFERROR(INDEX('G-8 Condition Look up'!$I$4:$I$135,MATCH(G241,'G-8 Condition Look up'!$A$4:$A$135,0)),"")</f>
        <v/>
      </c>
      <c r="D241" s="287">
        <v>231</v>
      </c>
      <c r="E241" s="267"/>
      <c r="F241" s="61"/>
      <c r="G241" s="52" t="str">
        <f>IFERROR(INDEX('G-1 All Habitats'!$B$3:$B$134,MATCH(F241,'G-1 All Habitats'!$A$3:$A$134,0)),"")</f>
        <v/>
      </c>
      <c r="H241" s="53"/>
      <c r="I241" s="362" t="str">
        <f>IF(G241="","",VLOOKUP(G241,'G-1 All Habitats'!$B$2:$M$134,10,FALSE))</f>
        <v/>
      </c>
      <c r="J241" s="363" t="str">
        <f>IFERROR(VLOOKUP(I241,'G-1 All Habitats'!$V$3:$W$7,2,FALSE),"")</f>
        <v/>
      </c>
      <c r="K241" s="54"/>
      <c r="L241" s="363" t="str">
        <f>IFERROR(INDEX('G-8 Condition Look up'!$A$3:$H$135,MATCH(G241,'G-8 Condition Look up'!$A$3:$A$135,0),MATCH(K241,'G-8 Condition Look up'!$A$3:$H$3,0)),"")</f>
        <v/>
      </c>
      <c r="M241" s="54"/>
      <c r="N241" s="382" t="str">
        <f>IF(M241="","",IF(VLOOKUP(M241,'G-3 Multipliers'!$L$3:$N$6,2,FALSE)=0,"Spatial Data Missing",VLOOKUP(M241,'G-3 Multipliers'!$L$3:$N$6,2,FALSE)))</f>
        <v/>
      </c>
      <c r="O241" s="368" t="str">
        <f>IF(M241="","",IF(VLOOKUP(M241,'G-3 Multipliers'!$L$3:$N$6,3,FALSE)=0,"Spatial Data Missing",VLOOKUP(M241,'G-3 Multipliers'!$L$3:$N$6,3,FALSE)))</f>
        <v/>
      </c>
      <c r="P241" s="369" t="str">
        <f>IFERROR(VLOOKUP(G241,'G-1 All Habitats'!$B$2:$M$134,12,FALSE),"")</f>
        <v/>
      </c>
      <c r="Q241" s="376" t="str">
        <f>IFERROR(IF(P241="","",IF(AND(P241='G-1 All Habitats'!$X$3,T241&gt;0),U241+V241,IF(AND(P241='G-1 All Habitats'!$X$3,S241&gt;0),U241+V241,IF(AND(P241='G-1 All Habitats'!$X$3,AC241&gt;0),"Any Loss Unacceptable ⚠",IF(AND(P241='G-1 All Habitats'!$X$3,W241&gt;0),"Any Loss Unacceptable ⚠",H241*J241*L241*O241))))),"Check Data ▲")</f>
        <v/>
      </c>
      <c r="R241" s="38"/>
      <c r="S241" s="54"/>
      <c r="T241" s="55"/>
      <c r="U241" s="374" t="str">
        <f t="shared" si="18"/>
        <v/>
      </c>
      <c r="V241" s="374" t="str">
        <f t="shared" si="19"/>
        <v/>
      </c>
      <c r="W241" s="374" t="str">
        <f>IF(E241="","",IF(H241&lt;S241+T241,"Error in Areas ▲",IF(P241&lt;&gt;'G-1 All Habitats'!$X$3,H241-S241-T241,IF(AND(P241='G-1 All Habitats'!$X$3,Y241="Yes"),"Unacceptable Loss ⚠",IF(AND(P241='G-1 All Habitats'!$X$3,Y241="No"),AC241,IF(AND(P241='G-1 All Habitats'!$X$3,Y241=""),AC241,IF(AND(P241='G-1 All Habitats'!$X$3,AC241="None",AC241),IF(AND(P241='G-1 All Habitats'!$X$3,AC241&gt;0),H241-S241-T241))))))))</f>
        <v/>
      </c>
      <c r="X241" s="378" t="str">
        <f>IFERROR(IF(H241="","",IF(H241-S241-T241=0&lt;0,"Error in Areas ▲",IF(S241+T241&gt;H241,"Error in Areas ▲",IF(AND(P241='G-1 All Habitats'!$X$3,Y241="Yes"),"Alternative Compensation ✓",IF(W241=0,0,IF(P241='G-1 All Habitats'!$X$3,"Any Loss Unacceptable ▲",Q241-U241-V241)))))),"Check Data ▲")</f>
        <v/>
      </c>
      <c r="Y241" s="55"/>
      <c r="Z241" s="62"/>
      <c r="AA241" s="526"/>
      <c r="AB241" s="120"/>
      <c r="AC241" s="726" t="str">
        <f>IF(P241="","",IF(P241='G-1 All Habitats'!$X$3,H241-S241-T241,"None"))</f>
        <v/>
      </c>
      <c r="AD241" s="727" t="str">
        <f>IF(P241="","", IF(P241='G-1 All Habitats'!$X$3, AC241*J241*L241*O241,"None"))</f>
        <v/>
      </c>
      <c r="AF241" s="40" t="str">
        <f t="shared" si="15"/>
        <v/>
      </c>
      <c r="AG241" s="40" t="str">
        <f t="shared" si="16"/>
        <v/>
      </c>
      <c r="AH241" s="40" t="str">
        <f>IF(I241="","",IF(#REF!&gt;0,TRUE,FALSE))</f>
        <v/>
      </c>
      <c r="AI241" s="40">
        <v>231</v>
      </c>
      <c r="AJ241" s="40"/>
      <c r="AK241" s="40" t="str">
        <f t="array" ref="AK241">IFERROR(INDEX($AI$11:$AI$259, MATCH(0, IF(TRUE=$AF$11:$AF$259, COUNTIF($AK$10:$AK240, $AI$11:$AI$259), ""), 0)),"")</f>
        <v/>
      </c>
      <c r="AL241" s="40" t="str">
        <f t="array" ref="AL241">IFERROR(INDEX($AI$11:$AI$259, MATCH(0, IF(TRUE=$AG$11:$AG$259, COUNTIF($AL$10:$AL240, $AI$11:$AI$259), ""), 0)),"")</f>
        <v/>
      </c>
      <c r="AM241" s="40" t="str">
        <f t="array" ref="AM241">IFERROR(INDEX($AI$11:$AI$259, MATCH(0, IF(TRUE=$AH$11:$AH$259, COUNTIF($AM$10:$AM240, $AI$11:$AI$259), ""), 0)),"")</f>
        <v/>
      </c>
      <c r="AN241" s="40"/>
      <c r="AQ241" s="35">
        <f t="shared" si="17"/>
        <v>0</v>
      </c>
    </row>
    <row r="242" spans="1:43">
      <c r="A242" s="35" t="str">
        <f>IFERROR(INDEX('G-1 All Habitats'!$AG$3:$AG$17,MATCH(E242,'G-1 All Habitats'!$AF$3:$AF$17,0)),"")</f>
        <v/>
      </c>
      <c r="B242" s="35" t="str">
        <f>IFERROR(INDEX('G-8 Condition Look up'!$I$4:$I$135,MATCH(G242,'G-8 Condition Look up'!$A$4:$A$135,0)),"")</f>
        <v/>
      </c>
      <c r="D242" s="287">
        <v>232</v>
      </c>
      <c r="E242" s="267"/>
      <c r="F242" s="61"/>
      <c r="G242" s="52" t="str">
        <f>IFERROR(INDEX('G-1 All Habitats'!$B$3:$B$134,MATCH(F242,'G-1 All Habitats'!$A$3:$A$134,0)),"")</f>
        <v/>
      </c>
      <c r="H242" s="53"/>
      <c r="I242" s="362" t="str">
        <f>IF(G242="","",VLOOKUP(G242,'G-1 All Habitats'!$B$2:$M$134,10,FALSE))</f>
        <v/>
      </c>
      <c r="J242" s="363" t="str">
        <f>IFERROR(VLOOKUP(I242,'G-1 All Habitats'!$V$3:$W$7,2,FALSE),"")</f>
        <v/>
      </c>
      <c r="K242" s="54"/>
      <c r="L242" s="363" t="str">
        <f>IFERROR(INDEX('G-8 Condition Look up'!$A$3:$H$135,MATCH(G242,'G-8 Condition Look up'!$A$3:$A$135,0),MATCH(K242,'G-8 Condition Look up'!$A$3:$H$3,0)),"")</f>
        <v/>
      </c>
      <c r="M242" s="54"/>
      <c r="N242" s="382" t="str">
        <f>IF(M242="","",IF(VLOOKUP(M242,'G-3 Multipliers'!$L$3:$N$6,2,FALSE)=0,"Spatial Data Missing",VLOOKUP(M242,'G-3 Multipliers'!$L$3:$N$6,2,FALSE)))</f>
        <v/>
      </c>
      <c r="O242" s="368" t="str">
        <f>IF(M242="","",IF(VLOOKUP(M242,'G-3 Multipliers'!$L$3:$N$6,3,FALSE)=0,"Spatial Data Missing",VLOOKUP(M242,'G-3 Multipliers'!$L$3:$N$6,3,FALSE)))</f>
        <v/>
      </c>
      <c r="P242" s="369" t="str">
        <f>IFERROR(VLOOKUP(G242,'G-1 All Habitats'!$B$2:$M$134,12,FALSE),"")</f>
        <v/>
      </c>
      <c r="Q242" s="376" t="str">
        <f>IFERROR(IF(P242="","",IF(AND(P242='G-1 All Habitats'!$X$3,T242&gt;0),U242+V242,IF(AND(P242='G-1 All Habitats'!$X$3,S242&gt;0),U242+V242,IF(AND(P242='G-1 All Habitats'!$X$3,AC242&gt;0),"Any Loss Unacceptable ⚠",IF(AND(P242='G-1 All Habitats'!$X$3,W242&gt;0),"Any Loss Unacceptable ⚠",H242*J242*L242*O242))))),"Check Data ▲")</f>
        <v/>
      </c>
      <c r="R242" s="38"/>
      <c r="S242" s="54"/>
      <c r="T242" s="55"/>
      <c r="U242" s="374" t="str">
        <f t="shared" si="18"/>
        <v/>
      </c>
      <c r="V242" s="374" t="str">
        <f t="shared" si="19"/>
        <v/>
      </c>
      <c r="W242" s="374" t="str">
        <f>IF(E242="","",IF(H242&lt;S242+T242,"Error in Areas ▲",IF(P242&lt;&gt;'G-1 All Habitats'!$X$3,H242-S242-T242,IF(AND(P242='G-1 All Habitats'!$X$3,Y242="Yes"),"Unacceptable Loss ⚠",IF(AND(P242='G-1 All Habitats'!$X$3,Y242="No"),AC242,IF(AND(P242='G-1 All Habitats'!$X$3,Y242=""),AC242,IF(AND(P242='G-1 All Habitats'!$X$3,AC242="None",AC242),IF(AND(P242='G-1 All Habitats'!$X$3,AC242&gt;0),H242-S242-T242))))))))</f>
        <v/>
      </c>
      <c r="X242" s="378" t="str">
        <f>IFERROR(IF(H242="","",IF(H242-S242-T242=0&lt;0,"Error in Areas ▲",IF(S242+T242&gt;H242,"Error in Areas ▲",IF(AND(P242='G-1 All Habitats'!$X$3,Y242="Yes"),"Alternative Compensation ✓",IF(W242=0,0,IF(P242='G-1 All Habitats'!$X$3,"Any Loss Unacceptable ▲",Q242-U242-V242)))))),"Check Data ▲")</f>
        <v/>
      </c>
      <c r="Y242" s="55"/>
      <c r="Z242" s="62"/>
      <c r="AA242" s="526"/>
      <c r="AB242" s="120"/>
      <c r="AC242" s="726" t="str">
        <f>IF(P242="","",IF(P242='G-1 All Habitats'!$X$3,H242-S242-T242,"None"))</f>
        <v/>
      </c>
      <c r="AD242" s="727" t="str">
        <f>IF(P242="","", IF(P242='G-1 All Habitats'!$X$3, AC242*J242*L242*O242,"None"))</f>
        <v/>
      </c>
      <c r="AF242" s="40" t="str">
        <f t="shared" si="15"/>
        <v/>
      </c>
      <c r="AG242" s="40" t="str">
        <f t="shared" si="16"/>
        <v/>
      </c>
      <c r="AH242" s="40" t="str">
        <f>IF(I242="","",IF(#REF!&gt;0,TRUE,FALSE))</f>
        <v/>
      </c>
      <c r="AI242" s="40">
        <v>232</v>
      </c>
      <c r="AJ242" s="40"/>
      <c r="AK242" s="40" t="str">
        <f t="array" ref="AK242">IFERROR(INDEX($AI$11:$AI$259, MATCH(0, IF(TRUE=$AF$11:$AF$259, COUNTIF($AK$10:$AK241, $AI$11:$AI$259), ""), 0)),"")</f>
        <v/>
      </c>
      <c r="AL242" s="40" t="str">
        <f t="array" ref="AL242">IFERROR(INDEX($AI$11:$AI$259, MATCH(0, IF(TRUE=$AG$11:$AG$259, COUNTIF($AL$10:$AL241, $AI$11:$AI$259), ""), 0)),"")</f>
        <v/>
      </c>
      <c r="AM242" s="40" t="str">
        <f t="array" ref="AM242">IFERROR(INDEX($AI$11:$AI$259, MATCH(0, IF(TRUE=$AH$11:$AH$259, COUNTIF($AM$10:$AM241, $AI$11:$AI$259), ""), 0)),"")</f>
        <v/>
      </c>
      <c r="AN242" s="40"/>
      <c r="AQ242" s="35">
        <f t="shared" si="17"/>
        <v>0</v>
      </c>
    </row>
    <row r="243" spans="1:43">
      <c r="A243" s="35" t="str">
        <f>IFERROR(INDEX('G-1 All Habitats'!$AG$3:$AG$17,MATCH(E243,'G-1 All Habitats'!$AF$3:$AF$17,0)),"")</f>
        <v/>
      </c>
      <c r="B243" s="35" t="str">
        <f>IFERROR(INDEX('G-8 Condition Look up'!$I$4:$I$135,MATCH(G243,'G-8 Condition Look up'!$A$4:$A$135,0)),"")</f>
        <v/>
      </c>
      <c r="D243" s="287">
        <v>233</v>
      </c>
      <c r="E243" s="267"/>
      <c r="F243" s="61"/>
      <c r="G243" s="52" t="str">
        <f>IFERROR(INDEX('G-1 All Habitats'!$B$3:$B$134,MATCH(F243,'G-1 All Habitats'!$A$3:$A$134,0)),"")</f>
        <v/>
      </c>
      <c r="H243" s="53"/>
      <c r="I243" s="362" t="str">
        <f>IF(G243="","",VLOOKUP(G243,'G-1 All Habitats'!$B$2:$M$134,10,FALSE))</f>
        <v/>
      </c>
      <c r="J243" s="363" t="str">
        <f>IFERROR(VLOOKUP(I243,'G-1 All Habitats'!$V$3:$W$7,2,FALSE),"")</f>
        <v/>
      </c>
      <c r="K243" s="54"/>
      <c r="L243" s="363" t="str">
        <f>IFERROR(INDEX('G-8 Condition Look up'!$A$3:$H$135,MATCH(G243,'G-8 Condition Look up'!$A$3:$A$135,0),MATCH(K243,'G-8 Condition Look up'!$A$3:$H$3,0)),"")</f>
        <v/>
      </c>
      <c r="M243" s="54"/>
      <c r="N243" s="382" t="str">
        <f>IF(M243="","",IF(VLOOKUP(M243,'G-3 Multipliers'!$L$3:$N$6,2,FALSE)=0,"Spatial Data Missing",VLOOKUP(M243,'G-3 Multipliers'!$L$3:$N$6,2,FALSE)))</f>
        <v/>
      </c>
      <c r="O243" s="368" t="str">
        <f>IF(M243="","",IF(VLOOKUP(M243,'G-3 Multipliers'!$L$3:$N$6,3,FALSE)=0,"Spatial Data Missing",VLOOKUP(M243,'G-3 Multipliers'!$L$3:$N$6,3,FALSE)))</f>
        <v/>
      </c>
      <c r="P243" s="369" t="str">
        <f>IFERROR(VLOOKUP(G243,'G-1 All Habitats'!$B$2:$M$134,12,FALSE),"")</f>
        <v/>
      </c>
      <c r="Q243" s="376" t="str">
        <f>IFERROR(IF(P243="","",IF(AND(P243='G-1 All Habitats'!$X$3,T243&gt;0),U243+V243,IF(AND(P243='G-1 All Habitats'!$X$3,S243&gt;0),U243+V243,IF(AND(P243='G-1 All Habitats'!$X$3,AC243&gt;0),"Any Loss Unacceptable ⚠",IF(AND(P243='G-1 All Habitats'!$X$3,W243&gt;0),"Any Loss Unacceptable ⚠",H243*J243*L243*O243))))),"Check Data ▲")</f>
        <v/>
      </c>
      <c r="R243" s="38"/>
      <c r="S243" s="54"/>
      <c r="T243" s="55"/>
      <c r="U243" s="374" t="str">
        <f t="shared" si="18"/>
        <v/>
      </c>
      <c r="V243" s="374" t="str">
        <f t="shared" si="19"/>
        <v/>
      </c>
      <c r="W243" s="374" t="str">
        <f>IF(E243="","",IF(H243&lt;S243+T243,"Error in Areas ▲",IF(P243&lt;&gt;'G-1 All Habitats'!$X$3,H243-S243-T243,IF(AND(P243='G-1 All Habitats'!$X$3,Y243="Yes"),"Unacceptable Loss ⚠",IF(AND(P243='G-1 All Habitats'!$X$3,Y243="No"),AC243,IF(AND(P243='G-1 All Habitats'!$X$3,Y243=""),AC243,IF(AND(P243='G-1 All Habitats'!$X$3,AC243="None",AC243),IF(AND(P243='G-1 All Habitats'!$X$3,AC243&gt;0),H243-S243-T243))))))))</f>
        <v/>
      </c>
      <c r="X243" s="378" t="str">
        <f>IFERROR(IF(H243="","",IF(H243-S243-T243=0&lt;0,"Error in Areas ▲",IF(S243+T243&gt;H243,"Error in Areas ▲",IF(AND(P243='G-1 All Habitats'!$X$3,Y243="Yes"),"Alternative Compensation ✓",IF(W243=0,0,IF(P243='G-1 All Habitats'!$X$3,"Any Loss Unacceptable ▲",Q243-U243-V243)))))),"Check Data ▲")</f>
        <v/>
      </c>
      <c r="Y243" s="55"/>
      <c r="Z243" s="62"/>
      <c r="AA243" s="526"/>
      <c r="AB243" s="120"/>
      <c r="AC243" s="726" t="str">
        <f>IF(P243="","",IF(P243='G-1 All Habitats'!$X$3,H243-S243-T243,"None"))</f>
        <v/>
      </c>
      <c r="AD243" s="727" t="str">
        <f>IF(P243="","", IF(P243='G-1 All Habitats'!$X$3, AC243*J243*L243*O243,"None"))</f>
        <v/>
      </c>
      <c r="AF243" s="40" t="str">
        <f t="shared" si="15"/>
        <v/>
      </c>
      <c r="AG243" s="40" t="str">
        <f t="shared" si="16"/>
        <v/>
      </c>
      <c r="AH243" s="40" t="str">
        <f>IF(I243="","",IF(#REF!&gt;0,TRUE,FALSE))</f>
        <v/>
      </c>
      <c r="AI243" s="40">
        <v>233</v>
      </c>
      <c r="AJ243" s="40"/>
      <c r="AK243" s="40" t="str">
        <f t="array" ref="AK243">IFERROR(INDEX($AI$11:$AI$259, MATCH(0, IF(TRUE=$AF$11:$AF$259, COUNTIF($AK$10:$AK242, $AI$11:$AI$259), ""), 0)),"")</f>
        <v/>
      </c>
      <c r="AL243" s="40" t="str">
        <f t="array" ref="AL243">IFERROR(INDEX($AI$11:$AI$259, MATCH(0, IF(TRUE=$AG$11:$AG$259, COUNTIF($AL$10:$AL242, $AI$11:$AI$259), ""), 0)),"")</f>
        <v/>
      </c>
      <c r="AM243" s="40" t="str">
        <f t="array" ref="AM243">IFERROR(INDEX($AI$11:$AI$259, MATCH(0, IF(TRUE=$AH$11:$AH$259, COUNTIF($AM$10:$AM242, $AI$11:$AI$259), ""), 0)),"")</f>
        <v/>
      </c>
      <c r="AN243" s="40"/>
      <c r="AQ243" s="35">
        <f t="shared" si="17"/>
        <v>0</v>
      </c>
    </row>
    <row r="244" spans="1:43">
      <c r="A244" s="35" t="str">
        <f>IFERROR(INDEX('G-1 All Habitats'!$AG$3:$AG$17,MATCH(E244,'G-1 All Habitats'!$AF$3:$AF$17,0)),"")</f>
        <v/>
      </c>
      <c r="B244" s="35" t="str">
        <f>IFERROR(INDEX('G-8 Condition Look up'!$I$4:$I$135,MATCH(G244,'G-8 Condition Look up'!$A$4:$A$135,0)),"")</f>
        <v/>
      </c>
      <c r="D244" s="287">
        <v>234</v>
      </c>
      <c r="E244" s="267"/>
      <c r="F244" s="61"/>
      <c r="G244" s="52" t="str">
        <f>IFERROR(INDEX('G-1 All Habitats'!$B$3:$B$134,MATCH(F244,'G-1 All Habitats'!$A$3:$A$134,0)),"")</f>
        <v/>
      </c>
      <c r="H244" s="53"/>
      <c r="I244" s="362" t="str">
        <f>IF(G244="","",VLOOKUP(G244,'G-1 All Habitats'!$B$2:$M$134,10,FALSE))</f>
        <v/>
      </c>
      <c r="J244" s="363" t="str">
        <f>IFERROR(VLOOKUP(I244,'G-1 All Habitats'!$V$3:$W$7,2,FALSE),"")</f>
        <v/>
      </c>
      <c r="K244" s="54"/>
      <c r="L244" s="363" t="str">
        <f>IFERROR(INDEX('G-8 Condition Look up'!$A$3:$H$135,MATCH(G244,'G-8 Condition Look up'!$A$3:$A$135,0),MATCH(K244,'G-8 Condition Look up'!$A$3:$H$3,0)),"")</f>
        <v/>
      </c>
      <c r="M244" s="54"/>
      <c r="N244" s="382" t="str">
        <f>IF(M244="","",IF(VLOOKUP(M244,'G-3 Multipliers'!$L$3:$N$6,2,FALSE)=0,"Spatial Data Missing",VLOOKUP(M244,'G-3 Multipliers'!$L$3:$N$6,2,FALSE)))</f>
        <v/>
      </c>
      <c r="O244" s="368" t="str">
        <f>IF(M244="","",IF(VLOOKUP(M244,'G-3 Multipliers'!$L$3:$N$6,3,FALSE)=0,"Spatial Data Missing",VLOOKUP(M244,'G-3 Multipliers'!$L$3:$N$6,3,FALSE)))</f>
        <v/>
      </c>
      <c r="P244" s="369" t="str">
        <f>IFERROR(VLOOKUP(G244,'G-1 All Habitats'!$B$2:$M$134,12,FALSE),"")</f>
        <v/>
      </c>
      <c r="Q244" s="376" t="str">
        <f>IFERROR(IF(P244="","",IF(AND(P244='G-1 All Habitats'!$X$3,T244&gt;0),U244+V244,IF(AND(P244='G-1 All Habitats'!$X$3,S244&gt;0),U244+V244,IF(AND(P244='G-1 All Habitats'!$X$3,AC244&gt;0),"Any Loss Unacceptable ⚠",IF(AND(P244='G-1 All Habitats'!$X$3,W244&gt;0),"Any Loss Unacceptable ⚠",H244*J244*L244*O244))))),"Check Data ▲")</f>
        <v/>
      </c>
      <c r="R244" s="38"/>
      <c r="S244" s="54"/>
      <c r="T244" s="55"/>
      <c r="U244" s="374" t="str">
        <f t="shared" si="18"/>
        <v/>
      </c>
      <c r="V244" s="374" t="str">
        <f t="shared" si="19"/>
        <v/>
      </c>
      <c r="W244" s="374" t="str">
        <f>IF(E244="","",IF(H244&lt;S244+T244,"Error in Areas ▲",IF(P244&lt;&gt;'G-1 All Habitats'!$X$3,H244-S244-T244,IF(AND(P244='G-1 All Habitats'!$X$3,Y244="Yes"),"Unacceptable Loss ⚠",IF(AND(P244='G-1 All Habitats'!$X$3,Y244="No"),AC244,IF(AND(P244='G-1 All Habitats'!$X$3,Y244=""),AC244,IF(AND(P244='G-1 All Habitats'!$X$3,AC244="None",AC244),IF(AND(P244='G-1 All Habitats'!$X$3,AC244&gt;0),H244-S244-T244))))))))</f>
        <v/>
      </c>
      <c r="X244" s="378" t="str">
        <f>IFERROR(IF(H244="","",IF(H244-S244-T244=0&lt;0,"Error in Areas ▲",IF(S244+T244&gt;H244,"Error in Areas ▲",IF(AND(P244='G-1 All Habitats'!$X$3,Y244="Yes"),"Alternative Compensation ✓",IF(W244=0,0,IF(P244='G-1 All Habitats'!$X$3,"Any Loss Unacceptable ▲",Q244-U244-V244)))))),"Check Data ▲")</f>
        <v/>
      </c>
      <c r="Y244" s="55"/>
      <c r="Z244" s="62"/>
      <c r="AA244" s="526"/>
      <c r="AB244" s="120"/>
      <c r="AC244" s="726" t="str">
        <f>IF(P244="","",IF(P244='G-1 All Habitats'!$X$3,H244-S244-T244,"None"))</f>
        <v/>
      </c>
      <c r="AD244" s="727" t="str">
        <f>IF(P244="","", IF(P244='G-1 All Habitats'!$X$3, AC244*J244*L244*O244,"None"))</f>
        <v/>
      </c>
      <c r="AF244" s="40" t="str">
        <f t="shared" si="15"/>
        <v/>
      </c>
      <c r="AG244" s="40" t="str">
        <f t="shared" si="16"/>
        <v/>
      </c>
      <c r="AH244" s="40" t="str">
        <f>IF(I244="","",IF(#REF!&gt;0,TRUE,FALSE))</f>
        <v/>
      </c>
      <c r="AI244" s="40">
        <v>234</v>
      </c>
      <c r="AJ244" s="40"/>
      <c r="AK244" s="40" t="str">
        <f t="array" ref="AK244">IFERROR(INDEX($AI$11:$AI$259, MATCH(0, IF(TRUE=$AF$11:$AF$259, COUNTIF($AK$10:$AK243, $AI$11:$AI$259), ""), 0)),"")</f>
        <v/>
      </c>
      <c r="AL244" s="40" t="str">
        <f t="array" ref="AL244">IFERROR(INDEX($AI$11:$AI$259, MATCH(0, IF(TRUE=$AG$11:$AG$259, COUNTIF($AL$10:$AL243, $AI$11:$AI$259), ""), 0)),"")</f>
        <v/>
      </c>
      <c r="AM244" s="40" t="str">
        <f t="array" ref="AM244">IFERROR(INDEX($AI$11:$AI$259, MATCH(0, IF(TRUE=$AH$11:$AH$259, COUNTIF($AM$10:$AM243, $AI$11:$AI$259), ""), 0)),"")</f>
        <v/>
      </c>
      <c r="AN244" s="40"/>
      <c r="AQ244" s="35">
        <f t="shared" si="17"/>
        <v>0</v>
      </c>
    </row>
    <row r="245" spans="1:43">
      <c r="A245" s="35" t="str">
        <f>IFERROR(INDEX('G-1 All Habitats'!$AG$3:$AG$17,MATCH(E245,'G-1 All Habitats'!$AF$3:$AF$17,0)),"")</f>
        <v/>
      </c>
      <c r="B245" s="35" t="str">
        <f>IFERROR(INDEX('G-8 Condition Look up'!$I$4:$I$135,MATCH(G245,'G-8 Condition Look up'!$A$4:$A$135,0)),"")</f>
        <v/>
      </c>
      <c r="D245" s="287">
        <v>235</v>
      </c>
      <c r="E245" s="267"/>
      <c r="F245" s="61"/>
      <c r="G245" s="52" t="str">
        <f>IFERROR(INDEX('G-1 All Habitats'!$B$3:$B$134,MATCH(F245,'G-1 All Habitats'!$A$3:$A$134,0)),"")</f>
        <v/>
      </c>
      <c r="H245" s="53"/>
      <c r="I245" s="362" t="str">
        <f>IF(G245="","",VLOOKUP(G245,'G-1 All Habitats'!$B$2:$M$134,10,FALSE))</f>
        <v/>
      </c>
      <c r="J245" s="363" t="str">
        <f>IFERROR(VLOOKUP(I245,'G-1 All Habitats'!$V$3:$W$7,2,FALSE),"")</f>
        <v/>
      </c>
      <c r="K245" s="54"/>
      <c r="L245" s="363" t="str">
        <f>IFERROR(INDEX('G-8 Condition Look up'!$A$3:$H$135,MATCH(G245,'G-8 Condition Look up'!$A$3:$A$135,0),MATCH(K245,'G-8 Condition Look up'!$A$3:$H$3,0)),"")</f>
        <v/>
      </c>
      <c r="M245" s="54"/>
      <c r="N245" s="382" t="str">
        <f>IF(M245="","",IF(VLOOKUP(M245,'G-3 Multipliers'!$L$3:$N$6,2,FALSE)=0,"Spatial Data Missing",VLOOKUP(M245,'G-3 Multipliers'!$L$3:$N$6,2,FALSE)))</f>
        <v/>
      </c>
      <c r="O245" s="368" t="str">
        <f>IF(M245="","",IF(VLOOKUP(M245,'G-3 Multipliers'!$L$3:$N$6,3,FALSE)=0,"Spatial Data Missing",VLOOKUP(M245,'G-3 Multipliers'!$L$3:$N$6,3,FALSE)))</f>
        <v/>
      </c>
      <c r="P245" s="369" t="str">
        <f>IFERROR(VLOOKUP(G245,'G-1 All Habitats'!$B$2:$M$134,12,FALSE),"")</f>
        <v/>
      </c>
      <c r="Q245" s="376" t="str">
        <f>IFERROR(IF(P245="","",IF(AND(P245='G-1 All Habitats'!$X$3,T245&gt;0),U245+V245,IF(AND(P245='G-1 All Habitats'!$X$3,S245&gt;0),U245+V245,IF(AND(P245='G-1 All Habitats'!$X$3,AC245&gt;0),"Any Loss Unacceptable ⚠",IF(AND(P245='G-1 All Habitats'!$X$3,W245&gt;0),"Any Loss Unacceptable ⚠",H245*J245*L245*O245))))),"Check Data ▲")</f>
        <v/>
      </c>
      <c r="R245" s="38"/>
      <c r="S245" s="54"/>
      <c r="T245" s="55"/>
      <c r="U245" s="374" t="str">
        <f t="shared" si="18"/>
        <v/>
      </c>
      <c r="V245" s="374" t="str">
        <f t="shared" si="19"/>
        <v/>
      </c>
      <c r="W245" s="374" t="str">
        <f>IF(E245="","",IF(H245&lt;S245+T245,"Error in Areas ▲",IF(P245&lt;&gt;'G-1 All Habitats'!$X$3,H245-S245-T245,IF(AND(P245='G-1 All Habitats'!$X$3,Y245="Yes"),"Unacceptable Loss ⚠",IF(AND(P245='G-1 All Habitats'!$X$3,Y245="No"),AC245,IF(AND(P245='G-1 All Habitats'!$X$3,Y245=""),AC245,IF(AND(P245='G-1 All Habitats'!$X$3,AC245="None",AC245),IF(AND(P245='G-1 All Habitats'!$X$3,AC245&gt;0),H245-S245-T245))))))))</f>
        <v/>
      </c>
      <c r="X245" s="378" t="str">
        <f>IFERROR(IF(H245="","",IF(H245-S245-T245=0&lt;0,"Error in Areas ▲",IF(S245+T245&gt;H245,"Error in Areas ▲",IF(AND(P245='G-1 All Habitats'!$X$3,Y245="Yes"),"Alternative Compensation ✓",IF(W245=0,0,IF(P245='G-1 All Habitats'!$X$3,"Any Loss Unacceptable ▲",Q245-U245-V245)))))),"Check Data ▲")</f>
        <v/>
      </c>
      <c r="Y245" s="55"/>
      <c r="Z245" s="62"/>
      <c r="AA245" s="526"/>
      <c r="AB245" s="120"/>
      <c r="AC245" s="726" t="str">
        <f>IF(P245="","",IF(P245='G-1 All Habitats'!$X$3,H245-S245-T245,"None"))</f>
        <v/>
      </c>
      <c r="AD245" s="727" t="str">
        <f>IF(P245="","", IF(P245='G-1 All Habitats'!$X$3, AC245*J245*L245*O245,"None"))</f>
        <v/>
      </c>
      <c r="AF245" s="40" t="str">
        <f t="shared" si="15"/>
        <v/>
      </c>
      <c r="AG245" s="40" t="str">
        <f t="shared" si="16"/>
        <v/>
      </c>
      <c r="AH245" s="40" t="str">
        <f>IF(I245="","",IF(#REF!&gt;0,TRUE,FALSE))</f>
        <v/>
      </c>
      <c r="AI245" s="40">
        <v>235</v>
      </c>
      <c r="AJ245" s="40"/>
      <c r="AK245" s="40" t="str">
        <f t="array" ref="AK245">IFERROR(INDEX($AI$11:$AI$259, MATCH(0, IF(TRUE=$AF$11:$AF$259, COUNTIF($AK$10:$AK244, $AI$11:$AI$259), ""), 0)),"")</f>
        <v/>
      </c>
      <c r="AL245" s="40" t="str">
        <f t="array" ref="AL245">IFERROR(INDEX($AI$11:$AI$259, MATCH(0, IF(TRUE=$AG$11:$AG$259, COUNTIF($AL$10:$AL244, $AI$11:$AI$259), ""), 0)),"")</f>
        <v/>
      </c>
      <c r="AM245" s="40" t="str">
        <f t="array" ref="AM245">IFERROR(INDEX($AI$11:$AI$259, MATCH(0, IF(TRUE=$AH$11:$AH$259, COUNTIF($AM$10:$AM244, $AI$11:$AI$259), ""), 0)),"")</f>
        <v/>
      </c>
      <c r="AN245" s="40"/>
      <c r="AQ245" s="35">
        <f t="shared" si="17"/>
        <v>0</v>
      </c>
    </row>
    <row r="246" spans="1:43">
      <c r="A246" s="35" t="str">
        <f>IFERROR(INDEX('G-1 All Habitats'!$AG$3:$AG$17,MATCH(E246,'G-1 All Habitats'!$AF$3:$AF$17,0)),"")</f>
        <v/>
      </c>
      <c r="B246" s="35" t="str">
        <f>IFERROR(INDEX('G-8 Condition Look up'!$I$4:$I$135,MATCH(G246,'G-8 Condition Look up'!$A$4:$A$135,0)),"")</f>
        <v/>
      </c>
      <c r="D246" s="287">
        <v>236</v>
      </c>
      <c r="E246" s="267"/>
      <c r="F246" s="61"/>
      <c r="G246" s="52" t="str">
        <f>IFERROR(INDEX('G-1 All Habitats'!$B$3:$B$134,MATCH(F246,'G-1 All Habitats'!$A$3:$A$134,0)),"")</f>
        <v/>
      </c>
      <c r="H246" s="53"/>
      <c r="I246" s="362" t="str">
        <f>IF(G246="","",VLOOKUP(G246,'G-1 All Habitats'!$B$2:$M$134,10,FALSE))</f>
        <v/>
      </c>
      <c r="J246" s="363" t="str">
        <f>IFERROR(VLOOKUP(I246,'G-1 All Habitats'!$V$3:$W$7,2,FALSE),"")</f>
        <v/>
      </c>
      <c r="K246" s="54"/>
      <c r="L246" s="363" t="str">
        <f>IFERROR(INDEX('G-8 Condition Look up'!$A$3:$H$135,MATCH(G246,'G-8 Condition Look up'!$A$3:$A$135,0),MATCH(K246,'G-8 Condition Look up'!$A$3:$H$3,0)),"")</f>
        <v/>
      </c>
      <c r="M246" s="54"/>
      <c r="N246" s="382" t="str">
        <f>IF(M246="","",IF(VLOOKUP(M246,'G-3 Multipliers'!$L$3:$N$6,2,FALSE)=0,"Spatial Data Missing",VLOOKUP(M246,'G-3 Multipliers'!$L$3:$N$6,2,FALSE)))</f>
        <v/>
      </c>
      <c r="O246" s="368" t="str">
        <f>IF(M246="","",IF(VLOOKUP(M246,'G-3 Multipliers'!$L$3:$N$6,3,FALSE)=0,"Spatial Data Missing",VLOOKUP(M246,'G-3 Multipliers'!$L$3:$N$6,3,FALSE)))</f>
        <v/>
      </c>
      <c r="P246" s="369" t="str">
        <f>IFERROR(VLOOKUP(G246,'G-1 All Habitats'!$B$2:$M$134,12,FALSE),"")</f>
        <v/>
      </c>
      <c r="Q246" s="376" t="str">
        <f>IFERROR(IF(P246="","",IF(AND(P246='G-1 All Habitats'!$X$3,T246&gt;0),U246+V246,IF(AND(P246='G-1 All Habitats'!$X$3,S246&gt;0),U246+V246,IF(AND(P246='G-1 All Habitats'!$X$3,AC246&gt;0),"Any Loss Unacceptable ⚠",IF(AND(P246='G-1 All Habitats'!$X$3,W246&gt;0),"Any Loss Unacceptable ⚠",H246*J246*L246*O246))))),"Check Data ▲")</f>
        <v/>
      </c>
      <c r="R246" s="38"/>
      <c r="S246" s="54"/>
      <c r="T246" s="55"/>
      <c r="U246" s="374" t="str">
        <f t="shared" si="18"/>
        <v/>
      </c>
      <c r="V246" s="374" t="str">
        <f t="shared" si="19"/>
        <v/>
      </c>
      <c r="W246" s="374" t="str">
        <f>IF(E246="","",IF(H246&lt;S246+T246,"Error in Areas ▲",IF(P246&lt;&gt;'G-1 All Habitats'!$X$3,H246-S246-T246,IF(AND(P246='G-1 All Habitats'!$X$3,Y246="Yes"),"Unacceptable Loss ⚠",IF(AND(P246='G-1 All Habitats'!$X$3,Y246="No"),AC246,IF(AND(P246='G-1 All Habitats'!$X$3,Y246=""),AC246,IF(AND(P246='G-1 All Habitats'!$X$3,AC246="None",AC246),IF(AND(P246='G-1 All Habitats'!$X$3,AC246&gt;0),H246-S246-T246))))))))</f>
        <v/>
      </c>
      <c r="X246" s="378" t="str">
        <f>IFERROR(IF(H246="","",IF(H246-S246-T246=0&lt;0,"Error in Areas ▲",IF(S246+T246&gt;H246,"Error in Areas ▲",IF(AND(P246='G-1 All Habitats'!$X$3,Y246="Yes"),"Alternative Compensation ✓",IF(W246=0,0,IF(P246='G-1 All Habitats'!$X$3,"Any Loss Unacceptable ▲",Q246-U246-V246)))))),"Check Data ▲")</f>
        <v/>
      </c>
      <c r="Y246" s="55"/>
      <c r="Z246" s="62"/>
      <c r="AA246" s="526"/>
      <c r="AB246" s="120"/>
      <c r="AC246" s="726" t="str">
        <f>IF(P246="","",IF(P246='G-1 All Habitats'!$X$3,H246-S246-T246,"None"))</f>
        <v/>
      </c>
      <c r="AD246" s="727" t="str">
        <f>IF(P246="","", IF(P246='G-1 All Habitats'!$X$3, AC246*J246*L246*O246,"None"))</f>
        <v/>
      </c>
      <c r="AF246" s="40" t="str">
        <f t="shared" si="15"/>
        <v/>
      </c>
      <c r="AG246" s="40" t="str">
        <f t="shared" si="16"/>
        <v/>
      </c>
      <c r="AH246" s="40" t="str">
        <f>IF(I246="","",IF(#REF!&gt;0,TRUE,FALSE))</f>
        <v/>
      </c>
      <c r="AI246" s="40">
        <v>236</v>
      </c>
      <c r="AJ246" s="40"/>
      <c r="AK246" s="40" t="str">
        <f t="array" ref="AK246">IFERROR(INDEX($AI$11:$AI$259, MATCH(0, IF(TRUE=$AF$11:$AF$259, COUNTIF($AK$10:$AK245, $AI$11:$AI$259), ""), 0)),"")</f>
        <v/>
      </c>
      <c r="AL246" s="40" t="str">
        <f t="array" ref="AL246">IFERROR(INDEX($AI$11:$AI$259, MATCH(0, IF(TRUE=$AG$11:$AG$259, COUNTIF($AL$10:$AL245, $AI$11:$AI$259), ""), 0)),"")</f>
        <v/>
      </c>
      <c r="AM246" s="40" t="str">
        <f t="array" ref="AM246">IFERROR(INDEX($AI$11:$AI$259, MATCH(0, IF(TRUE=$AH$11:$AH$259, COUNTIF($AM$10:$AM245, $AI$11:$AI$259), ""), 0)),"")</f>
        <v/>
      </c>
      <c r="AN246" s="40"/>
      <c r="AQ246" s="35">
        <f t="shared" si="17"/>
        <v>0</v>
      </c>
    </row>
    <row r="247" spans="1:43">
      <c r="A247" s="35" t="str">
        <f>IFERROR(INDEX('G-1 All Habitats'!$AG$3:$AG$17,MATCH(E247,'G-1 All Habitats'!$AF$3:$AF$17,0)),"")</f>
        <v/>
      </c>
      <c r="B247" s="35" t="str">
        <f>IFERROR(INDEX('G-8 Condition Look up'!$I$4:$I$135,MATCH(G247,'G-8 Condition Look up'!$A$4:$A$135,0)),"")</f>
        <v/>
      </c>
      <c r="D247" s="287">
        <v>237</v>
      </c>
      <c r="E247" s="267"/>
      <c r="F247" s="61"/>
      <c r="G247" s="52" t="str">
        <f>IFERROR(INDEX('G-1 All Habitats'!$B$3:$B$134,MATCH(F247,'G-1 All Habitats'!$A$3:$A$134,0)),"")</f>
        <v/>
      </c>
      <c r="H247" s="53"/>
      <c r="I247" s="362" t="str">
        <f>IF(G247="","",VLOOKUP(G247,'G-1 All Habitats'!$B$2:$M$134,10,FALSE))</f>
        <v/>
      </c>
      <c r="J247" s="363" t="str">
        <f>IFERROR(VLOOKUP(I247,'G-1 All Habitats'!$V$3:$W$7,2,FALSE),"")</f>
        <v/>
      </c>
      <c r="K247" s="54"/>
      <c r="L247" s="363" t="str">
        <f>IFERROR(INDEX('G-8 Condition Look up'!$A$3:$H$135,MATCH(G247,'G-8 Condition Look up'!$A$3:$A$135,0),MATCH(K247,'G-8 Condition Look up'!$A$3:$H$3,0)),"")</f>
        <v/>
      </c>
      <c r="M247" s="54"/>
      <c r="N247" s="382" t="str">
        <f>IF(M247="","",IF(VLOOKUP(M247,'G-3 Multipliers'!$L$3:$N$6,2,FALSE)=0,"Spatial Data Missing",VLOOKUP(M247,'G-3 Multipliers'!$L$3:$N$6,2,FALSE)))</f>
        <v/>
      </c>
      <c r="O247" s="368" t="str">
        <f>IF(M247="","",IF(VLOOKUP(M247,'G-3 Multipliers'!$L$3:$N$6,3,FALSE)=0,"Spatial Data Missing",VLOOKUP(M247,'G-3 Multipliers'!$L$3:$N$6,3,FALSE)))</f>
        <v/>
      </c>
      <c r="P247" s="369" t="str">
        <f>IFERROR(VLOOKUP(G247,'G-1 All Habitats'!$B$2:$M$134,12,FALSE),"")</f>
        <v/>
      </c>
      <c r="Q247" s="376" t="str">
        <f>IFERROR(IF(P247="","",IF(AND(P247='G-1 All Habitats'!$X$3,T247&gt;0),U247+V247,IF(AND(P247='G-1 All Habitats'!$X$3,S247&gt;0),U247+V247,IF(AND(P247='G-1 All Habitats'!$X$3,AC247&gt;0),"Any Loss Unacceptable ⚠",IF(AND(P247='G-1 All Habitats'!$X$3,W247&gt;0),"Any Loss Unacceptable ⚠",H247*J247*L247*O247))))),"Check Data ▲")</f>
        <v/>
      </c>
      <c r="R247" s="38"/>
      <c r="S247" s="54"/>
      <c r="T247" s="55"/>
      <c r="U247" s="374" t="str">
        <f t="shared" si="18"/>
        <v/>
      </c>
      <c r="V247" s="374" t="str">
        <f t="shared" si="19"/>
        <v/>
      </c>
      <c r="W247" s="374" t="str">
        <f>IF(E247="","",IF(H247&lt;S247+T247,"Error in Areas ▲",IF(P247&lt;&gt;'G-1 All Habitats'!$X$3,H247-S247-T247,IF(AND(P247='G-1 All Habitats'!$X$3,Y247="Yes"),"Unacceptable Loss ⚠",IF(AND(P247='G-1 All Habitats'!$X$3,Y247="No"),AC247,IF(AND(P247='G-1 All Habitats'!$X$3,Y247=""),AC247,IF(AND(P247='G-1 All Habitats'!$X$3,AC247="None",AC247),IF(AND(P247='G-1 All Habitats'!$X$3,AC247&gt;0),H247-S247-T247))))))))</f>
        <v/>
      </c>
      <c r="X247" s="378" t="str">
        <f>IFERROR(IF(H247="","",IF(H247-S247-T247=0&lt;0,"Error in Areas ▲",IF(S247+T247&gt;H247,"Error in Areas ▲",IF(AND(P247='G-1 All Habitats'!$X$3,Y247="Yes"),"Alternative Compensation ✓",IF(W247=0,0,IF(P247='G-1 All Habitats'!$X$3,"Any Loss Unacceptable ▲",Q247-U247-V247)))))),"Check Data ▲")</f>
        <v/>
      </c>
      <c r="Y247" s="55"/>
      <c r="Z247" s="62"/>
      <c r="AA247" s="526"/>
      <c r="AB247" s="120"/>
      <c r="AC247" s="726" t="str">
        <f>IF(P247="","",IF(P247='G-1 All Habitats'!$X$3,H247-S247-T247,"None"))</f>
        <v/>
      </c>
      <c r="AD247" s="727" t="str">
        <f>IF(P247="","", IF(P247='G-1 All Habitats'!$X$3, AC247*J247*L247*O247,"None"))</f>
        <v/>
      </c>
      <c r="AF247" s="40" t="str">
        <f t="shared" si="15"/>
        <v/>
      </c>
      <c r="AG247" s="40" t="str">
        <f t="shared" si="16"/>
        <v/>
      </c>
      <c r="AH247" s="40" t="str">
        <f>IF(I247="","",IF(#REF!&gt;0,TRUE,FALSE))</f>
        <v/>
      </c>
      <c r="AI247" s="40">
        <v>237</v>
      </c>
      <c r="AJ247" s="40"/>
      <c r="AK247" s="40" t="str">
        <f t="array" ref="AK247">IFERROR(INDEX($AI$11:$AI$259, MATCH(0, IF(TRUE=$AF$11:$AF$259, COUNTIF($AK$10:$AK246, $AI$11:$AI$259), ""), 0)),"")</f>
        <v/>
      </c>
      <c r="AL247" s="40" t="str">
        <f t="array" ref="AL247">IFERROR(INDEX($AI$11:$AI$259, MATCH(0, IF(TRUE=$AG$11:$AG$259, COUNTIF($AL$10:$AL246, $AI$11:$AI$259), ""), 0)),"")</f>
        <v/>
      </c>
      <c r="AM247" s="40" t="str">
        <f t="array" ref="AM247">IFERROR(INDEX($AI$11:$AI$259, MATCH(0, IF(TRUE=$AH$11:$AH$259, COUNTIF($AM$10:$AM246, $AI$11:$AI$259), ""), 0)),"")</f>
        <v/>
      </c>
      <c r="AN247" s="40"/>
      <c r="AQ247" s="35">
        <f t="shared" si="17"/>
        <v>0</v>
      </c>
    </row>
    <row r="248" spans="1:43">
      <c r="A248" s="35" t="str">
        <f>IFERROR(INDEX('G-1 All Habitats'!$AG$3:$AG$17,MATCH(E248,'G-1 All Habitats'!$AF$3:$AF$17,0)),"")</f>
        <v/>
      </c>
      <c r="B248" s="35" t="str">
        <f>IFERROR(INDEX('G-8 Condition Look up'!$I$4:$I$135,MATCH(G248,'G-8 Condition Look up'!$A$4:$A$135,0)),"")</f>
        <v/>
      </c>
      <c r="D248" s="287">
        <v>238</v>
      </c>
      <c r="E248" s="267"/>
      <c r="F248" s="61"/>
      <c r="G248" s="52" t="str">
        <f>IFERROR(INDEX('G-1 All Habitats'!$B$3:$B$134,MATCH(F248,'G-1 All Habitats'!$A$3:$A$134,0)),"")</f>
        <v/>
      </c>
      <c r="H248" s="53"/>
      <c r="I248" s="362" t="str">
        <f>IF(G248="","",VLOOKUP(G248,'G-1 All Habitats'!$B$2:$M$134,10,FALSE))</f>
        <v/>
      </c>
      <c r="J248" s="363" t="str">
        <f>IFERROR(VLOOKUP(I248,'G-1 All Habitats'!$V$3:$W$7,2,FALSE),"")</f>
        <v/>
      </c>
      <c r="K248" s="54"/>
      <c r="L248" s="363" t="str">
        <f>IFERROR(INDEX('G-8 Condition Look up'!$A$3:$H$135,MATCH(G248,'G-8 Condition Look up'!$A$3:$A$135,0),MATCH(K248,'G-8 Condition Look up'!$A$3:$H$3,0)),"")</f>
        <v/>
      </c>
      <c r="M248" s="54"/>
      <c r="N248" s="382" t="str">
        <f>IF(M248="","",IF(VLOOKUP(M248,'G-3 Multipliers'!$L$3:$N$6,2,FALSE)=0,"Spatial Data Missing",VLOOKUP(M248,'G-3 Multipliers'!$L$3:$N$6,2,FALSE)))</f>
        <v/>
      </c>
      <c r="O248" s="368" t="str">
        <f>IF(M248="","",IF(VLOOKUP(M248,'G-3 Multipliers'!$L$3:$N$6,3,FALSE)=0,"Spatial Data Missing",VLOOKUP(M248,'G-3 Multipliers'!$L$3:$N$6,3,FALSE)))</f>
        <v/>
      </c>
      <c r="P248" s="369" t="str">
        <f>IFERROR(VLOOKUP(G248,'G-1 All Habitats'!$B$2:$M$134,12,FALSE),"")</f>
        <v/>
      </c>
      <c r="Q248" s="376" t="str">
        <f>IFERROR(IF(P248="","",IF(AND(P248='G-1 All Habitats'!$X$3,T248&gt;0),U248+V248,IF(AND(P248='G-1 All Habitats'!$X$3,S248&gt;0),U248+V248,IF(AND(P248='G-1 All Habitats'!$X$3,AC248&gt;0),"Any Loss Unacceptable ⚠",IF(AND(P248='G-1 All Habitats'!$X$3,W248&gt;0),"Any Loss Unacceptable ⚠",H248*J248*L248*O248))))),"Check Data ▲")</f>
        <v/>
      </c>
      <c r="R248" s="38"/>
      <c r="S248" s="54"/>
      <c r="T248" s="55"/>
      <c r="U248" s="374" t="str">
        <f t="shared" si="18"/>
        <v/>
      </c>
      <c r="V248" s="374" t="str">
        <f t="shared" si="19"/>
        <v/>
      </c>
      <c r="W248" s="374" t="str">
        <f>IF(E248="","",IF(H248&lt;S248+T248,"Error in Areas ▲",IF(P248&lt;&gt;'G-1 All Habitats'!$X$3,H248-S248-T248,IF(AND(P248='G-1 All Habitats'!$X$3,Y248="Yes"),"Unacceptable Loss ⚠",IF(AND(P248='G-1 All Habitats'!$X$3,Y248="No"),AC248,IF(AND(P248='G-1 All Habitats'!$X$3,Y248=""),AC248,IF(AND(P248='G-1 All Habitats'!$X$3,AC248="None",AC248),IF(AND(P248='G-1 All Habitats'!$X$3,AC248&gt;0),H248-S248-T248))))))))</f>
        <v/>
      </c>
      <c r="X248" s="378" t="str">
        <f>IFERROR(IF(H248="","",IF(H248-S248-T248=0&lt;0,"Error in Areas ▲",IF(S248+T248&gt;H248,"Error in Areas ▲",IF(AND(P248='G-1 All Habitats'!$X$3,Y248="Yes"),"Alternative Compensation ✓",IF(W248=0,0,IF(P248='G-1 All Habitats'!$X$3,"Any Loss Unacceptable ▲",Q248-U248-V248)))))),"Check Data ▲")</f>
        <v/>
      </c>
      <c r="Y248" s="55"/>
      <c r="Z248" s="62"/>
      <c r="AA248" s="526"/>
      <c r="AB248" s="120"/>
      <c r="AC248" s="726" t="str">
        <f>IF(P248="","",IF(P248='G-1 All Habitats'!$X$3,H248-S248-T248,"None"))</f>
        <v/>
      </c>
      <c r="AD248" s="727" t="str">
        <f>IF(P248="","", IF(P248='G-1 All Habitats'!$X$3, AC248*J248*L248*O248,"None"))</f>
        <v/>
      </c>
      <c r="AF248" s="40" t="str">
        <f t="shared" si="15"/>
        <v/>
      </c>
      <c r="AG248" s="40" t="str">
        <f t="shared" si="16"/>
        <v/>
      </c>
      <c r="AH248" s="40" t="str">
        <f>IF(I248="","",IF(#REF!&gt;0,TRUE,FALSE))</f>
        <v/>
      </c>
      <c r="AI248" s="40">
        <v>238</v>
      </c>
      <c r="AJ248" s="40"/>
      <c r="AK248" s="40" t="str">
        <f t="array" ref="AK248">IFERROR(INDEX($AI$11:$AI$259, MATCH(0, IF(TRUE=$AF$11:$AF$259, COUNTIF($AK$10:$AK247, $AI$11:$AI$259), ""), 0)),"")</f>
        <v/>
      </c>
      <c r="AL248" s="40" t="str">
        <f t="array" ref="AL248">IFERROR(INDEX($AI$11:$AI$259, MATCH(0, IF(TRUE=$AG$11:$AG$259, COUNTIF($AL$10:$AL247, $AI$11:$AI$259), ""), 0)),"")</f>
        <v/>
      </c>
      <c r="AM248" s="40" t="str">
        <f t="array" ref="AM248">IFERROR(INDEX($AI$11:$AI$259, MATCH(0, IF(TRUE=$AH$11:$AH$259, COUNTIF($AM$10:$AM247, $AI$11:$AI$259), ""), 0)),"")</f>
        <v/>
      </c>
      <c r="AN248" s="40"/>
      <c r="AQ248" s="35">
        <f t="shared" si="17"/>
        <v>0</v>
      </c>
    </row>
    <row r="249" spans="1:43">
      <c r="A249" s="35" t="str">
        <f>IFERROR(INDEX('G-1 All Habitats'!$AG$3:$AG$17,MATCH(E249,'G-1 All Habitats'!$AF$3:$AF$17,0)),"")</f>
        <v/>
      </c>
      <c r="B249" s="35" t="str">
        <f>IFERROR(INDEX('G-8 Condition Look up'!$I$4:$I$135,MATCH(G249,'G-8 Condition Look up'!$A$4:$A$135,0)),"")</f>
        <v/>
      </c>
      <c r="D249" s="287">
        <v>239</v>
      </c>
      <c r="E249" s="267"/>
      <c r="F249" s="61"/>
      <c r="G249" s="52" t="str">
        <f>IFERROR(INDEX('G-1 All Habitats'!$B$3:$B$134,MATCH(F249,'G-1 All Habitats'!$A$3:$A$134,0)),"")</f>
        <v/>
      </c>
      <c r="H249" s="53"/>
      <c r="I249" s="362" t="str">
        <f>IF(G249="","",VLOOKUP(G249,'G-1 All Habitats'!$B$2:$M$134,10,FALSE))</f>
        <v/>
      </c>
      <c r="J249" s="363" t="str">
        <f>IFERROR(VLOOKUP(I249,'G-1 All Habitats'!$V$3:$W$7,2,FALSE),"")</f>
        <v/>
      </c>
      <c r="K249" s="54"/>
      <c r="L249" s="363" t="str">
        <f>IFERROR(INDEX('G-8 Condition Look up'!$A$3:$H$135,MATCH(G249,'G-8 Condition Look up'!$A$3:$A$135,0),MATCH(K249,'G-8 Condition Look up'!$A$3:$H$3,0)),"")</f>
        <v/>
      </c>
      <c r="M249" s="54"/>
      <c r="N249" s="382" t="str">
        <f>IF(M249="","",IF(VLOOKUP(M249,'G-3 Multipliers'!$L$3:$N$6,2,FALSE)=0,"Spatial Data Missing",VLOOKUP(M249,'G-3 Multipliers'!$L$3:$N$6,2,FALSE)))</f>
        <v/>
      </c>
      <c r="O249" s="368" t="str">
        <f>IF(M249="","",IF(VLOOKUP(M249,'G-3 Multipliers'!$L$3:$N$6,3,FALSE)=0,"Spatial Data Missing",VLOOKUP(M249,'G-3 Multipliers'!$L$3:$N$6,3,FALSE)))</f>
        <v/>
      </c>
      <c r="P249" s="369" t="str">
        <f>IFERROR(VLOOKUP(G249,'G-1 All Habitats'!$B$2:$M$134,12,FALSE),"")</f>
        <v/>
      </c>
      <c r="Q249" s="376" t="str">
        <f>IFERROR(IF(P249="","",IF(AND(P249='G-1 All Habitats'!$X$3,T249&gt;0),U249+V249,IF(AND(P249='G-1 All Habitats'!$X$3,S249&gt;0),U249+V249,IF(AND(P249='G-1 All Habitats'!$X$3,AC249&gt;0),"Any Loss Unacceptable ⚠",IF(AND(P249='G-1 All Habitats'!$X$3,W249&gt;0),"Any Loss Unacceptable ⚠",H249*J249*L249*O249))))),"Check Data ▲")</f>
        <v/>
      </c>
      <c r="R249" s="38"/>
      <c r="S249" s="54"/>
      <c r="T249" s="55"/>
      <c r="U249" s="374" t="str">
        <f t="shared" si="18"/>
        <v/>
      </c>
      <c r="V249" s="374" t="str">
        <f t="shared" si="19"/>
        <v/>
      </c>
      <c r="W249" s="374" t="str">
        <f>IF(E249="","",IF(H249&lt;S249+T249,"Error in Areas ▲",IF(P249&lt;&gt;'G-1 All Habitats'!$X$3,H249-S249-T249,IF(AND(P249='G-1 All Habitats'!$X$3,Y249="Yes"),"Unacceptable Loss ⚠",IF(AND(P249='G-1 All Habitats'!$X$3,Y249="No"),AC249,IF(AND(P249='G-1 All Habitats'!$X$3,Y249=""),AC249,IF(AND(P249='G-1 All Habitats'!$X$3,AC249="None",AC249),IF(AND(P249='G-1 All Habitats'!$X$3,AC249&gt;0),H249-S249-T249))))))))</f>
        <v/>
      </c>
      <c r="X249" s="378" t="str">
        <f>IFERROR(IF(H249="","",IF(H249-S249-T249=0&lt;0,"Error in Areas ▲",IF(S249+T249&gt;H249,"Error in Areas ▲",IF(AND(P249='G-1 All Habitats'!$X$3,Y249="Yes"),"Alternative Compensation ✓",IF(W249=0,0,IF(P249='G-1 All Habitats'!$X$3,"Any Loss Unacceptable ▲",Q249-U249-V249)))))),"Check Data ▲")</f>
        <v/>
      </c>
      <c r="Y249" s="55"/>
      <c r="Z249" s="62"/>
      <c r="AA249" s="526"/>
      <c r="AB249" s="120"/>
      <c r="AC249" s="726" t="str">
        <f>IF(P249="","",IF(P249='G-1 All Habitats'!$X$3,H249-S249-T249,"None"))</f>
        <v/>
      </c>
      <c r="AD249" s="727" t="str">
        <f>IF(P249="","", IF(P249='G-1 All Habitats'!$X$3, AC249*J249*L249*O249,"None"))</f>
        <v/>
      </c>
      <c r="AF249" s="40" t="str">
        <f t="shared" si="15"/>
        <v/>
      </c>
      <c r="AG249" s="40" t="str">
        <f t="shared" si="16"/>
        <v/>
      </c>
      <c r="AH249" s="40" t="str">
        <f>IF(I249="","",IF(#REF!&gt;0,TRUE,FALSE))</f>
        <v/>
      </c>
      <c r="AI249" s="40">
        <v>239</v>
      </c>
      <c r="AJ249" s="40"/>
      <c r="AK249" s="40" t="str">
        <f t="array" ref="AK249">IFERROR(INDEX($AI$11:$AI$259, MATCH(0, IF(TRUE=$AF$11:$AF$259, COUNTIF($AK$10:$AK248, $AI$11:$AI$259), ""), 0)),"")</f>
        <v/>
      </c>
      <c r="AL249" s="40" t="str">
        <f t="array" ref="AL249">IFERROR(INDEX($AI$11:$AI$259, MATCH(0, IF(TRUE=$AG$11:$AG$259, COUNTIF($AL$10:$AL248, $AI$11:$AI$259), ""), 0)),"")</f>
        <v/>
      </c>
      <c r="AM249" s="40" t="str">
        <f t="array" ref="AM249">IFERROR(INDEX($AI$11:$AI$259, MATCH(0, IF(TRUE=$AH$11:$AH$259, COUNTIF($AM$10:$AM248, $AI$11:$AI$259), ""), 0)),"")</f>
        <v/>
      </c>
      <c r="AN249" s="40"/>
      <c r="AQ249" s="35">
        <f t="shared" si="17"/>
        <v>0</v>
      </c>
    </row>
    <row r="250" spans="1:43">
      <c r="A250" s="35" t="str">
        <f>IFERROR(INDEX('G-1 All Habitats'!$AG$3:$AG$17,MATCH(E250,'G-1 All Habitats'!$AF$3:$AF$17,0)),"")</f>
        <v/>
      </c>
      <c r="B250" s="35" t="str">
        <f>IFERROR(INDEX('G-8 Condition Look up'!$I$4:$I$135,MATCH(G250,'G-8 Condition Look up'!$A$4:$A$135,0)),"")</f>
        <v/>
      </c>
      <c r="D250" s="287">
        <v>240</v>
      </c>
      <c r="E250" s="267"/>
      <c r="F250" s="61"/>
      <c r="G250" s="52" t="str">
        <f>IFERROR(INDEX('G-1 All Habitats'!$B$3:$B$134,MATCH(F250,'G-1 All Habitats'!$A$3:$A$134,0)),"")</f>
        <v/>
      </c>
      <c r="H250" s="53"/>
      <c r="I250" s="362" t="str">
        <f>IF(G250="","",VLOOKUP(G250,'G-1 All Habitats'!$B$2:$M$134,10,FALSE))</f>
        <v/>
      </c>
      <c r="J250" s="363" t="str">
        <f>IFERROR(VLOOKUP(I250,'G-1 All Habitats'!$V$3:$W$7,2,FALSE),"")</f>
        <v/>
      </c>
      <c r="K250" s="54"/>
      <c r="L250" s="363" t="str">
        <f>IFERROR(INDEX('G-8 Condition Look up'!$A$3:$H$135,MATCH(G250,'G-8 Condition Look up'!$A$3:$A$135,0),MATCH(K250,'G-8 Condition Look up'!$A$3:$H$3,0)),"")</f>
        <v/>
      </c>
      <c r="M250" s="54"/>
      <c r="N250" s="382" t="str">
        <f>IF(M250="","",IF(VLOOKUP(M250,'G-3 Multipliers'!$L$3:$N$6,2,FALSE)=0,"Spatial Data Missing",VLOOKUP(M250,'G-3 Multipliers'!$L$3:$N$6,2,FALSE)))</f>
        <v/>
      </c>
      <c r="O250" s="368" t="str">
        <f>IF(M250="","",IF(VLOOKUP(M250,'G-3 Multipliers'!$L$3:$N$6,3,FALSE)=0,"Spatial Data Missing",VLOOKUP(M250,'G-3 Multipliers'!$L$3:$N$6,3,FALSE)))</f>
        <v/>
      </c>
      <c r="P250" s="369" t="str">
        <f>IFERROR(VLOOKUP(G250,'G-1 All Habitats'!$B$2:$M$134,12,FALSE),"")</f>
        <v/>
      </c>
      <c r="Q250" s="376" t="str">
        <f>IFERROR(IF(P250="","",IF(AND(P250='G-1 All Habitats'!$X$3,T250&gt;0),U250+V250,IF(AND(P250='G-1 All Habitats'!$X$3,S250&gt;0),U250+V250,IF(AND(P250='G-1 All Habitats'!$X$3,AC250&gt;0),"Any Loss Unacceptable ⚠",IF(AND(P250='G-1 All Habitats'!$X$3,W250&gt;0),"Any Loss Unacceptable ⚠",H250*J250*L250*O250))))),"Check Data ▲")</f>
        <v/>
      </c>
      <c r="R250" s="38"/>
      <c r="S250" s="54"/>
      <c r="T250" s="55"/>
      <c r="U250" s="374" t="str">
        <f t="shared" si="18"/>
        <v/>
      </c>
      <c r="V250" s="374" t="str">
        <f t="shared" si="19"/>
        <v/>
      </c>
      <c r="W250" s="374" t="str">
        <f>IF(E250="","",IF(H250&lt;S250+T250,"Error in Areas ▲",IF(P250&lt;&gt;'G-1 All Habitats'!$X$3,H250-S250-T250,IF(AND(P250='G-1 All Habitats'!$X$3,Y250="Yes"),"Unacceptable Loss ⚠",IF(AND(P250='G-1 All Habitats'!$X$3,Y250="No"),AC250,IF(AND(P250='G-1 All Habitats'!$X$3,Y250=""),AC250,IF(AND(P250='G-1 All Habitats'!$X$3,AC250="None",AC250),IF(AND(P250='G-1 All Habitats'!$X$3,AC250&gt;0),H250-S250-T250))))))))</f>
        <v/>
      </c>
      <c r="X250" s="378" t="str">
        <f>IFERROR(IF(H250="","",IF(H250-S250-T250=0&lt;0,"Error in Areas ▲",IF(S250+T250&gt;H250,"Error in Areas ▲",IF(AND(P250='G-1 All Habitats'!$X$3,Y250="Yes"),"Alternative Compensation ✓",IF(W250=0,0,IF(P250='G-1 All Habitats'!$X$3,"Any Loss Unacceptable ▲",Q250-U250-V250)))))),"Check Data ▲")</f>
        <v/>
      </c>
      <c r="Y250" s="55"/>
      <c r="Z250" s="62"/>
      <c r="AA250" s="526"/>
      <c r="AB250" s="120"/>
      <c r="AC250" s="726" t="str">
        <f>IF(P250="","",IF(P250='G-1 All Habitats'!$X$3,H250-S250-T250,"None"))</f>
        <v/>
      </c>
      <c r="AD250" s="727" t="str">
        <f>IF(P250="","", IF(P250='G-1 All Habitats'!$X$3, AC250*J250*L250*O250,"None"))</f>
        <v/>
      </c>
      <c r="AF250" s="40" t="str">
        <f t="shared" si="15"/>
        <v/>
      </c>
      <c r="AG250" s="40" t="str">
        <f t="shared" si="16"/>
        <v/>
      </c>
      <c r="AH250" s="40" t="str">
        <f>IF(I250="","",IF(#REF!&gt;0,TRUE,FALSE))</f>
        <v/>
      </c>
      <c r="AI250" s="40">
        <v>240</v>
      </c>
      <c r="AJ250" s="40"/>
      <c r="AK250" s="40" t="str">
        <f t="array" ref="AK250">IFERROR(INDEX($AI$11:$AI$259, MATCH(0, IF(TRUE=$AF$11:$AF$259, COUNTIF($AK$10:$AK249, $AI$11:$AI$259), ""), 0)),"")</f>
        <v/>
      </c>
      <c r="AL250" s="40" t="str">
        <f t="array" ref="AL250">IFERROR(INDEX($AI$11:$AI$259, MATCH(0, IF(TRUE=$AG$11:$AG$259, COUNTIF($AL$10:$AL249, $AI$11:$AI$259), ""), 0)),"")</f>
        <v/>
      </c>
      <c r="AM250" s="40" t="str">
        <f t="array" ref="AM250">IFERROR(INDEX($AI$11:$AI$259, MATCH(0, IF(TRUE=$AH$11:$AH$259, COUNTIF($AM$10:$AM249, $AI$11:$AI$259), ""), 0)),"")</f>
        <v/>
      </c>
      <c r="AN250" s="40"/>
      <c r="AQ250" s="35">
        <f t="shared" si="17"/>
        <v>0</v>
      </c>
    </row>
    <row r="251" spans="1:43">
      <c r="A251" s="35" t="str">
        <f>IFERROR(INDEX('G-1 All Habitats'!$AG$3:$AG$17,MATCH(E251,'G-1 All Habitats'!$AF$3:$AF$17,0)),"")</f>
        <v/>
      </c>
      <c r="B251" s="35" t="str">
        <f>IFERROR(INDEX('G-8 Condition Look up'!$I$4:$I$135,MATCH(G251,'G-8 Condition Look up'!$A$4:$A$135,0)),"")</f>
        <v/>
      </c>
      <c r="D251" s="287">
        <v>241</v>
      </c>
      <c r="E251" s="267"/>
      <c r="F251" s="61"/>
      <c r="G251" s="52" t="str">
        <f>IFERROR(INDEX('G-1 All Habitats'!$B$3:$B$134,MATCH(F251,'G-1 All Habitats'!$A$3:$A$134,0)),"")</f>
        <v/>
      </c>
      <c r="H251" s="53"/>
      <c r="I251" s="362" t="str">
        <f>IF(G251="","",VLOOKUP(G251,'G-1 All Habitats'!$B$2:$M$134,10,FALSE))</f>
        <v/>
      </c>
      <c r="J251" s="363" t="str">
        <f>IFERROR(VLOOKUP(I251,'G-1 All Habitats'!$V$3:$W$7,2,FALSE),"")</f>
        <v/>
      </c>
      <c r="K251" s="54"/>
      <c r="L251" s="363" t="str">
        <f>IFERROR(INDEX('G-8 Condition Look up'!$A$3:$H$135,MATCH(G251,'G-8 Condition Look up'!$A$3:$A$135,0),MATCH(K251,'G-8 Condition Look up'!$A$3:$H$3,0)),"")</f>
        <v/>
      </c>
      <c r="M251" s="54"/>
      <c r="N251" s="382" t="str">
        <f>IF(M251="","",IF(VLOOKUP(M251,'G-3 Multipliers'!$L$3:$N$6,2,FALSE)=0,"Spatial Data Missing",VLOOKUP(M251,'G-3 Multipliers'!$L$3:$N$6,2,FALSE)))</f>
        <v/>
      </c>
      <c r="O251" s="368" t="str">
        <f>IF(M251="","",IF(VLOOKUP(M251,'G-3 Multipliers'!$L$3:$N$6,3,FALSE)=0,"Spatial Data Missing",VLOOKUP(M251,'G-3 Multipliers'!$L$3:$N$6,3,FALSE)))</f>
        <v/>
      </c>
      <c r="P251" s="369" t="str">
        <f>IFERROR(VLOOKUP(G251,'G-1 All Habitats'!$B$2:$M$134,12,FALSE),"")</f>
        <v/>
      </c>
      <c r="Q251" s="376" t="str">
        <f>IFERROR(IF(P251="","",IF(AND(P251='G-1 All Habitats'!$X$3,T251&gt;0),U251+V251,IF(AND(P251='G-1 All Habitats'!$X$3,S251&gt;0),U251+V251,IF(AND(P251='G-1 All Habitats'!$X$3,AC251&gt;0),"Any Loss Unacceptable ⚠",IF(AND(P251='G-1 All Habitats'!$X$3,W251&gt;0),"Any Loss Unacceptable ⚠",H251*J251*L251*O251))))),"Check Data ▲")</f>
        <v/>
      </c>
      <c r="R251" s="38"/>
      <c r="S251" s="54"/>
      <c r="T251" s="55"/>
      <c r="U251" s="374" t="str">
        <f t="shared" si="18"/>
        <v/>
      </c>
      <c r="V251" s="374" t="str">
        <f t="shared" si="19"/>
        <v/>
      </c>
      <c r="W251" s="374" t="str">
        <f>IF(E251="","",IF(H251&lt;S251+T251,"Error in Areas ▲",IF(P251&lt;&gt;'G-1 All Habitats'!$X$3,H251-S251-T251,IF(AND(P251='G-1 All Habitats'!$X$3,Y251="Yes"),"Unacceptable Loss ⚠",IF(AND(P251='G-1 All Habitats'!$X$3,Y251="No"),AC251,IF(AND(P251='G-1 All Habitats'!$X$3,Y251=""),AC251,IF(AND(P251='G-1 All Habitats'!$X$3,AC251="None",AC251),IF(AND(P251='G-1 All Habitats'!$X$3,AC251&gt;0),H251-S251-T251))))))))</f>
        <v/>
      </c>
      <c r="X251" s="378" t="str">
        <f>IFERROR(IF(H251="","",IF(H251-S251-T251=0&lt;0,"Error in Areas ▲",IF(S251+T251&gt;H251,"Error in Areas ▲",IF(AND(P251='G-1 All Habitats'!$X$3,Y251="Yes"),"Alternative Compensation ✓",IF(W251=0,0,IF(P251='G-1 All Habitats'!$X$3,"Any Loss Unacceptable ▲",Q251-U251-V251)))))),"Check Data ▲")</f>
        <v/>
      </c>
      <c r="Y251" s="55"/>
      <c r="Z251" s="62"/>
      <c r="AA251" s="526"/>
      <c r="AB251" s="120"/>
      <c r="AC251" s="726" t="str">
        <f>IF(P251="","",IF(P251='G-1 All Habitats'!$X$3,H251-S251-T251,"None"))</f>
        <v/>
      </c>
      <c r="AD251" s="727" t="str">
        <f>IF(P251="","", IF(P251='G-1 All Habitats'!$X$3, AC251*J251*L251*O251,"None"))</f>
        <v/>
      </c>
      <c r="AF251" s="40" t="str">
        <f t="shared" si="15"/>
        <v/>
      </c>
      <c r="AG251" s="40" t="str">
        <f t="shared" si="16"/>
        <v/>
      </c>
      <c r="AH251" s="40" t="str">
        <f>IF(I251="","",IF(#REF!&gt;0,TRUE,FALSE))</f>
        <v/>
      </c>
      <c r="AI251" s="40">
        <v>241</v>
      </c>
      <c r="AJ251" s="40"/>
      <c r="AK251" s="40" t="str">
        <f t="array" ref="AK251">IFERROR(INDEX($AI$11:$AI$259, MATCH(0, IF(TRUE=$AF$11:$AF$259, COUNTIF($AK$10:$AK250, $AI$11:$AI$259), ""), 0)),"")</f>
        <v/>
      </c>
      <c r="AL251" s="40" t="str">
        <f t="array" ref="AL251">IFERROR(INDEX($AI$11:$AI$259, MATCH(0, IF(TRUE=$AG$11:$AG$259, COUNTIF($AL$10:$AL250, $AI$11:$AI$259), ""), 0)),"")</f>
        <v/>
      </c>
      <c r="AM251" s="40" t="str">
        <f t="array" ref="AM251">IFERROR(INDEX($AI$11:$AI$259, MATCH(0, IF(TRUE=$AH$11:$AH$259, COUNTIF($AM$10:$AM250, $AI$11:$AI$259), ""), 0)),"")</f>
        <v/>
      </c>
      <c r="AN251" s="40"/>
      <c r="AQ251" s="35">
        <f t="shared" si="17"/>
        <v>0</v>
      </c>
    </row>
    <row r="252" spans="1:43">
      <c r="A252" s="35" t="str">
        <f>IFERROR(INDEX('G-1 All Habitats'!$AG$3:$AG$17,MATCH(E252,'G-1 All Habitats'!$AF$3:$AF$17,0)),"")</f>
        <v/>
      </c>
      <c r="B252" s="35" t="str">
        <f>IFERROR(INDEX('G-8 Condition Look up'!$I$4:$I$135,MATCH(G252,'G-8 Condition Look up'!$A$4:$A$135,0)),"")</f>
        <v/>
      </c>
      <c r="D252" s="287">
        <v>242</v>
      </c>
      <c r="E252" s="267"/>
      <c r="F252" s="61"/>
      <c r="G252" s="52" t="str">
        <f>IFERROR(INDEX('G-1 All Habitats'!$B$3:$B$134,MATCH(F252,'G-1 All Habitats'!$A$3:$A$134,0)),"")</f>
        <v/>
      </c>
      <c r="H252" s="53"/>
      <c r="I252" s="362" t="str">
        <f>IF(G252="","",VLOOKUP(G252,'G-1 All Habitats'!$B$2:$M$134,10,FALSE))</f>
        <v/>
      </c>
      <c r="J252" s="363" t="str">
        <f>IFERROR(VLOOKUP(I252,'G-1 All Habitats'!$V$3:$W$7,2,FALSE),"")</f>
        <v/>
      </c>
      <c r="K252" s="54"/>
      <c r="L252" s="363" t="str">
        <f>IFERROR(INDEX('G-8 Condition Look up'!$A$3:$H$135,MATCH(G252,'G-8 Condition Look up'!$A$3:$A$135,0),MATCH(K252,'G-8 Condition Look up'!$A$3:$H$3,0)),"")</f>
        <v/>
      </c>
      <c r="M252" s="54"/>
      <c r="N252" s="382" t="str">
        <f>IF(M252="","",IF(VLOOKUP(M252,'G-3 Multipliers'!$L$3:$N$6,2,FALSE)=0,"Spatial Data Missing",VLOOKUP(M252,'G-3 Multipliers'!$L$3:$N$6,2,FALSE)))</f>
        <v/>
      </c>
      <c r="O252" s="368" t="str">
        <f>IF(M252="","",IF(VLOOKUP(M252,'G-3 Multipliers'!$L$3:$N$6,3,FALSE)=0,"Spatial Data Missing",VLOOKUP(M252,'G-3 Multipliers'!$L$3:$N$6,3,FALSE)))</f>
        <v/>
      </c>
      <c r="P252" s="369" t="str">
        <f>IFERROR(VLOOKUP(G252,'G-1 All Habitats'!$B$2:$M$134,12,FALSE),"")</f>
        <v/>
      </c>
      <c r="Q252" s="376" t="str">
        <f>IFERROR(IF(P252="","",IF(AND(P252='G-1 All Habitats'!$X$3,T252&gt;0),U252+V252,IF(AND(P252='G-1 All Habitats'!$X$3,S252&gt;0),U252+V252,IF(AND(P252='G-1 All Habitats'!$X$3,AC252&gt;0),"Any Loss Unacceptable ⚠",IF(AND(P252='G-1 All Habitats'!$X$3,W252&gt;0),"Any Loss Unacceptable ⚠",H252*J252*L252*O252))))),"Check Data ▲")</f>
        <v/>
      </c>
      <c r="R252" s="38"/>
      <c r="S252" s="54"/>
      <c r="T252" s="55"/>
      <c r="U252" s="374" t="str">
        <f t="shared" si="18"/>
        <v/>
      </c>
      <c r="V252" s="374" t="str">
        <f t="shared" si="19"/>
        <v/>
      </c>
      <c r="W252" s="374" t="str">
        <f>IF(E252="","",IF(H252&lt;S252+T252,"Error in Areas ▲",IF(P252&lt;&gt;'G-1 All Habitats'!$X$3,H252-S252-T252,IF(AND(P252='G-1 All Habitats'!$X$3,Y252="Yes"),"Unacceptable Loss ⚠",IF(AND(P252='G-1 All Habitats'!$X$3,Y252="No"),AC252,IF(AND(P252='G-1 All Habitats'!$X$3,Y252=""),AC252,IF(AND(P252='G-1 All Habitats'!$X$3,AC252="None",AC252),IF(AND(P252='G-1 All Habitats'!$X$3,AC252&gt;0),H252-S252-T252))))))))</f>
        <v/>
      </c>
      <c r="X252" s="378" t="str">
        <f>IFERROR(IF(H252="","",IF(H252-S252-T252=0&lt;0,"Error in Areas ▲",IF(S252+T252&gt;H252,"Error in Areas ▲",IF(AND(P252='G-1 All Habitats'!$X$3,Y252="Yes"),"Alternative Compensation ✓",IF(W252=0,0,IF(P252='G-1 All Habitats'!$X$3,"Any Loss Unacceptable ▲",Q252-U252-V252)))))),"Check Data ▲")</f>
        <v/>
      </c>
      <c r="Y252" s="55"/>
      <c r="Z252" s="62"/>
      <c r="AA252" s="526"/>
      <c r="AB252" s="120"/>
      <c r="AC252" s="726" t="str">
        <f>IF(P252="","",IF(P252='G-1 All Habitats'!$X$3,H252-S252-T252,"None"))</f>
        <v/>
      </c>
      <c r="AD252" s="727" t="str">
        <f>IF(P252="","", IF(P252='G-1 All Habitats'!$X$3, AC252*J252*L252*O252,"None"))</f>
        <v/>
      </c>
      <c r="AF252" s="40" t="str">
        <f t="shared" si="15"/>
        <v/>
      </c>
      <c r="AG252" s="40" t="str">
        <f t="shared" si="16"/>
        <v/>
      </c>
      <c r="AH252" s="40" t="str">
        <f>IF(I252="","",IF(#REF!&gt;0,TRUE,FALSE))</f>
        <v/>
      </c>
      <c r="AI252" s="40">
        <v>242</v>
      </c>
      <c r="AJ252" s="40"/>
      <c r="AK252" s="40" t="str">
        <f t="array" ref="AK252">IFERROR(INDEX($AI$11:$AI$259, MATCH(0, IF(TRUE=$AF$11:$AF$259, COUNTIF($AK$10:$AK251, $AI$11:$AI$259), ""), 0)),"")</f>
        <v/>
      </c>
      <c r="AL252" s="40" t="str">
        <f t="array" ref="AL252">IFERROR(INDEX($AI$11:$AI$259, MATCH(0, IF(TRUE=$AG$11:$AG$259, COUNTIF($AL$10:$AL251, $AI$11:$AI$259), ""), 0)),"")</f>
        <v/>
      </c>
      <c r="AM252" s="40" t="str">
        <f t="array" ref="AM252">IFERROR(INDEX($AI$11:$AI$259, MATCH(0, IF(TRUE=$AH$11:$AH$259, COUNTIF($AM$10:$AM251, $AI$11:$AI$259), ""), 0)),"")</f>
        <v/>
      </c>
      <c r="AN252" s="40"/>
      <c r="AQ252" s="35">
        <f t="shared" si="17"/>
        <v>0</v>
      </c>
    </row>
    <row r="253" spans="1:43">
      <c r="A253" s="35" t="str">
        <f>IFERROR(INDEX('G-1 All Habitats'!$AG$3:$AG$17,MATCH(E253,'G-1 All Habitats'!$AF$3:$AF$17,0)),"")</f>
        <v/>
      </c>
      <c r="B253" s="35" t="str">
        <f>IFERROR(INDEX('G-8 Condition Look up'!$I$4:$I$135,MATCH(G253,'G-8 Condition Look up'!$A$4:$A$135,0)),"")</f>
        <v/>
      </c>
      <c r="D253" s="287">
        <v>243</v>
      </c>
      <c r="E253" s="267"/>
      <c r="F253" s="61"/>
      <c r="G253" s="52" t="str">
        <f>IFERROR(INDEX('G-1 All Habitats'!$B$3:$B$134,MATCH(F253,'G-1 All Habitats'!$A$3:$A$134,0)),"")</f>
        <v/>
      </c>
      <c r="H253" s="53"/>
      <c r="I253" s="362" t="str">
        <f>IF(G253="","",VLOOKUP(G253,'G-1 All Habitats'!$B$2:$M$134,10,FALSE))</f>
        <v/>
      </c>
      <c r="J253" s="363" t="str">
        <f>IFERROR(VLOOKUP(I253,'G-1 All Habitats'!$V$3:$W$7,2,FALSE),"")</f>
        <v/>
      </c>
      <c r="K253" s="54"/>
      <c r="L253" s="363" t="str">
        <f>IFERROR(INDEX('G-8 Condition Look up'!$A$3:$H$135,MATCH(G253,'G-8 Condition Look up'!$A$3:$A$135,0),MATCH(K253,'G-8 Condition Look up'!$A$3:$H$3,0)),"")</f>
        <v/>
      </c>
      <c r="M253" s="54"/>
      <c r="N253" s="382" t="str">
        <f>IF(M253="","",IF(VLOOKUP(M253,'G-3 Multipliers'!$L$3:$N$6,2,FALSE)=0,"Spatial Data Missing",VLOOKUP(M253,'G-3 Multipliers'!$L$3:$N$6,2,FALSE)))</f>
        <v/>
      </c>
      <c r="O253" s="368" t="str">
        <f>IF(M253="","",IF(VLOOKUP(M253,'G-3 Multipliers'!$L$3:$N$6,3,FALSE)=0,"Spatial Data Missing",VLOOKUP(M253,'G-3 Multipliers'!$L$3:$N$6,3,FALSE)))</f>
        <v/>
      </c>
      <c r="P253" s="369" t="str">
        <f>IFERROR(VLOOKUP(G253,'G-1 All Habitats'!$B$2:$M$134,12,FALSE),"")</f>
        <v/>
      </c>
      <c r="Q253" s="376" t="str">
        <f>IFERROR(IF(P253="","",IF(AND(P253='G-1 All Habitats'!$X$3,T253&gt;0),U253+V253,IF(AND(P253='G-1 All Habitats'!$X$3,S253&gt;0),U253+V253,IF(AND(P253='G-1 All Habitats'!$X$3,AC253&gt;0),"Any Loss Unacceptable ⚠",IF(AND(P253='G-1 All Habitats'!$X$3,W253&gt;0),"Any Loss Unacceptable ⚠",H253*J253*L253*O253))))),"Check Data ▲")</f>
        <v/>
      </c>
      <c r="R253" s="38"/>
      <c r="S253" s="54"/>
      <c r="T253" s="55"/>
      <c r="U253" s="374" t="str">
        <f t="shared" si="18"/>
        <v/>
      </c>
      <c r="V253" s="374" t="str">
        <f t="shared" si="19"/>
        <v/>
      </c>
      <c r="W253" s="374" t="str">
        <f>IF(E253="","",IF(H253&lt;S253+T253,"Error in Areas ▲",IF(P253&lt;&gt;'G-1 All Habitats'!$X$3,H253-S253-T253,IF(AND(P253='G-1 All Habitats'!$X$3,Y253="Yes"),"Unacceptable Loss ⚠",IF(AND(P253='G-1 All Habitats'!$X$3,Y253="No"),AC253,IF(AND(P253='G-1 All Habitats'!$X$3,Y253=""),AC253,IF(AND(P253='G-1 All Habitats'!$X$3,AC253="None",AC253),IF(AND(P253='G-1 All Habitats'!$X$3,AC253&gt;0),H253-S253-T253))))))))</f>
        <v/>
      </c>
      <c r="X253" s="378" t="str">
        <f>IFERROR(IF(H253="","",IF(H253-S253-T253=0&lt;0,"Error in Areas ▲",IF(S253+T253&gt;H253,"Error in Areas ▲",IF(AND(P253='G-1 All Habitats'!$X$3,Y253="Yes"),"Alternative Compensation ✓",IF(W253=0,0,IF(P253='G-1 All Habitats'!$X$3,"Any Loss Unacceptable ▲",Q253-U253-V253)))))),"Check Data ▲")</f>
        <v/>
      </c>
      <c r="Y253" s="55"/>
      <c r="Z253" s="62"/>
      <c r="AA253" s="526"/>
      <c r="AB253" s="120"/>
      <c r="AC253" s="726" t="str">
        <f>IF(P253="","",IF(P253='G-1 All Habitats'!$X$3,H253-S253-T253,"None"))</f>
        <v/>
      </c>
      <c r="AD253" s="727" t="str">
        <f>IF(P253="","", IF(P253='G-1 All Habitats'!$X$3, AC253*J253*L253*O253,"None"))</f>
        <v/>
      </c>
      <c r="AF253" s="40" t="str">
        <f t="shared" si="15"/>
        <v/>
      </c>
      <c r="AG253" s="40" t="str">
        <f t="shared" si="16"/>
        <v/>
      </c>
      <c r="AH253" s="40" t="str">
        <f>IF(I253="","",IF(#REF!&gt;0,TRUE,FALSE))</f>
        <v/>
      </c>
      <c r="AI253" s="40">
        <v>243</v>
      </c>
      <c r="AJ253" s="40"/>
      <c r="AK253" s="40" t="str">
        <f t="array" ref="AK253">IFERROR(INDEX($AI$11:$AI$259, MATCH(0, IF(TRUE=$AF$11:$AF$259, COUNTIF($AK$10:$AK252, $AI$11:$AI$259), ""), 0)),"")</f>
        <v/>
      </c>
      <c r="AL253" s="40" t="str">
        <f t="array" ref="AL253">IFERROR(INDEX($AI$11:$AI$259, MATCH(0, IF(TRUE=$AG$11:$AG$259, COUNTIF($AL$10:$AL252, $AI$11:$AI$259), ""), 0)),"")</f>
        <v/>
      </c>
      <c r="AM253" s="40" t="str">
        <f t="array" ref="AM253">IFERROR(INDEX($AI$11:$AI$259, MATCH(0, IF(TRUE=$AH$11:$AH$259, COUNTIF($AM$10:$AM252, $AI$11:$AI$259), ""), 0)),"")</f>
        <v/>
      </c>
      <c r="AN253" s="40"/>
      <c r="AQ253" s="35">
        <f t="shared" si="17"/>
        <v>0</v>
      </c>
    </row>
    <row r="254" spans="1:43">
      <c r="A254" s="35" t="str">
        <f>IFERROR(INDEX('G-1 All Habitats'!$AG$3:$AG$17,MATCH(E254,'G-1 All Habitats'!$AF$3:$AF$17,0)),"")</f>
        <v/>
      </c>
      <c r="B254" s="35" t="str">
        <f>IFERROR(INDEX('G-8 Condition Look up'!$I$4:$I$135,MATCH(G254,'G-8 Condition Look up'!$A$4:$A$135,0)),"")</f>
        <v/>
      </c>
      <c r="D254" s="287">
        <v>244</v>
      </c>
      <c r="E254" s="267"/>
      <c r="F254" s="61"/>
      <c r="G254" s="52" t="str">
        <f>IFERROR(INDEX('G-1 All Habitats'!$B$3:$B$134,MATCH(F254,'G-1 All Habitats'!$A$3:$A$134,0)),"")</f>
        <v/>
      </c>
      <c r="H254" s="53"/>
      <c r="I254" s="362" t="str">
        <f>IF(G254="","",VLOOKUP(G254,'G-1 All Habitats'!$B$2:$M$134,10,FALSE))</f>
        <v/>
      </c>
      <c r="J254" s="363" t="str">
        <f>IFERROR(VLOOKUP(I254,'G-1 All Habitats'!$V$3:$W$7,2,FALSE),"")</f>
        <v/>
      </c>
      <c r="K254" s="54"/>
      <c r="L254" s="363" t="str">
        <f>IFERROR(INDEX('G-8 Condition Look up'!$A$3:$H$135,MATCH(G254,'G-8 Condition Look up'!$A$3:$A$135,0),MATCH(K254,'G-8 Condition Look up'!$A$3:$H$3,0)),"")</f>
        <v/>
      </c>
      <c r="M254" s="54"/>
      <c r="N254" s="382" t="str">
        <f>IF(M254="","",IF(VLOOKUP(M254,'G-3 Multipliers'!$L$3:$N$6,2,FALSE)=0,"Spatial Data Missing",VLOOKUP(M254,'G-3 Multipliers'!$L$3:$N$6,2,FALSE)))</f>
        <v/>
      </c>
      <c r="O254" s="368" t="str">
        <f>IF(M254="","",IF(VLOOKUP(M254,'G-3 Multipliers'!$L$3:$N$6,3,FALSE)=0,"Spatial Data Missing",VLOOKUP(M254,'G-3 Multipliers'!$L$3:$N$6,3,FALSE)))</f>
        <v/>
      </c>
      <c r="P254" s="369" t="str">
        <f>IFERROR(VLOOKUP(G254,'G-1 All Habitats'!$B$2:$M$134,12,FALSE),"")</f>
        <v/>
      </c>
      <c r="Q254" s="376" t="str">
        <f>IFERROR(IF(P254="","",IF(AND(P254='G-1 All Habitats'!$X$3,T254&gt;0),U254+V254,IF(AND(P254='G-1 All Habitats'!$X$3,S254&gt;0),U254+V254,IF(AND(P254='G-1 All Habitats'!$X$3,AC254&gt;0),"Any Loss Unacceptable ⚠",IF(AND(P254='G-1 All Habitats'!$X$3,W254&gt;0),"Any Loss Unacceptable ⚠",H254*J254*L254*O254))))),"Check Data ▲")</f>
        <v/>
      </c>
      <c r="R254" s="38"/>
      <c r="S254" s="54"/>
      <c r="T254" s="55"/>
      <c r="U254" s="374" t="str">
        <f t="shared" si="18"/>
        <v/>
      </c>
      <c r="V254" s="374" t="str">
        <f t="shared" si="19"/>
        <v/>
      </c>
      <c r="W254" s="374" t="str">
        <f>IF(E254="","",IF(H254&lt;S254+T254,"Error in Areas ▲",IF(P254&lt;&gt;'G-1 All Habitats'!$X$3,H254-S254-T254,IF(AND(P254='G-1 All Habitats'!$X$3,Y254="Yes"),"Unacceptable Loss ⚠",IF(AND(P254='G-1 All Habitats'!$X$3,Y254="No"),AC254,IF(AND(P254='G-1 All Habitats'!$X$3,Y254=""),AC254,IF(AND(P254='G-1 All Habitats'!$X$3,AC254="None",AC254),IF(AND(P254='G-1 All Habitats'!$X$3,AC254&gt;0),H254-S254-T254))))))))</f>
        <v/>
      </c>
      <c r="X254" s="378" t="str">
        <f>IFERROR(IF(H254="","",IF(H254-S254-T254=0&lt;0,"Error in Areas ▲",IF(S254+T254&gt;H254,"Error in Areas ▲",IF(AND(P254='G-1 All Habitats'!$X$3,Y254="Yes"),"Alternative Compensation ✓",IF(W254=0,0,IF(P254='G-1 All Habitats'!$X$3,"Any Loss Unacceptable ▲",Q254-U254-V254)))))),"Check Data ▲")</f>
        <v/>
      </c>
      <c r="Y254" s="55"/>
      <c r="Z254" s="62"/>
      <c r="AA254" s="526"/>
      <c r="AB254" s="120"/>
      <c r="AC254" s="726" t="str">
        <f>IF(P254="","",IF(P254='G-1 All Habitats'!$X$3,H254-S254-T254,"None"))</f>
        <v/>
      </c>
      <c r="AD254" s="727" t="str">
        <f>IF(P254="","", IF(P254='G-1 All Habitats'!$X$3, AC254*J254*L254*O254,"None"))</f>
        <v/>
      </c>
      <c r="AF254" s="40" t="str">
        <f t="shared" si="15"/>
        <v/>
      </c>
      <c r="AG254" s="40" t="str">
        <f t="shared" si="16"/>
        <v/>
      </c>
      <c r="AH254" s="40" t="str">
        <f>IF(I254="","",IF(#REF!&gt;0,TRUE,FALSE))</f>
        <v/>
      </c>
      <c r="AI254" s="40">
        <v>244</v>
      </c>
      <c r="AJ254" s="40"/>
      <c r="AK254" s="40" t="str">
        <f t="array" ref="AK254">IFERROR(INDEX($AI$11:$AI$259, MATCH(0, IF(TRUE=$AF$11:$AF$259, COUNTIF($AK$10:$AK253, $AI$11:$AI$259), ""), 0)),"")</f>
        <v/>
      </c>
      <c r="AL254" s="40" t="str">
        <f t="array" ref="AL254">IFERROR(INDEX($AI$11:$AI$259, MATCH(0, IF(TRUE=$AG$11:$AG$259, COUNTIF($AL$10:$AL253, $AI$11:$AI$259), ""), 0)),"")</f>
        <v/>
      </c>
      <c r="AM254" s="40" t="str">
        <f t="array" ref="AM254">IFERROR(INDEX($AI$11:$AI$259, MATCH(0, IF(TRUE=$AH$11:$AH$259, COUNTIF($AM$10:$AM253, $AI$11:$AI$259), ""), 0)),"")</f>
        <v/>
      </c>
      <c r="AN254" s="40"/>
      <c r="AQ254" s="35">
        <f t="shared" si="17"/>
        <v>0</v>
      </c>
    </row>
    <row r="255" spans="1:43">
      <c r="A255" s="35" t="str">
        <f>IFERROR(INDEX('G-1 All Habitats'!$AG$3:$AG$17,MATCH(E255,'G-1 All Habitats'!$AF$3:$AF$17,0)),"")</f>
        <v/>
      </c>
      <c r="B255" s="35" t="str">
        <f>IFERROR(INDEX('G-8 Condition Look up'!$I$4:$I$135,MATCH(G255,'G-8 Condition Look up'!$A$4:$A$135,0)),"")</f>
        <v/>
      </c>
      <c r="D255" s="287">
        <v>245</v>
      </c>
      <c r="E255" s="267"/>
      <c r="F255" s="61"/>
      <c r="G255" s="52" t="str">
        <f>IFERROR(INDEX('G-1 All Habitats'!$B$3:$B$134,MATCH(F255,'G-1 All Habitats'!$A$3:$A$134,0)),"")</f>
        <v/>
      </c>
      <c r="H255" s="53"/>
      <c r="I255" s="362" t="str">
        <f>IF(G255="","",VLOOKUP(G255,'G-1 All Habitats'!$B$2:$M$134,10,FALSE))</f>
        <v/>
      </c>
      <c r="J255" s="363" t="str">
        <f>IFERROR(VLOOKUP(I255,'G-1 All Habitats'!$V$3:$W$7,2,FALSE),"")</f>
        <v/>
      </c>
      <c r="K255" s="54"/>
      <c r="L255" s="363" t="str">
        <f>IFERROR(INDEX('G-8 Condition Look up'!$A$3:$H$135,MATCH(G255,'G-8 Condition Look up'!$A$3:$A$135,0),MATCH(K255,'G-8 Condition Look up'!$A$3:$H$3,0)),"")</f>
        <v/>
      </c>
      <c r="M255" s="54"/>
      <c r="N255" s="382" t="str">
        <f>IF(M255="","",IF(VLOOKUP(M255,'G-3 Multipliers'!$L$3:$N$6,2,FALSE)=0,"Spatial Data Missing",VLOOKUP(M255,'G-3 Multipliers'!$L$3:$N$6,2,FALSE)))</f>
        <v/>
      </c>
      <c r="O255" s="368" t="str">
        <f>IF(M255="","",IF(VLOOKUP(M255,'G-3 Multipliers'!$L$3:$N$6,3,FALSE)=0,"Spatial Data Missing",VLOOKUP(M255,'G-3 Multipliers'!$L$3:$N$6,3,FALSE)))</f>
        <v/>
      </c>
      <c r="P255" s="369" t="str">
        <f>IFERROR(VLOOKUP(G255,'G-1 All Habitats'!$B$2:$M$134,12,FALSE),"")</f>
        <v/>
      </c>
      <c r="Q255" s="376" t="str">
        <f>IFERROR(IF(P255="","",IF(AND(P255='G-1 All Habitats'!$X$3,T255&gt;0),U255+V255,IF(AND(P255='G-1 All Habitats'!$X$3,S255&gt;0),U255+V255,IF(AND(P255='G-1 All Habitats'!$X$3,AC255&gt;0),"Any Loss Unacceptable ⚠",IF(AND(P255='G-1 All Habitats'!$X$3,W255&gt;0),"Any Loss Unacceptable ⚠",H255*J255*L255*O255))))),"Check Data ▲")</f>
        <v/>
      </c>
      <c r="R255" s="38"/>
      <c r="S255" s="54"/>
      <c r="T255" s="55"/>
      <c r="U255" s="374" t="str">
        <f t="shared" si="18"/>
        <v/>
      </c>
      <c r="V255" s="374" t="str">
        <f t="shared" si="19"/>
        <v/>
      </c>
      <c r="W255" s="374" t="str">
        <f>IF(E255="","",IF(H255&lt;S255+T255,"Error in Areas ▲",IF(P255&lt;&gt;'G-1 All Habitats'!$X$3,H255-S255-T255,IF(AND(P255='G-1 All Habitats'!$X$3,Y255="Yes"),"Unacceptable Loss ⚠",IF(AND(P255='G-1 All Habitats'!$X$3,Y255="No"),AC255,IF(AND(P255='G-1 All Habitats'!$X$3,Y255=""),AC255,IF(AND(P255='G-1 All Habitats'!$X$3,AC255="None",AC255),IF(AND(P255='G-1 All Habitats'!$X$3,AC255&gt;0),H255-S255-T255))))))))</f>
        <v/>
      </c>
      <c r="X255" s="378" t="str">
        <f>IFERROR(IF(H255="","",IF(H255-S255-T255=0&lt;0,"Error in Areas ▲",IF(S255+T255&gt;H255,"Error in Areas ▲",IF(AND(P255='G-1 All Habitats'!$X$3,Y255="Yes"),"Alternative Compensation ✓",IF(W255=0,0,IF(P255='G-1 All Habitats'!$X$3,"Any Loss Unacceptable ▲",Q255-U255-V255)))))),"Check Data ▲")</f>
        <v/>
      </c>
      <c r="Y255" s="55"/>
      <c r="Z255" s="62"/>
      <c r="AA255" s="526"/>
      <c r="AB255" s="120"/>
      <c r="AC255" s="726" t="str">
        <f>IF(P255="","",IF(P255='G-1 All Habitats'!$X$3,H255-S255-T255,"None"))</f>
        <v/>
      </c>
      <c r="AD255" s="727" t="str">
        <f>IF(P255="","", IF(P255='G-1 All Habitats'!$X$3, AC255*J255*L255*O255,"None"))</f>
        <v/>
      </c>
      <c r="AF255" s="40" t="str">
        <f t="shared" si="15"/>
        <v/>
      </c>
      <c r="AG255" s="40" t="str">
        <f t="shared" si="16"/>
        <v/>
      </c>
      <c r="AH255" s="40" t="str">
        <f>IF(I255="","",IF(#REF!&gt;0,TRUE,FALSE))</f>
        <v/>
      </c>
      <c r="AI255" s="40">
        <v>245</v>
      </c>
      <c r="AJ255" s="40"/>
      <c r="AK255" s="40" t="str">
        <f t="array" ref="AK255">IFERROR(INDEX($AI$11:$AI$259, MATCH(0, IF(TRUE=$AF$11:$AF$259, COUNTIF($AK$10:$AK254, $AI$11:$AI$259), ""), 0)),"")</f>
        <v/>
      </c>
      <c r="AL255" s="40" t="str">
        <f t="array" ref="AL255">IFERROR(INDEX($AI$11:$AI$259, MATCH(0, IF(TRUE=$AG$11:$AG$259, COUNTIF($AL$10:$AL254, $AI$11:$AI$259), ""), 0)),"")</f>
        <v/>
      </c>
      <c r="AM255" s="40" t="str">
        <f t="array" ref="AM255">IFERROR(INDEX($AI$11:$AI$259, MATCH(0, IF(TRUE=$AH$11:$AH$259, COUNTIF($AM$10:$AM254, $AI$11:$AI$259), ""), 0)),"")</f>
        <v/>
      </c>
      <c r="AN255" s="40"/>
      <c r="AQ255" s="35">
        <f t="shared" si="17"/>
        <v>0</v>
      </c>
    </row>
    <row r="256" spans="1:43">
      <c r="A256" s="35" t="str">
        <f>IFERROR(INDEX('G-1 All Habitats'!$AG$3:$AG$17,MATCH(E256,'G-1 All Habitats'!$AF$3:$AF$17,0)),"")</f>
        <v/>
      </c>
      <c r="B256" s="35" t="str">
        <f>IFERROR(INDEX('G-8 Condition Look up'!$I$4:$I$135,MATCH(G256,'G-8 Condition Look up'!$A$4:$A$135,0)),"")</f>
        <v/>
      </c>
      <c r="D256" s="287">
        <v>246</v>
      </c>
      <c r="E256" s="267"/>
      <c r="F256" s="61"/>
      <c r="G256" s="52" t="str">
        <f>IFERROR(INDEX('G-1 All Habitats'!$B$3:$B$134,MATCH(F256,'G-1 All Habitats'!$A$3:$A$134,0)),"")</f>
        <v/>
      </c>
      <c r="H256" s="53"/>
      <c r="I256" s="362" t="str">
        <f>IF(G256="","",VLOOKUP(G256,'G-1 All Habitats'!$B$2:$M$134,10,FALSE))</f>
        <v/>
      </c>
      <c r="J256" s="363" t="str">
        <f>IFERROR(VLOOKUP(I256,'G-1 All Habitats'!$V$3:$W$7,2,FALSE),"")</f>
        <v/>
      </c>
      <c r="K256" s="54"/>
      <c r="L256" s="363" t="str">
        <f>IFERROR(INDEX('G-8 Condition Look up'!$A$3:$H$135,MATCH(G256,'G-8 Condition Look up'!$A$3:$A$135,0),MATCH(K256,'G-8 Condition Look up'!$A$3:$H$3,0)),"")</f>
        <v/>
      </c>
      <c r="M256" s="54"/>
      <c r="N256" s="382" t="str">
        <f>IF(M256="","",IF(VLOOKUP(M256,'G-3 Multipliers'!$L$3:$N$6,2,FALSE)=0,"Spatial Data Missing",VLOOKUP(M256,'G-3 Multipliers'!$L$3:$N$6,2,FALSE)))</f>
        <v/>
      </c>
      <c r="O256" s="368" t="str">
        <f>IF(M256="","",IF(VLOOKUP(M256,'G-3 Multipliers'!$L$3:$N$6,3,FALSE)=0,"Spatial Data Missing",VLOOKUP(M256,'G-3 Multipliers'!$L$3:$N$6,3,FALSE)))</f>
        <v/>
      </c>
      <c r="P256" s="369" t="str">
        <f>IFERROR(VLOOKUP(G256,'G-1 All Habitats'!$B$2:$M$134,12,FALSE),"")</f>
        <v/>
      </c>
      <c r="Q256" s="376" t="str">
        <f>IFERROR(IF(P256="","",IF(AND(P256='G-1 All Habitats'!$X$3,T256&gt;0),U256+V256,IF(AND(P256='G-1 All Habitats'!$X$3,S256&gt;0),U256+V256,IF(AND(P256='G-1 All Habitats'!$X$3,AC256&gt;0),"Any Loss Unacceptable ⚠",IF(AND(P256='G-1 All Habitats'!$X$3,W256&gt;0),"Any Loss Unacceptable ⚠",H256*J256*L256*O256))))),"Check Data ▲")</f>
        <v/>
      </c>
      <c r="R256" s="38"/>
      <c r="S256" s="54"/>
      <c r="T256" s="55"/>
      <c r="U256" s="374" t="str">
        <f t="shared" si="18"/>
        <v/>
      </c>
      <c r="V256" s="374" t="str">
        <f t="shared" si="19"/>
        <v/>
      </c>
      <c r="W256" s="374" t="str">
        <f>IF(E256="","",IF(H256&lt;S256+T256,"Error in Areas ▲",IF(P256&lt;&gt;'G-1 All Habitats'!$X$3,H256-S256-T256,IF(AND(P256='G-1 All Habitats'!$X$3,Y256="Yes"),"Unacceptable Loss ⚠",IF(AND(P256='G-1 All Habitats'!$X$3,Y256="No"),AC256,IF(AND(P256='G-1 All Habitats'!$X$3,Y256=""),AC256,IF(AND(P256='G-1 All Habitats'!$X$3,AC256="None",AC256),IF(AND(P256='G-1 All Habitats'!$X$3,AC256&gt;0),H256-S256-T256))))))))</f>
        <v/>
      </c>
      <c r="X256" s="378" t="str">
        <f>IFERROR(IF(H256="","",IF(H256-S256-T256=0&lt;0,"Error in Areas ▲",IF(S256+T256&gt;H256,"Error in Areas ▲",IF(AND(P256='G-1 All Habitats'!$X$3,Y256="Yes"),"Alternative Compensation ✓",IF(W256=0,0,IF(P256='G-1 All Habitats'!$X$3,"Any Loss Unacceptable ▲",Q256-U256-V256)))))),"Check Data ▲")</f>
        <v/>
      </c>
      <c r="Y256" s="55"/>
      <c r="Z256" s="62"/>
      <c r="AA256" s="526"/>
      <c r="AB256" s="120"/>
      <c r="AC256" s="726" t="str">
        <f>IF(P256="","",IF(P256='G-1 All Habitats'!$X$3,H256-S256-T256,"None"))</f>
        <v/>
      </c>
      <c r="AD256" s="727" t="str">
        <f>IF(P256="","", IF(P256='G-1 All Habitats'!$X$3, AC256*J256*L256*O256,"None"))</f>
        <v/>
      </c>
      <c r="AF256" s="40" t="str">
        <f t="shared" si="15"/>
        <v/>
      </c>
      <c r="AG256" s="40" t="str">
        <f t="shared" si="16"/>
        <v/>
      </c>
      <c r="AH256" s="40" t="str">
        <f>IF(I256="","",IF(#REF!&gt;0,TRUE,FALSE))</f>
        <v/>
      </c>
      <c r="AI256" s="40">
        <v>246</v>
      </c>
      <c r="AJ256" s="40"/>
      <c r="AK256" s="40" t="str">
        <f t="array" ref="AK256">IFERROR(INDEX($AI$11:$AI$259, MATCH(0, IF(TRUE=$AF$11:$AF$259, COUNTIF($AK$10:$AK255, $AI$11:$AI$259), ""), 0)),"")</f>
        <v/>
      </c>
      <c r="AL256" s="40" t="str">
        <f t="array" ref="AL256">IFERROR(INDEX($AI$11:$AI$259, MATCH(0, IF(TRUE=$AG$11:$AG$259, COUNTIF($AL$10:$AL255, $AI$11:$AI$259), ""), 0)),"")</f>
        <v/>
      </c>
      <c r="AM256" s="40" t="str">
        <f t="array" ref="AM256">IFERROR(INDEX($AI$11:$AI$259, MATCH(0, IF(TRUE=$AH$11:$AH$259, COUNTIF($AM$10:$AM255, $AI$11:$AI$259), ""), 0)),"")</f>
        <v/>
      </c>
      <c r="AN256" s="40"/>
      <c r="AQ256" s="35">
        <f t="shared" si="17"/>
        <v>0</v>
      </c>
    </row>
    <row r="257" spans="1:43">
      <c r="A257" s="35" t="str">
        <f>IFERROR(INDEX('G-1 All Habitats'!$AG$3:$AG$17,MATCH(E257,'G-1 All Habitats'!$AF$3:$AF$17,0)),"")</f>
        <v/>
      </c>
      <c r="B257" s="35" t="str">
        <f>IFERROR(INDEX('G-8 Condition Look up'!$I$4:$I$135,MATCH(G257,'G-8 Condition Look up'!$A$4:$A$135,0)),"")</f>
        <v/>
      </c>
      <c r="D257" s="287">
        <v>247</v>
      </c>
      <c r="E257" s="267"/>
      <c r="F257" s="61"/>
      <c r="G257" s="52" t="str">
        <f>IFERROR(INDEX('G-1 All Habitats'!$B$3:$B$134,MATCH(F257,'G-1 All Habitats'!$A$3:$A$134,0)),"")</f>
        <v/>
      </c>
      <c r="H257" s="53"/>
      <c r="I257" s="362" t="str">
        <f>IF(G257="","",VLOOKUP(G257,'G-1 All Habitats'!$B$2:$M$134,10,FALSE))</f>
        <v/>
      </c>
      <c r="J257" s="363" t="str">
        <f>IFERROR(VLOOKUP(I257,'G-1 All Habitats'!$V$3:$W$7,2,FALSE),"")</f>
        <v/>
      </c>
      <c r="K257" s="54"/>
      <c r="L257" s="363" t="str">
        <f>IFERROR(INDEX('G-8 Condition Look up'!$A$3:$H$135,MATCH(G257,'G-8 Condition Look up'!$A$3:$A$135,0),MATCH(K257,'G-8 Condition Look up'!$A$3:$H$3,0)),"")</f>
        <v/>
      </c>
      <c r="M257" s="54"/>
      <c r="N257" s="382" t="str">
        <f>IF(M257="","",IF(VLOOKUP(M257,'G-3 Multipliers'!$L$3:$N$6,2,FALSE)=0,"Spatial Data Missing",VLOOKUP(M257,'G-3 Multipliers'!$L$3:$N$6,2,FALSE)))</f>
        <v/>
      </c>
      <c r="O257" s="368" t="str">
        <f>IF(M257="","",IF(VLOOKUP(M257,'G-3 Multipliers'!$L$3:$N$6,3,FALSE)=0,"Spatial Data Missing",VLOOKUP(M257,'G-3 Multipliers'!$L$3:$N$6,3,FALSE)))</f>
        <v/>
      </c>
      <c r="P257" s="369" t="str">
        <f>IFERROR(VLOOKUP(G257,'G-1 All Habitats'!$B$2:$M$134,12,FALSE),"")</f>
        <v/>
      </c>
      <c r="Q257" s="376" t="str">
        <f>IFERROR(IF(P257="","",IF(AND(P257='G-1 All Habitats'!$X$3,T257&gt;0),U257+V257,IF(AND(P257='G-1 All Habitats'!$X$3,S257&gt;0),U257+V257,IF(AND(P257='G-1 All Habitats'!$X$3,AC257&gt;0),"Any Loss Unacceptable ⚠",IF(AND(P257='G-1 All Habitats'!$X$3,W257&gt;0),"Any Loss Unacceptable ⚠",H257*J257*L257*O257))))),"Check Data ▲")</f>
        <v/>
      </c>
      <c r="R257" s="38"/>
      <c r="S257" s="54"/>
      <c r="T257" s="55"/>
      <c r="U257" s="374" t="str">
        <f t="shared" si="18"/>
        <v/>
      </c>
      <c r="V257" s="374" t="str">
        <f t="shared" si="19"/>
        <v/>
      </c>
      <c r="W257" s="374" t="str">
        <f>IF(E257="","",IF(H257&lt;S257+T257,"Error in Areas ▲",IF(P257&lt;&gt;'G-1 All Habitats'!$X$3,H257-S257-T257,IF(AND(P257='G-1 All Habitats'!$X$3,Y257="Yes"),"Unacceptable Loss ⚠",IF(AND(P257='G-1 All Habitats'!$X$3,Y257="No"),AC257,IF(AND(P257='G-1 All Habitats'!$X$3,Y257=""),AC257,IF(AND(P257='G-1 All Habitats'!$X$3,AC257="None",AC257),IF(AND(P257='G-1 All Habitats'!$X$3,AC257&gt;0),H257-S257-T257))))))))</f>
        <v/>
      </c>
      <c r="X257" s="378" t="str">
        <f>IFERROR(IF(H257="","",IF(H257-S257-T257=0&lt;0,"Error in Areas ▲",IF(S257+T257&gt;H257,"Error in Areas ▲",IF(AND(P257='G-1 All Habitats'!$X$3,Y257="Yes"),"Alternative Compensation ✓",IF(W257=0,0,IF(P257='G-1 All Habitats'!$X$3,"Any Loss Unacceptable ▲",Q257-U257-V257)))))),"Check Data ▲")</f>
        <v/>
      </c>
      <c r="Y257" s="55"/>
      <c r="Z257" s="62"/>
      <c r="AA257" s="526"/>
      <c r="AB257" s="120"/>
      <c r="AC257" s="726" t="str">
        <f>IF(P257="","",IF(P257='G-1 All Habitats'!$X$3,H257-S257-T257,"None"))</f>
        <v/>
      </c>
      <c r="AD257" s="727" t="str">
        <f>IF(P257="","", IF(P257='G-1 All Habitats'!$X$3, AC257*J257*L257*O257,"None"))</f>
        <v/>
      </c>
      <c r="AF257" s="40" t="str">
        <f t="shared" si="15"/>
        <v/>
      </c>
      <c r="AG257" s="40" t="str">
        <f t="shared" si="16"/>
        <v/>
      </c>
      <c r="AH257" s="40" t="str">
        <f>IF(I257="","",IF(#REF!&gt;0,TRUE,FALSE))</f>
        <v/>
      </c>
      <c r="AI257" s="40">
        <v>247</v>
      </c>
      <c r="AJ257" s="40"/>
      <c r="AK257" s="40" t="str">
        <f t="array" ref="AK257">IFERROR(INDEX($AI$11:$AI$259, MATCH(0, IF(TRUE=$AF$11:$AF$259, COUNTIF($AK$10:$AK256, $AI$11:$AI$259), ""), 0)),"")</f>
        <v/>
      </c>
      <c r="AL257" s="40" t="str">
        <f t="array" ref="AL257">IFERROR(INDEX($AI$11:$AI$259, MATCH(0, IF(TRUE=$AG$11:$AG$259, COUNTIF($AL$10:$AL256, $AI$11:$AI$259), ""), 0)),"")</f>
        <v/>
      </c>
      <c r="AM257" s="40" t="str">
        <f t="array" ref="AM257">IFERROR(INDEX($AI$11:$AI$259, MATCH(0, IF(TRUE=$AH$11:$AH$259, COUNTIF($AM$10:$AM256, $AI$11:$AI$259), ""), 0)),"")</f>
        <v/>
      </c>
      <c r="AN257" s="40"/>
      <c r="AQ257" s="35">
        <f t="shared" si="17"/>
        <v>0</v>
      </c>
    </row>
    <row r="258" spans="1:43" ht="15.75" thickBot="1">
      <c r="A258" s="35" t="str">
        <f>IFERROR(INDEX('G-1 All Habitats'!$AG$3:$AG$17,MATCH(E258,'G-1 All Habitats'!$AF$3:$AF$17,0)),"")</f>
        <v/>
      </c>
      <c r="B258" s="35" t="str">
        <f>IFERROR(INDEX('G-8 Condition Look up'!$I$4:$I$135,MATCH(G258,'G-8 Condition Look up'!$A$4:$A$135,0)),"")</f>
        <v/>
      </c>
      <c r="D258" s="45">
        <v>248</v>
      </c>
      <c r="E258" s="196"/>
      <c r="F258" s="196"/>
      <c r="G258" s="795" t="str">
        <f>IFERROR(INDEX('G-1 All Habitats'!$B$3:$B$134,MATCH(F258,'G-1 All Habitats'!$A$3:$A$134,0)),"")</f>
        <v/>
      </c>
      <c r="H258" s="258"/>
      <c r="I258" s="796" t="str">
        <f>IF(G258="","",VLOOKUP(G258,'G-1 All Habitats'!$B$2:$M$134,10,FALSE))</f>
        <v/>
      </c>
      <c r="J258" s="797" t="str">
        <f>IFERROR(VLOOKUP(I258,'G-1 All Habitats'!$V$3:$W$7,2,FALSE),"")</f>
        <v/>
      </c>
      <c r="K258" s="256"/>
      <c r="L258" s="797" t="str">
        <f>IFERROR(INDEX('G-8 Condition Look up'!$A$3:$H$135,MATCH(G258,'G-8 Condition Look up'!$A$3:$A$135,0),MATCH(K258,'G-8 Condition Look up'!$A$3:$H$3,0)),"")</f>
        <v/>
      </c>
      <c r="M258" s="256"/>
      <c r="N258" s="798" t="str">
        <f>IF(M258="","",IF(VLOOKUP(M258,'G-3 Multipliers'!$L$3:$N$6,2,FALSE)=0,"Spatial Data Missing",VLOOKUP(M258,'G-3 Multipliers'!$L$3:$N$6,2,FALSE)))</f>
        <v/>
      </c>
      <c r="O258" s="372" t="str">
        <f>IF(M258="","",IF(VLOOKUP(M258,'G-3 Multipliers'!$L$3:$N$6,3,FALSE)=0,"Spatial Data Missing",VLOOKUP(M258,'G-3 Multipliers'!$L$3:$N$6,3,FALSE)))</f>
        <v/>
      </c>
      <c r="P258" s="799" t="str">
        <f>IFERROR(VLOOKUP(G258,'G-1 All Habitats'!$B$2:$M$134,12,FALSE),"")</f>
        <v/>
      </c>
      <c r="Q258" s="345" t="str">
        <f>IFERROR(IF(P258="","",IF(AND(P258='G-1 All Habitats'!$X$3,T258&gt;0),U258+V258,IF(AND(P258='G-1 All Habitats'!$X$3,S258&gt;0),U258+V258,IF(AND(P258='G-1 All Habitats'!$X$3,AC258&gt;0),"Any Loss Unacceptable ⚠",IF(AND(P258='G-1 All Habitats'!$X$3,W258&gt;0),"Any Loss Unacceptable ⚠",H258*J258*L258*O258))))),"Check Data ▲")</f>
        <v/>
      </c>
      <c r="R258" s="38"/>
      <c r="S258" s="256"/>
      <c r="T258" s="257"/>
      <c r="U258" s="375" t="str">
        <f t="shared" si="18"/>
        <v/>
      </c>
      <c r="V258" s="375" t="str">
        <f t="shared" si="19"/>
        <v/>
      </c>
      <c r="W258" s="804" t="str">
        <f>IF(E258="","",IF(H258&lt;S258+T258,"Error in Areas ▲",IF(P258&lt;&gt;'G-1 All Habitats'!$X$3,H258-S258-T258,IF(AND(P258='G-1 All Habitats'!$X$3,Y258="Yes"),"Unacceptable Loss ⚠",IF(AND(P258='G-1 All Habitats'!$X$3,Y258="No"),AC258,IF(AND(P258='G-1 All Habitats'!$X$3,Y258=""),AC258,IF(AND(P258='G-1 All Habitats'!$X$3,AC258="None",AC258),IF(AND(P258='G-1 All Habitats'!$X$3,AC258&gt;0),H258-S258-T258))))))))</f>
        <v/>
      </c>
      <c r="X258" s="805" t="str">
        <f>IFERROR(IF(H258="","",IF(H258-S258-T258=0&lt;0,"Error in Areas ▲",IF(S258+T258&gt;H258,"Error in Areas ▲",IF(AND(P258='G-1 All Habitats'!$X$3,Y258="Yes"),"Alternative Compensation ✓",IF(W258=0,0,IF(P258='G-1 All Habitats'!$X$3,"Any Loss Unacceptable ▲",Q258-U258-V258)))))),"Check Data ▲")</f>
        <v/>
      </c>
      <c r="Y258" s="806"/>
      <c r="Z258" s="64"/>
      <c r="AA258" s="527"/>
      <c r="AB258" s="131"/>
      <c r="AC258" s="726" t="str">
        <f>IF(P258="","",IF(P258='G-1 All Habitats'!$X$3,H258-S258-T258,"None"))</f>
        <v/>
      </c>
      <c r="AD258" s="727" t="str">
        <f>IF(P258="","", IF(P258='G-1 All Habitats'!$X$3, AC258*J258*L258*O258,"None"))</f>
        <v/>
      </c>
      <c r="AF258" s="40" t="str">
        <f t="shared" si="15"/>
        <v/>
      </c>
      <c r="AG258" s="40" t="str">
        <f t="shared" si="16"/>
        <v/>
      </c>
      <c r="AH258" s="40" t="str">
        <f>IF(I258="","",IF(#REF!&gt;0,TRUE,FALSE))</f>
        <v/>
      </c>
      <c r="AI258" s="40">
        <v>248</v>
      </c>
      <c r="AJ258" s="40"/>
      <c r="AK258" s="40" t="str">
        <f t="array" ref="AK258">IFERROR(INDEX($AI$11:$AI$259, MATCH(0, IF(TRUE=$AF$11:$AF$259, COUNTIF($AK$10:$AK257, $AI$11:$AI$259), ""), 0)),"")</f>
        <v/>
      </c>
      <c r="AL258" s="40" t="str">
        <f t="array" ref="AL258">IFERROR(INDEX($AI$11:$AI$259, MATCH(0, IF(TRUE=$AG$11:$AG$259, COUNTIF($AL$10:$AL257, $AI$11:$AI$259), ""), 0)),"")</f>
        <v/>
      </c>
      <c r="AM258" s="40" t="str">
        <f t="array" ref="AM258">IFERROR(INDEX($AI$11:$AI$259, MATCH(0, IF(TRUE=$AH$11:$AH$259, COUNTIF($AM$10:$AM257, $AI$11:$AI$259), ""), 0)),"")</f>
        <v/>
      </c>
      <c r="AN258" s="40"/>
      <c r="AQ258" s="35">
        <f t="shared" si="17"/>
        <v>0</v>
      </c>
    </row>
    <row r="259" spans="1:43" ht="15.75" thickBot="1">
      <c r="F259" s="784" t="s">
        <v>304</v>
      </c>
      <c r="H259" s="785">
        <f>IF('Detailed Results'!K40&gt;0,"Error ▲", SUM(H11:H258))</f>
        <v>46.795000000000009</v>
      </c>
      <c r="N259" s="38"/>
      <c r="P259" s="786"/>
      <c r="Q259" s="403">
        <f>IF('Detailed Results'!K40&gt;0,"Error ▲",SUM(Q11:Q258))</f>
        <v>96.691999999999979</v>
      </c>
      <c r="R259" s="65"/>
      <c r="S259" s="800">
        <f>IF('Detailed Results'!$K$40&gt;0,"Error ▲",SUM(S11:S258))</f>
        <v>0.85699999999999998</v>
      </c>
      <c r="T259" s="343">
        <f>IF('Detailed Results'!$K$40&gt;0,"Error ▲",SUM(T11:T258))</f>
        <v>0</v>
      </c>
      <c r="U259" s="343" cm="1">
        <f t="array" ref="U259">IF(OR('Detailed Results'!$K$40&gt;0,W11:W258="Error in Areas ▲"),"Error ▲",SUM(U11:U258))</f>
        <v>5.5839999999999996</v>
      </c>
      <c r="V259" s="343" cm="1">
        <f t="array" ref="V259">IF(OR('Detailed Results'!$K$40&gt;0, W11:W258="Error in Areas ▲"),"Error ▲",SUM(V11:V258))</f>
        <v>0</v>
      </c>
      <c r="W259" s="343">
        <f>IF('Detailed Results'!$K$40&gt;0,"Error ▲",SUM(W11:W258))</f>
        <v>45.938000000000002</v>
      </c>
      <c r="X259" s="403">
        <f>IF('Detailed Results'!$K$40&gt;0,"Error ▲",SUM(X11:X258))</f>
        <v>91.10799999999999</v>
      </c>
      <c r="AQ259" s="41">
        <f>SUM(AQ11:AQ258)</f>
        <v>0</v>
      </c>
    </row>
    <row r="260" spans="1:43" ht="28.5" customHeight="1" thickBot="1">
      <c r="F260" s="729" t="s">
        <v>305</v>
      </c>
      <c r="G260" s="564"/>
      <c r="H260" s="381">
        <f>IF('Detailed Results'!$K$40&gt;0,"Error ▲",SUMIFS($H$11:$H$256,$G$11:$G$256,"&lt;&gt;"&amp;'G-1 All Habitats'!B80,$G$11:$G$256,"&lt;&gt;"&amp;'G-1 All Habitats'!B81,$G$11:$G$256,"&lt;&gt;"&amp;'G-1 All Habitats'!B67,$G$11:$G$256,"&lt;&gt;"&amp;'G-1 All Habitats'!B68))</f>
        <v>46.795000000000009</v>
      </c>
      <c r="P260" s="38"/>
      <c r="Y260" s="66"/>
    </row>
    <row r="261" spans="1:43" ht="34.15" customHeight="1" thickBot="1">
      <c r="D261" s="38"/>
      <c r="E261" s="38"/>
      <c r="F261" s="66"/>
      <c r="H261" s="65"/>
      <c r="S261" s="1424" t="s">
        <v>306</v>
      </c>
      <c r="T261" s="1425"/>
      <c r="U261" s="1425"/>
      <c r="V261" s="1426"/>
      <c r="W261" s="366">
        <f>IF('Detailed Results'!$K$40&gt;0,"Error ▲",SUMIFS($W$11:$W$258,$G$11:$G$258,"&lt;&gt;"&amp;'G-1 All Habitats'!B67,$G$11:$G$258,"&lt;&gt;"&amp;'G-1 All Habitats'!B68,$G$11:$G$258,"&lt;&gt;"&amp;'G-1 All Habitats'!B80, $G$11:$G$258,"&lt;&gt;"&amp;'G-1 All Habitats'!B81))</f>
        <v>45.938000000000002</v>
      </c>
    </row>
    <row r="262" spans="1:43">
      <c r="D262" s="38"/>
      <c r="E262" s="38"/>
    </row>
    <row r="263" spans="1:43" ht="15.75" thickBot="1">
      <c r="D263" s="38"/>
      <c r="E263" s="38"/>
      <c r="F263" s="38"/>
      <c r="G263" s="36"/>
      <c r="H263" s="38"/>
      <c r="I263" s="38"/>
      <c r="J263" s="38"/>
      <c r="K263" s="38"/>
      <c r="L263" s="38"/>
      <c r="M263" s="38"/>
      <c r="N263" s="38"/>
      <c r="O263" s="38"/>
    </row>
    <row r="264" spans="1:43" ht="15.75" thickBot="1">
      <c r="D264" s="38"/>
      <c r="E264" s="38"/>
      <c r="F264" s="1417" t="s">
        <v>307</v>
      </c>
      <c r="G264" s="36"/>
      <c r="H264" s="730" t="s">
        <v>308</v>
      </c>
      <c r="I264" s="734" t="s">
        <v>309</v>
      </c>
      <c r="J264" s="1419" t="s">
        <v>310</v>
      </c>
      <c r="K264" s="1420"/>
      <c r="L264" s="38"/>
      <c r="M264" s="38"/>
      <c r="N264" s="38"/>
      <c r="O264" s="38"/>
    </row>
    <row r="265" spans="1:43" ht="15" customHeight="1" thickBot="1">
      <c r="D265" s="38"/>
      <c r="E265" s="38"/>
      <c r="F265" s="1418"/>
      <c r="G265" s="36"/>
      <c r="H265" s="730"/>
      <c r="I265" s="373" t="str">
        <f>IF(H264="Hectares",H265,IF(H264="M²",H265/10000,""))</f>
        <v/>
      </c>
      <c r="J265" s="1421" t="str">
        <f>IF(H264="M²",H265,IF(H264="Hectares",H265*10000,""))</f>
        <v/>
      </c>
      <c r="K265" s="1422"/>
      <c r="L265" s="38"/>
      <c r="M265" s="38"/>
      <c r="N265" s="38"/>
      <c r="O265" s="38"/>
    </row>
    <row r="275"/>
  </sheetData>
  <sheetProtection algorithmName="SHA-512" hashValue="YzOHdEmurz9B+Rg3G/ljULGyZQkep/jwPLfbnyHCdLNFbGMHr8ZqCU1ZgJlh5te/ueVc6USNvva4hHYCGZoNDg==" saltValue="VXnxpemvgFCIC2NiZtcfDA==" spinCount="100000" sheet="1" objects="1" scenarios="1"/>
  <customSheetViews>
    <customSheetView guid="{8BDA793C-C9C5-4FC6-A0A5-F1109F6D4F22}" topLeftCell="C1">
      <pane ySplit="10" topLeftCell="A11" activePane="bottomLeft" state="frozen"/>
      <selection pane="bottomLeft"/>
    </customSheetView>
  </customSheetViews>
  <mergeCells count="23">
    <mergeCell ref="F264:F265"/>
    <mergeCell ref="J264:K264"/>
    <mergeCell ref="J265:K265"/>
    <mergeCell ref="Q2:X5"/>
    <mergeCell ref="S261:V261"/>
    <mergeCell ref="D3:F4"/>
    <mergeCell ref="D2:F2"/>
    <mergeCell ref="E9:H9"/>
    <mergeCell ref="I9:J9"/>
    <mergeCell ref="K9:L9"/>
    <mergeCell ref="L3:M3"/>
    <mergeCell ref="L4:M4"/>
    <mergeCell ref="L5:M5"/>
    <mergeCell ref="I3:K3"/>
    <mergeCell ref="I4:K4"/>
    <mergeCell ref="I5:K5"/>
    <mergeCell ref="I2:M2"/>
    <mergeCell ref="Z9:AB9"/>
    <mergeCell ref="M9:O9"/>
    <mergeCell ref="S9:X9"/>
    <mergeCell ref="P9:P10"/>
    <mergeCell ref="Y9:Y10"/>
    <mergeCell ref="I6:M8"/>
  </mergeCells>
  <conditionalFormatting sqref="AC11:AC258">
    <cfRule type="cellIs" dxfId="767" priority="183" operator="equal">
      <formula>""</formula>
    </cfRule>
    <cfRule type="cellIs" dxfId="766" priority="184" operator="equal">
      <formula>"None"</formula>
    </cfRule>
    <cfRule type="cellIs" dxfId="765" priority="188" operator="greaterThan">
      <formula>0</formula>
    </cfRule>
  </conditionalFormatting>
  <conditionalFormatting sqref="AD12">
    <cfRule type="cellIs" dxfId="764" priority="179" operator="equal">
      <formula>"None"</formula>
    </cfRule>
    <cfRule type="cellIs" dxfId="763" priority="182" operator="equal">
      <formula>""</formula>
    </cfRule>
    <cfRule type="cellIs" dxfId="762" priority="185" operator="greaterThan">
      <formula>0</formula>
    </cfRule>
  </conditionalFormatting>
  <conditionalFormatting sqref="AC11">
    <cfRule type="cellIs" dxfId="761" priority="168" operator="equal">
      <formula>""</formula>
    </cfRule>
    <cfRule type="cellIs" dxfId="760" priority="169" operator="equal">
      <formula>"None"</formula>
    </cfRule>
    <cfRule type="cellIs" dxfId="759" priority="172" operator="greaterThan">
      <formula>0</formula>
    </cfRule>
  </conditionalFormatting>
  <conditionalFormatting sqref="AD11:AD258">
    <cfRule type="cellIs" dxfId="758" priority="164" operator="equal">
      <formula>"None"</formula>
    </cfRule>
    <cfRule type="cellIs" dxfId="757" priority="167" operator="equal">
      <formula>""</formula>
    </cfRule>
    <cfRule type="cellIs" dxfId="756" priority="170" operator="greaterThan">
      <formula>0</formula>
    </cfRule>
  </conditionalFormatting>
  <conditionalFormatting sqref="AC11:AC258">
    <cfRule type="cellIs" dxfId="755" priority="153" operator="equal">
      <formula>""</formula>
    </cfRule>
    <cfRule type="cellIs" dxfId="754" priority="154" operator="equal">
      <formula>"None"</formula>
    </cfRule>
    <cfRule type="cellIs" dxfId="753" priority="157" operator="greaterThan">
      <formula>0</formula>
    </cfRule>
  </conditionalFormatting>
  <conditionalFormatting sqref="AD13:AD258">
    <cfRule type="cellIs" dxfId="752" priority="149" operator="equal">
      <formula>"None"</formula>
    </cfRule>
    <cfRule type="cellIs" dxfId="751" priority="152" operator="equal">
      <formula>""</formula>
    </cfRule>
    <cfRule type="cellIs" dxfId="750" priority="155" operator="greaterThan">
      <formula>0</formula>
    </cfRule>
  </conditionalFormatting>
  <conditionalFormatting sqref="AC11:AC258">
    <cfRule type="cellIs" dxfId="749" priority="146" operator="equal">
      <formula>0</formula>
    </cfRule>
  </conditionalFormatting>
  <conditionalFormatting sqref="L11:L258">
    <cfRule type="cellIs" dxfId="748" priority="138" operator="equal">
      <formula>"Not Possible"</formula>
    </cfRule>
  </conditionalFormatting>
  <conditionalFormatting sqref="W11:W258">
    <cfRule type="cellIs" dxfId="747" priority="66" operator="equal">
      <formula>"Error in Areas ▲"</formula>
    </cfRule>
    <cfRule type="cellIs" dxfId="746" priority="96" operator="equal">
      <formula>"Unacceptable Loss ▲"</formula>
    </cfRule>
  </conditionalFormatting>
  <conditionalFormatting sqref="Q11:Q258">
    <cfRule type="cellIs" dxfId="745" priority="74" operator="equal">
      <formula>"Any loss Unacceptable ⚠"</formula>
    </cfRule>
  </conditionalFormatting>
  <conditionalFormatting sqref="Q11:Q258">
    <cfRule type="expression" dxfId="744" priority="76">
      <formula>"p18=""Avoid"""</formula>
    </cfRule>
  </conditionalFormatting>
  <conditionalFormatting sqref="Q11:Q258">
    <cfRule type="cellIs" dxfId="743" priority="75" operator="equal">
      <formula>"Any loss Unacceptable ⚠"</formula>
    </cfRule>
  </conditionalFormatting>
  <conditionalFormatting sqref="Q11:Q258">
    <cfRule type="cellIs" dxfId="742" priority="71" operator="equal">
      <formula>"Any loss Unacceptable ⚠"</formula>
    </cfRule>
  </conditionalFormatting>
  <conditionalFormatting sqref="Q11:Q258">
    <cfRule type="expression" dxfId="741" priority="73">
      <formula>"p18=""Avoid"""</formula>
    </cfRule>
  </conditionalFormatting>
  <conditionalFormatting sqref="Q11:Q258">
    <cfRule type="cellIs" dxfId="740" priority="72" operator="equal">
      <formula>"Any loss Unacceptable ⚠"</formula>
    </cfRule>
  </conditionalFormatting>
  <conditionalFormatting sqref="Q12:Q258">
    <cfRule type="cellIs" dxfId="739" priority="68" operator="equal">
      <formula>"Any loss Unacceptable ▲"</formula>
    </cfRule>
  </conditionalFormatting>
  <conditionalFormatting sqref="Q12:Q258">
    <cfRule type="expression" dxfId="738" priority="70">
      <formula>"p18=""Avoid"""</formula>
    </cfRule>
  </conditionalFormatting>
  <conditionalFormatting sqref="Q12:Q258">
    <cfRule type="cellIs" dxfId="737" priority="69" operator="equal">
      <formula>"Any loss Unacceptable ▲"</formula>
    </cfRule>
  </conditionalFormatting>
  <conditionalFormatting sqref="Q11:Q258">
    <cfRule type="cellIs" dxfId="736" priority="67" operator="equal">
      <formula>"Check Data ▲"</formula>
    </cfRule>
  </conditionalFormatting>
  <conditionalFormatting sqref="Y11:Y258">
    <cfRule type="cellIs" dxfId="735" priority="134" operator="equal">
      <formula>"No"</formula>
    </cfRule>
    <cfRule type="cellIs" dxfId="734" priority="135" operator="equal">
      <formula>"Yes"</formula>
    </cfRule>
  </conditionalFormatting>
  <conditionalFormatting sqref="X11:X258">
    <cfRule type="containsText" dxfId="733" priority="10" operator="containsText" text="✓">
      <formula>NOT(ISERROR(SEARCH("✓",X11)))</formula>
    </cfRule>
    <cfRule type="containsText" dxfId="732" priority="40" operator="containsText" text="Check">
      <formula>NOT(ISERROR(SEARCH("Check",X11)))</formula>
    </cfRule>
    <cfRule type="cellIs" dxfId="731" priority="51" operator="equal">
      <formula>"Error in Areas ▲"</formula>
    </cfRule>
  </conditionalFormatting>
  <conditionalFormatting sqref="X11:X258">
    <cfRule type="containsText" dxfId="730" priority="52" operator="containsText" text="Unacceptable">
      <formula>NOT(ISERROR(SEARCH("Unacceptable",X11)))</formula>
    </cfRule>
  </conditionalFormatting>
  <conditionalFormatting sqref="W12 W15 W18 W21 W24 W27 W30 W33 W36 W39 W42 W45 W48 W51 W54 W57 W60 W63 W66 W69 W72 W75 W78 W81 W84 W87 W90 W93 W96 W99 W102 W105 W108 W111 W114 W117 W120 W123 W126 W129 W132 W135 W138 W141 W144 W147 W150 W153 W156 W159 W162 W165 W168 W171 W174 W177 W180 W183 W186 W189 W192 W195 W198 W201 W204 W207 W210 W213 W216 W219 W222 W225 W228 W231 W234 W237 W240 W243 W246 W249 W252 W255 W258">
    <cfRule type="cellIs" dxfId="729" priority="36" operator="equal">
      <formula>"Error in Areas"</formula>
    </cfRule>
    <cfRule type="cellIs" dxfId="728" priority="37" operator="equal">
      <formula>"Unacceptable Loss"</formula>
    </cfRule>
  </conditionalFormatting>
  <conditionalFormatting sqref="W11:W258">
    <cfRule type="cellIs" dxfId="727" priority="29" operator="equal">
      <formula>"Error in Areas ▲"</formula>
    </cfRule>
    <cfRule type="cellIs" dxfId="726" priority="30" operator="equal">
      <formula>"Unacceptable Loss ⚠"</formula>
    </cfRule>
  </conditionalFormatting>
  <conditionalFormatting sqref="L3">
    <cfRule type="containsText" dxfId="725" priority="24" operator="containsText" text="Error">
      <formula>NOT(ISERROR(SEARCH("Error",L3)))</formula>
    </cfRule>
    <cfRule type="containsText" dxfId="724" priority="25" operator="containsText" text="Check">
      <formula>NOT(ISERROR(SEARCH("Check",L3)))</formula>
    </cfRule>
  </conditionalFormatting>
  <conditionalFormatting sqref="L4">
    <cfRule type="containsText" dxfId="723" priority="12" operator="containsText" text="Check">
      <formula>NOT(ISERROR(SEARCH("Check",L4)))</formula>
    </cfRule>
    <cfRule type="containsText" dxfId="722" priority="13" operator="containsText" text="Error">
      <formula>NOT(ISERROR(SEARCH("Error",L4)))</formula>
    </cfRule>
  </conditionalFormatting>
  <conditionalFormatting sqref="L5">
    <cfRule type="containsText" dxfId="721" priority="18" operator="containsText" text="No">
      <formula>NOT(ISERROR(SEARCH("No",L5)))</formula>
    </cfRule>
    <cfRule type="containsText" dxfId="720" priority="19" operator="containsText" text="Yes">
      <formula>NOT(ISERROR(SEARCH("Yes",L5)))</formula>
    </cfRule>
  </conditionalFormatting>
  <conditionalFormatting sqref="L4">
    <cfRule type="cellIs" dxfId="719" priority="7" operator="equal">
      <formula>0</formula>
    </cfRule>
  </conditionalFormatting>
  <conditionalFormatting sqref="Q2">
    <cfRule type="containsText" dxfId="718" priority="11" operator="containsText" text="Check">
      <formula>NOT(ISERROR(SEARCH("Check",Q2)))</formula>
    </cfRule>
  </conditionalFormatting>
  <conditionalFormatting sqref="U259:V259">
    <cfRule type="containsText" dxfId="717" priority="9" operator="containsText" text="Error">
      <formula>NOT(ISERROR(SEARCH("Error",U259)))</formula>
    </cfRule>
  </conditionalFormatting>
  <conditionalFormatting sqref="I6:M8">
    <cfRule type="containsText" dxfId="716" priority="8" operator="containsText" text="⚠">
      <formula>NOT(ISERROR(SEARCH("⚠",I6)))</formula>
    </cfRule>
  </conditionalFormatting>
  <conditionalFormatting sqref="L4:M4">
    <cfRule type="cellIs" dxfId="715" priority="14" operator="lessThan">
      <formula>0</formula>
    </cfRule>
  </conditionalFormatting>
  <conditionalFormatting sqref="X259">
    <cfRule type="containsText" dxfId="714" priority="6" operator="containsText" text="▲">
      <formula>NOT(ISERROR(SEARCH("▲",X259)))</formula>
    </cfRule>
  </conditionalFormatting>
  <conditionalFormatting sqref="W259">
    <cfRule type="containsText" dxfId="713" priority="5" operator="containsText" text="▲">
      <formula>NOT(ISERROR(SEARCH("▲",W259)))</formula>
    </cfRule>
  </conditionalFormatting>
  <conditionalFormatting sqref="Q259:T259">
    <cfRule type="containsText" dxfId="712" priority="4" operator="containsText" text="Error">
      <formula>NOT(ISERROR(SEARCH("Error",Q259)))</formula>
    </cfRule>
  </conditionalFormatting>
  <conditionalFormatting sqref="W261">
    <cfRule type="containsText" dxfId="711" priority="3" operator="containsText" text="▲">
      <formula>NOT(ISERROR(SEARCH("▲",W261)))</formula>
    </cfRule>
  </conditionalFormatting>
  <conditionalFormatting sqref="H259:H260">
    <cfRule type="containsText" dxfId="710" priority="2" operator="containsText" text="▲">
      <formula>NOT(ISERROR(SEARCH("▲",H259)))</formula>
    </cfRule>
  </conditionalFormatting>
  <conditionalFormatting sqref="L3:M5">
    <cfRule type="containsText" dxfId="709" priority="1" operator="containsText" text="N/A">
      <formula>NOT(ISERROR(SEARCH("N/A",L3)))</formula>
    </cfRule>
  </conditionalFormatting>
  <dataValidations xWindow="350" yWindow="550" count="4">
    <dataValidation type="list" allowBlank="1" showInputMessage="1" showErrorMessage="1" sqref="F11:F258" xr:uid="{00000000-0002-0000-0900-000000000000}">
      <formula1>INDIRECT(A11)</formula1>
    </dataValidation>
    <dataValidation allowBlank="1" showErrorMessage="1" errorTitle="Invalid Habitat" error="Select from List" sqref="G11:G258" xr:uid="{00000000-0002-0000-0900-000001000000}"/>
    <dataValidation type="list" allowBlank="1" showInputMessage="1" showErrorMessage="1" sqref="K11:K258" xr:uid="{00000000-0002-0000-0900-000002000000}">
      <formula1>INDIRECT(B11)</formula1>
    </dataValidation>
    <dataValidation type="list" allowBlank="1" showInputMessage="1" showErrorMessage="1" sqref="H264" xr:uid="{F330C1E3-9A2C-4C34-A2AB-21E5BF8C9B02}">
      <formula1>"Hectares, M²"</formula1>
    </dataValidation>
  </dataValidations>
  <pageMargins left="0.7" right="0.7" top="0.75" bottom="0.75" header="0.3" footer="0.3"/>
  <pageSetup paperSize="9" orientation="portrait" horizontalDpi="90" verticalDpi="90" r:id="rId1"/>
  <drawing r:id="rId2"/>
  <extLst>
    <ext xmlns:x14="http://schemas.microsoft.com/office/spreadsheetml/2009/9/main" uri="{78C0D931-6437-407d-A8EE-F0AAD7539E65}">
      <x14:conditionalFormattings>
        <x14:conditionalFormatting xmlns:xm="http://schemas.microsoft.com/office/excel/2006/main">
          <x14:cfRule type="cellIs" priority="143" operator="equal" id="{78251F4B-D9B8-491B-A3CB-C3E31CF4FAF9}">
            <xm:f>'G-1 All Habitats'!$X$6</xm:f>
            <x14:dxf>
              <font>
                <color rgb="FF383745"/>
              </font>
              <fill>
                <patternFill>
                  <fgColor auto="1"/>
                  <bgColor theme="8" tint="0.59996337778862885"/>
                </patternFill>
              </fill>
            </x14:dxf>
          </x14:cfRule>
          <x14:cfRule type="cellIs" priority="246" operator="equal" id="{CE433DA3-276C-48D8-8968-BAC21DBC1720}">
            <xm:f>'G-1 All Habitats'!$X$5</xm:f>
            <x14:dxf>
              <font>
                <color rgb="FF383745"/>
              </font>
              <fill>
                <patternFill>
                  <bgColor theme="8" tint="-0.24994659260841701"/>
                </patternFill>
              </fill>
            </x14:dxf>
          </x14:cfRule>
          <x14:cfRule type="cellIs" priority="247" operator="equal" id="{FAF3837B-61C2-4812-84DC-4861E4B549AE}">
            <xm:f>'G-1 All Habitats'!$X$4</xm:f>
            <x14:dxf>
              <font>
                <color rgb="FF383745"/>
              </font>
              <fill>
                <patternFill>
                  <bgColor theme="6"/>
                </patternFill>
              </fill>
            </x14:dxf>
          </x14:cfRule>
          <x14:cfRule type="cellIs" priority="248" operator="equal" id="{2A68A61E-692A-4682-9F37-0417491DB7B1}">
            <xm:f>'G-1 All Habitats'!$X$3</xm:f>
            <x14:dxf>
              <font>
                <color rgb="FF000000"/>
              </font>
              <fill>
                <patternFill>
                  <bgColor theme="6" tint="-0.24994659260841701"/>
                </patternFill>
              </fill>
            </x14:dxf>
          </x14:cfRule>
          <xm:sqref>P11:P258</xm:sqref>
        </x14:conditionalFormatting>
        <x14:conditionalFormatting xmlns:xm="http://schemas.microsoft.com/office/excel/2006/main">
          <x14:cfRule type="cellIs" priority="426" operator="lessThan" id="{593D0BA2-2099-43F5-91C6-6C5B4FA9AD26}">
            <xm:f>Start!$F$22</xm:f>
            <x14:dxf>
              <font>
                <color rgb="FF383745"/>
              </font>
              <fill>
                <patternFill>
                  <bgColor rgb="FFFFC000"/>
                </patternFill>
              </fill>
            </x14:dxf>
          </x14:cfRule>
          <x14:cfRule type="cellIs" priority="427" operator="greaterThanOrEqual" id="{F95202D6-4765-40D2-A5FC-CA0B91DFE22A}">
            <xm:f>Start!$F$22</xm:f>
            <x14:dxf>
              <font>
                <color rgb="FF383745"/>
              </font>
              <fill>
                <patternFill>
                  <bgColor rgb="FF92D050"/>
                </patternFill>
              </fill>
            </x14:dxf>
          </x14:cfRule>
          <xm:sqref>L4</xm:sqref>
        </x14:conditionalFormatting>
      </x14:conditionalFormattings>
    </ext>
    <ext xmlns:x14="http://schemas.microsoft.com/office/spreadsheetml/2009/9/main" uri="{CCE6A557-97BC-4b89-ADB6-D9C93CAAB3DF}">
      <x14:dataValidations xmlns:xm="http://schemas.microsoft.com/office/excel/2006/main" xWindow="350" yWindow="550" count="3">
        <x14:dataValidation type="list" allowBlank="1" showErrorMessage="1" prompt=" _x000a_" xr:uid="{00000000-0002-0000-0900-000004000000}">
          <x14:formula1>
            <xm:f>'G-3 Multipliers'!$L$4:$L$6</xm:f>
          </x14:formula1>
          <xm:sqref>M11:M258</xm:sqref>
        </x14:dataValidation>
        <x14:dataValidation type="list" allowBlank="1" showInputMessage="1" showErrorMessage="1" xr:uid="{00000000-0002-0000-0900-000003000000}">
          <x14:formula1>
            <xm:f>'G-1 All Habitats'!$AD$3:$AD$4</xm:f>
          </x14:formula1>
          <xm:sqref>Y11:Y258</xm:sqref>
        </x14:dataValidation>
        <x14:dataValidation type="list" allowBlank="1" showInputMessage="1" showErrorMessage="1" xr:uid="{9B4FE825-6319-43FB-AB2F-2970C1D1BF96}">
          <x14:formula1>
            <xm:f>'G-1 All Habitats'!$AF$3:$AF$17</xm:f>
          </x14:formula1>
          <xm:sqref>E11:E258</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23">
    <tabColor rgb="FF006600"/>
  </sheetPr>
  <dimension ref="A1:XFC266"/>
  <sheetViews>
    <sheetView showGridLines="0" topLeftCell="N1" zoomScale="80" zoomScaleNormal="80" workbookViewId="0">
      <pane ySplit="10" topLeftCell="A15" activePane="bottomLeft" state="frozen"/>
      <selection pane="bottomLeft" activeCell="Z20" sqref="Z20"/>
    </sheetView>
  </sheetViews>
  <sheetFormatPr defaultColWidth="0" defaultRowHeight="15" zeroHeight="1"/>
  <cols>
    <col min="1" max="1" width="19.7109375" style="35" hidden="1" customWidth="1"/>
    <col min="2" max="2" width="10.7109375" style="35" hidden="1" customWidth="1"/>
    <col min="3" max="3" width="5.5703125" style="35" hidden="1" customWidth="1"/>
    <col min="4" max="4" width="27.28515625" style="35" customWidth="1"/>
    <col min="5" max="5" width="75" style="37" customWidth="1"/>
    <col min="6" max="6" width="24.42578125" style="35" hidden="1" customWidth="1"/>
    <col min="7" max="7" width="14.7109375" style="35" customWidth="1"/>
    <col min="8" max="8" width="18" style="35" customWidth="1"/>
    <col min="9" max="9" width="14.28515625" style="35" customWidth="1"/>
    <col min="10" max="11" width="12.5703125" style="35" customWidth="1"/>
    <col min="12" max="12" width="42.28515625" style="35" customWidth="1"/>
    <col min="13" max="13" width="19.5703125" style="35" customWidth="1"/>
    <col min="14" max="14" width="13.28515625" style="35" customWidth="1"/>
    <col min="15" max="15" width="18" style="35" customWidth="1"/>
    <col min="16" max="17" width="17.7109375" style="35" customWidth="1"/>
    <col min="18" max="18" width="49.5703125" style="35" customWidth="1"/>
    <col min="19" max="19" width="18.28515625" style="35" customWidth="1"/>
    <col min="20" max="20" width="15.28515625" style="35" customWidth="1"/>
    <col min="21" max="21" width="13.7109375" style="35" customWidth="1"/>
    <col min="22" max="22" width="36.5703125" style="35" customWidth="1"/>
    <col min="23" max="23" width="15.28515625" style="35" customWidth="1"/>
    <col min="24" max="24" width="14.28515625" style="35" customWidth="1"/>
    <col min="25" max="25" width="12.7109375" style="35" customWidth="1"/>
    <col min="26" max="26" width="39.7109375" style="35" customWidth="1"/>
    <col min="27" max="27" width="43.28515625" style="35" customWidth="1"/>
    <col min="28" max="28" width="16.42578125" style="35" customWidth="1"/>
    <col min="29" max="29" width="12" style="35" customWidth="1"/>
    <col min="30" max="30" width="8.7109375" style="35" hidden="1" customWidth="1"/>
    <col min="31" max="31" width="10.7109375" style="35" hidden="1" customWidth="1"/>
    <col min="32" max="32" width="11.7109375" style="35" hidden="1" customWidth="1"/>
    <col min="33" max="16383" width="8.7109375" style="35" hidden="1" customWidth="1"/>
    <col min="16384" max="16384" width="1.7109375" style="35" hidden="1" customWidth="1"/>
  </cols>
  <sheetData>
    <row r="1" spans="1:34" ht="15.75" thickBot="1"/>
    <row r="2" spans="1:34" ht="18.75" customHeight="1" thickBot="1">
      <c r="D2" s="1448" t="str">
        <f>CONCATENATE("Project Name:", " ", Start!F12, "     ", "Map Reference:", " ", Start!K55)</f>
        <v xml:space="preserve">Project Name: Grove Farm Solar     Map Reference: </v>
      </c>
      <c r="E2" s="1449"/>
      <c r="G2" s="894">
        <v>0.01</v>
      </c>
      <c r="H2" s="1404" t="s">
        <v>262</v>
      </c>
      <c r="I2" s="1405"/>
      <c r="J2" s="1405"/>
      <c r="K2" s="1405"/>
      <c r="L2" s="1406"/>
      <c r="N2" s="1463" t="str">
        <f>IF(OR(COUNTIF($O$11:O256,"*30+*")&gt;0,COUNTIF($S$11:S256,"*30+*")&gt;0),"Note; Habitat selected has a time to target condition greater than 30 years. Non standard agreement may be required.","")</f>
        <v/>
      </c>
      <c r="O2" s="1463"/>
      <c r="P2" s="1463"/>
      <c r="Q2" s="1463"/>
      <c r="R2" s="1463"/>
      <c r="S2" s="1467" t="str" cm="1">
        <f t="array" ref="S2">IF(OR(J11:J256 = "Fairly Good", J11:J256 = "Fairly Poor"),"A 'Fairly' Category has been used - check evidence to ensure this is appropriate ⚠", "")</f>
        <v/>
      </c>
      <c r="T2" s="1467"/>
      <c r="U2" s="1467"/>
      <c r="V2" s="1467"/>
      <c r="W2" s="1467"/>
      <c r="X2" s="1467"/>
    </row>
    <row r="3" spans="1:34" ht="24" customHeight="1" thickBot="1">
      <c r="D3" s="1450" t="str">
        <f ca="1">MID(CELL("filename",D1),FIND("]",CELL("filename",D1))+1,256)</f>
        <v>A-2 On-Site Habitat Creation</v>
      </c>
      <c r="E3" s="1451"/>
      <c r="H3" s="1468" t="s">
        <v>263</v>
      </c>
      <c r="I3" s="1469"/>
      <c r="J3" s="1470"/>
      <c r="K3" s="1471">
        <f>'Headline Results'!H47</f>
        <v>97.897490402123225</v>
      </c>
      <c r="L3" s="1472"/>
      <c r="N3" s="1463"/>
      <c r="O3" s="1463"/>
      <c r="P3" s="1463"/>
      <c r="Q3" s="1463"/>
      <c r="R3" s="1463"/>
      <c r="S3" s="1467"/>
      <c r="T3" s="1467"/>
      <c r="U3" s="1467"/>
      <c r="V3" s="1467"/>
      <c r="W3" s="1467"/>
      <c r="X3" s="1467"/>
    </row>
    <row r="4" spans="1:34" ht="12.6" customHeight="1">
      <c r="H4" s="1473" t="s">
        <v>265</v>
      </c>
      <c r="I4" s="1474"/>
      <c r="J4" s="1475"/>
      <c r="K4" s="1476">
        <f>'Headline Results'!H51</f>
        <v>1.012467323068333</v>
      </c>
      <c r="L4" s="1477"/>
      <c r="N4" s="1464"/>
      <c r="O4" s="1464"/>
      <c r="P4" s="1464"/>
      <c r="Q4" s="1464"/>
      <c r="R4" s="1464"/>
      <c r="S4" s="1467"/>
      <c r="T4" s="1467"/>
      <c r="U4" s="1467"/>
      <c r="V4" s="1467"/>
      <c r="W4" s="1467"/>
      <c r="X4" s="1467"/>
    </row>
    <row r="5" spans="1:34" ht="15.6" customHeight="1">
      <c r="H5" s="1473" t="s">
        <v>267</v>
      </c>
      <c r="I5" s="1474"/>
      <c r="J5" s="1475"/>
      <c r="K5" s="1478" t="str" cm="1">
        <f t="array" ref="K5">IF(OR('Trading Summary Area Habitats'!G5:G8="No ▲"), "No - check trading summaries ▲", "Yes ✓")</f>
        <v>Yes ✓</v>
      </c>
      <c r="L5" s="1479"/>
      <c r="M5" s="199"/>
      <c r="N5" s="1464"/>
      <c r="O5" s="1464"/>
      <c r="P5" s="1464"/>
      <c r="Q5" s="1464"/>
      <c r="R5" s="1464"/>
      <c r="S5" s="1467"/>
      <c r="T5" s="1467"/>
      <c r="U5" s="1467"/>
      <c r="V5" s="1467"/>
      <c r="W5" s="1467"/>
      <c r="X5" s="1467"/>
    </row>
    <row r="6" spans="1:34" ht="36" customHeight="1" thickBot="1">
      <c r="H6" s="1482" t="s">
        <v>1675</v>
      </c>
      <c r="I6" s="1483"/>
      <c r="J6" s="1484"/>
      <c r="K6" s="1480" t="str">
        <f>IF(ABS('A-1 On-Site Habitat Baseline'!W261 - G259)&lt;=G2,  "Area Acceptable 🗸", "Error - Area created does not equal area lost ▲")</f>
        <v>Area Acceptable 🗸</v>
      </c>
      <c r="L6" s="1481"/>
      <c r="N6" s="1464"/>
      <c r="O6" s="1464"/>
      <c r="P6" s="1464"/>
      <c r="Q6" s="1464"/>
      <c r="R6" s="1464"/>
    </row>
    <row r="7" spans="1:34" ht="39" customHeight="1" thickBot="1">
      <c r="E7" s="38"/>
      <c r="H7" s="1485" t="str" cm="1">
        <f t="array" ref="H7">IF(OR(E11:E258="watercourse footprint"),"Please ensure the watercourse details for any watercourse footprints recorded are included in the watercourse tabs ⚠", "")</f>
        <v/>
      </c>
      <c r="I7" s="1485"/>
      <c r="J7" s="1485"/>
      <c r="K7" s="1485"/>
      <c r="L7" s="1485"/>
      <c r="P7" s="311"/>
      <c r="Q7" s="311"/>
      <c r="R7" s="311"/>
      <c r="S7" s="309"/>
      <c r="T7" s="309"/>
      <c r="U7" s="309"/>
      <c r="V7" s="309"/>
      <c r="W7" s="309"/>
    </row>
    <row r="8" spans="1:34" ht="15.75" thickBot="1">
      <c r="D8" s="1458" t="s">
        <v>311</v>
      </c>
      <c r="E8" s="1459"/>
      <c r="F8" s="1459"/>
      <c r="G8" s="1459"/>
      <c r="H8" s="1459"/>
      <c r="I8" s="1459"/>
      <c r="J8" s="1459"/>
      <c r="K8" s="1459"/>
      <c r="L8" s="1459"/>
      <c r="M8" s="1459"/>
      <c r="N8" s="1459"/>
      <c r="O8" s="1459"/>
      <c r="P8" s="1459"/>
      <c r="Q8" s="1459"/>
      <c r="R8" s="1459"/>
      <c r="S8" s="1459"/>
      <c r="T8" s="1459"/>
      <c r="U8" s="1459"/>
      <c r="V8" s="1459"/>
      <c r="W8" s="1459"/>
      <c r="X8" s="1459"/>
      <c r="Y8" s="1459"/>
      <c r="Z8" s="1459"/>
      <c r="AA8" s="1460"/>
      <c r="AE8" s="1447" t="s">
        <v>312</v>
      </c>
    </row>
    <row r="9" spans="1:34" s="37" customFormat="1" ht="15" customHeight="1" thickBot="1">
      <c r="B9" s="35"/>
      <c r="D9" s="1456" t="s">
        <v>282</v>
      </c>
      <c r="E9" s="1452" t="s">
        <v>313</v>
      </c>
      <c r="F9" s="1452" t="s">
        <v>313</v>
      </c>
      <c r="G9" s="1454" t="s">
        <v>285</v>
      </c>
      <c r="H9" s="1407" t="s">
        <v>269</v>
      </c>
      <c r="I9" s="1409"/>
      <c r="J9" s="1407" t="s">
        <v>270</v>
      </c>
      <c r="K9" s="1409"/>
      <c r="L9" s="1407" t="s">
        <v>271</v>
      </c>
      <c r="M9" s="1408"/>
      <c r="N9" s="1409"/>
      <c r="O9" s="1407" t="s">
        <v>314</v>
      </c>
      <c r="P9" s="1408"/>
      <c r="Q9" s="1408"/>
      <c r="R9" s="1408"/>
      <c r="S9" s="1408"/>
      <c r="T9" s="1409"/>
      <c r="U9" s="1410" t="s">
        <v>315</v>
      </c>
      <c r="V9" s="1411"/>
      <c r="W9" s="1411"/>
      <c r="X9" s="1412"/>
      <c r="Y9" s="1413" t="s">
        <v>316</v>
      </c>
      <c r="Z9" s="1461" t="s">
        <v>276</v>
      </c>
      <c r="AA9" s="1462"/>
      <c r="AB9" s="35"/>
      <c r="AC9" s="35"/>
      <c r="AD9" s="35"/>
      <c r="AE9" s="1447"/>
      <c r="AF9" s="35"/>
      <c r="AG9" s="35"/>
      <c r="AH9" s="35"/>
    </row>
    <row r="10" spans="1:34" ht="66" customHeight="1" thickBot="1">
      <c r="A10" s="41" t="s">
        <v>280</v>
      </c>
      <c r="D10" s="1457"/>
      <c r="E10" s="1453"/>
      <c r="F10" s="1453"/>
      <c r="G10" s="1455"/>
      <c r="H10" s="807" t="s">
        <v>269</v>
      </c>
      <c r="I10" s="304" t="s">
        <v>286</v>
      </c>
      <c r="J10" s="808" t="s">
        <v>270</v>
      </c>
      <c r="K10" s="809" t="s">
        <v>286</v>
      </c>
      <c r="L10" s="45" t="s">
        <v>271</v>
      </c>
      <c r="M10" s="47" t="s">
        <v>271</v>
      </c>
      <c r="N10" s="48" t="s">
        <v>317</v>
      </c>
      <c r="O10" s="49" t="s">
        <v>318</v>
      </c>
      <c r="P10" s="753" t="s">
        <v>319</v>
      </c>
      <c r="Q10" s="753" t="s">
        <v>320</v>
      </c>
      <c r="R10" s="753" t="s">
        <v>321</v>
      </c>
      <c r="S10" s="753" t="s">
        <v>322</v>
      </c>
      <c r="T10" s="810" t="s">
        <v>323</v>
      </c>
      <c r="U10" s="746" t="s">
        <v>324</v>
      </c>
      <c r="V10" s="745" t="s">
        <v>325</v>
      </c>
      <c r="W10" s="745" t="s">
        <v>326</v>
      </c>
      <c r="X10" s="682" t="s">
        <v>327</v>
      </c>
      <c r="Y10" s="1414"/>
      <c r="Z10" s="44" t="s">
        <v>295</v>
      </c>
      <c r="AA10" s="43" t="s">
        <v>296</v>
      </c>
      <c r="AB10" s="48" t="s">
        <v>297</v>
      </c>
      <c r="AE10" s="35" t="s">
        <v>328</v>
      </c>
    </row>
    <row r="11" spans="1:34" ht="45">
      <c r="A11" s="35" t="str">
        <f>IFERROR(INDEX('G-8 Condition Look up'!$I$4:$I$135,MATCH(F11,'G-8 Condition Look up'!$A$4:$A$135,0)),"")</f>
        <v>Cond1</v>
      </c>
      <c r="C11" s="299" t="str">
        <f>IFERROR(INDEX('G-1 All Habitats'!$AG$3:$AG$17,MATCH(D11,'G-1 All Habitats'!$AF$3:$AF$17,0)),"")</f>
        <v>Cropland</v>
      </c>
      <c r="D11" s="791" t="s">
        <v>124</v>
      </c>
      <c r="E11" s="812" t="s">
        <v>483</v>
      </c>
      <c r="F11" s="813" t="str">
        <f>IFERROR(INDEX('G-1 All Habitats'!$B$3:$B$134,MATCH(E11,'G-1 All Habitats'!$A$3:$A$134,0)),"")</f>
        <v>Cropland - Cereal crops</v>
      </c>
      <c r="G11" s="789">
        <v>2.3E-2</v>
      </c>
      <c r="H11" s="443" t="str">
        <f>IF(F11="","",VLOOKUP(F11,'G-1 All Habitats'!$B$2:$M$134,10,FALSE))</f>
        <v>Low</v>
      </c>
      <c r="I11" s="790">
        <f>IFERROR(VLOOKUP(H11,'G-1 All Habitats'!$V$3:$W$7,2,FALSE),"")</f>
        <v>2</v>
      </c>
      <c r="J11" s="791" t="s">
        <v>492</v>
      </c>
      <c r="K11" s="790">
        <f>IFERROR(INDEX('G-8 Condition Look up'!$A$3:$H$135,MATCH(F11,'G-8 Condition Look up'!$A$3:$A$135,0),MATCH(J11,'G-8 Condition Look up'!$A$3:$H$3,0)),"")</f>
        <v>1</v>
      </c>
      <c r="L11" s="54" t="s">
        <v>1034</v>
      </c>
      <c r="M11" s="370" t="str">
        <f>IF(L11="","",IF(VLOOKUP(L11,'G-3 Multipliers'!$L$3:$N$6,2,FALSE)=0,"Spatial Data Missing",VLOOKUP(L11,'G-3 Multipliers'!$L$3:$N$6,2,FALSE)))</f>
        <v>Low Strategic Significance</v>
      </c>
      <c r="N11" s="368">
        <f>IF(L11="","",IF(VLOOKUP(L11,'G-3 Multipliers'!$L$3:$N$6,3,FALSE)=0,"Spatial Data Missing",VLOOKUP(L11,'G-3 Multipliers'!$L$3:$N$6,3,FALSE)))</f>
        <v>1</v>
      </c>
      <c r="O11" s="443">
        <f>IFERROR(INDEX(TemporalData,MATCH(F11,TemporalHabitats,0),MATCH(J11,TemporalConditions,0)),"")</f>
        <v>1</v>
      </c>
      <c r="P11" s="812">
        <v>0</v>
      </c>
      <c r="Q11" s="812">
        <v>0</v>
      </c>
      <c r="R11" s="367" t="str">
        <f>IF(E11="","",IF(AND(P11&gt;0,Q11&gt;0),"Error -both advance and delayed habitat creation ▲",IF(I11=0,"Standard time to target condition applied",IF(AND(J11="N/A -Agricultural",O11&lt;=P11),"Check details - Is there evidence habitat creation in place? ⚠",IF(AND(O11&lt;=P11,Q11=0),"Check details - Is there evidence that habitat has reached target condition? ⚠",IF(O11="","",IF(AND(P11&gt;=AE11,P11&gt;0),"Check details - Is there evidence habitat creation started and the threshold for Poor condition reached? ⚠",IF(Q11&gt;0,"Check details- Delay in starting habitat in required condition? ⚠",IF(P11&gt;0,"Check details - Is there evidence habitat creation started/in place? ⚠","Standard time to target condition applied")))))))))</f>
        <v>Standard time to target condition applied</v>
      </c>
      <c r="S11" s="446">
        <f>IF(R11="Error -both advance and delayed habitat creation ▲","Check Data ⚠",IF(O11="Not Possible","Check Data ⚠",IF(O11="","",IF(AND(O11="30+",P11=0),"30+",IF(AND(O11="30+",P11="30+"),0,IF(AND(O11="30+",P11&lt;32),30-P11,IF(O11="30+",30-P11,IF(P11&gt;O11,0,IF(Q11="30+","30+",IF(O11+Q11&gt;30,"30+",IF(O11+Q11&gt;30,"30+",IF(O11-P11&gt;30,"30+",IF(O11+Q11-P11&gt;0,O11+Q11-P11,IF(O11-P11&gt;0,O11-P11,O11+Q11-P11))))))))))))))</f>
        <v>1</v>
      </c>
      <c r="T11" s="814">
        <f>IFERROR(IF(S11="Check Data ⚠","Check Data ⚠",VLOOKUP(S11,'G-4 Temporal multipliers'!$A$4:$C$37,3,FALSE)),"")</f>
        <v>0.96499999999999997</v>
      </c>
      <c r="U11" s="815" t="str">
        <f>IF(F11="","",VLOOKUP(F11,'G-3 Multipliers'!$A$2:$E$134,2,FALSE))</f>
        <v>Low</v>
      </c>
      <c r="V11" s="367" t="str">
        <f>IF(F11="","",IF($R11="Check details - Is there evidence that habitat has reached target condition? ⚠","Low Difficulty - only applicable if all habitat created before losses",IF(AND($R11="Check details - Is there evidence habitat creation started and the threshold for Poor condition reached? ⚠",$E11&lt;&gt;"Traditional orchards", $E11&lt;&gt;"Ornamental lake or pond", $E11&lt;&gt;"Ponds (Non- Priority Habitat)", $E11&lt;&gt;"Ruderal/Ephemeral", $E11&lt;&gt;"Developed land; sealed surface"),"Enhancement difficulty applied","Standard difficulty applied")))</f>
        <v>Standard difficulty applied</v>
      </c>
      <c r="W11" s="367" t="str">
        <f>IF(E11="","",IF(AND(V11="Standard difficulty applied",O11&gt;P11),U11,IF(AND(V11="Low Difficulty - only applicable if all habitat created before losses",P11&gt;=O11),"Low",VLOOKUP(F11,'G-3 Multipliers'!$A$2:$E$134,4,FALSE))))</f>
        <v>Low</v>
      </c>
      <c r="X11" s="790">
        <f>IFERROR(IF(E11="","",VLOOKUP(W11, 'G-3 Multipliers'!$P$2:$Q$6,2,FALSE)),"")</f>
        <v>1</v>
      </c>
      <c r="Y11" s="390">
        <f>IFERROR(G11*I11*K11*N11*T11*X11,"")</f>
        <v>4.4389999999999999E-2</v>
      </c>
      <c r="Z11" s="194" t="s">
        <v>1712</v>
      </c>
      <c r="AA11" s="195"/>
      <c r="AB11" s="118"/>
      <c r="AE11" s="40" t="str">
        <f t="shared" ref="AE11:AE74" si="0">IFERROR(INDEX(TemporalData,MATCH(F11,TemporalHabitats,0),MATCH($AE$10,TemporalConditions,0)),"")</f>
        <v>Not Possible</v>
      </c>
    </row>
    <row r="12" spans="1:34" ht="30">
      <c r="A12" s="35" t="str">
        <f>IFERROR(INDEX('G-8 Condition Look up'!$I$4:$I$135,MATCH(F12,'G-8 Condition Look up'!$A$4:$A$135,0)),"")</f>
        <v>Cond2</v>
      </c>
      <c r="C12" s="299" t="str">
        <f>IFERROR(INDEX('G-1 All Habitats'!$AG$3:$AG$17,MATCH(D12,'G-1 All Habitats'!$AF$3:$AF$17,0)),"")</f>
        <v>Urban</v>
      </c>
      <c r="D12" s="54" t="s">
        <v>129</v>
      </c>
      <c r="E12" s="61" t="s">
        <v>696</v>
      </c>
      <c r="F12" s="296" t="str">
        <f>IFERROR(INDEX('G-1 All Habitats'!$B$3:$B$134,MATCH(E12,'G-1 All Habitats'!$A$3:$A$134,0)),"")</f>
        <v>Urban - Developed land; sealed surface</v>
      </c>
      <c r="G12" s="53">
        <v>0.02</v>
      </c>
      <c r="H12" s="362" t="str">
        <f>IF(F12="","",VLOOKUP(F12,'G-1 All Habitats'!$B$2:$M$134,10,FALSE))</f>
        <v>V.Low</v>
      </c>
      <c r="I12" s="363">
        <f>IFERROR(VLOOKUP(H12,'G-1 All Habitats'!$V$3:$W$7,2,FALSE),"")</f>
        <v>0</v>
      </c>
      <c r="J12" s="54" t="s">
        <v>496</v>
      </c>
      <c r="K12" s="363">
        <f>IFERROR(INDEX('G-8 Condition Look up'!$A$3:$H$135,MATCH(F12,'G-8 Condition Look up'!$A$3:$A$135,0),MATCH(J12,'G-8 Condition Look up'!$A$3:$H$3,0)),"")</f>
        <v>0</v>
      </c>
      <c r="L12" s="54" t="s">
        <v>1034</v>
      </c>
      <c r="M12" s="370" t="str">
        <f>IF(L12="","",IF(VLOOKUP(L12,'G-3 Multipliers'!$L$3:$N$6,2,FALSE)=0,"Spatial Data Missing",VLOOKUP(L12,'G-3 Multipliers'!$L$3:$N$6,2,FALSE)))</f>
        <v>Low Strategic Significance</v>
      </c>
      <c r="N12" s="368">
        <f>IF(L12="","",IF(VLOOKUP(L12,'G-3 Multipliers'!$L$3:$N$6,3,FALSE)=0,"Spatial Data Missing",VLOOKUP(L12,'G-3 Multipliers'!$L$3:$N$6,3,FALSE)))</f>
        <v>1</v>
      </c>
      <c r="O12" s="362">
        <f t="shared" ref="O12:O74" si="1">IFERROR(INDEX(TemporalData,MATCH(F12,TemporalHabitats,0),MATCH(J12,TemporalConditions,0)),"")</f>
        <v>0</v>
      </c>
      <c r="P12" s="63">
        <v>0</v>
      </c>
      <c r="Q12" s="63">
        <v>0</v>
      </c>
      <c r="R12" s="370" t="str">
        <f t="shared" ref="R12:R75" si="2">IF(E12="","",IF(AND(P12&gt;0,Q12&gt;0),"Error -both advance and delayed habitat creation ▲",IF(I12=0,"Standard time to target condition applied",IF(AND(J12="N/A -Agricultural",O12&lt;=P12),"Check details - Is there evidence habitat creation in place? ⚠",IF(AND(O12&lt;=P12,Q12=0),"Check details - Is there evidence that habitat has reached target condition? ⚠",IF(O12="","",IF(AND(P12&gt;=AE12,P12&gt;0),"Check details - Is there evidence habitat creation started and the threshold for Poor condition reached? ⚠",IF(Q12&gt;0,"Check details- Delay in starting habitat in required condition? ⚠",IF(P12&gt;0,"Check details - Is there evidence habitat creation started/in place? ⚠","Standard time to target condition applied")))))))))</f>
        <v>Standard time to target condition applied</v>
      </c>
      <c r="S12" s="383">
        <f t="shared" ref="S12:S75" si="3">IF(R12="Error -both advance and delayed habitat creation ▲","Check Data ⚠",IF(O12="Not Possible","Check Data ⚠",IF(O12="","",IF(AND(O12="30+",P12=0),"30+",IF(AND(O12="30+",P12="30+"),0,IF(AND(O12="30+",P12&lt;32),30-P12,IF(O12="30+",30-P12,IF(P12&gt;O12,0,IF(Q12="30+","30+",IF(O12+Q12&gt;30,"30+",IF(O12+Q12&gt;30,"30+",IF(O12-P12&gt;30,"30+",IF(O12+Q12-P12&gt;0,O12+Q12-P12,IF(O12-P12&gt;0,O12-P12,O12+Q12-P12))))))))))))))</f>
        <v>0</v>
      </c>
      <c r="T12" s="384">
        <f>IFERROR(IF(S12="Check Data ⚠","Check Data ⚠",VLOOKUP(S12,'G-4 Temporal multipliers'!$A$4:$C$37,3,FALSE)),"")</f>
        <v>1</v>
      </c>
      <c r="U12" s="385" t="str">
        <f>IF(F12="","",VLOOKUP(F12,'G-3 Multipliers'!$A$2:$E$134,2,FALSE))</f>
        <v>Low</v>
      </c>
      <c r="V12" s="382" t="str">
        <f>IF(F12="","",IF($R12="Check details - Is there evidence that habitat has reached target condition? ⚠","Low Difficulty - only applicable if all habitat created before losses",IF(AND($R12="Check details - Is there evidence habitat creation started and the threshold for Poor condition reached? ⚠",$E12&lt;&gt;"Traditional orchards", $E12&lt;&gt;"Ornamental lake or pond", $E12&lt;&gt;"Ponds (Non- Priority Habitat)", $E12&lt;&gt;"Ruderal/Ephemeral", $E12&lt;&gt;"Developed land; sealed surface"),"Enhancement difficulty applied","Standard difficulty applied")))</f>
        <v>Standard difficulty applied</v>
      </c>
      <c r="W12" s="382" t="str">
        <f>IF(E12="","",IF(AND(V12="Standard difficulty applied",O12&gt;P12),U12,IF(AND(V12="Low Difficulty - only applicable if all habitat created before losses",P12&gt;=O12),"Low",VLOOKUP(F12,'G-3 Multipliers'!$A$2:$E$134,4,FALSE))))</f>
        <v>Medium</v>
      </c>
      <c r="X12" s="386">
        <f>IFERROR(IF(E12="","",VLOOKUP(W12, 'G-3 Multipliers'!$P$2:$Q$6,2,FALSE)),"")</f>
        <v>0.67</v>
      </c>
      <c r="Y12" s="390">
        <f t="shared" ref="Y12:Y75" si="4">IFERROR(G12*I12*K12*N12*T12*X12,"")</f>
        <v>0</v>
      </c>
      <c r="Z12" s="194" t="s">
        <v>1711</v>
      </c>
      <c r="AA12" s="195"/>
      <c r="AB12" s="120"/>
      <c r="AE12" s="40" t="str">
        <f t="shared" si="0"/>
        <v>Not Possible</v>
      </c>
    </row>
    <row r="13" spans="1:34" ht="45">
      <c r="A13" s="35" t="str">
        <f>IFERROR(INDEX('G-8 Condition Look up'!$I$4:$I$135,MATCH(F13,'G-8 Condition Look up'!$A$4:$A$135,0)),"")</f>
        <v>Cond1</v>
      </c>
      <c r="C13" s="299" t="str">
        <f>IFERROR(INDEX('G-1 All Habitats'!$AG$3:$AG$17,MATCH(D13,'G-1 All Habitats'!$AF$3:$AF$17,0)),"")</f>
        <v>Cropland</v>
      </c>
      <c r="D13" s="54" t="s">
        <v>124</v>
      </c>
      <c r="E13" s="61" t="s">
        <v>483</v>
      </c>
      <c r="F13" s="296" t="str">
        <f>IFERROR(INDEX('G-1 All Habitats'!$B$3:$B$134,MATCH(E13,'G-1 All Habitats'!$A$3:$A$134,0)),"")</f>
        <v>Cropland - Cereal crops</v>
      </c>
      <c r="G13" s="53">
        <v>9.2999999999999999E-2</v>
      </c>
      <c r="H13" s="362" t="str">
        <f>IF(F13="","",VLOOKUP(F13,'G-1 All Habitats'!$B$2:$M$134,10,FALSE))</f>
        <v>Low</v>
      </c>
      <c r="I13" s="363">
        <f>IFERROR(VLOOKUP(H13,'G-1 All Habitats'!$V$3:$W$7,2,FALSE),"")</f>
        <v>2</v>
      </c>
      <c r="J13" s="54" t="s">
        <v>492</v>
      </c>
      <c r="K13" s="363">
        <f>IFERROR(INDEX('G-8 Condition Look up'!$A$3:$H$135,MATCH(F13,'G-8 Condition Look up'!$A$3:$A$135,0),MATCH(J13,'G-8 Condition Look up'!$A$3:$H$3,0)),"")</f>
        <v>1</v>
      </c>
      <c r="L13" s="54" t="s">
        <v>1034</v>
      </c>
      <c r="M13" s="370" t="str">
        <f>IF(L13="","",IF(VLOOKUP(L13,'G-3 Multipliers'!$L$3:$N$6,2,FALSE)=0,"Spatial Data Missing",VLOOKUP(L13,'G-3 Multipliers'!$L$3:$N$6,2,FALSE)))</f>
        <v>Low Strategic Significance</v>
      </c>
      <c r="N13" s="368">
        <f>IF(L13="","",IF(VLOOKUP(L13,'G-3 Multipliers'!$L$3:$N$6,3,FALSE)=0,"Spatial Data Missing",VLOOKUP(L13,'G-3 Multipliers'!$L$3:$N$6,3,FALSE)))</f>
        <v>1</v>
      </c>
      <c r="O13" s="362">
        <f t="shared" si="1"/>
        <v>1</v>
      </c>
      <c r="P13" s="63">
        <v>0</v>
      </c>
      <c r="Q13" s="63">
        <v>0</v>
      </c>
      <c r="R13" s="370" t="str">
        <f t="shared" si="2"/>
        <v>Standard time to target condition applied</v>
      </c>
      <c r="S13" s="383">
        <f>IF(R13="Error -both advance and delayed habitat creation ▲","Check Data ⚠",IF(O13="Not Possible","Check Data ⚠",IF(O13="","",IF(AND(O13="30+",P13=0),"30+",IF(AND(O13="30+",P13="30+"),0,IF(AND(O13="30+",P13&lt;32),30-P13,IF(O13="30+",30-P13,IF(P13&gt;O13,0,IF(Q13="30+","30+",IF(O13+Q13&gt;30,"30+",IF(O13+Q13&gt;30,"30+",IF(O13-P13&gt;30,"30+",IF(O13+Q13-P13&gt;0,O13+Q13-P13,IF(O13-P13&gt;0,O13-P13,O13+Q13-P13))))))))))))))</f>
        <v>1</v>
      </c>
      <c r="T13" s="384">
        <f>IFERROR(IF(S13="Check Data ⚠","Check Data ⚠",VLOOKUP(S13,'G-4 Temporal multipliers'!$A$4:$C$37,3,FALSE)),"")</f>
        <v>0.96499999999999997</v>
      </c>
      <c r="U13" s="385" t="str">
        <f>IF(F13="","",VLOOKUP(F13,'G-3 Multipliers'!$A$2:$E$134,2,FALSE))</f>
        <v>Low</v>
      </c>
      <c r="V13" s="382" t="str">
        <f t="shared" ref="V13:V76" si="5">IF(F13="","",IF($R13="Check details - Is there evidence that habitat has reached target condition? ⚠","Low Difficulty - only applicable if all habitat created before losses",IF(AND($R13="Check details - Is there evidence habitat creation started and the threshold for Poor condition reached? ⚠",$E13&lt;&gt;"Traditional orchards", $E13&lt;&gt;"Ornamental lake or pond", $E13&lt;&gt;"Ponds (Non- Priority Habitat)", $E13&lt;&gt;"Ruderal/Ephemeral", $E13&lt;&gt;"Developed land; sealed surface"),"Enhancement difficulty applied","Standard difficulty applied")))</f>
        <v>Standard difficulty applied</v>
      </c>
      <c r="W13" s="382" t="str">
        <f>IF(E13="","",IF(AND(V13="Standard difficulty applied",O13&gt;P13),U13,IF(AND(V13="Low Difficulty - only applicable if all habitat created before losses",P13&gt;=O13),"Low",VLOOKUP(F13,'G-3 Multipliers'!$A$2:$E$134,4,FALSE))))</f>
        <v>Low</v>
      </c>
      <c r="X13" s="386">
        <f>IFERROR(IF(E13="","",VLOOKUP(W13, 'G-3 Multipliers'!$P$2:$Q$6,2,FALSE)),"")</f>
        <v>1</v>
      </c>
      <c r="Y13" s="390">
        <f t="shared" si="4"/>
        <v>0.17948999999999998</v>
      </c>
      <c r="Z13" s="194" t="s">
        <v>1713</v>
      </c>
      <c r="AA13" s="195"/>
      <c r="AB13" s="120"/>
      <c r="AE13" s="40" t="str">
        <f t="shared" si="0"/>
        <v>Not Possible</v>
      </c>
    </row>
    <row r="14" spans="1:34" ht="30">
      <c r="A14" s="35" t="str">
        <f>IFERROR(INDEX('G-8 Condition Look up'!$I$4:$I$135,MATCH(F14,'G-8 Condition Look up'!$A$4:$A$135,0)),"")</f>
        <v>Cond4</v>
      </c>
      <c r="C14" s="299" t="str">
        <f>IFERROR(INDEX('G-1 All Habitats'!$AG$3:$AG$17,MATCH(D14,'G-1 All Habitats'!$AF$3:$AF$17,0)),"")</f>
        <v>Grassland</v>
      </c>
      <c r="D14" s="54" t="s">
        <v>125</v>
      </c>
      <c r="E14" s="61" t="s">
        <v>544</v>
      </c>
      <c r="F14" s="296" t="str">
        <f>IFERROR(INDEX('G-1 All Habitats'!$B$3:$B$134,MATCH(E14,'G-1 All Habitats'!$A$3:$A$134,0)),"")</f>
        <v>Grassland - Other neutral grassland</v>
      </c>
      <c r="G14" s="53">
        <f>9.714+0.4+0.22-0.805</f>
        <v>9.5290000000000017</v>
      </c>
      <c r="H14" s="362" t="str">
        <f>IF(F14="","",VLOOKUP(F14,'G-1 All Habitats'!$B$2:$M$134,10,FALSE))</f>
        <v>Medium</v>
      </c>
      <c r="I14" s="363">
        <f>IFERROR(VLOOKUP(H14,'G-1 All Habitats'!$V$3:$W$7,2,FALSE),"")</f>
        <v>4</v>
      </c>
      <c r="J14" s="54" t="s">
        <v>67</v>
      </c>
      <c r="K14" s="363">
        <f>IFERROR(INDEX('G-8 Condition Look up'!$A$3:$H$135,MATCH(F14,'G-8 Condition Look up'!$A$3:$A$135,0),MATCH(J14,'G-8 Condition Look up'!$A$3:$H$3,0)),"")</f>
        <v>2</v>
      </c>
      <c r="L14" s="54" t="s">
        <v>1034</v>
      </c>
      <c r="M14" s="370" t="str">
        <f>IF(L14="","",IF(VLOOKUP(L14,'G-3 Multipliers'!$L$3:$N$6,2,FALSE)=0,"Spatial Data Missing",VLOOKUP(L14,'G-3 Multipliers'!$L$3:$N$6,2,FALSE)))</f>
        <v>Low Strategic Significance</v>
      </c>
      <c r="N14" s="368">
        <f>IF(L14="","",IF(VLOOKUP(L14,'G-3 Multipliers'!$L$3:$N$6,3,FALSE)=0,"Spatial Data Missing",VLOOKUP(L14,'G-3 Multipliers'!$L$3:$N$6,3,FALSE)))</f>
        <v>1</v>
      </c>
      <c r="O14" s="362">
        <f t="shared" si="1"/>
        <v>5</v>
      </c>
      <c r="P14" s="63">
        <v>0</v>
      </c>
      <c r="Q14" s="63">
        <v>0</v>
      </c>
      <c r="R14" s="370" t="str">
        <f t="shared" si="2"/>
        <v>Standard time to target condition applied</v>
      </c>
      <c r="S14" s="383">
        <f t="shared" si="3"/>
        <v>5</v>
      </c>
      <c r="T14" s="384">
        <f>IFERROR(IF(S14="Check Data ⚠","Check Data ⚠",VLOOKUP(S14,'G-4 Temporal multipliers'!$A$4:$C$37,3,FALSE)),"")</f>
        <v>0.83682870060000003</v>
      </c>
      <c r="U14" s="385" t="str">
        <f>IF(F14="","",VLOOKUP(F14,'G-3 Multipliers'!$A$2:$E$134,2,FALSE))</f>
        <v>Low</v>
      </c>
      <c r="V14" s="382" t="str">
        <f t="shared" si="5"/>
        <v>Standard difficulty applied</v>
      </c>
      <c r="W14" s="382" t="str">
        <f>IF(E14="","",IF(AND(V14="Standard difficulty applied",O14&gt;P14),U14,IF(AND(V14="Low Difficulty - only applicable if all habitat created before losses",P14&gt;=O14),"Low",VLOOKUP(F14,'G-3 Multipliers'!$A$2:$E$134,4,FALSE))))</f>
        <v>Low</v>
      </c>
      <c r="X14" s="386">
        <f>IFERROR(IF(E14="","",VLOOKUP(W14, 'G-3 Multipliers'!$P$2:$Q$6,2,FALSE)),"")</f>
        <v>1</v>
      </c>
      <c r="Y14" s="390">
        <f t="shared" si="4"/>
        <v>63.793125504139212</v>
      </c>
      <c r="Z14" s="194" t="s">
        <v>1714</v>
      </c>
      <c r="AA14" s="195"/>
      <c r="AB14" s="120"/>
      <c r="AE14" s="40">
        <f t="shared" si="0"/>
        <v>2</v>
      </c>
    </row>
    <row r="15" spans="1:34" ht="30">
      <c r="A15" s="35" t="str">
        <f>IFERROR(INDEX('G-8 Condition Look up'!$I$4:$I$135,MATCH(F15,'G-8 Condition Look up'!$A$4:$A$135,0)),"")</f>
        <v>Cond2</v>
      </c>
      <c r="C15" s="299" t="str">
        <f>IFERROR(INDEX('G-1 All Habitats'!$AG$3:$AG$17,MATCH(D15,'G-1 All Habitats'!$AF$3:$AF$17,0)),"")</f>
        <v>Urban</v>
      </c>
      <c r="D15" s="54" t="s">
        <v>129</v>
      </c>
      <c r="E15" s="61" t="s">
        <v>696</v>
      </c>
      <c r="F15" s="296" t="str">
        <f>IFERROR(INDEX('G-1 All Habitats'!$B$3:$B$134,MATCH(E15,'G-1 All Habitats'!$A$3:$A$134,0)),"")</f>
        <v>Urban - Developed land; sealed surface</v>
      </c>
      <c r="G15" s="53">
        <v>0.16800000000000001</v>
      </c>
      <c r="H15" s="362" t="str">
        <f>IF(F15="","",VLOOKUP(F15,'G-1 All Habitats'!$B$2:$M$134,10,FALSE))</f>
        <v>V.Low</v>
      </c>
      <c r="I15" s="363">
        <f>IFERROR(VLOOKUP(H15,'G-1 All Habitats'!$V$3:$W$7,2,FALSE),"")</f>
        <v>0</v>
      </c>
      <c r="J15" s="54" t="s">
        <v>496</v>
      </c>
      <c r="K15" s="363">
        <f>IFERROR(INDEX('G-8 Condition Look up'!$A$3:$H$135,MATCH(F15,'G-8 Condition Look up'!$A$3:$A$135,0),MATCH(J15,'G-8 Condition Look up'!$A$3:$H$3,0)),"")</f>
        <v>0</v>
      </c>
      <c r="L15" s="54" t="s">
        <v>1034</v>
      </c>
      <c r="M15" s="370" t="str">
        <f>IF(L15="","",IF(VLOOKUP(L15,'G-3 Multipliers'!$L$3:$N$6,2,FALSE)=0,"Spatial Data Missing",VLOOKUP(L15,'G-3 Multipliers'!$L$3:$N$6,2,FALSE)))</f>
        <v>Low Strategic Significance</v>
      </c>
      <c r="N15" s="368">
        <f>IF(L15="","",IF(VLOOKUP(L15,'G-3 Multipliers'!$L$3:$N$6,3,FALSE)=0,"Spatial Data Missing",VLOOKUP(L15,'G-3 Multipliers'!$L$3:$N$6,3,FALSE)))</f>
        <v>1</v>
      </c>
      <c r="O15" s="362">
        <f t="shared" si="1"/>
        <v>0</v>
      </c>
      <c r="P15" s="63">
        <v>0</v>
      </c>
      <c r="Q15" s="63">
        <v>0</v>
      </c>
      <c r="R15" s="370" t="str">
        <f t="shared" si="2"/>
        <v>Standard time to target condition applied</v>
      </c>
      <c r="S15" s="383">
        <f t="shared" si="3"/>
        <v>0</v>
      </c>
      <c r="T15" s="384">
        <f>IFERROR(IF(S15="Check Data ⚠","Check Data ⚠",VLOOKUP(S15,'G-4 Temporal multipliers'!$A$4:$C$37,3,FALSE)),"")</f>
        <v>1</v>
      </c>
      <c r="U15" s="385" t="str">
        <f>IF(F15="","",VLOOKUP(F15,'G-3 Multipliers'!$A$2:$E$134,2,FALSE))</f>
        <v>Low</v>
      </c>
      <c r="V15" s="382" t="str">
        <f t="shared" si="5"/>
        <v>Standard difficulty applied</v>
      </c>
      <c r="W15" s="382" t="str">
        <f>IF(E15="","",IF(AND(V15="Standard difficulty applied",O15&gt;P15),U15,IF(AND(V15="Low Difficulty - only applicable if all habitat created before losses",P15&gt;=O15),"Low",VLOOKUP(F15,'G-3 Multipliers'!$A$2:$E$134,4,FALSE))))</f>
        <v>Medium</v>
      </c>
      <c r="X15" s="386">
        <f>IFERROR(IF(E15="","",VLOOKUP(W15, 'G-3 Multipliers'!$P$2:$Q$6,2,FALSE)),"")</f>
        <v>0.67</v>
      </c>
      <c r="Y15" s="390">
        <f t="shared" si="4"/>
        <v>0</v>
      </c>
      <c r="Z15" s="194" t="s">
        <v>1715</v>
      </c>
      <c r="AA15" s="195"/>
      <c r="AB15" s="120"/>
      <c r="AE15" s="40" t="str">
        <f t="shared" si="0"/>
        <v>Not Possible</v>
      </c>
    </row>
    <row r="16" spans="1:34" ht="75">
      <c r="A16" s="35" t="str">
        <f>IFERROR(INDEX('G-8 Condition Look up'!$I$4:$I$135,MATCH(F16,'G-8 Condition Look up'!$A$4:$A$135,0)),"")</f>
        <v>Cond4</v>
      </c>
      <c r="C16" s="299" t="str">
        <f>IFERROR(INDEX('G-1 All Habitats'!$AG$3:$AG$17,MATCH(D16,'G-1 All Habitats'!$AF$3:$AF$17,0)),"")</f>
        <v>Grassland</v>
      </c>
      <c r="D16" s="54" t="s">
        <v>125</v>
      </c>
      <c r="E16" s="61" t="s">
        <v>537</v>
      </c>
      <c r="F16" s="296" t="str">
        <f>IFERROR(INDEX('G-1 All Habitats'!$B$3:$B$134,MATCH(E16,'G-1 All Habitats'!$A$3:$A$134,0)),"")</f>
        <v>Grassland - Modified grassland</v>
      </c>
      <c r="G16" s="53">
        <f>33.673-0.4-0.22</f>
        <v>33.053000000000004</v>
      </c>
      <c r="H16" s="362" t="str">
        <f>IF(F16="","",VLOOKUP(F16,'G-1 All Habitats'!$B$2:$M$134,10,FALSE))</f>
        <v>Low</v>
      </c>
      <c r="I16" s="363">
        <f>IFERROR(VLOOKUP(H16,'G-1 All Habitats'!$V$3:$W$7,2,FALSE),"")</f>
        <v>2</v>
      </c>
      <c r="J16" s="54" t="s">
        <v>67</v>
      </c>
      <c r="K16" s="363">
        <f>IFERROR(INDEX('G-8 Condition Look up'!$A$3:$H$135,MATCH(F16,'G-8 Condition Look up'!$A$3:$A$135,0),MATCH(J16,'G-8 Condition Look up'!$A$3:$H$3,0)),"")</f>
        <v>2</v>
      </c>
      <c r="L16" s="54" t="s">
        <v>1034</v>
      </c>
      <c r="M16" s="370" t="str">
        <f>IF(L16="","",IF(VLOOKUP(L16,'G-3 Multipliers'!$L$3:$N$6,2,FALSE)=0,"Spatial Data Missing",VLOOKUP(L16,'G-3 Multipliers'!$L$3:$N$6,2,FALSE)))</f>
        <v>Low Strategic Significance</v>
      </c>
      <c r="N16" s="368">
        <f>IF(L16="","",IF(VLOOKUP(L16,'G-3 Multipliers'!$L$3:$N$6,3,FALSE)=0,"Spatial Data Missing",VLOOKUP(L16,'G-3 Multipliers'!$L$3:$N$6,3,FALSE)))</f>
        <v>1</v>
      </c>
      <c r="O16" s="362">
        <f t="shared" si="1"/>
        <v>4</v>
      </c>
      <c r="P16" s="63">
        <v>0</v>
      </c>
      <c r="Q16" s="63">
        <v>0</v>
      </c>
      <c r="R16" s="370" t="str">
        <f t="shared" si="2"/>
        <v>Standard time to target condition applied</v>
      </c>
      <c r="S16" s="383">
        <f t="shared" si="3"/>
        <v>4</v>
      </c>
      <c r="T16" s="384">
        <f>IFERROR(IF(S16="Check Data ⚠","Check Data ⚠",VLOOKUP(S16,'G-4 Temporal multipliers'!$A$4:$C$37,3,FALSE)),"")</f>
        <v>0.86718000059999989</v>
      </c>
      <c r="U16" s="385" t="str">
        <f>IF(F16="","",VLOOKUP(F16,'G-3 Multipliers'!$A$2:$E$134,2,FALSE))</f>
        <v>Low</v>
      </c>
      <c r="V16" s="382" t="str">
        <f t="shared" si="5"/>
        <v>Standard difficulty applied</v>
      </c>
      <c r="W16" s="382" t="str">
        <f>IF(E16="","",IF(AND(V16="Standard difficulty applied",O16&gt;P16),U16,IF(AND(V16="Low Difficulty - only applicable if all habitat created before losses",P16&gt;=O16),"Low",VLOOKUP(F16,'G-3 Multipliers'!$A$2:$E$134,4,FALSE))))</f>
        <v>Low</v>
      </c>
      <c r="X16" s="386">
        <f>IFERROR(IF(E16="","",VLOOKUP(W16, 'G-3 Multipliers'!$P$2:$Q$6,2,FALSE)),"")</f>
        <v>1</v>
      </c>
      <c r="Y16" s="390">
        <f t="shared" si="4"/>
        <v>114.6516022393272</v>
      </c>
      <c r="Z16" s="194" t="s">
        <v>1716</v>
      </c>
      <c r="AA16" s="195"/>
      <c r="AB16" s="120"/>
      <c r="AE16" s="40">
        <f t="shared" si="0"/>
        <v>1</v>
      </c>
    </row>
    <row r="17" spans="1:31" ht="30">
      <c r="A17" s="35" t="str">
        <f>IFERROR(INDEX('G-8 Condition Look up'!$I$4:$I$135,MATCH(F17,'G-8 Condition Look up'!$A$4:$A$135,0)),"")</f>
        <v>Cond2</v>
      </c>
      <c r="C17" s="299" t="str">
        <f>IFERROR(INDEX('G-1 All Habitats'!$AG$3:$AG$17,MATCH(D17,'G-1 All Habitats'!$AF$3:$AF$17,0)),"")</f>
        <v>Urban</v>
      </c>
      <c r="D17" s="54" t="s">
        <v>129</v>
      </c>
      <c r="E17" s="61" t="s">
        <v>696</v>
      </c>
      <c r="F17" s="296" t="str">
        <f>IFERROR(INDEX('G-1 All Habitats'!$B$3:$B$134,MATCH(E17,'G-1 All Habitats'!$A$3:$A$134,0)),"")</f>
        <v>Urban - Developed land; sealed surface</v>
      </c>
      <c r="G17" s="53">
        <v>0.129</v>
      </c>
      <c r="H17" s="362" t="str">
        <f>IF(F17="","",VLOOKUP(F17,'G-1 All Habitats'!$B$2:$M$134,10,FALSE))</f>
        <v>V.Low</v>
      </c>
      <c r="I17" s="363">
        <f>IFERROR(VLOOKUP(H17,'G-1 All Habitats'!$V$3:$W$7,2,FALSE),"")</f>
        <v>0</v>
      </c>
      <c r="J17" s="54" t="s">
        <v>496</v>
      </c>
      <c r="K17" s="363">
        <f>IFERROR(INDEX('G-8 Condition Look up'!$A$3:$H$135,MATCH(F17,'G-8 Condition Look up'!$A$3:$A$135,0),MATCH(J17,'G-8 Condition Look up'!$A$3:$H$3,0)),"")</f>
        <v>0</v>
      </c>
      <c r="L17" s="54" t="s">
        <v>1034</v>
      </c>
      <c r="M17" s="370" t="str">
        <f>IF(L17="","",IF(VLOOKUP(L17,'G-3 Multipliers'!$L$3:$N$6,2,FALSE)=0,"Spatial Data Missing",VLOOKUP(L17,'G-3 Multipliers'!$L$3:$N$6,2,FALSE)))</f>
        <v>Low Strategic Significance</v>
      </c>
      <c r="N17" s="368">
        <f>IF(L17="","",IF(VLOOKUP(L17,'G-3 Multipliers'!$L$3:$N$6,3,FALSE)=0,"Spatial Data Missing",VLOOKUP(L17,'G-3 Multipliers'!$L$3:$N$6,3,FALSE)))</f>
        <v>1</v>
      </c>
      <c r="O17" s="362">
        <f t="shared" si="1"/>
        <v>0</v>
      </c>
      <c r="P17" s="63">
        <v>0</v>
      </c>
      <c r="Q17" s="63">
        <v>0</v>
      </c>
      <c r="R17" s="370" t="str">
        <f t="shared" si="2"/>
        <v>Standard time to target condition applied</v>
      </c>
      <c r="S17" s="383">
        <f t="shared" si="3"/>
        <v>0</v>
      </c>
      <c r="T17" s="384">
        <f>IFERROR(IF(S17="Check Data ⚠","Check Data ⚠",VLOOKUP(S17,'G-4 Temporal multipliers'!$A$4:$C$37,3,FALSE)),"")</f>
        <v>1</v>
      </c>
      <c r="U17" s="385" t="str">
        <f>IF(F17="","",VLOOKUP(F17,'G-3 Multipliers'!$A$2:$E$134,2,FALSE))</f>
        <v>Low</v>
      </c>
      <c r="V17" s="382" t="str">
        <f t="shared" si="5"/>
        <v>Standard difficulty applied</v>
      </c>
      <c r="W17" s="382" t="str">
        <f>IF(E17="","",IF(AND(V17="Standard difficulty applied",O17&gt;P17),U17,IF(AND(V17="Low Difficulty - only applicable if all habitat created before losses",P17&gt;=O17),"Low",VLOOKUP(F17,'G-3 Multipliers'!$A$2:$E$134,4,FALSE))))</f>
        <v>Medium</v>
      </c>
      <c r="X17" s="386">
        <f>IFERROR(IF(E17="","",VLOOKUP(W17, 'G-3 Multipliers'!$P$2:$Q$6,2,FALSE)),"")</f>
        <v>0.67</v>
      </c>
      <c r="Y17" s="390">
        <f t="shared" si="4"/>
        <v>0</v>
      </c>
      <c r="Z17" s="194" t="s">
        <v>1717</v>
      </c>
      <c r="AA17" s="195"/>
      <c r="AB17" s="120"/>
      <c r="AE17" s="40" t="str">
        <f t="shared" si="0"/>
        <v>Not Possible</v>
      </c>
    </row>
    <row r="18" spans="1:31" ht="30">
      <c r="A18" s="35" t="str">
        <f>IFERROR(INDEX('G-8 Condition Look up'!$I$4:$I$135,MATCH(F18,'G-8 Condition Look up'!$A$4:$A$135,0)),"")</f>
        <v>Cond2</v>
      </c>
      <c r="C18" s="299" t="str">
        <f>IFERROR(INDEX('G-1 All Habitats'!$AG$3:$AG$17,MATCH(D18,'G-1 All Habitats'!$AF$3:$AF$17,0)),"")</f>
        <v>Urban</v>
      </c>
      <c r="D18" s="54" t="s">
        <v>129</v>
      </c>
      <c r="E18" s="61" t="s">
        <v>696</v>
      </c>
      <c r="F18" s="296" t="str">
        <f>IFERROR(INDEX('G-1 All Habitats'!$B$3:$B$134,MATCH(E18,'G-1 All Habitats'!$A$3:$A$134,0)),"")</f>
        <v>Urban - Developed land; sealed surface</v>
      </c>
      <c r="G18" s="53">
        <v>1.0009999999999999</v>
      </c>
      <c r="H18" s="362" t="str">
        <f>IF(F18="","",VLOOKUP(F18,'G-1 All Habitats'!$B$2:$M$134,10,FALSE))</f>
        <v>V.Low</v>
      </c>
      <c r="I18" s="363">
        <f>IFERROR(VLOOKUP(H18,'G-1 All Habitats'!$V$3:$W$7,2,FALSE),"")</f>
        <v>0</v>
      </c>
      <c r="J18" s="54" t="s">
        <v>496</v>
      </c>
      <c r="K18" s="363">
        <f>IFERROR(INDEX('G-8 Condition Look up'!$A$3:$H$135,MATCH(F18,'G-8 Condition Look up'!$A$3:$A$135,0),MATCH(J18,'G-8 Condition Look up'!$A$3:$H$3,0)),"")</f>
        <v>0</v>
      </c>
      <c r="L18" s="54" t="s">
        <v>1034</v>
      </c>
      <c r="M18" s="370" t="str">
        <f>IF(L18="","",IF(VLOOKUP(L18,'G-3 Multipliers'!$L$3:$N$6,2,FALSE)=0,"Spatial Data Missing",VLOOKUP(L18,'G-3 Multipliers'!$L$3:$N$6,2,FALSE)))</f>
        <v>Low Strategic Significance</v>
      </c>
      <c r="N18" s="368">
        <f>IF(L18="","",IF(VLOOKUP(L18,'G-3 Multipliers'!$L$3:$N$6,3,FALSE)=0,"Spatial Data Missing",VLOOKUP(L18,'G-3 Multipliers'!$L$3:$N$6,3,FALSE)))</f>
        <v>1</v>
      </c>
      <c r="O18" s="362">
        <f t="shared" si="1"/>
        <v>0</v>
      </c>
      <c r="P18" s="63">
        <v>0</v>
      </c>
      <c r="Q18" s="63">
        <v>0</v>
      </c>
      <c r="R18" s="370" t="str">
        <f t="shared" si="2"/>
        <v>Standard time to target condition applied</v>
      </c>
      <c r="S18" s="383">
        <f t="shared" si="3"/>
        <v>0</v>
      </c>
      <c r="T18" s="384">
        <f>IFERROR(IF(S18="Check Data ⚠","Check Data ⚠",VLOOKUP(S18,'G-4 Temporal multipliers'!$A$4:$C$37,3,FALSE)),"")</f>
        <v>1</v>
      </c>
      <c r="U18" s="385" t="str">
        <f>IF(F18="","",VLOOKUP(F18,'G-3 Multipliers'!$A$2:$E$134,2,FALSE))</f>
        <v>Low</v>
      </c>
      <c r="V18" s="382" t="str">
        <f t="shared" si="5"/>
        <v>Standard difficulty applied</v>
      </c>
      <c r="W18" s="382" t="str">
        <f>IF(E18="","",IF(AND(V18="Standard difficulty applied",O18&gt;P18),U18,IF(AND(V18="Low Difficulty - only applicable if all habitat created before losses",P18&gt;=O18),"Low",VLOOKUP(F18,'G-3 Multipliers'!$A$2:$E$134,4,FALSE))))</f>
        <v>Medium</v>
      </c>
      <c r="X18" s="386">
        <f>IFERROR(IF(E18="","",VLOOKUP(W18, 'G-3 Multipliers'!$P$2:$Q$6,2,FALSE)),"")</f>
        <v>0.67</v>
      </c>
      <c r="Y18" s="390">
        <f t="shared" si="4"/>
        <v>0</v>
      </c>
      <c r="Z18" s="194" t="s">
        <v>1718</v>
      </c>
      <c r="AA18" s="195"/>
      <c r="AB18" s="120"/>
      <c r="AE18" s="40" t="str">
        <f t="shared" si="0"/>
        <v>Not Possible</v>
      </c>
    </row>
    <row r="19" spans="1:31" ht="45">
      <c r="A19" s="35" t="str">
        <f>IFERROR(INDEX('G-8 Condition Look up'!$I$4:$I$135,MATCH(F19,'G-8 Condition Look up'!$A$4:$A$135,0)),"")</f>
        <v>Cond4</v>
      </c>
      <c r="C19" s="299" t="str">
        <f>IFERROR(INDEX('G-1 All Habitats'!$AG$3:$AG$17,MATCH(D19,'G-1 All Habitats'!$AF$3:$AF$17,0)),"")</f>
        <v>Woodland_and_forest</v>
      </c>
      <c r="D19" s="54" t="s">
        <v>131</v>
      </c>
      <c r="E19" s="61" t="s">
        <v>800</v>
      </c>
      <c r="F19" s="296" t="str">
        <f>IFERROR(INDEX('G-1 All Habitats'!$B$3:$B$134,MATCH(E19,'G-1 All Habitats'!$A$3:$A$134,0)),"")</f>
        <v>Woodland and forest - Other woodland; broadleaved</v>
      </c>
      <c r="G19" s="53">
        <f>0.456+0.805</f>
        <v>1.2610000000000001</v>
      </c>
      <c r="H19" s="362" t="str">
        <f>IF(F19="","",VLOOKUP(F19,'G-1 All Habitats'!$B$2:$M$134,10,FALSE))</f>
        <v>Medium</v>
      </c>
      <c r="I19" s="363">
        <f>IFERROR(VLOOKUP(H19,'G-1 All Habitats'!$V$3:$W$7,2,FALSE),"")</f>
        <v>4</v>
      </c>
      <c r="J19" s="54" t="s">
        <v>67</v>
      </c>
      <c r="K19" s="363">
        <f>IFERROR(INDEX('G-8 Condition Look up'!$A$3:$H$135,MATCH(F19,'G-8 Condition Look up'!$A$3:$A$135,0),MATCH(J19,'G-8 Condition Look up'!$A$3:$H$3,0)),"")</f>
        <v>2</v>
      </c>
      <c r="L19" s="54" t="s">
        <v>1034</v>
      </c>
      <c r="M19" s="370" t="str">
        <f>IF(L19="","",IF(VLOOKUP(L19,'G-3 Multipliers'!$L$3:$N$6,2,FALSE)=0,"Spatial Data Missing",VLOOKUP(L19,'G-3 Multipliers'!$L$3:$N$6,2,FALSE)))</f>
        <v>Low Strategic Significance</v>
      </c>
      <c r="N19" s="368">
        <f>IF(L19="","",IF(VLOOKUP(L19,'G-3 Multipliers'!$L$3:$N$6,3,FALSE)=0,"Spatial Data Missing",VLOOKUP(L19,'G-3 Multipliers'!$L$3:$N$6,3,FALSE)))</f>
        <v>1</v>
      </c>
      <c r="O19" s="362">
        <f t="shared" si="1"/>
        <v>15</v>
      </c>
      <c r="P19" s="63">
        <v>0</v>
      </c>
      <c r="Q19" s="63">
        <v>0</v>
      </c>
      <c r="R19" s="370" t="str">
        <f t="shared" si="2"/>
        <v>Standard time to target condition applied</v>
      </c>
      <c r="S19" s="383">
        <f t="shared" si="3"/>
        <v>15</v>
      </c>
      <c r="T19" s="384">
        <f>IFERROR(IF(S19="Check Data ⚠","Check Data ⚠",VLOOKUP(S19,'G-4 Temporal multipliers'!$A$4:$C$37,3,FALSE)),"")</f>
        <v>0.58601630550000006</v>
      </c>
      <c r="U19" s="385" t="str">
        <f>IF(F19="","",VLOOKUP(F19,'G-3 Multipliers'!$A$2:$E$134,2,FALSE))</f>
        <v>Low</v>
      </c>
      <c r="V19" s="382" t="str">
        <f t="shared" si="5"/>
        <v>Standard difficulty applied</v>
      </c>
      <c r="W19" s="382" t="str">
        <f>IF(E19="","",IF(AND(V19="Standard difficulty applied",O19&gt;P19),U19,IF(AND(V19="Low Difficulty - only applicable if all habitat created before losses",P19&gt;=O19),"Low",VLOOKUP(F19,'G-3 Multipliers'!$A$2:$E$134,4,FALSE))))</f>
        <v>Low</v>
      </c>
      <c r="X19" s="386">
        <f>IFERROR(IF(E19="","",VLOOKUP(W19, 'G-3 Multipliers'!$P$2:$Q$6,2,FALSE)),"")</f>
        <v>1</v>
      </c>
      <c r="Y19" s="390">
        <f t="shared" si="4"/>
        <v>5.9117324898840016</v>
      </c>
      <c r="Z19" s="194" t="s">
        <v>1719</v>
      </c>
      <c r="AA19" s="195"/>
      <c r="AB19" s="120"/>
      <c r="AE19" s="40">
        <f t="shared" si="0"/>
        <v>5</v>
      </c>
    </row>
    <row r="20" spans="1:31" ht="75">
      <c r="A20" s="35" t="str">
        <f>IFERROR(INDEX('G-8 Condition Look up'!$I$4:$I$135,MATCH(F20,'G-8 Condition Look up'!$A$4:$A$135,0)),"")</f>
        <v>Cond4</v>
      </c>
      <c r="C20" s="299" t="str">
        <f>IFERROR(INDEX('G-1 All Habitats'!$AG$3:$AG$17,MATCH(D20,'G-1 All Habitats'!$AF$3:$AF$17,0)),"")</f>
        <v>Heathland_and_shrub</v>
      </c>
      <c r="D20" s="54" t="s">
        <v>126</v>
      </c>
      <c r="E20" s="61" t="s">
        <v>586</v>
      </c>
      <c r="F20" s="296" t="str">
        <f>IFERROR(INDEX('G-1 All Habitats'!$B$3:$B$134,MATCH(E20,'G-1 All Habitats'!$A$3:$A$134,0)),"")</f>
        <v>Heathland and shrub - Mixed scrub</v>
      </c>
      <c r="G20" s="53">
        <v>0.66100000000000003</v>
      </c>
      <c r="H20" s="362" t="str">
        <f>IF(F20="","",VLOOKUP(F20,'G-1 All Habitats'!$B$2:$M$134,10,FALSE))</f>
        <v>Medium</v>
      </c>
      <c r="I20" s="363">
        <f>IFERROR(VLOOKUP(H20,'G-1 All Habitats'!$V$3:$W$7,2,FALSE),"")</f>
        <v>4</v>
      </c>
      <c r="J20" s="54" t="s">
        <v>67</v>
      </c>
      <c r="K20" s="363">
        <f>IFERROR(INDEX('G-8 Condition Look up'!$A$3:$H$135,MATCH(F20,'G-8 Condition Look up'!$A$3:$A$135,0),MATCH(J20,'G-8 Condition Look up'!$A$3:$H$3,0)),"")</f>
        <v>2</v>
      </c>
      <c r="L20" s="54" t="s">
        <v>1034</v>
      </c>
      <c r="M20" s="370" t="str">
        <f>IF(L20="","",IF(VLOOKUP(L20,'G-3 Multipliers'!$L$3:$N$6,2,FALSE)=0,"Spatial Data Missing",VLOOKUP(L20,'G-3 Multipliers'!$L$3:$N$6,2,FALSE)))</f>
        <v>Low Strategic Significance</v>
      </c>
      <c r="N20" s="368">
        <f>IF(L20="","",IF(VLOOKUP(L20,'G-3 Multipliers'!$L$3:$N$6,3,FALSE)=0,"Spatial Data Missing",VLOOKUP(L20,'G-3 Multipliers'!$L$3:$N$6,3,FALSE)))</f>
        <v>1</v>
      </c>
      <c r="O20" s="362">
        <f t="shared" si="1"/>
        <v>5</v>
      </c>
      <c r="P20" s="63">
        <v>0</v>
      </c>
      <c r="Q20" s="63">
        <v>0</v>
      </c>
      <c r="R20" s="370" t="str">
        <f t="shared" si="2"/>
        <v>Standard time to target condition applied</v>
      </c>
      <c r="S20" s="383">
        <f t="shared" si="3"/>
        <v>5</v>
      </c>
      <c r="T20" s="384">
        <f>IFERROR(IF(S20="Check Data ⚠","Check Data ⚠",VLOOKUP(S20,'G-4 Temporal multipliers'!$A$4:$C$37,3,FALSE)),"")</f>
        <v>0.83682870060000003</v>
      </c>
      <c r="U20" s="385" t="str">
        <f>IF(F20="","",VLOOKUP(F20,'G-3 Multipliers'!$A$2:$E$134,2,FALSE))</f>
        <v>Low</v>
      </c>
      <c r="V20" s="382" t="str">
        <f t="shared" si="5"/>
        <v>Standard difficulty applied</v>
      </c>
      <c r="W20" s="382" t="str">
        <f>IF(E20="","",IF(AND(V20="Standard difficulty applied",O20&gt;P20),U20,IF(AND(V20="Low Difficulty - only applicable if all habitat created before losses",P20&gt;=O20),"Low",VLOOKUP(F20,'G-3 Multipliers'!$A$2:$E$134,4,FALSE))))</f>
        <v>Low</v>
      </c>
      <c r="X20" s="386">
        <f>IFERROR(IF(E20="","",VLOOKUP(W20, 'G-3 Multipliers'!$P$2:$Q$6,2,FALSE)),"")</f>
        <v>1</v>
      </c>
      <c r="Y20" s="390">
        <f t="shared" si="4"/>
        <v>4.4251501687728005</v>
      </c>
      <c r="Z20" s="194" t="s">
        <v>1720</v>
      </c>
      <c r="AA20" s="195"/>
      <c r="AB20" s="120"/>
      <c r="AE20" s="40">
        <f t="shared" si="0"/>
        <v>1</v>
      </c>
    </row>
    <row r="21" spans="1:31">
      <c r="A21" s="35" t="str">
        <f>IFERROR(INDEX('G-8 Condition Look up'!$I$4:$I$135,MATCH(F21,'G-8 Condition Look up'!$A$4:$A$135,0)),"")</f>
        <v/>
      </c>
      <c r="C21" s="299" t="str">
        <f>IFERROR(INDEX('G-1 All Habitats'!$AG$3:$AG$17,MATCH(D21,'G-1 All Habitats'!$AF$3:$AF$17,0)),"")</f>
        <v/>
      </c>
      <c r="D21" s="54"/>
      <c r="E21" s="61"/>
      <c r="F21" s="296" t="str">
        <f>IFERROR(INDEX('G-1 All Habitats'!$B$3:$B$134,MATCH(E21,'G-1 All Habitats'!$A$3:$A$134,0)),"")</f>
        <v/>
      </c>
      <c r="G21" s="53"/>
      <c r="H21" s="362" t="str">
        <f>IF(F21="","",VLOOKUP(F21,'G-1 All Habitats'!$B$2:$M$134,10,FALSE))</f>
        <v/>
      </c>
      <c r="I21" s="363" t="str">
        <f>IFERROR(VLOOKUP(H21,'G-1 All Habitats'!$V$3:$W$7,2,FALSE),"")</f>
        <v/>
      </c>
      <c r="J21" s="54"/>
      <c r="K21" s="363" t="str">
        <f>IFERROR(INDEX('G-8 Condition Look up'!$A$3:$H$135,MATCH(F21,'G-8 Condition Look up'!$A$3:$A$135,0),MATCH(J21,'G-8 Condition Look up'!$A$3:$H$3,0)),"")</f>
        <v/>
      </c>
      <c r="L21" s="54"/>
      <c r="M21" s="370" t="str">
        <f>IF(L21="","",IF(VLOOKUP(L21,'G-3 Multipliers'!$L$3:$N$6,2,FALSE)=0,"Spatial Data Missing",VLOOKUP(L21,'G-3 Multipliers'!$L$3:$N$6,2,FALSE)))</f>
        <v/>
      </c>
      <c r="N21" s="368" t="str">
        <f>IF(L21="","",IF(VLOOKUP(L21,'G-3 Multipliers'!$L$3:$N$6,3,FALSE)=0,"Spatial Data Missing",VLOOKUP(L21,'G-3 Multipliers'!$L$3:$N$6,3,FALSE)))</f>
        <v/>
      </c>
      <c r="O21" s="362" t="str">
        <f t="shared" si="1"/>
        <v/>
      </c>
      <c r="P21" s="63"/>
      <c r="Q21" s="63"/>
      <c r="R21" s="370" t="str">
        <f t="shared" si="2"/>
        <v/>
      </c>
      <c r="S21" s="383" t="str">
        <f t="shared" si="3"/>
        <v/>
      </c>
      <c r="T21" s="384" t="str">
        <f>IFERROR(IF(S21="Check Data ⚠","Check Data ⚠",VLOOKUP(S21,'G-4 Temporal multipliers'!$A$4:$C$37,3,FALSE)),"")</f>
        <v/>
      </c>
      <c r="U21" s="385" t="str">
        <f>IF(F21="","",VLOOKUP(F21,'G-3 Multipliers'!$A$2:$E$134,2,FALSE))</f>
        <v/>
      </c>
      <c r="V21" s="382" t="str">
        <f t="shared" si="5"/>
        <v/>
      </c>
      <c r="W21" s="382" t="str">
        <f>IF(E21="","",IF(AND(V21="Standard difficulty applied",O21&gt;P21),U21,IF(AND(V21="Low Difficulty - only applicable if all habitat created before losses",P21&gt;=O21),"Low",VLOOKUP(F21,'G-3 Multipliers'!$A$2:$E$134,4,FALSE))))</f>
        <v/>
      </c>
      <c r="X21" s="386" t="str">
        <f>IFERROR(IF(E21="","",VLOOKUP(W21, 'G-3 Multipliers'!$P$2:$Q$6,2,FALSE)),"")</f>
        <v/>
      </c>
      <c r="Y21" s="390" t="str">
        <f t="shared" si="4"/>
        <v/>
      </c>
      <c r="Z21" s="194"/>
      <c r="AA21" s="195"/>
      <c r="AB21" s="120"/>
      <c r="AE21" s="40" t="str">
        <f t="shared" si="0"/>
        <v/>
      </c>
    </row>
    <row r="22" spans="1:31">
      <c r="A22" s="35" t="str">
        <f>IFERROR(INDEX('G-8 Condition Look up'!$I$4:$I$135,MATCH(F22,'G-8 Condition Look up'!$A$4:$A$135,0)),"")</f>
        <v/>
      </c>
      <c r="C22" s="299" t="str">
        <f>IFERROR(INDEX('G-1 All Habitats'!$AG$3:$AG$17,MATCH(D22,'G-1 All Habitats'!$AF$3:$AF$17,0)),"")</f>
        <v/>
      </c>
      <c r="D22" s="54"/>
      <c r="E22" s="61"/>
      <c r="F22" s="296" t="str">
        <f>IFERROR(INDEX('G-1 All Habitats'!$B$3:$B$134,MATCH(E22,'G-1 All Habitats'!$A$3:$A$134,0)),"")</f>
        <v/>
      </c>
      <c r="G22" s="53"/>
      <c r="H22" s="362" t="str">
        <f>IF(F22="","",VLOOKUP(F22,'G-1 All Habitats'!$B$2:$M$134,10,FALSE))</f>
        <v/>
      </c>
      <c r="I22" s="363" t="str">
        <f>IFERROR(VLOOKUP(H22,'G-1 All Habitats'!$V$3:$W$7,2,FALSE),"")</f>
        <v/>
      </c>
      <c r="J22" s="54"/>
      <c r="K22" s="363" t="str">
        <f>IFERROR(INDEX('G-8 Condition Look up'!$A$3:$H$135,MATCH(F22,'G-8 Condition Look up'!$A$3:$A$135,0),MATCH(J22,'G-8 Condition Look up'!$A$3:$H$3,0)),"")</f>
        <v/>
      </c>
      <c r="L22" s="54"/>
      <c r="M22" s="370" t="str">
        <f>IF(L22="","",IF(VLOOKUP(L22,'G-3 Multipliers'!$L$3:$N$6,2,FALSE)=0,"Spatial Data Missing",VLOOKUP(L22,'G-3 Multipliers'!$L$3:$N$6,2,FALSE)))</f>
        <v/>
      </c>
      <c r="N22" s="368" t="str">
        <f>IF(L22="","",IF(VLOOKUP(L22,'G-3 Multipliers'!$L$3:$N$6,3,FALSE)=0,"Spatial Data Missing",VLOOKUP(L22,'G-3 Multipliers'!$L$3:$N$6,3,FALSE)))</f>
        <v/>
      </c>
      <c r="O22" s="362" t="str">
        <f t="shared" si="1"/>
        <v/>
      </c>
      <c r="P22" s="63"/>
      <c r="Q22" s="63"/>
      <c r="R22" s="370" t="str">
        <f t="shared" si="2"/>
        <v/>
      </c>
      <c r="S22" s="383" t="str">
        <f t="shared" si="3"/>
        <v/>
      </c>
      <c r="T22" s="384" t="str">
        <f>IFERROR(IF(S22="Check Data ⚠","Check Data ⚠",VLOOKUP(S22,'G-4 Temporal multipliers'!$A$4:$C$37,3,FALSE)),"")</f>
        <v/>
      </c>
      <c r="U22" s="385" t="str">
        <f>IF(F22="","",VLOOKUP(F22,'G-3 Multipliers'!$A$2:$E$134,2,FALSE))</f>
        <v/>
      </c>
      <c r="V22" s="382" t="str">
        <f t="shared" si="5"/>
        <v/>
      </c>
      <c r="W22" s="382" t="str">
        <f>IF(E22="","",IF(AND(V22="Standard difficulty applied",O22&gt;P22),U22,IF(AND(V22="Low Difficulty - only applicable if all habitat created before losses",P22&gt;=O22),"Low",VLOOKUP(F22,'G-3 Multipliers'!$A$2:$E$134,4,FALSE))))</f>
        <v/>
      </c>
      <c r="X22" s="386" t="str">
        <f>IFERROR(IF(E22="","",VLOOKUP(W22, 'G-3 Multipliers'!$P$2:$Q$6,2,FALSE)),"")</f>
        <v/>
      </c>
      <c r="Y22" s="390" t="str">
        <f t="shared" si="4"/>
        <v/>
      </c>
      <c r="Z22" s="194"/>
      <c r="AA22" s="195"/>
      <c r="AB22" s="120"/>
      <c r="AE22" s="40" t="str">
        <f t="shared" si="0"/>
        <v/>
      </c>
    </row>
    <row r="23" spans="1:31">
      <c r="A23" s="35" t="str">
        <f>IFERROR(INDEX('G-8 Condition Look up'!$I$4:$I$135,MATCH(F23,'G-8 Condition Look up'!$A$4:$A$135,0)),"")</f>
        <v/>
      </c>
      <c r="C23" s="299" t="str">
        <f>IFERROR(INDEX('G-1 All Habitats'!$AG$3:$AG$17,MATCH(D23,'G-1 All Habitats'!$AF$3:$AF$17,0)),"")</f>
        <v/>
      </c>
      <c r="D23" s="54"/>
      <c r="E23" s="61"/>
      <c r="F23" s="296" t="str">
        <f>IFERROR(INDEX('G-1 All Habitats'!$B$3:$B$134,MATCH(E23,'G-1 All Habitats'!$A$3:$A$134,0)),"")</f>
        <v/>
      </c>
      <c r="G23" s="53"/>
      <c r="H23" s="362" t="str">
        <f>IF(F23="","",VLOOKUP(F23,'G-1 All Habitats'!$B$2:$M$134,10,FALSE))</f>
        <v/>
      </c>
      <c r="I23" s="363" t="str">
        <f>IFERROR(VLOOKUP(H23,'G-1 All Habitats'!$V$3:$W$7,2,FALSE),"")</f>
        <v/>
      </c>
      <c r="J23" s="54"/>
      <c r="K23" s="363" t="str">
        <f>IFERROR(INDEX('G-8 Condition Look up'!$A$3:$H$135,MATCH(F23,'G-8 Condition Look up'!$A$3:$A$135,0),MATCH(J23,'G-8 Condition Look up'!$A$3:$H$3,0)),"")</f>
        <v/>
      </c>
      <c r="L23" s="54"/>
      <c r="M23" s="370" t="str">
        <f>IF(L23="","",IF(VLOOKUP(L23,'G-3 Multipliers'!$L$3:$N$6,2,FALSE)=0,"Spatial Data Missing",VLOOKUP(L23,'G-3 Multipliers'!$L$3:$N$6,2,FALSE)))</f>
        <v/>
      </c>
      <c r="N23" s="368" t="str">
        <f>IF(L23="","",IF(VLOOKUP(L23,'G-3 Multipliers'!$L$3:$N$6,3,FALSE)=0,"Spatial Data Missing",VLOOKUP(L23,'G-3 Multipliers'!$L$3:$N$6,3,FALSE)))</f>
        <v/>
      </c>
      <c r="O23" s="362" t="str">
        <f t="shared" si="1"/>
        <v/>
      </c>
      <c r="P23" s="63"/>
      <c r="Q23" s="63"/>
      <c r="R23" s="370" t="str">
        <f t="shared" si="2"/>
        <v/>
      </c>
      <c r="S23" s="383" t="str">
        <f t="shared" si="3"/>
        <v/>
      </c>
      <c r="T23" s="384" t="str">
        <f>IFERROR(IF(S23="Check Data ⚠","Check Data ⚠",VLOOKUP(S23,'G-4 Temporal multipliers'!$A$4:$C$37,3,FALSE)),"")</f>
        <v/>
      </c>
      <c r="U23" s="385" t="str">
        <f>IF(F23="","",VLOOKUP(F23,'G-3 Multipliers'!$A$2:$E$134,2,FALSE))</f>
        <v/>
      </c>
      <c r="V23" s="382" t="str">
        <f t="shared" si="5"/>
        <v/>
      </c>
      <c r="W23" s="382" t="str">
        <f>IF(E23="","",IF(AND(V23="Standard difficulty applied",O23&gt;P23),U23,IF(AND(V23="Low Difficulty - only applicable if all habitat created before losses",P23&gt;=O23),"Low",VLOOKUP(F23,'G-3 Multipliers'!$A$2:$E$134,4,FALSE))))</f>
        <v/>
      </c>
      <c r="X23" s="386" t="str">
        <f>IFERROR(IF(E23="","",VLOOKUP(W23, 'G-3 Multipliers'!$P$2:$Q$6,2,FALSE)),"")</f>
        <v/>
      </c>
      <c r="Y23" s="390" t="str">
        <f t="shared" si="4"/>
        <v/>
      </c>
      <c r="Z23" s="194"/>
      <c r="AA23" s="195"/>
      <c r="AB23" s="120"/>
      <c r="AE23" s="40" t="str">
        <f t="shared" si="0"/>
        <v/>
      </c>
    </row>
    <row r="24" spans="1:31">
      <c r="A24" s="35" t="str">
        <f>IFERROR(INDEX('G-8 Condition Look up'!$I$4:$I$135,MATCH(F24,'G-8 Condition Look up'!$A$4:$A$135,0)),"")</f>
        <v/>
      </c>
      <c r="C24" s="299" t="str">
        <f>IFERROR(INDEX('G-1 All Habitats'!$AG$3:$AG$17,MATCH(D24,'G-1 All Habitats'!$AF$3:$AF$17,0)),"")</f>
        <v/>
      </c>
      <c r="D24" s="54"/>
      <c r="E24" s="61"/>
      <c r="F24" s="296" t="str">
        <f>IFERROR(INDEX('G-1 All Habitats'!$B$3:$B$134,MATCH(E24,'G-1 All Habitats'!$A$3:$A$134,0)),"")</f>
        <v/>
      </c>
      <c r="G24" s="53"/>
      <c r="H24" s="362" t="str">
        <f>IF(F24="","",VLOOKUP(F24,'G-1 All Habitats'!$B$2:$M$134,10,FALSE))</f>
        <v/>
      </c>
      <c r="I24" s="363" t="str">
        <f>IFERROR(VLOOKUP(H24,'G-1 All Habitats'!$V$3:$W$7,2,FALSE),"")</f>
        <v/>
      </c>
      <c r="J24" s="54"/>
      <c r="K24" s="363" t="str">
        <f>IFERROR(INDEX('G-8 Condition Look up'!$A$3:$H$135,MATCH(F24,'G-8 Condition Look up'!$A$3:$A$135,0),MATCH(J24,'G-8 Condition Look up'!$A$3:$H$3,0)),"")</f>
        <v/>
      </c>
      <c r="L24" s="54"/>
      <c r="M24" s="370" t="str">
        <f>IF(L24="","",IF(VLOOKUP(L24,'G-3 Multipliers'!$L$3:$N$6,2,FALSE)=0,"Spatial Data Missing",VLOOKUP(L24,'G-3 Multipliers'!$L$3:$N$6,2,FALSE)))</f>
        <v/>
      </c>
      <c r="N24" s="368" t="str">
        <f>IF(L24="","",IF(VLOOKUP(L24,'G-3 Multipliers'!$L$3:$N$6,3,FALSE)=0,"Spatial Data Missing",VLOOKUP(L24,'G-3 Multipliers'!$L$3:$N$6,3,FALSE)))</f>
        <v/>
      </c>
      <c r="O24" s="362" t="str">
        <f t="shared" si="1"/>
        <v/>
      </c>
      <c r="P24" s="63"/>
      <c r="Q24" s="63"/>
      <c r="R24" s="370" t="str">
        <f t="shared" si="2"/>
        <v/>
      </c>
      <c r="S24" s="383" t="str">
        <f t="shared" si="3"/>
        <v/>
      </c>
      <c r="T24" s="384" t="str">
        <f>IFERROR(IF(S24="Check Data ⚠","Check Data ⚠",VLOOKUP(S24,'G-4 Temporal multipliers'!$A$4:$C$37,3,FALSE)),"")</f>
        <v/>
      </c>
      <c r="U24" s="385" t="str">
        <f>IF(F24="","",VLOOKUP(F24,'G-3 Multipliers'!$A$2:$E$134,2,FALSE))</f>
        <v/>
      </c>
      <c r="V24" s="382" t="str">
        <f t="shared" si="5"/>
        <v/>
      </c>
      <c r="W24" s="382" t="str">
        <f>IF(E24="","",IF(AND(V24="Standard difficulty applied",O24&gt;P24),U24,IF(AND(V24="Low Difficulty - only applicable if all habitat created before losses",P24&gt;=O24),"Low",VLOOKUP(F24,'G-3 Multipliers'!$A$2:$E$134,4,FALSE))))</f>
        <v/>
      </c>
      <c r="X24" s="386" t="str">
        <f>IFERROR(IF(E24="","",VLOOKUP(W24, 'G-3 Multipliers'!$P$2:$Q$6,2,FALSE)),"")</f>
        <v/>
      </c>
      <c r="Y24" s="390" t="str">
        <f t="shared" si="4"/>
        <v/>
      </c>
      <c r="Z24" s="194"/>
      <c r="AA24" s="195"/>
      <c r="AB24" s="120"/>
      <c r="AE24" s="40" t="str">
        <f t="shared" si="0"/>
        <v/>
      </c>
    </row>
    <row r="25" spans="1:31">
      <c r="A25" s="35" t="str">
        <f>IFERROR(INDEX('G-8 Condition Look up'!$I$4:$I$135,MATCH(F25,'G-8 Condition Look up'!$A$4:$A$135,0)),"")</f>
        <v/>
      </c>
      <c r="C25" s="299" t="str">
        <f>IFERROR(INDEX('G-1 All Habitats'!$AG$3:$AG$17,MATCH(D25,'G-1 All Habitats'!$AF$3:$AF$17,0)),"")</f>
        <v/>
      </c>
      <c r="D25" s="54"/>
      <c r="E25" s="61"/>
      <c r="F25" s="296" t="str">
        <f>IFERROR(INDEX('G-1 All Habitats'!$B$3:$B$134,MATCH(E25,'G-1 All Habitats'!$A$3:$A$134,0)),"")</f>
        <v/>
      </c>
      <c r="G25" s="53"/>
      <c r="H25" s="362" t="str">
        <f>IF(F25="","",VLOOKUP(F25,'G-1 All Habitats'!$B$2:$M$134,10,FALSE))</f>
        <v/>
      </c>
      <c r="I25" s="363" t="str">
        <f>IFERROR(VLOOKUP(H25,'G-1 All Habitats'!$V$3:$W$7,2,FALSE),"")</f>
        <v/>
      </c>
      <c r="J25" s="54"/>
      <c r="K25" s="363" t="str">
        <f>IFERROR(INDEX('G-8 Condition Look up'!$A$3:$H$135,MATCH(F25,'G-8 Condition Look up'!$A$3:$A$135,0),MATCH(J25,'G-8 Condition Look up'!$A$3:$H$3,0)),"")</f>
        <v/>
      </c>
      <c r="L25" s="54"/>
      <c r="M25" s="370" t="str">
        <f>IF(L25="","",IF(VLOOKUP(L25,'G-3 Multipliers'!$L$3:$N$6,2,FALSE)=0,"Spatial Data Missing",VLOOKUP(L25,'G-3 Multipliers'!$L$3:$N$6,2,FALSE)))</f>
        <v/>
      </c>
      <c r="N25" s="368" t="str">
        <f>IF(L25="","",IF(VLOOKUP(L25,'G-3 Multipliers'!$L$3:$N$6,3,FALSE)=0,"Spatial Data Missing",VLOOKUP(L25,'G-3 Multipliers'!$L$3:$N$6,3,FALSE)))</f>
        <v/>
      </c>
      <c r="O25" s="362" t="str">
        <f t="shared" si="1"/>
        <v/>
      </c>
      <c r="P25" s="63"/>
      <c r="Q25" s="63"/>
      <c r="R25" s="370" t="str">
        <f t="shared" si="2"/>
        <v/>
      </c>
      <c r="S25" s="383" t="str">
        <f t="shared" si="3"/>
        <v/>
      </c>
      <c r="T25" s="384" t="str">
        <f>IFERROR(IF(S25="Check Data ⚠","Check Data ⚠",VLOOKUP(S25,'G-4 Temporal multipliers'!$A$4:$C$37,3,FALSE)),"")</f>
        <v/>
      </c>
      <c r="U25" s="385" t="str">
        <f>IF(F25="","",VLOOKUP(F25,'G-3 Multipliers'!$A$2:$E$134,2,FALSE))</f>
        <v/>
      </c>
      <c r="V25" s="382" t="str">
        <f t="shared" si="5"/>
        <v/>
      </c>
      <c r="W25" s="382" t="str">
        <f>IF(E25="","",IF(AND(V25="Standard difficulty applied",O25&gt;P25),U25,IF(AND(V25="Low Difficulty - only applicable if all habitat created before losses",P25&gt;=O25),"Low",VLOOKUP(F25,'G-3 Multipliers'!$A$2:$E$134,4,FALSE))))</f>
        <v/>
      </c>
      <c r="X25" s="386" t="str">
        <f>IFERROR(IF(E25="","",VLOOKUP(W25, 'G-3 Multipliers'!$P$2:$Q$6,2,FALSE)),"")</f>
        <v/>
      </c>
      <c r="Y25" s="390" t="str">
        <f t="shared" si="4"/>
        <v/>
      </c>
      <c r="Z25" s="194"/>
      <c r="AA25" s="195"/>
      <c r="AB25" s="120"/>
      <c r="AE25" s="40" t="str">
        <f t="shared" si="0"/>
        <v/>
      </c>
    </row>
    <row r="26" spans="1:31">
      <c r="A26" s="35" t="str">
        <f>IFERROR(INDEX('G-8 Condition Look up'!$I$4:$I$135,MATCH(F26,'G-8 Condition Look up'!$A$4:$A$135,0)),"")</f>
        <v/>
      </c>
      <c r="C26" s="299" t="str">
        <f>IFERROR(INDEX('G-1 All Habitats'!$AG$3:$AG$17,MATCH(D26,'G-1 All Habitats'!$AF$3:$AF$17,0)),"")</f>
        <v/>
      </c>
      <c r="D26" s="54"/>
      <c r="E26" s="61"/>
      <c r="F26" s="296" t="str">
        <f>IFERROR(INDEX('G-1 All Habitats'!$B$3:$B$134,MATCH(E26,'G-1 All Habitats'!$A$3:$A$134,0)),"")</f>
        <v/>
      </c>
      <c r="G26" s="53"/>
      <c r="H26" s="362" t="str">
        <f>IF(F26="","",VLOOKUP(F26,'G-1 All Habitats'!$B$2:$M$134,10,FALSE))</f>
        <v/>
      </c>
      <c r="I26" s="363" t="str">
        <f>IFERROR(VLOOKUP(H26,'G-1 All Habitats'!$V$3:$W$7,2,FALSE),"")</f>
        <v/>
      </c>
      <c r="J26" s="54"/>
      <c r="K26" s="363" t="str">
        <f>IFERROR(INDEX('G-8 Condition Look up'!$A$3:$H$135,MATCH(F26,'G-8 Condition Look up'!$A$3:$A$135,0),MATCH(J26,'G-8 Condition Look up'!$A$3:$H$3,0)),"")</f>
        <v/>
      </c>
      <c r="L26" s="54"/>
      <c r="M26" s="370" t="str">
        <f>IF(L26="","",IF(VLOOKUP(L26,'G-3 Multipliers'!$L$3:$N$6,2,FALSE)=0,"Spatial Data Missing",VLOOKUP(L26,'G-3 Multipliers'!$L$3:$N$6,2,FALSE)))</f>
        <v/>
      </c>
      <c r="N26" s="368" t="str">
        <f>IF(L26="","",IF(VLOOKUP(L26,'G-3 Multipliers'!$L$3:$N$6,3,FALSE)=0,"Spatial Data Missing",VLOOKUP(L26,'G-3 Multipliers'!$L$3:$N$6,3,FALSE)))</f>
        <v/>
      </c>
      <c r="O26" s="362" t="str">
        <f t="shared" si="1"/>
        <v/>
      </c>
      <c r="P26" s="63"/>
      <c r="Q26" s="63"/>
      <c r="R26" s="370" t="str">
        <f t="shared" si="2"/>
        <v/>
      </c>
      <c r="S26" s="383" t="str">
        <f t="shared" si="3"/>
        <v/>
      </c>
      <c r="T26" s="384" t="str">
        <f>IFERROR(IF(S26="Check Data ⚠","Check Data ⚠",VLOOKUP(S26,'G-4 Temporal multipliers'!$A$4:$C$37,3,FALSE)),"")</f>
        <v/>
      </c>
      <c r="U26" s="385" t="str">
        <f>IF(F26="","",VLOOKUP(F26,'G-3 Multipliers'!$A$2:$E$134,2,FALSE))</f>
        <v/>
      </c>
      <c r="V26" s="382" t="str">
        <f t="shared" si="5"/>
        <v/>
      </c>
      <c r="W26" s="382" t="str">
        <f>IF(E26="","",IF(AND(V26="Standard difficulty applied",O26&gt;P26),U26,IF(AND(V26="Low Difficulty - only applicable if all habitat created before losses",P26&gt;=O26),"Low",VLOOKUP(F26,'G-3 Multipliers'!$A$2:$E$134,4,FALSE))))</f>
        <v/>
      </c>
      <c r="X26" s="386" t="str">
        <f>IFERROR(IF(E26="","",VLOOKUP(W26, 'G-3 Multipliers'!$P$2:$Q$6,2,FALSE)),"")</f>
        <v/>
      </c>
      <c r="Y26" s="390" t="str">
        <f t="shared" si="4"/>
        <v/>
      </c>
      <c r="Z26" s="194"/>
      <c r="AA26" s="195"/>
      <c r="AB26" s="120"/>
      <c r="AE26" s="40" t="str">
        <f t="shared" si="0"/>
        <v/>
      </c>
    </row>
    <row r="27" spans="1:31">
      <c r="A27" s="35" t="str">
        <f>IFERROR(INDEX('G-8 Condition Look up'!$I$4:$I$135,MATCH(F27,'G-8 Condition Look up'!$A$4:$A$135,0)),"")</f>
        <v/>
      </c>
      <c r="C27" s="299" t="str">
        <f>IFERROR(INDEX('G-1 All Habitats'!$AG$3:$AG$17,MATCH(D27,'G-1 All Habitats'!$AF$3:$AF$17,0)),"")</f>
        <v/>
      </c>
      <c r="D27" s="54"/>
      <c r="E27" s="61"/>
      <c r="F27" s="296" t="str">
        <f>IFERROR(INDEX('G-1 All Habitats'!$B$3:$B$134,MATCH(E27,'G-1 All Habitats'!$A$3:$A$134,0)),"")</f>
        <v/>
      </c>
      <c r="G27" s="53"/>
      <c r="H27" s="362" t="str">
        <f>IF(F27="","",VLOOKUP(F27,'G-1 All Habitats'!$B$2:$M$134,10,FALSE))</f>
        <v/>
      </c>
      <c r="I27" s="363" t="str">
        <f>IFERROR(VLOOKUP(H27,'G-1 All Habitats'!$V$3:$W$7,2,FALSE),"")</f>
        <v/>
      </c>
      <c r="J27" s="54"/>
      <c r="K27" s="363" t="str">
        <f>IFERROR(INDEX('G-8 Condition Look up'!$A$3:$H$135,MATCH(F27,'G-8 Condition Look up'!$A$3:$A$135,0),MATCH(J27,'G-8 Condition Look up'!$A$3:$H$3,0)),"")</f>
        <v/>
      </c>
      <c r="L27" s="54"/>
      <c r="M27" s="370" t="str">
        <f>IF(L27="","",IF(VLOOKUP(L27,'G-3 Multipliers'!$L$3:$N$6,2,FALSE)=0,"Spatial Data Missing",VLOOKUP(L27,'G-3 Multipliers'!$L$3:$N$6,2,FALSE)))</f>
        <v/>
      </c>
      <c r="N27" s="368" t="str">
        <f>IF(L27="","",IF(VLOOKUP(L27,'G-3 Multipliers'!$L$3:$N$6,3,FALSE)=0,"Spatial Data Missing",VLOOKUP(L27,'G-3 Multipliers'!$L$3:$N$6,3,FALSE)))</f>
        <v/>
      </c>
      <c r="O27" s="362" t="str">
        <f t="shared" si="1"/>
        <v/>
      </c>
      <c r="P27" s="63"/>
      <c r="Q27" s="63"/>
      <c r="R27" s="370" t="str">
        <f t="shared" si="2"/>
        <v/>
      </c>
      <c r="S27" s="383" t="str">
        <f t="shared" si="3"/>
        <v/>
      </c>
      <c r="T27" s="384" t="str">
        <f>IFERROR(IF(S27="Check Data ⚠","Check Data ⚠",VLOOKUP(S27,'G-4 Temporal multipliers'!$A$4:$C$37,3,FALSE)),"")</f>
        <v/>
      </c>
      <c r="U27" s="385" t="str">
        <f>IF(F27="","",VLOOKUP(F27,'G-3 Multipliers'!$A$2:$E$134,2,FALSE))</f>
        <v/>
      </c>
      <c r="V27" s="382" t="str">
        <f t="shared" si="5"/>
        <v/>
      </c>
      <c r="W27" s="382" t="str">
        <f>IF(E27="","",IF(AND(V27="Standard difficulty applied",O27&gt;P27),U27,IF(AND(V27="Low Difficulty - only applicable if all habitat created before losses",P27&gt;=O27),"Low",VLOOKUP(F27,'G-3 Multipliers'!$A$2:$E$134,4,FALSE))))</f>
        <v/>
      </c>
      <c r="X27" s="386" t="str">
        <f>IFERROR(IF(E27="","",VLOOKUP(W27, 'G-3 Multipliers'!$P$2:$Q$6,2,FALSE)),"")</f>
        <v/>
      </c>
      <c r="Y27" s="390" t="str">
        <f t="shared" si="4"/>
        <v/>
      </c>
      <c r="Z27" s="194"/>
      <c r="AA27" s="195"/>
      <c r="AB27" s="120"/>
      <c r="AE27" s="40" t="str">
        <f t="shared" si="0"/>
        <v/>
      </c>
    </row>
    <row r="28" spans="1:31">
      <c r="A28" s="35" t="str">
        <f>IFERROR(INDEX('G-8 Condition Look up'!$I$4:$I$135,MATCH(F28,'G-8 Condition Look up'!$A$4:$A$135,0)),"")</f>
        <v/>
      </c>
      <c r="C28" s="299" t="str">
        <f>IFERROR(INDEX('G-1 All Habitats'!$AG$3:$AG$17,MATCH(D28,'G-1 All Habitats'!$AF$3:$AF$17,0)),"")</f>
        <v/>
      </c>
      <c r="D28" s="54"/>
      <c r="E28" s="61"/>
      <c r="F28" s="296" t="str">
        <f>IFERROR(INDEX('G-1 All Habitats'!$B$3:$B$134,MATCH(E28,'G-1 All Habitats'!$A$3:$A$134,0)),"")</f>
        <v/>
      </c>
      <c r="G28" s="53"/>
      <c r="H28" s="362" t="str">
        <f>IF(F28="","",VLOOKUP(F28,'G-1 All Habitats'!$B$2:$M$134,10,FALSE))</f>
        <v/>
      </c>
      <c r="I28" s="363" t="str">
        <f>IFERROR(VLOOKUP(H28,'G-1 All Habitats'!$V$3:$W$7,2,FALSE),"")</f>
        <v/>
      </c>
      <c r="J28" s="54"/>
      <c r="K28" s="363" t="str">
        <f>IFERROR(INDEX('G-8 Condition Look up'!$A$3:$H$135,MATCH(F28,'G-8 Condition Look up'!$A$3:$A$135,0),MATCH(J28,'G-8 Condition Look up'!$A$3:$H$3,0)),"")</f>
        <v/>
      </c>
      <c r="L28" s="54"/>
      <c r="M28" s="370" t="str">
        <f>IF(L28="","",IF(VLOOKUP(L28,'G-3 Multipliers'!$L$3:$N$6,2,FALSE)=0,"Spatial Data Missing",VLOOKUP(L28,'G-3 Multipliers'!$L$3:$N$6,2,FALSE)))</f>
        <v/>
      </c>
      <c r="N28" s="368" t="str">
        <f>IF(L28="","",IF(VLOOKUP(L28,'G-3 Multipliers'!$L$3:$N$6,3,FALSE)=0,"Spatial Data Missing",VLOOKUP(L28,'G-3 Multipliers'!$L$3:$N$6,3,FALSE)))</f>
        <v/>
      </c>
      <c r="O28" s="362" t="str">
        <f t="shared" si="1"/>
        <v/>
      </c>
      <c r="P28" s="63"/>
      <c r="Q28" s="63"/>
      <c r="R28" s="370" t="str">
        <f t="shared" si="2"/>
        <v/>
      </c>
      <c r="S28" s="383" t="str">
        <f t="shared" si="3"/>
        <v/>
      </c>
      <c r="T28" s="384" t="str">
        <f>IFERROR(IF(S28="Check Data ⚠","Check Data ⚠",VLOOKUP(S28,'G-4 Temporal multipliers'!$A$4:$C$37,3,FALSE)),"")</f>
        <v/>
      </c>
      <c r="U28" s="385" t="str">
        <f>IF(F28="","",VLOOKUP(F28,'G-3 Multipliers'!$A$2:$E$134,2,FALSE))</f>
        <v/>
      </c>
      <c r="V28" s="382" t="str">
        <f t="shared" si="5"/>
        <v/>
      </c>
      <c r="W28" s="382" t="str">
        <f>IF(E28="","",IF(AND(V28="Standard difficulty applied",O28&gt;P28),U28,IF(AND(V28="Low Difficulty - only applicable if all habitat created before losses",P28&gt;=O28),"Low",VLOOKUP(F28,'G-3 Multipliers'!$A$2:$E$134,4,FALSE))))</f>
        <v/>
      </c>
      <c r="X28" s="386" t="str">
        <f>IFERROR(IF(E28="","",VLOOKUP(W28, 'G-3 Multipliers'!$P$2:$Q$6,2,FALSE)),"")</f>
        <v/>
      </c>
      <c r="Y28" s="390" t="str">
        <f t="shared" si="4"/>
        <v/>
      </c>
      <c r="Z28" s="194"/>
      <c r="AA28" s="195"/>
      <c r="AB28" s="120"/>
      <c r="AE28" s="40" t="str">
        <f t="shared" si="0"/>
        <v/>
      </c>
    </row>
    <row r="29" spans="1:31">
      <c r="A29" s="35" t="str">
        <f>IFERROR(INDEX('G-8 Condition Look up'!$I$4:$I$135,MATCH(F29,'G-8 Condition Look up'!$A$4:$A$135,0)),"")</f>
        <v/>
      </c>
      <c r="C29" s="299" t="str">
        <f>IFERROR(INDEX('G-1 All Habitats'!$AG$3:$AG$17,MATCH(D29,'G-1 All Habitats'!$AF$3:$AF$17,0)),"")</f>
        <v/>
      </c>
      <c r="D29" s="54"/>
      <c r="E29" s="61"/>
      <c r="F29" s="296" t="str">
        <f>IFERROR(INDEX('G-1 All Habitats'!$B$3:$B$134,MATCH(E29,'G-1 All Habitats'!$A$3:$A$134,0)),"")</f>
        <v/>
      </c>
      <c r="G29" s="53"/>
      <c r="H29" s="362" t="str">
        <f>IF(F29="","",VLOOKUP(F29,'G-1 All Habitats'!$B$2:$M$134,10,FALSE))</f>
        <v/>
      </c>
      <c r="I29" s="363" t="str">
        <f>IFERROR(VLOOKUP(H29,'G-1 All Habitats'!$V$3:$W$7,2,FALSE),"")</f>
        <v/>
      </c>
      <c r="J29" s="54"/>
      <c r="K29" s="363" t="str">
        <f>IFERROR(INDEX('G-8 Condition Look up'!$A$3:$H$135,MATCH(F29,'G-8 Condition Look up'!$A$3:$A$135,0),MATCH(J29,'G-8 Condition Look up'!$A$3:$H$3,0)),"")</f>
        <v/>
      </c>
      <c r="L29" s="54"/>
      <c r="M29" s="370" t="str">
        <f>IF(L29="","",IF(VLOOKUP(L29,'G-3 Multipliers'!$L$3:$N$6,2,FALSE)=0,"Spatial Data Missing",VLOOKUP(L29,'G-3 Multipliers'!$L$3:$N$6,2,FALSE)))</f>
        <v/>
      </c>
      <c r="N29" s="368" t="str">
        <f>IF(L29="","",IF(VLOOKUP(L29,'G-3 Multipliers'!$L$3:$N$6,3,FALSE)=0,"Spatial Data Missing",VLOOKUP(L29,'G-3 Multipliers'!$L$3:$N$6,3,FALSE)))</f>
        <v/>
      </c>
      <c r="O29" s="362" t="str">
        <f t="shared" si="1"/>
        <v/>
      </c>
      <c r="P29" s="63"/>
      <c r="Q29" s="63"/>
      <c r="R29" s="370" t="str">
        <f t="shared" si="2"/>
        <v/>
      </c>
      <c r="S29" s="383" t="str">
        <f t="shared" si="3"/>
        <v/>
      </c>
      <c r="T29" s="384" t="str">
        <f>IFERROR(IF(S29="Check Data ⚠","Check Data ⚠",VLOOKUP(S29,'G-4 Temporal multipliers'!$A$4:$C$37,3,FALSE)),"")</f>
        <v/>
      </c>
      <c r="U29" s="385" t="str">
        <f>IF(F29="","",VLOOKUP(F29,'G-3 Multipliers'!$A$2:$E$134,2,FALSE))</f>
        <v/>
      </c>
      <c r="V29" s="382" t="str">
        <f t="shared" si="5"/>
        <v/>
      </c>
      <c r="W29" s="382" t="str">
        <f>IF(E29="","",IF(AND(V29="Standard difficulty applied",O29&gt;P29),U29,IF(AND(V29="Low Difficulty - only applicable if all habitat created before losses",P29&gt;=O29),"Low",VLOOKUP(F29,'G-3 Multipliers'!$A$2:$E$134,4,FALSE))))</f>
        <v/>
      </c>
      <c r="X29" s="386" t="str">
        <f>IFERROR(IF(E29="","",VLOOKUP(W29, 'G-3 Multipliers'!$P$2:$Q$6,2,FALSE)),"")</f>
        <v/>
      </c>
      <c r="Y29" s="390" t="str">
        <f t="shared" si="4"/>
        <v/>
      </c>
      <c r="Z29" s="194"/>
      <c r="AA29" s="195"/>
      <c r="AB29" s="120"/>
      <c r="AE29" s="40" t="str">
        <f t="shared" si="0"/>
        <v/>
      </c>
    </row>
    <row r="30" spans="1:31">
      <c r="A30" s="35" t="str">
        <f>IFERROR(INDEX('G-8 Condition Look up'!$I$4:$I$135,MATCH(F30,'G-8 Condition Look up'!$A$4:$A$135,0)),"")</f>
        <v/>
      </c>
      <c r="C30" s="299" t="str">
        <f>IFERROR(INDEX('G-1 All Habitats'!$AG$3:$AG$17,MATCH(D30,'G-1 All Habitats'!$AF$3:$AF$17,0)),"")</f>
        <v/>
      </c>
      <c r="D30" s="54"/>
      <c r="E30" s="61"/>
      <c r="F30" s="296" t="str">
        <f>IFERROR(INDEX('G-1 All Habitats'!$B$3:$B$134,MATCH(E30,'G-1 All Habitats'!$A$3:$A$134,0)),"")</f>
        <v/>
      </c>
      <c r="G30" s="53"/>
      <c r="H30" s="362" t="str">
        <f>IF(F30="","",VLOOKUP(F30,'G-1 All Habitats'!$B$2:$M$134,10,FALSE))</f>
        <v/>
      </c>
      <c r="I30" s="363" t="str">
        <f>IFERROR(VLOOKUP(H30,'G-1 All Habitats'!$V$3:$W$7,2,FALSE),"")</f>
        <v/>
      </c>
      <c r="J30" s="54"/>
      <c r="K30" s="363" t="str">
        <f>IFERROR(INDEX('G-8 Condition Look up'!$A$3:$H$135,MATCH(F30,'G-8 Condition Look up'!$A$3:$A$135,0),MATCH(J30,'G-8 Condition Look up'!$A$3:$H$3,0)),"")</f>
        <v/>
      </c>
      <c r="L30" s="54"/>
      <c r="M30" s="370" t="str">
        <f>IF(L30="","",IF(VLOOKUP(L30,'G-3 Multipliers'!$L$3:$N$6,2,FALSE)=0,"Spatial Data Missing",VLOOKUP(L30,'G-3 Multipliers'!$L$3:$N$6,2,FALSE)))</f>
        <v/>
      </c>
      <c r="N30" s="368" t="str">
        <f>IF(L30="","",IF(VLOOKUP(L30,'G-3 Multipliers'!$L$3:$N$6,3,FALSE)=0,"Spatial Data Missing",VLOOKUP(L30,'G-3 Multipliers'!$L$3:$N$6,3,FALSE)))</f>
        <v/>
      </c>
      <c r="O30" s="362" t="str">
        <f t="shared" si="1"/>
        <v/>
      </c>
      <c r="P30" s="63"/>
      <c r="Q30" s="63"/>
      <c r="R30" s="370" t="str">
        <f t="shared" si="2"/>
        <v/>
      </c>
      <c r="S30" s="383" t="str">
        <f t="shared" si="3"/>
        <v/>
      </c>
      <c r="T30" s="384" t="str">
        <f>IFERROR(IF(S30="Check Data ⚠","Check Data ⚠",VLOOKUP(S30,'G-4 Temporal multipliers'!$A$4:$C$37,3,FALSE)),"")</f>
        <v/>
      </c>
      <c r="U30" s="385" t="str">
        <f>IF(F30="","",VLOOKUP(F30,'G-3 Multipliers'!$A$2:$E$134,2,FALSE))</f>
        <v/>
      </c>
      <c r="V30" s="382" t="str">
        <f t="shared" si="5"/>
        <v/>
      </c>
      <c r="W30" s="382" t="str">
        <f>IF(E30="","",IF(AND(V30="Standard difficulty applied",O30&gt;P30),U30,IF(AND(V30="Low Difficulty - only applicable if all habitat created before losses",P30&gt;=O30),"Low",VLOOKUP(F30,'G-3 Multipliers'!$A$2:$E$134,4,FALSE))))</f>
        <v/>
      </c>
      <c r="X30" s="386" t="str">
        <f>IFERROR(IF(E30="","",VLOOKUP(W30, 'G-3 Multipliers'!$P$2:$Q$6,2,FALSE)),"")</f>
        <v/>
      </c>
      <c r="Y30" s="390" t="str">
        <f t="shared" si="4"/>
        <v/>
      </c>
      <c r="Z30" s="194"/>
      <c r="AA30" s="195"/>
      <c r="AB30" s="120"/>
      <c r="AE30" s="40" t="str">
        <f t="shared" si="0"/>
        <v/>
      </c>
    </row>
    <row r="31" spans="1:31">
      <c r="A31" s="35" t="str">
        <f>IFERROR(INDEX('G-8 Condition Look up'!$I$4:$I$135,MATCH(F31,'G-8 Condition Look up'!$A$4:$A$135,0)),"")</f>
        <v/>
      </c>
      <c r="C31" s="299" t="str">
        <f>IFERROR(INDEX('G-1 All Habitats'!$AG$3:$AG$17,MATCH(D31,'G-1 All Habitats'!$AF$3:$AF$17,0)),"")</f>
        <v/>
      </c>
      <c r="D31" s="54"/>
      <c r="E31" s="61"/>
      <c r="F31" s="296" t="str">
        <f>IFERROR(INDEX('G-1 All Habitats'!$B$3:$B$134,MATCH(E31,'G-1 All Habitats'!$A$3:$A$134,0)),"")</f>
        <v/>
      </c>
      <c r="G31" s="53"/>
      <c r="H31" s="362" t="str">
        <f>IF(F31="","",VLOOKUP(F31,'G-1 All Habitats'!$B$2:$M$134,10,FALSE))</f>
        <v/>
      </c>
      <c r="I31" s="363" t="str">
        <f>IFERROR(VLOOKUP(H31,'G-1 All Habitats'!$V$3:$W$7,2,FALSE),"")</f>
        <v/>
      </c>
      <c r="J31" s="54"/>
      <c r="K31" s="363" t="str">
        <f>IFERROR(INDEX('G-8 Condition Look up'!$A$3:$H$135,MATCH(F31,'G-8 Condition Look up'!$A$3:$A$135,0),MATCH(J31,'G-8 Condition Look up'!$A$3:$H$3,0)),"")</f>
        <v/>
      </c>
      <c r="L31" s="54"/>
      <c r="M31" s="370" t="str">
        <f>IF(L31="","",IF(VLOOKUP(L31,'G-3 Multipliers'!$L$3:$N$6,2,FALSE)=0,"Spatial Data Missing",VLOOKUP(L31,'G-3 Multipliers'!$L$3:$N$6,2,FALSE)))</f>
        <v/>
      </c>
      <c r="N31" s="368" t="str">
        <f>IF(L31="","",IF(VLOOKUP(L31,'G-3 Multipliers'!$L$3:$N$6,3,FALSE)=0,"Spatial Data Missing",VLOOKUP(L31,'G-3 Multipliers'!$L$3:$N$6,3,FALSE)))</f>
        <v/>
      </c>
      <c r="O31" s="362" t="str">
        <f t="shared" si="1"/>
        <v/>
      </c>
      <c r="P31" s="63"/>
      <c r="Q31" s="63"/>
      <c r="R31" s="370" t="str">
        <f t="shared" si="2"/>
        <v/>
      </c>
      <c r="S31" s="383" t="str">
        <f t="shared" si="3"/>
        <v/>
      </c>
      <c r="T31" s="384" t="str">
        <f>IFERROR(IF(S31="Check Data ⚠","Check Data ⚠",VLOOKUP(S31,'G-4 Temporal multipliers'!$A$4:$C$37,3,FALSE)),"")</f>
        <v/>
      </c>
      <c r="U31" s="385" t="str">
        <f>IF(F31="","",VLOOKUP(F31,'G-3 Multipliers'!$A$2:$E$134,2,FALSE))</f>
        <v/>
      </c>
      <c r="V31" s="382" t="str">
        <f t="shared" si="5"/>
        <v/>
      </c>
      <c r="W31" s="382" t="str">
        <f>IF(E31="","",IF(AND(V31="Standard difficulty applied",O31&gt;P31),U31,IF(AND(V31="Low Difficulty - only applicable if all habitat created before losses",P31&gt;=O31),"Low",VLOOKUP(F31,'G-3 Multipliers'!$A$2:$E$134,4,FALSE))))</f>
        <v/>
      </c>
      <c r="X31" s="386" t="str">
        <f>IFERROR(IF(E31="","",VLOOKUP(W31, 'G-3 Multipliers'!$P$2:$Q$6,2,FALSE)),"")</f>
        <v/>
      </c>
      <c r="Y31" s="390" t="str">
        <f t="shared" si="4"/>
        <v/>
      </c>
      <c r="Z31" s="194"/>
      <c r="AA31" s="195"/>
      <c r="AB31" s="120"/>
      <c r="AE31" s="40" t="str">
        <f t="shared" si="0"/>
        <v/>
      </c>
    </row>
    <row r="32" spans="1:31">
      <c r="A32" s="35" t="str">
        <f>IFERROR(INDEX('G-8 Condition Look up'!$I$4:$I$135,MATCH(F32,'G-8 Condition Look up'!$A$4:$A$135,0)),"")</f>
        <v/>
      </c>
      <c r="C32" s="299" t="str">
        <f>IFERROR(INDEX('G-1 All Habitats'!$AG$3:$AG$17,MATCH(D32,'G-1 All Habitats'!$AF$3:$AF$17,0)),"")</f>
        <v/>
      </c>
      <c r="D32" s="54"/>
      <c r="E32" s="61"/>
      <c r="F32" s="296" t="str">
        <f>IFERROR(INDEX('G-1 All Habitats'!$B$3:$B$134,MATCH(E32,'G-1 All Habitats'!$A$3:$A$134,0)),"")</f>
        <v/>
      </c>
      <c r="G32" s="53"/>
      <c r="H32" s="362" t="str">
        <f>IF(F32="","",VLOOKUP(F32,'G-1 All Habitats'!$B$2:$M$134,10,FALSE))</f>
        <v/>
      </c>
      <c r="I32" s="363" t="str">
        <f>IFERROR(VLOOKUP(H32,'G-1 All Habitats'!$V$3:$W$7,2,FALSE),"")</f>
        <v/>
      </c>
      <c r="J32" s="54"/>
      <c r="K32" s="363" t="str">
        <f>IFERROR(INDEX('G-8 Condition Look up'!$A$3:$H$135,MATCH(F32,'G-8 Condition Look up'!$A$3:$A$135,0),MATCH(J32,'G-8 Condition Look up'!$A$3:$H$3,0)),"")</f>
        <v/>
      </c>
      <c r="L32" s="54"/>
      <c r="M32" s="370" t="str">
        <f>IF(L32="","",IF(VLOOKUP(L32,'G-3 Multipliers'!$L$3:$N$6,2,FALSE)=0,"Spatial Data Missing",VLOOKUP(L32,'G-3 Multipliers'!$L$3:$N$6,2,FALSE)))</f>
        <v/>
      </c>
      <c r="N32" s="368" t="str">
        <f>IF(L32="","",IF(VLOOKUP(L32,'G-3 Multipliers'!$L$3:$N$6,3,FALSE)=0,"Spatial Data Missing",VLOOKUP(L32,'G-3 Multipliers'!$L$3:$N$6,3,FALSE)))</f>
        <v/>
      </c>
      <c r="O32" s="362" t="str">
        <f t="shared" si="1"/>
        <v/>
      </c>
      <c r="P32" s="63"/>
      <c r="Q32" s="63"/>
      <c r="R32" s="370" t="str">
        <f t="shared" si="2"/>
        <v/>
      </c>
      <c r="S32" s="383" t="str">
        <f t="shared" si="3"/>
        <v/>
      </c>
      <c r="T32" s="384" t="str">
        <f>IFERROR(IF(S32="Check Data ⚠","Check Data ⚠",VLOOKUP(S32,'G-4 Temporal multipliers'!$A$4:$C$37,3,FALSE)),"")</f>
        <v/>
      </c>
      <c r="U32" s="385" t="str">
        <f>IF(F32="","",VLOOKUP(F32,'G-3 Multipliers'!$A$2:$E$134,2,FALSE))</f>
        <v/>
      </c>
      <c r="V32" s="382" t="str">
        <f t="shared" si="5"/>
        <v/>
      </c>
      <c r="W32" s="382" t="str">
        <f>IF(E32="","",IF(AND(V32="Standard difficulty applied",O32&gt;P32),U32,IF(AND(V32="Low Difficulty - only applicable if all habitat created before losses",P32&gt;=O32),"Low",VLOOKUP(F32,'G-3 Multipliers'!$A$2:$E$134,4,FALSE))))</f>
        <v/>
      </c>
      <c r="X32" s="386" t="str">
        <f>IFERROR(IF(E32="","",VLOOKUP(W32, 'G-3 Multipliers'!$P$2:$Q$6,2,FALSE)),"")</f>
        <v/>
      </c>
      <c r="Y32" s="390" t="str">
        <f t="shared" si="4"/>
        <v/>
      </c>
      <c r="Z32" s="194"/>
      <c r="AA32" s="195"/>
      <c r="AB32" s="120"/>
      <c r="AE32" s="40" t="str">
        <f t="shared" si="0"/>
        <v/>
      </c>
    </row>
    <row r="33" spans="1:31">
      <c r="A33" s="35" t="str">
        <f>IFERROR(INDEX('G-8 Condition Look up'!$I$4:$I$135,MATCH(F33,'G-8 Condition Look up'!$A$4:$A$135,0)),"")</f>
        <v/>
      </c>
      <c r="C33" s="299" t="str">
        <f>IFERROR(INDEX('G-1 All Habitats'!$AG$3:$AG$17,MATCH(D33,'G-1 All Habitats'!$AF$3:$AF$17,0)),"")</f>
        <v/>
      </c>
      <c r="D33" s="54"/>
      <c r="E33" s="61"/>
      <c r="F33" s="296" t="str">
        <f>IFERROR(INDEX('G-1 All Habitats'!$B$3:$B$134,MATCH(E33,'G-1 All Habitats'!$A$3:$A$134,0)),"")</f>
        <v/>
      </c>
      <c r="G33" s="53"/>
      <c r="H33" s="362" t="str">
        <f>IF(F33="","",VLOOKUP(F33,'G-1 All Habitats'!$B$2:$M$134,10,FALSE))</f>
        <v/>
      </c>
      <c r="I33" s="363" t="str">
        <f>IFERROR(VLOOKUP(H33,'G-1 All Habitats'!$V$3:$W$7,2,FALSE),"")</f>
        <v/>
      </c>
      <c r="J33" s="54"/>
      <c r="K33" s="363" t="str">
        <f>IFERROR(INDEX('G-8 Condition Look up'!$A$3:$H$135,MATCH(F33,'G-8 Condition Look up'!$A$3:$A$135,0),MATCH(J33,'G-8 Condition Look up'!$A$3:$H$3,0)),"")</f>
        <v/>
      </c>
      <c r="L33" s="54"/>
      <c r="M33" s="370" t="str">
        <f>IF(L33="","",IF(VLOOKUP(L33,'G-3 Multipliers'!$L$3:$N$6,2,FALSE)=0,"Spatial Data Missing",VLOOKUP(L33,'G-3 Multipliers'!$L$3:$N$6,2,FALSE)))</f>
        <v/>
      </c>
      <c r="N33" s="368" t="str">
        <f>IF(L33="","",IF(VLOOKUP(L33,'G-3 Multipliers'!$L$3:$N$6,3,FALSE)=0,"Spatial Data Missing",VLOOKUP(L33,'G-3 Multipliers'!$L$3:$N$6,3,FALSE)))</f>
        <v/>
      </c>
      <c r="O33" s="362" t="str">
        <f t="shared" si="1"/>
        <v/>
      </c>
      <c r="P33" s="63"/>
      <c r="Q33" s="63"/>
      <c r="R33" s="370" t="str">
        <f t="shared" si="2"/>
        <v/>
      </c>
      <c r="S33" s="383" t="str">
        <f t="shared" si="3"/>
        <v/>
      </c>
      <c r="T33" s="384" t="str">
        <f>IFERROR(IF(S33="Check Data ⚠","Check Data ⚠",VLOOKUP(S33,'G-4 Temporal multipliers'!$A$4:$C$37,3,FALSE)),"")</f>
        <v/>
      </c>
      <c r="U33" s="385" t="str">
        <f>IF(F33="","",VLOOKUP(F33,'G-3 Multipliers'!$A$2:$E$134,2,FALSE))</f>
        <v/>
      </c>
      <c r="V33" s="382" t="str">
        <f t="shared" si="5"/>
        <v/>
      </c>
      <c r="W33" s="382" t="str">
        <f>IF(E33="","",IF(AND(V33="Standard difficulty applied",O33&gt;P33),U33,IF(AND(V33="Low Difficulty - only applicable if all habitat created before losses",P33&gt;=O33),"Low",VLOOKUP(F33,'G-3 Multipliers'!$A$2:$E$134,4,FALSE))))</f>
        <v/>
      </c>
      <c r="X33" s="386" t="str">
        <f>IFERROR(IF(E33="","",VLOOKUP(W33, 'G-3 Multipliers'!$P$2:$Q$6,2,FALSE)),"")</f>
        <v/>
      </c>
      <c r="Y33" s="390" t="str">
        <f t="shared" si="4"/>
        <v/>
      </c>
      <c r="Z33" s="194"/>
      <c r="AA33" s="195"/>
      <c r="AB33" s="120"/>
      <c r="AE33" s="40" t="str">
        <f t="shared" si="0"/>
        <v/>
      </c>
    </row>
    <row r="34" spans="1:31">
      <c r="A34" s="35" t="str">
        <f>IFERROR(INDEX('G-8 Condition Look up'!$I$4:$I$135,MATCH(F34,'G-8 Condition Look up'!$A$4:$A$135,0)),"")</f>
        <v/>
      </c>
      <c r="C34" s="299" t="str">
        <f>IFERROR(INDEX('G-1 All Habitats'!$AG$3:$AG$17,MATCH(D34,'G-1 All Habitats'!$AF$3:$AF$17,0)),"")</f>
        <v/>
      </c>
      <c r="D34" s="54"/>
      <c r="E34" s="61"/>
      <c r="F34" s="296" t="str">
        <f>IFERROR(INDEX('G-1 All Habitats'!$B$3:$B$134,MATCH(E34,'G-1 All Habitats'!$A$3:$A$134,0)),"")</f>
        <v/>
      </c>
      <c r="G34" s="53"/>
      <c r="H34" s="362" t="str">
        <f>IF(F34="","",VLOOKUP(F34,'G-1 All Habitats'!$B$2:$M$134,10,FALSE))</f>
        <v/>
      </c>
      <c r="I34" s="363" t="str">
        <f>IFERROR(VLOOKUP(H34,'G-1 All Habitats'!$V$3:$W$7,2,FALSE),"")</f>
        <v/>
      </c>
      <c r="J34" s="54"/>
      <c r="K34" s="363" t="str">
        <f>IFERROR(INDEX('G-8 Condition Look up'!$A$3:$H$135,MATCH(F34,'G-8 Condition Look up'!$A$3:$A$135,0),MATCH(J34,'G-8 Condition Look up'!$A$3:$H$3,0)),"")</f>
        <v/>
      </c>
      <c r="L34" s="54"/>
      <c r="M34" s="370" t="str">
        <f>IF(L34="","",IF(VLOOKUP(L34,'G-3 Multipliers'!$L$3:$N$6,2,FALSE)=0,"Spatial Data Missing",VLOOKUP(L34,'G-3 Multipliers'!$L$3:$N$6,2,FALSE)))</f>
        <v/>
      </c>
      <c r="N34" s="368" t="str">
        <f>IF(L34="","",IF(VLOOKUP(L34,'G-3 Multipliers'!$L$3:$N$6,3,FALSE)=0,"Spatial Data Missing",VLOOKUP(L34,'G-3 Multipliers'!$L$3:$N$6,3,FALSE)))</f>
        <v/>
      </c>
      <c r="O34" s="362" t="str">
        <f t="shared" si="1"/>
        <v/>
      </c>
      <c r="P34" s="63"/>
      <c r="Q34" s="63"/>
      <c r="R34" s="370" t="str">
        <f t="shared" si="2"/>
        <v/>
      </c>
      <c r="S34" s="383" t="str">
        <f t="shared" si="3"/>
        <v/>
      </c>
      <c r="T34" s="384" t="str">
        <f>IFERROR(IF(S34="Check Data ⚠","Check Data ⚠",VLOOKUP(S34,'G-4 Temporal multipliers'!$A$4:$C$37,3,FALSE)),"")</f>
        <v/>
      </c>
      <c r="U34" s="385" t="str">
        <f>IF(F34="","",VLOOKUP(F34,'G-3 Multipliers'!$A$2:$E$134,2,FALSE))</f>
        <v/>
      </c>
      <c r="V34" s="382" t="str">
        <f t="shared" si="5"/>
        <v/>
      </c>
      <c r="W34" s="382" t="str">
        <f>IF(E34="","",IF(AND(V34="Standard difficulty applied",O34&gt;P34),U34,IF(AND(V34="Low Difficulty - only applicable if all habitat created before losses",P34&gt;=O34),"Low",VLOOKUP(F34,'G-3 Multipliers'!$A$2:$E$134,4,FALSE))))</f>
        <v/>
      </c>
      <c r="X34" s="386" t="str">
        <f>IFERROR(IF(E34="","",VLOOKUP(W34, 'G-3 Multipliers'!$P$2:$Q$6,2,FALSE)),"")</f>
        <v/>
      </c>
      <c r="Y34" s="390" t="str">
        <f t="shared" si="4"/>
        <v/>
      </c>
      <c r="Z34" s="194"/>
      <c r="AA34" s="195"/>
      <c r="AB34" s="120"/>
      <c r="AE34" s="40" t="str">
        <f t="shared" si="0"/>
        <v/>
      </c>
    </row>
    <row r="35" spans="1:31">
      <c r="A35" s="35" t="str">
        <f>IFERROR(INDEX('G-8 Condition Look up'!$I$4:$I$135,MATCH(F35,'G-8 Condition Look up'!$A$4:$A$135,0)),"")</f>
        <v/>
      </c>
      <c r="C35" s="299" t="str">
        <f>IFERROR(INDEX('G-1 All Habitats'!$AG$3:$AG$17,MATCH(D35,'G-1 All Habitats'!$AF$3:$AF$17,0)),"")</f>
        <v/>
      </c>
      <c r="D35" s="54"/>
      <c r="E35" s="61"/>
      <c r="F35" s="296" t="str">
        <f>IFERROR(INDEX('G-1 All Habitats'!$B$3:$B$134,MATCH(E35,'G-1 All Habitats'!$A$3:$A$134,0)),"")</f>
        <v/>
      </c>
      <c r="G35" s="53"/>
      <c r="H35" s="362" t="str">
        <f>IF(F35="","",VLOOKUP(F35,'G-1 All Habitats'!$B$2:$M$134,10,FALSE))</f>
        <v/>
      </c>
      <c r="I35" s="363" t="str">
        <f>IFERROR(VLOOKUP(H35,'G-1 All Habitats'!$V$3:$W$7,2,FALSE),"")</f>
        <v/>
      </c>
      <c r="J35" s="54"/>
      <c r="K35" s="363" t="str">
        <f>IFERROR(INDEX('G-8 Condition Look up'!$A$3:$H$135,MATCH(F35,'G-8 Condition Look up'!$A$3:$A$135,0),MATCH(J35,'G-8 Condition Look up'!$A$3:$H$3,0)),"")</f>
        <v/>
      </c>
      <c r="L35" s="54"/>
      <c r="M35" s="370" t="str">
        <f>IF(L35="","",IF(VLOOKUP(L35,'G-3 Multipliers'!$L$3:$N$6,2,FALSE)=0,"Spatial Data Missing",VLOOKUP(L35,'G-3 Multipliers'!$L$3:$N$6,2,FALSE)))</f>
        <v/>
      </c>
      <c r="N35" s="368" t="str">
        <f>IF(L35="","",IF(VLOOKUP(L35,'G-3 Multipliers'!$L$3:$N$6,3,FALSE)=0,"Spatial Data Missing",VLOOKUP(L35,'G-3 Multipliers'!$L$3:$N$6,3,FALSE)))</f>
        <v/>
      </c>
      <c r="O35" s="362" t="str">
        <f t="shared" si="1"/>
        <v/>
      </c>
      <c r="P35" s="63"/>
      <c r="Q35" s="63"/>
      <c r="R35" s="370" t="str">
        <f t="shared" si="2"/>
        <v/>
      </c>
      <c r="S35" s="383" t="str">
        <f t="shared" si="3"/>
        <v/>
      </c>
      <c r="T35" s="384" t="str">
        <f>IFERROR(IF(S35="Check Data ⚠","Check Data ⚠",VLOOKUP(S35,'G-4 Temporal multipliers'!$A$4:$C$37,3,FALSE)),"")</f>
        <v/>
      </c>
      <c r="U35" s="385" t="str">
        <f>IF(F35="","",VLOOKUP(F35,'G-3 Multipliers'!$A$2:$E$134,2,FALSE))</f>
        <v/>
      </c>
      <c r="V35" s="382" t="str">
        <f t="shared" si="5"/>
        <v/>
      </c>
      <c r="W35" s="382" t="str">
        <f>IF(E35="","",IF(AND(V35="Standard difficulty applied",O35&gt;P35),U35,IF(AND(V35="Low Difficulty - only applicable if all habitat created before losses",P35&gt;=O35),"Low",VLOOKUP(F35,'G-3 Multipliers'!$A$2:$E$134,4,FALSE))))</f>
        <v/>
      </c>
      <c r="X35" s="386" t="str">
        <f>IFERROR(IF(E35="","",VLOOKUP(W35, 'G-3 Multipliers'!$P$2:$Q$6,2,FALSE)),"")</f>
        <v/>
      </c>
      <c r="Y35" s="390" t="str">
        <f t="shared" si="4"/>
        <v/>
      </c>
      <c r="Z35" s="194"/>
      <c r="AA35" s="195"/>
      <c r="AB35" s="120"/>
      <c r="AE35" s="40" t="str">
        <f t="shared" si="0"/>
        <v/>
      </c>
    </row>
    <row r="36" spans="1:31">
      <c r="A36" s="35" t="str">
        <f>IFERROR(INDEX('G-8 Condition Look up'!$I$4:$I$135,MATCH(F36,'G-8 Condition Look up'!$A$4:$A$135,0)),"")</f>
        <v/>
      </c>
      <c r="C36" s="299" t="str">
        <f>IFERROR(INDEX('G-1 All Habitats'!$AG$3:$AG$17,MATCH(D36,'G-1 All Habitats'!$AF$3:$AF$17,0)),"")</f>
        <v/>
      </c>
      <c r="D36" s="54"/>
      <c r="E36" s="61"/>
      <c r="F36" s="296" t="str">
        <f>IFERROR(INDEX('G-1 All Habitats'!$B$3:$B$134,MATCH(E36,'G-1 All Habitats'!$A$3:$A$134,0)),"")</f>
        <v/>
      </c>
      <c r="G36" s="53"/>
      <c r="H36" s="362" t="str">
        <f>IF(F36="","",VLOOKUP(F36,'G-1 All Habitats'!$B$2:$M$134,10,FALSE))</f>
        <v/>
      </c>
      <c r="I36" s="363" t="str">
        <f>IFERROR(VLOOKUP(H36,'G-1 All Habitats'!$V$3:$W$7,2,FALSE),"")</f>
        <v/>
      </c>
      <c r="J36" s="54"/>
      <c r="K36" s="363" t="str">
        <f>IFERROR(INDEX('G-8 Condition Look up'!$A$3:$H$135,MATCH(F36,'G-8 Condition Look up'!$A$3:$A$135,0),MATCH(J36,'G-8 Condition Look up'!$A$3:$H$3,0)),"")</f>
        <v/>
      </c>
      <c r="L36" s="54"/>
      <c r="M36" s="370" t="str">
        <f>IF(L36="","",IF(VLOOKUP(L36,'G-3 Multipliers'!$L$3:$N$6,2,FALSE)=0,"Spatial Data Missing",VLOOKUP(L36,'G-3 Multipliers'!$L$3:$N$6,2,FALSE)))</f>
        <v/>
      </c>
      <c r="N36" s="368" t="str">
        <f>IF(L36="","",IF(VLOOKUP(L36,'G-3 Multipliers'!$L$3:$N$6,3,FALSE)=0,"Spatial Data Missing",VLOOKUP(L36,'G-3 Multipliers'!$L$3:$N$6,3,FALSE)))</f>
        <v/>
      </c>
      <c r="O36" s="362" t="str">
        <f t="shared" si="1"/>
        <v/>
      </c>
      <c r="P36" s="63"/>
      <c r="Q36" s="63"/>
      <c r="R36" s="370" t="str">
        <f t="shared" si="2"/>
        <v/>
      </c>
      <c r="S36" s="383" t="str">
        <f t="shared" si="3"/>
        <v/>
      </c>
      <c r="T36" s="384" t="str">
        <f>IFERROR(IF(S36="Check Data ⚠","Check Data ⚠",VLOOKUP(S36,'G-4 Temporal multipliers'!$A$4:$C$37,3,FALSE)),"")</f>
        <v/>
      </c>
      <c r="U36" s="385" t="str">
        <f>IF(F36="","",VLOOKUP(F36,'G-3 Multipliers'!$A$2:$E$134,2,FALSE))</f>
        <v/>
      </c>
      <c r="V36" s="382" t="str">
        <f t="shared" si="5"/>
        <v/>
      </c>
      <c r="W36" s="382" t="str">
        <f>IF(E36="","",IF(AND(V36="Standard difficulty applied",O36&gt;P36),U36,IF(AND(V36="Low Difficulty - only applicable if all habitat created before losses",P36&gt;=O36),"Low",VLOOKUP(F36,'G-3 Multipliers'!$A$2:$E$134,4,FALSE))))</f>
        <v/>
      </c>
      <c r="X36" s="386" t="str">
        <f>IFERROR(IF(E36="","",VLOOKUP(W36, 'G-3 Multipliers'!$P$2:$Q$6,2,FALSE)),"")</f>
        <v/>
      </c>
      <c r="Y36" s="390" t="str">
        <f t="shared" si="4"/>
        <v/>
      </c>
      <c r="Z36" s="194"/>
      <c r="AA36" s="195"/>
      <c r="AB36" s="120"/>
      <c r="AE36" s="40" t="str">
        <f t="shared" si="0"/>
        <v/>
      </c>
    </row>
    <row r="37" spans="1:31">
      <c r="A37" s="35" t="str">
        <f>IFERROR(INDEX('G-8 Condition Look up'!$I$4:$I$135,MATCH(F37,'G-8 Condition Look up'!$A$4:$A$135,0)),"")</f>
        <v/>
      </c>
      <c r="C37" s="299" t="str">
        <f>IFERROR(INDEX('G-1 All Habitats'!$AG$3:$AG$17,MATCH(D37,'G-1 All Habitats'!$AF$3:$AF$17,0)),"")</f>
        <v/>
      </c>
      <c r="D37" s="54"/>
      <c r="E37" s="61"/>
      <c r="F37" s="296" t="str">
        <f>IFERROR(INDEX('G-1 All Habitats'!$B$3:$B$134,MATCH(E37,'G-1 All Habitats'!$A$3:$A$134,0)),"")</f>
        <v/>
      </c>
      <c r="G37" s="53"/>
      <c r="H37" s="362" t="str">
        <f>IF(F37="","",VLOOKUP(F37,'G-1 All Habitats'!$B$2:$M$134,10,FALSE))</f>
        <v/>
      </c>
      <c r="I37" s="363" t="str">
        <f>IFERROR(VLOOKUP(H37,'G-1 All Habitats'!$V$3:$W$7,2,FALSE),"")</f>
        <v/>
      </c>
      <c r="J37" s="54"/>
      <c r="K37" s="363" t="str">
        <f>IFERROR(INDEX('G-8 Condition Look up'!$A$3:$H$135,MATCH(F37,'G-8 Condition Look up'!$A$3:$A$135,0),MATCH(J37,'G-8 Condition Look up'!$A$3:$H$3,0)),"")</f>
        <v/>
      </c>
      <c r="L37" s="54"/>
      <c r="M37" s="370" t="str">
        <f>IF(L37="","",IF(VLOOKUP(L37,'G-3 Multipliers'!$L$3:$N$6,2,FALSE)=0,"Spatial Data Missing",VLOOKUP(L37,'G-3 Multipliers'!$L$3:$N$6,2,FALSE)))</f>
        <v/>
      </c>
      <c r="N37" s="368" t="str">
        <f>IF(L37="","",IF(VLOOKUP(L37,'G-3 Multipliers'!$L$3:$N$6,3,FALSE)=0,"Spatial Data Missing",VLOOKUP(L37,'G-3 Multipliers'!$L$3:$N$6,3,FALSE)))</f>
        <v/>
      </c>
      <c r="O37" s="362" t="str">
        <f t="shared" si="1"/>
        <v/>
      </c>
      <c r="P37" s="63"/>
      <c r="Q37" s="63"/>
      <c r="R37" s="370" t="str">
        <f t="shared" si="2"/>
        <v/>
      </c>
      <c r="S37" s="383" t="str">
        <f t="shared" si="3"/>
        <v/>
      </c>
      <c r="T37" s="384" t="str">
        <f>IFERROR(IF(S37="Check Data ⚠","Check Data ⚠",VLOOKUP(S37,'G-4 Temporal multipliers'!$A$4:$C$37,3,FALSE)),"")</f>
        <v/>
      </c>
      <c r="U37" s="385" t="str">
        <f>IF(F37="","",VLOOKUP(F37,'G-3 Multipliers'!$A$2:$E$134,2,FALSE))</f>
        <v/>
      </c>
      <c r="V37" s="382" t="str">
        <f t="shared" si="5"/>
        <v/>
      </c>
      <c r="W37" s="382" t="str">
        <f>IF(E37="","",IF(AND(V37="Standard difficulty applied",O37&gt;P37),U37,IF(AND(V37="Low Difficulty - only applicable if all habitat created before losses",P37&gt;=O37),"Low",VLOOKUP(F37,'G-3 Multipliers'!$A$2:$E$134,4,FALSE))))</f>
        <v/>
      </c>
      <c r="X37" s="386" t="str">
        <f>IFERROR(IF(E37="","",VLOOKUP(W37, 'G-3 Multipliers'!$P$2:$Q$6,2,FALSE)),"")</f>
        <v/>
      </c>
      <c r="Y37" s="390" t="str">
        <f t="shared" si="4"/>
        <v/>
      </c>
      <c r="Z37" s="194"/>
      <c r="AA37" s="195"/>
      <c r="AB37" s="120"/>
      <c r="AE37" s="40" t="str">
        <f t="shared" si="0"/>
        <v/>
      </c>
    </row>
    <row r="38" spans="1:31">
      <c r="A38" s="35" t="str">
        <f>IFERROR(INDEX('G-8 Condition Look up'!$I$4:$I$135,MATCH(F38,'G-8 Condition Look up'!$A$4:$A$135,0)),"")</f>
        <v/>
      </c>
      <c r="C38" s="299" t="str">
        <f>IFERROR(INDEX('G-1 All Habitats'!$AG$3:$AG$17,MATCH(D38,'G-1 All Habitats'!$AF$3:$AF$17,0)),"")</f>
        <v/>
      </c>
      <c r="D38" s="54"/>
      <c r="E38" s="61"/>
      <c r="F38" s="296" t="str">
        <f>IFERROR(INDEX('G-1 All Habitats'!$B$3:$B$134,MATCH(E38,'G-1 All Habitats'!$A$3:$A$134,0)),"")</f>
        <v/>
      </c>
      <c r="G38" s="53"/>
      <c r="H38" s="362" t="str">
        <f>IF(F38="","",VLOOKUP(F38,'G-1 All Habitats'!$B$2:$M$134,10,FALSE))</f>
        <v/>
      </c>
      <c r="I38" s="363" t="str">
        <f>IFERROR(VLOOKUP(H38,'G-1 All Habitats'!$V$3:$W$7,2,FALSE),"")</f>
        <v/>
      </c>
      <c r="J38" s="54"/>
      <c r="K38" s="363" t="str">
        <f>IFERROR(INDEX('G-8 Condition Look up'!$A$3:$H$135,MATCH(F38,'G-8 Condition Look up'!$A$3:$A$135,0),MATCH(J38,'G-8 Condition Look up'!$A$3:$H$3,0)),"")</f>
        <v/>
      </c>
      <c r="L38" s="54"/>
      <c r="M38" s="370" t="str">
        <f>IF(L38="","",IF(VLOOKUP(L38,'G-3 Multipliers'!$L$3:$N$6,2,FALSE)=0,"Spatial Data Missing",VLOOKUP(L38,'G-3 Multipliers'!$L$3:$N$6,2,FALSE)))</f>
        <v/>
      </c>
      <c r="N38" s="368" t="str">
        <f>IF(L38="","",IF(VLOOKUP(L38,'G-3 Multipliers'!$L$3:$N$6,3,FALSE)=0,"Spatial Data Missing",VLOOKUP(L38,'G-3 Multipliers'!$L$3:$N$6,3,FALSE)))</f>
        <v/>
      </c>
      <c r="O38" s="362" t="str">
        <f t="shared" si="1"/>
        <v/>
      </c>
      <c r="P38" s="63"/>
      <c r="Q38" s="63"/>
      <c r="R38" s="370" t="str">
        <f t="shared" si="2"/>
        <v/>
      </c>
      <c r="S38" s="383" t="str">
        <f t="shared" si="3"/>
        <v/>
      </c>
      <c r="T38" s="384" t="str">
        <f>IFERROR(IF(S38="Check Data ⚠","Check Data ⚠",VLOOKUP(S38,'G-4 Temporal multipliers'!$A$4:$C$37,3,FALSE)),"")</f>
        <v/>
      </c>
      <c r="U38" s="385" t="str">
        <f>IF(F38="","",VLOOKUP(F38,'G-3 Multipliers'!$A$2:$E$134,2,FALSE))</f>
        <v/>
      </c>
      <c r="V38" s="382" t="str">
        <f t="shared" si="5"/>
        <v/>
      </c>
      <c r="W38" s="382" t="str">
        <f>IF(E38="","",IF(AND(V38="Standard difficulty applied",O38&gt;P38),U38,IF(AND(V38="Low Difficulty - only applicable if all habitat created before losses",P38&gt;=O38),"Low",VLOOKUP(F38,'G-3 Multipliers'!$A$2:$E$134,4,FALSE))))</f>
        <v/>
      </c>
      <c r="X38" s="386" t="str">
        <f>IFERROR(IF(E38="","",VLOOKUP(W38, 'G-3 Multipliers'!$P$2:$Q$6,2,FALSE)),"")</f>
        <v/>
      </c>
      <c r="Y38" s="390" t="str">
        <f t="shared" si="4"/>
        <v/>
      </c>
      <c r="Z38" s="194"/>
      <c r="AA38" s="195"/>
      <c r="AB38" s="120"/>
      <c r="AE38" s="40" t="str">
        <f t="shared" si="0"/>
        <v/>
      </c>
    </row>
    <row r="39" spans="1:31">
      <c r="A39" s="35" t="str">
        <f>IFERROR(INDEX('G-8 Condition Look up'!$I$4:$I$135,MATCH(F39,'G-8 Condition Look up'!$A$4:$A$135,0)),"")</f>
        <v/>
      </c>
      <c r="C39" s="299" t="str">
        <f>IFERROR(INDEX('G-1 All Habitats'!$AG$3:$AG$17,MATCH(D39,'G-1 All Habitats'!$AF$3:$AF$17,0)),"")</f>
        <v/>
      </c>
      <c r="D39" s="54"/>
      <c r="E39" s="61"/>
      <c r="F39" s="296" t="str">
        <f>IFERROR(INDEX('G-1 All Habitats'!$B$3:$B$134,MATCH(E39,'G-1 All Habitats'!$A$3:$A$134,0)),"")</f>
        <v/>
      </c>
      <c r="G39" s="53"/>
      <c r="H39" s="362" t="str">
        <f>IF(F39="","",VLOOKUP(F39,'G-1 All Habitats'!$B$2:$M$134,10,FALSE))</f>
        <v/>
      </c>
      <c r="I39" s="363" t="str">
        <f>IFERROR(VLOOKUP(H39,'G-1 All Habitats'!$V$3:$W$7,2,FALSE),"")</f>
        <v/>
      </c>
      <c r="J39" s="54"/>
      <c r="K39" s="363" t="str">
        <f>IFERROR(INDEX('G-8 Condition Look up'!$A$3:$H$135,MATCH(F39,'G-8 Condition Look up'!$A$3:$A$135,0),MATCH(J39,'G-8 Condition Look up'!$A$3:$H$3,0)),"")</f>
        <v/>
      </c>
      <c r="L39" s="54"/>
      <c r="M39" s="370" t="str">
        <f>IF(L39="","",IF(VLOOKUP(L39,'G-3 Multipliers'!$L$3:$N$6,2,FALSE)=0,"Spatial Data Missing",VLOOKUP(L39,'G-3 Multipliers'!$L$3:$N$6,2,FALSE)))</f>
        <v/>
      </c>
      <c r="N39" s="368" t="str">
        <f>IF(L39="","",IF(VLOOKUP(L39,'G-3 Multipliers'!$L$3:$N$6,3,FALSE)=0,"Spatial Data Missing",VLOOKUP(L39,'G-3 Multipliers'!$L$3:$N$6,3,FALSE)))</f>
        <v/>
      </c>
      <c r="O39" s="362" t="str">
        <f t="shared" si="1"/>
        <v/>
      </c>
      <c r="P39" s="63"/>
      <c r="Q39" s="63"/>
      <c r="R39" s="370" t="str">
        <f t="shared" si="2"/>
        <v/>
      </c>
      <c r="S39" s="383" t="str">
        <f t="shared" si="3"/>
        <v/>
      </c>
      <c r="T39" s="384" t="str">
        <f>IFERROR(IF(S39="Check Data ⚠","Check Data ⚠",VLOOKUP(S39,'G-4 Temporal multipliers'!$A$4:$C$37,3,FALSE)),"")</f>
        <v/>
      </c>
      <c r="U39" s="385" t="str">
        <f>IF(F39="","",VLOOKUP(F39,'G-3 Multipliers'!$A$2:$E$134,2,FALSE))</f>
        <v/>
      </c>
      <c r="V39" s="382" t="str">
        <f t="shared" si="5"/>
        <v/>
      </c>
      <c r="W39" s="382" t="str">
        <f>IF(E39="","",IF(AND(V39="Standard difficulty applied",O39&gt;P39),U39,IF(AND(V39="Low Difficulty - only applicable if all habitat created before losses",P39&gt;=O39),"Low",VLOOKUP(F39,'G-3 Multipliers'!$A$2:$E$134,4,FALSE))))</f>
        <v/>
      </c>
      <c r="X39" s="386" t="str">
        <f>IFERROR(IF(E39="","",VLOOKUP(W39, 'G-3 Multipliers'!$P$2:$Q$6,2,FALSE)),"")</f>
        <v/>
      </c>
      <c r="Y39" s="390" t="str">
        <f t="shared" si="4"/>
        <v/>
      </c>
      <c r="Z39" s="194"/>
      <c r="AA39" s="195"/>
      <c r="AB39" s="120"/>
      <c r="AE39" s="40" t="str">
        <f t="shared" si="0"/>
        <v/>
      </c>
    </row>
    <row r="40" spans="1:31">
      <c r="A40" s="35" t="str">
        <f>IFERROR(INDEX('G-8 Condition Look up'!$I$4:$I$135,MATCH(F40,'G-8 Condition Look up'!$A$4:$A$135,0)),"")</f>
        <v/>
      </c>
      <c r="C40" s="299" t="str">
        <f>IFERROR(INDEX('G-1 All Habitats'!$AG$3:$AG$17,MATCH(D40,'G-1 All Habitats'!$AF$3:$AF$17,0)),"")</f>
        <v/>
      </c>
      <c r="D40" s="54"/>
      <c r="E40" s="61"/>
      <c r="F40" s="296" t="str">
        <f>IFERROR(INDEX('G-1 All Habitats'!$B$3:$B$134,MATCH(E40,'G-1 All Habitats'!$A$3:$A$134,0)),"")</f>
        <v/>
      </c>
      <c r="G40" s="53"/>
      <c r="H40" s="362" t="str">
        <f>IF(F40="","",VLOOKUP(F40,'G-1 All Habitats'!$B$2:$M$134,10,FALSE))</f>
        <v/>
      </c>
      <c r="I40" s="363" t="str">
        <f>IFERROR(VLOOKUP(H40,'G-1 All Habitats'!$V$3:$W$7,2,FALSE),"")</f>
        <v/>
      </c>
      <c r="J40" s="54"/>
      <c r="K40" s="363" t="str">
        <f>IFERROR(INDEX('G-8 Condition Look up'!$A$3:$H$135,MATCH(F40,'G-8 Condition Look up'!$A$3:$A$135,0),MATCH(J40,'G-8 Condition Look up'!$A$3:$H$3,0)),"")</f>
        <v/>
      </c>
      <c r="L40" s="54"/>
      <c r="M40" s="370" t="str">
        <f>IF(L40="","",IF(VLOOKUP(L40,'G-3 Multipliers'!$L$3:$N$6,2,FALSE)=0,"Spatial Data Missing",VLOOKUP(L40,'G-3 Multipliers'!$L$3:$N$6,2,FALSE)))</f>
        <v/>
      </c>
      <c r="N40" s="368" t="str">
        <f>IF(L40="","",IF(VLOOKUP(L40,'G-3 Multipliers'!$L$3:$N$6,3,FALSE)=0,"Spatial Data Missing",VLOOKUP(L40,'G-3 Multipliers'!$L$3:$N$6,3,FALSE)))</f>
        <v/>
      </c>
      <c r="O40" s="362" t="str">
        <f t="shared" si="1"/>
        <v/>
      </c>
      <c r="P40" s="63"/>
      <c r="Q40" s="63"/>
      <c r="R40" s="370" t="str">
        <f t="shared" si="2"/>
        <v/>
      </c>
      <c r="S40" s="383" t="str">
        <f t="shared" si="3"/>
        <v/>
      </c>
      <c r="T40" s="384" t="str">
        <f>IFERROR(IF(S40="Check Data ⚠","Check Data ⚠",VLOOKUP(S40,'G-4 Temporal multipliers'!$A$4:$C$37,3,FALSE)),"")</f>
        <v/>
      </c>
      <c r="U40" s="385" t="str">
        <f>IF(F40="","",VLOOKUP(F40,'G-3 Multipliers'!$A$2:$E$134,2,FALSE))</f>
        <v/>
      </c>
      <c r="V40" s="382" t="str">
        <f t="shared" si="5"/>
        <v/>
      </c>
      <c r="W40" s="382" t="str">
        <f>IF(E40="","",IF(AND(V40="Standard difficulty applied",O40&gt;P40),U40,IF(AND(V40="Low Difficulty - only applicable if all habitat created before losses",P40&gt;=O40),"Low",VLOOKUP(F40,'G-3 Multipliers'!$A$2:$E$134,4,FALSE))))</f>
        <v/>
      </c>
      <c r="X40" s="386" t="str">
        <f>IFERROR(IF(E40="","",VLOOKUP(W40, 'G-3 Multipliers'!$P$2:$Q$6,2,FALSE)),"")</f>
        <v/>
      </c>
      <c r="Y40" s="390" t="str">
        <f t="shared" si="4"/>
        <v/>
      </c>
      <c r="Z40" s="194"/>
      <c r="AA40" s="195"/>
      <c r="AB40" s="120"/>
      <c r="AE40" s="40" t="str">
        <f t="shared" si="0"/>
        <v/>
      </c>
    </row>
    <row r="41" spans="1:31">
      <c r="A41" s="35" t="str">
        <f>IFERROR(INDEX('G-8 Condition Look up'!$I$4:$I$135,MATCH(F41,'G-8 Condition Look up'!$A$4:$A$135,0)),"")</f>
        <v/>
      </c>
      <c r="C41" s="299" t="str">
        <f>IFERROR(INDEX('G-1 All Habitats'!$AG$3:$AG$17,MATCH(D41,'G-1 All Habitats'!$AF$3:$AF$17,0)),"")</f>
        <v/>
      </c>
      <c r="D41" s="54"/>
      <c r="E41" s="61"/>
      <c r="F41" s="296" t="str">
        <f>IFERROR(INDEX('G-1 All Habitats'!$B$3:$B$134,MATCH(E41,'G-1 All Habitats'!$A$3:$A$134,0)),"")</f>
        <v/>
      </c>
      <c r="G41" s="53"/>
      <c r="H41" s="362" t="str">
        <f>IF(F41="","",VLOOKUP(F41,'G-1 All Habitats'!$B$2:$M$134,10,FALSE))</f>
        <v/>
      </c>
      <c r="I41" s="363" t="str">
        <f>IFERROR(VLOOKUP(H41,'G-1 All Habitats'!$V$3:$W$7,2,FALSE),"")</f>
        <v/>
      </c>
      <c r="J41" s="54"/>
      <c r="K41" s="363" t="str">
        <f>IFERROR(INDEX('G-8 Condition Look up'!$A$3:$H$135,MATCH(F41,'G-8 Condition Look up'!$A$3:$A$135,0),MATCH(J41,'G-8 Condition Look up'!$A$3:$H$3,0)),"")</f>
        <v/>
      </c>
      <c r="L41" s="54"/>
      <c r="M41" s="370" t="str">
        <f>IF(L41="","",IF(VLOOKUP(L41,'G-3 Multipliers'!$L$3:$N$6,2,FALSE)=0,"Spatial Data Missing",VLOOKUP(L41,'G-3 Multipliers'!$L$3:$N$6,2,FALSE)))</f>
        <v/>
      </c>
      <c r="N41" s="368" t="str">
        <f>IF(L41="","",IF(VLOOKUP(L41,'G-3 Multipliers'!$L$3:$N$6,3,FALSE)=0,"Spatial Data Missing",VLOOKUP(L41,'G-3 Multipliers'!$L$3:$N$6,3,FALSE)))</f>
        <v/>
      </c>
      <c r="O41" s="362" t="str">
        <f t="shared" si="1"/>
        <v/>
      </c>
      <c r="P41" s="63"/>
      <c r="Q41" s="63"/>
      <c r="R41" s="370" t="str">
        <f t="shared" si="2"/>
        <v/>
      </c>
      <c r="S41" s="383" t="str">
        <f t="shared" si="3"/>
        <v/>
      </c>
      <c r="T41" s="384" t="str">
        <f>IFERROR(IF(S41="Check Data ⚠","Check Data ⚠",VLOOKUP(S41,'G-4 Temporal multipliers'!$A$4:$C$37,3,FALSE)),"")</f>
        <v/>
      </c>
      <c r="U41" s="385" t="str">
        <f>IF(F41="","",VLOOKUP(F41,'G-3 Multipliers'!$A$2:$E$134,2,FALSE))</f>
        <v/>
      </c>
      <c r="V41" s="382" t="str">
        <f t="shared" si="5"/>
        <v/>
      </c>
      <c r="W41" s="382" t="str">
        <f>IF(E41="","",IF(AND(V41="Standard difficulty applied",O41&gt;P41),U41,IF(AND(V41="Low Difficulty - only applicable if all habitat created before losses",P41&gt;=O41),"Low",VLOOKUP(F41,'G-3 Multipliers'!$A$2:$E$134,4,FALSE))))</f>
        <v/>
      </c>
      <c r="X41" s="386" t="str">
        <f>IFERROR(IF(E41="","",VLOOKUP(W41, 'G-3 Multipliers'!$P$2:$Q$6,2,FALSE)),"")</f>
        <v/>
      </c>
      <c r="Y41" s="390" t="str">
        <f t="shared" si="4"/>
        <v/>
      </c>
      <c r="Z41" s="194"/>
      <c r="AA41" s="195"/>
      <c r="AB41" s="120"/>
      <c r="AE41" s="40" t="str">
        <f t="shared" si="0"/>
        <v/>
      </c>
    </row>
    <row r="42" spans="1:31">
      <c r="A42" s="35" t="str">
        <f>IFERROR(INDEX('G-8 Condition Look up'!$I$4:$I$135,MATCH(F42,'G-8 Condition Look up'!$A$4:$A$135,0)),"")</f>
        <v/>
      </c>
      <c r="C42" s="299" t="str">
        <f>IFERROR(INDEX('G-1 All Habitats'!$AG$3:$AG$17,MATCH(D42,'G-1 All Habitats'!$AF$3:$AF$17,0)),"")</f>
        <v/>
      </c>
      <c r="D42" s="54"/>
      <c r="E42" s="61"/>
      <c r="F42" s="296" t="str">
        <f>IFERROR(INDEX('G-1 All Habitats'!$B$3:$B$134,MATCH(E42,'G-1 All Habitats'!$A$3:$A$134,0)),"")</f>
        <v/>
      </c>
      <c r="G42" s="53"/>
      <c r="H42" s="362" t="str">
        <f>IF(F42="","",VLOOKUP(F42,'G-1 All Habitats'!$B$2:$M$134,10,FALSE))</f>
        <v/>
      </c>
      <c r="I42" s="363" t="str">
        <f>IFERROR(VLOOKUP(H42,'G-1 All Habitats'!$V$3:$W$7,2,FALSE),"")</f>
        <v/>
      </c>
      <c r="J42" s="54"/>
      <c r="K42" s="363" t="str">
        <f>IFERROR(INDEX('G-8 Condition Look up'!$A$3:$H$135,MATCH(F42,'G-8 Condition Look up'!$A$3:$A$135,0),MATCH(J42,'G-8 Condition Look up'!$A$3:$H$3,0)),"")</f>
        <v/>
      </c>
      <c r="L42" s="54"/>
      <c r="M42" s="370" t="str">
        <f>IF(L42="","",IF(VLOOKUP(L42,'G-3 Multipliers'!$L$3:$N$6,2,FALSE)=0,"Spatial Data Missing",VLOOKUP(L42,'G-3 Multipliers'!$L$3:$N$6,2,FALSE)))</f>
        <v/>
      </c>
      <c r="N42" s="368" t="str">
        <f>IF(L42="","",IF(VLOOKUP(L42,'G-3 Multipliers'!$L$3:$N$6,3,FALSE)=0,"Spatial Data Missing",VLOOKUP(L42,'G-3 Multipliers'!$L$3:$N$6,3,FALSE)))</f>
        <v/>
      </c>
      <c r="O42" s="362" t="str">
        <f t="shared" si="1"/>
        <v/>
      </c>
      <c r="P42" s="63"/>
      <c r="Q42" s="63"/>
      <c r="R42" s="370" t="str">
        <f t="shared" si="2"/>
        <v/>
      </c>
      <c r="S42" s="383" t="str">
        <f t="shared" si="3"/>
        <v/>
      </c>
      <c r="T42" s="384" t="str">
        <f>IFERROR(IF(S42="Check Data ⚠","Check Data ⚠",VLOOKUP(S42,'G-4 Temporal multipliers'!$A$4:$C$37,3,FALSE)),"")</f>
        <v/>
      </c>
      <c r="U42" s="385" t="str">
        <f>IF(F42="","",VLOOKUP(F42,'G-3 Multipliers'!$A$2:$E$134,2,FALSE))</f>
        <v/>
      </c>
      <c r="V42" s="382" t="str">
        <f t="shared" si="5"/>
        <v/>
      </c>
      <c r="W42" s="382" t="str">
        <f>IF(E42="","",IF(AND(V42="Standard difficulty applied",O42&gt;P42),U42,IF(AND(V42="Low Difficulty - only applicable if all habitat created before losses",P42&gt;=O42),"Low",VLOOKUP(F42,'G-3 Multipliers'!$A$2:$E$134,4,FALSE))))</f>
        <v/>
      </c>
      <c r="X42" s="386" t="str">
        <f>IFERROR(IF(E42="","",VLOOKUP(W42, 'G-3 Multipliers'!$P$2:$Q$6,2,FALSE)),"")</f>
        <v/>
      </c>
      <c r="Y42" s="390" t="str">
        <f t="shared" si="4"/>
        <v/>
      </c>
      <c r="Z42" s="194"/>
      <c r="AA42" s="195"/>
      <c r="AB42" s="120"/>
      <c r="AE42" s="40" t="str">
        <f t="shared" si="0"/>
        <v/>
      </c>
    </row>
    <row r="43" spans="1:31">
      <c r="A43" s="35" t="str">
        <f>IFERROR(INDEX('G-8 Condition Look up'!$I$4:$I$135,MATCH(F43,'G-8 Condition Look up'!$A$4:$A$135,0)),"")</f>
        <v/>
      </c>
      <c r="C43" s="299" t="str">
        <f>IFERROR(INDEX('G-1 All Habitats'!$AG$3:$AG$17,MATCH(D43,'G-1 All Habitats'!$AF$3:$AF$17,0)),"")</f>
        <v/>
      </c>
      <c r="D43" s="54"/>
      <c r="E43" s="61"/>
      <c r="F43" s="296" t="str">
        <f>IFERROR(INDEX('G-1 All Habitats'!$B$3:$B$134,MATCH(E43,'G-1 All Habitats'!$A$3:$A$134,0)),"")</f>
        <v/>
      </c>
      <c r="G43" s="53"/>
      <c r="H43" s="362" t="str">
        <f>IF(F43="","",VLOOKUP(F43,'G-1 All Habitats'!$B$2:$M$134,10,FALSE))</f>
        <v/>
      </c>
      <c r="I43" s="363" t="str">
        <f>IFERROR(VLOOKUP(H43,'G-1 All Habitats'!$V$3:$W$7,2,FALSE),"")</f>
        <v/>
      </c>
      <c r="J43" s="54"/>
      <c r="K43" s="363" t="str">
        <f>IFERROR(INDEX('G-8 Condition Look up'!$A$3:$H$135,MATCH(F43,'G-8 Condition Look up'!$A$3:$A$135,0),MATCH(J43,'G-8 Condition Look up'!$A$3:$H$3,0)),"")</f>
        <v/>
      </c>
      <c r="L43" s="54"/>
      <c r="M43" s="370" t="str">
        <f>IF(L43="","",IF(VLOOKUP(L43,'G-3 Multipliers'!$L$3:$N$6,2,FALSE)=0,"Spatial Data Missing",VLOOKUP(L43,'G-3 Multipliers'!$L$3:$N$6,2,FALSE)))</f>
        <v/>
      </c>
      <c r="N43" s="368" t="str">
        <f>IF(L43="","",IF(VLOOKUP(L43,'G-3 Multipliers'!$L$3:$N$6,3,FALSE)=0,"Spatial Data Missing",VLOOKUP(L43,'G-3 Multipliers'!$L$3:$N$6,3,FALSE)))</f>
        <v/>
      </c>
      <c r="O43" s="362" t="str">
        <f t="shared" si="1"/>
        <v/>
      </c>
      <c r="P43" s="63"/>
      <c r="Q43" s="63"/>
      <c r="R43" s="370" t="str">
        <f t="shared" si="2"/>
        <v/>
      </c>
      <c r="S43" s="383" t="str">
        <f t="shared" si="3"/>
        <v/>
      </c>
      <c r="T43" s="384" t="str">
        <f>IFERROR(IF(S43="Check Data ⚠","Check Data ⚠",VLOOKUP(S43,'G-4 Temporal multipliers'!$A$4:$C$37,3,FALSE)),"")</f>
        <v/>
      </c>
      <c r="U43" s="385" t="str">
        <f>IF(F43="","",VLOOKUP(F43,'G-3 Multipliers'!$A$2:$E$134,2,FALSE))</f>
        <v/>
      </c>
      <c r="V43" s="382" t="str">
        <f t="shared" si="5"/>
        <v/>
      </c>
      <c r="W43" s="382" t="str">
        <f>IF(E43="","",IF(AND(V43="Standard difficulty applied",O43&gt;P43),U43,IF(AND(V43="Low Difficulty - only applicable if all habitat created before losses",P43&gt;=O43),"Low",VLOOKUP(F43,'G-3 Multipliers'!$A$2:$E$134,4,FALSE))))</f>
        <v/>
      </c>
      <c r="X43" s="386" t="str">
        <f>IFERROR(IF(E43="","",VLOOKUP(W43, 'G-3 Multipliers'!$P$2:$Q$6,2,FALSE)),"")</f>
        <v/>
      </c>
      <c r="Y43" s="390" t="str">
        <f t="shared" si="4"/>
        <v/>
      </c>
      <c r="Z43" s="194"/>
      <c r="AA43" s="195"/>
      <c r="AB43" s="120"/>
      <c r="AE43" s="40" t="str">
        <f t="shared" si="0"/>
        <v/>
      </c>
    </row>
    <row r="44" spans="1:31">
      <c r="A44" s="35" t="str">
        <f>IFERROR(INDEX('G-8 Condition Look up'!$I$4:$I$135,MATCH(F44,'G-8 Condition Look up'!$A$4:$A$135,0)),"")</f>
        <v/>
      </c>
      <c r="C44" s="299" t="str">
        <f>IFERROR(INDEX('G-1 All Habitats'!$AG$3:$AG$17,MATCH(D44,'G-1 All Habitats'!$AF$3:$AF$17,0)),"")</f>
        <v/>
      </c>
      <c r="D44" s="54"/>
      <c r="E44" s="61"/>
      <c r="F44" s="296" t="str">
        <f>IFERROR(INDEX('G-1 All Habitats'!$B$3:$B$134,MATCH(E44,'G-1 All Habitats'!$A$3:$A$134,0)),"")</f>
        <v/>
      </c>
      <c r="G44" s="53"/>
      <c r="H44" s="362" t="str">
        <f>IF(F44="","",VLOOKUP(F44,'G-1 All Habitats'!$B$2:$M$134,10,FALSE))</f>
        <v/>
      </c>
      <c r="I44" s="363" t="str">
        <f>IFERROR(VLOOKUP(H44,'G-1 All Habitats'!$V$3:$W$7,2,FALSE),"")</f>
        <v/>
      </c>
      <c r="J44" s="54"/>
      <c r="K44" s="363" t="str">
        <f>IFERROR(INDEX('G-8 Condition Look up'!$A$3:$H$135,MATCH(F44,'G-8 Condition Look up'!$A$3:$A$135,0),MATCH(J44,'G-8 Condition Look up'!$A$3:$H$3,0)),"")</f>
        <v/>
      </c>
      <c r="L44" s="54"/>
      <c r="M44" s="370" t="str">
        <f>IF(L44="","",IF(VLOOKUP(L44,'G-3 Multipliers'!$L$3:$N$6,2,FALSE)=0,"Spatial Data Missing",VLOOKUP(L44,'G-3 Multipliers'!$L$3:$N$6,2,FALSE)))</f>
        <v/>
      </c>
      <c r="N44" s="368" t="str">
        <f>IF(L44="","",IF(VLOOKUP(L44,'G-3 Multipliers'!$L$3:$N$6,3,FALSE)=0,"Spatial Data Missing",VLOOKUP(L44,'G-3 Multipliers'!$L$3:$N$6,3,FALSE)))</f>
        <v/>
      </c>
      <c r="O44" s="362" t="str">
        <f t="shared" si="1"/>
        <v/>
      </c>
      <c r="P44" s="63"/>
      <c r="Q44" s="63"/>
      <c r="R44" s="370" t="str">
        <f t="shared" si="2"/>
        <v/>
      </c>
      <c r="S44" s="383" t="str">
        <f t="shared" si="3"/>
        <v/>
      </c>
      <c r="T44" s="384" t="str">
        <f>IFERROR(IF(S44="Check Data ⚠","Check Data ⚠",VLOOKUP(S44,'G-4 Temporal multipliers'!$A$4:$C$37,3,FALSE)),"")</f>
        <v/>
      </c>
      <c r="U44" s="385" t="str">
        <f>IF(F44="","",VLOOKUP(F44,'G-3 Multipliers'!$A$2:$E$134,2,FALSE))</f>
        <v/>
      </c>
      <c r="V44" s="382" t="str">
        <f t="shared" si="5"/>
        <v/>
      </c>
      <c r="W44" s="382" t="str">
        <f>IF(E44="","",IF(AND(V44="Standard difficulty applied",O44&gt;P44),U44,IF(AND(V44="Low Difficulty - only applicable if all habitat created before losses",P44&gt;=O44),"Low",VLOOKUP(F44,'G-3 Multipliers'!$A$2:$E$134,4,FALSE))))</f>
        <v/>
      </c>
      <c r="X44" s="386" t="str">
        <f>IFERROR(IF(E44="","",VLOOKUP(W44, 'G-3 Multipliers'!$P$2:$Q$6,2,FALSE)),"")</f>
        <v/>
      </c>
      <c r="Y44" s="390" t="str">
        <f t="shared" si="4"/>
        <v/>
      </c>
      <c r="Z44" s="194"/>
      <c r="AA44" s="195"/>
      <c r="AB44" s="120"/>
      <c r="AE44" s="40" t="str">
        <f t="shared" si="0"/>
        <v/>
      </c>
    </row>
    <row r="45" spans="1:31">
      <c r="A45" s="35" t="str">
        <f>IFERROR(INDEX('G-8 Condition Look up'!$I$4:$I$135,MATCH(F45,'G-8 Condition Look up'!$A$4:$A$135,0)),"")</f>
        <v/>
      </c>
      <c r="C45" s="299" t="str">
        <f>IFERROR(INDEX('G-1 All Habitats'!$AG$3:$AG$17,MATCH(D45,'G-1 All Habitats'!$AF$3:$AF$17,0)),"")</f>
        <v/>
      </c>
      <c r="D45" s="54"/>
      <c r="E45" s="61"/>
      <c r="F45" s="296" t="str">
        <f>IFERROR(INDEX('G-1 All Habitats'!$B$3:$B$134,MATCH(E45,'G-1 All Habitats'!$A$3:$A$134,0)),"")</f>
        <v/>
      </c>
      <c r="G45" s="53"/>
      <c r="H45" s="362" t="str">
        <f>IF(F45="","",VLOOKUP(F45,'G-1 All Habitats'!$B$2:$M$134,10,FALSE))</f>
        <v/>
      </c>
      <c r="I45" s="363" t="str">
        <f>IFERROR(VLOOKUP(H45,'G-1 All Habitats'!$V$3:$W$7,2,FALSE),"")</f>
        <v/>
      </c>
      <c r="J45" s="54"/>
      <c r="K45" s="363" t="str">
        <f>IFERROR(INDEX('G-8 Condition Look up'!$A$3:$H$135,MATCH(F45,'G-8 Condition Look up'!$A$3:$A$135,0),MATCH(J45,'G-8 Condition Look up'!$A$3:$H$3,0)),"")</f>
        <v/>
      </c>
      <c r="L45" s="54"/>
      <c r="M45" s="370" t="str">
        <f>IF(L45="","",IF(VLOOKUP(L45,'G-3 Multipliers'!$L$3:$N$6,2,FALSE)=0,"Spatial Data Missing",VLOOKUP(L45,'G-3 Multipliers'!$L$3:$N$6,2,FALSE)))</f>
        <v/>
      </c>
      <c r="N45" s="368" t="str">
        <f>IF(L45="","",IF(VLOOKUP(L45,'G-3 Multipliers'!$L$3:$N$6,3,FALSE)=0,"Spatial Data Missing",VLOOKUP(L45,'G-3 Multipliers'!$L$3:$N$6,3,FALSE)))</f>
        <v/>
      </c>
      <c r="O45" s="362" t="str">
        <f t="shared" si="1"/>
        <v/>
      </c>
      <c r="P45" s="63"/>
      <c r="Q45" s="63"/>
      <c r="R45" s="370" t="str">
        <f t="shared" si="2"/>
        <v/>
      </c>
      <c r="S45" s="383" t="str">
        <f t="shared" si="3"/>
        <v/>
      </c>
      <c r="T45" s="384" t="str">
        <f>IFERROR(IF(S45="Check Data ⚠","Check Data ⚠",VLOOKUP(S45,'G-4 Temporal multipliers'!$A$4:$C$37,3,FALSE)),"")</f>
        <v/>
      </c>
      <c r="U45" s="385" t="str">
        <f>IF(F45="","",VLOOKUP(F45,'G-3 Multipliers'!$A$2:$E$134,2,FALSE))</f>
        <v/>
      </c>
      <c r="V45" s="382" t="str">
        <f t="shared" si="5"/>
        <v/>
      </c>
      <c r="W45" s="382" t="str">
        <f>IF(E45="","",IF(AND(V45="Standard difficulty applied",O45&gt;P45),U45,IF(AND(V45="Low Difficulty - only applicable if all habitat created before losses",P45&gt;=O45),"Low",VLOOKUP(F45,'G-3 Multipliers'!$A$2:$E$134,4,FALSE))))</f>
        <v/>
      </c>
      <c r="X45" s="386" t="str">
        <f>IFERROR(IF(E45="","",VLOOKUP(W45, 'G-3 Multipliers'!$P$2:$Q$6,2,FALSE)),"")</f>
        <v/>
      </c>
      <c r="Y45" s="390" t="str">
        <f t="shared" si="4"/>
        <v/>
      </c>
      <c r="Z45" s="194"/>
      <c r="AA45" s="195"/>
      <c r="AB45" s="120"/>
      <c r="AE45" s="40" t="str">
        <f t="shared" si="0"/>
        <v/>
      </c>
    </row>
    <row r="46" spans="1:31">
      <c r="A46" s="35" t="str">
        <f>IFERROR(INDEX('G-8 Condition Look up'!$I$4:$I$135,MATCH(F46,'G-8 Condition Look up'!$A$4:$A$135,0)),"")</f>
        <v/>
      </c>
      <c r="C46" s="299" t="str">
        <f>IFERROR(INDEX('G-1 All Habitats'!$AG$3:$AG$17,MATCH(D46,'G-1 All Habitats'!$AF$3:$AF$17,0)),"")</f>
        <v/>
      </c>
      <c r="D46" s="54"/>
      <c r="E46" s="61"/>
      <c r="F46" s="296" t="str">
        <f>IFERROR(INDEX('G-1 All Habitats'!$B$3:$B$134,MATCH(E46,'G-1 All Habitats'!$A$3:$A$134,0)),"")</f>
        <v/>
      </c>
      <c r="G46" s="53"/>
      <c r="H46" s="362" t="str">
        <f>IF(F46="","",VLOOKUP(F46,'G-1 All Habitats'!$B$2:$M$134,10,FALSE))</f>
        <v/>
      </c>
      <c r="I46" s="363" t="str">
        <f>IFERROR(VLOOKUP(H46,'G-1 All Habitats'!$V$3:$W$7,2,FALSE),"")</f>
        <v/>
      </c>
      <c r="J46" s="54"/>
      <c r="K46" s="363" t="str">
        <f>IFERROR(INDEX('G-8 Condition Look up'!$A$3:$H$135,MATCH(F46,'G-8 Condition Look up'!$A$3:$A$135,0),MATCH(J46,'G-8 Condition Look up'!$A$3:$H$3,0)),"")</f>
        <v/>
      </c>
      <c r="L46" s="54"/>
      <c r="M46" s="370" t="str">
        <f>IF(L46="","",IF(VLOOKUP(L46,'G-3 Multipliers'!$L$3:$N$6,2,FALSE)=0,"Spatial Data Missing",VLOOKUP(L46,'G-3 Multipliers'!$L$3:$N$6,2,FALSE)))</f>
        <v/>
      </c>
      <c r="N46" s="368" t="str">
        <f>IF(L46="","",IF(VLOOKUP(L46,'G-3 Multipliers'!$L$3:$N$6,3,FALSE)=0,"Spatial Data Missing",VLOOKUP(L46,'G-3 Multipliers'!$L$3:$N$6,3,FALSE)))</f>
        <v/>
      </c>
      <c r="O46" s="362" t="str">
        <f t="shared" si="1"/>
        <v/>
      </c>
      <c r="P46" s="63"/>
      <c r="Q46" s="63"/>
      <c r="R46" s="370" t="str">
        <f t="shared" si="2"/>
        <v/>
      </c>
      <c r="S46" s="383" t="str">
        <f t="shared" si="3"/>
        <v/>
      </c>
      <c r="T46" s="384" t="str">
        <f>IFERROR(IF(S46="Check Data ⚠","Check Data ⚠",VLOOKUP(S46,'G-4 Temporal multipliers'!$A$4:$C$37,3,FALSE)),"")</f>
        <v/>
      </c>
      <c r="U46" s="385" t="str">
        <f>IF(F46="","",VLOOKUP(F46,'G-3 Multipliers'!$A$2:$E$134,2,FALSE))</f>
        <v/>
      </c>
      <c r="V46" s="382" t="str">
        <f t="shared" si="5"/>
        <v/>
      </c>
      <c r="W46" s="382" t="str">
        <f>IF(E46="","",IF(AND(V46="Standard difficulty applied",O46&gt;P46),U46,IF(AND(V46="Low Difficulty - only applicable if all habitat created before losses",P46&gt;=O46),"Low",VLOOKUP(F46,'G-3 Multipliers'!$A$2:$E$134,4,FALSE))))</f>
        <v/>
      </c>
      <c r="X46" s="386" t="str">
        <f>IFERROR(IF(E46="","",VLOOKUP(W46, 'G-3 Multipliers'!$P$2:$Q$6,2,FALSE)),"")</f>
        <v/>
      </c>
      <c r="Y46" s="390" t="str">
        <f t="shared" si="4"/>
        <v/>
      </c>
      <c r="Z46" s="194"/>
      <c r="AA46" s="195"/>
      <c r="AB46" s="120"/>
      <c r="AE46" s="40" t="str">
        <f t="shared" si="0"/>
        <v/>
      </c>
    </row>
    <row r="47" spans="1:31">
      <c r="A47" s="35" t="str">
        <f>IFERROR(INDEX('G-8 Condition Look up'!$I$4:$I$135,MATCH(F47,'G-8 Condition Look up'!$A$4:$A$135,0)),"")</f>
        <v/>
      </c>
      <c r="C47" s="299" t="str">
        <f>IFERROR(INDEX('G-1 All Habitats'!$AG$3:$AG$17,MATCH(D47,'G-1 All Habitats'!$AF$3:$AF$17,0)),"")</f>
        <v/>
      </c>
      <c r="D47" s="54"/>
      <c r="E47" s="61"/>
      <c r="F47" s="296" t="str">
        <f>IFERROR(INDEX('G-1 All Habitats'!$B$3:$B$134,MATCH(E47,'G-1 All Habitats'!$A$3:$A$134,0)),"")</f>
        <v/>
      </c>
      <c r="G47" s="53"/>
      <c r="H47" s="362" t="str">
        <f>IF(F47="","",VLOOKUP(F47,'G-1 All Habitats'!$B$2:$M$134,10,FALSE))</f>
        <v/>
      </c>
      <c r="I47" s="363" t="str">
        <f>IFERROR(VLOOKUP(H47,'G-1 All Habitats'!$V$3:$W$7,2,FALSE),"")</f>
        <v/>
      </c>
      <c r="J47" s="54"/>
      <c r="K47" s="363" t="str">
        <f>IFERROR(INDEX('G-8 Condition Look up'!$A$3:$H$135,MATCH(F47,'G-8 Condition Look up'!$A$3:$A$135,0),MATCH(J47,'G-8 Condition Look up'!$A$3:$H$3,0)),"")</f>
        <v/>
      </c>
      <c r="L47" s="54"/>
      <c r="M47" s="370" t="str">
        <f>IF(L47="","",IF(VLOOKUP(L47,'G-3 Multipliers'!$L$3:$N$6,2,FALSE)=0,"Spatial Data Missing",VLOOKUP(L47,'G-3 Multipliers'!$L$3:$N$6,2,FALSE)))</f>
        <v/>
      </c>
      <c r="N47" s="368" t="str">
        <f>IF(L47="","",IF(VLOOKUP(L47,'G-3 Multipliers'!$L$3:$N$6,3,FALSE)=0,"Spatial Data Missing",VLOOKUP(L47,'G-3 Multipliers'!$L$3:$N$6,3,FALSE)))</f>
        <v/>
      </c>
      <c r="O47" s="362" t="str">
        <f t="shared" si="1"/>
        <v/>
      </c>
      <c r="P47" s="63"/>
      <c r="Q47" s="63"/>
      <c r="R47" s="370" t="str">
        <f t="shared" si="2"/>
        <v/>
      </c>
      <c r="S47" s="383" t="str">
        <f t="shared" si="3"/>
        <v/>
      </c>
      <c r="T47" s="384" t="str">
        <f>IFERROR(IF(S47="Check Data ⚠","Check Data ⚠",VLOOKUP(S47,'G-4 Temporal multipliers'!$A$4:$C$37,3,FALSE)),"")</f>
        <v/>
      </c>
      <c r="U47" s="385" t="str">
        <f>IF(F47="","",VLOOKUP(F47,'G-3 Multipliers'!$A$2:$E$134,2,FALSE))</f>
        <v/>
      </c>
      <c r="V47" s="382" t="str">
        <f t="shared" si="5"/>
        <v/>
      </c>
      <c r="W47" s="382" t="str">
        <f>IF(E47="","",IF(AND(V47="Standard difficulty applied",O47&gt;P47),U47,IF(AND(V47="Low Difficulty - only applicable if all habitat created before losses",P47&gt;=O47),"Low",VLOOKUP(F47,'G-3 Multipliers'!$A$2:$E$134,4,FALSE))))</f>
        <v/>
      </c>
      <c r="X47" s="386" t="str">
        <f>IFERROR(IF(E47="","",VLOOKUP(W47, 'G-3 Multipliers'!$P$2:$Q$6,2,FALSE)),"")</f>
        <v/>
      </c>
      <c r="Y47" s="390" t="str">
        <f t="shared" si="4"/>
        <v/>
      </c>
      <c r="Z47" s="194"/>
      <c r="AA47" s="195"/>
      <c r="AB47" s="120"/>
      <c r="AE47" s="40" t="str">
        <f t="shared" si="0"/>
        <v/>
      </c>
    </row>
    <row r="48" spans="1:31">
      <c r="A48" s="35" t="str">
        <f>IFERROR(INDEX('G-8 Condition Look up'!$I$4:$I$135,MATCH(F48,'G-8 Condition Look up'!$A$4:$A$135,0)),"")</f>
        <v/>
      </c>
      <c r="C48" s="299" t="str">
        <f>IFERROR(INDEX('G-1 All Habitats'!$AG$3:$AG$17,MATCH(D48,'G-1 All Habitats'!$AF$3:$AF$17,0)),"")</f>
        <v/>
      </c>
      <c r="D48" s="54"/>
      <c r="E48" s="61"/>
      <c r="F48" s="296" t="str">
        <f>IFERROR(INDEX('G-1 All Habitats'!$B$3:$B$134,MATCH(E48,'G-1 All Habitats'!$A$3:$A$134,0)),"")</f>
        <v/>
      </c>
      <c r="G48" s="53"/>
      <c r="H48" s="362" t="str">
        <f>IF(F48="","",VLOOKUP(F48,'G-1 All Habitats'!$B$2:$M$134,10,FALSE))</f>
        <v/>
      </c>
      <c r="I48" s="363" t="str">
        <f>IFERROR(VLOOKUP(H48,'G-1 All Habitats'!$V$3:$W$7,2,FALSE),"")</f>
        <v/>
      </c>
      <c r="J48" s="54"/>
      <c r="K48" s="363" t="str">
        <f>IFERROR(INDEX('G-8 Condition Look up'!$A$3:$H$135,MATCH(F48,'G-8 Condition Look up'!$A$3:$A$135,0),MATCH(J48,'G-8 Condition Look up'!$A$3:$H$3,0)),"")</f>
        <v/>
      </c>
      <c r="L48" s="54"/>
      <c r="M48" s="370" t="str">
        <f>IF(L48="","",IF(VLOOKUP(L48,'G-3 Multipliers'!$L$3:$N$6,2,FALSE)=0,"Spatial Data Missing",VLOOKUP(L48,'G-3 Multipliers'!$L$3:$N$6,2,FALSE)))</f>
        <v/>
      </c>
      <c r="N48" s="368" t="str">
        <f>IF(L48="","",IF(VLOOKUP(L48,'G-3 Multipliers'!$L$3:$N$6,3,FALSE)=0,"Spatial Data Missing",VLOOKUP(L48,'G-3 Multipliers'!$L$3:$N$6,3,FALSE)))</f>
        <v/>
      </c>
      <c r="O48" s="362" t="str">
        <f t="shared" si="1"/>
        <v/>
      </c>
      <c r="P48" s="63"/>
      <c r="Q48" s="63"/>
      <c r="R48" s="370" t="str">
        <f t="shared" si="2"/>
        <v/>
      </c>
      <c r="S48" s="383" t="str">
        <f t="shared" si="3"/>
        <v/>
      </c>
      <c r="T48" s="384" t="str">
        <f>IFERROR(IF(S48="Check Data ⚠","Check Data ⚠",VLOOKUP(S48,'G-4 Temporal multipliers'!$A$4:$C$37,3,FALSE)),"")</f>
        <v/>
      </c>
      <c r="U48" s="385" t="str">
        <f>IF(F48="","",VLOOKUP(F48,'G-3 Multipliers'!$A$2:$E$134,2,FALSE))</f>
        <v/>
      </c>
      <c r="V48" s="382" t="str">
        <f t="shared" si="5"/>
        <v/>
      </c>
      <c r="W48" s="382" t="str">
        <f>IF(E48="","",IF(AND(V48="Standard difficulty applied",O48&gt;P48),U48,IF(AND(V48="Low Difficulty - only applicable if all habitat created before losses",P48&gt;=O48),"Low",VLOOKUP(F48,'G-3 Multipliers'!$A$2:$E$134,4,FALSE))))</f>
        <v/>
      </c>
      <c r="X48" s="386" t="str">
        <f>IFERROR(IF(E48="","",VLOOKUP(W48, 'G-3 Multipliers'!$P$2:$Q$6,2,FALSE)),"")</f>
        <v/>
      </c>
      <c r="Y48" s="390" t="str">
        <f t="shared" si="4"/>
        <v/>
      </c>
      <c r="Z48" s="194"/>
      <c r="AA48" s="195"/>
      <c r="AB48" s="120"/>
      <c r="AE48" s="40" t="str">
        <f t="shared" si="0"/>
        <v/>
      </c>
    </row>
    <row r="49" spans="1:31">
      <c r="A49" s="35" t="str">
        <f>IFERROR(INDEX('G-8 Condition Look up'!$I$4:$I$135,MATCH(F49,'G-8 Condition Look up'!$A$4:$A$135,0)),"")</f>
        <v/>
      </c>
      <c r="C49" s="299" t="str">
        <f>IFERROR(INDEX('G-1 All Habitats'!$AG$3:$AG$17,MATCH(D49,'G-1 All Habitats'!$AF$3:$AF$17,0)),"")</f>
        <v/>
      </c>
      <c r="D49" s="54"/>
      <c r="E49" s="61"/>
      <c r="F49" s="296" t="str">
        <f>IFERROR(INDEX('G-1 All Habitats'!$B$3:$B$134,MATCH(E49,'G-1 All Habitats'!$A$3:$A$134,0)),"")</f>
        <v/>
      </c>
      <c r="G49" s="53"/>
      <c r="H49" s="362" t="str">
        <f>IF(F49="","",VLOOKUP(F49,'G-1 All Habitats'!$B$2:$M$134,10,FALSE))</f>
        <v/>
      </c>
      <c r="I49" s="363" t="str">
        <f>IFERROR(VLOOKUP(H49,'G-1 All Habitats'!$V$3:$W$7,2,FALSE),"")</f>
        <v/>
      </c>
      <c r="J49" s="54"/>
      <c r="K49" s="363" t="str">
        <f>IFERROR(INDEX('G-8 Condition Look up'!$A$3:$H$135,MATCH(F49,'G-8 Condition Look up'!$A$3:$A$135,0),MATCH(J49,'G-8 Condition Look up'!$A$3:$H$3,0)),"")</f>
        <v/>
      </c>
      <c r="L49" s="54"/>
      <c r="M49" s="370" t="str">
        <f>IF(L49="","",IF(VLOOKUP(L49,'G-3 Multipliers'!$L$3:$N$6,2,FALSE)=0,"Spatial Data Missing",VLOOKUP(L49,'G-3 Multipliers'!$L$3:$N$6,2,FALSE)))</f>
        <v/>
      </c>
      <c r="N49" s="368" t="str">
        <f>IF(L49="","",IF(VLOOKUP(L49,'G-3 Multipliers'!$L$3:$N$6,3,FALSE)=0,"Spatial Data Missing",VLOOKUP(L49,'G-3 Multipliers'!$L$3:$N$6,3,FALSE)))</f>
        <v/>
      </c>
      <c r="O49" s="362" t="str">
        <f t="shared" si="1"/>
        <v/>
      </c>
      <c r="P49" s="63"/>
      <c r="Q49" s="63"/>
      <c r="R49" s="370" t="str">
        <f t="shared" si="2"/>
        <v/>
      </c>
      <c r="S49" s="383" t="str">
        <f t="shared" si="3"/>
        <v/>
      </c>
      <c r="T49" s="384" t="str">
        <f>IFERROR(IF(S49="Check Data ⚠","Check Data ⚠",VLOOKUP(S49,'G-4 Temporal multipliers'!$A$4:$C$37,3,FALSE)),"")</f>
        <v/>
      </c>
      <c r="U49" s="385" t="str">
        <f>IF(F49="","",VLOOKUP(F49,'G-3 Multipliers'!$A$2:$E$134,2,FALSE))</f>
        <v/>
      </c>
      <c r="V49" s="382" t="str">
        <f t="shared" si="5"/>
        <v/>
      </c>
      <c r="W49" s="382" t="str">
        <f>IF(E49="","",IF(AND(V49="Standard difficulty applied",O49&gt;P49),U49,IF(AND(V49="Low Difficulty - only applicable if all habitat created before losses",P49&gt;=O49),"Low",VLOOKUP(F49,'G-3 Multipliers'!$A$2:$E$134,4,FALSE))))</f>
        <v/>
      </c>
      <c r="X49" s="386" t="str">
        <f>IFERROR(IF(E49="","",VLOOKUP(W49, 'G-3 Multipliers'!$P$2:$Q$6,2,FALSE)),"")</f>
        <v/>
      </c>
      <c r="Y49" s="390" t="str">
        <f t="shared" si="4"/>
        <v/>
      </c>
      <c r="Z49" s="194"/>
      <c r="AA49" s="195"/>
      <c r="AB49" s="120"/>
      <c r="AE49" s="40" t="str">
        <f t="shared" si="0"/>
        <v/>
      </c>
    </row>
    <row r="50" spans="1:31">
      <c r="A50" s="35" t="str">
        <f>IFERROR(INDEX('G-8 Condition Look up'!$I$4:$I$135,MATCH(F50,'G-8 Condition Look up'!$A$4:$A$135,0)),"")</f>
        <v/>
      </c>
      <c r="C50" s="299" t="str">
        <f>IFERROR(INDEX('G-1 All Habitats'!$AG$3:$AG$17,MATCH(D50,'G-1 All Habitats'!$AF$3:$AF$17,0)),"")</f>
        <v/>
      </c>
      <c r="D50" s="54"/>
      <c r="E50" s="61"/>
      <c r="F50" s="296" t="str">
        <f>IFERROR(INDEX('G-1 All Habitats'!$B$3:$B$134,MATCH(E50,'G-1 All Habitats'!$A$3:$A$134,0)),"")</f>
        <v/>
      </c>
      <c r="G50" s="53"/>
      <c r="H50" s="362" t="str">
        <f>IF(F50="","",VLOOKUP(F50,'G-1 All Habitats'!$B$2:$M$134,10,FALSE))</f>
        <v/>
      </c>
      <c r="I50" s="363" t="str">
        <f>IFERROR(VLOOKUP(H50,'G-1 All Habitats'!$V$3:$W$7,2,FALSE),"")</f>
        <v/>
      </c>
      <c r="J50" s="54"/>
      <c r="K50" s="363" t="str">
        <f>IFERROR(INDEX('G-8 Condition Look up'!$A$3:$H$135,MATCH(F50,'G-8 Condition Look up'!$A$3:$A$135,0),MATCH(J50,'G-8 Condition Look up'!$A$3:$H$3,0)),"")</f>
        <v/>
      </c>
      <c r="L50" s="54"/>
      <c r="M50" s="370" t="str">
        <f>IF(L50="","",IF(VLOOKUP(L50,'G-3 Multipliers'!$L$3:$N$6,2,FALSE)=0,"Spatial Data Missing",VLOOKUP(L50,'G-3 Multipliers'!$L$3:$N$6,2,FALSE)))</f>
        <v/>
      </c>
      <c r="N50" s="368" t="str">
        <f>IF(L50="","",IF(VLOOKUP(L50,'G-3 Multipliers'!$L$3:$N$6,3,FALSE)=0,"Spatial Data Missing",VLOOKUP(L50,'G-3 Multipliers'!$L$3:$N$6,3,FALSE)))</f>
        <v/>
      </c>
      <c r="O50" s="362" t="str">
        <f t="shared" si="1"/>
        <v/>
      </c>
      <c r="P50" s="63"/>
      <c r="Q50" s="63"/>
      <c r="R50" s="370" t="str">
        <f t="shared" si="2"/>
        <v/>
      </c>
      <c r="S50" s="383" t="str">
        <f t="shared" si="3"/>
        <v/>
      </c>
      <c r="T50" s="384" t="str">
        <f>IFERROR(IF(S50="Check Data ⚠","Check Data ⚠",VLOOKUP(S50,'G-4 Temporal multipliers'!$A$4:$C$37,3,FALSE)),"")</f>
        <v/>
      </c>
      <c r="U50" s="385" t="str">
        <f>IF(F50="","",VLOOKUP(F50,'G-3 Multipliers'!$A$2:$E$134,2,FALSE))</f>
        <v/>
      </c>
      <c r="V50" s="382" t="str">
        <f t="shared" si="5"/>
        <v/>
      </c>
      <c r="W50" s="382" t="str">
        <f>IF(E50="","",IF(AND(V50="Standard difficulty applied",O50&gt;P50),U50,IF(AND(V50="Low Difficulty - only applicable if all habitat created before losses",P50&gt;=O50),"Low",VLOOKUP(F50,'G-3 Multipliers'!$A$2:$E$134,4,FALSE))))</f>
        <v/>
      </c>
      <c r="X50" s="386" t="str">
        <f>IFERROR(IF(E50="","",VLOOKUP(W50, 'G-3 Multipliers'!$P$2:$Q$6,2,FALSE)),"")</f>
        <v/>
      </c>
      <c r="Y50" s="390" t="str">
        <f t="shared" si="4"/>
        <v/>
      </c>
      <c r="Z50" s="194"/>
      <c r="AA50" s="195"/>
      <c r="AB50" s="120"/>
      <c r="AE50" s="40" t="str">
        <f t="shared" si="0"/>
        <v/>
      </c>
    </row>
    <row r="51" spans="1:31">
      <c r="A51" s="35" t="str">
        <f>IFERROR(INDEX('G-8 Condition Look up'!$I$4:$I$135,MATCH(F51,'G-8 Condition Look up'!$A$4:$A$135,0)),"")</f>
        <v/>
      </c>
      <c r="C51" s="299" t="str">
        <f>IFERROR(INDEX('G-1 All Habitats'!$AG$3:$AG$17,MATCH(D51,'G-1 All Habitats'!$AF$3:$AF$17,0)),"")</f>
        <v/>
      </c>
      <c r="D51" s="54"/>
      <c r="E51" s="61"/>
      <c r="F51" s="296" t="str">
        <f>IFERROR(INDEX('G-1 All Habitats'!$B$3:$B$134,MATCH(E51,'G-1 All Habitats'!$A$3:$A$134,0)),"")</f>
        <v/>
      </c>
      <c r="G51" s="53"/>
      <c r="H51" s="362" t="str">
        <f>IF(F51="","",VLOOKUP(F51,'G-1 All Habitats'!$B$2:$M$134,10,FALSE))</f>
        <v/>
      </c>
      <c r="I51" s="363" t="str">
        <f>IFERROR(VLOOKUP(H51,'G-1 All Habitats'!$V$3:$W$7,2,FALSE),"")</f>
        <v/>
      </c>
      <c r="J51" s="54"/>
      <c r="K51" s="363" t="str">
        <f>IFERROR(INDEX('G-8 Condition Look up'!$A$3:$H$135,MATCH(F51,'G-8 Condition Look up'!$A$3:$A$135,0),MATCH(J51,'G-8 Condition Look up'!$A$3:$H$3,0)),"")</f>
        <v/>
      </c>
      <c r="L51" s="54"/>
      <c r="M51" s="370" t="str">
        <f>IF(L51="","",IF(VLOOKUP(L51,'G-3 Multipliers'!$L$3:$N$6,2,FALSE)=0,"Spatial Data Missing",VLOOKUP(L51,'G-3 Multipliers'!$L$3:$N$6,2,FALSE)))</f>
        <v/>
      </c>
      <c r="N51" s="368" t="str">
        <f>IF(L51="","",IF(VLOOKUP(L51,'G-3 Multipliers'!$L$3:$N$6,3,FALSE)=0,"Spatial Data Missing",VLOOKUP(L51,'G-3 Multipliers'!$L$3:$N$6,3,FALSE)))</f>
        <v/>
      </c>
      <c r="O51" s="362" t="str">
        <f t="shared" si="1"/>
        <v/>
      </c>
      <c r="P51" s="63"/>
      <c r="Q51" s="63"/>
      <c r="R51" s="370" t="str">
        <f t="shared" si="2"/>
        <v/>
      </c>
      <c r="S51" s="383" t="str">
        <f t="shared" si="3"/>
        <v/>
      </c>
      <c r="T51" s="384" t="str">
        <f>IFERROR(IF(S51="Check Data ⚠","Check Data ⚠",VLOOKUP(S51,'G-4 Temporal multipliers'!$A$4:$C$37,3,FALSE)),"")</f>
        <v/>
      </c>
      <c r="U51" s="385" t="str">
        <f>IF(F51="","",VLOOKUP(F51,'G-3 Multipliers'!$A$2:$E$134,2,FALSE))</f>
        <v/>
      </c>
      <c r="V51" s="382" t="str">
        <f t="shared" si="5"/>
        <v/>
      </c>
      <c r="W51" s="382" t="str">
        <f>IF(E51="","",IF(AND(V51="Standard difficulty applied",O51&gt;P51),U51,IF(AND(V51="Low Difficulty - only applicable if all habitat created before losses",P51&gt;=O51),"Low",VLOOKUP(F51,'G-3 Multipliers'!$A$2:$E$134,4,FALSE))))</f>
        <v/>
      </c>
      <c r="X51" s="386" t="str">
        <f>IFERROR(IF(E51="","",VLOOKUP(W51, 'G-3 Multipliers'!$P$2:$Q$6,2,FALSE)),"")</f>
        <v/>
      </c>
      <c r="Y51" s="390" t="str">
        <f t="shared" si="4"/>
        <v/>
      </c>
      <c r="Z51" s="194"/>
      <c r="AA51" s="195"/>
      <c r="AB51" s="120"/>
      <c r="AE51" s="40" t="str">
        <f t="shared" si="0"/>
        <v/>
      </c>
    </row>
    <row r="52" spans="1:31">
      <c r="A52" s="35" t="str">
        <f>IFERROR(INDEX('G-8 Condition Look up'!$I$4:$I$135,MATCH(F52,'G-8 Condition Look up'!$A$4:$A$135,0)),"")</f>
        <v/>
      </c>
      <c r="C52" s="299" t="str">
        <f>IFERROR(INDEX('G-1 All Habitats'!$AG$3:$AG$17,MATCH(D52,'G-1 All Habitats'!$AF$3:$AF$17,0)),"")</f>
        <v/>
      </c>
      <c r="D52" s="54"/>
      <c r="E52" s="61"/>
      <c r="F52" s="296" t="str">
        <f>IFERROR(INDEX('G-1 All Habitats'!$B$3:$B$134,MATCH(E52,'G-1 All Habitats'!$A$3:$A$134,0)),"")</f>
        <v/>
      </c>
      <c r="G52" s="53"/>
      <c r="H52" s="362" t="str">
        <f>IF(F52="","",VLOOKUP(F52,'G-1 All Habitats'!$B$2:$M$134,10,FALSE))</f>
        <v/>
      </c>
      <c r="I52" s="363" t="str">
        <f>IFERROR(VLOOKUP(H52,'G-1 All Habitats'!$V$3:$W$7,2,FALSE),"")</f>
        <v/>
      </c>
      <c r="J52" s="54"/>
      <c r="K52" s="363" t="str">
        <f>IFERROR(INDEX('G-8 Condition Look up'!$A$3:$H$135,MATCH(F52,'G-8 Condition Look up'!$A$3:$A$135,0),MATCH(J52,'G-8 Condition Look up'!$A$3:$H$3,0)),"")</f>
        <v/>
      </c>
      <c r="L52" s="54"/>
      <c r="M52" s="370" t="str">
        <f>IF(L52="","",IF(VLOOKUP(L52,'G-3 Multipliers'!$L$3:$N$6,2,FALSE)=0,"Spatial Data Missing",VLOOKUP(L52,'G-3 Multipliers'!$L$3:$N$6,2,FALSE)))</f>
        <v/>
      </c>
      <c r="N52" s="368" t="str">
        <f>IF(L52="","",IF(VLOOKUP(L52,'G-3 Multipliers'!$L$3:$N$6,3,FALSE)=0,"Spatial Data Missing",VLOOKUP(L52,'G-3 Multipliers'!$L$3:$N$6,3,FALSE)))</f>
        <v/>
      </c>
      <c r="O52" s="362" t="str">
        <f t="shared" si="1"/>
        <v/>
      </c>
      <c r="P52" s="63"/>
      <c r="Q52" s="63"/>
      <c r="R52" s="370" t="str">
        <f t="shared" si="2"/>
        <v/>
      </c>
      <c r="S52" s="383" t="str">
        <f t="shared" si="3"/>
        <v/>
      </c>
      <c r="T52" s="384" t="str">
        <f>IFERROR(IF(S52="Check Data ⚠","Check Data ⚠",VLOOKUP(S52,'G-4 Temporal multipliers'!$A$4:$C$37,3,FALSE)),"")</f>
        <v/>
      </c>
      <c r="U52" s="385" t="str">
        <f>IF(F52="","",VLOOKUP(F52,'G-3 Multipliers'!$A$2:$E$134,2,FALSE))</f>
        <v/>
      </c>
      <c r="V52" s="382" t="str">
        <f t="shared" si="5"/>
        <v/>
      </c>
      <c r="W52" s="382" t="str">
        <f>IF(E52="","",IF(AND(V52="Standard difficulty applied",O52&gt;P52),U52,IF(AND(V52="Low Difficulty - only applicable if all habitat created before losses",P52&gt;=O52),"Low",VLOOKUP(F52,'G-3 Multipliers'!$A$2:$E$134,4,FALSE))))</f>
        <v/>
      </c>
      <c r="X52" s="386" t="str">
        <f>IFERROR(IF(E52="","",VLOOKUP(W52, 'G-3 Multipliers'!$P$2:$Q$6,2,FALSE)),"")</f>
        <v/>
      </c>
      <c r="Y52" s="390" t="str">
        <f t="shared" si="4"/>
        <v/>
      </c>
      <c r="Z52" s="194"/>
      <c r="AA52" s="195"/>
      <c r="AB52" s="120"/>
      <c r="AE52" s="40" t="str">
        <f t="shared" si="0"/>
        <v/>
      </c>
    </row>
    <row r="53" spans="1:31">
      <c r="A53" s="35" t="str">
        <f>IFERROR(INDEX('G-8 Condition Look up'!$I$4:$I$135,MATCH(F53,'G-8 Condition Look up'!$A$4:$A$135,0)),"")</f>
        <v/>
      </c>
      <c r="C53" s="299" t="str">
        <f>IFERROR(INDEX('G-1 All Habitats'!$AG$3:$AG$17,MATCH(D53,'G-1 All Habitats'!$AF$3:$AF$17,0)),"")</f>
        <v/>
      </c>
      <c r="D53" s="54"/>
      <c r="E53" s="61"/>
      <c r="F53" s="296" t="str">
        <f>IFERROR(INDEX('G-1 All Habitats'!$B$3:$B$134,MATCH(E53,'G-1 All Habitats'!$A$3:$A$134,0)),"")</f>
        <v/>
      </c>
      <c r="G53" s="53"/>
      <c r="H53" s="362" t="str">
        <f>IF(F53="","",VLOOKUP(F53,'G-1 All Habitats'!$B$2:$M$134,10,FALSE))</f>
        <v/>
      </c>
      <c r="I53" s="363" t="str">
        <f>IFERROR(VLOOKUP(H53,'G-1 All Habitats'!$V$3:$W$7,2,FALSE),"")</f>
        <v/>
      </c>
      <c r="J53" s="54"/>
      <c r="K53" s="363" t="str">
        <f>IFERROR(INDEX('G-8 Condition Look up'!$A$3:$H$135,MATCH(F53,'G-8 Condition Look up'!$A$3:$A$135,0),MATCH(J53,'G-8 Condition Look up'!$A$3:$H$3,0)),"")</f>
        <v/>
      </c>
      <c r="L53" s="54"/>
      <c r="M53" s="370" t="str">
        <f>IF(L53="","",IF(VLOOKUP(L53,'G-3 Multipliers'!$L$3:$N$6,2,FALSE)=0,"Spatial Data Missing",VLOOKUP(L53,'G-3 Multipliers'!$L$3:$N$6,2,FALSE)))</f>
        <v/>
      </c>
      <c r="N53" s="368" t="str">
        <f>IF(L53="","",IF(VLOOKUP(L53,'G-3 Multipliers'!$L$3:$N$6,3,FALSE)=0,"Spatial Data Missing",VLOOKUP(L53,'G-3 Multipliers'!$L$3:$N$6,3,FALSE)))</f>
        <v/>
      </c>
      <c r="O53" s="362" t="str">
        <f t="shared" si="1"/>
        <v/>
      </c>
      <c r="P53" s="63"/>
      <c r="Q53" s="63"/>
      <c r="R53" s="370" t="str">
        <f t="shared" si="2"/>
        <v/>
      </c>
      <c r="S53" s="383" t="str">
        <f t="shared" si="3"/>
        <v/>
      </c>
      <c r="T53" s="384" t="str">
        <f>IFERROR(IF(S53="Check Data ⚠","Check Data ⚠",VLOOKUP(S53,'G-4 Temporal multipliers'!$A$4:$C$37,3,FALSE)),"")</f>
        <v/>
      </c>
      <c r="U53" s="385" t="str">
        <f>IF(F53="","",VLOOKUP(F53,'G-3 Multipliers'!$A$2:$E$134,2,FALSE))</f>
        <v/>
      </c>
      <c r="V53" s="382" t="str">
        <f t="shared" si="5"/>
        <v/>
      </c>
      <c r="W53" s="382" t="str">
        <f>IF(E53="","",IF(AND(V53="Standard difficulty applied",O53&gt;P53),U53,IF(AND(V53="Low Difficulty - only applicable if all habitat created before losses",P53&gt;=O53),"Low",VLOOKUP(F53,'G-3 Multipliers'!$A$2:$E$134,4,FALSE))))</f>
        <v/>
      </c>
      <c r="X53" s="386" t="str">
        <f>IFERROR(IF(E53="","",VLOOKUP(W53, 'G-3 Multipliers'!$P$2:$Q$6,2,FALSE)),"")</f>
        <v/>
      </c>
      <c r="Y53" s="390" t="str">
        <f t="shared" si="4"/>
        <v/>
      </c>
      <c r="Z53" s="194"/>
      <c r="AA53" s="195"/>
      <c r="AB53" s="120"/>
      <c r="AE53" s="40" t="str">
        <f t="shared" si="0"/>
        <v/>
      </c>
    </row>
    <row r="54" spans="1:31">
      <c r="A54" s="35" t="str">
        <f>IFERROR(INDEX('G-8 Condition Look up'!$I$4:$I$135,MATCH(F54,'G-8 Condition Look up'!$A$4:$A$135,0)),"")</f>
        <v/>
      </c>
      <c r="C54" s="299" t="str">
        <f>IFERROR(INDEX('G-1 All Habitats'!$AG$3:$AG$17,MATCH(D54,'G-1 All Habitats'!$AF$3:$AF$17,0)),"")</f>
        <v/>
      </c>
      <c r="D54" s="54"/>
      <c r="E54" s="61"/>
      <c r="F54" s="296" t="str">
        <f>IFERROR(INDEX('G-1 All Habitats'!$B$3:$B$134,MATCH(E54,'G-1 All Habitats'!$A$3:$A$134,0)),"")</f>
        <v/>
      </c>
      <c r="G54" s="53"/>
      <c r="H54" s="362" t="str">
        <f>IF(F54="","",VLOOKUP(F54,'G-1 All Habitats'!$B$2:$M$134,10,FALSE))</f>
        <v/>
      </c>
      <c r="I54" s="363" t="str">
        <f>IFERROR(VLOOKUP(H54,'G-1 All Habitats'!$V$3:$W$7,2,FALSE),"")</f>
        <v/>
      </c>
      <c r="J54" s="54"/>
      <c r="K54" s="363" t="str">
        <f>IFERROR(INDEX('G-8 Condition Look up'!$A$3:$H$135,MATCH(F54,'G-8 Condition Look up'!$A$3:$A$135,0),MATCH(J54,'G-8 Condition Look up'!$A$3:$H$3,0)),"")</f>
        <v/>
      </c>
      <c r="L54" s="54"/>
      <c r="M54" s="370" t="str">
        <f>IF(L54="","",IF(VLOOKUP(L54,'G-3 Multipliers'!$L$3:$N$6,2,FALSE)=0,"Spatial Data Missing",VLOOKUP(L54,'G-3 Multipliers'!$L$3:$N$6,2,FALSE)))</f>
        <v/>
      </c>
      <c r="N54" s="368" t="str">
        <f>IF(L54="","",IF(VLOOKUP(L54,'G-3 Multipliers'!$L$3:$N$6,3,FALSE)=0,"Spatial Data Missing",VLOOKUP(L54,'G-3 Multipliers'!$L$3:$N$6,3,FALSE)))</f>
        <v/>
      </c>
      <c r="O54" s="362" t="str">
        <f t="shared" si="1"/>
        <v/>
      </c>
      <c r="P54" s="63"/>
      <c r="Q54" s="63"/>
      <c r="R54" s="370" t="str">
        <f t="shared" si="2"/>
        <v/>
      </c>
      <c r="S54" s="383" t="str">
        <f t="shared" si="3"/>
        <v/>
      </c>
      <c r="T54" s="384" t="str">
        <f>IFERROR(IF(S54="Check Data ⚠","Check Data ⚠",VLOOKUP(S54,'G-4 Temporal multipliers'!$A$4:$C$37,3,FALSE)),"")</f>
        <v/>
      </c>
      <c r="U54" s="385" t="str">
        <f>IF(F54="","",VLOOKUP(F54,'G-3 Multipliers'!$A$2:$E$134,2,FALSE))</f>
        <v/>
      </c>
      <c r="V54" s="382" t="str">
        <f t="shared" si="5"/>
        <v/>
      </c>
      <c r="W54" s="382" t="str">
        <f>IF(E54="","",IF(AND(V54="Standard difficulty applied",O54&gt;P54),U54,IF(AND(V54="Low Difficulty - only applicable if all habitat created before losses",P54&gt;=O54),"Low",VLOOKUP(F54,'G-3 Multipliers'!$A$2:$E$134,4,FALSE))))</f>
        <v/>
      </c>
      <c r="X54" s="386" t="str">
        <f>IFERROR(IF(E54="","",VLOOKUP(W54, 'G-3 Multipliers'!$P$2:$Q$6,2,FALSE)),"")</f>
        <v/>
      </c>
      <c r="Y54" s="390" t="str">
        <f t="shared" si="4"/>
        <v/>
      </c>
      <c r="Z54" s="194"/>
      <c r="AA54" s="195"/>
      <c r="AB54" s="120"/>
      <c r="AE54" s="40" t="str">
        <f t="shared" si="0"/>
        <v/>
      </c>
    </row>
    <row r="55" spans="1:31">
      <c r="A55" s="35" t="str">
        <f>IFERROR(INDEX('G-8 Condition Look up'!$I$4:$I$135,MATCH(F55,'G-8 Condition Look up'!$A$4:$A$135,0)),"")</f>
        <v/>
      </c>
      <c r="C55" s="299" t="str">
        <f>IFERROR(INDEX('G-1 All Habitats'!$AG$3:$AG$17,MATCH(D55,'G-1 All Habitats'!$AF$3:$AF$17,0)),"")</f>
        <v/>
      </c>
      <c r="D55" s="54"/>
      <c r="E55" s="61"/>
      <c r="F55" s="296" t="str">
        <f>IFERROR(INDEX('G-1 All Habitats'!$B$3:$B$134,MATCH(E55,'G-1 All Habitats'!$A$3:$A$134,0)),"")</f>
        <v/>
      </c>
      <c r="G55" s="53"/>
      <c r="H55" s="362" t="str">
        <f>IF(F55="","",VLOOKUP(F55,'G-1 All Habitats'!$B$2:$M$134,10,FALSE))</f>
        <v/>
      </c>
      <c r="I55" s="363" t="str">
        <f>IFERROR(VLOOKUP(H55,'G-1 All Habitats'!$V$3:$W$7,2,FALSE),"")</f>
        <v/>
      </c>
      <c r="J55" s="54"/>
      <c r="K55" s="363" t="str">
        <f>IFERROR(INDEX('G-8 Condition Look up'!$A$3:$H$135,MATCH(F55,'G-8 Condition Look up'!$A$3:$A$135,0),MATCH(J55,'G-8 Condition Look up'!$A$3:$H$3,0)),"")</f>
        <v/>
      </c>
      <c r="L55" s="54"/>
      <c r="M55" s="370" t="str">
        <f>IF(L55="","",IF(VLOOKUP(L55,'G-3 Multipliers'!$L$3:$N$6,2,FALSE)=0,"Spatial Data Missing",VLOOKUP(L55,'G-3 Multipliers'!$L$3:$N$6,2,FALSE)))</f>
        <v/>
      </c>
      <c r="N55" s="368" t="str">
        <f>IF(L55="","",IF(VLOOKUP(L55,'G-3 Multipliers'!$L$3:$N$6,3,FALSE)=0,"Spatial Data Missing",VLOOKUP(L55,'G-3 Multipliers'!$L$3:$N$6,3,FALSE)))</f>
        <v/>
      </c>
      <c r="O55" s="362" t="str">
        <f t="shared" si="1"/>
        <v/>
      </c>
      <c r="P55" s="63"/>
      <c r="Q55" s="63"/>
      <c r="R55" s="370" t="str">
        <f t="shared" si="2"/>
        <v/>
      </c>
      <c r="S55" s="383" t="str">
        <f t="shared" si="3"/>
        <v/>
      </c>
      <c r="T55" s="384" t="str">
        <f>IFERROR(IF(S55="Check Data ⚠","Check Data ⚠",VLOOKUP(S55,'G-4 Temporal multipliers'!$A$4:$C$37,3,FALSE)),"")</f>
        <v/>
      </c>
      <c r="U55" s="385" t="str">
        <f>IF(F55="","",VLOOKUP(F55,'G-3 Multipliers'!$A$2:$E$134,2,FALSE))</f>
        <v/>
      </c>
      <c r="V55" s="382" t="str">
        <f t="shared" si="5"/>
        <v/>
      </c>
      <c r="W55" s="382" t="str">
        <f>IF(E55="","",IF(AND(V55="Standard difficulty applied",O55&gt;P55),U55,IF(AND(V55="Low Difficulty - only applicable if all habitat created before losses",P55&gt;=O55),"Low",VLOOKUP(F55,'G-3 Multipliers'!$A$2:$E$134,4,FALSE))))</f>
        <v/>
      </c>
      <c r="X55" s="386" t="str">
        <f>IFERROR(IF(E55="","",VLOOKUP(W55, 'G-3 Multipliers'!$P$2:$Q$6,2,FALSE)),"")</f>
        <v/>
      </c>
      <c r="Y55" s="390" t="str">
        <f t="shared" si="4"/>
        <v/>
      </c>
      <c r="Z55" s="194"/>
      <c r="AA55" s="195"/>
      <c r="AB55" s="120"/>
      <c r="AE55" s="40" t="str">
        <f t="shared" si="0"/>
        <v/>
      </c>
    </row>
    <row r="56" spans="1:31">
      <c r="A56" s="35" t="str">
        <f>IFERROR(INDEX('G-8 Condition Look up'!$I$4:$I$135,MATCH(F56,'G-8 Condition Look up'!$A$4:$A$135,0)),"")</f>
        <v/>
      </c>
      <c r="C56" s="299" t="str">
        <f>IFERROR(INDEX('G-1 All Habitats'!$AG$3:$AG$17,MATCH(D56,'G-1 All Habitats'!$AF$3:$AF$17,0)),"")</f>
        <v/>
      </c>
      <c r="D56" s="54"/>
      <c r="E56" s="61"/>
      <c r="F56" s="296" t="str">
        <f>IFERROR(INDEX('G-1 All Habitats'!$B$3:$B$134,MATCH(E56,'G-1 All Habitats'!$A$3:$A$134,0)),"")</f>
        <v/>
      </c>
      <c r="G56" s="53"/>
      <c r="H56" s="362" t="str">
        <f>IF(F56="","",VLOOKUP(F56,'G-1 All Habitats'!$B$2:$M$134,10,FALSE))</f>
        <v/>
      </c>
      <c r="I56" s="363" t="str">
        <f>IFERROR(VLOOKUP(H56,'G-1 All Habitats'!$V$3:$W$7,2,FALSE),"")</f>
        <v/>
      </c>
      <c r="J56" s="54"/>
      <c r="K56" s="363" t="str">
        <f>IFERROR(INDEX('G-8 Condition Look up'!$A$3:$H$135,MATCH(F56,'G-8 Condition Look up'!$A$3:$A$135,0),MATCH(J56,'G-8 Condition Look up'!$A$3:$H$3,0)),"")</f>
        <v/>
      </c>
      <c r="L56" s="54"/>
      <c r="M56" s="370" t="str">
        <f>IF(L56="","",IF(VLOOKUP(L56,'G-3 Multipliers'!$L$3:$N$6,2,FALSE)=0,"Spatial Data Missing",VLOOKUP(L56,'G-3 Multipliers'!$L$3:$N$6,2,FALSE)))</f>
        <v/>
      </c>
      <c r="N56" s="368" t="str">
        <f>IF(L56="","",IF(VLOOKUP(L56,'G-3 Multipliers'!$L$3:$N$6,3,FALSE)=0,"Spatial Data Missing",VLOOKUP(L56,'G-3 Multipliers'!$L$3:$N$6,3,FALSE)))</f>
        <v/>
      </c>
      <c r="O56" s="362" t="str">
        <f t="shared" si="1"/>
        <v/>
      </c>
      <c r="P56" s="63"/>
      <c r="Q56" s="63"/>
      <c r="R56" s="370" t="str">
        <f t="shared" si="2"/>
        <v/>
      </c>
      <c r="S56" s="383" t="str">
        <f t="shared" si="3"/>
        <v/>
      </c>
      <c r="T56" s="384" t="str">
        <f>IFERROR(IF(S56="Check Data ⚠","Check Data ⚠",VLOOKUP(S56,'G-4 Temporal multipliers'!$A$4:$C$37,3,FALSE)),"")</f>
        <v/>
      </c>
      <c r="U56" s="385" t="str">
        <f>IF(F56="","",VLOOKUP(F56,'G-3 Multipliers'!$A$2:$E$134,2,FALSE))</f>
        <v/>
      </c>
      <c r="V56" s="382" t="str">
        <f t="shared" si="5"/>
        <v/>
      </c>
      <c r="W56" s="382" t="str">
        <f>IF(E56="","",IF(AND(V56="Standard difficulty applied",O56&gt;P56),U56,IF(AND(V56="Low Difficulty - only applicable if all habitat created before losses",P56&gt;=O56),"Low",VLOOKUP(F56,'G-3 Multipliers'!$A$2:$E$134,4,FALSE))))</f>
        <v/>
      </c>
      <c r="X56" s="386" t="str">
        <f>IFERROR(IF(E56="","",VLOOKUP(W56, 'G-3 Multipliers'!$P$2:$Q$6,2,FALSE)),"")</f>
        <v/>
      </c>
      <c r="Y56" s="390" t="str">
        <f t="shared" si="4"/>
        <v/>
      </c>
      <c r="Z56" s="194"/>
      <c r="AA56" s="195"/>
      <c r="AB56" s="120"/>
      <c r="AE56" s="40" t="str">
        <f t="shared" si="0"/>
        <v/>
      </c>
    </row>
    <row r="57" spans="1:31">
      <c r="A57" s="35" t="str">
        <f>IFERROR(INDEX('G-8 Condition Look up'!$I$4:$I$135,MATCH(F57,'G-8 Condition Look up'!$A$4:$A$135,0)),"")</f>
        <v/>
      </c>
      <c r="C57" s="299" t="str">
        <f>IFERROR(INDEX('G-1 All Habitats'!$AG$3:$AG$17,MATCH(D57,'G-1 All Habitats'!$AF$3:$AF$17,0)),"")</f>
        <v/>
      </c>
      <c r="D57" s="54"/>
      <c r="E57" s="61"/>
      <c r="F57" s="296" t="str">
        <f>IFERROR(INDEX('G-1 All Habitats'!$B$3:$B$134,MATCH(E57,'G-1 All Habitats'!$A$3:$A$134,0)),"")</f>
        <v/>
      </c>
      <c r="G57" s="53"/>
      <c r="H57" s="362" t="str">
        <f>IF(F57="","",VLOOKUP(F57,'G-1 All Habitats'!$B$2:$M$134,10,FALSE))</f>
        <v/>
      </c>
      <c r="I57" s="363" t="str">
        <f>IFERROR(VLOOKUP(H57,'G-1 All Habitats'!$V$3:$W$7,2,FALSE),"")</f>
        <v/>
      </c>
      <c r="J57" s="54"/>
      <c r="K57" s="363" t="str">
        <f>IFERROR(INDEX('G-8 Condition Look up'!$A$3:$H$135,MATCH(F57,'G-8 Condition Look up'!$A$3:$A$135,0),MATCH(J57,'G-8 Condition Look up'!$A$3:$H$3,0)),"")</f>
        <v/>
      </c>
      <c r="L57" s="54"/>
      <c r="M57" s="370" t="str">
        <f>IF(L57="","",IF(VLOOKUP(L57,'G-3 Multipliers'!$L$3:$N$6,2,FALSE)=0,"Spatial Data Missing",VLOOKUP(L57,'G-3 Multipliers'!$L$3:$N$6,2,FALSE)))</f>
        <v/>
      </c>
      <c r="N57" s="368" t="str">
        <f>IF(L57="","",IF(VLOOKUP(L57,'G-3 Multipliers'!$L$3:$N$6,3,FALSE)=0,"Spatial Data Missing",VLOOKUP(L57,'G-3 Multipliers'!$L$3:$N$6,3,FALSE)))</f>
        <v/>
      </c>
      <c r="O57" s="362" t="str">
        <f t="shared" si="1"/>
        <v/>
      </c>
      <c r="P57" s="63"/>
      <c r="Q57" s="63"/>
      <c r="R57" s="370" t="str">
        <f t="shared" si="2"/>
        <v/>
      </c>
      <c r="S57" s="383" t="str">
        <f t="shared" si="3"/>
        <v/>
      </c>
      <c r="T57" s="384" t="str">
        <f>IFERROR(IF(S57="Check Data ⚠","Check Data ⚠",VLOOKUP(S57,'G-4 Temporal multipliers'!$A$4:$C$37,3,FALSE)),"")</f>
        <v/>
      </c>
      <c r="U57" s="385" t="str">
        <f>IF(F57="","",VLOOKUP(F57,'G-3 Multipliers'!$A$2:$E$134,2,FALSE))</f>
        <v/>
      </c>
      <c r="V57" s="382" t="str">
        <f t="shared" si="5"/>
        <v/>
      </c>
      <c r="W57" s="382" t="str">
        <f>IF(E57="","",IF(AND(V57="Standard difficulty applied",O57&gt;P57),U57,IF(AND(V57="Low Difficulty - only applicable if all habitat created before losses",P57&gt;=O57),"Low",VLOOKUP(F57,'G-3 Multipliers'!$A$2:$E$134,4,FALSE))))</f>
        <v/>
      </c>
      <c r="X57" s="386" t="str">
        <f>IFERROR(IF(E57="","",VLOOKUP(W57, 'G-3 Multipliers'!$P$2:$Q$6,2,FALSE)),"")</f>
        <v/>
      </c>
      <c r="Y57" s="390" t="str">
        <f t="shared" si="4"/>
        <v/>
      </c>
      <c r="Z57" s="194"/>
      <c r="AA57" s="195"/>
      <c r="AB57" s="120"/>
      <c r="AE57" s="40" t="str">
        <f t="shared" si="0"/>
        <v/>
      </c>
    </row>
    <row r="58" spans="1:31">
      <c r="A58" s="35" t="str">
        <f>IFERROR(INDEX('G-8 Condition Look up'!$I$4:$I$135,MATCH(F58,'G-8 Condition Look up'!$A$4:$A$135,0)),"")</f>
        <v/>
      </c>
      <c r="C58" s="299" t="str">
        <f>IFERROR(INDEX('G-1 All Habitats'!$AG$3:$AG$17,MATCH(D58,'G-1 All Habitats'!$AF$3:$AF$17,0)),"")</f>
        <v/>
      </c>
      <c r="D58" s="54"/>
      <c r="E58" s="61"/>
      <c r="F58" s="296" t="str">
        <f>IFERROR(INDEX('G-1 All Habitats'!$B$3:$B$134,MATCH(E58,'G-1 All Habitats'!$A$3:$A$134,0)),"")</f>
        <v/>
      </c>
      <c r="G58" s="53"/>
      <c r="H58" s="362" t="str">
        <f>IF(F58="","",VLOOKUP(F58,'G-1 All Habitats'!$B$2:$M$134,10,FALSE))</f>
        <v/>
      </c>
      <c r="I58" s="363" t="str">
        <f>IFERROR(VLOOKUP(H58,'G-1 All Habitats'!$V$3:$W$7,2,FALSE),"")</f>
        <v/>
      </c>
      <c r="J58" s="54"/>
      <c r="K58" s="363" t="str">
        <f>IFERROR(INDEX('G-8 Condition Look up'!$A$3:$H$135,MATCH(F58,'G-8 Condition Look up'!$A$3:$A$135,0),MATCH(J58,'G-8 Condition Look up'!$A$3:$H$3,0)),"")</f>
        <v/>
      </c>
      <c r="L58" s="54"/>
      <c r="M58" s="370" t="str">
        <f>IF(L58="","",IF(VLOOKUP(L58,'G-3 Multipliers'!$L$3:$N$6,2,FALSE)=0,"Spatial Data Missing",VLOOKUP(L58,'G-3 Multipliers'!$L$3:$N$6,2,FALSE)))</f>
        <v/>
      </c>
      <c r="N58" s="368" t="str">
        <f>IF(L58="","",IF(VLOOKUP(L58,'G-3 Multipliers'!$L$3:$N$6,3,FALSE)=0,"Spatial Data Missing",VLOOKUP(L58,'G-3 Multipliers'!$L$3:$N$6,3,FALSE)))</f>
        <v/>
      </c>
      <c r="O58" s="362" t="str">
        <f t="shared" si="1"/>
        <v/>
      </c>
      <c r="P58" s="63"/>
      <c r="Q58" s="63"/>
      <c r="R58" s="370" t="str">
        <f t="shared" si="2"/>
        <v/>
      </c>
      <c r="S58" s="383" t="str">
        <f t="shared" si="3"/>
        <v/>
      </c>
      <c r="T58" s="384" t="str">
        <f>IFERROR(IF(S58="Check Data ⚠","Check Data ⚠",VLOOKUP(S58,'G-4 Temporal multipliers'!$A$4:$C$37,3,FALSE)),"")</f>
        <v/>
      </c>
      <c r="U58" s="385" t="str">
        <f>IF(F58="","",VLOOKUP(F58,'G-3 Multipliers'!$A$2:$E$134,2,FALSE))</f>
        <v/>
      </c>
      <c r="V58" s="382" t="str">
        <f t="shared" si="5"/>
        <v/>
      </c>
      <c r="W58" s="382" t="str">
        <f>IF(E58="","",IF(AND(V58="Standard difficulty applied",O58&gt;P58),U58,IF(AND(V58="Low Difficulty - only applicable if all habitat created before losses",P58&gt;=O58),"Low",VLOOKUP(F58,'G-3 Multipliers'!$A$2:$E$134,4,FALSE))))</f>
        <v/>
      </c>
      <c r="X58" s="386" t="str">
        <f>IFERROR(IF(E58="","",VLOOKUP(W58, 'G-3 Multipliers'!$P$2:$Q$6,2,FALSE)),"")</f>
        <v/>
      </c>
      <c r="Y58" s="390" t="str">
        <f t="shared" si="4"/>
        <v/>
      </c>
      <c r="Z58" s="194"/>
      <c r="AA58" s="195"/>
      <c r="AB58" s="120"/>
      <c r="AE58" s="40" t="str">
        <f t="shared" si="0"/>
        <v/>
      </c>
    </row>
    <row r="59" spans="1:31">
      <c r="A59" s="35" t="str">
        <f>IFERROR(INDEX('G-8 Condition Look up'!$I$4:$I$135,MATCH(F59,'G-8 Condition Look up'!$A$4:$A$135,0)),"")</f>
        <v/>
      </c>
      <c r="C59" s="299" t="str">
        <f>IFERROR(INDEX('G-1 All Habitats'!$AG$3:$AG$17,MATCH(D59,'G-1 All Habitats'!$AF$3:$AF$17,0)),"")</f>
        <v/>
      </c>
      <c r="D59" s="54"/>
      <c r="E59" s="61"/>
      <c r="F59" s="296" t="str">
        <f>IFERROR(INDEX('G-1 All Habitats'!$B$3:$B$134,MATCH(E59,'G-1 All Habitats'!$A$3:$A$134,0)),"")</f>
        <v/>
      </c>
      <c r="G59" s="53"/>
      <c r="H59" s="362" t="str">
        <f>IF(F59="","",VLOOKUP(F59,'G-1 All Habitats'!$B$2:$M$134,10,FALSE))</f>
        <v/>
      </c>
      <c r="I59" s="363" t="str">
        <f>IFERROR(VLOOKUP(H59,'G-1 All Habitats'!$V$3:$W$7,2,FALSE),"")</f>
        <v/>
      </c>
      <c r="J59" s="54"/>
      <c r="K59" s="363" t="str">
        <f>IFERROR(INDEX('G-8 Condition Look up'!$A$3:$H$135,MATCH(F59,'G-8 Condition Look up'!$A$3:$A$135,0),MATCH(J59,'G-8 Condition Look up'!$A$3:$H$3,0)),"")</f>
        <v/>
      </c>
      <c r="L59" s="54"/>
      <c r="M59" s="370" t="str">
        <f>IF(L59="","",IF(VLOOKUP(L59,'G-3 Multipliers'!$L$3:$N$6,2,FALSE)=0,"Spatial Data Missing",VLOOKUP(L59,'G-3 Multipliers'!$L$3:$N$6,2,FALSE)))</f>
        <v/>
      </c>
      <c r="N59" s="368" t="str">
        <f>IF(L59="","",IF(VLOOKUP(L59,'G-3 Multipliers'!$L$3:$N$6,3,FALSE)=0,"Spatial Data Missing",VLOOKUP(L59,'G-3 Multipliers'!$L$3:$N$6,3,FALSE)))</f>
        <v/>
      </c>
      <c r="O59" s="362" t="str">
        <f t="shared" si="1"/>
        <v/>
      </c>
      <c r="P59" s="63"/>
      <c r="Q59" s="63"/>
      <c r="R59" s="370" t="str">
        <f t="shared" si="2"/>
        <v/>
      </c>
      <c r="S59" s="383" t="str">
        <f t="shared" si="3"/>
        <v/>
      </c>
      <c r="T59" s="384" t="str">
        <f>IFERROR(IF(S59="Check Data ⚠","Check Data ⚠",VLOOKUP(S59,'G-4 Temporal multipliers'!$A$4:$C$37,3,FALSE)),"")</f>
        <v/>
      </c>
      <c r="U59" s="385" t="str">
        <f>IF(F59="","",VLOOKUP(F59,'G-3 Multipliers'!$A$2:$E$134,2,FALSE))</f>
        <v/>
      </c>
      <c r="V59" s="382" t="str">
        <f t="shared" si="5"/>
        <v/>
      </c>
      <c r="W59" s="382" t="str">
        <f>IF(E59="","",IF(AND(V59="Standard difficulty applied",O59&gt;P59),U59,IF(AND(V59="Low Difficulty - only applicable if all habitat created before losses",P59&gt;=O59),"Low",VLOOKUP(F59,'G-3 Multipliers'!$A$2:$E$134,4,FALSE))))</f>
        <v/>
      </c>
      <c r="X59" s="386" t="str">
        <f>IFERROR(IF(E59="","",VLOOKUP(W59, 'G-3 Multipliers'!$P$2:$Q$6,2,FALSE)),"")</f>
        <v/>
      </c>
      <c r="Y59" s="390" t="str">
        <f t="shared" si="4"/>
        <v/>
      </c>
      <c r="Z59" s="194"/>
      <c r="AA59" s="195"/>
      <c r="AB59" s="120"/>
      <c r="AE59" s="40" t="str">
        <f t="shared" si="0"/>
        <v/>
      </c>
    </row>
    <row r="60" spans="1:31">
      <c r="A60" s="35" t="str">
        <f>IFERROR(INDEX('G-8 Condition Look up'!$I$4:$I$135,MATCH(F60,'G-8 Condition Look up'!$A$4:$A$135,0)),"")</f>
        <v/>
      </c>
      <c r="C60" s="299" t="str">
        <f>IFERROR(INDEX('G-1 All Habitats'!$AG$3:$AG$17,MATCH(D60,'G-1 All Habitats'!$AF$3:$AF$17,0)),"")</f>
        <v/>
      </c>
      <c r="D60" s="54"/>
      <c r="E60" s="61"/>
      <c r="F60" s="296" t="str">
        <f>IFERROR(INDEX('G-1 All Habitats'!$B$3:$B$134,MATCH(E60,'G-1 All Habitats'!$A$3:$A$134,0)),"")</f>
        <v/>
      </c>
      <c r="G60" s="53"/>
      <c r="H60" s="362" t="str">
        <f>IF(F60="","",VLOOKUP(F60,'G-1 All Habitats'!$B$2:$M$134,10,FALSE))</f>
        <v/>
      </c>
      <c r="I60" s="363" t="str">
        <f>IFERROR(VLOOKUP(H60,'G-1 All Habitats'!$V$3:$W$7,2,FALSE),"")</f>
        <v/>
      </c>
      <c r="J60" s="54"/>
      <c r="K60" s="363" t="str">
        <f>IFERROR(INDEX('G-8 Condition Look up'!$A$3:$H$135,MATCH(F60,'G-8 Condition Look up'!$A$3:$A$135,0),MATCH(J60,'G-8 Condition Look up'!$A$3:$H$3,0)),"")</f>
        <v/>
      </c>
      <c r="L60" s="54"/>
      <c r="M60" s="370" t="str">
        <f>IF(L60="","",IF(VLOOKUP(L60,'G-3 Multipliers'!$L$3:$N$6,2,FALSE)=0,"Spatial Data Missing",VLOOKUP(L60,'G-3 Multipliers'!$L$3:$N$6,2,FALSE)))</f>
        <v/>
      </c>
      <c r="N60" s="368" t="str">
        <f>IF(L60="","",IF(VLOOKUP(L60,'G-3 Multipliers'!$L$3:$N$6,3,FALSE)=0,"Spatial Data Missing",VLOOKUP(L60,'G-3 Multipliers'!$L$3:$N$6,3,FALSE)))</f>
        <v/>
      </c>
      <c r="O60" s="362" t="str">
        <f t="shared" si="1"/>
        <v/>
      </c>
      <c r="P60" s="63"/>
      <c r="Q60" s="63"/>
      <c r="R60" s="370" t="str">
        <f t="shared" si="2"/>
        <v/>
      </c>
      <c r="S60" s="383" t="str">
        <f t="shared" si="3"/>
        <v/>
      </c>
      <c r="T60" s="384" t="str">
        <f>IFERROR(IF(S60="Check Data ⚠","Check Data ⚠",VLOOKUP(S60,'G-4 Temporal multipliers'!$A$4:$C$37,3,FALSE)),"")</f>
        <v/>
      </c>
      <c r="U60" s="385" t="str">
        <f>IF(F60="","",VLOOKUP(F60,'G-3 Multipliers'!$A$2:$E$134,2,FALSE))</f>
        <v/>
      </c>
      <c r="V60" s="382" t="str">
        <f t="shared" si="5"/>
        <v/>
      </c>
      <c r="W60" s="382" t="str">
        <f>IF(E60="","",IF(AND(V60="Standard difficulty applied",O60&gt;P60),U60,IF(AND(V60="Low Difficulty - only applicable if all habitat created before losses",P60&gt;=O60),"Low",VLOOKUP(F60,'G-3 Multipliers'!$A$2:$E$134,4,FALSE))))</f>
        <v/>
      </c>
      <c r="X60" s="386" t="str">
        <f>IFERROR(IF(E60="","",VLOOKUP(W60, 'G-3 Multipliers'!$P$2:$Q$6,2,FALSE)),"")</f>
        <v/>
      </c>
      <c r="Y60" s="390" t="str">
        <f t="shared" si="4"/>
        <v/>
      </c>
      <c r="Z60" s="194"/>
      <c r="AA60" s="195"/>
      <c r="AB60" s="120"/>
      <c r="AE60" s="40" t="str">
        <f t="shared" si="0"/>
        <v/>
      </c>
    </row>
    <row r="61" spans="1:31">
      <c r="A61" s="35" t="str">
        <f>IFERROR(INDEX('G-8 Condition Look up'!$I$4:$I$135,MATCH(F61,'G-8 Condition Look up'!$A$4:$A$135,0)),"")</f>
        <v/>
      </c>
      <c r="C61" s="299" t="str">
        <f>IFERROR(INDEX('G-1 All Habitats'!$AG$3:$AG$17,MATCH(D61,'G-1 All Habitats'!$AF$3:$AF$17,0)),"")</f>
        <v/>
      </c>
      <c r="D61" s="54"/>
      <c r="E61" s="61"/>
      <c r="F61" s="296" t="str">
        <f>IFERROR(INDEX('G-1 All Habitats'!$B$3:$B$134,MATCH(E61,'G-1 All Habitats'!$A$3:$A$134,0)),"")</f>
        <v/>
      </c>
      <c r="G61" s="53"/>
      <c r="H61" s="362" t="str">
        <f>IF(F61="","",VLOOKUP(F61,'G-1 All Habitats'!$B$2:$M$134,10,FALSE))</f>
        <v/>
      </c>
      <c r="I61" s="363" t="str">
        <f>IFERROR(VLOOKUP(H61,'G-1 All Habitats'!$V$3:$W$7,2,FALSE),"")</f>
        <v/>
      </c>
      <c r="J61" s="54"/>
      <c r="K61" s="363" t="str">
        <f>IFERROR(INDEX('G-8 Condition Look up'!$A$3:$H$135,MATCH(F61,'G-8 Condition Look up'!$A$3:$A$135,0),MATCH(J61,'G-8 Condition Look up'!$A$3:$H$3,0)),"")</f>
        <v/>
      </c>
      <c r="L61" s="54"/>
      <c r="M61" s="370" t="str">
        <f>IF(L61="","",IF(VLOOKUP(L61,'G-3 Multipliers'!$L$3:$N$6,2,FALSE)=0,"Spatial Data Missing",VLOOKUP(L61,'G-3 Multipliers'!$L$3:$N$6,2,FALSE)))</f>
        <v/>
      </c>
      <c r="N61" s="368" t="str">
        <f>IF(L61="","",IF(VLOOKUP(L61,'G-3 Multipliers'!$L$3:$N$6,3,FALSE)=0,"Spatial Data Missing",VLOOKUP(L61,'G-3 Multipliers'!$L$3:$N$6,3,FALSE)))</f>
        <v/>
      </c>
      <c r="O61" s="362" t="str">
        <f t="shared" si="1"/>
        <v/>
      </c>
      <c r="P61" s="63"/>
      <c r="Q61" s="63"/>
      <c r="R61" s="370" t="str">
        <f t="shared" si="2"/>
        <v/>
      </c>
      <c r="S61" s="383" t="str">
        <f t="shared" si="3"/>
        <v/>
      </c>
      <c r="T61" s="384" t="str">
        <f>IFERROR(IF(S61="Check Data ⚠","Check Data ⚠",VLOOKUP(S61,'G-4 Temporal multipliers'!$A$4:$C$37,3,FALSE)),"")</f>
        <v/>
      </c>
      <c r="U61" s="385" t="str">
        <f>IF(F61="","",VLOOKUP(F61,'G-3 Multipliers'!$A$2:$E$134,2,FALSE))</f>
        <v/>
      </c>
      <c r="V61" s="382" t="str">
        <f t="shared" si="5"/>
        <v/>
      </c>
      <c r="W61" s="382" t="str">
        <f>IF(E61="","",IF(AND(V61="Standard difficulty applied",O61&gt;P61),U61,IF(AND(V61="Low Difficulty - only applicable if all habitat created before losses",P61&gt;=O61),"Low",VLOOKUP(F61,'G-3 Multipliers'!$A$2:$E$134,4,FALSE))))</f>
        <v/>
      </c>
      <c r="X61" s="386" t="str">
        <f>IFERROR(IF(E61="","",VLOOKUP(W61, 'G-3 Multipliers'!$P$2:$Q$6,2,FALSE)),"")</f>
        <v/>
      </c>
      <c r="Y61" s="390" t="str">
        <f t="shared" si="4"/>
        <v/>
      </c>
      <c r="Z61" s="194"/>
      <c r="AA61" s="195"/>
      <c r="AB61" s="120"/>
      <c r="AE61" s="40" t="str">
        <f t="shared" si="0"/>
        <v/>
      </c>
    </row>
    <row r="62" spans="1:31">
      <c r="A62" s="35" t="str">
        <f>IFERROR(INDEX('G-8 Condition Look up'!$I$4:$I$135,MATCH(F62,'G-8 Condition Look up'!$A$4:$A$135,0)),"")</f>
        <v/>
      </c>
      <c r="C62" s="299" t="str">
        <f>IFERROR(INDEX('G-1 All Habitats'!$AG$3:$AG$17,MATCH(D62,'G-1 All Habitats'!$AF$3:$AF$17,0)),"")</f>
        <v/>
      </c>
      <c r="D62" s="54"/>
      <c r="E62" s="61"/>
      <c r="F62" s="296" t="str">
        <f>IFERROR(INDEX('G-1 All Habitats'!$B$3:$B$134,MATCH(E62,'G-1 All Habitats'!$A$3:$A$134,0)),"")</f>
        <v/>
      </c>
      <c r="G62" s="53"/>
      <c r="H62" s="362" t="str">
        <f>IF(F62="","",VLOOKUP(F62,'G-1 All Habitats'!$B$2:$M$134,10,FALSE))</f>
        <v/>
      </c>
      <c r="I62" s="363" t="str">
        <f>IFERROR(VLOOKUP(H62,'G-1 All Habitats'!$V$3:$W$7,2,FALSE),"")</f>
        <v/>
      </c>
      <c r="J62" s="54"/>
      <c r="K62" s="363" t="str">
        <f>IFERROR(INDEX('G-8 Condition Look up'!$A$3:$H$135,MATCH(F62,'G-8 Condition Look up'!$A$3:$A$135,0),MATCH(J62,'G-8 Condition Look up'!$A$3:$H$3,0)),"")</f>
        <v/>
      </c>
      <c r="L62" s="54"/>
      <c r="M62" s="370" t="str">
        <f>IF(L62="","",IF(VLOOKUP(L62,'G-3 Multipliers'!$L$3:$N$6,2,FALSE)=0,"Spatial Data Missing",VLOOKUP(L62,'G-3 Multipliers'!$L$3:$N$6,2,FALSE)))</f>
        <v/>
      </c>
      <c r="N62" s="368" t="str">
        <f>IF(L62="","",IF(VLOOKUP(L62,'G-3 Multipliers'!$L$3:$N$6,3,FALSE)=0,"Spatial Data Missing",VLOOKUP(L62,'G-3 Multipliers'!$L$3:$N$6,3,FALSE)))</f>
        <v/>
      </c>
      <c r="O62" s="362" t="str">
        <f t="shared" si="1"/>
        <v/>
      </c>
      <c r="P62" s="63"/>
      <c r="Q62" s="63"/>
      <c r="R62" s="370" t="str">
        <f t="shared" si="2"/>
        <v/>
      </c>
      <c r="S62" s="383" t="str">
        <f t="shared" si="3"/>
        <v/>
      </c>
      <c r="T62" s="384" t="str">
        <f>IFERROR(IF(S62="Check Data ⚠","Check Data ⚠",VLOOKUP(S62,'G-4 Temporal multipliers'!$A$4:$C$37,3,FALSE)),"")</f>
        <v/>
      </c>
      <c r="U62" s="385" t="str">
        <f>IF(F62="","",VLOOKUP(F62,'G-3 Multipliers'!$A$2:$E$134,2,FALSE))</f>
        <v/>
      </c>
      <c r="V62" s="382" t="str">
        <f t="shared" si="5"/>
        <v/>
      </c>
      <c r="W62" s="382" t="str">
        <f>IF(E62="","",IF(AND(V62="Standard difficulty applied",O62&gt;P62),U62,IF(AND(V62="Low Difficulty - only applicable if all habitat created before losses",P62&gt;=O62),"Low",VLOOKUP(F62,'G-3 Multipliers'!$A$2:$E$134,4,FALSE))))</f>
        <v/>
      </c>
      <c r="X62" s="386" t="str">
        <f>IFERROR(IF(E62="","",VLOOKUP(W62, 'G-3 Multipliers'!$P$2:$Q$6,2,FALSE)),"")</f>
        <v/>
      </c>
      <c r="Y62" s="390" t="str">
        <f t="shared" si="4"/>
        <v/>
      </c>
      <c r="Z62" s="194"/>
      <c r="AA62" s="195"/>
      <c r="AB62" s="120"/>
      <c r="AE62" s="40" t="str">
        <f t="shared" si="0"/>
        <v/>
      </c>
    </row>
    <row r="63" spans="1:31">
      <c r="A63" s="35" t="str">
        <f>IFERROR(INDEX('G-8 Condition Look up'!$I$4:$I$135,MATCH(F63,'G-8 Condition Look up'!$A$4:$A$135,0)),"")</f>
        <v/>
      </c>
      <c r="C63" s="299" t="str">
        <f>IFERROR(INDEX('G-1 All Habitats'!$AG$3:$AG$17,MATCH(D63,'G-1 All Habitats'!$AF$3:$AF$17,0)),"")</f>
        <v/>
      </c>
      <c r="D63" s="54"/>
      <c r="E63" s="61"/>
      <c r="F63" s="296" t="str">
        <f>IFERROR(INDEX('G-1 All Habitats'!$B$3:$B$134,MATCH(E63,'G-1 All Habitats'!$A$3:$A$134,0)),"")</f>
        <v/>
      </c>
      <c r="G63" s="53"/>
      <c r="H63" s="362" t="str">
        <f>IF(F63="","",VLOOKUP(F63,'G-1 All Habitats'!$B$2:$M$134,10,FALSE))</f>
        <v/>
      </c>
      <c r="I63" s="363" t="str">
        <f>IFERROR(VLOOKUP(H63,'G-1 All Habitats'!$V$3:$W$7,2,FALSE),"")</f>
        <v/>
      </c>
      <c r="J63" s="54"/>
      <c r="K63" s="363" t="str">
        <f>IFERROR(INDEX('G-8 Condition Look up'!$A$3:$H$135,MATCH(F63,'G-8 Condition Look up'!$A$3:$A$135,0),MATCH(J63,'G-8 Condition Look up'!$A$3:$H$3,0)),"")</f>
        <v/>
      </c>
      <c r="L63" s="54"/>
      <c r="M63" s="370" t="str">
        <f>IF(L63="","",IF(VLOOKUP(L63,'G-3 Multipliers'!$L$3:$N$6,2,FALSE)=0,"Spatial Data Missing",VLOOKUP(L63,'G-3 Multipliers'!$L$3:$N$6,2,FALSE)))</f>
        <v/>
      </c>
      <c r="N63" s="368" t="str">
        <f>IF(L63="","",IF(VLOOKUP(L63,'G-3 Multipliers'!$L$3:$N$6,3,FALSE)=0,"Spatial Data Missing",VLOOKUP(L63,'G-3 Multipliers'!$L$3:$N$6,3,FALSE)))</f>
        <v/>
      </c>
      <c r="O63" s="362" t="str">
        <f t="shared" si="1"/>
        <v/>
      </c>
      <c r="P63" s="63"/>
      <c r="Q63" s="63"/>
      <c r="R63" s="370" t="str">
        <f t="shared" si="2"/>
        <v/>
      </c>
      <c r="S63" s="383" t="str">
        <f t="shared" si="3"/>
        <v/>
      </c>
      <c r="T63" s="384" t="str">
        <f>IFERROR(IF(S63="Check Data ⚠","Check Data ⚠",VLOOKUP(S63,'G-4 Temporal multipliers'!$A$4:$C$37,3,FALSE)),"")</f>
        <v/>
      </c>
      <c r="U63" s="385" t="str">
        <f>IF(F63="","",VLOOKUP(F63,'G-3 Multipliers'!$A$2:$E$134,2,FALSE))</f>
        <v/>
      </c>
      <c r="V63" s="382" t="str">
        <f t="shared" si="5"/>
        <v/>
      </c>
      <c r="W63" s="382" t="str">
        <f>IF(E63="","",IF(AND(V63="Standard difficulty applied",O63&gt;P63),U63,IF(AND(V63="Low Difficulty - only applicable if all habitat created before losses",P63&gt;=O63),"Low",VLOOKUP(F63,'G-3 Multipliers'!$A$2:$E$134,4,FALSE))))</f>
        <v/>
      </c>
      <c r="X63" s="386" t="str">
        <f>IFERROR(IF(E63="","",VLOOKUP(W63, 'G-3 Multipliers'!$P$2:$Q$6,2,FALSE)),"")</f>
        <v/>
      </c>
      <c r="Y63" s="390" t="str">
        <f t="shared" si="4"/>
        <v/>
      </c>
      <c r="Z63" s="194"/>
      <c r="AA63" s="195"/>
      <c r="AB63" s="120"/>
      <c r="AE63" s="40" t="str">
        <f t="shared" si="0"/>
        <v/>
      </c>
    </row>
    <row r="64" spans="1:31">
      <c r="A64" s="35" t="str">
        <f>IFERROR(INDEX('G-8 Condition Look up'!$I$4:$I$135,MATCH(F64,'G-8 Condition Look up'!$A$4:$A$135,0)),"")</f>
        <v/>
      </c>
      <c r="C64" s="299" t="str">
        <f>IFERROR(INDEX('G-1 All Habitats'!$AG$3:$AG$17,MATCH(D64,'G-1 All Habitats'!$AF$3:$AF$17,0)),"")</f>
        <v/>
      </c>
      <c r="D64" s="54"/>
      <c r="E64" s="61"/>
      <c r="F64" s="296" t="str">
        <f>IFERROR(INDEX('G-1 All Habitats'!$B$3:$B$134,MATCH(E64,'G-1 All Habitats'!$A$3:$A$134,0)),"")</f>
        <v/>
      </c>
      <c r="G64" s="53"/>
      <c r="H64" s="362" t="str">
        <f>IF(F64="","",VLOOKUP(F64,'G-1 All Habitats'!$B$2:$M$134,10,FALSE))</f>
        <v/>
      </c>
      <c r="I64" s="363" t="str">
        <f>IFERROR(VLOOKUP(H64,'G-1 All Habitats'!$V$3:$W$7,2,FALSE),"")</f>
        <v/>
      </c>
      <c r="J64" s="54"/>
      <c r="K64" s="363" t="str">
        <f>IFERROR(INDEX('G-8 Condition Look up'!$A$3:$H$135,MATCH(F64,'G-8 Condition Look up'!$A$3:$A$135,0),MATCH(J64,'G-8 Condition Look up'!$A$3:$H$3,0)),"")</f>
        <v/>
      </c>
      <c r="L64" s="54"/>
      <c r="M64" s="370" t="str">
        <f>IF(L64="","",IF(VLOOKUP(L64,'G-3 Multipliers'!$L$3:$N$6,2,FALSE)=0,"Spatial Data Missing",VLOOKUP(L64,'G-3 Multipliers'!$L$3:$N$6,2,FALSE)))</f>
        <v/>
      </c>
      <c r="N64" s="368" t="str">
        <f>IF(L64="","",IF(VLOOKUP(L64,'G-3 Multipliers'!$L$3:$N$6,3,FALSE)=0,"Spatial Data Missing",VLOOKUP(L64,'G-3 Multipliers'!$L$3:$N$6,3,FALSE)))</f>
        <v/>
      </c>
      <c r="O64" s="362" t="str">
        <f t="shared" si="1"/>
        <v/>
      </c>
      <c r="P64" s="63"/>
      <c r="Q64" s="63"/>
      <c r="R64" s="370" t="str">
        <f t="shared" si="2"/>
        <v/>
      </c>
      <c r="S64" s="383" t="str">
        <f t="shared" si="3"/>
        <v/>
      </c>
      <c r="T64" s="384" t="str">
        <f>IFERROR(IF(S64="Check Data ⚠","Check Data ⚠",VLOOKUP(S64,'G-4 Temporal multipliers'!$A$4:$C$37,3,FALSE)),"")</f>
        <v/>
      </c>
      <c r="U64" s="385" t="str">
        <f>IF(F64="","",VLOOKUP(F64,'G-3 Multipliers'!$A$2:$E$134,2,FALSE))</f>
        <v/>
      </c>
      <c r="V64" s="382" t="str">
        <f t="shared" si="5"/>
        <v/>
      </c>
      <c r="W64" s="382" t="str">
        <f>IF(E64="","",IF(AND(V64="Standard difficulty applied",O64&gt;P64),U64,IF(AND(V64="Low Difficulty - only applicable if all habitat created before losses",P64&gt;=O64),"Low",VLOOKUP(F64,'G-3 Multipliers'!$A$2:$E$134,4,FALSE))))</f>
        <v/>
      </c>
      <c r="X64" s="386" t="str">
        <f>IFERROR(IF(E64="","",VLOOKUP(W64, 'G-3 Multipliers'!$P$2:$Q$6,2,FALSE)),"")</f>
        <v/>
      </c>
      <c r="Y64" s="390" t="str">
        <f t="shared" si="4"/>
        <v/>
      </c>
      <c r="Z64" s="194"/>
      <c r="AA64" s="195"/>
      <c r="AB64" s="120"/>
      <c r="AE64" s="40" t="str">
        <f t="shared" si="0"/>
        <v/>
      </c>
    </row>
    <row r="65" spans="1:31">
      <c r="A65" s="35" t="str">
        <f>IFERROR(INDEX('G-8 Condition Look up'!$I$4:$I$135,MATCH(F65,'G-8 Condition Look up'!$A$4:$A$135,0)),"")</f>
        <v/>
      </c>
      <c r="C65" s="299" t="str">
        <f>IFERROR(INDEX('G-1 All Habitats'!$AG$3:$AG$17,MATCH(D65,'G-1 All Habitats'!$AF$3:$AF$17,0)),"")</f>
        <v/>
      </c>
      <c r="D65" s="54"/>
      <c r="E65" s="61"/>
      <c r="F65" s="296" t="str">
        <f>IFERROR(INDEX('G-1 All Habitats'!$B$3:$B$134,MATCH(E65,'G-1 All Habitats'!$A$3:$A$134,0)),"")</f>
        <v/>
      </c>
      <c r="G65" s="53"/>
      <c r="H65" s="362" t="str">
        <f>IF(F65="","",VLOOKUP(F65,'G-1 All Habitats'!$B$2:$M$134,10,FALSE))</f>
        <v/>
      </c>
      <c r="I65" s="363" t="str">
        <f>IFERROR(VLOOKUP(H65,'G-1 All Habitats'!$V$3:$W$7,2,FALSE),"")</f>
        <v/>
      </c>
      <c r="J65" s="54"/>
      <c r="K65" s="363" t="str">
        <f>IFERROR(INDEX('G-8 Condition Look up'!$A$3:$H$135,MATCH(F65,'G-8 Condition Look up'!$A$3:$A$135,0),MATCH(J65,'G-8 Condition Look up'!$A$3:$H$3,0)),"")</f>
        <v/>
      </c>
      <c r="L65" s="54"/>
      <c r="M65" s="370" t="str">
        <f>IF(L65="","",IF(VLOOKUP(L65,'G-3 Multipliers'!$L$3:$N$6,2,FALSE)=0,"Spatial Data Missing",VLOOKUP(L65,'G-3 Multipliers'!$L$3:$N$6,2,FALSE)))</f>
        <v/>
      </c>
      <c r="N65" s="368" t="str">
        <f>IF(L65="","",IF(VLOOKUP(L65,'G-3 Multipliers'!$L$3:$N$6,3,FALSE)=0,"Spatial Data Missing",VLOOKUP(L65,'G-3 Multipliers'!$L$3:$N$6,3,FALSE)))</f>
        <v/>
      </c>
      <c r="O65" s="362" t="str">
        <f t="shared" si="1"/>
        <v/>
      </c>
      <c r="P65" s="63"/>
      <c r="Q65" s="63"/>
      <c r="R65" s="370" t="str">
        <f t="shared" si="2"/>
        <v/>
      </c>
      <c r="S65" s="383" t="str">
        <f t="shared" si="3"/>
        <v/>
      </c>
      <c r="T65" s="384" t="str">
        <f>IFERROR(IF(S65="Check Data ⚠","Check Data ⚠",VLOOKUP(S65,'G-4 Temporal multipliers'!$A$4:$C$37,3,FALSE)),"")</f>
        <v/>
      </c>
      <c r="U65" s="385" t="str">
        <f>IF(F65="","",VLOOKUP(F65,'G-3 Multipliers'!$A$2:$E$134,2,FALSE))</f>
        <v/>
      </c>
      <c r="V65" s="382" t="str">
        <f t="shared" si="5"/>
        <v/>
      </c>
      <c r="W65" s="382" t="str">
        <f>IF(E65="","",IF(AND(V65="Standard difficulty applied",O65&gt;P65),U65,IF(AND(V65="Low Difficulty - only applicable if all habitat created before losses",P65&gt;=O65),"Low",VLOOKUP(F65,'G-3 Multipliers'!$A$2:$E$134,4,FALSE))))</f>
        <v/>
      </c>
      <c r="X65" s="386" t="str">
        <f>IFERROR(IF(E65="","",VLOOKUP(W65, 'G-3 Multipliers'!$P$2:$Q$6,2,FALSE)),"")</f>
        <v/>
      </c>
      <c r="Y65" s="390" t="str">
        <f t="shared" si="4"/>
        <v/>
      </c>
      <c r="Z65" s="194"/>
      <c r="AA65" s="195"/>
      <c r="AB65" s="120"/>
      <c r="AE65" s="40" t="str">
        <f t="shared" si="0"/>
        <v/>
      </c>
    </row>
    <row r="66" spans="1:31">
      <c r="A66" s="35" t="str">
        <f>IFERROR(INDEX('G-8 Condition Look up'!$I$4:$I$135,MATCH(F66,'G-8 Condition Look up'!$A$4:$A$135,0)),"")</f>
        <v/>
      </c>
      <c r="C66" s="299" t="str">
        <f>IFERROR(INDEX('G-1 All Habitats'!$AG$3:$AG$17,MATCH(D66,'G-1 All Habitats'!$AF$3:$AF$17,0)),"")</f>
        <v/>
      </c>
      <c r="D66" s="54"/>
      <c r="E66" s="61"/>
      <c r="F66" s="296" t="str">
        <f>IFERROR(INDEX('G-1 All Habitats'!$B$3:$B$134,MATCH(E66,'G-1 All Habitats'!$A$3:$A$134,0)),"")</f>
        <v/>
      </c>
      <c r="G66" s="53"/>
      <c r="H66" s="362" t="str">
        <f>IF(F66="","",VLOOKUP(F66,'G-1 All Habitats'!$B$2:$M$134,10,FALSE))</f>
        <v/>
      </c>
      <c r="I66" s="363" t="str">
        <f>IFERROR(VLOOKUP(H66,'G-1 All Habitats'!$V$3:$W$7,2,FALSE),"")</f>
        <v/>
      </c>
      <c r="J66" s="54"/>
      <c r="K66" s="363" t="str">
        <f>IFERROR(INDEX('G-8 Condition Look up'!$A$3:$H$135,MATCH(F66,'G-8 Condition Look up'!$A$3:$A$135,0),MATCH(J66,'G-8 Condition Look up'!$A$3:$H$3,0)),"")</f>
        <v/>
      </c>
      <c r="L66" s="54"/>
      <c r="M66" s="370" t="str">
        <f>IF(L66="","",IF(VLOOKUP(L66,'G-3 Multipliers'!$L$3:$N$6,2,FALSE)=0,"Spatial Data Missing",VLOOKUP(L66,'G-3 Multipliers'!$L$3:$N$6,2,FALSE)))</f>
        <v/>
      </c>
      <c r="N66" s="368" t="str">
        <f>IF(L66="","",IF(VLOOKUP(L66,'G-3 Multipliers'!$L$3:$N$6,3,FALSE)=0,"Spatial Data Missing",VLOOKUP(L66,'G-3 Multipliers'!$L$3:$N$6,3,FALSE)))</f>
        <v/>
      </c>
      <c r="O66" s="362" t="str">
        <f t="shared" si="1"/>
        <v/>
      </c>
      <c r="P66" s="63"/>
      <c r="Q66" s="63"/>
      <c r="R66" s="370" t="str">
        <f t="shared" si="2"/>
        <v/>
      </c>
      <c r="S66" s="383" t="str">
        <f t="shared" si="3"/>
        <v/>
      </c>
      <c r="T66" s="384" t="str">
        <f>IFERROR(IF(S66="Check Data ⚠","Check Data ⚠",VLOOKUP(S66,'G-4 Temporal multipliers'!$A$4:$C$37,3,FALSE)),"")</f>
        <v/>
      </c>
      <c r="U66" s="385" t="str">
        <f>IF(F66="","",VLOOKUP(F66,'G-3 Multipliers'!$A$2:$E$134,2,FALSE))</f>
        <v/>
      </c>
      <c r="V66" s="382" t="str">
        <f t="shared" si="5"/>
        <v/>
      </c>
      <c r="W66" s="382" t="str">
        <f>IF(E66="","",IF(AND(V66="Standard difficulty applied",O66&gt;P66),U66,IF(AND(V66="Low Difficulty - only applicable if all habitat created before losses",P66&gt;=O66),"Low",VLOOKUP(F66,'G-3 Multipliers'!$A$2:$E$134,4,FALSE))))</f>
        <v/>
      </c>
      <c r="X66" s="386" t="str">
        <f>IFERROR(IF(E66="","",VLOOKUP(W66, 'G-3 Multipliers'!$P$2:$Q$6,2,FALSE)),"")</f>
        <v/>
      </c>
      <c r="Y66" s="390" t="str">
        <f t="shared" si="4"/>
        <v/>
      </c>
      <c r="Z66" s="194"/>
      <c r="AA66" s="195"/>
      <c r="AB66" s="120"/>
      <c r="AE66" s="40" t="str">
        <f t="shared" si="0"/>
        <v/>
      </c>
    </row>
    <row r="67" spans="1:31">
      <c r="A67" s="35" t="str">
        <f>IFERROR(INDEX('G-8 Condition Look up'!$I$4:$I$135,MATCH(F67,'G-8 Condition Look up'!$A$4:$A$135,0)),"")</f>
        <v/>
      </c>
      <c r="C67" s="299" t="str">
        <f>IFERROR(INDEX('G-1 All Habitats'!$AG$3:$AG$17,MATCH(D67,'G-1 All Habitats'!$AF$3:$AF$17,0)),"")</f>
        <v/>
      </c>
      <c r="D67" s="54"/>
      <c r="E67" s="61"/>
      <c r="F67" s="296" t="str">
        <f>IFERROR(INDEX('G-1 All Habitats'!$B$3:$B$134,MATCH(E67,'G-1 All Habitats'!$A$3:$A$134,0)),"")</f>
        <v/>
      </c>
      <c r="G67" s="53"/>
      <c r="H67" s="362" t="str">
        <f>IF(F67="","",VLOOKUP(F67,'G-1 All Habitats'!$B$2:$M$134,10,FALSE))</f>
        <v/>
      </c>
      <c r="I67" s="363" t="str">
        <f>IFERROR(VLOOKUP(H67,'G-1 All Habitats'!$V$3:$W$7,2,FALSE),"")</f>
        <v/>
      </c>
      <c r="J67" s="54"/>
      <c r="K67" s="363" t="str">
        <f>IFERROR(INDEX('G-8 Condition Look up'!$A$3:$H$135,MATCH(F67,'G-8 Condition Look up'!$A$3:$A$135,0),MATCH(J67,'G-8 Condition Look up'!$A$3:$H$3,0)),"")</f>
        <v/>
      </c>
      <c r="L67" s="54"/>
      <c r="M67" s="370" t="str">
        <f>IF(L67="","",IF(VLOOKUP(L67,'G-3 Multipliers'!$L$3:$N$6,2,FALSE)=0,"Spatial Data Missing",VLOOKUP(L67,'G-3 Multipliers'!$L$3:$N$6,2,FALSE)))</f>
        <v/>
      </c>
      <c r="N67" s="368" t="str">
        <f>IF(L67="","",IF(VLOOKUP(L67,'G-3 Multipliers'!$L$3:$N$6,3,FALSE)=0,"Spatial Data Missing",VLOOKUP(L67,'G-3 Multipliers'!$L$3:$N$6,3,FALSE)))</f>
        <v/>
      </c>
      <c r="O67" s="362" t="str">
        <f t="shared" si="1"/>
        <v/>
      </c>
      <c r="P67" s="63"/>
      <c r="Q67" s="63"/>
      <c r="R67" s="370" t="str">
        <f t="shared" si="2"/>
        <v/>
      </c>
      <c r="S67" s="383" t="str">
        <f t="shared" si="3"/>
        <v/>
      </c>
      <c r="T67" s="384" t="str">
        <f>IFERROR(IF(S67="Check Data ⚠","Check Data ⚠",VLOOKUP(S67,'G-4 Temporal multipliers'!$A$4:$C$37,3,FALSE)),"")</f>
        <v/>
      </c>
      <c r="U67" s="385" t="str">
        <f>IF(F67="","",VLOOKUP(F67,'G-3 Multipliers'!$A$2:$E$134,2,FALSE))</f>
        <v/>
      </c>
      <c r="V67" s="382" t="str">
        <f t="shared" si="5"/>
        <v/>
      </c>
      <c r="W67" s="382" t="str">
        <f>IF(E67="","",IF(AND(V67="Standard difficulty applied",O67&gt;P67),U67,IF(AND(V67="Low Difficulty - only applicable if all habitat created before losses",P67&gt;=O67),"Low",VLOOKUP(F67,'G-3 Multipliers'!$A$2:$E$134,4,FALSE))))</f>
        <v/>
      </c>
      <c r="X67" s="386" t="str">
        <f>IFERROR(IF(E67="","",VLOOKUP(W67, 'G-3 Multipliers'!$P$2:$Q$6,2,FALSE)),"")</f>
        <v/>
      </c>
      <c r="Y67" s="390" t="str">
        <f t="shared" si="4"/>
        <v/>
      </c>
      <c r="Z67" s="194"/>
      <c r="AA67" s="195"/>
      <c r="AB67" s="120"/>
      <c r="AE67" s="40" t="str">
        <f t="shared" si="0"/>
        <v/>
      </c>
    </row>
    <row r="68" spans="1:31">
      <c r="A68" s="35" t="str">
        <f>IFERROR(INDEX('G-8 Condition Look up'!$I$4:$I$135,MATCH(F68,'G-8 Condition Look up'!$A$4:$A$135,0)),"")</f>
        <v/>
      </c>
      <c r="C68" s="299" t="str">
        <f>IFERROR(INDEX('G-1 All Habitats'!$AG$3:$AG$17,MATCH(D68,'G-1 All Habitats'!$AF$3:$AF$17,0)),"")</f>
        <v/>
      </c>
      <c r="D68" s="54"/>
      <c r="E68" s="61"/>
      <c r="F68" s="296" t="str">
        <f>IFERROR(INDEX('G-1 All Habitats'!$B$3:$B$134,MATCH(E68,'G-1 All Habitats'!$A$3:$A$134,0)),"")</f>
        <v/>
      </c>
      <c r="G68" s="53"/>
      <c r="H68" s="362" t="str">
        <f>IF(F68="","",VLOOKUP(F68,'G-1 All Habitats'!$B$2:$M$134,10,FALSE))</f>
        <v/>
      </c>
      <c r="I68" s="363" t="str">
        <f>IFERROR(VLOOKUP(H68,'G-1 All Habitats'!$V$3:$W$7,2,FALSE),"")</f>
        <v/>
      </c>
      <c r="J68" s="54"/>
      <c r="K68" s="363" t="str">
        <f>IFERROR(INDEX('G-8 Condition Look up'!$A$3:$H$135,MATCH(F68,'G-8 Condition Look up'!$A$3:$A$135,0),MATCH(J68,'G-8 Condition Look up'!$A$3:$H$3,0)),"")</f>
        <v/>
      </c>
      <c r="L68" s="54"/>
      <c r="M68" s="370" t="str">
        <f>IF(L68="","",IF(VLOOKUP(L68,'G-3 Multipliers'!$L$3:$N$6,2,FALSE)=0,"Spatial Data Missing",VLOOKUP(L68,'G-3 Multipliers'!$L$3:$N$6,2,FALSE)))</f>
        <v/>
      </c>
      <c r="N68" s="368" t="str">
        <f>IF(L68="","",IF(VLOOKUP(L68,'G-3 Multipliers'!$L$3:$N$6,3,FALSE)=0,"Spatial Data Missing",VLOOKUP(L68,'G-3 Multipliers'!$L$3:$N$6,3,FALSE)))</f>
        <v/>
      </c>
      <c r="O68" s="362" t="str">
        <f t="shared" si="1"/>
        <v/>
      </c>
      <c r="P68" s="63"/>
      <c r="Q68" s="63"/>
      <c r="R68" s="370" t="str">
        <f t="shared" si="2"/>
        <v/>
      </c>
      <c r="S68" s="383" t="str">
        <f t="shared" si="3"/>
        <v/>
      </c>
      <c r="T68" s="384" t="str">
        <f>IFERROR(IF(S68="Check Data ⚠","Check Data ⚠",VLOOKUP(S68,'G-4 Temporal multipliers'!$A$4:$C$37,3,FALSE)),"")</f>
        <v/>
      </c>
      <c r="U68" s="385" t="str">
        <f>IF(F68="","",VLOOKUP(F68,'G-3 Multipliers'!$A$2:$E$134,2,FALSE))</f>
        <v/>
      </c>
      <c r="V68" s="382" t="str">
        <f t="shared" si="5"/>
        <v/>
      </c>
      <c r="W68" s="382" t="str">
        <f>IF(E68="","",IF(AND(V68="Standard difficulty applied",O68&gt;P68),U68,IF(AND(V68="Low Difficulty - only applicable if all habitat created before losses",P68&gt;=O68),"Low",VLOOKUP(F68,'G-3 Multipliers'!$A$2:$E$134,4,FALSE))))</f>
        <v/>
      </c>
      <c r="X68" s="386" t="str">
        <f>IFERROR(IF(E68="","",VLOOKUP(W68, 'G-3 Multipliers'!$P$2:$Q$6,2,FALSE)),"")</f>
        <v/>
      </c>
      <c r="Y68" s="390" t="str">
        <f t="shared" si="4"/>
        <v/>
      </c>
      <c r="Z68" s="194"/>
      <c r="AA68" s="195"/>
      <c r="AB68" s="120"/>
      <c r="AE68" s="40" t="str">
        <f t="shared" si="0"/>
        <v/>
      </c>
    </row>
    <row r="69" spans="1:31">
      <c r="A69" s="35" t="str">
        <f>IFERROR(INDEX('G-8 Condition Look up'!$I$4:$I$135,MATCH(F69,'G-8 Condition Look up'!$A$4:$A$135,0)),"")</f>
        <v/>
      </c>
      <c r="C69" s="299" t="str">
        <f>IFERROR(INDEX('G-1 All Habitats'!$AG$3:$AG$17,MATCH(D69,'G-1 All Habitats'!$AF$3:$AF$17,0)),"")</f>
        <v/>
      </c>
      <c r="D69" s="54"/>
      <c r="E69" s="61"/>
      <c r="F69" s="296" t="str">
        <f>IFERROR(INDEX('G-1 All Habitats'!$B$3:$B$134,MATCH(E69,'G-1 All Habitats'!$A$3:$A$134,0)),"")</f>
        <v/>
      </c>
      <c r="G69" s="53"/>
      <c r="H69" s="362" t="str">
        <f>IF(F69="","",VLOOKUP(F69,'G-1 All Habitats'!$B$2:$M$134,10,FALSE))</f>
        <v/>
      </c>
      <c r="I69" s="363" t="str">
        <f>IFERROR(VLOOKUP(H69,'G-1 All Habitats'!$V$3:$W$7,2,FALSE),"")</f>
        <v/>
      </c>
      <c r="J69" s="54"/>
      <c r="K69" s="363" t="str">
        <f>IFERROR(INDEX('G-8 Condition Look up'!$A$3:$H$135,MATCH(F69,'G-8 Condition Look up'!$A$3:$A$135,0),MATCH(J69,'G-8 Condition Look up'!$A$3:$H$3,0)),"")</f>
        <v/>
      </c>
      <c r="L69" s="54"/>
      <c r="M69" s="370" t="str">
        <f>IF(L69="","",IF(VLOOKUP(L69,'G-3 Multipliers'!$L$3:$N$6,2,FALSE)=0,"Spatial Data Missing",VLOOKUP(L69,'G-3 Multipliers'!$L$3:$N$6,2,FALSE)))</f>
        <v/>
      </c>
      <c r="N69" s="368" t="str">
        <f>IF(L69="","",IF(VLOOKUP(L69,'G-3 Multipliers'!$L$3:$N$6,3,FALSE)=0,"Spatial Data Missing",VLOOKUP(L69,'G-3 Multipliers'!$L$3:$N$6,3,FALSE)))</f>
        <v/>
      </c>
      <c r="O69" s="362" t="str">
        <f t="shared" si="1"/>
        <v/>
      </c>
      <c r="P69" s="63"/>
      <c r="Q69" s="63"/>
      <c r="R69" s="370" t="str">
        <f t="shared" si="2"/>
        <v/>
      </c>
      <c r="S69" s="383" t="str">
        <f t="shared" si="3"/>
        <v/>
      </c>
      <c r="T69" s="384" t="str">
        <f>IFERROR(IF(S69="Check Data ⚠","Check Data ⚠",VLOOKUP(S69,'G-4 Temporal multipliers'!$A$4:$C$37,3,FALSE)),"")</f>
        <v/>
      </c>
      <c r="U69" s="385" t="str">
        <f>IF(F69="","",VLOOKUP(F69,'G-3 Multipliers'!$A$2:$E$134,2,FALSE))</f>
        <v/>
      </c>
      <c r="V69" s="382" t="str">
        <f t="shared" si="5"/>
        <v/>
      </c>
      <c r="W69" s="382" t="str">
        <f>IF(E69="","",IF(AND(V69="Standard difficulty applied",O69&gt;P69),U69,IF(AND(V69="Low Difficulty - only applicable if all habitat created before losses",P69&gt;=O69),"Low",VLOOKUP(F69,'G-3 Multipliers'!$A$2:$E$134,4,FALSE))))</f>
        <v/>
      </c>
      <c r="X69" s="386" t="str">
        <f>IFERROR(IF(E69="","",VLOOKUP(W69, 'G-3 Multipliers'!$P$2:$Q$6,2,FALSE)),"")</f>
        <v/>
      </c>
      <c r="Y69" s="390" t="str">
        <f t="shared" si="4"/>
        <v/>
      </c>
      <c r="Z69" s="194"/>
      <c r="AA69" s="195"/>
      <c r="AB69" s="120"/>
      <c r="AE69" s="40" t="str">
        <f t="shared" si="0"/>
        <v/>
      </c>
    </row>
    <row r="70" spans="1:31">
      <c r="A70" s="35" t="str">
        <f>IFERROR(INDEX('G-8 Condition Look up'!$I$4:$I$135,MATCH(F70,'G-8 Condition Look up'!$A$4:$A$135,0)),"")</f>
        <v/>
      </c>
      <c r="C70" s="299" t="str">
        <f>IFERROR(INDEX('G-1 All Habitats'!$AG$3:$AG$17,MATCH(D70,'G-1 All Habitats'!$AF$3:$AF$17,0)),"")</f>
        <v/>
      </c>
      <c r="D70" s="54"/>
      <c r="E70" s="61"/>
      <c r="F70" s="296" t="str">
        <f>IFERROR(INDEX('G-1 All Habitats'!$B$3:$B$134,MATCH(E70,'G-1 All Habitats'!$A$3:$A$134,0)),"")</f>
        <v/>
      </c>
      <c r="G70" s="53"/>
      <c r="H70" s="362" t="str">
        <f>IF(F70="","",VLOOKUP(F70,'G-1 All Habitats'!$B$2:$M$134,10,FALSE))</f>
        <v/>
      </c>
      <c r="I70" s="363" t="str">
        <f>IFERROR(VLOOKUP(H70,'G-1 All Habitats'!$V$3:$W$7,2,FALSE),"")</f>
        <v/>
      </c>
      <c r="J70" s="54"/>
      <c r="K70" s="363" t="str">
        <f>IFERROR(INDEX('G-8 Condition Look up'!$A$3:$H$135,MATCH(F70,'G-8 Condition Look up'!$A$3:$A$135,0),MATCH(J70,'G-8 Condition Look up'!$A$3:$H$3,0)),"")</f>
        <v/>
      </c>
      <c r="L70" s="54"/>
      <c r="M70" s="370" t="str">
        <f>IF(L70="","",IF(VLOOKUP(L70,'G-3 Multipliers'!$L$3:$N$6,2,FALSE)=0,"Spatial Data Missing",VLOOKUP(L70,'G-3 Multipliers'!$L$3:$N$6,2,FALSE)))</f>
        <v/>
      </c>
      <c r="N70" s="368" t="str">
        <f>IF(L70="","",IF(VLOOKUP(L70,'G-3 Multipliers'!$L$3:$N$6,3,FALSE)=0,"Spatial Data Missing",VLOOKUP(L70,'G-3 Multipliers'!$L$3:$N$6,3,FALSE)))</f>
        <v/>
      </c>
      <c r="O70" s="362" t="str">
        <f t="shared" si="1"/>
        <v/>
      </c>
      <c r="P70" s="63"/>
      <c r="Q70" s="63"/>
      <c r="R70" s="370" t="str">
        <f t="shared" si="2"/>
        <v/>
      </c>
      <c r="S70" s="383" t="str">
        <f t="shared" si="3"/>
        <v/>
      </c>
      <c r="T70" s="384" t="str">
        <f>IFERROR(IF(S70="Check Data ⚠","Check Data ⚠",VLOOKUP(S70,'G-4 Temporal multipliers'!$A$4:$C$37,3,FALSE)),"")</f>
        <v/>
      </c>
      <c r="U70" s="385" t="str">
        <f>IF(F70="","",VLOOKUP(F70,'G-3 Multipliers'!$A$2:$E$134,2,FALSE))</f>
        <v/>
      </c>
      <c r="V70" s="382" t="str">
        <f t="shared" si="5"/>
        <v/>
      </c>
      <c r="W70" s="382" t="str">
        <f>IF(E70="","",IF(AND(V70="Standard difficulty applied",O70&gt;P70),U70,IF(AND(V70="Low Difficulty - only applicable if all habitat created before losses",P70&gt;=O70),"Low",VLOOKUP(F70,'G-3 Multipliers'!$A$2:$E$134,4,FALSE))))</f>
        <v/>
      </c>
      <c r="X70" s="386" t="str">
        <f>IFERROR(IF(E70="","",VLOOKUP(W70, 'G-3 Multipliers'!$P$2:$Q$6,2,FALSE)),"")</f>
        <v/>
      </c>
      <c r="Y70" s="390" t="str">
        <f t="shared" si="4"/>
        <v/>
      </c>
      <c r="Z70" s="194"/>
      <c r="AA70" s="195"/>
      <c r="AB70" s="120"/>
      <c r="AE70" s="40" t="str">
        <f t="shared" si="0"/>
        <v/>
      </c>
    </row>
    <row r="71" spans="1:31">
      <c r="A71" s="35" t="str">
        <f>IFERROR(INDEX('G-8 Condition Look up'!$I$4:$I$135,MATCH(F71,'G-8 Condition Look up'!$A$4:$A$135,0)),"")</f>
        <v/>
      </c>
      <c r="C71" s="299" t="str">
        <f>IFERROR(INDEX('G-1 All Habitats'!$AG$3:$AG$17,MATCH(D71,'G-1 All Habitats'!$AF$3:$AF$17,0)),"")</f>
        <v/>
      </c>
      <c r="D71" s="54"/>
      <c r="E71" s="61"/>
      <c r="F71" s="296" t="str">
        <f>IFERROR(INDEX('G-1 All Habitats'!$B$3:$B$134,MATCH(E71,'G-1 All Habitats'!$A$3:$A$134,0)),"")</f>
        <v/>
      </c>
      <c r="G71" s="53"/>
      <c r="H71" s="362" t="str">
        <f>IF(F71="","",VLOOKUP(F71,'G-1 All Habitats'!$B$2:$M$134,10,FALSE))</f>
        <v/>
      </c>
      <c r="I71" s="363" t="str">
        <f>IFERROR(VLOOKUP(H71,'G-1 All Habitats'!$V$3:$W$7,2,FALSE),"")</f>
        <v/>
      </c>
      <c r="J71" s="54"/>
      <c r="K71" s="363" t="str">
        <f>IFERROR(INDEX('G-8 Condition Look up'!$A$3:$H$135,MATCH(F71,'G-8 Condition Look up'!$A$3:$A$135,0),MATCH(J71,'G-8 Condition Look up'!$A$3:$H$3,0)),"")</f>
        <v/>
      </c>
      <c r="L71" s="54"/>
      <c r="M71" s="370" t="str">
        <f>IF(L71="","",IF(VLOOKUP(L71,'G-3 Multipliers'!$L$3:$N$6,2,FALSE)=0,"Spatial Data Missing",VLOOKUP(L71,'G-3 Multipliers'!$L$3:$N$6,2,FALSE)))</f>
        <v/>
      </c>
      <c r="N71" s="368" t="str">
        <f>IF(L71="","",IF(VLOOKUP(L71,'G-3 Multipliers'!$L$3:$N$6,3,FALSE)=0,"Spatial Data Missing",VLOOKUP(L71,'G-3 Multipliers'!$L$3:$N$6,3,FALSE)))</f>
        <v/>
      </c>
      <c r="O71" s="362" t="str">
        <f t="shared" si="1"/>
        <v/>
      </c>
      <c r="P71" s="63"/>
      <c r="Q71" s="63"/>
      <c r="R71" s="370" t="str">
        <f t="shared" si="2"/>
        <v/>
      </c>
      <c r="S71" s="383" t="str">
        <f t="shared" si="3"/>
        <v/>
      </c>
      <c r="T71" s="384" t="str">
        <f>IFERROR(IF(S71="Check Data ⚠","Check Data ⚠",VLOOKUP(S71,'G-4 Temporal multipliers'!$A$4:$C$37,3,FALSE)),"")</f>
        <v/>
      </c>
      <c r="U71" s="385" t="str">
        <f>IF(F71="","",VLOOKUP(F71,'G-3 Multipliers'!$A$2:$E$134,2,FALSE))</f>
        <v/>
      </c>
      <c r="V71" s="382" t="str">
        <f t="shared" si="5"/>
        <v/>
      </c>
      <c r="W71" s="382" t="str">
        <f>IF(E71="","",IF(AND(V71="Standard difficulty applied",O71&gt;P71),U71,IF(AND(V71="Low Difficulty - only applicable if all habitat created before losses",P71&gt;=O71),"Low",VLOOKUP(F71,'G-3 Multipliers'!$A$2:$E$134,4,FALSE))))</f>
        <v/>
      </c>
      <c r="X71" s="386" t="str">
        <f>IFERROR(IF(E71="","",VLOOKUP(W71, 'G-3 Multipliers'!$P$2:$Q$6,2,FALSE)),"")</f>
        <v/>
      </c>
      <c r="Y71" s="390" t="str">
        <f t="shared" si="4"/>
        <v/>
      </c>
      <c r="Z71" s="194"/>
      <c r="AA71" s="195"/>
      <c r="AB71" s="120"/>
      <c r="AE71" s="40" t="str">
        <f t="shared" si="0"/>
        <v/>
      </c>
    </row>
    <row r="72" spans="1:31">
      <c r="A72" s="35" t="str">
        <f>IFERROR(INDEX('G-8 Condition Look up'!$I$4:$I$135,MATCH(F72,'G-8 Condition Look up'!$A$4:$A$135,0)),"")</f>
        <v/>
      </c>
      <c r="C72" s="299" t="str">
        <f>IFERROR(INDEX('G-1 All Habitats'!$AG$3:$AG$17,MATCH(D72,'G-1 All Habitats'!$AF$3:$AF$17,0)),"")</f>
        <v/>
      </c>
      <c r="D72" s="54"/>
      <c r="E72" s="61"/>
      <c r="F72" s="296" t="str">
        <f>IFERROR(INDEX('G-1 All Habitats'!$B$3:$B$134,MATCH(E72,'G-1 All Habitats'!$A$3:$A$134,0)),"")</f>
        <v/>
      </c>
      <c r="G72" s="53"/>
      <c r="H72" s="362" t="str">
        <f>IF(F72="","",VLOOKUP(F72,'G-1 All Habitats'!$B$2:$M$134,10,FALSE))</f>
        <v/>
      </c>
      <c r="I72" s="363" t="str">
        <f>IFERROR(VLOOKUP(H72,'G-1 All Habitats'!$V$3:$W$7,2,FALSE),"")</f>
        <v/>
      </c>
      <c r="J72" s="54"/>
      <c r="K72" s="363" t="str">
        <f>IFERROR(INDEX('G-8 Condition Look up'!$A$3:$H$135,MATCH(F72,'G-8 Condition Look up'!$A$3:$A$135,0),MATCH(J72,'G-8 Condition Look up'!$A$3:$H$3,0)),"")</f>
        <v/>
      </c>
      <c r="L72" s="54"/>
      <c r="M72" s="370" t="str">
        <f>IF(L72="","",IF(VLOOKUP(L72,'G-3 Multipliers'!$L$3:$N$6,2,FALSE)=0,"Spatial Data Missing",VLOOKUP(L72,'G-3 Multipliers'!$L$3:$N$6,2,FALSE)))</f>
        <v/>
      </c>
      <c r="N72" s="368" t="str">
        <f>IF(L72="","",IF(VLOOKUP(L72,'G-3 Multipliers'!$L$3:$N$6,3,FALSE)=0,"Spatial Data Missing",VLOOKUP(L72,'G-3 Multipliers'!$L$3:$N$6,3,FALSE)))</f>
        <v/>
      </c>
      <c r="O72" s="362" t="str">
        <f t="shared" si="1"/>
        <v/>
      </c>
      <c r="P72" s="63"/>
      <c r="Q72" s="63"/>
      <c r="R72" s="370" t="str">
        <f t="shared" si="2"/>
        <v/>
      </c>
      <c r="S72" s="383" t="str">
        <f t="shared" si="3"/>
        <v/>
      </c>
      <c r="T72" s="384" t="str">
        <f>IFERROR(IF(S72="Check Data ⚠","Check Data ⚠",VLOOKUP(S72,'G-4 Temporal multipliers'!$A$4:$C$37,3,FALSE)),"")</f>
        <v/>
      </c>
      <c r="U72" s="385" t="str">
        <f>IF(F72="","",VLOOKUP(F72,'G-3 Multipliers'!$A$2:$E$134,2,FALSE))</f>
        <v/>
      </c>
      <c r="V72" s="382" t="str">
        <f t="shared" si="5"/>
        <v/>
      </c>
      <c r="W72" s="382" t="str">
        <f>IF(E72="","",IF(AND(V72="Standard difficulty applied",O72&gt;P72),U72,IF(AND(V72="Low Difficulty - only applicable if all habitat created before losses",P72&gt;=O72),"Low",VLOOKUP(F72,'G-3 Multipliers'!$A$2:$E$134,4,FALSE))))</f>
        <v/>
      </c>
      <c r="X72" s="386" t="str">
        <f>IFERROR(IF(E72="","",VLOOKUP(W72, 'G-3 Multipliers'!$P$2:$Q$6,2,FALSE)),"")</f>
        <v/>
      </c>
      <c r="Y72" s="390" t="str">
        <f t="shared" si="4"/>
        <v/>
      </c>
      <c r="Z72" s="194"/>
      <c r="AA72" s="195"/>
      <c r="AB72" s="120"/>
      <c r="AE72" s="40" t="str">
        <f t="shared" si="0"/>
        <v/>
      </c>
    </row>
    <row r="73" spans="1:31">
      <c r="A73" s="35" t="str">
        <f>IFERROR(INDEX('G-8 Condition Look up'!$I$4:$I$135,MATCH(F73,'G-8 Condition Look up'!$A$4:$A$135,0)),"")</f>
        <v/>
      </c>
      <c r="C73" s="299" t="str">
        <f>IFERROR(INDEX('G-1 All Habitats'!$AG$3:$AG$17,MATCH(D73,'G-1 All Habitats'!$AF$3:$AF$17,0)),"")</f>
        <v/>
      </c>
      <c r="D73" s="54"/>
      <c r="E73" s="61"/>
      <c r="F73" s="296" t="str">
        <f>IFERROR(INDEX('G-1 All Habitats'!$B$3:$B$134,MATCH(E73,'G-1 All Habitats'!$A$3:$A$134,0)),"")</f>
        <v/>
      </c>
      <c r="G73" s="53"/>
      <c r="H73" s="362" t="str">
        <f>IF(F73="","",VLOOKUP(F73,'G-1 All Habitats'!$B$2:$M$134,10,FALSE))</f>
        <v/>
      </c>
      <c r="I73" s="363" t="str">
        <f>IFERROR(VLOOKUP(H73,'G-1 All Habitats'!$V$3:$W$7,2,FALSE),"")</f>
        <v/>
      </c>
      <c r="J73" s="54"/>
      <c r="K73" s="363" t="str">
        <f>IFERROR(INDEX('G-8 Condition Look up'!$A$3:$H$135,MATCH(F73,'G-8 Condition Look up'!$A$3:$A$135,0),MATCH(J73,'G-8 Condition Look up'!$A$3:$H$3,0)),"")</f>
        <v/>
      </c>
      <c r="L73" s="54"/>
      <c r="M73" s="370" t="str">
        <f>IF(L73="","",IF(VLOOKUP(L73,'G-3 Multipliers'!$L$3:$N$6,2,FALSE)=0,"Spatial Data Missing",VLOOKUP(L73,'G-3 Multipliers'!$L$3:$N$6,2,FALSE)))</f>
        <v/>
      </c>
      <c r="N73" s="368" t="str">
        <f>IF(L73="","",IF(VLOOKUP(L73,'G-3 Multipliers'!$L$3:$N$6,3,FALSE)=0,"Spatial Data Missing",VLOOKUP(L73,'G-3 Multipliers'!$L$3:$N$6,3,FALSE)))</f>
        <v/>
      </c>
      <c r="O73" s="362" t="str">
        <f t="shared" si="1"/>
        <v/>
      </c>
      <c r="P73" s="63"/>
      <c r="Q73" s="63"/>
      <c r="R73" s="370" t="str">
        <f t="shared" si="2"/>
        <v/>
      </c>
      <c r="S73" s="383" t="str">
        <f t="shared" si="3"/>
        <v/>
      </c>
      <c r="T73" s="384" t="str">
        <f>IFERROR(IF(S73="Check Data ⚠","Check Data ⚠",VLOOKUP(S73,'G-4 Temporal multipliers'!$A$4:$C$37,3,FALSE)),"")</f>
        <v/>
      </c>
      <c r="U73" s="385" t="str">
        <f>IF(F73="","",VLOOKUP(F73,'G-3 Multipliers'!$A$2:$E$134,2,FALSE))</f>
        <v/>
      </c>
      <c r="V73" s="382" t="str">
        <f t="shared" si="5"/>
        <v/>
      </c>
      <c r="W73" s="382" t="str">
        <f>IF(E73="","",IF(AND(V73="Standard difficulty applied",O73&gt;P73),U73,IF(AND(V73="Low Difficulty - only applicable if all habitat created before losses",P73&gt;=O73),"Low",VLOOKUP(F73,'G-3 Multipliers'!$A$2:$E$134,4,FALSE))))</f>
        <v/>
      </c>
      <c r="X73" s="386" t="str">
        <f>IFERROR(IF(E73="","",VLOOKUP(W73, 'G-3 Multipliers'!$P$2:$Q$6,2,FALSE)),"")</f>
        <v/>
      </c>
      <c r="Y73" s="390" t="str">
        <f t="shared" si="4"/>
        <v/>
      </c>
      <c r="Z73" s="194"/>
      <c r="AA73" s="195"/>
      <c r="AB73" s="120"/>
      <c r="AE73" s="40" t="str">
        <f t="shared" si="0"/>
        <v/>
      </c>
    </row>
    <row r="74" spans="1:31">
      <c r="A74" s="35" t="str">
        <f>IFERROR(INDEX('G-8 Condition Look up'!$I$4:$I$135,MATCH(F74,'G-8 Condition Look up'!$A$4:$A$135,0)),"")</f>
        <v/>
      </c>
      <c r="C74" s="299" t="str">
        <f>IFERROR(INDEX('G-1 All Habitats'!$AG$3:$AG$17,MATCH(D74,'G-1 All Habitats'!$AF$3:$AF$17,0)),"")</f>
        <v/>
      </c>
      <c r="D74" s="54"/>
      <c r="E74" s="61"/>
      <c r="F74" s="296" t="str">
        <f>IFERROR(INDEX('G-1 All Habitats'!$B$3:$B$134,MATCH(E74,'G-1 All Habitats'!$A$3:$A$134,0)),"")</f>
        <v/>
      </c>
      <c r="G74" s="53"/>
      <c r="H74" s="362" t="str">
        <f>IF(F74="","",VLOOKUP(F74,'G-1 All Habitats'!$B$2:$M$134,10,FALSE))</f>
        <v/>
      </c>
      <c r="I74" s="363" t="str">
        <f>IFERROR(VLOOKUP(H74,'G-1 All Habitats'!$V$3:$W$7,2,FALSE),"")</f>
        <v/>
      </c>
      <c r="J74" s="54"/>
      <c r="K74" s="363" t="str">
        <f>IFERROR(INDEX('G-8 Condition Look up'!$A$3:$H$135,MATCH(F74,'G-8 Condition Look up'!$A$3:$A$135,0),MATCH(J74,'G-8 Condition Look up'!$A$3:$H$3,0)),"")</f>
        <v/>
      </c>
      <c r="L74" s="54"/>
      <c r="M74" s="370" t="str">
        <f>IF(L74="","",IF(VLOOKUP(L74,'G-3 Multipliers'!$L$3:$N$6,2,FALSE)=0,"Spatial Data Missing",VLOOKUP(L74,'G-3 Multipliers'!$L$3:$N$6,2,FALSE)))</f>
        <v/>
      </c>
      <c r="N74" s="368" t="str">
        <f>IF(L74="","",IF(VLOOKUP(L74,'G-3 Multipliers'!$L$3:$N$6,3,FALSE)=0,"Spatial Data Missing",VLOOKUP(L74,'G-3 Multipliers'!$L$3:$N$6,3,FALSE)))</f>
        <v/>
      </c>
      <c r="O74" s="362" t="str">
        <f t="shared" si="1"/>
        <v/>
      </c>
      <c r="P74" s="63"/>
      <c r="Q74" s="63"/>
      <c r="R74" s="370" t="str">
        <f t="shared" si="2"/>
        <v/>
      </c>
      <c r="S74" s="383" t="str">
        <f t="shared" si="3"/>
        <v/>
      </c>
      <c r="T74" s="384" t="str">
        <f>IFERROR(IF(S74="Check Data ⚠","Check Data ⚠",VLOOKUP(S74,'G-4 Temporal multipliers'!$A$4:$C$37,3,FALSE)),"")</f>
        <v/>
      </c>
      <c r="U74" s="385" t="str">
        <f>IF(F74="","",VLOOKUP(F74,'G-3 Multipliers'!$A$2:$E$134,2,FALSE))</f>
        <v/>
      </c>
      <c r="V74" s="382" t="str">
        <f t="shared" si="5"/>
        <v/>
      </c>
      <c r="W74" s="382" t="str">
        <f>IF(E74="","",IF(AND(V74="Standard difficulty applied",O74&gt;P74),U74,IF(AND(V74="Low Difficulty - only applicable if all habitat created before losses",P74&gt;=O74),"Low",VLOOKUP(F74,'G-3 Multipliers'!$A$2:$E$134,4,FALSE))))</f>
        <v/>
      </c>
      <c r="X74" s="386" t="str">
        <f>IFERROR(IF(E74="","",VLOOKUP(W74, 'G-3 Multipliers'!$P$2:$Q$6,2,FALSE)),"")</f>
        <v/>
      </c>
      <c r="Y74" s="390" t="str">
        <f t="shared" si="4"/>
        <v/>
      </c>
      <c r="Z74" s="194"/>
      <c r="AA74" s="195"/>
      <c r="AB74" s="120"/>
      <c r="AE74" s="40" t="str">
        <f t="shared" si="0"/>
        <v/>
      </c>
    </row>
    <row r="75" spans="1:31">
      <c r="A75" s="35" t="str">
        <f>IFERROR(INDEX('G-8 Condition Look up'!$I$4:$I$135,MATCH(F75,'G-8 Condition Look up'!$A$4:$A$135,0)),"")</f>
        <v/>
      </c>
      <c r="C75" s="299" t="str">
        <f>IFERROR(INDEX('G-1 All Habitats'!$AG$3:$AG$17,MATCH(D75,'G-1 All Habitats'!$AF$3:$AF$17,0)),"")</f>
        <v/>
      </c>
      <c r="D75" s="54"/>
      <c r="E75" s="61"/>
      <c r="F75" s="296" t="str">
        <f>IFERROR(INDEX('G-1 All Habitats'!$B$3:$B$134,MATCH(E75,'G-1 All Habitats'!$A$3:$A$134,0)),"")</f>
        <v/>
      </c>
      <c r="G75" s="53"/>
      <c r="H75" s="362" t="str">
        <f>IF(F75="","",VLOOKUP(F75,'G-1 All Habitats'!$B$2:$M$134,10,FALSE))</f>
        <v/>
      </c>
      <c r="I75" s="363" t="str">
        <f>IFERROR(VLOOKUP(H75,'G-1 All Habitats'!$V$3:$W$7,2,FALSE),"")</f>
        <v/>
      </c>
      <c r="J75" s="54"/>
      <c r="K75" s="363" t="str">
        <f>IFERROR(INDEX('G-8 Condition Look up'!$A$3:$H$135,MATCH(F75,'G-8 Condition Look up'!$A$3:$A$135,0),MATCH(J75,'G-8 Condition Look up'!$A$3:$H$3,0)),"")</f>
        <v/>
      </c>
      <c r="L75" s="54"/>
      <c r="M75" s="370" t="str">
        <f>IF(L75="","",IF(VLOOKUP(L75,'G-3 Multipliers'!$L$3:$N$6,2,FALSE)=0,"Spatial Data Missing",VLOOKUP(L75,'G-3 Multipliers'!$L$3:$N$6,2,FALSE)))</f>
        <v/>
      </c>
      <c r="N75" s="368" t="str">
        <f>IF(L75="","",IF(VLOOKUP(L75,'G-3 Multipliers'!$L$3:$N$6,3,FALSE)=0,"Spatial Data Missing",VLOOKUP(L75,'G-3 Multipliers'!$L$3:$N$6,3,FALSE)))</f>
        <v/>
      </c>
      <c r="O75" s="362" t="str">
        <f t="shared" ref="O75:O138" si="6">IFERROR(INDEX(TemporalData,MATCH(F75,TemporalHabitats,0),MATCH(J75,TemporalConditions,0)),"")</f>
        <v/>
      </c>
      <c r="P75" s="63"/>
      <c r="Q75" s="63"/>
      <c r="R75" s="370" t="str">
        <f t="shared" si="2"/>
        <v/>
      </c>
      <c r="S75" s="383" t="str">
        <f t="shared" si="3"/>
        <v/>
      </c>
      <c r="T75" s="384" t="str">
        <f>IFERROR(IF(S75="Check Data ⚠","Check Data ⚠",VLOOKUP(S75,'G-4 Temporal multipliers'!$A$4:$C$37,3,FALSE)),"")</f>
        <v/>
      </c>
      <c r="U75" s="385" t="str">
        <f>IF(F75="","",VLOOKUP(F75,'G-3 Multipliers'!$A$2:$E$134,2,FALSE))</f>
        <v/>
      </c>
      <c r="V75" s="382" t="str">
        <f t="shared" si="5"/>
        <v/>
      </c>
      <c r="W75" s="382" t="str">
        <f>IF(E75="","",IF(AND(V75="Standard difficulty applied",O75&gt;P75),U75,IF(AND(V75="Low Difficulty - only applicable if all habitat created before losses",P75&gt;=O75),"Low",VLOOKUP(F75,'G-3 Multipliers'!$A$2:$E$134,4,FALSE))))</f>
        <v/>
      </c>
      <c r="X75" s="386" t="str">
        <f>IFERROR(IF(E75="","",VLOOKUP(W75, 'G-3 Multipliers'!$P$2:$Q$6,2,FALSE)),"")</f>
        <v/>
      </c>
      <c r="Y75" s="390" t="str">
        <f t="shared" si="4"/>
        <v/>
      </c>
      <c r="Z75" s="194"/>
      <c r="AA75" s="195"/>
      <c r="AB75" s="120"/>
      <c r="AE75" s="40" t="str">
        <f t="shared" ref="AE75:AE138" si="7">IFERROR(INDEX(TemporalData,MATCH(F75,TemporalHabitats,0),MATCH($AE$10,TemporalConditions,0)),"")</f>
        <v/>
      </c>
    </row>
    <row r="76" spans="1:31">
      <c r="A76" s="35" t="str">
        <f>IFERROR(INDEX('G-8 Condition Look up'!$I$4:$I$135,MATCH(F76,'G-8 Condition Look up'!$A$4:$A$135,0)),"")</f>
        <v/>
      </c>
      <c r="C76" s="299" t="str">
        <f>IFERROR(INDEX('G-1 All Habitats'!$AG$3:$AG$17,MATCH(D76,'G-1 All Habitats'!$AF$3:$AF$17,0)),"")</f>
        <v/>
      </c>
      <c r="D76" s="54"/>
      <c r="E76" s="61"/>
      <c r="F76" s="296" t="str">
        <f>IFERROR(INDEX('G-1 All Habitats'!$B$3:$B$134,MATCH(E76,'G-1 All Habitats'!$A$3:$A$134,0)),"")</f>
        <v/>
      </c>
      <c r="G76" s="53"/>
      <c r="H76" s="362" t="str">
        <f>IF(F76="","",VLOOKUP(F76,'G-1 All Habitats'!$B$2:$M$134,10,FALSE))</f>
        <v/>
      </c>
      <c r="I76" s="363" t="str">
        <f>IFERROR(VLOOKUP(H76,'G-1 All Habitats'!$V$3:$W$7,2,FALSE),"")</f>
        <v/>
      </c>
      <c r="J76" s="54"/>
      <c r="K76" s="363" t="str">
        <f>IFERROR(INDEX('G-8 Condition Look up'!$A$3:$H$135,MATCH(F76,'G-8 Condition Look up'!$A$3:$A$135,0),MATCH(J76,'G-8 Condition Look up'!$A$3:$H$3,0)),"")</f>
        <v/>
      </c>
      <c r="L76" s="54"/>
      <c r="M76" s="370" t="str">
        <f>IF(L76="","",IF(VLOOKUP(L76,'G-3 Multipliers'!$L$3:$N$6,2,FALSE)=0,"Spatial Data Missing",VLOOKUP(L76,'G-3 Multipliers'!$L$3:$N$6,2,FALSE)))</f>
        <v/>
      </c>
      <c r="N76" s="368" t="str">
        <f>IF(L76="","",IF(VLOOKUP(L76,'G-3 Multipliers'!$L$3:$N$6,3,FALSE)=0,"Spatial Data Missing",VLOOKUP(L76,'G-3 Multipliers'!$L$3:$N$6,3,FALSE)))</f>
        <v/>
      </c>
      <c r="O76" s="362" t="str">
        <f t="shared" si="6"/>
        <v/>
      </c>
      <c r="P76" s="63"/>
      <c r="Q76" s="63"/>
      <c r="R76" s="370" t="str">
        <f t="shared" ref="R76:R139" si="8">IF(E76="","",IF(AND(P76&gt;0,Q76&gt;0),"Error -both advance and delayed habitat creation ▲",IF(I76=0,"Standard time to target condition applied",IF(AND(J76="N/A -Agricultural",O76&lt;=P76),"Check details - Is there evidence habitat creation in place? ⚠",IF(AND(O76&lt;=P76,Q76=0),"Check details - Is there evidence that habitat has reached target condition? ⚠",IF(O76="","",IF(AND(P76&gt;=AE76,P76&gt;0),"Check details - Is there evidence habitat creation started and the threshold for Poor condition reached? ⚠",IF(Q76&gt;0,"Check details- Delay in starting habitat in required condition? ⚠",IF(P76&gt;0,"Check details - Is there evidence habitat creation started/in place? ⚠","Standard time to target condition applied")))))))))</f>
        <v/>
      </c>
      <c r="S76" s="383" t="str">
        <f t="shared" ref="S76:S139" si="9">IF(R76="Error -both advance and delayed habitat creation ▲","Check Data ⚠",IF(O76="Not Possible","Check Data ⚠",IF(O76="","",IF(AND(O76="30+",P76=0),"30+",IF(AND(O76="30+",P76="30+"),0,IF(AND(O76="30+",P76&lt;32),30-P76,IF(O76="30+",30-P76,IF(P76&gt;O76,0,IF(Q76="30+","30+",IF(O76+Q76&gt;30,"30+",IF(O76+Q76&gt;30,"30+",IF(O76-P76&gt;30,"30+",IF(O76+Q76-P76&gt;0,O76+Q76-P76,IF(O76-P76&gt;0,O76-P76,O76+Q76-P76))))))))))))))</f>
        <v/>
      </c>
      <c r="T76" s="384" t="str">
        <f>IFERROR(IF(S76="Check Data ⚠","Check Data ⚠",VLOOKUP(S76,'G-4 Temporal multipliers'!$A$4:$C$37,3,FALSE)),"")</f>
        <v/>
      </c>
      <c r="U76" s="385" t="str">
        <f>IF(F76="","",VLOOKUP(F76,'G-3 Multipliers'!$A$2:$E$134,2,FALSE))</f>
        <v/>
      </c>
      <c r="V76" s="382" t="str">
        <f t="shared" si="5"/>
        <v/>
      </c>
      <c r="W76" s="382" t="str">
        <f>IF(E76="","",IF(AND(V76="Standard difficulty applied",O76&gt;P76),U76,IF(AND(V76="Low Difficulty - only applicable if all habitat created before losses",P76&gt;=O76),"Low",VLOOKUP(F76,'G-3 Multipliers'!$A$2:$E$134,4,FALSE))))</f>
        <v/>
      </c>
      <c r="X76" s="386" t="str">
        <f>IFERROR(IF(E76="","",VLOOKUP(W76, 'G-3 Multipliers'!$P$2:$Q$6,2,FALSE)),"")</f>
        <v/>
      </c>
      <c r="Y76" s="390" t="str">
        <f t="shared" ref="Y76:Y139" si="10">IFERROR(G76*I76*K76*N76*T76*X76,"")</f>
        <v/>
      </c>
      <c r="Z76" s="194"/>
      <c r="AA76" s="195"/>
      <c r="AB76" s="120"/>
      <c r="AE76" s="40" t="str">
        <f t="shared" si="7"/>
        <v/>
      </c>
    </row>
    <row r="77" spans="1:31">
      <c r="A77" s="35" t="str">
        <f>IFERROR(INDEX('G-8 Condition Look up'!$I$4:$I$135,MATCH(F77,'G-8 Condition Look up'!$A$4:$A$135,0)),"")</f>
        <v/>
      </c>
      <c r="C77" s="299" t="str">
        <f>IFERROR(INDEX('G-1 All Habitats'!$AG$3:$AG$17,MATCH(D77,'G-1 All Habitats'!$AF$3:$AF$17,0)),"")</f>
        <v/>
      </c>
      <c r="D77" s="54"/>
      <c r="E77" s="61"/>
      <c r="F77" s="296" t="str">
        <f>IFERROR(INDEX('G-1 All Habitats'!$B$3:$B$134,MATCH(E77,'G-1 All Habitats'!$A$3:$A$134,0)),"")</f>
        <v/>
      </c>
      <c r="G77" s="53"/>
      <c r="H77" s="362" t="str">
        <f>IF(F77="","",VLOOKUP(F77,'G-1 All Habitats'!$B$2:$M$134,10,FALSE))</f>
        <v/>
      </c>
      <c r="I77" s="363" t="str">
        <f>IFERROR(VLOOKUP(H77,'G-1 All Habitats'!$V$3:$W$7,2,FALSE),"")</f>
        <v/>
      </c>
      <c r="J77" s="54"/>
      <c r="K77" s="363" t="str">
        <f>IFERROR(INDEX('G-8 Condition Look up'!$A$3:$H$135,MATCH(F77,'G-8 Condition Look up'!$A$3:$A$135,0),MATCH(J77,'G-8 Condition Look up'!$A$3:$H$3,0)),"")</f>
        <v/>
      </c>
      <c r="L77" s="54"/>
      <c r="M77" s="370" t="str">
        <f>IF(L77="","",IF(VLOOKUP(L77,'G-3 Multipliers'!$L$3:$N$6,2,FALSE)=0,"Spatial Data Missing",VLOOKUP(L77,'G-3 Multipliers'!$L$3:$N$6,2,FALSE)))</f>
        <v/>
      </c>
      <c r="N77" s="368" t="str">
        <f>IF(L77="","",IF(VLOOKUP(L77,'G-3 Multipliers'!$L$3:$N$6,3,FALSE)=0,"Spatial Data Missing",VLOOKUP(L77,'G-3 Multipliers'!$L$3:$N$6,3,FALSE)))</f>
        <v/>
      </c>
      <c r="O77" s="362" t="str">
        <f t="shared" si="6"/>
        <v/>
      </c>
      <c r="P77" s="63"/>
      <c r="Q77" s="63"/>
      <c r="R77" s="370" t="str">
        <f t="shared" si="8"/>
        <v/>
      </c>
      <c r="S77" s="383" t="str">
        <f t="shared" si="9"/>
        <v/>
      </c>
      <c r="T77" s="384" t="str">
        <f>IFERROR(IF(S77="Check Data ⚠","Check Data ⚠",VLOOKUP(S77,'G-4 Temporal multipliers'!$A$4:$C$37,3,FALSE)),"")</f>
        <v/>
      </c>
      <c r="U77" s="385" t="str">
        <f>IF(F77="","",VLOOKUP(F77,'G-3 Multipliers'!$A$2:$E$134,2,FALSE))</f>
        <v/>
      </c>
      <c r="V77" s="382" t="str">
        <f t="shared" ref="V77:V140" si="11">IF(F77="","",IF($R77="Check details - Is there evidence that habitat has reached target condition? ⚠","Low Difficulty - only applicable if all habitat created before losses",IF(AND($R77="Check details - Is there evidence habitat creation started and the threshold for Poor condition reached? ⚠",$E77&lt;&gt;"Traditional orchards", $E77&lt;&gt;"Ornamental lake or pond", $E77&lt;&gt;"Ponds (Non- Priority Habitat)", $E77&lt;&gt;"Ruderal/Ephemeral", $E77&lt;&gt;"Developed land; sealed surface"),"Enhancement difficulty applied","Standard difficulty applied")))</f>
        <v/>
      </c>
      <c r="W77" s="382" t="str">
        <f>IF(E77="","",IF(AND(V77="Standard difficulty applied",O77&gt;P77),U77,IF(AND(V77="Low Difficulty - only applicable if all habitat created before losses",P77&gt;=O77),"Low",VLOOKUP(F77,'G-3 Multipliers'!$A$2:$E$134,4,FALSE))))</f>
        <v/>
      </c>
      <c r="X77" s="386" t="str">
        <f>IFERROR(IF(E77="","",VLOOKUP(W77, 'G-3 Multipliers'!$P$2:$Q$6,2,FALSE)),"")</f>
        <v/>
      </c>
      <c r="Y77" s="390" t="str">
        <f t="shared" si="10"/>
        <v/>
      </c>
      <c r="Z77" s="194"/>
      <c r="AA77" s="195"/>
      <c r="AB77" s="120"/>
      <c r="AE77" s="40" t="str">
        <f t="shared" si="7"/>
        <v/>
      </c>
    </row>
    <row r="78" spans="1:31">
      <c r="A78" s="35" t="str">
        <f>IFERROR(INDEX('G-8 Condition Look up'!$I$4:$I$135,MATCH(F78,'G-8 Condition Look up'!$A$4:$A$135,0)),"")</f>
        <v/>
      </c>
      <c r="C78" s="299" t="str">
        <f>IFERROR(INDEX('G-1 All Habitats'!$AG$3:$AG$17,MATCH(D78,'G-1 All Habitats'!$AF$3:$AF$17,0)),"")</f>
        <v/>
      </c>
      <c r="D78" s="54"/>
      <c r="E78" s="61"/>
      <c r="F78" s="296" t="str">
        <f>IFERROR(INDEX('G-1 All Habitats'!$B$3:$B$134,MATCH(E78,'G-1 All Habitats'!$A$3:$A$134,0)),"")</f>
        <v/>
      </c>
      <c r="G78" s="53"/>
      <c r="H78" s="362" t="str">
        <f>IF(F78="","",VLOOKUP(F78,'G-1 All Habitats'!$B$2:$M$134,10,FALSE))</f>
        <v/>
      </c>
      <c r="I78" s="363" t="str">
        <f>IFERROR(VLOOKUP(H78,'G-1 All Habitats'!$V$3:$W$7,2,FALSE),"")</f>
        <v/>
      </c>
      <c r="J78" s="54"/>
      <c r="K78" s="363" t="str">
        <f>IFERROR(INDEX('G-8 Condition Look up'!$A$3:$H$135,MATCH(F78,'G-8 Condition Look up'!$A$3:$A$135,0),MATCH(J78,'G-8 Condition Look up'!$A$3:$H$3,0)),"")</f>
        <v/>
      </c>
      <c r="L78" s="54"/>
      <c r="M78" s="370" t="str">
        <f>IF(L78="","",IF(VLOOKUP(L78,'G-3 Multipliers'!$L$3:$N$6,2,FALSE)=0,"Spatial Data Missing",VLOOKUP(L78,'G-3 Multipliers'!$L$3:$N$6,2,FALSE)))</f>
        <v/>
      </c>
      <c r="N78" s="368" t="str">
        <f>IF(L78="","",IF(VLOOKUP(L78,'G-3 Multipliers'!$L$3:$N$6,3,FALSE)=0,"Spatial Data Missing",VLOOKUP(L78,'G-3 Multipliers'!$L$3:$N$6,3,FALSE)))</f>
        <v/>
      </c>
      <c r="O78" s="362" t="str">
        <f t="shared" si="6"/>
        <v/>
      </c>
      <c r="P78" s="63"/>
      <c r="Q78" s="63"/>
      <c r="R78" s="370" t="str">
        <f t="shared" si="8"/>
        <v/>
      </c>
      <c r="S78" s="383" t="str">
        <f t="shared" si="9"/>
        <v/>
      </c>
      <c r="T78" s="384" t="str">
        <f>IFERROR(IF(S78="Check Data ⚠","Check Data ⚠",VLOOKUP(S78,'G-4 Temporal multipliers'!$A$4:$C$37,3,FALSE)),"")</f>
        <v/>
      </c>
      <c r="U78" s="385" t="str">
        <f>IF(F78="","",VLOOKUP(F78,'G-3 Multipliers'!$A$2:$E$134,2,FALSE))</f>
        <v/>
      </c>
      <c r="V78" s="382" t="str">
        <f t="shared" si="11"/>
        <v/>
      </c>
      <c r="W78" s="382" t="str">
        <f>IF(E78="","",IF(AND(V78="Standard difficulty applied",O78&gt;P78),U78,IF(AND(V78="Low Difficulty - only applicable if all habitat created before losses",P78&gt;=O78),"Low",VLOOKUP(F78,'G-3 Multipliers'!$A$2:$E$134,4,FALSE))))</f>
        <v/>
      </c>
      <c r="X78" s="386" t="str">
        <f>IFERROR(IF(E78="","",VLOOKUP(W78, 'G-3 Multipliers'!$P$2:$Q$6,2,FALSE)),"")</f>
        <v/>
      </c>
      <c r="Y78" s="390" t="str">
        <f t="shared" si="10"/>
        <v/>
      </c>
      <c r="Z78" s="194"/>
      <c r="AA78" s="195"/>
      <c r="AB78" s="120"/>
      <c r="AE78" s="40" t="str">
        <f t="shared" si="7"/>
        <v/>
      </c>
    </row>
    <row r="79" spans="1:31">
      <c r="A79" s="35" t="str">
        <f>IFERROR(INDEX('G-8 Condition Look up'!$I$4:$I$135,MATCH(F79,'G-8 Condition Look up'!$A$4:$A$135,0)),"")</f>
        <v/>
      </c>
      <c r="C79" s="299" t="str">
        <f>IFERROR(INDEX('G-1 All Habitats'!$AG$3:$AG$17,MATCH(D79,'G-1 All Habitats'!$AF$3:$AF$17,0)),"")</f>
        <v/>
      </c>
      <c r="D79" s="54"/>
      <c r="E79" s="61"/>
      <c r="F79" s="296" t="str">
        <f>IFERROR(INDEX('G-1 All Habitats'!$B$3:$B$134,MATCH(E79,'G-1 All Habitats'!$A$3:$A$134,0)),"")</f>
        <v/>
      </c>
      <c r="G79" s="53"/>
      <c r="H79" s="362" t="str">
        <f>IF(F79="","",VLOOKUP(F79,'G-1 All Habitats'!$B$2:$M$134,10,FALSE))</f>
        <v/>
      </c>
      <c r="I79" s="363" t="str">
        <f>IFERROR(VLOOKUP(H79,'G-1 All Habitats'!$V$3:$W$7,2,FALSE),"")</f>
        <v/>
      </c>
      <c r="J79" s="54"/>
      <c r="K79" s="363" t="str">
        <f>IFERROR(INDEX('G-8 Condition Look up'!$A$3:$H$135,MATCH(F79,'G-8 Condition Look up'!$A$3:$A$135,0),MATCH(J79,'G-8 Condition Look up'!$A$3:$H$3,0)),"")</f>
        <v/>
      </c>
      <c r="L79" s="54"/>
      <c r="M79" s="370" t="str">
        <f>IF(L79="","",IF(VLOOKUP(L79,'G-3 Multipliers'!$L$3:$N$6,2,FALSE)=0,"Spatial Data Missing",VLOOKUP(L79,'G-3 Multipliers'!$L$3:$N$6,2,FALSE)))</f>
        <v/>
      </c>
      <c r="N79" s="368" t="str">
        <f>IF(L79="","",IF(VLOOKUP(L79,'G-3 Multipliers'!$L$3:$N$6,3,FALSE)=0,"Spatial Data Missing",VLOOKUP(L79,'G-3 Multipliers'!$L$3:$N$6,3,FALSE)))</f>
        <v/>
      </c>
      <c r="O79" s="362" t="str">
        <f t="shared" si="6"/>
        <v/>
      </c>
      <c r="P79" s="63"/>
      <c r="Q79" s="63"/>
      <c r="R79" s="370" t="str">
        <f t="shared" si="8"/>
        <v/>
      </c>
      <c r="S79" s="383" t="str">
        <f t="shared" si="9"/>
        <v/>
      </c>
      <c r="T79" s="384" t="str">
        <f>IFERROR(IF(S79="Check Data ⚠","Check Data ⚠",VLOOKUP(S79,'G-4 Temporal multipliers'!$A$4:$C$37,3,FALSE)),"")</f>
        <v/>
      </c>
      <c r="U79" s="385" t="str">
        <f>IF(F79="","",VLOOKUP(F79,'G-3 Multipliers'!$A$2:$E$134,2,FALSE))</f>
        <v/>
      </c>
      <c r="V79" s="382" t="str">
        <f t="shared" si="11"/>
        <v/>
      </c>
      <c r="W79" s="382" t="str">
        <f>IF(E79="","",IF(AND(V79="Standard difficulty applied",O79&gt;P79),U79,IF(AND(V79="Low Difficulty - only applicable if all habitat created before losses",P79&gt;=O79),"Low",VLOOKUP(F79,'G-3 Multipliers'!$A$2:$E$134,4,FALSE))))</f>
        <v/>
      </c>
      <c r="X79" s="386" t="str">
        <f>IFERROR(IF(E79="","",VLOOKUP(W79, 'G-3 Multipliers'!$P$2:$Q$6,2,FALSE)),"")</f>
        <v/>
      </c>
      <c r="Y79" s="390" t="str">
        <f t="shared" si="10"/>
        <v/>
      </c>
      <c r="Z79" s="194"/>
      <c r="AA79" s="195"/>
      <c r="AB79" s="120"/>
      <c r="AE79" s="40" t="str">
        <f t="shared" si="7"/>
        <v/>
      </c>
    </row>
    <row r="80" spans="1:31">
      <c r="A80" s="35" t="str">
        <f>IFERROR(INDEX('G-8 Condition Look up'!$I$4:$I$135,MATCH(F80,'G-8 Condition Look up'!$A$4:$A$135,0)),"")</f>
        <v/>
      </c>
      <c r="C80" s="299" t="str">
        <f>IFERROR(INDEX('G-1 All Habitats'!$AG$3:$AG$17,MATCH(D80,'G-1 All Habitats'!$AF$3:$AF$17,0)),"")</f>
        <v/>
      </c>
      <c r="D80" s="54"/>
      <c r="E80" s="61"/>
      <c r="F80" s="296" t="str">
        <f>IFERROR(INDEX('G-1 All Habitats'!$B$3:$B$134,MATCH(E80,'G-1 All Habitats'!$A$3:$A$134,0)),"")</f>
        <v/>
      </c>
      <c r="G80" s="53"/>
      <c r="H80" s="362" t="str">
        <f>IF(F80="","",VLOOKUP(F80,'G-1 All Habitats'!$B$2:$M$134,10,FALSE))</f>
        <v/>
      </c>
      <c r="I80" s="363" t="str">
        <f>IFERROR(VLOOKUP(H80,'G-1 All Habitats'!$V$3:$W$7,2,FALSE),"")</f>
        <v/>
      </c>
      <c r="J80" s="54"/>
      <c r="K80" s="363" t="str">
        <f>IFERROR(INDEX('G-8 Condition Look up'!$A$3:$H$135,MATCH(F80,'G-8 Condition Look up'!$A$3:$A$135,0),MATCH(J80,'G-8 Condition Look up'!$A$3:$H$3,0)),"")</f>
        <v/>
      </c>
      <c r="L80" s="54"/>
      <c r="M80" s="370" t="str">
        <f>IF(L80="","",IF(VLOOKUP(L80,'G-3 Multipliers'!$L$3:$N$6,2,FALSE)=0,"Spatial Data Missing",VLOOKUP(L80,'G-3 Multipliers'!$L$3:$N$6,2,FALSE)))</f>
        <v/>
      </c>
      <c r="N80" s="368" t="str">
        <f>IF(L80="","",IF(VLOOKUP(L80,'G-3 Multipliers'!$L$3:$N$6,3,FALSE)=0,"Spatial Data Missing",VLOOKUP(L80,'G-3 Multipliers'!$L$3:$N$6,3,FALSE)))</f>
        <v/>
      </c>
      <c r="O80" s="362" t="str">
        <f t="shared" si="6"/>
        <v/>
      </c>
      <c r="P80" s="63"/>
      <c r="Q80" s="63"/>
      <c r="R80" s="370" t="str">
        <f t="shared" si="8"/>
        <v/>
      </c>
      <c r="S80" s="383" t="str">
        <f t="shared" si="9"/>
        <v/>
      </c>
      <c r="T80" s="384" t="str">
        <f>IFERROR(IF(S80="Check Data ⚠","Check Data ⚠",VLOOKUP(S80,'G-4 Temporal multipliers'!$A$4:$C$37,3,FALSE)),"")</f>
        <v/>
      </c>
      <c r="U80" s="385" t="str">
        <f>IF(F80="","",VLOOKUP(F80,'G-3 Multipliers'!$A$2:$E$134,2,FALSE))</f>
        <v/>
      </c>
      <c r="V80" s="382" t="str">
        <f t="shared" si="11"/>
        <v/>
      </c>
      <c r="W80" s="382" t="str">
        <f>IF(E80="","",IF(AND(V80="Standard difficulty applied",O80&gt;P80),U80,IF(AND(V80="Low Difficulty - only applicable if all habitat created before losses",P80&gt;=O80),"Low",VLOOKUP(F80,'G-3 Multipliers'!$A$2:$E$134,4,FALSE))))</f>
        <v/>
      </c>
      <c r="X80" s="386" t="str">
        <f>IFERROR(IF(E80="","",VLOOKUP(W80, 'G-3 Multipliers'!$P$2:$Q$6,2,FALSE)),"")</f>
        <v/>
      </c>
      <c r="Y80" s="390" t="str">
        <f t="shared" si="10"/>
        <v/>
      </c>
      <c r="Z80" s="194"/>
      <c r="AA80" s="195"/>
      <c r="AB80" s="120"/>
      <c r="AE80" s="40" t="str">
        <f t="shared" si="7"/>
        <v/>
      </c>
    </row>
    <row r="81" spans="1:31">
      <c r="A81" s="35" t="str">
        <f>IFERROR(INDEX('G-8 Condition Look up'!$I$4:$I$135,MATCH(F81,'G-8 Condition Look up'!$A$4:$A$135,0)),"")</f>
        <v/>
      </c>
      <c r="C81" s="299" t="str">
        <f>IFERROR(INDEX('G-1 All Habitats'!$AG$3:$AG$17,MATCH(D81,'G-1 All Habitats'!$AF$3:$AF$17,0)),"")</f>
        <v/>
      </c>
      <c r="D81" s="54"/>
      <c r="E81" s="61"/>
      <c r="F81" s="296" t="str">
        <f>IFERROR(INDEX('G-1 All Habitats'!$B$3:$B$134,MATCH(E81,'G-1 All Habitats'!$A$3:$A$134,0)),"")</f>
        <v/>
      </c>
      <c r="G81" s="53"/>
      <c r="H81" s="362" t="str">
        <f>IF(F81="","",VLOOKUP(F81,'G-1 All Habitats'!$B$2:$M$134,10,FALSE))</f>
        <v/>
      </c>
      <c r="I81" s="363" t="str">
        <f>IFERROR(VLOOKUP(H81,'G-1 All Habitats'!$V$3:$W$7,2,FALSE),"")</f>
        <v/>
      </c>
      <c r="J81" s="54"/>
      <c r="K81" s="363" t="str">
        <f>IFERROR(INDEX('G-8 Condition Look up'!$A$3:$H$135,MATCH(F81,'G-8 Condition Look up'!$A$3:$A$135,0),MATCH(J81,'G-8 Condition Look up'!$A$3:$H$3,0)),"")</f>
        <v/>
      </c>
      <c r="L81" s="54"/>
      <c r="M81" s="370" t="str">
        <f>IF(L81="","",IF(VLOOKUP(L81,'G-3 Multipliers'!$L$3:$N$6,2,FALSE)=0,"Spatial Data Missing",VLOOKUP(L81,'G-3 Multipliers'!$L$3:$N$6,2,FALSE)))</f>
        <v/>
      </c>
      <c r="N81" s="368" t="str">
        <f>IF(L81="","",IF(VLOOKUP(L81,'G-3 Multipliers'!$L$3:$N$6,3,FALSE)=0,"Spatial Data Missing",VLOOKUP(L81,'G-3 Multipliers'!$L$3:$N$6,3,FALSE)))</f>
        <v/>
      </c>
      <c r="O81" s="362" t="str">
        <f t="shared" si="6"/>
        <v/>
      </c>
      <c r="P81" s="63"/>
      <c r="Q81" s="63"/>
      <c r="R81" s="370" t="str">
        <f t="shared" si="8"/>
        <v/>
      </c>
      <c r="S81" s="383" t="str">
        <f t="shared" si="9"/>
        <v/>
      </c>
      <c r="T81" s="384" t="str">
        <f>IFERROR(IF(S81="Check Data ⚠","Check Data ⚠",VLOOKUP(S81,'G-4 Temporal multipliers'!$A$4:$C$37,3,FALSE)),"")</f>
        <v/>
      </c>
      <c r="U81" s="385" t="str">
        <f>IF(F81="","",VLOOKUP(F81,'G-3 Multipliers'!$A$2:$E$134,2,FALSE))</f>
        <v/>
      </c>
      <c r="V81" s="382" t="str">
        <f t="shared" si="11"/>
        <v/>
      </c>
      <c r="W81" s="382" t="str">
        <f>IF(E81="","",IF(AND(V81="Standard difficulty applied",O81&gt;P81),U81,IF(AND(V81="Low Difficulty - only applicable if all habitat created before losses",P81&gt;=O81),"Low",VLOOKUP(F81,'G-3 Multipliers'!$A$2:$E$134,4,FALSE))))</f>
        <v/>
      </c>
      <c r="X81" s="386" t="str">
        <f>IFERROR(IF(E81="","",VLOOKUP(W81, 'G-3 Multipliers'!$P$2:$Q$6,2,FALSE)),"")</f>
        <v/>
      </c>
      <c r="Y81" s="390" t="str">
        <f t="shared" si="10"/>
        <v/>
      </c>
      <c r="Z81" s="194"/>
      <c r="AA81" s="195"/>
      <c r="AB81" s="120"/>
      <c r="AE81" s="40" t="str">
        <f t="shared" si="7"/>
        <v/>
      </c>
    </row>
    <row r="82" spans="1:31">
      <c r="A82" s="35" t="str">
        <f>IFERROR(INDEX('G-8 Condition Look up'!$I$4:$I$135,MATCH(F82,'G-8 Condition Look up'!$A$4:$A$135,0)),"")</f>
        <v/>
      </c>
      <c r="C82" s="299" t="str">
        <f>IFERROR(INDEX('G-1 All Habitats'!$AG$3:$AG$17,MATCH(D82,'G-1 All Habitats'!$AF$3:$AF$17,0)),"")</f>
        <v/>
      </c>
      <c r="D82" s="54"/>
      <c r="E82" s="61"/>
      <c r="F82" s="296" t="str">
        <f>IFERROR(INDEX('G-1 All Habitats'!$B$3:$B$134,MATCH(E82,'G-1 All Habitats'!$A$3:$A$134,0)),"")</f>
        <v/>
      </c>
      <c r="G82" s="53"/>
      <c r="H82" s="362" t="str">
        <f>IF(F82="","",VLOOKUP(F82,'G-1 All Habitats'!$B$2:$M$134,10,FALSE))</f>
        <v/>
      </c>
      <c r="I82" s="363" t="str">
        <f>IFERROR(VLOOKUP(H82,'G-1 All Habitats'!$V$3:$W$7,2,FALSE),"")</f>
        <v/>
      </c>
      <c r="J82" s="54"/>
      <c r="K82" s="363" t="str">
        <f>IFERROR(INDEX('G-8 Condition Look up'!$A$3:$H$135,MATCH(F82,'G-8 Condition Look up'!$A$3:$A$135,0),MATCH(J82,'G-8 Condition Look up'!$A$3:$H$3,0)),"")</f>
        <v/>
      </c>
      <c r="L82" s="54"/>
      <c r="M82" s="370" t="str">
        <f>IF(L82="","",IF(VLOOKUP(L82,'G-3 Multipliers'!$L$3:$N$6,2,FALSE)=0,"Spatial Data Missing",VLOOKUP(L82,'G-3 Multipliers'!$L$3:$N$6,2,FALSE)))</f>
        <v/>
      </c>
      <c r="N82" s="368" t="str">
        <f>IF(L82="","",IF(VLOOKUP(L82,'G-3 Multipliers'!$L$3:$N$6,3,FALSE)=0,"Spatial Data Missing",VLOOKUP(L82,'G-3 Multipliers'!$L$3:$N$6,3,FALSE)))</f>
        <v/>
      </c>
      <c r="O82" s="362" t="str">
        <f t="shared" si="6"/>
        <v/>
      </c>
      <c r="P82" s="63"/>
      <c r="Q82" s="63"/>
      <c r="R82" s="370" t="str">
        <f t="shared" si="8"/>
        <v/>
      </c>
      <c r="S82" s="383" t="str">
        <f t="shared" si="9"/>
        <v/>
      </c>
      <c r="T82" s="384" t="str">
        <f>IFERROR(IF(S82="Check Data ⚠","Check Data ⚠",VLOOKUP(S82,'G-4 Temporal multipliers'!$A$4:$C$37,3,FALSE)),"")</f>
        <v/>
      </c>
      <c r="U82" s="385" t="str">
        <f>IF(F82="","",VLOOKUP(F82,'G-3 Multipliers'!$A$2:$E$134,2,FALSE))</f>
        <v/>
      </c>
      <c r="V82" s="382" t="str">
        <f t="shared" si="11"/>
        <v/>
      </c>
      <c r="W82" s="382" t="str">
        <f>IF(E82="","",IF(AND(V82="Standard difficulty applied",O82&gt;P82),U82,IF(AND(V82="Low Difficulty - only applicable if all habitat created before losses",P82&gt;=O82),"Low",VLOOKUP(F82,'G-3 Multipliers'!$A$2:$E$134,4,FALSE))))</f>
        <v/>
      </c>
      <c r="X82" s="386" t="str">
        <f>IFERROR(IF(E82="","",VLOOKUP(W82, 'G-3 Multipliers'!$P$2:$Q$6,2,FALSE)),"")</f>
        <v/>
      </c>
      <c r="Y82" s="390" t="str">
        <f t="shared" si="10"/>
        <v/>
      </c>
      <c r="Z82" s="194"/>
      <c r="AA82" s="195"/>
      <c r="AB82" s="120"/>
      <c r="AE82" s="40" t="str">
        <f t="shared" si="7"/>
        <v/>
      </c>
    </row>
    <row r="83" spans="1:31">
      <c r="A83" s="35" t="str">
        <f>IFERROR(INDEX('G-8 Condition Look up'!$I$4:$I$135,MATCH(F83,'G-8 Condition Look up'!$A$4:$A$135,0)),"")</f>
        <v/>
      </c>
      <c r="C83" s="299" t="str">
        <f>IFERROR(INDEX('G-1 All Habitats'!$AG$3:$AG$17,MATCH(D83,'G-1 All Habitats'!$AF$3:$AF$17,0)),"")</f>
        <v/>
      </c>
      <c r="D83" s="54"/>
      <c r="E83" s="61"/>
      <c r="F83" s="296" t="str">
        <f>IFERROR(INDEX('G-1 All Habitats'!$B$3:$B$134,MATCH(E83,'G-1 All Habitats'!$A$3:$A$134,0)),"")</f>
        <v/>
      </c>
      <c r="G83" s="53"/>
      <c r="H83" s="362" t="str">
        <f>IF(F83="","",VLOOKUP(F83,'G-1 All Habitats'!$B$2:$M$134,10,FALSE))</f>
        <v/>
      </c>
      <c r="I83" s="363" t="str">
        <f>IFERROR(VLOOKUP(H83,'G-1 All Habitats'!$V$3:$W$7,2,FALSE),"")</f>
        <v/>
      </c>
      <c r="J83" s="54"/>
      <c r="K83" s="363" t="str">
        <f>IFERROR(INDEX('G-8 Condition Look up'!$A$3:$H$135,MATCH(F83,'G-8 Condition Look up'!$A$3:$A$135,0),MATCH(J83,'G-8 Condition Look up'!$A$3:$H$3,0)),"")</f>
        <v/>
      </c>
      <c r="L83" s="54"/>
      <c r="M83" s="370" t="str">
        <f>IF(L83="","",IF(VLOOKUP(L83,'G-3 Multipliers'!$L$3:$N$6,2,FALSE)=0,"Spatial Data Missing",VLOOKUP(L83,'G-3 Multipliers'!$L$3:$N$6,2,FALSE)))</f>
        <v/>
      </c>
      <c r="N83" s="368" t="str">
        <f>IF(L83="","",IF(VLOOKUP(L83,'G-3 Multipliers'!$L$3:$N$6,3,FALSE)=0,"Spatial Data Missing",VLOOKUP(L83,'G-3 Multipliers'!$L$3:$N$6,3,FALSE)))</f>
        <v/>
      </c>
      <c r="O83" s="362" t="str">
        <f t="shared" si="6"/>
        <v/>
      </c>
      <c r="P83" s="63"/>
      <c r="Q83" s="63"/>
      <c r="R83" s="370" t="str">
        <f t="shared" si="8"/>
        <v/>
      </c>
      <c r="S83" s="383" t="str">
        <f t="shared" si="9"/>
        <v/>
      </c>
      <c r="T83" s="384" t="str">
        <f>IFERROR(IF(S83="Check Data ⚠","Check Data ⚠",VLOOKUP(S83,'G-4 Temporal multipliers'!$A$4:$C$37,3,FALSE)),"")</f>
        <v/>
      </c>
      <c r="U83" s="385" t="str">
        <f>IF(F83="","",VLOOKUP(F83,'G-3 Multipliers'!$A$2:$E$134,2,FALSE))</f>
        <v/>
      </c>
      <c r="V83" s="382" t="str">
        <f t="shared" si="11"/>
        <v/>
      </c>
      <c r="W83" s="382" t="str">
        <f>IF(E83="","",IF(AND(V83="Standard difficulty applied",O83&gt;P83),U83,IF(AND(V83="Low Difficulty - only applicable if all habitat created before losses",P83&gt;=O83),"Low",VLOOKUP(F83,'G-3 Multipliers'!$A$2:$E$134,4,FALSE))))</f>
        <v/>
      </c>
      <c r="X83" s="386" t="str">
        <f>IFERROR(IF(E83="","",VLOOKUP(W83, 'G-3 Multipliers'!$P$2:$Q$6,2,FALSE)),"")</f>
        <v/>
      </c>
      <c r="Y83" s="390" t="str">
        <f t="shared" si="10"/>
        <v/>
      </c>
      <c r="Z83" s="194"/>
      <c r="AA83" s="195"/>
      <c r="AB83" s="120"/>
      <c r="AE83" s="40" t="str">
        <f t="shared" si="7"/>
        <v/>
      </c>
    </row>
    <row r="84" spans="1:31">
      <c r="A84" s="35" t="str">
        <f>IFERROR(INDEX('G-8 Condition Look up'!$I$4:$I$135,MATCH(F84,'G-8 Condition Look up'!$A$4:$A$135,0)),"")</f>
        <v/>
      </c>
      <c r="C84" s="299" t="str">
        <f>IFERROR(INDEX('G-1 All Habitats'!$AG$3:$AG$17,MATCH(D84,'G-1 All Habitats'!$AF$3:$AF$17,0)),"")</f>
        <v/>
      </c>
      <c r="D84" s="54"/>
      <c r="E84" s="61"/>
      <c r="F84" s="296" t="str">
        <f>IFERROR(INDEX('G-1 All Habitats'!$B$3:$B$134,MATCH(E84,'G-1 All Habitats'!$A$3:$A$134,0)),"")</f>
        <v/>
      </c>
      <c r="G84" s="53"/>
      <c r="H84" s="362" t="str">
        <f>IF(F84="","",VLOOKUP(F84,'G-1 All Habitats'!$B$2:$M$134,10,FALSE))</f>
        <v/>
      </c>
      <c r="I84" s="363" t="str">
        <f>IFERROR(VLOOKUP(H84,'G-1 All Habitats'!$V$3:$W$7,2,FALSE),"")</f>
        <v/>
      </c>
      <c r="J84" s="54"/>
      <c r="K84" s="363" t="str">
        <f>IFERROR(INDEX('G-8 Condition Look up'!$A$3:$H$135,MATCH(F84,'G-8 Condition Look up'!$A$3:$A$135,0),MATCH(J84,'G-8 Condition Look up'!$A$3:$H$3,0)),"")</f>
        <v/>
      </c>
      <c r="L84" s="54"/>
      <c r="M84" s="370" t="str">
        <f>IF(L84="","",IF(VLOOKUP(L84,'G-3 Multipliers'!$L$3:$N$6,2,FALSE)=0,"Spatial Data Missing",VLOOKUP(L84,'G-3 Multipliers'!$L$3:$N$6,2,FALSE)))</f>
        <v/>
      </c>
      <c r="N84" s="368" t="str">
        <f>IF(L84="","",IF(VLOOKUP(L84,'G-3 Multipliers'!$L$3:$N$6,3,FALSE)=0,"Spatial Data Missing",VLOOKUP(L84,'G-3 Multipliers'!$L$3:$N$6,3,FALSE)))</f>
        <v/>
      </c>
      <c r="O84" s="362" t="str">
        <f t="shared" si="6"/>
        <v/>
      </c>
      <c r="P84" s="63"/>
      <c r="Q84" s="63"/>
      <c r="R84" s="370" t="str">
        <f t="shared" si="8"/>
        <v/>
      </c>
      <c r="S84" s="383" t="str">
        <f t="shared" si="9"/>
        <v/>
      </c>
      <c r="T84" s="384" t="str">
        <f>IFERROR(IF(S84="Check Data ⚠","Check Data ⚠",VLOOKUP(S84,'G-4 Temporal multipliers'!$A$4:$C$37,3,FALSE)),"")</f>
        <v/>
      </c>
      <c r="U84" s="385" t="str">
        <f>IF(F84="","",VLOOKUP(F84,'G-3 Multipliers'!$A$2:$E$134,2,FALSE))</f>
        <v/>
      </c>
      <c r="V84" s="382" t="str">
        <f t="shared" si="11"/>
        <v/>
      </c>
      <c r="W84" s="382" t="str">
        <f>IF(E84="","",IF(AND(V84="Standard difficulty applied",O84&gt;P84),U84,IF(AND(V84="Low Difficulty - only applicable if all habitat created before losses",P84&gt;=O84),"Low",VLOOKUP(F84,'G-3 Multipliers'!$A$2:$E$134,4,FALSE))))</f>
        <v/>
      </c>
      <c r="X84" s="386" t="str">
        <f>IFERROR(IF(E84="","",VLOOKUP(W84, 'G-3 Multipliers'!$P$2:$Q$6,2,FALSE)),"")</f>
        <v/>
      </c>
      <c r="Y84" s="390" t="str">
        <f t="shared" si="10"/>
        <v/>
      </c>
      <c r="Z84" s="194"/>
      <c r="AA84" s="195"/>
      <c r="AB84" s="120"/>
      <c r="AE84" s="40" t="str">
        <f t="shared" si="7"/>
        <v/>
      </c>
    </row>
    <row r="85" spans="1:31">
      <c r="A85" s="35" t="str">
        <f>IFERROR(INDEX('G-8 Condition Look up'!$I$4:$I$135,MATCH(F85,'G-8 Condition Look up'!$A$4:$A$135,0)),"")</f>
        <v/>
      </c>
      <c r="C85" s="299" t="str">
        <f>IFERROR(INDEX('G-1 All Habitats'!$AG$3:$AG$17,MATCH(D85,'G-1 All Habitats'!$AF$3:$AF$17,0)),"")</f>
        <v/>
      </c>
      <c r="D85" s="54"/>
      <c r="E85" s="61"/>
      <c r="F85" s="296" t="str">
        <f>IFERROR(INDEX('G-1 All Habitats'!$B$3:$B$134,MATCH(E85,'G-1 All Habitats'!$A$3:$A$134,0)),"")</f>
        <v/>
      </c>
      <c r="G85" s="53"/>
      <c r="H85" s="362" t="str">
        <f>IF(F85="","",VLOOKUP(F85,'G-1 All Habitats'!$B$2:$M$134,10,FALSE))</f>
        <v/>
      </c>
      <c r="I85" s="363" t="str">
        <f>IFERROR(VLOOKUP(H85,'G-1 All Habitats'!$V$3:$W$7,2,FALSE),"")</f>
        <v/>
      </c>
      <c r="J85" s="54"/>
      <c r="K85" s="363" t="str">
        <f>IFERROR(INDEX('G-8 Condition Look up'!$A$3:$H$135,MATCH(F85,'G-8 Condition Look up'!$A$3:$A$135,0),MATCH(J85,'G-8 Condition Look up'!$A$3:$H$3,0)),"")</f>
        <v/>
      </c>
      <c r="L85" s="54"/>
      <c r="M85" s="370" t="str">
        <f>IF(L85="","",IF(VLOOKUP(L85,'G-3 Multipliers'!$L$3:$N$6,2,FALSE)=0,"Spatial Data Missing",VLOOKUP(L85,'G-3 Multipliers'!$L$3:$N$6,2,FALSE)))</f>
        <v/>
      </c>
      <c r="N85" s="368" t="str">
        <f>IF(L85="","",IF(VLOOKUP(L85,'G-3 Multipliers'!$L$3:$N$6,3,FALSE)=0,"Spatial Data Missing",VLOOKUP(L85,'G-3 Multipliers'!$L$3:$N$6,3,FALSE)))</f>
        <v/>
      </c>
      <c r="O85" s="362" t="str">
        <f t="shared" si="6"/>
        <v/>
      </c>
      <c r="P85" s="63"/>
      <c r="Q85" s="63"/>
      <c r="R85" s="370" t="str">
        <f t="shared" si="8"/>
        <v/>
      </c>
      <c r="S85" s="383" t="str">
        <f t="shared" si="9"/>
        <v/>
      </c>
      <c r="T85" s="384" t="str">
        <f>IFERROR(IF(S85="Check Data ⚠","Check Data ⚠",VLOOKUP(S85,'G-4 Temporal multipliers'!$A$4:$C$37,3,FALSE)),"")</f>
        <v/>
      </c>
      <c r="U85" s="385" t="str">
        <f>IF(F85="","",VLOOKUP(F85,'G-3 Multipliers'!$A$2:$E$134,2,FALSE))</f>
        <v/>
      </c>
      <c r="V85" s="382" t="str">
        <f t="shared" si="11"/>
        <v/>
      </c>
      <c r="W85" s="382" t="str">
        <f>IF(E85="","",IF(AND(V85="Standard difficulty applied",O85&gt;P85),U85,IF(AND(V85="Low Difficulty - only applicable if all habitat created before losses",P85&gt;=O85),"Low",VLOOKUP(F85,'G-3 Multipliers'!$A$2:$E$134,4,FALSE))))</f>
        <v/>
      </c>
      <c r="X85" s="386" t="str">
        <f>IFERROR(IF(E85="","",VLOOKUP(W85, 'G-3 Multipliers'!$P$2:$Q$6,2,FALSE)),"")</f>
        <v/>
      </c>
      <c r="Y85" s="390" t="str">
        <f t="shared" si="10"/>
        <v/>
      </c>
      <c r="Z85" s="194"/>
      <c r="AA85" s="195"/>
      <c r="AB85" s="120"/>
      <c r="AE85" s="40" t="str">
        <f t="shared" si="7"/>
        <v/>
      </c>
    </row>
    <row r="86" spans="1:31">
      <c r="A86" s="35" t="str">
        <f>IFERROR(INDEX('G-8 Condition Look up'!$I$4:$I$135,MATCH(F86,'G-8 Condition Look up'!$A$4:$A$135,0)),"")</f>
        <v/>
      </c>
      <c r="C86" s="299" t="str">
        <f>IFERROR(INDEX('G-1 All Habitats'!$AG$3:$AG$17,MATCH(D86,'G-1 All Habitats'!$AF$3:$AF$17,0)),"")</f>
        <v/>
      </c>
      <c r="D86" s="54"/>
      <c r="E86" s="61"/>
      <c r="F86" s="296" t="str">
        <f>IFERROR(INDEX('G-1 All Habitats'!$B$3:$B$134,MATCH(E86,'G-1 All Habitats'!$A$3:$A$134,0)),"")</f>
        <v/>
      </c>
      <c r="G86" s="53"/>
      <c r="H86" s="362" t="str">
        <f>IF(F86="","",VLOOKUP(F86,'G-1 All Habitats'!$B$2:$M$134,10,FALSE))</f>
        <v/>
      </c>
      <c r="I86" s="363" t="str">
        <f>IFERROR(VLOOKUP(H86,'G-1 All Habitats'!$V$3:$W$7,2,FALSE),"")</f>
        <v/>
      </c>
      <c r="J86" s="54"/>
      <c r="K86" s="363" t="str">
        <f>IFERROR(INDEX('G-8 Condition Look up'!$A$3:$H$135,MATCH(F86,'G-8 Condition Look up'!$A$3:$A$135,0),MATCH(J86,'G-8 Condition Look up'!$A$3:$H$3,0)),"")</f>
        <v/>
      </c>
      <c r="L86" s="54"/>
      <c r="M86" s="370" t="str">
        <f>IF(L86="","",IF(VLOOKUP(L86,'G-3 Multipliers'!$L$3:$N$6,2,FALSE)=0,"Spatial Data Missing",VLOOKUP(L86,'G-3 Multipliers'!$L$3:$N$6,2,FALSE)))</f>
        <v/>
      </c>
      <c r="N86" s="368" t="str">
        <f>IF(L86="","",IF(VLOOKUP(L86,'G-3 Multipliers'!$L$3:$N$6,3,FALSE)=0,"Spatial Data Missing",VLOOKUP(L86,'G-3 Multipliers'!$L$3:$N$6,3,FALSE)))</f>
        <v/>
      </c>
      <c r="O86" s="362" t="str">
        <f t="shared" si="6"/>
        <v/>
      </c>
      <c r="P86" s="63"/>
      <c r="Q86" s="63"/>
      <c r="R86" s="370" t="str">
        <f t="shared" si="8"/>
        <v/>
      </c>
      <c r="S86" s="383" t="str">
        <f t="shared" si="9"/>
        <v/>
      </c>
      <c r="T86" s="384" t="str">
        <f>IFERROR(IF(S86="Check Data ⚠","Check Data ⚠",VLOOKUP(S86,'G-4 Temporal multipliers'!$A$4:$C$37,3,FALSE)),"")</f>
        <v/>
      </c>
      <c r="U86" s="385" t="str">
        <f>IF(F86="","",VLOOKUP(F86,'G-3 Multipliers'!$A$2:$E$134,2,FALSE))</f>
        <v/>
      </c>
      <c r="V86" s="382" t="str">
        <f t="shared" si="11"/>
        <v/>
      </c>
      <c r="W86" s="382" t="str">
        <f>IF(E86="","",IF(AND(V86="Standard difficulty applied",O86&gt;P86),U86,IF(AND(V86="Low Difficulty - only applicable if all habitat created before losses",P86&gt;=O86),"Low",VLOOKUP(F86,'G-3 Multipliers'!$A$2:$E$134,4,FALSE))))</f>
        <v/>
      </c>
      <c r="X86" s="386" t="str">
        <f>IFERROR(IF(E86="","",VLOOKUP(W86, 'G-3 Multipliers'!$P$2:$Q$6,2,FALSE)),"")</f>
        <v/>
      </c>
      <c r="Y86" s="390" t="str">
        <f t="shared" si="10"/>
        <v/>
      </c>
      <c r="Z86" s="194"/>
      <c r="AA86" s="195"/>
      <c r="AB86" s="120"/>
      <c r="AE86" s="40" t="str">
        <f t="shared" si="7"/>
        <v/>
      </c>
    </row>
    <row r="87" spans="1:31">
      <c r="A87" s="35" t="str">
        <f>IFERROR(INDEX('G-8 Condition Look up'!$I$4:$I$135,MATCH(F87,'G-8 Condition Look up'!$A$4:$A$135,0)),"")</f>
        <v/>
      </c>
      <c r="C87" s="299" t="str">
        <f>IFERROR(INDEX('G-1 All Habitats'!$AG$3:$AG$17,MATCH(D87,'G-1 All Habitats'!$AF$3:$AF$17,0)),"")</f>
        <v/>
      </c>
      <c r="D87" s="54"/>
      <c r="E87" s="61"/>
      <c r="F87" s="296" t="str">
        <f>IFERROR(INDEX('G-1 All Habitats'!$B$3:$B$134,MATCH(E87,'G-1 All Habitats'!$A$3:$A$134,0)),"")</f>
        <v/>
      </c>
      <c r="G87" s="53"/>
      <c r="H87" s="362" t="str">
        <f>IF(F87="","",VLOOKUP(F87,'G-1 All Habitats'!$B$2:$M$134,10,FALSE))</f>
        <v/>
      </c>
      <c r="I87" s="363" t="str">
        <f>IFERROR(VLOOKUP(H87,'G-1 All Habitats'!$V$3:$W$7,2,FALSE),"")</f>
        <v/>
      </c>
      <c r="J87" s="54"/>
      <c r="K87" s="363" t="str">
        <f>IFERROR(INDEX('G-8 Condition Look up'!$A$3:$H$135,MATCH(F87,'G-8 Condition Look up'!$A$3:$A$135,0),MATCH(J87,'G-8 Condition Look up'!$A$3:$H$3,0)),"")</f>
        <v/>
      </c>
      <c r="L87" s="54"/>
      <c r="M87" s="370" t="str">
        <f>IF(L87="","",IF(VLOOKUP(L87,'G-3 Multipliers'!$L$3:$N$6,2,FALSE)=0,"Spatial Data Missing",VLOOKUP(L87,'G-3 Multipliers'!$L$3:$N$6,2,FALSE)))</f>
        <v/>
      </c>
      <c r="N87" s="368" t="str">
        <f>IF(L87="","",IF(VLOOKUP(L87,'G-3 Multipliers'!$L$3:$N$6,3,FALSE)=0,"Spatial Data Missing",VLOOKUP(L87,'G-3 Multipliers'!$L$3:$N$6,3,FALSE)))</f>
        <v/>
      </c>
      <c r="O87" s="362" t="str">
        <f t="shared" si="6"/>
        <v/>
      </c>
      <c r="P87" s="63"/>
      <c r="Q87" s="63"/>
      <c r="R87" s="370" t="str">
        <f t="shared" si="8"/>
        <v/>
      </c>
      <c r="S87" s="383" t="str">
        <f t="shared" si="9"/>
        <v/>
      </c>
      <c r="T87" s="384" t="str">
        <f>IFERROR(IF(S87="Check Data ⚠","Check Data ⚠",VLOOKUP(S87,'G-4 Temporal multipliers'!$A$4:$C$37,3,FALSE)),"")</f>
        <v/>
      </c>
      <c r="U87" s="385" t="str">
        <f>IF(F87="","",VLOOKUP(F87,'G-3 Multipliers'!$A$2:$E$134,2,FALSE))</f>
        <v/>
      </c>
      <c r="V87" s="382" t="str">
        <f t="shared" si="11"/>
        <v/>
      </c>
      <c r="W87" s="382" t="str">
        <f>IF(E87="","",IF(AND(V87="Standard difficulty applied",O87&gt;P87),U87,IF(AND(V87="Low Difficulty - only applicable if all habitat created before losses",P87&gt;=O87),"Low",VLOOKUP(F87,'G-3 Multipliers'!$A$2:$E$134,4,FALSE))))</f>
        <v/>
      </c>
      <c r="X87" s="386" t="str">
        <f>IFERROR(IF(E87="","",VLOOKUP(W87, 'G-3 Multipliers'!$P$2:$Q$6,2,FALSE)),"")</f>
        <v/>
      </c>
      <c r="Y87" s="390" t="str">
        <f t="shared" si="10"/>
        <v/>
      </c>
      <c r="Z87" s="194"/>
      <c r="AA87" s="195"/>
      <c r="AB87" s="120"/>
      <c r="AE87" s="40" t="str">
        <f t="shared" si="7"/>
        <v/>
      </c>
    </row>
    <row r="88" spans="1:31">
      <c r="A88" s="35" t="str">
        <f>IFERROR(INDEX('G-8 Condition Look up'!$I$4:$I$135,MATCH(F88,'G-8 Condition Look up'!$A$4:$A$135,0)),"")</f>
        <v/>
      </c>
      <c r="C88" s="299" t="str">
        <f>IFERROR(INDEX('G-1 All Habitats'!$AG$3:$AG$17,MATCH(D88,'G-1 All Habitats'!$AF$3:$AF$17,0)),"")</f>
        <v/>
      </c>
      <c r="D88" s="54"/>
      <c r="E88" s="61"/>
      <c r="F88" s="296" t="str">
        <f>IFERROR(INDEX('G-1 All Habitats'!$B$3:$B$134,MATCH(E88,'G-1 All Habitats'!$A$3:$A$134,0)),"")</f>
        <v/>
      </c>
      <c r="G88" s="53"/>
      <c r="H88" s="362" t="str">
        <f>IF(F88="","",VLOOKUP(F88,'G-1 All Habitats'!$B$2:$M$134,10,FALSE))</f>
        <v/>
      </c>
      <c r="I88" s="363" t="str">
        <f>IFERROR(VLOOKUP(H88,'G-1 All Habitats'!$V$3:$W$7,2,FALSE),"")</f>
        <v/>
      </c>
      <c r="J88" s="54"/>
      <c r="K88" s="363" t="str">
        <f>IFERROR(INDEX('G-8 Condition Look up'!$A$3:$H$135,MATCH(F88,'G-8 Condition Look up'!$A$3:$A$135,0),MATCH(J88,'G-8 Condition Look up'!$A$3:$H$3,0)),"")</f>
        <v/>
      </c>
      <c r="L88" s="54"/>
      <c r="M88" s="370" t="str">
        <f>IF(L88="","",IF(VLOOKUP(L88,'G-3 Multipliers'!$L$3:$N$6,2,FALSE)=0,"Spatial Data Missing",VLOOKUP(L88,'G-3 Multipliers'!$L$3:$N$6,2,FALSE)))</f>
        <v/>
      </c>
      <c r="N88" s="368" t="str">
        <f>IF(L88="","",IF(VLOOKUP(L88,'G-3 Multipliers'!$L$3:$N$6,3,FALSE)=0,"Spatial Data Missing",VLOOKUP(L88,'G-3 Multipliers'!$L$3:$N$6,3,FALSE)))</f>
        <v/>
      </c>
      <c r="O88" s="362" t="str">
        <f t="shared" si="6"/>
        <v/>
      </c>
      <c r="P88" s="63"/>
      <c r="Q88" s="63"/>
      <c r="R88" s="370" t="str">
        <f t="shared" si="8"/>
        <v/>
      </c>
      <c r="S88" s="383" t="str">
        <f t="shared" si="9"/>
        <v/>
      </c>
      <c r="T88" s="384" t="str">
        <f>IFERROR(IF(S88="Check Data ⚠","Check Data ⚠",VLOOKUP(S88,'G-4 Temporal multipliers'!$A$4:$C$37,3,FALSE)),"")</f>
        <v/>
      </c>
      <c r="U88" s="385" t="str">
        <f>IF(F88="","",VLOOKUP(F88,'G-3 Multipliers'!$A$2:$E$134,2,FALSE))</f>
        <v/>
      </c>
      <c r="V88" s="382" t="str">
        <f t="shared" si="11"/>
        <v/>
      </c>
      <c r="W88" s="382" t="str">
        <f>IF(E88="","",IF(AND(V88="Standard difficulty applied",O88&gt;P88),U88,IF(AND(V88="Low Difficulty - only applicable if all habitat created before losses",P88&gt;=O88),"Low",VLOOKUP(F88,'G-3 Multipliers'!$A$2:$E$134,4,FALSE))))</f>
        <v/>
      </c>
      <c r="X88" s="386" t="str">
        <f>IFERROR(IF(E88="","",VLOOKUP(W88, 'G-3 Multipliers'!$P$2:$Q$6,2,FALSE)),"")</f>
        <v/>
      </c>
      <c r="Y88" s="390" t="str">
        <f t="shared" si="10"/>
        <v/>
      </c>
      <c r="Z88" s="194"/>
      <c r="AA88" s="195"/>
      <c r="AB88" s="120"/>
      <c r="AE88" s="40" t="str">
        <f t="shared" si="7"/>
        <v/>
      </c>
    </row>
    <row r="89" spans="1:31">
      <c r="A89" s="35" t="str">
        <f>IFERROR(INDEX('G-8 Condition Look up'!$I$4:$I$135,MATCH(F89,'G-8 Condition Look up'!$A$4:$A$135,0)),"")</f>
        <v/>
      </c>
      <c r="C89" s="299" t="str">
        <f>IFERROR(INDEX('G-1 All Habitats'!$AG$3:$AG$17,MATCH(D89,'G-1 All Habitats'!$AF$3:$AF$17,0)),"")</f>
        <v/>
      </c>
      <c r="D89" s="54"/>
      <c r="E89" s="61"/>
      <c r="F89" s="296" t="str">
        <f>IFERROR(INDEX('G-1 All Habitats'!$B$3:$B$134,MATCH(E89,'G-1 All Habitats'!$A$3:$A$134,0)),"")</f>
        <v/>
      </c>
      <c r="G89" s="53"/>
      <c r="H89" s="362" t="str">
        <f>IF(F89="","",VLOOKUP(F89,'G-1 All Habitats'!$B$2:$M$134,10,FALSE))</f>
        <v/>
      </c>
      <c r="I89" s="363" t="str">
        <f>IFERROR(VLOOKUP(H89,'G-1 All Habitats'!$V$3:$W$7,2,FALSE),"")</f>
        <v/>
      </c>
      <c r="J89" s="54"/>
      <c r="K89" s="363" t="str">
        <f>IFERROR(INDEX('G-8 Condition Look up'!$A$3:$H$135,MATCH(F89,'G-8 Condition Look up'!$A$3:$A$135,0),MATCH(J89,'G-8 Condition Look up'!$A$3:$H$3,0)),"")</f>
        <v/>
      </c>
      <c r="L89" s="54"/>
      <c r="M89" s="370" t="str">
        <f>IF(L89="","",IF(VLOOKUP(L89,'G-3 Multipliers'!$L$3:$N$6,2,FALSE)=0,"Spatial Data Missing",VLOOKUP(L89,'G-3 Multipliers'!$L$3:$N$6,2,FALSE)))</f>
        <v/>
      </c>
      <c r="N89" s="368" t="str">
        <f>IF(L89="","",IF(VLOOKUP(L89,'G-3 Multipliers'!$L$3:$N$6,3,FALSE)=0,"Spatial Data Missing",VLOOKUP(L89,'G-3 Multipliers'!$L$3:$N$6,3,FALSE)))</f>
        <v/>
      </c>
      <c r="O89" s="362" t="str">
        <f t="shared" si="6"/>
        <v/>
      </c>
      <c r="P89" s="63"/>
      <c r="Q89" s="63"/>
      <c r="R89" s="370" t="str">
        <f t="shared" si="8"/>
        <v/>
      </c>
      <c r="S89" s="383" t="str">
        <f t="shared" si="9"/>
        <v/>
      </c>
      <c r="T89" s="384" t="str">
        <f>IFERROR(IF(S89="Check Data ⚠","Check Data ⚠",VLOOKUP(S89,'G-4 Temporal multipliers'!$A$4:$C$37,3,FALSE)),"")</f>
        <v/>
      </c>
      <c r="U89" s="385" t="str">
        <f>IF(F89="","",VLOOKUP(F89,'G-3 Multipliers'!$A$2:$E$134,2,FALSE))</f>
        <v/>
      </c>
      <c r="V89" s="382" t="str">
        <f t="shared" si="11"/>
        <v/>
      </c>
      <c r="W89" s="382" t="str">
        <f>IF(E89="","",IF(AND(V89="Standard difficulty applied",O89&gt;P89),U89,IF(AND(V89="Low Difficulty - only applicable if all habitat created before losses",P89&gt;=O89),"Low",VLOOKUP(F89,'G-3 Multipliers'!$A$2:$E$134,4,FALSE))))</f>
        <v/>
      </c>
      <c r="X89" s="386" t="str">
        <f>IFERROR(IF(E89="","",VLOOKUP(W89, 'G-3 Multipliers'!$P$2:$Q$6,2,FALSE)),"")</f>
        <v/>
      </c>
      <c r="Y89" s="390" t="str">
        <f t="shared" si="10"/>
        <v/>
      </c>
      <c r="Z89" s="194"/>
      <c r="AA89" s="195"/>
      <c r="AB89" s="120"/>
      <c r="AE89" s="40" t="str">
        <f t="shared" si="7"/>
        <v/>
      </c>
    </row>
    <row r="90" spans="1:31">
      <c r="A90" s="35" t="str">
        <f>IFERROR(INDEX('G-8 Condition Look up'!$I$4:$I$135,MATCH(F90,'G-8 Condition Look up'!$A$4:$A$135,0)),"")</f>
        <v/>
      </c>
      <c r="C90" s="299" t="str">
        <f>IFERROR(INDEX('G-1 All Habitats'!$AG$3:$AG$17,MATCH(D90,'G-1 All Habitats'!$AF$3:$AF$17,0)),"")</f>
        <v/>
      </c>
      <c r="D90" s="54"/>
      <c r="E90" s="61"/>
      <c r="F90" s="296" t="str">
        <f>IFERROR(INDEX('G-1 All Habitats'!$B$3:$B$134,MATCH(E90,'G-1 All Habitats'!$A$3:$A$134,0)),"")</f>
        <v/>
      </c>
      <c r="G90" s="53"/>
      <c r="H90" s="362" t="str">
        <f>IF(F90="","",VLOOKUP(F90,'G-1 All Habitats'!$B$2:$M$134,10,FALSE))</f>
        <v/>
      </c>
      <c r="I90" s="363" t="str">
        <f>IFERROR(VLOOKUP(H90,'G-1 All Habitats'!$V$3:$W$7,2,FALSE),"")</f>
        <v/>
      </c>
      <c r="J90" s="54"/>
      <c r="K90" s="363" t="str">
        <f>IFERROR(INDEX('G-8 Condition Look up'!$A$3:$H$135,MATCH(F90,'G-8 Condition Look up'!$A$3:$A$135,0),MATCH(J90,'G-8 Condition Look up'!$A$3:$H$3,0)),"")</f>
        <v/>
      </c>
      <c r="L90" s="54"/>
      <c r="M90" s="370" t="str">
        <f>IF(L90="","",IF(VLOOKUP(L90,'G-3 Multipliers'!$L$3:$N$6,2,FALSE)=0,"Spatial Data Missing",VLOOKUP(L90,'G-3 Multipliers'!$L$3:$N$6,2,FALSE)))</f>
        <v/>
      </c>
      <c r="N90" s="368" t="str">
        <f>IF(L90="","",IF(VLOOKUP(L90,'G-3 Multipliers'!$L$3:$N$6,3,FALSE)=0,"Spatial Data Missing",VLOOKUP(L90,'G-3 Multipliers'!$L$3:$N$6,3,FALSE)))</f>
        <v/>
      </c>
      <c r="O90" s="362" t="str">
        <f t="shared" si="6"/>
        <v/>
      </c>
      <c r="P90" s="63"/>
      <c r="Q90" s="63"/>
      <c r="R90" s="370" t="str">
        <f t="shared" si="8"/>
        <v/>
      </c>
      <c r="S90" s="383" t="str">
        <f t="shared" si="9"/>
        <v/>
      </c>
      <c r="T90" s="384" t="str">
        <f>IFERROR(IF(S90="Check Data ⚠","Check Data ⚠",VLOOKUP(S90,'G-4 Temporal multipliers'!$A$4:$C$37,3,FALSE)),"")</f>
        <v/>
      </c>
      <c r="U90" s="385" t="str">
        <f>IF(F90="","",VLOOKUP(F90,'G-3 Multipliers'!$A$2:$E$134,2,FALSE))</f>
        <v/>
      </c>
      <c r="V90" s="382" t="str">
        <f t="shared" si="11"/>
        <v/>
      </c>
      <c r="W90" s="382" t="str">
        <f>IF(E90="","",IF(AND(V90="Standard difficulty applied",O90&gt;P90),U90,IF(AND(V90="Low Difficulty - only applicable if all habitat created before losses",P90&gt;=O90),"Low",VLOOKUP(F90,'G-3 Multipliers'!$A$2:$E$134,4,FALSE))))</f>
        <v/>
      </c>
      <c r="X90" s="386" t="str">
        <f>IFERROR(IF(E90="","",VLOOKUP(W90, 'G-3 Multipliers'!$P$2:$Q$6,2,FALSE)),"")</f>
        <v/>
      </c>
      <c r="Y90" s="390" t="str">
        <f t="shared" si="10"/>
        <v/>
      </c>
      <c r="Z90" s="194"/>
      <c r="AA90" s="195"/>
      <c r="AB90" s="120"/>
      <c r="AE90" s="40" t="str">
        <f t="shared" si="7"/>
        <v/>
      </c>
    </row>
    <row r="91" spans="1:31">
      <c r="A91" s="35" t="str">
        <f>IFERROR(INDEX('G-8 Condition Look up'!$I$4:$I$135,MATCH(F91,'G-8 Condition Look up'!$A$4:$A$135,0)),"")</f>
        <v/>
      </c>
      <c r="C91" s="299" t="str">
        <f>IFERROR(INDEX('G-1 All Habitats'!$AG$3:$AG$17,MATCH(D91,'G-1 All Habitats'!$AF$3:$AF$17,0)),"")</f>
        <v/>
      </c>
      <c r="D91" s="54"/>
      <c r="E91" s="61"/>
      <c r="F91" s="296" t="str">
        <f>IFERROR(INDEX('G-1 All Habitats'!$B$3:$B$134,MATCH(E91,'G-1 All Habitats'!$A$3:$A$134,0)),"")</f>
        <v/>
      </c>
      <c r="G91" s="53"/>
      <c r="H91" s="362" t="str">
        <f>IF(F91="","",VLOOKUP(F91,'G-1 All Habitats'!$B$2:$M$134,10,FALSE))</f>
        <v/>
      </c>
      <c r="I91" s="363" t="str">
        <f>IFERROR(VLOOKUP(H91,'G-1 All Habitats'!$V$3:$W$7,2,FALSE),"")</f>
        <v/>
      </c>
      <c r="J91" s="54"/>
      <c r="K91" s="363" t="str">
        <f>IFERROR(INDEX('G-8 Condition Look up'!$A$3:$H$135,MATCH(F91,'G-8 Condition Look up'!$A$3:$A$135,0),MATCH(J91,'G-8 Condition Look up'!$A$3:$H$3,0)),"")</f>
        <v/>
      </c>
      <c r="L91" s="54"/>
      <c r="M91" s="370" t="str">
        <f>IF(L91="","",IF(VLOOKUP(L91,'G-3 Multipliers'!$L$3:$N$6,2,FALSE)=0,"Spatial Data Missing",VLOOKUP(L91,'G-3 Multipliers'!$L$3:$N$6,2,FALSE)))</f>
        <v/>
      </c>
      <c r="N91" s="368" t="str">
        <f>IF(L91="","",IF(VLOOKUP(L91,'G-3 Multipliers'!$L$3:$N$6,3,FALSE)=0,"Spatial Data Missing",VLOOKUP(L91,'G-3 Multipliers'!$L$3:$N$6,3,FALSE)))</f>
        <v/>
      </c>
      <c r="O91" s="362" t="str">
        <f t="shared" si="6"/>
        <v/>
      </c>
      <c r="P91" s="63"/>
      <c r="Q91" s="63"/>
      <c r="R91" s="370" t="str">
        <f t="shared" si="8"/>
        <v/>
      </c>
      <c r="S91" s="383" t="str">
        <f t="shared" si="9"/>
        <v/>
      </c>
      <c r="T91" s="384" t="str">
        <f>IFERROR(IF(S91="Check Data ⚠","Check Data ⚠",VLOOKUP(S91,'G-4 Temporal multipliers'!$A$4:$C$37,3,FALSE)),"")</f>
        <v/>
      </c>
      <c r="U91" s="385" t="str">
        <f>IF(F91="","",VLOOKUP(F91,'G-3 Multipliers'!$A$2:$E$134,2,FALSE))</f>
        <v/>
      </c>
      <c r="V91" s="382" t="str">
        <f t="shared" si="11"/>
        <v/>
      </c>
      <c r="W91" s="382" t="str">
        <f>IF(E91="","",IF(AND(V91="Standard difficulty applied",O91&gt;P91),U91,IF(AND(V91="Low Difficulty - only applicable if all habitat created before losses",P91&gt;=O91),"Low",VLOOKUP(F91,'G-3 Multipliers'!$A$2:$E$134,4,FALSE))))</f>
        <v/>
      </c>
      <c r="X91" s="386" t="str">
        <f>IFERROR(IF(E91="","",VLOOKUP(W91, 'G-3 Multipliers'!$P$2:$Q$6,2,FALSE)),"")</f>
        <v/>
      </c>
      <c r="Y91" s="390" t="str">
        <f t="shared" si="10"/>
        <v/>
      </c>
      <c r="Z91" s="194"/>
      <c r="AA91" s="195"/>
      <c r="AB91" s="120"/>
      <c r="AE91" s="40" t="str">
        <f t="shared" si="7"/>
        <v/>
      </c>
    </row>
    <row r="92" spans="1:31">
      <c r="A92" s="35" t="str">
        <f>IFERROR(INDEX('G-8 Condition Look up'!$I$4:$I$135,MATCH(F92,'G-8 Condition Look up'!$A$4:$A$135,0)),"")</f>
        <v/>
      </c>
      <c r="C92" s="299" t="str">
        <f>IFERROR(INDEX('G-1 All Habitats'!$AG$3:$AG$17,MATCH(D92,'G-1 All Habitats'!$AF$3:$AF$17,0)),"")</f>
        <v/>
      </c>
      <c r="D92" s="54"/>
      <c r="E92" s="61"/>
      <c r="F92" s="296" t="str">
        <f>IFERROR(INDEX('G-1 All Habitats'!$B$3:$B$134,MATCH(E92,'G-1 All Habitats'!$A$3:$A$134,0)),"")</f>
        <v/>
      </c>
      <c r="G92" s="53"/>
      <c r="H92" s="362" t="str">
        <f>IF(F92="","",VLOOKUP(F92,'G-1 All Habitats'!$B$2:$M$134,10,FALSE))</f>
        <v/>
      </c>
      <c r="I92" s="363" t="str">
        <f>IFERROR(VLOOKUP(H92,'G-1 All Habitats'!$V$3:$W$7,2,FALSE),"")</f>
        <v/>
      </c>
      <c r="J92" s="54"/>
      <c r="K92" s="363" t="str">
        <f>IFERROR(INDEX('G-8 Condition Look up'!$A$3:$H$135,MATCH(F92,'G-8 Condition Look up'!$A$3:$A$135,0),MATCH(J92,'G-8 Condition Look up'!$A$3:$H$3,0)),"")</f>
        <v/>
      </c>
      <c r="L92" s="54"/>
      <c r="M92" s="370" t="str">
        <f>IF(L92="","",IF(VLOOKUP(L92,'G-3 Multipliers'!$L$3:$N$6,2,FALSE)=0,"Spatial Data Missing",VLOOKUP(L92,'G-3 Multipliers'!$L$3:$N$6,2,FALSE)))</f>
        <v/>
      </c>
      <c r="N92" s="368" t="str">
        <f>IF(L92="","",IF(VLOOKUP(L92,'G-3 Multipliers'!$L$3:$N$6,3,FALSE)=0,"Spatial Data Missing",VLOOKUP(L92,'G-3 Multipliers'!$L$3:$N$6,3,FALSE)))</f>
        <v/>
      </c>
      <c r="O92" s="362" t="str">
        <f t="shared" si="6"/>
        <v/>
      </c>
      <c r="P92" s="63"/>
      <c r="Q92" s="63"/>
      <c r="R92" s="370" t="str">
        <f t="shared" si="8"/>
        <v/>
      </c>
      <c r="S92" s="383" t="str">
        <f t="shared" si="9"/>
        <v/>
      </c>
      <c r="T92" s="384" t="str">
        <f>IFERROR(IF(S92="Check Data ⚠","Check Data ⚠",VLOOKUP(S92,'G-4 Temporal multipliers'!$A$4:$C$37,3,FALSE)),"")</f>
        <v/>
      </c>
      <c r="U92" s="385" t="str">
        <f>IF(F92="","",VLOOKUP(F92,'G-3 Multipliers'!$A$2:$E$134,2,FALSE))</f>
        <v/>
      </c>
      <c r="V92" s="382" t="str">
        <f t="shared" si="11"/>
        <v/>
      </c>
      <c r="W92" s="382" t="str">
        <f>IF(E92="","",IF(AND(V92="Standard difficulty applied",O92&gt;P92),U92,IF(AND(V92="Low Difficulty - only applicable if all habitat created before losses",P92&gt;=O92),"Low",VLOOKUP(F92,'G-3 Multipliers'!$A$2:$E$134,4,FALSE))))</f>
        <v/>
      </c>
      <c r="X92" s="386" t="str">
        <f>IFERROR(IF(E92="","",VLOOKUP(W92, 'G-3 Multipliers'!$P$2:$Q$6,2,FALSE)),"")</f>
        <v/>
      </c>
      <c r="Y92" s="390" t="str">
        <f t="shared" si="10"/>
        <v/>
      </c>
      <c r="Z92" s="194"/>
      <c r="AA92" s="195"/>
      <c r="AB92" s="120"/>
      <c r="AE92" s="40" t="str">
        <f t="shared" si="7"/>
        <v/>
      </c>
    </row>
    <row r="93" spans="1:31">
      <c r="A93" s="35" t="str">
        <f>IFERROR(INDEX('G-8 Condition Look up'!$I$4:$I$135,MATCH(F93,'G-8 Condition Look up'!$A$4:$A$135,0)),"")</f>
        <v/>
      </c>
      <c r="C93" s="299" t="str">
        <f>IFERROR(INDEX('G-1 All Habitats'!$AG$3:$AG$17,MATCH(D93,'G-1 All Habitats'!$AF$3:$AF$17,0)),"")</f>
        <v/>
      </c>
      <c r="D93" s="54"/>
      <c r="E93" s="61"/>
      <c r="F93" s="296" t="str">
        <f>IFERROR(INDEX('G-1 All Habitats'!$B$3:$B$134,MATCH(E93,'G-1 All Habitats'!$A$3:$A$134,0)),"")</f>
        <v/>
      </c>
      <c r="G93" s="53"/>
      <c r="H93" s="362" t="str">
        <f>IF(F93="","",VLOOKUP(F93,'G-1 All Habitats'!$B$2:$M$134,10,FALSE))</f>
        <v/>
      </c>
      <c r="I93" s="363" t="str">
        <f>IFERROR(VLOOKUP(H93,'G-1 All Habitats'!$V$3:$W$7,2,FALSE),"")</f>
        <v/>
      </c>
      <c r="J93" s="54"/>
      <c r="K93" s="363" t="str">
        <f>IFERROR(INDEX('G-8 Condition Look up'!$A$3:$H$135,MATCH(F93,'G-8 Condition Look up'!$A$3:$A$135,0),MATCH(J93,'G-8 Condition Look up'!$A$3:$H$3,0)),"")</f>
        <v/>
      </c>
      <c r="L93" s="54"/>
      <c r="M93" s="370" t="str">
        <f>IF(L93="","",IF(VLOOKUP(L93,'G-3 Multipliers'!$L$3:$N$6,2,FALSE)=0,"Spatial Data Missing",VLOOKUP(L93,'G-3 Multipliers'!$L$3:$N$6,2,FALSE)))</f>
        <v/>
      </c>
      <c r="N93" s="368" t="str">
        <f>IF(L93="","",IF(VLOOKUP(L93,'G-3 Multipliers'!$L$3:$N$6,3,FALSE)=0,"Spatial Data Missing",VLOOKUP(L93,'G-3 Multipliers'!$L$3:$N$6,3,FALSE)))</f>
        <v/>
      </c>
      <c r="O93" s="362" t="str">
        <f t="shared" si="6"/>
        <v/>
      </c>
      <c r="P93" s="63"/>
      <c r="Q93" s="63"/>
      <c r="R93" s="370" t="str">
        <f t="shared" si="8"/>
        <v/>
      </c>
      <c r="S93" s="383" t="str">
        <f t="shared" si="9"/>
        <v/>
      </c>
      <c r="T93" s="384" t="str">
        <f>IFERROR(IF(S93="Check Data ⚠","Check Data ⚠",VLOOKUP(S93,'G-4 Temporal multipliers'!$A$4:$C$37,3,FALSE)),"")</f>
        <v/>
      </c>
      <c r="U93" s="385" t="str">
        <f>IF(F93="","",VLOOKUP(F93,'G-3 Multipliers'!$A$2:$E$134,2,FALSE))</f>
        <v/>
      </c>
      <c r="V93" s="382" t="str">
        <f t="shared" si="11"/>
        <v/>
      </c>
      <c r="W93" s="382" t="str">
        <f>IF(E93="","",IF(AND(V93="Standard difficulty applied",O93&gt;P93),U93,IF(AND(V93="Low Difficulty - only applicable if all habitat created before losses",P93&gt;=O93),"Low",VLOOKUP(F93,'G-3 Multipliers'!$A$2:$E$134,4,FALSE))))</f>
        <v/>
      </c>
      <c r="X93" s="386" t="str">
        <f>IFERROR(IF(E93="","",VLOOKUP(W93, 'G-3 Multipliers'!$P$2:$Q$6,2,FALSE)),"")</f>
        <v/>
      </c>
      <c r="Y93" s="390" t="str">
        <f t="shared" si="10"/>
        <v/>
      </c>
      <c r="Z93" s="194"/>
      <c r="AA93" s="195"/>
      <c r="AB93" s="120"/>
      <c r="AE93" s="40" t="str">
        <f t="shared" si="7"/>
        <v/>
      </c>
    </row>
    <row r="94" spans="1:31">
      <c r="A94" s="35" t="str">
        <f>IFERROR(INDEX('G-8 Condition Look up'!$I$4:$I$135,MATCH(F94,'G-8 Condition Look up'!$A$4:$A$135,0)),"")</f>
        <v/>
      </c>
      <c r="C94" s="299" t="str">
        <f>IFERROR(INDEX('G-1 All Habitats'!$AG$3:$AG$17,MATCH(D94,'G-1 All Habitats'!$AF$3:$AF$17,0)),"")</f>
        <v/>
      </c>
      <c r="D94" s="54"/>
      <c r="E94" s="61"/>
      <c r="F94" s="296" t="str">
        <f>IFERROR(INDEX('G-1 All Habitats'!$B$3:$B$134,MATCH(E94,'G-1 All Habitats'!$A$3:$A$134,0)),"")</f>
        <v/>
      </c>
      <c r="G94" s="53"/>
      <c r="H94" s="362" t="str">
        <f>IF(F94="","",VLOOKUP(F94,'G-1 All Habitats'!$B$2:$M$134,10,FALSE))</f>
        <v/>
      </c>
      <c r="I94" s="363" t="str">
        <f>IFERROR(VLOOKUP(H94,'G-1 All Habitats'!$V$3:$W$7,2,FALSE),"")</f>
        <v/>
      </c>
      <c r="J94" s="54"/>
      <c r="K94" s="363" t="str">
        <f>IFERROR(INDEX('G-8 Condition Look up'!$A$3:$H$135,MATCH(F94,'G-8 Condition Look up'!$A$3:$A$135,0),MATCH(J94,'G-8 Condition Look up'!$A$3:$H$3,0)),"")</f>
        <v/>
      </c>
      <c r="L94" s="54"/>
      <c r="M94" s="370" t="str">
        <f>IF(L94="","",IF(VLOOKUP(L94,'G-3 Multipliers'!$L$3:$N$6,2,FALSE)=0,"Spatial Data Missing",VLOOKUP(L94,'G-3 Multipliers'!$L$3:$N$6,2,FALSE)))</f>
        <v/>
      </c>
      <c r="N94" s="368" t="str">
        <f>IF(L94="","",IF(VLOOKUP(L94,'G-3 Multipliers'!$L$3:$N$6,3,FALSE)=0,"Spatial Data Missing",VLOOKUP(L94,'G-3 Multipliers'!$L$3:$N$6,3,FALSE)))</f>
        <v/>
      </c>
      <c r="O94" s="362" t="str">
        <f t="shared" si="6"/>
        <v/>
      </c>
      <c r="P94" s="63"/>
      <c r="Q94" s="63"/>
      <c r="R94" s="370" t="str">
        <f t="shared" si="8"/>
        <v/>
      </c>
      <c r="S94" s="383" t="str">
        <f t="shared" si="9"/>
        <v/>
      </c>
      <c r="T94" s="384" t="str">
        <f>IFERROR(IF(S94="Check Data ⚠","Check Data ⚠",VLOOKUP(S94,'G-4 Temporal multipliers'!$A$4:$C$37,3,FALSE)),"")</f>
        <v/>
      </c>
      <c r="U94" s="385" t="str">
        <f>IF(F94="","",VLOOKUP(F94,'G-3 Multipliers'!$A$2:$E$134,2,FALSE))</f>
        <v/>
      </c>
      <c r="V94" s="382" t="str">
        <f t="shared" si="11"/>
        <v/>
      </c>
      <c r="W94" s="382" t="str">
        <f>IF(E94="","",IF(AND(V94="Standard difficulty applied",O94&gt;P94),U94,IF(AND(V94="Low Difficulty - only applicable if all habitat created before losses",P94&gt;=O94),"Low",VLOOKUP(F94,'G-3 Multipliers'!$A$2:$E$134,4,FALSE))))</f>
        <v/>
      </c>
      <c r="X94" s="386" t="str">
        <f>IFERROR(IF(E94="","",VLOOKUP(W94, 'G-3 Multipliers'!$P$2:$Q$6,2,FALSE)),"")</f>
        <v/>
      </c>
      <c r="Y94" s="390" t="str">
        <f t="shared" si="10"/>
        <v/>
      </c>
      <c r="Z94" s="194"/>
      <c r="AA94" s="195"/>
      <c r="AB94" s="120"/>
      <c r="AE94" s="40" t="str">
        <f t="shared" si="7"/>
        <v/>
      </c>
    </row>
    <row r="95" spans="1:31">
      <c r="A95" s="35" t="str">
        <f>IFERROR(INDEX('G-8 Condition Look up'!$I$4:$I$135,MATCH(F95,'G-8 Condition Look up'!$A$4:$A$135,0)),"")</f>
        <v/>
      </c>
      <c r="C95" s="299" t="str">
        <f>IFERROR(INDEX('G-1 All Habitats'!$AG$3:$AG$17,MATCH(D95,'G-1 All Habitats'!$AF$3:$AF$17,0)),"")</f>
        <v/>
      </c>
      <c r="D95" s="54"/>
      <c r="E95" s="61"/>
      <c r="F95" s="296" t="str">
        <f>IFERROR(INDEX('G-1 All Habitats'!$B$3:$B$134,MATCH(E95,'G-1 All Habitats'!$A$3:$A$134,0)),"")</f>
        <v/>
      </c>
      <c r="G95" s="53"/>
      <c r="H95" s="362" t="str">
        <f>IF(F95="","",VLOOKUP(F95,'G-1 All Habitats'!$B$2:$M$134,10,FALSE))</f>
        <v/>
      </c>
      <c r="I95" s="363" t="str">
        <f>IFERROR(VLOOKUP(H95,'G-1 All Habitats'!$V$3:$W$7,2,FALSE),"")</f>
        <v/>
      </c>
      <c r="J95" s="54"/>
      <c r="K95" s="363" t="str">
        <f>IFERROR(INDEX('G-8 Condition Look up'!$A$3:$H$135,MATCH(F95,'G-8 Condition Look up'!$A$3:$A$135,0),MATCH(J95,'G-8 Condition Look up'!$A$3:$H$3,0)),"")</f>
        <v/>
      </c>
      <c r="L95" s="54"/>
      <c r="M95" s="370" t="str">
        <f>IF(L95="","",IF(VLOOKUP(L95,'G-3 Multipliers'!$L$3:$N$6,2,FALSE)=0,"Spatial Data Missing",VLOOKUP(L95,'G-3 Multipliers'!$L$3:$N$6,2,FALSE)))</f>
        <v/>
      </c>
      <c r="N95" s="368" t="str">
        <f>IF(L95="","",IF(VLOOKUP(L95,'G-3 Multipliers'!$L$3:$N$6,3,FALSE)=0,"Spatial Data Missing",VLOOKUP(L95,'G-3 Multipliers'!$L$3:$N$6,3,FALSE)))</f>
        <v/>
      </c>
      <c r="O95" s="362" t="str">
        <f t="shared" si="6"/>
        <v/>
      </c>
      <c r="P95" s="63"/>
      <c r="Q95" s="63"/>
      <c r="R95" s="370" t="str">
        <f t="shared" si="8"/>
        <v/>
      </c>
      <c r="S95" s="383" t="str">
        <f t="shared" si="9"/>
        <v/>
      </c>
      <c r="T95" s="384" t="str">
        <f>IFERROR(IF(S95="Check Data ⚠","Check Data ⚠",VLOOKUP(S95,'G-4 Temporal multipliers'!$A$4:$C$37,3,FALSE)),"")</f>
        <v/>
      </c>
      <c r="U95" s="385" t="str">
        <f>IF(F95="","",VLOOKUP(F95,'G-3 Multipliers'!$A$2:$E$134,2,FALSE))</f>
        <v/>
      </c>
      <c r="V95" s="382" t="str">
        <f t="shared" si="11"/>
        <v/>
      </c>
      <c r="W95" s="382" t="str">
        <f>IF(E95="","",IF(AND(V95="Standard difficulty applied",O95&gt;P95),U95,IF(AND(V95="Low Difficulty - only applicable if all habitat created before losses",P95&gt;=O95),"Low",VLOOKUP(F95,'G-3 Multipliers'!$A$2:$E$134,4,FALSE))))</f>
        <v/>
      </c>
      <c r="X95" s="386" t="str">
        <f>IFERROR(IF(E95="","",VLOOKUP(W95, 'G-3 Multipliers'!$P$2:$Q$6,2,FALSE)),"")</f>
        <v/>
      </c>
      <c r="Y95" s="390" t="str">
        <f t="shared" si="10"/>
        <v/>
      </c>
      <c r="Z95" s="194"/>
      <c r="AA95" s="195"/>
      <c r="AB95" s="120"/>
      <c r="AE95" s="40" t="str">
        <f t="shared" si="7"/>
        <v/>
      </c>
    </row>
    <row r="96" spans="1:31">
      <c r="A96" s="35" t="str">
        <f>IFERROR(INDEX('G-8 Condition Look up'!$I$4:$I$135,MATCH(F96,'G-8 Condition Look up'!$A$4:$A$135,0)),"")</f>
        <v/>
      </c>
      <c r="C96" s="299" t="str">
        <f>IFERROR(INDEX('G-1 All Habitats'!$AG$3:$AG$17,MATCH(D96,'G-1 All Habitats'!$AF$3:$AF$17,0)),"")</f>
        <v/>
      </c>
      <c r="D96" s="54"/>
      <c r="E96" s="61"/>
      <c r="F96" s="296" t="str">
        <f>IFERROR(INDEX('G-1 All Habitats'!$B$3:$B$134,MATCH(E96,'G-1 All Habitats'!$A$3:$A$134,0)),"")</f>
        <v/>
      </c>
      <c r="G96" s="53"/>
      <c r="H96" s="362" t="str">
        <f>IF(F96="","",VLOOKUP(F96,'G-1 All Habitats'!$B$2:$M$134,10,FALSE))</f>
        <v/>
      </c>
      <c r="I96" s="363" t="str">
        <f>IFERROR(VLOOKUP(H96,'G-1 All Habitats'!$V$3:$W$7,2,FALSE),"")</f>
        <v/>
      </c>
      <c r="J96" s="54"/>
      <c r="K96" s="363" t="str">
        <f>IFERROR(INDEX('G-8 Condition Look up'!$A$3:$H$135,MATCH(F96,'G-8 Condition Look up'!$A$3:$A$135,0),MATCH(J96,'G-8 Condition Look up'!$A$3:$H$3,0)),"")</f>
        <v/>
      </c>
      <c r="L96" s="54"/>
      <c r="M96" s="370" t="str">
        <f>IF(L96="","",IF(VLOOKUP(L96,'G-3 Multipliers'!$L$3:$N$6,2,FALSE)=0,"Spatial Data Missing",VLOOKUP(L96,'G-3 Multipliers'!$L$3:$N$6,2,FALSE)))</f>
        <v/>
      </c>
      <c r="N96" s="368" t="str">
        <f>IF(L96="","",IF(VLOOKUP(L96,'G-3 Multipliers'!$L$3:$N$6,3,FALSE)=0,"Spatial Data Missing",VLOOKUP(L96,'G-3 Multipliers'!$L$3:$N$6,3,FALSE)))</f>
        <v/>
      </c>
      <c r="O96" s="362" t="str">
        <f t="shared" si="6"/>
        <v/>
      </c>
      <c r="P96" s="63"/>
      <c r="Q96" s="63"/>
      <c r="R96" s="370" t="str">
        <f t="shared" si="8"/>
        <v/>
      </c>
      <c r="S96" s="383" t="str">
        <f t="shared" si="9"/>
        <v/>
      </c>
      <c r="T96" s="384" t="str">
        <f>IFERROR(IF(S96="Check Data ⚠","Check Data ⚠",VLOOKUP(S96,'G-4 Temporal multipliers'!$A$4:$C$37,3,FALSE)),"")</f>
        <v/>
      </c>
      <c r="U96" s="385" t="str">
        <f>IF(F96="","",VLOOKUP(F96,'G-3 Multipliers'!$A$2:$E$134,2,FALSE))</f>
        <v/>
      </c>
      <c r="V96" s="382" t="str">
        <f t="shared" si="11"/>
        <v/>
      </c>
      <c r="W96" s="382" t="str">
        <f>IF(E96="","",IF(AND(V96="Standard difficulty applied",O96&gt;P96),U96,IF(AND(V96="Low Difficulty - only applicable if all habitat created before losses",P96&gt;=O96),"Low",VLOOKUP(F96,'G-3 Multipliers'!$A$2:$E$134,4,FALSE))))</f>
        <v/>
      </c>
      <c r="X96" s="386" t="str">
        <f>IFERROR(IF(E96="","",VLOOKUP(W96, 'G-3 Multipliers'!$P$2:$Q$6,2,FALSE)),"")</f>
        <v/>
      </c>
      <c r="Y96" s="390" t="str">
        <f t="shared" si="10"/>
        <v/>
      </c>
      <c r="Z96" s="194"/>
      <c r="AA96" s="195"/>
      <c r="AB96" s="120"/>
      <c r="AE96" s="40" t="str">
        <f t="shared" si="7"/>
        <v/>
      </c>
    </row>
    <row r="97" spans="1:31">
      <c r="A97" s="35" t="str">
        <f>IFERROR(INDEX('G-8 Condition Look up'!$I$4:$I$135,MATCH(F97,'G-8 Condition Look up'!$A$4:$A$135,0)),"")</f>
        <v/>
      </c>
      <c r="C97" s="299" t="str">
        <f>IFERROR(INDEX('G-1 All Habitats'!$AG$3:$AG$17,MATCH(D97,'G-1 All Habitats'!$AF$3:$AF$17,0)),"")</f>
        <v/>
      </c>
      <c r="D97" s="54"/>
      <c r="E97" s="61"/>
      <c r="F97" s="296" t="str">
        <f>IFERROR(INDEX('G-1 All Habitats'!$B$3:$B$134,MATCH(E97,'G-1 All Habitats'!$A$3:$A$134,0)),"")</f>
        <v/>
      </c>
      <c r="G97" s="53"/>
      <c r="H97" s="362" t="str">
        <f>IF(F97="","",VLOOKUP(F97,'G-1 All Habitats'!$B$2:$M$134,10,FALSE))</f>
        <v/>
      </c>
      <c r="I97" s="363" t="str">
        <f>IFERROR(VLOOKUP(H97,'G-1 All Habitats'!$V$3:$W$7,2,FALSE),"")</f>
        <v/>
      </c>
      <c r="J97" s="54"/>
      <c r="K97" s="363" t="str">
        <f>IFERROR(INDEX('G-8 Condition Look up'!$A$3:$H$135,MATCH(F97,'G-8 Condition Look up'!$A$3:$A$135,0),MATCH(J97,'G-8 Condition Look up'!$A$3:$H$3,0)),"")</f>
        <v/>
      </c>
      <c r="L97" s="54"/>
      <c r="M97" s="370" t="str">
        <f>IF(L97="","",IF(VLOOKUP(L97,'G-3 Multipliers'!$L$3:$N$6,2,FALSE)=0,"Spatial Data Missing",VLOOKUP(L97,'G-3 Multipliers'!$L$3:$N$6,2,FALSE)))</f>
        <v/>
      </c>
      <c r="N97" s="368" t="str">
        <f>IF(L97="","",IF(VLOOKUP(L97,'G-3 Multipliers'!$L$3:$N$6,3,FALSE)=0,"Spatial Data Missing",VLOOKUP(L97,'G-3 Multipliers'!$L$3:$N$6,3,FALSE)))</f>
        <v/>
      </c>
      <c r="O97" s="362" t="str">
        <f t="shared" si="6"/>
        <v/>
      </c>
      <c r="P97" s="63"/>
      <c r="Q97" s="63"/>
      <c r="R97" s="370" t="str">
        <f t="shared" si="8"/>
        <v/>
      </c>
      <c r="S97" s="383" t="str">
        <f t="shared" si="9"/>
        <v/>
      </c>
      <c r="T97" s="384" t="str">
        <f>IFERROR(IF(S97="Check Data ⚠","Check Data ⚠",VLOOKUP(S97,'G-4 Temporal multipliers'!$A$4:$C$37,3,FALSE)),"")</f>
        <v/>
      </c>
      <c r="U97" s="385" t="str">
        <f>IF(F97="","",VLOOKUP(F97,'G-3 Multipliers'!$A$2:$E$134,2,FALSE))</f>
        <v/>
      </c>
      <c r="V97" s="382" t="str">
        <f t="shared" si="11"/>
        <v/>
      </c>
      <c r="W97" s="382" t="str">
        <f>IF(E97="","",IF(AND(V97="Standard difficulty applied",O97&gt;P97),U97,IF(AND(V97="Low Difficulty - only applicable if all habitat created before losses",P97&gt;=O97),"Low",VLOOKUP(F97,'G-3 Multipliers'!$A$2:$E$134,4,FALSE))))</f>
        <v/>
      </c>
      <c r="X97" s="386" t="str">
        <f>IFERROR(IF(E97="","",VLOOKUP(W97, 'G-3 Multipliers'!$P$2:$Q$6,2,FALSE)),"")</f>
        <v/>
      </c>
      <c r="Y97" s="390" t="str">
        <f t="shared" si="10"/>
        <v/>
      </c>
      <c r="Z97" s="194"/>
      <c r="AA97" s="195"/>
      <c r="AB97" s="120"/>
      <c r="AE97" s="40" t="str">
        <f t="shared" si="7"/>
        <v/>
      </c>
    </row>
    <row r="98" spans="1:31">
      <c r="A98" s="35" t="str">
        <f>IFERROR(INDEX('G-8 Condition Look up'!$I$4:$I$135,MATCH(F98,'G-8 Condition Look up'!$A$4:$A$135,0)),"")</f>
        <v/>
      </c>
      <c r="C98" s="299" t="str">
        <f>IFERROR(INDEX('G-1 All Habitats'!$AG$3:$AG$17,MATCH(D98,'G-1 All Habitats'!$AF$3:$AF$17,0)),"")</f>
        <v/>
      </c>
      <c r="D98" s="54"/>
      <c r="E98" s="61"/>
      <c r="F98" s="296" t="str">
        <f>IFERROR(INDEX('G-1 All Habitats'!$B$3:$B$134,MATCH(E98,'G-1 All Habitats'!$A$3:$A$134,0)),"")</f>
        <v/>
      </c>
      <c r="G98" s="53"/>
      <c r="H98" s="362" t="str">
        <f>IF(F98="","",VLOOKUP(F98,'G-1 All Habitats'!$B$2:$M$134,10,FALSE))</f>
        <v/>
      </c>
      <c r="I98" s="363" t="str">
        <f>IFERROR(VLOOKUP(H98,'G-1 All Habitats'!$V$3:$W$7,2,FALSE),"")</f>
        <v/>
      </c>
      <c r="J98" s="54"/>
      <c r="K98" s="363" t="str">
        <f>IFERROR(INDEX('G-8 Condition Look up'!$A$3:$H$135,MATCH(F98,'G-8 Condition Look up'!$A$3:$A$135,0),MATCH(J98,'G-8 Condition Look up'!$A$3:$H$3,0)),"")</f>
        <v/>
      </c>
      <c r="L98" s="54"/>
      <c r="M98" s="370" t="str">
        <f>IF(L98="","",IF(VLOOKUP(L98,'G-3 Multipliers'!$L$3:$N$6,2,FALSE)=0,"Spatial Data Missing",VLOOKUP(L98,'G-3 Multipliers'!$L$3:$N$6,2,FALSE)))</f>
        <v/>
      </c>
      <c r="N98" s="368" t="str">
        <f>IF(L98="","",IF(VLOOKUP(L98,'G-3 Multipliers'!$L$3:$N$6,3,FALSE)=0,"Spatial Data Missing",VLOOKUP(L98,'G-3 Multipliers'!$L$3:$N$6,3,FALSE)))</f>
        <v/>
      </c>
      <c r="O98" s="362" t="str">
        <f t="shared" si="6"/>
        <v/>
      </c>
      <c r="P98" s="63"/>
      <c r="Q98" s="63"/>
      <c r="R98" s="370" t="str">
        <f t="shared" si="8"/>
        <v/>
      </c>
      <c r="S98" s="383" t="str">
        <f t="shared" si="9"/>
        <v/>
      </c>
      <c r="T98" s="384" t="str">
        <f>IFERROR(IF(S98="Check Data ⚠","Check Data ⚠",VLOOKUP(S98,'G-4 Temporal multipliers'!$A$4:$C$37,3,FALSE)),"")</f>
        <v/>
      </c>
      <c r="U98" s="385" t="str">
        <f>IF(F98="","",VLOOKUP(F98,'G-3 Multipliers'!$A$2:$E$134,2,FALSE))</f>
        <v/>
      </c>
      <c r="V98" s="382" t="str">
        <f t="shared" si="11"/>
        <v/>
      </c>
      <c r="W98" s="382" t="str">
        <f>IF(E98="","",IF(AND(V98="Standard difficulty applied",O98&gt;P98),U98,IF(AND(V98="Low Difficulty - only applicable if all habitat created before losses",P98&gt;=O98),"Low",VLOOKUP(F98,'G-3 Multipliers'!$A$2:$E$134,4,FALSE))))</f>
        <v/>
      </c>
      <c r="X98" s="386" t="str">
        <f>IFERROR(IF(E98="","",VLOOKUP(W98, 'G-3 Multipliers'!$P$2:$Q$6,2,FALSE)),"")</f>
        <v/>
      </c>
      <c r="Y98" s="390" t="str">
        <f t="shared" si="10"/>
        <v/>
      </c>
      <c r="Z98" s="194"/>
      <c r="AA98" s="195"/>
      <c r="AB98" s="120"/>
      <c r="AE98" s="40" t="str">
        <f t="shared" si="7"/>
        <v/>
      </c>
    </row>
    <row r="99" spans="1:31">
      <c r="A99" s="35" t="str">
        <f>IFERROR(INDEX('G-8 Condition Look up'!$I$4:$I$135,MATCH(F99,'G-8 Condition Look up'!$A$4:$A$135,0)),"")</f>
        <v/>
      </c>
      <c r="C99" s="299" t="str">
        <f>IFERROR(INDEX('G-1 All Habitats'!$AG$3:$AG$17,MATCH(D99,'G-1 All Habitats'!$AF$3:$AF$17,0)),"")</f>
        <v/>
      </c>
      <c r="D99" s="54"/>
      <c r="E99" s="61"/>
      <c r="F99" s="296" t="str">
        <f>IFERROR(INDEX('G-1 All Habitats'!$B$3:$B$134,MATCH(E99,'G-1 All Habitats'!$A$3:$A$134,0)),"")</f>
        <v/>
      </c>
      <c r="G99" s="53"/>
      <c r="H99" s="362" t="str">
        <f>IF(F99="","",VLOOKUP(F99,'G-1 All Habitats'!$B$2:$M$134,10,FALSE))</f>
        <v/>
      </c>
      <c r="I99" s="363" t="str">
        <f>IFERROR(VLOOKUP(H99,'G-1 All Habitats'!$V$3:$W$7,2,FALSE),"")</f>
        <v/>
      </c>
      <c r="J99" s="54"/>
      <c r="K99" s="363" t="str">
        <f>IFERROR(INDEX('G-8 Condition Look up'!$A$3:$H$135,MATCH(F99,'G-8 Condition Look up'!$A$3:$A$135,0),MATCH(J99,'G-8 Condition Look up'!$A$3:$H$3,0)),"")</f>
        <v/>
      </c>
      <c r="L99" s="54"/>
      <c r="M99" s="370" t="str">
        <f>IF(L99="","",IF(VLOOKUP(L99,'G-3 Multipliers'!$L$3:$N$6,2,FALSE)=0,"Spatial Data Missing",VLOOKUP(L99,'G-3 Multipliers'!$L$3:$N$6,2,FALSE)))</f>
        <v/>
      </c>
      <c r="N99" s="368" t="str">
        <f>IF(L99="","",IF(VLOOKUP(L99,'G-3 Multipliers'!$L$3:$N$6,3,FALSE)=0,"Spatial Data Missing",VLOOKUP(L99,'G-3 Multipliers'!$L$3:$N$6,3,FALSE)))</f>
        <v/>
      </c>
      <c r="O99" s="362" t="str">
        <f t="shared" si="6"/>
        <v/>
      </c>
      <c r="P99" s="63"/>
      <c r="Q99" s="63"/>
      <c r="R99" s="370" t="str">
        <f t="shared" si="8"/>
        <v/>
      </c>
      <c r="S99" s="383" t="str">
        <f t="shared" si="9"/>
        <v/>
      </c>
      <c r="T99" s="384" t="str">
        <f>IFERROR(IF(S99="Check Data ⚠","Check Data ⚠",VLOOKUP(S99,'G-4 Temporal multipliers'!$A$4:$C$37,3,FALSE)),"")</f>
        <v/>
      </c>
      <c r="U99" s="385" t="str">
        <f>IF(F99="","",VLOOKUP(F99,'G-3 Multipliers'!$A$2:$E$134,2,FALSE))</f>
        <v/>
      </c>
      <c r="V99" s="382" t="str">
        <f t="shared" si="11"/>
        <v/>
      </c>
      <c r="W99" s="382" t="str">
        <f>IF(E99="","",IF(AND(V99="Standard difficulty applied",O99&gt;P99),U99,IF(AND(V99="Low Difficulty - only applicable if all habitat created before losses",P99&gt;=O99),"Low",VLOOKUP(F99,'G-3 Multipliers'!$A$2:$E$134,4,FALSE))))</f>
        <v/>
      </c>
      <c r="X99" s="386" t="str">
        <f>IFERROR(IF(E99="","",VLOOKUP(W99, 'G-3 Multipliers'!$P$2:$Q$6,2,FALSE)),"")</f>
        <v/>
      </c>
      <c r="Y99" s="390" t="str">
        <f t="shared" si="10"/>
        <v/>
      </c>
      <c r="Z99" s="194"/>
      <c r="AA99" s="195"/>
      <c r="AB99" s="120"/>
      <c r="AE99" s="40" t="str">
        <f t="shared" si="7"/>
        <v/>
      </c>
    </row>
    <row r="100" spans="1:31">
      <c r="A100" s="35" t="str">
        <f>IFERROR(INDEX('G-8 Condition Look up'!$I$4:$I$135,MATCH(F100,'G-8 Condition Look up'!$A$4:$A$135,0)),"")</f>
        <v/>
      </c>
      <c r="C100" s="299" t="str">
        <f>IFERROR(INDEX('G-1 All Habitats'!$AG$3:$AG$17,MATCH(D100,'G-1 All Habitats'!$AF$3:$AF$17,0)),"")</f>
        <v/>
      </c>
      <c r="D100" s="54"/>
      <c r="E100" s="61"/>
      <c r="F100" s="296" t="str">
        <f>IFERROR(INDEX('G-1 All Habitats'!$B$3:$B$134,MATCH(E100,'G-1 All Habitats'!$A$3:$A$134,0)),"")</f>
        <v/>
      </c>
      <c r="G100" s="53"/>
      <c r="H100" s="362" t="str">
        <f>IF(F100="","",VLOOKUP(F100,'G-1 All Habitats'!$B$2:$M$134,10,FALSE))</f>
        <v/>
      </c>
      <c r="I100" s="363" t="str">
        <f>IFERROR(VLOOKUP(H100,'G-1 All Habitats'!$V$3:$W$7,2,FALSE),"")</f>
        <v/>
      </c>
      <c r="J100" s="54"/>
      <c r="K100" s="363" t="str">
        <f>IFERROR(INDEX('G-8 Condition Look up'!$A$3:$H$135,MATCH(F100,'G-8 Condition Look up'!$A$3:$A$135,0),MATCH(J100,'G-8 Condition Look up'!$A$3:$H$3,0)),"")</f>
        <v/>
      </c>
      <c r="L100" s="54"/>
      <c r="M100" s="370" t="str">
        <f>IF(L100="","",IF(VLOOKUP(L100,'G-3 Multipliers'!$L$3:$N$6,2,FALSE)=0,"Spatial Data Missing",VLOOKUP(L100,'G-3 Multipliers'!$L$3:$N$6,2,FALSE)))</f>
        <v/>
      </c>
      <c r="N100" s="368" t="str">
        <f>IF(L100="","",IF(VLOOKUP(L100,'G-3 Multipliers'!$L$3:$N$6,3,FALSE)=0,"Spatial Data Missing",VLOOKUP(L100,'G-3 Multipliers'!$L$3:$N$6,3,FALSE)))</f>
        <v/>
      </c>
      <c r="O100" s="362" t="str">
        <f t="shared" si="6"/>
        <v/>
      </c>
      <c r="P100" s="63"/>
      <c r="Q100" s="63"/>
      <c r="R100" s="370" t="str">
        <f t="shared" si="8"/>
        <v/>
      </c>
      <c r="S100" s="383" t="str">
        <f t="shared" si="9"/>
        <v/>
      </c>
      <c r="T100" s="384" t="str">
        <f>IFERROR(IF(S100="Check Data ⚠","Check Data ⚠",VLOOKUP(S100,'G-4 Temporal multipliers'!$A$4:$C$37,3,FALSE)),"")</f>
        <v/>
      </c>
      <c r="U100" s="385" t="str">
        <f>IF(F100="","",VLOOKUP(F100,'G-3 Multipliers'!$A$2:$E$134,2,FALSE))</f>
        <v/>
      </c>
      <c r="V100" s="382" t="str">
        <f t="shared" si="11"/>
        <v/>
      </c>
      <c r="W100" s="382" t="str">
        <f>IF(E100="","",IF(AND(V100="Standard difficulty applied",O100&gt;P100),U100,IF(AND(V100="Low Difficulty - only applicable if all habitat created before losses",P100&gt;=O100),"Low",VLOOKUP(F100,'G-3 Multipliers'!$A$2:$E$134,4,FALSE))))</f>
        <v/>
      </c>
      <c r="X100" s="386" t="str">
        <f>IFERROR(IF(E100="","",VLOOKUP(W100, 'G-3 Multipliers'!$P$2:$Q$6,2,FALSE)),"")</f>
        <v/>
      </c>
      <c r="Y100" s="390" t="str">
        <f t="shared" si="10"/>
        <v/>
      </c>
      <c r="Z100" s="194"/>
      <c r="AA100" s="195"/>
      <c r="AB100" s="120"/>
      <c r="AE100" s="40" t="str">
        <f t="shared" si="7"/>
        <v/>
      </c>
    </row>
    <row r="101" spans="1:31">
      <c r="A101" s="35" t="str">
        <f>IFERROR(INDEX('G-8 Condition Look up'!$I$4:$I$135,MATCH(F101,'G-8 Condition Look up'!$A$4:$A$135,0)),"")</f>
        <v/>
      </c>
      <c r="C101" s="299" t="str">
        <f>IFERROR(INDEX('G-1 All Habitats'!$AG$3:$AG$17,MATCH(D101,'G-1 All Habitats'!$AF$3:$AF$17,0)),"")</f>
        <v/>
      </c>
      <c r="D101" s="54"/>
      <c r="E101" s="61"/>
      <c r="F101" s="296" t="str">
        <f>IFERROR(INDEX('G-1 All Habitats'!$B$3:$B$134,MATCH(E101,'G-1 All Habitats'!$A$3:$A$134,0)),"")</f>
        <v/>
      </c>
      <c r="G101" s="53"/>
      <c r="H101" s="362" t="str">
        <f>IF(F101="","",VLOOKUP(F101,'G-1 All Habitats'!$B$2:$M$134,10,FALSE))</f>
        <v/>
      </c>
      <c r="I101" s="363" t="str">
        <f>IFERROR(VLOOKUP(H101,'G-1 All Habitats'!$V$3:$W$7,2,FALSE),"")</f>
        <v/>
      </c>
      <c r="J101" s="54"/>
      <c r="K101" s="363" t="str">
        <f>IFERROR(INDEX('G-8 Condition Look up'!$A$3:$H$135,MATCH(F101,'G-8 Condition Look up'!$A$3:$A$135,0),MATCH(J101,'G-8 Condition Look up'!$A$3:$H$3,0)),"")</f>
        <v/>
      </c>
      <c r="L101" s="54"/>
      <c r="M101" s="370" t="str">
        <f>IF(L101="","",IF(VLOOKUP(L101,'G-3 Multipliers'!$L$3:$N$6,2,FALSE)=0,"Spatial Data Missing",VLOOKUP(L101,'G-3 Multipliers'!$L$3:$N$6,2,FALSE)))</f>
        <v/>
      </c>
      <c r="N101" s="368" t="str">
        <f>IF(L101="","",IF(VLOOKUP(L101,'G-3 Multipliers'!$L$3:$N$6,3,FALSE)=0,"Spatial Data Missing",VLOOKUP(L101,'G-3 Multipliers'!$L$3:$N$6,3,FALSE)))</f>
        <v/>
      </c>
      <c r="O101" s="362" t="str">
        <f t="shared" si="6"/>
        <v/>
      </c>
      <c r="P101" s="63"/>
      <c r="Q101" s="63"/>
      <c r="R101" s="370" t="str">
        <f t="shared" si="8"/>
        <v/>
      </c>
      <c r="S101" s="383" t="str">
        <f t="shared" si="9"/>
        <v/>
      </c>
      <c r="T101" s="384" t="str">
        <f>IFERROR(IF(S101="Check Data ⚠","Check Data ⚠",VLOOKUP(S101,'G-4 Temporal multipliers'!$A$4:$C$37,3,FALSE)),"")</f>
        <v/>
      </c>
      <c r="U101" s="385" t="str">
        <f>IF(F101="","",VLOOKUP(F101,'G-3 Multipliers'!$A$2:$E$134,2,FALSE))</f>
        <v/>
      </c>
      <c r="V101" s="382" t="str">
        <f t="shared" si="11"/>
        <v/>
      </c>
      <c r="W101" s="382" t="str">
        <f>IF(E101="","",IF(AND(V101="Standard difficulty applied",O101&gt;P101),U101,IF(AND(V101="Low Difficulty - only applicable if all habitat created before losses",P101&gt;=O101),"Low",VLOOKUP(F101,'G-3 Multipliers'!$A$2:$E$134,4,FALSE))))</f>
        <v/>
      </c>
      <c r="X101" s="386" t="str">
        <f>IFERROR(IF(E101="","",VLOOKUP(W101, 'G-3 Multipliers'!$P$2:$Q$6,2,FALSE)),"")</f>
        <v/>
      </c>
      <c r="Y101" s="390" t="str">
        <f t="shared" si="10"/>
        <v/>
      </c>
      <c r="Z101" s="194"/>
      <c r="AA101" s="195"/>
      <c r="AB101" s="120"/>
      <c r="AE101" s="40" t="str">
        <f t="shared" si="7"/>
        <v/>
      </c>
    </row>
    <row r="102" spans="1:31">
      <c r="A102" s="35" t="str">
        <f>IFERROR(INDEX('G-8 Condition Look up'!$I$4:$I$135,MATCH(F102,'G-8 Condition Look up'!$A$4:$A$135,0)),"")</f>
        <v/>
      </c>
      <c r="C102" s="299" t="str">
        <f>IFERROR(INDEX('G-1 All Habitats'!$AG$3:$AG$17,MATCH(D102,'G-1 All Habitats'!$AF$3:$AF$17,0)),"")</f>
        <v/>
      </c>
      <c r="D102" s="54"/>
      <c r="E102" s="61"/>
      <c r="F102" s="296" t="str">
        <f>IFERROR(INDEX('G-1 All Habitats'!$B$3:$B$134,MATCH(E102,'G-1 All Habitats'!$A$3:$A$134,0)),"")</f>
        <v/>
      </c>
      <c r="G102" s="53"/>
      <c r="H102" s="362" t="str">
        <f>IF(F102="","",VLOOKUP(F102,'G-1 All Habitats'!$B$2:$M$134,10,FALSE))</f>
        <v/>
      </c>
      <c r="I102" s="363" t="str">
        <f>IFERROR(VLOOKUP(H102,'G-1 All Habitats'!$V$3:$W$7,2,FALSE),"")</f>
        <v/>
      </c>
      <c r="J102" s="54"/>
      <c r="K102" s="363" t="str">
        <f>IFERROR(INDEX('G-8 Condition Look up'!$A$3:$H$135,MATCH(F102,'G-8 Condition Look up'!$A$3:$A$135,0),MATCH(J102,'G-8 Condition Look up'!$A$3:$H$3,0)),"")</f>
        <v/>
      </c>
      <c r="L102" s="54"/>
      <c r="M102" s="370" t="str">
        <f>IF(L102="","",IF(VLOOKUP(L102,'G-3 Multipliers'!$L$3:$N$6,2,FALSE)=0,"Spatial Data Missing",VLOOKUP(L102,'G-3 Multipliers'!$L$3:$N$6,2,FALSE)))</f>
        <v/>
      </c>
      <c r="N102" s="368" t="str">
        <f>IF(L102="","",IF(VLOOKUP(L102,'G-3 Multipliers'!$L$3:$N$6,3,FALSE)=0,"Spatial Data Missing",VLOOKUP(L102,'G-3 Multipliers'!$L$3:$N$6,3,FALSE)))</f>
        <v/>
      </c>
      <c r="O102" s="362" t="str">
        <f t="shared" si="6"/>
        <v/>
      </c>
      <c r="P102" s="63"/>
      <c r="Q102" s="63"/>
      <c r="R102" s="370" t="str">
        <f t="shared" si="8"/>
        <v/>
      </c>
      <c r="S102" s="383" t="str">
        <f t="shared" si="9"/>
        <v/>
      </c>
      <c r="T102" s="384" t="str">
        <f>IFERROR(IF(S102="Check Data ⚠","Check Data ⚠",VLOOKUP(S102,'G-4 Temporal multipliers'!$A$4:$C$37,3,FALSE)),"")</f>
        <v/>
      </c>
      <c r="U102" s="385" t="str">
        <f>IF(F102="","",VLOOKUP(F102,'G-3 Multipliers'!$A$2:$E$134,2,FALSE))</f>
        <v/>
      </c>
      <c r="V102" s="382" t="str">
        <f t="shared" si="11"/>
        <v/>
      </c>
      <c r="W102" s="382" t="str">
        <f>IF(E102="","",IF(AND(V102="Standard difficulty applied",O102&gt;P102),U102,IF(AND(V102="Low Difficulty - only applicable if all habitat created before losses",P102&gt;=O102),"Low",VLOOKUP(F102,'G-3 Multipliers'!$A$2:$E$134,4,FALSE))))</f>
        <v/>
      </c>
      <c r="X102" s="386" t="str">
        <f>IFERROR(IF(E102="","",VLOOKUP(W102, 'G-3 Multipliers'!$P$2:$Q$6,2,FALSE)),"")</f>
        <v/>
      </c>
      <c r="Y102" s="390" t="str">
        <f t="shared" si="10"/>
        <v/>
      </c>
      <c r="Z102" s="194"/>
      <c r="AA102" s="195"/>
      <c r="AB102" s="120"/>
      <c r="AE102" s="40" t="str">
        <f t="shared" si="7"/>
        <v/>
      </c>
    </row>
    <row r="103" spans="1:31">
      <c r="A103" s="35" t="str">
        <f>IFERROR(INDEX('G-8 Condition Look up'!$I$4:$I$135,MATCH(F103,'G-8 Condition Look up'!$A$4:$A$135,0)),"")</f>
        <v/>
      </c>
      <c r="C103" s="299" t="str">
        <f>IFERROR(INDEX('G-1 All Habitats'!$AG$3:$AG$17,MATCH(D103,'G-1 All Habitats'!$AF$3:$AF$17,0)),"")</f>
        <v/>
      </c>
      <c r="D103" s="54"/>
      <c r="E103" s="61"/>
      <c r="F103" s="296" t="str">
        <f>IFERROR(INDEX('G-1 All Habitats'!$B$3:$B$134,MATCH(E103,'G-1 All Habitats'!$A$3:$A$134,0)),"")</f>
        <v/>
      </c>
      <c r="G103" s="53"/>
      <c r="H103" s="362" t="str">
        <f>IF(F103="","",VLOOKUP(F103,'G-1 All Habitats'!$B$2:$M$134,10,FALSE))</f>
        <v/>
      </c>
      <c r="I103" s="363" t="str">
        <f>IFERROR(VLOOKUP(H103,'G-1 All Habitats'!$V$3:$W$7,2,FALSE),"")</f>
        <v/>
      </c>
      <c r="J103" s="54"/>
      <c r="K103" s="363" t="str">
        <f>IFERROR(INDEX('G-8 Condition Look up'!$A$3:$H$135,MATCH(F103,'G-8 Condition Look up'!$A$3:$A$135,0),MATCH(J103,'G-8 Condition Look up'!$A$3:$H$3,0)),"")</f>
        <v/>
      </c>
      <c r="L103" s="54"/>
      <c r="M103" s="370" t="str">
        <f>IF(L103="","",IF(VLOOKUP(L103,'G-3 Multipliers'!$L$3:$N$6,2,FALSE)=0,"Spatial Data Missing",VLOOKUP(L103,'G-3 Multipliers'!$L$3:$N$6,2,FALSE)))</f>
        <v/>
      </c>
      <c r="N103" s="368" t="str">
        <f>IF(L103="","",IF(VLOOKUP(L103,'G-3 Multipliers'!$L$3:$N$6,3,FALSE)=0,"Spatial Data Missing",VLOOKUP(L103,'G-3 Multipliers'!$L$3:$N$6,3,FALSE)))</f>
        <v/>
      </c>
      <c r="O103" s="362" t="str">
        <f t="shared" si="6"/>
        <v/>
      </c>
      <c r="P103" s="63"/>
      <c r="Q103" s="63"/>
      <c r="R103" s="370" t="str">
        <f t="shared" si="8"/>
        <v/>
      </c>
      <c r="S103" s="383" t="str">
        <f t="shared" si="9"/>
        <v/>
      </c>
      <c r="T103" s="384" t="str">
        <f>IFERROR(IF(S103="Check Data ⚠","Check Data ⚠",VLOOKUP(S103,'G-4 Temporal multipliers'!$A$4:$C$37,3,FALSE)),"")</f>
        <v/>
      </c>
      <c r="U103" s="385" t="str">
        <f>IF(F103="","",VLOOKUP(F103,'G-3 Multipliers'!$A$2:$E$134,2,FALSE))</f>
        <v/>
      </c>
      <c r="V103" s="382" t="str">
        <f t="shared" si="11"/>
        <v/>
      </c>
      <c r="W103" s="382" t="str">
        <f>IF(E103="","",IF(AND(V103="Standard difficulty applied",O103&gt;P103),U103,IF(AND(V103="Low Difficulty - only applicable if all habitat created before losses",P103&gt;=O103),"Low",VLOOKUP(F103,'G-3 Multipliers'!$A$2:$E$134,4,FALSE))))</f>
        <v/>
      </c>
      <c r="X103" s="386" t="str">
        <f>IFERROR(IF(E103="","",VLOOKUP(W103, 'G-3 Multipliers'!$P$2:$Q$6,2,FALSE)),"")</f>
        <v/>
      </c>
      <c r="Y103" s="390" t="str">
        <f t="shared" si="10"/>
        <v/>
      </c>
      <c r="Z103" s="194"/>
      <c r="AA103" s="195"/>
      <c r="AB103" s="120"/>
      <c r="AE103" s="40" t="str">
        <f t="shared" si="7"/>
        <v/>
      </c>
    </row>
    <row r="104" spans="1:31">
      <c r="A104" s="35" t="str">
        <f>IFERROR(INDEX('G-8 Condition Look up'!$I$4:$I$135,MATCH(F104,'G-8 Condition Look up'!$A$4:$A$135,0)),"")</f>
        <v/>
      </c>
      <c r="C104" s="299" t="str">
        <f>IFERROR(INDEX('G-1 All Habitats'!$AG$3:$AG$17,MATCH(D104,'G-1 All Habitats'!$AF$3:$AF$17,0)),"")</f>
        <v/>
      </c>
      <c r="D104" s="54"/>
      <c r="E104" s="61"/>
      <c r="F104" s="296" t="str">
        <f>IFERROR(INDEX('G-1 All Habitats'!$B$3:$B$134,MATCH(E104,'G-1 All Habitats'!$A$3:$A$134,0)),"")</f>
        <v/>
      </c>
      <c r="G104" s="53"/>
      <c r="H104" s="362" t="str">
        <f>IF(F104="","",VLOOKUP(F104,'G-1 All Habitats'!$B$2:$M$134,10,FALSE))</f>
        <v/>
      </c>
      <c r="I104" s="363" t="str">
        <f>IFERROR(VLOOKUP(H104,'G-1 All Habitats'!$V$3:$W$7,2,FALSE),"")</f>
        <v/>
      </c>
      <c r="J104" s="54"/>
      <c r="K104" s="363" t="str">
        <f>IFERROR(INDEX('G-8 Condition Look up'!$A$3:$H$135,MATCH(F104,'G-8 Condition Look up'!$A$3:$A$135,0),MATCH(J104,'G-8 Condition Look up'!$A$3:$H$3,0)),"")</f>
        <v/>
      </c>
      <c r="L104" s="54"/>
      <c r="M104" s="370" t="str">
        <f>IF(L104="","",IF(VLOOKUP(L104,'G-3 Multipliers'!$L$3:$N$6,2,FALSE)=0,"Spatial Data Missing",VLOOKUP(L104,'G-3 Multipliers'!$L$3:$N$6,2,FALSE)))</f>
        <v/>
      </c>
      <c r="N104" s="368" t="str">
        <f>IF(L104="","",IF(VLOOKUP(L104,'G-3 Multipliers'!$L$3:$N$6,3,FALSE)=0,"Spatial Data Missing",VLOOKUP(L104,'G-3 Multipliers'!$L$3:$N$6,3,FALSE)))</f>
        <v/>
      </c>
      <c r="O104" s="362" t="str">
        <f t="shared" si="6"/>
        <v/>
      </c>
      <c r="P104" s="63"/>
      <c r="Q104" s="63"/>
      <c r="R104" s="370" t="str">
        <f t="shared" si="8"/>
        <v/>
      </c>
      <c r="S104" s="383" t="str">
        <f t="shared" si="9"/>
        <v/>
      </c>
      <c r="T104" s="384" t="str">
        <f>IFERROR(IF(S104="Check Data ⚠","Check Data ⚠",VLOOKUP(S104,'G-4 Temporal multipliers'!$A$4:$C$37,3,FALSE)),"")</f>
        <v/>
      </c>
      <c r="U104" s="385" t="str">
        <f>IF(F104="","",VLOOKUP(F104,'G-3 Multipliers'!$A$2:$E$134,2,FALSE))</f>
        <v/>
      </c>
      <c r="V104" s="382" t="str">
        <f t="shared" si="11"/>
        <v/>
      </c>
      <c r="W104" s="382" t="str">
        <f>IF(E104="","",IF(AND(V104="Standard difficulty applied",O104&gt;P104),U104,IF(AND(V104="Low Difficulty - only applicable if all habitat created before losses",P104&gt;=O104),"Low",VLOOKUP(F104,'G-3 Multipliers'!$A$2:$E$134,4,FALSE))))</f>
        <v/>
      </c>
      <c r="X104" s="386" t="str">
        <f>IFERROR(IF(E104="","",VLOOKUP(W104, 'G-3 Multipliers'!$P$2:$Q$6,2,FALSE)),"")</f>
        <v/>
      </c>
      <c r="Y104" s="390" t="str">
        <f t="shared" si="10"/>
        <v/>
      </c>
      <c r="Z104" s="194"/>
      <c r="AA104" s="195"/>
      <c r="AB104" s="120"/>
      <c r="AE104" s="40" t="str">
        <f t="shared" si="7"/>
        <v/>
      </c>
    </row>
    <row r="105" spans="1:31">
      <c r="A105" s="35" t="str">
        <f>IFERROR(INDEX('G-8 Condition Look up'!$I$4:$I$135,MATCH(F105,'G-8 Condition Look up'!$A$4:$A$135,0)),"")</f>
        <v/>
      </c>
      <c r="C105" s="299" t="str">
        <f>IFERROR(INDEX('G-1 All Habitats'!$AG$3:$AG$17,MATCH(D105,'G-1 All Habitats'!$AF$3:$AF$17,0)),"")</f>
        <v/>
      </c>
      <c r="D105" s="54"/>
      <c r="E105" s="61"/>
      <c r="F105" s="296" t="str">
        <f>IFERROR(INDEX('G-1 All Habitats'!$B$3:$B$134,MATCH(E105,'G-1 All Habitats'!$A$3:$A$134,0)),"")</f>
        <v/>
      </c>
      <c r="G105" s="53"/>
      <c r="H105" s="362" t="str">
        <f>IF(F105="","",VLOOKUP(F105,'G-1 All Habitats'!$B$2:$M$134,10,FALSE))</f>
        <v/>
      </c>
      <c r="I105" s="363" t="str">
        <f>IFERROR(VLOOKUP(H105,'G-1 All Habitats'!$V$3:$W$7,2,FALSE),"")</f>
        <v/>
      </c>
      <c r="J105" s="54"/>
      <c r="K105" s="363" t="str">
        <f>IFERROR(INDEX('G-8 Condition Look up'!$A$3:$H$135,MATCH(F105,'G-8 Condition Look up'!$A$3:$A$135,0),MATCH(J105,'G-8 Condition Look up'!$A$3:$H$3,0)),"")</f>
        <v/>
      </c>
      <c r="L105" s="54"/>
      <c r="M105" s="370" t="str">
        <f>IF(L105="","",IF(VLOOKUP(L105,'G-3 Multipliers'!$L$3:$N$6,2,FALSE)=0,"Spatial Data Missing",VLOOKUP(L105,'G-3 Multipliers'!$L$3:$N$6,2,FALSE)))</f>
        <v/>
      </c>
      <c r="N105" s="368" t="str">
        <f>IF(L105="","",IF(VLOOKUP(L105,'G-3 Multipliers'!$L$3:$N$6,3,FALSE)=0,"Spatial Data Missing",VLOOKUP(L105,'G-3 Multipliers'!$L$3:$N$6,3,FALSE)))</f>
        <v/>
      </c>
      <c r="O105" s="362" t="str">
        <f t="shared" si="6"/>
        <v/>
      </c>
      <c r="P105" s="63"/>
      <c r="Q105" s="63"/>
      <c r="R105" s="370" t="str">
        <f t="shared" si="8"/>
        <v/>
      </c>
      <c r="S105" s="383" t="str">
        <f t="shared" si="9"/>
        <v/>
      </c>
      <c r="T105" s="384" t="str">
        <f>IFERROR(IF(S105="Check Data ⚠","Check Data ⚠",VLOOKUP(S105,'G-4 Temporal multipliers'!$A$4:$C$37,3,FALSE)),"")</f>
        <v/>
      </c>
      <c r="U105" s="385" t="str">
        <f>IF(F105="","",VLOOKUP(F105,'G-3 Multipliers'!$A$2:$E$134,2,FALSE))</f>
        <v/>
      </c>
      <c r="V105" s="382" t="str">
        <f t="shared" si="11"/>
        <v/>
      </c>
      <c r="W105" s="382" t="str">
        <f>IF(E105="","",IF(AND(V105="Standard difficulty applied",O105&gt;P105),U105,IF(AND(V105="Low Difficulty - only applicable if all habitat created before losses",P105&gt;=O105),"Low",VLOOKUP(F105,'G-3 Multipliers'!$A$2:$E$134,4,FALSE))))</f>
        <v/>
      </c>
      <c r="X105" s="386" t="str">
        <f>IFERROR(IF(E105="","",VLOOKUP(W105, 'G-3 Multipliers'!$P$2:$Q$6,2,FALSE)),"")</f>
        <v/>
      </c>
      <c r="Y105" s="390" t="str">
        <f t="shared" si="10"/>
        <v/>
      </c>
      <c r="Z105" s="194"/>
      <c r="AA105" s="195"/>
      <c r="AB105" s="120"/>
      <c r="AE105" s="40" t="str">
        <f t="shared" si="7"/>
        <v/>
      </c>
    </row>
    <row r="106" spans="1:31">
      <c r="A106" s="35" t="str">
        <f>IFERROR(INDEX('G-8 Condition Look up'!$I$4:$I$135,MATCH(F106,'G-8 Condition Look up'!$A$4:$A$135,0)),"")</f>
        <v/>
      </c>
      <c r="C106" s="299" t="str">
        <f>IFERROR(INDEX('G-1 All Habitats'!$AG$3:$AG$17,MATCH(D106,'G-1 All Habitats'!$AF$3:$AF$17,0)),"")</f>
        <v/>
      </c>
      <c r="D106" s="54"/>
      <c r="E106" s="61"/>
      <c r="F106" s="296" t="str">
        <f>IFERROR(INDEX('G-1 All Habitats'!$B$3:$B$134,MATCH(E106,'G-1 All Habitats'!$A$3:$A$134,0)),"")</f>
        <v/>
      </c>
      <c r="G106" s="53"/>
      <c r="H106" s="362" t="str">
        <f>IF(F106="","",VLOOKUP(F106,'G-1 All Habitats'!$B$2:$M$134,10,FALSE))</f>
        <v/>
      </c>
      <c r="I106" s="363" t="str">
        <f>IFERROR(VLOOKUP(H106,'G-1 All Habitats'!$V$3:$W$7,2,FALSE),"")</f>
        <v/>
      </c>
      <c r="J106" s="54"/>
      <c r="K106" s="363" t="str">
        <f>IFERROR(INDEX('G-8 Condition Look up'!$A$3:$H$135,MATCH(F106,'G-8 Condition Look up'!$A$3:$A$135,0),MATCH(J106,'G-8 Condition Look up'!$A$3:$H$3,0)),"")</f>
        <v/>
      </c>
      <c r="L106" s="54"/>
      <c r="M106" s="370" t="str">
        <f>IF(L106="","",IF(VLOOKUP(L106,'G-3 Multipliers'!$L$3:$N$6,2,FALSE)=0,"Spatial Data Missing",VLOOKUP(L106,'G-3 Multipliers'!$L$3:$N$6,2,FALSE)))</f>
        <v/>
      </c>
      <c r="N106" s="368" t="str">
        <f>IF(L106="","",IF(VLOOKUP(L106,'G-3 Multipliers'!$L$3:$N$6,3,FALSE)=0,"Spatial Data Missing",VLOOKUP(L106,'G-3 Multipliers'!$L$3:$N$6,3,FALSE)))</f>
        <v/>
      </c>
      <c r="O106" s="362" t="str">
        <f t="shared" si="6"/>
        <v/>
      </c>
      <c r="P106" s="63"/>
      <c r="Q106" s="63"/>
      <c r="R106" s="370" t="str">
        <f t="shared" si="8"/>
        <v/>
      </c>
      <c r="S106" s="383" t="str">
        <f t="shared" si="9"/>
        <v/>
      </c>
      <c r="T106" s="384" t="str">
        <f>IFERROR(IF(S106="Check Data ⚠","Check Data ⚠",VLOOKUP(S106,'G-4 Temporal multipliers'!$A$4:$C$37,3,FALSE)),"")</f>
        <v/>
      </c>
      <c r="U106" s="385" t="str">
        <f>IF(F106="","",VLOOKUP(F106,'G-3 Multipliers'!$A$2:$E$134,2,FALSE))</f>
        <v/>
      </c>
      <c r="V106" s="382" t="str">
        <f t="shared" si="11"/>
        <v/>
      </c>
      <c r="W106" s="382" t="str">
        <f>IF(E106="","",IF(AND(V106="Standard difficulty applied",O106&gt;P106),U106,IF(AND(V106="Low Difficulty - only applicable if all habitat created before losses",P106&gt;=O106),"Low",VLOOKUP(F106,'G-3 Multipliers'!$A$2:$E$134,4,FALSE))))</f>
        <v/>
      </c>
      <c r="X106" s="386" t="str">
        <f>IFERROR(IF(E106="","",VLOOKUP(W106, 'G-3 Multipliers'!$P$2:$Q$6,2,FALSE)),"")</f>
        <v/>
      </c>
      <c r="Y106" s="390" t="str">
        <f t="shared" si="10"/>
        <v/>
      </c>
      <c r="Z106" s="194"/>
      <c r="AA106" s="195"/>
      <c r="AB106" s="120"/>
      <c r="AE106" s="40" t="str">
        <f t="shared" si="7"/>
        <v/>
      </c>
    </row>
    <row r="107" spans="1:31">
      <c r="A107" s="35" t="str">
        <f>IFERROR(INDEX('G-8 Condition Look up'!$I$4:$I$135,MATCH(F107,'G-8 Condition Look up'!$A$4:$A$135,0)),"")</f>
        <v/>
      </c>
      <c r="C107" s="299" t="str">
        <f>IFERROR(INDEX('G-1 All Habitats'!$AG$3:$AG$17,MATCH(D107,'G-1 All Habitats'!$AF$3:$AF$17,0)),"")</f>
        <v/>
      </c>
      <c r="D107" s="54"/>
      <c r="E107" s="61"/>
      <c r="F107" s="296" t="str">
        <f>IFERROR(INDEX('G-1 All Habitats'!$B$3:$B$134,MATCH(E107,'G-1 All Habitats'!$A$3:$A$134,0)),"")</f>
        <v/>
      </c>
      <c r="G107" s="53"/>
      <c r="H107" s="362" t="str">
        <f>IF(F107="","",VLOOKUP(F107,'G-1 All Habitats'!$B$2:$M$134,10,FALSE))</f>
        <v/>
      </c>
      <c r="I107" s="363" t="str">
        <f>IFERROR(VLOOKUP(H107,'G-1 All Habitats'!$V$3:$W$7,2,FALSE),"")</f>
        <v/>
      </c>
      <c r="J107" s="54"/>
      <c r="K107" s="363" t="str">
        <f>IFERROR(INDEX('G-8 Condition Look up'!$A$3:$H$135,MATCH(F107,'G-8 Condition Look up'!$A$3:$A$135,0),MATCH(J107,'G-8 Condition Look up'!$A$3:$H$3,0)),"")</f>
        <v/>
      </c>
      <c r="L107" s="54"/>
      <c r="M107" s="370" t="str">
        <f>IF(L107="","",IF(VLOOKUP(L107,'G-3 Multipliers'!$L$3:$N$6,2,FALSE)=0,"Spatial Data Missing",VLOOKUP(L107,'G-3 Multipliers'!$L$3:$N$6,2,FALSE)))</f>
        <v/>
      </c>
      <c r="N107" s="368" t="str">
        <f>IF(L107="","",IF(VLOOKUP(L107,'G-3 Multipliers'!$L$3:$N$6,3,FALSE)=0,"Spatial Data Missing",VLOOKUP(L107,'G-3 Multipliers'!$L$3:$N$6,3,FALSE)))</f>
        <v/>
      </c>
      <c r="O107" s="362" t="str">
        <f t="shared" si="6"/>
        <v/>
      </c>
      <c r="P107" s="63"/>
      <c r="Q107" s="63"/>
      <c r="R107" s="370" t="str">
        <f t="shared" si="8"/>
        <v/>
      </c>
      <c r="S107" s="383" t="str">
        <f t="shared" si="9"/>
        <v/>
      </c>
      <c r="T107" s="384" t="str">
        <f>IFERROR(IF(S107="Check Data ⚠","Check Data ⚠",VLOOKUP(S107,'G-4 Temporal multipliers'!$A$4:$C$37,3,FALSE)),"")</f>
        <v/>
      </c>
      <c r="U107" s="385" t="str">
        <f>IF(F107="","",VLOOKUP(F107,'G-3 Multipliers'!$A$2:$E$134,2,FALSE))</f>
        <v/>
      </c>
      <c r="V107" s="382" t="str">
        <f t="shared" si="11"/>
        <v/>
      </c>
      <c r="W107" s="382" t="str">
        <f>IF(E107="","",IF(AND(V107="Standard difficulty applied",O107&gt;P107),U107,IF(AND(V107="Low Difficulty - only applicable if all habitat created before losses",P107&gt;=O107),"Low",VLOOKUP(F107,'G-3 Multipliers'!$A$2:$E$134,4,FALSE))))</f>
        <v/>
      </c>
      <c r="X107" s="386" t="str">
        <f>IFERROR(IF(E107="","",VLOOKUP(W107, 'G-3 Multipliers'!$P$2:$Q$6,2,FALSE)),"")</f>
        <v/>
      </c>
      <c r="Y107" s="390" t="str">
        <f t="shared" si="10"/>
        <v/>
      </c>
      <c r="Z107" s="194"/>
      <c r="AA107" s="195"/>
      <c r="AB107" s="120"/>
      <c r="AE107" s="40" t="str">
        <f t="shared" si="7"/>
        <v/>
      </c>
    </row>
    <row r="108" spans="1:31">
      <c r="A108" s="35" t="str">
        <f>IFERROR(INDEX('G-8 Condition Look up'!$I$4:$I$135,MATCH(F108,'G-8 Condition Look up'!$A$4:$A$135,0)),"")</f>
        <v/>
      </c>
      <c r="C108" s="299" t="str">
        <f>IFERROR(INDEX('G-1 All Habitats'!$AG$3:$AG$17,MATCH(D108,'G-1 All Habitats'!$AF$3:$AF$17,0)),"")</f>
        <v/>
      </c>
      <c r="D108" s="54"/>
      <c r="E108" s="61"/>
      <c r="F108" s="296" t="str">
        <f>IFERROR(INDEX('G-1 All Habitats'!$B$3:$B$134,MATCH(E108,'G-1 All Habitats'!$A$3:$A$134,0)),"")</f>
        <v/>
      </c>
      <c r="G108" s="53"/>
      <c r="H108" s="362" t="str">
        <f>IF(F108="","",VLOOKUP(F108,'G-1 All Habitats'!$B$2:$M$134,10,FALSE))</f>
        <v/>
      </c>
      <c r="I108" s="363" t="str">
        <f>IFERROR(VLOOKUP(H108,'G-1 All Habitats'!$V$3:$W$7,2,FALSE),"")</f>
        <v/>
      </c>
      <c r="J108" s="54"/>
      <c r="K108" s="363" t="str">
        <f>IFERROR(INDEX('G-8 Condition Look up'!$A$3:$H$135,MATCH(F108,'G-8 Condition Look up'!$A$3:$A$135,0),MATCH(J108,'G-8 Condition Look up'!$A$3:$H$3,0)),"")</f>
        <v/>
      </c>
      <c r="L108" s="54"/>
      <c r="M108" s="370" t="str">
        <f>IF(L108="","",IF(VLOOKUP(L108,'G-3 Multipliers'!$L$3:$N$6,2,FALSE)=0,"Spatial Data Missing",VLOOKUP(L108,'G-3 Multipliers'!$L$3:$N$6,2,FALSE)))</f>
        <v/>
      </c>
      <c r="N108" s="368" t="str">
        <f>IF(L108="","",IF(VLOOKUP(L108,'G-3 Multipliers'!$L$3:$N$6,3,FALSE)=0,"Spatial Data Missing",VLOOKUP(L108,'G-3 Multipliers'!$L$3:$N$6,3,FALSE)))</f>
        <v/>
      </c>
      <c r="O108" s="362" t="str">
        <f t="shared" si="6"/>
        <v/>
      </c>
      <c r="P108" s="63"/>
      <c r="Q108" s="63"/>
      <c r="R108" s="370" t="str">
        <f t="shared" si="8"/>
        <v/>
      </c>
      <c r="S108" s="383" t="str">
        <f t="shared" si="9"/>
        <v/>
      </c>
      <c r="T108" s="384" t="str">
        <f>IFERROR(IF(S108="Check Data ⚠","Check Data ⚠",VLOOKUP(S108,'G-4 Temporal multipliers'!$A$4:$C$37,3,FALSE)),"")</f>
        <v/>
      </c>
      <c r="U108" s="385" t="str">
        <f>IF(F108="","",VLOOKUP(F108,'G-3 Multipliers'!$A$2:$E$134,2,FALSE))</f>
        <v/>
      </c>
      <c r="V108" s="382" t="str">
        <f t="shared" si="11"/>
        <v/>
      </c>
      <c r="W108" s="382" t="str">
        <f>IF(E108="","",IF(AND(V108="Standard difficulty applied",O108&gt;P108),U108,IF(AND(V108="Low Difficulty - only applicable if all habitat created before losses",P108&gt;=O108),"Low",VLOOKUP(F108,'G-3 Multipliers'!$A$2:$E$134,4,FALSE))))</f>
        <v/>
      </c>
      <c r="X108" s="386" t="str">
        <f>IFERROR(IF(E108="","",VLOOKUP(W108, 'G-3 Multipliers'!$P$2:$Q$6,2,FALSE)),"")</f>
        <v/>
      </c>
      <c r="Y108" s="390" t="str">
        <f t="shared" si="10"/>
        <v/>
      </c>
      <c r="Z108" s="194"/>
      <c r="AA108" s="195"/>
      <c r="AB108" s="120"/>
      <c r="AE108" s="40" t="str">
        <f t="shared" si="7"/>
        <v/>
      </c>
    </row>
    <row r="109" spans="1:31">
      <c r="A109" s="35" t="str">
        <f>IFERROR(INDEX('G-8 Condition Look up'!$I$4:$I$135,MATCH(F109,'G-8 Condition Look up'!$A$4:$A$135,0)),"")</f>
        <v/>
      </c>
      <c r="C109" s="299" t="str">
        <f>IFERROR(INDEX('G-1 All Habitats'!$AG$3:$AG$17,MATCH(D109,'G-1 All Habitats'!$AF$3:$AF$17,0)),"")</f>
        <v/>
      </c>
      <c r="D109" s="54"/>
      <c r="E109" s="61"/>
      <c r="F109" s="296" t="str">
        <f>IFERROR(INDEX('G-1 All Habitats'!$B$3:$B$134,MATCH(E109,'G-1 All Habitats'!$A$3:$A$134,0)),"")</f>
        <v/>
      </c>
      <c r="G109" s="53"/>
      <c r="H109" s="362" t="str">
        <f>IF(F109="","",VLOOKUP(F109,'G-1 All Habitats'!$B$2:$M$134,10,FALSE))</f>
        <v/>
      </c>
      <c r="I109" s="363" t="str">
        <f>IFERROR(VLOOKUP(H109,'G-1 All Habitats'!$V$3:$W$7,2,FALSE),"")</f>
        <v/>
      </c>
      <c r="J109" s="54"/>
      <c r="K109" s="363" t="str">
        <f>IFERROR(INDEX('G-8 Condition Look up'!$A$3:$H$135,MATCH(F109,'G-8 Condition Look up'!$A$3:$A$135,0),MATCH(J109,'G-8 Condition Look up'!$A$3:$H$3,0)),"")</f>
        <v/>
      </c>
      <c r="L109" s="54"/>
      <c r="M109" s="370" t="str">
        <f>IF(L109="","",IF(VLOOKUP(L109,'G-3 Multipliers'!$L$3:$N$6,2,FALSE)=0,"Spatial Data Missing",VLOOKUP(L109,'G-3 Multipliers'!$L$3:$N$6,2,FALSE)))</f>
        <v/>
      </c>
      <c r="N109" s="368" t="str">
        <f>IF(L109="","",IF(VLOOKUP(L109,'G-3 Multipliers'!$L$3:$N$6,3,FALSE)=0,"Spatial Data Missing",VLOOKUP(L109,'G-3 Multipliers'!$L$3:$N$6,3,FALSE)))</f>
        <v/>
      </c>
      <c r="O109" s="362" t="str">
        <f t="shared" si="6"/>
        <v/>
      </c>
      <c r="P109" s="63"/>
      <c r="Q109" s="63"/>
      <c r="R109" s="370" t="str">
        <f t="shared" si="8"/>
        <v/>
      </c>
      <c r="S109" s="383" t="str">
        <f t="shared" si="9"/>
        <v/>
      </c>
      <c r="T109" s="384" t="str">
        <f>IFERROR(IF(S109="Check Data ⚠","Check Data ⚠",VLOOKUP(S109,'G-4 Temporal multipliers'!$A$4:$C$37,3,FALSE)),"")</f>
        <v/>
      </c>
      <c r="U109" s="385" t="str">
        <f>IF(F109="","",VLOOKUP(F109,'G-3 Multipliers'!$A$2:$E$134,2,FALSE))</f>
        <v/>
      </c>
      <c r="V109" s="382" t="str">
        <f t="shared" si="11"/>
        <v/>
      </c>
      <c r="W109" s="382" t="str">
        <f>IF(E109="","",IF(AND(V109="Standard difficulty applied",O109&gt;P109),U109,IF(AND(V109="Low Difficulty - only applicable if all habitat created before losses",P109&gt;=O109),"Low",VLOOKUP(F109,'G-3 Multipliers'!$A$2:$E$134,4,FALSE))))</f>
        <v/>
      </c>
      <c r="X109" s="386" t="str">
        <f>IFERROR(IF(E109="","",VLOOKUP(W109, 'G-3 Multipliers'!$P$2:$Q$6,2,FALSE)),"")</f>
        <v/>
      </c>
      <c r="Y109" s="390" t="str">
        <f t="shared" si="10"/>
        <v/>
      </c>
      <c r="Z109" s="194"/>
      <c r="AA109" s="195"/>
      <c r="AB109" s="120"/>
      <c r="AE109" s="40" t="str">
        <f t="shared" si="7"/>
        <v/>
      </c>
    </row>
    <row r="110" spans="1:31">
      <c r="A110" s="35" t="str">
        <f>IFERROR(INDEX('G-8 Condition Look up'!$I$4:$I$135,MATCH(F110,'G-8 Condition Look up'!$A$4:$A$135,0)),"")</f>
        <v/>
      </c>
      <c r="C110" s="299" t="str">
        <f>IFERROR(INDEX('G-1 All Habitats'!$AG$3:$AG$17,MATCH(D110,'G-1 All Habitats'!$AF$3:$AF$17,0)),"")</f>
        <v/>
      </c>
      <c r="D110" s="54"/>
      <c r="E110" s="61"/>
      <c r="F110" s="296" t="str">
        <f>IFERROR(INDEX('G-1 All Habitats'!$B$3:$B$134,MATCH(E110,'G-1 All Habitats'!$A$3:$A$134,0)),"")</f>
        <v/>
      </c>
      <c r="G110" s="53"/>
      <c r="H110" s="362" t="str">
        <f>IF(F110="","",VLOOKUP(F110,'G-1 All Habitats'!$B$2:$M$134,10,FALSE))</f>
        <v/>
      </c>
      <c r="I110" s="363" t="str">
        <f>IFERROR(VLOOKUP(H110,'G-1 All Habitats'!$V$3:$W$7,2,FALSE),"")</f>
        <v/>
      </c>
      <c r="J110" s="54"/>
      <c r="K110" s="363" t="str">
        <f>IFERROR(INDEX('G-8 Condition Look up'!$A$3:$H$135,MATCH(F110,'G-8 Condition Look up'!$A$3:$A$135,0),MATCH(J110,'G-8 Condition Look up'!$A$3:$H$3,0)),"")</f>
        <v/>
      </c>
      <c r="L110" s="54"/>
      <c r="M110" s="370" t="str">
        <f>IF(L110="","",IF(VLOOKUP(L110,'G-3 Multipliers'!$L$3:$N$6,2,FALSE)=0,"Spatial Data Missing",VLOOKUP(L110,'G-3 Multipliers'!$L$3:$N$6,2,FALSE)))</f>
        <v/>
      </c>
      <c r="N110" s="368" t="str">
        <f>IF(L110="","",IF(VLOOKUP(L110,'G-3 Multipliers'!$L$3:$N$6,3,FALSE)=0,"Spatial Data Missing",VLOOKUP(L110,'G-3 Multipliers'!$L$3:$N$6,3,FALSE)))</f>
        <v/>
      </c>
      <c r="O110" s="362" t="str">
        <f t="shared" si="6"/>
        <v/>
      </c>
      <c r="P110" s="63"/>
      <c r="Q110" s="63"/>
      <c r="R110" s="370" t="str">
        <f t="shared" si="8"/>
        <v/>
      </c>
      <c r="S110" s="383" t="str">
        <f t="shared" si="9"/>
        <v/>
      </c>
      <c r="T110" s="384" t="str">
        <f>IFERROR(IF(S110="Check Data ⚠","Check Data ⚠",VLOOKUP(S110,'G-4 Temporal multipliers'!$A$4:$C$37,3,FALSE)),"")</f>
        <v/>
      </c>
      <c r="U110" s="385" t="str">
        <f>IF(F110="","",VLOOKUP(F110,'G-3 Multipliers'!$A$2:$E$134,2,FALSE))</f>
        <v/>
      </c>
      <c r="V110" s="382" t="str">
        <f t="shared" si="11"/>
        <v/>
      </c>
      <c r="W110" s="382" t="str">
        <f>IF(E110="","",IF(AND(V110="Standard difficulty applied",O110&gt;P110),U110,IF(AND(V110="Low Difficulty - only applicable if all habitat created before losses",P110&gt;=O110),"Low",VLOOKUP(F110,'G-3 Multipliers'!$A$2:$E$134,4,FALSE))))</f>
        <v/>
      </c>
      <c r="X110" s="386" t="str">
        <f>IFERROR(IF(E110="","",VLOOKUP(W110, 'G-3 Multipliers'!$P$2:$Q$6,2,FALSE)),"")</f>
        <v/>
      </c>
      <c r="Y110" s="390" t="str">
        <f t="shared" si="10"/>
        <v/>
      </c>
      <c r="Z110" s="194"/>
      <c r="AA110" s="195"/>
      <c r="AB110" s="120"/>
      <c r="AE110" s="40" t="str">
        <f t="shared" si="7"/>
        <v/>
      </c>
    </row>
    <row r="111" spans="1:31">
      <c r="A111" s="35" t="str">
        <f>IFERROR(INDEX('G-8 Condition Look up'!$I$4:$I$135,MATCH(F111,'G-8 Condition Look up'!$A$4:$A$135,0)),"")</f>
        <v/>
      </c>
      <c r="C111" s="299" t="str">
        <f>IFERROR(INDEX('G-1 All Habitats'!$AG$3:$AG$17,MATCH(D111,'G-1 All Habitats'!$AF$3:$AF$17,0)),"")</f>
        <v/>
      </c>
      <c r="D111" s="54"/>
      <c r="E111" s="61"/>
      <c r="F111" s="296" t="str">
        <f>IFERROR(INDEX('G-1 All Habitats'!$B$3:$B$134,MATCH(E111,'G-1 All Habitats'!$A$3:$A$134,0)),"")</f>
        <v/>
      </c>
      <c r="G111" s="53"/>
      <c r="H111" s="362" t="str">
        <f>IF(F111="","",VLOOKUP(F111,'G-1 All Habitats'!$B$2:$M$134,10,FALSE))</f>
        <v/>
      </c>
      <c r="I111" s="363" t="str">
        <f>IFERROR(VLOOKUP(H111,'G-1 All Habitats'!$V$3:$W$7,2,FALSE),"")</f>
        <v/>
      </c>
      <c r="J111" s="54"/>
      <c r="K111" s="363" t="str">
        <f>IFERROR(INDEX('G-8 Condition Look up'!$A$3:$H$135,MATCH(F111,'G-8 Condition Look up'!$A$3:$A$135,0),MATCH(J111,'G-8 Condition Look up'!$A$3:$H$3,0)),"")</f>
        <v/>
      </c>
      <c r="L111" s="54"/>
      <c r="M111" s="370" t="str">
        <f>IF(L111="","",IF(VLOOKUP(L111,'G-3 Multipliers'!$L$3:$N$6,2,FALSE)=0,"Spatial Data Missing",VLOOKUP(L111,'G-3 Multipliers'!$L$3:$N$6,2,FALSE)))</f>
        <v/>
      </c>
      <c r="N111" s="368" t="str">
        <f>IF(L111="","",IF(VLOOKUP(L111,'G-3 Multipliers'!$L$3:$N$6,3,FALSE)=0,"Spatial Data Missing",VLOOKUP(L111,'G-3 Multipliers'!$L$3:$N$6,3,FALSE)))</f>
        <v/>
      </c>
      <c r="O111" s="362" t="str">
        <f t="shared" si="6"/>
        <v/>
      </c>
      <c r="P111" s="63"/>
      <c r="Q111" s="63"/>
      <c r="R111" s="370" t="str">
        <f t="shared" si="8"/>
        <v/>
      </c>
      <c r="S111" s="383" t="str">
        <f t="shared" si="9"/>
        <v/>
      </c>
      <c r="T111" s="384" t="str">
        <f>IFERROR(IF(S111="Check Data ⚠","Check Data ⚠",VLOOKUP(S111,'G-4 Temporal multipliers'!$A$4:$C$37,3,FALSE)),"")</f>
        <v/>
      </c>
      <c r="U111" s="385" t="str">
        <f>IF(F111="","",VLOOKUP(F111,'G-3 Multipliers'!$A$2:$E$134,2,FALSE))</f>
        <v/>
      </c>
      <c r="V111" s="382" t="str">
        <f t="shared" si="11"/>
        <v/>
      </c>
      <c r="W111" s="382" t="str">
        <f>IF(E111="","",IF(AND(V111="Standard difficulty applied",O111&gt;P111),U111,IF(AND(V111="Low Difficulty - only applicable if all habitat created before losses",P111&gt;=O111),"Low",VLOOKUP(F111,'G-3 Multipliers'!$A$2:$E$134,4,FALSE))))</f>
        <v/>
      </c>
      <c r="X111" s="386" t="str">
        <f>IFERROR(IF(E111="","",VLOOKUP(W111, 'G-3 Multipliers'!$P$2:$Q$6,2,FALSE)),"")</f>
        <v/>
      </c>
      <c r="Y111" s="390" t="str">
        <f t="shared" si="10"/>
        <v/>
      </c>
      <c r="Z111" s="194"/>
      <c r="AA111" s="195"/>
      <c r="AB111" s="120"/>
      <c r="AE111" s="40" t="str">
        <f t="shared" si="7"/>
        <v/>
      </c>
    </row>
    <row r="112" spans="1:31">
      <c r="A112" s="35" t="str">
        <f>IFERROR(INDEX('G-8 Condition Look up'!$I$4:$I$135,MATCH(F112,'G-8 Condition Look up'!$A$4:$A$135,0)),"")</f>
        <v/>
      </c>
      <c r="C112" s="299" t="str">
        <f>IFERROR(INDEX('G-1 All Habitats'!$AG$3:$AG$17,MATCH(D112,'G-1 All Habitats'!$AF$3:$AF$17,0)),"")</f>
        <v/>
      </c>
      <c r="D112" s="54"/>
      <c r="E112" s="61"/>
      <c r="F112" s="296" t="str">
        <f>IFERROR(INDEX('G-1 All Habitats'!$B$3:$B$134,MATCH(E112,'G-1 All Habitats'!$A$3:$A$134,0)),"")</f>
        <v/>
      </c>
      <c r="G112" s="53"/>
      <c r="H112" s="362" t="str">
        <f>IF(F112="","",VLOOKUP(F112,'G-1 All Habitats'!$B$2:$M$134,10,FALSE))</f>
        <v/>
      </c>
      <c r="I112" s="363" t="str">
        <f>IFERROR(VLOOKUP(H112,'G-1 All Habitats'!$V$3:$W$7,2,FALSE),"")</f>
        <v/>
      </c>
      <c r="J112" s="54"/>
      <c r="K112" s="363" t="str">
        <f>IFERROR(INDEX('G-8 Condition Look up'!$A$3:$H$135,MATCH(F112,'G-8 Condition Look up'!$A$3:$A$135,0),MATCH(J112,'G-8 Condition Look up'!$A$3:$H$3,0)),"")</f>
        <v/>
      </c>
      <c r="L112" s="54"/>
      <c r="M112" s="370" t="str">
        <f>IF(L112="","",IF(VLOOKUP(L112,'G-3 Multipliers'!$L$3:$N$6,2,FALSE)=0,"Spatial Data Missing",VLOOKUP(L112,'G-3 Multipliers'!$L$3:$N$6,2,FALSE)))</f>
        <v/>
      </c>
      <c r="N112" s="368" t="str">
        <f>IF(L112="","",IF(VLOOKUP(L112,'G-3 Multipliers'!$L$3:$N$6,3,FALSE)=0,"Spatial Data Missing",VLOOKUP(L112,'G-3 Multipliers'!$L$3:$N$6,3,FALSE)))</f>
        <v/>
      </c>
      <c r="O112" s="362" t="str">
        <f t="shared" si="6"/>
        <v/>
      </c>
      <c r="P112" s="63"/>
      <c r="Q112" s="63"/>
      <c r="R112" s="370" t="str">
        <f t="shared" si="8"/>
        <v/>
      </c>
      <c r="S112" s="383" t="str">
        <f t="shared" si="9"/>
        <v/>
      </c>
      <c r="T112" s="384" t="str">
        <f>IFERROR(IF(S112="Check Data ⚠","Check Data ⚠",VLOOKUP(S112,'G-4 Temporal multipliers'!$A$4:$C$37,3,FALSE)),"")</f>
        <v/>
      </c>
      <c r="U112" s="385" t="str">
        <f>IF(F112="","",VLOOKUP(F112,'G-3 Multipliers'!$A$2:$E$134,2,FALSE))</f>
        <v/>
      </c>
      <c r="V112" s="382" t="str">
        <f t="shared" si="11"/>
        <v/>
      </c>
      <c r="W112" s="382" t="str">
        <f>IF(E112="","",IF(AND(V112="Standard difficulty applied",O112&gt;P112),U112,IF(AND(V112="Low Difficulty - only applicable if all habitat created before losses",P112&gt;=O112),"Low",VLOOKUP(F112,'G-3 Multipliers'!$A$2:$E$134,4,FALSE))))</f>
        <v/>
      </c>
      <c r="X112" s="386" t="str">
        <f>IFERROR(IF(E112="","",VLOOKUP(W112, 'G-3 Multipliers'!$P$2:$Q$6,2,FALSE)),"")</f>
        <v/>
      </c>
      <c r="Y112" s="390" t="str">
        <f t="shared" si="10"/>
        <v/>
      </c>
      <c r="Z112" s="194"/>
      <c r="AA112" s="195"/>
      <c r="AB112" s="120"/>
      <c r="AE112" s="40" t="str">
        <f t="shared" si="7"/>
        <v/>
      </c>
    </row>
    <row r="113" spans="1:31">
      <c r="A113" s="35" t="str">
        <f>IFERROR(INDEX('G-8 Condition Look up'!$I$4:$I$135,MATCH(F113,'G-8 Condition Look up'!$A$4:$A$135,0)),"")</f>
        <v/>
      </c>
      <c r="C113" s="299" t="str">
        <f>IFERROR(INDEX('G-1 All Habitats'!$AG$3:$AG$17,MATCH(D113,'G-1 All Habitats'!$AF$3:$AF$17,0)),"")</f>
        <v/>
      </c>
      <c r="D113" s="54"/>
      <c r="E113" s="61"/>
      <c r="F113" s="296" t="str">
        <f>IFERROR(INDEX('G-1 All Habitats'!$B$3:$B$134,MATCH(E113,'G-1 All Habitats'!$A$3:$A$134,0)),"")</f>
        <v/>
      </c>
      <c r="G113" s="53"/>
      <c r="H113" s="362" t="str">
        <f>IF(F113="","",VLOOKUP(F113,'G-1 All Habitats'!$B$2:$M$134,10,FALSE))</f>
        <v/>
      </c>
      <c r="I113" s="363" t="str">
        <f>IFERROR(VLOOKUP(H113,'G-1 All Habitats'!$V$3:$W$7,2,FALSE),"")</f>
        <v/>
      </c>
      <c r="J113" s="54"/>
      <c r="K113" s="363" t="str">
        <f>IFERROR(INDEX('G-8 Condition Look up'!$A$3:$H$135,MATCH(F113,'G-8 Condition Look up'!$A$3:$A$135,0),MATCH(J113,'G-8 Condition Look up'!$A$3:$H$3,0)),"")</f>
        <v/>
      </c>
      <c r="L113" s="54"/>
      <c r="M113" s="370" t="str">
        <f>IF(L113="","",IF(VLOOKUP(L113,'G-3 Multipliers'!$L$3:$N$6,2,FALSE)=0,"Spatial Data Missing",VLOOKUP(L113,'G-3 Multipliers'!$L$3:$N$6,2,FALSE)))</f>
        <v/>
      </c>
      <c r="N113" s="368" t="str">
        <f>IF(L113="","",IF(VLOOKUP(L113,'G-3 Multipliers'!$L$3:$N$6,3,FALSE)=0,"Spatial Data Missing",VLOOKUP(L113,'G-3 Multipliers'!$L$3:$N$6,3,FALSE)))</f>
        <v/>
      </c>
      <c r="O113" s="362" t="str">
        <f t="shared" si="6"/>
        <v/>
      </c>
      <c r="P113" s="63"/>
      <c r="Q113" s="63"/>
      <c r="R113" s="370" t="str">
        <f t="shared" si="8"/>
        <v/>
      </c>
      <c r="S113" s="383" t="str">
        <f t="shared" si="9"/>
        <v/>
      </c>
      <c r="T113" s="384" t="str">
        <f>IFERROR(IF(S113="Check Data ⚠","Check Data ⚠",VLOOKUP(S113,'G-4 Temporal multipliers'!$A$4:$C$37,3,FALSE)),"")</f>
        <v/>
      </c>
      <c r="U113" s="385" t="str">
        <f>IF(F113="","",VLOOKUP(F113,'G-3 Multipliers'!$A$2:$E$134,2,FALSE))</f>
        <v/>
      </c>
      <c r="V113" s="382" t="str">
        <f t="shared" si="11"/>
        <v/>
      </c>
      <c r="W113" s="382" t="str">
        <f>IF(E113="","",IF(AND(V113="Standard difficulty applied",O113&gt;P113),U113,IF(AND(V113="Low Difficulty - only applicable if all habitat created before losses",P113&gt;=O113),"Low",VLOOKUP(F113,'G-3 Multipliers'!$A$2:$E$134,4,FALSE))))</f>
        <v/>
      </c>
      <c r="X113" s="386" t="str">
        <f>IFERROR(IF(E113="","",VLOOKUP(W113, 'G-3 Multipliers'!$P$2:$Q$6,2,FALSE)),"")</f>
        <v/>
      </c>
      <c r="Y113" s="390" t="str">
        <f t="shared" si="10"/>
        <v/>
      </c>
      <c r="Z113" s="194"/>
      <c r="AA113" s="195"/>
      <c r="AB113" s="120"/>
      <c r="AE113" s="40" t="str">
        <f t="shared" si="7"/>
        <v/>
      </c>
    </row>
    <row r="114" spans="1:31">
      <c r="A114" s="35" t="str">
        <f>IFERROR(INDEX('G-8 Condition Look up'!$I$4:$I$135,MATCH(F114,'G-8 Condition Look up'!$A$4:$A$135,0)),"")</f>
        <v/>
      </c>
      <c r="C114" s="299" t="str">
        <f>IFERROR(INDEX('G-1 All Habitats'!$AG$3:$AG$17,MATCH(D114,'G-1 All Habitats'!$AF$3:$AF$17,0)),"")</f>
        <v/>
      </c>
      <c r="D114" s="54"/>
      <c r="E114" s="61"/>
      <c r="F114" s="296" t="str">
        <f>IFERROR(INDEX('G-1 All Habitats'!$B$3:$B$134,MATCH(E114,'G-1 All Habitats'!$A$3:$A$134,0)),"")</f>
        <v/>
      </c>
      <c r="G114" s="53"/>
      <c r="H114" s="362" t="str">
        <f>IF(F114="","",VLOOKUP(F114,'G-1 All Habitats'!$B$2:$M$134,10,FALSE))</f>
        <v/>
      </c>
      <c r="I114" s="363" t="str">
        <f>IFERROR(VLOOKUP(H114,'G-1 All Habitats'!$V$3:$W$7,2,FALSE),"")</f>
        <v/>
      </c>
      <c r="J114" s="54"/>
      <c r="K114" s="363" t="str">
        <f>IFERROR(INDEX('G-8 Condition Look up'!$A$3:$H$135,MATCH(F114,'G-8 Condition Look up'!$A$3:$A$135,0),MATCH(J114,'G-8 Condition Look up'!$A$3:$H$3,0)),"")</f>
        <v/>
      </c>
      <c r="L114" s="54"/>
      <c r="M114" s="370" t="str">
        <f>IF(L114="","",IF(VLOOKUP(L114,'G-3 Multipliers'!$L$3:$N$6,2,FALSE)=0,"Spatial Data Missing",VLOOKUP(L114,'G-3 Multipliers'!$L$3:$N$6,2,FALSE)))</f>
        <v/>
      </c>
      <c r="N114" s="368" t="str">
        <f>IF(L114="","",IF(VLOOKUP(L114,'G-3 Multipliers'!$L$3:$N$6,3,FALSE)=0,"Spatial Data Missing",VLOOKUP(L114,'G-3 Multipliers'!$L$3:$N$6,3,FALSE)))</f>
        <v/>
      </c>
      <c r="O114" s="362" t="str">
        <f t="shared" si="6"/>
        <v/>
      </c>
      <c r="P114" s="63"/>
      <c r="Q114" s="63"/>
      <c r="R114" s="370" t="str">
        <f t="shared" si="8"/>
        <v/>
      </c>
      <c r="S114" s="383" t="str">
        <f t="shared" si="9"/>
        <v/>
      </c>
      <c r="T114" s="384" t="str">
        <f>IFERROR(IF(S114="Check Data ⚠","Check Data ⚠",VLOOKUP(S114,'G-4 Temporal multipliers'!$A$4:$C$37,3,FALSE)),"")</f>
        <v/>
      </c>
      <c r="U114" s="385" t="str">
        <f>IF(F114="","",VLOOKUP(F114,'G-3 Multipliers'!$A$2:$E$134,2,FALSE))</f>
        <v/>
      </c>
      <c r="V114" s="382" t="str">
        <f t="shared" si="11"/>
        <v/>
      </c>
      <c r="W114" s="382" t="str">
        <f>IF(E114="","",IF(AND(V114="Standard difficulty applied",O114&gt;P114),U114,IF(AND(V114="Low Difficulty - only applicable if all habitat created before losses",P114&gt;=O114),"Low",VLOOKUP(F114,'G-3 Multipliers'!$A$2:$E$134,4,FALSE))))</f>
        <v/>
      </c>
      <c r="X114" s="386" t="str">
        <f>IFERROR(IF(E114="","",VLOOKUP(W114, 'G-3 Multipliers'!$P$2:$Q$6,2,FALSE)),"")</f>
        <v/>
      </c>
      <c r="Y114" s="390" t="str">
        <f t="shared" si="10"/>
        <v/>
      </c>
      <c r="Z114" s="194"/>
      <c r="AA114" s="195"/>
      <c r="AB114" s="120"/>
      <c r="AE114" s="40" t="str">
        <f t="shared" si="7"/>
        <v/>
      </c>
    </row>
    <row r="115" spans="1:31">
      <c r="A115" s="35" t="str">
        <f>IFERROR(INDEX('G-8 Condition Look up'!$I$4:$I$135,MATCH(F115,'G-8 Condition Look up'!$A$4:$A$135,0)),"")</f>
        <v/>
      </c>
      <c r="C115" s="299" t="str">
        <f>IFERROR(INDEX('G-1 All Habitats'!$AG$3:$AG$17,MATCH(D115,'G-1 All Habitats'!$AF$3:$AF$17,0)),"")</f>
        <v/>
      </c>
      <c r="D115" s="54"/>
      <c r="E115" s="61"/>
      <c r="F115" s="296" t="str">
        <f>IFERROR(INDEX('G-1 All Habitats'!$B$3:$B$134,MATCH(E115,'G-1 All Habitats'!$A$3:$A$134,0)),"")</f>
        <v/>
      </c>
      <c r="G115" s="53"/>
      <c r="H115" s="362" t="str">
        <f>IF(F115="","",VLOOKUP(F115,'G-1 All Habitats'!$B$2:$M$134,10,FALSE))</f>
        <v/>
      </c>
      <c r="I115" s="363" t="str">
        <f>IFERROR(VLOOKUP(H115,'G-1 All Habitats'!$V$3:$W$7,2,FALSE),"")</f>
        <v/>
      </c>
      <c r="J115" s="54"/>
      <c r="K115" s="363" t="str">
        <f>IFERROR(INDEX('G-8 Condition Look up'!$A$3:$H$135,MATCH(F115,'G-8 Condition Look up'!$A$3:$A$135,0),MATCH(J115,'G-8 Condition Look up'!$A$3:$H$3,0)),"")</f>
        <v/>
      </c>
      <c r="L115" s="54"/>
      <c r="M115" s="370" t="str">
        <f>IF(L115="","",IF(VLOOKUP(L115,'G-3 Multipliers'!$L$3:$N$6,2,FALSE)=0,"Spatial Data Missing",VLOOKUP(L115,'G-3 Multipliers'!$L$3:$N$6,2,FALSE)))</f>
        <v/>
      </c>
      <c r="N115" s="368" t="str">
        <f>IF(L115="","",IF(VLOOKUP(L115,'G-3 Multipliers'!$L$3:$N$6,3,FALSE)=0,"Spatial Data Missing",VLOOKUP(L115,'G-3 Multipliers'!$L$3:$N$6,3,FALSE)))</f>
        <v/>
      </c>
      <c r="O115" s="362" t="str">
        <f t="shared" si="6"/>
        <v/>
      </c>
      <c r="P115" s="63"/>
      <c r="Q115" s="63"/>
      <c r="R115" s="370" t="str">
        <f t="shared" si="8"/>
        <v/>
      </c>
      <c r="S115" s="383" t="str">
        <f t="shared" si="9"/>
        <v/>
      </c>
      <c r="T115" s="384" t="str">
        <f>IFERROR(IF(S115="Check Data ⚠","Check Data ⚠",VLOOKUP(S115,'G-4 Temporal multipliers'!$A$4:$C$37,3,FALSE)),"")</f>
        <v/>
      </c>
      <c r="U115" s="385" t="str">
        <f>IF(F115="","",VLOOKUP(F115,'G-3 Multipliers'!$A$2:$E$134,2,FALSE))</f>
        <v/>
      </c>
      <c r="V115" s="382" t="str">
        <f t="shared" si="11"/>
        <v/>
      </c>
      <c r="W115" s="382" t="str">
        <f>IF(E115="","",IF(AND(V115="Standard difficulty applied",O115&gt;P115),U115,IF(AND(V115="Low Difficulty - only applicable if all habitat created before losses",P115&gt;=O115),"Low",VLOOKUP(F115,'G-3 Multipliers'!$A$2:$E$134,4,FALSE))))</f>
        <v/>
      </c>
      <c r="X115" s="386" t="str">
        <f>IFERROR(IF(E115="","",VLOOKUP(W115, 'G-3 Multipliers'!$P$2:$Q$6,2,FALSE)),"")</f>
        <v/>
      </c>
      <c r="Y115" s="390" t="str">
        <f t="shared" si="10"/>
        <v/>
      </c>
      <c r="Z115" s="194"/>
      <c r="AA115" s="195"/>
      <c r="AB115" s="120"/>
      <c r="AE115" s="40" t="str">
        <f t="shared" si="7"/>
        <v/>
      </c>
    </row>
    <row r="116" spans="1:31">
      <c r="A116" s="35" t="str">
        <f>IFERROR(INDEX('G-8 Condition Look up'!$I$4:$I$135,MATCH(F116,'G-8 Condition Look up'!$A$4:$A$135,0)),"")</f>
        <v/>
      </c>
      <c r="C116" s="299" t="str">
        <f>IFERROR(INDEX('G-1 All Habitats'!$AG$3:$AG$17,MATCH(D116,'G-1 All Habitats'!$AF$3:$AF$17,0)),"")</f>
        <v/>
      </c>
      <c r="D116" s="54"/>
      <c r="E116" s="61"/>
      <c r="F116" s="296" t="str">
        <f>IFERROR(INDEX('G-1 All Habitats'!$B$3:$B$134,MATCH(E116,'G-1 All Habitats'!$A$3:$A$134,0)),"")</f>
        <v/>
      </c>
      <c r="G116" s="53"/>
      <c r="H116" s="362" t="str">
        <f>IF(F116="","",VLOOKUP(F116,'G-1 All Habitats'!$B$2:$M$134,10,FALSE))</f>
        <v/>
      </c>
      <c r="I116" s="363" t="str">
        <f>IFERROR(VLOOKUP(H116,'G-1 All Habitats'!$V$3:$W$7,2,FALSE),"")</f>
        <v/>
      </c>
      <c r="J116" s="54"/>
      <c r="K116" s="363" t="str">
        <f>IFERROR(INDEX('G-8 Condition Look up'!$A$3:$H$135,MATCH(F116,'G-8 Condition Look up'!$A$3:$A$135,0),MATCH(J116,'G-8 Condition Look up'!$A$3:$H$3,0)),"")</f>
        <v/>
      </c>
      <c r="L116" s="54"/>
      <c r="M116" s="370" t="str">
        <f>IF(L116="","",IF(VLOOKUP(L116,'G-3 Multipliers'!$L$3:$N$6,2,FALSE)=0,"Spatial Data Missing",VLOOKUP(L116,'G-3 Multipliers'!$L$3:$N$6,2,FALSE)))</f>
        <v/>
      </c>
      <c r="N116" s="368" t="str">
        <f>IF(L116="","",IF(VLOOKUP(L116,'G-3 Multipliers'!$L$3:$N$6,3,FALSE)=0,"Spatial Data Missing",VLOOKUP(L116,'G-3 Multipliers'!$L$3:$N$6,3,FALSE)))</f>
        <v/>
      </c>
      <c r="O116" s="362" t="str">
        <f t="shared" si="6"/>
        <v/>
      </c>
      <c r="P116" s="63"/>
      <c r="Q116" s="63"/>
      <c r="R116" s="370" t="str">
        <f t="shared" si="8"/>
        <v/>
      </c>
      <c r="S116" s="383" t="str">
        <f t="shared" si="9"/>
        <v/>
      </c>
      <c r="T116" s="384" t="str">
        <f>IFERROR(IF(S116="Check Data ⚠","Check Data ⚠",VLOOKUP(S116,'G-4 Temporal multipliers'!$A$4:$C$37,3,FALSE)),"")</f>
        <v/>
      </c>
      <c r="U116" s="385" t="str">
        <f>IF(F116="","",VLOOKUP(F116,'G-3 Multipliers'!$A$2:$E$134,2,FALSE))</f>
        <v/>
      </c>
      <c r="V116" s="382" t="str">
        <f t="shared" si="11"/>
        <v/>
      </c>
      <c r="W116" s="382" t="str">
        <f>IF(E116="","",IF(AND(V116="Standard difficulty applied",O116&gt;P116),U116,IF(AND(V116="Low Difficulty - only applicable if all habitat created before losses",P116&gt;=O116),"Low",VLOOKUP(F116,'G-3 Multipliers'!$A$2:$E$134,4,FALSE))))</f>
        <v/>
      </c>
      <c r="X116" s="386" t="str">
        <f>IFERROR(IF(E116="","",VLOOKUP(W116, 'G-3 Multipliers'!$P$2:$Q$6,2,FALSE)),"")</f>
        <v/>
      </c>
      <c r="Y116" s="390" t="str">
        <f t="shared" si="10"/>
        <v/>
      </c>
      <c r="Z116" s="194"/>
      <c r="AA116" s="195"/>
      <c r="AB116" s="120"/>
      <c r="AE116" s="40" t="str">
        <f t="shared" si="7"/>
        <v/>
      </c>
    </row>
    <row r="117" spans="1:31">
      <c r="A117" s="35" t="str">
        <f>IFERROR(INDEX('G-8 Condition Look up'!$I$4:$I$135,MATCH(F117,'G-8 Condition Look up'!$A$4:$A$135,0)),"")</f>
        <v/>
      </c>
      <c r="C117" s="299" t="str">
        <f>IFERROR(INDEX('G-1 All Habitats'!$AG$3:$AG$17,MATCH(D117,'G-1 All Habitats'!$AF$3:$AF$17,0)),"")</f>
        <v/>
      </c>
      <c r="D117" s="54"/>
      <c r="E117" s="61"/>
      <c r="F117" s="296" t="str">
        <f>IFERROR(INDEX('G-1 All Habitats'!$B$3:$B$134,MATCH(E117,'G-1 All Habitats'!$A$3:$A$134,0)),"")</f>
        <v/>
      </c>
      <c r="G117" s="53"/>
      <c r="H117" s="362" t="str">
        <f>IF(F117="","",VLOOKUP(F117,'G-1 All Habitats'!$B$2:$M$134,10,FALSE))</f>
        <v/>
      </c>
      <c r="I117" s="363" t="str">
        <f>IFERROR(VLOOKUP(H117,'G-1 All Habitats'!$V$3:$W$7,2,FALSE),"")</f>
        <v/>
      </c>
      <c r="J117" s="54"/>
      <c r="K117" s="363" t="str">
        <f>IFERROR(INDEX('G-8 Condition Look up'!$A$3:$H$135,MATCH(F117,'G-8 Condition Look up'!$A$3:$A$135,0),MATCH(J117,'G-8 Condition Look up'!$A$3:$H$3,0)),"")</f>
        <v/>
      </c>
      <c r="L117" s="54"/>
      <c r="M117" s="370" t="str">
        <f>IF(L117="","",IF(VLOOKUP(L117,'G-3 Multipliers'!$L$3:$N$6,2,FALSE)=0,"Spatial Data Missing",VLOOKUP(L117,'G-3 Multipliers'!$L$3:$N$6,2,FALSE)))</f>
        <v/>
      </c>
      <c r="N117" s="368" t="str">
        <f>IF(L117="","",IF(VLOOKUP(L117,'G-3 Multipliers'!$L$3:$N$6,3,FALSE)=0,"Spatial Data Missing",VLOOKUP(L117,'G-3 Multipliers'!$L$3:$N$6,3,FALSE)))</f>
        <v/>
      </c>
      <c r="O117" s="362" t="str">
        <f t="shared" si="6"/>
        <v/>
      </c>
      <c r="P117" s="63"/>
      <c r="Q117" s="63"/>
      <c r="R117" s="370" t="str">
        <f t="shared" si="8"/>
        <v/>
      </c>
      <c r="S117" s="383" t="str">
        <f t="shared" si="9"/>
        <v/>
      </c>
      <c r="T117" s="384" t="str">
        <f>IFERROR(IF(S117="Check Data ⚠","Check Data ⚠",VLOOKUP(S117,'G-4 Temporal multipliers'!$A$4:$C$37,3,FALSE)),"")</f>
        <v/>
      </c>
      <c r="U117" s="385" t="str">
        <f>IF(F117="","",VLOOKUP(F117,'G-3 Multipliers'!$A$2:$E$134,2,FALSE))</f>
        <v/>
      </c>
      <c r="V117" s="382" t="str">
        <f t="shared" si="11"/>
        <v/>
      </c>
      <c r="W117" s="382" t="str">
        <f>IF(E117="","",IF(AND(V117="Standard difficulty applied",O117&gt;P117),U117,IF(AND(V117="Low Difficulty - only applicable if all habitat created before losses",P117&gt;=O117),"Low",VLOOKUP(F117,'G-3 Multipliers'!$A$2:$E$134,4,FALSE))))</f>
        <v/>
      </c>
      <c r="X117" s="386" t="str">
        <f>IFERROR(IF(E117="","",VLOOKUP(W117, 'G-3 Multipliers'!$P$2:$Q$6,2,FALSE)),"")</f>
        <v/>
      </c>
      <c r="Y117" s="390" t="str">
        <f t="shared" si="10"/>
        <v/>
      </c>
      <c r="Z117" s="194"/>
      <c r="AA117" s="195"/>
      <c r="AB117" s="120"/>
      <c r="AE117" s="40" t="str">
        <f t="shared" si="7"/>
        <v/>
      </c>
    </row>
    <row r="118" spans="1:31">
      <c r="A118" s="35" t="str">
        <f>IFERROR(INDEX('G-8 Condition Look up'!$I$4:$I$135,MATCH(F118,'G-8 Condition Look up'!$A$4:$A$135,0)),"")</f>
        <v/>
      </c>
      <c r="C118" s="299" t="str">
        <f>IFERROR(INDEX('G-1 All Habitats'!$AG$3:$AG$17,MATCH(D118,'G-1 All Habitats'!$AF$3:$AF$17,0)),"")</f>
        <v/>
      </c>
      <c r="D118" s="54"/>
      <c r="E118" s="61"/>
      <c r="F118" s="296" t="str">
        <f>IFERROR(INDEX('G-1 All Habitats'!$B$3:$B$134,MATCH(E118,'G-1 All Habitats'!$A$3:$A$134,0)),"")</f>
        <v/>
      </c>
      <c r="G118" s="53"/>
      <c r="H118" s="362" t="str">
        <f>IF(F118="","",VLOOKUP(F118,'G-1 All Habitats'!$B$2:$M$134,10,FALSE))</f>
        <v/>
      </c>
      <c r="I118" s="363" t="str">
        <f>IFERROR(VLOOKUP(H118,'G-1 All Habitats'!$V$3:$W$7,2,FALSE),"")</f>
        <v/>
      </c>
      <c r="J118" s="54"/>
      <c r="K118" s="363" t="str">
        <f>IFERROR(INDEX('G-8 Condition Look up'!$A$3:$H$135,MATCH(F118,'G-8 Condition Look up'!$A$3:$A$135,0),MATCH(J118,'G-8 Condition Look up'!$A$3:$H$3,0)),"")</f>
        <v/>
      </c>
      <c r="L118" s="54"/>
      <c r="M118" s="370" t="str">
        <f>IF(L118="","",IF(VLOOKUP(L118,'G-3 Multipliers'!$L$3:$N$6,2,FALSE)=0,"Spatial Data Missing",VLOOKUP(L118,'G-3 Multipliers'!$L$3:$N$6,2,FALSE)))</f>
        <v/>
      </c>
      <c r="N118" s="368" t="str">
        <f>IF(L118="","",IF(VLOOKUP(L118,'G-3 Multipliers'!$L$3:$N$6,3,FALSE)=0,"Spatial Data Missing",VLOOKUP(L118,'G-3 Multipliers'!$L$3:$N$6,3,FALSE)))</f>
        <v/>
      </c>
      <c r="O118" s="362" t="str">
        <f t="shared" si="6"/>
        <v/>
      </c>
      <c r="P118" s="63"/>
      <c r="Q118" s="63"/>
      <c r="R118" s="370" t="str">
        <f t="shared" si="8"/>
        <v/>
      </c>
      <c r="S118" s="383" t="str">
        <f t="shared" si="9"/>
        <v/>
      </c>
      <c r="T118" s="384" t="str">
        <f>IFERROR(IF(S118="Check Data ⚠","Check Data ⚠",VLOOKUP(S118,'G-4 Temporal multipliers'!$A$4:$C$37,3,FALSE)),"")</f>
        <v/>
      </c>
      <c r="U118" s="385" t="str">
        <f>IF(F118="","",VLOOKUP(F118,'G-3 Multipliers'!$A$2:$E$134,2,FALSE))</f>
        <v/>
      </c>
      <c r="V118" s="382" t="str">
        <f t="shared" si="11"/>
        <v/>
      </c>
      <c r="W118" s="382" t="str">
        <f>IF(E118="","",IF(AND(V118="Standard difficulty applied",O118&gt;P118),U118,IF(AND(V118="Low Difficulty - only applicable if all habitat created before losses",P118&gt;=O118),"Low",VLOOKUP(F118,'G-3 Multipliers'!$A$2:$E$134,4,FALSE))))</f>
        <v/>
      </c>
      <c r="X118" s="386" t="str">
        <f>IFERROR(IF(E118="","",VLOOKUP(W118, 'G-3 Multipliers'!$P$2:$Q$6,2,FALSE)),"")</f>
        <v/>
      </c>
      <c r="Y118" s="390" t="str">
        <f t="shared" si="10"/>
        <v/>
      </c>
      <c r="Z118" s="194"/>
      <c r="AA118" s="195"/>
      <c r="AB118" s="120"/>
      <c r="AE118" s="40" t="str">
        <f t="shared" si="7"/>
        <v/>
      </c>
    </row>
    <row r="119" spans="1:31">
      <c r="A119" s="35" t="str">
        <f>IFERROR(INDEX('G-8 Condition Look up'!$I$4:$I$135,MATCH(F119,'G-8 Condition Look up'!$A$4:$A$135,0)),"")</f>
        <v/>
      </c>
      <c r="C119" s="299" t="str">
        <f>IFERROR(INDEX('G-1 All Habitats'!$AG$3:$AG$17,MATCH(D119,'G-1 All Habitats'!$AF$3:$AF$17,0)),"")</f>
        <v/>
      </c>
      <c r="D119" s="54"/>
      <c r="E119" s="61"/>
      <c r="F119" s="296" t="str">
        <f>IFERROR(INDEX('G-1 All Habitats'!$B$3:$B$134,MATCH(E119,'G-1 All Habitats'!$A$3:$A$134,0)),"")</f>
        <v/>
      </c>
      <c r="G119" s="53"/>
      <c r="H119" s="362" t="str">
        <f>IF(F119="","",VLOOKUP(F119,'G-1 All Habitats'!$B$2:$M$134,10,FALSE))</f>
        <v/>
      </c>
      <c r="I119" s="363" t="str">
        <f>IFERROR(VLOOKUP(H119,'G-1 All Habitats'!$V$3:$W$7,2,FALSE),"")</f>
        <v/>
      </c>
      <c r="J119" s="54"/>
      <c r="K119" s="363" t="str">
        <f>IFERROR(INDEX('G-8 Condition Look up'!$A$3:$H$135,MATCH(F119,'G-8 Condition Look up'!$A$3:$A$135,0),MATCH(J119,'G-8 Condition Look up'!$A$3:$H$3,0)),"")</f>
        <v/>
      </c>
      <c r="L119" s="54"/>
      <c r="M119" s="370" t="str">
        <f>IF(L119="","",IF(VLOOKUP(L119,'G-3 Multipliers'!$L$3:$N$6,2,FALSE)=0,"Spatial Data Missing",VLOOKUP(L119,'G-3 Multipliers'!$L$3:$N$6,2,FALSE)))</f>
        <v/>
      </c>
      <c r="N119" s="368" t="str">
        <f>IF(L119="","",IF(VLOOKUP(L119,'G-3 Multipliers'!$L$3:$N$6,3,FALSE)=0,"Spatial Data Missing",VLOOKUP(L119,'G-3 Multipliers'!$L$3:$N$6,3,FALSE)))</f>
        <v/>
      </c>
      <c r="O119" s="362" t="str">
        <f t="shared" si="6"/>
        <v/>
      </c>
      <c r="P119" s="63"/>
      <c r="Q119" s="63"/>
      <c r="R119" s="370" t="str">
        <f t="shared" si="8"/>
        <v/>
      </c>
      <c r="S119" s="383" t="str">
        <f t="shared" si="9"/>
        <v/>
      </c>
      <c r="T119" s="384" t="str">
        <f>IFERROR(IF(S119="Check Data ⚠","Check Data ⚠",VLOOKUP(S119,'G-4 Temporal multipliers'!$A$4:$C$37,3,FALSE)),"")</f>
        <v/>
      </c>
      <c r="U119" s="385" t="str">
        <f>IF(F119="","",VLOOKUP(F119,'G-3 Multipliers'!$A$2:$E$134,2,FALSE))</f>
        <v/>
      </c>
      <c r="V119" s="382" t="str">
        <f t="shared" si="11"/>
        <v/>
      </c>
      <c r="W119" s="382" t="str">
        <f>IF(E119="","",IF(AND(V119="Standard difficulty applied",O119&gt;P119),U119,IF(AND(V119="Low Difficulty - only applicable if all habitat created before losses",P119&gt;=O119),"Low",VLOOKUP(F119,'G-3 Multipliers'!$A$2:$E$134,4,FALSE))))</f>
        <v/>
      </c>
      <c r="X119" s="386" t="str">
        <f>IFERROR(IF(E119="","",VLOOKUP(W119, 'G-3 Multipliers'!$P$2:$Q$6,2,FALSE)),"")</f>
        <v/>
      </c>
      <c r="Y119" s="390" t="str">
        <f t="shared" si="10"/>
        <v/>
      </c>
      <c r="Z119" s="194"/>
      <c r="AA119" s="195"/>
      <c r="AB119" s="120"/>
      <c r="AE119" s="40" t="str">
        <f t="shared" si="7"/>
        <v/>
      </c>
    </row>
    <row r="120" spans="1:31">
      <c r="A120" s="35" t="str">
        <f>IFERROR(INDEX('G-8 Condition Look up'!$I$4:$I$135,MATCH(F120,'G-8 Condition Look up'!$A$4:$A$135,0)),"")</f>
        <v/>
      </c>
      <c r="C120" s="299" t="str">
        <f>IFERROR(INDEX('G-1 All Habitats'!$AG$3:$AG$17,MATCH(D120,'G-1 All Habitats'!$AF$3:$AF$17,0)),"")</f>
        <v/>
      </c>
      <c r="D120" s="54"/>
      <c r="E120" s="61"/>
      <c r="F120" s="296" t="str">
        <f>IFERROR(INDEX('G-1 All Habitats'!$B$3:$B$134,MATCH(E120,'G-1 All Habitats'!$A$3:$A$134,0)),"")</f>
        <v/>
      </c>
      <c r="G120" s="53"/>
      <c r="H120" s="362" t="str">
        <f>IF(F120="","",VLOOKUP(F120,'G-1 All Habitats'!$B$2:$M$134,10,FALSE))</f>
        <v/>
      </c>
      <c r="I120" s="363" t="str">
        <f>IFERROR(VLOOKUP(H120,'G-1 All Habitats'!$V$3:$W$7,2,FALSE),"")</f>
        <v/>
      </c>
      <c r="J120" s="54"/>
      <c r="K120" s="363" t="str">
        <f>IFERROR(INDEX('G-8 Condition Look up'!$A$3:$H$135,MATCH(F120,'G-8 Condition Look up'!$A$3:$A$135,0),MATCH(J120,'G-8 Condition Look up'!$A$3:$H$3,0)),"")</f>
        <v/>
      </c>
      <c r="L120" s="54"/>
      <c r="M120" s="370" t="str">
        <f>IF(L120="","",IF(VLOOKUP(L120,'G-3 Multipliers'!$L$3:$N$6,2,FALSE)=0,"Spatial Data Missing",VLOOKUP(L120,'G-3 Multipliers'!$L$3:$N$6,2,FALSE)))</f>
        <v/>
      </c>
      <c r="N120" s="368" t="str">
        <f>IF(L120="","",IF(VLOOKUP(L120,'G-3 Multipliers'!$L$3:$N$6,3,FALSE)=0,"Spatial Data Missing",VLOOKUP(L120,'G-3 Multipliers'!$L$3:$N$6,3,FALSE)))</f>
        <v/>
      </c>
      <c r="O120" s="362" t="str">
        <f t="shared" si="6"/>
        <v/>
      </c>
      <c r="P120" s="63"/>
      <c r="Q120" s="63"/>
      <c r="R120" s="370" t="str">
        <f t="shared" si="8"/>
        <v/>
      </c>
      <c r="S120" s="383" t="str">
        <f t="shared" si="9"/>
        <v/>
      </c>
      <c r="T120" s="384" t="str">
        <f>IFERROR(IF(S120="Check Data ⚠","Check Data ⚠",VLOOKUP(S120,'G-4 Temporal multipliers'!$A$4:$C$37,3,FALSE)),"")</f>
        <v/>
      </c>
      <c r="U120" s="385" t="str">
        <f>IF(F120="","",VLOOKUP(F120,'G-3 Multipliers'!$A$2:$E$134,2,FALSE))</f>
        <v/>
      </c>
      <c r="V120" s="382" t="str">
        <f t="shared" si="11"/>
        <v/>
      </c>
      <c r="W120" s="382" t="str">
        <f>IF(E120="","",IF(AND(V120="Standard difficulty applied",O120&gt;P120),U120,IF(AND(V120="Low Difficulty - only applicable if all habitat created before losses",P120&gt;=O120),"Low",VLOOKUP(F120,'G-3 Multipliers'!$A$2:$E$134,4,FALSE))))</f>
        <v/>
      </c>
      <c r="X120" s="386" t="str">
        <f>IFERROR(IF(E120="","",VLOOKUP(W120, 'G-3 Multipliers'!$P$2:$Q$6,2,FALSE)),"")</f>
        <v/>
      </c>
      <c r="Y120" s="390" t="str">
        <f t="shared" si="10"/>
        <v/>
      </c>
      <c r="Z120" s="194"/>
      <c r="AA120" s="195"/>
      <c r="AB120" s="120"/>
      <c r="AE120" s="40" t="str">
        <f t="shared" si="7"/>
        <v/>
      </c>
    </row>
    <row r="121" spans="1:31">
      <c r="A121" s="35" t="str">
        <f>IFERROR(INDEX('G-8 Condition Look up'!$I$4:$I$135,MATCH(F121,'G-8 Condition Look up'!$A$4:$A$135,0)),"")</f>
        <v/>
      </c>
      <c r="C121" s="299" t="str">
        <f>IFERROR(INDEX('G-1 All Habitats'!$AG$3:$AG$17,MATCH(D121,'G-1 All Habitats'!$AF$3:$AF$17,0)),"")</f>
        <v/>
      </c>
      <c r="D121" s="54"/>
      <c r="E121" s="61"/>
      <c r="F121" s="296" t="str">
        <f>IFERROR(INDEX('G-1 All Habitats'!$B$3:$B$134,MATCH(E121,'G-1 All Habitats'!$A$3:$A$134,0)),"")</f>
        <v/>
      </c>
      <c r="G121" s="53"/>
      <c r="H121" s="362" t="str">
        <f>IF(F121="","",VLOOKUP(F121,'G-1 All Habitats'!$B$2:$M$134,10,FALSE))</f>
        <v/>
      </c>
      <c r="I121" s="363" t="str">
        <f>IFERROR(VLOOKUP(H121,'G-1 All Habitats'!$V$3:$W$7,2,FALSE),"")</f>
        <v/>
      </c>
      <c r="J121" s="54"/>
      <c r="K121" s="363" t="str">
        <f>IFERROR(INDEX('G-8 Condition Look up'!$A$3:$H$135,MATCH(F121,'G-8 Condition Look up'!$A$3:$A$135,0),MATCH(J121,'G-8 Condition Look up'!$A$3:$H$3,0)),"")</f>
        <v/>
      </c>
      <c r="L121" s="54"/>
      <c r="M121" s="370" t="str">
        <f>IF(L121="","",IF(VLOOKUP(L121,'G-3 Multipliers'!$L$3:$N$6,2,FALSE)=0,"Spatial Data Missing",VLOOKUP(L121,'G-3 Multipliers'!$L$3:$N$6,2,FALSE)))</f>
        <v/>
      </c>
      <c r="N121" s="368" t="str">
        <f>IF(L121="","",IF(VLOOKUP(L121,'G-3 Multipliers'!$L$3:$N$6,3,FALSE)=0,"Spatial Data Missing",VLOOKUP(L121,'G-3 Multipliers'!$L$3:$N$6,3,FALSE)))</f>
        <v/>
      </c>
      <c r="O121" s="362" t="str">
        <f t="shared" si="6"/>
        <v/>
      </c>
      <c r="P121" s="63"/>
      <c r="Q121" s="63"/>
      <c r="R121" s="370" t="str">
        <f t="shared" si="8"/>
        <v/>
      </c>
      <c r="S121" s="383" t="str">
        <f t="shared" si="9"/>
        <v/>
      </c>
      <c r="T121" s="384" t="str">
        <f>IFERROR(IF(S121="Check Data ⚠","Check Data ⚠",VLOOKUP(S121,'G-4 Temporal multipliers'!$A$4:$C$37,3,FALSE)),"")</f>
        <v/>
      </c>
      <c r="U121" s="385" t="str">
        <f>IF(F121="","",VLOOKUP(F121,'G-3 Multipliers'!$A$2:$E$134,2,FALSE))</f>
        <v/>
      </c>
      <c r="V121" s="382" t="str">
        <f t="shared" si="11"/>
        <v/>
      </c>
      <c r="W121" s="382" t="str">
        <f>IF(E121="","",IF(AND(V121="Standard difficulty applied",O121&gt;P121),U121,IF(AND(V121="Low Difficulty - only applicable if all habitat created before losses",P121&gt;=O121),"Low",VLOOKUP(F121,'G-3 Multipliers'!$A$2:$E$134,4,FALSE))))</f>
        <v/>
      </c>
      <c r="X121" s="386" t="str">
        <f>IFERROR(IF(E121="","",VLOOKUP(W121, 'G-3 Multipliers'!$P$2:$Q$6,2,FALSE)),"")</f>
        <v/>
      </c>
      <c r="Y121" s="390" t="str">
        <f t="shared" si="10"/>
        <v/>
      </c>
      <c r="Z121" s="194"/>
      <c r="AA121" s="195"/>
      <c r="AB121" s="120"/>
      <c r="AE121" s="40" t="str">
        <f t="shared" si="7"/>
        <v/>
      </c>
    </row>
    <row r="122" spans="1:31">
      <c r="A122" s="35" t="str">
        <f>IFERROR(INDEX('G-8 Condition Look up'!$I$4:$I$135,MATCH(F122,'G-8 Condition Look up'!$A$4:$A$135,0)),"")</f>
        <v/>
      </c>
      <c r="C122" s="299" t="str">
        <f>IFERROR(INDEX('G-1 All Habitats'!$AG$3:$AG$17,MATCH(D122,'G-1 All Habitats'!$AF$3:$AF$17,0)),"")</f>
        <v/>
      </c>
      <c r="D122" s="54"/>
      <c r="E122" s="61"/>
      <c r="F122" s="296" t="str">
        <f>IFERROR(INDEX('G-1 All Habitats'!$B$3:$B$134,MATCH(E122,'G-1 All Habitats'!$A$3:$A$134,0)),"")</f>
        <v/>
      </c>
      <c r="G122" s="53"/>
      <c r="H122" s="362" t="str">
        <f>IF(F122="","",VLOOKUP(F122,'G-1 All Habitats'!$B$2:$M$134,10,FALSE))</f>
        <v/>
      </c>
      <c r="I122" s="363" t="str">
        <f>IFERROR(VLOOKUP(H122,'G-1 All Habitats'!$V$3:$W$7,2,FALSE),"")</f>
        <v/>
      </c>
      <c r="J122" s="54"/>
      <c r="K122" s="363" t="str">
        <f>IFERROR(INDEX('G-8 Condition Look up'!$A$3:$H$135,MATCH(F122,'G-8 Condition Look up'!$A$3:$A$135,0),MATCH(J122,'G-8 Condition Look up'!$A$3:$H$3,0)),"")</f>
        <v/>
      </c>
      <c r="L122" s="54"/>
      <c r="M122" s="370" t="str">
        <f>IF(L122="","",IF(VLOOKUP(L122,'G-3 Multipliers'!$L$3:$N$6,2,FALSE)=0,"Spatial Data Missing",VLOOKUP(L122,'G-3 Multipliers'!$L$3:$N$6,2,FALSE)))</f>
        <v/>
      </c>
      <c r="N122" s="368" t="str">
        <f>IF(L122="","",IF(VLOOKUP(L122,'G-3 Multipliers'!$L$3:$N$6,3,FALSE)=0,"Spatial Data Missing",VLOOKUP(L122,'G-3 Multipliers'!$L$3:$N$6,3,FALSE)))</f>
        <v/>
      </c>
      <c r="O122" s="362" t="str">
        <f t="shared" si="6"/>
        <v/>
      </c>
      <c r="P122" s="63"/>
      <c r="Q122" s="63"/>
      <c r="R122" s="370" t="str">
        <f t="shared" si="8"/>
        <v/>
      </c>
      <c r="S122" s="383" t="str">
        <f t="shared" si="9"/>
        <v/>
      </c>
      <c r="T122" s="384" t="str">
        <f>IFERROR(IF(S122="Check Data ⚠","Check Data ⚠",VLOOKUP(S122,'G-4 Temporal multipliers'!$A$4:$C$37,3,FALSE)),"")</f>
        <v/>
      </c>
      <c r="U122" s="385" t="str">
        <f>IF(F122="","",VLOOKUP(F122,'G-3 Multipliers'!$A$2:$E$134,2,FALSE))</f>
        <v/>
      </c>
      <c r="V122" s="382" t="str">
        <f t="shared" si="11"/>
        <v/>
      </c>
      <c r="W122" s="382" t="str">
        <f>IF(E122="","",IF(AND(V122="Standard difficulty applied",O122&gt;P122),U122,IF(AND(V122="Low Difficulty - only applicable if all habitat created before losses",P122&gt;=O122),"Low",VLOOKUP(F122,'G-3 Multipliers'!$A$2:$E$134,4,FALSE))))</f>
        <v/>
      </c>
      <c r="X122" s="386" t="str">
        <f>IFERROR(IF(E122="","",VLOOKUP(W122, 'G-3 Multipliers'!$P$2:$Q$6,2,FALSE)),"")</f>
        <v/>
      </c>
      <c r="Y122" s="390" t="str">
        <f t="shared" si="10"/>
        <v/>
      </c>
      <c r="Z122" s="194"/>
      <c r="AA122" s="195"/>
      <c r="AB122" s="120"/>
      <c r="AE122" s="40" t="str">
        <f t="shared" si="7"/>
        <v/>
      </c>
    </row>
    <row r="123" spans="1:31">
      <c r="A123" s="35" t="str">
        <f>IFERROR(INDEX('G-8 Condition Look up'!$I$4:$I$135,MATCH(F123,'G-8 Condition Look up'!$A$4:$A$135,0)),"")</f>
        <v/>
      </c>
      <c r="C123" s="299" t="str">
        <f>IFERROR(INDEX('G-1 All Habitats'!$AG$3:$AG$17,MATCH(D123,'G-1 All Habitats'!$AF$3:$AF$17,0)),"")</f>
        <v/>
      </c>
      <c r="D123" s="54"/>
      <c r="E123" s="61"/>
      <c r="F123" s="296" t="str">
        <f>IFERROR(INDEX('G-1 All Habitats'!$B$3:$B$134,MATCH(E123,'G-1 All Habitats'!$A$3:$A$134,0)),"")</f>
        <v/>
      </c>
      <c r="G123" s="53"/>
      <c r="H123" s="362" t="str">
        <f>IF(F123="","",VLOOKUP(F123,'G-1 All Habitats'!$B$2:$M$134,10,FALSE))</f>
        <v/>
      </c>
      <c r="I123" s="363" t="str">
        <f>IFERROR(VLOOKUP(H123,'G-1 All Habitats'!$V$3:$W$7,2,FALSE),"")</f>
        <v/>
      </c>
      <c r="J123" s="54"/>
      <c r="K123" s="363" t="str">
        <f>IFERROR(INDEX('G-8 Condition Look up'!$A$3:$H$135,MATCH(F123,'G-8 Condition Look up'!$A$3:$A$135,0),MATCH(J123,'G-8 Condition Look up'!$A$3:$H$3,0)),"")</f>
        <v/>
      </c>
      <c r="L123" s="54"/>
      <c r="M123" s="370" t="str">
        <f>IF(L123="","",IF(VLOOKUP(L123,'G-3 Multipliers'!$L$3:$N$6,2,FALSE)=0,"Spatial Data Missing",VLOOKUP(L123,'G-3 Multipliers'!$L$3:$N$6,2,FALSE)))</f>
        <v/>
      </c>
      <c r="N123" s="368" t="str">
        <f>IF(L123="","",IF(VLOOKUP(L123,'G-3 Multipliers'!$L$3:$N$6,3,FALSE)=0,"Spatial Data Missing",VLOOKUP(L123,'G-3 Multipliers'!$L$3:$N$6,3,FALSE)))</f>
        <v/>
      </c>
      <c r="O123" s="362" t="str">
        <f t="shared" si="6"/>
        <v/>
      </c>
      <c r="P123" s="63"/>
      <c r="Q123" s="63"/>
      <c r="R123" s="370" t="str">
        <f t="shared" si="8"/>
        <v/>
      </c>
      <c r="S123" s="383" t="str">
        <f t="shared" si="9"/>
        <v/>
      </c>
      <c r="T123" s="384" t="str">
        <f>IFERROR(IF(S123="Check Data ⚠","Check Data ⚠",VLOOKUP(S123,'G-4 Temporal multipliers'!$A$4:$C$37,3,FALSE)),"")</f>
        <v/>
      </c>
      <c r="U123" s="385" t="str">
        <f>IF(F123="","",VLOOKUP(F123,'G-3 Multipliers'!$A$2:$E$134,2,FALSE))</f>
        <v/>
      </c>
      <c r="V123" s="382" t="str">
        <f t="shared" si="11"/>
        <v/>
      </c>
      <c r="W123" s="382" t="str">
        <f>IF(E123="","",IF(AND(V123="Standard difficulty applied",O123&gt;P123),U123,IF(AND(V123="Low Difficulty - only applicable if all habitat created before losses",P123&gt;=O123),"Low",VLOOKUP(F123,'G-3 Multipliers'!$A$2:$E$134,4,FALSE))))</f>
        <v/>
      </c>
      <c r="X123" s="386" t="str">
        <f>IFERROR(IF(E123="","",VLOOKUP(W123, 'G-3 Multipliers'!$P$2:$Q$6,2,FALSE)),"")</f>
        <v/>
      </c>
      <c r="Y123" s="390" t="str">
        <f t="shared" si="10"/>
        <v/>
      </c>
      <c r="Z123" s="194"/>
      <c r="AA123" s="195"/>
      <c r="AB123" s="120"/>
      <c r="AE123" s="40" t="str">
        <f t="shared" si="7"/>
        <v/>
      </c>
    </row>
    <row r="124" spans="1:31">
      <c r="A124" s="35" t="str">
        <f>IFERROR(INDEX('G-8 Condition Look up'!$I$4:$I$135,MATCH(F124,'G-8 Condition Look up'!$A$4:$A$135,0)),"")</f>
        <v/>
      </c>
      <c r="C124" s="299" t="str">
        <f>IFERROR(INDEX('G-1 All Habitats'!$AG$3:$AG$17,MATCH(D124,'G-1 All Habitats'!$AF$3:$AF$17,0)),"")</f>
        <v/>
      </c>
      <c r="D124" s="54"/>
      <c r="E124" s="61"/>
      <c r="F124" s="296" t="str">
        <f>IFERROR(INDEX('G-1 All Habitats'!$B$3:$B$134,MATCH(E124,'G-1 All Habitats'!$A$3:$A$134,0)),"")</f>
        <v/>
      </c>
      <c r="G124" s="53"/>
      <c r="H124" s="362" t="str">
        <f>IF(F124="","",VLOOKUP(F124,'G-1 All Habitats'!$B$2:$M$134,10,FALSE))</f>
        <v/>
      </c>
      <c r="I124" s="363" t="str">
        <f>IFERROR(VLOOKUP(H124,'G-1 All Habitats'!$V$3:$W$7,2,FALSE),"")</f>
        <v/>
      </c>
      <c r="J124" s="54"/>
      <c r="K124" s="363" t="str">
        <f>IFERROR(INDEX('G-8 Condition Look up'!$A$3:$H$135,MATCH(F124,'G-8 Condition Look up'!$A$3:$A$135,0),MATCH(J124,'G-8 Condition Look up'!$A$3:$H$3,0)),"")</f>
        <v/>
      </c>
      <c r="L124" s="54"/>
      <c r="M124" s="370" t="str">
        <f>IF(L124="","",IF(VLOOKUP(L124,'G-3 Multipliers'!$L$3:$N$6,2,FALSE)=0,"Spatial Data Missing",VLOOKUP(L124,'G-3 Multipliers'!$L$3:$N$6,2,FALSE)))</f>
        <v/>
      </c>
      <c r="N124" s="368" t="str">
        <f>IF(L124="","",IF(VLOOKUP(L124,'G-3 Multipliers'!$L$3:$N$6,3,FALSE)=0,"Spatial Data Missing",VLOOKUP(L124,'G-3 Multipliers'!$L$3:$N$6,3,FALSE)))</f>
        <v/>
      </c>
      <c r="O124" s="362" t="str">
        <f t="shared" si="6"/>
        <v/>
      </c>
      <c r="P124" s="63"/>
      <c r="Q124" s="63"/>
      <c r="R124" s="370" t="str">
        <f t="shared" si="8"/>
        <v/>
      </c>
      <c r="S124" s="383" t="str">
        <f t="shared" si="9"/>
        <v/>
      </c>
      <c r="T124" s="384" t="str">
        <f>IFERROR(IF(S124="Check Data ⚠","Check Data ⚠",VLOOKUP(S124,'G-4 Temporal multipliers'!$A$4:$C$37,3,FALSE)),"")</f>
        <v/>
      </c>
      <c r="U124" s="385" t="str">
        <f>IF(F124="","",VLOOKUP(F124,'G-3 Multipliers'!$A$2:$E$134,2,FALSE))</f>
        <v/>
      </c>
      <c r="V124" s="382" t="str">
        <f t="shared" si="11"/>
        <v/>
      </c>
      <c r="W124" s="382" t="str">
        <f>IF(E124="","",IF(AND(V124="Standard difficulty applied",O124&gt;P124),U124,IF(AND(V124="Low Difficulty - only applicable if all habitat created before losses",P124&gt;=O124),"Low",VLOOKUP(F124,'G-3 Multipliers'!$A$2:$E$134,4,FALSE))))</f>
        <v/>
      </c>
      <c r="X124" s="386" t="str">
        <f>IFERROR(IF(E124="","",VLOOKUP(W124, 'G-3 Multipliers'!$P$2:$Q$6,2,FALSE)),"")</f>
        <v/>
      </c>
      <c r="Y124" s="390" t="str">
        <f t="shared" si="10"/>
        <v/>
      </c>
      <c r="Z124" s="194"/>
      <c r="AA124" s="195"/>
      <c r="AB124" s="120"/>
      <c r="AE124" s="40" t="str">
        <f t="shared" si="7"/>
        <v/>
      </c>
    </row>
    <row r="125" spans="1:31">
      <c r="A125" s="35" t="str">
        <f>IFERROR(INDEX('G-8 Condition Look up'!$I$4:$I$135,MATCH(F125,'G-8 Condition Look up'!$A$4:$A$135,0)),"")</f>
        <v/>
      </c>
      <c r="C125" s="299" t="str">
        <f>IFERROR(INDEX('G-1 All Habitats'!$AG$3:$AG$17,MATCH(D125,'G-1 All Habitats'!$AF$3:$AF$17,0)),"")</f>
        <v/>
      </c>
      <c r="D125" s="54"/>
      <c r="E125" s="61"/>
      <c r="F125" s="296" t="str">
        <f>IFERROR(INDEX('G-1 All Habitats'!$B$3:$B$134,MATCH(E125,'G-1 All Habitats'!$A$3:$A$134,0)),"")</f>
        <v/>
      </c>
      <c r="G125" s="53"/>
      <c r="H125" s="362" t="str">
        <f>IF(F125="","",VLOOKUP(F125,'G-1 All Habitats'!$B$2:$M$134,10,FALSE))</f>
        <v/>
      </c>
      <c r="I125" s="363" t="str">
        <f>IFERROR(VLOOKUP(H125,'G-1 All Habitats'!$V$3:$W$7,2,FALSE),"")</f>
        <v/>
      </c>
      <c r="J125" s="54"/>
      <c r="K125" s="363" t="str">
        <f>IFERROR(INDEX('G-8 Condition Look up'!$A$3:$H$135,MATCH(F125,'G-8 Condition Look up'!$A$3:$A$135,0),MATCH(J125,'G-8 Condition Look up'!$A$3:$H$3,0)),"")</f>
        <v/>
      </c>
      <c r="L125" s="54"/>
      <c r="M125" s="370" t="str">
        <f>IF(L125="","",IF(VLOOKUP(L125,'G-3 Multipliers'!$L$3:$N$6,2,FALSE)=0,"Spatial Data Missing",VLOOKUP(L125,'G-3 Multipliers'!$L$3:$N$6,2,FALSE)))</f>
        <v/>
      </c>
      <c r="N125" s="368" t="str">
        <f>IF(L125="","",IF(VLOOKUP(L125,'G-3 Multipliers'!$L$3:$N$6,3,FALSE)=0,"Spatial Data Missing",VLOOKUP(L125,'G-3 Multipliers'!$L$3:$N$6,3,FALSE)))</f>
        <v/>
      </c>
      <c r="O125" s="362" t="str">
        <f t="shared" si="6"/>
        <v/>
      </c>
      <c r="P125" s="63"/>
      <c r="Q125" s="63"/>
      <c r="R125" s="370" t="str">
        <f t="shared" si="8"/>
        <v/>
      </c>
      <c r="S125" s="383" t="str">
        <f t="shared" si="9"/>
        <v/>
      </c>
      <c r="T125" s="384" t="str">
        <f>IFERROR(IF(S125="Check Data ⚠","Check Data ⚠",VLOOKUP(S125,'G-4 Temporal multipliers'!$A$4:$C$37,3,FALSE)),"")</f>
        <v/>
      </c>
      <c r="U125" s="385" t="str">
        <f>IF(F125="","",VLOOKUP(F125,'G-3 Multipliers'!$A$2:$E$134,2,FALSE))</f>
        <v/>
      </c>
      <c r="V125" s="382" t="str">
        <f t="shared" si="11"/>
        <v/>
      </c>
      <c r="W125" s="382" t="str">
        <f>IF(E125="","",IF(AND(V125="Standard difficulty applied",O125&gt;P125),U125,IF(AND(V125="Low Difficulty - only applicable if all habitat created before losses",P125&gt;=O125),"Low",VLOOKUP(F125,'G-3 Multipliers'!$A$2:$E$134,4,FALSE))))</f>
        <v/>
      </c>
      <c r="X125" s="386" t="str">
        <f>IFERROR(IF(E125="","",VLOOKUP(W125, 'G-3 Multipliers'!$P$2:$Q$6,2,FALSE)),"")</f>
        <v/>
      </c>
      <c r="Y125" s="390" t="str">
        <f t="shared" si="10"/>
        <v/>
      </c>
      <c r="Z125" s="194"/>
      <c r="AA125" s="195"/>
      <c r="AB125" s="120"/>
      <c r="AE125" s="40" t="str">
        <f t="shared" si="7"/>
        <v/>
      </c>
    </row>
    <row r="126" spans="1:31">
      <c r="A126" s="35" t="str">
        <f>IFERROR(INDEX('G-8 Condition Look up'!$I$4:$I$135,MATCH(F126,'G-8 Condition Look up'!$A$4:$A$135,0)),"")</f>
        <v/>
      </c>
      <c r="C126" s="299" t="str">
        <f>IFERROR(INDEX('G-1 All Habitats'!$AG$3:$AG$17,MATCH(D126,'G-1 All Habitats'!$AF$3:$AF$17,0)),"")</f>
        <v/>
      </c>
      <c r="D126" s="54"/>
      <c r="E126" s="61"/>
      <c r="F126" s="296" t="str">
        <f>IFERROR(INDEX('G-1 All Habitats'!$B$3:$B$134,MATCH(E126,'G-1 All Habitats'!$A$3:$A$134,0)),"")</f>
        <v/>
      </c>
      <c r="G126" s="53"/>
      <c r="H126" s="362" t="str">
        <f>IF(F126="","",VLOOKUP(F126,'G-1 All Habitats'!$B$2:$M$134,10,FALSE))</f>
        <v/>
      </c>
      <c r="I126" s="363" t="str">
        <f>IFERROR(VLOOKUP(H126,'G-1 All Habitats'!$V$3:$W$7,2,FALSE),"")</f>
        <v/>
      </c>
      <c r="J126" s="54"/>
      <c r="K126" s="363" t="str">
        <f>IFERROR(INDEX('G-8 Condition Look up'!$A$3:$H$135,MATCH(F126,'G-8 Condition Look up'!$A$3:$A$135,0),MATCH(J126,'G-8 Condition Look up'!$A$3:$H$3,0)),"")</f>
        <v/>
      </c>
      <c r="L126" s="54"/>
      <c r="M126" s="370" t="str">
        <f>IF(L126="","",IF(VLOOKUP(L126,'G-3 Multipliers'!$L$3:$N$6,2,FALSE)=0,"Spatial Data Missing",VLOOKUP(L126,'G-3 Multipliers'!$L$3:$N$6,2,FALSE)))</f>
        <v/>
      </c>
      <c r="N126" s="368" t="str">
        <f>IF(L126="","",IF(VLOOKUP(L126,'G-3 Multipliers'!$L$3:$N$6,3,FALSE)=0,"Spatial Data Missing",VLOOKUP(L126,'G-3 Multipliers'!$L$3:$N$6,3,FALSE)))</f>
        <v/>
      </c>
      <c r="O126" s="362" t="str">
        <f t="shared" si="6"/>
        <v/>
      </c>
      <c r="P126" s="63"/>
      <c r="Q126" s="63"/>
      <c r="R126" s="370" t="str">
        <f t="shared" si="8"/>
        <v/>
      </c>
      <c r="S126" s="383" t="str">
        <f t="shared" si="9"/>
        <v/>
      </c>
      <c r="T126" s="384" t="str">
        <f>IFERROR(IF(S126="Check Data ⚠","Check Data ⚠",VLOOKUP(S126,'G-4 Temporal multipliers'!$A$4:$C$37,3,FALSE)),"")</f>
        <v/>
      </c>
      <c r="U126" s="385" t="str">
        <f>IF(F126="","",VLOOKUP(F126,'G-3 Multipliers'!$A$2:$E$134,2,FALSE))</f>
        <v/>
      </c>
      <c r="V126" s="382" t="str">
        <f t="shared" si="11"/>
        <v/>
      </c>
      <c r="W126" s="382" t="str">
        <f>IF(E126="","",IF(AND(V126="Standard difficulty applied",O126&gt;P126),U126,IF(AND(V126="Low Difficulty - only applicable if all habitat created before losses",P126&gt;=O126),"Low",VLOOKUP(F126,'G-3 Multipliers'!$A$2:$E$134,4,FALSE))))</f>
        <v/>
      </c>
      <c r="X126" s="386" t="str">
        <f>IFERROR(IF(E126="","",VLOOKUP(W126, 'G-3 Multipliers'!$P$2:$Q$6,2,FALSE)),"")</f>
        <v/>
      </c>
      <c r="Y126" s="390" t="str">
        <f t="shared" si="10"/>
        <v/>
      </c>
      <c r="Z126" s="194"/>
      <c r="AA126" s="195"/>
      <c r="AB126" s="120"/>
      <c r="AE126" s="40" t="str">
        <f t="shared" si="7"/>
        <v/>
      </c>
    </row>
    <row r="127" spans="1:31">
      <c r="A127" s="35" t="str">
        <f>IFERROR(INDEX('G-8 Condition Look up'!$I$4:$I$135,MATCH(F127,'G-8 Condition Look up'!$A$4:$A$135,0)),"")</f>
        <v/>
      </c>
      <c r="C127" s="299" t="str">
        <f>IFERROR(INDEX('G-1 All Habitats'!$AG$3:$AG$17,MATCH(D127,'G-1 All Habitats'!$AF$3:$AF$17,0)),"")</f>
        <v/>
      </c>
      <c r="D127" s="54"/>
      <c r="E127" s="61"/>
      <c r="F127" s="296" t="str">
        <f>IFERROR(INDEX('G-1 All Habitats'!$B$3:$B$134,MATCH(E127,'G-1 All Habitats'!$A$3:$A$134,0)),"")</f>
        <v/>
      </c>
      <c r="G127" s="53"/>
      <c r="H127" s="362" t="str">
        <f>IF(F127="","",VLOOKUP(F127,'G-1 All Habitats'!$B$2:$M$134,10,FALSE))</f>
        <v/>
      </c>
      <c r="I127" s="363" t="str">
        <f>IFERROR(VLOOKUP(H127,'G-1 All Habitats'!$V$3:$W$7,2,FALSE),"")</f>
        <v/>
      </c>
      <c r="J127" s="54"/>
      <c r="K127" s="363" t="str">
        <f>IFERROR(INDEX('G-8 Condition Look up'!$A$3:$H$135,MATCH(F127,'G-8 Condition Look up'!$A$3:$A$135,0),MATCH(J127,'G-8 Condition Look up'!$A$3:$H$3,0)),"")</f>
        <v/>
      </c>
      <c r="L127" s="54"/>
      <c r="M127" s="370" t="str">
        <f>IF(L127="","",IF(VLOOKUP(L127,'G-3 Multipliers'!$L$3:$N$6,2,FALSE)=0,"Spatial Data Missing",VLOOKUP(L127,'G-3 Multipliers'!$L$3:$N$6,2,FALSE)))</f>
        <v/>
      </c>
      <c r="N127" s="368" t="str">
        <f>IF(L127="","",IF(VLOOKUP(L127,'G-3 Multipliers'!$L$3:$N$6,3,FALSE)=0,"Spatial Data Missing",VLOOKUP(L127,'G-3 Multipliers'!$L$3:$N$6,3,FALSE)))</f>
        <v/>
      </c>
      <c r="O127" s="362" t="str">
        <f t="shared" si="6"/>
        <v/>
      </c>
      <c r="P127" s="63"/>
      <c r="Q127" s="63"/>
      <c r="R127" s="370" t="str">
        <f t="shared" si="8"/>
        <v/>
      </c>
      <c r="S127" s="383" t="str">
        <f t="shared" si="9"/>
        <v/>
      </c>
      <c r="T127" s="384" t="str">
        <f>IFERROR(IF(S127="Check Data ⚠","Check Data ⚠",VLOOKUP(S127,'G-4 Temporal multipliers'!$A$4:$C$37,3,FALSE)),"")</f>
        <v/>
      </c>
      <c r="U127" s="385" t="str">
        <f>IF(F127="","",VLOOKUP(F127,'G-3 Multipliers'!$A$2:$E$134,2,FALSE))</f>
        <v/>
      </c>
      <c r="V127" s="382" t="str">
        <f t="shared" si="11"/>
        <v/>
      </c>
      <c r="W127" s="382" t="str">
        <f>IF(E127="","",IF(AND(V127="Standard difficulty applied",O127&gt;P127),U127,IF(AND(V127="Low Difficulty - only applicable if all habitat created before losses",P127&gt;=O127),"Low",VLOOKUP(F127,'G-3 Multipliers'!$A$2:$E$134,4,FALSE))))</f>
        <v/>
      </c>
      <c r="X127" s="386" t="str">
        <f>IFERROR(IF(E127="","",VLOOKUP(W127, 'G-3 Multipliers'!$P$2:$Q$6,2,FALSE)),"")</f>
        <v/>
      </c>
      <c r="Y127" s="390" t="str">
        <f t="shared" si="10"/>
        <v/>
      </c>
      <c r="Z127" s="194"/>
      <c r="AA127" s="195"/>
      <c r="AB127" s="120"/>
      <c r="AE127" s="40" t="str">
        <f t="shared" si="7"/>
        <v/>
      </c>
    </row>
    <row r="128" spans="1:31">
      <c r="A128" s="35" t="str">
        <f>IFERROR(INDEX('G-8 Condition Look up'!$I$4:$I$135,MATCH(F128,'G-8 Condition Look up'!$A$4:$A$135,0)),"")</f>
        <v/>
      </c>
      <c r="C128" s="299" t="str">
        <f>IFERROR(INDEX('G-1 All Habitats'!$AG$3:$AG$17,MATCH(D128,'G-1 All Habitats'!$AF$3:$AF$17,0)),"")</f>
        <v/>
      </c>
      <c r="D128" s="54"/>
      <c r="E128" s="61"/>
      <c r="F128" s="296" t="str">
        <f>IFERROR(INDEX('G-1 All Habitats'!$B$3:$B$134,MATCH(E128,'G-1 All Habitats'!$A$3:$A$134,0)),"")</f>
        <v/>
      </c>
      <c r="G128" s="53"/>
      <c r="H128" s="362" t="str">
        <f>IF(F128="","",VLOOKUP(F128,'G-1 All Habitats'!$B$2:$M$134,10,FALSE))</f>
        <v/>
      </c>
      <c r="I128" s="363" t="str">
        <f>IFERROR(VLOOKUP(H128,'G-1 All Habitats'!$V$3:$W$7,2,FALSE),"")</f>
        <v/>
      </c>
      <c r="J128" s="54"/>
      <c r="K128" s="363" t="str">
        <f>IFERROR(INDEX('G-8 Condition Look up'!$A$3:$H$135,MATCH(F128,'G-8 Condition Look up'!$A$3:$A$135,0),MATCH(J128,'G-8 Condition Look up'!$A$3:$H$3,0)),"")</f>
        <v/>
      </c>
      <c r="L128" s="54"/>
      <c r="M128" s="370" t="str">
        <f>IF(L128="","",IF(VLOOKUP(L128,'G-3 Multipliers'!$L$3:$N$6,2,FALSE)=0,"Spatial Data Missing",VLOOKUP(L128,'G-3 Multipliers'!$L$3:$N$6,2,FALSE)))</f>
        <v/>
      </c>
      <c r="N128" s="368" t="str">
        <f>IF(L128="","",IF(VLOOKUP(L128,'G-3 Multipliers'!$L$3:$N$6,3,FALSE)=0,"Spatial Data Missing",VLOOKUP(L128,'G-3 Multipliers'!$L$3:$N$6,3,FALSE)))</f>
        <v/>
      </c>
      <c r="O128" s="362" t="str">
        <f t="shared" si="6"/>
        <v/>
      </c>
      <c r="P128" s="63"/>
      <c r="Q128" s="63"/>
      <c r="R128" s="370" t="str">
        <f t="shared" si="8"/>
        <v/>
      </c>
      <c r="S128" s="383" t="str">
        <f t="shared" si="9"/>
        <v/>
      </c>
      <c r="T128" s="384" t="str">
        <f>IFERROR(IF(S128="Check Data ⚠","Check Data ⚠",VLOOKUP(S128,'G-4 Temporal multipliers'!$A$4:$C$37,3,FALSE)),"")</f>
        <v/>
      </c>
      <c r="U128" s="385" t="str">
        <f>IF(F128="","",VLOOKUP(F128,'G-3 Multipliers'!$A$2:$E$134,2,FALSE))</f>
        <v/>
      </c>
      <c r="V128" s="382" t="str">
        <f t="shared" si="11"/>
        <v/>
      </c>
      <c r="W128" s="382" t="str">
        <f>IF(E128="","",IF(AND(V128="Standard difficulty applied",O128&gt;P128),U128,IF(AND(V128="Low Difficulty - only applicable if all habitat created before losses",P128&gt;=O128),"Low",VLOOKUP(F128,'G-3 Multipliers'!$A$2:$E$134,4,FALSE))))</f>
        <v/>
      </c>
      <c r="X128" s="386" t="str">
        <f>IFERROR(IF(E128="","",VLOOKUP(W128, 'G-3 Multipliers'!$P$2:$Q$6,2,FALSE)),"")</f>
        <v/>
      </c>
      <c r="Y128" s="390" t="str">
        <f t="shared" si="10"/>
        <v/>
      </c>
      <c r="Z128" s="194"/>
      <c r="AA128" s="195"/>
      <c r="AB128" s="120"/>
      <c r="AE128" s="40" t="str">
        <f t="shared" si="7"/>
        <v/>
      </c>
    </row>
    <row r="129" spans="1:31">
      <c r="A129" s="35" t="str">
        <f>IFERROR(INDEX('G-8 Condition Look up'!$I$4:$I$135,MATCH(F129,'G-8 Condition Look up'!$A$4:$A$135,0)),"")</f>
        <v/>
      </c>
      <c r="C129" s="299" t="str">
        <f>IFERROR(INDEX('G-1 All Habitats'!$AG$3:$AG$17,MATCH(D129,'G-1 All Habitats'!$AF$3:$AF$17,0)),"")</f>
        <v/>
      </c>
      <c r="D129" s="54"/>
      <c r="E129" s="61"/>
      <c r="F129" s="296" t="str">
        <f>IFERROR(INDEX('G-1 All Habitats'!$B$3:$B$134,MATCH(E129,'G-1 All Habitats'!$A$3:$A$134,0)),"")</f>
        <v/>
      </c>
      <c r="G129" s="53"/>
      <c r="H129" s="362" t="str">
        <f>IF(F129="","",VLOOKUP(F129,'G-1 All Habitats'!$B$2:$M$134,10,FALSE))</f>
        <v/>
      </c>
      <c r="I129" s="363" t="str">
        <f>IFERROR(VLOOKUP(H129,'G-1 All Habitats'!$V$3:$W$7,2,FALSE),"")</f>
        <v/>
      </c>
      <c r="J129" s="54"/>
      <c r="K129" s="363" t="str">
        <f>IFERROR(INDEX('G-8 Condition Look up'!$A$3:$H$135,MATCH(F129,'G-8 Condition Look up'!$A$3:$A$135,0),MATCH(J129,'G-8 Condition Look up'!$A$3:$H$3,0)),"")</f>
        <v/>
      </c>
      <c r="L129" s="54"/>
      <c r="M129" s="370" t="str">
        <f>IF(L129="","",IF(VLOOKUP(L129,'G-3 Multipliers'!$L$3:$N$6,2,FALSE)=0,"Spatial Data Missing",VLOOKUP(L129,'G-3 Multipliers'!$L$3:$N$6,2,FALSE)))</f>
        <v/>
      </c>
      <c r="N129" s="368" t="str">
        <f>IF(L129="","",IF(VLOOKUP(L129,'G-3 Multipliers'!$L$3:$N$6,3,FALSE)=0,"Spatial Data Missing",VLOOKUP(L129,'G-3 Multipliers'!$L$3:$N$6,3,FALSE)))</f>
        <v/>
      </c>
      <c r="O129" s="362" t="str">
        <f t="shared" si="6"/>
        <v/>
      </c>
      <c r="P129" s="63"/>
      <c r="Q129" s="63"/>
      <c r="R129" s="370" t="str">
        <f t="shared" si="8"/>
        <v/>
      </c>
      <c r="S129" s="383" t="str">
        <f t="shared" si="9"/>
        <v/>
      </c>
      <c r="T129" s="384" t="str">
        <f>IFERROR(IF(S129="Check Data ⚠","Check Data ⚠",VLOOKUP(S129,'G-4 Temporal multipliers'!$A$4:$C$37,3,FALSE)),"")</f>
        <v/>
      </c>
      <c r="U129" s="385" t="str">
        <f>IF(F129="","",VLOOKUP(F129,'G-3 Multipliers'!$A$2:$E$134,2,FALSE))</f>
        <v/>
      </c>
      <c r="V129" s="382" t="str">
        <f t="shared" si="11"/>
        <v/>
      </c>
      <c r="W129" s="382" t="str">
        <f>IF(E129="","",IF(AND(V129="Standard difficulty applied",O129&gt;P129),U129,IF(AND(V129="Low Difficulty - only applicable if all habitat created before losses",P129&gt;=O129),"Low",VLOOKUP(F129,'G-3 Multipliers'!$A$2:$E$134,4,FALSE))))</f>
        <v/>
      </c>
      <c r="X129" s="386" t="str">
        <f>IFERROR(IF(E129="","",VLOOKUP(W129, 'G-3 Multipliers'!$P$2:$Q$6,2,FALSE)),"")</f>
        <v/>
      </c>
      <c r="Y129" s="390" t="str">
        <f t="shared" si="10"/>
        <v/>
      </c>
      <c r="Z129" s="194"/>
      <c r="AA129" s="195"/>
      <c r="AB129" s="120"/>
      <c r="AE129" s="40" t="str">
        <f t="shared" si="7"/>
        <v/>
      </c>
    </row>
    <row r="130" spans="1:31">
      <c r="A130" s="35" t="str">
        <f>IFERROR(INDEX('G-8 Condition Look up'!$I$4:$I$135,MATCH(F130,'G-8 Condition Look up'!$A$4:$A$135,0)),"")</f>
        <v/>
      </c>
      <c r="C130" s="299" t="str">
        <f>IFERROR(INDEX('G-1 All Habitats'!$AG$3:$AG$17,MATCH(D130,'G-1 All Habitats'!$AF$3:$AF$17,0)),"")</f>
        <v/>
      </c>
      <c r="D130" s="54"/>
      <c r="E130" s="61"/>
      <c r="F130" s="296" t="str">
        <f>IFERROR(INDEX('G-1 All Habitats'!$B$3:$B$134,MATCH(E130,'G-1 All Habitats'!$A$3:$A$134,0)),"")</f>
        <v/>
      </c>
      <c r="G130" s="53"/>
      <c r="H130" s="362" t="str">
        <f>IF(F130="","",VLOOKUP(F130,'G-1 All Habitats'!$B$2:$M$134,10,FALSE))</f>
        <v/>
      </c>
      <c r="I130" s="363" t="str">
        <f>IFERROR(VLOOKUP(H130,'G-1 All Habitats'!$V$3:$W$7,2,FALSE),"")</f>
        <v/>
      </c>
      <c r="J130" s="54"/>
      <c r="K130" s="363" t="str">
        <f>IFERROR(INDEX('G-8 Condition Look up'!$A$3:$H$135,MATCH(F130,'G-8 Condition Look up'!$A$3:$A$135,0),MATCH(J130,'G-8 Condition Look up'!$A$3:$H$3,0)),"")</f>
        <v/>
      </c>
      <c r="L130" s="54"/>
      <c r="M130" s="370" t="str">
        <f>IF(L130="","",IF(VLOOKUP(L130,'G-3 Multipliers'!$L$3:$N$6,2,FALSE)=0,"Spatial Data Missing",VLOOKUP(L130,'G-3 Multipliers'!$L$3:$N$6,2,FALSE)))</f>
        <v/>
      </c>
      <c r="N130" s="368" t="str">
        <f>IF(L130="","",IF(VLOOKUP(L130,'G-3 Multipliers'!$L$3:$N$6,3,FALSE)=0,"Spatial Data Missing",VLOOKUP(L130,'G-3 Multipliers'!$L$3:$N$6,3,FALSE)))</f>
        <v/>
      </c>
      <c r="O130" s="362" t="str">
        <f t="shared" si="6"/>
        <v/>
      </c>
      <c r="P130" s="63"/>
      <c r="Q130" s="63"/>
      <c r="R130" s="370" t="str">
        <f t="shared" si="8"/>
        <v/>
      </c>
      <c r="S130" s="383" t="str">
        <f t="shared" si="9"/>
        <v/>
      </c>
      <c r="T130" s="384" t="str">
        <f>IFERROR(IF(S130="Check Data ⚠","Check Data ⚠",VLOOKUP(S130,'G-4 Temporal multipliers'!$A$4:$C$37,3,FALSE)),"")</f>
        <v/>
      </c>
      <c r="U130" s="385" t="str">
        <f>IF(F130="","",VLOOKUP(F130,'G-3 Multipliers'!$A$2:$E$134,2,FALSE))</f>
        <v/>
      </c>
      <c r="V130" s="382" t="str">
        <f t="shared" si="11"/>
        <v/>
      </c>
      <c r="W130" s="382" t="str">
        <f>IF(E130="","",IF(AND(V130="Standard difficulty applied",O130&gt;P130),U130,IF(AND(V130="Low Difficulty - only applicable if all habitat created before losses",P130&gt;=O130),"Low",VLOOKUP(F130,'G-3 Multipliers'!$A$2:$E$134,4,FALSE))))</f>
        <v/>
      </c>
      <c r="X130" s="386" t="str">
        <f>IFERROR(IF(E130="","",VLOOKUP(W130, 'G-3 Multipliers'!$P$2:$Q$6,2,FALSE)),"")</f>
        <v/>
      </c>
      <c r="Y130" s="390" t="str">
        <f t="shared" si="10"/>
        <v/>
      </c>
      <c r="Z130" s="194"/>
      <c r="AA130" s="195"/>
      <c r="AB130" s="120"/>
      <c r="AE130" s="40" t="str">
        <f t="shared" si="7"/>
        <v/>
      </c>
    </row>
    <row r="131" spans="1:31">
      <c r="A131" s="35" t="str">
        <f>IFERROR(INDEX('G-8 Condition Look up'!$I$4:$I$135,MATCH(F131,'G-8 Condition Look up'!$A$4:$A$135,0)),"")</f>
        <v/>
      </c>
      <c r="C131" s="299" t="str">
        <f>IFERROR(INDEX('G-1 All Habitats'!$AG$3:$AG$17,MATCH(D131,'G-1 All Habitats'!$AF$3:$AF$17,0)),"")</f>
        <v/>
      </c>
      <c r="D131" s="54"/>
      <c r="E131" s="61"/>
      <c r="F131" s="296" t="str">
        <f>IFERROR(INDEX('G-1 All Habitats'!$B$3:$B$134,MATCH(E131,'G-1 All Habitats'!$A$3:$A$134,0)),"")</f>
        <v/>
      </c>
      <c r="G131" s="53"/>
      <c r="H131" s="362" t="str">
        <f>IF(F131="","",VLOOKUP(F131,'G-1 All Habitats'!$B$2:$M$134,10,FALSE))</f>
        <v/>
      </c>
      <c r="I131" s="363" t="str">
        <f>IFERROR(VLOOKUP(H131,'G-1 All Habitats'!$V$3:$W$7,2,FALSE),"")</f>
        <v/>
      </c>
      <c r="J131" s="54"/>
      <c r="K131" s="363" t="str">
        <f>IFERROR(INDEX('G-8 Condition Look up'!$A$3:$H$135,MATCH(F131,'G-8 Condition Look up'!$A$3:$A$135,0),MATCH(J131,'G-8 Condition Look up'!$A$3:$H$3,0)),"")</f>
        <v/>
      </c>
      <c r="L131" s="54"/>
      <c r="M131" s="370" t="str">
        <f>IF(L131="","",IF(VLOOKUP(L131,'G-3 Multipliers'!$L$3:$N$6,2,FALSE)=0,"Spatial Data Missing",VLOOKUP(L131,'G-3 Multipliers'!$L$3:$N$6,2,FALSE)))</f>
        <v/>
      </c>
      <c r="N131" s="368" t="str">
        <f>IF(L131="","",IF(VLOOKUP(L131,'G-3 Multipliers'!$L$3:$N$6,3,FALSE)=0,"Spatial Data Missing",VLOOKUP(L131,'G-3 Multipliers'!$L$3:$N$6,3,FALSE)))</f>
        <v/>
      </c>
      <c r="O131" s="362" t="str">
        <f t="shared" si="6"/>
        <v/>
      </c>
      <c r="P131" s="63"/>
      <c r="Q131" s="63"/>
      <c r="R131" s="370" t="str">
        <f t="shared" si="8"/>
        <v/>
      </c>
      <c r="S131" s="383" t="str">
        <f t="shared" si="9"/>
        <v/>
      </c>
      <c r="T131" s="384" t="str">
        <f>IFERROR(IF(S131="Check Data ⚠","Check Data ⚠",VLOOKUP(S131,'G-4 Temporal multipliers'!$A$4:$C$37,3,FALSE)),"")</f>
        <v/>
      </c>
      <c r="U131" s="385" t="str">
        <f>IF(F131="","",VLOOKUP(F131,'G-3 Multipliers'!$A$2:$E$134,2,FALSE))</f>
        <v/>
      </c>
      <c r="V131" s="382" t="str">
        <f t="shared" si="11"/>
        <v/>
      </c>
      <c r="W131" s="382" t="str">
        <f>IF(E131="","",IF(AND(V131="Standard difficulty applied",O131&gt;P131),U131,IF(AND(V131="Low Difficulty - only applicable if all habitat created before losses",P131&gt;=O131),"Low",VLOOKUP(F131,'G-3 Multipliers'!$A$2:$E$134,4,FALSE))))</f>
        <v/>
      </c>
      <c r="X131" s="386" t="str">
        <f>IFERROR(IF(E131="","",VLOOKUP(W131, 'G-3 Multipliers'!$P$2:$Q$6,2,FALSE)),"")</f>
        <v/>
      </c>
      <c r="Y131" s="390" t="str">
        <f t="shared" si="10"/>
        <v/>
      </c>
      <c r="Z131" s="194"/>
      <c r="AA131" s="195"/>
      <c r="AB131" s="120"/>
      <c r="AE131" s="40" t="str">
        <f t="shared" si="7"/>
        <v/>
      </c>
    </row>
    <row r="132" spans="1:31">
      <c r="A132" s="35" t="str">
        <f>IFERROR(INDEX('G-8 Condition Look up'!$I$4:$I$135,MATCH(F132,'G-8 Condition Look up'!$A$4:$A$135,0)),"")</f>
        <v/>
      </c>
      <c r="C132" s="299" t="str">
        <f>IFERROR(INDEX('G-1 All Habitats'!$AG$3:$AG$17,MATCH(D132,'G-1 All Habitats'!$AF$3:$AF$17,0)),"")</f>
        <v/>
      </c>
      <c r="D132" s="54"/>
      <c r="E132" s="61"/>
      <c r="F132" s="296" t="str">
        <f>IFERROR(INDEX('G-1 All Habitats'!$B$3:$B$134,MATCH(E132,'G-1 All Habitats'!$A$3:$A$134,0)),"")</f>
        <v/>
      </c>
      <c r="G132" s="53"/>
      <c r="H132" s="362" t="str">
        <f>IF(F132="","",VLOOKUP(F132,'G-1 All Habitats'!$B$2:$M$134,10,FALSE))</f>
        <v/>
      </c>
      <c r="I132" s="363" t="str">
        <f>IFERROR(VLOOKUP(H132,'G-1 All Habitats'!$V$3:$W$7,2,FALSE),"")</f>
        <v/>
      </c>
      <c r="J132" s="54"/>
      <c r="K132" s="363" t="str">
        <f>IFERROR(INDEX('G-8 Condition Look up'!$A$3:$H$135,MATCH(F132,'G-8 Condition Look up'!$A$3:$A$135,0),MATCH(J132,'G-8 Condition Look up'!$A$3:$H$3,0)),"")</f>
        <v/>
      </c>
      <c r="L132" s="54"/>
      <c r="M132" s="370" t="str">
        <f>IF(L132="","",IF(VLOOKUP(L132,'G-3 Multipliers'!$L$3:$N$6,2,FALSE)=0,"Spatial Data Missing",VLOOKUP(L132,'G-3 Multipliers'!$L$3:$N$6,2,FALSE)))</f>
        <v/>
      </c>
      <c r="N132" s="368" t="str">
        <f>IF(L132="","",IF(VLOOKUP(L132,'G-3 Multipliers'!$L$3:$N$6,3,FALSE)=0,"Spatial Data Missing",VLOOKUP(L132,'G-3 Multipliers'!$L$3:$N$6,3,FALSE)))</f>
        <v/>
      </c>
      <c r="O132" s="362" t="str">
        <f t="shared" si="6"/>
        <v/>
      </c>
      <c r="P132" s="63"/>
      <c r="Q132" s="63"/>
      <c r="R132" s="370" t="str">
        <f t="shared" si="8"/>
        <v/>
      </c>
      <c r="S132" s="383" t="str">
        <f t="shared" si="9"/>
        <v/>
      </c>
      <c r="T132" s="384" t="str">
        <f>IFERROR(IF(S132="Check Data ⚠","Check Data ⚠",VLOOKUP(S132,'G-4 Temporal multipliers'!$A$4:$C$37,3,FALSE)),"")</f>
        <v/>
      </c>
      <c r="U132" s="385" t="str">
        <f>IF(F132="","",VLOOKUP(F132,'G-3 Multipliers'!$A$2:$E$134,2,FALSE))</f>
        <v/>
      </c>
      <c r="V132" s="382" t="str">
        <f t="shared" si="11"/>
        <v/>
      </c>
      <c r="W132" s="382" t="str">
        <f>IF(E132="","",IF(AND(V132="Standard difficulty applied",O132&gt;P132),U132,IF(AND(V132="Low Difficulty - only applicable if all habitat created before losses",P132&gt;=O132),"Low",VLOOKUP(F132,'G-3 Multipliers'!$A$2:$E$134,4,FALSE))))</f>
        <v/>
      </c>
      <c r="X132" s="386" t="str">
        <f>IFERROR(IF(E132="","",VLOOKUP(W132, 'G-3 Multipliers'!$P$2:$Q$6,2,FALSE)),"")</f>
        <v/>
      </c>
      <c r="Y132" s="390" t="str">
        <f t="shared" si="10"/>
        <v/>
      </c>
      <c r="Z132" s="194"/>
      <c r="AA132" s="195"/>
      <c r="AB132" s="120"/>
      <c r="AE132" s="40" t="str">
        <f t="shared" si="7"/>
        <v/>
      </c>
    </row>
    <row r="133" spans="1:31">
      <c r="A133" s="35" t="str">
        <f>IFERROR(INDEX('G-8 Condition Look up'!$I$4:$I$135,MATCH(F133,'G-8 Condition Look up'!$A$4:$A$135,0)),"")</f>
        <v/>
      </c>
      <c r="C133" s="299" t="str">
        <f>IFERROR(INDEX('G-1 All Habitats'!$AG$3:$AG$17,MATCH(D133,'G-1 All Habitats'!$AF$3:$AF$17,0)),"")</f>
        <v/>
      </c>
      <c r="D133" s="54"/>
      <c r="E133" s="61"/>
      <c r="F133" s="296" t="str">
        <f>IFERROR(INDEX('G-1 All Habitats'!$B$3:$B$134,MATCH(E133,'G-1 All Habitats'!$A$3:$A$134,0)),"")</f>
        <v/>
      </c>
      <c r="G133" s="53"/>
      <c r="H133" s="362" t="str">
        <f>IF(F133="","",VLOOKUP(F133,'G-1 All Habitats'!$B$2:$M$134,10,FALSE))</f>
        <v/>
      </c>
      <c r="I133" s="363" t="str">
        <f>IFERROR(VLOOKUP(H133,'G-1 All Habitats'!$V$3:$W$7,2,FALSE),"")</f>
        <v/>
      </c>
      <c r="J133" s="54"/>
      <c r="K133" s="363" t="str">
        <f>IFERROR(INDEX('G-8 Condition Look up'!$A$3:$H$135,MATCH(F133,'G-8 Condition Look up'!$A$3:$A$135,0),MATCH(J133,'G-8 Condition Look up'!$A$3:$H$3,0)),"")</f>
        <v/>
      </c>
      <c r="L133" s="54"/>
      <c r="M133" s="370" t="str">
        <f>IF(L133="","",IF(VLOOKUP(L133,'G-3 Multipliers'!$L$3:$N$6,2,FALSE)=0,"Spatial Data Missing",VLOOKUP(L133,'G-3 Multipliers'!$L$3:$N$6,2,FALSE)))</f>
        <v/>
      </c>
      <c r="N133" s="368" t="str">
        <f>IF(L133="","",IF(VLOOKUP(L133,'G-3 Multipliers'!$L$3:$N$6,3,FALSE)=0,"Spatial Data Missing",VLOOKUP(L133,'G-3 Multipliers'!$L$3:$N$6,3,FALSE)))</f>
        <v/>
      </c>
      <c r="O133" s="362" t="str">
        <f t="shared" si="6"/>
        <v/>
      </c>
      <c r="P133" s="63"/>
      <c r="Q133" s="63"/>
      <c r="R133" s="370" t="str">
        <f t="shared" si="8"/>
        <v/>
      </c>
      <c r="S133" s="383" t="str">
        <f t="shared" si="9"/>
        <v/>
      </c>
      <c r="T133" s="384" t="str">
        <f>IFERROR(IF(S133="Check Data ⚠","Check Data ⚠",VLOOKUP(S133,'G-4 Temporal multipliers'!$A$4:$C$37,3,FALSE)),"")</f>
        <v/>
      </c>
      <c r="U133" s="385" t="str">
        <f>IF(F133="","",VLOOKUP(F133,'G-3 Multipliers'!$A$2:$E$134,2,FALSE))</f>
        <v/>
      </c>
      <c r="V133" s="382" t="str">
        <f t="shared" si="11"/>
        <v/>
      </c>
      <c r="W133" s="382" t="str">
        <f>IF(E133="","",IF(AND(V133="Standard difficulty applied",O133&gt;P133),U133,IF(AND(V133="Low Difficulty - only applicable if all habitat created before losses",P133&gt;=O133),"Low",VLOOKUP(F133,'G-3 Multipliers'!$A$2:$E$134,4,FALSE))))</f>
        <v/>
      </c>
      <c r="X133" s="386" t="str">
        <f>IFERROR(IF(E133="","",VLOOKUP(W133, 'G-3 Multipliers'!$P$2:$Q$6,2,FALSE)),"")</f>
        <v/>
      </c>
      <c r="Y133" s="390" t="str">
        <f t="shared" si="10"/>
        <v/>
      </c>
      <c r="Z133" s="194"/>
      <c r="AA133" s="195"/>
      <c r="AB133" s="120"/>
      <c r="AE133" s="40" t="str">
        <f t="shared" si="7"/>
        <v/>
      </c>
    </row>
    <row r="134" spans="1:31">
      <c r="A134" s="35" t="str">
        <f>IFERROR(INDEX('G-8 Condition Look up'!$I$4:$I$135,MATCH(F134,'G-8 Condition Look up'!$A$4:$A$135,0)),"")</f>
        <v/>
      </c>
      <c r="C134" s="299" t="str">
        <f>IFERROR(INDEX('G-1 All Habitats'!$AG$3:$AG$17,MATCH(D134,'G-1 All Habitats'!$AF$3:$AF$17,0)),"")</f>
        <v/>
      </c>
      <c r="D134" s="54"/>
      <c r="E134" s="61"/>
      <c r="F134" s="296" t="str">
        <f>IFERROR(INDEX('G-1 All Habitats'!$B$3:$B$134,MATCH(E134,'G-1 All Habitats'!$A$3:$A$134,0)),"")</f>
        <v/>
      </c>
      <c r="G134" s="53"/>
      <c r="H134" s="362" t="str">
        <f>IF(F134="","",VLOOKUP(F134,'G-1 All Habitats'!$B$2:$M$134,10,FALSE))</f>
        <v/>
      </c>
      <c r="I134" s="363" t="str">
        <f>IFERROR(VLOOKUP(H134,'G-1 All Habitats'!$V$3:$W$7,2,FALSE),"")</f>
        <v/>
      </c>
      <c r="J134" s="54"/>
      <c r="K134" s="363" t="str">
        <f>IFERROR(INDEX('G-8 Condition Look up'!$A$3:$H$135,MATCH(F134,'G-8 Condition Look up'!$A$3:$A$135,0),MATCH(J134,'G-8 Condition Look up'!$A$3:$H$3,0)),"")</f>
        <v/>
      </c>
      <c r="L134" s="54"/>
      <c r="M134" s="370" t="str">
        <f>IF(L134="","",IF(VLOOKUP(L134,'G-3 Multipliers'!$L$3:$N$6,2,FALSE)=0,"Spatial Data Missing",VLOOKUP(L134,'G-3 Multipliers'!$L$3:$N$6,2,FALSE)))</f>
        <v/>
      </c>
      <c r="N134" s="368" t="str">
        <f>IF(L134="","",IF(VLOOKUP(L134,'G-3 Multipliers'!$L$3:$N$6,3,FALSE)=0,"Spatial Data Missing",VLOOKUP(L134,'G-3 Multipliers'!$L$3:$N$6,3,FALSE)))</f>
        <v/>
      </c>
      <c r="O134" s="362" t="str">
        <f t="shared" si="6"/>
        <v/>
      </c>
      <c r="P134" s="63"/>
      <c r="Q134" s="63"/>
      <c r="R134" s="370" t="str">
        <f t="shared" si="8"/>
        <v/>
      </c>
      <c r="S134" s="383" t="str">
        <f t="shared" si="9"/>
        <v/>
      </c>
      <c r="T134" s="384" t="str">
        <f>IFERROR(IF(S134="Check Data ⚠","Check Data ⚠",VLOOKUP(S134,'G-4 Temporal multipliers'!$A$4:$C$37,3,FALSE)),"")</f>
        <v/>
      </c>
      <c r="U134" s="385" t="str">
        <f>IF(F134="","",VLOOKUP(F134,'G-3 Multipliers'!$A$2:$E$134,2,FALSE))</f>
        <v/>
      </c>
      <c r="V134" s="382" t="str">
        <f t="shared" si="11"/>
        <v/>
      </c>
      <c r="W134" s="382" t="str">
        <f>IF(E134="","",IF(AND(V134="Standard difficulty applied",O134&gt;P134),U134,IF(AND(V134="Low Difficulty - only applicable if all habitat created before losses",P134&gt;=O134),"Low",VLOOKUP(F134,'G-3 Multipliers'!$A$2:$E$134,4,FALSE))))</f>
        <v/>
      </c>
      <c r="X134" s="386" t="str">
        <f>IFERROR(IF(E134="","",VLOOKUP(W134, 'G-3 Multipliers'!$P$2:$Q$6,2,FALSE)),"")</f>
        <v/>
      </c>
      <c r="Y134" s="390" t="str">
        <f t="shared" si="10"/>
        <v/>
      </c>
      <c r="Z134" s="194"/>
      <c r="AA134" s="195"/>
      <c r="AB134" s="120"/>
      <c r="AE134" s="40" t="str">
        <f t="shared" si="7"/>
        <v/>
      </c>
    </row>
    <row r="135" spans="1:31">
      <c r="A135" s="35" t="str">
        <f>IFERROR(INDEX('G-8 Condition Look up'!$I$4:$I$135,MATCH(F135,'G-8 Condition Look up'!$A$4:$A$135,0)),"")</f>
        <v/>
      </c>
      <c r="C135" s="299" t="str">
        <f>IFERROR(INDEX('G-1 All Habitats'!$AG$3:$AG$17,MATCH(D135,'G-1 All Habitats'!$AF$3:$AF$17,0)),"")</f>
        <v/>
      </c>
      <c r="D135" s="54"/>
      <c r="E135" s="61"/>
      <c r="F135" s="296" t="str">
        <f>IFERROR(INDEX('G-1 All Habitats'!$B$3:$B$134,MATCH(E135,'G-1 All Habitats'!$A$3:$A$134,0)),"")</f>
        <v/>
      </c>
      <c r="G135" s="53"/>
      <c r="H135" s="362" t="str">
        <f>IF(F135="","",VLOOKUP(F135,'G-1 All Habitats'!$B$2:$M$134,10,FALSE))</f>
        <v/>
      </c>
      <c r="I135" s="363" t="str">
        <f>IFERROR(VLOOKUP(H135,'G-1 All Habitats'!$V$3:$W$7,2,FALSE),"")</f>
        <v/>
      </c>
      <c r="J135" s="54"/>
      <c r="K135" s="363" t="str">
        <f>IFERROR(INDEX('G-8 Condition Look up'!$A$3:$H$135,MATCH(F135,'G-8 Condition Look up'!$A$3:$A$135,0),MATCH(J135,'G-8 Condition Look up'!$A$3:$H$3,0)),"")</f>
        <v/>
      </c>
      <c r="L135" s="54"/>
      <c r="M135" s="370" t="str">
        <f>IF(L135="","",IF(VLOOKUP(L135,'G-3 Multipliers'!$L$3:$N$6,2,FALSE)=0,"Spatial Data Missing",VLOOKUP(L135,'G-3 Multipliers'!$L$3:$N$6,2,FALSE)))</f>
        <v/>
      </c>
      <c r="N135" s="368" t="str">
        <f>IF(L135="","",IF(VLOOKUP(L135,'G-3 Multipliers'!$L$3:$N$6,3,FALSE)=0,"Spatial Data Missing",VLOOKUP(L135,'G-3 Multipliers'!$L$3:$N$6,3,FALSE)))</f>
        <v/>
      </c>
      <c r="O135" s="362" t="str">
        <f t="shared" si="6"/>
        <v/>
      </c>
      <c r="P135" s="63"/>
      <c r="Q135" s="63"/>
      <c r="R135" s="370" t="str">
        <f t="shared" si="8"/>
        <v/>
      </c>
      <c r="S135" s="383" t="str">
        <f t="shared" si="9"/>
        <v/>
      </c>
      <c r="T135" s="384" t="str">
        <f>IFERROR(IF(S135="Check Data ⚠","Check Data ⚠",VLOOKUP(S135,'G-4 Temporal multipliers'!$A$4:$C$37,3,FALSE)),"")</f>
        <v/>
      </c>
      <c r="U135" s="385" t="str">
        <f>IF(F135="","",VLOOKUP(F135,'G-3 Multipliers'!$A$2:$E$134,2,FALSE))</f>
        <v/>
      </c>
      <c r="V135" s="382" t="str">
        <f t="shared" si="11"/>
        <v/>
      </c>
      <c r="W135" s="382" t="str">
        <f>IF(E135="","",IF(AND(V135="Standard difficulty applied",O135&gt;P135),U135,IF(AND(V135="Low Difficulty - only applicable if all habitat created before losses",P135&gt;=O135),"Low",VLOOKUP(F135,'G-3 Multipliers'!$A$2:$E$134,4,FALSE))))</f>
        <v/>
      </c>
      <c r="X135" s="386" t="str">
        <f>IFERROR(IF(E135="","",VLOOKUP(W135, 'G-3 Multipliers'!$P$2:$Q$6,2,FALSE)),"")</f>
        <v/>
      </c>
      <c r="Y135" s="390" t="str">
        <f t="shared" si="10"/>
        <v/>
      </c>
      <c r="Z135" s="194"/>
      <c r="AA135" s="195"/>
      <c r="AB135" s="120"/>
      <c r="AE135" s="40" t="str">
        <f t="shared" si="7"/>
        <v/>
      </c>
    </row>
    <row r="136" spans="1:31">
      <c r="A136" s="35" t="str">
        <f>IFERROR(INDEX('G-8 Condition Look up'!$I$4:$I$135,MATCH(F136,'G-8 Condition Look up'!$A$4:$A$135,0)),"")</f>
        <v/>
      </c>
      <c r="C136" s="299" t="str">
        <f>IFERROR(INDEX('G-1 All Habitats'!$AG$3:$AG$17,MATCH(D136,'G-1 All Habitats'!$AF$3:$AF$17,0)),"")</f>
        <v/>
      </c>
      <c r="D136" s="54"/>
      <c r="E136" s="61"/>
      <c r="F136" s="296" t="str">
        <f>IFERROR(INDEX('G-1 All Habitats'!$B$3:$B$134,MATCH(E136,'G-1 All Habitats'!$A$3:$A$134,0)),"")</f>
        <v/>
      </c>
      <c r="G136" s="53"/>
      <c r="H136" s="362" t="str">
        <f>IF(F136="","",VLOOKUP(F136,'G-1 All Habitats'!$B$2:$M$134,10,FALSE))</f>
        <v/>
      </c>
      <c r="I136" s="363" t="str">
        <f>IFERROR(VLOOKUP(H136,'G-1 All Habitats'!$V$3:$W$7,2,FALSE),"")</f>
        <v/>
      </c>
      <c r="J136" s="54"/>
      <c r="K136" s="363" t="str">
        <f>IFERROR(INDEX('G-8 Condition Look up'!$A$3:$H$135,MATCH(F136,'G-8 Condition Look up'!$A$3:$A$135,0),MATCH(J136,'G-8 Condition Look up'!$A$3:$H$3,0)),"")</f>
        <v/>
      </c>
      <c r="L136" s="54"/>
      <c r="M136" s="370" t="str">
        <f>IF(L136="","",IF(VLOOKUP(L136,'G-3 Multipliers'!$L$3:$N$6,2,FALSE)=0,"Spatial Data Missing",VLOOKUP(L136,'G-3 Multipliers'!$L$3:$N$6,2,FALSE)))</f>
        <v/>
      </c>
      <c r="N136" s="368" t="str">
        <f>IF(L136="","",IF(VLOOKUP(L136,'G-3 Multipliers'!$L$3:$N$6,3,FALSE)=0,"Spatial Data Missing",VLOOKUP(L136,'G-3 Multipliers'!$L$3:$N$6,3,FALSE)))</f>
        <v/>
      </c>
      <c r="O136" s="362" t="str">
        <f t="shared" si="6"/>
        <v/>
      </c>
      <c r="P136" s="63"/>
      <c r="Q136" s="63"/>
      <c r="R136" s="370" t="str">
        <f t="shared" si="8"/>
        <v/>
      </c>
      <c r="S136" s="383" t="str">
        <f t="shared" si="9"/>
        <v/>
      </c>
      <c r="T136" s="384" t="str">
        <f>IFERROR(IF(S136="Check Data ⚠","Check Data ⚠",VLOOKUP(S136,'G-4 Temporal multipliers'!$A$4:$C$37,3,FALSE)),"")</f>
        <v/>
      </c>
      <c r="U136" s="385" t="str">
        <f>IF(F136="","",VLOOKUP(F136,'G-3 Multipliers'!$A$2:$E$134,2,FALSE))</f>
        <v/>
      </c>
      <c r="V136" s="382" t="str">
        <f t="shared" si="11"/>
        <v/>
      </c>
      <c r="W136" s="382" t="str">
        <f>IF(E136="","",IF(AND(V136="Standard difficulty applied",O136&gt;P136),U136,IF(AND(V136="Low Difficulty - only applicable if all habitat created before losses",P136&gt;=O136),"Low",VLOOKUP(F136,'G-3 Multipliers'!$A$2:$E$134,4,FALSE))))</f>
        <v/>
      </c>
      <c r="X136" s="386" t="str">
        <f>IFERROR(IF(E136="","",VLOOKUP(W136, 'G-3 Multipliers'!$P$2:$Q$6,2,FALSE)),"")</f>
        <v/>
      </c>
      <c r="Y136" s="390" t="str">
        <f t="shared" si="10"/>
        <v/>
      </c>
      <c r="Z136" s="194"/>
      <c r="AA136" s="195"/>
      <c r="AB136" s="120"/>
      <c r="AE136" s="40" t="str">
        <f t="shared" si="7"/>
        <v/>
      </c>
    </row>
    <row r="137" spans="1:31">
      <c r="A137" s="35" t="str">
        <f>IFERROR(INDEX('G-8 Condition Look up'!$I$4:$I$135,MATCH(F137,'G-8 Condition Look up'!$A$4:$A$135,0)),"")</f>
        <v/>
      </c>
      <c r="C137" s="299" t="str">
        <f>IFERROR(INDEX('G-1 All Habitats'!$AG$3:$AG$17,MATCH(D137,'G-1 All Habitats'!$AF$3:$AF$17,0)),"")</f>
        <v/>
      </c>
      <c r="D137" s="54"/>
      <c r="E137" s="61"/>
      <c r="F137" s="296" t="str">
        <f>IFERROR(INDEX('G-1 All Habitats'!$B$3:$B$134,MATCH(E137,'G-1 All Habitats'!$A$3:$A$134,0)),"")</f>
        <v/>
      </c>
      <c r="G137" s="53"/>
      <c r="H137" s="362" t="str">
        <f>IF(F137="","",VLOOKUP(F137,'G-1 All Habitats'!$B$2:$M$134,10,FALSE))</f>
        <v/>
      </c>
      <c r="I137" s="363" t="str">
        <f>IFERROR(VLOOKUP(H137,'G-1 All Habitats'!$V$3:$W$7,2,FALSE),"")</f>
        <v/>
      </c>
      <c r="J137" s="54"/>
      <c r="K137" s="363" t="str">
        <f>IFERROR(INDEX('G-8 Condition Look up'!$A$3:$H$135,MATCH(F137,'G-8 Condition Look up'!$A$3:$A$135,0),MATCH(J137,'G-8 Condition Look up'!$A$3:$H$3,0)),"")</f>
        <v/>
      </c>
      <c r="L137" s="54"/>
      <c r="M137" s="370" t="str">
        <f>IF(L137="","",IF(VLOOKUP(L137,'G-3 Multipliers'!$L$3:$N$6,2,FALSE)=0,"Spatial Data Missing",VLOOKUP(L137,'G-3 Multipliers'!$L$3:$N$6,2,FALSE)))</f>
        <v/>
      </c>
      <c r="N137" s="368" t="str">
        <f>IF(L137="","",IF(VLOOKUP(L137,'G-3 Multipliers'!$L$3:$N$6,3,FALSE)=0,"Spatial Data Missing",VLOOKUP(L137,'G-3 Multipliers'!$L$3:$N$6,3,FALSE)))</f>
        <v/>
      </c>
      <c r="O137" s="362" t="str">
        <f t="shared" si="6"/>
        <v/>
      </c>
      <c r="P137" s="63"/>
      <c r="Q137" s="63"/>
      <c r="R137" s="370" t="str">
        <f t="shared" si="8"/>
        <v/>
      </c>
      <c r="S137" s="383" t="str">
        <f t="shared" si="9"/>
        <v/>
      </c>
      <c r="T137" s="384" t="str">
        <f>IFERROR(IF(S137="Check Data ⚠","Check Data ⚠",VLOOKUP(S137,'G-4 Temporal multipliers'!$A$4:$C$37,3,FALSE)),"")</f>
        <v/>
      </c>
      <c r="U137" s="385" t="str">
        <f>IF(F137="","",VLOOKUP(F137,'G-3 Multipliers'!$A$2:$E$134,2,FALSE))</f>
        <v/>
      </c>
      <c r="V137" s="382" t="str">
        <f t="shared" si="11"/>
        <v/>
      </c>
      <c r="W137" s="382" t="str">
        <f>IF(E137="","",IF(AND(V137="Standard difficulty applied",O137&gt;P137),U137,IF(AND(V137="Low Difficulty - only applicable if all habitat created before losses",P137&gt;=O137),"Low",VLOOKUP(F137,'G-3 Multipliers'!$A$2:$E$134,4,FALSE))))</f>
        <v/>
      </c>
      <c r="X137" s="386" t="str">
        <f>IFERROR(IF(E137="","",VLOOKUP(W137, 'G-3 Multipliers'!$P$2:$Q$6,2,FALSE)),"")</f>
        <v/>
      </c>
      <c r="Y137" s="390" t="str">
        <f t="shared" si="10"/>
        <v/>
      </c>
      <c r="Z137" s="194"/>
      <c r="AA137" s="195"/>
      <c r="AB137" s="120"/>
      <c r="AE137" s="40" t="str">
        <f t="shared" si="7"/>
        <v/>
      </c>
    </row>
    <row r="138" spans="1:31">
      <c r="A138" s="35" t="str">
        <f>IFERROR(INDEX('G-8 Condition Look up'!$I$4:$I$135,MATCH(F138,'G-8 Condition Look up'!$A$4:$A$135,0)),"")</f>
        <v/>
      </c>
      <c r="C138" s="299" t="str">
        <f>IFERROR(INDEX('G-1 All Habitats'!$AG$3:$AG$17,MATCH(D138,'G-1 All Habitats'!$AF$3:$AF$17,0)),"")</f>
        <v/>
      </c>
      <c r="D138" s="54"/>
      <c r="E138" s="61"/>
      <c r="F138" s="296" t="str">
        <f>IFERROR(INDEX('G-1 All Habitats'!$B$3:$B$134,MATCH(E138,'G-1 All Habitats'!$A$3:$A$134,0)),"")</f>
        <v/>
      </c>
      <c r="G138" s="53"/>
      <c r="H138" s="362" t="str">
        <f>IF(F138="","",VLOOKUP(F138,'G-1 All Habitats'!$B$2:$M$134,10,FALSE))</f>
        <v/>
      </c>
      <c r="I138" s="363" t="str">
        <f>IFERROR(VLOOKUP(H138,'G-1 All Habitats'!$V$3:$W$7,2,FALSE),"")</f>
        <v/>
      </c>
      <c r="J138" s="54"/>
      <c r="K138" s="363" t="str">
        <f>IFERROR(INDEX('G-8 Condition Look up'!$A$3:$H$135,MATCH(F138,'G-8 Condition Look up'!$A$3:$A$135,0),MATCH(J138,'G-8 Condition Look up'!$A$3:$H$3,0)),"")</f>
        <v/>
      </c>
      <c r="L138" s="54"/>
      <c r="M138" s="370" t="str">
        <f>IF(L138="","",IF(VLOOKUP(L138,'G-3 Multipliers'!$L$3:$N$6,2,FALSE)=0,"Spatial Data Missing",VLOOKUP(L138,'G-3 Multipliers'!$L$3:$N$6,2,FALSE)))</f>
        <v/>
      </c>
      <c r="N138" s="368" t="str">
        <f>IF(L138="","",IF(VLOOKUP(L138,'G-3 Multipliers'!$L$3:$N$6,3,FALSE)=0,"Spatial Data Missing",VLOOKUP(L138,'G-3 Multipliers'!$L$3:$N$6,3,FALSE)))</f>
        <v/>
      </c>
      <c r="O138" s="362" t="str">
        <f t="shared" si="6"/>
        <v/>
      </c>
      <c r="P138" s="63"/>
      <c r="Q138" s="63"/>
      <c r="R138" s="370" t="str">
        <f t="shared" si="8"/>
        <v/>
      </c>
      <c r="S138" s="383" t="str">
        <f t="shared" si="9"/>
        <v/>
      </c>
      <c r="T138" s="384" t="str">
        <f>IFERROR(IF(S138="Check Data ⚠","Check Data ⚠",VLOOKUP(S138,'G-4 Temporal multipliers'!$A$4:$C$37,3,FALSE)),"")</f>
        <v/>
      </c>
      <c r="U138" s="385" t="str">
        <f>IF(F138="","",VLOOKUP(F138,'G-3 Multipliers'!$A$2:$E$134,2,FALSE))</f>
        <v/>
      </c>
      <c r="V138" s="382" t="str">
        <f t="shared" si="11"/>
        <v/>
      </c>
      <c r="W138" s="382" t="str">
        <f>IF(E138="","",IF(AND(V138="Standard difficulty applied",O138&gt;P138),U138,IF(AND(V138="Low Difficulty - only applicable if all habitat created before losses",P138&gt;=O138),"Low",VLOOKUP(F138,'G-3 Multipliers'!$A$2:$E$134,4,FALSE))))</f>
        <v/>
      </c>
      <c r="X138" s="386" t="str">
        <f>IFERROR(IF(E138="","",VLOOKUP(W138, 'G-3 Multipliers'!$P$2:$Q$6,2,FALSE)),"")</f>
        <v/>
      </c>
      <c r="Y138" s="390" t="str">
        <f t="shared" si="10"/>
        <v/>
      </c>
      <c r="Z138" s="194"/>
      <c r="AA138" s="195"/>
      <c r="AB138" s="120"/>
      <c r="AE138" s="40" t="str">
        <f t="shared" si="7"/>
        <v/>
      </c>
    </row>
    <row r="139" spans="1:31">
      <c r="A139" s="35" t="str">
        <f>IFERROR(INDEX('G-8 Condition Look up'!$I$4:$I$135,MATCH(F139,'G-8 Condition Look up'!$A$4:$A$135,0)),"")</f>
        <v/>
      </c>
      <c r="C139" s="299" t="str">
        <f>IFERROR(INDEX('G-1 All Habitats'!$AG$3:$AG$17,MATCH(D139,'G-1 All Habitats'!$AF$3:$AF$17,0)),"")</f>
        <v/>
      </c>
      <c r="D139" s="54"/>
      <c r="E139" s="61"/>
      <c r="F139" s="296" t="str">
        <f>IFERROR(INDEX('G-1 All Habitats'!$B$3:$B$134,MATCH(E139,'G-1 All Habitats'!$A$3:$A$134,0)),"")</f>
        <v/>
      </c>
      <c r="G139" s="53"/>
      <c r="H139" s="362" t="str">
        <f>IF(F139="","",VLOOKUP(F139,'G-1 All Habitats'!$B$2:$M$134,10,FALSE))</f>
        <v/>
      </c>
      <c r="I139" s="363" t="str">
        <f>IFERROR(VLOOKUP(H139,'G-1 All Habitats'!$V$3:$W$7,2,FALSE),"")</f>
        <v/>
      </c>
      <c r="J139" s="54"/>
      <c r="K139" s="363" t="str">
        <f>IFERROR(INDEX('G-8 Condition Look up'!$A$3:$H$135,MATCH(F139,'G-8 Condition Look up'!$A$3:$A$135,0),MATCH(J139,'G-8 Condition Look up'!$A$3:$H$3,0)),"")</f>
        <v/>
      </c>
      <c r="L139" s="54"/>
      <c r="M139" s="370" t="str">
        <f>IF(L139="","",IF(VLOOKUP(L139,'G-3 Multipliers'!$L$3:$N$6,2,FALSE)=0,"Spatial Data Missing",VLOOKUP(L139,'G-3 Multipliers'!$L$3:$N$6,2,FALSE)))</f>
        <v/>
      </c>
      <c r="N139" s="368" t="str">
        <f>IF(L139="","",IF(VLOOKUP(L139,'G-3 Multipliers'!$L$3:$N$6,3,FALSE)=0,"Spatial Data Missing",VLOOKUP(L139,'G-3 Multipliers'!$L$3:$N$6,3,FALSE)))</f>
        <v/>
      </c>
      <c r="O139" s="362" t="str">
        <f t="shared" ref="O139:O202" si="12">IFERROR(INDEX(TemporalData,MATCH(F139,TemporalHabitats,0),MATCH(J139,TemporalConditions,0)),"")</f>
        <v/>
      </c>
      <c r="P139" s="63"/>
      <c r="Q139" s="63"/>
      <c r="R139" s="370" t="str">
        <f t="shared" si="8"/>
        <v/>
      </c>
      <c r="S139" s="383" t="str">
        <f t="shared" si="9"/>
        <v/>
      </c>
      <c r="T139" s="384" t="str">
        <f>IFERROR(IF(S139="Check Data ⚠","Check Data ⚠",VLOOKUP(S139,'G-4 Temporal multipliers'!$A$4:$C$37,3,FALSE)),"")</f>
        <v/>
      </c>
      <c r="U139" s="385" t="str">
        <f>IF(F139="","",VLOOKUP(F139,'G-3 Multipliers'!$A$2:$E$134,2,FALSE))</f>
        <v/>
      </c>
      <c r="V139" s="382" t="str">
        <f t="shared" si="11"/>
        <v/>
      </c>
      <c r="W139" s="382" t="str">
        <f>IF(E139="","",IF(AND(V139="Standard difficulty applied",O139&gt;P139),U139,IF(AND(V139="Low Difficulty - only applicable if all habitat created before losses",P139&gt;=O139),"Low",VLOOKUP(F139,'G-3 Multipliers'!$A$2:$E$134,4,FALSE))))</f>
        <v/>
      </c>
      <c r="X139" s="386" t="str">
        <f>IFERROR(IF(E139="","",VLOOKUP(W139, 'G-3 Multipliers'!$P$2:$Q$6,2,FALSE)),"")</f>
        <v/>
      </c>
      <c r="Y139" s="390" t="str">
        <f t="shared" si="10"/>
        <v/>
      </c>
      <c r="Z139" s="194"/>
      <c r="AA139" s="195"/>
      <c r="AB139" s="120"/>
      <c r="AE139" s="40" t="str">
        <f t="shared" ref="AE139:AE202" si="13">IFERROR(INDEX(TemporalData,MATCH(F139,TemporalHabitats,0),MATCH($AE$10,TemporalConditions,0)),"")</f>
        <v/>
      </c>
    </row>
    <row r="140" spans="1:31">
      <c r="A140" s="35" t="str">
        <f>IFERROR(INDEX('G-8 Condition Look up'!$I$4:$I$135,MATCH(F140,'G-8 Condition Look up'!$A$4:$A$135,0)),"")</f>
        <v/>
      </c>
      <c r="C140" s="299" t="str">
        <f>IFERROR(INDEX('G-1 All Habitats'!$AG$3:$AG$17,MATCH(D140,'G-1 All Habitats'!$AF$3:$AF$17,0)),"")</f>
        <v/>
      </c>
      <c r="D140" s="54"/>
      <c r="E140" s="61"/>
      <c r="F140" s="296" t="str">
        <f>IFERROR(INDEX('G-1 All Habitats'!$B$3:$B$134,MATCH(E140,'G-1 All Habitats'!$A$3:$A$134,0)),"")</f>
        <v/>
      </c>
      <c r="G140" s="53"/>
      <c r="H140" s="362" t="str">
        <f>IF(F140="","",VLOOKUP(F140,'G-1 All Habitats'!$B$2:$M$134,10,FALSE))</f>
        <v/>
      </c>
      <c r="I140" s="363" t="str">
        <f>IFERROR(VLOOKUP(H140,'G-1 All Habitats'!$V$3:$W$7,2,FALSE),"")</f>
        <v/>
      </c>
      <c r="J140" s="54"/>
      <c r="K140" s="363" t="str">
        <f>IFERROR(INDEX('G-8 Condition Look up'!$A$3:$H$135,MATCH(F140,'G-8 Condition Look up'!$A$3:$A$135,0),MATCH(J140,'G-8 Condition Look up'!$A$3:$H$3,0)),"")</f>
        <v/>
      </c>
      <c r="L140" s="54"/>
      <c r="M140" s="370" t="str">
        <f>IF(L140="","",IF(VLOOKUP(L140,'G-3 Multipliers'!$L$3:$N$6,2,FALSE)=0,"Spatial Data Missing",VLOOKUP(L140,'G-3 Multipliers'!$L$3:$N$6,2,FALSE)))</f>
        <v/>
      </c>
      <c r="N140" s="368" t="str">
        <f>IF(L140="","",IF(VLOOKUP(L140,'G-3 Multipliers'!$L$3:$N$6,3,FALSE)=0,"Spatial Data Missing",VLOOKUP(L140,'G-3 Multipliers'!$L$3:$N$6,3,FALSE)))</f>
        <v/>
      </c>
      <c r="O140" s="362" t="str">
        <f t="shared" si="12"/>
        <v/>
      </c>
      <c r="P140" s="63"/>
      <c r="Q140" s="63"/>
      <c r="R140" s="370" t="str">
        <f t="shared" ref="R140:R203" si="14">IF(E140="","",IF(AND(P140&gt;0,Q140&gt;0),"Error -both advance and delayed habitat creation ▲",IF(I140=0,"Standard time to target condition applied",IF(AND(J140="N/A -Agricultural",O140&lt;=P140),"Check details - Is there evidence habitat creation in place? ⚠",IF(AND(O140&lt;=P140,Q140=0),"Check details - Is there evidence that habitat has reached target condition? ⚠",IF(O140="","",IF(AND(P140&gt;=AE140,P140&gt;0),"Check details - Is there evidence habitat creation started and the threshold for Poor condition reached? ⚠",IF(Q140&gt;0,"Check details- Delay in starting habitat in required condition? ⚠",IF(P140&gt;0,"Check details - Is there evidence habitat creation started/in place? ⚠","Standard time to target condition applied")))))))))</f>
        <v/>
      </c>
      <c r="S140" s="383" t="str">
        <f t="shared" ref="S140:S203" si="15">IF(R140="Error -both advance and delayed habitat creation ▲","Check Data ⚠",IF(O140="Not Possible","Check Data ⚠",IF(O140="","",IF(AND(O140="30+",P140=0),"30+",IF(AND(O140="30+",P140="30+"),0,IF(AND(O140="30+",P140&lt;32),30-P140,IF(O140="30+",30-P140,IF(P140&gt;O140,0,IF(Q140="30+","30+",IF(O140+Q140&gt;30,"30+",IF(O140+Q140&gt;30,"30+",IF(O140-P140&gt;30,"30+",IF(O140+Q140-P140&gt;0,O140+Q140-P140,IF(O140-P140&gt;0,O140-P140,O140+Q140-P140))))))))))))))</f>
        <v/>
      </c>
      <c r="T140" s="384" t="str">
        <f>IFERROR(IF(S140="Check Data ⚠","Check Data ⚠",VLOOKUP(S140,'G-4 Temporal multipliers'!$A$4:$C$37,3,FALSE)),"")</f>
        <v/>
      </c>
      <c r="U140" s="385" t="str">
        <f>IF(F140="","",VLOOKUP(F140,'G-3 Multipliers'!$A$2:$E$134,2,FALSE))</f>
        <v/>
      </c>
      <c r="V140" s="382" t="str">
        <f t="shared" si="11"/>
        <v/>
      </c>
      <c r="W140" s="382" t="str">
        <f>IF(E140="","",IF(AND(V140="Standard difficulty applied",O140&gt;P140),U140,IF(AND(V140="Low Difficulty - only applicable if all habitat created before losses",P140&gt;=O140),"Low",VLOOKUP(F140,'G-3 Multipliers'!$A$2:$E$134,4,FALSE))))</f>
        <v/>
      </c>
      <c r="X140" s="386" t="str">
        <f>IFERROR(IF(E140="","",VLOOKUP(W140, 'G-3 Multipliers'!$P$2:$Q$6,2,FALSE)),"")</f>
        <v/>
      </c>
      <c r="Y140" s="390" t="str">
        <f t="shared" ref="Y140:Y203" si="16">IFERROR(G140*I140*K140*N140*T140*X140,"")</f>
        <v/>
      </c>
      <c r="Z140" s="194"/>
      <c r="AA140" s="195"/>
      <c r="AB140" s="120"/>
      <c r="AE140" s="40" t="str">
        <f t="shared" si="13"/>
        <v/>
      </c>
    </row>
    <row r="141" spans="1:31">
      <c r="A141" s="35" t="str">
        <f>IFERROR(INDEX('G-8 Condition Look up'!$I$4:$I$135,MATCH(F141,'G-8 Condition Look up'!$A$4:$A$135,0)),"")</f>
        <v/>
      </c>
      <c r="C141" s="299" t="str">
        <f>IFERROR(INDEX('G-1 All Habitats'!$AG$3:$AG$17,MATCH(D141,'G-1 All Habitats'!$AF$3:$AF$17,0)),"")</f>
        <v/>
      </c>
      <c r="D141" s="54"/>
      <c r="E141" s="61"/>
      <c r="F141" s="296" t="str">
        <f>IFERROR(INDEX('G-1 All Habitats'!$B$3:$B$134,MATCH(E141,'G-1 All Habitats'!$A$3:$A$134,0)),"")</f>
        <v/>
      </c>
      <c r="G141" s="53"/>
      <c r="H141" s="362" t="str">
        <f>IF(F141="","",VLOOKUP(F141,'G-1 All Habitats'!$B$2:$M$134,10,FALSE))</f>
        <v/>
      </c>
      <c r="I141" s="363" t="str">
        <f>IFERROR(VLOOKUP(H141,'G-1 All Habitats'!$V$3:$W$7,2,FALSE),"")</f>
        <v/>
      </c>
      <c r="J141" s="54"/>
      <c r="K141" s="363" t="str">
        <f>IFERROR(INDEX('G-8 Condition Look up'!$A$3:$H$135,MATCH(F141,'G-8 Condition Look up'!$A$3:$A$135,0),MATCH(J141,'G-8 Condition Look up'!$A$3:$H$3,0)),"")</f>
        <v/>
      </c>
      <c r="L141" s="54"/>
      <c r="M141" s="370" t="str">
        <f>IF(L141="","",IF(VLOOKUP(L141,'G-3 Multipliers'!$L$3:$N$6,2,FALSE)=0,"Spatial Data Missing",VLOOKUP(L141,'G-3 Multipliers'!$L$3:$N$6,2,FALSE)))</f>
        <v/>
      </c>
      <c r="N141" s="368" t="str">
        <f>IF(L141="","",IF(VLOOKUP(L141,'G-3 Multipliers'!$L$3:$N$6,3,FALSE)=0,"Spatial Data Missing",VLOOKUP(L141,'G-3 Multipliers'!$L$3:$N$6,3,FALSE)))</f>
        <v/>
      </c>
      <c r="O141" s="362" t="str">
        <f t="shared" si="12"/>
        <v/>
      </c>
      <c r="P141" s="63"/>
      <c r="Q141" s="63"/>
      <c r="R141" s="370" t="str">
        <f t="shared" si="14"/>
        <v/>
      </c>
      <c r="S141" s="383" t="str">
        <f t="shared" si="15"/>
        <v/>
      </c>
      <c r="T141" s="384" t="str">
        <f>IFERROR(IF(S141="Check Data ⚠","Check Data ⚠",VLOOKUP(S141,'G-4 Temporal multipliers'!$A$4:$C$37,3,FALSE)),"")</f>
        <v/>
      </c>
      <c r="U141" s="385" t="str">
        <f>IF(F141="","",VLOOKUP(F141,'G-3 Multipliers'!$A$2:$E$134,2,FALSE))</f>
        <v/>
      </c>
      <c r="V141" s="382" t="str">
        <f t="shared" ref="V141:V204" si="17">IF(F141="","",IF($R141="Check details - Is there evidence that habitat has reached target condition? ⚠","Low Difficulty - only applicable if all habitat created before losses",IF(AND($R141="Check details - Is there evidence habitat creation started and the threshold for Poor condition reached? ⚠",$E141&lt;&gt;"Traditional orchards", $E141&lt;&gt;"Ornamental lake or pond", $E141&lt;&gt;"Ponds (Non- Priority Habitat)", $E141&lt;&gt;"Ruderal/Ephemeral", $E141&lt;&gt;"Developed land; sealed surface"),"Enhancement difficulty applied","Standard difficulty applied")))</f>
        <v/>
      </c>
      <c r="W141" s="382" t="str">
        <f>IF(E141="","",IF(AND(V141="Standard difficulty applied",O141&gt;P141),U141,IF(AND(V141="Low Difficulty - only applicable if all habitat created before losses",P141&gt;=O141),"Low",VLOOKUP(F141,'G-3 Multipliers'!$A$2:$E$134,4,FALSE))))</f>
        <v/>
      </c>
      <c r="X141" s="386" t="str">
        <f>IFERROR(IF(E141="","",VLOOKUP(W141, 'G-3 Multipliers'!$P$2:$Q$6,2,FALSE)),"")</f>
        <v/>
      </c>
      <c r="Y141" s="390" t="str">
        <f t="shared" si="16"/>
        <v/>
      </c>
      <c r="Z141" s="194"/>
      <c r="AA141" s="195"/>
      <c r="AB141" s="120"/>
      <c r="AE141" s="40" t="str">
        <f t="shared" si="13"/>
        <v/>
      </c>
    </row>
    <row r="142" spans="1:31">
      <c r="A142" s="35" t="str">
        <f>IFERROR(INDEX('G-8 Condition Look up'!$I$4:$I$135,MATCH(F142,'G-8 Condition Look up'!$A$4:$A$135,0)),"")</f>
        <v/>
      </c>
      <c r="C142" s="299" t="str">
        <f>IFERROR(INDEX('G-1 All Habitats'!$AG$3:$AG$17,MATCH(D142,'G-1 All Habitats'!$AF$3:$AF$17,0)),"")</f>
        <v/>
      </c>
      <c r="D142" s="54"/>
      <c r="E142" s="61"/>
      <c r="F142" s="296" t="str">
        <f>IFERROR(INDEX('G-1 All Habitats'!$B$3:$B$134,MATCH(E142,'G-1 All Habitats'!$A$3:$A$134,0)),"")</f>
        <v/>
      </c>
      <c r="G142" s="53"/>
      <c r="H142" s="362" t="str">
        <f>IF(F142="","",VLOOKUP(F142,'G-1 All Habitats'!$B$2:$M$134,10,FALSE))</f>
        <v/>
      </c>
      <c r="I142" s="363" t="str">
        <f>IFERROR(VLOOKUP(H142,'G-1 All Habitats'!$V$3:$W$7,2,FALSE),"")</f>
        <v/>
      </c>
      <c r="J142" s="54"/>
      <c r="K142" s="363" t="str">
        <f>IFERROR(INDEX('G-8 Condition Look up'!$A$3:$H$135,MATCH(F142,'G-8 Condition Look up'!$A$3:$A$135,0),MATCH(J142,'G-8 Condition Look up'!$A$3:$H$3,0)),"")</f>
        <v/>
      </c>
      <c r="L142" s="54"/>
      <c r="M142" s="370" t="str">
        <f>IF(L142="","",IF(VLOOKUP(L142,'G-3 Multipliers'!$L$3:$N$6,2,FALSE)=0,"Spatial Data Missing",VLOOKUP(L142,'G-3 Multipliers'!$L$3:$N$6,2,FALSE)))</f>
        <v/>
      </c>
      <c r="N142" s="368" t="str">
        <f>IF(L142="","",IF(VLOOKUP(L142,'G-3 Multipliers'!$L$3:$N$6,3,FALSE)=0,"Spatial Data Missing",VLOOKUP(L142,'G-3 Multipliers'!$L$3:$N$6,3,FALSE)))</f>
        <v/>
      </c>
      <c r="O142" s="362" t="str">
        <f t="shared" si="12"/>
        <v/>
      </c>
      <c r="P142" s="63"/>
      <c r="Q142" s="63"/>
      <c r="R142" s="370" t="str">
        <f t="shared" si="14"/>
        <v/>
      </c>
      <c r="S142" s="383" t="str">
        <f t="shared" si="15"/>
        <v/>
      </c>
      <c r="T142" s="384" t="str">
        <f>IFERROR(IF(S142="Check Data ⚠","Check Data ⚠",VLOOKUP(S142,'G-4 Temporal multipliers'!$A$4:$C$37,3,FALSE)),"")</f>
        <v/>
      </c>
      <c r="U142" s="385" t="str">
        <f>IF(F142="","",VLOOKUP(F142,'G-3 Multipliers'!$A$2:$E$134,2,FALSE))</f>
        <v/>
      </c>
      <c r="V142" s="382" t="str">
        <f t="shared" si="17"/>
        <v/>
      </c>
      <c r="W142" s="382" t="str">
        <f>IF(E142="","",IF(AND(V142="Standard difficulty applied",O142&gt;P142),U142,IF(AND(V142="Low Difficulty - only applicable if all habitat created before losses",P142&gt;=O142),"Low",VLOOKUP(F142,'G-3 Multipliers'!$A$2:$E$134,4,FALSE))))</f>
        <v/>
      </c>
      <c r="X142" s="386" t="str">
        <f>IFERROR(IF(E142="","",VLOOKUP(W142, 'G-3 Multipliers'!$P$2:$Q$6,2,FALSE)),"")</f>
        <v/>
      </c>
      <c r="Y142" s="390" t="str">
        <f t="shared" si="16"/>
        <v/>
      </c>
      <c r="Z142" s="194"/>
      <c r="AA142" s="195"/>
      <c r="AB142" s="120"/>
      <c r="AE142" s="40" t="str">
        <f t="shared" si="13"/>
        <v/>
      </c>
    </row>
    <row r="143" spans="1:31">
      <c r="A143" s="35" t="str">
        <f>IFERROR(INDEX('G-8 Condition Look up'!$I$4:$I$135,MATCH(F143,'G-8 Condition Look up'!$A$4:$A$135,0)),"")</f>
        <v/>
      </c>
      <c r="C143" s="299" t="str">
        <f>IFERROR(INDEX('G-1 All Habitats'!$AG$3:$AG$17,MATCH(D143,'G-1 All Habitats'!$AF$3:$AF$17,0)),"")</f>
        <v/>
      </c>
      <c r="D143" s="54"/>
      <c r="E143" s="61"/>
      <c r="F143" s="296" t="str">
        <f>IFERROR(INDEX('G-1 All Habitats'!$B$3:$B$134,MATCH(E143,'G-1 All Habitats'!$A$3:$A$134,0)),"")</f>
        <v/>
      </c>
      <c r="G143" s="53"/>
      <c r="H143" s="362" t="str">
        <f>IF(F143="","",VLOOKUP(F143,'G-1 All Habitats'!$B$2:$M$134,10,FALSE))</f>
        <v/>
      </c>
      <c r="I143" s="363" t="str">
        <f>IFERROR(VLOOKUP(H143,'G-1 All Habitats'!$V$3:$W$7,2,FALSE),"")</f>
        <v/>
      </c>
      <c r="J143" s="54"/>
      <c r="K143" s="363" t="str">
        <f>IFERROR(INDEX('G-8 Condition Look up'!$A$3:$H$135,MATCH(F143,'G-8 Condition Look up'!$A$3:$A$135,0),MATCH(J143,'G-8 Condition Look up'!$A$3:$H$3,0)),"")</f>
        <v/>
      </c>
      <c r="L143" s="54"/>
      <c r="M143" s="370" t="str">
        <f>IF(L143="","",IF(VLOOKUP(L143,'G-3 Multipliers'!$L$3:$N$6,2,FALSE)=0,"Spatial Data Missing",VLOOKUP(L143,'G-3 Multipliers'!$L$3:$N$6,2,FALSE)))</f>
        <v/>
      </c>
      <c r="N143" s="368" t="str">
        <f>IF(L143="","",IF(VLOOKUP(L143,'G-3 Multipliers'!$L$3:$N$6,3,FALSE)=0,"Spatial Data Missing",VLOOKUP(L143,'G-3 Multipliers'!$L$3:$N$6,3,FALSE)))</f>
        <v/>
      </c>
      <c r="O143" s="362" t="str">
        <f t="shared" si="12"/>
        <v/>
      </c>
      <c r="P143" s="63"/>
      <c r="Q143" s="63"/>
      <c r="R143" s="370" t="str">
        <f t="shared" si="14"/>
        <v/>
      </c>
      <c r="S143" s="383" t="str">
        <f t="shared" si="15"/>
        <v/>
      </c>
      <c r="T143" s="384" t="str">
        <f>IFERROR(IF(S143="Check Data ⚠","Check Data ⚠",VLOOKUP(S143,'G-4 Temporal multipliers'!$A$4:$C$37,3,FALSE)),"")</f>
        <v/>
      </c>
      <c r="U143" s="385" t="str">
        <f>IF(F143="","",VLOOKUP(F143,'G-3 Multipliers'!$A$2:$E$134,2,FALSE))</f>
        <v/>
      </c>
      <c r="V143" s="382" t="str">
        <f t="shared" si="17"/>
        <v/>
      </c>
      <c r="W143" s="382" t="str">
        <f>IF(E143="","",IF(AND(V143="Standard difficulty applied",O143&gt;P143),U143,IF(AND(V143="Low Difficulty - only applicable if all habitat created before losses",P143&gt;=O143),"Low",VLOOKUP(F143,'G-3 Multipliers'!$A$2:$E$134,4,FALSE))))</f>
        <v/>
      </c>
      <c r="X143" s="386" t="str">
        <f>IFERROR(IF(E143="","",VLOOKUP(W143, 'G-3 Multipliers'!$P$2:$Q$6,2,FALSE)),"")</f>
        <v/>
      </c>
      <c r="Y143" s="390" t="str">
        <f t="shared" si="16"/>
        <v/>
      </c>
      <c r="Z143" s="194"/>
      <c r="AA143" s="195"/>
      <c r="AB143" s="120"/>
      <c r="AE143" s="40" t="str">
        <f t="shared" si="13"/>
        <v/>
      </c>
    </row>
    <row r="144" spans="1:31">
      <c r="A144" s="35" t="str">
        <f>IFERROR(INDEX('G-8 Condition Look up'!$I$4:$I$135,MATCH(F144,'G-8 Condition Look up'!$A$4:$A$135,0)),"")</f>
        <v/>
      </c>
      <c r="C144" s="299" t="str">
        <f>IFERROR(INDEX('G-1 All Habitats'!$AG$3:$AG$17,MATCH(D144,'G-1 All Habitats'!$AF$3:$AF$17,0)),"")</f>
        <v/>
      </c>
      <c r="D144" s="54"/>
      <c r="E144" s="61"/>
      <c r="F144" s="296" t="str">
        <f>IFERROR(INDEX('G-1 All Habitats'!$B$3:$B$134,MATCH(E144,'G-1 All Habitats'!$A$3:$A$134,0)),"")</f>
        <v/>
      </c>
      <c r="G144" s="53"/>
      <c r="H144" s="362" t="str">
        <f>IF(F144="","",VLOOKUP(F144,'G-1 All Habitats'!$B$2:$M$134,10,FALSE))</f>
        <v/>
      </c>
      <c r="I144" s="363" t="str">
        <f>IFERROR(VLOOKUP(H144,'G-1 All Habitats'!$V$3:$W$7,2,FALSE),"")</f>
        <v/>
      </c>
      <c r="J144" s="54"/>
      <c r="K144" s="363" t="str">
        <f>IFERROR(INDEX('G-8 Condition Look up'!$A$3:$H$135,MATCH(F144,'G-8 Condition Look up'!$A$3:$A$135,0),MATCH(J144,'G-8 Condition Look up'!$A$3:$H$3,0)),"")</f>
        <v/>
      </c>
      <c r="L144" s="54"/>
      <c r="M144" s="370" t="str">
        <f>IF(L144="","",IF(VLOOKUP(L144,'G-3 Multipliers'!$L$3:$N$6,2,FALSE)=0,"Spatial Data Missing",VLOOKUP(L144,'G-3 Multipliers'!$L$3:$N$6,2,FALSE)))</f>
        <v/>
      </c>
      <c r="N144" s="368" t="str">
        <f>IF(L144="","",IF(VLOOKUP(L144,'G-3 Multipliers'!$L$3:$N$6,3,FALSE)=0,"Spatial Data Missing",VLOOKUP(L144,'G-3 Multipliers'!$L$3:$N$6,3,FALSE)))</f>
        <v/>
      </c>
      <c r="O144" s="362" t="str">
        <f t="shared" si="12"/>
        <v/>
      </c>
      <c r="P144" s="63"/>
      <c r="Q144" s="63"/>
      <c r="R144" s="370" t="str">
        <f t="shared" si="14"/>
        <v/>
      </c>
      <c r="S144" s="383" t="str">
        <f t="shared" si="15"/>
        <v/>
      </c>
      <c r="T144" s="384" t="str">
        <f>IFERROR(IF(S144="Check Data ⚠","Check Data ⚠",VLOOKUP(S144,'G-4 Temporal multipliers'!$A$4:$C$37,3,FALSE)),"")</f>
        <v/>
      </c>
      <c r="U144" s="385" t="str">
        <f>IF(F144="","",VLOOKUP(F144,'G-3 Multipliers'!$A$2:$E$134,2,FALSE))</f>
        <v/>
      </c>
      <c r="V144" s="382" t="str">
        <f t="shared" si="17"/>
        <v/>
      </c>
      <c r="W144" s="382" t="str">
        <f>IF(E144="","",IF(AND(V144="Standard difficulty applied",O144&gt;P144),U144,IF(AND(V144="Low Difficulty - only applicable if all habitat created before losses",P144&gt;=O144),"Low",VLOOKUP(F144,'G-3 Multipliers'!$A$2:$E$134,4,FALSE))))</f>
        <v/>
      </c>
      <c r="X144" s="386" t="str">
        <f>IFERROR(IF(E144="","",VLOOKUP(W144, 'G-3 Multipliers'!$P$2:$Q$6,2,FALSE)),"")</f>
        <v/>
      </c>
      <c r="Y144" s="390" t="str">
        <f t="shared" si="16"/>
        <v/>
      </c>
      <c r="Z144" s="194"/>
      <c r="AA144" s="195"/>
      <c r="AB144" s="120"/>
      <c r="AE144" s="40" t="str">
        <f t="shared" si="13"/>
        <v/>
      </c>
    </row>
    <row r="145" spans="1:31">
      <c r="A145" s="35" t="str">
        <f>IFERROR(INDEX('G-8 Condition Look up'!$I$4:$I$135,MATCH(F145,'G-8 Condition Look up'!$A$4:$A$135,0)),"")</f>
        <v/>
      </c>
      <c r="C145" s="299" t="str">
        <f>IFERROR(INDEX('G-1 All Habitats'!$AG$3:$AG$17,MATCH(D145,'G-1 All Habitats'!$AF$3:$AF$17,0)),"")</f>
        <v/>
      </c>
      <c r="D145" s="54"/>
      <c r="E145" s="61"/>
      <c r="F145" s="296" t="str">
        <f>IFERROR(INDEX('G-1 All Habitats'!$B$3:$B$134,MATCH(E145,'G-1 All Habitats'!$A$3:$A$134,0)),"")</f>
        <v/>
      </c>
      <c r="G145" s="53"/>
      <c r="H145" s="362" t="str">
        <f>IF(F145="","",VLOOKUP(F145,'G-1 All Habitats'!$B$2:$M$134,10,FALSE))</f>
        <v/>
      </c>
      <c r="I145" s="363" t="str">
        <f>IFERROR(VLOOKUP(H145,'G-1 All Habitats'!$V$3:$W$7,2,FALSE),"")</f>
        <v/>
      </c>
      <c r="J145" s="54"/>
      <c r="K145" s="363" t="str">
        <f>IFERROR(INDEX('G-8 Condition Look up'!$A$3:$H$135,MATCH(F145,'G-8 Condition Look up'!$A$3:$A$135,0),MATCH(J145,'G-8 Condition Look up'!$A$3:$H$3,0)),"")</f>
        <v/>
      </c>
      <c r="L145" s="54"/>
      <c r="M145" s="370" t="str">
        <f>IF(L145="","",IF(VLOOKUP(L145,'G-3 Multipliers'!$L$3:$N$6,2,FALSE)=0,"Spatial Data Missing",VLOOKUP(L145,'G-3 Multipliers'!$L$3:$N$6,2,FALSE)))</f>
        <v/>
      </c>
      <c r="N145" s="368" t="str">
        <f>IF(L145="","",IF(VLOOKUP(L145,'G-3 Multipliers'!$L$3:$N$6,3,FALSE)=0,"Spatial Data Missing",VLOOKUP(L145,'G-3 Multipliers'!$L$3:$N$6,3,FALSE)))</f>
        <v/>
      </c>
      <c r="O145" s="362" t="str">
        <f t="shared" si="12"/>
        <v/>
      </c>
      <c r="P145" s="63"/>
      <c r="Q145" s="63"/>
      <c r="R145" s="370" t="str">
        <f t="shared" si="14"/>
        <v/>
      </c>
      <c r="S145" s="383" t="str">
        <f t="shared" si="15"/>
        <v/>
      </c>
      <c r="T145" s="384" t="str">
        <f>IFERROR(IF(S145="Check Data ⚠","Check Data ⚠",VLOOKUP(S145,'G-4 Temporal multipliers'!$A$4:$C$37,3,FALSE)),"")</f>
        <v/>
      </c>
      <c r="U145" s="385" t="str">
        <f>IF(F145="","",VLOOKUP(F145,'G-3 Multipliers'!$A$2:$E$134,2,FALSE))</f>
        <v/>
      </c>
      <c r="V145" s="382" t="str">
        <f t="shared" si="17"/>
        <v/>
      </c>
      <c r="W145" s="382" t="str">
        <f>IF(E145="","",IF(AND(V145="Standard difficulty applied",O145&gt;P145),U145,IF(AND(V145="Low Difficulty - only applicable if all habitat created before losses",P145&gt;=O145),"Low",VLOOKUP(F145,'G-3 Multipliers'!$A$2:$E$134,4,FALSE))))</f>
        <v/>
      </c>
      <c r="X145" s="386" t="str">
        <f>IFERROR(IF(E145="","",VLOOKUP(W145, 'G-3 Multipliers'!$P$2:$Q$6,2,FALSE)),"")</f>
        <v/>
      </c>
      <c r="Y145" s="390" t="str">
        <f t="shared" si="16"/>
        <v/>
      </c>
      <c r="Z145" s="194"/>
      <c r="AA145" s="195"/>
      <c r="AB145" s="120"/>
      <c r="AE145" s="40" t="str">
        <f t="shared" si="13"/>
        <v/>
      </c>
    </row>
    <row r="146" spans="1:31">
      <c r="A146" s="35" t="str">
        <f>IFERROR(INDEX('G-8 Condition Look up'!$I$4:$I$135,MATCH(F146,'G-8 Condition Look up'!$A$4:$A$135,0)),"")</f>
        <v/>
      </c>
      <c r="C146" s="299" t="str">
        <f>IFERROR(INDEX('G-1 All Habitats'!$AG$3:$AG$17,MATCH(D146,'G-1 All Habitats'!$AF$3:$AF$17,0)),"")</f>
        <v/>
      </c>
      <c r="D146" s="54"/>
      <c r="E146" s="61"/>
      <c r="F146" s="296" t="str">
        <f>IFERROR(INDEX('G-1 All Habitats'!$B$3:$B$134,MATCH(E146,'G-1 All Habitats'!$A$3:$A$134,0)),"")</f>
        <v/>
      </c>
      <c r="G146" s="53"/>
      <c r="H146" s="362" t="str">
        <f>IF(F146="","",VLOOKUP(F146,'G-1 All Habitats'!$B$2:$M$134,10,FALSE))</f>
        <v/>
      </c>
      <c r="I146" s="363" t="str">
        <f>IFERROR(VLOOKUP(H146,'G-1 All Habitats'!$V$3:$W$7,2,FALSE),"")</f>
        <v/>
      </c>
      <c r="J146" s="54"/>
      <c r="K146" s="363" t="str">
        <f>IFERROR(INDEX('G-8 Condition Look up'!$A$3:$H$135,MATCH(F146,'G-8 Condition Look up'!$A$3:$A$135,0),MATCH(J146,'G-8 Condition Look up'!$A$3:$H$3,0)),"")</f>
        <v/>
      </c>
      <c r="L146" s="54"/>
      <c r="M146" s="370" t="str">
        <f>IF(L146="","",IF(VLOOKUP(L146,'G-3 Multipliers'!$L$3:$N$6,2,FALSE)=0,"Spatial Data Missing",VLOOKUP(L146,'G-3 Multipliers'!$L$3:$N$6,2,FALSE)))</f>
        <v/>
      </c>
      <c r="N146" s="368" t="str">
        <f>IF(L146="","",IF(VLOOKUP(L146,'G-3 Multipliers'!$L$3:$N$6,3,FALSE)=0,"Spatial Data Missing",VLOOKUP(L146,'G-3 Multipliers'!$L$3:$N$6,3,FALSE)))</f>
        <v/>
      </c>
      <c r="O146" s="362" t="str">
        <f t="shared" si="12"/>
        <v/>
      </c>
      <c r="P146" s="63"/>
      <c r="Q146" s="63"/>
      <c r="R146" s="370" t="str">
        <f t="shared" si="14"/>
        <v/>
      </c>
      <c r="S146" s="383" t="str">
        <f t="shared" si="15"/>
        <v/>
      </c>
      <c r="T146" s="384" t="str">
        <f>IFERROR(IF(S146="Check Data ⚠","Check Data ⚠",VLOOKUP(S146,'G-4 Temporal multipliers'!$A$4:$C$37,3,FALSE)),"")</f>
        <v/>
      </c>
      <c r="U146" s="385" t="str">
        <f>IF(F146="","",VLOOKUP(F146,'G-3 Multipliers'!$A$2:$E$134,2,FALSE))</f>
        <v/>
      </c>
      <c r="V146" s="382" t="str">
        <f t="shared" si="17"/>
        <v/>
      </c>
      <c r="W146" s="382" t="str">
        <f>IF(E146="","",IF(AND(V146="Standard difficulty applied",O146&gt;P146),U146,IF(AND(V146="Low Difficulty - only applicable if all habitat created before losses",P146&gt;=O146),"Low",VLOOKUP(F146,'G-3 Multipliers'!$A$2:$E$134,4,FALSE))))</f>
        <v/>
      </c>
      <c r="X146" s="386" t="str">
        <f>IFERROR(IF(E146="","",VLOOKUP(W146, 'G-3 Multipliers'!$P$2:$Q$6,2,FALSE)),"")</f>
        <v/>
      </c>
      <c r="Y146" s="390" t="str">
        <f t="shared" si="16"/>
        <v/>
      </c>
      <c r="Z146" s="194"/>
      <c r="AA146" s="195"/>
      <c r="AB146" s="120"/>
      <c r="AE146" s="40" t="str">
        <f t="shared" si="13"/>
        <v/>
      </c>
    </row>
    <row r="147" spans="1:31">
      <c r="A147" s="35" t="str">
        <f>IFERROR(INDEX('G-8 Condition Look up'!$I$4:$I$135,MATCH(F147,'G-8 Condition Look up'!$A$4:$A$135,0)),"")</f>
        <v/>
      </c>
      <c r="C147" s="299" t="str">
        <f>IFERROR(INDEX('G-1 All Habitats'!$AG$3:$AG$17,MATCH(D147,'G-1 All Habitats'!$AF$3:$AF$17,0)),"")</f>
        <v/>
      </c>
      <c r="D147" s="54"/>
      <c r="E147" s="61"/>
      <c r="F147" s="296" t="str">
        <f>IFERROR(INDEX('G-1 All Habitats'!$B$3:$B$134,MATCH(E147,'G-1 All Habitats'!$A$3:$A$134,0)),"")</f>
        <v/>
      </c>
      <c r="G147" s="53"/>
      <c r="H147" s="362" t="str">
        <f>IF(F147="","",VLOOKUP(F147,'G-1 All Habitats'!$B$2:$M$134,10,FALSE))</f>
        <v/>
      </c>
      <c r="I147" s="363" t="str">
        <f>IFERROR(VLOOKUP(H147,'G-1 All Habitats'!$V$3:$W$7,2,FALSE),"")</f>
        <v/>
      </c>
      <c r="J147" s="54"/>
      <c r="K147" s="363" t="str">
        <f>IFERROR(INDEX('G-8 Condition Look up'!$A$3:$H$135,MATCH(F147,'G-8 Condition Look up'!$A$3:$A$135,0),MATCH(J147,'G-8 Condition Look up'!$A$3:$H$3,0)),"")</f>
        <v/>
      </c>
      <c r="L147" s="54"/>
      <c r="M147" s="370" t="str">
        <f>IF(L147="","",IF(VLOOKUP(L147,'G-3 Multipliers'!$L$3:$N$6,2,FALSE)=0,"Spatial Data Missing",VLOOKUP(L147,'G-3 Multipliers'!$L$3:$N$6,2,FALSE)))</f>
        <v/>
      </c>
      <c r="N147" s="368" t="str">
        <f>IF(L147="","",IF(VLOOKUP(L147,'G-3 Multipliers'!$L$3:$N$6,3,FALSE)=0,"Spatial Data Missing",VLOOKUP(L147,'G-3 Multipliers'!$L$3:$N$6,3,FALSE)))</f>
        <v/>
      </c>
      <c r="O147" s="362" t="str">
        <f t="shared" si="12"/>
        <v/>
      </c>
      <c r="P147" s="63"/>
      <c r="Q147" s="63"/>
      <c r="R147" s="370" t="str">
        <f t="shared" si="14"/>
        <v/>
      </c>
      <c r="S147" s="383" t="str">
        <f t="shared" si="15"/>
        <v/>
      </c>
      <c r="T147" s="384" t="str">
        <f>IFERROR(IF(S147="Check Data ⚠","Check Data ⚠",VLOOKUP(S147,'G-4 Temporal multipliers'!$A$4:$C$37,3,FALSE)),"")</f>
        <v/>
      </c>
      <c r="U147" s="385" t="str">
        <f>IF(F147="","",VLOOKUP(F147,'G-3 Multipliers'!$A$2:$E$134,2,FALSE))</f>
        <v/>
      </c>
      <c r="V147" s="382" t="str">
        <f t="shared" si="17"/>
        <v/>
      </c>
      <c r="W147" s="382" t="str">
        <f>IF(E147="","",IF(AND(V147="Standard difficulty applied",O147&gt;P147),U147,IF(AND(V147="Low Difficulty - only applicable if all habitat created before losses",P147&gt;=O147),"Low",VLOOKUP(F147,'G-3 Multipliers'!$A$2:$E$134,4,FALSE))))</f>
        <v/>
      </c>
      <c r="X147" s="386" t="str">
        <f>IFERROR(IF(E147="","",VLOOKUP(W147, 'G-3 Multipliers'!$P$2:$Q$6,2,FALSE)),"")</f>
        <v/>
      </c>
      <c r="Y147" s="390" t="str">
        <f t="shared" si="16"/>
        <v/>
      </c>
      <c r="Z147" s="194"/>
      <c r="AA147" s="195"/>
      <c r="AB147" s="120"/>
      <c r="AE147" s="40" t="str">
        <f t="shared" si="13"/>
        <v/>
      </c>
    </row>
    <row r="148" spans="1:31">
      <c r="A148" s="35" t="str">
        <f>IFERROR(INDEX('G-8 Condition Look up'!$I$4:$I$135,MATCH(F148,'G-8 Condition Look up'!$A$4:$A$135,0)),"")</f>
        <v/>
      </c>
      <c r="C148" s="299" t="str">
        <f>IFERROR(INDEX('G-1 All Habitats'!$AG$3:$AG$17,MATCH(D148,'G-1 All Habitats'!$AF$3:$AF$17,0)),"")</f>
        <v/>
      </c>
      <c r="D148" s="54"/>
      <c r="E148" s="61"/>
      <c r="F148" s="296" t="str">
        <f>IFERROR(INDEX('G-1 All Habitats'!$B$3:$B$134,MATCH(E148,'G-1 All Habitats'!$A$3:$A$134,0)),"")</f>
        <v/>
      </c>
      <c r="G148" s="53"/>
      <c r="H148" s="362" t="str">
        <f>IF(F148="","",VLOOKUP(F148,'G-1 All Habitats'!$B$2:$M$134,10,FALSE))</f>
        <v/>
      </c>
      <c r="I148" s="363" t="str">
        <f>IFERROR(VLOOKUP(H148,'G-1 All Habitats'!$V$3:$W$7,2,FALSE),"")</f>
        <v/>
      </c>
      <c r="J148" s="54"/>
      <c r="K148" s="363" t="str">
        <f>IFERROR(INDEX('G-8 Condition Look up'!$A$3:$H$135,MATCH(F148,'G-8 Condition Look up'!$A$3:$A$135,0),MATCH(J148,'G-8 Condition Look up'!$A$3:$H$3,0)),"")</f>
        <v/>
      </c>
      <c r="L148" s="54"/>
      <c r="M148" s="370" t="str">
        <f>IF(L148="","",IF(VLOOKUP(L148,'G-3 Multipliers'!$L$3:$N$6,2,FALSE)=0,"Spatial Data Missing",VLOOKUP(L148,'G-3 Multipliers'!$L$3:$N$6,2,FALSE)))</f>
        <v/>
      </c>
      <c r="N148" s="368" t="str">
        <f>IF(L148="","",IF(VLOOKUP(L148,'G-3 Multipliers'!$L$3:$N$6,3,FALSE)=0,"Spatial Data Missing",VLOOKUP(L148,'G-3 Multipliers'!$L$3:$N$6,3,FALSE)))</f>
        <v/>
      </c>
      <c r="O148" s="362" t="str">
        <f t="shared" si="12"/>
        <v/>
      </c>
      <c r="P148" s="63"/>
      <c r="Q148" s="63"/>
      <c r="R148" s="370" t="str">
        <f t="shared" si="14"/>
        <v/>
      </c>
      <c r="S148" s="383" t="str">
        <f t="shared" si="15"/>
        <v/>
      </c>
      <c r="T148" s="384" t="str">
        <f>IFERROR(IF(S148="Check Data ⚠","Check Data ⚠",VLOOKUP(S148,'G-4 Temporal multipliers'!$A$4:$C$37,3,FALSE)),"")</f>
        <v/>
      </c>
      <c r="U148" s="385" t="str">
        <f>IF(F148="","",VLOOKUP(F148,'G-3 Multipliers'!$A$2:$E$134,2,FALSE))</f>
        <v/>
      </c>
      <c r="V148" s="382" t="str">
        <f t="shared" si="17"/>
        <v/>
      </c>
      <c r="W148" s="382" t="str">
        <f>IF(E148="","",IF(AND(V148="Standard difficulty applied",O148&gt;P148),U148,IF(AND(V148="Low Difficulty - only applicable if all habitat created before losses",P148&gt;=O148),"Low",VLOOKUP(F148,'G-3 Multipliers'!$A$2:$E$134,4,FALSE))))</f>
        <v/>
      </c>
      <c r="X148" s="386" t="str">
        <f>IFERROR(IF(E148="","",VLOOKUP(W148, 'G-3 Multipliers'!$P$2:$Q$6,2,FALSE)),"")</f>
        <v/>
      </c>
      <c r="Y148" s="390" t="str">
        <f t="shared" si="16"/>
        <v/>
      </c>
      <c r="Z148" s="194"/>
      <c r="AA148" s="195"/>
      <c r="AB148" s="120"/>
      <c r="AE148" s="40" t="str">
        <f t="shared" si="13"/>
        <v/>
      </c>
    </row>
    <row r="149" spans="1:31">
      <c r="A149" s="35" t="str">
        <f>IFERROR(INDEX('G-8 Condition Look up'!$I$4:$I$135,MATCH(F149,'G-8 Condition Look up'!$A$4:$A$135,0)),"")</f>
        <v/>
      </c>
      <c r="C149" s="299" t="str">
        <f>IFERROR(INDEX('G-1 All Habitats'!$AG$3:$AG$17,MATCH(D149,'G-1 All Habitats'!$AF$3:$AF$17,0)),"")</f>
        <v/>
      </c>
      <c r="D149" s="54"/>
      <c r="E149" s="61"/>
      <c r="F149" s="296" t="str">
        <f>IFERROR(INDEX('G-1 All Habitats'!$B$3:$B$134,MATCH(E149,'G-1 All Habitats'!$A$3:$A$134,0)),"")</f>
        <v/>
      </c>
      <c r="G149" s="53"/>
      <c r="H149" s="362" t="str">
        <f>IF(F149="","",VLOOKUP(F149,'G-1 All Habitats'!$B$2:$M$134,10,FALSE))</f>
        <v/>
      </c>
      <c r="I149" s="363" t="str">
        <f>IFERROR(VLOOKUP(H149,'G-1 All Habitats'!$V$3:$W$7,2,FALSE),"")</f>
        <v/>
      </c>
      <c r="J149" s="54"/>
      <c r="K149" s="363" t="str">
        <f>IFERROR(INDEX('G-8 Condition Look up'!$A$3:$H$135,MATCH(F149,'G-8 Condition Look up'!$A$3:$A$135,0),MATCH(J149,'G-8 Condition Look up'!$A$3:$H$3,0)),"")</f>
        <v/>
      </c>
      <c r="L149" s="54"/>
      <c r="M149" s="370" t="str">
        <f>IF(L149="","",IF(VLOOKUP(L149,'G-3 Multipliers'!$L$3:$N$6,2,FALSE)=0,"Spatial Data Missing",VLOOKUP(L149,'G-3 Multipliers'!$L$3:$N$6,2,FALSE)))</f>
        <v/>
      </c>
      <c r="N149" s="368" t="str">
        <f>IF(L149="","",IF(VLOOKUP(L149,'G-3 Multipliers'!$L$3:$N$6,3,FALSE)=0,"Spatial Data Missing",VLOOKUP(L149,'G-3 Multipliers'!$L$3:$N$6,3,FALSE)))</f>
        <v/>
      </c>
      <c r="O149" s="362" t="str">
        <f t="shared" si="12"/>
        <v/>
      </c>
      <c r="P149" s="63"/>
      <c r="Q149" s="63"/>
      <c r="R149" s="370" t="str">
        <f t="shared" si="14"/>
        <v/>
      </c>
      <c r="S149" s="383" t="str">
        <f t="shared" si="15"/>
        <v/>
      </c>
      <c r="T149" s="384" t="str">
        <f>IFERROR(IF(S149="Check Data ⚠","Check Data ⚠",VLOOKUP(S149,'G-4 Temporal multipliers'!$A$4:$C$37,3,FALSE)),"")</f>
        <v/>
      </c>
      <c r="U149" s="385" t="str">
        <f>IF(F149="","",VLOOKUP(F149,'G-3 Multipliers'!$A$2:$E$134,2,FALSE))</f>
        <v/>
      </c>
      <c r="V149" s="382" t="str">
        <f t="shared" si="17"/>
        <v/>
      </c>
      <c r="W149" s="382" t="str">
        <f>IF(E149="","",IF(AND(V149="Standard difficulty applied",O149&gt;P149),U149,IF(AND(V149="Low Difficulty - only applicable if all habitat created before losses",P149&gt;=O149),"Low",VLOOKUP(F149,'G-3 Multipliers'!$A$2:$E$134,4,FALSE))))</f>
        <v/>
      </c>
      <c r="X149" s="386" t="str">
        <f>IFERROR(IF(E149="","",VLOOKUP(W149, 'G-3 Multipliers'!$P$2:$Q$6,2,FALSE)),"")</f>
        <v/>
      </c>
      <c r="Y149" s="390" t="str">
        <f t="shared" si="16"/>
        <v/>
      </c>
      <c r="Z149" s="194"/>
      <c r="AA149" s="195"/>
      <c r="AB149" s="120"/>
      <c r="AE149" s="40" t="str">
        <f t="shared" si="13"/>
        <v/>
      </c>
    </row>
    <row r="150" spans="1:31">
      <c r="A150" s="35" t="str">
        <f>IFERROR(INDEX('G-8 Condition Look up'!$I$4:$I$135,MATCH(F150,'G-8 Condition Look up'!$A$4:$A$135,0)),"")</f>
        <v/>
      </c>
      <c r="C150" s="299" t="str">
        <f>IFERROR(INDEX('G-1 All Habitats'!$AG$3:$AG$17,MATCH(D150,'G-1 All Habitats'!$AF$3:$AF$17,0)),"")</f>
        <v/>
      </c>
      <c r="D150" s="54"/>
      <c r="E150" s="61"/>
      <c r="F150" s="296" t="str">
        <f>IFERROR(INDEX('G-1 All Habitats'!$B$3:$B$134,MATCH(E150,'G-1 All Habitats'!$A$3:$A$134,0)),"")</f>
        <v/>
      </c>
      <c r="G150" s="53"/>
      <c r="H150" s="362" t="str">
        <f>IF(F150="","",VLOOKUP(F150,'G-1 All Habitats'!$B$2:$M$134,10,FALSE))</f>
        <v/>
      </c>
      <c r="I150" s="363" t="str">
        <f>IFERROR(VLOOKUP(H150,'G-1 All Habitats'!$V$3:$W$7,2,FALSE),"")</f>
        <v/>
      </c>
      <c r="J150" s="54"/>
      <c r="K150" s="363" t="str">
        <f>IFERROR(INDEX('G-8 Condition Look up'!$A$3:$H$135,MATCH(F150,'G-8 Condition Look up'!$A$3:$A$135,0),MATCH(J150,'G-8 Condition Look up'!$A$3:$H$3,0)),"")</f>
        <v/>
      </c>
      <c r="L150" s="54"/>
      <c r="M150" s="370" t="str">
        <f>IF(L150="","",IF(VLOOKUP(L150,'G-3 Multipliers'!$L$3:$N$6,2,FALSE)=0,"Spatial Data Missing",VLOOKUP(L150,'G-3 Multipliers'!$L$3:$N$6,2,FALSE)))</f>
        <v/>
      </c>
      <c r="N150" s="368" t="str">
        <f>IF(L150="","",IF(VLOOKUP(L150,'G-3 Multipliers'!$L$3:$N$6,3,FALSE)=0,"Spatial Data Missing",VLOOKUP(L150,'G-3 Multipliers'!$L$3:$N$6,3,FALSE)))</f>
        <v/>
      </c>
      <c r="O150" s="362" t="str">
        <f t="shared" si="12"/>
        <v/>
      </c>
      <c r="P150" s="63"/>
      <c r="Q150" s="63"/>
      <c r="R150" s="370" t="str">
        <f t="shared" si="14"/>
        <v/>
      </c>
      <c r="S150" s="383" t="str">
        <f t="shared" si="15"/>
        <v/>
      </c>
      <c r="T150" s="384" t="str">
        <f>IFERROR(IF(S150="Check Data ⚠","Check Data ⚠",VLOOKUP(S150,'G-4 Temporal multipliers'!$A$4:$C$37,3,FALSE)),"")</f>
        <v/>
      </c>
      <c r="U150" s="385" t="str">
        <f>IF(F150="","",VLOOKUP(F150,'G-3 Multipliers'!$A$2:$E$134,2,FALSE))</f>
        <v/>
      </c>
      <c r="V150" s="382" t="str">
        <f t="shared" si="17"/>
        <v/>
      </c>
      <c r="W150" s="382" t="str">
        <f>IF(E150="","",IF(AND(V150="Standard difficulty applied",O150&gt;P150),U150,IF(AND(V150="Low Difficulty - only applicable if all habitat created before losses",P150&gt;=O150),"Low",VLOOKUP(F150,'G-3 Multipliers'!$A$2:$E$134,4,FALSE))))</f>
        <v/>
      </c>
      <c r="X150" s="386" t="str">
        <f>IFERROR(IF(E150="","",VLOOKUP(W150, 'G-3 Multipliers'!$P$2:$Q$6,2,FALSE)),"")</f>
        <v/>
      </c>
      <c r="Y150" s="390" t="str">
        <f t="shared" si="16"/>
        <v/>
      </c>
      <c r="Z150" s="194"/>
      <c r="AA150" s="195"/>
      <c r="AB150" s="120"/>
      <c r="AE150" s="40" t="str">
        <f t="shared" si="13"/>
        <v/>
      </c>
    </row>
    <row r="151" spans="1:31">
      <c r="A151" s="35" t="str">
        <f>IFERROR(INDEX('G-8 Condition Look up'!$I$4:$I$135,MATCH(F151,'G-8 Condition Look up'!$A$4:$A$135,0)),"")</f>
        <v/>
      </c>
      <c r="C151" s="299" t="str">
        <f>IFERROR(INDEX('G-1 All Habitats'!$AG$3:$AG$17,MATCH(D151,'G-1 All Habitats'!$AF$3:$AF$17,0)),"")</f>
        <v/>
      </c>
      <c r="D151" s="54"/>
      <c r="E151" s="61"/>
      <c r="F151" s="296" t="str">
        <f>IFERROR(INDEX('G-1 All Habitats'!$B$3:$B$134,MATCH(E151,'G-1 All Habitats'!$A$3:$A$134,0)),"")</f>
        <v/>
      </c>
      <c r="G151" s="53"/>
      <c r="H151" s="362" t="str">
        <f>IF(F151="","",VLOOKUP(F151,'G-1 All Habitats'!$B$2:$M$134,10,FALSE))</f>
        <v/>
      </c>
      <c r="I151" s="363" t="str">
        <f>IFERROR(VLOOKUP(H151,'G-1 All Habitats'!$V$3:$W$7,2,FALSE),"")</f>
        <v/>
      </c>
      <c r="J151" s="54"/>
      <c r="K151" s="363" t="str">
        <f>IFERROR(INDEX('G-8 Condition Look up'!$A$3:$H$135,MATCH(F151,'G-8 Condition Look up'!$A$3:$A$135,0),MATCH(J151,'G-8 Condition Look up'!$A$3:$H$3,0)),"")</f>
        <v/>
      </c>
      <c r="L151" s="54"/>
      <c r="M151" s="370" t="str">
        <f>IF(L151="","",IF(VLOOKUP(L151,'G-3 Multipliers'!$L$3:$N$6,2,FALSE)=0,"Spatial Data Missing",VLOOKUP(L151,'G-3 Multipliers'!$L$3:$N$6,2,FALSE)))</f>
        <v/>
      </c>
      <c r="N151" s="368" t="str">
        <f>IF(L151="","",IF(VLOOKUP(L151,'G-3 Multipliers'!$L$3:$N$6,3,FALSE)=0,"Spatial Data Missing",VLOOKUP(L151,'G-3 Multipliers'!$L$3:$N$6,3,FALSE)))</f>
        <v/>
      </c>
      <c r="O151" s="362" t="str">
        <f t="shared" si="12"/>
        <v/>
      </c>
      <c r="P151" s="63"/>
      <c r="Q151" s="63"/>
      <c r="R151" s="370" t="str">
        <f t="shared" si="14"/>
        <v/>
      </c>
      <c r="S151" s="383" t="str">
        <f t="shared" si="15"/>
        <v/>
      </c>
      <c r="T151" s="384" t="str">
        <f>IFERROR(IF(S151="Check Data ⚠","Check Data ⚠",VLOOKUP(S151,'G-4 Temporal multipliers'!$A$4:$C$37,3,FALSE)),"")</f>
        <v/>
      </c>
      <c r="U151" s="385" t="str">
        <f>IF(F151="","",VLOOKUP(F151,'G-3 Multipliers'!$A$2:$E$134,2,FALSE))</f>
        <v/>
      </c>
      <c r="V151" s="382" t="str">
        <f t="shared" si="17"/>
        <v/>
      </c>
      <c r="W151" s="382" t="str">
        <f>IF(E151="","",IF(AND(V151="Standard difficulty applied",O151&gt;P151),U151,IF(AND(V151="Low Difficulty - only applicable if all habitat created before losses",P151&gt;=O151),"Low",VLOOKUP(F151,'G-3 Multipliers'!$A$2:$E$134,4,FALSE))))</f>
        <v/>
      </c>
      <c r="X151" s="386" t="str">
        <f>IFERROR(IF(E151="","",VLOOKUP(W151, 'G-3 Multipliers'!$P$2:$Q$6,2,FALSE)),"")</f>
        <v/>
      </c>
      <c r="Y151" s="390" t="str">
        <f t="shared" si="16"/>
        <v/>
      </c>
      <c r="Z151" s="194"/>
      <c r="AA151" s="195"/>
      <c r="AB151" s="120"/>
      <c r="AE151" s="40" t="str">
        <f t="shared" si="13"/>
        <v/>
      </c>
    </row>
    <row r="152" spans="1:31">
      <c r="A152" s="35" t="str">
        <f>IFERROR(INDEX('G-8 Condition Look up'!$I$4:$I$135,MATCH(F152,'G-8 Condition Look up'!$A$4:$A$135,0)),"")</f>
        <v/>
      </c>
      <c r="C152" s="299" t="str">
        <f>IFERROR(INDEX('G-1 All Habitats'!$AG$3:$AG$17,MATCH(D152,'G-1 All Habitats'!$AF$3:$AF$17,0)),"")</f>
        <v/>
      </c>
      <c r="D152" s="54"/>
      <c r="E152" s="61"/>
      <c r="F152" s="296" t="str">
        <f>IFERROR(INDEX('G-1 All Habitats'!$B$3:$B$134,MATCH(E152,'G-1 All Habitats'!$A$3:$A$134,0)),"")</f>
        <v/>
      </c>
      <c r="G152" s="53"/>
      <c r="H152" s="362" t="str">
        <f>IF(F152="","",VLOOKUP(F152,'G-1 All Habitats'!$B$2:$M$134,10,FALSE))</f>
        <v/>
      </c>
      <c r="I152" s="363" t="str">
        <f>IFERROR(VLOOKUP(H152,'G-1 All Habitats'!$V$3:$W$7,2,FALSE),"")</f>
        <v/>
      </c>
      <c r="J152" s="54"/>
      <c r="K152" s="363" t="str">
        <f>IFERROR(INDEX('G-8 Condition Look up'!$A$3:$H$135,MATCH(F152,'G-8 Condition Look up'!$A$3:$A$135,0),MATCH(J152,'G-8 Condition Look up'!$A$3:$H$3,0)),"")</f>
        <v/>
      </c>
      <c r="L152" s="54"/>
      <c r="M152" s="370" t="str">
        <f>IF(L152="","",IF(VLOOKUP(L152,'G-3 Multipliers'!$L$3:$N$6,2,FALSE)=0,"Spatial Data Missing",VLOOKUP(L152,'G-3 Multipliers'!$L$3:$N$6,2,FALSE)))</f>
        <v/>
      </c>
      <c r="N152" s="368" t="str">
        <f>IF(L152="","",IF(VLOOKUP(L152,'G-3 Multipliers'!$L$3:$N$6,3,FALSE)=0,"Spatial Data Missing",VLOOKUP(L152,'G-3 Multipliers'!$L$3:$N$6,3,FALSE)))</f>
        <v/>
      </c>
      <c r="O152" s="362" t="str">
        <f t="shared" si="12"/>
        <v/>
      </c>
      <c r="P152" s="63"/>
      <c r="Q152" s="63"/>
      <c r="R152" s="370" t="str">
        <f t="shared" si="14"/>
        <v/>
      </c>
      <c r="S152" s="383" t="str">
        <f t="shared" si="15"/>
        <v/>
      </c>
      <c r="T152" s="384" t="str">
        <f>IFERROR(IF(S152="Check Data ⚠","Check Data ⚠",VLOOKUP(S152,'G-4 Temporal multipliers'!$A$4:$C$37,3,FALSE)),"")</f>
        <v/>
      </c>
      <c r="U152" s="385" t="str">
        <f>IF(F152="","",VLOOKUP(F152,'G-3 Multipliers'!$A$2:$E$134,2,FALSE))</f>
        <v/>
      </c>
      <c r="V152" s="382" t="str">
        <f t="shared" si="17"/>
        <v/>
      </c>
      <c r="W152" s="382" t="str">
        <f>IF(E152="","",IF(AND(V152="Standard difficulty applied",O152&gt;P152),U152,IF(AND(V152="Low Difficulty - only applicable if all habitat created before losses",P152&gt;=O152),"Low",VLOOKUP(F152,'G-3 Multipliers'!$A$2:$E$134,4,FALSE))))</f>
        <v/>
      </c>
      <c r="X152" s="386" t="str">
        <f>IFERROR(IF(E152="","",VLOOKUP(W152, 'G-3 Multipliers'!$P$2:$Q$6,2,FALSE)),"")</f>
        <v/>
      </c>
      <c r="Y152" s="390" t="str">
        <f t="shared" si="16"/>
        <v/>
      </c>
      <c r="Z152" s="194"/>
      <c r="AA152" s="195"/>
      <c r="AB152" s="120"/>
      <c r="AE152" s="40" t="str">
        <f t="shared" si="13"/>
        <v/>
      </c>
    </row>
    <row r="153" spans="1:31">
      <c r="A153" s="35" t="str">
        <f>IFERROR(INDEX('G-8 Condition Look up'!$I$4:$I$135,MATCH(F153,'G-8 Condition Look up'!$A$4:$A$135,0)),"")</f>
        <v/>
      </c>
      <c r="C153" s="299" t="str">
        <f>IFERROR(INDEX('G-1 All Habitats'!$AG$3:$AG$17,MATCH(D153,'G-1 All Habitats'!$AF$3:$AF$17,0)),"")</f>
        <v/>
      </c>
      <c r="D153" s="54"/>
      <c r="E153" s="61"/>
      <c r="F153" s="296" t="str">
        <f>IFERROR(INDEX('G-1 All Habitats'!$B$3:$B$134,MATCH(E153,'G-1 All Habitats'!$A$3:$A$134,0)),"")</f>
        <v/>
      </c>
      <c r="G153" s="53"/>
      <c r="H153" s="362" t="str">
        <f>IF(F153="","",VLOOKUP(F153,'G-1 All Habitats'!$B$2:$M$134,10,FALSE))</f>
        <v/>
      </c>
      <c r="I153" s="363" t="str">
        <f>IFERROR(VLOOKUP(H153,'G-1 All Habitats'!$V$3:$W$7,2,FALSE),"")</f>
        <v/>
      </c>
      <c r="J153" s="54"/>
      <c r="K153" s="363" t="str">
        <f>IFERROR(INDEX('G-8 Condition Look up'!$A$3:$H$135,MATCH(F153,'G-8 Condition Look up'!$A$3:$A$135,0),MATCH(J153,'G-8 Condition Look up'!$A$3:$H$3,0)),"")</f>
        <v/>
      </c>
      <c r="L153" s="54"/>
      <c r="M153" s="370" t="str">
        <f>IF(L153="","",IF(VLOOKUP(L153,'G-3 Multipliers'!$L$3:$N$6,2,FALSE)=0,"Spatial Data Missing",VLOOKUP(L153,'G-3 Multipliers'!$L$3:$N$6,2,FALSE)))</f>
        <v/>
      </c>
      <c r="N153" s="368" t="str">
        <f>IF(L153="","",IF(VLOOKUP(L153,'G-3 Multipliers'!$L$3:$N$6,3,FALSE)=0,"Spatial Data Missing",VLOOKUP(L153,'G-3 Multipliers'!$L$3:$N$6,3,FALSE)))</f>
        <v/>
      </c>
      <c r="O153" s="362" t="str">
        <f t="shared" si="12"/>
        <v/>
      </c>
      <c r="P153" s="63"/>
      <c r="Q153" s="63"/>
      <c r="R153" s="370" t="str">
        <f t="shared" si="14"/>
        <v/>
      </c>
      <c r="S153" s="383" t="str">
        <f t="shared" si="15"/>
        <v/>
      </c>
      <c r="T153" s="384" t="str">
        <f>IFERROR(IF(S153="Check Data ⚠","Check Data ⚠",VLOOKUP(S153,'G-4 Temporal multipliers'!$A$4:$C$37,3,FALSE)),"")</f>
        <v/>
      </c>
      <c r="U153" s="385" t="str">
        <f>IF(F153="","",VLOOKUP(F153,'G-3 Multipliers'!$A$2:$E$134,2,FALSE))</f>
        <v/>
      </c>
      <c r="V153" s="382" t="str">
        <f t="shared" si="17"/>
        <v/>
      </c>
      <c r="W153" s="382" t="str">
        <f>IF(E153="","",IF(AND(V153="Standard difficulty applied",O153&gt;P153),U153,IF(AND(V153="Low Difficulty - only applicable if all habitat created before losses",P153&gt;=O153),"Low",VLOOKUP(F153,'G-3 Multipliers'!$A$2:$E$134,4,FALSE))))</f>
        <v/>
      </c>
      <c r="X153" s="386" t="str">
        <f>IFERROR(IF(E153="","",VLOOKUP(W153, 'G-3 Multipliers'!$P$2:$Q$6,2,FALSE)),"")</f>
        <v/>
      </c>
      <c r="Y153" s="390" t="str">
        <f t="shared" si="16"/>
        <v/>
      </c>
      <c r="Z153" s="194"/>
      <c r="AA153" s="195"/>
      <c r="AB153" s="120"/>
      <c r="AE153" s="40" t="str">
        <f t="shared" si="13"/>
        <v/>
      </c>
    </row>
    <row r="154" spans="1:31">
      <c r="A154" s="35" t="str">
        <f>IFERROR(INDEX('G-8 Condition Look up'!$I$4:$I$135,MATCH(F154,'G-8 Condition Look up'!$A$4:$A$135,0)),"")</f>
        <v/>
      </c>
      <c r="C154" s="299" t="str">
        <f>IFERROR(INDEX('G-1 All Habitats'!$AG$3:$AG$17,MATCH(D154,'G-1 All Habitats'!$AF$3:$AF$17,0)),"")</f>
        <v/>
      </c>
      <c r="D154" s="54"/>
      <c r="E154" s="61"/>
      <c r="F154" s="296" t="str">
        <f>IFERROR(INDEX('G-1 All Habitats'!$B$3:$B$134,MATCH(E154,'G-1 All Habitats'!$A$3:$A$134,0)),"")</f>
        <v/>
      </c>
      <c r="G154" s="53"/>
      <c r="H154" s="362" t="str">
        <f>IF(F154="","",VLOOKUP(F154,'G-1 All Habitats'!$B$2:$M$134,10,FALSE))</f>
        <v/>
      </c>
      <c r="I154" s="363" t="str">
        <f>IFERROR(VLOOKUP(H154,'G-1 All Habitats'!$V$3:$W$7,2,FALSE),"")</f>
        <v/>
      </c>
      <c r="J154" s="54"/>
      <c r="K154" s="363" t="str">
        <f>IFERROR(INDEX('G-8 Condition Look up'!$A$3:$H$135,MATCH(F154,'G-8 Condition Look up'!$A$3:$A$135,0),MATCH(J154,'G-8 Condition Look up'!$A$3:$H$3,0)),"")</f>
        <v/>
      </c>
      <c r="L154" s="54"/>
      <c r="M154" s="370" t="str">
        <f>IF(L154="","",IF(VLOOKUP(L154,'G-3 Multipliers'!$L$3:$N$6,2,FALSE)=0,"Spatial Data Missing",VLOOKUP(L154,'G-3 Multipliers'!$L$3:$N$6,2,FALSE)))</f>
        <v/>
      </c>
      <c r="N154" s="368" t="str">
        <f>IF(L154="","",IF(VLOOKUP(L154,'G-3 Multipliers'!$L$3:$N$6,3,FALSE)=0,"Spatial Data Missing",VLOOKUP(L154,'G-3 Multipliers'!$L$3:$N$6,3,FALSE)))</f>
        <v/>
      </c>
      <c r="O154" s="362" t="str">
        <f t="shared" si="12"/>
        <v/>
      </c>
      <c r="P154" s="63"/>
      <c r="Q154" s="63"/>
      <c r="R154" s="370" t="str">
        <f t="shared" si="14"/>
        <v/>
      </c>
      <c r="S154" s="383" t="str">
        <f t="shared" si="15"/>
        <v/>
      </c>
      <c r="T154" s="384" t="str">
        <f>IFERROR(IF(S154="Check Data ⚠","Check Data ⚠",VLOOKUP(S154,'G-4 Temporal multipliers'!$A$4:$C$37,3,FALSE)),"")</f>
        <v/>
      </c>
      <c r="U154" s="385" t="str">
        <f>IF(F154="","",VLOOKUP(F154,'G-3 Multipliers'!$A$2:$E$134,2,FALSE))</f>
        <v/>
      </c>
      <c r="V154" s="382" t="str">
        <f t="shared" si="17"/>
        <v/>
      </c>
      <c r="W154" s="382" t="str">
        <f>IF(E154="","",IF(AND(V154="Standard difficulty applied",O154&gt;P154),U154,IF(AND(V154="Low Difficulty - only applicable if all habitat created before losses",P154&gt;=O154),"Low",VLOOKUP(F154,'G-3 Multipliers'!$A$2:$E$134,4,FALSE))))</f>
        <v/>
      </c>
      <c r="X154" s="386" t="str">
        <f>IFERROR(IF(E154="","",VLOOKUP(W154, 'G-3 Multipliers'!$P$2:$Q$6,2,FALSE)),"")</f>
        <v/>
      </c>
      <c r="Y154" s="390" t="str">
        <f t="shared" si="16"/>
        <v/>
      </c>
      <c r="Z154" s="194"/>
      <c r="AA154" s="195"/>
      <c r="AB154" s="120"/>
      <c r="AE154" s="40" t="str">
        <f t="shared" si="13"/>
        <v/>
      </c>
    </row>
    <row r="155" spans="1:31">
      <c r="A155" s="35" t="str">
        <f>IFERROR(INDEX('G-8 Condition Look up'!$I$4:$I$135,MATCH(F155,'G-8 Condition Look up'!$A$4:$A$135,0)),"")</f>
        <v/>
      </c>
      <c r="C155" s="299" t="str">
        <f>IFERROR(INDEX('G-1 All Habitats'!$AG$3:$AG$17,MATCH(D155,'G-1 All Habitats'!$AF$3:$AF$17,0)),"")</f>
        <v/>
      </c>
      <c r="D155" s="54"/>
      <c r="E155" s="61"/>
      <c r="F155" s="296" t="str">
        <f>IFERROR(INDEX('G-1 All Habitats'!$B$3:$B$134,MATCH(E155,'G-1 All Habitats'!$A$3:$A$134,0)),"")</f>
        <v/>
      </c>
      <c r="G155" s="53"/>
      <c r="H155" s="362" t="str">
        <f>IF(F155="","",VLOOKUP(F155,'G-1 All Habitats'!$B$2:$M$134,10,FALSE))</f>
        <v/>
      </c>
      <c r="I155" s="363" t="str">
        <f>IFERROR(VLOOKUP(H155,'G-1 All Habitats'!$V$3:$W$7,2,FALSE),"")</f>
        <v/>
      </c>
      <c r="J155" s="54"/>
      <c r="K155" s="363" t="str">
        <f>IFERROR(INDEX('G-8 Condition Look up'!$A$3:$H$135,MATCH(F155,'G-8 Condition Look up'!$A$3:$A$135,0),MATCH(J155,'G-8 Condition Look up'!$A$3:$H$3,0)),"")</f>
        <v/>
      </c>
      <c r="L155" s="54"/>
      <c r="M155" s="370" t="str">
        <f>IF(L155="","",IF(VLOOKUP(L155,'G-3 Multipliers'!$L$3:$N$6,2,FALSE)=0,"Spatial Data Missing",VLOOKUP(L155,'G-3 Multipliers'!$L$3:$N$6,2,FALSE)))</f>
        <v/>
      </c>
      <c r="N155" s="368" t="str">
        <f>IF(L155="","",IF(VLOOKUP(L155,'G-3 Multipliers'!$L$3:$N$6,3,FALSE)=0,"Spatial Data Missing",VLOOKUP(L155,'G-3 Multipliers'!$L$3:$N$6,3,FALSE)))</f>
        <v/>
      </c>
      <c r="O155" s="362" t="str">
        <f t="shared" si="12"/>
        <v/>
      </c>
      <c r="P155" s="63"/>
      <c r="Q155" s="63"/>
      <c r="R155" s="370" t="str">
        <f t="shared" si="14"/>
        <v/>
      </c>
      <c r="S155" s="383" t="str">
        <f t="shared" si="15"/>
        <v/>
      </c>
      <c r="T155" s="384" t="str">
        <f>IFERROR(IF(S155="Check Data ⚠","Check Data ⚠",VLOOKUP(S155,'G-4 Temporal multipliers'!$A$4:$C$37,3,FALSE)),"")</f>
        <v/>
      </c>
      <c r="U155" s="385" t="str">
        <f>IF(F155="","",VLOOKUP(F155,'G-3 Multipliers'!$A$2:$E$134,2,FALSE))</f>
        <v/>
      </c>
      <c r="V155" s="382" t="str">
        <f t="shared" si="17"/>
        <v/>
      </c>
      <c r="W155" s="382" t="str">
        <f>IF(E155="","",IF(AND(V155="Standard difficulty applied",O155&gt;P155),U155,IF(AND(V155="Low Difficulty - only applicable if all habitat created before losses",P155&gt;=O155),"Low",VLOOKUP(F155,'G-3 Multipliers'!$A$2:$E$134,4,FALSE))))</f>
        <v/>
      </c>
      <c r="X155" s="386" t="str">
        <f>IFERROR(IF(E155="","",VLOOKUP(W155, 'G-3 Multipliers'!$P$2:$Q$6,2,FALSE)),"")</f>
        <v/>
      </c>
      <c r="Y155" s="390" t="str">
        <f t="shared" si="16"/>
        <v/>
      </c>
      <c r="Z155" s="194"/>
      <c r="AA155" s="195"/>
      <c r="AB155" s="120"/>
      <c r="AE155" s="40" t="str">
        <f t="shared" si="13"/>
        <v/>
      </c>
    </row>
    <row r="156" spans="1:31">
      <c r="A156" s="35" t="str">
        <f>IFERROR(INDEX('G-8 Condition Look up'!$I$4:$I$135,MATCH(F156,'G-8 Condition Look up'!$A$4:$A$135,0)),"")</f>
        <v/>
      </c>
      <c r="C156" s="299" t="str">
        <f>IFERROR(INDEX('G-1 All Habitats'!$AG$3:$AG$17,MATCH(D156,'G-1 All Habitats'!$AF$3:$AF$17,0)),"")</f>
        <v/>
      </c>
      <c r="D156" s="54"/>
      <c r="E156" s="61"/>
      <c r="F156" s="296" t="str">
        <f>IFERROR(INDEX('G-1 All Habitats'!$B$3:$B$134,MATCH(E156,'G-1 All Habitats'!$A$3:$A$134,0)),"")</f>
        <v/>
      </c>
      <c r="G156" s="53"/>
      <c r="H156" s="362" t="str">
        <f>IF(F156="","",VLOOKUP(F156,'G-1 All Habitats'!$B$2:$M$134,10,FALSE))</f>
        <v/>
      </c>
      <c r="I156" s="363" t="str">
        <f>IFERROR(VLOOKUP(H156,'G-1 All Habitats'!$V$3:$W$7,2,FALSE),"")</f>
        <v/>
      </c>
      <c r="J156" s="54"/>
      <c r="K156" s="363" t="str">
        <f>IFERROR(INDEX('G-8 Condition Look up'!$A$3:$H$135,MATCH(F156,'G-8 Condition Look up'!$A$3:$A$135,0),MATCH(J156,'G-8 Condition Look up'!$A$3:$H$3,0)),"")</f>
        <v/>
      </c>
      <c r="L156" s="54"/>
      <c r="M156" s="370" t="str">
        <f>IF(L156="","",IF(VLOOKUP(L156,'G-3 Multipliers'!$L$3:$N$6,2,FALSE)=0,"Spatial Data Missing",VLOOKUP(L156,'G-3 Multipliers'!$L$3:$N$6,2,FALSE)))</f>
        <v/>
      </c>
      <c r="N156" s="368" t="str">
        <f>IF(L156="","",IF(VLOOKUP(L156,'G-3 Multipliers'!$L$3:$N$6,3,FALSE)=0,"Spatial Data Missing",VLOOKUP(L156,'G-3 Multipliers'!$L$3:$N$6,3,FALSE)))</f>
        <v/>
      </c>
      <c r="O156" s="362" t="str">
        <f t="shared" si="12"/>
        <v/>
      </c>
      <c r="P156" s="63"/>
      <c r="Q156" s="63"/>
      <c r="R156" s="370" t="str">
        <f t="shared" si="14"/>
        <v/>
      </c>
      <c r="S156" s="383" t="str">
        <f t="shared" si="15"/>
        <v/>
      </c>
      <c r="T156" s="384" t="str">
        <f>IFERROR(IF(S156="Check Data ⚠","Check Data ⚠",VLOOKUP(S156,'G-4 Temporal multipliers'!$A$4:$C$37,3,FALSE)),"")</f>
        <v/>
      </c>
      <c r="U156" s="385" t="str">
        <f>IF(F156="","",VLOOKUP(F156,'G-3 Multipliers'!$A$2:$E$134,2,FALSE))</f>
        <v/>
      </c>
      <c r="V156" s="382" t="str">
        <f t="shared" si="17"/>
        <v/>
      </c>
      <c r="W156" s="382" t="str">
        <f>IF(E156="","",IF(AND(V156="Standard difficulty applied",O156&gt;P156),U156,IF(AND(V156="Low Difficulty - only applicable if all habitat created before losses",P156&gt;=O156),"Low",VLOOKUP(F156,'G-3 Multipliers'!$A$2:$E$134,4,FALSE))))</f>
        <v/>
      </c>
      <c r="X156" s="386" t="str">
        <f>IFERROR(IF(E156="","",VLOOKUP(W156, 'G-3 Multipliers'!$P$2:$Q$6,2,FALSE)),"")</f>
        <v/>
      </c>
      <c r="Y156" s="390" t="str">
        <f t="shared" si="16"/>
        <v/>
      </c>
      <c r="Z156" s="194"/>
      <c r="AA156" s="195"/>
      <c r="AB156" s="120"/>
      <c r="AE156" s="40" t="str">
        <f t="shared" si="13"/>
        <v/>
      </c>
    </row>
    <row r="157" spans="1:31">
      <c r="A157" s="35" t="str">
        <f>IFERROR(INDEX('G-8 Condition Look up'!$I$4:$I$135,MATCH(F157,'G-8 Condition Look up'!$A$4:$A$135,0)),"")</f>
        <v/>
      </c>
      <c r="C157" s="299" t="str">
        <f>IFERROR(INDEX('G-1 All Habitats'!$AG$3:$AG$17,MATCH(D157,'G-1 All Habitats'!$AF$3:$AF$17,0)),"")</f>
        <v/>
      </c>
      <c r="D157" s="54"/>
      <c r="E157" s="61"/>
      <c r="F157" s="296" t="str">
        <f>IFERROR(INDEX('G-1 All Habitats'!$B$3:$B$134,MATCH(E157,'G-1 All Habitats'!$A$3:$A$134,0)),"")</f>
        <v/>
      </c>
      <c r="G157" s="53"/>
      <c r="H157" s="362" t="str">
        <f>IF(F157="","",VLOOKUP(F157,'G-1 All Habitats'!$B$2:$M$134,10,FALSE))</f>
        <v/>
      </c>
      <c r="I157" s="363" t="str">
        <f>IFERROR(VLOOKUP(H157,'G-1 All Habitats'!$V$3:$W$7,2,FALSE),"")</f>
        <v/>
      </c>
      <c r="J157" s="54"/>
      <c r="K157" s="363" t="str">
        <f>IFERROR(INDEX('G-8 Condition Look up'!$A$3:$H$135,MATCH(F157,'G-8 Condition Look up'!$A$3:$A$135,0),MATCH(J157,'G-8 Condition Look up'!$A$3:$H$3,0)),"")</f>
        <v/>
      </c>
      <c r="L157" s="54"/>
      <c r="M157" s="370" t="str">
        <f>IF(L157="","",IF(VLOOKUP(L157,'G-3 Multipliers'!$L$3:$N$6,2,FALSE)=0,"Spatial Data Missing",VLOOKUP(L157,'G-3 Multipliers'!$L$3:$N$6,2,FALSE)))</f>
        <v/>
      </c>
      <c r="N157" s="368" t="str">
        <f>IF(L157="","",IF(VLOOKUP(L157,'G-3 Multipliers'!$L$3:$N$6,3,FALSE)=0,"Spatial Data Missing",VLOOKUP(L157,'G-3 Multipliers'!$L$3:$N$6,3,FALSE)))</f>
        <v/>
      </c>
      <c r="O157" s="362" t="str">
        <f t="shared" si="12"/>
        <v/>
      </c>
      <c r="P157" s="63"/>
      <c r="Q157" s="63"/>
      <c r="R157" s="370" t="str">
        <f t="shared" si="14"/>
        <v/>
      </c>
      <c r="S157" s="383" t="str">
        <f t="shared" si="15"/>
        <v/>
      </c>
      <c r="T157" s="384" t="str">
        <f>IFERROR(IF(S157="Check Data ⚠","Check Data ⚠",VLOOKUP(S157,'G-4 Temporal multipliers'!$A$4:$C$37,3,FALSE)),"")</f>
        <v/>
      </c>
      <c r="U157" s="385" t="str">
        <f>IF(F157="","",VLOOKUP(F157,'G-3 Multipliers'!$A$2:$E$134,2,FALSE))</f>
        <v/>
      </c>
      <c r="V157" s="382" t="str">
        <f t="shared" si="17"/>
        <v/>
      </c>
      <c r="W157" s="382" t="str">
        <f>IF(E157="","",IF(AND(V157="Standard difficulty applied",O157&gt;P157),U157,IF(AND(V157="Low Difficulty - only applicable if all habitat created before losses",P157&gt;=O157),"Low",VLOOKUP(F157,'G-3 Multipliers'!$A$2:$E$134,4,FALSE))))</f>
        <v/>
      </c>
      <c r="X157" s="386" t="str">
        <f>IFERROR(IF(E157="","",VLOOKUP(W157, 'G-3 Multipliers'!$P$2:$Q$6,2,FALSE)),"")</f>
        <v/>
      </c>
      <c r="Y157" s="390" t="str">
        <f t="shared" si="16"/>
        <v/>
      </c>
      <c r="Z157" s="194"/>
      <c r="AA157" s="195"/>
      <c r="AB157" s="120"/>
      <c r="AE157" s="40" t="str">
        <f t="shared" si="13"/>
        <v/>
      </c>
    </row>
    <row r="158" spans="1:31">
      <c r="A158" s="35" t="str">
        <f>IFERROR(INDEX('G-8 Condition Look up'!$I$4:$I$135,MATCH(F158,'G-8 Condition Look up'!$A$4:$A$135,0)),"")</f>
        <v/>
      </c>
      <c r="C158" s="299" t="str">
        <f>IFERROR(INDEX('G-1 All Habitats'!$AG$3:$AG$17,MATCH(D158,'G-1 All Habitats'!$AF$3:$AF$17,0)),"")</f>
        <v/>
      </c>
      <c r="D158" s="54"/>
      <c r="E158" s="61"/>
      <c r="F158" s="296" t="str">
        <f>IFERROR(INDEX('G-1 All Habitats'!$B$3:$B$134,MATCH(E158,'G-1 All Habitats'!$A$3:$A$134,0)),"")</f>
        <v/>
      </c>
      <c r="G158" s="53"/>
      <c r="H158" s="362" t="str">
        <f>IF(F158="","",VLOOKUP(F158,'G-1 All Habitats'!$B$2:$M$134,10,FALSE))</f>
        <v/>
      </c>
      <c r="I158" s="363" t="str">
        <f>IFERROR(VLOOKUP(H158,'G-1 All Habitats'!$V$3:$W$7,2,FALSE),"")</f>
        <v/>
      </c>
      <c r="J158" s="54"/>
      <c r="K158" s="363" t="str">
        <f>IFERROR(INDEX('G-8 Condition Look up'!$A$3:$H$135,MATCH(F158,'G-8 Condition Look up'!$A$3:$A$135,0),MATCH(J158,'G-8 Condition Look up'!$A$3:$H$3,0)),"")</f>
        <v/>
      </c>
      <c r="L158" s="54"/>
      <c r="M158" s="370" t="str">
        <f>IF(L158="","",IF(VLOOKUP(L158,'G-3 Multipliers'!$L$3:$N$6,2,FALSE)=0,"Spatial Data Missing",VLOOKUP(L158,'G-3 Multipliers'!$L$3:$N$6,2,FALSE)))</f>
        <v/>
      </c>
      <c r="N158" s="368" t="str">
        <f>IF(L158="","",IF(VLOOKUP(L158,'G-3 Multipliers'!$L$3:$N$6,3,FALSE)=0,"Spatial Data Missing",VLOOKUP(L158,'G-3 Multipliers'!$L$3:$N$6,3,FALSE)))</f>
        <v/>
      </c>
      <c r="O158" s="362" t="str">
        <f t="shared" si="12"/>
        <v/>
      </c>
      <c r="P158" s="63"/>
      <c r="Q158" s="63"/>
      <c r="R158" s="370" t="str">
        <f t="shared" si="14"/>
        <v/>
      </c>
      <c r="S158" s="383" t="str">
        <f t="shared" si="15"/>
        <v/>
      </c>
      <c r="T158" s="384" t="str">
        <f>IFERROR(IF(S158="Check Data ⚠","Check Data ⚠",VLOOKUP(S158,'G-4 Temporal multipliers'!$A$4:$C$37,3,FALSE)),"")</f>
        <v/>
      </c>
      <c r="U158" s="385" t="str">
        <f>IF(F158="","",VLOOKUP(F158,'G-3 Multipliers'!$A$2:$E$134,2,FALSE))</f>
        <v/>
      </c>
      <c r="V158" s="382" t="str">
        <f t="shared" si="17"/>
        <v/>
      </c>
      <c r="W158" s="382" t="str">
        <f>IF(E158="","",IF(AND(V158="Standard difficulty applied",O158&gt;P158),U158,IF(AND(V158="Low Difficulty - only applicable if all habitat created before losses",P158&gt;=O158),"Low",VLOOKUP(F158,'G-3 Multipliers'!$A$2:$E$134,4,FALSE))))</f>
        <v/>
      </c>
      <c r="X158" s="386" t="str">
        <f>IFERROR(IF(E158="","",VLOOKUP(W158, 'G-3 Multipliers'!$P$2:$Q$6,2,FALSE)),"")</f>
        <v/>
      </c>
      <c r="Y158" s="390" t="str">
        <f t="shared" si="16"/>
        <v/>
      </c>
      <c r="Z158" s="194"/>
      <c r="AA158" s="195"/>
      <c r="AB158" s="120"/>
      <c r="AE158" s="40" t="str">
        <f t="shared" si="13"/>
        <v/>
      </c>
    </row>
    <row r="159" spans="1:31">
      <c r="A159" s="35" t="str">
        <f>IFERROR(INDEX('G-8 Condition Look up'!$I$4:$I$135,MATCH(F159,'G-8 Condition Look up'!$A$4:$A$135,0)),"")</f>
        <v/>
      </c>
      <c r="C159" s="299" t="str">
        <f>IFERROR(INDEX('G-1 All Habitats'!$AG$3:$AG$17,MATCH(D159,'G-1 All Habitats'!$AF$3:$AF$17,0)),"")</f>
        <v/>
      </c>
      <c r="D159" s="54"/>
      <c r="E159" s="61"/>
      <c r="F159" s="296" t="str">
        <f>IFERROR(INDEX('G-1 All Habitats'!$B$3:$B$134,MATCH(E159,'G-1 All Habitats'!$A$3:$A$134,0)),"")</f>
        <v/>
      </c>
      <c r="G159" s="53"/>
      <c r="H159" s="362" t="str">
        <f>IF(F159="","",VLOOKUP(F159,'G-1 All Habitats'!$B$2:$M$134,10,FALSE))</f>
        <v/>
      </c>
      <c r="I159" s="363" t="str">
        <f>IFERROR(VLOOKUP(H159,'G-1 All Habitats'!$V$3:$W$7,2,FALSE),"")</f>
        <v/>
      </c>
      <c r="J159" s="54"/>
      <c r="K159" s="363" t="str">
        <f>IFERROR(INDEX('G-8 Condition Look up'!$A$3:$H$135,MATCH(F159,'G-8 Condition Look up'!$A$3:$A$135,0),MATCH(J159,'G-8 Condition Look up'!$A$3:$H$3,0)),"")</f>
        <v/>
      </c>
      <c r="L159" s="54"/>
      <c r="M159" s="370" t="str">
        <f>IF(L159="","",IF(VLOOKUP(L159,'G-3 Multipliers'!$L$3:$N$6,2,FALSE)=0,"Spatial Data Missing",VLOOKUP(L159,'G-3 Multipliers'!$L$3:$N$6,2,FALSE)))</f>
        <v/>
      </c>
      <c r="N159" s="368" t="str">
        <f>IF(L159="","",IF(VLOOKUP(L159,'G-3 Multipliers'!$L$3:$N$6,3,FALSE)=0,"Spatial Data Missing",VLOOKUP(L159,'G-3 Multipliers'!$L$3:$N$6,3,FALSE)))</f>
        <v/>
      </c>
      <c r="O159" s="362" t="str">
        <f t="shared" si="12"/>
        <v/>
      </c>
      <c r="P159" s="63"/>
      <c r="Q159" s="63"/>
      <c r="R159" s="370" t="str">
        <f t="shared" si="14"/>
        <v/>
      </c>
      <c r="S159" s="383" t="str">
        <f t="shared" si="15"/>
        <v/>
      </c>
      <c r="T159" s="384" t="str">
        <f>IFERROR(IF(S159="Check Data ⚠","Check Data ⚠",VLOOKUP(S159,'G-4 Temporal multipliers'!$A$4:$C$37,3,FALSE)),"")</f>
        <v/>
      </c>
      <c r="U159" s="385" t="str">
        <f>IF(F159="","",VLOOKUP(F159,'G-3 Multipliers'!$A$2:$E$134,2,FALSE))</f>
        <v/>
      </c>
      <c r="V159" s="382" t="str">
        <f t="shared" si="17"/>
        <v/>
      </c>
      <c r="W159" s="382" t="str">
        <f>IF(E159="","",IF(AND(V159="Standard difficulty applied",O159&gt;P159),U159,IF(AND(V159="Low Difficulty - only applicable if all habitat created before losses",P159&gt;=O159),"Low",VLOOKUP(F159,'G-3 Multipliers'!$A$2:$E$134,4,FALSE))))</f>
        <v/>
      </c>
      <c r="X159" s="386" t="str">
        <f>IFERROR(IF(E159="","",VLOOKUP(W159, 'G-3 Multipliers'!$P$2:$Q$6,2,FALSE)),"")</f>
        <v/>
      </c>
      <c r="Y159" s="390" t="str">
        <f t="shared" si="16"/>
        <v/>
      </c>
      <c r="Z159" s="194"/>
      <c r="AA159" s="195"/>
      <c r="AB159" s="120"/>
      <c r="AE159" s="40" t="str">
        <f t="shared" si="13"/>
        <v/>
      </c>
    </row>
    <row r="160" spans="1:31">
      <c r="A160" s="35" t="str">
        <f>IFERROR(INDEX('G-8 Condition Look up'!$I$4:$I$135,MATCH(F160,'G-8 Condition Look up'!$A$4:$A$135,0)),"")</f>
        <v/>
      </c>
      <c r="C160" s="299" t="str">
        <f>IFERROR(INDEX('G-1 All Habitats'!$AG$3:$AG$17,MATCH(D160,'G-1 All Habitats'!$AF$3:$AF$17,0)),"")</f>
        <v/>
      </c>
      <c r="D160" s="54"/>
      <c r="E160" s="61"/>
      <c r="F160" s="296" t="str">
        <f>IFERROR(INDEX('G-1 All Habitats'!$B$3:$B$134,MATCH(E160,'G-1 All Habitats'!$A$3:$A$134,0)),"")</f>
        <v/>
      </c>
      <c r="G160" s="53"/>
      <c r="H160" s="362" t="str">
        <f>IF(F160="","",VLOOKUP(F160,'G-1 All Habitats'!$B$2:$M$134,10,FALSE))</f>
        <v/>
      </c>
      <c r="I160" s="363" t="str">
        <f>IFERROR(VLOOKUP(H160,'G-1 All Habitats'!$V$3:$W$7,2,FALSE),"")</f>
        <v/>
      </c>
      <c r="J160" s="54"/>
      <c r="K160" s="363" t="str">
        <f>IFERROR(INDEX('G-8 Condition Look up'!$A$3:$H$135,MATCH(F160,'G-8 Condition Look up'!$A$3:$A$135,0),MATCH(J160,'G-8 Condition Look up'!$A$3:$H$3,0)),"")</f>
        <v/>
      </c>
      <c r="L160" s="54"/>
      <c r="M160" s="370" t="str">
        <f>IF(L160="","",IF(VLOOKUP(L160,'G-3 Multipliers'!$L$3:$N$6,2,FALSE)=0,"Spatial Data Missing",VLOOKUP(L160,'G-3 Multipliers'!$L$3:$N$6,2,FALSE)))</f>
        <v/>
      </c>
      <c r="N160" s="368" t="str">
        <f>IF(L160="","",IF(VLOOKUP(L160,'G-3 Multipliers'!$L$3:$N$6,3,FALSE)=0,"Spatial Data Missing",VLOOKUP(L160,'G-3 Multipliers'!$L$3:$N$6,3,FALSE)))</f>
        <v/>
      </c>
      <c r="O160" s="362" t="str">
        <f t="shared" si="12"/>
        <v/>
      </c>
      <c r="P160" s="63"/>
      <c r="Q160" s="63"/>
      <c r="R160" s="370" t="str">
        <f t="shared" si="14"/>
        <v/>
      </c>
      <c r="S160" s="383" t="str">
        <f t="shared" si="15"/>
        <v/>
      </c>
      <c r="T160" s="384" t="str">
        <f>IFERROR(IF(S160="Check Data ⚠","Check Data ⚠",VLOOKUP(S160,'G-4 Temporal multipliers'!$A$4:$C$37,3,FALSE)),"")</f>
        <v/>
      </c>
      <c r="U160" s="385" t="str">
        <f>IF(F160="","",VLOOKUP(F160,'G-3 Multipliers'!$A$2:$E$134,2,FALSE))</f>
        <v/>
      </c>
      <c r="V160" s="382" t="str">
        <f t="shared" si="17"/>
        <v/>
      </c>
      <c r="W160" s="382" t="str">
        <f>IF(E160="","",IF(AND(V160="Standard difficulty applied",O160&gt;P160),U160,IF(AND(V160="Low Difficulty - only applicable if all habitat created before losses",P160&gt;=O160),"Low",VLOOKUP(F160,'G-3 Multipliers'!$A$2:$E$134,4,FALSE))))</f>
        <v/>
      </c>
      <c r="X160" s="386" t="str">
        <f>IFERROR(IF(E160="","",VLOOKUP(W160, 'G-3 Multipliers'!$P$2:$Q$6,2,FALSE)),"")</f>
        <v/>
      </c>
      <c r="Y160" s="390" t="str">
        <f t="shared" si="16"/>
        <v/>
      </c>
      <c r="Z160" s="194"/>
      <c r="AA160" s="195"/>
      <c r="AB160" s="120"/>
      <c r="AE160" s="40" t="str">
        <f t="shared" si="13"/>
        <v/>
      </c>
    </row>
    <row r="161" spans="1:31">
      <c r="A161" s="35" t="str">
        <f>IFERROR(INDEX('G-8 Condition Look up'!$I$4:$I$135,MATCH(F161,'G-8 Condition Look up'!$A$4:$A$135,0)),"")</f>
        <v/>
      </c>
      <c r="C161" s="299" t="str">
        <f>IFERROR(INDEX('G-1 All Habitats'!$AG$3:$AG$17,MATCH(D161,'G-1 All Habitats'!$AF$3:$AF$17,0)),"")</f>
        <v/>
      </c>
      <c r="D161" s="54"/>
      <c r="E161" s="61"/>
      <c r="F161" s="296" t="str">
        <f>IFERROR(INDEX('G-1 All Habitats'!$B$3:$B$134,MATCH(E161,'G-1 All Habitats'!$A$3:$A$134,0)),"")</f>
        <v/>
      </c>
      <c r="G161" s="53"/>
      <c r="H161" s="362" t="str">
        <f>IF(F161="","",VLOOKUP(F161,'G-1 All Habitats'!$B$2:$M$134,10,FALSE))</f>
        <v/>
      </c>
      <c r="I161" s="363" t="str">
        <f>IFERROR(VLOOKUP(H161,'G-1 All Habitats'!$V$3:$W$7,2,FALSE),"")</f>
        <v/>
      </c>
      <c r="J161" s="54"/>
      <c r="K161" s="363" t="str">
        <f>IFERROR(INDEX('G-8 Condition Look up'!$A$3:$H$135,MATCH(F161,'G-8 Condition Look up'!$A$3:$A$135,0),MATCH(J161,'G-8 Condition Look up'!$A$3:$H$3,0)),"")</f>
        <v/>
      </c>
      <c r="L161" s="54"/>
      <c r="M161" s="370" t="str">
        <f>IF(L161="","",IF(VLOOKUP(L161,'G-3 Multipliers'!$L$3:$N$6,2,FALSE)=0,"Spatial Data Missing",VLOOKUP(L161,'G-3 Multipliers'!$L$3:$N$6,2,FALSE)))</f>
        <v/>
      </c>
      <c r="N161" s="368" t="str">
        <f>IF(L161="","",IF(VLOOKUP(L161,'G-3 Multipliers'!$L$3:$N$6,3,FALSE)=0,"Spatial Data Missing",VLOOKUP(L161,'G-3 Multipliers'!$L$3:$N$6,3,FALSE)))</f>
        <v/>
      </c>
      <c r="O161" s="362" t="str">
        <f t="shared" si="12"/>
        <v/>
      </c>
      <c r="P161" s="63"/>
      <c r="Q161" s="63"/>
      <c r="R161" s="370" t="str">
        <f t="shared" si="14"/>
        <v/>
      </c>
      <c r="S161" s="383" t="str">
        <f t="shared" si="15"/>
        <v/>
      </c>
      <c r="T161" s="384" t="str">
        <f>IFERROR(IF(S161="Check Data ⚠","Check Data ⚠",VLOOKUP(S161,'G-4 Temporal multipliers'!$A$4:$C$37,3,FALSE)),"")</f>
        <v/>
      </c>
      <c r="U161" s="385" t="str">
        <f>IF(F161="","",VLOOKUP(F161,'G-3 Multipliers'!$A$2:$E$134,2,FALSE))</f>
        <v/>
      </c>
      <c r="V161" s="382" t="str">
        <f t="shared" si="17"/>
        <v/>
      </c>
      <c r="W161" s="382" t="str">
        <f>IF(E161="","",IF(AND(V161="Standard difficulty applied",O161&gt;P161),U161,IF(AND(V161="Low Difficulty - only applicable if all habitat created before losses",P161&gt;=O161),"Low",VLOOKUP(F161,'G-3 Multipliers'!$A$2:$E$134,4,FALSE))))</f>
        <v/>
      </c>
      <c r="X161" s="386" t="str">
        <f>IFERROR(IF(E161="","",VLOOKUP(W161, 'G-3 Multipliers'!$P$2:$Q$6,2,FALSE)),"")</f>
        <v/>
      </c>
      <c r="Y161" s="390" t="str">
        <f t="shared" si="16"/>
        <v/>
      </c>
      <c r="Z161" s="194"/>
      <c r="AA161" s="195"/>
      <c r="AB161" s="120"/>
      <c r="AE161" s="40" t="str">
        <f t="shared" si="13"/>
        <v/>
      </c>
    </row>
    <row r="162" spans="1:31">
      <c r="A162" s="35" t="str">
        <f>IFERROR(INDEX('G-8 Condition Look up'!$I$4:$I$135,MATCH(F162,'G-8 Condition Look up'!$A$4:$A$135,0)),"")</f>
        <v/>
      </c>
      <c r="C162" s="299" t="str">
        <f>IFERROR(INDEX('G-1 All Habitats'!$AG$3:$AG$17,MATCH(D162,'G-1 All Habitats'!$AF$3:$AF$17,0)),"")</f>
        <v/>
      </c>
      <c r="D162" s="54"/>
      <c r="E162" s="61"/>
      <c r="F162" s="296" t="str">
        <f>IFERROR(INDEX('G-1 All Habitats'!$B$3:$B$134,MATCH(E162,'G-1 All Habitats'!$A$3:$A$134,0)),"")</f>
        <v/>
      </c>
      <c r="G162" s="53"/>
      <c r="H162" s="362" t="str">
        <f>IF(F162="","",VLOOKUP(F162,'G-1 All Habitats'!$B$2:$M$134,10,FALSE))</f>
        <v/>
      </c>
      <c r="I162" s="363" t="str">
        <f>IFERROR(VLOOKUP(H162,'G-1 All Habitats'!$V$3:$W$7,2,FALSE),"")</f>
        <v/>
      </c>
      <c r="J162" s="54"/>
      <c r="K162" s="363" t="str">
        <f>IFERROR(INDEX('G-8 Condition Look up'!$A$3:$H$135,MATCH(F162,'G-8 Condition Look up'!$A$3:$A$135,0),MATCH(J162,'G-8 Condition Look up'!$A$3:$H$3,0)),"")</f>
        <v/>
      </c>
      <c r="L162" s="54"/>
      <c r="M162" s="370" t="str">
        <f>IF(L162="","",IF(VLOOKUP(L162,'G-3 Multipliers'!$L$3:$N$6,2,FALSE)=0,"Spatial Data Missing",VLOOKUP(L162,'G-3 Multipliers'!$L$3:$N$6,2,FALSE)))</f>
        <v/>
      </c>
      <c r="N162" s="368" t="str">
        <f>IF(L162="","",IF(VLOOKUP(L162,'G-3 Multipliers'!$L$3:$N$6,3,FALSE)=0,"Spatial Data Missing",VLOOKUP(L162,'G-3 Multipliers'!$L$3:$N$6,3,FALSE)))</f>
        <v/>
      </c>
      <c r="O162" s="362" t="str">
        <f t="shared" si="12"/>
        <v/>
      </c>
      <c r="P162" s="63"/>
      <c r="Q162" s="63"/>
      <c r="R162" s="370" t="str">
        <f t="shared" si="14"/>
        <v/>
      </c>
      <c r="S162" s="383" t="str">
        <f t="shared" si="15"/>
        <v/>
      </c>
      <c r="T162" s="384" t="str">
        <f>IFERROR(IF(S162="Check Data ⚠","Check Data ⚠",VLOOKUP(S162,'G-4 Temporal multipliers'!$A$4:$C$37,3,FALSE)),"")</f>
        <v/>
      </c>
      <c r="U162" s="385" t="str">
        <f>IF(F162="","",VLOOKUP(F162,'G-3 Multipliers'!$A$2:$E$134,2,FALSE))</f>
        <v/>
      </c>
      <c r="V162" s="382" t="str">
        <f t="shared" si="17"/>
        <v/>
      </c>
      <c r="W162" s="382" t="str">
        <f>IF(E162="","",IF(AND(V162="Standard difficulty applied",O162&gt;P162),U162,IF(AND(V162="Low Difficulty - only applicable if all habitat created before losses",P162&gt;=O162),"Low",VLOOKUP(F162,'G-3 Multipliers'!$A$2:$E$134,4,FALSE))))</f>
        <v/>
      </c>
      <c r="X162" s="386" t="str">
        <f>IFERROR(IF(E162="","",VLOOKUP(W162, 'G-3 Multipliers'!$P$2:$Q$6,2,FALSE)),"")</f>
        <v/>
      </c>
      <c r="Y162" s="390" t="str">
        <f t="shared" si="16"/>
        <v/>
      </c>
      <c r="Z162" s="194"/>
      <c r="AA162" s="195"/>
      <c r="AB162" s="120"/>
      <c r="AE162" s="40" t="str">
        <f t="shared" si="13"/>
        <v/>
      </c>
    </row>
    <row r="163" spans="1:31">
      <c r="A163" s="35" t="str">
        <f>IFERROR(INDEX('G-8 Condition Look up'!$I$4:$I$135,MATCH(F163,'G-8 Condition Look up'!$A$4:$A$135,0)),"")</f>
        <v/>
      </c>
      <c r="C163" s="299" t="str">
        <f>IFERROR(INDEX('G-1 All Habitats'!$AG$3:$AG$17,MATCH(D163,'G-1 All Habitats'!$AF$3:$AF$17,0)),"")</f>
        <v/>
      </c>
      <c r="D163" s="54"/>
      <c r="E163" s="61"/>
      <c r="F163" s="296" t="str">
        <f>IFERROR(INDEX('G-1 All Habitats'!$B$3:$B$134,MATCH(E163,'G-1 All Habitats'!$A$3:$A$134,0)),"")</f>
        <v/>
      </c>
      <c r="G163" s="53"/>
      <c r="H163" s="362" t="str">
        <f>IF(F163="","",VLOOKUP(F163,'G-1 All Habitats'!$B$2:$M$134,10,FALSE))</f>
        <v/>
      </c>
      <c r="I163" s="363" t="str">
        <f>IFERROR(VLOOKUP(H163,'G-1 All Habitats'!$V$3:$W$7,2,FALSE),"")</f>
        <v/>
      </c>
      <c r="J163" s="54"/>
      <c r="K163" s="363" t="str">
        <f>IFERROR(INDEX('G-8 Condition Look up'!$A$3:$H$135,MATCH(F163,'G-8 Condition Look up'!$A$3:$A$135,0),MATCH(J163,'G-8 Condition Look up'!$A$3:$H$3,0)),"")</f>
        <v/>
      </c>
      <c r="L163" s="54"/>
      <c r="M163" s="370" t="str">
        <f>IF(L163="","",IF(VLOOKUP(L163,'G-3 Multipliers'!$L$3:$N$6,2,FALSE)=0,"Spatial Data Missing",VLOOKUP(L163,'G-3 Multipliers'!$L$3:$N$6,2,FALSE)))</f>
        <v/>
      </c>
      <c r="N163" s="368" t="str">
        <f>IF(L163="","",IF(VLOOKUP(L163,'G-3 Multipliers'!$L$3:$N$6,3,FALSE)=0,"Spatial Data Missing",VLOOKUP(L163,'G-3 Multipliers'!$L$3:$N$6,3,FALSE)))</f>
        <v/>
      </c>
      <c r="O163" s="362" t="str">
        <f t="shared" si="12"/>
        <v/>
      </c>
      <c r="P163" s="63"/>
      <c r="Q163" s="63"/>
      <c r="R163" s="370" t="str">
        <f t="shared" si="14"/>
        <v/>
      </c>
      <c r="S163" s="383" t="str">
        <f t="shared" si="15"/>
        <v/>
      </c>
      <c r="T163" s="384" t="str">
        <f>IFERROR(IF(S163="Check Data ⚠","Check Data ⚠",VLOOKUP(S163,'G-4 Temporal multipliers'!$A$4:$C$37,3,FALSE)),"")</f>
        <v/>
      </c>
      <c r="U163" s="385" t="str">
        <f>IF(F163="","",VLOOKUP(F163,'G-3 Multipliers'!$A$2:$E$134,2,FALSE))</f>
        <v/>
      </c>
      <c r="V163" s="382" t="str">
        <f t="shared" si="17"/>
        <v/>
      </c>
      <c r="W163" s="382" t="str">
        <f>IF(E163="","",IF(AND(V163="Standard difficulty applied",O163&gt;P163),U163,IF(AND(V163="Low Difficulty - only applicable if all habitat created before losses",P163&gt;=O163),"Low",VLOOKUP(F163,'G-3 Multipliers'!$A$2:$E$134,4,FALSE))))</f>
        <v/>
      </c>
      <c r="X163" s="386" t="str">
        <f>IFERROR(IF(E163="","",VLOOKUP(W163, 'G-3 Multipliers'!$P$2:$Q$6,2,FALSE)),"")</f>
        <v/>
      </c>
      <c r="Y163" s="390" t="str">
        <f t="shared" si="16"/>
        <v/>
      </c>
      <c r="Z163" s="194"/>
      <c r="AA163" s="195"/>
      <c r="AB163" s="120"/>
      <c r="AE163" s="40" t="str">
        <f t="shared" si="13"/>
        <v/>
      </c>
    </row>
    <row r="164" spans="1:31">
      <c r="A164" s="35" t="str">
        <f>IFERROR(INDEX('G-8 Condition Look up'!$I$4:$I$135,MATCH(F164,'G-8 Condition Look up'!$A$4:$A$135,0)),"")</f>
        <v/>
      </c>
      <c r="C164" s="299" t="str">
        <f>IFERROR(INDEX('G-1 All Habitats'!$AG$3:$AG$17,MATCH(D164,'G-1 All Habitats'!$AF$3:$AF$17,0)),"")</f>
        <v/>
      </c>
      <c r="D164" s="54"/>
      <c r="E164" s="61"/>
      <c r="F164" s="296" t="str">
        <f>IFERROR(INDEX('G-1 All Habitats'!$B$3:$B$134,MATCH(E164,'G-1 All Habitats'!$A$3:$A$134,0)),"")</f>
        <v/>
      </c>
      <c r="G164" s="53"/>
      <c r="H164" s="362" t="str">
        <f>IF(F164="","",VLOOKUP(F164,'G-1 All Habitats'!$B$2:$M$134,10,FALSE))</f>
        <v/>
      </c>
      <c r="I164" s="363" t="str">
        <f>IFERROR(VLOOKUP(H164,'G-1 All Habitats'!$V$3:$W$7,2,FALSE),"")</f>
        <v/>
      </c>
      <c r="J164" s="54"/>
      <c r="K164" s="363" t="str">
        <f>IFERROR(INDEX('G-8 Condition Look up'!$A$3:$H$135,MATCH(F164,'G-8 Condition Look up'!$A$3:$A$135,0),MATCH(J164,'G-8 Condition Look up'!$A$3:$H$3,0)),"")</f>
        <v/>
      </c>
      <c r="L164" s="54"/>
      <c r="M164" s="370" t="str">
        <f>IF(L164="","",IF(VLOOKUP(L164,'G-3 Multipliers'!$L$3:$N$6,2,FALSE)=0,"Spatial Data Missing",VLOOKUP(L164,'G-3 Multipliers'!$L$3:$N$6,2,FALSE)))</f>
        <v/>
      </c>
      <c r="N164" s="368" t="str">
        <f>IF(L164="","",IF(VLOOKUP(L164,'G-3 Multipliers'!$L$3:$N$6,3,FALSE)=0,"Spatial Data Missing",VLOOKUP(L164,'G-3 Multipliers'!$L$3:$N$6,3,FALSE)))</f>
        <v/>
      </c>
      <c r="O164" s="362" t="str">
        <f t="shared" si="12"/>
        <v/>
      </c>
      <c r="P164" s="63"/>
      <c r="Q164" s="63"/>
      <c r="R164" s="370" t="str">
        <f t="shared" si="14"/>
        <v/>
      </c>
      <c r="S164" s="383" t="str">
        <f t="shared" si="15"/>
        <v/>
      </c>
      <c r="T164" s="384" t="str">
        <f>IFERROR(IF(S164="Check Data ⚠","Check Data ⚠",VLOOKUP(S164,'G-4 Temporal multipliers'!$A$4:$C$37,3,FALSE)),"")</f>
        <v/>
      </c>
      <c r="U164" s="385" t="str">
        <f>IF(F164="","",VLOOKUP(F164,'G-3 Multipliers'!$A$2:$E$134,2,FALSE))</f>
        <v/>
      </c>
      <c r="V164" s="382" t="str">
        <f t="shared" si="17"/>
        <v/>
      </c>
      <c r="W164" s="382" t="str">
        <f>IF(E164="","",IF(AND(V164="Standard difficulty applied",O164&gt;P164),U164,IF(AND(V164="Low Difficulty - only applicable if all habitat created before losses",P164&gt;=O164),"Low",VLOOKUP(F164,'G-3 Multipliers'!$A$2:$E$134,4,FALSE))))</f>
        <v/>
      </c>
      <c r="X164" s="386" t="str">
        <f>IFERROR(IF(E164="","",VLOOKUP(W164, 'G-3 Multipliers'!$P$2:$Q$6,2,FALSE)),"")</f>
        <v/>
      </c>
      <c r="Y164" s="390" t="str">
        <f t="shared" si="16"/>
        <v/>
      </c>
      <c r="Z164" s="194"/>
      <c r="AA164" s="195"/>
      <c r="AB164" s="120"/>
      <c r="AE164" s="40" t="str">
        <f t="shared" si="13"/>
        <v/>
      </c>
    </row>
    <row r="165" spans="1:31">
      <c r="A165" s="35" t="str">
        <f>IFERROR(INDEX('G-8 Condition Look up'!$I$4:$I$135,MATCH(F165,'G-8 Condition Look up'!$A$4:$A$135,0)),"")</f>
        <v/>
      </c>
      <c r="C165" s="299" t="str">
        <f>IFERROR(INDEX('G-1 All Habitats'!$AG$3:$AG$17,MATCH(D165,'G-1 All Habitats'!$AF$3:$AF$17,0)),"")</f>
        <v/>
      </c>
      <c r="D165" s="54"/>
      <c r="E165" s="61"/>
      <c r="F165" s="296" t="str">
        <f>IFERROR(INDEX('G-1 All Habitats'!$B$3:$B$134,MATCH(E165,'G-1 All Habitats'!$A$3:$A$134,0)),"")</f>
        <v/>
      </c>
      <c r="G165" s="53"/>
      <c r="H165" s="362" t="str">
        <f>IF(F165="","",VLOOKUP(F165,'G-1 All Habitats'!$B$2:$M$134,10,FALSE))</f>
        <v/>
      </c>
      <c r="I165" s="363" t="str">
        <f>IFERROR(VLOOKUP(H165,'G-1 All Habitats'!$V$3:$W$7,2,FALSE),"")</f>
        <v/>
      </c>
      <c r="J165" s="54"/>
      <c r="K165" s="363" t="str">
        <f>IFERROR(INDEX('G-8 Condition Look up'!$A$3:$H$135,MATCH(F165,'G-8 Condition Look up'!$A$3:$A$135,0),MATCH(J165,'G-8 Condition Look up'!$A$3:$H$3,0)),"")</f>
        <v/>
      </c>
      <c r="L165" s="54"/>
      <c r="M165" s="370" t="str">
        <f>IF(L165="","",IF(VLOOKUP(L165,'G-3 Multipliers'!$L$3:$N$6,2,FALSE)=0,"Spatial Data Missing",VLOOKUP(L165,'G-3 Multipliers'!$L$3:$N$6,2,FALSE)))</f>
        <v/>
      </c>
      <c r="N165" s="368" t="str">
        <f>IF(L165="","",IF(VLOOKUP(L165,'G-3 Multipliers'!$L$3:$N$6,3,FALSE)=0,"Spatial Data Missing",VLOOKUP(L165,'G-3 Multipliers'!$L$3:$N$6,3,FALSE)))</f>
        <v/>
      </c>
      <c r="O165" s="362" t="str">
        <f t="shared" si="12"/>
        <v/>
      </c>
      <c r="P165" s="63"/>
      <c r="Q165" s="63"/>
      <c r="R165" s="370" t="str">
        <f t="shared" si="14"/>
        <v/>
      </c>
      <c r="S165" s="383" t="str">
        <f t="shared" si="15"/>
        <v/>
      </c>
      <c r="T165" s="384" t="str">
        <f>IFERROR(IF(S165="Check Data ⚠","Check Data ⚠",VLOOKUP(S165,'G-4 Temporal multipliers'!$A$4:$C$37,3,FALSE)),"")</f>
        <v/>
      </c>
      <c r="U165" s="385" t="str">
        <f>IF(F165="","",VLOOKUP(F165,'G-3 Multipliers'!$A$2:$E$134,2,FALSE))</f>
        <v/>
      </c>
      <c r="V165" s="382" t="str">
        <f t="shared" si="17"/>
        <v/>
      </c>
      <c r="W165" s="382" t="str">
        <f>IF(E165="","",IF(AND(V165="Standard difficulty applied",O165&gt;P165),U165,IF(AND(V165="Low Difficulty - only applicable if all habitat created before losses",P165&gt;=O165),"Low",VLOOKUP(F165,'G-3 Multipliers'!$A$2:$E$134,4,FALSE))))</f>
        <v/>
      </c>
      <c r="X165" s="386" t="str">
        <f>IFERROR(IF(E165="","",VLOOKUP(W165, 'G-3 Multipliers'!$P$2:$Q$6,2,FALSE)),"")</f>
        <v/>
      </c>
      <c r="Y165" s="390" t="str">
        <f t="shared" si="16"/>
        <v/>
      </c>
      <c r="Z165" s="194"/>
      <c r="AA165" s="195"/>
      <c r="AB165" s="120"/>
      <c r="AE165" s="40" t="str">
        <f t="shared" si="13"/>
        <v/>
      </c>
    </row>
    <row r="166" spans="1:31">
      <c r="A166" s="35" t="str">
        <f>IFERROR(INDEX('G-8 Condition Look up'!$I$4:$I$135,MATCH(F166,'G-8 Condition Look up'!$A$4:$A$135,0)),"")</f>
        <v/>
      </c>
      <c r="C166" s="299" t="str">
        <f>IFERROR(INDEX('G-1 All Habitats'!$AG$3:$AG$17,MATCH(D166,'G-1 All Habitats'!$AF$3:$AF$17,0)),"")</f>
        <v/>
      </c>
      <c r="D166" s="54"/>
      <c r="E166" s="61"/>
      <c r="F166" s="296" t="str">
        <f>IFERROR(INDEX('G-1 All Habitats'!$B$3:$B$134,MATCH(E166,'G-1 All Habitats'!$A$3:$A$134,0)),"")</f>
        <v/>
      </c>
      <c r="G166" s="53"/>
      <c r="H166" s="362" t="str">
        <f>IF(F166="","",VLOOKUP(F166,'G-1 All Habitats'!$B$2:$M$134,10,FALSE))</f>
        <v/>
      </c>
      <c r="I166" s="363" t="str">
        <f>IFERROR(VLOOKUP(H166,'G-1 All Habitats'!$V$3:$W$7,2,FALSE),"")</f>
        <v/>
      </c>
      <c r="J166" s="54"/>
      <c r="K166" s="363" t="str">
        <f>IFERROR(INDEX('G-8 Condition Look up'!$A$3:$H$135,MATCH(F166,'G-8 Condition Look up'!$A$3:$A$135,0),MATCH(J166,'G-8 Condition Look up'!$A$3:$H$3,0)),"")</f>
        <v/>
      </c>
      <c r="L166" s="54"/>
      <c r="M166" s="370" t="str">
        <f>IF(L166="","",IF(VLOOKUP(L166,'G-3 Multipliers'!$L$3:$N$6,2,FALSE)=0,"Spatial Data Missing",VLOOKUP(L166,'G-3 Multipliers'!$L$3:$N$6,2,FALSE)))</f>
        <v/>
      </c>
      <c r="N166" s="368" t="str">
        <f>IF(L166="","",IF(VLOOKUP(L166,'G-3 Multipliers'!$L$3:$N$6,3,FALSE)=0,"Spatial Data Missing",VLOOKUP(L166,'G-3 Multipliers'!$L$3:$N$6,3,FALSE)))</f>
        <v/>
      </c>
      <c r="O166" s="362" t="str">
        <f t="shared" si="12"/>
        <v/>
      </c>
      <c r="P166" s="63"/>
      <c r="Q166" s="63"/>
      <c r="R166" s="370" t="str">
        <f t="shared" si="14"/>
        <v/>
      </c>
      <c r="S166" s="383" t="str">
        <f t="shared" si="15"/>
        <v/>
      </c>
      <c r="T166" s="384" t="str">
        <f>IFERROR(IF(S166="Check Data ⚠","Check Data ⚠",VLOOKUP(S166,'G-4 Temporal multipliers'!$A$4:$C$37,3,FALSE)),"")</f>
        <v/>
      </c>
      <c r="U166" s="385" t="str">
        <f>IF(F166="","",VLOOKUP(F166,'G-3 Multipliers'!$A$2:$E$134,2,FALSE))</f>
        <v/>
      </c>
      <c r="V166" s="382" t="str">
        <f t="shared" si="17"/>
        <v/>
      </c>
      <c r="W166" s="382" t="str">
        <f>IF(E166="","",IF(AND(V166="Standard difficulty applied",O166&gt;P166),U166,IF(AND(V166="Low Difficulty - only applicable if all habitat created before losses",P166&gt;=O166),"Low",VLOOKUP(F166,'G-3 Multipliers'!$A$2:$E$134,4,FALSE))))</f>
        <v/>
      </c>
      <c r="X166" s="386" t="str">
        <f>IFERROR(IF(E166="","",VLOOKUP(W166, 'G-3 Multipliers'!$P$2:$Q$6,2,FALSE)),"")</f>
        <v/>
      </c>
      <c r="Y166" s="390" t="str">
        <f t="shared" si="16"/>
        <v/>
      </c>
      <c r="Z166" s="194"/>
      <c r="AA166" s="195"/>
      <c r="AB166" s="120"/>
      <c r="AE166" s="40" t="str">
        <f t="shared" si="13"/>
        <v/>
      </c>
    </row>
    <row r="167" spans="1:31">
      <c r="A167" s="35" t="str">
        <f>IFERROR(INDEX('G-8 Condition Look up'!$I$4:$I$135,MATCH(F167,'G-8 Condition Look up'!$A$4:$A$135,0)),"")</f>
        <v/>
      </c>
      <c r="C167" s="299" t="str">
        <f>IFERROR(INDEX('G-1 All Habitats'!$AG$3:$AG$17,MATCH(D167,'G-1 All Habitats'!$AF$3:$AF$17,0)),"")</f>
        <v/>
      </c>
      <c r="D167" s="54"/>
      <c r="E167" s="61"/>
      <c r="F167" s="296" t="str">
        <f>IFERROR(INDEX('G-1 All Habitats'!$B$3:$B$134,MATCH(E167,'G-1 All Habitats'!$A$3:$A$134,0)),"")</f>
        <v/>
      </c>
      <c r="G167" s="53"/>
      <c r="H167" s="362" t="str">
        <f>IF(F167="","",VLOOKUP(F167,'G-1 All Habitats'!$B$2:$M$134,10,FALSE))</f>
        <v/>
      </c>
      <c r="I167" s="363" t="str">
        <f>IFERROR(VLOOKUP(H167,'G-1 All Habitats'!$V$3:$W$7,2,FALSE),"")</f>
        <v/>
      </c>
      <c r="J167" s="54"/>
      <c r="K167" s="363" t="str">
        <f>IFERROR(INDEX('G-8 Condition Look up'!$A$3:$H$135,MATCH(F167,'G-8 Condition Look up'!$A$3:$A$135,0),MATCH(J167,'G-8 Condition Look up'!$A$3:$H$3,0)),"")</f>
        <v/>
      </c>
      <c r="L167" s="54"/>
      <c r="M167" s="370" t="str">
        <f>IF(L167="","",IF(VLOOKUP(L167,'G-3 Multipliers'!$L$3:$N$6,2,FALSE)=0,"Spatial Data Missing",VLOOKUP(L167,'G-3 Multipliers'!$L$3:$N$6,2,FALSE)))</f>
        <v/>
      </c>
      <c r="N167" s="368" t="str">
        <f>IF(L167="","",IF(VLOOKUP(L167,'G-3 Multipliers'!$L$3:$N$6,3,FALSE)=0,"Spatial Data Missing",VLOOKUP(L167,'G-3 Multipliers'!$L$3:$N$6,3,FALSE)))</f>
        <v/>
      </c>
      <c r="O167" s="362" t="str">
        <f t="shared" si="12"/>
        <v/>
      </c>
      <c r="P167" s="63"/>
      <c r="Q167" s="63"/>
      <c r="R167" s="370" t="str">
        <f t="shared" si="14"/>
        <v/>
      </c>
      <c r="S167" s="383" t="str">
        <f t="shared" si="15"/>
        <v/>
      </c>
      <c r="T167" s="384" t="str">
        <f>IFERROR(IF(S167="Check Data ⚠","Check Data ⚠",VLOOKUP(S167,'G-4 Temporal multipliers'!$A$4:$C$37,3,FALSE)),"")</f>
        <v/>
      </c>
      <c r="U167" s="385" t="str">
        <f>IF(F167="","",VLOOKUP(F167,'G-3 Multipliers'!$A$2:$E$134,2,FALSE))</f>
        <v/>
      </c>
      <c r="V167" s="382" t="str">
        <f t="shared" si="17"/>
        <v/>
      </c>
      <c r="W167" s="382" t="str">
        <f>IF(E167="","",IF(AND(V167="Standard difficulty applied",O167&gt;P167),U167,IF(AND(V167="Low Difficulty - only applicable if all habitat created before losses",P167&gt;=O167),"Low",VLOOKUP(F167,'G-3 Multipliers'!$A$2:$E$134,4,FALSE))))</f>
        <v/>
      </c>
      <c r="X167" s="386" t="str">
        <f>IFERROR(IF(E167="","",VLOOKUP(W167, 'G-3 Multipliers'!$P$2:$Q$6,2,FALSE)),"")</f>
        <v/>
      </c>
      <c r="Y167" s="390" t="str">
        <f t="shared" si="16"/>
        <v/>
      </c>
      <c r="Z167" s="194"/>
      <c r="AA167" s="195"/>
      <c r="AB167" s="120"/>
      <c r="AE167" s="40" t="str">
        <f t="shared" si="13"/>
        <v/>
      </c>
    </row>
    <row r="168" spans="1:31">
      <c r="A168" s="35" t="str">
        <f>IFERROR(INDEX('G-8 Condition Look up'!$I$4:$I$135,MATCH(F168,'G-8 Condition Look up'!$A$4:$A$135,0)),"")</f>
        <v/>
      </c>
      <c r="C168" s="299" t="str">
        <f>IFERROR(INDEX('G-1 All Habitats'!$AG$3:$AG$17,MATCH(D168,'G-1 All Habitats'!$AF$3:$AF$17,0)),"")</f>
        <v/>
      </c>
      <c r="D168" s="54"/>
      <c r="E168" s="61"/>
      <c r="F168" s="296" t="str">
        <f>IFERROR(INDEX('G-1 All Habitats'!$B$3:$B$134,MATCH(E168,'G-1 All Habitats'!$A$3:$A$134,0)),"")</f>
        <v/>
      </c>
      <c r="G168" s="53"/>
      <c r="H168" s="362" t="str">
        <f>IF(F168="","",VLOOKUP(F168,'G-1 All Habitats'!$B$2:$M$134,10,FALSE))</f>
        <v/>
      </c>
      <c r="I168" s="363" t="str">
        <f>IFERROR(VLOOKUP(H168,'G-1 All Habitats'!$V$3:$W$7,2,FALSE),"")</f>
        <v/>
      </c>
      <c r="J168" s="54"/>
      <c r="K168" s="363" t="str">
        <f>IFERROR(INDEX('G-8 Condition Look up'!$A$3:$H$135,MATCH(F168,'G-8 Condition Look up'!$A$3:$A$135,0),MATCH(J168,'G-8 Condition Look up'!$A$3:$H$3,0)),"")</f>
        <v/>
      </c>
      <c r="L168" s="54"/>
      <c r="M168" s="370" t="str">
        <f>IF(L168="","",IF(VLOOKUP(L168,'G-3 Multipliers'!$L$3:$N$6,2,FALSE)=0,"Spatial Data Missing",VLOOKUP(L168,'G-3 Multipliers'!$L$3:$N$6,2,FALSE)))</f>
        <v/>
      </c>
      <c r="N168" s="368" t="str">
        <f>IF(L168="","",IF(VLOOKUP(L168,'G-3 Multipliers'!$L$3:$N$6,3,FALSE)=0,"Spatial Data Missing",VLOOKUP(L168,'G-3 Multipliers'!$L$3:$N$6,3,FALSE)))</f>
        <v/>
      </c>
      <c r="O168" s="362" t="str">
        <f t="shared" si="12"/>
        <v/>
      </c>
      <c r="P168" s="63"/>
      <c r="Q168" s="63"/>
      <c r="R168" s="370" t="str">
        <f t="shared" si="14"/>
        <v/>
      </c>
      <c r="S168" s="383" t="str">
        <f t="shared" si="15"/>
        <v/>
      </c>
      <c r="T168" s="384" t="str">
        <f>IFERROR(IF(S168="Check Data ⚠","Check Data ⚠",VLOOKUP(S168,'G-4 Temporal multipliers'!$A$4:$C$37,3,FALSE)),"")</f>
        <v/>
      </c>
      <c r="U168" s="385" t="str">
        <f>IF(F168="","",VLOOKUP(F168,'G-3 Multipliers'!$A$2:$E$134,2,FALSE))</f>
        <v/>
      </c>
      <c r="V168" s="382" t="str">
        <f t="shared" si="17"/>
        <v/>
      </c>
      <c r="W168" s="382" t="str">
        <f>IF(E168="","",IF(AND(V168="Standard difficulty applied",O168&gt;P168),U168,IF(AND(V168="Low Difficulty - only applicable if all habitat created before losses",P168&gt;=O168),"Low",VLOOKUP(F168,'G-3 Multipliers'!$A$2:$E$134,4,FALSE))))</f>
        <v/>
      </c>
      <c r="X168" s="386" t="str">
        <f>IFERROR(IF(E168="","",VLOOKUP(W168, 'G-3 Multipliers'!$P$2:$Q$6,2,FALSE)),"")</f>
        <v/>
      </c>
      <c r="Y168" s="390" t="str">
        <f t="shared" si="16"/>
        <v/>
      </c>
      <c r="Z168" s="194"/>
      <c r="AA168" s="195"/>
      <c r="AB168" s="120"/>
      <c r="AE168" s="40" t="str">
        <f t="shared" si="13"/>
        <v/>
      </c>
    </row>
    <row r="169" spans="1:31">
      <c r="A169" s="35" t="str">
        <f>IFERROR(INDEX('G-8 Condition Look up'!$I$4:$I$135,MATCH(F169,'G-8 Condition Look up'!$A$4:$A$135,0)),"")</f>
        <v/>
      </c>
      <c r="C169" s="299" t="str">
        <f>IFERROR(INDEX('G-1 All Habitats'!$AG$3:$AG$17,MATCH(D169,'G-1 All Habitats'!$AF$3:$AF$17,0)),"")</f>
        <v/>
      </c>
      <c r="D169" s="54"/>
      <c r="E169" s="61"/>
      <c r="F169" s="296" t="str">
        <f>IFERROR(INDEX('G-1 All Habitats'!$B$3:$B$134,MATCH(E169,'G-1 All Habitats'!$A$3:$A$134,0)),"")</f>
        <v/>
      </c>
      <c r="G169" s="53"/>
      <c r="H169" s="362" t="str">
        <f>IF(F169="","",VLOOKUP(F169,'G-1 All Habitats'!$B$2:$M$134,10,FALSE))</f>
        <v/>
      </c>
      <c r="I169" s="363" t="str">
        <f>IFERROR(VLOOKUP(H169,'G-1 All Habitats'!$V$3:$W$7,2,FALSE),"")</f>
        <v/>
      </c>
      <c r="J169" s="54"/>
      <c r="K169" s="363" t="str">
        <f>IFERROR(INDEX('G-8 Condition Look up'!$A$3:$H$135,MATCH(F169,'G-8 Condition Look up'!$A$3:$A$135,0),MATCH(J169,'G-8 Condition Look up'!$A$3:$H$3,0)),"")</f>
        <v/>
      </c>
      <c r="L169" s="54"/>
      <c r="M169" s="370" t="str">
        <f>IF(L169="","",IF(VLOOKUP(L169,'G-3 Multipliers'!$L$3:$N$6,2,FALSE)=0,"Spatial Data Missing",VLOOKUP(L169,'G-3 Multipliers'!$L$3:$N$6,2,FALSE)))</f>
        <v/>
      </c>
      <c r="N169" s="368" t="str">
        <f>IF(L169="","",IF(VLOOKUP(L169,'G-3 Multipliers'!$L$3:$N$6,3,FALSE)=0,"Spatial Data Missing",VLOOKUP(L169,'G-3 Multipliers'!$L$3:$N$6,3,FALSE)))</f>
        <v/>
      </c>
      <c r="O169" s="362" t="str">
        <f t="shared" si="12"/>
        <v/>
      </c>
      <c r="P169" s="63"/>
      <c r="Q169" s="63"/>
      <c r="R169" s="370" t="str">
        <f t="shared" si="14"/>
        <v/>
      </c>
      <c r="S169" s="383" t="str">
        <f t="shared" si="15"/>
        <v/>
      </c>
      <c r="T169" s="384" t="str">
        <f>IFERROR(IF(S169="Check Data ⚠","Check Data ⚠",VLOOKUP(S169,'G-4 Temporal multipliers'!$A$4:$C$37,3,FALSE)),"")</f>
        <v/>
      </c>
      <c r="U169" s="385" t="str">
        <f>IF(F169="","",VLOOKUP(F169,'G-3 Multipliers'!$A$2:$E$134,2,FALSE))</f>
        <v/>
      </c>
      <c r="V169" s="382" t="str">
        <f t="shared" si="17"/>
        <v/>
      </c>
      <c r="W169" s="382" t="str">
        <f>IF(E169="","",IF(AND(V169="Standard difficulty applied",O169&gt;P169),U169,IF(AND(V169="Low Difficulty - only applicable if all habitat created before losses",P169&gt;=O169),"Low",VLOOKUP(F169,'G-3 Multipliers'!$A$2:$E$134,4,FALSE))))</f>
        <v/>
      </c>
      <c r="X169" s="386" t="str">
        <f>IFERROR(IF(E169="","",VLOOKUP(W169, 'G-3 Multipliers'!$P$2:$Q$6,2,FALSE)),"")</f>
        <v/>
      </c>
      <c r="Y169" s="390" t="str">
        <f t="shared" si="16"/>
        <v/>
      </c>
      <c r="Z169" s="194"/>
      <c r="AA169" s="195"/>
      <c r="AB169" s="120"/>
      <c r="AE169" s="40" t="str">
        <f t="shared" si="13"/>
        <v/>
      </c>
    </row>
    <row r="170" spans="1:31">
      <c r="A170" s="35" t="str">
        <f>IFERROR(INDEX('G-8 Condition Look up'!$I$4:$I$135,MATCH(F170,'G-8 Condition Look up'!$A$4:$A$135,0)),"")</f>
        <v/>
      </c>
      <c r="C170" s="299" t="str">
        <f>IFERROR(INDEX('G-1 All Habitats'!$AG$3:$AG$17,MATCH(D170,'G-1 All Habitats'!$AF$3:$AF$17,0)),"")</f>
        <v/>
      </c>
      <c r="D170" s="54"/>
      <c r="E170" s="61"/>
      <c r="F170" s="296" t="str">
        <f>IFERROR(INDEX('G-1 All Habitats'!$B$3:$B$134,MATCH(E170,'G-1 All Habitats'!$A$3:$A$134,0)),"")</f>
        <v/>
      </c>
      <c r="G170" s="53"/>
      <c r="H170" s="362" t="str">
        <f>IF(F170="","",VLOOKUP(F170,'G-1 All Habitats'!$B$2:$M$134,10,FALSE))</f>
        <v/>
      </c>
      <c r="I170" s="363" t="str">
        <f>IFERROR(VLOOKUP(H170,'G-1 All Habitats'!$V$3:$W$7,2,FALSE),"")</f>
        <v/>
      </c>
      <c r="J170" s="54"/>
      <c r="K170" s="363" t="str">
        <f>IFERROR(INDEX('G-8 Condition Look up'!$A$3:$H$135,MATCH(F170,'G-8 Condition Look up'!$A$3:$A$135,0),MATCH(J170,'G-8 Condition Look up'!$A$3:$H$3,0)),"")</f>
        <v/>
      </c>
      <c r="L170" s="54"/>
      <c r="M170" s="370" t="str">
        <f>IF(L170="","",IF(VLOOKUP(L170,'G-3 Multipliers'!$L$3:$N$6,2,FALSE)=0,"Spatial Data Missing",VLOOKUP(L170,'G-3 Multipliers'!$L$3:$N$6,2,FALSE)))</f>
        <v/>
      </c>
      <c r="N170" s="368" t="str">
        <f>IF(L170="","",IF(VLOOKUP(L170,'G-3 Multipliers'!$L$3:$N$6,3,FALSE)=0,"Spatial Data Missing",VLOOKUP(L170,'G-3 Multipliers'!$L$3:$N$6,3,FALSE)))</f>
        <v/>
      </c>
      <c r="O170" s="362" t="str">
        <f t="shared" si="12"/>
        <v/>
      </c>
      <c r="P170" s="63"/>
      <c r="Q170" s="63"/>
      <c r="R170" s="370" t="str">
        <f t="shared" si="14"/>
        <v/>
      </c>
      <c r="S170" s="383" t="str">
        <f t="shared" si="15"/>
        <v/>
      </c>
      <c r="T170" s="384" t="str">
        <f>IFERROR(IF(S170="Check Data ⚠","Check Data ⚠",VLOOKUP(S170,'G-4 Temporal multipliers'!$A$4:$C$37,3,FALSE)),"")</f>
        <v/>
      </c>
      <c r="U170" s="385" t="str">
        <f>IF(F170="","",VLOOKUP(F170,'G-3 Multipliers'!$A$2:$E$134,2,FALSE))</f>
        <v/>
      </c>
      <c r="V170" s="382" t="str">
        <f t="shared" si="17"/>
        <v/>
      </c>
      <c r="W170" s="382" t="str">
        <f>IF(E170="","",IF(AND(V170="Standard difficulty applied",O170&gt;P170),U170,IF(AND(V170="Low Difficulty - only applicable if all habitat created before losses",P170&gt;=O170),"Low",VLOOKUP(F170,'G-3 Multipliers'!$A$2:$E$134,4,FALSE))))</f>
        <v/>
      </c>
      <c r="X170" s="386" t="str">
        <f>IFERROR(IF(E170="","",VLOOKUP(W170, 'G-3 Multipliers'!$P$2:$Q$6,2,FALSE)),"")</f>
        <v/>
      </c>
      <c r="Y170" s="390" t="str">
        <f t="shared" si="16"/>
        <v/>
      </c>
      <c r="Z170" s="194"/>
      <c r="AA170" s="195"/>
      <c r="AB170" s="120"/>
      <c r="AE170" s="40" t="str">
        <f t="shared" si="13"/>
        <v/>
      </c>
    </row>
    <row r="171" spans="1:31">
      <c r="A171" s="35" t="str">
        <f>IFERROR(INDEX('G-8 Condition Look up'!$I$4:$I$135,MATCH(F171,'G-8 Condition Look up'!$A$4:$A$135,0)),"")</f>
        <v/>
      </c>
      <c r="C171" s="299" t="str">
        <f>IFERROR(INDEX('G-1 All Habitats'!$AG$3:$AG$17,MATCH(D171,'G-1 All Habitats'!$AF$3:$AF$17,0)),"")</f>
        <v/>
      </c>
      <c r="D171" s="54"/>
      <c r="E171" s="61"/>
      <c r="F171" s="296" t="str">
        <f>IFERROR(INDEX('G-1 All Habitats'!$B$3:$B$134,MATCH(E171,'G-1 All Habitats'!$A$3:$A$134,0)),"")</f>
        <v/>
      </c>
      <c r="G171" s="53"/>
      <c r="H171" s="362" t="str">
        <f>IF(F171="","",VLOOKUP(F171,'G-1 All Habitats'!$B$2:$M$134,10,FALSE))</f>
        <v/>
      </c>
      <c r="I171" s="363" t="str">
        <f>IFERROR(VLOOKUP(H171,'G-1 All Habitats'!$V$3:$W$7,2,FALSE),"")</f>
        <v/>
      </c>
      <c r="J171" s="54"/>
      <c r="K171" s="363" t="str">
        <f>IFERROR(INDEX('G-8 Condition Look up'!$A$3:$H$135,MATCH(F171,'G-8 Condition Look up'!$A$3:$A$135,0),MATCH(J171,'G-8 Condition Look up'!$A$3:$H$3,0)),"")</f>
        <v/>
      </c>
      <c r="L171" s="54"/>
      <c r="M171" s="370" t="str">
        <f>IF(L171="","",IF(VLOOKUP(L171,'G-3 Multipliers'!$L$3:$N$6,2,FALSE)=0,"Spatial Data Missing",VLOOKUP(L171,'G-3 Multipliers'!$L$3:$N$6,2,FALSE)))</f>
        <v/>
      </c>
      <c r="N171" s="368" t="str">
        <f>IF(L171="","",IF(VLOOKUP(L171,'G-3 Multipliers'!$L$3:$N$6,3,FALSE)=0,"Spatial Data Missing",VLOOKUP(L171,'G-3 Multipliers'!$L$3:$N$6,3,FALSE)))</f>
        <v/>
      </c>
      <c r="O171" s="362" t="str">
        <f t="shared" si="12"/>
        <v/>
      </c>
      <c r="P171" s="63"/>
      <c r="Q171" s="63"/>
      <c r="R171" s="370" t="str">
        <f t="shared" si="14"/>
        <v/>
      </c>
      <c r="S171" s="383" t="str">
        <f t="shared" si="15"/>
        <v/>
      </c>
      <c r="T171" s="384" t="str">
        <f>IFERROR(IF(S171="Check Data ⚠","Check Data ⚠",VLOOKUP(S171,'G-4 Temporal multipliers'!$A$4:$C$37,3,FALSE)),"")</f>
        <v/>
      </c>
      <c r="U171" s="385" t="str">
        <f>IF(F171="","",VLOOKUP(F171,'G-3 Multipliers'!$A$2:$E$134,2,FALSE))</f>
        <v/>
      </c>
      <c r="V171" s="382" t="str">
        <f t="shared" si="17"/>
        <v/>
      </c>
      <c r="W171" s="382" t="str">
        <f>IF(E171="","",IF(AND(V171="Standard difficulty applied",O171&gt;P171),U171,IF(AND(V171="Low Difficulty - only applicable if all habitat created before losses",P171&gt;=O171),"Low",VLOOKUP(F171,'G-3 Multipliers'!$A$2:$E$134,4,FALSE))))</f>
        <v/>
      </c>
      <c r="X171" s="386" t="str">
        <f>IFERROR(IF(E171="","",VLOOKUP(W171, 'G-3 Multipliers'!$P$2:$Q$6,2,FALSE)),"")</f>
        <v/>
      </c>
      <c r="Y171" s="390" t="str">
        <f t="shared" si="16"/>
        <v/>
      </c>
      <c r="Z171" s="194"/>
      <c r="AA171" s="195"/>
      <c r="AB171" s="120"/>
      <c r="AE171" s="40" t="str">
        <f t="shared" si="13"/>
        <v/>
      </c>
    </row>
    <row r="172" spans="1:31">
      <c r="A172" s="35" t="str">
        <f>IFERROR(INDEX('G-8 Condition Look up'!$I$4:$I$135,MATCH(F172,'G-8 Condition Look up'!$A$4:$A$135,0)),"")</f>
        <v/>
      </c>
      <c r="C172" s="299" t="str">
        <f>IFERROR(INDEX('G-1 All Habitats'!$AG$3:$AG$17,MATCH(D172,'G-1 All Habitats'!$AF$3:$AF$17,0)),"")</f>
        <v/>
      </c>
      <c r="D172" s="54"/>
      <c r="E172" s="61"/>
      <c r="F172" s="296" t="str">
        <f>IFERROR(INDEX('G-1 All Habitats'!$B$3:$B$134,MATCH(E172,'G-1 All Habitats'!$A$3:$A$134,0)),"")</f>
        <v/>
      </c>
      <c r="G172" s="53"/>
      <c r="H172" s="362" t="str">
        <f>IF(F172="","",VLOOKUP(F172,'G-1 All Habitats'!$B$2:$M$134,10,FALSE))</f>
        <v/>
      </c>
      <c r="I172" s="363" t="str">
        <f>IFERROR(VLOOKUP(H172,'G-1 All Habitats'!$V$3:$W$7,2,FALSE),"")</f>
        <v/>
      </c>
      <c r="J172" s="54"/>
      <c r="K172" s="363" t="str">
        <f>IFERROR(INDEX('G-8 Condition Look up'!$A$3:$H$135,MATCH(F172,'G-8 Condition Look up'!$A$3:$A$135,0),MATCH(J172,'G-8 Condition Look up'!$A$3:$H$3,0)),"")</f>
        <v/>
      </c>
      <c r="L172" s="54"/>
      <c r="M172" s="370" t="str">
        <f>IF(L172="","",IF(VLOOKUP(L172,'G-3 Multipliers'!$L$3:$N$6,2,FALSE)=0,"Spatial Data Missing",VLOOKUP(L172,'G-3 Multipliers'!$L$3:$N$6,2,FALSE)))</f>
        <v/>
      </c>
      <c r="N172" s="368" t="str">
        <f>IF(L172="","",IF(VLOOKUP(L172,'G-3 Multipliers'!$L$3:$N$6,3,FALSE)=0,"Spatial Data Missing",VLOOKUP(L172,'G-3 Multipliers'!$L$3:$N$6,3,FALSE)))</f>
        <v/>
      </c>
      <c r="O172" s="362" t="str">
        <f t="shared" si="12"/>
        <v/>
      </c>
      <c r="P172" s="63"/>
      <c r="Q172" s="63"/>
      <c r="R172" s="370" t="str">
        <f t="shared" si="14"/>
        <v/>
      </c>
      <c r="S172" s="383" t="str">
        <f t="shared" si="15"/>
        <v/>
      </c>
      <c r="T172" s="384" t="str">
        <f>IFERROR(IF(S172="Check Data ⚠","Check Data ⚠",VLOOKUP(S172,'G-4 Temporal multipliers'!$A$4:$C$37,3,FALSE)),"")</f>
        <v/>
      </c>
      <c r="U172" s="385" t="str">
        <f>IF(F172="","",VLOOKUP(F172,'G-3 Multipliers'!$A$2:$E$134,2,FALSE))</f>
        <v/>
      </c>
      <c r="V172" s="382" t="str">
        <f t="shared" si="17"/>
        <v/>
      </c>
      <c r="W172" s="382" t="str">
        <f>IF(E172="","",IF(AND(V172="Standard difficulty applied",O172&gt;P172),U172,IF(AND(V172="Low Difficulty - only applicable if all habitat created before losses",P172&gt;=O172),"Low",VLOOKUP(F172,'G-3 Multipliers'!$A$2:$E$134,4,FALSE))))</f>
        <v/>
      </c>
      <c r="X172" s="386" t="str">
        <f>IFERROR(IF(E172="","",VLOOKUP(W172, 'G-3 Multipliers'!$P$2:$Q$6,2,FALSE)),"")</f>
        <v/>
      </c>
      <c r="Y172" s="390" t="str">
        <f t="shared" si="16"/>
        <v/>
      </c>
      <c r="Z172" s="194"/>
      <c r="AA172" s="195"/>
      <c r="AB172" s="120"/>
      <c r="AE172" s="40" t="str">
        <f t="shared" si="13"/>
        <v/>
      </c>
    </row>
    <row r="173" spans="1:31">
      <c r="A173" s="35" t="str">
        <f>IFERROR(INDEX('G-8 Condition Look up'!$I$4:$I$135,MATCH(F173,'G-8 Condition Look up'!$A$4:$A$135,0)),"")</f>
        <v/>
      </c>
      <c r="C173" s="299" t="str">
        <f>IFERROR(INDEX('G-1 All Habitats'!$AG$3:$AG$17,MATCH(D173,'G-1 All Habitats'!$AF$3:$AF$17,0)),"")</f>
        <v/>
      </c>
      <c r="D173" s="54"/>
      <c r="E173" s="61"/>
      <c r="F173" s="296" t="str">
        <f>IFERROR(INDEX('G-1 All Habitats'!$B$3:$B$134,MATCH(E173,'G-1 All Habitats'!$A$3:$A$134,0)),"")</f>
        <v/>
      </c>
      <c r="G173" s="53"/>
      <c r="H173" s="362" t="str">
        <f>IF(F173="","",VLOOKUP(F173,'G-1 All Habitats'!$B$2:$M$134,10,FALSE))</f>
        <v/>
      </c>
      <c r="I173" s="363" t="str">
        <f>IFERROR(VLOOKUP(H173,'G-1 All Habitats'!$V$3:$W$7,2,FALSE),"")</f>
        <v/>
      </c>
      <c r="J173" s="54"/>
      <c r="K173" s="363" t="str">
        <f>IFERROR(INDEX('G-8 Condition Look up'!$A$3:$H$135,MATCH(F173,'G-8 Condition Look up'!$A$3:$A$135,0),MATCH(J173,'G-8 Condition Look up'!$A$3:$H$3,0)),"")</f>
        <v/>
      </c>
      <c r="L173" s="54"/>
      <c r="M173" s="370" t="str">
        <f>IF(L173="","",IF(VLOOKUP(L173,'G-3 Multipliers'!$L$3:$N$6,2,FALSE)=0,"Spatial Data Missing",VLOOKUP(L173,'G-3 Multipliers'!$L$3:$N$6,2,FALSE)))</f>
        <v/>
      </c>
      <c r="N173" s="368" t="str">
        <f>IF(L173="","",IF(VLOOKUP(L173,'G-3 Multipliers'!$L$3:$N$6,3,FALSE)=0,"Spatial Data Missing",VLOOKUP(L173,'G-3 Multipliers'!$L$3:$N$6,3,FALSE)))</f>
        <v/>
      </c>
      <c r="O173" s="362" t="str">
        <f t="shared" si="12"/>
        <v/>
      </c>
      <c r="P173" s="63"/>
      <c r="Q173" s="63"/>
      <c r="R173" s="370" t="str">
        <f t="shared" si="14"/>
        <v/>
      </c>
      <c r="S173" s="383" t="str">
        <f t="shared" si="15"/>
        <v/>
      </c>
      <c r="T173" s="384" t="str">
        <f>IFERROR(IF(S173="Check Data ⚠","Check Data ⚠",VLOOKUP(S173,'G-4 Temporal multipliers'!$A$4:$C$37,3,FALSE)),"")</f>
        <v/>
      </c>
      <c r="U173" s="385" t="str">
        <f>IF(F173="","",VLOOKUP(F173,'G-3 Multipliers'!$A$2:$E$134,2,FALSE))</f>
        <v/>
      </c>
      <c r="V173" s="382" t="str">
        <f t="shared" si="17"/>
        <v/>
      </c>
      <c r="W173" s="382" t="str">
        <f>IF(E173="","",IF(AND(V173="Standard difficulty applied",O173&gt;P173),U173,IF(AND(V173="Low Difficulty - only applicable if all habitat created before losses",P173&gt;=O173),"Low",VLOOKUP(F173,'G-3 Multipliers'!$A$2:$E$134,4,FALSE))))</f>
        <v/>
      </c>
      <c r="X173" s="386" t="str">
        <f>IFERROR(IF(E173="","",VLOOKUP(W173, 'G-3 Multipliers'!$P$2:$Q$6,2,FALSE)),"")</f>
        <v/>
      </c>
      <c r="Y173" s="390" t="str">
        <f t="shared" si="16"/>
        <v/>
      </c>
      <c r="Z173" s="194"/>
      <c r="AA173" s="195"/>
      <c r="AB173" s="120"/>
      <c r="AE173" s="40" t="str">
        <f t="shared" si="13"/>
        <v/>
      </c>
    </row>
    <row r="174" spans="1:31">
      <c r="A174" s="35" t="str">
        <f>IFERROR(INDEX('G-8 Condition Look up'!$I$4:$I$135,MATCH(F174,'G-8 Condition Look up'!$A$4:$A$135,0)),"")</f>
        <v/>
      </c>
      <c r="C174" s="299" t="str">
        <f>IFERROR(INDEX('G-1 All Habitats'!$AG$3:$AG$17,MATCH(D174,'G-1 All Habitats'!$AF$3:$AF$17,0)),"")</f>
        <v/>
      </c>
      <c r="D174" s="54"/>
      <c r="E174" s="61"/>
      <c r="F174" s="296" t="str">
        <f>IFERROR(INDEX('G-1 All Habitats'!$B$3:$B$134,MATCH(E174,'G-1 All Habitats'!$A$3:$A$134,0)),"")</f>
        <v/>
      </c>
      <c r="G174" s="53"/>
      <c r="H174" s="362" t="str">
        <f>IF(F174="","",VLOOKUP(F174,'G-1 All Habitats'!$B$2:$M$134,10,FALSE))</f>
        <v/>
      </c>
      <c r="I174" s="363" t="str">
        <f>IFERROR(VLOOKUP(H174,'G-1 All Habitats'!$V$3:$W$7,2,FALSE),"")</f>
        <v/>
      </c>
      <c r="J174" s="54"/>
      <c r="K174" s="363" t="str">
        <f>IFERROR(INDEX('G-8 Condition Look up'!$A$3:$H$135,MATCH(F174,'G-8 Condition Look up'!$A$3:$A$135,0),MATCH(J174,'G-8 Condition Look up'!$A$3:$H$3,0)),"")</f>
        <v/>
      </c>
      <c r="L174" s="54"/>
      <c r="M174" s="370" t="str">
        <f>IF(L174="","",IF(VLOOKUP(L174,'G-3 Multipliers'!$L$3:$N$6,2,FALSE)=0,"Spatial Data Missing",VLOOKUP(L174,'G-3 Multipliers'!$L$3:$N$6,2,FALSE)))</f>
        <v/>
      </c>
      <c r="N174" s="368" t="str">
        <f>IF(L174="","",IF(VLOOKUP(L174,'G-3 Multipliers'!$L$3:$N$6,3,FALSE)=0,"Spatial Data Missing",VLOOKUP(L174,'G-3 Multipliers'!$L$3:$N$6,3,FALSE)))</f>
        <v/>
      </c>
      <c r="O174" s="362" t="str">
        <f t="shared" si="12"/>
        <v/>
      </c>
      <c r="P174" s="63"/>
      <c r="Q174" s="63"/>
      <c r="R174" s="370" t="str">
        <f t="shared" si="14"/>
        <v/>
      </c>
      <c r="S174" s="383" t="str">
        <f t="shared" si="15"/>
        <v/>
      </c>
      <c r="T174" s="384" t="str">
        <f>IFERROR(IF(S174="Check Data ⚠","Check Data ⚠",VLOOKUP(S174,'G-4 Temporal multipliers'!$A$4:$C$37,3,FALSE)),"")</f>
        <v/>
      </c>
      <c r="U174" s="385" t="str">
        <f>IF(F174="","",VLOOKUP(F174,'G-3 Multipliers'!$A$2:$E$134,2,FALSE))</f>
        <v/>
      </c>
      <c r="V174" s="382" t="str">
        <f t="shared" si="17"/>
        <v/>
      </c>
      <c r="W174" s="382" t="str">
        <f>IF(E174="","",IF(AND(V174="Standard difficulty applied",O174&gt;P174),U174,IF(AND(V174="Low Difficulty - only applicable if all habitat created before losses",P174&gt;=O174),"Low",VLOOKUP(F174,'G-3 Multipliers'!$A$2:$E$134,4,FALSE))))</f>
        <v/>
      </c>
      <c r="X174" s="386" t="str">
        <f>IFERROR(IF(E174="","",VLOOKUP(W174, 'G-3 Multipliers'!$P$2:$Q$6,2,FALSE)),"")</f>
        <v/>
      </c>
      <c r="Y174" s="390" t="str">
        <f t="shared" si="16"/>
        <v/>
      </c>
      <c r="Z174" s="194"/>
      <c r="AA174" s="195"/>
      <c r="AB174" s="120"/>
      <c r="AE174" s="40" t="str">
        <f t="shared" si="13"/>
        <v/>
      </c>
    </row>
    <row r="175" spans="1:31">
      <c r="A175" s="35" t="str">
        <f>IFERROR(INDEX('G-8 Condition Look up'!$I$4:$I$135,MATCH(F175,'G-8 Condition Look up'!$A$4:$A$135,0)),"")</f>
        <v/>
      </c>
      <c r="C175" s="299" t="str">
        <f>IFERROR(INDEX('G-1 All Habitats'!$AG$3:$AG$17,MATCH(D175,'G-1 All Habitats'!$AF$3:$AF$17,0)),"")</f>
        <v/>
      </c>
      <c r="D175" s="54"/>
      <c r="E175" s="61"/>
      <c r="F175" s="296" t="str">
        <f>IFERROR(INDEX('G-1 All Habitats'!$B$3:$B$134,MATCH(E175,'G-1 All Habitats'!$A$3:$A$134,0)),"")</f>
        <v/>
      </c>
      <c r="G175" s="53"/>
      <c r="H175" s="362" t="str">
        <f>IF(F175="","",VLOOKUP(F175,'G-1 All Habitats'!$B$2:$M$134,10,FALSE))</f>
        <v/>
      </c>
      <c r="I175" s="363" t="str">
        <f>IFERROR(VLOOKUP(H175,'G-1 All Habitats'!$V$3:$W$7,2,FALSE),"")</f>
        <v/>
      </c>
      <c r="J175" s="54"/>
      <c r="K175" s="363" t="str">
        <f>IFERROR(INDEX('G-8 Condition Look up'!$A$3:$H$135,MATCH(F175,'G-8 Condition Look up'!$A$3:$A$135,0),MATCH(J175,'G-8 Condition Look up'!$A$3:$H$3,0)),"")</f>
        <v/>
      </c>
      <c r="L175" s="54"/>
      <c r="M175" s="370" t="str">
        <f>IF(L175="","",IF(VLOOKUP(L175,'G-3 Multipliers'!$L$3:$N$6,2,FALSE)=0,"Spatial Data Missing",VLOOKUP(L175,'G-3 Multipliers'!$L$3:$N$6,2,FALSE)))</f>
        <v/>
      </c>
      <c r="N175" s="368" t="str">
        <f>IF(L175="","",IF(VLOOKUP(L175,'G-3 Multipliers'!$L$3:$N$6,3,FALSE)=0,"Spatial Data Missing",VLOOKUP(L175,'G-3 Multipliers'!$L$3:$N$6,3,FALSE)))</f>
        <v/>
      </c>
      <c r="O175" s="362" t="str">
        <f t="shared" si="12"/>
        <v/>
      </c>
      <c r="P175" s="63"/>
      <c r="Q175" s="63"/>
      <c r="R175" s="370" t="str">
        <f t="shared" si="14"/>
        <v/>
      </c>
      <c r="S175" s="383" t="str">
        <f t="shared" si="15"/>
        <v/>
      </c>
      <c r="T175" s="384" t="str">
        <f>IFERROR(IF(S175="Check Data ⚠","Check Data ⚠",VLOOKUP(S175,'G-4 Temporal multipliers'!$A$4:$C$37,3,FALSE)),"")</f>
        <v/>
      </c>
      <c r="U175" s="385" t="str">
        <f>IF(F175="","",VLOOKUP(F175,'G-3 Multipliers'!$A$2:$E$134,2,FALSE))</f>
        <v/>
      </c>
      <c r="V175" s="382" t="str">
        <f t="shared" si="17"/>
        <v/>
      </c>
      <c r="W175" s="382" t="str">
        <f>IF(E175="","",IF(AND(V175="Standard difficulty applied",O175&gt;P175),U175,IF(AND(V175="Low Difficulty - only applicable if all habitat created before losses",P175&gt;=O175),"Low",VLOOKUP(F175,'G-3 Multipliers'!$A$2:$E$134,4,FALSE))))</f>
        <v/>
      </c>
      <c r="X175" s="386" t="str">
        <f>IFERROR(IF(E175="","",VLOOKUP(W175, 'G-3 Multipliers'!$P$2:$Q$6,2,FALSE)),"")</f>
        <v/>
      </c>
      <c r="Y175" s="390" t="str">
        <f t="shared" si="16"/>
        <v/>
      </c>
      <c r="Z175" s="194"/>
      <c r="AA175" s="195"/>
      <c r="AB175" s="120"/>
      <c r="AE175" s="40" t="str">
        <f t="shared" si="13"/>
        <v/>
      </c>
    </row>
    <row r="176" spans="1:31">
      <c r="A176" s="35" t="str">
        <f>IFERROR(INDEX('G-8 Condition Look up'!$I$4:$I$135,MATCH(F176,'G-8 Condition Look up'!$A$4:$A$135,0)),"")</f>
        <v/>
      </c>
      <c r="C176" s="299" t="str">
        <f>IFERROR(INDEX('G-1 All Habitats'!$AG$3:$AG$17,MATCH(D176,'G-1 All Habitats'!$AF$3:$AF$17,0)),"")</f>
        <v/>
      </c>
      <c r="D176" s="54"/>
      <c r="E176" s="61"/>
      <c r="F176" s="296" t="str">
        <f>IFERROR(INDEX('G-1 All Habitats'!$B$3:$B$134,MATCH(E176,'G-1 All Habitats'!$A$3:$A$134,0)),"")</f>
        <v/>
      </c>
      <c r="G176" s="53"/>
      <c r="H176" s="362" t="str">
        <f>IF(F176="","",VLOOKUP(F176,'G-1 All Habitats'!$B$2:$M$134,10,FALSE))</f>
        <v/>
      </c>
      <c r="I176" s="363" t="str">
        <f>IFERROR(VLOOKUP(H176,'G-1 All Habitats'!$V$3:$W$7,2,FALSE),"")</f>
        <v/>
      </c>
      <c r="J176" s="54"/>
      <c r="K176" s="363" t="str">
        <f>IFERROR(INDEX('G-8 Condition Look up'!$A$3:$H$135,MATCH(F176,'G-8 Condition Look up'!$A$3:$A$135,0),MATCH(J176,'G-8 Condition Look up'!$A$3:$H$3,0)),"")</f>
        <v/>
      </c>
      <c r="L176" s="54"/>
      <c r="M176" s="370" t="str">
        <f>IF(L176="","",IF(VLOOKUP(L176,'G-3 Multipliers'!$L$3:$N$6,2,FALSE)=0,"Spatial Data Missing",VLOOKUP(L176,'G-3 Multipliers'!$L$3:$N$6,2,FALSE)))</f>
        <v/>
      </c>
      <c r="N176" s="368" t="str">
        <f>IF(L176="","",IF(VLOOKUP(L176,'G-3 Multipliers'!$L$3:$N$6,3,FALSE)=0,"Spatial Data Missing",VLOOKUP(L176,'G-3 Multipliers'!$L$3:$N$6,3,FALSE)))</f>
        <v/>
      </c>
      <c r="O176" s="362" t="str">
        <f t="shared" si="12"/>
        <v/>
      </c>
      <c r="P176" s="63"/>
      <c r="Q176" s="63"/>
      <c r="R176" s="370" t="str">
        <f t="shared" si="14"/>
        <v/>
      </c>
      <c r="S176" s="383" t="str">
        <f t="shared" si="15"/>
        <v/>
      </c>
      <c r="T176" s="384" t="str">
        <f>IFERROR(IF(S176="Check Data ⚠","Check Data ⚠",VLOOKUP(S176,'G-4 Temporal multipliers'!$A$4:$C$37,3,FALSE)),"")</f>
        <v/>
      </c>
      <c r="U176" s="385" t="str">
        <f>IF(F176="","",VLOOKUP(F176,'G-3 Multipliers'!$A$2:$E$134,2,FALSE))</f>
        <v/>
      </c>
      <c r="V176" s="382" t="str">
        <f t="shared" si="17"/>
        <v/>
      </c>
      <c r="W176" s="382" t="str">
        <f>IF(E176="","",IF(AND(V176="Standard difficulty applied",O176&gt;P176),U176,IF(AND(V176="Low Difficulty - only applicable if all habitat created before losses",P176&gt;=O176),"Low",VLOOKUP(F176,'G-3 Multipliers'!$A$2:$E$134,4,FALSE))))</f>
        <v/>
      </c>
      <c r="X176" s="386" t="str">
        <f>IFERROR(IF(E176="","",VLOOKUP(W176, 'G-3 Multipliers'!$P$2:$Q$6,2,FALSE)),"")</f>
        <v/>
      </c>
      <c r="Y176" s="390" t="str">
        <f t="shared" si="16"/>
        <v/>
      </c>
      <c r="Z176" s="194"/>
      <c r="AA176" s="195"/>
      <c r="AB176" s="120"/>
      <c r="AE176" s="40" t="str">
        <f t="shared" si="13"/>
        <v/>
      </c>
    </row>
    <row r="177" spans="1:31">
      <c r="A177" s="35" t="str">
        <f>IFERROR(INDEX('G-8 Condition Look up'!$I$4:$I$135,MATCH(F177,'G-8 Condition Look up'!$A$4:$A$135,0)),"")</f>
        <v/>
      </c>
      <c r="C177" s="299" t="str">
        <f>IFERROR(INDEX('G-1 All Habitats'!$AG$3:$AG$17,MATCH(D177,'G-1 All Habitats'!$AF$3:$AF$17,0)),"")</f>
        <v/>
      </c>
      <c r="D177" s="54"/>
      <c r="E177" s="61"/>
      <c r="F177" s="296" t="str">
        <f>IFERROR(INDEX('G-1 All Habitats'!$B$3:$B$134,MATCH(E177,'G-1 All Habitats'!$A$3:$A$134,0)),"")</f>
        <v/>
      </c>
      <c r="G177" s="53"/>
      <c r="H177" s="362" t="str">
        <f>IF(F177="","",VLOOKUP(F177,'G-1 All Habitats'!$B$2:$M$134,10,FALSE))</f>
        <v/>
      </c>
      <c r="I177" s="363" t="str">
        <f>IFERROR(VLOOKUP(H177,'G-1 All Habitats'!$V$3:$W$7,2,FALSE),"")</f>
        <v/>
      </c>
      <c r="J177" s="54"/>
      <c r="K177" s="363" t="str">
        <f>IFERROR(INDEX('G-8 Condition Look up'!$A$3:$H$135,MATCH(F177,'G-8 Condition Look up'!$A$3:$A$135,0),MATCH(J177,'G-8 Condition Look up'!$A$3:$H$3,0)),"")</f>
        <v/>
      </c>
      <c r="L177" s="54"/>
      <c r="M177" s="370" t="str">
        <f>IF(L177="","",IF(VLOOKUP(L177,'G-3 Multipliers'!$L$3:$N$6,2,FALSE)=0,"Spatial Data Missing",VLOOKUP(L177,'G-3 Multipliers'!$L$3:$N$6,2,FALSE)))</f>
        <v/>
      </c>
      <c r="N177" s="368" t="str">
        <f>IF(L177="","",IF(VLOOKUP(L177,'G-3 Multipliers'!$L$3:$N$6,3,FALSE)=0,"Spatial Data Missing",VLOOKUP(L177,'G-3 Multipliers'!$L$3:$N$6,3,FALSE)))</f>
        <v/>
      </c>
      <c r="O177" s="362" t="str">
        <f t="shared" si="12"/>
        <v/>
      </c>
      <c r="P177" s="63"/>
      <c r="Q177" s="63"/>
      <c r="R177" s="370" t="str">
        <f t="shared" si="14"/>
        <v/>
      </c>
      <c r="S177" s="383" t="str">
        <f t="shared" si="15"/>
        <v/>
      </c>
      <c r="T177" s="384" t="str">
        <f>IFERROR(IF(S177="Check Data ⚠","Check Data ⚠",VLOOKUP(S177,'G-4 Temporal multipliers'!$A$4:$C$37,3,FALSE)),"")</f>
        <v/>
      </c>
      <c r="U177" s="385" t="str">
        <f>IF(F177="","",VLOOKUP(F177,'G-3 Multipliers'!$A$2:$E$134,2,FALSE))</f>
        <v/>
      </c>
      <c r="V177" s="382" t="str">
        <f t="shared" si="17"/>
        <v/>
      </c>
      <c r="W177" s="382" t="str">
        <f>IF(E177="","",IF(AND(V177="Standard difficulty applied",O177&gt;P177),U177,IF(AND(V177="Low Difficulty - only applicable if all habitat created before losses",P177&gt;=O177),"Low",VLOOKUP(F177,'G-3 Multipliers'!$A$2:$E$134,4,FALSE))))</f>
        <v/>
      </c>
      <c r="X177" s="386" t="str">
        <f>IFERROR(IF(E177="","",VLOOKUP(W177, 'G-3 Multipliers'!$P$2:$Q$6,2,FALSE)),"")</f>
        <v/>
      </c>
      <c r="Y177" s="390" t="str">
        <f t="shared" si="16"/>
        <v/>
      </c>
      <c r="Z177" s="194"/>
      <c r="AA177" s="195"/>
      <c r="AB177" s="120"/>
      <c r="AE177" s="40" t="str">
        <f t="shared" si="13"/>
        <v/>
      </c>
    </row>
    <row r="178" spans="1:31">
      <c r="A178" s="35" t="str">
        <f>IFERROR(INDEX('G-8 Condition Look up'!$I$4:$I$135,MATCH(F178,'G-8 Condition Look up'!$A$4:$A$135,0)),"")</f>
        <v/>
      </c>
      <c r="C178" s="299" t="str">
        <f>IFERROR(INDEX('G-1 All Habitats'!$AG$3:$AG$17,MATCH(D178,'G-1 All Habitats'!$AF$3:$AF$17,0)),"")</f>
        <v/>
      </c>
      <c r="D178" s="54"/>
      <c r="E178" s="61"/>
      <c r="F178" s="296" t="str">
        <f>IFERROR(INDEX('G-1 All Habitats'!$B$3:$B$134,MATCH(E178,'G-1 All Habitats'!$A$3:$A$134,0)),"")</f>
        <v/>
      </c>
      <c r="G178" s="53"/>
      <c r="H178" s="362" t="str">
        <f>IF(F178="","",VLOOKUP(F178,'G-1 All Habitats'!$B$2:$M$134,10,FALSE))</f>
        <v/>
      </c>
      <c r="I178" s="363" t="str">
        <f>IFERROR(VLOOKUP(H178,'G-1 All Habitats'!$V$3:$W$7,2,FALSE),"")</f>
        <v/>
      </c>
      <c r="J178" s="54"/>
      <c r="K178" s="363" t="str">
        <f>IFERROR(INDEX('G-8 Condition Look up'!$A$3:$H$135,MATCH(F178,'G-8 Condition Look up'!$A$3:$A$135,0),MATCH(J178,'G-8 Condition Look up'!$A$3:$H$3,0)),"")</f>
        <v/>
      </c>
      <c r="L178" s="54"/>
      <c r="M178" s="370" t="str">
        <f>IF(L178="","",IF(VLOOKUP(L178,'G-3 Multipliers'!$L$3:$N$6,2,FALSE)=0,"Spatial Data Missing",VLOOKUP(L178,'G-3 Multipliers'!$L$3:$N$6,2,FALSE)))</f>
        <v/>
      </c>
      <c r="N178" s="368" t="str">
        <f>IF(L178="","",IF(VLOOKUP(L178,'G-3 Multipliers'!$L$3:$N$6,3,FALSE)=0,"Spatial Data Missing",VLOOKUP(L178,'G-3 Multipliers'!$L$3:$N$6,3,FALSE)))</f>
        <v/>
      </c>
      <c r="O178" s="362" t="str">
        <f t="shared" si="12"/>
        <v/>
      </c>
      <c r="P178" s="63"/>
      <c r="Q178" s="63"/>
      <c r="R178" s="370" t="str">
        <f t="shared" si="14"/>
        <v/>
      </c>
      <c r="S178" s="383" t="str">
        <f t="shared" si="15"/>
        <v/>
      </c>
      <c r="T178" s="384" t="str">
        <f>IFERROR(IF(S178="Check Data ⚠","Check Data ⚠",VLOOKUP(S178,'G-4 Temporal multipliers'!$A$4:$C$37,3,FALSE)),"")</f>
        <v/>
      </c>
      <c r="U178" s="385" t="str">
        <f>IF(F178="","",VLOOKUP(F178,'G-3 Multipliers'!$A$2:$E$134,2,FALSE))</f>
        <v/>
      </c>
      <c r="V178" s="382" t="str">
        <f t="shared" si="17"/>
        <v/>
      </c>
      <c r="W178" s="382" t="str">
        <f>IF(E178="","",IF(AND(V178="Standard difficulty applied",O178&gt;P178),U178,IF(AND(V178="Low Difficulty - only applicable if all habitat created before losses",P178&gt;=O178),"Low",VLOOKUP(F178,'G-3 Multipliers'!$A$2:$E$134,4,FALSE))))</f>
        <v/>
      </c>
      <c r="X178" s="386" t="str">
        <f>IFERROR(IF(E178="","",VLOOKUP(W178, 'G-3 Multipliers'!$P$2:$Q$6,2,FALSE)),"")</f>
        <v/>
      </c>
      <c r="Y178" s="390" t="str">
        <f t="shared" si="16"/>
        <v/>
      </c>
      <c r="Z178" s="194"/>
      <c r="AA178" s="195"/>
      <c r="AB178" s="120"/>
      <c r="AE178" s="40" t="str">
        <f t="shared" si="13"/>
        <v/>
      </c>
    </row>
    <row r="179" spans="1:31">
      <c r="A179" s="35" t="str">
        <f>IFERROR(INDEX('G-8 Condition Look up'!$I$4:$I$135,MATCH(F179,'G-8 Condition Look up'!$A$4:$A$135,0)),"")</f>
        <v/>
      </c>
      <c r="C179" s="299" t="str">
        <f>IFERROR(INDEX('G-1 All Habitats'!$AG$3:$AG$17,MATCH(D179,'G-1 All Habitats'!$AF$3:$AF$17,0)),"")</f>
        <v/>
      </c>
      <c r="D179" s="54"/>
      <c r="E179" s="61"/>
      <c r="F179" s="296" t="str">
        <f>IFERROR(INDEX('G-1 All Habitats'!$B$3:$B$134,MATCH(E179,'G-1 All Habitats'!$A$3:$A$134,0)),"")</f>
        <v/>
      </c>
      <c r="G179" s="53"/>
      <c r="H179" s="362" t="str">
        <f>IF(F179="","",VLOOKUP(F179,'G-1 All Habitats'!$B$2:$M$134,10,FALSE))</f>
        <v/>
      </c>
      <c r="I179" s="363" t="str">
        <f>IFERROR(VLOOKUP(H179,'G-1 All Habitats'!$V$3:$W$7,2,FALSE),"")</f>
        <v/>
      </c>
      <c r="J179" s="54"/>
      <c r="K179" s="363" t="str">
        <f>IFERROR(INDEX('G-8 Condition Look up'!$A$3:$H$135,MATCH(F179,'G-8 Condition Look up'!$A$3:$A$135,0),MATCH(J179,'G-8 Condition Look up'!$A$3:$H$3,0)),"")</f>
        <v/>
      </c>
      <c r="L179" s="54"/>
      <c r="M179" s="370" t="str">
        <f>IF(L179="","",IF(VLOOKUP(L179,'G-3 Multipliers'!$L$3:$N$6,2,FALSE)=0,"Spatial Data Missing",VLOOKUP(L179,'G-3 Multipliers'!$L$3:$N$6,2,FALSE)))</f>
        <v/>
      </c>
      <c r="N179" s="368" t="str">
        <f>IF(L179="","",IF(VLOOKUP(L179,'G-3 Multipliers'!$L$3:$N$6,3,FALSE)=0,"Spatial Data Missing",VLOOKUP(L179,'G-3 Multipliers'!$L$3:$N$6,3,FALSE)))</f>
        <v/>
      </c>
      <c r="O179" s="362" t="str">
        <f t="shared" si="12"/>
        <v/>
      </c>
      <c r="P179" s="63"/>
      <c r="Q179" s="63"/>
      <c r="R179" s="370" t="str">
        <f t="shared" si="14"/>
        <v/>
      </c>
      <c r="S179" s="383" t="str">
        <f t="shared" si="15"/>
        <v/>
      </c>
      <c r="T179" s="384" t="str">
        <f>IFERROR(IF(S179="Check Data ⚠","Check Data ⚠",VLOOKUP(S179,'G-4 Temporal multipliers'!$A$4:$C$37,3,FALSE)),"")</f>
        <v/>
      </c>
      <c r="U179" s="385" t="str">
        <f>IF(F179="","",VLOOKUP(F179,'G-3 Multipliers'!$A$2:$E$134,2,FALSE))</f>
        <v/>
      </c>
      <c r="V179" s="382" t="str">
        <f t="shared" si="17"/>
        <v/>
      </c>
      <c r="W179" s="382" t="str">
        <f>IF(E179="","",IF(AND(V179="Standard difficulty applied",O179&gt;P179),U179,IF(AND(V179="Low Difficulty - only applicable if all habitat created before losses",P179&gt;=O179),"Low",VLOOKUP(F179,'G-3 Multipliers'!$A$2:$E$134,4,FALSE))))</f>
        <v/>
      </c>
      <c r="X179" s="386" t="str">
        <f>IFERROR(IF(E179="","",VLOOKUP(W179, 'G-3 Multipliers'!$P$2:$Q$6,2,FALSE)),"")</f>
        <v/>
      </c>
      <c r="Y179" s="390" t="str">
        <f t="shared" si="16"/>
        <v/>
      </c>
      <c r="Z179" s="194"/>
      <c r="AA179" s="195"/>
      <c r="AB179" s="120"/>
      <c r="AE179" s="40" t="str">
        <f t="shared" si="13"/>
        <v/>
      </c>
    </row>
    <row r="180" spans="1:31">
      <c r="A180" s="35" t="str">
        <f>IFERROR(INDEX('G-8 Condition Look up'!$I$4:$I$135,MATCH(F180,'G-8 Condition Look up'!$A$4:$A$135,0)),"")</f>
        <v/>
      </c>
      <c r="C180" s="299" t="str">
        <f>IFERROR(INDEX('G-1 All Habitats'!$AG$3:$AG$17,MATCH(D180,'G-1 All Habitats'!$AF$3:$AF$17,0)),"")</f>
        <v/>
      </c>
      <c r="D180" s="54"/>
      <c r="E180" s="61"/>
      <c r="F180" s="296" t="str">
        <f>IFERROR(INDEX('G-1 All Habitats'!$B$3:$B$134,MATCH(E180,'G-1 All Habitats'!$A$3:$A$134,0)),"")</f>
        <v/>
      </c>
      <c r="G180" s="53"/>
      <c r="H180" s="362" t="str">
        <f>IF(F180="","",VLOOKUP(F180,'G-1 All Habitats'!$B$2:$M$134,10,FALSE))</f>
        <v/>
      </c>
      <c r="I180" s="363" t="str">
        <f>IFERROR(VLOOKUP(H180,'G-1 All Habitats'!$V$3:$W$7,2,FALSE),"")</f>
        <v/>
      </c>
      <c r="J180" s="54"/>
      <c r="K180" s="363" t="str">
        <f>IFERROR(INDEX('G-8 Condition Look up'!$A$3:$H$135,MATCH(F180,'G-8 Condition Look up'!$A$3:$A$135,0),MATCH(J180,'G-8 Condition Look up'!$A$3:$H$3,0)),"")</f>
        <v/>
      </c>
      <c r="L180" s="54"/>
      <c r="M180" s="370" t="str">
        <f>IF(L180="","",IF(VLOOKUP(L180,'G-3 Multipliers'!$L$3:$N$6,2,FALSE)=0,"Spatial Data Missing",VLOOKUP(L180,'G-3 Multipliers'!$L$3:$N$6,2,FALSE)))</f>
        <v/>
      </c>
      <c r="N180" s="368" t="str">
        <f>IF(L180="","",IF(VLOOKUP(L180,'G-3 Multipliers'!$L$3:$N$6,3,FALSE)=0,"Spatial Data Missing",VLOOKUP(L180,'G-3 Multipliers'!$L$3:$N$6,3,FALSE)))</f>
        <v/>
      </c>
      <c r="O180" s="362" t="str">
        <f t="shared" si="12"/>
        <v/>
      </c>
      <c r="P180" s="63"/>
      <c r="Q180" s="63"/>
      <c r="R180" s="370" t="str">
        <f t="shared" si="14"/>
        <v/>
      </c>
      <c r="S180" s="383" t="str">
        <f t="shared" si="15"/>
        <v/>
      </c>
      <c r="T180" s="384" t="str">
        <f>IFERROR(IF(S180="Check Data ⚠","Check Data ⚠",VLOOKUP(S180,'G-4 Temporal multipliers'!$A$4:$C$37,3,FALSE)),"")</f>
        <v/>
      </c>
      <c r="U180" s="385" t="str">
        <f>IF(F180="","",VLOOKUP(F180,'G-3 Multipliers'!$A$2:$E$134,2,FALSE))</f>
        <v/>
      </c>
      <c r="V180" s="382" t="str">
        <f t="shared" si="17"/>
        <v/>
      </c>
      <c r="W180" s="382" t="str">
        <f>IF(E180="","",IF(AND(V180="Standard difficulty applied",O180&gt;P180),U180,IF(AND(V180="Low Difficulty - only applicable if all habitat created before losses",P180&gt;=O180),"Low",VLOOKUP(F180,'G-3 Multipliers'!$A$2:$E$134,4,FALSE))))</f>
        <v/>
      </c>
      <c r="X180" s="386" t="str">
        <f>IFERROR(IF(E180="","",VLOOKUP(W180, 'G-3 Multipliers'!$P$2:$Q$6,2,FALSE)),"")</f>
        <v/>
      </c>
      <c r="Y180" s="390" t="str">
        <f t="shared" si="16"/>
        <v/>
      </c>
      <c r="Z180" s="194"/>
      <c r="AA180" s="195"/>
      <c r="AB180" s="120"/>
      <c r="AE180" s="40" t="str">
        <f t="shared" si="13"/>
        <v/>
      </c>
    </row>
    <row r="181" spans="1:31">
      <c r="A181" s="35" t="str">
        <f>IFERROR(INDEX('G-8 Condition Look up'!$I$4:$I$135,MATCH(F181,'G-8 Condition Look up'!$A$4:$A$135,0)),"")</f>
        <v/>
      </c>
      <c r="C181" s="299" t="str">
        <f>IFERROR(INDEX('G-1 All Habitats'!$AG$3:$AG$17,MATCH(D181,'G-1 All Habitats'!$AF$3:$AF$17,0)),"")</f>
        <v/>
      </c>
      <c r="D181" s="54"/>
      <c r="E181" s="61"/>
      <c r="F181" s="296" t="str">
        <f>IFERROR(INDEX('G-1 All Habitats'!$B$3:$B$134,MATCH(E181,'G-1 All Habitats'!$A$3:$A$134,0)),"")</f>
        <v/>
      </c>
      <c r="G181" s="53"/>
      <c r="H181" s="362" t="str">
        <f>IF(F181="","",VLOOKUP(F181,'G-1 All Habitats'!$B$2:$M$134,10,FALSE))</f>
        <v/>
      </c>
      <c r="I181" s="363" t="str">
        <f>IFERROR(VLOOKUP(H181,'G-1 All Habitats'!$V$3:$W$7,2,FALSE),"")</f>
        <v/>
      </c>
      <c r="J181" s="54"/>
      <c r="K181" s="363" t="str">
        <f>IFERROR(INDEX('G-8 Condition Look up'!$A$3:$H$135,MATCH(F181,'G-8 Condition Look up'!$A$3:$A$135,0),MATCH(J181,'G-8 Condition Look up'!$A$3:$H$3,0)),"")</f>
        <v/>
      </c>
      <c r="L181" s="54"/>
      <c r="M181" s="370" t="str">
        <f>IF(L181="","",IF(VLOOKUP(L181,'G-3 Multipliers'!$L$3:$N$6,2,FALSE)=0,"Spatial Data Missing",VLOOKUP(L181,'G-3 Multipliers'!$L$3:$N$6,2,FALSE)))</f>
        <v/>
      </c>
      <c r="N181" s="368" t="str">
        <f>IF(L181="","",IF(VLOOKUP(L181,'G-3 Multipliers'!$L$3:$N$6,3,FALSE)=0,"Spatial Data Missing",VLOOKUP(L181,'G-3 Multipliers'!$L$3:$N$6,3,FALSE)))</f>
        <v/>
      </c>
      <c r="O181" s="362" t="str">
        <f t="shared" si="12"/>
        <v/>
      </c>
      <c r="P181" s="63"/>
      <c r="Q181" s="63"/>
      <c r="R181" s="370" t="str">
        <f t="shared" si="14"/>
        <v/>
      </c>
      <c r="S181" s="383" t="str">
        <f t="shared" si="15"/>
        <v/>
      </c>
      <c r="T181" s="384" t="str">
        <f>IFERROR(IF(S181="Check Data ⚠","Check Data ⚠",VLOOKUP(S181,'G-4 Temporal multipliers'!$A$4:$C$37,3,FALSE)),"")</f>
        <v/>
      </c>
      <c r="U181" s="385" t="str">
        <f>IF(F181="","",VLOOKUP(F181,'G-3 Multipliers'!$A$2:$E$134,2,FALSE))</f>
        <v/>
      </c>
      <c r="V181" s="382" t="str">
        <f t="shared" si="17"/>
        <v/>
      </c>
      <c r="W181" s="382" t="str">
        <f>IF(E181="","",IF(AND(V181="Standard difficulty applied",O181&gt;P181),U181,IF(AND(V181="Low Difficulty - only applicable if all habitat created before losses",P181&gt;=O181),"Low",VLOOKUP(F181,'G-3 Multipliers'!$A$2:$E$134,4,FALSE))))</f>
        <v/>
      </c>
      <c r="X181" s="386" t="str">
        <f>IFERROR(IF(E181="","",VLOOKUP(W181, 'G-3 Multipliers'!$P$2:$Q$6,2,FALSE)),"")</f>
        <v/>
      </c>
      <c r="Y181" s="390" t="str">
        <f t="shared" si="16"/>
        <v/>
      </c>
      <c r="Z181" s="194"/>
      <c r="AA181" s="195"/>
      <c r="AB181" s="120"/>
      <c r="AE181" s="40" t="str">
        <f t="shared" si="13"/>
        <v/>
      </c>
    </row>
    <row r="182" spans="1:31">
      <c r="A182" s="35" t="str">
        <f>IFERROR(INDEX('G-8 Condition Look up'!$I$4:$I$135,MATCH(F182,'G-8 Condition Look up'!$A$4:$A$135,0)),"")</f>
        <v/>
      </c>
      <c r="C182" s="299" t="str">
        <f>IFERROR(INDEX('G-1 All Habitats'!$AG$3:$AG$17,MATCH(D182,'G-1 All Habitats'!$AF$3:$AF$17,0)),"")</f>
        <v/>
      </c>
      <c r="D182" s="54"/>
      <c r="E182" s="61"/>
      <c r="F182" s="296" t="str">
        <f>IFERROR(INDEX('G-1 All Habitats'!$B$3:$B$134,MATCH(E182,'G-1 All Habitats'!$A$3:$A$134,0)),"")</f>
        <v/>
      </c>
      <c r="G182" s="53"/>
      <c r="H182" s="362" t="str">
        <f>IF(F182="","",VLOOKUP(F182,'G-1 All Habitats'!$B$2:$M$134,10,FALSE))</f>
        <v/>
      </c>
      <c r="I182" s="363" t="str">
        <f>IFERROR(VLOOKUP(H182,'G-1 All Habitats'!$V$3:$W$7,2,FALSE),"")</f>
        <v/>
      </c>
      <c r="J182" s="54"/>
      <c r="K182" s="363" t="str">
        <f>IFERROR(INDEX('G-8 Condition Look up'!$A$3:$H$135,MATCH(F182,'G-8 Condition Look up'!$A$3:$A$135,0),MATCH(J182,'G-8 Condition Look up'!$A$3:$H$3,0)),"")</f>
        <v/>
      </c>
      <c r="L182" s="54"/>
      <c r="M182" s="370" t="str">
        <f>IF(L182="","",IF(VLOOKUP(L182,'G-3 Multipliers'!$L$3:$N$6,2,FALSE)=0,"Spatial Data Missing",VLOOKUP(L182,'G-3 Multipliers'!$L$3:$N$6,2,FALSE)))</f>
        <v/>
      </c>
      <c r="N182" s="368" t="str">
        <f>IF(L182="","",IF(VLOOKUP(L182,'G-3 Multipliers'!$L$3:$N$6,3,FALSE)=0,"Spatial Data Missing",VLOOKUP(L182,'G-3 Multipliers'!$L$3:$N$6,3,FALSE)))</f>
        <v/>
      </c>
      <c r="O182" s="362" t="str">
        <f t="shared" si="12"/>
        <v/>
      </c>
      <c r="P182" s="63"/>
      <c r="Q182" s="63"/>
      <c r="R182" s="370" t="str">
        <f t="shared" si="14"/>
        <v/>
      </c>
      <c r="S182" s="383" t="str">
        <f t="shared" si="15"/>
        <v/>
      </c>
      <c r="T182" s="384" t="str">
        <f>IFERROR(IF(S182="Check Data ⚠","Check Data ⚠",VLOOKUP(S182,'G-4 Temporal multipliers'!$A$4:$C$37,3,FALSE)),"")</f>
        <v/>
      </c>
      <c r="U182" s="385" t="str">
        <f>IF(F182="","",VLOOKUP(F182,'G-3 Multipliers'!$A$2:$E$134,2,FALSE))</f>
        <v/>
      </c>
      <c r="V182" s="382" t="str">
        <f t="shared" si="17"/>
        <v/>
      </c>
      <c r="W182" s="382" t="str">
        <f>IF(E182="","",IF(AND(V182="Standard difficulty applied",O182&gt;P182),U182,IF(AND(V182="Low Difficulty - only applicable if all habitat created before losses",P182&gt;=O182),"Low",VLOOKUP(F182,'G-3 Multipliers'!$A$2:$E$134,4,FALSE))))</f>
        <v/>
      </c>
      <c r="X182" s="386" t="str">
        <f>IFERROR(IF(E182="","",VLOOKUP(W182, 'G-3 Multipliers'!$P$2:$Q$6,2,FALSE)),"")</f>
        <v/>
      </c>
      <c r="Y182" s="390" t="str">
        <f t="shared" si="16"/>
        <v/>
      </c>
      <c r="Z182" s="194"/>
      <c r="AA182" s="195"/>
      <c r="AB182" s="120"/>
      <c r="AE182" s="40" t="str">
        <f t="shared" si="13"/>
        <v/>
      </c>
    </row>
    <row r="183" spans="1:31">
      <c r="A183" s="35" t="str">
        <f>IFERROR(INDEX('G-8 Condition Look up'!$I$4:$I$135,MATCH(F183,'G-8 Condition Look up'!$A$4:$A$135,0)),"")</f>
        <v/>
      </c>
      <c r="C183" s="299" t="str">
        <f>IFERROR(INDEX('G-1 All Habitats'!$AG$3:$AG$17,MATCH(D183,'G-1 All Habitats'!$AF$3:$AF$17,0)),"")</f>
        <v/>
      </c>
      <c r="D183" s="54"/>
      <c r="E183" s="61"/>
      <c r="F183" s="296" t="str">
        <f>IFERROR(INDEX('G-1 All Habitats'!$B$3:$B$134,MATCH(E183,'G-1 All Habitats'!$A$3:$A$134,0)),"")</f>
        <v/>
      </c>
      <c r="G183" s="53"/>
      <c r="H183" s="362" t="str">
        <f>IF(F183="","",VLOOKUP(F183,'G-1 All Habitats'!$B$2:$M$134,10,FALSE))</f>
        <v/>
      </c>
      <c r="I183" s="363" t="str">
        <f>IFERROR(VLOOKUP(H183,'G-1 All Habitats'!$V$3:$W$7,2,FALSE),"")</f>
        <v/>
      </c>
      <c r="J183" s="54"/>
      <c r="K183" s="363" t="str">
        <f>IFERROR(INDEX('G-8 Condition Look up'!$A$3:$H$135,MATCH(F183,'G-8 Condition Look up'!$A$3:$A$135,0),MATCH(J183,'G-8 Condition Look up'!$A$3:$H$3,0)),"")</f>
        <v/>
      </c>
      <c r="L183" s="54"/>
      <c r="M183" s="370" t="str">
        <f>IF(L183="","",IF(VLOOKUP(L183,'G-3 Multipliers'!$L$3:$N$6,2,FALSE)=0,"Spatial Data Missing",VLOOKUP(L183,'G-3 Multipliers'!$L$3:$N$6,2,FALSE)))</f>
        <v/>
      </c>
      <c r="N183" s="368" t="str">
        <f>IF(L183="","",IF(VLOOKUP(L183,'G-3 Multipliers'!$L$3:$N$6,3,FALSE)=0,"Spatial Data Missing",VLOOKUP(L183,'G-3 Multipliers'!$L$3:$N$6,3,FALSE)))</f>
        <v/>
      </c>
      <c r="O183" s="362" t="str">
        <f t="shared" si="12"/>
        <v/>
      </c>
      <c r="P183" s="63"/>
      <c r="Q183" s="63"/>
      <c r="R183" s="370" t="str">
        <f t="shared" si="14"/>
        <v/>
      </c>
      <c r="S183" s="383" t="str">
        <f t="shared" si="15"/>
        <v/>
      </c>
      <c r="T183" s="384" t="str">
        <f>IFERROR(IF(S183="Check Data ⚠","Check Data ⚠",VLOOKUP(S183,'G-4 Temporal multipliers'!$A$4:$C$37,3,FALSE)),"")</f>
        <v/>
      </c>
      <c r="U183" s="385" t="str">
        <f>IF(F183="","",VLOOKUP(F183,'G-3 Multipliers'!$A$2:$E$134,2,FALSE))</f>
        <v/>
      </c>
      <c r="V183" s="382" t="str">
        <f t="shared" si="17"/>
        <v/>
      </c>
      <c r="W183" s="382" t="str">
        <f>IF(E183="","",IF(AND(V183="Standard difficulty applied",O183&gt;P183),U183,IF(AND(V183="Low Difficulty - only applicable if all habitat created before losses",P183&gt;=O183),"Low",VLOOKUP(F183,'G-3 Multipliers'!$A$2:$E$134,4,FALSE))))</f>
        <v/>
      </c>
      <c r="X183" s="386" t="str">
        <f>IFERROR(IF(E183="","",VLOOKUP(W183, 'G-3 Multipliers'!$P$2:$Q$6,2,FALSE)),"")</f>
        <v/>
      </c>
      <c r="Y183" s="390" t="str">
        <f t="shared" si="16"/>
        <v/>
      </c>
      <c r="Z183" s="194"/>
      <c r="AA183" s="195"/>
      <c r="AB183" s="120"/>
      <c r="AE183" s="40" t="str">
        <f t="shared" si="13"/>
        <v/>
      </c>
    </row>
    <row r="184" spans="1:31">
      <c r="A184" s="35" t="str">
        <f>IFERROR(INDEX('G-8 Condition Look up'!$I$4:$I$135,MATCH(F184,'G-8 Condition Look up'!$A$4:$A$135,0)),"")</f>
        <v/>
      </c>
      <c r="C184" s="299" t="str">
        <f>IFERROR(INDEX('G-1 All Habitats'!$AG$3:$AG$17,MATCH(D184,'G-1 All Habitats'!$AF$3:$AF$17,0)),"")</f>
        <v/>
      </c>
      <c r="D184" s="54"/>
      <c r="E184" s="61"/>
      <c r="F184" s="296" t="str">
        <f>IFERROR(INDEX('G-1 All Habitats'!$B$3:$B$134,MATCH(E184,'G-1 All Habitats'!$A$3:$A$134,0)),"")</f>
        <v/>
      </c>
      <c r="G184" s="53"/>
      <c r="H184" s="362" t="str">
        <f>IF(F184="","",VLOOKUP(F184,'G-1 All Habitats'!$B$2:$M$134,10,FALSE))</f>
        <v/>
      </c>
      <c r="I184" s="363" t="str">
        <f>IFERROR(VLOOKUP(H184,'G-1 All Habitats'!$V$3:$W$7,2,FALSE),"")</f>
        <v/>
      </c>
      <c r="J184" s="54"/>
      <c r="K184" s="363" t="str">
        <f>IFERROR(INDEX('G-8 Condition Look up'!$A$3:$H$135,MATCH(F184,'G-8 Condition Look up'!$A$3:$A$135,0),MATCH(J184,'G-8 Condition Look up'!$A$3:$H$3,0)),"")</f>
        <v/>
      </c>
      <c r="L184" s="54"/>
      <c r="M184" s="370" t="str">
        <f>IF(L184="","",IF(VLOOKUP(L184,'G-3 Multipliers'!$L$3:$N$6,2,FALSE)=0,"Spatial Data Missing",VLOOKUP(L184,'G-3 Multipliers'!$L$3:$N$6,2,FALSE)))</f>
        <v/>
      </c>
      <c r="N184" s="368" t="str">
        <f>IF(L184="","",IF(VLOOKUP(L184,'G-3 Multipliers'!$L$3:$N$6,3,FALSE)=0,"Spatial Data Missing",VLOOKUP(L184,'G-3 Multipliers'!$L$3:$N$6,3,FALSE)))</f>
        <v/>
      </c>
      <c r="O184" s="362" t="str">
        <f t="shared" si="12"/>
        <v/>
      </c>
      <c r="P184" s="63"/>
      <c r="Q184" s="63"/>
      <c r="R184" s="370" t="str">
        <f t="shared" si="14"/>
        <v/>
      </c>
      <c r="S184" s="383" t="str">
        <f t="shared" si="15"/>
        <v/>
      </c>
      <c r="T184" s="384" t="str">
        <f>IFERROR(IF(S184="Check Data ⚠","Check Data ⚠",VLOOKUP(S184,'G-4 Temporal multipliers'!$A$4:$C$37,3,FALSE)),"")</f>
        <v/>
      </c>
      <c r="U184" s="385" t="str">
        <f>IF(F184="","",VLOOKUP(F184,'G-3 Multipliers'!$A$2:$E$134,2,FALSE))</f>
        <v/>
      </c>
      <c r="V184" s="382" t="str">
        <f t="shared" si="17"/>
        <v/>
      </c>
      <c r="W184" s="382" t="str">
        <f>IF(E184="","",IF(AND(V184="Standard difficulty applied",O184&gt;P184),U184,IF(AND(V184="Low Difficulty - only applicable if all habitat created before losses",P184&gt;=O184),"Low",VLOOKUP(F184,'G-3 Multipliers'!$A$2:$E$134,4,FALSE))))</f>
        <v/>
      </c>
      <c r="X184" s="386" t="str">
        <f>IFERROR(IF(E184="","",VLOOKUP(W184, 'G-3 Multipliers'!$P$2:$Q$6,2,FALSE)),"")</f>
        <v/>
      </c>
      <c r="Y184" s="390" t="str">
        <f t="shared" si="16"/>
        <v/>
      </c>
      <c r="Z184" s="194"/>
      <c r="AA184" s="195"/>
      <c r="AB184" s="120"/>
      <c r="AE184" s="40" t="str">
        <f t="shared" si="13"/>
        <v/>
      </c>
    </row>
    <row r="185" spans="1:31">
      <c r="A185" s="35" t="str">
        <f>IFERROR(INDEX('G-8 Condition Look up'!$I$4:$I$135,MATCH(F185,'G-8 Condition Look up'!$A$4:$A$135,0)),"")</f>
        <v/>
      </c>
      <c r="C185" s="299" t="str">
        <f>IFERROR(INDEX('G-1 All Habitats'!$AG$3:$AG$17,MATCH(D185,'G-1 All Habitats'!$AF$3:$AF$17,0)),"")</f>
        <v/>
      </c>
      <c r="D185" s="54"/>
      <c r="E185" s="61"/>
      <c r="F185" s="296" t="str">
        <f>IFERROR(INDEX('G-1 All Habitats'!$B$3:$B$134,MATCH(E185,'G-1 All Habitats'!$A$3:$A$134,0)),"")</f>
        <v/>
      </c>
      <c r="G185" s="53"/>
      <c r="H185" s="362" t="str">
        <f>IF(F185="","",VLOOKUP(F185,'G-1 All Habitats'!$B$2:$M$134,10,FALSE))</f>
        <v/>
      </c>
      <c r="I185" s="363" t="str">
        <f>IFERROR(VLOOKUP(H185,'G-1 All Habitats'!$V$3:$W$7,2,FALSE),"")</f>
        <v/>
      </c>
      <c r="J185" s="54"/>
      <c r="K185" s="363" t="str">
        <f>IFERROR(INDEX('G-8 Condition Look up'!$A$3:$H$135,MATCH(F185,'G-8 Condition Look up'!$A$3:$A$135,0),MATCH(J185,'G-8 Condition Look up'!$A$3:$H$3,0)),"")</f>
        <v/>
      </c>
      <c r="L185" s="54"/>
      <c r="M185" s="370" t="str">
        <f>IF(L185="","",IF(VLOOKUP(L185,'G-3 Multipliers'!$L$3:$N$6,2,FALSE)=0,"Spatial Data Missing",VLOOKUP(L185,'G-3 Multipliers'!$L$3:$N$6,2,FALSE)))</f>
        <v/>
      </c>
      <c r="N185" s="368" t="str">
        <f>IF(L185="","",IF(VLOOKUP(L185,'G-3 Multipliers'!$L$3:$N$6,3,FALSE)=0,"Spatial Data Missing",VLOOKUP(L185,'G-3 Multipliers'!$L$3:$N$6,3,FALSE)))</f>
        <v/>
      </c>
      <c r="O185" s="362" t="str">
        <f t="shared" si="12"/>
        <v/>
      </c>
      <c r="P185" s="63"/>
      <c r="Q185" s="63"/>
      <c r="R185" s="370" t="str">
        <f t="shared" si="14"/>
        <v/>
      </c>
      <c r="S185" s="383" t="str">
        <f t="shared" si="15"/>
        <v/>
      </c>
      <c r="T185" s="384" t="str">
        <f>IFERROR(IF(S185="Check Data ⚠","Check Data ⚠",VLOOKUP(S185,'G-4 Temporal multipliers'!$A$4:$C$37,3,FALSE)),"")</f>
        <v/>
      </c>
      <c r="U185" s="385" t="str">
        <f>IF(F185="","",VLOOKUP(F185,'G-3 Multipliers'!$A$2:$E$134,2,FALSE))</f>
        <v/>
      </c>
      <c r="V185" s="382" t="str">
        <f t="shared" si="17"/>
        <v/>
      </c>
      <c r="W185" s="382" t="str">
        <f>IF(E185="","",IF(AND(V185="Standard difficulty applied",O185&gt;P185),U185,IF(AND(V185="Low Difficulty - only applicable if all habitat created before losses",P185&gt;=O185),"Low",VLOOKUP(F185,'G-3 Multipliers'!$A$2:$E$134,4,FALSE))))</f>
        <v/>
      </c>
      <c r="X185" s="386" t="str">
        <f>IFERROR(IF(E185="","",VLOOKUP(W185, 'G-3 Multipliers'!$P$2:$Q$6,2,FALSE)),"")</f>
        <v/>
      </c>
      <c r="Y185" s="390" t="str">
        <f t="shared" si="16"/>
        <v/>
      </c>
      <c r="Z185" s="194"/>
      <c r="AA185" s="195"/>
      <c r="AB185" s="120"/>
      <c r="AE185" s="40" t="str">
        <f t="shared" si="13"/>
        <v/>
      </c>
    </row>
    <row r="186" spans="1:31">
      <c r="A186" s="35" t="str">
        <f>IFERROR(INDEX('G-8 Condition Look up'!$I$4:$I$135,MATCH(F186,'G-8 Condition Look up'!$A$4:$A$135,0)),"")</f>
        <v/>
      </c>
      <c r="C186" s="299" t="str">
        <f>IFERROR(INDEX('G-1 All Habitats'!$AG$3:$AG$17,MATCH(D186,'G-1 All Habitats'!$AF$3:$AF$17,0)),"")</f>
        <v/>
      </c>
      <c r="D186" s="54"/>
      <c r="E186" s="61"/>
      <c r="F186" s="296" t="str">
        <f>IFERROR(INDEX('G-1 All Habitats'!$B$3:$B$134,MATCH(E186,'G-1 All Habitats'!$A$3:$A$134,0)),"")</f>
        <v/>
      </c>
      <c r="G186" s="53"/>
      <c r="H186" s="362" t="str">
        <f>IF(F186="","",VLOOKUP(F186,'G-1 All Habitats'!$B$2:$M$134,10,FALSE))</f>
        <v/>
      </c>
      <c r="I186" s="363" t="str">
        <f>IFERROR(VLOOKUP(H186,'G-1 All Habitats'!$V$3:$W$7,2,FALSE),"")</f>
        <v/>
      </c>
      <c r="J186" s="54"/>
      <c r="K186" s="363" t="str">
        <f>IFERROR(INDEX('G-8 Condition Look up'!$A$3:$H$135,MATCH(F186,'G-8 Condition Look up'!$A$3:$A$135,0),MATCH(J186,'G-8 Condition Look up'!$A$3:$H$3,0)),"")</f>
        <v/>
      </c>
      <c r="L186" s="54"/>
      <c r="M186" s="370" t="str">
        <f>IF(L186="","",IF(VLOOKUP(L186,'G-3 Multipliers'!$L$3:$N$6,2,FALSE)=0,"Spatial Data Missing",VLOOKUP(L186,'G-3 Multipliers'!$L$3:$N$6,2,FALSE)))</f>
        <v/>
      </c>
      <c r="N186" s="368" t="str">
        <f>IF(L186="","",IF(VLOOKUP(L186,'G-3 Multipliers'!$L$3:$N$6,3,FALSE)=0,"Spatial Data Missing",VLOOKUP(L186,'G-3 Multipliers'!$L$3:$N$6,3,FALSE)))</f>
        <v/>
      </c>
      <c r="O186" s="362" t="str">
        <f t="shared" si="12"/>
        <v/>
      </c>
      <c r="P186" s="63"/>
      <c r="Q186" s="63"/>
      <c r="R186" s="370" t="str">
        <f t="shared" si="14"/>
        <v/>
      </c>
      <c r="S186" s="383" t="str">
        <f t="shared" si="15"/>
        <v/>
      </c>
      <c r="T186" s="384" t="str">
        <f>IFERROR(IF(S186="Check Data ⚠","Check Data ⚠",VLOOKUP(S186,'G-4 Temporal multipliers'!$A$4:$C$37,3,FALSE)),"")</f>
        <v/>
      </c>
      <c r="U186" s="385" t="str">
        <f>IF(F186="","",VLOOKUP(F186,'G-3 Multipliers'!$A$2:$E$134,2,FALSE))</f>
        <v/>
      </c>
      <c r="V186" s="382" t="str">
        <f t="shared" si="17"/>
        <v/>
      </c>
      <c r="W186" s="382" t="str">
        <f>IF(E186="","",IF(AND(V186="Standard difficulty applied",O186&gt;P186),U186,IF(AND(V186="Low Difficulty - only applicable if all habitat created before losses",P186&gt;=O186),"Low",VLOOKUP(F186,'G-3 Multipliers'!$A$2:$E$134,4,FALSE))))</f>
        <v/>
      </c>
      <c r="X186" s="386" t="str">
        <f>IFERROR(IF(E186="","",VLOOKUP(W186, 'G-3 Multipliers'!$P$2:$Q$6,2,FALSE)),"")</f>
        <v/>
      </c>
      <c r="Y186" s="390" t="str">
        <f t="shared" si="16"/>
        <v/>
      </c>
      <c r="Z186" s="194"/>
      <c r="AA186" s="195"/>
      <c r="AB186" s="120"/>
      <c r="AE186" s="40" t="str">
        <f t="shared" si="13"/>
        <v/>
      </c>
    </row>
    <row r="187" spans="1:31">
      <c r="A187" s="35" t="str">
        <f>IFERROR(INDEX('G-8 Condition Look up'!$I$4:$I$135,MATCH(F187,'G-8 Condition Look up'!$A$4:$A$135,0)),"")</f>
        <v/>
      </c>
      <c r="C187" s="299" t="str">
        <f>IFERROR(INDEX('G-1 All Habitats'!$AG$3:$AG$17,MATCH(D187,'G-1 All Habitats'!$AF$3:$AF$17,0)),"")</f>
        <v/>
      </c>
      <c r="D187" s="54"/>
      <c r="E187" s="61"/>
      <c r="F187" s="296" t="str">
        <f>IFERROR(INDEX('G-1 All Habitats'!$B$3:$B$134,MATCH(E187,'G-1 All Habitats'!$A$3:$A$134,0)),"")</f>
        <v/>
      </c>
      <c r="G187" s="53"/>
      <c r="H187" s="362" t="str">
        <f>IF(F187="","",VLOOKUP(F187,'G-1 All Habitats'!$B$2:$M$134,10,FALSE))</f>
        <v/>
      </c>
      <c r="I187" s="363" t="str">
        <f>IFERROR(VLOOKUP(H187,'G-1 All Habitats'!$V$3:$W$7,2,FALSE),"")</f>
        <v/>
      </c>
      <c r="J187" s="54"/>
      <c r="K187" s="363" t="str">
        <f>IFERROR(INDEX('G-8 Condition Look up'!$A$3:$H$135,MATCH(F187,'G-8 Condition Look up'!$A$3:$A$135,0),MATCH(J187,'G-8 Condition Look up'!$A$3:$H$3,0)),"")</f>
        <v/>
      </c>
      <c r="L187" s="54"/>
      <c r="M187" s="370" t="str">
        <f>IF(L187="","",IF(VLOOKUP(L187,'G-3 Multipliers'!$L$3:$N$6,2,FALSE)=0,"Spatial Data Missing",VLOOKUP(L187,'G-3 Multipliers'!$L$3:$N$6,2,FALSE)))</f>
        <v/>
      </c>
      <c r="N187" s="368" t="str">
        <f>IF(L187="","",IF(VLOOKUP(L187,'G-3 Multipliers'!$L$3:$N$6,3,FALSE)=0,"Spatial Data Missing",VLOOKUP(L187,'G-3 Multipliers'!$L$3:$N$6,3,FALSE)))</f>
        <v/>
      </c>
      <c r="O187" s="362" t="str">
        <f t="shared" si="12"/>
        <v/>
      </c>
      <c r="P187" s="63"/>
      <c r="Q187" s="63"/>
      <c r="R187" s="370" t="str">
        <f t="shared" si="14"/>
        <v/>
      </c>
      <c r="S187" s="383" t="str">
        <f t="shared" si="15"/>
        <v/>
      </c>
      <c r="T187" s="384" t="str">
        <f>IFERROR(IF(S187="Check Data ⚠","Check Data ⚠",VLOOKUP(S187,'G-4 Temporal multipliers'!$A$4:$C$37,3,FALSE)),"")</f>
        <v/>
      </c>
      <c r="U187" s="385" t="str">
        <f>IF(F187="","",VLOOKUP(F187,'G-3 Multipliers'!$A$2:$E$134,2,FALSE))</f>
        <v/>
      </c>
      <c r="V187" s="382" t="str">
        <f t="shared" si="17"/>
        <v/>
      </c>
      <c r="W187" s="382" t="str">
        <f>IF(E187="","",IF(AND(V187="Standard difficulty applied",O187&gt;P187),U187,IF(AND(V187="Low Difficulty - only applicable if all habitat created before losses",P187&gt;=O187),"Low",VLOOKUP(F187,'G-3 Multipliers'!$A$2:$E$134,4,FALSE))))</f>
        <v/>
      </c>
      <c r="X187" s="386" t="str">
        <f>IFERROR(IF(E187="","",VLOOKUP(W187, 'G-3 Multipliers'!$P$2:$Q$6,2,FALSE)),"")</f>
        <v/>
      </c>
      <c r="Y187" s="390" t="str">
        <f t="shared" si="16"/>
        <v/>
      </c>
      <c r="Z187" s="194"/>
      <c r="AA187" s="195"/>
      <c r="AB187" s="120"/>
      <c r="AE187" s="40" t="str">
        <f t="shared" si="13"/>
        <v/>
      </c>
    </row>
    <row r="188" spans="1:31">
      <c r="A188" s="35" t="str">
        <f>IFERROR(INDEX('G-8 Condition Look up'!$I$4:$I$135,MATCH(F188,'G-8 Condition Look up'!$A$4:$A$135,0)),"")</f>
        <v/>
      </c>
      <c r="C188" s="299" t="str">
        <f>IFERROR(INDEX('G-1 All Habitats'!$AG$3:$AG$17,MATCH(D188,'G-1 All Habitats'!$AF$3:$AF$17,0)),"")</f>
        <v/>
      </c>
      <c r="D188" s="54"/>
      <c r="E188" s="61"/>
      <c r="F188" s="296" t="str">
        <f>IFERROR(INDEX('G-1 All Habitats'!$B$3:$B$134,MATCH(E188,'G-1 All Habitats'!$A$3:$A$134,0)),"")</f>
        <v/>
      </c>
      <c r="G188" s="53"/>
      <c r="H188" s="362" t="str">
        <f>IF(F188="","",VLOOKUP(F188,'G-1 All Habitats'!$B$2:$M$134,10,FALSE))</f>
        <v/>
      </c>
      <c r="I188" s="363" t="str">
        <f>IFERROR(VLOOKUP(H188,'G-1 All Habitats'!$V$3:$W$7,2,FALSE),"")</f>
        <v/>
      </c>
      <c r="J188" s="54"/>
      <c r="K188" s="363" t="str">
        <f>IFERROR(INDEX('G-8 Condition Look up'!$A$3:$H$135,MATCH(F188,'G-8 Condition Look up'!$A$3:$A$135,0),MATCH(J188,'G-8 Condition Look up'!$A$3:$H$3,0)),"")</f>
        <v/>
      </c>
      <c r="L188" s="54"/>
      <c r="M188" s="370" t="str">
        <f>IF(L188="","",IF(VLOOKUP(L188,'G-3 Multipliers'!$L$3:$N$6,2,FALSE)=0,"Spatial Data Missing",VLOOKUP(L188,'G-3 Multipliers'!$L$3:$N$6,2,FALSE)))</f>
        <v/>
      </c>
      <c r="N188" s="368" t="str">
        <f>IF(L188="","",IF(VLOOKUP(L188,'G-3 Multipliers'!$L$3:$N$6,3,FALSE)=0,"Spatial Data Missing",VLOOKUP(L188,'G-3 Multipliers'!$L$3:$N$6,3,FALSE)))</f>
        <v/>
      </c>
      <c r="O188" s="362" t="str">
        <f t="shared" si="12"/>
        <v/>
      </c>
      <c r="P188" s="63"/>
      <c r="Q188" s="63"/>
      <c r="R188" s="370" t="str">
        <f t="shared" si="14"/>
        <v/>
      </c>
      <c r="S188" s="383" t="str">
        <f t="shared" si="15"/>
        <v/>
      </c>
      <c r="T188" s="384" t="str">
        <f>IFERROR(IF(S188="Check Data ⚠","Check Data ⚠",VLOOKUP(S188,'G-4 Temporal multipliers'!$A$4:$C$37,3,FALSE)),"")</f>
        <v/>
      </c>
      <c r="U188" s="385" t="str">
        <f>IF(F188="","",VLOOKUP(F188,'G-3 Multipliers'!$A$2:$E$134,2,FALSE))</f>
        <v/>
      </c>
      <c r="V188" s="382" t="str">
        <f t="shared" si="17"/>
        <v/>
      </c>
      <c r="W188" s="382" t="str">
        <f>IF(E188="","",IF(AND(V188="Standard difficulty applied",O188&gt;P188),U188,IF(AND(V188="Low Difficulty - only applicable if all habitat created before losses",P188&gt;=O188),"Low",VLOOKUP(F188,'G-3 Multipliers'!$A$2:$E$134,4,FALSE))))</f>
        <v/>
      </c>
      <c r="X188" s="386" t="str">
        <f>IFERROR(IF(E188="","",VLOOKUP(W188, 'G-3 Multipliers'!$P$2:$Q$6,2,FALSE)),"")</f>
        <v/>
      </c>
      <c r="Y188" s="390" t="str">
        <f t="shared" si="16"/>
        <v/>
      </c>
      <c r="Z188" s="194"/>
      <c r="AA188" s="195"/>
      <c r="AB188" s="120"/>
      <c r="AE188" s="40" t="str">
        <f t="shared" si="13"/>
        <v/>
      </c>
    </row>
    <row r="189" spans="1:31">
      <c r="A189" s="35" t="str">
        <f>IFERROR(INDEX('G-8 Condition Look up'!$I$4:$I$135,MATCH(F189,'G-8 Condition Look up'!$A$4:$A$135,0)),"")</f>
        <v/>
      </c>
      <c r="C189" s="299" t="str">
        <f>IFERROR(INDEX('G-1 All Habitats'!$AG$3:$AG$17,MATCH(D189,'G-1 All Habitats'!$AF$3:$AF$17,0)),"")</f>
        <v/>
      </c>
      <c r="D189" s="54"/>
      <c r="E189" s="61"/>
      <c r="F189" s="296" t="str">
        <f>IFERROR(INDEX('G-1 All Habitats'!$B$3:$B$134,MATCH(E189,'G-1 All Habitats'!$A$3:$A$134,0)),"")</f>
        <v/>
      </c>
      <c r="G189" s="53"/>
      <c r="H189" s="362" t="str">
        <f>IF(F189="","",VLOOKUP(F189,'G-1 All Habitats'!$B$2:$M$134,10,FALSE))</f>
        <v/>
      </c>
      <c r="I189" s="363" t="str">
        <f>IFERROR(VLOOKUP(H189,'G-1 All Habitats'!$V$3:$W$7,2,FALSE),"")</f>
        <v/>
      </c>
      <c r="J189" s="54"/>
      <c r="K189" s="363" t="str">
        <f>IFERROR(INDEX('G-8 Condition Look up'!$A$3:$H$135,MATCH(F189,'G-8 Condition Look up'!$A$3:$A$135,0),MATCH(J189,'G-8 Condition Look up'!$A$3:$H$3,0)),"")</f>
        <v/>
      </c>
      <c r="L189" s="54"/>
      <c r="M189" s="370" t="str">
        <f>IF(L189="","",IF(VLOOKUP(L189,'G-3 Multipliers'!$L$3:$N$6,2,FALSE)=0,"Spatial Data Missing",VLOOKUP(L189,'G-3 Multipliers'!$L$3:$N$6,2,FALSE)))</f>
        <v/>
      </c>
      <c r="N189" s="368" t="str">
        <f>IF(L189="","",IF(VLOOKUP(L189,'G-3 Multipliers'!$L$3:$N$6,3,FALSE)=0,"Spatial Data Missing",VLOOKUP(L189,'G-3 Multipliers'!$L$3:$N$6,3,FALSE)))</f>
        <v/>
      </c>
      <c r="O189" s="362" t="str">
        <f t="shared" si="12"/>
        <v/>
      </c>
      <c r="P189" s="63"/>
      <c r="Q189" s="63"/>
      <c r="R189" s="370" t="str">
        <f t="shared" si="14"/>
        <v/>
      </c>
      <c r="S189" s="383" t="str">
        <f t="shared" si="15"/>
        <v/>
      </c>
      <c r="T189" s="384" t="str">
        <f>IFERROR(IF(S189="Check Data ⚠","Check Data ⚠",VLOOKUP(S189,'G-4 Temporal multipliers'!$A$4:$C$37,3,FALSE)),"")</f>
        <v/>
      </c>
      <c r="U189" s="385" t="str">
        <f>IF(F189="","",VLOOKUP(F189,'G-3 Multipliers'!$A$2:$E$134,2,FALSE))</f>
        <v/>
      </c>
      <c r="V189" s="382" t="str">
        <f t="shared" si="17"/>
        <v/>
      </c>
      <c r="W189" s="382" t="str">
        <f>IF(E189="","",IF(AND(V189="Standard difficulty applied",O189&gt;P189),U189,IF(AND(V189="Low Difficulty - only applicable if all habitat created before losses",P189&gt;=O189),"Low",VLOOKUP(F189,'G-3 Multipliers'!$A$2:$E$134,4,FALSE))))</f>
        <v/>
      </c>
      <c r="X189" s="386" t="str">
        <f>IFERROR(IF(E189="","",VLOOKUP(W189, 'G-3 Multipliers'!$P$2:$Q$6,2,FALSE)),"")</f>
        <v/>
      </c>
      <c r="Y189" s="390" t="str">
        <f t="shared" si="16"/>
        <v/>
      </c>
      <c r="Z189" s="194"/>
      <c r="AA189" s="195"/>
      <c r="AB189" s="120"/>
      <c r="AE189" s="40" t="str">
        <f t="shared" si="13"/>
        <v/>
      </c>
    </row>
    <row r="190" spans="1:31">
      <c r="A190" s="35" t="str">
        <f>IFERROR(INDEX('G-8 Condition Look up'!$I$4:$I$135,MATCH(F190,'G-8 Condition Look up'!$A$4:$A$135,0)),"")</f>
        <v/>
      </c>
      <c r="C190" s="299" t="str">
        <f>IFERROR(INDEX('G-1 All Habitats'!$AG$3:$AG$17,MATCH(D190,'G-1 All Habitats'!$AF$3:$AF$17,0)),"")</f>
        <v/>
      </c>
      <c r="D190" s="54"/>
      <c r="E190" s="61"/>
      <c r="F190" s="296" t="str">
        <f>IFERROR(INDEX('G-1 All Habitats'!$B$3:$B$134,MATCH(E190,'G-1 All Habitats'!$A$3:$A$134,0)),"")</f>
        <v/>
      </c>
      <c r="G190" s="53"/>
      <c r="H190" s="362" t="str">
        <f>IF(F190="","",VLOOKUP(F190,'G-1 All Habitats'!$B$2:$M$134,10,FALSE))</f>
        <v/>
      </c>
      <c r="I190" s="363" t="str">
        <f>IFERROR(VLOOKUP(H190,'G-1 All Habitats'!$V$3:$W$7,2,FALSE),"")</f>
        <v/>
      </c>
      <c r="J190" s="54"/>
      <c r="K190" s="363" t="str">
        <f>IFERROR(INDEX('G-8 Condition Look up'!$A$3:$H$135,MATCH(F190,'G-8 Condition Look up'!$A$3:$A$135,0),MATCH(J190,'G-8 Condition Look up'!$A$3:$H$3,0)),"")</f>
        <v/>
      </c>
      <c r="L190" s="54"/>
      <c r="M190" s="370" t="str">
        <f>IF(L190="","",IF(VLOOKUP(L190,'G-3 Multipliers'!$L$3:$N$6,2,FALSE)=0,"Spatial Data Missing",VLOOKUP(L190,'G-3 Multipliers'!$L$3:$N$6,2,FALSE)))</f>
        <v/>
      </c>
      <c r="N190" s="368" t="str">
        <f>IF(L190="","",IF(VLOOKUP(L190,'G-3 Multipliers'!$L$3:$N$6,3,FALSE)=0,"Spatial Data Missing",VLOOKUP(L190,'G-3 Multipliers'!$L$3:$N$6,3,FALSE)))</f>
        <v/>
      </c>
      <c r="O190" s="362" t="str">
        <f t="shared" si="12"/>
        <v/>
      </c>
      <c r="P190" s="63"/>
      <c r="Q190" s="63"/>
      <c r="R190" s="370" t="str">
        <f t="shared" si="14"/>
        <v/>
      </c>
      <c r="S190" s="383" t="str">
        <f t="shared" si="15"/>
        <v/>
      </c>
      <c r="T190" s="384" t="str">
        <f>IFERROR(IF(S190="Check Data ⚠","Check Data ⚠",VLOOKUP(S190,'G-4 Temporal multipliers'!$A$4:$C$37,3,FALSE)),"")</f>
        <v/>
      </c>
      <c r="U190" s="385" t="str">
        <f>IF(F190="","",VLOOKUP(F190,'G-3 Multipliers'!$A$2:$E$134,2,FALSE))</f>
        <v/>
      </c>
      <c r="V190" s="382" t="str">
        <f t="shared" si="17"/>
        <v/>
      </c>
      <c r="W190" s="382" t="str">
        <f>IF(E190="","",IF(AND(V190="Standard difficulty applied",O190&gt;P190),U190,IF(AND(V190="Low Difficulty - only applicable if all habitat created before losses",P190&gt;=O190),"Low",VLOOKUP(F190,'G-3 Multipliers'!$A$2:$E$134,4,FALSE))))</f>
        <v/>
      </c>
      <c r="X190" s="386" t="str">
        <f>IFERROR(IF(E190="","",VLOOKUP(W190, 'G-3 Multipliers'!$P$2:$Q$6,2,FALSE)),"")</f>
        <v/>
      </c>
      <c r="Y190" s="390" t="str">
        <f t="shared" si="16"/>
        <v/>
      </c>
      <c r="Z190" s="194"/>
      <c r="AA190" s="195"/>
      <c r="AB190" s="120"/>
      <c r="AE190" s="40" t="str">
        <f t="shared" si="13"/>
        <v/>
      </c>
    </row>
    <row r="191" spans="1:31">
      <c r="A191" s="35" t="str">
        <f>IFERROR(INDEX('G-8 Condition Look up'!$I$4:$I$135,MATCH(F191,'G-8 Condition Look up'!$A$4:$A$135,0)),"")</f>
        <v/>
      </c>
      <c r="C191" s="299" t="str">
        <f>IFERROR(INDEX('G-1 All Habitats'!$AG$3:$AG$17,MATCH(D191,'G-1 All Habitats'!$AF$3:$AF$17,0)),"")</f>
        <v/>
      </c>
      <c r="D191" s="54"/>
      <c r="E191" s="61"/>
      <c r="F191" s="296" t="str">
        <f>IFERROR(INDEX('G-1 All Habitats'!$B$3:$B$134,MATCH(E191,'G-1 All Habitats'!$A$3:$A$134,0)),"")</f>
        <v/>
      </c>
      <c r="G191" s="53"/>
      <c r="H191" s="362" t="str">
        <f>IF(F191="","",VLOOKUP(F191,'G-1 All Habitats'!$B$2:$M$134,10,FALSE))</f>
        <v/>
      </c>
      <c r="I191" s="363" t="str">
        <f>IFERROR(VLOOKUP(H191,'G-1 All Habitats'!$V$3:$W$7,2,FALSE),"")</f>
        <v/>
      </c>
      <c r="J191" s="54"/>
      <c r="K191" s="363" t="str">
        <f>IFERROR(INDEX('G-8 Condition Look up'!$A$3:$H$135,MATCH(F191,'G-8 Condition Look up'!$A$3:$A$135,0),MATCH(J191,'G-8 Condition Look up'!$A$3:$H$3,0)),"")</f>
        <v/>
      </c>
      <c r="L191" s="54"/>
      <c r="M191" s="370" t="str">
        <f>IF(L191="","",IF(VLOOKUP(L191,'G-3 Multipliers'!$L$3:$N$6,2,FALSE)=0,"Spatial Data Missing",VLOOKUP(L191,'G-3 Multipliers'!$L$3:$N$6,2,FALSE)))</f>
        <v/>
      </c>
      <c r="N191" s="368" t="str">
        <f>IF(L191="","",IF(VLOOKUP(L191,'G-3 Multipliers'!$L$3:$N$6,3,FALSE)=0,"Spatial Data Missing",VLOOKUP(L191,'G-3 Multipliers'!$L$3:$N$6,3,FALSE)))</f>
        <v/>
      </c>
      <c r="O191" s="362" t="str">
        <f t="shared" si="12"/>
        <v/>
      </c>
      <c r="P191" s="63"/>
      <c r="Q191" s="63"/>
      <c r="R191" s="370" t="str">
        <f t="shared" si="14"/>
        <v/>
      </c>
      <c r="S191" s="383" t="str">
        <f t="shared" si="15"/>
        <v/>
      </c>
      <c r="T191" s="384" t="str">
        <f>IFERROR(IF(S191="Check Data ⚠","Check Data ⚠",VLOOKUP(S191,'G-4 Temporal multipliers'!$A$4:$C$37,3,FALSE)),"")</f>
        <v/>
      </c>
      <c r="U191" s="385" t="str">
        <f>IF(F191="","",VLOOKUP(F191,'G-3 Multipliers'!$A$2:$E$134,2,FALSE))</f>
        <v/>
      </c>
      <c r="V191" s="382" t="str">
        <f t="shared" si="17"/>
        <v/>
      </c>
      <c r="W191" s="382" t="str">
        <f>IF(E191="","",IF(AND(V191="Standard difficulty applied",O191&gt;P191),U191,IF(AND(V191="Low Difficulty - only applicable if all habitat created before losses",P191&gt;=O191),"Low",VLOOKUP(F191,'G-3 Multipliers'!$A$2:$E$134,4,FALSE))))</f>
        <v/>
      </c>
      <c r="X191" s="386" t="str">
        <f>IFERROR(IF(E191="","",VLOOKUP(W191, 'G-3 Multipliers'!$P$2:$Q$6,2,FALSE)),"")</f>
        <v/>
      </c>
      <c r="Y191" s="390" t="str">
        <f t="shared" si="16"/>
        <v/>
      </c>
      <c r="Z191" s="194"/>
      <c r="AA191" s="195"/>
      <c r="AB191" s="120"/>
      <c r="AE191" s="40" t="str">
        <f t="shared" si="13"/>
        <v/>
      </c>
    </row>
    <row r="192" spans="1:31">
      <c r="A192" s="35" t="str">
        <f>IFERROR(INDEX('G-8 Condition Look up'!$I$4:$I$135,MATCH(F192,'G-8 Condition Look up'!$A$4:$A$135,0)),"")</f>
        <v/>
      </c>
      <c r="C192" s="299" t="str">
        <f>IFERROR(INDEX('G-1 All Habitats'!$AG$3:$AG$17,MATCH(D192,'G-1 All Habitats'!$AF$3:$AF$17,0)),"")</f>
        <v/>
      </c>
      <c r="D192" s="54"/>
      <c r="E192" s="61"/>
      <c r="F192" s="296" t="str">
        <f>IFERROR(INDEX('G-1 All Habitats'!$B$3:$B$134,MATCH(E192,'G-1 All Habitats'!$A$3:$A$134,0)),"")</f>
        <v/>
      </c>
      <c r="G192" s="53"/>
      <c r="H192" s="362" t="str">
        <f>IF(F192="","",VLOOKUP(F192,'G-1 All Habitats'!$B$2:$M$134,10,FALSE))</f>
        <v/>
      </c>
      <c r="I192" s="363" t="str">
        <f>IFERROR(VLOOKUP(H192,'G-1 All Habitats'!$V$3:$W$7,2,FALSE),"")</f>
        <v/>
      </c>
      <c r="J192" s="54"/>
      <c r="K192" s="363" t="str">
        <f>IFERROR(INDEX('G-8 Condition Look up'!$A$3:$H$135,MATCH(F192,'G-8 Condition Look up'!$A$3:$A$135,0),MATCH(J192,'G-8 Condition Look up'!$A$3:$H$3,0)),"")</f>
        <v/>
      </c>
      <c r="L192" s="54"/>
      <c r="M192" s="370" t="str">
        <f>IF(L192="","",IF(VLOOKUP(L192,'G-3 Multipliers'!$L$3:$N$6,2,FALSE)=0,"Spatial Data Missing",VLOOKUP(L192,'G-3 Multipliers'!$L$3:$N$6,2,FALSE)))</f>
        <v/>
      </c>
      <c r="N192" s="368" t="str">
        <f>IF(L192="","",IF(VLOOKUP(L192,'G-3 Multipliers'!$L$3:$N$6,3,FALSE)=0,"Spatial Data Missing",VLOOKUP(L192,'G-3 Multipliers'!$L$3:$N$6,3,FALSE)))</f>
        <v/>
      </c>
      <c r="O192" s="362" t="str">
        <f t="shared" si="12"/>
        <v/>
      </c>
      <c r="P192" s="63"/>
      <c r="Q192" s="63"/>
      <c r="R192" s="370" t="str">
        <f t="shared" si="14"/>
        <v/>
      </c>
      <c r="S192" s="383" t="str">
        <f t="shared" si="15"/>
        <v/>
      </c>
      <c r="T192" s="384" t="str">
        <f>IFERROR(IF(S192="Check Data ⚠","Check Data ⚠",VLOOKUP(S192,'G-4 Temporal multipliers'!$A$4:$C$37,3,FALSE)),"")</f>
        <v/>
      </c>
      <c r="U192" s="385" t="str">
        <f>IF(F192="","",VLOOKUP(F192,'G-3 Multipliers'!$A$2:$E$134,2,FALSE))</f>
        <v/>
      </c>
      <c r="V192" s="382" t="str">
        <f t="shared" si="17"/>
        <v/>
      </c>
      <c r="W192" s="382" t="str">
        <f>IF(E192="","",IF(AND(V192="Standard difficulty applied",O192&gt;P192),U192,IF(AND(V192="Low Difficulty - only applicable if all habitat created before losses",P192&gt;=O192),"Low",VLOOKUP(F192,'G-3 Multipliers'!$A$2:$E$134,4,FALSE))))</f>
        <v/>
      </c>
      <c r="X192" s="386" t="str">
        <f>IFERROR(IF(E192="","",VLOOKUP(W192, 'G-3 Multipliers'!$P$2:$Q$6,2,FALSE)),"")</f>
        <v/>
      </c>
      <c r="Y192" s="390" t="str">
        <f t="shared" si="16"/>
        <v/>
      </c>
      <c r="Z192" s="194"/>
      <c r="AA192" s="195"/>
      <c r="AB192" s="120"/>
      <c r="AE192" s="40" t="str">
        <f t="shared" si="13"/>
        <v/>
      </c>
    </row>
    <row r="193" spans="1:31">
      <c r="A193" s="35" t="str">
        <f>IFERROR(INDEX('G-8 Condition Look up'!$I$4:$I$135,MATCH(F193,'G-8 Condition Look up'!$A$4:$A$135,0)),"")</f>
        <v/>
      </c>
      <c r="C193" s="299" t="str">
        <f>IFERROR(INDEX('G-1 All Habitats'!$AG$3:$AG$17,MATCH(D193,'G-1 All Habitats'!$AF$3:$AF$17,0)),"")</f>
        <v/>
      </c>
      <c r="D193" s="54"/>
      <c r="E193" s="61"/>
      <c r="F193" s="296" t="str">
        <f>IFERROR(INDEX('G-1 All Habitats'!$B$3:$B$134,MATCH(E193,'G-1 All Habitats'!$A$3:$A$134,0)),"")</f>
        <v/>
      </c>
      <c r="G193" s="53"/>
      <c r="H193" s="362" t="str">
        <f>IF(F193="","",VLOOKUP(F193,'G-1 All Habitats'!$B$2:$M$134,10,FALSE))</f>
        <v/>
      </c>
      <c r="I193" s="363" t="str">
        <f>IFERROR(VLOOKUP(H193,'G-1 All Habitats'!$V$3:$W$7,2,FALSE),"")</f>
        <v/>
      </c>
      <c r="J193" s="54"/>
      <c r="K193" s="363" t="str">
        <f>IFERROR(INDEX('G-8 Condition Look up'!$A$3:$H$135,MATCH(F193,'G-8 Condition Look up'!$A$3:$A$135,0),MATCH(J193,'G-8 Condition Look up'!$A$3:$H$3,0)),"")</f>
        <v/>
      </c>
      <c r="L193" s="54"/>
      <c r="M193" s="370" t="str">
        <f>IF(L193="","",IF(VLOOKUP(L193,'G-3 Multipliers'!$L$3:$N$6,2,FALSE)=0,"Spatial Data Missing",VLOOKUP(L193,'G-3 Multipliers'!$L$3:$N$6,2,FALSE)))</f>
        <v/>
      </c>
      <c r="N193" s="368" t="str">
        <f>IF(L193="","",IF(VLOOKUP(L193,'G-3 Multipliers'!$L$3:$N$6,3,FALSE)=0,"Spatial Data Missing",VLOOKUP(L193,'G-3 Multipliers'!$L$3:$N$6,3,FALSE)))</f>
        <v/>
      </c>
      <c r="O193" s="362" t="str">
        <f t="shared" si="12"/>
        <v/>
      </c>
      <c r="P193" s="63"/>
      <c r="Q193" s="63"/>
      <c r="R193" s="370" t="str">
        <f t="shared" si="14"/>
        <v/>
      </c>
      <c r="S193" s="383" t="str">
        <f t="shared" si="15"/>
        <v/>
      </c>
      <c r="T193" s="384" t="str">
        <f>IFERROR(IF(S193="Check Data ⚠","Check Data ⚠",VLOOKUP(S193,'G-4 Temporal multipliers'!$A$4:$C$37,3,FALSE)),"")</f>
        <v/>
      </c>
      <c r="U193" s="385" t="str">
        <f>IF(F193="","",VLOOKUP(F193,'G-3 Multipliers'!$A$2:$E$134,2,FALSE))</f>
        <v/>
      </c>
      <c r="V193" s="382" t="str">
        <f t="shared" si="17"/>
        <v/>
      </c>
      <c r="W193" s="382" t="str">
        <f>IF(E193="","",IF(AND(V193="Standard difficulty applied",O193&gt;P193),U193,IF(AND(V193="Low Difficulty - only applicable if all habitat created before losses",P193&gt;=O193),"Low",VLOOKUP(F193,'G-3 Multipliers'!$A$2:$E$134,4,FALSE))))</f>
        <v/>
      </c>
      <c r="X193" s="386" t="str">
        <f>IFERROR(IF(E193="","",VLOOKUP(W193, 'G-3 Multipliers'!$P$2:$Q$6,2,FALSE)),"")</f>
        <v/>
      </c>
      <c r="Y193" s="390" t="str">
        <f t="shared" si="16"/>
        <v/>
      </c>
      <c r="Z193" s="194"/>
      <c r="AA193" s="195"/>
      <c r="AB193" s="120"/>
      <c r="AE193" s="40" t="str">
        <f t="shared" si="13"/>
        <v/>
      </c>
    </row>
    <row r="194" spans="1:31">
      <c r="A194" s="35" t="str">
        <f>IFERROR(INDEX('G-8 Condition Look up'!$I$4:$I$135,MATCH(F194,'G-8 Condition Look up'!$A$4:$A$135,0)),"")</f>
        <v/>
      </c>
      <c r="C194" s="299" t="str">
        <f>IFERROR(INDEX('G-1 All Habitats'!$AG$3:$AG$17,MATCH(D194,'G-1 All Habitats'!$AF$3:$AF$17,0)),"")</f>
        <v/>
      </c>
      <c r="D194" s="54"/>
      <c r="E194" s="61"/>
      <c r="F194" s="296" t="str">
        <f>IFERROR(INDEX('G-1 All Habitats'!$B$3:$B$134,MATCH(E194,'G-1 All Habitats'!$A$3:$A$134,0)),"")</f>
        <v/>
      </c>
      <c r="G194" s="53"/>
      <c r="H194" s="362" t="str">
        <f>IF(F194="","",VLOOKUP(F194,'G-1 All Habitats'!$B$2:$M$134,10,FALSE))</f>
        <v/>
      </c>
      <c r="I194" s="363" t="str">
        <f>IFERROR(VLOOKUP(H194,'G-1 All Habitats'!$V$3:$W$7,2,FALSE),"")</f>
        <v/>
      </c>
      <c r="J194" s="54"/>
      <c r="K194" s="363" t="str">
        <f>IFERROR(INDEX('G-8 Condition Look up'!$A$3:$H$135,MATCH(F194,'G-8 Condition Look up'!$A$3:$A$135,0),MATCH(J194,'G-8 Condition Look up'!$A$3:$H$3,0)),"")</f>
        <v/>
      </c>
      <c r="L194" s="54"/>
      <c r="M194" s="370" t="str">
        <f>IF(L194="","",IF(VLOOKUP(L194,'G-3 Multipliers'!$L$3:$N$6,2,FALSE)=0,"Spatial Data Missing",VLOOKUP(L194,'G-3 Multipliers'!$L$3:$N$6,2,FALSE)))</f>
        <v/>
      </c>
      <c r="N194" s="368" t="str">
        <f>IF(L194="","",IF(VLOOKUP(L194,'G-3 Multipliers'!$L$3:$N$6,3,FALSE)=0,"Spatial Data Missing",VLOOKUP(L194,'G-3 Multipliers'!$L$3:$N$6,3,FALSE)))</f>
        <v/>
      </c>
      <c r="O194" s="362" t="str">
        <f t="shared" si="12"/>
        <v/>
      </c>
      <c r="P194" s="63"/>
      <c r="Q194" s="63"/>
      <c r="R194" s="370" t="str">
        <f t="shared" si="14"/>
        <v/>
      </c>
      <c r="S194" s="383" t="str">
        <f t="shared" si="15"/>
        <v/>
      </c>
      <c r="T194" s="384" t="str">
        <f>IFERROR(IF(S194="Check Data ⚠","Check Data ⚠",VLOOKUP(S194,'G-4 Temporal multipliers'!$A$4:$C$37,3,FALSE)),"")</f>
        <v/>
      </c>
      <c r="U194" s="385" t="str">
        <f>IF(F194="","",VLOOKUP(F194,'G-3 Multipliers'!$A$2:$E$134,2,FALSE))</f>
        <v/>
      </c>
      <c r="V194" s="382" t="str">
        <f t="shared" si="17"/>
        <v/>
      </c>
      <c r="W194" s="382" t="str">
        <f>IF(E194="","",IF(AND(V194="Standard difficulty applied",O194&gt;P194),U194,IF(AND(V194="Low Difficulty - only applicable if all habitat created before losses",P194&gt;=O194),"Low",VLOOKUP(F194,'G-3 Multipliers'!$A$2:$E$134,4,FALSE))))</f>
        <v/>
      </c>
      <c r="X194" s="386" t="str">
        <f>IFERROR(IF(E194="","",VLOOKUP(W194, 'G-3 Multipliers'!$P$2:$Q$6,2,FALSE)),"")</f>
        <v/>
      </c>
      <c r="Y194" s="390" t="str">
        <f t="shared" si="16"/>
        <v/>
      </c>
      <c r="Z194" s="194"/>
      <c r="AA194" s="195"/>
      <c r="AB194" s="120"/>
      <c r="AE194" s="40" t="str">
        <f t="shared" si="13"/>
        <v/>
      </c>
    </row>
    <row r="195" spans="1:31">
      <c r="A195" s="35" t="str">
        <f>IFERROR(INDEX('G-8 Condition Look up'!$I$4:$I$135,MATCH(F195,'G-8 Condition Look up'!$A$4:$A$135,0)),"")</f>
        <v/>
      </c>
      <c r="C195" s="299" t="str">
        <f>IFERROR(INDEX('G-1 All Habitats'!$AG$3:$AG$17,MATCH(D195,'G-1 All Habitats'!$AF$3:$AF$17,0)),"")</f>
        <v/>
      </c>
      <c r="D195" s="54"/>
      <c r="E195" s="61"/>
      <c r="F195" s="296" t="str">
        <f>IFERROR(INDEX('G-1 All Habitats'!$B$3:$B$134,MATCH(E195,'G-1 All Habitats'!$A$3:$A$134,0)),"")</f>
        <v/>
      </c>
      <c r="G195" s="53"/>
      <c r="H195" s="362" t="str">
        <f>IF(F195="","",VLOOKUP(F195,'G-1 All Habitats'!$B$2:$M$134,10,FALSE))</f>
        <v/>
      </c>
      <c r="I195" s="363" t="str">
        <f>IFERROR(VLOOKUP(H195,'G-1 All Habitats'!$V$3:$W$7,2,FALSE),"")</f>
        <v/>
      </c>
      <c r="J195" s="54"/>
      <c r="K195" s="363" t="str">
        <f>IFERROR(INDEX('G-8 Condition Look up'!$A$3:$H$135,MATCH(F195,'G-8 Condition Look up'!$A$3:$A$135,0),MATCH(J195,'G-8 Condition Look up'!$A$3:$H$3,0)),"")</f>
        <v/>
      </c>
      <c r="L195" s="54"/>
      <c r="M195" s="370" t="str">
        <f>IF(L195="","",IF(VLOOKUP(L195,'G-3 Multipliers'!$L$3:$N$6,2,FALSE)=0,"Spatial Data Missing",VLOOKUP(L195,'G-3 Multipliers'!$L$3:$N$6,2,FALSE)))</f>
        <v/>
      </c>
      <c r="N195" s="368" t="str">
        <f>IF(L195="","",IF(VLOOKUP(L195,'G-3 Multipliers'!$L$3:$N$6,3,FALSE)=0,"Spatial Data Missing",VLOOKUP(L195,'G-3 Multipliers'!$L$3:$N$6,3,FALSE)))</f>
        <v/>
      </c>
      <c r="O195" s="362" t="str">
        <f t="shared" si="12"/>
        <v/>
      </c>
      <c r="P195" s="63"/>
      <c r="Q195" s="63"/>
      <c r="R195" s="370" t="str">
        <f t="shared" si="14"/>
        <v/>
      </c>
      <c r="S195" s="383" t="str">
        <f t="shared" si="15"/>
        <v/>
      </c>
      <c r="T195" s="384" t="str">
        <f>IFERROR(IF(S195="Check Data ⚠","Check Data ⚠",VLOOKUP(S195,'G-4 Temporal multipliers'!$A$4:$C$37,3,FALSE)),"")</f>
        <v/>
      </c>
      <c r="U195" s="385" t="str">
        <f>IF(F195="","",VLOOKUP(F195,'G-3 Multipliers'!$A$2:$E$134,2,FALSE))</f>
        <v/>
      </c>
      <c r="V195" s="382" t="str">
        <f t="shared" si="17"/>
        <v/>
      </c>
      <c r="W195" s="382" t="str">
        <f>IF(E195="","",IF(AND(V195="Standard difficulty applied",O195&gt;P195),U195,IF(AND(V195="Low Difficulty - only applicable if all habitat created before losses",P195&gt;=O195),"Low",VLOOKUP(F195,'G-3 Multipliers'!$A$2:$E$134,4,FALSE))))</f>
        <v/>
      </c>
      <c r="X195" s="386" t="str">
        <f>IFERROR(IF(E195="","",VLOOKUP(W195, 'G-3 Multipliers'!$P$2:$Q$6,2,FALSE)),"")</f>
        <v/>
      </c>
      <c r="Y195" s="390" t="str">
        <f t="shared" si="16"/>
        <v/>
      </c>
      <c r="Z195" s="194"/>
      <c r="AA195" s="195"/>
      <c r="AB195" s="120"/>
      <c r="AE195" s="40" t="str">
        <f t="shared" si="13"/>
        <v/>
      </c>
    </row>
    <row r="196" spans="1:31">
      <c r="A196" s="35" t="str">
        <f>IFERROR(INDEX('G-8 Condition Look up'!$I$4:$I$135,MATCH(F196,'G-8 Condition Look up'!$A$4:$A$135,0)),"")</f>
        <v/>
      </c>
      <c r="C196" s="299" t="str">
        <f>IFERROR(INDEX('G-1 All Habitats'!$AG$3:$AG$17,MATCH(D196,'G-1 All Habitats'!$AF$3:$AF$17,0)),"")</f>
        <v/>
      </c>
      <c r="D196" s="54"/>
      <c r="E196" s="61"/>
      <c r="F196" s="296" t="str">
        <f>IFERROR(INDEX('G-1 All Habitats'!$B$3:$B$134,MATCH(E196,'G-1 All Habitats'!$A$3:$A$134,0)),"")</f>
        <v/>
      </c>
      <c r="G196" s="53"/>
      <c r="H196" s="362" t="str">
        <f>IF(F196="","",VLOOKUP(F196,'G-1 All Habitats'!$B$2:$M$134,10,FALSE))</f>
        <v/>
      </c>
      <c r="I196" s="363" t="str">
        <f>IFERROR(VLOOKUP(H196,'G-1 All Habitats'!$V$3:$W$7,2,FALSE),"")</f>
        <v/>
      </c>
      <c r="J196" s="54"/>
      <c r="K196" s="363" t="str">
        <f>IFERROR(INDEX('G-8 Condition Look up'!$A$3:$H$135,MATCH(F196,'G-8 Condition Look up'!$A$3:$A$135,0),MATCH(J196,'G-8 Condition Look up'!$A$3:$H$3,0)),"")</f>
        <v/>
      </c>
      <c r="L196" s="54"/>
      <c r="M196" s="370" t="str">
        <f>IF(L196="","",IF(VLOOKUP(L196,'G-3 Multipliers'!$L$3:$N$6,2,FALSE)=0,"Spatial Data Missing",VLOOKUP(L196,'G-3 Multipliers'!$L$3:$N$6,2,FALSE)))</f>
        <v/>
      </c>
      <c r="N196" s="368" t="str">
        <f>IF(L196="","",IF(VLOOKUP(L196,'G-3 Multipliers'!$L$3:$N$6,3,FALSE)=0,"Spatial Data Missing",VLOOKUP(L196,'G-3 Multipliers'!$L$3:$N$6,3,FALSE)))</f>
        <v/>
      </c>
      <c r="O196" s="362" t="str">
        <f t="shared" si="12"/>
        <v/>
      </c>
      <c r="P196" s="63"/>
      <c r="Q196" s="63"/>
      <c r="R196" s="370" t="str">
        <f t="shared" si="14"/>
        <v/>
      </c>
      <c r="S196" s="383" t="str">
        <f t="shared" si="15"/>
        <v/>
      </c>
      <c r="T196" s="384" t="str">
        <f>IFERROR(IF(S196="Check Data ⚠","Check Data ⚠",VLOOKUP(S196,'G-4 Temporal multipliers'!$A$4:$C$37,3,FALSE)),"")</f>
        <v/>
      </c>
      <c r="U196" s="385" t="str">
        <f>IF(F196="","",VLOOKUP(F196,'G-3 Multipliers'!$A$2:$E$134,2,FALSE))</f>
        <v/>
      </c>
      <c r="V196" s="382" t="str">
        <f t="shared" si="17"/>
        <v/>
      </c>
      <c r="W196" s="382" t="str">
        <f>IF(E196="","",IF(AND(V196="Standard difficulty applied",O196&gt;P196),U196,IF(AND(V196="Low Difficulty - only applicable if all habitat created before losses",P196&gt;=O196),"Low",VLOOKUP(F196,'G-3 Multipliers'!$A$2:$E$134,4,FALSE))))</f>
        <v/>
      </c>
      <c r="X196" s="386" t="str">
        <f>IFERROR(IF(E196="","",VLOOKUP(W196, 'G-3 Multipliers'!$P$2:$Q$6,2,FALSE)),"")</f>
        <v/>
      </c>
      <c r="Y196" s="390" t="str">
        <f t="shared" si="16"/>
        <v/>
      </c>
      <c r="Z196" s="194"/>
      <c r="AA196" s="195"/>
      <c r="AB196" s="120"/>
      <c r="AE196" s="40" t="str">
        <f t="shared" si="13"/>
        <v/>
      </c>
    </row>
    <row r="197" spans="1:31">
      <c r="A197" s="35" t="str">
        <f>IFERROR(INDEX('G-8 Condition Look up'!$I$4:$I$135,MATCH(F197,'G-8 Condition Look up'!$A$4:$A$135,0)),"")</f>
        <v/>
      </c>
      <c r="C197" s="299" t="str">
        <f>IFERROR(INDEX('G-1 All Habitats'!$AG$3:$AG$17,MATCH(D197,'G-1 All Habitats'!$AF$3:$AF$17,0)),"")</f>
        <v/>
      </c>
      <c r="D197" s="54"/>
      <c r="E197" s="61"/>
      <c r="F197" s="296" t="str">
        <f>IFERROR(INDEX('G-1 All Habitats'!$B$3:$B$134,MATCH(E197,'G-1 All Habitats'!$A$3:$A$134,0)),"")</f>
        <v/>
      </c>
      <c r="G197" s="53"/>
      <c r="H197" s="362" t="str">
        <f>IF(F197="","",VLOOKUP(F197,'G-1 All Habitats'!$B$2:$M$134,10,FALSE))</f>
        <v/>
      </c>
      <c r="I197" s="363" t="str">
        <f>IFERROR(VLOOKUP(H197,'G-1 All Habitats'!$V$3:$W$7,2,FALSE),"")</f>
        <v/>
      </c>
      <c r="J197" s="54"/>
      <c r="K197" s="363" t="str">
        <f>IFERROR(INDEX('G-8 Condition Look up'!$A$3:$H$135,MATCH(F197,'G-8 Condition Look up'!$A$3:$A$135,0),MATCH(J197,'G-8 Condition Look up'!$A$3:$H$3,0)),"")</f>
        <v/>
      </c>
      <c r="L197" s="54"/>
      <c r="M197" s="370" t="str">
        <f>IF(L197="","",IF(VLOOKUP(L197,'G-3 Multipliers'!$L$3:$N$6,2,FALSE)=0,"Spatial Data Missing",VLOOKUP(L197,'G-3 Multipliers'!$L$3:$N$6,2,FALSE)))</f>
        <v/>
      </c>
      <c r="N197" s="368" t="str">
        <f>IF(L197="","",IF(VLOOKUP(L197,'G-3 Multipliers'!$L$3:$N$6,3,FALSE)=0,"Spatial Data Missing",VLOOKUP(L197,'G-3 Multipliers'!$L$3:$N$6,3,FALSE)))</f>
        <v/>
      </c>
      <c r="O197" s="362" t="str">
        <f t="shared" si="12"/>
        <v/>
      </c>
      <c r="P197" s="63"/>
      <c r="Q197" s="63"/>
      <c r="R197" s="370" t="str">
        <f t="shared" si="14"/>
        <v/>
      </c>
      <c r="S197" s="383" t="str">
        <f t="shared" si="15"/>
        <v/>
      </c>
      <c r="T197" s="384" t="str">
        <f>IFERROR(IF(S197="Check Data ⚠","Check Data ⚠",VLOOKUP(S197,'G-4 Temporal multipliers'!$A$4:$C$37,3,FALSE)),"")</f>
        <v/>
      </c>
      <c r="U197" s="385" t="str">
        <f>IF(F197="","",VLOOKUP(F197,'G-3 Multipliers'!$A$2:$E$134,2,FALSE))</f>
        <v/>
      </c>
      <c r="V197" s="382" t="str">
        <f t="shared" si="17"/>
        <v/>
      </c>
      <c r="W197" s="382" t="str">
        <f>IF(E197="","",IF(AND(V197="Standard difficulty applied",O197&gt;P197),U197,IF(AND(V197="Low Difficulty - only applicable if all habitat created before losses",P197&gt;=O197),"Low",VLOOKUP(F197,'G-3 Multipliers'!$A$2:$E$134,4,FALSE))))</f>
        <v/>
      </c>
      <c r="X197" s="386" t="str">
        <f>IFERROR(IF(E197="","",VLOOKUP(W197, 'G-3 Multipliers'!$P$2:$Q$6,2,FALSE)),"")</f>
        <v/>
      </c>
      <c r="Y197" s="390" t="str">
        <f t="shared" si="16"/>
        <v/>
      </c>
      <c r="Z197" s="194"/>
      <c r="AA197" s="195"/>
      <c r="AB197" s="120"/>
      <c r="AE197" s="40" t="str">
        <f t="shared" si="13"/>
        <v/>
      </c>
    </row>
    <row r="198" spans="1:31">
      <c r="A198" s="35" t="str">
        <f>IFERROR(INDEX('G-8 Condition Look up'!$I$4:$I$135,MATCH(F198,'G-8 Condition Look up'!$A$4:$A$135,0)),"")</f>
        <v/>
      </c>
      <c r="C198" s="299" t="str">
        <f>IFERROR(INDEX('G-1 All Habitats'!$AG$3:$AG$17,MATCH(D198,'G-1 All Habitats'!$AF$3:$AF$17,0)),"")</f>
        <v/>
      </c>
      <c r="D198" s="54"/>
      <c r="E198" s="61"/>
      <c r="F198" s="296" t="str">
        <f>IFERROR(INDEX('G-1 All Habitats'!$B$3:$B$134,MATCH(E198,'G-1 All Habitats'!$A$3:$A$134,0)),"")</f>
        <v/>
      </c>
      <c r="G198" s="53"/>
      <c r="H198" s="362" t="str">
        <f>IF(F198="","",VLOOKUP(F198,'G-1 All Habitats'!$B$2:$M$134,10,FALSE))</f>
        <v/>
      </c>
      <c r="I198" s="363" t="str">
        <f>IFERROR(VLOOKUP(H198,'G-1 All Habitats'!$V$3:$W$7,2,FALSE),"")</f>
        <v/>
      </c>
      <c r="J198" s="54"/>
      <c r="K198" s="363" t="str">
        <f>IFERROR(INDEX('G-8 Condition Look up'!$A$3:$H$135,MATCH(F198,'G-8 Condition Look up'!$A$3:$A$135,0),MATCH(J198,'G-8 Condition Look up'!$A$3:$H$3,0)),"")</f>
        <v/>
      </c>
      <c r="L198" s="54"/>
      <c r="M198" s="370" t="str">
        <f>IF(L198="","",IF(VLOOKUP(L198,'G-3 Multipliers'!$L$3:$N$6,2,FALSE)=0,"Spatial Data Missing",VLOOKUP(L198,'G-3 Multipliers'!$L$3:$N$6,2,FALSE)))</f>
        <v/>
      </c>
      <c r="N198" s="368" t="str">
        <f>IF(L198="","",IF(VLOOKUP(L198,'G-3 Multipliers'!$L$3:$N$6,3,FALSE)=0,"Spatial Data Missing",VLOOKUP(L198,'G-3 Multipliers'!$L$3:$N$6,3,FALSE)))</f>
        <v/>
      </c>
      <c r="O198" s="362" t="str">
        <f t="shared" si="12"/>
        <v/>
      </c>
      <c r="P198" s="63"/>
      <c r="Q198" s="63"/>
      <c r="R198" s="370" t="str">
        <f t="shared" si="14"/>
        <v/>
      </c>
      <c r="S198" s="383" t="str">
        <f t="shared" si="15"/>
        <v/>
      </c>
      <c r="T198" s="384" t="str">
        <f>IFERROR(IF(S198="Check Data ⚠","Check Data ⚠",VLOOKUP(S198,'G-4 Temporal multipliers'!$A$4:$C$37,3,FALSE)),"")</f>
        <v/>
      </c>
      <c r="U198" s="385" t="str">
        <f>IF(F198="","",VLOOKUP(F198,'G-3 Multipliers'!$A$2:$E$134,2,FALSE))</f>
        <v/>
      </c>
      <c r="V198" s="382" t="str">
        <f t="shared" si="17"/>
        <v/>
      </c>
      <c r="W198" s="382" t="str">
        <f>IF(E198="","",IF(AND(V198="Standard difficulty applied",O198&gt;P198),U198,IF(AND(V198="Low Difficulty - only applicable if all habitat created before losses",P198&gt;=O198),"Low",VLOOKUP(F198,'G-3 Multipliers'!$A$2:$E$134,4,FALSE))))</f>
        <v/>
      </c>
      <c r="X198" s="386" t="str">
        <f>IFERROR(IF(E198="","",VLOOKUP(W198, 'G-3 Multipliers'!$P$2:$Q$6,2,FALSE)),"")</f>
        <v/>
      </c>
      <c r="Y198" s="390" t="str">
        <f t="shared" si="16"/>
        <v/>
      </c>
      <c r="Z198" s="194"/>
      <c r="AA198" s="195"/>
      <c r="AB198" s="120"/>
      <c r="AE198" s="40" t="str">
        <f t="shared" si="13"/>
        <v/>
      </c>
    </row>
    <row r="199" spans="1:31">
      <c r="A199" s="35" t="str">
        <f>IFERROR(INDEX('G-8 Condition Look up'!$I$4:$I$135,MATCH(F199,'G-8 Condition Look up'!$A$4:$A$135,0)),"")</f>
        <v/>
      </c>
      <c r="C199" s="299" t="str">
        <f>IFERROR(INDEX('G-1 All Habitats'!$AG$3:$AG$17,MATCH(D199,'G-1 All Habitats'!$AF$3:$AF$17,0)),"")</f>
        <v/>
      </c>
      <c r="D199" s="54"/>
      <c r="E199" s="61"/>
      <c r="F199" s="296" t="str">
        <f>IFERROR(INDEX('G-1 All Habitats'!$B$3:$B$134,MATCH(E199,'G-1 All Habitats'!$A$3:$A$134,0)),"")</f>
        <v/>
      </c>
      <c r="G199" s="53"/>
      <c r="H199" s="362" t="str">
        <f>IF(F199="","",VLOOKUP(F199,'G-1 All Habitats'!$B$2:$M$134,10,FALSE))</f>
        <v/>
      </c>
      <c r="I199" s="363" t="str">
        <f>IFERROR(VLOOKUP(H199,'G-1 All Habitats'!$V$3:$W$7,2,FALSE),"")</f>
        <v/>
      </c>
      <c r="J199" s="54"/>
      <c r="K199" s="363" t="str">
        <f>IFERROR(INDEX('G-8 Condition Look up'!$A$3:$H$135,MATCH(F199,'G-8 Condition Look up'!$A$3:$A$135,0),MATCH(J199,'G-8 Condition Look up'!$A$3:$H$3,0)),"")</f>
        <v/>
      </c>
      <c r="L199" s="54"/>
      <c r="M199" s="370" t="str">
        <f>IF(L199="","",IF(VLOOKUP(L199,'G-3 Multipliers'!$L$3:$N$6,2,FALSE)=0,"Spatial Data Missing",VLOOKUP(L199,'G-3 Multipliers'!$L$3:$N$6,2,FALSE)))</f>
        <v/>
      </c>
      <c r="N199" s="368" t="str">
        <f>IF(L199="","",IF(VLOOKUP(L199,'G-3 Multipliers'!$L$3:$N$6,3,FALSE)=0,"Spatial Data Missing",VLOOKUP(L199,'G-3 Multipliers'!$L$3:$N$6,3,FALSE)))</f>
        <v/>
      </c>
      <c r="O199" s="362" t="str">
        <f t="shared" si="12"/>
        <v/>
      </c>
      <c r="P199" s="63"/>
      <c r="Q199" s="63"/>
      <c r="R199" s="370" t="str">
        <f t="shared" si="14"/>
        <v/>
      </c>
      <c r="S199" s="383" t="str">
        <f t="shared" si="15"/>
        <v/>
      </c>
      <c r="T199" s="384" t="str">
        <f>IFERROR(IF(S199="Check Data ⚠","Check Data ⚠",VLOOKUP(S199,'G-4 Temporal multipliers'!$A$4:$C$37,3,FALSE)),"")</f>
        <v/>
      </c>
      <c r="U199" s="385" t="str">
        <f>IF(F199="","",VLOOKUP(F199,'G-3 Multipliers'!$A$2:$E$134,2,FALSE))</f>
        <v/>
      </c>
      <c r="V199" s="382" t="str">
        <f t="shared" si="17"/>
        <v/>
      </c>
      <c r="W199" s="382" t="str">
        <f>IF(E199="","",IF(AND(V199="Standard difficulty applied",O199&gt;P199),U199,IF(AND(V199="Low Difficulty - only applicable if all habitat created before losses",P199&gt;=O199),"Low",VLOOKUP(F199,'G-3 Multipliers'!$A$2:$E$134,4,FALSE))))</f>
        <v/>
      </c>
      <c r="X199" s="386" t="str">
        <f>IFERROR(IF(E199="","",VLOOKUP(W199, 'G-3 Multipliers'!$P$2:$Q$6,2,FALSE)),"")</f>
        <v/>
      </c>
      <c r="Y199" s="390" t="str">
        <f t="shared" si="16"/>
        <v/>
      </c>
      <c r="Z199" s="194"/>
      <c r="AA199" s="195"/>
      <c r="AB199" s="120"/>
      <c r="AE199" s="40" t="str">
        <f t="shared" si="13"/>
        <v/>
      </c>
    </row>
    <row r="200" spans="1:31">
      <c r="A200" s="35" t="str">
        <f>IFERROR(INDEX('G-8 Condition Look up'!$I$4:$I$135,MATCH(F200,'G-8 Condition Look up'!$A$4:$A$135,0)),"")</f>
        <v/>
      </c>
      <c r="C200" s="299" t="str">
        <f>IFERROR(INDEX('G-1 All Habitats'!$AG$3:$AG$17,MATCH(D200,'G-1 All Habitats'!$AF$3:$AF$17,0)),"")</f>
        <v/>
      </c>
      <c r="D200" s="54"/>
      <c r="E200" s="61"/>
      <c r="F200" s="296" t="str">
        <f>IFERROR(INDEX('G-1 All Habitats'!$B$3:$B$134,MATCH(E200,'G-1 All Habitats'!$A$3:$A$134,0)),"")</f>
        <v/>
      </c>
      <c r="G200" s="53"/>
      <c r="H200" s="362" t="str">
        <f>IF(F200="","",VLOOKUP(F200,'G-1 All Habitats'!$B$2:$M$134,10,FALSE))</f>
        <v/>
      </c>
      <c r="I200" s="363" t="str">
        <f>IFERROR(VLOOKUP(H200,'G-1 All Habitats'!$V$3:$W$7,2,FALSE),"")</f>
        <v/>
      </c>
      <c r="J200" s="54"/>
      <c r="K200" s="363" t="str">
        <f>IFERROR(INDEX('G-8 Condition Look up'!$A$3:$H$135,MATCH(F200,'G-8 Condition Look up'!$A$3:$A$135,0),MATCH(J200,'G-8 Condition Look up'!$A$3:$H$3,0)),"")</f>
        <v/>
      </c>
      <c r="L200" s="54"/>
      <c r="M200" s="370" t="str">
        <f>IF(L200="","",IF(VLOOKUP(L200,'G-3 Multipliers'!$L$3:$N$6,2,FALSE)=0,"Spatial Data Missing",VLOOKUP(L200,'G-3 Multipliers'!$L$3:$N$6,2,FALSE)))</f>
        <v/>
      </c>
      <c r="N200" s="368" t="str">
        <f>IF(L200="","",IF(VLOOKUP(L200,'G-3 Multipliers'!$L$3:$N$6,3,FALSE)=0,"Spatial Data Missing",VLOOKUP(L200,'G-3 Multipliers'!$L$3:$N$6,3,FALSE)))</f>
        <v/>
      </c>
      <c r="O200" s="362" t="str">
        <f t="shared" si="12"/>
        <v/>
      </c>
      <c r="P200" s="63"/>
      <c r="Q200" s="63"/>
      <c r="R200" s="370" t="str">
        <f t="shared" si="14"/>
        <v/>
      </c>
      <c r="S200" s="383" t="str">
        <f t="shared" si="15"/>
        <v/>
      </c>
      <c r="T200" s="384" t="str">
        <f>IFERROR(IF(S200="Check Data ⚠","Check Data ⚠",VLOOKUP(S200,'G-4 Temporal multipliers'!$A$4:$C$37,3,FALSE)),"")</f>
        <v/>
      </c>
      <c r="U200" s="385" t="str">
        <f>IF(F200="","",VLOOKUP(F200,'G-3 Multipliers'!$A$2:$E$134,2,FALSE))</f>
        <v/>
      </c>
      <c r="V200" s="382" t="str">
        <f t="shared" si="17"/>
        <v/>
      </c>
      <c r="W200" s="382" t="str">
        <f>IF(E200="","",IF(AND(V200="Standard difficulty applied",O200&gt;P200),U200,IF(AND(V200="Low Difficulty - only applicable if all habitat created before losses",P200&gt;=O200),"Low",VLOOKUP(F200,'G-3 Multipliers'!$A$2:$E$134,4,FALSE))))</f>
        <v/>
      </c>
      <c r="X200" s="386" t="str">
        <f>IFERROR(IF(E200="","",VLOOKUP(W200, 'G-3 Multipliers'!$P$2:$Q$6,2,FALSE)),"")</f>
        <v/>
      </c>
      <c r="Y200" s="390" t="str">
        <f t="shared" si="16"/>
        <v/>
      </c>
      <c r="Z200" s="194"/>
      <c r="AA200" s="195"/>
      <c r="AB200" s="120"/>
      <c r="AE200" s="40" t="str">
        <f t="shared" si="13"/>
        <v/>
      </c>
    </row>
    <row r="201" spans="1:31">
      <c r="A201" s="35" t="str">
        <f>IFERROR(INDEX('G-8 Condition Look up'!$I$4:$I$135,MATCH(F201,'G-8 Condition Look up'!$A$4:$A$135,0)),"")</f>
        <v/>
      </c>
      <c r="C201" s="299" t="str">
        <f>IFERROR(INDEX('G-1 All Habitats'!$AG$3:$AG$17,MATCH(D201,'G-1 All Habitats'!$AF$3:$AF$17,0)),"")</f>
        <v/>
      </c>
      <c r="D201" s="54"/>
      <c r="E201" s="61"/>
      <c r="F201" s="296" t="str">
        <f>IFERROR(INDEX('G-1 All Habitats'!$B$3:$B$134,MATCH(E201,'G-1 All Habitats'!$A$3:$A$134,0)),"")</f>
        <v/>
      </c>
      <c r="G201" s="53"/>
      <c r="H201" s="362" t="str">
        <f>IF(F201="","",VLOOKUP(F201,'G-1 All Habitats'!$B$2:$M$134,10,FALSE))</f>
        <v/>
      </c>
      <c r="I201" s="363" t="str">
        <f>IFERROR(VLOOKUP(H201,'G-1 All Habitats'!$V$3:$W$7,2,FALSE),"")</f>
        <v/>
      </c>
      <c r="J201" s="54"/>
      <c r="K201" s="363" t="str">
        <f>IFERROR(INDEX('G-8 Condition Look up'!$A$3:$H$135,MATCH(F201,'G-8 Condition Look up'!$A$3:$A$135,0),MATCH(J201,'G-8 Condition Look up'!$A$3:$H$3,0)),"")</f>
        <v/>
      </c>
      <c r="L201" s="54"/>
      <c r="M201" s="370" t="str">
        <f>IF(L201="","",IF(VLOOKUP(L201,'G-3 Multipliers'!$L$3:$N$6,2,FALSE)=0,"Spatial Data Missing",VLOOKUP(L201,'G-3 Multipliers'!$L$3:$N$6,2,FALSE)))</f>
        <v/>
      </c>
      <c r="N201" s="368" t="str">
        <f>IF(L201="","",IF(VLOOKUP(L201,'G-3 Multipliers'!$L$3:$N$6,3,FALSE)=0,"Spatial Data Missing",VLOOKUP(L201,'G-3 Multipliers'!$L$3:$N$6,3,FALSE)))</f>
        <v/>
      </c>
      <c r="O201" s="362" t="str">
        <f t="shared" si="12"/>
        <v/>
      </c>
      <c r="P201" s="63"/>
      <c r="Q201" s="63"/>
      <c r="R201" s="370" t="str">
        <f t="shared" si="14"/>
        <v/>
      </c>
      <c r="S201" s="383" t="str">
        <f t="shared" si="15"/>
        <v/>
      </c>
      <c r="T201" s="384" t="str">
        <f>IFERROR(IF(S201="Check Data ⚠","Check Data ⚠",VLOOKUP(S201,'G-4 Temporal multipliers'!$A$4:$C$37,3,FALSE)),"")</f>
        <v/>
      </c>
      <c r="U201" s="385" t="str">
        <f>IF(F201="","",VLOOKUP(F201,'G-3 Multipliers'!$A$2:$E$134,2,FALSE))</f>
        <v/>
      </c>
      <c r="V201" s="382" t="str">
        <f t="shared" si="17"/>
        <v/>
      </c>
      <c r="W201" s="382" t="str">
        <f>IF(E201="","",IF(AND(V201="Standard difficulty applied",O201&gt;P201),U201,IF(AND(V201="Low Difficulty - only applicable if all habitat created before losses",P201&gt;=O201),"Low",VLOOKUP(F201,'G-3 Multipliers'!$A$2:$E$134,4,FALSE))))</f>
        <v/>
      </c>
      <c r="X201" s="386" t="str">
        <f>IFERROR(IF(E201="","",VLOOKUP(W201, 'G-3 Multipliers'!$P$2:$Q$6,2,FALSE)),"")</f>
        <v/>
      </c>
      <c r="Y201" s="390" t="str">
        <f t="shared" si="16"/>
        <v/>
      </c>
      <c r="Z201" s="194"/>
      <c r="AA201" s="195"/>
      <c r="AB201" s="120"/>
      <c r="AE201" s="40" t="str">
        <f t="shared" si="13"/>
        <v/>
      </c>
    </row>
    <row r="202" spans="1:31">
      <c r="A202" s="35" t="str">
        <f>IFERROR(INDEX('G-8 Condition Look up'!$I$4:$I$135,MATCH(F202,'G-8 Condition Look up'!$A$4:$A$135,0)),"")</f>
        <v/>
      </c>
      <c r="C202" s="299" t="str">
        <f>IFERROR(INDEX('G-1 All Habitats'!$AG$3:$AG$17,MATCH(D202,'G-1 All Habitats'!$AF$3:$AF$17,0)),"")</f>
        <v/>
      </c>
      <c r="D202" s="54"/>
      <c r="E202" s="61"/>
      <c r="F202" s="296" t="str">
        <f>IFERROR(INDEX('G-1 All Habitats'!$B$3:$B$134,MATCH(E202,'G-1 All Habitats'!$A$3:$A$134,0)),"")</f>
        <v/>
      </c>
      <c r="G202" s="53"/>
      <c r="H202" s="362" t="str">
        <f>IF(F202="","",VLOOKUP(F202,'G-1 All Habitats'!$B$2:$M$134,10,FALSE))</f>
        <v/>
      </c>
      <c r="I202" s="363" t="str">
        <f>IFERROR(VLOOKUP(H202,'G-1 All Habitats'!$V$3:$W$7,2,FALSE),"")</f>
        <v/>
      </c>
      <c r="J202" s="54"/>
      <c r="K202" s="363" t="str">
        <f>IFERROR(INDEX('G-8 Condition Look up'!$A$3:$H$135,MATCH(F202,'G-8 Condition Look up'!$A$3:$A$135,0),MATCH(J202,'G-8 Condition Look up'!$A$3:$H$3,0)),"")</f>
        <v/>
      </c>
      <c r="L202" s="54"/>
      <c r="M202" s="370" t="str">
        <f>IF(L202="","",IF(VLOOKUP(L202,'G-3 Multipliers'!$L$3:$N$6,2,FALSE)=0,"Spatial Data Missing",VLOOKUP(L202,'G-3 Multipliers'!$L$3:$N$6,2,FALSE)))</f>
        <v/>
      </c>
      <c r="N202" s="368" t="str">
        <f>IF(L202="","",IF(VLOOKUP(L202,'G-3 Multipliers'!$L$3:$N$6,3,FALSE)=0,"Spatial Data Missing",VLOOKUP(L202,'G-3 Multipliers'!$L$3:$N$6,3,FALSE)))</f>
        <v/>
      </c>
      <c r="O202" s="362" t="str">
        <f t="shared" si="12"/>
        <v/>
      </c>
      <c r="P202" s="63"/>
      <c r="Q202" s="63"/>
      <c r="R202" s="370" t="str">
        <f t="shared" si="14"/>
        <v/>
      </c>
      <c r="S202" s="383" t="str">
        <f t="shared" si="15"/>
        <v/>
      </c>
      <c r="T202" s="384" t="str">
        <f>IFERROR(IF(S202="Check Data ⚠","Check Data ⚠",VLOOKUP(S202,'G-4 Temporal multipliers'!$A$4:$C$37,3,FALSE)),"")</f>
        <v/>
      </c>
      <c r="U202" s="385" t="str">
        <f>IF(F202="","",VLOOKUP(F202,'G-3 Multipliers'!$A$2:$E$134,2,FALSE))</f>
        <v/>
      </c>
      <c r="V202" s="382" t="str">
        <f t="shared" si="17"/>
        <v/>
      </c>
      <c r="W202" s="382" t="str">
        <f>IF(E202="","",IF(AND(V202="Standard difficulty applied",O202&gt;P202),U202,IF(AND(V202="Low Difficulty - only applicable if all habitat created before losses",P202&gt;=O202),"Low",VLOOKUP(F202,'G-3 Multipliers'!$A$2:$E$134,4,FALSE))))</f>
        <v/>
      </c>
      <c r="X202" s="386" t="str">
        <f>IFERROR(IF(E202="","",VLOOKUP(W202, 'G-3 Multipliers'!$P$2:$Q$6,2,FALSE)),"")</f>
        <v/>
      </c>
      <c r="Y202" s="390" t="str">
        <f t="shared" si="16"/>
        <v/>
      </c>
      <c r="Z202" s="194"/>
      <c r="AA202" s="195"/>
      <c r="AB202" s="120"/>
      <c r="AE202" s="40" t="str">
        <f t="shared" si="13"/>
        <v/>
      </c>
    </row>
    <row r="203" spans="1:31">
      <c r="A203" s="35" t="str">
        <f>IFERROR(INDEX('G-8 Condition Look up'!$I$4:$I$135,MATCH(F203,'G-8 Condition Look up'!$A$4:$A$135,0)),"")</f>
        <v/>
      </c>
      <c r="C203" s="299" t="str">
        <f>IFERROR(INDEX('G-1 All Habitats'!$AG$3:$AG$17,MATCH(D203,'G-1 All Habitats'!$AF$3:$AF$17,0)),"")</f>
        <v/>
      </c>
      <c r="D203" s="54"/>
      <c r="E203" s="61"/>
      <c r="F203" s="296" t="str">
        <f>IFERROR(INDEX('G-1 All Habitats'!$B$3:$B$134,MATCH(E203,'G-1 All Habitats'!$A$3:$A$134,0)),"")</f>
        <v/>
      </c>
      <c r="G203" s="53"/>
      <c r="H203" s="362" t="str">
        <f>IF(F203="","",VLOOKUP(F203,'G-1 All Habitats'!$B$2:$M$134,10,FALSE))</f>
        <v/>
      </c>
      <c r="I203" s="363" t="str">
        <f>IFERROR(VLOOKUP(H203,'G-1 All Habitats'!$V$3:$W$7,2,FALSE),"")</f>
        <v/>
      </c>
      <c r="J203" s="54"/>
      <c r="K203" s="363" t="str">
        <f>IFERROR(INDEX('G-8 Condition Look up'!$A$3:$H$135,MATCH(F203,'G-8 Condition Look up'!$A$3:$A$135,0),MATCH(J203,'G-8 Condition Look up'!$A$3:$H$3,0)),"")</f>
        <v/>
      </c>
      <c r="L203" s="54"/>
      <c r="M203" s="370" t="str">
        <f>IF(L203="","",IF(VLOOKUP(L203,'G-3 Multipliers'!$L$3:$N$6,2,FALSE)=0,"Spatial Data Missing",VLOOKUP(L203,'G-3 Multipliers'!$L$3:$N$6,2,FALSE)))</f>
        <v/>
      </c>
      <c r="N203" s="368" t="str">
        <f>IF(L203="","",IF(VLOOKUP(L203,'G-3 Multipliers'!$L$3:$N$6,3,FALSE)=0,"Spatial Data Missing",VLOOKUP(L203,'G-3 Multipliers'!$L$3:$N$6,3,FALSE)))</f>
        <v/>
      </c>
      <c r="O203" s="362" t="str">
        <f t="shared" ref="O203:O256" si="18">IFERROR(INDEX(TemporalData,MATCH(F203,TemporalHabitats,0),MATCH(J203,TemporalConditions,0)),"")</f>
        <v/>
      </c>
      <c r="P203" s="63"/>
      <c r="Q203" s="63"/>
      <c r="R203" s="370" t="str">
        <f t="shared" si="14"/>
        <v/>
      </c>
      <c r="S203" s="383" t="str">
        <f t="shared" si="15"/>
        <v/>
      </c>
      <c r="T203" s="384" t="str">
        <f>IFERROR(IF(S203="Check Data ⚠","Check Data ⚠",VLOOKUP(S203,'G-4 Temporal multipliers'!$A$4:$C$37,3,FALSE)),"")</f>
        <v/>
      </c>
      <c r="U203" s="385" t="str">
        <f>IF(F203="","",VLOOKUP(F203,'G-3 Multipliers'!$A$2:$E$134,2,FALSE))</f>
        <v/>
      </c>
      <c r="V203" s="382" t="str">
        <f t="shared" si="17"/>
        <v/>
      </c>
      <c r="W203" s="382" t="str">
        <f>IF(E203="","",IF(AND(V203="Standard difficulty applied",O203&gt;P203),U203,IF(AND(V203="Low Difficulty - only applicable if all habitat created before losses",P203&gt;=O203),"Low",VLOOKUP(F203,'G-3 Multipliers'!$A$2:$E$134,4,FALSE))))</f>
        <v/>
      </c>
      <c r="X203" s="386" t="str">
        <f>IFERROR(IF(E203="","",VLOOKUP(W203, 'G-3 Multipliers'!$P$2:$Q$6,2,FALSE)),"")</f>
        <v/>
      </c>
      <c r="Y203" s="390" t="str">
        <f t="shared" si="16"/>
        <v/>
      </c>
      <c r="Z203" s="194"/>
      <c r="AA203" s="195"/>
      <c r="AB203" s="120"/>
      <c r="AE203" s="40" t="str">
        <f t="shared" ref="AE203:AE256" si="19">IFERROR(INDEX(TemporalData,MATCH(F203,TemporalHabitats,0),MATCH($AE$10,TemporalConditions,0)),"")</f>
        <v/>
      </c>
    </row>
    <row r="204" spans="1:31">
      <c r="A204" s="35" t="str">
        <f>IFERROR(INDEX('G-8 Condition Look up'!$I$4:$I$135,MATCH(F204,'G-8 Condition Look up'!$A$4:$A$135,0)),"")</f>
        <v/>
      </c>
      <c r="C204" s="299" t="str">
        <f>IFERROR(INDEX('G-1 All Habitats'!$AG$3:$AG$17,MATCH(D204,'G-1 All Habitats'!$AF$3:$AF$17,0)),"")</f>
        <v/>
      </c>
      <c r="D204" s="54"/>
      <c r="E204" s="61"/>
      <c r="F204" s="296" t="str">
        <f>IFERROR(INDEX('G-1 All Habitats'!$B$3:$B$134,MATCH(E204,'G-1 All Habitats'!$A$3:$A$134,0)),"")</f>
        <v/>
      </c>
      <c r="G204" s="53"/>
      <c r="H204" s="362" t="str">
        <f>IF(F204="","",VLOOKUP(F204,'G-1 All Habitats'!$B$2:$M$134,10,FALSE))</f>
        <v/>
      </c>
      <c r="I204" s="363" t="str">
        <f>IFERROR(VLOOKUP(H204,'G-1 All Habitats'!$V$3:$W$7,2,FALSE),"")</f>
        <v/>
      </c>
      <c r="J204" s="54"/>
      <c r="K204" s="363" t="str">
        <f>IFERROR(INDEX('G-8 Condition Look up'!$A$3:$H$135,MATCH(F204,'G-8 Condition Look up'!$A$3:$A$135,0),MATCH(J204,'G-8 Condition Look up'!$A$3:$H$3,0)),"")</f>
        <v/>
      </c>
      <c r="L204" s="54"/>
      <c r="M204" s="370" t="str">
        <f>IF(L204="","",IF(VLOOKUP(L204,'G-3 Multipliers'!$L$3:$N$6,2,FALSE)=0,"Spatial Data Missing",VLOOKUP(L204,'G-3 Multipliers'!$L$3:$N$6,2,FALSE)))</f>
        <v/>
      </c>
      <c r="N204" s="368" t="str">
        <f>IF(L204="","",IF(VLOOKUP(L204,'G-3 Multipliers'!$L$3:$N$6,3,FALSE)=0,"Spatial Data Missing",VLOOKUP(L204,'G-3 Multipliers'!$L$3:$N$6,3,FALSE)))</f>
        <v/>
      </c>
      <c r="O204" s="362" t="str">
        <f t="shared" si="18"/>
        <v/>
      </c>
      <c r="P204" s="63"/>
      <c r="Q204" s="63"/>
      <c r="R204" s="370" t="str">
        <f t="shared" ref="R204:R256" si="20">IF(E204="","",IF(AND(P204&gt;0,Q204&gt;0),"Error -both advance and delayed habitat creation ▲",IF(I204=0,"Standard time to target condition applied",IF(AND(J204="N/A -Agricultural",O204&lt;=P204),"Check details - Is there evidence habitat creation in place? ⚠",IF(AND(O204&lt;=P204,Q204=0),"Check details - Is there evidence that habitat has reached target condition? ⚠",IF(O204="","",IF(AND(P204&gt;=AE204,P204&gt;0),"Check details - Is there evidence habitat creation started and the threshold for Poor condition reached? ⚠",IF(Q204&gt;0,"Check details- Delay in starting habitat in required condition? ⚠",IF(P204&gt;0,"Check details - Is there evidence habitat creation started/in place? ⚠","Standard time to target condition applied")))))))))</f>
        <v/>
      </c>
      <c r="S204" s="383" t="str">
        <f t="shared" ref="S204:S256" si="21">IF(R204="Error -both advance and delayed habitat creation ▲","Check Data ⚠",IF(O204="Not Possible","Check Data ⚠",IF(O204="","",IF(AND(O204="30+",P204=0),"30+",IF(AND(O204="30+",P204="30+"),0,IF(AND(O204="30+",P204&lt;32),30-P204,IF(O204="30+",30-P204,IF(P204&gt;O204,0,IF(Q204="30+","30+",IF(O204+Q204&gt;30,"30+",IF(O204+Q204&gt;30,"30+",IF(O204-P204&gt;30,"30+",IF(O204+Q204-P204&gt;0,O204+Q204-P204,IF(O204-P204&gt;0,O204-P204,O204+Q204-P204))))))))))))))</f>
        <v/>
      </c>
      <c r="T204" s="384" t="str">
        <f>IFERROR(IF(S204="Check Data ⚠","Check Data ⚠",VLOOKUP(S204,'G-4 Temporal multipliers'!$A$4:$C$37,3,FALSE)),"")</f>
        <v/>
      </c>
      <c r="U204" s="385" t="str">
        <f>IF(F204="","",VLOOKUP(F204,'G-3 Multipliers'!$A$2:$E$134,2,FALSE))</f>
        <v/>
      </c>
      <c r="V204" s="382" t="str">
        <f t="shared" si="17"/>
        <v/>
      </c>
      <c r="W204" s="382" t="str">
        <f>IF(E204="","",IF(AND(V204="Standard difficulty applied",O204&gt;P204),U204,IF(AND(V204="Low Difficulty - only applicable if all habitat created before losses",P204&gt;=O204),"Low",VLOOKUP(F204,'G-3 Multipliers'!$A$2:$E$134,4,FALSE))))</f>
        <v/>
      </c>
      <c r="X204" s="386" t="str">
        <f>IFERROR(IF(E204="","",VLOOKUP(W204, 'G-3 Multipliers'!$P$2:$Q$6,2,FALSE)),"")</f>
        <v/>
      </c>
      <c r="Y204" s="390" t="str">
        <f t="shared" ref="Y204:Y256" si="22">IFERROR(G204*I204*K204*N204*T204*X204,"")</f>
        <v/>
      </c>
      <c r="Z204" s="194"/>
      <c r="AA204" s="195"/>
      <c r="AB204" s="120"/>
      <c r="AE204" s="40" t="str">
        <f t="shared" si="19"/>
        <v/>
      </c>
    </row>
    <row r="205" spans="1:31">
      <c r="A205" s="35" t="str">
        <f>IFERROR(INDEX('G-8 Condition Look up'!$I$4:$I$135,MATCH(F205,'G-8 Condition Look up'!$A$4:$A$135,0)),"")</f>
        <v/>
      </c>
      <c r="C205" s="299" t="str">
        <f>IFERROR(INDEX('G-1 All Habitats'!$AG$3:$AG$17,MATCH(D205,'G-1 All Habitats'!$AF$3:$AF$17,0)),"")</f>
        <v/>
      </c>
      <c r="D205" s="54"/>
      <c r="E205" s="61"/>
      <c r="F205" s="296" t="str">
        <f>IFERROR(INDEX('G-1 All Habitats'!$B$3:$B$134,MATCH(E205,'G-1 All Habitats'!$A$3:$A$134,0)),"")</f>
        <v/>
      </c>
      <c r="G205" s="53"/>
      <c r="H205" s="362" t="str">
        <f>IF(F205="","",VLOOKUP(F205,'G-1 All Habitats'!$B$2:$M$134,10,FALSE))</f>
        <v/>
      </c>
      <c r="I205" s="363" t="str">
        <f>IFERROR(VLOOKUP(H205,'G-1 All Habitats'!$V$3:$W$7,2,FALSE),"")</f>
        <v/>
      </c>
      <c r="J205" s="54"/>
      <c r="K205" s="363" t="str">
        <f>IFERROR(INDEX('G-8 Condition Look up'!$A$3:$H$135,MATCH(F205,'G-8 Condition Look up'!$A$3:$A$135,0),MATCH(J205,'G-8 Condition Look up'!$A$3:$H$3,0)),"")</f>
        <v/>
      </c>
      <c r="L205" s="54"/>
      <c r="M205" s="370" t="str">
        <f>IF(L205="","",IF(VLOOKUP(L205,'G-3 Multipliers'!$L$3:$N$6,2,FALSE)=0,"Spatial Data Missing",VLOOKUP(L205,'G-3 Multipliers'!$L$3:$N$6,2,FALSE)))</f>
        <v/>
      </c>
      <c r="N205" s="368" t="str">
        <f>IF(L205="","",IF(VLOOKUP(L205,'G-3 Multipliers'!$L$3:$N$6,3,FALSE)=0,"Spatial Data Missing",VLOOKUP(L205,'G-3 Multipliers'!$L$3:$N$6,3,FALSE)))</f>
        <v/>
      </c>
      <c r="O205" s="362" t="str">
        <f t="shared" si="18"/>
        <v/>
      </c>
      <c r="P205" s="63"/>
      <c r="Q205" s="63"/>
      <c r="R205" s="370" t="str">
        <f t="shared" si="20"/>
        <v/>
      </c>
      <c r="S205" s="383" t="str">
        <f t="shared" si="21"/>
        <v/>
      </c>
      <c r="T205" s="384" t="str">
        <f>IFERROR(IF(S205="Check Data ⚠","Check Data ⚠",VLOOKUP(S205,'G-4 Temporal multipliers'!$A$4:$C$37,3,FALSE)),"")</f>
        <v/>
      </c>
      <c r="U205" s="385" t="str">
        <f>IF(F205="","",VLOOKUP(F205,'G-3 Multipliers'!$A$2:$E$134,2,FALSE))</f>
        <v/>
      </c>
      <c r="V205" s="382" t="str">
        <f t="shared" ref="V205:V256" si="23">IF(F205="","",IF($R205="Check details - Is there evidence that habitat has reached target condition? ⚠","Low Difficulty - only applicable if all habitat created before losses",IF(AND($R205="Check details - Is there evidence habitat creation started and the threshold for Poor condition reached? ⚠",$E205&lt;&gt;"Traditional orchards", $E205&lt;&gt;"Ornamental lake or pond", $E205&lt;&gt;"Ponds (Non- Priority Habitat)", $E205&lt;&gt;"Ruderal/Ephemeral", $E205&lt;&gt;"Developed land; sealed surface"),"Enhancement difficulty applied","Standard difficulty applied")))</f>
        <v/>
      </c>
      <c r="W205" s="382" t="str">
        <f>IF(E205="","",IF(AND(V205="Standard difficulty applied",O205&gt;P205),U205,IF(AND(V205="Low Difficulty - only applicable if all habitat created before losses",P205&gt;=O205),"Low",VLOOKUP(F205,'G-3 Multipliers'!$A$2:$E$134,4,FALSE))))</f>
        <v/>
      </c>
      <c r="X205" s="386" t="str">
        <f>IFERROR(IF(E205="","",VLOOKUP(W205, 'G-3 Multipliers'!$P$2:$Q$6,2,FALSE)),"")</f>
        <v/>
      </c>
      <c r="Y205" s="390" t="str">
        <f t="shared" si="22"/>
        <v/>
      </c>
      <c r="Z205" s="194"/>
      <c r="AA205" s="195"/>
      <c r="AB205" s="120"/>
      <c r="AE205" s="40" t="str">
        <f t="shared" si="19"/>
        <v/>
      </c>
    </row>
    <row r="206" spans="1:31">
      <c r="A206" s="35" t="str">
        <f>IFERROR(INDEX('G-8 Condition Look up'!$I$4:$I$135,MATCH(F206,'G-8 Condition Look up'!$A$4:$A$135,0)),"")</f>
        <v/>
      </c>
      <c r="C206" s="299" t="str">
        <f>IFERROR(INDEX('G-1 All Habitats'!$AG$3:$AG$17,MATCH(D206,'G-1 All Habitats'!$AF$3:$AF$17,0)),"")</f>
        <v/>
      </c>
      <c r="D206" s="54"/>
      <c r="E206" s="61"/>
      <c r="F206" s="296" t="str">
        <f>IFERROR(INDEX('G-1 All Habitats'!$B$3:$B$134,MATCH(E206,'G-1 All Habitats'!$A$3:$A$134,0)),"")</f>
        <v/>
      </c>
      <c r="G206" s="53"/>
      <c r="H206" s="362" t="str">
        <f>IF(F206="","",VLOOKUP(F206,'G-1 All Habitats'!$B$2:$M$134,10,FALSE))</f>
        <v/>
      </c>
      <c r="I206" s="363" t="str">
        <f>IFERROR(VLOOKUP(H206,'G-1 All Habitats'!$V$3:$W$7,2,FALSE),"")</f>
        <v/>
      </c>
      <c r="J206" s="54"/>
      <c r="K206" s="363" t="str">
        <f>IFERROR(INDEX('G-8 Condition Look up'!$A$3:$H$135,MATCH(F206,'G-8 Condition Look up'!$A$3:$A$135,0),MATCH(J206,'G-8 Condition Look up'!$A$3:$H$3,0)),"")</f>
        <v/>
      </c>
      <c r="L206" s="54"/>
      <c r="M206" s="370" t="str">
        <f>IF(L206="","",IF(VLOOKUP(L206,'G-3 Multipliers'!$L$3:$N$6,2,FALSE)=0,"Spatial Data Missing",VLOOKUP(L206,'G-3 Multipliers'!$L$3:$N$6,2,FALSE)))</f>
        <v/>
      </c>
      <c r="N206" s="368" t="str">
        <f>IF(L206="","",IF(VLOOKUP(L206,'G-3 Multipliers'!$L$3:$N$6,3,FALSE)=0,"Spatial Data Missing",VLOOKUP(L206,'G-3 Multipliers'!$L$3:$N$6,3,FALSE)))</f>
        <v/>
      </c>
      <c r="O206" s="362" t="str">
        <f t="shared" si="18"/>
        <v/>
      </c>
      <c r="P206" s="63"/>
      <c r="Q206" s="63"/>
      <c r="R206" s="370" t="str">
        <f t="shared" si="20"/>
        <v/>
      </c>
      <c r="S206" s="383" t="str">
        <f t="shared" si="21"/>
        <v/>
      </c>
      <c r="T206" s="384" t="str">
        <f>IFERROR(IF(S206="Check Data ⚠","Check Data ⚠",VLOOKUP(S206,'G-4 Temporal multipliers'!$A$4:$C$37,3,FALSE)),"")</f>
        <v/>
      </c>
      <c r="U206" s="385" t="str">
        <f>IF(F206="","",VLOOKUP(F206,'G-3 Multipliers'!$A$2:$E$134,2,FALSE))</f>
        <v/>
      </c>
      <c r="V206" s="382" t="str">
        <f t="shared" si="23"/>
        <v/>
      </c>
      <c r="W206" s="382" t="str">
        <f>IF(E206="","",IF(AND(V206="Standard difficulty applied",O206&gt;P206),U206,IF(AND(V206="Low Difficulty - only applicable if all habitat created before losses",P206&gt;=O206),"Low",VLOOKUP(F206,'G-3 Multipliers'!$A$2:$E$134,4,FALSE))))</f>
        <v/>
      </c>
      <c r="X206" s="386" t="str">
        <f>IFERROR(IF(E206="","",VLOOKUP(W206, 'G-3 Multipliers'!$P$2:$Q$6,2,FALSE)),"")</f>
        <v/>
      </c>
      <c r="Y206" s="390" t="str">
        <f t="shared" si="22"/>
        <v/>
      </c>
      <c r="Z206" s="194"/>
      <c r="AA206" s="195"/>
      <c r="AB206" s="120"/>
      <c r="AE206" s="40" t="str">
        <f t="shared" si="19"/>
        <v/>
      </c>
    </row>
    <row r="207" spans="1:31">
      <c r="A207" s="35" t="str">
        <f>IFERROR(INDEX('G-8 Condition Look up'!$I$4:$I$135,MATCH(F207,'G-8 Condition Look up'!$A$4:$A$135,0)),"")</f>
        <v/>
      </c>
      <c r="C207" s="299" t="str">
        <f>IFERROR(INDEX('G-1 All Habitats'!$AG$3:$AG$17,MATCH(D207,'G-1 All Habitats'!$AF$3:$AF$17,0)),"")</f>
        <v/>
      </c>
      <c r="D207" s="54"/>
      <c r="E207" s="61"/>
      <c r="F207" s="296" t="str">
        <f>IFERROR(INDEX('G-1 All Habitats'!$B$3:$B$134,MATCH(E207,'G-1 All Habitats'!$A$3:$A$134,0)),"")</f>
        <v/>
      </c>
      <c r="G207" s="53"/>
      <c r="H207" s="362" t="str">
        <f>IF(F207="","",VLOOKUP(F207,'G-1 All Habitats'!$B$2:$M$134,10,FALSE))</f>
        <v/>
      </c>
      <c r="I207" s="363" t="str">
        <f>IFERROR(VLOOKUP(H207,'G-1 All Habitats'!$V$3:$W$7,2,FALSE),"")</f>
        <v/>
      </c>
      <c r="J207" s="54"/>
      <c r="K207" s="363" t="str">
        <f>IFERROR(INDEX('G-8 Condition Look up'!$A$3:$H$135,MATCH(F207,'G-8 Condition Look up'!$A$3:$A$135,0),MATCH(J207,'G-8 Condition Look up'!$A$3:$H$3,0)),"")</f>
        <v/>
      </c>
      <c r="L207" s="54"/>
      <c r="M207" s="370" t="str">
        <f>IF(L207="","",IF(VLOOKUP(L207,'G-3 Multipliers'!$L$3:$N$6,2,FALSE)=0,"Spatial Data Missing",VLOOKUP(L207,'G-3 Multipliers'!$L$3:$N$6,2,FALSE)))</f>
        <v/>
      </c>
      <c r="N207" s="368" t="str">
        <f>IF(L207="","",IF(VLOOKUP(L207,'G-3 Multipliers'!$L$3:$N$6,3,FALSE)=0,"Spatial Data Missing",VLOOKUP(L207,'G-3 Multipliers'!$L$3:$N$6,3,FALSE)))</f>
        <v/>
      </c>
      <c r="O207" s="362" t="str">
        <f t="shared" si="18"/>
        <v/>
      </c>
      <c r="P207" s="63"/>
      <c r="Q207" s="63"/>
      <c r="R207" s="370" t="str">
        <f t="shared" si="20"/>
        <v/>
      </c>
      <c r="S207" s="383" t="str">
        <f t="shared" si="21"/>
        <v/>
      </c>
      <c r="T207" s="384" t="str">
        <f>IFERROR(IF(S207="Check Data ⚠","Check Data ⚠",VLOOKUP(S207,'G-4 Temporal multipliers'!$A$4:$C$37,3,FALSE)),"")</f>
        <v/>
      </c>
      <c r="U207" s="385" t="str">
        <f>IF(F207="","",VLOOKUP(F207,'G-3 Multipliers'!$A$2:$E$134,2,FALSE))</f>
        <v/>
      </c>
      <c r="V207" s="382" t="str">
        <f t="shared" si="23"/>
        <v/>
      </c>
      <c r="W207" s="382" t="str">
        <f>IF(E207="","",IF(AND(V207="Standard difficulty applied",O207&gt;P207),U207,IF(AND(V207="Low Difficulty - only applicable if all habitat created before losses",P207&gt;=O207),"Low",VLOOKUP(F207,'G-3 Multipliers'!$A$2:$E$134,4,FALSE))))</f>
        <v/>
      </c>
      <c r="X207" s="386" t="str">
        <f>IFERROR(IF(E207="","",VLOOKUP(W207, 'G-3 Multipliers'!$P$2:$Q$6,2,FALSE)),"")</f>
        <v/>
      </c>
      <c r="Y207" s="390" t="str">
        <f t="shared" si="22"/>
        <v/>
      </c>
      <c r="Z207" s="194"/>
      <c r="AA207" s="195"/>
      <c r="AB207" s="120"/>
      <c r="AE207" s="40" t="str">
        <f t="shared" si="19"/>
        <v/>
      </c>
    </row>
    <row r="208" spans="1:31">
      <c r="A208" s="35" t="str">
        <f>IFERROR(INDEX('G-8 Condition Look up'!$I$4:$I$135,MATCH(F208,'G-8 Condition Look up'!$A$4:$A$135,0)),"")</f>
        <v/>
      </c>
      <c r="C208" s="299" t="str">
        <f>IFERROR(INDEX('G-1 All Habitats'!$AG$3:$AG$17,MATCH(D208,'G-1 All Habitats'!$AF$3:$AF$17,0)),"")</f>
        <v/>
      </c>
      <c r="D208" s="54"/>
      <c r="E208" s="61"/>
      <c r="F208" s="296" t="str">
        <f>IFERROR(INDEX('G-1 All Habitats'!$B$3:$B$134,MATCH(E208,'G-1 All Habitats'!$A$3:$A$134,0)),"")</f>
        <v/>
      </c>
      <c r="G208" s="53"/>
      <c r="H208" s="362" t="str">
        <f>IF(F208="","",VLOOKUP(F208,'G-1 All Habitats'!$B$2:$M$134,10,FALSE))</f>
        <v/>
      </c>
      <c r="I208" s="363" t="str">
        <f>IFERROR(VLOOKUP(H208,'G-1 All Habitats'!$V$3:$W$7,2,FALSE),"")</f>
        <v/>
      </c>
      <c r="J208" s="54"/>
      <c r="K208" s="363" t="str">
        <f>IFERROR(INDEX('G-8 Condition Look up'!$A$3:$H$135,MATCH(F208,'G-8 Condition Look up'!$A$3:$A$135,0),MATCH(J208,'G-8 Condition Look up'!$A$3:$H$3,0)),"")</f>
        <v/>
      </c>
      <c r="L208" s="54"/>
      <c r="M208" s="370" t="str">
        <f>IF(L208="","",IF(VLOOKUP(L208,'G-3 Multipliers'!$L$3:$N$6,2,FALSE)=0,"Spatial Data Missing",VLOOKUP(L208,'G-3 Multipliers'!$L$3:$N$6,2,FALSE)))</f>
        <v/>
      </c>
      <c r="N208" s="368" t="str">
        <f>IF(L208="","",IF(VLOOKUP(L208,'G-3 Multipliers'!$L$3:$N$6,3,FALSE)=0,"Spatial Data Missing",VLOOKUP(L208,'G-3 Multipliers'!$L$3:$N$6,3,FALSE)))</f>
        <v/>
      </c>
      <c r="O208" s="362" t="str">
        <f t="shared" si="18"/>
        <v/>
      </c>
      <c r="P208" s="63"/>
      <c r="Q208" s="63"/>
      <c r="R208" s="370" t="str">
        <f t="shared" si="20"/>
        <v/>
      </c>
      <c r="S208" s="383" t="str">
        <f t="shared" si="21"/>
        <v/>
      </c>
      <c r="T208" s="384" t="str">
        <f>IFERROR(IF(S208="Check Data ⚠","Check Data ⚠",VLOOKUP(S208,'G-4 Temporal multipliers'!$A$4:$C$37,3,FALSE)),"")</f>
        <v/>
      </c>
      <c r="U208" s="385" t="str">
        <f>IF(F208="","",VLOOKUP(F208,'G-3 Multipliers'!$A$2:$E$134,2,FALSE))</f>
        <v/>
      </c>
      <c r="V208" s="382" t="str">
        <f t="shared" si="23"/>
        <v/>
      </c>
      <c r="W208" s="382" t="str">
        <f>IF(E208="","",IF(AND(V208="Standard difficulty applied",O208&gt;P208),U208,IF(AND(V208="Low Difficulty - only applicable if all habitat created before losses",P208&gt;=O208),"Low",VLOOKUP(F208,'G-3 Multipliers'!$A$2:$E$134,4,FALSE))))</f>
        <v/>
      </c>
      <c r="X208" s="386" t="str">
        <f>IFERROR(IF(E208="","",VLOOKUP(W208, 'G-3 Multipliers'!$P$2:$Q$6,2,FALSE)),"")</f>
        <v/>
      </c>
      <c r="Y208" s="390" t="str">
        <f t="shared" si="22"/>
        <v/>
      </c>
      <c r="Z208" s="194"/>
      <c r="AA208" s="195"/>
      <c r="AB208" s="120"/>
      <c r="AE208" s="40" t="str">
        <f t="shared" si="19"/>
        <v/>
      </c>
    </row>
    <row r="209" spans="1:31">
      <c r="A209" s="35" t="str">
        <f>IFERROR(INDEX('G-8 Condition Look up'!$I$4:$I$135,MATCH(F209,'G-8 Condition Look up'!$A$4:$A$135,0)),"")</f>
        <v/>
      </c>
      <c r="C209" s="299" t="str">
        <f>IFERROR(INDEX('G-1 All Habitats'!$AG$3:$AG$17,MATCH(D209,'G-1 All Habitats'!$AF$3:$AF$17,0)),"")</f>
        <v/>
      </c>
      <c r="D209" s="54"/>
      <c r="E209" s="61"/>
      <c r="F209" s="296" t="str">
        <f>IFERROR(INDEX('G-1 All Habitats'!$B$3:$B$134,MATCH(E209,'G-1 All Habitats'!$A$3:$A$134,0)),"")</f>
        <v/>
      </c>
      <c r="G209" s="53"/>
      <c r="H209" s="362" t="str">
        <f>IF(F209="","",VLOOKUP(F209,'G-1 All Habitats'!$B$2:$M$134,10,FALSE))</f>
        <v/>
      </c>
      <c r="I209" s="363" t="str">
        <f>IFERROR(VLOOKUP(H209,'G-1 All Habitats'!$V$3:$W$7,2,FALSE),"")</f>
        <v/>
      </c>
      <c r="J209" s="54"/>
      <c r="K209" s="363" t="str">
        <f>IFERROR(INDEX('G-8 Condition Look up'!$A$3:$H$135,MATCH(F209,'G-8 Condition Look up'!$A$3:$A$135,0),MATCH(J209,'G-8 Condition Look up'!$A$3:$H$3,0)),"")</f>
        <v/>
      </c>
      <c r="L209" s="54"/>
      <c r="M209" s="370" t="str">
        <f>IF(L209="","",IF(VLOOKUP(L209,'G-3 Multipliers'!$L$3:$N$6,2,FALSE)=0,"Spatial Data Missing",VLOOKUP(L209,'G-3 Multipliers'!$L$3:$N$6,2,FALSE)))</f>
        <v/>
      </c>
      <c r="N209" s="368" t="str">
        <f>IF(L209="","",IF(VLOOKUP(L209,'G-3 Multipliers'!$L$3:$N$6,3,FALSE)=0,"Spatial Data Missing",VLOOKUP(L209,'G-3 Multipliers'!$L$3:$N$6,3,FALSE)))</f>
        <v/>
      </c>
      <c r="O209" s="362" t="str">
        <f t="shared" si="18"/>
        <v/>
      </c>
      <c r="P209" s="63"/>
      <c r="Q209" s="63"/>
      <c r="R209" s="370" t="str">
        <f t="shared" si="20"/>
        <v/>
      </c>
      <c r="S209" s="383" t="str">
        <f t="shared" si="21"/>
        <v/>
      </c>
      <c r="T209" s="384" t="str">
        <f>IFERROR(IF(S209="Check Data ⚠","Check Data ⚠",VLOOKUP(S209,'G-4 Temporal multipliers'!$A$4:$C$37,3,FALSE)),"")</f>
        <v/>
      </c>
      <c r="U209" s="385" t="str">
        <f>IF(F209="","",VLOOKUP(F209,'G-3 Multipliers'!$A$2:$E$134,2,FALSE))</f>
        <v/>
      </c>
      <c r="V209" s="382" t="str">
        <f t="shared" si="23"/>
        <v/>
      </c>
      <c r="W209" s="382" t="str">
        <f>IF(E209="","",IF(AND(V209="Standard difficulty applied",O209&gt;P209),U209,IF(AND(V209="Low Difficulty - only applicable if all habitat created before losses",P209&gt;=O209),"Low",VLOOKUP(F209,'G-3 Multipliers'!$A$2:$E$134,4,FALSE))))</f>
        <v/>
      </c>
      <c r="X209" s="386" t="str">
        <f>IFERROR(IF(E209="","",VLOOKUP(W209, 'G-3 Multipliers'!$P$2:$Q$6,2,FALSE)),"")</f>
        <v/>
      </c>
      <c r="Y209" s="390" t="str">
        <f t="shared" si="22"/>
        <v/>
      </c>
      <c r="Z209" s="194"/>
      <c r="AA209" s="195"/>
      <c r="AB209" s="120"/>
      <c r="AE209" s="40" t="str">
        <f t="shared" si="19"/>
        <v/>
      </c>
    </row>
    <row r="210" spans="1:31">
      <c r="A210" s="35" t="str">
        <f>IFERROR(INDEX('G-8 Condition Look up'!$I$4:$I$135,MATCH(F210,'G-8 Condition Look up'!$A$4:$A$135,0)),"")</f>
        <v/>
      </c>
      <c r="C210" s="299" t="str">
        <f>IFERROR(INDEX('G-1 All Habitats'!$AG$3:$AG$17,MATCH(D210,'G-1 All Habitats'!$AF$3:$AF$17,0)),"")</f>
        <v/>
      </c>
      <c r="D210" s="54"/>
      <c r="E210" s="61"/>
      <c r="F210" s="296" t="str">
        <f>IFERROR(INDEX('G-1 All Habitats'!$B$3:$B$134,MATCH(E210,'G-1 All Habitats'!$A$3:$A$134,0)),"")</f>
        <v/>
      </c>
      <c r="G210" s="53"/>
      <c r="H210" s="362" t="str">
        <f>IF(F210="","",VLOOKUP(F210,'G-1 All Habitats'!$B$2:$M$134,10,FALSE))</f>
        <v/>
      </c>
      <c r="I210" s="363" t="str">
        <f>IFERROR(VLOOKUP(H210,'G-1 All Habitats'!$V$3:$W$7,2,FALSE),"")</f>
        <v/>
      </c>
      <c r="J210" s="54"/>
      <c r="K210" s="363" t="str">
        <f>IFERROR(INDEX('G-8 Condition Look up'!$A$3:$H$135,MATCH(F210,'G-8 Condition Look up'!$A$3:$A$135,0),MATCH(J210,'G-8 Condition Look up'!$A$3:$H$3,0)),"")</f>
        <v/>
      </c>
      <c r="L210" s="54"/>
      <c r="M210" s="370" t="str">
        <f>IF(L210="","",IF(VLOOKUP(L210,'G-3 Multipliers'!$L$3:$N$6,2,FALSE)=0,"Spatial Data Missing",VLOOKUP(L210,'G-3 Multipliers'!$L$3:$N$6,2,FALSE)))</f>
        <v/>
      </c>
      <c r="N210" s="368" t="str">
        <f>IF(L210="","",IF(VLOOKUP(L210,'G-3 Multipliers'!$L$3:$N$6,3,FALSE)=0,"Spatial Data Missing",VLOOKUP(L210,'G-3 Multipliers'!$L$3:$N$6,3,FALSE)))</f>
        <v/>
      </c>
      <c r="O210" s="362" t="str">
        <f t="shared" si="18"/>
        <v/>
      </c>
      <c r="P210" s="63"/>
      <c r="Q210" s="63"/>
      <c r="R210" s="370" t="str">
        <f t="shared" si="20"/>
        <v/>
      </c>
      <c r="S210" s="383" t="str">
        <f t="shared" si="21"/>
        <v/>
      </c>
      <c r="T210" s="384" t="str">
        <f>IFERROR(IF(S210="Check Data ⚠","Check Data ⚠",VLOOKUP(S210,'G-4 Temporal multipliers'!$A$4:$C$37,3,FALSE)),"")</f>
        <v/>
      </c>
      <c r="U210" s="385" t="str">
        <f>IF(F210="","",VLOOKUP(F210,'G-3 Multipliers'!$A$2:$E$134,2,FALSE))</f>
        <v/>
      </c>
      <c r="V210" s="382" t="str">
        <f t="shared" si="23"/>
        <v/>
      </c>
      <c r="W210" s="382" t="str">
        <f>IF(E210="","",IF(AND(V210="Standard difficulty applied",O210&gt;P210),U210,IF(AND(V210="Low Difficulty - only applicable if all habitat created before losses",P210&gt;=O210),"Low",VLOOKUP(F210,'G-3 Multipliers'!$A$2:$E$134,4,FALSE))))</f>
        <v/>
      </c>
      <c r="X210" s="386" t="str">
        <f>IFERROR(IF(E210="","",VLOOKUP(W210, 'G-3 Multipliers'!$P$2:$Q$6,2,FALSE)),"")</f>
        <v/>
      </c>
      <c r="Y210" s="390" t="str">
        <f t="shared" si="22"/>
        <v/>
      </c>
      <c r="Z210" s="194"/>
      <c r="AA210" s="195"/>
      <c r="AB210" s="120"/>
      <c r="AE210" s="40" t="str">
        <f t="shared" si="19"/>
        <v/>
      </c>
    </row>
    <row r="211" spans="1:31">
      <c r="A211" s="35" t="str">
        <f>IFERROR(INDEX('G-8 Condition Look up'!$I$4:$I$135,MATCH(F211,'G-8 Condition Look up'!$A$4:$A$135,0)),"")</f>
        <v/>
      </c>
      <c r="C211" s="299" t="str">
        <f>IFERROR(INDEX('G-1 All Habitats'!$AG$3:$AG$17,MATCH(D211,'G-1 All Habitats'!$AF$3:$AF$17,0)),"")</f>
        <v/>
      </c>
      <c r="D211" s="54"/>
      <c r="E211" s="61"/>
      <c r="F211" s="296" t="str">
        <f>IFERROR(INDEX('G-1 All Habitats'!$B$3:$B$134,MATCH(E211,'G-1 All Habitats'!$A$3:$A$134,0)),"")</f>
        <v/>
      </c>
      <c r="G211" s="53"/>
      <c r="H211" s="362" t="str">
        <f>IF(F211="","",VLOOKUP(F211,'G-1 All Habitats'!$B$2:$M$134,10,FALSE))</f>
        <v/>
      </c>
      <c r="I211" s="363" t="str">
        <f>IFERROR(VLOOKUP(H211,'G-1 All Habitats'!$V$3:$W$7,2,FALSE),"")</f>
        <v/>
      </c>
      <c r="J211" s="54"/>
      <c r="K211" s="363" t="str">
        <f>IFERROR(INDEX('G-8 Condition Look up'!$A$3:$H$135,MATCH(F211,'G-8 Condition Look up'!$A$3:$A$135,0),MATCH(J211,'G-8 Condition Look up'!$A$3:$H$3,0)),"")</f>
        <v/>
      </c>
      <c r="L211" s="54"/>
      <c r="M211" s="370" t="str">
        <f>IF(L211="","",IF(VLOOKUP(L211,'G-3 Multipliers'!$L$3:$N$6,2,FALSE)=0,"Spatial Data Missing",VLOOKUP(L211,'G-3 Multipliers'!$L$3:$N$6,2,FALSE)))</f>
        <v/>
      </c>
      <c r="N211" s="368" t="str">
        <f>IF(L211="","",IF(VLOOKUP(L211,'G-3 Multipliers'!$L$3:$N$6,3,FALSE)=0,"Spatial Data Missing",VLOOKUP(L211,'G-3 Multipliers'!$L$3:$N$6,3,FALSE)))</f>
        <v/>
      </c>
      <c r="O211" s="362" t="str">
        <f t="shared" si="18"/>
        <v/>
      </c>
      <c r="P211" s="63"/>
      <c r="Q211" s="63"/>
      <c r="R211" s="370" t="str">
        <f t="shared" si="20"/>
        <v/>
      </c>
      <c r="S211" s="383" t="str">
        <f t="shared" si="21"/>
        <v/>
      </c>
      <c r="T211" s="384" t="str">
        <f>IFERROR(IF(S211="Check Data ⚠","Check Data ⚠",VLOOKUP(S211,'G-4 Temporal multipliers'!$A$4:$C$37,3,FALSE)),"")</f>
        <v/>
      </c>
      <c r="U211" s="385" t="str">
        <f>IF(F211="","",VLOOKUP(F211,'G-3 Multipliers'!$A$2:$E$134,2,FALSE))</f>
        <v/>
      </c>
      <c r="V211" s="382" t="str">
        <f t="shared" si="23"/>
        <v/>
      </c>
      <c r="W211" s="382" t="str">
        <f>IF(E211="","",IF(AND(V211="Standard difficulty applied",O211&gt;P211),U211,IF(AND(V211="Low Difficulty - only applicable if all habitat created before losses",P211&gt;=O211),"Low",VLOOKUP(F211,'G-3 Multipliers'!$A$2:$E$134,4,FALSE))))</f>
        <v/>
      </c>
      <c r="X211" s="386" t="str">
        <f>IFERROR(IF(E211="","",VLOOKUP(W211, 'G-3 Multipliers'!$P$2:$Q$6,2,FALSE)),"")</f>
        <v/>
      </c>
      <c r="Y211" s="390" t="str">
        <f t="shared" si="22"/>
        <v/>
      </c>
      <c r="Z211" s="194"/>
      <c r="AA211" s="195"/>
      <c r="AB211" s="120"/>
      <c r="AE211" s="40" t="str">
        <f t="shared" si="19"/>
        <v/>
      </c>
    </row>
    <row r="212" spans="1:31">
      <c r="A212" s="35" t="str">
        <f>IFERROR(INDEX('G-8 Condition Look up'!$I$4:$I$135,MATCH(F212,'G-8 Condition Look up'!$A$4:$A$135,0)),"")</f>
        <v/>
      </c>
      <c r="C212" s="299" t="str">
        <f>IFERROR(INDEX('G-1 All Habitats'!$AG$3:$AG$17,MATCH(D212,'G-1 All Habitats'!$AF$3:$AF$17,0)),"")</f>
        <v/>
      </c>
      <c r="D212" s="54"/>
      <c r="E212" s="61"/>
      <c r="F212" s="296" t="str">
        <f>IFERROR(INDEX('G-1 All Habitats'!$B$3:$B$134,MATCH(E212,'G-1 All Habitats'!$A$3:$A$134,0)),"")</f>
        <v/>
      </c>
      <c r="G212" s="53"/>
      <c r="H212" s="362" t="str">
        <f>IF(F212="","",VLOOKUP(F212,'G-1 All Habitats'!$B$2:$M$134,10,FALSE))</f>
        <v/>
      </c>
      <c r="I212" s="363" t="str">
        <f>IFERROR(VLOOKUP(H212,'G-1 All Habitats'!$V$3:$W$7,2,FALSE),"")</f>
        <v/>
      </c>
      <c r="J212" s="54"/>
      <c r="K212" s="363" t="str">
        <f>IFERROR(INDEX('G-8 Condition Look up'!$A$3:$H$135,MATCH(F212,'G-8 Condition Look up'!$A$3:$A$135,0),MATCH(J212,'G-8 Condition Look up'!$A$3:$H$3,0)),"")</f>
        <v/>
      </c>
      <c r="L212" s="54"/>
      <c r="M212" s="370" t="str">
        <f>IF(L212="","",IF(VLOOKUP(L212,'G-3 Multipliers'!$L$3:$N$6,2,FALSE)=0,"Spatial Data Missing",VLOOKUP(L212,'G-3 Multipliers'!$L$3:$N$6,2,FALSE)))</f>
        <v/>
      </c>
      <c r="N212" s="368" t="str">
        <f>IF(L212="","",IF(VLOOKUP(L212,'G-3 Multipliers'!$L$3:$N$6,3,FALSE)=0,"Spatial Data Missing",VLOOKUP(L212,'G-3 Multipliers'!$L$3:$N$6,3,FALSE)))</f>
        <v/>
      </c>
      <c r="O212" s="362" t="str">
        <f t="shared" si="18"/>
        <v/>
      </c>
      <c r="P212" s="63"/>
      <c r="Q212" s="63"/>
      <c r="R212" s="370" t="str">
        <f t="shared" si="20"/>
        <v/>
      </c>
      <c r="S212" s="383" t="str">
        <f t="shared" si="21"/>
        <v/>
      </c>
      <c r="T212" s="384" t="str">
        <f>IFERROR(IF(S212="Check Data ⚠","Check Data ⚠",VLOOKUP(S212,'G-4 Temporal multipliers'!$A$4:$C$37,3,FALSE)),"")</f>
        <v/>
      </c>
      <c r="U212" s="385" t="str">
        <f>IF(F212="","",VLOOKUP(F212,'G-3 Multipliers'!$A$2:$E$134,2,FALSE))</f>
        <v/>
      </c>
      <c r="V212" s="382" t="str">
        <f t="shared" si="23"/>
        <v/>
      </c>
      <c r="W212" s="382" t="str">
        <f>IF(E212="","",IF(AND(V212="Standard difficulty applied",O212&gt;P212),U212,IF(AND(V212="Low Difficulty - only applicable if all habitat created before losses",P212&gt;=O212),"Low",VLOOKUP(F212,'G-3 Multipliers'!$A$2:$E$134,4,FALSE))))</f>
        <v/>
      </c>
      <c r="X212" s="386" t="str">
        <f>IFERROR(IF(E212="","",VLOOKUP(W212, 'G-3 Multipliers'!$P$2:$Q$6,2,FALSE)),"")</f>
        <v/>
      </c>
      <c r="Y212" s="390" t="str">
        <f t="shared" si="22"/>
        <v/>
      </c>
      <c r="Z212" s="194"/>
      <c r="AA212" s="195"/>
      <c r="AB212" s="120"/>
      <c r="AE212" s="40" t="str">
        <f t="shared" si="19"/>
        <v/>
      </c>
    </row>
    <row r="213" spans="1:31">
      <c r="A213" s="35" t="str">
        <f>IFERROR(INDEX('G-8 Condition Look up'!$I$4:$I$135,MATCH(F213,'G-8 Condition Look up'!$A$4:$A$135,0)),"")</f>
        <v/>
      </c>
      <c r="C213" s="299" t="str">
        <f>IFERROR(INDEX('G-1 All Habitats'!$AG$3:$AG$17,MATCH(D213,'G-1 All Habitats'!$AF$3:$AF$17,0)),"")</f>
        <v/>
      </c>
      <c r="D213" s="54"/>
      <c r="E213" s="61"/>
      <c r="F213" s="296" t="str">
        <f>IFERROR(INDEX('G-1 All Habitats'!$B$3:$B$134,MATCH(E213,'G-1 All Habitats'!$A$3:$A$134,0)),"")</f>
        <v/>
      </c>
      <c r="G213" s="53"/>
      <c r="H213" s="362" t="str">
        <f>IF(F213="","",VLOOKUP(F213,'G-1 All Habitats'!$B$2:$M$134,10,FALSE))</f>
        <v/>
      </c>
      <c r="I213" s="363" t="str">
        <f>IFERROR(VLOOKUP(H213,'G-1 All Habitats'!$V$3:$W$7,2,FALSE),"")</f>
        <v/>
      </c>
      <c r="J213" s="54"/>
      <c r="K213" s="363" t="str">
        <f>IFERROR(INDEX('G-8 Condition Look up'!$A$3:$H$135,MATCH(F213,'G-8 Condition Look up'!$A$3:$A$135,0),MATCH(J213,'G-8 Condition Look up'!$A$3:$H$3,0)),"")</f>
        <v/>
      </c>
      <c r="L213" s="54"/>
      <c r="M213" s="370" t="str">
        <f>IF(L213="","",IF(VLOOKUP(L213,'G-3 Multipliers'!$L$3:$N$6,2,FALSE)=0,"Spatial Data Missing",VLOOKUP(L213,'G-3 Multipliers'!$L$3:$N$6,2,FALSE)))</f>
        <v/>
      </c>
      <c r="N213" s="368" t="str">
        <f>IF(L213="","",IF(VLOOKUP(L213,'G-3 Multipliers'!$L$3:$N$6,3,FALSE)=0,"Spatial Data Missing",VLOOKUP(L213,'G-3 Multipliers'!$L$3:$N$6,3,FALSE)))</f>
        <v/>
      </c>
      <c r="O213" s="362" t="str">
        <f t="shared" si="18"/>
        <v/>
      </c>
      <c r="P213" s="63"/>
      <c r="Q213" s="63"/>
      <c r="R213" s="370" t="str">
        <f t="shared" si="20"/>
        <v/>
      </c>
      <c r="S213" s="383" t="str">
        <f t="shared" si="21"/>
        <v/>
      </c>
      <c r="T213" s="384" t="str">
        <f>IFERROR(IF(S213="Check Data ⚠","Check Data ⚠",VLOOKUP(S213,'G-4 Temporal multipliers'!$A$4:$C$37,3,FALSE)),"")</f>
        <v/>
      </c>
      <c r="U213" s="385" t="str">
        <f>IF(F213="","",VLOOKUP(F213,'G-3 Multipliers'!$A$2:$E$134,2,FALSE))</f>
        <v/>
      </c>
      <c r="V213" s="382" t="str">
        <f t="shared" si="23"/>
        <v/>
      </c>
      <c r="W213" s="382" t="str">
        <f>IF(E213="","",IF(AND(V213="Standard difficulty applied",O213&gt;P213),U213,IF(AND(V213="Low Difficulty - only applicable if all habitat created before losses",P213&gt;=O213),"Low",VLOOKUP(F213,'G-3 Multipliers'!$A$2:$E$134,4,FALSE))))</f>
        <v/>
      </c>
      <c r="X213" s="386" t="str">
        <f>IFERROR(IF(E213="","",VLOOKUP(W213, 'G-3 Multipliers'!$P$2:$Q$6,2,FALSE)),"")</f>
        <v/>
      </c>
      <c r="Y213" s="390" t="str">
        <f t="shared" si="22"/>
        <v/>
      </c>
      <c r="Z213" s="194"/>
      <c r="AA213" s="195"/>
      <c r="AB213" s="120"/>
      <c r="AE213" s="40" t="str">
        <f t="shared" si="19"/>
        <v/>
      </c>
    </row>
    <row r="214" spans="1:31">
      <c r="A214" s="35" t="str">
        <f>IFERROR(INDEX('G-8 Condition Look up'!$I$4:$I$135,MATCH(F214,'G-8 Condition Look up'!$A$4:$A$135,0)),"")</f>
        <v/>
      </c>
      <c r="C214" s="299" t="str">
        <f>IFERROR(INDEX('G-1 All Habitats'!$AG$3:$AG$17,MATCH(D214,'G-1 All Habitats'!$AF$3:$AF$17,0)),"")</f>
        <v/>
      </c>
      <c r="D214" s="54"/>
      <c r="E214" s="61"/>
      <c r="F214" s="296" t="str">
        <f>IFERROR(INDEX('G-1 All Habitats'!$B$3:$B$134,MATCH(E214,'G-1 All Habitats'!$A$3:$A$134,0)),"")</f>
        <v/>
      </c>
      <c r="G214" s="53"/>
      <c r="H214" s="362" t="str">
        <f>IF(F214="","",VLOOKUP(F214,'G-1 All Habitats'!$B$2:$M$134,10,FALSE))</f>
        <v/>
      </c>
      <c r="I214" s="363" t="str">
        <f>IFERROR(VLOOKUP(H214,'G-1 All Habitats'!$V$3:$W$7,2,FALSE),"")</f>
        <v/>
      </c>
      <c r="J214" s="54"/>
      <c r="K214" s="363" t="str">
        <f>IFERROR(INDEX('G-8 Condition Look up'!$A$3:$H$135,MATCH(F214,'G-8 Condition Look up'!$A$3:$A$135,0),MATCH(J214,'G-8 Condition Look up'!$A$3:$H$3,0)),"")</f>
        <v/>
      </c>
      <c r="L214" s="54"/>
      <c r="M214" s="370" t="str">
        <f>IF(L214="","",IF(VLOOKUP(L214,'G-3 Multipliers'!$L$3:$N$6,2,FALSE)=0,"Spatial Data Missing",VLOOKUP(L214,'G-3 Multipliers'!$L$3:$N$6,2,FALSE)))</f>
        <v/>
      </c>
      <c r="N214" s="368" t="str">
        <f>IF(L214="","",IF(VLOOKUP(L214,'G-3 Multipliers'!$L$3:$N$6,3,FALSE)=0,"Spatial Data Missing",VLOOKUP(L214,'G-3 Multipliers'!$L$3:$N$6,3,FALSE)))</f>
        <v/>
      </c>
      <c r="O214" s="362" t="str">
        <f t="shared" si="18"/>
        <v/>
      </c>
      <c r="P214" s="63"/>
      <c r="Q214" s="63"/>
      <c r="R214" s="370" t="str">
        <f t="shared" si="20"/>
        <v/>
      </c>
      <c r="S214" s="383" t="str">
        <f t="shared" si="21"/>
        <v/>
      </c>
      <c r="T214" s="384" t="str">
        <f>IFERROR(IF(S214="Check Data ⚠","Check Data ⚠",VLOOKUP(S214,'G-4 Temporal multipliers'!$A$4:$C$37,3,FALSE)),"")</f>
        <v/>
      </c>
      <c r="U214" s="385" t="str">
        <f>IF(F214="","",VLOOKUP(F214,'G-3 Multipliers'!$A$2:$E$134,2,FALSE))</f>
        <v/>
      </c>
      <c r="V214" s="382" t="str">
        <f t="shared" si="23"/>
        <v/>
      </c>
      <c r="W214" s="382" t="str">
        <f>IF(E214="","",IF(AND(V214="Standard difficulty applied",O214&gt;P214),U214,IF(AND(V214="Low Difficulty - only applicable if all habitat created before losses",P214&gt;=O214),"Low",VLOOKUP(F214,'G-3 Multipliers'!$A$2:$E$134,4,FALSE))))</f>
        <v/>
      </c>
      <c r="X214" s="386" t="str">
        <f>IFERROR(IF(E214="","",VLOOKUP(W214, 'G-3 Multipliers'!$P$2:$Q$6,2,FALSE)),"")</f>
        <v/>
      </c>
      <c r="Y214" s="390" t="str">
        <f t="shared" si="22"/>
        <v/>
      </c>
      <c r="Z214" s="194"/>
      <c r="AA214" s="195"/>
      <c r="AB214" s="120"/>
      <c r="AE214" s="40" t="str">
        <f t="shared" si="19"/>
        <v/>
      </c>
    </row>
    <row r="215" spans="1:31">
      <c r="A215" s="35" t="str">
        <f>IFERROR(INDEX('G-8 Condition Look up'!$I$4:$I$135,MATCH(F215,'G-8 Condition Look up'!$A$4:$A$135,0)),"")</f>
        <v/>
      </c>
      <c r="C215" s="299" t="str">
        <f>IFERROR(INDEX('G-1 All Habitats'!$AG$3:$AG$17,MATCH(D215,'G-1 All Habitats'!$AF$3:$AF$17,0)),"")</f>
        <v/>
      </c>
      <c r="D215" s="54"/>
      <c r="E215" s="61"/>
      <c r="F215" s="296" t="str">
        <f>IFERROR(INDEX('G-1 All Habitats'!$B$3:$B$134,MATCH(E215,'G-1 All Habitats'!$A$3:$A$134,0)),"")</f>
        <v/>
      </c>
      <c r="G215" s="53"/>
      <c r="H215" s="362" t="str">
        <f>IF(F215="","",VLOOKUP(F215,'G-1 All Habitats'!$B$2:$M$134,10,FALSE))</f>
        <v/>
      </c>
      <c r="I215" s="363" t="str">
        <f>IFERROR(VLOOKUP(H215,'G-1 All Habitats'!$V$3:$W$7,2,FALSE),"")</f>
        <v/>
      </c>
      <c r="J215" s="54"/>
      <c r="K215" s="363" t="str">
        <f>IFERROR(INDEX('G-8 Condition Look up'!$A$3:$H$135,MATCH(F215,'G-8 Condition Look up'!$A$3:$A$135,0),MATCH(J215,'G-8 Condition Look up'!$A$3:$H$3,0)),"")</f>
        <v/>
      </c>
      <c r="L215" s="54"/>
      <c r="M215" s="370" t="str">
        <f>IF(L215="","",IF(VLOOKUP(L215,'G-3 Multipliers'!$L$3:$N$6,2,FALSE)=0,"Spatial Data Missing",VLOOKUP(L215,'G-3 Multipliers'!$L$3:$N$6,2,FALSE)))</f>
        <v/>
      </c>
      <c r="N215" s="368" t="str">
        <f>IF(L215="","",IF(VLOOKUP(L215,'G-3 Multipliers'!$L$3:$N$6,3,FALSE)=0,"Spatial Data Missing",VLOOKUP(L215,'G-3 Multipliers'!$L$3:$N$6,3,FALSE)))</f>
        <v/>
      </c>
      <c r="O215" s="362" t="str">
        <f t="shared" si="18"/>
        <v/>
      </c>
      <c r="P215" s="63"/>
      <c r="Q215" s="63"/>
      <c r="R215" s="370" t="str">
        <f t="shared" si="20"/>
        <v/>
      </c>
      <c r="S215" s="383" t="str">
        <f t="shared" si="21"/>
        <v/>
      </c>
      <c r="T215" s="384" t="str">
        <f>IFERROR(IF(S215="Check Data ⚠","Check Data ⚠",VLOOKUP(S215,'G-4 Temporal multipliers'!$A$4:$C$37,3,FALSE)),"")</f>
        <v/>
      </c>
      <c r="U215" s="385" t="str">
        <f>IF(F215="","",VLOOKUP(F215,'G-3 Multipliers'!$A$2:$E$134,2,FALSE))</f>
        <v/>
      </c>
      <c r="V215" s="382" t="str">
        <f t="shared" si="23"/>
        <v/>
      </c>
      <c r="W215" s="382" t="str">
        <f>IF(E215="","",IF(AND(V215="Standard difficulty applied",O215&gt;P215),U215,IF(AND(V215="Low Difficulty - only applicable if all habitat created before losses",P215&gt;=O215),"Low",VLOOKUP(F215,'G-3 Multipliers'!$A$2:$E$134,4,FALSE))))</f>
        <v/>
      </c>
      <c r="X215" s="386" t="str">
        <f>IFERROR(IF(E215="","",VLOOKUP(W215, 'G-3 Multipliers'!$P$2:$Q$6,2,FALSE)),"")</f>
        <v/>
      </c>
      <c r="Y215" s="390" t="str">
        <f t="shared" si="22"/>
        <v/>
      </c>
      <c r="Z215" s="194"/>
      <c r="AA215" s="195"/>
      <c r="AB215" s="120"/>
      <c r="AE215" s="40" t="str">
        <f t="shared" si="19"/>
        <v/>
      </c>
    </row>
    <row r="216" spans="1:31">
      <c r="A216" s="35" t="str">
        <f>IFERROR(INDEX('G-8 Condition Look up'!$I$4:$I$135,MATCH(F216,'G-8 Condition Look up'!$A$4:$A$135,0)),"")</f>
        <v/>
      </c>
      <c r="C216" s="299" t="str">
        <f>IFERROR(INDEX('G-1 All Habitats'!$AG$3:$AG$17,MATCH(D216,'G-1 All Habitats'!$AF$3:$AF$17,0)),"")</f>
        <v/>
      </c>
      <c r="D216" s="54"/>
      <c r="E216" s="61"/>
      <c r="F216" s="296" t="str">
        <f>IFERROR(INDEX('G-1 All Habitats'!$B$3:$B$134,MATCH(E216,'G-1 All Habitats'!$A$3:$A$134,0)),"")</f>
        <v/>
      </c>
      <c r="G216" s="53"/>
      <c r="H216" s="362" t="str">
        <f>IF(F216="","",VLOOKUP(F216,'G-1 All Habitats'!$B$2:$M$134,10,FALSE))</f>
        <v/>
      </c>
      <c r="I216" s="363" t="str">
        <f>IFERROR(VLOOKUP(H216,'G-1 All Habitats'!$V$3:$W$7,2,FALSE),"")</f>
        <v/>
      </c>
      <c r="J216" s="54"/>
      <c r="K216" s="363" t="str">
        <f>IFERROR(INDEX('G-8 Condition Look up'!$A$3:$H$135,MATCH(F216,'G-8 Condition Look up'!$A$3:$A$135,0),MATCH(J216,'G-8 Condition Look up'!$A$3:$H$3,0)),"")</f>
        <v/>
      </c>
      <c r="L216" s="54"/>
      <c r="M216" s="370" t="str">
        <f>IF(L216="","",IF(VLOOKUP(L216,'G-3 Multipliers'!$L$3:$N$6,2,FALSE)=0,"Spatial Data Missing",VLOOKUP(L216,'G-3 Multipliers'!$L$3:$N$6,2,FALSE)))</f>
        <v/>
      </c>
      <c r="N216" s="368" t="str">
        <f>IF(L216="","",IF(VLOOKUP(L216,'G-3 Multipliers'!$L$3:$N$6,3,FALSE)=0,"Spatial Data Missing",VLOOKUP(L216,'G-3 Multipliers'!$L$3:$N$6,3,FALSE)))</f>
        <v/>
      </c>
      <c r="O216" s="362" t="str">
        <f t="shared" si="18"/>
        <v/>
      </c>
      <c r="P216" s="63"/>
      <c r="Q216" s="63"/>
      <c r="R216" s="370" t="str">
        <f t="shared" si="20"/>
        <v/>
      </c>
      <c r="S216" s="383" t="str">
        <f t="shared" si="21"/>
        <v/>
      </c>
      <c r="T216" s="384" t="str">
        <f>IFERROR(IF(S216="Check Data ⚠","Check Data ⚠",VLOOKUP(S216,'G-4 Temporal multipliers'!$A$4:$C$37,3,FALSE)),"")</f>
        <v/>
      </c>
      <c r="U216" s="385" t="str">
        <f>IF(F216="","",VLOOKUP(F216,'G-3 Multipliers'!$A$2:$E$134,2,FALSE))</f>
        <v/>
      </c>
      <c r="V216" s="382" t="str">
        <f t="shared" si="23"/>
        <v/>
      </c>
      <c r="W216" s="382" t="str">
        <f>IF(E216="","",IF(AND(V216="Standard difficulty applied",O216&gt;P216),U216,IF(AND(V216="Low Difficulty - only applicable if all habitat created before losses",P216&gt;=O216),"Low",VLOOKUP(F216,'G-3 Multipliers'!$A$2:$E$134,4,FALSE))))</f>
        <v/>
      </c>
      <c r="X216" s="386" t="str">
        <f>IFERROR(IF(E216="","",VLOOKUP(W216, 'G-3 Multipliers'!$P$2:$Q$6,2,FALSE)),"")</f>
        <v/>
      </c>
      <c r="Y216" s="390" t="str">
        <f t="shared" si="22"/>
        <v/>
      </c>
      <c r="Z216" s="194"/>
      <c r="AA216" s="195"/>
      <c r="AB216" s="120"/>
      <c r="AE216" s="40" t="str">
        <f t="shared" si="19"/>
        <v/>
      </c>
    </row>
    <row r="217" spans="1:31">
      <c r="A217" s="35" t="str">
        <f>IFERROR(INDEX('G-8 Condition Look up'!$I$4:$I$135,MATCH(F217,'G-8 Condition Look up'!$A$4:$A$135,0)),"")</f>
        <v/>
      </c>
      <c r="C217" s="299" t="str">
        <f>IFERROR(INDEX('G-1 All Habitats'!$AG$3:$AG$17,MATCH(D217,'G-1 All Habitats'!$AF$3:$AF$17,0)),"")</f>
        <v/>
      </c>
      <c r="D217" s="54"/>
      <c r="E217" s="61"/>
      <c r="F217" s="296" t="str">
        <f>IFERROR(INDEX('G-1 All Habitats'!$B$3:$B$134,MATCH(E217,'G-1 All Habitats'!$A$3:$A$134,0)),"")</f>
        <v/>
      </c>
      <c r="G217" s="53"/>
      <c r="H217" s="362" t="str">
        <f>IF(F217="","",VLOOKUP(F217,'G-1 All Habitats'!$B$2:$M$134,10,FALSE))</f>
        <v/>
      </c>
      <c r="I217" s="363" t="str">
        <f>IFERROR(VLOOKUP(H217,'G-1 All Habitats'!$V$3:$W$7,2,FALSE),"")</f>
        <v/>
      </c>
      <c r="J217" s="54"/>
      <c r="K217" s="363" t="str">
        <f>IFERROR(INDEX('G-8 Condition Look up'!$A$3:$H$135,MATCH(F217,'G-8 Condition Look up'!$A$3:$A$135,0),MATCH(J217,'G-8 Condition Look up'!$A$3:$H$3,0)),"")</f>
        <v/>
      </c>
      <c r="L217" s="54"/>
      <c r="M217" s="370" t="str">
        <f>IF(L217="","",IF(VLOOKUP(L217,'G-3 Multipliers'!$L$3:$N$6,2,FALSE)=0,"Spatial Data Missing",VLOOKUP(L217,'G-3 Multipliers'!$L$3:$N$6,2,FALSE)))</f>
        <v/>
      </c>
      <c r="N217" s="368" t="str">
        <f>IF(L217="","",IF(VLOOKUP(L217,'G-3 Multipliers'!$L$3:$N$6,3,FALSE)=0,"Spatial Data Missing",VLOOKUP(L217,'G-3 Multipliers'!$L$3:$N$6,3,FALSE)))</f>
        <v/>
      </c>
      <c r="O217" s="362" t="str">
        <f t="shared" si="18"/>
        <v/>
      </c>
      <c r="P217" s="63"/>
      <c r="Q217" s="63"/>
      <c r="R217" s="370" t="str">
        <f t="shared" si="20"/>
        <v/>
      </c>
      <c r="S217" s="383" t="str">
        <f t="shared" si="21"/>
        <v/>
      </c>
      <c r="T217" s="384" t="str">
        <f>IFERROR(IF(S217="Check Data ⚠","Check Data ⚠",VLOOKUP(S217,'G-4 Temporal multipliers'!$A$4:$C$37,3,FALSE)),"")</f>
        <v/>
      </c>
      <c r="U217" s="385" t="str">
        <f>IF(F217="","",VLOOKUP(F217,'G-3 Multipliers'!$A$2:$E$134,2,FALSE))</f>
        <v/>
      </c>
      <c r="V217" s="382" t="str">
        <f t="shared" si="23"/>
        <v/>
      </c>
      <c r="W217" s="382" t="str">
        <f>IF(E217="","",IF(AND(V217="Standard difficulty applied",O217&gt;P217),U217,IF(AND(V217="Low Difficulty - only applicable if all habitat created before losses",P217&gt;=O217),"Low",VLOOKUP(F217,'G-3 Multipliers'!$A$2:$E$134,4,FALSE))))</f>
        <v/>
      </c>
      <c r="X217" s="386" t="str">
        <f>IFERROR(IF(E217="","",VLOOKUP(W217, 'G-3 Multipliers'!$P$2:$Q$6,2,FALSE)),"")</f>
        <v/>
      </c>
      <c r="Y217" s="390" t="str">
        <f t="shared" si="22"/>
        <v/>
      </c>
      <c r="Z217" s="194"/>
      <c r="AA217" s="195"/>
      <c r="AB217" s="120"/>
      <c r="AE217" s="40" t="str">
        <f t="shared" si="19"/>
        <v/>
      </c>
    </row>
    <row r="218" spans="1:31">
      <c r="A218" s="35" t="str">
        <f>IFERROR(INDEX('G-8 Condition Look up'!$I$4:$I$135,MATCH(F218,'G-8 Condition Look up'!$A$4:$A$135,0)),"")</f>
        <v/>
      </c>
      <c r="C218" s="299" t="str">
        <f>IFERROR(INDEX('G-1 All Habitats'!$AG$3:$AG$17,MATCH(D218,'G-1 All Habitats'!$AF$3:$AF$17,0)),"")</f>
        <v/>
      </c>
      <c r="D218" s="54"/>
      <c r="E218" s="61"/>
      <c r="F218" s="296" t="str">
        <f>IFERROR(INDEX('G-1 All Habitats'!$B$3:$B$134,MATCH(E218,'G-1 All Habitats'!$A$3:$A$134,0)),"")</f>
        <v/>
      </c>
      <c r="G218" s="53"/>
      <c r="H218" s="362" t="str">
        <f>IF(F218="","",VLOOKUP(F218,'G-1 All Habitats'!$B$2:$M$134,10,FALSE))</f>
        <v/>
      </c>
      <c r="I218" s="363" t="str">
        <f>IFERROR(VLOOKUP(H218,'G-1 All Habitats'!$V$3:$W$7,2,FALSE),"")</f>
        <v/>
      </c>
      <c r="J218" s="54"/>
      <c r="K218" s="363" t="str">
        <f>IFERROR(INDEX('G-8 Condition Look up'!$A$3:$H$135,MATCH(F218,'G-8 Condition Look up'!$A$3:$A$135,0),MATCH(J218,'G-8 Condition Look up'!$A$3:$H$3,0)),"")</f>
        <v/>
      </c>
      <c r="L218" s="54"/>
      <c r="M218" s="370" t="str">
        <f>IF(L218="","",IF(VLOOKUP(L218,'G-3 Multipliers'!$L$3:$N$6,2,FALSE)=0,"Spatial Data Missing",VLOOKUP(L218,'G-3 Multipliers'!$L$3:$N$6,2,FALSE)))</f>
        <v/>
      </c>
      <c r="N218" s="368" t="str">
        <f>IF(L218="","",IF(VLOOKUP(L218,'G-3 Multipliers'!$L$3:$N$6,3,FALSE)=0,"Spatial Data Missing",VLOOKUP(L218,'G-3 Multipliers'!$L$3:$N$6,3,FALSE)))</f>
        <v/>
      </c>
      <c r="O218" s="362" t="str">
        <f t="shared" si="18"/>
        <v/>
      </c>
      <c r="P218" s="63"/>
      <c r="Q218" s="63"/>
      <c r="R218" s="370" t="str">
        <f t="shared" si="20"/>
        <v/>
      </c>
      <c r="S218" s="383" t="str">
        <f t="shared" si="21"/>
        <v/>
      </c>
      <c r="T218" s="384" t="str">
        <f>IFERROR(IF(S218="Check Data ⚠","Check Data ⚠",VLOOKUP(S218,'G-4 Temporal multipliers'!$A$4:$C$37,3,FALSE)),"")</f>
        <v/>
      </c>
      <c r="U218" s="385" t="str">
        <f>IF(F218="","",VLOOKUP(F218,'G-3 Multipliers'!$A$2:$E$134,2,FALSE))</f>
        <v/>
      </c>
      <c r="V218" s="382" t="str">
        <f t="shared" si="23"/>
        <v/>
      </c>
      <c r="W218" s="382" t="str">
        <f>IF(E218="","",IF(AND(V218="Standard difficulty applied",O218&gt;P218),U218,IF(AND(V218="Low Difficulty - only applicable if all habitat created before losses",P218&gt;=O218),"Low",VLOOKUP(F218,'G-3 Multipliers'!$A$2:$E$134,4,FALSE))))</f>
        <v/>
      </c>
      <c r="X218" s="386" t="str">
        <f>IFERROR(IF(E218="","",VLOOKUP(W218, 'G-3 Multipliers'!$P$2:$Q$6,2,FALSE)),"")</f>
        <v/>
      </c>
      <c r="Y218" s="390" t="str">
        <f t="shared" si="22"/>
        <v/>
      </c>
      <c r="Z218" s="194"/>
      <c r="AA218" s="195"/>
      <c r="AB218" s="120"/>
      <c r="AE218" s="40" t="str">
        <f t="shared" si="19"/>
        <v/>
      </c>
    </row>
    <row r="219" spans="1:31">
      <c r="A219" s="35" t="str">
        <f>IFERROR(INDEX('G-8 Condition Look up'!$I$4:$I$135,MATCH(F219,'G-8 Condition Look up'!$A$4:$A$135,0)),"")</f>
        <v/>
      </c>
      <c r="C219" s="299" t="str">
        <f>IFERROR(INDEX('G-1 All Habitats'!$AG$3:$AG$17,MATCH(D219,'G-1 All Habitats'!$AF$3:$AF$17,0)),"")</f>
        <v/>
      </c>
      <c r="D219" s="54"/>
      <c r="E219" s="61"/>
      <c r="F219" s="296" t="str">
        <f>IFERROR(INDEX('G-1 All Habitats'!$B$3:$B$134,MATCH(E219,'G-1 All Habitats'!$A$3:$A$134,0)),"")</f>
        <v/>
      </c>
      <c r="G219" s="53"/>
      <c r="H219" s="362" t="str">
        <f>IF(F219="","",VLOOKUP(F219,'G-1 All Habitats'!$B$2:$M$134,10,FALSE))</f>
        <v/>
      </c>
      <c r="I219" s="363" t="str">
        <f>IFERROR(VLOOKUP(H219,'G-1 All Habitats'!$V$3:$W$7,2,FALSE),"")</f>
        <v/>
      </c>
      <c r="J219" s="54"/>
      <c r="K219" s="363" t="str">
        <f>IFERROR(INDEX('G-8 Condition Look up'!$A$3:$H$135,MATCH(F219,'G-8 Condition Look up'!$A$3:$A$135,0),MATCH(J219,'G-8 Condition Look up'!$A$3:$H$3,0)),"")</f>
        <v/>
      </c>
      <c r="L219" s="54"/>
      <c r="M219" s="370" t="str">
        <f>IF(L219="","",IF(VLOOKUP(L219,'G-3 Multipliers'!$L$3:$N$6,2,FALSE)=0,"Spatial Data Missing",VLOOKUP(L219,'G-3 Multipliers'!$L$3:$N$6,2,FALSE)))</f>
        <v/>
      </c>
      <c r="N219" s="368" t="str">
        <f>IF(L219="","",IF(VLOOKUP(L219,'G-3 Multipliers'!$L$3:$N$6,3,FALSE)=0,"Spatial Data Missing",VLOOKUP(L219,'G-3 Multipliers'!$L$3:$N$6,3,FALSE)))</f>
        <v/>
      </c>
      <c r="O219" s="362" t="str">
        <f t="shared" si="18"/>
        <v/>
      </c>
      <c r="P219" s="63"/>
      <c r="Q219" s="63"/>
      <c r="R219" s="370" t="str">
        <f t="shared" si="20"/>
        <v/>
      </c>
      <c r="S219" s="383" t="str">
        <f t="shared" si="21"/>
        <v/>
      </c>
      <c r="T219" s="384" t="str">
        <f>IFERROR(IF(S219="Check Data ⚠","Check Data ⚠",VLOOKUP(S219,'G-4 Temporal multipliers'!$A$4:$C$37,3,FALSE)),"")</f>
        <v/>
      </c>
      <c r="U219" s="385" t="str">
        <f>IF(F219="","",VLOOKUP(F219,'G-3 Multipliers'!$A$2:$E$134,2,FALSE))</f>
        <v/>
      </c>
      <c r="V219" s="382" t="str">
        <f t="shared" si="23"/>
        <v/>
      </c>
      <c r="W219" s="382" t="str">
        <f>IF(E219="","",IF(AND(V219="Standard difficulty applied",O219&gt;P219),U219,IF(AND(V219="Low Difficulty - only applicable if all habitat created before losses",P219&gt;=O219),"Low",VLOOKUP(F219,'G-3 Multipliers'!$A$2:$E$134,4,FALSE))))</f>
        <v/>
      </c>
      <c r="X219" s="386" t="str">
        <f>IFERROR(IF(E219="","",VLOOKUP(W219, 'G-3 Multipliers'!$P$2:$Q$6,2,FALSE)),"")</f>
        <v/>
      </c>
      <c r="Y219" s="390" t="str">
        <f t="shared" si="22"/>
        <v/>
      </c>
      <c r="Z219" s="194"/>
      <c r="AA219" s="195"/>
      <c r="AB219" s="120"/>
      <c r="AE219" s="40" t="str">
        <f t="shared" si="19"/>
        <v/>
      </c>
    </row>
    <row r="220" spans="1:31">
      <c r="A220" s="35" t="str">
        <f>IFERROR(INDEX('G-8 Condition Look up'!$I$4:$I$135,MATCH(F220,'G-8 Condition Look up'!$A$4:$A$135,0)),"")</f>
        <v/>
      </c>
      <c r="C220" s="299" t="str">
        <f>IFERROR(INDEX('G-1 All Habitats'!$AG$3:$AG$17,MATCH(D220,'G-1 All Habitats'!$AF$3:$AF$17,0)),"")</f>
        <v/>
      </c>
      <c r="D220" s="54"/>
      <c r="E220" s="61"/>
      <c r="F220" s="296" t="str">
        <f>IFERROR(INDEX('G-1 All Habitats'!$B$3:$B$134,MATCH(E220,'G-1 All Habitats'!$A$3:$A$134,0)),"")</f>
        <v/>
      </c>
      <c r="G220" s="53"/>
      <c r="H220" s="362" t="str">
        <f>IF(F220="","",VLOOKUP(F220,'G-1 All Habitats'!$B$2:$M$134,10,FALSE))</f>
        <v/>
      </c>
      <c r="I220" s="363" t="str">
        <f>IFERROR(VLOOKUP(H220,'G-1 All Habitats'!$V$3:$W$7,2,FALSE),"")</f>
        <v/>
      </c>
      <c r="J220" s="54"/>
      <c r="K220" s="363" t="str">
        <f>IFERROR(INDEX('G-8 Condition Look up'!$A$3:$H$135,MATCH(F220,'G-8 Condition Look up'!$A$3:$A$135,0),MATCH(J220,'G-8 Condition Look up'!$A$3:$H$3,0)),"")</f>
        <v/>
      </c>
      <c r="L220" s="54"/>
      <c r="M220" s="370" t="str">
        <f>IF(L220="","",IF(VLOOKUP(L220,'G-3 Multipliers'!$L$3:$N$6,2,FALSE)=0,"Spatial Data Missing",VLOOKUP(L220,'G-3 Multipliers'!$L$3:$N$6,2,FALSE)))</f>
        <v/>
      </c>
      <c r="N220" s="368" t="str">
        <f>IF(L220="","",IF(VLOOKUP(L220,'G-3 Multipliers'!$L$3:$N$6,3,FALSE)=0,"Spatial Data Missing",VLOOKUP(L220,'G-3 Multipliers'!$L$3:$N$6,3,FALSE)))</f>
        <v/>
      </c>
      <c r="O220" s="362" t="str">
        <f t="shared" si="18"/>
        <v/>
      </c>
      <c r="P220" s="63"/>
      <c r="Q220" s="63"/>
      <c r="R220" s="370" t="str">
        <f t="shared" si="20"/>
        <v/>
      </c>
      <c r="S220" s="383" t="str">
        <f t="shared" si="21"/>
        <v/>
      </c>
      <c r="T220" s="384" t="str">
        <f>IFERROR(IF(S220="Check Data ⚠","Check Data ⚠",VLOOKUP(S220,'G-4 Temporal multipliers'!$A$4:$C$37,3,FALSE)),"")</f>
        <v/>
      </c>
      <c r="U220" s="385" t="str">
        <f>IF(F220="","",VLOOKUP(F220,'G-3 Multipliers'!$A$2:$E$134,2,FALSE))</f>
        <v/>
      </c>
      <c r="V220" s="382" t="str">
        <f t="shared" si="23"/>
        <v/>
      </c>
      <c r="W220" s="382" t="str">
        <f>IF(E220="","",IF(AND(V220="Standard difficulty applied",O220&gt;P220),U220,IF(AND(V220="Low Difficulty - only applicable if all habitat created before losses",P220&gt;=O220),"Low",VLOOKUP(F220,'G-3 Multipliers'!$A$2:$E$134,4,FALSE))))</f>
        <v/>
      </c>
      <c r="X220" s="386" t="str">
        <f>IFERROR(IF(E220="","",VLOOKUP(W220, 'G-3 Multipliers'!$P$2:$Q$6,2,FALSE)),"")</f>
        <v/>
      </c>
      <c r="Y220" s="390" t="str">
        <f t="shared" si="22"/>
        <v/>
      </c>
      <c r="Z220" s="194"/>
      <c r="AA220" s="195"/>
      <c r="AB220" s="120"/>
      <c r="AE220" s="40" t="str">
        <f t="shared" si="19"/>
        <v/>
      </c>
    </row>
    <row r="221" spans="1:31">
      <c r="A221" s="35" t="str">
        <f>IFERROR(INDEX('G-8 Condition Look up'!$I$4:$I$135,MATCH(F221,'G-8 Condition Look up'!$A$4:$A$135,0)),"")</f>
        <v/>
      </c>
      <c r="C221" s="299" t="str">
        <f>IFERROR(INDEX('G-1 All Habitats'!$AG$3:$AG$17,MATCH(D221,'G-1 All Habitats'!$AF$3:$AF$17,0)),"")</f>
        <v/>
      </c>
      <c r="D221" s="54"/>
      <c r="E221" s="61"/>
      <c r="F221" s="296" t="str">
        <f>IFERROR(INDEX('G-1 All Habitats'!$B$3:$B$134,MATCH(E221,'G-1 All Habitats'!$A$3:$A$134,0)),"")</f>
        <v/>
      </c>
      <c r="G221" s="53"/>
      <c r="H221" s="362" t="str">
        <f>IF(F221="","",VLOOKUP(F221,'G-1 All Habitats'!$B$2:$M$134,10,FALSE))</f>
        <v/>
      </c>
      <c r="I221" s="363" t="str">
        <f>IFERROR(VLOOKUP(H221,'G-1 All Habitats'!$V$3:$W$7,2,FALSE),"")</f>
        <v/>
      </c>
      <c r="J221" s="54"/>
      <c r="K221" s="363" t="str">
        <f>IFERROR(INDEX('G-8 Condition Look up'!$A$3:$H$135,MATCH(F221,'G-8 Condition Look up'!$A$3:$A$135,0),MATCH(J221,'G-8 Condition Look up'!$A$3:$H$3,0)),"")</f>
        <v/>
      </c>
      <c r="L221" s="54"/>
      <c r="M221" s="370" t="str">
        <f>IF(L221="","",IF(VLOOKUP(L221,'G-3 Multipliers'!$L$3:$N$6,2,FALSE)=0,"Spatial Data Missing",VLOOKUP(L221,'G-3 Multipliers'!$L$3:$N$6,2,FALSE)))</f>
        <v/>
      </c>
      <c r="N221" s="368" t="str">
        <f>IF(L221="","",IF(VLOOKUP(L221,'G-3 Multipliers'!$L$3:$N$6,3,FALSE)=0,"Spatial Data Missing",VLOOKUP(L221,'G-3 Multipliers'!$L$3:$N$6,3,FALSE)))</f>
        <v/>
      </c>
      <c r="O221" s="362" t="str">
        <f t="shared" si="18"/>
        <v/>
      </c>
      <c r="P221" s="63"/>
      <c r="Q221" s="63"/>
      <c r="R221" s="370" t="str">
        <f t="shared" si="20"/>
        <v/>
      </c>
      <c r="S221" s="383" t="str">
        <f t="shared" si="21"/>
        <v/>
      </c>
      <c r="T221" s="384" t="str">
        <f>IFERROR(IF(S221="Check Data ⚠","Check Data ⚠",VLOOKUP(S221,'G-4 Temporal multipliers'!$A$4:$C$37,3,FALSE)),"")</f>
        <v/>
      </c>
      <c r="U221" s="385" t="str">
        <f>IF(F221="","",VLOOKUP(F221,'G-3 Multipliers'!$A$2:$E$134,2,FALSE))</f>
        <v/>
      </c>
      <c r="V221" s="382" t="str">
        <f t="shared" si="23"/>
        <v/>
      </c>
      <c r="W221" s="382" t="str">
        <f>IF(E221="","",IF(AND(V221="Standard difficulty applied",O221&gt;P221),U221,IF(AND(V221="Low Difficulty - only applicable if all habitat created before losses",P221&gt;=O221),"Low",VLOOKUP(F221,'G-3 Multipliers'!$A$2:$E$134,4,FALSE))))</f>
        <v/>
      </c>
      <c r="X221" s="386" t="str">
        <f>IFERROR(IF(E221="","",VLOOKUP(W221, 'G-3 Multipliers'!$P$2:$Q$6,2,FALSE)),"")</f>
        <v/>
      </c>
      <c r="Y221" s="390" t="str">
        <f t="shared" si="22"/>
        <v/>
      </c>
      <c r="Z221" s="194"/>
      <c r="AA221" s="195"/>
      <c r="AB221" s="120"/>
      <c r="AE221" s="40" t="str">
        <f t="shared" si="19"/>
        <v/>
      </c>
    </row>
    <row r="222" spans="1:31">
      <c r="A222" s="35" t="str">
        <f>IFERROR(INDEX('G-8 Condition Look up'!$I$4:$I$135,MATCH(F222,'G-8 Condition Look up'!$A$4:$A$135,0)),"")</f>
        <v/>
      </c>
      <c r="C222" s="299" t="str">
        <f>IFERROR(INDEX('G-1 All Habitats'!$AG$3:$AG$17,MATCH(D222,'G-1 All Habitats'!$AF$3:$AF$17,0)),"")</f>
        <v/>
      </c>
      <c r="D222" s="54"/>
      <c r="E222" s="61"/>
      <c r="F222" s="296" t="str">
        <f>IFERROR(INDEX('G-1 All Habitats'!$B$3:$B$134,MATCH(E222,'G-1 All Habitats'!$A$3:$A$134,0)),"")</f>
        <v/>
      </c>
      <c r="G222" s="53"/>
      <c r="H222" s="362" t="str">
        <f>IF(F222="","",VLOOKUP(F222,'G-1 All Habitats'!$B$2:$M$134,10,FALSE))</f>
        <v/>
      </c>
      <c r="I222" s="363" t="str">
        <f>IFERROR(VLOOKUP(H222,'G-1 All Habitats'!$V$3:$W$7,2,FALSE),"")</f>
        <v/>
      </c>
      <c r="J222" s="54"/>
      <c r="K222" s="363" t="str">
        <f>IFERROR(INDEX('G-8 Condition Look up'!$A$3:$H$135,MATCH(F222,'G-8 Condition Look up'!$A$3:$A$135,0),MATCH(J222,'G-8 Condition Look up'!$A$3:$H$3,0)),"")</f>
        <v/>
      </c>
      <c r="L222" s="54"/>
      <c r="M222" s="370" t="str">
        <f>IF(L222="","",IF(VLOOKUP(L222,'G-3 Multipliers'!$L$3:$N$6,2,FALSE)=0,"Spatial Data Missing",VLOOKUP(L222,'G-3 Multipliers'!$L$3:$N$6,2,FALSE)))</f>
        <v/>
      </c>
      <c r="N222" s="368" t="str">
        <f>IF(L222="","",IF(VLOOKUP(L222,'G-3 Multipliers'!$L$3:$N$6,3,FALSE)=0,"Spatial Data Missing",VLOOKUP(L222,'G-3 Multipliers'!$L$3:$N$6,3,FALSE)))</f>
        <v/>
      </c>
      <c r="O222" s="362" t="str">
        <f t="shared" si="18"/>
        <v/>
      </c>
      <c r="P222" s="63"/>
      <c r="Q222" s="63"/>
      <c r="R222" s="370" t="str">
        <f t="shared" si="20"/>
        <v/>
      </c>
      <c r="S222" s="383" t="str">
        <f t="shared" si="21"/>
        <v/>
      </c>
      <c r="T222" s="384" t="str">
        <f>IFERROR(IF(S222="Check Data ⚠","Check Data ⚠",VLOOKUP(S222,'G-4 Temporal multipliers'!$A$4:$C$37,3,FALSE)),"")</f>
        <v/>
      </c>
      <c r="U222" s="385" t="str">
        <f>IF(F222="","",VLOOKUP(F222,'G-3 Multipliers'!$A$2:$E$134,2,FALSE))</f>
        <v/>
      </c>
      <c r="V222" s="382" t="str">
        <f t="shared" si="23"/>
        <v/>
      </c>
      <c r="W222" s="382" t="str">
        <f>IF(E222="","",IF(AND(V222="Standard difficulty applied",O222&gt;P222),U222,IF(AND(V222="Low Difficulty - only applicable if all habitat created before losses",P222&gt;=O222),"Low",VLOOKUP(F222,'G-3 Multipliers'!$A$2:$E$134,4,FALSE))))</f>
        <v/>
      </c>
      <c r="X222" s="386" t="str">
        <f>IFERROR(IF(E222="","",VLOOKUP(W222, 'G-3 Multipliers'!$P$2:$Q$6,2,FALSE)),"")</f>
        <v/>
      </c>
      <c r="Y222" s="390" t="str">
        <f t="shared" si="22"/>
        <v/>
      </c>
      <c r="Z222" s="194"/>
      <c r="AA222" s="195"/>
      <c r="AB222" s="120"/>
      <c r="AE222" s="40" t="str">
        <f t="shared" si="19"/>
        <v/>
      </c>
    </row>
    <row r="223" spans="1:31">
      <c r="A223" s="35" t="str">
        <f>IFERROR(INDEX('G-8 Condition Look up'!$I$4:$I$135,MATCH(F223,'G-8 Condition Look up'!$A$4:$A$135,0)),"")</f>
        <v/>
      </c>
      <c r="C223" s="299" t="str">
        <f>IFERROR(INDEX('G-1 All Habitats'!$AG$3:$AG$17,MATCH(D223,'G-1 All Habitats'!$AF$3:$AF$17,0)),"")</f>
        <v/>
      </c>
      <c r="D223" s="54"/>
      <c r="E223" s="61"/>
      <c r="F223" s="296" t="str">
        <f>IFERROR(INDEX('G-1 All Habitats'!$B$3:$B$134,MATCH(E223,'G-1 All Habitats'!$A$3:$A$134,0)),"")</f>
        <v/>
      </c>
      <c r="G223" s="53"/>
      <c r="H223" s="362" t="str">
        <f>IF(F223="","",VLOOKUP(F223,'G-1 All Habitats'!$B$2:$M$134,10,FALSE))</f>
        <v/>
      </c>
      <c r="I223" s="363" t="str">
        <f>IFERROR(VLOOKUP(H223,'G-1 All Habitats'!$V$3:$W$7,2,FALSE),"")</f>
        <v/>
      </c>
      <c r="J223" s="54"/>
      <c r="K223" s="363" t="str">
        <f>IFERROR(INDEX('G-8 Condition Look up'!$A$3:$H$135,MATCH(F223,'G-8 Condition Look up'!$A$3:$A$135,0),MATCH(J223,'G-8 Condition Look up'!$A$3:$H$3,0)),"")</f>
        <v/>
      </c>
      <c r="L223" s="54"/>
      <c r="M223" s="370" t="str">
        <f>IF(L223="","",IF(VLOOKUP(L223,'G-3 Multipliers'!$L$3:$N$6,2,FALSE)=0,"Spatial Data Missing",VLOOKUP(L223,'G-3 Multipliers'!$L$3:$N$6,2,FALSE)))</f>
        <v/>
      </c>
      <c r="N223" s="368" t="str">
        <f>IF(L223="","",IF(VLOOKUP(L223,'G-3 Multipliers'!$L$3:$N$6,3,FALSE)=0,"Spatial Data Missing",VLOOKUP(L223,'G-3 Multipliers'!$L$3:$N$6,3,FALSE)))</f>
        <v/>
      </c>
      <c r="O223" s="362" t="str">
        <f t="shared" si="18"/>
        <v/>
      </c>
      <c r="P223" s="63"/>
      <c r="Q223" s="63"/>
      <c r="R223" s="370" t="str">
        <f t="shared" si="20"/>
        <v/>
      </c>
      <c r="S223" s="383" t="str">
        <f t="shared" si="21"/>
        <v/>
      </c>
      <c r="T223" s="384" t="str">
        <f>IFERROR(IF(S223="Check Data ⚠","Check Data ⚠",VLOOKUP(S223,'G-4 Temporal multipliers'!$A$4:$C$37,3,FALSE)),"")</f>
        <v/>
      </c>
      <c r="U223" s="385" t="str">
        <f>IF(F223="","",VLOOKUP(F223,'G-3 Multipliers'!$A$2:$E$134,2,FALSE))</f>
        <v/>
      </c>
      <c r="V223" s="382" t="str">
        <f t="shared" si="23"/>
        <v/>
      </c>
      <c r="W223" s="382" t="str">
        <f>IF(E223="","",IF(AND(V223="Standard difficulty applied",O223&gt;P223),U223,IF(AND(V223="Low Difficulty - only applicable if all habitat created before losses",P223&gt;=O223),"Low",VLOOKUP(F223,'G-3 Multipliers'!$A$2:$E$134,4,FALSE))))</f>
        <v/>
      </c>
      <c r="X223" s="386" t="str">
        <f>IFERROR(IF(E223="","",VLOOKUP(W223, 'G-3 Multipliers'!$P$2:$Q$6,2,FALSE)),"")</f>
        <v/>
      </c>
      <c r="Y223" s="390" t="str">
        <f t="shared" si="22"/>
        <v/>
      </c>
      <c r="Z223" s="194"/>
      <c r="AA223" s="195"/>
      <c r="AB223" s="120"/>
      <c r="AE223" s="40" t="str">
        <f t="shared" si="19"/>
        <v/>
      </c>
    </row>
    <row r="224" spans="1:31">
      <c r="A224" s="35" t="str">
        <f>IFERROR(INDEX('G-8 Condition Look up'!$I$4:$I$135,MATCH(F224,'G-8 Condition Look up'!$A$4:$A$135,0)),"")</f>
        <v/>
      </c>
      <c r="C224" s="299" t="str">
        <f>IFERROR(INDEX('G-1 All Habitats'!$AG$3:$AG$17,MATCH(D224,'G-1 All Habitats'!$AF$3:$AF$17,0)),"")</f>
        <v/>
      </c>
      <c r="D224" s="54"/>
      <c r="E224" s="61"/>
      <c r="F224" s="296" t="str">
        <f>IFERROR(INDEX('G-1 All Habitats'!$B$3:$B$134,MATCH(E224,'G-1 All Habitats'!$A$3:$A$134,0)),"")</f>
        <v/>
      </c>
      <c r="G224" s="53"/>
      <c r="H224" s="362" t="str">
        <f>IF(F224="","",VLOOKUP(F224,'G-1 All Habitats'!$B$2:$M$134,10,FALSE))</f>
        <v/>
      </c>
      <c r="I224" s="363" t="str">
        <f>IFERROR(VLOOKUP(H224,'G-1 All Habitats'!$V$3:$W$7,2,FALSE),"")</f>
        <v/>
      </c>
      <c r="J224" s="54"/>
      <c r="K224" s="363" t="str">
        <f>IFERROR(INDEX('G-8 Condition Look up'!$A$3:$H$135,MATCH(F224,'G-8 Condition Look up'!$A$3:$A$135,0),MATCH(J224,'G-8 Condition Look up'!$A$3:$H$3,0)),"")</f>
        <v/>
      </c>
      <c r="L224" s="54"/>
      <c r="M224" s="370" t="str">
        <f>IF(L224="","",IF(VLOOKUP(L224,'G-3 Multipliers'!$L$3:$N$6,2,FALSE)=0,"Spatial Data Missing",VLOOKUP(L224,'G-3 Multipliers'!$L$3:$N$6,2,FALSE)))</f>
        <v/>
      </c>
      <c r="N224" s="368" t="str">
        <f>IF(L224="","",IF(VLOOKUP(L224,'G-3 Multipliers'!$L$3:$N$6,3,FALSE)=0,"Spatial Data Missing",VLOOKUP(L224,'G-3 Multipliers'!$L$3:$N$6,3,FALSE)))</f>
        <v/>
      </c>
      <c r="O224" s="362" t="str">
        <f t="shared" si="18"/>
        <v/>
      </c>
      <c r="P224" s="63"/>
      <c r="Q224" s="63"/>
      <c r="R224" s="370" t="str">
        <f t="shared" si="20"/>
        <v/>
      </c>
      <c r="S224" s="383" t="str">
        <f t="shared" si="21"/>
        <v/>
      </c>
      <c r="T224" s="384" t="str">
        <f>IFERROR(IF(S224="Check Data ⚠","Check Data ⚠",VLOOKUP(S224,'G-4 Temporal multipliers'!$A$4:$C$37,3,FALSE)),"")</f>
        <v/>
      </c>
      <c r="U224" s="385" t="str">
        <f>IF(F224="","",VLOOKUP(F224,'G-3 Multipliers'!$A$2:$E$134,2,FALSE))</f>
        <v/>
      </c>
      <c r="V224" s="382" t="str">
        <f t="shared" si="23"/>
        <v/>
      </c>
      <c r="W224" s="382" t="str">
        <f>IF(E224="","",IF(AND(V224="Standard difficulty applied",O224&gt;P224),U224,IF(AND(V224="Low Difficulty - only applicable if all habitat created before losses",P224&gt;=O224),"Low",VLOOKUP(F224,'G-3 Multipliers'!$A$2:$E$134,4,FALSE))))</f>
        <v/>
      </c>
      <c r="X224" s="386" t="str">
        <f>IFERROR(IF(E224="","",VLOOKUP(W224, 'G-3 Multipliers'!$P$2:$Q$6,2,FALSE)),"")</f>
        <v/>
      </c>
      <c r="Y224" s="390" t="str">
        <f t="shared" si="22"/>
        <v/>
      </c>
      <c r="Z224" s="194"/>
      <c r="AA224" s="195"/>
      <c r="AB224" s="120"/>
      <c r="AE224" s="40" t="str">
        <f t="shared" si="19"/>
        <v/>
      </c>
    </row>
    <row r="225" spans="1:31">
      <c r="A225" s="35" t="str">
        <f>IFERROR(INDEX('G-8 Condition Look up'!$I$4:$I$135,MATCH(F225,'G-8 Condition Look up'!$A$4:$A$135,0)),"")</f>
        <v/>
      </c>
      <c r="C225" s="299" t="str">
        <f>IFERROR(INDEX('G-1 All Habitats'!$AG$3:$AG$17,MATCH(D225,'G-1 All Habitats'!$AF$3:$AF$17,0)),"")</f>
        <v/>
      </c>
      <c r="D225" s="54"/>
      <c r="E225" s="61"/>
      <c r="F225" s="296" t="str">
        <f>IFERROR(INDEX('G-1 All Habitats'!$B$3:$B$134,MATCH(E225,'G-1 All Habitats'!$A$3:$A$134,0)),"")</f>
        <v/>
      </c>
      <c r="G225" s="53"/>
      <c r="H225" s="362" t="str">
        <f>IF(F225="","",VLOOKUP(F225,'G-1 All Habitats'!$B$2:$M$134,10,FALSE))</f>
        <v/>
      </c>
      <c r="I225" s="363" t="str">
        <f>IFERROR(VLOOKUP(H225,'G-1 All Habitats'!$V$3:$W$7,2,FALSE),"")</f>
        <v/>
      </c>
      <c r="J225" s="54"/>
      <c r="K225" s="363" t="str">
        <f>IFERROR(INDEX('G-8 Condition Look up'!$A$3:$H$135,MATCH(F225,'G-8 Condition Look up'!$A$3:$A$135,0),MATCH(J225,'G-8 Condition Look up'!$A$3:$H$3,0)),"")</f>
        <v/>
      </c>
      <c r="L225" s="54"/>
      <c r="M225" s="370" t="str">
        <f>IF(L225="","",IF(VLOOKUP(L225,'G-3 Multipliers'!$L$3:$N$6,2,FALSE)=0,"Spatial Data Missing",VLOOKUP(L225,'G-3 Multipliers'!$L$3:$N$6,2,FALSE)))</f>
        <v/>
      </c>
      <c r="N225" s="368" t="str">
        <f>IF(L225="","",IF(VLOOKUP(L225,'G-3 Multipliers'!$L$3:$N$6,3,FALSE)=0,"Spatial Data Missing",VLOOKUP(L225,'G-3 Multipliers'!$L$3:$N$6,3,FALSE)))</f>
        <v/>
      </c>
      <c r="O225" s="362" t="str">
        <f t="shared" si="18"/>
        <v/>
      </c>
      <c r="P225" s="63"/>
      <c r="Q225" s="63"/>
      <c r="R225" s="370" t="str">
        <f t="shared" si="20"/>
        <v/>
      </c>
      <c r="S225" s="383" t="str">
        <f t="shared" si="21"/>
        <v/>
      </c>
      <c r="T225" s="384" t="str">
        <f>IFERROR(IF(S225="Check Data ⚠","Check Data ⚠",VLOOKUP(S225,'G-4 Temporal multipliers'!$A$4:$C$37,3,FALSE)),"")</f>
        <v/>
      </c>
      <c r="U225" s="385" t="str">
        <f>IF(F225="","",VLOOKUP(F225,'G-3 Multipliers'!$A$2:$E$134,2,FALSE))</f>
        <v/>
      </c>
      <c r="V225" s="382" t="str">
        <f t="shared" si="23"/>
        <v/>
      </c>
      <c r="W225" s="382" t="str">
        <f>IF(E225="","",IF(AND(V225="Standard difficulty applied",O225&gt;P225),U225,IF(AND(V225="Low Difficulty - only applicable if all habitat created before losses",P225&gt;=O225),"Low",VLOOKUP(F225,'G-3 Multipliers'!$A$2:$E$134,4,FALSE))))</f>
        <v/>
      </c>
      <c r="X225" s="386" t="str">
        <f>IFERROR(IF(E225="","",VLOOKUP(W225, 'G-3 Multipliers'!$P$2:$Q$6,2,FALSE)),"")</f>
        <v/>
      </c>
      <c r="Y225" s="390" t="str">
        <f t="shared" si="22"/>
        <v/>
      </c>
      <c r="Z225" s="194"/>
      <c r="AA225" s="195"/>
      <c r="AB225" s="120"/>
      <c r="AE225" s="40" t="str">
        <f t="shared" si="19"/>
        <v/>
      </c>
    </row>
    <row r="226" spans="1:31">
      <c r="A226" s="35" t="str">
        <f>IFERROR(INDEX('G-8 Condition Look up'!$I$4:$I$135,MATCH(F226,'G-8 Condition Look up'!$A$4:$A$135,0)),"")</f>
        <v/>
      </c>
      <c r="C226" s="299" t="str">
        <f>IFERROR(INDEX('G-1 All Habitats'!$AG$3:$AG$17,MATCH(D226,'G-1 All Habitats'!$AF$3:$AF$17,0)),"")</f>
        <v/>
      </c>
      <c r="D226" s="54"/>
      <c r="E226" s="61"/>
      <c r="F226" s="296" t="str">
        <f>IFERROR(INDEX('G-1 All Habitats'!$B$3:$B$134,MATCH(E226,'G-1 All Habitats'!$A$3:$A$134,0)),"")</f>
        <v/>
      </c>
      <c r="G226" s="53"/>
      <c r="H226" s="362" t="str">
        <f>IF(F226="","",VLOOKUP(F226,'G-1 All Habitats'!$B$2:$M$134,10,FALSE))</f>
        <v/>
      </c>
      <c r="I226" s="363" t="str">
        <f>IFERROR(VLOOKUP(H226,'G-1 All Habitats'!$V$3:$W$7,2,FALSE),"")</f>
        <v/>
      </c>
      <c r="J226" s="54"/>
      <c r="K226" s="363" t="str">
        <f>IFERROR(INDEX('G-8 Condition Look up'!$A$3:$H$135,MATCH(F226,'G-8 Condition Look up'!$A$3:$A$135,0),MATCH(J226,'G-8 Condition Look up'!$A$3:$H$3,0)),"")</f>
        <v/>
      </c>
      <c r="L226" s="54"/>
      <c r="M226" s="370" t="str">
        <f>IF(L226="","",IF(VLOOKUP(L226,'G-3 Multipliers'!$L$3:$N$6,2,FALSE)=0,"Spatial Data Missing",VLOOKUP(L226,'G-3 Multipliers'!$L$3:$N$6,2,FALSE)))</f>
        <v/>
      </c>
      <c r="N226" s="368" t="str">
        <f>IF(L226="","",IF(VLOOKUP(L226,'G-3 Multipliers'!$L$3:$N$6,3,FALSE)=0,"Spatial Data Missing",VLOOKUP(L226,'G-3 Multipliers'!$L$3:$N$6,3,FALSE)))</f>
        <v/>
      </c>
      <c r="O226" s="362" t="str">
        <f t="shared" si="18"/>
        <v/>
      </c>
      <c r="P226" s="63"/>
      <c r="Q226" s="63"/>
      <c r="R226" s="370" t="str">
        <f t="shared" si="20"/>
        <v/>
      </c>
      <c r="S226" s="383" t="str">
        <f t="shared" si="21"/>
        <v/>
      </c>
      <c r="T226" s="384" t="str">
        <f>IFERROR(IF(S226="Check Data ⚠","Check Data ⚠",VLOOKUP(S226,'G-4 Temporal multipliers'!$A$4:$C$37,3,FALSE)),"")</f>
        <v/>
      </c>
      <c r="U226" s="385" t="str">
        <f>IF(F226="","",VLOOKUP(F226,'G-3 Multipliers'!$A$2:$E$134,2,FALSE))</f>
        <v/>
      </c>
      <c r="V226" s="382" t="str">
        <f t="shared" si="23"/>
        <v/>
      </c>
      <c r="W226" s="382" t="str">
        <f>IF(E226="","",IF(AND(V226="Standard difficulty applied",O226&gt;P226),U226,IF(AND(V226="Low Difficulty - only applicable if all habitat created before losses",P226&gt;=O226),"Low",VLOOKUP(F226,'G-3 Multipliers'!$A$2:$E$134,4,FALSE))))</f>
        <v/>
      </c>
      <c r="X226" s="386" t="str">
        <f>IFERROR(IF(E226="","",VLOOKUP(W226, 'G-3 Multipliers'!$P$2:$Q$6,2,FALSE)),"")</f>
        <v/>
      </c>
      <c r="Y226" s="390" t="str">
        <f t="shared" si="22"/>
        <v/>
      </c>
      <c r="Z226" s="194"/>
      <c r="AA226" s="195"/>
      <c r="AB226" s="120"/>
      <c r="AE226" s="40" t="str">
        <f t="shared" si="19"/>
        <v/>
      </c>
    </row>
    <row r="227" spans="1:31">
      <c r="A227" s="35" t="str">
        <f>IFERROR(INDEX('G-8 Condition Look up'!$I$4:$I$135,MATCH(F227,'G-8 Condition Look up'!$A$4:$A$135,0)),"")</f>
        <v/>
      </c>
      <c r="C227" s="299" t="str">
        <f>IFERROR(INDEX('G-1 All Habitats'!$AG$3:$AG$17,MATCH(D227,'G-1 All Habitats'!$AF$3:$AF$17,0)),"")</f>
        <v/>
      </c>
      <c r="D227" s="54"/>
      <c r="E227" s="61"/>
      <c r="F227" s="296" t="str">
        <f>IFERROR(INDEX('G-1 All Habitats'!$B$3:$B$134,MATCH(E227,'G-1 All Habitats'!$A$3:$A$134,0)),"")</f>
        <v/>
      </c>
      <c r="G227" s="53"/>
      <c r="H227" s="362" t="str">
        <f>IF(F227="","",VLOOKUP(F227,'G-1 All Habitats'!$B$2:$M$134,10,FALSE))</f>
        <v/>
      </c>
      <c r="I227" s="363" t="str">
        <f>IFERROR(VLOOKUP(H227,'G-1 All Habitats'!$V$3:$W$7,2,FALSE),"")</f>
        <v/>
      </c>
      <c r="J227" s="54"/>
      <c r="K227" s="363" t="str">
        <f>IFERROR(INDEX('G-8 Condition Look up'!$A$3:$H$135,MATCH(F227,'G-8 Condition Look up'!$A$3:$A$135,0),MATCH(J227,'G-8 Condition Look up'!$A$3:$H$3,0)),"")</f>
        <v/>
      </c>
      <c r="L227" s="54"/>
      <c r="M227" s="370" t="str">
        <f>IF(L227="","",IF(VLOOKUP(L227,'G-3 Multipliers'!$L$3:$N$6,2,FALSE)=0,"Spatial Data Missing",VLOOKUP(L227,'G-3 Multipliers'!$L$3:$N$6,2,FALSE)))</f>
        <v/>
      </c>
      <c r="N227" s="368" t="str">
        <f>IF(L227="","",IF(VLOOKUP(L227,'G-3 Multipliers'!$L$3:$N$6,3,FALSE)=0,"Spatial Data Missing",VLOOKUP(L227,'G-3 Multipliers'!$L$3:$N$6,3,FALSE)))</f>
        <v/>
      </c>
      <c r="O227" s="362" t="str">
        <f t="shared" si="18"/>
        <v/>
      </c>
      <c r="P227" s="63"/>
      <c r="Q227" s="63"/>
      <c r="R227" s="370" t="str">
        <f t="shared" si="20"/>
        <v/>
      </c>
      <c r="S227" s="383" t="str">
        <f t="shared" si="21"/>
        <v/>
      </c>
      <c r="T227" s="384" t="str">
        <f>IFERROR(IF(S227="Check Data ⚠","Check Data ⚠",VLOOKUP(S227,'G-4 Temporal multipliers'!$A$4:$C$37,3,FALSE)),"")</f>
        <v/>
      </c>
      <c r="U227" s="385" t="str">
        <f>IF(F227="","",VLOOKUP(F227,'G-3 Multipliers'!$A$2:$E$134,2,FALSE))</f>
        <v/>
      </c>
      <c r="V227" s="382" t="str">
        <f t="shared" si="23"/>
        <v/>
      </c>
      <c r="W227" s="382" t="str">
        <f>IF(E227="","",IF(AND(V227="Standard difficulty applied",O227&gt;P227),U227,IF(AND(V227="Low Difficulty - only applicable if all habitat created before losses",P227&gt;=O227),"Low",VLOOKUP(F227,'G-3 Multipliers'!$A$2:$E$134,4,FALSE))))</f>
        <v/>
      </c>
      <c r="X227" s="386" t="str">
        <f>IFERROR(IF(E227="","",VLOOKUP(W227, 'G-3 Multipliers'!$P$2:$Q$6,2,FALSE)),"")</f>
        <v/>
      </c>
      <c r="Y227" s="390" t="str">
        <f t="shared" si="22"/>
        <v/>
      </c>
      <c r="Z227" s="194"/>
      <c r="AA227" s="195"/>
      <c r="AB227" s="120"/>
      <c r="AE227" s="40" t="str">
        <f t="shared" si="19"/>
        <v/>
      </c>
    </row>
    <row r="228" spans="1:31">
      <c r="A228" s="35" t="str">
        <f>IFERROR(INDEX('G-8 Condition Look up'!$I$4:$I$135,MATCH(F228,'G-8 Condition Look up'!$A$4:$A$135,0)),"")</f>
        <v/>
      </c>
      <c r="C228" s="299" t="str">
        <f>IFERROR(INDEX('G-1 All Habitats'!$AG$3:$AG$17,MATCH(D228,'G-1 All Habitats'!$AF$3:$AF$17,0)),"")</f>
        <v/>
      </c>
      <c r="D228" s="54"/>
      <c r="E228" s="61"/>
      <c r="F228" s="296" t="str">
        <f>IFERROR(INDEX('G-1 All Habitats'!$B$3:$B$134,MATCH(E228,'G-1 All Habitats'!$A$3:$A$134,0)),"")</f>
        <v/>
      </c>
      <c r="G228" s="53"/>
      <c r="H228" s="362" t="str">
        <f>IF(F228="","",VLOOKUP(F228,'G-1 All Habitats'!$B$2:$M$134,10,FALSE))</f>
        <v/>
      </c>
      <c r="I228" s="363" t="str">
        <f>IFERROR(VLOOKUP(H228,'G-1 All Habitats'!$V$3:$W$7,2,FALSE),"")</f>
        <v/>
      </c>
      <c r="J228" s="54"/>
      <c r="K228" s="363" t="str">
        <f>IFERROR(INDEX('G-8 Condition Look up'!$A$3:$H$135,MATCH(F228,'G-8 Condition Look up'!$A$3:$A$135,0),MATCH(J228,'G-8 Condition Look up'!$A$3:$H$3,0)),"")</f>
        <v/>
      </c>
      <c r="L228" s="54"/>
      <c r="M228" s="370" t="str">
        <f>IF(L228="","",IF(VLOOKUP(L228,'G-3 Multipliers'!$L$3:$N$6,2,FALSE)=0,"Spatial Data Missing",VLOOKUP(L228,'G-3 Multipliers'!$L$3:$N$6,2,FALSE)))</f>
        <v/>
      </c>
      <c r="N228" s="368" t="str">
        <f>IF(L228="","",IF(VLOOKUP(L228,'G-3 Multipliers'!$L$3:$N$6,3,FALSE)=0,"Spatial Data Missing",VLOOKUP(L228,'G-3 Multipliers'!$L$3:$N$6,3,FALSE)))</f>
        <v/>
      </c>
      <c r="O228" s="362" t="str">
        <f t="shared" si="18"/>
        <v/>
      </c>
      <c r="P228" s="63"/>
      <c r="Q228" s="63"/>
      <c r="R228" s="370" t="str">
        <f t="shared" si="20"/>
        <v/>
      </c>
      <c r="S228" s="383" t="str">
        <f t="shared" si="21"/>
        <v/>
      </c>
      <c r="T228" s="384" t="str">
        <f>IFERROR(IF(S228="Check Data ⚠","Check Data ⚠",VLOOKUP(S228,'G-4 Temporal multipliers'!$A$4:$C$37,3,FALSE)),"")</f>
        <v/>
      </c>
      <c r="U228" s="385" t="str">
        <f>IF(F228="","",VLOOKUP(F228,'G-3 Multipliers'!$A$2:$E$134,2,FALSE))</f>
        <v/>
      </c>
      <c r="V228" s="382" t="str">
        <f t="shared" si="23"/>
        <v/>
      </c>
      <c r="W228" s="382" t="str">
        <f>IF(E228="","",IF(AND(V228="Standard difficulty applied",O228&gt;P228),U228,IF(AND(V228="Low Difficulty - only applicable if all habitat created before losses",P228&gt;=O228),"Low",VLOOKUP(F228,'G-3 Multipliers'!$A$2:$E$134,4,FALSE))))</f>
        <v/>
      </c>
      <c r="X228" s="386" t="str">
        <f>IFERROR(IF(E228="","",VLOOKUP(W228, 'G-3 Multipliers'!$P$2:$Q$6,2,FALSE)),"")</f>
        <v/>
      </c>
      <c r="Y228" s="390" t="str">
        <f t="shared" si="22"/>
        <v/>
      </c>
      <c r="Z228" s="194"/>
      <c r="AA228" s="195"/>
      <c r="AB228" s="120"/>
      <c r="AE228" s="40" t="str">
        <f t="shared" si="19"/>
        <v/>
      </c>
    </row>
    <row r="229" spans="1:31">
      <c r="A229" s="35" t="str">
        <f>IFERROR(INDEX('G-8 Condition Look up'!$I$4:$I$135,MATCH(F229,'G-8 Condition Look up'!$A$4:$A$135,0)),"")</f>
        <v/>
      </c>
      <c r="C229" s="299" t="str">
        <f>IFERROR(INDEX('G-1 All Habitats'!$AG$3:$AG$17,MATCH(D229,'G-1 All Habitats'!$AF$3:$AF$17,0)),"")</f>
        <v/>
      </c>
      <c r="D229" s="54"/>
      <c r="E229" s="61"/>
      <c r="F229" s="296" t="str">
        <f>IFERROR(INDEX('G-1 All Habitats'!$B$3:$B$134,MATCH(E229,'G-1 All Habitats'!$A$3:$A$134,0)),"")</f>
        <v/>
      </c>
      <c r="G229" s="53"/>
      <c r="H229" s="362" t="str">
        <f>IF(F229="","",VLOOKUP(F229,'G-1 All Habitats'!$B$2:$M$134,10,FALSE))</f>
        <v/>
      </c>
      <c r="I229" s="363" t="str">
        <f>IFERROR(VLOOKUP(H229,'G-1 All Habitats'!$V$3:$W$7,2,FALSE),"")</f>
        <v/>
      </c>
      <c r="J229" s="54"/>
      <c r="K229" s="363" t="str">
        <f>IFERROR(INDEX('G-8 Condition Look up'!$A$3:$H$135,MATCH(F229,'G-8 Condition Look up'!$A$3:$A$135,0),MATCH(J229,'G-8 Condition Look up'!$A$3:$H$3,0)),"")</f>
        <v/>
      </c>
      <c r="L229" s="54"/>
      <c r="M229" s="370" t="str">
        <f>IF(L229="","",IF(VLOOKUP(L229,'G-3 Multipliers'!$L$3:$N$6,2,FALSE)=0,"Spatial Data Missing",VLOOKUP(L229,'G-3 Multipliers'!$L$3:$N$6,2,FALSE)))</f>
        <v/>
      </c>
      <c r="N229" s="368" t="str">
        <f>IF(L229="","",IF(VLOOKUP(L229,'G-3 Multipliers'!$L$3:$N$6,3,FALSE)=0,"Spatial Data Missing",VLOOKUP(L229,'G-3 Multipliers'!$L$3:$N$6,3,FALSE)))</f>
        <v/>
      </c>
      <c r="O229" s="362" t="str">
        <f t="shared" si="18"/>
        <v/>
      </c>
      <c r="P229" s="63"/>
      <c r="Q229" s="63"/>
      <c r="R229" s="370" t="str">
        <f t="shared" si="20"/>
        <v/>
      </c>
      <c r="S229" s="383" t="str">
        <f t="shared" si="21"/>
        <v/>
      </c>
      <c r="T229" s="384" t="str">
        <f>IFERROR(IF(S229="Check Data ⚠","Check Data ⚠",VLOOKUP(S229,'G-4 Temporal multipliers'!$A$4:$C$37,3,FALSE)),"")</f>
        <v/>
      </c>
      <c r="U229" s="385" t="str">
        <f>IF(F229="","",VLOOKUP(F229,'G-3 Multipliers'!$A$2:$E$134,2,FALSE))</f>
        <v/>
      </c>
      <c r="V229" s="382" t="str">
        <f t="shared" si="23"/>
        <v/>
      </c>
      <c r="W229" s="382" t="str">
        <f>IF(E229="","",IF(AND(V229="Standard difficulty applied",O229&gt;P229),U229,IF(AND(V229="Low Difficulty - only applicable if all habitat created before losses",P229&gt;=O229),"Low",VLOOKUP(F229,'G-3 Multipliers'!$A$2:$E$134,4,FALSE))))</f>
        <v/>
      </c>
      <c r="X229" s="386" t="str">
        <f>IFERROR(IF(E229="","",VLOOKUP(W229, 'G-3 Multipliers'!$P$2:$Q$6,2,FALSE)),"")</f>
        <v/>
      </c>
      <c r="Y229" s="390" t="str">
        <f t="shared" si="22"/>
        <v/>
      </c>
      <c r="Z229" s="194"/>
      <c r="AA229" s="195"/>
      <c r="AB229" s="120"/>
      <c r="AE229" s="40" t="str">
        <f t="shared" si="19"/>
        <v/>
      </c>
    </row>
    <row r="230" spans="1:31">
      <c r="A230" s="35" t="str">
        <f>IFERROR(INDEX('G-8 Condition Look up'!$I$4:$I$135,MATCH(F230,'G-8 Condition Look up'!$A$4:$A$135,0)),"")</f>
        <v/>
      </c>
      <c r="C230" s="299" t="str">
        <f>IFERROR(INDEX('G-1 All Habitats'!$AG$3:$AG$17,MATCH(D230,'G-1 All Habitats'!$AF$3:$AF$17,0)),"")</f>
        <v/>
      </c>
      <c r="D230" s="54"/>
      <c r="E230" s="61"/>
      <c r="F230" s="296" t="str">
        <f>IFERROR(INDEX('G-1 All Habitats'!$B$3:$B$134,MATCH(E230,'G-1 All Habitats'!$A$3:$A$134,0)),"")</f>
        <v/>
      </c>
      <c r="G230" s="53"/>
      <c r="H230" s="362" t="str">
        <f>IF(F230="","",VLOOKUP(F230,'G-1 All Habitats'!$B$2:$M$134,10,FALSE))</f>
        <v/>
      </c>
      <c r="I230" s="363" t="str">
        <f>IFERROR(VLOOKUP(H230,'G-1 All Habitats'!$V$3:$W$7,2,FALSE),"")</f>
        <v/>
      </c>
      <c r="J230" s="54"/>
      <c r="K230" s="363" t="str">
        <f>IFERROR(INDEX('G-8 Condition Look up'!$A$3:$H$135,MATCH(F230,'G-8 Condition Look up'!$A$3:$A$135,0),MATCH(J230,'G-8 Condition Look up'!$A$3:$H$3,0)),"")</f>
        <v/>
      </c>
      <c r="L230" s="54"/>
      <c r="M230" s="370" t="str">
        <f>IF(L230="","",IF(VLOOKUP(L230,'G-3 Multipliers'!$L$3:$N$6,2,FALSE)=0,"Spatial Data Missing",VLOOKUP(L230,'G-3 Multipliers'!$L$3:$N$6,2,FALSE)))</f>
        <v/>
      </c>
      <c r="N230" s="368" t="str">
        <f>IF(L230="","",IF(VLOOKUP(L230,'G-3 Multipliers'!$L$3:$N$6,3,FALSE)=0,"Spatial Data Missing",VLOOKUP(L230,'G-3 Multipliers'!$L$3:$N$6,3,FALSE)))</f>
        <v/>
      </c>
      <c r="O230" s="362" t="str">
        <f t="shared" si="18"/>
        <v/>
      </c>
      <c r="P230" s="63"/>
      <c r="Q230" s="63"/>
      <c r="R230" s="370" t="str">
        <f t="shared" si="20"/>
        <v/>
      </c>
      <c r="S230" s="383" t="str">
        <f t="shared" si="21"/>
        <v/>
      </c>
      <c r="T230" s="384" t="str">
        <f>IFERROR(IF(S230="Check Data ⚠","Check Data ⚠",VLOOKUP(S230,'G-4 Temporal multipliers'!$A$4:$C$37,3,FALSE)),"")</f>
        <v/>
      </c>
      <c r="U230" s="385" t="str">
        <f>IF(F230="","",VLOOKUP(F230,'G-3 Multipliers'!$A$2:$E$134,2,FALSE))</f>
        <v/>
      </c>
      <c r="V230" s="382" t="str">
        <f t="shared" si="23"/>
        <v/>
      </c>
      <c r="W230" s="382" t="str">
        <f>IF(E230="","",IF(AND(V230="Standard difficulty applied",O230&gt;P230),U230,IF(AND(V230="Low Difficulty - only applicable if all habitat created before losses",P230&gt;=O230),"Low",VLOOKUP(F230,'G-3 Multipliers'!$A$2:$E$134,4,FALSE))))</f>
        <v/>
      </c>
      <c r="X230" s="386" t="str">
        <f>IFERROR(IF(E230="","",VLOOKUP(W230, 'G-3 Multipliers'!$P$2:$Q$6,2,FALSE)),"")</f>
        <v/>
      </c>
      <c r="Y230" s="390" t="str">
        <f t="shared" si="22"/>
        <v/>
      </c>
      <c r="Z230" s="194"/>
      <c r="AA230" s="195"/>
      <c r="AB230" s="120"/>
      <c r="AE230" s="40" t="str">
        <f t="shared" si="19"/>
        <v/>
      </c>
    </row>
    <row r="231" spans="1:31">
      <c r="A231" s="35" t="str">
        <f>IFERROR(INDEX('G-8 Condition Look up'!$I$4:$I$135,MATCH(F231,'G-8 Condition Look up'!$A$4:$A$135,0)),"")</f>
        <v/>
      </c>
      <c r="C231" s="299" t="str">
        <f>IFERROR(INDEX('G-1 All Habitats'!$AG$3:$AG$17,MATCH(D231,'G-1 All Habitats'!$AF$3:$AF$17,0)),"")</f>
        <v/>
      </c>
      <c r="D231" s="54"/>
      <c r="E231" s="61"/>
      <c r="F231" s="296" t="str">
        <f>IFERROR(INDEX('G-1 All Habitats'!$B$3:$B$134,MATCH(E231,'G-1 All Habitats'!$A$3:$A$134,0)),"")</f>
        <v/>
      </c>
      <c r="G231" s="53"/>
      <c r="H231" s="362" t="str">
        <f>IF(F231="","",VLOOKUP(F231,'G-1 All Habitats'!$B$2:$M$134,10,FALSE))</f>
        <v/>
      </c>
      <c r="I231" s="363" t="str">
        <f>IFERROR(VLOOKUP(H231,'G-1 All Habitats'!$V$3:$W$7,2,FALSE),"")</f>
        <v/>
      </c>
      <c r="J231" s="54"/>
      <c r="K231" s="363" t="str">
        <f>IFERROR(INDEX('G-8 Condition Look up'!$A$3:$H$135,MATCH(F231,'G-8 Condition Look up'!$A$3:$A$135,0),MATCH(J231,'G-8 Condition Look up'!$A$3:$H$3,0)),"")</f>
        <v/>
      </c>
      <c r="L231" s="54"/>
      <c r="M231" s="370" t="str">
        <f>IF(L231="","",IF(VLOOKUP(L231,'G-3 Multipliers'!$L$3:$N$6,2,FALSE)=0,"Spatial Data Missing",VLOOKUP(L231,'G-3 Multipliers'!$L$3:$N$6,2,FALSE)))</f>
        <v/>
      </c>
      <c r="N231" s="368" t="str">
        <f>IF(L231="","",IF(VLOOKUP(L231,'G-3 Multipliers'!$L$3:$N$6,3,FALSE)=0,"Spatial Data Missing",VLOOKUP(L231,'G-3 Multipliers'!$L$3:$N$6,3,FALSE)))</f>
        <v/>
      </c>
      <c r="O231" s="362" t="str">
        <f t="shared" si="18"/>
        <v/>
      </c>
      <c r="P231" s="63"/>
      <c r="Q231" s="63"/>
      <c r="R231" s="370" t="str">
        <f t="shared" si="20"/>
        <v/>
      </c>
      <c r="S231" s="383" t="str">
        <f t="shared" si="21"/>
        <v/>
      </c>
      <c r="T231" s="384" t="str">
        <f>IFERROR(IF(S231="Check Data ⚠","Check Data ⚠",VLOOKUP(S231,'G-4 Temporal multipliers'!$A$4:$C$37,3,FALSE)),"")</f>
        <v/>
      </c>
      <c r="U231" s="385" t="str">
        <f>IF(F231="","",VLOOKUP(F231,'G-3 Multipliers'!$A$2:$E$134,2,FALSE))</f>
        <v/>
      </c>
      <c r="V231" s="382" t="str">
        <f t="shared" si="23"/>
        <v/>
      </c>
      <c r="W231" s="382" t="str">
        <f>IF(E231="","",IF(AND(V231="Standard difficulty applied",O231&gt;P231),U231,IF(AND(V231="Low Difficulty - only applicable if all habitat created before losses",P231&gt;=O231),"Low",VLOOKUP(F231,'G-3 Multipliers'!$A$2:$E$134,4,FALSE))))</f>
        <v/>
      </c>
      <c r="X231" s="386" t="str">
        <f>IFERROR(IF(E231="","",VLOOKUP(W231, 'G-3 Multipliers'!$P$2:$Q$6,2,FALSE)),"")</f>
        <v/>
      </c>
      <c r="Y231" s="390" t="str">
        <f t="shared" si="22"/>
        <v/>
      </c>
      <c r="Z231" s="194"/>
      <c r="AA231" s="195"/>
      <c r="AB231" s="120"/>
      <c r="AE231" s="40" t="str">
        <f t="shared" si="19"/>
        <v/>
      </c>
    </row>
    <row r="232" spans="1:31">
      <c r="A232" s="35" t="str">
        <f>IFERROR(INDEX('G-8 Condition Look up'!$I$4:$I$135,MATCH(F232,'G-8 Condition Look up'!$A$4:$A$135,0)),"")</f>
        <v/>
      </c>
      <c r="C232" s="299" t="str">
        <f>IFERROR(INDEX('G-1 All Habitats'!$AG$3:$AG$17,MATCH(D232,'G-1 All Habitats'!$AF$3:$AF$17,0)),"")</f>
        <v/>
      </c>
      <c r="D232" s="54"/>
      <c r="E232" s="61"/>
      <c r="F232" s="296" t="str">
        <f>IFERROR(INDEX('G-1 All Habitats'!$B$3:$B$134,MATCH(E232,'G-1 All Habitats'!$A$3:$A$134,0)),"")</f>
        <v/>
      </c>
      <c r="G232" s="53"/>
      <c r="H232" s="362" t="str">
        <f>IF(F232="","",VLOOKUP(F232,'G-1 All Habitats'!$B$2:$M$134,10,FALSE))</f>
        <v/>
      </c>
      <c r="I232" s="363" t="str">
        <f>IFERROR(VLOOKUP(H232,'G-1 All Habitats'!$V$3:$W$7,2,FALSE),"")</f>
        <v/>
      </c>
      <c r="J232" s="54"/>
      <c r="K232" s="363" t="str">
        <f>IFERROR(INDEX('G-8 Condition Look up'!$A$3:$H$135,MATCH(F232,'G-8 Condition Look up'!$A$3:$A$135,0),MATCH(J232,'G-8 Condition Look up'!$A$3:$H$3,0)),"")</f>
        <v/>
      </c>
      <c r="L232" s="54"/>
      <c r="M232" s="370" t="str">
        <f>IF(L232="","",IF(VLOOKUP(L232,'G-3 Multipliers'!$L$3:$N$6,2,FALSE)=0,"Spatial Data Missing",VLOOKUP(L232,'G-3 Multipliers'!$L$3:$N$6,2,FALSE)))</f>
        <v/>
      </c>
      <c r="N232" s="368" t="str">
        <f>IF(L232="","",IF(VLOOKUP(L232,'G-3 Multipliers'!$L$3:$N$6,3,FALSE)=0,"Spatial Data Missing",VLOOKUP(L232,'G-3 Multipliers'!$L$3:$N$6,3,FALSE)))</f>
        <v/>
      </c>
      <c r="O232" s="362" t="str">
        <f t="shared" si="18"/>
        <v/>
      </c>
      <c r="P232" s="63"/>
      <c r="Q232" s="63"/>
      <c r="R232" s="370" t="str">
        <f t="shared" si="20"/>
        <v/>
      </c>
      <c r="S232" s="383" t="str">
        <f t="shared" si="21"/>
        <v/>
      </c>
      <c r="T232" s="384" t="str">
        <f>IFERROR(IF(S232="Check Data ⚠","Check Data ⚠",VLOOKUP(S232,'G-4 Temporal multipliers'!$A$4:$C$37,3,FALSE)),"")</f>
        <v/>
      </c>
      <c r="U232" s="385" t="str">
        <f>IF(F232="","",VLOOKUP(F232,'G-3 Multipliers'!$A$2:$E$134,2,FALSE))</f>
        <v/>
      </c>
      <c r="V232" s="382" t="str">
        <f t="shared" si="23"/>
        <v/>
      </c>
      <c r="W232" s="382" t="str">
        <f>IF(E232="","",IF(AND(V232="Standard difficulty applied",O232&gt;P232),U232,IF(AND(V232="Low Difficulty - only applicable if all habitat created before losses",P232&gt;=O232),"Low",VLOOKUP(F232,'G-3 Multipliers'!$A$2:$E$134,4,FALSE))))</f>
        <v/>
      </c>
      <c r="X232" s="386" t="str">
        <f>IFERROR(IF(E232="","",VLOOKUP(W232, 'G-3 Multipliers'!$P$2:$Q$6,2,FALSE)),"")</f>
        <v/>
      </c>
      <c r="Y232" s="390" t="str">
        <f t="shared" si="22"/>
        <v/>
      </c>
      <c r="Z232" s="194"/>
      <c r="AA232" s="195"/>
      <c r="AB232" s="120"/>
      <c r="AE232" s="40" t="str">
        <f t="shared" si="19"/>
        <v/>
      </c>
    </row>
    <row r="233" spans="1:31">
      <c r="A233" s="35" t="str">
        <f>IFERROR(INDEX('G-8 Condition Look up'!$I$4:$I$135,MATCH(F233,'G-8 Condition Look up'!$A$4:$A$135,0)),"")</f>
        <v/>
      </c>
      <c r="C233" s="299" t="str">
        <f>IFERROR(INDEX('G-1 All Habitats'!$AG$3:$AG$17,MATCH(D233,'G-1 All Habitats'!$AF$3:$AF$17,0)),"")</f>
        <v/>
      </c>
      <c r="D233" s="54"/>
      <c r="E233" s="61"/>
      <c r="F233" s="296" t="str">
        <f>IFERROR(INDEX('G-1 All Habitats'!$B$3:$B$134,MATCH(E233,'G-1 All Habitats'!$A$3:$A$134,0)),"")</f>
        <v/>
      </c>
      <c r="G233" s="53"/>
      <c r="H233" s="362" t="str">
        <f>IF(F233="","",VLOOKUP(F233,'G-1 All Habitats'!$B$2:$M$134,10,FALSE))</f>
        <v/>
      </c>
      <c r="I233" s="363" t="str">
        <f>IFERROR(VLOOKUP(H233,'G-1 All Habitats'!$V$3:$W$7,2,FALSE),"")</f>
        <v/>
      </c>
      <c r="J233" s="54"/>
      <c r="K233" s="363" t="str">
        <f>IFERROR(INDEX('G-8 Condition Look up'!$A$3:$H$135,MATCH(F233,'G-8 Condition Look up'!$A$3:$A$135,0),MATCH(J233,'G-8 Condition Look up'!$A$3:$H$3,0)),"")</f>
        <v/>
      </c>
      <c r="L233" s="54"/>
      <c r="M233" s="370" t="str">
        <f>IF(L233="","",IF(VLOOKUP(L233,'G-3 Multipliers'!$L$3:$N$6,2,FALSE)=0,"Spatial Data Missing",VLOOKUP(L233,'G-3 Multipliers'!$L$3:$N$6,2,FALSE)))</f>
        <v/>
      </c>
      <c r="N233" s="368" t="str">
        <f>IF(L233="","",IF(VLOOKUP(L233,'G-3 Multipliers'!$L$3:$N$6,3,FALSE)=0,"Spatial Data Missing",VLOOKUP(L233,'G-3 Multipliers'!$L$3:$N$6,3,FALSE)))</f>
        <v/>
      </c>
      <c r="O233" s="362" t="str">
        <f t="shared" si="18"/>
        <v/>
      </c>
      <c r="P233" s="63"/>
      <c r="Q233" s="63"/>
      <c r="R233" s="370" t="str">
        <f t="shared" si="20"/>
        <v/>
      </c>
      <c r="S233" s="383" t="str">
        <f t="shared" si="21"/>
        <v/>
      </c>
      <c r="T233" s="384" t="str">
        <f>IFERROR(IF(S233="Check Data ⚠","Check Data ⚠",VLOOKUP(S233,'G-4 Temporal multipliers'!$A$4:$C$37,3,FALSE)),"")</f>
        <v/>
      </c>
      <c r="U233" s="385" t="str">
        <f>IF(F233="","",VLOOKUP(F233,'G-3 Multipliers'!$A$2:$E$134,2,FALSE))</f>
        <v/>
      </c>
      <c r="V233" s="382" t="str">
        <f t="shared" si="23"/>
        <v/>
      </c>
      <c r="W233" s="382" t="str">
        <f>IF(E233="","",IF(AND(V233="Standard difficulty applied",O233&gt;P233),U233,IF(AND(V233="Low Difficulty - only applicable if all habitat created before losses",P233&gt;=O233),"Low",VLOOKUP(F233,'G-3 Multipliers'!$A$2:$E$134,4,FALSE))))</f>
        <v/>
      </c>
      <c r="X233" s="386" t="str">
        <f>IFERROR(IF(E233="","",VLOOKUP(W233, 'G-3 Multipliers'!$P$2:$Q$6,2,FALSE)),"")</f>
        <v/>
      </c>
      <c r="Y233" s="390" t="str">
        <f t="shared" si="22"/>
        <v/>
      </c>
      <c r="Z233" s="194"/>
      <c r="AA233" s="195"/>
      <c r="AB233" s="120"/>
      <c r="AE233" s="40" t="str">
        <f t="shared" si="19"/>
        <v/>
      </c>
    </row>
    <row r="234" spans="1:31">
      <c r="A234" s="35" t="str">
        <f>IFERROR(INDEX('G-8 Condition Look up'!$I$4:$I$135,MATCH(F234,'G-8 Condition Look up'!$A$4:$A$135,0)),"")</f>
        <v/>
      </c>
      <c r="C234" s="299" t="str">
        <f>IFERROR(INDEX('G-1 All Habitats'!$AG$3:$AG$17,MATCH(D234,'G-1 All Habitats'!$AF$3:$AF$17,0)),"")</f>
        <v/>
      </c>
      <c r="D234" s="54"/>
      <c r="E234" s="61"/>
      <c r="F234" s="296" t="str">
        <f>IFERROR(INDEX('G-1 All Habitats'!$B$3:$B$134,MATCH(E234,'G-1 All Habitats'!$A$3:$A$134,0)),"")</f>
        <v/>
      </c>
      <c r="G234" s="53"/>
      <c r="H234" s="362" t="str">
        <f>IF(F234="","",VLOOKUP(F234,'G-1 All Habitats'!$B$2:$M$134,10,FALSE))</f>
        <v/>
      </c>
      <c r="I234" s="363" t="str">
        <f>IFERROR(VLOOKUP(H234,'G-1 All Habitats'!$V$3:$W$7,2,FALSE),"")</f>
        <v/>
      </c>
      <c r="J234" s="54"/>
      <c r="K234" s="363" t="str">
        <f>IFERROR(INDEX('G-8 Condition Look up'!$A$3:$H$135,MATCH(F234,'G-8 Condition Look up'!$A$3:$A$135,0),MATCH(J234,'G-8 Condition Look up'!$A$3:$H$3,0)),"")</f>
        <v/>
      </c>
      <c r="L234" s="54"/>
      <c r="M234" s="370" t="str">
        <f>IF(L234="","",IF(VLOOKUP(L234,'G-3 Multipliers'!$L$3:$N$6,2,FALSE)=0,"Spatial Data Missing",VLOOKUP(L234,'G-3 Multipliers'!$L$3:$N$6,2,FALSE)))</f>
        <v/>
      </c>
      <c r="N234" s="368" t="str">
        <f>IF(L234="","",IF(VLOOKUP(L234,'G-3 Multipliers'!$L$3:$N$6,3,FALSE)=0,"Spatial Data Missing",VLOOKUP(L234,'G-3 Multipliers'!$L$3:$N$6,3,FALSE)))</f>
        <v/>
      </c>
      <c r="O234" s="362" t="str">
        <f t="shared" si="18"/>
        <v/>
      </c>
      <c r="P234" s="63"/>
      <c r="Q234" s="63"/>
      <c r="R234" s="370" t="str">
        <f t="shared" si="20"/>
        <v/>
      </c>
      <c r="S234" s="383" t="str">
        <f t="shared" si="21"/>
        <v/>
      </c>
      <c r="T234" s="384" t="str">
        <f>IFERROR(IF(S234="Check Data ⚠","Check Data ⚠",VLOOKUP(S234,'G-4 Temporal multipliers'!$A$4:$C$37,3,FALSE)),"")</f>
        <v/>
      </c>
      <c r="U234" s="385" t="str">
        <f>IF(F234="","",VLOOKUP(F234,'G-3 Multipliers'!$A$2:$E$134,2,FALSE))</f>
        <v/>
      </c>
      <c r="V234" s="382" t="str">
        <f t="shared" si="23"/>
        <v/>
      </c>
      <c r="W234" s="382" t="str">
        <f>IF(E234="","",IF(AND(V234="Standard difficulty applied",O234&gt;P234),U234,IF(AND(V234="Low Difficulty - only applicable if all habitat created before losses",P234&gt;=O234),"Low",VLOOKUP(F234,'G-3 Multipliers'!$A$2:$E$134,4,FALSE))))</f>
        <v/>
      </c>
      <c r="X234" s="386" t="str">
        <f>IFERROR(IF(E234="","",VLOOKUP(W234, 'G-3 Multipliers'!$P$2:$Q$6,2,FALSE)),"")</f>
        <v/>
      </c>
      <c r="Y234" s="390" t="str">
        <f t="shared" si="22"/>
        <v/>
      </c>
      <c r="Z234" s="194"/>
      <c r="AA234" s="195"/>
      <c r="AB234" s="120"/>
      <c r="AE234" s="40" t="str">
        <f t="shared" si="19"/>
        <v/>
      </c>
    </row>
    <row r="235" spans="1:31">
      <c r="A235" s="35" t="str">
        <f>IFERROR(INDEX('G-8 Condition Look up'!$I$4:$I$135,MATCH(F235,'G-8 Condition Look up'!$A$4:$A$135,0)),"")</f>
        <v/>
      </c>
      <c r="C235" s="299" t="str">
        <f>IFERROR(INDEX('G-1 All Habitats'!$AG$3:$AG$17,MATCH(D235,'G-1 All Habitats'!$AF$3:$AF$17,0)),"")</f>
        <v/>
      </c>
      <c r="D235" s="54"/>
      <c r="E235" s="61"/>
      <c r="F235" s="296" t="str">
        <f>IFERROR(INDEX('G-1 All Habitats'!$B$3:$B$134,MATCH(E235,'G-1 All Habitats'!$A$3:$A$134,0)),"")</f>
        <v/>
      </c>
      <c r="G235" s="53"/>
      <c r="H235" s="362" t="str">
        <f>IF(F235="","",VLOOKUP(F235,'G-1 All Habitats'!$B$2:$M$134,10,FALSE))</f>
        <v/>
      </c>
      <c r="I235" s="363" t="str">
        <f>IFERROR(VLOOKUP(H235,'G-1 All Habitats'!$V$3:$W$7,2,FALSE),"")</f>
        <v/>
      </c>
      <c r="J235" s="54"/>
      <c r="K235" s="363" t="str">
        <f>IFERROR(INDEX('G-8 Condition Look up'!$A$3:$H$135,MATCH(F235,'G-8 Condition Look up'!$A$3:$A$135,0),MATCH(J235,'G-8 Condition Look up'!$A$3:$H$3,0)),"")</f>
        <v/>
      </c>
      <c r="L235" s="54"/>
      <c r="M235" s="370" t="str">
        <f>IF(L235="","",IF(VLOOKUP(L235,'G-3 Multipliers'!$L$3:$N$6,2,FALSE)=0,"Spatial Data Missing",VLOOKUP(L235,'G-3 Multipliers'!$L$3:$N$6,2,FALSE)))</f>
        <v/>
      </c>
      <c r="N235" s="368" t="str">
        <f>IF(L235="","",IF(VLOOKUP(L235,'G-3 Multipliers'!$L$3:$N$6,3,FALSE)=0,"Spatial Data Missing",VLOOKUP(L235,'G-3 Multipliers'!$L$3:$N$6,3,FALSE)))</f>
        <v/>
      </c>
      <c r="O235" s="362" t="str">
        <f t="shared" si="18"/>
        <v/>
      </c>
      <c r="P235" s="63"/>
      <c r="Q235" s="63"/>
      <c r="R235" s="370" t="str">
        <f t="shared" si="20"/>
        <v/>
      </c>
      <c r="S235" s="383" t="str">
        <f t="shared" si="21"/>
        <v/>
      </c>
      <c r="T235" s="384" t="str">
        <f>IFERROR(IF(S235="Check Data ⚠","Check Data ⚠",VLOOKUP(S235,'G-4 Temporal multipliers'!$A$4:$C$37,3,FALSE)),"")</f>
        <v/>
      </c>
      <c r="U235" s="385" t="str">
        <f>IF(F235="","",VLOOKUP(F235,'G-3 Multipliers'!$A$2:$E$134,2,FALSE))</f>
        <v/>
      </c>
      <c r="V235" s="382" t="str">
        <f t="shared" si="23"/>
        <v/>
      </c>
      <c r="W235" s="382" t="str">
        <f>IF(E235="","",IF(AND(V235="Standard difficulty applied",O235&gt;P235),U235,IF(AND(V235="Low Difficulty - only applicable if all habitat created before losses",P235&gt;=O235),"Low",VLOOKUP(F235,'G-3 Multipliers'!$A$2:$E$134,4,FALSE))))</f>
        <v/>
      </c>
      <c r="X235" s="386" t="str">
        <f>IFERROR(IF(E235="","",VLOOKUP(W235, 'G-3 Multipliers'!$P$2:$Q$6,2,FALSE)),"")</f>
        <v/>
      </c>
      <c r="Y235" s="390" t="str">
        <f t="shared" si="22"/>
        <v/>
      </c>
      <c r="Z235" s="194"/>
      <c r="AA235" s="195"/>
      <c r="AB235" s="120"/>
      <c r="AE235" s="40" t="str">
        <f t="shared" si="19"/>
        <v/>
      </c>
    </row>
    <row r="236" spans="1:31">
      <c r="A236" s="35" t="str">
        <f>IFERROR(INDEX('G-8 Condition Look up'!$I$4:$I$135,MATCH(F236,'G-8 Condition Look up'!$A$4:$A$135,0)),"")</f>
        <v/>
      </c>
      <c r="C236" s="299" t="str">
        <f>IFERROR(INDEX('G-1 All Habitats'!$AG$3:$AG$17,MATCH(D236,'G-1 All Habitats'!$AF$3:$AF$17,0)),"")</f>
        <v/>
      </c>
      <c r="D236" s="54"/>
      <c r="E236" s="61"/>
      <c r="F236" s="296" t="str">
        <f>IFERROR(INDEX('G-1 All Habitats'!$B$3:$B$134,MATCH(E236,'G-1 All Habitats'!$A$3:$A$134,0)),"")</f>
        <v/>
      </c>
      <c r="G236" s="53"/>
      <c r="H236" s="362" t="str">
        <f>IF(F236="","",VLOOKUP(F236,'G-1 All Habitats'!$B$2:$M$134,10,FALSE))</f>
        <v/>
      </c>
      <c r="I236" s="363" t="str">
        <f>IFERROR(VLOOKUP(H236,'G-1 All Habitats'!$V$3:$W$7,2,FALSE),"")</f>
        <v/>
      </c>
      <c r="J236" s="54"/>
      <c r="K236" s="363" t="str">
        <f>IFERROR(INDEX('G-8 Condition Look up'!$A$3:$H$135,MATCH(F236,'G-8 Condition Look up'!$A$3:$A$135,0),MATCH(J236,'G-8 Condition Look up'!$A$3:$H$3,0)),"")</f>
        <v/>
      </c>
      <c r="L236" s="54"/>
      <c r="M236" s="370" t="str">
        <f>IF(L236="","",IF(VLOOKUP(L236,'G-3 Multipliers'!$L$3:$N$6,2,FALSE)=0,"Spatial Data Missing",VLOOKUP(L236,'G-3 Multipliers'!$L$3:$N$6,2,FALSE)))</f>
        <v/>
      </c>
      <c r="N236" s="368" t="str">
        <f>IF(L236="","",IF(VLOOKUP(L236,'G-3 Multipliers'!$L$3:$N$6,3,FALSE)=0,"Spatial Data Missing",VLOOKUP(L236,'G-3 Multipliers'!$L$3:$N$6,3,FALSE)))</f>
        <v/>
      </c>
      <c r="O236" s="362" t="str">
        <f t="shared" si="18"/>
        <v/>
      </c>
      <c r="P236" s="63"/>
      <c r="Q236" s="63"/>
      <c r="R236" s="370" t="str">
        <f t="shared" si="20"/>
        <v/>
      </c>
      <c r="S236" s="383" t="str">
        <f t="shared" si="21"/>
        <v/>
      </c>
      <c r="T236" s="384" t="str">
        <f>IFERROR(IF(S236="Check Data ⚠","Check Data ⚠",VLOOKUP(S236,'G-4 Temporal multipliers'!$A$4:$C$37,3,FALSE)),"")</f>
        <v/>
      </c>
      <c r="U236" s="385" t="str">
        <f>IF(F236="","",VLOOKUP(F236,'G-3 Multipliers'!$A$2:$E$134,2,FALSE))</f>
        <v/>
      </c>
      <c r="V236" s="382" t="str">
        <f t="shared" si="23"/>
        <v/>
      </c>
      <c r="W236" s="382" t="str">
        <f>IF(E236="","",IF(AND(V236="Standard difficulty applied",O236&gt;P236),U236,IF(AND(V236="Low Difficulty - only applicable if all habitat created before losses",P236&gt;=O236),"Low",VLOOKUP(F236,'G-3 Multipliers'!$A$2:$E$134,4,FALSE))))</f>
        <v/>
      </c>
      <c r="X236" s="386" t="str">
        <f>IFERROR(IF(E236="","",VLOOKUP(W236, 'G-3 Multipliers'!$P$2:$Q$6,2,FALSE)),"")</f>
        <v/>
      </c>
      <c r="Y236" s="390" t="str">
        <f t="shared" si="22"/>
        <v/>
      </c>
      <c r="Z236" s="194"/>
      <c r="AA236" s="195"/>
      <c r="AB236" s="120"/>
      <c r="AE236" s="40" t="str">
        <f t="shared" si="19"/>
        <v/>
      </c>
    </row>
    <row r="237" spans="1:31">
      <c r="A237" s="35" t="str">
        <f>IFERROR(INDEX('G-8 Condition Look up'!$I$4:$I$135,MATCH(F237,'G-8 Condition Look up'!$A$4:$A$135,0)),"")</f>
        <v/>
      </c>
      <c r="C237" s="299" t="str">
        <f>IFERROR(INDEX('G-1 All Habitats'!$AG$3:$AG$17,MATCH(D237,'G-1 All Habitats'!$AF$3:$AF$17,0)),"")</f>
        <v/>
      </c>
      <c r="D237" s="54"/>
      <c r="E237" s="61"/>
      <c r="F237" s="296" t="str">
        <f>IFERROR(INDEX('G-1 All Habitats'!$B$3:$B$134,MATCH(E237,'G-1 All Habitats'!$A$3:$A$134,0)),"")</f>
        <v/>
      </c>
      <c r="G237" s="53"/>
      <c r="H237" s="362" t="str">
        <f>IF(F237="","",VLOOKUP(F237,'G-1 All Habitats'!$B$2:$M$134,10,FALSE))</f>
        <v/>
      </c>
      <c r="I237" s="363" t="str">
        <f>IFERROR(VLOOKUP(H237,'G-1 All Habitats'!$V$3:$W$7,2,FALSE),"")</f>
        <v/>
      </c>
      <c r="J237" s="54"/>
      <c r="K237" s="363" t="str">
        <f>IFERROR(INDEX('G-8 Condition Look up'!$A$3:$H$135,MATCH(F237,'G-8 Condition Look up'!$A$3:$A$135,0),MATCH(J237,'G-8 Condition Look up'!$A$3:$H$3,0)),"")</f>
        <v/>
      </c>
      <c r="L237" s="54"/>
      <c r="M237" s="370" t="str">
        <f>IF(L237="","",IF(VLOOKUP(L237,'G-3 Multipliers'!$L$3:$N$6,2,FALSE)=0,"Spatial Data Missing",VLOOKUP(L237,'G-3 Multipliers'!$L$3:$N$6,2,FALSE)))</f>
        <v/>
      </c>
      <c r="N237" s="368" t="str">
        <f>IF(L237="","",IF(VLOOKUP(L237,'G-3 Multipliers'!$L$3:$N$6,3,FALSE)=0,"Spatial Data Missing",VLOOKUP(L237,'G-3 Multipliers'!$L$3:$N$6,3,FALSE)))</f>
        <v/>
      </c>
      <c r="O237" s="362" t="str">
        <f t="shared" si="18"/>
        <v/>
      </c>
      <c r="P237" s="63"/>
      <c r="Q237" s="63"/>
      <c r="R237" s="370" t="str">
        <f t="shared" si="20"/>
        <v/>
      </c>
      <c r="S237" s="383" t="str">
        <f t="shared" si="21"/>
        <v/>
      </c>
      <c r="T237" s="384" t="str">
        <f>IFERROR(IF(S237="Check Data ⚠","Check Data ⚠",VLOOKUP(S237,'G-4 Temporal multipliers'!$A$4:$C$37,3,FALSE)),"")</f>
        <v/>
      </c>
      <c r="U237" s="385" t="str">
        <f>IF(F237="","",VLOOKUP(F237,'G-3 Multipliers'!$A$2:$E$134,2,FALSE))</f>
        <v/>
      </c>
      <c r="V237" s="382" t="str">
        <f t="shared" si="23"/>
        <v/>
      </c>
      <c r="W237" s="382" t="str">
        <f>IF(E237="","",IF(AND(V237="Standard difficulty applied",O237&gt;P237),U237,IF(AND(V237="Low Difficulty - only applicable if all habitat created before losses",P237&gt;=O237),"Low",VLOOKUP(F237,'G-3 Multipliers'!$A$2:$E$134,4,FALSE))))</f>
        <v/>
      </c>
      <c r="X237" s="386" t="str">
        <f>IFERROR(IF(E237="","",VLOOKUP(W237, 'G-3 Multipliers'!$P$2:$Q$6,2,FALSE)),"")</f>
        <v/>
      </c>
      <c r="Y237" s="390" t="str">
        <f t="shared" si="22"/>
        <v/>
      </c>
      <c r="Z237" s="194"/>
      <c r="AA237" s="195"/>
      <c r="AB237" s="120"/>
      <c r="AE237" s="40" t="str">
        <f t="shared" si="19"/>
        <v/>
      </c>
    </row>
    <row r="238" spans="1:31">
      <c r="A238" s="35" t="str">
        <f>IFERROR(INDEX('G-8 Condition Look up'!$I$4:$I$135,MATCH(F238,'G-8 Condition Look up'!$A$4:$A$135,0)),"")</f>
        <v/>
      </c>
      <c r="C238" s="299" t="str">
        <f>IFERROR(INDEX('G-1 All Habitats'!$AG$3:$AG$17,MATCH(D238,'G-1 All Habitats'!$AF$3:$AF$17,0)),"")</f>
        <v/>
      </c>
      <c r="D238" s="54"/>
      <c r="E238" s="61"/>
      <c r="F238" s="296" t="str">
        <f>IFERROR(INDEX('G-1 All Habitats'!$B$3:$B$134,MATCH(E238,'G-1 All Habitats'!$A$3:$A$134,0)),"")</f>
        <v/>
      </c>
      <c r="G238" s="53"/>
      <c r="H238" s="362" t="str">
        <f>IF(F238="","",VLOOKUP(F238,'G-1 All Habitats'!$B$2:$M$134,10,FALSE))</f>
        <v/>
      </c>
      <c r="I238" s="363" t="str">
        <f>IFERROR(VLOOKUP(H238,'G-1 All Habitats'!$V$3:$W$7,2,FALSE),"")</f>
        <v/>
      </c>
      <c r="J238" s="54"/>
      <c r="K238" s="363" t="str">
        <f>IFERROR(INDEX('G-8 Condition Look up'!$A$3:$H$135,MATCH(F238,'G-8 Condition Look up'!$A$3:$A$135,0),MATCH(J238,'G-8 Condition Look up'!$A$3:$H$3,0)),"")</f>
        <v/>
      </c>
      <c r="L238" s="54"/>
      <c r="M238" s="370" t="str">
        <f>IF(L238="","",IF(VLOOKUP(L238,'G-3 Multipliers'!$L$3:$N$6,2,FALSE)=0,"Spatial Data Missing",VLOOKUP(L238,'G-3 Multipliers'!$L$3:$N$6,2,FALSE)))</f>
        <v/>
      </c>
      <c r="N238" s="368" t="str">
        <f>IF(L238="","",IF(VLOOKUP(L238,'G-3 Multipliers'!$L$3:$N$6,3,FALSE)=0,"Spatial Data Missing",VLOOKUP(L238,'G-3 Multipliers'!$L$3:$N$6,3,FALSE)))</f>
        <v/>
      </c>
      <c r="O238" s="362" t="str">
        <f t="shared" si="18"/>
        <v/>
      </c>
      <c r="P238" s="63"/>
      <c r="Q238" s="63"/>
      <c r="R238" s="370" t="str">
        <f t="shared" si="20"/>
        <v/>
      </c>
      <c r="S238" s="383" t="str">
        <f t="shared" si="21"/>
        <v/>
      </c>
      <c r="T238" s="384" t="str">
        <f>IFERROR(IF(S238="Check Data ⚠","Check Data ⚠",VLOOKUP(S238,'G-4 Temporal multipliers'!$A$4:$C$37,3,FALSE)),"")</f>
        <v/>
      </c>
      <c r="U238" s="385" t="str">
        <f>IF(F238="","",VLOOKUP(F238,'G-3 Multipliers'!$A$2:$E$134,2,FALSE))</f>
        <v/>
      </c>
      <c r="V238" s="382" t="str">
        <f t="shared" si="23"/>
        <v/>
      </c>
      <c r="W238" s="382" t="str">
        <f>IF(E238="","",IF(AND(V238="Standard difficulty applied",O238&gt;P238),U238,IF(AND(V238="Low Difficulty - only applicable if all habitat created before losses",P238&gt;=O238),"Low",VLOOKUP(F238,'G-3 Multipliers'!$A$2:$E$134,4,FALSE))))</f>
        <v/>
      </c>
      <c r="X238" s="386" t="str">
        <f>IFERROR(IF(E238="","",VLOOKUP(W238, 'G-3 Multipliers'!$P$2:$Q$6,2,FALSE)),"")</f>
        <v/>
      </c>
      <c r="Y238" s="390" t="str">
        <f t="shared" si="22"/>
        <v/>
      </c>
      <c r="Z238" s="194"/>
      <c r="AA238" s="195"/>
      <c r="AB238" s="120"/>
      <c r="AE238" s="40" t="str">
        <f t="shared" si="19"/>
        <v/>
      </c>
    </row>
    <row r="239" spans="1:31">
      <c r="A239" s="35" t="str">
        <f>IFERROR(INDEX('G-8 Condition Look up'!$I$4:$I$135,MATCH(F239,'G-8 Condition Look up'!$A$4:$A$135,0)),"")</f>
        <v/>
      </c>
      <c r="C239" s="299" t="str">
        <f>IFERROR(INDEX('G-1 All Habitats'!$AG$3:$AG$17,MATCH(D239,'G-1 All Habitats'!$AF$3:$AF$17,0)),"")</f>
        <v/>
      </c>
      <c r="D239" s="54"/>
      <c r="E239" s="61"/>
      <c r="F239" s="296" t="str">
        <f>IFERROR(INDEX('G-1 All Habitats'!$B$3:$B$134,MATCH(E239,'G-1 All Habitats'!$A$3:$A$134,0)),"")</f>
        <v/>
      </c>
      <c r="G239" s="53"/>
      <c r="H239" s="362" t="str">
        <f>IF(F239="","",VLOOKUP(F239,'G-1 All Habitats'!$B$2:$M$134,10,FALSE))</f>
        <v/>
      </c>
      <c r="I239" s="363" t="str">
        <f>IFERROR(VLOOKUP(H239,'G-1 All Habitats'!$V$3:$W$7,2,FALSE),"")</f>
        <v/>
      </c>
      <c r="J239" s="54"/>
      <c r="K239" s="363" t="str">
        <f>IFERROR(INDEX('G-8 Condition Look up'!$A$3:$H$135,MATCH(F239,'G-8 Condition Look up'!$A$3:$A$135,0),MATCH(J239,'G-8 Condition Look up'!$A$3:$H$3,0)),"")</f>
        <v/>
      </c>
      <c r="L239" s="54"/>
      <c r="M239" s="370" t="str">
        <f>IF(L239="","",IF(VLOOKUP(L239,'G-3 Multipliers'!$L$3:$N$6,2,FALSE)=0,"Spatial Data Missing",VLOOKUP(L239,'G-3 Multipliers'!$L$3:$N$6,2,FALSE)))</f>
        <v/>
      </c>
      <c r="N239" s="368" t="str">
        <f>IF(L239="","",IF(VLOOKUP(L239,'G-3 Multipliers'!$L$3:$N$6,3,FALSE)=0,"Spatial Data Missing",VLOOKUP(L239,'G-3 Multipliers'!$L$3:$N$6,3,FALSE)))</f>
        <v/>
      </c>
      <c r="O239" s="362" t="str">
        <f t="shared" si="18"/>
        <v/>
      </c>
      <c r="P239" s="63"/>
      <c r="Q239" s="63"/>
      <c r="R239" s="370" t="str">
        <f t="shared" si="20"/>
        <v/>
      </c>
      <c r="S239" s="383" t="str">
        <f t="shared" si="21"/>
        <v/>
      </c>
      <c r="T239" s="384" t="str">
        <f>IFERROR(IF(S239="Check Data ⚠","Check Data ⚠",VLOOKUP(S239,'G-4 Temporal multipliers'!$A$4:$C$37,3,FALSE)),"")</f>
        <v/>
      </c>
      <c r="U239" s="385" t="str">
        <f>IF(F239="","",VLOOKUP(F239,'G-3 Multipliers'!$A$2:$E$134,2,FALSE))</f>
        <v/>
      </c>
      <c r="V239" s="382" t="str">
        <f t="shared" si="23"/>
        <v/>
      </c>
      <c r="W239" s="382" t="str">
        <f>IF(E239="","",IF(AND(V239="Standard difficulty applied",O239&gt;P239),U239,IF(AND(V239="Low Difficulty - only applicable if all habitat created before losses",P239&gt;=O239),"Low",VLOOKUP(F239,'G-3 Multipliers'!$A$2:$E$134,4,FALSE))))</f>
        <v/>
      </c>
      <c r="X239" s="386" t="str">
        <f>IFERROR(IF(E239="","",VLOOKUP(W239, 'G-3 Multipliers'!$P$2:$Q$6,2,FALSE)),"")</f>
        <v/>
      </c>
      <c r="Y239" s="390" t="str">
        <f t="shared" si="22"/>
        <v/>
      </c>
      <c r="Z239" s="194"/>
      <c r="AA239" s="195"/>
      <c r="AB239" s="120"/>
      <c r="AE239" s="40" t="str">
        <f t="shared" si="19"/>
        <v/>
      </c>
    </row>
    <row r="240" spans="1:31">
      <c r="A240" s="35" t="str">
        <f>IFERROR(INDEX('G-8 Condition Look up'!$I$4:$I$135,MATCH(F240,'G-8 Condition Look up'!$A$4:$A$135,0)),"")</f>
        <v/>
      </c>
      <c r="C240" s="299" t="str">
        <f>IFERROR(INDEX('G-1 All Habitats'!$AG$3:$AG$17,MATCH(D240,'G-1 All Habitats'!$AF$3:$AF$17,0)),"")</f>
        <v/>
      </c>
      <c r="D240" s="54"/>
      <c r="E240" s="61"/>
      <c r="F240" s="296" t="str">
        <f>IFERROR(INDEX('G-1 All Habitats'!$B$3:$B$134,MATCH(E240,'G-1 All Habitats'!$A$3:$A$134,0)),"")</f>
        <v/>
      </c>
      <c r="G240" s="53"/>
      <c r="H240" s="362" t="str">
        <f>IF(F240="","",VLOOKUP(F240,'G-1 All Habitats'!$B$2:$M$134,10,FALSE))</f>
        <v/>
      </c>
      <c r="I240" s="363" t="str">
        <f>IFERROR(VLOOKUP(H240,'G-1 All Habitats'!$V$3:$W$7,2,FALSE),"")</f>
        <v/>
      </c>
      <c r="J240" s="54"/>
      <c r="K240" s="363" t="str">
        <f>IFERROR(INDEX('G-8 Condition Look up'!$A$3:$H$135,MATCH(F240,'G-8 Condition Look up'!$A$3:$A$135,0),MATCH(J240,'G-8 Condition Look up'!$A$3:$H$3,0)),"")</f>
        <v/>
      </c>
      <c r="L240" s="54"/>
      <c r="M240" s="370" t="str">
        <f>IF(L240="","",IF(VLOOKUP(L240,'G-3 Multipliers'!$L$3:$N$6,2,FALSE)=0,"Spatial Data Missing",VLOOKUP(L240,'G-3 Multipliers'!$L$3:$N$6,2,FALSE)))</f>
        <v/>
      </c>
      <c r="N240" s="368" t="str">
        <f>IF(L240="","",IF(VLOOKUP(L240,'G-3 Multipliers'!$L$3:$N$6,3,FALSE)=0,"Spatial Data Missing",VLOOKUP(L240,'G-3 Multipliers'!$L$3:$N$6,3,FALSE)))</f>
        <v/>
      </c>
      <c r="O240" s="362" t="str">
        <f t="shared" si="18"/>
        <v/>
      </c>
      <c r="P240" s="63"/>
      <c r="Q240" s="63"/>
      <c r="R240" s="370" t="str">
        <f t="shared" si="20"/>
        <v/>
      </c>
      <c r="S240" s="383" t="str">
        <f t="shared" si="21"/>
        <v/>
      </c>
      <c r="T240" s="384" t="str">
        <f>IFERROR(IF(S240="Check Data ⚠","Check Data ⚠",VLOOKUP(S240,'G-4 Temporal multipliers'!$A$4:$C$37,3,FALSE)),"")</f>
        <v/>
      </c>
      <c r="U240" s="385" t="str">
        <f>IF(F240="","",VLOOKUP(F240,'G-3 Multipliers'!$A$2:$E$134,2,FALSE))</f>
        <v/>
      </c>
      <c r="V240" s="382" t="str">
        <f t="shared" si="23"/>
        <v/>
      </c>
      <c r="W240" s="382" t="str">
        <f>IF(E240="","",IF(AND(V240="Standard difficulty applied",O240&gt;P240),U240,IF(AND(V240="Low Difficulty - only applicable if all habitat created before losses",P240&gt;=O240),"Low",VLOOKUP(F240,'G-3 Multipliers'!$A$2:$E$134,4,FALSE))))</f>
        <v/>
      </c>
      <c r="X240" s="386" t="str">
        <f>IFERROR(IF(E240="","",VLOOKUP(W240, 'G-3 Multipliers'!$P$2:$Q$6,2,FALSE)),"")</f>
        <v/>
      </c>
      <c r="Y240" s="390" t="str">
        <f t="shared" si="22"/>
        <v/>
      </c>
      <c r="Z240" s="194"/>
      <c r="AA240" s="195"/>
      <c r="AB240" s="120"/>
      <c r="AE240" s="40" t="str">
        <f t="shared" si="19"/>
        <v/>
      </c>
    </row>
    <row r="241" spans="1:31">
      <c r="A241" s="35" t="str">
        <f>IFERROR(INDEX('G-8 Condition Look up'!$I$4:$I$135,MATCH(F241,'G-8 Condition Look up'!$A$4:$A$135,0)),"")</f>
        <v/>
      </c>
      <c r="C241" s="299" t="str">
        <f>IFERROR(INDEX('G-1 All Habitats'!$AG$3:$AG$17,MATCH(D241,'G-1 All Habitats'!$AF$3:$AF$17,0)),"")</f>
        <v/>
      </c>
      <c r="D241" s="54"/>
      <c r="E241" s="61"/>
      <c r="F241" s="296" t="str">
        <f>IFERROR(INDEX('G-1 All Habitats'!$B$3:$B$134,MATCH(E241,'G-1 All Habitats'!$A$3:$A$134,0)),"")</f>
        <v/>
      </c>
      <c r="G241" s="53"/>
      <c r="H241" s="362" t="str">
        <f>IF(F241="","",VLOOKUP(F241,'G-1 All Habitats'!$B$2:$M$134,10,FALSE))</f>
        <v/>
      </c>
      <c r="I241" s="363" t="str">
        <f>IFERROR(VLOOKUP(H241,'G-1 All Habitats'!$V$3:$W$7,2,FALSE),"")</f>
        <v/>
      </c>
      <c r="J241" s="54"/>
      <c r="K241" s="363" t="str">
        <f>IFERROR(INDEX('G-8 Condition Look up'!$A$3:$H$135,MATCH(F241,'G-8 Condition Look up'!$A$3:$A$135,0),MATCH(J241,'G-8 Condition Look up'!$A$3:$H$3,0)),"")</f>
        <v/>
      </c>
      <c r="L241" s="54"/>
      <c r="M241" s="370" t="str">
        <f>IF(L241="","",IF(VLOOKUP(L241,'G-3 Multipliers'!$L$3:$N$6,2,FALSE)=0,"Spatial Data Missing",VLOOKUP(L241,'G-3 Multipliers'!$L$3:$N$6,2,FALSE)))</f>
        <v/>
      </c>
      <c r="N241" s="368" t="str">
        <f>IF(L241="","",IF(VLOOKUP(L241,'G-3 Multipliers'!$L$3:$N$6,3,FALSE)=0,"Spatial Data Missing",VLOOKUP(L241,'G-3 Multipliers'!$L$3:$N$6,3,FALSE)))</f>
        <v/>
      </c>
      <c r="O241" s="362" t="str">
        <f t="shared" si="18"/>
        <v/>
      </c>
      <c r="P241" s="63"/>
      <c r="Q241" s="63"/>
      <c r="R241" s="370" t="str">
        <f t="shared" si="20"/>
        <v/>
      </c>
      <c r="S241" s="383" t="str">
        <f t="shared" si="21"/>
        <v/>
      </c>
      <c r="T241" s="384" t="str">
        <f>IFERROR(IF(S241="Check Data ⚠","Check Data ⚠",VLOOKUP(S241,'G-4 Temporal multipliers'!$A$4:$C$37,3,FALSE)),"")</f>
        <v/>
      </c>
      <c r="U241" s="385" t="str">
        <f>IF(F241="","",VLOOKUP(F241,'G-3 Multipliers'!$A$2:$E$134,2,FALSE))</f>
        <v/>
      </c>
      <c r="V241" s="382" t="str">
        <f t="shared" si="23"/>
        <v/>
      </c>
      <c r="W241" s="382" t="str">
        <f>IF(E241="","",IF(AND(V241="Standard difficulty applied",O241&gt;P241),U241,IF(AND(V241="Low Difficulty - only applicable if all habitat created before losses",P241&gt;=O241),"Low",VLOOKUP(F241,'G-3 Multipliers'!$A$2:$E$134,4,FALSE))))</f>
        <v/>
      </c>
      <c r="X241" s="386" t="str">
        <f>IFERROR(IF(E241="","",VLOOKUP(W241, 'G-3 Multipliers'!$P$2:$Q$6,2,FALSE)),"")</f>
        <v/>
      </c>
      <c r="Y241" s="390" t="str">
        <f t="shared" si="22"/>
        <v/>
      </c>
      <c r="Z241" s="194"/>
      <c r="AA241" s="195"/>
      <c r="AB241" s="120"/>
      <c r="AE241" s="40" t="str">
        <f t="shared" si="19"/>
        <v/>
      </c>
    </row>
    <row r="242" spans="1:31">
      <c r="A242" s="35" t="str">
        <f>IFERROR(INDEX('G-8 Condition Look up'!$I$4:$I$135,MATCH(F242,'G-8 Condition Look up'!$A$4:$A$135,0)),"")</f>
        <v/>
      </c>
      <c r="C242" s="299" t="str">
        <f>IFERROR(INDEX('G-1 All Habitats'!$AG$3:$AG$17,MATCH(D242,'G-1 All Habitats'!$AF$3:$AF$17,0)),"")</f>
        <v/>
      </c>
      <c r="D242" s="54"/>
      <c r="E242" s="61"/>
      <c r="F242" s="296" t="str">
        <f>IFERROR(INDEX('G-1 All Habitats'!$B$3:$B$134,MATCH(E242,'G-1 All Habitats'!$A$3:$A$134,0)),"")</f>
        <v/>
      </c>
      <c r="G242" s="53"/>
      <c r="H242" s="362" t="str">
        <f>IF(F242="","",VLOOKUP(F242,'G-1 All Habitats'!$B$2:$M$134,10,FALSE))</f>
        <v/>
      </c>
      <c r="I242" s="363" t="str">
        <f>IFERROR(VLOOKUP(H242,'G-1 All Habitats'!$V$3:$W$7,2,FALSE),"")</f>
        <v/>
      </c>
      <c r="J242" s="54"/>
      <c r="K242" s="363" t="str">
        <f>IFERROR(INDEX('G-8 Condition Look up'!$A$3:$H$135,MATCH(F242,'G-8 Condition Look up'!$A$3:$A$135,0),MATCH(J242,'G-8 Condition Look up'!$A$3:$H$3,0)),"")</f>
        <v/>
      </c>
      <c r="L242" s="54"/>
      <c r="M242" s="370" t="str">
        <f>IF(L242="","",IF(VLOOKUP(L242,'G-3 Multipliers'!$L$3:$N$6,2,FALSE)=0,"Spatial Data Missing",VLOOKUP(L242,'G-3 Multipliers'!$L$3:$N$6,2,FALSE)))</f>
        <v/>
      </c>
      <c r="N242" s="368" t="str">
        <f>IF(L242="","",IF(VLOOKUP(L242,'G-3 Multipliers'!$L$3:$N$6,3,FALSE)=0,"Spatial Data Missing",VLOOKUP(L242,'G-3 Multipliers'!$L$3:$N$6,3,FALSE)))</f>
        <v/>
      </c>
      <c r="O242" s="362" t="str">
        <f t="shared" si="18"/>
        <v/>
      </c>
      <c r="P242" s="63"/>
      <c r="Q242" s="63"/>
      <c r="R242" s="370" t="str">
        <f t="shared" si="20"/>
        <v/>
      </c>
      <c r="S242" s="383" t="str">
        <f t="shared" si="21"/>
        <v/>
      </c>
      <c r="T242" s="384" t="str">
        <f>IFERROR(IF(S242="Check Data ⚠","Check Data ⚠",VLOOKUP(S242,'G-4 Temporal multipliers'!$A$4:$C$37,3,FALSE)),"")</f>
        <v/>
      </c>
      <c r="U242" s="385" t="str">
        <f>IF(F242="","",VLOOKUP(F242,'G-3 Multipliers'!$A$2:$E$134,2,FALSE))</f>
        <v/>
      </c>
      <c r="V242" s="382" t="str">
        <f t="shared" si="23"/>
        <v/>
      </c>
      <c r="W242" s="382" t="str">
        <f>IF(E242="","",IF(AND(V242="Standard difficulty applied",O242&gt;P242),U242,IF(AND(V242="Low Difficulty - only applicable if all habitat created before losses",P242&gt;=O242),"Low",VLOOKUP(F242,'G-3 Multipliers'!$A$2:$E$134,4,FALSE))))</f>
        <v/>
      </c>
      <c r="X242" s="386" t="str">
        <f>IFERROR(IF(E242="","",VLOOKUP(W242, 'G-3 Multipliers'!$P$2:$Q$6,2,FALSE)),"")</f>
        <v/>
      </c>
      <c r="Y242" s="390" t="str">
        <f t="shared" si="22"/>
        <v/>
      </c>
      <c r="Z242" s="194"/>
      <c r="AA242" s="195"/>
      <c r="AB242" s="120"/>
      <c r="AE242" s="40" t="str">
        <f t="shared" si="19"/>
        <v/>
      </c>
    </row>
    <row r="243" spans="1:31">
      <c r="A243" s="35" t="str">
        <f>IFERROR(INDEX('G-8 Condition Look up'!$I$4:$I$135,MATCH(F243,'G-8 Condition Look up'!$A$4:$A$135,0)),"")</f>
        <v/>
      </c>
      <c r="C243" s="299" t="str">
        <f>IFERROR(INDEX('G-1 All Habitats'!$AG$3:$AG$17,MATCH(D243,'G-1 All Habitats'!$AF$3:$AF$17,0)),"")</f>
        <v/>
      </c>
      <c r="D243" s="54"/>
      <c r="E243" s="61"/>
      <c r="F243" s="296" t="str">
        <f>IFERROR(INDEX('G-1 All Habitats'!$B$3:$B$134,MATCH(E243,'G-1 All Habitats'!$A$3:$A$134,0)),"")</f>
        <v/>
      </c>
      <c r="G243" s="53"/>
      <c r="H243" s="362" t="str">
        <f>IF(F243="","",VLOOKUP(F243,'G-1 All Habitats'!$B$2:$M$134,10,FALSE))</f>
        <v/>
      </c>
      <c r="I243" s="363" t="str">
        <f>IFERROR(VLOOKUP(H243,'G-1 All Habitats'!$V$3:$W$7,2,FALSE),"")</f>
        <v/>
      </c>
      <c r="J243" s="54"/>
      <c r="K243" s="363" t="str">
        <f>IFERROR(INDEX('G-8 Condition Look up'!$A$3:$H$135,MATCH(F243,'G-8 Condition Look up'!$A$3:$A$135,0),MATCH(J243,'G-8 Condition Look up'!$A$3:$H$3,0)),"")</f>
        <v/>
      </c>
      <c r="L243" s="54"/>
      <c r="M243" s="370" t="str">
        <f>IF(L243="","",IF(VLOOKUP(L243,'G-3 Multipliers'!$L$3:$N$6,2,FALSE)=0,"Spatial Data Missing",VLOOKUP(L243,'G-3 Multipliers'!$L$3:$N$6,2,FALSE)))</f>
        <v/>
      </c>
      <c r="N243" s="368" t="str">
        <f>IF(L243="","",IF(VLOOKUP(L243,'G-3 Multipliers'!$L$3:$N$6,3,FALSE)=0,"Spatial Data Missing",VLOOKUP(L243,'G-3 Multipliers'!$L$3:$N$6,3,FALSE)))</f>
        <v/>
      </c>
      <c r="O243" s="362" t="str">
        <f t="shared" si="18"/>
        <v/>
      </c>
      <c r="P243" s="63"/>
      <c r="Q243" s="63"/>
      <c r="R243" s="370" t="str">
        <f t="shared" si="20"/>
        <v/>
      </c>
      <c r="S243" s="383" t="str">
        <f t="shared" si="21"/>
        <v/>
      </c>
      <c r="T243" s="384" t="str">
        <f>IFERROR(IF(S243="Check Data ⚠","Check Data ⚠",VLOOKUP(S243,'G-4 Temporal multipliers'!$A$4:$C$37,3,FALSE)),"")</f>
        <v/>
      </c>
      <c r="U243" s="385" t="str">
        <f>IF(F243="","",VLOOKUP(F243,'G-3 Multipliers'!$A$2:$E$134,2,FALSE))</f>
        <v/>
      </c>
      <c r="V243" s="382" t="str">
        <f t="shared" si="23"/>
        <v/>
      </c>
      <c r="W243" s="382" t="str">
        <f>IF(E243="","",IF(AND(V243="Standard difficulty applied",O243&gt;P243),U243,IF(AND(V243="Low Difficulty - only applicable if all habitat created before losses",P243&gt;=O243),"Low",VLOOKUP(F243,'G-3 Multipliers'!$A$2:$E$134,4,FALSE))))</f>
        <v/>
      </c>
      <c r="X243" s="386" t="str">
        <f>IFERROR(IF(E243="","",VLOOKUP(W243, 'G-3 Multipliers'!$P$2:$Q$6,2,FALSE)),"")</f>
        <v/>
      </c>
      <c r="Y243" s="390" t="str">
        <f t="shared" si="22"/>
        <v/>
      </c>
      <c r="Z243" s="194"/>
      <c r="AA243" s="195"/>
      <c r="AB243" s="120"/>
      <c r="AE243" s="40" t="str">
        <f t="shared" si="19"/>
        <v/>
      </c>
    </row>
    <row r="244" spans="1:31">
      <c r="A244" s="35" t="str">
        <f>IFERROR(INDEX('G-8 Condition Look up'!$I$4:$I$135,MATCH(F244,'G-8 Condition Look up'!$A$4:$A$135,0)),"")</f>
        <v/>
      </c>
      <c r="C244" s="299" t="str">
        <f>IFERROR(INDEX('G-1 All Habitats'!$AG$3:$AG$17,MATCH(D244,'G-1 All Habitats'!$AF$3:$AF$17,0)),"")</f>
        <v/>
      </c>
      <c r="D244" s="54"/>
      <c r="E244" s="61"/>
      <c r="F244" s="296" t="str">
        <f>IFERROR(INDEX('G-1 All Habitats'!$B$3:$B$134,MATCH(E244,'G-1 All Habitats'!$A$3:$A$134,0)),"")</f>
        <v/>
      </c>
      <c r="G244" s="53"/>
      <c r="H244" s="362" t="str">
        <f>IF(F244="","",VLOOKUP(F244,'G-1 All Habitats'!$B$2:$M$134,10,FALSE))</f>
        <v/>
      </c>
      <c r="I244" s="363" t="str">
        <f>IFERROR(VLOOKUP(H244,'G-1 All Habitats'!$V$3:$W$7,2,FALSE),"")</f>
        <v/>
      </c>
      <c r="J244" s="54"/>
      <c r="K244" s="363" t="str">
        <f>IFERROR(INDEX('G-8 Condition Look up'!$A$3:$H$135,MATCH(F244,'G-8 Condition Look up'!$A$3:$A$135,0),MATCH(J244,'G-8 Condition Look up'!$A$3:$H$3,0)),"")</f>
        <v/>
      </c>
      <c r="L244" s="54"/>
      <c r="M244" s="370" t="str">
        <f>IF(L244="","",IF(VLOOKUP(L244,'G-3 Multipliers'!$L$3:$N$6,2,FALSE)=0,"Spatial Data Missing",VLOOKUP(L244,'G-3 Multipliers'!$L$3:$N$6,2,FALSE)))</f>
        <v/>
      </c>
      <c r="N244" s="368" t="str">
        <f>IF(L244="","",IF(VLOOKUP(L244,'G-3 Multipliers'!$L$3:$N$6,3,FALSE)=0,"Spatial Data Missing",VLOOKUP(L244,'G-3 Multipliers'!$L$3:$N$6,3,FALSE)))</f>
        <v/>
      </c>
      <c r="O244" s="362" t="str">
        <f t="shared" si="18"/>
        <v/>
      </c>
      <c r="P244" s="63"/>
      <c r="Q244" s="63"/>
      <c r="R244" s="370" t="str">
        <f t="shared" si="20"/>
        <v/>
      </c>
      <c r="S244" s="383" t="str">
        <f t="shared" si="21"/>
        <v/>
      </c>
      <c r="T244" s="384" t="str">
        <f>IFERROR(IF(S244="Check Data ⚠","Check Data ⚠",VLOOKUP(S244,'G-4 Temporal multipliers'!$A$4:$C$37,3,FALSE)),"")</f>
        <v/>
      </c>
      <c r="U244" s="385" t="str">
        <f>IF(F244="","",VLOOKUP(F244,'G-3 Multipliers'!$A$2:$E$134,2,FALSE))</f>
        <v/>
      </c>
      <c r="V244" s="382" t="str">
        <f t="shared" si="23"/>
        <v/>
      </c>
      <c r="W244" s="382" t="str">
        <f>IF(E244="","",IF(AND(V244="Standard difficulty applied",O244&gt;P244),U244,IF(AND(V244="Low Difficulty - only applicable if all habitat created before losses",P244&gt;=O244),"Low",VLOOKUP(F244,'G-3 Multipliers'!$A$2:$E$134,4,FALSE))))</f>
        <v/>
      </c>
      <c r="X244" s="386" t="str">
        <f>IFERROR(IF(E244="","",VLOOKUP(W244, 'G-3 Multipliers'!$P$2:$Q$6,2,FALSE)),"")</f>
        <v/>
      </c>
      <c r="Y244" s="390" t="str">
        <f t="shared" si="22"/>
        <v/>
      </c>
      <c r="Z244" s="194"/>
      <c r="AA244" s="195"/>
      <c r="AB244" s="120"/>
      <c r="AE244" s="40" t="str">
        <f t="shared" si="19"/>
        <v/>
      </c>
    </row>
    <row r="245" spans="1:31">
      <c r="A245" s="35" t="str">
        <f>IFERROR(INDEX('G-8 Condition Look up'!$I$4:$I$135,MATCH(F245,'G-8 Condition Look up'!$A$4:$A$135,0)),"")</f>
        <v/>
      </c>
      <c r="C245" s="299" t="str">
        <f>IFERROR(INDEX('G-1 All Habitats'!$AG$3:$AG$17,MATCH(D245,'G-1 All Habitats'!$AF$3:$AF$17,0)),"")</f>
        <v/>
      </c>
      <c r="D245" s="54"/>
      <c r="E245" s="61"/>
      <c r="F245" s="296" t="str">
        <f>IFERROR(INDEX('G-1 All Habitats'!$B$3:$B$134,MATCH(E245,'G-1 All Habitats'!$A$3:$A$134,0)),"")</f>
        <v/>
      </c>
      <c r="G245" s="53"/>
      <c r="H245" s="362" t="str">
        <f>IF(F245="","",VLOOKUP(F245,'G-1 All Habitats'!$B$2:$M$134,10,FALSE))</f>
        <v/>
      </c>
      <c r="I245" s="363" t="str">
        <f>IFERROR(VLOOKUP(H245,'G-1 All Habitats'!$V$3:$W$7,2,FALSE),"")</f>
        <v/>
      </c>
      <c r="J245" s="54"/>
      <c r="K245" s="363" t="str">
        <f>IFERROR(INDEX('G-8 Condition Look up'!$A$3:$H$135,MATCH(F245,'G-8 Condition Look up'!$A$3:$A$135,0),MATCH(J245,'G-8 Condition Look up'!$A$3:$H$3,0)),"")</f>
        <v/>
      </c>
      <c r="L245" s="54"/>
      <c r="M245" s="370" t="str">
        <f>IF(L245="","",IF(VLOOKUP(L245,'G-3 Multipliers'!$L$3:$N$6,2,FALSE)=0,"Spatial Data Missing",VLOOKUP(L245,'G-3 Multipliers'!$L$3:$N$6,2,FALSE)))</f>
        <v/>
      </c>
      <c r="N245" s="368" t="str">
        <f>IF(L245="","",IF(VLOOKUP(L245,'G-3 Multipliers'!$L$3:$N$6,3,FALSE)=0,"Spatial Data Missing",VLOOKUP(L245,'G-3 Multipliers'!$L$3:$N$6,3,FALSE)))</f>
        <v/>
      </c>
      <c r="O245" s="362" t="str">
        <f t="shared" si="18"/>
        <v/>
      </c>
      <c r="P245" s="63"/>
      <c r="Q245" s="63"/>
      <c r="R245" s="370" t="str">
        <f t="shared" si="20"/>
        <v/>
      </c>
      <c r="S245" s="383" t="str">
        <f t="shared" si="21"/>
        <v/>
      </c>
      <c r="T245" s="384" t="str">
        <f>IFERROR(IF(S245="Check Data ⚠","Check Data ⚠",VLOOKUP(S245,'G-4 Temporal multipliers'!$A$4:$C$37,3,FALSE)),"")</f>
        <v/>
      </c>
      <c r="U245" s="385" t="str">
        <f>IF(F245="","",VLOOKUP(F245,'G-3 Multipliers'!$A$2:$E$134,2,FALSE))</f>
        <v/>
      </c>
      <c r="V245" s="382" t="str">
        <f t="shared" si="23"/>
        <v/>
      </c>
      <c r="W245" s="382" t="str">
        <f>IF(E245="","",IF(AND(V245="Standard difficulty applied",O245&gt;P245),U245,IF(AND(V245="Low Difficulty - only applicable if all habitat created before losses",P245&gt;=O245),"Low",VLOOKUP(F245,'G-3 Multipliers'!$A$2:$E$134,4,FALSE))))</f>
        <v/>
      </c>
      <c r="X245" s="386" t="str">
        <f>IFERROR(IF(E245="","",VLOOKUP(W245, 'G-3 Multipliers'!$P$2:$Q$6,2,FALSE)),"")</f>
        <v/>
      </c>
      <c r="Y245" s="390" t="str">
        <f t="shared" si="22"/>
        <v/>
      </c>
      <c r="Z245" s="194"/>
      <c r="AA245" s="195"/>
      <c r="AB245" s="120"/>
      <c r="AE245" s="40" t="str">
        <f t="shared" si="19"/>
        <v/>
      </c>
    </row>
    <row r="246" spans="1:31">
      <c r="A246" s="35" t="str">
        <f>IFERROR(INDEX('G-8 Condition Look up'!$I$4:$I$135,MATCH(F246,'G-8 Condition Look up'!$A$4:$A$135,0)),"")</f>
        <v/>
      </c>
      <c r="C246" s="299" t="str">
        <f>IFERROR(INDEX('G-1 All Habitats'!$AG$3:$AG$17,MATCH(D246,'G-1 All Habitats'!$AF$3:$AF$17,0)),"")</f>
        <v/>
      </c>
      <c r="D246" s="54"/>
      <c r="E246" s="61"/>
      <c r="F246" s="296" t="str">
        <f>IFERROR(INDEX('G-1 All Habitats'!$B$3:$B$134,MATCH(E246,'G-1 All Habitats'!$A$3:$A$134,0)),"")</f>
        <v/>
      </c>
      <c r="G246" s="53"/>
      <c r="H246" s="362" t="str">
        <f>IF(F246="","",VLOOKUP(F246,'G-1 All Habitats'!$B$2:$M$134,10,FALSE))</f>
        <v/>
      </c>
      <c r="I246" s="363" t="str">
        <f>IFERROR(VLOOKUP(H246,'G-1 All Habitats'!$V$3:$W$7,2,FALSE),"")</f>
        <v/>
      </c>
      <c r="J246" s="54"/>
      <c r="K246" s="363" t="str">
        <f>IFERROR(INDEX('G-8 Condition Look up'!$A$3:$H$135,MATCH(F246,'G-8 Condition Look up'!$A$3:$A$135,0),MATCH(J246,'G-8 Condition Look up'!$A$3:$H$3,0)),"")</f>
        <v/>
      </c>
      <c r="L246" s="54"/>
      <c r="M246" s="370" t="str">
        <f>IF(L246="","",IF(VLOOKUP(L246,'G-3 Multipliers'!$L$3:$N$6,2,FALSE)=0,"Spatial Data Missing",VLOOKUP(L246,'G-3 Multipliers'!$L$3:$N$6,2,FALSE)))</f>
        <v/>
      </c>
      <c r="N246" s="368" t="str">
        <f>IF(L246="","",IF(VLOOKUP(L246,'G-3 Multipliers'!$L$3:$N$6,3,FALSE)=0,"Spatial Data Missing",VLOOKUP(L246,'G-3 Multipliers'!$L$3:$N$6,3,FALSE)))</f>
        <v/>
      </c>
      <c r="O246" s="362" t="str">
        <f t="shared" si="18"/>
        <v/>
      </c>
      <c r="P246" s="63"/>
      <c r="Q246" s="63"/>
      <c r="R246" s="370" t="str">
        <f t="shared" si="20"/>
        <v/>
      </c>
      <c r="S246" s="383" t="str">
        <f t="shared" si="21"/>
        <v/>
      </c>
      <c r="T246" s="384" t="str">
        <f>IFERROR(IF(S246="Check Data ⚠","Check Data ⚠",VLOOKUP(S246,'G-4 Temporal multipliers'!$A$4:$C$37,3,FALSE)),"")</f>
        <v/>
      </c>
      <c r="U246" s="385" t="str">
        <f>IF(F246="","",VLOOKUP(F246,'G-3 Multipliers'!$A$2:$E$134,2,FALSE))</f>
        <v/>
      </c>
      <c r="V246" s="382" t="str">
        <f t="shared" si="23"/>
        <v/>
      </c>
      <c r="W246" s="382" t="str">
        <f>IF(E246="","",IF(AND(V246="Standard difficulty applied",O246&gt;P246),U246,IF(AND(V246="Low Difficulty - only applicable if all habitat created before losses",P246&gt;=O246),"Low",VLOOKUP(F246,'G-3 Multipliers'!$A$2:$E$134,4,FALSE))))</f>
        <v/>
      </c>
      <c r="X246" s="386" t="str">
        <f>IFERROR(IF(E246="","",VLOOKUP(W246, 'G-3 Multipliers'!$P$2:$Q$6,2,FALSE)),"")</f>
        <v/>
      </c>
      <c r="Y246" s="390" t="str">
        <f t="shared" si="22"/>
        <v/>
      </c>
      <c r="Z246" s="194"/>
      <c r="AA246" s="195"/>
      <c r="AB246" s="120"/>
      <c r="AE246" s="40" t="str">
        <f t="shared" si="19"/>
        <v/>
      </c>
    </row>
    <row r="247" spans="1:31">
      <c r="A247" s="35" t="str">
        <f>IFERROR(INDEX('G-8 Condition Look up'!$I$4:$I$135,MATCH(F247,'G-8 Condition Look up'!$A$4:$A$135,0)),"")</f>
        <v/>
      </c>
      <c r="C247" s="299" t="str">
        <f>IFERROR(INDEX('G-1 All Habitats'!$AG$3:$AG$17,MATCH(D247,'G-1 All Habitats'!$AF$3:$AF$17,0)),"")</f>
        <v/>
      </c>
      <c r="D247" s="54"/>
      <c r="E247" s="61"/>
      <c r="F247" s="296" t="str">
        <f>IFERROR(INDEX('G-1 All Habitats'!$B$3:$B$134,MATCH(E247,'G-1 All Habitats'!$A$3:$A$134,0)),"")</f>
        <v/>
      </c>
      <c r="G247" s="53"/>
      <c r="H247" s="362" t="str">
        <f>IF(F247="","",VLOOKUP(F247,'G-1 All Habitats'!$B$2:$M$134,10,FALSE))</f>
        <v/>
      </c>
      <c r="I247" s="363" t="str">
        <f>IFERROR(VLOOKUP(H247,'G-1 All Habitats'!$V$3:$W$7,2,FALSE),"")</f>
        <v/>
      </c>
      <c r="J247" s="54"/>
      <c r="K247" s="363" t="str">
        <f>IFERROR(INDEX('G-8 Condition Look up'!$A$3:$H$135,MATCH(F247,'G-8 Condition Look up'!$A$3:$A$135,0),MATCH(J247,'G-8 Condition Look up'!$A$3:$H$3,0)),"")</f>
        <v/>
      </c>
      <c r="L247" s="54"/>
      <c r="M247" s="370" t="str">
        <f>IF(L247="","",IF(VLOOKUP(L247,'G-3 Multipliers'!$L$3:$N$6,2,FALSE)=0,"Spatial Data Missing",VLOOKUP(L247,'G-3 Multipliers'!$L$3:$N$6,2,FALSE)))</f>
        <v/>
      </c>
      <c r="N247" s="368" t="str">
        <f>IF(L247="","",IF(VLOOKUP(L247,'G-3 Multipliers'!$L$3:$N$6,3,FALSE)=0,"Spatial Data Missing",VLOOKUP(L247,'G-3 Multipliers'!$L$3:$N$6,3,FALSE)))</f>
        <v/>
      </c>
      <c r="O247" s="362" t="str">
        <f t="shared" si="18"/>
        <v/>
      </c>
      <c r="P247" s="63"/>
      <c r="Q247" s="63"/>
      <c r="R247" s="370" t="str">
        <f t="shared" si="20"/>
        <v/>
      </c>
      <c r="S247" s="383" t="str">
        <f t="shared" si="21"/>
        <v/>
      </c>
      <c r="T247" s="384" t="str">
        <f>IFERROR(IF(S247="Check Data ⚠","Check Data ⚠",VLOOKUP(S247,'G-4 Temporal multipliers'!$A$4:$C$37,3,FALSE)),"")</f>
        <v/>
      </c>
      <c r="U247" s="385" t="str">
        <f>IF(F247="","",VLOOKUP(F247,'G-3 Multipliers'!$A$2:$E$134,2,FALSE))</f>
        <v/>
      </c>
      <c r="V247" s="382" t="str">
        <f t="shared" si="23"/>
        <v/>
      </c>
      <c r="W247" s="382" t="str">
        <f>IF(E247="","",IF(AND(V247="Standard difficulty applied",O247&gt;P247),U247,IF(AND(V247="Low Difficulty - only applicable if all habitat created before losses",P247&gt;=O247),"Low",VLOOKUP(F247,'G-3 Multipliers'!$A$2:$E$134,4,FALSE))))</f>
        <v/>
      </c>
      <c r="X247" s="386" t="str">
        <f>IFERROR(IF(E247="","",VLOOKUP(W247, 'G-3 Multipliers'!$P$2:$Q$6,2,FALSE)),"")</f>
        <v/>
      </c>
      <c r="Y247" s="390" t="str">
        <f t="shared" si="22"/>
        <v/>
      </c>
      <c r="Z247" s="194"/>
      <c r="AA247" s="195"/>
      <c r="AB247" s="120"/>
      <c r="AE247" s="40" t="str">
        <f t="shared" si="19"/>
        <v/>
      </c>
    </row>
    <row r="248" spans="1:31">
      <c r="A248" s="35" t="str">
        <f>IFERROR(INDEX('G-8 Condition Look up'!$I$4:$I$135,MATCH(F248,'G-8 Condition Look up'!$A$4:$A$135,0)),"")</f>
        <v/>
      </c>
      <c r="C248" s="299" t="str">
        <f>IFERROR(INDEX('G-1 All Habitats'!$AG$3:$AG$17,MATCH(D248,'G-1 All Habitats'!$AF$3:$AF$17,0)),"")</f>
        <v/>
      </c>
      <c r="D248" s="54"/>
      <c r="E248" s="61"/>
      <c r="F248" s="296" t="str">
        <f>IFERROR(INDEX('G-1 All Habitats'!$B$3:$B$134,MATCH(E248,'G-1 All Habitats'!$A$3:$A$134,0)),"")</f>
        <v/>
      </c>
      <c r="G248" s="53"/>
      <c r="H248" s="362" t="str">
        <f>IF(F248="","",VLOOKUP(F248,'G-1 All Habitats'!$B$2:$M$134,10,FALSE))</f>
        <v/>
      </c>
      <c r="I248" s="363" t="str">
        <f>IFERROR(VLOOKUP(H248,'G-1 All Habitats'!$V$3:$W$7,2,FALSE),"")</f>
        <v/>
      </c>
      <c r="J248" s="54"/>
      <c r="K248" s="363" t="str">
        <f>IFERROR(INDEX('G-8 Condition Look up'!$A$3:$H$135,MATCH(F248,'G-8 Condition Look up'!$A$3:$A$135,0),MATCH(J248,'G-8 Condition Look up'!$A$3:$H$3,0)),"")</f>
        <v/>
      </c>
      <c r="L248" s="54"/>
      <c r="M248" s="370" t="str">
        <f>IF(L248="","",IF(VLOOKUP(L248,'G-3 Multipliers'!$L$3:$N$6,2,FALSE)=0,"Spatial Data Missing",VLOOKUP(L248,'G-3 Multipliers'!$L$3:$N$6,2,FALSE)))</f>
        <v/>
      </c>
      <c r="N248" s="368" t="str">
        <f>IF(L248="","",IF(VLOOKUP(L248,'G-3 Multipliers'!$L$3:$N$6,3,FALSE)=0,"Spatial Data Missing",VLOOKUP(L248,'G-3 Multipliers'!$L$3:$N$6,3,FALSE)))</f>
        <v/>
      </c>
      <c r="O248" s="362" t="str">
        <f t="shared" si="18"/>
        <v/>
      </c>
      <c r="P248" s="63"/>
      <c r="Q248" s="63"/>
      <c r="R248" s="370" t="str">
        <f t="shared" si="20"/>
        <v/>
      </c>
      <c r="S248" s="383" t="str">
        <f t="shared" si="21"/>
        <v/>
      </c>
      <c r="T248" s="384" t="str">
        <f>IFERROR(IF(S248="Check Data ⚠","Check Data ⚠",VLOOKUP(S248,'G-4 Temporal multipliers'!$A$4:$C$37,3,FALSE)),"")</f>
        <v/>
      </c>
      <c r="U248" s="385" t="str">
        <f>IF(F248="","",VLOOKUP(F248,'G-3 Multipliers'!$A$2:$E$134,2,FALSE))</f>
        <v/>
      </c>
      <c r="V248" s="382" t="str">
        <f t="shared" si="23"/>
        <v/>
      </c>
      <c r="W248" s="382" t="str">
        <f>IF(E248="","",IF(AND(V248="Standard difficulty applied",O248&gt;P248),U248,IF(AND(V248="Low Difficulty - only applicable if all habitat created before losses",P248&gt;=O248),"Low",VLOOKUP(F248,'G-3 Multipliers'!$A$2:$E$134,4,FALSE))))</f>
        <v/>
      </c>
      <c r="X248" s="386" t="str">
        <f>IFERROR(IF(E248="","",VLOOKUP(W248, 'G-3 Multipliers'!$P$2:$Q$6,2,FALSE)),"")</f>
        <v/>
      </c>
      <c r="Y248" s="390" t="str">
        <f t="shared" si="22"/>
        <v/>
      </c>
      <c r="Z248" s="194"/>
      <c r="AA248" s="195"/>
      <c r="AB248" s="120"/>
      <c r="AE248" s="40" t="str">
        <f t="shared" si="19"/>
        <v/>
      </c>
    </row>
    <row r="249" spans="1:31">
      <c r="A249" s="35" t="str">
        <f>IFERROR(INDEX('G-8 Condition Look up'!$I$4:$I$135,MATCH(F249,'G-8 Condition Look up'!$A$4:$A$135,0)),"")</f>
        <v/>
      </c>
      <c r="C249" s="299" t="str">
        <f>IFERROR(INDEX('G-1 All Habitats'!$AG$3:$AG$17,MATCH(D249,'G-1 All Habitats'!$AF$3:$AF$17,0)),"")</f>
        <v/>
      </c>
      <c r="D249" s="54"/>
      <c r="E249" s="61"/>
      <c r="F249" s="296" t="str">
        <f>IFERROR(INDEX('G-1 All Habitats'!$B$3:$B$134,MATCH(E249,'G-1 All Habitats'!$A$3:$A$134,0)),"")</f>
        <v/>
      </c>
      <c r="G249" s="53"/>
      <c r="H249" s="362" t="str">
        <f>IF(F249="","",VLOOKUP(F249,'G-1 All Habitats'!$B$2:$M$134,10,FALSE))</f>
        <v/>
      </c>
      <c r="I249" s="363" t="str">
        <f>IFERROR(VLOOKUP(H249,'G-1 All Habitats'!$V$3:$W$7,2,FALSE),"")</f>
        <v/>
      </c>
      <c r="J249" s="54"/>
      <c r="K249" s="363" t="str">
        <f>IFERROR(INDEX('G-8 Condition Look up'!$A$3:$H$135,MATCH(F249,'G-8 Condition Look up'!$A$3:$A$135,0),MATCH(J249,'G-8 Condition Look up'!$A$3:$H$3,0)),"")</f>
        <v/>
      </c>
      <c r="L249" s="54"/>
      <c r="M249" s="370" t="str">
        <f>IF(L249="","",IF(VLOOKUP(L249,'G-3 Multipliers'!$L$3:$N$6,2,FALSE)=0,"Spatial Data Missing",VLOOKUP(L249,'G-3 Multipliers'!$L$3:$N$6,2,FALSE)))</f>
        <v/>
      </c>
      <c r="N249" s="368" t="str">
        <f>IF(L249="","",IF(VLOOKUP(L249,'G-3 Multipliers'!$L$3:$N$6,3,FALSE)=0,"Spatial Data Missing",VLOOKUP(L249,'G-3 Multipliers'!$L$3:$N$6,3,FALSE)))</f>
        <v/>
      </c>
      <c r="O249" s="362" t="str">
        <f t="shared" si="18"/>
        <v/>
      </c>
      <c r="P249" s="63"/>
      <c r="Q249" s="63"/>
      <c r="R249" s="370" t="str">
        <f t="shared" si="20"/>
        <v/>
      </c>
      <c r="S249" s="383" t="str">
        <f t="shared" si="21"/>
        <v/>
      </c>
      <c r="T249" s="384" t="str">
        <f>IFERROR(IF(S249="Check Data ⚠","Check Data ⚠",VLOOKUP(S249,'G-4 Temporal multipliers'!$A$4:$C$37,3,FALSE)),"")</f>
        <v/>
      </c>
      <c r="U249" s="385" t="str">
        <f>IF(F249="","",VLOOKUP(F249,'G-3 Multipliers'!$A$2:$E$134,2,FALSE))</f>
        <v/>
      </c>
      <c r="V249" s="382" t="str">
        <f t="shared" si="23"/>
        <v/>
      </c>
      <c r="W249" s="382" t="str">
        <f>IF(E249="","",IF(AND(V249="Standard difficulty applied",O249&gt;P249),U249,IF(AND(V249="Low Difficulty - only applicable if all habitat created before losses",P249&gt;=O249),"Low",VLOOKUP(F249,'G-3 Multipliers'!$A$2:$E$134,4,FALSE))))</f>
        <v/>
      </c>
      <c r="X249" s="386" t="str">
        <f>IFERROR(IF(E249="","",VLOOKUP(W249, 'G-3 Multipliers'!$P$2:$Q$6,2,FALSE)),"")</f>
        <v/>
      </c>
      <c r="Y249" s="390" t="str">
        <f t="shared" si="22"/>
        <v/>
      </c>
      <c r="Z249" s="194"/>
      <c r="AA249" s="195"/>
      <c r="AB249" s="120"/>
      <c r="AE249" s="40" t="str">
        <f t="shared" si="19"/>
        <v/>
      </c>
    </row>
    <row r="250" spans="1:31">
      <c r="A250" s="35" t="str">
        <f>IFERROR(INDEX('G-8 Condition Look up'!$I$4:$I$135,MATCH(F250,'G-8 Condition Look up'!$A$4:$A$135,0)),"")</f>
        <v/>
      </c>
      <c r="C250" s="299" t="str">
        <f>IFERROR(INDEX('G-1 All Habitats'!$AG$3:$AG$17,MATCH(D250,'G-1 All Habitats'!$AF$3:$AF$17,0)),"")</f>
        <v/>
      </c>
      <c r="D250" s="54"/>
      <c r="E250" s="61"/>
      <c r="F250" s="296" t="str">
        <f>IFERROR(INDEX('G-1 All Habitats'!$B$3:$B$134,MATCH(E250,'G-1 All Habitats'!$A$3:$A$134,0)),"")</f>
        <v/>
      </c>
      <c r="G250" s="53"/>
      <c r="H250" s="362" t="str">
        <f>IF(F250="","",VLOOKUP(F250,'G-1 All Habitats'!$B$2:$M$134,10,FALSE))</f>
        <v/>
      </c>
      <c r="I250" s="363" t="str">
        <f>IFERROR(VLOOKUP(H250,'G-1 All Habitats'!$V$3:$W$7,2,FALSE),"")</f>
        <v/>
      </c>
      <c r="J250" s="54"/>
      <c r="K250" s="363" t="str">
        <f>IFERROR(INDEX('G-8 Condition Look up'!$A$3:$H$135,MATCH(F250,'G-8 Condition Look up'!$A$3:$A$135,0),MATCH(J250,'G-8 Condition Look up'!$A$3:$H$3,0)),"")</f>
        <v/>
      </c>
      <c r="L250" s="54"/>
      <c r="M250" s="370" t="str">
        <f>IF(L250="","",IF(VLOOKUP(L250,'G-3 Multipliers'!$L$3:$N$6,2,FALSE)=0,"Spatial Data Missing",VLOOKUP(L250,'G-3 Multipliers'!$L$3:$N$6,2,FALSE)))</f>
        <v/>
      </c>
      <c r="N250" s="368" t="str">
        <f>IF(L250="","",IF(VLOOKUP(L250,'G-3 Multipliers'!$L$3:$N$6,3,FALSE)=0,"Spatial Data Missing",VLOOKUP(L250,'G-3 Multipliers'!$L$3:$N$6,3,FALSE)))</f>
        <v/>
      </c>
      <c r="O250" s="362" t="str">
        <f t="shared" si="18"/>
        <v/>
      </c>
      <c r="P250" s="63"/>
      <c r="Q250" s="63"/>
      <c r="R250" s="370" t="str">
        <f t="shared" si="20"/>
        <v/>
      </c>
      <c r="S250" s="383" t="str">
        <f t="shared" si="21"/>
        <v/>
      </c>
      <c r="T250" s="384" t="str">
        <f>IFERROR(IF(S250="Check Data ⚠","Check Data ⚠",VLOOKUP(S250,'G-4 Temporal multipliers'!$A$4:$C$37,3,FALSE)),"")</f>
        <v/>
      </c>
      <c r="U250" s="385" t="str">
        <f>IF(F250="","",VLOOKUP(F250,'G-3 Multipliers'!$A$2:$E$134,2,FALSE))</f>
        <v/>
      </c>
      <c r="V250" s="382" t="str">
        <f t="shared" si="23"/>
        <v/>
      </c>
      <c r="W250" s="382" t="str">
        <f>IF(E250="","",IF(AND(V250="Standard difficulty applied",O250&gt;P250),U250,IF(AND(V250="Low Difficulty - only applicable if all habitat created before losses",P250&gt;=O250),"Low",VLOOKUP(F250,'G-3 Multipliers'!$A$2:$E$134,4,FALSE))))</f>
        <v/>
      </c>
      <c r="X250" s="386" t="str">
        <f>IFERROR(IF(E250="","",VLOOKUP(W250, 'G-3 Multipliers'!$P$2:$Q$6,2,FALSE)),"")</f>
        <v/>
      </c>
      <c r="Y250" s="390" t="str">
        <f t="shared" si="22"/>
        <v/>
      </c>
      <c r="Z250" s="194"/>
      <c r="AA250" s="195"/>
      <c r="AB250" s="120"/>
      <c r="AE250" s="40" t="str">
        <f t="shared" si="19"/>
        <v/>
      </c>
    </row>
    <row r="251" spans="1:31">
      <c r="A251" s="35" t="str">
        <f>IFERROR(INDEX('G-8 Condition Look up'!$I$4:$I$135,MATCH(F251,'G-8 Condition Look up'!$A$4:$A$135,0)),"")</f>
        <v/>
      </c>
      <c r="C251" s="299" t="str">
        <f>IFERROR(INDEX('G-1 All Habitats'!$AG$3:$AG$17,MATCH(D251,'G-1 All Habitats'!$AF$3:$AF$17,0)),"")</f>
        <v/>
      </c>
      <c r="D251" s="54"/>
      <c r="E251" s="61"/>
      <c r="F251" s="296" t="str">
        <f>IFERROR(INDEX('G-1 All Habitats'!$B$3:$B$134,MATCH(E251,'G-1 All Habitats'!$A$3:$A$134,0)),"")</f>
        <v/>
      </c>
      <c r="G251" s="53"/>
      <c r="H251" s="362" t="str">
        <f>IF(F251="","",VLOOKUP(F251,'G-1 All Habitats'!$B$2:$M$134,10,FALSE))</f>
        <v/>
      </c>
      <c r="I251" s="363" t="str">
        <f>IFERROR(VLOOKUP(H251,'G-1 All Habitats'!$V$3:$W$7,2,FALSE),"")</f>
        <v/>
      </c>
      <c r="J251" s="54"/>
      <c r="K251" s="363" t="str">
        <f>IFERROR(INDEX('G-8 Condition Look up'!$A$3:$H$135,MATCH(F251,'G-8 Condition Look up'!$A$3:$A$135,0),MATCH(J251,'G-8 Condition Look up'!$A$3:$H$3,0)),"")</f>
        <v/>
      </c>
      <c r="L251" s="54"/>
      <c r="M251" s="370" t="str">
        <f>IF(L251="","",IF(VLOOKUP(L251,'G-3 Multipliers'!$L$3:$N$6,2,FALSE)=0,"Spatial Data Missing",VLOOKUP(L251,'G-3 Multipliers'!$L$3:$N$6,2,FALSE)))</f>
        <v/>
      </c>
      <c r="N251" s="368" t="str">
        <f>IF(L251="","",IF(VLOOKUP(L251,'G-3 Multipliers'!$L$3:$N$6,3,FALSE)=0,"Spatial Data Missing",VLOOKUP(L251,'G-3 Multipliers'!$L$3:$N$6,3,FALSE)))</f>
        <v/>
      </c>
      <c r="O251" s="362" t="str">
        <f t="shared" si="18"/>
        <v/>
      </c>
      <c r="P251" s="63"/>
      <c r="Q251" s="63"/>
      <c r="R251" s="370" t="str">
        <f t="shared" si="20"/>
        <v/>
      </c>
      <c r="S251" s="383" t="str">
        <f t="shared" si="21"/>
        <v/>
      </c>
      <c r="T251" s="384" t="str">
        <f>IFERROR(IF(S251="Check Data ⚠","Check Data ⚠",VLOOKUP(S251,'G-4 Temporal multipliers'!$A$4:$C$37,3,FALSE)),"")</f>
        <v/>
      </c>
      <c r="U251" s="385" t="str">
        <f>IF(F251="","",VLOOKUP(F251,'G-3 Multipliers'!$A$2:$E$134,2,FALSE))</f>
        <v/>
      </c>
      <c r="V251" s="382" t="str">
        <f t="shared" si="23"/>
        <v/>
      </c>
      <c r="W251" s="382" t="str">
        <f>IF(E251="","",IF(AND(V251="Standard difficulty applied",O251&gt;P251),U251,IF(AND(V251="Low Difficulty - only applicable if all habitat created before losses",P251&gt;=O251),"Low",VLOOKUP(F251,'G-3 Multipliers'!$A$2:$E$134,4,FALSE))))</f>
        <v/>
      </c>
      <c r="X251" s="386" t="str">
        <f>IFERROR(IF(E251="","",VLOOKUP(W251, 'G-3 Multipliers'!$P$2:$Q$6,2,FALSE)),"")</f>
        <v/>
      </c>
      <c r="Y251" s="390" t="str">
        <f t="shared" si="22"/>
        <v/>
      </c>
      <c r="Z251" s="194"/>
      <c r="AA251" s="195"/>
      <c r="AB251" s="120"/>
      <c r="AE251" s="40" t="str">
        <f t="shared" si="19"/>
        <v/>
      </c>
    </row>
    <row r="252" spans="1:31">
      <c r="A252" s="35" t="str">
        <f>IFERROR(INDEX('G-8 Condition Look up'!$I$4:$I$135,MATCH(F252,'G-8 Condition Look up'!$A$4:$A$135,0)),"")</f>
        <v/>
      </c>
      <c r="C252" s="299" t="str">
        <f>IFERROR(INDEX('G-1 All Habitats'!$AG$3:$AG$17,MATCH(D252,'G-1 All Habitats'!$AF$3:$AF$17,0)),"")</f>
        <v/>
      </c>
      <c r="D252" s="54"/>
      <c r="E252" s="61"/>
      <c r="F252" s="296" t="str">
        <f>IFERROR(INDEX('G-1 All Habitats'!$B$3:$B$134,MATCH(E252,'G-1 All Habitats'!$A$3:$A$134,0)),"")</f>
        <v/>
      </c>
      <c r="G252" s="53"/>
      <c r="H252" s="362" t="str">
        <f>IF(F252="","",VLOOKUP(F252,'G-1 All Habitats'!$B$2:$M$134,10,FALSE))</f>
        <v/>
      </c>
      <c r="I252" s="363" t="str">
        <f>IFERROR(VLOOKUP(H252,'G-1 All Habitats'!$V$3:$W$7,2,FALSE),"")</f>
        <v/>
      </c>
      <c r="J252" s="54"/>
      <c r="K252" s="363" t="str">
        <f>IFERROR(INDEX('G-8 Condition Look up'!$A$3:$H$135,MATCH(F252,'G-8 Condition Look up'!$A$3:$A$135,0),MATCH(J252,'G-8 Condition Look up'!$A$3:$H$3,0)),"")</f>
        <v/>
      </c>
      <c r="L252" s="54"/>
      <c r="M252" s="370" t="str">
        <f>IF(L252="","",IF(VLOOKUP(L252,'G-3 Multipliers'!$L$3:$N$6,2,FALSE)=0,"Spatial Data Missing",VLOOKUP(L252,'G-3 Multipliers'!$L$3:$N$6,2,FALSE)))</f>
        <v/>
      </c>
      <c r="N252" s="368" t="str">
        <f>IF(L252="","",IF(VLOOKUP(L252,'G-3 Multipliers'!$L$3:$N$6,3,FALSE)=0,"Spatial Data Missing",VLOOKUP(L252,'G-3 Multipliers'!$L$3:$N$6,3,FALSE)))</f>
        <v/>
      </c>
      <c r="O252" s="362" t="str">
        <f t="shared" si="18"/>
        <v/>
      </c>
      <c r="P252" s="63"/>
      <c r="Q252" s="63"/>
      <c r="R252" s="370" t="str">
        <f t="shared" si="20"/>
        <v/>
      </c>
      <c r="S252" s="383" t="str">
        <f t="shared" si="21"/>
        <v/>
      </c>
      <c r="T252" s="384" t="str">
        <f>IFERROR(IF(S252="Check Data ⚠","Check Data ⚠",VLOOKUP(S252,'G-4 Temporal multipliers'!$A$4:$C$37,3,FALSE)),"")</f>
        <v/>
      </c>
      <c r="U252" s="385" t="str">
        <f>IF(F252="","",VLOOKUP(F252,'G-3 Multipliers'!$A$2:$E$134,2,FALSE))</f>
        <v/>
      </c>
      <c r="V252" s="382" t="str">
        <f t="shared" si="23"/>
        <v/>
      </c>
      <c r="W252" s="382" t="str">
        <f>IF(E252="","",IF(AND(V252="Standard difficulty applied",O252&gt;P252),U252,IF(AND(V252="Low Difficulty - only applicable if all habitat created before losses",P252&gt;=O252),"Low",VLOOKUP(F252,'G-3 Multipliers'!$A$2:$E$134,4,FALSE))))</f>
        <v/>
      </c>
      <c r="X252" s="386" t="str">
        <f>IFERROR(IF(E252="","",VLOOKUP(W252, 'G-3 Multipliers'!$P$2:$Q$6,2,FALSE)),"")</f>
        <v/>
      </c>
      <c r="Y252" s="390" t="str">
        <f t="shared" si="22"/>
        <v/>
      </c>
      <c r="Z252" s="194"/>
      <c r="AA252" s="195"/>
      <c r="AB252" s="120"/>
      <c r="AE252" s="40" t="str">
        <f t="shared" si="19"/>
        <v/>
      </c>
    </row>
    <row r="253" spans="1:31">
      <c r="A253" s="35" t="str">
        <f>IFERROR(INDEX('G-8 Condition Look up'!$I$4:$I$135,MATCH(F253,'G-8 Condition Look up'!$A$4:$A$135,0)),"")</f>
        <v/>
      </c>
      <c r="C253" s="299" t="str">
        <f>IFERROR(INDEX('G-1 All Habitats'!$AG$3:$AG$17,MATCH(D253,'G-1 All Habitats'!$AF$3:$AF$17,0)),"")</f>
        <v/>
      </c>
      <c r="D253" s="54"/>
      <c r="E253" s="61"/>
      <c r="F253" s="296" t="str">
        <f>IFERROR(INDEX('G-1 All Habitats'!$B$3:$B$134,MATCH(E253,'G-1 All Habitats'!$A$3:$A$134,0)),"")</f>
        <v/>
      </c>
      <c r="G253" s="53"/>
      <c r="H253" s="362" t="str">
        <f>IF(F253="","",VLOOKUP(F253,'G-1 All Habitats'!$B$2:$M$134,10,FALSE))</f>
        <v/>
      </c>
      <c r="I253" s="363" t="str">
        <f>IFERROR(VLOOKUP(H253,'G-1 All Habitats'!$V$3:$W$7,2,FALSE),"")</f>
        <v/>
      </c>
      <c r="J253" s="54"/>
      <c r="K253" s="363" t="str">
        <f>IFERROR(INDEX('G-8 Condition Look up'!$A$3:$H$135,MATCH(F253,'G-8 Condition Look up'!$A$3:$A$135,0),MATCH(J253,'G-8 Condition Look up'!$A$3:$H$3,0)),"")</f>
        <v/>
      </c>
      <c r="L253" s="54"/>
      <c r="M253" s="370" t="str">
        <f>IF(L253="","",IF(VLOOKUP(L253,'G-3 Multipliers'!$L$3:$N$6,2,FALSE)=0,"Spatial Data Missing",VLOOKUP(L253,'G-3 Multipliers'!$L$3:$N$6,2,FALSE)))</f>
        <v/>
      </c>
      <c r="N253" s="368" t="str">
        <f>IF(L253="","",IF(VLOOKUP(L253,'G-3 Multipliers'!$L$3:$N$6,3,FALSE)=0,"Spatial Data Missing",VLOOKUP(L253,'G-3 Multipliers'!$L$3:$N$6,3,FALSE)))</f>
        <v/>
      </c>
      <c r="O253" s="362" t="str">
        <f t="shared" si="18"/>
        <v/>
      </c>
      <c r="P253" s="63"/>
      <c r="Q253" s="63"/>
      <c r="R253" s="370" t="str">
        <f t="shared" si="20"/>
        <v/>
      </c>
      <c r="S253" s="383" t="str">
        <f t="shared" si="21"/>
        <v/>
      </c>
      <c r="T253" s="384" t="str">
        <f>IFERROR(IF(S253="Check Data ⚠","Check Data ⚠",VLOOKUP(S253,'G-4 Temporal multipliers'!$A$4:$C$37,3,FALSE)),"")</f>
        <v/>
      </c>
      <c r="U253" s="385" t="str">
        <f>IF(F253="","",VLOOKUP(F253,'G-3 Multipliers'!$A$2:$E$134,2,FALSE))</f>
        <v/>
      </c>
      <c r="V253" s="382" t="str">
        <f t="shared" si="23"/>
        <v/>
      </c>
      <c r="W253" s="382" t="str">
        <f>IF(E253="","",IF(AND(V253="Standard difficulty applied",O253&gt;P253),U253,IF(AND(V253="Low Difficulty - only applicable if all habitat created before losses",P253&gt;=O253),"Low",VLOOKUP(F253,'G-3 Multipliers'!$A$2:$E$134,4,FALSE))))</f>
        <v/>
      </c>
      <c r="X253" s="386" t="str">
        <f>IFERROR(IF(E253="","",VLOOKUP(W253, 'G-3 Multipliers'!$P$2:$Q$6,2,FALSE)),"")</f>
        <v/>
      </c>
      <c r="Y253" s="390" t="str">
        <f t="shared" si="22"/>
        <v/>
      </c>
      <c r="Z253" s="194"/>
      <c r="AA253" s="195"/>
      <c r="AB253" s="120"/>
      <c r="AE253" s="40" t="str">
        <f t="shared" si="19"/>
        <v/>
      </c>
    </row>
    <row r="254" spans="1:31">
      <c r="A254" s="35" t="str">
        <f>IFERROR(INDEX('G-8 Condition Look up'!$I$4:$I$135,MATCH(F254,'G-8 Condition Look up'!$A$4:$A$135,0)),"")</f>
        <v/>
      </c>
      <c r="C254" s="299" t="str">
        <f>IFERROR(INDEX('G-1 All Habitats'!$AG$3:$AG$17,MATCH(D254,'G-1 All Habitats'!$AF$3:$AF$17,0)),"")</f>
        <v/>
      </c>
      <c r="D254" s="54"/>
      <c r="E254" s="61"/>
      <c r="F254" s="296" t="str">
        <f>IFERROR(INDEX('G-1 All Habitats'!$B$3:$B$134,MATCH(E254,'G-1 All Habitats'!$A$3:$A$134,0)),"")</f>
        <v/>
      </c>
      <c r="G254" s="53"/>
      <c r="H254" s="362" t="str">
        <f>IF(F254="","",VLOOKUP(F254,'G-1 All Habitats'!$B$2:$M$134,10,FALSE))</f>
        <v/>
      </c>
      <c r="I254" s="363" t="str">
        <f>IFERROR(VLOOKUP(H254,'G-1 All Habitats'!$V$3:$W$7,2,FALSE),"")</f>
        <v/>
      </c>
      <c r="J254" s="54"/>
      <c r="K254" s="363" t="str">
        <f>IFERROR(INDEX('G-8 Condition Look up'!$A$3:$H$135,MATCH(F254,'G-8 Condition Look up'!$A$3:$A$135,0),MATCH(J254,'G-8 Condition Look up'!$A$3:$H$3,0)),"")</f>
        <v/>
      </c>
      <c r="L254" s="54"/>
      <c r="M254" s="370" t="str">
        <f>IF(L254="","",IF(VLOOKUP(L254,'G-3 Multipliers'!$L$3:$N$6,2,FALSE)=0,"Spatial Data Missing",VLOOKUP(L254,'G-3 Multipliers'!$L$3:$N$6,2,FALSE)))</f>
        <v/>
      </c>
      <c r="N254" s="368" t="str">
        <f>IF(L254="","",IF(VLOOKUP(L254,'G-3 Multipliers'!$L$3:$N$6,3,FALSE)=0,"Spatial Data Missing",VLOOKUP(L254,'G-3 Multipliers'!$L$3:$N$6,3,FALSE)))</f>
        <v/>
      </c>
      <c r="O254" s="362" t="str">
        <f t="shared" si="18"/>
        <v/>
      </c>
      <c r="P254" s="63"/>
      <c r="Q254" s="63"/>
      <c r="R254" s="370" t="str">
        <f t="shared" si="20"/>
        <v/>
      </c>
      <c r="S254" s="383" t="str">
        <f t="shared" si="21"/>
        <v/>
      </c>
      <c r="T254" s="384" t="str">
        <f>IFERROR(IF(S254="Check Data ⚠","Check Data ⚠",VLOOKUP(S254,'G-4 Temporal multipliers'!$A$4:$C$37,3,FALSE)),"")</f>
        <v/>
      </c>
      <c r="U254" s="385" t="str">
        <f>IF(F254="","",VLOOKUP(F254,'G-3 Multipliers'!$A$2:$E$134,2,FALSE))</f>
        <v/>
      </c>
      <c r="V254" s="382" t="str">
        <f t="shared" si="23"/>
        <v/>
      </c>
      <c r="W254" s="382" t="str">
        <f>IF(E254="","",IF(AND(V254="Standard difficulty applied",O254&gt;P254),U254,IF(AND(V254="Low Difficulty - only applicable if all habitat created before losses",P254&gt;=O254),"Low",VLOOKUP(F254,'G-3 Multipliers'!$A$2:$E$134,4,FALSE))))</f>
        <v/>
      </c>
      <c r="X254" s="386" t="str">
        <f>IFERROR(IF(E254="","",VLOOKUP(W254, 'G-3 Multipliers'!$P$2:$Q$6,2,FALSE)),"")</f>
        <v/>
      </c>
      <c r="Y254" s="390" t="str">
        <f t="shared" si="22"/>
        <v/>
      </c>
      <c r="Z254" s="194"/>
      <c r="AA254" s="195"/>
      <c r="AB254" s="120"/>
      <c r="AE254" s="40" t="str">
        <f t="shared" si="19"/>
        <v/>
      </c>
    </row>
    <row r="255" spans="1:31">
      <c r="A255" s="35" t="str">
        <f>IFERROR(INDEX('G-8 Condition Look up'!$I$4:$I$135,MATCH(F255,'G-8 Condition Look up'!$A$4:$A$135,0)),"")</f>
        <v/>
      </c>
      <c r="C255" s="299" t="str">
        <f>IFERROR(INDEX('G-1 All Habitats'!$AG$3:$AG$17,MATCH(D255,'G-1 All Habitats'!$AF$3:$AF$17,0)),"")</f>
        <v/>
      </c>
      <c r="D255" s="54"/>
      <c r="E255" s="61"/>
      <c r="F255" s="296" t="str">
        <f>IFERROR(INDEX('G-1 All Habitats'!$B$3:$B$134,MATCH(E255,'G-1 All Habitats'!$A$3:$A$134,0)),"")</f>
        <v/>
      </c>
      <c r="G255" s="53"/>
      <c r="H255" s="362" t="str">
        <f>IF(F255="","",VLOOKUP(F255,'G-1 All Habitats'!$B$2:$M$134,10,FALSE))</f>
        <v/>
      </c>
      <c r="I255" s="363" t="str">
        <f>IFERROR(VLOOKUP(H255,'G-1 All Habitats'!$V$3:$W$7,2,FALSE),"")</f>
        <v/>
      </c>
      <c r="J255" s="54"/>
      <c r="K255" s="363" t="str">
        <f>IFERROR(INDEX('G-8 Condition Look up'!$A$3:$H$135,MATCH(F255,'G-8 Condition Look up'!$A$3:$A$135,0),MATCH(J255,'G-8 Condition Look up'!$A$3:$H$3,0)),"")</f>
        <v/>
      </c>
      <c r="L255" s="54"/>
      <c r="M255" s="370" t="str">
        <f>IF(L255="","",IF(VLOOKUP(L255,'G-3 Multipliers'!$L$3:$N$6,2,FALSE)=0,"Spatial Data Missing",VLOOKUP(L255,'G-3 Multipliers'!$L$3:$N$6,2,FALSE)))</f>
        <v/>
      </c>
      <c r="N255" s="368" t="str">
        <f>IF(L255="","",IF(VLOOKUP(L255,'G-3 Multipliers'!$L$3:$N$6,3,FALSE)=0,"Spatial Data Missing",VLOOKUP(L255,'G-3 Multipliers'!$L$3:$N$6,3,FALSE)))</f>
        <v/>
      </c>
      <c r="O255" s="362" t="str">
        <f t="shared" si="18"/>
        <v/>
      </c>
      <c r="P255" s="63"/>
      <c r="Q255" s="63"/>
      <c r="R255" s="370" t="str">
        <f t="shared" si="20"/>
        <v/>
      </c>
      <c r="S255" s="383" t="str">
        <f t="shared" si="21"/>
        <v/>
      </c>
      <c r="T255" s="384" t="str">
        <f>IFERROR(IF(S255="Check Data ⚠","Check Data ⚠",VLOOKUP(S255,'G-4 Temporal multipliers'!$A$4:$C$37,3,FALSE)),"")</f>
        <v/>
      </c>
      <c r="U255" s="385" t="str">
        <f>IF(F255="","",VLOOKUP(F255,'G-3 Multipliers'!$A$2:$E$134,2,FALSE))</f>
        <v/>
      </c>
      <c r="V255" s="382" t="str">
        <f t="shared" si="23"/>
        <v/>
      </c>
      <c r="W255" s="382" t="str">
        <f>IF(E255="","",IF(AND(V255="Standard difficulty applied",O255&gt;P255),U255,IF(AND(V255="Low Difficulty - only applicable if all habitat created before losses",P255&gt;=O255),"Low",VLOOKUP(F255,'G-3 Multipliers'!$A$2:$E$134,4,FALSE))))</f>
        <v/>
      </c>
      <c r="X255" s="386" t="str">
        <f>IFERROR(IF(E255="","",VLOOKUP(W255, 'G-3 Multipliers'!$P$2:$Q$6,2,FALSE)),"")</f>
        <v/>
      </c>
      <c r="Y255" s="390" t="str">
        <f t="shared" si="22"/>
        <v/>
      </c>
      <c r="Z255" s="194"/>
      <c r="AA255" s="195"/>
      <c r="AB255" s="120"/>
      <c r="AE255" s="40" t="str">
        <f t="shared" si="19"/>
        <v/>
      </c>
    </row>
    <row r="256" spans="1:31" ht="15.75" thickBot="1">
      <c r="A256" s="35" t="str">
        <f>IFERROR(INDEX('G-8 Condition Look up'!$I$4:$I$135,MATCH(F256,'G-8 Condition Look up'!$A$4:$A$135,0)),"")</f>
        <v/>
      </c>
      <c r="C256" s="299" t="str">
        <f>IFERROR(INDEX('G-1 All Habitats'!$AG$3:$AG$17,MATCH(D256,'G-1 All Habitats'!$AF$3:$AF$17,0)),"")</f>
        <v/>
      </c>
      <c r="D256" s="816"/>
      <c r="E256" s="196"/>
      <c r="F256" s="817" t="str">
        <f>IFERROR(INDEX('G-1 All Habitats'!$B$3:$B$134,MATCH(E256,'G-1 All Habitats'!$A$3:$A$134,0)),"")</f>
        <v/>
      </c>
      <c r="G256" s="258"/>
      <c r="H256" s="796" t="str">
        <f>IF(F256="","",VLOOKUP(F256,'G-1 All Habitats'!$B$2:$M$134,10,FALSE))</f>
        <v/>
      </c>
      <c r="I256" s="365" t="str">
        <f>IFERROR(VLOOKUP(H256,'G-1 All Habitats'!$V$3:$W$7,2,FALSE),"")</f>
        <v/>
      </c>
      <c r="J256" s="256"/>
      <c r="K256" s="797" t="str">
        <f>IFERROR(INDEX('G-8 Condition Look up'!$A$3:$H$135,MATCH(F256,'G-8 Condition Look up'!$A$3:$A$135,0),MATCH(J256,'G-8 Condition Look up'!$A$3:$H$3,0)),"")</f>
        <v/>
      </c>
      <c r="L256" s="256"/>
      <c r="M256" s="371" t="str">
        <f>IF(L256="","",IF(VLOOKUP(L256,'G-3 Multipliers'!$L$3:$N$6,2,FALSE)=0,"Spatial Data Missing",VLOOKUP(L256,'G-3 Multipliers'!$L$3:$N$6,2,FALSE)))</f>
        <v/>
      </c>
      <c r="N256" s="818" t="str">
        <f>IF(L256="","",IF(VLOOKUP(L256,'G-3 Multipliers'!$L$3:$N$6,3,FALSE)=0,"Spatial Data Missing",VLOOKUP(L256,'G-3 Multipliers'!$L$3:$N$6,3,FALSE)))</f>
        <v/>
      </c>
      <c r="O256" s="364" t="str">
        <f t="shared" si="18"/>
        <v/>
      </c>
      <c r="P256" s="196"/>
      <c r="Q256" s="196"/>
      <c r="R256" s="798" t="str">
        <f t="shared" si="20"/>
        <v/>
      </c>
      <c r="S256" s="819" t="str">
        <f t="shared" si="21"/>
        <v/>
      </c>
      <c r="T256" s="820" t="str">
        <f>IFERROR(IF(S256="Check Data ⚠","Check Data ⚠",VLOOKUP(S256,'G-4 Temporal multipliers'!$A$4:$C$37,3,FALSE)),"")</f>
        <v/>
      </c>
      <c r="U256" s="389" t="str">
        <f>IF(F256="","",VLOOKUP(F256,'G-3 Multipliers'!$A$2:$E$134,2,FALSE))</f>
        <v/>
      </c>
      <c r="V256" s="371" t="str">
        <f t="shared" si="23"/>
        <v/>
      </c>
      <c r="W256" s="371" t="str">
        <f>IF(E256="","",IF(AND(V256="Standard difficulty applied",O256&gt;P256),U256,IF(AND(V256="Low Difficulty - only applicable if all habitat created before losses",P256&gt;=O256),"Low",VLOOKUP(F256,'G-3 Multipliers'!$A$2:$E$134,4,FALSE))))</f>
        <v/>
      </c>
      <c r="X256" s="365" t="str">
        <f>IFERROR(IF(E256="","",VLOOKUP(W256, 'G-3 Multipliers'!$P$2:$Q$6,2,FALSE)),"")</f>
        <v/>
      </c>
      <c r="Y256" s="391" t="str">
        <f t="shared" si="22"/>
        <v/>
      </c>
      <c r="Z256" s="259"/>
      <c r="AA256" s="260"/>
      <c r="AB256" s="683"/>
      <c r="AE256" s="40" t="str">
        <f t="shared" si="19"/>
        <v/>
      </c>
    </row>
    <row r="257" spans="5:25" ht="15.75" thickBot="1">
      <c r="E257" s="811" t="s">
        <v>329</v>
      </c>
      <c r="F257" s="266" t="s">
        <v>330</v>
      </c>
      <c r="G257" s="403">
        <f>SUM(G11:G256)</f>
        <v>45.938000000000002</v>
      </c>
      <c r="T257" s="66"/>
      <c r="U257" s="66"/>
      <c r="V257" s="66"/>
      <c r="W257" s="66"/>
      <c r="X257" s="132" t="s">
        <v>331</v>
      </c>
      <c r="Y257" s="381">
        <f>SUM(Y11:Y256)</f>
        <v>189.0054904021232</v>
      </c>
    </row>
    <row r="258" spans="5:25" ht="15.75" thickBot="1"/>
    <row r="259" spans="5:25" ht="15.75" thickBot="1">
      <c r="E259" s="515" t="s">
        <v>305</v>
      </c>
      <c r="G259" s="366">
        <f>IF('Detailed Results'!$K$40&gt;0,"Error",SUMIFS($G$11:$G$256,$F$11:$F$256,"&lt;&gt;"&amp;'G-1 All Habitats'!B80,$F$11:$F$256,"&lt;&gt;"&amp;'G-1 All Habitats'!B81,$F$11:$F$256,"&lt;&gt;"&amp;'G-1 All Habitats'!B67,$F$11:$F$256,"&lt;&gt;"&amp;'G-1 All Habitats'!B68, $F$11:$F$256,"&lt;&gt;"&amp;'G-1 All Habitats'!B81))</f>
        <v>45.938000000000002</v>
      </c>
    </row>
    <row r="260" spans="5:25" ht="15.75" thickBot="1"/>
    <row r="261" spans="5:25" ht="15.75" thickBot="1">
      <c r="E261" s="1465" t="s">
        <v>307</v>
      </c>
      <c r="F261" s="36"/>
      <c r="G261" s="597" t="s">
        <v>308</v>
      </c>
      <c r="H261" s="551" t="s">
        <v>309</v>
      </c>
      <c r="I261" s="1419" t="s">
        <v>310</v>
      </c>
      <c r="J261" s="1420"/>
    </row>
    <row r="262" spans="5:25" ht="15" customHeight="1" thickBot="1">
      <c r="E262" s="1466"/>
      <c r="F262" s="36"/>
      <c r="G262" s="553"/>
      <c r="H262" s="552" t="str">
        <f>IF(G261="Hectares",G262,IF(G261="M²",G262/10000,""))</f>
        <v/>
      </c>
      <c r="I262" s="1421" t="str">
        <f>IF(G261="M²",G262,IF(G261="Hectares",G262*10000,""))</f>
        <v/>
      </c>
      <c r="J262" s="1422"/>
    </row>
    <row r="263" spans="5:25">
      <c r="E263" s="35"/>
    </row>
    <row r="264" spans="5:25">
      <c r="E264" s="35"/>
    </row>
    <row r="265" spans="5:25">
      <c r="E265" s="35"/>
    </row>
    <row r="266" spans="5:25">
      <c r="E266" s="35"/>
    </row>
  </sheetData>
  <sheetProtection algorithmName="SHA-512" hashValue="yUyfI5LNvhT48Q4EVJtFjASkiIuwgcB7shIF6M0hlBMCejZYgk13996vqcTfSd8G2BiXZ4XgwuUo11Wmb4t9iA==" saltValue="n20BEoe2IgvKQGbVWU/CcQ==" spinCount="100000" sheet="1" objects="1" scenarios="1"/>
  <customSheetViews>
    <customSheetView guid="{8BDA793C-C9C5-4FC6-A0A5-F1109F6D4F22}" topLeftCell="B1">
      <pane ySplit="10" topLeftCell="A11" activePane="bottomLeft" state="frozen"/>
      <selection pane="bottomLeft"/>
    </customSheetView>
  </customSheetViews>
  <mergeCells count="31">
    <mergeCell ref="E261:E262"/>
    <mergeCell ref="I261:J261"/>
    <mergeCell ref="I262:J262"/>
    <mergeCell ref="S2:X5"/>
    <mergeCell ref="U9:X9"/>
    <mergeCell ref="H2:L2"/>
    <mergeCell ref="H3:J3"/>
    <mergeCell ref="K3:L3"/>
    <mergeCell ref="H4:J4"/>
    <mergeCell ref="K4:L4"/>
    <mergeCell ref="H5:J5"/>
    <mergeCell ref="K5:L5"/>
    <mergeCell ref="K6:L6"/>
    <mergeCell ref="H6:J6"/>
    <mergeCell ref="H7:L7"/>
    <mergeCell ref="AE8:AE9"/>
    <mergeCell ref="D2:E2"/>
    <mergeCell ref="D3:E3"/>
    <mergeCell ref="F9:F10"/>
    <mergeCell ref="L9:N9"/>
    <mergeCell ref="G9:G10"/>
    <mergeCell ref="D9:D10"/>
    <mergeCell ref="E9:E10"/>
    <mergeCell ref="D8:AA8"/>
    <mergeCell ref="Y9:Y10"/>
    <mergeCell ref="Z9:AA9"/>
    <mergeCell ref="H9:I9"/>
    <mergeCell ref="J9:K9"/>
    <mergeCell ref="O9:T9"/>
    <mergeCell ref="N2:R3"/>
    <mergeCell ref="N4:R6"/>
  </mergeCells>
  <conditionalFormatting sqref="K11:K256">
    <cfRule type="cellIs" dxfId="702" priority="53" operator="equal">
      <formula>"Not Possible"</formula>
    </cfRule>
  </conditionalFormatting>
  <conditionalFormatting sqref="S11:S256">
    <cfRule type="containsText" dxfId="701" priority="35" operator="containsText" text="30+">
      <formula>NOT(ISERROR(SEARCH("30+",S11)))</formula>
    </cfRule>
  </conditionalFormatting>
  <conditionalFormatting sqref="O11:O256">
    <cfRule type="containsText" dxfId="700" priority="34" operator="containsText" text="30+">
      <formula>NOT(ISERROR(SEARCH("30+",O11)))</formula>
    </cfRule>
  </conditionalFormatting>
  <conditionalFormatting sqref="V11:V256">
    <cfRule type="cellIs" dxfId="699" priority="24" operator="equal">
      <formula>"No - Enhancement difficulty applied"</formula>
    </cfRule>
    <cfRule type="containsText" dxfId="698" priority="30" operator="containsText" text="No - Low Difficulty">
      <formula>NOT(ISERROR(SEARCH("No - Low Difficulty",V11)))</formula>
    </cfRule>
  </conditionalFormatting>
  <conditionalFormatting sqref="X12:Y257 R11:Y11 R12:X256">
    <cfRule type="containsText" dxfId="697" priority="29" operator="containsText" text="Error">
      <formula>NOT(ISERROR(SEARCH("Error",R11)))</formula>
    </cfRule>
    <cfRule type="containsText" dxfId="696" priority="32" operator="containsText" text="Check">
      <formula>NOT(ISERROR(SEARCH("Check",R11)))</formula>
    </cfRule>
  </conditionalFormatting>
  <conditionalFormatting sqref="N2">
    <cfRule type="containsText" dxfId="695" priority="28" operator="containsText" text="Note">
      <formula>NOT(ISERROR(SEARCH("Note",N2)))</formula>
    </cfRule>
  </conditionalFormatting>
  <conditionalFormatting sqref="N4">
    <cfRule type="containsText" dxfId="694" priority="27" operator="containsText" text="Check">
      <formula>NOT(ISERROR(SEARCH("Check",N4)))</formula>
    </cfRule>
  </conditionalFormatting>
  <conditionalFormatting sqref="T255">
    <cfRule type="containsText" dxfId="693" priority="26" operator="containsText" text="30+">
      <formula>NOT(ISERROR(SEARCH("30+",T255)))</formula>
    </cfRule>
  </conditionalFormatting>
  <conditionalFormatting sqref="V11:V256">
    <cfRule type="cellIs" dxfId="692" priority="25" operator="equal">
      <formula>"No - Enhancement difficulty applied"</formula>
    </cfRule>
  </conditionalFormatting>
  <conditionalFormatting sqref="E257">
    <cfRule type="containsText" dxfId="691" priority="22" operator="containsText" text="Error">
      <formula>NOT(ISERROR(SEARCH("Error",E257)))</formula>
    </cfRule>
    <cfRule type="containsText" dxfId="690" priority="23" operator="containsText" text="Check">
      <formula>NOT(ISERROR(SEARCH("Check",E257)))</formula>
    </cfRule>
  </conditionalFormatting>
  <conditionalFormatting sqref="K3">
    <cfRule type="containsText" dxfId="689" priority="14" operator="containsText" text="Error">
      <formula>NOT(ISERROR(SEARCH("Error",K3)))</formula>
    </cfRule>
    <cfRule type="containsText" dxfId="688" priority="15" operator="containsText" text="Check">
      <formula>NOT(ISERROR(SEARCH("Check",K3)))</formula>
    </cfRule>
  </conditionalFormatting>
  <conditionalFormatting sqref="K4">
    <cfRule type="containsText" dxfId="687" priority="2" operator="containsText" text="Check">
      <formula>NOT(ISERROR(SEARCH("Check",K4)))</formula>
    </cfRule>
    <cfRule type="containsText" dxfId="686" priority="9" operator="containsText" text="Error">
      <formula>NOT(ISERROR(SEARCH("Error",K4)))</formula>
    </cfRule>
  </conditionalFormatting>
  <conditionalFormatting sqref="K4">
    <cfRule type="cellIs" dxfId="685" priority="10" operator="equal">
      <formula>0</formula>
    </cfRule>
  </conditionalFormatting>
  <conditionalFormatting sqref="K5">
    <cfRule type="containsText" dxfId="684" priority="7" operator="containsText" text="No">
      <formula>NOT(ISERROR(SEARCH("No",K5)))</formula>
    </cfRule>
    <cfRule type="containsText" dxfId="683" priority="8" operator="containsText" text="Yes">
      <formula>NOT(ISERROR(SEARCH("Yes",K5)))</formula>
    </cfRule>
  </conditionalFormatting>
  <conditionalFormatting sqref="K6">
    <cfRule type="containsText" dxfId="682" priority="5" operator="containsText" text=" 🗸">
      <formula>NOT(ISERROR(SEARCH(" 🗸",K6)))</formula>
    </cfRule>
    <cfRule type="containsText" dxfId="681" priority="6" operator="containsText" text="▲">
      <formula>NOT(ISERROR(SEARCH("▲",K6)))</formula>
    </cfRule>
  </conditionalFormatting>
  <conditionalFormatting sqref="S2:X5">
    <cfRule type="containsText" dxfId="680" priority="4" operator="containsText" text="Check">
      <formula>NOT(ISERROR(SEARCH("Check",S2)))</formula>
    </cfRule>
  </conditionalFormatting>
  <conditionalFormatting sqref="H7:L7">
    <cfRule type="containsText" dxfId="679" priority="3" operator="containsText" text="⚠">
      <formula>NOT(ISERROR(SEARCH("⚠",H7)))</formula>
    </cfRule>
  </conditionalFormatting>
  <conditionalFormatting sqref="K4:L4">
    <cfRule type="cellIs" dxfId="678" priority="11" operator="lessThan">
      <formula>0</formula>
    </cfRule>
  </conditionalFormatting>
  <conditionalFormatting sqref="K3:L6">
    <cfRule type="containsText" dxfId="677" priority="1" operator="containsText" text="N/A">
      <formula>NOT(ISERROR(SEARCH("N/A",K3)))</formula>
    </cfRule>
  </conditionalFormatting>
  <dataValidations count="4">
    <dataValidation allowBlank="1" showErrorMessage="1" errorTitle="Invalid Habitat" error="Select from List" sqref="F11:F256" xr:uid="{00000000-0002-0000-0B00-000000000000}"/>
    <dataValidation type="list" allowBlank="1" showInputMessage="1" showErrorMessage="1" sqref="E11:E256" xr:uid="{00000000-0002-0000-0B00-000001000000}">
      <formula1>INDIRECT(C11)</formula1>
    </dataValidation>
    <dataValidation type="list" allowBlank="1" showInputMessage="1" showErrorMessage="1" sqref="J11:J256" xr:uid="{00000000-0002-0000-0B00-000002000000}">
      <formula1>INDIRECT(A11)</formula1>
    </dataValidation>
    <dataValidation type="list" allowBlank="1" showInputMessage="1" showErrorMessage="1" sqref="G261" xr:uid="{1EDEC249-3ACC-4671-899F-95158C4C8ED1}">
      <formula1>"Hectares, M²"</formula1>
    </dataValidation>
  </dataValidations>
  <pageMargins left="0.7" right="0.7" top="0.75" bottom="0.75" header="0.3" footer="0.3"/>
  <pageSetup paperSize="9" orientation="portrait" horizontalDpi="90" verticalDpi="90" r:id="rId1"/>
  <drawing r:id="rId2"/>
  <extLst>
    <ext xmlns:x14="http://schemas.microsoft.com/office/spreadsheetml/2009/9/main" uri="{78C0D931-6437-407d-A8EE-F0AAD7539E65}">
      <x14:conditionalFormattings>
        <x14:conditionalFormatting xmlns:xm="http://schemas.microsoft.com/office/excel/2006/main">
          <x14:cfRule type="iconSet" priority="17" id="{B42DD7DA-ABCB-49B8-917C-32E4292176C4}">
            <x14:iconSet iconSet="3Symbols" custom="1">
              <x14:cfvo type="percent">
                <xm:f>0</xm:f>
              </x14:cfvo>
              <x14:cfvo type="num" gte="0">
                <xm:f>0</xm:f>
              </x14:cfvo>
              <x14:cfvo type="num" gte="0">
                <xm:f>30</xm:f>
              </x14:cfvo>
              <x14:cfIcon iconSet="NoIcons" iconId="0"/>
              <x14:cfIcon iconSet="NoIcons" iconId="0"/>
              <x14:cfIcon iconSet="3Symbols" iconId="1"/>
            </x14:iconSet>
          </x14:cfRule>
          <xm:sqref>S11</xm:sqref>
        </x14:conditionalFormatting>
        <x14:conditionalFormatting xmlns:xm="http://schemas.microsoft.com/office/excel/2006/main">
          <x14:cfRule type="iconSet" priority="16" id="{4158B924-C820-415A-BD91-EB588928C690}">
            <x14:iconSet iconSet="3Symbols" custom="1">
              <x14:cfvo type="percent">
                <xm:f>0</xm:f>
              </x14:cfvo>
              <x14:cfvo type="num">
                <xm:f>0</xm:f>
              </x14:cfvo>
              <x14:cfvo type="num" gte="0">
                <xm:f>30</xm:f>
              </x14:cfvo>
              <x14:cfIcon iconSet="NoIcons" iconId="0"/>
              <x14:cfIcon iconSet="NoIcons" iconId="0"/>
              <x14:cfIcon iconSet="3Symbols" iconId="1"/>
            </x14:iconSet>
          </x14:cfRule>
          <xm:sqref>O11</xm:sqref>
        </x14:conditionalFormatting>
        <x14:conditionalFormatting xmlns:xm="http://schemas.microsoft.com/office/excel/2006/main">
          <x14:cfRule type="cellIs" priority="423" operator="lessThan" id="{0B505358-DF53-46B7-974A-183E1924519F}">
            <xm:f>Start!$F$22</xm:f>
            <x14:dxf>
              <font>
                <color rgb="FF383745"/>
              </font>
              <fill>
                <patternFill>
                  <bgColor rgb="FFFFC000"/>
                </patternFill>
              </fill>
            </x14:dxf>
          </x14:cfRule>
          <x14:cfRule type="cellIs" priority="424" operator="greaterThanOrEqual" id="{42D50648-5D71-4680-876A-3EF944CA0FC3}">
            <xm:f>0+Start!$F$22</xm:f>
            <x14:dxf>
              <font>
                <color rgb="FF383745"/>
              </font>
              <fill>
                <patternFill>
                  <bgColor rgb="FF92D050"/>
                </patternFill>
              </fill>
            </x14:dxf>
          </x14:cfRule>
          <xm:sqref>K4</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00000000-0002-0000-0B00-000003000000}">
          <x14:formula1>
            <xm:f>'G-3 Multipliers'!$L$4:$L$6</xm:f>
          </x14:formula1>
          <xm:sqref>L11:L256</xm:sqref>
        </x14:dataValidation>
        <x14:dataValidation type="list" allowBlank="1" showInputMessage="1" showErrorMessage="1" xr:uid="{00000000-0002-0000-0B00-000004000000}">
          <x14:formula1>
            <xm:f>'G-4 Temporal multipliers'!$A$42:$A$73</xm:f>
          </x14:formula1>
          <xm:sqref>P11:Q256</xm:sqref>
        </x14:dataValidation>
        <x14:dataValidation type="list" allowBlank="1" showInputMessage="1" showErrorMessage="1" xr:uid="{A201F8C6-BCE6-4054-9AC5-88D6C705829C}">
          <x14:formula1>
            <xm:f>'G-1 All Habitats'!$AF$3:$AF$17</xm:f>
          </x14:formula1>
          <xm:sqref>D11:D256</xm:sqref>
        </x14:dataValidation>
      </x14:dataValidations>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9">
    <tabColor rgb="FF006600"/>
  </sheetPr>
  <dimension ref="A1:AQ266"/>
  <sheetViews>
    <sheetView showGridLines="0" topLeftCell="E1" zoomScale="80" zoomScaleNormal="80" workbookViewId="0">
      <pane ySplit="11" topLeftCell="A12" activePane="bottomLeft" state="frozen"/>
      <selection pane="bottomLeft" activeCell="E1" sqref="E1"/>
    </sheetView>
  </sheetViews>
  <sheetFormatPr defaultColWidth="8.7109375" defaultRowHeight="15" zeroHeight="1"/>
  <cols>
    <col min="1" max="1" width="19.5703125" style="35" hidden="1" customWidth="1"/>
    <col min="2" max="2" width="16.42578125" style="35" hidden="1" customWidth="1"/>
    <col min="3" max="3" width="10.42578125" style="35" hidden="1" customWidth="1"/>
    <col min="4" max="4" width="15.5703125" style="35" hidden="1" customWidth="1"/>
    <col min="5" max="5" width="11.28515625" style="35" customWidth="1"/>
    <col min="6" max="6" width="57.7109375" style="35" customWidth="1"/>
    <col min="7" max="7" width="13.28515625" style="35" customWidth="1"/>
    <col min="8" max="9" width="17.7109375" style="35" customWidth="1"/>
    <col min="10" max="10" width="18.28515625" style="35" customWidth="1"/>
    <col min="11" max="12" width="19.28515625" style="35" customWidth="1"/>
    <col min="13" max="13" width="20.28515625" style="35" customWidth="1"/>
    <col min="14" max="14" width="19.28515625" style="35" customWidth="1"/>
    <col min="15" max="15" width="34" style="35" customWidth="1"/>
    <col min="16" max="16" width="22.42578125" style="35" hidden="1" customWidth="1"/>
    <col min="17" max="17" width="34" style="35" customWidth="1"/>
    <col min="18" max="18" width="73" style="35" customWidth="1"/>
    <col min="19" max="19" width="61.28515625" style="35" hidden="1" customWidth="1"/>
    <col min="20" max="21" width="34.28515625" style="35" customWidth="1"/>
    <col min="22" max="22" width="14" style="35" customWidth="1"/>
    <col min="23" max="23" width="18.42578125" style="35" customWidth="1"/>
    <col min="24" max="24" width="13.28515625" style="35" customWidth="1"/>
    <col min="25" max="25" width="12.7109375" style="35" customWidth="1"/>
    <col min="26" max="26" width="12.5703125" style="35" customWidth="1"/>
    <col min="27" max="27" width="41.7109375" style="35" customWidth="1"/>
    <col min="28" max="28" width="15.42578125" style="35" customWidth="1"/>
    <col min="29" max="29" width="12.28515625" style="35" customWidth="1"/>
    <col min="30" max="30" width="18.28515625" style="35" customWidth="1"/>
    <col min="31" max="31" width="20.7109375" style="35" customWidth="1"/>
    <col min="32" max="32" width="22.7109375" style="35" customWidth="1"/>
    <col min="33" max="33" width="33.28515625" style="35" customWidth="1"/>
    <col min="34" max="34" width="19.5703125" style="35" customWidth="1"/>
    <col min="35" max="35" width="15.28515625" style="35" customWidth="1"/>
    <col min="36" max="36" width="17.5703125" style="35" customWidth="1"/>
    <col min="37" max="37" width="29.42578125" style="35" customWidth="1"/>
    <col min="38" max="38" width="17.28515625" style="35" customWidth="1"/>
    <col min="39" max="39" width="14.5703125" style="35" customWidth="1"/>
    <col min="40" max="40" width="12.7109375" style="35" customWidth="1"/>
    <col min="41" max="41" width="40.28515625" style="35" customWidth="1"/>
    <col min="42" max="42" width="42.28515625" style="35" customWidth="1"/>
    <col min="43" max="43" width="14.7109375" style="35" customWidth="1"/>
    <col min="44" max="55" width="8.7109375" style="35" customWidth="1"/>
    <col min="56" max="16384" width="8.7109375" style="35"/>
  </cols>
  <sheetData>
    <row r="1" spans="1:43" ht="15.75" thickBot="1"/>
    <row r="2" spans="1:43" ht="19.5" customHeight="1" thickBot="1">
      <c r="E2" s="1448" t="str">
        <f>CONCATENATE("Project Name:", " ", Start!F12, "     ", "Map Reference:", " ", Start!K55)</f>
        <v xml:space="preserve">Project Name: Grove Farm Solar     Map Reference: </v>
      </c>
      <c r="F2" s="1489"/>
      <c r="G2" s="1449"/>
      <c r="R2" s="1404" t="s">
        <v>262</v>
      </c>
      <c r="S2" s="1405"/>
      <c r="T2" s="1405"/>
      <c r="U2" s="1406"/>
      <c r="V2" s="1498" t="str" cm="1">
        <f t="array" ref="V2">IF(OR(Y12:Y257 = "Fairly Good", Y12:Y257 = "Fairly Poor"),"A 'Fairly' Category has been used - check evidence to ensure this is appropriate ⚠", "")</f>
        <v/>
      </c>
      <c r="W2" s="1498"/>
      <c r="X2" s="1498"/>
      <c r="Y2" s="1498"/>
      <c r="Z2" s="1498"/>
      <c r="AA2" s="1498"/>
      <c r="AD2" s="1497" t="str">
        <f>IF(OR(COUNTIF($AD$12:AD257,"*30+*")&gt;0,COUNTIF(AH12:AH257,"*30+*")&gt;0),"Note; Habitat selected has a time to target condition greater than 30 years. Non standard agreement may be required.","")</f>
        <v/>
      </c>
      <c r="AE2" s="1497"/>
      <c r="AF2" s="1497"/>
      <c r="AG2" s="1497"/>
      <c r="AH2" s="1497"/>
      <c r="AI2" s="1497"/>
    </row>
    <row r="3" spans="1:43" ht="13.15" customHeight="1">
      <c r="E3" s="1490" t="str">
        <f ca="1">MID(CELL("filename",D1),FIND("]",CELL("filename",D1))+1,256)</f>
        <v>A-3 On-Site Habitat Enhancement</v>
      </c>
      <c r="F3" s="1491"/>
      <c r="G3" s="1492"/>
      <c r="R3" s="1442" t="s">
        <v>263</v>
      </c>
      <c r="S3" s="1443"/>
      <c r="T3" s="1501">
        <f>'Headline Results'!H47</f>
        <v>97.897490402123225</v>
      </c>
      <c r="U3" s="1502"/>
      <c r="V3" s="1498"/>
      <c r="W3" s="1498"/>
      <c r="X3" s="1498"/>
      <c r="Y3" s="1498"/>
      <c r="Z3" s="1498"/>
      <c r="AA3" s="1498"/>
      <c r="AD3" s="1497"/>
      <c r="AE3" s="1497"/>
      <c r="AF3" s="1497"/>
      <c r="AG3" s="1497"/>
      <c r="AH3" s="1497"/>
      <c r="AI3" s="1497"/>
    </row>
    <row r="4" spans="1:43" ht="15.75" customHeight="1" thickBot="1">
      <c r="E4" s="1450"/>
      <c r="F4" s="1493"/>
      <c r="G4" s="1451"/>
      <c r="H4" s="189" t="str">
        <f>IF(G4="","",IF(ISNA(VLOOKUP($E4,'A-1 On-Site Habitat Baseline'!$D$1:$O$258,3,FALSE)),"",(VLOOKUP($E4,'A-1 On-Site Habitat Baseline'!$D$1:$O$258,3,FALSE))))</f>
        <v/>
      </c>
      <c r="R4" s="1444" t="s">
        <v>265</v>
      </c>
      <c r="S4" s="1445"/>
      <c r="T4" s="1503">
        <f>'Headline Results'!H51</f>
        <v>1.012467323068333</v>
      </c>
      <c r="U4" s="1504"/>
      <c r="V4" s="1498"/>
      <c r="W4" s="1498"/>
      <c r="X4" s="1498"/>
      <c r="Y4" s="1498"/>
      <c r="Z4" s="1498"/>
      <c r="AA4" s="1498"/>
      <c r="AD4" s="330"/>
      <c r="AE4" s="330"/>
      <c r="AF4" s="330"/>
      <c r="AG4" s="330"/>
      <c r="AK4" s="190"/>
      <c r="AL4" s="190"/>
      <c r="AM4" s="190"/>
    </row>
    <row r="5" spans="1:43" ht="15" customHeight="1" thickBot="1">
      <c r="R5" s="1446" t="s">
        <v>267</v>
      </c>
      <c r="S5" s="1440"/>
      <c r="T5" s="1440" t="str" cm="1">
        <f t="array" ref="T5">IF(OR('Trading Summary Area Habitats'!G5:G8="No ▲"), "No - check trading summaries ▲", "Yes ✓")</f>
        <v>Yes ✓</v>
      </c>
      <c r="U5" s="1441"/>
      <c r="V5" s="1498"/>
      <c r="W5" s="1498"/>
      <c r="X5" s="1498"/>
      <c r="Y5" s="1498"/>
      <c r="Z5" s="1498"/>
      <c r="AA5" s="1498"/>
      <c r="AD5" s="1497" t="str">
        <f>IF(Q12&lt;&gt;A12,"Change in broad habitat type detected. Check compliance with guidance.","")</f>
        <v/>
      </c>
      <c r="AE5" s="1497"/>
      <c r="AF5" s="1497"/>
      <c r="AG5" s="1497"/>
      <c r="AH5" s="1497"/>
      <c r="AI5" s="1497"/>
    </row>
    <row r="6" spans="1:43" ht="15.75" customHeight="1">
      <c r="R6" s="1499" t="str" cm="1">
        <f t="array" ref="R6">IF(OR(Q11:Q258="watercourse footprint"),"Please ensure the watercourse details for any watercourse footprints recorded are included in the watercourse tabs ⚠", "")</f>
        <v/>
      </c>
      <c r="S6" s="1499"/>
      <c r="T6" s="1499"/>
      <c r="AD6" s="1497"/>
      <c r="AE6" s="1497"/>
      <c r="AF6" s="1497"/>
      <c r="AG6" s="1497"/>
      <c r="AH6" s="1497"/>
      <c r="AI6" s="1497"/>
    </row>
    <row r="7" spans="1:43">
      <c r="E7" s="36"/>
      <c r="F7" s="36"/>
      <c r="R7" s="1499"/>
      <c r="S7" s="1499"/>
      <c r="T7" s="1499"/>
    </row>
    <row r="8" spans="1:43" ht="18" customHeight="1" thickBot="1">
      <c r="R8" s="1500"/>
      <c r="S8" s="1500"/>
      <c r="T8" s="1500"/>
    </row>
    <row r="9" spans="1:43" ht="15.6" customHeight="1" thickBot="1">
      <c r="F9" s="41"/>
      <c r="G9" s="41"/>
      <c r="H9" s="41"/>
      <c r="I9" s="41"/>
      <c r="J9" s="41"/>
      <c r="K9" s="41"/>
      <c r="L9" s="41"/>
      <c r="M9" s="41"/>
      <c r="N9" s="41"/>
      <c r="O9" s="41"/>
      <c r="P9" s="41"/>
      <c r="Q9" s="1458" t="s">
        <v>311</v>
      </c>
      <c r="R9" s="1459"/>
      <c r="S9" s="1459"/>
      <c r="T9" s="1459"/>
      <c r="U9" s="1459"/>
      <c r="V9" s="1459"/>
      <c r="W9" s="1459"/>
      <c r="X9" s="1459"/>
      <c r="Y9" s="1459"/>
      <c r="Z9" s="1459"/>
      <c r="AA9" s="1459"/>
      <c r="AB9" s="1459"/>
      <c r="AC9" s="1459"/>
      <c r="AD9" s="1459"/>
      <c r="AE9" s="1459"/>
      <c r="AF9" s="1459"/>
      <c r="AG9" s="1459"/>
      <c r="AH9" s="1459"/>
      <c r="AI9" s="1459"/>
      <c r="AJ9" s="1459"/>
      <c r="AK9" s="1459"/>
      <c r="AL9" s="1459"/>
      <c r="AM9" s="1460"/>
    </row>
    <row r="10" spans="1:43" ht="28.15" customHeight="1" thickBot="1">
      <c r="F10" s="1458" t="s">
        <v>332</v>
      </c>
      <c r="G10" s="1459"/>
      <c r="H10" s="1459"/>
      <c r="I10" s="1459"/>
      <c r="J10" s="1459"/>
      <c r="K10" s="1459"/>
      <c r="L10" s="1459"/>
      <c r="M10" s="1459"/>
      <c r="N10" s="1459"/>
      <c r="O10" s="1460"/>
      <c r="P10" s="191"/>
      <c r="Q10" s="1494" t="s">
        <v>333</v>
      </c>
      <c r="R10" s="1495"/>
      <c r="S10" s="308"/>
      <c r="T10" s="1496" t="s">
        <v>334</v>
      </c>
      <c r="U10" s="1495"/>
      <c r="V10" s="1507" t="s">
        <v>335</v>
      </c>
      <c r="W10" s="1487" t="s">
        <v>269</v>
      </c>
      <c r="X10" s="1487" t="s">
        <v>286</v>
      </c>
      <c r="Y10" s="1487" t="s">
        <v>270</v>
      </c>
      <c r="Z10" s="1488" t="s">
        <v>286</v>
      </c>
      <c r="AA10" s="1505" t="s">
        <v>271</v>
      </c>
      <c r="AB10" s="1506"/>
      <c r="AC10" s="1506"/>
      <c r="AD10" s="1487" t="s">
        <v>336</v>
      </c>
      <c r="AE10" s="1487"/>
      <c r="AF10" s="1487"/>
      <c r="AG10" s="1487"/>
      <c r="AH10" s="1487"/>
      <c r="AI10" s="1487"/>
      <c r="AJ10" s="1487" t="s">
        <v>337</v>
      </c>
      <c r="AK10" s="1487"/>
      <c r="AL10" s="1487"/>
      <c r="AM10" s="1488"/>
      <c r="AN10" s="1413" t="s">
        <v>316</v>
      </c>
      <c r="AO10" s="1494" t="s">
        <v>276</v>
      </c>
      <c r="AP10" s="1495"/>
    </row>
    <row r="11" spans="1:43" s="37" customFormat="1" ht="60" customHeight="1" thickBot="1">
      <c r="A11" s="302" t="s">
        <v>282</v>
      </c>
      <c r="B11" s="302" t="s">
        <v>338</v>
      </c>
      <c r="C11" s="302" t="s">
        <v>280</v>
      </c>
      <c r="E11" s="286" t="s">
        <v>339</v>
      </c>
      <c r="F11" s="290" t="s">
        <v>340</v>
      </c>
      <c r="G11" s="290" t="s">
        <v>341</v>
      </c>
      <c r="H11" s="290" t="s">
        <v>342</v>
      </c>
      <c r="I11" s="290" t="s">
        <v>343</v>
      </c>
      <c r="J11" s="290" t="s">
        <v>344</v>
      </c>
      <c r="K11" s="290" t="s">
        <v>345</v>
      </c>
      <c r="L11" s="290" t="s">
        <v>346</v>
      </c>
      <c r="M11" s="290" t="s">
        <v>347</v>
      </c>
      <c r="N11" s="290" t="s">
        <v>348</v>
      </c>
      <c r="O11" s="288" t="s">
        <v>272</v>
      </c>
      <c r="P11" s="284" t="s">
        <v>349</v>
      </c>
      <c r="Q11" s="297" t="s">
        <v>350</v>
      </c>
      <c r="R11" s="59" t="s">
        <v>313</v>
      </c>
      <c r="S11" s="285" t="s">
        <v>313</v>
      </c>
      <c r="T11" s="287" t="s">
        <v>351</v>
      </c>
      <c r="U11" s="289" t="s">
        <v>352</v>
      </c>
      <c r="V11" s="1508"/>
      <c r="W11" s="1511"/>
      <c r="X11" s="1511"/>
      <c r="Y11" s="1511"/>
      <c r="Z11" s="1510"/>
      <c r="AA11" s="297" t="s">
        <v>271</v>
      </c>
      <c r="AB11" s="303" t="s">
        <v>271</v>
      </c>
      <c r="AC11" s="304" t="s">
        <v>317</v>
      </c>
      <c r="AD11" s="297" t="s">
        <v>318</v>
      </c>
      <c r="AE11" s="305" t="s">
        <v>353</v>
      </c>
      <c r="AF11" s="305" t="s">
        <v>354</v>
      </c>
      <c r="AG11" s="305" t="s">
        <v>321</v>
      </c>
      <c r="AH11" s="305" t="s">
        <v>322</v>
      </c>
      <c r="AI11" s="298" t="s">
        <v>323</v>
      </c>
      <c r="AJ11" s="297" t="s">
        <v>355</v>
      </c>
      <c r="AK11" s="305" t="s">
        <v>325</v>
      </c>
      <c r="AL11" s="305" t="s">
        <v>356</v>
      </c>
      <c r="AM11" s="307" t="s">
        <v>327</v>
      </c>
      <c r="AN11" s="1509"/>
      <c r="AO11" s="287" t="s">
        <v>295</v>
      </c>
      <c r="AP11" s="289" t="s">
        <v>296</v>
      </c>
      <c r="AQ11" s="48" t="s">
        <v>297</v>
      </c>
    </row>
    <row r="12" spans="1:43">
      <c r="A12" s="35" t="str">
        <f>IF(E12="","",IF(ISNA(VLOOKUP($E12,'A-1 On-Site Habitat Baseline'!$D$1:$O$258,2,FALSE)),"",(VLOOKUP($E12,'A-1 On-Site Habitat Baseline'!$D$1:$O$258,2,FALSE))))</f>
        <v/>
      </c>
      <c r="B12" s="35" t="str">
        <f>IF(E12="","",IF(ISNA(VLOOKUP($E12,'A-1 On-Site Habitat Baseline'!$D$1:$O$258,3,FALSE)),"",(VLOOKUP($E12,'A-1 On-Site Habitat Baseline'!$D$1:$O$258,3,FALSE))))</f>
        <v/>
      </c>
      <c r="C12" s="35" t="str">
        <f>IFERROR(INDEX('G-8 Condition Look up'!$I$4:$I$135,MATCH(S12,'G-8 Condition Look up'!$A$4:$A$135,0)),"")</f>
        <v/>
      </c>
      <c r="E12" s="392" t="str">
        <f>'A-1 On-Site Habitat Baseline'!AL11</f>
        <v/>
      </c>
      <c r="F12" s="382" t="str">
        <f>IF(E12="","",IF(ISNA(VLOOKUP($E12,'A-1 On-Site Habitat Baseline'!$D$1:$O$258,4,FALSE)),"",(VLOOKUP($E12,'A-1 On-Site Habitat Baseline'!$D$1:$O$258,4,FALSE))))</f>
        <v/>
      </c>
      <c r="G12" s="382" t="str">
        <f>IF(E12="","",IF(ISNA(VLOOKUP($E12,'A-1 On-Site Habitat Baseline'!$D$1:$O$258,5,FALSE)),"",(VLOOKUP($E12,'A-1 On-Site Habitat Baseline'!$D$1:$O$258,5,FALSE))))</f>
        <v/>
      </c>
      <c r="H12" s="382" t="str">
        <f>IF(E12="","",IF(ISNA(VLOOKUP($E12,'A-1 On-Site Habitat Baseline'!$D$1:$O$258,6,FALSE)),"",(VLOOKUP($E12,'A-1 On-Site Habitat Baseline'!$D$1:$O$258,6,FALSE))))</f>
        <v/>
      </c>
      <c r="I12" s="382" t="str">
        <f>IF(E12="","",IF(ISNA(VLOOKUP($E12,'A-1 On-Site Habitat Baseline'!$D$1:$O$258,7,FALSE)),"",(VLOOKUP($E12,'A-1 On-Site Habitat Baseline'!$D$1:$O$258,7,FALSE))))</f>
        <v/>
      </c>
      <c r="J12" s="382" t="str">
        <f>IF(E12="","",IF(ISNA(VLOOKUP($E12,'A-1 On-Site Habitat Baseline'!$D$1:$O$258,8,FALSE)),"",(VLOOKUP($E12,'A-1 On-Site Habitat Baseline'!$D$1:$O$258,8,FALSE))))</f>
        <v/>
      </c>
      <c r="K12" s="382" t="str">
        <f>IF(E12="","",IF(ISNA(VLOOKUP($E12,'A-1 On-Site Habitat Baseline'!$D$1:$O$258,9,FALSE)),"",(VLOOKUP($E12,'A-1 On-Site Habitat Baseline'!$D$1:$O$258,9,FALSE))))</f>
        <v/>
      </c>
      <c r="L12" s="382" t="str">
        <f>IF(E12="","",IF(ISNA(VLOOKUP($E12,'A-1 On-Site Habitat Baseline'!$D$1:$O$258,11,FALSE)),"",(VLOOKUP($E12,'A-1 On-Site Habitat Baseline'!$D$1:$O$258,11,FALSE))))</f>
        <v/>
      </c>
      <c r="M12" s="382" t="str">
        <f>IF(E12="","",IF(ISNA(VLOOKUP($E12,'A-1 On-Site Habitat Baseline'!$D$1:$O$258,12,FALSE)),"",(VLOOKUP($E12,'A-1 On-Site Habitat Baseline'!$D$1:$O$258,12,FALSE))))</f>
        <v/>
      </c>
      <c r="N12" s="393" t="str">
        <f>IF(E12="","",IF(ISNA(VLOOKUP($E12,'A-1 On-Site Habitat Baseline'!$D$1:$X$258,14,FALSE)),"",(VLOOKUP($E12,'A-1 On-Site Habitat Baseline'!$D$1:$X$258,14,FALSE))))</f>
        <v/>
      </c>
      <c r="O12" s="386" t="str">
        <f>IF(E12="","",IF(ISNA(VLOOKUP($E12,'A-1 On-Site Habitat Baseline'!$D$1:$X$258,16,FALSE)),"",(VLOOKUP($E12,'A-1 On-Site Habitat Baseline'!$D$1:$X$258,13,FALSE))))</f>
        <v/>
      </c>
      <c r="P12" s="192" t="str">
        <f>IFERROR(INDEX('G-1 All Habitats'!$AG$3:$AG$17,MATCH(Q12,'G-1 All Habitats'!$AF$3:$AF$17,0)),"")</f>
        <v/>
      </c>
      <c r="Q12" s="193" t="str">
        <f t="shared" ref="Q12:Q76" si="0">A12</f>
        <v/>
      </c>
      <c r="R12" s="193" t="str">
        <f t="shared" ref="R12:R76" si="1">B12</f>
        <v/>
      </c>
      <c r="S12" s="306" t="str">
        <f>IFERROR(INDEX('G-1 All Habitats'!$B$3:$B$134,MATCH(R12,'G-1 All Habitats'!$A$3:$A$134,0)),"")</f>
        <v/>
      </c>
      <c r="T12" s="362" t="str">
        <f>IF(E12="","",IF(AND(LEFT(O12,6)="Same d",I12&gt;X12),"Error - Trading rules not satisfied ▲",IF(AND(LEFT(O12,6)="Same b",AND(LEFT(F12,5)&lt;&gt;LEFT(S12,5),I12&gt;X12)),"Error - Trading rules not satisfied ▲",IF(AND(LEFT(O12,6)="Same h",F12&lt;&gt;S12),"Error - Trading rules not satisfied ▲",IF(AND(LEFT(O12,6)="Bespok",F12&lt;&gt;S12),"Error - Trading rules not satisfied ▲",IF(X12&lt;I12,"Error Trading Down ▲",H12&amp;" - "&amp;W12))))))</f>
        <v/>
      </c>
      <c r="U12" s="363" t="str">
        <f>IF(F12="","",IF(AND(LEFT(F12,55)&lt;&gt;LEFT(S12,55),T12= "High - High"),"Error - Not like for like ▲",IF(AND(I12=X12,K12&gt;Z12),"Error - Can not reduce condition ▲",IF(AND(I12=X12,K12=Z12),"Error - No enhancement ▲", IF(K12&gt;Z12, "Error - condition cannot be reduced ▲", IF(X12&lt;I12,"Error Trading Down ▲",IF(AND(F12&lt;&gt;S12,I12&lt;X12),"Lower Distinctiveness Habitat"&amp;" - "&amp;Y12,J12&amp;" - "&amp;Y12)))))))</f>
        <v/>
      </c>
      <c r="V12" s="398" t="str">
        <f>IF(S12="","",VLOOKUP(E12,BaselineHabSite,17,FALSE))</f>
        <v/>
      </c>
      <c r="W12" s="382" t="str">
        <f>IF(S12="","",VLOOKUP(S12,'G-1 All Habitats'!$B$2:$M$134,10,FALSE))</f>
        <v/>
      </c>
      <c r="X12" s="382" t="str">
        <f>IFERROR(VLOOKUP(W12,'G-1 All Habitats'!$V$3:$W$7,2,FALSE),"")</f>
        <v/>
      </c>
      <c r="Y12" s="61"/>
      <c r="Z12" s="386" t="str">
        <f>IFERROR(INDEX('G-8 Condition Look up'!$A$3:$H$135,MATCH(S12,'G-8 Condition Look up'!$A$3:$A$135,0),MATCH(Y12,'G-8 Condition Look up'!$A$3:$H$3,0)),"")</f>
        <v/>
      </c>
      <c r="AA12" s="54"/>
      <c r="AB12" s="382" t="str">
        <f>IF(AA12="","",IF(VLOOKUP(AA12,'G-3 Multipliers'!$L$3:$N$6,2,FALSE)=0,"Spatial Data Missing ⚠",VLOOKUP(AA12,'G-3 Multipliers'!$L$3:$N$6,2,FALSE)))</f>
        <v/>
      </c>
      <c r="AC12" s="386" t="str">
        <f>IF(AA12="","",IF(VLOOKUP(AA12,'G-3 Multipliers'!$L$3:$N$6,3,FALSE)=0,"Spatial Data Missing ⚠",VLOOKUP(AA12,'G-3 Multipliers'!$L$3:$N$6,3,FALSE)))</f>
        <v/>
      </c>
      <c r="AD12" s="400" t="str">
        <f t="shared" ref="AD12:AD75" si="2">IFERROR(IF(OR(LEFT(U12,5)="Error",LEFT(T12,5)="Error"),"Check Data ⚠",INDEX(EnhanceTemporal,MATCH(S12,EnhanceHabitat,0),MATCH(U12,EnhanceCondition,0))),"")</f>
        <v/>
      </c>
      <c r="AE12" s="63"/>
      <c r="AF12" s="63"/>
      <c r="AG12" s="370" t="str">
        <f>IF(AD12="","",IF(AD12="Check Data ⚠","Check Data ⚠",IF(R12="","",IF(AND(AE12&gt;0,AF12&gt;0),"Error -both advance and delayed habitat creation ▲",IF(AND(OR(AE12="Habitat already in target condition",AD12&lt;=AE12),AF12=0),"Check details - Is there evidence that habitat has reached target condition? ⚠",IF(O11="","",IF(AE12&gt;0,"Check details - Is there evidence habitat creation started/in place? ⚠",IF(AF12&gt;0,"Check details- Delay in starting habitat in required condition? ⚠","Standard time to target condition applied"))))))))</f>
        <v/>
      </c>
      <c r="AH12" s="383" t="str">
        <f>IF(AG12="Error -both advance and delayed habitat creation ▲","Check Data ⚠",IF(AG12="Check Data ⚠","Check Data ⚠",IF(AD12="","",IF(AD12="Not Possible","Check Data ⚠",IF(AND(AD12="30+",AE12=0),"30+",IF(AND(AD12="30+",AE12="30+"),0,IF(AND(AD12="30+",AE12&lt;30),30-AE12,IF(AD12="30+",30-AE12,IF(AE12&gt;AD12,0,IF(AF12="30+","30+",IF(AD12+AF12&gt;30,"30+",IF(AD12+AF12&gt;30,"30+",IF(AD12-AE12&gt;30,"30+",IF(AD12+AF12-AE12&gt;0,AD12+AF12-AE12,IF(AD12-AE12&gt;0,AD12-AE12,AD12+AF12-AE12)))))))))))))))</f>
        <v/>
      </c>
      <c r="AI12" s="384" t="str">
        <f>IF(AH12="Check Data ⚠","Check Data ⚠",IFERROR(VLOOKUP(AH12,'G-4 Temporal multipliers'!$A$4:$C$36,3,FALSE),""))</f>
        <v/>
      </c>
      <c r="AJ12" s="362" t="str">
        <f>IF(S12="","",VLOOKUP(S12,'G-3 Multipliers'!$A$2:$E$134,4,FALSE))</f>
        <v/>
      </c>
      <c r="AK12" s="370" t="str">
        <f>IF(E12="","",IF(AG12="Check details - Is there evidence that habitat has reached target condition? ⚠","Low Difficulty - only applicable if all habitat created before losses ⚠","Standard difficulty applied"))</f>
        <v/>
      </c>
      <c r="AL12" s="370" t="str">
        <f>(IF(AND(AK12="Standard difficulty applied",AD12&gt;AE12),AJ12,IF(AND(AK12="Low Difficulty - only applicable if all habitat created before losses ⚠",AE12&gt;=AD12),"Low", AJ12)))</f>
        <v/>
      </c>
      <c r="AM12" s="401" t="str">
        <f>IFERROR(IF(F12="","",IF(AH12="Check Data ⚠","Check Data ⚠",VLOOKUP(AL12, 'G-3 Multipliers'!$P$2:$Q$6,2,FALSE))),"")</f>
        <v/>
      </c>
      <c r="AN12" s="376" t="str">
        <f>IFERROR(((((V12*X12*Z12)-(V12*I12*K12))*(AM12*AI12))+(V12*I12*K12))*(AC12),"")</f>
        <v/>
      </c>
      <c r="AO12" s="194"/>
      <c r="AP12" s="195"/>
      <c r="AQ12" s="684"/>
    </row>
    <row r="13" spans="1:43">
      <c r="A13" s="35" t="str">
        <f>IF(E13="","",IF(ISNA(VLOOKUP($E13,'A-1 On-Site Habitat Baseline'!$D$1:$O$258,2,FALSE)),"",(VLOOKUP($E13,'A-1 On-Site Habitat Baseline'!$D$1:$O$258,2,FALSE))))</f>
        <v/>
      </c>
      <c r="B13" s="35" t="str">
        <f>IF(E13="","",IF(ISNA(VLOOKUP($E13,'A-1 On-Site Habitat Baseline'!$D$1:$O$258,3,FALSE)),"",(VLOOKUP($E13,'A-1 On-Site Habitat Baseline'!$D$1:$O$258,3,FALSE))))</f>
        <v/>
      </c>
      <c r="C13" s="35" t="str">
        <f>IFERROR(INDEX('G-8 Condition Look up'!$I$4:$I$135,MATCH(S13,'G-8 Condition Look up'!$A$4:$A$135,0)),"")</f>
        <v/>
      </c>
      <c r="E13" s="392" t="str">
        <f>'A-1 On-Site Habitat Baseline'!AL12</f>
        <v/>
      </c>
      <c r="F13" s="382" t="str">
        <f>IF(E13="","",IF(ISNA(VLOOKUP($E13,'A-1 On-Site Habitat Baseline'!$D$1:$O$258,4,FALSE)),"",(VLOOKUP($E13,'A-1 On-Site Habitat Baseline'!$D$1:$O$258,4,FALSE))))</f>
        <v/>
      </c>
      <c r="G13" s="382" t="str">
        <f>IF(E13="","",IF(ISNA(VLOOKUP($E13,'A-1 On-Site Habitat Baseline'!$D$1:$O$258,5,FALSE)),"",(VLOOKUP($E13,'A-1 On-Site Habitat Baseline'!$D$1:$O$258,5,FALSE))))</f>
        <v/>
      </c>
      <c r="H13" s="382" t="str">
        <f>IF(E13="","",IF(ISNA(VLOOKUP($E13,'A-1 On-Site Habitat Baseline'!$D$1:$O$258,6,FALSE)),"",(VLOOKUP($E13,'A-1 On-Site Habitat Baseline'!$D$1:$O$258,6,FALSE))))</f>
        <v/>
      </c>
      <c r="I13" s="382" t="str">
        <f>IF(E13="","",IF(ISNA(VLOOKUP($E13,'A-1 On-Site Habitat Baseline'!$D$1:$O$258,7,FALSE)),"",(VLOOKUP($E13,'A-1 On-Site Habitat Baseline'!$D$1:$O$258,7,FALSE))))</f>
        <v/>
      </c>
      <c r="J13" s="382" t="str">
        <f>IF(E13="","",IF(ISNA(VLOOKUP($E13,'A-1 On-Site Habitat Baseline'!$D$1:$O$258,8,FALSE)),"",(VLOOKUP($E13,'A-1 On-Site Habitat Baseline'!$D$1:$O$258,8,FALSE))))</f>
        <v/>
      </c>
      <c r="K13" s="382" t="str">
        <f>IF(E13="","",IF(ISNA(VLOOKUP($E13,'A-1 On-Site Habitat Baseline'!$D$1:$O$258,9,FALSE)),"",(VLOOKUP($E13,'A-1 On-Site Habitat Baseline'!$D$1:$O$258,9,FALSE))))</f>
        <v/>
      </c>
      <c r="L13" s="382" t="str">
        <f>IF(E13="","",IF(ISNA(VLOOKUP($E13,'A-1 On-Site Habitat Baseline'!$D$1:$O$258,11,FALSE)),"",(VLOOKUP($E13,'A-1 On-Site Habitat Baseline'!$D$1:$O$258,11,FALSE))))</f>
        <v/>
      </c>
      <c r="M13" s="382" t="str">
        <f>IF(E13="","",IF(ISNA(VLOOKUP($E13,'A-1 On-Site Habitat Baseline'!$D$1:$O$258,12,FALSE)),"",(VLOOKUP($E13,'A-1 On-Site Habitat Baseline'!$D$1:$O$258,12,FALSE))))</f>
        <v/>
      </c>
      <c r="N13" s="393" t="str">
        <f>IF(E13="","",IF(ISNA(VLOOKUP($E13,'A-1 On-Site Habitat Baseline'!$D$1:$X$258,14,FALSE)),"",(VLOOKUP($E13,'A-1 On-Site Habitat Baseline'!$D$1:$X$258,14,FALSE))))</f>
        <v/>
      </c>
      <c r="O13" s="386" t="str">
        <f>IF(E13="","",IF(ISNA(VLOOKUP($E13,'A-1 On-Site Habitat Baseline'!$D$1:$X$258,16,FALSE)),"",(VLOOKUP($E13,'A-1 On-Site Habitat Baseline'!$D$1:$X$258,13,FALSE))))</f>
        <v/>
      </c>
      <c r="P13" s="192" t="str">
        <f>IFERROR(INDEX('G-1 All Habitats'!$AG$3:$AG$17,MATCH(Q13,'G-1 All Habitats'!$AF$3:$AF$17,0)),"")</f>
        <v/>
      </c>
      <c r="Q13" s="193" t="str">
        <f t="shared" si="0"/>
        <v/>
      </c>
      <c r="R13" s="193" t="str">
        <f t="shared" si="1"/>
        <v/>
      </c>
      <c r="S13" s="306" t="str">
        <f>IFERROR(INDEX('G-1 All Habitats'!$B$3:$B$134,MATCH(R13,'G-1 All Habitats'!$A$3:$A$134,0)),"")</f>
        <v/>
      </c>
      <c r="T13" s="362" t="str">
        <f t="shared" ref="T13:T76" si="3">IF(E13="","",IF(AND(LEFT(O13,6)="Same d",I13&gt;X13),"Error - Trading rules not satisfied ▲",IF(AND(LEFT(O13,6)="Same b",AND(LEFT(F13,5)&lt;&gt;LEFT(S13,5),I13&gt;X13)),"Error - Trading rules not satisfied ▲",IF(AND(LEFT(O13,6)="Same h",F13&lt;&gt;S13),"Error - Trading rules not satisfied ▲",IF(AND(LEFT(O13,6)="Bespok",F13&lt;&gt;S13),"Error - Trading rules not satisfied ▲",IF(X13&lt;I13,"Error Trading Down ▲",H13&amp;" - "&amp;W13))))))</f>
        <v/>
      </c>
      <c r="U13" s="363" t="str">
        <f t="shared" ref="U13:U76" si="4">IF(F13="","",IF(AND(LEFT(F13,55)&lt;&gt;LEFT(S13,55),T13= "High - High"),"Error - Not like for like ▲",IF(AND(I13=X13,K13&gt;Z13),"Error - Can not reduce condition ▲",IF(AND(I13=X13,K13=Z13),"Error - No enhancement ▲", IF(K13&gt;Z13, "Error - condition cannot be reduced ▲", IF(X13&lt;I13,"Error Trading Down ▲",IF(AND(F13&lt;&gt;S13,I13&lt;X13),"Lower Distinctiveness Habitat"&amp;" - "&amp;Y13,J13&amp;" - "&amp;Y13)))))))</f>
        <v/>
      </c>
      <c r="V13" s="398" t="str">
        <f t="shared" ref="V13:V75" si="5">IF(S13="","",VLOOKUP(E13,BaselineHabSite,17,FALSE))</f>
        <v/>
      </c>
      <c r="W13" s="382" t="str">
        <f>IF(S13="","",VLOOKUP(S13,'G-1 All Habitats'!$B$2:$M$134,10,FALSE))</f>
        <v/>
      </c>
      <c r="X13" s="382" t="str">
        <f>IFERROR(VLOOKUP(W13,'G-1 All Habitats'!$V$3:$W$7,2,FALSE),"")</f>
        <v/>
      </c>
      <c r="Y13" s="61"/>
      <c r="Z13" s="386" t="str">
        <f>IFERROR(INDEX('G-8 Condition Look up'!$A$3:$H$135,MATCH(S13,'G-8 Condition Look up'!$A$3:$A$135,0),MATCH(Y13,'G-8 Condition Look up'!$A$3:$H$3,0)),"")</f>
        <v/>
      </c>
      <c r="AA13" s="54"/>
      <c r="AB13" s="382" t="str">
        <f>IF(AA13="","",IF(VLOOKUP(AA13,'G-3 Multipliers'!$L$3:$N$6,2,FALSE)=0,"Spatial Data Missing ⚠",VLOOKUP(AA13,'G-3 Multipliers'!$L$3:$N$6,2,FALSE)))</f>
        <v/>
      </c>
      <c r="AC13" s="386" t="str">
        <f>IF(AA13="","",IF(VLOOKUP(AA13,'G-3 Multipliers'!$L$3:$N$6,3,FALSE)=0,"Spatial Data Missing ⚠",VLOOKUP(AA13,'G-3 Multipliers'!$L$3:$N$6,3,FALSE)))</f>
        <v/>
      </c>
      <c r="AD13" s="400" t="str">
        <f t="shared" si="2"/>
        <v/>
      </c>
      <c r="AE13" s="63"/>
      <c r="AF13" s="63"/>
      <c r="AG13" s="370" t="str">
        <f t="shared" ref="AG13:AG76" si="6">IF(AD13="","",IF(AD13="Check Data ⚠","Check Data ⚠",IF(R13="","",IF(AND(AE13&gt;0,AF13&gt;0),"Error -both advance and delayed habitat creation ▲",IF(AND(OR(AE13="Habitat already in target condition",AD13&lt;=AE13),AF13=0),"Check details - Is there evidence that habitat has reached target condition? ⚠",IF(O12="","",IF(AE13&gt;0,"Check details - Is there evidence habitat creation started/in place? ⚠",IF(AF13&gt;0,"Check details- Delay in starting habitat in required condition? ⚠","Standard time to target condition applied"))))))))</f>
        <v/>
      </c>
      <c r="AH13" s="383" t="str">
        <f t="shared" ref="AH13:AH76" si="7">IF(AG13="Error -both advance and delayed habitat creation ▲","Check Data ⚠",IF(AG13="Check Data ⚠","Check Data ⚠",IF(AD13="","",IF(AD13="Not Possible","Check Data ⚠",IF(AND(AD13="30+",AE13=0),"30+",IF(AND(AD13="30+",AE13="30+"),0,IF(AND(AD13="30+",AE13&lt;30),30-AE13,IF(AD13="30+",30-AE13,IF(AE13&gt;AD13,0,IF(AF13="30+","30+",IF(AD13+AF13&gt;30,"30+",IF(AD13+AF13&gt;30,"30+",IF(AD13-AE13&gt;30,"30+",IF(AD13+AF13-AE13&gt;0,AD13+AF13-AE13,IF(AD13-AE13&gt;0,AD13-AE13,AD13+AF13-AE13)))))))))))))))</f>
        <v/>
      </c>
      <c r="AI13" s="384" t="str">
        <f>IF(AH13="Check Data","Check Data",IFERROR(VLOOKUP(AH13,'G-4 Temporal multipliers'!$A$4:$C$36,3,FALSE),""))</f>
        <v/>
      </c>
      <c r="AJ13" s="362" t="str">
        <f>IF(S13="","",VLOOKUP(S13,'G-3 Multipliers'!$A$2:$E$134,4,FALSE))</f>
        <v/>
      </c>
      <c r="AK13" s="370" t="str">
        <f t="shared" ref="AK13:AK76" si="8">IF(E13="","",IF(AG13="Check details - Is there evidence that habitat has reached target condition? ⚠","Low Difficulty - only applicable if all habitat created before losses ⚠","Standard difficulty applied"))</f>
        <v/>
      </c>
      <c r="AL13" s="370" t="str">
        <f t="shared" ref="AL13:AL76" si="9">(IF(AND(AK13="Standard difficulty applied",AD13&gt;AE13),AJ13,IF(AND(AK13="Low Difficulty - only applicable if all habitat created before losses ⚠",AE13&gt;=AD13),"Low", AJ13)))</f>
        <v/>
      </c>
      <c r="AM13" s="401" t="str">
        <f>IFERROR(IF(F13="","",IF(AH13="Check Data ⚠","Check Data ⚠",VLOOKUP(AL13, 'G-3 Multipliers'!$P$2:$Q$6,2,FALSE))),"")</f>
        <v/>
      </c>
      <c r="AN13" s="376" t="str">
        <f t="shared" ref="AN13:AN76" si="10">IFERROR(((((V13*X13*Z13)-(V13*I13*K13))*(AM13*AI13))+(V13*I13*K13))*(AC13),"")</f>
        <v/>
      </c>
      <c r="AO13" s="194"/>
      <c r="AP13" s="195"/>
      <c r="AQ13" s="685"/>
    </row>
    <row r="14" spans="1:43">
      <c r="A14" s="35" t="str">
        <f>IF(E14="","",IF(ISNA(VLOOKUP($E14,'A-1 On-Site Habitat Baseline'!$D$1:$O$258,2,FALSE)),"",(VLOOKUP($E14,'A-1 On-Site Habitat Baseline'!$D$1:$O$258,2,FALSE))))</f>
        <v/>
      </c>
      <c r="B14" s="35" t="str">
        <f>IF(E14="","",IF(ISNA(VLOOKUP($E14,'A-1 On-Site Habitat Baseline'!$D$1:$O$258,3,FALSE)),"",(VLOOKUP($E14,'A-1 On-Site Habitat Baseline'!$D$1:$O$258,3,FALSE))))</f>
        <v/>
      </c>
      <c r="C14" s="35" t="str">
        <f>IFERROR(INDEX('G-8 Condition Look up'!$I$4:$I$135,MATCH(S14,'G-8 Condition Look up'!$A$4:$A$135,0)),"")</f>
        <v/>
      </c>
      <c r="E14" s="392" t="str">
        <f>'A-1 On-Site Habitat Baseline'!AL13</f>
        <v/>
      </c>
      <c r="F14" s="382" t="str">
        <f>IF(E14="","",IF(ISNA(VLOOKUP($E14,'A-1 On-Site Habitat Baseline'!$D$1:$O$258,4,FALSE)),"",(VLOOKUP($E14,'A-1 On-Site Habitat Baseline'!$D$1:$O$258,4,FALSE))))</f>
        <v/>
      </c>
      <c r="G14" s="382" t="str">
        <f>IF(E14="","",IF(ISNA(VLOOKUP($E14,'A-1 On-Site Habitat Baseline'!$D$1:$O$258,5,FALSE)),"",(VLOOKUP($E14,'A-1 On-Site Habitat Baseline'!$D$1:$O$258,5,FALSE))))</f>
        <v/>
      </c>
      <c r="H14" s="382" t="str">
        <f>IF(E14="","",IF(ISNA(VLOOKUP($E14,'A-1 On-Site Habitat Baseline'!$D$1:$O$258,6,FALSE)),"",(VLOOKUP($E14,'A-1 On-Site Habitat Baseline'!$D$1:$O$258,6,FALSE))))</f>
        <v/>
      </c>
      <c r="I14" s="382" t="str">
        <f>IF(E14="","",IF(ISNA(VLOOKUP($E14,'A-1 On-Site Habitat Baseline'!$D$1:$O$258,7,FALSE)),"",(VLOOKUP($E14,'A-1 On-Site Habitat Baseline'!$D$1:$O$258,7,FALSE))))</f>
        <v/>
      </c>
      <c r="J14" s="382" t="str">
        <f>IF(E14="","",IF(ISNA(VLOOKUP($E14,'A-1 On-Site Habitat Baseline'!$D$1:$O$258,8,FALSE)),"",(VLOOKUP($E14,'A-1 On-Site Habitat Baseline'!$D$1:$O$258,8,FALSE))))</f>
        <v/>
      </c>
      <c r="K14" s="382" t="str">
        <f>IF(E14="","",IF(ISNA(VLOOKUP($E14,'A-1 On-Site Habitat Baseline'!$D$1:$O$258,9,FALSE)),"",(VLOOKUP($E14,'A-1 On-Site Habitat Baseline'!$D$1:$O$258,9,FALSE))))</f>
        <v/>
      </c>
      <c r="L14" s="382" t="str">
        <f>IF(E14="","",IF(ISNA(VLOOKUP($E14,'A-1 On-Site Habitat Baseline'!$D$1:$O$258,11,FALSE)),"",(VLOOKUP($E14,'A-1 On-Site Habitat Baseline'!$D$1:$O$258,11,FALSE))))</f>
        <v/>
      </c>
      <c r="M14" s="382" t="str">
        <f>IF(E14="","",IF(ISNA(VLOOKUP($E14,'A-1 On-Site Habitat Baseline'!$D$1:$O$258,12,FALSE)),"",(VLOOKUP($E14,'A-1 On-Site Habitat Baseline'!$D$1:$O$258,12,FALSE))))</f>
        <v/>
      </c>
      <c r="N14" s="393" t="str">
        <f>IF(E14="","",IF(ISNA(VLOOKUP($E14,'A-1 On-Site Habitat Baseline'!$D$1:$X$258,14,FALSE)),"",(VLOOKUP($E14,'A-1 On-Site Habitat Baseline'!$D$1:$X$258,14,FALSE))))</f>
        <v/>
      </c>
      <c r="O14" s="386" t="str">
        <f>IF(E14="","",IF(ISNA(VLOOKUP($E14,'A-1 On-Site Habitat Baseline'!$D$1:$X$258,16,FALSE)),"",(VLOOKUP($E14,'A-1 On-Site Habitat Baseline'!$D$1:$X$258,13,FALSE))))</f>
        <v/>
      </c>
      <c r="P14" s="192" t="str">
        <f>IFERROR(INDEX('G-1 All Habitats'!$AG$3:$AG$17,MATCH(Q14,'G-1 All Habitats'!$AF$3:$AF$17,0)),"")</f>
        <v/>
      </c>
      <c r="Q14" s="193" t="str">
        <f t="shared" si="0"/>
        <v/>
      </c>
      <c r="R14" s="193" t="str">
        <f t="shared" si="1"/>
        <v/>
      </c>
      <c r="S14" s="306" t="str">
        <f>IFERROR(INDEX('G-1 All Habitats'!$B$3:$B$134,MATCH(R14,'G-1 All Habitats'!$A$3:$A$134,0)),"")</f>
        <v/>
      </c>
      <c r="T14" s="362" t="str">
        <f t="shared" si="3"/>
        <v/>
      </c>
      <c r="U14" s="363" t="str">
        <f t="shared" si="4"/>
        <v/>
      </c>
      <c r="V14" s="398" t="str">
        <f t="shared" si="5"/>
        <v/>
      </c>
      <c r="W14" s="382" t="str">
        <f>IF(S14="","",VLOOKUP(S14,'G-1 All Habitats'!$B$2:$M$134,10,FALSE))</f>
        <v/>
      </c>
      <c r="X14" s="382" t="str">
        <f>IFERROR(VLOOKUP(W14,'G-1 All Habitats'!$V$3:$W$7,2,FALSE),"")</f>
        <v/>
      </c>
      <c r="Y14" s="61"/>
      <c r="Z14" s="386" t="str">
        <f>IFERROR(INDEX('G-8 Condition Look up'!$A$3:$H$135,MATCH(S14,'G-8 Condition Look up'!$A$3:$A$135,0),MATCH(Y14,'G-8 Condition Look up'!$A$3:$H$3,0)),"")</f>
        <v/>
      </c>
      <c r="AA14" s="54"/>
      <c r="AB14" s="382" t="str">
        <f>IF(AA14="","",IF(VLOOKUP(AA14,'G-3 Multipliers'!$L$3:$N$6,2,FALSE)=0,"Spatial Data Missing ⚠",VLOOKUP(AA14,'G-3 Multipliers'!$L$3:$N$6,2,FALSE)))</f>
        <v/>
      </c>
      <c r="AC14" s="386" t="str">
        <f>IF(AA14="","",IF(VLOOKUP(AA14,'G-3 Multipliers'!$L$3:$N$6,3,FALSE)=0,"Spatial Data Missing ⚠",VLOOKUP(AA14,'G-3 Multipliers'!$L$3:$N$6,3,FALSE)))</f>
        <v/>
      </c>
      <c r="AD14" s="400" t="str">
        <f t="shared" si="2"/>
        <v/>
      </c>
      <c r="AE14" s="63"/>
      <c r="AF14" s="63"/>
      <c r="AG14" s="370" t="str">
        <f t="shared" si="6"/>
        <v/>
      </c>
      <c r="AH14" s="383" t="str">
        <f t="shared" si="7"/>
        <v/>
      </c>
      <c r="AI14" s="384" t="str">
        <f>IF(AH14="Check Data","Check Data",IFERROR(VLOOKUP(AH14,'G-4 Temporal multipliers'!$A$4:$C$36,3,FALSE),""))</f>
        <v/>
      </c>
      <c r="AJ14" s="362" t="str">
        <f>IF(S14="","",VLOOKUP(S14,'G-3 Multipliers'!$A$2:$E$134,4,FALSE))</f>
        <v/>
      </c>
      <c r="AK14" s="370" t="str">
        <f t="shared" si="8"/>
        <v/>
      </c>
      <c r="AL14" s="370" t="str">
        <f t="shared" si="9"/>
        <v/>
      </c>
      <c r="AM14" s="401" t="str">
        <f>IFERROR(IF(F14="","",IF(AH14="Check Data ⚠","Check Data ⚠",VLOOKUP(AL14, 'G-3 Multipliers'!$P$2:$Q$6,2,FALSE))),"")</f>
        <v/>
      </c>
      <c r="AN14" s="376" t="str">
        <f t="shared" si="10"/>
        <v/>
      </c>
      <c r="AO14" s="194"/>
      <c r="AP14" s="195"/>
      <c r="AQ14" s="685"/>
    </row>
    <row r="15" spans="1:43">
      <c r="A15" s="35" t="str">
        <f>IF(E15="","",IF(ISNA(VLOOKUP($E15,'A-1 On-Site Habitat Baseline'!$D$1:$O$258,2,FALSE)),"",(VLOOKUP($E15,'A-1 On-Site Habitat Baseline'!$D$1:$O$258,2,FALSE))))</f>
        <v/>
      </c>
      <c r="B15" s="35" t="str">
        <f>IF(E15="","",IF(ISNA(VLOOKUP($E15,'A-1 On-Site Habitat Baseline'!$D$1:$O$258,3,FALSE)),"",(VLOOKUP($E15,'A-1 On-Site Habitat Baseline'!$D$1:$O$258,3,FALSE))))</f>
        <v/>
      </c>
      <c r="C15" s="35" t="str">
        <f>IFERROR(INDEX('G-8 Condition Look up'!$I$4:$I$135,MATCH(S15,'G-8 Condition Look up'!$A$4:$A$135,0)),"")</f>
        <v/>
      </c>
      <c r="E15" s="392" t="str">
        <f>'A-1 On-Site Habitat Baseline'!AL14</f>
        <v/>
      </c>
      <c r="F15" s="382" t="str">
        <f>IF(E15="","",IF(ISNA(VLOOKUP($E15,'A-1 On-Site Habitat Baseline'!$D$1:$O$258,4,FALSE)),"",(VLOOKUP($E15,'A-1 On-Site Habitat Baseline'!$D$1:$O$258,4,FALSE))))</f>
        <v/>
      </c>
      <c r="G15" s="382" t="str">
        <f>IF(E15="","",IF(ISNA(VLOOKUP($E15,'A-1 On-Site Habitat Baseline'!$D$1:$O$258,5,FALSE)),"",(VLOOKUP($E15,'A-1 On-Site Habitat Baseline'!$D$1:$O$258,5,FALSE))))</f>
        <v/>
      </c>
      <c r="H15" s="382" t="str">
        <f>IF(E15="","",IF(ISNA(VLOOKUP($E15,'A-1 On-Site Habitat Baseline'!$D$1:$O$258,6,FALSE)),"",(VLOOKUP($E15,'A-1 On-Site Habitat Baseline'!$D$1:$O$258,6,FALSE))))</f>
        <v/>
      </c>
      <c r="I15" s="382" t="str">
        <f>IF(E15="","",IF(ISNA(VLOOKUP($E15,'A-1 On-Site Habitat Baseline'!$D$1:$O$258,7,FALSE)),"",(VLOOKUP($E15,'A-1 On-Site Habitat Baseline'!$D$1:$O$258,7,FALSE))))</f>
        <v/>
      </c>
      <c r="J15" s="382" t="str">
        <f>IF(E15="","",IF(ISNA(VLOOKUP($E15,'A-1 On-Site Habitat Baseline'!$D$1:$O$258,8,FALSE)),"",(VLOOKUP($E15,'A-1 On-Site Habitat Baseline'!$D$1:$O$258,8,FALSE))))</f>
        <v/>
      </c>
      <c r="K15" s="382" t="str">
        <f>IF(E15="","",IF(ISNA(VLOOKUP($E15,'A-1 On-Site Habitat Baseline'!$D$1:$O$258,9,FALSE)),"",(VLOOKUP($E15,'A-1 On-Site Habitat Baseline'!$D$1:$O$258,9,FALSE))))</f>
        <v/>
      </c>
      <c r="L15" s="382" t="str">
        <f>IF(E15="","",IF(ISNA(VLOOKUP($E15,'A-1 On-Site Habitat Baseline'!$D$1:$O$258,11,FALSE)),"",(VLOOKUP($E15,'A-1 On-Site Habitat Baseline'!$D$1:$O$258,11,FALSE))))</f>
        <v/>
      </c>
      <c r="M15" s="382" t="str">
        <f>IF(E15="","",IF(ISNA(VLOOKUP($E15,'A-1 On-Site Habitat Baseline'!$D$1:$O$258,12,FALSE)),"",(VLOOKUP($E15,'A-1 On-Site Habitat Baseline'!$D$1:$O$258,12,FALSE))))</f>
        <v/>
      </c>
      <c r="N15" s="393" t="str">
        <f>IF(E15="","",IF(ISNA(VLOOKUP($E15,'A-1 On-Site Habitat Baseline'!$D$1:$X$258,14,FALSE)),"",(VLOOKUP($E15,'A-1 On-Site Habitat Baseline'!$D$1:$X$258,14,FALSE))))</f>
        <v/>
      </c>
      <c r="O15" s="386" t="str">
        <f>IF(E15="","",IF(ISNA(VLOOKUP($E15,'A-1 On-Site Habitat Baseline'!$D$1:$X$258,16,FALSE)),"",(VLOOKUP($E15,'A-1 On-Site Habitat Baseline'!$D$1:$X$258,13,FALSE))))</f>
        <v/>
      </c>
      <c r="P15" s="192" t="str">
        <f>IFERROR(INDEX('G-1 All Habitats'!$AG$3:$AG$17,MATCH(Q15,'G-1 All Habitats'!$AF$3:$AF$17,0)),"")</f>
        <v/>
      </c>
      <c r="Q15" s="193" t="str">
        <f t="shared" si="0"/>
        <v/>
      </c>
      <c r="R15" s="193" t="str">
        <f t="shared" si="1"/>
        <v/>
      </c>
      <c r="S15" s="306" t="str">
        <f>IFERROR(INDEX('G-1 All Habitats'!$B$3:$B$134,MATCH(R15,'G-1 All Habitats'!$A$3:$A$134,0)),"")</f>
        <v/>
      </c>
      <c r="T15" s="362" t="str">
        <f t="shared" si="3"/>
        <v/>
      </c>
      <c r="U15" s="363" t="str">
        <f t="shared" si="4"/>
        <v/>
      </c>
      <c r="V15" s="398" t="str">
        <f t="shared" si="5"/>
        <v/>
      </c>
      <c r="W15" s="382" t="str">
        <f>IF(S15="","",VLOOKUP(S15,'G-1 All Habitats'!$B$2:$M$134,10,FALSE))</f>
        <v/>
      </c>
      <c r="X15" s="382" t="str">
        <f>IFERROR(VLOOKUP(W15,'G-1 All Habitats'!$V$3:$W$7,2,FALSE),"")</f>
        <v/>
      </c>
      <c r="Y15" s="61"/>
      <c r="Z15" s="386" t="str">
        <f>IFERROR(INDEX('G-8 Condition Look up'!$A$3:$H$135,MATCH(S15,'G-8 Condition Look up'!$A$3:$A$135,0),MATCH(Y15,'G-8 Condition Look up'!$A$3:$H$3,0)),"")</f>
        <v/>
      </c>
      <c r="AA15" s="54"/>
      <c r="AB15" s="382" t="str">
        <f>IF(AA15="","",IF(VLOOKUP(AA15,'G-3 Multipliers'!$L$3:$N$6,2,FALSE)=0,"Spatial Data Missing ⚠",VLOOKUP(AA15,'G-3 Multipliers'!$L$3:$N$6,2,FALSE)))</f>
        <v/>
      </c>
      <c r="AC15" s="386" t="str">
        <f>IF(AA15="","",IF(VLOOKUP(AA15,'G-3 Multipliers'!$L$3:$N$6,3,FALSE)=0,"Spatial Data Missing ⚠",VLOOKUP(AA15,'G-3 Multipliers'!$L$3:$N$6,3,FALSE)))</f>
        <v/>
      </c>
      <c r="AD15" s="400" t="str">
        <f t="shared" si="2"/>
        <v/>
      </c>
      <c r="AE15" s="63"/>
      <c r="AF15" s="63"/>
      <c r="AG15" s="370" t="str">
        <f t="shared" si="6"/>
        <v/>
      </c>
      <c r="AH15" s="383" t="str">
        <f t="shared" si="7"/>
        <v/>
      </c>
      <c r="AI15" s="384" t="str">
        <f>IF(AH15="Check Data","Check Data",IFERROR(VLOOKUP(AH15,'G-4 Temporal multipliers'!$A$4:$C$36,3,FALSE),""))</f>
        <v/>
      </c>
      <c r="AJ15" s="362" t="str">
        <f>IF(S15="","",VLOOKUP(S15,'G-3 Multipliers'!$A$2:$E$134,4,FALSE))</f>
        <v/>
      </c>
      <c r="AK15" s="370" t="str">
        <f t="shared" si="8"/>
        <v/>
      </c>
      <c r="AL15" s="370" t="str">
        <f t="shared" si="9"/>
        <v/>
      </c>
      <c r="AM15" s="401" t="str">
        <f>IFERROR(IF(F15="","",IF(AH15="Check Data ⚠","Check Data ⚠",VLOOKUP(AL15, 'G-3 Multipliers'!$P$2:$Q$6,2,FALSE))),"")</f>
        <v/>
      </c>
      <c r="AN15" s="376" t="str">
        <f t="shared" si="10"/>
        <v/>
      </c>
      <c r="AO15" s="194"/>
      <c r="AP15" s="195"/>
      <c r="AQ15" s="685"/>
    </row>
    <row r="16" spans="1:43">
      <c r="A16" s="35" t="str">
        <f>IF(E16="","",IF(ISNA(VLOOKUP($E16,'A-1 On-Site Habitat Baseline'!$D$1:$O$258,2,FALSE)),"",(VLOOKUP($E16,'A-1 On-Site Habitat Baseline'!$D$1:$O$258,2,FALSE))))</f>
        <v/>
      </c>
      <c r="B16" s="35" t="str">
        <f>IF(E16="","",IF(ISNA(VLOOKUP($E16,'A-1 On-Site Habitat Baseline'!$D$1:$O$258,3,FALSE)),"",(VLOOKUP($E16,'A-1 On-Site Habitat Baseline'!$D$1:$O$258,3,FALSE))))</f>
        <v/>
      </c>
      <c r="C16" s="35" t="str">
        <f>IFERROR(INDEX('G-8 Condition Look up'!$I$4:$I$135,MATCH(S16,'G-8 Condition Look up'!$A$4:$A$135,0)),"")</f>
        <v/>
      </c>
      <c r="E16" s="392" t="str">
        <f>'A-1 On-Site Habitat Baseline'!AL15</f>
        <v/>
      </c>
      <c r="F16" s="382" t="str">
        <f>IF(E16="","",IF(ISNA(VLOOKUP($E16,'A-1 On-Site Habitat Baseline'!$D$1:$O$258,4,FALSE)),"",(VLOOKUP($E16,'A-1 On-Site Habitat Baseline'!$D$1:$O$258,4,FALSE))))</f>
        <v/>
      </c>
      <c r="G16" s="382" t="str">
        <f>IF(E16="","",IF(ISNA(VLOOKUP($E16,'A-1 On-Site Habitat Baseline'!$D$1:$O$258,5,FALSE)),"",(VLOOKUP($E16,'A-1 On-Site Habitat Baseline'!$D$1:$O$258,5,FALSE))))</f>
        <v/>
      </c>
      <c r="H16" s="382" t="str">
        <f>IF(E16="","",IF(ISNA(VLOOKUP($E16,'A-1 On-Site Habitat Baseline'!$D$1:$O$258,6,FALSE)),"",(VLOOKUP($E16,'A-1 On-Site Habitat Baseline'!$D$1:$O$258,6,FALSE))))</f>
        <v/>
      </c>
      <c r="I16" s="382" t="str">
        <f>IF(E16="","",IF(ISNA(VLOOKUP($E16,'A-1 On-Site Habitat Baseline'!$D$1:$O$258,7,FALSE)),"",(VLOOKUP($E16,'A-1 On-Site Habitat Baseline'!$D$1:$O$258,7,FALSE))))</f>
        <v/>
      </c>
      <c r="J16" s="382" t="str">
        <f>IF(E16="","",IF(ISNA(VLOOKUP($E16,'A-1 On-Site Habitat Baseline'!$D$1:$O$258,8,FALSE)),"",(VLOOKUP($E16,'A-1 On-Site Habitat Baseline'!$D$1:$O$258,8,FALSE))))</f>
        <v/>
      </c>
      <c r="K16" s="382" t="str">
        <f>IF(E16="","",IF(ISNA(VLOOKUP($E16,'A-1 On-Site Habitat Baseline'!$D$1:$O$258,9,FALSE)),"",(VLOOKUP($E16,'A-1 On-Site Habitat Baseline'!$D$1:$O$258,9,FALSE))))</f>
        <v/>
      </c>
      <c r="L16" s="382" t="str">
        <f>IF(E16="","",IF(ISNA(VLOOKUP($E16,'A-1 On-Site Habitat Baseline'!$D$1:$O$258,11,FALSE)),"",(VLOOKUP($E16,'A-1 On-Site Habitat Baseline'!$D$1:$O$258,11,FALSE))))</f>
        <v/>
      </c>
      <c r="M16" s="382" t="str">
        <f>IF(E16="","",IF(ISNA(VLOOKUP($E16,'A-1 On-Site Habitat Baseline'!$D$1:$O$258,12,FALSE)),"",(VLOOKUP($E16,'A-1 On-Site Habitat Baseline'!$D$1:$O$258,12,FALSE))))</f>
        <v/>
      </c>
      <c r="N16" s="393" t="str">
        <f>IF(E16="","",IF(ISNA(VLOOKUP($E16,'A-1 On-Site Habitat Baseline'!$D$1:$X$258,14,FALSE)),"",(VLOOKUP($E16,'A-1 On-Site Habitat Baseline'!$D$1:$X$258,14,FALSE))))</f>
        <v/>
      </c>
      <c r="O16" s="386" t="str">
        <f>IF(E16="","",IF(ISNA(VLOOKUP($E16,'A-1 On-Site Habitat Baseline'!$D$1:$X$258,16,FALSE)),"",(VLOOKUP($E16,'A-1 On-Site Habitat Baseline'!$D$1:$X$258,13,FALSE))))</f>
        <v/>
      </c>
      <c r="P16" s="192" t="str">
        <f>IFERROR(INDEX('G-1 All Habitats'!$AG$3:$AG$17,MATCH(Q16,'G-1 All Habitats'!$AF$3:$AF$17,0)),"")</f>
        <v/>
      </c>
      <c r="Q16" s="193" t="str">
        <f t="shared" si="0"/>
        <v/>
      </c>
      <c r="R16" s="193" t="str">
        <f t="shared" si="1"/>
        <v/>
      </c>
      <c r="S16" s="306" t="str">
        <f>IFERROR(INDEX('G-1 All Habitats'!$B$3:$B$134,MATCH(R16,'G-1 All Habitats'!$A$3:$A$134,0)),"")</f>
        <v/>
      </c>
      <c r="T16" s="362" t="str">
        <f t="shared" si="3"/>
        <v/>
      </c>
      <c r="U16" s="363" t="str">
        <f t="shared" si="4"/>
        <v/>
      </c>
      <c r="V16" s="398" t="str">
        <f t="shared" si="5"/>
        <v/>
      </c>
      <c r="W16" s="382" t="str">
        <f>IF(S16="","",VLOOKUP(S16,'G-1 All Habitats'!$B$2:$M$134,10,FALSE))</f>
        <v/>
      </c>
      <c r="X16" s="382" t="str">
        <f>IFERROR(VLOOKUP(W16,'G-1 All Habitats'!$V$3:$W$7,2,FALSE),"")</f>
        <v/>
      </c>
      <c r="Y16" s="61"/>
      <c r="Z16" s="386" t="str">
        <f>IFERROR(INDEX('G-8 Condition Look up'!$A$3:$H$135,MATCH(S16,'G-8 Condition Look up'!$A$3:$A$135,0),MATCH(Y16,'G-8 Condition Look up'!$A$3:$H$3,0)),"")</f>
        <v/>
      </c>
      <c r="AA16" s="54"/>
      <c r="AB16" s="382" t="str">
        <f>IF(AA16="","",IF(VLOOKUP(AA16,'G-3 Multipliers'!$L$3:$N$6,2,FALSE)=0,"Spatial Data Missing ⚠",VLOOKUP(AA16,'G-3 Multipliers'!$L$3:$N$6,2,FALSE)))</f>
        <v/>
      </c>
      <c r="AC16" s="386" t="str">
        <f>IF(AA16="","",IF(VLOOKUP(AA16,'G-3 Multipliers'!$L$3:$N$6,3,FALSE)=0,"Spatial Data Missing ⚠",VLOOKUP(AA16,'G-3 Multipliers'!$L$3:$N$6,3,FALSE)))</f>
        <v/>
      </c>
      <c r="AD16" s="400" t="str">
        <f t="shared" si="2"/>
        <v/>
      </c>
      <c r="AE16" s="63"/>
      <c r="AF16" s="63"/>
      <c r="AG16" s="370" t="str">
        <f t="shared" si="6"/>
        <v/>
      </c>
      <c r="AH16" s="383" t="str">
        <f t="shared" si="7"/>
        <v/>
      </c>
      <c r="AI16" s="384" t="str">
        <f>IF(AH16="Check Data","Check Data",IFERROR(VLOOKUP(AH16,'G-4 Temporal multipliers'!$A$4:$C$36,3,FALSE),""))</f>
        <v/>
      </c>
      <c r="AJ16" s="362" t="str">
        <f>IF(S16="","",VLOOKUP(S16,'G-3 Multipliers'!$A$2:$E$134,4,FALSE))</f>
        <v/>
      </c>
      <c r="AK16" s="370" t="str">
        <f t="shared" si="8"/>
        <v/>
      </c>
      <c r="AL16" s="370" t="str">
        <f t="shared" si="9"/>
        <v/>
      </c>
      <c r="AM16" s="401" t="str">
        <f>IFERROR(IF(F16="","",IF(AH16="Check Data ⚠","Check Data ⚠",VLOOKUP(AL16, 'G-3 Multipliers'!$P$2:$Q$6,2,FALSE))),"")</f>
        <v/>
      </c>
      <c r="AN16" s="376" t="str">
        <f t="shared" si="10"/>
        <v/>
      </c>
      <c r="AO16" s="194"/>
      <c r="AP16" s="195"/>
      <c r="AQ16" s="685"/>
    </row>
    <row r="17" spans="1:43">
      <c r="A17" s="35" t="str">
        <f>IF(E17="","",IF(ISNA(VLOOKUP($E17,'A-1 On-Site Habitat Baseline'!$D$1:$O$258,2,FALSE)),"",(VLOOKUP($E17,'A-1 On-Site Habitat Baseline'!$D$1:$O$258,2,FALSE))))</f>
        <v/>
      </c>
      <c r="B17" s="35" t="str">
        <f>IF(E17="","",IF(ISNA(VLOOKUP($E17,'A-1 On-Site Habitat Baseline'!$D$1:$O$258,3,FALSE)),"",(VLOOKUP($E17,'A-1 On-Site Habitat Baseline'!$D$1:$O$258,3,FALSE))))</f>
        <v/>
      </c>
      <c r="C17" s="35" t="str">
        <f>IFERROR(INDEX('G-8 Condition Look up'!$I$4:$I$135,MATCH(S17,'G-8 Condition Look up'!$A$4:$A$135,0)),"")</f>
        <v/>
      </c>
      <c r="E17" s="392" t="str">
        <f>'A-1 On-Site Habitat Baseline'!AL16</f>
        <v/>
      </c>
      <c r="F17" s="382" t="str">
        <f>IF(E17="","",IF(ISNA(VLOOKUP($E17,'A-1 On-Site Habitat Baseline'!$D$1:$O$258,4,FALSE)),"",(VLOOKUP($E17,'A-1 On-Site Habitat Baseline'!$D$1:$O$258,4,FALSE))))</f>
        <v/>
      </c>
      <c r="G17" s="382" t="str">
        <f>IF(E17="","",IF(ISNA(VLOOKUP($E17,'A-1 On-Site Habitat Baseline'!$D$1:$O$258,5,FALSE)),"",(VLOOKUP($E17,'A-1 On-Site Habitat Baseline'!$D$1:$O$258,5,FALSE))))</f>
        <v/>
      </c>
      <c r="H17" s="382" t="str">
        <f>IF(E17="","",IF(ISNA(VLOOKUP($E17,'A-1 On-Site Habitat Baseline'!$D$1:$O$258,6,FALSE)),"",(VLOOKUP($E17,'A-1 On-Site Habitat Baseline'!$D$1:$O$258,6,FALSE))))</f>
        <v/>
      </c>
      <c r="I17" s="382" t="str">
        <f>IF(E17="","",IF(ISNA(VLOOKUP($E17,'A-1 On-Site Habitat Baseline'!$D$1:$O$258,7,FALSE)),"",(VLOOKUP($E17,'A-1 On-Site Habitat Baseline'!$D$1:$O$258,7,FALSE))))</f>
        <v/>
      </c>
      <c r="J17" s="382" t="str">
        <f>IF(E17="","",IF(ISNA(VLOOKUP($E17,'A-1 On-Site Habitat Baseline'!$D$1:$O$258,8,FALSE)),"",(VLOOKUP($E17,'A-1 On-Site Habitat Baseline'!$D$1:$O$258,8,FALSE))))</f>
        <v/>
      </c>
      <c r="K17" s="382" t="str">
        <f>IF(E17="","",IF(ISNA(VLOOKUP($E17,'A-1 On-Site Habitat Baseline'!$D$1:$O$258,9,FALSE)),"",(VLOOKUP($E17,'A-1 On-Site Habitat Baseline'!$D$1:$O$258,9,FALSE))))</f>
        <v/>
      </c>
      <c r="L17" s="382" t="str">
        <f>IF(E17="","",IF(ISNA(VLOOKUP($E17,'A-1 On-Site Habitat Baseline'!$D$1:$O$258,11,FALSE)),"",(VLOOKUP($E17,'A-1 On-Site Habitat Baseline'!$D$1:$O$258,11,FALSE))))</f>
        <v/>
      </c>
      <c r="M17" s="382" t="str">
        <f>IF(E17="","",IF(ISNA(VLOOKUP($E17,'A-1 On-Site Habitat Baseline'!$D$1:$O$258,12,FALSE)),"",(VLOOKUP($E17,'A-1 On-Site Habitat Baseline'!$D$1:$O$258,12,FALSE))))</f>
        <v/>
      </c>
      <c r="N17" s="393" t="str">
        <f>IF(E17="","",IF(ISNA(VLOOKUP($E17,'A-1 On-Site Habitat Baseline'!$D$1:$X$258,14,FALSE)),"",(VLOOKUP($E17,'A-1 On-Site Habitat Baseline'!$D$1:$X$258,14,FALSE))))</f>
        <v/>
      </c>
      <c r="O17" s="386" t="str">
        <f>IF(E17="","",IF(ISNA(VLOOKUP($E17,'A-1 On-Site Habitat Baseline'!$D$1:$X$258,16,FALSE)),"",(VLOOKUP($E17,'A-1 On-Site Habitat Baseline'!$D$1:$X$258,13,FALSE))))</f>
        <v/>
      </c>
      <c r="P17" s="192" t="str">
        <f>IFERROR(INDEX('G-1 All Habitats'!$AG$3:$AG$17,MATCH(Q17,'G-1 All Habitats'!$AF$3:$AF$17,0)),"")</f>
        <v/>
      </c>
      <c r="Q17" s="193" t="str">
        <f t="shared" si="0"/>
        <v/>
      </c>
      <c r="R17" s="193" t="str">
        <f t="shared" si="1"/>
        <v/>
      </c>
      <c r="S17" s="306" t="str">
        <f>IFERROR(INDEX('G-1 All Habitats'!$B$3:$B$134,MATCH(R17,'G-1 All Habitats'!$A$3:$A$134,0)),"")</f>
        <v/>
      </c>
      <c r="T17" s="362" t="str">
        <f t="shared" si="3"/>
        <v/>
      </c>
      <c r="U17" s="363" t="str">
        <f t="shared" si="4"/>
        <v/>
      </c>
      <c r="V17" s="398" t="str">
        <f t="shared" si="5"/>
        <v/>
      </c>
      <c r="W17" s="382" t="str">
        <f>IF(S17="","",VLOOKUP(S17,'G-1 All Habitats'!$B$2:$M$134,10,FALSE))</f>
        <v/>
      </c>
      <c r="X17" s="382" t="str">
        <f>IFERROR(VLOOKUP(W17,'G-1 All Habitats'!$V$3:$W$7,2,FALSE),"")</f>
        <v/>
      </c>
      <c r="Y17" s="61"/>
      <c r="Z17" s="386" t="str">
        <f>IFERROR(INDEX('G-8 Condition Look up'!$A$3:$H$135,MATCH(S17,'G-8 Condition Look up'!$A$3:$A$135,0),MATCH(Y17,'G-8 Condition Look up'!$A$3:$H$3,0)),"")</f>
        <v/>
      </c>
      <c r="AA17" s="54"/>
      <c r="AB17" s="382" t="str">
        <f>IF(AA17="","",IF(VLOOKUP(AA17,'G-3 Multipliers'!$L$3:$N$6,2,FALSE)=0,"Spatial Data Missing ⚠",VLOOKUP(AA17,'G-3 Multipliers'!$L$3:$N$6,2,FALSE)))</f>
        <v/>
      </c>
      <c r="AC17" s="386" t="str">
        <f>IF(AA17="","",IF(VLOOKUP(AA17,'G-3 Multipliers'!$L$3:$N$6,3,FALSE)=0,"Spatial Data Missing ⚠",VLOOKUP(AA17,'G-3 Multipliers'!$L$3:$N$6,3,FALSE)))</f>
        <v/>
      </c>
      <c r="AD17" s="400" t="str">
        <f t="shared" si="2"/>
        <v/>
      </c>
      <c r="AE17" s="63"/>
      <c r="AF17" s="63"/>
      <c r="AG17" s="370" t="str">
        <f t="shared" si="6"/>
        <v/>
      </c>
      <c r="AH17" s="383" t="str">
        <f t="shared" si="7"/>
        <v/>
      </c>
      <c r="AI17" s="384" t="str">
        <f>IF(AH17="Check Data","Check Data",IFERROR(VLOOKUP(AH17,'G-4 Temporal multipliers'!$A$4:$C$36,3,FALSE),""))</f>
        <v/>
      </c>
      <c r="AJ17" s="362" t="str">
        <f>IF(S17="","",VLOOKUP(S17,'G-3 Multipliers'!$A$2:$E$134,4,FALSE))</f>
        <v/>
      </c>
      <c r="AK17" s="370" t="str">
        <f t="shared" si="8"/>
        <v/>
      </c>
      <c r="AL17" s="370" t="str">
        <f t="shared" si="9"/>
        <v/>
      </c>
      <c r="AM17" s="401" t="str">
        <f>IFERROR(IF(F17="","",IF(AH17="Check Data ⚠","Check Data ⚠",VLOOKUP(AL17, 'G-3 Multipliers'!$P$2:$Q$6,2,FALSE))),"")</f>
        <v/>
      </c>
      <c r="AN17" s="376" t="str">
        <f t="shared" si="10"/>
        <v/>
      </c>
      <c r="AO17" s="194"/>
      <c r="AP17" s="195"/>
      <c r="AQ17" s="685"/>
    </row>
    <row r="18" spans="1:43">
      <c r="A18" s="35" t="str">
        <f>IF(E18="","",IF(ISNA(VLOOKUP($E18,'A-1 On-Site Habitat Baseline'!$D$1:$O$258,2,FALSE)),"",(VLOOKUP($E18,'A-1 On-Site Habitat Baseline'!$D$1:$O$258,2,FALSE))))</f>
        <v/>
      </c>
      <c r="B18" s="35" t="str">
        <f>IF(E18="","",IF(ISNA(VLOOKUP($E18,'A-1 On-Site Habitat Baseline'!$D$1:$O$258,3,FALSE)),"",(VLOOKUP($E18,'A-1 On-Site Habitat Baseline'!$D$1:$O$258,3,FALSE))))</f>
        <v/>
      </c>
      <c r="C18" s="35" t="str">
        <f>IFERROR(INDEX('G-8 Condition Look up'!$I$4:$I$135,MATCH(S18,'G-8 Condition Look up'!$A$4:$A$135,0)),"")</f>
        <v/>
      </c>
      <c r="E18" s="392" t="str">
        <f>'A-1 On-Site Habitat Baseline'!AL17</f>
        <v/>
      </c>
      <c r="F18" s="382" t="str">
        <f>IF(E18="","",IF(ISNA(VLOOKUP($E18,'A-1 On-Site Habitat Baseline'!$D$1:$O$258,4,FALSE)),"",(VLOOKUP($E18,'A-1 On-Site Habitat Baseline'!$D$1:$O$258,4,FALSE))))</f>
        <v/>
      </c>
      <c r="G18" s="382" t="str">
        <f>IF(E18="","",IF(ISNA(VLOOKUP($E18,'A-1 On-Site Habitat Baseline'!$D$1:$O$258,5,FALSE)),"",(VLOOKUP($E18,'A-1 On-Site Habitat Baseline'!$D$1:$O$258,5,FALSE))))</f>
        <v/>
      </c>
      <c r="H18" s="382" t="str">
        <f>IF(E18="","",IF(ISNA(VLOOKUP($E18,'A-1 On-Site Habitat Baseline'!$D$1:$O$258,6,FALSE)),"",(VLOOKUP($E18,'A-1 On-Site Habitat Baseline'!$D$1:$O$258,6,FALSE))))</f>
        <v/>
      </c>
      <c r="I18" s="382" t="str">
        <f>IF(E18="","",IF(ISNA(VLOOKUP($E18,'A-1 On-Site Habitat Baseline'!$D$1:$O$258,7,FALSE)),"",(VLOOKUP($E18,'A-1 On-Site Habitat Baseline'!$D$1:$O$258,7,FALSE))))</f>
        <v/>
      </c>
      <c r="J18" s="382" t="str">
        <f>IF(E18="","",IF(ISNA(VLOOKUP($E18,'A-1 On-Site Habitat Baseline'!$D$1:$O$258,8,FALSE)),"",(VLOOKUP($E18,'A-1 On-Site Habitat Baseline'!$D$1:$O$258,8,FALSE))))</f>
        <v/>
      </c>
      <c r="K18" s="382" t="str">
        <f>IF(E18="","",IF(ISNA(VLOOKUP($E18,'A-1 On-Site Habitat Baseline'!$D$1:$O$258,9,FALSE)),"",(VLOOKUP($E18,'A-1 On-Site Habitat Baseline'!$D$1:$O$258,9,FALSE))))</f>
        <v/>
      </c>
      <c r="L18" s="382" t="str">
        <f>IF(E18="","",IF(ISNA(VLOOKUP($E18,'A-1 On-Site Habitat Baseline'!$D$1:$O$258,11,FALSE)),"",(VLOOKUP($E18,'A-1 On-Site Habitat Baseline'!$D$1:$O$258,11,FALSE))))</f>
        <v/>
      </c>
      <c r="M18" s="382" t="str">
        <f>IF(E18="","",IF(ISNA(VLOOKUP($E18,'A-1 On-Site Habitat Baseline'!$D$1:$O$258,12,FALSE)),"",(VLOOKUP($E18,'A-1 On-Site Habitat Baseline'!$D$1:$O$258,12,FALSE))))</f>
        <v/>
      </c>
      <c r="N18" s="393" t="str">
        <f>IF(E18="","",IF(ISNA(VLOOKUP($E18,'A-1 On-Site Habitat Baseline'!$D$1:$X$258,14,FALSE)),"",(VLOOKUP($E18,'A-1 On-Site Habitat Baseline'!$D$1:$X$258,14,FALSE))))</f>
        <v/>
      </c>
      <c r="O18" s="386" t="str">
        <f>IF(E18="","",IF(ISNA(VLOOKUP($E18,'A-1 On-Site Habitat Baseline'!$D$1:$X$258,16,FALSE)),"",(VLOOKUP($E18,'A-1 On-Site Habitat Baseline'!$D$1:$X$258,13,FALSE))))</f>
        <v/>
      </c>
      <c r="P18" s="192" t="str">
        <f>IFERROR(INDEX('G-1 All Habitats'!$AG$3:$AG$17,MATCH(Q18,'G-1 All Habitats'!$AF$3:$AF$17,0)),"")</f>
        <v/>
      </c>
      <c r="Q18" s="193" t="str">
        <f t="shared" si="0"/>
        <v/>
      </c>
      <c r="R18" s="193" t="str">
        <f t="shared" si="1"/>
        <v/>
      </c>
      <c r="S18" s="306" t="str">
        <f>IFERROR(INDEX('G-1 All Habitats'!$B$3:$B$134,MATCH(R18,'G-1 All Habitats'!$A$3:$A$134,0)),"")</f>
        <v/>
      </c>
      <c r="T18" s="362" t="str">
        <f t="shared" si="3"/>
        <v/>
      </c>
      <c r="U18" s="363" t="str">
        <f t="shared" si="4"/>
        <v/>
      </c>
      <c r="V18" s="398" t="str">
        <f t="shared" si="5"/>
        <v/>
      </c>
      <c r="W18" s="382" t="str">
        <f>IF(S18="","",VLOOKUP(S18,'G-1 All Habitats'!$B$2:$M$134,10,FALSE))</f>
        <v/>
      </c>
      <c r="X18" s="382" t="str">
        <f>IFERROR(VLOOKUP(W18,'G-1 All Habitats'!$V$3:$W$7,2,FALSE),"")</f>
        <v/>
      </c>
      <c r="Y18" s="61"/>
      <c r="Z18" s="386" t="str">
        <f>IFERROR(INDEX('G-8 Condition Look up'!$A$3:$H$135,MATCH(S18,'G-8 Condition Look up'!$A$3:$A$135,0),MATCH(Y18,'G-8 Condition Look up'!$A$3:$H$3,0)),"")</f>
        <v/>
      </c>
      <c r="AA18" s="54"/>
      <c r="AB18" s="382" t="str">
        <f>IF(AA18="","",IF(VLOOKUP(AA18,'G-3 Multipliers'!$L$3:$N$6,2,FALSE)=0,"Spatial Data Missing ⚠",VLOOKUP(AA18,'G-3 Multipliers'!$L$3:$N$6,2,FALSE)))</f>
        <v/>
      </c>
      <c r="AC18" s="386" t="str">
        <f>IF(AA18="","",IF(VLOOKUP(AA18,'G-3 Multipliers'!$L$3:$N$6,3,FALSE)=0,"Spatial Data Missing ⚠",VLOOKUP(AA18,'G-3 Multipliers'!$L$3:$N$6,3,FALSE)))</f>
        <v/>
      </c>
      <c r="AD18" s="400" t="str">
        <f t="shared" si="2"/>
        <v/>
      </c>
      <c r="AE18" s="63"/>
      <c r="AF18" s="63"/>
      <c r="AG18" s="370" t="str">
        <f t="shared" si="6"/>
        <v/>
      </c>
      <c r="AH18" s="383" t="str">
        <f t="shared" si="7"/>
        <v/>
      </c>
      <c r="AI18" s="384" t="str">
        <f>IF(AH18="Check Data","Check Data",IFERROR(VLOOKUP(AH18,'G-4 Temporal multipliers'!$A$4:$C$36,3,FALSE),""))</f>
        <v/>
      </c>
      <c r="AJ18" s="362" t="str">
        <f>IF(S18="","",VLOOKUP(S18,'G-3 Multipliers'!$A$2:$E$134,4,FALSE))</f>
        <v/>
      </c>
      <c r="AK18" s="370" t="str">
        <f t="shared" si="8"/>
        <v/>
      </c>
      <c r="AL18" s="370" t="str">
        <f t="shared" si="9"/>
        <v/>
      </c>
      <c r="AM18" s="401" t="str">
        <f>IFERROR(IF(F18="","",IF(AH18="Check Data ⚠","Check Data ⚠",VLOOKUP(AL18, 'G-3 Multipliers'!$P$2:$Q$6,2,FALSE))),"")</f>
        <v/>
      </c>
      <c r="AN18" s="376" t="str">
        <f t="shared" si="10"/>
        <v/>
      </c>
      <c r="AO18" s="194"/>
      <c r="AP18" s="195"/>
      <c r="AQ18" s="685"/>
    </row>
    <row r="19" spans="1:43">
      <c r="A19" s="35" t="str">
        <f>IF(E19="","",IF(ISNA(VLOOKUP($E19,'A-1 On-Site Habitat Baseline'!$D$1:$O$258,2,FALSE)),"",(VLOOKUP($E19,'A-1 On-Site Habitat Baseline'!$D$1:$O$258,2,FALSE))))</f>
        <v/>
      </c>
      <c r="B19" s="35" t="str">
        <f>IF(E19="","",IF(ISNA(VLOOKUP($E19,'A-1 On-Site Habitat Baseline'!$D$1:$O$258,3,FALSE)),"",(VLOOKUP($E19,'A-1 On-Site Habitat Baseline'!$D$1:$O$258,3,FALSE))))</f>
        <v/>
      </c>
      <c r="C19" s="35" t="str">
        <f>IFERROR(INDEX('G-8 Condition Look up'!$I$4:$I$135,MATCH(S19,'G-8 Condition Look up'!$A$4:$A$135,0)),"")</f>
        <v/>
      </c>
      <c r="E19" s="392" t="str">
        <f>'A-1 On-Site Habitat Baseline'!AL18</f>
        <v/>
      </c>
      <c r="F19" s="382" t="str">
        <f>IF(E19="","",IF(ISNA(VLOOKUP($E19,'A-1 On-Site Habitat Baseline'!$D$1:$O$258,4,FALSE)),"",(VLOOKUP($E19,'A-1 On-Site Habitat Baseline'!$D$1:$O$258,4,FALSE))))</f>
        <v/>
      </c>
      <c r="G19" s="382" t="str">
        <f>IF(E19="","",IF(ISNA(VLOOKUP($E19,'A-1 On-Site Habitat Baseline'!$D$1:$O$258,5,FALSE)),"",(VLOOKUP($E19,'A-1 On-Site Habitat Baseline'!$D$1:$O$258,5,FALSE))))</f>
        <v/>
      </c>
      <c r="H19" s="382" t="str">
        <f>IF(E19="","",IF(ISNA(VLOOKUP($E19,'A-1 On-Site Habitat Baseline'!$D$1:$O$258,6,FALSE)),"",(VLOOKUP($E19,'A-1 On-Site Habitat Baseline'!$D$1:$O$258,6,FALSE))))</f>
        <v/>
      </c>
      <c r="I19" s="382" t="str">
        <f>IF(E19="","",IF(ISNA(VLOOKUP($E19,'A-1 On-Site Habitat Baseline'!$D$1:$O$258,7,FALSE)),"",(VLOOKUP($E19,'A-1 On-Site Habitat Baseline'!$D$1:$O$258,7,FALSE))))</f>
        <v/>
      </c>
      <c r="J19" s="382" t="str">
        <f>IF(E19="","",IF(ISNA(VLOOKUP($E19,'A-1 On-Site Habitat Baseline'!$D$1:$O$258,8,FALSE)),"",(VLOOKUP($E19,'A-1 On-Site Habitat Baseline'!$D$1:$O$258,8,FALSE))))</f>
        <v/>
      </c>
      <c r="K19" s="382" t="str">
        <f>IF(E19="","",IF(ISNA(VLOOKUP($E19,'A-1 On-Site Habitat Baseline'!$D$1:$O$258,9,FALSE)),"",(VLOOKUP($E19,'A-1 On-Site Habitat Baseline'!$D$1:$O$258,9,FALSE))))</f>
        <v/>
      </c>
      <c r="L19" s="382" t="str">
        <f>IF(E19="","",IF(ISNA(VLOOKUP($E19,'A-1 On-Site Habitat Baseline'!$D$1:$O$258,11,FALSE)),"",(VLOOKUP($E19,'A-1 On-Site Habitat Baseline'!$D$1:$O$258,11,FALSE))))</f>
        <v/>
      </c>
      <c r="M19" s="382" t="str">
        <f>IF(E19="","",IF(ISNA(VLOOKUP($E19,'A-1 On-Site Habitat Baseline'!$D$1:$O$258,12,FALSE)),"",(VLOOKUP($E19,'A-1 On-Site Habitat Baseline'!$D$1:$O$258,12,FALSE))))</f>
        <v/>
      </c>
      <c r="N19" s="393" t="str">
        <f>IF(E19="","",IF(ISNA(VLOOKUP($E19,'A-1 On-Site Habitat Baseline'!$D$1:$X$258,14,FALSE)),"",(VLOOKUP($E19,'A-1 On-Site Habitat Baseline'!$D$1:$X$258,14,FALSE))))</f>
        <v/>
      </c>
      <c r="O19" s="386" t="str">
        <f>IF(E19="","",IF(ISNA(VLOOKUP($E19,'A-1 On-Site Habitat Baseline'!$D$1:$X$258,16,FALSE)),"",(VLOOKUP($E19,'A-1 On-Site Habitat Baseline'!$D$1:$X$258,13,FALSE))))</f>
        <v/>
      </c>
      <c r="P19" s="192" t="str">
        <f>IFERROR(INDEX('G-1 All Habitats'!$AG$3:$AG$17,MATCH(Q19,'G-1 All Habitats'!$AF$3:$AF$17,0)),"")</f>
        <v/>
      </c>
      <c r="Q19" s="193" t="str">
        <f t="shared" si="0"/>
        <v/>
      </c>
      <c r="R19" s="193" t="str">
        <f t="shared" si="1"/>
        <v/>
      </c>
      <c r="S19" s="306" t="str">
        <f>IFERROR(INDEX('G-1 All Habitats'!$B$3:$B$134,MATCH(R19,'G-1 All Habitats'!$A$3:$A$134,0)),"")</f>
        <v/>
      </c>
      <c r="T19" s="362" t="str">
        <f t="shared" si="3"/>
        <v/>
      </c>
      <c r="U19" s="363" t="str">
        <f t="shared" si="4"/>
        <v/>
      </c>
      <c r="V19" s="398" t="str">
        <f t="shared" si="5"/>
        <v/>
      </c>
      <c r="W19" s="382" t="str">
        <f>IF(S19="","",VLOOKUP(S19,'G-1 All Habitats'!$B$2:$M$134,10,FALSE))</f>
        <v/>
      </c>
      <c r="X19" s="382" t="str">
        <f>IFERROR(VLOOKUP(W19,'G-1 All Habitats'!$V$3:$W$7,2,FALSE),"")</f>
        <v/>
      </c>
      <c r="Y19" s="61"/>
      <c r="Z19" s="386" t="str">
        <f>IFERROR(INDEX('G-8 Condition Look up'!$A$3:$H$135,MATCH(S19,'G-8 Condition Look up'!$A$3:$A$135,0),MATCH(Y19,'G-8 Condition Look up'!$A$3:$H$3,0)),"")</f>
        <v/>
      </c>
      <c r="AA19" s="54"/>
      <c r="AB19" s="382" t="str">
        <f>IF(AA19="","",IF(VLOOKUP(AA19,'G-3 Multipliers'!$L$3:$N$6,2,FALSE)=0,"Spatial Data Missing ⚠",VLOOKUP(AA19,'G-3 Multipliers'!$L$3:$N$6,2,FALSE)))</f>
        <v/>
      </c>
      <c r="AC19" s="386" t="str">
        <f>IF(AA19="","",IF(VLOOKUP(AA19,'G-3 Multipliers'!$L$3:$N$6,3,FALSE)=0,"Spatial Data Missing ⚠",VLOOKUP(AA19,'G-3 Multipliers'!$L$3:$N$6,3,FALSE)))</f>
        <v/>
      </c>
      <c r="AD19" s="400" t="str">
        <f t="shared" si="2"/>
        <v/>
      </c>
      <c r="AE19" s="63"/>
      <c r="AF19" s="63"/>
      <c r="AG19" s="370" t="str">
        <f t="shared" si="6"/>
        <v/>
      </c>
      <c r="AH19" s="383" t="str">
        <f t="shared" si="7"/>
        <v/>
      </c>
      <c r="AI19" s="384" t="str">
        <f>IF(AH19="Check Data","Check Data",IFERROR(VLOOKUP(AH19,'G-4 Temporal multipliers'!$A$4:$C$36,3,FALSE),""))</f>
        <v/>
      </c>
      <c r="AJ19" s="362" t="str">
        <f>IF(S19="","",VLOOKUP(S19,'G-3 Multipliers'!$A$2:$E$134,4,FALSE))</f>
        <v/>
      </c>
      <c r="AK19" s="370" t="str">
        <f t="shared" si="8"/>
        <v/>
      </c>
      <c r="AL19" s="370" t="str">
        <f t="shared" si="9"/>
        <v/>
      </c>
      <c r="AM19" s="401" t="str">
        <f>IFERROR(IF(F19="","",IF(AH19="Check Data ⚠","Check Data ⚠",VLOOKUP(AL19, 'G-3 Multipliers'!$P$2:$Q$6,2,FALSE))),"")</f>
        <v/>
      </c>
      <c r="AN19" s="376" t="str">
        <f t="shared" si="10"/>
        <v/>
      </c>
      <c r="AO19" s="194"/>
      <c r="AP19" s="195"/>
      <c r="AQ19" s="685"/>
    </row>
    <row r="20" spans="1:43">
      <c r="A20" s="35" t="str">
        <f>IF(E20="","",IF(ISNA(VLOOKUP($E20,'A-1 On-Site Habitat Baseline'!$D$1:$O$258,2,FALSE)),"",(VLOOKUP($E20,'A-1 On-Site Habitat Baseline'!$D$1:$O$258,2,FALSE))))</f>
        <v/>
      </c>
      <c r="B20" s="35" t="str">
        <f>IF(E20="","",IF(ISNA(VLOOKUP($E20,'A-1 On-Site Habitat Baseline'!$D$1:$O$258,3,FALSE)),"",(VLOOKUP($E20,'A-1 On-Site Habitat Baseline'!$D$1:$O$258,3,FALSE))))</f>
        <v/>
      </c>
      <c r="C20" s="35" t="str">
        <f>IFERROR(INDEX('G-8 Condition Look up'!$I$4:$I$135,MATCH(S20,'G-8 Condition Look up'!$A$4:$A$135,0)),"")</f>
        <v/>
      </c>
      <c r="E20" s="392" t="str">
        <f>'A-1 On-Site Habitat Baseline'!AL19</f>
        <v/>
      </c>
      <c r="F20" s="382" t="str">
        <f>IF(E20="","",IF(ISNA(VLOOKUP($E20,'A-1 On-Site Habitat Baseline'!$D$1:$O$258,4,FALSE)),"",(VLOOKUP($E20,'A-1 On-Site Habitat Baseline'!$D$1:$O$258,4,FALSE))))</f>
        <v/>
      </c>
      <c r="G20" s="382" t="str">
        <f>IF(E20="","",IF(ISNA(VLOOKUP($E20,'A-1 On-Site Habitat Baseline'!$D$1:$O$258,5,FALSE)),"",(VLOOKUP($E20,'A-1 On-Site Habitat Baseline'!$D$1:$O$258,5,FALSE))))</f>
        <v/>
      </c>
      <c r="H20" s="382" t="str">
        <f>IF(E20="","",IF(ISNA(VLOOKUP($E20,'A-1 On-Site Habitat Baseline'!$D$1:$O$258,6,FALSE)),"",(VLOOKUP($E20,'A-1 On-Site Habitat Baseline'!$D$1:$O$258,6,FALSE))))</f>
        <v/>
      </c>
      <c r="I20" s="382" t="str">
        <f>IF(E20="","",IF(ISNA(VLOOKUP($E20,'A-1 On-Site Habitat Baseline'!$D$1:$O$258,7,FALSE)),"",(VLOOKUP($E20,'A-1 On-Site Habitat Baseline'!$D$1:$O$258,7,FALSE))))</f>
        <v/>
      </c>
      <c r="J20" s="382" t="str">
        <f>IF(E20="","",IF(ISNA(VLOOKUP($E20,'A-1 On-Site Habitat Baseline'!$D$1:$O$258,8,FALSE)),"",(VLOOKUP($E20,'A-1 On-Site Habitat Baseline'!$D$1:$O$258,8,FALSE))))</f>
        <v/>
      </c>
      <c r="K20" s="382" t="str">
        <f>IF(E20="","",IF(ISNA(VLOOKUP($E20,'A-1 On-Site Habitat Baseline'!$D$1:$O$258,9,FALSE)),"",(VLOOKUP($E20,'A-1 On-Site Habitat Baseline'!$D$1:$O$258,9,FALSE))))</f>
        <v/>
      </c>
      <c r="L20" s="382" t="str">
        <f>IF(E20="","",IF(ISNA(VLOOKUP($E20,'A-1 On-Site Habitat Baseline'!$D$1:$O$258,11,FALSE)),"",(VLOOKUP($E20,'A-1 On-Site Habitat Baseline'!$D$1:$O$258,11,FALSE))))</f>
        <v/>
      </c>
      <c r="M20" s="382" t="str">
        <f>IF(E20="","",IF(ISNA(VLOOKUP($E20,'A-1 On-Site Habitat Baseline'!$D$1:$O$258,12,FALSE)),"",(VLOOKUP($E20,'A-1 On-Site Habitat Baseline'!$D$1:$O$258,12,FALSE))))</f>
        <v/>
      </c>
      <c r="N20" s="393" t="str">
        <f>IF(E20="","",IF(ISNA(VLOOKUP($E20,'A-1 On-Site Habitat Baseline'!$D$1:$X$258,14,FALSE)),"",(VLOOKUP($E20,'A-1 On-Site Habitat Baseline'!$D$1:$X$258,14,FALSE))))</f>
        <v/>
      </c>
      <c r="O20" s="386" t="str">
        <f>IF(E20="","",IF(ISNA(VLOOKUP($E20,'A-1 On-Site Habitat Baseline'!$D$1:$X$258,16,FALSE)),"",(VLOOKUP($E20,'A-1 On-Site Habitat Baseline'!$D$1:$X$258,13,FALSE))))</f>
        <v/>
      </c>
      <c r="P20" s="192" t="str">
        <f>IFERROR(INDEX('G-1 All Habitats'!$AG$3:$AG$17,MATCH(Q20,'G-1 All Habitats'!$AF$3:$AF$17,0)),"")</f>
        <v/>
      </c>
      <c r="Q20" s="193" t="str">
        <f t="shared" si="0"/>
        <v/>
      </c>
      <c r="R20" s="193" t="str">
        <f t="shared" si="1"/>
        <v/>
      </c>
      <c r="S20" s="306" t="str">
        <f>IFERROR(INDEX('G-1 All Habitats'!$B$3:$B$134,MATCH(R20,'G-1 All Habitats'!$A$3:$A$134,0)),"")</f>
        <v/>
      </c>
      <c r="T20" s="362" t="str">
        <f t="shared" si="3"/>
        <v/>
      </c>
      <c r="U20" s="363" t="str">
        <f t="shared" si="4"/>
        <v/>
      </c>
      <c r="V20" s="398" t="str">
        <f t="shared" si="5"/>
        <v/>
      </c>
      <c r="W20" s="382" t="str">
        <f>IF(S20="","",VLOOKUP(S20,'G-1 All Habitats'!$B$2:$M$134,10,FALSE))</f>
        <v/>
      </c>
      <c r="X20" s="382" t="str">
        <f>IFERROR(VLOOKUP(W20,'G-1 All Habitats'!$V$3:$W$7,2,FALSE),"")</f>
        <v/>
      </c>
      <c r="Y20" s="61"/>
      <c r="Z20" s="386" t="str">
        <f>IFERROR(INDEX('G-8 Condition Look up'!$A$3:$H$135,MATCH(S20,'G-8 Condition Look up'!$A$3:$A$135,0),MATCH(Y20,'G-8 Condition Look up'!$A$3:$H$3,0)),"")</f>
        <v/>
      </c>
      <c r="AA20" s="54"/>
      <c r="AB20" s="382" t="str">
        <f>IF(AA20="","",IF(VLOOKUP(AA20,'G-3 Multipliers'!$L$3:$N$6,2,FALSE)=0,"Spatial Data Missing ⚠",VLOOKUP(AA20,'G-3 Multipliers'!$L$3:$N$6,2,FALSE)))</f>
        <v/>
      </c>
      <c r="AC20" s="386" t="str">
        <f>IF(AA20="","",IF(VLOOKUP(AA20,'G-3 Multipliers'!$L$3:$N$6,3,FALSE)=0,"Spatial Data Missing ⚠",VLOOKUP(AA20,'G-3 Multipliers'!$L$3:$N$6,3,FALSE)))</f>
        <v/>
      </c>
      <c r="AD20" s="400" t="str">
        <f t="shared" si="2"/>
        <v/>
      </c>
      <c r="AE20" s="63"/>
      <c r="AF20" s="63"/>
      <c r="AG20" s="370" t="str">
        <f t="shared" si="6"/>
        <v/>
      </c>
      <c r="AH20" s="383" t="str">
        <f t="shared" si="7"/>
        <v/>
      </c>
      <c r="AI20" s="384" t="str">
        <f>IF(AH20="Check Data","Check Data",IFERROR(VLOOKUP(AH20,'G-4 Temporal multipliers'!$A$4:$C$36,3,FALSE),""))</f>
        <v/>
      </c>
      <c r="AJ20" s="362" t="str">
        <f>IF(S20="","",VLOOKUP(S20,'G-3 Multipliers'!$A$2:$E$134,4,FALSE))</f>
        <v/>
      </c>
      <c r="AK20" s="370" t="str">
        <f t="shared" si="8"/>
        <v/>
      </c>
      <c r="AL20" s="370" t="str">
        <f t="shared" si="9"/>
        <v/>
      </c>
      <c r="AM20" s="401" t="str">
        <f>IFERROR(IF(F20="","",IF(AH20="Check Data ⚠","Check Data ⚠",VLOOKUP(AL20, 'G-3 Multipliers'!$P$2:$Q$6,2,FALSE))),"")</f>
        <v/>
      </c>
      <c r="AN20" s="376" t="str">
        <f t="shared" si="10"/>
        <v/>
      </c>
      <c r="AO20" s="194"/>
      <c r="AP20" s="195"/>
      <c r="AQ20" s="685"/>
    </row>
    <row r="21" spans="1:43">
      <c r="A21" s="35" t="str">
        <f>IF(E21="","",IF(ISNA(VLOOKUP($E21,'A-1 On-Site Habitat Baseline'!$D$1:$O$258,2,FALSE)),"",(VLOOKUP($E21,'A-1 On-Site Habitat Baseline'!$D$1:$O$258,2,FALSE))))</f>
        <v/>
      </c>
      <c r="B21" s="35" t="str">
        <f>IF(E21="","",IF(ISNA(VLOOKUP($E21,'A-1 On-Site Habitat Baseline'!$D$1:$O$258,3,FALSE)),"",(VLOOKUP($E21,'A-1 On-Site Habitat Baseline'!$D$1:$O$258,3,FALSE))))</f>
        <v/>
      </c>
      <c r="C21" s="35" t="str">
        <f>IFERROR(INDEX('G-8 Condition Look up'!$I$4:$I$135,MATCH(S21,'G-8 Condition Look up'!$A$4:$A$135,0)),"")</f>
        <v/>
      </c>
      <c r="E21" s="392" t="str">
        <f>'A-1 On-Site Habitat Baseline'!AL20</f>
        <v/>
      </c>
      <c r="F21" s="382" t="str">
        <f>IF(E21="","",IF(ISNA(VLOOKUP($E21,'A-1 On-Site Habitat Baseline'!$D$1:$O$258,4,FALSE)),"",(VLOOKUP($E21,'A-1 On-Site Habitat Baseline'!$D$1:$O$258,4,FALSE))))</f>
        <v/>
      </c>
      <c r="G21" s="382" t="str">
        <f>IF(E21="","",IF(ISNA(VLOOKUP($E21,'A-1 On-Site Habitat Baseline'!$D$1:$O$258,5,FALSE)),"",(VLOOKUP($E21,'A-1 On-Site Habitat Baseline'!$D$1:$O$258,5,FALSE))))</f>
        <v/>
      </c>
      <c r="H21" s="382" t="str">
        <f>IF(E21="","",IF(ISNA(VLOOKUP($E21,'A-1 On-Site Habitat Baseline'!$D$1:$O$258,6,FALSE)),"",(VLOOKUP($E21,'A-1 On-Site Habitat Baseline'!$D$1:$O$258,6,FALSE))))</f>
        <v/>
      </c>
      <c r="I21" s="382" t="str">
        <f>IF(E21="","",IF(ISNA(VLOOKUP($E21,'A-1 On-Site Habitat Baseline'!$D$1:$O$258,7,FALSE)),"",(VLOOKUP($E21,'A-1 On-Site Habitat Baseline'!$D$1:$O$258,7,FALSE))))</f>
        <v/>
      </c>
      <c r="J21" s="382" t="str">
        <f>IF(E21="","",IF(ISNA(VLOOKUP($E21,'A-1 On-Site Habitat Baseline'!$D$1:$O$258,8,FALSE)),"",(VLOOKUP($E21,'A-1 On-Site Habitat Baseline'!$D$1:$O$258,8,FALSE))))</f>
        <v/>
      </c>
      <c r="K21" s="382" t="str">
        <f>IF(E21="","",IF(ISNA(VLOOKUP($E21,'A-1 On-Site Habitat Baseline'!$D$1:$O$258,9,FALSE)),"",(VLOOKUP($E21,'A-1 On-Site Habitat Baseline'!$D$1:$O$258,9,FALSE))))</f>
        <v/>
      </c>
      <c r="L21" s="382" t="str">
        <f>IF(E21="","",IF(ISNA(VLOOKUP($E21,'A-1 On-Site Habitat Baseline'!$D$1:$O$258,11,FALSE)),"",(VLOOKUP($E21,'A-1 On-Site Habitat Baseline'!$D$1:$O$258,11,FALSE))))</f>
        <v/>
      </c>
      <c r="M21" s="382" t="str">
        <f>IF(E21="","",IF(ISNA(VLOOKUP($E21,'A-1 On-Site Habitat Baseline'!$D$1:$O$258,12,FALSE)),"",(VLOOKUP($E21,'A-1 On-Site Habitat Baseline'!$D$1:$O$258,12,FALSE))))</f>
        <v/>
      </c>
      <c r="N21" s="393" t="str">
        <f>IF(E21="","",IF(ISNA(VLOOKUP($E21,'A-1 On-Site Habitat Baseline'!$D$1:$X$258,14,FALSE)),"",(VLOOKUP($E21,'A-1 On-Site Habitat Baseline'!$D$1:$X$258,14,FALSE))))</f>
        <v/>
      </c>
      <c r="O21" s="386" t="str">
        <f>IF(E21="","",IF(ISNA(VLOOKUP($E21,'A-1 On-Site Habitat Baseline'!$D$1:$X$258,16,FALSE)),"",(VLOOKUP($E21,'A-1 On-Site Habitat Baseline'!$D$1:$X$258,13,FALSE))))</f>
        <v/>
      </c>
      <c r="P21" s="192" t="str">
        <f>IFERROR(INDEX('G-1 All Habitats'!$AG$3:$AG$17,MATCH(Q21,'G-1 All Habitats'!$AF$3:$AF$17,0)),"")</f>
        <v/>
      </c>
      <c r="Q21" s="193" t="str">
        <f t="shared" si="0"/>
        <v/>
      </c>
      <c r="R21" s="193" t="str">
        <f t="shared" si="1"/>
        <v/>
      </c>
      <c r="S21" s="306" t="str">
        <f>IFERROR(INDEX('G-1 All Habitats'!$B$3:$B$134,MATCH(R21,'G-1 All Habitats'!$A$3:$A$134,0)),"")</f>
        <v/>
      </c>
      <c r="T21" s="362" t="str">
        <f t="shared" si="3"/>
        <v/>
      </c>
      <c r="U21" s="363" t="str">
        <f t="shared" si="4"/>
        <v/>
      </c>
      <c r="V21" s="398" t="str">
        <f t="shared" si="5"/>
        <v/>
      </c>
      <c r="W21" s="382" t="str">
        <f>IF(S21="","",VLOOKUP(S21,'G-1 All Habitats'!$B$2:$M$134,10,FALSE))</f>
        <v/>
      </c>
      <c r="X21" s="382" t="str">
        <f>IFERROR(VLOOKUP(W21,'G-1 All Habitats'!$V$3:$W$7,2,FALSE),"")</f>
        <v/>
      </c>
      <c r="Y21" s="61"/>
      <c r="Z21" s="386" t="str">
        <f>IFERROR(INDEX('G-8 Condition Look up'!$A$3:$H$135,MATCH(S21,'G-8 Condition Look up'!$A$3:$A$135,0),MATCH(Y21,'G-8 Condition Look up'!$A$3:$H$3,0)),"")</f>
        <v/>
      </c>
      <c r="AA21" s="54"/>
      <c r="AB21" s="382" t="str">
        <f>IF(AA21="","",IF(VLOOKUP(AA21,'G-3 Multipliers'!$L$3:$N$6,2,FALSE)=0,"Spatial Data Missing ⚠",VLOOKUP(AA21,'G-3 Multipliers'!$L$3:$N$6,2,FALSE)))</f>
        <v/>
      </c>
      <c r="AC21" s="386" t="str">
        <f>IF(AA21="","",IF(VLOOKUP(AA21,'G-3 Multipliers'!$L$3:$N$6,3,FALSE)=0,"Spatial Data Missing ⚠",VLOOKUP(AA21,'G-3 Multipliers'!$L$3:$N$6,3,FALSE)))</f>
        <v/>
      </c>
      <c r="AD21" s="400" t="str">
        <f t="shared" si="2"/>
        <v/>
      </c>
      <c r="AE21" s="63"/>
      <c r="AF21" s="63"/>
      <c r="AG21" s="370" t="str">
        <f t="shared" si="6"/>
        <v/>
      </c>
      <c r="AH21" s="383" t="str">
        <f t="shared" si="7"/>
        <v/>
      </c>
      <c r="AI21" s="384" t="str">
        <f>IF(AH21="Check Data","Check Data",IFERROR(VLOOKUP(AH21,'G-4 Temporal multipliers'!$A$4:$C$36,3,FALSE),""))</f>
        <v/>
      </c>
      <c r="AJ21" s="362" t="str">
        <f>IF(S21="","",VLOOKUP(S21,'G-3 Multipliers'!$A$2:$E$134,4,FALSE))</f>
        <v/>
      </c>
      <c r="AK21" s="370" t="str">
        <f t="shared" si="8"/>
        <v/>
      </c>
      <c r="AL21" s="370" t="str">
        <f t="shared" si="9"/>
        <v/>
      </c>
      <c r="AM21" s="401" t="str">
        <f>IFERROR(IF(F21="","",IF(AH21="Check Data ⚠","Check Data ⚠",VLOOKUP(AL21, 'G-3 Multipliers'!$P$2:$Q$6,2,FALSE))),"")</f>
        <v/>
      </c>
      <c r="AN21" s="376" t="str">
        <f t="shared" si="10"/>
        <v/>
      </c>
      <c r="AO21" s="194"/>
      <c r="AP21" s="195"/>
      <c r="AQ21" s="685"/>
    </row>
    <row r="22" spans="1:43">
      <c r="A22" s="35" t="str">
        <f>IF(E22="","",IF(ISNA(VLOOKUP($E22,'A-1 On-Site Habitat Baseline'!$D$1:$O$258,2,FALSE)),"",(VLOOKUP($E22,'A-1 On-Site Habitat Baseline'!$D$1:$O$258,2,FALSE))))</f>
        <v/>
      </c>
      <c r="B22" s="35" t="str">
        <f>IF(E22="","",IF(ISNA(VLOOKUP($E22,'A-1 On-Site Habitat Baseline'!$D$1:$O$258,3,FALSE)),"",(VLOOKUP($E22,'A-1 On-Site Habitat Baseline'!$D$1:$O$258,3,FALSE))))</f>
        <v/>
      </c>
      <c r="C22" s="35" t="str">
        <f>IFERROR(INDEX('G-8 Condition Look up'!$I$4:$I$135,MATCH(S22,'G-8 Condition Look up'!$A$4:$A$135,0)),"")</f>
        <v/>
      </c>
      <c r="E22" s="392" t="str">
        <f>'A-1 On-Site Habitat Baseline'!AL21</f>
        <v/>
      </c>
      <c r="F22" s="382" t="str">
        <f>IF(E22="","",IF(ISNA(VLOOKUP($E22,'A-1 On-Site Habitat Baseline'!$D$1:$O$258,4,FALSE)),"",(VLOOKUP($E22,'A-1 On-Site Habitat Baseline'!$D$1:$O$258,4,FALSE))))</f>
        <v/>
      </c>
      <c r="G22" s="382" t="str">
        <f>IF(E22="","",IF(ISNA(VLOOKUP($E22,'A-1 On-Site Habitat Baseline'!$D$1:$O$258,5,FALSE)),"",(VLOOKUP($E22,'A-1 On-Site Habitat Baseline'!$D$1:$O$258,5,FALSE))))</f>
        <v/>
      </c>
      <c r="H22" s="382" t="str">
        <f>IF(E22="","",IF(ISNA(VLOOKUP($E22,'A-1 On-Site Habitat Baseline'!$D$1:$O$258,6,FALSE)),"",(VLOOKUP($E22,'A-1 On-Site Habitat Baseline'!$D$1:$O$258,6,FALSE))))</f>
        <v/>
      </c>
      <c r="I22" s="382" t="str">
        <f>IF(E22="","",IF(ISNA(VLOOKUP($E22,'A-1 On-Site Habitat Baseline'!$D$1:$O$258,7,FALSE)),"",(VLOOKUP($E22,'A-1 On-Site Habitat Baseline'!$D$1:$O$258,7,FALSE))))</f>
        <v/>
      </c>
      <c r="J22" s="382" t="str">
        <f>IF(E22="","",IF(ISNA(VLOOKUP($E22,'A-1 On-Site Habitat Baseline'!$D$1:$O$258,8,FALSE)),"",(VLOOKUP($E22,'A-1 On-Site Habitat Baseline'!$D$1:$O$258,8,FALSE))))</f>
        <v/>
      </c>
      <c r="K22" s="382" t="str">
        <f>IF(E22="","",IF(ISNA(VLOOKUP($E22,'A-1 On-Site Habitat Baseline'!$D$1:$O$258,9,FALSE)),"",(VLOOKUP($E22,'A-1 On-Site Habitat Baseline'!$D$1:$O$258,9,FALSE))))</f>
        <v/>
      </c>
      <c r="L22" s="382" t="str">
        <f>IF(E22="","",IF(ISNA(VLOOKUP($E22,'A-1 On-Site Habitat Baseline'!$D$1:$O$258,11,FALSE)),"",(VLOOKUP($E22,'A-1 On-Site Habitat Baseline'!$D$1:$O$258,11,FALSE))))</f>
        <v/>
      </c>
      <c r="M22" s="382" t="str">
        <f>IF(E22="","",IF(ISNA(VLOOKUP($E22,'A-1 On-Site Habitat Baseline'!$D$1:$O$258,12,FALSE)),"",(VLOOKUP($E22,'A-1 On-Site Habitat Baseline'!$D$1:$O$258,12,FALSE))))</f>
        <v/>
      </c>
      <c r="N22" s="393" t="str">
        <f>IF(E22="","",IF(ISNA(VLOOKUP($E22,'A-1 On-Site Habitat Baseline'!$D$1:$X$258,14,FALSE)),"",(VLOOKUP($E22,'A-1 On-Site Habitat Baseline'!$D$1:$X$258,14,FALSE))))</f>
        <v/>
      </c>
      <c r="O22" s="386" t="str">
        <f>IF(E22="","",IF(ISNA(VLOOKUP($E22,'A-1 On-Site Habitat Baseline'!$D$1:$X$258,16,FALSE)),"",(VLOOKUP($E22,'A-1 On-Site Habitat Baseline'!$D$1:$X$258,13,FALSE))))</f>
        <v/>
      </c>
      <c r="P22" s="192" t="str">
        <f>IFERROR(INDEX('G-1 All Habitats'!$AG$3:$AG$17,MATCH(Q22,'G-1 All Habitats'!$AF$3:$AF$17,0)),"")</f>
        <v/>
      </c>
      <c r="Q22" s="193" t="str">
        <f t="shared" si="0"/>
        <v/>
      </c>
      <c r="R22" s="193" t="str">
        <f t="shared" si="1"/>
        <v/>
      </c>
      <c r="S22" s="306" t="str">
        <f>IFERROR(INDEX('G-1 All Habitats'!$B$3:$B$134,MATCH(R22,'G-1 All Habitats'!$A$3:$A$134,0)),"")</f>
        <v/>
      </c>
      <c r="T22" s="362" t="str">
        <f t="shared" si="3"/>
        <v/>
      </c>
      <c r="U22" s="363" t="str">
        <f t="shared" si="4"/>
        <v/>
      </c>
      <c r="V22" s="398" t="str">
        <f t="shared" si="5"/>
        <v/>
      </c>
      <c r="W22" s="382" t="str">
        <f>IF(S22="","",VLOOKUP(S22,'G-1 All Habitats'!$B$2:$M$134,10,FALSE))</f>
        <v/>
      </c>
      <c r="X22" s="382" t="str">
        <f>IFERROR(VLOOKUP(W22,'G-1 All Habitats'!$V$3:$W$7,2,FALSE),"")</f>
        <v/>
      </c>
      <c r="Y22" s="61"/>
      <c r="Z22" s="386" t="str">
        <f>IFERROR(INDEX('G-8 Condition Look up'!$A$3:$H$135,MATCH(S22,'G-8 Condition Look up'!$A$3:$A$135,0),MATCH(Y22,'G-8 Condition Look up'!$A$3:$H$3,0)),"")</f>
        <v/>
      </c>
      <c r="AA22" s="54"/>
      <c r="AB22" s="382" t="str">
        <f>IF(AA22="","",IF(VLOOKUP(AA22,'G-3 Multipliers'!$L$3:$N$6,2,FALSE)=0,"Spatial Data Missing ⚠",VLOOKUP(AA22,'G-3 Multipliers'!$L$3:$N$6,2,FALSE)))</f>
        <v/>
      </c>
      <c r="AC22" s="386" t="str">
        <f>IF(AA22="","",IF(VLOOKUP(AA22,'G-3 Multipliers'!$L$3:$N$6,3,FALSE)=0,"Spatial Data Missing ⚠",VLOOKUP(AA22,'G-3 Multipliers'!$L$3:$N$6,3,FALSE)))</f>
        <v/>
      </c>
      <c r="AD22" s="400" t="str">
        <f t="shared" si="2"/>
        <v/>
      </c>
      <c r="AE22" s="63"/>
      <c r="AF22" s="63"/>
      <c r="AG22" s="370" t="str">
        <f t="shared" si="6"/>
        <v/>
      </c>
      <c r="AH22" s="383" t="str">
        <f t="shared" si="7"/>
        <v/>
      </c>
      <c r="AI22" s="384" t="str">
        <f>IF(AH22="Check Data","Check Data",IFERROR(VLOOKUP(AH22,'G-4 Temporal multipliers'!$A$4:$C$36,3,FALSE),""))</f>
        <v/>
      </c>
      <c r="AJ22" s="362" t="str">
        <f>IF(S22="","",VLOOKUP(S22,'G-3 Multipliers'!$A$2:$E$134,4,FALSE))</f>
        <v/>
      </c>
      <c r="AK22" s="370" t="str">
        <f t="shared" si="8"/>
        <v/>
      </c>
      <c r="AL22" s="370" t="str">
        <f t="shared" si="9"/>
        <v/>
      </c>
      <c r="AM22" s="401" t="str">
        <f>IFERROR(IF(F22="","",IF(AH22="Check Data ⚠","Check Data ⚠",VLOOKUP(AL22, 'G-3 Multipliers'!$P$2:$Q$6,2,FALSE))),"")</f>
        <v/>
      </c>
      <c r="AN22" s="376" t="str">
        <f t="shared" si="10"/>
        <v/>
      </c>
      <c r="AO22" s="194"/>
      <c r="AP22" s="195"/>
      <c r="AQ22" s="685"/>
    </row>
    <row r="23" spans="1:43">
      <c r="A23" s="35" t="str">
        <f>IF(E23="","",IF(ISNA(VLOOKUP($E23,'A-1 On-Site Habitat Baseline'!$D$1:$O$258,2,FALSE)),"",(VLOOKUP($E23,'A-1 On-Site Habitat Baseline'!$D$1:$O$258,2,FALSE))))</f>
        <v/>
      </c>
      <c r="B23" s="35" t="str">
        <f>IF(E23="","",IF(ISNA(VLOOKUP($E23,'A-1 On-Site Habitat Baseline'!$D$1:$O$258,3,FALSE)),"",(VLOOKUP($E23,'A-1 On-Site Habitat Baseline'!$D$1:$O$258,3,FALSE))))</f>
        <v/>
      </c>
      <c r="C23" s="35" t="str">
        <f>IFERROR(INDEX('G-8 Condition Look up'!$I$4:$I$135,MATCH(S23,'G-8 Condition Look up'!$A$4:$A$135,0)),"")</f>
        <v/>
      </c>
      <c r="E23" s="392" t="str">
        <f>'A-1 On-Site Habitat Baseline'!AL22</f>
        <v/>
      </c>
      <c r="F23" s="382" t="str">
        <f>IF(E23="","",IF(ISNA(VLOOKUP($E23,'A-1 On-Site Habitat Baseline'!$D$1:$O$258,4,FALSE)),"",(VLOOKUP($E23,'A-1 On-Site Habitat Baseline'!$D$1:$O$258,4,FALSE))))</f>
        <v/>
      </c>
      <c r="G23" s="382" t="str">
        <f>IF(E23="","",IF(ISNA(VLOOKUP($E23,'A-1 On-Site Habitat Baseline'!$D$1:$O$258,5,FALSE)),"",(VLOOKUP($E23,'A-1 On-Site Habitat Baseline'!$D$1:$O$258,5,FALSE))))</f>
        <v/>
      </c>
      <c r="H23" s="382" t="str">
        <f>IF(E23="","",IF(ISNA(VLOOKUP($E23,'A-1 On-Site Habitat Baseline'!$D$1:$O$258,6,FALSE)),"",(VLOOKUP($E23,'A-1 On-Site Habitat Baseline'!$D$1:$O$258,6,FALSE))))</f>
        <v/>
      </c>
      <c r="I23" s="382" t="str">
        <f>IF(E23="","",IF(ISNA(VLOOKUP($E23,'A-1 On-Site Habitat Baseline'!$D$1:$O$258,7,FALSE)),"",(VLOOKUP($E23,'A-1 On-Site Habitat Baseline'!$D$1:$O$258,7,FALSE))))</f>
        <v/>
      </c>
      <c r="J23" s="382" t="str">
        <f>IF(E23="","",IF(ISNA(VLOOKUP($E23,'A-1 On-Site Habitat Baseline'!$D$1:$O$258,8,FALSE)),"",(VLOOKUP($E23,'A-1 On-Site Habitat Baseline'!$D$1:$O$258,8,FALSE))))</f>
        <v/>
      </c>
      <c r="K23" s="382" t="str">
        <f>IF(E23="","",IF(ISNA(VLOOKUP($E23,'A-1 On-Site Habitat Baseline'!$D$1:$O$258,9,FALSE)),"",(VLOOKUP($E23,'A-1 On-Site Habitat Baseline'!$D$1:$O$258,9,FALSE))))</f>
        <v/>
      </c>
      <c r="L23" s="382" t="str">
        <f>IF(E23="","",IF(ISNA(VLOOKUP($E23,'A-1 On-Site Habitat Baseline'!$D$1:$O$258,11,FALSE)),"",(VLOOKUP($E23,'A-1 On-Site Habitat Baseline'!$D$1:$O$258,11,FALSE))))</f>
        <v/>
      </c>
      <c r="M23" s="382" t="str">
        <f>IF(E23="","",IF(ISNA(VLOOKUP($E23,'A-1 On-Site Habitat Baseline'!$D$1:$O$258,12,FALSE)),"",(VLOOKUP($E23,'A-1 On-Site Habitat Baseline'!$D$1:$O$258,12,FALSE))))</f>
        <v/>
      </c>
      <c r="N23" s="393" t="str">
        <f>IF(E23="","",IF(ISNA(VLOOKUP($E23,'A-1 On-Site Habitat Baseline'!$D$1:$X$258,14,FALSE)),"",(VLOOKUP($E23,'A-1 On-Site Habitat Baseline'!$D$1:$X$258,14,FALSE))))</f>
        <v/>
      </c>
      <c r="O23" s="386" t="str">
        <f>IF(E23="","",IF(ISNA(VLOOKUP($E23,'A-1 On-Site Habitat Baseline'!$D$1:$X$258,16,FALSE)),"",(VLOOKUP($E23,'A-1 On-Site Habitat Baseline'!$D$1:$X$258,13,FALSE))))</f>
        <v/>
      </c>
      <c r="P23" s="192" t="str">
        <f>IFERROR(INDEX('G-1 All Habitats'!$AG$3:$AG$17,MATCH(Q23,'G-1 All Habitats'!$AF$3:$AF$17,0)),"")</f>
        <v/>
      </c>
      <c r="Q23" s="193" t="str">
        <f t="shared" si="0"/>
        <v/>
      </c>
      <c r="R23" s="193" t="str">
        <f t="shared" si="1"/>
        <v/>
      </c>
      <c r="S23" s="306" t="str">
        <f>IFERROR(INDEX('G-1 All Habitats'!$B$3:$B$134,MATCH(R23,'G-1 All Habitats'!$A$3:$A$134,0)),"")</f>
        <v/>
      </c>
      <c r="T23" s="362" t="str">
        <f t="shared" si="3"/>
        <v/>
      </c>
      <c r="U23" s="363" t="str">
        <f t="shared" si="4"/>
        <v/>
      </c>
      <c r="V23" s="398" t="str">
        <f t="shared" si="5"/>
        <v/>
      </c>
      <c r="W23" s="382" t="str">
        <f>IF(S23="","",VLOOKUP(S23,'G-1 All Habitats'!$B$2:$M$134,10,FALSE))</f>
        <v/>
      </c>
      <c r="X23" s="382" t="str">
        <f>IFERROR(VLOOKUP(W23,'G-1 All Habitats'!$V$3:$W$7,2,FALSE),"")</f>
        <v/>
      </c>
      <c r="Y23" s="61"/>
      <c r="Z23" s="386" t="str">
        <f>IFERROR(INDEX('G-8 Condition Look up'!$A$3:$H$135,MATCH(S23,'G-8 Condition Look up'!$A$3:$A$135,0),MATCH(Y23,'G-8 Condition Look up'!$A$3:$H$3,0)),"")</f>
        <v/>
      </c>
      <c r="AA23" s="54"/>
      <c r="AB23" s="382" t="str">
        <f>IF(AA23="","",IF(VLOOKUP(AA23,'G-3 Multipliers'!$L$3:$N$6,2,FALSE)=0,"Spatial Data Missing ⚠",VLOOKUP(AA23,'G-3 Multipliers'!$L$3:$N$6,2,FALSE)))</f>
        <v/>
      </c>
      <c r="AC23" s="386" t="str">
        <f>IF(AA23="","",IF(VLOOKUP(AA23,'G-3 Multipliers'!$L$3:$N$6,3,FALSE)=0,"Spatial Data Missing ⚠",VLOOKUP(AA23,'G-3 Multipliers'!$L$3:$N$6,3,FALSE)))</f>
        <v/>
      </c>
      <c r="AD23" s="400" t="str">
        <f t="shared" si="2"/>
        <v/>
      </c>
      <c r="AE23" s="63"/>
      <c r="AF23" s="63"/>
      <c r="AG23" s="370" t="str">
        <f t="shared" si="6"/>
        <v/>
      </c>
      <c r="AH23" s="383" t="str">
        <f t="shared" si="7"/>
        <v/>
      </c>
      <c r="AI23" s="384" t="str">
        <f>IF(AH23="Check Data","Check Data",IFERROR(VLOOKUP(AH23,'G-4 Temporal multipliers'!$A$4:$C$36,3,FALSE),""))</f>
        <v/>
      </c>
      <c r="AJ23" s="362" t="str">
        <f>IF(S23="","",VLOOKUP(S23,'G-3 Multipliers'!$A$2:$E$134,4,FALSE))</f>
        <v/>
      </c>
      <c r="AK23" s="370" t="str">
        <f t="shared" si="8"/>
        <v/>
      </c>
      <c r="AL23" s="370" t="str">
        <f t="shared" si="9"/>
        <v/>
      </c>
      <c r="AM23" s="401" t="str">
        <f>IFERROR(IF(F23="","",IF(AH23="Check Data ⚠","Check Data ⚠",VLOOKUP(AL23, 'G-3 Multipliers'!$P$2:$Q$6,2,FALSE))),"")</f>
        <v/>
      </c>
      <c r="AN23" s="376" t="str">
        <f t="shared" si="10"/>
        <v/>
      </c>
      <c r="AO23" s="194"/>
      <c r="AP23" s="195"/>
      <c r="AQ23" s="685"/>
    </row>
    <row r="24" spans="1:43">
      <c r="A24" s="35" t="str">
        <f>IF(E24="","",IF(ISNA(VLOOKUP($E24,'A-1 On-Site Habitat Baseline'!$D$1:$O$258,2,FALSE)),"",(VLOOKUP($E24,'A-1 On-Site Habitat Baseline'!$D$1:$O$258,2,FALSE))))</f>
        <v/>
      </c>
      <c r="B24" s="35" t="str">
        <f>IF(E24="","",IF(ISNA(VLOOKUP($E24,'A-1 On-Site Habitat Baseline'!$D$1:$O$258,3,FALSE)),"",(VLOOKUP($E24,'A-1 On-Site Habitat Baseline'!$D$1:$O$258,3,FALSE))))</f>
        <v/>
      </c>
      <c r="C24" s="35" t="str">
        <f>IFERROR(INDEX('G-8 Condition Look up'!$I$4:$I$135,MATCH(S24,'G-8 Condition Look up'!$A$4:$A$135,0)),"")</f>
        <v/>
      </c>
      <c r="E24" s="392" t="str">
        <f>'A-1 On-Site Habitat Baseline'!AL23</f>
        <v/>
      </c>
      <c r="F24" s="382" t="str">
        <f>IF(E24="","",IF(ISNA(VLOOKUP($E24,'A-1 On-Site Habitat Baseline'!$D$1:$O$258,4,FALSE)),"",(VLOOKUP($E24,'A-1 On-Site Habitat Baseline'!$D$1:$O$258,4,FALSE))))</f>
        <v/>
      </c>
      <c r="G24" s="382" t="str">
        <f>IF(E24="","",IF(ISNA(VLOOKUP($E24,'A-1 On-Site Habitat Baseline'!$D$1:$O$258,5,FALSE)),"",(VLOOKUP($E24,'A-1 On-Site Habitat Baseline'!$D$1:$O$258,5,FALSE))))</f>
        <v/>
      </c>
      <c r="H24" s="382" t="str">
        <f>IF(E24="","",IF(ISNA(VLOOKUP($E24,'A-1 On-Site Habitat Baseline'!$D$1:$O$258,6,FALSE)),"",(VLOOKUP($E24,'A-1 On-Site Habitat Baseline'!$D$1:$O$258,6,FALSE))))</f>
        <v/>
      </c>
      <c r="I24" s="382" t="str">
        <f>IF(E24="","",IF(ISNA(VLOOKUP($E24,'A-1 On-Site Habitat Baseline'!$D$1:$O$258,7,FALSE)),"",(VLOOKUP($E24,'A-1 On-Site Habitat Baseline'!$D$1:$O$258,7,FALSE))))</f>
        <v/>
      </c>
      <c r="J24" s="382" t="str">
        <f>IF(E24="","",IF(ISNA(VLOOKUP($E24,'A-1 On-Site Habitat Baseline'!$D$1:$O$258,8,FALSE)),"",(VLOOKUP($E24,'A-1 On-Site Habitat Baseline'!$D$1:$O$258,8,FALSE))))</f>
        <v/>
      </c>
      <c r="K24" s="382" t="str">
        <f>IF(E24="","",IF(ISNA(VLOOKUP($E24,'A-1 On-Site Habitat Baseline'!$D$1:$O$258,9,FALSE)),"",(VLOOKUP($E24,'A-1 On-Site Habitat Baseline'!$D$1:$O$258,9,FALSE))))</f>
        <v/>
      </c>
      <c r="L24" s="382" t="str">
        <f>IF(E24="","",IF(ISNA(VLOOKUP($E24,'A-1 On-Site Habitat Baseline'!$D$1:$O$258,11,FALSE)),"",(VLOOKUP($E24,'A-1 On-Site Habitat Baseline'!$D$1:$O$258,11,FALSE))))</f>
        <v/>
      </c>
      <c r="M24" s="382" t="str">
        <f>IF(E24="","",IF(ISNA(VLOOKUP($E24,'A-1 On-Site Habitat Baseline'!$D$1:$O$258,12,FALSE)),"",(VLOOKUP($E24,'A-1 On-Site Habitat Baseline'!$D$1:$O$258,12,FALSE))))</f>
        <v/>
      </c>
      <c r="N24" s="393" t="str">
        <f>IF(E24="","",IF(ISNA(VLOOKUP($E24,'A-1 On-Site Habitat Baseline'!$D$1:$X$258,14,FALSE)),"",(VLOOKUP($E24,'A-1 On-Site Habitat Baseline'!$D$1:$X$258,14,FALSE))))</f>
        <v/>
      </c>
      <c r="O24" s="386" t="str">
        <f>IF(E24="","",IF(ISNA(VLOOKUP($E24,'A-1 On-Site Habitat Baseline'!$D$1:$X$258,16,FALSE)),"",(VLOOKUP($E24,'A-1 On-Site Habitat Baseline'!$D$1:$X$258,13,FALSE))))</f>
        <v/>
      </c>
      <c r="P24" s="192" t="str">
        <f>IFERROR(INDEX('G-1 All Habitats'!$AG$3:$AG$17,MATCH(Q24,'G-1 All Habitats'!$AF$3:$AF$17,0)),"")</f>
        <v/>
      </c>
      <c r="Q24" s="193" t="str">
        <f t="shared" si="0"/>
        <v/>
      </c>
      <c r="R24" s="193" t="str">
        <f t="shared" si="1"/>
        <v/>
      </c>
      <c r="S24" s="306" t="str">
        <f>IFERROR(INDEX('G-1 All Habitats'!$B$3:$B$134,MATCH(R24,'G-1 All Habitats'!$A$3:$A$134,0)),"")</f>
        <v/>
      </c>
      <c r="T24" s="362" t="str">
        <f t="shared" si="3"/>
        <v/>
      </c>
      <c r="U24" s="363" t="str">
        <f t="shared" si="4"/>
        <v/>
      </c>
      <c r="V24" s="398" t="str">
        <f t="shared" si="5"/>
        <v/>
      </c>
      <c r="W24" s="382" t="str">
        <f>IF(S24="","",VLOOKUP(S24,'G-1 All Habitats'!$B$2:$M$134,10,FALSE))</f>
        <v/>
      </c>
      <c r="X24" s="382" t="str">
        <f>IFERROR(VLOOKUP(W24,'G-1 All Habitats'!$V$3:$W$7,2,FALSE),"")</f>
        <v/>
      </c>
      <c r="Y24" s="61"/>
      <c r="Z24" s="386" t="str">
        <f>IFERROR(INDEX('G-8 Condition Look up'!$A$3:$H$135,MATCH(S24,'G-8 Condition Look up'!$A$3:$A$135,0),MATCH(Y24,'G-8 Condition Look up'!$A$3:$H$3,0)),"")</f>
        <v/>
      </c>
      <c r="AA24" s="54"/>
      <c r="AB24" s="382" t="str">
        <f>IF(AA24="","",IF(VLOOKUP(AA24,'G-3 Multipliers'!$L$3:$N$6,2,FALSE)=0,"Spatial Data Missing ⚠",VLOOKUP(AA24,'G-3 Multipliers'!$L$3:$N$6,2,FALSE)))</f>
        <v/>
      </c>
      <c r="AC24" s="386" t="str">
        <f>IF(AA24="","",IF(VLOOKUP(AA24,'G-3 Multipliers'!$L$3:$N$6,3,FALSE)=0,"Spatial Data Missing ⚠",VLOOKUP(AA24,'G-3 Multipliers'!$L$3:$N$6,3,FALSE)))</f>
        <v/>
      </c>
      <c r="AD24" s="400" t="str">
        <f t="shared" si="2"/>
        <v/>
      </c>
      <c r="AE24" s="63"/>
      <c r="AF24" s="63"/>
      <c r="AG24" s="370" t="str">
        <f t="shared" si="6"/>
        <v/>
      </c>
      <c r="AH24" s="383" t="str">
        <f t="shared" si="7"/>
        <v/>
      </c>
      <c r="AI24" s="384" t="str">
        <f>IF(AH24="Check Data","Check Data",IFERROR(VLOOKUP(AH24,'G-4 Temporal multipliers'!$A$4:$C$36,3,FALSE),""))</f>
        <v/>
      </c>
      <c r="AJ24" s="362" t="str">
        <f>IF(S24="","",VLOOKUP(S24,'G-3 Multipliers'!$A$2:$E$134,4,FALSE))</f>
        <v/>
      </c>
      <c r="AK24" s="370" t="str">
        <f t="shared" si="8"/>
        <v/>
      </c>
      <c r="AL24" s="370" t="str">
        <f t="shared" si="9"/>
        <v/>
      </c>
      <c r="AM24" s="401" t="str">
        <f>IFERROR(IF(F24="","",IF(AH24="Check Data ⚠","Check Data ⚠",VLOOKUP(AL24, 'G-3 Multipliers'!$P$2:$Q$6,2,FALSE))),"")</f>
        <v/>
      </c>
      <c r="AN24" s="376" t="str">
        <f t="shared" si="10"/>
        <v/>
      </c>
      <c r="AO24" s="194"/>
      <c r="AP24" s="195"/>
      <c r="AQ24" s="685"/>
    </row>
    <row r="25" spans="1:43">
      <c r="A25" s="35" t="str">
        <f>IF(E25="","",IF(ISNA(VLOOKUP($E25,'A-1 On-Site Habitat Baseline'!$D$1:$O$258,2,FALSE)),"",(VLOOKUP($E25,'A-1 On-Site Habitat Baseline'!$D$1:$O$258,2,FALSE))))</f>
        <v/>
      </c>
      <c r="B25" s="35" t="str">
        <f>IF(E25="","",IF(ISNA(VLOOKUP($E25,'A-1 On-Site Habitat Baseline'!$D$1:$O$258,3,FALSE)),"",(VLOOKUP($E25,'A-1 On-Site Habitat Baseline'!$D$1:$O$258,3,FALSE))))</f>
        <v/>
      </c>
      <c r="C25" s="35" t="str">
        <f>IFERROR(INDEX('G-8 Condition Look up'!$I$4:$I$135,MATCH(S25,'G-8 Condition Look up'!$A$4:$A$135,0)),"")</f>
        <v/>
      </c>
      <c r="E25" s="392" t="str">
        <f>'A-1 On-Site Habitat Baseline'!AL24</f>
        <v/>
      </c>
      <c r="F25" s="382" t="str">
        <f>IF(E25="","",IF(ISNA(VLOOKUP($E25,'A-1 On-Site Habitat Baseline'!$D$1:$O$258,4,FALSE)),"",(VLOOKUP($E25,'A-1 On-Site Habitat Baseline'!$D$1:$O$258,4,FALSE))))</f>
        <v/>
      </c>
      <c r="G25" s="382" t="str">
        <f>IF(E25="","",IF(ISNA(VLOOKUP($E25,'A-1 On-Site Habitat Baseline'!$D$1:$O$258,5,FALSE)),"",(VLOOKUP($E25,'A-1 On-Site Habitat Baseline'!$D$1:$O$258,5,FALSE))))</f>
        <v/>
      </c>
      <c r="H25" s="382" t="str">
        <f>IF(E25="","",IF(ISNA(VLOOKUP($E25,'A-1 On-Site Habitat Baseline'!$D$1:$O$258,6,FALSE)),"",(VLOOKUP($E25,'A-1 On-Site Habitat Baseline'!$D$1:$O$258,6,FALSE))))</f>
        <v/>
      </c>
      <c r="I25" s="382" t="str">
        <f>IF(E25="","",IF(ISNA(VLOOKUP($E25,'A-1 On-Site Habitat Baseline'!$D$1:$O$258,7,FALSE)),"",(VLOOKUP($E25,'A-1 On-Site Habitat Baseline'!$D$1:$O$258,7,FALSE))))</f>
        <v/>
      </c>
      <c r="J25" s="382" t="str">
        <f>IF(E25="","",IF(ISNA(VLOOKUP($E25,'A-1 On-Site Habitat Baseline'!$D$1:$O$258,8,FALSE)),"",(VLOOKUP($E25,'A-1 On-Site Habitat Baseline'!$D$1:$O$258,8,FALSE))))</f>
        <v/>
      </c>
      <c r="K25" s="382" t="str">
        <f>IF(E25="","",IF(ISNA(VLOOKUP($E25,'A-1 On-Site Habitat Baseline'!$D$1:$O$258,9,FALSE)),"",(VLOOKUP($E25,'A-1 On-Site Habitat Baseline'!$D$1:$O$258,9,FALSE))))</f>
        <v/>
      </c>
      <c r="L25" s="382" t="str">
        <f>IF(E25="","",IF(ISNA(VLOOKUP($E25,'A-1 On-Site Habitat Baseline'!$D$1:$O$258,11,FALSE)),"",(VLOOKUP($E25,'A-1 On-Site Habitat Baseline'!$D$1:$O$258,11,FALSE))))</f>
        <v/>
      </c>
      <c r="M25" s="382" t="str">
        <f>IF(E25="","",IF(ISNA(VLOOKUP($E25,'A-1 On-Site Habitat Baseline'!$D$1:$O$258,12,FALSE)),"",(VLOOKUP($E25,'A-1 On-Site Habitat Baseline'!$D$1:$O$258,12,FALSE))))</f>
        <v/>
      </c>
      <c r="N25" s="393" t="str">
        <f>IF(E25="","",IF(ISNA(VLOOKUP($E25,'A-1 On-Site Habitat Baseline'!$D$1:$X$258,14,FALSE)),"",(VLOOKUP($E25,'A-1 On-Site Habitat Baseline'!$D$1:$X$258,14,FALSE))))</f>
        <v/>
      </c>
      <c r="O25" s="386" t="str">
        <f>IF(E25="","",IF(ISNA(VLOOKUP($E25,'A-1 On-Site Habitat Baseline'!$D$1:$X$258,16,FALSE)),"",(VLOOKUP($E25,'A-1 On-Site Habitat Baseline'!$D$1:$X$258,13,FALSE))))</f>
        <v/>
      </c>
      <c r="P25" s="192" t="str">
        <f>IFERROR(INDEX('G-1 All Habitats'!$AG$3:$AG$17,MATCH(Q25,'G-1 All Habitats'!$AF$3:$AF$17,0)),"")</f>
        <v/>
      </c>
      <c r="Q25" s="193" t="str">
        <f t="shared" si="0"/>
        <v/>
      </c>
      <c r="R25" s="193" t="str">
        <f t="shared" si="1"/>
        <v/>
      </c>
      <c r="S25" s="306" t="str">
        <f>IFERROR(INDEX('G-1 All Habitats'!$B$3:$B$134,MATCH(R25,'G-1 All Habitats'!$A$3:$A$134,0)),"")</f>
        <v/>
      </c>
      <c r="T25" s="362" t="str">
        <f t="shared" si="3"/>
        <v/>
      </c>
      <c r="U25" s="363" t="str">
        <f t="shared" si="4"/>
        <v/>
      </c>
      <c r="V25" s="398" t="str">
        <f t="shared" si="5"/>
        <v/>
      </c>
      <c r="W25" s="382" t="str">
        <f>IF(S25="","",VLOOKUP(S25,'G-1 All Habitats'!$B$2:$M$134,10,FALSE))</f>
        <v/>
      </c>
      <c r="X25" s="382" t="str">
        <f>IFERROR(VLOOKUP(W25,'G-1 All Habitats'!$V$3:$W$7,2,FALSE),"")</f>
        <v/>
      </c>
      <c r="Y25" s="61"/>
      <c r="Z25" s="386" t="str">
        <f>IFERROR(INDEX('G-8 Condition Look up'!$A$3:$H$135,MATCH(S25,'G-8 Condition Look up'!$A$3:$A$135,0),MATCH(Y25,'G-8 Condition Look up'!$A$3:$H$3,0)),"")</f>
        <v/>
      </c>
      <c r="AA25" s="54"/>
      <c r="AB25" s="382" t="str">
        <f>IF(AA25="","",IF(VLOOKUP(AA25,'G-3 Multipliers'!$L$3:$N$6,2,FALSE)=0,"Spatial Data Missing ⚠",VLOOKUP(AA25,'G-3 Multipliers'!$L$3:$N$6,2,FALSE)))</f>
        <v/>
      </c>
      <c r="AC25" s="386" t="str">
        <f>IF(AA25="","",IF(VLOOKUP(AA25,'G-3 Multipliers'!$L$3:$N$6,3,FALSE)=0,"Spatial Data Missing ⚠",VLOOKUP(AA25,'G-3 Multipliers'!$L$3:$N$6,3,FALSE)))</f>
        <v/>
      </c>
      <c r="AD25" s="400" t="str">
        <f t="shared" si="2"/>
        <v/>
      </c>
      <c r="AE25" s="63"/>
      <c r="AF25" s="63"/>
      <c r="AG25" s="370" t="str">
        <f t="shared" si="6"/>
        <v/>
      </c>
      <c r="AH25" s="383" t="str">
        <f t="shared" si="7"/>
        <v/>
      </c>
      <c r="AI25" s="384" t="str">
        <f>IF(AH25="Check Data","Check Data",IFERROR(VLOOKUP(AH25,'G-4 Temporal multipliers'!$A$4:$C$36,3,FALSE),""))</f>
        <v/>
      </c>
      <c r="AJ25" s="362" t="str">
        <f>IF(S25="","",VLOOKUP(S25,'G-3 Multipliers'!$A$2:$E$134,4,FALSE))</f>
        <v/>
      </c>
      <c r="AK25" s="370" t="str">
        <f t="shared" si="8"/>
        <v/>
      </c>
      <c r="AL25" s="370" t="str">
        <f t="shared" si="9"/>
        <v/>
      </c>
      <c r="AM25" s="401" t="str">
        <f>IFERROR(IF(F25="","",IF(AH25="Check Data ⚠","Check Data ⚠",VLOOKUP(AL25, 'G-3 Multipliers'!$P$2:$Q$6,2,FALSE))),"")</f>
        <v/>
      </c>
      <c r="AN25" s="376" t="str">
        <f t="shared" si="10"/>
        <v/>
      </c>
      <c r="AO25" s="194"/>
      <c r="AP25" s="195"/>
      <c r="AQ25" s="685"/>
    </row>
    <row r="26" spans="1:43">
      <c r="A26" s="35" t="str">
        <f>IF(E26="","",IF(ISNA(VLOOKUP($E26,'A-1 On-Site Habitat Baseline'!$D$1:$O$258,2,FALSE)),"",(VLOOKUP($E26,'A-1 On-Site Habitat Baseline'!$D$1:$O$258,2,FALSE))))</f>
        <v/>
      </c>
      <c r="B26" s="35" t="str">
        <f>IF(E26="","",IF(ISNA(VLOOKUP($E26,'A-1 On-Site Habitat Baseline'!$D$1:$O$258,3,FALSE)),"",(VLOOKUP($E26,'A-1 On-Site Habitat Baseline'!$D$1:$O$258,3,FALSE))))</f>
        <v/>
      </c>
      <c r="C26" s="35" t="str">
        <f>IFERROR(INDEX('G-8 Condition Look up'!$I$4:$I$135,MATCH(S26,'G-8 Condition Look up'!$A$4:$A$135,0)),"")</f>
        <v/>
      </c>
      <c r="E26" s="392" t="str">
        <f>'A-1 On-Site Habitat Baseline'!AL25</f>
        <v/>
      </c>
      <c r="F26" s="382" t="str">
        <f>IF(E26="","",IF(ISNA(VLOOKUP($E26,'A-1 On-Site Habitat Baseline'!$D$1:$O$258,4,FALSE)),"",(VLOOKUP($E26,'A-1 On-Site Habitat Baseline'!$D$1:$O$258,4,FALSE))))</f>
        <v/>
      </c>
      <c r="G26" s="382" t="str">
        <f>IF(E26="","",IF(ISNA(VLOOKUP($E26,'A-1 On-Site Habitat Baseline'!$D$1:$O$258,5,FALSE)),"",(VLOOKUP($E26,'A-1 On-Site Habitat Baseline'!$D$1:$O$258,5,FALSE))))</f>
        <v/>
      </c>
      <c r="H26" s="382" t="str">
        <f>IF(E26="","",IF(ISNA(VLOOKUP($E26,'A-1 On-Site Habitat Baseline'!$D$1:$O$258,6,FALSE)),"",(VLOOKUP($E26,'A-1 On-Site Habitat Baseline'!$D$1:$O$258,6,FALSE))))</f>
        <v/>
      </c>
      <c r="I26" s="382" t="str">
        <f>IF(E26="","",IF(ISNA(VLOOKUP($E26,'A-1 On-Site Habitat Baseline'!$D$1:$O$258,7,FALSE)),"",(VLOOKUP($E26,'A-1 On-Site Habitat Baseline'!$D$1:$O$258,7,FALSE))))</f>
        <v/>
      </c>
      <c r="J26" s="382" t="str">
        <f>IF(E26="","",IF(ISNA(VLOOKUP($E26,'A-1 On-Site Habitat Baseline'!$D$1:$O$258,8,FALSE)),"",(VLOOKUP($E26,'A-1 On-Site Habitat Baseline'!$D$1:$O$258,8,FALSE))))</f>
        <v/>
      </c>
      <c r="K26" s="382" t="str">
        <f>IF(E26="","",IF(ISNA(VLOOKUP($E26,'A-1 On-Site Habitat Baseline'!$D$1:$O$258,9,FALSE)),"",(VLOOKUP($E26,'A-1 On-Site Habitat Baseline'!$D$1:$O$258,9,FALSE))))</f>
        <v/>
      </c>
      <c r="L26" s="382" t="str">
        <f>IF(E26="","",IF(ISNA(VLOOKUP($E26,'A-1 On-Site Habitat Baseline'!$D$1:$O$258,11,FALSE)),"",(VLOOKUP($E26,'A-1 On-Site Habitat Baseline'!$D$1:$O$258,11,FALSE))))</f>
        <v/>
      </c>
      <c r="M26" s="382" t="str">
        <f>IF(E26="","",IF(ISNA(VLOOKUP($E26,'A-1 On-Site Habitat Baseline'!$D$1:$O$258,12,FALSE)),"",(VLOOKUP($E26,'A-1 On-Site Habitat Baseline'!$D$1:$O$258,12,FALSE))))</f>
        <v/>
      </c>
      <c r="N26" s="393" t="str">
        <f>IF(E26="","",IF(ISNA(VLOOKUP($E26,'A-1 On-Site Habitat Baseline'!$D$1:$X$258,14,FALSE)),"",(VLOOKUP($E26,'A-1 On-Site Habitat Baseline'!$D$1:$X$258,14,FALSE))))</f>
        <v/>
      </c>
      <c r="O26" s="386" t="str">
        <f>IF(E26="","",IF(ISNA(VLOOKUP($E26,'A-1 On-Site Habitat Baseline'!$D$1:$X$258,16,FALSE)),"",(VLOOKUP($E26,'A-1 On-Site Habitat Baseline'!$D$1:$X$258,13,FALSE))))</f>
        <v/>
      </c>
      <c r="P26" s="192" t="str">
        <f>IFERROR(INDEX('G-1 All Habitats'!$AG$3:$AG$17,MATCH(Q26,'G-1 All Habitats'!$AF$3:$AF$17,0)),"")</f>
        <v/>
      </c>
      <c r="Q26" s="193" t="str">
        <f t="shared" si="0"/>
        <v/>
      </c>
      <c r="R26" s="193" t="str">
        <f t="shared" si="1"/>
        <v/>
      </c>
      <c r="S26" s="306" t="str">
        <f>IFERROR(INDEX('G-1 All Habitats'!$B$3:$B$134,MATCH(R26,'G-1 All Habitats'!$A$3:$A$134,0)),"")</f>
        <v/>
      </c>
      <c r="T26" s="362" t="str">
        <f t="shared" si="3"/>
        <v/>
      </c>
      <c r="U26" s="363" t="str">
        <f t="shared" si="4"/>
        <v/>
      </c>
      <c r="V26" s="398" t="str">
        <f t="shared" si="5"/>
        <v/>
      </c>
      <c r="W26" s="382" t="str">
        <f>IF(S26="","",VLOOKUP(S26,'G-1 All Habitats'!$B$2:$M$134,10,FALSE))</f>
        <v/>
      </c>
      <c r="X26" s="382" t="str">
        <f>IFERROR(VLOOKUP(W26,'G-1 All Habitats'!$V$3:$W$7,2,FALSE),"")</f>
        <v/>
      </c>
      <c r="Y26" s="61"/>
      <c r="Z26" s="386" t="str">
        <f>IFERROR(INDEX('G-8 Condition Look up'!$A$3:$H$135,MATCH(S26,'G-8 Condition Look up'!$A$3:$A$135,0),MATCH(Y26,'G-8 Condition Look up'!$A$3:$H$3,0)),"")</f>
        <v/>
      </c>
      <c r="AA26" s="54"/>
      <c r="AB26" s="382" t="str">
        <f>IF(AA26="","",IF(VLOOKUP(AA26,'G-3 Multipliers'!$L$3:$N$6,2,FALSE)=0,"Spatial Data Missing ⚠",VLOOKUP(AA26,'G-3 Multipliers'!$L$3:$N$6,2,FALSE)))</f>
        <v/>
      </c>
      <c r="AC26" s="386" t="str">
        <f>IF(AA26="","",IF(VLOOKUP(AA26,'G-3 Multipliers'!$L$3:$N$6,3,FALSE)=0,"Spatial Data Missing ⚠",VLOOKUP(AA26,'G-3 Multipliers'!$L$3:$N$6,3,FALSE)))</f>
        <v/>
      </c>
      <c r="AD26" s="400" t="str">
        <f t="shared" si="2"/>
        <v/>
      </c>
      <c r="AE26" s="63"/>
      <c r="AF26" s="63"/>
      <c r="AG26" s="370" t="str">
        <f t="shared" si="6"/>
        <v/>
      </c>
      <c r="AH26" s="383" t="str">
        <f t="shared" si="7"/>
        <v/>
      </c>
      <c r="AI26" s="384" t="str">
        <f>IF(AH26="Check Data","Check Data",IFERROR(VLOOKUP(AH26,'G-4 Temporal multipliers'!$A$4:$C$36,3,FALSE),""))</f>
        <v/>
      </c>
      <c r="AJ26" s="362" t="str">
        <f>IF(S26="","",VLOOKUP(S26,'G-3 Multipliers'!$A$2:$E$134,4,FALSE))</f>
        <v/>
      </c>
      <c r="AK26" s="370" t="str">
        <f t="shared" si="8"/>
        <v/>
      </c>
      <c r="AL26" s="370" t="str">
        <f t="shared" si="9"/>
        <v/>
      </c>
      <c r="AM26" s="401" t="str">
        <f>IFERROR(IF(F26="","",IF(AH26="Check Data ⚠","Check Data ⚠",VLOOKUP(AL26, 'G-3 Multipliers'!$P$2:$Q$6,2,FALSE))),"")</f>
        <v/>
      </c>
      <c r="AN26" s="376" t="str">
        <f t="shared" si="10"/>
        <v/>
      </c>
      <c r="AO26" s="194"/>
      <c r="AP26" s="195"/>
      <c r="AQ26" s="685"/>
    </row>
    <row r="27" spans="1:43">
      <c r="A27" s="35" t="str">
        <f>IF(E27="","",IF(ISNA(VLOOKUP($E27,'A-1 On-Site Habitat Baseline'!$D$1:$O$258,2,FALSE)),"",(VLOOKUP($E27,'A-1 On-Site Habitat Baseline'!$D$1:$O$258,2,FALSE))))</f>
        <v/>
      </c>
      <c r="B27" s="35" t="str">
        <f>IF(E27="","",IF(ISNA(VLOOKUP($E27,'A-1 On-Site Habitat Baseline'!$D$1:$O$258,3,FALSE)),"",(VLOOKUP($E27,'A-1 On-Site Habitat Baseline'!$D$1:$O$258,3,FALSE))))</f>
        <v/>
      </c>
      <c r="C27" s="35" t="str">
        <f>IFERROR(INDEX('G-8 Condition Look up'!$I$4:$I$135,MATCH(S27,'G-8 Condition Look up'!$A$4:$A$135,0)),"")</f>
        <v/>
      </c>
      <c r="E27" s="392" t="str">
        <f>'A-1 On-Site Habitat Baseline'!AL26</f>
        <v/>
      </c>
      <c r="F27" s="382" t="str">
        <f>IF(E27="","",IF(ISNA(VLOOKUP($E27,'A-1 On-Site Habitat Baseline'!$D$1:$O$258,4,FALSE)),"",(VLOOKUP($E27,'A-1 On-Site Habitat Baseline'!$D$1:$O$258,4,FALSE))))</f>
        <v/>
      </c>
      <c r="G27" s="382" t="str">
        <f>IF(E27="","",IF(ISNA(VLOOKUP($E27,'A-1 On-Site Habitat Baseline'!$D$1:$O$258,5,FALSE)),"",(VLOOKUP($E27,'A-1 On-Site Habitat Baseline'!$D$1:$O$258,5,FALSE))))</f>
        <v/>
      </c>
      <c r="H27" s="382" t="str">
        <f>IF(E27="","",IF(ISNA(VLOOKUP($E27,'A-1 On-Site Habitat Baseline'!$D$1:$O$258,6,FALSE)),"",(VLOOKUP($E27,'A-1 On-Site Habitat Baseline'!$D$1:$O$258,6,FALSE))))</f>
        <v/>
      </c>
      <c r="I27" s="382" t="str">
        <f>IF(E27="","",IF(ISNA(VLOOKUP($E27,'A-1 On-Site Habitat Baseline'!$D$1:$O$258,7,FALSE)),"",(VLOOKUP($E27,'A-1 On-Site Habitat Baseline'!$D$1:$O$258,7,FALSE))))</f>
        <v/>
      </c>
      <c r="J27" s="382" t="str">
        <f>IF(E27="","",IF(ISNA(VLOOKUP($E27,'A-1 On-Site Habitat Baseline'!$D$1:$O$258,8,FALSE)),"",(VLOOKUP($E27,'A-1 On-Site Habitat Baseline'!$D$1:$O$258,8,FALSE))))</f>
        <v/>
      </c>
      <c r="K27" s="382" t="str">
        <f>IF(E27="","",IF(ISNA(VLOOKUP($E27,'A-1 On-Site Habitat Baseline'!$D$1:$O$258,9,FALSE)),"",(VLOOKUP($E27,'A-1 On-Site Habitat Baseline'!$D$1:$O$258,9,FALSE))))</f>
        <v/>
      </c>
      <c r="L27" s="382" t="str">
        <f>IF(E27="","",IF(ISNA(VLOOKUP($E27,'A-1 On-Site Habitat Baseline'!$D$1:$O$258,11,FALSE)),"",(VLOOKUP($E27,'A-1 On-Site Habitat Baseline'!$D$1:$O$258,11,FALSE))))</f>
        <v/>
      </c>
      <c r="M27" s="382" t="str">
        <f>IF(E27="","",IF(ISNA(VLOOKUP($E27,'A-1 On-Site Habitat Baseline'!$D$1:$O$258,12,FALSE)),"",(VLOOKUP($E27,'A-1 On-Site Habitat Baseline'!$D$1:$O$258,12,FALSE))))</f>
        <v/>
      </c>
      <c r="N27" s="393" t="str">
        <f>IF(E27="","",IF(ISNA(VLOOKUP($E27,'A-1 On-Site Habitat Baseline'!$D$1:$X$258,14,FALSE)),"",(VLOOKUP($E27,'A-1 On-Site Habitat Baseline'!$D$1:$X$258,14,FALSE))))</f>
        <v/>
      </c>
      <c r="O27" s="386" t="str">
        <f>IF(E27="","",IF(ISNA(VLOOKUP($E27,'A-1 On-Site Habitat Baseline'!$D$1:$X$258,16,FALSE)),"",(VLOOKUP($E27,'A-1 On-Site Habitat Baseline'!$D$1:$X$258,13,FALSE))))</f>
        <v/>
      </c>
      <c r="P27" s="192" t="str">
        <f>IFERROR(INDEX('G-1 All Habitats'!$AG$3:$AG$17,MATCH(Q27,'G-1 All Habitats'!$AF$3:$AF$17,0)),"")</f>
        <v/>
      </c>
      <c r="Q27" s="193" t="str">
        <f t="shared" si="0"/>
        <v/>
      </c>
      <c r="R27" s="193" t="str">
        <f t="shared" si="1"/>
        <v/>
      </c>
      <c r="S27" s="306" t="str">
        <f>IFERROR(INDEX('G-1 All Habitats'!$B$3:$B$134,MATCH(R27,'G-1 All Habitats'!$A$3:$A$134,0)),"")</f>
        <v/>
      </c>
      <c r="T27" s="362" t="str">
        <f t="shared" si="3"/>
        <v/>
      </c>
      <c r="U27" s="363" t="str">
        <f t="shared" si="4"/>
        <v/>
      </c>
      <c r="V27" s="398" t="str">
        <f t="shared" si="5"/>
        <v/>
      </c>
      <c r="W27" s="382" t="str">
        <f>IF(S27="","",VLOOKUP(S27,'G-1 All Habitats'!$B$2:$M$134,10,FALSE))</f>
        <v/>
      </c>
      <c r="X27" s="382" t="str">
        <f>IFERROR(VLOOKUP(W27,'G-1 All Habitats'!$V$3:$W$7,2,FALSE),"")</f>
        <v/>
      </c>
      <c r="Y27" s="61"/>
      <c r="Z27" s="386" t="str">
        <f>IFERROR(INDEX('G-8 Condition Look up'!$A$3:$H$135,MATCH(S27,'G-8 Condition Look up'!$A$3:$A$135,0),MATCH(Y27,'G-8 Condition Look up'!$A$3:$H$3,0)),"")</f>
        <v/>
      </c>
      <c r="AA27" s="54"/>
      <c r="AB27" s="382" t="str">
        <f>IF(AA27="","",IF(VLOOKUP(AA27,'G-3 Multipliers'!$L$3:$N$6,2,FALSE)=0,"Spatial Data Missing ⚠",VLOOKUP(AA27,'G-3 Multipliers'!$L$3:$N$6,2,FALSE)))</f>
        <v/>
      </c>
      <c r="AC27" s="386" t="str">
        <f>IF(AA27="","",IF(VLOOKUP(AA27,'G-3 Multipliers'!$L$3:$N$6,3,FALSE)=0,"Spatial Data Missing ⚠",VLOOKUP(AA27,'G-3 Multipliers'!$L$3:$N$6,3,FALSE)))</f>
        <v/>
      </c>
      <c r="AD27" s="400" t="str">
        <f t="shared" si="2"/>
        <v/>
      </c>
      <c r="AE27" s="63"/>
      <c r="AF27" s="63"/>
      <c r="AG27" s="370" t="str">
        <f t="shared" si="6"/>
        <v/>
      </c>
      <c r="AH27" s="383" t="str">
        <f t="shared" si="7"/>
        <v/>
      </c>
      <c r="AI27" s="384" t="str">
        <f>IF(AH27="Check Data","Check Data",IFERROR(VLOOKUP(AH27,'G-4 Temporal multipliers'!$A$4:$C$36,3,FALSE),""))</f>
        <v/>
      </c>
      <c r="AJ27" s="362" t="str">
        <f>IF(S27="","",VLOOKUP(S27,'G-3 Multipliers'!$A$2:$E$134,4,FALSE))</f>
        <v/>
      </c>
      <c r="AK27" s="370" t="str">
        <f t="shared" si="8"/>
        <v/>
      </c>
      <c r="AL27" s="370" t="str">
        <f t="shared" si="9"/>
        <v/>
      </c>
      <c r="AM27" s="401" t="str">
        <f>IFERROR(IF(F27="","",IF(AH27="Check Data ⚠","Check Data ⚠",VLOOKUP(AL27, 'G-3 Multipliers'!$P$2:$Q$6,2,FALSE))),"")</f>
        <v/>
      </c>
      <c r="AN27" s="376" t="str">
        <f t="shared" si="10"/>
        <v/>
      </c>
      <c r="AO27" s="194"/>
      <c r="AP27" s="195"/>
      <c r="AQ27" s="685"/>
    </row>
    <row r="28" spans="1:43">
      <c r="A28" s="35" t="str">
        <f>IF(E28="","",IF(ISNA(VLOOKUP($E28,'A-1 On-Site Habitat Baseline'!$D$1:$O$258,2,FALSE)),"",(VLOOKUP($E28,'A-1 On-Site Habitat Baseline'!$D$1:$O$258,2,FALSE))))</f>
        <v/>
      </c>
      <c r="B28" s="35" t="str">
        <f>IF(E28="","",IF(ISNA(VLOOKUP($E28,'A-1 On-Site Habitat Baseline'!$D$1:$O$258,3,FALSE)),"",(VLOOKUP($E28,'A-1 On-Site Habitat Baseline'!$D$1:$O$258,3,FALSE))))</f>
        <v/>
      </c>
      <c r="C28" s="35" t="str">
        <f>IFERROR(INDEX('G-8 Condition Look up'!$I$4:$I$135,MATCH(S28,'G-8 Condition Look up'!$A$4:$A$135,0)),"")</f>
        <v/>
      </c>
      <c r="E28" s="392" t="str">
        <f>'A-1 On-Site Habitat Baseline'!AL27</f>
        <v/>
      </c>
      <c r="F28" s="382" t="str">
        <f>IF(E28="","",IF(ISNA(VLOOKUP($E28,'A-1 On-Site Habitat Baseline'!$D$1:$O$258,4,FALSE)),"",(VLOOKUP($E28,'A-1 On-Site Habitat Baseline'!$D$1:$O$258,4,FALSE))))</f>
        <v/>
      </c>
      <c r="G28" s="382" t="str">
        <f>IF(E28="","",IF(ISNA(VLOOKUP($E28,'A-1 On-Site Habitat Baseline'!$D$1:$O$258,5,FALSE)),"",(VLOOKUP($E28,'A-1 On-Site Habitat Baseline'!$D$1:$O$258,5,FALSE))))</f>
        <v/>
      </c>
      <c r="H28" s="382" t="str">
        <f>IF(E28="","",IF(ISNA(VLOOKUP($E28,'A-1 On-Site Habitat Baseline'!$D$1:$O$258,6,FALSE)),"",(VLOOKUP($E28,'A-1 On-Site Habitat Baseline'!$D$1:$O$258,6,FALSE))))</f>
        <v/>
      </c>
      <c r="I28" s="382" t="str">
        <f>IF(E28="","",IF(ISNA(VLOOKUP($E28,'A-1 On-Site Habitat Baseline'!$D$1:$O$258,7,FALSE)),"",(VLOOKUP($E28,'A-1 On-Site Habitat Baseline'!$D$1:$O$258,7,FALSE))))</f>
        <v/>
      </c>
      <c r="J28" s="382" t="str">
        <f>IF(E28="","",IF(ISNA(VLOOKUP($E28,'A-1 On-Site Habitat Baseline'!$D$1:$O$258,8,FALSE)),"",(VLOOKUP($E28,'A-1 On-Site Habitat Baseline'!$D$1:$O$258,8,FALSE))))</f>
        <v/>
      </c>
      <c r="K28" s="382" t="str">
        <f>IF(E28="","",IF(ISNA(VLOOKUP($E28,'A-1 On-Site Habitat Baseline'!$D$1:$O$258,9,FALSE)),"",(VLOOKUP($E28,'A-1 On-Site Habitat Baseline'!$D$1:$O$258,9,FALSE))))</f>
        <v/>
      </c>
      <c r="L28" s="382" t="str">
        <f>IF(E28="","",IF(ISNA(VLOOKUP($E28,'A-1 On-Site Habitat Baseline'!$D$1:$O$258,11,FALSE)),"",(VLOOKUP($E28,'A-1 On-Site Habitat Baseline'!$D$1:$O$258,11,FALSE))))</f>
        <v/>
      </c>
      <c r="M28" s="382" t="str">
        <f>IF(E28="","",IF(ISNA(VLOOKUP($E28,'A-1 On-Site Habitat Baseline'!$D$1:$O$258,12,FALSE)),"",(VLOOKUP($E28,'A-1 On-Site Habitat Baseline'!$D$1:$O$258,12,FALSE))))</f>
        <v/>
      </c>
      <c r="N28" s="393" t="str">
        <f>IF(E28="","",IF(ISNA(VLOOKUP($E28,'A-1 On-Site Habitat Baseline'!$D$1:$X$258,14,FALSE)),"",(VLOOKUP($E28,'A-1 On-Site Habitat Baseline'!$D$1:$X$258,14,FALSE))))</f>
        <v/>
      </c>
      <c r="O28" s="386" t="str">
        <f>IF(E28="","",IF(ISNA(VLOOKUP($E28,'A-1 On-Site Habitat Baseline'!$D$1:$X$258,16,FALSE)),"",(VLOOKUP($E28,'A-1 On-Site Habitat Baseline'!$D$1:$X$258,13,FALSE))))</f>
        <v/>
      </c>
      <c r="P28" s="192" t="str">
        <f>IFERROR(INDEX('G-1 All Habitats'!$AG$3:$AG$17,MATCH(Q28,'G-1 All Habitats'!$AF$3:$AF$17,0)),"")</f>
        <v/>
      </c>
      <c r="Q28" s="193" t="str">
        <f t="shared" si="0"/>
        <v/>
      </c>
      <c r="R28" s="193" t="str">
        <f t="shared" si="1"/>
        <v/>
      </c>
      <c r="S28" s="306" t="str">
        <f>IFERROR(INDEX('G-1 All Habitats'!$B$3:$B$134,MATCH(R28,'G-1 All Habitats'!$A$3:$A$134,0)),"")</f>
        <v/>
      </c>
      <c r="T28" s="362" t="str">
        <f t="shared" si="3"/>
        <v/>
      </c>
      <c r="U28" s="363" t="str">
        <f t="shared" si="4"/>
        <v/>
      </c>
      <c r="V28" s="398" t="str">
        <f t="shared" si="5"/>
        <v/>
      </c>
      <c r="W28" s="382" t="str">
        <f>IF(S28="","",VLOOKUP(S28,'G-1 All Habitats'!$B$2:$M$134,10,FALSE))</f>
        <v/>
      </c>
      <c r="X28" s="382" t="str">
        <f>IFERROR(VLOOKUP(W28,'G-1 All Habitats'!$V$3:$W$7,2,FALSE),"")</f>
        <v/>
      </c>
      <c r="Y28" s="61"/>
      <c r="Z28" s="386" t="str">
        <f>IFERROR(INDEX('G-8 Condition Look up'!$A$3:$H$135,MATCH(S28,'G-8 Condition Look up'!$A$3:$A$135,0),MATCH(Y28,'G-8 Condition Look up'!$A$3:$H$3,0)),"")</f>
        <v/>
      </c>
      <c r="AA28" s="54"/>
      <c r="AB28" s="382" t="str">
        <f>IF(AA28="","",IF(VLOOKUP(AA28,'G-3 Multipliers'!$L$3:$N$6,2,FALSE)=0,"Spatial Data Missing ⚠",VLOOKUP(AA28,'G-3 Multipliers'!$L$3:$N$6,2,FALSE)))</f>
        <v/>
      </c>
      <c r="AC28" s="386" t="str">
        <f>IF(AA28="","",IF(VLOOKUP(AA28,'G-3 Multipliers'!$L$3:$N$6,3,FALSE)=0,"Spatial Data Missing ⚠",VLOOKUP(AA28,'G-3 Multipliers'!$L$3:$N$6,3,FALSE)))</f>
        <v/>
      </c>
      <c r="AD28" s="400" t="str">
        <f t="shared" si="2"/>
        <v/>
      </c>
      <c r="AE28" s="63"/>
      <c r="AF28" s="63"/>
      <c r="AG28" s="370" t="str">
        <f t="shared" si="6"/>
        <v/>
      </c>
      <c r="AH28" s="383" t="str">
        <f t="shared" si="7"/>
        <v/>
      </c>
      <c r="AI28" s="384" t="str">
        <f>IF(AH28="Check Data","Check Data",IFERROR(VLOOKUP(AH28,'G-4 Temporal multipliers'!$A$4:$C$36,3,FALSE),""))</f>
        <v/>
      </c>
      <c r="AJ28" s="362" t="str">
        <f>IF(S28="","",VLOOKUP(S28,'G-3 Multipliers'!$A$2:$E$134,4,FALSE))</f>
        <v/>
      </c>
      <c r="AK28" s="370" t="str">
        <f t="shared" si="8"/>
        <v/>
      </c>
      <c r="AL28" s="370" t="str">
        <f t="shared" si="9"/>
        <v/>
      </c>
      <c r="AM28" s="401" t="str">
        <f>IFERROR(IF(F28="","",IF(AH28="Check Data ⚠","Check Data ⚠",VLOOKUP(AL28, 'G-3 Multipliers'!$P$2:$Q$6,2,FALSE))),"")</f>
        <v/>
      </c>
      <c r="AN28" s="376" t="str">
        <f t="shared" si="10"/>
        <v/>
      </c>
      <c r="AO28" s="194"/>
      <c r="AP28" s="195"/>
      <c r="AQ28" s="685"/>
    </row>
    <row r="29" spans="1:43">
      <c r="A29" s="35" t="str">
        <f>IF(E29="","",IF(ISNA(VLOOKUP($E29,'A-1 On-Site Habitat Baseline'!$D$1:$O$258,2,FALSE)),"",(VLOOKUP($E29,'A-1 On-Site Habitat Baseline'!$D$1:$O$258,2,FALSE))))</f>
        <v/>
      </c>
      <c r="B29" s="35" t="str">
        <f>IF(E29="","",IF(ISNA(VLOOKUP($E29,'A-1 On-Site Habitat Baseline'!$D$1:$O$258,3,FALSE)),"",(VLOOKUP($E29,'A-1 On-Site Habitat Baseline'!$D$1:$O$258,3,FALSE))))</f>
        <v/>
      </c>
      <c r="C29" s="35" t="str">
        <f>IFERROR(INDEX('G-8 Condition Look up'!$I$4:$I$135,MATCH(S29,'G-8 Condition Look up'!$A$4:$A$135,0)),"")</f>
        <v/>
      </c>
      <c r="E29" s="392" t="str">
        <f>'A-1 On-Site Habitat Baseline'!AL28</f>
        <v/>
      </c>
      <c r="F29" s="382" t="str">
        <f>IF(E29="","",IF(ISNA(VLOOKUP($E29,'A-1 On-Site Habitat Baseline'!$D$1:$O$258,4,FALSE)),"",(VLOOKUP($E29,'A-1 On-Site Habitat Baseline'!$D$1:$O$258,4,FALSE))))</f>
        <v/>
      </c>
      <c r="G29" s="382" t="str">
        <f>IF(E29="","",IF(ISNA(VLOOKUP($E29,'A-1 On-Site Habitat Baseline'!$D$1:$O$258,5,FALSE)),"",(VLOOKUP($E29,'A-1 On-Site Habitat Baseline'!$D$1:$O$258,5,FALSE))))</f>
        <v/>
      </c>
      <c r="H29" s="382" t="str">
        <f>IF(E29="","",IF(ISNA(VLOOKUP($E29,'A-1 On-Site Habitat Baseline'!$D$1:$O$258,6,FALSE)),"",(VLOOKUP($E29,'A-1 On-Site Habitat Baseline'!$D$1:$O$258,6,FALSE))))</f>
        <v/>
      </c>
      <c r="I29" s="382" t="str">
        <f>IF(E29="","",IF(ISNA(VLOOKUP($E29,'A-1 On-Site Habitat Baseline'!$D$1:$O$258,7,FALSE)),"",(VLOOKUP($E29,'A-1 On-Site Habitat Baseline'!$D$1:$O$258,7,FALSE))))</f>
        <v/>
      </c>
      <c r="J29" s="382" t="str">
        <f>IF(E29="","",IF(ISNA(VLOOKUP($E29,'A-1 On-Site Habitat Baseline'!$D$1:$O$258,8,FALSE)),"",(VLOOKUP($E29,'A-1 On-Site Habitat Baseline'!$D$1:$O$258,8,FALSE))))</f>
        <v/>
      </c>
      <c r="K29" s="382" t="str">
        <f>IF(E29="","",IF(ISNA(VLOOKUP($E29,'A-1 On-Site Habitat Baseline'!$D$1:$O$258,9,FALSE)),"",(VLOOKUP($E29,'A-1 On-Site Habitat Baseline'!$D$1:$O$258,9,FALSE))))</f>
        <v/>
      </c>
      <c r="L29" s="382" t="str">
        <f>IF(E29="","",IF(ISNA(VLOOKUP($E29,'A-1 On-Site Habitat Baseline'!$D$1:$O$258,11,FALSE)),"",(VLOOKUP($E29,'A-1 On-Site Habitat Baseline'!$D$1:$O$258,11,FALSE))))</f>
        <v/>
      </c>
      <c r="M29" s="382" t="str">
        <f>IF(E29="","",IF(ISNA(VLOOKUP($E29,'A-1 On-Site Habitat Baseline'!$D$1:$O$258,12,FALSE)),"",(VLOOKUP($E29,'A-1 On-Site Habitat Baseline'!$D$1:$O$258,12,FALSE))))</f>
        <v/>
      </c>
      <c r="N29" s="393" t="str">
        <f>IF(E29="","",IF(ISNA(VLOOKUP($E29,'A-1 On-Site Habitat Baseline'!$D$1:$X$258,14,FALSE)),"",(VLOOKUP($E29,'A-1 On-Site Habitat Baseline'!$D$1:$X$258,14,FALSE))))</f>
        <v/>
      </c>
      <c r="O29" s="386" t="str">
        <f>IF(E29="","",IF(ISNA(VLOOKUP($E29,'A-1 On-Site Habitat Baseline'!$D$1:$X$258,16,FALSE)),"",(VLOOKUP($E29,'A-1 On-Site Habitat Baseline'!$D$1:$X$258,13,FALSE))))</f>
        <v/>
      </c>
      <c r="P29" s="192" t="str">
        <f>IFERROR(INDEX('G-1 All Habitats'!$AG$3:$AG$17,MATCH(Q29,'G-1 All Habitats'!$AF$3:$AF$17,0)),"")</f>
        <v/>
      </c>
      <c r="Q29" s="193" t="str">
        <f t="shared" si="0"/>
        <v/>
      </c>
      <c r="R29" s="193" t="str">
        <f t="shared" si="1"/>
        <v/>
      </c>
      <c r="S29" s="306" t="str">
        <f>IFERROR(INDEX('G-1 All Habitats'!$B$3:$B$134,MATCH(R29,'G-1 All Habitats'!$A$3:$A$134,0)),"")</f>
        <v/>
      </c>
      <c r="T29" s="362" t="str">
        <f t="shared" si="3"/>
        <v/>
      </c>
      <c r="U29" s="363" t="str">
        <f t="shared" si="4"/>
        <v/>
      </c>
      <c r="V29" s="398" t="str">
        <f t="shared" si="5"/>
        <v/>
      </c>
      <c r="W29" s="382" t="str">
        <f>IF(S29="","",VLOOKUP(S29,'G-1 All Habitats'!$B$2:$M$134,10,FALSE))</f>
        <v/>
      </c>
      <c r="X29" s="382" t="str">
        <f>IFERROR(VLOOKUP(W29,'G-1 All Habitats'!$V$3:$W$7,2,FALSE),"")</f>
        <v/>
      </c>
      <c r="Y29" s="61"/>
      <c r="Z29" s="386" t="str">
        <f>IFERROR(INDEX('G-8 Condition Look up'!$A$3:$H$135,MATCH(S29,'G-8 Condition Look up'!$A$3:$A$135,0),MATCH(Y29,'G-8 Condition Look up'!$A$3:$H$3,0)),"")</f>
        <v/>
      </c>
      <c r="AA29" s="54"/>
      <c r="AB29" s="382" t="str">
        <f>IF(AA29="","",IF(VLOOKUP(AA29,'G-3 Multipliers'!$L$3:$N$6,2,FALSE)=0,"Spatial Data Missing ⚠",VLOOKUP(AA29,'G-3 Multipliers'!$L$3:$N$6,2,FALSE)))</f>
        <v/>
      </c>
      <c r="AC29" s="386" t="str">
        <f>IF(AA29="","",IF(VLOOKUP(AA29,'G-3 Multipliers'!$L$3:$N$6,3,FALSE)=0,"Spatial Data Missing ⚠",VLOOKUP(AA29,'G-3 Multipliers'!$L$3:$N$6,3,FALSE)))</f>
        <v/>
      </c>
      <c r="AD29" s="400" t="str">
        <f t="shared" si="2"/>
        <v/>
      </c>
      <c r="AE29" s="63"/>
      <c r="AF29" s="63"/>
      <c r="AG29" s="370" t="str">
        <f t="shared" si="6"/>
        <v/>
      </c>
      <c r="AH29" s="383" t="str">
        <f t="shared" si="7"/>
        <v/>
      </c>
      <c r="AI29" s="384" t="str">
        <f>IF(AH29="Check Data","Check Data",IFERROR(VLOOKUP(AH29,'G-4 Temporal multipliers'!$A$4:$C$36,3,FALSE),""))</f>
        <v/>
      </c>
      <c r="AJ29" s="362" t="str">
        <f>IF(S29="","",VLOOKUP(S29,'G-3 Multipliers'!$A$2:$E$134,4,FALSE))</f>
        <v/>
      </c>
      <c r="AK29" s="370" t="str">
        <f t="shared" si="8"/>
        <v/>
      </c>
      <c r="AL29" s="370" t="str">
        <f t="shared" si="9"/>
        <v/>
      </c>
      <c r="AM29" s="401" t="str">
        <f>IFERROR(IF(F29="","",IF(AH29="Check Data ⚠","Check Data ⚠",VLOOKUP(AL29, 'G-3 Multipliers'!$P$2:$Q$6,2,FALSE))),"")</f>
        <v/>
      </c>
      <c r="AN29" s="376" t="str">
        <f t="shared" si="10"/>
        <v/>
      </c>
      <c r="AO29" s="194"/>
      <c r="AP29" s="195"/>
      <c r="AQ29" s="685"/>
    </row>
    <row r="30" spans="1:43">
      <c r="A30" s="35" t="str">
        <f>IF(E30="","",IF(ISNA(VLOOKUP($E30,'A-1 On-Site Habitat Baseline'!$D$1:$O$258,2,FALSE)),"",(VLOOKUP($E30,'A-1 On-Site Habitat Baseline'!$D$1:$O$258,2,FALSE))))</f>
        <v/>
      </c>
      <c r="B30" s="35" t="str">
        <f>IF(E30="","",IF(ISNA(VLOOKUP($E30,'A-1 On-Site Habitat Baseline'!$D$1:$O$258,3,FALSE)),"",(VLOOKUP($E30,'A-1 On-Site Habitat Baseline'!$D$1:$O$258,3,FALSE))))</f>
        <v/>
      </c>
      <c r="C30" s="35" t="str">
        <f>IFERROR(INDEX('G-8 Condition Look up'!$I$4:$I$135,MATCH(S30,'G-8 Condition Look up'!$A$4:$A$135,0)),"")</f>
        <v/>
      </c>
      <c r="E30" s="392" t="str">
        <f>'A-1 On-Site Habitat Baseline'!AL29</f>
        <v/>
      </c>
      <c r="F30" s="382" t="str">
        <f>IF(E30="","",IF(ISNA(VLOOKUP($E30,'A-1 On-Site Habitat Baseline'!$D$1:$O$258,4,FALSE)),"",(VLOOKUP($E30,'A-1 On-Site Habitat Baseline'!$D$1:$O$258,4,FALSE))))</f>
        <v/>
      </c>
      <c r="G30" s="382" t="str">
        <f>IF(E30="","",IF(ISNA(VLOOKUP($E30,'A-1 On-Site Habitat Baseline'!$D$1:$O$258,5,FALSE)),"",(VLOOKUP($E30,'A-1 On-Site Habitat Baseline'!$D$1:$O$258,5,FALSE))))</f>
        <v/>
      </c>
      <c r="H30" s="382" t="str">
        <f>IF(E30="","",IF(ISNA(VLOOKUP($E30,'A-1 On-Site Habitat Baseline'!$D$1:$O$258,6,FALSE)),"",(VLOOKUP($E30,'A-1 On-Site Habitat Baseline'!$D$1:$O$258,6,FALSE))))</f>
        <v/>
      </c>
      <c r="I30" s="382" t="str">
        <f>IF(E30="","",IF(ISNA(VLOOKUP($E30,'A-1 On-Site Habitat Baseline'!$D$1:$O$258,7,FALSE)),"",(VLOOKUP($E30,'A-1 On-Site Habitat Baseline'!$D$1:$O$258,7,FALSE))))</f>
        <v/>
      </c>
      <c r="J30" s="382" t="str">
        <f>IF(E30="","",IF(ISNA(VLOOKUP($E30,'A-1 On-Site Habitat Baseline'!$D$1:$O$258,8,FALSE)),"",(VLOOKUP($E30,'A-1 On-Site Habitat Baseline'!$D$1:$O$258,8,FALSE))))</f>
        <v/>
      </c>
      <c r="K30" s="382" t="str">
        <f>IF(E30="","",IF(ISNA(VLOOKUP($E30,'A-1 On-Site Habitat Baseline'!$D$1:$O$258,9,FALSE)),"",(VLOOKUP($E30,'A-1 On-Site Habitat Baseline'!$D$1:$O$258,9,FALSE))))</f>
        <v/>
      </c>
      <c r="L30" s="382" t="str">
        <f>IF(E30="","",IF(ISNA(VLOOKUP($E30,'A-1 On-Site Habitat Baseline'!$D$1:$O$258,11,FALSE)),"",(VLOOKUP($E30,'A-1 On-Site Habitat Baseline'!$D$1:$O$258,11,FALSE))))</f>
        <v/>
      </c>
      <c r="M30" s="382" t="str">
        <f>IF(E30="","",IF(ISNA(VLOOKUP($E30,'A-1 On-Site Habitat Baseline'!$D$1:$O$258,12,FALSE)),"",(VLOOKUP($E30,'A-1 On-Site Habitat Baseline'!$D$1:$O$258,12,FALSE))))</f>
        <v/>
      </c>
      <c r="N30" s="393" t="str">
        <f>IF(E30="","",IF(ISNA(VLOOKUP($E30,'A-1 On-Site Habitat Baseline'!$D$1:$X$258,14,FALSE)),"",(VLOOKUP($E30,'A-1 On-Site Habitat Baseline'!$D$1:$X$258,14,FALSE))))</f>
        <v/>
      </c>
      <c r="O30" s="386" t="str">
        <f>IF(E30="","",IF(ISNA(VLOOKUP($E30,'A-1 On-Site Habitat Baseline'!$D$1:$X$258,16,FALSE)),"",(VLOOKUP($E30,'A-1 On-Site Habitat Baseline'!$D$1:$X$258,13,FALSE))))</f>
        <v/>
      </c>
      <c r="P30" s="192" t="str">
        <f>IFERROR(INDEX('G-1 All Habitats'!$AG$3:$AG$17,MATCH(Q30,'G-1 All Habitats'!$AF$3:$AF$17,0)),"")</f>
        <v/>
      </c>
      <c r="Q30" s="193" t="str">
        <f t="shared" si="0"/>
        <v/>
      </c>
      <c r="R30" s="193" t="str">
        <f t="shared" si="1"/>
        <v/>
      </c>
      <c r="S30" s="306" t="str">
        <f>IFERROR(INDEX('G-1 All Habitats'!$B$3:$B$134,MATCH(R30,'G-1 All Habitats'!$A$3:$A$134,0)),"")</f>
        <v/>
      </c>
      <c r="T30" s="362" t="str">
        <f t="shared" si="3"/>
        <v/>
      </c>
      <c r="U30" s="363" t="str">
        <f t="shared" si="4"/>
        <v/>
      </c>
      <c r="V30" s="398" t="str">
        <f t="shared" si="5"/>
        <v/>
      </c>
      <c r="W30" s="382" t="str">
        <f>IF(S30="","",VLOOKUP(S30,'G-1 All Habitats'!$B$2:$M$134,10,FALSE))</f>
        <v/>
      </c>
      <c r="X30" s="382" t="str">
        <f>IFERROR(VLOOKUP(W30,'G-1 All Habitats'!$V$3:$W$7,2,FALSE),"")</f>
        <v/>
      </c>
      <c r="Y30" s="61"/>
      <c r="Z30" s="386" t="str">
        <f>IFERROR(INDEX('G-8 Condition Look up'!$A$3:$H$135,MATCH(S30,'G-8 Condition Look up'!$A$3:$A$135,0),MATCH(Y30,'G-8 Condition Look up'!$A$3:$H$3,0)),"")</f>
        <v/>
      </c>
      <c r="AA30" s="54"/>
      <c r="AB30" s="382" t="str">
        <f>IF(AA30="","",IF(VLOOKUP(AA30,'G-3 Multipliers'!$L$3:$N$6,2,FALSE)=0,"Spatial Data Missing ⚠",VLOOKUP(AA30,'G-3 Multipliers'!$L$3:$N$6,2,FALSE)))</f>
        <v/>
      </c>
      <c r="AC30" s="386" t="str">
        <f>IF(AA30="","",IF(VLOOKUP(AA30,'G-3 Multipliers'!$L$3:$N$6,3,FALSE)=0,"Spatial Data Missing ⚠",VLOOKUP(AA30,'G-3 Multipliers'!$L$3:$N$6,3,FALSE)))</f>
        <v/>
      </c>
      <c r="AD30" s="400" t="str">
        <f t="shared" si="2"/>
        <v/>
      </c>
      <c r="AE30" s="63"/>
      <c r="AF30" s="63"/>
      <c r="AG30" s="370" t="str">
        <f t="shared" si="6"/>
        <v/>
      </c>
      <c r="AH30" s="383" t="str">
        <f t="shared" si="7"/>
        <v/>
      </c>
      <c r="AI30" s="384" t="str">
        <f>IF(AH30="Check Data","Check Data",IFERROR(VLOOKUP(AH30,'G-4 Temporal multipliers'!$A$4:$C$36,3,FALSE),""))</f>
        <v/>
      </c>
      <c r="AJ30" s="362" t="str">
        <f>IF(S30="","",VLOOKUP(S30,'G-3 Multipliers'!$A$2:$E$134,4,FALSE))</f>
        <v/>
      </c>
      <c r="AK30" s="370" t="str">
        <f t="shared" si="8"/>
        <v/>
      </c>
      <c r="AL30" s="370" t="str">
        <f t="shared" si="9"/>
        <v/>
      </c>
      <c r="AM30" s="401" t="str">
        <f>IFERROR(IF(F30="","",IF(AH30="Check Data ⚠","Check Data ⚠",VLOOKUP(AL30, 'G-3 Multipliers'!$P$2:$Q$6,2,FALSE))),"")</f>
        <v/>
      </c>
      <c r="AN30" s="376" t="str">
        <f t="shared" si="10"/>
        <v/>
      </c>
      <c r="AO30" s="194"/>
      <c r="AP30" s="195"/>
      <c r="AQ30" s="685"/>
    </row>
    <row r="31" spans="1:43">
      <c r="A31" s="35" t="str">
        <f>IF(E31="","",IF(ISNA(VLOOKUP($E31,'A-1 On-Site Habitat Baseline'!$D$1:$O$258,2,FALSE)),"",(VLOOKUP($E31,'A-1 On-Site Habitat Baseline'!$D$1:$O$258,2,FALSE))))</f>
        <v/>
      </c>
      <c r="B31" s="35" t="str">
        <f>IF(E31="","",IF(ISNA(VLOOKUP($E31,'A-1 On-Site Habitat Baseline'!$D$1:$O$258,3,FALSE)),"",(VLOOKUP($E31,'A-1 On-Site Habitat Baseline'!$D$1:$O$258,3,FALSE))))</f>
        <v/>
      </c>
      <c r="C31" s="35" t="str">
        <f>IFERROR(INDEX('G-8 Condition Look up'!$I$4:$I$135,MATCH(S31,'G-8 Condition Look up'!$A$4:$A$135,0)),"")</f>
        <v/>
      </c>
      <c r="E31" s="392" t="str">
        <f>'A-1 On-Site Habitat Baseline'!AL30</f>
        <v/>
      </c>
      <c r="F31" s="382" t="str">
        <f>IF(E31="","",IF(ISNA(VLOOKUP($E31,'A-1 On-Site Habitat Baseline'!$D$1:$O$258,4,FALSE)),"",(VLOOKUP($E31,'A-1 On-Site Habitat Baseline'!$D$1:$O$258,4,FALSE))))</f>
        <v/>
      </c>
      <c r="G31" s="382" t="str">
        <f>IF(E31="","",IF(ISNA(VLOOKUP($E31,'A-1 On-Site Habitat Baseline'!$D$1:$O$258,5,FALSE)),"",(VLOOKUP($E31,'A-1 On-Site Habitat Baseline'!$D$1:$O$258,5,FALSE))))</f>
        <v/>
      </c>
      <c r="H31" s="382" t="str">
        <f>IF(E31="","",IF(ISNA(VLOOKUP($E31,'A-1 On-Site Habitat Baseline'!$D$1:$O$258,6,FALSE)),"",(VLOOKUP($E31,'A-1 On-Site Habitat Baseline'!$D$1:$O$258,6,FALSE))))</f>
        <v/>
      </c>
      <c r="I31" s="382" t="str">
        <f>IF(E31="","",IF(ISNA(VLOOKUP($E31,'A-1 On-Site Habitat Baseline'!$D$1:$O$258,7,FALSE)),"",(VLOOKUP($E31,'A-1 On-Site Habitat Baseline'!$D$1:$O$258,7,FALSE))))</f>
        <v/>
      </c>
      <c r="J31" s="382" t="str">
        <f>IF(E31="","",IF(ISNA(VLOOKUP($E31,'A-1 On-Site Habitat Baseline'!$D$1:$O$258,8,FALSE)),"",(VLOOKUP($E31,'A-1 On-Site Habitat Baseline'!$D$1:$O$258,8,FALSE))))</f>
        <v/>
      </c>
      <c r="K31" s="382" t="str">
        <f>IF(E31="","",IF(ISNA(VLOOKUP($E31,'A-1 On-Site Habitat Baseline'!$D$1:$O$258,9,FALSE)),"",(VLOOKUP($E31,'A-1 On-Site Habitat Baseline'!$D$1:$O$258,9,FALSE))))</f>
        <v/>
      </c>
      <c r="L31" s="382" t="str">
        <f>IF(E31="","",IF(ISNA(VLOOKUP($E31,'A-1 On-Site Habitat Baseline'!$D$1:$O$258,11,FALSE)),"",(VLOOKUP($E31,'A-1 On-Site Habitat Baseline'!$D$1:$O$258,11,FALSE))))</f>
        <v/>
      </c>
      <c r="M31" s="382" t="str">
        <f>IF(E31="","",IF(ISNA(VLOOKUP($E31,'A-1 On-Site Habitat Baseline'!$D$1:$O$258,12,FALSE)),"",(VLOOKUP($E31,'A-1 On-Site Habitat Baseline'!$D$1:$O$258,12,FALSE))))</f>
        <v/>
      </c>
      <c r="N31" s="393" t="str">
        <f>IF(E31="","",IF(ISNA(VLOOKUP($E31,'A-1 On-Site Habitat Baseline'!$D$1:$X$258,14,FALSE)),"",(VLOOKUP($E31,'A-1 On-Site Habitat Baseline'!$D$1:$X$258,14,FALSE))))</f>
        <v/>
      </c>
      <c r="O31" s="386" t="str">
        <f>IF(E31="","",IF(ISNA(VLOOKUP($E31,'A-1 On-Site Habitat Baseline'!$D$1:$X$258,16,FALSE)),"",(VLOOKUP($E31,'A-1 On-Site Habitat Baseline'!$D$1:$X$258,13,FALSE))))</f>
        <v/>
      </c>
      <c r="P31" s="192" t="str">
        <f>IFERROR(INDEX('G-1 All Habitats'!$AG$3:$AG$17,MATCH(Q31,'G-1 All Habitats'!$AF$3:$AF$17,0)),"")</f>
        <v/>
      </c>
      <c r="Q31" s="193" t="str">
        <f t="shared" si="0"/>
        <v/>
      </c>
      <c r="R31" s="193" t="str">
        <f t="shared" si="1"/>
        <v/>
      </c>
      <c r="S31" s="306" t="str">
        <f>IFERROR(INDEX('G-1 All Habitats'!$B$3:$B$134,MATCH(R31,'G-1 All Habitats'!$A$3:$A$134,0)),"")</f>
        <v/>
      </c>
      <c r="T31" s="362" t="str">
        <f t="shared" si="3"/>
        <v/>
      </c>
      <c r="U31" s="363" t="str">
        <f t="shared" si="4"/>
        <v/>
      </c>
      <c r="V31" s="398" t="str">
        <f t="shared" si="5"/>
        <v/>
      </c>
      <c r="W31" s="382" t="str">
        <f>IF(S31="","",VLOOKUP(S31,'G-1 All Habitats'!$B$2:$M$134,10,FALSE))</f>
        <v/>
      </c>
      <c r="X31" s="382" t="str">
        <f>IFERROR(VLOOKUP(W31,'G-1 All Habitats'!$V$3:$W$7,2,FALSE),"")</f>
        <v/>
      </c>
      <c r="Y31" s="61"/>
      <c r="Z31" s="386" t="str">
        <f>IFERROR(INDEX('G-8 Condition Look up'!$A$3:$H$135,MATCH(S31,'G-8 Condition Look up'!$A$3:$A$135,0),MATCH(Y31,'G-8 Condition Look up'!$A$3:$H$3,0)),"")</f>
        <v/>
      </c>
      <c r="AA31" s="54"/>
      <c r="AB31" s="382" t="str">
        <f>IF(AA31="","",IF(VLOOKUP(AA31,'G-3 Multipliers'!$L$3:$N$6,2,FALSE)=0,"Spatial Data Missing ⚠",VLOOKUP(AA31,'G-3 Multipliers'!$L$3:$N$6,2,FALSE)))</f>
        <v/>
      </c>
      <c r="AC31" s="386" t="str">
        <f>IF(AA31="","",IF(VLOOKUP(AA31,'G-3 Multipliers'!$L$3:$N$6,3,FALSE)=0,"Spatial Data Missing ⚠",VLOOKUP(AA31,'G-3 Multipliers'!$L$3:$N$6,3,FALSE)))</f>
        <v/>
      </c>
      <c r="AD31" s="400" t="str">
        <f t="shared" si="2"/>
        <v/>
      </c>
      <c r="AE31" s="63"/>
      <c r="AF31" s="63"/>
      <c r="AG31" s="370" t="str">
        <f t="shared" si="6"/>
        <v/>
      </c>
      <c r="AH31" s="383" t="str">
        <f t="shared" si="7"/>
        <v/>
      </c>
      <c r="AI31" s="384" t="str">
        <f>IF(AH31="Check Data","Check Data",IFERROR(VLOOKUP(AH31,'G-4 Temporal multipliers'!$A$4:$C$36,3,FALSE),""))</f>
        <v/>
      </c>
      <c r="AJ31" s="362" t="str">
        <f>IF(S31="","",VLOOKUP(S31,'G-3 Multipliers'!$A$2:$E$134,4,FALSE))</f>
        <v/>
      </c>
      <c r="AK31" s="370" t="str">
        <f t="shared" si="8"/>
        <v/>
      </c>
      <c r="AL31" s="370" t="str">
        <f t="shared" si="9"/>
        <v/>
      </c>
      <c r="AM31" s="401" t="str">
        <f>IFERROR(IF(F31="","",IF(AH31="Check Data ⚠","Check Data ⚠",VLOOKUP(AL31, 'G-3 Multipliers'!$P$2:$Q$6,2,FALSE))),"")</f>
        <v/>
      </c>
      <c r="AN31" s="376" t="str">
        <f t="shared" si="10"/>
        <v/>
      </c>
      <c r="AO31" s="194"/>
      <c r="AP31" s="195"/>
      <c r="AQ31" s="685"/>
    </row>
    <row r="32" spans="1:43">
      <c r="A32" s="35" t="str">
        <f>IF(E32="","",IF(ISNA(VLOOKUP($E32,'A-1 On-Site Habitat Baseline'!$D$1:$O$258,2,FALSE)),"",(VLOOKUP($E32,'A-1 On-Site Habitat Baseline'!$D$1:$O$258,2,FALSE))))</f>
        <v/>
      </c>
      <c r="B32" s="35" t="str">
        <f>IF(E32="","",IF(ISNA(VLOOKUP($E32,'A-1 On-Site Habitat Baseline'!$D$1:$O$258,3,FALSE)),"",(VLOOKUP($E32,'A-1 On-Site Habitat Baseline'!$D$1:$O$258,3,FALSE))))</f>
        <v/>
      </c>
      <c r="C32" s="35" t="str">
        <f>IFERROR(INDEX('G-8 Condition Look up'!$I$4:$I$135,MATCH(S32,'G-8 Condition Look up'!$A$4:$A$135,0)),"")</f>
        <v/>
      </c>
      <c r="E32" s="392" t="str">
        <f>'A-1 On-Site Habitat Baseline'!AL31</f>
        <v/>
      </c>
      <c r="F32" s="382" t="str">
        <f>IF(E32="","",IF(ISNA(VLOOKUP($E32,'A-1 On-Site Habitat Baseline'!$D$1:$O$258,4,FALSE)),"",(VLOOKUP($E32,'A-1 On-Site Habitat Baseline'!$D$1:$O$258,4,FALSE))))</f>
        <v/>
      </c>
      <c r="G32" s="382" t="str">
        <f>IF(E32="","",IF(ISNA(VLOOKUP($E32,'A-1 On-Site Habitat Baseline'!$D$1:$O$258,5,FALSE)),"",(VLOOKUP($E32,'A-1 On-Site Habitat Baseline'!$D$1:$O$258,5,FALSE))))</f>
        <v/>
      </c>
      <c r="H32" s="382" t="str">
        <f>IF(E32="","",IF(ISNA(VLOOKUP($E32,'A-1 On-Site Habitat Baseline'!$D$1:$O$258,6,FALSE)),"",(VLOOKUP($E32,'A-1 On-Site Habitat Baseline'!$D$1:$O$258,6,FALSE))))</f>
        <v/>
      </c>
      <c r="I32" s="382" t="str">
        <f>IF(E32="","",IF(ISNA(VLOOKUP($E32,'A-1 On-Site Habitat Baseline'!$D$1:$O$258,7,FALSE)),"",(VLOOKUP($E32,'A-1 On-Site Habitat Baseline'!$D$1:$O$258,7,FALSE))))</f>
        <v/>
      </c>
      <c r="J32" s="382" t="str">
        <f>IF(E32="","",IF(ISNA(VLOOKUP($E32,'A-1 On-Site Habitat Baseline'!$D$1:$O$258,8,FALSE)),"",(VLOOKUP($E32,'A-1 On-Site Habitat Baseline'!$D$1:$O$258,8,FALSE))))</f>
        <v/>
      </c>
      <c r="K32" s="382" t="str">
        <f>IF(E32="","",IF(ISNA(VLOOKUP($E32,'A-1 On-Site Habitat Baseline'!$D$1:$O$258,9,FALSE)),"",(VLOOKUP($E32,'A-1 On-Site Habitat Baseline'!$D$1:$O$258,9,FALSE))))</f>
        <v/>
      </c>
      <c r="L32" s="382" t="str">
        <f>IF(E32="","",IF(ISNA(VLOOKUP($E32,'A-1 On-Site Habitat Baseline'!$D$1:$O$258,11,FALSE)),"",(VLOOKUP($E32,'A-1 On-Site Habitat Baseline'!$D$1:$O$258,11,FALSE))))</f>
        <v/>
      </c>
      <c r="M32" s="382" t="str">
        <f>IF(E32="","",IF(ISNA(VLOOKUP($E32,'A-1 On-Site Habitat Baseline'!$D$1:$O$258,12,FALSE)),"",(VLOOKUP($E32,'A-1 On-Site Habitat Baseline'!$D$1:$O$258,12,FALSE))))</f>
        <v/>
      </c>
      <c r="N32" s="393" t="str">
        <f>IF(E32="","",IF(ISNA(VLOOKUP($E32,'A-1 On-Site Habitat Baseline'!$D$1:$X$258,14,FALSE)),"",(VLOOKUP($E32,'A-1 On-Site Habitat Baseline'!$D$1:$X$258,14,FALSE))))</f>
        <v/>
      </c>
      <c r="O32" s="386" t="str">
        <f>IF(E32="","",IF(ISNA(VLOOKUP($E32,'A-1 On-Site Habitat Baseline'!$D$1:$X$258,16,FALSE)),"",(VLOOKUP($E32,'A-1 On-Site Habitat Baseline'!$D$1:$X$258,13,FALSE))))</f>
        <v/>
      </c>
      <c r="P32" s="192" t="str">
        <f>IFERROR(INDEX('G-1 All Habitats'!$AG$3:$AG$17,MATCH(Q32,'G-1 All Habitats'!$AF$3:$AF$17,0)),"")</f>
        <v/>
      </c>
      <c r="Q32" s="193" t="str">
        <f t="shared" si="0"/>
        <v/>
      </c>
      <c r="R32" s="193" t="str">
        <f t="shared" si="1"/>
        <v/>
      </c>
      <c r="S32" s="306" t="str">
        <f>IFERROR(INDEX('G-1 All Habitats'!$B$3:$B$134,MATCH(R32,'G-1 All Habitats'!$A$3:$A$134,0)),"")</f>
        <v/>
      </c>
      <c r="T32" s="362" t="str">
        <f t="shared" si="3"/>
        <v/>
      </c>
      <c r="U32" s="363" t="str">
        <f t="shared" si="4"/>
        <v/>
      </c>
      <c r="V32" s="398" t="str">
        <f t="shared" si="5"/>
        <v/>
      </c>
      <c r="W32" s="382" t="str">
        <f>IF(S32="","",VLOOKUP(S32,'G-1 All Habitats'!$B$2:$M$134,10,FALSE))</f>
        <v/>
      </c>
      <c r="X32" s="382" t="str">
        <f>IFERROR(VLOOKUP(W32,'G-1 All Habitats'!$V$3:$W$7,2,FALSE),"")</f>
        <v/>
      </c>
      <c r="Y32" s="61"/>
      <c r="Z32" s="386" t="str">
        <f>IFERROR(INDEX('G-8 Condition Look up'!$A$3:$H$135,MATCH(S32,'G-8 Condition Look up'!$A$3:$A$135,0),MATCH(Y32,'G-8 Condition Look up'!$A$3:$H$3,0)),"")</f>
        <v/>
      </c>
      <c r="AA32" s="54"/>
      <c r="AB32" s="382" t="str">
        <f>IF(AA32="","",IF(VLOOKUP(AA32,'G-3 Multipliers'!$L$3:$N$6,2,FALSE)=0,"Spatial Data Missing ⚠",VLOOKUP(AA32,'G-3 Multipliers'!$L$3:$N$6,2,FALSE)))</f>
        <v/>
      </c>
      <c r="AC32" s="386" t="str">
        <f>IF(AA32="","",IF(VLOOKUP(AA32,'G-3 Multipliers'!$L$3:$N$6,3,FALSE)=0,"Spatial Data Missing ⚠",VLOOKUP(AA32,'G-3 Multipliers'!$L$3:$N$6,3,FALSE)))</f>
        <v/>
      </c>
      <c r="AD32" s="400" t="str">
        <f t="shared" si="2"/>
        <v/>
      </c>
      <c r="AE32" s="63"/>
      <c r="AF32" s="63"/>
      <c r="AG32" s="370" t="str">
        <f t="shared" si="6"/>
        <v/>
      </c>
      <c r="AH32" s="383" t="str">
        <f t="shared" si="7"/>
        <v/>
      </c>
      <c r="AI32" s="384" t="str">
        <f>IF(AH32="Check Data","Check Data",IFERROR(VLOOKUP(AH32,'G-4 Temporal multipliers'!$A$4:$C$36,3,FALSE),""))</f>
        <v/>
      </c>
      <c r="AJ32" s="362" t="str">
        <f>IF(S32="","",VLOOKUP(S32,'G-3 Multipliers'!$A$2:$E$134,4,FALSE))</f>
        <v/>
      </c>
      <c r="AK32" s="370" t="str">
        <f t="shared" si="8"/>
        <v/>
      </c>
      <c r="AL32" s="370" t="str">
        <f t="shared" si="9"/>
        <v/>
      </c>
      <c r="AM32" s="401" t="str">
        <f>IFERROR(IF(F32="","",IF(AH32="Check Data ⚠","Check Data ⚠",VLOOKUP(AL32, 'G-3 Multipliers'!$P$2:$Q$6,2,FALSE))),"")</f>
        <v/>
      </c>
      <c r="AN32" s="376" t="str">
        <f t="shared" si="10"/>
        <v/>
      </c>
      <c r="AO32" s="194"/>
      <c r="AP32" s="195"/>
      <c r="AQ32" s="685"/>
    </row>
    <row r="33" spans="1:43">
      <c r="A33" s="35" t="str">
        <f>IF(E33="","",IF(ISNA(VLOOKUP($E33,'A-1 On-Site Habitat Baseline'!$D$1:$O$258,2,FALSE)),"",(VLOOKUP($E33,'A-1 On-Site Habitat Baseline'!$D$1:$O$258,2,FALSE))))</f>
        <v/>
      </c>
      <c r="B33" s="35" t="str">
        <f>IF(E33="","",IF(ISNA(VLOOKUP($E33,'A-1 On-Site Habitat Baseline'!$D$1:$O$258,3,FALSE)),"",(VLOOKUP($E33,'A-1 On-Site Habitat Baseline'!$D$1:$O$258,3,FALSE))))</f>
        <v/>
      </c>
      <c r="C33" s="35" t="str">
        <f>IFERROR(INDEX('G-8 Condition Look up'!$I$4:$I$135,MATCH(S33,'G-8 Condition Look up'!$A$4:$A$135,0)),"")</f>
        <v/>
      </c>
      <c r="E33" s="392" t="str">
        <f>'A-1 On-Site Habitat Baseline'!AL32</f>
        <v/>
      </c>
      <c r="F33" s="382" t="str">
        <f>IF(E33="","",IF(ISNA(VLOOKUP($E33,'A-1 On-Site Habitat Baseline'!$D$1:$O$258,4,FALSE)),"",(VLOOKUP($E33,'A-1 On-Site Habitat Baseline'!$D$1:$O$258,4,FALSE))))</f>
        <v/>
      </c>
      <c r="G33" s="382" t="str">
        <f>IF(E33="","",IF(ISNA(VLOOKUP($E33,'A-1 On-Site Habitat Baseline'!$D$1:$O$258,5,FALSE)),"",(VLOOKUP($E33,'A-1 On-Site Habitat Baseline'!$D$1:$O$258,5,FALSE))))</f>
        <v/>
      </c>
      <c r="H33" s="382" t="str">
        <f>IF(E33="","",IF(ISNA(VLOOKUP($E33,'A-1 On-Site Habitat Baseline'!$D$1:$O$258,6,FALSE)),"",(VLOOKUP($E33,'A-1 On-Site Habitat Baseline'!$D$1:$O$258,6,FALSE))))</f>
        <v/>
      </c>
      <c r="I33" s="382" t="str">
        <f>IF(E33="","",IF(ISNA(VLOOKUP($E33,'A-1 On-Site Habitat Baseline'!$D$1:$O$258,7,FALSE)),"",(VLOOKUP($E33,'A-1 On-Site Habitat Baseline'!$D$1:$O$258,7,FALSE))))</f>
        <v/>
      </c>
      <c r="J33" s="382" t="str">
        <f>IF(E33="","",IF(ISNA(VLOOKUP($E33,'A-1 On-Site Habitat Baseline'!$D$1:$O$258,8,FALSE)),"",(VLOOKUP($E33,'A-1 On-Site Habitat Baseline'!$D$1:$O$258,8,FALSE))))</f>
        <v/>
      </c>
      <c r="K33" s="382" t="str">
        <f>IF(E33="","",IF(ISNA(VLOOKUP($E33,'A-1 On-Site Habitat Baseline'!$D$1:$O$258,9,FALSE)),"",(VLOOKUP($E33,'A-1 On-Site Habitat Baseline'!$D$1:$O$258,9,FALSE))))</f>
        <v/>
      </c>
      <c r="L33" s="382" t="str">
        <f>IF(E33="","",IF(ISNA(VLOOKUP($E33,'A-1 On-Site Habitat Baseline'!$D$1:$O$258,11,FALSE)),"",(VLOOKUP($E33,'A-1 On-Site Habitat Baseline'!$D$1:$O$258,11,FALSE))))</f>
        <v/>
      </c>
      <c r="M33" s="382" t="str">
        <f>IF(E33="","",IF(ISNA(VLOOKUP($E33,'A-1 On-Site Habitat Baseline'!$D$1:$O$258,12,FALSE)),"",(VLOOKUP($E33,'A-1 On-Site Habitat Baseline'!$D$1:$O$258,12,FALSE))))</f>
        <v/>
      </c>
      <c r="N33" s="393" t="str">
        <f>IF(E33="","",IF(ISNA(VLOOKUP($E33,'A-1 On-Site Habitat Baseline'!$D$1:$X$258,14,FALSE)),"",(VLOOKUP($E33,'A-1 On-Site Habitat Baseline'!$D$1:$X$258,14,FALSE))))</f>
        <v/>
      </c>
      <c r="O33" s="386" t="str">
        <f>IF(E33="","",IF(ISNA(VLOOKUP($E33,'A-1 On-Site Habitat Baseline'!$D$1:$X$258,16,FALSE)),"",(VLOOKUP($E33,'A-1 On-Site Habitat Baseline'!$D$1:$X$258,13,FALSE))))</f>
        <v/>
      </c>
      <c r="P33" s="192" t="str">
        <f>IFERROR(INDEX('G-1 All Habitats'!$AG$3:$AG$17,MATCH(Q33,'G-1 All Habitats'!$AF$3:$AF$17,0)),"")</f>
        <v/>
      </c>
      <c r="Q33" s="193" t="str">
        <f t="shared" si="0"/>
        <v/>
      </c>
      <c r="R33" s="193" t="str">
        <f t="shared" si="1"/>
        <v/>
      </c>
      <c r="S33" s="306" t="str">
        <f>IFERROR(INDEX('G-1 All Habitats'!$B$3:$B$134,MATCH(R33,'G-1 All Habitats'!$A$3:$A$134,0)),"")</f>
        <v/>
      </c>
      <c r="T33" s="362" t="str">
        <f t="shared" si="3"/>
        <v/>
      </c>
      <c r="U33" s="363" t="str">
        <f t="shared" si="4"/>
        <v/>
      </c>
      <c r="V33" s="398" t="str">
        <f t="shared" si="5"/>
        <v/>
      </c>
      <c r="W33" s="382" t="str">
        <f>IF(S33="","",VLOOKUP(S33,'G-1 All Habitats'!$B$2:$M$134,10,FALSE))</f>
        <v/>
      </c>
      <c r="X33" s="382" t="str">
        <f>IFERROR(VLOOKUP(W33,'G-1 All Habitats'!$V$3:$W$7,2,FALSE),"")</f>
        <v/>
      </c>
      <c r="Y33" s="61"/>
      <c r="Z33" s="386" t="str">
        <f>IFERROR(INDEX('G-8 Condition Look up'!$A$3:$H$135,MATCH(S33,'G-8 Condition Look up'!$A$3:$A$135,0),MATCH(Y33,'G-8 Condition Look up'!$A$3:$H$3,0)),"")</f>
        <v/>
      </c>
      <c r="AA33" s="54"/>
      <c r="AB33" s="382" t="str">
        <f>IF(AA33="","",IF(VLOOKUP(AA33,'G-3 Multipliers'!$L$3:$N$6,2,FALSE)=0,"Spatial Data Missing ⚠",VLOOKUP(AA33,'G-3 Multipliers'!$L$3:$N$6,2,FALSE)))</f>
        <v/>
      </c>
      <c r="AC33" s="386" t="str">
        <f>IF(AA33="","",IF(VLOOKUP(AA33,'G-3 Multipliers'!$L$3:$N$6,3,FALSE)=0,"Spatial Data Missing ⚠",VLOOKUP(AA33,'G-3 Multipliers'!$L$3:$N$6,3,FALSE)))</f>
        <v/>
      </c>
      <c r="AD33" s="400" t="str">
        <f t="shared" si="2"/>
        <v/>
      </c>
      <c r="AE33" s="63"/>
      <c r="AF33" s="63"/>
      <c r="AG33" s="370" t="str">
        <f t="shared" si="6"/>
        <v/>
      </c>
      <c r="AH33" s="383" t="str">
        <f t="shared" si="7"/>
        <v/>
      </c>
      <c r="AI33" s="384" t="str">
        <f>IF(AH33="Check Data","Check Data",IFERROR(VLOOKUP(AH33,'G-4 Temporal multipliers'!$A$4:$C$36,3,FALSE),""))</f>
        <v/>
      </c>
      <c r="AJ33" s="362" t="str">
        <f>IF(S33="","",VLOOKUP(S33,'G-3 Multipliers'!$A$2:$E$134,4,FALSE))</f>
        <v/>
      </c>
      <c r="AK33" s="370" t="str">
        <f t="shared" si="8"/>
        <v/>
      </c>
      <c r="AL33" s="370" t="str">
        <f t="shared" si="9"/>
        <v/>
      </c>
      <c r="AM33" s="401" t="str">
        <f>IFERROR(IF(F33="","",IF(AH33="Check Data ⚠","Check Data ⚠",VLOOKUP(AL33, 'G-3 Multipliers'!$P$2:$Q$6,2,FALSE))),"")</f>
        <v/>
      </c>
      <c r="AN33" s="376" t="str">
        <f t="shared" si="10"/>
        <v/>
      </c>
      <c r="AO33" s="194"/>
      <c r="AP33" s="195"/>
      <c r="AQ33" s="685"/>
    </row>
    <row r="34" spans="1:43">
      <c r="A34" s="35" t="str">
        <f>IF(E34="","",IF(ISNA(VLOOKUP($E34,'A-1 On-Site Habitat Baseline'!$D$1:$O$258,2,FALSE)),"",(VLOOKUP($E34,'A-1 On-Site Habitat Baseline'!$D$1:$O$258,2,FALSE))))</f>
        <v/>
      </c>
      <c r="B34" s="35" t="str">
        <f>IF(E34="","",IF(ISNA(VLOOKUP($E34,'A-1 On-Site Habitat Baseline'!$D$1:$O$258,3,FALSE)),"",(VLOOKUP($E34,'A-1 On-Site Habitat Baseline'!$D$1:$O$258,3,FALSE))))</f>
        <v/>
      </c>
      <c r="C34" s="35" t="str">
        <f>IFERROR(INDEX('G-8 Condition Look up'!$I$4:$I$135,MATCH(S34,'G-8 Condition Look up'!$A$4:$A$135,0)),"")</f>
        <v/>
      </c>
      <c r="E34" s="392" t="str">
        <f>'A-1 On-Site Habitat Baseline'!AL33</f>
        <v/>
      </c>
      <c r="F34" s="382" t="str">
        <f>IF(E34="","",IF(ISNA(VLOOKUP($E34,'A-1 On-Site Habitat Baseline'!$D$1:$O$258,4,FALSE)),"",(VLOOKUP($E34,'A-1 On-Site Habitat Baseline'!$D$1:$O$258,4,FALSE))))</f>
        <v/>
      </c>
      <c r="G34" s="382" t="str">
        <f>IF(E34="","",IF(ISNA(VLOOKUP($E34,'A-1 On-Site Habitat Baseline'!$D$1:$O$258,5,FALSE)),"",(VLOOKUP($E34,'A-1 On-Site Habitat Baseline'!$D$1:$O$258,5,FALSE))))</f>
        <v/>
      </c>
      <c r="H34" s="382" t="str">
        <f>IF(E34="","",IF(ISNA(VLOOKUP($E34,'A-1 On-Site Habitat Baseline'!$D$1:$O$258,6,FALSE)),"",(VLOOKUP($E34,'A-1 On-Site Habitat Baseline'!$D$1:$O$258,6,FALSE))))</f>
        <v/>
      </c>
      <c r="I34" s="382" t="str">
        <f>IF(E34="","",IF(ISNA(VLOOKUP($E34,'A-1 On-Site Habitat Baseline'!$D$1:$O$258,7,FALSE)),"",(VLOOKUP($E34,'A-1 On-Site Habitat Baseline'!$D$1:$O$258,7,FALSE))))</f>
        <v/>
      </c>
      <c r="J34" s="382" t="str">
        <f>IF(E34="","",IF(ISNA(VLOOKUP($E34,'A-1 On-Site Habitat Baseline'!$D$1:$O$258,8,FALSE)),"",(VLOOKUP($E34,'A-1 On-Site Habitat Baseline'!$D$1:$O$258,8,FALSE))))</f>
        <v/>
      </c>
      <c r="K34" s="382" t="str">
        <f>IF(E34="","",IF(ISNA(VLOOKUP($E34,'A-1 On-Site Habitat Baseline'!$D$1:$O$258,9,FALSE)),"",(VLOOKUP($E34,'A-1 On-Site Habitat Baseline'!$D$1:$O$258,9,FALSE))))</f>
        <v/>
      </c>
      <c r="L34" s="382" t="str">
        <f>IF(E34="","",IF(ISNA(VLOOKUP($E34,'A-1 On-Site Habitat Baseline'!$D$1:$O$258,11,FALSE)),"",(VLOOKUP($E34,'A-1 On-Site Habitat Baseline'!$D$1:$O$258,11,FALSE))))</f>
        <v/>
      </c>
      <c r="M34" s="382" t="str">
        <f>IF(E34="","",IF(ISNA(VLOOKUP($E34,'A-1 On-Site Habitat Baseline'!$D$1:$O$258,12,FALSE)),"",(VLOOKUP($E34,'A-1 On-Site Habitat Baseline'!$D$1:$O$258,12,FALSE))))</f>
        <v/>
      </c>
      <c r="N34" s="393" t="str">
        <f>IF(E34="","",IF(ISNA(VLOOKUP($E34,'A-1 On-Site Habitat Baseline'!$D$1:$X$258,14,FALSE)),"",(VLOOKUP($E34,'A-1 On-Site Habitat Baseline'!$D$1:$X$258,14,FALSE))))</f>
        <v/>
      </c>
      <c r="O34" s="386" t="str">
        <f>IF(E34="","",IF(ISNA(VLOOKUP($E34,'A-1 On-Site Habitat Baseline'!$D$1:$X$258,16,FALSE)),"",(VLOOKUP($E34,'A-1 On-Site Habitat Baseline'!$D$1:$X$258,13,FALSE))))</f>
        <v/>
      </c>
      <c r="P34" s="192" t="str">
        <f>IFERROR(INDEX('G-1 All Habitats'!$AG$3:$AG$17,MATCH(Q34,'G-1 All Habitats'!$AF$3:$AF$17,0)),"")</f>
        <v/>
      </c>
      <c r="Q34" s="193" t="str">
        <f t="shared" si="0"/>
        <v/>
      </c>
      <c r="R34" s="193" t="str">
        <f t="shared" si="1"/>
        <v/>
      </c>
      <c r="S34" s="306" t="str">
        <f>IFERROR(INDEX('G-1 All Habitats'!$B$3:$B$134,MATCH(R34,'G-1 All Habitats'!$A$3:$A$134,0)),"")</f>
        <v/>
      </c>
      <c r="T34" s="362" t="str">
        <f t="shared" si="3"/>
        <v/>
      </c>
      <c r="U34" s="363" t="str">
        <f t="shared" si="4"/>
        <v/>
      </c>
      <c r="V34" s="398" t="str">
        <f t="shared" si="5"/>
        <v/>
      </c>
      <c r="W34" s="382" t="str">
        <f>IF(S34="","",VLOOKUP(S34,'G-1 All Habitats'!$B$2:$M$134,10,FALSE))</f>
        <v/>
      </c>
      <c r="X34" s="382" t="str">
        <f>IFERROR(VLOOKUP(W34,'G-1 All Habitats'!$V$3:$W$7,2,FALSE),"")</f>
        <v/>
      </c>
      <c r="Y34" s="61"/>
      <c r="Z34" s="386" t="str">
        <f>IFERROR(INDEX('G-8 Condition Look up'!$A$3:$H$135,MATCH(S34,'G-8 Condition Look up'!$A$3:$A$135,0),MATCH(Y34,'G-8 Condition Look up'!$A$3:$H$3,0)),"")</f>
        <v/>
      </c>
      <c r="AA34" s="54"/>
      <c r="AB34" s="382" t="str">
        <f>IF(AA34="","",IF(VLOOKUP(AA34,'G-3 Multipliers'!$L$3:$N$6,2,FALSE)=0,"Spatial Data Missing ⚠",VLOOKUP(AA34,'G-3 Multipliers'!$L$3:$N$6,2,FALSE)))</f>
        <v/>
      </c>
      <c r="AC34" s="386" t="str">
        <f>IF(AA34="","",IF(VLOOKUP(AA34,'G-3 Multipliers'!$L$3:$N$6,3,FALSE)=0,"Spatial Data Missing ⚠",VLOOKUP(AA34,'G-3 Multipliers'!$L$3:$N$6,3,FALSE)))</f>
        <v/>
      </c>
      <c r="AD34" s="400" t="str">
        <f t="shared" si="2"/>
        <v/>
      </c>
      <c r="AE34" s="63"/>
      <c r="AF34" s="63"/>
      <c r="AG34" s="370" t="str">
        <f t="shared" si="6"/>
        <v/>
      </c>
      <c r="AH34" s="383" t="str">
        <f t="shared" si="7"/>
        <v/>
      </c>
      <c r="AI34" s="384" t="str">
        <f>IF(AH34="Check Data","Check Data",IFERROR(VLOOKUP(AH34,'G-4 Temporal multipliers'!$A$4:$C$36,3,FALSE),""))</f>
        <v/>
      </c>
      <c r="AJ34" s="362" t="str">
        <f>IF(S34="","",VLOOKUP(S34,'G-3 Multipliers'!$A$2:$E$134,4,FALSE))</f>
        <v/>
      </c>
      <c r="AK34" s="370" t="str">
        <f t="shared" si="8"/>
        <v/>
      </c>
      <c r="AL34" s="370" t="str">
        <f t="shared" si="9"/>
        <v/>
      </c>
      <c r="AM34" s="401" t="str">
        <f>IFERROR(IF(F34="","",IF(AH34="Check Data ⚠","Check Data ⚠",VLOOKUP(AL34, 'G-3 Multipliers'!$P$2:$Q$6,2,FALSE))),"")</f>
        <v/>
      </c>
      <c r="AN34" s="376" t="str">
        <f t="shared" si="10"/>
        <v/>
      </c>
      <c r="AO34" s="194"/>
      <c r="AP34" s="195"/>
      <c r="AQ34" s="685"/>
    </row>
    <row r="35" spans="1:43">
      <c r="A35" s="35" t="str">
        <f>IF(E35="","",IF(ISNA(VLOOKUP($E35,'A-1 On-Site Habitat Baseline'!$D$1:$O$258,2,FALSE)),"",(VLOOKUP($E35,'A-1 On-Site Habitat Baseline'!$D$1:$O$258,2,FALSE))))</f>
        <v/>
      </c>
      <c r="B35" s="35" t="str">
        <f>IF(E35="","",IF(ISNA(VLOOKUP($E35,'A-1 On-Site Habitat Baseline'!$D$1:$O$258,3,FALSE)),"",(VLOOKUP($E35,'A-1 On-Site Habitat Baseline'!$D$1:$O$258,3,FALSE))))</f>
        <v/>
      </c>
      <c r="C35" s="35" t="str">
        <f>IFERROR(INDEX('G-8 Condition Look up'!$I$4:$I$135,MATCH(S35,'G-8 Condition Look up'!$A$4:$A$135,0)),"")</f>
        <v/>
      </c>
      <c r="E35" s="392" t="str">
        <f>'A-1 On-Site Habitat Baseline'!AL34</f>
        <v/>
      </c>
      <c r="F35" s="382" t="str">
        <f>IF(E35="","",IF(ISNA(VLOOKUP($E35,'A-1 On-Site Habitat Baseline'!$D$1:$O$258,4,FALSE)),"",(VLOOKUP($E35,'A-1 On-Site Habitat Baseline'!$D$1:$O$258,4,FALSE))))</f>
        <v/>
      </c>
      <c r="G35" s="382" t="str">
        <f>IF(E35="","",IF(ISNA(VLOOKUP($E35,'A-1 On-Site Habitat Baseline'!$D$1:$O$258,5,FALSE)),"",(VLOOKUP($E35,'A-1 On-Site Habitat Baseline'!$D$1:$O$258,5,FALSE))))</f>
        <v/>
      </c>
      <c r="H35" s="382" t="str">
        <f>IF(E35="","",IF(ISNA(VLOOKUP($E35,'A-1 On-Site Habitat Baseline'!$D$1:$O$258,6,FALSE)),"",(VLOOKUP($E35,'A-1 On-Site Habitat Baseline'!$D$1:$O$258,6,FALSE))))</f>
        <v/>
      </c>
      <c r="I35" s="382" t="str">
        <f>IF(E35="","",IF(ISNA(VLOOKUP($E35,'A-1 On-Site Habitat Baseline'!$D$1:$O$258,7,FALSE)),"",(VLOOKUP($E35,'A-1 On-Site Habitat Baseline'!$D$1:$O$258,7,FALSE))))</f>
        <v/>
      </c>
      <c r="J35" s="382" t="str">
        <f>IF(E35="","",IF(ISNA(VLOOKUP($E35,'A-1 On-Site Habitat Baseline'!$D$1:$O$258,8,FALSE)),"",(VLOOKUP($E35,'A-1 On-Site Habitat Baseline'!$D$1:$O$258,8,FALSE))))</f>
        <v/>
      </c>
      <c r="K35" s="382" t="str">
        <f>IF(E35="","",IF(ISNA(VLOOKUP($E35,'A-1 On-Site Habitat Baseline'!$D$1:$O$258,9,FALSE)),"",(VLOOKUP($E35,'A-1 On-Site Habitat Baseline'!$D$1:$O$258,9,FALSE))))</f>
        <v/>
      </c>
      <c r="L35" s="382" t="str">
        <f>IF(E35="","",IF(ISNA(VLOOKUP($E35,'A-1 On-Site Habitat Baseline'!$D$1:$O$258,11,FALSE)),"",(VLOOKUP($E35,'A-1 On-Site Habitat Baseline'!$D$1:$O$258,11,FALSE))))</f>
        <v/>
      </c>
      <c r="M35" s="382" t="str">
        <f>IF(E35="","",IF(ISNA(VLOOKUP($E35,'A-1 On-Site Habitat Baseline'!$D$1:$O$258,12,FALSE)),"",(VLOOKUP($E35,'A-1 On-Site Habitat Baseline'!$D$1:$O$258,12,FALSE))))</f>
        <v/>
      </c>
      <c r="N35" s="393" t="str">
        <f>IF(E35="","",IF(ISNA(VLOOKUP($E35,'A-1 On-Site Habitat Baseline'!$D$1:$X$258,14,FALSE)),"",(VLOOKUP($E35,'A-1 On-Site Habitat Baseline'!$D$1:$X$258,14,FALSE))))</f>
        <v/>
      </c>
      <c r="O35" s="386" t="str">
        <f>IF(E35="","",IF(ISNA(VLOOKUP($E35,'A-1 On-Site Habitat Baseline'!$D$1:$X$258,16,FALSE)),"",(VLOOKUP($E35,'A-1 On-Site Habitat Baseline'!$D$1:$X$258,13,FALSE))))</f>
        <v/>
      </c>
      <c r="P35" s="192" t="str">
        <f>IFERROR(INDEX('G-1 All Habitats'!$AG$3:$AG$17,MATCH(Q35,'G-1 All Habitats'!$AF$3:$AF$17,0)),"")</f>
        <v/>
      </c>
      <c r="Q35" s="193" t="str">
        <f t="shared" si="0"/>
        <v/>
      </c>
      <c r="R35" s="193" t="str">
        <f t="shared" si="1"/>
        <v/>
      </c>
      <c r="S35" s="306" t="str">
        <f>IFERROR(INDEX('G-1 All Habitats'!$B$3:$B$134,MATCH(R35,'G-1 All Habitats'!$A$3:$A$134,0)),"")</f>
        <v/>
      </c>
      <c r="T35" s="362" t="str">
        <f t="shared" si="3"/>
        <v/>
      </c>
      <c r="U35" s="363" t="str">
        <f t="shared" si="4"/>
        <v/>
      </c>
      <c r="V35" s="398" t="str">
        <f t="shared" si="5"/>
        <v/>
      </c>
      <c r="W35" s="382" t="str">
        <f>IF(S35="","",VLOOKUP(S35,'G-1 All Habitats'!$B$2:$M$134,10,FALSE))</f>
        <v/>
      </c>
      <c r="X35" s="382" t="str">
        <f>IFERROR(VLOOKUP(W35,'G-1 All Habitats'!$V$3:$W$7,2,FALSE),"")</f>
        <v/>
      </c>
      <c r="Y35" s="61"/>
      <c r="Z35" s="386" t="str">
        <f>IFERROR(INDEX('G-8 Condition Look up'!$A$3:$H$135,MATCH(S35,'G-8 Condition Look up'!$A$3:$A$135,0),MATCH(Y35,'G-8 Condition Look up'!$A$3:$H$3,0)),"")</f>
        <v/>
      </c>
      <c r="AA35" s="54"/>
      <c r="AB35" s="382" t="str">
        <f>IF(AA35="","",IF(VLOOKUP(AA35,'G-3 Multipliers'!$L$3:$N$6,2,FALSE)=0,"Spatial Data Missing ⚠",VLOOKUP(AA35,'G-3 Multipliers'!$L$3:$N$6,2,FALSE)))</f>
        <v/>
      </c>
      <c r="AC35" s="386" t="str">
        <f>IF(AA35="","",IF(VLOOKUP(AA35,'G-3 Multipliers'!$L$3:$N$6,3,FALSE)=0,"Spatial Data Missing ⚠",VLOOKUP(AA35,'G-3 Multipliers'!$L$3:$N$6,3,FALSE)))</f>
        <v/>
      </c>
      <c r="AD35" s="400" t="str">
        <f t="shared" si="2"/>
        <v/>
      </c>
      <c r="AE35" s="63"/>
      <c r="AF35" s="63"/>
      <c r="AG35" s="370" t="str">
        <f t="shared" si="6"/>
        <v/>
      </c>
      <c r="AH35" s="383" t="str">
        <f t="shared" si="7"/>
        <v/>
      </c>
      <c r="AI35" s="384" t="str">
        <f>IF(AH35="Check Data","Check Data",IFERROR(VLOOKUP(AH35,'G-4 Temporal multipliers'!$A$4:$C$36,3,FALSE),""))</f>
        <v/>
      </c>
      <c r="AJ35" s="362" t="str">
        <f>IF(S35="","",VLOOKUP(S35,'G-3 Multipliers'!$A$2:$E$134,4,FALSE))</f>
        <v/>
      </c>
      <c r="AK35" s="370" t="str">
        <f t="shared" si="8"/>
        <v/>
      </c>
      <c r="AL35" s="370" t="str">
        <f t="shared" si="9"/>
        <v/>
      </c>
      <c r="AM35" s="401" t="str">
        <f>IFERROR(IF(F35="","",IF(AH35="Check Data ⚠","Check Data ⚠",VLOOKUP(AL35, 'G-3 Multipliers'!$P$2:$Q$6,2,FALSE))),"")</f>
        <v/>
      </c>
      <c r="AN35" s="376" t="str">
        <f t="shared" si="10"/>
        <v/>
      </c>
      <c r="AO35" s="194"/>
      <c r="AP35" s="195"/>
      <c r="AQ35" s="685"/>
    </row>
    <row r="36" spans="1:43">
      <c r="A36" s="35" t="str">
        <f>IF(E36="","",IF(ISNA(VLOOKUP($E36,'A-1 On-Site Habitat Baseline'!$D$1:$O$258,2,FALSE)),"",(VLOOKUP($E36,'A-1 On-Site Habitat Baseline'!$D$1:$O$258,2,FALSE))))</f>
        <v/>
      </c>
      <c r="B36" s="35" t="str">
        <f>IF(E36="","",IF(ISNA(VLOOKUP($E36,'A-1 On-Site Habitat Baseline'!$D$1:$O$258,3,FALSE)),"",(VLOOKUP($E36,'A-1 On-Site Habitat Baseline'!$D$1:$O$258,3,FALSE))))</f>
        <v/>
      </c>
      <c r="C36" s="35" t="str">
        <f>IFERROR(INDEX('G-8 Condition Look up'!$I$4:$I$135,MATCH(S36,'G-8 Condition Look up'!$A$4:$A$135,0)),"")</f>
        <v/>
      </c>
      <c r="E36" s="392" t="str">
        <f>'A-1 On-Site Habitat Baseline'!AL35</f>
        <v/>
      </c>
      <c r="F36" s="382" t="str">
        <f>IF(E36="","",IF(ISNA(VLOOKUP($E36,'A-1 On-Site Habitat Baseline'!$D$1:$O$258,4,FALSE)),"",(VLOOKUP($E36,'A-1 On-Site Habitat Baseline'!$D$1:$O$258,4,FALSE))))</f>
        <v/>
      </c>
      <c r="G36" s="382" t="str">
        <f>IF(E36="","",IF(ISNA(VLOOKUP($E36,'A-1 On-Site Habitat Baseline'!$D$1:$O$258,5,FALSE)),"",(VLOOKUP($E36,'A-1 On-Site Habitat Baseline'!$D$1:$O$258,5,FALSE))))</f>
        <v/>
      </c>
      <c r="H36" s="382" t="str">
        <f>IF(E36="","",IF(ISNA(VLOOKUP($E36,'A-1 On-Site Habitat Baseline'!$D$1:$O$258,6,FALSE)),"",(VLOOKUP($E36,'A-1 On-Site Habitat Baseline'!$D$1:$O$258,6,FALSE))))</f>
        <v/>
      </c>
      <c r="I36" s="382" t="str">
        <f>IF(E36="","",IF(ISNA(VLOOKUP($E36,'A-1 On-Site Habitat Baseline'!$D$1:$O$258,7,FALSE)),"",(VLOOKUP($E36,'A-1 On-Site Habitat Baseline'!$D$1:$O$258,7,FALSE))))</f>
        <v/>
      </c>
      <c r="J36" s="382" t="str">
        <f>IF(E36="","",IF(ISNA(VLOOKUP($E36,'A-1 On-Site Habitat Baseline'!$D$1:$O$258,8,FALSE)),"",(VLOOKUP($E36,'A-1 On-Site Habitat Baseline'!$D$1:$O$258,8,FALSE))))</f>
        <v/>
      </c>
      <c r="K36" s="382" t="str">
        <f>IF(E36="","",IF(ISNA(VLOOKUP($E36,'A-1 On-Site Habitat Baseline'!$D$1:$O$258,9,FALSE)),"",(VLOOKUP($E36,'A-1 On-Site Habitat Baseline'!$D$1:$O$258,9,FALSE))))</f>
        <v/>
      </c>
      <c r="L36" s="382" t="str">
        <f>IF(E36="","",IF(ISNA(VLOOKUP($E36,'A-1 On-Site Habitat Baseline'!$D$1:$O$258,11,FALSE)),"",(VLOOKUP($E36,'A-1 On-Site Habitat Baseline'!$D$1:$O$258,11,FALSE))))</f>
        <v/>
      </c>
      <c r="M36" s="382" t="str">
        <f>IF(E36="","",IF(ISNA(VLOOKUP($E36,'A-1 On-Site Habitat Baseline'!$D$1:$O$258,12,FALSE)),"",(VLOOKUP($E36,'A-1 On-Site Habitat Baseline'!$D$1:$O$258,12,FALSE))))</f>
        <v/>
      </c>
      <c r="N36" s="393" t="str">
        <f>IF(E36="","",IF(ISNA(VLOOKUP($E36,'A-1 On-Site Habitat Baseline'!$D$1:$X$258,14,FALSE)),"",(VLOOKUP($E36,'A-1 On-Site Habitat Baseline'!$D$1:$X$258,14,FALSE))))</f>
        <v/>
      </c>
      <c r="O36" s="386" t="str">
        <f>IF(E36="","",IF(ISNA(VLOOKUP($E36,'A-1 On-Site Habitat Baseline'!$D$1:$X$258,16,FALSE)),"",(VLOOKUP($E36,'A-1 On-Site Habitat Baseline'!$D$1:$X$258,13,FALSE))))</f>
        <v/>
      </c>
      <c r="P36" s="192" t="str">
        <f>IFERROR(INDEX('G-1 All Habitats'!$AG$3:$AG$17,MATCH(Q36,'G-1 All Habitats'!$AF$3:$AF$17,0)),"")</f>
        <v/>
      </c>
      <c r="Q36" s="193" t="str">
        <f t="shared" si="0"/>
        <v/>
      </c>
      <c r="R36" s="193" t="str">
        <f t="shared" si="1"/>
        <v/>
      </c>
      <c r="S36" s="306" t="str">
        <f>IFERROR(INDEX('G-1 All Habitats'!$B$3:$B$134,MATCH(R36,'G-1 All Habitats'!$A$3:$A$134,0)),"")</f>
        <v/>
      </c>
      <c r="T36" s="362" t="str">
        <f t="shared" si="3"/>
        <v/>
      </c>
      <c r="U36" s="363" t="str">
        <f t="shared" si="4"/>
        <v/>
      </c>
      <c r="V36" s="398" t="str">
        <f t="shared" si="5"/>
        <v/>
      </c>
      <c r="W36" s="382" t="str">
        <f>IF(S36="","",VLOOKUP(S36,'G-1 All Habitats'!$B$2:$M$134,10,FALSE))</f>
        <v/>
      </c>
      <c r="X36" s="382" t="str">
        <f>IFERROR(VLOOKUP(W36,'G-1 All Habitats'!$V$3:$W$7,2,FALSE),"")</f>
        <v/>
      </c>
      <c r="Y36" s="61"/>
      <c r="Z36" s="386" t="str">
        <f>IFERROR(INDEX('G-8 Condition Look up'!$A$3:$H$135,MATCH(S36,'G-8 Condition Look up'!$A$3:$A$135,0),MATCH(Y36,'G-8 Condition Look up'!$A$3:$H$3,0)),"")</f>
        <v/>
      </c>
      <c r="AA36" s="54"/>
      <c r="AB36" s="382" t="str">
        <f>IF(AA36="","",IF(VLOOKUP(AA36,'G-3 Multipliers'!$L$3:$N$6,2,FALSE)=0,"Spatial Data Missing ⚠",VLOOKUP(AA36,'G-3 Multipliers'!$L$3:$N$6,2,FALSE)))</f>
        <v/>
      </c>
      <c r="AC36" s="386" t="str">
        <f>IF(AA36="","",IF(VLOOKUP(AA36,'G-3 Multipliers'!$L$3:$N$6,3,FALSE)=0,"Spatial Data Missing ⚠",VLOOKUP(AA36,'G-3 Multipliers'!$L$3:$N$6,3,FALSE)))</f>
        <v/>
      </c>
      <c r="AD36" s="400" t="str">
        <f t="shared" si="2"/>
        <v/>
      </c>
      <c r="AE36" s="63"/>
      <c r="AF36" s="63"/>
      <c r="AG36" s="370" t="str">
        <f t="shared" si="6"/>
        <v/>
      </c>
      <c r="AH36" s="383" t="str">
        <f t="shared" si="7"/>
        <v/>
      </c>
      <c r="AI36" s="384" t="str">
        <f>IF(AH36="Check Data","Check Data",IFERROR(VLOOKUP(AH36,'G-4 Temporal multipliers'!$A$4:$C$36,3,FALSE),""))</f>
        <v/>
      </c>
      <c r="AJ36" s="362" t="str">
        <f>IF(S36="","",VLOOKUP(S36,'G-3 Multipliers'!$A$2:$E$134,4,FALSE))</f>
        <v/>
      </c>
      <c r="AK36" s="370" t="str">
        <f t="shared" si="8"/>
        <v/>
      </c>
      <c r="AL36" s="370" t="str">
        <f t="shared" si="9"/>
        <v/>
      </c>
      <c r="AM36" s="401" t="str">
        <f>IFERROR(IF(F36="","",IF(AH36="Check Data ⚠","Check Data ⚠",VLOOKUP(AL36, 'G-3 Multipliers'!$P$2:$Q$6,2,FALSE))),"")</f>
        <v/>
      </c>
      <c r="AN36" s="376" t="str">
        <f t="shared" si="10"/>
        <v/>
      </c>
      <c r="AO36" s="194"/>
      <c r="AP36" s="195"/>
      <c r="AQ36" s="685"/>
    </row>
    <row r="37" spans="1:43">
      <c r="A37" s="35" t="str">
        <f>IF(E37="","",IF(ISNA(VLOOKUP($E37,'A-1 On-Site Habitat Baseline'!$D$1:$O$258,2,FALSE)),"",(VLOOKUP($E37,'A-1 On-Site Habitat Baseline'!$D$1:$O$258,2,FALSE))))</f>
        <v/>
      </c>
      <c r="B37" s="35" t="str">
        <f>IF(E37="","",IF(ISNA(VLOOKUP($E37,'A-1 On-Site Habitat Baseline'!$D$1:$O$258,3,FALSE)),"",(VLOOKUP($E37,'A-1 On-Site Habitat Baseline'!$D$1:$O$258,3,FALSE))))</f>
        <v/>
      </c>
      <c r="C37" s="35" t="str">
        <f>IFERROR(INDEX('G-8 Condition Look up'!$I$4:$I$135,MATCH(S37,'G-8 Condition Look up'!$A$4:$A$135,0)),"")</f>
        <v/>
      </c>
      <c r="E37" s="392" t="str">
        <f>'A-1 On-Site Habitat Baseline'!AL36</f>
        <v/>
      </c>
      <c r="F37" s="382" t="str">
        <f>IF(E37="","",IF(ISNA(VLOOKUP($E37,'A-1 On-Site Habitat Baseline'!$D$1:$O$258,4,FALSE)),"",(VLOOKUP($E37,'A-1 On-Site Habitat Baseline'!$D$1:$O$258,4,FALSE))))</f>
        <v/>
      </c>
      <c r="G37" s="382" t="str">
        <f>IF(E37="","",IF(ISNA(VLOOKUP($E37,'A-1 On-Site Habitat Baseline'!$D$1:$O$258,5,FALSE)),"",(VLOOKUP($E37,'A-1 On-Site Habitat Baseline'!$D$1:$O$258,5,FALSE))))</f>
        <v/>
      </c>
      <c r="H37" s="382" t="str">
        <f>IF(E37="","",IF(ISNA(VLOOKUP($E37,'A-1 On-Site Habitat Baseline'!$D$1:$O$258,6,FALSE)),"",(VLOOKUP($E37,'A-1 On-Site Habitat Baseline'!$D$1:$O$258,6,FALSE))))</f>
        <v/>
      </c>
      <c r="I37" s="382" t="str">
        <f>IF(E37="","",IF(ISNA(VLOOKUP($E37,'A-1 On-Site Habitat Baseline'!$D$1:$O$258,7,FALSE)),"",(VLOOKUP($E37,'A-1 On-Site Habitat Baseline'!$D$1:$O$258,7,FALSE))))</f>
        <v/>
      </c>
      <c r="J37" s="382" t="str">
        <f>IF(E37="","",IF(ISNA(VLOOKUP($E37,'A-1 On-Site Habitat Baseline'!$D$1:$O$258,8,FALSE)),"",(VLOOKUP($E37,'A-1 On-Site Habitat Baseline'!$D$1:$O$258,8,FALSE))))</f>
        <v/>
      </c>
      <c r="K37" s="382" t="str">
        <f>IF(E37="","",IF(ISNA(VLOOKUP($E37,'A-1 On-Site Habitat Baseline'!$D$1:$O$258,9,FALSE)),"",(VLOOKUP($E37,'A-1 On-Site Habitat Baseline'!$D$1:$O$258,9,FALSE))))</f>
        <v/>
      </c>
      <c r="L37" s="382" t="str">
        <f>IF(E37="","",IF(ISNA(VLOOKUP($E37,'A-1 On-Site Habitat Baseline'!$D$1:$O$258,11,FALSE)),"",(VLOOKUP($E37,'A-1 On-Site Habitat Baseline'!$D$1:$O$258,11,FALSE))))</f>
        <v/>
      </c>
      <c r="M37" s="382" t="str">
        <f>IF(E37="","",IF(ISNA(VLOOKUP($E37,'A-1 On-Site Habitat Baseline'!$D$1:$O$258,12,FALSE)),"",(VLOOKUP($E37,'A-1 On-Site Habitat Baseline'!$D$1:$O$258,12,FALSE))))</f>
        <v/>
      </c>
      <c r="N37" s="393" t="str">
        <f>IF(E37="","",IF(ISNA(VLOOKUP($E37,'A-1 On-Site Habitat Baseline'!$D$1:$X$258,14,FALSE)),"",(VLOOKUP($E37,'A-1 On-Site Habitat Baseline'!$D$1:$X$258,14,FALSE))))</f>
        <v/>
      </c>
      <c r="O37" s="386" t="str">
        <f>IF(E37="","",IF(ISNA(VLOOKUP($E37,'A-1 On-Site Habitat Baseline'!$D$1:$X$258,16,FALSE)),"",(VLOOKUP($E37,'A-1 On-Site Habitat Baseline'!$D$1:$X$258,13,FALSE))))</f>
        <v/>
      </c>
      <c r="P37" s="192" t="str">
        <f>IFERROR(INDEX('G-1 All Habitats'!$AG$3:$AG$17,MATCH(Q37,'G-1 All Habitats'!$AF$3:$AF$17,0)),"")</f>
        <v/>
      </c>
      <c r="Q37" s="193" t="str">
        <f t="shared" si="0"/>
        <v/>
      </c>
      <c r="R37" s="193" t="str">
        <f t="shared" si="1"/>
        <v/>
      </c>
      <c r="S37" s="306" t="str">
        <f>IFERROR(INDEX('G-1 All Habitats'!$B$3:$B$134,MATCH(R37,'G-1 All Habitats'!$A$3:$A$134,0)),"")</f>
        <v/>
      </c>
      <c r="T37" s="362" t="str">
        <f t="shared" si="3"/>
        <v/>
      </c>
      <c r="U37" s="363" t="str">
        <f t="shared" si="4"/>
        <v/>
      </c>
      <c r="V37" s="398" t="str">
        <f t="shared" si="5"/>
        <v/>
      </c>
      <c r="W37" s="382" t="str">
        <f>IF(S37="","",VLOOKUP(S37,'G-1 All Habitats'!$B$2:$M$134,10,FALSE))</f>
        <v/>
      </c>
      <c r="X37" s="382" t="str">
        <f>IFERROR(VLOOKUP(W37,'G-1 All Habitats'!$V$3:$W$7,2,FALSE),"")</f>
        <v/>
      </c>
      <c r="Y37" s="61"/>
      <c r="Z37" s="386" t="str">
        <f>IFERROR(INDEX('G-8 Condition Look up'!$A$3:$H$135,MATCH(S37,'G-8 Condition Look up'!$A$3:$A$135,0),MATCH(Y37,'G-8 Condition Look up'!$A$3:$H$3,0)),"")</f>
        <v/>
      </c>
      <c r="AA37" s="54"/>
      <c r="AB37" s="382" t="str">
        <f>IF(AA37="","",IF(VLOOKUP(AA37,'G-3 Multipliers'!$L$3:$N$6,2,FALSE)=0,"Spatial Data Missing ⚠",VLOOKUP(AA37,'G-3 Multipliers'!$L$3:$N$6,2,FALSE)))</f>
        <v/>
      </c>
      <c r="AC37" s="386" t="str">
        <f>IF(AA37="","",IF(VLOOKUP(AA37,'G-3 Multipliers'!$L$3:$N$6,3,FALSE)=0,"Spatial Data Missing ⚠",VLOOKUP(AA37,'G-3 Multipliers'!$L$3:$N$6,3,FALSE)))</f>
        <v/>
      </c>
      <c r="AD37" s="400" t="str">
        <f t="shared" si="2"/>
        <v/>
      </c>
      <c r="AE37" s="63"/>
      <c r="AF37" s="63"/>
      <c r="AG37" s="370" t="str">
        <f t="shared" si="6"/>
        <v/>
      </c>
      <c r="AH37" s="383" t="str">
        <f t="shared" si="7"/>
        <v/>
      </c>
      <c r="AI37" s="384" t="str">
        <f>IF(AH37="Check Data","Check Data",IFERROR(VLOOKUP(AH37,'G-4 Temporal multipliers'!$A$4:$C$36,3,FALSE),""))</f>
        <v/>
      </c>
      <c r="AJ37" s="362" t="str">
        <f>IF(S37="","",VLOOKUP(S37,'G-3 Multipliers'!$A$2:$E$134,4,FALSE))</f>
        <v/>
      </c>
      <c r="AK37" s="370" t="str">
        <f t="shared" si="8"/>
        <v/>
      </c>
      <c r="AL37" s="370" t="str">
        <f t="shared" si="9"/>
        <v/>
      </c>
      <c r="AM37" s="401" t="str">
        <f>IFERROR(IF(F37="","",IF(AH37="Check Data ⚠","Check Data ⚠",VLOOKUP(AL37, 'G-3 Multipliers'!$P$2:$Q$6,2,FALSE))),"")</f>
        <v/>
      </c>
      <c r="AN37" s="376" t="str">
        <f t="shared" si="10"/>
        <v/>
      </c>
      <c r="AO37" s="194"/>
      <c r="AP37" s="195"/>
      <c r="AQ37" s="685"/>
    </row>
    <row r="38" spans="1:43">
      <c r="A38" s="35" t="str">
        <f>IF(E38="","",IF(ISNA(VLOOKUP($E38,'A-1 On-Site Habitat Baseline'!$D$1:$O$258,2,FALSE)),"",(VLOOKUP($E38,'A-1 On-Site Habitat Baseline'!$D$1:$O$258,2,FALSE))))</f>
        <v/>
      </c>
      <c r="B38" s="35" t="str">
        <f>IF(E38="","",IF(ISNA(VLOOKUP($E38,'A-1 On-Site Habitat Baseline'!$D$1:$O$258,3,FALSE)),"",(VLOOKUP($E38,'A-1 On-Site Habitat Baseline'!$D$1:$O$258,3,FALSE))))</f>
        <v/>
      </c>
      <c r="C38" s="35" t="str">
        <f>IFERROR(INDEX('G-8 Condition Look up'!$I$4:$I$135,MATCH(S38,'G-8 Condition Look up'!$A$4:$A$135,0)),"")</f>
        <v/>
      </c>
      <c r="E38" s="392" t="str">
        <f>'A-1 On-Site Habitat Baseline'!AL37</f>
        <v/>
      </c>
      <c r="F38" s="382" t="str">
        <f>IF(E38="","",IF(ISNA(VLOOKUP($E38,'A-1 On-Site Habitat Baseline'!$D$1:$O$258,4,FALSE)),"",(VLOOKUP($E38,'A-1 On-Site Habitat Baseline'!$D$1:$O$258,4,FALSE))))</f>
        <v/>
      </c>
      <c r="G38" s="382" t="str">
        <f>IF(E38="","",IF(ISNA(VLOOKUP($E38,'A-1 On-Site Habitat Baseline'!$D$1:$O$258,5,FALSE)),"",(VLOOKUP($E38,'A-1 On-Site Habitat Baseline'!$D$1:$O$258,5,FALSE))))</f>
        <v/>
      </c>
      <c r="H38" s="382" t="str">
        <f>IF(E38="","",IF(ISNA(VLOOKUP($E38,'A-1 On-Site Habitat Baseline'!$D$1:$O$258,6,FALSE)),"",(VLOOKUP($E38,'A-1 On-Site Habitat Baseline'!$D$1:$O$258,6,FALSE))))</f>
        <v/>
      </c>
      <c r="I38" s="382" t="str">
        <f>IF(E38="","",IF(ISNA(VLOOKUP($E38,'A-1 On-Site Habitat Baseline'!$D$1:$O$258,7,FALSE)),"",(VLOOKUP($E38,'A-1 On-Site Habitat Baseline'!$D$1:$O$258,7,FALSE))))</f>
        <v/>
      </c>
      <c r="J38" s="382" t="str">
        <f>IF(E38="","",IF(ISNA(VLOOKUP($E38,'A-1 On-Site Habitat Baseline'!$D$1:$O$258,8,FALSE)),"",(VLOOKUP($E38,'A-1 On-Site Habitat Baseline'!$D$1:$O$258,8,FALSE))))</f>
        <v/>
      </c>
      <c r="K38" s="382" t="str">
        <f>IF(E38="","",IF(ISNA(VLOOKUP($E38,'A-1 On-Site Habitat Baseline'!$D$1:$O$258,9,FALSE)),"",(VLOOKUP($E38,'A-1 On-Site Habitat Baseline'!$D$1:$O$258,9,FALSE))))</f>
        <v/>
      </c>
      <c r="L38" s="382" t="str">
        <f>IF(E38="","",IF(ISNA(VLOOKUP($E38,'A-1 On-Site Habitat Baseline'!$D$1:$O$258,11,FALSE)),"",(VLOOKUP($E38,'A-1 On-Site Habitat Baseline'!$D$1:$O$258,11,FALSE))))</f>
        <v/>
      </c>
      <c r="M38" s="382" t="str">
        <f>IF(E38="","",IF(ISNA(VLOOKUP($E38,'A-1 On-Site Habitat Baseline'!$D$1:$O$258,12,FALSE)),"",(VLOOKUP($E38,'A-1 On-Site Habitat Baseline'!$D$1:$O$258,12,FALSE))))</f>
        <v/>
      </c>
      <c r="N38" s="393" t="str">
        <f>IF(E38="","",IF(ISNA(VLOOKUP($E38,'A-1 On-Site Habitat Baseline'!$D$1:$X$258,14,FALSE)),"",(VLOOKUP($E38,'A-1 On-Site Habitat Baseline'!$D$1:$X$258,14,FALSE))))</f>
        <v/>
      </c>
      <c r="O38" s="386" t="str">
        <f>IF(E38="","",IF(ISNA(VLOOKUP($E38,'A-1 On-Site Habitat Baseline'!$D$1:$X$258,16,FALSE)),"",(VLOOKUP($E38,'A-1 On-Site Habitat Baseline'!$D$1:$X$258,13,FALSE))))</f>
        <v/>
      </c>
      <c r="P38" s="192" t="str">
        <f>IFERROR(INDEX('G-1 All Habitats'!$AG$3:$AG$17,MATCH(Q38,'G-1 All Habitats'!$AF$3:$AF$17,0)),"")</f>
        <v/>
      </c>
      <c r="Q38" s="193" t="str">
        <f t="shared" si="0"/>
        <v/>
      </c>
      <c r="R38" s="193" t="str">
        <f t="shared" si="1"/>
        <v/>
      </c>
      <c r="S38" s="306" t="str">
        <f>IFERROR(INDEX('G-1 All Habitats'!$B$3:$B$134,MATCH(R38,'G-1 All Habitats'!$A$3:$A$134,0)),"")</f>
        <v/>
      </c>
      <c r="T38" s="362" t="str">
        <f t="shared" si="3"/>
        <v/>
      </c>
      <c r="U38" s="363" t="str">
        <f t="shared" si="4"/>
        <v/>
      </c>
      <c r="V38" s="398" t="str">
        <f t="shared" si="5"/>
        <v/>
      </c>
      <c r="W38" s="382" t="str">
        <f>IF(S38="","",VLOOKUP(S38,'G-1 All Habitats'!$B$2:$M$134,10,FALSE))</f>
        <v/>
      </c>
      <c r="X38" s="382" t="str">
        <f>IFERROR(VLOOKUP(W38,'G-1 All Habitats'!$V$3:$W$7,2,FALSE),"")</f>
        <v/>
      </c>
      <c r="Y38" s="61"/>
      <c r="Z38" s="386" t="str">
        <f>IFERROR(INDEX('G-8 Condition Look up'!$A$3:$H$135,MATCH(S38,'G-8 Condition Look up'!$A$3:$A$135,0),MATCH(Y38,'G-8 Condition Look up'!$A$3:$H$3,0)),"")</f>
        <v/>
      </c>
      <c r="AA38" s="54"/>
      <c r="AB38" s="382" t="str">
        <f>IF(AA38="","",IF(VLOOKUP(AA38,'G-3 Multipliers'!$L$3:$N$6,2,FALSE)=0,"Spatial Data Missing ⚠",VLOOKUP(AA38,'G-3 Multipliers'!$L$3:$N$6,2,FALSE)))</f>
        <v/>
      </c>
      <c r="AC38" s="386" t="str">
        <f>IF(AA38="","",IF(VLOOKUP(AA38,'G-3 Multipliers'!$L$3:$N$6,3,FALSE)=0,"Spatial Data Missing ⚠",VLOOKUP(AA38,'G-3 Multipliers'!$L$3:$N$6,3,FALSE)))</f>
        <v/>
      </c>
      <c r="AD38" s="400" t="str">
        <f t="shared" si="2"/>
        <v/>
      </c>
      <c r="AE38" s="63"/>
      <c r="AF38" s="63"/>
      <c r="AG38" s="370" t="str">
        <f t="shared" si="6"/>
        <v/>
      </c>
      <c r="AH38" s="383" t="str">
        <f t="shared" si="7"/>
        <v/>
      </c>
      <c r="AI38" s="384" t="str">
        <f>IF(AH38="Check Data","Check Data",IFERROR(VLOOKUP(AH38,'G-4 Temporal multipliers'!$A$4:$C$36,3,FALSE),""))</f>
        <v/>
      </c>
      <c r="AJ38" s="362" t="str">
        <f>IF(S38="","",VLOOKUP(S38,'G-3 Multipliers'!$A$2:$E$134,4,FALSE))</f>
        <v/>
      </c>
      <c r="AK38" s="370" t="str">
        <f t="shared" si="8"/>
        <v/>
      </c>
      <c r="AL38" s="370" t="str">
        <f t="shared" si="9"/>
        <v/>
      </c>
      <c r="AM38" s="401" t="str">
        <f>IFERROR(IF(F38="","",IF(AH38="Check Data ⚠","Check Data ⚠",VLOOKUP(AL38, 'G-3 Multipliers'!$P$2:$Q$6,2,FALSE))),"")</f>
        <v/>
      </c>
      <c r="AN38" s="376" t="str">
        <f t="shared" si="10"/>
        <v/>
      </c>
      <c r="AO38" s="194"/>
      <c r="AP38" s="195"/>
      <c r="AQ38" s="685"/>
    </row>
    <row r="39" spans="1:43">
      <c r="A39" s="35" t="str">
        <f>IF(E39="","",IF(ISNA(VLOOKUP($E39,'A-1 On-Site Habitat Baseline'!$D$1:$O$258,2,FALSE)),"",(VLOOKUP($E39,'A-1 On-Site Habitat Baseline'!$D$1:$O$258,2,FALSE))))</f>
        <v/>
      </c>
      <c r="B39" s="35" t="str">
        <f>IF(E39="","",IF(ISNA(VLOOKUP($E39,'A-1 On-Site Habitat Baseline'!$D$1:$O$258,3,FALSE)),"",(VLOOKUP($E39,'A-1 On-Site Habitat Baseline'!$D$1:$O$258,3,FALSE))))</f>
        <v/>
      </c>
      <c r="C39" s="35" t="str">
        <f>IFERROR(INDEX('G-8 Condition Look up'!$I$4:$I$135,MATCH(S39,'G-8 Condition Look up'!$A$4:$A$135,0)),"")</f>
        <v/>
      </c>
      <c r="E39" s="392" t="str">
        <f>'A-1 On-Site Habitat Baseline'!AL38</f>
        <v/>
      </c>
      <c r="F39" s="382" t="str">
        <f>IF(E39="","",IF(ISNA(VLOOKUP($E39,'A-1 On-Site Habitat Baseline'!$D$1:$O$258,4,FALSE)),"",(VLOOKUP($E39,'A-1 On-Site Habitat Baseline'!$D$1:$O$258,4,FALSE))))</f>
        <v/>
      </c>
      <c r="G39" s="382" t="str">
        <f>IF(E39="","",IF(ISNA(VLOOKUP($E39,'A-1 On-Site Habitat Baseline'!$D$1:$O$258,5,FALSE)),"",(VLOOKUP($E39,'A-1 On-Site Habitat Baseline'!$D$1:$O$258,5,FALSE))))</f>
        <v/>
      </c>
      <c r="H39" s="382" t="str">
        <f>IF(E39="","",IF(ISNA(VLOOKUP($E39,'A-1 On-Site Habitat Baseline'!$D$1:$O$258,6,FALSE)),"",(VLOOKUP($E39,'A-1 On-Site Habitat Baseline'!$D$1:$O$258,6,FALSE))))</f>
        <v/>
      </c>
      <c r="I39" s="382" t="str">
        <f>IF(E39="","",IF(ISNA(VLOOKUP($E39,'A-1 On-Site Habitat Baseline'!$D$1:$O$258,7,FALSE)),"",(VLOOKUP($E39,'A-1 On-Site Habitat Baseline'!$D$1:$O$258,7,FALSE))))</f>
        <v/>
      </c>
      <c r="J39" s="382" t="str">
        <f>IF(E39="","",IF(ISNA(VLOOKUP($E39,'A-1 On-Site Habitat Baseline'!$D$1:$O$258,8,FALSE)),"",(VLOOKUP($E39,'A-1 On-Site Habitat Baseline'!$D$1:$O$258,8,FALSE))))</f>
        <v/>
      </c>
      <c r="K39" s="382" t="str">
        <f>IF(E39="","",IF(ISNA(VLOOKUP($E39,'A-1 On-Site Habitat Baseline'!$D$1:$O$258,9,FALSE)),"",(VLOOKUP($E39,'A-1 On-Site Habitat Baseline'!$D$1:$O$258,9,FALSE))))</f>
        <v/>
      </c>
      <c r="L39" s="382" t="str">
        <f>IF(E39="","",IF(ISNA(VLOOKUP($E39,'A-1 On-Site Habitat Baseline'!$D$1:$O$258,11,FALSE)),"",(VLOOKUP($E39,'A-1 On-Site Habitat Baseline'!$D$1:$O$258,11,FALSE))))</f>
        <v/>
      </c>
      <c r="M39" s="382" t="str">
        <f>IF(E39="","",IF(ISNA(VLOOKUP($E39,'A-1 On-Site Habitat Baseline'!$D$1:$O$258,12,FALSE)),"",(VLOOKUP($E39,'A-1 On-Site Habitat Baseline'!$D$1:$O$258,12,FALSE))))</f>
        <v/>
      </c>
      <c r="N39" s="393" t="str">
        <f>IF(E39="","",IF(ISNA(VLOOKUP($E39,'A-1 On-Site Habitat Baseline'!$D$1:$X$258,14,FALSE)),"",(VLOOKUP($E39,'A-1 On-Site Habitat Baseline'!$D$1:$X$258,14,FALSE))))</f>
        <v/>
      </c>
      <c r="O39" s="386" t="str">
        <f>IF(E39="","",IF(ISNA(VLOOKUP($E39,'A-1 On-Site Habitat Baseline'!$D$1:$X$258,16,FALSE)),"",(VLOOKUP($E39,'A-1 On-Site Habitat Baseline'!$D$1:$X$258,13,FALSE))))</f>
        <v/>
      </c>
      <c r="P39" s="192" t="str">
        <f>IFERROR(INDEX('G-1 All Habitats'!$AG$3:$AG$17,MATCH(Q39,'G-1 All Habitats'!$AF$3:$AF$17,0)),"")</f>
        <v/>
      </c>
      <c r="Q39" s="193" t="str">
        <f t="shared" si="0"/>
        <v/>
      </c>
      <c r="R39" s="193" t="str">
        <f t="shared" si="1"/>
        <v/>
      </c>
      <c r="S39" s="306" t="str">
        <f>IFERROR(INDEX('G-1 All Habitats'!$B$3:$B$134,MATCH(R39,'G-1 All Habitats'!$A$3:$A$134,0)),"")</f>
        <v/>
      </c>
      <c r="T39" s="362" t="str">
        <f t="shared" si="3"/>
        <v/>
      </c>
      <c r="U39" s="363" t="str">
        <f t="shared" si="4"/>
        <v/>
      </c>
      <c r="V39" s="398" t="str">
        <f t="shared" si="5"/>
        <v/>
      </c>
      <c r="W39" s="382" t="str">
        <f>IF(S39="","",VLOOKUP(S39,'G-1 All Habitats'!$B$2:$M$134,10,FALSE))</f>
        <v/>
      </c>
      <c r="X39" s="382" t="str">
        <f>IFERROR(VLOOKUP(W39,'G-1 All Habitats'!$V$3:$W$7,2,FALSE),"")</f>
        <v/>
      </c>
      <c r="Y39" s="61"/>
      <c r="Z39" s="386" t="str">
        <f>IFERROR(INDEX('G-8 Condition Look up'!$A$3:$H$135,MATCH(S39,'G-8 Condition Look up'!$A$3:$A$135,0),MATCH(Y39,'G-8 Condition Look up'!$A$3:$H$3,0)),"")</f>
        <v/>
      </c>
      <c r="AA39" s="54"/>
      <c r="AB39" s="382" t="str">
        <f>IF(AA39="","",IF(VLOOKUP(AA39,'G-3 Multipliers'!$L$3:$N$6,2,FALSE)=0,"Spatial Data Missing ⚠",VLOOKUP(AA39,'G-3 Multipliers'!$L$3:$N$6,2,FALSE)))</f>
        <v/>
      </c>
      <c r="AC39" s="386" t="str">
        <f>IF(AA39="","",IF(VLOOKUP(AA39,'G-3 Multipliers'!$L$3:$N$6,3,FALSE)=0,"Spatial Data Missing ⚠",VLOOKUP(AA39,'G-3 Multipliers'!$L$3:$N$6,3,FALSE)))</f>
        <v/>
      </c>
      <c r="AD39" s="400" t="str">
        <f t="shared" si="2"/>
        <v/>
      </c>
      <c r="AE39" s="63"/>
      <c r="AF39" s="63"/>
      <c r="AG39" s="370" t="str">
        <f t="shared" si="6"/>
        <v/>
      </c>
      <c r="AH39" s="383" t="str">
        <f t="shared" si="7"/>
        <v/>
      </c>
      <c r="AI39" s="384" t="str">
        <f>IF(AH39="Check Data","Check Data",IFERROR(VLOOKUP(AH39,'G-4 Temporal multipliers'!$A$4:$C$36,3,FALSE),""))</f>
        <v/>
      </c>
      <c r="AJ39" s="362" t="str">
        <f>IF(S39="","",VLOOKUP(S39,'G-3 Multipliers'!$A$2:$E$134,4,FALSE))</f>
        <v/>
      </c>
      <c r="AK39" s="370" t="str">
        <f t="shared" si="8"/>
        <v/>
      </c>
      <c r="AL39" s="370" t="str">
        <f t="shared" si="9"/>
        <v/>
      </c>
      <c r="AM39" s="401" t="str">
        <f>IFERROR(IF(F39="","",IF(AH39="Check Data ⚠","Check Data ⚠",VLOOKUP(AL39, 'G-3 Multipliers'!$P$2:$Q$6,2,FALSE))),"")</f>
        <v/>
      </c>
      <c r="AN39" s="376" t="str">
        <f t="shared" si="10"/>
        <v/>
      </c>
      <c r="AO39" s="194"/>
      <c r="AP39" s="195"/>
      <c r="AQ39" s="120"/>
    </row>
    <row r="40" spans="1:43">
      <c r="A40" s="35" t="str">
        <f>IF(E40="","",IF(ISNA(VLOOKUP($E40,'A-1 On-Site Habitat Baseline'!$D$1:$O$258,2,FALSE)),"",(VLOOKUP($E40,'A-1 On-Site Habitat Baseline'!$D$1:$O$258,2,FALSE))))</f>
        <v/>
      </c>
      <c r="B40" s="35" t="str">
        <f>IF(E40="","",IF(ISNA(VLOOKUP($E40,'A-1 On-Site Habitat Baseline'!$D$1:$O$258,3,FALSE)),"",(VLOOKUP($E40,'A-1 On-Site Habitat Baseline'!$D$1:$O$258,3,FALSE))))</f>
        <v/>
      </c>
      <c r="C40" s="35" t="str">
        <f>IFERROR(INDEX('G-8 Condition Look up'!$I$4:$I$135,MATCH(S40,'G-8 Condition Look up'!$A$4:$A$135,0)),"")</f>
        <v/>
      </c>
      <c r="E40" s="392" t="str">
        <f>'A-1 On-Site Habitat Baseline'!AL39</f>
        <v/>
      </c>
      <c r="F40" s="382" t="str">
        <f>IF(E40="","",IF(ISNA(VLOOKUP($E40,'A-1 On-Site Habitat Baseline'!$D$1:$O$258,4,FALSE)),"",(VLOOKUP($E40,'A-1 On-Site Habitat Baseline'!$D$1:$O$258,4,FALSE))))</f>
        <v/>
      </c>
      <c r="G40" s="382" t="str">
        <f>IF(E40="","",IF(ISNA(VLOOKUP($E40,'A-1 On-Site Habitat Baseline'!$D$1:$O$258,5,FALSE)),"",(VLOOKUP($E40,'A-1 On-Site Habitat Baseline'!$D$1:$O$258,5,FALSE))))</f>
        <v/>
      </c>
      <c r="H40" s="382" t="str">
        <f>IF(E40="","",IF(ISNA(VLOOKUP($E40,'A-1 On-Site Habitat Baseline'!$D$1:$O$258,6,FALSE)),"",(VLOOKUP($E40,'A-1 On-Site Habitat Baseline'!$D$1:$O$258,6,FALSE))))</f>
        <v/>
      </c>
      <c r="I40" s="382" t="str">
        <f>IF(E40="","",IF(ISNA(VLOOKUP($E40,'A-1 On-Site Habitat Baseline'!$D$1:$O$258,7,FALSE)),"",(VLOOKUP($E40,'A-1 On-Site Habitat Baseline'!$D$1:$O$258,7,FALSE))))</f>
        <v/>
      </c>
      <c r="J40" s="382" t="str">
        <f>IF(E40="","",IF(ISNA(VLOOKUP($E40,'A-1 On-Site Habitat Baseline'!$D$1:$O$258,8,FALSE)),"",(VLOOKUP($E40,'A-1 On-Site Habitat Baseline'!$D$1:$O$258,8,FALSE))))</f>
        <v/>
      </c>
      <c r="K40" s="382" t="str">
        <f>IF(E40="","",IF(ISNA(VLOOKUP($E40,'A-1 On-Site Habitat Baseline'!$D$1:$O$258,9,FALSE)),"",(VLOOKUP($E40,'A-1 On-Site Habitat Baseline'!$D$1:$O$258,9,FALSE))))</f>
        <v/>
      </c>
      <c r="L40" s="382" t="str">
        <f>IF(E40="","",IF(ISNA(VLOOKUP($E40,'A-1 On-Site Habitat Baseline'!$D$1:$O$258,11,FALSE)),"",(VLOOKUP($E40,'A-1 On-Site Habitat Baseline'!$D$1:$O$258,11,FALSE))))</f>
        <v/>
      </c>
      <c r="M40" s="382" t="str">
        <f>IF(E40="","",IF(ISNA(VLOOKUP($E40,'A-1 On-Site Habitat Baseline'!$D$1:$O$258,12,FALSE)),"",(VLOOKUP($E40,'A-1 On-Site Habitat Baseline'!$D$1:$O$258,12,FALSE))))</f>
        <v/>
      </c>
      <c r="N40" s="393" t="str">
        <f>IF(E40="","",IF(ISNA(VLOOKUP($E40,'A-1 On-Site Habitat Baseline'!$D$1:$X$258,14,FALSE)),"",(VLOOKUP($E40,'A-1 On-Site Habitat Baseline'!$D$1:$X$258,14,FALSE))))</f>
        <v/>
      </c>
      <c r="O40" s="386" t="str">
        <f>IF(E40="","",IF(ISNA(VLOOKUP($E40,'A-1 On-Site Habitat Baseline'!$D$1:$X$258,16,FALSE)),"",(VLOOKUP($E40,'A-1 On-Site Habitat Baseline'!$D$1:$X$258,13,FALSE))))</f>
        <v/>
      </c>
      <c r="P40" s="192" t="str">
        <f>IFERROR(INDEX('G-1 All Habitats'!$AG$3:$AG$17,MATCH(Q40,'G-1 All Habitats'!$AF$3:$AF$17,0)),"")</f>
        <v/>
      </c>
      <c r="Q40" s="193" t="str">
        <f t="shared" si="0"/>
        <v/>
      </c>
      <c r="R40" s="193" t="str">
        <f t="shared" si="1"/>
        <v/>
      </c>
      <c r="S40" s="306" t="str">
        <f>IFERROR(INDEX('G-1 All Habitats'!$B$3:$B$134,MATCH(R40,'G-1 All Habitats'!$A$3:$A$134,0)),"")</f>
        <v/>
      </c>
      <c r="T40" s="362" t="str">
        <f t="shared" si="3"/>
        <v/>
      </c>
      <c r="U40" s="363" t="str">
        <f t="shared" si="4"/>
        <v/>
      </c>
      <c r="V40" s="398" t="str">
        <f t="shared" si="5"/>
        <v/>
      </c>
      <c r="W40" s="382" t="str">
        <f>IF(S40="","",VLOOKUP(S40,'G-1 All Habitats'!$B$2:$M$134,10,FALSE))</f>
        <v/>
      </c>
      <c r="X40" s="382" t="str">
        <f>IFERROR(VLOOKUP(W40,'G-1 All Habitats'!$V$3:$W$7,2,FALSE),"")</f>
        <v/>
      </c>
      <c r="Y40" s="61"/>
      <c r="Z40" s="386" t="str">
        <f>IFERROR(INDEX('G-8 Condition Look up'!$A$3:$H$135,MATCH(S40,'G-8 Condition Look up'!$A$3:$A$135,0),MATCH(Y40,'G-8 Condition Look up'!$A$3:$H$3,0)),"")</f>
        <v/>
      </c>
      <c r="AA40" s="54"/>
      <c r="AB40" s="382" t="str">
        <f>IF(AA40="","",IF(VLOOKUP(AA40,'G-3 Multipliers'!$L$3:$N$6,2,FALSE)=0,"Spatial Data Missing ⚠",VLOOKUP(AA40,'G-3 Multipliers'!$L$3:$N$6,2,FALSE)))</f>
        <v/>
      </c>
      <c r="AC40" s="386" t="str">
        <f>IF(AA40="","",IF(VLOOKUP(AA40,'G-3 Multipliers'!$L$3:$N$6,3,FALSE)=0,"Spatial Data Missing ⚠",VLOOKUP(AA40,'G-3 Multipliers'!$L$3:$N$6,3,FALSE)))</f>
        <v/>
      </c>
      <c r="AD40" s="400" t="str">
        <f t="shared" si="2"/>
        <v/>
      </c>
      <c r="AE40" s="63"/>
      <c r="AF40" s="63"/>
      <c r="AG40" s="370" t="str">
        <f t="shared" si="6"/>
        <v/>
      </c>
      <c r="AH40" s="383" t="str">
        <f t="shared" si="7"/>
        <v/>
      </c>
      <c r="AI40" s="384" t="str">
        <f>IF(AH40="Check Data","Check Data",IFERROR(VLOOKUP(AH40,'G-4 Temporal multipliers'!$A$4:$C$36,3,FALSE),""))</f>
        <v/>
      </c>
      <c r="AJ40" s="362" t="str">
        <f>IF(S40="","",VLOOKUP(S40,'G-3 Multipliers'!$A$2:$E$134,4,FALSE))</f>
        <v/>
      </c>
      <c r="AK40" s="370" t="str">
        <f t="shared" si="8"/>
        <v/>
      </c>
      <c r="AL40" s="370" t="str">
        <f t="shared" si="9"/>
        <v/>
      </c>
      <c r="AM40" s="401" t="str">
        <f>IFERROR(IF(F40="","",IF(AH40="Check Data ⚠","Check Data ⚠",VLOOKUP(AL40, 'G-3 Multipliers'!$P$2:$Q$6,2,FALSE))),"")</f>
        <v/>
      </c>
      <c r="AN40" s="376" t="str">
        <f t="shared" si="10"/>
        <v/>
      </c>
      <c r="AO40" s="194"/>
      <c r="AP40" s="195"/>
      <c r="AQ40" s="120"/>
    </row>
    <row r="41" spans="1:43">
      <c r="A41" s="35" t="str">
        <f>IF(E41="","",IF(ISNA(VLOOKUP($E41,'A-1 On-Site Habitat Baseline'!$D$1:$O$258,2,FALSE)),"",(VLOOKUP($E41,'A-1 On-Site Habitat Baseline'!$D$1:$O$258,2,FALSE))))</f>
        <v/>
      </c>
      <c r="B41" s="35" t="str">
        <f>IF(E41="","",IF(ISNA(VLOOKUP($E41,'A-1 On-Site Habitat Baseline'!$D$1:$O$258,3,FALSE)),"",(VLOOKUP($E41,'A-1 On-Site Habitat Baseline'!$D$1:$O$258,3,FALSE))))</f>
        <v/>
      </c>
      <c r="C41" s="35" t="str">
        <f>IFERROR(INDEX('G-8 Condition Look up'!$I$4:$I$135,MATCH(S41,'G-8 Condition Look up'!$A$4:$A$135,0)),"")</f>
        <v/>
      </c>
      <c r="E41" s="392" t="str">
        <f>'A-1 On-Site Habitat Baseline'!AL40</f>
        <v/>
      </c>
      <c r="F41" s="382" t="str">
        <f>IF(E41="","",IF(ISNA(VLOOKUP($E41,'A-1 On-Site Habitat Baseline'!$D$1:$O$258,4,FALSE)),"",(VLOOKUP($E41,'A-1 On-Site Habitat Baseline'!$D$1:$O$258,4,FALSE))))</f>
        <v/>
      </c>
      <c r="G41" s="382" t="str">
        <f>IF(E41="","",IF(ISNA(VLOOKUP($E41,'A-1 On-Site Habitat Baseline'!$D$1:$O$258,5,FALSE)),"",(VLOOKUP($E41,'A-1 On-Site Habitat Baseline'!$D$1:$O$258,5,FALSE))))</f>
        <v/>
      </c>
      <c r="H41" s="382" t="str">
        <f>IF(E41="","",IF(ISNA(VLOOKUP($E41,'A-1 On-Site Habitat Baseline'!$D$1:$O$258,6,FALSE)),"",(VLOOKUP($E41,'A-1 On-Site Habitat Baseline'!$D$1:$O$258,6,FALSE))))</f>
        <v/>
      </c>
      <c r="I41" s="382" t="str">
        <f>IF(E41="","",IF(ISNA(VLOOKUP($E41,'A-1 On-Site Habitat Baseline'!$D$1:$O$258,7,FALSE)),"",(VLOOKUP($E41,'A-1 On-Site Habitat Baseline'!$D$1:$O$258,7,FALSE))))</f>
        <v/>
      </c>
      <c r="J41" s="382" t="str">
        <f>IF(E41="","",IF(ISNA(VLOOKUP($E41,'A-1 On-Site Habitat Baseline'!$D$1:$O$258,8,FALSE)),"",(VLOOKUP($E41,'A-1 On-Site Habitat Baseline'!$D$1:$O$258,8,FALSE))))</f>
        <v/>
      </c>
      <c r="K41" s="382" t="str">
        <f>IF(E41="","",IF(ISNA(VLOOKUP($E41,'A-1 On-Site Habitat Baseline'!$D$1:$O$258,9,FALSE)),"",(VLOOKUP($E41,'A-1 On-Site Habitat Baseline'!$D$1:$O$258,9,FALSE))))</f>
        <v/>
      </c>
      <c r="L41" s="382" t="str">
        <f>IF(E41="","",IF(ISNA(VLOOKUP($E41,'A-1 On-Site Habitat Baseline'!$D$1:$O$258,11,FALSE)),"",(VLOOKUP($E41,'A-1 On-Site Habitat Baseline'!$D$1:$O$258,11,FALSE))))</f>
        <v/>
      </c>
      <c r="M41" s="382" t="str">
        <f>IF(E41="","",IF(ISNA(VLOOKUP($E41,'A-1 On-Site Habitat Baseline'!$D$1:$O$258,12,FALSE)),"",(VLOOKUP($E41,'A-1 On-Site Habitat Baseline'!$D$1:$O$258,12,FALSE))))</f>
        <v/>
      </c>
      <c r="N41" s="393" t="str">
        <f>IF(E41="","",IF(ISNA(VLOOKUP($E41,'A-1 On-Site Habitat Baseline'!$D$1:$X$258,14,FALSE)),"",(VLOOKUP($E41,'A-1 On-Site Habitat Baseline'!$D$1:$X$258,14,FALSE))))</f>
        <v/>
      </c>
      <c r="O41" s="386" t="str">
        <f>IF(E41="","",IF(ISNA(VLOOKUP($E41,'A-1 On-Site Habitat Baseline'!$D$1:$X$258,16,FALSE)),"",(VLOOKUP($E41,'A-1 On-Site Habitat Baseline'!$D$1:$X$258,13,FALSE))))</f>
        <v/>
      </c>
      <c r="P41" s="192" t="str">
        <f>IFERROR(INDEX('G-1 All Habitats'!$AG$3:$AG$17,MATCH(Q41,'G-1 All Habitats'!$AF$3:$AF$17,0)),"")</f>
        <v/>
      </c>
      <c r="Q41" s="193" t="str">
        <f t="shared" si="0"/>
        <v/>
      </c>
      <c r="R41" s="193" t="str">
        <f t="shared" si="1"/>
        <v/>
      </c>
      <c r="S41" s="306" t="str">
        <f>IFERROR(INDEX('G-1 All Habitats'!$B$3:$B$134,MATCH(R41,'G-1 All Habitats'!$A$3:$A$134,0)),"")</f>
        <v/>
      </c>
      <c r="T41" s="362" t="str">
        <f t="shared" si="3"/>
        <v/>
      </c>
      <c r="U41" s="363" t="str">
        <f t="shared" si="4"/>
        <v/>
      </c>
      <c r="V41" s="398" t="str">
        <f t="shared" si="5"/>
        <v/>
      </c>
      <c r="W41" s="382" t="str">
        <f>IF(S41="","",VLOOKUP(S41,'G-1 All Habitats'!$B$2:$M$134,10,FALSE))</f>
        <v/>
      </c>
      <c r="X41" s="382" t="str">
        <f>IFERROR(VLOOKUP(W41,'G-1 All Habitats'!$V$3:$W$7,2,FALSE),"")</f>
        <v/>
      </c>
      <c r="Y41" s="61"/>
      <c r="Z41" s="386" t="str">
        <f>IFERROR(INDEX('G-8 Condition Look up'!$A$3:$H$135,MATCH(S41,'G-8 Condition Look up'!$A$3:$A$135,0),MATCH(Y41,'G-8 Condition Look up'!$A$3:$H$3,0)),"")</f>
        <v/>
      </c>
      <c r="AA41" s="54"/>
      <c r="AB41" s="382" t="str">
        <f>IF(AA41="","",IF(VLOOKUP(AA41,'G-3 Multipliers'!$L$3:$N$6,2,FALSE)=0,"Spatial Data Missing ⚠",VLOOKUP(AA41,'G-3 Multipliers'!$L$3:$N$6,2,FALSE)))</f>
        <v/>
      </c>
      <c r="AC41" s="386" t="str">
        <f>IF(AA41="","",IF(VLOOKUP(AA41,'G-3 Multipliers'!$L$3:$N$6,3,FALSE)=0,"Spatial Data Missing ⚠",VLOOKUP(AA41,'G-3 Multipliers'!$L$3:$N$6,3,FALSE)))</f>
        <v/>
      </c>
      <c r="AD41" s="400" t="str">
        <f t="shared" si="2"/>
        <v/>
      </c>
      <c r="AE41" s="63"/>
      <c r="AF41" s="63"/>
      <c r="AG41" s="370" t="str">
        <f t="shared" si="6"/>
        <v/>
      </c>
      <c r="AH41" s="383" t="str">
        <f t="shared" si="7"/>
        <v/>
      </c>
      <c r="AI41" s="384" t="str">
        <f>IF(AH41="Check Data","Check Data",IFERROR(VLOOKUP(AH41,'G-4 Temporal multipliers'!$A$4:$C$36,3,FALSE),""))</f>
        <v/>
      </c>
      <c r="AJ41" s="362" t="str">
        <f>IF(S41="","",VLOOKUP(S41,'G-3 Multipliers'!$A$2:$E$134,4,FALSE))</f>
        <v/>
      </c>
      <c r="AK41" s="370" t="str">
        <f t="shared" si="8"/>
        <v/>
      </c>
      <c r="AL41" s="370" t="str">
        <f t="shared" si="9"/>
        <v/>
      </c>
      <c r="AM41" s="401" t="str">
        <f>IFERROR(IF(F41="","",IF(AH41="Check Data ⚠","Check Data ⚠",VLOOKUP(AL41, 'G-3 Multipliers'!$P$2:$Q$6,2,FALSE))),"")</f>
        <v/>
      </c>
      <c r="AN41" s="376" t="str">
        <f t="shared" si="10"/>
        <v/>
      </c>
      <c r="AO41" s="194"/>
      <c r="AP41" s="195"/>
      <c r="AQ41" s="120"/>
    </row>
    <row r="42" spans="1:43">
      <c r="A42" s="35" t="str">
        <f>IF(E42="","",IF(ISNA(VLOOKUP($E42,'A-1 On-Site Habitat Baseline'!$D$1:$O$258,2,FALSE)),"",(VLOOKUP($E42,'A-1 On-Site Habitat Baseline'!$D$1:$O$258,2,FALSE))))</f>
        <v/>
      </c>
      <c r="B42" s="35" t="str">
        <f>IF(E42="","",IF(ISNA(VLOOKUP($E42,'A-1 On-Site Habitat Baseline'!$D$1:$O$258,3,FALSE)),"",(VLOOKUP($E42,'A-1 On-Site Habitat Baseline'!$D$1:$O$258,3,FALSE))))</f>
        <v/>
      </c>
      <c r="C42" s="35" t="str">
        <f>IFERROR(INDEX('G-8 Condition Look up'!$I$4:$I$135,MATCH(S42,'G-8 Condition Look up'!$A$4:$A$135,0)),"")</f>
        <v/>
      </c>
      <c r="E42" s="392" t="str">
        <f>'A-1 On-Site Habitat Baseline'!AL41</f>
        <v/>
      </c>
      <c r="F42" s="382" t="str">
        <f>IF(E42="","",IF(ISNA(VLOOKUP($E42,'A-1 On-Site Habitat Baseline'!$D$1:$O$258,4,FALSE)),"",(VLOOKUP($E42,'A-1 On-Site Habitat Baseline'!$D$1:$O$258,4,FALSE))))</f>
        <v/>
      </c>
      <c r="G42" s="382" t="str">
        <f>IF(E42="","",IF(ISNA(VLOOKUP($E42,'A-1 On-Site Habitat Baseline'!$D$1:$O$258,5,FALSE)),"",(VLOOKUP($E42,'A-1 On-Site Habitat Baseline'!$D$1:$O$258,5,FALSE))))</f>
        <v/>
      </c>
      <c r="H42" s="382" t="str">
        <f>IF(E42="","",IF(ISNA(VLOOKUP($E42,'A-1 On-Site Habitat Baseline'!$D$1:$O$258,6,FALSE)),"",(VLOOKUP($E42,'A-1 On-Site Habitat Baseline'!$D$1:$O$258,6,FALSE))))</f>
        <v/>
      </c>
      <c r="I42" s="382" t="str">
        <f>IF(E42="","",IF(ISNA(VLOOKUP($E42,'A-1 On-Site Habitat Baseline'!$D$1:$O$258,7,FALSE)),"",(VLOOKUP($E42,'A-1 On-Site Habitat Baseline'!$D$1:$O$258,7,FALSE))))</f>
        <v/>
      </c>
      <c r="J42" s="382" t="str">
        <f>IF(E42="","",IF(ISNA(VLOOKUP($E42,'A-1 On-Site Habitat Baseline'!$D$1:$O$258,8,FALSE)),"",(VLOOKUP($E42,'A-1 On-Site Habitat Baseline'!$D$1:$O$258,8,FALSE))))</f>
        <v/>
      </c>
      <c r="K42" s="382" t="str">
        <f>IF(E42="","",IF(ISNA(VLOOKUP($E42,'A-1 On-Site Habitat Baseline'!$D$1:$O$258,9,FALSE)),"",(VLOOKUP($E42,'A-1 On-Site Habitat Baseline'!$D$1:$O$258,9,FALSE))))</f>
        <v/>
      </c>
      <c r="L42" s="382" t="str">
        <f>IF(E42="","",IF(ISNA(VLOOKUP($E42,'A-1 On-Site Habitat Baseline'!$D$1:$O$258,11,FALSE)),"",(VLOOKUP($E42,'A-1 On-Site Habitat Baseline'!$D$1:$O$258,11,FALSE))))</f>
        <v/>
      </c>
      <c r="M42" s="382" t="str">
        <f>IF(E42="","",IF(ISNA(VLOOKUP($E42,'A-1 On-Site Habitat Baseline'!$D$1:$O$258,12,FALSE)),"",(VLOOKUP($E42,'A-1 On-Site Habitat Baseline'!$D$1:$O$258,12,FALSE))))</f>
        <v/>
      </c>
      <c r="N42" s="393" t="str">
        <f>IF(E42="","",IF(ISNA(VLOOKUP($E42,'A-1 On-Site Habitat Baseline'!$D$1:$X$258,14,FALSE)),"",(VLOOKUP($E42,'A-1 On-Site Habitat Baseline'!$D$1:$X$258,14,FALSE))))</f>
        <v/>
      </c>
      <c r="O42" s="386" t="str">
        <f>IF(E42="","",IF(ISNA(VLOOKUP($E42,'A-1 On-Site Habitat Baseline'!$D$1:$X$258,16,FALSE)),"",(VLOOKUP($E42,'A-1 On-Site Habitat Baseline'!$D$1:$X$258,13,FALSE))))</f>
        <v/>
      </c>
      <c r="P42" s="192" t="str">
        <f>IFERROR(INDEX('G-1 All Habitats'!$AG$3:$AG$17,MATCH(Q42,'G-1 All Habitats'!$AF$3:$AF$17,0)),"")</f>
        <v/>
      </c>
      <c r="Q42" s="193" t="str">
        <f t="shared" si="0"/>
        <v/>
      </c>
      <c r="R42" s="193" t="str">
        <f t="shared" si="1"/>
        <v/>
      </c>
      <c r="S42" s="306" t="str">
        <f>IFERROR(INDEX('G-1 All Habitats'!$B$3:$B$134,MATCH(R42,'G-1 All Habitats'!$A$3:$A$134,0)),"")</f>
        <v/>
      </c>
      <c r="T42" s="362" t="str">
        <f t="shared" si="3"/>
        <v/>
      </c>
      <c r="U42" s="363" t="str">
        <f t="shared" si="4"/>
        <v/>
      </c>
      <c r="V42" s="398" t="str">
        <f t="shared" si="5"/>
        <v/>
      </c>
      <c r="W42" s="382" t="str">
        <f>IF(S42="","",VLOOKUP(S42,'G-1 All Habitats'!$B$2:$M$134,10,FALSE))</f>
        <v/>
      </c>
      <c r="X42" s="382" t="str">
        <f>IFERROR(VLOOKUP(W42,'G-1 All Habitats'!$V$3:$W$7,2,FALSE),"")</f>
        <v/>
      </c>
      <c r="Y42" s="61"/>
      <c r="Z42" s="386" t="str">
        <f>IFERROR(INDEX('G-8 Condition Look up'!$A$3:$H$135,MATCH(S42,'G-8 Condition Look up'!$A$3:$A$135,0),MATCH(Y42,'G-8 Condition Look up'!$A$3:$H$3,0)),"")</f>
        <v/>
      </c>
      <c r="AA42" s="54"/>
      <c r="AB42" s="382" t="str">
        <f>IF(AA42="","",IF(VLOOKUP(AA42,'G-3 Multipliers'!$L$3:$N$6,2,FALSE)=0,"Spatial Data Missing ⚠",VLOOKUP(AA42,'G-3 Multipliers'!$L$3:$N$6,2,FALSE)))</f>
        <v/>
      </c>
      <c r="AC42" s="386" t="str">
        <f>IF(AA42="","",IF(VLOOKUP(AA42,'G-3 Multipliers'!$L$3:$N$6,3,FALSE)=0,"Spatial Data Missing ⚠",VLOOKUP(AA42,'G-3 Multipliers'!$L$3:$N$6,3,FALSE)))</f>
        <v/>
      </c>
      <c r="AD42" s="400" t="str">
        <f t="shared" si="2"/>
        <v/>
      </c>
      <c r="AE42" s="63"/>
      <c r="AF42" s="63"/>
      <c r="AG42" s="370" t="str">
        <f t="shared" si="6"/>
        <v/>
      </c>
      <c r="AH42" s="383" t="str">
        <f t="shared" si="7"/>
        <v/>
      </c>
      <c r="AI42" s="384" t="str">
        <f>IF(AH42="Check Data","Check Data",IFERROR(VLOOKUP(AH42,'G-4 Temporal multipliers'!$A$4:$C$36,3,FALSE),""))</f>
        <v/>
      </c>
      <c r="AJ42" s="362" t="str">
        <f>IF(S42="","",VLOOKUP(S42,'G-3 Multipliers'!$A$2:$E$134,4,FALSE))</f>
        <v/>
      </c>
      <c r="AK42" s="370" t="str">
        <f t="shared" si="8"/>
        <v/>
      </c>
      <c r="AL42" s="370" t="str">
        <f t="shared" si="9"/>
        <v/>
      </c>
      <c r="AM42" s="401" t="str">
        <f>IFERROR(IF(F42="","",IF(AH42="Check Data ⚠","Check Data ⚠",VLOOKUP(AL42, 'G-3 Multipliers'!$P$2:$Q$6,2,FALSE))),"")</f>
        <v/>
      </c>
      <c r="AN42" s="376" t="str">
        <f t="shared" si="10"/>
        <v/>
      </c>
      <c r="AO42" s="194"/>
      <c r="AP42" s="195"/>
      <c r="AQ42" s="120"/>
    </row>
    <row r="43" spans="1:43">
      <c r="A43" s="35" t="str">
        <f>IF(E43="","",IF(ISNA(VLOOKUP($E43,'A-1 On-Site Habitat Baseline'!$D$1:$O$258,2,FALSE)),"",(VLOOKUP($E43,'A-1 On-Site Habitat Baseline'!$D$1:$O$258,2,FALSE))))</f>
        <v/>
      </c>
      <c r="B43" s="35" t="str">
        <f>IF(E43="","",IF(ISNA(VLOOKUP($E43,'A-1 On-Site Habitat Baseline'!$D$1:$O$258,3,FALSE)),"",(VLOOKUP($E43,'A-1 On-Site Habitat Baseline'!$D$1:$O$258,3,FALSE))))</f>
        <v/>
      </c>
      <c r="C43" s="35" t="str">
        <f>IFERROR(INDEX('G-8 Condition Look up'!$I$4:$I$135,MATCH(S43,'G-8 Condition Look up'!$A$4:$A$135,0)),"")</f>
        <v/>
      </c>
      <c r="E43" s="392" t="str">
        <f>'A-1 On-Site Habitat Baseline'!AL42</f>
        <v/>
      </c>
      <c r="F43" s="382" t="str">
        <f>IF(E43="","",IF(ISNA(VLOOKUP($E43,'A-1 On-Site Habitat Baseline'!$D$1:$O$258,4,FALSE)),"",(VLOOKUP($E43,'A-1 On-Site Habitat Baseline'!$D$1:$O$258,4,FALSE))))</f>
        <v/>
      </c>
      <c r="G43" s="382" t="str">
        <f>IF(E43="","",IF(ISNA(VLOOKUP($E43,'A-1 On-Site Habitat Baseline'!$D$1:$O$258,5,FALSE)),"",(VLOOKUP($E43,'A-1 On-Site Habitat Baseline'!$D$1:$O$258,5,FALSE))))</f>
        <v/>
      </c>
      <c r="H43" s="382" t="str">
        <f>IF(E43="","",IF(ISNA(VLOOKUP($E43,'A-1 On-Site Habitat Baseline'!$D$1:$O$258,6,FALSE)),"",(VLOOKUP($E43,'A-1 On-Site Habitat Baseline'!$D$1:$O$258,6,FALSE))))</f>
        <v/>
      </c>
      <c r="I43" s="382" t="str">
        <f>IF(E43="","",IF(ISNA(VLOOKUP($E43,'A-1 On-Site Habitat Baseline'!$D$1:$O$258,7,FALSE)),"",(VLOOKUP($E43,'A-1 On-Site Habitat Baseline'!$D$1:$O$258,7,FALSE))))</f>
        <v/>
      </c>
      <c r="J43" s="382" t="str">
        <f>IF(E43="","",IF(ISNA(VLOOKUP($E43,'A-1 On-Site Habitat Baseline'!$D$1:$O$258,8,FALSE)),"",(VLOOKUP($E43,'A-1 On-Site Habitat Baseline'!$D$1:$O$258,8,FALSE))))</f>
        <v/>
      </c>
      <c r="K43" s="382" t="str">
        <f>IF(E43="","",IF(ISNA(VLOOKUP($E43,'A-1 On-Site Habitat Baseline'!$D$1:$O$258,9,FALSE)),"",(VLOOKUP($E43,'A-1 On-Site Habitat Baseline'!$D$1:$O$258,9,FALSE))))</f>
        <v/>
      </c>
      <c r="L43" s="382" t="str">
        <f>IF(E43="","",IF(ISNA(VLOOKUP($E43,'A-1 On-Site Habitat Baseline'!$D$1:$O$258,11,FALSE)),"",(VLOOKUP($E43,'A-1 On-Site Habitat Baseline'!$D$1:$O$258,11,FALSE))))</f>
        <v/>
      </c>
      <c r="M43" s="382" t="str">
        <f>IF(E43="","",IF(ISNA(VLOOKUP($E43,'A-1 On-Site Habitat Baseline'!$D$1:$O$258,12,FALSE)),"",(VLOOKUP($E43,'A-1 On-Site Habitat Baseline'!$D$1:$O$258,12,FALSE))))</f>
        <v/>
      </c>
      <c r="N43" s="393" t="str">
        <f>IF(E43="","",IF(ISNA(VLOOKUP($E43,'A-1 On-Site Habitat Baseline'!$D$1:$X$258,14,FALSE)),"",(VLOOKUP($E43,'A-1 On-Site Habitat Baseline'!$D$1:$X$258,14,FALSE))))</f>
        <v/>
      </c>
      <c r="O43" s="386" t="str">
        <f>IF(E43="","",IF(ISNA(VLOOKUP($E43,'A-1 On-Site Habitat Baseline'!$D$1:$X$258,16,FALSE)),"",(VLOOKUP($E43,'A-1 On-Site Habitat Baseline'!$D$1:$X$258,13,FALSE))))</f>
        <v/>
      </c>
      <c r="P43" s="192" t="str">
        <f>IFERROR(INDEX('G-1 All Habitats'!$AG$3:$AG$17,MATCH(Q43,'G-1 All Habitats'!$AF$3:$AF$17,0)),"")</f>
        <v/>
      </c>
      <c r="Q43" s="193" t="str">
        <f t="shared" si="0"/>
        <v/>
      </c>
      <c r="R43" s="193" t="str">
        <f t="shared" si="1"/>
        <v/>
      </c>
      <c r="S43" s="306" t="str">
        <f>IFERROR(INDEX('G-1 All Habitats'!$B$3:$B$134,MATCH(R43,'G-1 All Habitats'!$A$3:$A$134,0)),"")</f>
        <v/>
      </c>
      <c r="T43" s="362" t="str">
        <f t="shared" si="3"/>
        <v/>
      </c>
      <c r="U43" s="363" t="str">
        <f t="shared" si="4"/>
        <v/>
      </c>
      <c r="V43" s="398" t="str">
        <f t="shared" si="5"/>
        <v/>
      </c>
      <c r="W43" s="382" t="str">
        <f>IF(S43="","",VLOOKUP(S43,'G-1 All Habitats'!$B$2:$M$134,10,FALSE))</f>
        <v/>
      </c>
      <c r="X43" s="382" t="str">
        <f>IFERROR(VLOOKUP(W43,'G-1 All Habitats'!$V$3:$W$7,2,FALSE),"")</f>
        <v/>
      </c>
      <c r="Y43" s="61"/>
      <c r="Z43" s="386" t="str">
        <f>IFERROR(INDEX('G-8 Condition Look up'!$A$3:$H$135,MATCH(S43,'G-8 Condition Look up'!$A$3:$A$135,0),MATCH(Y43,'G-8 Condition Look up'!$A$3:$H$3,0)),"")</f>
        <v/>
      </c>
      <c r="AA43" s="54"/>
      <c r="AB43" s="382" t="str">
        <f>IF(AA43="","",IF(VLOOKUP(AA43,'G-3 Multipliers'!$L$3:$N$6,2,FALSE)=0,"Spatial Data Missing ⚠",VLOOKUP(AA43,'G-3 Multipliers'!$L$3:$N$6,2,FALSE)))</f>
        <v/>
      </c>
      <c r="AC43" s="386" t="str">
        <f>IF(AA43="","",IF(VLOOKUP(AA43,'G-3 Multipliers'!$L$3:$N$6,3,FALSE)=0,"Spatial Data Missing ⚠",VLOOKUP(AA43,'G-3 Multipliers'!$L$3:$N$6,3,FALSE)))</f>
        <v/>
      </c>
      <c r="AD43" s="400" t="str">
        <f t="shared" si="2"/>
        <v/>
      </c>
      <c r="AE43" s="63"/>
      <c r="AF43" s="63"/>
      <c r="AG43" s="370" t="str">
        <f t="shared" si="6"/>
        <v/>
      </c>
      <c r="AH43" s="383" t="str">
        <f t="shared" si="7"/>
        <v/>
      </c>
      <c r="AI43" s="384" t="str">
        <f>IF(AH43="Check Data","Check Data",IFERROR(VLOOKUP(AH43,'G-4 Temporal multipliers'!$A$4:$C$36,3,FALSE),""))</f>
        <v/>
      </c>
      <c r="AJ43" s="362" t="str">
        <f>IF(S43="","",VLOOKUP(S43,'G-3 Multipliers'!$A$2:$E$134,4,FALSE))</f>
        <v/>
      </c>
      <c r="AK43" s="370" t="str">
        <f t="shared" si="8"/>
        <v/>
      </c>
      <c r="AL43" s="370" t="str">
        <f t="shared" si="9"/>
        <v/>
      </c>
      <c r="AM43" s="401" t="str">
        <f>IFERROR(IF(F43="","",IF(AH43="Check Data ⚠","Check Data ⚠",VLOOKUP(AL43, 'G-3 Multipliers'!$P$2:$Q$6,2,FALSE))),"")</f>
        <v/>
      </c>
      <c r="AN43" s="376" t="str">
        <f t="shared" si="10"/>
        <v/>
      </c>
      <c r="AO43" s="194"/>
      <c r="AP43" s="195"/>
      <c r="AQ43" s="120"/>
    </row>
    <row r="44" spans="1:43">
      <c r="A44" s="35" t="str">
        <f>IF(E44="","",IF(ISNA(VLOOKUP($E44,'A-1 On-Site Habitat Baseline'!$D$1:$O$258,2,FALSE)),"",(VLOOKUP($E44,'A-1 On-Site Habitat Baseline'!$D$1:$O$258,2,FALSE))))</f>
        <v/>
      </c>
      <c r="B44" s="35" t="str">
        <f>IF(E44="","",IF(ISNA(VLOOKUP($E44,'A-1 On-Site Habitat Baseline'!$D$1:$O$258,3,FALSE)),"",(VLOOKUP($E44,'A-1 On-Site Habitat Baseline'!$D$1:$O$258,3,FALSE))))</f>
        <v/>
      </c>
      <c r="C44" s="35" t="str">
        <f>IFERROR(INDEX('G-8 Condition Look up'!$I$4:$I$135,MATCH(S44,'G-8 Condition Look up'!$A$4:$A$135,0)),"")</f>
        <v/>
      </c>
      <c r="E44" s="392" t="str">
        <f>'A-1 On-Site Habitat Baseline'!AL43</f>
        <v/>
      </c>
      <c r="F44" s="382" t="str">
        <f>IF(E44="","",IF(ISNA(VLOOKUP($E44,'A-1 On-Site Habitat Baseline'!$D$1:$O$258,4,FALSE)),"",(VLOOKUP($E44,'A-1 On-Site Habitat Baseline'!$D$1:$O$258,4,FALSE))))</f>
        <v/>
      </c>
      <c r="G44" s="382" t="str">
        <f>IF(E44="","",IF(ISNA(VLOOKUP($E44,'A-1 On-Site Habitat Baseline'!$D$1:$O$258,5,FALSE)),"",(VLOOKUP($E44,'A-1 On-Site Habitat Baseline'!$D$1:$O$258,5,FALSE))))</f>
        <v/>
      </c>
      <c r="H44" s="382" t="str">
        <f>IF(E44="","",IF(ISNA(VLOOKUP($E44,'A-1 On-Site Habitat Baseline'!$D$1:$O$258,6,FALSE)),"",(VLOOKUP($E44,'A-1 On-Site Habitat Baseline'!$D$1:$O$258,6,FALSE))))</f>
        <v/>
      </c>
      <c r="I44" s="382" t="str">
        <f>IF(E44="","",IF(ISNA(VLOOKUP($E44,'A-1 On-Site Habitat Baseline'!$D$1:$O$258,7,FALSE)),"",(VLOOKUP($E44,'A-1 On-Site Habitat Baseline'!$D$1:$O$258,7,FALSE))))</f>
        <v/>
      </c>
      <c r="J44" s="382" t="str">
        <f>IF(E44="","",IF(ISNA(VLOOKUP($E44,'A-1 On-Site Habitat Baseline'!$D$1:$O$258,8,FALSE)),"",(VLOOKUP($E44,'A-1 On-Site Habitat Baseline'!$D$1:$O$258,8,FALSE))))</f>
        <v/>
      </c>
      <c r="K44" s="382" t="str">
        <f>IF(E44="","",IF(ISNA(VLOOKUP($E44,'A-1 On-Site Habitat Baseline'!$D$1:$O$258,9,FALSE)),"",(VLOOKUP($E44,'A-1 On-Site Habitat Baseline'!$D$1:$O$258,9,FALSE))))</f>
        <v/>
      </c>
      <c r="L44" s="382" t="str">
        <f>IF(E44="","",IF(ISNA(VLOOKUP($E44,'A-1 On-Site Habitat Baseline'!$D$1:$O$258,11,FALSE)),"",(VLOOKUP($E44,'A-1 On-Site Habitat Baseline'!$D$1:$O$258,11,FALSE))))</f>
        <v/>
      </c>
      <c r="M44" s="382" t="str">
        <f>IF(E44="","",IF(ISNA(VLOOKUP($E44,'A-1 On-Site Habitat Baseline'!$D$1:$O$258,12,FALSE)),"",(VLOOKUP($E44,'A-1 On-Site Habitat Baseline'!$D$1:$O$258,12,FALSE))))</f>
        <v/>
      </c>
      <c r="N44" s="393" t="str">
        <f>IF(E44="","",IF(ISNA(VLOOKUP($E44,'A-1 On-Site Habitat Baseline'!$D$1:$X$258,14,FALSE)),"",(VLOOKUP($E44,'A-1 On-Site Habitat Baseline'!$D$1:$X$258,14,FALSE))))</f>
        <v/>
      </c>
      <c r="O44" s="386" t="str">
        <f>IF(E44="","",IF(ISNA(VLOOKUP($E44,'A-1 On-Site Habitat Baseline'!$D$1:$X$258,16,FALSE)),"",(VLOOKUP($E44,'A-1 On-Site Habitat Baseline'!$D$1:$X$258,13,FALSE))))</f>
        <v/>
      </c>
      <c r="P44" s="192" t="str">
        <f>IFERROR(INDEX('G-1 All Habitats'!$AG$3:$AG$17,MATCH(Q44,'G-1 All Habitats'!$AF$3:$AF$17,0)),"")</f>
        <v/>
      </c>
      <c r="Q44" s="193" t="str">
        <f t="shared" si="0"/>
        <v/>
      </c>
      <c r="R44" s="193" t="str">
        <f t="shared" si="1"/>
        <v/>
      </c>
      <c r="S44" s="306" t="str">
        <f>IFERROR(INDEX('G-1 All Habitats'!$B$3:$B$134,MATCH(R44,'G-1 All Habitats'!$A$3:$A$134,0)),"")</f>
        <v/>
      </c>
      <c r="T44" s="362" t="str">
        <f t="shared" si="3"/>
        <v/>
      </c>
      <c r="U44" s="363" t="str">
        <f t="shared" si="4"/>
        <v/>
      </c>
      <c r="V44" s="398" t="str">
        <f t="shared" si="5"/>
        <v/>
      </c>
      <c r="W44" s="382" t="str">
        <f>IF(S44="","",VLOOKUP(S44,'G-1 All Habitats'!$B$2:$M$134,10,FALSE))</f>
        <v/>
      </c>
      <c r="X44" s="382" t="str">
        <f>IFERROR(VLOOKUP(W44,'G-1 All Habitats'!$V$3:$W$7,2,FALSE),"")</f>
        <v/>
      </c>
      <c r="Y44" s="61"/>
      <c r="Z44" s="386" t="str">
        <f>IFERROR(INDEX('G-8 Condition Look up'!$A$3:$H$135,MATCH(S44,'G-8 Condition Look up'!$A$3:$A$135,0),MATCH(Y44,'G-8 Condition Look up'!$A$3:$H$3,0)),"")</f>
        <v/>
      </c>
      <c r="AA44" s="54"/>
      <c r="AB44" s="382" t="str">
        <f>IF(AA44="","",IF(VLOOKUP(AA44,'G-3 Multipliers'!$L$3:$N$6,2,FALSE)=0,"Spatial Data Missing ⚠",VLOOKUP(AA44,'G-3 Multipliers'!$L$3:$N$6,2,FALSE)))</f>
        <v/>
      </c>
      <c r="AC44" s="386" t="str">
        <f>IF(AA44="","",IF(VLOOKUP(AA44,'G-3 Multipliers'!$L$3:$N$6,3,FALSE)=0,"Spatial Data Missing ⚠",VLOOKUP(AA44,'G-3 Multipliers'!$L$3:$N$6,3,FALSE)))</f>
        <v/>
      </c>
      <c r="AD44" s="400" t="str">
        <f t="shared" si="2"/>
        <v/>
      </c>
      <c r="AE44" s="63"/>
      <c r="AF44" s="63"/>
      <c r="AG44" s="370" t="str">
        <f t="shared" si="6"/>
        <v/>
      </c>
      <c r="AH44" s="383" t="str">
        <f t="shared" si="7"/>
        <v/>
      </c>
      <c r="AI44" s="384" t="str">
        <f>IF(AH44="Check Data","Check Data",IFERROR(VLOOKUP(AH44,'G-4 Temporal multipliers'!$A$4:$C$36,3,FALSE),""))</f>
        <v/>
      </c>
      <c r="AJ44" s="362" t="str">
        <f>IF(S44="","",VLOOKUP(S44,'G-3 Multipliers'!$A$2:$E$134,4,FALSE))</f>
        <v/>
      </c>
      <c r="AK44" s="370" t="str">
        <f t="shared" si="8"/>
        <v/>
      </c>
      <c r="AL44" s="370" t="str">
        <f t="shared" si="9"/>
        <v/>
      </c>
      <c r="AM44" s="401" t="str">
        <f>IFERROR(IF(F44="","",IF(AH44="Check Data ⚠","Check Data ⚠",VLOOKUP(AL44, 'G-3 Multipliers'!$P$2:$Q$6,2,FALSE))),"")</f>
        <v/>
      </c>
      <c r="AN44" s="376" t="str">
        <f t="shared" si="10"/>
        <v/>
      </c>
      <c r="AO44" s="194"/>
      <c r="AP44" s="195"/>
      <c r="AQ44" s="120"/>
    </row>
    <row r="45" spans="1:43">
      <c r="A45" s="35" t="str">
        <f>IF(E45="","",IF(ISNA(VLOOKUP($E45,'A-1 On-Site Habitat Baseline'!$D$1:$O$258,2,FALSE)),"",(VLOOKUP($E45,'A-1 On-Site Habitat Baseline'!$D$1:$O$258,2,FALSE))))</f>
        <v/>
      </c>
      <c r="B45" s="35" t="str">
        <f>IF(E45="","",IF(ISNA(VLOOKUP($E45,'A-1 On-Site Habitat Baseline'!$D$1:$O$258,3,FALSE)),"",(VLOOKUP($E45,'A-1 On-Site Habitat Baseline'!$D$1:$O$258,3,FALSE))))</f>
        <v/>
      </c>
      <c r="C45" s="35" t="str">
        <f>IFERROR(INDEX('G-8 Condition Look up'!$I$4:$I$135,MATCH(S45,'G-8 Condition Look up'!$A$4:$A$135,0)),"")</f>
        <v/>
      </c>
      <c r="E45" s="392" t="str">
        <f>'A-1 On-Site Habitat Baseline'!AL44</f>
        <v/>
      </c>
      <c r="F45" s="382" t="str">
        <f>IF(E45="","",IF(ISNA(VLOOKUP($E45,'A-1 On-Site Habitat Baseline'!$D$1:$O$258,4,FALSE)),"",(VLOOKUP($E45,'A-1 On-Site Habitat Baseline'!$D$1:$O$258,4,FALSE))))</f>
        <v/>
      </c>
      <c r="G45" s="382" t="str">
        <f>IF(E45="","",IF(ISNA(VLOOKUP($E45,'A-1 On-Site Habitat Baseline'!$D$1:$O$258,5,FALSE)),"",(VLOOKUP($E45,'A-1 On-Site Habitat Baseline'!$D$1:$O$258,5,FALSE))))</f>
        <v/>
      </c>
      <c r="H45" s="382" t="str">
        <f>IF(E45="","",IF(ISNA(VLOOKUP($E45,'A-1 On-Site Habitat Baseline'!$D$1:$O$258,6,FALSE)),"",(VLOOKUP($E45,'A-1 On-Site Habitat Baseline'!$D$1:$O$258,6,FALSE))))</f>
        <v/>
      </c>
      <c r="I45" s="382" t="str">
        <f>IF(E45="","",IF(ISNA(VLOOKUP($E45,'A-1 On-Site Habitat Baseline'!$D$1:$O$258,7,FALSE)),"",(VLOOKUP($E45,'A-1 On-Site Habitat Baseline'!$D$1:$O$258,7,FALSE))))</f>
        <v/>
      </c>
      <c r="J45" s="382" t="str">
        <f>IF(E45="","",IF(ISNA(VLOOKUP($E45,'A-1 On-Site Habitat Baseline'!$D$1:$O$258,8,FALSE)),"",(VLOOKUP($E45,'A-1 On-Site Habitat Baseline'!$D$1:$O$258,8,FALSE))))</f>
        <v/>
      </c>
      <c r="K45" s="382" t="str">
        <f>IF(E45="","",IF(ISNA(VLOOKUP($E45,'A-1 On-Site Habitat Baseline'!$D$1:$O$258,9,FALSE)),"",(VLOOKUP($E45,'A-1 On-Site Habitat Baseline'!$D$1:$O$258,9,FALSE))))</f>
        <v/>
      </c>
      <c r="L45" s="382" t="str">
        <f>IF(E45="","",IF(ISNA(VLOOKUP($E45,'A-1 On-Site Habitat Baseline'!$D$1:$O$258,11,FALSE)),"",(VLOOKUP($E45,'A-1 On-Site Habitat Baseline'!$D$1:$O$258,11,FALSE))))</f>
        <v/>
      </c>
      <c r="M45" s="382" t="str">
        <f>IF(E45="","",IF(ISNA(VLOOKUP($E45,'A-1 On-Site Habitat Baseline'!$D$1:$O$258,12,FALSE)),"",(VLOOKUP($E45,'A-1 On-Site Habitat Baseline'!$D$1:$O$258,12,FALSE))))</f>
        <v/>
      </c>
      <c r="N45" s="393" t="str">
        <f>IF(E45="","",IF(ISNA(VLOOKUP($E45,'A-1 On-Site Habitat Baseline'!$D$1:$X$258,14,FALSE)),"",(VLOOKUP($E45,'A-1 On-Site Habitat Baseline'!$D$1:$X$258,14,FALSE))))</f>
        <v/>
      </c>
      <c r="O45" s="386" t="str">
        <f>IF(E45="","",IF(ISNA(VLOOKUP($E45,'A-1 On-Site Habitat Baseline'!$D$1:$X$258,16,FALSE)),"",(VLOOKUP($E45,'A-1 On-Site Habitat Baseline'!$D$1:$X$258,13,FALSE))))</f>
        <v/>
      </c>
      <c r="P45" s="192" t="str">
        <f>IFERROR(INDEX('G-1 All Habitats'!$AG$3:$AG$17,MATCH(Q45,'G-1 All Habitats'!$AF$3:$AF$17,0)),"")</f>
        <v/>
      </c>
      <c r="Q45" s="193" t="str">
        <f t="shared" si="0"/>
        <v/>
      </c>
      <c r="R45" s="193" t="str">
        <f t="shared" si="1"/>
        <v/>
      </c>
      <c r="S45" s="306" t="str">
        <f>IFERROR(INDEX('G-1 All Habitats'!$B$3:$B$134,MATCH(R45,'G-1 All Habitats'!$A$3:$A$134,0)),"")</f>
        <v/>
      </c>
      <c r="T45" s="362" t="str">
        <f t="shared" si="3"/>
        <v/>
      </c>
      <c r="U45" s="363" t="str">
        <f t="shared" si="4"/>
        <v/>
      </c>
      <c r="V45" s="398" t="str">
        <f t="shared" si="5"/>
        <v/>
      </c>
      <c r="W45" s="382" t="str">
        <f>IF(S45="","",VLOOKUP(S45,'G-1 All Habitats'!$B$2:$M$134,10,FALSE))</f>
        <v/>
      </c>
      <c r="X45" s="382" t="str">
        <f>IFERROR(VLOOKUP(W45,'G-1 All Habitats'!$V$3:$W$7,2,FALSE),"")</f>
        <v/>
      </c>
      <c r="Y45" s="61"/>
      <c r="Z45" s="386" t="str">
        <f>IFERROR(INDEX('G-8 Condition Look up'!$A$3:$H$135,MATCH(S45,'G-8 Condition Look up'!$A$3:$A$135,0),MATCH(Y45,'G-8 Condition Look up'!$A$3:$H$3,0)),"")</f>
        <v/>
      </c>
      <c r="AA45" s="54"/>
      <c r="AB45" s="382" t="str">
        <f>IF(AA45="","",IF(VLOOKUP(AA45,'G-3 Multipliers'!$L$3:$N$6,2,FALSE)=0,"Spatial Data Missing ⚠",VLOOKUP(AA45,'G-3 Multipliers'!$L$3:$N$6,2,FALSE)))</f>
        <v/>
      </c>
      <c r="AC45" s="386" t="str">
        <f>IF(AA45="","",IF(VLOOKUP(AA45,'G-3 Multipliers'!$L$3:$N$6,3,FALSE)=0,"Spatial Data Missing ⚠",VLOOKUP(AA45,'G-3 Multipliers'!$L$3:$N$6,3,FALSE)))</f>
        <v/>
      </c>
      <c r="AD45" s="400" t="str">
        <f t="shared" si="2"/>
        <v/>
      </c>
      <c r="AE45" s="63"/>
      <c r="AF45" s="63"/>
      <c r="AG45" s="370" t="str">
        <f t="shared" si="6"/>
        <v/>
      </c>
      <c r="AH45" s="383" t="str">
        <f t="shared" si="7"/>
        <v/>
      </c>
      <c r="AI45" s="384" t="str">
        <f>IF(AH45="Check Data","Check Data",IFERROR(VLOOKUP(AH45,'G-4 Temporal multipliers'!$A$4:$C$36,3,FALSE),""))</f>
        <v/>
      </c>
      <c r="AJ45" s="362" t="str">
        <f>IF(S45="","",VLOOKUP(S45,'G-3 Multipliers'!$A$2:$E$134,4,FALSE))</f>
        <v/>
      </c>
      <c r="AK45" s="370" t="str">
        <f t="shared" si="8"/>
        <v/>
      </c>
      <c r="AL45" s="370" t="str">
        <f t="shared" si="9"/>
        <v/>
      </c>
      <c r="AM45" s="401" t="str">
        <f>IFERROR(IF(F45="","",IF(AH45="Check Data ⚠","Check Data ⚠",VLOOKUP(AL45, 'G-3 Multipliers'!$P$2:$Q$6,2,FALSE))),"")</f>
        <v/>
      </c>
      <c r="AN45" s="376" t="str">
        <f t="shared" si="10"/>
        <v/>
      </c>
      <c r="AO45" s="194"/>
      <c r="AP45" s="195"/>
      <c r="AQ45" s="120"/>
    </row>
    <row r="46" spans="1:43">
      <c r="A46" s="35" t="str">
        <f>IF(E46="","",IF(ISNA(VLOOKUP($E46,'A-1 On-Site Habitat Baseline'!$D$1:$O$258,2,FALSE)),"",(VLOOKUP($E46,'A-1 On-Site Habitat Baseline'!$D$1:$O$258,2,FALSE))))</f>
        <v/>
      </c>
      <c r="B46" s="35" t="str">
        <f>IF(E46="","",IF(ISNA(VLOOKUP($E46,'A-1 On-Site Habitat Baseline'!$D$1:$O$258,3,FALSE)),"",(VLOOKUP($E46,'A-1 On-Site Habitat Baseline'!$D$1:$O$258,3,FALSE))))</f>
        <v/>
      </c>
      <c r="C46" s="35" t="str">
        <f>IFERROR(INDEX('G-8 Condition Look up'!$I$4:$I$135,MATCH(S46,'G-8 Condition Look up'!$A$4:$A$135,0)),"")</f>
        <v/>
      </c>
      <c r="E46" s="392" t="str">
        <f>'A-1 On-Site Habitat Baseline'!AL45</f>
        <v/>
      </c>
      <c r="F46" s="382" t="str">
        <f>IF(E46="","",IF(ISNA(VLOOKUP($E46,'A-1 On-Site Habitat Baseline'!$D$1:$O$258,4,FALSE)),"",(VLOOKUP($E46,'A-1 On-Site Habitat Baseline'!$D$1:$O$258,4,FALSE))))</f>
        <v/>
      </c>
      <c r="G46" s="382" t="str">
        <f>IF(E46="","",IF(ISNA(VLOOKUP($E46,'A-1 On-Site Habitat Baseline'!$D$1:$O$258,5,FALSE)),"",(VLOOKUP($E46,'A-1 On-Site Habitat Baseline'!$D$1:$O$258,5,FALSE))))</f>
        <v/>
      </c>
      <c r="H46" s="382" t="str">
        <f>IF(E46="","",IF(ISNA(VLOOKUP($E46,'A-1 On-Site Habitat Baseline'!$D$1:$O$258,6,FALSE)),"",(VLOOKUP($E46,'A-1 On-Site Habitat Baseline'!$D$1:$O$258,6,FALSE))))</f>
        <v/>
      </c>
      <c r="I46" s="382" t="str">
        <f>IF(E46="","",IF(ISNA(VLOOKUP($E46,'A-1 On-Site Habitat Baseline'!$D$1:$O$258,7,FALSE)),"",(VLOOKUP($E46,'A-1 On-Site Habitat Baseline'!$D$1:$O$258,7,FALSE))))</f>
        <v/>
      </c>
      <c r="J46" s="382" t="str">
        <f>IF(E46="","",IF(ISNA(VLOOKUP($E46,'A-1 On-Site Habitat Baseline'!$D$1:$O$258,8,FALSE)),"",(VLOOKUP($E46,'A-1 On-Site Habitat Baseline'!$D$1:$O$258,8,FALSE))))</f>
        <v/>
      </c>
      <c r="K46" s="382" t="str">
        <f>IF(E46="","",IF(ISNA(VLOOKUP($E46,'A-1 On-Site Habitat Baseline'!$D$1:$O$258,9,FALSE)),"",(VLOOKUP($E46,'A-1 On-Site Habitat Baseline'!$D$1:$O$258,9,FALSE))))</f>
        <v/>
      </c>
      <c r="L46" s="382" t="str">
        <f>IF(E46="","",IF(ISNA(VLOOKUP($E46,'A-1 On-Site Habitat Baseline'!$D$1:$O$258,11,FALSE)),"",(VLOOKUP($E46,'A-1 On-Site Habitat Baseline'!$D$1:$O$258,11,FALSE))))</f>
        <v/>
      </c>
      <c r="M46" s="382" t="str">
        <f>IF(E46="","",IF(ISNA(VLOOKUP($E46,'A-1 On-Site Habitat Baseline'!$D$1:$O$258,12,FALSE)),"",(VLOOKUP($E46,'A-1 On-Site Habitat Baseline'!$D$1:$O$258,12,FALSE))))</f>
        <v/>
      </c>
      <c r="N46" s="393" t="str">
        <f>IF(E46="","",IF(ISNA(VLOOKUP($E46,'A-1 On-Site Habitat Baseline'!$D$1:$X$258,14,FALSE)),"",(VLOOKUP($E46,'A-1 On-Site Habitat Baseline'!$D$1:$X$258,14,FALSE))))</f>
        <v/>
      </c>
      <c r="O46" s="386" t="str">
        <f>IF(E46="","",IF(ISNA(VLOOKUP($E46,'A-1 On-Site Habitat Baseline'!$D$1:$X$258,16,FALSE)),"",(VLOOKUP($E46,'A-1 On-Site Habitat Baseline'!$D$1:$X$258,13,FALSE))))</f>
        <v/>
      </c>
      <c r="P46" s="192" t="str">
        <f>IFERROR(INDEX('G-1 All Habitats'!$AG$3:$AG$17,MATCH(Q46,'G-1 All Habitats'!$AF$3:$AF$17,0)),"")</f>
        <v/>
      </c>
      <c r="Q46" s="193" t="str">
        <f t="shared" si="0"/>
        <v/>
      </c>
      <c r="R46" s="193" t="str">
        <f t="shared" si="1"/>
        <v/>
      </c>
      <c r="S46" s="306" t="str">
        <f>IFERROR(INDEX('G-1 All Habitats'!$B$3:$B$134,MATCH(R46,'G-1 All Habitats'!$A$3:$A$134,0)),"")</f>
        <v/>
      </c>
      <c r="T46" s="362" t="str">
        <f t="shared" si="3"/>
        <v/>
      </c>
      <c r="U46" s="363" t="str">
        <f t="shared" si="4"/>
        <v/>
      </c>
      <c r="V46" s="398" t="str">
        <f t="shared" si="5"/>
        <v/>
      </c>
      <c r="W46" s="382" t="str">
        <f>IF(S46="","",VLOOKUP(S46,'G-1 All Habitats'!$B$2:$M$134,10,FALSE))</f>
        <v/>
      </c>
      <c r="X46" s="382" t="str">
        <f>IFERROR(VLOOKUP(W46,'G-1 All Habitats'!$V$3:$W$7,2,FALSE),"")</f>
        <v/>
      </c>
      <c r="Y46" s="61"/>
      <c r="Z46" s="386" t="str">
        <f>IFERROR(INDEX('G-8 Condition Look up'!$A$3:$H$135,MATCH(S46,'G-8 Condition Look up'!$A$3:$A$135,0),MATCH(Y46,'G-8 Condition Look up'!$A$3:$H$3,0)),"")</f>
        <v/>
      </c>
      <c r="AA46" s="54"/>
      <c r="AB46" s="382" t="str">
        <f>IF(AA46="","",IF(VLOOKUP(AA46,'G-3 Multipliers'!$L$3:$N$6,2,FALSE)=0,"Spatial Data Missing ⚠",VLOOKUP(AA46,'G-3 Multipliers'!$L$3:$N$6,2,FALSE)))</f>
        <v/>
      </c>
      <c r="AC46" s="386" t="str">
        <f>IF(AA46="","",IF(VLOOKUP(AA46,'G-3 Multipliers'!$L$3:$N$6,3,FALSE)=0,"Spatial Data Missing ⚠",VLOOKUP(AA46,'G-3 Multipliers'!$L$3:$N$6,3,FALSE)))</f>
        <v/>
      </c>
      <c r="AD46" s="400" t="str">
        <f t="shared" si="2"/>
        <v/>
      </c>
      <c r="AE46" s="63"/>
      <c r="AF46" s="63"/>
      <c r="AG46" s="370" t="str">
        <f t="shared" si="6"/>
        <v/>
      </c>
      <c r="AH46" s="383" t="str">
        <f t="shared" si="7"/>
        <v/>
      </c>
      <c r="AI46" s="384" t="str">
        <f>IF(AH46="Check Data","Check Data",IFERROR(VLOOKUP(AH46,'G-4 Temporal multipliers'!$A$4:$C$36,3,FALSE),""))</f>
        <v/>
      </c>
      <c r="AJ46" s="362" t="str">
        <f>IF(S46="","",VLOOKUP(S46,'G-3 Multipliers'!$A$2:$E$134,4,FALSE))</f>
        <v/>
      </c>
      <c r="AK46" s="370" t="str">
        <f t="shared" si="8"/>
        <v/>
      </c>
      <c r="AL46" s="370" t="str">
        <f t="shared" si="9"/>
        <v/>
      </c>
      <c r="AM46" s="401" t="str">
        <f>IFERROR(IF(F46="","",IF(AH46="Check Data ⚠","Check Data ⚠",VLOOKUP(AL46, 'G-3 Multipliers'!$P$2:$Q$6,2,FALSE))),"")</f>
        <v/>
      </c>
      <c r="AN46" s="376" t="str">
        <f t="shared" si="10"/>
        <v/>
      </c>
      <c r="AO46" s="194"/>
      <c r="AP46" s="195"/>
      <c r="AQ46" s="120"/>
    </row>
    <row r="47" spans="1:43">
      <c r="A47" s="35" t="str">
        <f>IF(E47="","",IF(ISNA(VLOOKUP($E47,'A-1 On-Site Habitat Baseline'!$D$1:$O$258,2,FALSE)),"",(VLOOKUP($E47,'A-1 On-Site Habitat Baseline'!$D$1:$O$258,2,FALSE))))</f>
        <v/>
      </c>
      <c r="B47" s="35" t="str">
        <f>IF(E47="","",IF(ISNA(VLOOKUP($E47,'A-1 On-Site Habitat Baseline'!$D$1:$O$258,3,FALSE)),"",(VLOOKUP($E47,'A-1 On-Site Habitat Baseline'!$D$1:$O$258,3,FALSE))))</f>
        <v/>
      </c>
      <c r="C47" s="35" t="str">
        <f>IFERROR(INDEX('G-8 Condition Look up'!$I$4:$I$135,MATCH(S47,'G-8 Condition Look up'!$A$4:$A$135,0)),"")</f>
        <v/>
      </c>
      <c r="E47" s="392" t="str">
        <f>'A-1 On-Site Habitat Baseline'!AL46</f>
        <v/>
      </c>
      <c r="F47" s="382" t="str">
        <f>IF(E47="","",IF(ISNA(VLOOKUP($E47,'A-1 On-Site Habitat Baseline'!$D$1:$O$258,4,FALSE)),"",(VLOOKUP($E47,'A-1 On-Site Habitat Baseline'!$D$1:$O$258,4,FALSE))))</f>
        <v/>
      </c>
      <c r="G47" s="382" t="str">
        <f>IF(E47="","",IF(ISNA(VLOOKUP($E47,'A-1 On-Site Habitat Baseline'!$D$1:$O$258,5,FALSE)),"",(VLOOKUP($E47,'A-1 On-Site Habitat Baseline'!$D$1:$O$258,5,FALSE))))</f>
        <v/>
      </c>
      <c r="H47" s="382" t="str">
        <f>IF(E47="","",IF(ISNA(VLOOKUP($E47,'A-1 On-Site Habitat Baseline'!$D$1:$O$258,6,FALSE)),"",(VLOOKUP($E47,'A-1 On-Site Habitat Baseline'!$D$1:$O$258,6,FALSE))))</f>
        <v/>
      </c>
      <c r="I47" s="382" t="str">
        <f>IF(E47="","",IF(ISNA(VLOOKUP($E47,'A-1 On-Site Habitat Baseline'!$D$1:$O$258,7,FALSE)),"",(VLOOKUP($E47,'A-1 On-Site Habitat Baseline'!$D$1:$O$258,7,FALSE))))</f>
        <v/>
      </c>
      <c r="J47" s="382" t="str">
        <f>IF(E47="","",IF(ISNA(VLOOKUP($E47,'A-1 On-Site Habitat Baseline'!$D$1:$O$258,8,FALSE)),"",(VLOOKUP($E47,'A-1 On-Site Habitat Baseline'!$D$1:$O$258,8,FALSE))))</f>
        <v/>
      </c>
      <c r="K47" s="382" t="str">
        <f>IF(E47="","",IF(ISNA(VLOOKUP($E47,'A-1 On-Site Habitat Baseline'!$D$1:$O$258,9,FALSE)),"",(VLOOKUP($E47,'A-1 On-Site Habitat Baseline'!$D$1:$O$258,9,FALSE))))</f>
        <v/>
      </c>
      <c r="L47" s="382" t="str">
        <f>IF(E47="","",IF(ISNA(VLOOKUP($E47,'A-1 On-Site Habitat Baseline'!$D$1:$O$258,11,FALSE)),"",(VLOOKUP($E47,'A-1 On-Site Habitat Baseline'!$D$1:$O$258,11,FALSE))))</f>
        <v/>
      </c>
      <c r="M47" s="382" t="str">
        <f>IF(E47="","",IF(ISNA(VLOOKUP($E47,'A-1 On-Site Habitat Baseline'!$D$1:$O$258,12,FALSE)),"",(VLOOKUP($E47,'A-1 On-Site Habitat Baseline'!$D$1:$O$258,12,FALSE))))</f>
        <v/>
      </c>
      <c r="N47" s="393" t="str">
        <f>IF(E47="","",IF(ISNA(VLOOKUP($E47,'A-1 On-Site Habitat Baseline'!$D$1:$X$258,14,FALSE)),"",(VLOOKUP($E47,'A-1 On-Site Habitat Baseline'!$D$1:$X$258,14,FALSE))))</f>
        <v/>
      </c>
      <c r="O47" s="386" t="str">
        <f>IF(E47="","",IF(ISNA(VLOOKUP($E47,'A-1 On-Site Habitat Baseline'!$D$1:$X$258,16,FALSE)),"",(VLOOKUP($E47,'A-1 On-Site Habitat Baseline'!$D$1:$X$258,13,FALSE))))</f>
        <v/>
      </c>
      <c r="P47" s="192" t="str">
        <f>IFERROR(INDEX('G-1 All Habitats'!$AG$3:$AG$17,MATCH(Q47,'G-1 All Habitats'!$AF$3:$AF$17,0)),"")</f>
        <v/>
      </c>
      <c r="Q47" s="193" t="str">
        <f t="shared" si="0"/>
        <v/>
      </c>
      <c r="R47" s="193" t="str">
        <f t="shared" si="1"/>
        <v/>
      </c>
      <c r="S47" s="306" t="str">
        <f>IFERROR(INDEX('G-1 All Habitats'!$B$3:$B$134,MATCH(R47,'G-1 All Habitats'!$A$3:$A$134,0)),"")</f>
        <v/>
      </c>
      <c r="T47" s="362" t="str">
        <f t="shared" si="3"/>
        <v/>
      </c>
      <c r="U47" s="363" t="str">
        <f t="shared" si="4"/>
        <v/>
      </c>
      <c r="V47" s="398" t="str">
        <f t="shared" si="5"/>
        <v/>
      </c>
      <c r="W47" s="382" t="str">
        <f>IF(S47="","",VLOOKUP(S47,'G-1 All Habitats'!$B$2:$M$134,10,FALSE))</f>
        <v/>
      </c>
      <c r="X47" s="382" t="str">
        <f>IFERROR(VLOOKUP(W47,'G-1 All Habitats'!$V$3:$W$7,2,FALSE),"")</f>
        <v/>
      </c>
      <c r="Y47" s="61"/>
      <c r="Z47" s="386" t="str">
        <f>IFERROR(INDEX('G-8 Condition Look up'!$A$3:$H$135,MATCH(S47,'G-8 Condition Look up'!$A$3:$A$135,0),MATCH(Y47,'G-8 Condition Look up'!$A$3:$H$3,0)),"")</f>
        <v/>
      </c>
      <c r="AA47" s="54"/>
      <c r="AB47" s="382" t="str">
        <f>IF(AA47="","",IF(VLOOKUP(AA47,'G-3 Multipliers'!$L$3:$N$6,2,FALSE)=0,"Spatial Data Missing ⚠",VLOOKUP(AA47,'G-3 Multipliers'!$L$3:$N$6,2,FALSE)))</f>
        <v/>
      </c>
      <c r="AC47" s="386" t="str">
        <f>IF(AA47="","",IF(VLOOKUP(AA47,'G-3 Multipliers'!$L$3:$N$6,3,FALSE)=0,"Spatial Data Missing ⚠",VLOOKUP(AA47,'G-3 Multipliers'!$L$3:$N$6,3,FALSE)))</f>
        <v/>
      </c>
      <c r="AD47" s="400" t="str">
        <f t="shared" si="2"/>
        <v/>
      </c>
      <c r="AE47" s="63"/>
      <c r="AF47" s="63"/>
      <c r="AG47" s="370" t="str">
        <f t="shared" si="6"/>
        <v/>
      </c>
      <c r="AH47" s="383" t="str">
        <f t="shared" si="7"/>
        <v/>
      </c>
      <c r="AI47" s="384" t="str">
        <f>IF(AH47="Check Data","Check Data",IFERROR(VLOOKUP(AH47,'G-4 Temporal multipliers'!$A$4:$C$36,3,FALSE),""))</f>
        <v/>
      </c>
      <c r="AJ47" s="362" t="str">
        <f>IF(S47="","",VLOOKUP(S47,'G-3 Multipliers'!$A$2:$E$134,4,FALSE))</f>
        <v/>
      </c>
      <c r="AK47" s="370" t="str">
        <f t="shared" si="8"/>
        <v/>
      </c>
      <c r="AL47" s="370" t="str">
        <f t="shared" si="9"/>
        <v/>
      </c>
      <c r="AM47" s="401" t="str">
        <f>IFERROR(IF(F47="","",IF(AH47="Check Data ⚠","Check Data ⚠",VLOOKUP(AL47, 'G-3 Multipliers'!$P$2:$Q$6,2,FALSE))),"")</f>
        <v/>
      </c>
      <c r="AN47" s="376" t="str">
        <f t="shared" si="10"/>
        <v/>
      </c>
      <c r="AO47" s="194"/>
      <c r="AP47" s="195"/>
      <c r="AQ47" s="120"/>
    </row>
    <row r="48" spans="1:43">
      <c r="A48" s="35" t="str">
        <f>IF(E48="","",IF(ISNA(VLOOKUP($E48,'A-1 On-Site Habitat Baseline'!$D$1:$O$258,2,FALSE)),"",(VLOOKUP($E48,'A-1 On-Site Habitat Baseline'!$D$1:$O$258,2,FALSE))))</f>
        <v/>
      </c>
      <c r="B48" s="35" t="str">
        <f>IF(E48="","",IF(ISNA(VLOOKUP($E48,'A-1 On-Site Habitat Baseline'!$D$1:$O$258,3,FALSE)),"",(VLOOKUP($E48,'A-1 On-Site Habitat Baseline'!$D$1:$O$258,3,FALSE))))</f>
        <v/>
      </c>
      <c r="C48" s="35" t="str">
        <f>IFERROR(INDEX('G-8 Condition Look up'!$I$4:$I$135,MATCH(S48,'G-8 Condition Look up'!$A$4:$A$135,0)),"")</f>
        <v/>
      </c>
      <c r="E48" s="392" t="str">
        <f>'A-1 On-Site Habitat Baseline'!AL47</f>
        <v/>
      </c>
      <c r="F48" s="382" t="str">
        <f>IF(E48="","",IF(ISNA(VLOOKUP($E48,'A-1 On-Site Habitat Baseline'!$D$1:$O$258,4,FALSE)),"",(VLOOKUP($E48,'A-1 On-Site Habitat Baseline'!$D$1:$O$258,4,FALSE))))</f>
        <v/>
      </c>
      <c r="G48" s="382" t="str">
        <f>IF(E48="","",IF(ISNA(VLOOKUP($E48,'A-1 On-Site Habitat Baseline'!$D$1:$O$258,5,FALSE)),"",(VLOOKUP($E48,'A-1 On-Site Habitat Baseline'!$D$1:$O$258,5,FALSE))))</f>
        <v/>
      </c>
      <c r="H48" s="382" t="str">
        <f>IF(E48="","",IF(ISNA(VLOOKUP($E48,'A-1 On-Site Habitat Baseline'!$D$1:$O$258,6,FALSE)),"",(VLOOKUP($E48,'A-1 On-Site Habitat Baseline'!$D$1:$O$258,6,FALSE))))</f>
        <v/>
      </c>
      <c r="I48" s="382" t="str">
        <f>IF(E48="","",IF(ISNA(VLOOKUP($E48,'A-1 On-Site Habitat Baseline'!$D$1:$O$258,7,FALSE)),"",(VLOOKUP($E48,'A-1 On-Site Habitat Baseline'!$D$1:$O$258,7,FALSE))))</f>
        <v/>
      </c>
      <c r="J48" s="382" t="str">
        <f>IF(E48="","",IF(ISNA(VLOOKUP($E48,'A-1 On-Site Habitat Baseline'!$D$1:$O$258,8,FALSE)),"",(VLOOKUP($E48,'A-1 On-Site Habitat Baseline'!$D$1:$O$258,8,FALSE))))</f>
        <v/>
      </c>
      <c r="K48" s="382" t="str">
        <f>IF(E48="","",IF(ISNA(VLOOKUP($E48,'A-1 On-Site Habitat Baseline'!$D$1:$O$258,9,FALSE)),"",(VLOOKUP($E48,'A-1 On-Site Habitat Baseline'!$D$1:$O$258,9,FALSE))))</f>
        <v/>
      </c>
      <c r="L48" s="382" t="str">
        <f>IF(E48="","",IF(ISNA(VLOOKUP($E48,'A-1 On-Site Habitat Baseline'!$D$1:$O$258,11,FALSE)),"",(VLOOKUP($E48,'A-1 On-Site Habitat Baseline'!$D$1:$O$258,11,FALSE))))</f>
        <v/>
      </c>
      <c r="M48" s="382" t="str">
        <f>IF(E48="","",IF(ISNA(VLOOKUP($E48,'A-1 On-Site Habitat Baseline'!$D$1:$O$258,12,FALSE)),"",(VLOOKUP($E48,'A-1 On-Site Habitat Baseline'!$D$1:$O$258,12,FALSE))))</f>
        <v/>
      </c>
      <c r="N48" s="393" t="str">
        <f>IF(E48="","",IF(ISNA(VLOOKUP($E48,'A-1 On-Site Habitat Baseline'!$D$1:$X$258,14,FALSE)),"",(VLOOKUP($E48,'A-1 On-Site Habitat Baseline'!$D$1:$X$258,14,FALSE))))</f>
        <v/>
      </c>
      <c r="O48" s="386" t="str">
        <f>IF(E48="","",IF(ISNA(VLOOKUP($E48,'A-1 On-Site Habitat Baseline'!$D$1:$X$258,16,FALSE)),"",(VLOOKUP($E48,'A-1 On-Site Habitat Baseline'!$D$1:$X$258,13,FALSE))))</f>
        <v/>
      </c>
      <c r="P48" s="192" t="str">
        <f>IFERROR(INDEX('G-1 All Habitats'!$AG$3:$AG$17,MATCH(Q48,'G-1 All Habitats'!$AF$3:$AF$17,0)),"")</f>
        <v/>
      </c>
      <c r="Q48" s="193" t="str">
        <f t="shared" si="0"/>
        <v/>
      </c>
      <c r="R48" s="193" t="str">
        <f t="shared" si="1"/>
        <v/>
      </c>
      <c r="S48" s="306" t="str">
        <f>IFERROR(INDEX('G-1 All Habitats'!$B$3:$B$134,MATCH(R48,'G-1 All Habitats'!$A$3:$A$134,0)),"")</f>
        <v/>
      </c>
      <c r="T48" s="362" t="str">
        <f t="shared" si="3"/>
        <v/>
      </c>
      <c r="U48" s="363" t="str">
        <f t="shared" si="4"/>
        <v/>
      </c>
      <c r="V48" s="398" t="str">
        <f t="shared" si="5"/>
        <v/>
      </c>
      <c r="W48" s="382" t="str">
        <f>IF(S48="","",VLOOKUP(S48,'G-1 All Habitats'!$B$2:$M$134,10,FALSE))</f>
        <v/>
      </c>
      <c r="X48" s="382" t="str">
        <f>IFERROR(VLOOKUP(W48,'G-1 All Habitats'!$V$3:$W$7,2,FALSE),"")</f>
        <v/>
      </c>
      <c r="Y48" s="61"/>
      <c r="Z48" s="386" t="str">
        <f>IFERROR(INDEX('G-8 Condition Look up'!$A$3:$H$135,MATCH(S48,'G-8 Condition Look up'!$A$3:$A$135,0),MATCH(Y48,'G-8 Condition Look up'!$A$3:$H$3,0)),"")</f>
        <v/>
      </c>
      <c r="AA48" s="54"/>
      <c r="AB48" s="382" t="str">
        <f>IF(AA48="","",IF(VLOOKUP(AA48,'G-3 Multipliers'!$L$3:$N$6,2,FALSE)=0,"Spatial Data Missing ⚠",VLOOKUP(AA48,'G-3 Multipliers'!$L$3:$N$6,2,FALSE)))</f>
        <v/>
      </c>
      <c r="AC48" s="386" t="str">
        <f>IF(AA48="","",IF(VLOOKUP(AA48,'G-3 Multipliers'!$L$3:$N$6,3,FALSE)=0,"Spatial Data Missing ⚠",VLOOKUP(AA48,'G-3 Multipliers'!$L$3:$N$6,3,FALSE)))</f>
        <v/>
      </c>
      <c r="AD48" s="400" t="str">
        <f t="shared" si="2"/>
        <v/>
      </c>
      <c r="AE48" s="63"/>
      <c r="AF48" s="63"/>
      <c r="AG48" s="370" t="str">
        <f t="shared" si="6"/>
        <v/>
      </c>
      <c r="AH48" s="383" t="str">
        <f t="shared" si="7"/>
        <v/>
      </c>
      <c r="AI48" s="384" t="str">
        <f>IF(AH48="Check Data","Check Data",IFERROR(VLOOKUP(AH48,'G-4 Temporal multipliers'!$A$4:$C$36,3,FALSE),""))</f>
        <v/>
      </c>
      <c r="AJ48" s="362" t="str">
        <f>IF(S48="","",VLOOKUP(S48,'G-3 Multipliers'!$A$2:$E$134,4,FALSE))</f>
        <v/>
      </c>
      <c r="AK48" s="370" t="str">
        <f t="shared" si="8"/>
        <v/>
      </c>
      <c r="AL48" s="370" t="str">
        <f t="shared" si="9"/>
        <v/>
      </c>
      <c r="AM48" s="401" t="str">
        <f>IFERROR(IF(F48="","",IF(AH48="Check Data ⚠","Check Data ⚠",VLOOKUP(AL48, 'G-3 Multipliers'!$P$2:$Q$6,2,FALSE))),"")</f>
        <v/>
      </c>
      <c r="AN48" s="376" t="str">
        <f t="shared" si="10"/>
        <v/>
      </c>
      <c r="AO48" s="194"/>
      <c r="AP48" s="195"/>
      <c r="AQ48" s="120"/>
    </row>
    <row r="49" spans="1:43">
      <c r="A49" s="35" t="str">
        <f>IF(E49="","",IF(ISNA(VLOOKUP($E49,'A-1 On-Site Habitat Baseline'!$D$1:$O$258,2,FALSE)),"",(VLOOKUP($E49,'A-1 On-Site Habitat Baseline'!$D$1:$O$258,2,FALSE))))</f>
        <v/>
      </c>
      <c r="B49" s="35" t="str">
        <f>IF(E49="","",IF(ISNA(VLOOKUP($E49,'A-1 On-Site Habitat Baseline'!$D$1:$O$258,3,FALSE)),"",(VLOOKUP($E49,'A-1 On-Site Habitat Baseline'!$D$1:$O$258,3,FALSE))))</f>
        <v/>
      </c>
      <c r="C49" s="35" t="str">
        <f>IFERROR(INDEX('G-8 Condition Look up'!$I$4:$I$135,MATCH(S49,'G-8 Condition Look up'!$A$4:$A$135,0)),"")</f>
        <v/>
      </c>
      <c r="E49" s="392" t="str">
        <f>'A-1 On-Site Habitat Baseline'!AL48</f>
        <v/>
      </c>
      <c r="F49" s="382" t="str">
        <f>IF(E49="","",IF(ISNA(VLOOKUP($E49,'A-1 On-Site Habitat Baseline'!$D$1:$O$258,4,FALSE)),"",(VLOOKUP($E49,'A-1 On-Site Habitat Baseline'!$D$1:$O$258,4,FALSE))))</f>
        <v/>
      </c>
      <c r="G49" s="382" t="str">
        <f>IF(E49="","",IF(ISNA(VLOOKUP($E49,'A-1 On-Site Habitat Baseline'!$D$1:$O$258,5,FALSE)),"",(VLOOKUP($E49,'A-1 On-Site Habitat Baseline'!$D$1:$O$258,5,FALSE))))</f>
        <v/>
      </c>
      <c r="H49" s="382" t="str">
        <f>IF(E49="","",IF(ISNA(VLOOKUP($E49,'A-1 On-Site Habitat Baseline'!$D$1:$O$258,6,FALSE)),"",(VLOOKUP($E49,'A-1 On-Site Habitat Baseline'!$D$1:$O$258,6,FALSE))))</f>
        <v/>
      </c>
      <c r="I49" s="382" t="str">
        <f>IF(E49="","",IF(ISNA(VLOOKUP($E49,'A-1 On-Site Habitat Baseline'!$D$1:$O$258,7,FALSE)),"",(VLOOKUP($E49,'A-1 On-Site Habitat Baseline'!$D$1:$O$258,7,FALSE))))</f>
        <v/>
      </c>
      <c r="J49" s="382" t="str">
        <f>IF(E49="","",IF(ISNA(VLOOKUP($E49,'A-1 On-Site Habitat Baseline'!$D$1:$O$258,8,FALSE)),"",(VLOOKUP($E49,'A-1 On-Site Habitat Baseline'!$D$1:$O$258,8,FALSE))))</f>
        <v/>
      </c>
      <c r="K49" s="382" t="str">
        <f>IF(E49="","",IF(ISNA(VLOOKUP($E49,'A-1 On-Site Habitat Baseline'!$D$1:$O$258,9,FALSE)),"",(VLOOKUP($E49,'A-1 On-Site Habitat Baseline'!$D$1:$O$258,9,FALSE))))</f>
        <v/>
      </c>
      <c r="L49" s="382" t="str">
        <f>IF(E49="","",IF(ISNA(VLOOKUP($E49,'A-1 On-Site Habitat Baseline'!$D$1:$O$258,11,FALSE)),"",(VLOOKUP($E49,'A-1 On-Site Habitat Baseline'!$D$1:$O$258,11,FALSE))))</f>
        <v/>
      </c>
      <c r="M49" s="382" t="str">
        <f>IF(E49="","",IF(ISNA(VLOOKUP($E49,'A-1 On-Site Habitat Baseline'!$D$1:$O$258,12,FALSE)),"",(VLOOKUP($E49,'A-1 On-Site Habitat Baseline'!$D$1:$O$258,12,FALSE))))</f>
        <v/>
      </c>
      <c r="N49" s="393" t="str">
        <f>IF(E49="","",IF(ISNA(VLOOKUP($E49,'A-1 On-Site Habitat Baseline'!$D$1:$X$258,14,FALSE)),"",(VLOOKUP($E49,'A-1 On-Site Habitat Baseline'!$D$1:$X$258,14,FALSE))))</f>
        <v/>
      </c>
      <c r="O49" s="386" t="str">
        <f>IF(E49="","",IF(ISNA(VLOOKUP($E49,'A-1 On-Site Habitat Baseline'!$D$1:$X$258,16,FALSE)),"",(VLOOKUP($E49,'A-1 On-Site Habitat Baseline'!$D$1:$X$258,13,FALSE))))</f>
        <v/>
      </c>
      <c r="P49" s="192" t="str">
        <f>IFERROR(INDEX('G-1 All Habitats'!$AG$3:$AG$17,MATCH(Q49,'G-1 All Habitats'!$AF$3:$AF$17,0)),"")</f>
        <v/>
      </c>
      <c r="Q49" s="193" t="str">
        <f t="shared" si="0"/>
        <v/>
      </c>
      <c r="R49" s="193" t="str">
        <f t="shared" si="1"/>
        <v/>
      </c>
      <c r="S49" s="306" t="str">
        <f>IFERROR(INDEX('G-1 All Habitats'!$B$3:$B$134,MATCH(R49,'G-1 All Habitats'!$A$3:$A$134,0)),"")</f>
        <v/>
      </c>
      <c r="T49" s="362" t="str">
        <f t="shared" si="3"/>
        <v/>
      </c>
      <c r="U49" s="363" t="str">
        <f t="shared" si="4"/>
        <v/>
      </c>
      <c r="V49" s="398" t="str">
        <f t="shared" si="5"/>
        <v/>
      </c>
      <c r="W49" s="382" t="str">
        <f>IF(S49="","",VLOOKUP(S49,'G-1 All Habitats'!$B$2:$M$134,10,FALSE))</f>
        <v/>
      </c>
      <c r="X49" s="382" t="str">
        <f>IFERROR(VLOOKUP(W49,'G-1 All Habitats'!$V$3:$W$7,2,FALSE),"")</f>
        <v/>
      </c>
      <c r="Y49" s="61"/>
      <c r="Z49" s="386" t="str">
        <f>IFERROR(INDEX('G-8 Condition Look up'!$A$3:$H$135,MATCH(S49,'G-8 Condition Look up'!$A$3:$A$135,0),MATCH(Y49,'G-8 Condition Look up'!$A$3:$H$3,0)),"")</f>
        <v/>
      </c>
      <c r="AA49" s="54"/>
      <c r="AB49" s="382" t="str">
        <f>IF(AA49="","",IF(VLOOKUP(AA49,'G-3 Multipliers'!$L$3:$N$6,2,FALSE)=0,"Spatial Data Missing ⚠",VLOOKUP(AA49,'G-3 Multipliers'!$L$3:$N$6,2,FALSE)))</f>
        <v/>
      </c>
      <c r="AC49" s="386" t="str">
        <f>IF(AA49="","",IF(VLOOKUP(AA49,'G-3 Multipliers'!$L$3:$N$6,3,FALSE)=0,"Spatial Data Missing ⚠",VLOOKUP(AA49,'G-3 Multipliers'!$L$3:$N$6,3,FALSE)))</f>
        <v/>
      </c>
      <c r="AD49" s="400" t="str">
        <f t="shared" si="2"/>
        <v/>
      </c>
      <c r="AE49" s="63"/>
      <c r="AF49" s="63"/>
      <c r="AG49" s="370" t="str">
        <f t="shared" si="6"/>
        <v/>
      </c>
      <c r="AH49" s="383" t="str">
        <f t="shared" si="7"/>
        <v/>
      </c>
      <c r="AI49" s="384" t="str">
        <f>IF(AH49="Check Data","Check Data",IFERROR(VLOOKUP(AH49,'G-4 Temporal multipliers'!$A$4:$C$36,3,FALSE),""))</f>
        <v/>
      </c>
      <c r="AJ49" s="362" t="str">
        <f>IF(S49="","",VLOOKUP(S49,'G-3 Multipliers'!$A$2:$E$134,4,FALSE))</f>
        <v/>
      </c>
      <c r="AK49" s="370" t="str">
        <f t="shared" si="8"/>
        <v/>
      </c>
      <c r="AL49" s="370" t="str">
        <f t="shared" si="9"/>
        <v/>
      </c>
      <c r="AM49" s="401" t="str">
        <f>IFERROR(IF(F49="","",IF(AH49="Check Data ⚠","Check Data ⚠",VLOOKUP(AL49, 'G-3 Multipliers'!$P$2:$Q$6,2,FALSE))),"")</f>
        <v/>
      </c>
      <c r="AN49" s="376" t="str">
        <f t="shared" si="10"/>
        <v/>
      </c>
      <c r="AO49" s="194"/>
      <c r="AP49" s="195"/>
      <c r="AQ49" s="120"/>
    </row>
    <row r="50" spans="1:43">
      <c r="A50" s="35" t="str">
        <f>IF(E50="","",IF(ISNA(VLOOKUP($E50,'A-1 On-Site Habitat Baseline'!$D$1:$O$258,2,FALSE)),"",(VLOOKUP($E50,'A-1 On-Site Habitat Baseline'!$D$1:$O$258,2,FALSE))))</f>
        <v/>
      </c>
      <c r="B50" s="35" t="str">
        <f>IF(E50="","",IF(ISNA(VLOOKUP($E50,'A-1 On-Site Habitat Baseline'!$D$1:$O$258,3,FALSE)),"",(VLOOKUP($E50,'A-1 On-Site Habitat Baseline'!$D$1:$O$258,3,FALSE))))</f>
        <v/>
      </c>
      <c r="C50" s="35" t="str">
        <f>IFERROR(INDEX('G-8 Condition Look up'!$I$4:$I$135,MATCH(S50,'G-8 Condition Look up'!$A$4:$A$135,0)),"")</f>
        <v/>
      </c>
      <c r="E50" s="392" t="str">
        <f>'A-1 On-Site Habitat Baseline'!AL49</f>
        <v/>
      </c>
      <c r="F50" s="382" t="str">
        <f>IF(E50="","",IF(ISNA(VLOOKUP($E50,'A-1 On-Site Habitat Baseline'!$D$1:$O$258,4,FALSE)),"",(VLOOKUP($E50,'A-1 On-Site Habitat Baseline'!$D$1:$O$258,4,FALSE))))</f>
        <v/>
      </c>
      <c r="G50" s="382" t="str">
        <f>IF(E50="","",IF(ISNA(VLOOKUP($E50,'A-1 On-Site Habitat Baseline'!$D$1:$O$258,5,FALSE)),"",(VLOOKUP($E50,'A-1 On-Site Habitat Baseline'!$D$1:$O$258,5,FALSE))))</f>
        <v/>
      </c>
      <c r="H50" s="382" t="str">
        <f>IF(E50="","",IF(ISNA(VLOOKUP($E50,'A-1 On-Site Habitat Baseline'!$D$1:$O$258,6,FALSE)),"",(VLOOKUP($E50,'A-1 On-Site Habitat Baseline'!$D$1:$O$258,6,FALSE))))</f>
        <v/>
      </c>
      <c r="I50" s="382" t="str">
        <f>IF(E50="","",IF(ISNA(VLOOKUP($E50,'A-1 On-Site Habitat Baseline'!$D$1:$O$258,7,FALSE)),"",(VLOOKUP($E50,'A-1 On-Site Habitat Baseline'!$D$1:$O$258,7,FALSE))))</f>
        <v/>
      </c>
      <c r="J50" s="382" t="str">
        <f>IF(E50="","",IF(ISNA(VLOOKUP($E50,'A-1 On-Site Habitat Baseline'!$D$1:$O$258,8,FALSE)),"",(VLOOKUP($E50,'A-1 On-Site Habitat Baseline'!$D$1:$O$258,8,FALSE))))</f>
        <v/>
      </c>
      <c r="K50" s="382" t="str">
        <f>IF(E50="","",IF(ISNA(VLOOKUP($E50,'A-1 On-Site Habitat Baseline'!$D$1:$O$258,9,FALSE)),"",(VLOOKUP($E50,'A-1 On-Site Habitat Baseline'!$D$1:$O$258,9,FALSE))))</f>
        <v/>
      </c>
      <c r="L50" s="382" t="str">
        <f>IF(E50="","",IF(ISNA(VLOOKUP($E50,'A-1 On-Site Habitat Baseline'!$D$1:$O$258,11,FALSE)),"",(VLOOKUP($E50,'A-1 On-Site Habitat Baseline'!$D$1:$O$258,11,FALSE))))</f>
        <v/>
      </c>
      <c r="M50" s="382" t="str">
        <f>IF(E50="","",IF(ISNA(VLOOKUP($E50,'A-1 On-Site Habitat Baseline'!$D$1:$O$258,12,FALSE)),"",(VLOOKUP($E50,'A-1 On-Site Habitat Baseline'!$D$1:$O$258,12,FALSE))))</f>
        <v/>
      </c>
      <c r="N50" s="393" t="str">
        <f>IF(E50="","",IF(ISNA(VLOOKUP($E50,'A-1 On-Site Habitat Baseline'!$D$1:$X$258,14,FALSE)),"",(VLOOKUP($E50,'A-1 On-Site Habitat Baseline'!$D$1:$X$258,14,FALSE))))</f>
        <v/>
      </c>
      <c r="O50" s="386" t="str">
        <f>IF(E50="","",IF(ISNA(VLOOKUP($E50,'A-1 On-Site Habitat Baseline'!$D$1:$X$258,16,FALSE)),"",(VLOOKUP($E50,'A-1 On-Site Habitat Baseline'!$D$1:$X$258,13,FALSE))))</f>
        <v/>
      </c>
      <c r="P50" s="192" t="str">
        <f>IFERROR(INDEX('G-1 All Habitats'!$AG$3:$AG$17,MATCH(Q50,'G-1 All Habitats'!$AF$3:$AF$17,0)),"")</f>
        <v/>
      </c>
      <c r="Q50" s="193" t="str">
        <f t="shared" si="0"/>
        <v/>
      </c>
      <c r="R50" s="193" t="str">
        <f t="shared" si="1"/>
        <v/>
      </c>
      <c r="S50" s="306" t="str">
        <f>IFERROR(INDEX('G-1 All Habitats'!$B$3:$B$134,MATCH(R50,'G-1 All Habitats'!$A$3:$A$134,0)),"")</f>
        <v/>
      </c>
      <c r="T50" s="362" t="str">
        <f t="shared" si="3"/>
        <v/>
      </c>
      <c r="U50" s="363" t="str">
        <f t="shared" si="4"/>
        <v/>
      </c>
      <c r="V50" s="398" t="str">
        <f t="shared" si="5"/>
        <v/>
      </c>
      <c r="W50" s="382" t="str">
        <f>IF(S50="","",VLOOKUP(S50,'G-1 All Habitats'!$B$2:$M$134,10,FALSE))</f>
        <v/>
      </c>
      <c r="X50" s="382" t="str">
        <f>IFERROR(VLOOKUP(W50,'G-1 All Habitats'!$V$3:$W$7,2,FALSE),"")</f>
        <v/>
      </c>
      <c r="Y50" s="61"/>
      <c r="Z50" s="386" t="str">
        <f>IFERROR(INDEX('G-8 Condition Look up'!$A$3:$H$135,MATCH(S50,'G-8 Condition Look up'!$A$3:$A$135,0),MATCH(Y50,'G-8 Condition Look up'!$A$3:$H$3,0)),"")</f>
        <v/>
      </c>
      <c r="AA50" s="54"/>
      <c r="AB50" s="382" t="str">
        <f>IF(AA50="","",IF(VLOOKUP(AA50,'G-3 Multipliers'!$L$3:$N$6,2,FALSE)=0,"Spatial Data Missing ⚠",VLOOKUP(AA50,'G-3 Multipliers'!$L$3:$N$6,2,FALSE)))</f>
        <v/>
      </c>
      <c r="AC50" s="386" t="str">
        <f>IF(AA50="","",IF(VLOOKUP(AA50,'G-3 Multipliers'!$L$3:$N$6,3,FALSE)=0,"Spatial Data Missing ⚠",VLOOKUP(AA50,'G-3 Multipliers'!$L$3:$N$6,3,FALSE)))</f>
        <v/>
      </c>
      <c r="AD50" s="400" t="str">
        <f t="shared" si="2"/>
        <v/>
      </c>
      <c r="AE50" s="63"/>
      <c r="AF50" s="63"/>
      <c r="AG50" s="370" t="str">
        <f t="shared" si="6"/>
        <v/>
      </c>
      <c r="AH50" s="383" t="str">
        <f t="shared" si="7"/>
        <v/>
      </c>
      <c r="AI50" s="384" t="str">
        <f>IF(AH50="Check Data","Check Data",IFERROR(VLOOKUP(AH50,'G-4 Temporal multipliers'!$A$4:$C$36,3,FALSE),""))</f>
        <v/>
      </c>
      <c r="AJ50" s="362" t="str">
        <f>IF(S50="","",VLOOKUP(S50,'G-3 Multipliers'!$A$2:$E$134,4,FALSE))</f>
        <v/>
      </c>
      <c r="AK50" s="370" t="str">
        <f t="shared" si="8"/>
        <v/>
      </c>
      <c r="AL50" s="370" t="str">
        <f t="shared" si="9"/>
        <v/>
      </c>
      <c r="AM50" s="401" t="str">
        <f>IFERROR(IF(F50="","",IF(AH50="Check Data ⚠","Check Data ⚠",VLOOKUP(AL50, 'G-3 Multipliers'!$P$2:$Q$6,2,FALSE))),"")</f>
        <v/>
      </c>
      <c r="AN50" s="376" t="str">
        <f t="shared" si="10"/>
        <v/>
      </c>
      <c r="AO50" s="194"/>
      <c r="AP50" s="195"/>
      <c r="AQ50" s="120"/>
    </row>
    <row r="51" spans="1:43">
      <c r="A51" s="35" t="str">
        <f>IF(E51="","",IF(ISNA(VLOOKUP($E51,'A-1 On-Site Habitat Baseline'!$D$1:$O$258,2,FALSE)),"",(VLOOKUP($E51,'A-1 On-Site Habitat Baseline'!$D$1:$O$258,2,FALSE))))</f>
        <v/>
      </c>
      <c r="B51" s="35" t="str">
        <f>IF(E51="","",IF(ISNA(VLOOKUP($E51,'A-1 On-Site Habitat Baseline'!$D$1:$O$258,3,FALSE)),"",(VLOOKUP($E51,'A-1 On-Site Habitat Baseline'!$D$1:$O$258,3,FALSE))))</f>
        <v/>
      </c>
      <c r="C51" s="35" t="str">
        <f>IFERROR(INDEX('G-8 Condition Look up'!$I$4:$I$135,MATCH(S51,'G-8 Condition Look up'!$A$4:$A$135,0)),"")</f>
        <v/>
      </c>
      <c r="E51" s="392" t="str">
        <f>'A-1 On-Site Habitat Baseline'!AL50</f>
        <v/>
      </c>
      <c r="F51" s="382" t="str">
        <f>IF(E51="","",IF(ISNA(VLOOKUP($E51,'A-1 On-Site Habitat Baseline'!$D$1:$O$258,4,FALSE)),"",(VLOOKUP($E51,'A-1 On-Site Habitat Baseline'!$D$1:$O$258,4,FALSE))))</f>
        <v/>
      </c>
      <c r="G51" s="382" t="str">
        <f>IF(E51="","",IF(ISNA(VLOOKUP($E51,'A-1 On-Site Habitat Baseline'!$D$1:$O$258,5,FALSE)),"",(VLOOKUP($E51,'A-1 On-Site Habitat Baseline'!$D$1:$O$258,5,FALSE))))</f>
        <v/>
      </c>
      <c r="H51" s="382" t="str">
        <f>IF(E51="","",IF(ISNA(VLOOKUP($E51,'A-1 On-Site Habitat Baseline'!$D$1:$O$258,6,FALSE)),"",(VLOOKUP($E51,'A-1 On-Site Habitat Baseline'!$D$1:$O$258,6,FALSE))))</f>
        <v/>
      </c>
      <c r="I51" s="382" t="str">
        <f>IF(E51="","",IF(ISNA(VLOOKUP($E51,'A-1 On-Site Habitat Baseline'!$D$1:$O$258,7,FALSE)),"",(VLOOKUP($E51,'A-1 On-Site Habitat Baseline'!$D$1:$O$258,7,FALSE))))</f>
        <v/>
      </c>
      <c r="J51" s="382" t="str">
        <f>IF(E51="","",IF(ISNA(VLOOKUP($E51,'A-1 On-Site Habitat Baseline'!$D$1:$O$258,8,FALSE)),"",(VLOOKUP($E51,'A-1 On-Site Habitat Baseline'!$D$1:$O$258,8,FALSE))))</f>
        <v/>
      </c>
      <c r="K51" s="382" t="str">
        <f>IF(E51="","",IF(ISNA(VLOOKUP($E51,'A-1 On-Site Habitat Baseline'!$D$1:$O$258,9,FALSE)),"",(VLOOKUP($E51,'A-1 On-Site Habitat Baseline'!$D$1:$O$258,9,FALSE))))</f>
        <v/>
      </c>
      <c r="L51" s="382" t="str">
        <f>IF(E51="","",IF(ISNA(VLOOKUP($E51,'A-1 On-Site Habitat Baseline'!$D$1:$O$258,11,FALSE)),"",(VLOOKUP($E51,'A-1 On-Site Habitat Baseline'!$D$1:$O$258,11,FALSE))))</f>
        <v/>
      </c>
      <c r="M51" s="382" t="str">
        <f>IF(E51="","",IF(ISNA(VLOOKUP($E51,'A-1 On-Site Habitat Baseline'!$D$1:$O$258,12,FALSE)),"",(VLOOKUP($E51,'A-1 On-Site Habitat Baseline'!$D$1:$O$258,12,FALSE))))</f>
        <v/>
      </c>
      <c r="N51" s="393" t="str">
        <f>IF(E51="","",IF(ISNA(VLOOKUP($E51,'A-1 On-Site Habitat Baseline'!$D$1:$X$258,14,FALSE)),"",(VLOOKUP($E51,'A-1 On-Site Habitat Baseline'!$D$1:$X$258,14,FALSE))))</f>
        <v/>
      </c>
      <c r="O51" s="386" t="str">
        <f>IF(E51="","",IF(ISNA(VLOOKUP($E51,'A-1 On-Site Habitat Baseline'!$D$1:$X$258,16,FALSE)),"",(VLOOKUP($E51,'A-1 On-Site Habitat Baseline'!$D$1:$X$258,13,FALSE))))</f>
        <v/>
      </c>
      <c r="P51" s="192" t="str">
        <f>IFERROR(INDEX('G-1 All Habitats'!$AG$3:$AG$17,MATCH(Q51,'G-1 All Habitats'!$AF$3:$AF$17,0)),"")</f>
        <v/>
      </c>
      <c r="Q51" s="193" t="str">
        <f t="shared" si="0"/>
        <v/>
      </c>
      <c r="R51" s="193" t="str">
        <f t="shared" si="1"/>
        <v/>
      </c>
      <c r="S51" s="306" t="str">
        <f>IFERROR(INDEX('G-1 All Habitats'!$B$3:$B$134,MATCH(R51,'G-1 All Habitats'!$A$3:$A$134,0)),"")</f>
        <v/>
      </c>
      <c r="T51" s="362" t="str">
        <f t="shared" si="3"/>
        <v/>
      </c>
      <c r="U51" s="363" t="str">
        <f t="shared" si="4"/>
        <v/>
      </c>
      <c r="V51" s="398" t="str">
        <f t="shared" si="5"/>
        <v/>
      </c>
      <c r="W51" s="382" t="str">
        <f>IF(S51="","",VLOOKUP(S51,'G-1 All Habitats'!$B$2:$M$134,10,FALSE))</f>
        <v/>
      </c>
      <c r="X51" s="382" t="str">
        <f>IFERROR(VLOOKUP(W51,'G-1 All Habitats'!$V$3:$W$7,2,FALSE),"")</f>
        <v/>
      </c>
      <c r="Y51" s="61"/>
      <c r="Z51" s="386" t="str">
        <f>IFERROR(INDEX('G-8 Condition Look up'!$A$3:$H$135,MATCH(S51,'G-8 Condition Look up'!$A$3:$A$135,0),MATCH(Y51,'G-8 Condition Look up'!$A$3:$H$3,0)),"")</f>
        <v/>
      </c>
      <c r="AA51" s="54"/>
      <c r="AB51" s="382" t="str">
        <f>IF(AA51="","",IF(VLOOKUP(AA51,'G-3 Multipliers'!$L$3:$N$6,2,FALSE)=0,"Spatial Data Missing ⚠",VLOOKUP(AA51,'G-3 Multipliers'!$L$3:$N$6,2,FALSE)))</f>
        <v/>
      </c>
      <c r="AC51" s="386" t="str">
        <f>IF(AA51="","",IF(VLOOKUP(AA51,'G-3 Multipliers'!$L$3:$N$6,3,FALSE)=0,"Spatial Data Missing ⚠",VLOOKUP(AA51,'G-3 Multipliers'!$L$3:$N$6,3,FALSE)))</f>
        <v/>
      </c>
      <c r="AD51" s="400" t="str">
        <f t="shared" si="2"/>
        <v/>
      </c>
      <c r="AE51" s="63"/>
      <c r="AF51" s="63"/>
      <c r="AG51" s="370" t="str">
        <f t="shared" si="6"/>
        <v/>
      </c>
      <c r="AH51" s="383" t="str">
        <f t="shared" si="7"/>
        <v/>
      </c>
      <c r="AI51" s="384" t="str">
        <f>IF(AH51="Check Data","Check Data",IFERROR(VLOOKUP(AH51,'G-4 Temporal multipliers'!$A$4:$C$36,3,FALSE),""))</f>
        <v/>
      </c>
      <c r="AJ51" s="362" t="str">
        <f>IF(S51="","",VLOOKUP(S51,'G-3 Multipliers'!$A$2:$E$134,4,FALSE))</f>
        <v/>
      </c>
      <c r="AK51" s="370" t="str">
        <f t="shared" si="8"/>
        <v/>
      </c>
      <c r="AL51" s="370" t="str">
        <f t="shared" si="9"/>
        <v/>
      </c>
      <c r="AM51" s="401" t="str">
        <f>IFERROR(IF(F51="","",IF(AH51="Check Data ⚠","Check Data ⚠",VLOOKUP(AL51, 'G-3 Multipliers'!$P$2:$Q$6,2,FALSE))),"")</f>
        <v/>
      </c>
      <c r="AN51" s="376" t="str">
        <f t="shared" si="10"/>
        <v/>
      </c>
      <c r="AO51" s="194"/>
      <c r="AP51" s="195"/>
      <c r="AQ51" s="120"/>
    </row>
    <row r="52" spans="1:43">
      <c r="A52" s="35" t="str">
        <f>IF(E52="","",IF(ISNA(VLOOKUP($E52,'A-1 On-Site Habitat Baseline'!$D$1:$O$258,2,FALSE)),"",(VLOOKUP($E52,'A-1 On-Site Habitat Baseline'!$D$1:$O$258,2,FALSE))))</f>
        <v/>
      </c>
      <c r="B52" s="35" t="str">
        <f>IF(E52="","",IF(ISNA(VLOOKUP($E52,'A-1 On-Site Habitat Baseline'!$D$1:$O$258,3,FALSE)),"",(VLOOKUP($E52,'A-1 On-Site Habitat Baseline'!$D$1:$O$258,3,FALSE))))</f>
        <v/>
      </c>
      <c r="C52" s="35" t="str">
        <f>IFERROR(INDEX('G-8 Condition Look up'!$I$4:$I$135,MATCH(S52,'G-8 Condition Look up'!$A$4:$A$135,0)),"")</f>
        <v/>
      </c>
      <c r="E52" s="392" t="str">
        <f>'A-1 On-Site Habitat Baseline'!AL51</f>
        <v/>
      </c>
      <c r="F52" s="382" t="str">
        <f>IF(E52="","",IF(ISNA(VLOOKUP($E52,'A-1 On-Site Habitat Baseline'!$D$1:$O$258,4,FALSE)),"",(VLOOKUP($E52,'A-1 On-Site Habitat Baseline'!$D$1:$O$258,4,FALSE))))</f>
        <v/>
      </c>
      <c r="G52" s="382" t="str">
        <f>IF(E52="","",IF(ISNA(VLOOKUP($E52,'A-1 On-Site Habitat Baseline'!$D$1:$O$258,5,FALSE)),"",(VLOOKUP($E52,'A-1 On-Site Habitat Baseline'!$D$1:$O$258,5,FALSE))))</f>
        <v/>
      </c>
      <c r="H52" s="382" t="str">
        <f>IF(E52="","",IF(ISNA(VLOOKUP($E52,'A-1 On-Site Habitat Baseline'!$D$1:$O$258,6,FALSE)),"",(VLOOKUP($E52,'A-1 On-Site Habitat Baseline'!$D$1:$O$258,6,FALSE))))</f>
        <v/>
      </c>
      <c r="I52" s="382" t="str">
        <f>IF(E52="","",IF(ISNA(VLOOKUP($E52,'A-1 On-Site Habitat Baseline'!$D$1:$O$258,7,FALSE)),"",(VLOOKUP($E52,'A-1 On-Site Habitat Baseline'!$D$1:$O$258,7,FALSE))))</f>
        <v/>
      </c>
      <c r="J52" s="382" t="str">
        <f>IF(E52="","",IF(ISNA(VLOOKUP($E52,'A-1 On-Site Habitat Baseline'!$D$1:$O$258,8,FALSE)),"",(VLOOKUP($E52,'A-1 On-Site Habitat Baseline'!$D$1:$O$258,8,FALSE))))</f>
        <v/>
      </c>
      <c r="K52" s="382" t="str">
        <f>IF(E52="","",IF(ISNA(VLOOKUP($E52,'A-1 On-Site Habitat Baseline'!$D$1:$O$258,9,FALSE)),"",(VLOOKUP($E52,'A-1 On-Site Habitat Baseline'!$D$1:$O$258,9,FALSE))))</f>
        <v/>
      </c>
      <c r="L52" s="382" t="str">
        <f>IF(E52="","",IF(ISNA(VLOOKUP($E52,'A-1 On-Site Habitat Baseline'!$D$1:$O$258,11,FALSE)),"",(VLOOKUP($E52,'A-1 On-Site Habitat Baseline'!$D$1:$O$258,11,FALSE))))</f>
        <v/>
      </c>
      <c r="M52" s="382" t="str">
        <f>IF(E52="","",IF(ISNA(VLOOKUP($E52,'A-1 On-Site Habitat Baseline'!$D$1:$O$258,12,FALSE)),"",(VLOOKUP($E52,'A-1 On-Site Habitat Baseline'!$D$1:$O$258,12,FALSE))))</f>
        <v/>
      </c>
      <c r="N52" s="393" t="str">
        <f>IF(E52="","",IF(ISNA(VLOOKUP($E52,'A-1 On-Site Habitat Baseline'!$D$1:$X$258,14,FALSE)),"",(VLOOKUP($E52,'A-1 On-Site Habitat Baseline'!$D$1:$X$258,14,FALSE))))</f>
        <v/>
      </c>
      <c r="O52" s="386" t="str">
        <f>IF(E52="","",IF(ISNA(VLOOKUP($E52,'A-1 On-Site Habitat Baseline'!$D$1:$X$258,16,FALSE)),"",(VLOOKUP($E52,'A-1 On-Site Habitat Baseline'!$D$1:$X$258,13,FALSE))))</f>
        <v/>
      </c>
      <c r="P52" s="192" t="str">
        <f>IFERROR(INDEX('G-1 All Habitats'!$AG$3:$AG$17,MATCH(Q52,'G-1 All Habitats'!$AF$3:$AF$17,0)),"")</f>
        <v/>
      </c>
      <c r="Q52" s="193" t="str">
        <f t="shared" si="0"/>
        <v/>
      </c>
      <c r="R52" s="193" t="str">
        <f t="shared" si="1"/>
        <v/>
      </c>
      <c r="S52" s="306" t="str">
        <f>IFERROR(INDEX('G-1 All Habitats'!$B$3:$B$134,MATCH(R52,'G-1 All Habitats'!$A$3:$A$134,0)),"")</f>
        <v/>
      </c>
      <c r="T52" s="362" t="str">
        <f t="shared" si="3"/>
        <v/>
      </c>
      <c r="U52" s="363" t="str">
        <f t="shared" si="4"/>
        <v/>
      </c>
      <c r="V52" s="398" t="str">
        <f t="shared" si="5"/>
        <v/>
      </c>
      <c r="W52" s="382" t="str">
        <f>IF(S52="","",VLOOKUP(S52,'G-1 All Habitats'!$B$2:$M$134,10,FALSE))</f>
        <v/>
      </c>
      <c r="X52" s="382" t="str">
        <f>IFERROR(VLOOKUP(W52,'G-1 All Habitats'!$V$3:$W$7,2,FALSE),"")</f>
        <v/>
      </c>
      <c r="Y52" s="61"/>
      <c r="Z52" s="386" t="str">
        <f>IFERROR(INDEX('G-8 Condition Look up'!$A$3:$H$135,MATCH(S52,'G-8 Condition Look up'!$A$3:$A$135,0),MATCH(Y52,'G-8 Condition Look up'!$A$3:$H$3,0)),"")</f>
        <v/>
      </c>
      <c r="AA52" s="54"/>
      <c r="AB52" s="382" t="str">
        <f>IF(AA52="","",IF(VLOOKUP(AA52,'G-3 Multipliers'!$L$3:$N$6,2,FALSE)=0,"Spatial Data Missing ⚠",VLOOKUP(AA52,'G-3 Multipliers'!$L$3:$N$6,2,FALSE)))</f>
        <v/>
      </c>
      <c r="AC52" s="386" t="str">
        <f>IF(AA52="","",IF(VLOOKUP(AA52,'G-3 Multipliers'!$L$3:$N$6,3,FALSE)=0,"Spatial Data Missing ⚠",VLOOKUP(AA52,'G-3 Multipliers'!$L$3:$N$6,3,FALSE)))</f>
        <v/>
      </c>
      <c r="AD52" s="400" t="str">
        <f t="shared" si="2"/>
        <v/>
      </c>
      <c r="AE52" s="63"/>
      <c r="AF52" s="63"/>
      <c r="AG52" s="370" t="str">
        <f t="shared" si="6"/>
        <v/>
      </c>
      <c r="AH52" s="383" t="str">
        <f t="shared" si="7"/>
        <v/>
      </c>
      <c r="AI52" s="384" t="str">
        <f>IF(AH52="Check Data","Check Data",IFERROR(VLOOKUP(AH52,'G-4 Temporal multipliers'!$A$4:$C$36,3,FALSE),""))</f>
        <v/>
      </c>
      <c r="AJ52" s="362" t="str">
        <f>IF(S52="","",VLOOKUP(S52,'G-3 Multipliers'!$A$2:$E$134,4,FALSE))</f>
        <v/>
      </c>
      <c r="AK52" s="370" t="str">
        <f t="shared" si="8"/>
        <v/>
      </c>
      <c r="AL52" s="370" t="str">
        <f t="shared" si="9"/>
        <v/>
      </c>
      <c r="AM52" s="401" t="str">
        <f>IFERROR(IF(F52="","",IF(AH52="Check Data ⚠","Check Data ⚠",VLOOKUP(AL52, 'G-3 Multipliers'!$P$2:$Q$6,2,FALSE))),"")</f>
        <v/>
      </c>
      <c r="AN52" s="376" t="str">
        <f t="shared" si="10"/>
        <v/>
      </c>
      <c r="AO52" s="194"/>
      <c r="AP52" s="195"/>
      <c r="AQ52" s="120"/>
    </row>
    <row r="53" spans="1:43">
      <c r="A53" s="35" t="str">
        <f>IF(E53="","",IF(ISNA(VLOOKUP($E53,'A-1 On-Site Habitat Baseline'!$D$1:$O$258,2,FALSE)),"",(VLOOKUP($E53,'A-1 On-Site Habitat Baseline'!$D$1:$O$258,2,FALSE))))</f>
        <v/>
      </c>
      <c r="B53" s="35" t="str">
        <f>IF(E53="","",IF(ISNA(VLOOKUP($E53,'A-1 On-Site Habitat Baseline'!$D$1:$O$258,3,FALSE)),"",(VLOOKUP($E53,'A-1 On-Site Habitat Baseline'!$D$1:$O$258,3,FALSE))))</f>
        <v/>
      </c>
      <c r="C53" s="35" t="str">
        <f>IFERROR(INDEX('G-8 Condition Look up'!$I$4:$I$135,MATCH(S53,'G-8 Condition Look up'!$A$4:$A$135,0)),"")</f>
        <v/>
      </c>
      <c r="E53" s="392" t="str">
        <f>'A-1 On-Site Habitat Baseline'!AL52</f>
        <v/>
      </c>
      <c r="F53" s="382" t="str">
        <f>IF(E53="","",IF(ISNA(VLOOKUP($E53,'A-1 On-Site Habitat Baseline'!$D$1:$O$258,4,FALSE)),"",(VLOOKUP($E53,'A-1 On-Site Habitat Baseline'!$D$1:$O$258,4,FALSE))))</f>
        <v/>
      </c>
      <c r="G53" s="382" t="str">
        <f>IF(E53="","",IF(ISNA(VLOOKUP($E53,'A-1 On-Site Habitat Baseline'!$D$1:$O$258,5,FALSE)),"",(VLOOKUP($E53,'A-1 On-Site Habitat Baseline'!$D$1:$O$258,5,FALSE))))</f>
        <v/>
      </c>
      <c r="H53" s="382" t="str">
        <f>IF(E53="","",IF(ISNA(VLOOKUP($E53,'A-1 On-Site Habitat Baseline'!$D$1:$O$258,6,FALSE)),"",(VLOOKUP($E53,'A-1 On-Site Habitat Baseline'!$D$1:$O$258,6,FALSE))))</f>
        <v/>
      </c>
      <c r="I53" s="382" t="str">
        <f>IF(E53="","",IF(ISNA(VLOOKUP($E53,'A-1 On-Site Habitat Baseline'!$D$1:$O$258,7,FALSE)),"",(VLOOKUP($E53,'A-1 On-Site Habitat Baseline'!$D$1:$O$258,7,FALSE))))</f>
        <v/>
      </c>
      <c r="J53" s="382" t="str">
        <f>IF(E53="","",IF(ISNA(VLOOKUP($E53,'A-1 On-Site Habitat Baseline'!$D$1:$O$258,8,FALSE)),"",(VLOOKUP($E53,'A-1 On-Site Habitat Baseline'!$D$1:$O$258,8,FALSE))))</f>
        <v/>
      </c>
      <c r="K53" s="382" t="str">
        <f>IF(E53="","",IF(ISNA(VLOOKUP($E53,'A-1 On-Site Habitat Baseline'!$D$1:$O$258,9,FALSE)),"",(VLOOKUP($E53,'A-1 On-Site Habitat Baseline'!$D$1:$O$258,9,FALSE))))</f>
        <v/>
      </c>
      <c r="L53" s="382" t="str">
        <f>IF(E53="","",IF(ISNA(VLOOKUP($E53,'A-1 On-Site Habitat Baseline'!$D$1:$O$258,11,FALSE)),"",(VLOOKUP($E53,'A-1 On-Site Habitat Baseline'!$D$1:$O$258,11,FALSE))))</f>
        <v/>
      </c>
      <c r="M53" s="382" t="str">
        <f>IF(E53="","",IF(ISNA(VLOOKUP($E53,'A-1 On-Site Habitat Baseline'!$D$1:$O$258,12,FALSE)),"",(VLOOKUP($E53,'A-1 On-Site Habitat Baseline'!$D$1:$O$258,12,FALSE))))</f>
        <v/>
      </c>
      <c r="N53" s="393" t="str">
        <f>IF(E53="","",IF(ISNA(VLOOKUP($E53,'A-1 On-Site Habitat Baseline'!$D$1:$X$258,14,FALSE)),"",(VLOOKUP($E53,'A-1 On-Site Habitat Baseline'!$D$1:$X$258,14,FALSE))))</f>
        <v/>
      </c>
      <c r="O53" s="386" t="str">
        <f>IF(E53="","",IF(ISNA(VLOOKUP($E53,'A-1 On-Site Habitat Baseline'!$D$1:$X$258,16,FALSE)),"",(VLOOKUP($E53,'A-1 On-Site Habitat Baseline'!$D$1:$X$258,13,FALSE))))</f>
        <v/>
      </c>
      <c r="P53" s="192" t="str">
        <f>IFERROR(INDEX('G-1 All Habitats'!$AG$3:$AG$17,MATCH(Q53,'G-1 All Habitats'!$AF$3:$AF$17,0)),"")</f>
        <v/>
      </c>
      <c r="Q53" s="193" t="str">
        <f t="shared" si="0"/>
        <v/>
      </c>
      <c r="R53" s="193" t="str">
        <f t="shared" si="1"/>
        <v/>
      </c>
      <c r="S53" s="306" t="str">
        <f>IFERROR(INDEX('G-1 All Habitats'!$B$3:$B$134,MATCH(R53,'G-1 All Habitats'!$A$3:$A$134,0)),"")</f>
        <v/>
      </c>
      <c r="T53" s="362" t="str">
        <f t="shared" si="3"/>
        <v/>
      </c>
      <c r="U53" s="363" t="str">
        <f t="shared" si="4"/>
        <v/>
      </c>
      <c r="V53" s="398" t="str">
        <f t="shared" si="5"/>
        <v/>
      </c>
      <c r="W53" s="382" t="str">
        <f>IF(S53="","",VLOOKUP(S53,'G-1 All Habitats'!$B$2:$M$134,10,FALSE))</f>
        <v/>
      </c>
      <c r="X53" s="382" t="str">
        <f>IFERROR(VLOOKUP(W53,'G-1 All Habitats'!$V$3:$W$7,2,FALSE),"")</f>
        <v/>
      </c>
      <c r="Y53" s="61"/>
      <c r="Z53" s="386" t="str">
        <f>IFERROR(INDEX('G-8 Condition Look up'!$A$3:$H$135,MATCH(S53,'G-8 Condition Look up'!$A$3:$A$135,0),MATCH(Y53,'G-8 Condition Look up'!$A$3:$H$3,0)),"")</f>
        <v/>
      </c>
      <c r="AA53" s="54"/>
      <c r="AB53" s="382" t="str">
        <f>IF(AA53="","",IF(VLOOKUP(AA53,'G-3 Multipliers'!$L$3:$N$6,2,FALSE)=0,"Spatial Data Missing ⚠",VLOOKUP(AA53,'G-3 Multipliers'!$L$3:$N$6,2,FALSE)))</f>
        <v/>
      </c>
      <c r="AC53" s="386" t="str">
        <f>IF(AA53="","",IF(VLOOKUP(AA53,'G-3 Multipliers'!$L$3:$N$6,3,FALSE)=0,"Spatial Data Missing ⚠",VLOOKUP(AA53,'G-3 Multipliers'!$L$3:$N$6,3,FALSE)))</f>
        <v/>
      </c>
      <c r="AD53" s="400" t="str">
        <f t="shared" si="2"/>
        <v/>
      </c>
      <c r="AE53" s="63"/>
      <c r="AF53" s="63"/>
      <c r="AG53" s="370" t="str">
        <f t="shared" si="6"/>
        <v/>
      </c>
      <c r="AH53" s="383" t="str">
        <f t="shared" si="7"/>
        <v/>
      </c>
      <c r="AI53" s="384" t="str">
        <f>IF(AH53="Check Data","Check Data",IFERROR(VLOOKUP(AH53,'G-4 Temporal multipliers'!$A$4:$C$36,3,FALSE),""))</f>
        <v/>
      </c>
      <c r="AJ53" s="362" t="str">
        <f>IF(S53="","",VLOOKUP(S53,'G-3 Multipliers'!$A$2:$E$134,4,FALSE))</f>
        <v/>
      </c>
      <c r="AK53" s="370" t="str">
        <f t="shared" si="8"/>
        <v/>
      </c>
      <c r="AL53" s="370" t="str">
        <f t="shared" si="9"/>
        <v/>
      </c>
      <c r="AM53" s="401" t="str">
        <f>IFERROR(IF(F53="","",IF(AH53="Check Data ⚠","Check Data ⚠",VLOOKUP(AL53, 'G-3 Multipliers'!$P$2:$Q$6,2,FALSE))),"")</f>
        <v/>
      </c>
      <c r="AN53" s="376" t="str">
        <f t="shared" si="10"/>
        <v/>
      </c>
      <c r="AO53" s="194"/>
      <c r="AP53" s="195"/>
      <c r="AQ53" s="120"/>
    </row>
    <row r="54" spans="1:43">
      <c r="A54" s="35" t="str">
        <f>IF(E54="","",IF(ISNA(VLOOKUP($E54,'A-1 On-Site Habitat Baseline'!$D$1:$O$258,2,FALSE)),"",(VLOOKUP($E54,'A-1 On-Site Habitat Baseline'!$D$1:$O$258,2,FALSE))))</f>
        <v/>
      </c>
      <c r="B54" s="35" t="str">
        <f>IF(E54="","",IF(ISNA(VLOOKUP($E54,'A-1 On-Site Habitat Baseline'!$D$1:$O$258,3,FALSE)),"",(VLOOKUP($E54,'A-1 On-Site Habitat Baseline'!$D$1:$O$258,3,FALSE))))</f>
        <v/>
      </c>
      <c r="C54" s="35" t="str">
        <f>IFERROR(INDEX('G-8 Condition Look up'!$I$4:$I$135,MATCH(S54,'G-8 Condition Look up'!$A$4:$A$135,0)),"")</f>
        <v/>
      </c>
      <c r="E54" s="392" t="str">
        <f>'A-1 On-Site Habitat Baseline'!AL53</f>
        <v/>
      </c>
      <c r="F54" s="382" t="str">
        <f>IF(E54="","",IF(ISNA(VLOOKUP($E54,'A-1 On-Site Habitat Baseline'!$D$1:$O$258,4,FALSE)),"",(VLOOKUP($E54,'A-1 On-Site Habitat Baseline'!$D$1:$O$258,4,FALSE))))</f>
        <v/>
      </c>
      <c r="G54" s="382" t="str">
        <f>IF(E54="","",IF(ISNA(VLOOKUP($E54,'A-1 On-Site Habitat Baseline'!$D$1:$O$258,5,FALSE)),"",(VLOOKUP($E54,'A-1 On-Site Habitat Baseline'!$D$1:$O$258,5,FALSE))))</f>
        <v/>
      </c>
      <c r="H54" s="382" t="str">
        <f>IF(E54="","",IF(ISNA(VLOOKUP($E54,'A-1 On-Site Habitat Baseline'!$D$1:$O$258,6,FALSE)),"",(VLOOKUP($E54,'A-1 On-Site Habitat Baseline'!$D$1:$O$258,6,FALSE))))</f>
        <v/>
      </c>
      <c r="I54" s="382" t="str">
        <f>IF(E54="","",IF(ISNA(VLOOKUP($E54,'A-1 On-Site Habitat Baseline'!$D$1:$O$258,7,FALSE)),"",(VLOOKUP($E54,'A-1 On-Site Habitat Baseline'!$D$1:$O$258,7,FALSE))))</f>
        <v/>
      </c>
      <c r="J54" s="382" t="str">
        <f>IF(E54="","",IF(ISNA(VLOOKUP($E54,'A-1 On-Site Habitat Baseline'!$D$1:$O$258,8,FALSE)),"",(VLOOKUP($E54,'A-1 On-Site Habitat Baseline'!$D$1:$O$258,8,FALSE))))</f>
        <v/>
      </c>
      <c r="K54" s="382" t="str">
        <f>IF(E54="","",IF(ISNA(VLOOKUP($E54,'A-1 On-Site Habitat Baseline'!$D$1:$O$258,9,FALSE)),"",(VLOOKUP($E54,'A-1 On-Site Habitat Baseline'!$D$1:$O$258,9,FALSE))))</f>
        <v/>
      </c>
      <c r="L54" s="382" t="str">
        <f>IF(E54="","",IF(ISNA(VLOOKUP($E54,'A-1 On-Site Habitat Baseline'!$D$1:$O$258,11,FALSE)),"",(VLOOKUP($E54,'A-1 On-Site Habitat Baseline'!$D$1:$O$258,11,FALSE))))</f>
        <v/>
      </c>
      <c r="M54" s="382" t="str">
        <f>IF(E54="","",IF(ISNA(VLOOKUP($E54,'A-1 On-Site Habitat Baseline'!$D$1:$O$258,12,FALSE)),"",(VLOOKUP($E54,'A-1 On-Site Habitat Baseline'!$D$1:$O$258,12,FALSE))))</f>
        <v/>
      </c>
      <c r="N54" s="393" t="str">
        <f>IF(E54="","",IF(ISNA(VLOOKUP($E54,'A-1 On-Site Habitat Baseline'!$D$1:$X$258,14,FALSE)),"",(VLOOKUP($E54,'A-1 On-Site Habitat Baseline'!$D$1:$X$258,14,FALSE))))</f>
        <v/>
      </c>
      <c r="O54" s="386" t="str">
        <f>IF(E54="","",IF(ISNA(VLOOKUP($E54,'A-1 On-Site Habitat Baseline'!$D$1:$X$258,16,FALSE)),"",(VLOOKUP($E54,'A-1 On-Site Habitat Baseline'!$D$1:$X$258,13,FALSE))))</f>
        <v/>
      </c>
      <c r="P54" s="192" t="str">
        <f>IFERROR(INDEX('G-1 All Habitats'!$AG$3:$AG$17,MATCH(Q54,'G-1 All Habitats'!$AF$3:$AF$17,0)),"")</f>
        <v/>
      </c>
      <c r="Q54" s="193" t="str">
        <f t="shared" si="0"/>
        <v/>
      </c>
      <c r="R54" s="193" t="str">
        <f t="shared" si="1"/>
        <v/>
      </c>
      <c r="S54" s="306" t="str">
        <f>IFERROR(INDEX('G-1 All Habitats'!$B$3:$B$134,MATCH(R54,'G-1 All Habitats'!$A$3:$A$134,0)),"")</f>
        <v/>
      </c>
      <c r="T54" s="362" t="str">
        <f t="shared" si="3"/>
        <v/>
      </c>
      <c r="U54" s="363" t="str">
        <f t="shared" si="4"/>
        <v/>
      </c>
      <c r="V54" s="398" t="str">
        <f t="shared" si="5"/>
        <v/>
      </c>
      <c r="W54" s="382" t="str">
        <f>IF(S54="","",VLOOKUP(S54,'G-1 All Habitats'!$B$2:$M$134,10,FALSE))</f>
        <v/>
      </c>
      <c r="X54" s="382" t="str">
        <f>IFERROR(VLOOKUP(W54,'G-1 All Habitats'!$V$3:$W$7,2,FALSE),"")</f>
        <v/>
      </c>
      <c r="Y54" s="61"/>
      <c r="Z54" s="386" t="str">
        <f>IFERROR(INDEX('G-8 Condition Look up'!$A$3:$H$135,MATCH(S54,'G-8 Condition Look up'!$A$3:$A$135,0),MATCH(Y54,'G-8 Condition Look up'!$A$3:$H$3,0)),"")</f>
        <v/>
      </c>
      <c r="AA54" s="54"/>
      <c r="AB54" s="382" t="str">
        <f>IF(AA54="","",IF(VLOOKUP(AA54,'G-3 Multipliers'!$L$3:$N$6,2,FALSE)=0,"Spatial Data Missing ⚠",VLOOKUP(AA54,'G-3 Multipliers'!$L$3:$N$6,2,FALSE)))</f>
        <v/>
      </c>
      <c r="AC54" s="386" t="str">
        <f>IF(AA54="","",IF(VLOOKUP(AA54,'G-3 Multipliers'!$L$3:$N$6,3,FALSE)=0,"Spatial Data Missing ⚠",VLOOKUP(AA54,'G-3 Multipliers'!$L$3:$N$6,3,FALSE)))</f>
        <v/>
      </c>
      <c r="AD54" s="400" t="str">
        <f t="shared" si="2"/>
        <v/>
      </c>
      <c r="AE54" s="63"/>
      <c r="AF54" s="63"/>
      <c r="AG54" s="370" t="str">
        <f t="shared" si="6"/>
        <v/>
      </c>
      <c r="AH54" s="383" t="str">
        <f t="shared" si="7"/>
        <v/>
      </c>
      <c r="AI54" s="384" t="str">
        <f>IF(AH54="Check Data","Check Data",IFERROR(VLOOKUP(AH54,'G-4 Temporal multipliers'!$A$4:$C$36,3,FALSE),""))</f>
        <v/>
      </c>
      <c r="AJ54" s="362" t="str">
        <f>IF(S54="","",VLOOKUP(S54,'G-3 Multipliers'!$A$2:$E$134,4,FALSE))</f>
        <v/>
      </c>
      <c r="AK54" s="370" t="str">
        <f t="shared" si="8"/>
        <v/>
      </c>
      <c r="AL54" s="370" t="str">
        <f t="shared" si="9"/>
        <v/>
      </c>
      <c r="AM54" s="401" t="str">
        <f>IFERROR(IF(F54="","",IF(AH54="Check Data ⚠","Check Data ⚠",VLOOKUP(AL54, 'G-3 Multipliers'!$P$2:$Q$6,2,FALSE))),"")</f>
        <v/>
      </c>
      <c r="AN54" s="376" t="str">
        <f t="shared" si="10"/>
        <v/>
      </c>
      <c r="AO54" s="194"/>
      <c r="AP54" s="195"/>
      <c r="AQ54" s="120"/>
    </row>
    <row r="55" spans="1:43">
      <c r="A55" s="35" t="str">
        <f>IF(E55="","",IF(ISNA(VLOOKUP($E55,'A-1 On-Site Habitat Baseline'!$D$1:$O$258,2,FALSE)),"",(VLOOKUP($E55,'A-1 On-Site Habitat Baseline'!$D$1:$O$258,2,FALSE))))</f>
        <v/>
      </c>
      <c r="B55" s="35" t="str">
        <f>IF(E55="","",IF(ISNA(VLOOKUP($E55,'A-1 On-Site Habitat Baseline'!$D$1:$O$258,3,FALSE)),"",(VLOOKUP($E55,'A-1 On-Site Habitat Baseline'!$D$1:$O$258,3,FALSE))))</f>
        <v/>
      </c>
      <c r="C55" s="35" t="str">
        <f>IFERROR(INDEX('G-8 Condition Look up'!$I$4:$I$135,MATCH(S55,'G-8 Condition Look up'!$A$4:$A$135,0)),"")</f>
        <v/>
      </c>
      <c r="E55" s="392" t="str">
        <f>'A-1 On-Site Habitat Baseline'!AL54</f>
        <v/>
      </c>
      <c r="F55" s="382" t="str">
        <f>IF(E55="","",IF(ISNA(VLOOKUP($E55,'A-1 On-Site Habitat Baseline'!$D$1:$O$258,4,FALSE)),"",(VLOOKUP($E55,'A-1 On-Site Habitat Baseline'!$D$1:$O$258,4,FALSE))))</f>
        <v/>
      </c>
      <c r="G55" s="382" t="str">
        <f>IF(E55="","",IF(ISNA(VLOOKUP($E55,'A-1 On-Site Habitat Baseline'!$D$1:$O$258,5,FALSE)),"",(VLOOKUP($E55,'A-1 On-Site Habitat Baseline'!$D$1:$O$258,5,FALSE))))</f>
        <v/>
      </c>
      <c r="H55" s="382" t="str">
        <f>IF(E55="","",IF(ISNA(VLOOKUP($E55,'A-1 On-Site Habitat Baseline'!$D$1:$O$258,6,FALSE)),"",(VLOOKUP($E55,'A-1 On-Site Habitat Baseline'!$D$1:$O$258,6,FALSE))))</f>
        <v/>
      </c>
      <c r="I55" s="382" t="str">
        <f>IF(E55="","",IF(ISNA(VLOOKUP($E55,'A-1 On-Site Habitat Baseline'!$D$1:$O$258,7,FALSE)),"",(VLOOKUP($E55,'A-1 On-Site Habitat Baseline'!$D$1:$O$258,7,FALSE))))</f>
        <v/>
      </c>
      <c r="J55" s="382" t="str">
        <f>IF(E55="","",IF(ISNA(VLOOKUP($E55,'A-1 On-Site Habitat Baseline'!$D$1:$O$258,8,FALSE)),"",(VLOOKUP($E55,'A-1 On-Site Habitat Baseline'!$D$1:$O$258,8,FALSE))))</f>
        <v/>
      </c>
      <c r="K55" s="382" t="str">
        <f>IF(E55="","",IF(ISNA(VLOOKUP($E55,'A-1 On-Site Habitat Baseline'!$D$1:$O$258,9,FALSE)),"",(VLOOKUP($E55,'A-1 On-Site Habitat Baseline'!$D$1:$O$258,9,FALSE))))</f>
        <v/>
      </c>
      <c r="L55" s="382" t="str">
        <f>IF(E55="","",IF(ISNA(VLOOKUP($E55,'A-1 On-Site Habitat Baseline'!$D$1:$O$258,11,FALSE)),"",(VLOOKUP($E55,'A-1 On-Site Habitat Baseline'!$D$1:$O$258,11,FALSE))))</f>
        <v/>
      </c>
      <c r="M55" s="382" t="str">
        <f>IF(E55="","",IF(ISNA(VLOOKUP($E55,'A-1 On-Site Habitat Baseline'!$D$1:$O$258,12,FALSE)),"",(VLOOKUP($E55,'A-1 On-Site Habitat Baseline'!$D$1:$O$258,12,FALSE))))</f>
        <v/>
      </c>
      <c r="N55" s="393" t="str">
        <f>IF(E55="","",IF(ISNA(VLOOKUP($E55,'A-1 On-Site Habitat Baseline'!$D$1:$X$258,14,FALSE)),"",(VLOOKUP($E55,'A-1 On-Site Habitat Baseline'!$D$1:$X$258,14,FALSE))))</f>
        <v/>
      </c>
      <c r="O55" s="386" t="str">
        <f>IF(E55="","",IF(ISNA(VLOOKUP($E55,'A-1 On-Site Habitat Baseline'!$D$1:$X$258,16,FALSE)),"",(VLOOKUP($E55,'A-1 On-Site Habitat Baseline'!$D$1:$X$258,13,FALSE))))</f>
        <v/>
      </c>
      <c r="P55" s="192" t="str">
        <f>IFERROR(INDEX('G-1 All Habitats'!$AG$3:$AG$17,MATCH(Q55,'G-1 All Habitats'!$AF$3:$AF$17,0)),"")</f>
        <v/>
      </c>
      <c r="Q55" s="193" t="str">
        <f t="shared" si="0"/>
        <v/>
      </c>
      <c r="R55" s="193" t="str">
        <f t="shared" si="1"/>
        <v/>
      </c>
      <c r="S55" s="306" t="str">
        <f>IFERROR(INDEX('G-1 All Habitats'!$B$3:$B$134,MATCH(R55,'G-1 All Habitats'!$A$3:$A$134,0)),"")</f>
        <v/>
      </c>
      <c r="T55" s="362" t="str">
        <f t="shared" si="3"/>
        <v/>
      </c>
      <c r="U55" s="363" t="str">
        <f t="shared" si="4"/>
        <v/>
      </c>
      <c r="V55" s="398" t="str">
        <f t="shared" si="5"/>
        <v/>
      </c>
      <c r="W55" s="382" t="str">
        <f>IF(S55="","",VLOOKUP(S55,'G-1 All Habitats'!$B$2:$M$134,10,FALSE))</f>
        <v/>
      </c>
      <c r="X55" s="382" t="str">
        <f>IFERROR(VLOOKUP(W55,'G-1 All Habitats'!$V$3:$W$7,2,FALSE),"")</f>
        <v/>
      </c>
      <c r="Y55" s="61"/>
      <c r="Z55" s="386" t="str">
        <f>IFERROR(INDEX('G-8 Condition Look up'!$A$3:$H$135,MATCH(S55,'G-8 Condition Look up'!$A$3:$A$135,0),MATCH(Y55,'G-8 Condition Look up'!$A$3:$H$3,0)),"")</f>
        <v/>
      </c>
      <c r="AA55" s="54"/>
      <c r="AB55" s="382" t="str">
        <f>IF(AA55="","",IF(VLOOKUP(AA55,'G-3 Multipliers'!$L$3:$N$6,2,FALSE)=0,"Spatial Data Missing ⚠",VLOOKUP(AA55,'G-3 Multipliers'!$L$3:$N$6,2,FALSE)))</f>
        <v/>
      </c>
      <c r="AC55" s="386" t="str">
        <f>IF(AA55="","",IF(VLOOKUP(AA55,'G-3 Multipliers'!$L$3:$N$6,3,FALSE)=0,"Spatial Data Missing ⚠",VLOOKUP(AA55,'G-3 Multipliers'!$L$3:$N$6,3,FALSE)))</f>
        <v/>
      </c>
      <c r="AD55" s="400" t="str">
        <f t="shared" si="2"/>
        <v/>
      </c>
      <c r="AE55" s="63"/>
      <c r="AF55" s="63"/>
      <c r="AG55" s="370" t="str">
        <f t="shared" si="6"/>
        <v/>
      </c>
      <c r="AH55" s="383" t="str">
        <f t="shared" si="7"/>
        <v/>
      </c>
      <c r="AI55" s="384" t="str">
        <f>IF(AH55="Check Data","Check Data",IFERROR(VLOOKUP(AH55,'G-4 Temporal multipliers'!$A$4:$C$36,3,FALSE),""))</f>
        <v/>
      </c>
      <c r="AJ55" s="362" t="str">
        <f>IF(S55="","",VLOOKUP(S55,'G-3 Multipliers'!$A$2:$E$134,4,FALSE))</f>
        <v/>
      </c>
      <c r="AK55" s="370" t="str">
        <f t="shared" si="8"/>
        <v/>
      </c>
      <c r="AL55" s="370" t="str">
        <f t="shared" si="9"/>
        <v/>
      </c>
      <c r="AM55" s="401" t="str">
        <f>IFERROR(IF(F55="","",IF(AH55="Check Data ⚠","Check Data ⚠",VLOOKUP(AL55, 'G-3 Multipliers'!$P$2:$Q$6,2,FALSE))),"")</f>
        <v/>
      </c>
      <c r="AN55" s="376" t="str">
        <f t="shared" si="10"/>
        <v/>
      </c>
      <c r="AO55" s="194"/>
      <c r="AP55" s="195"/>
      <c r="AQ55" s="120"/>
    </row>
    <row r="56" spans="1:43">
      <c r="A56" s="35" t="str">
        <f>IF(E56="","",IF(ISNA(VLOOKUP($E56,'A-1 On-Site Habitat Baseline'!$D$1:$O$258,2,FALSE)),"",(VLOOKUP($E56,'A-1 On-Site Habitat Baseline'!$D$1:$O$258,2,FALSE))))</f>
        <v/>
      </c>
      <c r="B56" s="35" t="str">
        <f>IF(E56="","",IF(ISNA(VLOOKUP($E56,'A-1 On-Site Habitat Baseline'!$D$1:$O$258,3,FALSE)),"",(VLOOKUP($E56,'A-1 On-Site Habitat Baseline'!$D$1:$O$258,3,FALSE))))</f>
        <v/>
      </c>
      <c r="C56" s="35" t="str">
        <f>IFERROR(INDEX('G-8 Condition Look up'!$I$4:$I$135,MATCH(S56,'G-8 Condition Look up'!$A$4:$A$135,0)),"")</f>
        <v/>
      </c>
      <c r="E56" s="392" t="str">
        <f>'A-1 On-Site Habitat Baseline'!AL55</f>
        <v/>
      </c>
      <c r="F56" s="382" t="str">
        <f>IF(E56="","",IF(ISNA(VLOOKUP($E56,'A-1 On-Site Habitat Baseline'!$D$1:$O$258,4,FALSE)),"",(VLOOKUP($E56,'A-1 On-Site Habitat Baseline'!$D$1:$O$258,4,FALSE))))</f>
        <v/>
      </c>
      <c r="G56" s="382" t="str">
        <f>IF(E56="","",IF(ISNA(VLOOKUP($E56,'A-1 On-Site Habitat Baseline'!$D$1:$O$258,5,FALSE)),"",(VLOOKUP($E56,'A-1 On-Site Habitat Baseline'!$D$1:$O$258,5,FALSE))))</f>
        <v/>
      </c>
      <c r="H56" s="382" t="str">
        <f>IF(E56="","",IF(ISNA(VLOOKUP($E56,'A-1 On-Site Habitat Baseline'!$D$1:$O$258,6,FALSE)),"",(VLOOKUP($E56,'A-1 On-Site Habitat Baseline'!$D$1:$O$258,6,FALSE))))</f>
        <v/>
      </c>
      <c r="I56" s="382" t="str">
        <f>IF(E56="","",IF(ISNA(VLOOKUP($E56,'A-1 On-Site Habitat Baseline'!$D$1:$O$258,7,FALSE)),"",(VLOOKUP($E56,'A-1 On-Site Habitat Baseline'!$D$1:$O$258,7,FALSE))))</f>
        <v/>
      </c>
      <c r="J56" s="382" t="str">
        <f>IF(E56="","",IF(ISNA(VLOOKUP($E56,'A-1 On-Site Habitat Baseline'!$D$1:$O$258,8,FALSE)),"",(VLOOKUP($E56,'A-1 On-Site Habitat Baseline'!$D$1:$O$258,8,FALSE))))</f>
        <v/>
      </c>
      <c r="K56" s="382" t="str">
        <f>IF(E56="","",IF(ISNA(VLOOKUP($E56,'A-1 On-Site Habitat Baseline'!$D$1:$O$258,9,FALSE)),"",(VLOOKUP($E56,'A-1 On-Site Habitat Baseline'!$D$1:$O$258,9,FALSE))))</f>
        <v/>
      </c>
      <c r="L56" s="382" t="str">
        <f>IF(E56="","",IF(ISNA(VLOOKUP($E56,'A-1 On-Site Habitat Baseline'!$D$1:$O$258,11,FALSE)),"",(VLOOKUP($E56,'A-1 On-Site Habitat Baseline'!$D$1:$O$258,11,FALSE))))</f>
        <v/>
      </c>
      <c r="M56" s="382" t="str">
        <f>IF(E56="","",IF(ISNA(VLOOKUP($E56,'A-1 On-Site Habitat Baseline'!$D$1:$O$258,12,FALSE)),"",(VLOOKUP($E56,'A-1 On-Site Habitat Baseline'!$D$1:$O$258,12,FALSE))))</f>
        <v/>
      </c>
      <c r="N56" s="393" t="str">
        <f>IF(E56="","",IF(ISNA(VLOOKUP($E56,'A-1 On-Site Habitat Baseline'!$D$1:$X$258,14,FALSE)),"",(VLOOKUP($E56,'A-1 On-Site Habitat Baseline'!$D$1:$X$258,14,FALSE))))</f>
        <v/>
      </c>
      <c r="O56" s="386" t="str">
        <f>IF(E56="","",IF(ISNA(VLOOKUP($E56,'A-1 On-Site Habitat Baseline'!$D$1:$X$258,16,FALSE)),"",(VLOOKUP($E56,'A-1 On-Site Habitat Baseline'!$D$1:$X$258,13,FALSE))))</f>
        <v/>
      </c>
      <c r="P56" s="192" t="str">
        <f>IFERROR(INDEX('G-1 All Habitats'!$AG$3:$AG$17,MATCH(Q56,'G-1 All Habitats'!$AF$3:$AF$17,0)),"")</f>
        <v/>
      </c>
      <c r="Q56" s="193" t="str">
        <f t="shared" si="0"/>
        <v/>
      </c>
      <c r="R56" s="193" t="str">
        <f t="shared" si="1"/>
        <v/>
      </c>
      <c r="S56" s="306" t="str">
        <f>IFERROR(INDEX('G-1 All Habitats'!$B$3:$B$134,MATCH(R56,'G-1 All Habitats'!$A$3:$A$134,0)),"")</f>
        <v/>
      </c>
      <c r="T56" s="362" t="str">
        <f t="shared" si="3"/>
        <v/>
      </c>
      <c r="U56" s="363" t="str">
        <f t="shared" si="4"/>
        <v/>
      </c>
      <c r="V56" s="398" t="str">
        <f t="shared" si="5"/>
        <v/>
      </c>
      <c r="W56" s="382" t="str">
        <f>IF(S56="","",VLOOKUP(S56,'G-1 All Habitats'!$B$2:$M$134,10,FALSE))</f>
        <v/>
      </c>
      <c r="X56" s="382" t="str">
        <f>IFERROR(VLOOKUP(W56,'G-1 All Habitats'!$V$3:$W$7,2,FALSE),"")</f>
        <v/>
      </c>
      <c r="Y56" s="61"/>
      <c r="Z56" s="386" t="str">
        <f>IFERROR(INDEX('G-8 Condition Look up'!$A$3:$H$135,MATCH(S56,'G-8 Condition Look up'!$A$3:$A$135,0),MATCH(Y56,'G-8 Condition Look up'!$A$3:$H$3,0)),"")</f>
        <v/>
      </c>
      <c r="AA56" s="54"/>
      <c r="AB56" s="382" t="str">
        <f>IF(AA56="","",IF(VLOOKUP(AA56,'G-3 Multipliers'!$L$3:$N$6,2,FALSE)=0,"Spatial Data Missing ⚠",VLOOKUP(AA56,'G-3 Multipliers'!$L$3:$N$6,2,FALSE)))</f>
        <v/>
      </c>
      <c r="AC56" s="386" t="str">
        <f>IF(AA56="","",IF(VLOOKUP(AA56,'G-3 Multipliers'!$L$3:$N$6,3,FALSE)=0,"Spatial Data Missing ⚠",VLOOKUP(AA56,'G-3 Multipliers'!$L$3:$N$6,3,FALSE)))</f>
        <v/>
      </c>
      <c r="AD56" s="400" t="str">
        <f t="shared" si="2"/>
        <v/>
      </c>
      <c r="AE56" s="63"/>
      <c r="AF56" s="63"/>
      <c r="AG56" s="370" t="str">
        <f t="shared" si="6"/>
        <v/>
      </c>
      <c r="AH56" s="383" t="str">
        <f t="shared" si="7"/>
        <v/>
      </c>
      <c r="AI56" s="384" t="str">
        <f>IF(AH56="Check Data","Check Data",IFERROR(VLOOKUP(AH56,'G-4 Temporal multipliers'!$A$4:$C$36,3,FALSE),""))</f>
        <v/>
      </c>
      <c r="AJ56" s="362" t="str">
        <f>IF(S56="","",VLOOKUP(S56,'G-3 Multipliers'!$A$2:$E$134,4,FALSE))</f>
        <v/>
      </c>
      <c r="AK56" s="370" t="str">
        <f t="shared" si="8"/>
        <v/>
      </c>
      <c r="AL56" s="370" t="str">
        <f t="shared" si="9"/>
        <v/>
      </c>
      <c r="AM56" s="401" t="str">
        <f>IFERROR(IF(F56="","",IF(AH56="Check Data ⚠","Check Data ⚠",VLOOKUP(AL56, 'G-3 Multipliers'!$P$2:$Q$6,2,FALSE))),"")</f>
        <v/>
      </c>
      <c r="AN56" s="376" t="str">
        <f t="shared" si="10"/>
        <v/>
      </c>
      <c r="AO56" s="194"/>
      <c r="AP56" s="195"/>
      <c r="AQ56" s="120"/>
    </row>
    <row r="57" spans="1:43">
      <c r="A57" s="35" t="str">
        <f>IF(E57="","",IF(ISNA(VLOOKUP($E57,'A-1 On-Site Habitat Baseline'!$D$1:$O$258,2,FALSE)),"",(VLOOKUP($E57,'A-1 On-Site Habitat Baseline'!$D$1:$O$258,2,FALSE))))</f>
        <v/>
      </c>
      <c r="B57" s="35" t="str">
        <f>IF(E57="","",IF(ISNA(VLOOKUP($E57,'A-1 On-Site Habitat Baseline'!$D$1:$O$258,3,FALSE)),"",(VLOOKUP($E57,'A-1 On-Site Habitat Baseline'!$D$1:$O$258,3,FALSE))))</f>
        <v/>
      </c>
      <c r="C57" s="35" t="str">
        <f>IFERROR(INDEX('G-8 Condition Look up'!$I$4:$I$135,MATCH(S57,'G-8 Condition Look up'!$A$4:$A$135,0)),"")</f>
        <v/>
      </c>
      <c r="E57" s="392" t="str">
        <f>'A-1 On-Site Habitat Baseline'!AL56</f>
        <v/>
      </c>
      <c r="F57" s="382" t="str">
        <f>IF(E57="","",IF(ISNA(VLOOKUP($E57,'A-1 On-Site Habitat Baseline'!$D$1:$O$258,4,FALSE)),"",(VLOOKUP($E57,'A-1 On-Site Habitat Baseline'!$D$1:$O$258,4,FALSE))))</f>
        <v/>
      </c>
      <c r="G57" s="382" t="str">
        <f>IF(E57="","",IF(ISNA(VLOOKUP($E57,'A-1 On-Site Habitat Baseline'!$D$1:$O$258,5,FALSE)),"",(VLOOKUP($E57,'A-1 On-Site Habitat Baseline'!$D$1:$O$258,5,FALSE))))</f>
        <v/>
      </c>
      <c r="H57" s="382" t="str">
        <f>IF(E57="","",IF(ISNA(VLOOKUP($E57,'A-1 On-Site Habitat Baseline'!$D$1:$O$258,6,FALSE)),"",(VLOOKUP($E57,'A-1 On-Site Habitat Baseline'!$D$1:$O$258,6,FALSE))))</f>
        <v/>
      </c>
      <c r="I57" s="382" t="str">
        <f>IF(E57="","",IF(ISNA(VLOOKUP($E57,'A-1 On-Site Habitat Baseline'!$D$1:$O$258,7,FALSE)),"",(VLOOKUP($E57,'A-1 On-Site Habitat Baseline'!$D$1:$O$258,7,FALSE))))</f>
        <v/>
      </c>
      <c r="J57" s="382" t="str">
        <f>IF(E57="","",IF(ISNA(VLOOKUP($E57,'A-1 On-Site Habitat Baseline'!$D$1:$O$258,8,FALSE)),"",(VLOOKUP($E57,'A-1 On-Site Habitat Baseline'!$D$1:$O$258,8,FALSE))))</f>
        <v/>
      </c>
      <c r="K57" s="382" t="str">
        <f>IF(E57="","",IF(ISNA(VLOOKUP($E57,'A-1 On-Site Habitat Baseline'!$D$1:$O$258,9,FALSE)),"",(VLOOKUP($E57,'A-1 On-Site Habitat Baseline'!$D$1:$O$258,9,FALSE))))</f>
        <v/>
      </c>
      <c r="L57" s="382" t="str">
        <f>IF(E57="","",IF(ISNA(VLOOKUP($E57,'A-1 On-Site Habitat Baseline'!$D$1:$O$258,11,FALSE)),"",(VLOOKUP($E57,'A-1 On-Site Habitat Baseline'!$D$1:$O$258,11,FALSE))))</f>
        <v/>
      </c>
      <c r="M57" s="382" t="str">
        <f>IF(E57="","",IF(ISNA(VLOOKUP($E57,'A-1 On-Site Habitat Baseline'!$D$1:$O$258,12,FALSE)),"",(VLOOKUP($E57,'A-1 On-Site Habitat Baseline'!$D$1:$O$258,12,FALSE))))</f>
        <v/>
      </c>
      <c r="N57" s="393" t="str">
        <f>IF(E57="","",IF(ISNA(VLOOKUP($E57,'A-1 On-Site Habitat Baseline'!$D$1:$X$258,14,FALSE)),"",(VLOOKUP($E57,'A-1 On-Site Habitat Baseline'!$D$1:$X$258,14,FALSE))))</f>
        <v/>
      </c>
      <c r="O57" s="386" t="str">
        <f>IF(E57="","",IF(ISNA(VLOOKUP($E57,'A-1 On-Site Habitat Baseline'!$D$1:$X$258,16,FALSE)),"",(VLOOKUP($E57,'A-1 On-Site Habitat Baseline'!$D$1:$X$258,13,FALSE))))</f>
        <v/>
      </c>
      <c r="P57" s="192" t="str">
        <f>IFERROR(INDEX('G-1 All Habitats'!$AG$3:$AG$17,MATCH(Q57,'G-1 All Habitats'!$AF$3:$AF$17,0)),"")</f>
        <v/>
      </c>
      <c r="Q57" s="193" t="str">
        <f t="shared" si="0"/>
        <v/>
      </c>
      <c r="R57" s="193" t="str">
        <f t="shared" si="1"/>
        <v/>
      </c>
      <c r="S57" s="306" t="str">
        <f>IFERROR(INDEX('G-1 All Habitats'!$B$3:$B$134,MATCH(R57,'G-1 All Habitats'!$A$3:$A$134,0)),"")</f>
        <v/>
      </c>
      <c r="T57" s="362" t="str">
        <f t="shared" si="3"/>
        <v/>
      </c>
      <c r="U57" s="363" t="str">
        <f t="shared" si="4"/>
        <v/>
      </c>
      <c r="V57" s="398" t="str">
        <f t="shared" si="5"/>
        <v/>
      </c>
      <c r="W57" s="382" t="str">
        <f>IF(S57="","",VLOOKUP(S57,'G-1 All Habitats'!$B$2:$M$134,10,FALSE))</f>
        <v/>
      </c>
      <c r="X57" s="382" t="str">
        <f>IFERROR(VLOOKUP(W57,'G-1 All Habitats'!$V$3:$W$7,2,FALSE),"")</f>
        <v/>
      </c>
      <c r="Y57" s="61"/>
      <c r="Z57" s="386" t="str">
        <f>IFERROR(INDEX('G-8 Condition Look up'!$A$3:$H$135,MATCH(S57,'G-8 Condition Look up'!$A$3:$A$135,0),MATCH(Y57,'G-8 Condition Look up'!$A$3:$H$3,0)),"")</f>
        <v/>
      </c>
      <c r="AA57" s="54"/>
      <c r="AB57" s="382" t="str">
        <f>IF(AA57="","",IF(VLOOKUP(AA57,'G-3 Multipliers'!$L$3:$N$6,2,FALSE)=0,"Spatial Data Missing ⚠",VLOOKUP(AA57,'G-3 Multipliers'!$L$3:$N$6,2,FALSE)))</f>
        <v/>
      </c>
      <c r="AC57" s="386" t="str">
        <f>IF(AA57="","",IF(VLOOKUP(AA57,'G-3 Multipliers'!$L$3:$N$6,3,FALSE)=0,"Spatial Data Missing ⚠",VLOOKUP(AA57,'G-3 Multipliers'!$L$3:$N$6,3,FALSE)))</f>
        <v/>
      </c>
      <c r="AD57" s="400" t="str">
        <f t="shared" si="2"/>
        <v/>
      </c>
      <c r="AE57" s="63"/>
      <c r="AF57" s="63"/>
      <c r="AG57" s="370" t="str">
        <f t="shared" si="6"/>
        <v/>
      </c>
      <c r="AH57" s="383" t="str">
        <f t="shared" si="7"/>
        <v/>
      </c>
      <c r="AI57" s="384" t="str">
        <f>IF(AH57="Check Data","Check Data",IFERROR(VLOOKUP(AH57,'G-4 Temporal multipliers'!$A$4:$C$36,3,FALSE),""))</f>
        <v/>
      </c>
      <c r="AJ57" s="362" t="str">
        <f>IF(S57="","",VLOOKUP(S57,'G-3 Multipliers'!$A$2:$E$134,4,FALSE))</f>
        <v/>
      </c>
      <c r="AK57" s="370" t="str">
        <f t="shared" si="8"/>
        <v/>
      </c>
      <c r="AL57" s="370" t="str">
        <f t="shared" si="9"/>
        <v/>
      </c>
      <c r="AM57" s="401" t="str">
        <f>IFERROR(IF(F57="","",IF(AH57="Check Data ⚠","Check Data ⚠",VLOOKUP(AL57, 'G-3 Multipliers'!$P$2:$Q$6,2,FALSE))),"")</f>
        <v/>
      </c>
      <c r="AN57" s="376" t="str">
        <f t="shared" si="10"/>
        <v/>
      </c>
      <c r="AO57" s="194"/>
      <c r="AP57" s="195"/>
      <c r="AQ57" s="120"/>
    </row>
    <row r="58" spans="1:43">
      <c r="A58" s="35" t="str">
        <f>IF(E58="","",IF(ISNA(VLOOKUP($E58,'A-1 On-Site Habitat Baseline'!$D$1:$O$258,2,FALSE)),"",(VLOOKUP($E58,'A-1 On-Site Habitat Baseline'!$D$1:$O$258,2,FALSE))))</f>
        <v/>
      </c>
      <c r="B58" s="35" t="str">
        <f>IF(E58="","",IF(ISNA(VLOOKUP($E58,'A-1 On-Site Habitat Baseline'!$D$1:$O$258,3,FALSE)),"",(VLOOKUP($E58,'A-1 On-Site Habitat Baseline'!$D$1:$O$258,3,FALSE))))</f>
        <v/>
      </c>
      <c r="C58" s="35" t="str">
        <f>IFERROR(INDEX('G-8 Condition Look up'!$I$4:$I$135,MATCH(S58,'G-8 Condition Look up'!$A$4:$A$135,0)),"")</f>
        <v/>
      </c>
      <c r="E58" s="392" t="str">
        <f>'A-1 On-Site Habitat Baseline'!AL57</f>
        <v/>
      </c>
      <c r="F58" s="382" t="str">
        <f>IF(E58="","",IF(ISNA(VLOOKUP($E58,'A-1 On-Site Habitat Baseline'!$D$1:$O$258,4,FALSE)),"",(VLOOKUP($E58,'A-1 On-Site Habitat Baseline'!$D$1:$O$258,4,FALSE))))</f>
        <v/>
      </c>
      <c r="G58" s="382" t="str">
        <f>IF(E58="","",IF(ISNA(VLOOKUP($E58,'A-1 On-Site Habitat Baseline'!$D$1:$O$258,5,FALSE)),"",(VLOOKUP($E58,'A-1 On-Site Habitat Baseline'!$D$1:$O$258,5,FALSE))))</f>
        <v/>
      </c>
      <c r="H58" s="382" t="str">
        <f>IF(E58="","",IF(ISNA(VLOOKUP($E58,'A-1 On-Site Habitat Baseline'!$D$1:$O$258,6,FALSE)),"",(VLOOKUP($E58,'A-1 On-Site Habitat Baseline'!$D$1:$O$258,6,FALSE))))</f>
        <v/>
      </c>
      <c r="I58" s="382" t="str">
        <f>IF(E58="","",IF(ISNA(VLOOKUP($E58,'A-1 On-Site Habitat Baseline'!$D$1:$O$258,7,FALSE)),"",(VLOOKUP($E58,'A-1 On-Site Habitat Baseline'!$D$1:$O$258,7,FALSE))))</f>
        <v/>
      </c>
      <c r="J58" s="382" t="str">
        <f>IF(E58="","",IF(ISNA(VLOOKUP($E58,'A-1 On-Site Habitat Baseline'!$D$1:$O$258,8,FALSE)),"",(VLOOKUP($E58,'A-1 On-Site Habitat Baseline'!$D$1:$O$258,8,FALSE))))</f>
        <v/>
      </c>
      <c r="K58" s="382" t="str">
        <f>IF(E58="","",IF(ISNA(VLOOKUP($E58,'A-1 On-Site Habitat Baseline'!$D$1:$O$258,9,FALSE)),"",(VLOOKUP($E58,'A-1 On-Site Habitat Baseline'!$D$1:$O$258,9,FALSE))))</f>
        <v/>
      </c>
      <c r="L58" s="382" t="str">
        <f>IF(E58="","",IF(ISNA(VLOOKUP($E58,'A-1 On-Site Habitat Baseline'!$D$1:$O$258,11,FALSE)),"",(VLOOKUP($E58,'A-1 On-Site Habitat Baseline'!$D$1:$O$258,11,FALSE))))</f>
        <v/>
      </c>
      <c r="M58" s="382" t="str">
        <f>IF(E58="","",IF(ISNA(VLOOKUP($E58,'A-1 On-Site Habitat Baseline'!$D$1:$O$258,12,FALSE)),"",(VLOOKUP($E58,'A-1 On-Site Habitat Baseline'!$D$1:$O$258,12,FALSE))))</f>
        <v/>
      </c>
      <c r="N58" s="393" t="str">
        <f>IF(E58="","",IF(ISNA(VLOOKUP($E58,'A-1 On-Site Habitat Baseline'!$D$1:$X$258,14,FALSE)),"",(VLOOKUP($E58,'A-1 On-Site Habitat Baseline'!$D$1:$X$258,14,FALSE))))</f>
        <v/>
      </c>
      <c r="O58" s="386" t="str">
        <f>IF(E58="","",IF(ISNA(VLOOKUP($E58,'A-1 On-Site Habitat Baseline'!$D$1:$X$258,16,FALSE)),"",(VLOOKUP($E58,'A-1 On-Site Habitat Baseline'!$D$1:$X$258,13,FALSE))))</f>
        <v/>
      </c>
      <c r="P58" s="192" t="str">
        <f>IFERROR(INDEX('G-1 All Habitats'!$AG$3:$AG$17,MATCH(Q58,'G-1 All Habitats'!$AF$3:$AF$17,0)),"")</f>
        <v/>
      </c>
      <c r="Q58" s="193" t="str">
        <f t="shared" si="0"/>
        <v/>
      </c>
      <c r="R58" s="193" t="str">
        <f t="shared" si="1"/>
        <v/>
      </c>
      <c r="S58" s="306" t="str">
        <f>IFERROR(INDEX('G-1 All Habitats'!$B$3:$B$134,MATCH(R58,'G-1 All Habitats'!$A$3:$A$134,0)),"")</f>
        <v/>
      </c>
      <c r="T58" s="362" t="str">
        <f t="shared" si="3"/>
        <v/>
      </c>
      <c r="U58" s="363" t="str">
        <f t="shared" si="4"/>
        <v/>
      </c>
      <c r="V58" s="398" t="str">
        <f t="shared" si="5"/>
        <v/>
      </c>
      <c r="W58" s="382" t="str">
        <f>IF(S58="","",VLOOKUP(S58,'G-1 All Habitats'!$B$2:$M$134,10,FALSE))</f>
        <v/>
      </c>
      <c r="X58" s="382" t="str">
        <f>IFERROR(VLOOKUP(W58,'G-1 All Habitats'!$V$3:$W$7,2,FALSE),"")</f>
        <v/>
      </c>
      <c r="Y58" s="61"/>
      <c r="Z58" s="386" t="str">
        <f>IFERROR(INDEX('G-8 Condition Look up'!$A$3:$H$135,MATCH(S58,'G-8 Condition Look up'!$A$3:$A$135,0),MATCH(Y58,'G-8 Condition Look up'!$A$3:$H$3,0)),"")</f>
        <v/>
      </c>
      <c r="AA58" s="54"/>
      <c r="AB58" s="382" t="str">
        <f>IF(AA58="","",IF(VLOOKUP(AA58,'G-3 Multipliers'!$L$3:$N$6,2,FALSE)=0,"Spatial Data Missing ⚠",VLOOKUP(AA58,'G-3 Multipliers'!$L$3:$N$6,2,FALSE)))</f>
        <v/>
      </c>
      <c r="AC58" s="386" t="str">
        <f>IF(AA58="","",IF(VLOOKUP(AA58,'G-3 Multipliers'!$L$3:$N$6,3,FALSE)=0,"Spatial Data Missing ⚠",VLOOKUP(AA58,'G-3 Multipliers'!$L$3:$N$6,3,FALSE)))</f>
        <v/>
      </c>
      <c r="AD58" s="400" t="str">
        <f t="shared" si="2"/>
        <v/>
      </c>
      <c r="AE58" s="63"/>
      <c r="AF58" s="63"/>
      <c r="AG58" s="370" t="str">
        <f t="shared" si="6"/>
        <v/>
      </c>
      <c r="AH58" s="383" t="str">
        <f t="shared" si="7"/>
        <v/>
      </c>
      <c r="AI58" s="384" t="str">
        <f>IF(AH58="Check Data","Check Data",IFERROR(VLOOKUP(AH58,'G-4 Temporal multipliers'!$A$4:$C$36,3,FALSE),""))</f>
        <v/>
      </c>
      <c r="AJ58" s="362" t="str">
        <f>IF(S58="","",VLOOKUP(S58,'G-3 Multipliers'!$A$2:$E$134,4,FALSE))</f>
        <v/>
      </c>
      <c r="AK58" s="370" t="str">
        <f t="shared" si="8"/>
        <v/>
      </c>
      <c r="AL58" s="370" t="str">
        <f t="shared" si="9"/>
        <v/>
      </c>
      <c r="AM58" s="401" t="str">
        <f>IFERROR(IF(F58="","",IF(AH58="Check Data ⚠","Check Data ⚠",VLOOKUP(AL58, 'G-3 Multipliers'!$P$2:$Q$6,2,FALSE))),"")</f>
        <v/>
      </c>
      <c r="AN58" s="376" t="str">
        <f t="shared" si="10"/>
        <v/>
      </c>
      <c r="AO58" s="194"/>
      <c r="AP58" s="195"/>
      <c r="AQ58" s="120"/>
    </row>
    <row r="59" spans="1:43">
      <c r="A59" s="35" t="str">
        <f>IF(E59="","",IF(ISNA(VLOOKUP($E59,'A-1 On-Site Habitat Baseline'!$D$1:$O$258,2,FALSE)),"",(VLOOKUP($E59,'A-1 On-Site Habitat Baseline'!$D$1:$O$258,2,FALSE))))</f>
        <v/>
      </c>
      <c r="B59" s="35" t="str">
        <f>IF(E59="","",IF(ISNA(VLOOKUP($E59,'A-1 On-Site Habitat Baseline'!$D$1:$O$258,3,FALSE)),"",(VLOOKUP($E59,'A-1 On-Site Habitat Baseline'!$D$1:$O$258,3,FALSE))))</f>
        <v/>
      </c>
      <c r="C59" s="35" t="str">
        <f>IFERROR(INDEX('G-8 Condition Look up'!$I$4:$I$135,MATCH(S59,'G-8 Condition Look up'!$A$4:$A$135,0)),"")</f>
        <v/>
      </c>
      <c r="E59" s="392" t="str">
        <f>'A-1 On-Site Habitat Baseline'!AL58</f>
        <v/>
      </c>
      <c r="F59" s="382" t="str">
        <f>IF(E59="","",IF(ISNA(VLOOKUP($E59,'A-1 On-Site Habitat Baseline'!$D$1:$O$258,4,FALSE)),"",(VLOOKUP($E59,'A-1 On-Site Habitat Baseline'!$D$1:$O$258,4,FALSE))))</f>
        <v/>
      </c>
      <c r="G59" s="382" t="str">
        <f>IF(E59="","",IF(ISNA(VLOOKUP($E59,'A-1 On-Site Habitat Baseline'!$D$1:$O$258,5,FALSE)),"",(VLOOKUP($E59,'A-1 On-Site Habitat Baseline'!$D$1:$O$258,5,FALSE))))</f>
        <v/>
      </c>
      <c r="H59" s="382" t="str">
        <f>IF(E59="","",IF(ISNA(VLOOKUP($E59,'A-1 On-Site Habitat Baseline'!$D$1:$O$258,6,FALSE)),"",(VLOOKUP($E59,'A-1 On-Site Habitat Baseline'!$D$1:$O$258,6,FALSE))))</f>
        <v/>
      </c>
      <c r="I59" s="382" t="str">
        <f>IF(E59="","",IF(ISNA(VLOOKUP($E59,'A-1 On-Site Habitat Baseline'!$D$1:$O$258,7,FALSE)),"",(VLOOKUP($E59,'A-1 On-Site Habitat Baseline'!$D$1:$O$258,7,FALSE))))</f>
        <v/>
      </c>
      <c r="J59" s="382" t="str">
        <f>IF(E59="","",IF(ISNA(VLOOKUP($E59,'A-1 On-Site Habitat Baseline'!$D$1:$O$258,8,FALSE)),"",(VLOOKUP($E59,'A-1 On-Site Habitat Baseline'!$D$1:$O$258,8,FALSE))))</f>
        <v/>
      </c>
      <c r="K59" s="382" t="str">
        <f>IF(E59="","",IF(ISNA(VLOOKUP($E59,'A-1 On-Site Habitat Baseline'!$D$1:$O$258,9,FALSE)),"",(VLOOKUP($E59,'A-1 On-Site Habitat Baseline'!$D$1:$O$258,9,FALSE))))</f>
        <v/>
      </c>
      <c r="L59" s="382" t="str">
        <f>IF(E59="","",IF(ISNA(VLOOKUP($E59,'A-1 On-Site Habitat Baseline'!$D$1:$O$258,11,FALSE)),"",(VLOOKUP($E59,'A-1 On-Site Habitat Baseline'!$D$1:$O$258,11,FALSE))))</f>
        <v/>
      </c>
      <c r="M59" s="382" t="str">
        <f>IF(E59="","",IF(ISNA(VLOOKUP($E59,'A-1 On-Site Habitat Baseline'!$D$1:$O$258,12,FALSE)),"",(VLOOKUP($E59,'A-1 On-Site Habitat Baseline'!$D$1:$O$258,12,FALSE))))</f>
        <v/>
      </c>
      <c r="N59" s="393" t="str">
        <f>IF(E59="","",IF(ISNA(VLOOKUP($E59,'A-1 On-Site Habitat Baseline'!$D$1:$X$258,14,FALSE)),"",(VLOOKUP($E59,'A-1 On-Site Habitat Baseline'!$D$1:$X$258,14,FALSE))))</f>
        <v/>
      </c>
      <c r="O59" s="386" t="str">
        <f>IF(E59="","",IF(ISNA(VLOOKUP($E59,'A-1 On-Site Habitat Baseline'!$D$1:$X$258,16,FALSE)),"",(VLOOKUP($E59,'A-1 On-Site Habitat Baseline'!$D$1:$X$258,13,FALSE))))</f>
        <v/>
      </c>
      <c r="P59" s="192" t="str">
        <f>IFERROR(INDEX('G-1 All Habitats'!$AG$3:$AG$17,MATCH(Q59,'G-1 All Habitats'!$AF$3:$AF$17,0)),"")</f>
        <v/>
      </c>
      <c r="Q59" s="193" t="str">
        <f t="shared" si="0"/>
        <v/>
      </c>
      <c r="R59" s="193" t="str">
        <f t="shared" si="1"/>
        <v/>
      </c>
      <c r="S59" s="306" t="str">
        <f>IFERROR(INDEX('G-1 All Habitats'!$B$3:$B$134,MATCH(R59,'G-1 All Habitats'!$A$3:$A$134,0)),"")</f>
        <v/>
      </c>
      <c r="T59" s="362" t="str">
        <f t="shared" si="3"/>
        <v/>
      </c>
      <c r="U59" s="363" t="str">
        <f t="shared" si="4"/>
        <v/>
      </c>
      <c r="V59" s="398" t="str">
        <f t="shared" si="5"/>
        <v/>
      </c>
      <c r="W59" s="382" t="str">
        <f>IF(S59="","",VLOOKUP(S59,'G-1 All Habitats'!$B$2:$M$134,10,FALSE))</f>
        <v/>
      </c>
      <c r="X59" s="382" t="str">
        <f>IFERROR(VLOOKUP(W59,'G-1 All Habitats'!$V$3:$W$7,2,FALSE),"")</f>
        <v/>
      </c>
      <c r="Y59" s="61"/>
      <c r="Z59" s="386" t="str">
        <f>IFERROR(INDEX('G-8 Condition Look up'!$A$3:$H$135,MATCH(S59,'G-8 Condition Look up'!$A$3:$A$135,0),MATCH(Y59,'G-8 Condition Look up'!$A$3:$H$3,0)),"")</f>
        <v/>
      </c>
      <c r="AA59" s="54"/>
      <c r="AB59" s="382" t="str">
        <f>IF(AA59="","",IF(VLOOKUP(AA59,'G-3 Multipliers'!$L$3:$N$6,2,FALSE)=0,"Spatial Data Missing ⚠",VLOOKUP(AA59,'G-3 Multipliers'!$L$3:$N$6,2,FALSE)))</f>
        <v/>
      </c>
      <c r="AC59" s="386" t="str">
        <f>IF(AA59="","",IF(VLOOKUP(AA59,'G-3 Multipliers'!$L$3:$N$6,3,FALSE)=0,"Spatial Data Missing ⚠",VLOOKUP(AA59,'G-3 Multipliers'!$L$3:$N$6,3,FALSE)))</f>
        <v/>
      </c>
      <c r="AD59" s="400" t="str">
        <f t="shared" si="2"/>
        <v/>
      </c>
      <c r="AE59" s="63"/>
      <c r="AF59" s="63"/>
      <c r="AG59" s="370" t="str">
        <f t="shared" si="6"/>
        <v/>
      </c>
      <c r="AH59" s="383" t="str">
        <f t="shared" si="7"/>
        <v/>
      </c>
      <c r="AI59" s="384" t="str">
        <f>IF(AH59="Check Data","Check Data",IFERROR(VLOOKUP(AH59,'G-4 Temporal multipliers'!$A$4:$C$36,3,FALSE),""))</f>
        <v/>
      </c>
      <c r="AJ59" s="362" t="str">
        <f>IF(S59="","",VLOOKUP(S59,'G-3 Multipliers'!$A$2:$E$134,4,FALSE))</f>
        <v/>
      </c>
      <c r="AK59" s="370" t="str">
        <f t="shared" si="8"/>
        <v/>
      </c>
      <c r="AL59" s="370" t="str">
        <f t="shared" si="9"/>
        <v/>
      </c>
      <c r="AM59" s="401" t="str">
        <f>IFERROR(IF(F59="","",IF(AH59="Check Data ⚠","Check Data ⚠",VLOOKUP(AL59, 'G-3 Multipliers'!$P$2:$Q$6,2,FALSE))),"")</f>
        <v/>
      </c>
      <c r="AN59" s="376" t="str">
        <f t="shared" si="10"/>
        <v/>
      </c>
      <c r="AO59" s="194"/>
      <c r="AP59" s="195"/>
      <c r="AQ59" s="120"/>
    </row>
    <row r="60" spans="1:43">
      <c r="A60" s="35" t="str">
        <f>IF(E60="","",IF(ISNA(VLOOKUP($E60,'A-1 On-Site Habitat Baseline'!$D$1:$O$258,2,FALSE)),"",(VLOOKUP($E60,'A-1 On-Site Habitat Baseline'!$D$1:$O$258,2,FALSE))))</f>
        <v/>
      </c>
      <c r="B60" s="35" t="str">
        <f>IF(E60="","",IF(ISNA(VLOOKUP($E60,'A-1 On-Site Habitat Baseline'!$D$1:$O$258,3,FALSE)),"",(VLOOKUP($E60,'A-1 On-Site Habitat Baseline'!$D$1:$O$258,3,FALSE))))</f>
        <v/>
      </c>
      <c r="C60" s="35" t="str">
        <f>IFERROR(INDEX('G-8 Condition Look up'!$I$4:$I$135,MATCH(S60,'G-8 Condition Look up'!$A$4:$A$135,0)),"")</f>
        <v/>
      </c>
      <c r="E60" s="392" t="str">
        <f>'A-1 On-Site Habitat Baseline'!AL59</f>
        <v/>
      </c>
      <c r="F60" s="382" t="str">
        <f>IF(E60="","",IF(ISNA(VLOOKUP($E60,'A-1 On-Site Habitat Baseline'!$D$1:$O$258,4,FALSE)),"",(VLOOKUP($E60,'A-1 On-Site Habitat Baseline'!$D$1:$O$258,4,FALSE))))</f>
        <v/>
      </c>
      <c r="G60" s="382" t="str">
        <f>IF(E60="","",IF(ISNA(VLOOKUP($E60,'A-1 On-Site Habitat Baseline'!$D$1:$O$258,5,FALSE)),"",(VLOOKUP($E60,'A-1 On-Site Habitat Baseline'!$D$1:$O$258,5,FALSE))))</f>
        <v/>
      </c>
      <c r="H60" s="382" t="str">
        <f>IF(E60="","",IF(ISNA(VLOOKUP($E60,'A-1 On-Site Habitat Baseline'!$D$1:$O$258,6,FALSE)),"",(VLOOKUP($E60,'A-1 On-Site Habitat Baseline'!$D$1:$O$258,6,FALSE))))</f>
        <v/>
      </c>
      <c r="I60" s="382" t="str">
        <f>IF(E60="","",IF(ISNA(VLOOKUP($E60,'A-1 On-Site Habitat Baseline'!$D$1:$O$258,7,FALSE)),"",(VLOOKUP($E60,'A-1 On-Site Habitat Baseline'!$D$1:$O$258,7,FALSE))))</f>
        <v/>
      </c>
      <c r="J60" s="382" t="str">
        <f>IF(E60="","",IF(ISNA(VLOOKUP($E60,'A-1 On-Site Habitat Baseline'!$D$1:$O$258,8,FALSE)),"",(VLOOKUP($E60,'A-1 On-Site Habitat Baseline'!$D$1:$O$258,8,FALSE))))</f>
        <v/>
      </c>
      <c r="K60" s="382" t="str">
        <f>IF(E60="","",IF(ISNA(VLOOKUP($E60,'A-1 On-Site Habitat Baseline'!$D$1:$O$258,9,FALSE)),"",(VLOOKUP($E60,'A-1 On-Site Habitat Baseline'!$D$1:$O$258,9,FALSE))))</f>
        <v/>
      </c>
      <c r="L60" s="382" t="str">
        <f>IF(E60="","",IF(ISNA(VLOOKUP($E60,'A-1 On-Site Habitat Baseline'!$D$1:$O$258,11,FALSE)),"",(VLOOKUP($E60,'A-1 On-Site Habitat Baseline'!$D$1:$O$258,11,FALSE))))</f>
        <v/>
      </c>
      <c r="M60" s="382" t="str">
        <f>IF(E60="","",IF(ISNA(VLOOKUP($E60,'A-1 On-Site Habitat Baseline'!$D$1:$O$258,12,FALSE)),"",(VLOOKUP($E60,'A-1 On-Site Habitat Baseline'!$D$1:$O$258,12,FALSE))))</f>
        <v/>
      </c>
      <c r="N60" s="393" t="str">
        <f>IF(E60="","",IF(ISNA(VLOOKUP($E60,'A-1 On-Site Habitat Baseline'!$D$1:$X$258,14,FALSE)),"",(VLOOKUP($E60,'A-1 On-Site Habitat Baseline'!$D$1:$X$258,14,FALSE))))</f>
        <v/>
      </c>
      <c r="O60" s="386" t="str">
        <f>IF(E60="","",IF(ISNA(VLOOKUP($E60,'A-1 On-Site Habitat Baseline'!$D$1:$X$258,16,FALSE)),"",(VLOOKUP($E60,'A-1 On-Site Habitat Baseline'!$D$1:$X$258,13,FALSE))))</f>
        <v/>
      </c>
      <c r="P60" s="192" t="str">
        <f>IFERROR(INDEX('G-1 All Habitats'!$AG$3:$AG$17,MATCH(Q60,'G-1 All Habitats'!$AF$3:$AF$17,0)),"")</f>
        <v/>
      </c>
      <c r="Q60" s="193" t="str">
        <f t="shared" si="0"/>
        <v/>
      </c>
      <c r="R60" s="193" t="str">
        <f t="shared" si="1"/>
        <v/>
      </c>
      <c r="S60" s="306" t="str">
        <f>IFERROR(INDEX('G-1 All Habitats'!$B$3:$B$134,MATCH(R60,'G-1 All Habitats'!$A$3:$A$134,0)),"")</f>
        <v/>
      </c>
      <c r="T60" s="362" t="str">
        <f t="shared" si="3"/>
        <v/>
      </c>
      <c r="U60" s="363" t="str">
        <f t="shared" si="4"/>
        <v/>
      </c>
      <c r="V60" s="398" t="str">
        <f t="shared" si="5"/>
        <v/>
      </c>
      <c r="W60" s="382" t="str">
        <f>IF(S60="","",VLOOKUP(S60,'G-1 All Habitats'!$B$2:$M$134,10,FALSE))</f>
        <v/>
      </c>
      <c r="X60" s="382" t="str">
        <f>IFERROR(VLOOKUP(W60,'G-1 All Habitats'!$V$3:$W$7,2,FALSE),"")</f>
        <v/>
      </c>
      <c r="Y60" s="61"/>
      <c r="Z60" s="386" t="str">
        <f>IFERROR(INDEX('G-8 Condition Look up'!$A$3:$H$135,MATCH(S60,'G-8 Condition Look up'!$A$3:$A$135,0),MATCH(Y60,'G-8 Condition Look up'!$A$3:$H$3,0)),"")</f>
        <v/>
      </c>
      <c r="AA60" s="54"/>
      <c r="AB60" s="382" t="str">
        <f>IF(AA60="","",IF(VLOOKUP(AA60,'G-3 Multipliers'!$L$3:$N$6,2,FALSE)=0,"Spatial Data Missing ⚠",VLOOKUP(AA60,'G-3 Multipliers'!$L$3:$N$6,2,FALSE)))</f>
        <v/>
      </c>
      <c r="AC60" s="386" t="str">
        <f>IF(AA60="","",IF(VLOOKUP(AA60,'G-3 Multipliers'!$L$3:$N$6,3,FALSE)=0,"Spatial Data Missing ⚠",VLOOKUP(AA60,'G-3 Multipliers'!$L$3:$N$6,3,FALSE)))</f>
        <v/>
      </c>
      <c r="AD60" s="400" t="str">
        <f t="shared" si="2"/>
        <v/>
      </c>
      <c r="AE60" s="63"/>
      <c r="AF60" s="63"/>
      <c r="AG60" s="370" t="str">
        <f t="shared" si="6"/>
        <v/>
      </c>
      <c r="AH60" s="383" t="str">
        <f t="shared" si="7"/>
        <v/>
      </c>
      <c r="AI60" s="384" t="str">
        <f>IF(AH60="Check Data","Check Data",IFERROR(VLOOKUP(AH60,'G-4 Temporal multipliers'!$A$4:$C$36,3,FALSE),""))</f>
        <v/>
      </c>
      <c r="AJ60" s="362" t="str">
        <f>IF(S60="","",VLOOKUP(S60,'G-3 Multipliers'!$A$2:$E$134,4,FALSE))</f>
        <v/>
      </c>
      <c r="AK60" s="370" t="str">
        <f t="shared" si="8"/>
        <v/>
      </c>
      <c r="AL60" s="370" t="str">
        <f t="shared" si="9"/>
        <v/>
      </c>
      <c r="AM60" s="401" t="str">
        <f>IFERROR(IF(F60="","",IF(AH60="Check Data ⚠","Check Data ⚠",VLOOKUP(AL60, 'G-3 Multipliers'!$P$2:$Q$6,2,FALSE))),"")</f>
        <v/>
      </c>
      <c r="AN60" s="376" t="str">
        <f t="shared" si="10"/>
        <v/>
      </c>
      <c r="AO60" s="194"/>
      <c r="AP60" s="195"/>
      <c r="AQ60" s="120"/>
    </row>
    <row r="61" spans="1:43">
      <c r="A61" s="35" t="str">
        <f>IF(E61="","",IF(ISNA(VLOOKUP($E61,'A-1 On-Site Habitat Baseline'!$D$1:$O$258,2,FALSE)),"",(VLOOKUP($E61,'A-1 On-Site Habitat Baseline'!$D$1:$O$258,2,FALSE))))</f>
        <v/>
      </c>
      <c r="B61" s="35" t="str">
        <f>IF(E61="","",IF(ISNA(VLOOKUP($E61,'A-1 On-Site Habitat Baseline'!$D$1:$O$258,3,FALSE)),"",(VLOOKUP($E61,'A-1 On-Site Habitat Baseline'!$D$1:$O$258,3,FALSE))))</f>
        <v/>
      </c>
      <c r="C61" s="35" t="str">
        <f>IFERROR(INDEX('G-8 Condition Look up'!$I$4:$I$135,MATCH(S61,'G-8 Condition Look up'!$A$4:$A$135,0)),"")</f>
        <v/>
      </c>
      <c r="E61" s="392" t="str">
        <f>'A-1 On-Site Habitat Baseline'!AL60</f>
        <v/>
      </c>
      <c r="F61" s="382" t="str">
        <f>IF(E61="","",IF(ISNA(VLOOKUP($E61,'A-1 On-Site Habitat Baseline'!$D$1:$O$258,4,FALSE)),"",(VLOOKUP($E61,'A-1 On-Site Habitat Baseline'!$D$1:$O$258,4,FALSE))))</f>
        <v/>
      </c>
      <c r="G61" s="382" t="str">
        <f>IF(E61="","",IF(ISNA(VLOOKUP($E61,'A-1 On-Site Habitat Baseline'!$D$1:$O$258,5,FALSE)),"",(VLOOKUP($E61,'A-1 On-Site Habitat Baseline'!$D$1:$O$258,5,FALSE))))</f>
        <v/>
      </c>
      <c r="H61" s="382" t="str">
        <f>IF(E61="","",IF(ISNA(VLOOKUP($E61,'A-1 On-Site Habitat Baseline'!$D$1:$O$258,6,FALSE)),"",(VLOOKUP($E61,'A-1 On-Site Habitat Baseline'!$D$1:$O$258,6,FALSE))))</f>
        <v/>
      </c>
      <c r="I61" s="382" t="str">
        <f>IF(E61="","",IF(ISNA(VLOOKUP($E61,'A-1 On-Site Habitat Baseline'!$D$1:$O$258,7,FALSE)),"",(VLOOKUP($E61,'A-1 On-Site Habitat Baseline'!$D$1:$O$258,7,FALSE))))</f>
        <v/>
      </c>
      <c r="J61" s="382" t="str">
        <f>IF(E61="","",IF(ISNA(VLOOKUP($E61,'A-1 On-Site Habitat Baseline'!$D$1:$O$258,8,FALSE)),"",(VLOOKUP($E61,'A-1 On-Site Habitat Baseline'!$D$1:$O$258,8,FALSE))))</f>
        <v/>
      </c>
      <c r="K61" s="382" t="str">
        <f>IF(E61="","",IF(ISNA(VLOOKUP($E61,'A-1 On-Site Habitat Baseline'!$D$1:$O$258,9,FALSE)),"",(VLOOKUP($E61,'A-1 On-Site Habitat Baseline'!$D$1:$O$258,9,FALSE))))</f>
        <v/>
      </c>
      <c r="L61" s="382" t="str">
        <f>IF(E61="","",IF(ISNA(VLOOKUP($E61,'A-1 On-Site Habitat Baseline'!$D$1:$O$258,11,FALSE)),"",(VLOOKUP($E61,'A-1 On-Site Habitat Baseline'!$D$1:$O$258,11,FALSE))))</f>
        <v/>
      </c>
      <c r="M61" s="382" t="str">
        <f>IF(E61="","",IF(ISNA(VLOOKUP($E61,'A-1 On-Site Habitat Baseline'!$D$1:$O$258,12,FALSE)),"",(VLOOKUP($E61,'A-1 On-Site Habitat Baseline'!$D$1:$O$258,12,FALSE))))</f>
        <v/>
      </c>
      <c r="N61" s="393" t="str">
        <f>IF(E61="","",IF(ISNA(VLOOKUP($E61,'A-1 On-Site Habitat Baseline'!$D$1:$X$258,14,FALSE)),"",(VLOOKUP($E61,'A-1 On-Site Habitat Baseline'!$D$1:$X$258,14,FALSE))))</f>
        <v/>
      </c>
      <c r="O61" s="386" t="str">
        <f>IF(E61="","",IF(ISNA(VLOOKUP($E61,'A-1 On-Site Habitat Baseline'!$D$1:$X$258,16,FALSE)),"",(VLOOKUP($E61,'A-1 On-Site Habitat Baseline'!$D$1:$X$258,13,FALSE))))</f>
        <v/>
      </c>
      <c r="P61" s="192" t="str">
        <f>IFERROR(INDEX('G-1 All Habitats'!$AG$3:$AG$17,MATCH(Q61,'G-1 All Habitats'!$AF$3:$AF$17,0)),"")</f>
        <v/>
      </c>
      <c r="Q61" s="193" t="str">
        <f t="shared" si="0"/>
        <v/>
      </c>
      <c r="R61" s="193" t="str">
        <f t="shared" si="1"/>
        <v/>
      </c>
      <c r="S61" s="306" t="str">
        <f>IFERROR(INDEX('G-1 All Habitats'!$B$3:$B$134,MATCH(R61,'G-1 All Habitats'!$A$3:$A$134,0)),"")</f>
        <v/>
      </c>
      <c r="T61" s="362" t="str">
        <f t="shared" si="3"/>
        <v/>
      </c>
      <c r="U61" s="363" t="str">
        <f t="shared" si="4"/>
        <v/>
      </c>
      <c r="V61" s="398" t="str">
        <f t="shared" si="5"/>
        <v/>
      </c>
      <c r="W61" s="382" t="str">
        <f>IF(S61="","",VLOOKUP(S61,'G-1 All Habitats'!$B$2:$M$134,10,FALSE))</f>
        <v/>
      </c>
      <c r="X61" s="382" t="str">
        <f>IFERROR(VLOOKUP(W61,'G-1 All Habitats'!$V$3:$W$7,2,FALSE),"")</f>
        <v/>
      </c>
      <c r="Y61" s="61"/>
      <c r="Z61" s="386" t="str">
        <f>IFERROR(INDEX('G-8 Condition Look up'!$A$3:$H$135,MATCH(S61,'G-8 Condition Look up'!$A$3:$A$135,0),MATCH(Y61,'G-8 Condition Look up'!$A$3:$H$3,0)),"")</f>
        <v/>
      </c>
      <c r="AA61" s="54"/>
      <c r="AB61" s="382" t="str">
        <f>IF(AA61="","",IF(VLOOKUP(AA61,'G-3 Multipliers'!$L$3:$N$6,2,FALSE)=0,"Spatial Data Missing ⚠",VLOOKUP(AA61,'G-3 Multipliers'!$L$3:$N$6,2,FALSE)))</f>
        <v/>
      </c>
      <c r="AC61" s="386" t="str">
        <f>IF(AA61="","",IF(VLOOKUP(AA61,'G-3 Multipliers'!$L$3:$N$6,3,FALSE)=0,"Spatial Data Missing ⚠",VLOOKUP(AA61,'G-3 Multipliers'!$L$3:$N$6,3,FALSE)))</f>
        <v/>
      </c>
      <c r="AD61" s="400" t="str">
        <f t="shared" si="2"/>
        <v/>
      </c>
      <c r="AE61" s="63"/>
      <c r="AF61" s="63"/>
      <c r="AG61" s="370" t="str">
        <f t="shared" si="6"/>
        <v/>
      </c>
      <c r="AH61" s="383" t="str">
        <f t="shared" si="7"/>
        <v/>
      </c>
      <c r="AI61" s="384" t="str">
        <f>IF(AH61="Check Data","Check Data",IFERROR(VLOOKUP(AH61,'G-4 Temporal multipliers'!$A$4:$C$36,3,FALSE),""))</f>
        <v/>
      </c>
      <c r="AJ61" s="362" t="str">
        <f>IF(S61="","",VLOOKUP(S61,'G-3 Multipliers'!$A$2:$E$134,4,FALSE))</f>
        <v/>
      </c>
      <c r="AK61" s="370" t="str">
        <f t="shared" si="8"/>
        <v/>
      </c>
      <c r="AL61" s="370" t="str">
        <f t="shared" si="9"/>
        <v/>
      </c>
      <c r="AM61" s="401" t="str">
        <f>IFERROR(IF(F61="","",IF(AH61="Check Data ⚠","Check Data ⚠",VLOOKUP(AL61, 'G-3 Multipliers'!$P$2:$Q$6,2,FALSE))),"")</f>
        <v/>
      </c>
      <c r="AN61" s="376" t="str">
        <f t="shared" si="10"/>
        <v/>
      </c>
      <c r="AO61" s="194"/>
      <c r="AP61" s="195"/>
      <c r="AQ61" s="120"/>
    </row>
    <row r="62" spans="1:43">
      <c r="A62" s="35" t="str">
        <f>IF(E62="","",IF(ISNA(VLOOKUP($E62,'A-1 On-Site Habitat Baseline'!$D$1:$O$258,2,FALSE)),"",(VLOOKUP($E62,'A-1 On-Site Habitat Baseline'!$D$1:$O$258,2,FALSE))))</f>
        <v/>
      </c>
      <c r="B62" s="35" t="str">
        <f>IF(E62="","",IF(ISNA(VLOOKUP($E62,'A-1 On-Site Habitat Baseline'!$D$1:$O$258,3,FALSE)),"",(VLOOKUP($E62,'A-1 On-Site Habitat Baseline'!$D$1:$O$258,3,FALSE))))</f>
        <v/>
      </c>
      <c r="C62" s="35" t="str">
        <f>IFERROR(INDEX('G-8 Condition Look up'!$I$4:$I$135,MATCH(S62,'G-8 Condition Look up'!$A$4:$A$135,0)),"")</f>
        <v/>
      </c>
      <c r="E62" s="392" t="str">
        <f>'A-1 On-Site Habitat Baseline'!AL61</f>
        <v/>
      </c>
      <c r="F62" s="382" t="str">
        <f>IF(E62="","",IF(ISNA(VLOOKUP($E62,'A-1 On-Site Habitat Baseline'!$D$1:$O$258,4,FALSE)),"",(VLOOKUP($E62,'A-1 On-Site Habitat Baseline'!$D$1:$O$258,4,FALSE))))</f>
        <v/>
      </c>
      <c r="G62" s="382" t="str">
        <f>IF(E62="","",IF(ISNA(VLOOKUP($E62,'A-1 On-Site Habitat Baseline'!$D$1:$O$258,5,FALSE)),"",(VLOOKUP($E62,'A-1 On-Site Habitat Baseline'!$D$1:$O$258,5,FALSE))))</f>
        <v/>
      </c>
      <c r="H62" s="382" t="str">
        <f>IF(E62="","",IF(ISNA(VLOOKUP($E62,'A-1 On-Site Habitat Baseline'!$D$1:$O$258,6,FALSE)),"",(VLOOKUP($E62,'A-1 On-Site Habitat Baseline'!$D$1:$O$258,6,FALSE))))</f>
        <v/>
      </c>
      <c r="I62" s="382" t="str">
        <f>IF(E62="","",IF(ISNA(VLOOKUP($E62,'A-1 On-Site Habitat Baseline'!$D$1:$O$258,7,FALSE)),"",(VLOOKUP($E62,'A-1 On-Site Habitat Baseline'!$D$1:$O$258,7,FALSE))))</f>
        <v/>
      </c>
      <c r="J62" s="382" t="str">
        <f>IF(E62="","",IF(ISNA(VLOOKUP($E62,'A-1 On-Site Habitat Baseline'!$D$1:$O$258,8,FALSE)),"",(VLOOKUP($E62,'A-1 On-Site Habitat Baseline'!$D$1:$O$258,8,FALSE))))</f>
        <v/>
      </c>
      <c r="K62" s="382" t="str">
        <f>IF(E62="","",IF(ISNA(VLOOKUP($E62,'A-1 On-Site Habitat Baseline'!$D$1:$O$258,9,FALSE)),"",(VLOOKUP($E62,'A-1 On-Site Habitat Baseline'!$D$1:$O$258,9,FALSE))))</f>
        <v/>
      </c>
      <c r="L62" s="382" t="str">
        <f>IF(E62="","",IF(ISNA(VLOOKUP($E62,'A-1 On-Site Habitat Baseline'!$D$1:$O$258,11,FALSE)),"",(VLOOKUP($E62,'A-1 On-Site Habitat Baseline'!$D$1:$O$258,11,FALSE))))</f>
        <v/>
      </c>
      <c r="M62" s="382" t="str">
        <f>IF(E62="","",IF(ISNA(VLOOKUP($E62,'A-1 On-Site Habitat Baseline'!$D$1:$O$258,12,FALSE)),"",(VLOOKUP($E62,'A-1 On-Site Habitat Baseline'!$D$1:$O$258,12,FALSE))))</f>
        <v/>
      </c>
      <c r="N62" s="393" t="str">
        <f>IF(E62="","",IF(ISNA(VLOOKUP($E62,'A-1 On-Site Habitat Baseline'!$D$1:$X$258,14,FALSE)),"",(VLOOKUP($E62,'A-1 On-Site Habitat Baseline'!$D$1:$X$258,14,FALSE))))</f>
        <v/>
      </c>
      <c r="O62" s="386" t="str">
        <f>IF(E62="","",IF(ISNA(VLOOKUP($E62,'A-1 On-Site Habitat Baseline'!$D$1:$X$258,16,FALSE)),"",(VLOOKUP($E62,'A-1 On-Site Habitat Baseline'!$D$1:$X$258,13,FALSE))))</f>
        <v/>
      </c>
      <c r="P62" s="192" t="str">
        <f>IFERROR(INDEX('G-1 All Habitats'!$AG$3:$AG$17,MATCH(Q62,'G-1 All Habitats'!$AF$3:$AF$17,0)),"")</f>
        <v/>
      </c>
      <c r="Q62" s="193" t="str">
        <f t="shared" si="0"/>
        <v/>
      </c>
      <c r="R62" s="193" t="str">
        <f t="shared" si="1"/>
        <v/>
      </c>
      <c r="S62" s="306" t="str">
        <f>IFERROR(INDEX('G-1 All Habitats'!$B$3:$B$134,MATCH(R62,'G-1 All Habitats'!$A$3:$A$134,0)),"")</f>
        <v/>
      </c>
      <c r="T62" s="362" t="str">
        <f t="shared" si="3"/>
        <v/>
      </c>
      <c r="U62" s="363" t="str">
        <f t="shared" si="4"/>
        <v/>
      </c>
      <c r="V62" s="398" t="str">
        <f t="shared" si="5"/>
        <v/>
      </c>
      <c r="W62" s="382" t="str">
        <f>IF(S62="","",VLOOKUP(S62,'G-1 All Habitats'!$B$2:$M$134,10,FALSE))</f>
        <v/>
      </c>
      <c r="X62" s="382" t="str">
        <f>IFERROR(VLOOKUP(W62,'G-1 All Habitats'!$V$3:$W$7,2,FALSE),"")</f>
        <v/>
      </c>
      <c r="Y62" s="61"/>
      <c r="Z62" s="386" t="str">
        <f>IFERROR(INDEX('G-8 Condition Look up'!$A$3:$H$135,MATCH(S62,'G-8 Condition Look up'!$A$3:$A$135,0),MATCH(Y62,'G-8 Condition Look up'!$A$3:$H$3,0)),"")</f>
        <v/>
      </c>
      <c r="AA62" s="54"/>
      <c r="AB62" s="382" t="str">
        <f>IF(AA62="","",IF(VLOOKUP(AA62,'G-3 Multipliers'!$L$3:$N$6,2,FALSE)=0,"Spatial Data Missing ⚠",VLOOKUP(AA62,'G-3 Multipliers'!$L$3:$N$6,2,FALSE)))</f>
        <v/>
      </c>
      <c r="AC62" s="386" t="str">
        <f>IF(AA62="","",IF(VLOOKUP(AA62,'G-3 Multipliers'!$L$3:$N$6,3,FALSE)=0,"Spatial Data Missing ⚠",VLOOKUP(AA62,'G-3 Multipliers'!$L$3:$N$6,3,FALSE)))</f>
        <v/>
      </c>
      <c r="AD62" s="400" t="str">
        <f t="shared" si="2"/>
        <v/>
      </c>
      <c r="AE62" s="63"/>
      <c r="AF62" s="63"/>
      <c r="AG62" s="370" t="str">
        <f t="shared" si="6"/>
        <v/>
      </c>
      <c r="AH62" s="383" t="str">
        <f t="shared" si="7"/>
        <v/>
      </c>
      <c r="AI62" s="384" t="str">
        <f>IF(AH62="Check Data","Check Data",IFERROR(VLOOKUP(AH62,'G-4 Temporal multipliers'!$A$4:$C$36,3,FALSE),""))</f>
        <v/>
      </c>
      <c r="AJ62" s="362" t="str">
        <f>IF(S62="","",VLOOKUP(S62,'G-3 Multipliers'!$A$2:$E$134,4,FALSE))</f>
        <v/>
      </c>
      <c r="AK62" s="370" t="str">
        <f t="shared" si="8"/>
        <v/>
      </c>
      <c r="AL62" s="370" t="str">
        <f t="shared" si="9"/>
        <v/>
      </c>
      <c r="AM62" s="401" t="str">
        <f>IFERROR(IF(F62="","",IF(AH62="Check Data ⚠","Check Data ⚠",VLOOKUP(AL62, 'G-3 Multipliers'!$P$2:$Q$6,2,FALSE))),"")</f>
        <v/>
      </c>
      <c r="AN62" s="376" t="str">
        <f t="shared" si="10"/>
        <v/>
      </c>
      <c r="AO62" s="194"/>
      <c r="AP62" s="195"/>
      <c r="AQ62" s="120"/>
    </row>
    <row r="63" spans="1:43">
      <c r="A63" s="35" t="str">
        <f>IF(E63="","",IF(ISNA(VLOOKUP($E63,'A-1 On-Site Habitat Baseline'!$D$1:$O$258,2,FALSE)),"",(VLOOKUP($E63,'A-1 On-Site Habitat Baseline'!$D$1:$O$258,2,FALSE))))</f>
        <v/>
      </c>
      <c r="B63" s="35" t="str">
        <f>IF(E63="","",IF(ISNA(VLOOKUP($E63,'A-1 On-Site Habitat Baseline'!$D$1:$O$258,3,FALSE)),"",(VLOOKUP($E63,'A-1 On-Site Habitat Baseline'!$D$1:$O$258,3,FALSE))))</f>
        <v/>
      </c>
      <c r="C63" s="35" t="str">
        <f>IFERROR(INDEX('G-8 Condition Look up'!$I$4:$I$135,MATCH(S63,'G-8 Condition Look up'!$A$4:$A$135,0)),"")</f>
        <v/>
      </c>
      <c r="E63" s="392" t="str">
        <f>'A-1 On-Site Habitat Baseline'!AL62</f>
        <v/>
      </c>
      <c r="F63" s="382" t="str">
        <f>IF(E63="","",IF(ISNA(VLOOKUP($E63,'A-1 On-Site Habitat Baseline'!$D$1:$O$258,4,FALSE)),"",(VLOOKUP($E63,'A-1 On-Site Habitat Baseline'!$D$1:$O$258,4,FALSE))))</f>
        <v/>
      </c>
      <c r="G63" s="382" t="str">
        <f>IF(E63="","",IF(ISNA(VLOOKUP($E63,'A-1 On-Site Habitat Baseline'!$D$1:$O$258,5,FALSE)),"",(VLOOKUP($E63,'A-1 On-Site Habitat Baseline'!$D$1:$O$258,5,FALSE))))</f>
        <v/>
      </c>
      <c r="H63" s="382" t="str">
        <f>IF(E63="","",IF(ISNA(VLOOKUP($E63,'A-1 On-Site Habitat Baseline'!$D$1:$O$258,6,FALSE)),"",(VLOOKUP($E63,'A-1 On-Site Habitat Baseline'!$D$1:$O$258,6,FALSE))))</f>
        <v/>
      </c>
      <c r="I63" s="382" t="str">
        <f>IF(E63="","",IF(ISNA(VLOOKUP($E63,'A-1 On-Site Habitat Baseline'!$D$1:$O$258,7,FALSE)),"",(VLOOKUP($E63,'A-1 On-Site Habitat Baseline'!$D$1:$O$258,7,FALSE))))</f>
        <v/>
      </c>
      <c r="J63" s="382" t="str">
        <f>IF(E63="","",IF(ISNA(VLOOKUP($E63,'A-1 On-Site Habitat Baseline'!$D$1:$O$258,8,FALSE)),"",(VLOOKUP($E63,'A-1 On-Site Habitat Baseline'!$D$1:$O$258,8,FALSE))))</f>
        <v/>
      </c>
      <c r="K63" s="382" t="str">
        <f>IF(E63="","",IF(ISNA(VLOOKUP($E63,'A-1 On-Site Habitat Baseline'!$D$1:$O$258,9,FALSE)),"",(VLOOKUP($E63,'A-1 On-Site Habitat Baseline'!$D$1:$O$258,9,FALSE))))</f>
        <v/>
      </c>
      <c r="L63" s="382" t="str">
        <f>IF(E63="","",IF(ISNA(VLOOKUP($E63,'A-1 On-Site Habitat Baseline'!$D$1:$O$258,11,FALSE)),"",(VLOOKUP($E63,'A-1 On-Site Habitat Baseline'!$D$1:$O$258,11,FALSE))))</f>
        <v/>
      </c>
      <c r="M63" s="382" t="str">
        <f>IF(E63="","",IF(ISNA(VLOOKUP($E63,'A-1 On-Site Habitat Baseline'!$D$1:$O$258,12,FALSE)),"",(VLOOKUP($E63,'A-1 On-Site Habitat Baseline'!$D$1:$O$258,12,FALSE))))</f>
        <v/>
      </c>
      <c r="N63" s="393" t="str">
        <f>IF(E63="","",IF(ISNA(VLOOKUP($E63,'A-1 On-Site Habitat Baseline'!$D$1:$X$258,14,FALSE)),"",(VLOOKUP($E63,'A-1 On-Site Habitat Baseline'!$D$1:$X$258,14,FALSE))))</f>
        <v/>
      </c>
      <c r="O63" s="386" t="str">
        <f>IF(E63="","",IF(ISNA(VLOOKUP($E63,'A-1 On-Site Habitat Baseline'!$D$1:$X$258,16,FALSE)),"",(VLOOKUP($E63,'A-1 On-Site Habitat Baseline'!$D$1:$X$258,13,FALSE))))</f>
        <v/>
      </c>
      <c r="P63" s="192" t="str">
        <f>IFERROR(INDEX('G-1 All Habitats'!$AG$3:$AG$17,MATCH(Q63,'G-1 All Habitats'!$AF$3:$AF$17,0)),"")</f>
        <v/>
      </c>
      <c r="Q63" s="193" t="str">
        <f t="shared" si="0"/>
        <v/>
      </c>
      <c r="R63" s="193" t="str">
        <f t="shared" si="1"/>
        <v/>
      </c>
      <c r="S63" s="306" t="str">
        <f>IFERROR(INDEX('G-1 All Habitats'!$B$3:$B$134,MATCH(R63,'G-1 All Habitats'!$A$3:$A$134,0)),"")</f>
        <v/>
      </c>
      <c r="T63" s="362" t="str">
        <f t="shared" si="3"/>
        <v/>
      </c>
      <c r="U63" s="363" t="str">
        <f t="shared" si="4"/>
        <v/>
      </c>
      <c r="V63" s="398" t="str">
        <f t="shared" si="5"/>
        <v/>
      </c>
      <c r="W63" s="382" t="str">
        <f>IF(S63="","",VLOOKUP(S63,'G-1 All Habitats'!$B$2:$M$134,10,FALSE))</f>
        <v/>
      </c>
      <c r="X63" s="382" t="str">
        <f>IFERROR(VLOOKUP(W63,'G-1 All Habitats'!$V$3:$W$7,2,FALSE),"")</f>
        <v/>
      </c>
      <c r="Y63" s="61"/>
      <c r="Z63" s="386" t="str">
        <f>IFERROR(INDEX('G-8 Condition Look up'!$A$3:$H$135,MATCH(S63,'G-8 Condition Look up'!$A$3:$A$135,0),MATCH(Y63,'G-8 Condition Look up'!$A$3:$H$3,0)),"")</f>
        <v/>
      </c>
      <c r="AA63" s="54"/>
      <c r="AB63" s="382" t="str">
        <f>IF(AA63="","",IF(VLOOKUP(AA63,'G-3 Multipliers'!$L$3:$N$6,2,FALSE)=0,"Spatial Data Missing ⚠",VLOOKUP(AA63,'G-3 Multipliers'!$L$3:$N$6,2,FALSE)))</f>
        <v/>
      </c>
      <c r="AC63" s="386" t="str">
        <f>IF(AA63="","",IF(VLOOKUP(AA63,'G-3 Multipliers'!$L$3:$N$6,3,FALSE)=0,"Spatial Data Missing ⚠",VLOOKUP(AA63,'G-3 Multipliers'!$L$3:$N$6,3,FALSE)))</f>
        <v/>
      </c>
      <c r="AD63" s="400" t="str">
        <f t="shared" si="2"/>
        <v/>
      </c>
      <c r="AE63" s="63"/>
      <c r="AF63" s="63"/>
      <c r="AG63" s="370" t="str">
        <f t="shared" si="6"/>
        <v/>
      </c>
      <c r="AH63" s="383" t="str">
        <f t="shared" si="7"/>
        <v/>
      </c>
      <c r="AI63" s="384" t="str">
        <f>IF(AH63="Check Data","Check Data",IFERROR(VLOOKUP(AH63,'G-4 Temporal multipliers'!$A$4:$C$36,3,FALSE),""))</f>
        <v/>
      </c>
      <c r="AJ63" s="362" t="str">
        <f>IF(S63="","",VLOOKUP(S63,'G-3 Multipliers'!$A$2:$E$134,4,FALSE))</f>
        <v/>
      </c>
      <c r="AK63" s="370" t="str">
        <f t="shared" si="8"/>
        <v/>
      </c>
      <c r="AL63" s="370" t="str">
        <f t="shared" si="9"/>
        <v/>
      </c>
      <c r="AM63" s="401" t="str">
        <f>IFERROR(IF(F63="","",IF(AH63="Check Data ⚠","Check Data ⚠",VLOOKUP(AL63, 'G-3 Multipliers'!$P$2:$Q$6,2,FALSE))),"")</f>
        <v/>
      </c>
      <c r="AN63" s="376" t="str">
        <f t="shared" si="10"/>
        <v/>
      </c>
      <c r="AO63" s="194"/>
      <c r="AP63" s="195"/>
      <c r="AQ63" s="120"/>
    </row>
    <row r="64" spans="1:43">
      <c r="A64" s="35" t="str">
        <f>IF(E64="","",IF(ISNA(VLOOKUP($E64,'A-1 On-Site Habitat Baseline'!$D$1:$O$258,2,FALSE)),"",(VLOOKUP($E64,'A-1 On-Site Habitat Baseline'!$D$1:$O$258,2,FALSE))))</f>
        <v/>
      </c>
      <c r="B64" s="35" t="str">
        <f>IF(E64="","",IF(ISNA(VLOOKUP($E64,'A-1 On-Site Habitat Baseline'!$D$1:$O$258,3,FALSE)),"",(VLOOKUP($E64,'A-1 On-Site Habitat Baseline'!$D$1:$O$258,3,FALSE))))</f>
        <v/>
      </c>
      <c r="C64" s="35" t="str">
        <f>IFERROR(INDEX('G-8 Condition Look up'!$I$4:$I$135,MATCH(S64,'G-8 Condition Look up'!$A$4:$A$135,0)),"")</f>
        <v/>
      </c>
      <c r="E64" s="392" t="str">
        <f>'A-1 On-Site Habitat Baseline'!AL63</f>
        <v/>
      </c>
      <c r="F64" s="382" t="str">
        <f>IF(E64="","",IF(ISNA(VLOOKUP($E64,'A-1 On-Site Habitat Baseline'!$D$1:$O$258,4,FALSE)),"",(VLOOKUP($E64,'A-1 On-Site Habitat Baseline'!$D$1:$O$258,4,FALSE))))</f>
        <v/>
      </c>
      <c r="G64" s="382" t="str">
        <f>IF(E64="","",IF(ISNA(VLOOKUP($E64,'A-1 On-Site Habitat Baseline'!$D$1:$O$258,5,FALSE)),"",(VLOOKUP($E64,'A-1 On-Site Habitat Baseline'!$D$1:$O$258,5,FALSE))))</f>
        <v/>
      </c>
      <c r="H64" s="382" t="str">
        <f>IF(E64="","",IF(ISNA(VLOOKUP($E64,'A-1 On-Site Habitat Baseline'!$D$1:$O$258,6,FALSE)),"",(VLOOKUP($E64,'A-1 On-Site Habitat Baseline'!$D$1:$O$258,6,FALSE))))</f>
        <v/>
      </c>
      <c r="I64" s="382" t="str">
        <f>IF(E64="","",IF(ISNA(VLOOKUP($E64,'A-1 On-Site Habitat Baseline'!$D$1:$O$258,7,FALSE)),"",(VLOOKUP($E64,'A-1 On-Site Habitat Baseline'!$D$1:$O$258,7,FALSE))))</f>
        <v/>
      </c>
      <c r="J64" s="382" t="str">
        <f>IF(E64="","",IF(ISNA(VLOOKUP($E64,'A-1 On-Site Habitat Baseline'!$D$1:$O$258,8,FALSE)),"",(VLOOKUP($E64,'A-1 On-Site Habitat Baseline'!$D$1:$O$258,8,FALSE))))</f>
        <v/>
      </c>
      <c r="K64" s="382" t="str">
        <f>IF(E64="","",IF(ISNA(VLOOKUP($E64,'A-1 On-Site Habitat Baseline'!$D$1:$O$258,9,FALSE)),"",(VLOOKUP($E64,'A-1 On-Site Habitat Baseline'!$D$1:$O$258,9,FALSE))))</f>
        <v/>
      </c>
      <c r="L64" s="382" t="str">
        <f>IF(E64="","",IF(ISNA(VLOOKUP($E64,'A-1 On-Site Habitat Baseline'!$D$1:$O$258,11,FALSE)),"",(VLOOKUP($E64,'A-1 On-Site Habitat Baseline'!$D$1:$O$258,11,FALSE))))</f>
        <v/>
      </c>
      <c r="M64" s="382" t="str">
        <f>IF(E64="","",IF(ISNA(VLOOKUP($E64,'A-1 On-Site Habitat Baseline'!$D$1:$O$258,12,FALSE)),"",(VLOOKUP($E64,'A-1 On-Site Habitat Baseline'!$D$1:$O$258,12,FALSE))))</f>
        <v/>
      </c>
      <c r="N64" s="393" t="str">
        <f>IF(E64="","",IF(ISNA(VLOOKUP($E64,'A-1 On-Site Habitat Baseline'!$D$1:$X$258,14,FALSE)),"",(VLOOKUP($E64,'A-1 On-Site Habitat Baseline'!$D$1:$X$258,14,FALSE))))</f>
        <v/>
      </c>
      <c r="O64" s="386" t="str">
        <f>IF(E64="","",IF(ISNA(VLOOKUP($E64,'A-1 On-Site Habitat Baseline'!$D$1:$X$258,16,FALSE)),"",(VLOOKUP($E64,'A-1 On-Site Habitat Baseline'!$D$1:$X$258,13,FALSE))))</f>
        <v/>
      </c>
      <c r="P64" s="192" t="str">
        <f>IFERROR(INDEX('G-1 All Habitats'!$AG$3:$AG$17,MATCH(Q64,'G-1 All Habitats'!$AF$3:$AF$17,0)),"")</f>
        <v/>
      </c>
      <c r="Q64" s="193" t="str">
        <f t="shared" si="0"/>
        <v/>
      </c>
      <c r="R64" s="193" t="str">
        <f t="shared" si="1"/>
        <v/>
      </c>
      <c r="S64" s="306" t="str">
        <f>IFERROR(INDEX('G-1 All Habitats'!$B$3:$B$134,MATCH(R64,'G-1 All Habitats'!$A$3:$A$134,0)),"")</f>
        <v/>
      </c>
      <c r="T64" s="362" t="str">
        <f t="shared" si="3"/>
        <v/>
      </c>
      <c r="U64" s="363" t="str">
        <f t="shared" si="4"/>
        <v/>
      </c>
      <c r="V64" s="398" t="str">
        <f t="shared" si="5"/>
        <v/>
      </c>
      <c r="W64" s="382" t="str">
        <f>IF(S64="","",VLOOKUP(S64,'G-1 All Habitats'!$B$2:$M$134,10,FALSE))</f>
        <v/>
      </c>
      <c r="X64" s="382" t="str">
        <f>IFERROR(VLOOKUP(W64,'G-1 All Habitats'!$V$3:$W$7,2,FALSE),"")</f>
        <v/>
      </c>
      <c r="Y64" s="61"/>
      <c r="Z64" s="386" t="str">
        <f>IFERROR(INDEX('G-8 Condition Look up'!$A$3:$H$135,MATCH(S64,'G-8 Condition Look up'!$A$3:$A$135,0),MATCH(Y64,'G-8 Condition Look up'!$A$3:$H$3,0)),"")</f>
        <v/>
      </c>
      <c r="AA64" s="54"/>
      <c r="AB64" s="382" t="str">
        <f>IF(AA64="","",IF(VLOOKUP(AA64,'G-3 Multipliers'!$L$3:$N$6,2,FALSE)=0,"Spatial Data Missing ⚠",VLOOKUP(AA64,'G-3 Multipliers'!$L$3:$N$6,2,FALSE)))</f>
        <v/>
      </c>
      <c r="AC64" s="386" t="str">
        <f>IF(AA64="","",IF(VLOOKUP(AA64,'G-3 Multipliers'!$L$3:$N$6,3,FALSE)=0,"Spatial Data Missing ⚠",VLOOKUP(AA64,'G-3 Multipliers'!$L$3:$N$6,3,FALSE)))</f>
        <v/>
      </c>
      <c r="AD64" s="400" t="str">
        <f t="shared" si="2"/>
        <v/>
      </c>
      <c r="AE64" s="63"/>
      <c r="AF64" s="63"/>
      <c r="AG64" s="370" t="str">
        <f t="shared" si="6"/>
        <v/>
      </c>
      <c r="AH64" s="383" t="str">
        <f t="shared" si="7"/>
        <v/>
      </c>
      <c r="AI64" s="384" t="str">
        <f>IF(AH64="Check Data","Check Data",IFERROR(VLOOKUP(AH64,'G-4 Temporal multipliers'!$A$4:$C$36,3,FALSE),""))</f>
        <v/>
      </c>
      <c r="AJ64" s="362" t="str">
        <f>IF(S64="","",VLOOKUP(S64,'G-3 Multipliers'!$A$2:$E$134,4,FALSE))</f>
        <v/>
      </c>
      <c r="AK64" s="370" t="str">
        <f t="shared" si="8"/>
        <v/>
      </c>
      <c r="AL64" s="370" t="str">
        <f t="shared" si="9"/>
        <v/>
      </c>
      <c r="AM64" s="401" t="str">
        <f>IFERROR(IF(F64="","",IF(AH64="Check Data ⚠","Check Data ⚠",VLOOKUP(AL64, 'G-3 Multipliers'!$P$2:$Q$6,2,FALSE))),"")</f>
        <v/>
      </c>
      <c r="AN64" s="376" t="str">
        <f t="shared" si="10"/>
        <v/>
      </c>
      <c r="AO64" s="194"/>
      <c r="AP64" s="195"/>
      <c r="AQ64" s="120"/>
    </row>
    <row r="65" spans="1:43">
      <c r="A65" s="35" t="str">
        <f>IF(E65="","",IF(ISNA(VLOOKUP($E65,'A-1 On-Site Habitat Baseline'!$D$1:$O$258,2,FALSE)),"",(VLOOKUP($E65,'A-1 On-Site Habitat Baseline'!$D$1:$O$258,2,FALSE))))</f>
        <v/>
      </c>
      <c r="B65" s="35" t="str">
        <f>IF(E65="","",IF(ISNA(VLOOKUP($E65,'A-1 On-Site Habitat Baseline'!$D$1:$O$258,3,FALSE)),"",(VLOOKUP($E65,'A-1 On-Site Habitat Baseline'!$D$1:$O$258,3,FALSE))))</f>
        <v/>
      </c>
      <c r="C65" s="35" t="str">
        <f>IFERROR(INDEX('G-8 Condition Look up'!$I$4:$I$135,MATCH(S65,'G-8 Condition Look up'!$A$4:$A$135,0)),"")</f>
        <v/>
      </c>
      <c r="E65" s="392" t="str">
        <f>'A-1 On-Site Habitat Baseline'!AL64</f>
        <v/>
      </c>
      <c r="F65" s="382" t="str">
        <f>IF(E65="","",IF(ISNA(VLOOKUP($E65,'A-1 On-Site Habitat Baseline'!$D$1:$O$258,4,FALSE)),"",(VLOOKUP($E65,'A-1 On-Site Habitat Baseline'!$D$1:$O$258,4,FALSE))))</f>
        <v/>
      </c>
      <c r="G65" s="382" t="str">
        <f>IF(E65="","",IF(ISNA(VLOOKUP($E65,'A-1 On-Site Habitat Baseline'!$D$1:$O$258,5,FALSE)),"",(VLOOKUP($E65,'A-1 On-Site Habitat Baseline'!$D$1:$O$258,5,FALSE))))</f>
        <v/>
      </c>
      <c r="H65" s="382" t="str">
        <f>IF(E65="","",IF(ISNA(VLOOKUP($E65,'A-1 On-Site Habitat Baseline'!$D$1:$O$258,6,FALSE)),"",(VLOOKUP($E65,'A-1 On-Site Habitat Baseline'!$D$1:$O$258,6,FALSE))))</f>
        <v/>
      </c>
      <c r="I65" s="382" t="str">
        <f>IF(E65="","",IF(ISNA(VLOOKUP($E65,'A-1 On-Site Habitat Baseline'!$D$1:$O$258,7,FALSE)),"",(VLOOKUP($E65,'A-1 On-Site Habitat Baseline'!$D$1:$O$258,7,FALSE))))</f>
        <v/>
      </c>
      <c r="J65" s="382" t="str">
        <f>IF(E65="","",IF(ISNA(VLOOKUP($E65,'A-1 On-Site Habitat Baseline'!$D$1:$O$258,8,FALSE)),"",(VLOOKUP($E65,'A-1 On-Site Habitat Baseline'!$D$1:$O$258,8,FALSE))))</f>
        <v/>
      </c>
      <c r="K65" s="382" t="str">
        <f>IF(E65="","",IF(ISNA(VLOOKUP($E65,'A-1 On-Site Habitat Baseline'!$D$1:$O$258,9,FALSE)),"",(VLOOKUP($E65,'A-1 On-Site Habitat Baseline'!$D$1:$O$258,9,FALSE))))</f>
        <v/>
      </c>
      <c r="L65" s="382" t="str">
        <f>IF(E65="","",IF(ISNA(VLOOKUP($E65,'A-1 On-Site Habitat Baseline'!$D$1:$O$258,11,FALSE)),"",(VLOOKUP($E65,'A-1 On-Site Habitat Baseline'!$D$1:$O$258,11,FALSE))))</f>
        <v/>
      </c>
      <c r="M65" s="382" t="str">
        <f>IF(E65="","",IF(ISNA(VLOOKUP($E65,'A-1 On-Site Habitat Baseline'!$D$1:$O$258,12,FALSE)),"",(VLOOKUP($E65,'A-1 On-Site Habitat Baseline'!$D$1:$O$258,12,FALSE))))</f>
        <v/>
      </c>
      <c r="N65" s="393" t="str">
        <f>IF(E65="","",IF(ISNA(VLOOKUP($E65,'A-1 On-Site Habitat Baseline'!$D$1:$X$258,14,FALSE)),"",(VLOOKUP($E65,'A-1 On-Site Habitat Baseline'!$D$1:$X$258,14,FALSE))))</f>
        <v/>
      </c>
      <c r="O65" s="386" t="str">
        <f>IF(E65="","",IF(ISNA(VLOOKUP($E65,'A-1 On-Site Habitat Baseline'!$D$1:$X$258,16,FALSE)),"",(VLOOKUP($E65,'A-1 On-Site Habitat Baseline'!$D$1:$X$258,13,FALSE))))</f>
        <v/>
      </c>
      <c r="P65" s="192" t="str">
        <f>IFERROR(INDEX('G-1 All Habitats'!$AG$3:$AG$17,MATCH(Q65,'G-1 All Habitats'!$AF$3:$AF$17,0)),"")</f>
        <v/>
      </c>
      <c r="Q65" s="193" t="str">
        <f t="shared" si="0"/>
        <v/>
      </c>
      <c r="R65" s="193" t="str">
        <f t="shared" si="1"/>
        <v/>
      </c>
      <c r="S65" s="306" t="str">
        <f>IFERROR(INDEX('G-1 All Habitats'!$B$3:$B$134,MATCH(R65,'G-1 All Habitats'!$A$3:$A$134,0)),"")</f>
        <v/>
      </c>
      <c r="T65" s="362" t="str">
        <f t="shared" si="3"/>
        <v/>
      </c>
      <c r="U65" s="363" t="str">
        <f t="shared" si="4"/>
        <v/>
      </c>
      <c r="V65" s="398" t="str">
        <f t="shared" si="5"/>
        <v/>
      </c>
      <c r="W65" s="382" t="str">
        <f>IF(S65="","",VLOOKUP(S65,'G-1 All Habitats'!$B$2:$M$134,10,FALSE))</f>
        <v/>
      </c>
      <c r="X65" s="382" t="str">
        <f>IFERROR(VLOOKUP(W65,'G-1 All Habitats'!$V$3:$W$7,2,FALSE),"")</f>
        <v/>
      </c>
      <c r="Y65" s="61"/>
      <c r="Z65" s="386" t="str">
        <f>IFERROR(INDEX('G-8 Condition Look up'!$A$3:$H$135,MATCH(S65,'G-8 Condition Look up'!$A$3:$A$135,0),MATCH(Y65,'G-8 Condition Look up'!$A$3:$H$3,0)),"")</f>
        <v/>
      </c>
      <c r="AA65" s="54"/>
      <c r="AB65" s="382" t="str">
        <f>IF(AA65="","",IF(VLOOKUP(AA65,'G-3 Multipliers'!$L$3:$N$6,2,FALSE)=0,"Spatial Data Missing ⚠",VLOOKUP(AA65,'G-3 Multipliers'!$L$3:$N$6,2,FALSE)))</f>
        <v/>
      </c>
      <c r="AC65" s="386" t="str">
        <f>IF(AA65="","",IF(VLOOKUP(AA65,'G-3 Multipliers'!$L$3:$N$6,3,FALSE)=0,"Spatial Data Missing ⚠",VLOOKUP(AA65,'G-3 Multipliers'!$L$3:$N$6,3,FALSE)))</f>
        <v/>
      </c>
      <c r="AD65" s="400" t="str">
        <f t="shared" si="2"/>
        <v/>
      </c>
      <c r="AE65" s="63"/>
      <c r="AF65" s="63"/>
      <c r="AG65" s="370" t="str">
        <f t="shared" si="6"/>
        <v/>
      </c>
      <c r="AH65" s="383" t="str">
        <f t="shared" si="7"/>
        <v/>
      </c>
      <c r="AI65" s="384" t="str">
        <f>IF(AH65="Check Data","Check Data",IFERROR(VLOOKUP(AH65,'G-4 Temporal multipliers'!$A$4:$C$36,3,FALSE),""))</f>
        <v/>
      </c>
      <c r="AJ65" s="362" t="str">
        <f>IF(S65="","",VLOOKUP(S65,'G-3 Multipliers'!$A$2:$E$134,4,FALSE))</f>
        <v/>
      </c>
      <c r="AK65" s="370" t="str">
        <f t="shared" si="8"/>
        <v/>
      </c>
      <c r="AL65" s="370" t="str">
        <f t="shared" si="9"/>
        <v/>
      </c>
      <c r="AM65" s="401" t="str">
        <f>IFERROR(IF(F65="","",IF(AH65="Check Data ⚠","Check Data ⚠",VLOOKUP(AL65, 'G-3 Multipliers'!$P$2:$Q$6,2,FALSE))),"")</f>
        <v/>
      </c>
      <c r="AN65" s="376" t="str">
        <f t="shared" si="10"/>
        <v/>
      </c>
      <c r="AO65" s="194"/>
      <c r="AP65" s="195"/>
      <c r="AQ65" s="120"/>
    </row>
    <row r="66" spans="1:43">
      <c r="A66" s="35" t="str">
        <f>IF(E66="","",IF(ISNA(VLOOKUP($E66,'A-1 On-Site Habitat Baseline'!$D$1:$O$258,2,FALSE)),"",(VLOOKUP($E66,'A-1 On-Site Habitat Baseline'!$D$1:$O$258,2,FALSE))))</f>
        <v/>
      </c>
      <c r="B66" s="35" t="str">
        <f>IF(E66="","",IF(ISNA(VLOOKUP($E66,'A-1 On-Site Habitat Baseline'!$D$1:$O$258,3,FALSE)),"",(VLOOKUP($E66,'A-1 On-Site Habitat Baseline'!$D$1:$O$258,3,FALSE))))</f>
        <v/>
      </c>
      <c r="C66" s="35" t="str">
        <f>IFERROR(INDEX('G-8 Condition Look up'!$I$4:$I$135,MATCH(S66,'G-8 Condition Look up'!$A$4:$A$135,0)),"")</f>
        <v/>
      </c>
      <c r="E66" s="392" t="str">
        <f>'A-1 On-Site Habitat Baseline'!AL65</f>
        <v/>
      </c>
      <c r="F66" s="382" t="str">
        <f>IF(E66="","",IF(ISNA(VLOOKUP($E66,'A-1 On-Site Habitat Baseline'!$D$1:$O$258,4,FALSE)),"",(VLOOKUP($E66,'A-1 On-Site Habitat Baseline'!$D$1:$O$258,4,FALSE))))</f>
        <v/>
      </c>
      <c r="G66" s="382" t="str">
        <f>IF(E66="","",IF(ISNA(VLOOKUP($E66,'A-1 On-Site Habitat Baseline'!$D$1:$O$258,5,FALSE)),"",(VLOOKUP($E66,'A-1 On-Site Habitat Baseline'!$D$1:$O$258,5,FALSE))))</f>
        <v/>
      </c>
      <c r="H66" s="382" t="str">
        <f>IF(E66="","",IF(ISNA(VLOOKUP($E66,'A-1 On-Site Habitat Baseline'!$D$1:$O$258,6,FALSE)),"",(VLOOKUP($E66,'A-1 On-Site Habitat Baseline'!$D$1:$O$258,6,FALSE))))</f>
        <v/>
      </c>
      <c r="I66" s="382" t="str">
        <f>IF(E66="","",IF(ISNA(VLOOKUP($E66,'A-1 On-Site Habitat Baseline'!$D$1:$O$258,7,FALSE)),"",(VLOOKUP($E66,'A-1 On-Site Habitat Baseline'!$D$1:$O$258,7,FALSE))))</f>
        <v/>
      </c>
      <c r="J66" s="382" t="str">
        <f>IF(E66="","",IF(ISNA(VLOOKUP($E66,'A-1 On-Site Habitat Baseline'!$D$1:$O$258,8,FALSE)),"",(VLOOKUP($E66,'A-1 On-Site Habitat Baseline'!$D$1:$O$258,8,FALSE))))</f>
        <v/>
      </c>
      <c r="K66" s="382" t="str">
        <f>IF(E66="","",IF(ISNA(VLOOKUP($E66,'A-1 On-Site Habitat Baseline'!$D$1:$O$258,9,FALSE)),"",(VLOOKUP($E66,'A-1 On-Site Habitat Baseline'!$D$1:$O$258,9,FALSE))))</f>
        <v/>
      </c>
      <c r="L66" s="382" t="str">
        <f>IF(E66="","",IF(ISNA(VLOOKUP($E66,'A-1 On-Site Habitat Baseline'!$D$1:$O$258,11,FALSE)),"",(VLOOKUP($E66,'A-1 On-Site Habitat Baseline'!$D$1:$O$258,11,FALSE))))</f>
        <v/>
      </c>
      <c r="M66" s="382" t="str">
        <f>IF(E66="","",IF(ISNA(VLOOKUP($E66,'A-1 On-Site Habitat Baseline'!$D$1:$O$258,12,FALSE)),"",(VLOOKUP($E66,'A-1 On-Site Habitat Baseline'!$D$1:$O$258,12,FALSE))))</f>
        <v/>
      </c>
      <c r="N66" s="393" t="str">
        <f>IF(E66="","",IF(ISNA(VLOOKUP($E66,'A-1 On-Site Habitat Baseline'!$D$1:$X$258,14,FALSE)),"",(VLOOKUP($E66,'A-1 On-Site Habitat Baseline'!$D$1:$X$258,14,FALSE))))</f>
        <v/>
      </c>
      <c r="O66" s="386" t="str">
        <f>IF(E66="","",IF(ISNA(VLOOKUP($E66,'A-1 On-Site Habitat Baseline'!$D$1:$X$258,16,FALSE)),"",(VLOOKUP($E66,'A-1 On-Site Habitat Baseline'!$D$1:$X$258,13,FALSE))))</f>
        <v/>
      </c>
      <c r="P66" s="192" t="str">
        <f>IFERROR(INDEX('G-1 All Habitats'!$AG$3:$AG$17,MATCH(Q66,'G-1 All Habitats'!$AF$3:$AF$17,0)),"")</f>
        <v/>
      </c>
      <c r="Q66" s="193" t="str">
        <f t="shared" si="0"/>
        <v/>
      </c>
      <c r="R66" s="193" t="str">
        <f t="shared" si="1"/>
        <v/>
      </c>
      <c r="S66" s="306" t="str">
        <f>IFERROR(INDEX('G-1 All Habitats'!$B$3:$B$134,MATCH(R66,'G-1 All Habitats'!$A$3:$A$134,0)),"")</f>
        <v/>
      </c>
      <c r="T66" s="362" t="str">
        <f t="shared" si="3"/>
        <v/>
      </c>
      <c r="U66" s="363" t="str">
        <f t="shared" si="4"/>
        <v/>
      </c>
      <c r="V66" s="398" t="str">
        <f t="shared" si="5"/>
        <v/>
      </c>
      <c r="W66" s="382" t="str">
        <f>IF(S66="","",VLOOKUP(S66,'G-1 All Habitats'!$B$2:$M$134,10,FALSE))</f>
        <v/>
      </c>
      <c r="X66" s="382" t="str">
        <f>IFERROR(VLOOKUP(W66,'G-1 All Habitats'!$V$3:$W$7,2,FALSE),"")</f>
        <v/>
      </c>
      <c r="Y66" s="61"/>
      <c r="Z66" s="386" t="str">
        <f>IFERROR(INDEX('G-8 Condition Look up'!$A$3:$H$135,MATCH(S66,'G-8 Condition Look up'!$A$3:$A$135,0),MATCH(Y66,'G-8 Condition Look up'!$A$3:$H$3,0)),"")</f>
        <v/>
      </c>
      <c r="AA66" s="54"/>
      <c r="AB66" s="382" t="str">
        <f>IF(AA66="","",IF(VLOOKUP(AA66,'G-3 Multipliers'!$L$3:$N$6,2,FALSE)=0,"Spatial Data Missing ⚠",VLOOKUP(AA66,'G-3 Multipliers'!$L$3:$N$6,2,FALSE)))</f>
        <v/>
      </c>
      <c r="AC66" s="386" t="str">
        <f>IF(AA66="","",IF(VLOOKUP(AA66,'G-3 Multipliers'!$L$3:$N$6,3,FALSE)=0,"Spatial Data Missing ⚠",VLOOKUP(AA66,'G-3 Multipliers'!$L$3:$N$6,3,FALSE)))</f>
        <v/>
      </c>
      <c r="AD66" s="400" t="str">
        <f t="shared" si="2"/>
        <v/>
      </c>
      <c r="AE66" s="63"/>
      <c r="AF66" s="63"/>
      <c r="AG66" s="370" t="str">
        <f t="shared" si="6"/>
        <v/>
      </c>
      <c r="AH66" s="383" t="str">
        <f t="shared" si="7"/>
        <v/>
      </c>
      <c r="AI66" s="384" t="str">
        <f>IF(AH66="Check Data","Check Data",IFERROR(VLOOKUP(AH66,'G-4 Temporal multipliers'!$A$4:$C$36,3,FALSE),""))</f>
        <v/>
      </c>
      <c r="AJ66" s="362" t="str">
        <f>IF(S66="","",VLOOKUP(S66,'G-3 Multipliers'!$A$2:$E$134,4,FALSE))</f>
        <v/>
      </c>
      <c r="AK66" s="370" t="str">
        <f t="shared" si="8"/>
        <v/>
      </c>
      <c r="AL66" s="370" t="str">
        <f t="shared" si="9"/>
        <v/>
      </c>
      <c r="AM66" s="401" t="str">
        <f>IFERROR(IF(F66="","",IF(AH66="Check Data ⚠","Check Data ⚠",VLOOKUP(AL66, 'G-3 Multipliers'!$P$2:$Q$6,2,FALSE))),"")</f>
        <v/>
      </c>
      <c r="AN66" s="376" t="str">
        <f t="shared" si="10"/>
        <v/>
      </c>
      <c r="AO66" s="194"/>
      <c r="AP66" s="195"/>
      <c r="AQ66" s="120"/>
    </row>
    <row r="67" spans="1:43">
      <c r="A67" s="35" t="str">
        <f>IF(E67="","",IF(ISNA(VLOOKUP($E67,'A-1 On-Site Habitat Baseline'!$D$1:$O$258,2,FALSE)),"",(VLOOKUP($E67,'A-1 On-Site Habitat Baseline'!$D$1:$O$258,2,FALSE))))</f>
        <v/>
      </c>
      <c r="B67" s="35" t="str">
        <f>IF(E67="","",IF(ISNA(VLOOKUP($E67,'A-1 On-Site Habitat Baseline'!$D$1:$O$258,3,FALSE)),"",(VLOOKUP($E67,'A-1 On-Site Habitat Baseline'!$D$1:$O$258,3,FALSE))))</f>
        <v/>
      </c>
      <c r="C67" s="35" t="str">
        <f>IFERROR(INDEX('G-8 Condition Look up'!$I$4:$I$135,MATCH(S67,'G-8 Condition Look up'!$A$4:$A$135,0)),"")</f>
        <v/>
      </c>
      <c r="E67" s="392" t="str">
        <f>'A-1 On-Site Habitat Baseline'!AL66</f>
        <v/>
      </c>
      <c r="F67" s="382" t="str">
        <f>IF(E67="","",IF(ISNA(VLOOKUP($E67,'A-1 On-Site Habitat Baseline'!$D$1:$O$258,4,FALSE)),"",(VLOOKUP($E67,'A-1 On-Site Habitat Baseline'!$D$1:$O$258,4,FALSE))))</f>
        <v/>
      </c>
      <c r="G67" s="382" t="str">
        <f>IF(E67="","",IF(ISNA(VLOOKUP($E67,'A-1 On-Site Habitat Baseline'!$D$1:$O$258,5,FALSE)),"",(VLOOKUP($E67,'A-1 On-Site Habitat Baseline'!$D$1:$O$258,5,FALSE))))</f>
        <v/>
      </c>
      <c r="H67" s="382" t="str">
        <f>IF(E67="","",IF(ISNA(VLOOKUP($E67,'A-1 On-Site Habitat Baseline'!$D$1:$O$258,6,FALSE)),"",(VLOOKUP($E67,'A-1 On-Site Habitat Baseline'!$D$1:$O$258,6,FALSE))))</f>
        <v/>
      </c>
      <c r="I67" s="382" t="str">
        <f>IF(E67="","",IF(ISNA(VLOOKUP($E67,'A-1 On-Site Habitat Baseline'!$D$1:$O$258,7,FALSE)),"",(VLOOKUP($E67,'A-1 On-Site Habitat Baseline'!$D$1:$O$258,7,FALSE))))</f>
        <v/>
      </c>
      <c r="J67" s="382" t="str">
        <f>IF(E67="","",IF(ISNA(VLOOKUP($E67,'A-1 On-Site Habitat Baseline'!$D$1:$O$258,8,FALSE)),"",(VLOOKUP($E67,'A-1 On-Site Habitat Baseline'!$D$1:$O$258,8,FALSE))))</f>
        <v/>
      </c>
      <c r="K67" s="382" t="str">
        <f>IF(E67="","",IF(ISNA(VLOOKUP($E67,'A-1 On-Site Habitat Baseline'!$D$1:$O$258,9,FALSE)),"",(VLOOKUP($E67,'A-1 On-Site Habitat Baseline'!$D$1:$O$258,9,FALSE))))</f>
        <v/>
      </c>
      <c r="L67" s="382" t="str">
        <f>IF(E67="","",IF(ISNA(VLOOKUP($E67,'A-1 On-Site Habitat Baseline'!$D$1:$O$258,11,FALSE)),"",(VLOOKUP($E67,'A-1 On-Site Habitat Baseline'!$D$1:$O$258,11,FALSE))))</f>
        <v/>
      </c>
      <c r="M67" s="382" t="str">
        <f>IF(E67="","",IF(ISNA(VLOOKUP($E67,'A-1 On-Site Habitat Baseline'!$D$1:$O$258,12,FALSE)),"",(VLOOKUP($E67,'A-1 On-Site Habitat Baseline'!$D$1:$O$258,12,FALSE))))</f>
        <v/>
      </c>
      <c r="N67" s="393" t="str">
        <f>IF(E67="","",IF(ISNA(VLOOKUP($E67,'A-1 On-Site Habitat Baseline'!$D$1:$X$258,14,FALSE)),"",(VLOOKUP($E67,'A-1 On-Site Habitat Baseline'!$D$1:$X$258,14,FALSE))))</f>
        <v/>
      </c>
      <c r="O67" s="386" t="str">
        <f>IF(E67="","",IF(ISNA(VLOOKUP($E67,'A-1 On-Site Habitat Baseline'!$D$1:$X$258,16,FALSE)),"",(VLOOKUP($E67,'A-1 On-Site Habitat Baseline'!$D$1:$X$258,13,FALSE))))</f>
        <v/>
      </c>
      <c r="P67" s="192" t="str">
        <f>IFERROR(INDEX('G-1 All Habitats'!$AG$3:$AG$17,MATCH(Q67,'G-1 All Habitats'!$AF$3:$AF$17,0)),"")</f>
        <v/>
      </c>
      <c r="Q67" s="193" t="str">
        <f t="shared" si="0"/>
        <v/>
      </c>
      <c r="R67" s="193" t="str">
        <f t="shared" si="1"/>
        <v/>
      </c>
      <c r="S67" s="306" t="str">
        <f>IFERROR(INDEX('G-1 All Habitats'!$B$3:$B$134,MATCH(R67,'G-1 All Habitats'!$A$3:$A$134,0)),"")</f>
        <v/>
      </c>
      <c r="T67" s="362" t="str">
        <f t="shared" si="3"/>
        <v/>
      </c>
      <c r="U67" s="363" t="str">
        <f t="shared" si="4"/>
        <v/>
      </c>
      <c r="V67" s="398" t="str">
        <f t="shared" si="5"/>
        <v/>
      </c>
      <c r="W67" s="382" t="str">
        <f>IF(S67="","",VLOOKUP(S67,'G-1 All Habitats'!$B$2:$M$134,10,FALSE))</f>
        <v/>
      </c>
      <c r="X67" s="382" t="str">
        <f>IFERROR(VLOOKUP(W67,'G-1 All Habitats'!$V$3:$W$7,2,FALSE),"")</f>
        <v/>
      </c>
      <c r="Y67" s="61"/>
      <c r="Z67" s="386" t="str">
        <f>IFERROR(INDEX('G-8 Condition Look up'!$A$3:$H$135,MATCH(S67,'G-8 Condition Look up'!$A$3:$A$135,0),MATCH(Y67,'G-8 Condition Look up'!$A$3:$H$3,0)),"")</f>
        <v/>
      </c>
      <c r="AA67" s="54"/>
      <c r="AB67" s="382" t="str">
        <f>IF(AA67="","",IF(VLOOKUP(AA67,'G-3 Multipliers'!$L$3:$N$6,2,FALSE)=0,"Spatial Data Missing ⚠",VLOOKUP(AA67,'G-3 Multipliers'!$L$3:$N$6,2,FALSE)))</f>
        <v/>
      </c>
      <c r="AC67" s="386" t="str">
        <f>IF(AA67="","",IF(VLOOKUP(AA67,'G-3 Multipliers'!$L$3:$N$6,3,FALSE)=0,"Spatial Data Missing ⚠",VLOOKUP(AA67,'G-3 Multipliers'!$L$3:$N$6,3,FALSE)))</f>
        <v/>
      </c>
      <c r="AD67" s="400" t="str">
        <f t="shared" si="2"/>
        <v/>
      </c>
      <c r="AE67" s="63"/>
      <c r="AF67" s="63"/>
      <c r="AG67" s="370" t="str">
        <f t="shared" si="6"/>
        <v/>
      </c>
      <c r="AH67" s="383" t="str">
        <f t="shared" si="7"/>
        <v/>
      </c>
      <c r="AI67" s="384" t="str">
        <f>IF(AH67="Check Data","Check Data",IFERROR(VLOOKUP(AH67,'G-4 Temporal multipliers'!$A$4:$C$36,3,FALSE),""))</f>
        <v/>
      </c>
      <c r="AJ67" s="362" t="str">
        <f>IF(S67="","",VLOOKUP(S67,'G-3 Multipliers'!$A$2:$E$134,4,FALSE))</f>
        <v/>
      </c>
      <c r="AK67" s="370" t="str">
        <f t="shared" si="8"/>
        <v/>
      </c>
      <c r="AL67" s="370" t="str">
        <f t="shared" si="9"/>
        <v/>
      </c>
      <c r="AM67" s="401" t="str">
        <f>IFERROR(IF(F67="","",IF(AH67="Check Data ⚠","Check Data ⚠",VLOOKUP(AL67, 'G-3 Multipliers'!$P$2:$Q$6,2,FALSE))),"")</f>
        <v/>
      </c>
      <c r="AN67" s="376" t="str">
        <f t="shared" si="10"/>
        <v/>
      </c>
      <c r="AO67" s="194"/>
      <c r="AP67" s="195"/>
      <c r="AQ67" s="120"/>
    </row>
    <row r="68" spans="1:43">
      <c r="A68" s="35" t="str">
        <f>IF(E68="","",IF(ISNA(VLOOKUP($E68,'A-1 On-Site Habitat Baseline'!$D$1:$O$258,2,FALSE)),"",(VLOOKUP($E68,'A-1 On-Site Habitat Baseline'!$D$1:$O$258,2,FALSE))))</f>
        <v/>
      </c>
      <c r="B68" s="35" t="str">
        <f>IF(E68="","",IF(ISNA(VLOOKUP($E68,'A-1 On-Site Habitat Baseline'!$D$1:$O$258,3,FALSE)),"",(VLOOKUP($E68,'A-1 On-Site Habitat Baseline'!$D$1:$O$258,3,FALSE))))</f>
        <v/>
      </c>
      <c r="C68" s="35" t="str">
        <f>IFERROR(INDEX('G-8 Condition Look up'!$I$4:$I$135,MATCH(S68,'G-8 Condition Look up'!$A$4:$A$135,0)),"")</f>
        <v/>
      </c>
      <c r="E68" s="392" t="str">
        <f>'A-1 On-Site Habitat Baseline'!AL67</f>
        <v/>
      </c>
      <c r="F68" s="382" t="str">
        <f>IF(E68="","",IF(ISNA(VLOOKUP($E68,'A-1 On-Site Habitat Baseline'!$D$1:$O$258,4,FALSE)),"",(VLOOKUP($E68,'A-1 On-Site Habitat Baseline'!$D$1:$O$258,4,FALSE))))</f>
        <v/>
      </c>
      <c r="G68" s="382" t="str">
        <f>IF(E68="","",IF(ISNA(VLOOKUP($E68,'A-1 On-Site Habitat Baseline'!$D$1:$O$258,5,FALSE)),"",(VLOOKUP($E68,'A-1 On-Site Habitat Baseline'!$D$1:$O$258,5,FALSE))))</f>
        <v/>
      </c>
      <c r="H68" s="382" t="str">
        <f>IF(E68="","",IF(ISNA(VLOOKUP($E68,'A-1 On-Site Habitat Baseline'!$D$1:$O$258,6,FALSE)),"",(VLOOKUP($E68,'A-1 On-Site Habitat Baseline'!$D$1:$O$258,6,FALSE))))</f>
        <v/>
      </c>
      <c r="I68" s="382" t="str">
        <f>IF(E68="","",IF(ISNA(VLOOKUP($E68,'A-1 On-Site Habitat Baseline'!$D$1:$O$258,7,FALSE)),"",(VLOOKUP($E68,'A-1 On-Site Habitat Baseline'!$D$1:$O$258,7,FALSE))))</f>
        <v/>
      </c>
      <c r="J68" s="382" t="str">
        <f>IF(E68="","",IF(ISNA(VLOOKUP($E68,'A-1 On-Site Habitat Baseline'!$D$1:$O$258,8,FALSE)),"",(VLOOKUP($E68,'A-1 On-Site Habitat Baseline'!$D$1:$O$258,8,FALSE))))</f>
        <v/>
      </c>
      <c r="K68" s="382" t="str">
        <f>IF(E68="","",IF(ISNA(VLOOKUP($E68,'A-1 On-Site Habitat Baseline'!$D$1:$O$258,9,FALSE)),"",(VLOOKUP($E68,'A-1 On-Site Habitat Baseline'!$D$1:$O$258,9,FALSE))))</f>
        <v/>
      </c>
      <c r="L68" s="382" t="str">
        <f>IF(E68="","",IF(ISNA(VLOOKUP($E68,'A-1 On-Site Habitat Baseline'!$D$1:$O$258,11,FALSE)),"",(VLOOKUP($E68,'A-1 On-Site Habitat Baseline'!$D$1:$O$258,11,FALSE))))</f>
        <v/>
      </c>
      <c r="M68" s="382" t="str">
        <f>IF(E68="","",IF(ISNA(VLOOKUP($E68,'A-1 On-Site Habitat Baseline'!$D$1:$O$258,12,FALSE)),"",(VLOOKUP($E68,'A-1 On-Site Habitat Baseline'!$D$1:$O$258,12,FALSE))))</f>
        <v/>
      </c>
      <c r="N68" s="393" t="str">
        <f>IF(E68="","",IF(ISNA(VLOOKUP($E68,'A-1 On-Site Habitat Baseline'!$D$1:$X$258,14,FALSE)),"",(VLOOKUP($E68,'A-1 On-Site Habitat Baseline'!$D$1:$X$258,14,FALSE))))</f>
        <v/>
      </c>
      <c r="O68" s="386" t="str">
        <f>IF(E68="","",IF(ISNA(VLOOKUP($E68,'A-1 On-Site Habitat Baseline'!$D$1:$X$258,16,FALSE)),"",(VLOOKUP($E68,'A-1 On-Site Habitat Baseline'!$D$1:$X$258,13,FALSE))))</f>
        <v/>
      </c>
      <c r="P68" s="192" t="str">
        <f>IFERROR(INDEX('G-1 All Habitats'!$AG$3:$AG$17,MATCH(Q68,'G-1 All Habitats'!$AF$3:$AF$17,0)),"")</f>
        <v/>
      </c>
      <c r="Q68" s="193" t="str">
        <f t="shared" si="0"/>
        <v/>
      </c>
      <c r="R68" s="193" t="str">
        <f t="shared" si="1"/>
        <v/>
      </c>
      <c r="S68" s="306" t="str">
        <f>IFERROR(INDEX('G-1 All Habitats'!$B$3:$B$134,MATCH(R68,'G-1 All Habitats'!$A$3:$A$134,0)),"")</f>
        <v/>
      </c>
      <c r="T68" s="362" t="str">
        <f t="shared" si="3"/>
        <v/>
      </c>
      <c r="U68" s="363" t="str">
        <f t="shared" si="4"/>
        <v/>
      </c>
      <c r="V68" s="398" t="str">
        <f t="shared" si="5"/>
        <v/>
      </c>
      <c r="W68" s="382" t="str">
        <f>IF(S68="","",VLOOKUP(S68,'G-1 All Habitats'!$B$2:$M$134,10,FALSE))</f>
        <v/>
      </c>
      <c r="X68" s="382" t="str">
        <f>IFERROR(VLOOKUP(W68,'G-1 All Habitats'!$V$3:$W$7,2,FALSE),"")</f>
        <v/>
      </c>
      <c r="Y68" s="61"/>
      <c r="Z68" s="386" t="str">
        <f>IFERROR(INDEX('G-8 Condition Look up'!$A$3:$H$135,MATCH(S68,'G-8 Condition Look up'!$A$3:$A$135,0),MATCH(Y68,'G-8 Condition Look up'!$A$3:$H$3,0)),"")</f>
        <v/>
      </c>
      <c r="AA68" s="54"/>
      <c r="AB68" s="382" t="str">
        <f>IF(AA68="","",IF(VLOOKUP(AA68,'G-3 Multipliers'!$L$3:$N$6,2,FALSE)=0,"Spatial Data Missing ⚠",VLOOKUP(AA68,'G-3 Multipliers'!$L$3:$N$6,2,FALSE)))</f>
        <v/>
      </c>
      <c r="AC68" s="386" t="str">
        <f>IF(AA68="","",IF(VLOOKUP(AA68,'G-3 Multipliers'!$L$3:$N$6,3,FALSE)=0,"Spatial Data Missing ⚠",VLOOKUP(AA68,'G-3 Multipliers'!$L$3:$N$6,3,FALSE)))</f>
        <v/>
      </c>
      <c r="AD68" s="400" t="str">
        <f t="shared" si="2"/>
        <v/>
      </c>
      <c r="AE68" s="63"/>
      <c r="AF68" s="63"/>
      <c r="AG68" s="370" t="str">
        <f t="shared" si="6"/>
        <v/>
      </c>
      <c r="AH68" s="383" t="str">
        <f t="shared" si="7"/>
        <v/>
      </c>
      <c r="AI68" s="384" t="str">
        <f>IF(AH68="Check Data","Check Data",IFERROR(VLOOKUP(AH68,'G-4 Temporal multipliers'!$A$4:$C$36,3,FALSE),""))</f>
        <v/>
      </c>
      <c r="AJ68" s="362" t="str">
        <f>IF(S68="","",VLOOKUP(S68,'G-3 Multipliers'!$A$2:$E$134,4,FALSE))</f>
        <v/>
      </c>
      <c r="AK68" s="370" t="str">
        <f t="shared" si="8"/>
        <v/>
      </c>
      <c r="AL68" s="370" t="str">
        <f t="shared" si="9"/>
        <v/>
      </c>
      <c r="AM68" s="401" t="str">
        <f>IFERROR(IF(F68="","",IF(AH68="Check Data ⚠","Check Data ⚠",VLOOKUP(AL68, 'G-3 Multipliers'!$P$2:$Q$6,2,FALSE))),"")</f>
        <v/>
      </c>
      <c r="AN68" s="376" t="str">
        <f t="shared" si="10"/>
        <v/>
      </c>
      <c r="AO68" s="194"/>
      <c r="AP68" s="195"/>
      <c r="AQ68" s="120"/>
    </row>
    <row r="69" spans="1:43">
      <c r="A69" s="35" t="str">
        <f>IF(E69="","",IF(ISNA(VLOOKUP($E69,'A-1 On-Site Habitat Baseline'!$D$1:$O$258,2,FALSE)),"",(VLOOKUP($E69,'A-1 On-Site Habitat Baseline'!$D$1:$O$258,2,FALSE))))</f>
        <v/>
      </c>
      <c r="B69" s="35" t="str">
        <f>IF(E69="","",IF(ISNA(VLOOKUP($E69,'A-1 On-Site Habitat Baseline'!$D$1:$O$258,3,FALSE)),"",(VLOOKUP($E69,'A-1 On-Site Habitat Baseline'!$D$1:$O$258,3,FALSE))))</f>
        <v/>
      </c>
      <c r="C69" s="35" t="str">
        <f>IFERROR(INDEX('G-8 Condition Look up'!$I$4:$I$135,MATCH(S69,'G-8 Condition Look up'!$A$4:$A$135,0)),"")</f>
        <v/>
      </c>
      <c r="E69" s="392" t="str">
        <f>'A-1 On-Site Habitat Baseline'!AL68</f>
        <v/>
      </c>
      <c r="F69" s="382" t="str">
        <f>IF(E69="","",IF(ISNA(VLOOKUP($E69,'A-1 On-Site Habitat Baseline'!$D$1:$O$258,4,FALSE)),"",(VLOOKUP($E69,'A-1 On-Site Habitat Baseline'!$D$1:$O$258,4,FALSE))))</f>
        <v/>
      </c>
      <c r="G69" s="382" t="str">
        <f>IF(E69="","",IF(ISNA(VLOOKUP($E69,'A-1 On-Site Habitat Baseline'!$D$1:$O$258,5,FALSE)),"",(VLOOKUP($E69,'A-1 On-Site Habitat Baseline'!$D$1:$O$258,5,FALSE))))</f>
        <v/>
      </c>
      <c r="H69" s="382" t="str">
        <f>IF(E69="","",IF(ISNA(VLOOKUP($E69,'A-1 On-Site Habitat Baseline'!$D$1:$O$258,6,FALSE)),"",(VLOOKUP($E69,'A-1 On-Site Habitat Baseline'!$D$1:$O$258,6,FALSE))))</f>
        <v/>
      </c>
      <c r="I69" s="382" t="str">
        <f>IF(E69="","",IF(ISNA(VLOOKUP($E69,'A-1 On-Site Habitat Baseline'!$D$1:$O$258,7,FALSE)),"",(VLOOKUP($E69,'A-1 On-Site Habitat Baseline'!$D$1:$O$258,7,FALSE))))</f>
        <v/>
      </c>
      <c r="J69" s="382" t="str">
        <f>IF(E69="","",IF(ISNA(VLOOKUP($E69,'A-1 On-Site Habitat Baseline'!$D$1:$O$258,8,FALSE)),"",(VLOOKUP($E69,'A-1 On-Site Habitat Baseline'!$D$1:$O$258,8,FALSE))))</f>
        <v/>
      </c>
      <c r="K69" s="382" t="str">
        <f>IF(E69="","",IF(ISNA(VLOOKUP($E69,'A-1 On-Site Habitat Baseline'!$D$1:$O$258,9,FALSE)),"",(VLOOKUP($E69,'A-1 On-Site Habitat Baseline'!$D$1:$O$258,9,FALSE))))</f>
        <v/>
      </c>
      <c r="L69" s="382" t="str">
        <f>IF(E69="","",IF(ISNA(VLOOKUP($E69,'A-1 On-Site Habitat Baseline'!$D$1:$O$258,11,FALSE)),"",(VLOOKUP($E69,'A-1 On-Site Habitat Baseline'!$D$1:$O$258,11,FALSE))))</f>
        <v/>
      </c>
      <c r="M69" s="382" t="str">
        <f>IF(E69="","",IF(ISNA(VLOOKUP($E69,'A-1 On-Site Habitat Baseline'!$D$1:$O$258,12,FALSE)),"",(VLOOKUP($E69,'A-1 On-Site Habitat Baseline'!$D$1:$O$258,12,FALSE))))</f>
        <v/>
      </c>
      <c r="N69" s="393" t="str">
        <f>IF(E69="","",IF(ISNA(VLOOKUP($E69,'A-1 On-Site Habitat Baseline'!$D$1:$X$258,14,FALSE)),"",(VLOOKUP($E69,'A-1 On-Site Habitat Baseline'!$D$1:$X$258,14,FALSE))))</f>
        <v/>
      </c>
      <c r="O69" s="386" t="str">
        <f>IF(E69="","",IF(ISNA(VLOOKUP($E69,'A-1 On-Site Habitat Baseline'!$D$1:$X$258,16,FALSE)),"",(VLOOKUP($E69,'A-1 On-Site Habitat Baseline'!$D$1:$X$258,13,FALSE))))</f>
        <v/>
      </c>
      <c r="P69" s="192" t="str">
        <f>IFERROR(INDEX('G-1 All Habitats'!$AG$3:$AG$17,MATCH(Q69,'G-1 All Habitats'!$AF$3:$AF$17,0)),"")</f>
        <v/>
      </c>
      <c r="Q69" s="193" t="str">
        <f t="shared" si="0"/>
        <v/>
      </c>
      <c r="R69" s="193" t="str">
        <f t="shared" si="1"/>
        <v/>
      </c>
      <c r="S69" s="306" t="str">
        <f>IFERROR(INDEX('G-1 All Habitats'!$B$3:$B$134,MATCH(R69,'G-1 All Habitats'!$A$3:$A$134,0)),"")</f>
        <v/>
      </c>
      <c r="T69" s="362" t="str">
        <f t="shared" si="3"/>
        <v/>
      </c>
      <c r="U69" s="363" t="str">
        <f t="shared" si="4"/>
        <v/>
      </c>
      <c r="V69" s="398" t="str">
        <f t="shared" si="5"/>
        <v/>
      </c>
      <c r="W69" s="382" t="str">
        <f>IF(S69="","",VLOOKUP(S69,'G-1 All Habitats'!$B$2:$M$134,10,FALSE))</f>
        <v/>
      </c>
      <c r="X69" s="382" t="str">
        <f>IFERROR(VLOOKUP(W69,'G-1 All Habitats'!$V$3:$W$7,2,FALSE),"")</f>
        <v/>
      </c>
      <c r="Y69" s="61"/>
      <c r="Z69" s="386" t="str">
        <f>IFERROR(INDEX('G-8 Condition Look up'!$A$3:$H$135,MATCH(S69,'G-8 Condition Look up'!$A$3:$A$135,0),MATCH(Y69,'G-8 Condition Look up'!$A$3:$H$3,0)),"")</f>
        <v/>
      </c>
      <c r="AA69" s="54"/>
      <c r="AB69" s="382" t="str">
        <f>IF(AA69="","",IF(VLOOKUP(AA69,'G-3 Multipliers'!$L$3:$N$6,2,FALSE)=0,"Spatial Data Missing ⚠",VLOOKUP(AA69,'G-3 Multipliers'!$L$3:$N$6,2,FALSE)))</f>
        <v/>
      </c>
      <c r="AC69" s="386" t="str">
        <f>IF(AA69="","",IF(VLOOKUP(AA69,'G-3 Multipliers'!$L$3:$N$6,3,FALSE)=0,"Spatial Data Missing ⚠",VLOOKUP(AA69,'G-3 Multipliers'!$L$3:$N$6,3,FALSE)))</f>
        <v/>
      </c>
      <c r="AD69" s="400" t="str">
        <f t="shared" si="2"/>
        <v/>
      </c>
      <c r="AE69" s="63"/>
      <c r="AF69" s="63"/>
      <c r="AG69" s="370" t="str">
        <f t="shared" si="6"/>
        <v/>
      </c>
      <c r="AH69" s="383" t="str">
        <f t="shared" si="7"/>
        <v/>
      </c>
      <c r="AI69" s="384" t="str">
        <f>IF(AH69="Check Data","Check Data",IFERROR(VLOOKUP(AH69,'G-4 Temporal multipliers'!$A$4:$C$36,3,FALSE),""))</f>
        <v/>
      </c>
      <c r="AJ69" s="362" t="str">
        <f>IF(S69="","",VLOOKUP(S69,'G-3 Multipliers'!$A$2:$E$134,4,FALSE))</f>
        <v/>
      </c>
      <c r="AK69" s="370" t="str">
        <f t="shared" si="8"/>
        <v/>
      </c>
      <c r="AL69" s="370" t="str">
        <f t="shared" si="9"/>
        <v/>
      </c>
      <c r="AM69" s="401" t="str">
        <f>IFERROR(IF(F69="","",IF(AH69="Check Data ⚠","Check Data ⚠",VLOOKUP(AL69, 'G-3 Multipliers'!$P$2:$Q$6,2,FALSE))),"")</f>
        <v/>
      </c>
      <c r="AN69" s="376" t="str">
        <f t="shared" si="10"/>
        <v/>
      </c>
      <c r="AO69" s="194"/>
      <c r="AP69" s="195"/>
      <c r="AQ69" s="120"/>
    </row>
    <row r="70" spans="1:43">
      <c r="A70" s="35" t="str">
        <f>IF(E70="","",IF(ISNA(VLOOKUP($E70,'A-1 On-Site Habitat Baseline'!$D$1:$O$258,2,FALSE)),"",(VLOOKUP($E70,'A-1 On-Site Habitat Baseline'!$D$1:$O$258,2,FALSE))))</f>
        <v/>
      </c>
      <c r="B70" s="35" t="str">
        <f>IF(E70="","",IF(ISNA(VLOOKUP($E70,'A-1 On-Site Habitat Baseline'!$D$1:$O$258,3,FALSE)),"",(VLOOKUP($E70,'A-1 On-Site Habitat Baseline'!$D$1:$O$258,3,FALSE))))</f>
        <v/>
      </c>
      <c r="C70" s="35" t="str">
        <f>IFERROR(INDEX('G-8 Condition Look up'!$I$4:$I$135,MATCH(S70,'G-8 Condition Look up'!$A$4:$A$135,0)),"")</f>
        <v/>
      </c>
      <c r="E70" s="392" t="str">
        <f>'A-1 On-Site Habitat Baseline'!AL69</f>
        <v/>
      </c>
      <c r="F70" s="382" t="str">
        <f>IF(E70="","",IF(ISNA(VLOOKUP($E70,'A-1 On-Site Habitat Baseline'!$D$1:$O$258,4,FALSE)),"",(VLOOKUP($E70,'A-1 On-Site Habitat Baseline'!$D$1:$O$258,4,FALSE))))</f>
        <v/>
      </c>
      <c r="G70" s="382" t="str">
        <f>IF(E70="","",IF(ISNA(VLOOKUP($E70,'A-1 On-Site Habitat Baseline'!$D$1:$O$258,5,FALSE)),"",(VLOOKUP($E70,'A-1 On-Site Habitat Baseline'!$D$1:$O$258,5,FALSE))))</f>
        <v/>
      </c>
      <c r="H70" s="382" t="str">
        <f>IF(E70="","",IF(ISNA(VLOOKUP($E70,'A-1 On-Site Habitat Baseline'!$D$1:$O$258,6,FALSE)),"",(VLOOKUP($E70,'A-1 On-Site Habitat Baseline'!$D$1:$O$258,6,FALSE))))</f>
        <v/>
      </c>
      <c r="I70" s="382" t="str">
        <f>IF(E70="","",IF(ISNA(VLOOKUP($E70,'A-1 On-Site Habitat Baseline'!$D$1:$O$258,7,FALSE)),"",(VLOOKUP($E70,'A-1 On-Site Habitat Baseline'!$D$1:$O$258,7,FALSE))))</f>
        <v/>
      </c>
      <c r="J70" s="382" t="str">
        <f>IF(E70="","",IF(ISNA(VLOOKUP($E70,'A-1 On-Site Habitat Baseline'!$D$1:$O$258,8,FALSE)),"",(VLOOKUP($E70,'A-1 On-Site Habitat Baseline'!$D$1:$O$258,8,FALSE))))</f>
        <v/>
      </c>
      <c r="K70" s="382" t="str">
        <f>IF(E70="","",IF(ISNA(VLOOKUP($E70,'A-1 On-Site Habitat Baseline'!$D$1:$O$258,9,FALSE)),"",(VLOOKUP($E70,'A-1 On-Site Habitat Baseline'!$D$1:$O$258,9,FALSE))))</f>
        <v/>
      </c>
      <c r="L70" s="382" t="str">
        <f>IF(E70="","",IF(ISNA(VLOOKUP($E70,'A-1 On-Site Habitat Baseline'!$D$1:$O$258,11,FALSE)),"",(VLOOKUP($E70,'A-1 On-Site Habitat Baseline'!$D$1:$O$258,11,FALSE))))</f>
        <v/>
      </c>
      <c r="M70" s="382" t="str">
        <f>IF(E70="","",IF(ISNA(VLOOKUP($E70,'A-1 On-Site Habitat Baseline'!$D$1:$O$258,12,FALSE)),"",(VLOOKUP($E70,'A-1 On-Site Habitat Baseline'!$D$1:$O$258,12,FALSE))))</f>
        <v/>
      </c>
      <c r="N70" s="393" t="str">
        <f>IF(E70="","",IF(ISNA(VLOOKUP($E70,'A-1 On-Site Habitat Baseline'!$D$1:$X$258,14,FALSE)),"",(VLOOKUP($E70,'A-1 On-Site Habitat Baseline'!$D$1:$X$258,14,FALSE))))</f>
        <v/>
      </c>
      <c r="O70" s="386" t="str">
        <f>IF(E70="","",IF(ISNA(VLOOKUP($E70,'A-1 On-Site Habitat Baseline'!$D$1:$X$258,16,FALSE)),"",(VLOOKUP($E70,'A-1 On-Site Habitat Baseline'!$D$1:$X$258,13,FALSE))))</f>
        <v/>
      </c>
      <c r="P70" s="192" t="str">
        <f>IFERROR(INDEX('G-1 All Habitats'!$AG$3:$AG$17,MATCH(Q70,'G-1 All Habitats'!$AF$3:$AF$17,0)),"")</f>
        <v/>
      </c>
      <c r="Q70" s="193" t="str">
        <f t="shared" si="0"/>
        <v/>
      </c>
      <c r="R70" s="193" t="str">
        <f t="shared" si="1"/>
        <v/>
      </c>
      <c r="S70" s="306" t="str">
        <f>IFERROR(INDEX('G-1 All Habitats'!$B$3:$B$134,MATCH(R70,'G-1 All Habitats'!$A$3:$A$134,0)),"")</f>
        <v/>
      </c>
      <c r="T70" s="362" t="str">
        <f t="shared" si="3"/>
        <v/>
      </c>
      <c r="U70" s="363" t="str">
        <f t="shared" si="4"/>
        <v/>
      </c>
      <c r="V70" s="398" t="str">
        <f t="shared" si="5"/>
        <v/>
      </c>
      <c r="W70" s="382" t="str">
        <f>IF(S70="","",VLOOKUP(S70,'G-1 All Habitats'!$B$2:$M$134,10,FALSE))</f>
        <v/>
      </c>
      <c r="X70" s="382" t="str">
        <f>IFERROR(VLOOKUP(W70,'G-1 All Habitats'!$V$3:$W$7,2,FALSE),"")</f>
        <v/>
      </c>
      <c r="Y70" s="61"/>
      <c r="Z70" s="386" t="str">
        <f>IFERROR(INDEX('G-8 Condition Look up'!$A$3:$H$135,MATCH(S70,'G-8 Condition Look up'!$A$3:$A$135,0),MATCH(Y70,'G-8 Condition Look up'!$A$3:$H$3,0)),"")</f>
        <v/>
      </c>
      <c r="AA70" s="54"/>
      <c r="AB70" s="382" t="str">
        <f>IF(AA70="","",IF(VLOOKUP(AA70,'G-3 Multipliers'!$L$3:$N$6,2,FALSE)=0,"Spatial Data Missing ⚠",VLOOKUP(AA70,'G-3 Multipliers'!$L$3:$N$6,2,FALSE)))</f>
        <v/>
      </c>
      <c r="AC70" s="386" t="str">
        <f>IF(AA70="","",IF(VLOOKUP(AA70,'G-3 Multipliers'!$L$3:$N$6,3,FALSE)=0,"Spatial Data Missing ⚠",VLOOKUP(AA70,'G-3 Multipliers'!$L$3:$N$6,3,FALSE)))</f>
        <v/>
      </c>
      <c r="AD70" s="400" t="str">
        <f t="shared" si="2"/>
        <v/>
      </c>
      <c r="AE70" s="63"/>
      <c r="AF70" s="63"/>
      <c r="AG70" s="370" t="str">
        <f t="shared" si="6"/>
        <v/>
      </c>
      <c r="AH70" s="383" t="str">
        <f t="shared" si="7"/>
        <v/>
      </c>
      <c r="AI70" s="384" t="str">
        <f>IF(AH70="Check Data","Check Data",IFERROR(VLOOKUP(AH70,'G-4 Temporal multipliers'!$A$4:$C$36,3,FALSE),""))</f>
        <v/>
      </c>
      <c r="AJ70" s="362" t="str">
        <f>IF(S70="","",VLOOKUP(S70,'G-3 Multipliers'!$A$2:$E$134,4,FALSE))</f>
        <v/>
      </c>
      <c r="AK70" s="370" t="str">
        <f t="shared" si="8"/>
        <v/>
      </c>
      <c r="AL70" s="370" t="str">
        <f t="shared" si="9"/>
        <v/>
      </c>
      <c r="AM70" s="401" t="str">
        <f>IFERROR(IF(F70="","",IF(AH70="Check Data ⚠","Check Data ⚠",VLOOKUP(AL70, 'G-3 Multipliers'!$P$2:$Q$6,2,FALSE))),"")</f>
        <v/>
      </c>
      <c r="AN70" s="376" t="str">
        <f t="shared" si="10"/>
        <v/>
      </c>
      <c r="AO70" s="194"/>
      <c r="AP70" s="195"/>
      <c r="AQ70" s="120"/>
    </row>
    <row r="71" spans="1:43">
      <c r="A71" s="35" t="str">
        <f>IF(E71="","",IF(ISNA(VLOOKUP($E71,'A-1 On-Site Habitat Baseline'!$D$1:$O$258,2,FALSE)),"",(VLOOKUP($E71,'A-1 On-Site Habitat Baseline'!$D$1:$O$258,2,FALSE))))</f>
        <v/>
      </c>
      <c r="B71" s="35" t="str">
        <f>IF(E71="","",IF(ISNA(VLOOKUP($E71,'A-1 On-Site Habitat Baseline'!$D$1:$O$258,3,FALSE)),"",(VLOOKUP($E71,'A-1 On-Site Habitat Baseline'!$D$1:$O$258,3,FALSE))))</f>
        <v/>
      </c>
      <c r="C71" s="35" t="str">
        <f>IFERROR(INDEX('G-8 Condition Look up'!$I$4:$I$135,MATCH(S71,'G-8 Condition Look up'!$A$4:$A$135,0)),"")</f>
        <v/>
      </c>
      <c r="E71" s="392" t="str">
        <f>'A-1 On-Site Habitat Baseline'!AL70</f>
        <v/>
      </c>
      <c r="F71" s="382" t="str">
        <f>IF(E71="","",IF(ISNA(VLOOKUP($E71,'A-1 On-Site Habitat Baseline'!$D$1:$O$258,4,FALSE)),"",(VLOOKUP($E71,'A-1 On-Site Habitat Baseline'!$D$1:$O$258,4,FALSE))))</f>
        <v/>
      </c>
      <c r="G71" s="382" t="str">
        <f>IF(E71="","",IF(ISNA(VLOOKUP($E71,'A-1 On-Site Habitat Baseline'!$D$1:$O$258,5,FALSE)),"",(VLOOKUP($E71,'A-1 On-Site Habitat Baseline'!$D$1:$O$258,5,FALSE))))</f>
        <v/>
      </c>
      <c r="H71" s="382" t="str">
        <f>IF(E71="","",IF(ISNA(VLOOKUP($E71,'A-1 On-Site Habitat Baseline'!$D$1:$O$258,6,FALSE)),"",(VLOOKUP($E71,'A-1 On-Site Habitat Baseline'!$D$1:$O$258,6,FALSE))))</f>
        <v/>
      </c>
      <c r="I71" s="382" t="str">
        <f>IF(E71="","",IF(ISNA(VLOOKUP($E71,'A-1 On-Site Habitat Baseline'!$D$1:$O$258,7,FALSE)),"",(VLOOKUP($E71,'A-1 On-Site Habitat Baseline'!$D$1:$O$258,7,FALSE))))</f>
        <v/>
      </c>
      <c r="J71" s="382" t="str">
        <f>IF(E71="","",IF(ISNA(VLOOKUP($E71,'A-1 On-Site Habitat Baseline'!$D$1:$O$258,8,FALSE)),"",(VLOOKUP($E71,'A-1 On-Site Habitat Baseline'!$D$1:$O$258,8,FALSE))))</f>
        <v/>
      </c>
      <c r="K71" s="382" t="str">
        <f>IF(E71="","",IF(ISNA(VLOOKUP($E71,'A-1 On-Site Habitat Baseline'!$D$1:$O$258,9,FALSE)),"",(VLOOKUP($E71,'A-1 On-Site Habitat Baseline'!$D$1:$O$258,9,FALSE))))</f>
        <v/>
      </c>
      <c r="L71" s="382" t="str">
        <f>IF(E71="","",IF(ISNA(VLOOKUP($E71,'A-1 On-Site Habitat Baseline'!$D$1:$O$258,11,FALSE)),"",(VLOOKUP($E71,'A-1 On-Site Habitat Baseline'!$D$1:$O$258,11,FALSE))))</f>
        <v/>
      </c>
      <c r="M71" s="382" t="str">
        <f>IF(E71="","",IF(ISNA(VLOOKUP($E71,'A-1 On-Site Habitat Baseline'!$D$1:$O$258,12,FALSE)),"",(VLOOKUP($E71,'A-1 On-Site Habitat Baseline'!$D$1:$O$258,12,FALSE))))</f>
        <v/>
      </c>
      <c r="N71" s="393" t="str">
        <f>IF(E71="","",IF(ISNA(VLOOKUP($E71,'A-1 On-Site Habitat Baseline'!$D$1:$X$258,14,FALSE)),"",(VLOOKUP($E71,'A-1 On-Site Habitat Baseline'!$D$1:$X$258,14,FALSE))))</f>
        <v/>
      </c>
      <c r="O71" s="386" t="str">
        <f>IF(E71="","",IF(ISNA(VLOOKUP($E71,'A-1 On-Site Habitat Baseline'!$D$1:$X$258,16,FALSE)),"",(VLOOKUP($E71,'A-1 On-Site Habitat Baseline'!$D$1:$X$258,13,FALSE))))</f>
        <v/>
      </c>
      <c r="P71" s="192" t="str">
        <f>IFERROR(INDEX('G-1 All Habitats'!$AG$3:$AG$17,MATCH(Q71,'G-1 All Habitats'!$AF$3:$AF$17,0)),"")</f>
        <v/>
      </c>
      <c r="Q71" s="193" t="str">
        <f t="shared" si="0"/>
        <v/>
      </c>
      <c r="R71" s="193" t="str">
        <f t="shared" si="1"/>
        <v/>
      </c>
      <c r="S71" s="306" t="str">
        <f>IFERROR(INDEX('G-1 All Habitats'!$B$3:$B$134,MATCH(R71,'G-1 All Habitats'!$A$3:$A$134,0)),"")</f>
        <v/>
      </c>
      <c r="T71" s="362" t="str">
        <f t="shared" si="3"/>
        <v/>
      </c>
      <c r="U71" s="363" t="str">
        <f t="shared" si="4"/>
        <v/>
      </c>
      <c r="V71" s="398" t="str">
        <f t="shared" si="5"/>
        <v/>
      </c>
      <c r="W71" s="382" t="str">
        <f>IF(S71="","",VLOOKUP(S71,'G-1 All Habitats'!$B$2:$M$134,10,FALSE))</f>
        <v/>
      </c>
      <c r="X71" s="382" t="str">
        <f>IFERROR(VLOOKUP(W71,'G-1 All Habitats'!$V$3:$W$7,2,FALSE),"")</f>
        <v/>
      </c>
      <c r="Y71" s="61"/>
      <c r="Z71" s="386" t="str">
        <f>IFERROR(INDEX('G-8 Condition Look up'!$A$3:$H$135,MATCH(S71,'G-8 Condition Look up'!$A$3:$A$135,0),MATCH(Y71,'G-8 Condition Look up'!$A$3:$H$3,0)),"")</f>
        <v/>
      </c>
      <c r="AA71" s="54"/>
      <c r="AB71" s="382" t="str">
        <f>IF(AA71="","",IF(VLOOKUP(AA71,'G-3 Multipliers'!$L$3:$N$6,2,FALSE)=0,"Spatial Data Missing ⚠",VLOOKUP(AA71,'G-3 Multipliers'!$L$3:$N$6,2,FALSE)))</f>
        <v/>
      </c>
      <c r="AC71" s="386" t="str">
        <f>IF(AA71="","",IF(VLOOKUP(AA71,'G-3 Multipliers'!$L$3:$N$6,3,FALSE)=0,"Spatial Data Missing ⚠",VLOOKUP(AA71,'G-3 Multipliers'!$L$3:$N$6,3,FALSE)))</f>
        <v/>
      </c>
      <c r="AD71" s="400" t="str">
        <f t="shared" si="2"/>
        <v/>
      </c>
      <c r="AE71" s="63"/>
      <c r="AF71" s="63"/>
      <c r="AG71" s="370" t="str">
        <f t="shared" si="6"/>
        <v/>
      </c>
      <c r="AH71" s="383" t="str">
        <f t="shared" si="7"/>
        <v/>
      </c>
      <c r="AI71" s="384" t="str">
        <f>IF(AH71="Check Data","Check Data",IFERROR(VLOOKUP(AH71,'G-4 Temporal multipliers'!$A$4:$C$36,3,FALSE),""))</f>
        <v/>
      </c>
      <c r="AJ71" s="362" t="str">
        <f>IF(S71="","",VLOOKUP(S71,'G-3 Multipliers'!$A$2:$E$134,4,FALSE))</f>
        <v/>
      </c>
      <c r="AK71" s="370" t="str">
        <f t="shared" si="8"/>
        <v/>
      </c>
      <c r="AL71" s="370" t="str">
        <f t="shared" si="9"/>
        <v/>
      </c>
      <c r="AM71" s="401" t="str">
        <f>IFERROR(IF(F71="","",IF(AH71="Check Data ⚠","Check Data ⚠",VLOOKUP(AL71, 'G-3 Multipliers'!$P$2:$Q$6,2,FALSE))),"")</f>
        <v/>
      </c>
      <c r="AN71" s="376" t="str">
        <f t="shared" si="10"/>
        <v/>
      </c>
      <c r="AO71" s="194"/>
      <c r="AP71" s="195"/>
      <c r="AQ71" s="120"/>
    </row>
    <row r="72" spans="1:43">
      <c r="A72" s="35" t="str">
        <f>IF(E72="","",IF(ISNA(VLOOKUP($E72,'A-1 On-Site Habitat Baseline'!$D$1:$O$258,2,FALSE)),"",(VLOOKUP($E72,'A-1 On-Site Habitat Baseline'!$D$1:$O$258,2,FALSE))))</f>
        <v/>
      </c>
      <c r="B72" s="35" t="str">
        <f>IF(E72="","",IF(ISNA(VLOOKUP($E72,'A-1 On-Site Habitat Baseline'!$D$1:$O$258,3,FALSE)),"",(VLOOKUP($E72,'A-1 On-Site Habitat Baseline'!$D$1:$O$258,3,FALSE))))</f>
        <v/>
      </c>
      <c r="C72" s="35" t="str">
        <f>IFERROR(INDEX('G-8 Condition Look up'!$I$4:$I$135,MATCH(S72,'G-8 Condition Look up'!$A$4:$A$135,0)),"")</f>
        <v/>
      </c>
      <c r="E72" s="392" t="str">
        <f>'A-1 On-Site Habitat Baseline'!AL71</f>
        <v/>
      </c>
      <c r="F72" s="382" t="str">
        <f>IF(E72="","",IF(ISNA(VLOOKUP($E72,'A-1 On-Site Habitat Baseline'!$D$1:$O$258,4,FALSE)),"",(VLOOKUP($E72,'A-1 On-Site Habitat Baseline'!$D$1:$O$258,4,FALSE))))</f>
        <v/>
      </c>
      <c r="G72" s="382" t="str">
        <f>IF(E72="","",IF(ISNA(VLOOKUP($E72,'A-1 On-Site Habitat Baseline'!$D$1:$O$258,5,FALSE)),"",(VLOOKUP($E72,'A-1 On-Site Habitat Baseline'!$D$1:$O$258,5,FALSE))))</f>
        <v/>
      </c>
      <c r="H72" s="382" t="str">
        <f>IF(E72="","",IF(ISNA(VLOOKUP($E72,'A-1 On-Site Habitat Baseline'!$D$1:$O$258,6,FALSE)),"",(VLOOKUP($E72,'A-1 On-Site Habitat Baseline'!$D$1:$O$258,6,FALSE))))</f>
        <v/>
      </c>
      <c r="I72" s="382" t="str">
        <f>IF(E72="","",IF(ISNA(VLOOKUP($E72,'A-1 On-Site Habitat Baseline'!$D$1:$O$258,7,FALSE)),"",(VLOOKUP($E72,'A-1 On-Site Habitat Baseline'!$D$1:$O$258,7,FALSE))))</f>
        <v/>
      </c>
      <c r="J72" s="382" t="str">
        <f>IF(E72="","",IF(ISNA(VLOOKUP($E72,'A-1 On-Site Habitat Baseline'!$D$1:$O$258,8,FALSE)),"",(VLOOKUP($E72,'A-1 On-Site Habitat Baseline'!$D$1:$O$258,8,FALSE))))</f>
        <v/>
      </c>
      <c r="K72" s="382" t="str">
        <f>IF(E72="","",IF(ISNA(VLOOKUP($E72,'A-1 On-Site Habitat Baseline'!$D$1:$O$258,9,FALSE)),"",(VLOOKUP($E72,'A-1 On-Site Habitat Baseline'!$D$1:$O$258,9,FALSE))))</f>
        <v/>
      </c>
      <c r="L72" s="382" t="str">
        <f>IF(E72="","",IF(ISNA(VLOOKUP($E72,'A-1 On-Site Habitat Baseline'!$D$1:$O$258,11,FALSE)),"",(VLOOKUP($E72,'A-1 On-Site Habitat Baseline'!$D$1:$O$258,11,FALSE))))</f>
        <v/>
      </c>
      <c r="M72" s="382" t="str">
        <f>IF(E72="","",IF(ISNA(VLOOKUP($E72,'A-1 On-Site Habitat Baseline'!$D$1:$O$258,12,FALSE)),"",(VLOOKUP($E72,'A-1 On-Site Habitat Baseline'!$D$1:$O$258,12,FALSE))))</f>
        <v/>
      </c>
      <c r="N72" s="393" t="str">
        <f>IF(E72="","",IF(ISNA(VLOOKUP($E72,'A-1 On-Site Habitat Baseline'!$D$1:$X$258,14,FALSE)),"",(VLOOKUP($E72,'A-1 On-Site Habitat Baseline'!$D$1:$X$258,14,FALSE))))</f>
        <v/>
      </c>
      <c r="O72" s="386" t="str">
        <f>IF(E72="","",IF(ISNA(VLOOKUP($E72,'A-1 On-Site Habitat Baseline'!$D$1:$X$258,16,FALSE)),"",(VLOOKUP($E72,'A-1 On-Site Habitat Baseline'!$D$1:$X$258,13,FALSE))))</f>
        <v/>
      </c>
      <c r="P72" s="192" t="str">
        <f>IFERROR(INDEX('G-1 All Habitats'!$AG$3:$AG$17,MATCH(Q72,'G-1 All Habitats'!$AF$3:$AF$17,0)),"")</f>
        <v/>
      </c>
      <c r="Q72" s="193" t="str">
        <f t="shared" si="0"/>
        <v/>
      </c>
      <c r="R72" s="193" t="str">
        <f t="shared" si="1"/>
        <v/>
      </c>
      <c r="S72" s="306" t="str">
        <f>IFERROR(INDEX('G-1 All Habitats'!$B$3:$B$134,MATCH(R72,'G-1 All Habitats'!$A$3:$A$134,0)),"")</f>
        <v/>
      </c>
      <c r="T72" s="362" t="str">
        <f t="shared" si="3"/>
        <v/>
      </c>
      <c r="U72" s="363" t="str">
        <f t="shared" si="4"/>
        <v/>
      </c>
      <c r="V72" s="398" t="str">
        <f t="shared" si="5"/>
        <v/>
      </c>
      <c r="W72" s="382" t="str">
        <f>IF(S72="","",VLOOKUP(S72,'G-1 All Habitats'!$B$2:$M$134,10,FALSE))</f>
        <v/>
      </c>
      <c r="X72" s="382" t="str">
        <f>IFERROR(VLOOKUP(W72,'G-1 All Habitats'!$V$3:$W$7,2,FALSE),"")</f>
        <v/>
      </c>
      <c r="Y72" s="61"/>
      <c r="Z72" s="386" t="str">
        <f>IFERROR(INDEX('G-8 Condition Look up'!$A$3:$H$135,MATCH(S72,'G-8 Condition Look up'!$A$3:$A$135,0),MATCH(Y72,'G-8 Condition Look up'!$A$3:$H$3,0)),"")</f>
        <v/>
      </c>
      <c r="AA72" s="54"/>
      <c r="AB72" s="382" t="str">
        <f>IF(AA72="","",IF(VLOOKUP(AA72,'G-3 Multipliers'!$L$3:$N$6,2,FALSE)=0,"Spatial Data Missing ⚠",VLOOKUP(AA72,'G-3 Multipliers'!$L$3:$N$6,2,FALSE)))</f>
        <v/>
      </c>
      <c r="AC72" s="386" t="str">
        <f>IF(AA72="","",IF(VLOOKUP(AA72,'G-3 Multipliers'!$L$3:$N$6,3,FALSE)=0,"Spatial Data Missing ⚠",VLOOKUP(AA72,'G-3 Multipliers'!$L$3:$N$6,3,FALSE)))</f>
        <v/>
      </c>
      <c r="AD72" s="400" t="str">
        <f t="shared" si="2"/>
        <v/>
      </c>
      <c r="AE72" s="63"/>
      <c r="AF72" s="63"/>
      <c r="AG72" s="370" t="str">
        <f t="shared" si="6"/>
        <v/>
      </c>
      <c r="AH72" s="383" t="str">
        <f t="shared" si="7"/>
        <v/>
      </c>
      <c r="AI72" s="384" t="str">
        <f>IF(AH72="Check Data","Check Data",IFERROR(VLOOKUP(AH72,'G-4 Temporal multipliers'!$A$4:$C$36,3,FALSE),""))</f>
        <v/>
      </c>
      <c r="AJ72" s="362" t="str">
        <f>IF(S72="","",VLOOKUP(S72,'G-3 Multipliers'!$A$2:$E$134,4,FALSE))</f>
        <v/>
      </c>
      <c r="AK72" s="370" t="str">
        <f t="shared" si="8"/>
        <v/>
      </c>
      <c r="AL72" s="370" t="str">
        <f t="shared" si="9"/>
        <v/>
      </c>
      <c r="AM72" s="401" t="str">
        <f>IFERROR(IF(F72="","",IF(AH72="Check Data ⚠","Check Data ⚠",VLOOKUP(AL72, 'G-3 Multipliers'!$P$2:$Q$6,2,FALSE))),"")</f>
        <v/>
      </c>
      <c r="AN72" s="376" t="str">
        <f t="shared" si="10"/>
        <v/>
      </c>
      <c r="AO72" s="194"/>
      <c r="AP72" s="195"/>
      <c r="AQ72" s="120"/>
    </row>
    <row r="73" spans="1:43">
      <c r="A73" s="35" t="str">
        <f>IF(E73="","",IF(ISNA(VLOOKUP($E73,'A-1 On-Site Habitat Baseline'!$D$1:$O$258,2,FALSE)),"",(VLOOKUP($E73,'A-1 On-Site Habitat Baseline'!$D$1:$O$258,2,FALSE))))</f>
        <v/>
      </c>
      <c r="B73" s="35" t="str">
        <f>IF(E73="","",IF(ISNA(VLOOKUP($E73,'A-1 On-Site Habitat Baseline'!$D$1:$O$258,3,FALSE)),"",(VLOOKUP($E73,'A-1 On-Site Habitat Baseline'!$D$1:$O$258,3,FALSE))))</f>
        <v/>
      </c>
      <c r="C73" s="35" t="str">
        <f>IFERROR(INDEX('G-8 Condition Look up'!$I$4:$I$135,MATCH(S73,'G-8 Condition Look up'!$A$4:$A$135,0)),"")</f>
        <v/>
      </c>
      <c r="E73" s="392" t="str">
        <f>'A-1 On-Site Habitat Baseline'!AL72</f>
        <v/>
      </c>
      <c r="F73" s="382" t="str">
        <f>IF(E73="","",IF(ISNA(VLOOKUP($E73,'A-1 On-Site Habitat Baseline'!$D$1:$O$258,4,FALSE)),"",(VLOOKUP($E73,'A-1 On-Site Habitat Baseline'!$D$1:$O$258,4,FALSE))))</f>
        <v/>
      </c>
      <c r="G73" s="382" t="str">
        <f>IF(E73="","",IF(ISNA(VLOOKUP($E73,'A-1 On-Site Habitat Baseline'!$D$1:$O$258,5,FALSE)),"",(VLOOKUP($E73,'A-1 On-Site Habitat Baseline'!$D$1:$O$258,5,FALSE))))</f>
        <v/>
      </c>
      <c r="H73" s="382" t="str">
        <f>IF(E73="","",IF(ISNA(VLOOKUP($E73,'A-1 On-Site Habitat Baseline'!$D$1:$O$258,6,FALSE)),"",(VLOOKUP($E73,'A-1 On-Site Habitat Baseline'!$D$1:$O$258,6,FALSE))))</f>
        <v/>
      </c>
      <c r="I73" s="382" t="str">
        <f>IF(E73="","",IF(ISNA(VLOOKUP($E73,'A-1 On-Site Habitat Baseline'!$D$1:$O$258,7,FALSE)),"",(VLOOKUP($E73,'A-1 On-Site Habitat Baseline'!$D$1:$O$258,7,FALSE))))</f>
        <v/>
      </c>
      <c r="J73" s="382" t="str">
        <f>IF(E73="","",IF(ISNA(VLOOKUP($E73,'A-1 On-Site Habitat Baseline'!$D$1:$O$258,8,FALSE)),"",(VLOOKUP($E73,'A-1 On-Site Habitat Baseline'!$D$1:$O$258,8,FALSE))))</f>
        <v/>
      </c>
      <c r="K73" s="382" t="str">
        <f>IF(E73="","",IF(ISNA(VLOOKUP($E73,'A-1 On-Site Habitat Baseline'!$D$1:$O$258,9,FALSE)),"",(VLOOKUP($E73,'A-1 On-Site Habitat Baseline'!$D$1:$O$258,9,FALSE))))</f>
        <v/>
      </c>
      <c r="L73" s="382" t="str">
        <f>IF(E73="","",IF(ISNA(VLOOKUP($E73,'A-1 On-Site Habitat Baseline'!$D$1:$O$258,11,FALSE)),"",(VLOOKUP($E73,'A-1 On-Site Habitat Baseline'!$D$1:$O$258,11,FALSE))))</f>
        <v/>
      </c>
      <c r="M73" s="382" t="str">
        <f>IF(E73="","",IF(ISNA(VLOOKUP($E73,'A-1 On-Site Habitat Baseline'!$D$1:$O$258,12,FALSE)),"",(VLOOKUP($E73,'A-1 On-Site Habitat Baseline'!$D$1:$O$258,12,FALSE))))</f>
        <v/>
      </c>
      <c r="N73" s="393" t="str">
        <f>IF(E73="","",IF(ISNA(VLOOKUP($E73,'A-1 On-Site Habitat Baseline'!$D$1:$X$258,14,FALSE)),"",(VLOOKUP($E73,'A-1 On-Site Habitat Baseline'!$D$1:$X$258,14,FALSE))))</f>
        <v/>
      </c>
      <c r="O73" s="386" t="str">
        <f>IF(E73="","",IF(ISNA(VLOOKUP($E73,'A-1 On-Site Habitat Baseline'!$D$1:$X$258,16,FALSE)),"",(VLOOKUP($E73,'A-1 On-Site Habitat Baseline'!$D$1:$X$258,13,FALSE))))</f>
        <v/>
      </c>
      <c r="P73" s="192" t="str">
        <f>IFERROR(INDEX('G-1 All Habitats'!$AG$3:$AG$17,MATCH(Q73,'G-1 All Habitats'!$AF$3:$AF$17,0)),"")</f>
        <v/>
      </c>
      <c r="Q73" s="193" t="str">
        <f t="shared" si="0"/>
        <v/>
      </c>
      <c r="R73" s="193" t="str">
        <f t="shared" si="1"/>
        <v/>
      </c>
      <c r="S73" s="306" t="str">
        <f>IFERROR(INDEX('G-1 All Habitats'!$B$3:$B$134,MATCH(R73,'G-1 All Habitats'!$A$3:$A$134,0)),"")</f>
        <v/>
      </c>
      <c r="T73" s="362" t="str">
        <f t="shared" si="3"/>
        <v/>
      </c>
      <c r="U73" s="363" t="str">
        <f t="shared" si="4"/>
        <v/>
      </c>
      <c r="V73" s="398" t="str">
        <f t="shared" si="5"/>
        <v/>
      </c>
      <c r="W73" s="382" t="str">
        <f>IF(S73="","",VLOOKUP(S73,'G-1 All Habitats'!$B$2:$M$134,10,FALSE))</f>
        <v/>
      </c>
      <c r="X73" s="382" t="str">
        <f>IFERROR(VLOOKUP(W73,'G-1 All Habitats'!$V$3:$W$7,2,FALSE),"")</f>
        <v/>
      </c>
      <c r="Y73" s="61"/>
      <c r="Z73" s="386" t="str">
        <f>IFERROR(INDEX('G-8 Condition Look up'!$A$3:$H$135,MATCH(S73,'G-8 Condition Look up'!$A$3:$A$135,0),MATCH(Y73,'G-8 Condition Look up'!$A$3:$H$3,0)),"")</f>
        <v/>
      </c>
      <c r="AA73" s="54"/>
      <c r="AB73" s="382" t="str">
        <f>IF(AA73="","",IF(VLOOKUP(AA73,'G-3 Multipliers'!$L$3:$N$6,2,FALSE)=0,"Spatial Data Missing ⚠",VLOOKUP(AA73,'G-3 Multipliers'!$L$3:$N$6,2,FALSE)))</f>
        <v/>
      </c>
      <c r="AC73" s="386" t="str">
        <f>IF(AA73="","",IF(VLOOKUP(AA73,'G-3 Multipliers'!$L$3:$N$6,3,FALSE)=0,"Spatial Data Missing ⚠",VLOOKUP(AA73,'G-3 Multipliers'!$L$3:$N$6,3,FALSE)))</f>
        <v/>
      </c>
      <c r="AD73" s="400" t="str">
        <f t="shared" si="2"/>
        <v/>
      </c>
      <c r="AE73" s="63"/>
      <c r="AF73" s="63"/>
      <c r="AG73" s="370" t="str">
        <f t="shared" si="6"/>
        <v/>
      </c>
      <c r="AH73" s="383" t="str">
        <f t="shared" si="7"/>
        <v/>
      </c>
      <c r="AI73" s="384" t="str">
        <f>IF(AH73="Check Data","Check Data",IFERROR(VLOOKUP(AH73,'G-4 Temporal multipliers'!$A$4:$C$36,3,FALSE),""))</f>
        <v/>
      </c>
      <c r="AJ73" s="362" t="str">
        <f>IF(S73="","",VLOOKUP(S73,'G-3 Multipliers'!$A$2:$E$134,4,FALSE))</f>
        <v/>
      </c>
      <c r="AK73" s="370" t="str">
        <f t="shared" si="8"/>
        <v/>
      </c>
      <c r="AL73" s="370" t="str">
        <f t="shared" si="9"/>
        <v/>
      </c>
      <c r="AM73" s="401" t="str">
        <f>IFERROR(IF(F73="","",IF(AH73="Check Data ⚠","Check Data ⚠",VLOOKUP(AL73, 'G-3 Multipliers'!$P$2:$Q$6,2,FALSE))),"")</f>
        <v/>
      </c>
      <c r="AN73" s="376" t="str">
        <f t="shared" si="10"/>
        <v/>
      </c>
      <c r="AO73" s="194"/>
      <c r="AP73" s="195"/>
      <c r="AQ73" s="120"/>
    </row>
    <row r="74" spans="1:43">
      <c r="A74" s="35" t="str">
        <f>IF(E74="","",IF(ISNA(VLOOKUP($E74,'A-1 On-Site Habitat Baseline'!$D$1:$O$258,2,FALSE)),"",(VLOOKUP($E74,'A-1 On-Site Habitat Baseline'!$D$1:$O$258,2,FALSE))))</f>
        <v/>
      </c>
      <c r="B74" s="35" t="str">
        <f>IF(E74="","",IF(ISNA(VLOOKUP($E74,'A-1 On-Site Habitat Baseline'!$D$1:$O$258,3,FALSE)),"",(VLOOKUP($E74,'A-1 On-Site Habitat Baseline'!$D$1:$O$258,3,FALSE))))</f>
        <v/>
      </c>
      <c r="C74" s="35" t="str">
        <f>IFERROR(INDEX('G-8 Condition Look up'!$I$4:$I$135,MATCH(S74,'G-8 Condition Look up'!$A$4:$A$135,0)),"")</f>
        <v/>
      </c>
      <c r="E74" s="392" t="str">
        <f>'A-1 On-Site Habitat Baseline'!AL73</f>
        <v/>
      </c>
      <c r="F74" s="382" t="str">
        <f>IF(E74="","",IF(ISNA(VLOOKUP($E74,'A-1 On-Site Habitat Baseline'!$D$1:$O$258,4,FALSE)),"",(VLOOKUP($E74,'A-1 On-Site Habitat Baseline'!$D$1:$O$258,4,FALSE))))</f>
        <v/>
      </c>
      <c r="G74" s="382" t="str">
        <f>IF(E74="","",IF(ISNA(VLOOKUP($E74,'A-1 On-Site Habitat Baseline'!$D$1:$O$258,5,FALSE)),"",(VLOOKUP($E74,'A-1 On-Site Habitat Baseline'!$D$1:$O$258,5,FALSE))))</f>
        <v/>
      </c>
      <c r="H74" s="382" t="str">
        <f>IF(E74="","",IF(ISNA(VLOOKUP($E74,'A-1 On-Site Habitat Baseline'!$D$1:$O$258,6,FALSE)),"",(VLOOKUP($E74,'A-1 On-Site Habitat Baseline'!$D$1:$O$258,6,FALSE))))</f>
        <v/>
      </c>
      <c r="I74" s="382" t="str">
        <f>IF(E74="","",IF(ISNA(VLOOKUP($E74,'A-1 On-Site Habitat Baseline'!$D$1:$O$258,7,FALSE)),"",(VLOOKUP($E74,'A-1 On-Site Habitat Baseline'!$D$1:$O$258,7,FALSE))))</f>
        <v/>
      </c>
      <c r="J74" s="382" t="str">
        <f>IF(E74="","",IF(ISNA(VLOOKUP($E74,'A-1 On-Site Habitat Baseline'!$D$1:$O$258,8,FALSE)),"",(VLOOKUP($E74,'A-1 On-Site Habitat Baseline'!$D$1:$O$258,8,FALSE))))</f>
        <v/>
      </c>
      <c r="K74" s="382" t="str">
        <f>IF(E74="","",IF(ISNA(VLOOKUP($E74,'A-1 On-Site Habitat Baseline'!$D$1:$O$258,9,FALSE)),"",(VLOOKUP($E74,'A-1 On-Site Habitat Baseline'!$D$1:$O$258,9,FALSE))))</f>
        <v/>
      </c>
      <c r="L74" s="382" t="str">
        <f>IF(E74="","",IF(ISNA(VLOOKUP($E74,'A-1 On-Site Habitat Baseline'!$D$1:$O$258,11,FALSE)),"",(VLOOKUP($E74,'A-1 On-Site Habitat Baseline'!$D$1:$O$258,11,FALSE))))</f>
        <v/>
      </c>
      <c r="M74" s="382" t="str">
        <f>IF(E74="","",IF(ISNA(VLOOKUP($E74,'A-1 On-Site Habitat Baseline'!$D$1:$O$258,12,FALSE)),"",(VLOOKUP($E74,'A-1 On-Site Habitat Baseline'!$D$1:$O$258,12,FALSE))))</f>
        <v/>
      </c>
      <c r="N74" s="393" t="str">
        <f>IF(E74="","",IF(ISNA(VLOOKUP($E74,'A-1 On-Site Habitat Baseline'!$D$1:$X$258,14,FALSE)),"",(VLOOKUP($E74,'A-1 On-Site Habitat Baseline'!$D$1:$X$258,14,FALSE))))</f>
        <v/>
      </c>
      <c r="O74" s="386" t="str">
        <f>IF(E74="","",IF(ISNA(VLOOKUP($E74,'A-1 On-Site Habitat Baseline'!$D$1:$X$258,16,FALSE)),"",(VLOOKUP($E74,'A-1 On-Site Habitat Baseline'!$D$1:$X$258,13,FALSE))))</f>
        <v/>
      </c>
      <c r="P74" s="192" t="str">
        <f>IFERROR(INDEX('G-1 All Habitats'!$AG$3:$AG$17,MATCH(Q74,'G-1 All Habitats'!$AF$3:$AF$17,0)),"")</f>
        <v/>
      </c>
      <c r="Q74" s="193" t="str">
        <f t="shared" si="0"/>
        <v/>
      </c>
      <c r="R74" s="193" t="str">
        <f t="shared" si="1"/>
        <v/>
      </c>
      <c r="S74" s="306" t="str">
        <f>IFERROR(INDEX('G-1 All Habitats'!$B$3:$B$134,MATCH(R74,'G-1 All Habitats'!$A$3:$A$134,0)),"")</f>
        <v/>
      </c>
      <c r="T74" s="362" t="str">
        <f t="shared" si="3"/>
        <v/>
      </c>
      <c r="U74" s="363" t="str">
        <f t="shared" si="4"/>
        <v/>
      </c>
      <c r="V74" s="398" t="str">
        <f t="shared" si="5"/>
        <v/>
      </c>
      <c r="W74" s="382" t="str">
        <f>IF(S74="","",VLOOKUP(S74,'G-1 All Habitats'!$B$2:$M$134,10,FALSE))</f>
        <v/>
      </c>
      <c r="X74" s="382" t="str">
        <f>IFERROR(VLOOKUP(W74,'G-1 All Habitats'!$V$3:$W$7,2,FALSE),"")</f>
        <v/>
      </c>
      <c r="Y74" s="61"/>
      <c r="Z74" s="386" t="str">
        <f>IFERROR(INDEX('G-8 Condition Look up'!$A$3:$H$135,MATCH(S74,'G-8 Condition Look up'!$A$3:$A$135,0),MATCH(Y74,'G-8 Condition Look up'!$A$3:$H$3,0)),"")</f>
        <v/>
      </c>
      <c r="AA74" s="54"/>
      <c r="AB74" s="382" t="str">
        <f>IF(AA74="","",IF(VLOOKUP(AA74,'G-3 Multipliers'!$L$3:$N$6,2,FALSE)=0,"Spatial Data Missing ⚠",VLOOKUP(AA74,'G-3 Multipliers'!$L$3:$N$6,2,FALSE)))</f>
        <v/>
      </c>
      <c r="AC74" s="386" t="str">
        <f>IF(AA74="","",IF(VLOOKUP(AA74,'G-3 Multipliers'!$L$3:$N$6,3,FALSE)=0,"Spatial Data Missing ⚠",VLOOKUP(AA74,'G-3 Multipliers'!$L$3:$N$6,3,FALSE)))</f>
        <v/>
      </c>
      <c r="AD74" s="400" t="str">
        <f t="shared" si="2"/>
        <v/>
      </c>
      <c r="AE74" s="63"/>
      <c r="AF74" s="63"/>
      <c r="AG74" s="370" t="str">
        <f t="shared" si="6"/>
        <v/>
      </c>
      <c r="AH74" s="383" t="str">
        <f t="shared" si="7"/>
        <v/>
      </c>
      <c r="AI74" s="384" t="str">
        <f>IF(AH74="Check Data","Check Data",IFERROR(VLOOKUP(AH74,'G-4 Temporal multipliers'!$A$4:$C$36,3,FALSE),""))</f>
        <v/>
      </c>
      <c r="AJ74" s="362" t="str">
        <f>IF(S74="","",VLOOKUP(S74,'G-3 Multipliers'!$A$2:$E$134,4,FALSE))</f>
        <v/>
      </c>
      <c r="AK74" s="370" t="str">
        <f t="shared" si="8"/>
        <v/>
      </c>
      <c r="AL74" s="370" t="str">
        <f t="shared" si="9"/>
        <v/>
      </c>
      <c r="AM74" s="401" t="str">
        <f>IFERROR(IF(F74="","",IF(AH74="Check Data ⚠","Check Data ⚠",VLOOKUP(AL74, 'G-3 Multipliers'!$P$2:$Q$6,2,FALSE))),"")</f>
        <v/>
      </c>
      <c r="AN74" s="376" t="str">
        <f t="shared" si="10"/>
        <v/>
      </c>
      <c r="AO74" s="194"/>
      <c r="AP74" s="195"/>
      <c r="AQ74" s="120"/>
    </row>
    <row r="75" spans="1:43">
      <c r="A75" s="35" t="str">
        <f>IF(E75="","",IF(ISNA(VLOOKUP($E75,'A-1 On-Site Habitat Baseline'!$D$1:$O$258,2,FALSE)),"",(VLOOKUP($E75,'A-1 On-Site Habitat Baseline'!$D$1:$O$258,2,FALSE))))</f>
        <v/>
      </c>
      <c r="B75" s="35" t="str">
        <f>IF(E75="","",IF(ISNA(VLOOKUP($E75,'A-1 On-Site Habitat Baseline'!$D$1:$O$258,3,FALSE)),"",(VLOOKUP($E75,'A-1 On-Site Habitat Baseline'!$D$1:$O$258,3,FALSE))))</f>
        <v/>
      </c>
      <c r="C75" s="35" t="str">
        <f>IFERROR(INDEX('G-8 Condition Look up'!$I$4:$I$135,MATCH(S75,'G-8 Condition Look up'!$A$4:$A$135,0)),"")</f>
        <v/>
      </c>
      <c r="E75" s="392" t="str">
        <f>'A-1 On-Site Habitat Baseline'!AL74</f>
        <v/>
      </c>
      <c r="F75" s="382" t="str">
        <f>IF(E75="","",IF(ISNA(VLOOKUP($E75,'A-1 On-Site Habitat Baseline'!$D$1:$O$258,4,FALSE)),"",(VLOOKUP($E75,'A-1 On-Site Habitat Baseline'!$D$1:$O$258,4,FALSE))))</f>
        <v/>
      </c>
      <c r="G75" s="382" t="str">
        <f>IF(E75="","",IF(ISNA(VLOOKUP($E75,'A-1 On-Site Habitat Baseline'!$D$1:$O$258,5,FALSE)),"",(VLOOKUP($E75,'A-1 On-Site Habitat Baseline'!$D$1:$O$258,5,FALSE))))</f>
        <v/>
      </c>
      <c r="H75" s="382" t="str">
        <f>IF(E75="","",IF(ISNA(VLOOKUP($E75,'A-1 On-Site Habitat Baseline'!$D$1:$O$258,6,FALSE)),"",(VLOOKUP($E75,'A-1 On-Site Habitat Baseline'!$D$1:$O$258,6,FALSE))))</f>
        <v/>
      </c>
      <c r="I75" s="382" t="str">
        <f>IF(E75="","",IF(ISNA(VLOOKUP($E75,'A-1 On-Site Habitat Baseline'!$D$1:$O$258,7,FALSE)),"",(VLOOKUP($E75,'A-1 On-Site Habitat Baseline'!$D$1:$O$258,7,FALSE))))</f>
        <v/>
      </c>
      <c r="J75" s="382" t="str">
        <f>IF(E75="","",IF(ISNA(VLOOKUP($E75,'A-1 On-Site Habitat Baseline'!$D$1:$O$258,8,FALSE)),"",(VLOOKUP($E75,'A-1 On-Site Habitat Baseline'!$D$1:$O$258,8,FALSE))))</f>
        <v/>
      </c>
      <c r="K75" s="382" t="str">
        <f>IF(E75="","",IF(ISNA(VLOOKUP($E75,'A-1 On-Site Habitat Baseline'!$D$1:$O$258,9,FALSE)),"",(VLOOKUP($E75,'A-1 On-Site Habitat Baseline'!$D$1:$O$258,9,FALSE))))</f>
        <v/>
      </c>
      <c r="L75" s="382" t="str">
        <f>IF(E75="","",IF(ISNA(VLOOKUP($E75,'A-1 On-Site Habitat Baseline'!$D$1:$O$258,11,FALSE)),"",(VLOOKUP($E75,'A-1 On-Site Habitat Baseline'!$D$1:$O$258,11,FALSE))))</f>
        <v/>
      </c>
      <c r="M75" s="382" t="str">
        <f>IF(E75="","",IF(ISNA(VLOOKUP($E75,'A-1 On-Site Habitat Baseline'!$D$1:$O$258,12,FALSE)),"",(VLOOKUP($E75,'A-1 On-Site Habitat Baseline'!$D$1:$O$258,12,FALSE))))</f>
        <v/>
      </c>
      <c r="N75" s="393" t="str">
        <f>IF(E75="","",IF(ISNA(VLOOKUP($E75,'A-1 On-Site Habitat Baseline'!$D$1:$X$258,14,FALSE)),"",(VLOOKUP($E75,'A-1 On-Site Habitat Baseline'!$D$1:$X$258,14,FALSE))))</f>
        <v/>
      </c>
      <c r="O75" s="386" t="str">
        <f>IF(E75="","",IF(ISNA(VLOOKUP($E75,'A-1 On-Site Habitat Baseline'!$D$1:$X$258,16,FALSE)),"",(VLOOKUP($E75,'A-1 On-Site Habitat Baseline'!$D$1:$X$258,13,FALSE))))</f>
        <v/>
      </c>
      <c r="P75" s="192" t="str">
        <f>IFERROR(INDEX('G-1 All Habitats'!$AG$3:$AG$17,MATCH(Q75,'G-1 All Habitats'!$AF$3:$AF$17,0)),"")</f>
        <v/>
      </c>
      <c r="Q75" s="193" t="str">
        <f t="shared" si="0"/>
        <v/>
      </c>
      <c r="R75" s="193" t="str">
        <f t="shared" si="1"/>
        <v/>
      </c>
      <c r="S75" s="306" t="str">
        <f>IFERROR(INDEX('G-1 All Habitats'!$B$3:$B$134,MATCH(R75,'G-1 All Habitats'!$A$3:$A$134,0)),"")</f>
        <v/>
      </c>
      <c r="T75" s="362" t="str">
        <f t="shared" si="3"/>
        <v/>
      </c>
      <c r="U75" s="363" t="str">
        <f t="shared" si="4"/>
        <v/>
      </c>
      <c r="V75" s="398" t="str">
        <f t="shared" si="5"/>
        <v/>
      </c>
      <c r="W75" s="382" t="str">
        <f>IF(S75="","",VLOOKUP(S75,'G-1 All Habitats'!$B$2:$M$134,10,FALSE))</f>
        <v/>
      </c>
      <c r="X75" s="382" t="str">
        <f>IFERROR(VLOOKUP(W75,'G-1 All Habitats'!$V$3:$W$7,2,FALSE),"")</f>
        <v/>
      </c>
      <c r="Y75" s="61"/>
      <c r="Z75" s="386" t="str">
        <f>IFERROR(INDEX('G-8 Condition Look up'!$A$3:$H$135,MATCH(S75,'G-8 Condition Look up'!$A$3:$A$135,0),MATCH(Y75,'G-8 Condition Look up'!$A$3:$H$3,0)),"")</f>
        <v/>
      </c>
      <c r="AA75" s="54"/>
      <c r="AB75" s="382" t="str">
        <f>IF(AA75="","",IF(VLOOKUP(AA75,'G-3 Multipliers'!$L$3:$N$6,2,FALSE)=0,"Spatial Data Missing ⚠",VLOOKUP(AA75,'G-3 Multipliers'!$L$3:$N$6,2,FALSE)))</f>
        <v/>
      </c>
      <c r="AC75" s="386" t="str">
        <f>IF(AA75="","",IF(VLOOKUP(AA75,'G-3 Multipliers'!$L$3:$N$6,3,FALSE)=0,"Spatial Data Missing ⚠",VLOOKUP(AA75,'G-3 Multipliers'!$L$3:$N$6,3,FALSE)))</f>
        <v/>
      </c>
      <c r="AD75" s="400" t="str">
        <f t="shared" si="2"/>
        <v/>
      </c>
      <c r="AE75" s="63"/>
      <c r="AF75" s="63"/>
      <c r="AG75" s="370" t="str">
        <f t="shared" si="6"/>
        <v/>
      </c>
      <c r="AH75" s="383" t="str">
        <f t="shared" si="7"/>
        <v/>
      </c>
      <c r="AI75" s="384" t="str">
        <f>IF(AH75="Check Data","Check Data",IFERROR(VLOOKUP(AH75,'G-4 Temporal multipliers'!$A$4:$C$36,3,FALSE),""))</f>
        <v/>
      </c>
      <c r="AJ75" s="362" t="str">
        <f>IF(S75="","",VLOOKUP(S75,'G-3 Multipliers'!$A$2:$E$134,4,FALSE))</f>
        <v/>
      </c>
      <c r="AK75" s="370" t="str">
        <f t="shared" si="8"/>
        <v/>
      </c>
      <c r="AL75" s="370" t="str">
        <f t="shared" si="9"/>
        <v/>
      </c>
      <c r="AM75" s="401" t="str">
        <f>IFERROR(IF(F75="","",IF(AH75="Check Data ⚠","Check Data ⚠",VLOOKUP(AL75, 'G-3 Multipliers'!$P$2:$Q$6,2,FALSE))),"")</f>
        <v/>
      </c>
      <c r="AN75" s="376" t="str">
        <f t="shared" si="10"/>
        <v/>
      </c>
      <c r="AO75" s="194"/>
      <c r="AP75" s="195"/>
      <c r="AQ75" s="120"/>
    </row>
    <row r="76" spans="1:43">
      <c r="A76" s="35" t="str">
        <f>IF(E76="","",IF(ISNA(VLOOKUP($E76,'A-1 On-Site Habitat Baseline'!$D$1:$O$258,2,FALSE)),"",(VLOOKUP($E76,'A-1 On-Site Habitat Baseline'!$D$1:$O$258,2,FALSE))))</f>
        <v/>
      </c>
      <c r="B76" s="35" t="str">
        <f>IF(E76="","",IF(ISNA(VLOOKUP($E76,'A-1 On-Site Habitat Baseline'!$D$1:$O$258,3,FALSE)),"",(VLOOKUP($E76,'A-1 On-Site Habitat Baseline'!$D$1:$O$258,3,FALSE))))</f>
        <v/>
      </c>
      <c r="C76" s="35" t="str">
        <f>IFERROR(INDEX('G-8 Condition Look up'!$I$4:$I$135,MATCH(S76,'G-8 Condition Look up'!$A$4:$A$135,0)),"")</f>
        <v/>
      </c>
      <c r="E76" s="392" t="str">
        <f>'A-1 On-Site Habitat Baseline'!AL75</f>
        <v/>
      </c>
      <c r="F76" s="382" t="str">
        <f>IF(E76="","",IF(ISNA(VLOOKUP($E76,'A-1 On-Site Habitat Baseline'!$D$1:$O$258,4,FALSE)),"",(VLOOKUP($E76,'A-1 On-Site Habitat Baseline'!$D$1:$O$258,4,FALSE))))</f>
        <v/>
      </c>
      <c r="G76" s="382" t="str">
        <f>IF(E76="","",IF(ISNA(VLOOKUP($E76,'A-1 On-Site Habitat Baseline'!$D$1:$O$258,5,FALSE)),"",(VLOOKUP($E76,'A-1 On-Site Habitat Baseline'!$D$1:$O$258,5,FALSE))))</f>
        <v/>
      </c>
      <c r="H76" s="382" t="str">
        <f>IF(E76="","",IF(ISNA(VLOOKUP($E76,'A-1 On-Site Habitat Baseline'!$D$1:$O$258,6,FALSE)),"",(VLOOKUP($E76,'A-1 On-Site Habitat Baseline'!$D$1:$O$258,6,FALSE))))</f>
        <v/>
      </c>
      <c r="I76" s="382" t="str">
        <f>IF(E76="","",IF(ISNA(VLOOKUP($E76,'A-1 On-Site Habitat Baseline'!$D$1:$O$258,7,FALSE)),"",(VLOOKUP($E76,'A-1 On-Site Habitat Baseline'!$D$1:$O$258,7,FALSE))))</f>
        <v/>
      </c>
      <c r="J76" s="382" t="str">
        <f>IF(E76="","",IF(ISNA(VLOOKUP($E76,'A-1 On-Site Habitat Baseline'!$D$1:$O$258,8,FALSE)),"",(VLOOKUP($E76,'A-1 On-Site Habitat Baseline'!$D$1:$O$258,8,FALSE))))</f>
        <v/>
      </c>
      <c r="K76" s="382" t="str">
        <f>IF(E76="","",IF(ISNA(VLOOKUP($E76,'A-1 On-Site Habitat Baseline'!$D$1:$O$258,9,FALSE)),"",(VLOOKUP($E76,'A-1 On-Site Habitat Baseline'!$D$1:$O$258,9,FALSE))))</f>
        <v/>
      </c>
      <c r="L76" s="382" t="str">
        <f>IF(E76="","",IF(ISNA(VLOOKUP($E76,'A-1 On-Site Habitat Baseline'!$D$1:$O$258,11,FALSE)),"",(VLOOKUP($E76,'A-1 On-Site Habitat Baseline'!$D$1:$O$258,11,FALSE))))</f>
        <v/>
      </c>
      <c r="M76" s="382" t="str">
        <f>IF(E76="","",IF(ISNA(VLOOKUP($E76,'A-1 On-Site Habitat Baseline'!$D$1:$O$258,12,FALSE)),"",(VLOOKUP($E76,'A-1 On-Site Habitat Baseline'!$D$1:$O$258,12,FALSE))))</f>
        <v/>
      </c>
      <c r="N76" s="393" t="str">
        <f>IF(E76="","",IF(ISNA(VLOOKUP($E76,'A-1 On-Site Habitat Baseline'!$D$1:$X$258,14,FALSE)),"",(VLOOKUP($E76,'A-1 On-Site Habitat Baseline'!$D$1:$X$258,14,FALSE))))</f>
        <v/>
      </c>
      <c r="O76" s="386" t="str">
        <f>IF(E76="","",IF(ISNA(VLOOKUP($E76,'A-1 On-Site Habitat Baseline'!$D$1:$X$258,16,FALSE)),"",(VLOOKUP($E76,'A-1 On-Site Habitat Baseline'!$D$1:$X$258,13,FALSE))))</f>
        <v/>
      </c>
      <c r="P76" s="192" t="str">
        <f>IFERROR(INDEX('G-1 All Habitats'!$AG$3:$AG$17,MATCH(Q76,'G-1 All Habitats'!$AF$3:$AF$17,0)),"")</f>
        <v/>
      </c>
      <c r="Q76" s="193" t="str">
        <f t="shared" si="0"/>
        <v/>
      </c>
      <c r="R76" s="193" t="str">
        <f t="shared" si="1"/>
        <v/>
      </c>
      <c r="S76" s="306" t="str">
        <f>IFERROR(INDEX('G-1 All Habitats'!$B$3:$B$134,MATCH(R76,'G-1 All Habitats'!$A$3:$A$134,0)),"")</f>
        <v/>
      </c>
      <c r="T76" s="362" t="str">
        <f t="shared" si="3"/>
        <v/>
      </c>
      <c r="U76" s="363" t="str">
        <f t="shared" si="4"/>
        <v/>
      </c>
      <c r="V76" s="398" t="str">
        <f t="shared" ref="V76:V139" si="11">IF(S76="","",VLOOKUP(E76,BaselineHabSite,17,FALSE))</f>
        <v/>
      </c>
      <c r="W76" s="382" t="str">
        <f>IF(S76="","",VLOOKUP(S76,'G-1 All Habitats'!$B$2:$M$134,10,FALSE))</f>
        <v/>
      </c>
      <c r="X76" s="382" t="str">
        <f>IFERROR(VLOOKUP(W76,'G-1 All Habitats'!$V$3:$W$7,2,FALSE),"")</f>
        <v/>
      </c>
      <c r="Y76" s="61"/>
      <c r="Z76" s="386" t="str">
        <f>IFERROR(INDEX('G-8 Condition Look up'!$A$3:$H$135,MATCH(S76,'G-8 Condition Look up'!$A$3:$A$135,0),MATCH(Y76,'G-8 Condition Look up'!$A$3:$H$3,0)),"")</f>
        <v/>
      </c>
      <c r="AA76" s="54"/>
      <c r="AB76" s="382" t="str">
        <f>IF(AA76="","",IF(VLOOKUP(AA76,'G-3 Multipliers'!$L$3:$N$6,2,FALSE)=0,"Spatial Data Missing ⚠",VLOOKUP(AA76,'G-3 Multipliers'!$L$3:$N$6,2,FALSE)))</f>
        <v/>
      </c>
      <c r="AC76" s="386" t="str">
        <f>IF(AA76="","",IF(VLOOKUP(AA76,'G-3 Multipliers'!$L$3:$N$6,3,FALSE)=0,"Spatial Data Missing ⚠",VLOOKUP(AA76,'G-3 Multipliers'!$L$3:$N$6,3,FALSE)))</f>
        <v/>
      </c>
      <c r="AD76" s="400" t="str">
        <f t="shared" ref="AD76:AD139" si="12">IFERROR(IF(OR(LEFT(U76,5)="Error",LEFT(T76,5)="Error"),"Check Data ⚠",INDEX(EnhanceTemporal,MATCH(S76,EnhanceHabitat,0),MATCH(U76,EnhanceCondition,0))),"")</f>
        <v/>
      </c>
      <c r="AE76" s="63"/>
      <c r="AF76" s="63"/>
      <c r="AG76" s="370" t="str">
        <f t="shared" si="6"/>
        <v/>
      </c>
      <c r="AH76" s="383" t="str">
        <f t="shared" si="7"/>
        <v/>
      </c>
      <c r="AI76" s="384" t="str">
        <f>IF(AH76="Check Data","Check Data",IFERROR(VLOOKUP(AH76,'G-4 Temporal multipliers'!$A$4:$C$36,3,FALSE),""))</f>
        <v/>
      </c>
      <c r="AJ76" s="362" t="str">
        <f>IF(S76="","",VLOOKUP(S76,'G-3 Multipliers'!$A$2:$E$134,4,FALSE))</f>
        <v/>
      </c>
      <c r="AK76" s="370" t="str">
        <f t="shared" si="8"/>
        <v/>
      </c>
      <c r="AL76" s="370" t="str">
        <f t="shared" si="9"/>
        <v/>
      </c>
      <c r="AM76" s="401" t="str">
        <f>IFERROR(IF(F76="","",IF(AH76="Check Data ⚠","Check Data ⚠",VLOOKUP(AL76, 'G-3 Multipliers'!$P$2:$Q$6,2,FALSE))),"")</f>
        <v/>
      </c>
      <c r="AN76" s="376" t="str">
        <f t="shared" si="10"/>
        <v/>
      </c>
      <c r="AO76" s="194"/>
      <c r="AP76" s="195"/>
      <c r="AQ76" s="120"/>
    </row>
    <row r="77" spans="1:43">
      <c r="A77" s="35" t="str">
        <f>IF(E77="","",IF(ISNA(VLOOKUP($E77,'A-1 On-Site Habitat Baseline'!$D$1:$O$258,2,FALSE)),"",(VLOOKUP($E77,'A-1 On-Site Habitat Baseline'!$D$1:$O$258,2,FALSE))))</f>
        <v/>
      </c>
      <c r="B77" s="35" t="str">
        <f>IF(E77="","",IF(ISNA(VLOOKUP($E77,'A-1 On-Site Habitat Baseline'!$D$1:$O$258,3,FALSE)),"",(VLOOKUP($E77,'A-1 On-Site Habitat Baseline'!$D$1:$O$258,3,FALSE))))</f>
        <v/>
      </c>
      <c r="C77" s="35" t="str">
        <f>IFERROR(INDEX('G-8 Condition Look up'!$I$4:$I$135,MATCH(S77,'G-8 Condition Look up'!$A$4:$A$135,0)),"")</f>
        <v/>
      </c>
      <c r="E77" s="392" t="str">
        <f>'A-1 On-Site Habitat Baseline'!AL76</f>
        <v/>
      </c>
      <c r="F77" s="382" t="str">
        <f>IF(E77="","",IF(ISNA(VLOOKUP($E77,'A-1 On-Site Habitat Baseline'!$D$1:$O$258,4,FALSE)),"",(VLOOKUP($E77,'A-1 On-Site Habitat Baseline'!$D$1:$O$258,4,FALSE))))</f>
        <v/>
      </c>
      <c r="G77" s="382" t="str">
        <f>IF(E77="","",IF(ISNA(VLOOKUP($E77,'A-1 On-Site Habitat Baseline'!$D$1:$O$258,5,FALSE)),"",(VLOOKUP($E77,'A-1 On-Site Habitat Baseline'!$D$1:$O$258,5,FALSE))))</f>
        <v/>
      </c>
      <c r="H77" s="382" t="str">
        <f>IF(E77="","",IF(ISNA(VLOOKUP($E77,'A-1 On-Site Habitat Baseline'!$D$1:$O$258,6,FALSE)),"",(VLOOKUP($E77,'A-1 On-Site Habitat Baseline'!$D$1:$O$258,6,FALSE))))</f>
        <v/>
      </c>
      <c r="I77" s="382" t="str">
        <f>IF(E77="","",IF(ISNA(VLOOKUP($E77,'A-1 On-Site Habitat Baseline'!$D$1:$O$258,7,FALSE)),"",(VLOOKUP($E77,'A-1 On-Site Habitat Baseline'!$D$1:$O$258,7,FALSE))))</f>
        <v/>
      </c>
      <c r="J77" s="382" t="str">
        <f>IF(E77="","",IF(ISNA(VLOOKUP($E77,'A-1 On-Site Habitat Baseline'!$D$1:$O$258,8,FALSE)),"",(VLOOKUP($E77,'A-1 On-Site Habitat Baseline'!$D$1:$O$258,8,FALSE))))</f>
        <v/>
      </c>
      <c r="K77" s="382" t="str">
        <f>IF(E77="","",IF(ISNA(VLOOKUP($E77,'A-1 On-Site Habitat Baseline'!$D$1:$O$258,9,FALSE)),"",(VLOOKUP($E77,'A-1 On-Site Habitat Baseline'!$D$1:$O$258,9,FALSE))))</f>
        <v/>
      </c>
      <c r="L77" s="382" t="str">
        <f>IF(E77="","",IF(ISNA(VLOOKUP($E77,'A-1 On-Site Habitat Baseline'!$D$1:$O$258,11,FALSE)),"",(VLOOKUP($E77,'A-1 On-Site Habitat Baseline'!$D$1:$O$258,11,FALSE))))</f>
        <v/>
      </c>
      <c r="M77" s="382" t="str">
        <f>IF(E77="","",IF(ISNA(VLOOKUP($E77,'A-1 On-Site Habitat Baseline'!$D$1:$O$258,12,FALSE)),"",(VLOOKUP($E77,'A-1 On-Site Habitat Baseline'!$D$1:$O$258,12,FALSE))))</f>
        <v/>
      </c>
      <c r="N77" s="393" t="str">
        <f>IF(E77="","",IF(ISNA(VLOOKUP($E77,'A-1 On-Site Habitat Baseline'!$D$1:$X$258,14,FALSE)),"",(VLOOKUP($E77,'A-1 On-Site Habitat Baseline'!$D$1:$X$258,14,FALSE))))</f>
        <v/>
      </c>
      <c r="O77" s="386" t="str">
        <f>IF(E77="","",IF(ISNA(VLOOKUP($E77,'A-1 On-Site Habitat Baseline'!$D$1:$X$258,16,FALSE)),"",(VLOOKUP($E77,'A-1 On-Site Habitat Baseline'!$D$1:$X$258,13,FALSE))))</f>
        <v/>
      </c>
      <c r="P77" s="192" t="str">
        <f>IFERROR(INDEX('G-1 All Habitats'!$AG$3:$AG$17,MATCH(Q77,'G-1 All Habitats'!$AF$3:$AF$17,0)),"")</f>
        <v/>
      </c>
      <c r="Q77" s="193" t="str">
        <f t="shared" ref="Q77:R140" si="13">A77</f>
        <v/>
      </c>
      <c r="R77" s="193" t="str">
        <f t="shared" si="13"/>
        <v/>
      </c>
      <c r="S77" s="306" t="str">
        <f>IFERROR(INDEX('G-1 All Habitats'!$B$3:$B$134,MATCH(R77,'G-1 All Habitats'!$A$3:$A$134,0)),"")</f>
        <v/>
      </c>
      <c r="T77" s="362" t="str">
        <f t="shared" ref="T77:T140" si="14">IF(E77="","",IF(AND(LEFT(O77,6)="Same d",I77&gt;X77),"Error - Trading rules not satisfied ▲",IF(AND(LEFT(O77,6)="Same b",AND(LEFT(F77,5)&lt;&gt;LEFT(S77,5),I77&gt;X77)),"Error - Trading rules not satisfied ▲",IF(AND(LEFT(O77,6)="Same h",F77&lt;&gt;S77),"Error - Trading rules not satisfied ▲",IF(AND(LEFT(O77,6)="Bespok",F77&lt;&gt;S77),"Error - Trading rules not satisfied ▲",IF(X77&lt;I77,"Error Trading Down ▲",H77&amp;" - "&amp;W77))))))</f>
        <v/>
      </c>
      <c r="U77" s="363" t="str">
        <f t="shared" ref="U77:U140" si="15">IF(F77="","",IF(AND(LEFT(F77,55)&lt;&gt;LEFT(S77,55),T77= "High - High"),"Error - Not like for like ▲",IF(AND(I77=X77,K77&gt;Z77),"Error - Can not reduce condition ▲",IF(AND(I77=X77,K77=Z77),"Error - No enhancement ▲", IF(K77&gt;Z77, "Error - condition cannot be reduced ▲", IF(X77&lt;I77,"Error Trading Down ▲",IF(AND(F77&lt;&gt;S77,I77&lt;X77),"Lower Distinctiveness Habitat"&amp;" - "&amp;Y77,J77&amp;" - "&amp;Y77)))))))</f>
        <v/>
      </c>
      <c r="V77" s="398" t="str">
        <f t="shared" si="11"/>
        <v/>
      </c>
      <c r="W77" s="382" t="str">
        <f>IF(S77="","",VLOOKUP(S77,'G-1 All Habitats'!$B$2:$M$134,10,FALSE))</f>
        <v/>
      </c>
      <c r="X77" s="382" t="str">
        <f>IFERROR(VLOOKUP(W77,'G-1 All Habitats'!$V$3:$W$7,2,FALSE),"")</f>
        <v/>
      </c>
      <c r="Y77" s="61"/>
      <c r="Z77" s="386" t="str">
        <f>IFERROR(INDEX('G-8 Condition Look up'!$A$3:$H$135,MATCH(S77,'G-8 Condition Look up'!$A$3:$A$135,0),MATCH(Y77,'G-8 Condition Look up'!$A$3:$H$3,0)),"")</f>
        <v/>
      </c>
      <c r="AA77" s="54"/>
      <c r="AB77" s="382" t="str">
        <f>IF(AA77="","",IF(VLOOKUP(AA77,'G-3 Multipliers'!$L$3:$N$6,2,FALSE)=0,"Spatial Data Missing ⚠",VLOOKUP(AA77,'G-3 Multipliers'!$L$3:$N$6,2,FALSE)))</f>
        <v/>
      </c>
      <c r="AC77" s="386" t="str">
        <f>IF(AA77="","",IF(VLOOKUP(AA77,'G-3 Multipliers'!$L$3:$N$6,3,FALSE)=0,"Spatial Data Missing ⚠",VLOOKUP(AA77,'G-3 Multipliers'!$L$3:$N$6,3,FALSE)))</f>
        <v/>
      </c>
      <c r="AD77" s="400" t="str">
        <f t="shared" si="12"/>
        <v/>
      </c>
      <c r="AE77" s="63"/>
      <c r="AF77" s="63"/>
      <c r="AG77" s="370" t="str">
        <f t="shared" ref="AG77:AG140" si="16">IF(AD77="","",IF(AD77="Check Data ⚠","Check Data ⚠",IF(R77="","",IF(AND(AE77&gt;0,AF77&gt;0),"Error -both advance and delayed habitat creation ▲",IF(AND(OR(AE77="Habitat already in target condition",AD77&lt;=AE77),AF77=0),"Check details - Is there evidence that habitat has reached target condition? ⚠",IF(O76="","",IF(AE77&gt;0,"Check details - Is there evidence habitat creation started/in place? ⚠",IF(AF77&gt;0,"Check details- Delay in starting habitat in required condition? ⚠","Standard time to target condition applied"))))))))</f>
        <v/>
      </c>
      <c r="AH77" s="383" t="str">
        <f t="shared" ref="AH77:AH140" si="17">IF(AG77="Error -both advance and delayed habitat creation ▲","Check Data ⚠",IF(AG77="Check Data ⚠","Check Data ⚠",IF(AD77="","",IF(AD77="Not Possible","Check Data ⚠",IF(AND(AD77="30+",AE77=0),"30+",IF(AND(AD77="30+",AE77="30+"),0,IF(AND(AD77="30+",AE77&lt;30),30-AE77,IF(AD77="30+",30-AE77,IF(AE77&gt;AD77,0,IF(AF77="30+","30+",IF(AD77+AF77&gt;30,"30+",IF(AD77+AF77&gt;30,"30+",IF(AD77-AE77&gt;30,"30+",IF(AD77+AF77-AE77&gt;0,AD77+AF77-AE77,IF(AD77-AE77&gt;0,AD77-AE77,AD77+AF77-AE77)))))))))))))))</f>
        <v/>
      </c>
      <c r="AI77" s="384" t="str">
        <f>IF(AH77="Check Data","Check Data",IFERROR(VLOOKUP(AH77,'G-4 Temporal multipliers'!$A$4:$C$36,3,FALSE),""))</f>
        <v/>
      </c>
      <c r="AJ77" s="362" t="str">
        <f>IF(S77="","",VLOOKUP(S77,'G-3 Multipliers'!$A$2:$E$134,4,FALSE))</f>
        <v/>
      </c>
      <c r="AK77" s="370" t="str">
        <f t="shared" ref="AK77:AK140" si="18">IF(E77="","",IF(AG77="Check details - Is there evidence that habitat has reached target condition? ⚠","Low Difficulty - only applicable if all habitat created before losses ⚠","Standard difficulty applied"))</f>
        <v/>
      </c>
      <c r="AL77" s="370" t="str">
        <f t="shared" ref="AL77:AL140" si="19">(IF(AND(AK77="Standard difficulty applied",AD77&gt;AE77),AJ77,IF(AND(AK77="Low Difficulty - only applicable if all habitat created before losses ⚠",AE77&gt;=AD77),"Low", AJ77)))</f>
        <v/>
      </c>
      <c r="AM77" s="401" t="str">
        <f>IFERROR(IF(F77="","",IF(AH77="Check Data ⚠","Check Data ⚠",VLOOKUP(AL77, 'G-3 Multipliers'!$P$2:$Q$6,2,FALSE))),"")</f>
        <v/>
      </c>
      <c r="AN77" s="376" t="str">
        <f t="shared" ref="AN77:AN140" si="20">IFERROR(((((V77*X77*Z77)-(V77*I77*K77))*(AM77*AI77))+(V77*I77*K77))*(AC77),"")</f>
        <v/>
      </c>
      <c r="AO77" s="194"/>
      <c r="AP77" s="195"/>
      <c r="AQ77" s="120"/>
    </row>
    <row r="78" spans="1:43">
      <c r="A78" s="35" t="str">
        <f>IF(E78="","",IF(ISNA(VLOOKUP($E78,'A-1 On-Site Habitat Baseline'!$D$1:$O$258,2,FALSE)),"",(VLOOKUP($E78,'A-1 On-Site Habitat Baseline'!$D$1:$O$258,2,FALSE))))</f>
        <v/>
      </c>
      <c r="B78" s="35" t="str">
        <f>IF(E78="","",IF(ISNA(VLOOKUP($E78,'A-1 On-Site Habitat Baseline'!$D$1:$O$258,3,FALSE)),"",(VLOOKUP($E78,'A-1 On-Site Habitat Baseline'!$D$1:$O$258,3,FALSE))))</f>
        <v/>
      </c>
      <c r="C78" s="35" t="str">
        <f>IFERROR(INDEX('G-8 Condition Look up'!$I$4:$I$135,MATCH(S78,'G-8 Condition Look up'!$A$4:$A$135,0)),"")</f>
        <v/>
      </c>
      <c r="E78" s="392" t="str">
        <f>'A-1 On-Site Habitat Baseline'!AL77</f>
        <v/>
      </c>
      <c r="F78" s="382" t="str">
        <f>IF(E78="","",IF(ISNA(VLOOKUP($E78,'A-1 On-Site Habitat Baseline'!$D$1:$O$258,4,FALSE)),"",(VLOOKUP($E78,'A-1 On-Site Habitat Baseline'!$D$1:$O$258,4,FALSE))))</f>
        <v/>
      </c>
      <c r="G78" s="382" t="str">
        <f>IF(E78="","",IF(ISNA(VLOOKUP($E78,'A-1 On-Site Habitat Baseline'!$D$1:$O$258,5,FALSE)),"",(VLOOKUP($E78,'A-1 On-Site Habitat Baseline'!$D$1:$O$258,5,FALSE))))</f>
        <v/>
      </c>
      <c r="H78" s="382" t="str">
        <f>IF(E78="","",IF(ISNA(VLOOKUP($E78,'A-1 On-Site Habitat Baseline'!$D$1:$O$258,6,FALSE)),"",(VLOOKUP($E78,'A-1 On-Site Habitat Baseline'!$D$1:$O$258,6,FALSE))))</f>
        <v/>
      </c>
      <c r="I78" s="382" t="str">
        <f>IF(E78="","",IF(ISNA(VLOOKUP($E78,'A-1 On-Site Habitat Baseline'!$D$1:$O$258,7,FALSE)),"",(VLOOKUP($E78,'A-1 On-Site Habitat Baseline'!$D$1:$O$258,7,FALSE))))</f>
        <v/>
      </c>
      <c r="J78" s="382" t="str">
        <f>IF(E78="","",IF(ISNA(VLOOKUP($E78,'A-1 On-Site Habitat Baseline'!$D$1:$O$258,8,FALSE)),"",(VLOOKUP($E78,'A-1 On-Site Habitat Baseline'!$D$1:$O$258,8,FALSE))))</f>
        <v/>
      </c>
      <c r="K78" s="382" t="str">
        <f>IF(E78="","",IF(ISNA(VLOOKUP($E78,'A-1 On-Site Habitat Baseline'!$D$1:$O$258,9,FALSE)),"",(VLOOKUP($E78,'A-1 On-Site Habitat Baseline'!$D$1:$O$258,9,FALSE))))</f>
        <v/>
      </c>
      <c r="L78" s="382" t="str">
        <f>IF(E78="","",IF(ISNA(VLOOKUP($E78,'A-1 On-Site Habitat Baseline'!$D$1:$O$258,11,FALSE)),"",(VLOOKUP($E78,'A-1 On-Site Habitat Baseline'!$D$1:$O$258,11,FALSE))))</f>
        <v/>
      </c>
      <c r="M78" s="382" t="str">
        <f>IF(E78="","",IF(ISNA(VLOOKUP($E78,'A-1 On-Site Habitat Baseline'!$D$1:$O$258,12,FALSE)),"",(VLOOKUP($E78,'A-1 On-Site Habitat Baseline'!$D$1:$O$258,12,FALSE))))</f>
        <v/>
      </c>
      <c r="N78" s="393" t="str">
        <f>IF(E78="","",IF(ISNA(VLOOKUP($E78,'A-1 On-Site Habitat Baseline'!$D$1:$X$258,14,FALSE)),"",(VLOOKUP($E78,'A-1 On-Site Habitat Baseline'!$D$1:$X$258,14,FALSE))))</f>
        <v/>
      </c>
      <c r="O78" s="386" t="str">
        <f>IF(E78="","",IF(ISNA(VLOOKUP($E78,'A-1 On-Site Habitat Baseline'!$D$1:$X$258,16,FALSE)),"",(VLOOKUP($E78,'A-1 On-Site Habitat Baseline'!$D$1:$X$258,13,FALSE))))</f>
        <v/>
      </c>
      <c r="P78" s="192" t="str">
        <f>IFERROR(INDEX('G-1 All Habitats'!$AG$3:$AG$17,MATCH(Q78,'G-1 All Habitats'!$AF$3:$AF$17,0)),"")</f>
        <v/>
      </c>
      <c r="Q78" s="193" t="str">
        <f t="shared" si="13"/>
        <v/>
      </c>
      <c r="R78" s="193" t="str">
        <f t="shared" si="13"/>
        <v/>
      </c>
      <c r="S78" s="306" t="str">
        <f>IFERROR(INDEX('G-1 All Habitats'!$B$3:$B$134,MATCH(R78,'G-1 All Habitats'!$A$3:$A$134,0)),"")</f>
        <v/>
      </c>
      <c r="T78" s="362" t="str">
        <f t="shared" si="14"/>
        <v/>
      </c>
      <c r="U78" s="363" t="str">
        <f t="shared" si="15"/>
        <v/>
      </c>
      <c r="V78" s="398" t="str">
        <f t="shared" si="11"/>
        <v/>
      </c>
      <c r="W78" s="382" t="str">
        <f>IF(S78="","",VLOOKUP(S78,'G-1 All Habitats'!$B$2:$M$134,10,FALSE))</f>
        <v/>
      </c>
      <c r="X78" s="382" t="str">
        <f>IFERROR(VLOOKUP(W78,'G-1 All Habitats'!$V$3:$W$7,2,FALSE),"")</f>
        <v/>
      </c>
      <c r="Y78" s="61"/>
      <c r="Z78" s="386" t="str">
        <f>IFERROR(INDEX('G-8 Condition Look up'!$A$3:$H$135,MATCH(S78,'G-8 Condition Look up'!$A$3:$A$135,0),MATCH(Y78,'G-8 Condition Look up'!$A$3:$H$3,0)),"")</f>
        <v/>
      </c>
      <c r="AA78" s="54"/>
      <c r="AB78" s="382" t="str">
        <f>IF(AA78="","",IF(VLOOKUP(AA78,'G-3 Multipliers'!$L$3:$N$6,2,FALSE)=0,"Spatial Data Missing ⚠",VLOOKUP(AA78,'G-3 Multipliers'!$L$3:$N$6,2,FALSE)))</f>
        <v/>
      </c>
      <c r="AC78" s="386" t="str">
        <f>IF(AA78="","",IF(VLOOKUP(AA78,'G-3 Multipliers'!$L$3:$N$6,3,FALSE)=0,"Spatial Data Missing ⚠",VLOOKUP(AA78,'G-3 Multipliers'!$L$3:$N$6,3,FALSE)))</f>
        <v/>
      </c>
      <c r="AD78" s="400" t="str">
        <f t="shared" si="12"/>
        <v/>
      </c>
      <c r="AE78" s="63"/>
      <c r="AF78" s="63"/>
      <c r="AG78" s="370" t="str">
        <f t="shared" si="16"/>
        <v/>
      </c>
      <c r="AH78" s="383" t="str">
        <f t="shared" si="17"/>
        <v/>
      </c>
      <c r="AI78" s="384" t="str">
        <f>IF(AH78="Check Data","Check Data",IFERROR(VLOOKUP(AH78,'G-4 Temporal multipliers'!$A$4:$C$36,3,FALSE),""))</f>
        <v/>
      </c>
      <c r="AJ78" s="362" t="str">
        <f>IF(S78="","",VLOOKUP(S78,'G-3 Multipliers'!$A$2:$E$134,4,FALSE))</f>
        <v/>
      </c>
      <c r="AK78" s="370" t="str">
        <f t="shared" si="18"/>
        <v/>
      </c>
      <c r="AL78" s="370" t="str">
        <f t="shared" si="19"/>
        <v/>
      </c>
      <c r="AM78" s="401" t="str">
        <f>IFERROR(IF(F78="","",IF(AH78="Check Data ⚠","Check Data ⚠",VLOOKUP(AL78, 'G-3 Multipliers'!$P$2:$Q$6,2,FALSE))),"")</f>
        <v/>
      </c>
      <c r="AN78" s="376" t="str">
        <f t="shared" si="20"/>
        <v/>
      </c>
      <c r="AO78" s="194"/>
      <c r="AP78" s="195"/>
      <c r="AQ78" s="120"/>
    </row>
    <row r="79" spans="1:43">
      <c r="A79" s="35" t="str">
        <f>IF(E79="","",IF(ISNA(VLOOKUP($E79,'A-1 On-Site Habitat Baseline'!$D$1:$O$258,2,FALSE)),"",(VLOOKUP($E79,'A-1 On-Site Habitat Baseline'!$D$1:$O$258,2,FALSE))))</f>
        <v/>
      </c>
      <c r="B79" s="35" t="str">
        <f>IF(E79="","",IF(ISNA(VLOOKUP($E79,'A-1 On-Site Habitat Baseline'!$D$1:$O$258,3,FALSE)),"",(VLOOKUP($E79,'A-1 On-Site Habitat Baseline'!$D$1:$O$258,3,FALSE))))</f>
        <v/>
      </c>
      <c r="C79" s="35" t="str">
        <f>IFERROR(INDEX('G-8 Condition Look up'!$I$4:$I$135,MATCH(S79,'G-8 Condition Look up'!$A$4:$A$135,0)),"")</f>
        <v/>
      </c>
      <c r="E79" s="392" t="str">
        <f>'A-1 On-Site Habitat Baseline'!AL78</f>
        <v/>
      </c>
      <c r="F79" s="382" t="str">
        <f>IF(E79="","",IF(ISNA(VLOOKUP($E79,'A-1 On-Site Habitat Baseline'!$D$1:$O$258,4,FALSE)),"",(VLOOKUP($E79,'A-1 On-Site Habitat Baseline'!$D$1:$O$258,4,FALSE))))</f>
        <v/>
      </c>
      <c r="G79" s="382" t="str">
        <f>IF(E79="","",IF(ISNA(VLOOKUP($E79,'A-1 On-Site Habitat Baseline'!$D$1:$O$258,5,FALSE)),"",(VLOOKUP($E79,'A-1 On-Site Habitat Baseline'!$D$1:$O$258,5,FALSE))))</f>
        <v/>
      </c>
      <c r="H79" s="382" t="str">
        <f>IF(E79="","",IF(ISNA(VLOOKUP($E79,'A-1 On-Site Habitat Baseline'!$D$1:$O$258,6,FALSE)),"",(VLOOKUP($E79,'A-1 On-Site Habitat Baseline'!$D$1:$O$258,6,FALSE))))</f>
        <v/>
      </c>
      <c r="I79" s="382" t="str">
        <f>IF(E79="","",IF(ISNA(VLOOKUP($E79,'A-1 On-Site Habitat Baseline'!$D$1:$O$258,7,FALSE)),"",(VLOOKUP($E79,'A-1 On-Site Habitat Baseline'!$D$1:$O$258,7,FALSE))))</f>
        <v/>
      </c>
      <c r="J79" s="382" t="str">
        <f>IF(E79="","",IF(ISNA(VLOOKUP($E79,'A-1 On-Site Habitat Baseline'!$D$1:$O$258,8,FALSE)),"",(VLOOKUP($E79,'A-1 On-Site Habitat Baseline'!$D$1:$O$258,8,FALSE))))</f>
        <v/>
      </c>
      <c r="K79" s="382" t="str">
        <f>IF(E79="","",IF(ISNA(VLOOKUP($E79,'A-1 On-Site Habitat Baseline'!$D$1:$O$258,9,FALSE)),"",(VLOOKUP($E79,'A-1 On-Site Habitat Baseline'!$D$1:$O$258,9,FALSE))))</f>
        <v/>
      </c>
      <c r="L79" s="382" t="str">
        <f>IF(E79="","",IF(ISNA(VLOOKUP($E79,'A-1 On-Site Habitat Baseline'!$D$1:$O$258,11,FALSE)),"",(VLOOKUP($E79,'A-1 On-Site Habitat Baseline'!$D$1:$O$258,11,FALSE))))</f>
        <v/>
      </c>
      <c r="M79" s="382" t="str">
        <f>IF(E79="","",IF(ISNA(VLOOKUP($E79,'A-1 On-Site Habitat Baseline'!$D$1:$O$258,12,FALSE)),"",(VLOOKUP($E79,'A-1 On-Site Habitat Baseline'!$D$1:$O$258,12,FALSE))))</f>
        <v/>
      </c>
      <c r="N79" s="393" t="str">
        <f>IF(E79="","",IF(ISNA(VLOOKUP($E79,'A-1 On-Site Habitat Baseline'!$D$1:$X$258,14,FALSE)),"",(VLOOKUP($E79,'A-1 On-Site Habitat Baseline'!$D$1:$X$258,14,FALSE))))</f>
        <v/>
      </c>
      <c r="O79" s="386" t="str">
        <f>IF(E79="","",IF(ISNA(VLOOKUP($E79,'A-1 On-Site Habitat Baseline'!$D$1:$X$258,16,FALSE)),"",(VLOOKUP($E79,'A-1 On-Site Habitat Baseline'!$D$1:$X$258,13,FALSE))))</f>
        <v/>
      </c>
      <c r="P79" s="192" t="str">
        <f>IFERROR(INDEX('G-1 All Habitats'!$AG$3:$AG$17,MATCH(Q79,'G-1 All Habitats'!$AF$3:$AF$17,0)),"")</f>
        <v/>
      </c>
      <c r="Q79" s="193" t="str">
        <f t="shared" si="13"/>
        <v/>
      </c>
      <c r="R79" s="193" t="str">
        <f t="shared" si="13"/>
        <v/>
      </c>
      <c r="S79" s="306" t="str">
        <f>IFERROR(INDEX('G-1 All Habitats'!$B$3:$B$134,MATCH(R79,'G-1 All Habitats'!$A$3:$A$134,0)),"")</f>
        <v/>
      </c>
      <c r="T79" s="362" t="str">
        <f t="shared" si="14"/>
        <v/>
      </c>
      <c r="U79" s="363" t="str">
        <f t="shared" si="15"/>
        <v/>
      </c>
      <c r="V79" s="398" t="str">
        <f t="shared" si="11"/>
        <v/>
      </c>
      <c r="W79" s="382" t="str">
        <f>IF(S79="","",VLOOKUP(S79,'G-1 All Habitats'!$B$2:$M$134,10,FALSE))</f>
        <v/>
      </c>
      <c r="X79" s="382" t="str">
        <f>IFERROR(VLOOKUP(W79,'G-1 All Habitats'!$V$3:$W$7,2,FALSE),"")</f>
        <v/>
      </c>
      <c r="Y79" s="61"/>
      <c r="Z79" s="386" t="str">
        <f>IFERROR(INDEX('G-8 Condition Look up'!$A$3:$H$135,MATCH(S79,'G-8 Condition Look up'!$A$3:$A$135,0),MATCH(Y79,'G-8 Condition Look up'!$A$3:$H$3,0)),"")</f>
        <v/>
      </c>
      <c r="AA79" s="54"/>
      <c r="AB79" s="382" t="str">
        <f>IF(AA79="","",IF(VLOOKUP(AA79,'G-3 Multipliers'!$L$3:$N$6,2,FALSE)=0,"Spatial Data Missing ⚠",VLOOKUP(AA79,'G-3 Multipliers'!$L$3:$N$6,2,FALSE)))</f>
        <v/>
      </c>
      <c r="AC79" s="386" t="str">
        <f>IF(AA79="","",IF(VLOOKUP(AA79,'G-3 Multipliers'!$L$3:$N$6,3,FALSE)=0,"Spatial Data Missing ⚠",VLOOKUP(AA79,'G-3 Multipliers'!$L$3:$N$6,3,FALSE)))</f>
        <v/>
      </c>
      <c r="AD79" s="400" t="str">
        <f t="shared" si="12"/>
        <v/>
      </c>
      <c r="AE79" s="63"/>
      <c r="AF79" s="63"/>
      <c r="AG79" s="370" t="str">
        <f t="shared" si="16"/>
        <v/>
      </c>
      <c r="AH79" s="383" t="str">
        <f t="shared" si="17"/>
        <v/>
      </c>
      <c r="AI79" s="384" t="str">
        <f>IF(AH79="Check Data","Check Data",IFERROR(VLOOKUP(AH79,'G-4 Temporal multipliers'!$A$4:$C$36,3,FALSE),""))</f>
        <v/>
      </c>
      <c r="AJ79" s="362" t="str">
        <f>IF(S79="","",VLOOKUP(S79,'G-3 Multipliers'!$A$2:$E$134,4,FALSE))</f>
        <v/>
      </c>
      <c r="AK79" s="370" t="str">
        <f t="shared" si="18"/>
        <v/>
      </c>
      <c r="AL79" s="370" t="str">
        <f t="shared" si="19"/>
        <v/>
      </c>
      <c r="AM79" s="401" t="str">
        <f>IFERROR(IF(F79="","",IF(AH79="Check Data ⚠","Check Data ⚠",VLOOKUP(AL79, 'G-3 Multipliers'!$P$2:$Q$6,2,FALSE))),"")</f>
        <v/>
      </c>
      <c r="AN79" s="376" t="str">
        <f t="shared" si="20"/>
        <v/>
      </c>
      <c r="AO79" s="194"/>
      <c r="AP79" s="195"/>
      <c r="AQ79" s="120"/>
    </row>
    <row r="80" spans="1:43">
      <c r="A80" s="35" t="str">
        <f>IF(E80="","",IF(ISNA(VLOOKUP($E80,'A-1 On-Site Habitat Baseline'!$D$1:$O$258,2,FALSE)),"",(VLOOKUP($E80,'A-1 On-Site Habitat Baseline'!$D$1:$O$258,2,FALSE))))</f>
        <v/>
      </c>
      <c r="B80" s="35" t="str">
        <f>IF(E80="","",IF(ISNA(VLOOKUP($E80,'A-1 On-Site Habitat Baseline'!$D$1:$O$258,3,FALSE)),"",(VLOOKUP($E80,'A-1 On-Site Habitat Baseline'!$D$1:$O$258,3,FALSE))))</f>
        <v/>
      </c>
      <c r="C80" s="35" t="str">
        <f>IFERROR(INDEX('G-8 Condition Look up'!$I$4:$I$135,MATCH(S80,'G-8 Condition Look up'!$A$4:$A$135,0)),"")</f>
        <v/>
      </c>
      <c r="E80" s="392" t="str">
        <f>'A-1 On-Site Habitat Baseline'!AL79</f>
        <v/>
      </c>
      <c r="F80" s="382" t="str">
        <f>IF(E80="","",IF(ISNA(VLOOKUP($E80,'A-1 On-Site Habitat Baseline'!$D$1:$O$258,4,FALSE)),"",(VLOOKUP($E80,'A-1 On-Site Habitat Baseline'!$D$1:$O$258,4,FALSE))))</f>
        <v/>
      </c>
      <c r="G80" s="382" t="str">
        <f>IF(E80="","",IF(ISNA(VLOOKUP($E80,'A-1 On-Site Habitat Baseline'!$D$1:$O$258,5,FALSE)),"",(VLOOKUP($E80,'A-1 On-Site Habitat Baseline'!$D$1:$O$258,5,FALSE))))</f>
        <v/>
      </c>
      <c r="H80" s="382" t="str">
        <f>IF(E80="","",IF(ISNA(VLOOKUP($E80,'A-1 On-Site Habitat Baseline'!$D$1:$O$258,6,FALSE)),"",(VLOOKUP($E80,'A-1 On-Site Habitat Baseline'!$D$1:$O$258,6,FALSE))))</f>
        <v/>
      </c>
      <c r="I80" s="382" t="str">
        <f>IF(E80="","",IF(ISNA(VLOOKUP($E80,'A-1 On-Site Habitat Baseline'!$D$1:$O$258,7,FALSE)),"",(VLOOKUP($E80,'A-1 On-Site Habitat Baseline'!$D$1:$O$258,7,FALSE))))</f>
        <v/>
      </c>
      <c r="J80" s="382" t="str">
        <f>IF(E80="","",IF(ISNA(VLOOKUP($E80,'A-1 On-Site Habitat Baseline'!$D$1:$O$258,8,FALSE)),"",(VLOOKUP($E80,'A-1 On-Site Habitat Baseline'!$D$1:$O$258,8,FALSE))))</f>
        <v/>
      </c>
      <c r="K80" s="382" t="str">
        <f>IF(E80="","",IF(ISNA(VLOOKUP($E80,'A-1 On-Site Habitat Baseline'!$D$1:$O$258,9,FALSE)),"",(VLOOKUP($E80,'A-1 On-Site Habitat Baseline'!$D$1:$O$258,9,FALSE))))</f>
        <v/>
      </c>
      <c r="L80" s="382" t="str">
        <f>IF(E80="","",IF(ISNA(VLOOKUP($E80,'A-1 On-Site Habitat Baseline'!$D$1:$O$258,11,FALSE)),"",(VLOOKUP($E80,'A-1 On-Site Habitat Baseline'!$D$1:$O$258,11,FALSE))))</f>
        <v/>
      </c>
      <c r="M80" s="382" t="str">
        <f>IF(E80="","",IF(ISNA(VLOOKUP($E80,'A-1 On-Site Habitat Baseline'!$D$1:$O$258,12,FALSE)),"",(VLOOKUP($E80,'A-1 On-Site Habitat Baseline'!$D$1:$O$258,12,FALSE))))</f>
        <v/>
      </c>
      <c r="N80" s="393" t="str">
        <f>IF(E80="","",IF(ISNA(VLOOKUP($E80,'A-1 On-Site Habitat Baseline'!$D$1:$X$258,14,FALSE)),"",(VLOOKUP($E80,'A-1 On-Site Habitat Baseline'!$D$1:$X$258,14,FALSE))))</f>
        <v/>
      </c>
      <c r="O80" s="386" t="str">
        <f>IF(E80="","",IF(ISNA(VLOOKUP($E80,'A-1 On-Site Habitat Baseline'!$D$1:$X$258,16,FALSE)),"",(VLOOKUP($E80,'A-1 On-Site Habitat Baseline'!$D$1:$X$258,13,FALSE))))</f>
        <v/>
      </c>
      <c r="P80" s="192" t="str">
        <f>IFERROR(INDEX('G-1 All Habitats'!$AG$3:$AG$17,MATCH(Q80,'G-1 All Habitats'!$AF$3:$AF$17,0)),"")</f>
        <v/>
      </c>
      <c r="Q80" s="193" t="str">
        <f t="shared" si="13"/>
        <v/>
      </c>
      <c r="R80" s="193" t="str">
        <f t="shared" si="13"/>
        <v/>
      </c>
      <c r="S80" s="306" t="str">
        <f>IFERROR(INDEX('G-1 All Habitats'!$B$3:$B$134,MATCH(R80,'G-1 All Habitats'!$A$3:$A$134,0)),"")</f>
        <v/>
      </c>
      <c r="T80" s="362" t="str">
        <f t="shared" si="14"/>
        <v/>
      </c>
      <c r="U80" s="363" t="str">
        <f t="shared" si="15"/>
        <v/>
      </c>
      <c r="V80" s="398" t="str">
        <f t="shared" si="11"/>
        <v/>
      </c>
      <c r="W80" s="382" t="str">
        <f>IF(S80="","",VLOOKUP(S80,'G-1 All Habitats'!$B$2:$M$134,10,FALSE))</f>
        <v/>
      </c>
      <c r="X80" s="382" t="str">
        <f>IFERROR(VLOOKUP(W80,'G-1 All Habitats'!$V$3:$W$7,2,FALSE),"")</f>
        <v/>
      </c>
      <c r="Y80" s="61"/>
      <c r="Z80" s="386" t="str">
        <f>IFERROR(INDEX('G-8 Condition Look up'!$A$3:$H$135,MATCH(S80,'G-8 Condition Look up'!$A$3:$A$135,0),MATCH(Y80,'G-8 Condition Look up'!$A$3:$H$3,0)),"")</f>
        <v/>
      </c>
      <c r="AA80" s="54"/>
      <c r="AB80" s="382" t="str">
        <f>IF(AA80="","",IF(VLOOKUP(AA80,'G-3 Multipliers'!$L$3:$N$6,2,FALSE)=0,"Spatial Data Missing ⚠",VLOOKUP(AA80,'G-3 Multipliers'!$L$3:$N$6,2,FALSE)))</f>
        <v/>
      </c>
      <c r="AC80" s="386" t="str">
        <f>IF(AA80="","",IF(VLOOKUP(AA80,'G-3 Multipliers'!$L$3:$N$6,3,FALSE)=0,"Spatial Data Missing ⚠",VLOOKUP(AA80,'G-3 Multipliers'!$L$3:$N$6,3,FALSE)))</f>
        <v/>
      </c>
      <c r="AD80" s="400" t="str">
        <f t="shared" si="12"/>
        <v/>
      </c>
      <c r="AE80" s="63"/>
      <c r="AF80" s="63"/>
      <c r="AG80" s="370" t="str">
        <f t="shared" si="16"/>
        <v/>
      </c>
      <c r="AH80" s="383" t="str">
        <f t="shared" si="17"/>
        <v/>
      </c>
      <c r="AI80" s="384" t="str">
        <f>IF(AH80="Check Data","Check Data",IFERROR(VLOOKUP(AH80,'G-4 Temporal multipliers'!$A$4:$C$36,3,FALSE),""))</f>
        <v/>
      </c>
      <c r="AJ80" s="362" t="str">
        <f>IF(S80="","",VLOOKUP(S80,'G-3 Multipliers'!$A$2:$E$134,4,FALSE))</f>
        <v/>
      </c>
      <c r="AK80" s="370" t="str">
        <f t="shared" si="18"/>
        <v/>
      </c>
      <c r="AL80" s="370" t="str">
        <f t="shared" si="19"/>
        <v/>
      </c>
      <c r="AM80" s="401" t="str">
        <f>IFERROR(IF(F80="","",IF(AH80="Check Data ⚠","Check Data ⚠",VLOOKUP(AL80, 'G-3 Multipliers'!$P$2:$Q$6,2,FALSE))),"")</f>
        <v/>
      </c>
      <c r="AN80" s="376" t="str">
        <f t="shared" si="20"/>
        <v/>
      </c>
      <c r="AO80" s="194"/>
      <c r="AP80" s="195"/>
      <c r="AQ80" s="120"/>
    </row>
    <row r="81" spans="1:43">
      <c r="A81" s="35" t="str">
        <f>IF(E81="","",IF(ISNA(VLOOKUP($E81,'A-1 On-Site Habitat Baseline'!$D$1:$O$258,2,FALSE)),"",(VLOOKUP($E81,'A-1 On-Site Habitat Baseline'!$D$1:$O$258,2,FALSE))))</f>
        <v/>
      </c>
      <c r="B81" s="35" t="str">
        <f>IF(E81="","",IF(ISNA(VLOOKUP($E81,'A-1 On-Site Habitat Baseline'!$D$1:$O$258,3,FALSE)),"",(VLOOKUP($E81,'A-1 On-Site Habitat Baseline'!$D$1:$O$258,3,FALSE))))</f>
        <v/>
      </c>
      <c r="C81" s="35" t="str">
        <f>IFERROR(INDEX('G-8 Condition Look up'!$I$4:$I$135,MATCH(S81,'G-8 Condition Look up'!$A$4:$A$135,0)),"")</f>
        <v/>
      </c>
      <c r="E81" s="392" t="str">
        <f>'A-1 On-Site Habitat Baseline'!AL80</f>
        <v/>
      </c>
      <c r="F81" s="382" t="str">
        <f>IF(E81="","",IF(ISNA(VLOOKUP($E81,'A-1 On-Site Habitat Baseline'!$D$1:$O$258,4,FALSE)),"",(VLOOKUP($E81,'A-1 On-Site Habitat Baseline'!$D$1:$O$258,4,FALSE))))</f>
        <v/>
      </c>
      <c r="G81" s="382" t="str">
        <f>IF(E81="","",IF(ISNA(VLOOKUP($E81,'A-1 On-Site Habitat Baseline'!$D$1:$O$258,5,FALSE)),"",(VLOOKUP($E81,'A-1 On-Site Habitat Baseline'!$D$1:$O$258,5,FALSE))))</f>
        <v/>
      </c>
      <c r="H81" s="382" t="str">
        <f>IF(E81="","",IF(ISNA(VLOOKUP($E81,'A-1 On-Site Habitat Baseline'!$D$1:$O$258,6,FALSE)),"",(VLOOKUP($E81,'A-1 On-Site Habitat Baseline'!$D$1:$O$258,6,FALSE))))</f>
        <v/>
      </c>
      <c r="I81" s="382" t="str">
        <f>IF(E81="","",IF(ISNA(VLOOKUP($E81,'A-1 On-Site Habitat Baseline'!$D$1:$O$258,7,FALSE)),"",(VLOOKUP($E81,'A-1 On-Site Habitat Baseline'!$D$1:$O$258,7,FALSE))))</f>
        <v/>
      </c>
      <c r="J81" s="382" t="str">
        <f>IF(E81="","",IF(ISNA(VLOOKUP($E81,'A-1 On-Site Habitat Baseline'!$D$1:$O$258,8,FALSE)),"",(VLOOKUP($E81,'A-1 On-Site Habitat Baseline'!$D$1:$O$258,8,FALSE))))</f>
        <v/>
      </c>
      <c r="K81" s="382" t="str">
        <f>IF(E81="","",IF(ISNA(VLOOKUP($E81,'A-1 On-Site Habitat Baseline'!$D$1:$O$258,9,FALSE)),"",(VLOOKUP($E81,'A-1 On-Site Habitat Baseline'!$D$1:$O$258,9,FALSE))))</f>
        <v/>
      </c>
      <c r="L81" s="382" t="str">
        <f>IF(E81="","",IF(ISNA(VLOOKUP($E81,'A-1 On-Site Habitat Baseline'!$D$1:$O$258,11,FALSE)),"",(VLOOKUP($E81,'A-1 On-Site Habitat Baseline'!$D$1:$O$258,11,FALSE))))</f>
        <v/>
      </c>
      <c r="M81" s="382" t="str">
        <f>IF(E81="","",IF(ISNA(VLOOKUP($E81,'A-1 On-Site Habitat Baseline'!$D$1:$O$258,12,FALSE)),"",(VLOOKUP($E81,'A-1 On-Site Habitat Baseline'!$D$1:$O$258,12,FALSE))))</f>
        <v/>
      </c>
      <c r="N81" s="393" t="str">
        <f>IF(E81="","",IF(ISNA(VLOOKUP($E81,'A-1 On-Site Habitat Baseline'!$D$1:$X$258,14,FALSE)),"",(VLOOKUP($E81,'A-1 On-Site Habitat Baseline'!$D$1:$X$258,14,FALSE))))</f>
        <v/>
      </c>
      <c r="O81" s="386" t="str">
        <f>IF(E81="","",IF(ISNA(VLOOKUP($E81,'A-1 On-Site Habitat Baseline'!$D$1:$X$258,16,FALSE)),"",(VLOOKUP($E81,'A-1 On-Site Habitat Baseline'!$D$1:$X$258,13,FALSE))))</f>
        <v/>
      </c>
      <c r="P81" s="192" t="str">
        <f>IFERROR(INDEX('G-1 All Habitats'!$AG$3:$AG$17,MATCH(Q81,'G-1 All Habitats'!$AF$3:$AF$17,0)),"")</f>
        <v/>
      </c>
      <c r="Q81" s="193" t="str">
        <f t="shared" si="13"/>
        <v/>
      </c>
      <c r="R81" s="193" t="str">
        <f t="shared" si="13"/>
        <v/>
      </c>
      <c r="S81" s="306" t="str">
        <f>IFERROR(INDEX('G-1 All Habitats'!$B$3:$B$134,MATCH(R81,'G-1 All Habitats'!$A$3:$A$134,0)),"")</f>
        <v/>
      </c>
      <c r="T81" s="362" t="str">
        <f t="shared" si="14"/>
        <v/>
      </c>
      <c r="U81" s="363" t="str">
        <f t="shared" si="15"/>
        <v/>
      </c>
      <c r="V81" s="398" t="str">
        <f t="shared" si="11"/>
        <v/>
      </c>
      <c r="W81" s="382" t="str">
        <f>IF(S81="","",VLOOKUP(S81,'G-1 All Habitats'!$B$2:$M$134,10,FALSE))</f>
        <v/>
      </c>
      <c r="X81" s="382" t="str">
        <f>IFERROR(VLOOKUP(W81,'G-1 All Habitats'!$V$3:$W$7,2,FALSE),"")</f>
        <v/>
      </c>
      <c r="Y81" s="61"/>
      <c r="Z81" s="386" t="str">
        <f>IFERROR(INDEX('G-8 Condition Look up'!$A$3:$H$135,MATCH(S81,'G-8 Condition Look up'!$A$3:$A$135,0),MATCH(Y81,'G-8 Condition Look up'!$A$3:$H$3,0)),"")</f>
        <v/>
      </c>
      <c r="AA81" s="54"/>
      <c r="AB81" s="382" t="str">
        <f>IF(AA81="","",IF(VLOOKUP(AA81,'G-3 Multipliers'!$L$3:$N$6,2,FALSE)=0,"Spatial Data Missing ⚠",VLOOKUP(AA81,'G-3 Multipliers'!$L$3:$N$6,2,FALSE)))</f>
        <v/>
      </c>
      <c r="AC81" s="386" t="str">
        <f>IF(AA81="","",IF(VLOOKUP(AA81,'G-3 Multipliers'!$L$3:$N$6,3,FALSE)=0,"Spatial Data Missing ⚠",VLOOKUP(AA81,'G-3 Multipliers'!$L$3:$N$6,3,FALSE)))</f>
        <v/>
      </c>
      <c r="AD81" s="400" t="str">
        <f t="shared" si="12"/>
        <v/>
      </c>
      <c r="AE81" s="63"/>
      <c r="AF81" s="63"/>
      <c r="AG81" s="370" t="str">
        <f t="shared" si="16"/>
        <v/>
      </c>
      <c r="AH81" s="383" t="str">
        <f t="shared" si="17"/>
        <v/>
      </c>
      <c r="AI81" s="384" t="str">
        <f>IF(AH81="Check Data","Check Data",IFERROR(VLOOKUP(AH81,'G-4 Temporal multipliers'!$A$4:$C$36,3,FALSE),""))</f>
        <v/>
      </c>
      <c r="AJ81" s="362" t="str">
        <f>IF(S81="","",VLOOKUP(S81,'G-3 Multipliers'!$A$2:$E$134,4,FALSE))</f>
        <v/>
      </c>
      <c r="AK81" s="370" t="str">
        <f t="shared" si="18"/>
        <v/>
      </c>
      <c r="AL81" s="370" t="str">
        <f t="shared" si="19"/>
        <v/>
      </c>
      <c r="AM81" s="401" t="str">
        <f>IFERROR(IF(F81="","",IF(AH81="Check Data ⚠","Check Data ⚠",VLOOKUP(AL81, 'G-3 Multipliers'!$P$2:$Q$6,2,FALSE))),"")</f>
        <v/>
      </c>
      <c r="AN81" s="376" t="str">
        <f t="shared" si="20"/>
        <v/>
      </c>
      <c r="AO81" s="194"/>
      <c r="AP81" s="195"/>
      <c r="AQ81" s="120"/>
    </row>
    <row r="82" spans="1:43">
      <c r="A82" s="35" t="str">
        <f>IF(E82="","",IF(ISNA(VLOOKUP($E82,'A-1 On-Site Habitat Baseline'!$D$1:$O$258,2,FALSE)),"",(VLOOKUP($E82,'A-1 On-Site Habitat Baseline'!$D$1:$O$258,2,FALSE))))</f>
        <v/>
      </c>
      <c r="B82" s="35" t="str">
        <f>IF(E82="","",IF(ISNA(VLOOKUP($E82,'A-1 On-Site Habitat Baseline'!$D$1:$O$258,3,FALSE)),"",(VLOOKUP($E82,'A-1 On-Site Habitat Baseline'!$D$1:$O$258,3,FALSE))))</f>
        <v/>
      </c>
      <c r="C82" s="35" t="str">
        <f>IFERROR(INDEX('G-8 Condition Look up'!$I$4:$I$135,MATCH(S82,'G-8 Condition Look up'!$A$4:$A$135,0)),"")</f>
        <v/>
      </c>
      <c r="E82" s="392" t="str">
        <f>'A-1 On-Site Habitat Baseline'!AL81</f>
        <v/>
      </c>
      <c r="F82" s="382" t="str">
        <f>IF(E82="","",IF(ISNA(VLOOKUP($E82,'A-1 On-Site Habitat Baseline'!$D$1:$O$258,4,FALSE)),"",(VLOOKUP($E82,'A-1 On-Site Habitat Baseline'!$D$1:$O$258,4,FALSE))))</f>
        <v/>
      </c>
      <c r="G82" s="382" t="str">
        <f>IF(E82="","",IF(ISNA(VLOOKUP($E82,'A-1 On-Site Habitat Baseline'!$D$1:$O$258,5,FALSE)),"",(VLOOKUP($E82,'A-1 On-Site Habitat Baseline'!$D$1:$O$258,5,FALSE))))</f>
        <v/>
      </c>
      <c r="H82" s="382" t="str">
        <f>IF(E82="","",IF(ISNA(VLOOKUP($E82,'A-1 On-Site Habitat Baseline'!$D$1:$O$258,6,FALSE)),"",(VLOOKUP($E82,'A-1 On-Site Habitat Baseline'!$D$1:$O$258,6,FALSE))))</f>
        <v/>
      </c>
      <c r="I82" s="382" t="str">
        <f>IF(E82="","",IF(ISNA(VLOOKUP($E82,'A-1 On-Site Habitat Baseline'!$D$1:$O$258,7,FALSE)),"",(VLOOKUP($E82,'A-1 On-Site Habitat Baseline'!$D$1:$O$258,7,FALSE))))</f>
        <v/>
      </c>
      <c r="J82" s="382" t="str">
        <f>IF(E82="","",IF(ISNA(VLOOKUP($E82,'A-1 On-Site Habitat Baseline'!$D$1:$O$258,8,FALSE)),"",(VLOOKUP($E82,'A-1 On-Site Habitat Baseline'!$D$1:$O$258,8,FALSE))))</f>
        <v/>
      </c>
      <c r="K82" s="382" t="str">
        <f>IF(E82="","",IF(ISNA(VLOOKUP($E82,'A-1 On-Site Habitat Baseline'!$D$1:$O$258,9,FALSE)),"",(VLOOKUP($E82,'A-1 On-Site Habitat Baseline'!$D$1:$O$258,9,FALSE))))</f>
        <v/>
      </c>
      <c r="L82" s="382" t="str">
        <f>IF(E82="","",IF(ISNA(VLOOKUP($E82,'A-1 On-Site Habitat Baseline'!$D$1:$O$258,11,FALSE)),"",(VLOOKUP($E82,'A-1 On-Site Habitat Baseline'!$D$1:$O$258,11,FALSE))))</f>
        <v/>
      </c>
      <c r="M82" s="382" t="str">
        <f>IF(E82="","",IF(ISNA(VLOOKUP($E82,'A-1 On-Site Habitat Baseline'!$D$1:$O$258,12,FALSE)),"",(VLOOKUP($E82,'A-1 On-Site Habitat Baseline'!$D$1:$O$258,12,FALSE))))</f>
        <v/>
      </c>
      <c r="N82" s="393" t="str">
        <f>IF(E82="","",IF(ISNA(VLOOKUP($E82,'A-1 On-Site Habitat Baseline'!$D$1:$X$258,14,FALSE)),"",(VLOOKUP($E82,'A-1 On-Site Habitat Baseline'!$D$1:$X$258,14,FALSE))))</f>
        <v/>
      </c>
      <c r="O82" s="386" t="str">
        <f>IF(E82="","",IF(ISNA(VLOOKUP($E82,'A-1 On-Site Habitat Baseline'!$D$1:$X$258,16,FALSE)),"",(VLOOKUP($E82,'A-1 On-Site Habitat Baseline'!$D$1:$X$258,13,FALSE))))</f>
        <v/>
      </c>
      <c r="P82" s="192" t="str">
        <f>IFERROR(INDEX('G-1 All Habitats'!$AG$3:$AG$17,MATCH(Q82,'G-1 All Habitats'!$AF$3:$AF$17,0)),"")</f>
        <v/>
      </c>
      <c r="Q82" s="193" t="str">
        <f t="shared" si="13"/>
        <v/>
      </c>
      <c r="R82" s="193" t="str">
        <f t="shared" si="13"/>
        <v/>
      </c>
      <c r="S82" s="306" t="str">
        <f>IFERROR(INDEX('G-1 All Habitats'!$B$3:$B$134,MATCH(R82,'G-1 All Habitats'!$A$3:$A$134,0)),"")</f>
        <v/>
      </c>
      <c r="T82" s="362" t="str">
        <f t="shared" si="14"/>
        <v/>
      </c>
      <c r="U82" s="363" t="str">
        <f t="shared" si="15"/>
        <v/>
      </c>
      <c r="V82" s="398" t="str">
        <f t="shared" si="11"/>
        <v/>
      </c>
      <c r="W82" s="382" t="str">
        <f>IF(S82="","",VLOOKUP(S82,'G-1 All Habitats'!$B$2:$M$134,10,FALSE))</f>
        <v/>
      </c>
      <c r="X82" s="382" t="str">
        <f>IFERROR(VLOOKUP(W82,'G-1 All Habitats'!$V$3:$W$7,2,FALSE),"")</f>
        <v/>
      </c>
      <c r="Y82" s="61"/>
      <c r="Z82" s="386" t="str">
        <f>IFERROR(INDEX('G-8 Condition Look up'!$A$3:$H$135,MATCH(S82,'G-8 Condition Look up'!$A$3:$A$135,0),MATCH(Y82,'G-8 Condition Look up'!$A$3:$H$3,0)),"")</f>
        <v/>
      </c>
      <c r="AA82" s="54"/>
      <c r="AB82" s="382" t="str">
        <f>IF(AA82="","",IF(VLOOKUP(AA82,'G-3 Multipliers'!$L$3:$N$6,2,FALSE)=0,"Spatial Data Missing ⚠",VLOOKUP(AA82,'G-3 Multipliers'!$L$3:$N$6,2,FALSE)))</f>
        <v/>
      </c>
      <c r="AC82" s="386" t="str">
        <f>IF(AA82="","",IF(VLOOKUP(AA82,'G-3 Multipliers'!$L$3:$N$6,3,FALSE)=0,"Spatial Data Missing ⚠",VLOOKUP(AA82,'G-3 Multipliers'!$L$3:$N$6,3,FALSE)))</f>
        <v/>
      </c>
      <c r="AD82" s="400" t="str">
        <f t="shared" si="12"/>
        <v/>
      </c>
      <c r="AE82" s="63"/>
      <c r="AF82" s="63"/>
      <c r="AG82" s="370" t="str">
        <f t="shared" si="16"/>
        <v/>
      </c>
      <c r="AH82" s="383" t="str">
        <f t="shared" si="17"/>
        <v/>
      </c>
      <c r="AI82" s="384" t="str">
        <f>IF(AH82="Check Data","Check Data",IFERROR(VLOOKUP(AH82,'G-4 Temporal multipliers'!$A$4:$C$36,3,FALSE),""))</f>
        <v/>
      </c>
      <c r="AJ82" s="362" t="str">
        <f>IF(S82="","",VLOOKUP(S82,'G-3 Multipliers'!$A$2:$E$134,4,FALSE))</f>
        <v/>
      </c>
      <c r="AK82" s="370" t="str">
        <f t="shared" si="18"/>
        <v/>
      </c>
      <c r="AL82" s="370" t="str">
        <f t="shared" si="19"/>
        <v/>
      </c>
      <c r="AM82" s="401" t="str">
        <f>IFERROR(IF(F82="","",IF(AH82="Check Data ⚠","Check Data ⚠",VLOOKUP(AL82, 'G-3 Multipliers'!$P$2:$Q$6,2,FALSE))),"")</f>
        <v/>
      </c>
      <c r="AN82" s="376" t="str">
        <f t="shared" si="20"/>
        <v/>
      </c>
      <c r="AO82" s="194"/>
      <c r="AP82" s="195"/>
      <c r="AQ82" s="120"/>
    </row>
    <row r="83" spans="1:43">
      <c r="A83" s="35" t="str">
        <f>IF(E83="","",IF(ISNA(VLOOKUP($E83,'A-1 On-Site Habitat Baseline'!$D$1:$O$258,2,FALSE)),"",(VLOOKUP($E83,'A-1 On-Site Habitat Baseline'!$D$1:$O$258,2,FALSE))))</f>
        <v/>
      </c>
      <c r="B83" s="35" t="str">
        <f>IF(E83="","",IF(ISNA(VLOOKUP($E83,'A-1 On-Site Habitat Baseline'!$D$1:$O$258,3,FALSE)),"",(VLOOKUP($E83,'A-1 On-Site Habitat Baseline'!$D$1:$O$258,3,FALSE))))</f>
        <v/>
      </c>
      <c r="C83" s="35" t="str">
        <f>IFERROR(INDEX('G-8 Condition Look up'!$I$4:$I$135,MATCH(S83,'G-8 Condition Look up'!$A$4:$A$135,0)),"")</f>
        <v/>
      </c>
      <c r="E83" s="392" t="str">
        <f>'A-1 On-Site Habitat Baseline'!AL82</f>
        <v/>
      </c>
      <c r="F83" s="382" t="str">
        <f>IF(E83="","",IF(ISNA(VLOOKUP($E83,'A-1 On-Site Habitat Baseline'!$D$1:$O$258,4,FALSE)),"",(VLOOKUP($E83,'A-1 On-Site Habitat Baseline'!$D$1:$O$258,4,FALSE))))</f>
        <v/>
      </c>
      <c r="G83" s="382" t="str">
        <f>IF(E83="","",IF(ISNA(VLOOKUP($E83,'A-1 On-Site Habitat Baseline'!$D$1:$O$258,5,FALSE)),"",(VLOOKUP($E83,'A-1 On-Site Habitat Baseline'!$D$1:$O$258,5,FALSE))))</f>
        <v/>
      </c>
      <c r="H83" s="382" t="str">
        <f>IF(E83="","",IF(ISNA(VLOOKUP($E83,'A-1 On-Site Habitat Baseline'!$D$1:$O$258,6,FALSE)),"",(VLOOKUP($E83,'A-1 On-Site Habitat Baseline'!$D$1:$O$258,6,FALSE))))</f>
        <v/>
      </c>
      <c r="I83" s="382" t="str">
        <f>IF(E83="","",IF(ISNA(VLOOKUP($E83,'A-1 On-Site Habitat Baseline'!$D$1:$O$258,7,FALSE)),"",(VLOOKUP($E83,'A-1 On-Site Habitat Baseline'!$D$1:$O$258,7,FALSE))))</f>
        <v/>
      </c>
      <c r="J83" s="382" t="str">
        <f>IF(E83="","",IF(ISNA(VLOOKUP($E83,'A-1 On-Site Habitat Baseline'!$D$1:$O$258,8,FALSE)),"",(VLOOKUP($E83,'A-1 On-Site Habitat Baseline'!$D$1:$O$258,8,FALSE))))</f>
        <v/>
      </c>
      <c r="K83" s="382" t="str">
        <f>IF(E83="","",IF(ISNA(VLOOKUP($E83,'A-1 On-Site Habitat Baseline'!$D$1:$O$258,9,FALSE)),"",(VLOOKUP($E83,'A-1 On-Site Habitat Baseline'!$D$1:$O$258,9,FALSE))))</f>
        <v/>
      </c>
      <c r="L83" s="382" t="str">
        <f>IF(E83="","",IF(ISNA(VLOOKUP($E83,'A-1 On-Site Habitat Baseline'!$D$1:$O$258,11,FALSE)),"",(VLOOKUP($E83,'A-1 On-Site Habitat Baseline'!$D$1:$O$258,11,FALSE))))</f>
        <v/>
      </c>
      <c r="M83" s="382" t="str">
        <f>IF(E83="","",IF(ISNA(VLOOKUP($E83,'A-1 On-Site Habitat Baseline'!$D$1:$O$258,12,FALSE)),"",(VLOOKUP($E83,'A-1 On-Site Habitat Baseline'!$D$1:$O$258,12,FALSE))))</f>
        <v/>
      </c>
      <c r="N83" s="393" t="str">
        <f>IF(E83="","",IF(ISNA(VLOOKUP($E83,'A-1 On-Site Habitat Baseline'!$D$1:$X$258,14,FALSE)),"",(VLOOKUP($E83,'A-1 On-Site Habitat Baseline'!$D$1:$X$258,14,FALSE))))</f>
        <v/>
      </c>
      <c r="O83" s="386" t="str">
        <f>IF(E83="","",IF(ISNA(VLOOKUP($E83,'A-1 On-Site Habitat Baseline'!$D$1:$X$258,16,FALSE)),"",(VLOOKUP($E83,'A-1 On-Site Habitat Baseline'!$D$1:$X$258,13,FALSE))))</f>
        <v/>
      </c>
      <c r="P83" s="192" t="str">
        <f>IFERROR(INDEX('G-1 All Habitats'!$AG$3:$AG$17,MATCH(Q83,'G-1 All Habitats'!$AF$3:$AF$17,0)),"")</f>
        <v/>
      </c>
      <c r="Q83" s="193" t="str">
        <f t="shared" si="13"/>
        <v/>
      </c>
      <c r="R83" s="193" t="str">
        <f t="shared" si="13"/>
        <v/>
      </c>
      <c r="S83" s="306" t="str">
        <f>IFERROR(INDEX('G-1 All Habitats'!$B$3:$B$134,MATCH(R83,'G-1 All Habitats'!$A$3:$A$134,0)),"")</f>
        <v/>
      </c>
      <c r="T83" s="362" t="str">
        <f t="shared" si="14"/>
        <v/>
      </c>
      <c r="U83" s="363" t="str">
        <f t="shared" si="15"/>
        <v/>
      </c>
      <c r="V83" s="398" t="str">
        <f t="shared" si="11"/>
        <v/>
      </c>
      <c r="W83" s="382" t="str">
        <f>IF(S83="","",VLOOKUP(S83,'G-1 All Habitats'!$B$2:$M$134,10,FALSE))</f>
        <v/>
      </c>
      <c r="X83" s="382" t="str">
        <f>IFERROR(VLOOKUP(W83,'G-1 All Habitats'!$V$3:$W$7,2,FALSE),"")</f>
        <v/>
      </c>
      <c r="Y83" s="61"/>
      <c r="Z83" s="386" t="str">
        <f>IFERROR(INDEX('G-8 Condition Look up'!$A$3:$H$135,MATCH(S83,'G-8 Condition Look up'!$A$3:$A$135,0),MATCH(Y83,'G-8 Condition Look up'!$A$3:$H$3,0)),"")</f>
        <v/>
      </c>
      <c r="AA83" s="54"/>
      <c r="AB83" s="382" t="str">
        <f>IF(AA83="","",IF(VLOOKUP(AA83,'G-3 Multipliers'!$L$3:$N$6,2,FALSE)=0,"Spatial Data Missing ⚠",VLOOKUP(AA83,'G-3 Multipliers'!$L$3:$N$6,2,FALSE)))</f>
        <v/>
      </c>
      <c r="AC83" s="386" t="str">
        <f>IF(AA83="","",IF(VLOOKUP(AA83,'G-3 Multipliers'!$L$3:$N$6,3,FALSE)=0,"Spatial Data Missing ⚠",VLOOKUP(AA83,'G-3 Multipliers'!$L$3:$N$6,3,FALSE)))</f>
        <v/>
      </c>
      <c r="AD83" s="400" t="str">
        <f t="shared" si="12"/>
        <v/>
      </c>
      <c r="AE83" s="63"/>
      <c r="AF83" s="63"/>
      <c r="AG83" s="370" t="str">
        <f t="shared" si="16"/>
        <v/>
      </c>
      <c r="AH83" s="383" t="str">
        <f t="shared" si="17"/>
        <v/>
      </c>
      <c r="AI83" s="384" t="str">
        <f>IF(AH83="Check Data","Check Data",IFERROR(VLOOKUP(AH83,'G-4 Temporal multipliers'!$A$4:$C$36,3,FALSE),""))</f>
        <v/>
      </c>
      <c r="AJ83" s="362" t="str">
        <f>IF(S83="","",VLOOKUP(S83,'G-3 Multipliers'!$A$2:$E$134,4,FALSE))</f>
        <v/>
      </c>
      <c r="AK83" s="370" t="str">
        <f t="shared" si="18"/>
        <v/>
      </c>
      <c r="AL83" s="370" t="str">
        <f t="shared" si="19"/>
        <v/>
      </c>
      <c r="AM83" s="401" t="str">
        <f>IFERROR(IF(F83="","",IF(AH83="Check Data ⚠","Check Data ⚠",VLOOKUP(AL83, 'G-3 Multipliers'!$P$2:$Q$6,2,FALSE))),"")</f>
        <v/>
      </c>
      <c r="AN83" s="376" t="str">
        <f t="shared" si="20"/>
        <v/>
      </c>
      <c r="AO83" s="194"/>
      <c r="AP83" s="195"/>
      <c r="AQ83" s="120"/>
    </row>
    <row r="84" spans="1:43">
      <c r="A84" s="35" t="str">
        <f>IF(E84="","",IF(ISNA(VLOOKUP($E84,'A-1 On-Site Habitat Baseline'!$D$1:$O$258,2,FALSE)),"",(VLOOKUP($E84,'A-1 On-Site Habitat Baseline'!$D$1:$O$258,2,FALSE))))</f>
        <v/>
      </c>
      <c r="B84" s="35" t="str">
        <f>IF(E84="","",IF(ISNA(VLOOKUP($E84,'A-1 On-Site Habitat Baseline'!$D$1:$O$258,3,FALSE)),"",(VLOOKUP($E84,'A-1 On-Site Habitat Baseline'!$D$1:$O$258,3,FALSE))))</f>
        <v/>
      </c>
      <c r="C84" s="35" t="str">
        <f>IFERROR(INDEX('G-8 Condition Look up'!$I$4:$I$135,MATCH(S84,'G-8 Condition Look up'!$A$4:$A$135,0)),"")</f>
        <v/>
      </c>
      <c r="E84" s="392" t="str">
        <f>'A-1 On-Site Habitat Baseline'!AL83</f>
        <v/>
      </c>
      <c r="F84" s="382" t="str">
        <f>IF(E84="","",IF(ISNA(VLOOKUP($E84,'A-1 On-Site Habitat Baseline'!$D$1:$O$258,4,FALSE)),"",(VLOOKUP($E84,'A-1 On-Site Habitat Baseline'!$D$1:$O$258,4,FALSE))))</f>
        <v/>
      </c>
      <c r="G84" s="382" t="str">
        <f>IF(E84="","",IF(ISNA(VLOOKUP($E84,'A-1 On-Site Habitat Baseline'!$D$1:$O$258,5,FALSE)),"",(VLOOKUP($E84,'A-1 On-Site Habitat Baseline'!$D$1:$O$258,5,FALSE))))</f>
        <v/>
      </c>
      <c r="H84" s="382" t="str">
        <f>IF(E84="","",IF(ISNA(VLOOKUP($E84,'A-1 On-Site Habitat Baseline'!$D$1:$O$258,6,FALSE)),"",(VLOOKUP($E84,'A-1 On-Site Habitat Baseline'!$D$1:$O$258,6,FALSE))))</f>
        <v/>
      </c>
      <c r="I84" s="382" t="str">
        <f>IF(E84="","",IF(ISNA(VLOOKUP($E84,'A-1 On-Site Habitat Baseline'!$D$1:$O$258,7,FALSE)),"",(VLOOKUP($E84,'A-1 On-Site Habitat Baseline'!$D$1:$O$258,7,FALSE))))</f>
        <v/>
      </c>
      <c r="J84" s="382" t="str">
        <f>IF(E84="","",IF(ISNA(VLOOKUP($E84,'A-1 On-Site Habitat Baseline'!$D$1:$O$258,8,FALSE)),"",(VLOOKUP($E84,'A-1 On-Site Habitat Baseline'!$D$1:$O$258,8,FALSE))))</f>
        <v/>
      </c>
      <c r="K84" s="382" t="str">
        <f>IF(E84="","",IF(ISNA(VLOOKUP($E84,'A-1 On-Site Habitat Baseline'!$D$1:$O$258,9,FALSE)),"",(VLOOKUP($E84,'A-1 On-Site Habitat Baseline'!$D$1:$O$258,9,FALSE))))</f>
        <v/>
      </c>
      <c r="L84" s="382" t="str">
        <f>IF(E84="","",IF(ISNA(VLOOKUP($E84,'A-1 On-Site Habitat Baseline'!$D$1:$O$258,11,FALSE)),"",(VLOOKUP($E84,'A-1 On-Site Habitat Baseline'!$D$1:$O$258,11,FALSE))))</f>
        <v/>
      </c>
      <c r="M84" s="382" t="str">
        <f>IF(E84="","",IF(ISNA(VLOOKUP($E84,'A-1 On-Site Habitat Baseline'!$D$1:$O$258,12,FALSE)),"",(VLOOKUP($E84,'A-1 On-Site Habitat Baseline'!$D$1:$O$258,12,FALSE))))</f>
        <v/>
      </c>
      <c r="N84" s="393" t="str">
        <f>IF(E84="","",IF(ISNA(VLOOKUP($E84,'A-1 On-Site Habitat Baseline'!$D$1:$X$258,14,FALSE)),"",(VLOOKUP($E84,'A-1 On-Site Habitat Baseline'!$D$1:$X$258,14,FALSE))))</f>
        <v/>
      </c>
      <c r="O84" s="386" t="str">
        <f>IF(E84="","",IF(ISNA(VLOOKUP($E84,'A-1 On-Site Habitat Baseline'!$D$1:$X$258,16,FALSE)),"",(VLOOKUP($E84,'A-1 On-Site Habitat Baseline'!$D$1:$X$258,13,FALSE))))</f>
        <v/>
      </c>
      <c r="P84" s="192" t="str">
        <f>IFERROR(INDEX('G-1 All Habitats'!$AG$3:$AG$17,MATCH(Q84,'G-1 All Habitats'!$AF$3:$AF$17,0)),"")</f>
        <v/>
      </c>
      <c r="Q84" s="193" t="str">
        <f t="shared" si="13"/>
        <v/>
      </c>
      <c r="R84" s="193" t="str">
        <f t="shared" si="13"/>
        <v/>
      </c>
      <c r="S84" s="306" t="str">
        <f>IFERROR(INDEX('G-1 All Habitats'!$B$3:$B$134,MATCH(R84,'G-1 All Habitats'!$A$3:$A$134,0)),"")</f>
        <v/>
      </c>
      <c r="T84" s="362" t="str">
        <f t="shared" si="14"/>
        <v/>
      </c>
      <c r="U84" s="363" t="str">
        <f t="shared" si="15"/>
        <v/>
      </c>
      <c r="V84" s="398" t="str">
        <f t="shared" si="11"/>
        <v/>
      </c>
      <c r="W84" s="382" t="str">
        <f>IF(S84="","",VLOOKUP(S84,'G-1 All Habitats'!$B$2:$M$134,10,FALSE))</f>
        <v/>
      </c>
      <c r="X84" s="382" t="str">
        <f>IFERROR(VLOOKUP(W84,'G-1 All Habitats'!$V$3:$W$7,2,FALSE),"")</f>
        <v/>
      </c>
      <c r="Y84" s="61"/>
      <c r="Z84" s="386" t="str">
        <f>IFERROR(INDEX('G-8 Condition Look up'!$A$3:$H$135,MATCH(S84,'G-8 Condition Look up'!$A$3:$A$135,0),MATCH(Y84,'G-8 Condition Look up'!$A$3:$H$3,0)),"")</f>
        <v/>
      </c>
      <c r="AA84" s="54"/>
      <c r="AB84" s="382" t="str">
        <f>IF(AA84="","",IF(VLOOKUP(AA84,'G-3 Multipliers'!$L$3:$N$6,2,FALSE)=0,"Spatial Data Missing ⚠",VLOOKUP(AA84,'G-3 Multipliers'!$L$3:$N$6,2,FALSE)))</f>
        <v/>
      </c>
      <c r="AC84" s="386" t="str">
        <f>IF(AA84="","",IF(VLOOKUP(AA84,'G-3 Multipliers'!$L$3:$N$6,3,FALSE)=0,"Spatial Data Missing ⚠",VLOOKUP(AA84,'G-3 Multipliers'!$L$3:$N$6,3,FALSE)))</f>
        <v/>
      </c>
      <c r="AD84" s="400" t="str">
        <f t="shared" si="12"/>
        <v/>
      </c>
      <c r="AE84" s="63"/>
      <c r="AF84" s="63"/>
      <c r="AG84" s="370" t="str">
        <f t="shared" si="16"/>
        <v/>
      </c>
      <c r="AH84" s="383" t="str">
        <f t="shared" si="17"/>
        <v/>
      </c>
      <c r="AI84" s="384" t="str">
        <f>IF(AH84="Check Data","Check Data",IFERROR(VLOOKUP(AH84,'G-4 Temporal multipliers'!$A$4:$C$36,3,FALSE),""))</f>
        <v/>
      </c>
      <c r="AJ84" s="362" t="str">
        <f>IF(S84="","",VLOOKUP(S84,'G-3 Multipliers'!$A$2:$E$134,4,FALSE))</f>
        <v/>
      </c>
      <c r="AK84" s="370" t="str">
        <f t="shared" si="18"/>
        <v/>
      </c>
      <c r="AL84" s="370" t="str">
        <f t="shared" si="19"/>
        <v/>
      </c>
      <c r="AM84" s="401" t="str">
        <f>IFERROR(IF(F84="","",IF(AH84="Check Data ⚠","Check Data ⚠",VLOOKUP(AL84, 'G-3 Multipliers'!$P$2:$Q$6,2,FALSE))),"")</f>
        <v/>
      </c>
      <c r="AN84" s="376" t="str">
        <f t="shared" si="20"/>
        <v/>
      </c>
      <c r="AO84" s="194"/>
      <c r="AP84" s="195"/>
      <c r="AQ84" s="120"/>
    </row>
    <row r="85" spans="1:43">
      <c r="A85" s="35" t="str">
        <f>IF(E85="","",IF(ISNA(VLOOKUP($E85,'A-1 On-Site Habitat Baseline'!$D$1:$O$258,2,FALSE)),"",(VLOOKUP($E85,'A-1 On-Site Habitat Baseline'!$D$1:$O$258,2,FALSE))))</f>
        <v/>
      </c>
      <c r="B85" s="35" t="str">
        <f>IF(E85="","",IF(ISNA(VLOOKUP($E85,'A-1 On-Site Habitat Baseline'!$D$1:$O$258,3,FALSE)),"",(VLOOKUP($E85,'A-1 On-Site Habitat Baseline'!$D$1:$O$258,3,FALSE))))</f>
        <v/>
      </c>
      <c r="C85" s="35" t="str">
        <f>IFERROR(INDEX('G-8 Condition Look up'!$I$4:$I$135,MATCH(S85,'G-8 Condition Look up'!$A$4:$A$135,0)),"")</f>
        <v/>
      </c>
      <c r="E85" s="392" t="str">
        <f>'A-1 On-Site Habitat Baseline'!AL84</f>
        <v/>
      </c>
      <c r="F85" s="382" t="str">
        <f>IF(E85="","",IF(ISNA(VLOOKUP($E85,'A-1 On-Site Habitat Baseline'!$D$1:$O$258,4,FALSE)),"",(VLOOKUP($E85,'A-1 On-Site Habitat Baseline'!$D$1:$O$258,4,FALSE))))</f>
        <v/>
      </c>
      <c r="G85" s="382" t="str">
        <f>IF(E85="","",IF(ISNA(VLOOKUP($E85,'A-1 On-Site Habitat Baseline'!$D$1:$O$258,5,FALSE)),"",(VLOOKUP($E85,'A-1 On-Site Habitat Baseline'!$D$1:$O$258,5,FALSE))))</f>
        <v/>
      </c>
      <c r="H85" s="382" t="str">
        <f>IF(E85="","",IF(ISNA(VLOOKUP($E85,'A-1 On-Site Habitat Baseline'!$D$1:$O$258,6,FALSE)),"",(VLOOKUP($E85,'A-1 On-Site Habitat Baseline'!$D$1:$O$258,6,FALSE))))</f>
        <v/>
      </c>
      <c r="I85" s="382" t="str">
        <f>IF(E85="","",IF(ISNA(VLOOKUP($E85,'A-1 On-Site Habitat Baseline'!$D$1:$O$258,7,FALSE)),"",(VLOOKUP($E85,'A-1 On-Site Habitat Baseline'!$D$1:$O$258,7,FALSE))))</f>
        <v/>
      </c>
      <c r="J85" s="382" t="str">
        <f>IF(E85="","",IF(ISNA(VLOOKUP($E85,'A-1 On-Site Habitat Baseline'!$D$1:$O$258,8,FALSE)),"",(VLOOKUP($E85,'A-1 On-Site Habitat Baseline'!$D$1:$O$258,8,FALSE))))</f>
        <v/>
      </c>
      <c r="K85" s="382" t="str">
        <f>IF(E85="","",IF(ISNA(VLOOKUP($E85,'A-1 On-Site Habitat Baseline'!$D$1:$O$258,9,FALSE)),"",(VLOOKUP($E85,'A-1 On-Site Habitat Baseline'!$D$1:$O$258,9,FALSE))))</f>
        <v/>
      </c>
      <c r="L85" s="382" t="str">
        <f>IF(E85="","",IF(ISNA(VLOOKUP($E85,'A-1 On-Site Habitat Baseline'!$D$1:$O$258,11,FALSE)),"",(VLOOKUP($E85,'A-1 On-Site Habitat Baseline'!$D$1:$O$258,11,FALSE))))</f>
        <v/>
      </c>
      <c r="M85" s="382" t="str">
        <f>IF(E85="","",IF(ISNA(VLOOKUP($E85,'A-1 On-Site Habitat Baseline'!$D$1:$O$258,12,FALSE)),"",(VLOOKUP($E85,'A-1 On-Site Habitat Baseline'!$D$1:$O$258,12,FALSE))))</f>
        <v/>
      </c>
      <c r="N85" s="393" t="str">
        <f>IF(E85="","",IF(ISNA(VLOOKUP($E85,'A-1 On-Site Habitat Baseline'!$D$1:$X$258,14,FALSE)),"",(VLOOKUP($E85,'A-1 On-Site Habitat Baseline'!$D$1:$X$258,14,FALSE))))</f>
        <v/>
      </c>
      <c r="O85" s="386" t="str">
        <f>IF(E85="","",IF(ISNA(VLOOKUP($E85,'A-1 On-Site Habitat Baseline'!$D$1:$X$258,16,FALSE)),"",(VLOOKUP($E85,'A-1 On-Site Habitat Baseline'!$D$1:$X$258,13,FALSE))))</f>
        <v/>
      </c>
      <c r="P85" s="192" t="str">
        <f>IFERROR(INDEX('G-1 All Habitats'!$AG$3:$AG$17,MATCH(Q85,'G-1 All Habitats'!$AF$3:$AF$17,0)),"")</f>
        <v/>
      </c>
      <c r="Q85" s="193" t="str">
        <f t="shared" si="13"/>
        <v/>
      </c>
      <c r="R85" s="193" t="str">
        <f t="shared" si="13"/>
        <v/>
      </c>
      <c r="S85" s="306" t="str">
        <f>IFERROR(INDEX('G-1 All Habitats'!$B$3:$B$134,MATCH(R85,'G-1 All Habitats'!$A$3:$A$134,0)),"")</f>
        <v/>
      </c>
      <c r="T85" s="362" t="str">
        <f t="shared" si="14"/>
        <v/>
      </c>
      <c r="U85" s="363" t="str">
        <f t="shared" si="15"/>
        <v/>
      </c>
      <c r="V85" s="398" t="str">
        <f t="shared" si="11"/>
        <v/>
      </c>
      <c r="W85" s="382" t="str">
        <f>IF(S85="","",VLOOKUP(S85,'G-1 All Habitats'!$B$2:$M$134,10,FALSE))</f>
        <v/>
      </c>
      <c r="X85" s="382" t="str">
        <f>IFERROR(VLOOKUP(W85,'G-1 All Habitats'!$V$3:$W$7,2,FALSE),"")</f>
        <v/>
      </c>
      <c r="Y85" s="61"/>
      <c r="Z85" s="386" t="str">
        <f>IFERROR(INDEX('G-8 Condition Look up'!$A$3:$H$135,MATCH(S85,'G-8 Condition Look up'!$A$3:$A$135,0),MATCH(Y85,'G-8 Condition Look up'!$A$3:$H$3,0)),"")</f>
        <v/>
      </c>
      <c r="AA85" s="54"/>
      <c r="AB85" s="382" t="str">
        <f>IF(AA85="","",IF(VLOOKUP(AA85,'G-3 Multipliers'!$L$3:$N$6,2,FALSE)=0,"Spatial Data Missing ⚠",VLOOKUP(AA85,'G-3 Multipliers'!$L$3:$N$6,2,FALSE)))</f>
        <v/>
      </c>
      <c r="AC85" s="386" t="str">
        <f>IF(AA85="","",IF(VLOOKUP(AA85,'G-3 Multipliers'!$L$3:$N$6,3,FALSE)=0,"Spatial Data Missing ⚠",VLOOKUP(AA85,'G-3 Multipliers'!$L$3:$N$6,3,FALSE)))</f>
        <v/>
      </c>
      <c r="AD85" s="400" t="str">
        <f t="shared" si="12"/>
        <v/>
      </c>
      <c r="AE85" s="63"/>
      <c r="AF85" s="63"/>
      <c r="AG85" s="370" t="str">
        <f t="shared" si="16"/>
        <v/>
      </c>
      <c r="AH85" s="383" t="str">
        <f t="shared" si="17"/>
        <v/>
      </c>
      <c r="AI85" s="384" t="str">
        <f>IF(AH85="Check Data","Check Data",IFERROR(VLOOKUP(AH85,'G-4 Temporal multipliers'!$A$4:$C$36,3,FALSE),""))</f>
        <v/>
      </c>
      <c r="AJ85" s="362" t="str">
        <f>IF(S85="","",VLOOKUP(S85,'G-3 Multipliers'!$A$2:$E$134,4,FALSE))</f>
        <v/>
      </c>
      <c r="AK85" s="370" t="str">
        <f t="shared" si="18"/>
        <v/>
      </c>
      <c r="AL85" s="370" t="str">
        <f t="shared" si="19"/>
        <v/>
      </c>
      <c r="AM85" s="401" t="str">
        <f>IFERROR(IF(F85="","",IF(AH85="Check Data ⚠","Check Data ⚠",VLOOKUP(AL85, 'G-3 Multipliers'!$P$2:$Q$6,2,FALSE))),"")</f>
        <v/>
      </c>
      <c r="AN85" s="376" t="str">
        <f t="shared" si="20"/>
        <v/>
      </c>
      <c r="AO85" s="194"/>
      <c r="AP85" s="195"/>
      <c r="AQ85" s="120"/>
    </row>
    <row r="86" spans="1:43">
      <c r="A86" s="35" t="str">
        <f>IF(E86="","",IF(ISNA(VLOOKUP($E86,'A-1 On-Site Habitat Baseline'!$D$1:$O$258,2,FALSE)),"",(VLOOKUP($E86,'A-1 On-Site Habitat Baseline'!$D$1:$O$258,2,FALSE))))</f>
        <v/>
      </c>
      <c r="B86" s="35" t="str">
        <f>IF(E86="","",IF(ISNA(VLOOKUP($E86,'A-1 On-Site Habitat Baseline'!$D$1:$O$258,3,FALSE)),"",(VLOOKUP($E86,'A-1 On-Site Habitat Baseline'!$D$1:$O$258,3,FALSE))))</f>
        <v/>
      </c>
      <c r="C86" s="35" t="str">
        <f>IFERROR(INDEX('G-8 Condition Look up'!$I$4:$I$135,MATCH(S86,'G-8 Condition Look up'!$A$4:$A$135,0)),"")</f>
        <v/>
      </c>
      <c r="E86" s="392" t="str">
        <f>'A-1 On-Site Habitat Baseline'!AL85</f>
        <v/>
      </c>
      <c r="F86" s="382" t="str">
        <f>IF(E86="","",IF(ISNA(VLOOKUP($E86,'A-1 On-Site Habitat Baseline'!$D$1:$O$258,4,FALSE)),"",(VLOOKUP($E86,'A-1 On-Site Habitat Baseline'!$D$1:$O$258,4,FALSE))))</f>
        <v/>
      </c>
      <c r="G86" s="382" t="str">
        <f>IF(E86="","",IF(ISNA(VLOOKUP($E86,'A-1 On-Site Habitat Baseline'!$D$1:$O$258,5,FALSE)),"",(VLOOKUP($E86,'A-1 On-Site Habitat Baseline'!$D$1:$O$258,5,FALSE))))</f>
        <v/>
      </c>
      <c r="H86" s="382" t="str">
        <f>IF(E86="","",IF(ISNA(VLOOKUP($E86,'A-1 On-Site Habitat Baseline'!$D$1:$O$258,6,FALSE)),"",(VLOOKUP($E86,'A-1 On-Site Habitat Baseline'!$D$1:$O$258,6,FALSE))))</f>
        <v/>
      </c>
      <c r="I86" s="382" t="str">
        <f>IF(E86="","",IF(ISNA(VLOOKUP($E86,'A-1 On-Site Habitat Baseline'!$D$1:$O$258,7,FALSE)),"",(VLOOKUP($E86,'A-1 On-Site Habitat Baseline'!$D$1:$O$258,7,FALSE))))</f>
        <v/>
      </c>
      <c r="J86" s="382" t="str">
        <f>IF(E86="","",IF(ISNA(VLOOKUP($E86,'A-1 On-Site Habitat Baseline'!$D$1:$O$258,8,FALSE)),"",(VLOOKUP($E86,'A-1 On-Site Habitat Baseline'!$D$1:$O$258,8,FALSE))))</f>
        <v/>
      </c>
      <c r="K86" s="382" t="str">
        <f>IF(E86="","",IF(ISNA(VLOOKUP($E86,'A-1 On-Site Habitat Baseline'!$D$1:$O$258,9,FALSE)),"",(VLOOKUP($E86,'A-1 On-Site Habitat Baseline'!$D$1:$O$258,9,FALSE))))</f>
        <v/>
      </c>
      <c r="L86" s="382" t="str">
        <f>IF(E86="","",IF(ISNA(VLOOKUP($E86,'A-1 On-Site Habitat Baseline'!$D$1:$O$258,11,FALSE)),"",(VLOOKUP($E86,'A-1 On-Site Habitat Baseline'!$D$1:$O$258,11,FALSE))))</f>
        <v/>
      </c>
      <c r="M86" s="382" t="str">
        <f>IF(E86="","",IF(ISNA(VLOOKUP($E86,'A-1 On-Site Habitat Baseline'!$D$1:$O$258,12,FALSE)),"",(VLOOKUP($E86,'A-1 On-Site Habitat Baseline'!$D$1:$O$258,12,FALSE))))</f>
        <v/>
      </c>
      <c r="N86" s="393" t="str">
        <f>IF(E86="","",IF(ISNA(VLOOKUP($E86,'A-1 On-Site Habitat Baseline'!$D$1:$X$258,14,FALSE)),"",(VLOOKUP($E86,'A-1 On-Site Habitat Baseline'!$D$1:$X$258,14,FALSE))))</f>
        <v/>
      </c>
      <c r="O86" s="386" t="str">
        <f>IF(E86="","",IF(ISNA(VLOOKUP($E86,'A-1 On-Site Habitat Baseline'!$D$1:$X$258,16,FALSE)),"",(VLOOKUP($E86,'A-1 On-Site Habitat Baseline'!$D$1:$X$258,13,FALSE))))</f>
        <v/>
      </c>
      <c r="P86" s="192" t="str">
        <f>IFERROR(INDEX('G-1 All Habitats'!$AG$3:$AG$17,MATCH(Q86,'G-1 All Habitats'!$AF$3:$AF$17,0)),"")</f>
        <v/>
      </c>
      <c r="Q86" s="193" t="str">
        <f t="shared" si="13"/>
        <v/>
      </c>
      <c r="R86" s="193" t="str">
        <f t="shared" si="13"/>
        <v/>
      </c>
      <c r="S86" s="306" t="str">
        <f>IFERROR(INDEX('G-1 All Habitats'!$B$3:$B$134,MATCH(R86,'G-1 All Habitats'!$A$3:$A$134,0)),"")</f>
        <v/>
      </c>
      <c r="T86" s="362" t="str">
        <f t="shared" si="14"/>
        <v/>
      </c>
      <c r="U86" s="363" t="str">
        <f t="shared" si="15"/>
        <v/>
      </c>
      <c r="V86" s="398" t="str">
        <f t="shared" si="11"/>
        <v/>
      </c>
      <c r="W86" s="382" t="str">
        <f>IF(S86="","",VLOOKUP(S86,'G-1 All Habitats'!$B$2:$M$134,10,FALSE))</f>
        <v/>
      </c>
      <c r="X86" s="382" t="str">
        <f>IFERROR(VLOOKUP(W86,'G-1 All Habitats'!$V$3:$W$7,2,FALSE),"")</f>
        <v/>
      </c>
      <c r="Y86" s="61"/>
      <c r="Z86" s="386" t="str">
        <f>IFERROR(INDEX('G-8 Condition Look up'!$A$3:$H$135,MATCH(S86,'G-8 Condition Look up'!$A$3:$A$135,0),MATCH(Y86,'G-8 Condition Look up'!$A$3:$H$3,0)),"")</f>
        <v/>
      </c>
      <c r="AA86" s="54"/>
      <c r="AB86" s="382" t="str">
        <f>IF(AA86="","",IF(VLOOKUP(AA86,'G-3 Multipliers'!$L$3:$N$6,2,FALSE)=0,"Spatial Data Missing ⚠",VLOOKUP(AA86,'G-3 Multipliers'!$L$3:$N$6,2,FALSE)))</f>
        <v/>
      </c>
      <c r="AC86" s="386" t="str">
        <f>IF(AA86="","",IF(VLOOKUP(AA86,'G-3 Multipliers'!$L$3:$N$6,3,FALSE)=0,"Spatial Data Missing ⚠",VLOOKUP(AA86,'G-3 Multipliers'!$L$3:$N$6,3,FALSE)))</f>
        <v/>
      </c>
      <c r="AD86" s="400" t="str">
        <f t="shared" si="12"/>
        <v/>
      </c>
      <c r="AE86" s="63"/>
      <c r="AF86" s="63"/>
      <c r="AG86" s="370" t="str">
        <f t="shared" si="16"/>
        <v/>
      </c>
      <c r="AH86" s="383" t="str">
        <f t="shared" si="17"/>
        <v/>
      </c>
      <c r="AI86" s="384" t="str">
        <f>IF(AH86="Check Data","Check Data",IFERROR(VLOOKUP(AH86,'G-4 Temporal multipliers'!$A$4:$C$36,3,FALSE),""))</f>
        <v/>
      </c>
      <c r="AJ86" s="362" t="str">
        <f>IF(S86="","",VLOOKUP(S86,'G-3 Multipliers'!$A$2:$E$134,4,FALSE))</f>
        <v/>
      </c>
      <c r="AK86" s="370" t="str">
        <f t="shared" si="18"/>
        <v/>
      </c>
      <c r="AL86" s="370" t="str">
        <f t="shared" si="19"/>
        <v/>
      </c>
      <c r="AM86" s="401" t="str">
        <f>IFERROR(IF(F86="","",IF(AH86="Check Data ⚠","Check Data ⚠",VLOOKUP(AL86, 'G-3 Multipliers'!$P$2:$Q$6,2,FALSE))),"")</f>
        <v/>
      </c>
      <c r="AN86" s="376" t="str">
        <f t="shared" si="20"/>
        <v/>
      </c>
      <c r="AO86" s="194"/>
      <c r="AP86" s="195"/>
      <c r="AQ86" s="120"/>
    </row>
    <row r="87" spans="1:43">
      <c r="A87" s="35" t="str">
        <f>IF(E87="","",IF(ISNA(VLOOKUP($E87,'A-1 On-Site Habitat Baseline'!$D$1:$O$258,2,FALSE)),"",(VLOOKUP($E87,'A-1 On-Site Habitat Baseline'!$D$1:$O$258,2,FALSE))))</f>
        <v/>
      </c>
      <c r="B87" s="35" t="str">
        <f>IF(E87="","",IF(ISNA(VLOOKUP($E87,'A-1 On-Site Habitat Baseline'!$D$1:$O$258,3,FALSE)),"",(VLOOKUP($E87,'A-1 On-Site Habitat Baseline'!$D$1:$O$258,3,FALSE))))</f>
        <v/>
      </c>
      <c r="C87" s="35" t="str">
        <f>IFERROR(INDEX('G-8 Condition Look up'!$I$4:$I$135,MATCH(S87,'G-8 Condition Look up'!$A$4:$A$135,0)),"")</f>
        <v/>
      </c>
      <c r="E87" s="392" t="str">
        <f>'A-1 On-Site Habitat Baseline'!AL86</f>
        <v/>
      </c>
      <c r="F87" s="382" t="str">
        <f>IF(E87="","",IF(ISNA(VLOOKUP($E87,'A-1 On-Site Habitat Baseline'!$D$1:$O$258,4,FALSE)),"",(VLOOKUP($E87,'A-1 On-Site Habitat Baseline'!$D$1:$O$258,4,FALSE))))</f>
        <v/>
      </c>
      <c r="G87" s="382" t="str">
        <f>IF(E87="","",IF(ISNA(VLOOKUP($E87,'A-1 On-Site Habitat Baseline'!$D$1:$O$258,5,FALSE)),"",(VLOOKUP($E87,'A-1 On-Site Habitat Baseline'!$D$1:$O$258,5,FALSE))))</f>
        <v/>
      </c>
      <c r="H87" s="382" t="str">
        <f>IF(E87="","",IF(ISNA(VLOOKUP($E87,'A-1 On-Site Habitat Baseline'!$D$1:$O$258,6,FALSE)),"",(VLOOKUP($E87,'A-1 On-Site Habitat Baseline'!$D$1:$O$258,6,FALSE))))</f>
        <v/>
      </c>
      <c r="I87" s="382" t="str">
        <f>IF(E87="","",IF(ISNA(VLOOKUP($E87,'A-1 On-Site Habitat Baseline'!$D$1:$O$258,7,FALSE)),"",(VLOOKUP($E87,'A-1 On-Site Habitat Baseline'!$D$1:$O$258,7,FALSE))))</f>
        <v/>
      </c>
      <c r="J87" s="382" t="str">
        <f>IF(E87="","",IF(ISNA(VLOOKUP($E87,'A-1 On-Site Habitat Baseline'!$D$1:$O$258,8,FALSE)),"",(VLOOKUP($E87,'A-1 On-Site Habitat Baseline'!$D$1:$O$258,8,FALSE))))</f>
        <v/>
      </c>
      <c r="K87" s="382" t="str">
        <f>IF(E87="","",IF(ISNA(VLOOKUP($E87,'A-1 On-Site Habitat Baseline'!$D$1:$O$258,9,FALSE)),"",(VLOOKUP($E87,'A-1 On-Site Habitat Baseline'!$D$1:$O$258,9,FALSE))))</f>
        <v/>
      </c>
      <c r="L87" s="382" t="str">
        <f>IF(E87="","",IF(ISNA(VLOOKUP($E87,'A-1 On-Site Habitat Baseline'!$D$1:$O$258,11,FALSE)),"",(VLOOKUP($E87,'A-1 On-Site Habitat Baseline'!$D$1:$O$258,11,FALSE))))</f>
        <v/>
      </c>
      <c r="M87" s="382" t="str">
        <f>IF(E87="","",IF(ISNA(VLOOKUP($E87,'A-1 On-Site Habitat Baseline'!$D$1:$O$258,12,FALSE)),"",(VLOOKUP($E87,'A-1 On-Site Habitat Baseline'!$D$1:$O$258,12,FALSE))))</f>
        <v/>
      </c>
      <c r="N87" s="393" t="str">
        <f>IF(E87="","",IF(ISNA(VLOOKUP($E87,'A-1 On-Site Habitat Baseline'!$D$1:$X$258,14,FALSE)),"",(VLOOKUP($E87,'A-1 On-Site Habitat Baseline'!$D$1:$X$258,14,FALSE))))</f>
        <v/>
      </c>
      <c r="O87" s="386" t="str">
        <f>IF(E87="","",IF(ISNA(VLOOKUP($E87,'A-1 On-Site Habitat Baseline'!$D$1:$X$258,16,FALSE)),"",(VLOOKUP($E87,'A-1 On-Site Habitat Baseline'!$D$1:$X$258,13,FALSE))))</f>
        <v/>
      </c>
      <c r="P87" s="192" t="str">
        <f>IFERROR(INDEX('G-1 All Habitats'!$AG$3:$AG$17,MATCH(Q87,'G-1 All Habitats'!$AF$3:$AF$17,0)),"")</f>
        <v/>
      </c>
      <c r="Q87" s="193" t="str">
        <f t="shared" si="13"/>
        <v/>
      </c>
      <c r="R87" s="193" t="str">
        <f t="shared" si="13"/>
        <v/>
      </c>
      <c r="S87" s="306" t="str">
        <f>IFERROR(INDEX('G-1 All Habitats'!$B$3:$B$134,MATCH(R87,'G-1 All Habitats'!$A$3:$A$134,0)),"")</f>
        <v/>
      </c>
      <c r="T87" s="362" t="str">
        <f t="shared" si="14"/>
        <v/>
      </c>
      <c r="U87" s="363" t="str">
        <f t="shared" si="15"/>
        <v/>
      </c>
      <c r="V87" s="398" t="str">
        <f t="shared" si="11"/>
        <v/>
      </c>
      <c r="W87" s="382" t="str">
        <f>IF(S87="","",VLOOKUP(S87,'G-1 All Habitats'!$B$2:$M$134,10,FALSE))</f>
        <v/>
      </c>
      <c r="X87" s="382" t="str">
        <f>IFERROR(VLOOKUP(W87,'G-1 All Habitats'!$V$3:$W$7,2,FALSE),"")</f>
        <v/>
      </c>
      <c r="Y87" s="61"/>
      <c r="Z87" s="386" t="str">
        <f>IFERROR(INDEX('G-8 Condition Look up'!$A$3:$H$135,MATCH(S87,'G-8 Condition Look up'!$A$3:$A$135,0),MATCH(Y87,'G-8 Condition Look up'!$A$3:$H$3,0)),"")</f>
        <v/>
      </c>
      <c r="AA87" s="54"/>
      <c r="AB87" s="382" t="str">
        <f>IF(AA87="","",IF(VLOOKUP(AA87,'G-3 Multipliers'!$L$3:$N$6,2,FALSE)=0,"Spatial Data Missing ⚠",VLOOKUP(AA87,'G-3 Multipliers'!$L$3:$N$6,2,FALSE)))</f>
        <v/>
      </c>
      <c r="AC87" s="386" t="str">
        <f>IF(AA87="","",IF(VLOOKUP(AA87,'G-3 Multipliers'!$L$3:$N$6,3,FALSE)=0,"Spatial Data Missing ⚠",VLOOKUP(AA87,'G-3 Multipliers'!$L$3:$N$6,3,FALSE)))</f>
        <v/>
      </c>
      <c r="AD87" s="400" t="str">
        <f t="shared" si="12"/>
        <v/>
      </c>
      <c r="AE87" s="63"/>
      <c r="AF87" s="63"/>
      <c r="AG87" s="370" t="str">
        <f t="shared" si="16"/>
        <v/>
      </c>
      <c r="AH87" s="383" t="str">
        <f t="shared" si="17"/>
        <v/>
      </c>
      <c r="AI87" s="384" t="str">
        <f>IF(AH87="Check Data","Check Data",IFERROR(VLOOKUP(AH87,'G-4 Temporal multipliers'!$A$4:$C$36,3,FALSE),""))</f>
        <v/>
      </c>
      <c r="AJ87" s="362" t="str">
        <f>IF(S87="","",VLOOKUP(S87,'G-3 Multipliers'!$A$2:$E$134,4,FALSE))</f>
        <v/>
      </c>
      <c r="AK87" s="370" t="str">
        <f t="shared" si="18"/>
        <v/>
      </c>
      <c r="AL87" s="370" t="str">
        <f t="shared" si="19"/>
        <v/>
      </c>
      <c r="AM87" s="401" t="str">
        <f>IFERROR(IF(F87="","",IF(AH87="Check Data ⚠","Check Data ⚠",VLOOKUP(AL87, 'G-3 Multipliers'!$P$2:$Q$6,2,FALSE))),"")</f>
        <v/>
      </c>
      <c r="AN87" s="376" t="str">
        <f t="shared" si="20"/>
        <v/>
      </c>
      <c r="AO87" s="194"/>
      <c r="AP87" s="195"/>
      <c r="AQ87" s="120"/>
    </row>
    <row r="88" spans="1:43">
      <c r="A88" s="35" t="str">
        <f>IF(E88="","",IF(ISNA(VLOOKUP($E88,'A-1 On-Site Habitat Baseline'!$D$1:$O$258,2,FALSE)),"",(VLOOKUP($E88,'A-1 On-Site Habitat Baseline'!$D$1:$O$258,2,FALSE))))</f>
        <v/>
      </c>
      <c r="B88" s="35" t="str">
        <f>IF(E88="","",IF(ISNA(VLOOKUP($E88,'A-1 On-Site Habitat Baseline'!$D$1:$O$258,3,FALSE)),"",(VLOOKUP($E88,'A-1 On-Site Habitat Baseline'!$D$1:$O$258,3,FALSE))))</f>
        <v/>
      </c>
      <c r="C88" s="35" t="str">
        <f>IFERROR(INDEX('G-8 Condition Look up'!$I$4:$I$135,MATCH(S88,'G-8 Condition Look up'!$A$4:$A$135,0)),"")</f>
        <v/>
      </c>
      <c r="E88" s="392" t="str">
        <f>'A-1 On-Site Habitat Baseline'!AL87</f>
        <v/>
      </c>
      <c r="F88" s="382" t="str">
        <f>IF(E88="","",IF(ISNA(VLOOKUP($E88,'A-1 On-Site Habitat Baseline'!$D$1:$O$258,4,FALSE)),"",(VLOOKUP($E88,'A-1 On-Site Habitat Baseline'!$D$1:$O$258,4,FALSE))))</f>
        <v/>
      </c>
      <c r="G88" s="382" t="str">
        <f>IF(E88="","",IF(ISNA(VLOOKUP($E88,'A-1 On-Site Habitat Baseline'!$D$1:$O$258,5,FALSE)),"",(VLOOKUP($E88,'A-1 On-Site Habitat Baseline'!$D$1:$O$258,5,FALSE))))</f>
        <v/>
      </c>
      <c r="H88" s="382" t="str">
        <f>IF(E88="","",IF(ISNA(VLOOKUP($E88,'A-1 On-Site Habitat Baseline'!$D$1:$O$258,6,FALSE)),"",(VLOOKUP($E88,'A-1 On-Site Habitat Baseline'!$D$1:$O$258,6,FALSE))))</f>
        <v/>
      </c>
      <c r="I88" s="382" t="str">
        <f>IF(E88="","",IF(ISNA(VLOOKUP($E88,'A-1 On-Site Habitat Baseline'!$D$1:$O$258,7,FALSE)),"",(VLOOKUP($E88,'A-1 On-Site Habitat Baseline'!$D$1:$O$258,7,FALSE))))</f>
        <v/>
      </c>
      <c r="J88" s="382" t="str">
        <f>IF(E88="","",IF(ISNA(VLOOKUP($E88,'A-1 On-Site Habitat Baseline'!$D$1:$O$258,8,FALSE)),"",(VLOOKUP($E88,'A-1 On-Site Habitat Baseline'!$D$1:$O$258,8,FALSE))))</f>
        <v/>
      </c>
      <c r="K88" s="382" t="str">
        <f>IF(E88="","",IF(ISNA(VLOOKUP($E88,'A-1 On-Site Habitat Baseline'!$D$1:$O$258,9,FALSE)),"",(VLOOKUP($E88,'A-1 On-Site Habitat Baseline'!$D$1:$O$258,9,FALSE))))</f>
        <v/>
      </c>
      <c r="L88" s="382" t="str">
        <f>IF(E88="","",IF(ISNA(VLOOKUP($E88,'A-1 On-Site Habitat Baseline'!$D$1:$O$258,11,FALSE)),"",(VLOOKUP($E88,'A-1 On-Site Habitat Baseline'!$D$1:$O$258,11,FALSE))))</f>
        <v/>
      </c>
      <c r="M88" s="382" t="str">
        <f>IF(E88="","",IF(ISNA(VLOOKUP($E88,'A-1 On-Site Habitat Baseline'!$D$1:$O$258,12,FALSE)),"",(VLOOKUP($E88,'A-1 On-Site Habitat Baseline'!$D$1:$O$258,12,FALSE))))</f>
        <v/>
      </c>
      <c r="N88" s="393" t="str">
        <f>IF(E88="","",IF(ISNA(VLOOKUP($E88,'A-1 On-Site Habitat Baseline'!$D$1:$X$258,14,FALSE)),"",(VLOOKUP($E88,'A-1 On-Site Habitat Baseline'!$D$1:$X$258,14,FALSE))))</f>
        <v/>
      </c>
      <c r="O88" s="386" t="str">
        <f>IF(E88="","",IF(ISNA(VLOOKUP($E88,'A-1 On-Site Habitat Baseline'!$D$1:$X$258,16,FALSE)),"",(VLOOKUP($E88,'A-1 On-Site Habitat Baseline'!$D$1:$X$258,13,FALSE))))</f>
        <v/>
      </c>
      <c r="P88" s="192" t="str">
        <f>IFERROR(INDEX('G-1 All Habitats'!$AG$3:$AG$17,MATCH(Q88,'G-1 All Habitats'!$AF$3:$AF$17,0)),"")</f>
        <v/>
      </c>
      <c r="Q88" s="193" t="str">
        <f t="shared" si="13"/>
        <v/>
      </c>
      <c r="R88" s="193" t="str">
        <f t="shared" si="13"/>
        <v/>
      </c>
      <c r="S88" s="306" t="str">
        <f>IFERROR(INDEX('G-1 All Habitats'!$B$3:$B$134,MATCH(R88,'G-1 All Habitats'!$A$3:$A$134,0)),"")</f>
        <v/>
      </c>
      <c r="T88" s="362" t="str">
        <f t="shared" si="14"/>
        <v/>
      </c>
      <c r="U88" s="363" t="str">
        <f t="shared" si="15"/>
        <v/>
      </c>
      <c r="V88" s="398" t="str">
        <f t="shared" si="11"/>
        <v/>
      </c>
      <c r="W88" s="382" t="str">
        <f>IF(S88="","",VLOOKUP(S88,'G-1 All Habitats'!$B$2:$M$134,10,FALSE))</f>
        <v/>
      </c>
      <c r="X88" s="382" t="str">
        <f>IFERROR(VLOOKUP(W88,'G-1 All Habitats'!$V$3:$W$7,2,FALSE),"")</f>
        <v/>
      </c>
      <c r="Y88" s="61"/>
      <c r="Z88" s="386" t="str">
        <f>IFERROR(INDEX('G-8 Condition Look up'!$A$3:$H$135,MATCH(S88,'G-8 Condition Look up'!$A$3:$A$135,0),MATCH(Y88,'G-8 Condition Look up'!$A$3:$H$3,0)),"")</f>
        <v/>
      </c>
      <c r="AA88" s="54"/>
      <c r="AB88" s="382" t="str">
        <f>IF(AA88="","",IF(VLOOKUP(AA88,'G-3 Multipliers'!$L$3:$N$6,2,FALSE)=0,"Spatial Data Missing ⚠",VLOOKUP(AA88,'G-3 Multipliers'!$L$3:$N$6,2,FALSE)))</f>
        <v/>
      </c>
      <c r="AC88" s="386" t="str">
        <f>IF(AA88="","",IF(VLOOKUP(AA88,'G-3 Multipliers'!$L$3:$N$6,3,FALSE)=0,"Spatial Data Missing ⚠",VLOOKUP(AA88,'G-3 Multipliers'!$L$3:$N$6,3,FALSE)))</f>
        <v/>
      </c>
      <c r="AD88" s="400" t="str">
        <f t="shared" si="12"/>
        <v/>
      </c>
      <c r="AE88" s="63"/>
      <c r="AF88" s="63"/>
      <c r="AG88" s="370" t="str">
        <f t="shared" si="16"/>
        <v/>
      </c>
      <c r="AH88" s="383" t="str">
        <f t="shared" si="17"/>
        <v/>
      </c>
      <c r="AI88" s="384" t="str">
        <f>IF(AH88="Check Data","Check Data",IFERROR(VLOOKUP(AH88,'G-4 Temporal multipliers'!$A$4:$C$36,3,FALSE),""))</f>
        <v/>
      </c>
      <c r="AJ88" s="362" t="str">
        <f>IF(S88="","",VLOOKUP(S88,'G-3 Multipliers'!$A$2:$E$134,4,FALSE))</f>
        <v/>
      </c>
      <c r="AK88" s="370" t="str">
        <f t="shared" si="18"/>
        <v/>
      </c>
      <c r="AL88" s="370" t="str">
        <f t="shared" si="19"/>
        <v/>
      </c>
      <c r="AM88" s="401" t="str">
        <f>IFERROR(IF(F88="","",IF(AH88="Check Data ⚠","Check Data ⚠",VLOOKUP(AL88, 'G-3 Multipliers'!$P$2:$Q$6,2,FALSE))),"")</f>
        <v/>
      </c>
      <c r="AN88" s="376" t="str">
        <f t="shared" si="20"/>
        <v/>
      </c>
      <c r="AO88" s="194"/>
      <c r="AP88" s="195"/>
      <c r="AQ88" s="120"/>
    </row>
    <row r="89" spans="1:43">
      <c r="A89" s="35" t="str">
        <f>IF(E89="","",IF(ISNA(VLOOKUP($E89,'A-1 On-Site Habitat Baseline'!$D$1:$O$258,2,FALSE)),"",(VLOOKUP($E89,'A-1 On-Site Habitat Baseline'!$D$1:$O$258,2,FALSE))))</f>
        <v/>
      </c>
      <c r="B89" s="35" t="str">
        <f>IF(E89="","",IF(ISNA(VLOOKUP($E89,'A-1 On-Site Habitat Baseline'!$D$1:$O$258,3,FALSE)),"",(VLOOKUP($E89,'A-1 On-Site Habitat Baseline'!$D$1:$O$258,3,FALSE))))</f>
        <v/>
      </c>
      <c r="C89" s="35" t="str">
        <f>IFERROR(INDEX('G-8 Condition Look up'!$I$4:$I$135,MATCH(S89,'G-8 Condition Look up'!$A$4:$A$135,0)),"")</f>
        <v/>
      </c>
      <c r="E89" s="392" t="str">
        <f>'A-1 On-Site Habitat Baseline'!AL88</f>
        <v/>
      </c>
      <c r="F89" s="382" t="str">
        <f>IF(E89="","",IF(ISNA(VLOOKUP($E89,'A-1 On-Site Habitat Baseline'!$D$1:$O$258,4,FALSE)),"",(VLOOKUP($E89,'A-1 On-Site Habitat Baseline'!$D$1:$O$258,4,FALSE))))</f>
        <v/>
      </c>
      <c r="G89" s="382" t="str">
        <f>IF(E89="","",IF(ISNA(VLOOKUP($E89,'A-1 On-Site Habitat Baseline'!$D$1:$O$258,5,FALSE)),"",(VLOOKUP($E89,'A-1 On-Site Habitat Baseline'!$D$1:$O$258,5,FALSE))))</f>
        <v/>
      </c>
      <c r="H89" s="382" t="str">
        <f>IF(E89="","",IF(ISNA(VLOOKUP($E89,'A-1 On-Site Habitat Baseline'!$D$1:$O$258,6,FALSE)),"",(VLOOKUP($E89,'A-1 On-Site Habitat Baseline'!$D$1:$O$258,6,FALSE))))</f>
        <v/>
      </c>
      <c r="I89" s="382" t="str">
        <f>IF(E89="","",IF(ISNA(VLOOKUP($E89,'A-1 On-Site Habitat Baseline'!$D$1:$O$258,7,FALSE)),"",(VLOOKUP($E89,'A-1 On-Site Habitat Baseline'!$D$1:$O$258,7,FALSE))))</f>
        <v/>
      </c>
      <c r="J89" s="382" t="str">
        <f>IF(E89="","",IF(ISNA(VLOOKUP($E89,'A-1 On-Site Habitat Baseline'!$D$1:$O$258,8,FALSE)),"",(VLOOKUP($E89,'A-1 On-Site Habitat Baseline'!$D$1:$O$258,8,FALSE))))</f>
        <v/>
      </c>
      <c r="K89" s="382" t="str">
        <f>IF(E89="","",IF(ISNA(VLOOKUP($E89,'A-1 On-Site Habitat Baseline'!$D$1:$O$258,9,FALSE)),"",(VLOOKUP($E89,'A-1 On-Site Habitat Baseline'!$D$1:$O$258,9,FALSE))))</f>
        <v/>
      </c>
      <c r="L89" s="382" t="str">
        <f>IF(E89="","",IF(ISNA(VLOOKUP($E89,'A-1 On-Site Habitat Baseline'!$D$1:$O$258,11,FALSE)),"",(VLOOKUP($E89,'A-1 On-Site Habitat Baseline'!$D$1:$O$258,11,FALSE))))</f>
        <v/>
      </c>
      <c r="M89" s="382" t="str">
        <f>IF(E89="","",IF(ISNA(VLOOKUP($E89,'A-1 On-Site Habitat Baseline'!$D$1:$O$258,12,FALSE)),"",(VLOOKUP($E89,'A-1 On-Site Habitat Baseline'!$D$1:$O$258,12,FALSE))))</f>
        <v/>
      </c>
      <c r="N89" s="393" t="str">
        <f>IF(E89="","",IF(ISNA(VLOOKUP($E89,'A-1 On-Site Habitat Baseline'!$D$1:$X$258,14,FALSE)),"",(VLOOKUP($E89,'A-1 On-Site Habitat Baseline'!$D$1:$X$258,14,FALSE))))</f>
        <v/>
      </c>
      <c r="O89" s="386" t="str">
        <f>IF(E89="","",IF(ISNA(VLOOKUP($E89,'A-1 On-Site Habitat Baseline'!$D$1:$X$258,16,FALSE)),"",(VLOOKUP($E89,'A-1 On-Site Habitat Baseline'!$D$1:$X$258,13,FALSE))))</f>
        <v/>
      </c>
      <c r="P89" s="192" t="str">
        <f>IFERROR(INDEX('G-1 All Habitats'!$AG$3:$AG$17,MATCH(Q89,'G-1 All Habitats'!$AF$3:$AF$17,0)),"")</f>
        <v/>
      </c>
      <c r="Q89" s="193" t="str">
        <f t="shared" si="13"/>
        <v/>
      </c>
      <c r="R89" s="193" t="str">
        <f t="shared" si="13"/>
        <v/>
      </c>
      <c r="S89" s="306" t="str">
        <f>IFERROR(INDEX('G-1 All Habitats'!$B$3:$B$134,MATCH(R89,'G-1 All Habitats'!$A$3:$A$134,0)),"")</f>
        <v/>
      </c>
      <c r="T89" s="362" t="str">
        <f t="shared" si="14"/>
        <v/>
      </c>
      <c r="U89" s="363" t="str">
        <f t="shared" si="15"/>
        <v/>
      </c>
      <c r="V89" s="398" t="str">
        <f t="shared" si="11"/>
        <v/>
      </c>
      <c r="W89" s="382" t="str">
        <f>IF(S89="","",VLOOKUP(S89,'G-1 All Habitats'!$B$2:$M$134,10,FALSE))</f>
        <v/>
      </c>
      <c r="X89" s="382" t="str">
        <f>IFERROR(VLOOKUP(W89,'G-1 All Habitats'!$V$3:$W$7,2,FALSE),"")</f>
        <v/>
      </c>
      <c r="Y89" s="61"/>
      <c r="Z89" s="386" t="str">
        <f>IFERROR(INDEX('G-8 Condition Look up'!$A$3:$H$135,MATCH(S89,'G-8 Condition Look up'!$A$3:$A$135,0),MATCH(Y89,'G-8 Condition Look up'!$A$3:$H$3,0)),"")</f>
        <v/>
      </c>
      <c r="AA89" s="54"/>
      <c r="AB89" s="382" t="str">
        <f>IF(AA89="","",IF(VLOOKUP(AA89,'G-3 Multipliers'!$L$3:$N$6,2,FALSE)=0,"Spatial Data Missing ⚠",VLOOKUP(AA89,'G-3 Multipliers'!$L$3:$N$6,2,FALSE)))</f>
        <v/>
      </c>
      <c r="AC89" s="386" t="str">
        <f>IF(AA89="","",IF(VLOOKUP(AA89,'G-3 Multipliers'!$L$3:$N$6,3,FALSE)=0,"Spatial Data Missing ⚠",VLOOKUP(AA89,'G-3 Multipliers'!$L$3:$N$6,3,FALSE)))</f>
        <v/>
      </c>
      <c r="AD89" s="400" t="str">
        <f t="shared" si="12"/>
        <v/>
      </c>
      <c r="AE89" s="63"/>
      <c r="AF89" s="63"/>
      <c r="AG89" s="370" t="str">
        <f t="shared" si="16"/>
        <v/>
      </c>
      <c r="AH89" s="383" t="str">
        <f t="shared" si="17"/>
        <v/>
      </c>
      <c r="AI89" s="384" t="str">
        <f>IF(AH89="Check Data","Check Data",IFERROR(VLOOKUP(AH89,'G-4 Temporal multipliers'!$A$4:$C$36,3,FALSE),""))</f>
        <v/>
      </c>
      <c r="AJ89" s="362" t="str">
        <f>IF(S89="","",VLOOKUP(S89,'G-3 Multipliers'!$A$2:$E$134,4,FALSE))</f>
        <v/>
      </c>
      <c r="AK89" s="370" t="str">
        <f t="shared" si="18"/>
        <v/>
      </c>
      <c r="AL89" s="370" t="str">
        <f t="shared" si="19"/>
        <v/>
      </c>
      <c r="AM89" s="401" t="str">
        <f>IFERROR(IF(F89="","",IF(AH89="Check Data ⚠","Check Data ⚠",VLOOKUP(AL89, 'G-3 Multipliers'!$P$2:$Q$6,2,FALSE))),"")</f>
        <v/>
      </c>
      <c r="AN89" s="376" t="str">
        <f t="shared" si="20"/>
        <v/>
      </c>
      <c r="AO89" s="194"/>
      <c r="AP89" s="195"/>
      <c r="AQ89" s="120"/>
    </row>
    <row r="90" spans="1:43">
      <c r="A90" s="35" t="str">
        <f>IF(E90="","",IF(ISNA(VLOOKUP($E90,'A-1 On-Site Habitat Baseline'!$D$1:$O$258,2,FALSE)),"",(VLOOKUP($E90,'A-1 On-Site Habitat Baseline'!$D$1:$O$258,2,FALSE))))</f>
        <v/>
      </c>
      <c r="B90" s="35" t="str">
        <f>IF(E90="","",IF(ISNA(VLOOKUP($E90,'A-1 On-Site Habitat Baseline'!$D$1:$O$258,3,FALSE)),"",(VLOOKUP($E90,'A-1 On-Site Habitat Baseline'!$D$1:$O$258,3,FALSE))))</f>
        <v/>
      </c>
      <c r="C90" s="35" t="str">
        <f>IFERROR(INDEX('G-8 Condition Look up'!$I$4:$I$135,MATCH(S90,'G-8 Condition Look up'!$A$4:$A$135,0)),"")</f>
        <v/>
      </c>
      <c r="E90" s="392" t="str">
        <f>'A-1 On-Site Habitat Baseline'!AL89</f>
        <v/>
      </c>
      <c r="F90" s="382" t="str">
        <f>IF(E90="","",IF(ISNA(VLOOKUP($E90,'A-1 On-Site Habitat Baseline'!$D$1:$O$258,4,FALSE)),"",(VLOOKUP($E90,'A-1 On-Site Habitat Baseline'!$D$1:$O$258,4,FALSE))))</f>
        <v/>
      </c>
      <c r="G90" s="382" t="str">
        <f>IF(E90="","",IF(ISNA(VLOOKUP($E90,'A-1 On-Site Habitat Baseline'!$D$1:$O$258,5,FALSE)),"",(VLOOKUP($E90,'A-1 On-Site Habitat Baseline'!$D$1:$O$258,5,FALSE))))</f>
        <v/>
      </c>
      <c r="H90" s="382" t="str">
        <f>IF(E90="","",IF(ISNA(VLOOKUP($E90,'A-1 On-Site Habitat Baseline'!$D$1:$O$258,6,FALSE)),"",(VLOOKUP($E90,'A-1 On-Site Habitat Baseline'!$D$1:$O$258,6,FALSE))))</f>
        <v/>
      </c>
      <c r="I90" s="382" t="str">
        <f>IF(E90="","",IF(ISNA(VLOOKUP($E90,'A-1 On-Site Habitat Baseline'!$D$1:$O$258,7,FALSE)),"",(VLOOKUP($E90,'A-1 On-Site Habitat Baseline'!$D$1:$O$258,7,FALSE))))</f>
        <v/>
      </c>
      <c r="J90" s="382" t="str">
        <f>IF(E90="","",IF(ISNA(VLOOKUP($E90,'A-1 On-Site Habitat Baseline'!$D$1:$O$258,8,FALSE)),"",(VLOOKUP($E90,'A-1 On-Site Habitat Baseline'!$D$1:$O$258,8,FALSE))))</f>
        <v/>
      </c>
      <c r="K90" s="382" t="str">
        <f>IF(E90="","",IF(ISNA(VLOOKUP($E90,'A-1 On-Site Habitat Baseline'!$D$1:$O$258,9,FALSE)),"",(VLOOKUP($E90,'A-1 On-Site Habitat Baseline'!$D$1:$O$258,9,FALSE))))</f>
        <v/>
      </c>
      <c r="L90" s="382" t="str">
        <f>IF(E90="","",IF(ISNA(VLOOKUP($E90,'A-1 On-Site Habitat Baseline'!$D$1:$O$258,11,FALSE)),"",(VLOOKUP($E90,'A-1 On-Site Habitat Baseline'!$D$1:$O$258,11,FALSE))))</f>
        <v/>
      </c>
      <c r="M90" s="382" t="str">
        <f>IF(E90="","",IF(ISNA(VLOOKUP($E90,'A-1 On-Site Habitat Baseline'!$D$1:$O$258,12,FALSE)),"",(VLOOKUP($E90,'A-1 On-Site Habitat Baseline'!$D$1:$O$258,12,FALSE))))</f>
        <v/>
      </c>
      <c r="N90" s="393" t="str">
        <f>IF(E90="","",IF(ISNA(VLOOKUP($E90,'A-1 On-Site Habitat Baseline'!$D$1:$X$258,14,FALSE)),"",(VLOOKUP($E90,'A-1 On-Site Habitat Baseline'!$D$1:$X$258,14,FALSE))))</f>
        <v/>
      </c>
      <c r="O90" s="386" t="str">
        <f>IF(E90="","",IF(ISNA(VLOOKUP($E90,'A-1 On-Site Habitat Baseline'!$D$1:$X$258,16,FALSE)),"",(VLOOKUP($E90,'A-1 On-Site Habitat Baseline'!$D$1:$X$258,13,FALSE))))</f>
        <v/>
      </c>
      <c r="P90" s="192" t="str">
        <f>IFERROR(INDEX('G-1 All Habitats'!$AG$3:$AG$17,MATCH(Q90,'G-1 All Habitats'!$AF$3:$AF$17,0)),"")</f>
        <v/>
      </c>
      <c r="Q90" s="193" t="str">
        <f t="shared" si="13"/>
        <v/>
      </c>
      <c r="R90" s="193" t="str">
        <f t="shared" si="13"/>
        <v/>
      </c>
      <c r="S90" s="306" t="str">
        <f>IFERROR(INDEX('G-1 All Habitats'!$B$3:$B$134,MATCH(R90,'G-1 All Habitats'!$A$3:$A$134,0)),"")</f>
        <v/>
      </c>
      <c r="T90" s="362" t="str">
        <f t="shared" si="14"/>
        <v/>
      </c>
      <c r="U90" s="363" t="str">
        <f t="shared" si="15"/>
        <v/>
      </c>
      <c r="V90" s="398" t="str">
        <f t="shared" si="11"/>
        <v/>
      </c>
      <c r="W90" s="382" t="str">
        <f>IF(S90="","",VLOOKUP(S90,'G-1 All Habitats'!$B$2:$M$134,10,FALSE))</f>
        <v/>
      </c>
      <c r="X90" s="382" t="str">
        <f>IFERROR(VLOOKUP(W90,'G-1 All Habitats'!$V$3:$W$7,2,FALSE),"")</f>
        <v/>
      </c>
      <c r="Y90" s="61"/>
      <c r="Z90" s="386" t="str">
        <f>IFERROR(INDEX('G-8 Condition Look up'!$A$3:$H$135,MATCH(S90,'G-8 Condition Look up'!$A$3:$A$135,0),MATCH(Y90,'G-8 Condition Look up'!$A$3:$H$3,0)),"")</f>
        <v/>
      </c>
      <c r="AA90" s="54"/>
      <c r="AB90" s="382" t="str">
        <f>IF(AA90="","",IF(VLOOKUP(AA90,'G-3 Multipliers'!$L$3:$N$6,2,FALSE)=0,"Spatial Data Missing ⚠",VLOOKUP(AA90,'G-3 Multipliers'!$L$3:$N$6,2,FALSE)))</f>
        <v/>
      </c>
      <c r="AC90" s="386" t="str">
        <f>IF(AA90="","",IF(VLOOKUP(AA90,'G-3 Multipliers'!$L$3:$N$6,3,FALSE)=0,"Spatial Data Missing ⚠",VLOOKUP(AA90,'G-3 Multipliers'!$L$3:$N$6,3,FALSE)))</f>
        <v/>
      </c>
      <c r="AD90" s="400" t="str">
        <f t="shared" si="12"/>
        <v/>
      </c>
      <c r="AE90" s="63"/>
      <c r="AF90" s="63"/>
      <c r="AG90" s="370" t="str">
        <f t="shared" si="16"/>
        <v/>
      </c>
      <c r="AH90" s="383" t="str">
        <f t="shared" si="17"/>
        <v/>
      </c>
      <c r="AI90" s="384" t="str">
        <f>IF(AH90="Check Data","Check Data",IFERROR(VLOOKUP(AH90,'G-4 Temporal multipliers'!$A$4:$C$36,3,FALSE),""))</f>
        <v/>
      </c>
      <c r="AJ90" s="362" t="str">
        <f>IF(S90="","",VLOOKUP(S90,'G-3 Multipliers'!$A$2:$E$134,4,FALSE))</f>
        <v/>
      </c>
      <c r="AK90" s="370" t="str">
        <f t="shared" si="18"/>
        <v/>
      </c>
      <c r="AL90" s="370" t="str">
        <f t="shared" si="19"/>
        <v/>
      </c>
      <c r="AM90" s="401" t="str">
        <f>IFERROR(IF(F90="","",IF(AH90="Check Data ⚠","Check Data ⚠",VLOOKUP(AL90, 'G-3 Multipliers'!$P$2:$Q$6,2,FALSE))),"")</f>
        <v/>
      </c>
      <c r="AN90" s="376" t="str">
        <f t="shared" si="20"/>
        <v/>
      </c>
      <c r="AO90" s="194"/>
      <c r="AP90" s="195"/>
      <c r="AQ90" s="120"/>
    </row>
    <row r="91" spans="1:43">
      <c r="A91" s="35" t="str">
        <f>IF(E91="","",IF(ISNA(VLOOKUP($E91,'A-1 On-Site Habitat Baseline'!$D$1:$O$258,2,FALSE)),"",(VLOOKUP($E91,'A-1 On-Site Habitat Baseline'!$D$1:$O$258,2,FALSE))))</f>
        <v/>
      </c>
      <c r="B91" s="35" t="str">
        <f>IF(E91="","",IF(ISNA(VLOOKUP($E91,'A-1 On-Site Habitat Baseline'!$D$1:$O$258,3,FALSE)),"",(VLOOKUP($E91,'A-1 On-Site Habitat Baseline'!$D$1:$O$258,3,FALSE))))</f>
        <v/>
      </c>
      <c r="C91" s="35" t="str">
        <f>IFERROR(INDEX('G-8 Condition Look up'!$I$4:$I$135,MATCH(S91,'G-8 Condition Look up'!$A$4:$A$135,0)),"")</f>
        <v/>
      </c>
      <c r="E91" s="392" t="str">
        <f>'A-1 On-Site Habitat Baseline'!AL90</f>
        <v/>
      </c>
      <c r="F91" s="382" t="str">
        <f>IF(E91="","",IF(ISNA(VLOOKUP($E91,'A-1 On-Site Habitat Baseline'!$D$1:$O$258,4,FALSE)),"",(VLOOKUP($E91,'A-1 On-Site Habitat Baseline'!$D$1:$O$258,4,FALSE))))</f>
        <v/>
      </c>
      <c r="G91" s="382" t="str">
        <f>IF(E91="","",IF(ISNA(VLOOKUP($E91,'A-1 On-Site Habitat Baseline'!$D$1:$O$258,5,FALSE)),"",(VLOOKUP($E91,'A-1 On-Site Habitat Baseline'!$D$1:$O$258,5,FALSE))))</f>
        <v/>
      </c>
      <c r="H91" s="382" t="str">
        <f>IF(E91="","",IF(ISNA(VLOOKUP($E91,'A-1 On-Site Habitat Baseline'!$D$1:$O$258,6,FALSE)),"",(VLOOKUP($E91,'A-1 On-Site Habitat Baseline'!$D$1:$O$258,6,FALSE))))</f>
        <v/>
      </c>
      <c r="I91" s="382" t="str">
        <f>IF(E91="","",IF(ISNA(VLOOKUP($E91,'A-1 On-Site Habitat Baseline'!$D$1:$O$258,7,FALSE)),"",(VLOOKUP($E91,'A-1 On-Site Habitat Baseline'!$D$1:$O$258,7,FALSE))))</f>
        <v/>
      </c>
      <c r="J91" s="382" t="str">
        <f>IF(E91="","",IF(ISNA(VLOOKUP($E91,'A-1 On-Site Habitat Baseline'!$D$1:$O$258,8,FALSE)),"",(VLOOKUP($E91,'A-1 On-Site Habitat Baseline'!$D$1:$O$258,8,FALSE))))</f>
        <v/>
      </c>
      <c r="K91" s="382" t="str">
        <f>IF(E91="","",IF(ISNA(VLOOKUP($E91,'A-1 On-Site Habitat Baseline'!$D$1:$O$258,9,FALSE)),"",(VLOOKUP($E91,'A-1 On-Site Habitat Baseline'!$D$1:$O$258,9,FALSE))))</f>
        <v/>
      </c>
      <c r="L91" s="382" t="str">
        <f>IF(E91="","",IF(ISNA(VLOOKUP($E91,'A-1 On-Site Habitat Baseline'!$D$1:$O$258,11,FALSE)),"",(VLOOKUP($E91,'A-1 On-Site Habitat Baseline'!$D$1:$O$258,11,FALSE))))</f>
        <v/>
      </c>
      <c r="M91" s="382" t="str">
        <f>IF(E91="","",IF(ISNA(VLOOKUP($E91,'A-1 On-Site Habitat Baseline'!$D$1:$O$258,12,FALSE)),"",(VLOOKUP($E91,'A-1 On-Site Habitat Baseline'!$D$1:$O$258,12,FALSE))))</f>
        <v/>
      </c>
      <c r="N91" s="393" t="str">
        <f>IF(E91="","",IF(ISNA(VLOOKUP($E91,'A-1 On-Site Habitat Baseline'!$D$1:$X$258,14,FALSE)),"",(VLOOKUP($E91,'A-1 On-Site Habitat Baseline'!$D$1:$X$258,14,FALSE))))</f>
        <v/>
      </c>
      <c r="O91" s="386" t="str">
        <f>IF(E91="","",IF(ISNA(VLOOKUP($E91,'A-1 On-Site Habitat Baseline'!$D$1:$X$258,16,FALSE)),"",(VLOOKUP($E91,'A-1 On-Site Habitat Baseline'!$D$1:$X$258,13,FALSE))))</f>
        <v/>
      </c>
      <c r="P91" s="192" t="str">
        <f>IFERROR(INDEX('G-1 All Habitats'!$AG$3:$AG$17,MATCH(Q91,'G-1 All Habitats'!$AF$3:$AF$17,0)),"")</f>
        <v/>
      </c>
      <c r="Q91" s="193" t="str">
        <f t="shared" si="13"/>
        <v/>
      </c>
      <c r="R91" s="193" t="str">
        <f t="shared" si="13"/>
        <v/>
      </c>
      <c r="S91" s="306" t="str">
        <f>IFERROR(INDEX('G-1 All Habitats'!$B$3:$B$134,MATCH(R91,'G-1 All Habitats'!$A$3:$A$134,0)),"")</f>
        <v/>
      </c>
      <c r="T91" s="362" t="str">
        <f t="shared" si="14"/>
        <v/>
      </c>
      <c r="U91" s="363" t="str">
        <f t="shared" si="15"/>
        <v/>
      </c>
      <c r="V91" s="398" t="str">
        <f t="shared" si="11"/>
        <v/>
      </c>
      <c r="W91" s="382" t="str">
        <f>IF(S91="","",VLOOKUP(S91,'G-1 All Habitats'!$B$2:$M$134,10,FALSE))</f>
        <v/>
      </c>
      <c r="X91" s="382" t="str">
        <f>IFERROR(VLOOKUP(W91,'G-1 All Habitats'!$V$3:$W$7,2,FALSE),"")</f>
        <v/>
      </c>
      <c r="Y91" s="61"/>
      <c r="Z91" s="386" t="str">
        <f>IFERROR(INDEX('G-8 Condition Look up'!$A$3:$H$135,MATCH(S91,'G-8 Condition Look up'!$A$3:$A$135,0),MATCH(Y91,'G-8 Condition Look up'!$A$3:$H$3,0)),"")</f>
        <v/>
      </c>
      <c r="AA91" s="54"/>
      <c r="AB91" s="382" t="str">
        <f>IF(AA91="","",IF(VLOOKUP(AA91,'G-3 Multipliers'!$L$3:$N$6,2,FALSE)=0,"Spatial Data Missing ⚠",VLOOKUP(AA91,'G-3 Multipliers'!$L$3:$N$6,2,FALSE)))</f>
        <v/>
      </c>
      <c r="AC91" s="386" t="str">
        <f>IF(AA91="","",IF(VLOOKUP(AA91,'G-3 Multipliers'!$L$3:$N$6,3,FALSE)=0,"Spatial Data Missing ⚠",VLOOKUP(AA91,'G-3 Multipliers'!$L$3:$N$6,3,FALSE)))</f>
        <v/>
      </c>
      <c r="AD91" s="400" t="str">
        <f t="shared" si="12"/>
        <v/>
      </c>
      <c r="AE91" s="63"/>
      <c r="AF91" s="63"/>
      <c r="AG91" s="370" t="str">
        <f t="shared" si="16"/>
        <v/>
      </c>
      <c r="AH91" s="383" t="str">
        <f t="shared" si="17"/>
        <v/>
      </c>
      <c r="AI91" s="384" t="str">
        <f>IF(AH91="Check Data","Check Data",IFERROR(VLOOKUP(AH91,'G-4 Temporal multipliers'!$A$4:$C$36,3,FALSE),""))</f>
        <v/>
      </c>
      <c r="AJ91" s="362" t="str">
        <f>IF(S91="","",VLOOKUP(S91,'G-3 Multipliers'!$A$2:$E$134,4,FALSE))</f>
        <v/>
      </c>
      <c r="AK91" s="370" t="str">
        <f t="shared" si="18"/>
        <v/>
      </c>
      <c r="AL91" s="370" t="str">
        <f t="shared" si="19"/>
        <v/>
      </c>
      <c r="AM91" s="401" t="str">
        <f>IFERROR(IF(F91="","",IF(AH91="Check Data ⚠","Check Data ⚠",VLOOKUP(AL91, 'G-3 Multipliers'!$P$2:$Q$6,2,FALSE))),"")</f>
        <v/>
      </c>
      <c r="AN91" s="376" t="str">
        <f t="shared" si="20"/>
        <v/>
      </c>
      <c r="AO91" s="194"/>
      <c r="AP91" s="195"/>
      <c r="AQ91" s="120"/>
    </row>
    <row r="92" spans="1:43">
      <c r="A92" s="35" t="str">
        <f>IF(E92="","",IF(ISNA(VLOOKUP($E92,'A-1 On-Site Habitat Baseline'!$D$1:$O$258,2,FALSE)),"",(VLOOKUP($E92,'A-1 On-Site Habitat Baseline'!$D$1:$O$258,2,FALSE))))</f>
        <v/>
      </c>
      <c r="B92" s="35" t="str">
        <f>IF(E92="","",IF(ISNA(VLOOKUP($E92,'A-1 On-Site Habitat Baseline'!$D$1:$O$258,3,FALSE)),"",(VLOOKUP($E92,'A-1 On-Site Habitat Baseline'!$D$1:$O$258,3,FALSE))))</f>
        <v/>
      </c>
      <c r="C92" s="35" t="str">
        <f>IFERROR(INDEX('G-8 Condition Look up'!$I$4:$I$135,MATCH(S92,'G-8 Condition Look up'!$A$4:$A$135,0)),"")</f>
        <v/>
      </c>
      <c r="E92" s="392" t="str">
        <f>'A-1 On-Site Habitat Baseline'!AL91</f>
        <v/>
      </c>
      <c r="F92" s="382" t="str">
        <f>IF(E92="","",IF(ISNA(VLOOKUP($E92,'A-1 On-Site Habitat Baseline'!$D$1:$O$258,4,FALSE)),"",(VLOOKUP($E92,'A-1 On-Site Habitat Baseline'!$D$1:$O$258,4,FALSE))))</f>
        <v/>
      </c>
      <c r="G92" s="382" t="str">
        <f>IF(E92="","",IF(ISNA(VLOOKUP($E92,'A-1 On-Site Habitat Baseline'!$D$1:$O$258,5,FALSE)),"",(VLOOKUP($E92,'A-1 On-Site Habitat Baseline'!$D$1:$O$258,5,FALSE))))</f>
        <v/>
      </c>
      <c r="H92" s="382" t="str">
        <f>IF(E92="","",IF(ISNA(VLOOKUP($E92,'A-1 On-Site Habitat Baseline'!$D$1:$O$258,6,FALSE)),"",(VLOOKUP($E92,'A-1 On-Site Habitat Baseline'!$D$1:$O$258,6,FALSE))))</f>
        <v/>
      </c>
      <c r="I92" s="382" t="str">
        <f>IF(E92="","",IF(ISNA(VLOOKUP($E92,'A-1 On-Site Habitat Baseline'!$D$1:$O$258,7,FALSE)),"",(VLOOKUP($E92,'A-1 On-Site Habitat Baseline'!$D$1:$O$258,7,FALSE))))</f>
        <v/>
      </c>
      <c r="J92" s="382" t="str">
        <f>IF(E92="","",IF(ISNA(VLOOKUP($E92,'A-1 On-Site Habitat Baseline'!$D$1:$O$258,8,FALSE)),"",(VLOOKUP($E92,'A-1 On-Site Habitat Baseline'!$D$1:$O$258,8,FALSE))))</f>
        <v/>
      </c>
      <c r="K92" s="382" t="str">
        <f>IF(E92="","",IF(ISNA(VLOOKUP($E92,'A-1 On-Site Habitat Baseline'!$D$1:$O$258,9,FALSE)),"",(VLOOKUP($E92,'A-1 On-Site Habitat Baseline'!$D$1:$O$258,9,FALSE))))</f>
        <v/>
      </c>
      <c r="L92" s="382" t="str">
        <f>IF(E92="","",IF(ISNA(VLOOKUP($E92,'A-1 On-Site Habitat Baseline'!$D$1:$O$258,11,FALSE)),"",(VLOOKUP($E92,'A-1 On-Site Habitat Baseline'!$D$1:$O$258,11,FALSE))))</f>
        <v/>
      </c>
      <c r="M92" s="382" t="str">
        <f>IF(E92="","",IF(ISNA(VLOOKUP($E92,'A-1 On-Site Habitat Baseline'!$D$1:$O$258,12,FALSE)),"",(VLOOKUP($E92,'A-1 On-Site Habitat Baseline'!$D$1:$O$258,12,FALSE))))</f>
        <v/>
      </c>
      <c r="N92" s="393" t="str">
        <f>IF(E92="","",IF(ISNA(VLOOKUP($E92,'A-1 On-Site Habitat Baseline'!$D$1:$X$258,14,FALSE)),"",(VLOOKUP($E92,'A-1 On-Site Habitat Baseline'!$D$1:$X$258,14,FALSE))))</f>
        <v/>
      </c>
      <c r="O92" s="386" t="str">
        <f>IF(E92="","",IF(ISNA(VLOOKUP($E92,'A-1 On-Site Habitat Baseline'!$D$1:$X$258,16,FALSE)),"",(VLOOKUP($E92,'A-1 On-Site Habitat Baseline'!$D$1:$X$258,13,FALSE))))</f>
        <v/>
      </c>
      <c r="P92" s="192" t="str">
        <f>IFERROR(INDEX('G-1 All Habitats'!$AG$3:$AG$17,MATCH(Q92,'G-1 All Habitats'!$AF$3:$AF$17,0)),"")</f>
        <v/>
      </c>
      <c r="Q92" s="193" t="str">
        <f t="shared" si="13"/>
        <v/>
      </c>
      <c r="R92" s="193" t="str">
        <f t="shared" si="13"/>
        <v/>
      </c>
      <c r="S92" s="306" t="str">
        <f>IFERROR(INDEX('G-1 All Habitats'!$B$3:$B$134,MATCH(R92,'G-1 All Habitats'!$A$3:$A$134,0)),"")</f>
        <v/>
      </c>
      <c r="T92" s="362" t="str">
        <f t="shared" si="14"/>
        <v/>
      </c>
      <c r="U92" s="363" t="str">
        <f t="shared" si="15"/>
        <v/>
      </c>
      <c r="V92" s="398" t="str">
        <f t="shared" si="11"/>
        <v/>
      </c>
      <c r="W92" s="382" t="str">
        <f>IF(S92="","",VLOOKUP(S92,'G-1 All Habitats'!$B$2:$M$134,10,FALSE))</f>
        <v/>
      </c>
      <c r="X92" s="382" t="str">
        <f>IFERROR(VLOOKUP(W92,'G-1 All Habitats'!$V$3:$W$7,2,FALSE),"")</f>
        <v/>
      </c>
      <c r="Y92" s="61"/>
      <c r="Z92" s="386" t="str">
        <f>IFERROR(INDEX('G-8 Condition Look up'!$A$3:$H$135,MATCH(S92,'G-8 Condition Look up'!$A$3:$A$135,0),MATCH(Y92,'G-8 Condition Look up'!$A$3:$H$3,0)),"")</f>
        <v/>
      </c>
      <c r="AA92" s="54"/>
      <c r="AB92" s="382" t="str">
        <f>IF(AA92="","",IF(VLOOKUP(AA92,'G-3 Multipliers'!$L$3:$N$6,2,FALSE)=0,"Spatial Data Missing ⚠",VLOOKUP(AA92,'G-3 Multipliers'!$L$3:$N$6,2,FALSE)))</f>
        <v/>
      </c>
      <c r="AC92" s="386" t="str">
        <f>IF(AA92="","",IF(VLOOKUP(AA92,'G-3 Multipliers'!$L$3:$N$6,3,FALSE)=0,"Spatial Data Missing ⚠",VLOOKUP(AA92,'G-3 Multipliers'!$L$3:$N$6,3,FALSE)))</f>
        <v/>
      </c>
      <c r="AD92" s="400" t="str">
        <f t="shared" si="12"/>
        <v/>
      </c>
      <c r="AE92" s="63"/>
      <c r="AF92" s="63"/>
      <c r="AG92" s="370" t="str">
        <f t="shared" si="16"/>
        <v/>
      </c>
      <c r="AH92" s="383" t="str">
        <f t="shared" si="17"/>
        <v/>
      </c>
      <c r="AI92" s="384" t="str">
        <f>IF(AH92="Check Data","Check Data",IFERROR(VLOOKUP(AH92,'G-4 Temporal multipliers'!$A$4:$C$36,3,FALSE),""))</f>
        <v/>
      </c>
      <c r="AJ92" s="362" t="str">
        <f>IF(S92="","",VLOOKUP(S92,'G-3 Multipliers'!$A$2:$E$134,4,FALSE))</f>
        <v/>
      </c>
      <c r="AK92" s="370" t="str">
        <f t="shared" si="18"/>
        <v/>
      </c>
      <c r="AL92" s="370" t="str">
        <f t="shared" si="19"/>
        <v/>
      </c>
      <c r="AM92" s="401" t="str">
        <f>IFERROR(IF(F92="","",IF(AH92="Check Data ⚠","Check Data ⚠",VLOOKUP(AL92, 'G-3 Multipliers'!$P$2:$Q$6,2,FALSE))),"")</f>
        <v/>
      </c>
      <c r="AN92" s="376" t="str">
        <f t="shared" si="20"/>
        <v/>
      </c>
      <c r="AO92" s="194"/>
      <c r="AP92" s="195"/>
      <c r="AQ92" s="120"/>
    </row>
    <row r="93" spans="1:43">
      <c r="A93" s="35" t="str">
        <f>IF(E93="","",IF(ISNA(VLOOKUP($E93,'A-1 On-Site Habitat Baseline'!$D$1:$O$258,2,FALSE)),"",(VLOOKUP($E93,'A-1 On-Site Habitat Baseline'!$D$1:$O$258,2,FALSE))))</f>
        <v/>
      </c>
      <c r="B93" s="35" t="str">
        <f>IF(E93="","",IF(ISNA(VLOOKUP($E93,'A-1 On-Site Habitat Baseline'!$D$1:$O$258,3,FALSE)),"",(VLOOKUP($E93,'A-1 On-Site Habitat Baseline'!$D$1:$O$258,3,FALSE))))</f>
        <v/>
      </c>
      <c r="C93" s="35" t="str">
        <f>IFERROR(INDEX('G-8 Condition Look up'!$I$4:$I$135,MATCH(S93,'G-8 Condition Look up'!$A$4:$A$135,0)),"")</f>
        <v/>
      </c>
      <c r="E93" s="392" t="str">
        <f>'A-1 On-Site Habitat Baseline'!AL92</f>
        <v/>
      </c>
      <c r="F93" s="382" t="str">
        <f>IF(E93="","",IF(ISNA(VLOOKUP($E93,'A-1 On-Site Habitat Baseline'!$D$1:$O$258,4,FALSE)),"",(VLOOKUP($E93,'A-1 On-Site Habitat Baseline'!$D$1:$O$258,4,FALSE))))</f>
        <v/>
      </c>
      <c r="G93" s="382" t="str">
        <f>IF(E93="","",IF(ISNA(VLOOKUP($E93,'A-1 On-Site Habitat Baseline'!$D$1:$O$258,5,FALSE)),"",(VLOOKUP($E93,'A-1 On-Site Habitat Baseline'!$D$1:$O$258,5,FALSE))))</f>
        <v/>
      </c>
      <c r="H93" s="382" t="str">
        <f>IF(E93="","",IF(ISNA(VLOOKUP($E93,'A-1 On-Site Habitat Baseline'!$D$1:$O$258,6,FALSE)),"",(VLOOKUP($E93,'A-1 On-Site Habitat Baseline'!$D$1:$O$258,6,FALSE))))</f>
        <v/>
      </c>
      <c r="I93" s="382" t="str">
        <f>IF(E93="","",IF(ISNA(VLOOKUP($E93,'A-1 On-Site Habitat Baseline'!$D$1:$O$258,7,FALSE)),"",(VLOOKUP($E93,'A-1 On-Site Habitat Baseline'!$D$1:$O$258,7,FALSE))))</f>
        <v/>
      </c>
      <c r="J93" s="382" t="str">
        <f>IF(E93="","",IF(ISNA(VLOOKUP($E93,'A-1 On-Site Habitat Baseline'!$D$1:$O$258,8,FALSE)),"",(VLOOKUP($E93,'A-1 On-Site Habitat Baseline'!$D$1:$O$258,8,FALSE))))</f>
        <v/>
      </c>
      <c r="K93" s="382" t="str">
        <f>IF(E93="","",IF(ISNA(VLOOKUP($E93,'A-1 On-Site Habitat Baseline'!$D$1:$O$258,9,FALSE)),"",(VLOOKUP($E93,'A-1 On-Site Habitat Baseline'!$D$1:$O$258,9,FALSE))))</f>
        <v/>
      </c>
      <c r="L93" s="382" t="str">
        <f>IF(E93="","",IF(ISNA(VLOOKUP($E93,'A-1 On-Site Habitat Baseline'!$D$1:$O$258,11,FALSE)),"",(VLOOKUP($E93,'A-1 On-Site Habitat Baseline'!$D$1:$O$258,11,FALSE))))</f>
        <v/>
      </c>
      <c r="M93" s="382" t="str">
        <f>IF(E93="","",IF(ISNA(VLOOKUP($E93,'A-1 On-Site Habitat Baseline'!$D$1:$O$258,12,FALSE)),"",(VLOOKUP($E93,'A-1 On-Site Habitat Baseline'!$D$1:$O$258,12,FALSE))))</f>
        <v/>
      </c>
      <c r="N93" s="393" t="str">
        <f>IF(E93="","",IF(ISNA(VLOOKUP($E93,'A-1 On-Site Habitat Baseline'!$D$1:$X$258,14,FALSE)),"",(VLOOKUP($E93,'A-1 On-Site Habitat Baseline'!$D$1:$X$258,14,FALSE))))</f>
        <v/>
      </c>
      <c r="O93" s="386" t="str">
        <f>IF(E93="","",IF(ISNA(VLOOKUP($E93,'A-1 On-Site Habitat Baseline'!$D$1:$X$258,16,FALSE)),"",(VLOOKUP($E93,'A-1 On-Site Habitat Baseline'!$D$1:$X$258,13,FALSE))))</f>
        <v/>
      </c>
      <c r="P93" s="192" t="str">
        <f>IFERROR(INDEX('G-1 All Habitats'!$AG$3:$AG$17,MATCH(Q93,'G-1 All Habitats'!$AF$3:$AF$17,0)),"")</f>
        <v/>
      </c>
      <c r="Q93" s="193" t="str">
        <f t="shared" si="13"/>
        <v/>
      </c>
      <c r="R93" s="193" t="str">
        <f t="shared" si="13"/>
        <v/>
      </c>
      <c r="S93" s="306" t="str">
        <f>IFERROR(INDEX('G-1 All Habitats'!$B$3:$B$134,MATCH(R93,'G-1 All Habitats'!$A$3:$A$134,0)),"")</f>
        <v/>
      </c>
      <c r="T93" s="362" t="str">
        <f t="shared" si="14"/>
        <v/>
      </c>
      <c r="U93" s="363" t="str">
        <f t="shared" si="15"/>
        <v/>
      </c>
      <c r="V93" s="398" t="str">
        <f t="shared" si="11"/>
        <v/>
      </c>
      <c r="W93" s="382" t="str">
        <f>IF(S93="","",VLOOKUP(S93,'G-1 All Habitats'!$B$2:$M$134,10,FALSE))</f>
        <v/>
      </c>
      <c r="X93" s="382" t="str">
        <f>IFERROR(VLOOKUP(W93,'G-1 All Habitats'!$V$3:$W$7,2,FALSE),"")</f>
        <v/>
      </c>
      <c r="Y93" s="61"/>
      <c r="Z93" s="386" t="str">
        <f>IFERROR(INDEX('G-8 Condition Look up'!$A$3:$H$135,MATCH(S93,'G-8 Condition Look up'!$A$3:$A$135,0),MATCH(Y93,'G-8 Condition Look up'!$A$3:$H$3,0)),"")</f>
        <v/>
      </c>
      <c r="AA93" s="54"/>
      <c r="AB93" s="382" t="str">
        <f>IF(AA93="","",IF(VLOOKUP(AA93,'G-3 Multipliers'!$L$3:$N$6,2,FALSE)=0,"Spatial Data Missing ⚠",VLOOKUP(AA93,'G-3 Multipliers'!$L$3:$N$6,2,FALSE)))</f>
        <v/>
      </c>
      <c r="AC93" s="386" t="str">
        <f>IF(AA93="","",IF(VLOOKUP(AA93,'G-3 Multipliers'!$L$3:$N$6,3,FALSE)=0,"Spatial Data Missing ⚠",VLOOKUP(AA93,'G-3 Multipliers'!$L$3:$N$6,3,FALSE)))</f>
        <v/>
      </c>
      <c r="AD93" s="400" t="str">
        <f t="shared" si="12"/>
        <v/>
      </c>
      <c r="AE93" s="63"/>
      <c r="AF93" s="63"/>
      <c r="AG93" s="370" t="str">
        <f t="shared" si="16"/>
        <v/>
      </c>
      <c r="AH93" s="383" t="str">
        <f t="shared" si="17"/>
        <v/>
      </c>
      <c r="AI93" s="384" t="str">
        <f>IF(AH93="Check Data","Check Data",IFERROR(VLOOKUP(AH93,'G-4 Temporal multipliers'!$A$4:$C$36,3,FALSE),""))</f>
        <v/>
      </c>
      <c r="AJ93" s="362" t="str">
        <f>IF(S93="","",VLOOKUP(S93,'G-3 Multipliers'!$A$2:$E$134,4,FALSE))</f>
        <v/>
      </c>
      <c r="AK93" s="370" t="str">
        <f t="shared" si="18"/>
        <v/>
      </c>
      <c r="AL93" s="370" t="str">
        <f t="shared" si="19"/>
        <v/>
      </c>
      <c r="AM93" s="401" t="str">
        <f>IFERROR(IF(F93="","",IF(AH93="Check Data ⚠","Check Data ⚠",VLOOKUP(AL93, 'G-3 Multipliers'!$P$2:$Q$6,2,FALSE))),"")</f>
        <v/>
      </c>
      <c r="AN93" s="376" t="str">
        <f t="shared" si="20"/>
        <v/>
      </c>
      <c r="AO93" s="194"/>
      <c r="AP93" s="195"/>
      <c r="AQ93" s="120"/>
    </row>
    <row r="94" spans="1:43">
      <c r="A94" s="35" t="str">
        <f>IF(E94="","",IF(ISNA(VLOOKUP($E94,'A-1 On-Site Habitat Baseline'!$D$1:$O$258,2,FALSE)),"",(VLOOKUP($E94,'A-1 On-Site Habitat Baseline'!$D$1:$O$258,2,FALSE))))</f>
        <v/>
      </c>
      <c r="B94" s="35" t="str">
        <f>IF(E94="","",IF(ISNA(VLOOKUP($E94,'A-1 On-Site Habitat Baseline'!$D$1:$O$258,3,FALSE)),"",(VLOOKUP($E94,'A-1 On-Site Habitat Baseline'!$D$1:$O$258,3,FALSE))))</f>
        <v/>
      </c>
      <c r="C94" s="35" t="str">
        <f>IFERROR(INDEX('G-8 Condition Look up'!$I$4:$I$135,MATCH(S94,'G-8 Condition Look up'!$A$4:$A$135,0)),"")</f>
        <v/>
      </c>
      <c r="E94" s="392" t="str">
        <f>'A-1 On-Site Habitat Baseline'!AL93</f>
        <v/>
      </c>
      <c r="F94" s="382" t="str">
        <f>IF(E94="","",IF(ISNA(VLOOKUP($E94,'A-1 On-Site Habitat Baseline'!$D$1:$O$258,4,FALSE)),"",(VLOOKUP($E94,'A-1 On-Site Habitat Baseline'!$D$1:$O$258,4,FALSE))))</f>
        <v/>
      </c>
      <c r="G94" s="382" t="str">
        <f>IF(E94="","",IF(ISNA(VLOOKUP($E94,'A-1 On-Site Habitat Baseline'!$D$1:$O$258,5,FALSE)),"",(VLOOKUP($E94,'A-1 On-Site Habitat Baseline'!$D$1:$O$258,5,FALSE))))</f>
        <v/>
      </c>
      <c r="H94" s="382" t="str">
        <f>IF(E94="","",IF(ISNA(VLOOKUP($E94,'A-1 On-Site Habitat Baseline'!$D$1:$O$258,6,FALSE)),"",(VLOOKUP($E94,'A-1 On-Site Habitat Baseline'!$D$1:$O$258,6,FALSE))))</f>
        <v/>
      </c>
      <c r="I94" s="382" t="str">
        <f>IF(E94="","",IF(ISNA(VLOOKUP($E94,'A-1 On-Site Habitat Baseline'!$D$1:$O$258,7,FALSE)),"",(VLOOKUP($E94,'A-1 On-Site Habitat Baseline'!$D$1:$O$258,7,FALSE))))</f>
        <v/>
      </c>
      <c r="J94" s="382" t="str">
        <f>IF(E94="","",IF(ISNA(VLOOKUP($E94,'A-1 On-Site Habitat Baseline'!$D$1:$O$258,8,FALSE)),"",(VLOOKUP($E94,'A-1 On-Site Habitat Baseline'!$D$1:$O$258,8,FALSE))))</f>
        <v/>
      </c>
      <c r="K94" s="382" t="str">
        <f>IF(E94="","",IF(ISNA(VLOOKUP($E94,'A-1 On-Site Habitat Baseline'!$D$1:$O$258,9,FALSE)),"",(VLOOKUP($E94,'A-1 On-Site Habitat Baseline'!$D$1:$O$258,9,FALSE))))</f>
        <v/>
      </c>
      <c r="L94" s="382" t="str">
        <f>IF(E94="","",IF(ISNA(VLOOKUP($E94,'A-1 On-Site Habitat Baseline'!$D$1:$O$258,11,FALSE)),"",(VLOOKUP($E94,'A-1 On-Site Habitat Baseline'!$D$1:$O$258,11,FALSE))))</f>
        <v/>
      </c>
      <c r="M94" s="382" t="str">
        <f>IF(E94="","",IF(ISNA(VLOOKUP($E94,'A-1 On-Site Habitat Baseline'!$D$1:$O$258,12,FALSE)),"",(VLOOKUP($E94,'A-1 On-Site Habitat Baseline'!$D$1:$O$258,12,FALSE))))</f>
        <v/>
      </c>
      <c r="N94" s="393" t="str">
        <f>IF(E94="","",IF(ISNA(VLOOKUP($E94,'A-1 On-Site Habitat Baseline'!$D$1:$X$258,14,FALSE)),"",(VLOOKUP($E94,'A-1 On-Site Habitat Baseline'!$D$1:$X$258,14,FALSE))))</f>
        <v/>
      </c>
      <c r="O94" s="386" t="str">
        <f>IF(E94="","",IF(ISNA(VLOOKUP($E94,'A-1 On-Site Habitat Baseline'!$D$1:$X$258,16,FALSE)),"",(VLOOKUP($E94,'A-1 On-Site Habitat Baseline'!$D$1:$X$258,13,FALSE))))</f>
        <v/>
      </c>
      <c r="P94" s="192" t="str">
        <f>IFERROR(INDEX('G-1 All Habitats'!$AG$3:$AG$17,MATCH(Q94,'G-1 All Habitats'!$AF$3:$AF$17,0)),"")</f>
        <v/>
      </c>
      <c r="Q94" s="193" t="str">
        <f t="shared" si="13"/>
        <v/>
      </c>
      <c r="R94" s="193" t="str">
        <f t="shared" si="13"/>
        <v/>
      </c>
      <c r="S94" s="306" t="str">
        <f>IFERROR(INDEX('G-1 All Habitats'!$B$3:$B$134,MATCH(R94,'G-1 All Habitats'!$A$3:$A$134,0)),"")</f>
        <v/>
      </c>
      <c r="T94" s="362" t="str">
        <f t="shared" si="14"/>
        <v/>
      </c>
      <c r="U94" s="363" t="str">
        <f t="shared" si="15"/>
        <v/>
      </c>
      <c r="V94" s="398" t="str">
        <f t="shared" si="11"/>
        <v/>
      </c>
      <c r="W94" s="382" t="str">
        <f>IF(S94="","",VLOOKUP(S94,'G-1 All Habitats'!$B$2:$M$134,10,FALSE))</f>
        <v/>
      </c>
      <c r="X94" s="382" t="str">
        <f>IFERROR(VLOOKUP(W94,'G-1 All Habitats'!$V$3:$W$7,2,FALSE),"")</f>
        <v/>
      </c>
      <c r="Y94" s="61"/>
      <c r="Z94" s="386" t="str">
        <f>IFERROR(INDEX('G-8 Condition Look up'!$A$3:$H$135,MATCH(S94,'G-8 Condition Look up'!$A$3:$A$135,0),MATCH(Y94,'G-8 Condition Look up'!$A$3:$H$3,0)),"")</f>
        <v/>
      </c>
      <c r="AA94" s="54"/>
      <c r="AB94" s="382" t="str">
        <f>IF(AA94="","",IF(VLOOKUP(AA94,'G-3 Multipliers'!$L$3:$N$6,2,FALSE)=0,"Spatial Data Missing ⚠",VLOOKUP(AA94,'G-3 Multipliers'!$L$3:$N$6,2,FALSE)))</f>
        <v/>
      </c>
      <c r="AC94" s="386" t="str">
        <f>IF(AA94="","",IF(VLOOKUP(AA94,'G-3 Multipliers'!$L$3:$N$6,3,FALSE)=0,"Spatial Data Missing ⚠",VLOOKUP(AA94,'G-3 Multipliers'!$L$3:$N$6,3,FALSE)))</f>
        <v/>
      </c>
      <c r="AD94" s="400" t="str">
        <f t="shared" si="12"/>
        <v/>
      </c>
      <c r="AE94" s="63"/>
      <c r="AF94" s="63"/>
      <c r="AG94" s="370" t="str">
        <f t="shared" si="16"/>
        <v/>
      </c>
      <c r="AH94" s="383" t="str">
        <f t="shared" si="17"/>
        <v/>
      </c>
      <c r="AI94" s="384" t="str">
        <f>IF(AH94="Check Data","Check Data",IFERROR(VLOOKUP(AH94,'G-4 Temporal multipliers'!$A$4:$C$36,3,FALSE),""))</f>
        <v/>
      </c>
      <c r="AJ94" s="362" t="str">
        <f>IF(S94="","",VLOOKUP(S94,'G-3 Multipliers'!$A$2:$E$134,4,FALSE))</f>
        <v/>
      </c>
      <c r="AK94" s="370" t="str">
        <f t="shared" si="18"/>
        <v/>
      </c>
      <c r="AL94" s="370" t="str">
        <f t="shared" si="19"/>
        <v/>
      </c>
      <c r="AM94" s="401" t="str">
        <f>IFERROR(IF(F94="","",IF(AH94="Check Data ⚠","Check Data ⚠",VLOOKUP(AL94, 'G-3 Multipliers'!$P$2:$Q$6,2,FALSE))),"")</f>
        <v/>
      </c>
      <c r="AN94" s="376" t="str">
        <f t="shared" si="20"/>
        <v/>
      </c>
      <c r="AO94" s="194"/>
      <c r="AP94" s="195"/>
      <c r="AQ94" s="120"/>
    </row>
    <row r="95" spans="1:43">
      <c r="A95" s="35" t="str">
        <f>IF(E95="","",IF(ISNA(VLOOKUP($E95,'A-1 On-Site Habitat Baseline'!$D$1:$O$258,2,FALSE)),"",(VLOOKUP($E95,'A-1 On-Site Habitat Baseline'!$D$1:$O$258,2,FALSE))))</f>
        <v/>
      </c>
      <c r="B95" s="35" t="str">
        <f>IF(E95="","",IF(ISNA(VLOOKUP($E95,'A-1 On-Site Habitat Baseline'!$D$1:$O$258,3,FALSE)),"",(VLOOKUP($E95,'A-1 On-Site Habitat Baseline'!$D$1:$O$258,3,FALSE))))</f>
        <v/>
      </c>
      <c r="C95" s="35" t="str">
        <f>IFERROR(INDEX('G-8 Condition Look up'!$I$4:$I$135,MATCH(S95,'G-8 Condition Look up'!$A$4:$A$135,0)),"")</f>
        <v/>
      </c>
      <c r="E95" s="392" t="str">
        <f>'A-1 On-Site Habitat Baseline'!AL94</f>
        <v/>
      </c>
      <c r="F95" s="382" t="str">
        <f>IF(E95="","",IF(ISNA(VLOOKUP($E95,'A-1 On-Site Habitat Baseline'!$D$1:$O$258,4,FALSE)),"",(VLOOKUP($E95,'A-1 On-Site Habitat Baseline'!$D$1:$O$258,4,FALSE))))</f>
        <v/>
      </c>
      <c r="G95" s="382" t="str">
        <f>IF(E95="","",IF(ISNA(VLOOKUP($E95,'A-1 On-Site Habitat Baseline'!$D$1:$O$258,5,FALSE)),"",(VLOOKUP($E95,'A-1 On-Site Habitat Baseline'!$D$1:$O$258,5,FALSE))))</f>
        <v/>
      </c>
      <c r="H95" s="382" t="str">
        <f>IF(E95="","",IF(ISNA(VLOOKUP($E95,'A-1 On-Site Habitat Baseline'!$D$1:$O$258,6,FALSE)),"",(VLOOKUP($E95,'A-1 On-Site Habitat Baseline'!$D$1:$O$258,6,FALSE))))</f>
        <v/>
      </c>
      <c r="I95" s="382" t="str">
        <f>IF(E95="","",IF(ISNA(VLOOKUP($E95,'A-1 On-Site Habitat Baseline'!$D$1:$O$258,7,FALSE)),"",(VLOOKUP($E95,'A-1 On-Site Habitat Baseline'!$D$1:$O$258,7,FALSE))))</f>
        <v/>
      </c>
      <c r="J95" s="382" t="str">
        <f>IF(E95="","",IF(ISNA(VLOOKUP($E95,'A-1 On-Site Habitat Baseline'!$D$1:$O$258,8,FALSE)),"",(VLOOKUP($E95,'A-1 On-Site Habitat Baseline'!$D$1:$O$258,8,FALSE))))</f>
        <v/>
      </c>
      <c r="K95" s="382" t="str">
        <f>IF(E95="","",IF(ISNA(VLOOKUP($E95,'A-1 On-Site Habitat Baseline'!$D$1:$O$258,9,FALSE)),"",(VLOOKUP($E95,'A-1 On-Site Habitat Baseline'!$D$1:$O$258,9,FALSE))))</f>
        <v/>
      </c>
      <c r="L95" s="382" t="str">
        <f>IF(E95="","",IF(ISNA(VLOOKUP($E95,'A-1 On-Site Habitat Baseline'!$D$1:$O$258,11,FALSE)),"",(VLOOKUP($E95,'A-1 On-Site Habitat Baseline'!$D$1:$O$258,11,FALSE))))</f>
        <v/>
      </c>
      <c r="M95" s="382" t="str">
        <f>IF(E95="","",IF(ISNA(VLOOKUP($E95,'A-1 On-Site Habitat Baseline'!$D$1:$O$258,12,FALSE)),"",(VLOOKUP($E95,'A-1 On-Site Habitat Baseline'!$D$1:$O$258,12,FALSE))))</f>
        <v/>
      </c>
      <c r="N95" s="393" t="str">
        <f>IF(E95="","",IF(ISNA(VLOOKUP($E95,'A-1 On-Site Habitat Baseline'!$D$1:$X$258,14,FALSE)),"",(VLOOKUP($E95,'A-1 On-Site Habitat Baseline'!$D$1:$X$258,14,FALSE))))</f>
        <v/>
      </c>
      <c r="O95" s="386" t="str">
        <f>IF(E95="","",IF(ISNA(VLOOKUP($E95,'A-1 On-Site Habitat Baseline'!$D$1:$X$258,16,FALSE)),"",(VLOOKUP($E95,'A-1 On-Site Habitat Baseline'!$D$1:$X$258,13,FALSE))))</f>
        <v/>
      </c>
      <c r="P95" s="192" t="str">
        <f>IFERROR(INDEX('G-1 All Habitats'!$AG$3:$AG$17,MATCH(Q95,'G-1 All Habitats'!$AF$3:$AF$17,0)),"")</f>
        <v/>
      </c>
      <c r="Q95" s="193" t="str">
        <f t="shared" si="13"/>
        <v/>
      </c>
      <c r="R95" s="193" t="str">
        <f t="shared" si="13"/>
        <v/>
      </c>
      <c r="S95" s="306" t="str">
        <f>IFERROR(INDEX('G-1 All Habitats'!$B$3:$B$134,MATCH(R95,'G-1 All Habitats'!$A$3:$A$134,0)),"")</f>
        <v/>
      </c>
      <c r="T95" s="362" t="str">
        <f t="shared" si="14"/>
        <v/>
      </c>
      <c r="U95" s="363" t="str">
        <f t="shared" si="15"/>
        <v/>
      </c>
      <c r="V95" s="398" t="str">
        <f t="shared" si="11"/>
        <v/>
      </c>
      <c r="W95" s="382" t="str">
        <f>IF(S95="","",VLOOKUP(S95,'G-1 All Habitats'!$B$2:$M$134,10,FALSE))</f>
        <v/>
      </c>
      <c r="X95" s="382" t="str">
        <f>IFERROR(VLOOKUP(W95,'G-1 All Habitats'!$V$3:$W$7,2,FALSE),"")</f>
        <v/>
      </c>
      <c r="Y95" s="61"/>
      <c r="Z95" s="386" t="str">
        <f>IFERROR(INDEX('G-8 Condition Look up'!$A$3:$H$135,MATCH(S95,'G-8 Condition Look up'!$A$3:$A$135,0),MATCH(Y95,'G-8 Condition Look up'!$A$3:$H$3,0)),"")</f>
        <v/>
      </c>
      <c r="AA95" s="54"/>
      <c r="AB95" s="382" t="str">
        <f>IF(AA95="","",IF(VLOOKUP(AA95,'G-3 Multipliers'!$L$3:$N$6,2,FALSE)=0,"Spatial Data Missing ⚠",VLOOKUP(AA95,'G-3 Multipliers'!$L$3:$N$6,2,FALSE)))</f>
        <v/>
      </c>
      <c r="AC95" s="386" t="str">
        <f>IF(AA95="","",IF(VLOOKUP(AA95,'G-3 Multipliers'!$L$3:$N$6,3,FALSE)=0,"Spatial Data Missing ⚠",VLOOKUP(AA95,'G-3 Multipliers'!$L$3:$N$6,3,FALSE)))</f>
        <v/>
      </c>
      <c r="AD95" s="400" t="str">
        <f t="shared" si="12"/>
        <v/>
      </c>
      <c r="AE95" s="63"/>
      <c r="AF95" s="63"/>
      <c r="AG95" s="370" t="str">
        <f t="shared" si="16"/>
        <v/>
      </c>
      <c r="AH95" s="383" t="str">
        <f t="shared" si="17"/>
        <v/>
      </c>
      <c r="AI95" s="384" t="str">
        <f>IF(AH95="Check Data","Check Data",IFERROR(VLOOKUP(AH95,'G-4 Temporal multipliers'!$A$4:$C$36,3,FALSE),""))</f>
        <v/>
      </c>
      <c r="AJ95" s="362" t="str">
        <f>IF(S95="","",VLOOKUP(S95,'G-3 Multipliers'!$A$2:$E$134,4,FALSE))</f>
        <v/>
      </c>
      <c r="AK95" s="370" t="str">
        <f t="shared" si="18"/>
        <v/>
      </c>
      <c r="AL95" s="370" t="str">
        <f t="shared" si="19"/>
        <v/>
      </c>
      <c r="AM95" s="401" t="str">
        <f>IFERROR(IF(F95="","",IF(AH95="Check Data ⚠","Check Data ⚠",VLOOKUP(AL95, 'G-3 Multipliers'!$P$2:$Q$6,2,FALSE))),"")</f>
        <v/>
      </c>
      <c r="AN95" s="376" t="str">
        <f t="shared" si="20"/>
        <v/>
      </c>
      <c r="AO95" s="194"/>
      <c r="AP95" s="195"/>
      <c r="AQ95" s="120"/>
    </row>
    <row r="96" spans="1:43">
      <c r="A96" s="35" t="str">
        <f>IF(E96="","",IF(ISNA(VLOOKUP($E96,'A-1 On-Site Habitat Baseline'!$D$1:$O$258,2,FALSE)),"",(VLOOKUP($E96,'A-1 On-Site Habitat Baseline'!$D$1:$O$258,2,FALSE))))</f>
        <v/>
      </c>
      <c r="B96" s="35" t="str">
        <f>IF(E96="","",IF(ISNA(VLOOKUP($E96,'A-1 On-Site Habitat Baseline'!$D$1:$O$258,3,FALSE)),"",(VLOOKUP($E96,'A-1 On-Site Habitat Baseline'!$D$1:$O$258,3,FALSE))))</f>
        <v/>
      </c>
      <c r="C96" s="35" t="str">
        <f>IFERROR(INDEX('G-8 Condition Look up'!$I$4:$I$135,MATCH(S96,'G-8 Condition Look up'!$A$4:$A$135,0)),"")</f>
        <v/>
      </c>
      <c r="E96" s="392" t="str">
        <f>'A-1 On-Site Habitat Baseline'!AL95</f>
        <v/>
      </c>
      <c r="F96" s="382" t="str">
        <f>IF(E96="","",IF(ISNA(VLOOKUP($E96,'A-1 On-Site Habitat Baseline'!$D$1:$O$258,4,FALSE)),"",(VLOOKUP($E96,'A-1 On-Site Habitat Baseline'!$D$1:$O$258,4,FALSE))))</f>
        <v/>
      </c>
      <c r="G96" s="382" t="str">
        <f>IF(E96="","",IF(ISNA(VLOOKUP($E96,'A-1 On-Site Habitat Baseline'!$D$1:$O$258,5,FALSE)),"",(VLOOKUP($E96,'A-1 On-Site Habitat Baseline'!$D$1:$O$258,5,FALSE))))</f>
        <v/>
      </c>
      <c r="H96" s="382" t="str">
        <f>IF(E96="","",IF(ISNA(VLOOKUP($E96,'A-1 On-Site Habitat Baseline'!$D$1:$O$258,6,FALSE)),"",(VLOOKUP($E96,'A-1 On-Site Habitat Baseline'!$D$1:$O$258,6,FALSE))))</f>
        <v/>
      </c>
      <c r="I96" s="382" t="str">
        <f>IF(E96="","",IF(ISNA(VLOOKUP($E96,'A-1 On-Site Habitat Baseline'!$D$1:$O$258,7,FALSE)),"",(VLOOKUP($E96,'A-1 On-Site Habitat Baseline'!$D$1:$O$258,7,FALSE))))</f>
        <v/>
      </c>
      <c r="J96" s="382" t="str">
        <f>IF(E96="","",IF(ISNA(VLOOKUP($E96,'A-1 On-Site Habitat Baseline'!$D$1:$O$258,8,FALSE)),"",(VLOOKUP($E96,'A-1 On-Site Habitat Baseline'!$D$1:$O$258,8,FALSE))))</f>
        <v/>
      </c>
      <c r="K96" s="382" t="str">
        <f>IF(E96="","",IF(ISNA(VLOOKUP($E96,'A-1 On-Site Habitat Baseline'!$D$1:$O$258,9,FALSE)),"",(VLOOKUP($E96,'A-1 On-Site Habitat Baseline'!$D$1:$O$258,9,FALSE))))</f>
        <v/>
      </c>
      <c r="L96" s="382" t="str">
        <f>IF(E96="","",IF(ISNA(VLOOKUP($E96,'A-1 On-Site Habitat Baseline'!$D$1:$O$258,11,FALSE)),"",(VLOOKUP($E96,'A-1 On-Site Habitat Baseline'!$D$1:$O$258,11,FALSE))))</f>
        <v/>
      </c>
      <c r="M96" s="382" t="str">
        <f>IF(E96="","",IF(ISNA(VLOOKUP($E96,'A-1 On-Site Habitat Baseline'!$D$1:$O$258,12,FALSE)),"",(VLOOKUP($E96,'A-1 On-Site Habitat Baseline'!$D$1:$O$258,12,FALSE))))</f>
        <v/>
      </c>
      <c r="N96" s="393" t="str">
        <f>IF(E96="","",IF(ISNA(VLOOKUP($E96,'A-1 On-Site Habitat Baseline'!$D$1:$X$258,14,FALSE)),"",(VLOOKUP($E96,'A-1 On-Site Habitat Baseline'!$D$1:$X$258,14,FALSE))))</f>
        <v/>
      </c>
      <c r="O96" s="386" t="str">
        <f>IF(E96="","",IF(ISNA(VLOOKUP($E96,'A-1 On-Site Habitat Baseline'!$D$1:$X$258,16,FALSE)),"",(VLOOKUP($E96,'A-1 On-Site Habitat Baseline'!$D$1:$X$258,13,FALSE))))</f>
        <v/>
      </c>
      <c r="P96" s="192" t="str">
        <f>IFERROR(INDEX('G-1 All Habitats'!$AG$3:$AG$17,MATCH(Q96,'G-1 All Habitats'!$AF$3:$AF$17,0)),"")</f>
        <v/>
      </c>
      <c r="Q96" s="193" t="str">
        <f t="shared" si="13"/>
        <v/>
      </c>
      <c r="R96" s="193" t="str">
        <f t="shared" si="13"/>
        <v/>
      </c>
      <c r="S96" s="306" t="str">
        <f>IFERROR(INDEX('G-1 All Habitats'!$B$3:$B$134,MATCH(R96,'G-1 All Habitats'!$A$3:$A$134,0)),"")</f>
        <v/>
      </c>
      <c r="T96" s="362" t="str">
        <f t="shared" si="14"/>
        <v/>
      </c>
      <c r="U96" s="363" t="str">
        <f t="shared" si="15"/>
        <v/>
      </c>
      <c r="V96" s="398" t="str">
        <f t="shared" si="11"/>
        <v/>
      </c>
      <c r="W96" s="382" t="str">
        <f>IF(S96="","",VLOOKUP(S96,'G-1 All Habitats'!$B$2:$M$134,10,FALSE))</f>
        <v/>
      </c>
      <c r="X96" s="382" t="str">
        <f>IFERROR(VLOOKUP(W96,'G-1 All Habitats'!$V$3:$W$7,2,FALSE),"")</f>
        <v/>
      </c>
      <c r="Y96" s="61"/>
      <c r="Z96" s="386" t="str">
        <f>IFERROR(INDEX('G-8 Condition Look up'!$A$3:$H$135,MATCH(S96,'G-8 Condition Look up'!$A$3:$A$135,0),MATCH(Y96,'G-8 Condition Look up'!$A$3:$H$3,0)),"")</f>
        <v/>
      </c>
      <c r="AA96" s="54"/>
      <c r="AB96" s="382" t="str">
        <f>IF(AA96="","",IF(VLOOKUP(AA96,'G-3 Multipliers'!$L$3:$N$6,2,FALSE)=0,"Spatial Data Missing ⚠",VLOOKUP(AA96,'G-3 Multipliers'!$L$3:$N$6,2,FALSE)))</f>
        <v/>
      </c>
      <c r="AC96" s="386" t="str">
        <f>IF(AA96="","",IF(VLOOKUP(AA96,'G-3 Multipliers'!$L$3:$N$6,3,FALSE)=0,"Spatial Data Missing ⚠",VLOOKUP(AA96,'G-3 Multipliers'!$L$3:$N$6,3,FALSE)))</f>
        <v/>
      </c>
      <c r="AD96" s="400" t="str">
        <f t="shared" si="12"/>
        <v/>
      </c>
      <c r="AE96" s="63"/>
      <c r="AF96" s="63"/>
      <c r="AG96" s="370" t="str">
        <f t="shared" si="16"/>
        <v/>
      </c>
      <c r="AH96" s="383" t="str">
        <f t="shared" si="17"/>
        <v/>
      </c>
      <c r="AI96" s="384" t="str">
        <f>IF(AH96="Check Data","Check Data",IFERROR(VLOOKUP(AH96,'G-4 Temporal multipliers'!$A$4:$C$36,3,FALSE),""))</f>
        <v/>
      </c>
      <c r="AJ96" s="362" t="str">
        <f>IF(S96="","",VLOOKUP(S96,'G-3 Multipliers'!$A$2:$E$134,4,FALSE))</f>
        <v/>
      </c>
      <c r="AK96" s="370" t="str">
        <f t="shared" si="18"/>
        <v/>
      </c>
      <c r="AL96" s="370" t="str">
        <f t="shared" si="19"/>
        <v/>
      </c>
      <c r="AM96" s="401" t="str">
        <f>IFERROR(IF(F96="","",IF(AH96="Check Data ⚠","Check Data ⚠",VLOOKUP(AL96, 'G-3 Multipliers'!$P$2:$Q$6,2,FALSE))),"")</f>
        <v/>
      </c>
      <c r="AN96" s="376" t="str">
        <f t="shared" si="20"/>
        <v/>
      </c>
      <c r="AO96" s="194"/>
      <c r="AP96" s="195"/>
      <c r="AQ96" s="120"/>
    </row>
    <row r="97" spans="1:43">
      <c r="A97" s="35" t="str">
        <f>IF(E97="","",IF(ISNA(VLOOKUP($E97,'A-1 On-Site Habitat Baseline'!$D$1:$O$258,2,FALSE)),"",(VLOOKUP($E97,'A-1 On-Site Habitat Baseline'!$D$1:$O$258,2,FALSE))))</f>
        <v/>
      </c>
      <c r="B97" s="35" t="str">
        <f>IF(E97="","",IF(ISNA(VLOOKUP($E97,'A-1 On-Site Habitat Baseline'!$D$1:$O$258,3,FALSE)),"",(VLOOKUP($E97,'A-1 On-Site Habitat Baseline'!$D$1:$O$258,3,FALSE))))</f>
        <v/>
      </c>
      <c r="C97" s="35" t="str">
        <f>IFERROR(INDEX('G-8 Condition Look up'!$I$4:$I$135,MATCH(S97,'G-8 Condition Look up'!$A$4:$A$135,0)),"")</f>
        <v/>
      </c>
      <c r="E97" s="392" t="str">
        <f>'A-1 On-Site Habitat Baseline'!AL96</f>
        <v/>
      </c>
      <c r="F97" s="382" t="str">
        <f>IF(E97="","",IF(ISNA(VLOOKUP($E97,'A-1 On-Site Habitat Baseline'!$D$1:$O$258,4,FALSE)),"",(VLOOKUP($E97,'A-1 On-Site Habitat Baseline'!$D$1:$O$258,4,FALSE))))</f>
        <v/>
      </c>
      <c r="G97" s="382" t="str">
        <f>IF(E97="","",IF(ISNA(VLOOKUP($E97,'A-1 On-Site Habitat Baseline'!$D$1:$O$258,5,FALSE)),"",(VLOOKUP($E97,'A-1 On-Site Habitat Baseline'!$D$1:$O$258,5,FALSE))))</f>
        <v/>
      </c>
      <c r="H97" s="382" t="str">
        <f>IF(E97="","",IF(ISNA(VLOOKUP($E97,'A-1 On-Site Habitat Baseline'!$D$1:$O$258,6,FALSE)),"",(VLOOKUP($E97,'A-1 On-Site Habitat Baseline'!$D$1:$O$258,6,FALSE))))</f>
        <v/>
      </c>
      <c r="I97" s="382" t="str">
        <f>IF(E97="","",IF(ISNA(VLOOKUP($E97,'A-1 On-Site Habitat Baseline'!$D$1:$O$258,7,FALSE)),"",(VLOOKUP($E97,'A-1 On-Site Habitat Baseline'!$D$1:$O$258,7,FALSE))))</f>
        <v/>
      </c>
      <c r="J97" s="382" t="str">
        <f>IF(E97="","",IF(ISNA(VLOOKUP($E97,'A-1 On-Site Habitat Baseline'!$D$1:$O$258,8,FALSE)),"",(VLOOKUP($E97,'A-1 On-Site Habitat Baseline'!$D$1:$O$258,8,FALSE))))</f>
        <v/>
      </c>
      <c r="K97" s="382" t="str">
        <f>IF(E97="","",IF(ISNA(VLOOKUP($E97,'A-1 On-Site Habitat Baseline'!$D$1:$O$258,9,FALSE)),"",(VLOOKUP($E97,'A-1 On-Site Habitat Baseline'!$D$1:$O$258,9,FALSE))))</f>
        <v/>
      </c>
      <c r="L97" s="382" t="str">
        <f>IF(E97="","",IF(ISNA(VLOOKUP($E97,'A-1 On-Site Habitat Baseline'!$D$1:$O$258,11,FALSE)),"",(VLOOKUP($E97,'A-1 On-Site Habitat Baseline'!$D$1:$O$258,11,FALSE))))</f>
        <v/>
      </c>
      <c r="M97" s="382" t="str">
        <f>IF(E97="","",IF(ISNA(VLOOKUP($E97,'A-1 On-Site Habitat Baseline'!$D$1:$O$258,12,FALSE)),"",(VLOOKUP($E97,'A-1 On-Site Habitat Baseline'!$D$1:$O$258,12,FALSE))))</f>
        <v/>
      </c>
      <c r="N97" s="393" t="str">
        <f>IF(E97="","",IF(ISNA(VLOOKUP($E97,'A-1 On-Site Habitat Baseline'!$D$1:$X$258,14,FALSE)),"",(VLOOKUP($E97,'A-1 On-Site Habitat Baseline'!$D$1:$X$258,14,FALSE))))</f>
        <v/>
      </c>
      <c r="O97" s="386" t="str">
        <f>IF(E97="","",IF(ISNA(VLOOKUP($E97,'A-1 On-Site Habitat Baseline'!$D$1:$X$258,16,FALSE)),"",(VLOOKUP($E97,'A-1 On-Site Habitat Baseline'!$D$1:$X$258,13,FALSE))))</f>
        <v/>
      </c>
      <c r="P97" s="192" t="str">
        <f>IFERROR(INDEX('G-1 All Habitats'!$AG$3:$AG$17,MATCH(Q97,'G-1 All Habitats'!$AF$3:$AF$17,0)),"")</f>
        <v/>
      </c>
      <c r="Q97" s="193" t="str">
        <f t="shared" si="13"/>
        <v/>
      </c>
      <c r="R97" s="193" t="str">
        <f t="shared" si="13"/>
        <v/>
      </c>
      <c r="S97" s="306" t="str">
        <f>IFERROR(INDEX('G-1 All Habitats'!$B$3:$B$134,MATCH(R97,'G-1 All Habitats'!$A$3:$A$134,0)),"")</f>
        <v/>
      </c>
      <c r="T97" s="362" t="str">
        <f t="shared" si="14"/>
        <v/>
      </c>
      <c r="U97" s="363" t="str">
        <f t="shared" si="15"/>
        <v/>
      </c>
      <c r="V97" s="398" t="str">
        <f t="shared" si="11"/>
        <v/>
      </c>
      <c r="W97" s="382" t="str">
        <f>IF(S97="","",VLOOKUP(S97,'G-1 All Habitats'!$B$2:$M$134,10,FALSE))</f>
        <v/>
      </c>
      <c r="X97" s="382" t="str">
        <f>IFERROR(VLOOKUP(W97,'G-1 All Habitats'!$V$3:$W$7,2,FALSE),"")</f>
        <v/>
      </c>
      <c r="Y97" s="61"/>
      <c r="Z97" s="386" t="str">
        <f>IFERROR(INDEX('G-8 Condition Look up'!$A$3:$H$135,MATCH(S97,'G-8 Condition Look up'!$A$3:$A$135,0),MATCH(Y97,'G-8 Condition Look up'!$A$3:$H$3,0)),"")</f>
        <v/>
      </c>
      <c r="AA97" s="54"/>
      <c r="AB97" s="382" t="str">
        <f>IF(AA97="","",IF(VLOOKUP(AA97,'G-3 Multipliers'!$L$3:$N$6,2,FALSE)=0,"Spatial Data Missing ⚠",VLOOKUP(AA97,'G-3 Multipliers'!$L$3:$N$6,2,FALSE)))</f>
        <v/>
      </c>
      <c r="AC97" s="386" t="str">
        <f>IF(AA97="","",IF(VLOOKUP(AA97,'G-3 Multipliers'!$L$3:$N$6,3,FALSE)=0,"Spatial Data Missing ⚠",VLOOKUP(AA97,'G-3 Multipliers'!$L$3:$N$6,3,FALSE)))</f>
        <v/>
      </c>
      <c r="AD97" s="400" t="str">
        <f t="shared" si="12"/>
        <v/>
      </c>
      <c r="AE97" s="63"/>
      <c r="AF97" s="63"/>
      <c r="AG97" s="370" t="str">
        <f t="shared" si="16"/>
        <v/>
      </c>
      <c r="AH97" s="383" t="str">
        <f t="shared" si="17"/>
        <v/>
      </c>
      <c r="AI97" s="384" t="str">
        <f>IF(AH97="Check Data","Check Data",IFERROR(VLOOKUP(AH97,'G-4 Temporal multipliers'!$A$4:$C$36,3,FALSE),""))</f>
        <v/>
      </c>
      <c r="AJ97" s="362" t="str">
        <f>IF(S97="","",VLOOKUP(S97,'G-3 Multipliers'!$A$2:$E$134,4,FALSE))</f>
        <v/>
      </c>
      <c r="AK97" s="370" t="str">
        <f t="shared" si="18"/>
        <v/>
      </c>
      <c r="AL97" s="370" t="str">
        <f t="shared" si="19"/>
        <v/>
      </c>
      <c r="AM97" s="401" t="str">
        <f>IFERROR(IF(F97="","",IF(AH97="Check Data ⚠","Check Data ⚠",VLOOKUP(AL97, 'G-3 Multipliers'!$P$2:$Q$6,2,FALSE))),"")</f>
        <v/>
      </c>
      <c r="AN97" s="376" t="str">
        <f t="shared" si="20"/>
        <v/>
      </c>
      <c r="AO97" s="194"/>
      <c r="AP97" s="195"/>
      <c r="AQ97" s="120"/>
    </row>
    <row r="98" spans="1:43">
      <c r="A98" s="35" t="str">
        <f>IF(E98="","",IF(ISNA(VLOOKUP($E98,'A-1 On-Site Habitat Baseline'!$D$1:$O$258,2,FALSE)),"",(VLOOKUP($E98,'A-1 On-Site Habitat Baseline'!$D$1:$O$258,2,FALSE))))</f>
        <v/>
      </c>
      <c r="B98" s="35" t="str">
        <f>IF(E98="","",IF(ISNA(VLOOKUP($E98,'A-1 On-Site Habitat Baseline'!$D$1:$O$258,3,FALSE)),"",(VLOOKUP($E98,'A-1 On-Site Habitat Baseline'!$D$1:$O$258,3,FALSE))))</f>
        <v/>
      </c>
      <c r="C98" s="35" t="str">
        <f>IFERROR(INDEX('G-8 Condition Look up'!$I$4:$I$135,MATCH(S98,'G-8 Condition Look up'!$A$4:$A$135,0)),"")</f>
        <v/>
      </c>
      <c r="E98" s="392" t="str">
        <f>'A-1 On-Site Habitat Baseline'!AL97</f>
        <v/>
      </c>
      <c r="F98" s="382" t="str">
        <f>IF(E98="","",IF(ISNA(VLOOKUP($E98,'A-1 On-Site Habitat Baseline'!$D$1:$O$258,4,FALSE)),"",(VLOOKUP($E98,'A-1 On-Site Habitat Baseline'!$D$1:$O$258,4,FALSE))))</f>
        <v/>
      </c>
      <c r="G98" s="382" t="str">
        <f>IF(E98="","",IF(ISNA(VLOOKUP($E98,'A-1 On-Site Habitat Baseline'!$D$1:$O$258,5,FALSE)),"",(VLOOKUP($E98,'A-1 On-Site Habitat Baseline'!$D$1:$O$258,5,FALSE))))</f>
        <v/>
      </c>
      <c r="H98" s="382" t="str">
        <f>IF(E98="","",IF(ISNA(VLOOKUP($E98,'A-1 On-Site Habitat Baseline'!$D$1:$O$258,6,FALSE)),"",(VLOOKUP($E98,'A-1 On-Site Habitat Baseline'!$D$1:$O$258,6,FALSE))))</f>
        <v/>
      </c>
      <c r="I98" s="382" t="str">
        <f>IF(E98="","",IF(ISNA(VLOOKUP($E98,'A-1 On-Site Habitat Baseline'!$D$1:$O$258,7,FALSE)),"",(VLOOKUP($E98,'A-1 On-Site Habitat Baseline'!$D$1:$O$258,7,FALSE))))</f>
        <v/>
      </c>
      <c r="J98" s="382" t="str">
        <f>IF(E98="","",IF(ISNA(VLOOKUP($E98,'A-1 On-Site Habitat Baseline'!$D$1:$O$258,8,FALSE)),"",(VLOOKUP($E98,'A-1 On-Site Habitat Baseline'!$D$1:$O$258,8,FALSE))))</f>
        <v/>
      </c>
      <c r="K98" s="382" t="str">
        <f>IF(E98="","",IF(ISNA(VLOOKUP($E98,'A-1 On-Site Habitat Baseline'!$D$1:$O$258,9,FALSE)),"",(VLOOKUP($E98,'A-1 On-Site Habitat Baseline'!$D$1:$O$258,9,FALSE))))</f>
        <v/>
      </c>
      <c r="L98" s="382" t="str">
        <f>IF(E98="","",IF(ISNA(VLOOKUP($E98,'A-1 On-Site Habitat Baseline'!$D$1:$O$258,11,FALSE)),"",(VLOOKUP($E98,'A-1 On-Site Habitat Baseline'!$D$1:$O$258,11,FALSE))))</f>
        <v/>
      </c>
      <c r="M98" s="382" t="str">
        <f>IF(E98="","",IF(ISNA(VLOOKUP($E98,'A-1 On-Site Habitat Baseline'!$D$1:$O$258,12,FALSE)),"",(VLOOKUP($E98,'A-1 On-Site Habitat Baseline'!$D$1:$O$258,12,FALSE))))</f>
        <v/>
      </c>
      <c r="N98" s="393" t="str">
        <f>IF(E98="","",IF(ISNA(VLOOKUP($E98,'A-1 On-Site Habitat Baseline'!$D$1:$X$258,14,FALSE)),"",(VLOOKUP($E98,'A-1 On-Site Habitat Baseline'!$D$1:$X$258,14,FALSE))))</f>
        <v/>
      </c>
      <c r="O98" s="386" t="str">
        <f>IF(E98="","",IF(ISNA(VLOOKUP($E98,'A-1 On-Site Habitat Baseline'!$D$1:$X$258,16,FALSE)),"",(VLOOKUP($E98,'A-1 On-Site Habitat Baseline'!$D$1:$X$258,13,FALSE))))</f>
        <v/>
      </c>
      <c r="P98" s="192" t="str">
        <f>IFERROR(INDEX('G-1 All Habitats'!$AG$3:$AG$17,MATCH(Q98,'G-1 All Habitats'!$AF$3:$AF$17,0)),"")</f>
        <v/>
      </c>
      <c r="Q98" s="193" t="str">
        <f t="shared" si="13"/>
        <v/>
      </c>
      <c r="R98" s="193" t="str">
        <f t="shared" si="13"/>
        <v/>
      </c>
      <c r="S98" s="306" t="str">
        <f>IFERROR(INDEX('G-1 All Habitats'!$B$3:$B$134,MATCH(R98,'G-1 All Habitats'!$A$3:$A$134,0)),"")</f>
        <v/>
      </c>
      <c r="T98" s="362" t="str">
        <f t="shared" si="14"/>
        <v/>
      </c>
      <c r="U98" s="363" t="str">
        <f t="shared" si="15"/>
        <v/>
      </c>
      <c r="V98" s="398" t="str">
        <f t="shared" si="11"/>
        <v/>
      </c>
      <c r="W98" s="382" t="str">
        <f>IF(S98="","",VLOOKUP(S98,'G-1 All Habitats'!$B$2:$M$134,10,FALSE))</f>
        <v/>
      </c>
      <c r="X98" s="382" t="str">
        <f>IFERROR(VLOOKUP(W98,'G-1 All Habitats'!$V$3:$W$7,2,FALSE),"")</f>
        <v/>
      </c>
      <c r="Y98" s="61"/>
      <c r="Z98" s="386" t="str">
        <f>IFERROR(INDEX('G-8 Condition Look up'!$A$3:$H$135,MATCH(S98,'G-8 Condition Look up'!$A$3:$A$135,0),MATCH(Y98,'G-8 Condition Look up'!$A$3:$H$3,0)),"")</f>
        <v/>
      </c>
      <c r="AA98" s="54"/>
      <c r="AB98" s="382" t="str">
        <f>IF(AA98="","",IF(VLOOKUP(AA98,'G-3 Multipliers'!$L$3:$N$6,2,FALSE)=0,"Spatial Data Missing ⚠",VLOOKUP(AA98,'G-3 Multipliers'!$L$3:$N$6,2,FALSE)))</f>
        <v/>
      </c>
      <c r="AC98" s="386" t="str">
        <f>IF(AA98="","",IF(VLOOKUP(AA98,'G-3 Multipliers'!$L$3:$N$6,3,FALSE)=0,"Spatial Data Missing ⚠",VLOOKUP(AA98,'G-3 Multipliers'!$L$3:$N$6,3,FALSE)))</f>
        <v/>
      </c>
      <c r="AD98" s="400" t="str">
        <f t="shared" si="12"/>
        <v/>
      </c>
      <c r="AE98" s="63"/>
      <c r="AF98" s="63"/>
      <c r="AG98" s="370" t="str">
        <f t="shared" si="16"/>
        <v/>
      </c>
      <c r="AH98" s="383" t="str">
        <f t="shared" si="17"/>
        <v/>
      </c>
      <c r="AI98" s="384" t="str">
        <f>IF(AH98="Check Data","Check Data",IFERROR(VLOOKUP(AH98,'G-4 Temporal multipliers'!$A$4:$C$36,3,FALSE),""))</f>
        <v/>
      </c>
      <c r="AJ98" s="362" t="str">
        <f>IF(S98="","",VLOOKUP(S98,'G-3 Multipliers'!$A$2:$E$134,4,FALSE))</f>
        <v/>
      </c>
      <c r="AK98" s="370" t="str">
        <f t="shared" si="18"/>
        <v/>
      </c>
      <c r="AL98" s="370" t="str">
        <f t="shared" si="19"/>
        <v/>
      </c>
      <c r="AM98" s="401" t="str">
        <f>IFERROR(IF(F98="","",IF(AH98="Check Data ⚠","Check Data ⚠",VLOOKUP(AL98, 'G-3 Multipliers'!$P$2:$Q$6,2,FALSE))),"")</f>
        <v/>
      </c>
      <c r="AN98" s="376" t="str">
        <f t="shared" si="20"/>
        <v/>
      </c>
      <c r="AO98" s="194"/>
      <c r="AP98" s="195"/>
      <c r="AQ98" s="120"/>
    </row>
    <row r="99" spans="1:43">
      <c r="A99" s="35" t="str">
        <f>IF(E99="","",IF(ISNA(VLOOKUP($E99,'A-1 On-Site Habitat Baseline'!$D$1:$O$258,2,FALSE)),"",(VLOOKUP($E99,'A-1 On-Site Habitat Baseline'!$D$1:$O$258,2,FALSE))))</f>
        <v/>
      </c>
      <c r="B99" s="35" t="str">
        <f>IF(E99="","",IF(ISNA(VLOOKUP($E99,'A-1 On-Site Habitat Baseline'!$D$1:$O$258,3,FALSE)),"",(VLOOKUP($E99,'A-1 On-Site Habitat Baseline'!$D$1:$O$258,3,FALSE))))</f>
        <v/>
      </c>
      <c r="C99" s="35" t="str">
        <f>IFERROR(INDEX('G-8 Condition Look up'!$I$4:$I$135,MATCH(S99,'G-8 Condition Look up'!$A$4:$A$135,0)),"")</f>
        <v/>
      </c>
      <c r="E99" s="392" t="str">
        <f>'A-1 On-Site Habitat Baseline'!AL98</f>
        <v/>
      </c>
      <c r="F99" s="382" t="str">
        <f>IF(E99="","",IF(ISNA(VLOOKUP($E99,'A-1 On-Site Habitat Baseline'!$D$1:$O$258,4,FALSE)),"",(VLOOKUP($E99,'A-1 On-Site Habitat Baseline'!$D$1:$O$258,4,FALSE))))</f>
        <v/>
      </c>
      <c r="G99" s="382" t="str">
        <f>IF(E99="","",IF(ISNA(VLOOKUP($E99,'A-1 On-Site Habitat Baseline'!$D$1:$O$258,5,FALSE)),"",(VLOOKUP($E99,'A-1 On-Site Habitat Baseline'!$D$1:$O$258,5,FALSE))))</f>
        <v/>
      </c>
      <c r="H99" s="382" t="str">
        <f>IF(E99="","",IF(ISNA(VLOOKUP($E99,'A-1 On-Site Habitat Baseline'!$D$1:$O$258,6,FALSE)),"",(VLOOKUP($E99,'A-1 On-Site Habitat Baseline'!$D$1:$O$258,6,FALSE))))</f>
        <v/>
      </c>
      <c r="I99" s="382" t="str">
        <f>IF(E99="","",IF(ISNA(VLOOKUP($E99,'A-1 On-Site Habitat Baseline'!$D$1:$O$258,7,FALSE)),"",(VLOOKUP($E99,'A-1 On-Site Habitat Baseline'!$D$1:$O$258,7,FALSE))))</f>
        <v/>
      </c>
      <c r="J99" s="382" t="str">
        <f>IF(E99="","",IF(ISNA(VLOOKUP($E99,'A-1 On-Site Habitat Baseline'!$D$1:$O$258,8,FALSE)),"",(VLOOKUP($E99,'A-1 On-Site Habitat Baseline'!$D$1:$O$258,8,FALSE))))</f>
        <v/>
      </c>
      <c r="K99" s="382" t="str">
        <f>IF(E99="","",IF(ISNA(VLOOKUP($E99,'A-1 On-Site Habitat Baseline'!$D$1:$O$258,9,FALSE)),"",(VLOOKUP($E99,'A-1 On-Site Habitat Baseline'!$D$1:$O$258,9,FALSE))))</f>
        <v/>
      </c>
      <c r="L99" s="382" t="str">
        <f>IF(E99="","",IF(ISNA(VLOOKUP($E99,'A-1 On-Site Habitat Baseline'!$D$1:$O$258,11,FALSE)),"",(VLOOKUP($E99,'A-1 On-Site Habitat Baseline'!$D$1:$O$258,11,FALSE))))</f>
        <v/>
      </c>
      <c r="M99" s="382" t="str">
        <f>IF(E99="","",IF(ISNA(VLOOKUP($E99,'A-1 On-Site Habitat Baseline'!$D$1:$O$258,12,FALSE)),"",(VLOOKUP($E99,'A-1 On-Site Habitat Baseline'!$D$1:$O$258,12,FALSE))))</f>
        <v/>
      </c>
      <c r="N99" s="393" t="str">
        <f>IF(E99="","",IF(ISNA(VLOOKUP($E99,'A-1 On-Site Habitat Baseline'!$D$1:$X$258,14,FALSE)),"",(VLOOKUP($E99,'A-1 On-Site Habitat Baseline'!$D$1:$X$258,14,FALSE))))</f>
        <v/>
      </c>
      <c r="O99" s="386" t="str">
        <f>IF(E99="","",IF(ISNA(VLOOKUP($E99,'A-1 On-Site Habitat Baseline'!$D$1:$X$258,16,FALSE)),"",(VLOOKUP($E99,'A-1 On-Site Habitat Baseline'!$D$1:$X$258,13,FALSE))))</f>
        <v/>
      </c>
      <c r="P99" s="192" t="str">
        <f>IFERROR(INDEX('G-1 All Habitats'!$AG$3:$AG$17,MATCH(Q99,'G-1 All Habitats'!$AF$3:$AF$17,0)),"")</f>
        <v/>
      </c>
      <c r="Q99" s="193" t="str">
        <f t="shared" si="13"/>
        <v/>
      </c>
      <c r="R99" s="193" t="str">
        <f t="shared" si="13"/>
        <v/>
      </c>
      <c r="S99" s="306" t="str">
        <f>IFERROR(INDEX('G-1 All Habitats'!$B$3:$B$134,MATCH(R99,'G-1 All Habitats'!$A$3:$A$134,0)),"")</f>
        <v/>
      </c>
      <c r="T99" s="362" t="str">
        <f t="shared" si="14"/>
        <v/>
      </c>
      <c r="U99" s="363" t="str">
        <f t="shared" si="15"/>
        <v/>
      </c>
      <c r="V99" s="398" t="str">
        <f t="shared" si="11"/>
        <v/>
      </c>
      <c r="W99" s="382" t="str">
        <f>IF(S99="","",VLOOKUP(S99,'G-1 All Habitats'!$B$2:$M$134,10,FALSE))</f>
        <v/>
      </c>
      <c r="X99" s="382" t="str">
        <f>IFERROR(VLOOKUP(W99,'G-1 All Habitats'!$V$3:$W$7,2,FALSE),"")</f>
        <v/>
      </c>
      <c r="Y99" s="61"/>
      <c r="Z99" s="386" t="str">
        <f>IFERROR(INDEX('G-8 Condition Look up'!$A$3:$H$135,MATCH(S99,'G-8 Condition Look up'!$A$3:$A$135,0),MATCH(Y99,'G-8 Condition Look up'!$A$3:$H$3,0)),"")</f>
        <v/>
      </c>
      <c r="AA99" s="54"/>
      <c r="AB99" s="382" t="str">
        <f>IF(AA99="","",IF(VLOOKUP(AA99,'G-3 Multipliers'!$L$3:$N$6,2,FALSE)=0,"Spatial Data Missing ⚠",VLOOKUP(AA99,'G-3 Multipliers'!$L$3:$N$6,2,FALSE)))</f>
        <v/>
      </c>
      <c r="AC99" s="386" t="str">
        <f>IF(AA99="","",IF(VLOOKUP(AA99,'G-3 Multipliers'!$L$3:$N$6,3,FALSE)=0,"Spatial Data Missing ⚠",VLOOKUP(AA99,'G-3 Multipliers'!$L$3:$N$6,3,FALSE)))</f>
        <v/>
      </c>
      <c r="AD99" s="400" t="str">
        <f t="shared" si="12"/>
        <v/>
      </c>
      <c r="AE99" s="63"/>
      <c r="AF99" s="63"/>
      <c r="AG99" s="370" t="str">
        <f t="shared" si="16"/>
        <v/>
      </c>
      <c r="AH99" s="383" t="str">
        <f t="shared" si="17"/>
        <v/>
      </c>
      <c r="AI99" s="384" t="str">
        <f>IF(AH99="Check Data","Check Data",IFERROR(VLOOKUP(AH99,'G-4 Temporal multipliers'!$A$4:$C$36,3,FALSE),""))</f>
        <v/>
      </c>
      <c r="AJ99" s="362" t="str">
        <f>IF(S99="","",VLOOKUP(S99,'G-3 Multipliers'!$A$2:$E$134,4,FALSE))</f>
        <v/>
      </c>
      <c r="AK99" s="370" t="str">
        <f t="shared" si="18"/>
        <v/>
      </c>
      <c r="AL99" s="370" t="str">
        <f t="shared" si="19"/>
        <v/>
      </c>
      <c r="AM99" s="401" t="str">
        <f>IFERROR(IF(F99="","",IF(AH99="Check Data ⚠","Check Data ⚠",VLOOKUP(AL99, 'G-3 Multipliers'!$P$2:$Q$6,2,FALSE))),"")</f>
        <v/>
      </c>
      <c r="AN99" s="376" t="str">
        <f t="shared" si="20"/>
        <v/>
      </c>
      <c r="AO99" s="194"/>
      <c r="AP99" s="195"/>
      <c r="AQ99" s="120"/>
    </row>
    <row r="100" spans="1:43">
      <c r="A100" s="35" t="str">
        <f>IF(E100="","",IF(ISNA(VLOOKUP($E100,'A-1 On-Site Habitat Baseline'!$D$1:$O$258,2,FALSE)),"",(VLOOKUP($E100,'A-1 On-Site Habitat Baseline'!$D$1:$O$258,2,FALSE))))</f>
        <v/>
      </c>
      <c r="B100" s="35" t="str">
        <f>IF(E100="","",IF(ISNA(VLOOKUP($E100,'A-1 On-Site Habitat Baseline'!$D$1:$O$258,3,FALSE)),"",(VLOOKUP($E100,'A-1 On-Site Habitat Baseline'!$D$1:$O$258,3,FALSE))))</f>
        <v/>
      </c>
      <c r="C100" s="35" t="str">
        <f>IFERROR(INDEX('G-8 Condition Look up'!$I$4:$I$135,MATCH(S100,'G-8 Condition Look up'!$A$4:$A$135,0)),"")</f>
        <v/>
      </c>
      <c r="E100" s="392" t="str">
        <f>'A-1 On-Site Habitat Baseline'!AL99</f>
        <v/>
      </c>
      <c r="F100" s="382" t="str">
        <f>IF(E100="","",IF(ISNA(VLOOKUP($E100,'A-1 On-Site Habitat Baseline'!$D$1:$O$258,4,FALSE)),"",(VLOOKUP($E100,'A-1 On-Site Habitat Baseline'!$D$1:$O$258,4,FALSE))))</f>
        <v/>
      </c>
      <c r="G100" s="382" t="str">
        <f>IF(E100="","",IF(ISNA(VLOOKUP($E100,'A-1 On-Site Habitat Baseline'!$D$1:$O$258,5,FALSE)),"",(VLOOKUP($E100,'A-1 On-Site Habitat Baseline'!$D$1:$O$258,5,FALSE))))</f>
        <v/>
      </c>
      <c r="H100" s="382" t="str">
        <f>IF(E100="","",IF(ISNA(VLOOKUP($E100,'A-1 On-Site Habitat Baseline'!$D$1:$O$258,6,FALSE)),"",(VLOOKUP($E100,'A-1 On-Site Habitat Baseline'!$D$1:$O$258,6,FALSE))))</f>
        <v/>
      </c>
      <c r="I100" s="382" t="str">
        <f>IF(E100="","",IF(ISNA(VLOOKUP($E100,'A-1 On-Site Habitat Baseline'!$D$1:$O$258,7,FALSE)),"",(VLOOKUP($E100,'A-1 On-Site Habitat Baseline'!$D$1:$O$258,7,FALSE))))</f>
        <v/>
      </c>
      <c r="J100" s="382" t="str">
        <f>IF(E100="","",IF(ISNA(VLOOKUP($E100,'A-1 On-Site Habitat Baseline'!$D$1:$O$258,8,FALSE)),"",(VLOOKUP($E100,'A-1 On-Site Habitat Baseline'!$D$1:$O$258,8,FALSE))))</f>
        <v/>
      </c>
      <c r="K100" s="382" t="str">
        <f>IF(E100="","",IF(ISNA(VLOOKUP($E100,'A-1 On-Site Habitat Baseline'!$D$1:$O$258,9,FALSE)),"",(VLOOKUP($E100,'A-1 On-Site Habitat Baseline'!$D$1:$O$258,9,FALSE))))</f>
        <v/>
      </c>
      <c r="L100" s="382" t="str">
        <f>IF(E100="","",IF(ISNA(VLOOKUP($E100,'A-1 On-Site Habitat Baseline'!$D$1:$O$258,11,FALSE)),"",(VLOOKUP($E100,'A-1 On-Site Habitat Baseline'!$D$1:$O$258,11,FALSE))))</f>
        <v/>
      </c>
      <c r="M100" s="382" t="str">
        <f>IF(E100="","",IF(ISNA(VLOOKUP($E100,'A-1 On-Site Habitat Baseline'!$D$1:$O$258,12,FALSE)),"",(VLOOKUP($E100,'A-1 On-Site Habitat Baseline'!$D$1:$O$258,12,FALSE))))</f>
        <v/>
      </c>
      <c r="N100" s="393" t="str">
        <f>IF(E100="","",IF(ISNA(VLOOKUP($E100,'A-1 On-Site Habitat Baseline'!$D$1:$X$258,14,FALSE)),"",(VLOOKUP($E100,'A-1 On-Site Habitat Baseline'!$D$1:$X$258,14,FALSE))))</f>
        <v/>
      </c>
      <c r="O100" s="386" t="str">
        <f>IF(E100="","",IF(ISNA(VLOOKUP($E100,'A-1 On-Site Habitat Baseline'!$D$1:$X$258,16,FALSE)),"",(VLOOKUP($E100,'A-1 On-Site Habitat Baseline'!$D$1:$X$258,13,FALSE))))</f>
        <v/>
      </c>
      <c r="P100" s="192" t="str">
        <f>IFERROR(INDEX('G-1 All Habitats'!$AG$3:$AG$17,MATCH(Q100,'G-1 All Habitats'!$AF$3:$AF$17,0)),"")</f>
        <v/>
      </c>
      <c r="Q100" s="193" t="str">
        <f t="shared" si="13"/>
        <v/>
      </c>
      <c r="R100" s="193" t="str">
        <f t="shared" si="13"/>
        <v/>
      </c>
      <c r="S100" s="306" t="str">
        <f>IFERROR(INDEX('G-1 All Habitats'!$B$3:$B$134,MATCH(R100,'G-1 All Habitats'!$A$3:$A$134,0)),"")</f>
        <v/>
      </c>
      <c r="T100" s="362" t="str">
        <f t="shared" si="14"/>
        <v/>
      </c>
      <c r="U100" s="363" t="str">
        <f t="shared" si="15"/>
        <v/>
      </c>
      <c r="V100" s="398" t="str">
        <f t="shared" si="11"/>
        <v/>
      </c>
      <c r="W100" s="382" t="str">
        <f>IF(S100="","",VLOOKUP(S100,'G-1 All Habitats'!$B$2:$M$134,10,FALSE))</f>
        <v/>
      </c>
      <c r="X100" s="382" t="str">
        <f>IFERROR(VLOOKUP(W100,'G-1 All Habitats'!$V$3:$W$7,2,FALSE),"")</f>
        <v/>
      </c>
      <c r="Y100" s="61"/>
      <c r="Z100" s="386" t="str">
        <f>IFERROR(INDEX('G-8 Condition Look up'!$A$3:$H$135,MATCH(S100,'G-8 Condition Look up'!$A$3:$A$135,0),MATCH(Y100,'G-8 Condition Look up'!$A$3:$H$3,0)),"")</f>
        <v/>
      </c>
      <c r="AA100" s="54"/>
      <c r="AB100" s="382" t="str">
        <f>IF(AA100="","",IF(VLOOKUP(AA100,'G-3 Multipliers'!$L$3:$N$6,2,FALSE)=0,"Spatial Data Missing ⚠",VLOOKUP(AA100,'G-3 Multipliers'!$L$3:$N$6,2,FALSE)))</f>
        <v/>
      </c>
      <c r="AC100" s="386" t="str">
        <f>IF(AA100="","",IF(VLOOKUP(AA100,'G-3 Multipliers'!$L$3:$N$6,3,FALSE)=0,"Spatial Data Missing ⚠",VLOOKUP(AA100,'G-3 Multipliers'!$L$3:$N$6,3,FALSE)))</f>
        <v/>
      </c>
      <c r="AD100" s="400" t="str">
        <f t="shared" si="12"/>
        <v/>
      </c>
      <c r="AE100" s="63"/>
      <c r="AF100" s="63"/>
      <c r="AG100" s="370" t="str">
        <f t="shared" si="16"/>
        <v/>
      </c>
      <c r="AH100" s="383" t="str">
        <f t="shared" si="17"/>
        <v/>
      </c>
      <c r="AI100" s="384" t="str">
        <f>IF(AH100="Check Data","Check Data",IFERROR(VLOOKUP(AH100,'G-4 Temporal multipliers'!$A$4:$C$36,3,FALSE),""))</f>
        <v/>
      </c>
      <c r="AJ100" s="362" t="str">
        <f>IF(S100="","",VLOOKUP(S100,'G-3 Multipliers'!$A$2:$E$134,4,FALSE))</f>
        <v/>
      </c>
      <c r="AK100" s="370" t="str">
        <f t="shared" si="18"/>
        <v/>
      </c>
      <c r="AL100" s="370" t="str">
        <f t="shared" si="19"/>
        <v/>
      </c>
      <c r="AM100" s="401" t="str">
        <f>IFERROR(IF(F100="","",IF(AH100="Check Data ⚠","Check Data ⚠",VLOOKUP(AL100, 'G-3 Multipliers'!$P$2:$Q$6,2,FALSE))),"")</f>
        <v/>
      </c>
      <c r="AN100" s="376" t="str">
        <f t="shared" si="20"/>
        <v/>
      </c>
      <c r="AO100" s="194"/>
      <c r="AP100" s="195"/>
      <c r="AQ100" s="120"/>
    </row>
    <row r="101" spans="1:43">
      <c r="A101" s="35" t="str">
        <f>IF(E101="","",IF(ISNA(VLOOKUP($E101,'A-1 On-Site Habitat Baseline'!$D$1:$O$258,2,FALSE)),"",(VLOOKUP($E101,'A-1 On-Site Habitat Baseline'!$D$1:$O$258,2,FALSE))))</f>
        <v/>
      </c>
      <c r="B101" s="35" t="str">
        <f>IF(E101="","",IF(ISNA(VLOOKUP($E101,'A-1 On-Site Habitat Baseline'!$D$1:$O$258,3,FALSE)),"",(VLOOKUP($E101,'A-1 On-Site Habitat Baseline'!$D$1:$O$258,3,FALSE))))</f>
        <v/>
      </c>
      <c r="C101" s="35" t="str">
        <f>IFERROR(INDEX('G-8 Condition Look up'!$I$4:$I$135,MATCH(S101,'G-8 Condition Look up'!$A$4:$A$135,0)),"")</f>
        <v/>
      </c>
      <c r="E101" s="392" t="str">
        <f>'A-1 On-Site Habitat Baseline'!AL100</f>
        <v/>
      </c>
      <c r="F101" s="382" t="str">
        <f>IF(E101="","",IF(ISNA(VLOOKUP($E101,'A-1 On-Site Habitat Baseline'!$D$1:$O$258,4,FALSE)),"",(VLOOKUP($E101,'A-1 On-Site Habitat Baseline'!$D$1:$O$258,4,FALSE))))</f>
        <v/>
      </c>
      <c r="G101" s="382" t="str">
        <f>IF(E101="","",IF(ISNA(VLOOKUP($E101,'A-1 On-Site Habitat Baseline'!$D$1:$O$258,5,FALSE)),"",(VLOOKUP($E101,'A-1 On-Site Habitat Baseline'!$D$1:$O$258,5,FALSE))))</f>
        <v/>
      </c>
      <c r="H101" s="382" t="str">
        <f>IF(E101="","",IF(ISNA(VLOOKUP($E101,'A-1 On-Site Habitat Baseline'!$D$1:$O$258,6,FALSE)),"",(VLOOKUP($E101,'A-1 On-Site Habitat Baseline'!$D$1:$O$258,6,FALSE))))</f>
        <v/>
      </c>
      <c r="I101" s="382" t="str">
        <f>IF(E101="","",IF(ISNA(VLOOKUP($E101,'A-1 On-Site Habitat Baseline'!$D$1:$O$258,7,FALSE)),"",(VLOOKUP($E101,'A-1 On-Site Habitat Baseline'!$D$1:$O$258,7,FALSE))))</f>
        <v/>
      </c>
      <c r="J101" s="382" t="str">
        <f>IF(E101="","",IF(ISNA(VLOOKUP($E101,'A-1 On-Site Habitat Baseline'!$D$1:$O$258,8,FALSE)),"",(VLOOKUP($E101,'A-1 On-Site Habitat Baseline'!$D$1:$O$258,8,FALSE))))</f>
        <v/>
      </c>
      <c r="K101" s="382" t="str">
        <f>IF(E101="","",IF(ISNA(VLOOKUP($E101,'A-1 On-Site Habitat Baseline'!$D$1:$O$258,9,FALSE)),"",(VLOOKUP($E101,'A-1 On-Site Habitat Baseline'!$D$1:$O$258,9,FALSE))))</f>
        <v/>
      </c>
      <c r="L101" s="382" t="str">
        <f>IF(E101="","",IF(ISNA(VLOOKUP($E101,'A-1 On-Site Habitat Baseline'!$D$1:$O$258,11,FALSE)),"",(VLOOKUP($E101,'A-1 On-Site Habitat Baseline'!$D$1:$O$258,11,FALSE))))</f>
        <v/>
      </c>
      <c r="M101" s="382" t="str">
        <f>IF(E101="","",IF(ISNA(VLOOKUP($E101,'A-1 On-Site Habitat Baseline'!$D$1:$O$258,12,FALSE)),"",(VLOOKUP($E101,'A-1 On-Site Habitat Baseline'!$D$1:$O$258,12,FALSE))))</f>
        <v/>
      </c>
      <c r="N101" s="393" t="str">
        <f>IF(E101="","",IF(ISNA(VLOOKUP($E101,'A-1 On-Site Habitat Baseline'!$D$1:$X$258,14,FALSE)),"",(VLOOKUP($E101,'A-1 On-Site Habitat Baseline'!$D$1:$X$258,14,FALSE))))</f>
        <v/>
      </c>
      <c r="O101" s="386" t="str">
        <f>IF(E101="","",IF(ISNA(VLOOKUP($E101,'A-1 On-Site Habitat Baseline'!$D$1:$X$258,16,FALSE)),"",(VLOOKUP($E101,'A-1 On-Site Habitat Baseline'!$D$1:$X$258,13,FALSE))))</f>
        <v/>
      </c>
      <c r="P101" s="192" t="str">
        <f>IFERROR(INDEX('G-1 All Habitats'!$AG$3:$AG$17,MATCH(Q101,'G-1 All Habitats'!$AF$3:$AF$17,0)),"")</f>
        <v/>
      </c>
      <c r="Q101" s="193" t="str">
        <f t="shared" si="13"/>
        <v/>
      </c>
      <c r="R101" s="193" t="str">
        <f t="shared" si="13"/>
        <v/>
      </c>
      <c r="S101" s="306" t="str">
        <f>IFERROR(INDEX('G-1 All Habitats'!$B$3:$B$134,MATCH(R101,'G-1 All Habitats'!$A$3:$A$134,0)),"")</f>
        <v/>
      </c>
      <c r="T101" s="362" t="str">
        <f t="shared" si="14"/>
        <v/>
      </c>
      <c r="U101" s="363" t="str">
        <f t="shared" si="15"/>
        <v/>
      </c>
      <c r="V101" s="398" t="str">
        <f t="shared" si="11"/>
        <v/>
      </c>
      <c r="W101" s="382" t="str">
        <f>IF(S101="","",VLOOKUP(S101,'G-1 All Habitats'!$B$2:$M$134,10,FALSE))</f>
        <v/>
      </c>
      <c r="X101" s="382" t="str">
        <f>IFERROR(VLOOKUP(W101,'G-1 All Habitats'!$V$3:$W$7,2,FALSE),"")</f>
        <v/>
      </c>
      <c r="Y101" s="61"/>
      <c r="Z101" s="386" t="str">
        <f>IFERROR(INDEX('G-8 Condition Look up'!$A$3:$H$135,MATCH(S101,'G-8 Condition Look up'!$A$3:$A$135,0),MATCH(Y101,'G-8 Condition Look up'!$A$3:$H$3,0)),"")</f>
        <v/>
      </c>
      <c r="AA101" s="54"/>
      <c r="AB101" s="382" t="str">
        <f>IF(AA101="","",IF(VLOOKUP(AA101,'G-3 Multipliers'!$L$3:$N$6,2,FALSE)=0,"Spatial Data Missing ⚠",VLOOKUP(AA101,'G-3 Multipliers'!$L$3:$N$6,2,FALSE)))</f>
        <v/>
      </c>
      <c r="AC101" s="386" t="str">
        <f>IF(AA101="","",IF(VLOOKUP(AA101,'G-3 Multipliers'!$L$3:$N$6,3,FALSE)=0,"Spatial Data Missing ⚠",VLOOKUP(AA101,'G-3 Multipliers'!$L$3:$N$6,3,FALSE)))</f>
        <v/>
      </c>
      <c r="AD101" s="400" t="str">
        <f t="shared" si="12"/>
        <v/>
      </c>
      <c r="AE101" s="63"/>
      <c r="AF101" s="63"/>
      <c r="AG101" s="370" t="str">
        <f t="shared" si="16"/>
        <v/>
      </c>
      <c r="AH101" s="383" t="str">
        <f t="shared" si="17"/>
        <v/>
      </c>
      <c r="AI101" s="384" t="str">
        <f>IF(AH101="Check Data","Check Data",IFERROR(VLOOKUP(AH101,'G-4 Temporal multipliers'!$A$4:$C$36,3,FALSE),""))</f>
        <v/>
      </c>
      <c r="AJ101" s="362" t="str">
        <f>IF(S101="","",VLOOKUP(S101,'G-3 Multipliers'!$A$2:$E$134,4,FALSE))</f>
        <v/>
      </c>
      <c r="AK101" s="370" t="str">
        <f t="shared" si="18"/>
        <v/>
      </c>
      <c r="AL101" s="370" t="str">
        <f t="shared" si="19"/>
        <v/>
      </c>
      <c r="AM101" s="401" t="str">
        <f>IFERROR(IF(F101="","",IF(AH101="Check Data ⚠","Check Data ⚠",VLOOKUP(AL101, 'G-3 Multipliers'!$P$2:$Q$6,2,FALSE))),"")</f>
        <v/>
      </c>
      <c r="AN101" s="376" t="str">
        <f t="shared" si="20"/>
        <v/>
      </c>
      <c r="AO101" s="194"/>
      <c r="AP101" s="195"/>
      <c r="AQ101" s="120"/>
    </row>
    <row r="102" spans="1:43">
      <c r="A102" s="35" t="str">
        <f>IF(E102="","",IF(ISNA(VLOOKUP($E102,'A-1 On-Site Habitat Baseline'!$D$1:$O$258,2,FALSE)),"",(VLOOKUP($E102,'A-1 On-Site Habitat Baseline'!$D$1:$O$258,2,FALSE))))</f>
        <v/>
      </c>
      <c r="B102" s="35" t="str">
        <f>IF(E102="","",IF(ISNA(VLOOKUP($E102,'A-1 On-Site Habitat Baseline'!$D$1:$O$258,3,FALSE)),"",(VLOOKUP($E102,'A-1 On-Site Habitat Baseline'!$D$1:$O$258,3,FALSE))))</f>
        <v/>
      </c>
      <c r="C102" s="35" t="str">
        <f>IFERROR(INDEX('G-8 Condition Look up'!$I$4:$I$135,MATCH(S102,'G-8 Condition Look up'!$A$4:$A$135,0)),"")</f>
        <v/>
      </c>
      <c r="E102" s="392" t="str">
        <f>'A-1 On-Site Habitat Baseline'!AL101</f>
        <v/>
      </c>
      <c r="F102" s="382" t="str">
        <f>IF(E102="","",IF(ISNA(VLOOKUP($E102,'A-1 On-Site Habitat Baseline'!$D$1:$O$258,4,FALSE)),"",(VLOOKUP($E102,'A-1 On-Site Habitat Baseline'!$D$1:$O$258,4,FALSE))))</f>
        <v/>
      </c>
      <c r="G102" s="382" t="str">
        <f>IF(E102="","",IF(ISNA(VLOOKUP($E102,'A-1 On-Site Habitat Baseline'!$D$1:$O$258,5,FALSE)),"",(VLOOKUP($E102,'A-1 On-Site Habitat Baseline'!$D$1:$O$258,5,FALSE))))</f>
        <v/>
      </c>
      <c r="H102" s="382" t="str">
        <f>IF(E102="","",IF(ISNA(VLOOKUP($E102,'A-1 On-Site Habitat Baseline'!$D$1:$O$258,6,FALSE)),"",(VLOOKUP($E102,'A-1 On-Site Habitat Baseline'!$D$1:$O$258,6,FALSE))))</f>
        <v/>
      </c>
      <c r="I102" s="382" t="str">
        <f>IF(E102="","",IF(ISNA(VLOOKUP($E102,'A-1 On-Site Habitat Baseline'!$D$1:$O$258,7,FALSE)),"",(VLOOKUP($E102,'A-1 On-Site Habitat Baseline'!$D$1:$O$258,7,FALSE))))</f>
        <v/>
      </c>
      <c r="J102" s="382" t="str">
        <f>IF(E102="","",IF(ISNA(VLOOKUP($E102,'A-1 On-Site Habitat Baseline'!$D$1:$O$258,8,FALSE)),"",(VLOOKUP($E102,'A-1 On-Site Habitat Baseline'!$D$1:$O$258,8,FALSE))))</f>
        <v/>
      </c>
      <c r="K102" s="382" t="str">
        <f>IF(E102="","",IF(ISNA(VLOOKUP($E102,'A-1 On-Site Habitat Baseline'!$D$1:$O$258,9,FALSE)),"",(VLOOKUP($E102,'A-1 On-Site Habitat Baseline'!$D$1:$O$258,9,FALSE))))</f>
        <v/>
      </c>
      <c r="L102" s="382" t="str">
        <f>IF(E102="","",IF(ISNA(VLOOKUP($E102,'A-1 On-Site Habitat Baseline'!$D$1:$O$258,11,FALSE)),"",(VLOOKUP($E102,'A-1 On-Site Habitat Baseline'!$D$1:$O$258,11,FALSE))))</f>
        <v/>
      </c>
      <c r="M102" s="382" t="str">
        <f>IF(E102="","",IF(ISNA(VLOOKUP($E102,'A-1 On-Site Habitat Baseline'!$D$1:$O$258,12,FALSE)),"",(VLOOKUP($E102,'A-1 On-Site Habitat Baseline'!$D$1:$O$258,12,FALSE))))</f>
        <v/>
      </c>
      <c r="N102" s="393" t="str">
        <f>IF(E102="","",IF(ISNA(VLOOKUP($E102,'A-1 On-Site Habitat Baseline'!$D$1:$X$258,14,FALSE)),"",(VLOOKUP($E102,'A-1 On-Site Habitat Baseline'!$D$1:$X$258,14,FALSE))))</f>
        <v/>
      </c>
      <c r="O102" s="386" t="str">
        <f>IF(E102="","",IF(ISNA(VLOOKUP($E102,'A-1 On-Site Habitat Baseline'!$D$1:$X$258,16,FALSE)),"",(VLOOKUP($E102,'A-1 On-Site Habitat Baseline'!$D$1:$X$258,13,FALSE))))</f>
        <v/>
      </c>
      <c r="P102" s="192" t="str">
        <f>IFERROR(INDEX('G-1 All Habitats'!$AG$3:$AG$17,MATCH(Q102,'G-1 All Habitats'!$AF$3:$AF$17,0)),"")</f>
        <v/>
      </c>
      <c r="Q102" s="193" t="str">
        <f t="shared" si="13"/>
        <v/>
      </c>
      <c r="R102" s="193" t="str">
        <f t="shared" si="13"/>
        <v/>
      </c>
      <c r="S102" s="306" t="str">
        <f>IFERROR(INDEX('G-1 All Habitats'!$B$3:$B$134,MATCH(R102,'G-1 All Habitats'!$A$3:$A$134,0)),"")</f>
        <v/>
      </c>
      <c r="T102" s="362" t="str">
        <f t="shared" si="14"/>
        <v/>
      </c>
      <c r="U102" s="363" t="str">
        <f t="shared" si="15"/>
        <v/>
      </c>
      <c r="V102" s="398" t="str">
        <f t="shared" si="11"/>
        <v/>
      </c>
      <c r="W102" s="382" t="str">
        <f>IF(S102="","",VLOOKUP(S102,'G-1 All Habitats'!$B$2:$M$134,10,FALSE))</f>
        <v/>
      </c>
      <c r="X102" s="382" t="str">
        <f>IFERROR(VLOOKUP(W102,'G-1 All Habitats'!$V$3:$W$7,2,FALSE),"")</f>
        <v/>
      </c>
      <c r="Y102" s="61"/>
      <c r="Z102" s="386" t="str">
        <f>IFERROR(INDEX('G-8 Condition Look up'!$A$3:$H$135,MATCH(S102,'G-8 Condition Look up'!$A$3:$A$135,0),MATCH(Y102,'G-8 Condition Look up'!$A$3:$H$3,0)),"")</f>
        <v/>
      </c>
      <c r="AA102" s="54"/>
      <c r="AB102" s="382" t="str">
        <f>IF(AA102="","",IF(VLOOKUP(AA102,'G-3 Multipliers'!$L$3:$N$6,2,FALSE)=0,"Spatial Data Missing ⚠",VLOOKUP(AA102,'G-3 Multipliers'!$L$3:$N$6,2,FALSE)))</f>
        <v/>
      </c>
      <c r="AC102" s="386" t="str">
        <f>IF(AA102="","",IF(VLOOKUP(AA102,'G-3 Multipliers'!$L$3:$N$6,3,FALSE)=0,"Spatial Data Missing ⚠",VLOOKUP(AA102,'G-3 Multipliers'!$L$3:$N$6,3,FALSE)))</f>
        <v/>
      </c>
      <c r="AD102" s="400" t="str">
        <f t="shared" si="12"/>
        <v/>
      </c>
      <c r="AE102" s="63"/>
      <c r="AF102" s="63"/>
      <c r="AG102" s="370" t="str">
        <f t="shared" si="16"/>
        <v/>
      </c>
      <c r="AH102" s="383" t="str">
        <f t="shared" si="17"/>
        <v/>
      </c>
      <c r="AI102" s="384" t="str">
        <f>IF(AH102="Check Data","Check Data",IFERROR(VLOOKUP(AH102,'G-4 Temporal multipliers'!$A$4:$C$36,3,FALSE),""))</f>
        <v/>
      </c>
      <c r="AJ102" s="362" t="str">
        <f>IF(S102="","",VLOOKUP(S102,'G-3 Multipliers'!$A$2:$E$134,4,FALSE))</f>
        <v/>
      </c>
      <c r="AK102" s="370" t="str">
        <f t="shared" si="18"/>
        <v/>
      </c>
      <c r="AL102" s="370" t="str">
        <f t="shared" si="19"/>
        <v/>
      </c>
      <c r="AM102" s="401" t="str">
        <f>IFERROR(IF(F102="","",IF(AH102="Check Data ⚠","Check Data ⚠",VLOOKUP(AL102, 'G-3 Multipliers'!$P$2:$Q$6,2,FALSE))),"")</f>
        <v/>
      </c>
      <c r="AN102" s="376" t="str">
        <f t="shared" si="20"/>
        <v/>
      </c>
      <c r="AO102" s="194"/>
      <c r="AP102" s="195"/>
      <c r="AQ102" s="120"/>
    </row>
    <row r="103" spans="1:43">
      <c r="A103" s="35" t="str">
        <f>IF(E103="","",IF(ISNA(VLOOKUP($E103,'A-1 On-Site Habitat Baseline'!$D$1:$O$258,2,FALSE)),"",(VLOOKUP($E103,'A-1 On-Site Habitat Baseline'!$D$1:$O$258,2,FALSE))))</f>
        <v/>
      </c>
      <c r="B103" s="35" t="str">
        <f>IF(E103="","",IF(ISNA(VLOOKUP($E103,'A-1 On-Site Habitat Baseline'!$D$1:$O$258,3,FALSE)),"",(VLOOKUP($E103,'A-1 On-Site Habitat Baseline'!$D$1:$O$258,3,FALSE))))</f>
        <v/>
      </c>
      <c r="C103" s="35" t="str">
        <f>IFERROR(INDEX('G-8 Condition Look up'!$I$4:$I$135,MATCH(S103,'G-8 Condition Look up'!$A$4:$A$135,0)),"")</f>
        <v/>
      </c>
      <c r="E103" s="392" t="str">
        <f>'A-1 On-Site Habitat Baseline'!AL102</f>
        <v/>
      </c>
      <c r="F103" s="382" t="str">
        <f>IF(E103="","",IF(ISNA(VLOOKUP($E103,'A-1 On-Site Habitat Baseline'!$D$1:$O$258,4,FALSE)),"",(VLOOKUP($E103,'A-1 On-Site Habitat Baseline'!$D$1:$O$258,4,FALSE))))</f>
        <v/>
      </c>
      <c r="G103" s="382" t="str">
        <f>IF(E103="","",IF(ISNA(VLOOKUP($E103,'A-1 On-Site Habitat Baseline'!$D$1:$O$258,5,FALSE)),"",(VLOOKUP($E103,'A-1 On-Site Habitat Baseline'!$D$1:$O$258,5,FALSE))))</f>
        <v/>
      </c>
      <c r="H103" s="382" t="str">
        <f>IF(E103="","",IF(ISNA(VLOOKUP($E103,'A-1 On-Site Habitat Baseline'!$D$1:$O$258,6,FALSE)),"",(VLOOKUP($E103,'A-1 On-Site Habitat Baseline'!$D$1:$O$258,6,FALSE))))</f>
        <v/>
      </c>
      <c r="I103" s="382" t="str">
        <f>IF(E103="","",IF(ISNA(VLOOKUP($E103,'A-1 On-Site Habitat Baseline'!$D$1:$O$258,7,FALSE)),"",(VLOOKUP($E103,'A-1 On-Site Habitat Baseline'!$D$1:$O$258,7,FALSE))))</f>
        <v/>
      </c>
      <c r="J103" s="382" t="str">
        <f>IF(E103="","",IF(ISNA(VLOOKUP($E103,'A-1 On-Site Habitat Baseline'!$D$1:$O$258,8,FALSE)),"",(VLOOKUP($E103,'A-1 On-Site Habitat Baseline'!$D$1:$O$258,8,FALSE))))</f>
        <v/>
      </c>
      <c r="K103" s="382" t="str">
        <f>IF(E103="","",IF(ISNA(VLOOKUP($E103,'A-1 On-Site Habitat Baseline'!$D$1:$O$258,9,FALSE)),"",(VLOOKUP($E103,'A-1 On-Site Habitat Baseline'!$D$1:$O$258,9,FALSE))))</f>
        <v/>
      </c>
      <c r="L103" s="382" t="str">
        <f>IF(E103="","",IF(ISNA(VLOOKUP($E103,'A-1 On-Site Habitat Baseline'!$D$1:$O$258,11,FALSE)),"",(VLOOKUP($E103,'A-1 On-Site Habitat Baseline'!$D$1:$O$258,11,FALSE))))</f>
        <v/>
      </c>
      <c r="M103" s="382" t="str">
        <f>IF(E103="","",IF(ISNA(VLOOKUP($E103,'A-1 On-Site Habitat Baseline'!$D$1:$O$258,12,FALSE)),"",(VLOOKUP($E103,'A-1 On-Site Habitat Baseline'!$D$1:$O$258,12,FALSE))))</f>
        <v/>
      </c>
      <c r="N103" s="393" t="str">
        <f>IF(E103="","",IF(ISNA(VLOOKUP($E103,'A-1 On-Site Habitat Baseline'!$D$1:$X$258,14,FALSE)),"",(VLOOKUP($E103,'A-1 On-Site Habitat Baseline'!$D$1:$X$258,14,FALSE))))</f>
        <v/>
      </c>
      <c r="O103" s="386" t="str">
        <f>IF(E103="","",IF(ISNA(VLOOKUP($E103,'A-1 On-Site Habitat Baseline'!$D$1:$X$258,16,FALSE)),"",(VLOOKUP($E103,'A-1 On-Site Habitat Baseline'!$D$1:$X$258,13,FALSE))))</f>
        <v/>
      </c>
      <c r="P103" s="192" t="str">
        <f>IFERROR(INDEX('G-1 All Habitats'!$AG$3:$AG$17,MATCH(Q103,'G-1 All Habitats'!$AF$3:$AF$17,0)),"")</f>
        <v/>
      </c>
      <c r="Q103" s="193" t="str">
        <f t="shared" si="13"/>
        <v/>
      </c>
      <c r="R103" s="193" t="str">
        <f t="shared" si="13"/>
        <v/>
      </c>
      <c r="S103" s="306" t="str">
        <f>IFERROR(INDEX('G-1 All Habitats'!$B$3:$B$134,MATCH(R103,'G-1 All Habitats'!$A$3:$A$134,0)),"")</f>
        <v/>
      </c>
      <c r="T103" s="362" t="str">
        <f t="shared" si="14"/>
        <v/>
      </c>
      <c r="U103" s="363" t="str">
        <f t="shared" si="15"/>
        <v/>
      </c>
      <c r="V103" s="398" t="str">
        <f t="shared" si="11"/>
        <v/>
      </c>
      <c r="W103" s="382" t="str">
        <f>IF(S103="","",VLOOKUP(S103,'G-1 All Habitats'!$B$2:$M$134,10,FALSE))</f>
        <v/>
      </c>
      <c r="X103" s="382" t="str">
        <f>IFERROR(VLOOKUP(W103,'G-1 All Habitats'!$V$3:$W$7,2,FALSE),"")</f>
        <v/>
      </c>
      <c r="Y103" s="61"/>
      <c r="Z103" s="386" t="str">
        <f>IFERROR(INDEX('G-8 Condition Look up'!$A$3:$H$135,MATCH(S103,'G-8 Condition Look up'!$A$3:$A$135,0),MATCH(Y103,'G-8 Condition Look up'!$A$3:$H$3,0)),"")</f>
        <v/>
      </c>
      <c r="AA103" s="54"/>
      <c r="AB103" s="382" t="str">
        <f>IF(AA103="","",IF(VLOOKUP(AA103,'G-3 Multipliers'!$L$3:$N$6,2,FALSE)=0,"Spatial Data Missing ⚠",VLOOKUP(AA103,'G-3 Multipliers'!$L$3:$N$6,2,FALSE)))</f>
        <v/>
      </c>
      <c r="AC103" s="386" t="str">
        <f>IF(AA103="","",IF(VLOOKUP(AA103,'G-3 Multipliers'!$L$3:$N$6,3,FALSE)=0,"Spatial Data Missing ⚠",VLOOKUP(AA103,'G-3 Multipliers'!$L$3:$N$6,3,FALSE)))</f>
        <v/>
      </c>
      <c r="AD103" s="400" t="str">
        <f t="shared" si="12"/>
        <v/>
      </c>
      <c r="AE103" s="63"/>
      <c r="AF103" s="63"/>
      <c r="AG103" s="370" t="str">
        <f t="shared" si="16"/>
        <v/>
      </c>
      <c r="AH103" s="383" t="str">
        <f t="shared" si="17"/>
        <v/>
      </c>
      <c r="AI103" s="384" t="str">
        <f>IF(AH103="Check Data","Check Data",IFERROR(VLOOKUP(AH103,'G-4 Temporal multipliers'!$A$4:$C$36,3,FALSE),""))</f>
        <v/>
      </c>
      <c r="AJ103" s="362" t="str">
        <f>IF(S103="","",VLOOKUP(S103,'G-3 Multipliers'!$A$2:$E$134,4,FALSE))</f>
        <v/>
      </c>
      <c r="AK103" s="370" t="str">
        <f t="shared" si="18"/>
        <v/>
      </c>
      <c r="AL103" s="370" t="str">
        <f t="shared" si="19"/>
        <v/>
      </c>
      <c r="AM103" s="401" t="str">
        <f>IFERROR(IF(F103="","",IF(AH103="Check Data ⚠","Check Data ⚠",VLOOKUP(AL103, 'G-3 Multipliers'!$P$2:$Q$6,2,FALSE))),"")</f>
        <v/>
      </c>
      <c r="AN103" s="376" t="str">
        <f t="shared" si="20"/>
        <v/>
      </c>
      <c r="AO103" s="194"/>
      <c r="AP103" s="195"/>
      <c r="AQ103" s="120"/>
    </row>
    <row r="104" spans="1:43">
      <c r="A104" s="35" t="str">
        <f>IF(E104="","",IF(ISNA(VLOOKUP($E104,'A-1 On-Site Habitat Baseline'!$D$1:$O$258,2,FALSE)),"",(VLOOKUP($E104,'A-1 On-Site Habitat Baseline'!$D$1:$O$258,2,FALSE))))</f>
        <v/>
      </c>
      <c r="B104" s="35" t="str">
        <f>IF(E104="","",IF(ISNA(VLOOKUP($E104,'A-1 On-Site Habitat Baseline'!$D$1:$O$258,3,FALSE)),"",(VLOOKUP($E104,'A-1 On-Site Habitat Baseline'!$D$1:$O$258,3,FALSE))))</f>
        <v/>
      </c>
      <c r="C104" s="35" t="str">
        <f>IFERROR(INDEX('G-8 Condition Look up'!$I$4:$I$135,MATCH(S104,'G-8 Condition Look up'!$A$4:$A$135,0)),"")</f>
        <v/>
      </c>
      <c r="E104" s="392" t="str">
        <f>'A-1 On-Site Habitat Baseline'!AL103</f>
        <v/>
      </c>
      <c r="F104" s="382" t="str">
        <f>IF(E104="","",IF(ISNA(VLOOKUP($E104,'A-1 On-Site Habitat Baseline'!$D$1:$O$258,4,FALSE)),"",(VLOOKUP($E104,'A-1 On-Site Habitat Baseline'!$D$1:$O$258,4,FALSE))))</f>
        <v/>
      </c>
      <c r="G104" s="382" t="str">
        <f>IF(E104="","",IF(ISNA(VLOOKUP($E104,'A-1 On-Site Habitat Baseline'!$D$1:$O$258,5,FALSE)),"",(VLOOKUP($E104,'A-1 On-Site Habitat Baseline'!$D$1:$O$258,5,FALSE))))</f>
        <v/>
      </c>
      <c r="H104" s="382" t="str">
        <f>IF(E104="","",IF(ISNA(VLOOKUP($E104,'A-1 On-Site Habitat Baseline'!$D$1:$O$258,6,FALSE)),"",(VLOOKUP($E104,'A-1 On-Site Habitat Baseline'!$D$1:$O$258,6,FALSE))))</f>
        <v/>
      </c>
      <c r="I104" s="382" t="str">
        <f>IF(E104="","",IF(ISNA(VLOOKUP($E104,'A-1 On-Site Habitat Baseline'!$D$1:$O$258,7,FALSE)),"",(VLOOKUP($E104,'A-1 On-Site Habitat Baseline'!$D$1:$O$258,7,FALSE))))</f>
        <v/>
      </c>
      <c r="J104" s="382" t="str">
        <f>IF(E104="","",IF(ISNA(VLOOKUP($E104,'A-1 On-Site Habitat Baseline'!$D$1:$O$258,8,FALSE)),"",(VLOOKUP($E104,'A-1 On-Site Habitat Baseline'!$D$1:$O$258,8,FALSE))))</f>
        <v/>
      </c>
      <c r="K104" s="382" t="str">
        <f>IF(E104="","",IF(ISNA(VLOOKUP($E104,'A-1 On-Site Habitat Baseline'!$D$1:$O$258,9,FALSE)),"",(VLOOKUP($E104,'A-1 On-Site Habitat Baseline'!$D$1:$O$258,9,FALSE))))</f>
        <v/>
      </c>
      <c r="L104" s="382" t="str">
        <f>IF(E104="","",IF(ISNA(VLOOKUP($E104,'A-1 On-Site Habitat Baseline'!$D$1:$O$258,11,FALSE)),"",(VLOOKUP($E104,'A-1 On-Site Habitat Baseline'!$D$1:$O$258,11,FALSE))))</f>
        <v/>
      </c>
      <c r="M104" s="382" t="str">
        <f>IF(E104="","",IF(ISNA(VLOOKUP($E104,'A-1 On-Site Habitat Baseline'!$D$1:$O$258,12,FALSE)),"",(VLOOKUP($E104,'A-1 On-Site Habitat Baseline'!$D$1:$O$258,12,FALSE))))</f>
        <v/>
      </c>
      <c r="N104" s="393" t="str">
        <f>IF(E104="","",IF(ISNA(VLOOKUP($E104,'A-1 On-Site Habitat Baseline'!$D$1:$X$258,14,FALSE)),"",(VLOOKUP($E104,'A-1 On-Site Habitat Baseline'!$D$1:$X$258,14,FALSE))))</f>
        <v/>
      </c>
      <c r="O104" s="386" t="str">
        <f>IF(E104="","",IF(ISNA(VLOOKUP($E104,'A-1 On-Site Habitat Baseline'!$D$1:$X$258,16,FALSE)),"",(VLOOKUP($E104,'A-1 On-Site Habitat Baseline'!$D$1:$X$258,13,FALSE))))</f>
        <v/>
      </c>
      <c r="P104" s="192" t="str">
        <f>IFERROR(INDEX('G-1 All Habitats'!$AG$3:$AG$17,MATCH(Q104,'G-1 All Habitats'!$AF$3:$AF$17,0)),"")</f>
        <v/>
      </c>
      <c r="Q104" s="193" t="str">
        <f t="shared" si="13"/>
        <v/>
      </c>
      <c r="R104" s="193" t="str">
        <f t="shared" si="13"/>
        <v/>
      </c>
      <c r="S104" s="306" t="str">
        <f>IFERROR(INDEX('G-1 All Habitats'!$B$3:$B$134,MATCH(R104,'G-1 All Habitats'!$A$3:$A$134,0)),"")</f>
        <v/>
      </c>
      <c r="T104" s="362" t="str">
        <f t="shared" si="14"/>
        <v/>
      </c>
      <c r="U104" s="363" t="str">
        <f t="shared" si="15"/>
        <v/>
      </c>
      <c r="V104" s="398" t="str">
        <f t="shared" si="11"/>
        <v/>
      </c>
      <c r="W104" s="382" t="str">
        <f>IF(S104="","",VLOOKUP(S104,'G-1 All Habitats'!$B$2:$M$134,10,FALSE))</f>
        <v/>
      </c>
      <c r="X104" s="382" t="str">
        <f>IFERROR(VLOOKUP(W104,'G-1 All Habitats'!$V$3:$W$7,2,FALSE),"")</f>
        <v/>
      </c>
      <c r="Y104" s="61"/>
      <c r="Z104" s="386" t="str">
        <f>IFERROR(INDEX('G-8 Condition Look up'!$A$3:$H$135,MATCH(S104,'G-8 Condition Look up'!$A$3:$A$135,0),MATCH(Y104,'G-8 Condition Look up'!$A$3:$H$3,0)),"")</f>
        <v/>
      </c>
      <c r="AA104" s="54"/>
      <c r="AB104" s="382" t="str">
        <f>IF(AA104="","",IF(VLOOKUP(AA104,'G-3 Multipliers'!$L$3:$N$6,2,FALSE)=0,"Spatial Data Missing ⚠",VLOOKUP(AA104,'G-3 Multipliers'!$L$3:$N$6,2,FALSE)))</f>
        <v/>
      </c>
      <c r="AC104" s="386" t="str">
        <f>IF(AA104="","",IF(VLOOKUP(AA104,'G-3 Multipliers'!$L$3:$N$6,3,FALSE)=0,"Spatial Data Missing ⚠",VLOOKUP(AA104,'G-3 Multipliers'!$L$3:$N$6,3,FALSE)))</f>
        <v/>
      </c>
      <c r="AD104" s="400" t="str">
        <f t="shared" si="12"/>
        <v/>
      </c>
      <c r="AE104" s="63"/>
      <c r="AF104" s="63"/>
      <c r="AG104" s="370" t="str">
        <f t="shared" si="16"/>
        <v/>
      </c>
      <c r="AH104" s="383" t="str">
        <f t="shared" si="17"/>
        <v/>
      </c>
      <c r="AI104" s="384" t="str">
        <f>IF(AH104="Check Data","Check Data",IFERROR(VLOOKUP(AH104,'G-4 Temporal multipliers'!$A$4:$C$36,3,FALSE),""))</f>
        <v/>
      </c>
      <c r="AJ104" s="362" t="str">
        <f>IF(S104="","",VLOOKUP(S104,'G-3 Multipliers'!$A$2:$E$134,4,FALSE))</f>
        <v/>
      </c>
      <c r="AK104" s="370" t="str">
        <f t="shared" si="18"/>
        <v/>
      </c>
      <c r="AL104" s="370" t="str">
        <f t="shared" si="19"/>
        <v/>
      </c>
      <c r="AM104" s="401" t="str">
        <f>IFERROR(IF(F104="","",IF(AH104="Check Data ⚠","Check Data ⚠",VLOOKUP(AL104, 'G-3 Multipliers'!$P$2:$Q$6,2,FALSE))),"")</f>
        <v/>
      </c>
      <c r="AN104" s="376" t="str">
        <f t="shared" si="20"/>
        <v/>
      </c>
      <c r="AO104" s="194"/>
      <c r="AP104" s="195"/>
      <c r="AQ104" s="120"/>
    </row>
    <row r="105" spans="1:43">
      <c r="A105" s="35" t="str">
        <f>IF(E105="","",IF(ISNA(VLOOKUP($E105,'A-1 On-Site Habitat Baseline'!$D$1:$O$258,2,FALSE)),"",(VLOOKUP($E105,'A-1 On-Site Habitat Baseline'!$D$1:$O$258,2,FALSE))))</f>
        <v/>
      </c>
      <c r="B105" s="35" t="str">
        <f>IF(E105="","",IF(ISNA(VLOOKUP($E105,'A-1 On-Site Habitat Baseline'!$D$1:$O$258,3,FALSE)),"",(VLOOKUP($E105,'A-1 On-Site Habitat Baseline'!$D$1:$O$258,3,FALSE))))</f>
        <v/>
      </c>
      <c r="C105" s="35" t="str">
        <f>IFERROR(INDEX('G-8 Condition Look up'!$I$4:$I$135,MATCH(S105,'G-8 Condition Look up'!$A$4:$A$135,0)),"")</f>
        <v/>
      </c>
      <c r="E105" s="392" t="str">
        <f>'A-1 On-Site Habitat Baseline'!AL104</f>
        <v/>
      </c>
      <c r="F105" s="382" t="str">
        <f>IF(E105="","",IF(ISNA(VLOOKUP($E105,'A-1 On-Site Habitat Baseline'!$D$1:$O$258,4,FALSE)),"",(VLOOKUP($E105,'A-1 On-Site Habitat Baseline'!$D$1:$O$258,4,FALSE))))</f>
        <v/>
      </c>
      <c r="G105" s="382" t="str">
        <f>IF(E105="","",IF(ISNA(VLOOKUP($E105,'A-1 On-Site Habitat Baseline'!$D$1:$O$258,5,FALSE)),"",(VLOOKUP($E105,'A-1 On-Site Habitat Baseline'!$D$1:$O$258,5,FALSE))))</f>
        <v/>
      </c>
      <c r="H105" s="382" t="str">
        <f>IF(E105="","",IF(ISNA(VLOOKUP($E105,'A-1 On-Site Habitat Baseline'!$D$1:$O$258,6,FALSE)),"",(VLOOKUP($E105,'A-1 On-Site Habitat Baseline'!$D$1:$O$258,6,FALSE))))</f>
        <v/>
      </c>
      <c r="I105" s="382" t="str">
        <f>IF(E105="","",IF(ISNA(VLOOKUP($E105,'A-1 On-Site Habitat Baseline'!$D$1:$O$258,7,FALSE)),"",(VLOOKUP($E105,'A-1 On-Site Habitat Baseline'!$D$1:$O$258,7,FALSE))))</f>
        <v/>
      </c>
      <c r="J105" s="382" t="str">
        <f>IF(E105="","",IF(ISNA(VLOOKUP($E105,'A-1 On-Site Habitat Baseline'!$D$1:$O$258,8,FALSE)),"",(VLOOKUP($E105,'A-1 On-Site Habitat Baseline'!$D$1:$O$258,8,FALSE))))</f>
        <v/>
      </c>
      <c r="K105" s="382" t="str">
        <f>IF(E105="","",IF(ISNA(VLOOKUP($E105,'A-1 On-Site Habitat Baseline'!$D$1:$O$258,9,FALSE)),"",(VLOOKUP($E105,'A-1 On-Site Habitat Baseline'!$D$1:$O$258,9,FALSE))))</f>
        <v/>
      </c>
      <c r="L105" s="382" t="str">
        <f>IF(E105="","",IF(ISNA(VLOOKUP($E105,'A-1 On-Site Habitat Baseline'!$D$1:$O$258,11,FALSE)),"",(VLOOKUP($E105,'A-1 On-Site Habitat Baseline'!$D$1:$O$258,11,FALSE))))</f>
        <v/>
      </c>
      <c r="M105" s="382" t="str">
        <f>IF(E105="","",IF(ISNA(VLOOKUP($E105,'A-1 On-Site Habitat Baseline'!$D$1:$O$258,12,FALSE)),"",(VLOOKUP($E105,'A-1 On-Site Habitat Baseline'!$D$1:$O$258,12,FALSE))))</f>
        <v/>
      </c>
      <c r="N105" s="393" t="str">
        <f>IF(E105="","",IF(ISNA(VLOOKUP($E105,'A-1 On-Site Habitat Baseline'!$D$1:$X$258,14,FALSE)),"",(VLOOKUP($E105,'A-1 On-Site Habitat Baseline'!$D$1:$X$258,14,FALSE))))</f>
        <v/>
      </c>
      <c r="O105" s="386" t="str">
        <f>IF(E105="","",IF(ISNA(VLOOKUP($E105,'A-1 On-Site Habitat Baseline'!$D$1:$X$258,16,FALSE)),"",(VLOOKUP($E105,'A-1 On-Site Habitat Baseline'!$D$1:$X$258,13,FALSE))))</f>
        <v/>
      </c>
      <c r="P105" s="192" t="str">
        <f>IFERROR(INDEX('G-1 All Habitats'!$AG$3:$AG$17,MATCH(Q105,'G-1 All Habitats'!$AF$3:$AF$17,0)),"")</f>
        <v/>
      </c>
      <c r="Q105" s="193" t="str">
        <f t="shared" si="13"/>
        <v/>
      </c>
      <c r="R105" s="193" t="str">
        <f t="shared" si="13"/>
        <v/>
      </c>
      <c r="S105" s="306" t="str">
        <f>IFERROR(INDEX('G-1 All Habitats'!$B$3:$B$134,MATCH(R105,'G-1 All Habitats'!$A$3:$A$134,0)),"")</f>
        <v/>
      </c>
      <c r="T105" s="362" t="str">
        <f t="shared" si="14"/>
        <v/>
      </c>
      <c r="U105" s="363" t="str">
        <f t="shared" si="15"/>
        <v/>
      </c>
      <c r="V105" s="398" t="str">
        <f t="shared" si="11"/>
        <v/>
      </c>
      <c r="W105" s="382" t="str">
        <f>IF(S105="","",VLOOKUP(S105,'G-1 All Habitats'!$B$2:$M$134,10,FALSE))</f>
        <v/>
      </c>
      <c r="X105" s="382" t="str">
        <f>IFERROR(VLOOKUP(W105,'G-1 All Habitats'!$V$3:$W$7,2,FALSE),"")</f>
        <v/>
      </c>
      <c r="Y105" s="61"/>
      <c r="Z105" s="386" t="str">
        <f>IFERROR(INDEX('G-8 Condition Look up'!$A$3:$H$135,MATCH(S105,'G-8 Condition Look up'!$A$3:$A$135,0),MATCH(Y105,'G-8 Condition Look up'!$A$3:$H$3,0)),"")</f>
        <v/>
      </c>
      <c r="AA105" s="54"/>
      <c r="AB105" s="382" t="str">
        <f>IF(AA105="","",IF(VLOOKUP(AA105,'G-3 Multipliers'!$L$3:$N$6,2,FALSE)=0,"Spatial Data Missing ⚠",VLOOKUP(AA105,'G-3 Multipliers'!$L$3:$N$6,2,FALSE)))</f>
        <v/>
      </c>
      <c r="AC105" s="386" t="str">
        <f>IF(AA105="","",IF(VLOOKUP(AA105,'G-3 Multipliers'!$L$3:$N$6,3,FALSE)=0,"Spatial Data Missing ⚠",VLOOKUP(AA105,'G-3 Multipliers'!$L$3:$N$6,3,FALSE)))</f>
        <v/>
      </c>
      <c r="AD105" s="400" t="str">
        <f t="shared" si="12"/>
        <v/>
      </c>
      <c r="AE105" s="63"/>
      <c r="AF105" s="63"/>
      <c r="AG105" s="370" t="str">
        <f t="shared" si="16"/>
        <v/>
      </c>
      <c r="AH105" s="383" t="str">
        <f t="shared" si="17"/>
        <v/>
      </c>
      <c r="AI105" s="384" t="str">
        <f>IF(AH105="Check Data","Check Data",IFERROR(VLOOKUP(AH105,'G-4 Temporal multipliers'!$A$4:$C$36,3,FALSE),""))</f>
        <v/>
      </c>
      <c r="AJ105" s="362" t="str">
        <f>IF(S105="","",VLOOKUP(S105,'G-3 Multipliers'!$A$2:$E$134,4,FALSE))</f>
        <v/>
      </c>
      <c r="AK105" s="370" t="str">
        <f t="shared" si="18"/>
        <v/>
      </c>
      <c r="AL105" s="370" t="str">
        <f t="shared" si="19"/>
        <v/>
      </c>
      <c r="AM105" s="401" t="str">
        <f>IFERROR(IF(F105="","",IF(AH105="Check Data ⚠","Check Data ⚠",VLOOKUP(AL105, 'G-3 Multipliers'!$P$2:$Q$6,2,FALSE))),"")</f>
        <v/>
      </c>
      <c r="AN105" s="376" t="str">
        <f t="shared" si="20"/>
        <v/>
      </c>
      <c r="AO105" s="194"/>
      <c r="AP105" s="195"/>
      <c r="AQ105" s="120"/>
    </row>
    <row r="106" spans="1:43">
      <c r="A106" s="35" t="str">
        <f>IF(E106="","",IF(ISNA(VLOOKUP($E106,'A-1 On-Site Habitat Baseline'!$D$1:$O$258,2,FALSE)),"",(VLOOKUP($E106,'A-1 On-Site Habitat Baseline'!$D$1:$O$258,2,FALSE))))</f>
        <v/>
      </c>
      <c r="B106" s="35" t="str">
        <f>IF(E106="","",IF(ISNA(VLOOKUP($E106,'A-1 On-Site Habitat Baseline'!$D$1:$O$258,3,FALSE)),"",(VLOOKUP($E106,'A-1 On-Site Habitat Baseline'!$D$1:$O$258,3,FALSE))))</f>
        <v/>
      </c>
      <c r="C106" s="35" t="str">
        <f>IFERROR(INDEX('G-8 Condition Look up'!$I$4:$I$135,MATCH(S106,'G-8 Condition Look up'!$A$4:$A$135,0)),"")</f>
        <v/>
      </c>
      <c r="E106" s="392" t="str">
        <f>'A-1 On-Site Habitat Baseline'!AL105</f>
        <v/>
      </c>
      <c r="F106" s="382" t="str">
        <f>IF(E106="","",IF(ISNA(VLOOKUP($E106,'A-1 On-Site Habitat Baseline'!$D$1:$O$258,4,FALSE)),"",(VLOOKUP($E106,'A-1 On-Site Habitat Baseline'!$D$1:$O$258,4,FALSE))))</f>
        <v/>
      </c>
      <c r="G106" s="382" t="str">
        <f>IF(E106="","",IF(ISNA(VLOOKUP($E106,'A-1 On-Site Habitat Baseline'!$D$1:$O$258,5,FALSE)),"",(VLOOKUP($E106,'A-1 On-Site Habitat Baseline'!$D$1:$O$258,5,FALSE))))</f>
        <v/>
      </c>
      <c r="H106" s="382" t="str">
        <f>IF(E106="","",IF(ISNA(VLOOKUP($E106,'A-1 On-Site Habitat Baseline'!$D$1:$O$258,6,FALSE)),"",(VLOOKUP($E106,'A-1 On-Site Habitat Baseline'!$D$1:$O$258,6,FALSE))))</f>
        <v/>
      </c>
      <c r="I106" s="382" t="str">
        <f>IF(E106="","",IF(ISNA(VLOOKUP($E106,'A-1 On-Site Habitat Baseline'!$D$1:$O$258,7,FALSE)),"",(VLOOKUP($E106,'A-1 On-Site Habitat Baseline'!$D$1:$O$258,7,FALSE))))</f>
        <v/>
      </c>
      <c r="J106" s="382" t="str">
        <f>IF(E106="","",IF(ISNA(VLOOKUP($E106,'A-1 On-Site Habitat Baseline'!$D$1:$O$258,8,FALSE)),"",(VLOOKUP($E106,'A-1 On-Site Habitat Baseline'!$D$1:$O$258,8,FALSE))))</f>
        <v/>
      </c>
      <c r="K106" s="382" t="str">
        <f>IF(E106="","",IF(ISNA(VLOOKUP($E106,'A-1 On-Site Habitat Baseline'!$D$1:$O$258,9,FALSE)),"",(VLOOKUP($E106,'A-1 On-Site Habitat Baseline'!$D$1:$O$258,9,FALSE))))</f>
        <v/>
      </c>
      <c r="L106" s="382" t="str">
        <f>IF(E106="","",IF(ISNA(VLOOKUP($E106,'A-1 On-Site Habitat Baseline'!$D$1:$O$258,11,FALSE)),"",(VLOOKUP($E106,'A-1 On-Site Habitat Baseline'!$D$1:$O$258,11,FALSE))))</f>
        <v/>
      </c>
      <c r="M106" s="382" t="str">
        <f>IF(E106="","",IF(ISNA(VLOOKUP($E106,'A-1 On-Site Habitat Baseline'!$D$1:$O$258,12,FALSE)),"",(VLOOKUP($E106,'A-1 On-Site Habitat Baseline'!$D$1:$O$258,12,FALSE))))</f>
        <v/>
      </c>
      <c r="N106" s="393" t="str">
        <f>IF(E106="","",IF(ISNA(VLOOKUP($E106,'A-1 On-Site Habitat Baseline'!$D$1:$X$258,14,FALSE)),"",(VLOOKUP($E106,'A-1 On-Site Habitat Baseline'!$D$1:$X$258,14,FALSE))))</f>
        <v/>
      </c>
      <c r="O106" s="386" t="str">
        <f>IF(E106="","",IF(ISNA(VLOOKUP($E106,'A-1 On-Site Habitat Baseline'!$D$1:$X$258,16,FALSE)),"",(VLOOKUP($E106,'A-1 On-Site Habitat Baseline'!$D$1:$X$258,13,FALSE))))</f>
        <v/>
      </c>
      <c r="P106" s="192" t="str">
        <f>IFERROR(INDEX('G-1 All Habitats'!$AG$3:$AG$17,MATCH(Q106,'G-1 All Habitats'!$AF$3:$AF$17,0)),"")</f>
        <v/>
      </c>
      <c r="Q106" s="193" t="str">
        <f t="shared" si="13"/>
        <v/>
      </c>
      <c r="R106" s="193" t="str">
        <f t="shared" si="13"/>
        <v/>
      </c>
      <c r="S106" s="306" t="str">
        <f>IFERROR(INDEX('G-1 All Habitats'!$B$3:$B$134,MATCH(R106,'G-1 All Habitats'!$A$3:$A$134,0)),"")</f>
        <v/>
      </c>
      <c r="T106" s="362" t="str">
        <f t="shared" si="14"/>
        <v/>
      </c>
      <c r="U106" s="363" t="str">
        <f t="shared" si="15"/>
        <v/>
      </c>
      <c r="V106" s="398" t="str">
        <f t="shared" si="11"/>
        <v/>
      </c>
      <c r="W106" s="382" t="str">
        <f>IF(S106="","",VLOOKUP(S106,'G-1 All Habitats'!$B$2:$M$134,10,FALSE))</f>
        <v/>
      </c>
      <c r="X106" s="382" t="str">
        <f>IFERROR(VLOOKUP(W106,'G-1 All Habitats'!$V$3:$W$7,2,FALSE),"")</f>
        <v/>
      </c>
      <c r="Y106" s="61"/>
      <c r="Z106" s="386" t="str">
        <f>IFERROR(INDEX('G-8 Condition Look up'!$A$3:$H$135,MATCH(S106,'G-8 Condition Look up'!$A$3:$A$135,0),MATCH(Y106,'G-8 Condition Look up'!$A$3:$H$3,0)),"")</f>
        <v/>
      </c>
      <c r="AA106" s="54"/>
      <c r="AB106" s="382" t="str">
        <f>IF(AA106="","",IF(VLOOKUP(AA106,'G-3 Multipliers'!$L$3:$N$6,2,FALSE)=0,"Spatial Data Missing ⚠",VLOOKUP(AA106,'G-3 Multipliers'!$L$3:$N$6,2,FALSE)))</f>
        <v/>
      </c>
      <c r="AC106" s="386" t="str">
        <f>IF(AA106="","",IF(VLOOKUP(AA106,'G-3 Multipliers'!$L$3:$N$6,3,FALSE)=0,"Spatial Data Missing ⚠",VLOOKUP(AA106,'G-3 Multipliers'!$L$3:$N$6,3,FALSE)))</f>
        <v/>
      </c>
      <c r="AD106" s="400" t="str">
        <f t="shared" si="12"/>
        <v/>
      </c>
      <c r="AE106" s="63"/>
      <c r="AF106" s="63"/>
      <c r="AG106" s="370" t="str">
        <f t="shared" si="16"/>
        <v/>
      </c>
      <c r="AH106" s="383" t="str">
        <f t="shared" si="17"/>
        <v/>
      </c>
      <c r="AI106" s="384" t="str">
        <f>IF(AH106="Check Data","Check Data",IFERROR(VLOOKUP(AH106,'G-4 Temporal multipliers'!$A$4:$C$36,3,FALSE),""))</f>
        <v/>
      </c>
      <c r="AJ106" s="362" t="str">
        <f>IF(S106="","",VLOOKUP(S106,'G-3 Multipliers'!$A$2:$E$134,4,FALSE))</f>
        <v/>
      </c>
      <c r="AK106" s="370" t="str">
        <f t="shared" si="18"/>
        <v/>
      </c>
      <c r="AL106" s="370" t="str">
        <f t="shared" si="19"/>
        <v/>
      </c>
      <c r="AM106" s="401" t="str">
        <f>IFERROR(IF(F106="","",IF(AH106="Check Data ⚠","Check Data ⚠",VLOOKUP(AL106, 'G-3 Multipliers'!$P$2:$Q$6,2,FALSE))),"")</f>
        <v/>
      </c>
      <c r="AN106" s="376" t="str">
        <f t="shared" si="20"/>
        <v/>
      </c>
      <c r="AO106" s="194"/>
      <c r="AP106" s="195"/>
      <c r="AQ106" s="120"/>
    </row>
    <row r="107" spans="1:43">
      <c r="A107" s="35" t="str">
        <f>IF(E107="","",IF(ISNA(VLOOKUP($E107,'A-1 On-Site Habitat Baseline'!$D$1:$O$258,2,FALSE)),"",(VLOOKUP($E107,'A-1 On-Site Habitat Baseline'!$D$1:$O$258,2,FALSE))))</f>
        <v/>
      </c>
      <c r="B107" s="35" t="str">
        <f>IF(E107="","",IF(ISNA(VLOOKUP($E107,'A-1 On-Site Habitat Baseline'!$D$1:$O$258,3,FALSE)),"",(VLOOKUP($E107,'A-1 On-Site Habitat Baseline'!$D$1:$O$258,3,FALSE))))</f>
        <v/>
      </c>
      <c r="C107" s="35" t="str">
        <f>IFERROR(INDEX('G-8 Condition Look up'!$I$4:$I$135,MATCH(S107,'G-8 Condition Look up'!$A$4:$A$135,0)),"")</f>
        <v/>
      </c>
      <c r="E107" s="392" t="str">
        <f>'A-1 On-Site Habitat Baseline'!AL106</f>
        <v/>
      </c>
      <c r="F107" s="382" t="str">
        <f>IF(E107="","",IF(ISNA(VLOOKUP($E107,'A-1 On-Site Habitat Baseline'!$D$1:$O$258,4,FALSE)),"",(VLOOKUP($E107,'A-1 On-Site Habitat Baseline'!$D$1:$O$258,4,FALSE))))</f>
        <v/>
      </c>
      <c r="G107" s="382" t="str">
        <f>IF(E107="","",IF(ISNA(VLOOKUP($E107,'A-1 On-Site Habitat Baseline'!$D$1:$O$258,5,FALSE)),"",(VLOOKUP($E107,'A-1 On-Site Habitat Baseline'!$D$1:$O$258,5,FALSE))))</f>
        <v/>
      </c>
      <c r="H107" s="382" t="str">
        <f>IF(E107="","",IF(ISNA(VLOOKUP($E107,'A-1 On-Site Habitat Baseline'!$D$1:$O$258,6,FALSE)),"",(VLOOKUP($E107,'A-1 On-Site Habitat Baseline'!$D$1:$O$258,6,FALSE))))</f>
        <v/>
      </c>
      <c r="I107" s="382" t="str">
        <f>IF(E107="","",IF(ISNA(VLOOKUP($E107,'A-1 On-Site Habitat Baseline'!$D$1:$O$258,7,FALSE)),"",(VLOOKUP($E107,'A-1 On-Site Habitat Baseline'!$D$1:$O$258,7,FALSE))))</f>
        <v/>
      </c>
      <c r="J107" s="382" t="str">
        <f>IF(E107="","",IF(ISNA(VLOOKUP($E107,'A-1 On-Site Habitat Baseline'!$D$1:$O$258,8,FALSE)),"",(VLOOKUP($E107,'A-1 On-Site Habitat Baseline'!$D$1:$O$258,8,FALSE))))</f>
        <v/>
      </c>
      <c r="K107" s="382" t="str">
        <f>IF(E107="","",IF(ISNA(VLOOKUP($E107,'A-1 On-Site Habitat Baseline'!$D$1:$O$258,9,FALSE)),"",(VLOOKUP($E107,'A-1 On-Site Habitat Baseline'!$D$1:$O$258,9,FALSE))))</f>
        <v/>
      </c>
      <c r="L107" s="382" t="str">
        <f>IF(E107="","",IF(ISNA(VLOOKUP($E107,'A-1 On-Site Habitat Baseline'!$D$1:$O$258,11,FALSE)),"",(VLOOKUP($E107,'A-1 On-Site Habitat Baseline'!$D$1:$O$258,11,FALSE))))</f>
        <v/>
      </c>
      <c r="M107" s="382" t="str">
        <f>IF(E107="","",IF(ISNA(VLOOKUP($E107,'A-1 On-Site Habitat Baseline'!$D$1:$O$258,12,FALSE)),"",(VLOOKUP($E107,'A-1 On-Site Habitat Baseline'!$D$1:$O$258,12,FALSE))))</f>
        <v/>
      </c>
      <c r="N107" s="393" t="str">
        <f>IF(E107="","",IF(ISNA(VLOOKUP($E107,'A-1 On-Site Habitat Baseline'!$D$1:$X$258,14,FALSE)),"",(VLOOKUP($E107,'A-1 On-Site Habitat Baseline'!$D$1:$X$258,14,FALSE))))</f>
        <v/>
      </c>
      <c r="O107" s="386" t="str">
        <f>IF(E107="","",IF(ISNA(VLOOKUP($E107,'A-1 On-Site Habitat Baseline'!$D$1:$X$258,16,FALSE)),"",(VLOOKUP($E107,'A-1 On-Site Habitat Baseline'!$D$1:$X$258,13,FALSE))))</f>
        <v/>
      </c>
      <c r="P107" s="192" t="str">
        <f>IFERROR(INDEX('G-1 All Habitats'!$AG$3:$AG$17,MATCH(Q107,'G-1 All Habitats'!$AF$3:$AF$17,0)),"")</f>
        <v/>
      </c>
      <c r="Q107" s="193" t="str">
        <f t="shared" si="13"/>
        <v/>
      </c>
      <c r="R107" s="193" t="str">
        <f t="shared" si="13"/>
        <v/>
      </c>
      <c r="S107" s="306" t="str">
        <f>IFERROR(INDEX('G-1 All Habitats'!$B$3:$B$134,MATCH(R107,'G-1 All Habitats'!$A$3:$A$134,0)),"")</f>
        <v/>
      </c>
      <c r="T107" s="362" t="str">
        <f t="shared" si="14"/>
        <v/>
      </c>
      <c r="U107" s="363" t="str">
        <f t="shared" si="15"/>
        <v/>
      </c>
      <c r="V107" s="398" t="str">
        <f t="shared" si="11"/>
        <v/>
      </c>
      <c r="W107" s="382" t="str">
        <f>IF(S107="","",VLOOKUP(S107,'G-1 All Habitats'!$B$2:$M$134,10,FALSE))</f>
        <v/>
      </c>
      <c r="X107" s="382" t="str">
        <f>IFERROR(VLOOKUP(W107,'G-1 All Habitats'!$V$3:$W$7,2,FALSE),"")</f>
        <v/>
      </c>
      <c r="Y107" s="61"/>
      <c r="Z107" s="386" t="str">
        <f>IFERROR(INDEX('G-8 Condition Look up'!$A$3:$H$135,MATCH(S107,'G-8 Condition Look up'!$A$3:$A$135,0),MATCH(Y107,'G-8 Condition Look up'!$A$3:$H$3,0)),"")</f>
        <v/>
      </c>
      <c r="AA107" s="54"/>
      <c r="AB107" s="382" t="str">
        <f>IF(AA107="","",IF(VLOOKUP(AA107,'G-3 Multipliers'!$L$3:$N$6,2,FALSE)=0,"Spatial Data Missing ⚠",VLOOKUP(AA107,'G-3 Multipliers'!$L$3:$N$6,2,FALSE)))</f>
        <v/>
      </c>
      <c r="AC107" s="386" t="str">
        <f>IF(AA107="","",IF(VLOOKUP(AA107,'G-3 Multipliers'!$L$3:$N$6,3,FALSE)=0,"Spatial Data Missing ⚠",VLOOKUP(AA107,'G-3 Multipliers'!$L$3:$N$6,3,FALSE)))</f>
        <v/>
      </c>
      <c r="AD107" s="400" t="str">
        <f t="shared" si="12"/>
        <v/>
      </c>
      <c r="AE107" s="63"/>
      <c r="AF107" s="63"/>
      <c r="AG107" s="370" t="str">
        <f t="shared" si="16"/>
        <v/>
      </c>
      <c r="AH107" s="383" t="str">
        <f t="shared" si="17"/>
        <v/>
      </c>
      <c r="AI107" s="384" t="str">
        <f>IF(AH107="Check Data","Check Data",IFERROR(VLOOKUP(AH107,'G-4 Temporal multipliers'!$A$4:$C$36,3,FALSE),""))</f>
        <v/>
      </c>
      <c r="AJ107" s="362" t="str">
        <f>IF(S107="","",VLOOKUP(S107,'G-3 Multipliers'!$A$2:$E$134,4,FALSE))</f>
        <v/>
      </c>
      <c r="AK107" s="370" t="str">
        <f t="shared" si="18"/>
        <v/>
      </c>
      <c r="AL107" s="370" t="str">
        <f t="shared" si="19"/>
        <v/>
      </c>
      <c r="AM107" s="401" t="str">
        <f>IFERROR(IF(F107="","",IF(AH107="Check Data ⚠","Check Data ⚠",VLOOKUP(AL107, 'G-3 Multipliers'!$P$2:$Q$6,2,FALSE))),"")</f>
        <v/>
      </c>
      <c r="AN107" s="376" t="str">
        <f t="shared" si="20"/>
        <v/>
      </c>
      <c r="AO107" s="194"/>
      <c r="AP107" s="195"/>
      <c r="AQ107" s="120"/>
    </row>
    <row r="108" spans="1:43">
      <c r="A108" s="35" t="str">
        <f>IF(E108="","",IF(ISNA(VLOOKUP($E108,'A-1 On-Site Habitat Baseline'!$D$1:$O$258,2,FALSE)),"",(VLOOKUP($E108,'A-1 On-Site Habitat Baseline'!$D$1:$O$258,2,FALSE))))</f>
        <v/>
      </c>
      <c r="B108" s="35" t="str">
        <f>IF(E108="","",IF(ISNA(VLOOKUP($E108,'A-1 On-Site Habitat Baseline'!$D$1:$O$258,3,FALSE)),"",(VLOOKUP($E108,'A-1 On-Site Habitat Baseline'!$D$1:$O$258,3,FALSE))))</f>
        <v/>
      </c>
      <c r="C108" s="35" t="str">
        <f>IFERROR(INDEX('G-8 Condition Look up'!$I$4:$I$135,MATCH(S108,'G-8 Condition Look up'!$A$4:$A$135,0)),"")</f>
        <v/>
      </c>
      <c r="E108" s="392" t="str">
        <f>'A-1 On-Site Habitat Baseline'!AL107</f>
        <v/>
      </c>
      <c r="F108" s="382" t="str">
        <f>IF(E108="","",IF(ISNA(VLOOKUP($E108,'A-1 On-Site Habitat Baseline'!$D$1:$O$258,4,FALSE)),"",(VLOOKUP($E108,'A-1 On-Site Habitat Baseline'!$D$1:$O$258,4,FALSE))))</f>
        <v/>
      </c>
      <c r="G108" s="382" t="str">
        <f>IF(E108="","",IF(ISNA(VLOOKUP($E108,'A-1 On-Site Habitat Baseline'!$D$1:$O$258,5,FALSE)),"",(VLOOKUP($E108,'A-1 On-Site Habitat Baseline'!$D$1:$O$258,5,FALSE))))</f>
        <v/>
      </c>
      <c r="H108" s="382" t="str">
        <f>IF(E108="","",IF(ISNA(VLOOKUP($E108,'A-1 On-Site Habitat Baseline'!$D$1:$O$258,6,FALSE)),"",(VLOOKUP($E108,'A-1 On-Site Habitat Baseline'!$D$1:$O$258,6,FALSE))))</f>
        <v/>
      </c>
      <c r="I108" s="382" t="str">
        <f>IF(E108="","",IF(ISNA(VLOOKUP($E108,'A-1 On-Site Habitat Baseline'!$D$1:$O$258,7,FALSE)),"",(VLOOKUP($E108,'A-1 On-Site Habitat Baseline'!$D$1:$O$258,7,FALSE))))</f>
        <v/>
      </c>
      <c r="J108" s="382" t="str">
        <f>IF(E108="","",IF(ISNA(VLOOKUP($E108,'A-1 On-Site Habitat Baseline'!$D$1:$O$258,8,FALSE)),"",(VLOOKUP($E108,'A-1 On-Site Habitat Baseline'!$D$1:$O$258,8,FALSE))))</f>
        <v/>
      </c>
      <c r="K108" s="382" t="str">
        <f>IF(E108="","",IF(ISNA(VLOOKUP($E108,'A-1 On-Site Habitat Baseline'!$D$1:$O$258,9,FALSE)),"",(VLOOKUP($E108,'A-1 On-Site Habitat Baseline'!$D$1:$O$258,9,FALSE))))</f>
        <v/>
      </c>
      <c r="L108" s="382" t="str">
        <f>IF(E108="","",IF(ISNA(VLOOKUP($E108,'A-1 On-Site Habitat Baseline'!$D$1:$O$258,11,FALSE)),"",(VLOOKUP($E108,'A-1 On-Site Habitat Baseline'!$D$1:$O$258,11,FALSE))))</f>
        <v/>
      </c>
      <c r="M108" s="382" t="str">
        <f>IF(E108="","",IF(ISNA(VLOOKUP($E108,'A-1 On-Site Habitat Baseline'!$D$1:$O$258,12,FALSE)),"",(VLOOKUP($E108,'A-1 On-Site Habitat Baseline'!$D$1:$O$258,12,FALSE))))</f>
        <v/>
      </c>
      <c r="N108" s="393" t="str">
        <f>IF(E108="","",IF(ISNA(VLOOKUP($E108,'A-1 On-Site Habitat Baseline'!$D$1:$X$258,14,FALSE)),"",(VLOOKUP($E108,'A-1 On-Site Habitat Baseline'!$D$1:$X$258,14,FALSE))))</f>
        <v/>
      </c>
      <c r="O108" s="386" t="str">
        <f>IF(E108="","",IF(ISNA(VLOOKUP($E108,'A-1 On-Site Habitat Baseline'!$D$1:$X$258,16,FALSE)),"",(VLOOKUP($E108,'A-1 On-Site Habitat Baseline'!$D$1:$X$258,13,FALSE))))</f>
        <v/>
      </c>
      <c r="P108" s="192" t="str">
        <f>IFERROR(INDEX('G-1 All Habitats'!$AG$3:$AG$17,MATCH(Q108,'G-1 All Habitats'!$AF$3:$AF$17,0)),"")</f>
        <v/>
      </c>
      <c r="Q108" s="193" t="str">
        <f t="shared" si="13"/>
        <v/>
      </c>
      <c r="R108" s="193" t="str">
        <f t="shared" si="13"/>
        <v/>
      </c>
      <c r="S108" s="306" t="str">
        <f>IFERROR(INDEX('G-1 All Habitats'!$B$3:$B$134,MATCH(R108,'G-1 All Habitats'!$A$3:$A$134,0)),"")</f>
        <v/>
      </c>
      <c r="T108" s="362" t="str">
        <f t="shared" si="14"/>
        <v/>
      </c>
      <c r="U108" s="363" t="str">
        <f t="shared" si="15"/>
        <v/>
      </c>
      <c r="V108" s="398" t="str">
        <f t="shared" si="11"/>
        <v/>
      </c>
      <c r="W108" s="382" t="str">
        <f>IF(S108="","",VLOOKUP(S108,'G-1 All Habitats'!$B$2:$M$134,10,FALSE))</f>
        <v/>
      </c>
      <c r="X108" s="382" t="str">
        <f>IFERROR(VLOOKUP(W108,'G-1 All Habitats'!$V$3:$W$7,2,FALSE),"")</f>
        <v/>
      </c>
      <c r="Y108" s="61"/>
      <c r="Z108" s="386" t="str">
        <f>IFERROR(INDEX('G-8 Condition Look up'!$A$3:$H$135,MATCH(S108,'G-8 Condition Look up'!$A$3:$A$135,0),MATCH(Y108,'G-8 Condition Look up'!$A$3:$H$3,0)),"")</f>
        <v/>
      </c>
      <c r="AA108" s="54"/>
      <c r="AB108" s="382" t="str">
        <f>IF(AA108="","",IF(VLOOKUP(AA108,'G-3 Multipliers'!$L$3:$N$6,2,FALSE)=0,"Spatial Data Missing ⚠",VLOOKUP(AA108,'G-3 Multipliers'!$L$3:$N$6,2,FALSE)))</f>
        <v/>
      </c>
      <c r="AC108" s="386" t="str">
        <f>IF(AA108="","",IF(VLOOKUP(AA108,'G-3 Multipliers'!$L$3:$N$6,3,FALSE)=0,"Spatial Data Missing ⚠",VLOOKUP(AA108,'G-3 Multipliers'!$L$3:$N$6,3,FALSE)))</f>
        <v/>
      </c>
      <c r="AD108" s="400" t="str">
        <f t="shared" si="12"/>
        <v/>
      </c>
      <c r="AE108" s="63"/>
      <c r="AF108" s="63"/>
      <c r="AG108" s="370" t="str">
        <f t="shared" si="16"/>
        <v/>
      </c>
      <c r="AH108" s="383" t="str">
        <f t="shared" si="17"/>
        <v/>
      </c>
      <c r="AI108" s="384" t="str">
        <f>IF(AH108="Check Data","Check Data",IFERROR(VLOOKUP(AH108,'G-4 Temporal multipliers'!$A$4:$C$36,3,FALSE),""))</f>
        <v/>
      </c>
      <c r="AJ108" s="362" t="str">
        <f>IF(S108="","",VLOOKUP(S108,'G-3 Multipliers'!$A$2:$E$134,4,FALSE))</f>
        <v/>
      </c>
      <c r="AK108" s="370" t="str">
        <f t="shared" si="18"/>
        <v/>
      </c>
      <c r="AL108" s="370" t="str">
        <f t="shared" si="19"/>
        <v/>
      </c>
      <c r="AM108" s="401" t="str">
        <f>IFERROR(IF(F108="","",IF(AH108="Check Data ⚠","Check Data ⚠",VLOOKUP(AL108, 'G-3 Multipliers'!$P$2:$Q$6,2,FALSE))),"")</f>
        <v/>
      </c>
      <c r="AN108" s="376" t="str">
        <f t="shared" si="20"/>
        <v/>
      </c>
      <c r="AO108" s="194"/>
      <c r="AP108" s="195"/>
      <c r="AQ108" s="120"/>
    </row>
    <row r="109" spans="1:43">
      <c r="A109" s="35" t="str">
        <f>IF(E109="","",IF(ISNA(VLOOKUP($E109,'A-1 On-Site Habitat Baseline'!$D$1:$O$258,2,FALSE)),"",(VLOOKUP($E109,'A-1 On-Site Habitat Baseline'!$D$1:$O$258,2,FALSE))))</f>
        <v/>
      </c>
      <c r="B109" s="35" t="str">
        <f>IF(E109="","",IF(ISNA(VLOOKUP($E109,'A-1 On-Site Habitat Baseline'!$D$1:$O$258,3,FALSE)),"",(VLOOKUP($E109,'A-1 On-Site Habitat Baseline'!$D$1:$O$258,3,FALSE))))</f>
        <v/>
      </c>
      <c r="C109" s="35" t="str">
        <f>IFERROR(INDEX('G-8 Condition Look up'!$I$4:$I$135,MATCH(S109,'G-8 Condition Look up'!$A$4:$A$135,0)),"")</f>
        <v/>
      </c>
      <c r="E109" s="392" t="str">
        <f>'A-1 On-Site Habitat Baseline'!AL108</f>
        <v/>
      </c>
      <c r="F109" s="382" t="str">
        <f>IF(E109="","",IF(ISNA(VLOOKUP($E109,'A-1 On-Site Habitat Baseline'!$D$1:$O$258,4,FALSE)),"",(VLOOKUP($E109,'A-1 On-Site Habitat Baseline'!$D$1:$O$258,4,FALSE))))</f>
        <v/>
      </c>
      <c r="G109" s="382" t="str">
        <f>IF(E109="","",IF(ISNA(VLOOKUP($E109,'A-1 On-Site Habitat Baseline'!$D$1:$O$258,5,FALSE)),"",(VLOOKUP($E109,'A-1 On-Site Habitat Baseline'!$D$1:$O$258,5,FALSE))))</f>
        <v/>
      </c>
      <c r="H109" s="382" t="str">
        <f>IF(E109="","",IF(ISNA(VLOOKUP($E109,'A-1 On-Site Habitat Baseline'!$D$1:$O$258,6,FALSE)),"",(VLOOKUP($E109,'A-1 On-Site Habitat Baseline'!$D$1:$O$258,6,FALSE))))</f>
        <v/>
      </c>
      <c r="I109" s="382" t="str">
        <f>IF(E109="","",IF(ISNA(VLOOKUP($E109,'A-1 On-Site Habitat Baseline'!$D$1:$O$258,7,FALSE)),"",(VLOOKUP($E109,'A-1 On-Site Habitat Baseline'!$D$1:$O$258,7,FALSE))))</f>
        <v/>
      </c>
      <c r="J109" s="382" t="str">
        <f>IF(E109="","",IF(ISNA(VLOOKUP($E109,'A-1 On-Site Habitat Baseline'!$D$1:$O$258,8,FALSE)),"",(VLOOKUP($E109,'A-1 On-Site Habitat Baseline'!$D$1:$O$258,8,FALSE))))</f>
        <v/>
      </c>
      <c r="K109" s="382" t="str">
        <f>IF(E109="","",IF(ISNA(VLOOKUP($E109,'A-1 On-Site Habitat Baseline'!$D$1:$O$258,9,FALSE)),"",(VLOOKUP($E109,'A-1 On-Site Habitat Baseline'!$D$1:$O$258,9,FALSE))))</f>
        <v/>
      </c>
      <c r="L109" s="382" t="str">
        <f>IF(E109="","",IF(ISNA(VLOOKUP($E109,'A-1 On-Site Habitat Baseline'!$D$1:$O$258,11,FALSE)),"",(VLOOKUP($E109,'A-1 On-Site Habitat Baseline'!$D$1:$O$258,11,FALSE))))</f>
        <v/>
      </c>
      <c r="M109" s="382" t="str">
        <f>IF(E109="","",IF(ISNA(VLOOKUP($E109,'A-1 On-Site Habitat Baseline'!$D$1:$O$258,12,FALSE)),"",(VLOOKUP($E109,'A-1 On-Site Habitat Baseline'!$D$1:$O$258,12,FALSE))))</f>
        <v/>
      </c>
      <c r="N109" s="393" t="str">
        <f>IF(E109="","",IF(ISNA(VLOOKUP($E109,'A-1 On-Site Habitat Baseline'!$D$1:$X$258,14,FALSE)),"",(VLOOKUP($E109,'A-1 On-Site Habitat Baseline'!$D$1:$X$258,14,FALSE))))</f>
        <v/>
      </c>
      <c r="O109" s="386" t="str">
        <f>IF(E109="","",IF(ISNA(VLOOKUP($E109,'A-1 On-Site Habitat Baseline'!$D$1:$X$258,16,FALSE)),"",(VLOOKUP($E109,'A-1 On-Site Habitat Baseline'!$D$1:$X$258,13,FALSE))))</f>
        <v/>
      </c>
      <c r="P109" s="192" t="str">
        <f>IFERROR(INDEX('G-1 All Habitats'!$AG$3:$AG$17,MATCH(Q109,'G-1 All Habitats'!$AF$3:$AF$17,0)),"")</f>
        <v/>
      </c>
      <c r="Q109" s="193" t="str">
        <f t="shared" si="13"/>
        <v/>
      </c>
      <c r="R109" s="193" t="str">
        <f t="shared" si="13"/>
        <v/>
      </c>
      <c r="S109" s="306" t="str">
        <f>IFERROR(INDEX('G-1 All Habitats'!$B$3:$B$134,MATCH(R109,'G-1 All Habitats'!$A$3:$A$134,0)),"")</f>
        <v/>
      </c>
      <c r="T109" s="362" t="str">
        <f t="shared" si="14"/>
        <v/>
      </c>
      <c r="U109" s="363" t="str">
        <f t="shared" si="15"/>
        <v/>
      </c>
      <c r="V109" s="398" t="str">
        <f t="shared" si="11"/>
        <v/>
      </c>
      <c r="W109" s="382" t="str">
        <f>IF(S109="","",VLOOKUP(S109,'G-1 All Habitats'!$B$2:$M$134,10,FALSE))</f>
        <v/>
      </c>
      <c r="X109" s="382" t="str">
        <f>IFERROR(VLOOKUP(W109,'G-1 All Habitats'!$V$3:$W$7,2,FALSE),"")</f>
        <v/>
      </c>
      <c r="Y109" s="61"/>
      <c r="Z109" s="386" t="str">
        <f>IFERROR(INDEX('G-8 Condition Look up'!$A$3:$H$135,MATCH(S109,'G-8 Condition Look up'!$A$3:$A$135,0),MATCH(Y109,'G-8 Condition Look up'!$A$3:$H$3,0)),"")</f>
        <v/>
      </c>
      <c r="AA109" s="54"/>
      <c r="AB109" s="382" t="str">
        <f>IF(AA109="","",IF(VLOOKUP(AA109,'G-3 Multipliers'!$L$3:$N$6,2,FALSE)=0,"Spatial Data Missing ⚠",VLOOKUP(AA109,'G-3 Multipliers'!$L$3:$N$6,2,FALSE)))</f>
        <v/>
      </c>
      <c r="AC109" s="386" t="str">
        <f>IF(AA109="","",IF(VLOOKUP(AA109,'G-3 Multipliers'!$L$3:$N$6,3,FALSE)=0,"Spatial Data Missing ⚠",VLOOKUP(AA109,'G-3 Multipliers'!$L$3:$N$6,3,FALSE)))</f>
        <v/>
      </c>
      <c r="AD109" s="400" t="str">
        <f t="shared" si="12"/>
        <v/>
      </c>
      <c r="AE109" s="63"/>
      <c r="AF109" s="63"/>
      <c r="AG109" s="370" t="str">
        <f t="shared" si="16"/>
        <v/>
      </c>
      <c r="AH109" s="383" t="str">
        <f t="shared" si="17"/>
        <v/>
      </c>
      <c r="AI109" s="384" t="str">
        <f>IF(AH109="Check Data","Check Data",IFERROR(VLOOKUP(AH109,'G-4 Temporal multipliers'!$A$4:$C$36,3,FALSE),""))</f>
        <v/>
      </c>
      <c r="AJ109" s="362" t="str">
        <f>IF(S109="","",VLOOKUP(S109,'G-3 Multipliers'!$A$2:$E$134,4,FALSE))</f>
        <v/>
      </c>
      <c r="AK109" s="370" t="str">
        <f t="shared" si="18"/>
        <v/>
      </c>
      <c r="AL109" s="370" t="str">
        <f t="shared" si="19"/>
        <v/>
      </c>
      <c r="AM109" s="401" t="str">
        <f>IFERROR(IF(F109="","",IF(AH109="Check Data ⚠","Check Data ⚠",VLOOKUP(AL109, 'G-3 Multipliers'!$P$2:$Q$6,2,FALSE))),"")</f>
        <v/>
      </c>
      <c r="AN109" s="376" t="str">
        <f t="shared" si="20"/>
        <v/>
      </c>
      <c r="AO109" s="194"/>
      <c r="AP109" s="195"/>
      <c r="AQ109" s="120"/>
    </row>
    <row r="110" spans="1:43">
      <c r="A110" s="35" t="str">
        <f>IF(E110="","",IF(ISNA(VLOOKUP($E110,'A-1 On-Site Habitat Baseline'!$D$1:$O$258,2,FALSE)),"",(VLOOKUP($E110,'A-1 On-Site Habitat Baseline'!$D$1:$O$258,2,FALSE))))</f>
        <v/>
      </c>
      <c r="B110" s="35" t="str">
        <f>IF(E110="","",IF(ISNA(VLOOKUP($E110,'A-1 On-Site Habitat Baseline'!$D$1:$O$258,3,FALSE)),"",(VLOOKUP($E110,'A-1 On-Site Habitat Baseline'!$D$1:$O$258,3,FALSE))))</f>
        <v/>
      </c>
      <c r="C110" s="35" t="str">
        <f>IFERROR(INDEX('G-8 Condition Look up'!$I$4:$I$135,MATCH(S110,'G-8 Condition Look up'!$A$4:$A$135,0)),"")</f>
        <v/>
      </c>
      <c r="E110" s="392" t="str">
        <f>'A-1 On-Site Habitat Baseline'!AL109</f>
        <v/>
      </c>
      <c r="F110" s="382" t="str">
        <f>IF(E110="","",IF(ISNA(VLOOKUP($E110,'A-1 On-Site Habitat Baseline'!$D$1:$O$258,4,FALSE)),"",(VLOOKUP($E110,'A-1 On-Site Habitat Baseline'!$D$1:$O$258,4,FALSE))))</f>
        <v/>
      </c>
      <c r="G110" s="382" t="str">
        <f>IF(E110="","",IF(ISNA(VLOOKUP($E110,'A-1 On-Site Habitat Baseline'!$D$1:$O$258,5,FALSE)),"",(VLOOKUP($E110,'A-1 On-Site Habitat Baseline'!$D$1:$O$258,5,FALSE))))</f>
        <v/>
      </c>
      <c r="H110" s="382" t="str">
        <f>IF(E110="","",IF(ISNA(VLOOKUP($E110,'A-1 On-Site Habitat Baseline'!$D$1:$O$258,6,FALSE)),"",(VLOOKUP($E110,'A-1 On-Site Habitat Baseline'!$D$1:$O$258,6,FALSE))))</f>
        <v/>
      </c>
      <c r="I110" s="382" t="str">
        <f>IF(E110="","",IF(ISNA(VLOOKUP($E110,'A-1 On-Site Habitat Baseline'!$D$1:$O$258,7,FALSE)),"",(VLOOKUP($E110,'A-1 On-Site Habitat Baseline'!$D$1:$O$258,7,FALSE))))</f>
        <v/>
      </c>
      <c r="J110" s="382" t="str">
        <f>IF(E110="","",IF(ISNA(VLOOKUP($E110,'A-1 On-Site Habitat Baseline'!$D$1:$O$258,8,FALSE)),"",(VLOOKUP($E110,'A-1 On-Site Habitat Baseline'!$D$1:$O$258,8,FALSE))))</f>
        <v/>
      </c>
      <c r="K110" s="382" t="str">
        <f>IF(E110="","",IF(ISNA(VLOOKUP($E110,'A-1 On-Site Habitat Baseline'!$D$1:$O$258,9,FALSE)),"",(VLOOKUP($E110,'A-1 On-Site Habitat Baseline'!$D$1:$O$258,9,FALSE))))</f>
        <v/>
      </c>
      <c r="L110" s="382" t="str">
        <f>IF(E110="","",IF(ISNA(VLOOKUP($E110,'A-1 On-Site Habitat Baseline'!$D$1:$O$258,11,FALSE)),"",(VLOOKUP($E110,'A-1 On-Site Habitat Baseline'!$D$1:$O$258,11,FALSE))))</f>
        <v/>
      </c>
      <c r="M110" s="382" t="str">
        <f>IF(E110="","",IF(ISNA(VLOOKUP($E110,'A-1 On-Site Habitat Baseline'!$D$1:$O$258,12,FALSE)),"",(VLOOKUP($E110,'A-1 On-Site Habitat Baseline'!$D$1:$O$258,12,FALSE))))</f>
        <v/>
      </c>
      <c r="N110" s="393" t="str">
        <f>IF(E110="","",IF(ISNA(VLOOKUP($E110,'A-1 On-Site Habitat Baseline'!$D$1:$X$258,14,FALSE)),"",(VLOOKUP($E110,'A-1 On-Site Habitat Baseline'!$D$1:$X$258,14,FALSE))))</f>
        <v/>
      </c>
      <c r="O110" s="386" t="str">
        <f>IF(E110="","",IF(ISNA(VLOOKUP($E110,'A-1 On-Site Habitat Baseline'!$D$1:$X$258,16,FALSE)),"",(VLOOKUP($E110,'A-1 On-Site Habitat Baseline'!$D$1:$X$258,13,FALSE))))</f>
        <v/>
      </c>
      <c r="P110" s="192" t="str">
        <f>IFERROR(INDEX('G-1 All Habitats'!$AG$3:$AG$17,MATCH(Q110,'G-1 All Habitats'!$AF$3:$AF$17,0)),"")</f>
        <v/>
      </c>
      <c r="Q110" s="193" t="str">
        <f t="shared" si="13"/>
        <v/>
      </c>
      <c r="R110" s="193" t="str">
        <f t="shared" si="13"/>
        <v/>
      </c>
      <c r="S110" s="306" t="str">
        <f>IFERROR(INDEX('G-1 All Habitats'!$B$3:$B$134,MATCH(R110,'G-1 All Habitats'!$A$3:$A$134,0)),"")</f>
        <v/>
      </c>
      <c r="T110" s="362" t="str">
        <f t="shared" si="14"/>
        <v/>
      </c>
      <c r="U110" s="363" t="str">
        <f t="shared" si="15"/>
        <v/>
      </c>
      <c r="V110" s="398" t="str">
        <f t="shared" si="11"/>
        <v/>
      </c>
      <c r="W110" s="382" t="str">
        <f>IF(S110="","",VLOOKUP(S110,'G-1 All Habitats'!$B$2:$M$134,10,FALSE))</f>
        <v/>
      </c>
      <c r="X110" s="382" t="str">
        <f>IFERROR(VLOOKUP(W110,'G-1 All Habitats'!$V$3:$W$7,2,FALSE),"")</f>
        <v/>
      </c>
      <c r="Y110" s="61"/>
      <c r="Z110" s="386" t="str">
        <f>IFERROR(INDEX('G-8 Condition Look up'!$A$3:$H$135,MATCH(S110,'G-8 Condition Look up'!$A$3:$A$135,0),MATCH(Y110,'G-8 Condition Look up'!$A$3:$H$3,0)),"")</f>
        <v/>
      </c>
      <c r="AA110" s="54"/>
      <c r="AB110" s="382" t="str">
        <f>IF(AA110="","",IF(VLOOKUP(AA110,'G-3 Multipliers'!$L$3:$N$6,2,FALSE)=0,"Spatial Data Missing ⚠",VLOOKUP(AA110,'G-3 Multipliers'!$L$3:$N$6,2,FALSE)))</f>
        <v/>
      </c>
      <c r="AC110" s="386" t="str">
        <f>IF(AA110="","",IF(VLOOKUP(AA110,'G-3 Multipliers'!$L$3:$N$6,3,FALSE)=0,"Spatial Data Missing ⚠",VLOOKUP(AA110,'G-3 Multipliers'!$L$3:$N$6,3,FALSE)))</f>
        <v/>
      </c>
      <c r="AD110" s="400" t="str">
        <f t="shared" si="12"/>
        <v/>
      </c>
      <c r="AE110" s="63"/>
      <c r="AF110" s="63"/>
      <c r="AG110" s="370" t="str">
        <f t="shared" si="16"/>
        <v/>
      </c>
      <c r="AH110" s="383" t="str">
        <f t="shared" si="17"/>
        <v/>
      </c>
      <c r="AI110" s="384" t="str">
        <f>IF(AH110="Check Data","Check Data",IFERROR(VLOOKUP(AH110,'G-4 Temporal multipliers'!$A$4:$C$36,3,FALSE),""))</f>
        <v/>
      </c>
      <c r="AJ110" s="362" t="str">
        <f>IF(S110="","",VLOOKUP(S110,'G-3 Multipliers'!$A$2:$E$134,4,FALSE))</f>
        <v/>
      </c>
      <c r="AK110" s="370" t="str">
        <f t="shared" si="18"/>
        <v/>
      </c>
      <c r="AL110" s="370" t="str">
        <f t="shared" si="19"/>
        <v/>
      </c>
      <c r="AM110" s="401" t="str">
        <f>IFERROR(IF(F110="","",IF(AH110="Check Data ⚠","Check Data ⚠",VLOOKUP(AL110, 'G-3 Multipliers'!$P$2:$Q$6,2,FALSE))),"")</f>
        <v/>
      </c>
      <c r="AN110" s="376" t="str">
        <f t="shared" si="20"/>
        <v/>
      </c>
      <c r="AO110" s="194"/>
      <c r="AP110" s="195"/>
      <c r="AQ110" s="120"/>
    </row>
    <row r="111" spans="1:43">
      <c r="A111" s="35" t="str">
        <f>IF(E111="","",IF(ISNA(VLOOKUP($E111,'A-1 On-Site Habitat Baseline'!$D$1:$O$258,2,FALSE)),"",(VLOOKUP($E111,'A-1 On-Site Habitat Baseline'!$D$1:$O$258,2,FALSE))))</f>
        <v/>
      </c>
      <c r="B111" s="35" t="str">
        <f>IF(E111="","",IF(ISNA(VLOOKUP($E111,'A-1 On-Site Habitat Baseline'!$D$1:$O$258,3,FALSE)),"",(VLOOKUP($E111,'A-1 On-Site Habitat Baseline'!$D$1:$O$258,3,FALSE))))</f>
        <v/>
      </c>
      <c r="C111" s="35" t="str">
        <f>IFERROR(INDEX('G-8 Condition Look up'!$I$4:$I$135,MATCH(S111,'G-8 Condition Look up'!$A$4:$A$135,0)),"")</f>
        <v/>
      </c>
      <c r="E111" s="392" t="str">
        <f>'A-1 On-Site Habitat Baseline'!AL110</f>
        <v/>
      </c>
      <c r="F111" s="382" t="str">
        <f>IF(E111="","",IF(ISNA(VLOOKUP($E111,'A-1 On-Site Habitat Baseline'!$D$1:$O$258,4,FALSE)),"",(VLOOKUP($E111,'A-1 On-Site Habitat Baseline'!$D$1:$O$258,4,FALSE))))</f>
        <v/>
      </c>
      <c r="G111" s="382" t="str">
        <f>IF(E111="","",IF(ISNA(VLOOKUP($E111,'A-1 On-Site Habitat Baseline'!$D$1:$O$258,5,FALSE)),"",(VLOOKUP($E111,'A-1 On-Site Habitat Baseline'!$D$1:$O$258,5,FALSE))))</f>
        <v/>
      </c>
      <c r="H111" s="382" t="str">
        <f>IF(E111="","",IF(ISNA(VLOOKUP($E111,'A-1 On-Site Habitat Baseline'!$D$1:$O$258,6,FALSE)),"",(VLOOKUP($E111,'A-1 On-Site Habitat Baseline'!$D$1:$O$258,6,FALSE))))</f>
        <v/>
      </c>
      <c r="I111" s="382" t="str">
        <f>IF(E111="","",IF(ISNA(VLOOKUP($E111,'A-1 On-Site Habitat Baseline'!$D$1:$O$258,7,FALSE)),"",(VLOOKUP($E111,'A-1 On-Site Habitat Baseline'!$D$1:$O$258,7,FALSE))))</f>
        <v/>
      </c>
      <c r="J111" s="382" t="str">
        <f>IF(E111="","",IF(ISNA(VLOOKUP($E111,'A-1 On-Site Habitat Baseline'!$D$1:$O$258,8,FALSE)),"",(VLOOKUP($E111,'A-1 On-Site Habitat Baseline'!$D$1:$O$258,8,FALSE))))</f>
        <v/>
      </c>
      <c r="K111" s="382" t="str">
        <f>IF(E111="","",IF(ISNA(VLOOKUP($E111,'A-1 On-Site Habitat Baseline'!$D$1:$O$258,9,FALSE)),"",(VLOOKUP($E111,'A-1 On-Site Habitat Baseline'!$D$1:$O$258,9,FALSE))))</f>
        <v/>
      </c>
      <c r="L111" s="382" t="str">
        <f>IF(E111="","",IF(ISNA(VLOOKUP($E111,'A-1 On-Site Habitat Baseline'!$D$1:$O$258,11,FALSE)),"",(VLOOKUP($E111,'A-1 On-Site Habitat Baseline'!$D$1:$O$258,11,FALSE))))</f>
        <v/>
      </c>
      <c r="M111" s="382" t="str">
        <f>IF(E111="","",IF(ISNA(VLOOKUP($E111,'A-1 On-Site Habitat Baseline'!$D$1:$O$258,12,FALSE)),"",(VLOOKUP($E111,'A-1 On-Site Habitat Baseline'!$D$1:$O$258,12,FALSE))))</f>
        <v/>
      </c>
      <c r="N111" s="393" t="str">
        <f>IF(E111="","",IF(ISNA(VLOOKUP($E111,'A-1 On-Site Habitat Baseline'!$D$1:$X$258,14,FALSE)),"",(VLOOKUP($E111,'A-1 On-Site Habitat Baseline'!$D$1:$X$258,14,FALSE))))</f>
        <v/>
      </c>
      <c r="O111" s="386" t="str">
        <f>IF(E111="","",IF(ISNA(VLOOKUP($E111,'A-1 On-Site Habitat Baseline'!$D$1:$X$258,16,FALSE)),"",(VLOOKUP($E111,'A-1 On-Site Habitat Baseline'!$D$1:$X$258,13,FALSE))))</f>
        <v/>
      </c>
      <c r="P111" s="192" t="str">
        <f>IFERROR(INDEX('G-1 All Habitats'!$AG$3:$AG$17,MATCH(Q111,'G-1 All Habitats'!$AF$3:$AF$17,0)),"")</f>
        <v/>
      </c>
      <c r="Q111" s="193" t="str">
        <f t="shared" si="13"/>
        <v/>
      </c>
      <c r="R111" s="193" t="str">
        <f t="shared" si="13"/>
        <v/>
      </c>
      <c r="S111" s="306" t="str">
        <f>IFERROR(INDEX('G-1 All Habitats'!$B$3:$B$134,MATCH(R111,'G-1 All Habitats'!$A$3:$A$134,0)),"")</f>
        <v/>
      </c>
      <c r="T111" s="362" t="str">
        <f t="shared" si="14"/>
        <v/>
      </c>
      <c r="U111" s="363" t="str">
        <f t="shared" si="15"/>
        <v/>
      </c>
      <c r="V111" s="398" t="str">
        <f t="shared" si="11"/>
        <v/>
      </c>
      <c r="W111" s="382" t="str">
        <f>IF(S111="","",VLOOKUP(S111,'G-1 All Habitats'!$B$2:$M$134,10,FALSE))</f>
        <v/>
      </c>
      <c r="X111" s="382" t="str">
        <f>IFERROR(VLOOKUP(W111,'G-1 All Habitats'!$V$3:$W$7,2,FALSE),"")</f>
        <v/>
      </c>
      <c r="Y111" s="61"/>
      <c r="Z111" s="386" t="str">
        <f>IFERROR(INDEX('G-8 Condition Look up'!$A$3:$H$135,MATCH(S111,'G-8 Condition Look up'!$A$3:$A$135,0),MATCH(Y111,'G-8 Condition Look up'!$A$3:$H$3,0)),"")</f>
        <v/>
      </c>
      <c r="AA111" s="54"/>
      <c r="AB111" s="382" t="str">
        <f>IF(AA111="","",IF(VLOOKUP(AA111,'G-3 Multipliers'!$L$3:$N$6,2,FALSE)=0,"Spatial Data Missing ⚠",VLOOKUP(AA111,'G-3 Multipliers'!$L$3:$N$6,2,FALSE)))</f>
        <v/>
      </c>
      <c r="AC111" s="386" t="str">
        <f>IF(AA111="","",IF(VLOOKUP(AA111,'G-3 Multipliers'!$L$3:$N$6,3,FALSE)=0,"Spatial Data Missing ⚠",VLOOKUP(AA111,'G-3 Multipliers'!$L$3:$N$6,3,FALSE)))</f>
        <v/>
      </c>
      <c r="AD111" s="400" t="str">
        <f t="shared" si="12"/>
        <v/>
      </c>
      <c r="AE111" s="63"/>
      <c r="AF111" s="63"/>
      <c r="AG111" s="370" t="str">
        <f t="shared" si="16"/>
        <v/>
      </c>
      <c r="AH111" s="383" t="str">
        <f t="shared" si="17"/>
        <v/>
      </c>
      <c r="AI111" s="384" t="str">
        <f>IF(AH111="Check Data","Check Data",IFERROR(VLOOKUP(AH111,'G-4 Temporal multipliers'!$A$4:$C$36,3,FALSE),""))</f>
        <v/>
      </c>
      <c r="AJ111" s="362" t="str">
        <f>IF(S111="","",VLOOKUP(S111,'G-3 Multipliers'!$A$2:$E$134,4,FALSE))</f>
        <v/>
      </c>
      <c r="AK111" s="370" t="str">
        <f t="shared" si="18"/>
        <v/>
      </c>
      <c r="AL111" s="370" t="str">
        <f t="shared" si="19"/>
        <v/>
      </c>
      <c r="AM111" s="401" t="str">
        <f>IFERROR(IF(F111="","",IF(AH111="Check Data ⚠","Check Data ⚠",VLOOKUP(AL111, 'G-3 Multipliers'!$P$2:$Q$6,2,FALSE))),"")</f>
        <v/>
      </c>
      <c r="AN111" s="376" t="str">
        <f t="shared" si="20"/>
        <v/>
      </c>
      <c r="AO111" s="194"/>
      <c r="AP111" s="195"/>
      <c r="AQ111" s="120"/>
    </row>
    <row r="112" spans="1:43">
      <c r="A112" s="35" t="str">
        <f>IF(E112="","",IF(ISNA(VLOOKUP($E112,'A-1 On-Site Habitat Baseline'!$D$1:$O$258,2,FALSE)),"",(VLOOKUP($E112,'A-1 On-Site Habitat Baseline'!$D$1:$O$258,2,FALSE))))</f>
        <v/>
      </c>
      <c r="B112" s="35" t="str">
        <f>IF(E112="","",IF(ISNA(VLOOKUP($E112,'A-1 On-Site Habitat Baseline'!$D$1:$O$258,3,FALSE)),"",(VLOOKUP($E112,'A-1 On-Site Habitat Baseline'!$D$1:$O$258,3,FALSE))))</f>
        <v/>
      </c>
      <c r="C112" s="35" t="str">
        <f>IFERROR(INDEX('G-8 Condition Look up'!$I$4:$I$135,MATCH(S112,'G-8 Condition Look up'!$A$4:$A$135,0)),"")</f>
        <v/>
      </c>
      <c r="E112" s="392" t="str">
        <f>'A-1 On-Site Habitat Baseline'!AL111</f>
        <v/>
      </c>
      <c r="F112" s="382" t="str">
        <f>IF(E112="","",IF(ISNA(VLOOKUP($E112,'A-1 On-Site Habitat Baseline'!$D$1:$O$258,4,FALSE)),"",(VLOOKUP($E112,'A-1 On-Site Habitat Baseline'!$D$1:$O$258,4,FALSE))))</f>
        <v/>
      </c>
      <c r="G112" s="382" t="str">
        <f>IF(E112="","",IF(ISNA(VLOOKUP($E112,'A-1 On-Site Habitat Baseline'!$D$1:$O$258,5,FALSE)),"",(VLOOKUP($E112,'A-1 On-Site Habitat Baseline'!$D$1:$O$258,5,FALSE))))</f>
        <v/>
      </c>
      <c r="H112" s="382" t="str">
        <f>IF(E112="","",IF(ISNA(VLOOKUP($E112,'A-1 On-Site Habitat Baseline'!$D$1:$O$258,6,FALSE)),"",(VLOOKUP($E112,'A-1 On-Site Habitat Baseline'!$D$1:$O$258,6,FALSE))))</f>
        <v/>
      </c>
      <c r="I112" s="382" t="str">
        <f>IF(E112="","",IF(ISNA(VLOOKUP($E112,'A-1 On-Site Habitat Baseline'!$D$1:$O$258,7,FALSE)),"",(VLOOKUP($E112,'A-1 On-Site Habitat Baseline'!$D$1:$O$258,7,FALSE))))</f>
        <v/>
      </c>
      <c r="J112" s="382" t="str">
        <f>IF(E112="","",IF(ISNA(VLOOKUP($E112,'A-1 On-Site Habitat Baseline'!$D$1:$O$258,8,FALSE)),"",(VLOOKUP($E112,'A-1 On-Site Habitat Baseline'!$D$1:$O$258,8,FALSE))))</f>
        <v/>
      </c>
      <c r="K112" s="382" t="str">
        <f>IF(E112="","",IF(ISNA(VLOOKUP($E112,'A-1 On-Site Habitat Baseline'!$D$1:$O$258,9,FALSE)),"",(VLOOKUP($E112,'A-1 On-Site Habitat Baseline'!$D$1:$O$258,9,FALSE))))</f>
        <v/>
      </c>
      <c r="L112" s="382" t="str">
        <f>IF(E112="","",IF(ISNA(VLOOKUP($E112,'A-1 On-Site Habitat Baseline'!$D$1:$O$258,11,FALSE)),"",(VLOOKUP($E112,'A-1 On-Site Habitat Baseline'!$D$1:$O$258,11,FALSE))))</f>
        <v/>
      </c>
      <c r="M112" s="382" t="str">
        <f>IF(E112="","",IF(ISNA(VLOOKUP($E112,'A-1 On-Site Habitat Baseline'!$D$1:$O$258,12,FALSE)),"",(VLOOKUP($E112,'A-1 On-Site Habitat Baseline'!$D$1:$O$258,12,FALSE))))</f>
        <v/>
      </c>
      <c r="N112" s="393" t="str">
        <f>IF(E112="","",IF(ISNA(VLOOKUP($E112,'A-1 On-Site Habitat Baseline'!$D$1:$X$258,14,FALSE)),"",(VLOOKUP($E112,'A-1 On-Site Habitat Baseline'!$D$1:$X$258,14,FALSE))))</f>
        <v/>
      </c>
      <c r="O112" s="386" t="str">
        <f>IF(E112="","",IF(ISNA(VLOOKUP($E112,'A-1 On-Site Habitat Baseline'!$D$1:$X$258,16,FALSE)),"",(VLOOKUP($E112,'A-1 On-Site Habitat Baseline'!$D$1:$X$258,13,FALSE))))</f>
        <v/>
      </c>
      <c r="P112" s="192" t="str">
        <f>IFERROR(INDEX('G-1 All Habitats'!$AG$3:$AG$17,MATCH(Q112,'G-1 All Habitats'!$AF$3:$AF$17,0)),"")</f>
        <v/>
      </c>
      <c r="Q112" s="193" t="str">
        <f t="shared" si="13"/>
        <v/>
      </c>
      <c r="R112" s="193" t="str">
        <f t="shared" si="13"/>
        <v/>
      </c>
      <c r="S112" s="306" t="str">
        <f>IFERROR(INDEX('G-1 All Habitats'!$B$3:$B$134,MATCH(R112,'G-1 All Habitats'!$A$3:$A$134,0)),"")</f>
        <v/>
      </c>
      <c r="T112" s="362" t="str">
        <f t="shared" si="14"/>
        <v/>
      </c>
      <c r="U112" s="363" t="str">
        <f t="shared" si="15"/>
        <v/>
      </c>
      <c r="V112" s="398" t="str">
        <f t="shared" si="11"/>
        <v/>
      </c>
      <c r="W112" s="382" t="str">
        <f>IF(S112="","",VLOOKUP(S112,'G-1 All Habitats'!$B$2:$M$134,10,FALSE))</f>
        <v/>
      </c>
      <c r="X112" s="382" t="str">
        <f>IFERROR(VLOOKUP(W112,'G-1 All Habitats'!$V$3:$W$7,2,FALSE),"")</f>
        <v/>
      </c>
      <c r="Y112" s="61"/>
      <c r="Z112" s="386" t="str">
        <f>IFERROR(INDEX('G-8 Condition Look up'!$A$3:$H$135,MATCH(S112,'G-8 Condition Look up'!$A$3:$A$135,0),MATCH(Y112,'G-8 Condition Look up'!$A$3:$H$3,0)),"")</f>
        <v/>
      </c>
      <c r="AA112" s="54"/>
      <c r="AB112" s="382" t="str">
        <f>IF(AA112="","",IF(VLOOKUP(AA112,'G-3 Multipliers'!$L$3:$N$6,2,FALSE)=0,"Spatial Data Missing ⚠",VLOOKUP(AA112,'G-3 Multipliers'!$L$3:$N$6,2,FALSE)))</f>
        <v/>
      </c>
      <c r="AC112" s="386" t="str">
        <f>IF(AA112="","",IF(VLOOKUP(AA112,'G-3 Multipliers'!$L$3:$N$6,3,FALSE)=0,"Spatial Data Missing ⚠",VLOOKUP(AA112,'G-3 Multipliers'!$L$3:$N$6,3,FALSE)))</f>
        <v/>
      </c>
      <c r="AD112" s="400" t="str">
        <f t="shared" si="12"/>
        <v/>
      </c>
      <c r="AE112" s="63"/>
      <c r="AF112" s="63"/>
      <c r="AG112" s="370" t="str">
        <f t="shared" si="16"/>
        <v/>
      </c>
      <c r="AH112" s="383" t="str">
        <f t="shared" si="17"/>
        <v/>
      </c>
      <c r="AI112" s="384" t="str">
        <f>IF(AH112="Check Data","Check Data",IFERROR(VLOOKUP(AH112,'G-4 Temporal multipliers'!$A$4:$C$36,3,FALSE),""))</f>
        <v/>
      </c>
      <c r="AJ112" s="362" t="str">
        <f>IF(S112="","",VLOOKUP(S112,'G-3 Multipliers'!$A$2:$E$134,4,FALSE))</f>
        <v/>
      </c>
      <c r="AK112" s="370" t="str">
        <f t="shared" si="18"/>
        <v/>
      </c>
      <c r="AL112" s="370" t="str">
        <f t="shared" si="19"/>
        <v/>
      </c>
      <c r="AM112" s="401" t="str">
        <f>IFERROR(IF(F112="","",IF(AH112="Check Data ⚠","Check Data ⚠",VLOOKUP(AL112, 'G-3 Multipliers'!$P$2:$Q$6,2,FALSE))),"")</f>
        <v/>
      </c>
      <c r="AN112" s="376" t="str">
        <f t="shared" si="20"/>
        <v/>
      </c>
      <c r="AO112" s="194"/>
      <c r="AP112" s="195"/>
      <c r="AQ112" s="120"/>
    </row>
    <row r="113" spans="1:43">
      <c r="A113" s="35" t="str">
        <f>IF(E113="","",IF(ISNA(VLOOKUP($E113,'A-1 On-Site Habitat Baseline'!$D$1:$O$258,2,FALSE)),"",(VLOOKUP($E113,'A-1 On-Site Habitat Baseline'!$D$1:$O$258,2,FALSE))))</f>
        <v/>
      </c>
      <c r="B113" s="35" t="str">
        <f>IF(E113="","",IF(ISNA(VLOOKUP($E113,'A-1 On-Site Habitat Baseline'!$D$1:$O$258,3,FALSE)),"",(VLOOKUP($E113,'A-1 On-Site Habitat Baseline'!$D$1:$O$258,3,FALSE))))</f>
        <v/>
      </c>
      <c r="C113" s="35" t="str">
        <f>IFERROR(INDEX('G-8 Condition Look up'!$I$4:$I$135,MATCH(S113,'G-8 Condition Look up'!$A$4:$A$135,0)),"")</f>
        <v/>
      </c>
      <c r="E113" s="392" t="str">
        <f>'A-1 On-Site Habitat Baseline'!AL112</f>
        <v/>
      </c>
      <c r="F113" s="382" t="str">
        <f>IF(E113="","",IF(ISNA(VLOOKUP($E113,'A-1 On-Site Habitat Baseline'!$D$1:$O$258,4,FALSE)),"",(VLOOKUP($E113,'A-1 On-Site Habitat Baseline'!$D$1:$O$258,4,FALSE))))</f>
        <v/>
      </c>
      <c r="G113" s="382" t="str">
        <f>IF(E113="","",IF(ISNA(VLOOKUP($E113,'A-1 On-Site Habitat Baseline'!$D$1:$O$258,5,FALSE)),"",(VLOOKUP($E113,'A-1 On-Site Habitat Baseline'!$D$1:$O$258,5,FALSE))))</f>
        <v/>
      </c>
      <c r="H113" s="382" t="str">
        <f>IF(E113="","",IF(ISNA(VLOOKUP($E113,'A-1 On-Site Habitat Baseline'!$D$1:$O$258,6,FALSE)),"",(VLOOKUP($E113,'A-1 On-Site Habitat Baseline'!$D$1:$O$258,6,FALSE))))</f>
        <v/>
      </c>
      <c r="I113" s="382" t="str">
        <f>IF(E113="","",IF(ISNA(VLOOKUP($E113,'A-1 On-Site Habitat Baseline'!$D$1:$O$258,7,FALSE)),"",(VLOOKUP($E113,'A-1 On-Site Habitat Baseline'!$D$1:$O$258,7,FALSE))))</f>
        <v/>
      </c>
      <c r="J113" s="382" t="str">
        <f>IF(E113="","",IF(ISNA(VLOOKUP($E113,'A-1 On-Site Habitat Baseline'!$D$1:$O$258,8,FALSE)),"",(VLOOKUP($E113,'A-1 On-Site Habitat Baseline'!$D$1:$O$258,8,FALSE))))</f>
        <v/>
      </c>
      <c r="K113" s="382" t="str">
        <f>IF(E113="","",IF(ISNA(VLOOKUP($E113,'A-1 On-Site Habitat Baseline'!$D$1:$O$258,9,FALSE)),"",(VLOOKUP($E113,'A-1 On-Site Habitat Baseline'!$D$1:$O$258,9,FALSE))))</f>
        <v/>
      </c>
      <c r="L113" s="382" t="str">
        <f>IF(E113="","",IF(ISNA(VLOOKUP($E113,'A-1 On-Site Habitat Baseline'!$D$1:$O$258,11,FALSE)),"",(VLOOKUP($E113,'A-1 On-Site Habitat Baseline'!$D$1:$O$258,11,FALSE))))</f>
        <v/>
      </c>
      <c r="M113" s="382" t="str">
        <f>IF(E113="","",IF(ISNA(VLOOKUP($E113,'A-1 On-Site Habitat Baseline'!$D$1:$O$258,12,FALSE)),"",(VLOOKUP($E113,'A-1 On-Site Habitat Baseline'!$D$1:$O$258,12,FALSE))))</f>
        <v/>
      </c>
      <c r="N113" s="393" t="str">
        <f>IF(E113="","",IF(ISNA(VLOOKUP($E113,'A-1 On-Site Habitat Baseline'!$D$1:$X$258,14,FALSE)),"",(VLOOKUP($E113,'A-1 On-Site Habitat Baseline'!$D$1:$X$258,14,FALSE))))</f>
        <v/>
      </c>
      <c r="O113" s="386" t="str">
        <f>IF(E113="","",IF(ISNA(VLOOKUP($E113,'A-1 On-Site Habitat Baseline'!$D$1:$X$258,16,FALSE)),"",(VLOOKUP($E113,'A-1 On-Site Habitat Baseline'!$D$1:$X$258,13,FALSE))))</f>
        <v/>
      </c>
      <c r="P113" s="192" t="str">
        <f>IFERROR(INDEX('G-1 All Habitats'!$AG$3:$AG$17,MATCH(Q113,'G-1 All Habitats'!$AF$3:$AF$17,0)),"")</f>
        <v/>
      </c>
      <c r="Q113" s="193" t="str">
        <f t="shared" si="13"/>
        <v/>
      </c>
      <c r="R113" s="193" t="str">
        <f t="shared" si="13"/>
        <v/>
      </c>
      <c r="S113" s="306" t="str">
        <f>IFERROR(INDEX('G-1 All Habitats'!$B$3:$B$134,MATCH(R113,'G-1 All Habitats'!$A$3:$A$134,0)),"")</f>
        <v/>
      </c>
      <c r="T113" s="362" t="str">
        <f t="shared" si="14"/>
        <v/>
      </c>
      <c r="U113" s="363" t="str">
        <f t="shared" si="15"/>
        <v/>
      </c>
      <c r="V113" s="398" t="str">
        <f t="shared" si="11"/>
        <v/>
      </c>
      <c r="W113" s="382" t="str">
        <f>IF(S113="","",VLOOKUP(S113,'G-1 All Habitats'!$B$2:$M$134,10,FALSE))</f>
        <v/>
      </c>
      <c r="X113" s="382" t="str">
        <f>IFERROR(VLOOKUP(W113,'G-1 All Habitats'!$V$3:$W$7,2,FALSE),"")</f>
        <v/>
      </c>
      <c r="Y113" s="61"/>
      <c r="Z113" s="386" t="str">
        <f>IFERROR(INDEX('G-8 Condition Look up'!$A$3:$H$135,MATCH(S113,'G-8 Condition Look up'!$A$3:$A$135,0),MATCH(Y113,'G-8 Condition Look up'!$A$3:$H$3,0)),"")</f>
        <v/>
      </c>
      <c r="AA113" s="54"/>
      <c r="AB113" s="382" t="str">
        <f>IF(AA113="","",IF(VLOOKUP(AA113,'G-3 Multipliers'!$L$3:$N$6,2,FALSE)=0,"Spatial Data Missing ⚠",VLOOKUP(AA113,'G-3 Multipliers'!$L$3:$N$6,2,FALSE)))</f>
        <v/>
      </c>
      <c r="AC113" s="386" t="str">
        <f>IF(AA113="","",IF(VLOOKUP(AA113,'G-3 Multipliers'!$L$3:$N$6,3,FALSE)=0,"Spatial Data Missing ⚠",VLOOKUP(AA113,'G-3 Multipliers'!$L$3:$N$6,3,FALSE)))</f>
        <v/>
      </c>
      <c r="AD113" s="400" t="str">
        <f t="shared" si="12"/>
        <v/>
      </c>
      <c r="AE113" s="63"/>
      <c r="AF113" s="63"/>
      <c r="AG113" s="370" t="str">
        <f t="shared" si="16"/>
        <v/>
      </c>
      <c r="AH113" s="383" t="str">
        <f t="shared" si="17"/>
        <v/>
      </c>
      <c r="AI113" s="384" t="str">
        <f>IF(AH113="Check Data","Check Data",IFERROR(VLOOKUP(AH113,'G-4 Temporal multipliers'!$A$4:$C$36,3,FALSE),""))</f>
        <v/>
      </c>
      <c r="AJ113" s="362" t="str">
        <f>IF(S113="","",VLOOKUP(S113,'G-3 Multipliers'!$A$2:$E$134,4,FALSE))</f>
        <v/>
      </c>
      <c r="AK113" s="370" t="str">
        <f t="shared" si="18"/>
        <v/>
      </c>
      <c r="AL113" s="370" t="str">
        <f t="shared" si="19"/>
        <v/>
      </c>
      <c r="AM113" s="401" t="str">
        <f>IFERROR(IF(F113="","",IF(AH113="Check Data ⚠","Check Data ⚠",VLOOKUP(AL113, 'G-3 Multipliers'!$P$2:$Q$6,2,FALSE))),"")</f>
        <v/>
      </c>
      <c r="AN113" s="376" t="str">
        <f t="shared" si="20"/>
        <v/>
      </c>
      <c r="AO113" s="194"/>
      <c r="AP113" s="195"/>
      <c r="AQ113" s="120"/>
    </row>
    <row r="114" spans="1:43">
      <c r="A114" s="35" t="str">
        <f>IF(E114="","",IF(ISNA(VLOOKUP($E114,'A-1 On-Site Habitat Baseline'!$D$1:$O$258,2,FALSE)),"",(VLOOKUP($E114,'A-1 On-Site Habitat Baseline'!$D$1:$O$258,2,FALSE))))</f>
        <v/>
      </c>
      <c r="B114" s="35" t="str">
        <f>IF(E114="","",IF(ISNA(VLOOKUP($E114,'A-1 On-Site Habitat Baseline'!$D$1:$O$258,3,FALSE)),"",(VLOOKUP($E114,'A-1 On-Site Habitat Baseline'!$D$1:$O$258,3,FALSE))))</f>
        <v/>
      </c>
      <c r="C114" s="35" t="str">
        <f>IFERROR(INDEX('G-8 Condition Look up'!$I$4:$I$135,MATCH(S114,'G-8 Condition Look up'!$A$4:$A$135,0)),"")</f>
        <v/>
      </c>
      <c r="E114" s="392" t="str">
        <f>'A-1 On-Site Habitat Baseline'!AL113</f>
        <v/>
      </c>
      <c r="F114" s="382" t="str">
        <f>IF(E114="","",IF(ISNA(VLOOKUP($E114,'A-1 On-Site Habitat Baseline'!$D$1:$O$258,4,FALSE)),"",(VLOOKUP($E114,'A-1 On-Site Habitat Baseline'!$D$1:$O$258,4,FALSE))))</f>
        <v/>
      </c>
      <c r="G114" s="382" t="str">
        <f>IF(E114="","",IF(ISNA(VLOOKUP($E114,'A-1 On-Site Habitat Baseline'!$D$1:$O$258,5,FALSE)),"",(VLOOKUP($E114,'A-1 On-Site Habitat Baseline'!$D$1:$O$258,5,FALSE))))</f>
        <v/>
      </c>
      <c r="H114" s="382" t="str">
        <f>IF(E114="","",IF(ISNA(VLOOKUP($E114,'A-1 On-Site Habitat Baseline'!$D$1:$O$258,6,FALSE)),"",(VLOOKUP($E114,'A-1 On-Site Habitat Baseline'!$D$1:$O$258,6,FALSE))))</f>
        <v/>
      </c>
      <c r="I114" s="382" t="str">
        <f>IF(E114="","",IF(ISNA(VLOOKUP($E114,'A-1 On-Site Habitat Baseline'!$D$1:$O$258,7,FALSE)),"",(VLOOKUP($E114,'A-1 On-Site Habitat Baseline'!$D$1:$O$258,7,FALSE))))</f>
        <v/>
      </c>
      <c r="J114" s="382" t="str">
        <f>IF(E114="","",IF(ISNA(VLOOKUP($E114,'A-1 On-Site Habitat Baseline'!$D$1:$O$258,8,FALSE)),"",(VLOOKUP($E114,'A-1 On-Site Habitat Baseline'!$D$1:$O$258,8,FALSE))))</f>
        <v/>
      </c>
      <c r="K114" s="382" t="str">
        <f>IF(E114="","",IF(ISNA(VLOOKUP($E114,'A-1 On-Site Habitat Baseline'!$D$1:$O$258,9,FALSE)),"",(VLOOKUP($E114,'A-1 On-Site Habitat Baseline'!$D$1:$O$258,9,FALSE))))</f>
        <v/>
      </c>
      <c r="L114" s="382" t="str">
        <f>IF(E114="","",IF(ISNA(VLOOKUP($E114,'A-1 On-Site Habitat Baseline'!$D$1:$O$258,11,FALSE)),"",(VLOOKUP($E114,'A-1 On-Site Habitat Baseline'!$D$1:$O$258,11,FALSE))))</f>
        <v/>
      </c>
      <c r="M114" s="382" t="str">
        <f>IF(E114="","",IF(ISNA(VLOOKUP($E114,'A-1 On-Site Habitat Baseline'!$D$1:$O$258,12,FALSE)),"",(VLOOKUP($E114,'A-1 On-Site Habitat Baseline'!$D$1:$O$258,12,FALSE))))</f>
        <v/>
      </c>
      <c r="N114" s="393" t="str">
        <f>IF(E114="","",IF(ISNA(VLOOKUP($E114,'A-1 On-Site Habitat Baseline'!$D$1:$X$258,14,FALSE)),"",(VLOOKUP($E114,'A-1 On-Site Habitat Baseline'!$D$1:$X$258,14,FALSE))))</f>
        <v/>
      </c>
      <c r="O114" s="386" t="str">
        <f>IF(E114="","",IF(ISNA(VLOOKUP($E114,'A-1 On-Site Habitat Baseline'!$D$1:$X$258,16,FALSE)),"",(VLOOKUP($E114,'A-1 On-Site Habitat Baseline'!$D$1:$X$258,13,FALSE))))</f>
        <v/>
      </c>
      <c r="P114" s="192" t="str">
        <f>IFERROR(INDEX('G-1 All Habitats'!$AG$3:$AG$17,MATCH(Q114,'G-1 All Habitats'!$AF$3:$AF$17,0)),"")</f>
        <v/>
      </c>
      <c r="Q114" s="193" t="str">
        <f t="shared" si="13"/>
        <v/>
      </c>
      <c r="R114" s="193" t="str">
        <f t="shared" si="13"/>
        <v/>
      </c>
      <c r="S114" s="306" t="str">
        <f>IFERROR(INDEX('G-1 All Habitats'!$B$3:$B$134,MATCH(R114,'G-1 All Habitats'!$A$3:$A$134,0)),"")</f>
        <v/>
      </c>
      <c r="T114" s="362" t="str">
        <f t="shared" si="14"/>
        <v/>
      </c>
      <c r="U114" s="363" t="str">
        <f t="shared" si="15"/>
        <v/>
      </c>
      <c r="V114" s="398" t="str">
        <f t="shared" si="11"/>
        <v/>
      </c>
      <c r="W114" s="382" t="str">
        <f>IF(S114="","",VLOOKUP(S114,'G-1 All Habitats'!$B$2:$M$134,10,FALSE))</f>
        <v/>
      </c>
      <c r="X114" s="382" t="str">
        <f>IFERROR(VLOOKUP(W114,'G-1 All Habitats'!$V$3:$W$7,2,FALSE),"")</f>
        <v/>
      </c>
      <c r="Y114" s="61"/>
      <c r="Z114" s="386" t="str">
        <f>IFERROR(INDEX('G-8 Condition Look up'!$A$3:$H$135,MATCH(S114,'G-8 Condition Look up'!$A$3:$A$135,0),MATCH(Y114,'G-8 Condition Look up'!$A$3:$H$3,0)),"")</f>
        <v/>
      </c>
      <c r="AA114" s="54"/>
      <c r="AB114" s="382" t="str">
        <f>IF(AA114="","",IF(VLOOKUP(AA114,'G-3 Multipliers'!$L$3:$N$6,2,FALSE)=0,"Spatial Data Missing ⚠",VLOOKUP(AA114,'G-3 Multipliers'!$L$3:$N$6,2,FALSE)))</f>
        <v/>
      </c>
      <c r="AC114" s="386" t="str">
        <f>IF(AA114="","",IF(VLOOKUP(AA114,'G-3 Multipliers'!$L$3:$N$6,3,FALSE)=0,"Spatial Data Missing ⚠",VLOOKUP(AA114,'G-3 Multipliers'!$L$3:$N$6,3,FALSE)))</f>
        <v/>
      </c>
      <c r="AD114" s="400" t="str">
        <f t="shared" si="12"/>
        <v/>
      </c>
      <c r="AE114" s="63"/>
      <c r="AF114" s="63"/>
      <c r="AG114" s="370" t="str">
        <f t="shared" si="16"/>
        <v/>
      </c>
      <c r="AH114" s="383" t="str">
        <f t="shared" si="17"/>
        <v/>
      </c>
      <c r="AI114" s="384" t="str">
        <f>IF(AH114="Check Data","Check Data",IFERROR(VLOOKUP(AH114,'G-4 Temporal multipliers'!$A$4:$C$36,3,FALSE),""))</f>
        <v/>
      </c>
      <c r="AJ114" s="362" t="str">
        <f>IF(S114="","",VLOOKUP(S114,'G-3 Multipliers'!$A$2:$E$134,4,FALSE))</f>
        <v/>
      </c>
      <c r="AK114" s="370" t="str">
        <f t="shared" si="18"/>
        <v/>
      </c>
      <c r="AL114" s="370" t="str">
        <f t="shared" si="19"/>
        <v/>
      </c>
      <c r="AM114" s="401" t="str">
        <f>IFERROR(IF(F114="","",IF(AH114="Check Data ⚠","Check Data ⚠",VLOOKUP(AL114, 'G-3 Multipliers'!$P$2:$Q$6,2,FALSE))),"")</f>
        <v/>
      </c>
      <c r="AN114" s="376" t="str">
        <f t="shared" si="20"/>
        <v/>
      </c>
      <c r="AO114" s="194"/>
      <c r="AP114" s="195"/>
      <c r="AQ114" s="120"/>
    </row>
    <row r="115" spans="1:43">
      <c r="A115" s="35" t="str">
        <f>IF(E115="","",IF(ISNA(VLOOKUP($E115,'A-1 On-Site Habitat Baseline'!$D$1:$O$258,2,FALSE)),"",(VLOOKUP($E115,'A-1 On-Site Habitat Baseline'!$D$1:$O$258,2,FALSE))))</f>
        <v/>
      </c>
      <c r="B115" s="35" t="str">
        <f>IF(E115="","",IF(ISNA(VLOOKUP($E115,'A-1 On-Site Habitat Baseline'!$D$1:$O$258,3,FALSE)),"",(VLOOKUP($E115,'A-1 On-Site Habitat Baseline'!$D$1:$O$258,3,FALSE))))</f>
        <v/>
      </c>
      <c r="C115" s="35" t="str">
        <f>IFERROR(INDEX('G-8 Condition Look up'!$I$4:$I$135,MATCH(S115,'G-8 Condition Look up'!$A$4:$A$135,0)),"")</f>
        <v/>
      </c>
      <c r="E115" s="392" t="str">
        <f>'A-1 On-Site Habitat Baseline'!AL114</f>
        <v/>
      </c>
      <c r="F115" s="382" t="str">
        <f>IF(E115="","",IF(ISNA(VLOOKUP($E115,'A-1 On-Site Habitat Baseline'!$D$1:$O$258,4,FALSE)),"",(VLOOKUP($E115,'A-1 On-Site Habitat Baseline'!$D$1:$O$258,4,FALSE))))</f>
        <v/>
      </c>
      <c r="G115" s="382" t="str">
        <f>IF(E115="","",IF(ISNA(VLOOKUP($E115,'A-1 On-Site Habitat Baseline'!$D$1:$O$258,5,FALSE)),"",(VLOOKUP($E115,'A-1 On-Site Habitat Baseline'!$D$1:$O$258,5,FALSE))))</f>
        <v/>
      </c>
      <c r="H115" s="382" t="str">
        <f>IF(E115="","",IF(ISNA(VLOOKUP($E115,'A-1 On-Site Habitat Baseline'!$D$1:$O$258,6,FALSE)),"",(VLOOKUP($E115,'A-1 On-Site Habitat Baseline'!$D$1:$O$258,6,FALSE))))</f>
        <v/>
      </c>
      <c r="I115" s="382" t="str">
        <f>IF(E115="","",IF(ISNA(VLOOKUP($E115,'A-1 On-Site Habitat Baseline'!$D$1:$O$258,7,FALSE)),"",(VLOOKUP($E115,'A-1 On-Site Habitat Baseline'!$D$1:$O$258,7,FALSE))))</f>
        <v/>
      </c>
      <c r="J115" s="382" t="str">
        <f>IF(E115="","",IF(ISNA(VLOOKUP($E115,'A-1 On-Site Habitat Baseline'!$D$1:$O$258,8,FALSE)),"",(VLOOKUP($E115,'A-1 On-Site Habitat Baseline'!$D$1:$O$258,8,FALSE))))</f>
        <v/>
      </c>
      <c r="K115" s="382" t="str">
        <f>IF(E115="","",IF(ISNA(VLOOKUP($E115,'A-1 On-Site Habitat Baseline'!$D$1:$O$258,9,FALSE)),"",(VLOOKUP($E115,'A-1 On-Site Habitat Baseline'!$D$1:$O$258,9,FALSE))))</f>
        <v/>
      </c>
      <c r="L115" s="382" t="str">
        <f>IF(E115="","",IF(ISNA(VLOOKUP($E115,'A-1 On-Site Habitat Baseline'!$D$1:$O$258,11,FALSE)),"",(VLOOKUP($E115,'A-1 On-Site Habitat Baseline'!$D$1:$O$258,11,FALSE))))</f>
        <v/>
      </c>
      <c r="M115" s="382" t="str">
        <f>IF(E115="","",IF(ISNA(VLOOKUP($E115,'A-1 On-Site Habitat Baseline'!$D$1:$O$258,12,FALSE)),"",(VLOOKUP($E115,'A-1 On-Site Habitat Baseline'!$D$1:$O$258,12,FALSE))))</f>
        <v/>
      </c>
      <c r="N115" s="393" t="str">
        <f>IF(E115="","",IF(ISNA(VLOOKUP($E115,'A-1 On-Site Habitat Baseline'!$D$1:$X$258,14,FALSE)),"",(VLOOKUP($E115,'A-1 On-Site Habitat Baseline'!$D$1:$X$258,14,FALSE))))</f>
        <v/>
      </c>
      <c r="O115" s="386" t="str">
        <f>IF(E115="","",IF(ISNA(VLOOKUP($E115,'A-1 On-Site Habitat Baseline'!$D$1:$X$258,16,FALSE)),"",(VLOOKUP($E115,'A-1 On-Site Habitat Baseline'!$D$1:$X$258,13,FALSE))))</f>
        <v/>
      </c>
      <c r="P115" s="192" t="str">
        <f>IFERROR(INDEX('G-1 All Habitats'!$AG$3:$AG$17,MATCH(Q115,'G-1 All Habitats'!$AF$3:$AF$17,0)),"")</f>
        <v/>
      </c>
      <c r="Q115" s="193" t="str">
        <f t="shared" si="13"/>
        <v/>
      </c>
      <c r="R115" s="193" t="str">
        <f t="shared" si="13"/>
        <v/>
      </c>
      <c r="S115" s="306" t="str">
        <f>IFERROR(INDEX('G-1 All Habitats'!$B$3:$B$134,MATCH(R115,'G-1 All Habitats'!$A$3:$A$134,0)),"")</f>
        <v/>
      </c>
      <c r="T115" s="362" t="str">
        <f t="shared" si="14"/>
        <v/>
      </c>
      <c r="U115" s="363" t="str">
        <f t="shared" si="15"/>
        <v/>
      </c>
      <c r="V115" s="398" t="str">
        <f t="shared" si="11"/>
        <v/>
      </c>
      <c r="W115" s="382" t="str">
        <f>IF(S115="","",VLOOKUP(S115,'G-1 All Habitats'!$B$2:$M$134,10,FALSE))</f>
        <v/>
      </c>
      <c r="X115" s="382" t="str">
        <f>IFERROR(VLOOKUP(W115,'G-1 All Habitats'!$V$3:$W$7,2,FALSE),"")</f>
        <v/>
      </c>
      <c r="Y115" s="61"/>
      <c r="Z115" s="386" t="str">
        <f>IFERROR(INDEX('G-8 Condition Look up'!$A$3:$H$135,MATCH(S115,'G-8 Condition Look up'!$A$3:$A$135,0),MATCH(Y115,'G-8 Condition Look up'!$A$3:$H$3,0)),"")</f>
        <v/>
      </c>
      <c r="AA115" s="54"/>
      <c r="AB115" s="382" t="str">
        <f>IF(AA115="","",IF(VLOOKUP(AA115,'G-3 Multipliers'!$L$3:$N$6,2,FALSE)=0,"Spatial Data Missing ⚠",VLOOKUP(AA115,'G-3 Multipliers'!$L$3:$N$6,2,FALSE)))</f>
        <v/>
      </c>
      <c r="AC115" s="386" t="str">
        <f>IF(AA115="","",IF(VLOOKUP(AA115,'G-3 Multipliers'!$L$3:$N$6,3,FALSE)=0,"Spatial Data Missing ⚠",VLOOKUP(AA115,'G-3 Multipliers'!$L$3:$N$6,3,FALSE)))</f>
        <v/>
      </c>
      <c r="AD115" s="400" t="str">
        <f t="shared" si="12"/>
        <v/>
      </c>
      <c r="AE115" s="63"/>
      <c r="AF115" s="63"/>
      <c r="AG115" s="370" t="str">
        <f t="shared" si="16"/>
        <v/>
      </c>
      <c r="AH115" s="383" t="str">
        <f t="shared" si="17"/>
        <v/>
      </c>
      <c r="AI115" s="384" t="str">
        <f>IF(AH115="Check Data","Check Data",IFERROR(VLOOKUP(AH115,'G-4 Temporal multipliers'!$A$4:$C$36,3,FALSE),""))</f>
        <v/>
      </c>
      <c r="AJ115" s="362" t="str">
        <f>IF(S115="","",VLOOKUP(S115,'G-3 Multipliers'!$A$2:$E$134,4,FALSE))</f>
        <v/>
      </c>
      <c r="AK115" s="370" t="str">
        <f t="shared" si="18"/>
        <v/>
      </c>
      <c r="AL115" s="370" t="str">
        <f t="shared" si="19"/>
        <v/>
      </c>
      <c r="AM115" s="401" t="str">
        <f>IFERROR(IF(F115="","",IF(AH115="Check Data ⚠","Check Data ⚠",VLOOKUP(AL115, 'G-3 Multipliers'!$P$2:$Q$6,2,FALSE))),"")</f>
        <v/>
      </c>
      <c r="AN115" s="376" t="str">
        <f t="shared" si="20"/>
        <v/>
      </c>
      <c r="AO115" s="194"/>
      <c r="AP115" s="195"/>
      <c r="AQ115" s="120"/>
    </row>
    <row r="116" spans="1:43">
      <c r="A116" s="35" t="str">
        <f>IF(E116="","",IF(ISNA(VLOOKUP($E116,'A-1 On-Site Habitat Baseline'!$D$1:$O$258,2,FALSE)),"",(VLOOKUP($E116,'A-1 On-Site Habitat Baseline'!$D$1:$O$258,2,FALSE))))</f>
        <v/>
      </c>
      <c r="B116" s="35" t="str">
        <f>IF(E116="","",IF(ISNA(VLOOKUP($E116,'A-1 On-Site Habitat Baseline'!$D$1:$O$258,3,FALSE)),"",(VLOOKUP($E116,'A-1 On-Site Habitat Baseline'!$D$1:$O$258,3,FALSE))))</f>
        <v/>
      </c>
      <c r="C116" s="35" t="str">
        <f>IFERROR(INDEX('G-8 Condition Look up'!$I$4:$I$135,MATCH(S116,'G-8 Condition Look up'!$A$4:$A$135,0)),"")</f>
        <v/>
      </c>
      <c r="E116" s="392" t="str">
        <f>'A-1 On-Site Habitat Baseline'!AL115</f>
        <v/>
      </c>
      <c r="F116" s="382" t="str">
        <f>IF(E116="","",IF(ISNA(VLOOKUP($E116,'A-1 On-Site Habitat Baseline'!$D$1:$O$258,4,FALSE)),"",(VLOOKUP($E116,'A-1 On-Site Habitat Baseline'!$D$1:$O$258,4,FALSE))))</f>
        <v/>
      </c>
      <c r="G116" s="382" t="str">
        <f>IF(E116="","",IF(ISNA(VLOOKUP($E116,'A-1 On-Site Habitat Baseline'!$D$1:$O$258,5,FALSE)),"",(VLOOKUP($E116,'A-1 On-Site Habitat Baseline'!$D$1:$O$258,5,FALSE))))</f>
        <v/>
      </c>
      <c r="H116" s="382" t="str">
        <f>IF(E116="","",IF(ISNA(VLOOKUP($E116,'A-1 On-Site Habitat Baseline'!$D$1:$O$258,6,FALSE)),"",(VLOOKUP($E116,'A-1 On-Site Habitat Baseline'!$D$1:$O$258,6,FALSE))))</f>
        <v/>
      </c>
      <c r="I116" s="382" t="str">
        <f>IF(E116="","",IF(ISNA(VLOOKUP($E116,'A-1 On-Site Habitat Baseline'!$D$1:$O$258,7,FALSE)),"",(VLOOKUP($E116,'A-1 On-Site Habitat Baseline'!$D$1:$O$258,7,FALSE))))</f>
        <v/>
      </c>
      <c r="J116" s="382" t="str">
        <f>IF(E116="","",IF(ISNA(VLOOKUP($E116,'A-1 On-Site Habitat Baseline'!$D$1:$O$258,8,FALSE)),"",(VLOOKUP($E116,'A-1 On-Site Habitat Baseline'!$D$1:$O$258,8,FALSE))))</f>
        <v/>
      </c>
      <c r="K116" s="382" t="str">
        <f>IF(E116="","",IF(ISNA(VLOOKUP($E116,'A-1 On-Site Habitat Baseline'!$D$1:$O$258,9,FALSE)),"",(VLOOKUP($E116,'A-1 On-Site Habitat Baseline'!$D$1:$O$258,9,FALSE))))</f>
        <v/>
      </c>
      <c r="L116" s="382" t="str">
        <f>IF(E116="","",IF(ISNA(VLOOKUP($E116,'A-1 On-Site Habitat Baseline'!$D$1:$O$258,11,FALSE)),"",(VLOOKUP($E116,'A-1 On-Site Habitat Baseline'!$D$1:$O$258,11,FALSE))))</f>
        <v/>
      </c>
      <c r="M116" s="382" t="str">
        <f>IF(E116="","",IF(ISNA(VLOOKUP($E116,'A-1 On-Site Habitat Baseline'!$D$1:$O$258,12,FALSE)),"",(VLOOKUP($E116,'A-1 On-Site Habitat Baseline'!$D$1:$O$258,12,FALSE))))</f>
        <v/>
      </c>
      <c r="N116" s="393" t="str">
        <f>IF(E116="","",IF(ISNA(VLOOKUP($E116,'A-1 On-Site Habitat Baseline'!$D$1:$X$258,14,FALSE)),"",(VLOOKUP($E116,'A-1 On-Site Habitat Baseline'!$D$1:$X$258,14,FALSE))))</f>
        <v/>
      </c>
      <c r="O116" s="386" t="str">
        <f>IF(E116="","",IF(ISNA(VLOOKUP($E116,'A-1 On-Site Habitat Baseline'!$D$1:$X$258,16,FALSE)),"",(VLOOKUP($E116,'A-1 On-Site Habitat Baseline'!$D$1:$X$258,13,FALSE))))</f>
        <v/>
      </c>
      <c r="P116" s="192" t="str">
        <f>IFERROR(INDEX('G-1 All Habitats'!$AG$3:$AG$17,MATCH(Q116,'G-1 All Habitats'!$AF$3:$AF$17,0)),"")</f>
        <v/>
      </c>
      <c r="Q116" s="193" t="str">
        <f t="shared" si="13"/>
        <v/>
      </c>
      <c r="R116" s="193" t="str">
        <f t="shared" si="13"/>
        <v/>
      </c>
      <c r="S116" s="306" t="str">
        <f>IFERROR(INDEX('G-1 All Habitats'!$B$3:$B$134,MATCH(R116,'G-1 All Habitats'!$A$3:$A$134,0)),"")</f>
        <v/>
      </c>
      <c r="T116" s="362" t="str">
        <f t="shared" si="14"/>
        <v/>
      </c>
      <c r="U116" s="363" t="str">
        <f t="shared" si="15"/>
        <v/>
      </c>
      <c r="V116" s="398" t="str">
        <f t="shared" si="11"/>
        <v/>
      </c>
      <c r="W116" s="382" t="str">
        <f>IF(S116="","",VLOOKUP(S116,'G-1 All Habitats'!$B$2:$M$134,10,FALSE))</f>
        <v/>
      </c>
      <c r="X116" s="382" t="str">
        <f>IFERROR(VLOOKUP(W116,'G-1 All Habitats'!$V$3:$W$7,2,FALSE),"")</f>
        <v/>
      </c>
      <c r="Y116" s="61"/>
      <c r="Z116" s="386" t="str">
        <f>IFERROR(INDEX('G-8 Condition Look up'!$A$3:$H$135,MATCH(S116,'G-8 Condition Look up'!$A$3:$A$135,0),MATCH(Y116,'G-8 Condition Look up'!$A$3:$H$3,0)),"")</f>
        <v/>
      </c>
      <c r="AA116" s="54"/>
      <c r="AB116" s="382" t="str">
        <f>IF(AA116="","",IF(VLOOKUP(AA116,'G-3 Multipliers'!$L$3:$N$6,2,FALSE)=0,"Spatial Data Missing ⚠",VLOOKUP(AA116,'G-3 Multipliers'!$L$3:$N$6,2,FALSE)))</f>
        <v/>
      </c>
      <c r="AC116" s="386" t="str">
        <f>IF(AA116="","",IF(VLOOKUP(AA116,'G-3 Multipliers'!$L$3:$N$6,3,FALSE)=0,"Spatial Data Missing ⚠",VLOOKUP(AA116,'G-3 Multipliers'!$L$3:$N$6,3,FALSE)))</f>
        <v/>
      </c>
      <c r="AD116" s="400" t="str">
        <f t="shared" si="12"/>
        <v/>
      </c>
      <c r="AE116" s="63"/>
      <c r="AF116" s="63"/>
      <c r="AG116" s="370" t="str">
        <f t="shared" si="16"/>
        <v/>
      </c>
      <c r="AH116" s="383" t="str">
        <f t="shared" si="17"/>
        <v/>
      </c>
      <c r="AI116" s="384" t="str">
        <f>IF(AH116="Check Data","Check Data",IFERROR(VLOOKUP(AH116,'G-4 Temporal multipliers'!$A$4:$C$36,3,FALSE),""))</f>
        <v/>
      </c>
      <c r="AJ116" s="362" t="str">
        <f>IF(S116="","",VLOOKUP(S116,'G-3 Multipliers'!$A$2:$E$134,4,FALSE))</f>
        <v/>
      </c>
      <c r="AK116" s="370" t="str">
        <f t="shared" si="18"/>
        <v/>
      </c>
      <c r="AL116" s="370" t="str">
        <f t="shared" si="19"/>
        <v/>
      </c>
      <c r="AM116" s="401" t="str">
        <f>IFERROR(IF(F116="","",IF(AH116="Check Data ⚠","Check Data ⚠",VLOOKUP(AL116, 'G-3 Multipliers'!$P$2:$Q$6,2,FALSE))),"")</f>
        <v/>
      </c>
      <c r="AN116" s="376" t="str">
        <f t="shared" si="20"/>
        <v/>
      </c>
      <c r="AO116" s="194"/>
      <c r="AP116" s="195"/>
      <c r="AQ116" s="120"/>
    </row>
    <row r="117" spans="1:43">
      <c r="A117" s="35" t="str">
        <f>IF(E117="","",IF(ISNA(VLOOKUP($E117,'A-1 On-Site Habitat Baseline'!$D$1:$O$258,2,FALSE)),"",(VLOOKUP($E117,'A-1 On-Site Habitat Baseline'!$D$1:$O$258,2,FALSE))))</f>
        <v/>
      </c>
      <c r="B117" s="35" t="str">
        <f>IF(E117="","",IF(ISNA(VLOOKUP($E117,'A-1 On-Site Habitat Baseline'!$D$1:$O$258,3,FALSE)),"",(VLOOKUP($E117,'A-1 On-Site Habitat Baseline'!$D$1:$O$258,3,FALSE))))</f>
        <v/>
      </c>
      <c r="C117" s="35" t="str">
        <f>IFERROR(INDEX('G-8 Condition Look up'!$I$4:$I$135,MATCH(S117,'G-8 Condition Look up'!$A$4:$A$135,0)),"")</f>
        <v/>
      </c>
      <c r="E117" s="392" t="str">
        <f>'A-1 On-Site Habitat Baseline'!AL116</f>
        <v/>
      </c>
      <c r="F117" s="382" t="str">
        <f>IF(E117="","",IF(ISNA(VLOOKUP($E117,'A-1 On-Site Habitat Baseline'!$D$1:$O$258,4,FALSE)),"",(VLOOKUP($E117,'A-1 On-Site Habitat Baseline'!$D$1:$O$258,4,FALSE))))</f>
        <v/>
      </c>
      <c r="G117" s="382" t="str">
        <f>IF(E117="","",IF(ISNA(VLOOKUP($E117,'A-1 On-Site Habitat Baseline'!$D$1:$O$258,5,FALSE)),"",(VLOOKUP($E117,'A-1 On-Site Habitat Baseline'!$D$1:$O$258,5,FALSE))))</f>
        <v/>
      </c>
      <c r="H117" s="382" t="str">
        <f>IF(E117="","",IF(ISNA(VLOOKUP($E117,'A-1 On-Site Habitat Baseline'!$D$1:$O$258,6,FALSE)),"",(VLOOKUP($E117,'A-1 On-Site Habitat Baseline'!$D$1:$O$258,6,FALSE))))</f>
        <v/>
      </c>
      <c r="I117" s="382" t="str">
        <f>IF(E117="","",IF(ISNA(VLOOKUP($E117,'A-1 On-Site Habitat Baseline'!$D$1:$O$258,7,FALSE)),"",(VLOOKUP($E117,'A-1 On-Site Habitat Baseline'!$D$1:$O$258,7,FALSE))))</f>
        <v/>
      </c>
      <c r="J117" s="382" t="str">
        <f>IF(E117="","",IF(ISNA(VLOOKUP($E117,'A-1 On-Site Habitat Baseline'!$D$1:$O$258,8,FALSE)),"",(VLOOKUP($E117,'A-1 On-Site Habitat Baseline'!$D$1:$O$258,8,FALSE))))</f>
        <v/>
      </c>
      <c r="K117" s="382" t="str">
        <f>IF(E117="","",IF(ISNA(VLOOKUP($E117,'A-1 On-Site Habitat Baseline'!$D$1:$O$258,9,FALSE)),"",(VLOOKUP($E117,'A-1 On-Site Habitat Baseline'!$D$1:$O$258,9,FALSE))))</f>
        <v/>
      </c>
      <c r="L117" s="382" t="str">
        <f>IF(E117="","",IF(ISNA(VLOOKUP($E117,'A-1 On-Site Habitat Baseline'!$D$1:$O$258,11,FALSE)),"",(VLOOKUP($E117,'A-1 On-Site Habitat Baseline'!$D$1:$O$258,11,FALSE))))</f>
        <v/>
      </c>
      <c r="M117" s="382" t="str">
        <f>IF(E117="","",IF(ISNA(VLOOKUP($E117,'A-1 On-Site Habitat Baseline'!$D$1:$O$258,12,FALSE)),"",(VLOOKUP($E117,'A-1 On-Site Habitat Baseline'!$D$1:$O$258,12,FALSE))))</f>
        <v/>
      </c>
      <c r="N117" s="393" t="str">
        <f>IF(E117="","",IF(ISNA(VLOOKUP($E117,'A-1 On-Site Habitat Baseline'!$D$1:$X$258,14,FALSE)),"",(VLOOKUP($E117,'A-1 On-Site Habitat Baseline'!$D$1:$X$258,14,FALSE))))</f>
        <v/>
      </c>
      <c r="O117" s="386" t="str">
        <f>IF(E117="","",IF(ISNA(VLOOKUP($E117,'A-1 On-Site Habitat Baseline'!$D$1:$X$258,16,FALSE)),"",(VLOOKUP($E117,'A-1 On-Site Habitat Baseline'!$D$1:$X$258,13,FALSE))))</f>
        <v/>
      </c>
      <c r="P117" s="192" t="str">
        <f>IFERROR(INDEX('G-1 All Habitats'!$AG$3:$AG$17,MATCH(Q117,'G-1 All Habitats'!$AF$3:$AF$17,0)),"")</f>
        <v/>
      </c>
      <c r="Q117" s="193" t="str">
        <f t="shared" si="13"/>
        <v/>
      </c>
      <c r="R117" s="193" t="str">
        <f t="shared" si="13"/>
        <v/>
      </c>
      <c r="S117" s="306" t="str">
        <f>IFERROR(INDEX('G-1 All Habitats'!$B$3:$B$134,MATCH(R117,'G-1 All Habitats'!$A$3:$A$134,0)),"")</f>
        <v/>
      </c>
      <c r="T117" s="362" t="str">
        <f t="shared" si="14"/>
        <v/>
      </c>
      <c r="U117" s="363" t="str">
        <f t="shared" si="15"/>
        <v/>
      </c>
      <c r="V117" s="398" t="str">
        <f t="shared" si="11"/>
        <v/>
      </c>
      <c r="W117" s="382" t="str">
        <f>IF(S117="","",VLOOKUP(S117,'G-1 All Habitats'!$B$2:$M$134,10,FALSE))</f>
        <v/>
      </c>
      <c r="X117" s="382" t="str">
        <f>IFERROR(VLOOKUP(W117,'G-1 All Habitats'!$V$3:$W$7,2,FALSE),"")</f>
        <v/>
      </c>
      <c r="Y117" s="61"/>
      <c r="Z117" s="386" t="str">
        <f>IFERROR(INDEX('G-8 Condition Look up'!$A$3:$H$135,MATCH(S117,'G-8 Condition Look up'!$A$3:$A$135,0),MATCH(Y117,'G-8 Condition Look up'!$A$3:$H$3,0)),"")</f>
        <v/>
      </c>
      <c r="AA117" s="54"/>
      <c r="AB117" s="382" t="str">
        <f>IF(AA117="","",IF(VLOOKUP(AA117,'G-3 Multipliers'!$L$3:$N$6,2,FALSE)=0,"Spatial Data Missing ⚠",VLOOKUP(AA117,'G-3 Multipliers'!$L$3:$N$6,2,FALSE)))</f>
        <v/>
      </c>
      <c r="AC117" s="386" t="str">
        <f>IF(AA117="","",IF(VLOOKUP(AA117,'G-3 Multipliers'!$L$3:$N$6,3,FALSE)=0,"Spatial Data Missing ⚠",VLOOKUP(AA117,'G-3 Multipliers'!$L$3:$N$6,3,FALSE)))</f>
        <v/>
      </c>
      <c r="AD117" s="400" t="str">
        <f t="shared" si="12"/>
        <v/>
      </c>
      <c r="AE117" s="63"/>
      <c r="AF117" s="63"/>
      <c r="AG117" s="370" t="str">
        <f t="shared" si="16"/>
        <v/>
      </c>
      <c r="AH117" s="383" t="str">
        <f t="shared" si="17"/>
        <v/>
      </c>
      <c r="AI117" s="384" t="str">
        <f>IF(AH117="Check Data","Check Data",IFERROR(VLOOKUP(AH117,'G-4 Temporal multipliers'!$A$4:$C$36,3,FALSE),""))</f>
        <v/>
      </c>
      <c r="AJ117" s="362" t="str">
        <f>IF(S117="","",VLOOKUP(S117,'G-3 Multipliers'!$A$2:$E$134,4,FALSE))</f>
        <v/>
      </c>
      <c r="AK117" s="370" t="str">
        <f t="shared" si="18"/>
        <v/>
      </c>
      <c r="AL117" s="370" t="str">
        <f t="shared" si="19"/>
        <v/>
      </c>
      <c r="AM117" s="401" t="str">
        <f>IFERROR(IF(F117="","",IF(AH117="Check Data ⚠","Check Data ⚠",VLOOKUP(AL117, 'G-3 Multipliers'!$P$2:$Q$6,2,FALSE))),"")</f>
        <v/>
      </c>
      <c r="AN117" s="376" t="str">
        <f t="shared" si="20"/>
        <v/>
      </c>
      <c r="AO117" s="194"/>
      <c r="AP117" s="195"/>
      <c r="AQ117" s="120"/>
    </row>
    <row r="118" spans="1:43">
      <c r="A118" s="35" t="str">
        <f>IF(E118="","",IF(ISNA(VLOOKUP($E118,'A-1 On-Site Habitat Baseline'!$D$1:$O$258,2,FALSE)),"",(VLOOKUP($E118,'A-1 On-Site Habitat Baseline'!$D$1:$O$258,2,FALSE))))</f>
        <v/>
      </c>
      <c r="B118" s="35" t="str">
        <f>IF(E118="","",IF(ISNA(VLOOKUP($E118,'A-1 On-Site Habitat Baseline'!$D$1:$O$258,3,FALSE)),"",(VLOOKUP($E118,'A-1 On-Site Habitat Baseline'!$D$1:$O$258,3,FALSE))))</f>
        <v/>
      </c>
      <c r="C118" s="35" t="str">
        <f>IFERROR(INDEX('G-8 Condition Look up'!$I$4:$I$135,MATCH(S118,'G-8 Condition Look up'!$A$4:$A$135,0)),"")</f>
        <v/>
      </c>
      <c r="E118" s="392" t="str">
        <f>'A-1 On-Site Habitat Baseline'!AL117</f>
        <v/>
      </c>
      <c r="F118" s="382" t="str">
        <f>IF(E118="","",IF(ISNA(VLOOKUP($E118,'A-1 On-Site Habitat Baseline'!$D$1:$O$258,4,FALSE)),"",(VLOOKUP($E118,'A-1 On-Site Habitat Baseline'!$D$1:$O$258,4,FALSE))))</f>
        <v/>
      </c>
      <c r="G118" s="382" t="str">
        <f>IF(E118="","",IF(ISNA(VLOOKUP($E118,'A-1 On-Site Habitat Baseline'!$D$1:$O$258,5,FALSE)),"",(VLOOKUP($E118,'A-1 On-Site Habitat Baseline'!$D$1:$O$258,5,FALSE))))</f>
        <v/>
      </c>
      <c r="H118" s="382" t="str">
        <f>IF(E118="","",IF(ISNA(VLOOKUP($E118,'A-1 On-Site Habitat Baseline'!$D$1:$O$258,6,FALSE)),"",(VLOOKUP($E118,'A-1 On-Site Habitat Baseline'!$D$1:$O$258,6,FALSE))))</f>
        <v/>
      </c>
      <c r="I118" s="382" t="str">
        <f>IF(E118="","",IF(ISNA(VLOOKUP($E118,'A-1 On-Site Habitat Baseline'!$D$1:$O$258,7,FALSE)),"",(VLOOKUP($E118,'A-1 On-Site Habitat Baseline'!$D$1:$O$258,7,FALSE))))</f>
        <v/>
      </c>
      <c r="J118" s="382" t="str">
        <f>IF(E118="","",IF(ISNA(VLOOKUP($E118,'A-1 On-Site Habitat Baseline'!$D$1:$O$258,8,FALSE)),"",(VLOOKUP($E118,'A-1 On-Site Habitat Baseline'!$D$1:$O$258,8,FALSE))))</f>
        <v/>
      </c>
      <c r="K118" s="382" t="str">
        <f>IF(E118="","",IF(ISNA(VLOOKUP($E118,'A-1 On-Site Habitat Baseline'!$D$1:$O$258,9,FALSE)),"",(VLOOKUP($E118,'A-1 On-Site Habitat Baseline'!$D$1:$O$258,9,FALSE))))</f>
        <v/>
      </c>
      <c r="L118" s="382" t="str">
        <f>IF(E118="","",IF(ISNA(VLOOKUP($E118,'A-1 On-Site Habitat Baseline'!$D$1:$O$258,11,FALSE)),"",(VLOOKUP($E118,'A-1 On-Site Habitat Baseline'!$D$1:$O$258,11,FALSE))))</f>
        <v/>
      </c>
      <c r="M118" s="382" t="str">
        <f>IF(E118="","",IF(ISNA(VLOOKUP($E118,'A-1 On-Site Habitat Baseline'!$D$1:$O$258,12,FALSE)),"",(VLOOKUP($E118,'A-1 On-Site Habitat Baseline'!$D$1:$O$258,12,FALSE))))</f>
        <v/>
      </c>
      <c r="N118" s="393" t="str">
        <f>IF(E118="","",IF(ISNA(VLOOKUP($E118,'A-1 On-Site Habitat Baseline'!$D$1:$X$258,14,FALSE)),"",(VLOOKUP($E118,'A-1 On-Site Habitat Baseline'!$D$1:$X$258,14,FALSE))))</f>
        <v/>
      </c>
      <c r="O118" s="386" t="str">
        <f>IF(E118="","",IF(ISNA(VLOOKUP($E118,'A-1 On-Site Habitat Baseline'!$D$1:$X$258,16,FALSE)),"",(VLOOKUP($E118,'A-1 On-Site Habitat Baseline'!$D$1:$X$258,13,FALSE))))</f>
        <v/>
      </c>
      <c r="P118" s="192" t="str">
        <f>IFERROR(INDEX('G-1 All Habitats'!$AG$3:$AG$17,MATCH(Q118,'G-1 All Habitats'!$AF$3:$AF$17,0)),"")</f>
        <v/>
      </c>
      <c r="Q118" s="193" t="str">
        <f t="shared" si="13"/>
        <v/>
      </c>
      <c r="R118" s="193" t="str">
        <f t="shared" si="13"/>
        <v/>
      </c>
      <c r="S118" s="306" t="str">
        <f>IFERROR(INDEX('G-1 All Habitats'!$B$3:$B$134,MATCH(R118,'G-1 All Habitats'!$A$3:$A$134,0)),"")</f>
        <v/>
      </c>
      <c r="T118" s="362" t="str">
        <f t="shared" si="14"/>
        <v/>
      </c>
      <c r="U118" s="363" t="str">
        <f t="shared" si="15"/>
        <v/>
      </c>
      <c r="V118" s="398" t="str">
        <f t="shared" si="11"/>
        <v/>
      </c>
      <c r="W118" s="382" t="str">
        <f>IF(S118="","",VLOOKUP(S118,'G-1 All Habitats'!$B$2:$M$134,10,FALSE))</f>
        <v/>
      </c>
      <c r="X118" s="382" t="str">
        <f>IFERROR(VLOOKUP(W118,'G-1 All Habitats'!$V$3:$W$7,2,FALSE),"")</f>
        <v/>
      </c>
      <c r="Y118" s="61"/>
      <c r="Z118" s="386" t="str">
        <f>IFERROR(INDEX('G-8 Condition Look up'!$A$3:$H$135,MATCH(S118,'G-8 Condition Look up'!$A$3:$A$135,0),MATCH(Y118,'G-8 Condition Look up'!$A$3:$H$3,0)),"")</f>
        <v/>
      </c>
      <c r="AA118" s="54"/>
      <c r="AB118" s="382" t="str">
        <f>IF(AA118="","",IF(VLOOKUP(AA118,'G-3 Multipliers'!$L$3:$N$6,2,FALSE)=0,"Spatial Data Missing ⚠",VLOOKUP(AA118,'G-3 Multipliers'!$L$3:$N$6,2,FALSE)))</f>
        <v/>
      </c>
      <c r="AC118" s="386" t="str">
        <f>IF(AA118="","",IF(VLOOKUP(AA118,'G-3 Multipliers'!$L$3:$N$6,3,FALSE)=0,"Spatial Data Missing ⚠",VLOOKUP(AA118,'G-3 Multipliers'!$L$3:$N$6,3,FALSE)))</f>
        <v/>
      </c>
      <c r="AD118" s="400" t="str">
        <f t="shared" si="12"/>
        <v/>
      </c>
      <c r="AE118" s="63"/>
      <c r="AF118" s="63"/>
      <c r="AG118" s="370" t="str">
        <f t="shared" si="16"/>
        <v/>
      </c>
      <c r="AH118" s="383" t="str">
        <f t="shared" si="17"/>
        <v/>
      </c>
      <c r="AI118" s="384" t="str">
        <f>IF(AH118="Check Data","Check Data",IFERROR(VLOOKUP(AH118,'G-4 Temporal multipliers'!$A$4:$C$36,3,FALSE),""))</f>
        <v/>
      </c>
      <c r="AJ118" s="362" t="str">
        <f>IF(S118="","",VLOOKUP(S118,'G-3 Multipliers'!$A$2:$E$134,4,FALSE))</f>
        <v/>
      </c>
      <c r="AK118" s="370" t="str">
        <f t="shared" si="18"/>
        <v/>
      </c>
      <c r="AL118" s="370" t="str">
        <f t="shared" si="19"/>
        <v/>
      </c>
      <c r="AM118" s="401" t="str">
        <f>IFERROR(IF(F118="","",IF(AH118="Check Data ⚠","Check Data ⚠",VLOOKUP(AL118, 'G-3 Multipliers'!$P$2:$Q$6,2,FALSE))),"")</f>
        <v/>
      </c>
      <c r="AN118" s="376" t="str">
        <f t="shared" si="20"/>
        <v/>
      </c>
      <c r="AO118" s="194"/>
      <c r="AP118" s="195"/>
      <c r="AQ118" s="120"/>
    </row>
    <row r="119" spans="1:43">
      <c r="A119" s="35" t="str">
        <f>IF(E119="","",IF(ISNA(VLOOKUP($E119,'A-1 On-Site Habitat Baseline'!$D$1:$O$258,2,FALSE)),"",(VLOOKUP($E119,'A-1 On-Site Habitat Baseline'!$D$1:$O$258,2,FALSE))))</f>
        <v/>
      </c>
      <c r="B119" s="35" t="str">
        <f>IF(E119="","",IF(ISNA(VLOOKUP($E119,'A-1 On-Site Habitat Baseline'!$D$1:$O$258,3,FALSE)),"",(VLOOKUP($E119,'A-1 On-Site Habitat Baseline'!$D$1:$O$258,3,FALSE))))</f>
        <v/>
      </c>
      <c r="C119" s="35" t="str">
        <f>IFERROR(INDEX('G-8 Condition Look up'!$I$4:$I$135,MATCH(S119,'G-8 Condition Look up'!$A$4:$A$135,0)),"")</f>
        <v/>
      </c>
      <c r="E119" s="392" t="str">
        <f>'A-1 On-Site Habitat Baseline'!AL118</f>
        <v/>
      </c>
      <c r="F119" s="382" t="str">
        <f>IF(E119="","",IF(ISNA(VLOOKUP($E119,'A-1 On-Site Habitat Baseline'!$D$1:$O$258,4,FALSE)),"",(VLOOKUP($E119,'A-1 On-Site Habitat Baseline'!$D$1:$O$258,4,FALSE))))</f>
        <v/>
      </c>
      <c r="G119" s="382" t="str">
        <f>IF(E119="","",IF(ISNA(VLOOKUP($E119,'A-1 On-Site Habitat Baseline'!$D$1:$O$258,5,FALSE)),"",(VLOOKUP($E119,'A-1 On-Site Habitat Baseline'!$D$1:$O$258,5,FALSE))))</f>
        <v/>
      </c>
      <c r="H119" s="382" t="str">
        <f>IF(E119="","",IF(ISNA(VLOOKUP($E119,'A-1 On-Site Habitat Baseline'!$D$1:$O$258,6,FALSE)),"",(VLOOKUP($E119,'A-1 On-Site Habitat Baseline'!$D$1:$O$258,6,FALSE))))</f>
        <v/>
      </c>
      <c r="I119" s="382" t="str">
        <f>IF(E119="","",IF(ISNA(VLOOKUP($E119,'A-1 On-Site Habitat Baseline'!$D$1:$O$258,7,FALSE)),"",(VLOOKUP($E119,'A-1 On-Site Habitat Baseline'!$D$1:$O$258,7,FALSE))))</f>
        <v/>
      </c>
      <c r="J119" s="382" t="str">
        <f>IF(E119="","",IF(ISNA(VLOOKUP($E119,'A-1 On-Site Habitat Baseline'!$D$1:$O$258,8,FALSE)),"",(VLOOKUP($E119,'A-1 On-Site Habitat Baseline'!$D$1:$O$258,8,FALSE))))</f>
        <v/>
      </c>
      <c r="K119" s="382" t="str">
        <f>IF(E119="","",IF(ISNA(VLOOKUP($E119,'A-1 On-Site Habitat Baseline'!$D$1:$O$258,9,FALSE)),"",(VLOOKUP($E119,'A-1 On-Site Habitat Baseline'!$D$1:$O$258,9,FALSE))))</f>
        <v/>
      </c>
      <c r="L119" s="382" t="str">
        <f>IF(E119="","",IF(ISNA(VLOOKUP($E119,'A-1 On-Site Habitat Baseline'!$D$1:$O$258,11,FALSE)),"",(VLOOKUP($E119,'A-1 On-Site Habitat Baseline'!$D$1:$O$258,11,FALSE))))</f>
        <v/>
      </c>
      <c r="M119" s="382" t="str">
        <f>IF(E119="","",IF(ISNA(VLOOKUP($E119,'A-1 On-Site Habitat Baseline'!$D$1:$O$258,12,FALSE)),"",(VLOOKUP($E119,'A-1 On-Site Habitat Baseline'!$D$1:$O$258,12,FALSE))))</f>
        <v/>
      </c>
      <c r="N119" s="393" t="str">
        <f>IF(E119="","",IF(ISNA(VLOOKUP($E119,'A-1 On-Site Habitat Baseline'!$D$1:$X$258,14,FALSE)),"",(VLOOKUP($E119,'A-1 On-Site Habitat Baseline'!$D$1:$X$258,14,FALSE))))</f>
        <v/>
      </c>
      <c r="O119" s="386" t="str">
        <f>IF(E119="","",IF(ISNA(VLOOKUP($E119,'A-1 On-Site Habitat Baseline'!$D$1:$X$258,16,FALSE)),"",(VLOOKUP($E119,'A-1 On-Site Habitat Baseline'!$D$1:$X$258,13,FALSE))))</f>
        <v/>
      </c>
      <c r="P119" s="192" t="str">
        <f>IFERROR(INDEX('G-1 All Habitats'!$AG$3:$AG$17,MATCH(Q119,'G-1 All Habitats'!$AF$3:$AF$17,0)),"")</f>
        <v/>
      </c>
      <c r="Q119" s="193" t="str">
        <f t="shared" si="13"/>
        <v/>
      </c>
      <c r="R119" s="193" t="str">
        <f t="shared" si="13"/>
        <v/>
      </c>
      <c r="S119" s="306" t="str">
        <f>IFERROR(INDEX('G-1 All Habitats'!$B$3:$B$134,MATCH(R119,'G-1 All Habitats'!$A$3:$A$134,0)),"")</f>
        <v/>
      </c>
      <c r="T119" s="362" t="str">
        <f t="shared" si="14"/>
        <v/>
      </c>
      <c r="U119" s="363" t="str">
        <f t="shared" si="15"/>
        <v/>
      </c>
      <c r="V119" s="398" t="str">
        <f t="shared" si="11"/>
        <v/>
      </c>
      <c r="W119" s="382" t="str">
        <f>IF(S119="","",VLOOKUP(S119,'G-1 All Habitats'!$B$2:$M$134,10,FALSE))</f>
        <v/>
      </c>
      <c r="X119" s="382" t="str">
        <f>IFERROR(VLOOKUP(W119,'G-1 All Habitats'!$V$3:$W$7,2,FALSE),"")</f>
        <v/>
      </c>
      <c r="Y119" s="61"/>
      <c r="Z119" s="386" t="str">
        <f>IFERROR(INDEX('G-8 Condition Look up'!$A$3:$H$135,MATCH(S119,'G-8 Condition Look up'!$A$3:$A$135,0),MATCH(Y119,'G-8 Condition Look up'!$A$3:$H$3,0)),"")</f>
        <v/>
      </c>
      <c r="AA119" s="54"/>
      <c r="AB119" s="382" t="str">
        <f>IF(AA119="","",IF(VLOOKUP(AA119,'G-3 Multipliers'!$L$3:$N$6,2,FALSE)=0,"Spatial Data Missing ⚠",VLOOKUP(AA119,'G-3 Multipliers'!$L$3:$N$6,2,FALSE)))</f>
        <v/>
      </c>
      <c r="AC119" s="386" t="str">
        <f>IF(AA119="","",IF(VLOOKUP(AA119,'G-3 Multipliers'!$L$3:$N$6,3,FALSE)=0,"Spatial Data Missing ⚠",VLOOKUP(AA119,'G-3 Multipliers'!$L$3:$N$6,3,FALSE)))</f>
        <v/>
      </c>
      <c r="AD119" s="400" t="str">
        <f t="shared" si="12"/>
        <v/>
      </c>
      <c r="AE119" s="63"/>
      <c r="AF119" s="63"/>
      <c r="AG119" s="370" t="str">
        <f t="shared" si="16"/>
        <v/>
      </c>
      <c r="AH119" s="383" t="str">
        <f t="shared" si="17"/>
        <v/>
      </c>
      <c r="AI119" s="384" t="str">
        <f>IF(AH119="Check Data","Check Data",IFERROR(VLOOKUP(AH119,'G-4 Temporal multipliers'!$A$4:$C$36,3,FALSE),""))</f>
        <v/>
      </c>
      <c r="AJ119" s="362" t="str">
        <f>IF(S119="","",VLOOKUP(S119,'G-3 Multipliers'!$A$2:$E$134,4,FALSE))</f>
        <v/>
      </c>
      <c r="AK119" s="370" t="str">
        <f t="shared" si="18"/>
        <v/>
      </c>
      <c r="AL119" s="370" t="str">
        <f t="shared" si="19"/>
        <v/>
      </c>
      <c r="AM119" s="401" t="str">
        <f>IFERROR(IF(F119="","",IF(AH119="Check Data ⚠","Check Data ⚠",VLOOKUP(AL119, 'G-3 Multipliers'!$P$2:$Q$6,2,FALSE))),"")</f>
        <v/>
      </c>
      <c r="AN119" s="376" t="str">
        <f t="shared" si="20"/>
        <v/>
      </c>
      <c r="AO119" s="194"/>
      <c r="AP119" s="195"/>
      <c r="AQ119" s="120"/>
    </row>
    <row r="120" spans="1:43">
      <c r="A120" s="35" t="str">
        <f>IF(E120="","",IF(ISNA(VLOOKUP($E120,'A-1 On-Site Habitat Baseline'!$D$1:$O$258,2,FALSE)),"",(VLOOKUP($E120,'A-1 On-Site Habitat Baseline'!$D$1:$O$258,2,FALSE))))</f>
        <v/>
      </c>
      <c r="B120" s="35" t="str">
        <f>IF(E120="","",IF(ISNA(VLOOKUP($E120,'A-1 On-Site Habitat Baseline'!$D$1:$O$258,3,FALSE)),"",(VLOOKUP($E120,'A-1 On-Site Habitat Baseline'!$D$1:$O$258,3,FALSE))))</f>
        <v/>
      </c>
      <c r="C120" s="35" t="str">
        <f>IFERROR(INDEX('G-8 Condition Look up'!$I$4:$I$135,MATCH(S120,'G-8 Condition Look up'!$A$4:$A$135,0)),"")</f>
        <v/>
      </c>
      <c r="E120" s="392" t="str">
        <f>'A-1 On-Site Habitat Baseline'!AL119</f>
        <v/>
      </c>
      <c r="F120" s="382" t="str">
        <f>IF(E120="","",IF(ISNA(VLOOKUP($E120,'A-1 On-Site Habitat Baseline'!$D$1:$O$258,4,FALSE)),"",(VLOOKUP($E120,'A-1 On-Site Habitat Baseline'!$D$1:$O$258,4,FALSE))))</f>
        <v/>
      </c>
      <c r="G120" s="382" t="str">
        <f>IF(E120="","",IF(ISNA(VLOOKUP($E120,'A-1 On-Site Habitat Baseline'!$D$1:$O$258,5,FALSE)),"",(VLOOKUP($E120,'A-1 On-Site Habitat Baseline'!$D$1:$O$258,5,FALSE))))</f>
        <v/>
      </c>
      <c r="H120" s="382" t="str">
        <f>IF(E120="","",IF(ISNA(VLOOKUP($E120,'A-1 On-Site Habitat Baseline'!$D$1:$O$258,6,FALSE)),"",(VLOOKUP($E120,'A-1 On-Site Habitat Baseline'!$D$1:$O$258,6,FALSE))))</f>
        <v/>
      </c>
      <c r="I120" s="382" t="str">
        <f>IF(E120="","",IF(ISNA(VLOOKUP($E120,'A-1 On-Site Habitat Baseline'!$D$1:$O$258,7,FALSE)),"",(VLOOKUP($E120,'A-1 On-Site Habitat Baseline'!$D$1:$O$258,7,FALSE))))</f>
        <v/>
      </c>
      <c r="J120" s="382" t="str">
        <f>IF(E120="","",IF(ISNA(VLOOKUP($E120,'A-1 On-Site Habitat Baseline'!$D$1:$O$258,8,FALSE)),"",(VLOOKUP($E120,'A-1 On-Site Habitat Baseline'!$D$1:$O$258,8,FALSE))))</f>
        <v/>
      </c>
      <c r="K120" s="382" t="str">
        <f>IF(E120="","",IF(ISNA(VLOOKUP($E120,'A-1 On-Site Habitat Baseline'!$D$1:$O$258,9,FALSE)),"",(VLOOKUP($E120,'A-1 On-Site Habitat Baseline'!$D$1:$O$258,9,FALSE))))</f>
        <v/>
      </c>
      <c r="L120" s="382" t="str">
        <f>IF(E120="","",IF(ISNA(VLOOKUP($E120,'A-1 On-Site Habitat Baseline'!$D$1:$O$258,11,FALSE)),"",(VLOOKUP($E120,'A-1 On-Site Habitat Baseline'!$D$1:$O$258,11,FALSE))))</f>
        <v/>
      </c>
      <c r="M120" s="382" t="str">
        <f>IF(E120="","",IF(ISNA(VLOOKUP($E120,'A-1 On-Site Habitat Baseline'!$D$1:$O$258,12,FALSE)),"",(VLOOKUP($E120,'A-1 On-Site Habitat Baseline'!$D$1:$O$258,12,FALSE))))</f>
        <v/>
      </c>
      <c r="N120" s="393" t="str">
        <f>IF(E120="","",IF(ISNA(VLOOKUP($E120,'A-1 On-Site Habitat Baseline'!$D$1:$X$258,14,FALSE)),"",(VLOOKUP($E120,'A-1 On-Site Habitat Baseline'!$D$1:$X$258,14,FALSE))))</f>
        <v/>
      </c>
      <c r="O120" s="386" t="str">
        <f>IF(E120="","",IF(ISNA(VLOOKUP($E120,'A-1 On-Site Habitat Baseline'!$D$1:$X$258,16,FALSE)),"",(VLOOKUP($E120,'A-1 On-Site Habitat Baseline'!$D$1:$X$258,13,FALSE))))</f>
        <v/>
      </c>
      <c r="P120" s="192" t="str">
        <f>IFERROR(INDEX('G-1 All Habitats'!$AG$3:$AG$17,MATCH(Q120,'G-1 All Habitats'!$AF$3:$AF$17,0)),"")</f>
        <v/>
      </c>
      <c r="Q120" s="193" t="str">
        <f t="shared" si="13"/>
        <v/>
      </c>
      <c r="R120" s="193" t="str">
        <f t="shared" si="13"/>
        <v/>
      </c>
      <c r="S120" s="306" t="str">
        <f>IFERROR(INDEX('G-1 All Habitats'!$B$3:$B$134,MATCH(R120,'G-1 All Habitats'!$A$3:$A$134,0)),"")</f>
        <v/>
      </c>
      <c r="T120" s="362" t="str">
        <f t="shared" si="14"/>
        <v/>
      </c>
      <c r="U120" s="363" t="str">
        <f t="shared" si="15"/>
        <v/>
      </c>
      <c r="V120" s="398" t="str">
        <f t="shared" si="11"/>
        <v/>
      </c>
      <c r="W120" s="382" t="str">
        <f>IF(S120="","",VLOOKUP(S120,'G-1 All Habitats'!$B$2:$M$134,10,FALSE))</f>
        <v/>
      </c>
      <c r="X120" s="382" t="str">
        <f>IFERROR(VLOOKUP(W120,'G-1 All Habitats'!$V$3:$W$7,2,FALSE),"")</f>
        <v/>
      </c>
      <c r="Y120" s="61"/>
      <c r="Z120" s="386" t="str">
        <f>IFERROR(INDEX('G-8 Condition Look up'!$A$3:$H$135,MATCH(S120,'G-8 Condition Look up'!$A$3:$A$135,0),MATCH(Y120,'G-8 Condition Look up'!$A$3:$H$3,0)),"")</f>
        <v/>
      </c>
      <c r="AA120" s="54"/>
      <c r="AB120" s="382" t="str">
        <f>IF(AA120="","",IF(VLOOKUP(AA120,'G-3 Multipliers'!$L$3:$N$6,2,FALSE)=0,"Spatial Data Missing ⚠",VLOOKUP(AA120,'G-3 Multipliers'!$L$3:$N$6,2,FALSE)))</f>
        <v/>
      </c>
      <c r="AC120" s="386" t="str">
        <f>IF(AA120="","",IF(VLOOKUP(AA120,'G-3 Multipliers'!$L$3:$N$6,3,FALSE)=0,"Spatial Data Missing ⚠",VLOOKUP(AA120,'G-3 Multipliers'!$L$3:$N$6,3,FALSE)))</f>
        <v/>
      </c>
      <c r="AD120" s="400" t="str">
        <f t="shared" si="12"/>
        <v/>
      </c>
      <c r="AE120" s="63"/>
      <c r="AF120" s="63"/>
      <c r="AG120" s="370" t="str">
        <f t="shared" si="16"/>
        <v/>
      </c>
      <c r="AH120" s="383" t="str">
        <f t="shared" si="17"/>
        <v/>
      </c>
      <c r="AI120" s="384" t="str">
        <f>IF(AH120="Check Data","Check Data",IFERROR(VLOOKUP(AH120,'G-4 Temporal multipliers'!$A$4:$C$36,3,FALSE),""))</f>
        <v/>
      </c>
      <c r="AJ120" s="362" t="str">
        <f>IF(S120="","",VLOOKUP(S120,'G-3 Multipliers'!$A$2:$E$134,4,FALSE))</f>
        <v/>
      </c>
      <c r="AK120" s="370" t="str">
        <f t="shared" si="18"/>
        <v/>
      </c>
      <c r="AL120" s="370" t="str">
        <f t="shared" si="19"/>
        <v/>
      </c>
      <c r="AM120" s="401" t="str">
        <f>IFERROR(IF(F120="","",IF(AH120="Check Data ⚠","Check Data ⚠",VLOOKUP(AL120, 'G-3 Multipliers'!$P$2:$Q$6,2,FALSE))),"")</f>
        <v/>
      </c>
      <c r="AN120" s="376" t="str">
        <f t="shared" si="20"/>
        <v/>
      </c>
      <c r="AO120" s="194"/>
      <c r="AP120" s="195"/>
      <c r="AQ120" s="120"/>
    </row>
    <row r="121" spans="1:43">
      <c r="A121" s="35" t="str">
        <f>IF(E121="","",IF(ISNA(VLOOKUP($E121,'A-1 On-Site Habitat Baseline'!$D$1:$O$258,2,FALSE)),"",(VLOOKUP($E121,'A-1 On-Site Habitat Baseline'!$D$1:$O$258,2,FALSE))))</f>
        <v/>
      </c>
      <c r="B121" s="35" t="str">
        <f>IF(E121="","",IF(ISNA(VLOOKUP($E121,'A-1 On-Site Habitat Baseline'!$D$1:$O$258,3,FALSE)),"",(VLOOKUP($E121,'A-1 On-Site Habitat Baseline'!$D$1:$O$258,3,FALSE))))</f>
        <v/>
      </c>
      <c r="C121" s="35" t="str">
        <f>IFERROR(INDEX('G-8 Condition Look up'!$I$4:$I$135,MATCH(S121,'G-8 Condition Look up'!$A$4:$A$135,0)),"")</f>
        <v/>
      </c>
      <c r="E121" s="392" t="str">
        <f>'A-1 On-Site Habitat Baseline'!AL120</f>
        <v/>
      </c>
      <c r="F121" s="382" t="str">
        <f>IF(E121="","",IF(ISNA(VLOOKUP($E121,'A-1 On-Site Habitat Baseline'!$D$1:$O$258,4,FALSE)),"",(VLOOKUP($E121,'A-1 On-Site Habitat Baseline'!$D$1:$O$258,4,FALSE))))</f>
        <v/>
      </c>
      <c r="G121" s="382" t="str">
        <f>IF(E121="","",IF(ISNA(VLOOKUP($E121,'A-1 On-Site Habitat Baseline'!$D$1:$O$258,5,FALSE)),"",(VLOOKUP($E121,'A-1 On-Site Habitat Baseline'!$D$1:$O$258,5,FALSE))))</f>
        <v/>
      </c>
      <c r="H121" s="382" t="str">
        <f>IF(E121="","",IF(ISNA(VLOOKUP($E121,'A-1 On-Site Habitat Baseline'!$D$1:$O$258,6,FALSE)),"",(VLOOKUP($E121,'A-1 On-Site Habitat Baseline'!$D$1:$O$258,6,FALSE))))</f>
        <v/>
      </c>
      <c r="I121" s="382" t="str">
        <f>IF(E121="","",IF(ISNA(VLOOKUP($E121,'A-1 On-Site Habitat Baseline'!$D$1:$O$258,7,FALSE)),"",(VLOOKUP($E121,'A-1 On-Site Habitat Baseline'!$D$1:$O$258,7,FALSE))))</f>
        <v/>
      </c>
      <c r="J121" s="382" t="str">
        <f>IF(E121="","",IF(ISNA(VLOOKUP($E121,'A-1 On-Site Habitat Baseline'!$D$1:$O$258,8,FALSE)),"",(VLOOKUP($E121,'A-1 On-Site Habitat Baseline'!$D$1:$O$258,8,FALSE))))</f>
        <v/>
      </c>
      <c r="K121" s="382" t="str">
        <f>IF(E121="","",IF(ISNA(VLOOKUP($E121,'A-1 On-Site Habitat Baseline'!$D$1:$O$258,9,FALSE)),"",(VLOOKUP($E121,'A-1 On-Site Habitat Baseline'!$D$1:$O$258,9,FALSE))))</f>
        <v/>
      </c>
      <c r="L121" s="382" t="str">
        <f>IF(E121="","",IF(ISNA(VLOOKUP($E121,'A-1 On-Site Habitat Baseline'!$D$1:$O$258,11,FALSE)),"",(VLOOKUP($E121,'A-1 On-Site Habitat Baseline'!$D$1:$O$258,11,FALSE))))</f>
        <v/>
      </c>
      <c r="M121" s="382" t="str">
        <f>IF(E121="","",IF(ISNA(VLOOKUP($E121,'A-1 On-Site Habitat Baseline'!$D$1:$O$258,12,FALSE)),"",(VLOOKUP($E121,'A-1 On-Site Habitat Baseline'!$D$1:$O$258,12,FALSE))))</f>
        <v/>
      </c>
      <c r="N121" s="393" t="str">
        <f>IF(E121="","",IF(ISNA(VLOOKUP($E121,'A-1 On-Site Habitat Baseline'!$D$1:$X$258,14,FALSE)),"",(VLOOKUP($E121,'A-1 On-Site Habitat Baseline'!$D$1:$X$258,14,FALSE))))</f>
        <v/>
      </c>
      <c r="O121" s="386" t="str">
        <f>IF(E121="","",IF(ISNA(VLOOKUP($E121,'A-1 On-Site Habitat Baseline'!$D$1:$X$258,16,FALSE)),"",(VLOOKUP($E121,'A-1 On-Site Habitat Baseline'!$D$1:$X$258,13,FALSE))))</f>
        <v/>
      </c>
      <c r="P121" s="192" t="str">
        <f>IFERROR(INDEX('G-1 All Habitats'!$AG$3:$AG$17,MATCH(Q121,'G-1 All Habitats'!$AF$3:$AF$17,0)),"")</f>
        <v/>
      </c>
      <c r="Q121" s="193" t="str">
        <f t="shared" si="13"/>
        <v/>
      </c>
      <c r="R121" s="193" t="str">
        <f t="shared" si="13"/>
        <v/>
      </c>
      <c r="S121" s="306" t="str">
        <f>IFERROR(INDEX('G-1 All Habitats'!$B$3:$B$134,MATCH(R121,'G-1 All Habitats'!$A$3:$A$134,0)),"")</f>
        <v/>
      </c>
      <c r="T121" s="362" t="str">
        <f t="shared" si="14"/>
        <v/>
      </c>
      <c r="U121" s="363" t="str">
        <f t="shared" si="15"/>
        <v/>
      </c>
      <c r="V121" s="398" t="str">
        <f t="shared" si="11"/>
        <v/>
      </c>
      <c r="W121" s="382" t="str">
        <f>IF(S121="","",VLOOKUP(S121,'G-1 All Habitats'!$B$2:$M$134,10,FALSE))</f>
        <v/>
      </c>
      <c r="X121" s="382" t="str">
        <f>IFERROR(VLOOKUP(W121,'G-1 All Habitats'!$V$3:$W$7,2,FALSE),"")</f>
        <v/>
      </c>
      <c r="Y121" s="61"/>
      <c r="Z121" s="386" t="str">
        <f>IFERROR(INDEX('G-8 Condition Look up'!$A$3:$H$135,MATCH(S121,'G-8 Condition Look up'!$A$3:$A$135,0),MATCH(Y121,'G-8 Condition Look up'!$A$3:$H$3,0)),"")</f>
        <v/>
      </c>
      <c r="AA121" s="54"/>
      <c r="AB121" s="382" t="str">
        <f>IF(AA121="","",IF(VLOOKUP(AA121,'G-3 Multipliers'!$L$3:$N$6,2,FALSE)=0,"Spatial Data Missing ⚠",VLOOKUP(AA121,'G-3 Multipliers'!$L$3:$N$6,2,FALSE)))</f>
        <v/>
      </c>
      <c r="AC121" s="386" t="str">
        <f>IF(AA121="","",IF(VLOOKUP(AA121,'G-3 Multipliers'!$L$3:$N$6,3,FALSE)=0,"Spatial Data Missing ⚠",VLOOKUP(AA121,'G-3 Multipliers'!$L$3:$N$6,3,FALSE)))</f>
        <v/>
      </c>
      <c r="AD121" s="400" t="str">
        <f t="shared" si="12"/>
        <v/>
      </c>
      <c r="AE121" s="63"/>
      <c r="AF121" s="63"/>
      <c r="AG121" s="370" t="str">
        <f t="shared" si="16"/>
        <v/>
      </c>
      <c r="AH121" s="383" t="str">
        <f t="shared" si="17"/>
        <v/>
      </c>
      <c r="AI121" s="384" t="str">
        <f>IF(AH121="Check Data","Check Data",IFERROR(VLOOKUP(AH121,'G-4 Temporal multipliers'!$A$4:$C$36,3,FALSE),""))</f>
        <v/>
      </c>
      <c r="AJ121" s="362" t="str">
        <f>IF(S121="","",VLOOKUP(S121,'G-3 Multipliers'!$A$2:$E$134,4,FALSE))</f>
        <v/>
      </c>
      <c r="AK121" s="370" t="str">
        <f t="shared" si="18"/>
        <v/>
      </c>
      <c r="AL121" s="370" t="str">
        <f t="shared" si="19"/>
        <v/>
      </c>
      <c r="AM121" s="401" t="str">
        <f>IFERROR(IF(F121="","",IF(AH121="Check Data ⚠","Check Data ⚠",VLOOKUP(AL121, 'G-3 Multipliers'!$P$2:$Q$6,2,FALSE))),"")</f>
        <v/>
      </c>
      <c r="AN121" s="376" t="str">
        <f t="shared" si="20"/>
        <v/>
      </c>
      <c r="AO121" s="194"/>
      <c r="AP121" s="195"/>
      <c r="AQ121" s="120"/>
    </row>
    <row r="122" spans="1:43">
      <c r="A122" s="35" t="str">
        <f>IF(E122="","",IF(ISNA(VLOOKUP($E122,'A-1 On-Site Habitat Baseline'!$D$1:$O$258,2,FALSE)),"",(VLOOKUP($E122,'A-1 On-Site Habitat Baseline'!$D$1:$O$258,2,FALSE))))</f>
        <v/>
      </c>
      <c r="B122" s="35" t="str">
        <f>IF(E122="","",IF(ISNA(VLOOKUP($E122,'A-1 On-Site Habitat Baseline'!$D$1:$O$258,3,FALSE)),"",(VLOOKUP($E122,'A-1 On-Site Habitat Baseline'!$D$1:$O$258,3,FALSE))))</f>
        <v/>
      </c>
      <c r="C122" s="35" t="str">
        <f>IFERROR(INDEX('G-8 Condition Look up'!$I$4:$I$135,MATCH(S122,'G-8 Condition Look up'!$A$4:$A$135,0)),"")</f>
        <v/>
      </c>
      <c r="E122" s="392" t="str">
        <f>'A-1 On-Site Habitat Baseline'!AL121</f>
        <v/>
      </c>
      <c r="F122" s="382" t="str">
        <f>IF(E122="","",IF(ISNA(VLOOKUP($E122,'A-1 On-Site Habitat Baseline'!$D$1:$O$258,4,FALSE)),"",(VLOOKUP($E122,'A-1 On-Site Habitat Baseline'!$D$1:$O$258,4,FALSE))))</f>
        <v/>
      </c>
      <c r="G122" s="382" t="str">
        <f>IF(E122="","",IF(ISNA(VLOOKUP($E122,'A-1 On-Site Habitat Baseline'!$D$1:$O$258,5,FALSE)),"",(VLOOKUP($E122,'A-1 On-Site Habitat Baseline'!$D$1:$O$258,5,FALSE))))</f>
        <v/>
      </c>
      <c r="H122" s="382" t="str">
        <f>IF(E122="","",IF(ISNA(VLOOKUP($E122,'A-1 On-Site Habitat Baseline'!$D$1:$O$258,6,FALSE)),"",(VLOOKUP($E122,'A-1 On-Site Habitat Baseline'!$D$1:$O$258,6,FALSE))))</f>
        <v/>
      </c>
      <c r="I122" s="382" t="str">
        <f>IF(E122="","",IF(ISNA(VLOOKUP($E122,'A-1 On-Site Habitat Baseline'!$D$1:$O$258,7,FALSE)),"",(VLOOKUP($E122,'A-1 On-Site Habitat Baseline'!$D$1:$O$258,7,FALSE))))</f>
        <v/>
      </c>
      <c r="J122" s="382" t="str">
        <f>IF(E122="","",IF(ISNA(VLOOKUP($E122,'A-1 On-Site Habitat Baseline'!$D$1:$O$258,8,FALSE)),"",(VLOOKUP($E122,'A-1 On-Site Habitat Baseline'!$D$1:$O$258,8,FALSE))))</f>
        <v/>
      </c>
      <c r="K122" s="382" t="str">
        <f>IF(E122="","",IF(ISNA(VLOOKUP($E122,'A-1 On-Site Habitat Baseline'!$D$1:$O$258,9,FALSE)),"",(VLOOKUP($E122,'A-1 On-Site Habitat Baseline'!$D$1:$O$258,9,FALSE))))</f>
        <v/>
      </c>
      <c r="L122" s="382" t="str">
        <f>IF(E122="","",IF(ISNA(VLOOKUP($E122,'A-1 On-Site Habitat Baseline'!$D$1:$O$258,11,FALSE)),"",(VLOOKUP($E122,'A-1 On-Site Habitat Baseline'!$D$1:$O$258,11,FALSE))))</f>
        <v/>
      </c>
      <c r="M122" s="382" t="str">
        <f>IF(E122="","",IF(ISNA(VLOOKUP($E122,'A-1 On-Site Habitat Baseline'!$D$1:$O$258,12,FALSE)),"",(VLOOKUP($E122,'A-1 On-Site Habitat Baseline'!$D$1:$O$258,12,FALSE))))</f>
        <v/>
      </c>
      <c r="N122" s="393" t="str">
        <f>IF(E122="","",IF(ISNA(VLOOKUP($E122,'A-1 On-Site Habitat Baseline'!$D$1:$X$258,14,FALSE)),"",(VLOOKUP($E122,'A-1 On-Site Habitat Baseline'!$D$1:$X$258,14,FALSE))))</f>
        <v/>
      </c>
      <c r="O122" s="386" t="str">
        <f>IF(E122="","",IF(ISNA(VLOOKUP($E122,'A-1 On-Site Habitat Baseline'!$D$1:$X$258,16,FALSE)),"",(VLOOKUP($E122,'A-1 On-Site Habitat Baseline'!$D$1:$X$258,13,FALSE))))</f>
        <v/>
      </c>
      <c r="P122" s="192" t="str">
        <f>IFERROR(INDEX('G-1 All Habitats'!$AG$3:$AG$17,MATCH(Q122,'G-1 All Habitats'!$AF$3:$AF$17,0)),"")</f>
        <v/>
      </c>
      <c r="Q122" s="193" t="str">
        <f t="shared" si="13"/>
        <v/>
      </c>
      <c r="R122" s="193" t="str">
        <f t="shared" si="13"/>
        <v/>
      </c>
      <c r="S122" s="306" t="str">
        <f>IFERROR(INDEX('G-1 All Habitats'!$B$3:$B$134,MATCH(R122,'G-1 All Habitats'!$A$3:$A$134,0)),"")</f>
        <v/>
      </c>
      <c r="T122" s="362" t="str">
        <f t="shared" si="14"/>
        <v/>
      </c>
      <c r="U122" s="363" t="str">
        <f t="shared" si="15"/>
        <v/>
      </c>
      <c r="V122" s="398" t="str">
        <f t="shared" si="11"/>
        <v/>
      </c>
      <c r="W122" s="382" t="str">
        <f>IF(S122="","",VLOOKUP(S122,'G-1 All Habitats'!$B$2:$M$134,10,FALSE))</f>
        <v/>
      </c>
      <c r="X122" s="382" t="str">
        <f>IFERROR(VLOOKUP(W122,'G-1 All Habitats'!$V$3:$W$7,2,FALSE),"")</f>
        <v/>
      </c>
      <c r="Y122" s="61"/>
      <c r="Z122" s="386" t="str">
        <f>IFERROR(INDEX('G-8 Condition Look up'!$A$3:$H$135,MATCH(S122,'G-8 Condition Look up'!$A$3:$A$135,0),MATCH(Y122,'G-8 Condition Look up'!$A$3:$H$3,0)),"")</f>
        <v/>
      </c>
      <c r="AA122" s="54"/>
      <c r="AB122" s="382" t="str">
        <f>IF(AA122="","",IF(VLOOKUP(AA122,'G-3 Multipliers'!$L$3:$N$6,2,FALSE)=0,"Spatial Data Missing ⚠",VLOOKUP(AA122,'G-3 Multipliers'!$L$3:$N$6,2,FALSE)))</f>
        <v/>
      </c>
      <c r="AC122" s="386" t="str">
        <f>IF(AA122="","",IF(VLOOKUP(AA122,'G-3 Multipliers'!$L$3:$N$6,3,FALSE)=0,"Spatial Data Missing ⚠",VLOOKUP(AA122,'G-3 Multipliers'!$L$3:$N$6,3,FALSE)))</f>
        <v/>
      </c>
      <c r="AD122" s="400" t="str">
        <f t="shared" si="12"/>
        <v/>
      </c>
      <c r="AE122" s="63"/>
      <c r="AF122" s="63"/>
      <c r="AG122" s="370" t="str">
        <f t="shared" si="16"/>
        <v/>
      </c>
      <c r="AH122" s="383" t="str">
        <f t="shared" si="17"/>
        <v/>
      </c>
      <c r="AI122" s="384" t="str">
        <f>IF(AH122="Check Data","Check Data",IFERROR(VLOOKUP(AH122,'G-4 Temporal multipliers'!$A$4:$C$36,3,FALSE),""))</f>
        <v/>
      </c>
      <c r="AJ122" s="362" t="str">
        <f>IF(S122="","",VLOOKUP(S122,'G-3 Multipliers'!$A$2:$E$134,4,FALSE))</f>
        <v/>
      </c>
      <c r="AK122" s="370" t="str">
        <f t="shared" si="18"/>
        <v/>
      </c>
      <c r="AL122" s="370" t="str">
        <f t="shared" si="19"/>
        <v/>
      </c>
      <c r="AM122" s="401" t="str">
        <f>IFERROR(IF(F122="","",IF(AH122="Check Data ⚠","Check Data ⚠",VLOOKUP(AL122, 'G-3 Multipliers'!$P$2:$Q$6,2,FALSE))),"")</f>
        <v/>
      </c>
      <c r="AN122" s="376" t="str">
        <f t="shared" si="20"/>
        <v/>
      </c>
      <c r="AO122" s="194"/>
      <c r="AP122" s="195"/>
      <c r="AQ122" s="120"/>
    </row>
    <row r="123" spans="1:43">
      <c r="A123" s="35" t="str">
        <f>IF(E123="","",IF(ISNA(VLOOKUP($E123,'A-1 On-Site Habitat Baseline'!$D$1:$O$258,2,FALSE)),"",(VLOOKUP($E123,'A-1 On-Site Habitat Baseline'!$D$1:$O$258,2,FALSE))))</f>
        <v/>
      </c>
      <c r="B123" s="35" t="str">
        <f>IF(E123="","",IF(ISNA(VLOOKUP($E123,'A-1 On-Site Habitat Baseline'!$D$1:$O$258,3,FALSE)),"",(VLOOKUP($E123,'A-1 On-Site Habitat Baseline'!$D$1:$O$258,3,FALSE))))</f>
        <v/>
      </c>
      <c r="C123" s="35" t="str">
        <f>IFERROR(INDEX('G-8 Condition Look up'!$I$4:$I$135,MATCH(S123,'G-8 Condition Look up'!$A$4:$A$135,0)),"")</f>
        <v/>
      </c>
      <c r="E123" s="392" t="str">
        <f>'A-1 On-Site Habitat Baseline'!AL122</f>
        <v/>
      </c>
      <c r="F123" s="382" t="str">
        <f>IF(E123="","",IF(ISNA(VLOOKUP($E123,'A-1 On-Site Habitat Baseline'!$D$1:$O$258,4,FALSE)),"",(VLOOKUP($E123,'A-1 On-Site Habitat Baseline'!$D$1:$O$258,4,FALSE))))</f>
        <v/>
      </c>
      <c r="G123" s="382" t="str">
        <f>IF(E123="","",IF(ISNA(VLOOKUP($E123,'A-1 On-Site Habitat Baseline'!$D$1:$O$258,5,FALSE)),"",(VLOOKUP($E123,'A-1 On-Site Habitat Baseline'!$D$1:$O$258,5,FALSE))))</f>
        <v/>
      </c>
      <c r="H123" s="382" t="str">
        <f>IF(E123="","",IF(ISNA(VLOOKUP($E123,'A-1 On-Site Habitat Baseline'!$D$1:$O$258,6,FALSE)),"",(VLOOKUP($E123,'A-1 On-Site Habitat Baseline'!$D$1:$O$258,6,FALSE))))</f>
        <v/>
      </c>
      <c r="I123" s="382" t="str">
        <f>IF(E123="","",IF(ISNA(VLOOKUP($E123,'A-1 On-Site Habitat Baseline'!$D$1:$O$258,7,FALSE)),"",(VLOOKUP($E123,'A-1 On-Site Habitat Baseline'!$D$1:$O$258,7,FALSE))))</f>
        <v/>
      </c>
      <c r="J123" s="382" t="str">
        <f>IF(E123="","",IF(ISNA(VLOOKUP($E123,'A-1 On-Site Habitat Baseline'!$D$1:$O$258,8,FALSE)),"",(VLOOKUP($E123,'A-1 On-Site Habitat Baseline'!$D$1:$O$258,8,FALSE))))</f>
        <v/>
      </c>
      <c r="K123" s="382" t="str">
        <f>IF(E123="","",IF(ISNA(VLOOKUP($E123,'A-1 On-Site Habitat Baseline'!$D$1:$O$258,9,FALSE)),"",(VLOOKUP($E123,'A-1 On-Site Habitat Baseline'!$D$1:$O$258,9,FALSE))))</f>
        <v/>
      </c>
      <c r="L123" s="382" t="str">
        <f>IF(E123="","",IF(ISNA(VLOOKUP($E123,'A-1 On-Site Habitat Baseline'!$D$1:$O$258,11,FALSE)),"",(VLOOKUP($E123,'A-1 On-Site Habitat Baseline'!$D$1:$O$258,11,FALSE))))</f>
        <v/>
      </c>
      <c r="M123" s="382" t="str">
        <f>IF(E123="","",IF(ISNA(VLOOKUP($E123,'A-1 On-Site Habitat Baseline'!$D$1:$O$258,12,FALSE)),"",(VLOOKUP($E123,'A-1 On-Site Habitat Baseline'!$D$1:$O$258,12,FALSE))))</f>
        <v/>
      </c>
      <c r="N123" s="393" t="str">
        <f>IF(E123="","",IF(ISNA(VLOOKUP($E123,'A-1 On-Site Habitat Baseline'!$D$1:$X$258,14,FALSE)),"",(VLOOKUP($E123,'A-1 On-Site Habitat Baseline'!$D$1:$X$258,14,FALSE))))</f>
        <v/>
      </c>
      <c r="O123" s="386" t="str">
        <f>IF(E123="","",IF(ISNA(VLOOKUP($E123,'A-1 On-Site Habitat Baseline'!$D$1:$X$258,16,FALSE)),"",(VLOOKUP($E123,'A-1 On-Site Habitat Baseline'!$D$1:$X$258,13,FALSE))))</f>
        <v/>
      </c>
      <c r="P123" s="192" t="str">
        <f>IFERROR(INDEX('G-1 All Habitats'!$AG$3:$AG$17,MATCH(Q123,'G-1 All Habitats'!$AF$3:$AF$17,0)),"")</f>
        <v/>
      </c>
      <c r="Q123" s="193" t="str">
        <f t="shared" si="13"/>
        <v/>
      </c>
      <c r="R123" s="193" t="str">
        <f t="shared" si="13"/>
        <v/>
      </c>
      <c r="S123" s="306" t="str">
        <f>IFERROR(INDEX('G-1 All Habitats'!$B$3:$B$134,MATCH(R123,'G-1 All Habitats'!$A$3:$A$134,0)),"")</f>
        <v/>
      </c>
      <c r="T123" s="362" t="str">
        <f t="shared" si="14"/>
        <v/>
      </c>
      <c r="U123" s="363" t="str">
        <f t="shared" si="15"/>
        <v/>
      </c>
      <c r="V123" s="398" t="str">
        <f t="shared" si="11"/>
        <v/>
      </c>
      <c r="W123" s="382" t="str">
        <f>IF(S123="","",VLOOKUP(S123,'G-1 All Habitats'!$B$2:$M$134,10,FALSE))</f>
        <v/>
      </c>
      <c r="X123" s="382" t="str">
        <f>IFERROR(VLOOKUP(W123,'G-1 All Habitats'!$V$3:$W$7,2,FALSE),"")</f>
        <v/>
      </c>
      <c r="Y123" s="61"/>
      <c r="Z123" s="386" t="str">
        <f>IFERROR(INDEX('G-8 Condition Look up'!$A$3:$H$135,MATCH(S123,'G-8 Condition Look up'!$A$3:$A$135,0),MATCH(Y123,'G-8 Condition Look up'!$A$3:$H$3,0)),"")</f>
        <v/>
      </c>
      <c r="AA123" s="54"/>
      <c r="AB123" s="382" t="str">
        <f>IF(AA123="","",IF(VLOOKUP(AA123,'G-3 Multipliers'!$L$3:$N$6,2,FALSE)=0,"Spatial Data Missing ⚠",VLOOKUP(AA123,'G-3 Multipliers'!$L$3:$N$6,2,FALSE)))</f>
        <v/>
      </c>
      <c r="AC123" s="386" t="str">
        <f>IF(AA123="","",IF(VLOOKUP(AA123,'G-3 Multipliers'!$L$3:$N$6,3,FALSE)=0,"Spatial Data Missing ⚠",VLOOKUP(AA123,'G-3 Multipliers'!$L$3:$N$6,3,FALSE)))</f>
        <v/>
      </c>
      <c r="AD123" s="400" t="str">
        <f t="shared" si="12"/>
        <v/>
      </c>
      <c r="AE123" s="63"/>
      <c r="AF123" s="63"/>
      <c r="AG123" s="370" t="str">
        <f t="shared" si="16"/>
        <v/>
      </c>
      <c r="AH123" s="383" t="str">
        <f t="shared" si="17"/>
        <v/>
      </c>
      <c r="AI123" s="384" t="str">
        <f>IF(AH123="Check Data","Check Data",IFERROR(VLOOKUP(AH123,'G-4 Temporal multipliers'!$A$4:$C$36,3,FALSE),""))</f>
        <v/>
      </c>
      <c r="AJ123" s="362" t="str">
        <f>IF(S123="","",VLOOKUP(S123,'G-3 Multipliers'!$A$2:$E$134,4,FALSE))</f>
        <v/>
      </c>
      <c r="AK123" s="370" t="str">
        <f t="shared" si="18"/>
        <v/>
      </c>
      <c r="AL123" s="370" t="str">
        <f t="shared" si="19"/>
        <v/>
      </c>
      <c r="AM123" s="401" t="str">
        <f>IFERROR(IF(F123="","",IF(AH123="Check Data ⚠","Check Data ⚠",VLOOKUP(AL123, 'G-3 Multipliers'!$P$2:$Q$6,2,FALSE))),"")</f>
        <v/>
      </c>
      <c r="AN123" s="376" t="str">
        <f t="shared" si="20"/>
        <v/>
      </c>
      <c r="AO123" s="194"/>
      <c r="AP123" s="195"/>
      <c r="AQ123" s="120"/>
    </row>
    <row r="124" spans="1:43">
      <c r="A124" s="35" t="str">
        <f>IF(E124="","",IF(ISNA(VLOOKUP($E124,'A-1 On-Site Habitat Baseline'!$D$1:$O$258,2,FALSE)),"",(VLOOKUP($E124,'A-1 On-Site Habitat Baseline'!$D$1:$O$258,2,FALSE))))</f>
        <v/>
      </c>
      <c r="B124" s="35" t="str">
        <f>IF(E124="","",IF(ISNA(VLOOKUP($E124,'A-1 On-Site Habitat Baseline'!$D$1:$O$258,3,FALSE)),"",(VLOOKUP($E124,'A-1 On-Site Habitat Baseline'!$D$1:$O$258,3,FALSE))))</f>
        <v/>
      </c>
      <c r="C124" s="35" t="str">
        <f>IFERROR(INDEX('G-8 Condition Look up'!$I$4:$I$135,MATCH(S124,'G-8 Condition Look up'!$A$4:$A$135,0)),"")</f>
        <v/>
      </c>
      <c r="E124" s="392" t="str">
        <f>'A-1 On-Site Habitat Baseline'!AL123</f>
        <v/>
      </c>
      <c r="F124" s="382" t="str">
        <f>IF(E124="","",IF(ISNA(VLOOKUP($E124,'A-1 On-Site Habitat Baseline'!$D$1:$O$258,4,FALSE)),"",(VLOOKUP($E124,'A-1 On-Site Habitat Baseline'!$D$1:$O$258,4,FALSE))))</f>
        <v/>
      </c>
      <c r="G124" s="382" t="str">
        <f>IF(E124="","",IF(ISNA(VLOOKUP($E124,'A-1 On-Site Habitat Baseline'!$D$1:$O$258,5,FALSE)),"",(VLOOKUP($E124,'A-1 On-Site Habitat Baseline'!$D$1:$O$258,5,FALSE))))</f>
        <v/>
      </c>
      <c r="H124" s="382" t="str">
        <f>IF(E124="","",IF(ISNA(VLOOKUP($E124,'A-1 On-Site Habitat Baseline'!$D$1:$O$258,6,FALSE)),"",(VLOOKUP($E124,'A-1 On-Site Habitat Baseline'!$D$1:$O$258,6,FALSE))))</f>
        <v/>
      </c>
      <c r="I124" s="382" t="str">
        <f>IF(E124="","",IF(ISNA(VLOOKUP($E124,'A-1 On-Site Habitat Baseline'!$D$1:$O$258,7,FALSE)),"",(VLOOKUP($E124,'A-1 On-Site Habitat Baseline'!$D$1:$O$258,7,FALSE))))</f>
        <v/>
      </c>
      <c r="J124" s="382" t="str">
        <f>IF(E124="","",IF(ISNA(VLOOKUP($E124,'A-1 On-Site Habitat Baseline'!$D$1:$O$258,8,FALSE)),"",(VLOOKUP($E124,'A-1 On-Site Habitat Baseline'!$D$1:$O$258,8,FALSE))))</f>
        <v/>
      </c>
      <c r="K124" s="382" t="str">
        <f>IF(E124="","",IF(ISNA(VLOOKUP($E124,'A-1 On-Site Habitat Baseline'!$D$1:$O$258,9,FALSE)),"",(VLOOKUP($E124,'A-1 On-Site Habitat Baseline'!$D$1:$O$258,9,FALSE))))</f>
        <v/>
      </c>
      <c r="L124" s="382" t="str">
        <f>IF(E124="","",IF(ISNA(VLOOKUP($E124,'A-1 On-Site Habitat Baseline'!$D$1:$O$258,11,FALSE)),"",(VLOOKUP($E124,'A-1 On-Site Habitat Baseline'!$D$1:$O$258,11,FALSE))))</f>
        <v/>
      </c>
      <c r="M124" s="382" t="str">
        <f>IF(E124="","",IF(ISNA(VLOOKUP($E124,'A-1 On-Site Habitat Baseline'!$D$1:$O$258,12,FALSE)),"",(VLOOKUP($E124,'A-1 On-Site Habitat Baseline'!$D$1:$O$258,12,FALSE))))</f>
        <v/>
      </c>
      <c r="N124" s="393" t="str">
        <f>IF(E124="","",IF(ISNA(VLOOKUP($E124,'A-1 On-Site Habitat Baseline'!$D$1:$X$258,14,FALSE)),"",(VLOOKUP($E124,'A-1 On-Site Habitat Baseline'!$D$1:$X$258,14,FALSE))))</f>
        <v/>
      </c>
      <c r="O124" s="386" t="str">
        <f>IF(E124="","",IF(ISNA(VLOOKUP($E124,'A-1 On-Site Habitat Baseline'!$D$1:$X$258,16,FALSE)),"",(VLOOKUP($E124,'A-1 On-Site Habitat Baseline'!$D$1:$X$258,13,FALSE))))</f>
        <v/>
      </c>
      <c r="P124" s="192" t="str">
        <f>IFERROR(INDEX('G-1 All Habitats'!$AG$3:$AG$17,MATCH(Q124,'G-1 All Habitats'!$AF$3:$AF$17,0)),"")</f>
        <v/>
      </c>
      <c r="Q124" s="193" t="str">
        <f t="shared" si="13"/>
        <v/>
      </c>
      <c r="R124" s="193" t="str">
        <f t="shared" si="13"/>
        <v/>
      </c>
      <c r="S124" s="306" t="str">
        <f>IFERROR(INDEX('G-1 All Habitats'!$B$3:$B$134,MATCH(R124,'G-1 All Habitats'!$A$3:$A$134,0)),"")</f>
        <v/>
      </c>
      <c r="T124" s="362" t="str">
        <f t="shared" si="14"/>
        <v/>
      </c>
      <c r="U124" s="363" t="str">
        <f t="shared" si="15"/>
        <v/>
      </c>
      <c r="V124" s="398" t="str">
        <f t="shared" si="11"/>
        <v/>
      </c>
      <c r="W124" s="382" t="str">
        <f>IF(S124="","",VLOOKUP(S124,'G-1 All Habitats'!$B$2:$M$134,10,FALSE))</f>
        <v/>
      </c>
      <c r="X124" s="382" t="str">
        <f>IFERROR(VLOOKUP(W124,'G-1 All Habitats'!$V$3:$W$7,2,FALSE),"")</f>
        <v/>
      </c>
      <c r="Y124" s="61"/>
      <c r="Z124" s="386" t="str">
        <f>IFERROR(INDEX('G-8 Condition Look up'!$A$3:$H$135,MATCH(S124,'G-8 Condition Look up'!$A$3:$A$135,0),MATCH(Y124,'G-8 Condition Look up'!$A$3:$H$3,0)),"")</f>
        <v/>
      </c>
      <c r="AA124" s="54"/>
      <c r="AB124" s="382" t="str">
        <f>IF(AA124="","",IF(VLOOKUP(AA124,'G-3 Multipliers'!$L$3:$N$6,2,FALSE)=0,"Spatial Data Missing ⚠",VLOOKUP(AA124,'G-3 Multipliers'!$L$3:$N$6,2,FALSE)))</f>
        <v/>
      </c>
      <c r="AC124" s="386" t="str">
        <f>IF(AA124="","",IF(VLOOKUP(AA124,'G-3 Multipliers'!$L$3:$N$6,3,FALSE)=0,"Spatial Data Missing ⚠",VLOOKUP(AA124,'G-3 Multipliers'!$L$3:$N$6,3,FALSE)))</f>
        <v/>
      </c>
      <c r="AD124" s="400" t="str">
        <f t="shared" si="12"/>
        <v/>
      </c>
      <c r="AE124" s="63"/>
      <c r="AF124" s="63"/>
      <c r="AG124" s="370" t="str">
        <f t="shared" si="16"/>
        <v/>
      </c>
      <c r="AH124" s="383" t="str">
        <f t="shared" si="17"/>
        <v/>
      </c>
      <c r="AI124" s="384" t="str">
        <f>IF(AH124="Check Data","Check Data",IFERROR(VLOOKUP(AH124,'G-4 Temporal multipliers'!$A$4:$C$36,3,FALSE),""))</f>
        <v/>
      </c>
      <c r="AJ124" s="362" t="str">
        <f>IF(S124="","",VLOOKUP(S124,'G-3 Multipliers'!$A$2:$E$134,4,FALSE))</f>
        <v/>
      </c>
      <c r="AK124" s="370" t="str">
        <f t="shared" si="18"/>
        <v/>
      </c>
      <c r="AL124" s="370" t="str">
        <f t="shared" si="19"/>
        <v/>
      </c>
      <c r="AM124" s="401" t="str">
        <f>IFERROR(IF(F124="","",IF(AH124="Check Data ⚠","Check Data ⚠",VLOOKUP(AL124, 'G-3 Multipliers'!$P$2:$Q$6,2,FALSE))),"")</f>
        <v/>
      </c>
      <c r="AN124" s="376" t="str">
        <f t="shared" si="20"/>
        <v/>
      </c>
      <c r="AO124" s="194"/>
      <c r="AP124" s="195"/>
      <c r="AQ124" s="120"/>
    </row>
    <row r="125" spans="1:43">
      <c r="A125" s="35" t="str">
        <f>IF(E125="","",IF(ISNA(VLOOKUP($E125,'A-1 On-Site Habitat Baseline'!$D$1:$O$258,2,FALSE)),"",(VLOOKUP($E125,'A-1 On-Site Habitat Baseline'!$D$1:$O$258,2,FALSE))))</f>
        <v/>
      </c>
      <c r="B125" s="35" t="str">
        <f>IF(E125="","",IF(ISNA(VLOOKUP($E125,'A-1 On-Site Habitat Baseline'!$D$1:$O$258,3,FALSE)),"",(VLOOKUP($E125,'A-1 On-Site Habitat Baseline'!$D$1:$O$258,3,FALSE))))</f>
        <v/>
      </c>
      <c r="C125" s="35" t="str">
        <f>IFERROR(INDEX('G-8 Condition Look up'!$I$4:$I$135,MATCH(S125,'G-8 Condition Look up'!$A$4:$A$135,0)),"")</f>
        <v/>
      </c>
      <c r="E125" s="392" t="str">
        <f>'A-1 On-Site Habitat Baseline'!AL124</f>
        <v/>
      </c>
      <c r="F125" s="382" t="str">
        <f>IF(E125="","",IF(ISNA(VLOOKUP($E125,'A-1 On-Site Habitat Baseline'!$D$1:$O$258,4,FALSE)),"",(VLOOKUP($E125,'A-1 On-Site Habitat Baseline'!$D$1:$O$258,4,FALSE))))</f>
        <v/>
      </c>
      <c r="G125" s="382" t="str">
        <f>IF(E125="","",IF(ISNA(VLOOKUP($E125,'A-1 On-Site Habitat Baseline'!$D$1:$O$258,5,FALSE)),"",(VLOOKUP($E125,'A-1 On-Site Habitat Baseline'!$D$1:$O$258,5,FALSE))))</f>
        <v/>
      </c>
      <c r="H125" s="382" t="str">
        <f>IF(E125="","",IF(ISNA(VLOOKUP($E125,'A-1 On-Site Habitat Baseline'!$D$1:$O$258,6,FALSE)),"",(VLOOKUP($E125,'A-1 On-Site Habitat Baseline'!$D$1:$O$258,6,FALSE))))</f>
        <v/>
      </c>
      <c r="I125" s="382" t="str">
        <f>IF(E125="","",IF(ISNA(VLOOKUP($E125,'A-1 On-Site Habitat Baseline'!$D$1:$O$258,7,FALSE)),"",(VLOOKUP($E125,'A-1 On-Site Habitat Baseline'!$D$1:$O$258,7,FALSE))))</f>
        <v/>
      </c>
      <c r="J125" s="382" t="str">
        <f>IF(E125="","",IF(ISNA(VLOOKUP($E125,'A-1 On-Site Habitat Baseline'!$D$1:$O$258,8,FALSE)),"",(VLOOKUP($E125,'A-1 On-Site Habitat Baseline'!$D$1:$O$258,8,FALSE))))</f>
        <v/>
      </c>
      <c r="K125" s="382" t="str">
        <f>IF(E125="","",IF(ISNA(VLOOKUP($E125,'A-1 On-Site Habitat Baseline'!$D$1:$O$258,9,FALSE)),"",(VLOOKUP($E125,'A-1 On-Site Habitat Baseline'!$D$1:$O$258,9,FALSE))))</f>
        <v/>
      </c>
      <c r="L125" s="382" t="str">
        <f>IF(E125="","",IF(ISNA(VLOOKUP($E125,'A-1 On-Site Habitat Baseline'!$D$1:$O$258,11,FALSE)),"",(VLOOKUP($E125,'A-1 On-Site Habitat Baseline'!$D$1:$O$258,11,FALSE))))</f>
        <v/>
      </c>
      <c r="M125" s="382" t="str">
        <f>IF(E125="","",IF(ISNA(VLOOKUP($E125,'A-1 On-Site Habitat Baseline'!$D$1:$O$258,12,FALSE)),"",(VLOOKUP($E125,'A-1 On-Site Habitat Baseline'!$D$1:$O$258,12,FALSE))))</f>
        <v/>
      </c>
      <c r="N125" s="393" t="str">
        <f>IF(E125="","",IF(ISNA(VLOOKUP($E125,'A-1 On-Site Habitat Baseline'!$D$1:$X$258,14,FALSE)),"",(VLOOKUP($E125,'A-1 On-Site Habitat Baseline'!$D$1:$X$258,14,FALSE))))</f>
        <v/>
      </c>
      <c r="O125" s="386" t="str">
        <f>IF(E125="","",IF(ISNA(VLOOKUP($E125,'A-1 On-Site Habitat Baseline'!$D$1:$X$258,16,FALSE)),"",(VLOOKUP($E125,'A-1 On-Site Habitat Baseline'!$D$1:$X$258,13,FALSE))))</f>
        <v/>
      </c>
      <c r="P125" s="192" t="str">
        <f>IFERROR(INDEX('G-1 All Habitats'!$AG$3:$AG$17,MATCH(Q125,'G-1 All Habitats'!$AF$3:$AF$17,0)),"")</f>
        <v/>
      </c>
      <c r="Q125" s="193" t="str">
        <f t="shared" si="13"/>
        <v/>
      </c>
      <c r="R125" s="193" t="str">
        <f t="shared" si="13"/>
        <v/>
      </c>
      <c r="S125" s="306" t="str">
        <f>IFERROR(INDEX('G-1 All Habitats'!$B$3:$B$134,MATCH(R125,'G-1 All Habitats'!$A$3:$A$134,0)),"")</f>
        <v/>
      </c>
      <c r="T125" s="362" t="str">
        <f t="shared" si="14"/>
        <v/>
      </c>
      <c r="U125" s="363" t="str">
        <f t="shared" si="15"/>
        <v/>
      </c>
      <c r="V125" s="398" t="str">
        <f t="shared" si="11"/>
        <v/>
      </c>
      <c r="W125" s="382" t="str">
        <f>IF(S125="","",VLOOKUP(S125,'G-1 All Habitats'!$B$2:$M$134,10,FALSE))</f>
        <v/>
      </c>
      <c r="X125" s="382" t="str">
        <f>IFERROR(VLOOKUP(W125,'G-1 All Habitats'!$V$3:$W$7,2,FALSE),"")</f>
        <v/>
      </c>
      <c r="Y125" s="61"/>
      <c r="Z125" s="386" t="str">
        <f>IFERROR(INDEX('G-8 Condition Look up'!$A$3:$H$135,MATCH(S125,'G-8 Condition Look up'!$A$3:$A$135,0),MATCH(Y125,'G-8 Condition Look up'!$A$3:$H$3,0)),"")</f>
        <v/>
      </c>
      <c r="AA125" s="54"/>
      <c r="AB125" s="382" t="str">
        <f>IF(AA125="","",IF(VLOOKUP(AA125,'G-3 Multipliers'!$L$3:$N$6,2,FALSE)=0,"Spatial Data Missing ⚠",VLOOKUP(AA125,'G-3 Multipliers'!$L$3:$N$6,2,FALSE)))</f>
        <v/>
      </c>
      <c r="AC125" s="386" t="str">
        <f>IF(AA125="","",IF(VLOOKUP(AA125,'G-3 Multipliers'!$L$3:$N$6,3,FALSE)=0,"Spatial Data Missing ⚠",VLOOKUP(AA125,'G-3 Multipliers'!$L$3:$N$6,3,FALSE)))</f>
        <v/>
      </c>
      <c r="AD125" s="400" t="str">
        <f t="shared" si="12"/>
        <v/>
      </c>
      <c r="AE125" s="63"/>
      <c r="AF125" s="63"/>
      <c r="AG125" s="370" t="str">
        <f t="shared" si="16"/>
        <v/>
      </c>
      <c r="AH125" s="383" t="str">
        <f t="shared" si="17"/>
        <v/>
      </c>
      <c r="AI125" s="384" t="str">
        <f>IF(AH125="Check Data","Check Data",IFERROR(VLOOKUP(AH125,'G-4 Temporal multipliers'!$A$4:$C$36,3,FALSE),""))</f>
        <v/>
      </c>
      <c r="AJ125" s="362" t="str">
        <f>IF(S125="","",VLOOKUP(S125,'G-3 Multipliers'!$A$2:$E$134,4,FALSE))</f>
        <v/>
      </c>
      <c r="AK125" s="370" t="str">
        <f t="shared" si="18"/>
        <v/>
      </c>
      <c r="AL125" s="370" t="str">
        <f t="shared" si="19"/>
        <v/>
      </c>
      <c r="AM125" s="401" t="str">
        <f>IFERROR(IF(F125="","",IF(AH125="Check Data ⚠","Check Data ⚠",VLOOKUP(AL125, 'G-3 Multipliers'!$P$2:$Q$6,2,FALSE))),"")</f>
        <v/>
      </c>
      <c r="AN125" s="376" t="str">
        <f t="shared" si="20"/>
        <v/>
      </c>
      <c r="AO125" s="194"/>
      <c r="AP125" s="195"/>
      <c r="AQ125" s="120"/>
    </row>
    <row r="126" spans="1:43">
      <c r="A126" s="35" t="str">
        <f>IF(E126="","",IF(ISNA(VLOOKUP($E126,'A-1 On-Site Habitat Baseline'!$D$1:$O$258,2,FALSE)),"",(VLOOKUP($E126,'A-1 On-Site Habitat Baseline'!$D$1:$O$258,2,FALSE))))</f>
        <v/>
      </c>
      <c r="B126" s="35" t="str">
        <f>IF(E126="","",IF(ISNA(VLOOKUP($E126,'A-1 On-Site Habitat Baseline'!$D$1:$O$258,3,FALSE)),"",(VLOOKUP($E126,'A-1 On-Site Habitat Baseline'!$D$1:$O$258,3,FALSE))))</f>
        <v/>
      </c>
      <c r="C126" s="35" t="str">
        <f>IFERROR(INDEX('G-8 Condition Look up'!$I$4:$I$135,MATCH(S126,'G-8 Condition Look up'!$A$4:$A$135,0)),"")</f>
        <v/>
      </c>
      <c r="E126" s="392" t="str">
        <f>'A-1 On-Site Habitat Baseline'!AL125</f>
        <v/>
      </c>
      <c r="F126" s="382" t="str">
        <f>IF(E126="","",IF(ISNA(VLOOKUP($E126,'A-1 On-Site Habitat Baseline'!$D$1:$O$258,4,FALSE)),"",(VLOOKUP($E126,'A-1 On-Site Habitat Baseline'!$D$1:$O$258,4,FALSE))))</f>
        <v/>
      </c>
      <c r="G126" s="382" t="str">
        <f>IF(E126="","",IF(ISNA(VLOOKUP($E126,'A-1 On-Site Habitat Baseline'!$D$1:$O$258,5,FALSE)),"",(VLOOKUP($E126,'A-1 On-Site Habitat Baseline'!$D$1:$O$258,5,FALSE))))</f>
        <v/>
      </c>
      <c r="H126" s="382" t="str">
        <f>IF(E126="","",IF(ISNA(VLOOKUP($E126,'A-1 On-Site Habitat Baseline'!$D$1:$O$258,6,FALSE)),"",(VLOOKUP($E126,'A-1 On-Site Habitat Baseline'!$D$1:$O$258,6,FALSE))))</f>
        <v/>
      </c>
      <c r="I126" s="382" t="str">
        <f>IF(E126="","",IF(ISNA(VLOOKUP($E126,'A-1 On-Site Habitat Baseline'!$D$1:$O$258,7,FALSE)),"",(VLOOKUP($E126,'A-1 On-Site Habitat Baseline'!$D$1:$O$258,7,FALSE))))</f>
        <v/>
      </c>
      <c r="J126" s="382" t="str">
        <f>IF(E126="","",IF(ISNA(VLOOKUP($E126,'A-1 On-Site Habitat Baseline'!$D$1:$O$258,8,FALSE)),"",(VLOOKUP($E126,'A-1 On-Site Habitat Baseline'!$D$1:$O$258,8,FALSE))))</f>
        <v/>
      </c>
      <c r="K126" s="382" t="str">
        <f>IF(E126="","",IF(ISNA(VLOOKUP($E126,'A-1 On-Site Habitat Baseline'!$D$1:$O$258,9,FALSE)),"",(VLOOKUP($E126,'A-1 On-Site Habitat Baseline'!$D$1:$O$258,9,FALSE))))</f>
        <v/>
      </c>
      <c r="L126" s="382" t="str">
        <f>IF(E126="","",IF(ISNA(VLOOKUP($E126,'A-1 On-Site Habitat Baseline'!$D$1:$O$258,11,FALSE)),"",(VLOOKUP($E126,'A-1 On-Site Habitat Baseline'!$D$1:$O$258,11,FALSE))))</f>
        <v/>
      </c>
      <c r="M126" s="382" t="str">
        <f>IF(E126="","",IF(ISNA(VLOOKUP($E126,'A-1 On-Site Habitat Baseline'!$D$1:$O$258,12,FALSE)),"",(VLOOKUP($E126,'A-1 On-Site Habitat Baseline'!$D$1:$O$258,12,FALSE))))</f>
        <v/>
      </c>
      <c r="N126" s="393" t="str">
        <f>IF(E126="","",IF(ISNA(VLOOKUP($E126,'A-1 On-Site Habitat Baseline'!$D$1:$X$258,14,FALSE)),"",(VLOOKUP($E126,'A-1 On-Site Habitat Baseline'!$D$1:$X$258,14,FALSE))))</f>
        <v/>
      </c>
      <c r="O126" s="386" t="str">
        <f>IF(E126="","",IF(ISNA(VLOOKUP($E126,'A-1 On-Site Habitat Baseline'!$D$1:$X$258,16,FALSE)),"",(VLOOKUP($E126,'A-1 On-Site Habitat Baseline'!$D$1:$X$258,13,FALSE))))</f>
        <v/>
      </c>
      <c r="P126" s="192" t="str">
        <f>IFERROR(INDEX('G-1 All Habitats'!$AG$3:$AG$17,MATCH(Q126,'G-1 All Habitats'!$AF$3:$AF$17,0)),"")</f>
        <v/>
      </c>
      <c r="Q126" s="193" t="str">
        <f t="shared" si="13"/>
        <v/>
      </c>
      <c r="R126" s="193" t="str">
        <f t="shared" si="13"/>
        <v/>
      </c>
      <c r="S126" s="306" t="str">
        <f>IFERROR(INDEX('G-1 All Habitats'!$B$3:$B$134,MATCH(R126,'G-1 All Habitats'!$A$3:$A$134,0)),"")</f>
        <v/>
      </c>
      <c r="T126" s="362" t="str">
        <f t="shared" si="14"/>
        <v/>
      </c>
      <c r="U126" s="363" t="str">
        <f t="shared" si="15"/>
        <v/>
      </c>
      <c r="V126" s="398" t="str">
        <f t="shared" si="11"/>
        <v/>
      </c>
      <c r="W126" s="382" t="str">
        <f>IF(S126="","",VLOOKUP(S126,'G-1 All Habitats'!$B$2:$M$134,10,FALSE))</f>
        <v/>
      </c>
      <c r="X126" s="382" t="str">
        <f>IFERROR(VLOOKUP(W126,'G-1 All Habitats'!$V$3:$W$7,2,FALSE),"")</f>
        <v/>
      </c>
      <c r="Y126" s="61"/>
      <c r="Z126" s="386" t="str">
        <f>IFERROR(INDEX('G-8 Condition Look up'!$A$3:$H$135,MATCH(S126,'G-8 Condition Look up'!$A$3:$A$135,0),MATCH(Y126,'G-8 Condition Look up'!$A$3:$H$3,0)),"")</f>
        <v/>
      </c>
      <c r="AA126" s="54"/>
      <c r="AB126" s="382" t="str">
        <f>IF(AA126="","",IF(VLOOKUP(AA126,'G-3 Multipliers'!$L$3:$N$6,2,FALSE)=0,"Spatial Data Missing ⚠",VLOOKUP(AA126,'G-3 Multipliers'!$L$3:$N$6,2,FALSE)))</f>
        <v/>
      </c>
      <c r="AC126" s="386" t="str">
        <f>IF(AA126="","",IF(VLOOKUP(AA126,'G-3 Multipliers'!$L$3:$N$6,3,FALSE)=0,"Spatial Data Missing ⚠",VLOOKUP(AA126,'G-3 Multipliers'!$L$3:$N$6,3,FALSE)))</f>
        <v/>
      </c>
      <c r="AD126" s="400" t="str">
        <f t="shared" si="12"/>
        <v/>
      </c>
      <c r="AE126" s="63"/>
      <c r="AF126" s="63"/>
      <c r="AG126" s="370" t="str">
        <f t="shared" si="16"/>
        <v/>
      </c>
      <c r="AH126" s="383" t="str">
        <f t="shared" si="17"/>
        <v/>
      </c>
      <c r="AI126" s="384" t="str">
        <f>IF(AH126="Check Data","Check Data",IFERROR(VLOOKUP(AH126,'G-4 Temporal multipliers'!$A$4:$C$36,3,FALSE),""))</f>
        <v/>
      </c>
      <c r="AJ126" s="362" t="str">
        <f>IF(S126="","",VLOOKUP(S126,'G-3 Multipliers'!$A$2:$E$134,4,FALSE))</f>
        <v/>
      </c>
      <c r="AK126" s="370" t="str">
        <f t="shared" si="18"/>
        <v/>
      </c>
      <c r="AL126" s="370" t="str">
        <f t="shared" si="19"/>
        <v/>
      </c>
      <c r="AM126" s="401" t="str">
        <f>IFERROR(IF(F126="","",IF(AH126="Check Data ⚠","Check Data ⚠",VLOOKUP(AL126, 'G-3 Multipliers'!$P$2:$Q$6,2,FALSE))),"")</f>
        <v/>
      </c>
      <c r="AN126" s="376" t="str">
        <f t="shared" si="20"/>
        <v/>
      </c>
      <c r="AO126" s="194"/>
      <c r="AP126" s="195"/>
      <c r="AQ126" s="120"/>
    </row>
    <row r="127" spans="1:43">
      <c r="A127" s="35" t="str">
        <f>IF(E127="","",IF(ISNA(VLOOKUP($E127,'A-1 On-Site Habitat Baseline'!$D$1:$O$258,2,FALSE)),"",(VLOOKUP($E127,'A-1 On-Site Habitat Baseline'!$D$1:$O$258,2,FALSE))))</f>
        <v/>
      </c>
      <c r="B127" s="35" t="str">
        <f>IF(E127="","",IF(ISNA(VLOOKUP($E127,'A-1 On-Site Habitat Baseline'!$D$1:$O$258,3,FALSE)),"",(VLOOKUP($E127,'A-1 On-Site Habitat Baseline'!$D$1:$O$258,3,FALSE))))</f>
        <v/>
      </c>
      <c r="C127" s="35" t="str">
        <f>IFERROR(INDEX('G-8 Condition Look up'!$I$4:$I$135,MATCH(S127,'G-8 Condition Look up'!$A$4:$A$135,0)),"")</f>
        <v/>
      </c>
      <c r="E127" s="392" t="str">
        <f>'A-1 On-Site Habitat Baseline'!AL126</f>
        <v/>
      </c>
      <c r="F127" s="382" t="str">
        <f>IF(E127="","",IF(ISNA(VLOOKUP($E127,'A-1 On-Site Habitat Baseline'!$D$1:$O$258,4,FALSE)),"",(VLOOKUP($E127,'A-1 On-Site Habitat Baseline'!$D$1:$O$258,4,FALSE))))</f>
        <v/>
      </c>
      <c r="G127" s="382" t="str">
        <f>IF(E127="","",IF(ISNA(VLOOKUP($E127,'A-1 On-Site Habitat Baseline'!$D$1:$O$258,5,FALSE)),"",(VLOOKUP($E127,'A-1 On-Site Habitat Baseline'!$D$1:$O$258,5,FALSE))))</f>
        <v/>
      </c>
      <c r="H127" s="382" t="str">
        <f>IF(E127="","",IF(ISNA(VLOOKUP($E127,'A-1 On-Site Habitat Baseline'!$D$1:$O$258,6,FALSE)),"",(VLOOKUP($E127,'A-1 On-Site Habitat Baseline'!$D$1:$O$258,6,FALSE))))</f>
        <v/>
      </c>
      <c r="I127" s="382" t="str">
        <f>IF(E127="","",IF(ISNA(VLOOKUP($E127,'A-1 On-Site Habitat Baseline'!$D$1:$O$258,7,FALSE)),"",(VLOOKUP($E127,'A-1 On-Site Habitat Baseline'!$D$1:$O$258,7,FALSE))))</f>
        <v/>
      </c>
      <c r="J127" s="382" t="str">
        <f>IF(E127="","",IF(ISNA(VLOOKUP($E127,'A-1 On-Site Habitat Baseline'!$D$1:$O$258,8,FALSE)),"",(VLOOKUP($E127,'A-1 On-Site Habitat Baseline'!$D$1:$O$258,8,FALSE))))</f>
        <v/>
      </c>
      <c r="K127" s="382" t="str">
        <f>IF(E127="","",IF(ISNA(VLOOKUP($E127,'A-1 On-Site Habitat Baseline'!$D$1:$O$258,9,FALSE)),"",(VLOOKUP($E127,'A-1 On-Site Habitat Baseline'!$D$1:$O$258,9,FALSE))))</f>
        <v/>
      </c>
      <c r="L127" s="382" t="str">
        <f>IF(E127="","",IF(ISNA(VLOOKUP($E127,'A-1 On-Site Habitat Baseline'!$D$1:$O$258,11,FALSE)),"",(VLOOKUP($E127,'A-1 On-Site Habitat Baseline'!$D$1:$O$258,11,FALSE))))</f>
        <v/>
      </c>
      <c r="M127" s="382" t="str">
        <f>IF(E127="","",IF(ISNA(VLOOKUP($E127,'A-1 On-Site Habitat Baseline'!$D$1:$O$258,12,FALSE)),"",(VLOOKUP($E127,'A-1 On-Site Habitat Baseline'!$D$1:$O$258,12,FALSE))))</f>
        <v/>
      </c>
      <c r="N127" s="393" t="str">
        <f>IF(E127="","",IF(ISNA(VLOOKUP($E127,'A-1 On-Site Habitat Baseline'!$D$1:$X$258,14,FALSE)),"",(VLOOKUP($E127,'A-1 On-Site Habitat Baseline'!$D$1:$X$258,14,FALSE))))</f>
        <v/>
      </c>
      <c r="O127" s="386" t="str">
        <f>IF(E127="","",IF(ISNA(VLOOKUP($E127,'A-1 On-Site Habitat Baseline'!$D$1:$X$258,16,FALSE)),"",(VLOOKUP($E127,'A-1 On-Site Habitat Baseline'!$D$1:$X$258,13,FALSE))))</f>
        <v/>
      </c>
      <c r="P127" s="192" t="str">
        <f>IFERROR(INDEX('G-1 All Habitats'!$AG$3:$AG$17,MATCH(Q127,'G-1 All Habitats'!$AF$3:$AF$17,0)),"")</f>
        <v/>
      </c>
      <c r="Q127" s="193" t="str">
        <f t="shared" si="13"/>
        <v/>
      </c>
      <c r="R127" s="193" t="str">
        <f t="shared" si="13"/>
        <v/>
      </c>
      <c r="S127" s="306" t="str">
        <f>IFERROR(INDEX('G-1 All Habitats'!$B$3:$B$134,MATCH(R127,'G-1 All Habitats'!$A$3:$A$134,0)),"")</f>
        <v/>
      </c>
      <c r="T127" s="362" t="str">
        <f t="shared" si="14"/>
        <v/>
      </c>
      <c r="U127" s="363" t="str">
        <f t="shared" si="15"/>
        <v/>
      </c>
      <c r="V127" s="398" t="str">
        <f t="shared" si="11"/>
        <v/>
      </c>
      <c r="W127" s="382" t="str">
        <f>IF(S127="","",VLOOKUP(S127,'G-1 All Habitats'!$B$2:$M$134,10,FALSE))</f>
        <v/>
      </c>
      <c r="X127" s="382" t="str">
        <f>IFERROR(VLOOKUP(W127,'G-1 All Habitats'!$V$3:$W$7,2,FALSE),"")</f>
        <v/>
      </c>
      <c r="Y127" s="61"/>
      <c r="Z127" s="386" t="str">
        <f>IFERROR(INDEX('G-8 Condition Look up'!$A$3:$H$135,MATCH(S127,'G-8 Condition Look up'!$A$3:$A$135,0),MATCH(Y127,'G-8 Condition Look up'!$A$3:$H$3,0)),"")</f>
        <v/>
      </c>
      <c r="AA127" s="54"/>
      <c r="AB127" s="382" t="str">
        <f>IF(AA127="","",IF(VLOOKUP(AA127,'G-3 Multipliers'!$L$3:$N$6,2,FALSE)=0,"Spatial Data Missing ⚠",VLOOKUP(AA127,'G-3 Multipliers'!$L$3:$N$6,2,FALSE)))</f>
        <v/>
      </c>
      <c r="AC127" s="386" t="str">
        <f>IF(AA127="","",IF(VLOOKUP(AA127,'G-3 Multipliers'!$L$3:$N$6,3,FALSE)=0,"Spatial Data Missing ⚠",VLOOKUP(AA127,'G-3 Multipliers'!$L$3:$N$6,3,FALSE)))</f>
        <v/>
      </c>
      <c r="AD127" s="400" t="str">
        <f t="shared" si="12"/>
        <v/>
      </c>
      <c r="AE127" s="63"/>
      <c r="AF127" s="63"/>
      <c r="AG127" s="370" t="str">
        <f t="shared" si="16"/>
        <v/>
      </c>
      <c r="AH127" s="383" t="str">
        <f t="shared" si="17"/>
        <v/>
      </c>
      <c r="AI127" s="384" t="str">
        <f>IF(AH127="Check Data","Check Data",IFERROR(VLOOKUP(AH127,'G-4 Temporal multipliers'!$A$4:$C$36,3,FALSE),""))</f>
        <v/>
      </c>
      <c r="AJ127" s="362" t="str">
        <f>IF(S127="","",VLOOKUP(S127,'G-3 Multipliers'!$A$2:$E$134,4,FALSE))</f>
        <v/>
      </c>
      <c r="AK127" s="370" t="str">
        <f t="shared" si="18"/>
        <v/>
      </c>
      <c r="AL127" s="370" t="str">
        <f t="shared" si="19"/>
        <v/>
      </c>
      <c r="AM127" s="401" t="str">
        <f>IFERROR(IF(F127="","",IF(AH127="Check Data ⚠","Check Data ⚠",VLOOKUP(AL127, 'G-3 Multipliers'!$P$2:$Q$6,2,FALSE))),"")</f>
        <v/>
      </c>
      <c r="AN127" s="376" t="str">
        <f t="shared" si="20"/>
        <v/>
      </c>
      <c r="AO127" s="194"/>
      <c r="AP127" s="195"/>
      <c r="AQ127" s="120"/>
    </row>
    <row r="128" spans="1:43">
      <c r="A128" s="35" t="str">
        <f>IF(E128="","",IF(ISNA(VLOOKUP($E128,'A-1 On-Site Habitat Baseline'!$D$1:$O$258,2,FALSE)),"",(VLOOKUP($E128,'A-1 On-Site Habitat Baseline'!$D$1:$O$258,2,FALSE))))</f>
        <v/>
      </c>
      <c r="B128" s="35" t="str">
        <f>IF(E128="","",IF(ISNA(VLOOKUP($E128,'A-1 On-Site Habitat Baseline'!$D$1:$O$258,3,FALSE)),"",(VLOOKUP($E128,'A-1 On-Site Habitat Baseline'!$D$1:$O$258,3,FALSE))))</f>
        <v/>
      </c>
      <c r="C128" s="35" t="str">
        <f>IFERROR(INDEX('G-8 Condition Look up'!$I$4:$I$135,MATCH(S128,'G-8 Condition Look up'!$A$4:$A$135,0)),"")</f>
        <v/>
      </c>
      <c r="E128" s="392" t="str">
        <f>'A-1 On-Site Habitat Baseline'!AL127</f>
        <v/>
      </c>
      <c r="F128" s="382" t="str">
        <f>IF(E128="","",IF(ISNA(VLOOKUP($E128,'A-1 On-Site Habitat Baseline'!$D$1:$O$258,4,FALSE)),"",(VLOOKUP($E128,'A-1 On-Site Habitat Baseline'!$D$1:$O$258,4,FALSE))))</f>
        <v/>
      </c>
      <c r="G128" s="382" t="str">
        <f>IF(E128="","",IF(ISNA(VLOOKUP($E128,'A-1 On-Site Habitat Baseline'!$D$1:$O$258,5,FALSE)),"",(VLOOKUP($E128,'A-1 On-Site Habitat Baseline'!$D$1:$O$258,5,FALSE))))</f>
        <v/>
      </c>
      <c r="H128" s="382" t="str">
        <f>IF(E128="","",IF(ISNA(VLOOKUP($E128,'A-1 On-Site Habitat Baseline'!$D$1:$O$258,6,FALSE)),"",(VLOOKUP($E128,'A-1 On-Site Habitat Baseline'!$D$1:$O$258,6,FALSE))))</f>
        <v/>
      </c>
      <c r="I128" s="382" t="str">
        <f>IF(E128="","",IF(ISNA(VLOOKUP($E128,'A-1 On-Site Habitat Baseline'!$D$1:$O$258,7,FALSE)),"",(VLOOKUP($E128,'A-1 On-Site Habitat Baseline'!$D$1:$O$258,7,FALSE))))</f>
        <v/>
      </c>
      <c r="J128" s="382" t="str">
        <f>IF(E128="","",IF(ISNA(VLOOKUP($E128,'A-1 On-Site Habitat Baseline'!$D$1:$O$258,8,FALSE)),"",(VLOOKUP($E128,'A-1 On-Site Habitat Baseline'!$D$1:$O$258,8,FALSE))))</f>
        <v/>
      </c>
      <c r="K128" s="382" t="str">
        <f>IF(E128="","",IF(ISNA(VLOOKUP($E128,'A-1 On-Site Habitat Baseline'!$D$1:$O$258,9,FALSE)),"",(VLOOKUP($E128,'A-1 On-Site Habitat Baseline'!$D$1:$O$258,9,FALSE))))</f>
        <v/>
      </c>
      <c r="L128" s="382" t="str">
        <f>IF(E128="","",IF(ISNA(VLOOKUP($E128,'A-1 On-Site Habitat Baseline'!$D$1:$O$258,11,FALSE)),"",(VLOOKUP($E128,'A-1 On-Site Habitat Baseline'!$D$1:$O$258,11,FALSE))))</f>
        <v/>
      </c>
      <c r="M128" s="382" t="str">
        <f>IF(E128="","",IF(ISNA(VLOOKUP($E128,'A-1 On-Site Habitat Baseline'!$D$1:$O$258,12,FALSE)),"",(VLOOKUP($E128,'A-1 On-Site Habitat Baseline'!$D$1:$O$258,12,FALSE))))</f>
        <v/>
      </c>
      <c r="N128" s="393" t="str">
        <f>IF(E128="","",IF(ISNA(VLOOKUP($E128,'A-1 On-Site Habitat Baseline'!$D$1:$X$258,14,FALSE)),"",(VLOOKUP($E128,'A-1 On-Site Habitat Baseline'!$D$1:$X$258,14,FALSE))))</f>
        <v/>
      </c>
      <c r="O128" s="386" t="str">
        <f>IF(E128="","",IF(ISNA(VLOOKUP($E128,'A-1 On-Site Habitat Baseline'!$D$1:$X$258,16,FALSE)),"",(VLOOKUP($E128,'A-1 On-Site Habitat Baseline'!$D$1:$X$258,13,FALSE))))</f>
        <v/>
      </c>
      <c r="P128" s="192" t="str">
        <f>IFERROR(INDEX('G-1 All Habitats'!$AG$3:$AG$17,MATCH(Q128,'G-1 All Habitats'!$AF$3:$AF$17,0)),"")</f>
        <v/>
      </c>
      <c r="Q128" s="193" t="str">
        <f t="shared" si="13"/>
        <v/>
      </c>
      <c r="R128" s="193" t="str">
        <f t="shared" si="13"/>
        <v/>
      </c>
      <c r="S128" s="306" t="str">
        <f>IFERROR(INDEX('G-1 All Habitats'!$B$3:$B$134,MATCH(R128,'G-1 All Habitats'!$A$3:$A$134,0)),"")</f>
        <v/>
      </c>
      <c r="T128" s="362" t="str">
        <f t="shared" si="14"/>
        <v/>
      </c>
      <c r="U128" s="363" t="str">
        <f t="shared" si="15"/>
        <v/>
      </c>
      <c r="V128" s="398" t="str">
        <f t="shared" si="11"/>
        <v/>
      </c>
      <c r="W128" s="382" t="str">
        <f>IF(S128="","",VLOOKUP(S128,'G-1 All Habitats'!$B$2:$M$134,10,FALSE))</f>
        <v/>
      </c>
      <c r="X128" s="382" t="str">
        <f>IFERROR(VLOOKUP(W128,'G-1 All Habitats'!$V$3:$W$7,2,FALSE),"")</f>
        <v/>
      </c>
      <c r="Y128" s="61"/>
      <c r="Z128" s="386" t="str">
        <f>IFERROR(INDEX('G-8 Condition Look up'!$A$3:$H$135,MATCH(S128,'G-8 Condition Look up'!$A$3:$A$135,0),MATCH(Y128,'G-8 Condition Look up'!$A$3:$H$3,0)),"")</f>
        <v/>
      </c>
      <c r="AA128" s="54"/>
      <c r="AB128" s="382" t="str">
        <f>IF(AA128="","",IF(VLOOKUP(AA128,'G-3 Multipliers'!$L$3:$N$6,2,FALSE)=0,"Spatial Data Missing ⚠",VLOOKUP(AA128,'G-3 Multipliers'!$L$3:$N$6,2,FALSE)))</f>
        <v/>
      </c>
      <c r="AC128" s="386" t="str">
        <f>IF(AA128="","",IF(VLOOKUP(AA128,'G-3 Multipliers'!$L$3:$N$6,3,FALSE)=0,"Spatial Data Missing ⚠",VLOOKUP(AA128,'G-3 Multipliers'!$L$3:$N$6,3,FALSE)))</f>
        <v/>
      </c>
      <c r="AD128" s="400" t="str">
        <f t="shared" si="12"/>
        <v/>
      </c>
      <c r="AE128" s="63"/>
      <c r="AF128" s="63"/>
      <c r="AG128" s="370" t="str">
        <f t="shared" si="16"/>
        <v/>
      </c>
      <c r="AH128" s="383" t="str">
        <f t="shared" si="17"/>
        <v/>
      </c>
      <c r="AI128" s="384" t="str">
        <f>IF(AH128="Check Data","Check Data",IFERROR(VLOOKUP(AH128,'G-4 Temporal multipliers'!$A$4:$C$36,3,FALSE),""))</f>
        <v/>
      </c>
      <c r="AJ128" s="362" t="str">
        <f>IF(S128="","",VLOOKUP(S128,'G-3 Multipliers'!$A$2:$E$134,4,FALSE))</f>
        <v/>
      </c>
      <c r="AK128" s="370" t="str">
        <f t="shared" si="18"/>
        <v/>
      </c>
      <c r="AL128" s="370" t="str">
        <f t="shared" si="19"/>
        <v/>
      </c>
      <c r="AM128" s="401" t="str">
        <f>IFERROR(IF(F128="","",IF(AH128="Check Data ⚠","Check Data ⚠",VLOOKUP(AL128, 'G-3 Multipliers'!$P$2:$Q$6,2,FALSE))),"")</f>
        <v/>
      </c>
      <c r="AN128" s="376" t="str">
        <f t="shared" si="20"/>
        <v/>
      </c>
      <c r="AO128" s="194"/>
      <c r="AP128" s="195"/>
      <c r="AQ128" s="120"/>
    </row>
    <row r="129" spans="1:43">
      <c r="A129" s="35" t="str">
        <f>IF(E129="","",IF(ISNA(VLOOKUP($E129,'A-1 On-Site Habitat Baseline'!$D$1:$O$258,2,FALSE)),"",(VLOOKUP($E129,'A-1 On-Site Habitat Baseline'!$D$1:$O$258,2,FALSE))))</f>
        <v/>
      </c>
      <c r="B129" s="35" t="str">
        <f>IF(E129="","",IF(ISNA(VLOOKUP($E129,'A-1 On-Site Habitat Baseline'!$D$1:$O$258,3,FALSE)),"",(VLOOKUP($E129,'A-1 On-Site Habitat Baseline'!$D$1:$O$258,3,FALSE))))</f>
        <v/>
      </c>
      <c r="C129" s="35" t="str">
        <f>IFERROR(INDEX('G-8 Condition Look up'!$I$4:$I$135,MATCH(S129,'G-8 Condition Look up'!$A$4:$A$135,0)),"")</f>
        <v/>
      </c>
      <c r="E129" s="392" t="str">
        <f>'A-1 On-Site Habitat Baseline'!AL128</f>
        <v/>
      </c>
      <c r="F129" s="382" t="str">
        <f>IF(E129="","",IF(ISNA(VLOOKUP($E129,'A-1 On-Site Habitat Baseline'!$D$1:$O$258,4,FALSE)),"",(VLOOKUP($E129,'A-1 On-Site Habitat Baseline'!$D$1:$O$258,4,FALSE))))</f>
        <v/>
      </c>
      <c r="G129" s="382" t="str">
        <f>IF(E129="","",IF(ISNA(VLOOKUP($E129,'A-1 On-Site Habitat Baseline'!$D$1:$O$258,5,FALSE)),"",(VLOOKUP($E129,'A-1 On-Site Habitat Baseline'!$D$1:$O$258,5,FALSE))))</f>
        <v/>
      </c>
      <c r="H129" s="382" t="str">
        <f>IF(E129="","",IF(ISNA(VLOOKUP($E129,'A-1 On-Site Habitat Baseline'!$D$1:$O$258,6,FALSE)),"",(VLOOKUP($E129,'A-1 On-Site Habitat Baseline'!$D$1:$O$258,6,FALSE))))</f>
        <v/>
      </c>
      <c r="I129" s="382" t="str">
        <f>IF(E129="","",IF(ISNA(VLOOKUP($E129,'A-1 On-Site Habitat Baseline'!$D$1:$O$258,7,FALSE)),"",(VLOOKUP($E129,'A-1 On-Site Habitat Baseline'!$D$1:$O$258,7,FALSE))))</f>
        <v/>
      </c>
      <c r="J129" s="382" t="str">
        <f>IF(E129="","",IF(ISNA(VLOOKUP($E129,'A-1 On-Site Habitat Baseline'!$D$1:$O$258,8,FALSE)),"",(VLOOKUP($E129,'A-1 On-Site Habitat Baseline'!$D$1:$O$258,8,FALSE))))</f>
        <v/>
      </c>
      <c r="K129" s="382" t="str">
        <f>IF(E129="","",IF(ISNA(VLOOKUP($E129,'A-1 On-Site Habitat Baseline'!$D$1:$O$258,9,FALSE)),"",(VLOOKUP($E129,'A-1 On-Site Habitat Baseline'!$D$1:$O$258,9,FALSE))))</f>
        <v/>
      </c>
      <c r="L129" s="382" t="str">
        <f>IF(E129="","",IF(ISNA(VLOOKUP($E129,'A-1 On-Site Habitat Baseline'!$D$1:$O$258,11,FALSE)),"",(VLOOKUP($E129,'A-1 On-Site Habitat Baseline'!$D$1:$O$258,11,FALSE))))</f>
        <v/>
      </c>
      <c r="M129" s="382" t="str">
        <f>IF(E129="","",IF(ISNA(VLOOKUP($E129,'A-1 On-Site Habitat Baseline'!$D$1:$O$258,12,FALSE)),"",(VLOOKUP($E129,'A-1 On-Site Habitat Baseline'!$D$1:$O$258,12,FALSE))))</f>
        <v/>
      </c>
      <c r="N129" s="393" t="str">
        <f>IF(E129="","",IF(ISNA(VLOOKUP($E129,'A-1 On-Site Habitat Baseline'!$D$1:$X$258,14,FALSE)),"",(VLOOKUP($E129,'A-1 On-Site Habitat Baseline'!$D$1:$X$258,14,FALSE))))</f>
        <v/>
      </c>
      <c r="O129" s="386" t="str">
        <f>IF(E129="","",IF(ISNA(VLOOKUP($E129,'A-1 On-Site Habitat Baseline'!$D$1:$X$258,16,FALSE)),"",(VLOOKUP($E129,'A-1 On-Site Habitat Baseline'!$D$1:$X$258,13,FALSE))))</f>
        <v/>
      </c>
      <c r="P129" s="192" t="str">
        <f>IFERROR(INDEX('G-1 All Habitats'!$AG$3:$AG$17,MATCH(Q129,'G-1 All Habitats'!$AF$3:$AF$17,0)),"")</f>
        <v/>
      </c>
      <c r="Q129" s="193" t="str">
        <f t="shared" si="13"/>
        <v/>
      </c>
      <c r="R129" s="193" t="str">
        <f t="shared" si="13"/>
        <v/>
      </c>
      <c r="S129" s="306" t="str">
        <f>IFERROR(INDEX('G-1 All Habitats'!$B$3:$B$134,MATCH(R129,'G-1 All Habitats'!$A$3:$A$134,0)),"")</f>
        <v/>
      </c>
      <c r="T129" s="362" t="str">
        <f t="shared" si="14"/>
        <v/>
      </c>
      <c r="U129" s="363" t="str">
        <f t="shared" si="15"/>
        <v/>
      </c>
      <c r="V129" s="398" t="str">
        <f t="shared" si="11"/>
        <v/>
      </c>
      <c r="W129" s="382" t="str">
        <f>IF(S129="","",VLOOKUP(S129,'G-1 All Habitats'!$B$2:$M$134,10,FALSE))</f>
        <v/>
      </c>
      <c r="X129" s="382" t="str">
        <f>IFERROR(VLOOKUP(W129,'G-1 All Habitats'!$V$3:$W$7,2,FALSE),"")</f>
        <v/>
      </c>
      <c r="Y129" s="61"/>
      <c r="Z129" s="386" t="str">
        <f>IFERROR(INDEX('G-8 Condition Look up'!$A$3:$H$135,MATCH(S129,'G-8 Condition Look up'!$A$3:$A$135,0),MATCH(Y129,'G-8 Condition Look up'!$A$3:$H$3,0)),"")</f>
        <v/>
      </c>
      <c r="AA129" s="54"/>
      <c r="AB129" s="382" t="str">
        <f>IF(AA129="","",IF(VLOOKUP(AA129,'G-3 Multipliers'!$L$3:$N$6,2,FALSE)=0,"Spatial Data Missing ⚠",VLOOKUP(AA129,'G-3 Multipliers'!$L$3:$N$6,2,FALSE)))</f>
        <v/>
      </c>
      <c r="AC129" s="386" t="str">
        <f>IF(AA129="","",IF(VLOOKUP(AA129,'G-3 Multipliers'!$L$3:$N$6,3,FALSE)=0,"Spatial Data Missing ⚠",VLOOKUP(AA129,'G-3 Multipliers'!$L$3:$N$6,3,FALSE)))</f>
        <v/>
      </c>
      <c r="AD129" s="400" t="str">
        <f t="shared" si="12"/>
        <v/>
      </c>
      <c r="AE129" s="63"/>
      <c r="AF129" s="63"/>
      <c r="AG129" s="370" t="str">
        <f t="shared" si="16"/>
        <v/>
      </c>
      <c r="AH129" s="383" t="str">
        <f t="shared" si="17"/>
        <v/>
      </c>
      <c r="AI129" s="384" t="str">
        <f>IF(AH129="Check Data","Check Data",IFERROR(VLOOKUP(AH129,'G-4 Temporal multipliers'!$A$4:$C$36,3,FALSE),""))</f>
        <v/>
      </c>
      <c r="AJ129" s="362" t="str">
        <f>IF(S129="","",VLOOKUP(S129,'G-3 Multipliers'!$A$2:$E$134,4,FALSE))</f>
        <v/>
      </c>
      <c r="AK129" s="370" t="str">
        <f t="shared" si="18"/>
        <v/>
      </c>
      <c r="AL129" s="370" t="str">
        <f t="shared" si="19"/>
        <v/>
      </c>
      <c r="AM129" s="401" t="str">
        <f>IFERROR(IF(F129="","",IF(AH129="Check Data ⚠","Check Data ⚠",VLOOKUP(AL129, 'G-3 Multipliers'!$P$2:$Q$6,2,FALSE))),"")</f>
        <v/>
      </c>
      <c r="AN129" s="376" t="str">
        <f t="shared" si="20"/>
        <v/>
      </c>
      <c r="AO129" s="194"/>
      <c r="AP129" s="195"/>
      <c r="AQ129" s="120"/>
    </row>
    <row r="130" spans="1:43">
      <c r="A130" s="35" t="str">
        <f>IF(E130="","",IF(ISNA(VLOOKUP($E130,'A-1 On-Site Habitat Baseline'!$D$1:$O$258,2,FALSE)),"",(VLOOKUP($E130,'A-1 On-Site Habitat Baseline'!$D$1:$O$258,2,FALSE))))</f>
        <v/>
      </c>
      <c r="B130" s="35" t="str">
        <f>IF(E130="","",IF(ISNA(VLOOKUP($E130,'A-1 On-Site Habitat Baseline'!$D$1:$O$258,3,FALSE)),"",(VLOOKUP($E130,'A-1 On-Site Habitat Baseline'!$D$1:$O$258,3,FALSE))))</f>
        <v/>
      </c>
      <c r="C130" s="35" t="str">
        <f>IFERROR(INDEX('G-8 Condition Look up'!$I$4:$I$135,MATCH(S130,'G-8 Condition Look up'!$A$4:$A$135,0)),"")</f>
        <v/>
      </c>
      <c r="E130" s="392" t="str">
        <f>'A-1 On-Site Habitat Baseline'!AL129</f>
        <v/>
      </c>
      <c r="F130" s="382" t="str">
        <f>IF(E130="","",IF(ISNA(VLOOKUP($E130,'A-1 On-Site Habitat Baseline'!$D$1:$O$258,4,FALSE)),"",(VLOOKUP($E130,'A-1 On-Site Habitat Baseline'!$D$1:$O$258,4,FALSE))))</f>
        <v/>
      </c>
      <c r="G130" s="382" t="str">
        <f>IF(E130="","",IF(ISNA(VLOOKUP($E130,'A-1 On-Site Habitat Baseline'!$D$1:$O$258,5,FALSE)),"",(VLOOKUP($E130,'A-1 On-Site Habitat Baseline'!$D$1:$O$258,5,FALSE))))</f>
        <v/>
      </c>
      <c r="H130" s="382" t="str">
        <f>IF(E130="","",IF(ISNA(VLOOKUP($E130,'A-1 On-Site Habitat Baseline'!$D$1:$O$258,6,FALSE)),"",(VLOOKUP($E130,'A-1 On-Site Habitat Baseline'!$D$1:$O$258,6,FALSE))))</f>
        <v/>
      </c>
      <c r="I130" s="382" t="str">
        <f>IF(E130="","",IF(ISNA(VLOOKUP($E130,'A-1 On-Site Habitat Baseline'!$D$1:$O$258,7,FALSE)),"",(VLOOKUP($E130,'A-1 On-Site Habitat Baseline'!$D$1:$O$258,7,FALSE))))</f>
        <v/>
      </c>
      <c r="J130" s="382" t="str">
        <f>IF(E130="","",IF(ISNA(VLOOKUP($E130,'A-1 On-Site Habitat Baseline'!$D$1:$O$258,8,FALSE)),"",(VLOOKUP($E130,'A-1 On-Site Habitat Baseline'!$D$1:$O$258,8,FALSE))))</f>
        <v/>
      </c>
      <c r="K130" s="382" t="str">
        <f>IF(E130="","",IF(ISNA(VLOOKUP($E130,'A-1 On-Site Habitat Baseline'!$D$1:$O$258,9,FALSE)),"",(VLOOKUP($E130,'A-1 On-Site Habitat Baseline'!$D$1:$O$258,9,FALSE))))</f>
        <v/>
      </c>
      <c r="L130" s="382" t="str">
        <f>IF(E130="","",IF(ISNA(VLOOKUP($E130,'A-1 On-Site Habitat Baseline'!$D$1:$O$258,11,FALSE)),"",(VLOOKUP($E130,'A-1 On-Site Habitat Baseline'!$D$1:$O$258,11,FALSE))))</f>
        <v/>
      </c>
      <c r="M130" s="382" t="str">
        <f>IF(E130="","",IF(ISNA(VLOOKUP($E130,'A-1 On-Site Habitat Baseline'!$D$1:$O$258,12,FALSE)),"",(VLOOKUP($E130,'A-1 On-Site Habitat Baseline'!$D$1:$O$258,12,FALSE))))</f>
        <v/>
      </c>
      <c r="N130" s="393" t="str">
        <f>IF(E130="","",IF(ISNA(VLOOKUP($E130,'A-1 On-Site Habitat Baseline'!$D$1:$X$258,14,FALSE)),"",(VLOOKUP($E130,'A-1 On-Site Habitat Baseline'!$D$1:$X$258,14,FALSE))))</f>
        <v/>
      </c>
      <c r="O130" s="386" t="str">
        <f>IF(E130="","",IF(ISNA(VLOOKUP($E130,'A-1 On-Site Habitat Baseline'!$D$1:$X$258,16,FALSE)),"",(VLOOKUP($E130,'A-1 On-Site Habitat Baseline'!$D$1:$X$258,13,FALSE))))</f>
        <v/>
      </c>
      <c r="P130" s="192" t="str">
        <f>IFERROR(INDEX('G-1 All Habitats'!$AG$3:$AG$17,MATCH(Q130,'G-1 All Habitats'!$AF$3:$AF$17,0)),"")</f>
        <v/>
      </c>
      <c r="Q130" s="193" t="str">
        <f t="shared" si="13"/>
        <v/>
      </c>
      <c r="R130" s="193" t="str">
        <f t="shared" si="13"/>
        <v/>
      </c>
      <c r="S130" s="306" t="str">
        <f>IFERROR(INDEX('G-1 All Habitats'!$B$3:$B$134,MATCH(R130,'G-1 All Habitats'!$A$3:$A$134,0)),"")</f>
        <v/>
      </c>
      <c r="T130" s="362" t="str">
        <f t="shared" si="14"/>
        <v/>
      </c>
      <c r="U130" s="363" t="str">
        <f t="shared" si="15"/>
        <v/>
      </c>
      <c r="V130" s="398" t="str">
        <f t="shared" si="11"/>
        <v/>
      </c>
      <c r="W130" s="382" t="str">
        <f>IF(S130="","",VLOOKUP(S130,'G-1 All Habitats'!$B$2:$M$134,10,FALSE))</f>
        <v/>
      </c>
      <c r="X130" s="382" t="str">
        <f>IFERROR(VLOOKUP(W130,'G-1 All Habitats'!$V$3:$W$7,2,FALSE),"")</f>
        <v/>
      </c>
      <c r="Y130" s="61"/>
      <c r="Z130" s="386" t="str">
        <f>IFERROR(INDEX('G-8 Condition Look up'!$A$3:$H$135,MATCH(S130,'G-8 Condition Look up'!$A$3:$A$135,0),MATCH(Y130,'G-8 Condition Look up'!$A$3:$H$3,0)),"")</f>
        <v/>
      </c>
      <c r="AA130" s="54"/>
      <c r="AB130" s="382" t="str">
        <f>IF(AA130="","",IF(VLOOKUP(AA130,'G-3 Multipliers'!$L$3:$N$6,2,FALSE)=0,"Spatial Data Missing ⚠",VLOOKUP(AA130,'G-3 Multipliers'!$L$3:$N$6,2,FALSE)))</f>
        <v/>
      </c>
      <c r="AC130" s="386" t="str">
        <f>IF(AA130="","",IF(VLOOKUP(AA130,'G-3 Multipliers'!$L$3:$N$6,3,FALSE)=0,"Spatial Data Missing ⚠",VLOOKUP(AA130,'G-3 Multipliers'!$L$3:$N$6,3,FALSE)))</f>
        <v/>
      </c>
      <c r="AD130" s="400" t="str">
        <f t="shared" si="12"/>
        <v/>
      </c>
      <c r="AE130" s="63"/>
      <c r="AF130" s="63"/>
      <c r="AG130" s="370" t="str">
        <f t="shared" si="16"/>
        <v/>
      </c>
      <c r="AH130" s="383" t="str">
        <f t="shared" si="17"/>
        <v/>
      </c>
      <c r="AI130" s="384" t="str">
        <f>IF(AH130="Check Data","Check Data",IFERROR(VLOOKUP(AH130,'G-4 Temporal multipliers'!$A$4:$C$36,3,FALSE),""))</f>
        <v/>
      </c>
      <c r="AJ130" s="362" t="str">
        <f>IF(S130="","",VLOOKUP(S130,'G-3 Multipliers'!$A$2:$E$134,4,FALSE))</f>
        <v/>
      </c>
      <c r="AK130" s="370" t="str">
        <f t="shared" si="18"/>
        <v/>
      </c>
      <c r="AL130" s="370" t="str">
        <f t="shared" si="19"/>
        <v/>
      </c>
      <c r="AM130" s="401" t="str">
        <f>IFERROR(IF(F130="","",IF(AH130="Check Data ⚠","Check Data ⚠",VLOOKUP(AL130, 'G-3 Multipliers'!$P$2:$Q$6,2,FALSE))),"")</f>
        <v/>
      </c>
      <c r="AN130" s="376" t="str">
        <f t="shared" si="20"/>
        <v/>
      </c>
      <c r="AO130" s="194"/>
      <c r="AP130" s="195"/>
      <c r="AQ130" s="120"/>
    </row>
    <row r="131" spans="1:43">
      <c r="A131" s="35" t="str">
        <f>IF(E131="","",IF(ISNA(VLOOKUP($E131,'A-1 On-Site Habitat Baseline'!$D$1:$O$258,2,FALSE)),"",(VLOOKUP($E131,'A-1 On-Site Habitat Baseline'!$D$1:$O$258,2,FALSE))))</f>
        <v/>
      </c>
      <c r="B131" s="35" t="str">
        <f>IF(E131="","",IF(ISNA(VLOOKUP($E131,'A-1 On-Site Habitat Baseline'!$D$1:$O$258,3,FALSE)),"",(VLOOKUP($E131,'A-1 On-Site Habitat Baseline'!$D$1:$O$258,3,FALSE))))</f>
        <v/>
      </c>
      <c r="C131" s="35" t="str">
        <f>IFERROR(INDEX('G-8 Condition Look up'!$I$4:$I$135,MATCH(S131,'G-8 Condition Look up'!$A$4:$A$135,0)),"")</f>
        <v/>
      </c>
      <c r="E131" s="392" t="str">
        <f>'A-1 On-Site Habitat Baseline'!AL130</f>
        <v/>
      </c>
      <c r="F131" s="382" t="str">
        <f>IF(E131="","",IF(ISNA(VLOOKUP($E131,'A-1 On-Site Habitat Baseline'!$D$1:$O$258,4,FALSE)),"",(VLOOKUP($E131,'A-1 On-Site Habitat Baseline'!$D$1:$O$258,4,FALSE))))</f>
        <v/>
      </c>
      <c r="G131" s="382" t="str">
        <f>IF(E131="","",IF(ISNA(VLOOKUP($E131,'A-1 On-Site Habitat Baseline'!$D$1:$O$258,5,FALSE)),"",(VLOOKUP($E131,'A-1 On-Site Habitat Baseline'!$D$1:$O$258,5,FALSE))))</f>
        <v/>
      </c>
      <c r="H131" s="382" t="str">
        <f>IF(E131="","",IF(ISNA(VLOOKUP($E131,'A-1 On-Site Habitat Baseline'!$D$1:$O$258,6,FALSE)),"",(VLOOKUP($E131,'A-1 On-Site Habitat Baseline'!$D$1:$O$258,6,FALSE))))</f>
        <v/>
      </c>
      <c r="I131" s="382" t="str">
        <f>IF(E131="","",IF(ISNA(VLOOKUP($E131,'A-1 On-Site Habitat Baseline'!$D$1:$O$258,7,FALSE)),"",(VLOOKUP($E131,'A-1 On-Site Habitat Baseline'!$D$1:$O$258,7,FALSE))))</f>
        <v/>
      </c>
      <c r="J131" s="382" t="str">
        <f>IF(E131="","",IF(ISNA(VLOOKUP($E131,'A-1 On-Site Habitat Baseline'!$D$1:$O$258,8,FALSE)),"",(VLOOKUP($E131,'A-1 On-Site Habitat Baseline'!$D$1:$O$258,8,FALSE))))</f>
        <v/>
      </c>
      <c r="K131" s="382" t="str">
        <f>IF(E131="","",IF(ISNA(VLOOKUP($E131,'A-1 On-Site Habitat Baseline'!$D$1:$O$258,9,FALSE)),"",(VLOOKUP($E131,'A-1 On-Site Habitat Baseline'!$D$1:$O$258,9,FALSE))))</f>
        <v/>
      </c>
      <c r="L131" s="382" t="str">
        <f>IF(E131="","",IF(ISNA(VLOOKUP($E131,'A-1 On-Site Habitat Baseline'!$D$1:$O$258,11,FALSE)),"",(VLOOKUP($E131,'A-1 On-Site Habitat Baseline'!$D$1:$O$258,11,FALSE))))</f>
        <v/>
      </c>
      <c r="M131" s="382" t="str">
        <f>IF(E131="","",IF(ISNA(VLOOKUP($E131,'A-1 On-Site Habitat Baseline'!$D$1:$O$258,12,FALSE)),"",(VLOOKUP($E131,'A-1 On-Site Habitat Baseline'!$D$1:$O$258,12,FALSE))))</f>
        <v/>
      </c>
      <c r="N131" s="393" t="str">
        <f>IF(E131="","",IF(ISNA(VLOOKUP($E131,'A-1 On-Site Habitat Baseline'!$D$1:$X$258,14,FALSE)),"",(VLOOKUP($E131,'A-1 On-Site Habitat Baseline'!$D$1:$X$258,14,FALSE))))</f>
        <v/>
      </c>
      <c r="O131" s="386" t="str">
        <f>IF(E131="","",IF(ISNA(VLOOKUP($E131,'A-1 On-Site Habitat Baseline'!$D$1:$X$258,16,FALSE)),"",(VLOOKUP($E131,'A-1 On-Site Habitat Baseline'!$D$1:$X$258,13,FALSE))))</f>
        <v/>
      </c>
      <c r="P131" s="192" t="str">
        <f>IFERROR(INDEX('G-1 All Habitats'!$AG$3:$AG$17,MATCH(Q131,'G-1 All Habitats'!$AF$3:$AF$17,0)),"")</f>
        <v/>
      </c>
      <c r="Q131" s="193" t="str">
        <f t="shared" si="13"/>
        <v/>
      </c>
      <c r="R131" s="193" t="str">
        <f t="shared" si="13"/>
        <v/>
      </c>
      <c r="S131" s="306" t="str">
        <f>IFERROR(INDEX('G-1 All Habitats'!$B$3:$B$134,MATCH(R131,'G-1 All Habitats'!$A$3:$A$134,0)),"")</f>
        <v/>
      </c>
      <c r="T131" s="362" t="str">
        <f t="shared" si="14"/>
        <v/>
      </c>
      <c r="U131" s="363" t="str">
        <f t="shared" si="15"/>
        <v/>
      </c>
      <c r="V131" s="398" t="str">
        <f t="shared" si="11"/>
        <v/>
      </c>
      <c r="W131" s="382" t="str">
        <f>IF(S131="","",VLOOKUP(S131,'G-1 All Habitats'!$B$2:$M$134,10,FALSE))</f>
        <v/>
      </c>
      <c r="X131" s="382" t="str">
        <f>IFERROR(VLOOKUP(W131,'G-1 All Habitats'!$V$3:$W$7,2,FALSE),"")</f>
        <v/>
      </c>
      <c r="Y131" s="61"/>
      <c r="Z131" s="386" t="str">
        <f>IFERROR(INDEX('G-8 Condition Look up'!$A$3:$H$135,MATCH(S131,'G-8 Condition Look up'!$A$3:$A$135,0),MATCH(Y131,'G-8 Condition Look up'!$A$3:$H$3,0)),"")</f>
        <v/>
      </c>
      <c r="AA131" s="54"/>
      <c r="AB131" s="382" t="str">
        <f>IF(AA131="","",IF(VLOOKUP(AA131,'G-3 Multipliers'!$L$3:$N$6,2,FALSE)=0,"Spatial Data Missing ⚠",VLOOKUP(AA131,'G-3 Multipliers'!$L$3:$N$6,2,FALSE)))</f>
        <v/>
      </c>
      <c r="AC131" s="386" t="str">
        <f>IF(AA131="","",IF(VLOOKUP(AA131,'G-3 Multipliers'!$L$3:$N$6,3,FALSE)=0,"Spatial Data Missing ⚠",VLOOKUP(AA131,'G-3 Multipliers'!$L$3:$N$6,3,FALSE)))</f>
        <v/>
      </c>
      <c r="AD131" s="400" t="str">
        <f t="shared" si="12"/>
        <v/>
      </c>
      <c r="AE131" s="63"/>
      <c r="AF131" s="63"/>
      <c r="AG131" s="370" t="str">
        <f t="shared" si="16"/>
        <v/>
      </c>
      <c r="AH131" s="383" t="str">
        <f t="shared" si="17"/>
        <v/>
      </c>
      <c r="AI131" s="384" t="str">
        <f>IF(AH131="Check Data","Check Data",IFERROR(VLOOKUP(AH131,'G-4 Temporal multipliers'!$A$4:$C$36,3,FALSE),""))</f>
        <v/>
      </c>
      <c r="AJ131" s="362" t="str">
        <f>IF(S131="","",VLOOKUP(S131,'G-3 Multipliers'!$A$2:$E$134,4,FALSE))</f>
        <v/>
      </c>
      <c r="AK131" s="370" t="str">
        <f t="shared" si="18"/>
        <v/>
      </c>
      <c r="AL131" s="370" t="str">
        <f t="shared" si="19"/>
        <v/>
      </c>
      <c r="AM131" s="401" t="str">
        <f>IFERROR(IF(F131="","",IF(AH131="Check Data ⚠","Check Data ⚠",VLOOKUP(AL131, 'G-3 Multipliers'!$P$2:$Q$6,2,FALSE))),"")</f>
        <v/>
      </c>
      <c r="AN131" s="376" t="str">
        <f t="shared" si="20"/>
        <v/>
      </c>
      <c r="AO131" s="194"/>
      <c r="AP131" s="195"/>
      <c r="AQ131" s="120"/>
    </row>
    <row r="132" spans="1:43">
      <c r="A132" s="35" t="str">
        <f>IF(E132="","",IF(ISNA(VLOOKUP($E132,'A-1 On-Site Habitat Baseline'!$D$1:$O$258,2,FALSE)),"",(VLOOKUP($E132,'A-1 On-Site Habitat Baseline'!$D$1:$O$258,2,FALSE))))</f>
        <v/>
      </c>
      <c r="B132" s="35" t="str">
        <f>IF(E132="","",IF(ISNA(VLOOKUP($E132,'A-1 On-Site Habitat Baseline'!$D$1:$O$258,3,FALSE)),"",(VLOOKUP($E132,'A-1 On-Site Habitat Baseline'!$D$1:$O$258,3,FALSE))))</f>
        <v/>
      </c>
      <c r="C132" s="35" t="str">
        <f>IFERROR(INDEX('G-8 Condition Look up'!$I$4:$I$135,MATCH(S132,'G-8 Condition Look up'!$A$4:$A$135,0)),"")</f>
        <v/>
      </c>
      <c r="E132" s="392" t="str">
        <f>'A-1 On-Site Habitat Baseline'!AL131</f>
        <v/>
      </c>
      <c r="F132" s="382" t="str">
        <f>IF(E132="","",IF(ISNA(VLOOKUP($E132,'A-1 On-Site Habitat Baseline'!$D$1:$O$258,4,FALSE)),"",(VLOOKUP($E132,'A-1 On-Site Habitat Baseline'!$D$1:$O$258,4,FALSE))))</f>
        <v/>
      </c>
      <c r="G132" s="382" t="str">
        <f>IF(E132="","",IF(ISNA(VLOOKUP($E132,'A-1 On-Site Habitat Baseline'!$D$1:$O$258,5,FALSE)),"",(VLOOKUP($E132,'A-1 On-Site Habitat Baseline'!$D$1:$O$258,5,FALSE))))</f>
        <v/>
      </c>
      <c r="H132" s="382" t="str">
        <f>IF(E132="","",IF(ISNA(VLOOKUP($E132,'A-1 On-Site Habitat Baseline'!$D$1:$O$258,6,FALSE)),"",(VLOOKUP($E132,'A-1 On-Site Habitat Baseline'!$D$1:$O$258,6,FALSE))))</f>
        <v/>
      </c>
      <c r="I132" s="382" t="str">
        <f>IF(E132="","",IF(ISNA(VLOOKUP($E132,'A-1 On-Site Habitat Baseline'!$D$1:$O$258,7,FALSE)),"",(VLOOKUP($E132,'A-1 On-Site Habitat Baseline'!$D$1:$O$258,7,FALSE))))</f>
        <v/>
      </c>
      <c r="J132" s="382" t="str">
        <f>IF(E132="","",IF(ISNA(VLOOKUP($E132,'A-1 On-Site Habitat Baseline'!$D$1:$O$258,8,FALSE)),"",(VLOOKUP($E132,'A-1 On-Site Habitat Baseline'!$D$1:$O$258,8,FALSE))))</f>
        <v/>
      </c>
      <c r="K132" s="382" t="str">
        <f>IF(E132="","",IF(ISNA(VLOOKUP($E132,'A-1 On-Site Habitat Baseline'!$D$1:$O$258,9,FALSE)),"",(VLOOKUP($E132,'A-1 On-Site Habitat Baseline'!$D$1:$O$258,9,FALSE))))</f>
        <v/>
      </c>
      <c r="L132" s="382" t="str">
        <f>IF(E132="","",IF(ISNA(VLOOKUP($E132,'A-1 On-Site Habitat Baseline'!$D$1:$O$258,11,FALSE)),"",(VLOOKUP($E132,'A-1 On-Site Habitat Baseline'!$D$1:$O$258,11,FALSE))))</f>
        <v/>
      </c>
      <c r="M132" s="382" t="str">
        <f>IF(E132="","",IF(ISNA(VLOOKUP($E132,'A-1 On-Site Habitat Baseline'!$D$1:$O$258,12,FALSE)),"",(VLOOKUP($E132,'A-1 On-Site Habitat Baseline'!$D$1:$O$258,12,FALSE))))</f>
        <v/>
      </c>
      <c r="N132" s="393" t="str">
        <f>IF(E132="","",IF(ISNA(VLOOKUP($E132,'A-1 On-Site Habitat Baseline'!$D$1:$X$258,14,FALSE)),"",(VLOOKUP($E132,'A-1 On-Site Habitat Baseline'!$D$1:$X$258,14,FALSE))))</f>
        <v/>
      </c>
      <c r="O132" s="386" t="str">
        <f>IF(E132="","",IF(ISNA(VLOOKUP($E132,'A-1 On-Site Habitat Baseline'!$D$1:$X$258,16,FALSE)),"",(VLOOKUP($E132,'A-1 On-Site Habitat Baseline'!$D$1:$X$258,13,FALSE))))</f>
        <v/>
      </c>
      <c r="P132" s="192" t="str">
        <f>IFERROR(INDEX('G-1 All Habitats'!$AG$3:$AG$17,MATCH(Q132,'G-1 All Habitats'!$AF$3:$AF$17,0)),"")</f>
        <v/>
      </c>
      <c r="Q132" s="193" t="str">
        <f t="shared" si="13"/>
        <v/>
      </c>
      <c r="R132" s="193" t="str">
        <f t="shared" si="13"/>
        <v/>
      </c>
      <c r="S132" s="306" t="str">
        <f>IFERROR(INDEX('G-1 All Habitats'!$B$3:$B$134,MATCH(R132,'G-1 All Habitats'!$A$3:$A$134,0)),"")</f>
        <v/>
      </c>
      <c r="T132" s="362" t="str">
        <f t="shared" si="14"/>
        <v/>
      </c>
      <c r="U132" s="363" t="str">
        <f t="shared" si="15"/>
        <v/>
      </c>
      <c r="V132" s="398" t="str">
        <f t="shared" si="11"/>
        <v/>
      </c>
      <c r="W132" s="382" t="str">
        <f>IF(S132="","",VLOOKUP(S132,'G-1 All Habitats'!$B$2:$M$134,10,FALSE))</f>
        <v/>
      </c>
      <c r="X132" s="382" t="str">
        <f>IFERROR(VLOOKUP(W132,'G-1 All Habitats'!$V$3:$W$7,2,FALSE),"")</f>
        <v/>
      </c>
      <c r="Y132" s="61"/>
      <c r="Z132" s="386" t="str">
        <f>IFERROR(INDEX('G-8 Condition Look up'!$A$3:$H$135,MATCH(S132,'G-8 Condition Look up'!$A$3:$A$135,0),MATCH(Y132,'G-8 Condition Look up'!$A$3:$H$3,0)),"")</f>
        <v/>
      </c>
      <c r="AA132" s="54"/>
      <c r="AB132" s="382" t="str">
        <f>IF(AA132="","",IF(VLOOKUP(AA132,'G-3 Multipliers'!$L$3:$N$6,2,FALSE)=0,"Spatial Data Missing ⚠",VLOOKUP(AA132,'G-3 Multipliers'!$L$3:$N$6,2,FALSE)))</f>
        <v/>
      </c>
      <c r="AC132" s="386" t="str">
        <f>IF(AA132="","",IF(VLOOKUP(AA132,'G-3 Multipliers'!$L$3:$N$6,3,FALSE)=0,"Spatial Data Missing ⚠",VLOOKUP(AA132,'G-3 Multipliers'!$L$3:$N$6,3,FALSE)))</f>
        <v/>
      </c>
      <c r="AD132" s="400" t="str">
        <f t="shared" si="12"/>
        <v/>
      </c>
      <c r="AE132" s="63"/>
      <c r="AF132" s="63"/>
      <c r="AG132" s="370" t="str">
        <f t="shared" si="16"/>
        <v/>
      </c>
      <c r="AH132" s="383" t="str">
        <f t="shared" si="17"/>
        <v/>
      </c>
      <c r="AI132" s="384" t="str">
        <f>IF(AH132="Check Data","Check Data",IFERROR(VLOOKUP(AH132,'G-4 Temporal multipliers'!$A$4:$C$36,3,FALSE),""))</f>
        <v/>
      </c>
      <c r="AJ132" s="362" t="str">
        <f>IF(S132="","",VLOOKUP(S132,'G-3 Multipliers'!$A$2:$E$134,4,FALSE))</f>
        <v/>
      </c>
      <c r="AK132" s="370" t="str">
        <f t="shared" si="18"/>
        <v/>
      </c>
      <c r="AL132" s="370" t="str">
        <f t="shared" si="19"/>
        <v/>
      </c>
      <c r="AM132" s="401" t="str">
        <f>IFERROR(IF(F132="","",IF(AH132="Check Data ⚠","Check Data ⚠",VLOOKUP(AL132, 'G-3 Multipliers'!$P$2:$Q$6,2,FALSE))),"")</f>
        <v/>
      </c>
      <c r="AN132" s="376" t="str">
        <f t="shared" si="20"/>
        <v/>
      </c>
      <c r="AO132" s="194"/>
      <c r="AP132" s="195"/>
      <c r="AQ132" s="120"/>
    </row>
    <row r="133" spans="1:43">
      <c r="A133" s="35" t="str">
        <f>IF(E133="","",IF(ISNA(VLOOKUP($E133,'A-1 On-Site Habitat Baseline'!$D$1:$O$258,2,FALSE)),"",(VLOOKUP($E133,'A-1 On-Site Habitat Baseline'!$D$1:$O$258,2,FALSE))))</f>
        <v/>
      </c>
      <c r="B133" s="35" t="str">
        <f>IF(E133="","",IF(ISNA(VLOOKUP($E133,'A-1 On-Site Habitat Baseline'!$D$1:$O$258,3,FALSE)),"",(VLOOKUP($E133,'A-1 On-Site Habitat Baseline'!$D$1:$O$258,3,FALSE))))</f>
        <v/>
      </c>
      <c r="C133" s="35" t="str">
        <f>IFERROR(INDEX('G-8 Condition Look up'!$I$4:$I$135,MATCH(S133,'G-8 Condition Look up'!$A$4:$A$135,0)),"")</f>
        <v/>
      </c>
      <c r="E133" s="392" t="str">
        <f>'A-1 On-Site Habitat Baseline'!AL132</f>
        <v/>
      </c>
      <c r="F133" s="382" t="str">
        <f>IF(E133="","",IF(ISNA(VLOOKUP($E133,'A-1 On-Site Habitat Baseline'!$D$1:$O$258,4,FALSE)),"",(VLOOKUP($E133,'A-1 On-Site Habitat Baseline'!$D$1:$O$258,4,FALSE))))</f>
        <v/>
      </c>
      <c r="G133" s="382" t="str">
        <f>IF(E133="","",IF(ISNA(VLOOKUP($E133,'A-1 On-Site Habitat Baseline'!$D$1:$O$258,5,FALSE)),"",(VLOOKUP($E133,'A-1 On-Site Habitat Baseline'!$D$1:$O$258,5,FALSE))))</f>
        <v/>
      </c>
      <c r="H133" s="382" t="str">
        <f>IF(E133="","",IF(ISNA(VLOOKUP($E133,'A-1 On-Site Habitat Baseline'!$D$1:$O$258,6,FALSE)),"",(VLOOKUP($E133,'A-1 On-Site Habitat Baseline'!$D$1:$O$258,6,FALSE))))</f>
        <v/>
      </c>
      <c r="I133" s="382" t="str">
        <f>IF(E133="","",IF(ISNA(VLOOKUP($E133,'A-1 On-Site Habitat Baseline'!$D$1:$O$258,7,FALSE)),"",(VLOOKUP($E133,'A-1 On-Site Habitat Baseline'!$D$1:$O$258,7,FALSE))))</f>
        <v/>
      </c>
      <c r="J133" s="382" t="str">
        <f>IF(E133="","",IF(ISNA(VLOOKUP($E133,'A-1 On-Site Habitat Baseline'!$D$1:$O$258,8,FALSE)),"",(VLOOKUP($E133,'A-1 On-Site Habitat Baseline'!$D$1:$O$258,8,FALSE))))</f>
        <v/>
      </c>
      <c r="K133" s="382" t="str">
        <f>IF(E133="","",IF(ISNA(VLOOKUP($E133,'A-1 On-Site Habitat Baseline'!$D$1:$O$258,9,FALSE)),"",(VLOOKUP($E133,'A-1 On-Site Habitat Baseline'!$D$1:$O$258,9,FALSE))))</f>
        <v/>
      </c>
      <c r="L133" s="382" t="str">
        <f>IF(E133="","",IF(ISNA(VLOOKUP($E133,'A-1 On-Site Habitat Baseline'!$D$1:$O$258,11,FALSE)),"",(VLOOKUP($E133,'A-1 On-Site Habitat Baseline'!$D$1:$O$258,11,FALSE))))</f>
        <v/>
      </c>
      <c r="M133" s="382" t="str">
        <f>IF(E133="","",IF(ISNA(VLOOKUP($E133,'A-1 On-Site Habitat Baseline'!$D$1:$O$258,12,FALSE)),"",(VLOOKUP($E133,'A-1 On-Site Habitat Baseline'!$D$1:$O$258,12,FALSE))))</f>
        <v/>
      </c>
      <c r="N133" s="393" t="str">
        <f>IF(E133="","",IF(ISNA(VLOOKUP($E133,'A-1 On-Site Habitat Baseline'!$D$1:$X$258,14,FALSE)),"",(VLOOKUP($E133,'A-1 On-Site Habitat Baseline'!$D$1:$X$258,14,FALSE))))</f>
        <v/>
      </c>
      <c r="O133" s="386" t="str">
        <f>IF(E133="","",IF(ISNA(VLOOKUP($E133,'A-1 On-Site Habitat Baseline'!$D$1:$X$258,16,FALSE)),"",(VLOOKUP($E133,'A-1 On-Site Habitat Baseline'!$D$1:$X$258,13,FALSE))))</f>
        <v/>
      </c>
      <c r="P133" s="192" t="str">
        <f>IFERROR(INDEX('G-1 All Habitats'!$AG$3:$AG$17,MATCH(Q133,'G-1 All Habitats'!$AF$3:$AF$17,0)),"")</f>
        <v/>
      </c>
      <c r="Q133" s="193" t="str">
        <f t="shared" si="13"/>
        <v/>
      </c>
      <c r="R133" s="193" t="str">
        <f t="shared" si="13"/>
        <v/>
      </c>
      <c r="S133" s="306" t="str">
        <f>IFERROR(INDEX('G-1 All Habitats'!$B$3:$B$134,MATCH(R133,'G-1 All Habitats'!$A$3:$A$134,0)),"")</f>
        <v/>
      </c>
      <c r="T133" s="362" t="str">
        <f t="shared" si="14"/>
        <v/>
      </c>
      <c r="U133" s="363" t="str">
        <f t="shared" si="15"/>
        <v/>
      </c>
      <c r="V133" s="398" t="str">
        <f t="shared" si="11"/>
        <v/>
      </c>
      <c r="W133" s="382" t="str">
        <f>IF(S133="","",VLOOKUP(S133,'G-1 All Habitats'!$B$2:$M$134,10,FALSE))</f>
        <v/>
      </c>
      <c r="X133" s="382" t="str">
        <f>IFERROR(VLOOKUP(W133,'G-1 All Habitats'!$V$3:$W$7,2,FALSE),"")</f>
        <v/>
      </c>
      <c r="Y133" s="61"/>
      <c r="Z133" s="386" t="str">
        <f>IFERROR(INDEX('G-8 Condition Look up'!$A$3:$H$135,MATCH(S133,'G-8 Condition Look up'!$A$3:$A$135,0),MATCH(Y133,'G-8 Condition Look up'!$A$3:$H$3,0)),"")</f>
        <v/>
      </c>
      <c r="AA133" s="54"/>
      <c r="AB133" s="382" t="str">
        <f>IF(AA133="","",IF(VLOOKUP(AA133,'G-3 Multipliers'!$L$3:$N$6,2,FALSE)=0,"Spatial Data Missing ⚠",VLOOKUP(AA133,'G-3 Multipliers'!$L$3:$N$6,2,FALSE)))</f>
        <v/>
      </c>
      <c r="AC133" s="386" t="str">
        <f>IF(AA133="","",IF(VLOOKUP(AA133,'G-3 Multipliers'!$L$3:$N$6,3,FALSE)=0,"Spatial Data Missing ⚠",VLOOKUP(AA133,'G-3 Multipliers'!$L$3:$N$6,3,FALSE)))</f>
        <v/>
      </c>
      <c r="AD133" s="400" t="str">
        <f t="shared" si="12"/>
        <v/>
      </c>
      <c r="AE133" s="63"/>
      <c r="AF133" s="63"/>
      <c r="AG133" s="370" t="str">
        <f t="shared" si="16"/>
        <v/>
      </c>
      <c r="AH133" s="383" t="str">
        <f t="shared" si="17"/>
        <v/>
      </c>
      <c r="AI133" s="384" t="str">
        <f>IF(AH133="Check Data","Check Data",IFERROR(VLOOKUP(AH133,'G-4 Temporal multipliers'!$A$4:$C$36,3,FALSE),""))</f>
        <v/>
      </c>
      <c r="AJ133" s="362" t="str">
        <f>IF(S133="","",VLOOKUP(S133,'G-3 Multipliers'!$A$2:$E$134,4,FALSE))</f>
        <v/>
      </c>
      <c r="AK133" s="370" t="str">
        <f t="shared" si="18"/>
        <v/>
      </c>
      <c r="AL133" s="370" t="str">
        <f t="shared" si="19"/>
        <v/>
      </c>
      <c r="AM133" s="401" t="str">
        <f>IFERROR(IF(F133="","",IF(AH133="Check Data ⚠","Check Data ⚠",VLOOKUP(AL133, 'G-3 Multipliers'!$P$2:$Q$6,2,FALSE))),"")</f>
        <v/>
      </c>
      <c r="AN133" s="376" t="str">
        <f t="shared" si="20"/>
        <v/>
      </c>
      <c r="AO133" s="194"/>
      <c r="AP133" s="195"/>
      <c r="AQ133" s="120"/>
    </row>
    <row r="134" spans="1:43">
      <c r="A134" s="35" t="str">
        <f>IF(E134="","",IF(ISNA(VLOOKUP($E134,'A-1 On-Site Habitat Baseline'!$D$1:$O$258,2,FALSE)),"",(VLOOKUP($E134,'A-1 On-Site Habitat Baseline'!$D$1:$O$258,2,FALSE))))</f>
        <v/>
      </c>
      <c r="B134" s="35" t="str">
        <f>IF(E134="","",IF(ISNA(VLOOKUP($E134,'A-1 On-Site Habitat Baseline'!$D$1:$O$258,3,FALSE)),"",(VLOOKUP($E134,'A-1 On-Site Habitat Baseline'!$D$1:$O$258,3,FALSE))))</f>
        <v/>
      </c>
      <c r="C134" s="35" t="str">
        <f>IFERROR(INDEX('G-8 Condition Look up'!$I$4:$I$135,MATCH(S134,'G-8 Condition Look up'!$A$4:$A$135,0)),"")</f>
        <v/>
      </c>
      <c r="E134" s="392" t="str">
        <f>'A-1 On-Site Habitat Baseline'!AL133</f>
        <v/>
      </c>
      <c r="F134" s="382" t="str">
        <f>IF(E134="","",IF(ISNA(VLOOKUP($E134,'A-1 On-Site Habitat Baseline'!$D$1:$O$258,4,FALSE)),"",(VLOOKUP($E134,'A-1 On-Site Habitat Baseline'!$D$1:$O$258,4,FALSE))))</f>
        <v/>
      </c>
      <c r="G134" s="382" t="str">
        <f>IF(E134="","",IF(ISNA(VLOOKUP($E134,'A-1 On-Site Habitat Baseline'!$D$1:$O$258,5,FALSE)),"",(VLOOKUP($E134,'A-1 On-Site Habitat Baseline'!$D$1:$O$258,5,FALSE))))</f>
        <v/>
      </c>
      <c r="H134" s="382" t="str">
        <f>IF(E134="","",IF(ISNA(VLOOKUP($E134,'A-1 On-Site Habitat Baseline'!$D$1:$O$258,6,FALSE)),"",(VLOOKUP($E134,'A-1 On-Site Habitat Baseline'!$D$1:$O$258,6,FALSE))))</f>
        <v/>
      </c>
      <c r="I134" s="382" t="str">
        <f>IF(E134="","",IF(ISNA(VLOOKUP($E134,'A-1 On-Site Habitat Baseline'!$D$1:$O$258,7,FALSE)),"",(VLOOKUP($E134,'A-1 On-Site Habitat Baseline'!$D$1:$O$258,7,FALSE))))</f>
        <v/>
      </c>
      <c r="J134" s="382" t="str">
        <f>IF(E134="","",IF(ISNA(VLOOKUP($E134,'A-1 On-Site Habitat Baseline'!$D$1:$O$258,8,FALSE)),"",(VLOOKUP($E134,'A-1 On-Site Habitat Baseline'!$D$1:$O$258,8,FALSE))))</f>
        <v/>
      </c>
      <c r="K134" s="382" t="str">
        <f>IF(E134="","",IF(ISNA(VLOOKUP($E134,'A-1 On-Site Habitat Baseline'!$D$1:$O$258,9,FALSE)),"",(VLOOKUP($E134,'A-1 On-Site Habitat Baseline'!$D$1:$O$258,9,FALSE))))</f>
        <v/>
      </c>
      <c r="L134" s="382" t="str">
        <f>IF(E134="","",IF(ISNA(VLOOKUP($E134,'A-1 On-Site Habitat Baseline'!$D$1:$O$258,11,FALSE)),"",(VLOOKUP($E134,'A-1 On-Site Habitat Baseline'!$D$1:$O$258,11,FALSE))))</f>
        <v/>
      </c>
      <c r="M134" s="382" t="str">
        <f>IF(E134="","",IF(ISNA(VLOOKUP($E134,'A-1 On-Site Habitat Baseline'!$D$1:$O$258,12,FALSE)),"",(VLOOKUP($E134,'A-1 On-Site Habitat Baseline'!$D$1:$O$258,12,FALSE))))</f>
        <v/>
      </c>
      <c r="N134" s="393" t="str">
        <f>IF(E134="","",IF(ISNA(VLOOKUP($E134,'A-1 On-Site Habitat Baseline'!$D$1:$X$258,14,FALSE)),"",(VLOOKUP($E134,'A-1 On-Site Habitat Baseline'!$D$1:$X$258,14,FALSE))))</f>
        <v/>
      </c>
      <c r="O134" s="386" t="str">
        <f>IF(E134="","",IF(ISNA(VLOOKUP($E134,'A-1 On-Site Habitat Baseline'!$D$1:$X$258,16,FALSE)),"",(VLOOKUP($E134,'A-1 On-Site Habitat Baseline'!$D$1:$X$258,13,FALSE))))</f>
        <v/>
      </c>
      <c r="P134" s="192" t="str">
        <f>IFERROR(INDEX('G-1 All Habitats'!$AG$3:$AG$17,MATCH(Q134,'G-1 All Habitats'!$AF$3:$AF$17,0)),"")</f>
        <v/>
      </c>
      <c r="Q134" s="193" t="str">
        <f t="shared" si="13"/>
        <v/>
      </c>
      <c r="R134" s="193" t="str">
        <f t="shared" si="13"/>
        <v/>
      </c>
      <c r="S134" s="306" t="str">
        <f>IFERROR(INDEX('G-1 All Habitats'!$B$3:$B$134,MATCH(R134,'G-1 All Habitats'!$A$3:$A$134,0)),"")</f>
        <v/>
      </c>
      <c r="T134" s="362" t="str">
        <f t="shared" si="14"/>
        <v/>
      </c>
      <c r="U134" s="363" t="str">
        <f t="shared" si="15"/>
        <v/>
      </c>
      <c r="V134" s="398" t="str">
        <f t="shared" si="11"/>
        <v/>
      </c>
      <c r="W134" s="382" t="str">
        <f>IF(S134="","",VLOOKUP(S134,'G-1 All Habitats'!$B$2:$M$134,10,FALSE))</f>
        <v/>
      </c>
      <c r="X134" s="382" t="str">
        <f>IFERROR(VLOOKUP(W134,'G-1 All Habitats'!$V$3:$W$7,2,FALSE),"")</f>
        <v/>
      </c>
      <c r="Y134" s="61"/>
      <c r="Z134" s="386" t="str">
        <f>IFERROR(INDEX('G-8 Condition Look up'!$A$3:$H$135,MATCH(S134,'G-8 Condition Look up'!$A$3:$A$135,0),MATCH(Y134,'G-8 Condition Look up'!$A$3:$H$3,0)),"")</f>
        <v/>
      </c>
      <c r="AA134" s="54"/>
      <c r="AB134" s="382" t="str">
        <f>IF(AA134="","",IF(VLOOKUP(AA134,'G-3 Multipliers'!$L$3:$N$6,2,FALSE)=0,"Spatial Data Missing ⚠",VLOOKUP(AA134,'G-3 Multipliers'!$L$3:$N$6,2,FALSE)))</f>
        <v/>
      </c>
      <c r="AC134" s="386" t="str">
        <f>IF(AA134="","",IF(VLOOKUP(AA134,'G-3 Multipliers'!$L$3:$N$6,3,FALSE)=0,"Spatial Data Missing ⚠",VLOOKUP(AA134,'G-3 Multipliers'!$L$3:$N$6,3,FALSE)))</f>
        <v/>
      </c>
      <c r="AD134" s="400" t="str">
        <f t="shared" si="12"/>
        <v/>
      </c>
      <c r="AE134" s="63"/>
      <c r="AF134" s="63"/>
      <c r="AG134" s="370" t="str">
        <f t="shared" si="16"/>
        <v/>
      </c>
      <c r="AH134" s="383" t="str">
        <f t="shared" si="17"/>
        <v/>
      </c>
      <c r="AI134" s="384" t="str">
        <f>IF(AH134="Check Data","Check Data",IFERROR(VLOOKUP(AH134,'G-4 Temporal multipliers'!$A$4:$C$36,3,FALSE),""))</f>
        <v/>
      </c>
      <c r="AJ134" s="362" t="str">
        <f>IF(S134="","",VLOOKUP(S134,'G-3 Multipliers'!$A$2:$E$134,4,FALSE))</f>
        <v/>
      </c>
      <c r="AK134" s="370" t="str">
        <f t="shared" si="18"/>
        <v/>
      </c>
      <c r="AL134" s="370" t="str">
        <f t="shared" si="19"/>
        <v/>
      </c>
      <c r="AM134" s="401" t="str">
        <f>IFERROR(IF(F134="","",IF(AH134="Check Data ⚠","Check Data ⚠",VLOOKUP(AL134, 'G-3 Multipliers'!$P$2:$Q$6,2,FALSE))),"")</f>
        <v/>
      </c>
      <c r="AN134" s="376" t="str">
        <f t="shared" si="20"/>
        <v/>
      </c>
      <c r="AO134" s="194"/>
      <c r="AP134" s="195"/>
      <c r="AQ134" s="120"/>
    </row>
    <row r="135" spans="1:43">
      <c r="A135" s="35" t="str">
        <f>IF(E135="","",IF(ISNA(VLOOKUP($E135,'A-1 On-Site Habitat Baseline'!$D$1:$O$258,2,FALSE)),"",(VLOOKUP($E135,'A-1 On-Site Habitat Baseline'!$D$1:$O$258,2,FALSE))))</f>
        <v/>
      </c>
      <c r="B135" s="35" t="str">
        <f>IF(E135="","",IF(ISNA(VLOOKUP($E135,'A-1 On-Site Habitat Baseline'!$D$1:$O$258,3,FALSE)),"",(VLOOKUP($E135,'A-1 On-Site Habitat Baseline'!$D$1:$O$258,3,FALSE))))</f>
        <v/>
      </c>
      <c r="C135" s="35" t="str">
        <f>IFERROR(INDEX('G-8 Condition Look up'!$I$4:$I$135,MATCH(S135,'G-8 Condition Look up'!$A$4:$A$135,0)),"")</f>
        <v/>
      </c>
      <c r="E135" s="392" t="str">
        <f>'A-1 On-Site Habitat Baseline'!AL134</f>
        <v/>
      </c>
      <c r="F135" s="382" t="str">
        <f>IF(E135="","",IF(ISNA(VLOOKUP($E135,'A-1 On-Site Habitat Baseline'!$D$1:$O$258,4,FALSE)),"",(VLOOKUP($E135,'A-1 On-Site Habitat Baseline'!$D$1:$O$258,4,FALSE))))</f>
        <v/>
      </c>
      <c r="G135" s="382" t="str">
        <f>IF(E135="","",IF(ISNA(VLOOKUP($E135,'A-1 On-Site Habitat Baseline'!$D$1:$O$258,5,FALSE)),"",(VLOOKUP($E135,'A-1 On-Site Habitat Baseline'!$D$1:$O$258,5,FALSE))))</f>
        <v/>
      </c>
      <c r="H135" s="382" t="str">
        <f>IF(E135="","",IF(ISNA(VLOOKUP($E135,'A-1 On-Site Habitat Baseline'!$D$1:$O$258,6,FALSE)),"",(VLOOKUP($E135,'A-1 On-Site Habitat Baseline'!$D$1:$O$258,6,FALSE))))</f>
        <v/>
      </c>
      <c r="I135" s="382" t="str">
        <f>IF(E135="","",IF(ISNA(VLOOKUP($E135,'A-1 On-Site Habitat Baseline'!$D$1:$O$258,7,FALSE)),"",(VLOOKUP($E135,'A-1 On-Site Habitat Baseline'!$D$1:$O$258,7,FALSE))))</f>
        <v/>
      </c>
      <c r="J135" s="382" t="str">
        <f>IF(E135="","",IF(ISNA(VLOOKUP($E135,'A-1 On-Site Habitat Baseline'!$D$1:$O$258,8,FALSE)),"",(VLOOKUP($E135,'A-1 On-Site Habitat Baseline'!$D$1:$O$258,8,FALSE))))</f>
        <v/>
      </c>
      <c r="K135" s="382" t="str">
        <f>IF(E135="","",IF(ISNA(VLOOKUP($E135,'A-1 On-Site Habitat Baseline'!$D$1:$O$258,9,FALSE)),"",(VLOOKUP($E135,'A-1 On-Site Habitat Baseline'!$D$1:$O$258,9,FALSE))))</f>
        <v/>
      </c>
      <c r="L135" s="382" t="str">
        <f>IF(E135="","",IF(ISNA(VLOOKUP($E135,'A-1 On-Site Habitat Baseline'!$D$1:$O$258,11,FALSE)),"",(VLOOKUP($E135,'A-1 On-Site Habitat Baseline'!$D$1:$O$258,11,FALSE))))</f>
        <v/>
      </c>
      <c r="M135" s="382" t="str">
        <f>IF(E135="","",IF(ISNA(VLOOKUP($E135,'A-1 On-Site Habitat Baseline'!$D$1:$O$258,12,FALSE)),"",(VLOOKUP($E135,'A-1 On-Site Habitat Baseline'!$D$1:$O$258,12,FALSE))))</f>
        <v/>
      </c>
      <c r="N135" s="393" t="str">
        <f>IF(E135="","",IF(ISNA(VLOOKUP($E135,'A-1 On-Site Habitat Baseline'!$D$1:$X$258,14,FALSE)),"",(VLOOKUP($E135,'A-1 On-Site Habitat Baseline'!$D$1:$X$258,14,FALSE))))</f>
        <v/>
      </c>
      <c r="O135" s="386" t="str">
        <f>IF(E135="","",IF(ISNA(VLOOKUP($E135,'A-1 On-Site Habitat Baseline'!$D$1:$X$258,16,FALSE)),"",(VLOOKUP($E135,'A-1 On-Site Habitat Baseline'!$D$1:$X$258,13,FALSE))))</f>
        <v/>
      </c>
      <c r="P135" s="192" t="str">
        <f>IFERROR(INDEX('G-1 All Habitats'!$AG$3:$AG$17,MATCH(Q135,'G-1 All Habitats'!$AF$3:$AF$17,0)),"")</f>
        <v/>
      </c>
      <c r="Q135" s="193" t="str">
        <f t="shared" si="13"/>
        <v/>
      </c>
      <c r="R135" s="193" t="str">
        <f t="shared" si="13"/>
        <v/>
      </c>
      <c r="S135" s="306" t="str">
        <f>IFERROR(INDEX('G-1 All Habitats'!$B$3:$B$134,MATCH(R135,'G-1 All Habitats'!$A$3:$A$134,0)),"")</f>
        <v/>
      </c>
      <c r="T135" s="362" t="str">
        <f t="shared" si="14"/>
        <v/>
      </c>
      <c r="U135" s="363" t="str">
        <f t="shared" si="15"/>
        <v/>
      </c>
      <c r="V135" s="398" t="str">
        <f t="shared" si="11"/>
        <v/>
      </c>
      <c r="W135" s="382" t="str">
        <f>IF(S135="","",VLOOKUP(S135,'G-1 All Habitats'!$B$2:$M$134,10,FALSE))</f>
        <v/>
      </c>
      <c r="X135" s="382" t="str">
        <f>IFERROR(VLOOKUP(W135,'G-1 All Habitats'!$V$3:$W$7,2,FALSE),"")</f>
        <v/>
      </c>
      <c r="Y135" s="61"/>
      <c r="Z135" s="386" t="str">
        <f>IFERROR(INDEX('G-8 Condition Look up'!$A$3:$H$135,MATCH(S135,'G-8 Condition Look up'!$A$3:$A$135,0),MATCH(Y135,'G-8 Condition Look up'!$A$3:$H$3,0)),"")</f>
        <v/>
      </c>
      <c r="AA135" s="54"/>
      <c r="AB135" s="382" t="str">
        <f>IF(AA135="","",IF(VLOOKUP(AA135,'G-3 Multipliers'!$L$3:$N$6,2,FALSE)=0,"Spatial Data Missing ⚠",VLOOKUP(AA135,'G-3 Multipliers'!$L$3:$N$6,2,FALSE)))</f>
        <v/>
      </c>
      <c r="AC135" s="386" t="str">
        <f>IF(AA135="","",IF(VLOOKUP(AA135,'G-3 Multipliers'!$L$3:$N$6,3,FALSE)=0,"Spatial Data Missing ⚠",VLOOKUP(AA135,'G-3 Multipliers'!$L$3:$N$6,3,FALSE)))</f>
        <v/>
      </c>
      <c r="AD135" s="400" t="str">
        <f t="shared" si="12"/>
        <v/>
      </c>
      <c r="AE135" s="63"/>
      <c r="AF135" s="63"/>
      <c r="AG135" s="370" t="str">
        <f t="shared" si="16"/>
        <v/>
      </c>
      <c r="AH135" s="383" t="str">
        <f t="shared" si="17"/>
        <v/>
      </c>
      <c r="AI135" s="384" t="str">
        <f>IF(AH135="Check Data","Check Data",IFERROR(VLOOKUP(AH135,'G-4 Temporal multipliers'!$A$4:$C$36,3,FALSE),""))</f>
        <v/>
      </c>
      <c r="AJ135" s="362" t="str">
        <f>IF(S135="","",VLOOKUP(S135,'G-3 Multipliers'!$A$2:$E$134,4,FALSE))</f>
        <v/>
      </c>
      <c r="AK135" s="370" t="str">
        <f t="shared" si="18"/>
        <v/>
      </c>
      <c r="AL135" s="370" t="str">
        <f t="shared" si="19"/>
        <v/>
      </c>
      <c r="AM135" s="401" t="str">
        <f>IFERROR(IF(F135="","",IF(AH135="Check Data ⚠","Check Data ⚠",VLOOKUP(AL135, 'G-3 Multipliers'!$P$2:$Q$6,2,FALSE))),"")</f>
        <v/>
      </c>
      <c r="AN135" s="376" t="str">
        <f t="shared" si="20"/>
        <v/>
      </c>
      <c r="AO135" s="194"/>
      <c r="AP135" s="195"/>
      <c r="AQ135" s="120"/>
    </row>
    <row r="136" spans="1:43">
      <c r="A136" s="35" t="str">
        <f>IF(E136="","",IF(ISNA(VLOOKUP($E136,'A-1 On-Site Habitat Baseline'!$D$1:$O$258,2,FALSE)),"",(VLOOKUP($E136,'A-1 On-Site Habitat Baseline'!$D$1:$O$258,2,FALSE))))</f>
        <v/>
      </c>
      <c r="B136" s="35" t="str">
        <f>IF(E136="","",IF(ISNA(VLOOKUP($E136,'A-1 On-Site Habitat Baseline'!$D$1:$O$258,3,FALSE)),"",(VLOOKUP($E136,'A-1 On-Site Habitat Baseline'!$D$1:$O$258,3,FALSE))))</f>
        <v/>
      </c>
      <c r="C136" s="35" t="str">
        <f>IFERROR(INDEX('G-8 Condition Look up'!$I$4:$I$135,MATCH(S136,'G-8 Condition Look up'!$A$4:$A$135,0)),"")</f>
        <v/>
      </c>
      <c r="E136" s="392" t="str">
        <f>'A-1 On-Site Habitat Baseline'!AL135</f>
        <v/>
      </c>
      <c r="F136" s="382" t="str">
        <f>IF(E136="","",IF(ISNA(VLOOKUP($E136,'A-1 On-Site Habitat Baseline'!$D$1:$O$258,4,FALSE)),"",(VLOOKUP($E136,'A-1 On-Site Habitat Baseline'!$D$1:$O$258,4,FALSE))))</f>
        <v/>
      </c>
      <c r="G136" s="382" t="str">
        <f>IF(E136="","",IF(ISNA(VLOOKUP($E136,'A-1 On-Site Habitat Baseline'!$D$1:$O$258,5,FALSE)),"",(VLOOKUP($E136,'A-1 On-Site Habitat Baseline'!$D$1:$O$258,5,FALSE))))</f>
        <v/>
      </c>
      <c r="H136" s="382" t="str">
        <f>IF(E136="","",IF(ISNA(VLOOKUP($E136,'A-1 On-Site Habitat Baseline'!$D$1:$O$258,6,FALSE)),"",(VLOOKUP($E136,'A-1 On-Site Habitat Baseline'!$D$1:$O$258,6,FALSE))))</f>
        <v/>
      </c>
      <c r="I136" s="382" t="str">
        <f>IF(E136="","",IF(ISNA(VLOOKUP($E136,'A-1 On-Site Habitat Baseline'!$D$1:$O$258,7,FALSE)),"",(VLOOKUP($E136,'A-1 On-Site Habitat Baseline'!$D$1:$O$258,7,FALSE))))</f>
        <v/>
      </c>
      <c r="J136" s="382" t="str">
        <f>IF(E136="","",IF(ISNA(VLOOKUP($E136,'A-1 On-Site Habitat Baseline'!$D$1:$O$258,8,FALSE)),"",(VLOOKUP($E136,'A-1 On-Site Habitat Baseline'!$D$1:$O$258,8,FALSE))))</f>
        <v/>
      </c>
      <c r="K136" s="382" t="str">
        <f>IF(E136="","",IF(ISNA(VLOOKUP($E136,'A-1 On-Site Habitat Baseline'!$D$1:$O$258,9,FALSE)),"",(VLOOKUP($E136,'A-1 On-Site Habitat Baseline'!$D$1:$O$258,9,FALSE))))</f>
        <v/>
      </c>
      <c r="L136" s="382" t="str">
        <f>IF(E136="","",IF(ISNA(VLOOKUP($E136,'A-1 On-Site Habitat Baseline'!$D$1:$O$258,11,FALSE)),"",(VLOOKUP($E136,'A-1 On-Site Habitat Baseline'!$D$1:$O$258,11,FALSE))))</f>
        <v/>
      </c>
      <c r="M136" s="382" t="str">
        <f>IF(E136="","",IF(ISNA(VLOOKUP($E136,'A-1 On-Site Habitat Baseline'!$D$1:$O$258,12,FALSE)),"",(VLOOKUP($E136,'A-1 On-Site Habitat Baseline'!$D$1:$O$258,12,FALSE))))</f>
        <v/>
      </c>
      <c r="N136" s="393" t="str">
        <f>IF(E136="","",IF(ISNA(VLOOKUP($E136,'A-1 On-Site Habitat Baseline'!$D$1:$X$258,14,FALSE)),"",(VLOOKUP($E136,'A-1 On-Site Habitat Baseline'!$D$1:$X$258,14,FALSE))))</f>
        <v/>
      </c>
      <c r="O136" s="386" t="str">
        <f>IF(E136="","",IF(ISNA(VLOOKUP($E136,'A-1 On-Site Habitat Baseline'!$D$1:$X$258,16,FALSE)),"",(VLOOKUP($E136,'A-1 On-Site Habitat Baseline'!$D$1:$X$258,13,FALSE))))</f>
        <v/>
      </c>
      <c r="P136" s="192" t="str">
        <f>IFERROR(INDEX('G-1 All Habitats'!$AG$3:$AG$17,MATCH(Q136,'G-1 All Habitats'!$AF$3:$AF$17,0)),"")</f>
        <v/>
      </c>
      <c r="Q136" s="193" t="str">
        <f t="shared" si="13"/>
        <v/>
      </c>
      <c r="R136" s="193" t="str">
        <f t="shared" si="13"/>
        <v/>
      </c>
      <c r="S136" s="306" t="str">
        <f>IFERROR(INDEX('G-1 All Habitats'!$B$3:$B$134,MATCH(R136,'G-1 All Habitats'!$A$3:$A$134,0)),"")</f>
        <v/>
      </c>
      <c r="T136" s="362" t="str">
        <f t="shared" si="14"/>
        <v/>
      </c>
      <c r="U136" s="363" t="str">
        <f t="shared" si="15"/>
        <v/>
      </c>
      <c r="V136" s="398" t="str">
        <f t="shared" si="11"/>
        <v/>
      </c>
      <c r="W136" s="382" t="str">
        <f>IF(S136="","",VLOOKUP(S136,'G-1 All Habitats'!$B$2:$M$134,10,FALSE))</f>
        <v/>
      </c>
      <c r="X136" s="382" t="str">
        <f>IFERROR(VLOOKUP(W136,'G-1 All Habitats'!$V$3:$W$7,2,FALSE),"")</f>
        <v/>
      </c>
      <c r="Y136" s="61"/>
      <c r="Z136" s="386" t="str">
        <f>IFERROR(INDEX('G-8 Condition Look up'!$A$3:$H$135,MATCH(S136,'G-8 Condition Look up'!$A$3:$A$135,0),MATCH(Y136,'G-8 Condition Look up'!$A$3:$H$3,0)),"")</f>
        <v/>
      </c>
      <c r="AA136" s="54"/>
      <c r="AB136" s="382" t="str">
        <f>IF(AA136="","",IF(VLOOKUP(AA136,'G-3 Multipliers'!$L$3:$N$6,2,FALSE)=0,"Spatial Data Missing ⚠",VLOOKUP(AA136,'G-3 Multipliers'!$L$3:$N$6,2,FALSE)))</f>
        <v/>
      </c>
      <c r="AC136" s="386" t="str">
        <f>IF(AA136="","",IF(VLOOKUP(AA136,'G-3 Multipliers'!$L$3:$N$6,3,FALSE)=0,"Spatial Data Missing ⚠",VLOOKUP(AA136,'G-3 Multipliers'!$L$3:$N$6,3,FALSE)))</f>
        <v/>
      </c>
      <c r="AD136" s="400" t="str">
        <f t="shared" si="12"/>
        <v/>
      </c>
      <c r="AE136" s="63"/>
      <c r="AF136" s="63"/>
      <c r="AG136" s="370" t="str">
        <f t="shared" si="16"/>
        <v/>
      </c>
      <c r="AH136" s="383" t="str">
        <f t="shared" si="17"/>
        <v/>
      </c>
      <c r="AI136" s="384" t="str">
        <f>IF(AH136="Check Data","Check Data",IFERROR(VLOOKUP(AH136,'G-4 Temporal multipliers'!$A$4:$C$36,3,FALSE),""))</f>
        <v/>
      </c>
      <c r="AJ136" s="362" t="str">
        <f>IF(S136="","",VLOOKUP(S136,'G-3 Multipliers'!$A$2:$E$134,4,FALSE))</f>
        <v/>
      </c>
      <c r="AK136" s="370" t="str">
        <f t="shared" si="18"/>
        <v/>
      </c>
      <c r="AL136" s="370" t="str">
        <f t="shared" si="19"/>
        <v/>
      </c>
      <c r="AM136" s="401" t="str">
        <f>IFERROR(IF(F136="","",IF(AH136="Check Data ⚠","Check Data ⚠",VLOOKUP(AL136, 'G-3 Multipliers'!$P$2:$Q$6,2,FALSE))),"")</f>
        <v/>
      </c>
      <c r="AN136" s="376" t="str">
        <f t="shared" si="20"/>
        <v/>
      </c>
      <c r="AO136" s="194"/>
      <c r="AP136" s="195"/>
      <c r="AQ136" s="120"/>
    </row>
    <row r="137" spans="1:43">
      <c r="A137" s="35" t="str">
        <f>IF(E137="","",IF(ISNA(VLOOKUP($E137,'A-1 On-Site Habitat Baseline'!$D$1:$O$258,2,FALSE)),"",(VLOOKUP($E137,'A-1 On-Site Habitat Baseline'!$D$1:$O$258,2,FALSE))))</f>
        <v/>
      </c>
      <c r="B137" s="35" t="str">
        <f>IF(E137="","",IF(ISNA(VLOOKUP($E137,'A-1 On-Site Habitat Baseline'!$D$1:$O$258,3,FALSE)),"",(VLOOKUP($E137,'A-1 On-Site Habitat Baseline'!$D$1:$O$258,3,FALSE))))</f>
        <v/>
      </c>
      <c r="C137" s="35" t="str">
        <f>IFERROR(INDEX('G-8 Condition Look up'!$I$4:$I$135,MATCH(S137,'G-8 Condition Look up'!$A$4:$A$135,0)),"")</f>
        <v/>
      </c>
      <c r="E137" s="392" t="str">
        <f>'A-1 On-Site Habitat Baseline'!AL136</f>
        <v/>
      </c>
      <c r="F137" s="382" t="str">
        <f>IF(E137="","",IF(ISNA(VLOOKUP($E137,'A-1 On-Site Habitat Baseline'!$D$1:$O$258,4,FALSE)),"",(VLOOKUP($E137,'A-1 On-Site Habitat Baseline'!$D$1:$O$258,4,FALSE))))</f>
        <v/>
      </c>
      <c r="G137" s="382" t="str">
        <f>IF(E137="","",IF(ISNA(VLOOKUP($E137,'A-1 On-Site Habitat Baseline'!$D$1:$O$258,5,FALSE)),"",(VLOOKUP($E137,'A-1 On-Site Habitat Baseline'!$D$1:$O$258,5,FALSE))))</f>
        <v/>
      </c>
      <c r="H137" s="382" t="str">
        <f>IF(E137="","",IF(ISNA(VLOOKUP($E137,'A-1 On-Site Habitat Baseline'!$D$1:$O$258,6,FALSE)),"",(VLOOKUP($E137,'A-1 On-Site Habitat Baseline'!$D$1:$O$258,6,FALSE))))</f>
        <v/>
      </c>
      <c r="I137" s="382" t="str">
        <f>IF(E137="","",IF(ISNA(VLOOKUP($E137,'A-1 On-Site Habitat Baseline'!$D$1:$O$258,7,FALSE)),"",(VLOOKUP($E137,'A-1 On-Site Habitat Baseline'!$D$1:$O$258,7,FALSE))))</f>
        <v/>
      </c>
      <c r="J137" s="382" t="str">
        <f>IF(E137="","",IF(ISNA(VLOOKUP($E137,'A-1 On-Site Habitat Baseline'!$D$1:$O$258,8,FALSE)),"",(VLOOKUP($E137,'A-1 On-Site Habitat Baseline'!$D$1:$O$258,8,FALSE))))</f>
        <v/>
      </c>
      <c r="K137" s="382" t="str">
        <f>IF(E137="","",IF(ISNA(VLOOKUP($E137,'A-1 On-Site Habitat Baseline'!$D$1:$O$258,9,FALSE)),"",(VLOOKUP($E137,'A-1 On-Site Habitat Baseline'!$D$1:$O$258,9,FALSE))))</f>
        <v/>
      </c>
      <c r="L137" s="382" t="str">
        <f>IF(E137="","",IF(ISNA(VLOOKUP($E137,'A-1 On-Site Habitat Baseline'!$D$1:$O$258,11,FALSE)),"",(VLOOKUP($E137,'A-1 On-Site Habitat Baseline'!$D$1:$O$258,11,FALSE))))</f>
        <v/>
      </c>
      <c r="M137" s="382" t="str">
        <f>IF(E137="","",IF(ISNA(VLOOKUP($E137,'A-1 On-Site Habitat Baseline'!$D$1:$O$258,12,FALSE)),"",(VLOOKUP($E137,'A-1 On-Site Habitat Baseline'!$D$1:$O$258,12,FALSE))))</f>
        <v/>
      </c>
      <c r="N137" s="393" t="str">
        <f>IF(E137="","",IF(ISNA(VLOOKUP($E137,'A-1 On-Site Habitat Baseline'!$D$1:$X$258,14,FALSE)),"",(VLOOKUP($E137,'A-1 On-Site Habitat Baseline'!$D$1:$X$258,14,FALSE))))</f>
        <v/>
      </c>
      <c r="O137" s="386" t="str">
        <f>IF(E137="","",IF(ISNA(VLOOKUP($E137,'A-1 On-Site Habitat Baseline'!$D$1:$X$258,16,FALSE)),"",(VLOOKUP($E137,'A-1 On-Site Habitat Baseline'!$D$1:$X$258,13,FALSE))))</f>
        <v/>
      </c>
      <c r="P137" s="192" t="str">
        <f>IFERROR(INDEX('G-1 All Habitats'!$AG$3:$AG$17,MATCH(Q137,'G-1 All Habitats'!$AF$3:$AF$17,0)),"")</f>
        <v/>
      </c>
      <c r="Q137" s="193" t="str">
        <f t="shared" si="13"/>
        <v/>
      </c>
      <c r="R137" s="193" t="str">
        <f t="shared" si="13"/>
        <v/>
      </c>
      <c r="S137" s="306" t="str">
        <f>IFERROR(INDEX('G-1 All Habitats'!$B$3:$B$134,MATCH(R137,'G-1 All Habitats'!$A$3:$A$134,0)),"")</f>
        <v/>
      </c>
      <c r="T137" s="362" t="str">
        <f t="shared" si="14"/>
        <v/>
      </c>
      <c r="U137" s="363" t="str">
        <f t="shared" si="15"/>
        <v/>
      </c>
      <c r="V137" s="398" t="str">
        <f t="shared" si="11"/>
        <v/>
      </c>
      <c r="W137" s="382" t="str">
        <f>IF(S137="","",VLOOKUP(S137,'G-1 All Habitats'!$B$2:$M$134,10,FALSE))</f>
        <v/>
      </c>
      <c r="X137" s="382" t="str">
        <f>IFERROR(VLOOKUP(W137,'G-1 All Habitats'!$V$3:$W$7,2,FALSE),"")</f>
        <v/>
      </c>
      <c r="Y137" s="61"/>
      <c r="Z137" s="386" t="str">
        <f>IFERROR(INDEX('G-8 Condition Look up'!$A$3:$H$135,MATCH(S137,'G-8 Condition Look up'!$A$3:$A$135,0),MATCH(Y137,'G-8 Condition Look up'!$A$3:$H$3,0)),"")</f>
        <v/>
      </c>
      <c r="AA137" s="54"/>
      <c r="AB137" s="382" t="str">
        <f>IF(AA137="","",IF(VLOOKUP(AA137,'G-3 Multipliers'!$L$3:$N$6,2,FALSE)=0,"Spatial Data Missing ⚠",VLOOKUP(AA137,'G-3 Multipliers'!$L$3:$N$6,2,FALSE)))</f>
        <v/>
      </c>
      <c r="AC137" s="386" t="str">
        <f>IF(AA137="","",IF(VLOOKUP(AA137,'G-3 Multipliers'!$L$3:$N$6,3,FALSE)=0,"Spatial Data Missing ⚠",VLOOKUP(AA137,'G-3 Multipliers'!$L$3:$N$6,3,FALSE)))</f>
        <v/>
      </c>
      <c r="AD137" s="400" t="str">
        <f t="shared" si="12"/>
        <v/>
      </c>
      <c r="AE137" s="63"/>
      <c r="AF137" s="63"/>
      <c r="AG137" s="370" t="str">
        <f t="shared" si="16"/>
        <v/>
      </c>
      <c r="AH137" s="383" t="str">
        <f t="shared" si="17"/>
        <v/>
      </c>
      <c r="AI137" s="384" t="str">
        <f>IF(AH137="Check Data","Check Data",IFERROR(VLOOKUP(AH137,'G-4 Temporal multipliers'!$A$4:$C$36,3,FALSE),""))</f>
        <v/>
      </c>
      <c r="AJ137" s="362" t="str">
        <f>IF(S137="","",VLOOKUP(S137,'G-3 Multipliers'!$A$2:$E$134,4,FALSE))</f>
        <v/>
      </c>
      <c r="AK137" s="370" t="str">
        <f t="shared" si="18"/>
        <v/>
      </c>
      <c r="AL137" s="370" t="str">
        <f t="shared" si="19"/>
        <v/>
      </c>
      <c r="AM137" s="401" t="str">
        <f>IFERROR(IF(F137="","",IF(AH137="Check Data ⚠","Check Data ⚠",VLOOKUP(AL137, 'G-3 Multipliers'!$P$2:$Q$6,2,FALSE))),"")</f>
        <v/>
      </c>
      <c r="AN137" s="376" t="str">
        <f t="shared" si="20"/>
        <v/>
      </c>
      <c r="AO137" s="194"/>
      <c r="AP137" s="195"/>
      <c r="AQ137" s="120"/>
    </row>
    <row r="138" spans="1:43">
      <c r="A138" s="35" t="str">
        <f>IF(E138="","",IF(ISNA(VLOOKUP($E138,'A-1 On-Site Habitat Baseline'!$D$1:$O$258,2,FALSE)),"",(VLOOKUP($E138,'A-1 On-Site Habitat Baseline'!$D$1:$O$258,2,FALSE))))</f>
        <v/>
      </c>
      <c r="B138" s="35" t="str">
        <f>IF(E138="","",IF(ISNA(VLOOKUP($E138,'A-1 On-Site Habitat Baseline'!$D$1:$O$258,3,FALSE)),"",(VLOOKUP($E138,'A-1 On-Site Habitat Baseline'!$D$1:$O$258,3,FALSE))))</f>
        <v/>
      </c>
      <c r="C138" s="35" t="str">
        <f>IFERROR(INDEX('G-8 Condition Look up'!$I$4:$I$135,MATCH(S138,'G-8 Condition Look up'!$A$4:$A$135,0)),"")</f>
        <v/>
      </c>
      <c r="E138" s="392" t="str">
        <f>'A-1 On-Site Habitat Baseline'!AL137</f>
        <v/>
      </c>
      <c r="F138" s="382" t="str">
        <f>IF(E138="","",IF(ISNA(VLOOKUP($E138,'A-1 On-Site Habitat Baseline'!$D$1:$O$258,4,FALSE)),"",(VLOOKUP($E138,'A-1 On-Site Habitat Baseline'!$D$1:$O$258,4,FALSE))))</f>
        <v/>
      </c>
      <c r="G138" s="382" t="str">
        <f>IF(E138="","",IF(ISNA(VLOOKUP($E138,'A-1 On-Site Habitat Baseline'!$D$1:$O$258,5,FALSE)),"",(VLOOKUP($E138,'A-1 On-Site Habitat Baseline'!$D$1:$O$258,5,FALSE))))</f>
        <v/>
      </c>
      <c r="H138" s="382" t="str">
        <f>IF(E138="","",IF(ISNA(VLOOKUP($E138,'A-1 On-Site Habitat Baseline'!$D$1:$O$258,6,FALSE)),"",(VLOOKUP($E138,'A-1 On-Site Habitat Baseline'!$D$1:$O$258,6,FALSE))))</f>
        <v/>
      </c>
      <c r="I138" s="382" t="str">
        <f>IF(E138="","",IF(ISNA(VLOOKUP($E138,'A-1 On-Site Habitat Baseline'!$D$1:$O$258,7,FALSE)),"",(VLOOKUP($E138,'A-1 On-Site Habitat Baseline'!$D$1:$O$258,7,FALSE))))</f>
        <v/>
      </c>
      <c r="J138" s="382" t="str">
        <f>IF(E138="","",IF(ISNA(VLOOKUP($E138,'A-1 On-Site Habitat Baseline'!$D$1:$O$258,8,FALSE)),"",(VLOOKUP($E138,'A-1 On-Site Habitat Baseline'!$D$1:$O$258,8,FALSE))))</f>
        <v/>
      </c>
      <c r="K138" s="382" t="str">
        <f>IF(E138="","",IF(ISNA(VLOOKUP($E138,'A-1 On-Site Habitat Baseline'!$D$1:$O$258,9,FALSE)),"",(VLOOKUP($E138,'A-1 On-Site Habitat Baseline'!$D$1:$O$258,9,FALSE))))</f>
        <v/>
      </c>
      <c r="L138" s="382" t="str">
        <f>IF(E138="","",IF(ISNA(VLOOKUP($E138,'A-1 On-Site Habitat Baseline'!$D$1:$O$258,11,FALSE)),"",(VLOOKUP($E138,'A-1 On-Site Habitat Baseline'!$D$1:$O$258,11,FALSE))))</f>
        <v/>
      </c>
      <c r="M138" s="382" t="str">
        <f>IF(E138="","",IF(ISNA(VLOOKUP($E138,'A-1 On-Site Habitat Baseline'!$D$1:$O$258,12,FALSE)),"",(VLOOKUP($E138,'A-1 On-Site Habitat Baseline'!$D$1:$O$258,12,FALSE))))</f>
        <v/>
      </c>
      <c r="N138" s="393" t="str">
        <f>IF(E138="","",IF(ISNA(VLOOKUP($E138,'A-1 On-Site Habitat Baseline'!$D$1:$X$258,14,FALSE)),"",(VLOOKUP($E138,'A-1 On-Site Habitat Baseline'!$D$1:$X$258,14,FALSE))))</f>
        <v/>
      </c>
      <c r="O138" s="386" t="str">
        <f>IF(E138="","",IF(ISNA(VLOOKUP($E138,'A-1 On-Site Habitat Baseline'!$D$1:$X$258,16,FALSE)),"",(VLOOKUP($E138,'A-1 On-Site Habitat Baseline'!$D$1:$X$258,13,FALSE))))</f>
        <v/>
      </c>
      <c r="P138" s="192" t="str">
        <f>IFERROR(INDEX('G-1 All Habitats'!$AG$3:$AG$17,MATCH(Q138,'G-1 All Habitats'!$AF$3:$AF$17,0)),"")</f>
        <v/>
      </c>
      <c r="Q138" s="193" t="str">
        <f t="shared" si="13"/>
        <v/>
      </c>
      <c r="R138" s="193" t="str">
        <f t="shared" si="13"/>
        <v/>
      </c>
      <c r="S138" s="306" t="str">
        <f>IFERROR(INDEX('G-1 All Habitats'!$B$3:$B$134,MATCH(R138,'G-1 All Habitats'!$A$3:$A$134,0)),"")</f>
        <v/>
      </c>
      <c r="T138" s="362" t="str">
        <f t="shared" si="14"/>
        <v/>
      </c>
      <c r="U138" s="363" t="str">
        <f t="shared" si="15"/>
        <v/>
      </c>
      <c r="V138" s="398" t="str">
        <f t="shared" si="11"/>
        <v/>
      </c>
      <c r="W138" s="382" t="str">
        <f>IF(S138="","",VLOOKUP(S138,'G-1 All Habitats'!$B$2:$M$134,10,FALSE))</f>
        <v/>
      </c>
      <c r="X138" s="382" t="str">
        <f>IFERROR(VLOOKUP(W138,'G-1 All Habitats'!$V$3:$W$7,2,FALSE),"")</f>
        <v/>
      </c>
      <c r="Y138" s="61"/>
      <c r="Z138" s="386" t="str">
        <f>IFERROR(INDEX('G-8 Condition Look up'!$A$3:$H$135,MATCH(S138,'G-8 Condition Look up'!$A$3:$A$135,0),MATCH(Y138,'G-8 Condition Look up'!$A$3:$H$3,0)),"")</f>
        <v/>
      </c>
      <c r="AA138" s="54"/>
      <c r="AB138" s="382" t="str">
        <f>IF(AA138="","",IF(VLOOKUP(AA138,'G-3 Multipliers'!$L$3:$N$6,2,FALSE)=0,"Spatial Data Missing ⚠",VLOOKUP(AA138,'G-3 Multipliers'!$L$3:$N$6,2,FALSE)))</f>
        <v/>
      </c>
      <c r="AC138" s="386" t="str">
        <f>IF(AA138="","",IF(VLOOKUP(AA138,'G-3 Multipliers'!$L$3:$N$6,3,FALSE)=0,"Spatial Data Missing ⚠",VLOOKUP(AA138,'G-3 Multipliers'!$L$3:$N$6,3,FALSE)))</f>
        <v/>
      </c>
      <c r="AD138" s="400" t="str">
        <f t="shared" si="12"/>
        <v/>
      </c>
      <c r="AE138" s="63"/>
      <c r="AF138" s="63"/>
      <c r="AG138" s="370" t="str">
        <f t="shared" si="16"/>
        <v/>
      </c>
      <c r="AH138" s="383" t="str">
        <f t="shared" si="17"/>
        <v/>
      </c>
      <c r="AI138" s="384" t="str">
        <f>IF(AH138="Check Data","Check Data",IFERROR(VLOOKUP(AH138,'G-4 Temporal multipliers'!$A$4:$C$36,3,FALSE),""))</f>
        <v/>
      </c>
      <c r="AJ138" s="362" t="str">
        <f>IF(S138="","",VLOOKUP(S138,'G-3 Multipliers'!$A$2:$E$134,4,FALSE))</f>
        <v/>
      </c>
      <c r="AK138" s="370" t="str">
        <f t="shared" si="18"/>
        <v/>
      </c>
      <c r="AL138" s="370" t="str">
        <f t="shared" si="19"/>
        <v/>
      </c>
      <c r="AM138" s="401" t="str">
        <f>IFERROR(IF(F138="","",IF(AH138="Check Data ⚠","Check Data ⚠",VLOOKUP(AL138, 'G-3 Multipliers'!$P$2:$Q$6,2,FALSE))),"")</f>
        <v/>
      </c>
      <c r="AN138" s="376" t="str">
        <f t="shared" si="20"/>
        <v/>
      </c>
      <c r="AO138" s="194"/>
      <c r="AP138" s="195"/>
      <c r="AQ138" s="120"/>
    </row>
    <row r="139" spans="1:43">
      <c r="A139" s="35" t="str">
        <f>IF(E139="","",IF(ISNA(VLOOKUP($E139,'A-1 On-Site Habitat Baseline'!$D$1:$O$258,2,FALSE)),"",(VLOOKUP($E139,'A-1 On-Site Habitat Baseline'!$D$1:$O$258,2,FALSE))))</f>
        <v/>
      </c>
      <c r="B139" s="35" t="str">
        <f>IF(E139="","",IF(ISNA(VLOOKUP($E139,'A-1 On-Site Habitat Baseline'!$D$1:$O$258,3,FALSE)),"",(VLOOKUP($E139,'A-1 On-Site Habitat Baseline'!$D$1:$O$258,3,FALSE))))</f>
        <v/>
      </c>
      <c r="C139" s="35" t="str">
        <f>IFERROR(INDEX('G-8 Condition Look up'!$I$4:$I$135,MATCH(S139,'G-8 Condition Look up'!$A$4:$A$135,0)),"")</f>
        <v/>
      </c>
      <c r="E139" s="392" t="str">
        <f>'A-1 On-Site Habitat Baseline'!AL138</f>
        <v/>
      </c>
      <c r="F139" s="382" t="str">
        <f>IF(E139="","",IF(ISNA(VLOOKUP($E139,'A-1 On-Site Habitat Baseline'!$D$1:$O$258,4,FALSE)),"",(VLOOKUP($E139,'A-1 On-Site Habitat Baseline'!$D$1:$O$258,4,FALSE))))</f>
        <v/>
      </c>
      <c r="G139" s="382" t="str">
        <f>IF(E139="","",IF(ISNA(VLOOKUP($E139,'A-1 On-Site Habitat Baseline'!$D$1:$O$258,5,FALSE)),"",(VLOOKUP($E139,'A-1 On-Site Habitat Baseline'!$D$1:$O$258,5,FALSE))))</f>
        <v/>
      </c>
      <c r="H139" s="382" t="str">
        <f>IF(E139="","",IF(ISNA(VLOOKUP($E139,'A-1 On-Site Habitat Baseline'!$D$1:$O$258,6,FALSE)),"",(VLOOKUP($E139,'A-1 On-Site Habitat Baseline'!$D$1:$O$258,6,FALSE))))</f>
        <v/>
      </c>
      <c r="I139" s="382" t="str">
        <f>IF(E139="","",IF(ISNA(VLOOKUP($E139,'A-1 On-Site Habitat Baseline'!$D$1:$O$258,7,FALSE)),"",(VLOOKUP($E139,'A-1 On-Site Habitat Baseline'!$D$1:$O$258,7,FALSE))))</f>
        <v/>
      </c>
      <c r="J139" s="382" t="str">
        <f>IF(E139="","",IF(ISNA(VLOOKUP($E139,'A-1 On-Site Habitat Baseline'!$D$1:$O$258,8,FALSE)),"",(VLOOKUP($E139,'A-1 On-Site Habitat Baseline'!$D$1:$O$258,8,FALSE))))</f>
        <v/>
      </c>
      <c r="K139" s="382" t="str">
        <f>IF(E139="","",IF(ISNA(VLOOKUP($E139,'A-1 On-Site Habitat Baseline'!$D$1:$O$258,9,FALSE)),"",(VLOOKUP($E139,'A-1 On-Site Habitat Baseline'!$D$1:$O$258,9,FALSE))))</f>
        <v/>
      </c>
      <c r="L139" s="382" t="str">
        <f>IF(E139="","",IF(ISNA(VLOOKUP($E139,'A-1 On-Site Habitat Baseline'!$D$1:$O$258,11,FALSE)),"",(VLOOKUP($E139,'A-1 On-Site Habitat Baseline'!$D$1:$O$258,11,FALSE))))</f>
        <v/>
      </c>
      <c r="M139" s="382" t="str">
        <f>IF(E139="","",IF(ISNA(VLOOKUP($E139,'A-1 On-Site Habitat Baseline'!$D$1:$O$258,12,FALSE)),"",(VLOOKUP($E139,'A-1 On-Site Habitat Baseline'!$D$1:$O$258,12,FALSE))))</f>
        <v/>
      </c>
      <c r="N139" s="393" t="str">
        <f>IF(E139="","",IF(ISNA(VLOOKUP($E139,'A-1 On-Site Habitat Baseline'!$D$1:$X$258,14,FALSE)),"",(VLOOKUP($E139,'A-1 On-Site Habitat Baseline'!$D$1:$X$258,14,FALSE))))</f>
        <v/>
      </c>
      <c r="O139" s="386" t="str">
        <f>IF(E139="","",IF(ISNA(VLOOKUP($E139,'A-1 On-Site Habitat Baseline'!$D$1:$X$258,16,FALSE)),"",(VLOOKUP($E139,'A-1 On-Site Habitat Baseline'!$D$1:$X$258,13,FALSE))))</f>
        <v/>
      </c>
      <c r="P139" s="192" t="str">
        <f>IFERROR(INDEX('G-1 All Habitats'!$AG$3:$AG$17,MATCH(Q139,'G-1 All Habitats'!$AF$3:$AF$17,0)),"")</f>
        <v/>
      </c>
      <c r="Q139" s="193" t="str">
        <f t="shared" si="13"/>
        <v/>
      </c>
      <c r="R139" s="193" t="str">
        <f t="shared" si="13"/>
        <v/>
      </c>
      <c r="S139" s="306" t="str">
        <f>IFERROR(INDEX('G-1 All Habitats'!$B$3:$B$134,MATCH(R139,'G-1 All Habitats'!$A$3:$A$134,0)),"")</f>
        <v/>
      </c>
      <c r="T139" s="362" t="str">
        <f t="shared" si="14"/>
        <v/>
      </c>
      <c r="U139" s="363" t="str">
        <f t="shared" si="15"/>
        <v/>
      </c>
      <c r="V139" s="398" t="str">
        <f t="shared" si="11"/>
        <v/>
      </c>
      <c r="W139" s="382" t="str">
        <f>IF(S139="","",VLOOKUP(S139,'G-1 All Habitats'!$B$2:$M$134,10,FALSE))</f>
        <v/>
      </c>
      <c r="X139" s="382" t="str">
        <f>IFERROR(VLOOKUP(W139,'G-1 All Habitats'!$V$3:$W$7,2,FALSE),"")</f>
        <v/>
      </c>
      <c r="Y139" s="61"/>
      <c r="Z139" s="386" t="str">
        <f>IFERROR(INDEX('G-8 Condition Look up'!$A$3:$H$135,MATCH(S139,'G-8 Condition Look up'!$A$3:$A$135,0),MATCH(Y139,'G-8 Condition Look up'!$A$3:$H$3,0)),"")</f>
        <v/>
      </c>
      <c r="AA139" s="54"/>
      <c r="AB139" s="382" t="str">
        <f>IF(AA139="","",IF(VLOOKUP(AA139,'G-3 Multipliers'!$L$3:$N$6,2,FALSE)=0,"Spatial Data Missing ⚠",VLOOKUP(AA139,'G-3 Multipliers'!$L$3:$N$6,2,FALSE)))</f>
        <v/>
      </c>
      <c r="AC139" s="386" t="str">
        <f>IF(AA139="","",IF(VLOOKUP(AA139,'G-3 Multipliers'!$L$3:$N$6,3,FALSE)=0,"Spatial Data Missing ⚠",VLOOKUP(AA139,'G-3 Multipliers'!$L$3:$N$6,3,FALSE)))</f>
        <v/>
      </c>
      <c r="AD139" s="400" t="str">
        <f t="shared" si="12"/>
        <v/>
      </c>
      <c r="AE139" s="63"/>
      <c r="AF139" s="63"/>
      <c r="AG139" s="370" t="str">
        <f t="shared" si="16"/>
        <v/>
      </c>
      <c r="AH139" s="383" t="str">
        <f t="shared" si="17"/>
        <v/>
      </c>
      <c r="AI139" s="384" t="str">
        <f>IF(AH139="Check Data","Check Data",IFERROR(VLOOKUP(AH139,'G-4 Temporal multipliers'!$A$4:$C$36,3,FALSE),""))</f>
        <v/>
      </c>
      <c r="AJ139" s="362" t="str">
        <f>IF(S139="","",VLOOKUP(S139,'G-3 Multipliers'!$A$2:$E$134,4,FALSE))</f>
        <v/>
      </c>
      <c r="AK139" s="370" t="str">
        <f t="shared" si="18"/>
        <v/>
      </c>
      <c r="AL139" s="370" t="str">
        <f t="shared" si="19"/>
        <v/>
      </c>
      <c r="AM139" s="401" t="str">
        <f>IFERROR(IF(F139="","",IF(AH139="Check Data ⚠","Check Data ⚠",VLOOKUP(AL139, 'G-3 Multipliers'!$P$2:$Q$6,2,FALSE))),"")</f>
        <v/>
      </c>
      <c r="AN139" s="376" t="str">
        <f t="shared" si="20"/>
        <v/>
      </c>
      <c r="AO139" s="194"/>
      <c r="AP139" s="195"/>
      <c r="AQ139" s="120"/>
    </row>
    <row r="140" spans="1:43">
      <c r="A140" s="35" t="str">
        <f>IF(E140="","",IF(ISNA(VLOOKUP($E140,'A-1 On-Site Habitat Baseline'!$D$1:$O$258,2,FALSE)),"",(VLOOKUP($E140,'A-1 On-Site Habitat Baseline'!$D$1:$O$258,2,FALSE))))</f>
        <v/>
      </c>
      <c r="B140" s="35" t="str">
        <f>IF(E140="","",IF(ISNA(VLOOKUP($E140,'A-1 On-Site Habitat Baseline'!$D$1:$O$258,3,FALSE)),"",(VLOOKUP($E140,'A-1 On-Site Habitat Baseline'!$D$1:$O$258,3,FALSE))))</f>
        <v/>
      </c>
      <c r="C140" s="35" t="str">
        <f>IFERROR(INDEX('G-8 Condition Look up'!$I$4:$I$135,MATCH(S140,'G-8 Condition Look up'!$A$4:$A$135,0)),"")</f>
        <v/>
      </c>
      <c r="E140" s="392" t="str">
        <f>'A-1 On-Site Habitat Baseline'!AL139</f>
        <v/>
      </c>
      <c r="F140" s="382" t="str">
        <f>IF(E140="","",IF(ISNA(VLOOKUP($E140,'A-1 On-Site Habitat Baseline'!$D$1:$O$258,4,FALSE)),"",(VLOOKUP($E140,'A-1 On-Site Habitat Baseline'!$D$1:$O$258,4,FALSE))))</f>
        <v/>
      </c>
      <c r="G140" s="382" t="str">
        <f>IF(E140="","",IF(ISNA(VLOOKUP($E140,'A-1 On-Site Habitat Baseline'!$D$1:$O$258,5,FALSE)),"",(VLOOKUP($E140,'A-1 On-Site Habitat Baseline'!$D$1:$O$258,5,FALSE))))</f>
        <v/>
      </c>
      <c r="H140" s="382" t="str">
        <f>IF(E140="","",IF(ISNA(VLOOKUP($E140,'A-1 On-Site Habitat Baseline'!$D$1:$O$258,6,FALSE)),"",(VLOOKUP($E140,'A-1 On-Site Habitat Baseline'!$D$1:$O$258,6,FALSE))))</f>
        <v/>
      </c>
      <c r="I140" s="382" t="str">
        <f>IF(E140="","",IF(ISNA(VLOOKUP($E140,'A-1 On-Site Habitat Baseline'!$D$1:$O$258,7,FALSE)),"",(VLOOKUP($E140,'A-1 On-Site Habitat Baseline'!$D$1:$O$258,7,FALSE))))</f>
        <v/>
      </c>
      <c r="J140" s="382" t="str">
        <f>IF(E140="","",IF(ISNA(VLOOKUP($E140,'A-1 On-Site Habitat Baseline'!$D$1:$O$258,8,FALSE)),"",(VLOOKUP($E140,'A-1 On-Site Habitat Baseline'!$D$1:$O$258,8,FALSE))))</f>
        <v/>
      </c>
      <c r="K140" s="382" t="str">
        <f>IF(E140="","",IF(ISNA(VLOOKUP($E140,'A-1 On-Site Habitat Baseline'!$D$1:$O$258,9,FALSE)),"",(VLOOKUP($E140,'A-1 On-Site Habitat Baseline'!$D$1:$O$258,9,FALSE))))</f>
        <v/>
      </c>
      <c r="L140" s="382" t="str">
        <f>IF(E140="","",IF(ISNA(VLOOKUP($E140,'A-1 On-Site Habitat Baseline'!$D$1:$O$258,11,FALSE)),"",(VLOOKUP($E140,'A-1 On-Site Habitat Baseline'!$D$1:$O$258,11,FALSE))))</f>
        <v/>
      </c>
      <c r="M140" s="382" t="str">
        <f>IF(E140="","",IF(ISNA(VLOOKUP($E140,'A-1 On-Site Habitat Baseline'!$D$1:$O$258,12,FALSE)),"",(VLOOKUP($E140,'A-1 On-Site Habitat Baseline'!$D$1:$O$258,12,FALSE))))</f>
        <v/>
      </c>
      <c r="N140" s="393" t="str">
        <f>IF(E140="","",IF(ISNA(VLOOKUP($E140,'A-1 On-Site Habitat Baseline'!$D$1:$X$258,14,FALSE)),"",(VLOOKUP($E140,'A-1 On-Site Habitat Baseline'!$D$1:$X$258,14,FALSE))))</f>
        <v/>
      </c>
      <c r="O140" s="386" t="str">
        <f>IF(E140="","",IF(ISNA(VLOOKUP($E140,'A-1 On-Site Habitat Baseline'!$D$1:$X$258,16,FALSE)),"",(VLOOKUP($E140,'A-1 On-Site Habitat Baseline'!$D$1:$X$258,13,FALSE))))</f>
        <v/>
      </c>
      <c r="P140" s="192" t="str">
        <f>IFERROR(INDEX('G-1 All Habitats'!$AG$3:$AG$17,MATCH(Q140,'G-1 All Habitats'!$AF$3:$AF$17,0)),"")</f>
        <v/>
      </c>
      <c r="Q140" s="193" t="str">
        <f t="shared" si="13"/>
        <v/>
      </c>
      <c r="R140" s="193" t="str">
        <f t="shared" si="13"/>
        <v/>
      </c>
      <c r="S140" s="306" t="str">
        <f>IFERROR(INDEX('G-1 All Habitats'!$B$3:$B$134,MATCH(R140,'G-1 All Habitats'!$A$3:$A$134,0)),"")</f>
        <v/>
      </c>
      <c r="T140" s="362" t="str">
        <f t="shared" si="14"/>
        <v/>
      </c>
      <c r="U140" s="363" t="str">
        <f t="shared" si="15"/>
        <v/>
      </c>
      <c r="V140" s="398" t="str">
        <f t="shared" ref="V140:V203" si="21">IF(S140="","",VLOOKUP(E140,BaselineHabSite,17,FALSE))</f>
        <v/>
      </c>
      <c r="W140" s="382" t="str">
        <f>IF(S140="","",VLOOKUP(S140,'G-1 All Habitats'!$B$2:$M$134,10,FALSE))</f>
        <v/>
      </c>
      <c r="X140" s="382" t="str">
        <f>IFERROR(VLOOKUP(W140,'G-1 All Habitats'!$V$3:$W$7,2,FALSE),"")</f>
        <v/>
      </c>
      <c r="Y140" s="61"/>
      <c r="Z140" s="386" t="str">
        <f>IFERROR(INDEX('G-8 Condition Look up'!$A$3:$H$135,MATCH(S140,'G-8 Condition Look up'!$A$3:$A$135,0),MATCH(Y140,'G-8 Condition Look up'!$A$3:$H$3,0)),"")</f>
        <v/>
      </c>
      <c r="AA140" s="54"/>
      <c r="AB140" s="382" t="str">
        <f>IF(AA140="","",IF(VLOOKUP(AA140,'G-3 Multipliers'!$L$3:$N$6,2,FALSE)=0,"Spatial Data Missing ⚠",VLOOKUP(AA140,'G-3 Multipliers'!$L$3:$N$6,2,FALSE)))</f>
        <v/>
      </c>
      <c r="AC140" s="386" t="str">
        <f>IF(AA140="","",IF(VLOOKUP(AA140,'G-3 Multipliers'!$L$3:$N$6,3,FALSE)=0,"Spatial Data Missing ⚠",VLOOKUP(AA140,'G-3 Multipliers'!$L$3:$N$6,3,FALSE)))</f>
        <v/>
      </c>
      <c r="AD140" s="400" t="str">
        <f t="shared" ref="AD140:AD203" si="22">IFERROR(IF(OR(LEFT(U140,5)="Error",LEFT(T140,5)="Error"),"Check Data ⚠",INDEX(EnhanceTemporal,MATCH(S140,EnhanceHabitat,0),MATCH(U140,EnhanceCondition,0))),"")</f>
        <v/>
      </c>
      <c r="AE140" s="63"/>
      <c r="AF140" s="63"/>
      <c r="AG140" s="370" t="str">
        <f t="shared" si="16"/>
        <v/>
      </c>
      <c r="AH140" s="383" t="str">
        <f t="shared" si="17"/>
        <v/>
      </c>
      <c r="AI140" s="384" t="str">
        <f>IF(AH140="Check Data","Check Data",IFERROR(VLOOKUP(AH140,'G-4 Temporal multipliers'!$A$4:$C$36,3,FALSE),""))</f>
        <v/>
      </c>
      <c r="AJ140" s="362" t="str">
        <f>IF(S140="","",VLOOKUP(S140,'G-3 Multipliers'!$A$2:$E$134,4,FALSE))</f>
        <v/>
      </c>
      <c r="AK140" s="370" t="str">
        <f t="shared" si="18"/>
        <v/>
      </c>
      <c r="AL140" s="370" t="str">
        <f t="shared" si="19"/>
        <v/>
      </c>
      <c r="AM140" s="401" t="str">
        <f>IFERROR(IF(F140="","",IF(AH140="Check Data ⚠","Check Data ⚠",VLOOKUP(AL140, 'G-3 Multipliers'!$P$2:$Q$6,2,FALSE))),"")</f>
        <v/>
      </c>
      <c r="AN140" s="376" t="str">
        <f t="shared" si="20"/>
        <v/>
      </c>
      <c r="AO140" s="194"/>
      <c r="AP140" s="195"/>
      <c r="AQ140" s="120"/>
    </row>
    <row r="141" spans="1:43">
      <c r="A141" s="35" t="str">
        <f>IF(E141="","",IF(ISNA(VLOOKUP($E141,'A-1 On-Site Habitat Baseline'!$D$1:$O$258,2,FALSE)),"",(VLOOKUP($E141,'A-1 On-Site Habitat Baseline'!$D$1:$O$258,2,FALSE))))</f>
        <v/>
      </c>
      <c r="B141" s="35" t="str">
        <f>IF(E141="","",IF(ISNA(VLOOKUP($E141,'A-1 On-Site Habitat Baseline'!$D$1:$O$258,3,FALSE)),"",(VLOOKUP($E141,'A-1 On-Site Habitat Baseline'!$D$1:$O$258,3,FALSE))))</f>
        <v/>
      </c>
      <c r="C141" s="35" t="str">
        <f>IFERROR(INDEX('G-8 Condition Look up'!$I$4:$I$135,MATCH(S141,'G-8 Condition Look up'!$A$4:$A$135,0)),"")</f>
        <v/>
      </c>
      <c r="E141" s="392" t="str">
        <f>'A-1 On-Site Habitat Baseline'!AL140</f>
        <v/>
      </c>
      <c r="F141" s="382" t="str">
        <f>IF(E141="","",IF(ISNA(VLOOKUP($E141,'A-1 On-Site Habitat Baseline'!$D$1:$O$258,4,FALSE)),"",(VLOOKUP($E141,'A-1 On-Site Habitat Baseline'!$D$1:$O$258,4,FALSE))))</f>
        <v/>
      </c>
      <c r="G141" s="382" t="str">
        <f>IF(E141="","",IF(ISNA(VLOOKUP($E141,'A-1 On-Site Habitat Baseline'!$D$1:$O$258,5,FALSE)),"",(VLOOKUP($E141,'A-1 On-Site Habitat Baseline'!$D$1:$O$258,5,FALSE))))</f>
        <v/>
      </c>
      <c r="H141" s="382" t="str">
        <f>IF(E141="","",IF(ISNA(VLOOKUP($E141,'A-1 On-Site Habitat Baseline'!$D$1:$O$258,6,FALSE)),"",(VLOOKUP($E141,'A-1 On-Site Habitat Baseline'!$D$1:$O$258,6,FALSE))))</f>
        <v/>
      </c>
      <c r="I141" s="382" t="str">
        <f>IF(E141="","",IF(ISNA(VLOOKUP($E141,'A-1 On-Site Habitat Baseline'!$D$1:$O$258,7,FALSE)),"",(VLOOKUP($E141,'A-1 On-Site Habitat Baseline'!$D$1:$O$258,7,FALSE))))</f>
        <v/>
      </c>
      <c r="J141" s="382" t="str">
        <f>IF(E141="","",IF(ISNA(VLOOKUP($E141,'A-1 On-Site Habitat Baseline'!$D$1:$O$258,8,FALSE)),"",(VLOOKUP($E141,'A-1 On-Site Habitat Baseline'!$D$1:$O$258,8,FALSE))))</f>
        <v/>
      </c>
      <c r="K141" s="382" t="str">
        <f>IF(E141="","",IF(ISNA(VLOOKUP($E141,'A-1 On-Site Habitat Baseline'!$D$1:$O$258,9,FALSE)),"",(VLOOKUP($E141,'A-1 On-Site Habitat Baseline'!$D$1:$O$258,9,FALSE))))</f>
        <v/>
      </c>
      <c r="L141" s="382" t="str">
        <f>IF(E141="","",IF(ISNA(VLOOKUP($E141,'A-1 On-Site Habitat Baseline'!$D$1:$O$258,11,FALSE)),"",(VLOOKUP($E141,'A-1 On-Site Habitat Baseline'!$D$1:$O$258,11,FALSE))))</f>
        <v/>
      </c>
      <c r="M141" s="382" t="str">
        <f>IF(E141="","",IF(ISNA(VLOOKUP($E141,'A-1 On-Site Habitat Baseline'!$D$1:$O$258,12,FALSE)),"",(VLOOKUP($E141,'A-1 On-Site Habitat Baseline'!$D$1:$O$258,12,FALSE))))</f>
        <v/>
      </c>
      <c r="N141" s="393" t="str">
        <f>IF(E141="","",IF(ISNA(VLOOKUP($E141,'A-1 On-Site Habitat Baseline'!$D$1:$X$258,14,FALSE)),"",(VLOOKUP($E141,'A-1 On-Site Habitat Baseline'!$D$1:$X$258,14,FALSE))))</f>
        <v/>
      </c>
      <c r="O141" s="386" t="str">
        <f>IF(E141="","",IF(ISNA(VLOOKUP($E141,'A-1 On-Site Habitat Baseline'!$D$1:$X$258,16,FALSE)),"",(VLOOKUP($E141,'A-1 On-Site Habitat Baseline'!$D$1:$X$258,13,FALSE))))</f>
        <v/>
      </c>
      <c r="P141" s="192" t="str">
        <f>IFERROR(INDEX('G-1 All Habitats'!$AG$3:$AG$17,MATCH(Q141,'G-1 All Habitats'!$AF$3:$AF$17,0)),"")</f>
        <v/>
      </c>
      <c r="Q141" s="193" t="str">
        <f t="shared" ref="Q141:R204" si="23">A141</f>
        <v/>
      </c>
      <c r="R141" s="193" t="str">
        <f t="shared" si="23"/>
        <v/>
      </c>
      <c r="S141" s="306" t="str">
        <f>IFERROR(INDEX('G-1 All Habitats'!$B$3:$B$134,MATCH(R141,'G-1 All Habitats'!$A$3:$A$134,0)),"")</f>
        <v/>
      </c>
      <c r="T141" s="362" t="str">
        <f t="shared" ref="T141:T204" si="24">IF(E141="","",IF(AND(LEFT(O141,6)="Same d",I141&gt;X141),"Error - Trading rules not satisfied ▲",IF(AND(LEFT(O141,6)="Same b",AND(LEFT(F141,5)&lt;&gt;LEFT(S141,5),I141&gt;X141)),"Error - Trading rules not satisfied ▲",IF(AND(LEFT(O141,6)="Same h",F141&lt;&gt;S141),"Error - Trading rules not satisfied ▲",IF(AND(LEFT(O141,6)="Bespok",F141&lt;&gt;S141),"Error - Trading rules not satisfied ▲",IF(X141&lt;I141,"Error Trading Down ▲",H141&amp;" - "&amp;W141))))))</f>
        <v/>
      </c>
      <c r="U141" s="363" t="str">
        <f t="shared" ref="U141:U204" si="25">IF(F141="","",IF(AND(LEFT(F141,55)&lt;&gt;LEFT(S141,55),T141= "High - High"),"Error - Not like for like ▲",IF(AND(I141=X141,K141&gt;Z141),"Error - Can not reduce condition ▲",IF(AND(I141=X141,K141=Z141),"Error - No enhancement ▲", IF(K141&gt;Z141, "Error - condition cannot be reduced ▲", IF(X141&lt;I141,"Error Trading Down ▲",IF(AND(F141&lt;&gt;S141,I141&lt;X141),"Lower Distinctiveness Habitat"&amp;" - "&amp;Y141,J141&amp;" - "&amp;Y141)))))))</f>
        <v/>
      </c>
      <c r="V141" s="398" t="str">
        <f t="shared" si="21"/>
        <v/>
      </c>
      <c r="W141" s="382" t="str">
        <f>IF(S141="","",VLOOKUP(S141,'G-1 All Habitats'!$B$2:$M$134,10,FALSE))</f>
        <v/>
      </c>
      <c r="X141" s="382" t="str">
        <f>IFERROR(VLOOKUP(W141,'G-1 All Habitats'!$V$3:$W$7,2,FALSE),"")</f>
        <v/>
      </c>
      <c r="Y141" s="61"/>
      <c r="Z141" s="386" t="str">
        <f>IFERROR(INDEX('G-8 Condition Look up'!$A$3:$H$135,MATCH(S141,'G-8 Condition Look up'!$A$3:$A$135,0),MATCH(Y141,'G-8 Condition Look up'!$A$3:$H$3,0)),"")</f>
        <v/>
      </c>
      <c r="AA141" s="54"/>
      <c r="AB141" s="382" t="str">
        <f>IF(AA141="","",IF(VLOOKUP(AA141,'G-3 Multipliers'!$L$3:$N$6,2,FALSE)=0,"Spatial Data Missing ⚠",VLOOKUP(AA141,'G-3 Multipliers'!$L$3:$N$6,2,FALSE)))</f>
        <v/>
      </c>
      <c r="AC141" s="386" t="str">
        <f>IF(AA141="","",IF(VLOOKUP(AA141,'G-3 Multipliers'!$L$3:$N$6,3,FALSE)=0,"Spatial Data Missing ⚠",VLOOKUP(AA141,'G-3 Multipliers'!$L$3:$N$6,3,FALSE)))</f>
        <v/>
      </c>
      <c r="AD141" s="400" t="str">
        <f t="shared" si="22"/>
        <v/>
      </c>
      <c r="AE141" s="63"/>
      <c r="AF141" s="63"/>
      <c r="AG141" s="370" t="str">
        <f t="shared" ref="AG141:AG204" si="26">IF(AD141="","",IF(AD141="Check Data ⚠","Check Data ⚠",IF(R141="","",IF(AND(AE141&gt;0,AF141&gt;0),"Error -both advance and delayed habitat creation ▲",IF(AND(OR(AE141="Habitat already in target condition",AD141&lt;=AE141),AF141=0),"Check details - Is there evidence that habitat has reached target condition? ⚠",IF(O140="","",IF(AE141&gt;0,"Check details - Is there evidence habitat creation started/in place? ⚠",IF(AF141&gt;0,"Check details- Delay in starting habitat in required condition? ⚠","Standard time to target condition applied"))))))))</f>
        <v/>
      </c>
      <c r="AH141" s="383" t="str">
        <f t="shared" ref="AH141:AH204" si="27">IF(AG141="Error -both advance and delayed habitat creation ▲","Check Data ⚠",IF(AG141="Check Data ⚠","Check Data ⚠",IF(AD141="","",IF(AD141="Not Possible","Check Data ⚠",IF(AND(AD141="30+",AE141=0),"30+",IF(AND(AD141="30+",AE141="30+"),0,IF(AND(AD141="30+",AE141&lt;30),30-AE141,IF(AD141="30+",30-AE141,IF(AE141&gt;AD141,0,IF(AF141="30+","30+",IF(AD141+AF141&gt;30,"30+",IF(AD141+AF141&gt;30,"30+",IF(AD141-AE141&gt;30,"30+",IF(AD141+AF141-AE141&gt;0,AD141+AF141-AE141,IF(AD141-AE141&gt;0,AD141-AE141,AD141+AF141-AE141)))))))))))))))</f>
        <v/>
      </c>
      <c r="AI141" s="384" t="str">
        <f>IF(AH141="Check Data","Check Data",IFERROR(VLOOKUP(AH141,'G-4 Temporal multipliers'!$A$4:$C$36,3,FALSE),""))</f>
        <v/>
      </c>
      <c r="AJ141" s="362" t="str">
        <f>IF(S141="","",VLOOKUP(S141,'G-3 Multipliers'!$A$2:$E$134,4,FALSE))</f>
        <v/>
      </c>
      <c r="AK141" s="370" t="str">
        <f t="shared" ref="AK141:AK204" si="28">IF(E141="","",IF(AG141="Check details - Is there evidence that habitat has reached target condition? ⚠","Low Difficulty - only applicable if all habitat created before losses ⚠","Standard difficulty applied"))</f>
        <v/>
      </c>
      <c r="AL141" s="370" t="str">
        <f t="shared" ref="AL141:AL204" si="29">(IF(AND(AK141="Standard difficulty applied",AD141&gt;AE141),AJ141,IF(AND(AK141="Low Difficulty - only applicable if all habitat created before losses ⚠",AE141&gt;=AD141),"Low", AJ141)))</f>
        <v/>
      </c>
      <c r="AM141" s="401" t="str">
        <f>IFERROR(IF(F141="","",IF(AH141="Check Data ⚠","Check Data ⚠",VLOOKUP(AL141, 'G-3 Multipliers'!$P$2:$Q$6,2,FALSE))),"")</f>
        <v/>
      </c>
      <c r="AN141" s="376" t="str">
        <f t="shared" ref="AN141:AN204" si="30">IFERROR(((((V141*X141*Z141)-(V141*I141*K141))*(AM141*AI141))+(V141*I141*K141))*(AC141),"")</f>
        <v/>
      </c>
      <c r="AO141" s="194"/>
      <c r="AP141" s="195"/>
      <c r="AQ141" s="120"/>
    </row>
    <row r="142" spans="1:43">
      <c r="A142" s="35" t="str">
        <f>IF(E142="","",IF(ISNA(VLOOKUP($E142,'A-1 On-Site Habitat Baseline'!$D$1:$O$258,2,FALSE)),"",(VLOOKUP($E142,'A-1 On-Site Habitat Baseline'!$D$1:$O$258,2,FALSE))))</f>
        <v/>
      </c>
      <c r="B142" s="35" t="str">
        <f>IF(E142="","",IF(ISNA(VLOOKUP($E142,'A-1 On-Site Habitat Baseline'!$D$1:$O$258,3,FALSE)),"",(VLOOKUP($E142,'A-1 On-Site Habitat Baseline'!$D$1:$O$258,3,FALSE))))</f>
        <v/>
      </c>
      <c r="C142" s="35" t="str">
        <f>IFERROR(INDEX('G-8 Condition Look up'!$I$4:$I$135,MATCH(S142,'G-8 Condition Look up'!$A$4:$A$135,0)),"")</f>
        <v/>
      </c>
      <c r="E142" s="392" t="str">
        <f>'A-1 On-Site Habitat Baseline'!AL141</f>
        <v/>
      </c>
      <c r="F142" s="382" t="str">
        <f>IF(E142="","",IF(ISNA(VLOOKUP($E142,'A-1 On-Site Habitat Baseline'!$D$1:$O$258,4,FALSE)),"",(VLOOKUP($E142,'A-1 On-Site Habitat Baseline'!$D$1:$O$258,4,FALSE))))</f>
        <v/>
      </c>
      <c r="G142" s="382" t="str">
        <f>IF(E142="","",IF(ISNA(VLOOKUP($E142,'A-1 On-Site Habitat Baseline'!$D$1:$O$258,5,FALSE)),"",(VLOOKUP($E142,'A-1 On-Site Habitat Baseline'!$D$1:$O$258,5,FALSE))))</f>
        <v/>
      </c>
      <c r="H142" s="382" t="str">
        <f>IF(E142="","",IF(ISNA(VLOOKUP($E142,'A-1 On-Site Habitat Baseline'!$D$1:$O$258,6,FALSE)),"",(VLOOKUP($E142,'A-1 On-Site Habitat Baseline'!$D$1:$O$258,6,FALSE))))</f>
        <v/>
      </c>
      <c r="I142" s="382" t="str">
        <f>IF(E142="","",IF(ISNA(VLOOKUP($E142,'A-1 On-Site Habitat Baseline'!$D$1:$O$258,7,FALSE)),"",(VLOOKUP($E142,'A-1 On-Site Habitat Baseline'!$D$1:$O$258,7,FALSE))))</f>
        <v/>
      </c>
      <c r="J142" s="382" t="str">
        <f>IF(E142="","",IF(ISNA(VLOOKUP($E142,'A-1 On-Site Habitat Baseline'!$D$1:$O$258,8,FALSE)),"",(VLOOKUP($E142,'A-1 On-Site Habitat Baseline'!$D$1:$O$258,8,FALSE))))</f>
        <v/>
      </c>
      <c r="K142" s="382" t="str">
        <f>IF(E142="","",IF(ISNA(VLOOKUP($E142,'A-1 On-Site Habitat Baseline'!$D$1:$O$258,9,FALSE)),"",(VLOOKUP($E142,'A-1 On-Site Habitat Baseline'!$D$1:$O$258,9,FALSE))))</f>
        <v/>
      </c>
      <c r="L142" s="382" t="str">
        <f>IF(E142="","",IF(ISNA(VLOOKUP($E142,'A-1 On-Site Habitat Baseline'!$D$1:$O$258,11,FALSE)),"",(VLOOKUP($E142,'A-1 On-Site Habitat Baseline'!$D$1:$O$258,11,FALSE))))</f>
        <v/>
      </c>
      <c r="M142" s="382" t="str">
        <f>IF(E142="","",IF(ISNA(VLOOKUP($E142,'A-1 On-Site Habitat Baseline'!$D$1:$O$258,12,FALSE)),"",(VLOOKUP($E142,'A-1 On-Site Habitat Baseline'!$D$1:$O$258,12,FALSE))))</f>
        <v/>
      </c>
      <c r="N142" s="393" t="str">
        <f>IF(E142="","",IF(ISNA(VLOOKUP($E142,'A-1 On-Site Habitat Baseline'!$D$1:$X$258,14,FALSE)),"",(VLOOKUP($E142,'A-1 On-Site Habitat Baseline'!$D$1:$X$258,14,FALSE))))</f>
        <v/>
      </c>
      <c r="O142" s="386" t="str">
        <f>IF(E142="","",IF(ISNA(VLOOKUP($E142,'A-1 On-Site Habitat Baseline'!$D$1:$X$258,16,FALSE)),"",(VLOOKUP($E142,'A-1 On-Site Habitat Baseline'!$D$1:$X$258,13,FALSE))))</f>
        <v/>
      </c>
      <c r="P142" s="192" t="str">
        <f>IFERROR(INDEX('G-1 All Habitats'!$AG$3:$AG$17,MATCH(Q142,'G-1 All Habitats'!$AF$3:$AF$17,0)),"")</f>
        <v/>
      </c>
      <c r="Q142" s="193" t="str">
        <f t="shared" si="23"/>
        <v/>
      </c>
      <c r="R142" s="193" t="str">
        <f t="shared" si="23"/>
        <v/>
      </c>
      <c r="S142" s="306" t="str">
        <f>IFERROR(INDEX('G-1 All Habitats'!$B$3:$B$134,MATCH(R142,'G-1 All Habitats'!$A$3:$A$134,0)),"")</f>
        <v/>
      </c>
      <c r="T142" s="362" t="str">
        <f t="shared" si="24"/>
        <v/>
      </c>
      <c r="U142" s="363" t="str">
        <f t="shared" si="25"/>
        <v/>
      </c>
      <c r="V142" s="398" t="str">
        <f t="shared" si="21"/>
        <v/>
      </c>
      <c r="W142" s="382" t="str">
        <f>IF(S142="","",VLOOKUP(S142,'G-1 All Habitats'!$B$2:$M$134,10,FALSE))</f>
        <v/>
      </c>
      <c r="X142" s="382" t="str">
        <f>IFERROR(VLOOKUP(W142,'G-1 All Habitats'!$V$3:$W$7,2,FALSE),"")</f>
        <v/>
      </c>
      <c r="Y142" s="61"/>
      <c r="Z142" s="386" t="str">
        <f>IFERROR(INDEX('G-8 Condition Look up'!$A$3:$H$135,MATCH(S142,'G-8 Condition Look up'!$A$3:$A$135,0),MATCH(Y142,'G-8 Condition Look up'!$A$3:$H$3,0)),"")</f>
        <v/>
      </c>
      <c r="AA142" s="54"/>
      <c r="AB142" s="382" t="str">
        <f>IF(AA142="","",IF(VLOOKUP(AA142,'G-3 Multipliers'!$L$3:$N$6,2,FALSE)=0,"Spatial Data Missing ⚠",VLOOKUP(AA142,'G-3 Multipliers'!$L$3:$N$6,2,FALSE)))</f>
        <v/>
      </c>
      <c r="AC142" s="386" t="str">
        <f>IF(AA142="","",IF(VLOOKUP(AA142,'G-3 Multipliers'!$L$3:$N$6,3,FALSE)=0,"Spatial Data Missing ⚠",VLOOKUP(AA142,'G-3 Multipliers'!$L$3:$N$6,3,FALSE)))</f>
        <v/>
      </c>
      <c r="AD142" s="400" t="str">
        <f t="shared" si="22"/>
        <v/>
      </c>
      <c r="AE142" s="63"/>
      <c r="AF142" s="63"/>
      <c r="AG142" s="370" t="str">
        <f t="shared" si="26"/>
        <v/>
      </c>
      <c r="AH142" s="383" t="str">
        <f t="shared" si="27"/>
        <v/>
      </c>
      <c r="AI142" s="384" t="str">
        <f>IF(AH142="Check Data","Check Data",IFERROR(VLOOKUP(AH142,'G-4 Temporal multipliers'!$A$4:$C$36,3,FALSE),""))</f>
        <v/>
      </c>
      <c r="AJ142" s="362" t="str">
        <f>IF(S142="","",VLOOKUP(S142,'G-3 Multipliers'!$A$2:$E$134,4,FALSE))</f>
        <v/>
      </c>
      <c r="AK142" s="370" t="str">
        <f t="shared" si="28"/>
        <v/>
      </c>
      <c r="AL142" s="370" t="str">
        <f t="shared" si="29"/>
        <v/>
      </c>
      <c r="AM142" s="401" t="str">
        <f>IFERROR(IF(F142="","",IF(AH142="Check Data ⚠","Check Data ⚠",VLOOKUP(AL142, 'G-3 Multipliers'!$P$2:$Q$6,2,FALSE))),"")</f>
        <v/>
      </c>
      <c r="AN142" s="376" t="str">
        <f t="shared" si="30"/>
        <v/>
      </c>
      <c r="AO142" s="194"/>
      <c r="AP142" s="195"/>
      <c r="AQ142" s="120"/>
    </row>
    <row r="143" spans="1:43">
      <c r="A143" s="35" t="str">
        <f>IF(E143="","",IF(ISNA(VLOOKUP($E143,'A-1 On-Site Habitat Baseline'!$D$1:$O$258,2,FALSE)),"",(VLOOKUP($E143,'A-1 On-Site Habitat Baseline'!$D$1:$O$258,2,FALSE))))</f>
        <v/>
      </c>
      <c r="B143" s="35" t="str">
        <f>IF(E143="","",IF(ISNA(VLOOKUP($E143,'A-1 On-Site Habitat Baseline'!$D$1:$O$258,3,FALSE)),"",(VLOOKUP($E143,'A-1 On-Site Habitat Baseline'!$D$1:$O$258,3,FALSE))))</f>
        <v/>
      </c>
      <c r="C143" s="35" t="str">
        <f>IFERROR(INDEX('G-8 Condition Look up'!$I$4:$I$135,MATCH(S143,'G-8 Condition Look up'!$A$4:$A$135,0)),"")</f>
        <v/>
      </c>
      <c r="E143" s="392" t="str">
        <f>'A-1 On-Site Habitat Baseline'!AL142</f>
        <v/>
      </c>
      <c r="F143" s="382" t="str">
        <f>IF(E143="","",IF(ISNA(VLOOKUP($E143,'A-1 On-Site Habitat Baseline'!$D$1:$O$258,4,FALSE)),"",(VLOOKUP($E143,'A-1 On-Site Habitat Baseline'!$D$1:$O$258,4,FALSE))))</f>
        <v/>
      </c>
      <c r="G143" s="382" t="str">
        <f>IF(E143="","",IF(ISNA(VLOOKUP($E143,'A-1 On-Site Habitat Baseline'!$D$1:$O$258,5,FALSE)),"",(VLOOKUP($E143,'A-1 On-Site Habitat Baseline'!$D$1:$O$258,5,FALSE))))</f>
        <v/>
      </c>
      <c r="H143" s="382" t="str">
        <f>IF(E143="","",IF(ISNA(VLOOKUP($E143,'A-1 On-Site Habitat Baseline'!$D$1:$O$258,6,FALSE)),"",(VLOOKUP($E143,'A-1 On-Site Habitat Baseline'!$D$1:$O$258,6,FALSE))))</f>
        <v/>
      </c>
      <c r="I143" s="382" t="str">
        <f>IF(E143="","",IF(ISNA(VLOOKUP($E143,'A-1 On-Site Habitat Baseline'!$D$1:$O$258,7,FALSE)),"",(VLOOKUP($E143,'A-1 On-Site Habitat Baseline'!$D$1:$O$258,7,FALSE))))</f>
        <v/>
      </c>
      <c r="J143" s="382" t="str">
        <f>IF(E143="","",IF(ISNA(VLOOKUP($E143,'A-1 On-Site Habitat Baseline'!$D$1:$O$258,8,FALSE)),"",(VLOOKUP($E143,'A-1 On-Site Habitat Baseline'!$D$1:$O$258,8,FALSE))))</f>
        <v/>
      </c>
      <c r="K143" s="382" t="str">
        <f>IF(E143="","",IF(ISNA(VLOOKUP($E143,'A-1 On-Site Habitat Baseline'!$D$1:$O$258,9,FALSE)),"",(VLOOKUP($E143,'A-1 On-Site Habitat Baseline'!$D$1:$O$258,9,FALSE))))</f>
        <v/>
      </c>
      <c r="L143" s="382" t="str">
        <f>IF(E143="","",IF(ISNA(VLOOKUP($E143,'A-1 On-Site Habitat Baseline'!$D$1:$O$258,11,FALSE)),"",(VLOOKUP($E143,'A-1 On-Site Habitat Baseline'!$D$1:$O$258,11,FALSE))))</f>
        <v/>
      </c>
      <c r="M143" s="382" t="str">
        <f>IF(E143="","",IF(ISNA(VLOOKUP($E143,'A-1 On-Site Habitat Baseline'!$D$1:$O$258,12,FALSE)),"",(VLOOKUP($E143,'A-1 On-Site Habitat Baseline'!$D$1:$O$258,12,FALSE))))</f>
        <v/>
      </c>
      <c r="N143" s="393" t="str">
        <f>IF(E143="","",IF(ISNA(VLOOKUP($E143,'A-1 On-Site Habitat Baseline'!$D$1:$X$258,14,FALSE)),"",(VLOOKUP($E143,'A-1 On-Site Habitat Baseline'!$D$1:$X$258,14,FALSE))))</f>
        <v/>
      </c>
      <c r="O143" s="386" t="str">
        <f>IF(E143="","",IF(ISNA(VLOOKUP($E143,'A-1 On-Site Habitat Baseline'!$D$1:$X$258,16,FALSE)),"",(VLOOKUP($E143,'A-1 On-Site Habitat Baseline'!$D$1:$X$258,13,FALSE))))</f>
        <v/>
      </c>
      <c r="P143" s="192" t="str">
        <f>IFERROR(INDEX('G-1 All Habitats'!$AG$3:$AG$17,MATCH(Q143,'G-1 All Habitats'!$AF$3:$AF$17,0)),"")</f>
        <v/>
      </c>
      <c r="Q143" s="193" t="str">
        <f t="shared" si="23"/>
        <v/>
      </c>
      <c r="R143" s="193" t="str">
        <f t="shared" si="23"/>
        <v/>
      </c>
      <c r="S143" s="306" t="str">
        <f>IFERROR(INDEX('G-1 All Habitats'!$B$3:$B$134,MATCH(R143,'G-1 All Habitats'!$A$3:$A$134,0)),"")</f>
        <v/>
      </c>
      <c r="T143" s="362" t="str">
        <f t="shared" si="24"/>
        <v/>
      </c>
      <c r="U143" s="363" t="str">
        <f t="shared" si="25"/>
        <v/>
      </c>
      <c r="V143" s="398" t="str">
        <f t="shared" si="21"/>
        <v/>
      </c>
      <c r="W143" s="382" t="str">
        <f>IF(S143="","",VLOOKUP(S143,'G-1 All Habitats'!$B$2:$M$134,10,FALSE))</f>
        <v/>
      </c>
      <c r="X143" s="382" t="str">
        <f>IFERROR(VLOOKUP(W143,'G-1 All Habitats'!$V$3:$W$7,2,FALSE),"")</f>
        <v/>
      </c>
      <c r="Y143" s="61"/>
      <c r="Z143" s="386" t="str">
        <f>IFERROR(INDEX('G-8 Condition Look up'!$A$3:$H$135,MATCH(S143,'G-8 Condition Look up'!$A$3:$A$135,0),MATCH(Y143,'G-8 Condition Look up'!$A$3:$H$3,0)),"")</f>
        <v/>
      </c>
      <c r="AA143" s="54"/>
      <c r="AB143" s="382" t="str">
        <f>IF(AA143="","",IF(VLOOKUP(AA143,'G-3 Multipliers'!$L$3:$N$6,2,FALSE)=0,"Spatial Data Missing ⚠",VLOOKUP(AA143,'G-3 Multipliers'!$L$3:$N$6,2,FALSE)))</f>
        <v/>
      </c>
      <c r="AC143" s="386" t="str">
        <f>IF(AA143="","",IF(VLOOKUP(AA143,'G-3 Multipliers'!$L$3:$N$6,3,FALSE)=0,"Spatial Data Missing ⚠",VLOOKUP(AA143,'G-3 Multipliers'!$L$3:$N$6,3,FALSE)))</f>
        <v/>
      </c>
      <c r="AD143" s="400" t="str">
        <f t="shared" si="22"/>
        <v/>
      </c>
      <c r="AE143" s="63"/>
      <c r="AF143" s="63"/>
      <c r="AG143" s="370" t="str">
        <f t="shared" si="26"/>
        <v/>
      </c>
      <c r="AH143" s="383" t="str">
        <f t="shared" si="27"/>
        <v/>
      </c>
      <c r="AI143" s="384" t="str">
        <f>IF(AH143="Check Data","Check Data",IFERROR(VLOOKUP(AH143,'G-4 Temporal multipliers'!$A$4:$C$36,3,FALSE),""))</f>
        <v/>
      </c>
      <c r="AJ143" s="362" t="str">
        <f>IF(S143="","",VLOOKUP(S143,'G-3 Multipliers'!$A$2:$E$134,4,FALSE))</f>
        <v/>
      </c>
      <c r="AK143" s="370" t="str">
        <f t="shared" si="28"/>
        <v/>
      </c>
      <c r="AL143" s="370" t="str">
        <f t="shared" si="29"/>
        <v/>
      </c>
      <c r="AM143" s="401" t="str">
        <f>IFERROR(IF(F143="","",IF(AH143="Check Data ⚠","Check Data ⚠",VLOOKUP(AL143, 'G-3 Multipliers'!$P$2:$Q$6,2,FALSE))),"")</f>
        <v/>
      </c>
      <c r="AN143" s="376" t="str">
        <f t="shared" si="30"/>
        <v/>
      </c>
      <c r="AO143" s="194"/>
      <c r="AP143" s="195"/>
      <c r="AQ143" s="120"/>
    </row>
    <row r="144" spans="1:43">
      <c r="A144" s="35" t="str">
        <f>IF(E144="","",IF(ISNA(VLOOKUP($E144,'A-1 On-Site Habitat Baseline'!$D$1:$O$258,2,FALSE)),"",(VLOOKUP($E144,'A-1 On-Site Habitat Baseline'!$D$1:$O$258,2,FALSE))))</f>
        <v/>
      </c>
      <c r="B144" s="35" t="str">
        <f>IF(E144="","",IF(ISNA(VLOOKUP($E144,'A-1 On-Site Habitat Baseline'!$D$1:$O$258,3,FALSE)),"",(VLOOKUP($E144,'A-1 On-Site Habitat Baseline'!$D$1:$O$258,3,FALSE))))</f>
        <v/>
      </c>
      <c r="C144" s="35" t="str">
        <f>IFERROR(INDEX('G-8 Condition Look up'!$I$4:$I$135,MATCH(S144,'G-8 Condition Look up'!$A$4:$A$135,0)),"")</f>
        <v/>
      </c>
      <c r="E144" s="392" t="str">
        <f>'A-1 On-Site Habitat Baseline'!AL143</f>
        <v/>
      </c>
      <c r="F144" s="382" t="str">
        <f>IF(E144="","",IF(ISNA(VLOOKUP($E144,'A-1 On-Site Habitat Baseline'!$D$1:$O$258,4,FALSE)),"",(VLOOKUP($E144,'A-1 On-Site Habitat Baseline'!$D$1:$O$258,4,FALSE))))</f>
        <v/>
      </c>
      <c r="G144" s="382" t="str">
        <f>IF(E144="","",IF(ISNA(VLOOKUP($E144,'A-1 On-Site Habitat Baseline'!$D$1:$O$258,5,FALSE)),"",(VLOOKUP($E144,'A-1 On-Site Habitat Baseline'!$D$1:$O$258,5,FALSE))))</f>
        <v/>
      </c>
      <c r="H144" s="382" t="str">
        <f>IF(E144="","",IF(ISNA(VLOOKUP($E144,'A-1 On-Site Habitat Baseline'!$D$1:$O$258,6,FALSE)),"",(VLOOKUP($E144,'A-1 On-Site Habitat Baseline'!$D$1:$O$258,6,FALSE))))</f>
        <v/>
      </c>
      <c r="I144" s="382" t="str">
        <f>IF(E144="","",IF(ISNA(VLOOKUP($E144,'A-1 On-Site Habitat Baseline'!$D$1:$O$258,7,FALSE)),"",(VLOOKUP($E144,'A-1 On-Site Habitat Baseline'!$D$1:$O$258,7,FALSE))))</f>
        <v/>
      </c>
      <c r="J144" s="382" t="str">
        <f>IF(E144="","",IF(ISNA(VLOOKUP($E144,'A-1 On-Site Habitat Baseline'!$D$1:$O$258,8,FALSE)),"",(VLOOKUP($E144,'A-1 On-Site Habitat Baseline'!$D$1:$O$258,8,FALSE))))</f>
        <v/>
      </c>
      <c r="K144" s="382" t="str">
        <f>IF(E144="","",IF(ISNA(VLOOKUP($E144,'A-1 On-Site Habitat Baseline'!$D$1:$O$258,9,FALSE)),"",(VLOOKUP($E144,'A-1 On-Site Habitat Baseline'!$D$1:$O$258,9,FALSE))))</f>
        <v/>
      </c>
      <c r="L144" s="382" t="str">
        <f>IF(E144="","",IF(ISNA(VLOOKUP($E144,'A-1 On-Site Habitat Baseline'!$D$1:$O$258,11,FALSE)),"",(VLOOKUP($E144,'A-1 On-Site Habitat Baseline'!$D$1:$O$258,11,FALSE))))</f>
        <v/>
      </c>
      <c r="M144" s="382" t="str">
        <f>IF(E144="","",IF(ISNA(VLOOKUP($E144,'A-1 On-Site Habitat Baseline'!$D$1:$O$258,12,FALSE)),"",(VLOOKUP($E144,'A-1 On-Site Habitat Baseline'!$D$1:$O$258,12,FALSE))))</f>
        <v/>
      </c>
      <c r="N144" s="393" t="str">
        <f>IF(E144="","",IF(ISNA(VLOOKUP($E144,'A-1 On-Site Habitat Baseline'!$D$1:$X$258,14,FALSE)),"",(VLOOKUP($E144,'A-1 On-Site Habitat Baseline'!$D$1:$X$258,14,FALSE))))</f>
        <v/>
      </c>
      <c r="O144" s="386" t="str">
        <f>IF(E144="","",IF(ISNA(VLOOKUP($E144,'A-1 On-Site Habitat Baseline'!$D$1:$X$258,16,FALSE)),"",(VLOOKUP($E144,'A-1 On-Site Habitat Baseline'!$D$1:$X$258,13,FALSE))))</f>
        <v/>
      </c>
      <c r="P144" s="192" t="str">
        <f>IFERROR(INDEX('G-1 All Habitats'!$AG$3:$AG$17,MATCH(Q144,'G-1 All Habitats'!$AF$3:$AF$17,0)),"")</f>
        <v/>
      </c>
      <c r="Q144" s="193" t="str">
        <f t="shared" si="23"/>
        <v/>
      </c>
      <c r="R144" s="193" t="str">
        <f t="shared" si="23"/>
        <v/>
      </c>
      <c r="S144" s="306" t="str">
        <f>IFERROR(INDEX('G-1 All Habitats'!$B$3:$B$134,MATCH(R144,'G-1 All Habitats'!$A$3:$A$134,0)),"")</f>
        <v/>
      </c>
      <c r="T144" s="362" t="str">
        <f t="shared" si="24"/>
        <v/>
      </c>
      <c r="U144" s="363" t="str">
        <f t="shared" si="25"/>
        <v/>
      </c>
      <c r="V144" s="398" t="str">
        <f t="shared" si="21"/>
        <v/>
      </c>
      <c r="W144" s="382" t="str">
        <f>IF(S144="","",VLOOKUP(S144,'G-1 All Habitats'!$B$2:$M$134,10,FALSE))</f>
        <v/>
      </c>
      <c r="X144" s="382" t="str">
        <f>IFERROR(VLOOKUP(W144,'G-1 All Habitats'!$V$3:$W$7,2,FALSE),"")</f>
        <v/>
      </c>
      <c r="Y144" s="61"/>
      <c r="Z144" s="386" t="str">
        <f>IFERROR(INDEX('G-8 Condition Look up'!$A$3:$H$135,MATCH(S144,'G-8 Condition Look up'!$A$3:$A$135,0),MATCH(Y144,'G-8 Condition Look up'!$A$3:$H$3,0)),"")</f>
        <v/>
      </c>
      <c r="AA144" s="54"/>
      <c r="AB144" s="382" t="str">
        <f>IF(AA144="","",IF(VLOOKUP(AA144,'G-3 Multipliers'!$L$3:$N$6,2,FALSE)=0,"Spatial Data Missing ⚠",VLOOKUP(AA144,'G-3 Multipliers'!$L$3:$N$6,2,FALSE)))</f>
        <v/>
      </c>
      <c r="AC144" s="386" t="str">
        <f>IF(AA144="","",IF(VLOOKUP(AA144,'G-3 Multipliers'!$L$3:$N$6,3,FALSE)=0,"Spatial Data Missing ⚠",VLOOKUP(AA144,'G-3 Multipliers'!$L$3:$N$6,3,FALSE)))</f>
        <v/>
      </c>
      <c r="AD144" s="400" t="str">
        <f t="shared" si="22"/>
        <v/>
      </c>
      <c r="AE144" s="63"/>
      <c r="AF144" s="63"/>
      <c r="AG144" s="370" t="str">
        <f t="shared" si="26"/>
        <v/>
      </c>
      <c r="AH144" s="383" t="str">
        <f t="shared" si="27"/>
        <v/>
      </c>
      <c r="AI144" s="384" t="str">
        <f>IF(AH144="Check Data","Check Data",IFERROR(VLOOKUP(AH144,'G-4 Temporal multipliers'!$A$4:$C$36,3,FALSE),""))</f>
        <v/>
      </c>
      <c r="AJ144" s="362" t="str">
        <f>IF(S144="","",VLOOKUP(S144,'G-3 Multipliers'!$A$2:$E$134,4,FALSE))</f>
        <v/>
      </c>
      <c r="AK144" s="370" t="str">
        <f t="shared" si="28"/>
        <v/>
      </c>
      <c r="AL144" s="370" t="str">
        <f t="shared" si="29"/>
        <v/>
      </c>
      <c r="AM144" s="401" t="str">
        <f>IFERROR(IF(F144="","",IF(AH144="Check Data ⚠","Check Data ⚠",VLOOKUP(AL144, 'G-3 Multipliers'!$P$2:$Q$6,2,FALSE))),"")</f>
        <v/>
      </c>
      <c r="AN144" s="376" t="str">
        <f t="shared" si="30"/>
        <v/>
      </c>
      <c r="AO144" s="194"/>
      <c r="AP144" s="195"/>
      <c r="AQ144" s="120"/>
    </row>
    <row r="145" spans="1:43">
      <c r="A145" s="35" t="str">
        <f>IF(E145="","",IF(ISNA(VLOOKUP($E145,'A-1 On-Site Habitat Baseline'!$D$1:$O$258,2,FALSE)),"",(VLOOKUP($E145,'A-1 On-Site Habitat Baseline'!$D$1:$O$258,2,FALSE))))</f>
        <v/>
      </c>
      <c r="B145" s="35" t="str">
        <f>IF(E145="","",IF(ISNA(VLOOKUP($E145,'A-1 On-Site Habitat Baseline'!$D$1:$O$258,3,FALSE)),"",(VLOOKUP($E145,'A-1 On-Site Habitat Baseline'!$D$1:$O$258,3,FALSE))))</f>
        <v/>
      </c>
      <c r="C145" s="35" t="str">
        <f>IFERROR(INDEX('G-8 Condition Look up'!$I$4:$I$135,MATCH(S145,'G-8 Condition Look up'!$A$4:$A$135,0)),"")</f>
        <v/>
      </c>
      <c r="E145" s="392" t="str">
        <f>'A-1 On-Site Habitat Baseline'!AL144</f>
        <v/>
      </c>
      <c r="F145" s="382" t="str">
        <f>IF(E145="","",IF(ISNA(VLOOKUP($E145,'A-1 On-Site Habitat Baseline'!$D$1:$O$258,4,FALSE)),"",(VLOOKUP($E145,'A-1 On-Site Habitat Baseline'!$D$1:$O$258,4,FALSE))))</f>
        <v/>
      </c>
      <c r="G145" s="382" t="str">
        <f>IF(E145="","",IF(ISNA(VLOOKUP($E145,'A-1 On-Site Habitat Baseline'!$D$1:$O$258,5,FALSE)),"",(VLOOKUP($E145,'A-1 On-Site Habitat Baseline'!$D$1:$O$258,5,FALSE))))</f>
        <v/>
      </c>
      <c r="H145" s="382" t="str">
        <f>IF(E145="","",IF(ISNA(VLOOKUP($E145,'A-1 On-Site Habitat Baseline'!$D$1:$O$258,6,FALSE)),"",(VLOOKUP($E145,'A-1 On-Site Habitat Baseline'!$D$1:$O$258,6,FALSE))))</f>
        <v/>
      </c>
      <c r="I145" s="382" t="str">
        <f>IF(E145="","",IF(ISNA(VLOOKUP($E145,'A-1 On-Site Habitat Baseline'!$D$1:$O$258,7,FALSE)),"",(VLOOKUP($E145,'A-1 On-Site Habitat Baseline'!$D$1:$O$258,7,FALSE))))</f>
        <v/>
      </c>
      <c r="J145" s="382" t="str">
        <f>IF(E145="","",IF(ISNA(VLOOKUP($E145,'A-1 On-Site Habitat Baseline'!$D$1:$O$258,8,FALSE)),"",(VLOOKUP($E145,'A-1 On-Site Habitat Baseline'!$D$1:$O$258,8,FALSE))))</f>
        <v/>
      </c>
      <c r="K145" s="382" t="str">
        <f>IF(E145="","",IF(ISNA(VLOOKUP($E145,'A-1 On-Site Habitat Baseline'!$D$1:$O$258,9,FALSE)),"",(VLOOKUP($E145,'A-1 On-Site Habitat Baseline'!$D$1:$O$258,9,FALSE))))</f>
        <v/>
      </c>
      <c r="L145" s="382" t="str">
        <f>IF(E145="","",IF(ISNA(VLOOKUP($E145,'A-1 On-Site Habitat Baseline'!$D$1:$O$258,11,FALSE)),"",(VLOOKUP($E145,'A-1 On-Site Habitat Baseline'!$D$1:$O$258,11,FALSE))))</f>
        <v/>
      </c>
      <c r="M145" s="382" t="str">
        <f>IF(E145="","",IF(ISNA(VLOOKUP($E145,'A-1 On-Site Habitat Baseline'!$D$1:$O$258,12,FALSE)),"",(VLOOKUP($E145,'A-1 On-Site Habitat Baseline'!$D$1:$O$258,12,FALSE))))</f>
        <v/>
      </c>
      <c r="N145" s="393" t="str">
        <f>IF(E145="","",IF(ISNA(VLOOKUP($E145,'A-1 On-Site Habitat Baseline'!$D$1:$X$258,14,FALSE)),"",(VLOOKUP($E145,'A-1 On-Site Habitat Baseline'!$D$1:$X$258,14,FALSE))))</f>
        <v/>
      </c>
      <c r="O145" s="386" t="str">
        <f>IF(E145="","",IF(ISNA(VLOOKUP($E145,'A-1 On-Site Habitat Baseline'!$D$1:$X$258,16,FALSE)),"",(VLOOKUP($E145,'A-1 On-Site Habitat Baseline'!$D$1:$X$258,13,FALSE))))</f>
        <v/>
      </c>
      <c r="P145" s="192" t="str">
        <f>IFERROR(INDEX('G-1 All Habitats'!$AG$3:$AG$17,MATCH(Q145,'G-1 All Habitats'!$AF$3:$AF$17,0)),"")</f>
        <v/>
      </c>
      <c r="Q145" s="193" t="str">
        <f t="shared" si="23"/>
        <v/>
      </c>
      <c r="R145" s="193" t="str">
        <f t="shared" si="23"/>
        <v/>
      </c>
      <c r="S145" s="306" t="str">
        <f>IFERROR(INDEX('G-1 All Habitats'!$B$3:$B$134,MATCH(R145,'G-1 All Habitats'!$A$3:$A$134,0)),"")</f>
        <v/>
      </c>
      <c r="T145" s="362" t="str">
        <f t="shared" si="24"/>
        <v/>
      </c>
      <c r="U145" s="363" t="str">
        <f t="shared" si="25"/>
        <v/>
      </c>
      <c r="V145" s="398" t="str">
        <f t="shared" si="21"/>
        <v/>
      </c>
      <c r="W145" s="382" t="str">
        <f>IF(S145="","",VLOOKUP(S145,'G-1 All Habitats'!$B$2:$M$134,10,FALSE))</f>
        <v/>
      </c>
      <c r="X145" s="382" t="str">
        <f>IFERROR(VLOOKUP(W145,'G-1 All Habitats'!$V$3:$W$7,2,FALSE),"")</f>
        <v/>
      </c>
      <c r="Y145" s="61"/>
      <c r="Z145" s="386" t="str">
        <f>IFERROR(INDEX('G-8 Condition Look up'!$A$3:$H$135,MATCH(S145,'G-8 Condition Look up'!$A$3:$A$135,0),MATCH(Y145,'G-8 Condition Look up'!$A$3:$H$3,0)),"")</f>
        <v/>
      </c>
      <c r="AA145" s="54"/>
      <c r="AB145" s="382" t="str">
        <f>IF(AA145="","",IF(VLOOKUP(AA145,'G-3 Multipliers'!$L$3:$N$6,2,FALSE)=0,"Spatial Data Missing ⚠",VLOOKUP(AA145,'G-3 Multipliers'!$L$3:$N$6,2,FALSE)))</f>
        <v/>
      </c>
      <c r="AC145" s="386" t="str">
        <f>IF(AA145="","",IF(VLOOKUP(AA145,'G-3 Multipliers'!$L$3:$N$6,3,FALSE)=0,"Spatial Data Missing ⚠",VLOOKUP(AA145,'G-3 Multipliers'!$L$3:$N$6,3,FALSE)))</f>
        <v/>
      </c>
      <c r="AD145" s="400" t="str">
        <f t="shared" si="22"/>
        <v/>
      </c>
      <c r="AE145" s="63"/>
      <c r="AF145" s="63"/>
      <c r="AG145" s="370" t="str">
        <f t="shared" si="26"/>
        <v/>
      </c>
      <c r="AH145" s="383" t="str">
        <f t="shared" si="27"/>
        <v/>
      </c>
      <c r="AI145" s="384" t="str">
        <f>IF(AH145="Check Data","Check Data",IFERROR(VLOOKUP(AH145,'G-4 Temporal multipliers'!$A$4:$C$36,3,FALSE),""))</f>
        <v/>
      </c>
      <c r="AJ145" s="362" t="str">
        <f>IF(S145="","",VLOOKUP(S145,'G-3 Multipliers'!$A$2:$E$134,4,FALSE))</f>
        <v/>
      </c>
      <c r="AK145" s="370" t="str">
        <f t="shared" si="28"/>
        <v/>
      </c>
      <c r="AL145" s="370" t="str">
        <f t="shared" si="29"/>
        <v/>
      </c>
      <c r="AM145" s="401" t="str">
        <f>IFERROR(IF(F145="","",IF(AH145="Check Data ⚠","Check Data ⚠",VLOOKUP(AL145, 'G-3 Multipliers'!$P$2:$Q$6,2,FALSE))),"")</f>
        <v/>
      </c>
      <c r="AN145" s="376" t="str">
        <f t="shared" si="30"/>
        <v/>
      </c>
      <c r="AO145" s="194"/>
      <c r="AP145" s="195"/>
      <c r="AQ145" s="120"/>
    </row>
    <row r="146" spans="1:43">
      <c r="A146" s="35" t="str">
        <f>IF(E146="","",IF(ISNA(VLOOKUP($E146,'A-1 On-Site Habitat Baseline'!$D$1:$O$258,2,FALSE)),"",(VLOOKUP($E146,'A-1 On-Site Habitat Baseline'!$D$1:$O$258,2,FALSE))))</f>
        <v/>
      </c>
      <c r="B146" s="35" t="str">
        <f>IF(E146="","",IF(ISNA(VLOOKUP($E146,'A-1 On-Site Habitat Baseline'!$D$1:$O$258,3,FALSE)),"",(VLOOKUP($E146,'A-1 On-Site Habitat Baseline'!$D$1:$O$258,3,FALSE))))</f>
        <v/>
      </c>
      <c r="C146" s="35" t="str">
        <f>IFERROR(INDEX('G-8 Condition Look up'!$I$4:$I$135,MATCH(S146,'G-8 Condition Look up'!$A$4:$A$135,0)),"")</f>
        <v/>
      </c>
      <c r="E146" s="392" t="str">
        <f>'A-1 On-Site Habitat Baseline'!AL145</f>
        <v/>
      </c>
      <c r="F146" s="382" t="str">
        <f>IF(E146="","",IF(ISNA(VLOOKUP($E146,'A-1 On-Site Habitat Baseline'!$D$1:$O$258,4,FALSE)),"",(VLOOKUP($E146,'A-1 On-Site Habitat Baseline'!$D$1:$O$258,4,FALSE))))</f>
        <v/>
      </c>
      <c r="G146" s="382" t="str">
        <f>IF(E146="","",IF(ISNA(VLOOKUP($E146,'A-1 On-Site Habitat Baseline'!$D$1:$O$258,5,FALSE)),"",(VLOOKUP($E146,'A-1 On-Site Habitat Baseline'!$D$1:$O$258,5,FALSE))))</f>
        <v/>
      </c>
      <c r="H146" s="382" t="str">
        <f>IF(E146="","",IF(ISNA(VLOOKUP($E146,'A-1 On-Site Habitat Baseline'!$D$1:$O$258,6,FALSE)),"",(VLOOKUP($E146,'A-1 On-Site Habitat Baseline'!$D$1:$O$258,6,FALSE))))</f>
        <v/>
      </c>
      <c r="I146" s="382" t="str">
        <f>IF(E146="","",IF(ISNA(VLOOKUP($E146,'A-1 On-Site Habitat Baseline'!$D$1:$O$258,7,FALSE)),"",(VLOOKUP($E146,'A-1 On-Site Habitat Baseline'!$D$1:$O$258,7,FALSE))))</f>
        <v/>
      </c>
      <c r="J146" s="382" t="str">
        <f>IF(E146="","",IF(ISNA(VLOOKUP($E146,'A-1 On-Site Habitat Baseline'!$D$1:$O$258,8,FALSE)),"",(VLOOKUP($E146,'A-1 On-Site Habitat Baseline'!$D$1:$O$258,8,FALSE))))</f>
        <v/>
      </c>
      <c r="K146" s="382" t="str">
        <f>IF(E146="","",IF(ISNA(VLOOKUP($E146,'A-1 On-Site Habitat Baseline'!$D$1:$O$258,9,FALSE)),"",(VLOOKUP($E146,'A-1 On-Site Habitat Baseline'!$D$1:$O$258,9,FALSE))))</f>
        <v/>
      </c>
      <c r="L146" s="382" t="str">
        <f>IF(E146="","",IF(ISNA(VLOOKUP($E146,'A-1 On-Site Habitat Baseline'!$D$1:$O$258,11,FALSE)),"",(VLOOKUP($E146,'A-1 On-Site Habitat Baseline'!$D$1:$O$258,11,FALSE))))</f>
        <v/>
      </c>
      <c r="M146" s="382" t="str">
        <f>IF(E146="","",IF(ISNA(VLOOKUP($E146,'A-1 On-Site Habitat Baseline'!$D$1:$O$258,12,FALSE)),"",(VLOOKUP($E146,'A-1 On-Site Habitat Baseline'!$D$1:$O$258,12,FALSE))))</f>
        <v/>
      </c>
      <c r="N146" s="393" t="str">
        <f>IF(E146="","",IF(ISNA(VLOOKUP($E146,'A-1 On-Site Habitat Baseline'!$D$1:$X$258,14,FALSE)),"",(VLOOKUP($E146,'A-1 On-Site Habitat Baseline'!$D$1:$X$258,14,FALSE))))</f>
        <v/>
      </c>
      <c r="O146" s="386" t="str">
        <f>IF(E146="","",IF(ISNA(VLOOKUP($E146,'A-1 On-Site Habitat Baseline'!$D$1:$X$258,16,FALSE)),"",(VLOOKUP($E146,'A-1 On-Site Habitat Baseline'!$D$1:$X$258,13,FALSE))))</f>
        <v/>
      </c>
      <c r="P146" s="192" t="str">
        <f>IFERROR(INDEX('G-1 All Habitats'!$AG$3:$AG$17,MATCH(Q146,'G-1 All Habitats'!$AF$3:$AF$17,0)),"")</f>
        <v/>
      </c>
      <c r="Q146" s="193" t="str">
        <f t="shared" si="23"/>
        <v/>
      </c>
      <c r="R146" s="193" t="str">
        <f t="shared" si="23"/>
        <v/>
      </c>
      <c r="S146" s="306" t="str">
        <f>IFERROR(INDEX('G-1 All Habitats'!$B$3:$B$134,MATCH(R146,'G-1 All Habitats'!$A$3:$A$134,0)),"")</f>
        <v/>
      </c>
      <c r="T146" s="362" t="str">
        <f t="shared" si="24"/>
        <v/>
      </c>
      <c r="U146" s="363" t="str">
        <f t="shared" si="25"/>
        <v/>
      </c>
      <c r="V146" s="398" t="str">
        <f t="shared" si="21"/>
        <v/>
      </c>
      <c r="W146" s="382" t="str">
        <f>IF(S146="","",VLOOKUP(S146,'G-1 All Habitats'!$B$2:$M$134,10,FALSE))</f>
        <v/>
      </c>
      <c r="X146" s="382" t="str">
        <f>IFERROR(VLOOKUP(W146,'G-1 All Habitats'!$V$3:$W$7,2,FALSE),"")</f>
        <v/>
      </c>
      <c r="Y146" s="61"/>
      <c r="Z146" s="386" t="str">
        <f>IFERROR(INDEX('G-8 Condition Look up'!$A$3:$H$135,MATCH(S146,'G-8 Condition Look up'!$A$3:$A$135,0),MATCH(Y146,'G-8 Condition Look up'!$A$3:$H$3,0)),"")</f>
        <v/>
      </c>
      <c r="AA146" s="54"/>
      <c r="AB146" s="382" t="str">
        <f>IF(AA146="","",IF(VLOOKUP(AA146,'G-3 Multipliers'!$L$3:$N$6,2,FALSE)=0,"Spatial Data Missing ⚠",VLOOKUP(AA146,'G-3 Multipliers'!$L$3:$N$6,2,FALSE)))</f>
        <v/>
      </c>
      <c r="AC146" s="386" t="str">
        <f>IF(AA146="","",IF(VLOOKUP(AA146,'G-3 Multipliers'!$L$3:$N$6,3,FALSE)=0,"Spatial Data Missing ⚠",VLOOKUP(AA146,'G-3 Multipliers'!$L$3:$N$6,3,FALSE)))</f>
        <v/>
      </c>
      <c r="AD146" s="400" t="str">
        <f t="shared" si="22"/>
        <v/>
      </c>
      <c r="AE146" s="63"/>
      <c r="AF146" s="63"/>
      <c r="AG146" s="370" t="str">
        <f t="shared" si="26"/>
        <v/>
      </c>
      <c r="AH146" s="383" t="str">
        <f t="shared" si="27"/>
        <v/>
      </c>
      <c r="AI146" s="384" t="str">
        <f>IF(AH146="Check Data","Check Data",IFERROR(VLOOKUP(AH146,'G-4 Temporal multipliers'!$A$4:$C$36,3,FALSE),""))</f>
        <v/>
      </c>
      <c r="AJ146" s="362" t="str">
        <f>IF(S146="","",VLOOKUP(S146,'G-3 Multipliers'!$A$2:$E$134,4,FALSE))</f>
        <v/>
      </c>
      <c r="AK146" s="370" t="str">
        <f t="shared" si="28"/>
        <v/>
      </c>
      <c r="AL146" s="370" t="str">
        <f t="shared" si="29"/>
        <v/>
      </c>
      <c r="AM146" s="401" t="str">
        <f>IFERROR(IF(F146="","",IF(AH146="Check Data ⚠","Check Data ⚠",VLOOKUP(AL146, 'G-3 Multipliers'!$P$2:$Q$6,2,FALSE))),"")</f>
        <v/>
      </c>
      <c r="AN146" s="376" t="str">
        <f t="shared" si="30"/>
        <v/>
      </c>
      <c r="AO146" s="194"/>
      <c r="AP146" s="195"/>
      <c r="AQ146" s="120"/>
    </row>
    <row r="147" spans="1:43">
      <c r="A147" s="35" t="str">
        <f>IF(E147="","",IF(ISNA(VLOOKUP($E147,'A-1 On-Site Habitat Baseline'!$D$1:$O$258,2,FALSE)),"",(VLOOKUP($E147,'A-1 On-Site Habitat Baseline'!$D$1:$O$258,2,FALSE))))</f>
        <v/>
      </c>
      <c r="B147" s="35" t="str">
        <f>IF(E147="","",IF(ISNA(VLOOKUP($E147,'A-1 On-Site Habitat Baseline'!$D$1:$O$258,3,FALSE)),"",(VLOOKUP($E147,'A-1 On-Site Habitat Baseline'!$D$1:$O$258,3,FALSE))))</f>
        <v/>
      </c>
      <c r="C147" s="35" t="str">
        <f>IFERROR(INDEX('G-8 Condition Look up'!$I$4:$I$135,MATCH(S147,'G-8 Condition Look up'!$A$4:$A$135,0)),"")</f>
        <v/>
      </c>
      <c r="E147" s="392" t="str">
        <f>'A-1 On-Site Habitat Baseline'!AL146</f>
        <v/>
      </c>
      <c r="F147" s="382" t="str">
        <f>IF(E147="","",IF(ISNA(VLOOKUP($E147,'A-1 On-Site Habitat Baseline'!$D$1:$O$258,4,FALSE)),"",(VLOOKUP($E147,'A-1 On-Site Habitat Baseline'!$D$1:$O$258,4,FALSE))))</f>
        <v/>
      </c>
      <c r="G147" s="382" t="str">
        <f>IF(E147="","",IF(ISNA(VLOOKUP($E147,'A-1 On-Site Habitat Baseline'!$D$1:$O$258,5,FALSE)),"",(VLOOKUP($E147,'A-1 On-Site Habitat Baseline'!$D$1:$O$258,5,FALSE))))</f>
        <v/>
      </c>
      <c r="H147" s="382" t="str">
        <f>IF(E147="","",IF(ISNA(VLOOKUP($E147,'A-1 On-Site Habitat Baseline'!$D$1:$O$258,6,FALSE)),"",(VLOOKUP($E147,'A-1 On-Site Habitat Baseline'!$D$1:$O$258,6,FALSE))))</f>
        <v/>
      </c>
      <c r="I147" s="382" t="str">
        <f>IF(E147="","",IF(ISNA(VLOOKUP($E147,'A-1 On-Site Habitat Baseline'!$D$1:$O$258,7,FALSE)),"",(VLOOKUP($E147,'A-1 On-Site Habitat Baseline'!$D$1:$O$258,7,FALSE))))</f>
        <v/>
      </c>
      <c r="J147" s="382" t="str">
        <f>IF(E147="","",IF(ISNA(VLOOKUP($E147,'A-1 On-Site Habitat Baseline'!$D$1:$O$258,8,FALSE)),"",(VLOOKUP($E147,'A-1 On-Site Habitat Baseline'!$D$1:$O$258,8,FALSE))))</f>
        <v/>
      </c>
      <c r="K147" s="382" t="str">
        <f>IF(E147="","",IF(ISNA(VLOOKUP($E147,'A-1 On-Site Habitat Baseline'!$D$1:$O$258,9,FALSE)),"",(VLOOKUP($E147,'A-1 On-Site Habitat Baseline'!$D$1:$O$258,9,FALSE))))</f>
        <v/>
      </c>
      <c r="L147" s="382" t="str">
        <f>IF(E147="","",IF(ISNA(VLOOKUP($E147,'A-1 On-Site Habitat Baseline'!$D$1:$O$258,11,FALSE)),"",(VLOOKUP($E147,'A-1 On-Site Habitat Baseline'!$D$1:$O$258,11,FALSE))))</f>
        <v/>
      </c>
      <c r="M147" s="382" t="str">
        <f>IF(E147="","",IF(ISNA(VLOOKUP($E147,'A-1 On-Site Habitat Baseline'!$D$1:$O$258,12,FALSE)),"",(VLOOKUP($E147,'A-1 On-Site Habitat Baseline'!$D$1:$O$258,12,FALSE))))</f>
        <v/>
      </c>
      <c r="N147" s="393" t="str">
        <f>IF(E147="","",IF(ISNA(VLOOKUP($E147,'A-1 On-Site Habitat Baseline'!$D$1:$X$258,14,FALSE)),"",(VLOOKUP($E147,'A-1 On-Site Habitat Baseline'!$D$1:$X$258,14,FALSE))))</f>
        <v/>
      </c>
      <c r="O147" s="386" t="str">
        <f>IF(E147="","",IF(ISNA(VLOOKUP($E147,'A-1 On-Site Habitat Baseline'!$D$1:$X$258,16,FALSE)),"",(VLOOKUP($E147,'A-1 On-Site Habitat Baseline'!$D$1:$X$258,13,FALSE))))</f>
        <v/>
      </c>
      <c r="P147" s="192" t="str">
        <f>IFERROR(INDEX('G-1 All Habitats'!$AG$3:$AG$17,MATCH(Q147,'G-1 All Habitats'!$AF$3:$AF$17,0)),"")</f>
        <v/>
      </c>
      <c r="Q147" s="193" t="str">
        <f t="shared" si="23"/>
        <v/>
      </c>
      <c r="R147" s="193" t="str">
        <f t="shared" si="23"/>
        <v/>
      </c>
      <c r="S147" s="306" t="str">
        <f>IFERROR(INDEX('G-1 All Habitats'!$B$3:$B$134,MATCH(R147,'G-1 All Habitats'!$A$3:$A$134,0)),"")</f>
        <v/>
      </c>
      <c r="T147" s="362" t="str">
        <f t="shared" si="24"/>
        <v/>
      </c>
      <c r="U147" s="363" t="str">
        <f t="shared" si="25"/>
        <v/>
      </c>
      <c r="V147" s="398" t="str">
        <f t="shared" si="21"/>
        <v/>
      </c>
      <c r="W147" s="382" t="str">
        <f>IF(S147="","",VLOOKUP(S147,'G-1 All Habitats'!$B$2:$M$134,10,FALSE))</f>
        <v/>
      </c>
      <c r="X147" s="382" t="str">
        <f>IFERROR(VLOOKUP(W147,'G-1 All Habitats'!$V$3:$W$7,2,FALSE),"")</f>
        <v/>
      </c>
      <c r="Y147" s="61"/>
      <c r="Z147" s="386" t="str">
        <f>IFERROR(INDEX('G-8 Condition Look up'!$A$3:$H$135,MATCH(S147,'G-8 Condition Look up'!$A$3:$A$135,0),MATCH(Y147,'G-8 Condition Look up'!$A$3:$H$3,0)),"")</f>
        <v/>
      </c>
      <c r="AA147" s="54"/>
      <c r="AB147" s="382" t="str">
        <f>IF(AA147="","",IF(VLOOKUP(AA147,'G-3 Multipliers'!$L$3:$N$6,2,FALSE)=0,"Spatial Data Missing ⚠",VLOOKUP(AA147,'G-3 Multipliers'!$L$3:$N$6,2,FALSE)))</f>
        <v/>
      </c>
      <c r="AC147" s="386" t="str">
        <f>IF(AA147="","",IF(VLOOKUP(AA147,'G-3 Multipliers'!$L$3:$N$6,3,FALSE)=0,"Spatial Data Missing ⚠",VLOOKUP(AA147,'G-3 Multipliers'!$L$3:$N$6,3,FALSE)))</f>
        <v/>
      </c>
      <c r="AD147" s="400" t="str">
        <f t="shared" si="22"/>
        <v/>
      </c>
      <c r="AE147" s="63"/>
      <c r="AF147" s="63"/>
      <c r="AG147" s="370" t="str">
        <f t="shared" si="26"/>
        <v/>
      </c>
      <c r="AH147" s="383" t="str">
        <f t="shared" si="27"/>
        <v/>
      </c>
      <c r="AI147" s="384" t="str">
        <f>IF(AH147="Check Data","Check Data",IFERROR(VLOOKUP(AH147,'G-4 Temporal multipliers'!$A$4:$C$36,3,FALSE),""))</f>
        <v/>
      </c>
      <c r="AJ147" s="362" t="str">
        <f>IF(S147="","",VLOOKUP(S147,'G-3 Multipliers'!$A$2:$E$134,4,FALSE))</f>
        <v/>
      </c>
      <c r="AK147" s="370" t="str">
        <f t="shared" si="28"/>
        <v/>
      </c>
      <c r="AL147" s="370" t="str">
        <f t="shared" si="29"/>
        <v/>
      </c>
      <c r="AM147" s="401" t="str">
        <f>IFERROR(IF(F147="","",IF(AH147="Check Data ⚠","Check Data ⚠",VLOOKUP(AL147, 'G-3 Multipliers'!$P$2:$Q$6,2,FALSE))),"")</f>
        <v/>
      </c>
      <c r="AN147" s="376" t="str">
        <f t="shared" si="30"/>
        <v/>
      </c>
      <c r="AO147" s="194"/>
      <c r="AP147" s="195"/>
      <c r="AQ147" s="120"/>
    </row>
    <row r="148" spans="1:43">
      <c r="A148" s="35" t="str">
        <f>IF(E148="","",IF(ISNA(VLOOKUP($E148,'A-1 On-Site Habitat Baseline'!$D$1:$O$258,2,FALSE)),"",(VLOOKUP($E148,'A-1 On-Site Habitat Baseline'!$D$1:$O$258,2,FALSE))))</f>
        <v/>
      </c>
      <c r="B148" s="35" t="str">
        <f>IF(E148="","",IF(ISNA(VLOOKUP($E148,'A-1 On-Site Habitat Baseline'!$D$1:$O$258,3,FALSE)),"",(VLOOKUP($E148,'A-1 On-Site Habitat Baseline'!$D$1:$O$258,3,FALSE))))</f>
        <v/>
      </c>
      <c r="C148" s="35" t="str">
        <f>IFERROR(INDEX('G-8 Condition Look up'!$I$4:$I$135,MATCH(S148,'G-8 Condition Look up'!$A$4:$A$135,0)),"")</f>
        <v/>
      </c>
      <c r="E148" s="392" t="str">
        <f>'A-1 On-Site Habitat Baseline'!AL147</f>
        <v/>
      </c>
      <c r="F148" s="382" t="str">
        <f>IF(E148="","",IF(ISNA(VLOOKUP($E148,'A-1 On-Site Habitat Baseline'!$D$1:$O$258,4,FALSE)),"",(VLOOKUP($E148,'A-1 On-Site Habitat Baseline'!$D$1:$O$258,4,FALSE))))</f>
        <v/>
      </c>
      <c r="G148" s="382" t="str">
        <f>IF(E148="","",IF(ISNA(VLOOKUP($E148,'A-1 On-Site Habitat Baseline'!$D$1:$O$258,5,FALSE)),"",(VLOOKUP($E148,'A-1 On-Site Habitat Baseline'!$D$1:$O$258,5,FALSE))))</f>
        <v/>
      </c>
      <c r="H148" s="382" t="str">
        <f>IF(E148="","",IF(ISNA(VLOOKUP($E148,'A-1 On-Site Habitat Baseline'!$D$1:$O$258,6,FALSE)),"",(VLOOKUP($E148,'A-1 On-Site Habitat Baseline'!$D$1:$O$258,6,FALSE))))</f>
        <v/>
      </c>
      <c r="I148" s="382" t="str">
        <f>IF(E148="","",IF(ISNA(VLOOKUP($E148,'A-1 On-Site Habitat Baseline'!$D$1:$O$258,7,FALSE)),"",(VLOOKUP($E148,'A-1 On-Site Habitat Baseline'!$D$1:$O$258,7,FALSE))))</f>
        <v/>
      </c>
      <c r="J148" s="382" t="str">
        <f>IF(E148="","",IF(ISNA(VLOOKUP($E148,'A-1 On-Site Habitat Baseline'!$D$1:$O$258,8,FALSE)),"",(VLOOKUP($E148,'A-1 On-Site Habitat Baseline'!$D$1:$O$258,8,FALSE))))</f>
        <v/>
      </c>
      <c r="K148" s="382" t="str">
        <f>IF(E148="","",IF(ISNA(VLOOKUP($E148,'A-1 On-Site Habitat Baseline'!$D$1:$O$258,9,FALSE)),"",(VLOOKUP($E148,'A-1 On-Site Habitat Baseline'!$D$1:$O$258,9,FALSE))))</f>
        <v/>
      </c>
      <c r="L148" s="382" t="str">
        <f>IF(E148="","",IF(ISNA(VLOOKUP($E148,'A-1 On-Site Habitat Baseline'!$D$1:$O$258,11,FALSE)),"",(VLOOKUP($E148,'A-1 On-Site Habitat Baseline'!$D$1:$O$258,11,FALSE))))</f>
        <v/>
      </c>
      <c r="M148" s="382" t="str">
        <f>IF(E148="","",IF(ISNA(VLOOKUP($E148,'A-1 On-Site Habitat Baseline'!$D$1:$O$258,12,FALSE)),"",(VLOOKUP($E148,'A-1 On-Site Habitat Baseline'!$D$1:$O$258,12,FALSE))))</f>
        <v/>
      </c>
      <c r="N148" s="393" t="str">
        <f>IF(E148="","",IF(ISNA(VLOOKUP($E148,'A-1 On-Site Habitat Baseline'!$D$1:$X$258,14,FALSE)),"",(VLOOKUP($E148,'A-1 On-Site Habitat Baseline'!$D$1:$X$258,14,FALSE))))</f>
        <v/>
      </c>
      <c r="O148" s="386" t="str">
        <f>IF(E148="","",IF(ISNA(VLOOKUP($E148,'A-1 On-Site Habitat Baseline'!$D$1:$X$258,16,FALSE)),"",(VLOOKUP($E148,'A-1 On-Site Habitat Baseline'!$D$1:$X$258,13,FALSE))))</f>
        <v/>
      </c>
      <c r="P148" s="192" t="str">
        <f>IFERROR(INDEX('G-1 All Habitats'!$AG$3:$AG$17,MATCH(Q148,'G-1 All Habitats'!$AF$3:$AF$17,0)),"")</f>
        <v/>
      </c>
      <c r="Q148" s="193" t="str">
        <f t="shared" si="23"/>
        <v/>
      </c>
      <c r="R148" s="193" t="str">
        <f t="shared" si="23"/>
        <v/>
      </c>
      <c r="S148" s="306" t="str">
        <f>IFERROR(INDEX('G-1 All Habitats'!$B$3:$B$134,MATCH(R148,'G-1 All Habitats'!$A$3:$A$134,0)),"")</f>
        <v/>
      </c>
      <c r="T148" s="362" t="str">
        <f t="shared" si="24"/>
        <v/>
      </c>
      <c r="U148" s="363" t="str">
        <f t="shared" si="25"/>
        <v/>
      </c>
      <c r="V148" s="398" t="str">
        <f t="shared" si="21"/>
        <v/>
      </c>
      <c r="W148" s="382" t="str">
        <f>IF(S148="","",VLOOKUP(S148,'G-1 All Habitats'!$B$2:$M$134,10,FALSE))</f>
        <v/>
      </c>
      <c r="X148" s="382" t="str">
        <f>IFERROR(VLOOKUP(W148,'G-1 All Habitats'!$V$3:$W$7,2,FALSE),"")</f>
        <v/>
      </c>
      <c r="Y148" s="61"/>
      <c r="Z148" s="386" t="str">
        <f>IFERROR(INDEX('G-8 Condition Look up'!$A$3:$H$135,MATCH(S148,'G-8 Condition Look up'!$A$3:$A$135,0),MATCH(Y148,'G-8 Condition Look up'!$A$3:$H$3,0)),"")</f>
        <v/>
      </c>
      <c r="AA148" s="54"/>
      <c r="AB148" s="382" t="str">
        <f>IF(AA148="","",IF(VLOOKUP(AA148,'G-3 Multipliers'!$L$3:$N$6,2,FALSE)=0,"Spatial Data Missing ⚠",VLOOKUP(AA148,'G-3 Multipliers'!$L$3:$N$6,2,FALSE)))</f>
        <v/>
      </c>
      <c r="AC148" s="386" t="str">
        <f>IF(AA148="","",IF(VLOOKUP(AA148,'G-3 Multipliers'!$L$3:$N$6,3,FALSE)=0,"Spatial Data Missing ⚠",VLOOKUP(AA148,'G-3 Multipliers'!$L$3:$N$6,3,FALSE)))</f>
        <v/>
      </c>
      <c r="AD148" s="400" t="str">
        <f t="shared" si="22"/>
        <v/>
      </c>
      <c r="AE148" s="63"/>
      <c r="AF148" s="63"/>
      <c r="AG148" s="370" t="str">
        <f t="shared" si="26"/>
        <v/>
      </c>
      <c r="AH148" s="383" t="str">
        <f t="shared" si="27"/>
        <v/>
      </c>
      <c r="AI148" s="384" t="str">
        <f>IF(AH148="Check Data","Check Data",IFERROR(VLOOKUP(AH148,'G-4 Temporal multipliers'!$A$4:$C$36,3,FALSE),""))</f>
        <v/>
      </c>
      <c r="AJ148" s="362" t="str">
        <f>IF(S148="","",VLOOKUP(S148,'G-3 Multipliers'!$A$2:$E$134,4,FALSE))</f>
        <v/>
      </c>
      <c r="AK148" s="370" t="str">
        <f t="shared" si="28"/>
        <v/>
      </c>
      <c r="AL148" s="370" t="str">
        <f t="shared" si="29"/>
        <v/>
      </c>
      <c r="AM148" s="401" t="str">
        <f>IFERROR(IF(F148="","",IF(AH148="Check Data ⚠","Check Data ⚠",VLOOKUP(AL148, 'G-3 Multipliers'!$P$2:$Q$6,2,FALSE))),"")</f>
        <v/>
      </c>
      <c r="AN148" s="376" t="str">
        <f t="shared" si="30"/>
        <v/>
      </c>
      <c r="AO148" s="194"/>
      <c r="AP148" s="195"/>
      <c r="AQ148" s="120"/>
    </row>
    <row r="149" spans="1:43">
      <c r="A149" s="35" t="str">
        <f>IF(E149="","",IF(ISNA(VLOOKUP($E149,'A-1 On-Site Habitat Baseline'!$D$1:$O$258,2,FALSE)),"",(VLOOKUP($E149,'A-1 On-Site Habitat Baseline'!$D$1:$O$258,2,FALSE))))</f>
        <v/>
      </c>
      <c r="B149" s="35" t="str">
        <f>IF(E149="","",IF(ISNA(VLOOKUP($E149,'A-1 On-Site Habitat Baseline'!$D$1:$O$258,3,FALSE)),"",(VLOOKUP($E149,'A-1 On-Site Habitat Baseline'!$D$1:$O$258,3,FALSE))))</f>
        <v/>
      </c>
      <c r="C149" s="35" t="str">
        <f>IFERROR(INDEX('G-8 Condition Look up'!$I$4:$I$135,MATCH(S149,'G-8 Condition Look up'!$A$4:$A$135,0)),"")</f>
        <v/>
      </c>
      <c r="E149" s="392" t="str">
        <f>'A-1 On-Site Habitat Baseline'!AL148</f>
        <v/>
      </c>
      <c r="F149" s="382" t="str">
        <f>IF(E149="","",IF(ISNA(VLOOKUP($E149,'A-1 On-Site Habitat Baseline'!$D$1:$O$258,4,FALSE)),"",(VLOOKUP($E149,'A-1 On-Site Habitat Baseline'!$D$1:$O$258,4,FALSE))))</f>
        <v/>
      </c>
      <c r="G149" s="382" t="str">
        <f>IF(E149="","",IF(ISNA(VLOOKUP($E149,'A-1 On-Site Habitat Baseline'!$D$1:$O$258,5,FALSE)),"",(VLOOKUP($E149,'A-1 On-Site Habitat Baseline'!$D$1:$O$258,5,FALSE))))</f>
        <v/>
      </c>
      <c r="H149" s="382" t="str">
        <f>IF(E149="","",IF(ISNA(VLOOKUP($E149,'A-1 On-Site Habitat Baseline'!$D$1:$O$258,6,FALSE)),"",(VLOOKUP($E149,'A-1 On-Site Habitat Baseline'!$D$1:$O$258,6,FALSE))))</f>
        <v/>
      </c>
      <c r="I149" s="382" t="str">
        <f>IF(E149="","",IF(ISNA(VLOOKUP($E149,'A-1 On-Site Habitat Baseline'!$D$1:$O$258,7,FALSE)),"",(VLOOKUP($E149,'A-1 On-Site Habitat Baseline'!$D$1:$O$258,7,FALSE))))</f>
        <v/>
      </c>
      <c r="J149" s="382" t="str">
        <f>IF(E149="","",IF(ISNA(VLOOKUP($E149,'A-1 On-Site Habitat Baseline'!$D$1:$O$258,8,FALSE)),"",(VLOOKUP($E149,'A-1 On-Site Habitat Baseline'!$D$1:$O$258,8,FALSE))))</f>
        <v/>
      </c>
      <c r="K149" s="382" t="str">
        <f>IF(E149="","",IF(ISNA(VLOOKUP($E149,'A-1 On-Site Habitat Baseline'!$D$1:$O$258,9,FALSE)),"",(VLOOKUP($E149,'A-1 On-Site Habitat Baseline'!$D$1:$O$258,9,FALSE))))</f>
        <v/>
      </c>
      <c r="L149" s="382" t="str">
        <f>IF(E149="","",IF(ISNA(VLOOKUP($E149,'A-1 On-Site Habitat Baseline'!$D$1:$O$258,11,FALSE)),"",(VLOOKUP($E149,'A-1 On-Site Habitat Baseline'!$D$1:$O$258,11,FALSE))))</f>
        <v/>
      </c>
      <c r="M149" s="382" t="str">
        <f>IF(E149="","",IF(ISNA(VLOOKUP($E149,'A-1 On-Site Habitat Baseline'!$D$1:$O$258,12,FALSE)),"",(VLOOKUP($E149,'A-1 On-Site Habitat Baseline'!$D$1:$O$258,12,FALSE))))</f>
        <v/>
      </c>
      <c r="N149" s="393" t="str">
        <f>IF(E149="","",IF(ISNA(VLOOKUP($E149,'A-1 On-Site Habitat Baseline'!$D$1:$X$258,14,FALSE)),"",(VLOOKUP($E149,'A-1 On-Site Habitat Baseline'!$D$1:$X$258,14,FALSE))))</f>
        <v/>
      </c>
      <c r="O149" s="386" t="str">
        <f>IF(E149="","",IF(ISNA(VLOOKUP($E149,'A-1 On-Site Habitat Baseline'!$D$1:$X$258,16,FALSE)),"",(VLOOKUP($E149,'A-1 On-Site Habitat Baseline'!$D$1:$X$258,13,FALSE))))</f>
        <v/>
      </c>
      <c r="P149" s="192" t="str">
        <f>IFERROR(INDEX('G-1 All Habitats'!$AG$3:$AG$17,MATCH(Q149,'G-1 All Habitats'!$AF$3:$AF$17,0)),"")</f>
        <v/>
      </c>
      <c r="Q149" s="193" t="str">
        <f t="shared" si="23"/>
        <v/>
      </c>
      <c r="R149" s="193" t="str">
        <f t="shared" si="23"/>
        <v/>
      </c>
      <c r="S149" s="306" t="str">
        <f>IFERROR(INDEX('G-1 All Habitats'!$B$3:$B$134,MATCH(R149,'G-1 All Habitats'!$A$3:$A$134,0)),"")</f>
        <v/>
      </c>
      <c r="T149" s="362" t="str">
        <f t="shared" si="24"/>
        <v/>
      </c>
      <c r="U149" s="363" t="str">
        <f t="shared" si="25"/>
        <v/>
      </c>
      <c r="V149" s="398" t="str">
        <f t="shared" si="21"/>
        <v/>
      </c>
      <c r="W149" s="382" t="str">
        <f>IF(S149="","",VLOOKUP(S149,'G-1 All Habitats'!$B$2:$M$134,10,FALSE))</f>
        <v/>
      </c>
      <c r="X149" s="382" t="str">
        <f>IFERROR(VLOOKUP(W149,'G-1 All Habitats'!$V$3:$W$7,2,FALSE),"")</f>
        <v/>
      </c>
      <c r="Y149" s="61"/>
      <c r="Z149" s="386" t="str">
        <f>IFERROR(INDEX('G-8 Condition Look up'!$A$3:$H$135,MATCH(S149,'G-8 Condition Look up'!$A$3:$A$135,0),MATCH(Y149,'G-8 Condition Look up'!$A$3:$H$3,0)),"")</f>
        <v/>
      </c>
      <c r="AA149" s="54"/>
      <c r="AB149" s="382" t="str">
        <f>IF(AA149="","",IF(VLOOKUP(AA149,'G-3 Multipliers'!$L$3:$N$6,2,FALSE)=0,"Spatial Data Missing ⚠",VLOOKUP(AA149,'G-3 Multipliers'!$L$3:$N$6,2,FALSE)))</f>
        <v/>
      </c>
      <c r="AC149" s="386" t="str">
        <f>IF(AA149="","",IF(VLOOKUP(AA149,'G-3 Multipliers'!$L$3:$N$6,3,FALSE)=0,"Spatial Data Missing ⚠",VLOOKUP(AA149,'G-3 Multipliers'!$L$3:$N$6,3,FALSE)))</f>
        <v/>
      </c>
      <c r="AD149" s="400" t="str">
        <f t="shared" si="22"/>
        <v/>
      </c>
      <c r="AE149" s="63"/>
      <c r="AF149" s="63"/>
      <c r="AG149" s="370" t="str">
        <f t="shared" si="26"/>
        <v/>
      </c>
      <c r="AH149" s="383" t="str">
        <f t="shared" si="27"/>
        <v/>
      </c>
      <c r="AI149" s="384" t="str">
        <f>IF(AH149="Check Data","Check Data",IFERROR(VLOOKUP(AH149,'G-4 Temporal multipliers'!$A$4:$C$36,3,FALSE),""))</f>
        <v/>
      </c>
      <c r="AJ149" s="362" t="str">
        <f>IF(S149="","",VLOOKUP(S149,'G-3 Multipliers'!$A$2:$E$134,4,FALSE))</f>
        <v/>
      </c>
      <c r="AK149" s="370" t="str">
        <f t="shared" si="28"/>
        <v/>
      </c>
      <c r="AL149" s="370" t="str">
        <f t="shared" si="29"/>
        <v/>
      </c>
      <c r="AM149" s="401" t="str">
        <f>IFERROR(IF(F149="","",IF(AH149="Check Data ⚠","Check Data ⚠",VLOOKUP(AL149, 'G-3 Multipliers'!$P$2:$Q$6,2,FALSE))),"")</f>
        <v/>
      </c>
      <c r="AN149" s="376" t="str">
        <f t="shared" si="30"/>
        <v/>
      </c>
      <c r="AO149" s="194"/>
      <c r="AP149" s="195"/>
      <c r="AQ149" s="120"/>
    </row>
    <row r="150" spans="1:43">
      <c r="A150" s="35" t="str">
        <f>IF(E150="","",IF(ISNA(VLOOKUP($E150,'A-1 On-Site Habitat Baseline'!$D$1:$O$258,2,FALSE)),"",(VLOOKUP($E150,'A-1 On-Site Habitat Baseline'!$D$1:$O$258,2,FALSE))))</f>
        <v/>
      </c>
      <c r="B150" s="35" t="str">
        <f>IF(E150="","",IF(ISNA(VLOOKUP($E150,'A-1 On-Site Habitat Baseline'!$D$1:$O$258,3,FALSE)),"",(VLOOKUP($E150,'A-1 On-Site Habitat Baseline'!$D$1:$O$258,3,FALSE))))</f>
        <v/>
      </c>
      <c r="C150" s="35" t="str">
        <f>IFERROR(INDEX('G-8 Condition Look up'!$I$4:$I$135,MATCH(S150,'G-8 Condition Look up'!$A$4:$A$135,0)),"")</f>
        <v/>
      </c>
      <c r="E150" s="392" t="str">
        <f>'A-1 On-Site Habitat Baseline'!AL149</f>
        <v/>
      </c>
      <c r="F150" s="382" t="str">
        <f>IF(E150="","",IF(ISNA(VLOOKUP($E150,'A-1 On-Site Habitat Baseline'!$D$1:$O$258,4,FALSE)),"",(VLOOKUP($E150,'A-1 On-Site Habitat Baseline'!$D$1:$O$258,4,FALSE))))</f>
        <v/>
      </c>
      <c r="G150" s="382" t="str">
        <f>IF(E150="","",IF(ISNA(VLOOKUP($E150,'A-1 On-Site Habitat Baseline'!$D$1:$O$258,5,FALSE)),"",(VLOOKUP($E150,'A-1 On-Site Habitat Baseline'!$D$1:$O$258,5,FALSE))))</f>
        <v/>
      </c>
      <c r="H150" s="382" t="str">
        <f>IF(E150="","",IF(ISNA(VLOOKUP($E150,'A-1 On-Site Habitat Baseline'!$D$1:$O$258,6,FALSE)),"",(VLOOKUP($E150,'A-1 On-Site Habitat Baseline'!$D$1:$O$258,6,FALSE))))</f>
        <v/>
      </c>
      <c r="I150" s="382" t="str">
        <f>IF(E150="","",IF(ISNA(VLOOKUP($E150,'A-1 On-Site Habitat Baseline'!$D$1:$O$258,7,FALSE)),"",(VLOOKUP($E150,'A-1 On-Site Habitat Baseline'!$D$1:$O$258,7,FALSE))))</f>
        <v/>
      </c>
      <c r="J150" s="382" t="str">
        <f>IF(E150="","",IF(ISNA(VLOOKUP($E150,'A-1 On-Site Habitat Baseline'!$D$1:$O$258,8,FALSE)),"",(VLOOKUP($E150,'A-1 On-Site Habitat Baseline'!$D$1:$O$258,8,FALSE))))</f>
        <v/>
      </c>
      <c r="K150" s="382" t="str">
        <f>IF(E150="","",IF(ISNA(VLOOKUP($E150,'A-1 On-Site Habitat Baseline'!$D$1:$O$258,9,FALSE)),"",(VLOOKUP($E150,'A-1 On-Site Habitat Baseline'!$D$1:$O$258,9,FALSE))))</f>
        <v/>
      </c>
      <c r="L150" s="382" t="str">
        <f>IF(E150="","",IF(ISNA(VLOOKUP($E150,'A-1 On-Site Habitat Baseline'!$D$1:$O$258,11,FALSE)),"",(VLOOKUP($E150,'A-1 On-Site Habitat Baseline'!$D$1:$O$258,11,FALSE))))</f>
        <v/>
      </c>
      <c r="M150" s="382" t="str">
        <f>IF(E150="","",IF(ISNA(VLOOKUP($E150,'A-1 On-Site Habitat Baseline'!$D$1:$O$258,12,FALSE)),"",(VLOOKUP($E150,'A-1 On-Site Habitat Baseline'!$D$1:$O$258,12,FALSE))))</f>
        <v/>
      </c>
      <c r="N150" s="393" t="str">
        <f>IF(E150="","",IF(ISNA(VLOOKUP($E150,'A-1 On-Site Habitat Baseline'!$D$1:$X$258,14,FALSE)),"",(VLOOKUP($E150,'A-1 On-Site Habitat Baseline'!$D$1:$X$258,14,FALSE))))</f>
        <v/>
      </c>
      <c r="O150" s="386" t="str">
        <f>IF(E150="","",IF(ISNA(VLOOKUP($E150,'A-1 On-Site Habitat Baseline'!$D$1:$X$258,16,FALSE)),"",(VLOOKUP($E150,'A-1 On-Site Habitat Baseline'!$D$1:$X$258,13,FALSE))))</f>
        <v/>
      </c>
      <c r="P150" s="192" t="str">
        <f>IFERROR(INDEX('G-1 All Habitats'!$AG$3:$AG$17,MATCH(Q150,'G-1 All Habitats'!$AF$3:$AF$17,0)),"")</f>
        <v/>
      </c>
      <c r="Q150" s="193" t="str">
        <f t="shared" si="23"/>
        <v/>
      </c>
      <c r="R150" s="193" t="str">
        <f t="shared" si="23"/>
        <v/>
      </c>
      <c r="S150" s="306" t="str">
        <f>IFERROR(INDEX('G-1 All Habitats'!$B$3:$B$134,MATCH(R150,'G-1 All Habitats'!$A$3:$A$134,0)),"")</f>
        <v/>
      </c>
      <c r="T150" s="362" t="str">
        <f t="shared" si="24"/>
        <v/>
      </c>
      <c r="U150" s="363" t="str">
        <f t="shared" si="25"/>
        <v/>
      </c>
      <c r="V150" s="398" t="str">
        <f t="shared" si="21"/>
        <v/>
      </c>
      <c r="W150" s="382" t="str">
        <f>IF(S150="","",VLOOKUP(S150,'G-1 All Habitats'!$B$2:$M$134,10,FALSE))</f>
        <v/>
      </c>
      <c r="X150" s="382" t="str">
        <f>IFERROR(VLOOKUP(W150,'G-1 All Habitats'!$V$3:$W$7,2,FALSE),"")</f>
        <v/>
      </c>
      <c r="Y150" s="61"/>
      <c r="Z150" s="386" t="str">
        <f>IFERROR(INDEX('G-8 Condition Look up'!$A$3:$H$135,MATCH(S150,'G-8 Condition Look up'!$A$3:$A$135,0),MATCH(Y150,'G-8 Condition Look up'!$A$3:$H$3,0)),"")</f>
        <v/>
      </c>
      <c r="AA150" s="54"/>
      <c r="AB150" s="382" t="str">
        <f>IF(AA150="","",IF(VLOOKUP(AA150,'G-3 Multipliers'!$L$3:$N$6,2,FALSE)=0,"Spatial Data Missing ⚠",VLOOKUP(AA150,'G-3 Multipliers'!$L$3:$N$6,2,FALSE)))</f>
        <v/>
      </c>
      <c r="AC150" s="386" t="str">
        <f>IF(AA150="","",IF(VLOOKUP(AA150,'G-3 Multipliers'!$L$3:$N$6,3,FALSE)=0,"Spatial Data Missing ⚠",VLOOKUP(AA150,'G-3 Multipliers'!$L$3:$N$6,3,FALSE)))</f>
        <v/>
      </c>
      <c r="AD150" s="400" t="str">
        <f t="shared" si="22"/>
        <v/>
      </c>
      <c r="AE150" s="63"/>
      <c r="AF150" s="63"/>
      <c r="AG150" s="370" t="str">
        <f t="shared" si="26"/>
        <v/>
      </c>
      <c r="AH150" s="383" t="str">
        <f t="shared" si="27"/>
        <v/>
      </c>
      <c r="AI150" s="384" t="str">
        <f>IF(AH150="Check Data","Check Data",IFERROR(VLOOKUP(AH150,'G-4 Temporal multipliers'!$A$4:$C$36,3,FALSE),""))</f>
        <v/>
      </c>
      <c r="AJ150" s="362" t="str">
        <f>IF(S150="","",VLOOKUP(S150,'G-3 Multipliers'!$A$2:$E$134,4,FALSE))</f>
        <v/>
      </c>
      <c r="AK150" s="370" t="str">
        <f t="shared" si="28"/>
        <v/>
      </c>
      <c r="AL150" s="370" t="str">
        <f t="shared" si="29"/>
        <v/>
      </c>
      <c r="AM150" s="401" t="str">
        <f>IFERROR(IF(F150="","",IF(AH150="Check Data ⚠","Check Data ⚠",VLOOKUP(AL150, 'G-3 Multipliers'!$P$2:$Q$6,2,FALSE))),"")</f>
        <v/>
      </c>
      <c r="AN150" s="376" t="str">
        <f t="shared" si="30"/>
        <v/>
      </c>
      <c r="AO150" s="194"/>
      <c r="AP150" s="195"/>
      <c r="AQ150" s="120"/>
    </row>
    <row r="151" spans="1:43">
      <c r="A151" s="35" t="str">
        <f>IF(E151="","",IF(ISNA(VLOOKUP($E151,'A-1 On-Site Habitat Baseline'!$D$1:$O$258,2,FALSE)),"",(VLOOKUP($E151,'A-1 On-Site Habitat Baseline'!$D$1:$O$258,2,FALSE))))</f>
        <v/>
      </c>
      <c r="B151" s="35" t="str">
        <f>IF(E151="","",IF(ISNA(VLOOKUP($E151,'A-1 On-Site Habitat Baseline'!$D$1:$O$258,3,FALSE)),"",(VLOOKUP($E151,'A-1 On-Site Habitat Baseline'!$D$1:$O$258,3,FALSE))))</f>
        <v/>
      </c>
      <c r="C151" s="35" t="str">
        <f>IFERROR(INDEX('G-8 Condition Look up'!$I$4:$I$135,MATCH(S151,'G-8 Condition Look up'!$A$4:$A$135,0)),"")</f>
        <v/>
      </c>
      <c r="E151" s="392" t="str">
        <f>'A-1 On-Site Habitat Baseline'!AL150</f>
        <v/>
      </c>
      <c r="F151" s="382" t="str">
        <f>IF(E151="","",IF(ISNA(VLOOKUP($E151,'A-1 On-Site Habitat Baseline'!$D$1:$O$258,4,FALSE)),"",(VLOOKUP($E151,'A-1 On-Site Habitat Baseline'!$D$1:$O$258,4,FALSE))))</f>
        <v/>
      </c>
      <c r="G151" s="382" t="str">
        <f>IF(E151="","",IF(ISNA(VLOOKUP($E151,'A-1 On-Site Habitat Baseline'!$D$1:$O$258,5,FALSE)),"",(VLOOKUP($E151,'A-1 On-Site Habitat Baseline'!$D$1:$O$258,5,FALSE))))</f>
        <v/>
      </c>
      <c r="H151" s="382" t="str">
        <f>IF(E151="","",IF(ISNA(VLOOKUP($E151,'A-1 On-Site Habitat Baseline'!$D$1:$O$258,6,FALSE)),"",(VLOOKUP($E151,'A-1 On-Site Habitat Baseline'!$D$1:$O$258,6,FALSE))))</f>
        <v/>
      </c>
      <c r="I151" s="382" t="str">
        <f>IF(E151="","",IF(ISNA(VLOOKUP($E151,'A-1 On-Site Habitat Baseline'!$D$1:$O$258,7,FALSE)),"",(VLOOKUP($E151,'A-1 On-Site Habitat Baseline'!$D$1:$O$258,7,FALSE))))</f>
        <v/>
      </c>
      <c r="J151" s="382" t="str">
        <f>IF(E151="","",IF(ISNA(VLOOKUP($E151,'A-1 On-Site Habitat Baseline'!$D$1:$O$258,8,FALSE)),"",(VLOOKUP($E151,'A-1 On-Site Habitat Baseline'!$D$1:$O$258,8,FALSE))))</f>
        <v/>
      </c>
      <c r="K151" s="382" t="str">
        <f>IF(E151="","",IF(ISNA(VLOOKUP($E151,'A-1 On-Site Habitat Baseline'!$D$1:$O$258,9,FALSE)),"",(VLOOKUP($E151,'A-1 On-Site Habitat Baseline'!$D$1:$O$258,9,FALSE))))</f>
        <v/>
      </c>
      <c r="L151" s="382" t="str">
        <f>IF(E151="","",IF(ISNA(VLOOKUP($E151,'A-1 On-Site Habitat Baseline'!$D$1:$O$258,11,FALSE)),"",(VLOOKUP($E151,'A-1 On-Site Habitat Baseline'!$D$1:$O$258,11,FALSE))))</f>
        <v/>
      </c>
      <c r="M151" s="382" t="str">
        <f>IF(E151="","",IF(ISNA(VLOOKUP($E151,'A-1 On-Site Habitat Baseline'!$D$1:$O$258,12,FALSE)),"",(VLOOKUP($E151,'A-1 On-Site Habitat Baseline'!$D$1:$O$258,12,FALSE))))</f>
        <v/>
      </c>
      <c r="N151" s="393" t="str">
        <f>IF(E151="","",IF(ISNA(VLOOKUP($E151,'A-1 On-Site Habitat Baseline'!$D$1:$X$258,14,FALSE)),"",(VLOOKUP($E151,'A-1 On-Site Habitat Baseline'!$D$1:$X$258,14,FALSE))))</f>
        <v/>
      </c>
      <c r="O151" s="386" t="str">
        <f>IF(E151="","",IF(ISNA(VLOOKUP($E151,'A-1 On-Site Habitat Baseline'!$D$1:$X$258,16,FALSE)),"",(VLOOKUP($E151,'A-1 On-Site Habitat Baseline'!$D$1:$X$258,13,FALSE))))</f>
        <v/>
      </c>
      <c r="P151" s="192" t="str">
        <f>IFERROR(INDEX('G-1 All Habitats'!$AG$3:$AG$17,MATCH(Q151,'G-1 All Habitats'!$AF$3:$AF$17,0)),"")</f>
        <v/>
      </c>
      <c r="Q151" s="193" t="str">
        <f t="shared" si="23"/>
        <v/>
      </c>
      <c r="R151" s="193" t="str">
        <f t="shared" si="23"/>
        <v/>
      </c>
      <c r="S151" s="306" t="str">
        <f>IFERROR(INDEX('G-1 All Habitats'!$B$3:$B$134,MATCH(R151,'G-1 All Habitats'!$A$3:$A$134,0)),"")</f>
        <v/>
      </c>
      <c r="T151" s="362" t="str">
        <f t="shared" si="24"/>
        <v/>
      </c>
      <c r="U151" s="363" t="str">
        <f t="shared" si="25"/>
        <v/>
      </c>
      <c r="V151" s="398" t="str">
        <f t="shared" si="21"/>
        <v/>
      </c>
      <c r="W151" s="382" t="str">
        <f>IF(S151="","",VLOOKUP(S151,'G-1 All Habitats'!$B$2:$M$134,10,FALSE))</f>
        <v/>
      </c>
      <c r="X151" s="382" t="str">
        <f>IFERROR(VLOOKUP(W151,'G-1 All Habitats'!$V$3:$W$7,2,FALSE),"")</f>
        <v/>
      </c>
      <c r="Y151" s="61"/>
      <c r="Z151" s="386" t="str">
        <f>IFERROR(INDEX('G-8 Condition Look up'!$A$3:$H$135,MATCH(S151,'G-8 Condition Look up'!$A$3:$A$135,0),MATCH(Y151,'G-8 Condition Look up'!$A$3:$H$3,0)),"")</f>
        <v/>
      </c>
      <c r="AA151" s="54"/>
      <c r="AB151" s="382" t="str">
        <f>IF(AA151="","",IF(VLOOKUP(AA151,'G-3 Multipliers'!$L$3:$N$6,2,FALSE)=0,"Spatial Data Missing ⚠",VLOOKUP(AA151,'G-3 Multipliers'!$L$3:$N$6,2,FALSE)))</f>
        <v/>
      </c>
      <c r="AC151" s="386" t="str">
        <f>IF(AA151="","",IF(VLOOKUP(AA151,'G-3 Multipliers'!$L$3:$N$6,3,FALSE)=0,"Spatial Data Missing ⚠",VLOOKUP(AA151,'G-3 Multipliers'!$L$3:$N$6,3,FALSE)))</f>
        <v/>
      </c>
      <c r="AD151" s="400" t="str">
        <f t="shared" si="22"/>
        <v/>
      </c>
      <c r="AE151" s="63"/>
      <c r="AF151" s="63"/>
      <c r="AG151" s="370" t="str">
        <f t="shared" si="26"/>
        <v/>
      </c>
      <c r="AH151" s="383" t="str">
        <f t="shared" si="27"/>
        <v/>
      </c>
      <c r="AI151" s="384" t="str">
        <f>IF(AH151="Check Data","Check Data",IFERROR(VLOOKUP(AH151,'G-4 Temporal multipliers'!$A$4:$C$36,3,FALSE),""))</f>
        <v/>
      </c>
      <c r="AJ151" s="362" t="str">
        <f>IF(S151="","",VLOOKUP(S151,'G-3 Multipliers'!$A$2:$E$134,4,FALSE))</f>
        <v/>
      </c>
      <c r="AK151" s="370" t="str">
        <f t="shared" si="28"/>
        <v/>
      </c>
      <c r="AL151" s="370" t="str">
        <f t="shared" si="29"/>
        <v/>
      </c>
      <c r="AM151" s="401" t="str">
        <f>IFERROR(IF(F151="","",IF(AH151="Check Data ⚠","Check Data ⚠",VLOOKUP(AL151, 'G-3 Multipliers'!$P$2:$Q$6,2,FALSE))),"")</f>
        <v/>
      </c>
      <c r="AN151" s="376" t="str">
        <f t="shared" si="30"/>
        <v/>
      </c>
      <c r="AO151" s="194"/>
      <c r="AP151" s="195"/>
      <c r="AQ151" s="120"/>
    </row>
    <row r="152" spans="1:43">
      <c r="A152" s="35" t="str">
        <f>IF(E152="","",IF(ISNA(VLOOKUP($E152,'A-1 On-Site Habitat Baseline'!$D$1:$O$258,2,FALSE)),"",(VLOOKUP($E152,'A-1 On-Site Habitat Baseline'!$D$1:$O$258,2,FALSE))))</f>
        <v/>
      </c>
      <c r="B152" s="35" t="str">
        <f>IF(E152="","",IF(ISNA(VLOOKUP($E152,'A-1 On-Site Habitat Baseline'!$D$1:$O$258,3,FALSE)),"",(VLOOKUP($E152,'A-1 On-Site Habitat Baseline'!$D$1:$O$258,3,FALSE))))</f>
        <v/>
      </c>
      <c r="C152" s="35" t="str">
        <f>IFERROR(INDEX('G-8 Condition Look up'!$I$4:$I$135,MATCH(S152,'G-8 Condition Look up'!$A$4:$A$135,0)),"")</f>
        <v/>
      </c>
      <c r="E152" s="392" t="str">
        <f>'A-1 On-Site Habitat Baseline'!AL151</f>
        <v/>
      </c>
      <c r="F152" s="382" t="str">
        <f>IF(E152="","",IF(ISNA(VLOOKUP($E152,'A-1 On-Site Habitat Baseline'!$D$1:$O$258,4,FALSE)),"",(VLOOKUP($E152,'A-1 On-Site Habitat Baseline'!$D$1:$O$258,4,FALSE))))</f>
        <v/>
      </c>
      <c r="G152" s="382" t="str">
        <f>IF(E152="","",IF(ISNA(VLOOKUP($E152,'A-1 On-Site Habitat Baseline'!$D$1:$O$258,5,FALSE)),"",(VLOOKUP($E152,'A-1 On-Site Habitat Baseline'!$D$1:$O$258,5,FALSE))))</f>
        <v/>
      </c>
      <c r="H152" s="382" t="str">
        <f>IF(E152="","",IF(ISNA(VLOOKUP($E152,'A-1 On-Site Habitat Baseline'!$D$1:$O$258,6,FALSE)),"",(VLOOKUP($E152,'A-1 On-Site Habitat Baseline'!$D$1:$O$258,6,FALSE))))</f>
        <v/>
      </c>
      <c r="I152" s="382" t="str">
        <f>IF(E152="","",IF(ISNA(VLOOKUP($E152,'A-1 On-Site Habitat Baseline'!$D$1:$O$258,7,FALSE)),"",(VLOOKUP($E152,'A-1 On-Site Habitat Baseline'!$D$1:$O$258,7,FALSE))))</f>
        <v/>
      </c>
      <c r="J152" s="382" t="str">
        <f>IF(E152="","",IF(ISNA(VLOOKUP($E152,'A-1 On-Site Habitat Baseline'!$D$1:$O$258,8,FALSE)),"",(VLOOKUP($E152,'A-1 On-Site Habitat Baseline'!$D$1:$O$258,8,FALSE))))</f>
        <v/>
      </c>
      <c r="K152" s="382" t="str">
        <f>IF(E152="","",IF(ISNA(VLOOKUP($E152,'A-1 On-Site Habitat Baseline'!$D$1:$O$258,9,FALSE)),"",(VLOOKUP($E152,'A-1 On-Site Habitat Baseline'!$D$1:$O$258,9,FALSE))))</f>
        <v/>
      </c>
      <c r="L152" s="382" t="str">
        <f>IF(E152="","",IF(ISNA(VLOOKUP($E152,'A-1 On-Site Habitat Baseline'!$D$1:$O$258,11,FALSE)),"",(VLOOKUP($E152,'A-1 On-Site Habitat Baseline'!$D$1:$O$258,11,FALSE))))</f>
        <v/>
      </c>
      <c r="M152" s="382" t="str">
        <f>IF(E152="","",IF(ISNA(VLOOKUP($E152,'A-1 On-Site Habitat Baseline'!$D$1:$O$258,12,FALSE)),"",(VLOOKUP($E152,'A-1 On-Site Habitat Baseline'!$D$1:$O$258,12,FALSE))))</f>
        <v/>
      </c>
      <c r="N152" s="393" t="str">
        <f>IF(E152="","",IF(ISNA(VLOOKUP($E152,'A-1 On-Site Habitat Baseline'!$D$1:$X$258,14,FALSE)),"",(VLOOKUP($E152,'A-1 On-Site Habitat Baseline'!$D$1:$X$258,14,FALSE))))</f>
        <v/>
      </c>
      <c r="O152" s="386" t="str">
        <f>IF(E152="","",IF(ISNA(VLOOKUP($E152,'A-1 On-Site Habitat Baseline'!$D$1:$X$258,16,FALSE)),"",(VLOOKUP($E152,'A-1 On-Site Habitat Baseline'!$D$1:$X$258,13,FALSE))))</f>
        <v/>
      </c>
      <c r="P152" s="192" t="str">
        <f>IFERROR(INDEX('G-1 All Habitats'!$AG$3:$AG$17,MATCH(Q152,'G-1 All Habitats'!$AF$3:$AF$17,0)),"")</f>
        <v/>
      </c>
      <c r="Q152" s="193" t="str">
        <f t="shared" si="23"/>
        <v/>
      </c>
      <c r="R152" s="193" t="str">
        <f t="shared" si="23"/>
        <v/>
      </c>
      <c r="S152" s="306" t="str">
        <f>IFERROR(INDEX('G-1 All Habitats'!$B$3:$B$134,MATCH(R152,'G-1 All Habitats'!$A$3:$A$134,0)),"")</f>
        <v/>
      </c>
      <c r="T152" s="362" t="str">
        <f t="shared" si="24"/>
        <v/>
      </c>
      <c r="U152" s="363" t="str">
        <f t="shared" si="25"/>
        <v/>
      </c>
      <c r="V152" s="398" t="str">
        <f t="shared" si="21"/>
        <v/>
      </c>
      <c r="W152" s="382" t="str">
        <f>IF(S152="","",VLOOKUP(S152,'G-1 All Habitats'!$B$2:$M$134,10,FALSE))</f>
        <v/>
      </c>
      <c r="X152" s="382" t="str">
        <f>IFERROR(VLOOKUP(W152,'G-1 All Habitats'!$V$3:$W$7,2,FALSE),"")</f>
        <v/>
      </c>
      <c r="Y152" s="61"/>
      <c r="Z152" s="386" t="str">
        <f>IFERROR(INDEX('G-8 Condition Look up'!$A$3:$H$135,MATCH(S152,'G-8 Condition Look up'!$A$3:$A$135,0),MATCH(Y152,'G-8 Condition Look up'!$A$3:$H$3,0)),"")</f>
        <v/>
      </c>
      <c r="AA152" s="54"/>
      <c r="AB152" s="382" t="str">
        <f>IF(AA152="","",IF(VLOOKUP(AA152,'G-3 Multipliers'!$L$3:$N$6,2,FALSE)=0,"Spatial Data Missing ⚠",VLOOKUP(AA152,'G-3 Multipliers'!$L$3:$N$6,2,FALSE)))</f>
        <v/>
      </c>
      <c r="AC152" s="386" t="str">
        <f>IF(AA152="","",IF(VLOOKUP(AA152,'G-3 Multipliers'!$L$3:$N$6,3,FALSE)=0,"Spatial Data Missing ⚠",VLOOKUP(AA152,'G-3 Multipliers'!$L$3:$N$6,3,FALSE)))</f>
        <v/>
      </c>
      <c r="AD152" s="400" t="str">
        <f t="shared" si="22"/>
        <v/>
      </c>
      <c r="AE152" s="63"/>
      <c r="AF152" s="63"/>
      <c r="AG152" s="370" t="str">
        <f t="shared" si="26"/>
        <v/>
      </c>
      <c r="AH152" s="383" t="str">
        <f t="shared" si="27"/>
        <v/>
      </c>
      <c r="AI152" s="384" t="str">
        <f>IF(AH152="Check Data","Check Data",IFERROR(VLOOKUP(AH152,'G-4 Temporal multipliers'!$A$4:$C$36,3,FALSE),""))</f>
        <v/>
      </c>
      <c r="AJ152" s="362" t="str">
        <f>IF(S152="","",VLOOKUP(S152,'G-3 Multipliers'!$A$2:$E$134,4,FALSE))</f>
        <v/>
      </c>
      <c r="AK152" s="370" t="str">
        <f t="shared" si="28"/>
        <v/>
      </c>
      <c r="AL152" s="370" t="str">
        <f t="shared" si="29"/>
        <v/>
      </c>
      <c r="AM152" s="401" t="str">
        <f>IFERROR(IF(F152="","",IF(AH152="Check Data ⚠","Check Data ⚠",VLOOKUP(AL152, 'G-3 Multipliers'!$P$2:$Q$6,2,FALSE))),"")</f>
        <v/>
      </c>
      <c r="AN152" s="376" t="str">
        <f t="shared" si="30"/>
        <v/>
      </c>
      <c r="AO152" s="194"/>
      <c r="AP152" s="195"/>
      <c r="AQ152" s="120"/>
    </row>
    <row r="153" spans="1:43">
      <c r="A153" s="35" t="str">
        <f>IF(E153="","",IF(ISNA(VLOOKUP($E153,'A-1 On-Site Habitat Baseline'!$D$1:$O$258,2,FALSE)),"",(VLOOKUP($E153,'A-1 On-Site Habitat Baseline'!$D$1:$O$258,2,FALSE))))</f>
        <v/>
      </c>
      <c r="B153" s="35" t="str">
        <f>IF(E153="","",IF(ISNA(VLOOKUP($E153,'A-1 On-Site Habitat Baseline'!$D$1:$O$258,3,FALSE)),"",(VLOOKUP($E153,'A-1 On-Site Habitat Baseline'!$D$1:$O$258,3,FALSE))))</f>
        <v/>
      </c>
      <c r="C153" s="35" t="str">
        <f>IFERROR(INDEX('G-8 Condition Look up'!$I$4:$I$135,MATCH(S153,'G-8 Condition Look up'!$A$4:$A$135,0)),"")</f>
        <v/>
      </c>
      <c r="E153" s="392" t="str">
        <f>'A-1 On-Site Habitat Baseline'!AL152</f>
        <v/>
      </c>
      <c r="F153" s="382" t="str">
        <f>IF(E153="","",IF(ISNA(VLOOKUP($E153,'A-1 On-Site Habitat Baseline'!$D$1:$O$258,4,FALSE)),"",(VLOOKUP($E153,'A-1 On-Site Habitat Baseline'!$D$1:$O$258,4,FALSE))))</f>
        <v/>
      </c>
      <c r="G153" s="382" t="str">
        <f>IF(E153="","",IF(ISNA(VLOOKUP($E153,'A-1 On-Site Habitat Baseline'!$D$1:$O$258,5,FALSE)),"",(VLOOKUP($E153,'A-1 On-Site Habitat Baseline'!$D$1:$O$258,5,FALSE))))</f>
        <v/>
      </c>
      <c r="H153" s="382" t="str">
        <f>IF(E153="","",IF(ISNA(VLOOKUP($E153,'A-1 On-Site Habitat Baseline'!$D$1:$O$258,6,FALSE)),"",(VLOOKUP($E153,'A-1 On-Site Habitat Baseline'!$D$1:$O$258,6,FALSE))))</f>
        <v/>
      </c>
      <c r="I153" s="382" t="str">
        <f>IF(E153="","",IF(ISNA(VLOOKUP($E153,'A-1 On-Site Habitat Baseline'!$D$1:$O$258,7,FALSE)),"",(VLOOKUP($E153,'A-1 On-Site Habitat Baseline'!$D$1:$O$258,7,FALSE))))</f>
        <v/>
      </c>
      <c r="J153" s="382" t="str">
        <f>IF(E153="","",IF(ISNA(VLOOKUP($E153,'A-1 On-Site Habitat Baseline'!$D$1:$O$258,8,FALSE)),"",(VLOOKUP($E153,'A-1 On-Site Habitat Baseline'!$D$1:$O$258,8,FALSE))))</f>
        <v/>
      </c>
      <c r="K153" s="382" t="str">
        <f>IF(E153="","",IF(ISNA(VLOOKUP($E153,'A-1 On-Site Habitat Baseline'!$D$1:$O$258,9,FALSE)),"",(VLOOKUP($E153,'A-1 On-Site Habitat Baseline'!$D$1:$O$258,9,FALSE))))</f>
        <v/>
      </c>
      <c r="L153" s="382" t="str">
        <f>IF(E153="","",IF(ISNA(VLOOKUP($E153,'A-1 On-Site Habitat Baseline'!$D$1:$O$258,11,FALSE)),"",(VLOOKUP($E153,'A-1 On-Site Habitat Baseline'!$D$1:$O$258,11,FALSE))))</f>
        <v/>
      </c>
      <c r="M153" s="382" t="str">
        <f>IF(E153="","",IF(ISNA(VLOOKUP($E153,'A-1 On-Site Habitat Baseline'!$D$1:$O$258,12,FALSE)),"",(VLOOKUP($E153,'A-1 On-Site Habitat Baseline'!$D$1:$O$258,12,FALSE))))</f>
        <v/>
      </c>
      <c r="N153" s="393" t="str">
        <f>IF(E153="","",IF(ISNA(VLOOKUP($E153,'A-1 On-Site Habitat Baseline'!$D$1:$X$258,14,FALSE)),"",(VLOOKUP($E153,'A-1 On-Site Habitat Baseline'!$D$1:$X$258,14,FALSE))))</f>
        <v/>
      </c>
      <c r="O153" s="386" t="str">
        <f>IF(E153="","",IF(ISNA(VLOOKUP($E153,'A-1 On-Site Habitat Baseline'!$D$1:$X$258,16,FALSE)),"",(VLOOKUP($E153,'A-1 On-Site Habitat Baseline'!$D$1:$X$258,13,FALSE))))</f>
        <v/>
      </c>
      <c r="P153" s="192" t="str">
        <f>IFERROR(INDEX('G-1 All Habitats'!$AG$3:$AG$17,MATCH(Q153,'G-1 All Habitats'!$AF$3:$AF$17,0)),"")</f>
        <v/>
      </c>
      <c r="Q153" s="193" t="str">
        <f t="shared" si="23"/>
        <v/>
      </c>
      <c r="R153" s="193" t="str">
        <f t="shared" si="23"/>
        <v/>
      </c>
      <c r="S153" s="306" t="str">
        <f>IFERROR(INDEX('G-1 All Habitats'!$B$3:$B$134,MATCH(R153,'G-1 All Habitats'!$A$3:$A$134,0)),"")</f>
        <v/>
      </c>
      <c r="T153" s="362" t="str">
        <f t="shared" si="24"/>
        <v/>
      </c>
      <c r="U153" s="363" t="str">
        <f t="shared" si="25"/>
        <v/>
      </c>
      <c r="V153" s="398" t="str">
        <f t="shared" si="21"/>
        <v/>
      </c>
      <c r="W153" s="382" t="str">
        <f>IF(S153="","",VLOOKUP(S153,'G-1 All Habitats'!$B$2:$M$134,10,FALSE))</f>
        <v/>
      </c>
      <c r="X153" s="382" t="str">
        <f>IFERROR(VLOOKUP(W153,'G-1 All Habitats'!$V$3:$W$7,2,FALSE),"")</f>
        <v/>
      </c>
      <c r="Y153" s="61"/>
      <c r="Z153" s="386" t="str">
        <f>IFERROR(INDEX('G-8 Condition Look up'!$A$3:$H$135,MATCH(S153,'G-8 Condition Look up'!$A$3:$A$135,0),MATCH(Y153,'G-8 Condition Look up'!$A$3:$H$3,0)),"")</f>
        <v/>
      </c>
      <c r="AA153" s="54"/>
      <c r="AB153" s="382" t="str">
        <f>IF(AA153="","",IF(VLOOKUP(AA153,'G-3 Multipliers'!$L$3:$N$6,2,FALSE)=0,"Spatial Data Missing ⚠",VLOOKUP(AA153,'G-3 Multipliers'!$L$3:$N$6,2,FALSE)))</f>
        <v/>
      </c>
      <c r="AC153" s="386" t="str">
        <f>IF(AA153="","",IF(VLOOKUP(AA153,'G-3 Multipliers'!$L$3:$N$6,3,FALSE)=0,"Spatial Data Missing ⚠",VLOOKUP(AA153,'G-3 Multipliers'!$L$3:$N$6,3,FALSE)))</f>
        <v/>
      </c>
      <c r="AD153" s="400" t="str">
        <f t="shared" si="22"/>
        <v/>
      </c>
      <c r="AE153" s="63"/>
      <c r="AF153" s="63"/>
      <c r="AG153" s="370" t="str">
        <f t="shared" si="26"/>
        <v/>
      </c>
      <c r="AH153" s="383" t="str">
        <f t="shared" si="27"/>
        <v/>
      </c>
      <c r="AI153" s="384" t="str">
        <f>IF(AH153="Check Data","Check Data",IFERROR(VLOOKUP(AH153,'G-4 Temporal multipliers'!$A$4:$C$36,3,FALSE),""))</f>
        <v/>
      </c>
      <c r="AJ153" s="362" t="str">
        <f>IF(S153="","",VLOOKUP(S153,'G-3 Multipliers'!$A$2:$E$134,4,FALSE))</f>
        <v/>
      </c>
      <c r="AK153" s="370" t="str">
        <f t="shared" si="28"/>
        <v/>
      </c>
      <c r="AL153" s="370" t="str">
        <f t="shared" si="29"/>
        <v/>
      </c>
      <c r="AM153" s="401" t="str">
        <f>IFERROR(IF(F153="","",IF(AH153="Check Data ⚠","Check Data ⚠",VLOOKUP(AL153, 'G-3 Multipliers'!$P$2:$Q$6,2,FALSE))),"")</f>
        <v/>
      </c>
      <c r="AN153" s="376" t="str">
        <f t="shared" si="30"/>
        <v/>
      </c>
      <c r="AO153" s="194"/>
      <c r="AP153" s="195"/>
      <c r="AQ153" s="120"/>
    </row>
    <row r="154" spans="1:43">
      <c r="A154" s="35" t="str">
        <f>IF(E154="","",IF(ISNA(VLOOKUP($E154,'A-1 On-Site Habitat Baseline'!$D$1:$O$258,2,FALSE)),"",(VLOOKUP($E154,'A-1 On-Site Habitat Baseline'!$D$1:$O$258,2,FALSE))))</f>
        <v/>
      </c>
      <c r="B154" s="35" t="str">
        <f>IF(E154="","",IF(ISNA(VLOOKUP($E154,'A-1 On-Site Habitat Baseline'!$D$1:$O$258,3,FALSE)),"",(VLOOKUP($E154,'A-1 On-Site Habitat Baseline'!$D$1:$O$258,3,FALSE))))</f>
        <v/>
      </c>
      <c r="C154" s="35" t="str">
        <f>IFERROR(INDEX('G-8 Condition Look up'!$I$4:$I$135,MATCH(S154,'G-8 Condition Look up'!$A$4:$A$135,0)),"")</f>
        <v/>
      </c>
      <c r="E154" s="392" t="str">
        <f>'A-1 On-Site Habitat Baseline'!AL153</f>
        <v/>
      </c>
      <c r="F154" s="382" t="str">
        <f>IF(E154="","",IF(ISNA(VLOOKUP($E154,'A-1 On-Site Habitat Baseline'!$D$1:$O$258,4,FALSE)),"",(VLOOKUP($E154,'A-1 On-Site Habitat Baseline'!$D$1:$O$258,4,FALSE))))</f>
        <v/>
      </c>
      <c r="G154" s="382" t="str">
        <f>IF(E154="","",IF(ISNA(VLOOKUP($E154,'A-1 On-Site Habitat Baseline'!$D$1:$O$258,5,FALSE)),"",(VLOOKUP($E154,'A-1 On-Site Habitat Baseline'!$D$1:$O$258,5,FALSE))))</f>
        <v/>
      </c>
      <c r="H154" s="382" t="str">
        <f>IF(E154="","",IF(ISNA(VLOOKUP($E154,'A-1 On-Site Habitat Baseline'!$D$1:$O$258,6,FALSE)),"",(VLOOKUP($E154,'A-1 On-Site Habitat Baseline'!$D$1:$O$258,6,FALSE))))</f>
        <v/>
      </c>
      <c r="I154" s="382" t="str">
        <f>IF(E154="","",IF(ISNA(VLOOKUP($E154,'A-1 On-Site Habitat Baseline'!$D$1:$O$258,7,FALSE)),"",(VLOOKUP($E154,'A-1 On-Site Habitat Baseline'!$D$1:$O$258,7,FALSE))))</f>
        <v/>
      </c>
      <c r="J154" s="382" t="str">
        <f>IF(E154="","",IF(ISNA(VLOOKUP($E154,'A-1 On-Site Habitat Baseline'!$D$1:$O$258,8,FALSE)),"",(VLOOKUP($E154,'A-1 On-Site Habitat Baseline'!$D$1:$O$258,8,FALSE))))</f>
        <v/>
      </c>
      <c r="K154" s="382" t="str">
        <f>IF(E154="","",IF(ISNA(VLOOKUP($E154,'A-1 On-Site Habitat Baseline'!$D$1:$O$258,9,FALSE)),"",(VLOOKUP($E154,'A-1 On-Site Habitat Baseline'!$D$1:$O$258,9,FALSE))))</f>
        <v/>
      </c>
      <c r="L154" s="382" t="str">
        <f>IF(E154="","",IF(ISNA(VLOOKUP($E154,'A-1 On-Site Habitat Baseline'!$D$1:$O$258,11,FALSE)),"",(VLOOKUP($E154,'A-1 On-Site Habitat Baseline'!$D$1:$O$258,11,FALSE))))</f>
        <v/>
      </c>
      <c r="M154" s="382" t="str">
        <f>IF(E154="","",IF(ISNA(VLOOKUP($E154,'A-1 On-Site Habitat Baseline'!$D$1:$O$258,12,FALSE)),"",(VLOOKUP($E154,'A-1 On-Site Habitat Baseline'!$D$1:$O$258,12,FALSE))))</f>
        <v/>
      </c>
      <c r="N154" s="393" t="str">
        <f>IF(E154="","",IF(ISNA(VLOOKUP($E154,'A-1 On-Site Habitat Baseline'!$D$1:$X$258,14,FALSE)),"",(VLOOKUP($E154,'A-1 On-Site Habitat Baseline'!$D$1:$X$258,14,FALSE))))</f>
        <v/>
      </c>
      <c r="O154" s="386" t="str">
        <f>IF(E154="","",IF(ISNA(VLOOKUP($E154,'A-1 On-Site Habitat Baseline'!$D$1:$X$258,16,FALSE)),"",(VLOOKUP($E154,'A-1 On-Site Habitat Baseline'!$D$1:$X$258,13,FALSE))))</f>
        <v/>
      </c>
      <c r="P154" s="192" t="str">
        <f>IFERROR(INDEX('G-1 All Habitats'!$AG$3:$AG$17,MATCH(Q154,'G-1 All Habitats'!$AF$3:$AF$17,0)),"")</f>
        <v/>
      </c>
      <c r="Q154" s="193" t="str">
        <f t="shared" si="23"/>
        <v/>
      </c>
      <c r="R154" s="193" t="str">
        <f t="shared" si="23"/>
        <v/>
      </c>
      <c r="S154" s="306" t="str">
        <f>IFERROR(INDEX('G-1 All Habitats'!$B$3:$B$134,MATCH(R154,'G-1 All Habitats'!$A$3:$A$134,0)),"")</f>
        <v/>
      </c>
      <c r="T154" s="362" t="str">
        <f t="shared" si="24"/>
        <v/>
      </c>
      <c r="U154" s="363" t="str">
        <f t="shared" si="25"/>
        <v/>
      </c>
      <c r="V154" s="398" t="str">
        <f t="shared" si="21"/>
        <v/>
      </c>
      <c r="W154" s="382" t="str">
        <f>IF(S154="","",VLOOKUP(S154,'G-1 All Habitats'!$B$2:$M$134,10,FALSE))</f>
        <v/>
      </c>
      <c r="X154" s="382" t="str">
        <f>IFERROR(VLOOKUP(W154,'G-1 All Habitats'!$V$3:$W$7,2,FALSE),"")</f>
        <v/>
      </c>
      <c r="Y154" s="61"/>
      <c r="Z154" s="386" t="str">
        <f>IFERROR(INDEX('G-8 Condition Look up'!$A$3:$H$135,MATCH(S154,'G-8 Condition Look up'!$A$3:$A$135,0),MATCH(Y154,'G-8 Condition Look up'!$A$3:$H$3,0)),"")</f>
        <v/>
      </c>
      <c r="AA154" s="54"/>
      <c r="AB154" s="382" t="str">
        <f>IF(AA154="","",IF(VLOOKUP(AA154,'G-3 Multipliers'!$L$3:$N$6,2,FALSE)=0,"Spatial Data Missing ⚠",VLOOKUP(AA154,'G-3 Multipliers'!$L$3:$N$6,2,FALSE)))</f>
        <v/>
      </c>
      <c r="AC154" s="386" t="str">
        <f>IF(AA154="","",IF(VLOOKUP(AA154,'G-3 Multipliers'!$L$3:$N$6,3,FALSE)=0,"Spatial Data Missing ⚠",VLOOKUP(AA154,'G-3 Multipliers'!$L$3:$N$6,3,FALSE)))</f>
        <v/>
      </c>
      <c r="AD154" s="400" t="str">
        <f t="shared" si="22"/>
        <v/>
      </c>
      <c r="AE154" s="63"/>
      <c r="AF154" s="63"/>
      <c r="AG154" s="370" t="str">
        <f t="shared" si="26"/>
        <v/>
      </c>
      <c r="AH154" s="383" t="str">
        <f t="shared" si="27"/>
        <v/>
      </c>
      <c r="AI154" s="384" t="str">
        <f>IF(AH154="Check Data","Check Data",IFERROR(VLOOKUP(AH154,'G-4 Temporal multipliers'!$A$4:$C$36,3,FALSE),""))</f>
        <v/>
      </c>
      <c r="AJ154" s="362" t="str">
        <f>IF(S154="","",VLOOKUP(S154,'G-3 Multipliers'!$A$2:$E$134,4,FALSE))</f>
        <v/>
      </c>
      <c r="AK154" s="370" t="str">
        <f t="shared" si="28"/>
        <v/>
      </c>
      <c r="AL154" s="370" t="str">
        <f t="shared" si="29"/>
        <v/>
      </c>
      <c r="AM154" s="401" t="str">
        <f>IFERROR(IF(F154="","",IF(AH154="Check Data ⚠","Check Data ⚠",VLOOKUP(AL154, 'G-3 Multipliers'!$P$2:$Q$6,2,FALSE))),"")</f>
        <v/>
      </c>
      <c r="AN154" s="376" t="str">
        <f t="shared" si="30"/>
        <v/>
      </c>
      <c r="AO154" s="194"/>
      <c r="AP154" s="195"/>
      <c r="AQ154" s="120"/>
    </row>
    <row r="155" spans="1:43">
      <c r="A155" s="35" t="str">
        <f>IF(E155="","",IF(ISNA(VLOOKUP($E155,'A-1 On-Site Habitat Baseline'!$D$1:$O$258,2,FALSE)),"",(VLOOKUP($E155,'A-1 On-Site Habitat Baseline'!$D$1:$O$258,2,FALSE))))</f>
        <v/>
      </c>
      <c r="B155" s="35" t="str">
        <f>IF(E155="","",IF(ISNA(VLOOKUP($E155,'A-1 On-Site Habitat Baseline'!$D$1:$O$258,3,FALSE)),"",(VLOOKUP($E155,'A-1 On-Site Habitat Baseline'!$D$1:$O$258,3,FALSE))))</f>
        <v/>
      </c>
      <c r="C155" s="35" t="str">
        <f>IFERROR(INDEX('G-8 Condition Look up'!$I$4:$I$135,MATCH(S155,'G-8 Condition Look up'!$A$4:$A$135,0)),"")</f>
        <v/>
      </c>
      <c r="E155" s="392" t="str">
        <f>'A-1 On-Site Habitat Baseline'!AL154</f>
        <v/>
      </c>
      <c r="F155" s="382" t="str">
        <f>IF(E155="","",IF(ISNA(VLOOKUP($E155,'A-1 On-Site Habitat Baseline'!$D$1:$O$258,4,FALSE)),"",(VLOOKUP($E155,'A-1 On-Site Habitat Baseline'!$D$1:$O$258,4,FALSE))))</f>
        <v/>
      </c>
      <c r="G155" s="382" t="str">
        <f>IF(E155="","",IF(ISNA(VLOOKUP($E155,'A-1 On-Site Habitat Baseline'!$D$1:$O$258,5,FALSE)),"",(VLOOKUP($E155,'A-1 On-Site Habitat Baseline'!$D$1:$O$258,5,FALSE))))</f>
        <v/>
      </c>
      <c r="H155" s="382" t="str">
        <f>IF(E155="","",IF(ISNA(VLOOKUP($E155,'A-1 On-Site Habitat Baseline'!$D$1:$O$258,6,FALSE)),"",(VLOOKUP($E155,'A-1 On-Site Habitat Baseline'!$D$1:$O$258,6,FALSE))))</f>
        <v/>
      </c>
      <c r="I155" s="382" t="str">
        <f>IF(E155="","",IF(ISNA(VLOOKUP($E155,'A-1 On-Site Habitat Baseline'!$D$1:$O$258,7,FALSE)),"",(VLOOKUP($E155,'A-1 On-Site Habitat Baseline'!$D$1:$O$258,7,FALSE))))</f>
        <v/>
      </c>
      <c r="J155" s="382" t="str">
        <f>IF(E155="","",IF(ISNA(VLOOKUP($E155,'A-1 On-Site Habitat Baseline'!$D$1:$O$258,8,FALSE)),"",(VLOOKUP($E155,'A-1 On-Site Habitat Baseline'!$D$1:$O$258,8,FALSE))))</f>
        <v/>
      </c>
      <c r="K155" s="382" t="str">
        <f>IF(E155="","",IF(ISNA(VLOOKUP($E155,'A-1 On-Site Habitat Baseline'!$D$1:$O$258,9,FALSE)),"",(VLOOKUP($E155,'A-1 On-Site Habitat Baseline'!$D$1:$O$258,9,FALSE))))</f>
        <v/>
      </c>
      <c r="L155" s="382" t="str">
        <f>IF(E155="","",IF(ISNA(VLOOKUP($E155,'A-1 On-Site Habitat Baseline'!$D$1:$O$258,11,FALSE)),"",(VLOOKUP($E155,'A-1 On-Site Habitat Baseline'!$D$1:$O$258,11,FALSE))))</f>
        <v/>
      </c>
      <c r="M155" s="382" t="str">
        <f>IF(E155="","",IF(ISNA(VLOOKUP($E155,'A-1 On-Site Habitat Baseline'!$D$1:$O$258,12,FALSE)),"",(VLOOKUP($E155,'A-1 On-Site Habitat Baseline'!$D$1:$O$258,12,FALSE))))</f>
        <v/>
      </c>
      <c r="N155" s="393" t="str">
        <f>IF(E155="","",IF(ISNA(VLOOKUP($E155,'A-1 On-Site Habitat Baseline'!$D$1:$X$258,14,FALSE)),"",(VLOOKUP($E155,'A-1 On-Site Habitat Baseline'!$D$1:$X$258,14,FALSE))))</f>
        <v/>
      </c>
      <c r="O155" s="386" t="str">
        <f>IF(E155="","",IF(ISNA(VLOOKUP($E155,'A-1 On-Site Habitat Baseline'!$D$1:$X$258,16,FALSE)),"",(VLOOKUP($E155,'A-1 On-Site Habitat Baseline'!$D$1:$X$258,13,FALSE))))</f>
        <v/>
      </c>
      <c r="P155" s="192" t="str">
        <f>IFERROR(INDEX('G-1 All Habitats'!$AG$3:$AG$17,MATCH(Q155,'G-1 All Habitats'!$AF$3:$AF$17,0)),"")</f>
        <v/>
      </c>
      <c r="Q155" s="193" t="str">
        <f t="shared" si="23"/>
        <v/>
      </c>
      <c r="R155" s="193" t="str">
        <f t="shared" si="23"/>
        <v/>
      </c>
      <c r="S155" s="306" t="str">
        <f>IFERROR(INDEX('G-1 All Habitats'!$B$3:$B$134,MATCH(R155,'G-1 All Habitats'!$A$3:$A$134,0)),"")</f>
        <v/>
      </c>
      <c r="T155" s="362" t="str">
        <f t="shared" si="24"/>
        <v/>
      </c>
      <c r="U155" s="363" t="str">
        <f t="shared" si="25"/>
        <v/>
      </c>
      <c r="V155" s="398" t="str">
        <f t="shared" si="21"/>
        <v/>
      </c>
      <c r="W155" s="382" t="str">
        <f>IF(S155="","",VLOOKUP(S155,'G-1 All Habitats'!$B$2:$M$134,10,FALSE))</f>
        <v/>
      </c>
      <c r="X155" s="382" t="str">
        <f>IFERROR(VLOOKUP(W155,'G-1 All Habitats'!$V$3:$W$7,2,FALSE),"")</f>
        <v/>
      </c>
      <c r="Y155" s="61"/>
      <c r="Z155" s="386" t="str">
        <f>IFERROR(INDEX('G-8 Condition Look up'!$A$3:$H$135,MATCH(S155,'G-8 Condition Look up'!$A$3:$A$135,0),MATCH(Y155,'G-8 Condition Look up'!$A$3:$H$3,0)),"")</f>
        <v/>
      </c>
      <c r="AA155" s="54"/>
      <c r="AB155" s="382" t="str">
        <f>IF(AA155="","",IF(VLOOKUP(AA155,'G-3 Multipliers'!$L$3:$N$6,2,FALSE)=0,"Spatial Data Missing ⚠",VLOOKUP(AA155,'G-3 Multipliers'!$L$3:$N$6,2,FALSE)))</f>
        <v/>
      </c>
      <c r="AC155" s="386" t="str">
        <f>IF(AA155="","",IF(VLOOKUP(AA155,'G-3 Multipliers'!$L$3:$N$6,3,FALSE)=0,"Spatial Data Missing ⚠",VLOOKUP(AA155,'G-3 Multipliers'!$L$3:$N$6,3,FALSE)))</f>
        <v/>
      </c>
      <c r="AD155" s="400" t="str">
        <f t="shared" si="22"/>
        <v/>
      </c>
      <c r="AE155" s="63"/>
      <c r="AF155" s="63"/>
      <c r="AG155" s="370" t="str">
        <f t="shared" si="26"/>
        <v/>
      </c>
      <c r="AH155" s="383" t="str">
        <f t="shared" si="27"/>
        <v/>
      </c>
      <c r="AI155" s="384" t="str">
        <f>IF(AH155="Check Data","Check Data",IFERROR(VLOOKUP(AH155,'G-4 Temporal multipliers'!$A$4:$C$36,3,FALSE),""))</f>
        <v/>
      </c>
      <c r="AJ155" s="362" t="str">
        <f>IF(S155="","",VLOOKUP(S155,'G-3 Multipliers'!$A$2:$E$134,4,FALSE))</f>
        <v/>
      </c>
      <c r="AK155" s="370" t="str">
        <f t="shared" si="28"/>
        <v/>
      </c>
      <c r="AL155" s="370" t="str">
        <f t="shared" si="29"/>
        <v/>
      </c>
      <c r="AM155" s="401" t="str">
        <f>IFERROR(IF(F155="","",IF(AH155="Check Data ⚠","Check Data ⚠",VLOOKUP(AL155, 'G-3 Multipliers'!$P$2:$Q$6,2,FALSE))),"")</f>
        <v/>
      </c>
      <c r="AN155" s="376" t="str">
        <f t="shared" si="30"/>
        <v/>
      </c>
      <c r="AO155" s="194"/>
      <c r="AP155" s="195"/>
      <c r="AQ155" s="120"/>
    </row>
    <row r="156" spans="1:43">
      <c r="A156" s="35" t="str">
        <f>IF(E156="","",IF(ISNA(VLOOKUP($E156,'A-1 On-Site Habitat Baseline'!$D$1:$O$258,2,FALSE)),"",(VLOOKUP($E156,'A-1 On-Site Habitat Baseline'!$D$1:$O$258,2,FALSE))))</f>
        <v/>
      </c>
      <c r="B156" s="35" t="str">
        <f>IF(E156="","",IF(ISNA(VLOOKUP($E156,'A-1 On-Site Habitat Baseline'!$D$1:$O$258,3,FALSE)),"",(VLOOKUP($E156,'A-1 On-Site Habitat Baseline'!$D$1:$O$258,3,FALSE))))</f>
        <v/>
      </c>
      <c r="C156" s="35" t="str">
        <f>IFERROR(INDEX('G-8 Condition Look up'!$I$4:$I$135,MATCH(S156,'G-8 Condition Look up'!$A$4:$A$135,0)),"")</f>
        <v/>
      </c>
      <c r="E156" s="392" t="str">
        <f>'A-1 On-Site Habitat Baseline'!AL155</f>
        <v/>
      </c>
      <c r="F156" s="382" t="str">
        <f>IF(E156="","",IF(ISNA(VLOOKUP($E156,'A-1 On-Site Habitat Baseline'!$D$1:$O$258,4,FALSE)),"",(VLOOKUP($E156,'A-1 On-Site Habitat Baseline'!$D$1:$O$258,4,FALSE))))</f>
        <v/>
      </c>
      <c r="G156" s="382" t="str">
        <f>IF(E156="","",IF(ISNA(VLOOKUP($E156,'A-1 On-Site Habitat Baseline'!$D$1:$O$258,5,FALSE)),"",(VLOOKUP($E156,'A-1 On-Site Habitat Baseline'!$D$1:$O$258,5,FALSE))))</f>
        <v/>
      </c>
      <c r="H156" s="382" t="str">
        <f>IF(E156="","",IF(ISNA(VLOOKUP($E156,'A-1 On-Site Habitat Baseline'!$D$1:$O$258,6,FALSE)),"",(VLOOKUP($E156,'A-1 On-Site Habitat Baseline'!$D$1:$O$258,6,FALSE))))</f>
        <v/>
      </c>
      <c r="I156" s="382" t="str">
        <f>IF(E156="","",IF(ISNA(VLOOKUP($E156,'A-1 On-Site Habitat Baseline'!$D$1:$O$258,7,FALSE)),"",(VLOOKUP($E156,'A-1 On-Site Habitat Baseline'!$D$1:$O$258,7,FALSE))))</f>
        <v/>
      </c>
      <c r="J156" s="382" t="str">
        <f>IF(E156="","",IF(ISNA(VLOOKUP($E156,'A-1 On-Site Habitat Baseline'!$D$1:$O$258,8,FALSE)),"",(VLOOKUP($E156,'A-1 On-Site Habitat Baseline'!$D$1:$O$258,8,FALSE))))</f>
        <v/>
      </c>
      <c r="K156" s="382" t="str">
        <f>IF(E156="","",IF(ISNA(VLOOKUP($E156,'A-1 On-Site Habitat Baseline'!$D$1:$O$258,9,FALSE)),"",(VLOOKUP($E156,'A-1 On-Site Habitat Baseline'!$D$1:$O$258,9,FALSE))))</f>
        <v/>
      </c>
      <c r="L156" s="382" t="str">
        <f>IF(E156="","",IF(ISNA(VLOOKUP($E156,'A-1 On-Site Habitat Baseline'!$D$1:$O$258,11,FALSE)),"",(VLOOKUP($E156,'A-1 On-Site Habitat Baseline'!$D$1:$O$258,11,FALSE))))</f>
        <v/>
      </c>
      <c r="M156" s="382" t="str">
        <f>IF(E156="","",IF(ISNA(VLOOKUP($E156,'A-1 On-Site Habitat Baseline'!$D$1:$O$258,12,FALSE)),"",(VLOOKUP($E156,'A-1 On-Site Habitat Baseline'!$D$1:$O$258,12,FALSE))))</f>
        <v/>
      </c>
      <c r="N156" s="393" t="str">
        <f>IF(E156="","",IF(ISNA(VLOOKUP($E156,'A-1 On-Site Habitat Baseline'!$D$1:$X$258,14,FALSE)),"",(VLOOKUP($E156,'A-1 On-Site Habitat Baseline'!$D$1:$X$258,14,FALSE))))</f>
        <v/>
      </c>
      <c r="O156" s="386" t="str">
        <f>IF(E156="","",IF(ISNA(VLOOKUP($E156,'A-1 On-Site Habitat Baseline'!$D$1:$X$258,16,FALSE)),"",(VLOOKUP($E156,'A-1 On-Site Habitat Baseline'!$D$1:$X$258,13,FALSE))))</f>
        <v/>
      </c>
      <c r="P156" s="192" t="str">
        <f>IFERROR(INDEX('G-1 All Habitats'!$AG$3:$AG$17,MATCH(Q156,'G-1 All Habitats'!$AF$3:$AF$17,0)),"")</f>
        <v/>
      </c>
      <c r="Q156" s="193" t="str">
        <f t="shared" si="23"/>
        <v/>
      </c>
      <c r="R156" s="193" t="str">
        <f t="shared" si="23"/>
        <v/>
      </c>
      <c r="S156" s="306" t="str">
        <f>IFERROR(INDEX('G-1 All Habitats'!$B$3:$B$134,MATCH(R156,'G-1 All Habitats'!$A$3:$A$134,0)),"")</f>
        <v/>
      </c>
      <c r="T156" s="362" t="str">
        <f t="shared" si="24"/>
        <v/>
      </c>
      <c r="U156" s="363" t="str">
        <f t="shared" si="25"/>
        <v/>
      </c>
      <c r="V156" s="398" t="str">
        <f t="shared" si="21"/>
        <v/>
      </c>
      <c r="W156" s="382" t="str">
        <f>IF(S156="","",VLOOKUP(S156,'G-1 All Habitats'!$B$2:$M$134,10,FALSE))</f>
        <v/>
      </c>
      <c r="X156" s="382" t="str">
        <f>IFERROR(VLOOKUP(W156,'G-1 All Habitats'!$V$3:$W$7,2,FALSE),"")</f>
        <v/>
      </c>
      <c r="Y156" s="61"/>
      <c r="Z156" s="386" t="str">
        <f>IFERROR(INDEX('G-8 Condition Look up'!$A$3:$H$135,MATCH(S156,'G-8 Condition Look up'!$A$3:$A$135,0),MATCH(Y156,'G-8 Condition Look up'!$A$3:$H$3,0)),"")</f>
        <v/>
      </c>
      <c r="AA156" s="54"/>
      <c r="AB156" s="382" t="str">
        <f>IF(AA156="","",IF(VLOOKUP(AA156,'G-3 Multipliers'!$L$3:$N$6,2,FALSE)=0,"Spatial Data Missing ⚠",VLOOKUP(AA156,'G-3 Multipliers'!$L$3:$N$6,2,FALSE)))</f>
        <v/>
      </c>
      <c r="AC156" s="386" t="str">
        <f>IF(AA156="","",IF(VLOOKUP(AA156,'G-3 Multipliers'!$L$3:$N$6,3,FALSE)=0,"Spatial Data Missing ⚠",VLOOKUP(AA156,'G-3 Multipliers'!$L$3:$N$6,3,FALSE)))</f>
        <v/>
      </c>
      <c r="AD156" s="400" t="str">
        <f t="shared" si="22"/>
        <v/>
      </c>
      <c r="AE156" s="63"/>
      <c r="AF156" s="63"/>
      <c r="AG156" s="370" t="str">
        <f t="shared" si="26"/>
        <v/>
      </c>
      <c r="AH156" s="383" t="str">
        <f t="shared" si="27"/>
        <v/>
      </c>
      <c r="AI156" s="384" t="str">
        <f>IF(AH156="Check Data","Check Data",IFERROR(VLOOKUP(AH156,'G-4 Temporal multipliers'!$A$4:$C$36,3,FALSE),""))</f>
        <v/>
      </c>
      <c r="AJ156" s="362" t="str">
        <f>IF(S156="","",VLOOKUP(S156,'G-3 Multipliers'!$A$2:$E$134,4,FALSE))</f>
        <v/>
      </c>
      <c r="AK156" s="370" t="str">
        <f t="shared" si="28"/>
        <v/>
      </c>
      <c r="AL156" s="370" t="str">
        <f t="shared" si="29"/>
        <v/>
      </c>
      <c r="AM156" s="401" t="str">
        <f>IFERROR(IF(F156="","",IF(AH156="Check Data ⚠","Check Data ⚠",VLOOKUP(AL156, 'G-3 Multipliers'!$P$2:$Q$6,2,FALSE))),"")</f>
        <v/>
      </c>
      <c r="AN156" s="376" t="str">
        <f t="shared" si="30"/>
        <v/>
      </c>
      <c r="AO156" s="194"/>
      <c r="AP156" s="195"/>
      <c r="AQ156" s="120"/>
    </row>
    <row r="157" spans="1:43">
      <c r="A157" s="35" t="str">
        <f>IF(E157="","",IF(ISNA(VLOOKUP($E157,'A-1 On-Site Habitat Baseline'!$D$1:$O$258,2,FALSE)),"",(VLOOKUP($E157,'A-1 On-Site Habitat Baseline'!$D$1:$O$258,2,FALSE))))</f>
        <v/>
      </c>
      <c r="B157" s="35" t="str">
        <f>IF(E157="","",IF(ISNA(VLOOKUP($E157,'A-1 On-Site Habitat Baseline'!$D$1:$O$258,3,FALSE)),"",(VLOOKUP($E157,'A-1 On-Site Habitat Baseline'!$D$1:$O$258,3,FALSE))))</f>
        <v/>
      </c>
      <c r="C157" s="35" t="str">
        <f>IFERROR(INDEX('G-8 Condition Look up'!$I$4:$I$135,MATCH(S157,'G-8 Condition Look up'!$A$4:$A$135,0)),"")</f>
        <v/>
      </c>
      <c r="E157" s="392" t="str">
        <f>'A-1 On-Site Habitat Baseline'!AL156</f>
        <v/>
      </c>
      <c r="F157" s="382" t="str">
        <f>IF(E157="","",IF(ISNA(VLOOKUP($E157,'A-1 On-Site Habitat Baseline'!$D$1:$O$258,4,FALSE)),"",(VLOOKUP($E157,'A-1 On-Site Habitat Baseline'!$D$1:$O$258,4,FALSE))))</f>
        <v/>
      </c>
      <c r="G157" s="382" t="str">
        <f>IF(E157="","",IF(ISNA(VLOOKUP($E157,'A-1 On-Site Habitat Baseline'!$D$1:$O$258,5,FALSE)),"",(VLOOKUP($E157,'A-1 On-Site Habitat Baseline'!$D$1:$O$258,5,FALSE))))</f>
        <v/>
      </c>
      <c r="H157" s="382" t="str">
        <f>IF(E157="","",IF(ISNA(VLOOKUP($E157,'A-1 On-Site Habitat Baseline'!$D$1:$O$258,6,FALSE)),"",(VLOOKUP($E157,'A-1 On-Site Habitat Baseline'!$D$1:$O$258,6,FALSE))))</f>
        <v/>
      </c>
      <c r="I157" s="382" t="str">
        <f>IF(E157="","",IF(ISNA(VLOOKUP($E157,'A-1 On-Site Habitat Baseline'!$D$1:$O$258,7,FALSE)),"",(VLOOKUP($E157,'A-1 On-Site Habitat Baseline'!$D$1:$O$258,7,FALSE))))</f>
        <v/>
      </c>
      <c r="J157" s="382" t="str">
        <f>IF(E157="","",IF(ISNA(VLOOKUP($E157,'A-1 On-Site Habitat Baseline'!$D$1:$O$258,8,FALSE)),"",(VLOOKUP($E157,'A-1 On-Site Habitat Baseline'!$D$1:$O$258,8,FALSE))))</f>
        <v/>
      </c>
      <c r="K157" s="382" t="str">
        <f>IF(E157="","",IF(ISNA(VLOOKUP($E157,'A-1 On-Site Habitat Baseline'!$D$1:$O$258,9,FALSE)),"",(VLOOKUP($E157,'A-1 On-Site Habitat Baseline'!$D$1:$O$258,9,FALSE))))</f>
        <v/>
      </c>
      <c r="L157" s="382" t="str">
        <f>IF(E157="","",IF(ISNA(VLOOKUP($E157,'A-1 On-Site Habitat Baseline'!$D$1:$O$258,11,FALSE)),"",(VLOOKUP($E157,'A-1 On-Site Habitat Baseline'!$D$1:$O$258,11,FALSE))))</f>
        <v/>
      </c>
      <c r="M157" s="382" t="str">
        <f>IF(E157="","",IF(ISNA(VLOOKUP($E157,'A-1 On-Site Habitat Baseline'!$D$1:$O$258,12,FALSE)),"",(VLOOKUP($E157,'A-1 On-Site Habitat Baseline'!$D$1:$O$258,12,FALSE))))</f>
        <v/>
      </c>
      <c r="N157" s="393" t="str">
        <f>IF(E157="","",IF(ISNA(VLOOKUP($E157,'A-1 On-Site Habitat Baseline'!$D$1:$X$258,14,FALSE)),"",(VLOOKUP($E157,'A-1 On-Site Habitat Baseline'!$D$1:$X$258,14,FALSE))))</f>
        <v/>
      </c>
      <c r="O157" s="386" t="str">
        <f>IF(E157="","",IF(ISNA(VLOOKUP($E157,'A-1 On-Site Habitat Baseline'!$D$1:$X$258,16,FALSE)),"",(VLOOKUP($E157,'A-1 On-Site Habitat Baseline'!$D$1:$X$258,13,FALSE))))</f>
        <v/>
      </c>
      <c r="P157" s="192" t="str">
        <f>IFERROR(INDEX('G-1 All Habitats'!$AG$3:$AG$17,MATCH(Q157,'G-1 All Habitats'!$AF$3:$AF$17,0)),"")</f>
        <v/>
      </c>
      <c r="Q157" s="193" t="str">
        <f t="shared" si="23"/>
        <v/>
      </c>
      <c r="R157" s="193" t="str">
        <f t="shared" si="23"/>
        <v/>
      </c>
      <c r="S157" s="306" t="str">
        <f>IFERROR(INDEX('G-1 All Habitats'!$B$3:$B$134,MATCH(R157,'G-1 All Habitats'!$A$3:$A$134,0)),"")</f>
        <v/>
      </c>
      <c r="T157" s="362" t="str">
        <f t="shared" si="24"/>
        <v/>
      </c>
      <c r="U157" s="363" t="str">
        <f t="shared" si="25"/>
        <v/>
      </c>
      <c r="V157" s="398" t="str">
        <f t="shared" si="21"/>
        <v/>
      </c>
      <c r="W157" s="382" t="str">
        <f>IF(S157="","",VLOOKUP(S157,'G-1 All Habitats'!$B$2:$M$134,10,FALSE))</f>
        <v/>
      </c>
      <c r="X157" s="382" t="str">
        <f>IFERROR(VLOOKUP(W157,'G-1 All Habitats'!$V$3:$W$7,2,FALSE),"")</f>
        <v/>
      </c>
      <c r="Y157" s="61"/>
      <c r="Z157" s="386" t="str">
        <f>IFERROR(INDEX('G-8 Condition Look up'!$A$3:$H$135,MATCH(S157,'G-8 Condition Look up'!$A$3:$A$135,0),MATCH(Y157,'G-8 Condition Look up'!$A$3:$H$3,0)),"")</f>
        <v/>
      </c>
      <c r="AA157" s="54"/>
      <c r="AB157" s="382" t="str">
        <f>IF(AA157="","",IF(VLOOKUP(AA157,'G-3 Multipliers'!$L$3:$N$6,2,FALSE)=0,"Spatial Data Missing ⚠",VLOOKUP(AA157,'G-3 Multipliers'!$L$3:$N$6,2,FALSE)))</f>
        <v/>
      </c>
      <c r="AC157" s="386" t="str">
        <f>IF(AA157="","",IF(VLOOKUP(AA157,'G-3 Multipliers'!$L$3:$N$6,3,FALSE)=0,"Spatial Data Missing ⚠",VLOOKUP(AA157,'G-3 Multipliers'!$L$3:$N$6,3,FALSE)))</f>
        <v/>
      </c>
      <c r="AD157" s="400" t="str">
        <f t="shared" si="22"/>
        <v/>
      </c>
      <c r="AE157" s="63"/>
      <c r="AF157" s="63"/>
      <c r="AG157" s="370" t="str">
        <f t="shared" si="26"/>
        <v/>
      </c>
      <c r="AH157" s="383" t="str">
        <f t="shared" si="27"/>
        <v/>
      </c>
      <c r="AI157" s="384" t="str">
        <f>IF(AH157="Check Data","Check Data",IFERROR(VLOOKUP(AH157,'G-4 Temporal multipliers'!$A$4:$C$36,3,FALSE),""))</f>
        <v/>
      </c>
      <c r="AJ157" s="362" t="str">
        <f>IF(S157="","",VLOOKUP(S157,'G-3 Multipliers'!$A$2:$E$134,4,FALSE))</f>
        <v/>
      </c>
      <c r="AK157" s="370" t="str">
        <f t="shared" si="28"/>
        <v/>
      </c>
      <c r="AL157" s="370" t="str">
        <f t="shared" si="29"/>
        <v/>
      </c>
      <c r="AM157" s="401" t="str">
        <f>IFERROR(IF(F157="","",IF(AH157="Check Data ⚠","Check Data ⚠",VLOOKUP(AL157, 'G-3 Multipliers'!$P$2:$Q$6,2,FALSE))),"")</f>
        <v/>
      </c>
      <c r="AN157" s="376" t="str">
        <f t="shared" si="30"/>
        <v/>
      </c>
      <c r="AO157" s="194"/>
      <c r="AP157" s="195"/>
      <c r="AQ157" s="120"/>
    </row>
    <row r="158" spans="1:43">
      <c r="A158" s="35" t="str">
        <f>IF(E158="","",IF(ISNA(VLOOKUP($E158,'A-1 On-Site Habitat Baseline'!$D$1:$O$258,2,FALSE)),"",(VLOOKUP($E158,'A-1 On-Site Habitat Baseline'!$D$1:$O$258,2,FALSE))))</f>
        <v/>
      </c>
      <c r="B158" s="35" t="str">
        <f>IF(E158="","",IF(ISNA(VLOOKUP($E158,'A-1 On-Site Habitat Baseline'!$D$1:$O$258,3,FALSE)),"",(VLOOKUP($E158,'A-1 On-Site Habitat Baseline'!$D$1:$O$258,3,FALSE))))</f>
        <v/>
      </c>
      <c r="C158" s="35" t="str">
        <f>IFERROR(INDEX('G-8 Condition Look up'!$I$4:$I$135,MATCH(S158,'G-8 Condition Look up'!$A$4:$A$135,0)),"")</f>
        <v/>
      </c>
      <c r="E158" s="392" t="str">
        <f>'A-1 On-Site Habitat Baseline'!AL157</f>
        <v/>
      </c>
      <c r="F158" s="382" t="str">
        <f>IF(E158="","",IF(ISNA(VLOOKUP($E158,'A-1 On-Site Habitat Baseline'!$D$1:$O$258,4,FALSE)),"",(VLOOKUP($E158,'A-1 On-Site Habitat Baseline'!$D$1:$O$258,4,FALSE))))</f>
        <v/>
      </c>
      <c r="G158" s="382" t="str">
        <f>IF(E158="","",IF(ISNA(VLOOKUP($E158,'A-1 On-Site Habitat Baseline'!$D$1:$O$258,5,FALSE)),"",(VLOOKUP($E158,'A-1 On-Site Habitat Baseline'!$D$1:$O$258,5,FALSE))))</f>
        <v/>
      </c>
      <c r="H158" s="382" t="str">
        <f>IF(E158="","",IF(ISNA(VLOOKUP($E158,'A-1 On-Site Habitat Baseline'!$D$1:$O$258,6,FALSE)),"",(VLOOKUP($E158,'A-1 On-Site Habitat Baseline'!$D$1:$O$258,6,FALSE))))</f>
        <v/>
      </c>
      <c r="I158" s="382" t="str">
        <f>IF(E158="","",IF(ISNA(VLOOKUP($E158,'A-1 On-Site Habitat Baseline'!$D$1:$O$258,7,FALSE)),"",(VLOOKUP($E158,'A-1 On-Site Habitat Baseline'!$D$1:$O$258,7,FALSE))))</f>
        <v/>
      </c>
      <c r="J158" s="382" t="str">
        <f>IF(E158="","",IF(ISNA(VLOOKUP($E158,'A-1 On-Site Habitat Baseline'!$D$1:$O$258,8,FALSE)),"",(VLOOKUP($E158,'A-1 On-Site Habitat Baseline'!$D$1:$O$258,8,FALSE))))</f>
        <v/>
      </c>
      <c r="K158" s="382" t="str">
        <f>IF(E158="","",IF(ISNA(VLOOKUP($E158,'A-1 On-Site Habitat Baseline'!$D$1:$O$258,9,FALSE)),"",(VLOOKUP($E158,'A-1 On-Site Habitat Baseline'!$D$1:$O$258,9,FALSE))))</f>
        <v/>
      </c>
      <c r="L158" s="382" t="str">
        <f>IF(E158="","",IF(ISNA(VLOOKUP($E158,'A-1 On-Site Habitat Baseline'!$D$1:$O$258,11,FALSE)),"",(VLOOKUP($E158,'A-1 On-Site Habitat Baseline'!$D$1:$O$258,11,FALSE))))</f>
        <v/>
      </c>
      <c r="M158" s="382" t="str">
        <f>IF(E158="","",IF(ISNA(VLOOKUP($E158,'A-1 On-Site Habitat Baseline'!$D$1:$O$258,12,FALSE)),"",(VLOOKUP($E158,'A-1 On-Site Habitat Baseline'!$D$1:$O$258,12,FALSE))))</f>
        <v/>
      </c>
      <c r="N158" s="393" t="str">
        <f>IF(E158="","",IF(ISNA(VLOOKUP($E158,'A-1 On-Site Habitat Baseline'!$D$1:$X$258,14,FALSE)),"",(VLOOKUP($E158,'A-1 On-Site Habitat Baseline'!$D$1:$X$258,14,FALSE))))</f>
        <v/>
      </c>
      <c r="O158" s="386" t="str">
        <f>IF(E158="","",IF(ISNA(VLOOKUP($E158,'A-1 On-Site Habitat Baseline'!$D$1:$X$258,16,FALSE)),"",(VLOOKUP($E158,'A-1 On-Site Habitat Baseline'!$D$1:$X$258,13,FALSE))))</f>
        <v/>
      </c>
      <c r="P158" s="192" t="str">
        <f>IFERROR(INDEX('G-1 All Habitats'!$AG$3:$AG$17,MATCH(Q158,'G-1 All Habitats'!$AF$3:$AF$17,0)),"")</f>
        <v/>
      </c>
      <c r="Q158" s="193" t="str">
        <f t="shared" si="23"/>
        <v/>
      </c>
      <c r="R158" s="193" t="str">
        <f t="shared" si="23"/>
        <v/>
      </c>
      <c r="S158" s="306" t="str">
        <f>IFERROR(INDEX('G-1 All Habitats'!$B$3:$B$134,MATCH(R158,'G-1 All Habitats'!$A$3:$A$134,0)),"")</f>
        <v/>
      </c>
      <c r="T158" s="362" t="str">
        <f t="shared" si="24"/>
        <v/>
      </c>
      <c r="U158" s="363" t="str">
        <f t="shared" si="25"/>
        <v/>
      </c>
      <c r="V158" s="398" t="str">
        <f t="shared" si="21"/>
        <v/>
      </c>
      <c r="W158" s="382" t="str">
        <f>IF(S158="","",VLOOKUP(S158,'G-1 All Habitats'!$B$2:$M$134,10,FALSE))</f>
        <v/>
      </c>
      <c r="X158" s="382" t="str">
        <f>IFERROR(VLOOKUP(W158,'G-1 All Habitats'!$V$3:$W$7,2,FALSE),"")</f>
        <v/>
      </c>
      <c r="Y158" s="61"/>
      <c r="Z158" s="386" t="str">
        <f>IFERROR(INDEX('G-8 Condition Look up'!$A$3:$H$135,MATCH(S158,'G-8 Condition Look up'!$A$3:$A$135,0),MATCH(Y158,'G-8 Condition Look up'!$A$3:$H$3,0)),"")</f>
        <v/>
      </c>
      <c r="AA158" s="54"/>
      <c r="AB158" s="382" t="str">
        <f>IF(AA158="","",IF(VLOOKUP(AA158,'G-3 Multipliers'!$L$3:$N$6,2,FALSE)=0,"Spatial Data Missing ⚠",VLOOKUP(AA158,'G-3 Multipliers'!$L$3:$N$6,2,FALSE)))</f>
        <v/>
      </c>
      <c r="AC158" s="386" t="str">
        <f>IF(AA158="","",IF(VLOOKUP(AA158,'G-3 Multipliers'!$L$3:$N$6,3,FALSE)=0,"Spatial Data Missing ⚠",VLOOKUP(AA158,'G-3 Multipliers'!$L$3:$N$6,3,FALSE)))</f>
        <v/>
      </c>
      <c r="AD158" s="400" t="str">
        <f t="shared" si="22"/>
        <v/>
      </c>
      <c r="AE158" s="63"/>
      <c r="AF158" s="63"/>
      <c r="AG158" s="370" t="str">
        <f t="shared" si="26"/>
        <v/>
      </c>
      <c r="AH158" s="383" t="str">
        <f t="shared" si="27"/>
        <v/>
      </c>
      <c r="AI158" s="384" t="str">
        <f>IF(AH158="Check Data","Check Data",IFERROR(VLOOKUP(AH158,'G-4 Temporal multipliers'!$A$4:$C$36,3,FALSE),""))</f>
        <v/>
      </c>
      <c r="AJ158" s="362" t="str">
        <f>IF(S158="","",VLOOKUP(S158,'G-3 Multipliers'!$A$2:$E$134,4,FALSE))</f>
        <v/>
      </c>
      <c r="AK158" s="370" t="str">
        <f t="shared" si="28"/>
        <v/>
      </c>
      <c r="AL158" s="370" t="str">
        <f t="shared" si="29"/>
        <v/>
      </c>
      <c r="AM158" s="401" t="str">
        <f>IFERROR(IF(F158="","",IF(AH158="Check Data ⚠","Check Data ⚠",VLOOKUP(AL158, 'G-3 Multipliers'!$P$2:$Q$6,2,FALSE))),"")</f>
        <v/>
      </c>
      <c r="AN158" s="376" t="str">
        <f t="shared" si="30"/>
        <v/>
      </c>
      <c r="AO158" s="194"/>
      <c r="AP158" s="195"/>
      <c r="AQ158" s="120"/>
    </row>
    <row r="159" spans="1:43">
      <c r="A159" s="35" t="str">
        <f>IF(E159="","",IF(ISNA(VLOOKUP($E159,'A-1 On-Site Habitat Baseline'!$D$1:$O$258,2,FALSE)),"",(VLOOKUP($E159,'A-1 On-Site Habitat Baseline'!$D$1:$O$258,2,FALSE))))</f>
        <v/>
      </c>
      <c r="B159" s="35" t="str">
        <f>IF(E159="","",IF(ISNA(VLOOKUP($E159,'A-1 On-Site Habitat Baseline'!$D$1:$O$258,3,FALSE)),"",(VLOOKUP($E159,'A-1 On-Site Habitat Baseline'!$D$1:$O$258,3,FALSE))))</f>
        <v/>
      </c>
      <c r="C159" s="35" t="str">
        <f>IFERROR(INDEX('G-8 Condition Look up'!$I$4:$I$135,MATCH(S159,'G-8 Condition Look up'!$A$4:$A$135,0)),"")</f>
        <v/>
      </c>
      <c r="E159" s="392" t="str">
        <f>'A-1 On-Site Habitat Baseline'!AL158</f>
        <v/>
      </c>
      <c r="F159" s="382" t="str">
        <f>IF(E159="","",IF(ISNA(VLOOKUP($E159,'A-1 On-Site Habitat Baseline'!$D$1:$O$258,4,FALSE)),"",(VLOOKUP($E159,'A-1 On-Site Habitat Baseline'!$D$1:$O$258,4,FALSE))))</f>
        <v/>
      </c>
      <c r="G159" s="382" t="str">
        <f>IF(E159="","",IF(ISNA(VLOOKUP($E159,'A-1 On-Site Habitat Baseline'!$D$1:$O$258,5,FALSE)),"",(VLOOKUP($E159,'A-1 On-Site Habitat Baseline'!$D$1:$O$258,5,FALSE))))</f>
        <v/>
      </c>
      <c r="H159" s="382" t="str">
        <f>IF(E159="","",IF(ISNA(VLOOKUP($E159,'A-1 On-Site Habitat Baseline'!$D$1:$O$258,6,FALSE)),"",(VLOOKUP($E159,'A-1 On-Site Habitat Baseline'!$D$1:$O$258,6,FALSE))))</f>
        <v/>
      </c>
      <c r="I159" s="382" t="str">
        <f>IF(E159="","",IF(ISNA(VLOOKUP($E159,'A-1 On-Site Habitat Baseline'!$D$1:$O$258,7,FALSE)),"",(VLOOKUP($E159,'A-1 On-Site Habitat Baseline'!$D$1:$O$258,7,FALSE))))</f>
        <v/>
      </c>
      <c r="J159" s="382" t="str">
        <f>IF(E159="","",IF(ISNA(VLOOKUP($E159,'A-1 On-Site Habitat Baseline'!$D$1:$O$258,8,FALSE)),"",(VLOOKUP($E159,'A-1 On-Site Habitat Baseline'!$D$1:$O$258,8,FALSE))))</f>
        <v/>
      </c>
      <c r="K159" s="382" t="str">
        <f>IF(E159="","",IF(ISNA(VLOOKUP($E159,'A-1 On-Site Habitat Baseline'!$D$1:$O$258,9,FALSE)),"",(VLOOKUP($E159,'A-1 On-Site Habitat Baseline'!$D$1:$O$258,9,FALSE))))</f>
        <v/>
      </c>
      <c r="L159" s="382" t="str">
        <f>IF(E159="","",IF(ISNA(VLOOKUP($E159,'A-1 On-Site Habitat Baseline'!$D$1:$O$258,11,FALSE)),"",(VLOOKUP($E159,'A-1 On-Site Habitat Baseline'!$D$1:$O$258,11,FALSE))))</f>
        <v/>
      </c>
      <c r="M159" s="382" t="str">
        <f>IF(E159="","",IF(ISNA(VLOOKUP($E159,'A-1 On-Site Habitat Baseline'!$D$1:$O$258,12,FALSE)),"",(VLOOKUP($E159,'A-1 On-Site Habitat Baseline'!$D$1:$O$258,12,FALSE))))</f>
        <v/>
      </c>
      <c r="N159" s="393" t="str">
        <f>IF(E159="","",IF(ISNA(VLOOKUP($E159,'A-1 On-Site Habitat Baseline'!$D$1:$X$258,14,FALSE)),"",(VLOOKUP($E159,'A-1 On-Site Habitat Baseline'!$D$1:$X$258,14,FALSE))))</f>
        <v/>
      </c>
      <c r="O159" s="386" t="str">
        <f>IF(E159="","",IF(ISNA(VLOOKUP($E159,'A-1 On-Site Habitat Baseline'!$D$1:$X$258,16,FALSE)),"",(VLOOKUP($E159,'A-1 On-Site Habitat Baseline'!$D$1:$X$258,13,FALSE))))</f>
        <v/>
      </c>
      <c r="P159" s="192" t="str">
        <f>IFERROR(INDEX('G-1 All Habitats'!$AG$3:$AG$17,MATCH(Q159,'G-1 All Habitats'!$AF$3:$AF$17,0)),"")</f>
        <v/>
      </c>
      <c r="Q159" s="193" t="str">
        <f t="shared" si="23"/>
        <v/>
      </c>
      <c r="R159" s="193" t="str">
        <f t="shared" si="23"/>
        <v/>
      </c>
      <c r="S159" s="306" t="str">
        <f>IFERROR(INDEX('G-1 All Habitats'!$B$3:$B$134,MATCH(R159,'G-1 All Habitats'!$A$3:$A$134,0)),"")</f>
        <v/>
      </c>
      <c r="T159" s="362" t="str">
        <f t="shared" si="24"/>
        <v/>
      </c>
      <c r="U159" s="363" t="str">
        <f t="shared" si="25"/>
        <v/>
      </c>
      <c r="V159" s="398" t="str">
        <f t="shared" si="21"/>
        <v/>
      </c>
      <c r="W159" s="382" t="str">
        <f>IF(S159="","",VLOOKUP(S159,'G-1 All Habitats'!$B$2:$M$134,10,FALSE))</f>
        <v/>
      </c>
      <c r="X159" s="382" t="str">
        <f>IFERROR(VLOOKUP(W159,'G-1 All Habitats'!$V$3:$W$7,2,FALSE),"")</f>
        <v/>
      </c>
      <c r="Y159" s="61"/>
      <c r="Z159" s="386" t="str">
        <f>IFERROR(INDEX('G-8 Condition Look up'!$A$3:$H$135,MATCH(S159,'G-8 Condition Look up'!$A$3:$A$135,0),MATCH(Y159,'G-8 Condition Look up'!$A$3:$H$3,0)),"")</f>
        <v/>
      </c>
      <c r="AA159" s="54"/>
      <c r="AB159" s="382" t="str">
        <f>IF(AA159="","",IF(VLOOKUP(AA159,'G-3 Multipliers'!$L$3:$N$6,2,FALSE)=0,"Spatial Data Missing ⚠",VLOOKUP(AA159,'G-3 Multipliers'!$L$3:$N$6,2,FALSE)))</f>
        <v/>
      </c>
      <c r="AC159" s="386" t="str">
        <f>IF(AA159="","",IF(VLOOKUP(AA159,'G-3 Multipliers'!$L$3:$N$6,3,FALSE)=0,"Spatial Data Missing ⚠",VLOOKUP(AA159,'G-3 Multipliers'!$L$3:$N$6,3,FALSE)))</f>
        <v/>
      </c>
      <c r="AD159" s="400" t="str">
        <f t="shared" si="22"/>
        <v/>
      </c>
      <c r="AE159" s="63"/>
      <c r="AF159" s="63"/>
      <c r="AG159" s="370" t="str">
        <f t="shared" si="26"/>
        <v/>
      </c>
      <c r="AH159" s="383" t="str">
        <f t="shared" si="27"/>
        <v/>
      </c>
      <c r="AI159" s="384" t="str">
        <f>IF(AH159="Check Data","Check Data",IFERROR(VLOOKUP(AH159,'G-4 Temporal multipliers'!$A$4:$C$36,3,FALSE),""))</f>
        <v/>
      </c>
      <c r="AJ159" s="362" t="str">
        <f>IF(S159="","",VLOOKUP(S159,'G-3 Multipliers'!$A$2:$E$134,4,FALSE))</f>
        <v/>
      </c>
      <c r="AK159" s="370" t="str">
        <f t="shared" si="28"/>
        <v/>
      </c>
      <c r="AL159" s="370" t="str">
        <f t="shared" si="29"/>
        <v/>
      </c>
      <c r="AM159" s="401" t="str">
        <f>IFERROR(IF(F159="","",IF(AH159="Check Data ⚠","Check Data ⚠",VLOOKUP(AL159, 'G-3 Multipliers'!$P$2:$Q$6,2,FALSE))),"")</f>
        <v/>
      </c>
      <c r="AN159" s="376" t="str">
        <f t="shared" si="30"/>
        <v/>
      </c>
      <c r="AO159" s="194"/>
      <c r="AP159" s="195"/>
      <c r="AQ159" s="120"/>
    </row>
    <row r="160" spans="1:43">
      <c r="A160" s="35" t="str">
        <f>IF(E160="","",IF(ISNA(VLOOKUP($E160,'A-1 On-Site Habitat Baseline'!$D$1:$O$258,2,FALSE)),"",(VLOOKUP($E160,'A-1 On-Site Habitat Baseline'!$D$1:$O$258,2,FALSE))))</f>
        <v/>
      </c>
      <c r="B160" s="35" t="str">
        <f>IF(E160="","",IF(ISNA(VLOOKUP($E160,'A-1 On-Site Habitat Baseline'!$D$1:$O$258,3,FALSE)),"",(VLOOKUP($E160,'A-1 On-Site Habitat Baseline'!$D$1:$O$258,3,FALSE))))</f>
        <v/>
      </c>
      <c r="C160" s="35" t="str">
        <f>IFERROR(INDEX('G-8 Condition Look up'!$I$4:$I$135,MATCH(S160,'G-8 Condition Look up'!$A$4:$A$135,0)),"")</f>
        <v/>
      </c>
      <c r="E160" s="392" t="str">
        <f>'A-1 On-Site Habitat Baseline'!AL159</f>
        <v/>
      </c>
      <c r="F160" s="382" t="str">
        <f>IF(E160="","",IF(ISNA(VLOOKUP($E160,'A-1 On-Site Habitat Baseline'!$D$1:$O$258,4,FALSE)),"",(VLOOKUP($E160,'A-1 On-Site Habitat Baseline'!$D$1:$O$258,4,FALSE))))</f>
        <v/>
      </c>
      <c r="G160" s="382" t="str">
        <f>IF(E160="","",IF(ISNA(VLOOKUP($E160,'A-1 On-Site Habitat Baseline'!$D$1:$O$258,5,FALSE)),"",(VLOOKUP($E160,'A-1 On-Site Habitat Baseline'!$D$1:$O$258,5,FALSE))))</f>
        <v/>
      </c>
      <c r="H160" s="382" t="str">
        <f>IF(E160="","",IF(ISNA(VLOOKUP($E160,'A-1 On-Site Habitat Baseline'!$D$1:$O$258,6,FALSE)),"",(VLOOKUP($E160,'A-1 On-Site Habitat Baseline'!$D$1:$O$258,6,FALSE))))</f>
        <v/>
      </c>
      <c r="I160" s="382" t="str">
        <f>IF(E160="","",IF(ISNA(VLOOKUP($E160,'A-1 On-Site Habitat Baseline'!$D$1:$O$258,7,FALSE)),"",(VLOOKUP($E160,'A-1 On-Site Habitat Baseline'!$D$1:$O$258,7,FALSE))))</f>
        <v/>
      </c>
      <c r="J160" s="382" t="str">
        <f>IF(E160="","",IF(ISNA(VLOOKUP($E160,'A-1 On-Site Habitat Baseline'!$D$1:$O$258,8,FALSE)),"",(VLOOKUP($E160,'A-1 On-Site Habitat Baseline'!$D$1:$O$258,8,FALSE))))</f>
        <v/>
      </c>
      <c r="K160" s="382" t="str">
        <f>IF(E160="","",IF(ISNA(VLOOKUP($E160,'A-1 On-Site Habitat Baseline'!$D$1:$O$258,9,FALSE)),"",(VLOOKUP($E160,'A-1 On-Site Habitat Baseline'!$D$1:$O$258,9,FALSE))))</f>
        <v/>
      </c>
      <c r="L160" s="382" t="str">
        <f>IF(E160="","",IF(ISNA(VLOOKUP($E160,'A-1 On-Site Habitat Baseline'!$D$1:$O$258,11,FALSE)),"",(VLOOKUP($E160,'A-1 On-Site Habitat Baseline'!$D$1:$O$258,11,FALSE))))</f>
        <v/>
      </c>
      <c r="M160" s="382" t="str">
        <f>IF(E160="","",IF(ISNA(VLOOKUP($E160,'A-1 On-Site Habitat Baseline'!$D$1:$O$258,12,FALSE)),"",(VLOOKUP($E160,'A-1 On-Site Habitat Baseline'!$D$1:$O$258,12,FALSE))))</f>
        <v/>
      </c>
      <c r="N160" s="393" t="str">
        <f>IF(E160="","",IF(ISNA(VLOOKUP($E160,'A-1 On-Site Habitat Baseline'!$D$1:$X$258,14,FALSE)),"",(VLOOKUP($E160,'A-1 On-Site Habitat Baseline'!$D$1:$X$258,14,FALSE))))</f>
        <v/>
      </c>
      <c r="O160" s="386" t="str">
        <f>IF(E160="","",IF(ISNA(VLOOKUP($E160,'A-1 On-Site Habitat Baseline'!$D$1:$X$258,16,FALSE)),"",(VLOOKUP($E160,'A-1 On-Site Habitat Baseline'!$D$1:$X$258,13,FALSE))))</f>
        <v/>
      </c>
      <c r="P160" s="192" t="str">
        <f>IFERROR(INDEX('G-1 All Habitats'!$AG$3:$AG$17,MATCH(Q160,'G-1 All Habitats'!$AF$3:$AF$17,0)),"")</f>
        <v/>
      </c>
      <c r="Q160" s="193" t="str">
        <f t="shared" si="23"/>
        <v/>
      </c>
      <c r="R160" s="193" t="str">
        <f t="shared" si="23"/>
        <v/>
      </c>
      <c r="S160" s="306" t="str">
        <f>IFERROR(INDEX('G-1 All Habitats'!$B$3:$B$134,MATCH(R160,'G-1 All Habitats'!$A$3:$A$134,0)),"")</f>
        <v/>
      </c>
      <c r="T160" s="362" t="str">
        <f t="shared" si="24"/>
        <v/>
      </c>
      <c r="U160" s="363" t="str">
        <f t="shared" si="25"/>
        <v/>
      </c>
      <c r="V160" s="398" t="str">
        <f t="shared" si="21"/>
        <v/>
      </c>
      <c r="W160" s="382" t="str">
        <f>IF(S160="","",VLOOKUP(S160,'G-1 All Habitats'!$B$2:$M$134,10,FALSE))</f>
        <v/>
      </c>
      <c r="X160" s="382" t="str">
        <f>IFERROR(VLOOKUP(W160,'G-1 All Habitats'!$V$3:$W$7,2,FALSE),"")</f>
        <v/>
      </c>
      <c r="Y160" s="61"/>
      <c r="Z160" s="386" t="str">
        <f>IFERROR(INDEX('G-8 Condition Look up'!$A$3:$H$135,MATCH(S160,'G-8 Condition Look up'!$A$3:$A$135,0),MATCH(Y160,'G-8 Condition Look up'!$A$3:$H$3,0)),"")</f>
        <v/>
      </c>
      <c r="AA160" s="54"/>
      <c r="AB160" s="382" t="str">
        <f>IF(AA160="","",IF(VLOOKUP(AA160,'G-3 Multipliers'!$L$3:$N$6,2,FALSE)=0,"Spatial Data Missing ⚠",VLOOKUP(AA160,'G-3 Multipliers'!$L$3:$N$6,2,FALSE)))</f>
        <v/>
      </c>
      <c r="AC160" s="386" t="str">
        <f>IF(AA160="","",IF(VLOOKUP(AA160,'G-3 Multipliers'!$L$3:$N$6,3,FALSE)=0,"Spatial Data Missing ⚠",VLOOKUP(AA160,'G-3 Multipliers'!$L$3:$N$6,3,FALSE)))</f>
        <v/>
      </c>
      <c r="AD160" s="400" t="str">
        <f t="shared" si="22"/>
        <v/>
      </c>
      <c r="AE160" s="63"/>
      <c r="AF160" s="63"/>
      <c r="AG160" s="370" t="str">
        <f t="shared" si="26"/>
        <v/>
      </c>
      <c r="AH160" s="383" t="str">
        <f t="shared" si="27"/>
        <v/>
      </c>
      <c r="AI160" s="384" t="str">
        <f>IF(AH160="Check Data","Check Data",IFERROR(VLOOKUP(AH160,'G-4 Temporal multipliers'!$A$4:$C$36,3,FALSE),""))</f>
        <v/>
      </c>
      <c r="AJ160" s="362" t="str">
        <f>IF(S160="","",VLOOKUP(S160,'G-3 Multipliers'!$A$2:$E$134,4,FALSE))</f>
        <v/>
      </c>
      <c r="AK160" s="370" t="str">
        <f t="shared" si="28"/>
        <v/>
      </c>
      <c r="AL160" s="370" t="str">
        <f t="shared" si="29"/>
        <v/>
      </c>
      <c r="AM160" s="401" t="str">
        <f>IFERROR(IF(F160="","",IF(AH160="Check Data ⚠","Check Data ⚠",VLOOKUP(AL160, 'G-3 Multipliers'!$P$2:$Q$6,2,FALSE))),"")</f>
        <v/>
      </c>
      <c r="AN160" s="376" t="str">
        <f t="shared" si="30"/>
        <v/>
      </c>
      <c r="AO160" s="194"/>
      <c r="AP160" s="195"/>
      <c r="AQ160" s="120"/>
    </row>
    <row r="161" spans="1:43">
      <c r="A161" s="35" t="str">
        <f>IF(E161="","",IF(ISNA(VLOOKUP($E161,'A-1 On-Site Habitat Baseline'!$D$1:$O$258,2,FALSE)),"",(VLOOKUP($E161,'A-1 On-Site Habitat Baseline'!$D$1:$O$258,2,FALSE))))</f>
        <v/>
      </c>
      <c r="B161" s="35" t="str">
        <f>IF(E161="","",IF(ISNA(VLOOKUP($E161,'A-1 On-Site Habitat Baseline'!$D$1:$O$258,3,FALSE)),"",(VLOOKUP($E161,'A-1 On-Site Habitat Baseline'!$D$1:$O$258,3,FALSE))))</f>
        <v/>
      </c>
      <c r="C161" s="35" t="str">
        <f>IFERROR(INDEX('G-8 Condition Look up'!$I$4:$I$135,MATCH(S161,'G-8 Condition Look up'!$A$4:$A$135,0)),"")</f>
        <v/>
      </c>
      <c r="E161" s="392" t="str">
        <f>'A-1 On-Site Habitat Baseline'!AL160</f>
        <v/>
      </c>
      <c r="F161" s="382" t="str">
        <f>IF(E161="","",IF(ISNA(VLOOKUP($E161,'A-1 On-Site Habitat Baseline'!$D$1:$O$258,4,FALSE)),"",(VLOOKUP($E161,'A-1 On-Site Habitat Baseline'!$D$1:$O$258,4,FALSE))))</f>
        <v/>
      </c>
      <c r="G161" s="382" t="str">
        <f>IF(E161="","",IF(ISNA(VLOOKUP($E161,'A-1 On-Site Habitat Baseline'!$D$1:$O$258,5,FALSE)),"",(VLOOKUP($E161,'A-1 On-Site Habitat Baseline'!$D$1:$O$258,5,FALSE))))</f>
        <v/>
      </c>
      <c r="H161" s="382" t="str">
        <f>IF(E161="","",IF(ISNA(VLOOKUP($E161,'A-1 On-Site Habitat Baseline'!$D$1:$O$258,6,FALSE)),"",(VLOOKUP($E161,'A-1 On-Site Habitat Baseline'!$D$1:$O$258,6,FALSE))))</f>
        <v/>
      </c>
      <c r="I161" s="382" t="str">
        <f>IF(E161="","",IF(ISNA(VLOOKUP($E161,'A-1 On-Site Habitat Baseline'!$D$1:$O$258,7,FALSE)),"",(VLOOKUP($E161,'A-1 On-Site Habitat Baseline'!$D$1:$O$258,7,FALSE))))</f>
        <v/>
      </c>
      <c r="J161" s="382" t="str">
        <f>IF(E161="","",IF(ISNA(VLOOKUP($E161,'A-1 On-Site Habitat Baseline'!$D$1:$O$258,8,FALSE)),"",(VLOOKUP($E161,'A-1 On-Site Habitat Baseline'!$D$1:$O$258,8,FALSE))))</f>
        <v/>
      </c>
      <c r="K161" s="382" t="str">
        <f>IF(E161="","",IF(ISNA(VLOOKUP($E161,'A-1 On-Site Habitat Baseline'!$D$1:$O$258,9,FALSE)),"",(VLOOKUP($E161,'A-1 On-Site Habitat Baseline'!$D$1:$O$258,9,FALSE))))</f>
        <v/>
      </c>
      <c r="L161" s="382" t="str">
        <f>IF(E161="","",IF(ISNA(VLOOKUP($E161,'A-1 On-Site Habitat Baseline'!$D$1:$O$258,11,FALSE)),"",(VLOOKUP($E161,'A-1 On-Site Habitat Baseline'!$D$1:$O$258,11,FALSE))))</f>
        <v/>
      </c>
      <c r="M161" s="382" t="str">
        <f>IF(E161="","",IF(ISNA(VLOOKUP($E161,'A-1 On-Site Habitat Baseline'!$D$1:$O$258,12,FALSE)),"",(VLOOKUP($E161,'A-1 On-Site Habitat Baseline'!$D$1:$O$258,12,FALSE))))</f>
        <v/>
      </c>
      <c r="N161" s="393" t="str">
        <f>IF(E161="","",IF(ISNA(VLOOKUP($E161,'A-1 On-Site Habitat Baseline'!$D$1:$X$258,14,FALSE)),"",(VLOOKUP($E161,'A-1 On-Site Habitat Baseline'!$D$1:$X$258,14,FALSE))))</f>
        <v/>
      </c>
      <c r="O161" s="386" t="str">
        <f>IF(E161="","",IF(ISNA(VLOOKUP($E161,'A-1 On-Site Habitat Baseline'!$D$1:$X$258,16,FALSE)),"",(VLOOKUP($E161,'A-1 On-Site Habitat Baseline'!$D$1:$X$258,13,FALSE))))</f>
        <v/>
      </c>
      <c r="P161" s="192" t="str">
        <f>IFERROR(INDEX('G-1 All Habitats'!$AG$3:$AG$17,MATCH(Q161,'G-1 All Habitats'!$AF$3:$AF$17,0)),"")</f>
        <v/>
      </c>
      <c r="Q161" s="193" t="str">
        <f t="shared" si="23"/>
        <v/>
      </c>
      <c r="R161" s="193" t="str">
        <f t="shared" si="23"/>
        <v/>
      </c>
      <c r="S161" s="306" t="str">
        <f>IFERROR(INDEX('G-1 All Habitats'!$B$3:$B$134,MATCH(R161,'G-1 All Habitats'!$A$3:$A$134,0)),"")</f>
        <v/>
      </c>
      <c r="T161" s="362" t="str">
        <f t="shared" si="24"/>
        <v/>
      </c>
      <c r="U161" s="363" t="str">
        <f t="shared" si="25"/>
        <v/>
      </c>
      <c r="V161" s="398" t="str">
        <f t="shared" si="21"/>
        <v/>
      </c>
      <c r="W161" s="382" t="str">
        <f>IF(S161="","",VLOOKUP(S161,'G-1 All Habitats'!$B$2:$M$134,10,FALSE))</f>
        <v/>
      </c>
      <c r="X161" s="382" t="str">
        <f>IFERROR(VLOOKUP(W161,'G-1 All Habitats'!$V$3:$W$7,2,FALSE),"")</f>
        <v/>
      </c>
      <c r="Y161" s="61"/>
      <c r="Z161" s="386" t="str">
        <f>IFERROR(INDEX('G-8 Condition Look up'!$A$3:$H$135,MATCH(S161,'G-8 Condition Look up'!$A$3:$A$135,0),MATCH(Y161,'G-8 Condition Look up'!$A$3:$H$3,0)),"")</f>
        <v/>
      </c>
      <c r="AA161" s="54"/>
      <c r="AB161" s="382" t="str">
        <f>IF(AA161="","",IF(VLOOKUP(AA161,'G-3 Multipliers'!$L$3:$N$6,2,FALSE)=0,"Spatial Data Missing ⚠",VLOOKUP(AA161,'G-3 Multipliers'!$L$3:$N$6,2,FALSE)))</f>
        <v/>
      </c>
      <c r="AC161" s="386" t="str">
        <f>IF(AA161="","",IF(VLOOKUP(AA161,'G-3 Multipliers'!$L$3:$N$6,3,FALSE)=0,"Spatial Data Missing ⚠",VLOOKUP(AA161,'G-3 Multipliers'!$L$3:$N$6,3,FALSE)))</f>
        <v/>
      </c>
      <c r="AD161" s="400" t="str">
        <f t="shared" si="22"/>
        <v/>
      </c>
      <c r="AE161" s="63"/>
      <c r="AF161" s="63"/>
      <c r="AG161" s="370" t="str">
        <f t="shared" si="26"/>
        <v/>
      </c>
      <c r="AH161" s="383" t="str">
        <f t="shared" si="27"/>
        <v/>
      </c>
      <c r="AI161" s="384" t="str">
        <f>IF(AH161="Check Data","Check Data",IFERROR(VLOOKUP(AH161,'G-4 Temporal multipliers'!$A$4:$C$36,3,FALSE),""))</f>
        <v/>
      </c>
      <c r="AJ161" s="362" t="str">
        <f>IF(S161="","",VLOOKUP(S161,'G-3 Multipliers'!$A$2:$E$134,4,FALSE))</f>
        <v/>
      </c>
      <c r="AK161" s="370" t="str">
        <f t="shared" si="28"/>
        <v/>
      </c>
      <c r="AL161" s="370" t="str">
        <f t="shared" si="29"/>
        <v/>
      </c>
      <c r="AM161" s="401" t="str">
        <f>IFERROR(IF(F161="","",IF(AH161="Check Data ⚠","Check Data ⚠",VLOOKUP(AL161, 'G-3 Multipliers'!$P$2:$Q$6,2,FALSE))),"")</f>
        <v/>
      </c>
      <c r="AN161" s="376" t="str">
        <f t="shared" si="30"/>
        <v/>
      </c>
      <c r="AO161" s="194"/>
      <c r="AP161" s="195"/>
      <c r="AQ161" s="120"/>
    </row>
    <row r="162" spans="1:43">
      <c r="A162" s="35" t="str">
        <f>IF(E162="","",IF(ISNA(VLOOKUP($E162,'A-1 On-Site Habitat Baseline'!$D$1:$O$258,2,FALSE)),"",(VLOOKUP($E162,'A-1 On-Site Habitat Baseline'!$D$1:$O$258,2,FALSE))))</f>
        <v/>
      </c>
      <c r="B162" s="35" t="str">
        <f>IF(E162="","",IF(ISNA(VLOOKUP($E162,'A-1 On-Site Habitat Baseline'!$D$1:$O$258,3,FALSE)),"",(VLOOKUP($E162,'A-1 On-Site Habitat Baseline'!$D$1:$O$258,3,FALSE))))</f>
        <v/>
      </c>
      <c r="C162" s="35" t="str">
        <f>IFERROR(INDEX('G-8 Condition Look up'!$I$4:$I$135,MATCH(S162,'G-8 Condition Look up'!$A$4:$A$135,0)),"")</f>
        <v/>
      </c>
      <c r="E162" s="392" t="str">
        <f>'A-1 On-Site Habitat Baseline'!AL161</f>
        <v/>
      </c>
      <c r="F162" s="382" t="str">
        <f>IF(E162="","",IF(ISNA(VLOOKUP($E162,'A-1 On-Site Habitat Baseline'!$D$1:$O$258,4,FALSE)),"",(VLOOKUP($E162,'A-1 On-Site Habitat Baseline'!$D$1:$O$258,4,FALSE))))</f>
        <v/>
      </c>
      <c r="G162" s="382" t="str">
        <f>IF(E162="","",IF(ISNA(VLOOKUP($E162,'A-1 On-Site Habitat Baseline'!$D$1:$O$258,5,FALSE)),"",(VLOOKUP($E162,'A-1 On-Site Habitat Baseline'!$D$1:$O$258,5,FALSE))))</f>
        <v/>
      </c>
      <c r="H162" s="382" t="str">
        <f>IF(E162="","",IF(ISNA(VLOOKUP($E162,'A-1 On-Site Habitat Baseline'!$D$1:$O$258,6,FALSE)),"",(VLOOKUP($E162,'A-1 On-Site Habitat Baseline'!$D$1:$O$258,6,FALSE))))</f>
        <v/>
      </c>
      <c r="I162" s="382" t="str">
        <f>IF(E162="","",IF(ISNA(VLOOKUP($E162,'A-1 On-Site Habitat Baseline'!$D$1:$O$258,7,FALSE)),"",(VLOOKUP($E162,'A-1 On-Site Habitat Baseline'!$D$1:$O$258,7,FALSE))))</f>
        <v/>
      </c>
      <c r="J162" s="382" t="str">
        <f>IF(E162="","",IF(ISNA(VLOOKUP($E162,'A-1 On-Site Habitat Baseline'!$D$1:$O$258,8,FALSE)),"",(VLOOKUP($E162,'A-1 On-Site Habitat Baseline'!$D$1:$O$258,8,FALSE))))</f>
        <v/>
      </c>
      <c r="K162" s="382" t="str">
        <f>IF(E162="","",IF(ISNA(VLOOKUP($E162,'A-1 On-Site Habitat Baseline'!$D$1:$O$258,9,FALSE)),"",(VLOOKUP($E162,'A-1 On-Site Habitat Baseline'!$D$1:$O$258,9,FALSE))))</f>
        <v/>
      </c>
      <c r="L162" s="382" t="str">
        <f>IF(E162="","",IF(ISNA(VLOOKUP($E162,'A-1 On-Site Habitat Baseline'!$D$1:$O$258,11,FALSE)),"",(VLOOKUP($E162,'A-1 On-Site Habitat Baseline'!$D$1:$O$258,11,FALSE))))</f>
        <v/>
      </c>
      <c r="M162" s="382" t="str">
        <f>IF(E162="","",IF(ISNA(VLOOKUP($E162,'A-1 On-Site Habitat Baseline'!$D$1:$O$258,12,FALSE)),"",(VLOOKUP($E162,'A-1 On-Site Habitat Baseline'!$D$1:$O$258,12,FALSE))))</f>
        <v/>
      </c>
      <c r="N162" s="393" t="str">
        <f>IF(E162="","",IF(ISNA(VLOOKUP($E162,'A-1 On-Site Habitat Baseline'!$D$1:$X$258,14,FALSE)),"",(VLOOKUP($E162,'A-1 On-Site Habitat Baseline'!$D$1:$X$258,14,FALSE))))</f>
        <v/>
      </c>
      <c r="O162" s="386" t="str">
        <f>IF(E162="","",IF(ISNA(VLOOKUP($E162,'A-1 On-Site Habitat Baseline'!$D$1:$X$258,16,FALSE)),"",(VLOOKUP($E162,'A-1 On-Site Habitat Baseline'!$D$1:$X$258,13,FALSE))))</f>
        <v/>
      </c>
      <c r="P162" s="192" t="str">
        <f>IFERROR(INDEX('G-1 All Habitats'!$AG$3:$AG$17,MATCH(Q162,'G-1 All Habitats'!$AF$3:$AF$17,0)),"")</f>
        <v/>
      </c>
      <c r="Q162" s="193" t="str">
        <f t="shared" si="23"/>
        <v/>
      </c>
      <c r="R162" s="193" t="str">
        <f t="shared" si="23"/>
        <v/>
      </c>
      <c r="S162" s="306" t="str">
        <f>IFERROR(INDEX('G-1 All Habitats'!$B$3:$B$134,MATCH(R162,'G-1 All Habitats'!$A$3:$A$134,0)),"")</f>
        <v/>
      </c>
      <c r="T162" s="362" t="str">
        <f t="shared" si="24"/>
        <v/>
      </c>
      <c r="U162" s="363" t="str">
        <f t="shared" si="25"/>
        <v/>
      </c>
      <c r="V162" s="398" t="str">
        <f t="shared" si="21"/>
        <v/>
      </c>
      <c r="W162" s="382" t="str">
        <f>IF(S162="","",VLOOKUP(S162,'G-1 All Habitats'!$B$2:$M$134,10,FALSE))</f>
        <v/>
      </c>
      <c r="X162" s="382" t="str">
        <f>IFERROR(VLOOKUP(W162,'G-1 All Habitats'!$V$3:$W$7,2,FALSE),"")</f>
        <v/>
      </c>
      <c r="Y162" s="61"/>
      <c r="Z162" s="386" t="str">
        <f>IFERROR(INDEX('G-8 Condition Look up'!$A$3:$H$135,MATCH(S162,'G-8 Condition Look up'!$A$3:$A$135,0),MATCH(Y162,'G-8 Condition Look up'!$A$3:$H$3,0)),"")</f>
        <v/>
      </c>
      <c r="AA162" s="54"/>
      <c r="AB162" s="382" t="str">
        <f>IF(AA162="","",IF(VLOOKUP(AA162,'G-3 Multipliers'!$L$3:$N$6,2,FALSE)=0,"Spatial Data Missing ⚠",VLOOKUP(AA162,'G-3 Multipliers'!$L$3:$N$6,2,FALSE)))</f>
        <v/>
      </c>
      <c r="AC162" s="386" t="str">
        <f>IF(AA162="","",IF(VLOOKUP(AA162,'G-3 Multipliers'!$L$3:$N$6,3,FALSE)=0,"Spatial Data Missing ⚠",VLOOKUP(AA162,'G-3 Multipliers'!$L$3:$N$6,3,FALSE)))</f>
        <v/>
      </c>
      <c r="AD162" s="400" t="str">
        <f t="shared" si="22"/>
        <v/>
      </c>
      <c r="AE162" s="63"/>
      <c r="AF162" s="63"/>
      <c r="AG162" s="370" t="str">
        <f t="shared" si="26"/>
        <v/>
      </c>
      <c r="AH162" s="383" t="str">
        <f t="shared" si="27"/>
        <v/>
      </c>
      <c r="AI162" s="384" t="str">
        <f>IF(AH162="Check Data","Check Data",IFERROR(VLOOKUP(AH162,'G-4 Temporal multipliers'!$A$4:$C$36,3,FALSE),""))</f>
        <v/>
      </c>
      <c r="AJ162" s="362" t="str">
        <f>IF(S162="","",VLOOKUP(S162,'G-3 Multipliers'!$A$2:$E$134,4,FALSE))</f>
        <v/>
      </c>
      <c r="AK162" s="370" t="str">
        <f t="shared" si="28"/>
        <v/>
      </c>
      <c r="AL162" s="370" t="str">
        <f t="shared" si="29"/>
        <v/>
      </c>
      <c r="AM162" s="401" t="str">
        <f>IFERROR(IF(F162="","",IF(AH162="Check Data ⚠","Check Data ⚠",VLOOKUP(AL162, 'G-3 Multipliers'!$P$2:$Q$6,2,FALSE))),"")</f>
        <v/>
      </c>
      <c r="AN162" s="376" t="str">
        <f t="shared" si="30"/>
        <v/>
      </c>
      <c r="AO162" s="194"/>
      <c r="AP162" s="195"/>
      <c r="AQ162" s="120"/>
    </row>
    <row r="163" spans="1:43">
      <c r="A163" s="35" t="str">
        <f>IF(E163="","",IF(ISNA(VLOOKUP($E163,'A-1 On-Site Habitat Baseline'!$D$1:$O$258,2,FALSE)),"",(VLOOKUP($E163,'A-1 On-Site Habitat Baseline'!$D$1:$O$258,2,FALSE))))</f>
        <v/>
      </c>
      <c r="B163" s="35" t="str">
        <f>IF(E163="","",IF(ISNA(VLOOKUP($E163,'A-1 On-Site Habitat Baseline'!$D$1:$O$258,3,FALSE)),"",(VLOOKUP($E163,'A-1 On-Site Habitat Baseline'!$D$1:$O$258,3,FALSE))))</f>
        <v/>
      </c>
      <c r="C163" s="35" t="str">
        <f>IFERROR(INDEX('G-8 Condition Look up'!$I$4:$I$135,MATCH(S163,'G-8 Condition Look up'!$A$4:$A$135,0)),"")</f>
        <v/>
      </c>
      <c r="E163" s="392" t="str">
        <f>'A-1 On-Site Habitat Baseline'!AL162</f>
        <v/>
      </c>
      <c r="F163" s="382" t="str">
        <f>IF(E163="","",IF(ISNA(VLOOKUP($E163,'A-1 On-Site Habitat Baseline'!$D$1:$O$258,4,FALSE)),"",(VLOOKUP($E163,'A-1 On-Site Habitat Baseline'!$D$1:$O$258,4,FALSE))))</f>
        <v/>
      </c>
      <c r="G163" s="382" t="str">
        <f>IF(E163="","",IF(ISNA(VLOOKUP($E163,'A-1 On-Site Habitat Baseline'!$D$1:$O$258,5,FALSE)),"",(VLOOKUP($E163,'A-1 On-Site Habitat Baseline'!$D$1:$O$258,5,FALSE))))</f>
        <v/>
      </c>
      <c r="H163" s="382" t="str">
        <f>IF(E163="","",IF(ISNA(VLOOKUP($E163,'A-1 On-Site Habitat Baseline'!$D$1:$O$258,6,FALSE)),"",(VLOOKUP($E163,'A-1 On-Site Habitat Baseline'!$D$1:$O$258,6,FALSE))))</f>
        <v/>
      </c>
      <c r="I163" s="382" t="str">
        <f>IF(E163="","",IF(ISNA(VLOOKUP($E163,'A-1 On-Site Habitat Baseline'!$D$1:$O$258,7,FALSE)),"",(VLOOKUP($E163,'A-1 On-Site Habitat Baseline'!$D$1:$O$258,7,FALSE))))</f>
        <v/>
      </c>
      <c r="J163" s="382" t="str">
        <f>IF(E163="","",IF(ISNA(VLOOKUP($E163,'A-1 On-Site Habitat Baseline'!$D$1:$O$258,8,FALSE)),"",(VLOOKUP($E163,'A-1 On-Site Habitat Baseline'!$D$1:$O$258,8,FALSE))))</f>
        <v/>
      </c>
      <c r="K163" s="382" t="str">
        <f>IF(E163="","",IF(ISNA(VLOOKUP($E163,'A-1 On-Site Habitat Baseline'!$D$1:$O$258,9,FALSE)),"",(VLOOKUP($E163,'A-1 On-Site Habitat Baseline'!$D$1:$O$258,9,FALSE))))</f>
        <v/>
      </c>
      <c r="L163" s="382" t="str">
        <f>IF(E163="","",IF(ISNA(VLOOKUP($E163,'A-1 On-Site Habitat Baseline'!$D$1:$O$258,11,FALSE)),"",(VLOOKUP($E163,'A-1 On-Site Habitat Baseline'!$D$1:$O$258,11,FALSE))))</f>
        <v/>
      </c>
      <c r="M163" s="382" t="str">
        <f>IF(E163="","",IF(ISNA(VLOOKUP($E163,'A-1 On-Site Habitat Baseline'!$D$1:$O$258,12,FALSE)),"",(VLOOKUP($E163,'A-1 On-Site Habitat Baseline'!$D$1:$O$258,12,FALSE))))</f>
        <v/>
      </c>
      <c r="N163" s="393" t="str">
        <f>IF(E163="","",IF(ISNA(VLOOKUP($E163,'A-1 On-Site Habitat Baseline'!$D$1:$X$258,14,FALSE)),"",(VLOOKUP($E163,'A-1 On-Site Habitat Baseline'!$D$1:$X$258,14,FALSE))))</f>
        <v/>
      </c>
      <c r="O163" s="386" t="str">
        <f>IF(E163="","",IF(ISNA(VLOOKUP($E163,'A-1 On-Site Habitat Baseline'!$D$1:$X$258,16,FALSE)),"",(VLOOKUP($E163,'A-1 On-Site Habitat Baseline'!$D$1:$X$258,13,FALSE))))</f>
        <v/>
      </c>
      <c r="P163" s="192" t="str">
        <f>IFERROR(INDEX('G-1 All Habitats'!$AG$3:$AG$17,MATCH(Q163,'G-1 All Habitats'!$AF$3:$AF$17,0)),"")</f>
        <v/>
      </c>
      <c r="Q163" s="193" t="str">
        <f t="shared" si="23"/>
        <v/>
      </c>
      <c r="R163" s="193" t="str">
        <f t="shared" si="23"/>
        <v/>
      </c>
      <c r="S163" s="306" t="str">
        <f>IFERROR(INDEX('G-1 All Habitats'!$B$3:$B$134,MATCH(R163,'G-1 All Habitats'!$A$3:$A$134,0)),"")</f>
        <v/>
      </c>
      <c r="T163" s="362" t="str">
        <f t="shared" si="24"/>
        <v/>
      </c>
      <c r="U163" s="363" t="str">
        <f t="shared" si="25"/>
        <v/>
      </c>
      <c r="V163" s="398" t="str">
        <f t="shared" si="21"/>
        <v/>
      </c>
      <c r="W163" s="382" t="str">
        <f>IF(S163="","",VLOOKUP(S163,'G-1 All Habitats'!$B$2:$M$134,10,FALSE))</f>
        <v/>
      </c>
      <c r="X163" s="382" t="str">
        <f>IFERROR(VLOOKUP(W163,'G-1 All Habitats'!$V$3:$W$7,2,FALSE),"")</f>
        <v/>
      </c>
      <c r="Y163" s="61"/>
      <c r="Z163" s="386" t="str">
        <f>IFERROR(INDEX('G-8 Condition Look up'!$A$3:$H$135,MATCH(S163,'G-8 Condition Look up'!$A$3:$A$135,0),MATCH(Y163,'G-8 Condition Look up'!$A$3:$H$3,0)),"")</f>
        <v/>
      </c>
      <c r="AA163" s="54"/>
      <c r="AB163" s="382" t="str">
        <f>IF(AA163="","",IF(VLOOKUP(AA163,'G-3 Multipliers'!$L$3:$N$6,2,FALSE)=0,"Spatial Data Missing ⚠",VLOOKUP(AA163,'G-3 Multipliers'!$L$3:$N$6,2,FALSE)))</f>
        <v/>
      </c>
      <c r="AC163" s="386" t="str">
        <f>IF(AA163="","",IF(VLOOKUP(AA163,'G-3 Multipliers'!$L$3:$N$6,3,FALSE)=0,"Spatial Data Missing ⚠",VLOOKUP(AA163,'G-3 Multipliers'!$L$3:$N$6,3,FALSE)))</f>
        <v/>
      </c>
      <c r="AD163" s="400" t="str">
        <f t="shared" si="22"/>
        <v/>
      </c>
      <c r="AE163" s="63"/>
      <c r="AF163" s="63"/>
      <c r="AG163" s="370" t="str">
        <f t="shared" si="26"/>
        <v/>
      </c>
      <c r="AH163" s="383" t="str">
        <f t="shared" si="27"/>
        <v/>
      </c>
      <c r="AI163" s="384" t="str">
        <f>IF(AH163="Check Data","Check Data",IFERROR(VLOOKUP(AH163,'G-4 Temporal multipliers'!$A$4:$C$36,3,FALSE),""))</f>
        <v/>
      </c>
      <c r="AJ163" s="362" t="str">
        <f>IF(S163="","",VLOOKUP(S163,'G-3 Multipliers'!$A$2:$E$134,4,FALSE))</f>
        <v/>
      </c>
      <c r="AK163" s="370" t="str">
        <f t="shared" si="28"/>
        <v/>
      </c>
      <c r="AL163" s="370" t="str">
        <f t="shared" si="29"/>
        <v/>
      </c>
      <c r="AM163" s="401" t="str">
        <f>IFERROR(IF(F163="","",IF(AH163="Check Data ⚠","Check Data ⚠",VLOOKUP(AL163, 'G-3 Multipliers'!$P$2:$Q$6,2,FALSE))),"")</f>
        <v/>
      </c>
      <c r="AN163" s="376" t="str">
        <f t="shared" si="30"/>
        <v/>
      </c>
      <c r="AO163" s="194"/>
      <c r="AP163" s="195"/>
      <c r="AQ163" s="120"/>
    </row>
    <row r="164" spans="1:43">
      <c r="A164" s="35" t="str">
        <f>IF(E164="","",IF(ISNA(VLOOKUP($E164,'A-1 On-Site Habitat Baseline'!$D$1:$O$258,2,FALSE)),"",(VLOOKUP($E164,'A-1 On-Site Habitat Baseline'!$D$1:$O$258,2,FALSE))))</f>
        <v/>
      </c>
      <c r="B164" s="35" t="str">
        <f>IF(E164="","",IF(ISNA(VLOOKUP($E164,'A-1 On-Site Habitat Baseline'!$D$1:$O$258,3,FALSE)),"",(VLOOKUP($E164,'A-1 On-Site Habitat Baseline'!$D$1:$O$258,3,FALSE))))</f>
        <v/>
      </c>
      <c r="C164" s="35" t="str">
        <f>IFERROR(INDEX('G-8 Condition Look up'!$I$4:$I$135,MATCH(S164,'G-8 Condition Look up'!$A$4:$A$135,0)),"")</f>
        <v/>
      </c>
      <c r="E164" s="392" t="str">
        <f>'A-1 On-Site Habitat Baseline'!AL163</f>
        <v/>
      </c>
      <c r="F164" s="382" t="str">
        <f>IF(E164="","",IF(ISNA(VLOOKUP($E164,'A-1 On-Site Habitat Baseline'!$D$1:$O$258,4,FALSE)),"",(VLOOKUP($E164,'A-1 On-Site Habitat Baseline'!$D$1:$O$258,4,FALSE))))</f>
        <v/>
      </c>
      <c r="G164" s="382" t="str">
        <f>IF(E164="","",IF(ISNA(VLOOKUP($E164,'A-1 On-Site Habitat Baseline'!$D$1:$O$258,5,FALSE)),"",(VLOOKUP($E164,'A-1 On-Site Habitat Baseline'!$D$1:$O$258,5,FALSE))))</f>
        <v/>
      </c>
      <c r="H164" s="382" t="str">
        <f>IF(E164="","",IF(ISNA(VLOOKUP($E164,'A-1 On-Site Habitat Baseline'!$D$1:$O$258,6,FALSE)),"",(VLOOKUP($E164,'A-1 On-Site Habitat Baseline'!$D$1:$O$258,6,FALSE))))</f>
        <v/>
      </c>
      <c r="I164" s="382" t="str">
        <f>IF(E164="","",IF(ISNA(VLOOKUP($E164,'A-1 On-Site Habitat Baseline'!$D$1:$O$258,7,FALSE)),"",(VLOOKUP($E164,'A-1 On-Site Habitat Baseline'!$D$1:$O$258,7,FALSE))))</f>
        <v/>
      </c>
      <c r="J164" s="382" t="str">
        <f>IF(E164="","",IF(ISNA(VLOOKUP($E164,'A-1 On-Site Habitat Baseline'!$D$1:$O$258,8,FALSE)),"",(VLOOKUP($E164,'A-1 On-Site Habitat Baseline'!$D$1:$O$258,8,FALSE))))</f>
        <v/>
      </c>
      <c r="K164" s="382" t="str">
        <f>IF(E164="","",IF(ISNA(VLOOKUP($E164,'A-1 On-Site Habitat Baseline'!$D$1:$O$258,9,FALSE)),"",(VLOOKUP($E164,'A-1 On-Site Habitat Baseline'!$D$1:$O$258,9,FALSE))))</f>
        <v/>
      </c>
      <c r="L164" s="382" t="str">
        <f>IF(E164="","",IF(ISNA(VLOOKUP($E164,'A-1 On-Site Habitat Baseline'!$D$1:$O$258,11,FALSE)),"",(VLOOKUP($E164,'A-1 On-Site Habitat Baseline'!$D$1:$O$258,11,FALSE))))</f>
        <v/>
      </c>
      <c r="M164" s="382" t="str">
        <f>IF(E164="","",IF(ISNA(VLOOKUP($E164,'A-1 On-Site Habitat Baseline'!$D$1:$O$258,12,FALSE)),"",(VLOOKUP($E164,'A-1 On-Site Habitat Baseline'!$D$1:$O$258,12,FALSE))))</f>
        <v/>
      </c>
      <c r="N164" s="393" t="str">
        <f>IF(E164="","",IF(ISNA(VLOOKUP($E164,'A-1 On-Site Habitat Baseline'!$D$1:$X$258,14,FALSE)),"",(VLOOKUP($E164,'A-1 On-Site Habitat Baseline'!$D$1:$X$258,14,FALSE))))</f>
        <v/>
      </c>
      <c r="O164" s="386" t="str">
        <f>IF(E164="","",IF(ISNA(VLOOKUP($E164,'A-1 On-Site Habitat Baseline'!$D$1:$X$258,16,FALSE)),"",(VLOOKUP($E164,'A-1 On-Site Habitat Baseline'!$D$1:$X$258,13,FALSE))))</f>
        <v/>
      </c>
      <c r="P164" s="192" t="str">
        <f>IFERROR(INDEX('G-1 All Habitats'!$AG$3:$AG$17,MATCH(Q164,'G-1 All Habitats'!$AF$3:$AF$17,0)),"")</f>
        <v/>
      </c>
      <c r="Q164" s="193" t="str">
        <f t="shared" si="23"/>
        <v/>
      </c>
      <c r="R164" s="193" t="str">
        <f t="shared" si="23"/>
        <v/>
      </c>
      <c r="S164" s="306" t="str">
        <f>IFERROR(INDEX('G-1 All Habitats'!$B$3:$B$134,MATCH(R164,'G-1 All Habitats'!$A$3:$A$134,0)),"")</f>
        <v/>
      </c>
      <c r="T164" s="362" t="str">
        <f t="shared" si="24"/>
        <v/>
      </c>
      <c r="U164" s="363" t="str">
        <f t="shared" si="25"/>
        <v/>
      </c>
      <c r="V164" s="398" t="str">
        <f t="shared" si="21"/>
        <v/>
      </c>
      <c r="W164" s="382" t="str">
        <f>IF(S164="","",VLOOKUP(S164,'G-1 All Habitats'!$B$2:$M$134,10,FALSE))</f>
        <v/>
      </c>
      <c r="X164" s="382" t="str">
        <f>IFERROR(VLOOKUP(W164,'G-1 All Habitats'!$V$3:$W$7,2,FALSE),"")</f>
        <v/>
      </c>
      <c r="Y164" s="61"/>
      <c r="Z164" s="386" t="str">
        <f>IFERROR(INDEX('G-8 Condition Look up'!$A$3:$H$135,MATCH(S164,'G-8 Condition Look up'!$A$3:$A$135,0),MATCH(Y164,'G-8 Condition Look up'!$A$3:$H$3,0)),"")</f>
        <v/>
      </c>
      <c r="AA164" s="54"/>
      <c r="AB164" s="382" t="str">
        <f>IF(AA164="","",IF(VLOOKUP(AA164,'G-3 Multipliers'!$L$3:$N$6,2,FALSE)=0,"Spatial Data Missing ⚠",VLOOKUP(AA164,'G-3 Multipliers'!$L$3:$N$6,2,FALSE)))</f>
        <v/>
      </c>
      <c r="AC164" s="386" t="str">
        <f>IF(AA164="","",IF(VLOOKUP(AA164,'G-3 Multipliers'!$L$3:$N$6,3,FALSE)=0,"Spatial Data Missing ⚠",VLOOKUP(AA164,'G-3 Multipliers'!$L$3:$N$6,3,FALSE)))</f>
        <v/>
      </c>
      <c r="AD164" s="400" t="str">
        <f t="shared" si="22"/>
        <v/>
      </c>
      <c r="AE164" s="63"/>
      <c r="AF164" s="63"/>
      <c r="AG164" s="370" t="str">
        <f t="shared" si="26"/>
        <v/>
      </c>
      <c r="AH164" s="383" t="str">
        <f t="shared" si="27"/>
        <v/>
      </c>
      <c r="AI164" s="384" t="str">
        <f>IF(AH164="Check Data","Check Data",IFERROR(VLOOKUP(AH164,'G-4 Temporal multipliers'!$A$4:$C$36,3,FALSE),""))</f>
        <v/>
      </c>
      <c r="AJ164" s="362" t="str">
        <f>IF(S164="","",VLOOKUP(S164,'G-3 Multipliers'!$A$2:$E$134,4,FALSE))</f>
        <v/>
      </c>
      <c r="AK164" s="370" t="str">
        <f t="shared" si="28"/>
        <v/>
      </c>
      <c r="AL164" s="370" t="str">
        <f t="shared" si="29"/>
        <v/>
      </c>
      <c r="AM164" s="401" t="str">
        <f>IFERROR(IF(F164="","",IF(AH164="Check Data ⚠","Check Data ⚠",VLOOKUP(AL164, 'G-3 Multipliers'!$P$2:$Q$6,2,FALSE))),"")</f>
        <v/>
      </c>
      <c r="AN164" s="376" t="str">
        <f t="shared" si="30"/>
        <v/>
      </c>
      <c r="AO164" s="194"/>
      <c r="AP164" s="195"/>
      <c r="AQ164" s="120"/>
    </row>
    <row r="165" spans="1:43">
      <c r="A165" s="35" t="str">
        <f>IF(E165="","",IF(ISNA(VLOOKUP($E165,'A-1 On-Site Habitat Baseline'!$D$1:$O$258,2,FALSE)),"",(VLOOKUP($E165,'A-1 On-Site Habitat Baseline'!$D$1:$O$258,2,FALSE))))</f>
        <v/>
      </c>
      <c r="B165" s="35" t="str">
        <f>IF(E165="","",IF(ISNA(VLOOKUP($E165,'A-1 On-Site Habitat Baseline'!$D$1:$O$258,3,FALSE)),"",(VLOOKUP($E165,'A-1 On-Site Habitat Baseline'!$D$1:$O$258,3,FALSE))))</f>
        <v/>
      </c>
      <c r="C165" s="35" t="str">
        <f>IFERROR(INDEX('G-8 Condition Look up'!$I$4:$I$135,MATCH(S165,'G-8 Condition Look up'!$A$4:$A$135,0)),"")</f>
        <v/>
      </c>
      <c r="E165" s="392" t="str">
        <f>'A-1 On-Site Habitat Baseline'!AL164</f>
        <v/>
      </c>
      <c r="F165" s="382" t="str">
        <f>IF(E165="","",IF(ISNA(VLOOKUP($E165,'A-1 On-Site Habitat Baseline'!$D$1:$O$258,4,FALSE)),"",(VLOOKUP($E165,'A-1 On-Site Habitat Baseline'!$D$1:$O$258,4,FALSE))))</f>
        <v/>
      </c>
      <c r="G165" s="382" t="str">
        <f>IF(E165="","",IF(ISNA(VLOOKUP($E165,'A-1 On-Site Habitat Baseline'!$D$1:$O$258,5,FALSE)),"",(VLOOKUP($E165,'A-1 On-Site Habitat Baseline'!$D$1:$O$258,5,FALSE))))</f>
        <v/>
      </c>
      <c r="H165" s="382" t="str">
        <f>IF(E165="","",IF(ISNA(VLOOKUP($E165,'A-1 On-Site Habitat Baseline'!$D$1:$O$258,6,FALSE)),"",(VLOOKUP($E165,'A-1 On-Site Habitat Baseline'!$D$1:$O$258,6,FALSE))))</f>
        <v/>
      </c>
      <c r="I165" s="382" t="str">
        <f>IF(E165="","",IF(ISNA(VLOOKUP($E165,'A-1 On-Site Habitat Baseline'!$D$1:$O$258,7,FALSE)),"",(VLOOKUP($E165,'A-1 On-Site Habitat Baseline'!$D$1:$O$258,7,FALSE))))</f>
        <v/>
      </c>
      <c r="J165" s="382" t="str">
        <f>IF(E165="","",IF(ISNA(VLOOKUP($E165,'A-1 On-Site Habitat Baseline'!$D$1:$O$258,8,FALSE)),"",(VLOOKUP($E165,'A-1 On-Site Habitat Baseline'!$D$1:$O$258,8,FALSE))))</f>
        <v/>
      </c>
      <c r="K165" s="382" t="str">
        <f>IF(E165="","",IF(ISNA(VLOOKUP($E165,'A-1 On-Site Habitat Baseline'!$D$1:$O$258,9,FALSE)),"",(VLOOKUP($E165,'A-1 On-Site Habitat Baseline'!$D$1:$O$258,9,FALSE))))</f>
        <v/>
      </c>
      <c r="L165" s="382" t="str">
        <f>IF(E165="","",IF(ISNA(VLOOKUP($E165,'A-1 On-Site Habitat Baseline'!$D$1:$O$258,11,FALSE)),"",(VLOOKUP($E165,'A-1 On-Site Habitat Baseline'!$D$1:$O$258,11,FALSE))))</f>
        <v/>
      </c>
      <c r="M165" s="382" t="str">
        <f>IF(E165="","",IF(ISNA(VLOOKUP($E165,'A-1 On-Site Habitat Baseline'!$D$1:$O$258,12,FALSE)),"",(VLOOKUP($E165,'A-1 On-Site Habitat Baseline'!$D$1:$O$258,12,FALSE))))</f>
        <v/>
      </c>
      <c r="N165" s="393" t="str">
        <f>IF(E165="","",IF(ISNA(VLOOKUP($E165,'A-1 On-Site Habitat Baseline'!$D$1:$X$258,14,FALSE)),"",(VLOOKUP($E165,'A-1 On-Site Habitat Baseline'!$D$1:$X$258,14,FALSE))))</f>
        <v/>
      </c>
      <c r="O165" s="386" t="str">
        <f>IF(E165="","",IF(ISNA(VLOOKUP($E165,'A-1 On-Site Habitat Baseline'!$D$1:$X$258,16,FALSE)),"",(VLOOKUP($E165,'A-1 On-Site Habitat Baseline'!$D$1:$X$258,13,FALSE))))</f>
        <v/>
      </c>
      <c r="P165" s="192" t="str">
        <f>IFERROR(INDEX('G-1 All Habitats'!$AG$3:$AG$17,MATCH(Q165,'G-1 All Habitats'!$AF$3:$AF$17,0)),"")</f>
        <v/>
      </c>
      <c r="Q165" s="193" t="str">
        <f t="shared" si="23"/>
        <v/>
      </c>
      <c r="R165" s="193" t="str">
        <f t="shared" si="23"/>
        <v/>
      </c>
      <c r="S165" s="306" t="str">
        <f>IFERROR(INDEX('G-1 All Habitats'!$B$3:$B$134,MATCH(R165,'G-1 All Habitats'!$A$3:$A$134,0)),"")</f>
        <v/>
      </c>
      <c r="T165" s="362" t="str">
        <f t="shared" si="24"/>
        <v/>
      </c>
      <c r="U165" s="363" t="str">
        <f t="shared" si="25"/>
        <v/>
      </c>
      <c r="V165" s="398" t="str">
        <f t="shared" si="21"/>
        <v/>
      </c>
      <c r="W165" s="382" t="str">
        <f>IF(S165="","",VLOOKUP(S165,'G-1 All Habitats'!$B$2:$M$134,10,FALSE))</f>
        <v/>
      </c>
      <c r="X165" s="382" t="str">
        <f>IFERROR(VLOOKUP(W165,'G-1 All Habitats'!$V$3:$W$7,2,FALSE),"")</f>
        <v/>
      </c>
      <c r="Y165" s="61"/>
      <c r="Z165" s="386" t="str">
        <f>IFERROR(INDEX('G-8 Condition Look up'!$A$3:$H$135,MATCH(S165,'G-8 Condition Look up'!$A$3:$A$135,0),MATCH(Y165,'G-8 Condition Look up'!$A$3:$H$3,0)),"")</f>
        <v/>
      </c>
      <c r="AA165" s="54"/>
      <c r="AB165" s="382" t="str">
        <f>IF(AA165="","",IF(VLOOKUP(AA165,'G-3 Multipliers'!$L$3:$N$6,2,FALSE)=0,"Spatial Data Missing ⚠",VLOOKUP(AA165,'G-3 Multipliers'!$L$3:$N$6,2,FALSE)))</f>
        <v/>
      </c>
      <c r="AC165" s="386" t="str">
        <f>IF(AA165="","",IF(VLOOKUP(AA165,'G-3 Multipliers'!$L$3:$N$6,3,FALSE)=0,"Spatial Data Missing ⚠",VLOOKUP(AA165,'G-3 Multipliers'!$L$3:$N$6,3,FALSE)))</f>
        <v/>
      </c>
      <c r="AD165" s="400" t="str">
        <f t="shared" si="22"/>
        <v/>
      </c>
      <c r="AE165" s="63"/>
      <c r="AF165" s="63"/>
      <c r="AG165" s="370" t="str">
        <f t="shared" si="26"/>
        <v/>
      </c>
      <c r="AH165" s="383" t="str">
        <f t="shared" si="27"/>
        <v/>
      </c>
      <c r="AI165" s="384" t="str">
        <f>IF(AH165="Check Data","Check Data",IFERROR(VLOOKUP(AH165,'G-4 Temporal multipliers'!$A$4:$C$36,3,FALSE),""))</f>
        <v/>
      </c>
      <c r="AJ165" s="362" t="str">
        <f>IF(S165="","",VLOOKUP(S165,'G-3 Multipliers'!$A$2:$E$134,4,FALSE))</f>
        <v/>
      </c>
      <c r="AK165" s="370" t="str">
        <f t="shared" si="28"/>
        <v/>
      </c>
      <c r="AL165" s="370" t="str">
        <f t="shared" si="29"/>
        <v/>
      </c>
      <c r="AM165" s="401" t="str">
        <f>IFERROR(IF(F165="","",IF(AH165="Check Data ⚠","Check Data ⚠",VLOOKUP(AL165, 'G-3 Multipliers'!$P$2:$Q$6,2,FALSE))),"")</f>
        <v/>
      </c>
      <c r="AN165" s="376" t="str">
        <f t="shared" si="30"/>
        <v/>
      </c>
      <c r="AO165" s="194"/>
      <c r="AP165" s="195"/>
      <c r="AQ165" s="120"/>
    </row>
    <row r="166" spans="1:43">
      <c r="A166" s="35" t="str">
        <f>IF(E166="","",IF(ISNA(VLOOKUP($E166,'A-1 On-Site Habitat Baseline'!$D$1:$O$258,2,FALSE)),"",(VLOOKUP($E166,'A-1 On-Site Habitat Baseline'!$D$1:$O$258,2,FALSE))))</f>
        <v/>
      </c>
      <c r="B166" s="35" t="str">
        <f>IF(E166="","",IF(ISNA(VLOOKUP($E166,'A-1 On-Site Habitat Baseline'!$D$1:$O$258,3,FALSE)),"",(VLOOKUP($E166,'A-1 On-Site Habitat Baseline'!$D$1:$O$258,3,FALSE))))</f>
        <v/>
      </c>
      <c r="C166" s="35" t="str">
        <f>IFERROR(INDEX('G-8 Condition Look up'!$I$4:$I$135,MATCH(S166,'G-8 Condition Look up'!$A$4:$A$135,0)),"")</f>
        <v/>
      </c>
      <c r="E166" s="392" t="str">
        <f>'A-1 On-Site Habitat Baseline'!AL165</f>
        <v/>
      </c>
      <c r="F166" s="382" t="str">
        <f>IF(E166="","",IF(ISNA(VLOOKUP($E166,'A-1 On-Site Habitat Baseline'!$D$1:$O$258,4,FALSE)),"",(VLOOKUP($E166,'A-1 On-Site Habitat Baseline'!$D$1:$O$258,4,FALSE))))</f>
        <v/>
      </c>
      <c r="G166" s="382" t="str">
        <f>IF(E166="","",IF(ISNA(VLOOKUP($E166,'A-1 On-Site Habitat Baseline'!$D$1:$O$258,5,FALSE)),"",(VLOOKUP($E166,'A-1 On-Site Habitat Baseline'!$D$1:$O$258,5,FALSE))))</f>
        <v/>
      </c>
      <c r="H166" s="382" t="str">
        <f>IF(E166="","",IF(ISNA(VLOOKUP($E166,'A-1 On-Site Habitat Baseline'!$D$1:$O$258,6,FALSE)),"",(VLOOKUP($E166,'A-1 On-Site Habitat Baseline'!$D$1:$O$258,6,FALSE))))</f>
        <v/>
      </c>
      <c r="I166" s="382" t="str">
        <f>IF(E166="","",IF(ISNA(VLOOKUP($E166,'A-1 On-Site Habitat Baseline'!$D$1:$O$258,7,FALSE)),"",(VLOOKUP($E166,'A-1 On-Site Habitat Baseline'!$D$1:$O$258,7,FALSE))))</f>
        <v/>
      </c>
      <c r="J166" s="382" t="str">
        <f>IF(E166="","",IF(ISNA(VLOOKUP($E166,'A-1 On-Site Habitat Baseline'!$D$1:$O$258,8,FALSE)),"",(VLOOKUP($E166,'A-1 On-Site Habitat Baseline'!$D$1:$O$258,8,FALSE))))</f>
        <v/>
      </c>
      <c r="K166" s="382" t="str">
        <f>IF(E166="","",IF(ISNA(VLOOKUP($E166,'A-1 On-Site Habitat Baseline'!$D$1:$O$258,9,FALSE)),"",(VLOOKUP($E166,'A-1 On-Site Habitat Baseline'!$D$1:$O$258,9,FALSE))))</f>
        <v/>
      </c>
      <c r="L166" s="382" t="str">
        <f>IF(E166="","",IF(ISNA(VLOOKUP($E166,'A-1 On-Site Habitat Baseline'!$D$1:$O$258,11,FALSE)),"",(VLOOKUP($E166,'A-1 On-Site Habitat Baseline'!$D$1:$O$258,11,FALSE))))</f>
        <v/>
      </c>
      <c r="M166" s="382" t="str">
        <f>IF(E166="","",IF(ISNA(VLOOKUP($E166,'A-1 On-Site Habitat Baseline'!$D$1:$O$258,12,FALSE)),"",(VLOOKUP($E166,'A-1 On-Site Habitat Baseline'!$D$1:$O$258,12,FALSE))))</f>
        <v/>
      </c>
      <c r="N166" s="393" t="str">
        <f>IF(E166="","",IF(ISNA(VLOOKUP($E166,'A-1 On-Site Habitat Baseline'!$D$1:$X$258,14,FALSE)),"",(VLOOKUP($E166,'A-1 On-Site Habitat Baseline'!$D$1:$X$258,14,FALSE))))</f>
        <v/>
      </c>
      <c r="O166" s="386" t="str">
        <f>IF(E166="","",IF(ISNA(VLOOKUP($E166,'A-1 On-Site Habitat Baseline'!$D$1:$X$258,16,FALSE)),"",(VLOOKUP($E166,'A-1 On-Site Habitat Baseline'!$D$1:$X$258,13,FALSE))))</f>
        <v/>
      </c>
      <c r="P166" s="192" t="str">
        <f>IFERROR(INDEX('G-1 All Habitats'!$AG$3:$AG$17,MATCH(Q166,'G-1 All Habitats'!$AF$3:$AF$17,0)),"")</f>
        <v/>
      </c>
      <c r="Q166" s="193" t="str">
        <f t="shared" si="23"/>
        <v/>
      </c>
      <c r="R166" s="193" t="str">
        <f t="shared" si="23"/>
        <v/>
      </c>
      <c r="S166" s="306" t="str">
        <f>IFERROR(INDEX('G-1 All Habitats'!$B$3:$B$134,MATCH(R166,'G-1 All Habitats'!$A$3:$A$134,0)),"")</f>
        <v/>
      </c>
      <c r="T166" s="362" t="str">
        <f t="shared" si="24"/>
        <v/>
      </c>
      <c r="U166" s="363" t="str">
        <f t="shared" si="25"/>
        <v/>
      </c>
      <c r="V166" s="398" t="str">
        <f t="shared" si="21"/>
        <v/>
      </c>
      <c r="W166" s="382" t="str">
        <f>IF(S166="","",VLOOKUP(S166,'G-1 All Habitats'!$B$2:$M$134,10,FALSE))</f>
        <v/>
      </c>
      <c r="X166" s="382" t="str">
        <f>IFERROR(VLOOKUP(W166,'G-1 All Habitats'!$V$3:$W$7,2,FALSE),"")</f>
        <v/>
      </c>
      <c r="Y166" s="61"/>
      <c r="Z166" s="386" t="str">
        <f>IFERROR(INDEX('G-8 Condition Look up'!$A$3:$H$135,MATCH(S166,'G-8 Condition Look up'!$A$3:$A$135,0),MATCH(Y166,'G-8 Condition Look up'!$A$3:$H$3,0)),"")</f>
        <v/>
      </c>
      <c r="AA166" s="54"/>
      <c r="AB166" s="382" t="str">
        <f>IF(AA166="","",IF(VLOOKUP(AA166,'G-3 Multipliers'!$L$3:$N$6,2,FALSE)=0,"Spatial Data Missing ⚠",VLOOKUP(AA166,'G-3 Multipliers'!$L$3:$N$6,2,FALSE)))</f>
        <v/>
      </c>
      <c r="AC166" s="386" t="str">
        <f>IF(AA166="","",IF(VLOOKUP(AA166,'G-3 Multipliers'!$L$3:$N$6,3,FALSE)=0,"Spatial Data Missing ⚠",VLOOKUP(AA166,'G-3 Multipliers'!$L$3:$N$6,3,FALSE)))</f>
        <v/>
      </c>
      <c r="AD166" s="400" t="str">
        <f t="shared" si="22"/>
        <v/>
      </c>
      <c r="AE166" s="63"/>
      <c r="AF166" s="63"/>
      <c r="AG166" s="370" t="str">
        <f t="shared" si="26"/>
        <v/>
      </c>
      <c r="AH166" s="383" t="str">
        <f t="shared" si="27"/>
        <v/>
      </c>
      <c r="AI166" s="384" t="str">
        <f>IF(AH166="Check Data","Check Data",IFERROR(VLOOKUP(AH166,'G-4 Temporal multipliers'!$A$4:$C$36,3,FALSE),""))</f>
        <v/>
      </c>
      <c r="AJ166" s="362" t="str">
        <f>IF(S166="","",VLOOKUP(S166,'G-3 Multipliers'!$A$2:$E$134,4,FALSE))</f>
        <v/>
      </c>
      <c r="AK166" s="370" t="str">
        <f t="shared" si="28"/>
        <v/>
      </c>
      <c r="AL166" s="370" t="str">
        <f t="shared" si="29"/>
        <v/>
      </c>
      <c r="AM166" s="401" t="str">
        <f>IFERROR(IF(F166="","",IF(AH166="Check Data ⚠","Check Data ⚠",VLOOKUP(AL166, 'G-3 Multipliers'!$P$2:$Q$6,2,FALSE))),"")</f>
        <v/>
      </c>
      <c r="AN166" s="376" t="str">
        <f t="shared" si="30"/>
        <v/>
      </c>
      <c r="AO166" s="194"/>
      <c r="AP166" s="195"/>
      <c r="AQ166" s="120"/>
    </row>
    <row r="167" spans="1:43">
      <c r="A167" s="35" t="str">
        <f>IF(E167="","",IF(ISNA(VLOOKUP($E167,'A-1 On-Site Habitat Baseline'!$D$1:$O$258,2,FALSE)),"",(VLOOKUP($E167,'A-1 On-Site Habitat Baseline'!$D$1:$O$258,2,FALSE))))</f>
        <v/>
      </c>
      <c r="B167" s="35" t="str">
        <f>IF(E167="","",IF(ISNA(VLOOKUP($E167,'A-1 On-Site Habitat Baseline'!$D$1:$O$258,3,FALSE)),"",(VLOOKUP($E167,'A-1 On-Site Habitat Baseline'!$D$1:$O$258,3,FALSE))))</f>
        <v/>
      </c>
      <c r="C167" s="35" t="str">
        <f>IFERROR(INDEX('G-8 Condition Look up'!$I$4:$I$135,MATCH(S167,'G-8 Condition Look up'!$A$4:$A$135,0)),"")</f>
        <v/>
      </c>
      <c r="E167" s="392" t="str">
        <f>'A-1 On-Site Habitat Baseline'!AL166</f>
        <v/>
      </c>
      <c r="F167" s="382" t="str">
        <f>IF(E167="","",IF(ISNA(VLOOKUP($E167,'A-1 On-Site Habitat Baseline'!$D$1:$O$258,4,FALSE)),"",(VLOOKUP($E167,'A-1 On-Site Habitat Baseline'!$D$1:$O$258,4,FALSE))))</f>
        <v/>
      </c>
      <c r="G167" s="382" t="str">
        <f>IF(E167="","",IF(ISNA(VLOOKUP($E167,'A-1 On-Site Habitat Baseline'!$D$1:$O$258,5,FALSE)),"",(VLOOKUP($E167,'A-1 On-Site Habitat Baseline'!$D$1:$O$258,5,FALSE))))</f>
        <v/>
      </c>
      <c r="H167" s="382" t="str">
        <f>IF(E167="","",IF(ISNA(VLOOKUP($E167,'A-1 On-Site Habitat Baseline'!$D$1:$O$258,6,FALSE)),"",(VLOOKUP($E167,'A-1 On-Site Habitat Baseline'!$D$1:$O$258,6,FALSE))))</f>
        <v/>
      </c>
      <c r="I167" s="382" t="str">
        <f>IF(E167="","",IF(ISNA(VLOOKUP($E167,'A-1 On-Site Habitat Baseline'!$D$1:$O$258,7,FALSE)),"",(VLOOKUP($E167,'A-1 On-Site Habitat Baseline'!$D$1:$O$258,7,FALSE))))</f>
        <v/>
      </c>
      <c r="J167" s="382" t="str">
        <f>IF(E167="","",IF(ISNA(VLOOKUP($E167,'A-1 On-Site Habitat Baseline'!$D$1:$O$258,8,FALSE)),"",(VLOOKUP($E167,'A-1 On-Site Habitat Baseline'!$D$1:$O$258,8,FALSE))))</f>
        <v/>
      </c>
      <c r="K167" s="382" t="str">
        <f>IF(E167="","",IF(ISNA(VLOOKUP($E167,'A-1 On-Site Habitat Baseline'!$D$1:$O$258,9,FALSE)),"",(VLOOKUP($E167,'A-1 On-Site Habitat Baseline'!$D$1:$O$258,9,FALSE))))</f>
        <v/>
      </c>
      <c r="L167" s="382" t="str">
        <f>IF(E167="","",IF(ISNA(VLOOKUP($E167,'A-1 On-Site Habitat Baseline'!$D$1:$O$258,11,FALSE)),"",(VLOOKUP($E167,'A-1 On-Site Habitat Baseline'!$D$1:$O$258,11,FALSE))))</f>
        <v/>
      </c>
      <c r="M167" s="382" t="str">
        <f>IF(E167="","",IF(ISNA(VLOOKUP($E167,'A-1 On-Site Habitat Baseline'!$D$1:$O$258,12,FALSE)),"",(VLOOKUP($E167,'A-1 On-Site Habitat Baseline'!$D$1:$O$258,12,FALSE))))</f>
        <v/>
      </c>
      <c r="N167" s="393" t="str">
        <f>IF(E167="","",IF(ISNA(VLOOKUP($E167,'A-1 On-Site Habitat Baseline'!$D$1:$X$258,14,FALSE)),"",(VLOOKUP($E167,'A-1 On-Site Habitat Baseline'!$D$1:$X$258,14,FALSE))))</f>
        <v/>
      </c>
      <c r="O167" s="386" t="str">
        <f>IF(E167="","",IF(ISNA(VLOOKUP($E167,'A-1 On-Site Habitat Baseline'!$D$1:$X$258,16,FALSE)),"",(VLOOKUP($E167,'A-1 On-Site Habitat Baseline'!$D$1:$X$258,13,FALSE))))</f>
        <v/>
      </c>
      <c r="P167" s="192" t="str">
        <f>IFERROR(INDEX('G-1 All Habitats'!$AG$3:$AG$17,MATCH(Q167,'G-1 All Habitats'!$AF$3:$AF$17,0)),"")</f>
        <v/>
      </c>
      <c r="Q167" s="193" t="str">
        <f t="shared" si="23"/>
        <v/>
      </c>
      <c r="R167" s="193" t="str">
        <f t="shared" si="23"/>
        <v/>
      </c>
      <c r="S167" s="306" t="str">
        <f>IFERROR(INDEX('G-1 All Habitats'!$B$3:$B$134,MATCH(R167,'G-1 All Habitats'!$A$3:$A$134,0)),"")</f>
        <v/>
      </c>
      <c r="T167" s="362" t="str">
        <f t="shared" si="24"/>
        <v/>
      </c>
      <c r="U167" s="363" t="str">
        <f t="shared" si="25"/>
        <v/>
      </c>
      <c r="V167" s="398" t="str">
        <f t="shared" si="21"/>
        <v/>
      </c>
      <c r="W167" s="382" t="str">
        <f>IF(S167="","",VLOOKUP(S167,'G-1 All Habitats'!$B$2:$M$134,10,FALSE))</f>
        <v/>
      </c>
      <c r="X167" s="382" t="str">
        <f>IFERROR(VLOOKUP(W167,'G-1 All Habitats'!$V$3:$W$7,2,FALSE),"")</f>
        <v/>
      </c>
      <c r="Y167" s="61"/>
      <c r="Z167" s="386" t="str">
        <f>IFERROR(INDEX('G-8 Condition Look up'!$A$3:$H$135,MATCH(S167,'G-8 Condition Look up'!$A$3:$A$135,0),MATCH(Y167,'G-8 Condition Look up'!$A$3:$H$3,0)),"")</f>
        <v/>
      </c>
      <c r="AA167" s="54"/>
      <c r="AB167" s="382" t="str">
        <f>IF(AA167="","",IF(VLOOKUP(AA167,'G-3 Multipliers'!$L$3:$N$6,2,FALSE)=0,"Spatial Data Missing ⚠",VLOOKUP(AA167,'G-3 Multipliers'!$L$3:$N$6,2,FALSE)))</f>
        <v/>
      </c>
      <c r="AC167" s="386" t="str">
        <f>IF(AA167="","",IF(VLOOKUP(AA167,'G-3 Multipliers'!$L$3:$N$6,3,FALSE)=0,"Spatial Data Missing ⚠",VLOOKUP(AA167,'G-3 Multipliers'!$L$3:$N$6,3,FALSE)))</f>
        <v/>
      </c>
      <c r="AD167" s="400" t="str">
        <f t="shared" si="22"/>
        <v/>
      </c>
      <c r="AE167" s="63"/>
      <c r="AF167" s="63"/>
      <c r="AG167" s="370" t="str">
        <f t="shared" si="26"/>
        <v/>
      </c>
      <c r="AH167" s="383" t="str">
        <f t="shared" si="27"/>
        <v/>
      </c>
      <c r="AI167" s="384" t="str">
        <f>IF(AH167="Check Data","Check Data",IFERROR(VLOOKUP(AH167,'G-4 Temporal multipliers'!$A$4:$C$36,3,FALSE),""))</f>
        <v/>
      </c>
      <c r="AJ167" s="362" t="str">
        <f>IF(S167="","",VLOOKUP(S167,'G-3 Multipliers'!$A$2:$E$134,4,FALSE))</f>
        <v/>
      </c>
      <c r="AK167" s="370" t="str">
        <f t="shared" si="28"/>
        <v/>
      </c>
      <c r="AL167" s="370" t="str">
        <f t="shared" si="29"/>
        <v/>
      </c>
      <c r="AM167" s="401" t="str">
        <f>IFERROR(IF(F167="","",IF(AH167="Check Data ⚠","Check Data ⚠",VLOOKUP(AL167, 'G-3 Multipliers'!$P$2:$Q$6,2,FALSE))),"")</f>
        <v/>
      </c>
      <c r="AN167" s="376" t="str">
        <f t="shared" si="30"/>
        <v/>
      </c>
      <c r="AO167" s="194"/>
      <c r="AP167" s="195"/>
      <c r="AQ167" s="120"/>
    </row>
    <row r="168" spans="1:43">
      <c r="A168" s="35" t="str">
        <f>IF(E168="","",IF(ISNA(VLOOKUP($E168,'A-1 On-Site Habitat Baseline'!$D$1:$O$258,2,FALSE)),"",(VLOOKUP($E168,'A-1 On-Site Habitat Baseline'!$D$1:$O$258,2,FALSE))))</f>
        <v/>
      </c>
      <c r="B168" s="35" t="str">
        <f>IF(E168="","",IF(ISNA(VLOOKUP($E168,'A-1 On-Site Habitat Baseline'!$D$1:$O$258,3,FALSE)),"",(VLOOKUP($E168,'A-1 On-Site Habitat Baseline'!$D$1:$O$258,3,FALSE))))</f>
        <v/>
      </c>
      <c r="C168" s="35" t="str">
        <f>IFERROR(INDEX('G-8 Condition Look up'!$I$4:$I$135,MATCH(S168,'G-8 Condition Look up'!$A$4:$A$135,0)),"")</f>
        <v/>
      </c>
      <c r="E168" s="392" t="str">
        <f>'A-1 On-Site Habitat Baseline'!AL167</f>
        <v/>
      </c>
      <c r="F168" s="382" t="str">
        <f>IF(E168="","",IF(ISNA(VLOOKUP($E168,'A-1 On-Site Habitat Baseline'!$D$1:$O$258,4,FALSE)),"",(VLOOKUP($E168,'A-1 On-Site Habitat Baseline'!$D$1:$O$258,4,FALSE))))</f>
        <v/>
      </c>
      <c r="G168" s="382" t="str">
        <f>IF(E168="","",IF(ISNA(VLOOKUP($E168,'A-1 On-Site Habitat Baseline'!$D$1:$O$258,5,FALSE)),"",(VLOOKUP($E168,'A-1 On-Site Habitat Baseline'!$D$1:$O$258,5,FALSE))))</f>
        <v/>
      </c>
      <c r="H168" s="382" t="str">
        <f>IF(E168="","",IF(ISNA(VLOOKUP($E168,'A-1 On-Site Habitat Baseline'!$D$1:$O$258,6,FALSE)),"",(VLOOKUP($E168,'A-1 On-Site Habitat Baseline'!$D$1:$O$258,6,FALSE))))</f>
        <v/>
      </c>
      <c r="I168" s="382" t="str">
        <f>IF(E168="","",IF(ISNA(VLOOKUP($E168,'A-1 On-Site Habitat Baseline'!$D$1:$O$258,7,FALSE)),"",(VLOOKUP($E168,'A-1 On-Site Habitat Baseline'!$D$1:$O$258,7,FALSE))))</f>
        <v/>
      </c>
      <c r="J168" s="382" t="str">
        <f>IF(E168="","",IF(ISNA(VLOOKUP($E168,'A-1 On-Site Habitat Baseline'!$D$1:$O$258,8,FALSE)),"",(VLOOKUP($E168,'A-1 On-Site Habitat Baseline'!$D$1:$O$258,8,FALSE))))</f>
        <v/>
      </c>
      <c r="K168" s="382" t="str">
        <f>IF(E168="","",IF(ISNA(VLOOKUP($E168,'A-1 On-Site Habitat Baseline'!$D$1:$O$258,9,FALSE)),"",(VLOOKUP($E168,'A-1 On-Site Habitat Baseline'!$D$1:$O$258,9,FALSE))))</f>
        <v/>
      </c>
      <c r="L168" s="382" t="str">
        <f>IF(E168="","",IF(ISNA(VLOOKUP($E168,'A-1 On-Site Habitat Baseline'!$D$1:$O$258,11,FALSE)),"",(VLOOKUP($E168,'A-1 On-Site Habitat Baseline'!$D$1:$O$258,11,FALSE))))</f>
        <v/>
      </c>
      <c r="M168" s="382" t="str">
        <f>IF(E168="","",IF(ISNA(VLOOKUP($E168,'A-1 On-Site Habitat Baseline'!$D$1:$O$258,12,FALSE)),"",(VLOOKUP($E168,'A-1 On-Site Habitat Baseline'!$D$1:$O$258,12,FALSE))))</f>
        <v/>
      </c>
      <c r="N168" s="393" t="str">
        <f>IF(E168="","",IF(ISNA(VLOOKUP($E168,'A-1 On-Site Habitat Baseline'!$D$1:$X$258,14,FALSE)),"",(VLOOKUP($E168,'A-1 On-Site Habitat Baseline'!$D$1:$X$258,14,FALSE))))</f>
        <v/>
      </c>
      <c r="O168" s="386" t="str">
        <f>IF(E168="","",IF(ISNA(VLOOKUP($E168,'A-1 On-Site Habitat Baseline'!$D$1:$X$258,16,FALSE)),"",(VLOOKUP($E168,'A-1 On-Site Habitat Baseline'!$D$1:$X$258,13,FALSE))))</f>
        <v/>
      </c>
      <c r="P168" s="192" t="str">
        <f>IFERROR(INDEX('G-1 All Habitats'!$AG$3:$AG$17,MATCH(Q168,'G-1 All Habitats'!$AF$3:$AF$17,0)),"")</f>
        <v/>
      </c>
      <c r="Q168" s="193" t="str">
        <f t="shared" si="23"/>
        <v/>
      </c>
      <c r="R168" s="193" t="str">
        <f t="shared" si="23"/>
        <v/>
      </c>
      <c r="S168" s="306" t="str">
        <f>IFERROR(INDEX('G-1 All Habitats'!$B$3:$B$134,MATCH(R168,'G-1 All Habitats'!$A$3:$A$134,0)),"")</f>
        <v/>
      </c>
      <c r="T168" s="362" t="str">
        <f t="shared" si="24"/>
        <v/>
      </c>
      <c r="U168" s="363" t="str">
        <f t="shared" si="25"/>
        <v/>
      </c>
      <c r="V168" s="398" t="str">
        <f t="shared" si="21"/>
        <v/>
      </c>
      <c r="W168" s="382" t="str">
        <f>IF(S168="","",VLOOKUP(S168,'G-1 All Habitats'!$B$2:$M$134,10,FALSE))</f>
        <v/>
      </c>
      <c r="X168" s="382" t="str">
        <f>IFERROR(VLOOKUP(W168,'G-1 All Habitats'!$V$3:$W$7,2,FALSE),"")</f>
        <v/>
      </c>
      <c r="Y168" s="61"/>
      <c r="Z168" s="386" t="str">
        <f>IFERROR(INDEX('G-8 Condition Look up'!$A$3:$H$135,MATCH(S168,'G-8 Condition Look up'!$A$3:$A$135,0),MATCH(Y168,'G-8 Condition Look up'!$A$3:$H$3,0)),"")</f>
        <v/>
      </c>
      <c r="AA168" s="54"/>
      <c r="AB168" s="382" t="str">
        <f>IF(AA168="","",IF(VLOOKUP(AA168,'G-3 Multipliers'!$L$3:$N$6,2,FALSE)=0,"Spatial Data Missing ⚠",VLOOKUP(AA168,'G-3 Multipliers'!$L$3:$N$6,2,FALSE)))</f>
        <v/>
      </c>
      <c r="AC168" s="386" t="str">
        <f>IF(AA168="","",IF(VLOOKUP(AA168,'G-3 Multipliers'!$L$3:$N$6,3,FALSE)=0,"Spatial Data Missing ⚠",VLOOKUP(AA168,'G-3 Multipliers'!$L$3:$N$6,3,FALSE)))</f>
        <v/>
      </c>
      <c r="AD168" s="400" t="str">
        <f t="shared" si="22"/>
        <v/>
      </c>
      <c r="AE168" s="63"/>
      <c r="AF168" s="63"/>
      <c r="AG168" s="370" t="str">
        <f t="shared" si="26"/>
        <v/>
      </c>
      <c r="AH168" s="383" t="str">
        <f t="shared" si="27"/>
        <v/>
      </c>
      <c r="AI168" s="384" t="str">
        <f>IF(AH168="Check Data","Check Data",IFERROR(VLOOKUP(AH168,'G-4 Temporal multipliers'!$A$4:$C$36,3,FALSE),""))</f>
        <v/>
      </c>
      <c r="AJ168" s="362" t="str">
        <f>IF(S168="","",VLOOKUP(S168,'G-3 Multipliers'!$A$2:$E$134,4,FALSE))</f>
        <v/>
      </c>
      <c r="AK168" s="370" t="str">
        <f t="shared" si="28"/>
        <v/>
      </c>
      <c r="AL168" s="370" t="str">
        <f t="shared" si="29"/>
        <v/>
      </c>
      <c r="AM168" s="401" t="str">
        <f>IFERROR(IF(F168="","",IF(AH168="Check Data ⚠","Check Data ⚠",VLOOKUP(AL168, 'G-3 Multipliers'!$P$2:$Q$6,2,FALSE))),"")</f>
        <v/>
      </c>
      <c r="AN168" s="376" t="str">
        <f t="shared" si="30"/>
        <v/>
      </c>
      <c r="AO168" s="194"/>
      <c r="AP168" s="195"/>
      <c r="AQ168" s="120"/>
    </row>
    <row r="169" spans="1:43">
      <c r="A169" s="35" t="str">
        <f>IF(E169="","",IF(ISNA(VLOOKUP($E169,'A-1 On-Site Habitat Baseline'!$D$1:$O$258,2,FALSE)),"",(VLOOKUP($E169,'A-1 On-Site Habitat Baseline'!$D$1:$O$258,2,FALSE))))</f>
        <v/>
      </c>
      <c r="B169" s="35" t="str">
        <f>IF(E169="","",IF(ISNA(VLOOKUP($E169,'A-1 On-Site Habitat Baseline'!$D$1:$O$258,3,FALSE)),"",(VLOOKUP($E169,'A-1 On-Site Habitat Baseline'!$D$1:$O$258,3,FALSE))))</f>
        <v/>
      </c>
      <c r="C169" s="35" t="str">
        <f>IFERROR(INDEX('G-8 Condition Look up'!$I$4:$I$135,MATCH(S169,'G-8 Condition Look up'!$A$4:$A$135,0)),"")</f>
        <v/>
      </c>
      <c r="E169" s="392" t="str">
        <f>'A-1 On-Site Habitat Baseline'!AL168</f>
        <v/>
      </c>
      <c r="F169" s="382" t="str">
        <f>IF(E169="","",IF(ISNA(VLOOKUP($E169,'A-1 On-Site Habitat Baseline'!$D$1:$O$258,4,FALSE)),"",(VLOOKUP($E169,'A-1 On-Site Habitat Baseline'!$D$1:$O$258,4,FALSE))))</f>
        <v/>
      </c>
      <c r="G169" s="382" t="str">
        <f>IF(E169="","",IF(ISNA(VLOOKUP($E169,'A-1 On-Site Habitat Baseline'!$D$1:$O$258,5,FALSE)),"",(VLOOKUP($E169,'A-1 On-Site Habitat Baseline'!$D$1:$O$258,5,FALSE))))</f>
        <v/>
      </c>
      <c r="H169" s="382" t="str">
        <f>IF(E169="","",IF(ISNA(VLOOKUP($E169,'A-1 On-Site Habitat Baseline'!$D$1:$O$258,6,FALSE)),"",(VLOOKUP($E169,'A-1 On-Site Habitat Baseline'!$D$1:$O$258,6,FALSE))))</f>
        <v/>
      </c>
      <c r="I169" s="382" t="str">
        <f>IF(E169="","",IF(ISNA(VLOOKUP($E169,'A-1 On-Site Habitat Baseline'!$D$1:$O$258,7,FALSE)),"",(VLOOKUP($E169,'A-1 On-Site Habitat Baseline'!$D$1:$O$258,7,FALSE))))</f>
        <v/>
      </c>
      <c r="J169" s="382" t="str">
        <f>IF(E169="","",IF(ISNA(VLOOKUP($E169,'A-1 On-Site Habitat Baseline'!$D$1:$O$258,8,FALSE)),"",(VLOOKUP($E169,'A-1 On-Site Habitat Baseline'!$D$1:$O$258,8,FALSE))))</f>
        <v/>
      </c>
      <c r="K169" s="382" t="str">
        <f>IF(E169="","",IF(ISNA(VLOOKUP($E169,'A-1 On-Site Habitat Baseline'!$D$1:$O$258,9,FALSE)),"",(VLOOKUP($E169,'A-1 On-Site Habitat Baseline'!$D$1:$O$258,9,FALSE))))</f>
        <v/>
      </c>
      <c r="L169" s="382" t="str">
        <f>IF(E169="","",IF(ISNA(VLOOKUP($E169,'A-1 On-Site Habitat Baseline'!$D$1:$O$258,11,FALSE)),"",(VLOOKUP($E169,'A-1 On-Site Habitat Baseline'!$D$1:$O$258,11,FALSE))))</f>
        <v/>
      </c>
      <c r="M169" s="382" t="str">
        <f>IF(E169="","",IF(ISNA(VLOOKUP($E169,'A-1 On-Site Habitat Baseline'!$D$1:$O$258,12,FALSE)),"",(VLOOKUP($E169,'A-1 On-Site Habitat Baseline'!$D$1:$O$258,12,FALSE))))</f>
        <v/>
      </c>
      <c r="N169" s="393" t="str">
        <f>IF(E169="","",IF(ISNA(VLOOKUP($E169,'A-1 On-Site Habitat Baseline'!$D$1:$X$258,14,FALSE)),"",(VLOOKUP($E169,'A-1 On-Site Habitat Baseline'!$D$1:$X$258,14,FALSE))))</f>
        <v/>
      </c>
      <c r="O169" s="386" t="str">
        <f>IF(E169="","",IF(ISNA(VLOOKUP($E169,'A-1 On-Site Habitat Baseline'!$D$1:$X$258,16,FALSE)),"",(VLOOKUP($E169,'A-1 On-Site Habitat Baseline'!$D$1:$X$258,13,FALSE))))</f>
        <v/>
      </c>
      <c r="P169" s="192" t="str">
        <f>IFERROR(INDEX('G-1 All Habitats'!$AG$3:$AG$17,MATCH(Q169,'G-1 All Habitats'!$AF$3:$AF$17,0)),"")</f>
        <v/>
      </c>
      <c r="Q169" s="193" t="str">
        <f t="shared" si="23"/>
        <v/>
      </c>
      <c r="R169" s="193" t="str">
        <f t="shared" si="23"/>
        <v/>
      </c>
      <c r="S169" s="306" t="str">
        <f>IFERROR(INDEX('G-1 All Habitats'!$B$3:$B$134,MATCH(R169,'G-1 All Habitats'!$A$3:$A$134,0)),"")</f>
        <v/>
      </c>
      <c r="T169" s="362" t="str">
        <f t="shared" si="24"/>
        <v/>
      </c>
      <c r="U169" s="363" t="str">
        <f t="shared" si="25"/>
        <v/>
      </c>
      <c r="V169" s="398" t="str">
        <f t="shared" si="21"/>
        <v/>
      </c>
      <c r="W169" s="382" t="str">
        <f>IF(S169="","",VLOOKUP(S169,'G-1 All Habitats'!$B$2:$M$134,10,FALSE))</f>
        <v/>
      </c>
      <c r="X169" s="382" t="str">
        <f>IFERROR(VLOOKUP(W169,'G-1 All Habitats'!$V$3:$W$7,2,FALSE),"")</f>
        <v/>
      </c>
      <c r="Y169" s="61"/>
      <c r="Z169" s="386" t="str">
        <f>IFERROR(INDEX('G-8 Condition Look up'!$A$3:$H$135,MATCH(S169,'G-8 Condition Look up'!$A$3:$A$135,0),MATCH(Y169,'G-8 Condition Look up'!$A$3:$H$3,0)),"")</f>
        <v/>
      </c>
      <c r="AA169" s="54"/>
      <c r="AB169" s="382" t="str">
        <f>IF(AA169="","",IF(VLOOKUP(AA169,'G-3 Multipliers'!$L$3:$N$6,2,FALSE)=0,"Spatial Data Missing ⚠",VLOOKUP(AA169,'G-3 Multipliers'!$L$3:$N$6,2,FALSE)))</f>
        <v/>
      </c>
      <c r="AC169" s="386" t="str">
        <f>IF(AA169="","",IF(VLOOKUP(AA169,'G-3 Multipliers'!$L$3:$N$6,3,FALSE)=0,"Spatial Data Missing ⚠",VLOOKUP(AA169,'G-3 Multipliers'!$L$3:$N$6,3,FALSE)))</f>
        <v/>
      </c>
      <c r="AD169" s="400" t="str">
        <f t="shared" si="22"/>
        <v/>
      </c>
      <c r="AE169" s="63"/>
      <c r="AF169" s="63"/>
      <c r="AG169" s="370" t="str">
        <f t="shared" si="26"/>
        <v/>
      </c>
      <c r="AH169" s="383" t="str">
        <f t="shared" si="27"/>
        <v/>
      </c>
      <c r="AI169" s="384" t="str">
        <f>IF(AH169="Check Data","Check Data",IFERROR(VLOOKUP(AH169,'G-4 Temporal multipliers'!$A$4:$C$36,3,FALSE),""))</f>
        <v/>
      </c>
      <c r="AJ169" s="362" t="str">
        <f>IF(S169="","",VLOOKUP(S169,'G-3 Multipliers'!$A$2:$E$134,4,FALSE))</f>
        <v/>
      </c>
      <c r="AK169" s="370" t="str">
        <f t="shared" si="28"/>
        <v/>
      </c>
      <c r="AL169" s="370" t="str">
        <f t="shared" si="29"/>
        <v/>
      </c>
      <c r="AM169" s="401" t="str">
        <f>IFERROR(IF(F169="","",IF(AH169="Check Data ⚠","Check Data ⚠",VLOOKUP(AL169, 'G-3 Multipliers'!$P$2:$Q$6,2,FALSE))),"")</f>
        <v/>
      </c>
      <c r="AN169" s="376" t="str">
        <f t="shared" si="30"/>
        <v/>
      </c>
      <c r="AO169" s="194"/>
      <c r="AP169" s="195"/>
      <c r="AQ169" s="120"/>
    </row>
    <row r="170" spans="1:43">
      <c r="A170" s="35" t="str">
        <f>IF(E170="","",IF(ISNA(VLOOKUP($E170,'A-1 On-Site Habitat Baseline'!$D$1:$O$258,2,FALSE)),"",(VLOOKUP($E170,'A-1 On-Site Habitat Baseline'!$D$1:$O$258,2,FALSE))))</f>
        <v/>
      </c>
      <c r="B170" s="35" t="str">
        <f>IF(E170="","",IF(ISNA(VLOOKUP($E170,'A-1 On-Site Habitat Baseline'!$D$1:$O$258,3,FALSE)),"",(VLOOKUP($E170,'A-1 On-Site Habitat Baseline'!$D$1:$O$258,3,FALSE))))</f>
        <v/>
      </c>
      <c r="C170" s="35" t="str">
        <f>IFERROR(INDEX('G-8 Condition Look up'!$I$4:$I$135,MATCH(S170,'G-8 Condition Look up'!$A$4:$A$135,0)),"")</f>
        <v/>
      </c>
      <c r="E170" s="392" t="str">
        <f>'A-1 On-Site Habitat Baseline'!AL169</f>
        <v/>
      </c>
      <c r="F170" s="382" t="str">
        <f>IF(E170="","",IF(ISNA(VLOOKUP($E170,'A-1 On-Site Habitat Baseline'!$D$1:$O$258,4,FALSE)),"",(VLOOKUP($E170,'A-1 On-Site Habitat Baseline'!$D$1:$O$258,4,FALSE))))</f>
        <v/>
      </c>
      <c r="G170" s="382" t="str">
        <f>IF(E170="","",IF(ISNA(VLOOKUP($E170,'A-1 On-Site Habitat Baseline'!$D$1:$O$258,5,FALSE)),"",(VLOOKUP($E170,'A-1 On-Site Habitat Baseline'!$D$1:$O$258,5,FALSE))))</f>
        <v/>
      </c>
      <c r="H170" s="382" t="str">
        <f>IF(E170="","",IF(ISNA(VLOOKUP($E170,'A-1 On-Site Habitat Baseline'!$D$1:$O$258,6,FALSE)),"",(VLOOKUP($E170,'A-1 On-Site Habitat Baseline'!$D$1:$O$258,6,FALSE))))</f>
        <v/>
      </c>
      <c r="I170" s="382" t="str">
        <f>IF(E170="","",IF(ISNA(VLOOKUP($E170,'A-1 On-Site Habitat Baseline'!$D$1:$O$258,7,FALSE)),"",(VLOOKUP($E170,'A-1 On-Site Habitat Baseline'!$D$1:$O$258,7,FALSE))))</f>
        <v/>
      </c>
      <c r="J170" s="382" t="str">
        <f>IF(E170="","",IF(ISNA(VLOOKUP($E170,'A-1 On-Site Habitat Baseline'!$D$1:$O$258,8,FALSE)),"",(VLOOKUP($E170,'A-1 On-Site Habitat Baseline'!$D$1:$O$258,8,FALSE))))</f>
        <v/>
      </c>
      <c r="K170" s="382" t="str">
        <f>IF(E170="","",IF(ISNA(VLOOKUP($E170,'A-1 On-Site Habitat Baseline'!$D$1:$O$258,9,FALSE)),"",(VLOOKUP($E170,'A-1 On-Site Habitat Baseline'!$D$1:$O$258,9,FALSE))))</f>
        <v/>
      </c>
      <c r="L170" s="382" t="str">
        <f>IF(E170="","",IF(ISNA(VLOOKUP($E170,'A-1 On-Site Habitat Baseline'!$D$1:$O$258,11,FALSE)),"",(VLOOKUP($E170,'A-1 On-Site Habitat Baseline'!$D$1:$O$258,11,FALSE))))</f>
        <v/>
      </c>
      <c r="M170" s="382" t="str">
        <f>IF(E170="","",IF(ISNA(VLOOKUP($E170,'A-1 On-Site Habitat Baseline'!$D$1:$O$258,12,FALSE)),"",(VLOOKUP($E170,'A-1 On-Site Habitat Baseline'!$D$1:$O$258,12,FALSE))))</f>
        <v/>
      </c>
      <c r="N170" s="393" t="str">
        <f>IF(E170="","",IF(ISNA(VLOOKUP($E170,'A-1 On-Site Habitat Baseline'!$D$1:$X$258,14,FALSE)),"",(VLOOKUP($E170,'A-1 On-Site Habitat Baseline'!$D$1:$X$258,14,FALSE))))</f>
        <v/>
      </c>
      <c r="O170" s="386" t="str">
        <f>IF(E170="","",IF(ISNA(VLOOKUP($E170,'A-1 On-Site Habitat Baseline'!$D$1:$X$258,16,FALSE)),"",(VLOOKUP($E170,'A-1 On-Site Habitat Baseline'!$D$1:$X$258,13,FALSE))))</f>
        <v/>
      </c>
      <c r="P170" s="192" t="str">
        <f>IFERROR(INDEX('G-1 All Habitats'!$AG$3:$AG$17,MATCH(Q170,'G-1 All Habitats'!$AF$3:$AF$17,0)),"")</f>
        <v/>
      </c>
      <c r="Q170" s="193" t="str">
        <f t="shared" si="23"/>
        <v/>
      </c>
      <c r="R170" s="193" t="str">
        <f t="shared" si="23"/>
        <v/>
      </c>
      <c r="S170" s="306" t="str">
        <f>IFERROR(INDEX('G-1 All Habitats'!$B$3:$B$134,MATCH(R170,'G-1 All Habitats'!$A$3:$A$134,0)),"")</f>
        <v/>
      </c>
      <c r="T170" s="362" t="str">
        <f t="shared" si="24"/>
        <v/>
      </c>
      <c r="U170" s="363" t="str">
        <f t="shared" si="25"/>
        <v/>
      </c>
      <c r="V170" s="398" t="str">
        <f t="shared" si="21"/>
        <v/>
      </c>
      <c r="W170" s="382" t="str">
        <f>IF(S170="","",VLOOKUP(S170,'G-1 All Habitats'!$B$2:$M$134,10,FALSE))</f>
        <v/>
      </c>
      <c r="X170" s="382" t="str">
        <f>IFERROR(VLOOKUP(W170,'G-1 All Habitats'!$V$3:$W$7,2,FALSE),"")</f>
        <v/>
      </c>
      <c r="Y170" s="61"/>
      <c r="Z170" s="386" t="str">
        <f>IFERROR(INDEX('G-8 Condition Look up'!$A$3:$H$135,MATCH(S170,'G-8 Condition Look up'!$A$3:$A$135,0),MATCH(Y170,'G-8 Condition Look up'!$A$3:$H$3,0)),"")</f>
        <v/>
      </c>
      <c r="AA170" s="54"/>
      <c r="AB170" s="382" t="str">
        <f>IF(AA170="","",IF(VLOOKUP(AA170,'G-3 Multipliers'!$L$3:$N$6,2,FALSE)=0,"Spatial Data Missing ⚠",VLOOKUP(AA170,'G-3 Multipliers'!$L$3:$N$6,2,FALSE)))</f>
        <v/>
      </c>
      <c r="AC170" s="386" t="str">
        <f>IF(AA170="","",IF(VLOOKUP(AA170,'G-3 Multipliers'!$L$3:$N$6,3,FALSE)=0,"Spatial Data Missing ⚠",VLOOKUP(AA170,'G-3 Multipliers'!$L$3:$N$6,3,FALSE)))</f>
        <v/>
      </c>
      <c r="AD170" s="400" t="str">
        <f t="shared" si="22"/>
        <v/>
      </c>
      <c r="AE170" s="63"/>
      <c r="AF170" s="63"/>
      <c r="AG170" s="370" t="str">
        <f t="shared" si="26"/>
        <v/>
      </c>
      <c r="AH170" s="383" t="str">
        <f t="shared" si="27"/>
        <v/>
      </c>
      <c r="AI170" s="384" t="str">
        <f>IF(AH170="Check Data","Check Data",IFERROR(VLOOKUP(AH170,'G-4 Temporal multipliers'!$A$4:$C$36,3,FALSE),""))</f>
        <v/>
      </c>
      <c r="AJ170" s="362" t="str">
        <f>IF(S170="","",VLOOKUP(S170,'G-3 Multipliers'!$A$2:$E$134,4,FALSE))</f>
        <v/>
      </c>
      <c r="AK170" s="370" t="str">
        <f t="shared" si="28"/>
        <v/>
      </c>
      <c r="AL170" s="370" t="str">
        <f t="shared" si="29"/>
        <v/>
      </c>
      <c r="AM170" s="401" t="str">
        <f>IFERROR(IF(F170="","",IF(AH170="Check Data ⚠","Check Data ⚠",VLOOKUP(AL170, 'G-3 Multipliers'!$P$2:$Q$6,2,FALSE))),"")</f>
        <v/>
      </c>
      <c r="AN170" s="376" t="str">
        <f t="shared" si="30"/>
        <v/>
      </c>
      <c r="AO170" s="194"/>
      <c r="AP170" s="195"/>
      <c r="AQ170" s="120"/>
    </row>
    <row r="171" spans="1:43">
      <c r="A171" s="35" t="str">
        <f>IF(E171="","",IF(ISNA(VLOOKUP($E171,'A-1 On-Site Habitat Baseline'!$D$1:$O$258,2,FALSE)),"",(VLOOKUP($E171,'A-1 On-Site Habitat Baseline'!$D$1:$O$258,2,FALSE))))</f>
        <v/>
      </c>
      <c r="B171" s="35" t="str">
        <f>IF(E171="","",IF(ISNA(VLOOKUP($E171,'A-1 On-Site Habitat Baseline'!$D$1:$O$258,3,FALSE)),"",(VLOOKUP($E171,'A-1 On-Site Habitat Baseline'!$D$1:$O$258,3,FALSE))))</f>
        <v/>
      </c>
      <c r="C171" s="35" t="str">
        <f>IFERROR(INDEX('G-8 Condition Look up'!$I$4:$I$135,MATCH(S171,'G-8 Condition Look up'!$A$4:$A$135,0)),"")</f>
        <v/>
      </c>
      <c r="E171" s="392" t="str">
        <f>'A-1 On-Site Habitat Baseline'!AL170</f>
        <v/>
      </c>
      <c r="F171" s="382" t="str">
        <f>IF(E171="","",IF(ISNA(VLOOKUP($E171,'A-1 On-Site Habitat Baseline'!$D$1:$O$258,4,FALSE)),"",(VLOOKUP($E171,'A-1 On-Site Habitat Baseline'!$D$1:$O$258,4,FALSE))))</f>
        <v/>
      </c>
      <c r="G171" s="382" t="str">
        <f>IF(E171="","",IF(ISNA(VLOOKUP($E171,'A-1 On-Site Habitat Baseline'!$D$1:$O$258,5,FALSE)),"",(VLOOKUP($E171,'A-1 On-Site Habitat Baseline'!$D$1:$O$258,5,FALSE))))</f>
        <v/>
      </c>
      <c r="H171" s="382" t="str">
        <f>IF(E171="","",IF(ISNA(VLOOKUP($E171,'A-1 On-Site Habitat Baseline'!$D$1:$O$258,6,FALSE)),"",(VLOOKUP($E171,'A-1 On-Site Habitat Baseline'!$D$1:$O$258,6,FALSE))))</f>
        <v/>
      </c>
      <c r="I171" s="382" t="str">
        <f>IF(E171="","",IF(ISNA(VLOOKUP($E171,'A-1 On-Site Habitat Baseline'!$D$1:$O$258,7,FALSE)),"",(VLOOKUP($E171,'A-1 On-Site Habitat Baseline'!$D$1:$O$258,7,FALSE))))</f>
        <v/>
      </c>
      <c r="J171" s="382" t="str">
        <f>IF(E171="","",IF(ISNA(VLOOKUP($E171,'A-1 On-Site Habitat Baseline'!$D$1:$O$258,8,FALSE)),"",(VLOOKUP($E171,'A-1 On-Site Habitat Baseline'!$D$1:$O$258,8,FALSE))))</f>
        <v/>
      </c>
      <c r="K171" s="382" t="str">
        <f>IF(E171="","",IF(ISNA(VLOOKUP($E171,'A-1 On-Site Habitat Baseline'!$D$1:$O$258,9,FALSE)),"",(VLOOKUP($E171,'A-1 On-Site Habitat Baseline'!$D$1:$O$258,9,FALSE))))</f>
        <v/>
      </c>
      <c r="L171" s="382" t="str">
        <f>IF(E171="","",IF(ISNA(VLOOKUP($E171,'A-1 On-Site Habitat Baseline'!$D$1:$O$258,11,FALSE)),"",(VLOOKUP($E171,'A-1 On-Site Habitat Baseline'!$D$1:$O$258,11,FALSE))))</f>
        <v/>
      </c>
      <c r="M171" s="382" t="str">
        <f>IF(E171="","",IF(ISNA(VLOOKUP($E171,'A-1 On-Site Habitat Baseline'!$D$1:$O$258,12,FALSE)),"",(VLOOKUP($E171,'A-1 On-Site Habitat Baseline'!$D$1:$O$258,12,FALSE))))</f>
        <v/>
      </c>
      <c r="N171" s="393" t="str">
        <f>IF(E171="","",IF(ISNA(VLOOKUP($E171,'A-1 On-Site Habitat Baseline'!$D$1:$X$258,14,FALSE)),"",(VLOOKUP($E171,'A-1 On-Site Habitat Baseline'!$D$1:$X$258,14,FALSE))))</f>
        <v/>
      </c>
      <c r="O171" s="386" t="str">
        <f>IF(E171="","",IF(ISNA(VLOOKUP($E171,'A-1 On-Site Habitat Baseline'!$D$1:$X$258,16,FALSE)),"",(VLOOKUP($E171,'A-1 On-Site Habitat Baseline'!$D$1:$X$258,13,FALSE))))</f>
        <v/>
      </c>
      <c r="P171" s="192" t="str">
        <f>IFERROR(INDEX('G-1 All Habitats'!$AG$3:$AG$17,MATCH(Q171,'G-1 All Habitats'!$AF$3:$AF$17,0)),"")</f>
        <v/>
      </c>
      <c r="Q171" s="193" t="str">
        <f t="shared" si="23"/>
        <v/>
      </c>
      <c r="R171" s="193" t="str">
        <f t="shared" si="23"/>
        <v/>
      </c>
      <c r="S171" s="306" t="str">
        <f>IFERROR(INDEX('G-1 All Habitats'!$B$3:$B$134,MATCH(R171,'G-1 All Habitats'!$A$3:$A$134,0)),"")</f>
        <v/>
      </c>
      <c r="T171" s="362" t="str">
        <f t="shared" si="24"/>
        <v/>
      </c>
      <c r="U171" s="363" t="str">
        <f t="shared" si="25"/>
        <v/>
      </c>
      <c r="V171" s="398" t="str">
        <f t="shared" si="21"/>
        <v/>
      </c>
      <c r="W171" s="382" t="str">
        <f>IF(S171="","",VLOOKUP(S171,'G-1 All Habitats'!$B$2:$M$134,10,FALSE))</f>
        <v/>
      </c>
      <c r="X171" s="382" t="str">
        <f>IFERROR(VLOOKUP(W171,'G-1 All Habitats'!$V$3:$W$7,2,FALSE),"")</f>
        <v/>
      </c>
      <c r="Y171" s="61"/>
      <c r="Z171" s="386" t="str">
        <f>IFERROR(INDEX('G-8 Condition Look up'!$A$3:$H$135,MATCH(S171,'G-8 Condition Look up'!$A$3:$A$135,0),MATCH(Y171,'G-8 Condition Look up'!$A$3:$H$3,0)),"")</f>
        <v/>
      </c>
      <c r="AA171" s="54"/>
      <c r="AB171" s="382" t="str">
        <f>IF(AA171="","",IF(VLOOKUP(AA171,'G-3 Multipliers'!$L$3:$N$6,2,FALSE)=0,"Spatial Data Missing ⚠",VLOOKUP(AA171,'G-3 Multipliers'!$L$3:$N$6,2,FALSE)))</f>
        <v/>
      </c>
      <c r="AC171" s="386" t="str">
        <f>IF(AA171="","",IF(VLOOKUP(AA171,'G-3 Multipliers'!$L$3:$N$6,3,FALSE)=0,"Spatial Data Missing ⚠",VLOOKUP(AA171,'G-3 Multipliers'!$L$3:$N$6,3,FALSE)))</f>
        <v/>
      </c>
      <c r="AD171" s="400" t="str">
        <f t="shared" si="22"/>
        <v/>
      </c>
      <c r="AE171" s="63"/>
      <c r="AF171" s="63"/>
      <c r="AG171" s="370" t="str">
        <f t="shared" si="26"/>
        <v/>
      </c>
      <c r="AH171" s="383" t="str">
        <f t="shared" si="27"/>
        <v/>
      </c>
      <c r="AI171" s="384" t="str">
        <f>IF(AH171="Check Data","Check Data",IFERROR(VLOOKUP(AH171,'G-4 Temporal multipliers'!$A$4:$C$36,3,FALSE),""))</f>
        <v/>
      </c>
      <c r="AJ171" s="362" t="str">
        <f>IF(S171="","",VLOOKUP(S171,'G-3 Multipliers'!$A$2:$E$134,4,FALSE))</f>
        <v/>
      </c>
      <c r="AK171" s="370" t="str">
        <f t="shared" si="28"/>
        <v/>
      </c>
      <c r="AL171" s="370" t="str">
        <f t="shared" si="29"/>
        <v/>
      </c>
      <c r="AM171" s="401" t="str">
        <f>IFERROR(IF(F171="","",IF(AH171="Check Data ⚠","Check Data ⚠",VLOOKUP(AL171, 'G-3 Multipliers'!$P$2:$Q$6,2,FALSE))),"")</f>
        <v/>
      </c>
      <c r="AN171" s="376" t="str">
        <f t="shared" si="30"/>
        <v/>
      </c>
      <c r="AO171" s="194"/>
      <c r="AP171" s="195"/>
      <c r="AQ171" s="120"/>
    </row>
    <row r="172" spans="1:43">
      <c r="A172" s="35" t="str">
        <f>IF(E172="","",IF(ISNA(VLOOKUP($E172,'A-1 On-Site Habitat Baseline'!$D$1:$O$258,2,FALSE)),"",(VLOOKUP($E172,'A-1 On-Site Habitat Baseline'!$D$1:$O$258,2,FALSE))))</f>
        <v/>
      </c>
      <c r="B172" s="35" t="str">
        <f>IF(E172="","",IF(ISNA(VLOOKUP($E172,'A-1 On-Site Habitat Baseline'!$D$1:$O$258,3,FALSE)),"",(VLOOKUP($E172,'A-1 On-Site Habitat Baseline'!$D$1:$O$258,3,FALSE))))</f>
        <v/>
      </c>
      <c r="C172" s="35" t="str">
        <f>IFERROR(INDEX('G-8 Condition Look up'!$I$4:$I$135,MATCH(S172,'G-8 Condition Look up'!$A$4:$A$135,0)),"")</f>
        <v/>
      </c>
      <c r="E172" s="392" t="str">
        <f>'A-1 On-Site Habitat Baseline'!AL171</f>
        <v/>
      </c>
      <c r="F172" s="382" t="str">
        <f>IF(E172="","",IF(ISNA(VLOOKUP($E172,'A-1 On-Site Habitat Baseline'!$D$1:$O$258,4,FALSE)),"",(VLOOKUP($E172,'A-1 On-Site Habitat Baseline'!$D$1:$O$258,4,FALSE))))</f>
        <v/>
      </c>
      <c r="G172" s="382" t="str">
        <f>IF(E172="","",IF(ISNA(VLOOKUP($E172,'A-1 On-Site Habitat Baseline'!$D$1:$O$258,5,FALSE)),"",(VLOOKUP($E172,'A-1 On-Site Habitat Baseline'!$D$1:$O$258,5,FALSE))))</f>
        <v/>
      </c>
      <c r="H172" s="382" t="str">
        <f>IF(E172="","",IF(ISNA(VLOOKUP($E172,'A-1 On-Site Habitat Baseline'!$D$1:$O$258,6,FALSE)),"",(VLOOKUP($E172,'A-1 On-Site Habitat Baseline'!$D$1:$O$258,6,FALSE))))</f>
        <v/>
      </c>
      <c r="I172" s="382" t="str">
        <f>IF(E172="","",IF(ISNA(VLOOKUP($E172,'A-1 On-Site Habitat Baseline'!$D$1:$O$258,7,FALSE)),"",(VLOOKUP($E172,'A-1 On-Site Habitat Baseline'!$D$1:$O$258,7,FALSE))))</f>
        <v/>
      </c>
      <c r="J172" s="382" t="str">
        <f>IF(E172="","",IF(ISNA(VLOOKUP($E172,'A-1 On-Site Habitat Baseline'!$D$1:$O$258,8,FALSE)),"",(VLOOKUP($E172,'A-1 On-Site Habitat Baseline'!$D$1:$O$258,8,FALSE))))</f>
        <v/>
      </c>
      <c r="K172" s="382" t="str">
        <f>IF(E172="","",IF(ISNA(VLOOKUP($E172,'A-1 On-Site Habitat Baseline'!$D$1:$O$258,9,FALSE)),"",(VLOOKUP($E172,'A-1 On-Site Habitat Baseline'!$D$1:$O$258,9,FALSE))))</f>
        <v/>
      </c>
      <c r="L172" s="382" t="str">
        <f>IF(E172="","",IF(ISNA(VLOOKUP($E172,'A-1 On-Site Habitat Baseline'!$D$1:$O$258,11,FALSE)),"",(VLOOKUP($E172,'A-1 On-Site Habitat Baseline'!$D$1:$O$258,11,FALSE))))</f>
        <v/>
      </c>
      <c r="M172" s="382" t="str">
        <f>IF(E172="","",IF(ISNA(VLOOKUP($E172,'A-1 On-Site Habitat Baseline'!$D$1:$O$258,12,FALSE)),"",(VLOOKUP($E172,'A-1 On-Site Habitat Baseline'!$D$1:$O$258,12,FALSE))))</f>
        <v/>
      </c>
      <c r="N172" s="393" t="str">
        <f>IF(E172="","",IF(ISNA(VLOOKUP($E172,'A-1 On-Site Habitat Baseline'!$D$1:$X$258,14,FALSE)),"",(VLOOKUP($E172,'A-1 On-Site Habitat Baseline'!$D$1:$X$258,14,FALSE))))</f>
        <v/>
      </c>
      <c r="O172" s="386" t="str">
        <f>IF(E172="","",IF(ISNA(VLOOKUP($E172,'A-1 On-Site Habitat Baseline'!$D$1:$X$258,16,FALSE)),"",(VLOOKUP($E172,'A-1 On-Site Habitat Baseline'!$D$1:$X$258,13,FALSE))))</f>
        <v/>
      </c>
      <c r="P172" s="192" t="str">
        <f>IFERROR(INDEX('G-1 All Habitats'!$AG$3:$AG$17,MATCH(Q172,'G-1 All Habitats'!$AF$3:$AF$17,0)),"")</f>
        <v/>
      </c>
      <c r="Q172" s="193" t="str">
        <f t="shared" si="23"/>
        <v/>
      </c>
      <c r="R172" s="193" t="str">
        <f t="shared" si="23"/>
        <v/>
      </c>
      <c r="S172" s="306" t="str">
        <f>IFERROR(INDEX('G-1 All Habitats'!$B$3:$B$134,MATCH(R172,'G-1 All Habitats'!$A$3:$A$134,0)),"")</f>
        <v/>
      </c>
      <c r="T172" s="362" t="str">
        <f t="shared" si="24"/>
        <v/>
      </c>
      <c r="U172" s="363" t="str">
        <f t="shared" si="25"/>
        <v/>
      </c>
      <c r="V172" s="398" t="str">
        <f t="shared" si="21"/>
        <v/>
      </c>
      <c r="W172" s="382" t="str">
        <f>IF(S172="","",VLOOKUP(S172,'G-1 All Habitats'!$B$2:$M$134,10,FALSE))</f>
        <v/>
      </c>
      <c r="X172" s="382" t="str">
        <f>IFERROR(VLOOKUP(W172,'G-1 All Habitats'!$V$3:$W$7,2,FALSE),"")</f>
        <v/>
      </c>
      <c r="Y172" s="61"/>
      <c r="Z172" s="386" t="str">
        <f>IFERROR(INDEX('G-8 Condition Look up'!$A$3:$H$135,MATCH(S172,'G-8 Condition Look up'!$A$3:$A$135,0),MATCH(Y172,'G-8 Condition Look up'!$A$3:$H$3,0)),"")</f>
        <v/>
      </c>
      <c r="AA172" s="54"/>
      <c r="AB172" s="382" t="str">
        <f>IF(AA172="","",IF(VLOOKUP(AA172,'G-3 Multipliers'!$L$3:$N$6,2,FALSE)=0,"Spatial Data Missing ⚠",VLOOKUP(AA172,'G-3 Multipliers'!$L$3:$N$6,2,FALSE)))</f>
        <v/>
      </c>
      <c r="AC172" s="386" t="str">
        <f>IF(AA172="","",IF(VLOOKUP(AA172,'G-3 Multipliers'!$L$3:$N$6,3,FALSE)=0,"Spatial Data Missing ⚠",VLOOKUP(AA172,'G-3 Multipliers'!$L$3:$N$6,3,FALSE)))</f>
        <v/>
      </c>
      <c r="AD172" s="400" t="str">
        <f t="shared" si="22"/>
        <v/>
      </c>
      <c r="AE172" s="63"/>
      <c r="AF172" s="63"/>
      <c r="AG172" s="370" t="str">
        <f t="shared" si="26"/>
        <v/>
      </c>
      <c r="AH172" s="383" t="str">
        <f t="shared" si="27"/>
        <v/>
      </c>
      <c r="AI172" s="384" t="str">
        <f>IF(AH172="Check Data","Check Data",IFERROR(VLOOKUP(AH172,'G-4 Temporal multipliers'!$A$4:$C$36,3,FALSE),""))</f>
        <v/>
      </c>
      <c r="AJ172" s="362" t="str">
        <f>IF(S172="","",VLOOKUP(S172,'G-3 Multipliers'!$A$2:$E$134,4,FALSE))</f>
        <v/>
      </c>
      <c r="AK172" s="370" t="str">
        <f t="shared" si="28"/>
        <v/>
      </c>
      <c r="AL172" s="370" t="str">
        <f t="shared" si="29"/>
        <v/>
      </c>
      <c r="AM172" s="401" t="str">
        <f>IFERROR(IF(F172="","",IF(AH172="Check Data ⚠","Check Data ⚠",VLOOKUP(AL172, 'G-3 Multipliers'!$P$2:$Q$6,2,FALSE))),"")</f>
        <v/>
      </c>
      <c r="AN172" s="376" t="str">
        <f t="shared" si="30"/>
        <v/>
      </c>
      <c r="AO172" s="194"/>
      <c r="AP172" s="195"/>
      <c r="AQ172" s="120"/>
    </row>
    <row r="173" spans="1:43">
      <c r="A173" s="35" t="str">
        <f>IF(E173="","",IF(ISNA(VLOOKUP($E173,'A-1 On-Site Habitat Baseline'!$D$1:$O$258,2,FALSE)),"",(VLOOKUP($E173,'A-1 On-Site Habitat Baseline'!$D$1:$O$258,2,FALSE))))</f>
        <v/>
      </c>
      <c r="B173" s="35" t="str">
        <f>IF(E173="","",IF(ISNA(VLOOKUP($E173,'A-1 On-Site Habitat Baseline'!$D$1:$O$258,3,FALSE)),"",(VLOOKUP($E173,'A-1 On-Site Habitat Baseline'!$D$1:$O$258,3,FALSE))))</f>
        <v/>
      </c>
      <c r="C173" s="35" t="str">
        <f>IFERROR(INDEX('G-8 Condition Look up'!$I$4:$I$135,MATCH(S173,'G-8 Condition Look up'!$A$4:$A$135,0)),"")</f>
        <v/>
      </c>
      <c r="E173" s="392" t="str">
        <f>'A-1 On-Site Habitat Baseline'!AL172</f>
        <v/>
      </c>
      <c r="F173" s="382" t="str">
        <f>IF(E173="","",IF(ISNA(VLOOKUP($E173,'A-1 On-Site Habitat Baseline'!$D$1:$O$258,4,FALSE)),"",(VLOOKUP($E173,'A-1 On-Site Habitat Baseline'!$D$1:$O$258,4,FALSE))))</f>
        <v/>
      </c>
      <c r="G173" s="382" t="str">
        <f>IF(E173="","",IF(ISNA(VLOOKUP($E173,'A-1 On-Site Habitat Baseline'!$D$1:$O$258,5,FALSE)),"",(VLOOKUP($E173,'A-1 On-Site Habitat Baseline'!$D$1:$O$258,5,FALSE))))</f>
        <v/>
      </c>
      <c r="H173" s="382" t="str">
        <f>IF(E173="","",IF(ISNA(VLOOKUP($E173,'A-1 On-Site Habitat Baseline'!$D$1:$O$258,6,FALSE)),"",(VLOOKUP($E173,'A-1 On-Site Habitat Baseline'!$D$1:$O$258,6,FALSE))))</f>
        <v/>
      </c>
      <c r="I173" s="382" t="str">
        <f>IF(E173="","",IF(ISNA(VLOOKUP($E173,'A-1 On-Site Habitat Baseline'!$D$1:$O$258,7,FALSE)),"",(VLOOKUP($E173,'A-1 On-Site Habitat Baseline'!$D$1:$O$258,7,FALSE))))</f>
        <v/>
      </c>
      <c r="J173" s="382" t="str">
        <f>IF(E173="","",IF(ISNA(VLOOKUP($E173,'A-1 On-Site Habitat Baseline'!$D$1:$O$258,8,FALSE)),"",(VLOOKUP($E173,'A-1 On-Site Habitat Baseline'!$D$1:$O$258,8,FALSE))))</f>
        <v/>
      </c>
      <c r="K173" s="382" t="str">
        <f>IF(E173="","",IF(ISNA(VLOOKUP($E173,'A-1 On-Site Habitat Baseline'!$D$1:$O$258,9,FALSE)),"",(VLOOKUP($E173,'A-1 On-Site Habitat Baseline'!$D$1:$O$258,9,FALSE))))</f>
        <v/>
      </c>
      <c r="L173" s="382" t="str">
        <f>IF(E173="","",IF(ISNA(VLOOKUP($E173,'A-1 On-Site Habitat Baseline'!$D$1:$O$258,11,FALSE)),"",(VLOOKUP($E173,'A-1 On-Site Habitat Baseline'!$D$1:$O$258,11,FALSE))))</f>
        <v/>
      </c>
      <c r="M173" s="382" t="str">
        <f>IF(E173="","",IF(ISNA(VLOOKUP($E173,'A-1 On-Site Habitat Baseline'!$D$1:$O$258,12,FALSE)),"",(VLOOKUP($E173,'A-1 On-Site Habitat Baseline'!$D$1:$O$258,12,FALSE))))</f>
        <v/>
      </c>
      <c r="N173" s="393" t="str">
        <f>IF(E173="","",IF(ISNA(VLOOKUP($E173,'A-1 On-Site Habitat Baseline'!$D$1:$X$258,14,FALSE)),"",(VLOOKUP($E173,'A-1 On-Site Habitat Baseline'!$D$1:$X$258,14,FALSE))))</f>
        <v/>
      </c>
      <c r="O173" s="386" t="str">
        <f>IF(E173="","",IF(ISNA(VLOOKUP($E173,'A-1 On-Site Habitat Baseline'!$D$1:$X$258,16,FALSE)),"",(VLOOKUP($E173,'A-1 On-Site Habitat Baseline'!$D$1:$X$258,13,FALSE))))</f>
        <v/>
      </c>
      <c r="P173" s="192" t="str">
        <f>IFERROR(INDEX('G-1 All Habitats'!$AG$3:$AG$17,MATCH(Q173,'G-1 All Habitats'!$AF$3:$AF$17,0)),"")</f>
        <v/>
      </c>
      <c r="Q173" s="193" t="str">
        <f t="shared" si="23"/>
        <v/>
      </c>
      <c r="R173" s="193" t="str">
        <f t="shared" si="23"/>
        <v/>
      </c>
      <c r="S173" s="306" t="str">
        <f>IFERROR(INDEX('G-1 All Habitats'!$B$3:$B$134,MATCH(R173,'G-1 All Habitats'!$A$3:$A$134,0)),"")</f>
        <v/>
      </c>
      <c r="T173" s="362" t="str">
        <f t="shared" si="24"/>
        <v/>
      </c>
      <c r="U173" s="363" t="str">
        <f t="shared" si="25"/>
        <v/>
      </c>
      <c r="V173" s="398" t="str">
        <f t="shared" si="21"/>
        <v/>
      </c>
      <c r="W173" s="382" t="str">
        <f>IF(S173="","",VLOOKUP(S173,'G-1 All Habitats'!$B$2:$M$134,10,FALSE))</f>
        <v/>
      </c>
      <c r="X173" s="382" t="str">
        <f>IFERROR(VLOOKUP(W173,'G-1 All Habitats'!$V$3:$W$7,2,FALSE),"")</f>
        <v/>
      </c>
      <c r="Y173" s="61"/>
      <c r="Z173" s="386" t="str">
        <f>IFERROR(INDEX('G-8 Condition Look up'!$A$3:$H$135,MATCH(S173,'G-8 Condition Look up'!$A$3:$A$135,0),MATCH(Y173,'G-8 Condition Look up'!$A$3:$H$3,0)),"")</f>
        <v/>
      </c>
      <c r="AA173" s="54"/>
      <c r="AB173" s="382" t="str">
        <f>IF(AA173="","",IF(VLOOKUP(AA173,'G-3 Multipliers'!$L$3:$N$6,2,FALSE)=0,"Spatial Data Missing ⚠",VLOOKUP(AA173,'G-3 Multipliers'!$L$3:$N$6,2,FALSE)))</f>
        <v/>
      </c>
      <c r="AC173" s="386" t="str">
        <f>IF(AA173="","",IF(VLOOKUP(AA173,'G-3 Multipliers'!$L$3:$N$6,3,FALSE)=0,"Spatial Data Missing ⚠",VLOOKUP(AA173,'G-3 Multipliers'!$L$3:$N$6,3,FALSE)))</f>
        <v/>
      </c>
      <c r="AD173" s="400" t="str">
        <f t="shared" si="22"/>
        <v/>
      </c>
      <c r="AE173" s="63"/>
      <c r="AF173" s="63"/>
      <c r="AG173" s="370" t="str">
        <f t="shared" si="26"/>
        <v/>
      </c>
      <c r="AH173" s="383" t="str">
        <f t="shared" si="27"/>
        <v/>
      </c>
      <c r="AI173" s="384" t="str">
        <f>IF(AH173="Check Data","Check Data",IFERROR(VLOOKUP(AH173,'G-4 Temporal multipliers'!$A$4:$C$36,3,FALSE),""))</f>
        <v/>
      </c>
      <c r="AJ173" s="362" t="str">
        <f>IF(S173="","",VLOOKUP(S173,'G-3 Multipliers'!$A$2:$E$134,4,FALSE))</f>
        <v/>
      </c>
      <c r="AK173" s="370" t="str">
        <f t="shared" si="28"/>
        <v/>
      </c>
      <c r="AL173" s="370" t="str">
        <f t="shared" si="29"/>
        <v/>
      </c>
      <c r="AM173" s="401" t="str">
        <f>IFERROR(IF(F173="","",IF(AH173="Check Data ⚠","Check Data ⚠",VLOOKUP(AL173, 'G-3 Multipliers'!$P$2:$Q$6,2,FALSE))),"")</f>
        <v/>
      </c>
      <c r="AN173" s="376" t="str">
        <f t="shared" si="30"/>
        <v/>
      </c>
      <c r="AO173" s="194"/>
      <c r="AP173" s="195"/>
      <c r="AQ173" s="120"/>
    </row>
    <row r="174" spans="1:43">
      <c r="A174" s="35" t="str">
        <f>IF(E174="","",IF(ISNA(VLOOKUP($E174,'A-1 On-Site Habitat Baseline'!$D$1:$O$258,2,FALSE)),"",(VLOOKUP($E174,'A-1 On-Site Habitat Baseline'!$D$1:$O$258,2,FALSE))))</f>
        <v/>
      </c>
      <c r="B174" s="35" t="str">
        <f>IF(E174="","",IF(ISNA(VLOOKUP($E174,'A-1 On-Site Habitat Baseline'!$D$1:$O$258,3,FALSE)),"",(VLOOKUP($E174,'A-1 On-Site Habitat Baseline'!$D$1:$O$258,3,FALSE))))</f>
        <v/>
      </c>
      <c r="C174" s="35" t="str">
        <f>IFERROR(INDEX('G-8 Condition Look up'!$I$4:$I$135,MATCH(S174,'G-8 Condition Look up'!$A$4:$A$135,0)),"")</f>
        <v/>
      </c>
      <c r="E174" s="392" t="str">
        <f>'A-1 On-Site Habitat Baseline'!AL173</f>
        <v/>
      </c>
      <c r="F174" s="382" t="str">
        <f>IF(E174="","",IF(ISNA(VLOOKUP($E174,'A-1 On-Site Habitat Baseline'!$D$1:$O$258,4,FALSE)),"",(VLOOKUP($E174,'A-1 On-Site Habitat Baseline'!$D$1:$O$258,4,FALSE))))</f>
        <v/>
      </c>
      <c r="G174" s="382" t="str">
        <f>IF(E174="","",IF(ISNA(VLOOKUP($E174,'A-1 On-Site Habitat Baseline'!$D$1:$O$258,5,FALSE)),"",(VLOOKUP($E174,'A-1 On-Site Habitat Baseline'!$D$1:$O$258,5,FALSE))))</f>
        <v/>
      </c>
      <c r="H174" s="382" t="str">
        <f>IF(E174="","",IF(ISNA(VLOOKUP($E174,'A-1 On-Site Habitat Baseline'!$D$1:$O$258,6,FALSE)),"",(VLOOKUP($E174,'A-1 On-Site Habitat Baseline'!$D$1:$O$258,6,FALSE))))</f>
        <v/>
      </c>
      <c r="I174" s="382" t="str">
        <f>IF(E174="","",IF(ISNA(VLOOKUP($E174,'A-1 On-Site Habitat Baseline'!$D$1:$O$258,7,FALSE)),"",(VLOOKUP($E174,'A-1 On-Site Habitat Baseline'!$D$1:$O$258,7,FALSE))))</f>
        <v/>
      </c>
      <c r="J174" s="382" t="str">
        <f>IF(E174="","",IF(ISNA(VLOOKUP($E174,'A-1 On-Site Habitat Baseline'!$D$1:$O$258,8,FALSE)),"",(VLOOKUP($E174,'A-1 On-Site Habitat Baseline'!$D$1:$O$258,8,FALSE))))</f>
        <v/>
      </c>
      <c r="K174" s="382" t="str">
        <f>IF(E174="","",IF(ISNA(VLOOKUP($E174,'A-1 On-Site Habitat Baseline'!$D$1:$O$258,9,FALSE)),"",(VLOOKUP($E174,'A-1 On-Site Habitat Baseline'!$D$1:$O$258,9,FALSE))))</f>
        <v/>
      </c>
      <c r="L174" s="382" t="str">
        <f>IF(E174="","",IF(ISNA(VLOOKUP($E174,'A-1 On-Site Habitat Baseline'!$D$1:$O$258,11,FALSE)),"",(VLOOKUP($E174,'A-1 On-Site Habitat Baseline'!$D$1:$O$258,11,FALSE))))</f>
        <v/>
      </c>
      <c r="M174" s="382" t="str">
        <f>IF(E174="","",IF(ISNA(VLOOKUP($E174,'A-1 On-Site Habitat Baseline'!$D$1:$O$258,12,FALSE)),"",(VLOOKUP($E174,'A-1 On-Site Habitat Baseline'!$D$1:$O$258,12,FALSE))))</f>
        <v/>
      </c>
      <c r="N174" s="393" t="str">
        <f>IF(E174="","",IF(ISNA(VLOOKUP($E174,'A-1 On-Site Habitat Baseline'!$D$1:$X$258,14,FALSE)),"",(VLOOKUP($E174,'A-1 On-Site Habitat Baseline'!$D$1:$X$258,14,FALSE))))</f>
        <v/>
      </c>
      <c r="O174" s="386" t="str">
        <f>IF(E174="","",IF(ISNA(VLOOKUP($E174,'A-1 On-Site Habitat Baseline'!$D$1:$X$258,16,FALSE)),"",(VLOOKUP($E174,'A-1 On-Site Habitat Baseline'!$D$1:$X$258,13,FALSE))))</f>
        <v/>
      </c>
      <c r="P174" s="192" t="str">
        <f>IFERROR(INDEX('G-1 All Habitats'!$AG$3:$AG$17,MATCH(Q174,'G-1 All Habitats'!$AF$3:$AF$17,0)),"")</f>
        <v/>
      </c>
      <c r="Q174" s="193" t="str">
        <f t="shared" si="23"/>
        <v/>
      </c>
      <c r="R174" s="193" t="str">
        <f t="shared" si="23"/>
        <v/>
      </c>
      <c r="S174" s="306" t="str">
        <f>IFERROR(INDEX('G-1 All Habitats'!$B$3:$B$134,MATCH(R174,'G-1 All Habitats'!$A$3:$A$134,0)),"")</f>
        <v/>
      </c>
      <c r="T174" s="362" t="str">
        <f t="shared" si="24"/>
        <v/>
      </c>
      <c r="U174" s="363" t="str">
        <f t="shared" si="25"/>
        <v/>
      </c>
      <c r="V174" s="398" t="str">
        <f t="shared" si="21"/>
        <v/>
      </c>
      <c r="W174" s="382" t="str">
        <f>IF(S174="","",VLOOKUP(S174,'G-1 All Habitats'!$B$2:$M$134,10,FALSE))</f>
        <v/>
      </c>
      <c r="X174" s="382" t="str">
        <f>IFERROR(VLOOKUP(W174,'G-1 All Habitats'!$V$3:$W$7,2,FALSE),"")</f>
        <v/>
      </c>
      <c r="Y174" s="61"/>
      <c r="Z174" s="386" t="str">
        <f>IFERROR(INDEX('G-8 Condition Look up'!$A$3:$H$135,MATCH(S174,'G-8 Condition Look up'!$A$3:$A$135,0),MATCH(Y174,'G-8 Condition Look up'!$A$3:$H$3,0)),"")</f>
        <v/>
      </c>
      <c r="AA174" s="54"/>
      <c r="AB174" s="382" t="str">
        <f>IF(AA174="","",IF(VLOOKUP(AA174,'G-3 Multipliers'!$L$3:$N$6,2,FALSE)=0,"Spatial Data Missing ⚠",VLOOKUP(AA174,'G-3 Multipliers'!$L$3:$N$6,2,FALSE)))</f>
        <v/>
      </c>
      <c r="AC174" s="386" t="str">
        <f>IF(AA174="","",IF(VLOOKUP(AA174,'G-3 Multipliers'!$L$3:$N$6,3,FALSE)=0,"Spatial Data Missing ⚠",VLOOKUP(AA174,'G-3 Multipliers'!$L$3:$N$6,3,FALSE)))</f>
        <v/>
      </c>
      <c r="AD174" s="400" t="str">
        <f t="shared" si="22"/>
        <v/>
      </c>
      <c r="AE174" s="63"/>
      <c r="AF174" s="63"/>
      <c r="AG174" s="370" t="str">
        <f t="shared" si="26"/>
        <v/>
      </c>
      <c r="AH174" s="383" t="str">
        <f t="shared" si="27"/>
        <v/>
      </c>
      <c r="AI174" s="384" t="str">
        <f>IF(AH174="Check Data","Check Data",IFERROR(VLOOKUP(AH174,'G-4 Temporal multipliers'!$A$4:$C$36,3,FALSE),""))</f>
        <v/>
      </c>
      <c r="AJ174" s="362" t="str">
        <f>IF(S174="","",VLOOKUP(S174,'G-3 Multipliers'!$A$2:$E$134,4,FALSE))</f>
        <v/>
      </c>
      <c r="AK174" s="370" t="str">
        <f t="shared" si="28"/>
        <v/>
      </c>
      <c r="AL174" s="370" t="str">
        <f t="shared" si="29"/>
        <v/>
      </c>
      <c r="AM174" s="401" t="str">
        <f>IFERROR(IF(F174="","",IF(AH174="Check Data ⚠","Check Data ⚠",VLOOKUP(AL174, 'G-3 Multipliers'!$P$2:$Q$6,2,FALSE))),"")</f>
        <v/>
      </c>
      <c r="AN174" s="376" t="str">
        <f t="shared" si="30"/>
        <v/>
      </c>
      <c r="AO174" s="194"/>
      <c r="AP174" s="195"/>
      <c r="AQ174" s="120"/>
    </row>
    <row r="175" spans="1:43">
      <c r="A175" s="35" t="str">
        <f>IF(E175="","",IF(ISNA(VLOOKUP($E175,'A-1 On-Site Habitat Baseline'!$D$1:$O$258,2,FALSE)),"",(VLOOKUP($E175,'A-1 On-Site Habitat Baseline'!$D$1:$O$258,2,FALSE))))</f>
        <v/>
      </c>
      <c r="B175" s="35" t="str">
        <f>IF(E175="","",IF(ISNA(VLOOKUP($E175,'A-1 On-Site Habitat Baseline'!$D$1:$O$258,3,FALSE)),"",(VLOOKUP($E175,'A-1 On-Site Habitat Baseline'!$D$1:$O$258,3,FALSE))))</f>
        <v/>
      </c>
      <c r="C175" s="35" t="str">
        <f>IFERROR(INDEX('G-8 Condition Look up'!$I$4:$I$135,MATCH(S175,'G-8 Condition Look up'!$A$4:$A$135,0)),"")</f>
        <v/>
      </c>
      <c r="E175" s="392" t="str">
        <f>'A-1 On-Site Habitat Baseline'!AL174</f>
        <v/>
      </c>
      <c r="F175" s="382" t="str">
        <f>IF(E175="","",IF(ISNA(VLOOKUP($E175,'A-1 On-Site Habitat Baseline'!$D$1:$O$258,4,FALSE)),"",(VLOOKUP($E175,'A-1 On-Site Habitat Baseline'!$D$1:$O$258,4,FALSE))))</f>
        <v/>
      </c>
      <c r="G175" s="382" t="str">
        <f>IF(E175="","",IF(ISNA(VLOOKUP($E175,'A-1 On-Site Habitat Baseline'!$D$1:$O$258,5,FALSE)),"",(VLOOKUP($E175,'A-1 On-Site Habitat Baseline'!$D$1:$O$258,5,FALSE))))</f>
        <v/>
      </c>
      <c r="H175" s="382" t="str">
        <f>IF(E175="","",IF(ISNA(VLOOKUP($E175,'A-1 On-Site Habitat Baseline'!$D$1:$O$258,6,FALSE)),"",(VLOOKUP($E175,'A-1 On-Site Habitat Baseline'!$D$1:$O$258,6,FALSE))))</f>
        <v/>
      </c>
      <c r="I175" s="382" t="str">
        <f>IF(E175="","",IF(ISNA(VLOOKUP($E175,'A-1 On-Site Habitat Baseline'!$D$1:$O$258,7,FALSE)),"",(VLOOKUP($E175,'A-1 On-Site Habitat Baseline'!$D$1:$O$258,7,FALSE))))</f>
        <v/>
      </c>
      <c r="J175" s="382" t="str">
        <f>IF(E175="","",IF(ISNA(VLOOKUP($E175,'A-1 On-Site Habitat Baseline'!$D$1:$O$258,8,FALSE)),"",(VLOOKUP($E175,'A-1 On-Site Habitat Baseline'!$D$1:$O$258,8,FALSE))))</f>
        <v/>
      </c>
      <c r="K175" s="382" t="str">
        <f>IF(E175="","",IF(ISNA(VLOOKUP($E175,'A-1 On-Site Habitat Baseline'!$D$1:$O$258,9,FALSE)),"",(VLOOKUP($E175,'A-1 On-Site Habitat Baseline'!$D$1:$O$258,9,FALSE))))</f>
        <v/>
      </c>
      <c r="L175" s="382" t="str">
        <f>IF(E175="","",IF(ISNA(VLOOKUP($E175,'A-1 On-Site Habitat Baseline'!$D$1:$O$258,11,FALSE)),"",(VLOOKUP($E175,'A-1 On-Site Habitat Baseline'!$D$1:$O$258,11,FALSE))))</f>
        <v/>
      </c>
      <c r="M175" s="382" t="str">
        <f>IF(E175="","",IF(ISNA(VLOOKUP($E175,'A-1 On-Site Habitat Baseline'!$D$1:$O$258,12,FALSE)),"",(VLOOKUP($E175,'A-1 On-Site Habitat Baseline'!$D$1:$O$258,12,FALSE))))</f>
        <v/>
      </c>
      <c r="N175" s="393" t="str">
        <f>IF(E175="","",IF(ISNA(VLOOKUP($E175,'A-1 On-Site Habitat Baseline'!$D$1:$X$258,14,FALSE)),"",(VLOOKUP($E175,'A-1 On-Site Habitat Baseline'!$D$1:$X$258,14,FALSE))))</f>
        <v/>
      </c>
      <c r="O175" s="386" t="str">
        <f>IF(E175="","",IF(ISNA(VLOOKUP($E175,'A-1 On-Site Habitat Baseline'!$D$1:$X$258,16,FALSE)),"",(VLOOKUP($E175,'A-1 On-Site Habitat Baseline'!$D$1:$X$258,13,FALSE))))</f>
        <v/>
      </c>
      <c r="P175" s="192" t="str">
        <f>IFERROR(INDEX('G-1 All Habitats'!$AG$3:$AG$17,MATCH(Q175,'G-1 All Habitats'!$AF$3:$AF$17,0)),"")</f>
        <v/>
      </c>
      <c r="Q175" s="193" t="str">
        <f t="shared" si="23"/>
        <v/>
      </c>
      <c r="R175" s="193" t="str">
        <f t="shared" si="23"/>
        <v/>
      </c>
      <c r="S175" s="306" t="str">
        <f>IFERROR(INDEX('G-1 All Habitats'!$B$3:$B$134,MATCH(R175,'G-1 All Habitats'!$A$3:$A$134,0)),"")</f>
        <v/>
      </c>
      <c r="T175" s="362" t="str">
        <f t="shared" si="24"/>
        <v/>
      </c>
      <c r="U175" s="363" t="str">
        <f t="shared" si="25"/>
        <v/>
      </c>
      <c r="V175" s="398" t="str">
        <f t="shared" si="21"/>
        <v/>
      </c>
      <c r="W175" s="382" t="str">
        <f>IF(S175="","",VLOOKUP(S175,'G-1 All Habitats'!$B$2:$M$134,10,FALSE))</f>
        <v/>
      </c>
      <c r="X175" s="382" t="str">
        <f>IFERROR(VLOOKUP(W175,'G-1 All Habitats'!$V$3:$W$7,2,FALSE),"")</f>
        <v/>
      </c>
      <c r="Y175" s="61"/>
      <c r="Z175" s="386" t="str">
        <f>IFERROR(INDEX('G-8 Condition Look up'!$A$3:$H$135,MATCH(S175,'G-8 Condition Look up'!$A$3:$A$135,0),MATCH(Y175,'G-8 Condition Look up'!$A$3:$H$3,0)),"")</f>
        <v/>
      </c>
      <c r="AA175" s="54"/>
      <c r="AB175" s="382" t="str">
        <f>IF(AA175="","",IF(VLOOKUP(AA175,'G-3 Multipliers'!$L$3:$N$6,2,FALSE)=0,"Spatial Data Missing ⚠",VLOOKUP(AA175,'G-3 Multipliers'!$L$3:$N$6,2,FALSE)))</f>
        <v/>
      </c>
      <c r="AC175" s="386" t="str">
        <f>IF(AA175="","",IF(VLOOKUP(AA175,'G-3 Multipliers'!$L$3:$N$6,3,FALSE)=0,"Spatial Data Missing ⚠",VLOOKUP(AA175,'G-3 Multipliers'!$L$3:$N$6,3,FALSE)))</f>
        <v/>
      </c>
      <c r="AD175" s="400" t="str">
        <f t="shared" si="22"/>
        <v/>
      </c>
      <c r="AE175" s="63"/>
      <c r="AF175" s="63"/>
      <c r="AG175" s="370" t="str">
        <f t="shared" si="26"/>
        <v/>
      </c>
      <c r="AH175" s="383" t="str">
        <f t="shared" si="27"/>
        <v/>
      </c>
      <c r="AI175" s="384" t="str">
        <f>IF(AH175="Check Data","Check Data",IFERROR(VLOOKUP(AH175,'G-4 Temporal multipliers'!$A$4:$C$36,3,FALSE),""))</f>
        <v/>
      </c>
      <c r="AJ175" s="362" t="str">
        <f>IF(S175="","",VLOOKUP(S175,'G-3 Multipliers'!$A$2:$E$134,4,FALSE))</f>
        <v/>
      </c>
      <c r="AK175" s="370" t="str">
        <f t="shared" si="28"/>
        <v/>
      </c>
      <c r="AL175" s="370" t="str">
        <f t="shared" si="29"/>
        <v/>
      </c>
      <c r="AM175" s="401" t="str">
        <f>IFERROR(IF(F175="","",IF(AH175="Check Data ⚠","Check Data ⚠",VLOOKUP(AL175, 'G-3 Multipliers'!$P$2:$Q$6,2,FALSE))),"")</f>
        <v/>
      </c>
      <c r="AN175" s="376" t="str">
        <f t="shared" si="30"/>
        <v/>
      </c>
      <c r="AO175" s="194"/>
      <c r="AP175" s="195"/>
      <c r="AQ175" s="120"/>
    </row>
    <row r="176" spans="1:43">
      <c r="A176" s="35" t="str">
        <f>IF(E176="","",IF(ISNA(VLOOKUP($E176,'A-1 On-Site Habitat Baseline'!$D$1:$O$258,2,FALSE)),"",(VLOOKUP($E176,'A-1 On-Site Habitat Baseline'!$D$1:$O$258,2,FALSE))))</f>
        <v/>
      </c>
      <c r="B176" s="35" t="str">
        <f>IF(E176="","",IF(ISNA(VLOOKUP($E176,'A-1 On-Site Habitat Baseline'!$D$1:$O$258,3,FALSE)),"",(VLOOKUP($E176,'A-1 On-Site Habitat Baseline'!$D$1:$O$258,3,FALSE))))</f>
        <v/>
      </c>
      <c r="C176" s="35" t="str">
        <f>IFERROR(INDEX('G-8 Condition Look up'!$I$4:$I$135,MATCH(S176,'G-8 Condition Look up'!$A$4:$A$135,0)),"")</f>
        <v/>
      </c>
      <c r="E176" s="392" t="str">
        <f>'A-1 On-Site Habitat Baseline'!AL175</f>
        <v/>
      </c>
      <c r="F176" s="382" t="str">
        <f>IF(E176="","",IF(ISNA(VLOOKUP($E176,'A-1 On-Site Habitat Baseline'!$D$1:$O$258,4,FALSE)),"",(VLOOKUP($E176,'A-1 On-Site Habitat Baseline'!$D$1:$O$258,4,FALSE))))</f>
        <v/>
      </c>
      <c r="G176" s="382" t="str">
        <f>IF(E176="","",IF(ISNA(VLOOKUP($E176,'A-1 On-Site Habitat Baseline'!$D$1:$O$258,5,FALSE)),"",(VLOOKUP($E176,'A-1 On-Site Habitat Baseline'!$D$1:$O$258,5,FALSE))))</f>
        <v/>
      </c>
      <c r="H176" s="382" t="str">
        <f>IF(E176="","",IF(ISNA(VLOOKUP($E176,'A-1 On-Site Habitat Baseline'!$D$1:$O$258,6,FALSE)),"",(VLOOKUP($E176,'A-1 On-Site Habitat Baseline'!$D$1:$O$258,6,FALSE))))</f>
        <v/>
      </c>
      <c r="I176" s="382" t="str">
        <f>IF(E176="","",IF(ISNA(VLOOKUP($E176,'A-1 On-Site Habitat Baseline'!$D$1:$O$258,7,FALSE)),"",(VLOOKUP($E176,'A-1 On-Site Habitat Baseline'!$D$1:$O$258,7,FALSE))))</f>
        <v/>
      </c>
      <c r="J176" s="382" t="str">
        <f>IF(E176="","",IF(ISNA(VLOOKUP($E176,'A-1 On-Site Habitat Baseline'!$D$1:$O$258,8,FALSE)),"",(VLOOKUP($E176,'A-1 On-Site Habitat Baseline'!$D$1:$O$258,8,FALSE))))</f>
        <v/>
      </c>
      <c r="K176" s="382" t="str">
        <f>IF(E176="","",IF(ISNA(VLOOKUP($E176,'A-1 On-Site Habitat Baseline'!$D$1:$O$258,9,FALSE)),"",(VLOOKUP($E176,'A-1 On-Site Habitat Baseline'!$D$1:$O$258,9,FALSE))))</f>
        <v/>
      </c>
      <c r="L176" s="382" t="str">
        <f>IF(E176="","",IF(ISNA(VLOOKUP($E176,'A-1 On-Site Habitat Baseline'!$D$1:$O$258,11,FALSE)),"",(VLOOKUP($E176,'A-1 On-Site Habitat Baseline'!$D$1:$O$258,11,FALSE))))</f>
        <v/>
      </c>
      <c r="M176" s="382" t="str">
        <f>IF(E176="","",IF(ISNA(VLOOKUP($E176,'A-1 On-Site Habitat Baseline'!$D$1:$O$258,12,FALSE)),"",(VLOOKUP($E176,'A-1 On-Site Habitat Baseline'!$D$1:$O$258,12,FALSE))))</f>
        <v/>
      </c>
      <c r="N176" s="393" t="str">
        <f>IF(E176="","",IF(ISNA(VLOOKUP($E176,'A-1 On-Site Habitat Baseline'!$D$1:$X$258,14,FALSE)),"",(VLOOKUP($E176,'A-1 On-Site Habitat Baseline'!$D$1:$X$258,14,FALSE))))</f>
        <v/>
      </c>
      <c r="O176" s="386" t="str">
        <f>IF(E176="","",IF(ISNA(VLOOKUP($E176,'A-1 On-Site Habitat Baseline'!$D$1:$X$258,16,FALSE)),"",(VLOOKUP($E176,'A-1 On-Site Habitat Baseline'!$D$1:$X$258,13,FALSE))))</f>
        <v/>
      </c>
      <c r="P176" s="192" t="str">
        <f>IFERROR(INDEX('G-1 All Habitats'!$AG$3:$AG$17,MATCH(Q176,'G-1 All Habitats'!$AF$3:$AF$17,0)),"")</f>
        <v/>
      </c>
      <c r="Q176" s="193" t="str">
        <f t="shared" si="23"/>
        <v/>
      </c>
      <c r="R176" s="193" t="str">
        <f t="shared" si="23"/>
        <v/>
      </c>
      <c r="S176" s="306" t="str">
        <f>IFERROR(INDEX('G-1 All Habitats'!$B$3:$B$134,MATCH(R176,'G-1 All Habitats'!$A$3:$A$134,0)),"")</f>
        <v/>
      </c>
      <c r="T176" s="362" t="str">
        <f t="shared" si="24"/>
        <v/>
      </c>
      <c r="U176" s="363" t="str">
        <f t="shared" si="25"/>
        <v/>
      </c>
      <c r="V176" s="398" t="str">
        <f t="shared" si="21"/>
        <v/>
      </c>
      <c r="W176" s="382" t="str">
        <f>IF(S176="","",VLOOKUP(S176,'G-1 All Habitats'!$B$2:$M$134,10,FALSE))</f>
        <v/>
      </c>
      <c r="X176" s="382" t="str">
        <f>IFERROR(VLOOKUP(W176,'G-1 All Habitats'!$V$3:$W$7,2,FALSE),"")</f>
        <v/>
      </c>
      <c r="Y176" s="61"/>
      <c r="Z176" s="386" t="str">
        <f>IFERROR(INDEX('G-8 Condition Look up'!$A$3:$H$135,MATCH(S176,'G-8 Condition Look up'!$A$3:$A$135,0),MATCH(Y176,'G-8 Condition Look up'!$A$3:$H$3,0)),"")</f>
        <v/>
      </c>
      <c r="AA176" s="54"/>
      <c r="AB176" s="382" t="str">
        <f>IF(AA176="","",IF(VLOOKUP(AA176,'G-3 Multipliers'!$L$3:$N$6,2,FALSE)=0,"Spatial Data Missing ⚠",VLOOKUP(AA176,'G-3 Multipliers'!$L$3:$N$6,2,FALSE)))</f>
        <v/>
      </c>
      <c r="AC176" s="386" t="str">
        <f>IF(AA176="","",IF(VLOOKUP(AA176,'G-3 Multipliers'!$L$3:$N$6,3,FALSE)=0,"Spatial Data Missing ⚠",VLOOKUP(AA176,'G-3 Multipliers'!$L$3:$N$6,3,FALSE)))</f>
        <v/>
      </c>
      <c r="AD176" s="400" t="str">
        <f t="shared" si="22"/>
        <v/>
      </c>
      <c r="AE176" s="63"/>
      <c r="AF176" s="63"/>
      <c r="AG176" s="370" t="str">
        <f t="shared" si="26"/>
        <v/>
      </c>
      <c r="AH176" s="383" t="str">
        <f t="shared" si="27"/>
        <v/>
      </c>
      <c r="AI176" s="384" t="str">
        <f>IF(AH176="Check Data","Check Data",IFERROR(VLOOKUP(AH176,'G-4 Temporal multipliers'!$A$4:$C$36,3,FALSE),""))</f>
        <v/>
      </c>
      <c r="AJ176" s="362" t="str">
        <f>IF(S176="","",VLOOKUP(S176,'G-3 Multipliers'!$A$2:$E$134,4,FALSE))</f>
        <v/>
      </c>
      <c r="AK176" s="370" t="str">
        <f t="shared" si="28"/>
        <v/>
      </c>
      <c r="AL176" s="370" t="str">
        <f t="shared" si="29"/>
        <v/>
      </c>
      <c r="AM176" s="401" t="str">
        <f>IFERROR(IF(F176="","",IF(AH176="Check Data ⚠","Check Data ⚠",VLOOKUP(AL176, 'G-3 Multipliers'!$P$2:$Q$6,2,FALSE))),"")</f>
        <v/>
      </c>
      <c r="AN176" s="376" t="str">
        <f t="shared" si="30"/>
        <v/>
      </c>
      <c r="AO176" s="194"/>
      <c r="AP176" s="195"/>
      <c r="AQ176" s="120"/>
    </row>
    <row r="177" spans="1:43">
      <c r="A177" s="35" t="str">
        <f>IF(E177="","",IF(ISNA(VLOOKUP($E177,'A-1 On-Site Habitat Baseline'!$D$1:$O$258,2,FALSE)),"",(VLOOKUP($E177,'A-1 On-Site Habitat Baseline'!$D$1:$O$258,2,FALSE))))</f>
        <v/>
      </c>
      <c r="B177" s="35" t="str">
        <f>IF(E177="","",IF(ISNA(VLOOKUP($E177,'A-1 On-Site Habitat Baseline'!$D$1:$O$258,3,FALSE)),"",(VLOOKUP($E177,'A-1 On-Site Habitat Baseline'!$D$1:$O$258,3,FALSE))))</f>
        <v/>
      </c>
      <c r="C177" s="35" t="str">
        <f>IFERROR(INDEX('G-8 Condition Look up'!$I$4:$I$135,MATCH(S177,'G-8 Condition Look up'!$A$4:$A$135,0)),"")</f>
        <v/>
      </c>
      <c r="E177" s="392" t="str">
        <f>'A-1 On-Site Habitat Baseline'!AL176</f>
        <v/>
      </c>
      <c r="F177" s="382" t="str">
        <f>IF(E177="","",IF(ISNA(VLOOKUP($E177,'A-1 On-Site Habitat Baseline'!$D$1:$O$258,4,FALSE)),"",(VLOOKUP($E177,'A-1 On-Site Habitat Baseline'!$D$1:$O$258,4,FALSE))))</f>
        <v/>
      </c>
      <c r="G177" s="382" t="str">
        <f>IF(E177="","",IF(ISNA(VLOOKUP($E177,'A-1 On-Site Habitat Baseline'!$D$1:$O$258,5,FALSE)),"",(VLOOKUP($E177,'A-1 On-Site Habitat Baseline'!$D$1:$O$258,5,FALSE))))</f>
        <v/>
      </c>
      <c r="H177" s="382" t="str">
        <f>IF(E177="","",IF(ISNA(VLOOKUP($E177,'A-1 On-Site Habitat Baseline'!$D$1:$O$258,6,FALSE)),"",(VLOOKUP($E177,'A-1 On-Site Habitat Baseline'!$D$1:$O$258,6,FALSE))))</f>
        <v/>
      </c>
      <c r="I177" s="382" t="str">
        <f>IF(E177="","",IF(ISNA(VLOOKUP($E177,'A-1 On-Site Habitat Baseline'!$D$1:$O$258,7,FALSE)),"",(VLOOKUP($E177,'A-1 On-Site Habitat Baseline'!$D$1:$O$258,7,FALSE))))</f>
        <v/>
      </c>
      <c r="J177" s="382" t="str">
        <f>IF(E177="","",IF(ISNA(VLOOKUP($E177,'A-1 On-Site Habitat Baseline'!$D$1:$O$258,8,FALSE)),"",(VLOOKUP($E177,'A-1 On-Site Habitat Baseline'!$D$1:$O$258,8,FALSE))))</f>
        <v/>
      </c>
      <c r="K177" s="382" t="str">
        <f>IF(E177="","",IF(ISNA(VLOOKUP($E177,'A-1 On-Site Habitat Baseline'!$D$1:$O$258,9,FALSE)),"",(VLOOKUP($E177,'A-1 On-Site Habitat Baseline'!$D$1:$O$258,9,FALSE))))</f>
        <v/>
      </c>
      <c r="L177" s="382" t="str">
        <f>IF(E177="","",IF(ISNA(VLOOKUP($E177,'A-1 On-Site Habitat Baseline'!$D$1:$O$258,11,FALSE)),"",(VLOOKUP($E177,'A-1 On-Site Habitat Baseline'!$D$1:$O$258,11,FALSE))))</f>
        <v/>
      </c>
      <c r="M177" s="382" t="str">
        <f>IF(E177="","",IF(ISNA(VLOOKUP($E177,'A-1 On-Site Habitat Baseline'!$D$1:$O$258,12,FALSE)),"",(VLOOKUP($E177,'A-1 On-Site Habitat Baseline'!$D$1:$O$258,12,FALSE))))</f>
        <v/>
      </c>
      <c r="N177" s="393" t="str">
        <f>IF(E177="","",IF(ISNA(VLOOKUP($E177,'A-1 On-Site Habitat Baseline'!$D$1:$X$258,14,FALSE)),"",(VLOOKUP($E177,'A-1 On-Site Habitat Baseline'!$D$1:$X$258,14,FALSE))))</f>
        <v/>
      </c>
      <c r="O177" s="386" t="str">
        <f>IF(E177="","",IF(ISNA(VLOOKUP($E177,'A-1 On-Site Habitat Baseline'!$D$1:$X$258,16,FALSE)),"",(VLOOKUP($E177,'A-1 On-Site Habitat Baseline'!$D$1:$X$258,13,FALSE))))</f>
        <v/>
      </c>
      <c r="P177" s="192" t="str">
        <f>IFERROR(INDEX('G-1 All Habitats'!$AG$3:$AG$17,MATCH(Q177,'G-1 All Habitats'!$AF$3:$AF$17,0)),"")</f>
        <v/>
      </c>
      <c r="Q177" s="193" t="str">
        <f t="shared" si="23"/>
        <v/>
      </c>
      <c r="R177" s="193" t="str">
        <f t="shared" si="23"/>
        <v/>
      </c>
      <c r="S177" s="306" t="str">
        <f>IFERROR(INDEX('G-1 All Habitats'!$B$3:$B$134,MATCH(R177,'G-1 All Habitats'!$A$3:$A$134,0)),"")</f>
        <v/>
      </c>
      <c r="T177" s="362" t="str">
        <f t="shared" si="24"/>
        <v/>
      </c>
      <c r="U177" s="363" t="str">
        <f t="shared" si="25"/>
        <v/>
      </c>
      <c r="V177" s="398" t="str">
        <f t="shared" si="21"/>
        <v/>
      </c>
      <c r="W177" s="382" t="str">
        <f>IF(S177="","",VLOOKUP(S177,'G-1 All Habitats'!$B$2:$M$134,10,FALSE))</f>
        <v/>
      </c>
      <c r="X177" s="382" t="str">
        <f>IFERROR(VLOOKUP(W177,'G-1 All Habitats'!$V$3:$W$7,2,FALSE),"")</f>
        <v/>
      </c>
      <c r="Y177" s="61"/>
      <c r="Z177" s="386" t="str">
        <f>IFERROR(INDEX('G-8 Condition Look up'!$A$3:$H$135,MATCH(S177,'G-8 Condition Look up'!$A$3:$A$135,0),MATCH(Y177,'G-8 Condition Look up'!$A$3:$H$3,0)),"")</f>
        <v/>
      </c>
      <c r="AA177" s="54"/>
      <c r="AB177" s="382" t="str">
        <f>IF(AA177="","",IF(VLOOKUP(AA177,'G-3 Multipliers'!$L$3:$N$6,2,FALSE)=0,"Spatial Data Missing ⚠",VLOOKUP(AA177,'G-3 Multipliers'!$L$3:$N$6,2,FALSE)))</f>
        <v/>
      </c>
      <c r="AC177" s="386" t="str">
        <f>IF(AA177="","",IF(VLOOKUP(AA177,'G-3 Multipliers'!$L$3:$N$6,3,FALSE)=0,"Spatial Data Missing ⚠",VLOOKUP(AA177,'G-3 Multipliers'!$L$3:$N$6,3,FALSE)))</f>
        <v/>
      </c>
      <c r="AD177" s="400" t="str">
        <f t="shared" si="22"/>
        <v/>
      </c>
      <c r="AE177" s="63"/>
      <c r="AF177" s="63"/>
      <c r="AG177" s="370" t="str">
        <f t="shared" si="26"/>
        <v/>
      </c>
      <c r="AH177" s="383" t="str">
        <f t="shared" si="27"/>
        <v/>
      </c>
      <c r="AI177" s="384" t="str">
        <f>IF(AH177="Check Data","Check Data",IFERROR(VLOOKUP(AH177,'G-4 Temporal multipliers'!$A$4:$C$36,3,FALSE),""))</f>
        <v/>
      </c>
      <c r="AJ177" s="362" t="str">
        <f>IF(S177="","",VLOOKUP(S177,'G-3 Multipliers'!$A$2:$E$134,4,FALSE))</f>
        <v/>
      </c>
      <c r="AK177" s="370" t="str">
        <f t="shared" si="28"/>
        <v/>
      </c>
      <c r="AL177" s="370" t="str">
        <f t="shared" si="29"/>
        <v/>
      </c>
      <c r="AM177" s="401" t="str">
        <f>IFERROR(IF(F177="","",IF(AH177="Check Data ⚠","Check Data ⚠",VLOOKUP(AL177, 'G-3 Multipliers'!$P$2:$Q$6,2,FALSE))),"")</f>
        <v/>
      </c>
      <c r="AN177" s="376" t="str">
        <f t="shared" si="30"/>
        <v/>
      </c>
      <c r="AO177" s="194"/>
      <c r="AP177" s="195"/>
      <c r="AQ177" s="120"/>
    </row>
    <row r="178" spans="1:43">
      <c r="A178" s="35" t="str">
        <f>IF(E178="","",IF(ISNA(VLOOKUP($E178,'A-1 On-Site Habitat Baseline'!$D$1:$O$258,2,FALSE)),"",(VLOOKUP($E178,'A-1 On-Site Habitat Baseline'!$D$1:$O$258,2,FALSE))))</f>
        <v/>
      </c>
      <c r="B178" s="35" t="str">
        <f>IF(E178="","",IF(ISNA(VLOOKUP($E178,'A-1 On-Site Habitat Baseline'!$D$1:$O$258,3,FALSE)),"",(VLOOKUP($E178,'A-1 On-Site Habitat Baseline'!$D$1:$O$258,3,FALSE))))</f>
        <v/>
      </c>
      <c r="C178" s="35" t="str">
        <f>IFERROR(INDEX('G-8 Condition Look up'!$I$4:$I$135,MATCH(S178,'G-8 Condition Look up'!$A$4:$A$135,0)),"")</f>
        <v/>
      </c>
      <c r="E178" s="392" t="str">
        <f>'A-1 On-Site Habitat Baseline'!AL177</f>
        <v/>
      </c>
      <c r="F178" s="382" t="str">
        <f>IF(E178="","",IF(ISNA(VLOOKUP($E178,'A-1 On-Site Habitat Baseline'!$D$1:$O$258,4,FALSE)),"",(VLOOKUP($E178,'A-1 On-Site Habitat Baseline'!$D$1:$O$258,4,FALSE))))</f>
        <v/>
      </c>
      <c r="G178" s="382" t="str">
        <f>IF(E178="","",IF(ISNA(VLOOKUP($E178,'A-1 On-Site Habitat Baseline'!$D$1:$O$258,5,FALSE)),"",(VLOOKUP($E178,'A-1 On-Site Habitat Baseline'!$D$1:$O$258,5,FALSE))))</f>
        <v/>
      </c>
      <c r="H178" s="382" t="str">
        <f>IF(E178="","",IF(ISNA(VLOOKUP($E178,'A-1 On-Site Habitat Baseline'!$D$1:$O$258,6,FALSE)),"",(VLOOKUP($E178,'A-1 On-Site Habitat Baseline'!$D$1:$O$258,6,FALSE))))</f>
        <v/>
      </c>
      <c r="I178" s="382" t="str">
        <f>IF(E178="","",IF(ISNA(VLOOKUP($E178,'A-1 On-Site Habitat Baseline'!$D$1:$O$258,7,FALSE)),"",(VLOOKUP($E178,'A-1 On-Site Habitat Baseline'!$D$1:$O$258,7,FALSE))))</f>
        <v/>
      </c>
      <c r="J178" s="382" t="str">
        <f>IF(E178="","",IF(ISNA(VLOOKUP($E178,'A-1 On-Site Habitat Baseline'!$D$1:$O$258,8,FALSE)),"",(VLOOKUP($E178,'A-1 On-Site Habitat Baseline'!$D$1:$O$258,8,FALSE))))</f>
        <v/>
      </c>
      <c r="K178" s="382" t="str">
        <f>IF(E178="","",IF(ISNA(VLOOKUP($E178,'A-1 On-Site Habitat Baseline'!$D$1:$O$258,9,FALSE)),"",(VLOOKUP($E178,'A-1 On-Site Habitat Baseline'!$D$1:$O$258,9,FALSE))))</f>
        <v/>
      </c>
      <c r="L178" s="382" t="str">
        <f>IF(E178="","",IF(ISNA(VLOOKUP($E178,'A-1 On-Site Habitat Baseline'!$D$1:$O$258,11,FALSE)),"",(VLOOKUP($E178,'A-1 On-Site Habitat Baseline'!$D$1:$O$258,11,FALSE))))</f>
        <v/>
      </c>
      <c r="M178" s="382" t="str">
        <f>IF(E178="","",IF(ISNA(VLOOKUP($E178,'A-1 On-Site Habitat Baseline'!$D$1:$O$258,12,FALSE)),"",(VLOOKUP($E178,'A-1 On-Site Habitat Baseline'!$D$1:$O$258,12,FALSE))))</f>
        <v/>
      </c>
      <c r="N178" s="393" t="str">
        <f>IF(E178="","",IF(ISNA(VLOOKUP($E178,'A-1 On-Site Habitat Baseline'!$D$1:$X$258,14,FALSE)),"",(VLOOKUP($E178,'A-1 On-Site Habitat Baseline'!$D$1:$X$258,14,FALSE))))</f>
        <v/>
      </c>
      <c r="O178" s="386" t="str">
        <f>IF(E178="","",IF(ISNA(VLOOKUP($E178,'A-1 On-Site Habitat Baseline'!$D$1:$X$258,16,FALSE)),"",(VLOOKUP($E178,'A-1 On-Site Habitat Baseline'!$D$1:$X$258,13,FALSE))))</f>
        <v/>
      </c>
      <c r="P178" s="192" t="str">
        <f>IFERROR(INDEX('G-1 All Habitats'!$AG$3:$AG$17,MATCH(Q178,'G-1 All Habitats'!$AF$3:$AF$17,0)),"")</f>
        <v/>
      </c>
      <c r="Q178" s="193" t="str">
        <f t="shared" si="23"/>
        <v/>
      </c>
      <c r="R178" s="193" t="str">
        <f t="shared" si="23"/>
        <v/>
      </c>
      <c r="S178" s="306" t="str">
        <f>IFERROR(INDEX('G-1 All Habitats'!$B$3:$B$134,MATCH(R178,'G-1 All Habitats'!$A$3:$A$134,0)),"")</f>
        <v/>
      </c>
      <c r="T178" s="362" t="str">
        <f t="shared" si="24"/>
        <v/>
      </c>
      <c r="U178" s="363" t="str">
        <f t="shared" si="25"/>
        <v/>
      </c>
      <c r="V178" s="398" t="str">
        <f t="shared" si="21"/>
        <v/>
      </c>
      <c r="W178" s="382" t="str">
        <f>IF(S178="","",VLOOKUP(S178,'G-1 All Habitats'!$B$2:$M$134,10,FALSE))</f>
        <v/>
      </c>
      <c r="X178" s="382" t="str">
        <f>IFERROR(VLOOKUP(W178,'G-1 All Habitats'!$V$3:$W$7,2,FALSE),"")</f>
        <v/>
      </c>
      <c r="Y178" s="61"/>
      <c r="Z178" s="386" t="str">
        <f>IFERROR(INDEX('G-8 Condition Look up'!$A$3:$H$135,MATCH(S178,'G-8 Condition Look up'!$A$3:$A$135,0),MATCH(Y178,'G-8 Condition Look up'!$A$3:$H$3,0)),"")</f>
        <v/>
      </c>
      <c r="AA178" s="54"/>
      <c r="AB178" s="382" t="str">
        <f>IF(AA178="","",IF(VLOOKUP(AA178,'G-3 Multipliers'!$L$3:$N$6,2,FALSE)=0,"Spatial Data Missing ⚠",VLOOKUP(AA178,'G-3 Multipliers'!$L$3:$N$6,2,FALSE)))</f>
        <v/>
      </c>
      <c r="AC178" s="386" t="str">
        <f>IF(AA178="","",IF(VLOOKUP(AA178,'G-3 Multipliers'!$L$3:$N$6,3,FALSE)=0,"Spatial Data Missing ⚠",VLOOKUP(AA178,'G-3 Multipliers'!$L$3:$N$6,3,FALSE)))</f>
        <v/>
      </c>
      <c r="AD178" s="400" t="str">
        <f t="shared" si="22"/>
        <v/>
      </c>
      <c r="AE178" s="63"/>
      <c r="AF178" s="63"/>
      <c r="AG178" s="370" t="str">
        <f t="shared" si="26"/>
        <v/>
      </c>
      <c r="AH178" s="383" t="str">
        <f t="shared" si="27"/>
        <v/>
      </c>
      <c r="AI178" s="384" t="str">
        <f>IF(AH178="Check Data","Check Data",IFERROR(VLOOKUP(AH178,'G-4 Temporal multipliers'!$A$4:$C$36,3,FALSE),""))</f>
        <v/>
      </c>
      <c r="AJ178" s="362" t="str">
        <f>IF(S178="","",VLOOKUP(S178,'G-3 Multipliers'!$A$2:$E$134,4,FALSE))</f>
        <v/>
      </c>
      <c r="AK178" s="370" t="str">
        <f t="shared" si="28"/>
        <v/>
      </c>
      <c r="AL178" s="370" t="str">
        <f t="shared" si="29"/>
        <v/>
      </c>
      <c r="AM178" s="401" t="str">
        <f>IFERROR(IF(F178="","",IF(AH178="Check Data ⚠","Check Data ⚠",VLOOKUP(AL178, 'G-3 Multipliers'!$P$2:$Q$6,2,FALSE))),"")</f>
        <v/>
      </c>
      <c r="AN178" s="376" t="str">
        <f t="shared" si="30"/>
        <v/>
      </c>
      <c r="AO178" s="194"/>
      <c r="AP178" s="195"/>
      <c r="AQ178" s="120"/>
    </row>
    <row r="179" spans="1:43">
      <c r="A179" s="35" t="str">
        <f>IF(E179="","",IF(ISNA(VLOOKUP($E179,'A-1 On-Site Habitat Baseline'!$D$1:$O$258,2,FALSE)),"",(VLOOKUP($E179,'A-1 On-Site Habitat Baseline'!$D$1:$O$258,2,FALSE))))</f>
        <v/>
      </c>
      <c r="B179" s="35" t="str">
        <f>IF(E179="","",IF(ISNA(VLOOKUP($E179,'A-1 On-Site Habitat Baseline'!$D$1:$O$258,3,FALSE)),"",(VLOOKUP($E179,'A-1 On-Site Habitat Baseline'!$D$1:$O$258,3,FALSE))))</f>
        <v/>
      </c>
      <c r="C179" s="35" t="str">
        <f>IFERROR(INDEX('G-8 Condition Look up'!$I$4:$I$135,MATCH(S179,'G-8 Condition Look up'!$A$4:$A$135,0)),"")</f>
        <v/>
      </c>
      <c r="E179" s="392" t="str">
        <f>'A-1 On-Site Habitat Baseline'!AL178</f>
        <v/>
      </c>
      <c r="F179" s="382" t="str">
        <f>IF(E179="","",IF(ISNA(VLOOKUP($E179,'A-1 On-Site Habitat Baseline'!$D$1:$O$258,4,FALSE)),"",(VLOOKUP($E179,'A-1 On-Site Habitat Baseline'!$D$1:$O$258,4,FALSE))))</f>
        <v/>
      </c>
      <c r="G179" s="382" t="str">
        <f>IF(E179="","",IF(ISNA(VLOOKUP($E179,'A-1 On-Site Habitat Baseline'!$D$1:$O$258,5,FALSE)),"",(VLOOKUP($E179,'A-1 On-Site Habitat Baseline'!$D$1:$O$258,5,FALSE))))</f>
        <v/>
      </c>
      <c r="H179" s="382" t="str">
        <f>IF(E179="","",IF(ISNA(VLOOKUP($E179,'A-1 On-Site Habitat Baseline'!$D$1:$O$258,6,FALSE)),"",(VLOOKUP($E179,'A-1 On-Site Habitat Baseline'!$D$1:$O$258,6,FALSE))))</f>
        <v/>
      </c>
      <c r="I179" s="382" t="str">
        <f>IF(E179="","",IF(ISNA(VLOOKUP($E179,'A-1 On-Site Habitat Baseline'!$D$1:$O$258,7,FALSE)),"",(VLOOKUP($E179,'A-1 On-Site Habitat Baseline'!$D$1:$O$258,7,FALSE))))</f>
        <v/>
      </c>
      <c r="J179" s="382" t="str">
        <f>IF(E179="","",IF(ISNA(VLOOKUP($E179,'A-1 On-Site Habitat Baseline'!$D$1:$O$258,8,FALSE)),"",(VLOOKUP($E179,'A-1 On-Site Habitat Baseline'!$D$1:$O$258,8,FALSE))))</f>
        <v/>
      </c>
      <c r="K179" s="382" t="str">
        <f>IF(E179="","",IF(ISNA(VLOOKUP($E179,'A-1 On-Site Habitat Baseline'!$D$1:$O$258,9,FALSE)),"",(VLOOKUP($E179,'A-1 On-Site Habitat Baseline'!$D$1:$O$258,9,FALSE))))</f>
        <v/>
      </c>
      <c r="L179" s="382" t="str">
        <f>IF(E179="","",IF(ISNA(VLOOKUP($E179,'A-1 On-Site Habitat Baseline'!$D$1:$O$258,11,FALSE)),"",(VLOOKUP($E179,'A-1 On-Site Habitat Baseline'!$D$1:$O$258,11,FALSE))))</f>
        <v/>
      </c>
      <c r="M179" s="382" t="str">
        <f>IF(E179="","",IF(ISNA(VLOOKUP($E179,'A-1 On-Site Habitat Baseline'!$D$1:$O$258,12,FALSE)),"",(VLOOKUP($E179,'A-1 On-Site Habitat Baseline'!$D$1:$O$258,12,FALSE))))</f>
        <v/>
      </c>
      <c r="N179" s="393" t="str">
        <f>IF(E179="","",IF(ISNA(VLOOKUP($E179,'A-1 On-Site Habitat Baseline'!$D$1:$X$258,14,FALSE)),"",(VLOOKUP($E179,'A-1 On-Site Habitat Baseline'!$D$1:$X$258,14,FALSE))))</f>
        <v/>
      </c>
      <c r="O179" s="386" t="str">
        <f>IF(E179="","",IF(ISNA(VLOOKUP($E179,'A-1 On-Site Habitat Baseline'!$D$1:$X$258,16,FALSE)),"",(VLOOKUP($E179,'A-1 On-Site Habitat Baseline'!$D$1:$X$258,13,FALSE))))</f>
        <v/>
      </c>
      <c r="P179" s="192" t="str">
        <f>IFERROR(INDEX('G-1 All Habitats'!$AG$3:$AG$17,MATCH(Q179,'G-1 All Habitats'!$AF$3:$AF$17,0)),"")</f>
        <v/>
      </c>
      <c r="Q179" s="193" t="str">
        <f t="shared" si="23"/>
        <v/>
      </c>
      <c r="R179" s="193" t="str">
        <f t="shared" si="23"/>
        <v/>
      </c>
      <c r="S179" s="306" t="str">
        <f>IFERROR(INDEX('G-1 All Habitats'!$B$3:$B$134,MATCH(R179,'G-1 All Habitats'!$A$3:$A$134,0)),"")</f>
        <v/>
      </c>
      <c r="T179" s="362" t="str">
        <f t="shared" si="24"/>
        <v/>
      </c>
      <c r="U179" s="363" t="str">
        <f t="shared" si="25"/>
        <v/>
      </c>
      <c r="V179" s="398" t="str">
        <f t="shared" si="21"/>
        <v/>
      </c>
      <c r="W179" s="382" t="str">
        <f>IF(S179="","",VLOOKUP(S179,'G-1 All Habitats'!$B$2:$M$134,10,FALSE))</f>
        <v/>
      </c>
      <c r="X179" s="382" t="str">
        <f>IFERROR(VLOOKUP(W179,'G-1 All Habitats'!$V$3:$W$7,2,FALSE),"")</f>
        <v/>
      </c>
      <c r="Y179" s="61"/>
      <c r="Z179" s="386" t="str">
        <f>IFERROR(INDEX('G-8 Condition Look up'!$A$3:$H$135,MATCH(S179,'G-8 Condition Look up'!$A$3:$A$135,0),MATCH(Y179,'G-8 Condition Look up'!$A$3:$H$3,0)),"")</f>
        <v/>
      </c>
      <c r="AA179" s="54"/>
      <c r="AB179" s="382" t="str">
        <f>IF(AA179="","",IF(VLOOKUP(AA179,'G-3 Multipliers'!$L$3:$N$6,2,FALSE)=0,"Spatial Data Missing ⚠",VLOOKUP(AA179,'G-3 Multipliers'!$L$3:$N$6,2,FALSE)))</f>
        <v/>
      </c>
      <c r="AC179" s="386" t="str">
        <f>IF(AA179="","",IF(VLOOKUP(AA179,'G-3 Multipliers'!$L$3:$N$6,3,FALSE)=0,"Spatial Data Missing ⚠",VLOOKUP(AA179,'G-3 Multipliers'!$L$3:$N$6,3,FALSE)))</f>
        <v/>
      </c>
      <c r="AD179" s="400" t="str">
        <f t="shared" si="22"/>
        <v/>
      </c>
      <c r="AE179" s="63"/>
      <c r="AF179" s="63"/>
      <c r="AG179" s="370" t="str">
        <f t="shared" si="26"/>
        <v/>
      </c>
      <c r="AH179" s="383" t="str">
        <f t="shared" si="27"/>
        <v/>
      </c>
      <c r="AI179" s="384" t="str">
        <f>IF(AH179="Check Data","Check Data",IFERROR(VLOOKUP(AH179,'G-4 Temporal multipliers'!$A$4:$C$36,3,FALSE),""))</f>
        <v/>
      </c>
      <c r="AJ179" s="362" t="str">
        <f>IF(S179="","",VLOOKUP(S179,'G-3 Multipliers'!$A$2:$E$134,4,FALSE))</f>
        <v/>
      </c>
      <c r="AK179" s="370" t="str">
        <f t="shared" si="28"/>
        <v/>
      </c>
      <c r="AL179" s="370" t="str">
        <f t="shared" si="29"/>
        <v/>
      </c>
      <c r="AM179" s="401" t="str">
        <f>IFERROR(IF(F179="","",IF(AH179="Check Data ⚠","Check Data ⚠",VLOOKUP(AL179, 'G-3 Multipliers'!$P$2:$Q$6,2,FALSE))),"")</f>
        <v/>
      </c>
      <c r="AN179" s="376" t="str">
        <f t="shared" si="30"/>
        <v/>
      </c>
      <c r="AO179" s="194"/>
      <c r="AP179" s="195"/>
      <c r="AQ179" s="120"/>
    </row>
    <row r="180" spans="1:43">
      <c r="A180" s="35" t="str">
        <f>IF(E180="","",IF(ISNA(VLOOKUP($E180,'A-1 On-Site Habitat Baseline'!$D$1:$O$258,2,FALSE)),"",(VLOOKUP($E180,'A-1 On-Site Habitat Baseline'!$D$1:$O$258,2,FALSE))))</f>
        <v/>
      </c>
      <c r="B180" s="35" t="str">
        <f>IF(E180="","",IF(ISNA(VLOOKUP($E180,'A-1 On-Site Habitat Baseline'!$D$1:$O$258,3,FALSE)),"",(VLOOKUP($E180,'A-1 On-Site Habitat Baseline'!$D$1:$O$258,3,FALSE))))</f>
        <v/>
      </c>
      <c r="C180" s="35" t="str">
        <f>IFERROR(INDEX('G-8 Condition Look up'!$I$4:$I$135,MATCH(S180,'G-8 Condition Look up'!$A$4:$A$135,0)),"")</f>
        <v/>
      </c>
      <c r="E180" s="392" t="str">
        <f>'A-1 On-Site Habitat Baseline'!AL179</f>
        <v/>
      </c>
      <c r="F180" s="382" t="str">
        <f>IF(E180="","",IF(ISNA(VLOOKUP($E180,'A-1 On-Site Habitat Baseline'!$D$1:$O$258,4,FALSE)),"",(VLOOKUP($E180,'A-1 On-Site Habitat Baseline'!$D$1:$O$258,4,FALSE))))</f>
        <v/>
      </c>
      <c r="G180" s="382" t="str">
        <f>IF(E180="","",IF(ISNA(VLOOKUP($E180,'A-1 On-Site Habitat Baseline'!$D$1:$O$258,5,FALSE)),"",(VLOOKUP($E180,'A-1 On-Site Habitat Baseline'!$D$1:$O$258,5,FALSE))))</f>
        <v/>
      </c>
      <c r="H180" s="382" t="str">
        <f>IF(E180="","",IF(ISNA(VLOOKUP($E180,'A-1 On-Site Habitat Baseline'!$D$1:$O$258,6,FALSE)),"",(VLOOKUP($E180,'A-1 On-Site Habitat Baseline'!$D$1:$O$258,6,FALSE))))</f>
        <v/>
      </c>
      <c r="I180" s="382" t="str">
        <f>IF(E180="","",IF(ISNA(VLOOKUP($E180,'A-1 On-Site Habitat Baseline'!$D$1:$O$258,7,FALSE)),"",(VLOOKUP($E180,'A-1 On-Site Habitat Baseline'!$D$1:$O$258,7,FALSE))))</f>
        <v/>
      </c>
      <c r="J180" s="382" t="str">
        <f>IF(E180="","",IF(ISNA(VLOOKUP($E180,'A-1 On-Site Habitat Baseline'!$D$1:$O$258,8,FALSE)),"",(VLOOKUP($E180,'A-1 On-Site Habitat Baseline'!$D$1:$O$258,8,FALSE))))</f>
        <v/>
      </c>
      <c r="K180" s="382" t="str">
        <f>IF(E180="","",IF(ISNA(VLOOKUP($E180,'A-1 On-Site Habitat Baseline'!$D$1:$O$258,9,FALSE)),"",(VLOOKUP($E180,'A-1 On-Site Habitat Baseline'!$D$1:$O$258,9,FALSE))))</f>
        <v/>
      </c>
      <c r="L180" s="382" t="str">
        <f>IF(E180="","",IF(ISNA(VLOOKUP($E180,'A-1 On-Site Habitat Baseline'!$D$1:$O$258,11,FALSE)),"",(VLOOKUP($E180,'A-1 On-Site Habitat Baseline'!$D$1:$O$258,11,FALSE))))</f>
        <v/>
      </c>
      <c r="M180" s="382" t="str">
        <f>IF(E180="","",IF(ISNA(VLOOKUP($E180,'A-1 On-Site Habitat Baseline'!$D$1:$O$258,12,FALSE)),"",(VLOOKUP($E180,'A-1 On-Site Habitat Baseline'!$D$1:$O$258,12,FALSE))))</f>
        <v/>
      </c>
      <c r="N180" s="393" t="str">
        <f>IF(E180="","",IF(ISNA(VLOOKUP($E180,'A-1 On-Site Habitat Baseline'!$D$1:$X$258,14,FALSE)),"",(VLOOKUP($E180,'A-1 On-Site Habitat Baseline'!$D$1:$X$258,14,FALSE))))</f>
        <v/>
      </c>
      <c r="O180" s="386" t="str">
        <f>IF(E180="","",IF(ISNA(VLOOKUP($E180,'A-1 On-Site Habitat Baseline'!$D$1:$X$258,16,FALSE)),"",(VLOOKUP($E180,'A-1 On-Site Habitat Baseline'!$D$1:$X$258,13,FALSE))))</f>
        <v/>
      </c>
      <c r="P180" s="192" t="str">
        <f>IFERROR(INDEX('G-1 All Habitats'!$AG$3:$AG$17,MATCH(Q180,'G-1 All Habitats'!$AF$3:$AF$17,0)),"")</f>
        <v/>
      </c>
      <c r="Q180" s="193" t="str">
        <f t="shared" si="23"/>
        <v/>
      </c>
      <c r="R180" s="193" t="str">
        <f t="shared" si="23"/>
        <v/>
      </c>
      <c r="S180" s="306" t="str">
        <f>IFERROR(INDEX('G-1 All Habitats'!$B$3:$B$134,MATCH(R180,'G-1 All Habitats'!$A$3:$A$134,0)),"")</f>
        <v/>
      </c>
      <c r="T180" s="362" t="str">
        <f t="shared" si="24"/>
        <v/>
      </c>
      <c r="U180" s="363" t="str">
        <f t="shared" si="25"/>
        <v/>
      </c>
      <c r="V180" s="398" t="str">
        <f t="shared" si="21"/>
        <v/>
      </c>
      <c r="W180" s="382" t="str">
        <f>IF(S180="","",VLOOKUP(S180,'G-1 All Habitats'!$B$2:$M$134,10,FALSE))</f>
        <v/>
      </c>
      <c r="X180" s="382" t="str">
        <f>IFERROR(VLOOKUP(W180,'G-1 All Habitats'!$V$3:$W$7,2,FALSE),"")</f>
        <v/>
      </c>
      <c r="Y180" s="61"/>
      <c r="Z180" s="386" t="str">
        <f>IFERROR(INDEX('G-8 Condition Look up'!$A$3:$H$135,MATCH(S180,'G-8 Condition Look up'!$A$3:$A$135,0),MATCH(Y180,'G-8 Condition Look up'!$A$3:$H$3,0)),"")</f>
        <v/>
      </c>
      <c r="AA180" s="54"/>
      <c r="AB180" s="382" t="str">
        <f>IF(AA180="","",IF(VLOOKUP(AA180,'G-3 Multipliers'!$L$3:$N$6,2,FALSE)=0,"Spatial Data Missing ⚠",VLOOKUP(AA180,'G-3 Multipliers'!$L$3:$N$6,2,FALSE)))</f>
        <v/>
      </c>
      <c r="AC180" s="386" t="str">
        <f>IF(AA180="","",IF(VLOOKUP(AA180,'G-3 Multipliers'!$L$3:$N$6,3,FALSE)=0,"Spatial Data Missing ⚠",VLOOKUP(AA180,'G-3 Multipliers'!$L$3:$N$6,3,FALSE)))</f>
        <v/>
      </c>
      <c r="AD180" s="400" t="str">
        <f t="shared" si="22"/>
        <v/>
      </c>
      <c r="AE180" s="63"/>
      <c r="AF180" s="63"/>
      <c r="AG180" s="370" t="str">
        <f t="shared" si="26"/>
        <v/>
      </c>
      <c r="AH180" s="383" t="str">
        <f t="shared" si="27"/>
        <v/>
      </c>
      <c r="AI180" s="384" t="str">
        <f>IF(AH180="Check Data","Check Data",IFERROR(VLOOKUP(AH180,'G-4 Temporal multipliers'!$A$4:$C$36,3,FALSE),""))</f>
        <v/>
      </c>
      <c r="AJ180" s="362" t="str">
        <f>IF(S180="","",VLOOKUP(S180,'G-3 Multipliers'!$A$2:$E$134,4,FALSE))</f>
        <v/>
      </c>
      <c r="AK180" s="370" t="str">
        <f t="shared" si="28"/>
        <v/>
      </c>
      <c r="AL180" s="370" t="str">
        <f t="shared" si="29"/>
        <v/>
      </c>
      <c r="AM180" s="401" t="str">
        <f>IFERROR(IF(F180="","",IF(AH180="Check Data ⚠","Check Data ⚠",VLOOKUP(AL180, 'G-3 Multipliers'!$P$2:$Q$6,2,FALSE))),"")</f>
        <v/>
      </c>
      <c r="AN180" s="376" t="str">
        <f t="shared" si="30"/>
        <v/>
      </c>
      <c r="AO180" s="194"/>
      <c r="AP180" s="195"/>
      <c r="AQ180" s="120"/>
    </row>
    <row r="181" spans="1:43">
      <c r="A181" s="35" t="str">
        <f>IF(E181="","",IF(ISNA(VLOOKUP($E181,'A-1 On-Site Habitat Baseline'!$D$1:$O$258,2,FALSE)),"",(VLOOKUP($E181,'A-1 On-Site Habitat Baseline'!$D$1:$O$258,2,FALSE))))</f>
        <v/>
      </c>
      <c r="B181" s="35" t="str">
        <f>IF(E181="","",IF(ISNA(VLOOKUP($E181,'A-1 On-Site Habitat Baseline'!$D$1:$O$258,3,FALSE)),"",(VLOOKUP($E181,'A-1 On-Site Habitat Baseline'!$D$1:$O$258,3,FALSE))))</f>
        <v/>
      </c>
      <c r="C181" s="35" t="str">
        <f>IFERROR(INDEX('G-8 Condition Look up'!$I$4:$I$135,MATCH(S181,'G-8 Condition Look up'!$A$4:$A$135,0)),"")</f>
        <v/>
      </c>
      <c r="E181" s="392" t="str">
        <f>'A-1 On-Site Habitat Baseline'!AL180</f>
        <v/>
      </c>
      <c r="F181" s="382" t="str">
        <f>IF(E181="","",IF(ISNA(VLOOKUP($E181,'A-1 On-Site Habitat Baseline'!$D$1:$O$258,4,FALSE)),"",(VLOOKUP($E181,'A-1 On-Site Habitat Baseline'!$D$1:$O$258,4,FALSE))))</f>
        <v/>
      </c>
      <c r="G181" s="382" t="str">
        <f>IF(E181="","",IF(ISNA(VLOOKUP($E181,'A-1 On-Site Habitat Baseline'!$D$1:$O$258,5,FALSE)),"",(VLOOKUP($E181,'A-1 On-Site Habitat Baseline'!$D$1:$O$258,5,FALSE))))</f>
        <v/>
      </c>
      <c r="H181" s="382" t="str">
        <f>IF(E181="","",IF(ISNA(VLOOKUP($E181,'A-1 On-Site Habitat Baseline'!$D$1:$O$258,6,FALSE)),"",(VLOOKUP($E181,'A-1 On-Site Habitat Baseline'!$D$1:$O$258,6,FALSE))))</f>
        <v/>
      </c>
      <c r="I181" s="382" t="str">
        <f>IF(E181="","",IF(ISNA(VLOOKUP($E181,'A-1 On-Site Habitat Baseline'!$D$1:$O$258,7,FALSE)),"",(VLOOKUP($E181,'A-1 On-Site Habitat Baseline'!$D$1:$O$258,7,FALSE))))</f>
        <v/>
      </c>
      <c r="J181" s="382" t="str">
        <f>IF(E181="","",IF(ISNA(VLOOKUP($E181,'A-1 On-Site Habitat Baseline'!$D$1:$O$258,8,FALSE)),"",(VLOOKUP($E181,'A-1 On-Site Habitat Baseline'!$D$1:$O$258,8,FALSE))))</f>
        <v/>
      </c>
      <c r="K181" s="382" t="str">
        <f>IF(E181="","",IF(ISNA(VLOOKUP($E181,'A-1 On-Site Habitat Baseline'!$D$1:$O$258,9,FALSE)),"",(VLOOKUP($E181,'A-1 On-Site Habitat Baseline'!$D$1:$O$258,9,FALSE))))</f>
        <v/>
      </c>
      <c r="L181" s="382" t="str">
        <f>IF(E181="","",IF(ISNA(VLOOKUP($E181,'A-1 On-Site Habitat Baseline'!$D$1:$O$258,11,FALSE)),"",(VLOOKUP($E181,'A-1 On-Site Habitat Baseline'!$D$1:$O$258,11,FALSE))))</f>
        <v/>
      </c>
      <c r="M181" s="382" t="str">
        <f>IF(E181="","",IF(ISNA(VLOOKUP($E181,'A-1 On-Site Habitat Baseline'!$D$1:$O$258,12,FALSE)),"",(VLOOKUP($E181,'A-1 On-Site Habitat Baseline'!$D$1:$O$258,12,FALSE))))</f>
        <v/>
      </c>
      <c r="N181" s="393" t="str">
        <f>IF(E181="","",IF(ISNA(VLOOKUP($E181,'A-1 On-Site Habitat Baseline'!$D$1:$X$258,14,FALSE)),"",(VLOOKUP($E181,'A-1 On-Site Habitat Baseline'!$D$1:$X$258,14,FALSE))))</f>
        <v/>
      </c>
      <c r="O181" s="386" t="str">
        <f>IF(E181="","",IF(ISNA(VLOOKUP($E181,'A-1 On-Site Habitat Baseline'!$D$1:$X$258,16,FALSE)),"",(VLOOKUP($E181,'A-1 On-Site Habitat Baseline'!$D$1:$X$258,13,FALSE))))</f>
        <v/>
      </c>
      <c r="P181" s="192" t="str">
        <f>IFERROR(INDEX('G-1 All Habitats'!$AG$3:$AG$17,MATCH(Q181,'G-1 All Habitats'!$AF$3:$AF$17,0)),"")</f>
        <v/>
      </c>
      <c r="Q181" s="193" t="str">
        <f t="shared" si="23"/>
        <v/>
      </c>
      <c r="R181" s="193" t="str">
        <f t="shared" si="23"/>
        <v/>
      </c>
      <c r="S181" s="306" t="str">
        <f>IFERROR(INDEX('G-1 All Habitats'!$B$3:$B$134,MATCH(R181,'G-1 All Habitats'!$A$3:$A$134,0)),"")</f>
        <v/>
      </c>
      <c r="T181" s="362" t="str">
        <f t="shared" si="24"/>
        <v/>
      </c>
      <c r="U181" s="363" t="str">
        <f t="shared" si="25"/>
        <v/>
      </c>
      <c r="V181" s="398" t="str">
        <f t="shared" si="21"/>
        <v/>
      </c>
      <c r="W181" s="382" t="str">
        <f>IF(S181="","",VLOOKUP(S181,'G-1 All Habitats'!$B$2:$M$134,10,FALSE))</f>
        <v/>
      </c>
      <c r="X181" s="382" t="str">
        <f>IFERROR(VLOOKUP(W181,'G-1 All Habitats'!$V$3:$W$7,2,FALSE),"")</f>
        <v/>
      </c>
      <c r="Y181" s="61"/>
      <c r="Z181" s="386" t="str">
        <f>IFERROR(INDEX('G-8 Condition Look up'!$A$3:$H$135,MATCH(S181,'G-8 Condition Look up'!$A$3:$A$135,0),MATCH(Y181,'G-8 Condition Look up'!$A$3:$H$3,0)),"")</f>
        <v/>
      </c>
      <c r="AA181" s="54"/>
      <c r="AB181" s="382" t="str">
        <f>IF(AA181="","",IF(VLOOKUP(AA181,'G-3 Multipliers'!$L$3:$N$6,2,FALSE)=0,"Spatial Data Missing ⚠",VLOOKUP(AA181,'G-3 Multipliers'!$L$3:$N$6,2,FALSE)))</f>
        <v/>
      </c>
      <c r="AC181" s="386" t="str">
        <f>IF(AA181="","",IF(VLOOKUP(AA181,'G-3 Multipliers'!$L$3:$N$6,3,FALSE)=0,"Spatial Data Missing ⚠",VLOOKUP(AA181,'G-3 Multipliers'!$L$3:$N$6,3,FALSE)))</f>
        <v/>
      </c>
      <c r="AD181" s="400" t="str">
        <f t="shared" si="22"/>
        <v/>
      </c>
      <c r="AE181" s="63"/>
      <c r="AF181" s="63"/>
      <c r="AG181" s="370" t="str">
        <f t="shared" si="26"/>
        <v/>
      </c>
      <c r="AH181" s="383" t="str">
        <f t="shared" si="27"/>
        <v/>
      </c>
      <c r="AI181" s="384" t="str">
        <f>IF(AH181="Check Data","Check Data",IFERROR(VLOOKUP(AH181,'G-4 Temporal multipliers'!$A$4:$C$36,3,FALSE),""))</f>
        <v/>
      </c>
      <c r="AJ181" s="362" t="str">
        <f>IF(S181="","",VLOOKUP(S181,'G-3 Multipliers'!$A$2:$E$134,4,FALSE))</f>
        <v/>
      </c>
      <c r="AK181" s="370" t="str">
        <f t="shared" si="28"/>
        <v/>
      </c>
      <c r="AL181" s="370" t="str">
        <f t="shared" si="29"/>
        <v/>
      </c>
      <c r="AM181" s="401" t="str">
        <f>IFERROR(IF(F181="","",IF(AH181="Check Data ⚠","Check Data ⚠",VLOOKUP(AL181, 'G-3 Multipliers'!$P$2:$Q$6,2,FALSE))),"")</f>
        <v/>
      </c>
      <c r="AN181" s="376" t="str">
        <f t="shared" si="30"/>
        <v/>
      </c>
      <c r="AO181" s="194"/>
      <c r="AP181" s="195"/>
      <c r="AQ181" s="120"/>
    </row>
    <row r="182" spans="1:43">
      <c r="A182" s="35" t="str">
        <f>IF(E182="","",IF(ISNA(VLOOKUP($E182,'A-1 On-Site Habitat Baseline'!$D$1:$O$258,2,FALSE)),"",(VLOOKUP($E182,'A-1 On-Site Habitat Baseline'!$D$1:$O$258,2,FALSE))))</f>
        <v/>
      </c>
      <c r="B182" s="35" t="str">
        <f>IF(E182="","",IF(ISNA(VLOOKUP($E182,'A-1 On-Site Habitat Baseline'!$D$1:$O$258,3,FALSE)),"",(VLOOKUP($E182,'A-1 On-Site Habitat Baseline'!$D$1:$O$258,3,FALSE))))</f>
        <v/>
      </c>
      <c r="C182" s="35" t="str">
        <f>IFERROR(INDEX('G-8 Condition Look up'!$I$4:$I$135,MATCH(S182,'G-8 Condition Look up'!$A$4:$A$135,0)),"")</f>
        <v/>
      </c>
      <c r="E182" s="392" t="str">
        <f>'A-1 On-Site Habitat Baseline'!AL181</f>
        <v/>
      </c>
      <c r="F182" s="382" t="str">
        <f>IF(E182="","",IF(ISNA(VLOOKUP($E182,'A-1 On-Site Habitat Baseline'!$D$1:$O$258,4,FALSE)),"",(VLOOKUP($E182,'A-1 On-Site Habitat Baseline'!$D$1:$O$258,4,FALSE))))</f>
        <v/>
      </c>
      <c r="G182" s="382" t="str">
        <f>IF(E182="","",IF(ISNA(VLOOKUP($E182,'A-1 On-Site Habitat Baseline'!$D$1:$O$258,5,FALSE)),"",(VLOOKUP($E182,'A-1 On-Site Habitat Baseline'!$D$1:$O$258,5,FALSE))))</f>
        <v/>
      </c>
      <c r="H182" s="382" t="str">
        <f>IF(E182="","",IF(ISNA(VLOOKUP($E182,'A-1 On-Site Habitat Baseline'!$D$1:$O$258,6,FALSE)),"",(VLOOKUP($E182,'A-1 On-Site Habitat Baseline'!$D$1:$O$258,6,FALSE))))</f>
        <v/>
      </c>
      <c r="I182" s="382" t="str">
        <f>IF(E182="","",IF(ISNA(VLOOKUP($E182,'A-1 On-Site Habitat Baseline'!$D$1:$O$258,7,FALSE)),"",(VLOOKUP($E182,'A-1 On-Site Habitat Baseline'!$D$1:$O$258,7,FALSE))))</f>
        <v/>
      </c>
      <c r="J182" s="382" t="str">
        <f>IF(E182="","",IF(ISNA(VLOOKUP($E182,'A-1 On-Site Habitat Baseline'!$D$1:$O$258,8,FALSE)),"",(VLOOKUP($E182,'A-1 On-Site Habitat Baseline'!$D$1:$O$258,8,FALSE))))</f>
        <v/>
      </c>
      <c r="K182" s="382" t="str">
        <f>IF(E182="","",IF(ISNA(VLOOKUP($E182,'A-1 On-Site Habitat Baseline'!$D$1:$O$258,9,FALSE)),"",(VLOOKUP($E182,'A-1 On-Site Habitat Baseline'!$D$1:$O$258,9,FALSE))))</f>
        <v/>
      </c>
      <c r="L182" s="382" t="str">
        <f>IF(E182="","",IF(ISNA(VLOOKUP($E182,'A-1 On-Site Habitat Baseline'!$D$1:$O$258,11,FALSE)),"",(VLOOKUP($E182,'A-1 On-Site Habitat Baseline'!$D$1:$O$258,11,FALSE))))</f>
        <v/>
      </c>
      <c r="M182" s="382" t="str">
        <f>IF(E182="","",IF(ISNA(VLOOKUP($E182,'A-1 On-Site Habitat Baseline'!$D$1:$O$258,12,FALSE)),"",(VLOOKUP($E182,'A-1 On-Site Habitat Baseline'!$D$1:$O$258,12,FALSE))))</f>
        <v/>
      </c>
      <c r="N182" s="393" t="str">
        <f>IF(E182="","",IF(ISNA(VLOOKUP($E182,'A-1 On-Site Habitat Baseline'!$D$1:$X$258,14,FALSE)),"",(VLOOKUP($E182,'A-1 On-Site Habitat Baseline'!$D$1:$X$258,14,FALSE))))</f>
        <v/>
      </c>
      <c r="O182" s="386" t="str">
        <f>IF(E182="","",IF(ISNA(VLOOKUP($E182,'A-1 On-Site Habitat Baseline'!$D$1:$X$258,16,FALSE)),"",(VLOOKUP($E182,'A-1 On-Site Habitat Baseline'!$D$1:$X$258,13,FALSE))))</f>
        <v/>
      </c>
      <c r="P182" s="192" t="str">
        <f>IFERROR(INDEX('G-1 All Habitats'!$AG$3:$AG$17,MATCH(Q182,'G-1 All Habitats'!$AF$3:$AF$17,0)),"")</f>
        <v/>
      </c>
      <c r="Q182" s="193" t="str">
        <f t="shared" si="23"/>
        <v/>
      </c>
      <c r="R182" s="193" t="str">
        <f t="shared" si="23"/>
        <v/>
      </c>
      <c r="S182" s="306" t="str">
        <f>IFERROR(INDEX('G-1 All Habitats'!$B$3:$B$134,MATCH(R182,'G-1 All Habitats'!$A$3:$A$134,0)),"")</f>
        <v/>
      </c>
      <c r="T182" s="362" t="str">
        <f t="shared" si="24"/>
        <v/>
      </c>
      <c r="U182" s="363" t="str">
        <f t="shared" si="25"/>
        <v/>
      </c>
      <c r="V182" s="398" t="str">
        <f t="shared" si="21"/>
        <v/>
      </c>
      <c r="W182" s="382" t="str">
        <f>IF(S182="","",VLOOKUP(S182,'G-1 All Habitats'!$B$2:$M$134,10,FALSE))</f>
        <v/>
      </c>
      <c r="X182" s="382" t="str">
        <f>IFERROR(VLOOKUP(W182,'G-1 All Habitats'!$V$3:$W$7,2,FALSE),"")</f>
        <v/>
      </c>
      <c r="Y182" s="61"/>
      <c r="Z182" s="386" t="str">
        <f>IFERROR(INDEX('G-8 Condition Look up'!$A$3:$H$135,MATCH(S182,'G-8 Condition Look up'!$A$3:$A$135,0),MATCH(Y182,'G-8 Condition Look up'!$A$3:$H$3,0)),"")</f>
        <v/>
      </c>
      <c r="AA182" s="54"/>
      <c r="AB182" s="382" t="str">
        <f>IF(AA182="","",IF(VLOOKUP(AA182,'G-3 Multipliers'!$L$3:$N$6,2,FALSE)=0,"Spatial Data Missing ⚠",VLOOKUP(AA182,'G-3 Multipliers'!$L$3:$N$6,2,FALSE)))</f>
        <v/>
      </c>
      <c r="AC182" s="386" t="str">
        <f>IF(AA182="","",IF(VLOOKUP(AA182,'G-3 Multipliers'!$L$3:$N$6,3,FALSE)=0,"Spatial Data Missing ⚠",VLOOKUP(AA182,'G-3 Multipliers'!$L$3:$N$6,3,FALSE)))</f>
        <v/>
      </c>
      <c r="AD182" s="400" t="str">
        <f t="shared" si="22"/>
        <v/>
      </c>
      <c r="AE182" s="63"/>
      <c r="AF182" s="63"/>
      <c r="AG182" s="370" t="str">
        <f t="shared" si="26"/>
        <v/>
      </c>
      <c r="AH182" s="383" t="str">
        <f t="shared" si="27"/>
        <v/>
      </c>
      <c r="AI182" s="384" t="str">
        <f>IF(AH182="Check Data","Check Data",IFERROR(VLOOKUP(AH182,'G-4 Temporal multipliers'!$A$4:$C$36,3,FALSE),""))</f>
        <v/>
      </c>
      <c r="AJ182" s="362" t="str">
        <f>IF(S182="","",VLOOKUP(S182,'G-3 Multipliers'!$A$2:$E$134,4,FALSE))</f>
        <v/>
      </c>
      <c r="AK182" s="370" t="str">
        <f t="shared" si="28"/>
        <v/>
      </c>
      <c r="AL182" s="370" t="str">
        <f t="shared" si="29"/>
        <v/>
      </c>
      <c r="AM182" s="401" t="str">
        <f>IFERROR(IF(F182="","",IF(AH182="Check Data ⚠","Check Data ⚠",VLOOKUP(AL182, 'G-3 Multipliers'!$P$2:$Q$6,2,FALSE))),"")</f>
        <v/>
      </c>
      <c r="AN182" s="376" t="str">
        <f t="shared" si="30"/>
        <v/>
      </c>
      <c r="AO182" s="194"/>
      <c r="AP182" s="195"/>
      <c r="AQ182" s="120"/>
    </row>
    <row r="183" spans="1:43">
      <c r="A183" s="35" t="str">
        <f>IF(E183="","",IF(ISNA(VLOOKUP($E183,'A-1 On-Site Habitat Baseline'!$D$1:$O$258,2,FALSE)),"",(VLOOKUP($E183,'A-1 On-Site Habitat Baseline'!$D$1:$O$258,2,FALSE))))</f>
        <v/>
      </c>
      <c r="B183" s="35" t="str">
        <f>IF(E183="","",IF(ISNA(VLOOKUP($E183,'A-1 On-Site Habitat Baseline'!$D$1:$O$258,3,FALSE)),"",(VLOOKUP($E183,'A-1 On-Site Habitat Baseline'!$D$1:$O$258,3,FALSE))))</f>
        <v/>
      </c>
      <c r="C183" s="35" t="str">
        <f>IFERROR(INDEX('G-8 Condition Look up'!$I$4:$I$135,MATCH(S183,'G-8 Condition Look up'!$A$4:$A$135,0)),"")</f>
        <v/>
      </c>
      <c r="E183" s="392" t="str">
        <f>'A-1 On-Site Habitat Baseline'!AL182</f>
        <v/>
      </c>
      <c r="F183" s="382" t="str">
        <f>IF(E183="","",IF(ISNA(VLOOKUP($E183,'A-1 On-Site Habitat Baseline'!$D$1:$O$258,4,FALSE)),"",(VLOOKUP($E183,'A-1 On-Site Habitat Baseline'!$D$1:$O$258,4,FALSE))))</f>
        <v/>
      </c>
      <c r="G183" s="382" t="str">
        <f>IF(E183="","",IF(ISNA(VLOOKUP($E183,'A-1 On-Site Habitat Baseline'!$D$1:$O$258,5,FALSE)),"",(VLOOKUP($E183,'A-1 On-Site Habitat Baseline'!$D$1:$O$258,5,FALSE))))</f>
        <v/>
      </c>
      <c r="H183" s="382" t="str">
        <f>IF(E183="","",IF(ISNA(VLOOKUP($E183,'A-1 On-Site Habitat Baseline'!$D$1:$O$258,6,FALSE)),"",(VLOOKUP($E183,'A-1 On-Site Habitat Baseline'!$D$1:$O$258,6,FALSE))))</f>
        <v/>
      </c>
      <c r="I183" s="382" t="str">
        <f>IF(E183="","",IF(ISNA(VLOOKUP($E183,'A-1 On-Site Habitat Baseline'!$D$1:$O$258,7,FALSE)),"",(VLOOKUP($E183,'A-1 On-Site Habitat Baseline'!$D$1:$O$258,7,FALSE))))</f>
        <v/>
      </c>
      <c r="J183" s="382" t="str">
        <f>IF(E183="","",IF(ISNA(VLOOKUP($E183,'A-1 On-Site Habitat Baseline'!$D$1:$O$258,8,FALSE)),"",(VLOOKUP($E183,'A-1 On-Site Habitat Baseline'!$D$1:$O$258,8,FALSE))))</f>
        <v/>
      </c>
      <c r="K183" s="382" t="str">
        <f>IF(E183="","",IF(ISNA(VLOOKUP($E183,'A-1 On-Site Habitat Baseline'!$D$1:$O$258,9,FALSE)),"",(VLOOKUP($E183,'A-1 On-Site Habitat Baseline'!$D$1:$O$258,9,FALSE))))</f>
        <v/>
      </c>
      <c r="L183" s="382" t="str">
        <f>IF(E183="","",IF(ISNA(VLOOKUP($E183,'A-1 On-Site Habitat Baseline'!$D$1:$O$258,11,FALSE)),"",(VLOOKUP($E183,'A-1 On-Site Habitat Baseline'!$D$1:$O$258,11,FALSE))))</f>
        <v/>
      </c>
      <c r="M183" s="382" t="str">
        <f>IF(E183="","",IF(ISNA(VLOOKUP($E183,'A-1 On-Site Habitat Baseline'!$D$1:$O$258,12,FALSE)),"",(VLOOKUP($E183,'A-1 On-Site Habitat Baseline'!$D$1:$O$258,12,FALSE))))</f>
        <v/>
      </c>
      <c r="N183" s="393" t="str">
        <f>IF(E183="","",IF(ISNA(VLOOKUP($E183,'A-1 On-Site Habitat Baseline'!$D$1:$X$258,14,FALSE)),"",(VLOOKUP($E183,'A-1 On-Site Habitat Baseline'!$D$1:$X$258,14,FALSE))))</f>
        <v/>
      </c>
      <c r="O183" s="386" t="str">
        <f>IF(E183="","",IF(ISNA(VLOOKUP($E183,'A-1 On-Site Habitat Baseline'!$D$1:$X$258,16,FALSE)),"",(VLOOKUP($E183,'A-1 On-Site Habitat Baseline'!$D$1:$X$258,13,FALSE))))</f>
        <v/>
      </c>
      <c r="P183" s="192" t="str">
        <f>IFERROR(INDEX('G-1 All Habitats'!$AG$3:$AG$17,MATCH(Q183,'G-1 All Habitats'!$AF$3:$AF$17,0)),"")</f>
        <v/>
      </c>
      <c r="Q183" s="193" t="str">
        <f t="shared" si="23"/>
        <v/>
      </c>
      <c r="R183" s="193" t="str">
        <f t="shared" si="23"/>
        <v/>
      </c>
      <c r="S183" s="306" t="str">
        <f>IFERROR(INDEX('G-1 All Habitats'!$B$3:$B$134,MATCH(R183,'G-1 All Habitats'!$A$3:$A$134,0)),"")</f>
        <v/>
      </c>
      <c r="T183" s="362" t="str">
        <f t="shared" si="24"/>
        <v/>
      </c>
      <c r="U183" s="363" t="str">
        <f t="shared" si="25"/>
        <v/>
      </c>
      <c r="V183" s="398" t="str">
        <f t="shared" si="21"/>
        <v/>
      </c>
      <c r="W183" s="382" t="str">
        <f>IF(S183="","",VLOOKUP(S183,'G-1 All Habitats'!$B$2:$M$134,10,FALSE))</f>
        <v/>
      </c>
      <c r="X183" s="382" t="str">
        <f>IFERROR(VLOOKUP(W183,'G-1 All Habitats'!$V$3:$W$7,2,FALSE),"")</f>
        <v/>
      </c>
      <c r="Y183" s="61"/>
      <c r="Z183" s="386" t="str">
        <f>IFERROR(INDEX('G-8 Condition Look up'!$A$3:$H$135,MATCH(S183,'G-8 Condition Look up'!$A$3:$A$135,0),MATCH(Y183,'G-8 Condition Look up'!$A$3:$H$3,0)),"")</f>
        <v/>
      </c>
      <c r="AA183" s="54"/>
      <c r="AB183" s="382" t="str">
        <f>IF(AA183="","",IF(VLOOKUP(AA183,'G-3 Multipliers'!$L$3:$N$6,2,FALSE)=0,"Spatial Data Missing ⚠",VLOOKUP(AA183,'G-3 Multipliers'!$L$3:$N$6,2,FALSE)))</f>
        <v/>
      </c>
      <c r="AC183" s="386" t="str">
        <f>IF(AA183="","",IF(VLOOKUP(AA183,'G-3 Multipliers'!$L$3:$N$6,3,FALSE)=0,"Spatial Data Missing ⚠",VLOOKUP(AA183,'G-3 Multipliers'!$L$3:$N$6,3,FALSE)))</f>
        <v/>
      </c>
      <c r="AD183" s="400" t="str">
        <f t="shared" si="22"/>
        <v/>
      </c>
      <c r="AE183" s="63"/>
      <c r="AF183" s="63"/>
      <c r="AG183" s="370" t="str">
        <f t="shared" si="26"/>
        <v/>
      </c>
      <c r="AH183" s="383" t="str">
        <f t="shared" si="27"/>
        <v/>
      </c>
      <c r="AI183" s="384" t="str">
        <f>IF(AH183="Check Data","Check Data",IFERROR(VLOOKUP(AH183,'G-4 Temporal multipliers'!$A$4:$C$36,3,FALSE),""))</f>
        <v/>
      </c>
      <c r="AJ183" s="362" t="str">
        <f>IF(S183="","",VLOOKUP(S183,'G-3 Multipliers'!$A$2:$E$134,4,FALSE))</f>
        <v/>
      </c>
      <c r="AK183" s="370" t="str">
        <f t="shared" si="28"/>
        <v/>
      </c>
      <c r="AL183" s="370" t="str">
        <f t="shared" si="29"/>
        <v/>
      </c>
      <c r="AM183" s="401" t="str">
        <f>IFERROR(IF(F183="","",IF(AH183="Check Data ⚠","Check Data ⚠",VLOOKUP(AL183, 'G-3 Multipliers'!$P$2:$Q$6,2,FALSE))),"")</f>
        <v/>
      </c>
      <c r="AN183" s="376" t="str">
        <f t="shared" si="30"/>
        <v/>
      </c>
      <c r="AO183" s="194"/>
      <c r="AP183" s="195"/>
      <c r="AQ183" s="120"/>
    </row>
    <row r="184" spans="1:43">
      <c r="A184" s="35" t="str">
        <f>IF(E184="","",IF(ISNA(VLOOKUP($E184,'A-1 On-Site Habitat Baseline'!$D$1:$O$258,2,FALSE)),"",(VLOOKUP($E184,'A-1 On-Site Habitat Baseline'!$D$1:$O$258,2,FALSE))))</f>
        <v/>
      </c>
      <c r="B184" s="35" t="str">
        <f>IF(E184="","",IF(ISNA(VLOOKUP($E184,'A-1 On-Site Habitat Baseline'!$D$1:$O$258,3,FALSE)),"",(VLOOKUP($E184,'A-1 On-Site Habitat Baseline'!$D$1:$O$258,3,FALSE))))</f>
        <v/>
      </c>
      <c r="C184" s="35" t="str">
        <f>IFERROR(INDEX('G-8 Condition Look up'!$I$4:$I$135,MATCH(S184,'G-8 Condition Look up'!$A$4:$A$135,0)),"")</f>
        <v/>
      </c>
      <c r="E184" s="392" t="str">
        <f>'A-1 On-Site Habitat Baseline'!AL183</f>
        <v/>
      </c>
      <c r="F184" s="382" t="str">
        <f>IF(E184="","",IF(ISNA(VLOOKUP($E184,'A-1 On-Site Habitat Baseline'!$D$1:$O$258,4,FALSE)),"",(VLOOKUP($E184,'A-1 On-Site Habitat Baseline'!$D$1:$O$258,4,FALSE))))</f>
        <v/>
      </c>
      <c r="G184" s="382" t="str">
        <f>IF(E184="","",IF(ISNA(VLOOKUP($E184,'A-1 On-Site Habitat Baseline'!$D$1:$O$258,5,FALSE)),"",(VLOOKUP($E184,'A-1 On-Site Habitat Baseline'!$D$1:$O$258,5,FALSE))))</f>
        <v/>
      </c>
      <c r="H184" s="382" t="str">
        <f>IF(E184="","",IF(ISNA(VLOOKUP($E184,'A-1 On-Site Habitat Baseline'!$D$1:$O$258,6,FALSE)),"",(VLOOKUP($E184,'A-1 On-Site Habitat Baseline'!$D$1:$O$258,6,FALSE))))</f>
        <v/>
      </c>
      <c r="I184" s="382" t="str">
        <f>IF(E184="","",IF(ISNA(VLOOKUP($E184,'A-1 On-Site Habitat Baseline'!$D$1:$O$258,7,FALSE)),"",(VLOOKUP($E184,'A-1 On-Site Habitat Baseline'!$D$1:$O$258,7,FALSE))))</f>
        <v/>
      </c>
      <c r="J184" s="382" t="str">
        <f>IF(E184="","",IF(ISNA(VLOOKUP($E184,'A-1 On-Site Habitat Baseline'!$D$1:$O$258,8,FALSE)),"",(VLOOKUP($E184,'A-1 On-Site Habitat Baseline'!$D$1:$O$258,8,FALSE))))</f>
        <v/>
      </c>
      <c r="K184" s="382" t="str">
        <f>IF(E184="","",IF(ISNA(VLOOKUP($E184,'A-1 On-Site Habitat Baseline'!$D$1:$O$258,9,FALSE)),"",(VLOOKUP($E184,'A-1 On-Site Habitat Baseline'!$D$1:$O$258,9,FALSE))))</f>
        <v/>
      </c>
      <c r="L184" s="382" t="str">
        <f>IF(E184="","",IF(ISNA(VLOOKUP($E184,'A-1 On-Site Habitat Baseline'!$D$1:$O$258,11,FALSE)),"",(VLOOKUP($E184,'A-1 On-Site Habitat Baseline'!$D$1:$O$258,11,FALSE))))</f>
        <v/>
      </c>
      <c r="M184" s="382" t="str">
        <f>IF(E184="","",IF(ISNA(VLOOKUP($E184,'A-1 On-Site Habitat Baseline'!$D$1:$O$258,12,FALSE)),"",(VLOOKUP($E184,'A-1 On-Site Habitat Baseline'!$D$1:$O$258,12,FALSE))))</f>
        <v/>
      </c>
      <c r="N184" s="393" t="str">
        <f>IF(E184="","",IF(ISNA(VLOOKUP($E184,'A-1 On-Site Habitat Baseline'!$D$1:$X$258,14,FALSE)),"",(VLOOKUP($E184,'A-1 On-Site Habitat Baseline'!$D$1:$X$258,14,FALSE))))</f>
        <v/>
      </c>
      <c r="O184" s="386" t="str">
        <f>IF(E184="","",IF(ISNA(VLOOKUP($E184,'A-1 On-Site Habitat Baseline'!$D$1:$X$258,16,FALSE)),"",(VLOOKUP($E184,'A-1 On-Site Habitat Baseline'!$D$1:$X$258,13,FALSE))))</f>
        <v/>
      </c>
      <c r="P184" s="192" t="str">
        <f>IFERROR(INDEX('G-1 All Habitats'!$AG$3:$AG$17,MATCH(Q184,'G-1 All Habitats'!$AF$3:$AF$17,0)),"")</f>
        <v/>
      </c>
      <c r="Q184" s="193" t="str">
        <f t="shared" si="23"/>
        <v/>
      </c>
      <c r="R184" s="193" t="str">
        <f t="shared" si="23"/>
        <v/>
      </c>
      <c r="S184" s="306" t="str">
        <f>IFERROR(INDEX('G-1 All Habitats'!$B$3:$B$134,MATCH(R184,'G-1 All Habitats'!$A$3:$A$134,0)),"")</f>
        <v/>
      </c>
      <c r="T184" s="362" t="str">
        <f t="shared" si="24"/>
        <v/>
      </c>
      <c r="U184" s="363" t="str">
        <f t="shared" si="25"/>
        <v/>
      </c>
      <c r="V184" s="398" t="str">
        <f t="shared" si="21"/>
        <v/>
      </c>
      <c r="W184" s="382" t="str">
        <f>IF(S184="","",VLOOKUP(S184,'G-1 All Habitats'!$B$2:$M$134,10,FALSE))</f>
        <v/>
      </c>
      <c r="X184" s="382" t="str">
        <f>IFERROR(VLOOKUP(W184,'G-1 All Habitats'!$V$3:$W$7,2,FALSE),"")</f>
        <v/>
      </c>
      <c r="Y184" s="61"/>
      <c r="Z184" s="386" t="str">
        <f>IFERROR(INDEX('G-8 Condition Look up'!$A$3:$H$135,MATCH(S184,'G-8 Condition Look up'!$A$3:$A$135,0),MATCH(Y184,'G-8 Condition Look up'!$A$3:$H$3,0)),"")</f>
        <v/>
      </c>
      <c r="AA184" s="54"/>
      <c r="AB184" s="382" t="str">
        <f>IF(AA184="","",IF(VLOOKUP(AA184,'G-3 Multipliers'!$L$3:$N$6,2,FALSE)=0,"Spatial Data Missing ⚠",VLOOKUP(AA184,'G-3 Multipliers'!$L$3:$N$6,2,FALSE)))</f>
        <v/>
      </c>
      <c r="AC184" s="386" t="str">
        <f>IF(AA184="","",IF(VLOOKUP(AA184,'G-3 Multipliers'!$L$3:$N$6,3,FALSE)=0,"Spatial Data Missing ⚠",VLOOKUP(AA184,'G-3 Multipliers'!$L$3:$N$6,3,FALSE)))</f>
        <v/>
      </c>
      <c r="AD184" s="400" t="str">
        <f t="shared" si="22"/>
        <v/>
      </c>
      <c r="AE184" s="63"/>
      <c r="AF184" s="63"/>
      <c r="AG184" s="370" t="str">
        <f t="shared" si="26"/>
        <v/>
      </c>
      <c r="AH184" s="383" t="str">
        <f t="shared" si="27"/>
        <v/>
      </c>
      <c r="AI184" s="384" t="str">
        <f>IF(AH184="Check Data","Check Data",IFERROR(VLOOKUP(AH184,'G-4 Temporal multipliers'!$A$4:$C$36,3,FALSE),""))</f>
        <v/>
      </c>
      <c r="AJ184" s="362" t="str">
        <f>IF(S184="","",VLOOKUP(S184,'G-3 Multipliers'!$A$2:$E$134,4,FALSE))</f>
        <v/>
      </c>
      <c r="AK184" s="370" t="str">
        <f t="shared" si="28"/>
        <v/>
      </c>
      <c r="AL184" s="370" t="str">
        <f t="shared" si="29"/>
        <v/>
      </c>
      <c r="AM184" s="401" t="str">
        <f>IFERROR(IF(F184="","",IF(AH184="Check Data ⚠","Check Data ⚠",VLOOKUP(AL184, 'G-3 Multipliers'!$P$2:$Q$6,2,FALSE))),"")</f>
        <v/>
      </c>
      <c r="AN184" s="376" t="str">
        <f t="shared" si="30"/>
        <v/>
      </c>
      <c r="AO184" s="194"/>
      <c r="AP184" s="195"/>
      <c r="AQ184" s="120"/>
    </row>
    <row r="185" spans="1:43">
      <c r="A185" s="35" t="str">
        <f>IF(E185="","",IF(ISNA(VLOOKUP($E185,'A-1 On-Site Habitat Baseline'!$D$1:$O$258,2,FALSE)),"",(VLOOKUP($E185,'A-1 On-Site Habitat Baseline'!$D$1:$O$258,2,FALSE))))</f>
        <v/>
      </c>
      <c r="B185" s="35" t="str">
        <f>IF(E185="","",IF(ISNA(VLOOKUP($E185,'A-1 On-Site Habitat Baseline'!$D$1:$O$258,3,FALSE)),"",(VLOOKUP($E185,'A-1 On-Site Habitat Baseline'!$D$1:$O$258,3,FALSE))))</f>
        <v/>
      </c>
      <c r="C185" s="35" t="str">
        <f>IFERROR(INDEX('G-8 Condition Look up'!$I$4:$I$135,MATCH(S185,'G-8 Condition Look up'!$A$4:$A$135,0)),"")</f>
        <v/>
      </c>
      <c r="E185" s="392" t="str">
        <f>'A-1 On-Site Habitat Baseline'!AL184</f>
        <v/>
      </c>
      <c r="F185" s="382" t="str">
        <f>IF(E185="","",IF(ISNA(VLOOKUP($E185,'A-1 On-Site Habitat Baseline'!$D$1:$O$258,4,FALSE)),"",(VLOOKUP($E185,'A-1 On-Site Habitat Baseline'!$D$1:$O$258,4,FALSE))))</f>
        <v/>
      </c>
      <c r="G185" s="382" t="str">
        <f>IF(E185="","",IF(ISNA(VLOOKUP($E185,'A-1 On-Site Habitat Baseline'!$D$1:$O$258,5,FALSE)),"",(VLOOKUP($E185,'A-1 On-Site Habitat Baseline'!$D$1:$O$258,5,FALSE))))</f>
        <v/>
      </c>
      <c r="H185" s="382" t="str">
        <f>IF(E185="","",IF(ISNA(VLOOKUP($E185,'A-1 On-Site Habitat Baseline'!$D$1:$O$258,6,FALSE)),"",(VLOOKUP($E185,'A-1 On-Site Habitat Baseline'!$D$1:$O$258,6,FALSE))))</f>
        <v/>
      </c>
      <c r="I185" s="382" t="str">
        <f>IF(E185="","",IF(ISNA(VLOOKUP($E185,'A-1 On-Site Habitat Baseline'!$D$1:$O$258,7,FALSE)),"",(VLOOKUP($E185,'A-1 On-Site Habitat Baseline'!$D$1:$O$258,7,FALSE))))</f>
        <v/>
      </c>
      <c r="J185" s="382" t="str">
        <f>IF(E185="","",IF(ISNA(VLOOKUP($E185,'A-1 On-Site Habitat Baseline'!$D$1:$O$258,8,FALSE)),"",(VLOOKUP($E185,'A-1 On-Site Habitat Baseline'!$D$1:$O$258,8,FALSE))))</f>
        <v/>
      </c>
      <c r="K185" s="382" t="str">
        <f>IF(E185="","",IF(ISNA(VLOOKUP($E185,'A-1 On-Site Habitat Baseline'!$D$1:$O$258,9,FALSE)),"",(VLOOKUP($E185,'A-1 On-Site Habitat Baseline'!$D$1:$O$258,9,FALSE))))</f>
        <v/>
      </c>
      <c r="L185" s="382" t="str">
        <f>IF(E185="","",IF(ISNA(VLOOKUP($E185,'A-1 On-Site Habitat Baseline'!$D$1:$O$258,11,FALSE)),"",(VLOOKUP($E185,'A-1 On-Site Habitat Baseline'!$D$1:$O$258,11,FALSE))))</f>
        <v/>
      </c>
      <c r="M185" s="382" t="str">
        <f>IF(E185="","",IF(ISNA(VLOOKUP($E185,'A-1 On-Site Habitat Baseline'!$D$1:$O$258,12,FALSE)),"",(VLOOKUP($E185,'A-1 On-Site Habitat Baseline'!$D$1:$O$258,12,FALSE))))</f>
        <v/>
      </c>
      <c r="N185" s="393" t="str">
        <f>IF(E185="","",IF(ISNA(VLOOKUP($E185,'A-1 On-Site Habitat Baseline'!$D$1:$X$258,14,FALSE)),"",(VLOOKUP($E185,'A-1 On-Site Habitat Baseline'!$D$1:$X$258,14,FALSE))))</f>
        <v/>
      </c>
      <c r="O185" s="386" t="str">
        <f>IF(E185="","",IF(ISNA(VLOOKUP($E185,'A-1 On-Site Habitat Baseline'!$D$1:$X$258,16,FALSE)),"",(VLOOKUP($E185,'A-1 On-Site Habitat Baseline'!$D$1:$X$258,13,FALSE))))</f>
        <v/>
      </c>
      <c r="P185" s="192" t="str">
        <f>IFERROR(INDEX('G-1 All Habitats'!$AG$3:$AG$17,MATCH(Q185,'G-1 All Habitats'!$AF$3:$AF$17,0)),"")</f>
        <v/>
      </c>
      <c r="Q185" s="193" t="str">
        <f t="shared" si="23"/>
        <v/>
      </c>
      <c r="R185" s="193" t="str">
        <f t="shared" si="23"/>
        <v/>
      </c>
      <c r="S185" s="306" t="str">
        <f>IFERROR(INDEX('G-1 All Habitats'!$B$3:$B$134,MATCH(R185,'G-1 All Habitats'!$A$3:$A$134,0)),"")</f>
        <v/>
      </c>
      <c r="T185" s="362" t="str">
        <f t="shared" si="24"/>
        <v/>
      </c>
      <c r="U185" s="363" t="str">
        <f t="shared" si="25"/>
        <v/>
      </c>
      <c r="V185" s="398" t="str">
        <f t="shared" si="21"/>
        <v/>
      </c>
      <c r="W185" s="382" t="str">
        <f>IF(S185="","",VLOOKUP(S185,'G-1 All Habitats'!$B$2:$M$134,10,FALSE))</f>
        <v/>
      </c>
      <c r="X185" s="382" t="str">
        <f>IFERROR(VLOOKUP(W185,'G-1 All Habitats'!$V$3:$W$7,2,FALSE),"")</f>
        <v/>
      </c>
      <c r="Y185" s="61"/>
      <c r="Z185" s="386" t="str">
        <f>IFERROR(INDEX('G-8 Condition Look up'!$A$3:$H$135,MATCH(S185,'G-8 Condition Look up'!$A$3:$A$135,0),MATCH(Y185,'G-8 Condition Look up'!$A$3:$H$3,0)),"")</f>
        <v/>
      </c>
      <c r="AA185" s="54"/>
      <c r="AB185" s="382" t="str">
        <f>IF(AA185="","",IF(VLOOKUP(AA185,'G-3 Multipliers'!$L$3:$N$6,2,FALSE)=0,"Spatial Data Missing ⚠",VLOOKUP(AA185,'G-3 Multipliers'!$L$3:$N$6,2,FALSE)))</f>
        <v/>
      </c>
      <c r="AC185" s="386" t="str">
        <f>IF(AA185="","",IF(VLOOKUP(AA185,'G-3 Multipliers'!$L$3:$N$6,3,FALSE)=0,"Spatial Data Missing ⚠",VLOOKUP(AA185,'G-3 Multipliers'!$L$3:$N$6,3,FALSE)))</f>
        <v/>
      </c>
      <c r="AD185" s="400" t="str">
        <f t="shared" si="22"/>
        <v/>
      </c>
      <c r="AE185" s="63"/>
      <c r="AF185" s="63"/>
      <c r="AG185" s="370" t="str">
        <f t="shared" si="26"/>
        <v/>
      </c>
      <c r="AH185" s="383" t="str">
        <f t="shared" si="27"/>
        <v/>
      </c>
      <c r="AI185" s="384" t="str">
        <f>IF(AH185="Check Data","Check Data",IFERROR(VLOOKUP(AH185,'G-4 Temporal multipliers'!$A$4:$C$36,3,FALSE),""))</f>
        <v/>
      </c>
      <c r="AJ185" s="362" t="str">
        <f>IF(S185="","",VLOOKUP(S185,'G-3 Multipliers'!$A$2:$E$134,4,FALSE))</f>
        <v/>
      </c>
      <c r="AK185" s="370" t="str">
        <f t="shared" si="28"/>
        <v/>
      </c>
      <c r="AL185" s="370" t="str">
        <f t="shared" si="29"/>
        <v/>
      </c>
      <c r="AM185" s="401" t="str">
        <f>IFERROR(IF(F185="","",IF(AH185="Check Data ⚠","Check Data ⚠",VLOOKUP(AL185, 'G-3 Multipliers'!$P$2:$Q$6,2,FALSE))),"")</f>
        <v/>
      </c>
      <c r="AN185" s="376" t="str">
        <f t="shared" si="30"/>
        <v/>
      </c>
      <c r="AO185" s="194"/>
      <c r="AP185" s="195"/>
      <c r="AQ185" s="120"/>
    </row>
    <row r="186" spans="1:43">
      <c r="A186" s="35" t="str">
        <f>IF(E186="","",IF(ISNA(VLOOKUP($E186,'A-1 On-Site Habitat Baseline'!$D$1:$O$258,2,FALSE)),"",(VLOOKUP($E186,'A-1 On-Site Habitat Baseline'!$D$1:$O$258,2,FALSE))))</f>
        <v/>
      </c>
      <c r="B186" s="35" t="str">
        <f>IF(E186="","",IF(ISNA(VLOOKUP($E186,'A-1 On-Site Habitat Baseline'!$D$1:$O$258,3,FALSE)),"",(VLOOKUP($E186,'A-1 On-Site Habitat Baseline'!$D$1:$O$258,3,FALSE))))</f>
        <v/>
      </c>
      <c r="C186" s="35" t="str">
        <f>IFERROR(INDEX('G-8 Condition Look up'!$I$4:$I$135,MATCH(S186,'G-8 Condition Look up'!$A$4:$A$135,0)),"")</f>
        <v/>
      </c>
      <c r="E186" s="392" t="str">
        <f>'A-1 On-Site Habitat Baseline'!AL185</f>
        <v/>
      </c>
      <c r="F186" s="382" t="str">
        <f>IF(E186="","",IF(ISNA(VLOOKUP($E186,'A-1 On-Site Habitat Baseline'!$D$1:$O$258,4,FALSE)),"",(VLOOKUP($E186,'A-1 On-Site Habitat Baseline'!$D$1:$O$258,4,FALSE))))</f>
        <v/>
      </c>
      <c r="G186" s="382" t="str">
        <f>IF(E186="","",IF(ISNA(VLOOKUP($E186,'A-1 On-Site Habitat Baseline'!$D$1:$O$258,5,FALSE)),"",(VLOOKUP($E186,'A-1 On-Site Habitat Baseline'!$D$1:$O$258,5,FALSE))))</f>
        <v/>
      </c>
      <c r="H186" s="382" t="str">
        <f>IF(E186="","",IF(ISNA(VLOOKUP($E186,'A-1 On-Site Habitat Baseline'!$D$1:$O$258,6,FALSE)),"",(VLOOKUP($E186,'A-1 On-Site Habitat Baseline'!$D$1:$O$258,6,FALSE))))</f>
        <v/>
      </c>
      <c r="I186" s="382" t="str">
        <f>IF(E186="","",IF(ISNA(VLOOKUP($E186,'A-1 On-Site Habitat Baseline'!$D$1:$O$258,7,FALSE)),"",(VLOOKUP($E186,'A-1 On-Site Habitat Baseline'!$D$1:$O$258,7,FALSE))))</f>
        <v/>
      </c>
      <c r="J186" s="382" t="str">
        <f>IF(E186="","",IF(ISNA(VLOOKUP($E186,'A-1 On-Site Habitat Baseline'!$D$1:$O$258,8,FALSE)),"",(VLOOKUP($E186,'A-1 On-Site Habitat Baseline'!$D$1:$O$258,8,FALSE))))</f>
        <v/>
      </c>
      <c r="K186" s="382" t="str">
        <f>IF(E186="","",IF(ISNA(VLOOKUP($E186,'A-1 On-Site Habitat Baseline'!$D$1:$O$258,9,FALSE)),"",(VLOOKUP($E186,'A-1 On-Site Habitat Baseline'!$D$1:$O$258,9,FALSE))))</f>
        <v/>
      </c>
      <c r="L186" s="382" t="str">
        <f>IF(E186="","",IF(ISNA(VLOOKUP($E186,'A-1 On-Site Habitat Baseline'!$D$1:$O$258,11,FALSE)),"",(VLOOKUP($E186,'A-1 On-Site Habitat Baseline'!$D$1:$O$258,11,FALSE))))</f>
        <v/>
      </c>
      <c r="M186" s="382" t="str">
        <f>IF(E186="","",IF(ISNA(VLOOKUP($E186,'A-1 On-Site Habitat Baseline'!$D$1:$O$258,12,FALSE)),"",(VLOOKUP($E186,'A-1 On-Site Habitat Baseline'!$D$1:$O$258,12,FALSE))))</f>
        <v/>
      </c>
      <c r="N186" s="393" t="str">
        <f>IF(E186="","",IF(ISNA(VLOOKUP($E186,'A-1 On-Site Habitat Baseline'!$D$1:$X$258,14,FALSE)),"",(VLOOKUP($E186,'A-1 On-Site Habitat Baseline'!$D$1:$X$258,14,FALSE))))</f>
        <v/>
      </c>
      <c r="O186" s="386" t="str">
        <f>IF(E186="","",IF(ISNA(VLOOKUP($E186,'A-1 On-Site Habitat Baseline'!$D$1:$X$258,16,FALSE)),"",(VLOOKUP($E186,'A-1 On-Site Habitat Baseline'!$D$1:$X$258,13,FALSE))))</f>
        <v/>
      </c>
      <c r="P186" s="192" t="str">
        <f>IFERROR(INDEX('G-1 All Habitats'!$AG$3:$AG$17,MATCH(Q186,'G-1 All Habitats'!$AF$3:$AF$17,0)),"")</f>
        <v/>
      </c>
      <c r="Q186" s="193" t="str">
        <f t="shared" si="23"/>
        <v/>
      </c>
      <c r="R186" s="193" t="str">
        <f t="shared" si="23"/>
        <v/>
      </c>
      <c r="S186" s="306" t="str">
        <f>IFERROR(INDEX('G-1 All Habitats'!$B$3:$B$134,MATCH(R186,'G-1 All Habitats'!$A$3:$A$134,0)),"")</f>
        <v/>
      </c>
      <c r="T186" s="362" t="str">
        <f t="shared" si="24"/>
        <v/>
      </c>
      <c r="U186" s="363" t="str">
        <f t="shared" si="25"/>
        <v/>
      </c>
      <c r="V186" s="398" t="str">
        <f t="shared" si="21"/>
        <v/>
      </c>
      <c r="W186" s="382" t="str">
        <f>IF(S186="","",VLOOKUP(S186,'G-1 All Habitats'!$B$2:$M$134,10,FALSE))</f>
        <v/>
      </c>
      <c r="X186" s="382" t="str">
        <f>IFERROR(VLOOKUP(W186,'G-1 All Habitats'!$V$3:$W$7,2,FALSE),"")</f>
        <v/>
      </c>
      <c r="Y186" s="61"/>
      <c r="Z186" s="386" t="str">
        <f>IFERROR(INDEX('G-8 Condition Look up'!$A$3:$H$135,MATCH(S186,'G-8 Condition Look up'!$A$3:$A$135,0),MATCH(Y186,'G-8 Condition Look up'!$A$3:$H$3,0)),"")</f>
        <v/>
      </c>
      <c r="AA186" s="54"/>
      <c r="AB186" s="382" t="str">
        <f>IF(AA186="","",IF(VLOOKUP(AA186,'G-3 Multipliers'!$L$3:$N$6,2,FALSE)=0,"Spatial Data Missing ⚠",VLOOKUP(AA186,'G-3 Multipliers'!$L$3:$N$6,2,FALSE)))</f>
        <v/>
      </c>
      <c r="AC186" s="386" t="str">
        <f>IF(AA186="","",IF(VLOOKUP(AA186,'G-3 Multipliers'!$L$3:$N$6,3,FALSE)=0,"Spatial Data Missing ⚠",VLOOKUP(AA186,'G-3 Multipliers'!$L$3:$N$6,3,FALSE)))</f>
        <v/>
      </c>
      <c r="AD186" s="400" t="str">
        <f t="shared" si="22"/>
        <v/>
      </c>
      <c r="AE186" s="63"/>
      <c r="AF186" s="63"/>
      <c r="AG186" s="370" t="str">
        <f t="shared" si="26"/>
        <v/>
      </c>
      <c r="AH186" s="383" t="str">
        <f t="shared" si="27"/>
        <v/>
      </c>
      <c r="AI186" s="384" t="str">
        <f>IF(AH186="Check Data","Check Data",IFERROR(VLOOKUP(AH186,'G-4 Temporal multipliers'!$A$4:$C$36,3,FALSE),""))</f>
        <v/>
      </c>
      <c r="AJ186" s="362" t="str">
        <f>IF(S186="","",VLOOKUP(S186,'G-3 Multipliers'!$A$2:$E$134,4,FALSE))</f>
        <v/>
      </c>
      <c r="AK186" s="370" t="str">
        <f t="shared" si="28"/>
        <v/>
      </c>
      <c r="AL186" s="370" t="str">
        <f t="shared" si="29"/>
        <v/>
      </c>
      <c r="AM186" s="401" t="str">
        <f>IFERROR(IF(F186="","",IF(AH186="Check Data ⚠","Check Data ⚠",VLOOKUP(AL186, 'G-3 Multipliers'!$P$2:$Q$6,2,FALSE))),"")</f>
        <v/>
      </c>
      <c r="AN186" s="376" t="str">
        <f t="shared" si="30"/>
        <v/>
      </c>
      <c r="AO186" s="194"/>
      <c r="AP186" s="195"/>
      <c r="AQ186" s="120"/>
    </row>
    <row r="187" spans="1:43">
      <c r="A187" s="35" t="str">
        <f>IF(E187="","",IF(ISNA(VLOOKUP($E187,'A-1 On-Site Habitat Baseline'!$D$1:$O$258,2,FALSE)),"",(VLOOKUP($E187,'A-1 On-Site Habitat Baseline'!$D$1:$O$258,2,FALSE))))</f>
        <v/>
      </c>
      <c r="B187" s="35" t="str">
        <f>IF(E187="","",IF(ISNA(VLOOKUP($E187,'A-1 On-Site Habitat Baseline'!$D$1:$O$258,3,FALSE)),"",(VLOOKUP($E187,'A-1 On-Site Habitat Baseline'!$D$1:$O$258,3,FALSE))))</f>
        <v/>
      </c>
      <c r="C187" s="35" t="str">
        <f>IFERROR(INDEX('G-8 Condition Look up'!$I$4:$I$135,MATCH(S187,'G-8 Condition Look up'!$A$4:$A$135,0)),"")</f>
        <v/>
      </c>
      <c r="E187" s="392" t="str">
        <f>'A-1 On-Site Habitat Baseline'!AL186</f>
        <v/>
      </c>
      <c r="F187" s="382" t="str">
        <f>IF(E187="","",IF(ISNA(VLOOKUP($E187,'A-1 On-Site Habitat Baseline'!$D$1:$O$258,4,FALSE)),"",(VLOOKUP($E187,'A-1 On-Site Habitat Baseline'!$D$1:$O$258,4,FALSE))))</f>
        <v/>
      </c>
      <c r="G187" s="382" t="str">
        <f>IF(E187="","",IF(ISNA(VLOOKUP($E187,'A-1 On-Site Habitat Baseline'!$D$1:$O$258,5,FALSE)),"",(VLOOKUP($E187,'A-1 On-Site Habitat Baseline'!$D$1:$O$258,5,FALSE))))</f>
        <v/>
      </c>
      <c r="H187" s="382" t="str">
        <f>IF(E187="","",IF(ISNA(VLOOKUP($E187,'A-1 On-Site Habitat Baseline'!$D$1:$O$258,6,FALSE)),"",(VLOOKUP($E187,'A-1 On-Site Habitat Baseline'!$D$1:$O$258,6,FALSE))))</f>
        <v/>
      </c>
      <c r="I187" s="382" t="str">
        <f>IF(E187="","",IF(ISNA(VLOOKUP($E187,'A-1 On-Site Habitat Baseline'!$D$1:$O$258,7,FALSE)),"",(VLOOKUP($E187,'A-1 On-Site Habitat Baseline'!$D$1:$O$258,7,FALSE))))</f>
        <v/>
      </c>
      <c r="J187" s="382" t="str">
        <f>IF(E187="","",IF(ISNA(VLOOKUP($E187,'A-1 On-Site Habitat Baseline'!$D$1:$O$258,8,FALSE)),"",(VLOOKUP($E187,'A-1 On-Site Habitat Baseline'!$D$1:$O$258,8,FALSE))))</f>
        <v/>
      </c>
      <c r="K187" s="382" t="str">
        <f>IF(E187="","",IF(ISNA(VLOOKUP($E187,'A-1 On-Site Habitat Baseline'!$D$1:$O$258,9,FALSE)),"",(VLOOKUP($E187,'A-1 On-Site Habitat Baseline'!$D$1:$O$258,9,FALSE))))</f>
        <v/>
      </c>
      <c r="L187" s="382" t="str">
        <f>IF(E187="","",IF(ISNA(VLOOKUP($E187,'A-1 On-Site Habitat Baseline'!$D$1:$O$258,11,FALSE)),"",(VLOOKUP($E187,'A-1 On-Site Habitat Baseline'!$D$1:$O$258,11,FALSE))))</f>
        <v/>
      </c>
      <c r="M187" s="382" t="str">
        <f>IF(E187="","",IF(ISNA(VLOOKUP($E187,'A-1 On-Site Habitat Baseline'!$D$1:$O$258,12,FALSE)),"",(VLOOKUP($E187,'A-1 On-Site Habitat Baseline'!$D$1:$O$258,12,FALSE))))</f>
        <v/>
      </c>
      <c r="N187" s="393" t="str">
        <f>IF(E187="","",IF(ISNA(VLOOKUP($E187,'A-1 On-Site Habitat Baseline'!$D$1:$X$258,14,FALSE)),"",(VLOOKUP($E187,'A-1 On-Site Habitat Baseline'!$D$1:$X$258,14,FALSE))))</f>
        <v/>
      </c>
      <c r="O187" s="386" t="str">
        <f>IF(E187="","",IF(ISNA(VLOOKUP($E187,'A-1 On-Site Habitat Baseline'!$D$1:$X$258,16,FALSE)),"",(VLOOKUP($E187,'A-1 On-Site Habitat Baseline'!$D$1:$X$258,13,FALSE))))</f>
        <v/>
      </c>
      <c r="P187" s="192" t="str">
        <f>IFERROR(INDEX('G-1 All Habitats'!$AG$3:$AG$17,MATCH(Q187,'G-1 All Habitats'!$AF$3:$AF$17,0)),"")</f>
        <v/>
      </c>
      <c r="Q187" s="193" t="str">
        <f t="shared" si="23"/>
        <v/>
      </c>
      <c r="R187" s="193" t="str">
        <f t="shared" si="23"/>
        <v/>
      </c>
      <c r="S187" s="306" t="str">
        <f>IFERROR(INDEX('G-1 All Habitats'!$B$3:$B$134,MATCH(R187,'G-1 All Habitats'!$A$3:$A$134,0)),"")</f>
        <v/>
      </c>
      <c r="T187" s="362" t="str">
        <f t="shared" si="24"/>
        <v/>
      </c>
      <c r="U187" s="363" t="str">
        <f t="shared" si="25"/>
        <v/>
      </c>
      <c r="V187" s="398" t="str">
        <f t="shared" si="21"/>
        <v/>
      </c>
      <c r="W187" s="382" t="str">
        <f>IF(S187="","",VLOOKUP(S187,'G-1 All Habitats'!$B$2:$M$134,10,FALSE))</f>
        <v/>
      </c>
      <c r="X187" s="382" t="str">
        <f>IFERROR(VLOOKUP(W187,'G-1 All Habitats'!$V$3:$W$7,2,FALSE),"")</f>
        <v/>
      </c>
      <c r="Y187" s="61"/>
      <c r="Z187" s="386" t="str">
        <f>IFERROR(INDEX('G-8 Condition Look up'!$A$3:$H$135,MATCH(S187,'G-8 Condition Look up'!$A$3:$A$135,0),MATCH(Y187,'G-8 Condition Look up'!$A$3:$H$3,0)),"")</f>
        <v/>
      </c>
      <c r="AA187" s="54"/>
      <c r="AB187" s="382" t="str">
        <f>IF(AA187="","",IF(VLOOKUP(AA187,'G-3 Multipliers'!$L$3:$N$6,2,FALSE)=0,"Spatial Data Missing ⚠",VLOOKUP(AA187,'G-3 Multipliers'!$L$3:$N$6,2,FALSE)))</f>
        <v/>
      </c>
      <c r="AC187" s="386" t="str">
        <f>IF(AA187="","",IF(VLOOKUP(AA187,'G-3 Multipliers'!$L$3:$N$6,3,FALSE)=0,"Spatial Data Missing ⚠",VLOOKUP(AA187,'G-3 Multipliers'!$L$3:$N$6,3,FALSE)))</f>
        <v/>
      </c>
      <c r="AD187" s="400" t="str">
        <f t="shared" si="22"/>
        <v/>
      </c>
      <c r="AE187" s="63"/>
      <c r="AF187" s="63"/>
      <c r="AG187" s="370" t="str">
        <f t="shared" si="26"/>
        <v/>
      </c>
      <c r="AH187" s="383" t="str">
        <f t="shared" si="27"/>
        <v/>
      </c>
      <c r="AI187" s="384" t="str">
        <f>IF(AH187="Check Data","Check Data",IFERROR(VLOOKUP(AH187,'G-4 Temporal multipliers'!$A$4:$C$36,3,FALSE),""))</f>
        <v/>
      </c>
      <c r="AJ187" s="362" t="str">
        <f>IF(S187="","",VLOOKUP(S187,'G-3 Multipliers'!$A$2:$E$134,4,FALSE))</f>
        <v/>
      </c>
      <c r="AK187" s="370" t="str">
        <f t="shared" si="28"/>
        <v/>
      </c>
      <c r="AL187" s="370" t="str">
        <f t="shared" si="29"/>
        <v/>
      </c>
      <c r="AM187" s="401" t="str">
        <f>IFERROR(IF(F187="","",IF(AH187="Check Data ⚠","Check Data ⚠",VLOOKUP(AL187, 'G-3 Multipliers'!$P$2:$Q$6,2,FALSE))),"")</f>
        <v/>
      </c>
      <c r="AN187" s="376" t="str">
        <f t="shared" si="30"/>
        <v/>
      </c>
      <c r="AO187" s="194"/>
      <c r="AP187" s="195"/>
      <c r="AQ187" s="120"/>
    </row>
    <row r="188" spans="1:43">
      <c r="A188" s="35" t="str">
        <f>IF(E188="","",IF(ISNA(VLOOKUP($E188,'A-1 On-Site Habitat Baseline'!$D$1:$O$258,2,FALSE)),"",(VLOOKUP($E188,'A-1 On-Site Habitat Baseline'!$D$1:$O$258,2,FALSE))))</f>
        <v/>
      </c>
      <c r="B188" s="35" t="str">
        <f>IF(E188="","",IF(ISNA(VLOOKUP($E188,'A-1 On-Site Habitat Baseline'!$D$1:$O$258,3,FALSE)),"",(VLOOKUP($E188,'A-1 On-Site Habitat Baseline'!$D$1:$O$258,3,FALSE))))</f>
        <v/>
      </c>
      <c r="C188" s="35" t="str">
        <f>IFERROR(INDEX('G-8 Condition Look up'!$I$4:$I$135,MATCH(S188,'G-8 Condition Look up'!$A$4:$A$135,0)),"")</f>
        <v/>
      </c>
      <c r="E188" s="392" t="str">
        <f>'A-1 On-Site Habitat Baseline'!AL187</f>
        <v/>
      </c>
      <c r="F188" s="382" t="str">
        <f>IF(E188="","",IF(ISNA(VLOOKUP($E188,'A-1 On-Site Habitat Baseline'!$D$1:$O$258,4,FALSE)),"",(VLOOKUP($E188,'A-1 On-Site Habitat Baseline'!$D$1:$O$258,4,FALSE))))</f>
        <v/>
      </c>
      <c r="G188" s="382" t="str">
        <f>IF(E188="","",IF(ISNA(VLOOKUP($E188,'A-1 On-Site Habitat Baseline'!$D$1:$O$258,5,FALSE)),"",(VLOOKUP($E188,'A-1 On-Site Habitat Baseline'!$D$1:$O$258,5,FALSE))))</f>
        <v/>
      </c>
      <c r="H188" s="382" t="str">
        <f>IF(E188="","",IF(ISNA(VLOOKUP($E188,'A-1 On-Site Habitat Baseline'!$D$1:$O$258,6,FALSE)),"",(VLOOKUP($E188,'A-1 On-Site Habitat Baseline'!$D$1:$O$258,6,FALSE))))</f>
        <v/>
      </c>
      <c r="I188" s="382" t="str">
        <f>IF(E188="","",IF(ISNA(VLOOKUP($E188,'A-1 On-Site Habitat Baseline'!$D$1:$O$258,7,FALSE)),"",(VLOOKUP($E188,'A-1 On-Site Habitat Baseline'!$D$1:$O$258,7,FALSE))))</f>
        <v/>
      </c>
      <c r="J188" s="382" t="str">
        <f>IF(E188="","",IF(ISNA(VLOOKUP($E188,'A-1 On-Site Habitat Baseline'!$D$1:$O$258,8,FALSE)),"",(VLOOKUP($E188,'A-1 On-Site Habitat Baseline'!$D$1:$O$258,8,FALSE))))</f>
        <v/>
      </c>
      <c r="K188" s="382" t="str">
        <f>IF(E188="","",IF(ISNA(VLOOKUP($E188,'A-1 On-Site Habitat Baseline'!$D$1:$O$258,9,FALSE)),"",(VLOOKUP($E188,'A-1 On-Site Habitat Baseline'!$D$1:$O$258,9,FALSE))))</f>
        <v/>
      </c>
      <c r="L188" s="382" t="str">
        <f>IF(E188="","",IF(ISNA(VLOOKUP($E188,'A-1 On-Site Habitat Baseline'!$D$1:$O$258,11,FALSE)),"",(VLOOKUP($E188,'A-1 On-Site Habitat Baseline'!$D$1:$O$258,11,FALSE))))</f>
        <v/>
      </c>
      <c r="M188" s="382" t="str">
        <f>IF(E188="","",IF(ISNA(VLOOKUP($E188,'A-1 On-Site Habitat Baseline'!$D$1:$O$258,12,FALSE)),"",(VLOOKUP($E188,'A-1 On-Site Habitat Baseline'!$D$1:$O$258,12,FALSE))))</f>
        <v/>
      </c>
      <c r="N188" s="393" t="str">
        <f>IF(E188="","",IF(ISNA(VLOOKUP($E188,'A-1 On-Site Habitat Baseline'!$D$1:$X$258,14,FALSE)),"",(VLOOKUP($E188,'A-1 On-Site Habitat Baseline'!$D$1:$X$258,14,FALSE))))</f>
        <v/>
      </c>
      <c r="O188" s="386" t="str">
        <f>IF(E188="","",IF(ISNA(VLOOKUP($E188,'A-1 On-Site Habitat Baseline'!$D$1:$X$258,16,FALSE)),"",(VLOOKUP($E188,'A-1 On-Site Habitat Baseline'!$D$1:$X$258,13,FALSE))))</f>
        <v/>
      </c>
      <c r="P188" s="192" t="str">
        <f>IFERROR(INDEX('G-1 All Habitats'!$AG$3:$AG$17,MATCH(Q188,'G-1 All Habitats'!$AF$3:$AF$17,0)),"")</f>
        <v/>
      </c>
      <c r="Q188" s="193" t="str">
        <f t="shared" si="23"/>
        <v/>
      </c>
      <c r="R188" s="193" t="str">
        <f t="shared" si="23"/>
        <v/>
      </c>
      <c r="S188" s="306" t="str">
        <f>IFERROR(INDEX('G-1 All Habitats'!$B$3:$B$134,MATCH(R188,'G-1 All Habitats'!$A$3:$A$134,0)),"")</f>
        <v/>
      </c>
      <c r="T188" s="362" t="str">
        <f t="shared" si="24"/>
        <v/>
      </c>
      <c r="U188" s="363" t="str">
        <f t="shared" si="25"/>
        <v/>
      </c>
      <c r="V188" s="398" t="str">
        <f t="shared" si="21"/>
        <v/>
      </c>
      <c r="W188" s="382" t="str">
        <f>IF(S188="","",VLOOKUP(S188,'G-1 All Habitats'!$B$2:$M$134,10,FALSE))</f>
        <v/>
      </c>
      <c r="X188" s="382" t="str">
        <f>IFERROR(VLOOKUP(W188,'G-1 All Habitats'!$V$3:$W$7,2,FALSE),"")</f>
        <v/>
      </c>
      <c r="Y188" s="61"/>
      <c r="Z188" s="386" t="str">
        <f>IFERROR(INDEX('G-8 Condition Look up'!$A$3:$H$135,MATCH(S188,'G-8 Condition Look up'!$A$3:$A$135,0),MATCH(Y188,'G-8 Condition Look up'!$A$3:$H$3,0)),"")</f>
        <v/>
      </c>
      <c r="AA188" s="54"/>
      <c r="AB188" s="382" t="str">
        <f>IF(AA188="","",IF(VLOOKUP(AA188,'G-3 Multipliers'!$L$3:$N$6,2,FALSE)=0,"Spatial Data Missing ⚠",VLOOKUP(AA188,'G-3 Multipliers'!$L$3:$N$6,2,FALSE)))</f>
        <v/>
      </c>
      <c r="AC188" s="386" t="str">
        <f>IF(AA188="","",IF(VLOOKUP(AA188,'G-3 Multipliers'!$L$3:$N$6,3,FALSE)=0,"Spatial Data Missing ⚠",VLOOKUP(AA188,'G-3 Multipliers'!$L$3:$N$6,3,FALSE)))</f>
        <v/>
      </c>
      <c r="AD188" s="400" t="str">
        <f t="shared" si="22"/>
        <v/>
      </c>
      <c r="AE188" s="63"/>
      <c r="AF188" s="63"/>
      <c r="AG188" s="370" t="str">
        <f t="shared" si="26"/>
        <v/>
      </c>
      <c r="AH188" s="383" t="str">
        <f t="shared" si="27"/>
        <v/>
      </c>
      <c r="AI188" s="384" t="str">
        <f>IF(AH188="Check Data","Check Data",IFERROR(VLOOKUP(AH188,'G-4 Temporal multipliers'!$A$4:$C$36,3,FALSE),""))</f>
        <v/>
      </c>
      <c r="AJ188" s="362" t="str">
        <f>IF(S188="","",VLOOKUP(S188,'G-3 Multipliers'!$A$2:$E$134,4,FALSE))</f>
        <v/>
      </c>
      <c r="AK188" s="370" t="str">
        <f t="shared" si="28"/>
        <v/>
      </c>
      <c r="AL188" s="370" t="str">
        <f t="shared" si="29"/>
        <v/>
      </c>
      <c r="AM188" s="401" t="str">
        <f>IFERROR(IF(F188="","",IF(AH188="Check Data ⚠","Check Data ⚠",VLOOKUP(AL188, 'G-3 Multipliers'!$P$2:$Q$6,2,FALSE))),"")</f>
        <v/>
      </c>
      <c r="AN188" s="376" t="str">
        <f t="shared" si="30"/>
        <v/>
      </c>
      <c r="AO188" s="194"/>
      <c r="AP188" s="195"/>
      <c r="AQ188" s="120"/>
    </row>
    <row r="189" spans="1:43">
      <c r="A189" s="35" t="str">
        <f>IF(E189="","",IF(ISNA(VLOOKUP($E189,'A-1 On-Site Habitat Baseline'!$D$1:$O$258,2,FALSE)),"",(VLOOKUP($E189,'A-1 On-Site Habitat Baseline'!$D$1:$O$258,2,FALSE))))</f>
        <v/>
      </c>
      <c r="B189" s="35" t="str">
        <f>IF(E189="","",IF(ISNA(VLOOKUP($E189,'A-1 On-Site Habitat Baseline'!$D$1:$O$258,3,FALSE)),"",(VLOOKUP($E189,'A-1 On-Site Habitat Baseline'!$D$1:$O$258,3,FALSE))))</f>
        <v/>
      </c>
      <c r="C189" s="35" t="str">
        <f>IFERROR(INDEX('G-8 Condition Look up'!$I$4:$I$135,MATCH(S189,'G-8 Condition Look up'!$A$4:$A$135,0)),"")</f>
        <v/>
      </c>
      <c r="E189" s="392" t="str">
        <f>'A-1 On-Site Habitat Baseline'!AL188</f>
        <v/>
      </c>
      <c r="F189" s="382" t="str">
        <f>IF(E189="","",IF(ISNA(VLOOKUP($E189,'A-1 On-Site Habitat Baseline'!$D$1:$O$258,4,FALSE)),"",(VLOOKUP($E189,'A-1 On-Site Habitat Baseline'!$D$1:$O$258,4,FALSE))))</f>
        <v/>
      </c>
      <c r="G189" s="382" t="str">
        <f>IF(E189="","",IF(ISNA(VLOOKUP($E189,'A-1 On-Site Habitat Baseline'!$D$1:$O$258,5,FALSE)),"",(VLOOKUP($E189,'A-1 On-Site Habitat Baseline'!$D$1:$O$258,5,FALSE))))</f>
        <v/>
      </c>
      <c r="H189" s="382" t="str">
        <f>IF(E189="","",IF(ISNA(VLOOKUP($E189,'A-1 On-Site Habitat Baseline'!$D$1:$O$258,6,FALSE)),"",(VLOOKUP($E189,'A-1 On-Site Habitat Baseline'!$D$1:$O$258,6,FALSE))))</f>
        <v/>
      </c>
      <c r="I189" s="382" t="str">
        <f>IF(E189="","",IF(ISNA(VLOOKUP($E189,'A-1 On-Site Habitat Baseline'!$D$1:$O$258,7,FALSE)),"",(VLOOKUP($E189,'A-1 On-Site Habitat Baseline'!$D$1:$O$258,7,FALSE))))</f>
        <v/>
      </c>
      <c r="J189" s="382" t="str">
        <f>IF(E189="","",IF(ISNA(VLOOKUP($E189,'A-1 On-Site Habitat Baseline'!$D$1:$O$258,8,FALSE)),"",(VLOOKUP($E189,'A-1 On-Site Habitat Baseline'!$D$1:$O$258,8,FALSE))))</f>
        <v/>
      </c>
      <c r="K189" s="382" t="str">
        <f>IF(E189="","",IF(ISNA(VLOOKUP($E189,'A-1 On-Site Habitat Baseline'!$D$1:$O$258,9,FALSE)),"",(VLOOKUP($E189,'A-1 On-Site Habitat Baseline'!$D$1:$O$258,9,FALSE))))</f>
        <v/>
      </c>
      <c r="L189" s="382" t="str">
        <f>IF(E189="","",IF(ISNA(VLOOKUP($E189,'A-1 On-Site Habitat Baseline'!$D$1:$O$258,11,FALSE)),"",(VLOOKUP($E189,'A-1 On-Site Habitat Baseline'!$D$1:$O$258,11,FALSE))))</f>
        <v/>
      </c>
      <c r="M189" s="382" t="str">
        <f>IF(E189="","",IF(ISNA(VLOOKUP($E189,'A-1 On-Site Habitat Baseline'!$D$1:$O$258,12,FALSE)),"",(VLOOKUP($E189,'A-1 On-Site Habitat Baseline'!$D$1:$O$258,12,FALSE))))</f>
        <v/>
      </c>
      <c r="N189" s="393" t="str">
        <f>IF(E189="","",IF(ISNA(VLOOKUP($E189,'A-1 On-Site Habitat Baseline'!$D$1:$X$258,14,FALSE)),"",(VLOOKUP($E189,'A-1 On-Site Habitat Baseline'!$D$1:$X$258,14,FALSE))))</f>
        <v/>
      </c>
      <c r="O189" s="386" t="str">
        <f>IF(E189="","",IF(ISNA(VLOOKUP($E189,'A-1 On-Site Habitat Baseline'!$D$1:$X$258,16,FALSE)),"",(VLOOKUP($E189,'A-1 On-Site Habitat Baseline'!$D$1:$X$258,13,FALSE))))</f>
        <v/>
      </c>
      <c r="P189" s="192" t="str">
        <f>IFERROR(INDEX('G-1 All Habitats'!$AG$3:$AG$17,MATCH(Q189,'G-1 All Habitats'!$AF$3:$AF$17,0)),"")</f>
        <v/>
      </c>
      <c r="Q189" s="193" t="str">
        <f t="shared" si="23"/>
        <v/>
      </c>
      <c r="R189" s="193" t="str">
        <f t="shared" si="23"/>
        <v/>
      </c>
      <c r="S189" s="306" t="str">
        <f>IFERROR(INDEX('G-1 All Habitats'!$B$3:$B$134,MATCH(R189,'G-1 All Habitats'!$A$3:$A$134,0)),"")</f>
        <v/>
      </c>
      <c r="T189" s="362" t="str">
        <f t="shared" si="24"/>
        <v/>
      </c>
      <c r="U189" s="363" t="str">
        <f t="shared" si="25"/>
        <v/>
      </c>
      <c r="V189" s="398" t="str">
        <f t="shared" si="21"/>
        <v/>
      </c>
      <c r="W189" s="382" t="str">
        <f>IF(S189="","",VLOOKUP(S189,'G-1 All Habitats'!$B$2:$M$134,10,FALSE))</f>
        <v/>
      </c>
      <c r="X189" s="382" t="str">
        <f>IFERROR(VLOOKUP(W189,'G-1 All Habitats'!$V$3:$W$7,2,FALSE),"")</f>
        <v/>
      </c>
      <c r="Y189" s="61"/>
      <c r="Z189" s="386" t="str">
        <f>IFERROR(INDEX('G-8 Condition Look up'!$A$3:$H$135,MATCH(S189,'G-8 Condition Look up'!$A$3:$A$135,0),MATCH(Y189,'G-8 Condition Look up'!$A$3:$H$3,0)),"")</f>
        <v/>
      </c>
      <c r="AA189" s="54"/>
      <c r="AB189" s="382" t="str">
        <f>IF(AA189="","",IF(VLOOKUP(AA189,'G-3 Multipliers'!$L$3:$N$6,2,FALSE)=0,"Spatial Data Missing ⚠",VLOOKUP(AA189,'G-3 Multipliers'!$L$3:$N$6,2,FALSE)))</f>
        <v/>
      </c>
      <c r="AC189" s="386" t="str">
        <f>IF(AA189="","",IF(VLOOKUP(AA189,'G-3 Multipliers'!$L$3:$N$6,3,FALSE)=0,"Spatial Data Missing ⚠",VLOOKUP(AA189,'G-3 Multipliers'!$L$3:$N$6,3,FALSE)))</f>
        <v/>
      </c>
      <c r="AD189" s="400" t="str">
        <f t="shared" si="22"/>
        <v/>
      </c>
      <c r="AE189" s="63"/>
      <c r="AF189" s="63"/>
      <c r="AG189" s="370" t="str">
        <f t="shared" si="26"/>
        <v/>
      </c>
      <c r="AH189" s="383" t="str">
        <f t="shared" si="27"/>
        <v/>
      </c>
      <c r="AI189" s="384" t="str">
        <f>IF(AH189="Check Data","Check Data",IFERROR(VLOOKUP(AH189,'G-4 Temporal multipliers'!$A$4:$C$36,3,FALSE),""))</f>
        <v/>
      </c>
      <c r="AJ189" s="362" t="str">
        <f>IF(S189="","",VLOOKUP(S189,'G-3 Multipliers'!$A$2:$E$134,4,FALSE))</f>
        <v/>
      </c>
      <c r="AK189" s="370" t="str">
        <f t="shared" si="28"/>
        <v/>
      </c>
      <c r="AL189" s="370" t="str">
        <f t="shared" si="29"/>
        <v/>
      </c>
      <c r="AM189" s="401" t="str">
        <f>IFERROR(IF(F189="","",IF(AH189="Check Data ⚠","Check Data ⚠",VLOOKUP(AL189, 'G-3 Multipliers'!$P$2:$Q$6,2,FALSE))),"")</f>
        <v/>
      </c>
      <c r="AN189" s="376" t="str">
        <f t="shared" si="30"/>
        <v/>
      </c>
      <c r="AO189" s="194"/>
      <c r="AP189" s="195"/>
      <c r="AQ189" s="120"/>
    </row>
    <row r="190" spans="1:43">
      <c r="A190" s="35" t="str">
        <f>IF(E190="","",IF(ISNA(VLOOKUP($E190,'A-1 On-Site Habitat Baseline'!$D$1:$O$258,2,FALSE)),"",(VLOOKUP($E190,'A-1 On-Site Habitat Baseline'!$D$1:$O$258,2,FALSE))))</f>
        <v/>
      </c>
      <c r="B190" s="35" t="str">
        <f>IF(E190="","",IF(ISNA(VLOOKUP($E190,'A-1 On-Site Habitat Baseline'!$D$1:$O$258,3,FALSE)),"",(VLOOKUP($E190,'A-1 On-Site Habitat Baseline'!$D$1:$O$258,3,FALSE))))</f>
        <v/>
      </c>
      <c r="C190" s="35" t="str">
        <f>IFERROR(INDEX('G-8 Condition Look up'!$I$4:$I$135,MATCH(S190,'G-8 Condition Look up'!$A$4:$A$135,0)),"")</f>
        <v/>
      </c>
      <c r="E190" s="392" t="str">
        <f>'A-1 On-Site Habitat Baseline'!AL189</f>
        <v/>
      </c>
      <c r="F190" s="382" t="str">
        <f>IF(E190="","",IF(ISNA(VLOOKUP($E190,'A-1 On-Site Habitat Baseline'!$D$1:$O$258,4,FALSE)),"",(VLOOKUP($E190,'A-1 On-Site Habitat Baseline'!$D$1:$O$258,4,FALSE))))</f>
        <v/>
      </c>
      <c r="G190" s="382" t="str">
        <f>IF(E190="","",IF(ISNA(VLOOKUP($E190,'A-1 On-Site Habitat Baseline'!$D$1:$O$258,5,FALSE)),"",(VLOOKUP($E190,'A-1 On-Site Habitat Baseline'!$D$1:$O$258,5,FALSE))))</f>
        <v/>
      </c>
      <c r="H190" s="382" t="str">
        <f>IF(E190="","",IF(ISNA(VLOOKUP($E190,'A-1 On-Site Habitat Baseline'!$D$1:$O$258,6,FALSE)),"",(VLOOKUP($E190,'A-1 On-Site Habitat Baseline'!$D$1:$O$258,6,FALSE))))</f>
        <v/>
      </c>
      <c r="I190" s="382" t="str">
        <f>IF(E190="","",IF(ISNA(VLOOKUP($E190,'A-1 On-Site Habitat Baseline'!$D$1:$O$258,7,FALSE)),"",(VLOOKUP($E190,'A-1 On-Site Habitat Baseline'!$D$1:$O$258,7,FALSE))))</f>
        <v/>
      </c>
      <c r="J190" s="382" t="str">
        <f>IF(E190="","",IF(ISNA(VLOOKUP($E190,'A-1 On-Site Habitat Baseline'!$D$1:$O$258,8,FALSE)),"",(VLOOKUP($E190,'A-1 On-Site Habitat Baseline'!$D$1:$O$258,8,FALSE))))</f>
        <v/>
      </c>
      <c r="K190" s="382" t="str">
        <f>IF(E190="","",IF(ISNA(VLOOKUP($E190,'A-1 On-Site Habitat Baseline'!$D$1:$O$258,9,FALSE)),"",(VLOOKUP($E190,'A-1 On-Site Habitat Baseline'!$D$1:$O$258,9,FALSE))))</f>
        <v/>
      </c>
      <c r="L190" s="382" t="str">
        <f>IF(E190="","",IF(ISNA(VLOOKUP($E190,'A-1 On-Site Habitat Baseline'!$D$1:$O$258,11,FALSE)),"",(VLOOKUP($E190,'A-1 On-Site Habitat Baseline'!$D$1:$O$258,11,FALSE))))</f>
        <v/>
      </c>
      <c r="M190" s="382" t="str">
        <f>IF(E190="","",IF(ISNA(VLOOKUP($E190,'A-1 On-Site Habitat Baseline'!$D$1:$O$258,12,FALSE)),"",(VLOOKUP($E190,'A-1 On-Site Habitat Baseline'!$D$1:$O$258,12,FALSE))))</f>
        <v/>
      </c>
      <c r="N190" s="393" t="str">
        <f>IF(E190="","",IF(ISNA(VLOOKUP($E190,'A-1 On-Site Habitat Baseline'!$D$1:$X$258,14,FALSE)),"",(VLOOKUP($E190,'A-1 On-Site Habitat Baseline'!$D$1:$X$258,14,FALSE))))</f>
        <v/>
      </c>
      <c r="O190" s="386" t="str">
        <f>IF(E190="","",IF(ISNA(VLOOKUP($E190,'A-1 On-Site Habitat Baseline'!$D$1:$X$258,16,FALSE)),"",(VLOOKUP($E190,'A-1 On-Site Habitat Baseline'!$D$1:$X$258,13,FALSE))))</f>
        <v/>
      </c>
      <c r="P190" s="192" t="str">
        <f>IFERROR(INDEX('G-1 All Habitats'!$AG$3:$AG$17,MATCH(Q190,'G-1 All Habitats'!$AF$3:$AF$17,0)),"")</f>
        <v/>
      </c>
      <c r="Q190" s="193" t="str">
        <f t="shared" si="23"/>
        <v/>
      </c>
      <c r="R190" s="193" t="str">
        <f t="shared" si="23"/>
        <v/>
      </c>
      <c r="S190" s="306" t="str">
        <f>IFERROR(INDEX('G-1 All Habitats'!$B$3:$B$134,MATCH(R190,'G-1 All Habitats'!$A$3:$A$134,0)),"")</f>
        <v/>
      </c>
      <c r="T190" s="362" t="str">
        <f t="shared" si="24"/>
        <v/>
      </c>
      <c r="U190" s="363" t="str">
        <f t="shared" si="25"/>
        <v/>
      </c>
      <c r="V190" s="398" t="str">
        <f t="shared" si="21"/>
        <v/>
      </c>
      <c r="W190" s="382" t="str">
        <f>IF(S190="","",VLOOKUP(S190,'G-1 All Habitats'!$B$2:$M$134,10,FALSE))</f>
        <v/>
      </c>
      <c r="X190" s="382" t="str">
        <f>IFERROR(VLOOKUP(W190,'G-1 All Habitats'!$V$3:$W$7,2,FALSE),"")</f>
        <v/>
      </c>
      <c r="Y190" s="61"/>
      <c r="Z190" s="386" t="str">
        <f>IFERROR(INDEX('G-8 Condition Look up'!$A$3:$H$135,MATCH(S190,'G-8 Condition Look up'!$A$3:$A$135,0),MATCH(Y190,'G-8 Condition Look up'!$A$3:$H$3,0)),"")</f>
        <v/>
      </c>
      <c r="AA190" s="54"/>
      <c r="AB190" s="382" t="str">
        <f>IF(AA190="","",IF(VLOOKUP(AA190,'G-3 Multipliers'!$L$3:$N$6,2,FALSE)=0,"Spatial Data Missing ⚠",VLOOKUP(AA190,'G-3 Multipliers'!$L$3:$N$6,2,FALSE)))</f>
        <v/>
      </c>
      <c r="AC190" s="386" t="str">
        <f>IF(AA190="","",IF(VLOOKUP(AA190,'G-3 Multipliers'!$L$3:$N$6,3,FALSE)=0,"Spatial Data Missing ⚠",VLOOKUP(AA190,'G-3 Multipliers'!$L$3:$N$6,3,FALSE)))</f>
        <v/>
      </c>
      <c r="AD190" s="400" t="str">
        <f t="shared" si="22"/>
        <v/>
      </c>
      <c r="AE190" s="63"/>
      <c r="AF190" s="63"/>
      <c r="AG190" s="370" t="str">
        <f t="shared" si="26"/>
        <v/>
      </c>
      <c r="AH190" s="383" t="str">
        <f t="shared" si="27"/>
        <v/>
      </c>
      <c r="AI190" s="384" t="str">
        <f>IF(AH190="Check Data","Check Data",IFERROR(VLOOKUP(AH190,'G-4 Temporal multipliers'!$A$4:$C$36,3,FALSE),""))</f>
        <v/>
      </c>
      <c r="AJ190" s="362" t="str">
        <f>IF(S190="","",VLOOKUP(S190,'G-3 Multipliers'!$A$2:$E$134,4,FALSE))</f>
        <v/>
      </c>
      <c r="AK190" s="370" t="str">
        <f t="shared" si="28"/>
        <v/>
      </c>
      <c r="AL190" s="370" t="str">
        <f t="shared" si="29"/>
        <v/>
      </c>
      <c r="AM190" s="401" t="str">
        <f>IFERROR(IF(F190="","",IF(AH190="Check Data ⚠","Check Data ⚠",VLOOKUP(AL190, 'G-3 Multipliers'!$P$2:$Q$6,2,FALSE))),"")</f>
        <v/>
      </c>
      <c r="AN190" s="376" t="str">
        <f t="shared" si="30"/>
        <v/>
      </c>
      <c r="AO190" s="194"/>
      <c r="AP190" s="195"/>
      <c r="AQ190" s="120"/>
    </row>
    <row r="191" spans="1:43">
      <c r="A191" s="35" t="str">
        <f>IF(E191="","",IF(ISNA(VLOOKUP($E191,'A-1 On-Site Habitat Baseline'!$D$1:$O$258,2,FALSE)),"",(VLOOKUP($E191,'A-1 On-Site Habitat Baseline'!$D$1:$O$258,2,FALSE))))</f>
        <v/>
      </c>
      <c r="B191" s="35" t="str">
        <f>IF(E191="","",IF(ISNA(VLOOKUP($E191,'A-1 On-Site Habitat Baseline'!$D$1:$O$258,3,FALSE)),"",(VLOOKUP($E191,'A-1 On-Site Habitat Baseline'!$D$1:$O$258,3,FALSE))))</f>
        <v/>
      </c>
      <c r="C191" s="35" t="str">
        <f>IFERROR(INDEX('G-8 Condition Look up'!$I$4:$I$135,MATCH(S191,'G-8 Condition Look up'!$A$4:$A$135,0)),"")</f>
        <v/>
      </c>
      <c r="E191" s="392" t="str">
        <f>'A-1 On-Site Habitat Baseline'!AL190</f>
        <v/>
      </c>
      <c r="F191" s="382" t="str">
        <f>IF(E191="","",IF(ISNA(VLOOKUP($E191,'A-1 On-Site Habitat Baseline'!$D$1:$O$258,4,FALSE)),"",(VLOOKUP($E191,'A-1 On-Site Habitat Baseline'!$D$1:$O$258,4,FALSE))))</f>
        <v/>
      </c>
      <c r="G191" s="382" t="str">
        <f>IF(E191="","",IF(ISNA(VLOOKUP($E191,'A-1 On-Site Habitat Baseline'!$D$1:$O$258,5,FALSE)),"",(VLOOKUP($E191,'A-1 On-Site Habitat Baseline'!$D$1:$O$258,5,FALSE))))</f>
        <v/>
      </c>
      <c r="H191" s="382" t="str">
        <f>IF(E191="","",IF(ISNA(VLOOKUP($E191,'A-1 On-Site Habitat Baseline'!$D$1:$O$258,6,FALSE)),"",(VLOOKUP($E191,'A-1 On-Site Habitat Baseline'!$D$1:$O$258,6,FALSE))))</f>
        <v/>
      </c>
      <c r="I191" s="382" t="str">
        <f>IF(E191="","",IF(ISNA(VLOOKUP($E191,'A-1 On-Site Habitat Baseline'!$D$1:$O$258,7,FALSE)),"",(VLOOKUP($E191,'A-1 On-Site Habitat Baseline'!$D$1:$O$258,7,FALSE))))</f>
        <v/>
      </c>
      <c r="J191" s="382" t="str">
        <f>IF(E191="","",IF(ISNA(VLOOKUP($E191,'A-1 On-Site Habitat Baseline'!$D$1:$O$258,8,FALSE)),"",(VLOOKUP($E191,'A-1 On-Site Habitat Baseline'!$D$1:$O$258,8,FALSE))))</f>
        <v/>
      </c>
      <c r="K191" s="382" t="str">
        <f>IF(E191="","",IF(ISNA(VLOOKUP($E191,'A-1 On-Site Habitat Baseline'!$D$1:$O$258,9,FALSE)),"",(VLOOKUP($E191,'A-1 On-Site Habitat Baseline'!$D$1:$O$258,9,FALSE))))</f>
        <v/>
      </c>
      <c r="L191" s="382" t="str">
        <f>IF(E191="","",IF(ISNA(VLOOKUP($E191,'A-1 On-Site Habitat Baseline'!$D$1:$O$258,11,FALSE)),"",(VLOOKUP($E191,'A-1 On-Site Habitat Baseline'!$D$1:$O$258,11,FALSE))))</f>
        <v/>
      </c>
      <c r="M191" s="382" t="str">
        <f>IF(E191="","",IF(ISNA(VLOOKUP($E191,'A-1 On-Site Habitat Baseline'!$D$1:$O$258,12,FALSE)),"",(VLOOKUP($E191,'A-1 On-Site Habitat Baseline'!$D$1:$O$258,12,FALSE))))</f>
        <v/>
      </c>
      <c r="N191" s="393" t="str">
        <f>IF(E191="","",IF(ISNA(VLOOKUP($E191,'A-1 On-Site Habitat Baseline'!$D$1:$X$258,14,FALSE)),"",(VLOOKUP($E191,'A-1 On-Site Habitat Baseline'!$D$1:$X$258,14,FALSE))))</f>
        <v/>
      </c>
      <c r="O191" s="386" t="str">
        <f>IF(E191="","",IF(ISNA(VLOOKUP($E191,'A-1 On-Site Habitat Baseline'!$D$1:$X$258,16,FALSE)),"",(VLOOKUP($E191,'A-1 On-Site Habitat Baseline'!$D$1:$X$258,13,FALSE))))</f>
        <v/>
      </c>
      <c r="P191" s="192" t="str">
        <f>IFERROR(INDEX('G-1 All Habitats'!$AG$3:$AG$17,MATCH(Q191,'G-1 All Habitats'!$AF$3:$AF$17,0)),"")</f>
        <v/>
      </c>
      <c r="Q191" s="193" t="str">
        <f t="shared" si="23"/>
        <v/>
      </c>
      <c r="R191" s="193" t="str">
        <f t="shared" si="23"/>
        <v/>
      </c>
      <c r="S191" s="306" t="str">
        <f>IFERROR(INDEX('G-1 All Habitats'!$B$3:$B$134,MATCH(R191,'G-1 All Habitats'!$A$3:$A$134,0)),"")</f>
        <v/>
      </c>
      <c r="T191" s="362" t="str">
        <f t="shared" si="24"/>
        <v/>
      </c>
      <c r="U191" s="363" t="str">
        <f t="shared" si="25"/>
        <v/>
      </c>
      <c r="V191" s="398" t="str">
        <f t="shared" si="21"/>
        <v/>
      </c>
      <c r="W191" s="382" t="str">
        <f>IF(S191="","",VLOOKUP(S191,'G-1 All Habitats'!$B$2:$M$134,10,FALSE))</f>
        <v/>
      </c>
      <c r="X191" s="382" t="str">
        <f>IFERROR(VLOOKUP(W191,'G-1 All Habitats'!$V$3:$W$7,2,FALSE),"")</f>
        <v/>
      </c>
      <c r="Y191" s="61"/>
      <c r="Z191" s="386" t="str">
        <f>IFERROR(INDEX('G-8 Condition Look up'!$A$3:$H$135,MATCH(S191,'G-8 Condition Look up'!$A$3:$A$135,0),MATCH(Y191,'G-8 Condition Look up'!$A$3:$H$3,0)),"")</f>
        <v/>
      </c>
      <c r="AA191" s="54"/>
      <c r="AB191" s="382" t="str">
        <f>IF(AA191="","",IF(VLOOKUP(AA191,'G-3 Multipliers'!$L$3:$N$6,2,FALSE)=0,"Spatial Data Missing ⚠",VLOOKUP(AA191,'G-3 Multipliers'!$L$3:$N$6,2,FALSE)))</f>
        <v/>
      </c>
      <c r="AC191" s="386" t="str">
        <f>IF(AA191="","",IF(VLOOKUP(AA191,'G-3 Multipliers'!$L$3:$N$6,3,FALSE)=0,"Spatial Data Missing ⚠",VLOOKUP(AA191,'G-3 Multipliers'!$L$3:$N$6,3,FALSE)))</f>
        <v/>
      </c>
      <c r="AD191" s="400" t="str">
        <f t="shared" si="22"/>
        <v/>
      </c>
      <c r="AE191" s="63"/>
      <c r="AF191" s="63"/>
      <c r="AG191" s="370" t="str">
        <f t="shared" si="26"/>
        <v/>
      </c>
      <c r="AH191" s="383" t="str">
        <f t="shared" si="27"/>
        <v/>
      </c>
      <c r="AI191" s="384" t="str">
        <f>IF(AH191="Check Data","Check Data",IFERROR(VLOOKUP(AH191,'G-4 Temporal multipliers'!$A$4:$C$36,3,FALSE),""))</f>
        <v/>
      </c>
      <c r="AJ191" s="362" t="str">
        <f>IF(S191="","",VLOOKUP(S191,'G-3 Multipliers'!$A$2:$E$134,4,FALSE))</f>
        <v/>
      </c>
      <c r="AK191" s="370" t="str">
        <f t="shared" si="28"/>
        <v/>
      </c>
      <c r="AL191" s="370" t="str">
        <f t="shared" si="29"/>
        <v/>
      </c>
      <c r="AM191" s="401" t="str">
        <f>IFERROR(IF(F191="","",IF(AH191="Check Data ⚠","Check Data ⚠",VLOOKUP(AL191, 'G-3 Multipliers'!$P$2:$Q$6,2,FALSE))),"")</f>
        <v/>
      </c>
      <c r="AN191" s="376" t="str">
        <f t="shared" si="30"/>
        <v/>
      </c>
      <c r="AO191" s="194"/>
      <c r="AP191" s="195"/>
      <c r="AQ191" s="120"/>
    </row>
    <row r="192" spans="1:43">
      <c r="A192" s="35" t="str">
        <f>IF(E192="","",IF(ISNA(VLOOKUP($E192,'A-1 On-Site Habitat Baseline'!$D$1:$O$258,2,FALSE)),"",(VLOOKUP($E192,'A-1 On-Site Habitat Baseline'!$D$1:$O$258,2,FALSE))))</f>
        <v/>
      </c>
      <c r="B192" s="35" t="str">
        <f>IF(E192="","",IF(ISNA(VLOOKUP($E192,'A-1 On-Site Habitat Baseline'!$D$1:$O$258,3,FALSE)),"",(VLOOKUP($E192,'A-1 On-Site Habitat Baseline'!$D$1:$O$258,3,FALSE))))</f>
        <v/>
      </c>
      <c r="C192" s="35" t="str">
        <f>IFERROR(INDEX('G-8 Condition Look up'!$I$4:$I$135,MATCH(S192,'G-8 Condition Look up'!$A$4:$A$135,0)),"")</f>
        <v/>
      </c>
      <c r="E192" s="392" t="str">
        <f>'A-1 On-Site Habitat Baseline'!AL191</f>
        <v/>
      </c>
      <c r="F192" s="382" t="str">
        <f>IF(E192="","",IF(ISNA(VLOOKUP($E192,'A-1 On-Site Habitat Baseline'!$D$1:$O$258,4,FALSE)),"",(VLOOKUP($E192,'A-1 On-Site Habitat Baseline'!$D$1:$O$258,4,FALSE))))</f>
        <v/>
      </c>
      <c r="G192" s="382" t="str">
        <f>IF(E192="","",IF(ISNA(VLOOKUP($E192,'A-1 On-Site Habitat Baseline'!$D$1:$O$258,5,FALSE)),"",(VLOOKUP($E192,'A-1 On-Site Habitat Baseline'!$D$1:$O$258,5,FALSE))))</f>
        <v/>
      </c>
      <c r="H192" s="382" t="str">
        <f>IF(E192="","",IF(ISNA(VLOOKUP($E192,'A-1 On-Site Habitat Baseline'!$D$1:$O$258,6,FALSE)),"",(VLOOKUP($E192,'A-1 On-Site Habitat Baseline'!$D$1:$O$258,6,FALSE))))</f>
        <v/>
      </c>
      <c r="I192" s="382" t="str">
        <f>IF(E192="","",IF(ISNA(VLOOKUP($E192,'A-1 On-Site Habitat Baseline'!$D$1:$O$258,7,FALSE)),"",(VLOOKUP($E192,'A-1 On-Site Habitat Baseline'!$D$1:$O$258,7,FALSE))))</f>
        <v/>
      </c>
      <c r="J192" s="382" t="str">
        <f>IF(E192="","",IF(ISNA(VLOOKUP($E192,'A-1 On-Site Habitat Baseline'!$D$1:$O$258,8,FALSE)),"",(VLOOKUP($E192,'A-1 On-Site Habitat Baseline'!$D$1:$O$258,8,FALSE))))</f>
        <v/>
      </c>
      <c r="K192" s="382" t="str">
        <f>IF(E192="","",IF(ISNA(VLOOKUP($E192,'A-1 On-Site Habitat Baseline'!$D$1:$O$258,9,FALSE)),"",(VLOOKUP($E192,'A-1 On-Site Habitat Baseline'!$D$1:$O$258,9,FALSE))))</f>
        <v/>
      </c>
      <c r="L192" s="382" t="str">
        <f>IF(E192="","",IF(ISNA(VLOOKUP($E192,'A-1 On-Site Habitat Baseline'!$D$1:$O$258,11,FALSE)),"",(VLOOKUP($E192,'A-1 On-Site Habitat Baseline'!$D$1:$O$258,11,FALSE))))</f>
        <v/>
      </c>
      <c r="M192" s="382" t="str">
        <f>IF(E192="","",IF(ISNA(VLOOKUP($E192,'A-1 On-Site Habitat Baseline'!$D$1:$O$258,12,FALSE)),"",(VLOOKUP($E192,'A-1 On-Site Habitat Baseline'!$D$1:$O$258,12,FALSE))))</f>
        <v/>
      </c>
      <c r="N192" s="393" t="str">
        <f>IF(E192="","",IF(ISNA(VLOOKUP($E192,'A-1 On-Site Habitat Baseline'!$D$1:$X$258,14,FALSE)),"",(VLOOKUP($E192,'A-1 On-Site Habitat Baseline'!$D$1:$X$258,14,FALSE))))</f>
        <v/>
      </c>
      <c r="O192" s="386" t="str">
        <f>IF(E192="","",IF(ISNA(VLOOKUP($E192,'A-1 On-Site Habitat Baseline'!$D$1:$X$258,16,FALSE)),"",(VLOOKUP($E192,'A-1 On-Site Habitat Baseline'!$D$1:$X$258,13,FALSE))))</f>
        <v/>
      </c>
      <c r="P192" s="192" t="str">
        <f>IFERROR(INDEX('G-1 All Habitats'!$AG$3:$AG$17,MATCH(Q192,'G-1 All Habitats'!$AF$3:$AF$17,0)),"")</f>
        <v/>
      </c>
      <c r="Q192" s="193" t="str">
        <f t="shared" si="23"/>
        <v/>
      </c>
      <c r="R192" s="193" t="str">
        <f t="shared" si="23"/>
        <v/>
      </c>
      <c r="S192" s="306" t="str">
        <f>IFERROR(INDEX('G-1 All Habitats'!$B$3:$B$134,MATCH(R192,'G-1 All Habitats'!$A$3:$A$134,0)),"")</f>
        <v/>
      </c>
      <c r="T192" s="362" t="str">
        <f t="shared" si="24"/>
        <v/>
      </c>
      <c r="U192" s="363" t="str">
        <f t="shared" si="25"/>
        <v/>
      </c>
      <c r="V192" s="398" t="str">
        <f t="shared" si="21"/>
        <v/>
      </c>
      <c r="W192" s="382" t="str">
        <f>IF(S192="","",VLOOKUP(S192,'G-1 All Habitats'!$B$2:$M$134,10,FALSE))</f>
        <v/>
      </c>
      <c r="X192" s="382" t="str">
        <f>IFERROR(VLOOKUP(W192,'G-1 All Habitats'!$V$3:$W$7,2,FALSE),"")</f>
        <v/>
      </c>
      <c r="Y192" s="61"/>
      <c r="Z192" s="386" t="str">
        <f>IFERROR(INDEX('G-8 Condition Look up'!$A$3:$H$135,MATCH(S192,'G-8 Condition Look up'!$A$3:$A$135,0),MATCH(Y192,'G-8 Condition Look up'!$A$3:$H$3,0)),"")</f>
        <v/>
      </c>
      <c r="AA192" s="54"/>
      <c r="AB192" s="382" t="str">
        <f>IF(AA192="","",IF(VLOOKUP(AA192,'G-3 Multipliers'!$L$3:$N$6,2,FALSE)=0,"Spatial Data Missing ⚠",VLOOKUP(AA192,'G-3 Multipliers'!$L$3:$N$6,2,FALSE)))</f>
        <v/>
      </c>
      <c r="AC192" s="386" t="str">
        <f>IF(AA192="","",IF(VLOOKUP(AA192,'G-3 Multipliers'!$L$3:$N$6,3,FALSE)=0,"Spatial Data Missing ⚠",VLOOKUP(AA192,'G-3 Multipliers'!$L$3:$N$6,3,FALSE)))</f>
        <v/>
      </c>
      <c r="AD192" s="400" t="str">
        <f t="shared" si="22"/>
        <v/>
      </c>
      <c r="AE192" s="63"/>
      <c r="AF192" s="63"/>
      <c r="AG192" s="370" t="str">
        <f t="shared" si="26"/>
        <v/>
      </c>
      <c r="AH192" s="383" t="str">
        <f t="shared" si="27"/>
        <v/>
      </c>
      <c r="AI192" s="384" t="str">
        <f>IF(AH192="Check Data","Check Data",IFERROR(VLOOKUP(AH192,'G-4 Temporal multipliers'!$A$4:$C$36,3,FALSE),""))</f>
        <v/>
      </c>
      <c r="AJ192" s="362" t="str">
        <f>IF(S192="","",VLOOKUP(S192,'G-3 Multipliers'!$A$2:$E$134,4,FALSE))</f>
        <v/>
      </c>
      <c r="AK192" s="370" t="str">
        <f t="shared" si="28"/>
        <v/>
      </c>
      <c r="AL192" s="370" t="str">
        <f t="shared" si="29"/>
        <v/>
      </c>
      <c r="AM192" s="401" t="str">
        <f>IFERROR(IF(F192="","",IF(AH192="Check Data ⚠","Check Data ⚠",VLOOKUP(AL192, 'G-3 Multipliers'!$P$2:$Q$6,2,FALSE))),"")</f>
        <v/>
      </c>
      <c r="AN192" s="376" t="str">
        <f t="shared" si="30"/>
        <v/>
      </c>
      <c r="AO192" s="194"/>
      <c r="AP192" s="195"/>
      <c r="AQ192" s="120"/>
    </row>
    <row r="193" spans="1:43">
      <c r="A193" s="35" t="str">
        <f>IF(E193="","",IF(ISNA(VLOOKUP($E193,'A-1 On-Site Habitat Baseline'!$D$1:$O$258,2,FALSE)),"",(VLOOKUP($E193,'A-1 On-Site Habitat Baseline'!$D$1:$O$258,2,FALSE))))</f>
        <v/>
      </c>
      <c r="B193" s="35" t="str">
        <f>IF(E193="","",IF(ISNA(VLOOKUP($E193,'A-1 On-Site Habitat Baseline'!$D$1:$O$258,3,FALSE)),"",(VLOOKUP($E193,'A-1 On-Site Habitat Baseline'!$D$1:$O$258,3,FALSE))))</f>
        <v/>
      </c>
      <c r="C193" s="35" t="str">
        <f>IFERROR(INDEX('G-8 Condition Look up'!$I$4:$I$135,MATCH(S193,'G-8 Condition Look up'!$A$4:$A$135,0)),"")</f>
        <v/>
      </c>
      <c r="E193" s="392" t="str">
        <f>'A-1 On-Site Habitat Baseline'!AL192</f>
        <v/>
      </c>
      <c r="F193" s="382" t="str">
        <f>IF(E193="","",IF(ISNA(VLOOKUP($E193,'A-1 On-Site Habitat Baseline'!$D$1:$O$258,4,FALSE)),"",(VLOOKUP($E193,'A-1 On-Site Habitat Baseline'!$D$1:$O$258,4,FALSE))))</f>
        <v/>
      </c>
      <c r="G193" s="382" t="str">
        <f>IF(E193="","",IF(ISNA(VLOOKUP($E193,'A-1 On-Site Habitat Baseline'!$D$1:$O$258,5,FALSE)),"",(VLOOKUP($E193,'A-1 On-Site Habitat Baseline'!$D$1:$O$258,5,FALSE))))</f>
        <v/>
      </c>
      <c r="H193" s="382" t="str">
        <f>IF(E193="","",IF(ISNA(VLOOKUP($E193,'A-1 On-Site Habitat Baseline'!$D$1:$O$258,6,FALSE)),"",(VLOOKUP($E193,'A-1 On-Site Habitat Baseline'!$D$1:$O$258,6,FALSE))))</f>
        <v/>
      </c>
      <c r="I193" s="382" t="str">
        <f>IF(E193="","",IF(ISNA(VLOOKUP($E193,'A-1 On-Site Habitat Baseline'!$D$1:$O$258,7,FALSE)),"",(VLOOKUP($E193,'A-1 On-Site Habitat Baseline'!$D$1:$O$258,7,FALSE))))</f>
        <v/>
      </c>
      <c r="J193" s="382" t="str">
        <f>IF(E193="","",IF(ISNA(VLOOKUP($E193,'A-1 On-Site Habitat Baseline'!$D$1:$O$258,8,FALSE)),"",(VLOOKUP($E193,'A-1 On-Site Habitat Baseline'!$D$1:$O$258,8,FALSE))))</f>
        <v/>
      </c>
      <c r="K193" s="382" t="str">
        <f>IF(E193="","",IF(ISNA(VLOOKUP($E193,'A-1 On-Site Habitat Baseline'!$D$1:$O$258,9,FALSE)),"",(VLOOKUP($E193,'A-1 On-Site Habitat Baseline'!$D$1:$O$258,9,FALSE))))</f>
        <v/>
      </c>
      <c r="L193" s="382" t="str">
        <f>IF(E193="","",IF(ISNA(VLOOKUP($E193,'A-1 On-Site Habitat Baseline'!$D$1:$O$258,11,FALSE)),"",(VLOOKUP($E193,'A-1 On-Site Habitat Baseline'!$D$1:$O$258,11,FALSE))))</f>
        <v/>
      </c>
      <c r="M193" s="382" t="str">
        <f>IF(E193="","",IF(ISNA(VLOOKUP($E193,'A-1 On-Site Habitat Baseline'!$D$1:$O$258,12,FALSE)),"",(VLOOKUP($E193,'A-1 On-Site Habitat Baseline'!$D$1:$O$258,12,FALSE))))</f>
        <v/>
      </c>
      <c r="N193" s="393" t="str">
        <f>IF(E193="","",IF(ISNA(VLOOKUP($E193,'A-1 On-Site Habitat Baseline'!$D$1:$X$258,14,FALSE)),"",(VLOOKUP($E193,'A-1 On-Site Habitat Baseline'!$D$1:$X$258,14,FALSE))))</f>
        <v/>
      </c>
      <c r="O193" s="386" t="str">
        <f>IF(E193="","",IF(ISNA(VLOOKUP($E193,'A-1 On-Site Habitat Baseline'!$D$1:$X$258,16,FALSE)),"",(VLOOKUP($E193,'A-1 On-Site Habitat Baseline'!$D$1:$X$258,13,FALSE))))</f>
        <v/>
      </c>
      <c r="P193" s="192" t="str">
        <f>IFERROR(INDEX('G-1 All Habitats'!$AG$3:$AG$17,MATCH(Q193,'G-1 All Habitats'!$AF$3:$AF$17,0)),"")</f>
        <v/>
      </c>
      <c r="Q193" s="193" t="str">
        <f t="shared" si="23"/>
        <v/>
      </c>
      <c r="R193" s="193" t="str">
        <f t="shared" si="23"/>
        <v/>
      </c>
      <c r="S193" s="306" t="str">
        <f>IFERROR(INDEX('G-1 All Habitats'!$B$3:$B$134,MATCH(R193,'G-1 All Habitats'!$A$3:$A$134,0)),"")</f>
        <v/>
      </c>
      <c r="T193" s="362" t="str">
        <f t="shared" si="24"/>
        <v/>
      </c>
      <c r="U193" s="363" t="str">
        <f t="shared" si="25"/>
        <v/>
      </c>
      <c r="V193" s="398" t="str">
        <f t="shared" si="21"/>
        <v/>
      </c>
      <c r="W193" s="382" t="str">
        <f>IF(S193="","",VLOOKUP(S193,'G-1 All Habitats'!$B$2:$M$134,10,FALSE))</f>
        <v/>
      </c>
      <c r="X193" s="382" t="str">
        <f>IFERROR(VLOOKUP(W193,'G-1 All Habitats'!$V$3:$W$7,2,FALSE),"")</f>
        <v/>
      </c>
      <c r="Y193" s="61"/>
      <c r="Z193" s="386" t="str">
        <f>IFERROR(INDEX('G-8 Condition Look up'!$A$3:$H$135,MATCH(S193,'G-8 Condition Look up'!$A$3:$A$135,0),MATCH(Y193,'G-8 Condition Look up'!$A$3:$H$3,0)),"")</f>
        <v/>
      </c>
      <c r="AA193" s="54"/>
      <c r="AB193" s="382" t="str">
        <f>IF(AA193="","",IF(VLOOKUP(AA193,'G-3 Multipliers'!$L$3:$N$6,2,FALSE)=0,"Spatial Data Missing ⚠",VLOOKUP(AA193,'G-3 Multipliers'!$L$3:$N$6,2,FALSE)))</f>
        <v/>
      </c>
      <c r="AC193" s="386" t="str">
        <f>IF(AA193="","",IF(VLOOKUP(AA193,'G-3 Multipliers'!$L$3:$N$6,3,FALSE)=0,"Spatial Data Missing ⚠",VLOOKUP(AA193,'G-3 Multipliers'!$L$3:$N$6,3,FALSE)))</f>
        <v/>
      </c>
      <c r="AD193" s="400" t="str">
        <f t="shared" si="22"/>
        <v/>
      </c>
      <c r="AE193" s="63"/>
      <c r="AF193" s="63"/>
      <c r="AG193" s="370" t="str">
        <f t="shared" si="26"/>
        <v/>
      </c>
      <c r="AH193" s="383" t="str">
        <f t="shared" si="27"/>
        <v/>
      </c>
      <c r="AI193" s="384" t="str">
        <f>IF(AH193="Check Data","Check Data",IFERROR(VLOOKUP(AH193,'G-4 Temporal multipliers'!$A$4:$C$36,3,FALSE),""))</f>
        <v/>
      </c>
      <c r="AJ193" s="362" t="str">
        <f>IF(S193="","",VLOOKUP(S193,'G-3 Multipliers'!$A$2:$E$134,4,FALSE))</f>
        <v/>
      </c>
      <c r="AK193" s="370" t="str">
        <f t="shared" si="28"/>
        <v/>
      </c>
      <c r="AL193" s="370" t="str">
        <f t="shared" si="29"/>
        <v/>
      </c>
      <c r="AM193" s="401" t="str">
        <f>IFERROR(IF(F193="","",IF(AH193="Check Data ⚠","Check Data ⚠",VLOOKUP(AL193, 'G-3 Multipliers'!$P$2:$Q$6,2,FALSE))),"")</f>
        <v/>
      </c>
      <c r="AN193" s="376" t="str">
        <f t="shared" si="30"/>
        <v/>
      </c>
      <c r="AO193" s="194"/>
      <c r="AP193" s="195"/>
      <c r="AQ193" s="120"/>
    </row>
    <row r="194" spans="1:43">
      <c r="A194" s="35" t="str">
        <f>IF(E194="","",IF(ISNA(VLOOKUP($E194,'A-1 On-Site Habitat Baseline'!$D$1:$O$258,2,FALSE)),"",(VLOOKUP($E194,'A-1 On-Site Habitat Baseline'!$D$1:$O$258,2,FALSE))))</f>
        <v/>
      </c>
      <c r="B194" s="35" t="str">
        <f>IF(E194="","",IF(ISNA(VLOOKUP($E194,'A-1 On-Site Habitat Baseline'!$D$1:$O$258,3,FALSE)),"",(VLOOKUP($E194,'A-1 On-Site Habitat Baseline'!$D$1:$O$258,3,FALSE))))</f>
        <v/>
      </c>
      <c r="C194" s="35" t="str">
        <f>IFERROR(INDEX('G-8 Condition Look up'!$I$4:$I$135,MATCH(S194,'G-8 Condition Look up'!$A$4:$A$135,0)),"")</f>
        <v/>
      </c>
      <c r="E194" s="392" t="str">
        <f>'A-1 On-Site Habitat Baseline'!AL193</f>
        <v/>
      </c>
      <c r="F194" s="382" t="str">
        <f>IF(E194="","",IF(ISNA(VLOOKUP($E194,'A-1 On-Site Habitat Baseline'!$D$1:$O$258,4,FALSE)),"",(VLOOKUP($E194,'A-1 On-Site Habitat Baseline'!$D$1:$O$258,4,FALSE))))</f>
        <v/>
      </c>
      <c r="G194" s="382" t="str">
        <f>IF(E194="","",IF(ISNA(VLOOKUP($E194,'A-1 On-Site Habitat Baseline'!$D$1:$O$258,5,FALSE)),"",(VLOOKUP($E194,'A-1 On-Site Habitat Baseline'!$D$1:$O$258,5,FALSE))))</f>
        <v/>
      </c>
      <c r="H194" s="382" t="str">
        <f>IF(E194="","",IF(ISNA(VLOOKUP($E194,'A-1 On-Site Habitat Baseline'!$D$1:$O$258,6,FALSE)),"",(VLOOKUP($E194,'A-1 On-Site Habitat Baseline'!$D$1:$O$258,6,FALSE))))</f>
        <v/>
      </c>
      <c r="I194" s="382" t="str">
        <f>IF(E194="","",IF(ISNA(VLOOKUP($E194,'A-1 On-Site Habitat Baseline'!$D$1:$O$258,7,FALSE)),"",(VLOOKUP($E194,'A-1 On-Site Habitat Baseline'!$D$1:$O$258,7,FALSE))))</f>
        <v/>
      </c>
      <c r="J194" s="382" t="str">
        <f>IF(E194="","",IF(ISNA(VLOOKUP($E194,'A-1 On-Site Habitat Baseline'!$D$1:$O$258,8,FALSE)),"",(VLOOKUP($E194,'A-1 On-Site Habitat Baseline'!$D$1:$O$258,8,FALSE))))</f>
        <v/>
      </c>
      <c r="K194" s="382" t="str">
        <f>IF(E194="","",IF(ISNA(VLOOKUP($E194,'A-1 On-Site Habitat Baseline'!$D$1:$O$258,9,FALSE)),"",(VLOOKUP($E194,'A-1 On-Site Habitat Baseline'!$D$1:$O$258,9,FALSE))))</f>
        <v/>
      </c>
      <c r="L194" s="382" t="str">
        <f>IF(E194="","",IF(ISNA(VLOOKUP($E194,'A-1 On-Site Habitat Baseline'!$D$1:$O$258,11,FALSE)),"",(VLOOKUP($E194,'A-1 On-Site Habitat Baseline'!$D$1:$O$258,11,FALSE))))</f>
        <v/>
      </c>
      <c r="M194" s="382" t="str">
        <f>IF(E194="","",IF(ISNA(VLOOKUP($E194,'A-1 On-Site Habitat Baseline'!$D$1:$O$258,12,FALSE)),"",(VLOOKUP($E194,'A-1 On-Site Habitat Baseline'!$D$1:$O$258,12,FALSE))))</f>
        <v/>
      </c>
      <c r="N194" s="393" t="str">
        <f>IF(E194="","",IF(ISNA(VLOOKUP($E194,'A-1 On-Site Habitat Baseline'!$D$1:$X$258,14,FALSE)),"",(VLOOKUP($E194,'A-1 On-Site Habitat Baseline'!$D$1:$X$258,14,FALSE))))</f>
        <v/>
      </c>
      <c r="O194" s="386" t="str">
        <f>IF(E194="","",IF(ISNA(VLOOKUP($E194,'A-1 On-Site Habitat Baseline'!$D$1:$X$258,16,FALSE)),"",(VLOOKUP($E194,'A-1 On-Site Habitat Baseline'!$D$1:$X$258,13,FALSE))))</f>
        <v/>
      </c>
      <c r="P194" s="192" t="str">
        <f>IFERROR(INDEX('G-1 All Habitats'!$AG$3:$AG$17,MATCH(Q194,'G-1 All Habitats'!$AF$3:$AF$17,0)),"")</f>
        <v/>
      </c>
      <c r="Q194" s="193" t="str">
        <f t="shared" si="23"/>
        <v/>
      </c>
      <c r="R194" s="193" t="str">
        <f t="shared" si="23"/>
        <v/>
      </c>
      <c r="S194" s="306" t="str">
        <f>IFERROR(INDEX('G-1 All Habitats'!$B$3:$B$134,MATCH(R194,'G-1 All Habitats'!$A$3:$A$134,0)),"")</f>
        <v/>
      </c>
      <c r="T194" s="362" t="str">
        <f t="shared" si="24"/>
        <v/>
      </c>
      <c r="U194" s="363" t="str">
        <f t="shared" si="25"/>
        <v/>
      </c>
      <c r="V194" s="398" t="str">
        <f t="shared" si="21"/>
        <v/>
      </c>
      <c r="W194" s="382" t="str">
        <f>IF(S194="","",VLOOKUP(S194,'G-1 All Habitats'!$B$2:$M$134,10,FALSE))</f>
        <v/>
      </c>
      <c r="X194" s="382" t="str">
        <f>IFERROR(VLOOKUP(W194,'G-1 All Habitats'!$V$3:$W$7,2,FALSE),"")</f>
        <v/>
      </c>
      <c r="Y194" s="61"/>
      <c r="Z194" s="386" t="str">
        <f>IFERROR(INDEX('G-8 Condition Look up'!$A$3:$H$135,MATCH(S194,'G-8 Condition Look up'!$A$3:$A$135,0),MATCH(Y194,'G-8 Condition Look up'!$A$3:$H$3,0)),"")</f>
        <v/>
      </c>
      <c r="AA194" s="54"/>
      <c r="AB194" s="382" t="str">
        <f>IF(AA194="","",IF(VLOOKUP(AA194,'G-3 Multipliers'!$L$3:$N$6,2,FALSE)=0,"Spatial Data Missing ⚠",VLOOKUP(AA194,'G-3 Multipliers'!$L$3:$N$6,2,FALSE)))</f>
        <v/>
      </c>
      <c r="AC194" s="386" t="str">
        <f>IF(AA194="","",IF(VLOOKUP(AA194,'G-3 Multipliers'!$L$3:$N$6,3,FALSE)=0,"Spatial Data Missing ⚠",VLOOKUP(AA194,'G-3 Multipliers'!$L$3:$N$6,3,FALSE)))</f>
        <v/>
      </c>
      <c r="AD194" s="400" t="str">
        <f t="shared" si="22"/>
        <v/>
      </c>
      <c r="AE194" s="63"/>
      <c r="AF194" s="63"/>
      <c r="AG194" s="370" t="str">
        <f t="shared" si="26"/>
        <v/>
      </c>
      <c r="AH194" s="383" t="str">
        <f t="shared" si="27"/>
        <v/>
      </c>
      <c r="AI194" s="384" t="str">
        <f>IF(AH194="Check Data","Check Data",IFERROR(VLOOKUP(AH194,'G-4 Temporal multipliers'!$A$4:$C$36,3,FALSE),""))</f>
        <v/>
      </c>
      <c r="AJ194" s="362" t="str">
        <f>IF(S194="","",VLOOKUP(S194,'G-3 Multipliers'!$A$2:$E$134,4,FALSE))</f>
        <v/>
      </c>
      <c r="AK194" s="370" t="str">
        <f t="shared" si="28"/>
        <v/>
      </c>
      <c r="AL194" s="370" t="str">
        <f t="shared" si="29"/>
        <v/>
      </c>
      <c r="AM194" s="401" t="str">
        <f>IFERROR(IF(F194="","",IF(AH194="Check Data ⚠","Check Data ⚠",VLOOKUP(AL194, 'G-3 Multipliers'!$P$2:$Q$6,2,FALSE))),"")</f>
        <v/>
      </c>
      <c r="AN194" s="376" t="str">
        <f t="shared" si="30"/>
        <v/>
      </c>
      <c r="AO194" s="194"/>
      <c r="AP194" s="195"/>
      <c r="AQ194" s="120"/>
    </row>
    <row r="195" spans="1:43">
      <c r="A195" s="35" t="str">
        <f>IF(E195="","",IF(ISNA(VLOOKUP($E195,'A-1 On-Site Habitat Baseline'!$D$1:$O$258,2,FALSE)),"",(VLOOKUP($E195,'A-1 On-Site Habitat Baseline'!$D$1:$O$258,2,FALSE))))</f>
        <v/>
      </c>
      <c r="B195" s="35" t="str">
        <f>IF(E195="","",IF(ISNA(VLOOKUP($E195,'A-1 On-Site Habitat Baseline'!$D$1:$O$258,3,FALSE)),"",(VLOOKUP($E195,'A-1 On-Site Habitat Baseline'!$D$1:$O$258,3,FALSE))))</f>
        <v/>
      </c>
      <c r="C195" s="35" t="str">
        <f>IFERROR(INDEX('G-8 Condition Look up'!$I$4:$I$135,MATCH(S195,'G-8 Condition Look up'!$A$4:$A$135,0)),"")</f>
        <v/>
      </c>
      <c r="E195" s="392" t="str">
        <f>'A-1 On-Site Habitat Baseline'!AL194</f>
        <v/>
      </c>
      <c r="F195" s="382" t="str">
        <f>IF(E195="","",IF(ISNA(VLOOKUP($E195,'A-1 On-Site Habitat Baseline'!$D$1:$O$258,4,FALSE)),"",(VLOOKUP($E195,'A-1 On-Site Habitat Baseline'!$D$1:$O$258,4,FALSE))))</f>
        <v/>
      </c>
      <c r="G195" s="382" t="str">
        <f>IF(E195="","",IF(ISNA(VLOOKUP($E195,'A-1 On-Site Habitat Baseline'!$D$1:$O$258,5,FALSE)),"",(VLOOKUP($E195,'A-1 On-Site Habitat Baseline'!$D$1:$O$258,5,FALSE))))</f>
        <v/>
      </c>
      <c r="H195" s="382" t="str">
        <f>IF(E195="","",IF(ISNA(VLOOKUP($E195,'A-1 On-Site Habitat Baseline'!$D$1:$O$258,6,FALSE)),"",(VLOOKUP($E195,'A-1 On-Site Habitat Baseline'!$D$1:$O$258,6,FALSE))))</f>
        <v/>
      </c>
      <c r="I195" s="382" t="str">
        <f>IF(E195="","",IF(ISNA(VLOOKUP($E195,'A-1 On-Site Habitat Baseline'!$D$1:$O$258,7,FALSE)),"",(VLOOKUP($E195,'A-1 On-Site Habitat Baseline'!$D$1:$O$258,7,FALSE))))</f>
        <v/>
      </c>
      <c r="J195" s="382" t="str">
        <f>IF(E195="","",IF(ISNA(VLOOKUP($E195,'A-1 On-Site Habitat Baseline'!$D$1:$O$258,8,FALSE)),"",(VLOOKUP($E195,'A-1 On-Site Habitat Baseline'!$D$1:$O$258,8,FALSE))))</f>
        <v/>
      </c>
      <c r="K195" s="382" t="str">
        <f>IF(E195="","",IF(ISNA(VLOOKUP($E195,'A-1 On-Site Habitat Baseline'!$D$1:$O$258,9,FALSE)),"",(VLOOKUP($E195,'A-1 On-Site Habitat Baseline'!$D$1:$O$258,9,FALSE))))</f>
        <v/>
      </c>
      <c r="L195" s="382" t="str">
        <f>IF(E195="","",IF(ISNA(VLOOKUP($E195,'A-1 On-Site Habitat Baseline'!$D$1:$O$258,11,FALSE)),"",(VLOOKUP($E195,'A-1 On-Site Habitat Baseline'!$D$1:$O$258,11,FALSE))))</f>
        <v/>
      </c>
      <c r="M195" s="382" t="str">
        <f>IF(E195="","",IF(ISNA(VLOOKUP($E195,'A-1 On-Site Habitat Baseline'!$D$1:$O$258,12,FALSE)),"",(VLOOKUP($E195,'A-1 On-Site Habitat Baseline'!$D$1:$O$258,12,FALSE))))</f>
        <v/>
      </c>
      <c r="N195" s="393" t="str">
        <f>IF(E195="","",IF(ISNA(VLOOKUP($E195,'A-1 On-Site Habitat Baseline'!$D$1:$X$258,14,FALSE)),"",(VLOOKUP($E195,'A-1 On-Site Habitat Baseline'!$D$1:$X$258,14,FALSE))))</f>
        <v/>
      </c>
      <c r="O195" s="386" t="str">
        <f>IF(E195="","",IF(ISNA(VLOOKUP($E195,'A-1 On-Site Habitat Baseline'!$D$1:$X$258,16,FALSE)),"",(VLOOKUP($E195,'A-1 On-Site Habitat Baseline'!$D$1:$X$258,13,FALSE))))</f>
        <v/>
      </c>
      <c r="P195" s="192" t="str">
        <f>IFERROR(INDEX('G-1 All Habitats'!$AG$3:$AG$17,MATCH(Q195,'G-1 All Habitats'!$AF$3:$AF$17,0)),"")</f>
        <v/>
      </c>
      <c r="Q195" s="193" t="str">
        <f t="shared" si="23"/>
        <v/>
      </c>
      <c r="R195" s="193" t="str">
        <f t="shared" si="23"/>
        <v/>
      </c>
      <c r="S195" s="306" t="str">
        <f>IFERROR(INDEX('G-1 All Habitats'!$B$3:$B$134,MATCH(R195,'G-1 All Habitats'!$A$3:$A$134,0)),"")</f>
        <v/>
      </c>
      <c r="T195" s="362" t="str">
        <f t="shared" si="24"/>
        <v/>
      </c>
      <c r="U195" s="363" t="str">
        <f t="shared" si="25"/>
        <v/>
      </c>
      <c r="V195" s="398" t="str">
        <f t="shared" si="21"/>
        <v/>
      </c>
      <c r="W195" s="382" t="str">
        <f>IF(S195="","",VLOOKUP(S195,'G-1 All Habitats'!$B$2:$M$134,10,FALSE))</f>
        <v/>
      </c>
      <c r="X195" s="382" t="str">
        <f>IFERROR(VLOOKUP(W195,'G-1 All Habitats'!$V$3:$W$7,2,FALSE),"")</f>
        <v/>
      </c>
      <c r="Y195" s="61"/>
      <c r="Z195" s="386" t="str">
        <f>IFERROR(INDEX('G-8 Condition Look up'!$A$3:$H$135,MATCH(S195,'G-8 Condition Look up'!$A$3:$A$135,0),MATCH(Y195,'G-8 Condition Look up'!$A$3:$H$3,0)),"")</f>
        <v/>
      </c>
      <c r="AA195" s="54"/>
      <c r="AB195" s="382" t="str">
        <f>IF(AA195="","",IF(VLOOKUP(AA195,'G-3 Multipliers'!$L$3:$N$6,2,FALSE)=0,"Spatial Data Missing ⚠",VLOOKUP(AA195,'G-3 Multipliers'!$L$3:$N$6,2,FALSE)))</f>
        <v/>
      </c>
      <c r="AC195" s="386" t="str">
        <f>IF(AA195="","",IF(VLOOKUP(AA195,'G-3 Multipliers'!$L$3:$N$6,3,FALSE)=0,"Spatial Data Missing ⚠",VLOOKUP(AA195,'G-3 Multipliers'!$L$3:$N$6,3,FALSE)))</f>
        <v/>
      </c>
      <c r="AD195" s="400" t="str">
        <f t="shared" si="22"/>
        <v/>
      </c>
      <c r="AE195" s="63"/>
      <c r="AF195" s="63"/>
      <c r="AG195" s="370" t="str">
        <f t="shared" si="26"/>
        <v/>
      </c>
      <c r="AH195" s="383" t="str">
        <f t="shared" si="27"/>
        <v/>
      </c>
      <c r="AI195" s="384" t="str">
        <f>IF(AH195="Check Data","Check Data",IFERROR(VLOOKUP(AH195,'G-4 Temporal multipliers'!$A$4:$C$36,3,FALSE),""))</f>
        <v/>
      </c>
      <c r="AJ195" s="362" t="str">
        <f>IF(S195="","",VLOOKUP(S195,'G-3 Multipliers'!$A$2:$E$134,4,FALSE))</f>
        <v/>
      </c>
      <c r="AK195" s="370" t="str">
        <f t="shared" si="28"/>
        <v/>
      </c>
      <c r="AL195" s="370" t="str">
        <f t="shared" si="29"/>
        <v/>
      </c>
      <c r="AM195" s="401" t="str">
        <f>IFERROR(IF(F195="","",IF(AH195="Check Data ⚠","Check Data ⚠",VLOOKUP(AL195, 'G-3 Multipliers'!$P$2:$Q$6,2,FALSE))),"")</f>
        <v/>
      </c>
      <c r="AN195" s="376" t="str">
        <f t="shared" si="30"/>
        <v/>
      </c>
      <c r="AO195" s="194"/>
      <c r="AP195" s="195"/>
      <c r="AQ195" s="120"/>
    </row>
    <row r="196" spans="1:43">
      <c r="A196" s="35" t="str">
        <f>IF(E196="","",IF(ISNA(VLOOKUP($E196,'A-1 On-Site Habitat Baseline'!$D$1:$O$258,2,FALSE)),"",(VLOOKUP($E196,'A-1 On-Site Habitat Baseline'!$D$1:$O$258,2,FALSE))))</f>
        <v/>
      </c>
      <c r="B196" s="35" t="str">
        <f>IF(E196="","",IF(ISNA(VLOOKUP($E196,'A-1 On-Site Habitat Baseline'!$D$1:$O$258,3,FALSE)),"",(VLOOKUP($E196,'A-1 On-Site Habitat Baseline'!$D$1:$O$258,3,FALSE))))</f>
        <v/>
      </c>
      <c r="C196" s="35" t="str">
        <f>IFERROR(INDEX('G-8 Condition Look up'!$I$4:$I$135,MATCH(S196,'G-8 Condition Look up'!$A$4:$A$135,0)),"")</f>
        <v/>
      </c>
      <c r="E196" s="392" t="str">
        <f>'A-1 On-Site Habitat Baseline'!AL195</f>
        <v/>
      </c>
      <c r="F196" s="382" t="str">
        <f>IF(E196="","",IF(ISNA(VLOOKUP($E196,'A-1 On-Site Habitat Baseline'!$D$1:$O$258,4,FALSE)),"",(VLOOKUP($E196,'A-1 On-Site Habitat Baseline'!$D$1:$O$258,4,FALSE))))</f>
        <v/>
      </c>
      <c r="G196" s="382" t="str">
        <f>IF(E196="","",IF(ISNA(VLOOKUP($E196,'A-1 On-Site Habitat Baseline'!$D$1:$O$258,5,FALSE)),"",(VLOOKUP($E196,'A-1 On-Site Habitat Baseline'!$D$1:$O$258,5,FALSE))))</f>
        <v/>
      </c>
      <c r="H196" s="382" t="str">
        <f>IF(E196="","",IF(ISNA(VLOOKUP($E196,'A-1 On-Site Habitat Baseline'!$D$1:$O$258,6,FALSE)),"",(VLOOKUP($E196,'A-1 On-Site Habitat Baseline'!$D$1:$O$258,6,FALSE))))</f>
        <v/>
      </c>
      <c r="I196" s="382" t="str">
        <f>IF(E196="","",IF(ISNA(VLOOKUP($E196,'A-1 On-Site Habitat Baseline'!$D$1:$O$258,7,FALSE)),"",(VLOOKUP($E196,'A-1 On-Site Habitat Baseline'!$D$1:$O$258,7,FALSE))))</f>
        <v/>
      </c>
      <c r="J196" s="382" t="str">
        <f>IF(E196="","",IF(ISNA(VLOOKUP($E196,'A-1 On-Site Habitat Baseline'!$D$1:$O$258,8,FALSE)),"",(VLOOKUP($E196,'A-1 On-Site Habitat Baseline'!$D$1:$O$258,8,FALSE))))</f>
        <v/>
      </c>
      <c r="K196" s="382" t="str">
        <f>IF(E196="","",IF(ISNA(VLOOKUP($E196,'A-1 On-Site Habitat Baseline'!$D$1:$O$258,9,FALSE)),"",(VLOOKUP($E196,'A-1 On-Site Habitat Baseline'!$D$1:$O$258,9,FALSE))))</f>
        <v/>
      </c>
      <c r="L196" s="382" t="str">
        <f>IF(E196="","",IF(ISNA(VLOOKUP($E196,'A-1 On-Site Habitat Baseline'!$D$1:$O$258,11,FALSE)),"",(VLOOKUP($E196,'A-1 On-Site Habitat Baseline'!$D$1:$O$258,11,FALSE))))</f>
        <v/>
      </c>
      <c r="M196" s="382" t="str">
        <f>IF(E196="","",IF(ISNA(VLOOKUP($E196,'A-1 On-Site Habitat Baseline'!$D$1:$O$258,12,FALSE)),"",(VLOOKUP($E196,'A-1 On-Site Habitat Baseline'!$D$1:$O$258,12,FALSE))))</f>
        <v/>
      </c>
      <c r="N196" s="393" t="str">
        <f>IF(E196="","",IF(ISNA(VLOOKUP($E196,'A-1 On-Site Habitat Baseline'!$D$1:$X$258,14,FALSE)),"",(VLOOKUP($E196,'A-1 On-Site Habitat Baseline'!$D$1:$X$258,14,FALSE))))</f>
        <v/>
      </c>
      <c r="O196" s="386" t="str">
        <f>IF(E196="","",IF(ISNA(VLOOKUP($E196,'A-1 On-Site Habitat Baseline'!$D$1:$X$258,16,FALSE)),"",(VLOOKUP($E196,'A-1 On-Site Habitat Baseline'!$D$1:$X$258,13,FALSE))))</f>
        <v/>
      </c>
      <c r="P196" s="192" t="str">
        <f>IFERROR(INDEX('G-1 All Habitats'!$AG$3:$AG$17,MATCH(Q196,'G-1 All Habitats'!$AF$3:$AF$17,0)),"")</f>
        <v/>
      </c>
      <c r="Q196" s="193" t="str">
        <f t="shared" si="23"/>
        <v/>
      </c>
      <c r="R196" s="193" t="str">
        <f t="shared" si="23"/>
        <v/>
      </c>
      <c r="S196" s="306" t="str">
        <f>IFERROR(INDEX('G-1 All Habitats'!$B$3:$B$134,MATCH(R196,'G-1 All Habitats'!$A$3:$A$134,0)),"")</f>
        <v/>
      </c>
      <c r="T196" s="362" t="str">
        <f t="shared" si="24"/>
        <v/>
      </c>
      <c r="U196" s="363" t="str">
        <f t="shared" si="25"/>
        <v/>
      </c>
      <c r="V196" s="398" t="str">
        <f t="shared" si="21"/>
        <v/>
      </c>
      <c r="W196" s="382" t="str">
        <f>IF(S196="","",VLOOKUP(S196,'G-1 All Habitats'!$B$2:$M$134,10,FALSE))</f>
        <v/>
      </c>
      <c r="X196" s="382" t="str">
        <f>IFERROR(VLOOKUP(W196,'G-1 All Habitats'!$V$3:$W$7,2,FALSE),"")</f>
        <v/>
      </c>
      <c r="Y196" s="61"/>
      <c r="Z196" s="386" t="str">
        <f>IFERROR(INDEX('G-8 Condition Look up'!$A$3:$H$135,MATCH(S196,'G-8 Condition Look up'!$A$3:$A$135,0),MATCH(Y196,'G-8 Condition Look up'!$A$3:$H$3,0)),"")</f>
        <v/>
      </c>
      <c r="AA196" s="54"/>
      <c r="AB196" s="382" t="str">
        <f>IF(AA196="","",IF(VLOOKUP(AA196,'G-3 Multipliers'!$L$3:$N$6,2,FALSE)=0,"Spatial Data Missing ⚠",VLOOKUP(AA196,'G-3 Multipliers'!$L$3:$N$6,2,FALSE)))</f>
        <v/>
      </c>
      <c r="AC196" s="386" t="str">
        <f>IF(AA196="","",IF(VLOOKUP(AA196,'G-3 Multipliers'!$L$3:$N$6,3,FALSE)=0,"Spatial Data Missing ⚠",VLOOKUP(AA196,'G-3 Multipliers'!$L$3:$N$6,3,FALSE)))</f>
        <v/>
      </c>
      <c r="AD196" s="400" t="str">
        <f t="shared" si="22"/>
        <v/>
      </c>
      <c r="AE196" s="63"/>
      <c r="AF196" s="63"/>
      <c r="AG196" s="370" t="str">
        <f t="shared" si="26"/>
        <v/>
      </c>
      <c r="AH196" s="383" t="str">
        <f t="shared" si="27"/>
        <v/>
      </c>
      <c r="AI196" s="384" t="str">
        <f>IF(AH196="Check Data","Check Data",IFERROR(VLOOKUP(AH196,'G-4 Temporal multipliers'!$A$4:$C$36,3,FALSE),""))</f>
        <v/>
      </c>
      <c r="AJ196" s="362" t="str">
        <f>IF(S196="","",VLOOKUP(S196,'G-3 Multipliers'!$A$2:$E$134,4,FALSE))</f>
        <v/>
      </c>
      <c r="AK196" s="370" t="str">
        <f t="shared" si="28"/>
        <v/>
      </c>
      <c r="AL196" s="370" t="str">
        <f t="shared" si="29"/>
        <v/>
      </c>
      <c r="AM196" s="401" t="str">
        <f>IFERROR(IF(F196="","",IF(AH196="Check Data ⚠","Check Data ⚠",VLOOKUP(AL196, 'G-3 Multipliers'!$P$2:$Q$6,2,FALSE))),"")</f>
        <v/>
      </c>
      <c r="AN196" s="376" t="str">
        <f t="shared" si="30"/>
        <v/>
      </c>
      <c r="AO196" s="194"/>
      <c r="AP196" s="195"/>
      <c r="AQ196" s="120"/>
    </row>
    <row r="197" spans="1:43">
      <c r="A197" s="35" t="str">
        <f>IF(E197="","",IF(ISNA(VLOOKUP($E197,'A-1 On-Site Habitat Baseline'!$D$1:$O$258,2,FALSE)),"",(VLOOKUP($E197,'A-1 On-Site Habitat Baseline'!$D$1:$O$258,2,FALSE))))</f>
        <v/>
      </c>
      <c r="B197" s="35" t="str">
        <f>IF(E197="","",IF(ISNA(VLOOKUP($E197,'A-1 On-Site Habitat Baseline'!$D$1:$O$258,3,FALSE)),"",(VLOOKUP($E197,'A-1 On-Site Habitat Baseline'!$D$1:$O$258,3,FALSE))))</f>
        <v/>
      </c>
      <c r="C197" s="35" t="str">
        <f>IFERROR(INDEX('G-8 Condition Look up'!$I$4:$I$135,MATCH(S197,'G-8 Condition Look up'!$A$4:$A$135,0)),"")</f>
        <v/>
      </c>
      <c r="E197" s="392" t="str">
        <f>'A-1 On-Site Habitat Baseline'!AL196</f>
        <v/>
      </c>
      <c r="F197" s="382" t="str">
        <f>IF(E197="","",IF(ISNA(VLOOKUP($E197,'A-1 On-Site Habitat Baseline'!$D$1:$O$258,4,FALSE)),"",(VLOOKUP($E197,'A-1 On-Site Habitat Baseline'!$D$1:$O$258,4,FALSE))))</f>
        <v/>
      </c>
      <c r="G197" s="382" t="str">
        <f>IF(E197="","",IF(ISNA(VLOOKUP($E197,'A-1 On-Site Habitat Baseline'!$D$1:$O$258,5,FALSE)),"",(VLOOKUP($E197,'A-1 On-Site Habitat Baseline'!$D$1:$O$258,5,FALSE))))</f>
        <v/>
      </c>
      <c r="H197" s="382" t="str">
        <f>IF(E197="","",IF(ISNA(VLOOKUP($E197,'A-1 On-Site Habitat Baseline'!$D$1:$O$258,6,FALSE)),"",(VLOOKUP($E197,'A-1 On-Site Habitat Baseline'!$D$1:$O$258,6,FALSE))))</f>
        <v/>
      </c>
      <c r="I197" s="382" t="str">
        <f>IF(E197="","",IF(ISNA(VLOOKUP($E197,'A-1 On-Site Habitat Baseline'!$D$1:$O$258,7,FALSE)),"",(VLOOKUP($E197,'A-1 On-Site Habitat Baseline'!$D$1:$O$258,7,FALSE))))</f>
        <v/>
      </c>
      <c r="J197" s="382" t="str">
        <f>IF(E197="","",IF(ISNA(VLOOKUP($E197,'A-1 On-Site Habitat Baseline'!$D$1:$O$258,8,FALSE)),"",(VLOOKUP($E197,'A-1 On-Site Habitat Baseline'!$D$1:$O$258,8,FALSE))))</f>
        <v/>
      </c>
      <c r="K197" s="382" t="str">
        <f>IF(E197="","",IF(ISNA(VLOOKUP($E197,'A-1 On-Site Habitat Baseline'!$D$1:$O$258,9,FALSE)),"",(VLOOKUP($E197,'A-1 On-Site Habitat Baseline'!$D$1:$O$258,9,FALSE))))</f>
        <v/>
      </c>
      <c r="L197" s="382" t="str">
        <f>IF(E197="","",IF(ISNA(VLOOKUP($E197,'A-1 On-Site Habitat Baseline'!$D$1:$O$258,11,FALSE)),"",(VLOOKUP($E197,'A-1 On-Site Habitat Baseline'!$D$1:$O$258,11,FALSE))))</f>
        <v/>
      </c>
      <c r="M197" s="382" t="str">
        <f>IF(E197="","",IF(ISNA(VLOOKUP($E197,'A-1 On-Site Habitat Baseline'!$D$1:$O$258,12,FALSE)),"",(VLOOKUP($E197,'A-1 On-Site Habitat Baseline'!$D$1:$O$258,12,FALSE))))</f>
        <v/>
      </c>
      <c r="N197" s="393" t="str">
        <f>IF(E197="","",IF(ISNA(VLOOKUP($E197,'A-1 On-Site Habitat Baseline'!$D$1:$X$258,14,FALSE)),"",(VLOOKUP($E197,'A-1 On-Site Habitat Baseline'!$D$1:$X$258,14,FALSE))))</f>
        <v/>
      </c>
      <c r="O197" s="386" t="str">
        <f>IF(E197="","",IF(ISNA(VLOOKUP($E197,'A-1 On-Site Habitat Baseline'!$D$1:$X$258,16,FALSE)),"",(VLOOKUP($E197,'A-1 On-Site Habitat Baseline'!$D$1:$X$258,13,FALSE))))</f>
        <v/>
      </c>
      <c r="P197" s="192" t="str">
        <f>IFERROR(INDEX('G-1 All Habitats'!$AG$3:$AG$17,MATCH(Q197,'G-1 All Habitats'!$AF$3:$AF$17,0)),"")</f>
        <v/>
      </c>
      <c r="Q197" s="193" t="str">
        <f t="shared" si="23"/>
        <v/>
      </c>
      <c r="R197" s="193" t="str">
        <f t="shared" si="23"/>
        <v/>
      </c>
      <c r="S197" s="306" t="str">
        <f>IFERROR(INDEX('G-1 All Habitats'!$B$3:$B$134,MATCH(R197,'G-1 All Habitats'!$A$3:$A$134,0)),"")</f>
        <v/>
      </c>
      <c r="T197" s="362" t="str">
        <f t="shared" si="24"/>
        <v/>
      </c>
      <c r="U197" s="363" t="str">
        <f t="shared" si="25"/>
        <v/>
      </c>
      <c r="V197" s="398" t="str">
        <f t="shared" si="21"/>
        <v/>
      </c>
      <c r="W197" s="382" t="str">
        <f>IF(S197="","",VLOOKUP(S197,'G-1 All Habitats'!$B$2:$M$134,10,FALSE))</f>
        <v/>
      </c>
      <c r="X197" s="382" t="str">
        <f>IFERROR(VLOOKUP(W197,'G-1 All Habitats'!$V$3:$W$7,2,FALSE),"")</f>
        <v/>
      </c>
      <c r="Y197" s="61"/>
      <c r="Z197" s="386" t="str">
        <f>IFERROR(INDEX('G-8 Condition Look up'!$A$3:$H$135,MATCH(S197,'G-8 Condition Look up'!$A$3:$A$135,0),MATCH(Y197,'G-8 Condition Look up'!$A$3:$H$3,0)),"")</f>
        <v/>
      </c>
      <c r="AA197" s="54"/>
      <c r="AB197" s="382" t="str">
        <f>IF(AA197="","",IF(VLOOKUP(AA197,'G-3 Multipliers'!$L$3:$N$6,2,FALSE)=0,"Spatial Data Missing ⚠",VLOOKUP(AA197,'G-3 Multipliers'!$L$3:$N$6,2,FALSE)))</f>
        <v/>
      </c>
      <c r="AC197" s="386" t="str">
        <f>IF(AA197="","",IF(VLOOKUP(AA197,'G-3 Multipliers'!$L$3:$N$6,3,FALSE)=0,"Spatial Data Missing ⚠",VLOOKUP(AA197,'G-3 Multipliers'!$L$3:$N$6,3,FALSE)))</f>
        <v/>
      </c>
      <c r="AD197" s="400" t="str">
        <f t="shared" si="22"/>
        <v/>
      </c>
      <c r="AE197" s="63"/>
      <c r="AF197" s="63"/>
      <c r="AG197" s="370" t="str">
        <f t="shared" si="26"/>
        <v/>
      </c>
      <c r="AH197" s="383" t="str">
        <f t="shared" si="27"/>
        <v/>
      </c>
      <c r="AI197" s="384" t="str">
        <f>IF(AH197="Check Data","Check Data",IFERROR(VLOOKUP(AH197,'G-4 Temporal multipliers'!$A$4:$C$36,3,FALSE),""))</f>
        <v/>
      </c>
      <c r="AJ197" s="362" t="str">
        <f>IF(S197="","",VLOOKUP(S197,'G-3 Multipliers'!$A$2:$E$134,4,FALSE))</f>
        <v/>
      </c>
      <c r="AK197" s="370" t="str">
        <f t="shared" si="28"/>
        <v/>
      </c>
      <c r="AL197" s="370" t="str">
        <f t="shared" si="29"/>
        <v/>
      </c>
      <c r="AM197" s="401" t="str">
        <f>IFERROR(IF(F197="","",IF(AH197="Check Data ⚠","Check Data ⚠",VLOOKUP(AL197, 'G-3 Multipliers'!$P$2:$Q$6,2,FALSE))),"")</f>
        <v/>
      </c>
      <c r="AN197" s="376" t="str">
        <f t="shared" si="30"/>
        <v/>
      </c>
      <c r="AO197" s="194"/>
      <c r="AP197" s="195"/>
      <c r="AQ197" s="120"/>
    </row>
    <row r="198" spans="1:43">
      <c r="A198" s="35" t="str">
        <f>IF(E198="","",IF(ISNA(VLOOKUP($E198,'A-1 On-Site Habitat Baseline'!$D$1:$O$258,2,FALSE)),"",(VLOOKUP($E198,'A-1 On-Site Habitat Baseline'!$D$1:$O$258,2,FALSE))))</f>
        <v/>
      </c>
      <c r="B198" s="35" t="str">
        <f>IF(E198="","",IF(ISNA(VLOOKUP($E198,'A-1 On-Site Habitat Baseline'!$D$1:$O$258,3,FALSE)),"",(VLOOKUP($E198,'A-1 On-Site Habitat Baseline'!$D$1:$O$258,3,FALSE))))</f>
        <v/>
      </c>
      <c r="C198" s="35" t="str">
        <f>IFERROR(INDEX('G-8 Condition Look up'!$I$4:$I$135,MATCH(S198,'G-8 Condition Look up'!$A$4:$A$135,0)),"")</f>
        <v/>
      </c>
      <c r="E198" s="392" t="str">
        <f>'A-1 On-Site Habitat Baseline'!AL197</f>
        <v/>
      </c>
      <c r="F198" s="382" t="str">
        <f>IF(E198="","",IF(ISNA(VLOOKUP($E198,'A-1 On-Site Habitat Baseline'!$D$1:$O$258,4,FALSE)),"",(VLOOKUP($E198,'A-1 On-Site Habitat Baseline'!$D$1:$O$258,4,FALSE))))</f>
        <v/>
      </c>
      <c r="G198" s="382" t="str">
        <f>IF(E198="","",IF(ISNA(VLOOKUP($E198,'A-1 On-Site Habitat Baseline'!$D$1:$O$258,5,FALSE)),"",(VLOOKUP($E198,'A-1 On-Site Habitat Baseline'!$D$1:$O$258,5,FALSE))))</f>
        <v/>
      </c>
      <c r="H198" s="382" t="str">
        <f>IF(E198="","",IF(ISNA(VLOOKUP($E198,'A-1 On-Site Habitat Baseline'!$D$1:$O$258,6,FALSE)),"",(VLOOKUP($E198,'A-1 On-Site Habitat Baseline'!$D$1:$O$258,6,FALSE))))</f>
        <v/>
      </c>
      <c r="I198" s="382" t="str">
        <f>IF(E198="","",IF(ISNA(VLOOKUP($E198,'A-1 On-Site Habitat Baseline'!$D$1:$O$258,7,FALSE)),"",(VLOOKUP($E198,'A-1 On-Site Habitat Baseline'!$D$1:$O$258,7,FALSE))))</f>
        <v/>
      </c>
      <c r="J198" s="382" t="str">
        <f>IF(E198="","",IF(ISNA(VLOOKUP($E198,'A-1 On-Site Habitat Baseline'!$D$1:$O$258,8,FALSE)),"",(VLOOKUP($E198,'A-1 On-Site Habitat Baseline'!$D$1:$O$258,8,FALSE))))</f>
        <v/>
      </c>
      <c r="K198" s="382" t="str">
        <f>IF(E198="","",IF(ISNA(VLOOKUP($E198,'A-1 On-Site Habitat Baseline'!$D$1:$O$258,9,FALSE)),"",(VLOOKUP($E198,'A-1 On-Site Habitat Baseline'!$D$1:$O$258,9,FALSE))))</f>
        <v/>
      </c>
      <c r="L198" s="382" t="str">
        <f>IF(E198="","",IF(ISNA(VLOOKUP($E198,'A-1 On-Site Habitat Baseline'!$D$1:$O$258,11,FALSE)),"",(VLOOKUP($E198,'A-1 On-Site Habitat Baseline'!$D$1:$O$258,11,FALSE))))</f>
        <v/>
      </c>
      <c r="M198" s="382" t="str">
        <f>IF(E198="","",IF(ISNA(VLOOKUP($E198,'A-1 On-Site Habitat Baseline'!$D$1:$O$258,12,FALSE)),"",(VLOOKUP($E198,'A-1 On-Site Habitat Baseline'!$D$1:$O$258,12,FALSE))))</f>
        <v/>
      </c>
      <c r="N198" s="393" t="str">
        <f>IF(E198="","",IF(ISNA(VLOOKUP($E198,'A-1 On-Site Habitat Baseline'!$D$1:$X$258,14,FALSE)),"",(VLOOKUP($E198,'A-1 On-Site Habitat Baseline'!$D$1:$X$258,14,FALSE))))</f>
        <v/>
      </c>
      <c r="O198" s="386" t="str">
        <f>IF(E198="","",IF(ISNA(VLOOKUP($E198,'A-1 On-Site Habitat Baseline'!$D$1:$X$258,16,FALSE)),"",(VLOOKUP($E198,'A-1 On-Site Habitat Baseline'!$D$1:$X$258,13,FALSE))))</f>
        <v/>
      </c>
      <c r="P198" s="192" t="str">
        <f>IFERROR(INDEX('G-1 All Habitats'!$AG$3:$AG$17,MATCH(Q198,'G-1 All Habitats'!$AF$3:$AF$17,0)),"")</f>
        <v/>
      </c>
      <c r="Q198" s="193" t="str">
        <f t="shared" si="23"/>
        <v/>
      </c>
      <c r="R198" s="193" t="str">
        <f t="shared" si="23"/>
        <v/>
      </c>
      <c r="S198" s="306" t="str">
        <f>IFERROR(INDEX('G-1 All Habitats'!$B$3:$B$134,MATCH(R198,'G-1 All Habitats'!$A$3:$A$134,0)),"")</f>
        <v/>
      </c>
      <c r="T198" s="362" t="str">
        <f t="shared" si="24"/>
        <v/>
      </c>
      <c r="U198" s="363" t="str">
        <f t="shared" si="25"/>
        <v/>
      </c>
      <c r="V198" s="398" t="str">
        <f t="shared" si="21"/>
        <v/>
      </c>
      <c r="W198" s="382" t="str">
        <f>IF(S198="","",VLOOKUP(S198,'G-1 All Habitats'!$B$2:$M$134,10,FALSE))</f>
        <v/>
      </c>
      <c r="X198" s="382" t="str">
        <f>IFERROR(VLOOKUP(W198,'G-1 All Habitats'!$V$3:$W$7,2,FALSE),"")</f>
        <v/>
      </c>
      <c r="Y198" s="61"/>
      <c r="Z198" s="386" t="str">
        <f>IFERROR(INDEX('G-8 Condition Look up'!$A$3:$H$135,MATCH(S198,'G-8 Condition Look up'!$A$3:$A$135,0),MATCH(Y198,'G-8 Condition Look up'!$A$3:$H$3,0)),"")</f>
        <v/>
      </c>
      <c r="AA198" s="54"/>
      <c r="AB198" s="382" t="str">
        <f>IF(AA198="","",IF(VLOOKUP(AA198,'G-3 Multipliers'!$L$3:$N$6,2,FALSE)=0,"Spatial Data Missing ⚠",VLOOKUP(AA198,'G-3 Multipliers'!$L$3:$N$6,2,FALSE)))</f>
        <v/>
      </c>
      <c r="AC198" s="386" t="str">
        <f>IF(AA198="","",IF(VLOOKUP(AA198,'G-3 Multipliers'!$L$3:$N$6,3,FALSE)=0,"Spatial Data Missing ⚠",VLOOKUP(AA198,'G-3 Multipliers'!$L$3:$N$6,3,FALSE)))</f>
        <v/>
      </c>
      <c r="AD198" s="400" t="str">
        <f t="shared" si="22"/>
        <v/>
      </c>
      <c r="AE198" s="63"/>
      <c r="AF198" s="63"/>
      <c r="AG198" s="370" t="str">
        <f t="shared" si="26"/>
        <v/>
      </c>
      <c r="AH198" s="383" t="str">
        <f t="shared" si="27"/>
        <v/>
      </c>
      <c r="AI198" s="384" t="str">
        <f>IF(AH198="Check Data","Check Data",IFERROR(VLOOKUP(AH198,'G-4 Temporal multipliers'!$A$4:$C$36,3,FALSE),""))</f>
        <v/>
      </c>
      <c r="AJ198" s="362" t="str">
        <f>IF(S198="","",VLOOKUP(S198,'G-3 Multipliers'!$A$2:$E$134,4,FALSE))</f>
        <v/>
      </c>
      <c r="AK198" s="370" t="str">
        <f t="shared" si="28"/>
        <v/>
      </c>
      <c r="AL198" s="370" t="str">
        <f t="shared" si="29"/>
        <v/>
      </c>
      <c r="AM198" s="401" t="str">
        <f>IFERROR(IF(F198="","",IF(AH198="Check Data ⚠","Check Data ⚠",VLOOKUP(AL198, 'G-3 Multipliers'!$P$2:$Q$6,2,FALSE))),"")</f>
        <v/>
      </c>
      <c r="AN198" s="376" t="str">
        <f t="shared" si="30"/>
        <v/>
      </c>
      <c r="AO198" s="194"/>
      <c r="AP198" s="195"/>
      <c r="AQ198" s="120"/>
    </row>
    <row r="199" spans="1:43">
      <c r="A199" s="35" t="str">
        <f>IF(E199="","",IF(ISNA(VLOOKUP($E199,'A-1 On-Site Habitat Baseline'!$D$1:$O$258,2,FALSE)),"",(VLOOKUP($E199,'A-1 On-Site Habitat Baseline'!$D$1:$O$258,2,FALSE))))</f>
        <v/>
      </c>
      <c r="B199" s="35" t="str">
        <f>IF(E199="","",IF(ISNA(VLOOKUP($E199,'A-1 On-Site Habitat Baseline'!$D$1:$O$258,3,FALSE)),"",(VLOOKUP($E199,'A-1 On-Site Habitat Baseline'!$D$1:$O$258,3,FALSE))))</f>
        <v/>
      </c>
      <c r="C199" s="35" t="str">
        <f>IFERROR(INDEX('G-8 Condition Look up'!$I$4:$I$135,MATCH(S199,'G-8 Condition Look up'!$A$4:$A$135,0)),"")</f>
        <v/>
      </c>
      <c r="E199" s="392" t="str">
        <f>'A-1 On-Site Habitat Baseline'!AL198</f>
        <v/>
      </c>
      <c r="F199" s="382" t="str">
        <f>IF(E199="","",IF(ISNA(VLOOKUP($E199,'A-1 On-Site Habitat Baseline'!$D$1:$O$258,4,FALSE)),"",(VLOOKUP($E199,'A-1 On-Site Habitat Baseline'!$D$1:$O$258,4,FALSE))))</f>
        <v/>
      </c>
      <c r="G199" s="382" t="str">
        <f>IF(E199="","",IF(ISNA(VLOOKUP($E199,'A-1 On-Site Habitat Baseline'!$D$1:$O$258,5,FALSE)),"",(VLOOKUP($E199,'A-1 On-Site Habitat Baseline'!$D$1:$O$258,5,FALSE))))</f>
        <v/>
      </c>
      <c r="H199" s="382" t="str">
        <f>IF(E199="","",IF(ISNA(VLOOKUP($E199,'A-1 On-Site Habitat Baseline'!$D$1:$O$258,6,FALSE)),"",(VLOOKUP($E199,'A-1 On-Site Habitat Baseline'!$D$1:$O$258,6,FALSE))))</f>
        <v/>
      </c>
      <c r="I199" s="382" t="str">
        <f>IF(E199="","",IF(ISNA(VLOOKUP($E199,'A-1 On-Site Habitat Baseline'!$D$1:$O$258,7,FALSE)),"",(VLOOKUP($E199,'A-1 On-Site Habitat Baseline'!$D$1:$O$258,7,FALSE))))</f>
        <v/>
      </c>
      <c r="J199" s="382" t="str">
        <f>IF(E199="","",IF(ISNA(VLOOKUP($E199,'A-1 On-Site Habitat Baseline'!$D$1:$O$258,8,FALSE)),"",(VLOOKUP($E199,'A-1 On-Site Habitat Baseline'!$D$1:$O$258,8,FALSE))))</f>
        <v/>
      </c>
      <c r="K199" s="382" t="str">
        <f>IF(E199="","",IF(ISNA(VLOOKUP($E199,'A-1 On-Site Habitat Baseline'!$D$1:$O$258,9,FALSE)),"",(VLOOKUP($E199,'A-1 On-Site Habitat Baseline'!$D$1:$O$258,9,FALSE))))</f>
        <v/>
      </c>
      <c r="L199" s="382" t="str">
        <f>IF(E199="","",IF(ISNA(VLOOKUP($E199,'A-1 On-Site Habitat Baseline'!$D$1:$O$258,11,FALSE)),"",(VLOOKUP($E199,'A-1 On-Site Habitat Baseline'!$D$1:$O$258,11,FALSE))))</f>
        <v/>
      </c>
      <c r="M199" s="382" t="str">
        <f>IF(E199="","",IF(ISNA(VLOOKUP($E199,'A-1 On-Site Habitat Baseline'!$D$1:$O$258,12,FALSE)),"",(VLOOKUP($E199,'A-1 On-Site Habitat Baseline'!$D$1:$O$258,12,FALSE))))</f>
        <v/>
      </c>
      <c r="N199" s="393" t="str">
        <f>IF(E199="","",IF(ISNA(VLOOKUP($E199,'A-1 On-Site Habitat Baseline'!$D$1:$X$258,14,FALSE)),"",(VLOOKUP($E199,'A-1 On-Site Habitat Baseline'!$D$1:$X$258,14,FALSE))))</f>
        <v/>
      </c>
      <c r="O199" s="386" t="str">
        <f>IF(E199="","",IF(ISNA(VLOOKUP($E199,'A-1 On-Site Habitat Baseline'!$D$1:$X$258,16,FALSE)),"",(VLOOKUP($E199,'A-1 On-Site Habitat Baseline'!$D$1:$X$258,13,FALSE))))</f>
        <v/>
      </c>
      <c r="P199" s="192" t="str">
        <f>IFERROR(INDEX('G-1 All Habitats'!$AG$3:$AG$17,MATCH(Q199,'G-1 All Habitats'!$AF$3:$AF$17,0)),"")</f>
        <v/>
      </c>
      <c r="Q199" s="193" t="str">
        <f t="shared" si="23"/>
        <v/>
      </c>
      <c r="R199" s="193" t="str">
        <f t="shared" si="23"/>
        <v/>
      </c>
      <c r="S199" s="306" t="str">
        <f>IFERROR(INDEX('G-1 All Habitats'!$B$3:$B$134,MATCH(R199,'G-1 All Habitats'!$A$3:$A$134,0)),"")</f>
        <v/>
      </c>
      <c r="T199" s="362" t="str">
        <f t="shared" si="24"/>
        <v/>
      </c>
      <c r="U199" s="363" t="str">
        <f t="shared" si="25"/>
        <v/>
      </c>
      <c r="V199" s="398" t="str">
        <f t="shared" si="21"/>
        <v/>
      </c>
      <c r="W199" s="382" t="str">
        <f>IF(S199="","",VLOOKUP(S199,'G-1 All Habitats'!$B$2:$M$134,10,FALSE))</f>
        <v/>
      </c>
      <c r="X199" s="382" t="str">
        <f>IFERROR(VLOOKUP(W199,'G-1 All Habitats'!$V$3:$W$7,2,FALSE),"")</f>
        <v/>
      </c>
      <c r="Y199" s="61"/>
      <c r="Z199" s="386" t="str">
        <f>IFERROR(INDEX('G-8 Condition Look up'!$A$3:$H$135,MATCH(S199,'G-8 Condition Look up'!$A$3:$A$135,0),MATCH(Y199,'G-8 Condition Look up'!$A$3:$H$3,0)),"")</f>
        <v/>
      </c>
      <c r="AA199" s="54"/>
      <c r="AB199" s="382" t="str">
        <f>IF(AA199="","",IF(VLOOKUP(AA199,'G-3 Multipliers'!$L$3:$N$6,2,FALSE)=0,"Spatial Data Missing ⚠",VLOOKUP(AA199,'G-3 Multipliers'!$L$3:$N$6,2,FALSE)))</f>
        <v/>
      </c>
      <c r="AC199" s="386" t="str">
        <f>IF(AA199="","",IF(VLOOKUP(AA199,'G-3 Multipliers'!$L$3:$N$6,3,FALSE)=0,"Spatial Data Missing ⚠",VLOOKUP(AA199,'G-3 Multipliers'!$L$3:$N$6,3,FALSE)))</f>
        <v/>
      </c>
      <c r="AD199" s="400" t="str">
        <f t="shared" si="22"/>
        <v/>
      </c>
      <c r="AE199" s="63"/>
      <c r="AF199" s="63"/>
      <c r="AG199" s="370" t="str">
        <f t="shared" si="26"/>
        <v/>
      </c>
      <c r="AH199" s="383" t="str">
        <f t="shared" si="27"/>
        <v/>
      </c>
      <c r="AI199" s="384" t="str">
        <f>IF(AH199="Check Data","Check Data",IFERROR(VLOOKUP(AH199,'G-4 Temporal multipliers'!$A$4:$C$36,3,FALSE),""))</f>
        <v/>
      </c>
      <c r="AJ199" s="362" t="str">
        <f>IF(S199="","",VLOOKUP(S199,'G-3 Multipliers'!$A$2:$E$134,4,FALSE))</f>
        <v/>
      </c>
      <c r="AK199" s="370" t="str">
        <f t="shared" si="28"/>
        <v/>
      </c>
      <c r="AL199" s="370" t="str">
        <f t="shared" si="29"/>
        <v/>
      </c>
      <c r="AM199" s="401" t="str">
        <f>IFERROR(IF(F199="","",IF(AH199="Check Data ⚠","Check Data ⚠",VLOOKUP(AL199, 'G-3 Multipliers'!$P$2:$Q$6,2,FALSE))),"")</f>
        <v/>
      </c>
      <c r="AN199" s="376" t="str">
        <f t="shared" si="30"/>
        <v/>
      </c>
      <c r="AO199" s="194"/>
      <c r="AP199" s="195"/>
      <c r="AQ199" s="120"/>
    </row>
    <row r="200" spans="1:43">
      <c r="A200" s="35" t="str">
        <f>IF(E200="","",IF(ISNA(VLOOKUP($E200,'A-1 On-Site Habitat Baseline'!$D$1:$O$258,2,FALSE)),"",(VLOOKUP($E200,'A-1 On-Site Habitat Baseline'!$D$1:$O$258,2,FALSE))))</f>
        <v/>
      </c>
      <c r="B200" s="35" t="str">
        <f>IF(E200="","",IF(ISNA(VLOOKUP($E200,'A-1 On-Site Habitat Baseline'!$D$1:$O$258,3,FALSE)),"",(VLOOKUP($E200,'A-1 On-Site Habitat Baseline'!$D$1:$O$258,3,FALSE))))</f>
        <v/>
      </c>
      <c r="C200" s="35" t="str">
        <f>IFERROR(INDEX('G-8 Condition Look up'!$I$4:$I$135,MATCH(S200,'G-8 Condition Look up'!$A$4:$A$135,0)),"")</f>
        <v/>
      </c>
      <c r="E200" s="392" t="str">
        <f>'A-1 On-Site Habitat Baseline'!AL199</f>
        <v/>
      </c>
      <c r="F200" s="382" t="str">
        <f>IF(E200="","",IF(ISNA(VLOOKUP($E200,'A-1 On-Site Habitat Baseline'!$D$1:$O$258,4,FALSE)),"",(VLOOKUP($E200,'A-1 On-Site Habitat Baseline'!$D$1:$O$258,4,FALSE))))</f>
        <v/>
      </c>
      <c r="G200" s="382" t="str">
        <f>IF(E200="","",IF(ISNA(VLOOKUP($E200,'A-1 On-Site Habitat Baseline'!$D$1:$O$258,5,FALSE)),"",(VLOOKUP($E200,'A-1 On-Site Habitat Baseline'!$D$1:$O$258,5,FALSE))))</f>
        <v/>
      </c>
      <c r="H200" s="382" t="str">
        <f>IF(E200="","",IF(ISNA(VLOOKUP($E200,'A-1 On-Site Habitat Baseline'!$D$1:$O$258,6,FALSE)),"",(VLOOKUP($E200,'A-1 On-Site Habitat Baseline'!$D$1:$O$258,6,FALSE))))</f>
        <v/>
      </c>
      <c r="I200" s="382" t="str">
        <f>IF(E200="","",IF(ISNA(VLOOKUP($E200,'A-1 On-Site Habitat Baseline'!$D$1:$O$258,7,FALSE)),"",(VLOOKUP($E200,'A-1 On-Site Habitat Baseline'!$D$1:$O$258,7,FALSE))))</f>
        <v/>
      </c>
      <c r="J200" s="382" t="str">
        <f>IF(E200="","",IF(ISNA(VLOOKUP($E200,'A-1 On-Site Habitat Baseline'!$D$1:$O$258,8,FALSE)),"",(VLOOKUP($E200,'A-1 On-Site Habitat Baseline'!$D$1:$O$258,8,FALSE))))</f>
        <v/>
      </c>
      <c r="K200" s="382" t="str">
        <f>IF(E200="","",IF(ISNA(VLOOKUP($E200,'A-1 On-Site Habitat Baseline'!$D$1:$O$258,9,FALSE)),"",(VLOOKUP($E200,'A-1 On-Site Habitat Baseline'!$D$1:$O$258,9,FALSE))))</f>
        <v/>
      </c>
      <c r="L200" s="382" t="str">
        <f>IF(E200="","",IF(ISNA(VLOOKUP($E200,'A-1 On-Site Habitat Baseline'!$D$1:$O$258,11,FALSE)),"",(VLOOKUP($E200,'A-1 On-Site Habitat Baseline'!$D$1:$O$258,11,FALSE))))</f>
        <v/>
      </c>
      <c r="M200" s="382" t="str">
        <f>IF(E200="","",IF(ISNA(VLOOKUP($E200,'A-1 On-Site Habitat Baseline'!$D$1:$O$258,12,FALSE)),"",(VLOOKUP($E200,'A-1 On-Site Habitat Baseline'!$D$1:$O$258,12,FALSE))))</f>
        <v/>
      </c>
      <c r="N200" s="393" t="str">
        <f>IF(E200="","",IF(ISNA(VLOOKUP($E200,'A-1 On-Site Habitat Baseline'!$D$1:$X$258,14,FALSE)),"",(VLOOKUP($E200,'A-1 On-Site Habitat Baseline'!$D$1:$X$258,14,FALSE))))</f>
        <v/>
      </c>
      <c r="O200" s="386" t="str">
        <f>IF(E200="","",IF(ISNA(VLOOKUP($E200,'A-1 On-Site Habitat Baseline'!$D$1:$X$258,16,FALSE)),"",(VLOOKUP($E200,'A-1 On-Site Habitat Baseline'!$D$1:$X$258,13,FALSE))))</f>
        <v/>
      </c>
      <c r="P200" s="192" t="str">
        <f>IFERROR(INDEX('G-1 All Habitats'!$AG$3:$AG$17,MATCH(Q200,'G-1 All Habitats'!$AF$3:$AF$17,0)),"")</f>
        <v/>
      </c>
      <c r="Q200" s="193" t="str">
        <f t="shared" si="23"/>
        <v/>
      </c>
      <c r="R200" s="193" t="str">
        <f t="shared" si="23"/>
        <v/>
      </c>
      <c r="S200" s="306" t="str">
        <f>IFERROR(INDEX('G-1 All Habitats'!$B$3:$B$134,MATCH(R200,'G-1 All Habitats'!$A$3:$A$134,0)),"")</f>
        <v/>
      </c>
      <c r="T200" s="362" t="str">
        <f t="shared" si="24"/>
        <v/>
      </c>
      <c r="U200" s="363" t="str">
        <f t="shared" si="25"/>
        <v/>
      </c>
      <c r="V200" s="398" t="str">
        <f t="shared" si="21"/>
        <v/>
      </c>
      <c r="W200" s="382" t="str">
        <f>IF(S200="","",VLOOKUP(S200,'G-1 All Habitats'!$B$2:$M$134,10,FALSE))</f>
        <v/>
      </c>
      <c r="X200" s="382" t="str">
        <f>IFERROR(VLOOKUP(W200,'G-1 All Habitats'!$V$3:$W$7,2,FALSE),"")</f>
        <v/>
      </c>
      <c r="Y200" s="61"/>
      <c r="Z200" s="386" t="str">
        <f>IFERROR(INDEX('G-8 Condition Look up'!$A$3:$H$135,MATCH(S200,'G-8 Condition Look up'!$A$3:$A$135,0),MATCH(Y200,'G-8 Condition Look up'!$A$3:$H$3,0)),"")</f>
        <v/>
      </c>
      <c r="AA200" s="54"/>
      <c r="AB200" s="382" t="str">
        <f>IF(AA200="","",IF(VLOOKUP(AA200,'G-3 Multipliers'!$L$3:$N$6,2,FALSE)=0,"Spatial Data Missing ⚠",VLOOKUP(AA200,'G-3 Multipliers'!$L$3:$N$6,2,FALSE)))</f>
        <v/>
      </c>
      <c r="AC200" s="386" t="str">
        <f>IF(AA200="","",IF(VLOOKUP(AA200,'G-3 Multipliers'!$L$3:$N$6,3,FALSE)=0,"Spatial Data Missing ⚠",VLOOKUP(AA200,'G-3 Multipliers'!$L$3:$N$6,3,FALSE)))</f>
        <v/>
      </c>
      <c r="AD200" s="400" t="str">
        <f t="shared" si="22"/>
        <v/>
      </c>
      <c r="AE200" s="63"/>
      <c r="AF200" s="63"/>
      <c r="AG200" s="370" t="str">
        <f t="shared" si="26"/>
        <v/>
      </c>
      <c r="AH200" s="383" t="str">
        <f t="shared" si="27"/>
        <v/>
      </c>
      <c r="AI200" s="384" t="str">
        <f>IF(AH200="Check Data","Check Data",IFERROR(VLOOKUP(AH200,'G-4 Temporal multipliers'!$A$4:$C$36,3,FALSE),""))</f>
        <v/>
      </c>
      <c r="AJ200" s="362" t="str">
        <f>IF(S200="","",VLOOKUP(S200,'G-3 Multipliers'!$A$2:$E$134,4,FALSE))</f>
        <v/>
      </c>
      <c r="AK200" s="370" t="str">
        <f t="shared" si="28"/>
        <v/>
      </c>
      <c r="AL200" s="370" t="str">
        <f t="shared" si="29"/>
        <v/>
      </c>
      <c r="AM200" s="401" t="str">
        <f>IFERROR(IF(F200="","",IF(AH200="Check Data ⚠","Check Data ⚠",VLOOKUP(AL200, 'G-3 Multipliers'!$P$2:$Q$6,2,FALSE))),"")</f>
        <v/>
      </c>
      <c r="AN200" s="376" t="str">
        <f t="shared" si="30"/>
        <v/>
      </c>
      <c r="AO200" s="194"/>
      <c r="AP200" s="195"/>
      <c r="AQ200" s="120"/>
    </row>
    <row r="201" spans="1:43">
      <c r="A201" s="35" t="str">
        <f>IF(E201="","",IF(ISNA(VLOOKUP($E201,'A-1 On-Site Habitat Baseline'!$D$1:$O$258,2,FALSE)),"",(VLOOKUP($E201,'A-1 On-Site Habitat Baseline'!$D$1:$O$258,2,FALSE))))</f>
        <v/>
      </c>
      <c r="B201" s="35" t="str">
        <f>IF(E201="","",IF(ISNA(VLOOKUP($E201,'A-1 On-Site Habitat Baseline'!$D$1:$O$258,3,FALSE)),"",(VLOOKUP($E201,'A-1 On-Site Habitat Baseline'!$D$1:$O$258,3,FALSE))))</f>
        <v/>
      </c>
      <c r="C201" s="35" t="str">
        <f>IFERROR(INDEX('G-8 Condition Look up'!$I$4:$I$135,MATCH(S201,'G-8 Condition Look up'!$A$4:$A$135,0)),"")</f>
        <v/>
      </c>
      <c r="E201" s="392" t="str">
        <f>'A-1 On-Site Habitat Baseline'!AL200</f>
        <v/>
      </c>
      <c r="F201" s="382" t="str">
        <f>IF(E201="","",IF(ISNA(VLOOKUP($E201,'A-1 On-Site Habitat Baseline'!$D$1:$O$258,4,FALSE)),"",(VLOOKUP($E201,'A-1 On-Site Habitat Baseline'!$D$1:$O$258,4,FALSE))))</f>
        <v/>
      </c>
      <c r="G201" s="382" t="str">
        <f>IF(E201="","",IF(ISNA(VLOOKUP($E201,'A-1 On-Site Habitat Baseline'!$D$1:$O$258,5,FALSE)),"",(VLOOKUP($E201,'A-1 On-Site Habitat Baseline'!$D$1:$O$258,5,FALSE))))</f>
        <v/>
      </c>
      <c r="H201" s="382" t="str">
        <f>IF(E201="","",IF(ISNA(VLOOKUP($E201,'A-1 On-Site Habitat Baseline'!$D$1:$O$258,6,FALSE)),"",(VLOOKUP($E201,'A-1 On-Site Habitat Baseline'!$D$1:$O$258,6,FALSE))))</f>
        <v/>
      </c>
      <c r="I201" s="382" t="str">
        <f>IF(E201="","",IF(ISNA(VLOOKUP($E201,'A-1 On-Site Habitat Baseline'!$D$1:$O$258,7,FALSE)),"",(VLOOKUP($E201,'A-1 On-Site Habitat Baseline'!$D$1:$O$258,7,FALSE))))</f>
        <v/>
      </c>
      <c r="J201" s="382" t="str">
        <f>IF(E201="","",IF(ISNA(VLOOKUP($E201,'A-1 On-Site Habitat Baseline'!$D$1:$O$258,8,FALSE)),"",(VLOOKUP($E201,'A-1 On-Site Habitat Baseline'!$D$1:$O$258,8,FALSE))))</f>
        <v/>
      </c>
      <c r="K201" s="382" t="str">
        <f>IF(E201="","",IF(ISNA(VLOOKUP($E201,'A-1 On-Site Habitat Baseline'!$D$1:$O$258,9,FALSE)),"",(VLOOKUP($E201,'A-1 On-Site Habitat Baseline'!$D$1:$O$258,9,FALSE))))</f>
        <v/>
      </c>
      <c r="L201" s="382" t="str">
        <f>IF(E201="","",IF(ISNA(VLOOKUP($E201,'A-1 On-Site Habitat Baseline'!$D$1:$O$258,11,FALSE)),"",(VLOOKUP($E201,'A-1 On-Site Habitat Baseline'!$D$1:$O$258,11,FALSE))))</f>
        <v/>
      </c>
      <c r="M201" s="382" t="str">
        <f>IF(E201="","",IF(ISNA(VLOOKUP($E201,'A-1 On-Site Habitat Baseline'!$D$1:$O$258,12,FALSE)),"",(VLOOKUP($E201,'A-1 On-Site Habitat Baseline'!$D$1:$O$258,12,FALSE))))</f>
        <v/>
      </c>
      <c r="N201" s="393" t="str">
        <f>IF(E201="","",IF(ISNA(VLOOKUP($E201,'A-1 On-Site Habitat Baseline'!$D$1:$X$258,14,FALSE)),"",(VLOOKUP($E201,'A-1 On-Site Habitat Baseline'!$D$1:$X$258,14,FALSE))))</f>
        <v/>
      </c>
      <c r="O201" s="386" t="str">
        <f>IF(E201="","",IF(ISNA(VLOOKUP($E201,'A-1 On-Site Habitat Baseline'!$D$1:$X$258,16,FALSE)),"",(VLOOKUP($E201,'A-1 On-Site Habitat Baseline'!$D$1:$X$258,13,FALSE))))</f>
        <v/>
      </c>
      <c r="P201" s="192" t="str">
        <f>IFERROR(INDEX('G-1 All Habitats'!$AG$3:$AG$17,MATCH(Q201,'G-1 All Habitats'!$AF$3:$AF$17,0)),"")</f>
        <v/>
      </c>
      <c r="Q201" s="193" t="str">
        <f t="shared" si="23"/>
        <v/>
      </c>
      <c r="R201" s="193" t="str">
        <f t="shared" si="23"/>
        <v/>
      </c>
      <c r="S201" s="306" t="str">
        <f>IFERROR(INDEX('G-1 All Habitats'!$B$3:$B$134,MATCH(R201,'G-1 All Habitats'!$A$3:$A$134,0)),"")</f>
        <v/>
      </c>
      <c r="T201" s="362" t="str">
        <f t="shared" si="24"/>
        <v/>
      </c>
      <c r="U201" s="363" t="str">
        <f t="shared" si="25"/>
        <v/>
      </c>
      <c r="V201" s="398" t="str">
        <f t="shared" si="21"/>
        <v/>
      </c>
      <c r="W201" s="382" t="str">
        <f>IF(S201="","",VLOOKUP(S201,'G-1 All Habitats'!$B$2:$M$134,10,FALSE))</f>
        <v/>
      </c>
      <c r="X201" s="382" t="str">
        <f>IFERROR(VLOOKUP(W201,'G-1 All Habitats'!$V$3:$W$7,2,FALSE),"")</f>
        <v/>
      </c>
      <c r="Y201" s="61"/>
      <c r="Z201" s="386" t="str">
        <f>IFERROR(INDEX('G-8 Condition Look up'!$A$3:$H$135,MATCH(S201,'G-8 Condition Look up'!$A$3:$A$135,0),MATCH(Y201,'G-8 Condition Look up'!$A$3:$H$3,0)),"")</f>
        <v/>
      </c>
      <c r="AA201" s="54"/>
      <c r="AB201" s="382" t="str">
        <f>IF(AA201="","",IF(VLOOKUP(AA201,'G-3 Multipliers'!$L$3:$N$6,2,FALSE)=0,"Spatial Data Missing ⚠",VLOOKUP(AA201,'G-3 Multipliers'!$L$3:$N$6,2,FALSE)))</f>
        <v/>
      </c>
      <c r="AC201" s="386" t="str">
        <f>IF(AA201="","",IF(VLOOKUP(AA201,'G-3 Multipliers'!$L$3:$N$6,3,FALSE)=0,"Spatial Data Missing ⚠",VLOOKUP(AA201,'G-3 Multipliers'!$L$3:$N$6,3,FALSE)))</f>
        <v/>
      </c>
      <c r="AD201" s="400" t="str">
        <f t="shared" si="22"/>
        <v/>
      </c>
      <c r="AE201" s="63"/>
      <c r="AF201" s="63"/>
      <c r="AG201" s="370" t="str">
        <f t="shared" si="26"/>
        <v/>
      </c>
      <c r="AH201" s="383" t="str">
        <f t="shared" si="27"/>
        <v/>
      </c>
      <c r="AI201" s="384" t="str">
        <f>IF(AH201="Check Data","Check Data",IFERROR(VLOOKUP(AH201,'G-4 Temporal multipliers'!$A$4:$C$36,3,FALSE),""))</f>
        <v/>
      </c>
      <c r="AJ201" s="362" t="str">
        <f>IF(S201="","",VLOOKUP(S201,'G-3 Multipliers'!$A$2:$E$134,4,FALSE))</f>
        <v/>
      </c>
      <c r="AK201" s="370" t="str">
        <f t="shared" si="28"/>
        <v/>
      </c>
      <c r="AL201" s="370" t="str">
        <f t="shared" si="29"/>
        <v/>
      </c>
      <c r="AM201" s="401" t="str">
        <f>IFERROR(IF(F201="","",IF(AH201="Check Data ⚠","Check Data ⚠",VLOOKUP(AL201, 'G-3 Multipliers'!$P$2:$Q$6,2,FALSE))),"")</f>
        <v/>
      </c>
      <c r="AN201" s="376" t="str">
        <f t="shared" si="30"/>
        <v/>
      </c>
      <c r="AO201" s="194"/>
      <c r="AP201" s="195"/>
      <c r="AQ201" s="120"/>
    </row>
    <row r="202" spans="1:43">
      <c r="A202" s="35" t="str">
        <f>IF(E202="","",IF(ISNA(VLOOKUP($E202,'A-1 On-Site Habitat Baseline'!$D$1:$O$258,2,FALSE)),"",(VLOOKUP($E202,'A-1 On-Site Habitat Baseline'!$D$1:$O$258,2,FALSE))))</f>
        <v/>
      </c>
      <c r="B202" s="35" t="str">
        <f>IF(E202="","",IF(ISNA(VLOOKUP($E202,'A-1 On-Site Habitat Baseline'!$D$1:$O$258,3,FALSE)),"",(VLOOKUP($E202,'A-1 On-Site Habitat Baseline'!$D$1:$O$258,3,FALSE))))</f>
        <v/>
      </c>
      <c r="C202" s="35" t="str">
        <f>IFERROR(INDEX('G-8 Condition Look up'!$I$4:$I$135,MATCH(S202,'G-8 Condition Look up'!$A$4:$A$135,0)),"")</f>
        <v/>
      </c>
      <c r="E202" s="392" t="str">
        <f>'A-1 On-Site Habitat Baseline'!AL201</f>
        <v/>
      </c>
      <c r="F202" s="382" t="str">
        <f>IF(E202="","",IF(ISNA(VLOOKUP($E202,'A-1 On-Site Habitat Baseline'!$D$1:$O$258,4,FALSE)),"",(VLOOKUP($E202,'A-1 On-Site Habitat Baseline'!$D$1:$O$258,4,FALSE))))</f>
        <v/>
      </c>
      <c r="G202" s="382" t="str">
        <f>IF(E202="","",IF(ISNA(VLOOKUP($E202,'A-1 On-Site Habitat Baseline'!$D$1:$O$258,5,FALSE)),"",(VLOOKUP($E202,'A-1 On-Site Habitat Baseline'!$D$1:$O$258,5,FALSE))))</f>
        <v/>
      </c>
      <c r="H202" s="382" t="str">
        <f>IF(E202="","",IF(ISNA(VLOOKUP($E202,'A-1 On-Site Habitat Baseline'!$D$1:$O$258,6,FALSE)),"",(VLOOKUP($E202,'A-1 On-Site Habitat Baseline'!$D$1:$O$258,6,FALSE))))</f>
        <v/>
      </c>
      <c r="I202" s="382" t="str">
        <f>IF(E202="","",IF(ISNA(VLOOKUP($E202,'A-1 On-Site Habitat Baseline'!$D$1:$O$258,7,FALSE)),"",(VLOOKUP($E202,'A-1 On-Site Habitat Baseline'!$D$1:$O$258,7,FALSE))))</f>
        <v/>
      </c>
      <c r="J202" s="382" t="str">
        <f>IF(E202="","",IF(ISNA(VLOOKUP($E202,'A-1 On-Site Habitat Baseline'!$D$1:$O$258,8,FALSE)),"",(VLOOKUP($E202,'A-1 On-Site Habitat Baseline'!$D$1:$O$258,8,FALSE))))</f>
        <v/>
      </c>
      <c r="K202" s="382" t="str">
        <f>IF(E202="","",IF(ISNA(VLOOKUP($E202,'A-1 On-Site Habitat Baseline'!$D$1:$O$258,9,FALSE)),"",(VLOOKUP($E202,'A-1 On-Site Habitat Baseline'!$D$1:$O$258,9,FALSE))))</f>
        <v/>
      </c>
      <c r="L202" s="382" t="str">
        <f>IF(E202="","",IF(ISNA(VLOOKUP($E202,'A-1 On-Site Habitat Baseline'!$D$1:$O$258,11,FALSE)),"",(VLOOKUP($E202,'A-1 On-Site Habitat Baseline'!$D$1:$O$258,11,FALSE))))</f>
        <v/>
      </c>
      <c r="M202" s="382" t="str">
        <f>IF(E202="","",IF(ISNA(VLOOKUP($E202,'A-1 On-Site Habitat Baseline'!$D$1:$O$258,12,FALSE)),"",(VLOOKUP($E202,'A-1 On-Site Habitat Baseline'!$D$1:$O$258,12,FALSE))))</f>
        <v/>
      </c>
      <c r="N202" s="393" t="str">
        <f>IF(E202="","",IF(ISNA(VLOOKUP($E202,'A-1 On-Site Habitat Baseline'!$D$1:$X$258,14,FALSE)),"",(VLOOKUP($E202,'A-1 On-Site Habitat Baseline'!$D$1:$X$258,14,FALSE))))</f>
        <v/>
      </c>
      <c r="O202" s="386" t="str">
        <f>IF(E202="","",IF(ISNA(VLOOKUP($E202,'A-1 On-Site Habitat Baseline'!$D$1:$X$258,16,FALSE)),"",(VLOOKUP($E202,'A-1 On-Site Habitat Baseline'!$D$1:$X$258,13,FALSE))))</f>
        <v/>
      </c>
      <c r="P202" s="192" t="str">
        <f>IFERROR(INDEX('G-1 All Habitats'!$AG$3:$AG$17,MATCH(Q202,'G-1 All Habitats'!$AF$3:$AF$17,0)),"")</f>
        <v/>
      </c>
      <c r="Q202" s="193" t="str">
        <f t="shared" si="23"/>
        <v/>
      </c>
      <c r="R202" s="193" t="str">
        <f t="shared" si="23"/>
        <v/>
      </c>
      <c r="S202" s="306" t="str">
        <f>IFERROR(INDEX('G-1 All Habitats'!$B$3:$B$134,MATCH(R202,'G-1 All Habitats'!$A$3:$A$134,0)),"")</f>
        <v/>
      </c>
      <c r="T202" s="362" t="str">
        <f t="shared" si="24"/>
        <v/>
      </c>
      <c r="U202" s="363" t="str">
        <f t="shared" si="25"/>
        <v/>
      </c>
      <c r="V202" s="398" t="str">
        <f t="shared" si="21"/>
        <v/>
      </c>
      <c r="W202" s="382" t="str">
        <f>IF(S202="","",VLOOKUP(S202,'G-1 All Habitats'!$B$2:$M$134,10,FALSE))</f>
        <v/>
      </c>
      <c r="X202" s="382" t="str">
        <f>IFERROR(VLOOKUP(W202,'G-1 All Habitats'!$V$3:$W$7,2,FALSE),"")</f>
        <v/>
      </c>
      <c r="Y202" s="61"/>
      <c r="Z202" s="386" t="str">
        <f>IFERROR(INDEX('G-8 Condition Look up'!$A$3:$H$135,MATCH(S202,'G-8 Condition Look up'!$A$3:$A$135,0),MATCH(Y202,'G-8 Condition Look up'!$A$3:$H$3,0)),"")</f>
        <v/>
      </c>
      <c r="AA202" s="54"/>
      <c r="AB202" s="382" t="str">
        <f>IF(AA202="","",IF(VLOOKUP(AA202,'G-3 Multipliers'!$L$3:$N$6,2,FALSE)=0,"Spatial Data Missing ⚠",VLOOKUP(AA202,'G-3 Multipliers'!$L$3:$N$6,2,FALSE)))</f>
        <v/>
      </c>
      <c r="AC202" s="386" t="str">
        <f>IF(AA202="","",IF(VLOOKUP(AA202,'G-3 Multipliers'!$L$3:$N$6,3,FALSE)=0,"Spatial Data Missing ⚠",VLOOKUP(AA202,'G-3 Multipliers'!$L$3:$N$6,3,FALSE)))</f>
        <v/>
      </c>
      <c r="AD202" s="400" t="str">
        <f t="shared" si="22"/>
        <v/>
      </c>
      <c r="AE202" s="63"/>
      <c r="AF202" s="63"/>
      <c r="AG202" s="370" t="str">
        <f t="shared" si="26"/>
        <v/>
      </c>
      <c r="AH202" s="383" t="str">
        <f t="shared" si="27"/>
        <v/>
      </c>
      <c r="AI202" s="384" t="str">
        <f>IF(AH202="Check Data","Check Data",IFERROR(VLOOKUP(AH202,'G-4 Temporal multipliers'!$A$4:$C$36,3,FALSE),""))</f>
        <v/>
      </c>
      <c r="AJ202" s="362" t="str">
        <f>IF(S202="","",VLOOKUP(S202,'G-3 Multipliers'!$A$2:$E$134,4,FALSE))</f>
        <v/>
      </c>
      <c r="AK202" s="370" t="str">
        <f t="shared" si="28"/>
        <v/>
      </c>
      <c r="AL202" s="370" t="str">
        <f t="shared" si="29"/>
        <v/>
      </c>
      <c r="AM202" s="401" t="str">
        <f>IFERROR(IF(F202="","",IF(AH202="Check Data ⚠","Check Data ⚠",VLOOKUP(AL202, 'G-3 Multipliers'!$P$2:$Q$6,2,FALSE))),"")</f>
        <v/>
      </c>
      <c r="AN202" s="376" t="str">
        <f t="shared" si="30"/>
        <v/>
      </c>
      <c r="AO202" s="194"/>
      <c r="AP202" s="195"/>
      <c r="AQ202" s="120"/>
    </row>
    <row r="203" spans="1:43">
      <c r="A203" s="35" t="str">
        <f>IF(E203="","",IF(ISNA(VLOOKUP($E203,'A-1 On-Site Habitat Baseline'!$D$1:$O$258,2,FALSE)),"",(VLOOKUP($E203,'A-1 On-Site Habitat Baseline'!$D$1:$O$258,2,FALSE))))</f>
        <v/>
      </c>
      <c r="B203" s="35" t="str">
        <f>IF(E203="","",IF(ISNA(VLOOKUP($E203,'A-1 On-Site Habitat Baseline'!$D$1:$O$258,3,FALSE)),"",(VLOOKUP($E203,'A-1 On-Site Habitat Baseline'!$D$1:$O$258,3,FALSE))))</f>
        <v/>
      </c>
      <c r="C203" s="35" t="str">
        <f>IFERROR(INDEX('G-8 Condition Look up'!$I$4:$I$135,MATCH(S203,'G-8 Condition Look up'!$A$4:$A$135,0)),"")</f>
        <v/>
      </c>
      <c r="E203" s="392" t="str">
        <f>'A-1 On-Site Habitat Baseline'!AL202</f>
        <v/>
      </c>
      <c r="F203" s="382" t="str">
        <f>IF(E203="","",IF(ISNA(VLOOKUP($E203,'A-1 On-Site Habitat Baseline'!$D$1:$O$258,4,FALSE)),"",(VLOOKUP($E203,'A-1 On-Site Habitat Baseline'!$D$1:$O$258,4,FALSE))))</f>
        <v/>
      </c>
      <c r="G203" s="382" t="str">
        <f>IF(E203="","",IF(ISNA(VLOOKUP($E203,'A-1 On-Site Habitat Baseline'!$D$1:$O$258,5,FALSE)),"",(VLOOKUP($E203,'A-1 On-Site Habitat Baseline'!$D$1:$O$258,5,FALSE))))</f>
        <v/>
      </c>
      <c r="H203" s="382" t="str">
        <f>IF(E203="","",IF(ISNA(VLOOKUP($E203,'A-1 On-Site Habitat Baseline'!$D$1:$O$258,6,FALSE)),"",(VLOOKUP($E203,'A-1 On-Site Habitat Baseline'!$D$1:$O$258,6,FALSE))))</f>
        <v/>
      </c>
      <c r="I203" s="382" t="str">
        <f>IF(E203="","",IF(ISNA(VLOOKUP($E203,'A-1 On-Site Habitat Baseline'!$D$1:$O$258,7,FALSE)),"",(VLOOKUP($E203,'A-1 On-Site Habitat Baseline'!$D$1:$O$258,7,FALSE))))</f>
        <v/>
      </c>
      <c r="J203" s="382" t="str">
        <f>IF(E203="","",IF(ISNA(VLOOKUP($E203,'A-1 On-Site Habitat Baseline'!$D$1:$O$258,8,FALSE)),"",(VLOOKUP($E203,'A-1 On-Site Habitat Baseline'!$D$1:$O$258,8,FALSE))))</f>
        <v/>
      </c>
      <c r="K203" s="382" t="str">
        <f>IF(E203="","",IF(ISNA(VLOOKUP($E203,'A-1 On-Site Habitat Baseline'!$D$1:$O$258,9,FALSE)),"",(VLOOKUP($E203,'A-1 On-Site Habitat Baseline'!$D$1:$O$258,9,FALSE))))</f>
        <v/>
      </c>
      <c r="L203" s="382" t="str">
        <f>IF(E203="","",IF(ISNA(VLOOKUP($E203,'A-1 On-Site Habitat Baseline'!$D$1:$O$258,11,FALSE)),"",(VLOOKUP($E203,'A-1 On-Site Habitat Baseline'!$D$1:$O$258,11,FALSE))))</f>
        <v/>
      </c>
      <c r="M203" s="382" t="str">
        <f>IF(E203="","",IF(ISNA(VLOOKUP($E203,'A-1 On-Site Habitat Baseline'!$D$1:$O$258,12,FALSE)),"",(VLOOKUP($E203,'A-1 On-Site Habitat Baseline'!$D$1:$O$258,12,FALSE))))</f>
        <v/>
      </c>
      <c r="N203" s="393" t="str">
        <f>IF(E203="","",IF(ISNA(VLOOKUP($E203,'A-1 On-Site Habitat Baseline'!$D$1:$X$258,14,FALSE)),"",(VLOOKUP($E203,'A-1 On-Site Habitat Baseline'!$D$1:$X$258,14,FALSE))))</f>
        <v/>
      </c>
      <c r="O203" s="386" t="str">
        <f>IF(E203="","",IF(ISNA(VLOOKUP($E203,'A-1 On-Site Habitat Baseline'!$D$1:$X$258,16,FALSE)),"",(VLOOKUP($E203,'A-1 On-Site Habitat Baseline'!$D$1:$X$258,13,FALSE))))</f>
        <v/>
      </c>
      <c r="P203" s="192" t="str">
        <f>IFERROR(INDEX('G-1 All Habitats'!$AG$3:$AG$17,MATCH(Q203,'G-1 All Habitats'!$AF$3:$AF$17,0)),"")</f>
        <v/>
      </c>
      <c r="Q203" s="193" t="str">
        <f t="shared" si="23"/>
        <v/>
      </c>
      <c r="R203" s="193" t="str">
        <f t="shared" si="23"/>
        <v/>
      </c>
      <c r="S203" s="306" t="str">
        <f>IFERROR(INDEX('G-1 All Habitats'!$B$3:$B$134,MATCH(R203,'G-1 All Habitats'!$A$3:$A$134,0)),"")</f>
        <v/>
      </c>
      <c r="T203" s="362" t="str">
        <f t="shared" si="24"/>
        <v/>
      </c>
      <c r="U203" s="363" t="str">
        <f t="shared" si="25"/>
        <v/>
      </c>
      <c r="V203" s="398" t="str">
        <f t="shared" si="21"/>
        <v/>
      </c>
      <c r="W203" s="382" t="str">
        <f>IF(S203="","",VLOOKUP(S203,'G-1 All Habitats'!$B$2:$M$134,10,FALSE))</f>
        <v/>
      </c>
      <c r="X203" s="382" t="str">
        <f>IFERROR(VLOOKUP(W203,'G-1 All Habitats'!$V$3:$W$7,2,FALSE),"")</f>
        <v/>
      </c>
      <c r="Y203" s="61"/>
      <c r="Z203" s="386" t="str">
        <f>IFERROR(INDEX('G-8 Condition Look up'!$A$3:$H$135,MATCH(S203,'G-8 Condition Look up'!$A$3:$A$135,0),MATCH(Y203,'G-8 Condition Look up'!$A$3:$H$3,0)),"")</f>
        <v/>
      </c>
      <c r="AA203" s="54"/>
      <c r="AB203" s="382" t="str">
        <f>IF(AA203="","",IF(VLOOKUP(AA203,'G-3 Multipliers'!$L$3:$N$6,2,FALSE)=0,"Spatial Data Missing ⚠",VLOOKUP(AA203,'G-3 Multipliers'!$L$3:$N$6,2,FALSE)))</f>
        <v/>
      </c>
      <c r="AC203" s="386" t="str">
        <f>IF(AA203="","",IF(VLOOKUP(AA203,'G-3 Multipliers'!$L$3:$N$6,3,FALSE)=0,"Spatial Data Missing ⚠",VLOOKUP(AA203,'G-3 Multipliers'!$L$3:$N$6,3,FALSE)))</f>
        <v/>
      </c>
      <c r="AD203" s="400" t="str">
        <f t="shared" si="22"/>
        <v/>
      </c>
      <c r="AE203" s="63"/>
      <c r="AF203" s="63"/>
      <c r="AG203" s="370" t="str">
        <f t="shared" si="26"/>
        <v/>
      </c>
      <c r="AH203" s="383" t="str">
        <f t="shared" si="27"/>
        <v/>
      </c>
      <c r="AI203" s="384" t="str">
        <f>IF(AH203="Check Data","Check Data",IFERROR(VLOOKUP(AH203,'G-4 Temporal multipliers'!$A$4:$C$36,3,FALSE),""))</f>
        <v/>
      </c>
      <c r="AJ203" s="362" t="str">
        <f>IF(S203="","",VLOOKUP(S203,'G-3 Multipliers'!$A$2:$E$134,4,FALSE))</f>
        <v/>
      </c>
      <c r="AK203" s="370" t="str">
        <f t="shared" si="28"/>
        <v/>
      </c>
      <c r="AL203" s="370" t="str">
        <f t="shared" si="29"/>
        <v/>
      </c>
      <c r="AM203" s="401" t="str">
        <f>IFERROR(IF(F203="","",IF(AH203="Check Data ⚠","Check Data ⚠",VLOOKUP(AL203, 'G-3 Multipliers'!$P$2:$Q$6,2,FALSE))),"")</f>
        <v/>
      </c>
      <c r="AN203" s="376" t="str">
        <f t="shared" si="30"/>
        <v/>
      </c>
      <c r="AO203" s="194"/>
      <c r="AP203" s="195"/>
      <c r="AQ203" s="120"/>
    </row>
    <row r="204" spans="1:43">
      <c r="A204" s="35" t="str">
        <f>IF(E204="","",IF(ISNA(VLOOKUP($E204,'A-1 On-Site Habitat Baseline'!$D$1:$O$258,2,FALSE)),"",(VLOOKUP($E204,'A-1 On-Site Habitat Baseline'!$D$1:$O$258,2,FALSE))))</f>
        <v/>
      </c>
      <c r="B204" s="35" t="str">
        <f>IF(E204="","",IF(ISNA(VLOOKUP($E204,'A-1 On-Site Habitat Baseline'!$D$1:$O$258,3,FALSE)),"",(VLOOKUP($E204,'A-1 On-Site Habitat Baseline'!$D$1:$O$258,3,FALSE))))</f>
        <v/>
      </c>
      <c r="C204" s="35" t="str">
        <f>IFERROR(INDEX('G-8 Condition Look up'!$I$4:$I$135,MATCH(S204,'G-8 Condition Look up'!$A$4:$A$135,0)),"")</f>
        <v/>
      </c>
      <c r="E204" s="392" t="str">
        <f>'A-1 On-Site Habitat Baseline'!AL203</f>
        <v/>
      </c>
      <c r="F204" s="382" t="str">
        <f>IF(E204="","",IF(ISNA(VLOOKUP($E204,'A-1 On-Site Habitat Baseline'!$D$1:$O$258,4,FALSE)),"",(VLOOKUP($E204,'A-1 On-Site Habitat Baseline'!$D$1:$O$258,4,FALSE))))</f>
        <v/>
      </c>
      <c r="G204" s="382" t="str">
        <f>IF(E204="","",IF(ISNA(VLOOKUP($E204,'A-1 On-Site Habitat Baseline'!$D$1:$O$258,5,FALSE)),"",(VLOOKUP($E204,'A-1 On-Site Habitat Baseline'!$D$1:$O$258,5,FALSE))))</f>
        <v/>
      </c>
      <c r="H204" s="382" t="str">
        <f>IF(E204="","",IF(ISNA(VLOOKUP($E204,'A-1 On-Site Habitat Baseline'!$D$1:$O$258,6,FALSE)),"",(VLOOKUP($E204,'A-1 On-Site Habitat Baseline'!$D$1:$O$258,6,FALSE))))</f>
        <v/>
      </c>
      <c r="I204" s="382" t="str">
        <f>IF(E204="","",IF(ISNA(VLOOKUP($E204,'A-1 On-Site Habitat Baseline'!$D$1:$O$258,7,FALSE)),"",(VLOOKUP($E204,'A-1 On-Site Habitat Baseline'!$D$1:$O$258,7,FALSE))))</f>
        <v/>
      </c>
      <c r="J204" s="382" t="str">
        <f>IF(E204="","",IF(ISNA(VLOOKUP($E204,'A-1 On-Site Habitat Baseline'!$D$1:$O$258,8,FALSE)),"",(VLOOKUP($E204,'A-1 On-Site Habitat Baseline'!$D$1:$O$258,8,FALSE))))</f>
        <v/>
      </c>
      <c r="K204" s="382" t="str">
        <f>IF(E204="","",IF(ISNA(VLOOKUP($E204,'A-1 On-Site Habitat Baseline'!$D$1:$O$258,9,FALSE)),"",(VLOOKUP($E204,'A-1 On-Site Habitat Baseline'!$D$1:$O$258,9,FALSE))))</f>
        <v/>
      </c>
      <c r="L204" s="382" t="str">
        <f>IF(E204="","",IF(ISNA(VLOOKUP($E204,'A-1 On-Site Habitat Baseline'!$D$1:$O$258,11,FALSE)),"",(VLOOKUP($E204,'A-1 On-Site Habitat Baseline'!$D$1:$O$258,11,FALSE))))</f>
        <v/>
      </c>
      <c r="M204" s="382" t="str">
        <f>IF(E204="","",IF(ISNA(VLOOKUP($E204,'A-1 On-Site Habitat Baseline'!$D$1:$O$258,12,FALSE)),"",(VLOOKUP($E204,'A-1 On-Site Habitat Baseline'!$D$1:$O$258,12,FALSE))))</f>
        <v/>
      </c>
      <c r="N204" s="393" t="str">
        <f>IF(E204="","",IF(ISNA(VLOOKUP($E204,'A-1 On-Site Habitat Baseline'!$D$1:$X$258,14,FALSE)),"",(VLOOKUP($E204,'A-1 On-Site Habitat Baseline'!$D$1:$X$258,14,FALSE))))</f>
        <v/>
      </c>
      <c r="O204" s="386" t="str">
        <f>IF(E204="","",IF(ISNA(VLOOKUP($E204,'A-1 On-Site Habitat Baseline'!$D$1:$X$258,16,FALSE)),"",(VLOOKUP($E204,'A-1 On-Site Habitat Baseline'!$D$1:$X$258,13,FALSE))))</f>
        <v/>
      </c>
      <c r="P204" s="192" t="str">
        <f>IFERROR(INDEX('G-1 All Habitats'!$AG$3:$AG$17,MATCH(Q204,'G-1 All Habitats'!$AF$3:$AF$17,0)),"")</f>
        <v/>
      </c>
      <c r="Q204" s="193" t="str">
        <f t="shared" si="23"/>
        <v/>
      </c>
      <c r="R204" s="193" t="str">
        <f t="shared" si="23"/>
        <v/>
      </c>
      <c r="S204" s="306" t="str">
        <f>IFERROR(INDEX('G-1 All Habitats'!$B$3:$B$134,MATCH(R204,'G-1 All Habitats'!$A$3:$A$134,0)),"")</f>
        <v/>
      </c>
      <c r="T204" s="362" t="str">
        <f t="shared" si="24"/>
        <v/>
      </c>
      <c r="U204" s="363" t="str">
        <f t="shared" si="25"/>
        <v/>
      </c>
      <c r="V204" s="398" t="str">
        <f t="shared" ref="V204:V257" si="31">IF(S204="","",VLOOKUP(E204,BaselineHabSite,17,FALSE))</f>
        <v/>
      </c>
      <c r="W204" s="382" t="str">
        <f>IF(S204="","",VLOOKUP(S204,'G-1 All Habitats'!$B$2:$M$134,10,FALSE))</f>
        <v/>
      </c>
      <c r="X204" s="382" t="str">
        <f>IFERROR(VLOOKUP(W204,'G-1 All Habitats'!$V$3:$W$7,2,FALSE),"")</f>
        <v/>
      </c>
      <c r="Y204" s="61"/>
      <c r="Z204" s="386" t="str">
        <f>IFERROR(INDEX('G-8 Condition Look up'!$A$3:$H$135,MATCH(S204,'G-8 Condition Look up'!$A$3:$A$135,0),MATCH(Y204,'G-8 Condition Look up'!$A$3:$H$3,0)),"")</f>
        <v/>
      </c>
      <c r="AA204" s="54"/>
      <c r="AB204" s="382" t="str">
        <f>IF(AA204="","",IF(VLOOKUP(AA204,'G-3 Multipliers'!$L$3:$N$6,2,FALSE)=0,"Spatial Data Missing ⚠",VLOOKUP(AA204,'G-3 Multipliers'!$L$3:$N$6,2,FALSE)))</f>
        <v/>
      </c>
      <c r="AC204" s="386" t="str">
        <f>IF(AA204="","",IF(VLOOKUP(AA204,'G-3 Multipliers'!$L$3:$N$6,3,FALSE)=0,"Spatial Data Missing ⚠",VLOOKUP(AA204,'G-3 Multipliers'!$L$3:$N$6,3,FALSE)))</f>
        <v/>
      </c>
      <c r="AD204" s="400" t="str">
        <f t="shared" ref="AD204:AD257" si="32">IFERROR(IF(OR(LEFT(U204,5)="Error",LEFT(T204,5)="Error"),"Check Data ⚠",INDEX(EnhanceTemporal,MATCH(S204,EnhanceHabitat,0),MATCH(U204,EnhanceCondition,0))),"")</f>
        <v/>
      </c>
      <c r="AE204" s="63"/>
      <c r="AF204" s="63"/>
      <c r="AG204" s="370" t="str">
        <f t="shared" si="26"/>
        <v/>
      </c>
      <c r="AH204" s="383" t="str">
        <f t="shared" si="27"/>
        <v/>
      </c>
      <c r="AI204" s="384" t="str">
        <f>IF(AH204="Check Data","Check Data",IFERROR(VLOOKUP(AH204,'G-4 Temporal multipliers'!$A$4:$C$36,3,FALSE),""))</f>
        <v/>
      </c>
      <c r="AJ204" s="362" t="str">
        <f>IF(S204="","",VLOOKUP(S204,'G-3 Multipliers'!$A$2:$E$134,4,FALSE))</f>
        <v/>
      </c>
      <c r="AK204" s="370" t="str">
        <f t="shared" si="28"/>
        <v/>
      </c>
      <c r="AL204" s="370" t="str">
        <f t="shared" si="29"/>
        <v/>
      </c>
      <c r="AM204" s="401" t="str">
        <f>IFERROR(IF(F204="","",IF(AH204="Check Data ⚠","Check Data ⚠",VLOOKUP(AL204, 'G-3 Multipliers'!$P$2:$Q$6,2,FALSE))),"")</f>
        <v/>
      </c>
      <c r="AN204" s="376" t="str">
        <f t="shared" si="30"/>
        <v/>
      </c>
      <c r="AO204" s="194"/>
      <c r="AP204" s="195"/>
      <c r="AQ204" s="120"/>
    </row>
    <row r="205" spans="1:43">
      <c r="A205" s="35" t="str">
        <f>IF(E205="","",IF(ISNA(VLOOKUP($E205,'A-1 On-Site Habitat Baseline'!$D$1:$O$258,2,FALSE)),"",(VLOOKUP($E205,'A-1 On-Site Habitat Baseline'!$D$1:$O$258,2,FALSE))))</f>
        <v/>
      </c>
      <c r="B205" s="35" t="str">
        <f>IF(E205="","",IF(ISNA(VLOOKUP($E205,'A-1 On-Site Habitat Baseline'!$D$1:$O$258,3,FALSE)),"",(VLOOKUP($E205,'A-1 On-Site Habitat Baseline'!$D$1:$O$258,3,FALSE))))</f>
        <v/>
      </c>
      <c r="C205" s="35" t="str">
        <f>IFERROR(INDEX('G-8 Condition Look up'!$I$4:$I$135,MATCH(S205,'G-8 Condition Look up'!$A$4:$A$135,0)),"")</f>
        <v/>
      </c>
      <c r="E205" s="392" t="str">
        <f>'A-1 On-Site Habitat Baseline'!AL204</f>
        <v/>
      </c>
      <c r="F205" s="382" t="str">
        <f>IF(E205="","",IF(ISNA(VLOOKUP($E205,'A-1 On-Site Habitat Baseline'!$D$1:$O$258,4,FALSE)),"",(VLOOKUP($E205,'A-1 On-Site Habitat Baseline'!$D$1:$O$258,4,FALSE))))</f>
        <v/>
      </c>
      <c r="G205" s="382" t="str">
        <f>IF(E205="","",IF(ISNA(VLOOKUP($E205,'A-1 On-Site Habitat Baseline'!$D$1:$O$258,5,FALSE)),"",(VLOOKUP($E205,'A-1 On-Site Habitat Baseline'!$D$1:$O$258,5,FALSE))))</f>
        <v/>
      </c>
      <c r="H205" s="382" t="str">
        <f>IF(E205="","",IF(ISNA(VLOOKUP($E205,'A-1 On-Site Habitat Baseline'!$D$1:$O$258,6,FALSE)),"",(VLOOKUP($E205,'A-1 On-Site Habitat Baseline'!$D$1:$O$258,6,FALSE))))</f>
        <v/>
      </c>
      <c r="I205" s="382" t="str">
        <f>IF(E205="","",IF(ISNA(VLOOKUP($E205,'A-1 On-Site Habitat Baseline'!$D$1:$O$258,7,FALSE)),"",(VLOOKUP($E205,'A-1 On-Site Habitat Baseline'!$D$1:$O$258,7,FALSE))))</f>
        <v/>
      </c>
      <c r="J205" s="382" t="str">
        <f>IF(E205="","",IF(ISNA(VLOOKUP($E205,'A-1 On-Site Habitat Baseline'!$D$1:$O$258,8,FALSE)),"",(VLOOKUP($E205,'A-1 On-Site Habitat Baseline'!$D$1:$O$258,8,FALSE))))</f>
        <v/>
      </c>
      <c r="K205" s="382" t="str">
        <f>IF(E205="","",IF(ISNA(VLOOKUP($E205,'A-1 On-Site Habitat Baseline'!$D$1:$O$258,9,FALSE)),"",(VLOOKUP($E205,'A-1 On-Site Habitat Baseline'!$D$1:$O$258,9,FALSE))))</f>
        <v/>
      </c>
      <c r="L205" s="382" t="str">
        <f>IF(E205="","",IF(ISNA(VLOOKUP($E205,'A-1 On-Site Habitat Baseline'!$D$1:$O$258,11,FALSE)),"",(VLOOKUP($E205,'A-1 On-Site Habitat Baseline'!$D$1:$O$258,11,FALSE))))</f>
        <v/>
      </c>
      <c r="M205" s="382" t="str">
        <f>IF(E205="","",IF(ISNA(VLOOKUP($E205,'A-1 On-Site Habitat Baseline'!$D$1:$O$258,12,FALSE)),"",(VLOOKUP($E205,'A-1 On-Site Habitat Baseline'!$D$1:$O$258,12,FALSE))))</f>
        <v/>
      </c>
      <c r="N205" s="393" t="str">
        <f>IF(E205="","",IF(ISNA(VLOOKUP($E205,'A-1 On-Site Habitat Baseline'!$D$1:$X$258,14,FALSE)),"",(VLOOKUP($E205,'A-1 On-Site Habitat Baseline'!$D$1:$X$258,14,FALSE))))</f>
        <v/>
      </c>
      <c r="O205" s="386" t="str">
        <f>IF(E205="","",IF(ISNA(VLOOKUP($E205,'A-1 On-Site Habitat Baseline'!$D$1:$X$258,16,FALSE)),"",(VLOOKUP($E205,'A-1 On-Site Habitat Baseline'!$D$1:$X$258,13,FALSE))))</f>
        <v/>
      </c>
      <c r="P205" s="192" t="str">
        <f>IFERROR(INDEX('G-1 All Habitats'!$AG$3:$AG$17,MATCH(Q205,'G-1 All Habitats'!$AF$3:$AF$17,0)),"")</f>
        <v/>
      </c>
      <c r="Q205" s="193" t="str">
        <f t="shared" ref="Q205:R257" si="33">A205</f>
        <v/>
      </c>
      <c r="R205" s="193" t="str">
        <f t="shared" si="33"/>
        <v/>
      </c>
      <c r="S205" s="306" t="str">
        <f>IFERROR(INDEX('G-1 All Habitats'!$B$3:$B$134,MATCH(R205,'G-1 All Habitats'!$A$3:$A$134,0)),"")</f>
        <v/>
      </c>
      <c r="T205" s="362" t="str">
        <f t="shared" ref="T205:T257" si="34">IF(E205="","",IF(AND(LEFT(O205,6)="Same d",I205&gt;X205),"Error - Trading rules not satisfied ▲",IF(AND(LEFT(O205,6)="Same b",AND(LEFT(F205,5)&lt;&gt;LEFT(S205,5),I205&gt;X205)),"Error - Trading rules not satisfied ▲",IF(AND(LEFT(O205,6)="Same h",F205&lt;&gt;S205),"Error - Trading rules not satisfied ▲",IF(AND(LEFT(O205,6)="Bespok",F205&lt;&gt;S205),"Error - Trading rules not satisfied ▲",IF(X205&lt;I205,"Error Trading Down ▲",H205&amp;" - "&amp;W205))))))</f>
        <v/>
      </c>
      <c r="U205" s="363" t="str">
        <f t="shared" ref="U205:U257" si="35">IF(F205="","",IF(AND(LEFT(F205,55)&lt;&gt;LEFT(S205,55),T205= "High - High"),"Error - Not like for like ▲",IF(AND(I205=X205,K205&gt;Z205),"Error - Can not reduce condition ▲",IF(AND(I205=X205,K205=Z205),"Error - No enhancement ▲", IF(K205&gt;Z205, "Error - condition cannot be reduced ▲", IF(X205&lt;I205,"Error Trading Down ▲",IF(AND(F205&lt;&gt;S205,I205&lt;X205),"Lower Distinctiveness Habitat"&amp;" - "&amp;Y205,J205&amp;" - "&amp;Y205)))))))</f>
        <v/>
      </c>
      <c r="V205" s="398" t="str">
        <f t="shared" si="31"/>
        <v/>
      </c>
      <c r="W205" s="382" t="str">
        <f>IF(S205="","",VLOOKUP(S205,'G-1 All Habitats'!$B$2:$M$134,10,FALSE))</f>
        <v/>
      </c>
      <c r="X205" s="382" t="str">
        <f>IFERROR(VLOOKUP(W205,'G-1 All Habitats'!$V$3:$W$7,2,FALSE),"")</f>
        <v/>
      </c>
      <c r="Y205" s="61"/>
      <c r="Z205" s="386" t="str">
        <f>IFERROR(INDEX('G-8 Condition Look up'!$A$3:$H$135,MATCH(S205,'G-8 Condition Look up'!$A$3:$A$135,0),MATCH(Y205,'G-8 Condition Look up'!$A$3:$H$3,0)),"")</f>
        <v/>
      </c>
      <c r="AA205" s="54"/>
      <c r="AB205" s="382" t="str">
        <f>IF(AA205="","",IF(VLOOKUP(AA205,'G-3 Multipliers'!$L$3:$N$6,2,FALSE)=0,"Spatial Data Missing ⚠",VLOOKUP(AA205,'G-3 Multipliers'!$L$3:$N$6,2,FALSE)))</f>
        <v/>
      </c>
      <c r="AC205" s="386" t="str">
        <f>IF(AA205="","",IF(VLOOKUP(AA205,'G-3 Multipliers'!$L$3:$N$6,3,FALSE)=0,"Spatial Data Missing ⚠",VLOOKUP(AA205,'G-3 Multipliers'!$L$3:$N$6,3,FALSE)))</f>
        <v/>
      </c>
      <c r="AD205" s="400" t="str">
        <f t="shared" si="32"/>
        <v/>
      </c>
      <c r="AE205" s="63"/>
      <c r="AF205" s="63"/>
      <c r="AG205" s="370" t="str">
        <f t="shared" ref="AG205:AG257" si="36">IF(AD205="","",IF(AD205="Check Data ⚠","Check Data ⚠",IF(R205="","",IF(AND(AE205&gt;0,AF205&gt;0),"Error -both advance and delayed habitat creation ▲",IF(AND(OR(AE205="Habitat already in target condition",AD205&lt;=AE205),AF205=0),"Check details - Is there evidence that habitat has reached target condition? ⚠",IF(O204="","",IF(AE205&gt;0,"Check details - Is there evidence habitat creation started/in place? ⚠",IF(AF205&gt;0,"Check details- Delay in starting habitat in required condition? ⚠","Standard time to target condition applied"))))))))</f>
        <v/>
      </c>
      <c r="AH205" s="383" t="str">
        <f t="shared" ref="AH205:AH257" si="37">IF(AG205="Error -both advance and delayed habitat creation ▲","Check Data ⚠",IF(AG205="Check Data ⚠","Check Data ⚠",IF(AD205="","",IF(AD205="Not Possible","Check Data ⚠",IF(AND(AD205="30+",AE205=0),"30+",IF(AND(AD205="30+",AE205="30+"),0,IF(AND(AD205="30+",AE205&lt;30),30-AE205,IF(AD205="30+",30-AE205,IF(AE205&gt;AD205,0,IF(AF205="30+","30+",IF(AD205+AF205&gt;30,"30+",IF(AD205+AF205&gt;30,"30+",IF(AD205-AE205&gt;30,"30+",IF(AD205+AF205-AE205&gt;0,AD205+AF205-AE205,IF(AD205-AE205&gt;0,AD205-AE205,AD205+AF205-AE205)))))))))))))))</f>
        <v/>
      </c>
      <c r="AI205" s="384" t="str">
        <f>IF(AH205="Check Data","Check Data",IFERROR(VLOOKUP(AH205,'G-4 Temporal multipliers'!$A$4:$C$36,3,FALSE),""))</f>
        <v/>
      </c>
      <c r="AJ205" s="362" t="str">
        <f>IF(S205="","",VLOOKUP(S205,'G-3 Multipliers'!$A$2:$E$134,4,FALSE))</f>
        <v/>
      </c>
      <c r="AK205" s="370" t="str">
        <f t="shared" ref="AK205:AK257" si="38">IF(E205="","",IF(AG205="Check details - Is there evidence that habitat has reached target condition? ⚠","Low Difficulty - only applicable if all habitat created before losses ⚠","Standard difficulty applied"))</f>
        <v/>
      </c>
      <c r="AL205" s="370" t="str">
        <f t="shared" ref="AL205:AL257" si="39">(IF(AND(AK205="Standard difficulty applied",AD205&gt;AE205),AJ205,IF(AND(AK205="Low Difficulty - only applicable if all habitat created before losses ⚠",AE205&gt;=AD205),"Low", AJ205)))</f>
        <v/>
      </c>
      <c r="AM205" s="401" t="str">
        <f>IFERROR(IF(F205="","",IF(AH205="Check Data ⚠","Check Data ⚠",VLOOKUP(AL205, 'G-3 Multipliers'!$P$2:$Q$6,2,FALSE))),"")</f>
        <v/>
      </c>
      <c r="AN205" s="376" t="str">
        <f t="shared" ref="AN205:AN257" si="40">IFERROR(((((V205*X205*Z205)-(V205*I205*K205))*(AM205*AI205))+(V205*I205*K205))*(AC205),"")</f>
        <v/>
      </c>
      <c r="AO205" s="194"/>
      <c r="AP205" s="195"/>
      <c r="AQ205" s="120"/>
    </row>
    <row r="206" spans="1:43">
      <c r="A206" s="35" t="str">
        <f>IF(E206="","",IF(ISNA(VLOOKUP($E206,'A-1 On-Site Habitat Baseline'!$D$1:$O$258,2,FALSE)),"",(VLOOKUP($E206,'A-1 On-Site Habitat Baseline'!$D$1:$O$258,2,FALSE))))</f>
        <v/>
      </c>
      <c r="B206" s="35" t="str">
        <f>IF(E206="","",IF(ISNA(VLOOKUP($E206,'A-1 On-Site Habitat Baseline'!$D$1:$O$258,3,FALSE)),"",(VLOOKUP($E206,'A-1 On-Site Habitat Baseline'!$D$1:$O$258,3,FALSE))))</f>
        <v/>
      </c>
      <c r="C206" s="35" t="str">
        <f>IFERROR(INDEX('G-8 Condition Look up'!$I$4:$I$135,MATCH(S206,'G-8 Condition Look up'!$A$4:$A$135,0)),"")</f>
        <v/>
      </c>
      <c r="E206" s="392" t="str">
        <f>'A-1 On-Site Habitat Baseline'!AL205</f>
        <v/>
      </c>
      <c r="F206" s="382" t="str">
        <f>IF(E206="","",IF(ISNA(VLOOKUP($E206,'A-1 On-Site Habitat Baseline'!$D$1:$O$258,4,FALSE)),"",(VLOOKUP($E206,'A-1 On-Site Habitat Baseline'!$D$1:$O$258,4,FALSE))))</f>
        <v/>
      </c>
      <c r="G206" s="382" t="str">
        <f>IF(E206="","",IF(ISNA(VLOOKUP($E206,'A-1 On-Site Habitat Baseline'!$D$1:$O$258,5,FALSE)),"",(VLOOKUP($E206,'A-1 On-Site Habitat Baseline'!$D$1:$O$258,5,FALSE))))</f>
        <v/>
      </c>
      <c r="H206" s="382" t="str">
        <f>IF(E206="","",IF(ISNA(VLOOKUP($E206,'A-1 On-Site Habitat Baseline'!$D$1:$O$258,6,FALSE)),"",(VLOOKUP($E206,'A-1 On-Site Habitat Baseline'!$D$1:$O$258,6,FALSE))))</f>
        <v/>
      </c>
      <c r="I206" s="382" t="str">
        <f>IF(E206="","",IF(ISNA(VLOOKUP($E206,'A-1 On-Site Habitat Baseline'!$D$1:$O$258,7,FALSE)),"",(VLOOKUP($E206,'A-1 On-Site Habitat Baseline'!$D$1:$O$258,7,FALSE))))</f>
        <v/>
      </c>
      <c r="J206" s="382" t="str">
        <f>IF(E206="","",IF(ISNA(VLOOKUP($E206,'A-1 On-Site Habitat Baseline'!$D$1:$O$258,8,FALSE)),"",(VLOOKUP($E206,'A-1 On-Site Habitat Baseline'!$D$1:$O$258,8,FALSE))))</f>
        <v/>
      </c>
      <c r="K206" s="382" t="str">
        <f>IF(E206="","",IF(ISNA(VLOOKUP($E206,'A-1 On-Site Habitat Baseline'!$D$1:$O$258,9,FALSE)),"",(VLOOKUP($E206,'A-1 On-Site Habitat Baseline'!$D$1:$O$258,9,FALSE))))</f>
        <v/>
      </c>
      <c r="L206" s="382" t="str">
        <f>IF(E206="","",IF(ISNA(VLOOKUP($E206,'A-1 On-Site Habitat Baseline'!$D$1:$O$258,11,FALSE)),"",(VLOOKUP($E206,'A-1 On-Site Habitat Baseline'!$D$1:$O$258,11,FALSE))))</f>
        <v/>
      </c>
      <c r="M206" s="382" t="str">
        <f>IF(E206="","",IF(ISNA(VLOOKUP($E206,'A-1 On-Site Habitat Baseline'!$D$1:$O$258,12,FALSE)),"",(VLOOKUP($E206,'A-1 On-Site Habitat Baseline'!$D$1:$O$258,12,FALSE))))</f>
        <v/>
      </c>
      <c r="N206" s="393" t="str">
        <f>IF(E206="","",IF(ISNA(VLOOKUP($E206,'A-1 On-Site Habitat Baseline'!$D$1:$X$258,14,FALSE)),"",(VLOOKUP($E206,'A-1 On-Site Habitat Baseline'!$D$1:$X$258,14,FALSE))))</f>
        <v/>
      </c>
      <c r="O206" s="386" t="str">
        <f>IF(E206="","",IF(ISNA(VLOOKUP($E206,'A-1 On-Site Habitat Baseline'!$D$1:$X$258,16,FALSE)),"",(VLOOKUP($E206,'A-1 On-Site Habitat Baseline'!$D$1:$X$258,13,FALSE))))</f>
        <v/>
      </c>
      <c r="P206" s="192" t="str">
        <f>IFERROR(INDEX('G-1 All Habitats'!$AG$3:$AG$17,MATCH(Q206,'G-1 All Habitats'!$AF$3:$AF$17,0)),"")</f>
        <v/>
      </c>
      <c r="Q206" s="193" t="str">
        <f t="shared" si="33"/>
        <v/>
      </c>
      <c r="R206" s="193" t="str">
        <f t="shared" si="33"/>
        <v/>
      </c>
      <c r="S206" s="306" t="str">
        <f>IFERROR(INDEX('G-1 All Habitats'!$B$3:$B$134,MATCH(R206,'G-1 All Habitats'!$A$3:$A$134,0)),"")</f>
        <v/>
      </c>
      <c r="T206" s="362" t="str">
        <f t="shared" si="34"/>
        <v/>
      </c>
      <c r="U206" s="363" t="str">
        <f t="shared" si="35"/>
        <v/>
      </c>
      <c r="V206" s="398" t="str">
        <f t="shared" si="31"/>
        <v/>
      </c>
      <c r="W206" s="382" t="str">
        <f>IF(S206="","",VLOOKUP(S206,'G-1 All Habitats'!$B$2:$M$134,10,FALSE))</f>
        <v/>
      </c>
      <c r="X206" s="382" t="str">
        <f>IFERROR(VLOOKUP(W206,'G-1 All Habitats'!$V$3:$W$7,2,FALSE),"")</f>
        <v/>
      </c>
      <c r="Y206" s="61"/>
      <c r="Z206" s="386" t="str">
        <f>IFERROR(INDEX('G-8 Condition Look up'!$A$3:$H$135,MATCH(S206,'G-8 Condition Look up'!$A$3:$A$135,0),MATCH(Y206,'G-8 Condition Look up'!$A$3:$H$3,0)),"")</f>
        <v/>
      </c>
      <c r="AA206" s="54"/>
      <c r="AB206" s="382" t="str">
        <f>IF(AA206="","",IF(VLOOKUP(AA206,'G-3 Multipliers'!$L$3:$N$6,2,FALSE)=0,"Spatial Data Missing ⚠",VLOOKUP(AA206,'G-3 Multipliers'!$L$3:$N$6,2,FALSE)))</f>
        <v/>
      </c>
      <c r="AC206" s="386" t="str">
        <f>IF(AA206="","",IF(VLOOKUP(AA206,'G-3 Multipliers'!$L$3:$N$6,3,FALSE)=0,"Spatial Data Missing ⚠",VLOOKUP(AA206,'G-3 Multipliers'!$L$3:$N$6,3,FALSE)))</f>
        <v/>
      </c>
      <c r="AD206" s="400" t="str">
        <f t="shared" si="32"/>
        <v/>
      </c>
      <c r="AE206" s="63"/>
      <c r="AF206" s="63"/>
      <c r="AG206" s="370" t="str">
        <f t="shared" si="36"/>
        <v/>
      </c>
      <c r="AH206" s="383" t="str">
        <f t="shared" si="37"/>
        <v/>
      </c>
      <c r="AI206" s="384" t="str">
        <f>IF(AH206="Check Data","Check Data",IFERROR(VLOOKUP(AH206,'G-4 Temporal multipliers'!$A$4:$C$36,3,FALSE),""))</f>
        <v/>
      </c>
      <c r="AJ206" s="362" t="str">
        <f>IF(S206="","",VLOOKUP(S206,'G-3 Multipliers'!$A$2:$E$134,4,FALSE))</f>
        <v/>
      </c>
      <c r="AK206" s="370" t="str">
        <f t="shared" si="38"/>
        <v/>
      </c>
      <c r="AL206" s="370" t="str">
        <f t="shared" si="39"/>
        <v/>
      </c>
      <c r="AM206" s="401" t="str">
        <f>IFERROR(IF(F206="","",IF(AH206="Check Data ⚠","Check Data ⚠",VLOOKUP(AL206, 'G-3 Multipliers'!$P$2:$Q$6,2,FALSE))),"")</f>
        <v/>
      </c>
      <c r="AN206" s="376" t="str">
        <f t="shared" si="40"/>
        <v/>
      </c>
      <c r="AO206" s="194"/>
      <c r="AP206" s="195"/>
      <c r="AQ206" s="120"/>
    </row>
    <row r="207" spans="1:43">
      <c r="A207" s="35" t="str">
        <f>IF(E207="","",IF(ISNA(VLOOKUP($E207,'A-1 On-Site Habitat Baseline'!$D$1:$O$258,2,FALSE)),"",(VLOOKUP($E207,'A-1 On-Site Habitat Baseline'!$D$1:$O$258,2,FALSE))))</f>
        <v/>
      </c>
      <c r="B207" s="35" t="str">
        <f>IF(E207="","",IF(ISNA(VLOOKUP($E207,'A-1 On-Site Habitat Baseline'!$D$1:$O$258,3,FALSE)),"",(VLOOKUP($E207,'A-1 On-Site Habitat Baseline'!$D$1:$O$258,3,FALSE))))</f>
        <v/>
      </c>
      <c r="C207" s="35" t="str">
        <f>IFERROR(INDEX('G-8 Condition Look up'!$I$4:$I$135,MATCH(S207,'G-8 Condition Look up'!$A$4:$A$135,0)),"")</f>
        <v/>
      </c>
      <c r="E207" s="392" t="str">
        <f>'A-1 On-Site Habitat Baseline'!AL206</f>
        <v/>
      </c>
      <c r="F207" s="382" t="str">
        <f>IF(E207="","",IF(ISNA(VLOOKUP($E207,'A-1 On-Site Habitat Baseline'!$D$1:$O$258,4,FALSE)),"",(VLOOKUP($E207,'A-1 On-Site Habitat Baseline'!$D$1:$O$258,4,FALSE))))</f>
        <v/>
      </c>
      <c r="G207" s="382" t="str">
        <f>IF(E207="","",IF(ISNA(VLOOKUP($E207,'A-1 On-Site Habitat Baseline'!$D$1:$O$258,5,FALSE)),"",(VLOOKUP($E207,'A-1 On-Site Habitat Baseline'!$D$1:$O$258,5,FALSE))))</f>
        <v/>
      </c>
      <c r="H207" s="382" t="str">
        <f>IF(E207="","",IF(ISNA(VLOOKUP($E207,'A-1 On-Site Habitat Baseline'!$D$1:$O$258,6,FALSE)),"",(VLOOKUP($E207,'A-1 On-Site Habitat Baseline'!$D$1:$O$258,6,FALSE))))</f>
        <v/>
      </c>
      <c r="I207" s="382" t="str">
        <f>IF(E207="","",IF(ISNA(VLOOKUP($E207,'A-1 On-Site Habitat Baseline'!$D$1:$O$258,7,FALSE)),"",(VLOOKUP($E207,'A-1 On-Site Habitat Baseline'!$D$1:$O$258,7,FALSE))))</f>
        <v/>
      </c>
      <c r="J207" s="382" t="str">
        <f>IF(E207="","",IF(ISNA(VLOOKUP($E207,'A-1 On-Site Habitat Baseline'!$D$1:$O$258,8,FALSE)),"",(VLOOKUP($E207,'A-1 On-Site Habitat Baseline'!$D$1:$O$258,8,FALSE))))</f>
        <v/>
      </c>
      <c r="K207" s="382" t="str">
        <f>IF(E207="","",IF(ISNA(VLOOKUP($E207,'A-1 On-Site Habitat Baseline'!$D$1:$O$258,9,FALSE)),"",(VLOOKUP($E207,'A-1 On-Site Habitat Baseline'!$D$1:$O$258,9,FALSE))))</f>
        <v/>
      </c>
      <c r="L207" s="382" t="str">
        <f>IF(E207="","",IF(ISNA(VLOOKUP($E207,'A-1 On-Site Habitat Baseline'!$D$1:$O$258,11,FALSE)),"",(VLOOKUP($E207,'A-1 On-Site Habitat Baseline'!$D$1:$O$258,11,FALSE))))</f>
        <v/>
      </c>
      <c r="M207" s="382" t="str">
        <f>IF(E207="","",IF(ISNA(VLOOKUP($E207,'A-1 On-Site Habitat Baseline'!$D$1:$O$258,12,FALSE)),"",(VLOOKUP($E207,'A-1 On-Site Habitat Baseline'!$D$1:$O$258,12,FALSE))))</f>
        <v/>
      </c>
      <c r="N207" s="393" t="str">
        <f>IF(E207="","",IF(ISNA(VLOOKUP($E207,'A-1 On-Site Habitat Baseline'!$D$1:$X$258,14,FALSE)),"",(VLOOKUP($E207,'A-1 On-Site Habitat Baseline'!$D$1:$X$258,14,FALSE))))</f>
        <v/>
      </c>
      <c r="O207" s="386" t="str">
        <f>IF(E207="","",IF(ISNA(VLOOKUP($E207,'A-1 On-Site Habitat Baseline'!$D$1:$X$258,16,FALSE)),"",(VLOOKUP($E207,'A-1 On-Site Habitat Baseline'!$D$1:$X$258,13,FALSE))))</f>
        <v/>
      </c>
      <c r="P207" s="192" t="str">
        <f>IFERROR(INDEX('G-1 All Habitats'!$AG$3:$AG$17,MATCH(Q207,'G-1 All Habitats'!$AF$3:$AF$17,0)),"")</f>
        <v/>
      </c>
      <c r="Q207" s="193" t="str">
        <f t="shared" si="33"/>
        <v/>
      </c>
      <c r="R207" s="193" t="str">
        <f t="shared" si="33"/>
        <v/>
      </c>
      <c r="S207" s="306" t="str">
        <f>IFERROR(INDEX('G-1 All Habitats'!$B$3:$B$134,MATCH(R207,'G-1 All Habitats'!$A$3:$A$134,0)),"")</f>
        <v/>
      </c>
      <c r="T207" s="362" t="str">
        <f t="shared" si="34"/>
        <v/>
      </c>
      <c r="U207" s="363" t="str">
        <f t="shared" si="35"/>
        <v/>
      </c>
      <c r="V207" s="398" t="str">
        <f t="shared" si="31"/>
        <v/>
      </c>
      <c r="W207" s="382" t="str">
        <f>IF(S207="","",VLOOKUP(S207,'G-1 All Habitats'!$B$2:$M$134,10,FALSE))</f>
        <v/>
      </c>
      <c r="X207" s="382" t="str">
        <f>IFERROR(VLOOKUP(W207,'G-1 All Habitats'!$V$3:$W$7,2,FALSE),"")</f>
        <v/>
      </c>
      <c r="Y207" s="61"/>
      <c r="Z207" s="386" t="str">
        <f>IFERROR(INDEX('G-8 Condition Look up'!$A$3:$H$135,MATCH(S207,'G-8 Condition Look up'!$A$3:$A$135,0),MATCH(Y207,'G-8 Condition Look up'!$A$3:$H$3,0)),"")</f>
        <v/>
      </c>
      <c r="AA207" s="54"/>
      <c r="AB207" s="382" t="str">
        <f>IF(AA207="","",IF(VLOOKUP(AA207,'G-3 Multipliers'!$L$3:$N$6,2,FALSE)=0,"Spatial Data Missing ⚠",VLOOKUP(AA207,'G-3 Multipliers'!$L$3:$N$6,2,FALSE)))</f>
        <v/>
      </c>
      <c r="AC207" s="386" t="str">
        <f>IF(AA207="","",IF(VLOOKUP(AA207,'G-3 Multipliers'!$L$3:$N$6,3,FALSE)=0,"Spatial Data Missing ⚠",VLOOKUP(AA207,'G-3 Multipliers'!$L$3:$N$6,3,FALSE)))</f>
        <v/>
      </c>
      <c r="AD207" s="400" t="str">
        <f t="shared" si="32"/>
        <v/>
      </c>
      <c r="AE207" s="63"/>
      <c r="AF207" s="63"/>
      <c r="AG207" s="370" t="str">
        <f t="shared" si="36"/>
        <v/>
      </c>
      <c r="AH207" s="383" t="str">
        <f t="shared" si="37"/>
        <v/>
      </c>
      <c r="AI207" s="384" t="str">
        <f>IF(AH207="Check Data","Check Data",IFERROR(VLOOKUP(AH207,'G-4 Temporal multipliers'!$A$4:$C$36,3,FALSE),""))</f>
        <v/>
      </c>
      <c r="AJ207" s="362" t="str">
        <f>IF(S207="","",VLOOKUP(S207,'G-3 Multipliers'!$A$2:$E$134,4,FALSE))</f>
        <v/>
      </c>
      <c r="AK207" s="370" t="str">
        <f t="shared" si="38"/>
        <v/>
      </c>
      <c r="AL207" s="370" t="str">
        <f t="shared" si="39"/>
        <v/>
      </c>
      <c r="AM207" s="401" t="str">
        <f>IFERROR(IF(F207="","",IF(AH207="Check Data ⚠","Check Data ⚠",VLOOKUP(AL207, 'G-3 Multipliers'!$P$2:$Q$6,2,FALSE))),"")</f>
        <v/>
      </c>
      <c r="AN207" s="376" t="str">
        <f t="shared" si="40"/>
        <v/>
      </c>
      <c r="AO207" s="194"/>
      <c r="AP207" s="195"/>
      <c r="AQ207" s="120"/>
    </row>
    <row r="208" spans="1:43">
      <c r="A208" s="35" t="str">
        <f>IF(E208="","",IF(ISNA(VLOOKUP($E208,'A-1 On-Site Habitat Baseline'!$D$1:$O$258,2,FALSE)),"",(VLOOKUP($E208,'A-1 On-Site Habitat Baseline'!$D$1:$O$258,2,FALSE))))</f>
        <v/>
      </c>
      <c r="B208" s="35" t="str">
        <f>IF(E208="","",IF(ISNA(VLOOKUP($E208,'A-1 On-Site Habitat Baseline'!$D$1:$O$258,3,FALSE)),"",(VLOOKUP($E208,'A-1 On-Site Habitat Baseline'!$D$1:$O$258,3,FALSE))))</f>
        <v/>
      </c>
      <c r="C208" s="35" t="str">
        <f>IFERROR(INDEX('G-8 Condition Look up'!$I$4:$I$135,MATCH(S208,'G-8 Condition Look up'!$A$4:$A$135,0)),"")</f>
        <v/>
      </c>
      <c r="E208" s="392" t="str">
        <f>'A-1 On-Site Habitat Baseline'!AL207</f>
        <v/>
      </c>
      <c r="F208" s="382" t="str">
        <f>IF(E208="","",IF(ISNA(VLOOKUP($E208,'A-1 On-Site Habitat Baseline'!$D$1:$O$258,4,FALSE)),"",(VLOOKUP($E208,'A-1 On-Site Habitat Baseline'!$D$1:$O$258,4,FALSE))))</f>
        <v/>
      </c>
      <c r="G208" s="382" t="str">
        <f>IF(E208="","",IF(ISNA(VLOOKUP($E208,'A-1 On-Site Habitat Baseline'!$D$1:$O$258,5,FALSE)),"",(VLOOKUP($E208,'A-1 On-Site Habitat Baseline'!$D$1:$O$258,5,FALSE))))</f>
        <v/>
      </c>
      <c r="H208" s="382" t="str">
        <f>IF(E208="","",IF(ISNA(VLOOKUP($E208,'A-1 On-Site Habitat Baseline'!$D$1:$O$258,6,FALSE)),"",(VLOOKUP($E208,'A-1 On-Site Habitat Baseline'!$D$1:$O$258,6,FALSE))))</f>
        <v/>
      </c>
      <c r="I208" s="382" t="str">
        <f>IF(E208="","",IF(ISNA(VLOOKUP($E208,'A-1 On-Site Habitat Baseline'!$D$1:$O$258,7,FALSE)),"",(VLOOKUP($E208,'A-1 On-Site Habitat Baseline'!$D$1:$O$258,7,FALSE))))</f>
        <v/>
      </c>
      <c r="J208" s="382" t="str">
        <f>IF(E208="","",IF(ISNA(VLOOKUP($E208,'A-1 On-Site Habitat Baseline'!$D$1:$O$258,8,FALSE)),"",(VLOOKUP($E208,'A-1 On-Site Habitat Baseline'!$D$1:$O$258,8,FALSE))))</f>
        <v/>
      </c>
      <c r="K208" s="382" t="str">
        <f>IF(E208="","",IF(ISNA(VLOOKUP($E208,'A-1 On-Site Habitat Baseline'!$D$1:$O$258,9,FALSE)),"",(VLOOKUP($E208,'A-1 On-Site Habitat Baseline'!$D$1:$O$258,9,FALSE))))</f>
        <v/>
      </c>
      <c r="L208" s="382" t="str">
        <f>IF(E208="","",IF(ISNA(VLOOKUP($E208,'A-1 On-Site Habitat Baseline'!$D$1:$O$258,11,FALSE)),"",(VLOOKUP($E208,'A-1 On-Site Habitat Baseline'!$D$1:$O$258,11,FALSE))))</f>
        <v/>
      </c>
      <c r="M208" s="382" t="str">
        <f>IF(E208="","",IF(ISNA(VLOOKUP($E208,'A-1 On-Site Habitat Baseline'!$D$1:$O$258,12,FALSE)),"",(VLOOKUP($E208,'A-1 On-Site Habitat Baseline'!$D$1:$O$258,12,FALSE))))</f>
        <v/>
      </c>
      <c r="N208" s="393" t="str">
        <f>IF(E208="","",IF(ISNA(VLOOKUP($E208,'A-1 On-Site Habitat Baseline'!$D$1:$X$258,14,FALSE)),"",(VLOOKUP($E208,'A-1 On-Site Habitat Baseline'!$D$1:$X$258,14,FALSE))))</f>
        <v/>
      </c>
      <c r="O208" s="386" t="str">
        <f>IF(E208="","",IF(ISNA(VLOOKUP($E208,'A-1 On-Site Habitat Baseline'!$D$1:$X$258,16,FALSE)),"",(VLOOKUP($E208,'A-1 On-Site Habitat Baseline'!$D$1:$X$258,13,FALSE))))</f>
        <v/>
      </c>
      <c r="P208" s="192" t="str">
        <f>IFERROR(INDEX('G-1 All Habitats'!$AG$3:$AG$17,MATCH(Q208,'G-1 All Habitats'!$AF$3:$AF$17,0)),"")</f>
        <v/>
      </c>
      <c r="Q208" s="193" t="str">
        <f t="shared" si="33"/>
        <v/>
      </c>
      <c r="R208" s="193" t="str">
        <f t="shared" si="33"/>
        <v/>
      </c>
      <c r="S208" s="306" t="str">
        <f>IFERROR(INDEX('G-1 All Habitats'!$B$3:$B$134,MATCH(R208,'G-1 All Habitats'!$A$3:$A$134,0)),"")</f>
        <v/>
      </c>
      <c r="T208" s="362" t="str">
        <f t="shared" si="34"/>
        <v/>
      </c>
      <c r="U208" s="363" t="str">
        <f t="shared" si="35"/>
        <v/>
      </c>
      <c r="V208" s="398" t="str">
        <f t="shared" si="31"/>
        <v/>
      </c>
      <c r="W208" s="382" t="str">
        <f>IF(S208="","",VLOOKUP(S208,'G-1 All Habitats'!$B$2:$M$134,10,FALSE))</f>
        <v/>
      </c>
      <c r="X208" s="382" t="str">
        <f>IFERROR(VLOOKUP(W208,'G-1 All Habitats'!$V$3:$W$7,2,FALSE),"")</f>
        <v/>
      </c>
      <c r="Y208" s="61"/>
      <c r="Z208" s="386" t="str">
        <f>IFERROR(INDEX('G-8 Condition Look up'!$A$3:$H$135,MATCH(S208,'G-8 Condition Look up'!$A$3:$A$135,0),MATCH(Y208,'G-8 Condition Look up'!$A$3:$H$3,0)),"")</f>
        <v/>
      </c>
      <c r="AA208" s="54"/>
      <c r="AB208" s="382" t="str">
        <f>IF(AA208="","",IF(VLOOKUP(AA208,'G-3 Multipliers'!$L$3:$N$6,2,FALSE)=0,"Spatial Data Missing ⚠",VLOOKUP(AA208,'G-3 Multipliers'!$L$3:$N$6,2,FALSE)))</f>
        <v/>
      </c>
      <c r="AC208" s="386" t="str">
        <f>IF(AA208="","",IF(VLOOKUP(AA208,'G-3 Multipliers'!$L$3:$N$6,3,FALSE)=0,"Spatial Data Missing ⚠",VLOOKUP(AA208,'G-3 Multipliers'!$L$3:$N$6,3,FALSE)))</f>
        <v/>
      </c>
      <c r="AD208" s="400" t="str">
        <f t="shared" si="32"/>
        <v/>
      </c>
      <c r="AE208" s="63"/>
      <c r="AF208" s="63"/>
      <c r="AG208" s="370" t="str">
        <f t="shared" si="36"/>
        <v/>
      </c>
      <c r="AH208" s="383" t="str">
        <f t="shared" si="37"/>
        <v/>
      </c>
      <c r="AI208" s="384" t="str">
        <f>IF(AH208="Check Data","Check Data",IFERROR(VLOOKUP(AH208,'G-4 Temporal multipliers'!$A$4:$C$36,3,FALSE),""))</f>
        <v/>
      </c>
      <c r="AJ208" s="362" t="str">
        <f>IF(S208="","",VLOOKUP(S208,'G-3 Multipliers'!$A$2:$E$134,4,FALSE))</f>
        <v/>
      </c>
      <c r="AK208" s="370" t="str">
        <f t="shared" si="38"/>
        <v/>
      </c>
      <c r="AL208" s="370" t="str">
        <f t="shared" si="39"/>
        <v/>
      </c>
      <c r="AM208" s="401" t="str">
        <f>IFERROR(IF(F208="","",IF(AH208="Check Data ⚠","Check Data ⚠",VLOOKUP(AL208, 'G-3 Multipliers'!$P$2:$Q$6,2,FALSE))),"")</f>
        <v/>
      </c>
      <c r="AN208" s="376" t="str">
        <f t="shared" si="40"/>
        <v/>
      </c>
      <c r="AO208" s="194"/>
      <c r="AP208" s="195"/>
      <c r="AQ208" s="120"/>
    </row>
    <row r="209" spans="1:43">
      <c r="A209" s="35" t="str">
        <f>IF(E209="","",IF(ISNA(VLOOKUP($E209,'A-1 On-Site Habitat Baseline'!$D$1:$O$258,2,FALSE)),"",(VLOOKUP($E209,'A-1 On-Site Habitat Baseline'!$D$1:$O$258,2,FALSE))))</f>
        <v/>
      </c>
      <c r="B209" s="35" t="str">
        <f>IF(E209="","",IF(ISNA(VLOOKUP($E209,'A-1 On-Site Habitat Baseline'!$D$1:$O$258,3,FALSE)),"",(VLOOKUP($E209,'A-1 On-Site Habitat Baseline'!$D$1:$O$258,3,FALSE))))</f>
        <v/>
      </c>
      <c r="C209" s="35" t="str">
        <f>IFERROR(INDEX('G-8 Condition Look up'!$I$4:$I$135,MATCH(S209,'G-8 Condition Look up'!$A$4:$A$135,0)),"")</f>
        <v/>
      </c>
      <c r="E209" s="392" t="str">
        <f>'A-1 On-Site Habitat Baseline'!AL208</f>
        <v/>
      </c>
      <c r="F209" s="382" t="str">
        <f>IF(E209="","",IF(ISNA(VLOOKUP($E209,'A-1 On-Site Habitat Baseline'!$D$1:$O$258,4,FALSE)),"",(VLOOKUP($E209,'A-1 On-Site Habitat Baseline'!$D$1:$O$258,4,FALSE))))</f>
        <v/>
      </c>
      <c r="G209" s="382" t="str">
        <f>IF(E209="","",IF(ISNA(VLOOKUP($E209,'A-1 On-Site Habitat Baseline'!$D$1:$O$258,5,FALSE)),"",(VLOOKUP($E209,'A-1 On-Site Habitat Baseline'!$D$1:$O$258,5,FALSE))))</f>
        <v/>
      </c>
      <c r="H209" s="382" t="str">
        <f>IF(E209="","",IF(ISNA(VLOOKUP($E209,'A-1 On-Site Habitat Baseline'!$D$1:$O$258,6,FALSE)),"",(VLOOKUP($E209,'A-1 On-Site Habitat Baseline'!$D$1:$O$258,6,FALSE))))</f>
        <v/>
      </c>
      <c r="I209" s="382" t="str">
        <f>IF(E209="","",IF(ISNA(VLOOKUP($E209,'A-1 On-Site Habitat Baseline'!$D$1:$O$258,7,FALSE)),"",(VLOOKUP($E209,'A-1 On-Site Habitat Baseline'!$D$1:$O$258,7,FALSE))))</f>
        <v/>
      </c>
      <c r="J209" s="382" t="str">
        <f>IF(E209="","",IF(ISNA(VLOOKUP($E209,'A-1 On-Site Habitat Baseline'!$D$1:$O$258,8,FALSE)),"",(VLOOKUP($E209,'A-1 On-Site Habitat Baseline'!$D$1:$O$258,8,FALSE))))</f>
        <v/>
      </c>
      <c r="K209" s="382" t="str">
        <f>IF(E209="","",IF(ISNA(VLOOKUP($E209,'A-1 On-Site Habitat Baseline'!$D$1:$O$258,9,FALSE)),"",(VLOOKUP($E209,'A-1 On-Site Habitat Baseline'!$D$1:$O$258,9,FALSE))))</f>
        <v/>
      </c>
      <c r="L209" s="382" t="str">
        <f>IF(E209="","",IF(ISNA(VLOOKUP($E209,'A-1 On-Site Habitat Baseline'!$D$1:$O$258,11,FALSE)),"",(VLOOKUP($E209,'A-1 On-Site Habitat Baseline'!$D$1:$O$258,11,FALSE))))</f>
        <v/>
      </c>
      <c r="M209" s="382" t="str">
        <f>IF(E209="","",IF(ISNA(VLOOKUP($E209,'A-1 On-Site Habitat Baseline'!$D$1:$O$258,12,FALSE)),"",(VLOOKUP($E209,'A-1 On-Site Habitat Baseline'!$D$1:$O$258,12,FALSE))))</f>
        <v/>
      </c>
      <c r="N209" s="393" t="str">
        <f>IF(E209="","",IF(ISNA(VLOOKUP($E209,'A-1 On-Site Habitat Baseline'!$D$1:$X$258,14,FALSE)),"",(VLOOKUP($E209,'A-1 On-Site Habitat Baseline'!$D$1:$X$258,14,FALSE))))</f>
        <v/>
      </c>
      <c r="O209" s="386" t="str">
        <f>IF(E209="","",IF(ISNA(VLOOKUP($E209,'A-1 On-Site Habitat Baseline'!$D$1:$X$258,16,FALSE)),"",(VLOOKUP($E209,'A-1 On-Site Habitat Baseline'!$D$1:$X$258,13,FALSE))))</f>
        <v/>
      </c>
      <c r="P209" s="192" t="str">
        <f>IFERROR(INDEX('G-1 All Habitats'!$AG$3:$AG$17,MATCH(Q209,'G-1 All Habitats'!$AF$3:$AF$17,0)),"")</f>
        <v/>
      </c>
      <c r="Q209" s="193" t="str">
        <f t="shared" si="33"/>
        <v/>
      </c>
      <c r="R209" s="193" t="str">
        <f t="shared" si="33"/>
        <v/>
      </c>
      <c r="S209" s="306" t="str">
        <f>IFERROR(INDEX('G-1 All Habitats'!$B$3:$B$134,MATCH(R209,'G-1 All Habitats'!$A$3:$A$134,0)),"")</f>
        <v/>
      </c>
      <c r="T209" s="362" t="str">
        <f t="shared" si="34"/>
        <v/>
      </c>
      <c r="U209" s="363" t="str">
        <f t="shared" si="35"/>
        <v/>
      </c>
      <c r="V209" s="398" t="str">
        <f t="shared" si="31"/>
        <v/>
      </c>
      <c r="W209" s="382" t="str">
        <f>IF(S209="","",VLOOKUP(S209,'G-1 All Habitats'!$B$2:$M$134,10,FALSE))</f>
        <v/>
      </c>
      <c r="X209" s="382" t="str">
        <f>IFERROR(VLOOKUP(W209,'G-1 All Habitats'!$V$3:$W$7,2,FALSE),"")</f>
        <v/>
      </c>
      <c r="Y209" s="61"/>
      <c r="Z209" s="386" t="str">
        <f>IFERROR(INDEX('G-8 Condition Look up'!$A$3:$H$135,MATCH(S209,'G-8 Condition Look up'!$A$3:$A$135,0),MATCH(Y209,'G-8 Condition Look up'!$A$3:$H$3,0)),"")</f>
        <v/>
      </c>
      <c r="AA209" s="54"/>
      <c r="AB209" s="382" t="str">
        <f>IF(AA209="","",IF(VLOOKUP(AA209,'G-3 Multipliers'!$L$3:$N$6,2,FALSE)=0,"Spatial Data Missing ⚠",VLOOKUP(AA209,'G-3 Multipliers'!$L$3:$N$6,2,FALSE)))</f>
        <v/>
      </c>
      <c r="AC209" s="386" t="str">
        <f>IF(AA209="","",IF(VLOOKUP(AA209,'G-3 Multipliers'!$L$3:$N$6,3,FALSE)=0,"Spatial Data Missing ⚠",VLOOKUP(AA209,'G-3 Multipliers'!$L$3:$N$6,3,FALSE)))</f>
        <v/>
      </c>
      <c r="AD209" s="400" t="str">
        <f t="shared" si="32"/>
        <v/>
      </c>
      <c r="AE209" s="63"/>
      <c r="AF209" s="63"/>
      <c r="AG209" s="370" t="str">
        <f t="shared" si="36"/>
        <v/>
      </c>
      <c r="AH209" s="383" t="str">
        <f t="shared" si="37"/>
        <v/>
      </c>
      <c r="AI209" s="384" t="str">
        <f>IF(AH209="Check Data","Check Data",IFERROR(VLOOKUP(AH209,'G-4 Temporal multipliers'!$A$4:$C$36,3,FALSE),""))</f>
        <v/>
      </c>
      <c r="AJ209" s="362" t="str">
        <f>IF(S209="","",VLOOKUP(S209,'G-3 Multipliers'!$A$2:$E$134,4,FALSE))</f>
        <v/>
      </c>
      <c r="AK209" s="370" t="str">
        <f t="shared" si="38"/>
        <v/>
      </c>
      <c r="AL209" s="370" t="str">
        <f t="shared" si="39"/>
        <v/>
      </c>
      <c r="AM209" s="401" t="str">
        <f>IFERROR(IF(F209="","",IF(AH209="Check Data ⚠","Check Data ⚠",VLOOKUP(AL209, 'G-3 Multipliers'!$P$2:$Q$6,2,FALSE))),"")</f>
        <v/>
      </c>
      <c r="AN209" s="376" t="str">
        <f t="shared" si="40"/>
        <v/>
      </c>
      <c r="AO209" s="194"/>
      <c r="AP209" s="195"/>
      <c r="AQ209" s="120"/>
    </row>
    <row r="210" spans="1:43">
      <c r="A210" s="35" t="str">
        <f>IF(E210="","",IF(ISNA(VLOOKUP($E210,'A-1 On-Site Habitat Baseline'!$D$1:$O$258,2,FALSE)),"",(VLOOKUP($E210,'A-1 On-Site Habitat Baseline'!$D$1:$O$258,2,FALSE))))</f>
        <v/>
      </c>
      <c r="B210" s="35" t="str">
        <f>IF(E210="","",IF(ISNA(VLOOKUP($E210,'A-1 On-Site Habitat Baseline'!$D$1:$O$258,3,FALSE)),"",(VLOOKUP($E210,'A-1 On-Site Habitat Baseline'!$D$1:$O$258,3,FALSE))))</f>
        <v/>
      </c>
      <c r="C210" s="35" t="str">
        <f>IFERROR(INDEX('G-8 Condition Look up'!$I$4:$I$135,MATCH(S210,'G-8 Condition Look up'!$A$4:$A$135,0)),"")</f>
        <v/>
      </c>
      <c r="E210" s="392" t="str">
        <f>'A-1 On-Site Habitat Baseline'!AL209</f>
        <v/>
      </c>
      <c r="F210" s="382" t="str">
        <f>IF(E210="","",IF(ISNA(VLOOKUP($E210,'A-1 On-Site Habitat Baseline'!$D$1:$O$258,4,FALSE)),"",(VLOOKUP($E210,'A-1 On-Site Habitat Baseline'!$D$1:$O$258,4,FALSE))))</f>
        <v/>
      </c>
      <c r="G210" s="382" t="str">
        <f>IF(E210="","",IF(ISNA(VLOOKUP($E210,'A-1 On-Site Habitat Baseline'!$D$1:$O$258,5,FALSE)),"",(VLOOKUP($E210,'A-1 On-Site Habitat Baseline'!$D$1:$O$258,5,FALSE))))</f>
        <v/>
      </c>
      <c r="H210" s="382" t="str">
        <f>IF(E210="","",IF(ISNA(VLOOKUP($E210,'A-1 On-Site Habitat Baseline'!$D$1:$O$258,6,FALSE)),"",(VLOOKUP($E210,'A-1 On-Site Habitat Baseline'!$D$1:$O$258,6,FALSE))))</f>
        <v/>
      </c>
      <c r="I210" s="382" t="str">
        <f>IF(E210="","",IF(ISNA(VLOOKUP($E210,'A-1 On-Site Habitat Baseline'!$D$1:$O$258,7,FALSE)),"",(VLOOKUP($E210,'A-1 On-Site Habitat Baseline'!$D$1:$O$258,7,FALSE))))</f>
        <v/>
      </c>
      <c r="J210" s="382" t="str">
        <f>IF(E210="","",IF(ISNA(VLOOKUP($E210,'A-1 On-Site Habitat Baseline'!$D$1:$O$258,8,FALSE)),"",(VLOOKUP($E210,'A-1 On-Site Habitat Baseline'!$D$1:$O$258,8,FALSE))))</f>
        <v/>
      </c>
      <c r="K210" s="382" t="str">
        <f>IF(E210="","",IF(ISNA(VLOOKUP($E210,'A-1 On-Site Habitat Baseline'!$D$1:$O$258,9,FALSE)),"",(VLOOKUP($E210,'A-1 On-Site Habitat Baseline'!$D$1:$O$258,9,FALSE))))</f>
        <v/>
      </c>
      <c r="L210" s="382" t="str">
        <f>IF(E210="","",IF(ISNA(VLOOKUP($E210,'A-1 On-Site Habitat Baseline'!$D$1:$O$258,11,FALSE)),"",(VLOOKUP($E210,'A-1 On-Site Habitat Baseline'!$D$1:$O$258,11,FALSE))))</f>
        <v/>
      </c>
      <c r="M210" s="382" t="str">
        <f>IF(E210="","",IF(ISNA(VLOOKUP($E210,'A-1 On-Site Habitat Baseline'!$D$1:$O$258,12,FALSE)),"",(VLOOKUP($E210,'A-1 On-Site Habitat Baseline'!$D$1:$O$258,12,FALSE))))</f>
        <v/>
      </c>
      <c r="N210" s="393" t="str">
        <f>IF(E210="","",IF(ISNA(VLOOKUP($E210,'A-1 On-Site Habitat Baseline'!$D$1:$X$258,14,FALSE)),"",(VLOOKUP($E210,'A-1 On-Site Habitat Baseline'!$D$1:$X$258,14,FALSE))))</f>
        <v/>
      </c>
      <c r="O210" s="386" t="str">
        <f>IF(E210="","",IF(ISNA(VLOOKUP($E210,'A-1 On-Site Habitat Baseline'!$D$1:$X$258,16,FALSE)),"",(VLOOKUP($E210,'A-1 On-Site Habitat Baseline'!$D$1:$X$258,13,FALSE))))</f>
        <v/>
      </c>
      <c r="P210" s="192" t="str">
        <f>IFERROR(INDEX('G-1 All Habitats'!$AG$3:$AG$17,MATCH(Q210,'G-1 All Habitats'!$AF$3:$AF$17,0)),"")</f>
        <v/>
      </c>
      <c r="Q210" s="193" t="str">
        <f t="shared" si="33"/>
        <v/>
      </c>
      <c r="R210" s="193" t="str">
        <f t="shared" si="33"/>
        <v/>
      </c>
      <c r="S210" s="306" t="str">
        <f>IFERROR(INDEX('G-1 All Habitats'!$B$3:$B$134,MATCH(R210,'G-1 All Habitats'!$A$3:$A$134,0)),"")</f>
        <v/>
      </c>
      <c r="T210" s="362" t="str">
        <f t="shared" si="34"/>
        <v/>
      </c>
      <c r="U210" s="363" t="str">
        <f t="shared" si="35"/>
        <v/>
      </c>
      <c r="V210" s="398" t="str">
        <f t="shared" si="31"/>
        <v/>
      </c>
      <c r="W210" s="382" t="str">
        <f>IF(S210="","",VLOOKUP(S210,'G-1 All Habitats'!$B$2:$M$134,10,FALSE))</f>
        <v/>
      </c>
      <c r="X210" s="382" t="str">
        <f>IFERROR(VLOOKUP(W210,'G-1 All Habitats'!$V$3:$W$7,2,FALSE),"")</f>
        <v/>
      </c>
      <c r="Y210" s="61"/>
      <c r="Z210" s="386" t="str">
        <f>IFERROR(INDEX('G-8 Condition Look up'!$A$3:$H$135,MATCH(S210,'G-8 Condition Look up'!$A$3:$A$135,0),MATCH(Y210,'G-8 Condition Look up'!$A$3:$H$3,0)),"")</f>
        <v/>
      </c>
      <c r="AA210" s="54"/>
      <c r="AB210" s="382" t="str">
        <f>IF(AA210="","",IF(VLOOKUP(AA210,'G-3 Multipliers'!$L$3:$N$6,2,FALSE)=0,"Spatial Data Missing ⚠",VLOOKUP(AA210,'G-3 Multipliers'!$L$3:$N$6,2,FALSE)))</f>
        <v/>
      </c>
      <c r="AC210" s="386" t="str">
        <f>IF(AA210="","",IF(VLOOKUP(AA210,'G-3 Multipliers'!$L$3:$N$6,3,FALSE)=0,"Spatial Data Missing ⚠",VLOOKUP(AA210,'G-3 Multipliers'!$L$3:$N$6,3,FALSE)))</f>
        <v/>
      </c>
      <c r="AD210" s="400" t="str">
        <f t="shared" si="32"/>
        <v/>
      </c>
      <c r="AE210" s="63"/>
      <c r="AF210" s="63"/>
      <c r="AG210" s="370" t="str">
        <f t="shared" si="36"/>
        <v/>
      </c>
      <c r="AH210" s="383" t="str">
        <f t="shared" si="37"/>
        <v/>
      </c>
      <c r="AI210" s="384" t="str">
        <f>IF(AH210="Check Data","Check Data",IFERROR(VLOOKUP(AH210,'G-4 Temporal multipliers'!$A$4:$C$36,3,FALSE),""))</f>
        <v/>
      </c>
      <c r="AJ210" s="362" t="str">
        <f>IF(S210="","",VLOOKUP(S210,'G-3 Multipliers'!$A$2:$E$134,4,FALSE))</f>
        <v/>
      </c>
      <c r="AK210" s="370" t="str">
        <f t="shared" si="38"/>
        <v/>
      </c>
      <c r="AL210" s="370" t="str">
        <f t="shared" si="39"/>
        <v/>
      </c>
      <c r="AM210" s="401" t="str">
        <f>IFERROR(IF(F210="","",IF(AH210="Check Data ⚠","Check Data ⚠",VLOOKUP(AL210, 'G-3 Multipliers'!$P$2:$Q$6,2,FALSE))),"")</f>
        <v/>
      </c>
      <c r="AN210" s="376" t="str">
        <f t="shared" si="40"/>
        <v/>
      </c>
      <c r="AO210" s="194"/>
      <c r="AP210" s="195"/>
      <c r="AQ210" s="120"/>
    </row>
    <row r="211" spans="1:43">
      <c r="A211" s="35" t="str">
        <f>IF(E211="","",IF(ISNA(VLOOKUP($E211,'A-1 On-Site Habitat Baseline'!$D$1:$O$258,2,FALSE)),"",(VLOOKUP($E211,'A-1 On-Site Habitat Baseline'!$D$1:$O$258,2,FALSE))))</f>
        <v/>
      </c>
      <c r="B211" s="35" t="str">
        <f>IF(E211="","",IF(ISNA(VLOOKUP($E211,'A-1 On-Site Habitat Baseline'!$D$1:$O$258,3,FALSE)),"",(VLOOKUP($E211,'A-1 On-Site Habitat Baseline'!$D$1:$O$258,3,FALSE))))</f>
        <v/>
      </c>
      <c r="C211" s="35" t="str">
        <f>IFERROR(INDEX('G-8 Condition Look up'!$I$4:$I$135,MATCH(S211,'G-8 Condition Look up'!$A$4:$A$135,0)),"")</f>
        <v/>
      </c>
      <c r="E211" s="392" t="str">
        <f>'A-1 On-Site Habitat Baseline'!AL210</f>
        <v/>
      </c>
      <c r="F211" s="382" t="str">
        <f>IF(E211="","",IF(ISNA(VLOOKUP($E211,'A-1 On-Site Habitat Baseline'!$D$1:$O$258,4,FALSE)),"",(VLOOKUP($E211,'A-1 On-Site Habitat Baseline'!$D$1:$O$258,4,FALSE))))</f>
        <v/>
      </c>
      <c r="G211" s="382" t="str">
        <f>IF(E211="","",IF(ISNA(VLOOKUP($E211,'A-1 On-Site Habitat Baseline'!$D$1:$O$258,5,FALSE)),"",(VLOOKUP($E211,'A-1 On-Site Habitat Baseline'!$D$1:$O$258,5,FALSE))))</f>
        <v/>
      </c>
      <c r="H211" s="382" t="str">
        <f>IF(E211="","",IF(ISNA(VLOOKUP($E211,'A-1 On-Site Habitat Baseline'!$D$1:$O$258,6,FALSE)),"",(VLOOKUP($E211,'A-1 On-Site Habitat Baseline'!$D$1:$O$258,6,FALSE))))</f>
        <v/>
      </c>
      <c r="I211" s="382" t="str">
        <f>IF(E211="","",IF(ISNA(VLOOKUP($E211,'A-1 On-Site Habitat Baseline'!$D$1:$O$258,7,FALSE)),"",(VLOOKUP($E211,'A-1 On-Site Habitat Baseline'!$D$1:$O$258,7,FALSE))))</f>
        <v/>
      </c>
      <c r="J211" s="382" t="str">
        <f>IF(E211="","",IF(ISNA(VLOOKUP($E211,'A-1 On-Site Habitat Baseline'!$D$1:$O$258,8,FALSE)),"",(VLOOKUP($E211,'A-1 On-Site Habitat Baseline'!$D$1:$O$258,8,FALSE))))</f>
        <v/>
      </c>
      <c r="K211" s="382" t="str">
        <f>IF(E211="","",IF(ISNA(VLOOKUP($E211,'A-1 On-Site Habitat Baseline'!$D$1:$O$258,9,FALSE)),"",(VLOOKUP($E211,'A-1 On-Site Habitat Baseline'!$D$1:$O$258,9,FALSE))))</f>
        <v/>
      </c>
      <c r="L211" s="382" t="str">
        <f>IF(E211="","",IF(ISNA(VLOOKUP($E211,'A-1 On-Site Habitat Baseline'!$D$1:$O$258,11,FALSE)),"",(VLOOKUP($E211,'A-1 On-Site Habitat Baseline'!$D$1:$O$258,11,FALSE))))</f>
        <v/>
      </c>
      <c r="M211" s="382" t="str">
        <f>IF(E211="","",IF(ISNA(VLOOKUP($E211,'A-1 On-Site Habitat Baseline'!$D$1:$O$258,12,FALSE)),"",(VLOOKUP($E211,'A-1 On-Site Habitat Baseline'!$D$1:$O$258,12,FALSE))))</f>
        <v/>
      </c>
      <c r="N211" s="393" t="str">
        <f>IF(E211="","",IF(ISNA(VLOOKUP($E211,'A-1 On-Site Habitat Baseline'!$D$1:$X$258,14,FALSE)),"",(VLOOKUP($E211,'A-1 On-Site Habitat Baseline'!$D$1:$X$258,14,FALSE))))</f>
        <v/>
      </c>
      <c r="O211" s="386" t="str">
        <f>IF(E211="","",IF(ISNA(VLOOKUP($E211,'A-1 On-Site Habitat Baseline'!$D$1:$X$258,16,FALSE)),"",(VLOOKUP($E211,'A-1 On-Site Habitat Baseline'!$D$1:$X$258,13,FALSE))))</f>
        <v/>
      </c>
      <c r="P211" s="192" t="str">
        <f>IFERROR(INDEX('G-1 All Habitats'!$AG$3:$AG$17,MATCH(Q211,'G-1 All Habitats'!$AF$3:$AF$17,0)),"")</f>
        <v/>
      </c>
      <c r="Q211" s="193" t="str">
        <f t="shared" si="33"/>
        <v/>
      </c>
      <c r="R211" s="193" t="str">
        <f t="shared" si="33"/>
        <v/>
      </c>
      <c r="S211" s="306" t="str">
        <f>IFERROR(INDEX('G-1 All Habitats'!$B$3:$B$134,MATCH(R211,'G-1 All Habitats'!$A$3:$A$134,0)),"")</f>
        <v/>
      </c>
      <c r="T211" s="362" t="str">
        <f t="shared" si="34"/>
        <v/>
      </c>
      <c r="U211" s="363" t="str">
        <f t="shared" si="35"/>
        <v/>
      </c>
      <c r="V211" s="398" t="str">
        <f t="shared" si="31"/>
        <v/>
      </c>
      <c r="W211" s="382" t="str">
        <f>IF(S211="","",VLOOKUP(S211,'G-1 All Habitats'!$B$2:$M$134,10,FALSE))</f>
        <v/>
      </c>
      <c r="X211" s="382" t="str">
        <f>IFERROR(VLOOKUP(W211,'G-1 All Habitats'!$V$3:$W$7,2,FALSE),"")</f>
        <v/>
      </c>
      <c r="Y211" s="61"/>
      <c r="Z211" s="386" t="str">
        <f>IFERROR(INDEX('G-8 Condition Look up'!$A$3:$H$135,MATCH(S211,'G-8 Condition Look up'!$A$3:$A$135,0),MATCH(Y211,'G-8 Condition Look up'!$A$3:$H$3,0)),"")</f>
        <v/>
      </c>
      <c r="AA211" s="54"/>
      <c r="AB211" s="382" t="str">
        <f>IF(AA211="","",IF(VLOOKUP(AA211,'G-3 Multipliers'!$L$3:$N$6,2,FALSE)=0,"Spatial Data Missing ⚠",VLOOKUP(AA211,'G-3 Multipliers'!$L$3:$N$6,2,FALSE)))</f>
        <v/>
      </c>
      <c r="AC211" s="386" t="str">
        <f>IF(AA211="","",IF(VLOOKUP(AA211,'G-3 Multipliers'!$L$3:$N$6,3,FALSE)=0,"Spatial Data Missing ⚠",VLOOKUP(AA211,'G-3 Multipliers'!$L$3:$N$6,3,FALSE)))</f>
        <v/>
      </c>
      <c r="AD211" s="400" t="str">
        <f t="shared" si="32"/>
        <v/>
      </c>
      <c r="AE211" s="63"/>
      <c r="AF211" s="63"/>
      <c r="AG211" s="370" t="str">
        <f t="shared" si="36"/>
        <v/>
      </c>
      <c r="AH211" s="383" t="str">
        <f t="shared" si="37"/>
        <v/>
      </c>
      <c r="AI211" s="384" t="str">
        <f>IF(AH211="Check Data","Check Data",IFERROR(VLOOKUP(AH211,'G-4 Temporal multipliers'!$A$4:$C$36,3,FALSE),""))</f>
        <v/>
      </c>
      <c r="AJ211" s="362" t="str">
        <f>IF(S211="","",VLOOKUP(S211,'G-3 Multipliers'!$A$2:$E$134,4,FALSE))</f>
        <v/>
      </c>
      <c r="AK211" s="370" t="str">
        <f t="shared" si="38"/>
        <v/>
      </c>
      <c r="AL211" s="370" t="str">
        <f t="shared" si="39"/>
        <v/>
      </c>
      <c r="AM211" s="401" t="str">
        <f>IFERROR(IF(F211="","",IF(AH211="Check Data ⚠","Check Data ⚠",VLOOKUP(AL211, 'G-3 Multipliers'!$P$2:$Q$6,2,FALSE))),"")</f>
        <v/>
      </c>
      <c r="AN211" s="376" t="str">
        <f t="shared" si="40"/>
        <v/>
      </c>
      <c r="AO211" s="194"/>
      <c r="AP211" s="195"/>
      <c r="AQ211" s="120"/>
    </row>
    <row r="212" spans="1:43">
      <c r="A212" s="35" t="str">
        <f>IF(E212="","",IF(ISNA(VLOOKUP($E212,'A-1 On-Site Habitat Baseline'!$D$1:$O$258,2,FALSE)),"",(VLOOKUP($E212,'A-1 On-Site Habitat Baseline'!$D$1:$O$258,2,FALSE))))</f>
        <v/>
      </c>
      <c r="B212" s="35" t="str">
        <f>IF(E212="","",IF(ISNA(VLOOKUP($E212,'A-1 On-Site Habitat Baseline'!$D$1:$O$258,3,FALSE)),"",(VLOOKUP($E212,'A-1 On-Site Habitat Baseline'!$D$1:$O$258,3,FALSE))))</f>
        <v/>
      </c>
      <c r="C212" s="35" t="str">
        <f>IFERROR(INDEX('G-8 Condition Look up'!$I$4:$I$135,MATCH(S212,'G-8 Condition Look up'!$A$4:$A$135,0)),"")</f>
        <v/>
      </c>
      <c r="E212" s="392" t="str">
        <f>'A-1 On-Site Habitat Baseline'!AL211</f>
        <v/>
      </c>
      <c r="F212" s="382" t="str">
        <f>IF(E212="","",IF(ISNA(VLOOKUP($E212,'A-1 On-Site Habitat Baseline'!$D$1:$O$258,4,FALSE)),"",(VLOOKUP($E212,'A-1 On-Site Habitat Baseline'!$D$1:$O$258,4,FALSE))))</f>
        <v/>
      </c>
      <c r="G212" s="382" t="str">
        <f>IF(E212="","",IF(ISNA(VLOOKUP($E212,'A-1 On-Site Habitat Baseline'!$D$1:$O$258,5,FALSE)),"",(VLOOKUP($E212,'A-1 On-Site Habitat Baseline'!$D$1:$O$258,5,FALSE))))</f>
        <v/>
      </c>
      <c r="H212" s="382" t="str">
        <f>IF(E212="","",IF(ISNA(VLOOKUP($E212,'A-1 On-Site Habitat Baseline'!$D$1:$O$258,6,FALSE)),"",(VLOOKUP($E212,'A-1 On-Site Habitat Baseline'!$D$1:$O$258,6,FALSE))))</f>
        <v/>
      </c>
      <c r="I212" s="382" t="str">
        <f>IF(E212="","",IF(ISNA(VLOOKUP($E212,'A-1 On-Site Habitat Baseline'!$D$1:$O$258,7,FALSE)),"",(VLOOKUP($E212,'A-1 On-Site Habitat Baseline'!$D$1:$O$258,7,FALSE))))</f>
        <v/>
      </c>
      <c r="J212" s="382" t="str">
        <f>IF(E212="","",IF(ISNA(VLOOKUP($E212,'A-1 On-Site Habitat Baseline'!$D$1:$O$258,8,FALSE)),"",(VLOOKUP($E212,'A-1 On-Site Habitat Baseline'!$D$1:$O$258,8,FALSE))))</f>
        <v/>
      </c>
      <c r="K212" s="382" t="str">
        <f>IF(E212="","",IF(ISNA(VLOOKUP($E212,'A-1 On-Site Habitat Baseline'!$D$1:$O$258,9,FALSE)),"",(VLOOKUP($E212,'A-1 On-Site Habitat Baseline'!$D$1:$O$258,9,FALSE))))</f>
        <v/>
      </c>
      <c r="L212" s="382" t="str">
        <f>IF(E212="","",IF(ISNA(VLOOKUP($E212,'A-1 On-Site Habitat Baseline'!$D$1:$O$258,11,FALSE)),"",(VLOOKUP($E212,'A-1 On-Site Habitat Baseline'!$D$1:$O$258,11,FALSE))))</f>
        <v/>
      </c>
      <c r="M212" s="382" t="str">
        <f>IF(E212="","",IF(ISNA(VLOOKUP($E212,'A-1 On-Site Habitat Baseline'!$D$1:$O$258,12,FALSE)),"",(VLOOKUP($E212,'A-1 On-Site Habitat Baseline'!$D$1:$O$258,12,FALSE))))</f>
        <v/>
      </c>
      <c r="N212" s="393" t="str">
        <f>IF(E212="","",IF(ISNA(VLOOKUP($E212,'A-1 On-Site Habitat Baseline'!$D$1:$X$258,14,FALSE)),"",(VLOOKUP($E212,'A-1 On-Site Habitat Baseline'!$D$1:$X$258,14,FALSE))))</f>
        <v/>
      </c>
      <c r="O212" s="386" t="str">
        <f>IF(E212="","",IF(ISNA(VLOOKUP($E212,'A-1 On-Site Habitat Baseline'!$D$1:$X$258,16,FALSE)),"",(VLOOKUP($E212,'A-1 On-Site Habitat Baseline'!$D$1:$X$258,13,FALSE))))</f>
        <v/>
      </c>
      <c r="P212" s="192" t="str">
        <f>IFERROR(INDEX('G-1 All Habitats'!$AG$3:$AG$17,MATCH(Q212,'G-1 All Habitats'!$AF$3:$AF$17,0)),"")</f>
        <v/>
      </c>
      <c r="Q212" s="193" t="str">
        <f t="shared" si="33"/>
        <v/>
      </c>
      <c r="R212" s="193" t="str">
        <f t="shared" si="33"/>
        <v/>
      </c>
      <c r="S212" s="306" t="str">
        <f>IFERROR(INDEX('G-1 All Habitats'!$B$3:$B$134,MATCH(R212,'G-1 All Habitats'!$A$3:$A$134,0)),"")</f>
        <v/>
      </c>
      <c r="T212" s="362" t="str">
        <f t="shared" si="34"/>
        <v/>
      </c>
      <c r="U212" s="363" t="str">
        <f t="shared" si="35"/>
        <v/>
      </c>
      <c r="V212" s="398" t="str">
        <f t="shared" si="31"/>
        <v/>
      </c>
      <c r="W212" s="382" t="str">
        <f>IF(S212="","",VLOOKUP(S212,'G-1 All Habitats'!$B$2:$M$134,10,FALSE))</f>
        <v/>
      </c>
      <c r="X212" s="382" t="str">
        <f>IFERROR(VLOOKUP(W212,'G-1 All Habitats'!$V$3:$W$7,2,FALSE),"")</f>
        <v/>
      </c>
      <c r="Y212" s="61"/>
      <c r="Z212" s="386" t="str">
        <f>IFERROR(INDEX('G-8 Condition Look up'!$A$3:$H$135,MATCH(S212,'G-8 Condition Look up'!$A$3:$A$135,0),MATCH(Y212,'G-8 Condition Look up'!$A$3:$H$3,0)),"")</f>
        <v/>
      </c>
      <c r="AA212" s="54"/>
      <c r="AB212" s="382" t="str">
        <f>IF(AA212="","",IF(VLOOKUP(AA212,'G-3 Multipliers'!$L$3:$N$6,2,FALSE)=0,"Spatial Data Missing ⚠",VLOOKUP(AA212,'G-3 Multipliers'!$L$3:$N$6,2,FALSE)))</f>
        <v/>
      </c>
      <c r="AC212" s="386" t="str">
        <f>IF(AA212="","",IF(VLOOKUP(AA212,'G-3 Multipliers'!$L$3:$N$6,3,FALSE)=0,"Spatial Data Missing ⚠",VLOOKUP(AA212,'G-3 Multipliers'!$L$3:$N$6,3,FALSE)))</f>
        <v/>
      </c>
      <c r="AD212" s="400" t="str">
        <f t="shared" si="32"/>
        <v/>
      </c>
      <c r="AE212" s="63"/>
      <c r="AF212" s="63"/>
      <c r="AG212" s="370" t="str">
        <f t="shared" si="36"/>
        <v/>
      </c>
      <c r="AH212" s="383" t="str">
        <f t="shared" si="37"/>
        <v/>
      </c>
      <c r="AI212" s="384" t="str">
        <f>IF(AH212="Check Data","Check Data",IFERROR(VLOOKUP(AH212,'G-4 Temporal multipliers'!$A$4:$C$36,3,FALSE),""))</f>
        <v/>
      </c>
      <c r="AJ212" s="362" t="str">
        <f>IF(S212="","",VLOOKUP(S212,'G-3 Multipliers'!$A$2:$E$134,4,FALSE))</f>
        <v/>
      </c>
      <c r="AK212" s="370" t="str">
        <f t="shared" si="38"/>
        <v/>
      </c>
      <c r="AL212" s="370" t="str">
        <f t="shared" si="39"/>
        <v/>
      </c>
      <c r="AM212" s="401" t="str">
        <f>IFERROR(IF(F212="","",IF(AH212="Check Data ⚠","Check Data ⚠",VLOOKUP(AL212, 'G-3 Multipliers'!$P$2:$Q$6,2,FALSE))),"")</f>
        <v/>
      </c>
      <c r="AN212" s="376" t="str">
        <f t="shared" si="40"/>
        <v/>
      </c>
      <c r="AO212" s="194"/>
      <c r="AP212" s="195"/>
      <c r="AQ212" s="120"/>
    </row>
    <row r="213" spans="1:43">
      <c r="A213" s="35" t="str">
        <f>IF(E213="","",IF(ISNA(VLOOKUP($E213,'A-1 On-Site Habitat Baseline'!$D$1:$O$258,2,FALSE)),"",(VLOOKUP($E213,'A-1 On-Site Habitat Baseline'!$D$1:$O$258,2,FALSE))))</f>
        <v/>
      </c>
      <c r="B213" s="35" t="str">
        <f>IF(E213="","",IF(ISNA(VLOOKUP($E213,'A-1 On-Site Habitat Baseline'!$D$1:$O$258,3,FALSE)),"",(VLOOKUP($E213,'A-1 On-Site Habitat Baseline'!$D$1:$O$258,3,FALSE))))</f>
        <v/>
      </c>
      <c r="C213" s="35" t="str">
        <f>IFERROR(INDEX('G-8 Condition Look up'!$I$4:$I$135,MATCH(S213,'G-8 Condition Look up'!$A$4:$A$135,0)),"")</f>
        <v/>
      </c>
      <c r="E213" s="392" t="str">
        <f>'A-1 On-Site Habitat Baseline'!AL212</f>
        <v/>
      </c>
      <c r="F213" s="382" t="str">
        <f>IF(E213="","",IF(ISNA(VLOOKUP($E213,'A-1 On-Site Habitat Baseline'!$D$1:$O$258,4,FALSE)),"",(VLOOKUP($E213,'A-1 On-Site Habitat Baseline'!$D$1:$O$258,4,FALSE))))</f>
        <v/>
      </c>
      <c r="G213" s="382" t="str">
        <f>IF(E213="","",IF(ISNA(VLOOKUP($E213,'A-1 On-Site Habitat Baseline'!$D$1:$O$258,5,FALSE)),"",(VLOOKUP($E213,'A-1 On-Site Habitat Baseline'!$D$1:$O$258,5,FALSE))))</f>
        <v/>
      </c>
      <c r="H213" s="382" t="str">
        <f>IF(E213="","",IF(ISNA(VLOOKUP($E213,'A-1 On-Site Habitat Baseline'!$D$1:$O$258,6,FALSE)),"",(VLOOKUP($E213,'A-1 On-Site Habitat Baseline'!$D$1:$O$258,6,FALSE))))</f>
        <v/>
      </c>
      <c r="I213" s="382" t="str">
        <f>IF(E213="","",IF(ISNA(VLOOKUP($E213,'A-1 On-Site Habitat Baseline'!$D$1:$O$258,7,FALSE)),"",(VLOOKUP($E213,'A-1 On-Site Habitat Baseline'!$D$1:$O$258,7,FALSE))))</f>
        <v/>
      </c>
      <c r="J213" s="382" t="str">
        <f>IF(E213="","",IF(ISNA(VLOOKUP($E213,'A-1 On-Site Habitat Baseline'!$D$1:$O$258,8,FALSE)),"",(VLOOKUP($E213,'A-1 On-Site Habitat Baseline'!$D$1:$O$258,8,FALSE))))</f>
        <v/>
      </c>
      <c r="K213" s="382" t="str">
        <f>IF(E213="","",IF(ISNA(VLOOKUP($E213,'A-1 On-Site Habitat Baseline'!$D$1:$O$258,9,FALSE)),"",(VLOOKUP($E213,'A-1 On-Site Habitat Baseline'!$D$1:$O$258,9,FALSE))))</f>
        <v/>
      </c>
      <c r="L213" s="382" t="str">
        <f>IF(E213="","",IF(ISNA(VLOOKUP($E213,'A-1 On-Site Habitat Baseline'!$D$1:$O$258,11,FALSE)),"",(VLOOKUP($E213,'A-1 On-Site Habitat Baseline'!$D$1:$O$258,11,FALSE))))</f>
        <v/>
      </c>
      <c r="M213" s="382" t="str">
        <f>IF(E213="","",IF(ISNA(VLOOKUP($E213,'A-1 On-Site Habitat Baseline'!$D$1:$O$258,12,FALSE)),"",(VLOOKUP($E213,'A-1 On-Site Habitat Baseline'!$D$1:$O$258,12,FALSE))))</f>
        <v/>
      </c>
      <c r="N213" s="393" t="str">
        <f>IF(E213="","",IF(ISNA(VLOOKUP($E213,'A-1 On-Site Habitat Baseline'!$D$1:$X$258,14,FALSE)),"",(VLOOKUP($E213,'A-1 On-Site Habitat Baseline'!$D$1:$X$258,14,FALSE))))</f>
        <v/>
      </c>
      <c r="O213" s="386" t="str">
        <f>IF(E213="","",IF(ISNA(VLOOKUP($E213,'A-1 On-Site Habitat Baseline'!$D$1:$X$258,16,FALSE)),"",(VLOOKUP($E213,'A-1 On-Site Habitat Baseline'!$D$1:$X$258,13,FALSE))))</f>
        <v/>
      </c>
      <c r="P213" s="192" t="str">
        <f>IFERROR(INDEX('G-1 All Habitats'!$AG$3:$AG$17,MATCH(Q213,'G-1 All Habitats'!$AF$3:$AF$17,0)),"")</f>
        <v/>
      </c>
      <c r="Q213" s="193" t="str">
        <f t="shared" si="33"/>
        <v/>
      </c>
      <c r="R213" s="193" t="str">
        <f t="shared" si="33"/>
        <v/>
      </c>
      <c r="S213" s="306" t="str">
        <f>IFERROR(INDEX('G-1 All Habitats'!$B$3:$B$134,MATCH(R213,'G-1 All Habitats'!$A$3:$A$134,0)),"")</f>
        <v/>
      </c>
      <c r="T213" s="362" t="str">
        <f t="shared" si="34"/>
        <v/>
      </c>
      <c r="U213" s="363" t="str">
        <f t="shared" si="35"/>
        <v/>
      </c>
      <c r="V213" s="398" t="str">
        <f t="shared" si="31"/>
        <v/>
      </c>
      <c r="W213" s="382" t="str">
        <f>IF(S213="","",VLOOKUP(S213,'G-1 All Habitats'!$B$2:$M$134,10,FALSE))</f>
        <v/>
      </c>
      <c r="X213" s="382" t="str">
        <f>IFERROR(VLOOKUP(W213,'G-1 All Habitats'!$V$3:$W$7,2,FALSE),"")</f>
        <v/>
      </c>
      <c r="Y213" s="61"/>
      <c r="Z213" s="386" t="str">
        <f>IFERROR(INDEX('G-8 Condition Look up'!$A$3:$H$135,MATCH(S213,'G-8 Condition Look up'!$A$3:$A$135,0),MATCH(Y213,'G-8 Condition Look up'!$A$3:$H$3,0)),"")</f>
        <v/>
      </c>
      <c r="AA213" s="54"/>
      <c r="AB213" s="382" t="str">
        <f>IF(AA213="","",IF(VLOOKUP(AA213,'G-3 Multipliers'!$L$3:$N$6,2,FALSE)=0,"Spatial Data Missing ⚠",VLOOKUP(AA213,'G-3 Multipliers'!$L$3:$N$6,2,FALSE)))</f>
        <v/>
      </c>
      <c r="AC213" s="386" t="str">
        <f>IF(AA213="","",IF(VLOOKUP(AA213,'G-3 Multipliers'!$L$3:$N$6,3,FALSE)=0,"Spatial Data Missing ⚠",VLOOKUP(AA213,'G-3 Multipliers'!$L$3:$N$6,3,FALSE)))</f>
        <v/>
      </c>
      <c r="AD213" s="400" t="str">
        <f t="shared" si="32"/>
        <v/>
      </c>
      <c r="AE213" s="63"/>
      <c r="AF213" s="63"/>
      <c r="AG213" s="370" t="str">
        <f t="shared" si="36"/>
        <v/>
      </c>
      <c r="AH213" s="383" t="str">
        <f t="shared" si="37"/>
        <v/>
      </c>
      <c r="AI213" s="384" t="str">
        <f>IF(AH213="Check Data","Check Data",IFERROR(VLOOKUP(AH213,'G-4 Temporal multipliers'!$A$4:$C$36,3,FALSE),""))</f>
        <v/>
      </c>
      <c r="AJ213" s="362" t="str">
        <f>IF(S213="","",VLOOKUP(S213,'G-3 Multipliers'!$A$2:$E$134,4,FALSE))</f>
        <v/>
      </c>
      <c r="AK213" s="370" t="str">
        <f t="shared" si="38"/>
        <v/>
      </c>
      <c r="AL213" s="370" t="str">
        <f t="shared" si="39"/>
        <v/>
      </c>
      <c r="AM213" s="401" t="str">
        <f>IFERROR(IF(F213="","",IF(AH213="Check Data ⚠","Check Data ⚠",VLOOKUP(AL213, 'G-3 Multipliers'!$P$2:$Q$6,2,FALSE))),"")</f>
        <v/>
      </c>
      <c r="AN213" s="376" t="str">
        <f t="shared" si="40"/>
        <v/>
      </c>
      <c r="AO213" s="194"/>
      <c r="AP213" s="195"/>
      <c r="AQ213" s="120"/>
    </row>
    <row r="214" spans="1:43">
      <c r="A214" s="35" t="str">
        <f>IF(E214="","",IF(ISNA(VLOOKUP($E214,'A-1 On-Site Habitat Baseline'!$D$1:$O$258,2,FALSE)),"",(VLOOKUP($E214,'A-1 On-Site Habitat Baseline'!$D$1:$O$258,2,FALSE))))</f>
        <v/>
      </c>
      <c r="B214" s="35" t="str">
        <f>IF(E214="","",IF(ISNA(VLOOKUP($E214,'A-1 On-Site Habitat Baseline'!$D$1:$O$258,3,FALSE)),"",(VLOOKUP($E214,'A-1 On-Site Habitat Baseline'!$D$1:$O$258,3,FALSE))))</f>
        <v/>
      </c>
      <c r="C214" s="35" t="str">
        <f>IFERROR(INDEX('G-8 Condition Look up'!$I$4:$I$135,MATCH(S214,'G-8 Condition Look up'!$A$4:$A$135,0)),"")</f>
        <v/>
      </c>
      <c r="E214" s="392" t="str">
        <f>'A-1 On-Site Habitat Baseline'!AL213</f>
        <v/>
      </c>
      <c r="F214" s="382" t="str">
        <f>IF(E214="","",IF(ISNA(VLOOKUP($E214,'A-1 On-Site Habitat Baseline'!$D$1:$O$258,4,FALSE)),"",(VLOOKUP($E214,'A-1 On-Site Habitat Baseline'!$D$1:$O$258,4,FALSE))))</f>
        <v/>
      </c>
      <c r="G214" s="382" t="str">
        <f>IF(E214="","",IF(ISNA(VLOOKUP($E214,'A-1 On-Site Habitat Baseline'!$D$1:$O$258,5,FALSE)),"",(VLOOKUP($E214,'A-1 On-Site Habitat Baseline'!$D$1:$O$258,5,FALSE))))</f>
        <v/>
      </c>
      <c r="H214" s="382" t="str">
        <f>IF(E214="","",IF(ISNA(VLOOKUP($E214,'A-1 On-Site Habitat Baseline'!$D$1:$O$258,6,FALSE)),"",(VLOOKUP($E214,'A-1 On-Site Habitat Baseline'!$D$1:$O$258,6,FALSE))))</f>
        <v/>
      </c>
      <c r="I214" s="382" t="str">
        <f>IF(E214="","",IF(ISNA(VLOOKUP($E214,'A-1 On-Site Habitat Baseline'!$D$1:$O$258,7,FALSE)),"",(VLOOKUP($E214,'A-1 On-Site Habitat Baseline'!$D$1:$O$258,7,FALSE))))</f>
        <v/>
      </c>
      <c r="J214" s="382" t="str">
        <f>IF(E214="","",IF(ISNA(VLOOKUP($E214,'A-1 On-Site Habitat Baseline'!$D$1:$O$258,8,FALSE)),"",(VLOOKUP($E214,'A-1 On-Site Habitat Baseline'!$D$1:$O$258,8,FALSE))))</f>
        <v/>
      </c>
      <c r="K214" s="382" t="str">
        <f>IF(E214="","",IF(ISNA(VLOOKUP($E214,'A-1 On-Site Habitat Baseline'!$D$1:$O$258,9,FALSE)),"",(VLOOKUP($E214,'A-1 On-Site Habitat Baseline'!$D$1:$O$258,9,FALSE))))</f>
        <v/>
      </c>
      <c r="L214" s="382" t="str">
        <f>IF(E214="","",IF(ISNA(VLOOKUP($E214,'A-1 On-Site Habitat Baseline'!$D$1:$O$258,11,FALSE)),"",(VLOOKUP($E214,'A-1 On-Site Habitat Baseline'!$D$1:$O$258,11,FALSE))))</f>
        <v/>
      </c>
      <c r="M214" s="382" t="str">
        <f>IF(E214="","",IF(ISNA(VLOOKUP($E214,'A-1 On-Site Habitat Baseline'!$D$1:$O$258,12,FALSE)),"",(VLOOKUP($E214,'A-1 On-Site Habitat Baseline'!$D$1:$O$258,12,FALSE))))</f>
        <v/>
      </c>
      <c r="N214" s="393" t="str">
        <f>IF(E214="","",IF(ISNA(VLOOKUP($E214,'A-1 On-Site Habitat Baseline'!$D$1:$X$258,14,FALSE)),"",(VLOOKUP($E214,'A-1 On-Site Habitat Baseline'!$D$1:$X$258,14,FALSE))))</f>
        <v/>
      </c>
      <c r="O214" s="386" t="str">
        <f>IF(E214="","",IF(ISNA(VLOOKUP($E214,'A-1 On-Site Habitat Baseline'!$D$1:$X$258,16,FALSE)),"",(VLOOKUP($E214,'A-1 On-Site Habitat Baseline'!$D$1:$X$258,13,FALSE))))</f>
        <v/>
      </c>
      <c r="P214" s="192" t="str">
        <f>IFERROR(INDEX('G-1 All Habitats'!$AG$3:$AG$17,MATCH(Q214,'G-1 All Habitats'!$AF$3:$AF$17,0)),"")</f>
        <v/>
      </c>
      <c r="Q214" s="193" t="str">
        <f t="shared" si="33"/>
        <v/>
      </c>
      <c r="R214" s="193" t="str">
        <f t="shared" si="33"/>
        <v/>
      </c>
      <c r="S214" s="306" t="str">
        <f>IFERROR(INDEX('G-1 All Habitats'!$B$3:$B$134,MATCH(R214,'G-1 All Habitats'!$A$3:$A$134,0)),"")</f>
        <v/>
      </c>
      <c r="T214" s="362" t="str">
        <f t="shared" si="34"/>
        <v/>
      </c>
      <c r="U214" s="363" t="str">
        <f t="shared" si="35"/>
        <v/>
      </c>
      <c r="V214" s="398" t="str">
        <f t="shared" si="31"/>
        <v/>
      </c>
      <c r="W214" s="382" t="str">
        <f>IF(S214="","",VLOOKUP(S214,'G-1 All Habitats'!$B$2:$M$134,10,FALSE))</f>
        <v/>
      </c>
      <c r="X214" s="382" t="str">
        <f>IFERROR(VLOOKUP(W214,'G-1 All Habitats'!$V$3:$W$7,2,FALSE),"")</f>
        <v/>
      </c>
      <c r="Y214" s="61"/>
      <c r="Z214" s="386" t="str">
        <f>IFERROR(INDEX('G-8 Condition Look up'!$A$3:$H$135,MATCH(S214,'G-8 Condition Look up'!$A$3:$A$135,0),MATCH(Y214,'G-8 Condition Look up'!$A$3:$H$3,0)),"")</f>
        <v/>
      </c>
      <c r="AA214" s="54"/>
      <c r="AB214" s="382" t="str">
        <f>IF(AA214="","",IF(VLOOKUP(AA214,'G-3 Multipliers'!$L$3:$N$6,2,FALSE)=0,"Spatial Data Missing ⚠",VLOOKUP(AA214,'G-3 Multipliers'!$L$3:$N$6,2,FALSE)))</f>
        <v/>
      </c>
      <c r="AC214" s="386" t="str">
        <f>IF(AA214="","",IF(VLOOKUP(AA214,'G-3 Multipliers'!$L$3:$N$6,3,FALSE)=0,"Spatial Data Missing ⚠",VLOOKUP(AA214,'G-3 Multipliers'!$L$3:$N$6,3,FALSE)))</f>
        <v/>
      </c>
      <c r="AD214" s="400" t="str">
        <f t="shared" si="32"/>
        <v/>
      </c>
      <c r="AE214" s="63"/>
      <c r="AF214" s="63"/>
      <c r="AG214" s="370" t="str">
        <f t="shared" si="36"/>
        <v/>
      </c>
      <c r="AH214" s="383" t="str">
        <f t="shared" si="37"/>
        <v/>
      </c>
      <c r="AI214" s="384" t="str">
        <f>IF(AH214="Check Data","Check Data",IFERROR(VLOOKUP(AH214,'G-4 Temporal multipliers'!$A$4:$C$36,3,FALSE),""))</f>
        <v/>
      </c>
      <c r="AJ214" s="362" t="str">
        <f>IF(S214="","",VLOOKUP(S214,'G-3 Multipliers'!$A$2:$E$134,4,FALSE))</f>
        <v/>
      </c>
      <c r="AK214" s="370" t="str">
        <f t="shared" si="38"/>
        <v/>
      </c>
      <c r="AL214" s="370" t="str">
        <f t="shared" si="39"/>
        <v/>
      </c>
      <c r="AM214" s="401" t="str">
        <f>IFERROR(IF(F214="","",IF(AH214="Check Data ⚠","Check Data ⚠",VLOOKUP(AL214, 'G-3 Multipliers'!$P$2:$Q$6,2,FALSE))),"")</f>
        <v/>
      </c>
      <c r="AN214" s="376" t="str">
        <f t="shared" si="40"/>
        <v/>
      </c>
      <c r="AO214" s="194"/>
      <c r="AP214" s="195"/>
      <c r="AQ214" s="120"/>
    </row>
    <row r="215" spans="1:43">
      <c r="A215" s="35" t="str">
        <f>IF(E215="","",IF(ISNA(VLOOKUP($E215,'A-1 On-Site Habitat Baseline'!$D$1:$O$258,2,FALSE)),"",(VLOOKUP($E215,'A-1 On-Site Habitat Baseline'!$D$1:$O$258,2,FALSE))))</f>
        <v/>
      </c>
      <c r="B215" s="35" t="str">
        <f>IF(E215="","",IF(ISNA(VLOOKUP($E215,'A-1 On-Site Habitat Baseline'!$D$1:$O$258,3,FALSE)),"",(VLOOKUP($E215,'A-1 On-Site Habitat Baseline'!$D$1:$O$258,3,FALSE))))</f>
        <v/>
      </c>
      <c r="C215" s="35" t="str">
        <f>IFERROR(INDEX('G-8 Condition Look up'!$I$4:$I$135,MATCH(S215,'G-8 Condition Look up'!$A$4:$A$135,0)),"")</f>
        <v/>
      </c>
      <c r="E215" s="392" t="str">
        <f>'A-1 On-Site Habitat Baseline'!AL214</f>
        <v/>
      </c>
      <c r="F215" s="382" t="str">
        <f>IF(E215="","",IF(ISNA(VLOOKUP($E215,'A-1 On-Site Habitat Baseline'!$D$1:$O$258,4,FALSE)),"",(VLOOKUP($E215,'A-1 On-Site Habitat Baseline'!$D$1:$O$258,4,FALSE))))</f>
        <v/>
      </c>
      <c r="G215" s="382" t="str">
        <f>IF(E215="","",IF(ISNA(VLOOKUP($E215,'A-1 On-Site Habitat Baseline'!$D$1:$O$258,5,FALSE)),"",(VLOOKUP($E215,'A-1 On-Site Habitat Baseline'!$D$1:$O$258,5,FALSE))))</f>
        <v/>
      </c>
      <c r="H215" s="382" t="str">
        <f>IF(E215="","",IF(ISNA(VLOOKUP($E215,'A-1 On-Site Habitat Baseline'!$D$1:$O$258,6,FALSE)),"",(VLOOKUP($E215,'A-1 On-Site Habitat Baseline'!$D$1:$O$258,6,FALSE))))</f>
        <v/>
      </c>
      <c r="I215" s="382" t="str">
        <f>IF(E215="","",IF(ISNA(VLOOKUP($E215,'A-1 On-Site Habitat Baseline'!$D$1:$O$258,7,FALSE)),"",(VLOOKUP($E215,'A-1 On-Site Habitat Baseline'!$D$1:$O$258,7,FALSE))))</f>
        <v/>
      </c>
      <c r="J215" s="382" t="str">
        <f>IF(E215="","",IF(ISNA(VLOOKUP($E215,'A-1 On-Site Habitat Baseline'!$D$1:$O$258,8,FALSE)),"",(VLOOKUP($E215,'A-1 On-Site Habitat Baseline'!$D$1:$O$258,8,FALSE))))</f>
        <v/>
      </c>
      <c r="K215" s="382" t="str">
        <f>IF(E215="","",IF(ISNA(VLOOKUP($E215,'A-1 On-Site Habitat Baseline'!$D$1:$O$258,9,FALSE)),"",(VLOOKUP($E215,'A-1 On-Site Habitat Baseline'!$D$1:$O$258,9,FALSE))))</f>
        <v/>
      </c>
      <c r="L215" s="382" t="str">
        <f>IF(E215="","",IF(ISNA(VLOOKUP($E215,'A-1 On-Site Habitat Baseline'!$D$1:$O$258,11,FALSE)),"",(VLOOKUP($E215,'A-1 On-Site Habitat Baseline'!$D$1:$O$258,11,FALSE))))</f>
        <v/>
      </c>
      <c r="M215" s="382" t="str">
        <f>IF(E215="","",IF(ISNA(VLOOKUP($E215,'A-1 On-Site Habitat Baseline'!$D$1:$O$258,12,FALSE)),"",(VLOOKUP($E215,'A-1 On-Site Habitat Baseline'!$D$1:$O$258,12,FALSE))))</f>
        <v/>
      </c>
      <c r="N215" s="393" t="str">
        <f>IF(E215="","",IF(ISNA(VLOOKUP($E215,'A-1 On-Site Habitat Baseline'!$D$1:$X$258,14,FALSE)),"",(VLOOKUP($E215,'A-1 On-Site Habitat Baseline'!$D$1:$X$258,14,FALSE))))</f>
        <v/>
      </c>
      <c r="O215" s="386" t="str">
        <f>IF(E215="","",IF(ISNA(VLOOKUP($E215,'A-1 On-Site Habitat Baseline'!$D$1:$X$258,16,FALSE)),"",(VLOOKUP($E215,'A-1 On-Site Habitat Baseline'!$D$1:$X$258,13,FALSE))))</f>
        <v/>
      </c>
      <c r="P215" s="192" t="str">
        <f>IFERROR(INDEX('G-1 All Habitats'!$AG$3:$AG$17,MATCH(Q215,'G-1 All Habitats'!$AF$3:$AF$17,0)),"")</f>
        <v/>
      </c>
      <c r="Q215" s="193" t="str">
        <f t="shared" si="33"/>
        <v/>
      </c>
      <c r="R215" s="193" t="str">
        <f t="shared" si="33"/>
        <v/>
      </c>
      <c r="S215" s="306" t="str">
        <f>IFERROR(INDEX('G-1 All Habitats'!$B$3:$B$134,MATCH(R215,'G-1 All Habitats'!$A$3:$A$134,0)),"")</f>
        <v/>
      </c>
      <c r="T215" s="362" t="str">
        <f t="shared" si="34"/>
        <v/>
      </c>
      <c r="U215" s="363" t="str">
        <f t="shared" si="35"/>
        <v/>
      </c>
      <c r="V215" s="398" t="str">
        <f t="shared" si="31"/>
        <v/>
      </c>
      <c r="W215" s="382" t="str">
        <f>IF(S215="","",VLOOKUP(S215,'G-1 All Habitats'!$B$2:$M$134,10,FALSE))</f>
        <v/>
      </c>
      <c r="X215" s="382" t="str">
        <f>IFERROR(VLOOKUP(W215,'G-1 All Habitats'!$V$3:$W$7,2,FALSE),"")</f>
        <v/>
      </c>
      <c r="Y215" s="61"/>
      <c r="Z215" s="386" t="str">
        <f>IFERROR(INDEX('G-8 Condition Look up'!$A$3:$H$135,MATCH(S215,'G-8 Condition Look up'!$A$3:$A$135,0),MATCH(Y215,'G-8 Condition Look up'!$A$3:$H$3,0)),"")</f>
        <v/>
      </c>
      <c r="AA215" s="54"/>
      <c r="AB215" s="382" t="str">
        <f>IF(AA215="","",IF(VLOOKUP(AA215,'G-3 Multipliers'!$L$3:$N$6,2,FALSE)=0,"Spatial Data Missing ⚠",VLOOKUP(AA215,'G-3 Multipliers'!$L$3:$N$6,2,FALSE)))</f>
        <v/>
      </c>
      <c r="AC215" s="386" t="str">
        <f>IF(AA215="","",IF(VLOOKUP(AA215,'G-3 Multipliers'!$L$3:$N$6,3,FALSE)=0,"Spatial Data Missing ⚠",VLOOKUP(AA215,'G-3 Multipliers'!$L$3:$N$6,3,FALSE)))</f>
        <v/>
      </c>
      <c r="AD215" s="400" t="str">
        <f t="shared" si="32"/>
        <v/>
      </c>
      <c r="AE215" s="63"/>
      <c r="AF215" s="63"/>
      <c r="AG215" s="370" t="str">
        <f t="shared" si="36"/>
        <v/>
      </c>
      <c r="AH215" s="383" t="str">
        <f t="shared" si="37"/>
        <v/>
      </c>
      <c r="AI215" s="384" t="str">
        <f>IF(AH215="Check Data","Check Data",IFERROR(VLOOKUP(AH215,'G-4 Temporal multipliers'!$A$4:$C$36,3,FALSE),""))</f>
        <v/>
      </c>
      <c r="AJ215" s="362" t="str">
        <f>IF(S215="","",VLOOKUP(S215,'G-3 Multipliers'!$A$2:$E$134,4,FALSE))</f>
        <v/>
      </c>
      <c r="AK215" s="370" t="str">
        <f t="shared" si="38"/>
        <v/>
      </c>
      <c r="AL215" s="370" t="str">
        <f t="shared" si="39"/>
        <v/>
      </c>
      <c r="AM215" s="401" t="str">
        <f>IFERROR(IF(F215="","",IF(AH215="Check Data ⚠","Check Data ⚠",VLOOKUP(AL215, 'G-3 Multipliers'!$P$2:$Q$6,2,FALSE))),"")</f>
        <v/>
      </c>
      <c r="AN215" s="376" t="str">
        <f t="shared" si="40"/>
        <v/>
      </c>
      <c r="AO215" s="194"/>
      <c r="AP215" s="195"/>
      <c r="AQ215" s="120"/>
    </row>
    <row r="216" spans="1:43">
      <c r="A216" s="35" t="str">
        <f>IF(E216="","",IF(ISNA(VLOOKUP($E216,'A-1 On-Site Habitat Baseline'!$D$1:$O$258,2,FALSE)),"",(VLOOKUP($E216,'A-1 On-Site Habitat Baseline'!$D$1:$O$258,2,FALSE))))</f>
        <v/>
      </c>
      <c r="B216" s="35" t="str">
        <f>IF(E216="","",IF(ISNA(VLOOKUP($E216,'A-1 On-Site Habitat Baseline'!$D$1:$O$258,3,FALSE)),"",(VLOOKUP($E216,'A-1 On-Site Habitat Baseline'!$D$1:$O$258,3,FALSE))))</f>
        <v/>
      </c>
      <c r="C216" s="35" t="str">
        <f>IFERROR(INDEX('G-8 Condition Look up'!$I$4:$I$135,MATCH(S216,'G-8 Condition Look up'!$A$4:$A$135,0)),"")</f>
        <v/>
      </c>
      <c r="E216" s="392" t="str">
        <f>'A-1 On-Site Habitat Baseline'!AL215</f>
        <v/>
      </c>
      <c r="F216" s="382" t="str">
        <f>IF(E216="","",IF(ISNA(VLOOKUP($E216,'A-1 On-Site Habitat Baseline'!$D$1:$O$258,4,FALSE)),"",(VLOOKUP($E216,'A-1 On-Site Habitat Baseline'!$D$1:$O$258,4,FALSE))))</f>
        <v/>
      </c>
      <c r="G216" s="382" t="str">
        <f>IF(E216="","",IF(ISNA(VLOOKUP($E216,'A-1 On-Site Habitat Baseline'!$D$1:$O$258,5,FALSE)),"",(VLOOKUP($E216,'A-1 On-Site Habitat Baseline'!$D$1:$O$258,5,FALSE))))</f>
        <v/>
      </c>
      <c r="H216" s="382" t="str">
        <f>IF(E216="","",IF(ISNA(VLOOKUP($E216,'A-1 On-Site Habitat Baseline'!$D$1:$O$258,6,FALSE)),"",(VLOOKUP($E216,'A-1 On-Site Habitat Baseline'!$D$1:$O$258,6,FALSE))))</f>
        <v/>
      </c>
      <c r="I216" s="382" t="str">
        <f>IF(E216="","",IF(ISNA(VLOOKUP($E216,'A-1 On-Site Habitat Baseline'!$D$1:$O$258,7,FALSE)),"",(VLOOKUP($E216,'A-1 On-Site Habitat Baseline'!$D$1:$O$258,7,FALSE))))</f>
        <v/>
      </c>
      <c r="J216" s="382" t="str">
        <f>IF(E216="","",IF(ISNA(VLOOKUP($E216,'A-1 On-Site Habitat Baseline'!$D$1:$O$258,8,FALSE)),"",(VLOOKUP($E216,'A-1 On-Site Habitat Baseline'!$D$1:$O$258,8,FALSE))))</f>
        <v/>
      </c>
      <c r="K216" s="382" t="str">
        <f>IF(E216="","",IF(ISNA(VLOOKUP($E216,'A-1 On-Site Habitat Baseline'!$D$1:$O$258,9,FALSE)),"",(VLOOKUP($E216,'A-1 On-Site Habitat Baseline'!$D$1:$O$258,9,FALSE))))</f>
        <v/>
      </c>
      <c r="L216" s="382" t="str">
        <f>IF(E216="","",IF(ISNA(VLOOKUP($E216,'A-1 On-Site Habitat Baseline'!$D$1:$O$258,11,FALSE)),"",(VLOOKUP($E216,'A-1 On-Site Habitat Baseline'!$D$1:$O$258,11,FALSE))))</f>
        <v/>
      </c>
      <c r="M216" s="382" t="str">
        <f>IF(E216="","",IF(ISNA(VLOOKUP($E216,'A-1 On-Site Habitat Baseline'!$D$1:$O$258,12,FALSE)),"",(VLOOKUP($E216,'A-1 On-Site Habitat Baseline'!$D$1:$O$258,12,FALSE))))</f>
        <v/>
      </c>
      <c r="N216" s="393" t="str">
        <f>IF(E216="","",IF(ISNA(VLOOKUP($E216,'A-1 On-Site Habitat Baseline'!$D$1:$X$258,14,FALSE)),"",(VLOOKUP($E216,'A-1 On-Site Habitat Baseline'!$D$1:$X$258,14,FALSE))))</f>
        <v/>
      </c>
      <c r="O216" s="386" t="str">
        <f>IF(E216="","",IF(ISNA(VLOOKUP($E216,'A-1 On-Site Habitat Baseline'!$D$1:$X$258,16,FALSE)),"",(VLOOKUP($E216,'A-1 On-Site Habitat Baseline'!$D$1:$X$258,13,FALSE))))</f>
        <v/>
      </c>
      <c r="P216" s="192" t="str">
        <f>IFERROR(INDEX('G-1 All Habitats'!$AG$3:$AG$17,MATCH(Q216,'G-1 All Habitats'!$AF$3:$AF$17,0)),"")</f>
        <v/>
      </c>
      <c r="Q216" s="193" t="str">
        <f t="shared" si="33"/>
        <v/>
      </c>
      <c r="R216" s="193" t="str">
        <f t="shared" si="33"/>
        <v/>
      </c>
      <c r="S216" s="306" t="str">
        <f>IFERROR(INDEX('G-1 All Habitats'!$B$3:$B$134,MATCH(R216,'G-1 All Habitats'!$A$3:$A$134,0)),"")</f>
        <v/>
      </c>
      <c r="T216" s="362" t="str">
        <f t="shared" si="34"/>
        <v/>
      </c>
      <c r="U216" s="363" t="str">
        <f t="shared" si="35"/>
        <v/>
      </c>
      <c r="V216" s="398" t="str">
        <f t="shared" si="31"/>
        <v/>
      </c>
      <c r="W216" s="382" t="str">
        <f>IF(S216="","",VLOOKUP(S216,'G-1 All Habitats'!$B$2:$M$134,10,FALSE))</f>
        <v/>
      </c>
      <c r="X216" s="382" t="str">
        <f>IFERROR(VLOOKUP(W216,'G-1 All Habitats'!$V$3:$W$7,2,FALSE),"")</f>
        <v/>
      </c>
      <c r="Y216" s="61"/>
      <c r="Z216" s="386" t="str">
        <f>IFERROR(INDEX('G-8 Condition Look up'!$A$3:$H$135,MATCH(S216,'G-8 Condition Look up'!$A$3:$A$135,0),MATCH(Y216,'G-8 Condition Look up'!$A$3:$H$3,0)),"")</f>
        <v/>
      </c>
      <c r="AA216" s="54"/>
      <c r="AB216" s="382" t="str">
        <f>IF(AA216="","",IF(VLOOKUP(AA216,'G-3 Multipliers'!$L$3:$N$6,2,FALSE)=0,"Spatial Data Missing ⚠",VLOOKUP(AA216,'G-3 Multipliers'!$L$3:$N$6,2,FALSE)))</f>
        <v/>
      </c>
      <c r="AC216" s="386" t="str">
        <f>IF(AA216="","",IF(VLOOKUP(AA216,'G-3 Multipliers'!$L$3:$N$6,3,FALSE)=0,"Spatial Data Missing ⚠",VLOOKUP(AA216,'G-3 Multipliers'!$L$3:$N$6,3,FALSE)))</f>
        <v/>
      </c>
      <c r="AD216" s="400" t="str">
        <f t="shared" si="32"/>
        <v/>
      </c>
      <c r="AE216" s="63"/>
      <c r="AF216" s="63"/>
      <c r="AG216" s="370" t="str">
        <f t="shared" si="36"/>
        <v/>
      </c>
      <c r="AH216" s="383" t="str">
        <f t="shared" si="37"/>
        <v/>
      </c>
      <c r="AI216" s="384" t="str">
        <f>IF(AH216="Check Data","Check Data",IFERROR(VLOOKUP(AH216,'G-4 Temporal multipliers'!$A$4:$C$36,3,FALSE),""))</f>
        <v/>
      </c>
      <c r="AJ216" s="362" t="str">
        <f>IF(S216="","",VLOOKUP(S216,'G-3 Multipliers'!$A$2:$E$134,4,FALSE))</f>
        <v/>
      </c>
      <c r="AK216" s="370" t="str">
        <f t="shared" si="38"/>
        <v/>
      </c>
      <c r="AL216" s="370" t="str">
        <f t="shared" si="39"/>
        <v/>
      </c>
      <c r="AM216" s="401" t="str">
        <f>IFERROR(IF(F216="","",IF(AH216="Check Data ⚠","Check Data ⚠",VLOOKUP(AL216, 'G-3 Multipliers'!$P$2:$Q$6,2,FALSE))),"")</f>
        <v/>
      </c>
      <c r="AN216" s="376" t="str">
        <f t="shared" si="40"/>
        <v/>
      </c>
      <c r="AO216" s="194"/>
      <c r="AP216" s="195"/>
      <c r="AQ216" s="120"/>
    </row>
    <row r="217" spans="1:43">
      <c r="A217" s="35" t="str">
        <f>IF(E217="","",IF(ISNA(VLOOKUP($E217,'A-1 On-Site Habitat Baseline'!$D$1:$O$258,2,FALSE)),"",(VLOOKUP($E217,'A-1 On-Site Habitat Baseline'!$D$1:$O$258,2,FALSE))))</f>
        <v/>
      </c>
      <c r="B217" s="35" t="str">
        <f>IF(E217="","",IF(ISNA(VLOOKUP($E217,'A-1 On-Site Habitat Baseline'!$D$1:$O$258,3,FALSE)),"",(VLOOKUP($E217,'A-1 On-Site Habitat Baseline'!$D$1:$O$258,3,FALSE))))</f>
        <v/>
      </c>
      <c r="C217" s="35" t="str">
        <f>IFERROR(INDEX('G-8 Condition Look up'!$I$4:$I$135,MATCH(S217,'G-8 Condition Look up'!$A$4:$A$135,0)),"")</f>
        <v/>
      </c>
      <c r="E217" s="392" t="str">
        <f>'A-1 On-Site Habitat Baseline'!AL216</f>
        <v/>
      </c>
      <c r="F217" s="382" t="str">
        <f>IF(E217="","",IF(ISNA(VLOOKUP($E217,'A-1 On-Site Habitat Baseline'!$D$1:$O$258,4,FALSE)),"",(VLOOKUP($E217,'A-1 On-Site Habitat Baseline'!$D$1:$O$258,4,FALSE))))</f>
        <v/>
      </c>
      <c r="G217" s="382" t="str">
        <f>IF(E217="","",IF(ISNA(VLOOKUP($E217,'A-1 On-Site Habitat Baseline'!$D$1:$O$258,5,FALSE)),"",(VLOOKUP($E217,'A-1 On-Site Habitat Baseline'!$D$1:$O$258,5,FALSE))))</f>
        <v/>
      </c>
      <c r="H217" s="382" t="str">
        <f>IF(E217="","",IF(ISNA(VLOOKUP($E217,'A-1 On-Site Habitat Baseline'!$D$1:$O$258,6,FALSE)),"",(VLOOKUP($E217,'A-1 On-Site Habitat Baseline'!$D$1:$O$258,6,FALSE))))</f>
        <v/>
      </c>
      <c r="I217" s="382" t="str">
        <f>IF(E217="","",IF(ISNA(VLOOKUP($E217,'A-1 On-Site Habitat Baseline'!$D$1:$O$258,7,FALSE)),"",(VLOOKUP($E217,'A-1 On-Site Habitat Baseline'!$D$1:$O$258,7,FALSE))))</f>
        <v/>
      </c>
      <c r="J217" s="382" t="str">
        <f>IF(E217="","",IF(ISNA(VLOOKUP($E217,'A-1 On-Site Habitat Baseline'!$D$1:$O$258,8,FALSE)),"",(VLOOKUP($E217,'A-1 On-Site Habitat Baseline'!$D$1:$O$258,8,FALSE))))</f>
        <v/>
      </c>
      <c r="K217" s="382" t="str">
        <f>IF(E217="","",IF(ISNA(VLOOKUP($E217,'A-1 On-Site Habitat Baseline'!$D$1:$O$258,9,FALSE)),"",(VLOOKUP($E217,'A-1 On-Site Habitat Baseline'!$D$1:$O$258,9,FALSE))))</f>
        <v/>
      </c>
      <c r="L217" s="382" t="str">
        <f>IF(E217="","",IF(ISNA(VLOOKUP($E217,'A-1 On-Site Habitat Baseline'!$D$1:$O$258,11,FALSE)),"",(VLOOKUP($E217,'A-1 On-Site Habitat Baseline'!$D$1:$O$258,11,FALSE))))</f>
        <v/>
      </c>
      <c r="M217" s="382" t="str">
        <f>IF(E217="","",IF(ISNA(VLOOKUP($E217,'A-1 On-Site Habitat Baseline'!$D$1:$O$258,12,FALSE)),"",(VLOOKUP($E217,'A-1 On-Site Habitat Baseline'!$D$1:$O$258,12,FALSE))))</f>
        <v/>
      </c>
      <c r="N217" s="393" t="str">
        <f>IF(E217="","",IF(ISNA(VLOOKUP($E217,'A-1 On-Site Habitat Baseline'!$D$1:$X$258,14,FALSE)),"",(VLOOKUP($E217,'A-1 On-Site Habitat Baseline'!$D$1:$X$258,14,FALSE))))</f>
        <v/>
      </c>
      <c r="O217" s="386" t="str">
        <f>IF(E217="","",IF(ISNA(VLOOKUP($E217,'A-1 On-Site Habitat Baseline'!$D$1:$X$258,16,FALSE)),"",(VLOOKUP($E217,'A-1 On-Site Habitat Baseline'!$D$1:$X$258,13,FALSE))))</f>
        <v/>
      </c>
      <c r="P217" s="192" t="str">
        <f>IFERROR(INDEX('G-1 All Habitats'!$AG$3:$AG$17,MATCH(Q217,'G-1 All Habitats'!$AF$3:$AF$17,0)),"")</f>
        <v/>
      </c>
      <c r="Q217" s="193" t="str">
        <f t="shared" si="33"/>
        <v/>
      </c>
      <c r="R217" s="193" t="str">
        <f t="shared" si="33"/>
        <v/>
      </c>
      <c r="S217" s="306" t="str">
        <f>IFERROR(INDEX('G-1 All Habitats'!$B$3:$B$134,MATCH(R217,'G-1 All Habitats'!$A$3:$A$134,0)),"")</f>
        <v/>
      </c>
      <c r="T217" s="362" t="str">
        <f t="shared" si="34"/>
        <v/>
      </c>
      <c r="U217" s="363" t="str">
        <f t="shared" si="35"/>
        <v/>
      </c>
      <c r="V217" s="398" t="str">
        <f t="shared" si="31"/>
        <v/>
      </c>
      <c r="W217" s="382" t="str">
        <f>IF(S217="","",VLOOKUP(S217,'G-1 All Habitats'!$B$2:$M$134,10,FALSE))</f>
        <v/>
      </c>
      <c r="X217" s="382" t="str">
        <f>IFERROR(VLOOKUP(W217,'G-1 All Habitats'!$V$3:$W$7,2,FALSE),"")</f>
        <v/>
      </c>
      <c r="Y217" s="61"/>
      <c r="Z217" s="386" t="str">
        <f>IFERROR(INDEX('G-8 Condition Look up'!$A$3:$H$135,MATCH(S217,'G-8 Condition Look up'!$A$3:$A$135,0),MATCH(Y217,'G-8 Condition Look up'!$A$3:$H$3,0)),"")</f>
        <v/>
      </c>
      <c r="AA217" s="54"/>
      <c r="AB217" s="382" t="str">
        <f>IF(AA217="","",IF(VLOOKUP(AA217,'G-3 Multipliers'!$L$3:$N$6,2,FALSE)=0,"Spatial Data Missing ⚠",VLOOKUP(AA217,'G-3 Multipliers'!$L$3:$N$6,2,FALSE)))</f>
        <v/>
      </c>
      <c r="AC217" s="386" t="str">
        <f>IF(AA217="","",IF(VLOOKUP(AA217,'G-3 Multipliers'!$L$3:$N$6,3,FALSE)=0,"Spatial Data Missing ⚠",VLOOKUP(AA217,'G-3 Multipliers'!$L$3:$N$6,3,FALSE)))</f>
        <v/>
      </c>
      <c r="AD217" s="400" t="str">
        <f t="shared" si="32"/>
        <v/>
      </c>
      <c r="AE217" s="63"/>
      <c r="AF217" s="63"/>
      <c r="AG217" s="370" t="str">
        <f t="shared" si="36"/>
        <v/>
      </c>
      <c r="AH217" s="383" t="str">
        <f t="shared" si="37"/>
        <v/>
      </c>
      <c r="AI217" s="384" t="str">
        <f>IF(AH217="Check Data","Check Data",IFERROR(VLOOKUP(AH217,'G-4 Temporal multipliers'!$A$4:$C$36,3,FALSE),""))</f>
        <v/>
      </c>
      <c r="AJ217" s="362" t="str">
        <f>IF(S217="","",VLOOKUP(S217,'G-3 Multipliers'!$A$2:$E$134,4,FALSE))</f>
        <v/>
      </c>
      <c r="AK217" s="370" t="str">
        <f t="shared" si="38"/>
        <v/>
      </c>
      <c r="AL217" s="370" t="str">
        <f t="shared" si="39"/>
        <v/>
      </c>
      <c r="AM217" s="401" t="str">
        <f>IFERROR(IF(F217="","",IF(AH217="Check Data ⚠","Check Data ⚠",VLOOKUP(AL217, 'G-3 Multipliers'!$P$2:$Q$6,2,FALSE))),"")</f>
        <v/>
      </c>
      <c r="AN217" s="376" t="str">
        <f t="shared" si="40"/>
        <v/>
      </c>
      <c r="AO217" s="194"/>
      <c r="AP217" s="195"/>
      <c r="AQ217" s="120"/>
    </row>
    <row r="218" spans="1:43">
      <c r="A218" s="35" t="str">
        <f>IF(E218="","",IF(ISNA(VLOOKUP($E218,'A-1 On-Site Habitat Baseline'!$D$1:$O$258,2,FALSE)),"",(VLOOKUP($E218,'A-1 On-Site Habitat Baseline'!$D$1:$O$258,2,FALSE))))</f>
        <v/>
      </c>
      <c r="B218" s="35" t="str">
        <f>IF(E218="","",IF(ISNA(VLOOKUP($E218,'A-1 On-Site Habitat Baseline'!$D$1:$O$258,3,FALSE)),"",(VLOOKUP($E218,'A-1 On-Site Habitat Baseline'!$D$1:$O$258,3,FALSE))))</f>
        <v/>
      </c>
      <c r="C218" s="35" t="str">
        <f>IFERROR(INDEX('G-8 Condition Look up'!$I$4:$I$135,MATCH(S218,'G-8 Condition Look up'!$A$4:$A$135,0)),"")</f>
        <v/>
      </c>
      <c r="E218" s="392" t="str">
        <f>'A-1 On-Site Habitat Baseline'!AL217</f>
        <v/>
      </c>
      <c r="F218" s="382" t="str">
        <f>IF(E218="","",IF(ISNA(VLOOKUP($E218,'A-1 On-Site Habitat Baseline'!$D$1:$O$258,4,FALSE)),"",(VLOOKUP($E218,'A-1 On-Site Habitat Baseline'!$D$1:$O$258,4,FALSE))))</f>
        <v/>
      </c>
      <c r="G218" s="382" t="str">
        <f>IF(E218="","",IF(ISNA(VLOOKUP($E218,'A-1 On-Site Habitat Baseline'!$D$1:$O$258,5,FALSE)),"",(VLOOKUP($E218,'A-1 On-Site Habitat Baseline'!$D$1:$O$258,5,FALSE))))</f>
        <v/>
      </c>
      <c r="H218" s="382" t="str">
        <f>IF(E218="","",IF(ISNA(VLOOKUP($E218,'A-1 On-Site Habitat Baseline'!$D$1:$O$258,6,FALSE)),"",(VLOOKUP($E218,'A-1 On-Site Habitat Baseline'!$D$1:$O$258,6,FALSE))))</f>
        <v/>
      </c>
      <c r="I218" s="382" t="str">
        <f>IF(E218="","",IF(ISNA(VLOOKUP($E218,'A-1 On-Site Habitat Baseline'!$D$1:$O$258,7,FALSE)),"",(VLOOKUP($E218,'A-1 On-Site Habitat Baseline'!$D$1:$O$258,7,FALSE))))</f>
        <v/>
      </c>
      <c r="J218" s="382" t="str">
        <f>IF(E218="","",IF(ISNA(VLOOKUP($E218,'A-1 On-Site Habitat Baseline'!$D$1:$O$258,8,FALSE)),"",(VLOOKUP($E218,'A-1 On-Site Habitat Baseline'!$D$1:$O$258,8,FALSE))))</f>
        <v/>
      </c>
      <c r="K218" s="382" t="str">
        <f>IF(E218="","",IF(ISNA(VLOOKUP($E218,'A-1 On-Site Habitat Baseline'!$D$1:$O$258,9,FALSE)),"",(VLOOKUP($E218,'A-1 On-Site Habitat Baseline'!$D$1:$O$258,9,FALSE))))</f>
        <v/>
      </c>
      <c r="L218" s="382" t="str">
        <f>IF(E218="","",IF(ISNA(VLOOKUP($E218,'A-1 On-Site Habitat Baseline'!$D$1:$O$258,11,FALSE)),"",(VLOOKUP($E218,'A-1 On-Site Habitat Baseline'!$D$1:$O$258,11,FALSE))))</f>
        <v/>
      </c>
      <c r="M218" s="382" t="str">
        <f>IF(E218="","",IF(ISNA(VLOOKUP($E218,'A-1 On-Site Habitat Baseline'!$D$1:$O$258,12,FALSE)),"",(VLOOKUP($E218,'A-1 On-Site Habitat Baseline'!$D$1:$O$258,12,FALSE))))</f>
        <v/>
      </c>
      <c r="N218" s="393" t="str">
        <f>IF(E218="","",IF(ISNA(VLOOKUP($E218,'A-1 On-Site Habitat Baseline'!$D$1:$X$258,14,FALSE)),"",(VLOOKUP($E218,'A-1 On-Site Habitat Baseline'!$D$1:$X$258,14,FALSE))))</f>
        <v/>
      </c>
      <c r="O218" s="386" t="str">
        <f>IF(E218="","",IF(ISNA(VLOOKUP($E218,'A-1 On-Site Habitat Baseline'!$D$1:$X$258,16,FALSE)),"",(VLOOKUP($E218,'A-1 On-Site Habitat Baseline'!$D$1:$X$258,13,FALSE))))</f>
        <v/>
      </c>
      <c r="P218" s="192" t="str">
        <f>IFERROR(INDEX('G-1 All Habitats'!$AG$3:$AG$17,MATCH(Q218,'G-1 All Habitats'!$AF$3:$AF$17,0)),"")</f>
        <v/>
      </c>
      <c r="Q218" s="193" t="str">
        <f t="shared" si="33"/>
        <v/>
      </c>
      <c r="R218" s="193" t="str">
        <f t="shared" si="33"/>
        <v/>
      </c>
      <c r="S218" s="306" t="str">
        <f>IFERROR(INDEX('G-1 All Habitats'!$B$3:$B$134,MATCH(R218,'G-1 All Habitats'!$A$3:$A$134,0)),"")</f>
        <v/>
      </c>
      <c r="T218" s="362" t="str">
        <f t="shared" si="34"/>
        <v/>
      </c>
      <c r="U218" s="363" t="str">
        <f t="shared" si="35"/>
        <v/>
      </c>
      <c r="V218" s="398" t="str">
        <f t="shared" si="31"/>
        <v/>
      </c>
      <c r="W218" s="382" t="str">
        <f>IF(S218="","",VLOOKUP(S218,'G-1 All Habitats'!$B$2:$M$134,10,FALSE))</f>
        <v/>
      </c>
      <c r="X218" s="382" t="str">
        <f>IFERROR(VLOOKUP(W218,'G-1 All Habitats'!$V$3:$W$7,2,FALSE),"")</f>
        <v/>
      </c>
      <c r="Y218" s="61"/>
      <c r="Z218" s="386" t="str">
        <f>IFERROR(INDEX('G-8 Condition Look up'!$A$3:$H$135,MATCH(S218,'G-8 Condition Look up'!$A$3:$A$135,0),MATCH(Y218,'G-8 Condition Look up'!$A$3:$H$3,0)),"")</f>
        <v/>
      </c>
      <c r="AA218" s="54"/>
      <c r="AB218" s="382" t="str">
        <f>IF(AA218="","",IF(VLOOKUP(AA218,'G-3 Multipliers'!$L$3:$N$6,2,FALSE)=0,"Spatial Data Missing ⚠",VLOOKUP(AA218,'G-3 Multipliers'!$L$3:$N$6,2,FALSE)))</f>
        <v/>
      </c>
      <c r="AC218" s="386" t="str">
        <f>IF(AA218="","",IF(VLOOKUP(AA218,'G-3 Multipliers'!$L$3:$N$6,3,FALSE)=0,"Spatial Data Missing ⚠",VLOOKUP(AA218,'G-3 Multipliers'!$L$3:$N$6,3,FALSE)))</f>
        <v/>
      </c>
      <c r="AD218" s="400" t="str">
        <f t="shared" si="32"/>
        <v/>
      </c>
      <c r="AE218" s="63"/>
      <c r="AF218" s="63"/>
      <c r="AG218" s="370" t="str">
        <f t="shared" si="36"/>
        <v/>
      </c>
      <c r="AH218" s="383" t="str">
        <f t="shared" si="37"/>
        <v/>
      </c>
      <c r="AI218" s="384" t="str">
        <f>IF(AH218="Check Data","Check Data",IFERROR(VLOOKUP(AH218,'G-4 Temporal multipliers'!$A$4:$C$36,3,FALSE),""))</f>
        <v/>
      </c>
      <c r="AJ218" s="362" t="str">
        <f>IF(S218="","",VLOOKUP(S218,'G-3 Multipliers'!$A$2:$E$134,4,FALSE))</f>
        <v/>
      </c>
      <c r="AK218" s="370" t="str">
        <f t="shared" si="38"/>
        <v/>
      </c>
      <c r="AL218" s="370" t="str">
        <f t="shared" si="39"/>
        <v/>
      </c>
      <c r="AM218" s="401" t="str">
        <f>IFERROR(IF(F218="","",IF(AH218="Check Data ⚠","Check Data ⚠",VLOOKUP(AL218, 'G-3 Multipliers'!$P$2:$Q$6,2,FALSE))),"")</f>
        <v/>
      </c>
      <c r="AN218" s="376" t="str">
        <f t="shared" si="40"/>
        <v/>
      </c>
      <c r="AO218" s="194"/>
      <c r="AP218" s="195"/>
      <c r="AQ218" s="120"/>
    </row>
    <row r="219" spans="1:43">
      <c r="A219" s="35" t="str">
        <f>IF(E219="","",IF(ISNA(VLOOKUP($E219,'A-1 On-Site Habitat Baseline'!$D$1:$O$258,2,FALSE)),"",(VLOOKUP($E219,'A-1 On-Site Habitat Baseline'!$D$1:$O$258,2,FALSE))))</f>
        <v/>
      </c>
      <c r="B219" s="35" t="str">
        <f>IF(E219="","",IF(ISNA(VLOOKUP($E219,'A-1 On-Site Habitat Baseline'!$D$1:$O$258,3,FALSE)),"",(VLOOKUP($E219,'A-1 On-Site Habitat Baseline'!$D$1:$O$258,3,FALSE))))</f>
        <v/>
      </c>
      <c r="C219" s="35" t="str">
        <f>IFERROR(INDEX('G-8 Condition Look up'!$I$4:$I$135,MATCH(S219,'G-8 Condition Look up'!$A$4:$A$135,0)),"")</f>
        <v/>
      </c>
      <c r="E219" s="392" t="str">
        <f>'A-1 On-Site Habitat Baseline'!AL218</f>
        <v/>
      </c>
      <c r="F219" s="382" t="str">
        <f>IF(E219="","",IF(ISNA(VLOOKUP($E219,'A-1 On-Site Habitat Baseline'!$D$1:$O$258,4,FALSE)),"",(VLOOKUP($E219,'A-1 On-Site Habitat Baseline'!$D$1:$O$258,4,FALSE))))</f>
        <v/>
      </c>
      <c r="G219" s="382" t="str">
        <f>IF(E219="","",IF(ISNA(VLOOKUP($E219,'A-1 On-Site Habitat Baseline'!$D$1:$O$258,5,FALSE)),"",(VLOOKUP($E219,'A-1 On-Site Habitat Baseline'!$D$1:$O$258,5,FALSE))))</f>
        <v/>
      </c>
      <c r="H219" s="382" t="str">
        <f>IF(E219="","",IF(ISNA(VLOOKUP($E219,'A-1 On-Site Habitat Baseline'!$D$1:$O$258,6,FALSE)),"",(VLOOKUP($E219,'A-1 On-Site Habitat Baseline'!$D$1:$O$258,6,FALSE))))</f>
        <v/>
      </c>
      <c r="I219" s="382" t="str">
        <f>IF(E219="","",IF(ISNA(VLOOKUP($E219,'A-1 On-Site Habitat Baseline'!$D$1:$O$258,7,FALSE)),"",(VLOOKUP($E219,'A-1 On-Site Habitat Baseline'!$D$1:$O$258,7,FALSE))))</f>
        <v/>
      </c>
      <c r="J219" s="382" t="str">
        <f>IF(E219="","",IF(ISNA(VLOOKUP($E219,'A-1 On-Site Habitat Baseline'!$D$1:$O$258,8,FALSE)),"",(VLOOKUP($E219,'A-1 On-Site Habitat Baseline'!$D$1:$O$258,8,FALSE))))</f>
        <v/>
      </c>
      <c r="K219" s="382" t="str">
        <f>IF(E219="","",IF(ISNA(VLOOKUP($E219,'A-1 On-Site Habitat Baseline'!$D$1:$O$258,9,FALSE)),"",(VLOOKUP($E219,'A-1 On-Site Habitat Baseline'!$D$1:$O$258,9,FALSE))))</f>
        <v/>
      </c>
      <c r="L219" s="382" t="str">
        <f>IF(E219="","",IF(ISNA(VLOOKUP($E219,'A-1 On-Site Habitat Baseline'!$D$1:$O$258,11,FALSE)),"",(VLOOKUP($E219,'A-1 On-Site Habitat Baseline'!$D$1:$O$258,11,FALSE))))</f>
        <v/>
      </c>
      <c r="M219" s="382" t="str">
        <f>IF(E219="","",IF(ISNA(VLOOKUP($E219,'A-1 On-Site Habitat Baseline'!$D$1:$O$258,12,FALSE)),"",(VLOOKUP($E219,'A-1 On-Site Habitat Baseline'!$D$1:$O$258,12,FALSE))))</f>
        <v/>
      </c>
      <c r="N219" s="393" t="str">
        <f>IF(E219="","",IF(ISNA(VLOOKUP($E219,'A-1 On-Site Habitat Baseline'!$D$1:$X$258,14,FALSE)),"",(VLOOKUP($E219,'A-1 On-Site Habitat Baseline'!$D$1:$X$258,14,FALSE))))</f>
        <v/>
      </c>
      <c r="O219" s="386" t="str">
        <f>IF(E219="","",IF(ISNA(VLOOKUP($E219,'A-1 On-Site Habitat Baseline'!$D$1:$X$258,16,FALSE)),"",(VLOOKUP($E219,'A-1 On-Site Habitat Baseline'!$D$1:$X$258,13,FALSE))))</f>
        <v/>
      </c>
      <c r="P219" s="192" t="str">
        <f>IFERROR(INDEX('G-1 All Habitats'!$AG$3:$AG$17,MATCH(Q219,'G-1 All Habitats'!$AF$3:$AF$17,0)),"")</f>
        <v/>
      </c>
      <c r="Q219" s="193" t="str">
        <f t="shared" si="33"/>
        <v/>
      </c>
      <c r="R219" s="193" t="str">
        <f t="shared" si="33"/>
        <v/>
      </c>
      <c r="S219" s="306" t="str">
        <f>IFERROR(INDEX('G-1 All Habitats'!$B$3:$B$134,MATCH(R219,'G-1 All Habitats'!$A$3:$A$134,0)),"")</f>
        <v/>
      </c>
      <c r="T219" s="362" t="str">
        <f t="shared" si="34"/>
        <v/>
      </c>
      <c r="U219" s="363" t="str">
        <f t="shared" si="35"/>
        <v/>
      </c>
      <c r="V219" s="398" t="str">
        <f t="shared" si="31"/>
        <v/>
      </c>
      <c r="W219" s="382" t="str">
        <f>IF(S219="","",VLOOKUP(S219,'G-1 All Habitats'!$B$2:$M$134,10,FALSE))</f>
        <v/>
      </c>
      <c r="X219" s="382" t="str">
        <f>IFERROR(VLOOKUP(W219,'G-1 All Habitats'!$V$3:$W$7,2,FALSE),"")</f>
        <v/>
      </c>
      <c r="Y219" s="61"/>
      <c r="Z219" s="386" t="str">
        <f>IFERROR(INDEX('G-8 Condition Look up'!$A$3:$H$135,MATCH(S219,'G-8 Condition Look up'!$A$3:$A$135,0),MATCH(Y219,'G-8 Condition Look up'!$A$3:$H$3,0)),"")</f>
        <v/>
      </c>
      <c r="AA219" s="54"/>
      <c r="AB219" s="382" t="str">
        <f>IF(AA219="","",IF(VLOOKUP(AA219,'G-3 Multipliers'!$L$3:$N$6,2,FALSE)=0,"Spatial Data Missing ⚠",VLOOKUP(AA219,'G-3 Multipliers'!$L$3:$N$6,2,FALSE)))</f>
        <v/>
      </c>
      <c r="AC219" s="386" t="str">
        <f>IF(AA219="","",IF(VLOOKUP(AA219,'G-3 Multipliers'!$L$3:$N$6,3,FALSE)=0,"Spatial Data Missing ⚠",VLOOKUP(AA219,'G-3 Multipliers'!$L$3:$N$6,3,FALSE)))</f>
        <v/>
      </c>
      <c r="AD219" s="400" t="str">
        <f t="shared" si="32"/>
        <v/>
      </c>
      <c r="AE219" s="63"/>
      <c r="AF219" s="63"/>
      <c r="AG219" s="370" t="str">
        <f t="shared" si="36"/>
        <v/>
      </c>
      <c r="AH219" s="383" t="str">
        <f t="shared" si="37"/>
        <v/>
      </c>
      <c r="AI219" s="384" t="str">
        <f>IF(AH219="Check Data","Check Data",IFERROR(VLOOKUP(AH219,'G-4 Temporal multipliers'!$A$4:$C$36,3,FALSE),""))</f>
        <v/>
      </c>
      <c r="AJ219" s="362" t="str">
        <f>IF(S219="","",VLOOKUP(S219,'G-3 Multipliers'!$A$2:$E$134,4,FALSE))</f>
        <v/>
      </c>
      <c r="AK219" s="370" t="str">
        <f t="shared" si="38"/>
        <v/>
      </c>
      <c r="AL219" s="370" t="str">
        <f t="shared" si="39"/>
        <v/>
      </c>
      <c r="AM219" s="401" t="str">
        <f>IFERROR(IF(F219="","",IF(AH219="Check Data ⚠","Check Data ⚠",VLOOKUP(AL219, 'G-3 Multipliers'!$P$2:$Q$6,2,FALSE))),"")</f>
        <v/>
      </c>
      <c r="AN219" s="376" t="str">
        <f t="shared" si="40"/>
        <v/>
      </c>
      <c r="AO219" s="194"/>
      <c r="AP219" s="195"/>
      <c r="AQ219" s="120"/>
    </row>
    <row r="220" spans="1:43">
      <c r="A220" s="35" t="str">
        <f>IF(E220="","",IF(ISNA(VLOOKUP($E220,'A-1 On-Site Habitat Baseline'!$D$1:$O$258,2,FALSE)),"",(VLOOKUP($E220,'A-1 On-Site Habitat Baseline'!$D$1:$O$258,2,FALSE))))</f>
        <v/>
      </c>
      <c r="B220" s="35" t="str">
        <f>IF(E220="","",IF(ISNA(VLOOKUP($E220,'A-1 On-Site Habitat Baseline'!$D$1:$O$258,3,FALSE)),"",(VLOOKUP($E220,'A-1 On-Site Habitat Baseline'!$D$1:$O$258,3,FALSE))))</f>
        <v/>
      </c>
      <c r="C220" s="35" t="str">
        <f>IFERROR(INDEX('G-8 Condition Look up'!$I$4:$I$135,MATCH(S220,'G-8 Condition Look up'!$A$4:$A$135,0)),"")</f>
        <v/>
      </c>
      <c r="E220" s="392" t="str">
        <f>'A-1 On-Site Habitat Baseline'!AL219</f>
        <v/>
      </c>
      <c r="F220" s="382" t="str">
        <f>IF(E220="","",IF(ISNA(VLOOKUP($E220,'A-1 On-Site Habitat Baseline'!$D$1:$O$258,4,FALSE)),"",(VLOOKUP($E220,'A-1 On-Site Habitat Baseline'!$D$1:$O$258,4,FALSE))))</f>
        <v/>
      </c>
      <c r="G220" s="382" t="str">
        <f>IF(E220="","",IF(ISNA(VLOOKUP($E220,'A-1 On-Site Habitat Baseline'!$D$1:$O$258,5,FALSE)),"",(VLOOKUP($E220,'A-1 On-Site Habitat Baseline'!$D$1:$O$258,5,FALSE))))</f>
        <v/>
      </c>
      <c r="H220" s="382" t="str">
        <f>IF(E220="","",IF(ISNA(VLOOKUP($E220,'A-1 On-Site Habitat Baseline'!$D$1:$O$258,6,FALSE)),"",(VLOOKUP($E220,'A-1 On-Site Habitat Baseline'!$D$1:$O$258,6,FALSE))))</f>
        <v/>
      </c>
      <c r="I220" s="382" t="str">
        <f>IF(E220="","",IF(ISNA(VLOOKUP($E220,'A-1 On-Site Habitat Baseline'!$D$1:$O$258,7,FALSE)),"",(VLOOKUP($E220,'A-1 On-Site Habitat Baseline'!$D$1:$O$258,7,FALSE))))</f>
        <v/>
      </c>
      <c r="J220" s="382" t="str">
        <f>IF(E220="","",IF(ISNA(VLOOKUP($E220,'A-1 On-Site Habitat Baseline'!$D$1:$O$258,8,FALSE)),"",(VLOOKUP($E220,'A-1 On-Site Habitat Baseline'!$D$1:$O$258,8,FALSE))))</f>
        <v/>
      </c>
      <c r="K220" s="382" t="str">
        <f>IF(E220="","",IF(ISNA(VLOOKUP($E220,'A-1 On-Site Habitat Baseline'!$D$1:$O$258,9,FALSE)),"",(VLOOKUP($E220,'A-1 On-Site Habitat Baseline'!$D$1:$O$258,9,FALSE))))</f>
        <v/>
      </c>
      <c r="L220" s="382" t="str">
        <f>IF(E220="","",IF(ISNA(VLOOKUP($E220,'A-1 On-Site Habitat Baseline'!$D$1:$O$258,11,FALSE)),"",(VLOOKUP($E220,'A-1 On-Site Habitat Baseline'!$D$1:$O$258,11,FALSE))))</f>
        <v/>
      </c>
      <c r="M220" s="382" t="str">
        <f>IF(E220="","",IF(ISNA(VLOOKUP($E220,'A-1 On-Site Habitat Baseline'!$D$1:$O$258,12,FALSE)),"",(VLOOKUP($E220,'A-1 On-Site Habitat Baseline'!$D$1:$O$258,12,FALSE))))</f>
        <v/>
      </c>
      <c r="N220" s="393" t="str">
        <f>IF(E220="","",IF(ISNA(VLOOKUP($E220,'A-1 On-Site Habitat Baseline'!$D$1:$X$258,14,FALSE)),"",(VLOOKUP($E220,'A-1 On-Site Habitat Baseline'!$D$1:$X$258,14,FALSE))))</f>
        <v/>
      </c>
      <c r="O220" s="386" t="str">
        <f>IF(E220="","",IF(ISNA(VLOOKUP($E220,'A-1 On-Site Habitat Baseline'!$D$1:$X$258,16,FALSE)),"",(VLOOKUP($E220,'A-1 On-Site Habitat Baseline'!$D$1:$X$258,13,FALSE))))</f>
        <v/>
      </c>
      <c r="P220" s="192" t="str">
        <f>IFERROR(INDEX('G-1 All Habitats'!$AG$3:$AG$17,MATCH(Q220,'G-1 All Habitats'!$AF$3:$AF$17,0)),"")</f>
        <v/>
      </c>
      <c r="Q220" s="193" t="str">
        <f t="shared" si="33"/>
        <v/>
      </c>
      <c r="R220" s="193" t="str">
        <f t="shared" si="33"/>
        <v/>
      </c>
      <c r="S220" s="306" t="str">
        <f>IFERROR(INDEX('G-1 All Habitats'!$B$3:$B$134,MATCH(R220,'G-1 All Habitats'!$A$3:$A$134,0)),"")</f>
        <v/>
      </c>
      <c r="T220" s="362" t="str">
        <f t="shared" si="34"/>
        <v/>
      </c>
      <c r="U220" s="363" t="str">
        <f t="shared" si="35"/>
        <v/>
      </c>
      <c r="V220" s="398" t="str">
        <f t="shared" si="31"/>
        <v/>
      </c>
      <c r="W220" s="382" t="str">
        <f>IF(S220="","",VLOOKUP(S220,'G-1 All Habitats'!$B$2:$M$134,10,FALSE))</f>
        <v/>
      </c>
      <c r="X220" s="382" t="str">
        <f>IFERROR(VLOOKUP(W220,'G-1 All Habitats'!$V$3:$W$7,2,FALSE),"")</f>
        <v/>
      </c>
      <c r="Y220" s="61"/>
      <c r="Z220" s="386" t="str">
        <f>IFERROR(INDEX('G-8 Condition Look up'!$A$3:$H$135,MATCH(S220,'G-8 Condition Look up'!$A$3:$A$135,0),MATCH(Y220,'G-8 Condition Look up'!$A$3:$H$3,0)),"")</f>
        <v/>
      </c>
      <c r="AA220" s="54"/>
      <c r="AB220" s="382" t="str">
        <f>IF(AA220="","",IF(VLOOKUP(AA220,'G-3 Multipliers'!$L$3:$N$6,2,FALSE)=0,"Spatial Data Missing ⚠",VLOOKUP(AA220,'G-3 Multipliers'!$L$3:$N$6,2,FALSE)))</f>
        <v/>
      </c>
      <c r="AC220" s="386" t="str">
        <f>IF(AA220="","",IF(VLOOKUP(AA220,'G-3 Multipliers'!$L$3:$N$6,3,FALSE)=0,"Spatial Data Missing ⚠",VLOOKUP(AA220,'G-3 Multipliers'!$L$3:$N$6,3,FALSE)))</f>
        <v/>
      </c>
      <c r="AD220" s="400" t="str">
        <f t="shared" si="32"/>
        <v/>
      </c>
      <c r="AE220" s="63"/>
      <c r="AF220" s="63"/>
      <c r="AG220" s="370" t="str">
        <f t="shared" si="36"/>
        <v/>
      </c>
      <c r="AH220" s="383" t="str">
        <f t="shared" si="37"/>
        <v/>
      </c>
      <c r="AI220" s="384" t="str">
        <f>IF(AH220="Check Data","Check Data",IFERROR(VLOOKUP(AH220,'G-4 Temporal multipliers'!$A$4:$C$36,3,FALSE),""))</f>
        <v/>
      </c>
      <c r="AJ220" s="362" t="str">
        <f>IF(S220="","",VLOOKUP(S220,'G-3 Multipliers'!$A$2:$E$134,4,FALSE))</f>
        <v/>
      </c>
      <c r="AK220" s="370" t="str">
        <f t="shared" si="38"/>
        <v/>
      </c>
      <c r="AL220" s="370" t="str">
        <f t="shared" si="39"/>
        <v/>
      </c>
      <c r="AM220" s="401" t="str">
        <f>IFERROR(IF(F220="","",IF(AH220="Check Data ⚠","Check Data ⚠",VLOOKUP(AL220, 'G-3 Multipliers'!$P$2:$Q$6,2,FALSE))),"")</f>
        <v/>
      </c>
      <c r="AN220" s="376" t="str">
        <f t="shared" si="40"/>
        <v/>
      </c>
      <c r="AO220" s="194"/>
      <c r="AP220" s="195"/>
      <c r="AQ220" s="120"/>
    </row>
    <row r="221" spans="1:43">
      <c r="A221" s="35" t="str">
        <f>IF(E221="","",IF(ISNA(VLOOKUP($E221,'A-1 On-Site Habitat Baseline'!$D$1:$O$258,2,FALSE)),"",(VLOOKUP($E221,'A-1 On-Site Habitat Baseline'!$D$1:$O$258,2,FALSE))))</f>
        <v/>
      </c>
      <c r="B221" s="35" t="str">
        <f>IF(E221="","",IF(ISNA(VLOOKUP($E221,'A-1 On-Site Habitat Baseline'!$D$1:$O$258,3,FALSE)),"",(VLOOKUP($E221,'A-1 On-Site Habitat Baseline'!$D$1:$O$258,3,FALSE))))</f>
        <v/>
      </c>
      <c r="C221" s="35" t="str">
        <f>IFERROR(INDEX('G-8 Condition Look up'!$I$4:$I$135,MATCH(S221,'G-8 Condition Look up'!$A$4:$A$135,0)),"")</f>
        <v/>
      </c>
      <c r="E221" s="392" t="str">
        <f>'A-1 On-Site Habitat Baseline'!AL220</f>
        <v/>
      </c>
      <c r="F221" s="382" t="str">
        <f>IF(E221="","",IF(ISNA(VLOOKUP($E221,'A-1 On-Site Habitat Baseline'!$D$1:$O$258,4,FALSE)),"",(VLOOKUP($E221,'A-1 On-Site Habitat Baseline'!$D$1:$O$258,4,FALSE))))</f>
        <v/>
      </c>
      <c r="G221" s="382" t="str">
        <f>IF(E221="","",IF(ISNA(VLOOKUP($E221,'A-1 On-Site Habitat Baseline'!$D$1:$O$258,5,FALSE)),"",(VLOOKUP($E221,'A-1 On-Site Habitat Baseline'!$D$1:$O$258,5,FALSE))))</f>
        <v/>
      </c>
      <c r="H221" s="382" t="str">
        <f>IF(E221="","",IF(ISNA(VLOOKUP($E221,'A-1 On-Site Habitat Baseline'!$D$1:$O$258,6,FALSE)),"",(VLOOKUP($E221,'A-1 On-Site Habitat Baseline'!$D$1:$O$258,6,FALSE))))</f>
        <v/>
      </c>
      <c r="I221" s="382" t="str">
        <f>IF(E221="","",IF(ISNA(VLOOKUP($E221,'A-1 On-Site Habitat Baseline'!$D$1:$O$258,7,FALSE)),"",(VLOOKUP($E221,'A-1 On-Site Habitat Baseline'!$D$1:$O$258,7,FALSE))))</f>
        <v/>
      </c>
      <c r="J221" s="382" t="str">
        <f>IF(E221="","",IF(ISNA(VLOOKUP($E221,'A-1 On-Site Habitat Baseline'!$D$1:$O$258,8,FALSE)),"",(VLOOKUP($E221,'A-1 On-Site Habitat Baseline'!$D$1:$O$258,8,FALSE))))</f>
        <v/>
      </c>
      <c r="K221" s="382" t="str">
        <f>IF(E221="","",IF(ISNA(VLOOKUP($E221,'A-1 On-Site Habitat Baseline'!$D$1:$O$258,9,FALSE)),"",(VLOOKUP($E221,'A-1 On-Site Habitat Baseline'!$D$1:$O$258,9,FALSE))))</f>
        <v/>
      </c>
      <c r="L221" s="382" t="str">
        <f>IF(E221="","",IF(ISNA(VLOOKUP($E221,'A-1 On-Site Habitat Baseline'!$D$1:$O$258,11,FALSE)),"",(VLOOKUP($E221,'A-1 On-Site Habitat Baseline'!$D$1:$O$258,11,FALSE))))</f>
        <v/>
      </c>
      <c r="M221" s="382" t="str">
        <f>IF(E221="","",IF(ISNA(VLOOKUP($E221,'A-1 On-Site Habitat Baseline'!$D$1:$O$258,12,FALSE)),"",(VLOOKUP($E221,'A-1 On-Site Habitat Baseline'!$D$1:$O$258,12,FALSE))))</f>
        <v/>
      </c>
      <c r="N221" s="393" t="str">
        <f>IF(E221="","",IF(ISNA(VLOOKUP($E221,'A-1 On-Site Habitat Baseline'!$D$1:$X$258,14,FALSE)),"",(VLOOKUP($E221,'A-1 On-Site Habitat Baseline'!$D$1:$X$258,14,FALSE))))</f>
        <v/>
      </c>
      <c r="O221" s="386" t="str">
        <f>IF(E221="","",IF(ISNA(VLOOKUP($E221,'A-1 On-Site Habitat Baseline'!$D$1:$X$258,16,FALSE)),"",(VLOOKUP($E221,'A-1 On-Site Habitat Baseline'!$D$1:$X$258,13,FALSE))))</f>
        <v/>
      </c>
      <c r="P221" s="192" t="str">
        <f>IFERROR(INDEX('G-1 All Habitats'!$AG$3:$AG$17,MATCH(Q221,'G-1 All Habitats'!$AF$3:$AF$17,0)),"")</f>
        <v/>
      </c>
      <c r="Q221" s="193" t="str">
        <f t="shared" si="33"/>
        <v/>
      </c>
      <c r="R221" s="193" t="str">
        <f t="shared" si="33"/>
        <v/>
      </c>
      <c r="S221" s="306" t="str">
        <f>IFERROR(INDEX('G-1 All Habitats'!$B$3:$B$134,MATCH(R221,'G-1 All Habitats'!$A$3:$A$134,0)),"")</f>
        <v/>
      </c>
      <c r="T221" s="362" t="str">
        <f t="shared" si="34"/>
        <v/>
      </c>
      <c r="U221" s="363" t="str">
        <f t="shared" si="35"/>
        <v/>
      </c>
      <c r="V221" s="398" t="str">
        <f t="shared" si="31"/>
        <v/>
      </c>
      <c r="W221" s="382" t="str">
        <f>IF(S221="","",VLOOKUP(S221,'G-1 All Habitats'!$B$2:$M$134,10,FALSE))</f>
        <v/>
      </c>
      <c r="X221" s="382" t="str">
        <f>IFERROR(VLOOKUP(W221,'G-1 All Habitats'!$V$3:$W$7,2,FALSE),"")</f>
        <v/>
      </c>
      <c r="Y221" s="61"/>
      <c r="Z221" s="386" t="str">
        <f>IFERROR(INDEX('G-8 Condition Look up'!$A$3:$H$135,MATCH(S221,'G-8 Condition Look up'!$A$3:$A$135,0),MATCH(Y221,'G-8 Condition Look up'!$A$3:$H$3,0)),"")</f>
        <v/>
      </c>
      <c r="AA221" s="54"/>
      <c r="AB221" s="382" t="str">
        <f>IF(AA221="","",IF(VLOOKUP(AA221,'G-3 Multipliers'!$L$3:$N$6,2,FALSE)=0,"Spatial Data Missing ⚠",VLOOKUP(AA221,'G-3 Multipliers'!$L$3:$N$6,2,FALSE)))</f>
        <v/>
      </c>
      <c r="AC221" s="386" t="str">
        <f>IF(AA221="","",IF(VLOOKUP(AA221,'G-3 Multipliers'!$L$3:$N$6,3,FALSE)=0,"Spatial Data Missing ⚠",VLOOKUP(AA221,'G-3 Multipliers'!$L$3:$N$6,3,FALSE)))</f>
        <v/>
      </c>
      <c r="AD221" s="400" t="str">
        <f t="shared" si="32"/>
        <v/>
      </c>
      <c r="AE221" s="63"/>
      <c r="AF221" s="63"/>
      <c r="AG221" s="370" t="str">
        <f t="shared" si="36"/>
        <v/>
      </c>
      <c r="AH221" s="383" t="str">
        <f t="shared" si="37"/>
        <v/>
      </c>
      <c r="AI221" s="384" t="str">
        <f>IF(AH221="Check Data","Check Data",IFERROR(VLOOKUP(AH221,'G-4 Temporal multipliers'!$A$4:$C$36,3,FALSE),""))</f>
        <v/>
      </c>
      <c r="AJ221" s="362" t="str">
        <f>IF(S221="","",VLOOKUP(S221,'G-3 Multipliers'!$A$2:$E$134,4,FALSE))</f>
        <v/>
      </c>
      <c r="AK221" s="370" t="str">
        <f t="shared" si="38"/>
        <v/>
      </c>
      <c r="AL221" s="370" t="str">
        <f t="shared" si="39"/>
        <v/>
      </c>
      <c r="AM221" s="401" t="str">
        <f>IFERROR(IF(F221="","",IF(AH221="Check Data ⚠","Check Data ⚠",VLOOKUP(AL221, 'G-3 Multipliers'!$P$2:$Q$6,2,FALSE))),"")</f>
        <v/>
      </c>
      <c r="AN221" s="376" t="str">
        <f t="shared" si="40"/>
        <v/>
      </c>
      <c r="AO221" s="194"/>
      <c r="AP221" s="195"/>
      <c r="AQ221" s="120"/>
    </row>
    <row r="222" spans="1:43">
      <c r="A222" s="35" t="str">
        <f>IF(E222="","",IF(ISNA(VLOOKUP($E222,'A-1 On-Site Habitat Baseline'!$D$1:$O$258,2,FALSE)),"",(VLOOKUP($E222,'A-1 On-Site Habitat Baseline'!$D$1:$O$258,2,FALSE))))</f>
        <v/>
      </c>
      <c r="B222" s="35" t="str">
        <f>IF(E222="","",IF(ISNA(VLOOKUP($E222,'A-1 On-Site Habitat Baseline'!$D$1:$O$258,3,FALSE)),"",(VLOOKUP($E222,'A-1 On-Site Habitat Baseline'!$D$1:$O$258,3,FALSE))))</f>
        <v/>
      </c>
      <c r="C222" s="35" t="str">
        <f>IFERROR(INDEX('G-8 Condition Look up'!$I$4:$I$135,MATCH(S222,'G-8 Condition Look up'!$A$4:$A$135,0)),"")</f>
        <v/>
      </c>
      <c r="E222" s="392" t="str">
        <f>'A-1 On-Site Habitat Baseline'!AL221</f>
        <v/>
      </c>
      <c r="F222" s="382" t="str">
        <f>IF(E222="","",IF(ISNA(VLOOKUP($E222,'A-1 On-Site Habitat Baseline'!$D$1:$O$258,4,FALSE)),"",(VLOOKUP($E222,'A-1 On-Site Habitat Baseline'!$D$1:$O$258,4,FALSE))))</f>
        <v/>
      </c>
      <c r="G222" s="382" t="str">
        <f>IF(E222="","",IF(ISNA(VLOOKUP($E222,'A-1 On-Site Habitat Baseline'!$D$1:$O$258,5,FALSE)),"",(VLOOKUP($E222,'A-1 On-Site Habitat Baseline'!$D$1:$O$258,5,FALSE))))</f>
        <v/>
      </c>
      <c r="H222" s="382" t="str">
        <f>IF(E222="","",IF(ISNA(VLOOKUP($E222,'A-1 On-Site Habitat Baseline'!$D$1:$O$258,6,FALSE)),"",(VLOOKUP($E222,'A-1 On-Site Habitat Baseline'!$D$1:$O$258,6,FALSE))))</f>
        <v/>
      </c>
      <c r="I222" s="382" t="str">
        <f>IF(E222="","",IF(ISNA(VLOOKUP($E222,'A-1 On-Site Habitat Baseline'!$D$1:$O$258,7,FALSE)),"",(VLOOKUP($E222,'A-1 On-Site Habitat Baseline'!$D$1:$O$258,7,FALSE))))</f>
        <v/>
      </c>
      <c r="J222" s="382" t="str">
        <f>IF(E222="","",IF(ISNA(VLOOKUP($E222,'A-1 On-Site Habitat Baseline'!$D$1:$O$258,8,FALSE)),"",(VLOOKUP($E222,'A-1 On-Site Habitat Baseline'!$D$1:$O$258,8,FALSE))))</f>
        <v/>
      </c>
      <c r="K222" s="382" t="str">
        <f>IF(E222="","",IF(ISNA(VLOOKUP($E222,'A-1 On-Site Habitat Baseline'!$D$1:$O$258,9,FALSE)),"",(VLOOKUP($E222,'A-1 On-Site Habitat Baseline'!$D$1:$O$258,9,FALSE))))</f>
        <v/>
      </c>
      <c r="L222" s="382" t="str">
        <f>IF(E222="","",IF(ISNA(VLOOKUP($E222,'A-1 On-Site Habitat Baseline'!$D$1:$O$258,11,FALSE)),"",(VLOOKUP($E222,'A-1 On-Site Habitat Baseline'!$D$1:$O$258,11,FALSE))))</f>
        <v/>
      </c>
      <c r="M222" s="382" t="str">
        <f>IF(E222="","",IF(ISNA(VLOOKUP($E222,'A-1 On-Site Habitat Baseline'!$D$1:$O$258,12,FALSE)),"",(VLOOKUP($E222,'A-1 On-Site Habitat Baseline'!$D$1:$O$258,12,FALSE))))</f>
        <v/>
      </c>
      <c r="N222" s="393" t="str">
        <f>IF(E222="","",IF(ISNA(VLOOKUP($E222,'A-1 On-Site Habitat Baseline'!$D$1:$X$258,14,FALSE)),"",(VLOOKUP($E222,'A-1 On-Site Habitat Baseline'!$D$1:$X$258,14,FALSE))))</f>
        <v/>
      </c>
      <c r="O222" s="386" t="str">
        <f>IF(E222="","",IF(ISNA(VLOOKUP($E222,'A-1 On-Site Habitat Baseline'!$D$1:$X$258,16,FALSE)),"",(VLOOKUP($E222,'A-1 On-Site Habitat Baseline'!$D$1:$X$258,13,FALSE))))</f>
        <v/>
      </c>
      <c r="P222" s="192" t="str">
        <f>IFERROR(INDEX('G-1 All Habitats'!$AG$3:$AG$17,MATCH(Q222,'G-1 All Habitats'!$AF$3:$AF$17,0)),"")</f>
        <v/>
      </c>
      <c r="Q222" s="193" t="str">
        <f t="shared" si="33"/>
        <v/>
      </c>
      <c r="R222" s="193" t="str">
        <f t="shared" si="33"/>
        <v/>
      </c>
      <c r="S222" s="306" t="str">
        <f>IFERROR(INDEX('G-1 All Habitats'!$B$3:$B$134,MATCH(R222,'G-1 All Habitats'!$A$3:$A$134,0)),"")</f>
        <v/>
      </c>
      <c r="T222" s="362" t="str">
        <f t="shared" si="34"/>
        <v/>
      </c>
      <c r="U222" s="363" t="str">
        <f t="shared" si="35"/>
        <v/>
      </c>
      <c r="V222" s="398" t="str">
        <f t="shared" si="31"/>
        <v/>
      </c>
      <c r="W222" s="382" t="str">
        <f>IF(S222="","",VLOOKUP(S222,'G-1 All Habitats'!$B$2:$M$134,10,FALSE))</f>
        <v/>
      </c>
      <c r="X222" s="382" t="str">
        <f>IFERROR(VLOOKUP(W222,'G-1 All Habitats'!$V$3:$W$7,2,FALSE),"")</f>
        <v/>
      </c>
      <c r="Y222" s="61"/>
      <c r="Z222" s="386" t="str">
        <f>IFERROR(INDEX('G-8 Condition Look up'!$A$3:$H$135,MATCH(S222,'G-8 Condition Look up'!$A$3:$A$135,0),MATCH(Y222,'G-8 Condition Look up'!$A$3:$H$3,0)),"")</f>
        <v/>
      </c>
      <c r="AA222" s="54"/>
      <c r="AB222" s="382" t="str">
        <f>IF(AA222="","",IF(VLOOKUP(AA222,'G-3 Multipliers'!$L$3:$N$6,2,FALSE)=0,"Spatial Data Missing ⚠",VLOOKUP(AA222,'G-3 Multipliers'!$L$3:$N$6,2,FALSE)))</f>
        <v/>
      </c>
      <c r="AC222" s="386" t="str">
        <f>IF(AA222="","",IF(VLOOKUP(AA222,'G-3 Multipliers'!$L$3:$N$6,3,FALSE)=0,"Spatial Data Missing ⚠",VLOOKUP(AA222,'G-3 Multipliers'!$L$3:$N$6,3,FALSE)))</f>
        <v/>
      </c>
      <c r="AD222" s="400" t="str">
        <f t="shared" si="32"/>
        <v/>
      </c>
      <c r="AE222" s="63"/>
      <c r="AF222" s="63"/>
      <c r="AG222" s="370" t="str">
        <f t="shared" si="36"/>
        <v/>
      </c>
      <c r="AH222" s="383" t="str">
        <f t="shared" si="37"/>
        <v/>
      </c>
      <c r="AI222" s="384" t="str">
        <f>IF(AH222="Check Data","Check Data",IFERROR(VLOOKUP(AH222,'G-4 Temporal multipliers'!$A$4:$C$36,3,FALSE),""))</f>
        <v/>
      </c>
      <c r="AJ222" s="362" t="str">
        <f>IF(S222="","",VLOOKUP(S222,'G-3 Multipliers'!$A$2:$E$134,4,FALSE))</f>
        <v/>
      </c>
      <c r="AK222" s="370" t="str">
        <f t="shared" si="38"/>
        <v/>
      </c>
      <c r="AL222" s="370" t="str">
        <f t="shared" si="39"/>
        <v/>
      </c>
      <c r="AM222" s="401" t="str">
        <f>IFERROR(IF(F222="","",IF(AH222="Check Data ⚠","Check Data ⚠",VLOOKUP(AL222, 'G-3 Multipliers'!$P$2:$Q$6,2,FALSE))),"")</f>
        <v/>
      </c>
      <c r="AN222" s="376" t="str">
        <f t="shared" si="40"/>
        <v/>
      </c>
      <c r="AO222" s="194"/>
      <c r="AP222" s="195"/>
      <c r="AQ222" s="120"/>
    </row>
    <row r="223" spans="1:43">
      <c r="A223" s="35" t="str">
        <f>IF(E223="","",IF(ISNA(VLOOKUP($E223,'A-1 On-Site Habitat Baseline'!$D$1:$O$258,2,FALSE)),"",(VLOOKUP($E223,'A-1 On-Site Habitat Baseline'!$D$1:$O$258,2,FALSE))))</f>
        <v/>
      </c>
      <c r="B223" s="35" t="str">
        <f>IF(E223="","",IF(ISNA(VLOOKUP($E223,'A-1 On-Site Habitat Baseline'!$D$1:$O$258,3,FALSE)),"",(VLOOKUP($E223,'A-1 On-Site Habitat Baseline'!$D$1:$O$258,3,FALSE))))</f>
        <v/>
      </c>
      <c r="C223" s="35" t="str">
        <f>IFERROR(INDEX('G-8 Condition Look up'!$I$4:$I$135,MATCH(S223,'G-8 Condition Look up'!$A$4:$A$135,0)),"")</f>
        <v/>
      </c>
      <c r="E223" s="392" t="str">
        <f>'A-1 On-Site Habitat Baseline'!AL222</f>
        <v/>
      </c>
      <c r="F223" s="382" t="str">
        <f>IF(E223="","",IF(ISNA(VLOOKUP($E223,'A-1 On-Site Habitat Baseline'!$D$1:$O$258,4,FALSE)),"",(VLOOKUP($E223,'A-1 On-Site Habitat Baseline'!$D$1:$O$258,4,FALSE))))</f>
        <v/>
      </c>
      <c r="G223" s="382" t="str">
        <f>IF(E223="","",IF(ISNA(VLOOKUP($E223,'A-1 On-Site Habitat Baseline'!$D$1:$O$258,5,FALSE)),"",(VLOOKUP($E223,'A-1 On-Site Habitat Baseline'!$D$1:$O$258,5,FALSE))))</f>
        <v/>
      </c>
      <c r="H223" s="382" t="str">
        <f>IF(E223="","",IF(ISNA(VLOOKUP($E223,'A-1 On-Site Habitat Baseline'!$D$1:$O$258,6,FALSE)),"",(VLOOKUP($E223,'A-1 On-Site Habitat Baseline'!$D$1:$O$258,6,FALSE))))</f>
        <v/>
      </c>
      <c r="I223" s="382" t="str">
        <f>IF(E223="","",IF(ISNA(VLOOKUP($E223,'A-1 On-Site Habitat Baseline'!$D$1:$O$258,7,FALSE)),"",(VLOOKUP($E223,'A-1 On-Site Habitat Baseline'!$D$1:$O$258,7,FALSE))))</f>
        <v/>
      </c>
      <c r="J223" s="382" t="str">
        <f>IF(E223="","",IF(ISNA(VLOOKUP($E223,'A-1 On-Site Habitat Baseline'!$D$1:$O$258,8,FALSE)),"",(VLOOKUP($E223,'A-1 On-Site Habitat Baseline'!$D$1:$O$258,8,FALSE))))</f>
        <v/>
      </c>
      <c r="K223" s="382" t="str">
        <f>IF(E223="","",IF(ISNA(VLOOKUP($E223,'A-1 On-Site Habitat Baseline'!$D$1:$O$258,9,FALSE)),"",(VLOOKUP($E223,'A-1 On-Site Habitat Baseline'!$D$1:$O$258,9,FALSE))))</f>
        <v/>
      </c>
      <c r="L223" s="382" t="str">
        <f>IF(E223="","",IF(ISNA(VLOOKUP($E223,'A-1 On-Site Habitat Baseline'!$D$1:$O$258,11,FALSE)),"",(VLOOKUP($E223,'A-1 On-Site Habitat Baseline'!$D$1:$O$258,11,FALSE))))</f>
        <v/>
      </c>
      <c r="M223" s="382" t="str">
        <f>IF(E223="","",IF(ISNA(VLOOKUP($E223,'A-1 On-Site Habitat Baseline'!$D$1:$O$258,12,FALSE)),"",(VLOOKUP($E223,'A-1 On-Site Habitat Baseline'!$D$1:$O$258,12,FALSE))))</f>
        <v/>
      </c>
      <c r="N223" s="393" t="str">
        <f>IF(E223="","",IF(ISNA(VLOOKUP($E223,'A-1 On-Site Habitat Baseline'!$D$1:$X$258,14,FALSE)),"",(VLOOKUP($E223,'A-1 On-Site Habitat Baseline'!$D$1:$X$258,14,FALSE))))</f>
        <v/>
      </c>
      <c r="O223" s="386" t="str">
        <f>IF(E223="","",IF(ISNA(VLOOKUP($E223,'A-1 On-Site Habitat Baseline'!$D$1:$X$258,16,FALSE)),"",(VLOOKUP($E223,'A-1 On-Site Habitat Baseline'!$D$1:$X$258,13,FALSE))))</f>
        <v/>
      </c>
      <c r="P223" s="192" t="str">
        <f>IFERROR(INDEX('G-1 All Habitats'!$AG$3:$AG$17,MATCH(Q223,'G-1 All Habitats'!$AF$3:$AF$17,0)),"")</f>
        <v/>
      </c>
      <c r="Q223" s="193" t="str">
        <f t="shared" si="33"/>
        <v/>
      </c>
      <c r="R223" s="193" t="str">
        <f t="shared" si="33"/>
        <v/>
      </c>
      <c r="S223" s="306" t="str">
        <f>IFERROR(INDEX('G-1 All Habitats'!$B$3:$B$134,MATCH(R223,'G-1 All Habitats'!$A$3:$A$134,0)),"")</f>
        <v/>
      </c>
      <c r="T223" s="362" t="str">
        <f t="shared" si="34"/>
        <v/>
      </c>
      <c r="U223" s="363" t="str">
        <f t="shared" si="35"/>
        <v/>
      </c>
      <c r="V223" s="398" t="str">
        <f t="shared" si="31"/>
        <v/>
      </c>
      <c r="W223" s="382" t="str">
        <f>IF(S223="","",VLOOKUP(S223,'G-1 All Habitats'!$B$2:$M$134,10,FALSE))</f>
        <v/>
      </c>
      <c r="X223" s="382" t="str">
        <f>IFERROR(VLOOKUP(W223,'G-1 All Habitats'!$V$3:$W$7,2,FALSE),"")</f>
        <v/>
      </c>
      <c r="Y223" s="61"/>
      <c r="Z223" s="386" t="str">
        <f>IFERROR(INDEX('G-8 Condition Look up'!$A$3:$H$135,MATCH(S223,'G-8 Condition Look up'!$A$3:$A$135,0),MATCH(Y223,'G-8 Condition Look up'!$A$3:$H$3,0)),"")</f>
        <v/>
      </c>
      <c r="AA223" s="54"/>
      <c r="AB223" s="382" t="str">
        <f>IF(AA223="","",IF(VLOOKUP(AA223,'G-3 Multipliers'!$L$3:$N$6,2,FALSE)=0,"Spatial Data Missing ⚠",VLOOKUP(AA223,'G-3 Multipliers'!$L$3:$N$6,2,FALSE)))</f>
        <v/>
      </c>
      <c r="AC223" s="386" t="str">
        <f>IF(AA223="","",IF(VLOOKUP(AA223,'G-3 Multipliers'!$L$3:$N$6,3,FALSE)=0,"Spatial Data Missing ⚠",VLOOKUP(AA223,'G-3 Multipliers'!$L$3:$N$6,3,FALSE)))</f>
        <v/>
      </c>
      <c r="AD223" s="400" t="str">
        <f t="shared" si="32"/>
        <v/>
      </c>
      <c r="AE223" s="63"/>
      <c r="AF223" s="63"/>
      <c r="AG223" s="370" t="str">
        <f t="shared" si="36"/>
        <v/>
      </c>
      <c r="AH223" s="383" t="str">
        <f t="shared" si="37"/>
        <v/>
      </c>
      <c r="AI223" s="384" t="str">
        <f>IF(AH223="Check Data","Check Data",IFERROR(VLOOKUP(AH223,'G-4 Temporal multipliers'!$A$4:$C$36,3,FALSE),""))</f>
        <v/>
      </c>
      <c r="AJ223" s="362" t="str">
        <f>IF(S223="","",VLOOKUP(S223,'G-3 Multipliers'!$A$2:$E$134,4,FALSE))</f>
        <v/>
      </c>
      <c r="AK223" s="370" t="str">
        <f t="shared" si="38"/>
        <v/>
      </c>
      <c r="AL223" s="370" t="str">
        <f t="shared" si="39"/>
        <v/>
      </c>
      <c r="AM223" s="401" t="str">
        <f>IFERROR(IF(F223="","",IF(AH223="Check Data ⚠","Check Data ⚠",VLOOKUP(AL223, 'G-3 Multipliers'!$P$2:$Q$6,2,FALSE))),"")</f>
        <v/>
      </c>
      <c r="AN223" s="376" t="str">
        <f t="shared" si="40"/>
        <v/>
      </c>
      <c r="AO223" s="194"/>
      <c r="AP223" s="195"/>
      <c r="AQ223" s="120"/>
    </row>
    <row r="224" spans="1:43">
      <c r="A224" s="35" t="str">
        <f>IF(E224="","",IF(ISNA(VLOOKUP($E224,'A-1 On-Site Habitat Baseline'!$D$1:$O$258,2,FALSE)),"",(VLOOKUP($E224,'A-1 On-Site Habitat Baseline'!$D$1:$O$258,2,FALSE))))</f>
        <v/>
      </c>
      <c r="B224" s="35" t="str">
        <f>IF(E224="","",IF(ISNA(VLOOKUP($E224,'A-1 On-Site Habitat Baseline'!$D$1:$O$258,3,FALSE)),"",(VLOOKUP($E224,'A-1 On-Site Habitat Baseline'!$D$1:$O$258,3,FALSE))))</f>
        <v/>
      </c>
      <c r="C224" s="35" t="str">
        <f>IFERROR(INDEX('G-8 Condition Look up'!$I$4:$I$135,MATCH(S224,'G-8 Condition Look up'!$A$4:$A$135,0)),"")</f>
        <v/>
      </c>
      <c r="E224" s="392" t="str">
        <f>'A-1 On-Site Habitat Baseline'!AL223</f>
        <v/>
      </c>
      <c r="F224" s="382" t="str">
        <f>IF(E224="","",IF(ISNA(VLOOKUP($E224,'A-1 On-Site Habitat Baseline'!$D$1:$O$258,4,FALSE)),"",(VLOOKUP($E224,'A-1 On-Site Habitat Baseline'!$D$1:$O$258,4,FALSE))))</f>
        <v/>
      </c>
      <c r="G224" s="382" t="str">
        <f>IF(E224="","",IF(ISNA(VLOOKUP($E224,'A-1 On-Site Habitat Baseline'!$D$1:$O$258,5,FALSE)),"",(VLOOKUP($E224,'A-1 On-Site Habitat Baseline'!$D$1:$O$258,5,FALSE))))</f>
        <v/>
      </c>
      <c r="H224" s="382" t="str">
        <f>IF(E224="","",IF(ISNA(VLOOKUP($E224,'A-1 On-Site Habitat Baseline'!$D$1:$O$258,6,FALSE)),"",(VLOOKUP($E224,'A-1 On-Site Habitat Baseline'!$D$1:$O$258,6,FALSE))))</f>
        <v/>
      </c>
      <c r="I224" s="382" t="str">
        <f>IF(E224="","",IF(ISNA(VLOOKUP($E224,'A-1 On-Site Habitat Baseline'!$D$1:$O$258,7,FALSE)),"",(VLOOKUP($E224,'A-1 On-Site Habitat Baseline'!$D$1:$O$258,7,FALSE))))</f>
        <v/>
      </c>
      <c r="J224" s="382" t="str">
        <f>IF(E224="","",IF(ISNA(VLOOKUP($E224,'A-1 On-Site Habitat Baseline'!$D$1:$O$258,8,FALSE)),"",(VLOOKUP($E224,'A-1 On-Site Habitat Baseline'!$D$1:$O$258,8,FALSE))))</f>
        <v/>
      </c>
      <c r="K224" s="382" t="str">
        <f>IF(E224="","",IF(ISNA(VLOOKUP($E224,'A-1 On-Site Habitat Baseline'!$D$1:$O$258,9,FALSE)),"",(VLOOKUP($E224,'A-1 On-Site Habitat Baseline'!$D$1:$O$258,9,FALSE))))</f>
        <v/>
      </c>
      <c r="L224" s="382" t="str">
        <f>IF(E224="","",IF(ISNA(VLOOKUP($E224,'A-1 On-Site Habitat Baseline'!$D$1:$O$258,11,FALSE)),"",(VLOOKUP($E224,'A-1 On-Site Habitat Baseline'!$D$1:$O$258,11,FALSE))))</f>
        <v/>
      </c>
      <c r="M224" s="382" t="str">
        <f>IF(E224="","",IF(ISNA(VLOOKUP($E224,'A-1 On-Site Habitat Baseline'!$D$1:$O$258,12,FALSE)),"",(VLOOKUP($E224,'A-1 On-Site Habitat Baseline'!$D$1:$O$258,12,FALSE))))</f>
        <v/>
      </c>
      <c r="N224" s="393" t="str">
        <f>IF(E224="","",IF(ISNA(VLOOKUP($E224,'A-1 On-Site Habitat Baseline'!$D$1:$X$258,14,FALSE)),"",(VLOOKUP($E224,'A-1 On-Site Habitat Baseline'!$D$1:$X$258,14,FALSE))))</f>
        <v/>
      </c>
      <c r="O224" s="386" t="str">
        <f>IF(E224="","",IF(ISNA(VLOOKUP($E224,'A-1 On-Site Habitat Baseline'!$D$1:$X$258,16,FALSE)),"",(VLOOKUP($E224,'A-1 On-Site Habitat Baseline'!$D$1:$X$258,13,FALSE))))</f>
        <v/>
      </c>
      <c r="P224" s="192" t="str">
        <f>IFERROR(INDEX('G-1 All Habitats'!$AG$3:$AG$17,MATCH(Q224,'G-1 All Habitats'!$AF$3:$AF$17,0)),"")</f>
        <v/>
      </c>
      <c r="Q224" s="193" t="str">
        <f t="shared" si="33"/>
        <v/>
      </c>
      <c r="R224" s="193" t="str">
        <f t="shared" si="33"/>
        <v/>
      </c>
      <c r="S224" s="306" t="str">
        <f>IFERROR(INDEX('G-1 All Habitats'!$B$3:$B$134,MATCH(R224,'G-1 All Habitats'!$A$3:$A$134,0)),"")</f>
        <v/>
      </c>
      <c r="T224" s="362" t="str">
        <f t="shared" si="34"/>
        <v/>
      </c>
      <c r="U224" s="363" t="str">
        <f t="shared" si="35"/>
        <v/>
      </c>
      <c r="V224" s="398" t="str">
        <f t="shared" si="31"/>
        <v/>
      </c>
      <c r="W224" s="382" t="str">
        <f>IF(S224="","",VLOOKUP(S224,'G-1 All Habitats'!$B$2:$M$134,10,FALSE))</f>
        <v/>
      </c>
      <c r="X224" s="382" t="str">
        <f>IFERROR(VLOOKUP(W224,'G-1 All Habitats'!$V$3:$W$7,2,FALSE),"")</f>
        <v/>
      </c>
      <c r="Y224" s="61"/>
      <c r="Z224" s="386" t="str">
        <f>IFERROR(INDEX('G-8 Condition Look up'!$A$3:$H$135,MATCH(S224,'G-8 Condition Look up'!$A$3:$A$135,0),MATCH(Y224,'G-8 Condition Look up'!$A$3:$H$3,0)),"")</f>
        <v/>
      </c>
      <c r="AA224" s="54"/>
      <c r="AB224" s="382" t="str">
        <f>IF(AA224="","",IF(VLOOKUP(AA224,'G-3 Multipliers'!$L$3:$N$6,2,FALSE)=0,"Spatial Data Missing ⚠",VLOOKUP(AA224,'G-3 Multipliers'!$L$3:$N$6,2,FALSE)))</f>
        <v/>
      </c>
      <c r="AC224" s="386" t="str">
        <f>IF(AA224="","",IF(VLOOKUP(AA224,'G-3 Multipliers'!$L$3:$N$6,3,FALSE)=0,"Spatial Data Missing ⚠",VLOOKUP(AA224,'G-3 Multipliers'!$L$3:$N$6,3,FALSE)))</f>
        <v/>
      </c>
      <c r="AD224" s="400" t="str">
        <f t="shared" si="32"/>
        <v/>
      </c>
      <c r="AE224" s="63"/>
      <c r="AF224" s="63"/>
      <c r="AG224" s="370" t="str">
        <f t="shared" si="36"/>
        <v/>
      </c>
      <c r="AH224" s="383" t="str">
        <f t="shared" si="37"/>
        <v/>
      </c>
      <c r="AI224" s="384" t="str">
        <f>IF(AH224="Check Data","Check Data",IFERROR(VLOOKUP(AH224,'G-4 Temporal multipliers'!$A$4:$C$36,3,FALSE),""))</f>
        <v/>
      </c>
      <c r="AJ224" s="362" t="str">
        <f>IF(S224="","",VLOOKUP(S224,'G-3 Multipliers'!$A$2:$E$134,4,FALSE))</f>
        <v/>
      </c>
      <c r="AK224" s="370" t="str">
        <f t="shared" si="38"/>
        <v/>
      </c>
      <c r="AL224" s="370" t="str">
        <f t="shared" si="39"/>
        <v/>
      </c>
      <c r="AM224" s="401" t="str">
        <f>IFERROR(IF(F224="","",IF(AH224="Check Data ⚠","Check Data ⚠",VLOOKUP(AL224, 'G-3 Multipliers'!$P$2:$Q$6,2,FALSE))),"")</f>
        <v/>
      </c>
      <c r="AN224" s="376" t="str">
        <f t="shared" si="40"/>
        <v/>
      </c>
      <c r="AO224" s="194"/>
      <c r="AP224" s="195"/>
      <c r="AQ224" s="120"/>
    </row>
    <row r="225" spans="1:43">
      <c r="A225" s="35" t="str">
        <f>IF(E225="","",IF(ISNA(VLOOKUP($E225,'A-1 On-Site Habitat Baseline'!$D$1:$O$258,2,FALSE)),"",(VLOOKUP($E225,'A-1 On-Site Habitat Baseline'!$D$1:$O$258,2,FALSE))))</f>
        <v/>
      </c>
      <c r="B225" s="35" t="str">
        <f>IF(E225="","",IF(ISNA(VLOOKUP($E225,'A-1 On-Site Habitat Baseline'!$D$1:$O$258,3,FALSE)),"",(VLOOKUP($E225,'A-1 On-Site Habitat Baseline'!$D$1:$O$258,3,FALSE))))</f>
        <v/>
      </c>
      <c r="C225" s="35" t="str">
        <f>IFERROR(INDEX('G-8 Condition Look up'!$I$4:$I$135,MATCH(S225,'G-8 Condition Look up'!$A$4:$A$135,0)),"")</f>
        <v/>
      </c>
      <c r="E225" s="392" t="str">
        <f>'A-1 On-Site Habitat Baseline'!AL224</f>
        <v/>
      </c>
      <c r="F225" s="382" t="str">
        <f>IF(E225="","",IF(ISNA(VLOOKUP($E225,'A-1 On-Site Habitat Baseline'!$D$1:$O$258,4,FALSE)),"",(VLOOKUP($E225,'A-1 On-Site Habitat Baseline'!$D$1:$O$258,4,FALSE))))</f>
        <v/>
      </c>
      <c r="G225" s="382" t="str">
        <f>IF(E225="","",IF(ISNA(VLOOKUP($E225,'A-1 On-Site Habitat Baseline'!$D$1:$O$258,5,FALSE)),"",(VLOOKUP($E225,'A-1 On-Site Habitat Baseline'!$D$1:$O$258,5,FALSE))))</f>
        <v/>
      </c>
      <c r="H225" s="382" t="str">
        <f>IF(E225="","",IF(ISNA(VLOOKUP($E225,'A-1 On-Site Habitat Baseline'!$D$1:$O$258,6,FALSE)),"",(VLOOKUP($E225,'A-1 On-Site Habitat Baseline'!$D$1:$O$258,6,FALSE))))</f>
        <v/>
      </c>
      <c r="I225" s="382" t="str">
        <f>IF(E225="","",IF(ISNA(VLOOKUP($E225,'A-1 On-Site Habitat Baseline'!$D$1:$O$258,7,FALSE)),"",(VLOOKUP($E225,'A-1 On-Site Habitat Baseline'!$D$1:$O$258,7,FALSE))))</f>
        <v/>
      </c>
      <c r="J225" s="382" t="str">
        <f>IF(E225="","",IF(ISNA(VLOOKUP($E225,'A-1 On-Site Habitat Baseline'!$D$1:$O$258,8,FALSE)),"",(VLOOKUP($E225,'A-1 On-Site Habitat Baseline'!$D$1:$O$258,8,FALSE))))</f>
        <v/>
      </c>
      <c r="K225" s="382" t="str">
        <f>IF(E225="","",IF(ISNA(VLOOKUP($E225,'A-1 On-Site Habitat Baseline'!$D$1:$O$258,9,FALSE)),"",(VLOOKUP($E225,'A-1 On-Site Habitat Baseline'!$D$1:$O$258,9,FALSE))))</f>
        <v/>
      </c>
      <c r="L225" s="382" t="str">
        <f>IF(E225="","",IF(ISNA(VLOOKUP($E225,'A-1 On-Site Habitat Baseline'!$D$1:$O$258,11,FALSE)),"",(VLOOKUP($E225,'A-1 On-Site Habitat Baseline'!$D$1:$O$258,11,FALSE))))</f>
        <v/>
      </c>
      <c r="M225" s="382" t="str">
        <f>IF(E225="","",IF(ISNA(VLOOKUP($E225,'A-1 On-Site Habitat Baseline'!$D$1:$O$258,12,FALSE)),"",(VLOOKUP($E225,'A-1 On-Site Habitat Baseline'!$D$1:$O$258,12,FALSE))))</f>
        <v/>
      </c>
      <c r="N225" s="393" t="str">
        <f>IF(E225="","",IF(ISNA(VLOOKUP($E225,'A-1 On-Site Habitat Baseline'!$D$1:$X$258,14,FALSE)),"",(VLOOKUP($E225,'A-1 On-Site Habitat Baseline'!$D$1:$X$258,14,FALSE))))</f>
        <v/>
      </c>
      <c r="O225" s="386" t="str">
        <f>IF(E225="","",IF(ISNA(VLOOKUP($E225,'A-1 On-Site Habitat Baseline'!$D$1:$X$258,16,FALSE)),"",(VLOOKUP($E225,'A-1 On-Site Habitat Baseline'!$D$1:$X$258,13,FALSE))))</f>
        <v/>
      </c>
      <c r="P225" s="192" t="str">
        <f>IFERROR(INDEX('G-1 All Habitats'!$AG$3:$AG$17,MATCH(Q225,'G-1 All Habitats'!$AF$3:$AF$17,0)),"")</f>
        <v/>
      </c>
      <c r="Q225" s="193" t="str">
        <f t="shared" si="33"/>
        <v/>
      </c>
      <c r="R225" s="193" t="str">
        <f t="shared" si="33"/>
        <v/>
      </c>
      <c r="S225" s="306" t="str">
        <f>IFERROR(INDEX('G-1 All Habitats'!$B$3:$B$134,MATCH(R225,'G-1 All Habitats'!$A$3:$A$134,0)),"")</f>
        <v/>
      </c>
      <c r="T225" s="362" t="str">
        <f t="shared" si="34"/>
        <v/>
      </c>
      <c r="U225" s="363" t="str">
        <f t="shared" si="35"/>
        <v/>
      </c>
      <c r="V225" s="398" t="str">
        <f t="shared" si="31"/>
        <v/>
      </c>
      <c r="W225" s="382" t="str">
        <f>IF(S225="","",VLOOKUP(S225,'G-1 All Habitats'!$B$2:$M$134,10,FALSE))</f>
        <v/>
      </c>
      <c r="X225" s="382" t="str">
        <f>IFERROR(VLOOKUP(W225,'G-1 All Habitats'!$V$3:$W$7,2,FALSE),"")</f>
        <v/>
      </c>
      <c r="Y225" s="61"/>
      <c r="Z225" s="386" t="str">
        <f>IFERROR(INDEX('G-8 Condition Look up'!$A$3:$H$135,MATCH(S225,'G-8 Condition Look up'!$A$3:$A$135,0),MATCH(Y225,'G-8 Condition Look up'!$A$3:$H$3,0)),"")</f>
        <v/>
      </c>
      <c r="AA225" s="54"/>
      <c r="AB225" s="382" t="str">
        <f>IF(AA225="","",IF(VLOOKUP(AA225,'G-3 Multipliers'!$L$3:$N$6,2,FALSE)=0,"Spatial Data Missing ⚠",VLOOKUP(AA225,'G-3 Multipliers'!$L$3:$N$6,2,FALSE)))</f>
        <v/>
      </c>
      <c r="AC225" s="386" t="str">
        <f>IF(AA225="","",IF(VLOOKUP(AA225,'G-3 Multipliers'!$L$3:$N$6,3,FALSE)=0,"Spatial Data Missing ⚠",VLOOKUP(AA225,'G-3 Multipliers'!$L$3:$N$6,3,FALSE)))</f>
        <v/>
      </c>
      <c r="AD225" s="400" t="str">
        <f t="shared" si="32"/>
        <v/>
      </c>
      <c r="AE225" s="63"/>
      <c r="AF225" s="63"/>
      <c r="AG225" s="370" t="str">
        <f t="shared" si="36"/>
        <v/>
      </c>
      <c r="AH225" s="383" t="str">
        <f t="shared" si="37"/>
        <v/>
      </c>
      <c r="AI225" s="384" t="str">
        <f>IF(AH225="Check Data","Check Data",IFERROR(VLOOKUP(AH225,'G-4 Temporal multipliers'!$A$4:$C$36,3,FALSE),""))</f>
        <v/>
      </c>
      <c r="AJ225" s="362" t="str">
        <f>IF(S225="","",VLOOKUP(S225,'G-3 Multipliers'!$A$2:$E$134,4,FALSE))</f>
        <v/>
      </c>
      <c r="AK225" s="370" t="str">
        <f t="shared" si="38"/>
        <v/>
      </c>
      <c r="AL225" s="370" t="str">
        <f t="shared" si="39"/>
        <v/>
      </c>
      <c r="AM225" s="401" t="str">
        <f>IFERROR(IF(F225="","",IF(AH225="Check Data ⚠","Check Data ⚠",VLOOKUP(AL225, 'G-3 Multipliers'!$P$2:$Q$6,2,FALSE))),"")</f>
        <v/>
      </c>
      <c r="AN225" s="376" t="str">
        <f t="shared" si="40"/>
        <v/>
      </c>
      <c r="AO225" s="194"/>
      <c r="AP225" s="195"/>
      <c r="AQ225" s="120"/>
    </row>
    <row r="226" spans="1:43">
      <c r="A226" s="35" t="str">
        <f>IF(E226="","",IF(ISNA(VLOOKUP($E226,'A-1 On-Site Habitat Baseline'!$D$1:$O$258,2,FALSE)),"",(VLOOKUP($E226,'A-1 On-Site Habitat Baseline'!$D$1:$O$258,2,FALSE))))</f>
        <v/>
      </c>
      <c r="B226" s="35" t="str">
        <f>IF(E226="","",IF(ISNA(VLOOKUP($E226,'A-1 On-Site Habitat Baseline'!$D$1:$O$258,3,FALSE)),"",(VLOOKUP($E226,'A-1 On-Site Habitat Baseline'!$D$1:$O$258,3,FALSE))))</f>
        <v/>
      </c>
      <c r="C226" s="35" t="str">
        <f>IFERROR(INDEX('G-8 Condition Look up'!$I$4:$I$135,MATCH(S226,'G-8 Condition Look up'!$A$4:$A$135,0)),"")</f>
        <v/>
      </c>
      <c r="E226" s="392" t="str">
        <f>'A-1 On-Site Habitat Baseline'!AL225</f>
        <v/>
      </c>
      <c r="F226" s="382" t="str">
        <f>IF(E226="","",IF(ISNA(VLOOKUP($E226,'A-1 On-Site Habitat Baseline'!$D$1:$O$258,4,FALSE)),"",(VLOOKUP($E226,'A-1 On-Site Habitat Baseline'!$D$1:$O$258,4,FALSE))))</f>
        <v/>
      </c>
      <c r="G226" s="382" t="str">
        <f>IF(E226="","",IF(ISNA(VLOOKUP($E226,'A-1 On-Site Habitat Baseline'!$D$1:$O$258,5,FALSE)),"",(VLOOKUP($E226,'A-1 On-Site Habitat Baseline'!$D$1:$O$258,5,FALSE))))</f>
        <v/>
      </c>
      <c r="H226" s="382" t="str">
        <f>IF(E226="","",IF(ISNA(VLOOKUP($E226,'A-1 On-Site Habitat Baseline'!$D$1:$O$258,6,FALSE)),"",(VLOOKUP($E226,'A-1 On-Site Habitat Baseline'!$D$1:$O$258,6,FALSE))))</f>
        <v/>
      </c>
      <c r="I226" s="382" t="str">
        <f>IF(E226="","",IF(ISNA(VLOOKUP($E226,'A-1 On-Site Habitat Baseline'!$D$1:$O$258,7,FALSE)),"",(VLOOKUP($E226,'A-1 On-Site Habitat Baseline'!$D$1:$O$258,7,FALSE))))</f>
        <v/>
      </c>
      <c r="J226" s="382" t="str">
        <f>IF(E226="","",IF(ISNA(VLOOKUP($E226,'A-1 On-Site Habitat Baseline'!$D$1:$O$258,8,FALSE)),"",(VLOOKUP($E226,'A-1 On-Site Habitat Baseline'!$D$1:$O$258,8,FALSE))))</f>
        <v/>
      </c>
      <c r="K226" s="382" t="str">
        <f>IF(E226="","",IF(ISNA(VLOOKUP($E226,'A-1 On-Site Habitat Baseline'!$D$1:$O$258,9,FALSE)),"",(VLOOKUP($E226,'A-1 On-Site Habitat Baseline'!$D$1:$O$258,9,FALSE))))</f>
        <v/>
      </c>
      <c r="L226" s="382" t="str">
        <f>IF(E226="","",IF(ISNA(VLOOKUP($E226,'A-1 On-Site Habitat Baseline'!$D$1:$O$258,11,FALSE)),"",(VLOOKUP($E226,'A-1 On-Site Habitat Baseline'!$D$1:$O$258,11,FALSE))))</f>
        <v/>
      </c>
      <c r="M226" s="382" t="str">
        <f>IF(E226="","",IF(ISNA(VLOOKUP($E226,'A-1 On-Site Habitat Baseline'!$D$1:$O$258,12,FALSE)),"",(VLOOKUP($E226,'A-1 On-Site Habitat Baseline'!$D$1:$O$258,12,FALSE))))</f>
        <v/>
      </c>
      <c r="N226" s="393" t="str">
        <f>IF(E226="","",IF(ISNA(VLOOKUP($E226,'A-1 On-Site Habitat Baseline'!$D$1:$X$258,14,FALSE)),"",(VLOOKUP($E226,'A-1 On-Site Habitat Baseline'!$D$1:$X$258,14,FALSE))))</f>
        <v/>
      </c>
      <c r="O226" s="386" t="str">
        <f>IF(E226="","",IF(ISNA(VLOOKUP($E226,'A-1 On-Site Habitat Baseline'!$D$1:$X$258,16,FALSE)),"",(VLOOKUP($E226,'A-1 On-Site Habitat Baseline'!$D$1:$X$258,13,FALSE))))</f>
        <v/>
      </c>
      <c r="P226" s="192" t="str">
        <f>IFERROR(INDEX('G-1 All Habitats'!$AG$3:$AG$17,MATCH(Q226,'G-1 All Habitats'!$AF$3:$AF$17,0)),"")</f>
        <v/>
      </c>
      <c r="Q226" s="193" t="str">
        <f t="shared" si="33"/>
        <v/>
      </c>
      <c r="R226" s="193" t="str">
        <f t="shared" si="33"/>
        <v/>
      </c>
      <c r="S226" s="306" t="str">
        <f>IFERROR(INDEX('G-1 All Habitats'!$B$3:$B$134,MATCH(R226,'G-1 All Habitats'!$A$3:$A$134,0)),"")</f>
        <v/>
      </c>
      <c r="T226" s="362" t="str">
        <f t="shared" si="34"/>
        <v/>
      </c>
      <c r="U226" s="363" t="str">
        <f t="shared" si="35"/>
        <v/>
      </c>
      <c r="V226" s="398" t="str">
        <f t="shared" si="31"/>
        <v/>
      </c>
      <c r="W226" s="382" t="str">
        <f>IF(S226="","",VLOOKUP(S226,'G-1 All Habitats'!$B$2:$M$134,10,FALSE))</f>
        <v/>
      </c>
      <c r="X226" s="382" t="str">
        <f>IFERROR(VLOOKUP(W226,'G-1 All Habitats'!$V$3:$W$7,2,FALSE),"")</f>
        <v/>
      </c>
      <c r="Y226" s="61"/>
      <c r="Z226" s="386" t="str">
        <f>IFERROR(INDEX('G-8 Condition Look up'!$A$3:$H$135,MATCH(S226,'G-8 Condition Look up'!$A$3:$A$135,0),MATCH(Y226,'G-8 Condition Look up'!$A$3:$H$3,0)),"")</f>
        <v/>
      </c>
      <c r="AA226" s="54"/>
      <c r="AB226" s="382" t="str">
        <f>IF(AA226="","",IF(VLOOKUP(AA226,'G-3 Multipliers'!$L$3:$N$6,2,FALSE)=0,"Spatial Data Missing ⚠",VLOOKUP(AA226,'G-3 Multipliers'!$L$3:$N$6,2,FALSE)))</f>
        <v/>
      </c>
      <c r="AC226" s="386" t="str">
        <f>IF(AA226="","",IF(VLOOKUP(AA226,'G-3 Multipliers'!$L$3:$N$6,3,FALSE)=0,"Spatial Data Missing ⚠",VLOOKUP(AA226,'G-3 Multipliers'!$L$3:$N$6,3,FALSE)))</f>
        <v/>
      </c>
      <c r="AD226" s="400" t="str">
        <f t="shared" si="32"/>
        <v/>
      </c>
      <c r="AE226" s="63"/>
      <c r="AF226" s="63"/>
      <c r="AG226" s="370" t="str">
        <f t="shared" si="36"/>
        <v/>
      </c>
      <c r="AH226" s="383" t="str">
        <f t="shared" si="37"/>
        <v/>
      </c>
      <c r="AI226" s="384" t="str">
        <f>IF(AH226="Check Data","Check Data",IFERROR(VLOOKUP(AH226,'G-4 Temporal multipliers'!$A$4:$C$36,3,FALSE),""))</f>
        <v/>
      </c>
      <c r="AJ226" s="362" t="str">
        <f>IF(S226="","",VLOOKUP(S226,'G-3 Multipliers'!$A$2:$E$134,4,FALSE))</f>
        <v/>
      </c>
      <c r="AK226" s="370" t="str">
        <f t="shared" si="38"/>
        <v/>
      </c>
      <c r="AL226" s="370" t="str">
        <f t="shared" si="39"/>
        <v/>
      </c>
      <c r="AM226" s="401" t="str">
        <f>IFERROR(IF(F226="","",IF(AH226="Check Data ⚠","Check Data ⚠",VLOOKUP(AL226, 'G-3 Multipliers'!$P$2:$Q$6,2,FALSE))),"")</f>
        <v/>
      </c>
      <c r="AN226" s="376" t="str">
        <f t="shared" si="40"/>
        <v/>
      </c>
      <c r="AO226" s="194"/>
      <c r="AP226" s="195"/>
      <c r="AQ226" s="120"/>
    </row>
    <row r="227" spans="1:43">
      <c r="A227" s="35" t="str">
        <f>IF(E227="","",IF(ISNA(VLOOKUP($E227,'A-1 On-Site Habitat Baseline'!$D$1:$O$258,2,FALSE)),"",(VLOOKUP($E227,'A-1 On-Site Habitat Baseline'!$D$1:$O$258,2,FALSE))))</f>
        <v/>
      </c>
      <c r="B227" s="35" t="str">
        <f>IF(E227="","",IF(ISNA(VLOOKUP($E227,'A-1 On-Site Habitat Baseline'!$D$1:$O$258,3,FALSE)),"",(VLOOKUP($E227,'A-1 On-Site Habitat Baseline'!$D$1:$O$258,3,FALSE))))</f>
        <v/>
      </c>
      <c r="C227" s="35" t="str">
        <f>IFERROR(INDEX('G-8 Condition Look up'!$I$4:$I$135,MATCH(S227,'G-8 Condition Look up'!$A$4:$A$135,0)),"")</f>
        <v/>
      </c>
      <c r="E227" s="392" t="str">
        <f>'A-1 On-Site Habitat Baseline'!AL226</f>
        <v/>
      </c>
      <c r="F227" s="382" t="str">
        <f>IF(E227="","",IF(ISNA(VLOOKUP($E227,'A-1 On-Site Habitat Baseline'!$D$1:$O$258,4,FALSE)),"",(VLOOKUP($E227,'A-1 On-Site Habitat Baseline'!$D$1:$O$258,4,FALSE))))</f>
        <v/>
      </c>
      <c r="G227" s="382" t="str">
        <f>IF(E227="","",IF(ISNA(VLOOKUP($E227,'A-1 On-Site Habitat Baseline'!$D$1:$O$258,5,FALSE)),"",(VLOOKUP($E227,'A-1 On-Site Habitat Baseline'!$D$1:$O$258,5,FALSE))))</f>
        <v/>
      </c>
      <c r="H227" s="382" t="str">
        <f>IF(E227="","",IF(ISNA(VLOOKUP($E227,'A-1 On-Site Habitat Baseline'!$D$1:$O$258,6,FALSE)),"",(VLOOKUP($E227,'A-1 On-Site Habitat Baseline'!$D$1:$O$258,6,FALSE))))</f>
        <v/>
      </c>
      <c r="I227" s="382" t="str">
        <f>IF(E227="","",IF(ISNA(VLOOKUP($E227,'A-1 On-Site Habitat Baseline'!$D$1:$O$258,7,FALSE)),"",(VLOOKUP($E227,'A-1 On-Site Habitat Baseline'!$D$1:$O$258,7,FALSE))))</f>
        <v/>
      </c>
      <c r="J227" s="382" t="str">
        <f>IF(E227="","",IF(ISNA(VLOOKUP($E227,'A-1 On-Site Habitat Baseline'!$D$1:$O$258,8,FALSE)),"",(VLOOKUP($E227,'A-1 On-Site Habitat Baseline'!$D$1:$O$258,8,FALSE))))</f>
        <v/>
      </c>
      <c r="K227" s="382" t="str">
        <f>IF(E227="","",IF(ISNA(VLOOKUP($E227,'A-1 On-Site Habitat Baseline'!$D$1:$O$258,9,FALSE)),"",(VLOOKUP($E227,'A-1 On-Site Habitat Baseline'!$D$1:$O$258,9,FALSE))))</f>
        <v/>
      </c>
      <c r="L227" s="382" t="str">
        <f>IF(E227="","",IF(ISNA(VLOOKUP($E227,'A-1 On-Site Habitat Baseline'!$D$1:$O$258,11,FALSE)),"",(VLOOKUP($E227,'A-1 On-Site Habitat Baseline'!$D$1:$O$258,11,FALSE))))</f>
        <v/>
      </c>
      <c r="M227" s="382" t="str">
        <f>IF(E227="","",IF(ISNA(VLOOKUP($E227,'A-1 On-Site Habitat Baseline'!$D$1:$O$258,12,FALSE)),"",(VLOOKUP($E227,'A-1 On-Site Habitat Baseline'!$D$1:$O$258,12,FALSE))))</f>
        <v/>
      </c>
      <c r="N227" s="393" t="str">
        <f>IF(E227="","",IF(ISNA(VLOOKUP($E227,'A-1 On-Site Habitat Baseline'!$D$1:$X$258,14,FALSE)),"",(VLOOKUP($E227,'A-1 On-Site Habitat Baseline'!$D$1:$X$258,14,FALSE))))</f>
        <v/>
      </c>
      <c r="O227" s="386" t="str">
        <f>IF(E227="","",IF(ISNA(VLOOKUP($E227,'A-1 On-Site Habitat Baseline'!$D$1:$X$258,16,FALSE)),"",(VLOOKUP($E227,'A-1 On-Site Habitat Baseline'!$D$1:$X$258,13,FALSE))))</f>
        <v/>
      </c>
      <c r="P227" s="192" t="str">
        <f>IFERROR(INDEX('G-1 All Habitats'!$AG$3:$AG$17,MATCH(Q227,'G-1 All Habitats'!$AF$3:$AF$17,0)),"")</f>
        <v/>
      </c>
      <c r="Q227" s="193" t="str">
        <f t="shared" si="33"/>
        <v/>
      </c>
      <c r="R227" s="193" t="str">
        <f t="shared" si="33"/>
        <v/>
      </c>
      <c r="S227" s="306" t="str">
        <f>IFERROR(INDEX('G-1 All Habitats'!$B$3:$B$134,MATCH(R227,'G-1 All Habitats'!$A$3:$A$134,0)),"")</f>
        <v/>
      </c>
      <c r="T227" s="362" t="str">
        <f t="shared" si="34"/>
        <v/>
      </c>
      <c r="U227" s="363" t="str">
        <f t="shared" si="35"/>
        <v/>
      </c>
      <c r="V227" s="398" t="str">
        <f t="shared" si="31"/>
        <v/>
      </c>
      <c r="W227" s="382" t="str">
        <f>IF(S227="","",VLOOKUP(S227,'G-1 All Habitats'!$B$2:$M$134,10,FALSE))</f>
        <v/>
      </c>
      <c r="X227" s="382" t="str">
        <f>IFERROR(VLOOKUP(W227,'G-1 All Habitats'!$V$3:$W$7,2,FALSE),"")</f>
        <v/>
      </c>
      <c r="Y227" s="61"/>
      <c r="Z227" s="386" t="str">
        <f>IFERROR(INDEX('G-8 Condition Look up'!$A$3:$H$135,MATCH(S227,'G-8 Condition Look up'!$A$3:$A$135,0),MATCH(Y227,'G-8 Condition Look up'!$A$3:$H$3,0)),"")</f>
        <v/>
      </c>
      <c r="AA227" s="54"/>
      <c r="AB227" s="382" t="str">
        <f>IF(AA227="","",IF(VLOOKUP(AA227,'G-3 Multipliers'!$L$3:$N$6,2,FALSE)=0,"Spatial Data Missing ⚠",VLOOKUP(AA227,'G-3 Multipliers'!$L$3:$N$6,2,FALSE)))</f>
        <v/>
      </c>
      <c r="AC227" s="386" t="str">
        <f>IF(AA227="","",IF(VLOOKUP(AA227,'G-3 Multipliers'!$L$3:$N$6,3,FALSE)=0,"Spatial Data Missing ⚠",VLOOKUP(AA227,'G-3 Multipliers'!$L$3:$N$6,3,FALSE)))</f>
        <v/>
      </c>
      <c r="AD227" s="400" t="str">
        <f t="shared" si="32"/>
        <v/>
      </c>
      <c r="AE227" s="63"/>
      <c r="AF227" s="63"/>
      <c r="AG227" s="370" t="str">
        <f t="shared" si="36"/>
        <v/>
      </c>
      <c r="AH227" s="383" t="str">
        <f t="shared" si="37"/>
        <v/>
      </c>
      <c r="AI227" s="384" t="str">
        <f>IF(AH227="Check Data","Check Data",IFERROR(VLOOKUP(AH227,'G-4 Temporal multipliers'!$A$4:$C$36,3,FALSE),""))</f>
        <v/>
      </c>
      <c r="AJ227" s="362" t="str">
        <f>IF(S227="","",VLOOKUP(S227,'G-3 Multipliers'!$A$2:$E$134,4,FALSE))</f>
        <v/>
      </c>
      <c r="AK227" s="370" t="str">
        <f t="shared" si="38"/>
        <v/>
      </c>
      <c r="AL227" s="370" t="str">
        <f>(IF(AND(AK227="Standard difficulty applied",AD227&gt;AE227),AJ227,IF(AND(AK227="Low Difficulty - only applicable if all habitat created before losses ⚠",AE227&gt;=AD227),"Low", AJ227)))</f>
        <v/>
      </c>
      <c r="AM227" s="401" t="str">
        <f>IFERROR(IF(F227="","",IF(AH227="Check Data ⚠","Check Data ⚠",VLOOKUP(AL227, 'G-3 Multipliers'!$P$2:$Q$6,2,FALSE))),"")</f>
        <v/>
      </c>
      <c r="AN227" s="376" t="str">
        <f t="shared" si="40"/>
        <v/>
      </c>
      <c r="AO227" s="194"/>
      <c r="AP227" s="195"/>
      <c r="AQ227" s="120"/>
    </row>
    <row r="228" spans="1:43">
      <c r="A228" s="35" t="str">
        <f>IF(E228="","",IF(ISNA(VLOOKUP($E228,'A-1 On-Site Habitat Baseline'!$D$1:$O$258,2,FALSE)),"",(VLOOKUP($E228,'A-1 On-Site Habitat Baseline'!$D$1:$O$258,2,FALSE))))</f>
        <v/>
      </c>
      <c r="B228" s="35" t="str">
        <f>IF(E228="","",IF(ISNA(VLOOKUP($E228,'A-1 On-Site Habitat Baseline'!$D$1:$O$258,3,FALSE)),"",(VLOOKUP($E228,'A-1 On-Site Habitat Baseline'!$D$1:$O$258,3,FALSE))))</f>
        <v/>
      </c>
      <c r="C228" s="35" t="str">
        <f>IFERROR(INDEX('G-8 Condition Look up'!$I$4:$I$135,MATCH(S228,'G-8 Condition Look up'!$A$4:$A$135,0)),"")</f>
        <v/>
      </c>
      <c r="E228" s="392" t="str">
        <f>'A-1 On-Site Habitat Baseline'!AL227</f>
        <v/>
      </c>
      <c r="F228" s="382" t="str">
        <f>IF(E228="","",IF(ISNA(VLOOKUP($E228,'A-1 On-Site Habitat Baseline'!$D$1:$O$258,4,FALSE)),"",(VLOOKUP($E228,'A-1 On-Site Habitat Baseline'!$D$1:$O$258,4,FALSE))))</f>
        <v/>
      </c>
      <c r="G228" s="382" t="str">
        <f>IF(E228="","",IF(ISNA(VLOOKUP($E228,'A-1 On-Site Habitat Baseline'!$D$1:$O$258,5,FALSE)),"",(VLOOKUP($E228,'A-1 On-Site Habitat Baseline'!$D$1:$O$258,5,FALSE))))</f>
        <v/>
      </c>
      <c r="H228" s="382" t="str">
        <f>IF(E228="","",IF(ISNA(VLOOKUP($E228,'A-1 On-Site Habitat Baseline'!$D$1:$O$258,6,FALSE)),"",(VLOOKUP($E228,'A-1 On-Site Habitat Baseline'!$D$1:$O$258,6,FALSE))))</f>
        <v/>
      </c>
      <c r="I228" s="382" t="str">
        <f>IF(E228="","",IF(ISNA(VLOOKUP($E228,'A-1 On-Site Habitat Baseline'!$D$1:$O$258,7,FALSE)),"",(VLOOKUP($E228,'A-1 On-Site Habitat Baseline'!$D$1:$O$258,7,FALSE))))</f>
        <v/>
      </c>
      <c r="J228" s="382" t="str">
        <f>IF(E228="","",IF(ISNA(VLOOKUP($E228,'A-1 On-Site Habitat Baseline'!$D$1:$O$258,8,FALSE)),"",(VLOOKUP($E228,'A-1 On-Site Habitat Baseline'!$D$1:$O$258,8,FALSE))))</f>
        <v/>
      </c>
      <c r="K228" s="382" t="str">
        <f>IF(E228="","",IF(ISNA(VLOOKUP($E228,'A-1 On-Site Habitat Baseline'!$D$1:$O$258,9,FALSE)),"",(VLOOKUP($E228,'A-1 On-Site Habitat Baseline'!$D$1:$O$258,9,FALSE))))</f>
        <v/>
      </c>
      <c r="L228" s="382" t="str">
        <f>IF(E228="","",IF(ISNA(VLOOKUP($E228,'A-1 On-Site Habitat Baseline'!$D$1:$O$258,11,FALSE)),"",(VLOOKUP($E228,'A-1 On-Site Habitat Baseline'!$D$1:$O$258,11,FALSE))))</f>
        <v/>
      </c>
      <c r="M228" s="382" t="str">
        <f>IF(E228="","",IF(ISNA(VLOOKUP($E228,'A-1 On-Site Habitat Baseline'!$D$1:$O$258,12,FALSE)),"",(VLOOKUP($E228,'A-1 On-Site Habitat Baseline'!$D$1:$O$258,12,FALSE))))</f>
        <v/>
      </c>
      <c r="N228" s="393" t="str">
        <f>IF(E228="","",IF(ISNA(VLOOKUP($E228,'A-1 On-Site Habitat Baseline'!$D$1:$X$258,14,FALSE)),"",(VLOOKUP($E228,'A-1 On-Site Habitat Baseline'!$D$1:$X$258,14,FALSE))))</f>
        <v/>
      </c>
      <c r="O228" s="386" t="str">
        <f>IF(E228="","",IF(ISNA(VLOOKUP($E228,'A-1 On-Site Habitat Baseline'!$D$1:$X$258,16,FALSE)),"",(VLOOKUP($E228,'A-1 On-Site Habitat Baseline'!$D$1:$X$258,13,FALSE))))</f>
        <v/>
      </c>
      <c r="P228" s="192" t="str">
        <f>IFERROR(INDEX('G-1 All Habitats'!$AG$3:$AG$17,MATCH(Q228,'G-1 All Habitats'!$AF$3:$AF$17,0)),"")</f>
        <v/>
      </c>
      <c r="Q228" s="193" t="str">
        <f t="shared" si="33"/>
        <v/>
      </c>
      <c r="R228" s="193" t="str">
        <f t="shared" si="33"/>
        <v/>
      </c>
      <c r="S228" s="306" t="str">
        <f>IFERROR(INDEX('G-1 All Habitats'!$B$3:$B$134,MATCH(R228,'G-1 All Habitats'!$A$3:$A$134,0)),"")</f>
        <v/>
      </c>
      <c r="T228" s="362" t="str">
        <f t="shared" si="34"/>
        <v/>
      </c>
      <c r="U228" s="363" t="str">
        <f t="shared" si="35"/>
        <v/>
      </c>
      <c r="V228" s="398" t="str">
        <f t="shared" si="31"/>
        <v/>
      </c>
      <c r="W228" s="382" t="str">
        <f>IF(S228="","",VLOOKUP(S228,'G-1 All Habitats'!$B$2:$M$134,10,FALSE))</f>
        <v/>
      </c>
      <c r="X228" s="382" t="str">
        <f>IFERROR(VLOOKUP(W228,'G-1 All Habitats'!$V$3:$W$7,2,FALSE),"")</f>
        <v/>
      </c>
      <c r="Y228" s="61"/>
      <c r="Z228" s="386" t="str">
        <f>IFERROR(INDEX('G-8 Condition Look up'!$A$3:$H$135,MATCH(S228,'G-8 Condition Look up'!$A$3:$A$135,0),MATCH(Y228,'G-8 Condition Look up'!$A$3:$H$3,0)),"")</f>
        <v/>
      </c>
      <c r="AA228" s="54"/>
      <c r="AB228" s="382" t="str">
        <f>IF(AA228="","",IF(VLOOKUP(AA228,'G-3 Multipliers'!$L$3:$N$6,2,FALSE)=0,"Spatial Data Missing ⚠",VLOOKUP(AA228,'G-3 Multipliers'!$L$3:$N$6,2,FALSE)))</f>
        <v/>
      </c>
      <c r="AC228" s="386" t="str">
        <f>IF(AA228="","",IF(VLOOKUP(AA228,'G-3 Multipliers'!$L$3:$N$6,3,FALSE)=0,"Spatial Data Missing ⚠",VLOOKUP(AA228,'G-3 Multipliers'!$L$3:$N$6,3,FALSE)))</f>
        <v/>
      </c>
      <c r="AD228" s="400" t="str">
        <f t="shared" si="32"/>
        <v/>
      </c>
      <c r="AE228" s="63"/>
      <c r="AF228" s="63"/>
      <c r="AG228" s="370" t="str">
        <f t="shared" si="36"/>
        <v/>
      </c>
      <c r="AH228" s="383" t="str">
        <f t="shared" si="37"/>
        <v/>
      </c>
      <c r="AI228" s="384" t="str">
        <f>IF(AH228="Check Data","Check Data",IFERROR(VLOOKUP(AH228,'G-4 Temporal multipliers'!$A$4:$C$36,3,FALSE),""))</f>
        <v/>
      </c>
      <c r="AJ228" s="362" t="str">
        <f>IF(S228="","",VLOOKUP(S228,'G-3 Multipliers'!$A$2:$E$134,4,FALSE))</f>
        <v/>
      </c>
      <c r="AK228" s="370" t="str">
        <f t="shared" si="38"/>
        <v/>
      </c>
      <c r="AL228" s="370" t="str">
        <f t="shared" si="39"/>
        <v/>
      </c>
      <c r="AM228" s="401" t="str">
        <f>IFERROR(IF(F228="","",IF(AH228="Check Data ⚠","Check Data ⚠",VLOOKUP(AL228, 'G-3 Multipliers'!$P$2:$Q$6,2,FALSE))),"")</f>
        <v/>
      </c>
      <c r="AN228" s="376" t="str">
        <f t="shared" si="40"/>
        <v/>
      </c>
      <c r="AO228" s="194"/>
      <c r="AP228" s="195"/>
      <c r="AQ228" s="120"/>
    </row>
    <row r="229" spans="1:43">
      <c r="A229" s="35" t="str">
        <f>IF(E229="","",IF(ISNA(VLOOKUP($E229,'A-1 On-Site Habitat Baseline'!$D$1:$O$258,2,FALSE)),"",(VLOOKUP($E229,'A-1 On-Site Habitat Baseline'!$D$1:$O$258,2,FALSE))))</f>
        <v/>
      </c>
      <c r="B229" s="35" t="str">
        <f>IF(E229="","",IF(ISNA(VLOOKUP($E229,'A-1 On-Site Habitat Baseline'!$D$1:$O$258,3,FALSE)),"",(VLOOKUP($E229,'A-1 On-Site Habitat Baseline'!$D$1:$O$258,3,FALSE))))</f>
        <v/>
      </c>
      <c r="C229" s="35" t="str">
        <f>IFERROR(INDEX('G-8 Condition Look up'!$I$4:$I$135,MATCH(S229,'G-8 Condition Look up'!$A$4:$A$135,0)),"")</f>
        <v/>
      </c>
      <c r="E229" s="392" t="str">
        <f>'A-1 On-Site Habitat Baseline'!AL228</f>
        <v/>
      </c>
      <c r="F229" s="382" t="str">
        <f>IF(E229="","",IF(ISNA(VLOOKUP($E229,'A-1 On-Site Habitat Baseline'!$D$1:$O$258,4,FALSE)),"",(VLOOKUP($E229,'A-1 On-Site Habitat Baseline'!$D$1:$O$258,4,FALSE))))</f>
        <v/>
      </c>
      <c r="G229" s="382" t="str">
        <f>IF(E229="","",IF(ISNA(VLOOKUP($E229,'A-1 On-Site Habitat Baseline'!$D$1:$O$258,5,FALSE)),"",(VLOOKUP($E229,'A-1 On-Site Habitat Baseline'!$D$1:$O$258,5,FALSE))))</f>
        <v/>
      </c>
      <c r="H229" s="382" t="str">
        <f>IF(E229="","",IF(ISNA(VLOOKUP($E229,'A-1 On-Site Habitat Baseline'!$D$1:$O$258,6,FALSE)),"",(VLOOKUP($E229,'A-1 On-Site Habitat Baseline'!$D$1:$O$258,6,FALSE))))</f>
        <v/>
      </c>
      <c r="I229" s="382" t="str">
        <f>IF(E229="","",IF(ISNA(VLOOKUP($E229,'A-1 On-Site Habitat Baseline'!$D$1:$O$258,7,FALSE)),"",(VLOOKUP($E229,'A-1 On-Site Habitat Baseline'!$D$1:$O$258,7,FALSE))))</f>
        <v/>
      </c>
      <c r="J229" s="382" t="str">
        <f>IF(E229="","",IF(ISNA(VLOOKUP($E229,'A-1 On-Site Habitat Baseline'!$D$1:$O$258,8,FALSE)),"",(VLOOKUP($E229,'A-1 On-Site Habitat Baseline'!$D$1:$O$258,8,FALSE))))</f>
        <v/>
      </c>
      <c r="K229" s="382" t="str">
        <f>IF(E229="","",IF(ISNA(VLOOKUP($E229,'A-1 On-Site Habitat Baseline'!$D$1:$O$258,9,FALSE)),"",(VLOOKUP($E229,'A-1 On-Site Habitat Baseline'!$D$1:$O$258,9,FALSE))))</f>
        <v/>
      </c>
      <c r="L229" s="382" t="str">
        <f>IF(E229="","",IF(ISNA(VLOOKUP($E229,'A-1 On-Site Habitat Baseline'!$D$1:$O$258,11,FALSE)),"",(VLOOKUP($E229,'A-1 On-Site Habitat Baseline'!$D$1:$O$258,11,FALSE))))</f>
        <v/>
      </c>
      <c r="M229" s="382" t="str">
        <f>IF(E229="","",IF(ISNA(VLOOKUP($E229,'A-1 On-Site Habitat Baseline'!$D$1:$O$258,12,FALSE)),"",(VLOOKUP($E229,'A-1 On-Site Habitat Baseline'!$D$1:$O$258,12,FALSE))))</f>
        <v/>
      </c>
      <c r="N229" s="393" t="str">
        <f>IF(E229="","",IF(ISNA(VLOOKUP($E229,'A-1 On-Site Habitat Baseline'!$D$1:$X$258,14,FALSE)),"",(VLOOKUP($E229,'A-1 On-Site Habitat Baseline'!$D$1:$X$258,14,FALSE))))</f>
        <v/>
      </c>
      <c r="O229" s="386" t="str">
        <f>IF(E229="","",IF(ISNA(VLOOKUP($E229,'A-1 On-Site Habitat Baseline'!$D$1:$X$258,16,FALSE)),"",(VLOOKUP($E229,'A-1 On-Site Habitat Baseline'!$D$1:$X$258,13,FALSE))))</f>
        <v/>
      </c>
      <c r="P229" s="192" t="str">
        <f>IFERROR(INDEX('G-1 All Habitats'!$AG$3:$AG$17,MATCH(Q229,'G-1 All Habitats'!$AF$3:$AF$17,0)),"")</f>
        <v/>
      </c>
      <c r="Q229" s="193" t="str">
        <f t="shared" si="33"/>
        <v/>
      </c>
      <c r="R229" s="193" t="str">
        <f t="shared" si="33"/>
        <v/>
      </c>
      <c r="S229" s="306" t="str">
        <f>IFERROR(INDEX('G-1 All Habitats'!$B$3:$B$134,MATCH(R229,'G-1 All Habitats'!$A$3:$A$134,0)),"")</f>
        <v/>
      </c>
      <c r="T229" s="362" t="str">
        <f t="shared" si="34"/>
        <v/>
      </c>
      <c r="U229" s="363" t="str">
        <f t="shared" si="35"/>
        <v/>
      </c>
      <c r="V229" s="398" t="str">
        <f t="shared" si="31"/>
        <v/>
      </c>
      <c r="W229" s="382" t="str">
        <f>IF(S229="","",VLOOKUP(S229,'G-1 All Habitats'!$B$2:$M$134,10,FALSE))</f>
        <v/>
      </c>
      <c r="X229" s="382" t="str">
        <f>IFERROR(VLOOKUP(W229,'G-1 All Habitats'!$V$3:$W$7,2,FALSE),"")</f>
        <v/>
      </c>
      <c r="Y229" s="61"/>
      <c r="Z229" s="386" t="str">
        <f>IFERROR(INDEX('G-8 Condition Look up'!$A$3:$H$135,MATCH(S229,'G-8 Condition Look up'!$A$3:$A$135,0),MATCH(Y229,'G-8 Condition Look up'!$A$3:$H$3,0)),"")</f>
        <v/>
      </c>
      <c r="AA229" s="54"/>
      <c r="AB229" s="382" t="str">
        <f>IF(AA229="","",IF(VLOOKUP(AA229,'G-3 Multipliers'!$L$3:$N$6,2,FALSE)=0,"Spatial Data Missing ⚠",VLOOKUP(AA229,'G-3 Multipliers'!$L$3:$N$6,2,FALSE)))</f>
        <v/>
      </c>
      <c r="AC229" s="386" t="str">
        <f>IF(AA229="","",IF(VLOOKUP(AA229,'G-3 Multipliers'!$L$3:$N$6,3,FALSE)=0,"Spatial Data Missing ⚠",VLOOKUP(AA229,'G-3 Multipliers'!$L$3:$N$6,3,FALSE)))</f>
        <v/>
      </c>
      <c r="AD229" s="400" t="str">
        <f t="shared" si="32"/>
        <v/>
      </c>
      <c r="AE229" s="63"/>
      <c r="AF229" s="63"/>
      <c r="AG229" s="370" t="str">
        <f t="shared" si="36"/>
        <v/>
      </c>
      <c r="AH229" s="383" t="str">
        <f t="shared" si="37"/>
        <v/>
      </c>
      <c r="AI229" s="384" t="str">
        <f>IF(AH229="Check Data","Check Data",IFERROR(VLOOKUP(AH229,'G-4 Temporal multipliers'!$A$4:$C$36,3,FALSE),""))</f>
        <v/>
      </c>
      <c r="AJ229" s="362" t="str">
        <f>IF(S229="","",VLOOKUP(S229,'G-3 Multipliers'!$A$2:$E$134,4,FALSE))</f>
        <v/>
      </c>
      <c r="AK229" s="370" t="str">
        <f t="shared" si="38"/>
        <v/>
      </c>
      <c r="AL229" s="370" t="str">
        <f t="shared" si="39"/>
        <v/>
      </c>
      <c r="AM229" s="401" t="str">
        <f>IFERROR(IF(F229="","",IF(AH229="Check Data ⚠","Check Data ⚠",VLOOKUP(AL229, 'G-3 Multipliers'!$P$2:$Q$6,2,FALSE))),"")</f>
        <v/>
      </c>
      <c r="AN229" s="376" t="str">
        <f t="shared" si="40"/>
        <v/>
      </c>
      <c r="AO229" s="194"/>
      <c r="AP229" s="195"/>
      <c r="AQ229" s="120"/>
    </row>
    <row r="230" spans="1:43">
      <c r="A230" s="35" t="str">
        <f>IF(E230="","",IF(ISNA(VLOOKUP($E230,'A-1 On-Site Habitat Baseline'!$D$1:$O$258,2,FALSE)),"",(VLOOKUP($E230,'A-1 On-Site Habitat Baseline'!$D$1:$O$258,2,FALSE))))</f>
        <v/>
      </c>
      <c r="B230" s="35" t="str">
        <f>IF(E230="","",IF(ISNA(VLOOKUP($E230,'A-1 On-Site Habitat Baseline'!$D$1:$O$258,3,FALSE)),"",(VLOOKUP($E230,'A-1 On-Site Habitat Baseline'!$D$1:$O$258,3,FALSE))))</f>
        <v/>
      </c>
      <c r="C230" s="35" t="str">
        <f>IFERROR(INDEX('G-8 Condition Look up'!$I$4:$I$135,MATCH(S230,'G-8 Condition Look up'!$A$4:$A$135,0)),"")</f>
        <v/>
      </c>
      <c r="E230" s="392" t="str">
        <f>'A-1 On-Site Habitat Baseline'!AL229</f>
        <v/>
      </c>
      <c r="F230" s="382" t="str">
        <f>IF(E230="","",IF(ISNA(VLOOKUP($E230,'A-1 On-Site Habitat Baseline'!$D$1:$O$258,4,FALSE)),"",(VLOOKUP($E230,'A-1 On-Site Habitat Baseline'!$D$1:$O$258,4,FALSE))))</f>
        <v/>
      </c>
      <c r="G230" s="382" t="str">
        <f>IF(E230="","",IF(ISNA(VLOOKUP($E230,'A-1 On-Site Habitat Baseline'!$D$1:$O$258,5,FALSE)),"",(VLOOKUP($E230,'A-1 On-Site Habitat Baseline'!$D$1:$O$258,5,FALSE))))</f>
        <v/>
      </c>
      <c r="H230" s="382" t="str">
        <f>IF(E230="","",IF(ISNA(VLOOKUP($E230,'A-1 On-Site Habitat Baseline'!$D$1:$O$258,6,FALSE)),"",(VLOOKUP($E230,'A-1 On-Site Habitat Baseline'!$D$1:$O$258,6,FALSE))))</f>
        <v/>
      </c>
      <c r="I230" s="382" t="str">
        <f>IF(E230="","",IF(ISNA(VLOOKUP($E230,'A-1 On-Site Habitat Baseline'!$D$1:$O$258,7,FALSE)),"",(VLOOKUP($E230,'A-1 On-Site Habitat Baseline'!$D$1:$O$258,7,FALSE))))</f>
        <v/>
      </c>
      <c r="J230" s="382" t="str">
        <f>IF(E230="","",IF(ISNA(VLOOKUP($E230,'A-1 On-Site Habitat Baseline'!$D$1:$O$258,8,FALSE)),"",(VLOOKUP($E230,'A-1 On-Site Habitat Baseline'!$D$1:$O$258,8,FALSE))))</f>
        <v/>
      </c>
      <c r="K230" s="382" t="str">
        <f>IF(E230="","",IF(ISNA(VLOOKUP($E230,'A-1 On-Site Habitat Baseline'!$D$1:$O$258,9,FALSE)),"",(VLOOKUP($E230,'A-1 On-Site Habitat Baseline'!$D$1:$O$258,9,FALSE))))</f>
        <v/>
      </c>
      <c r="L230" s="382" t="str">
        <f>IF(E230="","",IF(ISNA(VLOOKUP($E230,'A-1 On-Site Habitat Baseline'!$D$1:$O$258,11,FALSE)),"",(VLOOKUP($E230,'A-1 On-Site Habitat Baseline'!$D$1:$O$258,11,FALSE))))</f>
        <v/>
      </c>
      <c r="M230" s="382" t="str">
        <f>IF(E230="","",IF(ISNA(VLOOKUP($E230,'A-1 On-Site Habitat Baseline'!$D$1:$O$258,12,FALSE)),"",(VLOOKUP($E230,'A-1 On-Site Habitat Baseline'!$D$1:$O$258,12,FALSE))))</f>
        <v/>
      </c>
      <c r="N230" s="393" t="str">
        <f>IF(E230="","",IF(ISNA(VLOOKUP($E230,'A-1 On-Site Habitat Baseline'!$D$1:$X$258,14,FALSE)),"",(VLOOKUP($E230,'A-1 On-Site Habitat Baseline'!$D$1:$X$258,14,FALSE))))</f>
        <v/>
      </c>
      <c r="O230" s="386" t="str">
        <f>IF(E230="","",IF(ISNA(VLOOKUP($E230,'A-1 On-Site Habitat Baseline'!$D$1:$X$258,16,FALSE)),"",(VLOOKUP($E230,'A-1 On-Site Habitat Baseline'!$D$1:$X$258,13,FALSE))))</f>
        <v/>
      </c>
      <c r="P230" s="192" t="str">
        <f>IFERROR(INDEX('G-1 All Habitats'!$AG$3:$AG$17,MATCH(Q230,'G-1 All Habitats'!$AF$3:$AF$17,0)),"")</f>
        <v/>
      </c>
      <c r="Q230" s="193" t="str">
        <f t="shared" si="33"/>
        <v/>
      </c>
      <c r="R230" s="193" t="str">
        <f t="shared" si="33"/>
        <v/>
      </c>
      <c r="S230" s="306" t="str">
        <f>IFERROR(INDEX('G-1 All Habitats'!$B$3:$B$134,MATCH(R230,'G-1 All Habitats'!$A$3:$A$134,0)),"")</f>
        <v/>
      </c>
      <c r="T230" s="362" t="str">
        <f t="shared" si="34"/>
        <v/>
      </c>
      <c r="U230" s="363" t="str">
        <f t="shared" si="35"/>
        <v/>
      </c>
      <c r="V230" s="398" t="str">
        <f t="shared" si="31"/>
        <v/>
      </c>
      <c r="W230" s="382" t="str">
        <f>IF(S230="","",VLOOKUP(S230,'G-1 All Habitats'!$B$2:$M$134,10,FALSE))</f>
        <v/>
      </c>
      <c r="X230" s="382" t="str">
        <f>IFERROR(VLOOKUP(W230,'G-1 All Habitats'!$V$3:$W$7,2,FALSE),"")</f>
        <v/>
      </c>
      <c r="Y230" s="61"/>
      <c r="Z230" s="386" t="str">
        <f>IFERROR(INDEX('G-8 Condition Look up'!$A$3:$H$135,MATCH(S230,'G-8 Condition Look up'!$A$3:$A$135,0),MATCH(Y230,'G-8 Condition Look up'!$A$3:$H$3,0)),"")</f>
        <v/>
      </c>
      <c r="AA230" s="54"/>
      <c r="AB230" s="382" t="str">
        <f>IF(AA230="","",IF(VLOOKUP(AA230,'G-3 Multipliers'!$L$3:$N$6,2,FALSE)=0,"Spatial Data Missing ⚠",VLOOKUP(AA230,'G-3 Multipliers'!$L$3:$N$6,2,FALSE)))</f>
        <v/>
      </c>
      <c r="AC230" s="386" t="str">
        <f>IF(AA230="","",IF(VLOOKUP(AA230,'G-3 Multipliers'!$L$3:$N$6,3,FALSE)=0,"Spatial Data Missing ⚠",VLOOKUP(AA230,'G-3 Multipliers'!$L$3:$N$6,3,FALSE)))</f>
        <v/>
      </c>
      <c r="AD230" s="400" t="str">
        <f t="shared" si="32"/>
        <v/>
      </c>
      <c r="AE230" s="63"/>
      <c r="AF230" s="63"/>
      <c r="AG230" s="370" t="str">
        <f t="shared" si="36"/>
        <v/>
      </c>
      <c r="AH230" s="383" t="str">
        <f t="shared" si="37"/>
        <v/>
      </c>
      <c r="AI230" s="384" t="str">
        <f>IF(AH230="Check Data","Check Data",IFERROR(VLOOKUP(AH230,'G-4 Temporal multipliers'!$A$4:$C$36,3,FALSE),""))</f>
        <v/>
      </c>
      <c r="AJ230" s="362" t="str">
        <f>IF(S230="","",VLOOKUP(S230,'G-3 Multipliers'!$A$2:$E$134,4,FALSE))</f>
        <v/>
      </c>
      <c r="AK230" s="370" t="str">
        <f t="shared" si="38"/>
        <v/>
      </c>
      <c r="AL230" s="370" t="str">
        <f t="shared" si="39"/>
        <v/>
      </c>
      <c r="AM230" s="401" t="str">
        <f>IFERROR(IF(F230="","",IF(AH230="Check Data ⚠","Check Data ⚠",VLOOKUP(AL230, 'G-3 Multipliers'!$P$2:$Q$6,2,FALSE))),"")</f>
        <v/>
      </c>
      <c r="AN230" s="376" t="str">
        <f t="shared" si="40"/>
        <v/>
      </c>
      <c r="AO230" s="194"/>
      <c r="AP230" s="195"/>
      <c r="AQ230" s="120"/>
    </row>
    <row r="231" spans="1:43">
      <c r="A231" s="35" t="str">
        <f>IF(E231="","",IF(ISNA(VLOOKUP($E231,'A-1 On-Site Habitat Baseline'!$D$1:$O$258,2,FALSE)),"",(VLOOKUP($E231,'A-1 On-Site Habitat Baseline'!$D$1:$O$258,2,FALSE))))</f>
        <v/>
      </c>
      <c r="B231" s="35" t="str">
        <f>IF(E231="","",IF(ISNA(VLOOKUP($E231,'A-1 On-Site Habitat Baseline'!$D$1:$O$258,3,FALSE)),"",(VLOOKUP($E231,'A-1 On-Site Habitat Baseline'!$D$1:$O$258,3,FALSE))))</f>
        <v/>
      </c>
      <c r="C231" s="35" t="str">
        <f>IFERROR(INDEX('G-8 Condition Look up'!$I$4:$I$135,MATCH(S231,'G-8 Condition Look up'!$A$4:$A$135,0)),"")</f>
        <v/>
      </c>
      <c r="E231" s="392" t="str">
        <f>'A-1 On-Site Habitat Baseline'!AL230</f>
        <v/>
      </c>
      <c r="F231" s="382" t="str">
        <f>IF(E231="","",IF(ISNA(VLOOKUP($E231,'A-1 On-Site Habitat Baseline'!$D$1:$O$258,4,FALSE)),"",(VLOOKUP($E231,'A-1 On-Site Habitat Baseline'!$D$1:$O$258,4,FALSE))))</f>
        <v/>
      </c>
      <c r="G231" s="382" t="str">
        <f>IF(E231="","",IF(ISNA(VLOOKUP($E231,'A-1 On-Site Habitat Baseline'!$D$1:$O$258,5,FALSE)),"",(VLOOKUP($E231,'A-1 On-Site Habitat Baseline'!$D$1:$O$258,5,FALSE))))</f>
        <v/>
      </c>
      <c r="H231" s="382" t="str">
        <f>IF(E231="","",IF(ISNA(VLOOKUP($E231,'A-1 On-Site Habitat Baseline'!$D$1:$O$258,6,FALSE)),"",(VLOOKUP($E231,'A-1 On-Site Habitat Baseline'!$D$1:$O$258,6,FALSE))))</f>
        <v/>
      </c>
      <c r="I231" s="382" t="str">
        <f>IF(E231="","",IF(ISNA(VLOOKUP($E231,'A-1 On-Site Habitat Baseline'!$D$1:$O$258,7,FALSE)),"",(VLOOKUP($E231,'A-1 On-Site Habitat Baseline'!$D$1:$O$258,7,FALSE))))</f>
        <v/>
      </c>
      <c r="J231" s="382" t="str">
        <f>IF(E231="","",IF(ISNA(VLOOKUP($E231,'A-1 On-Site Habitat Baseline'!$D$1:$O$258,8,FALSE)),"",(VLOOKUP($E231,'A-1 On-Site Habitat Baseline'!$D$1:$O$258,8,FALSE))))</f>
        <v/>
      </c>
      <c r="K231" s="382" t="str">
        <f>IF(E231="","",IF(ISNA(VLOOKUP($E231,'A-1 On-Site Habitat Baseline'!$D$1:$O$258,9,FALSE)),"",(VLOOKUP($E231,'A-1 On-Site Habitat Baseline'!$D$1:$O$258,9,FALSE))))</f>
        <v/>
      </c>
      <c r="L231" s="382" t="str">
        <f>IF(E231="","",IF(ISNA(VLOOKUP($E231,'A-1 On-Site Habitat Baseline'!$D$1:$O$258,11,FALSE)),"",(VLOOKUP($E231,'A-1 On-Site Habitat Baseline'!$D$1:$O$258,11,FALSE))))</f>
        <v/>
      </c>
      <c r="M231" s="382" t="str">
        <f>IF(E231="","",IF(ISNA(VLOOKUP($E231,'A-1 On-Site Habitat Baseline'!$D$1:$O$258,12,FALSE)),"",(VLOOKUP($E231,'A-1 On-Site Habitat Baseline'!$D$1:$O$258,12,FALSE))))</f>
        <v/>
      </c>
      <c r="N231" s="393" t="str">
        <f>IF(E231="","",IF(ISNA(VLOOKUP($E231,'A-1 On-Site Habitat Baseline'!$D$1:$X$258,14,FALSE)),"",(VLOOKUP($E231,'A-1 On-Site Habitat Baseline'!$D$1:$X$258,14,FALSE))))</f>
        <v/>
      </c>
      <c r="O231" s="386" t="str">
        <f>IF(E231="","",IF(ISNA(VLOOKUP($E231,'A-1 On-Site Habitat Baseline'!$D$1:$X$258,16,FALSE)),"",(VLOOKUP($E231,'A-1 On-Site Habitat Baseline'!$D$1:$X$258,13,FALSE))))</f>
        <v/>
      </c>
      <c r="P231" s="192" t="str">
        <f>IFERROR(INDEX('G-1 All Habitats'!$AG$3:$AG$17,MATCH(Q231,'G-1 All Habitats'!$AF$3:$AF$17,0)),"")</f>
        <v/>
      </c>
      <c r="Q231" s="193" t="str">
        <f t="shared" si="33"/>
        <v/>
      </c>
      <c r="R231" s="193" t="str">
        <f t="shared" si="33"/>
        <v/>
      </c>
      <c r="S231" s="306" t="str">
        <f>IFERROR(INDEX('G-1 All Habitats'!$B$3:$B$134,MATCH(R231,'G-1 All Habitats'!$A$3:$A$134,0)),"")</f>
        <v/>
      </c>
      <c r="T231" s="362" t="str">
        <f t="shared" si="34"/>
        <v/>
      </c>
      <c r="U231" s="363" t="str">
        <f t="shared" si="35"/>
        <v/>
      </c>
      <c r="V231" s="398" t="str">
        <f t="shared" si="31"/>
        <v/>
      </c>
      <c r="W231" s="382" t="str">
        <f>IF(S231="","",VLOOKUP(S231,'G-1 All Habitats'!$B$2:$M$134,10,FALSE))</f>
        <v/>
      </c>
      <c r="X231" s="382" t="str">
        <f>IFERROR(VLOOKUP(W231,'G-1 All Habitats'!$V$3:$W$7,2,FALSE),"")</f>
        <v/>
      </c>
      <c r="Y231" s="61"/>
      <c r="Z231" s="386" t="str">
        <f>IFERROR(INDEX('G-8 Condition Look up'!$A$3:$H$135,MATCH(S231,'G-8 Condition Look up'!$A$3:$A$135,0),MATCH(Y231,'G-8 Condition Look up'!$A$3:$H$3,0)),"")</f>
        <v/>
      </c>
      <c r="AA231" s="54"/>
      <c r="AB231" s="382" t="str">
        <f>IF(AA231="","",IF(VLOOKUP(AA231,'G-3 Multipliers'!$L$3:$N$6,2,FALSE)=0,"Spatial Data Missing ⚠",VLOOKUP(AA231,'G-3 Multipliers'!$L$3:$N$6,2,FALSE)))</f>
        <v/>
      </c>
      <c r="AC231" s="386" t="str">
        <f>IF(AA231="","",IF(VLOOKUP(AA231,'G-3 Multipliers'!$L$3:$N$6,3,FALSE)=0,"Spatial Data Missing ⚠",VLOOKUP(AA231,'G-3 Multipliers'!$L$3:$N$6,3,FALSE)))</f>
        <v/>
      </c>
      <c r="AD231" s="400" t="str">
        <f t="shared" si="32"/>
        <v/>
      </c>
      <c r="AE231" s="63"/>
      <c r="AF231" s="63"/>
      <c r="AG231" s="370" t="str">
        <f t="shared" si="36"/>
        <v/>
      </c>
      <c r="AH231" s="383" t="str">
        <f t="shared" si="37"/>
        <v/>
      </c>
      <c r="AI231" s="384" t="str">
        <f>IF(AH231="Check Data","Check Data",IFERROR(VLOOKUP(AH231,'G-4 Temporal multipliers'!$A$4:$C$36,3,FALSE),""))</f>
        <v/>
      </c>
      <c r="AJ231" s="362" t="str">
        <f>IF(S231="","",VLOOKUP(S231,'G-3 Multipliers'!$A$2:$E$134,4,FALSE))</f>
        <v/>
      </c>
      <c r="AK231" s="370" t="str">
        <f t="shared" si="38"/>
        <v/>
      </c>
      <c r="AL231" s="370" t="str">
        <f t="shared" si="39"/>
        <v/>
      </c>
      <c r="AM231" s="401" t="str">
        <f>IFERROR(IF(F231="","",IF(AH231="Check Data ⚠","Check Data ⚠",VLOOKUP(AL231, 'G-3 Multipliers'!$P$2:$Q$6,2,FALSE))),"")</f>
        <v/>
      </c>
      <c r="AN231" s="376" t="str">
        <f t="shared" si="40"/>
        <v/>
      </c>
      <c r="AO231" s="194"/>
      <c r="AP231" s="195"/>
      <c r="AQ231" s="120"/>
    </row>
    <row r="232" spans="1:43">
      <c r="A232" s="35" t="str">
        <f>IF(E232="","",IF(ISNA(VLOOKUP($E232,'A-1 On-Site Habitat Baseline'!$D$1:$O$258,2,FALSE)),"",(VLOOKUP($E232,'A-1 On-Site Habitat Baseline'!$D$1:$O$258,2,FALSE))))</f>
        <v/>
      </c>
      <c r="B232" s="35" t="str">
        <f>IF(E232="","",IF(ISNA(VLOOKUP($E232,'A-1 On-Site Habitat Baseline'!$D$1:$O$258,3,FALSE)),"",(VLOOKUP($E232,'A-1 On-Site Habitat Baseline'!$D$1:$O$258,3,FALSE))))</f>
        <v/>
      </c>
      <c r="C232" s="35" t="str">
        <f>IFERROR(INDEX('G-8 Condition Look up'!$I$4:$I$135,MATCH(S232,'G-8 Condition Look up'!$A$4:$A$135,0)),"")</f>
        <v/>
      </c>
      <c r="E232" s="392" t="str">
        <f>'A-1 On-Site Habitat Baseline'!AL231</f>
        <v/>
      </c>
      <c r="F232" s="382" t="str">
        <f>IF(E232="","",IF(ISNA(VLOOKUP($E232,'A-1 On-Site Habitat Baseline'!$D$1:$O$258,4,FALSE)),"",(VLOOKUP($E232,'A-1 On-Site Habitat Baseline'!$D$1:$O$258,4,FALSE))))</f>
        <v/>
      </c>
      <c r="G232" s="382" t="str">
        <f>IF(E232="","",IF(ISNA(VLOOKUP($E232,'A-1 On-Site Habitat Baseline'!$D$1:$O$258,5,FALSE)),"",(VLOOKUP($E232,'A-1 On-Site Habitat Baseline'!$D$1:$O$258,5,FALSE))))</f>
        <v/>
      </c>
      <c r="H232" s="382" t="str">
        <f>IF(E232="","",IF(ISNA(VLOOKUP($E232,'A-1 On-Site Habitat Baseline'!$D$1:$O$258,6,FALSE)),"",(VLOOKUP($E232,'A-1 On-Site Habitat Baseline'!$D$1:$O$258,6,FALSE))))</f>
        <v/>
      </c>
      <c r="I232" s="382" t="str">
        <f>IF(E232="","",IF(ISNA(VLOOKUP($E232,'A-1 On-Site Habitat Baseline'!$D$1:$O$258,7,FALSE)),"",(VLOOKUP($E232,'A-1 On-Site Habitat Baseline'!$D$1:$O$258,7,FALSE))))</f>
        <v/>
      </c>
      <c r="J232" s="382" t="str">
        <f>IF(E232="","",IF(ISNA(VLOOKUP($E232,'A-1 On-Site Habitat Baseline'!$D$1:$O$258,8,FALSE)),"",(VLOOKUP($E232,'A-1 On-Site Habitat Baseline'!$D$1:$O$258,8,FALSE))))</f>
        <v/>
      </c>
      <c r="K232" s="382" t="str">
        <f>IF(E232="","",IF(ISNA(VLOOKUP($E232,'A-1 On-Site Habitat Baseline'!$D$1:$O$258,9,FALSE)),"",(VLOOKUP($E232,'A-1 On-Site Habitat Baseline'!$D$1:$O$258,9,FALSE))))</f>
        <v/>
      </c>
      <c r="L232" s="382" t="str">
        <f>IF(E232="","",IF(ISNA(VLOOKUP($E232,'A-1 On-Site Habitat Baseline'!$D$1:$O$258,11,FALSE)),"",(VLOOKUP($E232,'A-1 On-Site Habitat Baseline'!$D$1:$O$258,11,FALSE))))</f>
        <v/>
      </c>
      <c r="M232" s="382" t="str">
        <f>IF(E232="","",IF(ISNA(VLOOKUP($E232,'A-1 On-Site Habitat Baseline'!$D$1:$O$258,12,FALSE)),"",(VLOOKUP($E232,'A-1 On-Site Habitat Baseline'!$D$1:$O$258,12,FALSE))))</f>
        <v/>
      </c>
      <c r="N232" s="393" t="str">
        <f>IF(E232="","",IF(ISNA(VLOOKUP($E232,'A-1 On-Site Habitat Baseline'!$D$1:$X$258,14,FALSE)),"",(VLOOKUP($E232,'A-1 On-Site Habitat Baseline'!$D$1:$X$258,14,FALSE))))</f>
        <v/>
      </c>
      <c r="O232" s="386" t="str">
        <f>IF(E232="","",IF(ISNA(VLOOKUP($E232,'A-1 On-Site Habitat Baseline'!$D$1:$X$258,16,FALSE)),"",(VLOOKUP($E232,'A-1 On-Site Habitat Baseline'!$D$1:$X$258,13,FALSE))))</f>
        <v/>
      </c>
      <c r="P232" s="192" t="str">
        <f>IFERROR(INDEX('G-1 All Habitats'!$AG$3:$AG$17,MATCH(Q232,'G-1 All Habitats'!$AF$3:$AF$17,0)),"")</f>
        <v/>
      </c>
      <c r="Q232" s="193" t="str">
        <f t="shared" si="33"/>
        <v/>
      </c>
      <c r="R232" s="193" t="str">
        <f t="shared" si="33"/>
        <v/>
      </c>
      <c r="S232" s="306" t="str">
        <f>IFERROR(INDEX('G-1 All Habitats'!$B$3:$B$134,MATCH(R232,'G-1 All Habitats'!$A$3:$A$134,0)),"")</f>
        <v/>
      </c>
      <c r="T232" s="362" t="str">
        <f t="shared" si="34"/>
        <v/>
      </c>
      <c r="U232" s="363" t="str">
        <f t="shared" si="35"/>
        <v/>
      </c>
      <c r="V232" s="398" t="str">
        <f t="shared" si="31"/>
        <v/>
      </c>
      <c r="W232" s="382" t="str">
        <f>IF(S232="","",VLOOKUP(S232,'G-1 All Habitats'!$B$2:$M$134,10,FALSE))</f>
        <v/>
      </c>
      <c r="X232" s="382" t="str">
        <f>IFERROR(VLOOKUP(W232,'G-1 All Habitats'!$V$3:$W$7,2,FALSE),"")</f>
        <v/>
      </c>
      <c r="Y232" s="61"/>
      <c r="Z232" s="386" t="str">
        <f>IFERROR(INDEX('G-8 Condition Look up'!$A$3:$H$135,MATCH(S232,'G-8 Condition Look up'!$A$3:$A$135,0),MATCH(Y232,'G-8 Condition Look up'!$A$3:$H$3,0)),"")</f>
        <v/>
      </c>
      <c r="AA232" s="54"/>
      <c r="AB232" s="382" t="str">
        <f>IF(AA232="","",IF(VLOOKUP(AA232,'G-3 Multipliers'!$L$3:$N$6,2,FALSE)=0,"Spatial Data Missing ⚠",VLOOKUP(AA232,'G-3 Multipliers'!$L$3:$N$6,2,FALSE)))</f>
        <v/>
      </c>
      <c r="AC232" s="386" t="str">
        <f>IF(AA232="","",IF(VLOOKUP(AA232,'G-3 Multipliers'!$L$3:$N$6,3,FALSE)=0,"Spatial Data Missing ⚠",VLOOKUP(AA232,'G-3 Multipliers'!$L$3:$N$6,3,FALSE)))</f>
        <v/>
      </c>
      <c r="AD232" s="400" t="str">
        <f t="shared" si="32"/>
        <v/>
      </c>
      <c r="AE232" s="63"/>
      <c r="AF232" s="63"/>
      <c r="AG232" s="370" t="str">
        <f t="shared" si="36"/>
        <v/>
      </c>
      <c r="AH232" s="383" t="str">
        <f t="shared" si="37"/>
        <v/>
      </c>
      <c r="AI232" s="384" t="str">
        <f>IF(AH232="Check Data","Check Data",IFERROR(VLOOKUP(AH232,'G-4 Temporal multipliers'!$A$4:$C$36,3,FALSE),""))</f>
        <v/>
      </c>
      <c r="AJ232" s="362" t="str">
        <f>IF(S232="","",VLOOKUP(S232,'G-3 Multipliers'!$A$2:$E$134,4,FALSE))</f>
        <v/>
      </c>
      <c r="AK232" s="370" t="str">
        <f t="shared" si="38"/>
        <v/>
      </c>
      <c r="AL232" s="370" t="str">
        <f t="shared" si="39"/>
        <v/>
      </c>
      <c r="AM232" s="401" t="str">
        <f>IFERROR(IF(F232="","",IF(AH232="Check Data ⚠","Check Data ⚠",VLOOKUP(AL232, 'G-3 Multipliers'!$P$2:$Q$6,2,FALSE))),"")</f>
        <v/>
      </c>
      <c r="AN232" s="376" t="str">
        <f t="shared" si="40"/>
        <v/>
      </c>
      <c r="AO232" s="194"/>
      <c r="AP232" s="195"/>
      <c r="AQ232" s="120"/>
    </row>
    <row r="233" spans="1:43">
      <c r="A233" s="35" t="str">
        <f>IF(E233="","",IF(ISNA(VLOOKUP($E233,'A-1 On-Site Habitat Baseline'!$D$1:$O$258,2,FALSE)),"",(VLOOKUP($E233,'A-1 On-Site Habitat Baseline'!$D$1:$O$258,2,FALSE))))</f>
        <v/>
      </c>
      <c r="B233" s="35" t="str">
        <f>IF(E233="","",IF(ISNA(VLOOKUP($E233,'A-1 On-Site Habitat Baseline'!$D$1:$O$258,3,FALSE)),"",(VLOOKUP($E233,'A-1 On-Site Habitat Baseline'!$D$1:$O$258,3,FALSE))))</f>
        <v/>
      </c>
      <c r="C233" s="35" t="str">
        <f>IFERROR(INDEX('G-8 Condition Look up'!$I$4:$I$135,MATCH(S233,'G-8 Condition Look up'!$A$4:$A$135,0)),"")</f>
        <v/>
      </c>
      <c r="E233" s="392" t="str">
        <f>'A-1 On-Site Habitat Baseline'!AL232</f>
        <v/>
      </c>
      <c r="F233" s="382" t="str">
        <f>IF(E233="","",IF(ISNA(VLOOKUP($E233,'A-1 On-Site Habitat Baseline'!$D$1:$O$258,4,FALSE)),"",(VLOOKUP($E233,'A-1 On-Site Habitat Baseline'!$D$1:$O$258,4,FALSE))))</f>
        <v/>
      </c>
      <c r="G233" s="382" t="str">
        <f>IF(E233="","",IF(ISNA(VLOOKUP($E233,'A-1 On-Site Habitat Baseline'!$D$1:$O$258,5,FALSE)),"",(VLOOKUP($E233,'A-1 On-Site Habitat Baseline'!$D$1:$O$258,5,FALSE))))</f>
        <v/>
      </c>
      <c r="H233" s="382" t="str">
        <f>IF(E233="","",IF(ISNA(VLOOKUP($E233,'A-1 On-Site Habitat Baseline'!$D$1:$O$258,6,FALSE)),"",(VLOOKUP($E233,'A-1 On-Site Habitat Baseline'!$D$1:$O$258,6,FALSE))))</f>
        <v/>
      </c>
      <c r="I233" s="382" t="str">
        <f>IF(E233="","",IF(ISNA(VLOOKUP($E233,'A-1 On-Site Habitat Baseline'!$D$1:$O$258,7,FALSE)),"",(VLOOKUP($E233,'A-1 On-Site Habitat Baseline'!$D$1:$O$258,7,FALSE))))</f>
        <v/>
      </c>
      <c r="J233" s="382" t="str">
        <f>IF(E233="","",IF(ISNA(VLOOKUP($E233,'A-1 On-Site Habitat Baseline'!$D$1:$O$258,8,FALSE)),"",(VLOOKUP($E233,'A-1 On-Site Habitat Baseline'!$D$1:$O$258,8,FALSE))))</f>
        <v/>
      </c>
      <c r="K233" s="382" t="str">
        <f>IF(E233="","",IF(ISNA(VLOOKUP($E233,'A-1 On-Site Habitat Baseline'!$D$1:$O$258,9,FALSE)),"",(VLOOKUP($E233,'A-1 On-Site Habitat Baseline'!$D$1:$O$258,9,FALSE))))</f>
        <v/>
      </c>
      <c r="L233" s="382" t="str">
        <f>IF(E233="","",IF(ISNA(VLOOKUP($E233,'A-1 On-Site Habitat Baseline'!$D$1:$O$258,11,FALSE)),"",(VLOOKUP($E233,'A-1 On-Site Habitat Baseline'!$D$1:$O$258,11,FALSE))))</f>
        <v/>
      </c>
      <c r="M233" s="382" t="str">
        <f>IF(E233="","",IF(ISNA(VLOOKUP($E233,'A-1 On-Site Habitat Baseline'!$D$1:$O$258,12,FALSE)),"",(VLOOKUP($E233,'A-1 On-Site Habitat Baseline'!$D$1:$O$258,12,FALSE))))</f>
        <v/>
      </c>
      <c r="N233" s="393" t="str">
        <f>IF(E233="","",IF(ISNA(VLOOKUP($E233,'A-1 On-Site Habitat Baseline'!$D$1:$X$258,14,FALSE)),"",(VLOOKUP($E233,'A-1 On-Site Habitat Baseline'!$D$1:$X$258,14,FALSE))))</f>
        <v/>
      </c>
      <c r="O233" s="386" t="str">
        <f>IF(E233="","",IF(ISNA(VLOOKUP($E233,'A-1 On-Site Habitat Baseline'!$D$1:$X$258,16,FALSE)),"",(VLOOKUP($E233,'A-1 On-Site Habitat Baseline'!$D$1:$X$258,13,FALSE))))</f>
        <v/>
      </c>
      <c r="P233" s="192" t="str">
        <f>IFERROR(INDEX('G-1 All Habitats'!$AG$3:$AG$17,MATCH(Q233,'G-1 All Habitats'!$AF$3:$AF$17,0)),"")</f>
        <v/>
      </c>
      <c r="Q233" s="193" t="str">
        <f t="shared" si="33"/>
        <v/>
      </c>
      <c r="R233" s="193" t="str">
        <f t="shared" si="33"/>
        <v/>
      </c>
      <c r="S233" s="306" t="str">
        <f>IFERROR(INDEX('G-1 All Habitats'!$B$3:$B$134,MATCH(R233,'G-1 All Habitats'!$A$3:$A$134,0)),"")</f>
        <v/>
      </c>
      <c r="T233" s="362" t="str">
        <f t="shared" si="34"/>
        <v/>
      </c>
      <c r="U233" s="363" t="str">
        <f t="shared" si="35"/>
        <v/>
      </c>
      <c r="V233" s="398" t="str">
        <f t="shared" si="31"/>
        <v/>
      </c>
      <c r="W233" s="382" t="str">
        <f>IF(S233="","",VLOOKUP(S233,'G-1 All Habitats'!$B$2:$M$134,10,FALSE))</f>
        <v/>
      </c>
      <c r="X233" s="382" t="str">
        <f>IFERROR(VLOOKUP(W233,'G-1 All Habitats'!$V$3:$W$7,2,FALSE),"")</f>
        <v/>
      </c>
      <c r="Y233" s="61"/>
      <c r="Z233" s="386" t="str">
        <f>IFERROR(INDEX('G-8 Condition Look up'!$A$3:$H$135,MATCH(S233,'G-8 Condition Look up'!$A$3:$A$135,0),MATCH(Y233,'G-8 Condition Look up'!$A$3:$H$3,0)),"")</f>
        <v/>
      </c>
      <c r="AA233" s="54"/>
      <c r="AB233" s="382" t="str">
        <f>IF(AA233="","",IF(VLOOKUP(AA233,'G-3 Multipliers'!$L$3:$N$6,2,FALSE)=0,"Spatial Data Missing ⚠",VLOOKUP(AA233,'G-3 Multipliers'!$L$3:$N$6,2,FALSE)))</f>
        <v/>
      </c>
      <c r="AC233" s="386" t="str">
        <f>IF(AA233="","",IF(VLOOKUP(AA233,'G-3 Multipliers'!$L$3:$N$6,3,FALSE)=0,"Spatial Data Missing ⚠",VLOOKUP(AA233,'G-3 Multipliers'!$L$3:$N$6,3,FALSE)))</f>
        <v/>
      </c>
      <c r="AD233" s="400" t="str">
        <f t="shared" si="32"/>
        <v/>
      </c>
      <c r="AE233" s="63"/>
      <c r="AF233" s="63"/>
      <c r="AG233" s="370" t="str">
        <f t="shared" si="36"/>
        <v/>
      </c>
      <c r="AH233" s="383" t="str">
        <f t="shared" si="37"/>
        <v/>
      </c>
      <c r="AI233" s="384" t="str">
        <f>IF(AH233="Check Data","Check Data",IFERROR(VLOOKUP(AH233,'G-4 Temporal multipliers'!$A$4:$C$36,3,FALSE),""))</f>
        <v/>
      </c>
      <c r="AJ233" s="362" t="str">
        <f>IF(S233="","",VLOOKUP(S233,'G-3 Multipliers'!$A$2:$E$134,4,FALSE))</f>
        <v/>
      </c>
      <c r="AK233" s="370" t="str">
        <f t="shared" si="38"/>
        <v/>
      </c>
      <c r="AL233" s="370" t="str">
        <f t="shared" si="39"/>
        <v/>
      </c>
      <c r="AM233" s="401" t="str">
        <f>IFERROR(IF(F233="","",IF(AH233="Check Data ⚠","Check Data ⚠",VLOOKUP(AL233, 'G-3 Multipliers'!$P$2:$Q$6,2,FALSE))),"")</f>
        <v/>
      </c>
      <c r="AN233" s="376" t="str">
        <f t="shared" si="40"/>
        <v/>
      </c>
      <c r="AO233" s="194"/>
      <c r="AP233" s="195"/>
      <c r="AQ233" s="120"/>
    </row>
    <row r="234" spans="1:43">
      <c r="A234" s="35" t="str">
        <f>IF(E234="","",IF(ISNA(VLOOKUP($E234,'A-1 On-Site Habitat Baseline'!$D$1:$O$258,2,FALSE)),"",(VLOOKUP($E234,'A-1 On-Site Habitat Baseline'!$D$1:$O$258,2,FALSE))))</f>
        <v/>
      </c>
      <c r="B234" s="35" t="str">
        <f>IF(E234="","",IF(ISNA(VLOOKUP($E234,'A-1 On-Site Habitat Baseline'!$D$1:$O$258,3,FALSE)),"",(VLOOKUP($E234,'A-1 On-Site Habitat Baseline'!$D$1:$O$258,3,FALSE))))</f>
        <v/>
      </c>
      <c r="C234" s="35" t="str">
        <f>IFERROR(INDEX('G-8 Condition Look up'!$I$4:$I$135,MATCH(S234,'G-8 Condition Look up'!$A$4:$A$135,0)),"")</f>
        <v/>
      </c>
      <c r="E234" s="392" t="str">
        <f>'A-1 On-Site Habitat Baseline'!AL233</f>
        <v/>
      </c>
      <c r="F234" s="382" t="str">
        <f>IF(E234="","",IF(ISNA(VLOOKUP($E234,'A-1 On-Site Habitat Baseline'!$D$1:$O$258,4,FALSE)),"",(VLOOKUP($E234,'A-1 On-Site Habitat Baseline'!$D$1:$O$258,4,FALSE))))</f>
        <v/>
      </c>
      <c r="G234" s="382" t="str">
        <f>IF(E234="","",IF(ISNA(VLOOKUP($E234,'A-1 On-Site Habitat Baseline'!$D$1:$O$258,5,FALSE)),"",(VLOOKUP($E234,'A-1 On-Site Habitat Baseline'!$D$1:$O$258,5,FALSE))))</f>
        <v/>
      </c>
      <c r="H234" s="382" t="str">
        <f>IF(E234="","",IF(ISNA(VLOOKUP($E234,'A-1 On-Site Habitat Baseline'!$D$1:$O$258,6,FALSE)),"",(VLOOKUP($E234,'A-1 On-Site Habitat Baseline'!$D$1:$O$258,6,FALSE))))</f>
        <v/>
      </c>
      <c r="I234" s="382" t="str">
        <f>IF(E234="","",IF(ISNA(VLOOKUP($E234,'A-1 On-Site Habitat Baseline'!$D$1:$O$258,7,FALSE)),"",(VLOOKUP($E234,'A-1 On-Site Habitat Baseline'!$D$1:$O$258,7,FALSE))))</f>
        <v/>
      </c>
      <c r="J234" s="382" t="str">
        <f>IF(E234="","",IF(ISNA(VLOOKUP($E234,'A-1 On-Site Habitat Baseline'!$D$1:$O$258,8,FALSE)),"",(VLOOKUP($E234,'A-1 On-Site Habitat Baseline'!$D$1:$O$258,8,FALSE))))</f>
        <v/>
      </c>
      <c r="K234" s="382" t="str">
        <f>IF(E234="","",IF(ISNA(VLOOKUP($E234,'A-1 On-Site Habitat Baseline'!$D$1:$O$258,9,FALSE)),"",(VLOOKUP($E234,'A-1 On-Site Habitat Baseline'!$D$1:$O$258,9,FALSE))))</f>
        <v/>
      </c>
      <c r="L234" s="382" t="str">
        <f>IF(E234="","",IF(ISNA(VLOOKUP($E234,'A-1 On-Site Habitat Baseline'!$D$1:$O$258,11,FALSE)),"",(VLOOKUP($E234,'A-1 On-Site Habitat Baseline'!$D$1:$O$258,11,FALSE))))</f>
        <v/>
      </c>
      <c r="M234" s="382" t="str">
        <f>IF(E234="","",IF(ISNA(VLOOKUP($E234,'A-1 On-Site Habitat Baseline'!$D$1:$O$258,12,FALSE)),"",(VLOOKUP($E234,'A-1 On-Site Habitat Baseline'!$D$1:$O$258,12,FALSE))))</f>
        <v/>
      </c>
      <c r="N234" s="393" t="str">
        <f>IF(E234="","",IF(ISNA(VLOOKUP($E234,'A-1 On-Site Habitat Baseline'!$D$1:$X$258,14,FALSE)),"",(VLOOKUP($E234,'A-1 On-Site Habitat Baseline'!$D$1:$X$258,14,FALSE))))</f>
        <v/>
      </c>
      <c r="O234" s="386" t="str">
        <f>IF(E234="","",IF(ISNA(VLOOKUP($E234,'A-1 On-Site Habitat Baseline'!$D$1:$X$258,16,FALSE)),"",(VLOOKUP($E234,'A-1 On-Site Habitat Baseline'!$D$1:$X$258,13,FALSE))))</f>
        <v/>
      </c>
      <c r="P234" s="192" t="str">
        <f>IFERROR(INDEX('G-1 All Habitats'!$AG$3:$AG$17,MATCH(Q234,'G-1 All Habitats'!$AF$3:$AF$17,0)),"")</f>
        <v/>
      </c>
      <c r="Q234" s="193" t="str">
        <f t="shared" si="33"/>
        <v/>
      </c>
      <c r="R234" s="193" t="str">
        <f t="shared" si="33"/>
        <v/>
      </c>
      <c r="S234" s="306" t="str">
        <f>IFERROR(INDEX('G-1 All Habitats'!$B$3:$B$134,MATCH(R234,'G-1 All Habitats'!$A$3:$A$134,0)),"")</f>
        <v/>
      </c>
      <c r="T234" s="362" t="str">
        <f t="shared" si="34"/>
        <v/>
      </c>
      <c r="U234" s="363" t="str">
        <f t="shared" si="35"/>
        <v/>
      </c>
      <c r="V234" s="398" t="str">
        <f t="shared" si="31"/>
        <v/>
      </c>
      <c r="W234" s="382" t="str">
        <f>IF(S234="","",VLOOKUP(S234,'G-1 All Habitats'!$B$2:$M$134,10,FALSE))</f>
        <v/>
      </c>
      <c r="X234" s="382" t="str">
        <f>IFERROR(VLOOKUP(W234,'G-1 All Habitats'!$V$3:$W$7,2,FALSE),"")</f>
        <v/>
      </c>
      <c r="Y234" s="61"/>
      <c r="Z234" s="386" t="str">
        <f>IFERROR(INDEX('G-8 Condition Look up'!$A$3:$H$135,MATCH(S234,'G-8 Condition Look up'!$A$3:$A$135,0),MATCH(Y234,'G-8 Condition Look up'!$A$3:$H$3,0)),"")</f>
        <v/>
      </c>
      <c r="AA234" s="54"/>
      <c r="AB234" s="382" t="str">
        <f>IF(AA234="","",IF(VLOOKUP(AA234,'G-3 Multipliers'!$L$3:$N$6,2,FALSE)=0,"Spatial Data Missing ⚠",VLOOKUP(AA234,'G-3 Multipliers'!$L$3:$N$6,2,FALSE)))</f>
        <v/>
      </c>
      <c r="AC234" s="386" t="str">
        <f>IF(AA234="","",IF(VLOOKUP(AA234,'G-3 Multipliers'!$L$3:$N$6,3,FALSE)=0,"Spatial Data Missing ⚠",VLOOKUP(AA234,'G-3 Multipliers'!$L$3:$N$6,3,FALSE)))</f>
        <v/>
      </c>
      <c r="AD234" s="400" t="str">
        <f t="shared" si="32"/>
        <v/>
      </c>
      <c r="AE234" s="63"/>
      <c r="AF234" s="63"/>
      <c r="AG234" s="370" t="str">
        <f t="shared" si="36"/>
        <v/>
      </c>
      <c r="AH234" s="383" t="str">
        <f t="shared" si="37"/>
        <v/>
      </c>
      <c r="AI234" s="384" t="str">
        <f>IF(AH234="Check Data","Check Data",IFERROR(VLOOKUP(AH234,'G-4 Temporal multipliers'!$A$4:$C$36,3,FALSE),""))</f>
        <v/>
      </c>
      <c r="AJ234" s="362" t="str">
        <f>IF(S234="","",VLOOKUP(S234,'G-3 Multipliers'!$A$2:$E$134,4,FALSE))</f>
        <v/>
      </c>
      <c r="AK234" s="370" t="str">
        <f t="shared" si="38"/>
        <v/>
      </c>
      <c r="AL234" s="370" t="str">
        <f t="shared" si="39"/>
        <v/>
      </c>
      <c r="AM234" s="401" t="str">
        <f>IFERROR(IF(F234="","",IF(AH234="Check Data ⚠","Check Data ⚠",VLOOKUP(AL234, 'G-3 Multipliers'!$P$2:$Q$6,2,FALSE))),"")</f>
        <v/>
      </c>
      <c r="AN234" s="376" t="str">
        <f t="shared" si="40"/>
        <v/>
      </c>
      <c r="AO234" s="194"/>
      <c r="AP234" s="195"/>
      <c r="AQ234" s="120"/>
    </row>
    <row r="235" spans="1:43">
      <c r="A235" s="35" t="str">
        <f>IF(E235="","",IF(ISNA(VLOOKUP($E235,'A-1 On-Site Habitat Baseline'!$D$1:$O$258,2,FALSE)),"",(VLOOKUP($E235,'A-1 On-Site Habitat Baseline'!$D$1:$O$258,2,FALSE))))</f>
        <v/>
      </c>
      <c r="B235" s="35" t="str">
        <f>IF(E235="","",IF(ISNA(VLOOKUP($E235,'A-1 On-Site Habitat Baseline'!$D$1:$O$258,3,FALSE)),"",(VLOOKUP($E235,'A-1 On-Site Habitat Baseline'!$D$1:$O$258,3,FALSE))))</f>
        <v/>
      </c>
      <c r="C235" s="35" t="str">
        <f>IFERROR(INDEX('G-8 Condition Look up'!$I$4:$I$135,MATCH(S235,'G-8 Condition Look up'!$A$4:$A$135,0)),"")</f>
        <v/>
      </c>
      <c r="E235" s="392" t="str">
        <f>'A-1 On-Site Habitat Baseline'!AL234</f>
        <v/>
      </c>
      <c r="F235" s="382" t="str">
        <f>IF(E235="","",IF(ISNA(VLOOKUP($E235,'A-1 On-Site Habitat Baseline'!$D$1:$O$258,4,FALSE)),"",(VLOOKUP($E235,'A-1 On-Site Habitat Baseline'!$D$1:$O$258,4,FALSE))))</f>
        <v/>
      </c>
      <c r="G235" s="382" t="str">
        <f>IF(E235="","",IF(ISNA(VLOOKUP($E235,'A-1 On-Site Habitat Baseline'!$D$1:$O$258,5,FALSE)),"",(VLOOKUP($E235,'A-1 On-Site Habitat Baseline'!$D$1:$O$258,5,FALSE))))</f>
        <v/>
      </c>
      <c r="H235" s="382" t="str">
        <f>IF(E235="","",IF(ISNA(VLOOKUP($E235,'A-1 On-Site Habitat Baseline'!$D$1:$O$258,6,FALSE)),"",(VLOOKUP($E235,'A-1 On-Site Habitat Baseline'!$D$1:$O$258,6,FALSE))))</f>
        <v/>
      </c>
      <c r="I235" s="382" t="str">
        <f>IF(E235="","",IF(ISNA(VLOOKUP($E235,'A-1 On-Site Habitat Baseline'!$D$1:$O$258,7,FALSE)),"",(VLOOKUP($E235,'A-1 On-Site Habitat Baseline'!$D$1:$O$258,7,FALSE))))</f>
        <v/>
      </c>
      <c r="J235" s="382" t="str">
        <f>IF(E235="","",IF(ISNA(VLOOKUP($E235,'A-1 On-Site Habitat Baseline'!$D$1:$O$258,8,FALSE)),"",(VLOOKUP($E235,'A-1 On-Site Habitat Baseline'!$D$1:$O$258,8,FALSE))))</f>
        <v/>
      </c>
      <c r="K235" s="382" t="str">
        <f>IF(E235="","",IF(ISNA(VLOOKUP($E235,'A-1 On-Site Habitat Baseline'!$D$1:$O$258,9,FALSE)),"",(VLOOKUP($E235,'A-1 On-Site Habitat Baseline'!$D$1:$O$258,9,FALSE))))</f>
        <v/>
      </c>
      <c r="L235" s="382" t="str">
        <f>IF(E235="","",IF(ISNA(VLOOKUP($E235,'A-1 On-Site Habitat Baseline'!$D$1:$O$258,11,FALSE)),"",(VLOOKUP($E235,'A-1 On-Site Habitat Baseline'!$D$1:$O$258,11,FALSE))))</f>
        <v/>
      </c>
      <c r="M235" s="382" t="str">
        <f>IF(E235="","",IF(ISNA(VLOOKUP($E235,'A-1 On-Site Habitat Baseline'!$D$1:$O$258,12,FALSE)),"",(VLOOKUP($E235,'A-1 On-Site Habitat Baseline'!$D$1:$O$258,12,FALSE))))</f>
        <v/>
      </c>
      <c r="N235" s="393" t="str">
        <f>IF(E235="","",IF(ISNA(VLOOKUP($E235,'A-1 On-Site Habitat Baseline'!$D$1:$X$258,14,FALSE)),"",(VLOOKUP($E235,'A-1 On-Site Habitat Baseline'!$D$1:$X$258,14,FALSE))))</f>
        <v/>
      </c>
      <c r="O235" s="386" t="str">
        <f>IF(E235="","",IF(ISNA(VLOOKUP($E235,'A-1 On-Site Habitat Baseline'!$D$1:$X$258,16,FALSE)),"",(VLOOKUP($E235,'A-1 On-Site Habitat Baseline'!$D$1:$X$258,13,FALSE))))</f>
        <v/>
      </c>
      <c r="P235" s="192" t="str">
        <f>IFERROR(INDEX('G-1 All Habitats'!$AG$3:$AG$17,MATCH(Q235,'G-1 All Habitats'!$AF$3:$AF$17,0)),"")</f>
        <v/>
      </c>
      <c r="Q235" s="193" t="str">
        <f t="shared" si="33"/>
        <v/>
      </c>
      <c r="R235" s="193" t="str">
        <f t="shared" si="33"/>
        <v/>
      </c>
      <c r="S235" s="306" t="str">
        <f>IFERROR(INDEX('G-1 All Habitats'!$B$3:$B$134,MATCH(R235,'G-1 All Habitats'!$A$3:$A$134,0)),"")</f>
        <v/>
      </c>
      <c r="T235" s="362" t="str">
        <f t="shared" si="34"/>
        <v/>
      </c>
      <c r="U235" s="363" t="str">
        <f t="shared" si="35"/>
        <v/>
      </c>
      <c r="V235" s="398" t="str">
        <f t="shared" si="31"/>
        <v/>
      </c>
      <c r="W235" s="382" t="str">
        <f>IF(S235="","",VLOOKUP(S235,'G-1 All Habitats'!$B$2:$M$134,10,FALSE))</f>
        <v/>
      </c>
      <c r="X235" s="382" t="str">
        <f>IFERROR(VLOOKUP(W235,'G-1 All Habitats'!$V$3:$W$7,2,FALSE),"")</f>
        <v/>
      </c>
      <c r="Y235" s="61"/>
      <c r="Z235" s="386" t="str">
        <f>IFERROR(INDEX('G-8 Condition Look up'!$A$3:$H$135,MATCH(S235,'G-8 Condition Look up'!$A$3:$A$135,0),MATCH(Y235,'G-8 Condition Look up'!$A$3:$H$3,0)),"")</f>
        <v/>
      </c>
      <c r="AA235" s="54"/>
      <c r="AB235" s="382" t="str">
        <f>IF(AA235="","",IF(VLOOKUP(AA235,'G-3 Multipliers'!$L$3:$N$6,2,FALSE)=0,"Spatial Data Missing ⚠",VLOOKUP(AA235,'G-3 Multipliers'!$L$3:$N$6,2,FALSE)))</f>
        <v/>
      </c>
      <c r="AC235" s="386" t="str">
        <f>IF(AA235="","",IF(VLOOKUP(AA235,'G-3 Multipliers'!$L$3:$N$6,3,FALSE)=0,"Spatial Data Missing ⚠",VLOOKUP(AA235,'G-3 Multipliers'!$L$3:$N$6,3,FALSE)))</f>
        <v/>
      </c>
      <c r="AD235" s="400" t="str">
        <f t="shared" si="32"/>
        <v/>
      </c>
      <c r="AE235" s="63"/>
      <c r="AF235" s="63"/>
      <c r="AG235" s="370" t="str">
        <f t="shared" si="36"/>
        <v/>
      </c>
      <c r="AH235" s="383" t="str">
        <f t="shared" si="37"/>
        <v/>
      </c>
      <c r="AI235" s="384" t="str">
        <f>IF(AH235="Check Data","Check Data",IFERROR(VLOOKUP(AH235,'G-4 Temporal multipliers'!$A$4:$C$36,3,FALSE),""))</f>
        <v/>
      </c>
      <c r="AJ235" s="362" t="str">
        <f>IF(S235="","",VLOOKUP(S235,'G-3 Multipliers'!$A$2:$E$134,4,FALSE))</f>
        <v/>
      </c>
      <c r="AK235" s="370" t="str">
        <f t="shared" si="38"/>
        <v/>
      </c>
      <c r="AL235" s="370" t="str">
        <f t="shared" si="39"/>
        <v/>
      </c>
      <c r="AM235" s="401" t="str">
        <f>IFERROR(IF(F235="","",IF(AH235="Check Data ⚠","Check Data ⚠",VLOOKUP(AL235, 'G-3 Multipliers'!$P$2:$Q$6,2,FALSE))),"")</f>
        <v/>
      </c>
      <c r="AN235" s="376" t="str">
        <f t="shared" si="40"/>
        <v/>
      </c>
      <c r="AO235" s="194"/>
      <c r="AP235" s="195"/>
      <c r="AQ235" s="120"/>
    </row>
    <row r="236" spans="1:43">
      <c r="A236" s="35" t="str">
        <f>IF(E236="","",IF(ISNA(VLOOKUP($E236,'A-1 On-Site Habitat Baseline'!$D$1:$O$258,2,FALSE)),"",(VLOOKUP($E236,'A-1 On-Site Habitat Baseline'!$D$1:$O$258,2,FALSE))))</f>
        <v/>
      </c>
      <c r="B236" s="35" t="str">
        <f>IF(E236="","",IF(ISNA(VLOOKUP($E236,'A-1 On-Site Habitat Baseline'!$D$1:$O$258,3,FALSE)),"",(VLOOKUP($E236,'A-1 On-Site Habitat Baseline'!$D$1:$O$258,3,FALSE))))</f>
        <v/>
      </c>
      <c r="C236" s="35" t="str">
        <f>IFERROR(INDEX('G-8 Condition Look up'!$I$4:$I$135,MATCH(S236,'G-8 Condition Look up'!$A$4:$A$135,0)),"")</f>
        <v/>
      </c>
      <c r="E236" s="392" t="str">
        <f>'A-1 On-Site Habitat Baseline'!AL235</f>
        <v/>
      </c>
      <c r="F236" s="382" t="str">
        <f>IF(E236="","",IF(ISNA(VLOOKUP($E236,'A-1 On-Site Habitat Baseline'!$D$1:$O$258,4,FALSE)),"",(VLOOKUP($E236,'A-1 On-Site Habitat Baseline'!$D$1:$O$258,4,FALSE))))</f>
        <v/>
      </c>
      <c r="G236" s="382" t="str">
        <f>IF(E236="","",IF(ISNA(VLOOKUP($E236,'A-1 On-Site Habitat Baseline'!$D$1:$O$258,5,FALSE)),"",(VLOOKUP($E236,'A-1 On-Site Habitat Baseline'!$D$1:$O$258,5,FALSE))))</f>
        <v/>
      </c>
      <c r="H236" s="382" t="str">
        <f>IF(E236="","",IF(ISNA(VLOOKUP($E236,'A-1 On-Site Habitat Baseline'!$D$1:$O$258,6,FALSE)),"",(VLOOKUP($E236,'A-1 On-Site Habitat Baseline'!$D$1:$O$258,6,FALSE))))</f>
        <v/>
      </c>
      <c r="I236" s="382" t="str">
        <f>IF(E236="","",IF(ISNA(VLOOKUP($E236,'A-1 On-Site Habitat Baseline'!$D$1:$O$258,7,FALSE)),"",(VLOOKUP($E236,'A-1 On-Site Habitat Baseline'!$D$1:$O$258,7,FALSE))))</f>
        <v/>
      </c>
      <c r="J236" s="382" t="str">
        <f>IF(E236="","",IF(ISNA(VLOOKUP($E236,'A-1 On-Site Habitat Baseline'!$D$1:$O$258,8,FALSE)),"",(VLOOKUP($E236,'A-1 On-Site Habitat Baseline'!$D$1:$O$258,8,FALSE))))</f>
        <v/>
      </c>
      <c r="K236" s="382" t="str">
        <f>IF(E236="","",IF(ISNA(VLOOKUP($E236,'A-1 On-Site Habitat Baseline'!$D$1:$O$258,9,FALSE)),"",(VLOOKUP($E236,'A-1 On-Site Habitat Baseline'!$D$1:$O$258,9,FALSE))))</f>
        <v/>
      </c>
      <c r="L236" s="382" t="str">
        <f>IF(E236="","",IF(ISNA(VLOOKUP($E236,'A-1 On-Site Habitat Baseline'!$D$1:$O$258,11,FALSE)),"",(VLOOKUP($E236,'A-1 On-Site Habitat Baseline'!$D$1:$O$258,11,FALSE))))</f>
        <v/>
      </c>
      <c r="M236" s="382" t="str">
        <f>IF(E236="","",IF(ISNA(VLOOKUP($E236,'A-1 On-Site Habitat Baseline'!$D$1:$O$258,12,FALSE)),"",(VLOOKUP($E236,'A-1 On-Site Habitat Baseline'!$D$1:$O$258,12,FALSE))))</f>
        <v/>
      </c>
      <c r="N236" s="393" t="str">
        <f>IF(E236="","",IF(ISNA(VLOOKUP($E236,'A-1 On-Site Habitat Baseline'!$D$1:$X$258,14,FALSE)),"",(VLOOKUP($E236,'A-1 On-Site Habitat Baseline'!$D$1:$X$258,14,FALSE))))</f>
        <v/>
      </c>
      <c r="O236" s="386" t="str">
        <f>IF(E236="","",IF(ISNA(VLOOKUP($E236,'A-1 On-Site Habitat Baseline'!$D$1:$X$258,16,FALSE)),"",(VLOOKUP($E236,'A-1 On-Site Habitat Baseline'!$D$1:$X$258,13,FALSE))))</f>
        <v/>
      </c>
      <c r="P236" s="192" t="str">
        <f>IFERROR(INDEX('G-1 All Habitats'!$AG$3:$AG$17,MATCH(Q236,'G-1 All Habitats'!$AF$3:$AF$17,0)),"")</f>
        <v/>
      </c>
      <c r="Q236" s="193" t="str">
        <f t="shared" si="33"/>
        <v/>
      </c>
      <c r="R236" s="193" t="str">
        <f t="shared" si="33"/>
        <v/>
      </c>
      <c r="S236" s="306" t="str">
        <f>IFERROR(INDEX('G-1 All Habitats'!$B$3:$B$134,MATCH(R236,'G-1 All Habitats'!$A$3:$A$134,0)),"")</f>
        <v/>
      </c>
      <c r="T236" s="362" t="str">
        <f t="shared" si="34"/>
        <v/>
      </c>
      <c r="U236" s="363" t="str">
        <f t="shared" si="35"/>
        <v/>
      </c>
      <c r="V236" s="398" t="str">
        <f t="shared" si="31"/>
        <v/>
      </c>
      <c r="W236" s="382" t="str">
        <f>IF(S236="","",VLOOKUP(S236,'G-1 All Habitats'!$B$2:$M$134,10,FALSE))</f>
        <v/>
      </c>
      <c r="X236" s="382" t="str">
        <f>IFERROR(VLOOKUP(W236,'G-1 All Habitats'!$V$3:$W$7,2,FALSE),"")</f>
        <v/>
      </c>
      <c r="Y236" s="61"/>
      <c r="Z236" s="386" t="str">
        <f>IFERROR(INDEX('G-8 Condition Look up'!$A$3:$H$135,MATCH(S236,'G-8 Condition Look up'!$A$3:$A$135,0),MATCH(Y236,'G-8 Condition Look up'!$A$3:$H$3,0)),"")</f>
        <v/>
      </c>
      <c r="AA236" s="54"/>
      <c r="AB236" s="382" t="str">
        <f>IF(AA236="","",IF(VLOOKUP(AA236,'G-3 Multipliers'!$L$3:$N$6,2,FALSE)=0,"Spatial Data Missing ⚠",VLOOKUP(AA236,'G-3 Multipliers'!$L$3:$N$6,2,FALSE)))</f>
        <v/>
      </c>
      <c r="AC236" s="386" t="str">
        <f>IF(AA236="","",IF(VLOOKUP(AA236,'G-3 Multipliers'!$L$3:$N$6,3,FALSE)=0,"Spatial Data Missing ⚠",VLOOKUP(AA236,'G-3 Multipliers'!$L$3:$N$6,3,FALSE)))</f>
        <v/>
      </c>
      <c r="AD236" s="400" t="str">
        <f t="shared" si="32"/>
        <v/>
      </c>
      <c r="AE236" s="63"/>
      <c r="AF236" s="63"/>
      <c r="AG236" s="370" t="str">
        <f t="shared" si="36"/>
        <v/>
      </c>
      <c r="AH236" s="383" t="str">
        <f t="shared" si="37"/>
        <v/>
      </c>
      <c r="AI236" s="384" t="str">
        <f>IF(AH236="Check Data","Check Data",IFERROR(VLOOKUP(AH236,'G-4 Temporal multipliers'!$A$4:$C$36,3,FALSE),""))</f>
        <v/>
      </c>
      <c r="AJ236" s="362" t="str">
        <f>IF(S236="","",VLOOKUP(S236,'G-3 Multipliers'!$A$2:$E$134,4,FALSE))</f>
        <v/>
      </c>
      <c r="AK236" s="370" t="str">
        <f t="shared" si="38"/>
        <v/>
      </c>
      <c r="AL236" s="370" t="str">
        <f t="shared" si="39"/>
        <v/>
      </c>
      <c r="AM236" s="401" t="str">
        <f>IFERROR(IF(F236="","",IF(AH236="Check Data ⚠","Check Data ⚠",VLOOKUP(AL236, 'G-3 Multipliers'!$P$2:$Q$6,2,FALSE))),"")</f>
        <v/>
      </c>
      <c r="AN236" s="376" t="str">
        <f t="shared" si="40"/>
        <v/>
      </c>
      <c r="AO236" s="194"/>
      <c r="AP236" s="195"/>
      <c r="AQ236" s="120"/>
    </row>
    <row r="237" spans="1:43">
      <c r="A237" s="35" t="str">
        <f>IF(E237="","",IF(ISNA(VLOOKUP($E237,'A-1 On-Site Habitat Baseline'!$D$1:$O$258,2,FALSE)),"",(VLOOKUP($E237,'A-1 On-Site Habitat Baseline'!$D$1:$O$258,2,FALSE))))</f>
        <v/>
      </c>
      <c r="B237" s="35" t="str">
        <f>IF(E237="","",IF(ISNA(VLOOKUP($E237,'A-1 On-Site Habitat Baseline'!$D$1:$O$258,3,FALSE)),"",(VLOOKUP($E237,'A-1 On-Site Habitat Baseline'!$D$1:$O$258,3,FALSE))))</f>
        <v/>
      </c>
      <c r="C237" s="35" t="str">
        <f>IFERROR(INDEX('G-8 Condition Look up'!$I$4:$I$135,MATCH(S237,'G-8 Condition Look up'!$A$4:$A$135,0)),"")</f>
        <v/>
      </c>
      <c r="E237" s="392" t="str">
        <f>'A-1 On-Site Habitat Baseline'!AL236</f>
        <v/>
      </c>
      <c r="F237" s="382" t="str">
        <f>IF(E237="","",IF(ISNA(VLOOKUP($E237,'A-1 On-Site Habitat Baseline'!$D$1:$O$258,4,FALSE)),"",(VLOOKUP($E237,'A-1 On-Site Habitat Baseline'!$D$1:$O$258,4,FALSE))))</f>
        <v/>
      </c>
      <c r="G237" s="382" t="str">
        <f>IF(E237="","",IF(ISNA(VLOOKUP($E237,'A-1 On-Site Habitat Baseline'!$D$1:$O$258,5,FALSE)),"",(VLOOKUP($E237,'A-1 On-Site Habitat Baseline'!$D$1:$O$258,5,FALSE))))</f>
        <v/>
      </c>
      <c r="H237" s="382" t="str">
        <f>IF(E237="","",IF(ISNA(VLOOKUP($E237,'A-1 On-Site Habitat Baseline'!$D$1:$O$258,6,FALSE)),"",(VLOOKUP($E237,'A-1 On-Site Habitat Baseline'!$D$1:$O$258,6,FALSE))))</f>
        <v/>
      </c>
      <c r="I237" s="382" t="str">
        <f>IF(E237="","",IF(ISNA(VLOOKUP($E237,'A-1 On-Site Habitat Baseline'!$D$1:$O$258,7,FALSE)),"",(VLOOKUP($E237,'A-1 On-Site Habitat Baseline'!$D$1:$O$258,7,FALSE))))</f>
        <v/>
      </c>
      <c r="J237" s="382" t="str">
        <f>IF(E237="","",IF(ISNA(VLOOKUP($E237,'A-1 On-Site Habitat Baseline'!$D$1:$O$258,8,FALSE)),"",(VLOOKUP($E237,'A-1 On-Site Habitat Baseline'!$D$1:$O$258,8,FALSE))))</f>
        <v/>
      </c>
      <c r="K237" s="382" t="str">
        <f>IF(E237="","",IF(ISNA(VLOOKUP($E237,'A-1 On-Site Habitat Baseline'!$D$1:$O$258,9,FALSE)),"",(VLOOKUP($E237,'A-1 On-Site Habitat Baseline'!$D$1:$O$258,9,FALSE))))</f>
        <v/>
      </c>
      <c r="L237" s="382" t="str">
        <f>IF(E237="","",IF(ISNA(VLOOKUP($E237,'A-1 On-Site Habitat Baseline'!$D$1:$O$258,11,FALSE)),"",(VLOOKUP($E237,'A-1 On-Site Habitat Baseline'!$D$1:$O$258,11,FALSE))))</f>
        <v/>
      </c>
      <c r="M237" s="382" t="str">
        <f>IF(E237="","",IF(ISNA(VLOOKUP($E237,'A-1 On-Site Habitat Baseline'!$D$1:$O$258,12,FALSE)),"",(VLOOKUP($E237,'A-1 On-Site Habitat Baseline'!$D$1:$O$258,12,FALSE))))</f>
        <v/>
      </c>
      <c r="N237" s="393" t="str">
        <f>IF(E237="","",IF(ISNA(VLOOKUP($E237,'A-1 On-Site Habitat Baseline'!$D$1:$X$258,14,FALSE)),"",(VLOOKUP($E237,'A-1 On-Site Habitat Baseline'!$D$1:$X$258,14,FALSE))))</f>
        <v/>
      </c>
      <c r="O237" s="386" t="str">
        <f>IF(E237="","",IF(ISNA(VLOOKUP($E237,'A-1 On-Site Habitat Baseline'!$D$1:$X$258,16,FALSE)),"",(VLOOKUP($E237,'A-1 On-Site Habitat Baseline'!$D$1:$X$258,13,FALSE))))</f>
        <v/>
      </c>
      <c r="P237" s="192" t="str">
        <f>IFERROR(INDEX('G-1 All Habitats'!$AG$3:$AG$17,MATCH(Q237,'G-1 All Habitats'!$AF$3:$AF$17,0)),"")</f>
        <v/>
      </c>
      <c r="Q237" s="193" t="str">
        <f t="shared" si="33"/>
        <v/>
      </c>
      <c r="R237" s="193" t="str">
        <f t="shared" si="33"/>
        <v/>
      </c>
      <c r="S237" s="306" t="str">
        <f>IFERROR(INDEX('G-1 All Habitats'!$B$3:$B$134,MATCH(R237,'G-1 All Habitats'!$A$3:$A$134,0)),"")</f>
        <v/>
      </c>
      <c r="T237" s="362" t="str">
        <f t="shared" si="34"/>
        <v/>
      </c>
      <c r="U237" s="363" t="str">
        <f t="shared" si="35"/>
        <v/>
      </c>
      <c r="V237" s="398" t="str">
        <f t="shared" si="31"/>
        <v/>
      </c>
      <c r="W237" s="382" t="str">
        <f>IF(S237="","",VLOOKUP(S237,'G-1 All Habitats'!$B$2:$M$134,10,FALSE))</f>
        <v/>
      </c>
      <c r="X237" s="382" t="str">
        <f>IFERROR(VLOOKUP(W237,'G-1 All Habitats'!$V$3:$W$7,2,FALSE),"")</f>
        <v/>
      </c>
      <c r="Y237" s="61"/>
      <c r="Z237" s="386" t="str">
        <f>IFERROR(INDEX('G-8 Condition Look up'!$A$3:$H$135,MATCH(S237,'G-8 Condition Look up'!$A$3:$A$135,0),MATCH(Y237,'G-8 Condition Look up'!$A$3:$H$3,0)),"")</f>
        <v/>
      </c>
      <c r="AA237" s="54"/>
      <c r="AB237" s="382" t="str">
        <f>IF(AA237="","",IF(VLOOKUP(AA237,'G-3 Multipliers'!$L$3:$N$6,2,FALSE)=0,"Spatial Data Missing ⚠",VLOOKUP(AA237,'G-3 Multipliers'!$L$3:$N$6,2,FALSE)))</f>
        <v/>
      </c>
      <c r="AC237" s="386" t="str">
        <f>IF(AA237="","",IF(VLOOKUP(AA237,'G-3 Multipliers'!$L$3:$N$6,3,FALSE)=0,"Spatial Data Missing ⚠",VLOOKUP(AA237,'G-3 Multipliers'!$L$3:$N$6,3,FALSE)))</f>
        <v/>
      </c>
      <c r="AD237" s="400" t="str">
        <f t="shared" si="32"/>
        <v/>
      </c>
      <c r="AE237" s="63"/>
      <c r="AF237" s="63"/>
      <c r="AG237" s="370" t="str">
        <f t="shared" si="36"/>
        <v/>
      </c>
      <c r="AH237" s="383" t="str">
        <f t="shared" si="37"/>
        <v/>
      </c>
      <c r="AI237" s="384" t="str">
        <f>IF(AH237="Check Data","Check Data",IFERROR(VLOOKUP(AH237,'G-4 Temporal multipliers'!$A$4:$C$36,3,FALSE),""))</f>
        <v/>
      </c>
      <c r="AJ237" s="362" t="str">
        <f>IF(S237="","",VLOOKUP(S237,'G-3 Multipliers'!$A$2:$E$134,4,FALSE))</f>
        <v/>
      </c>
      <c r="AK237" s="370" t="str">
        <f t="shared" si="38"/>
        <v/>
      </c>
      <c r="AL237" s="370" t="str">
        <f t="shared" si="39"/>
        <v/>
      </c>
      <c r="AM237" s="401" t="str">
        <f>IFERROR(IF(F237="","",IF(AH237="Check Data ⚠","Check Data ⚠",VLOOKUP(AL237, 'G-3 Multipliers'!$P$2:$Q$6,2,FALSE))),"")</f>
        <v/>
      </c>
      <c r="AN237" s="376" t="str">
        <f t="shared" si="40"/>
        <v/>
      </c>
      <c r="AO237" s="194"/>
      <c r="AP237" s="195"/>
      <c r="AQ237" s="120"/>
    </row>
    <row r="238" spans="1:43">
      <c r="A238" s="35" t="str">
        <f>IF(E238="","",IF(ISNA(VLOOKUP($E238,'A-1 On-Site Habitat Baseline'!$D$1:$O$258,2,FALSE)),"",(VLOOKUP($E238,'A-1 On-Site Habitat Baseline'!$D$1:$O$258,2,FALSE))))</f>
        <v/>
      </c>
      <c r="B238" s="35" t="str">
        <f>IF(E238="","",IF(ISNA(VLOOKUP($E238,'A-1 On-Site Habitat Baseline'!$D$1:$O$258,3,FALSE)),"",(VLOOKUP($E238,'A-1 On-Site Habitat Baseline'!$D$1:$O$258,3,FALSE))))</f>
        <v/>
      </c>
      <c r="C238" s="35" t="str">
        <f>IFERROR(INDEX('G-8 Condition Look up'!$I$4:$I$135,MATCH(S238,'G-8 Condition Look up'!$A$4:$A$135,0)),"")</f>
        <v/>
      </c>
      <c r="E238" s="392" t="str">
        <f>'A-1 On-Site Habitat Baseline'!AL237</f>
        <v/>
      </c>
      <c r="F238" s="382" t="str">
        <f>IF(E238="","",IF(ISNA(VLOOKUP($E238,'A-1 On-Site Habitat Baseline'!$D$1:$O$258,4,FALSE)),"",(VLOOKUP($E238,'A-1 On-Site Habitat Baseline'!$D$1:$O$258,4,FALSE))))</f>
        <v/>
      </c>
      <c r="G238" s="382" t="str">
        <f>IF(E238="","",IF(ISNA(VLOOKUP($E238,'A-1 On-Site Habitat Baseline'!$D$1:$O$258,5,FALSE)),"",(VLOOKUP($E238,'A-1 On-Site Habitat Baseline'!$D$1:$O$258,5,FALSE))))</f>
        <v/>
      </c>
      <c r="H238" s="382" t="str">
        <f>IF(E238="","",IF(ISNA(VLOOKUP($E238,'A-1 On-Site Habitat Baseline'!$D$1:$O$258,6,FALSE)),"",(VLOOKUP($E238,'A-1 On-Site Habitat Baseline'!$D$1:$O$258,6,FALSE))))</f>
        <v/>
      </c>
      <c r="I238" s="382" t="str">
        <f>IF(E238="","",IF(ISNA(VLOOKUP($E238,'A-1 On-Site Habitat Baseline'!$D$1:$O$258,7,FALSE)),"",(VLOOKUP($E238,'A-1 On-Site Habitat Baseline'!$D$1:$O$258,7,FALSE))))</f>
        <v/>
      </c>
      <c r="J238" s="382" t="str">
        <f>IF(E238="","",IF(ISNA(VLOOKUP($E238,'A-1 On-Site Habitat Baseline'!$D$1:$O$258,8,FALSE)),"",(VLOOKUP($E238,'A-1 On-Site Habitat Baseline'!$D$1:$O$258,8,FALSE))))</f>
        <v/>
      </c>
      <c r="K238" s="382" t="str">
        <f>IF(E238="","",IF(ISNA(VLOOKUP($E238,'A-1 On-Site Habitat Baseline'!$D$1:$O$258,9,FALSE)),"",(VLOOKUP($E238,'A-1 On-Site Habitat Baseline'!$D$1:$O$258,9,FALSE))))</f>
        <v/>
      </c>
      <c r="L238" s="382" t="str">
        <f>IF(E238="","",IF(ISNA(VLOOKUP($E238,'A-1 On-Site Habitat Baseline'!$D$1:$O$258,11,FALSE)),"",(VLOOKUP($E238,'A-1 On-Site Habitat Baseline'!$D$1:$O$258,11,FALSE))))</f>
        <v/>
      </c>
      <c r="M238" s="382" t="str">
        <f>IF(E238="","",IF(ISNA(VLOOKUP($E238,'A-1 On-Site Habitat Baseline'!$D$1:$O$258,12,FALSE)),"",(VLOOKUP($E238,'A-1 On-Site Habitat Baseline'!$D$1:$O$258,12,FALSE))))</f>
        <v/>
      </c>
      <c r="N238" s="393" t="str">
        <f>IF(E238="","",IF(ISNA(VLOOKUP($E238,'A-1 On-Site Habitat Baseline'!$D$1:$X$258,14,FALSE)),"",(VLOOKUP($E238,'A-1 On-Site Habitat Baseline'!$D$1:$X$258,14,FALSE))))</f>
        <v/>
      </c>
      <c r="O238" s="386" t="str">
        <f>IF(E238="","",IF(ISNA(VLOOKUP($E238,'A-1 On-Site Habitat Baseline'!$D$1:$X$258,16,FALSE)),"",(VLOOKUP($E238,'A-1 On-Site Habitat Baseline'!$D$1:$X$258,13,FALSE))))</f>
        <v/>
      </c>
      <c r="P238" s="192" t="str">
        <f>IFERROR(INDEX('G-1 All Habitats'!$AG$3:$AG$17,MATCH(Q238,'G-1 All Habitats'!$AF$3:$AF$17,0)),"")</f>
        <v/>
      </c>
      <c r="Q238" s="193" t="str">
        <f t="shared" si="33"/>
        <v/>
      </c>
      <c r="R238" s="193" t="str">
        <f t="shared" si="33"/>
        <v/>
      </c>
      <c r="S238" s="306" t="str">
        <f>IFERROR(INDEX('G-1 All Habitats'!$B$3:$B$134,MATCH(R238,'G-1 All Habitats'!$A$3:$A$134,0)),"")</f>
        <v/>
      </c>
      <c r="T238" s="362" t="str">
        <f t="shared" si="34"/>
        <v/>
      </c>
      <c r="U238" s="363" t="str">
        <f t="shared" si="35"/>
        <v/>
      </c>
      <c r="V238" s="398" t="str">
        <f t="shared" si="31"/>
        <v/>
      </c>
      <c r="W238" s="382" t="str">
        <f>IF(S238="","",VLOOKUP(S238,'G-1 All Habitats'!$B$2:$M$134,10,FALSE))</f>
        <v/>
      </c>
      <c r="X238" s="382" t="str">
        <f>IFERROR(VLOOKUP(W238,'G-1 All Habitats'!$V$3:$W$7,2,FALSE),"")</f>
        <v/>
      </c>
      <c r="Y238" s="61"/>
      <c r="Z238" s="386" t="str">
        <f>IFERROR(INDEX('G-8 Condition Look up'!$A$3:$H$135,MATCH(S238,'G-8 Condition Look up'!$A$3:$A$135,0),MATCH(Y238,'G-8 Condition Look up'!$A$3:$H$3,0)),"")</f>
        <v/>
      </c>
      <c r="AA238" s="54"/>
      <c r="AB238" s="382" t="str">
        <f>IF(AA238="","",IF(VLOOKUP(AA238,'G-3 Multipliers'!$L$3:$N$6,2,FALSE)=0,"Spatial Data Missing ⚠",VLOOKUP(AA238,'G-3 Multipliers'!$L$3:$N$6,2,FALSE)))</f>
        <v/>
      </c>
      <c r="AC238" s="386" t="str">
        <f>IF(AA238="","",IF(VLOOKUP(AA238,'G-3 Multipliers'!$L$3:$N$6,3,FALSE)=0,"Spatial Data Missing ⚠",VLOOKUP(AA238,'G-3 Multipliers'!$L$3:$N$6,3,FALSE)))</f>
        <v/>
      </c>
      <c r="AD238" s="400" t="str">
        <f t="shared" si="32"/>
        <v/>
      </c>
      <c r="AE238" s="63"/>
      <c r="AF238" s="63"/>
      <c r="AG238" s="370" t="str">
        <f t="shared" si="36"/>
        <v/>
      </c>
      <c r="AH238" s="383" t="str">
        <f t="shared" si="37"/>
        <v/>
      </c>
      <c r="AI238" s="384" t="str">
        <f>IF(AH238="Check Data","Check Data",IFERROR(VLOOKUP(AH238,'G-4 Temporal multipliers'!$A$4:$C$36,3,FALSE),""))</f>
        <v/>
      </c>
      <c r="AJ238" s="362" t="str">
        <f>IF(S238="","",VLOOKUP(S238,'G-3 Multipliers'!$A$2:$E$134,4,FALSE))</f>
        <v/>
      </c>
      <c r="AK238" s="370" t="str">
        <f t="shared" si="38"/>
        <v/>
      </c>
      <c r="AL238" s="370" t="str">
        <f t="shared" si="39"/>
        <v/>
      </c>
      <c r="AM238" s="401" t="str">
        <f>IFERROR(IF(F238="","",IF(AH238="Check Data ⚠","Check Data ⚠",VLOOKUP(AL238, 'G-3 Multipliers'!$P$2:$Q$6,2,FALSE))),"")</f>
        <v/>
      </c>
      <c r="AN238" s="376" t="str">
        <f t="shared" si="40"/>
        <v/>
      </c>
      <c r="AO238" s="194"/>
      <c r="AP238" s="195"/>
      <c r="AQ238" s="120"/>
    </row>
    <row r="239" spans="1:43">
      <c r="A239" s="35" t="str">
        <f>IF(E239="","",IF(ISNA(VLOOKUP($E239,'A-1 On-Site Habitat Baseline'!$D$1:$O$258,2,FALSE)),"",(VLOOKUP($E239,'A-1 On-Site Habitat Baseline'!$D$1:$O$258,2,FALSE))))</f>
        <v/>
      </c>
      <c r="B239" s="35" t="str">
        <f>IF(E239="","",IF(ISNA(VLOOKUP($E239,'A-1 On-Site Habitat Baseline'!$D$1:$O$258,3,FALSE)),"",(VLOOKUP($E239,'A-1 On-Site Habitat Baseline'!$D$1:$O$258,3,FALSE))))</f>
        <v/>
      </c>
      <c r="C239" s="35" t="str">
        <f>IFERROR(INDEX('G-8 Condition Look up'!$I$4:$I$135,MATCH(S239,'G-8 Condition Look up'!$A$4:$A$135,0)),"")</f>
        <v/>
      </c>
      <c r="E239" s="392" t="str">
        <f>'A-1 On-Site Habitat Baseline'!AL238</f>
        <v/>
      </c>
      <c r="F239" s="382" t="str">
        <f>IF(E239="","",IF(ISNA(VLOOKUP($E239,'A-1 On-Site Habitat Baseline'!$D$1:$O$258,4,FALSE)),"",(VLOOKUP($E239,'A-1 On-Site Habitat Baseline'!$D$1:$O$258,4,FALSE))))</f>
        <v/>
      </c>
      <c r="G239" s="382" t="str">
        <f>IF(E239="","",IF(ISNA(VLOOKUP($E239,'A-1 On-Site Habitat Baseline'!$D$1:$O$258,5,FALSE)),"",(VLOOKUP($E239,'A-1 On-Site Habitat Baseline'!$D$1:$O$258,5,FALSE))))</f>
        <v/>
      </c>
      <c r="H239" s="382" t="str">
        <f>IF(E239="","",IF(ISNA(VLOOKUP($E239,'A-1 On-Site Habitat Baseline'!$D$1:$O$258,6,FALSE)),"",(VLOOKUP($E239,'A-1 On-Site Habitat Baseline'!$D$1:$O$258,6,FALSE))))</f>
        <v/>
      </c>
      <c r="I239" s="382" t="str">
        <f>IF(E239="","",IF(ISNA(VLOOKUP($E239,'A-1 On-Site Habitat Baseline'!$D$1:$O$258,7,FALSE)),"",(VLOOKUP($E239,'A-1 On-Site Habitat Baseline'!$D$1:$O$258,7,FALSE))))</f>
        <v/>
      </c>
      <c r="J239" s="382" t="str">
        <f>IF(E239="","",IF(ISNA(VLOOKUP($E239,'A-1 On-Site Habitat Baseline'!$D$1:$O$258,8,FALSE)),"",(VLOOKUP($E239,'A-1 On-Site Habitat Baseline'!$D$1:$O$258,8,FALSE))))</f>
        <v/>
      </c>
      <c r="K239" s="382" t="str">
        <f>IF(E239="","",IF(ISNA(VLOOKUP($E239,'A-1 On-Site Habitat Baseline'!$D$1:$O$258,9,FALSE)),"",(VLOOKUP($E239,'A-1 On-Site Habitat Baseline'!$D$1:$O$258,9,FALSE))))</f>
        <v/>
      </c>
      <c r="L239" s="382" t="str">
        <f>IF(E239="","",IF(ISNA(VLOOKUP($E239,'A-1 On-Site Habitat Baseline'!$D$1:$O$258,11,FALSE)),"",(VLOOKUP($E239,'A-1 On-Site Habitat Baseline'!$D$1:$O$258,11,FALSE))))</f>
        <v/>
      </c>
      <c r="M239" s="382" t="str">
        <f>IF(E239="","",IF(ISNA(VLOOKUP($E239,'A-1 On-Site Habitat Baseline'!$D$1:$O$258,12,FALSE)),"",(VLOOKUP($E239,'A-1 On-Site Habitat Baseline'!$D$1:$O$258,12,FALSE))))</f>
        <v/>
      </c>
      <c r="N239" s="393" t="str">
        <f>IF(E239="","",IF(ISNA(VLOOKUP($E239,'A-1 On-Site Habitat Baseline'!$D$1:$X$258,14,FALSE)),"",(VLOOKUP($E239,'A-1 On-Site Habitat Baseline'!$D$1:$X$258,14,FALSE))))</f>
        <v/>
      </c>
      <c r="O239" s="386" t="str">
        <f>IF(E239="","",IF(ISNA(VLOOKUP($E239,'A-1 On-Site Habitat Baseline'!$D$1:$X$258,16,FALSE)),"",(VLOOKUP($E239,'A-1 On-Site Habitat Baseline'!$D$1:$X$258,13,FALSE))))</f>
        <v/>
      </c>
      <c r="P239" s="192" t="str">
        <f>IFERROR(INDEX('G-1 All Habitats'!$AG$3:$AG$17,MATCH(Q239,'G-1 All Habitats'!$AF$3:$AF$17,0)),"")</f>
        <v/>
      </c>
      <c r="Q239" s="193" t="str">
        <f t="shared" si="33"/>
        <v/>
      </c>
      <c r="R239" s="193" t="str">
        <f t="shared" si="33"/>
        <v/>
      </c>
      <c r="S239" s="306" t="str">
        <f>IFERROR(INDEX('G-1 All Habitats'!$B$3:$B$134,MATCH(R239,'G-1 All Habitats'!$A$3:$A$134,0)),"")</f>
        <v/>
      </c>
      <c r="T239" s="362" t="str">
        <f t="shared" si="34"/>
        <v/>
      </c>
      <c r="U239" s="363" t="str">
        <f t="shared" si="35"/>
        <v/>
      </c>
      <c r="V239" s="398" t="str">
        <f t="shared" si="31"/>
        <v/>
      </c>
      <c r="W239" s="382" t="str">
        <f>IF(S239="","",VLOOKUP(S239,'G-1 All Habitats'!$B$2:$M$134,10,FALSE))</f>
        <v/>
      </c>
      <c r="X239" s="382" t="str">
        <f>IFERROR(VLOOKUP(W239,'G-1 All Habitats'!$V$3:$W$7,2,FALSE),"")</f>
        <v/>
      </c>
      <c r="Y239" s="61"/>
      <c r="Z239" s="386" t="str">
        <f>IFERROR(INDEX('G-8 Condition Look up'!$A$3:$H$135,MATCH(S239,'G-8 Condition Look up'!$A$3:$A$135,0),MATCH(Y239,'G-8 Condition Look up'!$A$3:$H$3,0)),"")</f>
        <v/>
      </c>
      <c r="AA239" s="54"/>
      <c r="AB239" s="382" t="str">
        <f>IF(AA239="","",IF(VLOOKUP(AA239,'G-3 Multipliers'!$L$3:$N$6,2,FALSE)=0,"Spatial Data Missing ⚠",VLOOKUP(AA239,'G-3 Multipliers'!$L$3:$N$6,2,FALSE)))</f>
        <v/>
      </c>
      <c r="AC239" s="386" t="str">
        <f>IF(AA239="","",IF(VLOOKUP(AA239,'G-3 Multipliers'!$L$3:$N$6,3,FALSE)=0,"Spatial Data Missing ⚠",VLOOKUP(AA239,'G-3 Multipliers'!$L$3:$N$6,3,FALSE)))</f>
        <v/>
      </c>
      <c r="AD239" s="400" t="str">
        <f t="shared" si="32"/>
        <v/>
      </c>
      <c r="AE239" s="63"/>
      <c r="AF239" s="63"/>
      <c r="AG239" s="370" t="str">
        <f t="shared" si="36"/>
        <v/>
      </c>
      <c r="AH239" s="383" t="str">
        <f t="shared" si="37"/>
        <v/>
      </c>
      <c r="AI239" s="384" t="str">
        <f>IF(AH239="Check Data","Check Data",IFERROR(VLOOKUP(AH239,'G-4 Temporal multipliers'!$A$4:$C$36,3,FALSE),""))</f>
        <v/>
      </c>
      <c r="AJ239" s="362" t="str">
        <f>IF(S239="","",VLOOKUP(S239,'G-3 Multipliers'!$A$2:$E$134,4,FALSE))</f>
        <v/>
      </c>
      <c r="AK239" s="370" t="str">
        <f t="shared" si="38"/>
        <v/>
      </c>
      <c r="AL239" s="370" t="str">
        <f t="shared" si="39"/>
        <v/>
      </c>
      <c r="AM239" s="401" t="str">
        <f>IFERROR(IF(F239="","",IF(AH239="Check Data ⚠","Check Data ⚠",VLOOKUP(AL239, 'G-3 Multipliers'!$P$2:$Q$6,2,FALSE))),"")</f>
        <v/>
      </c>
      <c r="AN239" s="376" t="str">
        <f t="shared" si="40"/>
        <v/>
      </c>
      <c r="AO239" s="194"/>
      <c r="AP239" s="195"/>
      <c r="AQ239" s="120"/>
    </row>
    <row r="240" spans="1:43">
      <c r="A240" s="35" t="str">
        <f>IF(E240="","",IF(ISNA(VLOOKUP($E240,'A-1 On-Site Habitat Baseline'!$D$1:$O$258,2,FALSE)),"",(VLOOKUP($E240,'A-1 On-Site Habitat Baseline'!$D$1:$O$258,2,FALSE))))</f>
        <v/>
      </c>
      <c r="B240" s="35" t="str">
        <f>IF(E240="","",IF(ISNA(VLOOKUP($E240,'A-1 On-Site Habitat Baseline'!$D$1:$O$258,3,FALSE)),"",(VLOOKUP($E240,'A-1 On-Site Habitat Baseline'!$D$1:$O$258,3,FALSE))))</f>
        <v/>
      </c>
      <c r="C240" s="35" t="str">
        <f>IFERROR(INDEX('G-8 Condition Look up'!$I$4:$I$135,MATCH(S240,'G-8 Condition Look up'!$A$4:$A$135,0)),"")</f>
        <v/>
      </c>
      <c r="E240" s="392" t="str">
        <f>'A-1 On-Site Habitat Baseline'!AL239</f>
        <v/>
      </c>
      <c r="F240" s="382" t="str">
        <f>IF(E240="","",IF(ISNA(VLOOKUP($E240,'A-1 On-Site Habitat Baseline'!$D$1:$O$258,4,FALSE)),"",(VLOOKUP($E240,'A-1 On-Site Habitat Baseline'!$D$1:$O$258,4,FALSE))))</f>
        <v/>
      </c>
      <c r="G240" s="382" t="str">
        <f>IF(E240="","",IF(ISNA(VLOOKUP($E240,'A-1 On-Site Habitat Baseline'!$D$1:$O$258,5,FALSE)),"",(VLOOKUP($E240,'A-1 On-Site Habitat Baseline'!$D$1:$O$258,5,FALSE))))</f>
        <v/>
      </c>
      <c r="H240" s="382" t="str">
        <f>IF(E240="","",IF(ISNA(VLOOKUP($E240,'A-1 On-Site Habitat Baseline'!$D$1:$O$258,6,FALSE)),"",(VLOOKUP($E240,'A-1 On-Site Habitat Baseline'!$D$1:$O$258,6,FALSE))))</f>
        <v/>
      </c>
      <c r="I240" s="382" t="str">
        <f>IF(E240="","",IF(ISNA(VLOOKUP($E240,'A-1 On-Site Habitat Baseline'!$D$1:$O$258,7,FALSE)),"",(VLOOKUP($E240,'A-1 On-Site Habitat Baseline'!$D$1:$O$258,7,FALSE))))</f>
        <v/>
      </c>
      <c r="J240" s="382" t="str">
        <f>IF(E240="","",IF(ISNA(VLOOKUP($E240,'A-1 On-Site Habitat Baseline'!$D$1:$O$258,8,FALSE)),"",(VLOOKUP($E240,'A-1 On-Site Habitat Baseline'!$D$1:$O$258,8,FALSE))))</f>
        <v/>
      </c>
      <c r="K240" s="382" t="str">
        <f>IF(E240="","",IF(ISNA(VLOOKUP($E240,'A-1 On-Site Habitat Baseline'!$D$1:$O$258,9,FALSE)),"",(VLOOKUP($E240,'A-1 On-Site Habitat Baseline'!$D$1:$O$258,9,FALSE))))</f>
        <v/>
      </c>
      <c r="L240" s="382" t="str">
        <f>IF(E240="","",IF(ISNA(VLOOKUP($E240,'A-1 On-Site Habitat Baseline'!$D$1:$O$258,11,FALSE)),"",(VLOOKUP($E240,'A-1 On-Site Habitat Baseline'!$D$1:$O$258,11,FALSE))))</f>
        <v/>
      </c>
      <c r="M240" s="382" t="str">
        <f>IF(E240="","",IF(ISNA(VLOOKUP($E240,'A-1 On-Site Habitat Baseline'!$D$1:$O$258,12,FALSE)),"",(VLOOKUP($E240,'A-1 On-Site Habitat Baseline'!$D$1:$O$258,12,FALSE))))</f>
        <v/>
      </c>
      <c r="N240" s="393" t="str">
        <f>IF(E240="","",IF(ISNA(VLOOKUP($E240,'A-1 On-Site Habitat Baseline'!$D$1:$X$258,14,FALSE)),"",(VLOOKUP($E240,'A-1 On-Site Habitat Baseline'!$D$1:$X$258,14,FALSE))))</f>
        <v/>
      </c>
      <c r="O240" s="386" t="str">
        <f>IF(E240="","",IF(ISNA(VLOOKUP($E240,'A-1 On-Site Habitat Baseline'!$D$1:$X$258,16,FALSE)),"",(VLOOKUP($E240,'A-1 On-Site Habitat Baseline'!$D$1:$X$258,13,FALSE))))</f>
        <v/>
      </c>
      <c r="P240" s="192" t="str">
        <f>IFERROR(INDEX('G-1 All Habitats'!$AG$3:$AG$17,MATCH(Q240,'G-1 All Habitats'!$AF$3:$AF$17,0)),"")</f>
        <v/>
      </c>
      <c r="Q240" s="193" t="str">
        <f t="shared" si="33"/>
        <v/>
      </c>
      <c r="R240" s="193" t="str">
        <f t="shared" si="33"/>
        <v/>
      </c>
      <c r="S240" s="306" t="str">
        <f>IFERROR(INDEX('G-1 All Habitats'!$B$3:$B$134,MATCH(R240,'G-1 All Habitats'!$A$3:$A$134,0)),"")</f>
        <v/>
      </c>
      <c r="T240" s="362" t="str">
        <f t="shared" si="34"/>
        <v/>
      </c>
      <c r="U240" s="363" t="str">
        <f t="shared" si="35"/>
        <v/>
      </c>
      <c r="V240" s="398" t="str">
        <f t="shared" si="31"/>
        <v/>
      </c>
      <c r="W240" s="382" t="str">
        <f>IF(S240="","",VLOOKUP(S240,'G-1 All Habitats'!$B$2:$M$134,10,FALSE))</f>
        <v/>
      </c>
      <c r="X240" s="382" t="str">
        <f>IFERROR(VLOOKUP(W240,'G-1 All Habitats'!$V$3:$W$7,2,FALSE),"")</f>
        <v/>
      </c>
      <c r="Y240" s="61"/>
      <c r="Z240" s="386" t="str">
        <f>IFERROR(INDEX('G-8 Condition Look up'!$A$3:$H$135,MATCH(S240,'G-8 Condition Look up'!$A$3:$A$135,0),MATCH(Y240,'G-8 Condition Look up'!$A$3:$H$3,0)),"")</f>
        <v/>
      </c>
      <c r="AA240" s="54"/>
      <c r="AB240" s="382" t="str">
        <f>IF(AA240="","",IF(VLOOKUP(AA240,'G-3 Multipliers'!$L$3:$N$6,2,FALSE)=0,"Spatial Data Missing ⚠",VLOOKUP(AA240,'G-3 Multipliers'!$L$3:$N$6,2,FALSE)))</f>
        <v/>
      </c>
      <c r="AC240" s="386" t="str">
        <f>IF(AA240="","",IF(VLOOKUP(AA240,'G-3 Multipliers'!$L$3:$N$6,3,FALSE)=0,"Spatial Data Missing ⚠",VLOOKUP(AA240,'G-3 Multipliers'!$L$3:$N$6,3,FALSE)))</f>
        <v/>
      </c>
      <c r="AD240" s="400" t="str">
        <f t="shared" si="32"/>
        <v/>
      </c>
      <c r="AE240" s="63"/>
      <c r="AF240" s="63"/>
      <c r="AG240" s="370" t="str">
        <f t="shared" si="36"/>
        <v/>
      </c>
      <c r="AH240" s="383" t="str">
        <f t="shared" si="37"/>
        <v/>
      </c>
      <c r="AI240" s="384" t="str">
        <f>IF(AH240="Check Data","Check Data",IFERROR(VLOOKUP(AH240,'G-4 Temporal multipliers'!$A$4:$C$36,3,FALSE),""))</f>
        <v/>
      </c>
      <c r="AJ240" s="362" t="str">
        <f>IF(S240="","",VLOOKUP(S240,'G-3 Multipliers'!$A$2:$E$134,4,FALSE))</f>
        <v/>
      </c>
      <c r="AK240" s="370" t="str">
        <f t="shared" si="38"/>
        <v/>
      </c>
      <c r="AL240" s="370" t="str">
        <f t="shared" si="39"/>
        <v/>
      </c>
      <c r="AM240" s="401" t="str">
        <f>IFERROR(IF(F240="","",IF(AH240="Check Data ⚠","Check Data ⚠",VLOOKUP(AL240, 'G-3 Multipliers'!$P$2:$Q$6,2,FALSE))),"")</f>
        <v/>
      </c>
      <c r="AN240" s="376" t="str">
        <f t="shared" si="40"/>
        <v/>
      </c>
      <c r="AO240" s="194"/>
      <c r="AP240" s="195"/>
      <c r="AQ240" s="120"/>
    </row>
    <row r="241" spans="1:43">
      <c r="A241" s="35" t="str">
        <f>IF(E241="","",IF(ISNA(VLOOKUP($E241,'A-1 On-Site Habitat Baseline'!$D$1:$O$258,2,FALSE)),"",(VLOOKUP($E241,'A-1 On-Site Habitat Baseline'!$D$1:$O$258,2,FALSE))))</f>
        <v/>
      </c>
      <c r="B241" s="35" t="str">
        <f>IF(E241="","",IF(ISNA(VLOOKUP($E241,'A-1 On-Site Habitat Baseline'!$D$1:$O$258,3,FALSE)),"",(VLOOKUP($E241,'A-1 On-Site Habitat Baseline'!$D$1:$O$258,3,FALSE))))</f>
        <v/>
      </c>
      <c r="C241" s="35" t="str">
        <f>IFERROR(INDEX('G-8 Condition Look up'!$I$4:$I$135,MATCH(S241,'G-8 Condition Look up'!$A$4:$A$135,0)),"")</f>
        <v/>
      </c>
      <c r="E241" s="392" t="str">
        <f>'A-1 On-Site Habitat Baseline'!AL240</f>
        <v/>
      </c>
      <c r="F241" s="382" t="str">
        <f>IF(E241="","",IF(ISNA(VLOOKUP($E241,'A-1 On-Site Habitat Baseline'!$D$1:$O$258,4,FALSE)),"",(VLOOKUP($E241,'A-1 On-Site Habitat Baseline'!$D$1:$O$258,4,FALSE))))</f>
        <v/>
      </c>
      <c r="G241" s="382" t="str">
        <f>IF(E241="","",IF(ISNA(VLOOKUP($E241,'A-1 On-Site Habitat Baseline'!$D$1:$O$258,5,FALSE)),"",(VLOOKUP($E241,'A-1 On-Site Habitat Baseline'!$D$1:$O$258,5,FALSE))))</f>
        <v/>
      </c>
      <c r="H241" s="382" t="str">
        <f>IF(E241="","",IF(ISNA(VLOOKUP($E241,'A-1 On-Site Habitat Baseline'!$D$1:$O$258,6,FALSE)),"",(VLOOKUP($E241,'A-1 On-Site Habitat Baseline'!$D$1:$O$258,6,FALSE))))</f>
        <v/>
      </c>
      <c r="I241" s="382" t="str">
        <f>IF(E241="","",IF(ISNA(VLOOKUP($E241,'A-1 On-Site Habitat Baseline'!$D$1:$O$258,7,FALSE)),"",(VLOOKUP($E241,'A-1 On-Site Habitat Baseline'!$D$1:$O$258,7,FALSE))))</f>
        <v/>
      </c>
      <c r="J241" s="382" t="str">
        <f>IF(E241="","",IF(ISNA(VLOOKUP($E241,'A-1 On-Site Habitat Baseline'!$D$1:$O$258,8,FALSE)),"",(VLOOKUP($E241,'A-1 On-Site Habitat Baseline'!$D$1:$O$258,8,FALSE))))</f>
        <v/>
      </c>
      <c r="K241" s="382" t="str">
        <f>IF(E241="","",IF(ISNA(VLOOKUP($E241,'A-1 On-Site Habitat Baseline'!$D$1:$O$258,9,FALSE)),"",(VLOOKUP($E241,'A-1 On-Site Habitat Baseline'!$D$1:$O$258,9,FALSE))))</f>
        <v/>
      </c>
      <c r="L241" s="382" t="str">
        <f>IF(E241="","",IF(ISNA(VLOOKUP($E241,'A-1 On-Site Habitat Baseline'!$D$1:$O$258,11,FALSE)),"",(VLOOKUP($E241,'A-1 On-Site Habitat Baseline'!$D$1:$O$258,11,FALSE))))</f>
        <v/>
      </c>
      <c r="M241" s="382" t="str">
        <f>IF(E241="","",IF(ISNA(VLOOKUP($E241,'A-1 On-Site Habitat Baseline'!$D$1:$O$258,12,FALSE)),"",(VLOOKUP($E241,'A-1 On-Site Habitat Baseline'!$D$1:$O$258,12,FALSE))))</f>
        <v/>
      </c>
      <c r="N241" s="393" t="str">
        <f>IF(E241="","",IF(ISNA(VLOOKUP($E241,'A-1 On-Site Habitat Baseline'!$D$1:$X$258,14,FALSE)),"",(VLOOKUP($E241,'A-1 On-Site Habitat Baseline'!$D$1:$X$258,14,FALSE))))</f>
        <v/>
      </c>
      <c r="O241" s="386" t="str">
        <f>IF(E241="","",IF(ISNA(VLOOKUP($E241,'A-1 On-Site Habitat Baseline'!$D$1:$X$258,16,FALSE)),"",(VLOOKUP($E241,'A-1 On-Site Habitat Baseline'!$D$1:$X$258,13,FALSE))))</f>
        <v/>
      </c>
      <c r="P241" s="192" t="str">
        <f>IFERROR(INDEX('G-1 All Habitats'!$AG$3:$AG$17,MATCH(Q241,'G-1 All Habitats'!$AF$3:$AF$17,0)),"")</f>
        <v/>
      </c>
      <c r="Q241" s="193" t="str">
        <f t="shared" si="33"/>
        <v/>
      </c>
      <c r="R241" s="193" t="str">
        <f t="shared" si="33"/>
        <v/>
      </c>
      <c r="S241" s="306" t="str">
        <f>IFERROR(INDEX('G-1 All Habitats'!$B$3:$B$134,MATCH(R241,'G-1 All Habitats'!$A$3:$A$134,0)),"")</f>
        <v/>
      </c>
      <c r="T241" s="362" t="str">
        <f t="shared" si="34"/>
        <v/>
      </c>
      <c r="U241" s="363" t="str">
        <f t="shared" si="35"/>
        <v/>
      </c>
      <c r="V241" s="398" t="str">
        <f t="shared" si="31"/>
        <v/>
      </c>
      <c r="W241" s="382" t="str">
        <f>IF(S241="","",VLOOKUP(S241,'G-1 All Habitats'!$B$2:$M$134,10,FALSE))</f>
        <v/>
      </c>
      <c r="X241" s="382" t="str">
        <f>IFERROR(VLOOKUP(W241,'G-1 All Habitats'!$V$3:$W$7,2,FALSE),"")</f>
        <v/>
      </c>
      <c r="Y241" s="61"/>
      <c r="Z241" s="386" t="str">
        <f>IFERROR(INDEX('G-8 Condition Look up'!$A$3:$H$135,MATCH(S241,'G-8 Condition Look up'!$A$3:$A$135,0),MATCH(Y241,'G-8 Condition Look up'!$A$3:$H$3,0)),"")</f>
        <v/>
      </c>
      <c r="AA241" s="54"/>
      <c r="AB241" s="382" t="str">
        <f>IF(AA241="","",IF(VLOOKUP(AA241,'G-3 Multipliers'!$L$3:$N$6,2,FALSE)=0,"Spatial Data Missing ⚠",VLOOKUP(AA241,'G-3 Multipliers'!$L$3:$N$6,2,FALSE)))</f>
        <v/>
      </c>
      <c r="AC241" s="386" t="str">
        <f>IF(AA241="","",IF(VLOOKUP(AA241,'G-3 Multipliers'!$L$3:$N$6,3,FALSE)=0,"Spatial Data Missing ⚠",VLOOKUP(AA241,'G-3 Multipliers'!$L$3:$N$6,3,FALSE)))</f>
        <v/>
      </c>
      <c r="AD241" s="400" t="str">
        <f t="shared" si="32"/>
        <v/>
      </c>
      <c r="AE241" s="63"/>
      <c r="AF241" s="63"/>
      <c r="AG241" s="370" t="str">
        <f t="shared" si="36"/>
        <v/>
      </c>
      <c r="AH241" s="383" t="str">
        <f t="shared" si="37"/>
        <v/>
      </c>
      <c r="AI241" s="384" t="str">
        <f>IF(AH241="Check Data","Check Data",IFERROR(VLOOKUP(AH241,'G-4 Temporal multipliers'!$A$4:$C$36,3,FALSE),""))</f>
        <v/>
      </c>
      <c r="AJ241" s="362" t="str">
        <f>IF(S241="","",VLOOKUP(S241,'G-3 Multipliers'!$A$2:$E$134,4,FALSE))</f>
        <v/>
      </c>
      <c r="AK241" s="370" t="str">
        <f t="shared" si="38"/>
        <v/>
      </c>
      <c r="AL241" s="370" t="str">
        <f t="shared" si="39"/>
        <v/>
      </c>
      <c r="AM241" s="401" t="str">
        <f>IFERROR(IF(F241="","",IF(AH241="Check Data ⚠","Check Data ⚠",VLOOKUP(AL241, 'G-3 Multipliers'!$P$2:$Q$6,2,FALSE))),"")</f>
        <v/>
      </c>
      <c r="AN241" s="376" t="str">
        <f t="shared" si="40"/>
        <v/>
      </c>
      <c r="AO241" s="194"/>
      <c r="AP241" s="195"/>
      <c r="AQ241" s="120"/>
    </row>
    <row r="242" spans="1:43">
      <c r="A242" s="35" t="str">
        <f>IF(E242="","",IF(ISNA(VLOOKUP($E242,'A-1 On-Site Habitat Baseline'!$D$1:$O$258,2,FALSE)),"",(VLOOKUP($E242,'A-1 On-Site Habitat Baseline'!$D$1:$O$258,2,FALSE))))</f>
        <v/>
      </c>
      <c r="B242" s="35" t="str">
        <f>IF(E242="","",IF(ISNA(VLOOKUP($E242,'A-1 On-Site Habitat Baseline'!$D$1:$O$258,3,FALSE)),"",(VLOOKUP($E242,'A-1 On-Site Habitat Baseline'!$D$1:$O$258,3,FALSE))))</f>
        <v/>
      </c>
      <c r="C242" s="35" t="str">
        <f>IFERROR(INDEX('G-8 Condition Look up'!$I$4:$I$135,MATCH(S242,'G-8 Condition Look up'!$A$4:$A$135,0)),"")</f>
        <v/>
      </c>
      <c r="E242" s="392" t="str">
        <f>'A-1 On-Site Habitat Baseline'!AL241</f>
        <v/>
      </c>
      <c r="F242" s="382" t="str">
        <f>IF(E242="","",IF(ISNA(VLOOKUP($E242,'A-1 On-Site Habitat Baseline'!$D$1:$O$258,4,FALSE)),"",(VLOOKUP($E242,'A-1 On-Site Habitat Baseline'!$D$1:$O$258,4,FALSE))))</f>
        <v/>
      </c>
      <c r="G242" s="382" t="str">
        <f>IF(E242="","",IF(ISNA(VLOOKUP($E242,'A-1 On-Site Habitat Baseline'!$D$1:$O$258,5,FALSE)),"",(VLOOKUP($E242,'A-1 On-Site Habitat Baseline'!$D$1:$O$258,5,FALSE))))</f>
        <v/>
      </c>
      <c r="H242" s="382" t="str">
        <f>IF(E242="","",IF(ISNA(VLOOKUP($E242,'A-1 On-Site Habitat Baseline'!$D$1:$O$258,6,FALSE)),"",(VLOOKUP($E242,'A-1 On-Site Habitat Baseline'!$D$1:$O$258,6,FALSE))))</f>
        <v/>
      </c>
      <c r="I242" s="382" t="str">
        <f>IF(E242="","",IF(ISNA(VLOOKUP($E242,'A-1 On-Site Habitat Baseline'!$D$1:$O$258,7,FALSE)),"",(VLOOKUP($E242,'A-1 On-Site Habitat Baseline'!$D$1:$O$258,7,FALSE))))</f>
        <v/>
      </c>
      <c r="J242" s="382" t="str">
        <f>IF(E242="","",IF(ISNA(VLOOKUP($E242,'A-1 On-Site Habitat Baseline'!$D$1:$O$258,8,FALSE)),"",(VLOOKUP($E242,'A-1 On-Site Habitat Baseline'!$D$1:$O$258,8,FALSE))))</f>
        <v/>
      </c>
      <c r="K242" s="382" t="str">
        <f>IF(E242="","",IF(ISNA(VLOOKUP($E242,'A-1 On-Site Habitat Baseline'!$D$1:$O$258,9,FALSE)),"",(VLOOKUP($E242,'A-1 On-Site Habitat Baseline'!$D$1:$O$258,9,FALSE))))</f>
        <v/>
      </c>
      <c r="L242" s="382" t="str">
        <f>IF(E242="","",IF(ISNA(VLOOKUP($E242,'A-1 On-Site Habitat Baseline'!$D$1:$O$258,11,FALSE)),"",(VLOOKUP($E242,'A-1 On-Site Habitat Baseline'!$D$1:$O$258,11,FALSE))))</f>
        <v/>
      </c>
      <c r="M242" s="382" t="str">
        <f>IF(E242="","",IF(ISNA(VLOOKUP($E242,'A-1 On-Site Habitat Baseline'!$D$1:$O$258,12,FALSE)),"",(VLOOKUP($E242,'A-1 On-Site Habitat Baseline'!$D$1:$O$258,12,FALSE))))</f>
        <v/>
      </c>
      <c r="N242" s="393" t="str">
        <f>IF(E242="","",IF(ISNA(VLOOKUP($E242,'A-1 On-Site Habitat Baseline'!$D$1:$X$258,14,FALSE)),"",(VLOOKUP($E242,'A-1 On-Site Habitat Baseline'!$D$1:$X$258,14,FALSE))))</f>
        <v/>
      </c>
      <c r="O242" s="386" t="str">
        <f>IF(E242="","",IF(ISNA(VLOOKUP($E242,'A-1 On-Site Habitat Baseline'!$D$1:$X$258,16,FALSE)),"",(VLOOKUP($E242,'A-1 On-Site Habitat Baseline'!$D$1:$X$258,13,FALSE))))</f>
        <v/>
      </c>
      <c r="P242" s="192" t="str">
        <f>IFERROR(INDEX('G-1 All Habitats'!$AG$3:$AG$17,MATCH(Q242,'G-1 All Habitats'!$AF$3:$AF$17,0)),"")</f>
        <v/>
      </c>
      <c r="Q242" s="193" t="str">
        <f t="shared" si="33"/>
        <v/>
      </c>
      <c r="R242" s="193" t="str">
        <f t="shared" si="33"/>
        <v/>
      </c>
      <c r="S242" s="306" t="str">
        <f>IFERROR(INDEX('G-1 All Habitats'!$B$3:$B$134,MATCH(R242,'G-1 All Habitats'!$A$3:$A$134,0)),"")</f>
        <v/>
      </c>
      <c r="T242" s="362" t="str">
        <f t="shared" si="34"/>
        <v/>
      </c>
      <c r="U242" s="363" t="str">
        <f t="shared" si="35"/>
        <v/>
      </c>
      <c r="V242" s="398" t="str">
        <f t="shared" si="31"/>
        <v/>
      </c>
      <c r="W242" s="382" t="str">
        <f>IF(S242="","",VLOOKUP(S242,'G-1 All Habitats'!$B$2:$M$134,10,FALSE))</f>
        <v/>
      </c>
      <c r="X242" s="382" t="str">
        <f>IFERROR(VLOOKUP(W242,'G-1 All Habitats'!$V$3:$W$7,2,FALSE),"")</f>
        <v/>
      </c>
      <c r="Y242" s="61"/>
      <c r="Z242" s="386" t="str">
        <f>IFERROR(INDEX('G-8 Condition Look up'!$A$3:$H$135,MATCH(S242,'G-8 Condition Look up'!$A$3:$A$135,0),MATCH(Y242,'G-8 Condition Look up'!$A$3:$H$3,0)),"")</f>
        <v/>
      </c>
      <c r="AA242" s="54"/>
      <c r="AB242" s="382" t="str">
        <f>IF(AA242="","",IF(VLOOKUP(AA242,'G-3 Multipliers'!$L$3:$N$6,2,FALSE)=0,"Spatial Data Missing ⚠",VLOOKUP(AA242,'G-3 Multipliers'!$L$3:$N$6,2,FALSE)))</f>
        <v/>
      </c>
      <c r="AC242" s="386" t="str">
        <f>IF(AA242="","",IF(VLOOKUP(AA242,'G-3 Multipliers'!$L$3:$N$6,3,FALSE)=0,"Spatial Data Missing ⚠",VLOOKUP(AA242,'G-3 Multipliers'!$L$3:$N$6,3,FALSE)))</f>
        <v/>
      </c>
      <c r="AD242" s="400" t="str">
        <f t="shared" si="32"/>
        <v/>
      </c>
      <c r="AE242" s="63"/>
      <c r="AF242" s="63"/>
      <c r="AG242" s="370" t="str">
        <f t="shared" si="36"/>
        <v/>
      </c>
      <c r="AH242" s="383" t="str">
        <f t="shared" si="37"/>
        <v/>
      </c>
      <c r="AI242" s="384" t="str">
        <f>IF(AH242="Check Data","Check Data",IFERROR(VLOOKUP(AH242,'G-4 Temporal multipliers'!$A$4:$C$36,3,FALSE),""))</f>
        <v/>
      </c>
      <c r="AJ242" s="362" t="str">
        <f>IF(S242="","",VLOOKUP(S242,'G-3 Multipliers'!$A$2:$E$134,4,FALSE))</f>
        <v/>
      </c>
      <c r="AK242" s="370" t="str">
        <f t="shared" si="38"/>
        <v/>
      </c>
      <c r="AL242" s="370" t="str">
        <f t="shared" si="39"/>
        <v/>
      </c>
      <c r="AM242" s="401" t="str">
        <f>IFERROR(IF(F242="","",IF(AH242="Check Data ⚠","Check Data ⚠",VLOOKUP(AL242, 'G-3 Multipliers'!$P$2:$Q$6,2,FALSE))),"")</f>
        <v/>
      </c>
      <c r="AN242" s="376" t="str">
        <f t="shared" si="40"/>
        <v/>
      </c>
      <c r="AO242" s="194"/>
      <c r="AP242" s="195"/>
      <c r="AQ242" s="120"/>
    </row>
    <row r="243" spans="1:43">
      <c r="A243" s="35" t="str">
        <f>IF(E243="","",IF(ISNA(VLOOKUP($E243,'A-1 On-Site Habitat Baseline'!$D$1:$O$258,2,FALSE)),"",(VLOOKUP($E243,'A-1 On-Site Habitat Baseline'!$D$1:$O$258,2,FALSE))))</f>
        <v/>
      </c>
      <c r="B243" s="35" t="str">
        <f>IF(E243="","",IF(ISNA(VLOOKUP($E243,'A-1 On-Site Habitat Baseline'!$D$1:$O$258,3,FALSE)),"",(VLOOKUP($E243,'A-1 On-Site Habitat Baseline'!$D$1:$O$258,3,FALSE))))</f>
        <v/>
      </c>
      <c r="C243" s="35" t="str">
        <f>IFERROR(INDEX('G-8 Condition Look up'!$I$4:$I$135,MATCH(S243,'G-8 Condition Look up'!$A$4:$A$135,0)),"")</f>
        <v/>
      </c>
      <c r="E243" s="392" t="str">
        <f>'A-1 On-Site Habitat Baseline'!AL242</f>
        <v/>
      </c>
      <c r="F243" s="382" t="str">
        <f>IF(E243="","",IF(ISNA(VLOOKUP($E243,'A-1 On-Site Habitat Baseline'!$D$1:$O$258,4,FALSE)),"",(VLOOKUP($E243,'A-1 On-Site Habitat Baseline'!$D$1:$O$258,4,FALSE))))</f>
        <v/>
      </c>
      <c r="G243" s="382" t="str">
        <f>IF(E243="","",IF(ISNA(VLOOKUP($E243,'A-1 On-Site Habitat Baseline'!$D$1:$O$258,5,FALSE)),"",(VLOOKUP($E243,'A-1 On-Site Habitat Baseline'!$D$1:$O$258,5,FALSE))))</f>
        <v/>
      </c>
      <c r="H243" s="382" t="str">
        <f>IF(E243="","",IF(ISNA(VLOOKUP($E243,'A-1 On-Site Habitat Baseline'!$D$1:$O$258,6,FALSE)),"",(VLOOKUP($E243,'A-1 On-Site Habitat Baseline'!$D$1:$O$258,6,FALSE))))</f>
        <v/>
      </c>
      <c r="I243" s="382" t="str">
        <f>IF(E243="","",IF(ISNA(VLOOKUP($E243,'A-1 On-Site Habitat Baseline'!$D$1:$O$258,7,FALSE)),"",(VLOOKUP($E243,'A-1 On-Site Habitat Baseline'!$D$1:$O$258,7,FALSE))))</f>
        <v/>
      </c>
      <c r="J243" s="382" t="str">
        <f>IF(E243="","",IF(ISNA(VLOOKUP($E243,'A-1 On-Site Habitat Baseline'!$D$1:$O$258,8,FALSE)),"",(VLOOKUP($E243,'A-1 On-Site Habitat Baseline'!$D$1:$O$258,8,FALSE))))</f>
        <v/>
      </c>
      <c r="K243" s="382" t="str">
        <f>IF(E243="","",IF(ISNA(VLOOKUP($E243,'A-1 On-Site Habitat Baseline'!$D$1:$O$258,9,FALSE)),"",(VLOOKUP($E243,'A-1 On-Site Habitat Baseline'!$D$1:$O$258,9,FALSE))))</f>
        <v/>
      </c>
      <c r="L243" s="382" t="str">
        <f>IF(E243="","",IF(ISNA(VLOOKUP($E243,'A-1 On-Site Habitat Baseline'!$D$1:$O$258,11,FALSE)),"",(VLOOKUP($E243,'A-1 On-Site Habitat Baseline'!$D$1:$O$258,11,FALSE))))</f>
        <v/>
      </c>
      <c r="M243" s="382" t="str">
        <f>IF(E243="","",IF(ISNA(VLOOKUP($E243,'A-1 On-Site Habitat Baseline'!$D$1:$O$258,12,FALSE)),"",(VLOOKUP($E243,'A-1 On-Site Habitat Baseline'!$D$1:$O$258,12,FALSE))))</f>
        <v/>
      </c>
      <c r="N243" s="393" t="str">
        <f>IF(E243="","",IF(ISNA(VLOOKUP($E243,'A-1 On-Site Habitat Baseline'!$D$1:$X$258,14,FALSE)),"",(VLOOKUP($E243,'A-1 On-Site Habitat Baseline'!$D$1:$X$258,14,FALSE))))</f>
        <v/>
      </c>
      <c r="O243" s="386" t="str">
        <f>IF(E243="","",IF(ISNA(VLOOKUP($E243,'A-1 On-Site Habitat Baseline'!$D$1:$X$258,16,FALSE)),"",(VLOOKUP($E243,'A-1 On-Site Habitat Baseline'!$D$1:$X$258,13,FALSE))))</f>
        <v/>
      </c>
      <c r="P243" s="192" t="str">
        <f>IFERROR(INDEX('G-1 All Habitats'!$AG$3:$AG$17,MATCH(Q243,'G-1 All Habitats'!$AF$3:$AF$17,0)),"")</f>
        <v/>
      </c>
      <c r="Q243" s="193" t="str">
        <f t="shared" si="33"/>
        <v/>
      </c>
      <c r="R243" s="193" t="str">
        <f t="shared" si="33"/>
        <v/>
      </c>
      <c r="S243" s="306" t="str">
        <f>IFERROR(INDEX('G-1 All Habitats'!$B$3:$B$134,MATCH(R243,'G-1 All Habitats'!$A$3:$A$134,0)),"")</f>
        <v/>
      </c>
      <c r="T243" s="362" t="str">
        <f t="shared" si="34"/>
        <v/>
      </c>
      <c r="U243" s="363" t="str">
        <f t="shared" si="35"/>
        <v/>
      </c>
      <c r="V243" s="398" t="str">
        <f t="shared" si="31"/>
        <v/>
      </c>
      <c r="W243" s="382" t="str">
        <f>IF(S243="","",VLOOKUP(S243,'G-1 All Habitats'!$B$2:$M$134,10,FALSE))</f>
        <v/>
      </c>
      <c r="X243" s="382" t="str">
        <f>IFERROR(VLOOKUP(W243,'G-1 All Habitats'!$V$3:$W$7,2,FALSE),"")</f>
        <v/>
      </c>
      <c r="Y243" s="61"/>
      <c r="Z243" s="386" t="str">
        <f>IFERROR(INDEX('G-8 Condition Look up'!$A$3:$H$135,MATCH(S243,'G-8 Condition Look up'!$A$3:$A$135,0),MATCH(Y243,'G-8 Condition Look up'!$A$3:$H$3,0)),"")</f>
        <v/>
      </c>
      <c r="AA243" s="54"/>
      <c r="AB243" s="382" t="str">
        <f>IF(AA243="","",IF(VLOOKUP(AA243,'G-3 Multipliers'!$L$3:$N$6,2,FALSE)=0,"Spatial Data Missing ⚠",VLOOKUP(AA243,'G-3 Multipliers'!$L$3:$N$6,2,FALSE)))</f>
        <v/>
      </c>
      <c r="AC243" s="386" t="str">
        <f>IF(AA243="","",IF(VLOOKUP(AA243,'G-3 Multipliers'!$L$3:$N$6,3,FALSE)=0,"Spatial Data Missing ⚠",VLOOKUP(AA243,'G-3 Multipliers'!$L$3:$N$6,3,FALSE)))</f>
        <v/>
      </c>
      <c r="AD243" s="400" t="str">
        <f t="shared" si="32"/>
        <v/>
      </c>
      <c r="AE243" s="63"/>
      <c r="AF243" s="63"/>
      <c r="AG243" s="370" t="str">
        <f t="shared" si="36"/>
        <v/>
      </c>
      <c r="AH243" s="383" t="str">
        <f t="shared" si="37"/>
        <v/>
      </c>
      <c r="AI243" s="384" t="str">
        <f>IF(AH243="Check Data","Check Data",IFERROR(VLOOKUP(AH243,'G-4 Temporal multipliers'!$A$4:$C$36,3,FALSE),""))</f>
        <v/>
      </c>
      <c r="AJ243" s="362" t="str">
        <f>IF(S243="","",VLOOKUP(S243,'G-3 Multipliers'!$A$2:$E$134,4,FALSE))</f>
        <v/>
      </c>
      <c r="AK243" s="370" t="str">
        <f t="shared" si="38"/>
        <v/>
      </c>
      <c r="AL243" s="370" t="str">
        <f t="shared" si="39"/>
        <v/>
      </c>
      <c r="AM243" s="401" t="str">
        <f>IFERROR(IF(F243="","",IF(AH243="Check Data ⚠","Check Data ⚠",VLOOKUP(AL243, 'G-3 Multipliers'!$P$2:$Q$6,2,FALSE))),"")</f>
        <v/>
      </c>
      <c r="AN243" s="376" t="str">
        <f t="shared" si="40"/>
        <v/>
      </c>
      <c r="AO243" s="194"/>
      <c r="AP243" s="195"/>
      <c r="AQ243" s="120"/>
    </row>
    <row r="244" spans="1:43">
      <c r="A244" s="35" t="str">
        <f>IF(E244="","",IF(ISNA(VLOOKUP($E244,'A-1 On-Site Habitat Baseline'!$D$1:$O$258,2,FALSE)),"",(VLOOKUP($E244,'A-1 On-Site Habitat Baseline'!$D$1:$O$258,2,FALSE))))</f>
        <v/>
      </c>
      <c r="B244" s="35" t="str">
        <f>IF(E244="","",IF(ISNA(VLOOKUP($E244,'A-1 On-Site Habitat Baseline'!$D$1:$O$258,3,FALSE)),"",(VLOOKUP($E244,'A-1 On-Site Habitat Baseline'!$D$1:$O$258,3,FALSE))))</f>
        <v/>
      </c>
      <c r="C244" s="35" t="str">
        <f>IFERROR(INDEX('G-8 Condition Look up'!$I$4:$I$135,MATCH(S244,'G-8 Condition Look up'!$A$4:$A$135,0)),"")</f>
        <v/>
      </c>
      <c r="E244" s="392" t="str">
        <f>'A-1 On-Site Habitat Baseline'!AL243</f>
        <v/>
      </c>
      <c r="F244" s="382" t="str">
        <f>IF(E244="","",IF(ISNA(VLOOKUP($E244,'A-1 On-Site Habitat Baseline'!$D$1:$O$258,4,FALSE)),"",(VLOOKUP($E244,'A-1 On-Site Habitat Baseline'!$D$1:$O$258,4,FALSE))))</f>
        <v/>
      </c>
      <c r="G244" s="382" t="str">
        <f>IF(E244="","",IF(ISNA(VLOOKUP($E244,'A-1 On-Site Habitat Baseline'!$D$1:$O$258,5,FALSE)),"",(VLOOKUP($E244,'A-1 On-Site Habitat Baseline'!$D$1:$O$258,5,FALSE))))</f>
        <v/>
      </c>
      <c r="H244" s="382" t="str">
        <f>IF(E244="","",IF(ISNA(VLOOKUP($E244,'A-1 On-Site Habitat Baseline'!$D$1:$O$258,6,FALSE)),"",(VLOOKUP($E244,'A-1 On-Site Habitat Baseline'!$D$1:$O$258,6,FALSE))))</f>
        <v/>
      </c>
      <c r="I244" s="382" t="str">
        <f>IF(E244="","",IF(ISNA(VLOOKUP($E244,'A-1 On-Site Habitat Baseline'!$D$1:$O$258,7,FALSE)),"",(VLOOKUP($E244,'A-1 On-Site Habitat Baseline'!$D$1:$O$258,7,FALSE))))</f>
        <v/>
      </c>
      <c r="J244" s="382" t="str">
        <f>IF(E244="","",IF(ISNA(VLOOKUP($E244,'A-1 On-Site Habitat Baseline'!$D$1:$O$258,8,FALSE)),"",(VLOOKUP($E244,'A-1 On-Site Habitat Baseline'!$D$1:$O$258,8,FALSE))))</f>
        <v/>
      </c>
      <c r="K244" s="382" t="str">
        <f>IF(E244="","",IF(ISNA(VLOOKUP($E244,'A-1 On-Site Habitat Baseline'!$D$1:$O$258,9,FALSE)),"",(VLOOKUP($E244,'A-1 On-Site Habitat Baseline'!$D$1:$O$258,9,FALSE))))</f>
        <v/>
      </c>
      <c r="L244" s="382" t="str">
        <f>IF(E244="","",IF(ISNA(VLOOKUP($E244,'A-1 On-Site Habitat Baseline'!$D$1:$O$258,11,FALSE)),"",(VLOOKUP($E244,'A-1 On-Site Habitat Baseline'!$D$1:$O$258,11,FALSE))))</f>
        <v/>
      </c>
      <c r="M244" s="382" t="str">
        <f>IF(E244="","",IF(ISNA(VLOOKUP($E244,'A-1 On-Site Habitat Baseline'!$D$1:$O$258,12,FALSE)),"",(VLOOKUP($E244,'A-1 On-Site Habitat Baseline'!$D$1:$O$258,12,FALSE))))</f>
        <v/>
      </c>
      <c r="N244" s="393" t="str">
        <f>IF(E244="","",IF(ISNA(VLOOKUP($E244,'A-1 On-Site Habitat Baseline'!$D$1:$X$258,14,FALSE)),"",(VLOOKUP($E244,'A-1 On-Site Habitat Baseline'!$D$1:$X$258,14,FALSE))))</f>
        <v/>
      </c>
      <c r="O244" s="386" t="str">
        <f>IF(E244="","",IF(ISNA(VLOOKUP($E244,'A-1 On-Site Habitat Baseline'!$D$1:$X$258,16,FALSE)),"",(VLOOKUP($E244,'A-1 On-Site Habitat Baseline'!$D$1:$X$258,13,FALSE))))</f>
        <v/>
      </c>
      <c r="P244" s="192" t="str">
        <f>IFERROR(INDEX('G-1 All Habitats'!$AG$3:$AG$17,MATCH(Q244,'G-1 All Habitats'!$AF$3:$AF$17,0)),"")</f>
        <v/>
      </c>
      <c r="Q244" s="193" t="str">
        <f t="shared" si="33"/>
        <v/>
      </c>
      <c r="R244" s="193" t="str">
        <f t="shared" si="33"/>
        <v/>
      </c>
      <c r="S244" s="306" t="str">
        <f>IFERROR(INDEX('G-1 All Habitats'!$B$3:$B$134,MATCH(R244,'G-1 All Habitats'!$A$3:$A$134,0)),"")</f>
        <v/>
      </c>
      <c r="T244" s="362" t="str">
        <f t="shared" si="34"/>
        <v/>
      </c>
      <c r="U244" s="363" t="str">
        <f t="shared" si="35"/>
        <v/>
      </c>
      <c r="V244" s="398" t="str">
        <f t="shared" si="31"/>
        <v/>
      </c>
      <c r="W244" s="382" t="str">
        <f>IF(S244="","",VLOOKUP(S244,'G-1 All Habitats'!$B$2:$M$134,10,FALSE))</f>
        <v/>
      </c>
      <c r="X244" s="382" t="str">
        <f>IFERROR(VLOOKUP(W244,'G-1 All Habitats'!$V$3:$W$7,2,FALSE),"")</f>
        <v/>
      </c>
      <c r="Y244" s="61"/>
      <c r="Z244" s="386" t="str">
        <f>IFERROR(INDEX('G-8 Condition Look up'!$A$3:$H$135,MATCH(S244,'G-8 Condition Look up'!$A$3:$A$135,0),MATCH(Y244,'G-8 Condition Look up'!$A$3:$H$3,0)),"")</f>
        <v/>
      </c>
      <c r="AA244" s="54"/>
      <c r="AB244" s="382" t="str">
        <f>IF(AA244="","",IF(VLOOKUP(AA244,'G-3 Multipliers'!$L$3:$N$6,2,FALSE)=0,"Spatial Data Missing ⚠",VLOOKUP(AA244,'G-3 Multipliers'!$L$3:$N$6,2,FALSE)))</f>
        <v/>
      </c>
      <c r="AC244" s="386" t="str">
        <f>IF(AA244="","",IF(VLOOKUP(AA244,'G-3 Multipliers'!$L$3:$N$6,3,FALSE)=0,"Spatial Data Missing ⚠",VLOOKUP(AA244,'G-3 Multipliers'!$L$3:$N$6,3,FALSE)))</f>
        <v/>
      </c>
      <c r="AD244" s="400" t="str">
        <f t="shared" si="32"/>
        <v/>
      </c>
      <c r="AE244" s="63"/>
      <c r="AF244" s="63"/>
      <c r="AG244" s="370" t="str">
        <f t="shared" si="36"/>
        <v/>
      </c>
      <c r="AH244" s="383" t="str">
        <f t="shared" si="37"/>
        <v/>
      </c>
      <c r="AI244" s="384" t="str">
        <f>IF(AH244="Check Data","Check Data",IFERROR(VLOOKUP(AH244,'G-4 Temporal multipliers'!$A$4:$C$36,3,FALSE),""))</f>
        <v/>
      </c>
      <c r="AJ244" s="362" t="str">
        <f>IF(S244="","",VLOOKUP(S244,'G-3 Multipliers'!$A$2:$E$134,4,FALSE))</f>
        <v/>
      </c>
      <c r="AK244" s="370" t="str">
        <f t="shared" si="38"/>
        <v/>
      </c>
      <c r="AL244" s="370" t="str">
        <f t="shared" si="39"/>
        <v/>
      </c>
      <c r="AM244" s="401" t="str">
        <f>IFERROR(IF(F244="","",IF(AH244="Check Data ⚠","Check Data ⚠",VLOOKUP(AL244, 'G-3 Multipliers'!$P$2:$Q$6,2,FALSE))),"")</f>
        <v/>
      </c>
      <c r="AN244" s="376" t="str">
        <f t="shared" si="40"/>
        <v/>
      </c>
      <c r="AO244" s="194"/>
      <c r="AP244" s="195"/>
      <c r="AQ244" s="120"/>
    </row>
    <row r="245" spans="1:43">
      <c r="A245" s="35" t="str">
        <f>IF(E245="","",IF(ISNA(VLOOKUP($E245,'A-1 On-Site Habitat Baseline'!$D$1:$O$258,2,FALSE)),"",(VLOOKUP($E245,'A-1 On-Site Habitat Baseline'!$D$1:$O$258,2,FALSE))))</f>
        <v/>
      </c>
      <c r="B245" s="35" t="str">
        <f>IF(E245="","",IF(ISNA(VLOOKUP($E245,'A-1 On-Site Habitat Baseline'!$D$1:$O$258,3,FALSE)),"",(VLOOKUP($E245,'A-1 On-Site Habitat Baseline'!$D$1:$O$258,3,FALSE))))</f>
        <v/>
      </c>
      <c r="C245" s="35" t="str">
        <f>IFERROR(INDEX('G-8 Condition Look up'!$I$4:$I$135,MATCH(S245,'G-8 Condition Look up'!$A$4:$A$135,0)),"")</f>
        <v/>
      </c>
      <c r="E245" s="392" t="str">
        <f>'A-1 On-Site Habitat Baseline'!AL244</f>
        <v/>
      </c>
      <c r="F245" s="382" t="str">
        <f>IF(E245="","",IF(ISNA(VLOOKUP($E245,'A-1 On-Site Habitat Baseline'!$D$1:$O$258,4,FALSE)),"",(VLOOKUP($E245,'A-1 On-Site Habitat Baseline'!$D$1:$O$258,4,FALSE))))</f>
        <v/>
      </c>
      <c r="G245" s="382" t="str">
        <f>IF(E245="","",IF(ISNA(VLOOKUP($E245,'A-1 On-Site Habitat Baseline'!$D$1:$O$258,5,FALSE)),"",(VLOOKUP($E245,'A-1 On-Site Habitat Baseline'!$D$1:$O$258,5,FALSE))))</f>
        <v/>
      </c>
      <c r="H245" s="382" t="str">
        <f>IF(E245="","",IF(ISNA(VLOOKUP($E245,'A-1 On-Site Habitat Baseline'!$D$1:$O$258,6,FALSE)),"",(VLOOKUP($E245,'A-1 On-Site Habitat Baseline'!$D$1:$O$258,6,FALSE))))</f>
        <v/>
      </c>
      <c r="I245" s="382" t="str">
        <f>IF(E245="","",IF(ISNA(VLOOKUP($E245,'A-1 On-Site Habitat Baseline'!$D$1:$O$258,7,FALSE)),"",(VLOOKUP($E245,'A-1 On-Site Habitat Baseline'!$D$1:$O$258,7,FALSE))))</f>
        <v/>
      </c>
      <c r="J245" s="382" t="str">
        <f>IF(E245="","",IF(ISNA(VLOOKUP($E245,'A-1 On-Site Habitat Baseline'!$D$1:$O$258,8,FALSE)),"",(VLOOKUP($E245,'A-1 On-Site Habitat Baseline'!$D$1:$O$258,8,FALSE))))</f>
        <v/>
      </c>
      <c r="K245" s="382" t="str">
        <f>IF(E245="","",IF(ISNA(VLOOKUP($E245,'A-1 On-Site Habitat Baseline'!$D$1:$O$258,9,FALSE)),"",(VLOOKUP($E245,'A-1 On-Site Habitat Baseline'!$D$1:$O$258,9,FALSE))))</f>
        <v/>
      </c>
      <c r="L245" s="382" t="str">
        <f>IF(E245="","",IF(ISNA(VLOOKUP($E245,'A-1 On-Site Habitat Baseline'!$D$1:$O$258,11,FALSE)),"",(VLOOKUP($E245,'A-1 On-Site Habitat Baseline'!$D$1:$O$258,11,FALSE))))</f>
        <v/>
      </c>
      <c r="M245" s="382" t="str">
        <f>IF(E245="","",IF(ISNA(VLOOKUP($E245,'A-1 On-Site Habitat Baseline'!$D$1:$O$258,12,FALSE)),"",(VLOOKUP($E245,'A-1 On-Site Habitat Baseline'!$D$1:$O$258,12,FALSE))))</f>
        <v/>
      </c>
      <c r="N245" s="393" t="str">
        <f>IF(E245="","",IF(ISNA(VLOOKUP($E245,'A-1 On-Site Habitat Baseline'!$D$1:$X$258,14,FALSE)),"",(VLOOKUP($E245,'A-1 On-Site Habitat Baseline'!$D$1:$X$258,14,FALSE))))</f>
        <v/>
      </c>
      <c r="O245" s="386" t="str">
        <f>IF(E245="","",IF(ISNA(VLOOKUP($E245,'A-1 On-Site Habitat Baseline'!$D$1:$X$258,16,FALSE)),"",(VLOOKUP($E245,'A-1 On-Site Habitat Baseline'!$D$1:$X$258,13,FALSE))))</f>
        <v/>
      </c>
      <c r="P245" s="192" t="str">
        <f>IFERROR(INDEX('G-1 All Habitats'!$AG$3:$AG$17,MATCH(Q245,'G-1 All Habitats'!$AF$3:$AF$17,0)),"")</f>
        <v/>
      </c>
      <c r="Q245" s="193" t="str">
        <f t="shared" si="33"/>
        <v/>
      </c>
      <c r="R245" s="193" t="str">
        <f t="shared" si="33"/>
        <v/>
      </c>
      <c r="S245" s="306" t="str">
        <f>IFERROR(INDEX('G-1 All Habitats'!$B$3:$B$134,MATCH(R245,'G-1 All Habitats'!$A$3:$A$134,0)),"")</f>
        <v/>
      </c>
      <c r="T245" s="362" t="str">
        <f t="shared" si="34"/>
        <v/>
      </c>
      <c r="U245" s="363" t="str">
        <f t="shared" si="35"/>
        <v/>
      </c>
      <c r="V245" s="398" t="str">
        <f t="shared" si="31"/>
        <v/>
      </c>
      <c r="W245" s="382" t="str">
        <f>IF(S245="","",VLOOKUP(S245,'G-1 All Habitats'!$B$2:$M$134,10,FALSE))</f>
        <v/>
      </c>
      <c r="X245" s="382" t="str">
        <f>IFERROR(VLOOKUP(W245,'G-1 All Habitats'!$V$3:$W$7,2,FALSE),"")</f>
        <v/>
      </c>
      <c r="Y245" s="61"/>
      <c r="Z245" s="386" t="str">
        <f>IFERROR(INDEX('G-8 Condition Look up'!$A$3:$H$135,MATCH(S245,'G-8 Condition Look up'!$A$3:$A$135,0),MATCH(Y245,'G-8 Condition Look up'!$A$3:$H$3,0)),"")</f>
        <v/>
      </c>
      <c r="AA245" s="54"/>
      <c r="AB245" s="382" t="str">
        <f>IF(AA245="","",IF(VLOOKUP(AA245,'G-3 Multipliers'!$L$3:$N$6,2,FALSE)=0,"Spatial Data Missing ⚠",VLOOKUP(AA245,'G-3 Multipliers'!$L$3:$N$6,2,FALSE)))</f>
        <v/>
      </c>
      <c r="AC245" s="386" t="str">
        <f>IF(AA245="","",IF(VLOOKUP(AA245,'G-3 Multipliers'!$L$3:$N$6,3,FALSE)=0,"Spatial Data Missing ⚠",VLOOKUP(AA245,'G-3 Multipliers'!$L$3:$N$6,3,FALSE)))</f>
        <v/>
      </c>
      <c r="AD245" s="400" t="str">
        <f t="shared" si="32"/>
        <v/>
      </c>
      <c r="AE245" s="63"/>
      <c r="AF245" s="63"/>
      <c r="AG245" s="370" t="str">
        <f t="shared" si="36"/>
        <v/>
      </c>
      <c r="AH245" s="383" t="str">
        <f t="shared" si="37"/>
        <v/>
      </c>
      <c r="AI245" s="384" t="str">
        <f>IF(AH245="Check Data","Check Data",IFERROR(VLOOKUP(AH245,'G-4 Temporal multipliers'!$A$4:$C$36,3,FALSE),""))</f>
        <v/>
      </c>
      <c r="AJ245" s="362" t="str">
        <f>IF(S245="","",VLOOKUP(S245,'G-3 Multipliers'!$A$2:$E$134,4,FALSE))</f>
        <v/>
      </c>
      <c r="AK245" s="370" t="str">
        <f t="shared" si="38"/>
        <v/>
      </c>
      <c r="AL245" s="370" t="str">
        <f t="shared" si="39"/>
        <v/>
      </c>
      <c r="AM245" s="401" t="str">
        <f>IFERROR(IF(F245="","",IF(AH245="Check Data ⚠","Check Data ⚠",VLOOKUP(AL245, 'G-3 Multipliers'!$P$2:$Q$6,2,FALSE))),"")</f>
        <v/>
      </c>
      <c r="AN245" s="376" t="str">
        <f t="shared" si="40"/>
        <v/>
      </c>
      <c r="AO245" s="194"/>
      <c r="AP245" s="195"/>
      <c r="AQ245" s="120"/>
    </row>
    <row r="246" spans="1:43">
      <c r="A246" s="35" t="str">
        <f>IF(E246="","",IF(ISNA(VLOOKUP($E246,'A-1 On-Site Habitat Baseline'!$D$1:$O$258,2,FALSE)),"",(VLOOKUP($E246,'A-1 On-Site Habitat Baseline'!$D$1:$O$258,2,FALSE))))</f>
        <v/>
      </c>
      <c r="B246" s="35" t="str">
        <f>IF(E246="","",IF(ISNA(VLOOKUP($E246,'A-1 On-Site Habitat Baseline'!$D$1:$O$258,3,FALSE)),"",(VLOOKUP($E246,'A-1 On-Site Habitat Baseline'!$D$1:$O$258,3,FALSE))))</f>
        <v/>
      </c>
      <c r="C246" s="35" t="str">
        <f>IFERROR(INDEX('G-8 Condition Look up'!$I$4:$I$135,MATCH(S246,'G-8 Condition Look up'!$A$4:$A$135,0)),"")</f>
        <v/>
      </c>
      <c r="E246" s="392" t="str">
        <f>'A-1 On-Site Habitat Baseline'!AL245</f>
        <v/>
      </c>
      <c r="F246" s="382" t="str">
        <f>IF(E246="","",IF(ISNA(VLOOKUP($E246,'A-1 On-Site Habitat Baseline'!$D$1:$O$258,4,FALSE)),"",(VLOOKUP($E246,'A-1 On-Site Habitat Baseline'!$D$1:$O$258,4,FALSE))))</f>
        <v/>
      </c>
      <c r="G246" s="382" t="str">
        <f>IF(E246="","",IF(ISNA(VLOOKUP($E246,'A-1 On-Site Habitat Baseline'!$D$1:$O$258,5,FALSE)),"",(VLOOKUP($E246,'A-1 On-Site Habitat Baseline'!$D$1:$O$258,5,FALSE))))</f>
        <v/>
      </c>
      <c r="H246" s="382" t="str">
        <f>IF(E246="","",IF(ISNA(VLOOKUP($E246,'A-1 On-Site Habitat Baseline'!$D$1:$O$258,6,FALSE)),"",(VLOOKUP($E246,'A-1 On-Site Habitat Baseline'!$D$1:$O$258,6,FALSE))))</f>
        <v/>
      </c>
      <c r="I246" s="382" t="str">
        <f>IF(E246="","",IF(ISNA(VLOOKUP($E246,'A-1 On-Site Habitat Baseline'!$D$1:$O$258,7,FALSE)),"",(VLOOKUP($E246,'A-1 On-Site Habitat Baseline'!$D$1:$O$258,7,FALSE))))</f>
        <v/>
      </c>
      <c r="J246" s="382" t="str">
        <f>IF(E246="","",IF(ISNA(VLOOKUP($E246,'A-1 On-Site Habitat Baseline'!$D$1:$O$258,8,FALSE)),"",(VLOOKUP($E246,'A-1 On-Site Habitat Baseline'!$D$1:$O$258,8,FALSE))))</f>
        <v/>
      </c>
      <c r="K246" s="382" t="str">
        <f>IF(E246="","",IF(ISNA(VLOOKUP($E246,'A-1 On-Site Habitat Baseline'!$D$1:$O$258,9,FALSE)),"",(VLOOKUP($E246,'A-1 On-Site Habitat Baseline'!$D$1:$O$258,9,FALSE))))</f>
        <v/>
      </c>
      <c r="L246" s="382" t="str">
        <f>IF(E246="","",IF(ISNA(VLOOKUP($E246,'A-1 On-Site Habitat Baseline'!$D$1:$O$258,11,FALSE)),"",(VLOOKUP($E246,'A-1 On-Site Habitat Baseline'!$D$1:$O$258,11,FALSE))))</f>
        <v/>
      </c>
      <c r="M246" s="382" t="str">
        <f>IF(E246="","",IF(ISNA(VLOOKUP($E246,'A-1 On-Site Habitat Baseline'!$D$1:$O$258,12,FALSE)),"",(VLOOKUP($E246,'A-1 On-Site Habitat Baseline'!$D$1:$O$258,12,FALSE))))</f>
        <v/>
      </c>
      <c r="N246" s="393" t="str">
        <f>IF(E246="","",IF(ISNA(VLOOKUP($E246,'A-1 On-Site Habitat Baseline'!$D$1:$X$258,14,FALSE)),"",(VLOOKUP($E246,'A-1 On-Site Habitat Baseline'!$D$1:$X$258,14,FALSE))))</f>
        <v/>
      </c>
      <c r="O246" s="386" t="str">
        <f>IF(E246="","",IF(ISNA(VLOOKUP($E246,'A-1 On-Site Habitat Baseline'!$D$1:$X$258,16,FALSE)),"",(VLOOKUP($E246,'A-1 On-Site Habitat Baseline'!$D$1:$X$258,13,FALSE))))</f>
        <v/>
      </c>
      <c r="P246" s="192" t="str">
        <f>IFERROR(INDEX('G-1 All Habitats'!$AG$3:$AG$17,MATCH(Q246,'G-1 All Habitats'!$AF$3:$AF$17,0)),"")</f>
        <v/>
      </c>
      <c r="Q246" s="193" t="str">
        <f t="shared" si="33"/>
        <v/>
      </c>
      <c r="R246" s="193" t="str">
        <f t="shared" si="33"/>
        <v/>
      </c>
      <c r="S246" s="306" t="str">
        <f>IFERROR(INDEX('G-1 All Habitats'!$B$3:$B$134,MATCH(R246,'G-1 All Habitats'!$A$3:$A$134,0)),"")</f>
        <v/>
      </c>
      <c r="T246" s="362" t="str">
        <f t="shared" si="34"/>
        <v/>
      </c>
      <c r="U246" s="363" t="str">
        <f t="shared" si="35"/>
        <v/>
      </c>
      <c r="V246" s="398" t="str">
        <f t="shared" si="31"/>
        <v/>
      </c>
      <c r="W246" s="382" t="str">
        <f>IF(S246="","",VLOOKUP(S246,'G-1 All Habitats'!$B$2:$M$134,10,FALSE))</f>
        <v/>
      </c>
      <c r="X246" s="382" t="str">
        <f>IFERROR(VLOOKUP(W246,'G-1 All Habitats'!$V$3:$W$7,2,FALSE),"")</f>
        <v/>
      </c>
      <c r="Y246" s="61"/>
      <c r="Z246" s="386" t="str">
        <f>IFERROR(INDEX('G-8 Condition Look up'!$A$3:$H$135,MATCH(S246,'G-8 Condition Look up'!$A$3:$A$135,0),MATCH(Y246,'G-8 Condition Look up'!$A$3:$H$3,0)),"")</f>
        <v/>
      </c>
      <c r="AA246" s="54"/>
      <c r="AB246" s="382" t="str">
        <f>IF(AA246="","",IF(VLOOKUP(AA246,'G-3 Multipliers'!$L$3:$N$6,2,FALSE)=0,"Spatial Data Missing ⚠",VLOOKUP(AA246,'G-3 Multipliers'!$L$3:$N$6,2,FALSE)))</f>
        <v/>
      </c>
      <c r="AC246" s="386" t="str">
        <f>IF(AA246="","",IF(VLOOKUP(AA246,'G-3 Multipliers'!$L$3:$N$6,3,FALSE)=0,"Spatial Data Missing ⚠",VLOOKUP(AA246,'G-3 Multipliers'!$L$3:$N$6,3,FALSE)))</f>
        <v/>
      </c>
      <c r="AD246" s="400" t="str">
        <f t="shared" si="32"/>
        <v/>
      </c>
      <c r="AE246" s="63"/>
      <c r="AF246" s="63"/>
      <c r="AG246" s="370" t="str">
        <f t="shared" si="36"/>
        <v/>
      </c>
      <c r="AH246" s="383" t="str">
        <f t="shared" si="37"/>
        <v/>
      </c>
      <c r="AI246" s="384" t="str">
        <f>IF(AH246="Check Data","Check Data",IFERROR(VLOOKUP(AH246,'G-4 Temporal multipliers'!$A$4:$C$36,3,FALSE),""))</f>
        <v/>
      </c>
      <c r="AJ246" s="362" t="str">
        <f>IF(S246="","",VLOOKUP(S246,'G-3 Multipliers'!$A$2:$E$134,4,FALSE))</f>
        <v/>
      </c>
      <c r="AK246" s="370" t="str">
        <f t="shared" si="38"/>
        <v/>
      </c>
      <c r="AL246" s="370" t="str">
        <f t="shared" si="39"/>
        <v/>
      </c>
      <c r="AM246" s="401" t="str">
        <f>IFERROR(IF(F246="","",IF(AH246="Check Data ⚠","Check Data ⚠",VLOOKUP(AL246, 'G-3 Multipliers'!$P$2:$Q$6,2,FALSE))),"")</f>
        <v/>
      </c>
      <c r="AN246" s="376" t="str">
        <f t="shared" si="40"/>
        <v/>
      </c>
      <c r="AO246" s="194"/>
      <c r="AP246" s="195"/>
      <c r="AQ246" s="120"/>
    </row>
    <row r="247" spans="1:43">
      <c r="A247" s="35" t="str">
        <f>IF(E247="","",IF(ISNA(VLOOKUP($E247,'A-1 On-Site Habitat Baseline'!$D$1:$O$258,2,FALSE)),"",(VLOOKUP($E247,'A-1 On-Site Habitat Baseline'!$D$1:$O$258,2,FALSE))))</f>
        <v/>
      </c>
      <c r="B247" s="35" t="str">
        <f>IF(E247="","",IF(ISNA(VLOOKUP($E247,'A-1 On-Site Habitat Baseline'!$D$1:$O$258,3,FALSE)),"",(VLOOKUP($E247,'A-1 On-Site Habitat Baseline'!$D$1:$O$258,3,FALSE))))</f>
        <v/>
      </c>
      <c r="C247" s="35" t="str">
        <f>IFERROR(INDEX('G-8 Condition Look up'!$I$4:$I$135,MATCH(S247,'G-8 Condition Look up'!$A$4:$A$135,0)),"")</f>
        <v/>
      </c>
      <c r="E247" s="392" t="str">
        <f>'A-1 On-Site Habitat Baseline'!AL246</f>
        <v/>
      </c>
      <c r="F247" s="382" t="str">
        <f>IF(E247="","",IF(ISNA(VLOOKUP($E247,'A-1 On-Site Habitat Baseline'!$D$1:$O$258,4,FALSE)),"",(VLOOKUP($E247,'A-1 On-Site Habitat Baseline'!$D$1:$O$258,4,FALSE))))</f>
        <v/>
      </c>
      <c r="G247" s="382" t="str">
        <f>IF(E247="","",IF(ISNA(VLOOKUP($E247,'A-1 On-Site Habitat Baseline'!$D$1:$O$258,5,FALSE)),"",(VLOOKUP($E247,'A-1 On-Site Habitat Baseline'!$D$1:$O$258,5,FALSE))))</f>
        <v/>
      </c>
      <c r="H247" s="382" t="str">
        <f>IF(E247="","",IF(ISNA(VLOOKUP($E247,'A-1 On-Site Habitat Baseline'!$D$1:$O$258,6,FALSE)),"",(VLOOKUP($E247,'A-1 On-Site Habitat Baseline'!$D$1:$O$258,6,FALSE))))</f>
        <v/>
      </c>
      <c r="I247" s="382" t="str">
        <f>IF(E247="","",IF(ISNA(VLOOKUP($E247,'A-1 On-Site Habitat Baseline'!$D$1:$O$258,7,FALSE)),"",(VLOOKUP($E247,'A-1 On-Site Habitat Baseline'!$D$1:$O$258,7,FALSE))))</f>
        <v/>
      </c>
      <c r="J247" s="382" t="str">
        <f>IF(E247="","",IF(ISNA(VLOOKUP($E247,'A-1 On-Site Habitat Baseline'!$D$1:$O$258,8,FALSE)),"",(VLOOKUP($E247,'A-1 On-Site Habitat Baseline'!$D$1:$O$258,8,FALSE))))</f>
        <v/>
      </c>
      <c r="K247" s="382" t="str">
        <f>IF(E247="","",IF(ISNA(VLOOKUP($E247,'A-1 On-Site Habitat Baseline'!$D$1:$O$258,9,FALSE)),"",(VLOOKUP($E247,'A-1 On-Site Habitat Baseline'!$D$1:$O$258,9,FALSE))))</f>
        <v/>
      </c>
      <c r="L247" s="382" t="str">
        <f>IF(E247="","",IF(ISNA(VLOOKUP($E247,'A-1 On-Site Habitat Baseline'!$D$1:$O$258,11,FALSE)),"",(VLOOKUP($E247,'A-1 On-Site Habitat Baseline'!$D$1:$O$258,11,FALSE))))</f>
        <v/>
      </c>
      <c r="M247" s="382" t="str">
        <f>IF(E247="","",IF(ISNA(VLOOKUP($E247,'A-1 On-Site Habitat Baseline'!$D$1:$O$258,12,FALSE)),"",(VLOOKUP($E247,'A-1 On-Site Habitat Baseline'!$D$1:$O$258,12,FALSE))))</f>
        <v/>
      </c>
      <c r="N247" s="393" t="str">
        <f>IF(E247="","",IF(ISNA(VLOOKUP($E247,'A-1 On-Site Habitat Baseline'!$D$1:$X$258,14,FALSE)),"",(VLOOKUP($E247,'A-1 On-Site Habitat Baseline'!$D$1:$X$258,14,FALSE))))</f>
        <v/>
      </c>
      <c r="O247" s="386" t="str">
        <f>IF(E247="","",IF(ISNA(VLOOKUP($E247,'A-1 On-Site Habitat Baseline'!$D$1:$X$258,16,FALSE)),"",(VLOOKUP($E247,'A-1 On-Site Habitat Baseline'!$D$1:$X$258,13,FALSE))))</f>
        <v/>
      </c>
      <c r="P247" s="192" t="str">
        <f>IFERROR(INDEX('G-1 All Habitats'!$AG$3:$AG$17,MATCH(Q247,'G-1 All Habitats'!$AF$3:$AF$17,0)),"")</f>
        <v/>
      </c>
      <c r="Q247" s="193" t="str">
        <f t="shared" si="33"/>
        <v/>
      </c>
      <c r="R247" s="193" t="str">
        <f t="shared" si="33"/>
        <v/>
      </c>
      <c r="S247" s="306" t="str">
        <f>IFERROR(INDEX('G-1 All Habitats'!$B$3:$B$134,MATCH(R247,'G-1 All Habitats'!$A$3:$A$134,0)),"")</f>
        <v/>
      </c>
      <c r="T247" s="362" t="str">
        <f t="shared" si="34"/>
        <v/>
      </c>
      <c r="U247" s="363" t="str">
        <f t="shared" si="35"/>
        <v/>
      </c>
      <c r="V247" s="398" t="str">
        <f t="shared" si="31"/>
        <v/>
      </c>
      <c r="W247" s="382" t="str">
        <f>IF(S247="","",VLOOKUP(S247,'G-1 All Habitats'!$B$2:$M$134,10,FALSE))</f>
        <v/>
      </c>
      <c r="X247" s="382" t="str">
        <f>IFERROR(VLOOKUP(W247,'G-1 All Habitats'!$V$3:$W$7,2,FALSE),"")</f>
        <v/>
      </c>
      <c r="Y247" s="61"/>
      <c r="Z247" s="386" t="str">
        <f>IFERROR(INDEX('G-8 Condition Look up'!$A$3:$H$135,MATCH(S247,'G-8 Condition Look up'!$A$3:$A$135,0),MATCH(Y247,'G-8 Condition Look up'!$A$3:$H$3,0)),"")</f>
        <v/>
      </c>
      <c r="AA247" s="54"/>
      <c r="AB247" s="382" t="str">
        <f>IF(AA247="","",IF(VLOOKUP(AA247,'G-3 Multipliers'!$L$3:$N$6,2,FALSE)=0,"Spatial Data Missing ⚠",VLOOKUP(AA247,'G-3 Multipliers'!$L$3:$N$6,2,FALSE)))</f>
        <v/>
      </c>
      <c r="AC247" s="386" t="str">
        <f>IF(AA247="","",IF(VLOOKUP(AA247,'G-3 Multipliers'!$L$3:$N$6,3,FALSE)=0,"Spatial Data Missing ⚠",VLOOKUP(AA247,'G-3 Multipliers'!$L$3:$N$6,3,FALSE)))</f>
        <v/>
      </c>
      <c r="AD247" s="400" t="str">
        <f t="shared" si="32"/>
        <v/>
      </c>
      <c r="AE247" s="63"/>
      <c r="AF247" s="63"/>
      <c r="AG247" s="370" t="str">
        <f t="shared" si="36"/>
        <v/>
      </c>
      <c r="AH247" s="383" t="str">
        <f t="shared" si="37"/>
        <v/>
      </c>
      <c r="AI247" s="384" t="str">
        <f>IF(AH247="Check Data","Check Data",IFERROR(VLOOKUP(AH247,'G-4 Temporal multipliers'!$A$4:$C$36,3,FALSE),""))</f>
        <v/>
      </c>
      <c r="AJ247" s="362" t="str">
        <f>IF(S247="","",VLOOKUP(S247,'G-3 Multipliers'!$A$2:$E$134,4,FALSE))</f>
        <v/>
      </c>
      <c r="AK247" s="370" t="str">
        <f t="shared" si="38"/>
        <v/>
      </c>
      <c r="AL247" s="370" t="str">
        <f t="shared" si="39"/>
        <v/>
      </c>
      <c r="AM247" s="401" t="str">
        <f>IFERROR(IF(F247="","",IF(AH247="Check Data ⚠","Check Data ⚠",VLOOKUP(AL247, 'G-3 Multipliers'!$P$2:$Q$6,2,FALSE))),"")</f>
        <v/>
      </c>
      <c r="AN247" s="376" t="str">
        <f t="shared" si="40"/>
        <v/>
      </c>
      <c r="AO247" s="194"/>
      <c r="AP247" s="195"/>
      <c r="AQ247" s="120"/>
    </row>
    <row r="248" spans="1:43">
      <c r="A248" s="35" t="str">
        <f>IF(E248="","",IF(ISNA(VLOOKUP($E248,'A-1 On-Site Habitat Baseline'!$D$1:$O$258,2,FALSE)),"",(VLOOKUP($E248,'A-1 On-Site Habitat Baseline'!$D$1:$O$258,2,FALSE))))</f>
        <v/>
      </c>
      <c r="B248" s="35" t="str">
        <f>IF(E248="","",IF(ISNA(VLOOKUP($E248,'A-1 On-Site Habitat Baseline'!$D$1:$O$258,3,FALSE)),"",(VLOOKUP($E248,'A-1 On-Site Habitat Baseline'!$D$1:$O$258,3,FALSE))))</f>
        <v/>
      </c>
      <c r="C248" s="35" t="str">
        <f>IFERROR(INDEX('G-8 Condition Look up'!$I$4:$I$135,MATCH(S248,'G-8 Condition Look up'!$A$4:$A$135,0)),"")</f>
        <v/>
      </c>
      <c r="E248" s="392" t="str">
        <f>'A-1 On-Site Habitat Baseline'!AL247</f>
        <v/>
      </c>
      <c r="F248" s="382" t="str">
        <f>IF(E248="","",IF(ISNA(VLOOKUP($E248,'A-1 On-Site Habitat Baseline'!$D$1:$O$258,4,FALSE)),"",(VLOOKUP($E248,'A-1 On-Site Habitat Baseline'!$D$1:$O$258,4,FALSE))))</f>
        <v/>
      </c>
      <c r="G248" s="382" t="str">
        <f>IF(E248="","",IF(ISNA(VLOOKUP($E248,'A-1 On-Site Habitat Baseline'!$D$1:$O$258,5,FALSE)),"",(VLOOKUP($E248,'A-1 On-Site Habitat Baseline'!$D$1:$O$258,5,FALSE))))</f>
        <v/>
      </c>
      <c r="H248" s="382" t="str">
        <f>IF(E248="","",IF(ISNA(VLOOKUP($E248,'A-1 On-Site Habitat Baseline'!$D$1:$O$258,6,FALSE)),"",(VLOOKUP($E248,'A-1 On-Site Habitat Baseline'!$D$1:$O$258,6,FALSE))))</f>
        <v/>
      </c>
      <c r="I248" s="382" t="str">
        <f>IF(E248="","",IF(ISNA(VLOOKUP($E248,'A-1 On-Site Habitat Baseline'!$D$1:$O$258,7,FALSE)),"",(VLOOKUP($E248,'A-1 On-Site Habitat Baseline'!$D$1:$O$258,7,FALSE))))</f>
        <v/>
      </c>
      <c r="J248" s="382" t="str">
        <f>IF(E248="","",IF(ISNA(VLOOKUP($E248,'A-1 On-Site Habitat Baseline'!$D$1:$O$258,8,FALSE)),"",(VLOOKUP($E248,'A-1 On-Site Habitat Baseline'!$D$1:$O$258,8,FALSE))))</f>
        <v/>
      </c>
      <c r="K248" s="382" t="str">
        <f>IF(E248="","",IF(ISNA(VLOOKUP($E248,'A-1 On-Site Habitat Baseline'!$D$1:$O$258,9,FALSE)),"",(VLOOKUP($E248,'A-1 On-Site Habitat Baseline'!$D$1:$O$258,9,FALSE))))</f>
        <v/>
      </c>
      <c r="L248" s="382" t="str">
        <f>IF(E248="","",IF(ISNA(VLOOKUP($E248,'A-1 On-Site Habitat Baseline'!$D$1:$O$258,11,FALSE)),"",(VLOOKUP($E248,'A-1 On-Site Habitat Baseline'!$D$1:$O$258,11,FALSE))))</f>
        <v/>
      </c>
      <c r="M248" s="382" t="str">
        <f>IF(E248="","",IF(ISNA(VLOOKUP($E248,'A-1 On-Site Habitat Baseline'!$D$1:$O$258,12,FALSE)),"",(VLOOKUP($E248,'A-1 On-Site Habitat Baseline'!$D$1:$O$258,12,FALSE))))</f>
        <v/>
      </c>
      <c r="N248" s="393" t="str">
        <f>IF(E248="","",IF(ISNA(VLOOKUP($E248,'A-1 On-Site Habitat Baseline'!$D$1:$X$258,14,FALSE)),"",(VLOOKUP($E248,'A-1 On-Site Habitat Baseline'!$D$1:$X$258,14,FALSE))))</f>
        <v/>
      </c>
      <c r="O248" s="386" t="str">
        <f>IF(E248="","",IF(ISNA(VLOOKUP($E248,'A-1 On-Site Habitat Baseline'!$D$1:$X$258,16,FALSE)),"",(VLOOKUP($E248,'A-1 On-Site Habitat Baseline'!$D$1:$X$258,13,FALSE))))</f>
        <v/>
      </c>
      <c r="P248" s="192" t="str">
        <f>IFERROR(INDEX('G-1 All Habitats'!$AG$3:$AG$17,MATCH(Q248,'G-1 All Habitats'!$AF$3:$AF$17,0)),"")</f>
        <v/>
      </c>
      <c r="Q248" s="193" t="str">
        <f t="shared" si="33"/>
        <v/>
      </c>
      <c r="R248" s="193" t="str">
        <f t="shared" si="33"/>
        <v/>
      </c>
      <c r="S248" s="306" t="str">
        <f>IFERROR(INDEX('G-1 All Habitats'!$B$3:$B$134,MATCH(R248,'G-1 All Habitats'!$A$3:$A$134,0)),"")</f>
        <v/>
      </c>
      <c r="T248" s="362" t="str">
        <f t="shared" si="34"/>
        <v/>
      </c>
      <c r="U248" s="363" t="str">
        <f t="shared" si="35"/>
        <v/>
      </c>
      <c r="V248" s="398" t="str">
        <f t="shared" si="31"/>
        <v/>
      </c>
      <c r="W248" s="382" t="str">
        <f>IF(S248="","",VLOOKUP(S248,'G-1 All Habitats'!$B$2:$M$134,10,FALSE))</f>
        <v/>
      </c>
      <c r="X248" s="382" t="str">
        <f>IFERROR(VLOOKUP(W248,'G-1 All Habitats'!$V$3:$W$7,2,FALSE),"")</f>
        <v/>
      </c>
      <c r="Y248" s="61"/>
      <c r="Z248" s="386" t="str">
        <f>IFERROR(INDEX('G-8 Condition Look up'!$A$3:$H$135,MATCH(S248,'G-8 Condition Look up'!$A$3:$A$135,0),MATCH(Y248,'G-8 Condition Look up'!$A$3:$H$3,0)),"")</f>
        <v/>
      </c>
      <c r="AA248" s="54"/>
      <c r="AB248" s="382" t="str">
        <f>IF(AA248="","",IF(VLOOKUP(AA248,'G-3 Multipliers'!$L$3:$N$6,2,FALSE)=0,"Spatial Data Missing ⚠",VLOOKUP(AA248,'G-3 Multipliers'!$L$3:$N$6,2,FALSE)))</f>
        <v/>
      </c>
      <c r="AC248" s="386" t="str">
        <f>IF(AA248="","",IF(VLOOKUP(AA248,'G-3 Multipliers'!$L$3:$N$6,3,FALSE)=0,"Spatial Data Missing ⚠",VLOOKUP(AA248,'G-3 Multipliers'!$L$3:$N$6,3,FALSE)))</f>
        <v/>
      </c>
      <c r="AD248" s="400" t="str">
        <f t="shared" si="32"/>
        <v/>
      </c>
      <c r="AE248" s="63"/>
      <c r="AF248" s="63"/>
      <c r="AG248" s="370" t="str">
        <f t="shared" si="36"/>
        <v/>
      </c>
      <c r="AH248" s="383" t="str">
        <f t="shared" si="37"/>
        <v/>
      </c>
      <c r="AI248" s="384" t="str">
        <f>IF(AH248="Check Data","Check Data",IFERROR(VLOOKUP(AH248,'G-4 Temporal multipliers'!$A$4:$C$36,3,FALSE),""))</f>
        <v/>
      </c>
      <c r="AJ248" s="362" t="str">
        <f>IF(S248="","",VLOOKUP(S248,'G-3 Multipliers'!$A$2:$E$134,4,FALSE))</f>
        <v/>
      </c>
      <c r="AK248" s="370" t="str">
        <f t="shared" si="38"/>
        <v/>
      </c>
      <c r="AL248" s="370" t="str">
        <f t="shared" si="39"/>
        <v/>
      </c>
      <c r="AM248" s="401" t="str">
        <f>IFERROR(IF(F248="","",IF(AH248="Check Data ⚠","Check Data ⚠",VLOOKUP(AL248, 'G-3 Multipliers'!$P$2:$Q$6,2,FALSE))),"")</f>
        <v/>
      </c>
      <c r="AN248" s="376" t="str">
        <f t="shared" si="40"/>
        <v/>
      </c>
      <c r="AO248" s="194"/>
      <c r="AP248" s="195"/>
      <c r="AQ248" s="120"/>
    </row>
    <row r="249" spans="1:43">
      <c r="A249" s="35" t="str">
        <f>IF(E249="","",IF(ISNA(VLOOKUP($E249,'A-1 On-Site Habitat Baseline'!$D$1:$O$258,2,FALSE)),"",(VLOOKUP($E249,'A-1 On-Site Habitat Baseline'!$D$1:$O$258,2,FALSE))))</f>
        <v/>
      </c>
      <c r="B249" s="35" t="str">
        <f>IF(E249="","",IF(ISNA(VLOOKUP($E249,'A-1 On-Site Habitat Baseline'!$D$1:$O$258,3,FALSE)),"",(VLOOKUP($E249,'A-1 On-Site Habitat Baseline'!$D$1:$O$258,3,FALSE))))</f>
        <v/>
      </c>
      <c r="C249" s="35" t="str">
        <f>IFERROR(INDEX('G-8 Condition Look up'!$I$4:$I$135,MATCH(S249,'G-8 Condition Look up'!$A$4:$A$135,0)),"")</f>
        <v/>
      </c>
      <c r="E249" s="392" t="str">
        <f>'A-1 On-Site Habitat Baseline'!AL248</f>
        <v/>
      </c>
      <c r="F249" s="382" t="str">
        <f>IF(E249="","",IF(ISNA(VLOOKUP($E249,'A-1 On-Site Habitat Baseline'!$D$1:$O$258,4,FALSE)),"",(VLOOKUP($E249,'A-1 On-Site Habitat Baseline'!$D$1:$O$258,4,FALSE))))</f>
        <v/>
      </c>
      <c r="G249" s="382" t="str">
        <f>IF(E249="","",IF(ISNA(VLOOKUP($E249,'A-1 On-Site Habitat Baseline'!$D$1:$O$258,5,FALSE)),"",(VLOOKUP($E249,'A-1 On-Site Habitat Baseline'!$D$1:$O$258,5,FALSE))))</f>
        <v/>
      </c>
      <c r="H249" s="382" t="str">
        <f>IF(E249="","",IF(ISNA(VLOOKUP($E249,'A-1 On-Site Habitat Baseline'!$D$1:$O$258,6,FALSE)),"",(VLOOKUP($E249,'A-1 On-Site Habitat Baseline'!$D$1:$O$258,6,FALSE))))</f>
        <v/>
      </c>
      <c r="I249" s="382" t="str">
        <f>IF(E249="","",IF(ISNA(VLOOKUP($E249,'A-1 On-Site Habitat Baseline'!$D$1:$O$258,7,FALSE)),"",(VLOOKUP($E249,'A-1 On-Site Habitat Baseline'!$D$1:$O$258,7,FALSE))))</f>
        <v/>
      </c>
      <c r="J249" s="382" t="str">
        <f>IF(E249="","",IF(ISNA(VLOOKUP($E249,'A-1 On-Site Habitat Baseline'!$D$1:$O$258,8,FALSE)),"",(VLOOKUP($E249,'A-1 On-Site Habitat Baseline'!$D$1:$O$258,8,FALSE))))</f>
        <v/>
      </c>
      <c r="K249" s="382" t="str">
        <f>IF(E249="","",IF(ISNA(VLOOKUP($E249,'A-1 On-Site Habitat Baseline'!$D$1:$O$258,9,FALSE)),"",(VLOOKUP($E249,'A-1 On-Site Habitat Baseline'!$D$1:$O$258,9,FALSE))))</f>
        <v/>
      </c>
      <c r="L249" s="382" t="str">
        <f>IF(E249="","",IF(ISNA(VLOOKUP($E249,'A-1 On-Site Habitat Baseline'!$D$1:$O$258,11,FALSE)),"",(VLOOKUP($E249,'A-1 On-Site Habitat Baseline'!$D$1:$O$258,11,FALSE))))</f>
        <v/>
      </c>
      <c r="M249" s="382" t="str">
        <f>IF(E249="","",IF(ISNA(VLOOKUP($E249,'A-1 On-Site Habitat Baseline'!$D$1:$O$258,12,FALSE)),"",(VLOOKUP($E249,'A-1 On-Site Habitat Baseline'!$D$1:$O$258,12,FALSE))))</f>
        <v/>
      </c>
      <c r="N249" s="393" t="str">
        <f>IF(E249="","",IF(ISNA(VLOOKUP($E249,'A-1 On-Site Habitat Baseline'!$D$1:$X$258,14,FALSE)),"",(VLOOKUP($E249,'A-1 On-Site Habitat Baseline'!$D$1:$X$258,14,FALSE))))</f>
        <v/>
      </c>
      <c r="O249" s="386" t="str">
        <f>IF(E249="","",IF(ISNA(VLOOKUP($E249,'A-1 On-Site Habitat Baseline'!$D$1:$X$258,16,FALSE)),"",(VLOOKUP($E249,'A-1 On-Site Habitat Baseline'!$D$1:$X$258,13,FALSE))))</f>
        <v/>
      </c>
      <c r="P249" s="192" t="str">
        <f>IFERROR(INDEX('G-1 All Habitats'!$AG$3:$AG$17,MATCH(Q249,'G-1 All Habitats'!$AF$3:$AF$17,0)),"")</f>
        <v/>
      </c>
      <c r="Q249" s="193" t="str">
        <f t="shared" si="33"/>
        <v/>
      </c>
      <c r="R249" s="193" t="str">
        <f t="shared" si="33"/>
        <v/>
      </c>
      <c r="S249" s="306" t="str">
        <f>IFERROR(INDEX('G-1 All Habitats'!$B$3:$B$134,MATCH(R249,'G-1 All Habitats'!$A$3:$A$134,0)),"")</f>
        <v/>
      </c>
      <c r="T249" s="362" t="str">
        <f t="shared" si="34"/>
        <v/>
      </c>
      <c r="U249" s="363" t="str">
        <f t="shared" si="35"/>
        <v/>
      </c>
      <c r="V249" s="398" t="str">
        <f t="shared" si="31"/>
        <v/>
      </c>
      <c r="W249" s="382" t="str">
        <f>IF(S249="","",VLOOKUP(S249,'G-1 All Habitats'!$B$2:$M$134,10,FALSE))</f>
        <v/>
      </c>
      <c r="X249" s="382" t="str">
        <f>IFERROR(VLOOKUP(W249,'G-1 All Habitats'!$V$3:$W$7,2,FALSE),"")</f>
        <v/>
      </c>
      <c r="Y249" s="61"/>
      <c r="Z249" s="386" t="str">
        <f>IFERROR(INDEX('G-8 Condition Look up'!$A$3:$H$135,MATCH(S249,'G-8 Condition Look up'!$A$3:$A$135,0),MATCH(Y249,'G-8 Condition Look up'!$A$3:$H$3,0)),"")</f>
        <v/>
      </c>
      <c r="AA249" s="54"/>
      <c r="AB249" s="382" t="str">
        <f>IF(AA249="","",IF(VLOOKUP(AA249,'G-3 Multipliers'!$L$3:$N$6,2,FALSE)=0,"Spatial Data Missing ⚠",VLOOKUP(AA249,'G-3 Multipliers'!$L$3:$N$6,2,FALSE)))</f>
        <v/>
      </c>
      <c r="AC249" s="386" t="str">
        <f>IF(AA249="","",IF(VLOOKUP(AA249,'G-3 Multipliers'!$L$3:$N$6,3,FALSE)=0,"Spatial Data Missing ⚠",VLOOKUP(AA249,'G-3 Multipliers'!$L$3:$N$6,3,FALSE)))</f>
        <v/>
      </c>
      <c r="AD249" s="400" t="str">
        <f t="shared" si="32"/>
        <v/>
      </c>
      <c r="AE249" s="63"/>
      <c r="AF249" s="63"/>
      <c r="AG249" s="370" t="str">
        <f t="shared" si="36"/>
        <v/>
      </c>
      <c r="AH249" s="383" t="str">
        <f t="shared" si="37"/>
        <v/>
      </c>
      <c r="AI249" s="384" t="str">
        <f>IF(AH249="Check Data","Check Data",IFERROR(VLOOKUP(AH249,'G-4 Temporal multipliers'!$A$4:$C$36,3,FALSE),""))</f>
        <v/>
      </c>
      <c r="AJ249" s="362" t="str">
        <f>IF(S249="","",VLOOKUP(S249,'G-3 Multipliers'!$A$2:$E$134,4,FALSE))</f>
        <v/>
      </c>
      <c r="AK249" s="370" t="str">
        <f t="shared" si="38"/>
        <v/>
      </c>
      <c r="AL249" s="370" t="str">
        <f t="shared" si="39"/>
        <v/>
      </c>
      <c r="AM249" s="401" t="str">
        <f>IFERROR(IF(F249="","",IF(AH249="Check Data ⚠","Check Data ⚠",VLOOKUP(AL249, 'G-3 Multipliers'!$P$2:$Q$6,2,FALSE))),"")</f>
        <v/>
      </c>
      <c r="AN249" s="376" t="str">
        <f t="shared" si="40"/>
        <v/>
      </c>
      <c r="AO249" s="194"/>
      <c r="AP249" s="195"/>
      <c r="AQ249" s="120"/>
    </row>
    <row r="250" spans="1:43">
      <c r="A250" s="35" t="str">
        <f>IF(E250="","",IF(ISNA(VLOOKUP($E250,'A-1 On-Site Habitat Baseline'!$D$1:$O$258,2,FALSE)),"",(VLOOKUP($E250,'A-1 On-Site Habitat Baseline'!$D$1:$O$258,2,FALSE))))</f>
        <v/>
      </c>
      <c r="B250" s="35" t="str">
        <f>IF(E250="","",IF(ISNA(VLOOKUP($E250,'A-1 On-Site Habitat Baseline'!$D$1:$O$258,3,FALSE)),"",(VLOOKUP($E250,'A-1 On-Site Habitat Baseline'!$D$1:$O$258,3,FALSE))))</f>
        <v/>
      </c>
      <c r="C250" s="35" t="str">
        <f>IFERROR(INDEX('G-8 Condition Look up'!$I$4:$I$135,MATCH(S250,'G-8 Condition Look up'!$A$4:$A$135,0)),"")</f>
        <v/>
      </c>
      <c r="E250" s="392" t="str">
        <f>'A-1 On-Site Habitat Baseline'!AL249</f>
        <v/>
      </c>
      <c r="F250" s="382" t="str">
        <f>IF(E250="","",IF(ISNA(VLOOKUP($E250,'A-1 On-Site Habitat Baseline'!$D$1:$O$258,4,FALSE)),"",(VLOOKUP($E250,'A-1 On-Site Habitat Baseline'!$D$1:$O$258,4,FALSE))))</f>
        <v/>
      </c>
      <c r="G250" s="382" t="str">
        <f>IF(E250="","",IF(ISNA(VLOOKUP($E250,'A-1 On-Site Habitat Baseline'!$D$1:$O$258,5,FALSE)),"",(VLOOKUP($E250,'A-1 On-Site Habitat Baseline'!$D$1:$O$258,5,FALSE))))</f>
        <v/>
      </c>
      <c r="H250" s="382" t="str">
        <f>IF(E250="","",IF(ISNA(VLOOKUP($E250,'A-1 On-Site Habitat Baseline'!$D$1:$O$258,6,FALSE)),"",(VLOOKUP($E250,'A-1 On-Site Habitat Baseline'!$D$1:$O$258,6,FALSE))))</f>
        <v/>
      </c>
      <c r="I250" s="382" t="str">
        <f>IF(E250="","",IF(ISNA(VLOOKUP($E250,'A-1 On-Site Habitat Baseline'!$D$1:$O$258,7,FALSE)),"",(VLOOKUP($E250,'A-1 On-Site Habitat Baseline'!$D$1:$O$258,7,FALSE))))</f>
        <v/>
      </c>
      <c r="J250" s="382" t="str">
        <f>IF(E250="","",IF(ISNA(VLOOKUP($E250,'A-1 On-Site Habitat Baseline'!$D$1:$O$258,8,FALSE)),"",(VLOOKUP($E250,'A-1 On-Site Habitat Baseline'!$D$1:$O$258,8,FALSE))))</f>
        <v/>
      </c>
      <c r="K250" s="382" t="str">
        <f>IF(E250="","",IF(ISNA(VLOOKUP($E250,'A-1 On-Site Habitat Baseline'!$D$1:$O$258,9,FALSE)),"",(VLOOKUP($E250,'A-1 On-Site Habitat Baseline'!$D$1:$O$258,9,FALSE))))</f>
        <v/>
      </c>
      <c r="L250" s="382" t="str">
        <f>IF(E250="","",IF(ISNA(VLOOKUP($E250,'A-1 On-Site Habitat Baseline'!$D$1:$O$258,11,FALSE)),"",(VLOOKUP($E250,'A-1 On-Site Habitat Baseline'!$D$1:$O$258,11,FALSE))))</f>
        <v/>
      </c>
      <c r="M250" s="382" t="str">
        <f>IF(E250="","",IF(ISNA(VLOOKUP($E250,'A-1 On-Site Habitat Baseline'!$D$1:$O$258,12,FALSE)),"",(VLOOKUP($E250,'A-1 On-Site Habitat Baseline'!$D$1:$O$258,12,FALSE))))</f>
        <v/>
      </c>
      <c r="N250" s="393" t="str">
        <f>IF(E250="","",IF(ISNA(VLOOKUP($E250,'A-1 On-Site Habitat Baseline'!$D$1:$X$258,14,FALSE)),"",(VLOOKUP($E250,'A-1 On-Site Habitat Baseline'!$D$1:$X$258,14,FALSE))))</f>
        <v/>
      </c>
      <c r="O250" s="386" t="str">
        <f>IF(E250="","",IF(ISNA(VLOOKUP($E250,'A-1 On-Site Habitat Baseline'!$D$1:$X$258,16,FALSE)),"",(VLOOKUP($E250,'A-1 On-Site Habitat Baseline'!$D$1:$X$258,13,FALSE))))</f>
        <v/>
      </c>
      <c r="P250" s="192" t="str">
        <f>IFERROR(INDEX('G-1 All Habitats'!$AG$3:$AG$17,MATCH(Q250,'G-1 All Habitats'!$AF$3:$AF$17,0)),"")</f>
        <v/>
      </c>
      <c r="Q250" s="193" t="str">
        <f t="shared" si="33"/>
        <v/>
      </c>
      <c r="R250" s="193" t="str">
        <f t="shared" si="33"/>
        <v/>
      </c>
      <c r="S250" s="306" t="str">
        <f>IFERROR(INDEX('G-1 All Habitats'!$B$3:$B$134,MATCH(R250,'G-1 All Habitats'!$A$3:$A$134,0)),"")</f>
        <v/>
      </c>
      <c r="T250" s="362" t="str">
        <f t="shared" si="34"/>
        <v/>
      </c>
      <c r="U250" s="363" t="str">
        <f t="shared" si="35"/>
        <v/>
      </c>
      <c r="V250" s="398" t="str">
        <f t="shared" si="31"/>
        <v/>
      </c>
      <c r="W250" s="382" t="str">
        <f>IF(S250="","",VLOOKUP(S250,'G-1 All Habitats'!$B$2:$M$134,10,FALSE))</f>
        <v/>
      </c>
      <c r="X250" s="382" t="str">
        <f>IFERROR(VLOOKUP(W250,'G-1 All Habitats'!$V$3:$W$7,2,FALSE),"")</f>
        <v/>
      </c>
      <c r="Y250" s="61"/>
      <c r="Z250" s="386" t="str">
        <f>IFERROR(INDEX('G-8 Condition Look up'!$A$3:$H$135,MATCH(S250,'G-8 Condition Look up'!$A$3:$A$135,0),MATCH(Y250,'G-8 Condition Look up'!$A$3:$H$3,0)),"")</f>
        <v/>
      </c>
      <c r="AA250" s="54"/>
      <c r="AB250" s="382" t="str">
        <f>IF(AA250="","",IF(VLOOKUP(AA250,'G-3 Multipliers'!$L$3:$N$6,2,FALSE)=0,"Spatial Data Missing ⚠",VLOOKUP(AA250,'G-3 Multipliers'!$L$3:$N$6,2,FALSE)))</f>
        <v/>
      </c>
      <c r="AC250" s="386" t="str">
        <f>IF(AA250="","",IF(VLOOKUP(AA250,'G-3 Multipliers'!$L$3:$N$6,3,FALSE)=0,"Spatial Data Missing ⚠",VLOOKUP(AA250,'G-3 Multipliers'!$L$3:$N$6,3,FALSE)))</f>
        <v/>
      </c>
      <c r="AD250" s="400" t="str">
        <f t="shared" si="32"/>
        <v/>
      </c>
      <c r="AE250" s="63"/>
      <c r="AF250" s="63"/>
      <c r="AG250" s="370" t="str">
        <f t="shared" si="36"/>
        <v/>
      </c>
      <c r="AH250" s="383" t="str">
        <f t="shared" si="37"/>
        <v/>
      </c>
      <c r="AI250" s="384" t="str">
        <f>IF(AH250="Check Data","Check Data",IFERROR(VLOOKUP(AH250,'G-4 Temporal multipliers'!$A$4:$C$36,3,FALSE),""))</f>
        <v/>
      </c>
      <c r="AJ250" s="362" t="str">
        <f>IF(S250="","",VLOOKUP(S250,'G-3 Multipliers'!$A$2:$E$134,4,FALSE))</f>
        <v/>
      </c>
      <c r="AK250" s="370" t="str">
        <f t="shared" si="38"/>
        <v/>
      </c>
      <c r="AL250" s="370" t="str">
        <f t="shared" si="39"/>
        <v/>
      </c>
      <c r="AM250" s="401" t="str">
        <f>IFERROR(IF(F250="","",IF(AH250="Check Data ⚠","Check Data ⚠",VLOOKUP(AL250, 'G-3 Multipliers'!$P$2:$Q$6,2,FALSE))),"")</f>
        <v/>
      </c>
      <c r="AN250" s="376" t="str">
        <f t="shared" si="40"/>
        <v/>
      </c>
      <c r="AO250" s="194"/>
      <c r="AP250" s="195"/>
      <c r="AQ250" s="120"/>
    </row>
    <row r="251" spans="1:43">
      <c r="A251" s="35" t="str">
        <f>IF(E251="","",IF(ISNA(VLOOKUP($E251,'A-1 On-Site Habitat Baseline'!$D$1:$O$258,2,FALSE)),"",(VLOOKUP($E251,'A-1 On-Site Habitat Baseline'!$D$1:$O$258,2,FALSE))))</f>
        <v/>
      </c>
      <c r="B251" s="35" t="str">
        <f>IF(E251="","",IF(ISNA(VLOOKUP($E251,'A-1 On-Site Habitat Baseline'!$D$1:$O$258,3,FALSE)),"",(VLOOKUP($E251,'A-1 On-Site Habitat Baseline'!$D$1:$O$258,3,FALSE))))</f>
        <v/>
      </c>
      <c r="C251" s="35" t="str">
        <f>IFERROR(INDEX('G-8 Condition Look up'!$I$4:$I$135,MATCH(S251,'G-8 Condition Look up'!$A$4:$A$135,0)),"")</f>
        <v/>
      </c>
      <c r="E251" s="392" t="str">
        <f>'A-1 On-Site Habitat Baseline'!AL250</f>
        <v/>
      </c>
      <c r="F251" s="382" t="str">
        <f>IF(E251="","",IF(ISNA(VLOOKUP($E251,'A-1 On-Site Habitat Baseline'!$D$1:$O$258,4,FALSE)),"",(VLOOKUP($E251,'A-1 On-Site Habitat Baseline'!$D$1:$O$258,4,FALSE))))</f>
        <v/>
      </c>
      <c r="G251" s="382" t="str">
        <f>IF(E251="","",IF(ISNA(VLOOKUP($E251,'A-1 On-Site Habitat Baseline'!$D$1:$O$258,5,FALSE)),"",(VLOOKUP($E251,'A-1 On-Site Habitat Baseline'!$D$1:$O$258,5,FALSE))))</f>
        <v/>
      </c>
      <c r="H251" s="382" t="str">
        <f>IF(E251="","",IF(ISNA(VLOOKUP($E251,'A-1 On-Site Habitat Baseline'!$D$1:$O$258,6,FALSE)),"",(VLOOKUP($E251,'A-1 On-Site Habitat Baseline'!$D$1:$O$258,6,FALSE))))</f>
        <v/>
      </c>
      <c r="I251" s="382" t="str">
        <f>IF(E251="","",IF(ISNA(VLOOKUP($E251,'A-1 On-Site Habitat Baseline'!$D$1:$O$258,7,FALSE)),"",(VLOOKUP($E251,'A-1 On-Site Habitat Baseline'!$D$1:$O$258,7,FALSE))))</f>
        <v/>
      </c>
      <c r="J251" s="382" t="str">
        <f>IF(E251="","",IF(ISNA(VLOOKUP($E251,'A-1 On-Site Habitat Baseline'!$D$1:$O$258,8,FALSE)),"",(VLOOKUP($E251,'A-1 On-Site Habitat Baseline'!$D$1:$O$258,8,FALSE))))</f>
        <v/>
      </c>
      <c r="K251" s="382" t="str">
        <f>IF(E251="","",IF(ISNA(VLOOKUP($E251,'A-1 On-Site Habitat Baseline'!$D$1:$O$258,9,FALSE)),"",(VLOOKUP($E251,'A-1 On-Site Habitat Baseline'!$D$1:$O$258,9,FALSE))))</f>
        <v/>
      </c>
      <c r="L251" s="382" t="str">
        <f>IF(E251="","",IF(ISNA(VLOOKUP($E251,'A-1 On-Site Habitat Baseline'!$D$1:$O$258,11,FALSE)),"",(VLOOKUP($E251,'A-1 On-Site Habitat Baseline'!$D$1:$O$258,11,FALSE))))</f>
        <v/>
      </c>
      <c r="M251" s="382" t="str">
        <f>IF(E251="","",IF(ISNA(VLOOKUP($E251,'A-1 On-Site Habitat Baseline'!$D$1:$O$258,12,FALSE)),"",(VLOOKUP($E251,'A-1 On-Site Habitat Baseline'!$D$1:$O$258,12,FALSE))))</f>
        <v/>
      </c>
      <c r="N251" s="393" t="str">
        <f>IF(E251="","",IF(ISNA(VLOOKUP($E251,'A-1 On-Site Habitat Baseline'!$D$1:$X$258,14,FALSE)),"",(VLOOKUP($E251,'A-1 On-Site Habitat Baseline'!$D$1:$X$258,14,FALSE))))</f>
        <v/>
      </c>
      <c r="O251" s="386" t="str">
        <f>IF(E251="","",IF(ISNA(VLOOKUP($E251,'A-1 On-Site Habitat Baseline'!$D$1:$X$258,16,FALSE)),"",(VLOOKUP($E251,'A-1 On-Site Habitat Baseline'!$D$1:$X$258,13,FALSE))))</f>
        <v/>
      </c>
      <c r="P251" s="192" t="str">
        <f>IFERROR(INDEX('G-1 All Habitats'!$AG$3:$AG$17,MATCH(Q251,'G-1 All Habitats'!$AF$3:$AF$17,0)),"")</f>
        <v/>
      </c>
      <c r="Q251" s="193" t="str">
        <f t="shared" si="33"/>
        <v/>
      </c>
      <c r="R251" s="193" t="str">
        <f t="shared" si="33"/>
        <v/>
      </c>
      <c r="S251" s="306" t="str">
        <f>IFERROR(INDEX('G-1 All Habitats'!$B$3:$B$134,MATCH(R251,'G-1 All Habitats'!$A$3:$A$134,0)),"")</f>
        <v/>
      </c>
      <c r="T251" s="362" t="str">
        <f t="shared" si="34"/>
        <v/>
      </c>
      <c r="U251" s="363" t="str">
        <f t="shared" si="35"/>
        <v/>
      </c>
      <c r="V251" s="398" t="str">
        <f t="shared" si="31"/>
        <v/>
      </c>
      <c r="W251" s="382" t="str">
        <f>IF(S251="","",VLOOKUP(S251,'G-1 All Habitats'!$B$2:$M$134,10,FALSE))</f>
        <v/>
      </c>
      <c r="X251" s="382" t="str">
        <f>IFERROR(VLOOKUP(W251,'G-1 All Habitats'!$V$3:$W$7,2,FALSE),"")</f>
        <v/>
      </c>
      <c r="Y251" s="61"/>
      <c r="Z251" s="386" t="str">
        <f>IFERROR(INDEX('G-8 Condition Look up'!$A$3:$H$135,MATCH(S251,'G-8 Condition Look up'!$A$3:$A$135,0),MATCH(Y251,'G-8 Condition Look up'!$A$3:$H$3,0)),"")</f>
        <v/>
      </c>
      <c r="AA251" s="54"/>
      <c r="AB251" s="382" t="str">
        <f>IF(AA251="","",IF(VLOOKUP(AA251,'G-3 Multipliers'!$L$3:$N$6,2,FALSE)=0,"Spatial Data Missing ⚠",VLOOKUP(AA251,'G-3 Multipliers'!$L$3:$N$6,2,FALSE)))</f>
        <v/>
      </c>
      <c r="AC251" s="386" t="str">
        <f>IF(AA251="","",IF(VLOOKUP(AA251,'G-3 Multipliers'!$L$3:$N$6,3,FALSE)=0,"Spatial Data Missing ⚠",VLOOKUP(AA251,'G-3 Multipliers'!$L$3:$N$6,3,FALSE)))</f>
        <v/>
      </c>
      <c r="AD251" s="400" t="str">
        <f t="shared" si="32"/>
        <v/>
      </c>
      <c r="AE251" s="63"/>
      <c r="AF251" s="63"/>
      <c r="AG251" s="370" t="str">
        <f t="shared" si="36"/>
        <v/>
      </c>
      <c r="AH251" s="383" t="str">
        <f t="shared" si="37"/>
        <v/>
      </c>
      <c r="AI251" s="384" t="str">
        <f>IF(AH251="Check Data","Check Data",IFERROR(VLOOKUP(AH251,'G-4 Temporal multipliers'!$A$4:$C$36,3,FALSE),""))</f>
        <v/>
      </c>
      <c r="AJ251" s="362" t="str">
        <f>IF(S251="","",VLOOKUP(S251,'G-3 Multipliers'!$A$2:$E$134,4,FALSE))</f>
        <v/>
      </c>
      <c r="AK251" s="370" t="str">
        <f t="shared" si="38"/>
        <v/>
      </c>
      <c r="AL251" s="370" t="str">
        <f t="shared" si="39"/>
        <v/>
      </c>
      <c r="AM251" s="401" t="str">
        <f>IFERROR(IF(F251="","",IF(AH251="Check Data ⚠","Check Data ⚠",VLOOKUP(AL251, 'G-3 Multipliers'!$P$2:$Q$6,2,FALSE))),"")</f>
        <v/>
      </c>
      <c r="AN251" s="376" t="str">
        <f t="shared" si="40"/>
        <v/>
      </c>
      <c r="AO251" s="194"/>
      <c r="AP251" s="195"/>
      <c r="AQ251" s="120"/>
    </row>
    <row r="252" spans="1:43">
      <c r="A252" s="35" t="str">
        <f>IF(E252="","",IF(ISNA(VLOOKUP($E252,'A-1 On-Site Habitat Baseline'!$D$1:$O$258,2,FALSE)),"",(VLOOKUP($E252,'A-1 On-Site Habitat Baseline'!$D$1:$O$258,2,FALSE))))</f>
        <v/>
      </c>
      <c r="B252" s="35" t="str">
        <f>IF(E252="","",IF(ISNA(VLOOKUP($E252,'A-1 On-Site Habitat Baseline'!$D$1:$O$258,3,FALSE)),"",(VLOOKUP($E252,'A-1 On-Site Habitat Baseline'!$D$1:$O$258,3,FALSE))))</f>
        <v/>
      </c>
      <c r="C252" s="35" t="str">
        <f>IFERROR(INDEX('G-8 Condition Look up'!$I$4:$I$135,MATCH(S252,'G-8 Condition Look up'!$A$4:$A$135,0)),"")</f>
        <v/>
      </c>
      <c r="E252" s="392" t="str">
        <f>'A-1 On-Site Habitat Baseline'!AL251</f>
        <v/>
      </c>
      <c r="F252" s="382" t="str">
        <f>IF(E252="","",IF(ISNA(VLOOKUP($E252,'A-1 On-Site Habitat Baseline'!$D$1:$O$258,4,FALSE)),"",(VLOOKUP($E252,'A-1 On-Site Habitat Baseline'!$D$1:$O$258,4,FALSE))))</f>
        <v/>
      </c>
      <c r="G252" s="382" t="str">
        <f>IF(E252="","",IF(ISNA(VLOOKUP($E252,'A-1 On-Site Habitat Baseline'!$D$1:$O$258,5,FALSE)),"",(VLOOKUP($E252,'A-1 On-Site Habitat Baseline'!$D$1:$O$258,5,FALSE))))</f>
        <v/>
      </c>
      <c r="H252" s="382" t="str">
        <f>IF(E252="","",IF(ISNA(VLOOKUP($E252,'A-1 On-Site Habitat Baseline'!$D$1:$O$258,6,FALSE)),"",(VLOOKUP($E252,'A-1 On-Site Habitat Baseline'!$D$1:$O$258,6,FALSE))))</f>
        <v/>
      </c>
      <c r="I252" s="382" t="str">
        <f>IF(E252="","",IF(ISNA(VLOOKUP($E252,'A-1 On-Site Habitat Baseline'!$D$1:$O$258,7,FALSE)),"",(VLOOKUP($E252,'A-1 On-Site Habitat Baseline'!$D$1:$O$258,7,FALSE))))</f>
        <v/>
      </c>
      <c r="J252" s="382" t="str">
        <f>IF(E252="","",IF(ISNA(VLOOKUP($E252,'A-1 On-Site Habitat Baseline'!$D$1:$O$258,8,FALSE)),"",(VLOOKUP($E252,'A-1 On-Site Habitat Baseline'!$D$1:$O$258,8,FALSE))))</f>
        <v/>
      </c>
      <c r="K252" s="382" t="str">
        <f>IF(E252="","",IF(ISNA(VLOOKUP($E252,'A-1 On-Site Habitat Baseline'!$D$1:$O$258,9,FALSE)),"",(VLOOKUP($E252,'A-1 On-Site Habitat Baseline'!$D$1:$O$258,9,FALSE))))</f>
        <v/>
      </c>
      <c r="L252" s="382" t="str">
        <f>IF(E252="","",IF(ISNA(VLOOKUP($E252,'A-1 On-Site Habitat Baseline'!$D$1:$O$258,11,FALSE)),"",(VLOOKUP($E252,'A-1 On-Site Habitat Baseline'!$D$1:$O$258,11,FALSE))))</f>
        <v/>
      </c>
      <c r="M252" s="382" t="str">
        <f>IF(E252="","",IF(ISNA(VLOOKUP($E252,'A-1 On-Site Habitat Baseline'!$D$1:$O$258,12,FALSE)),"",(VLOOKUP($E252,'A-1 On-Site Habitat Baseline'!$D$1:$O$258,12,FALSE))))</f>
        <v/>
      </c>
      <c r="N252" s="393" t="str">
        <f>IF(E252="","",IF(ISNA(VLOOKUP($E252,'A-1 On-Site Habitat Baseline'!$D$1:$X$258,14,FALSE)),"",(VLOOKUP($E252,'A-1 On-Site Habitat Baseline'!$D$1:$X$258,14,FALSE))))</f>
        <v/>
      </c>
      <c r="O252" s="386" t="str">
        <f>IF(E252="","",IF(ISNA(VLOOKUP($E252,'A-1 On-Site Habitat Baseline'!$D$1:$X$258,16,FALSE)),"",(VLOOKUP($E252,'A-1 On-Site Habitat Baseline'!$D$1:$X$258,13,FALSE))))</f>
        <v/>
      </c>
      <c r="P252" s="192" t="str">
        <f>IFERROR(INDEX('G-1 All Habitats'!$AG$3:$AG$17,MATCH(Q252,'G-1 All Habitats'!$AF$3:$AF$17,0)),"")</f>
        <v/>
      </c>
      <c r="Q252" s="193" t="str">
        <f t="shared" si="33"/>
        <v/>
      </c>
      <c r="R252" s="193" t="str">
        <f t="shared" si="33"/>
        <v/>
      </c>
      <c r="S252" s="306" t="str">
        <f>IFERROR(INDEX('G-1 All Habitats'!$B$3:$B$134,MATCH(R252,'G-1 All Habitats'!$A$3:$A$134,0)),"")</f>
        <v/>
      </c>
      <c r="T252" s="362" t="str">
        <f t="shared" si="34"/>
        <v/>
      </c>
      <c r="U252" s="363" t="str">
        <f t="shared" si="35"/>
        <v/>
      </c>
      <c r="V252" s="398" t="str">
        <f t="shared" si="31"/>
        <v/>
      </c>
      <c r="W252" s="382" t="str">
        <f>IF(S252="","",VLOOKUP(S252,'G-1 All Habitats'!$B$2:$M$134,10,FALSE))</f>
        <v/>
      </c>
      <c r="X252" s="382" t="str">
        <f>IFERROR(VLOOKUP(W252,'G-1 All Habitats'!$V$3:$W$7,2,FALSE),"")</f>
        <v/>
      </c>
      <c r="Y252" s="61"/>
      <c r="Z252" s="386" t="str">
        <f>IFERROR(INDEX('G-8 Condition Look up'!$A$3:$H$135,MATCH(S252,'G-8 Condition Look up'!$A$3:$A$135,0),MATCH(Y252,'G-8 Condition Look up'!$A$3:$H$3,0)),"")</f>
        <v/>
      </c>
      <c r="AA252" s="54"/>
      <c r="AB252" s="382" t="str">
        <f>IF(AA252="","",IF(VLOOKUP(AA252,'G-3 Multipliers'!$L$3:$N$6,2,FALSE)=0,"Spatial Data Missing ⚠",VLOOKUP(AA252,'G-3 Multipliers'!$L$3:$N$6,2,FALSE)))</f>
        <v/>
      </c>
      <c r="AC252" s="386" t="str">
        <f>IF(AA252="","",IF(VLOOKUP(AA252,'G-3 Multipliers'!$L$3:$N$6,3,FALSE)=0,"Spatial Data Missing ⚠",VLOOKUP(AA252,'G-3 Multipliers'!$L$3:$N$6,3,FALSE)))</f>
        <v/>
      </c>
      <c r="AD252" s="400" t="str">
        <f t="shared" si="32"/>
        <v/>
      </c>
      <c r="AE252" s="63"/>
      <c r="AF252" s="63"/>
      <c r="AG252" s="370" t="str">
        <f t="shared" si="36"/>
        <v/>
      </c>
      <c r="AH252" s="383" t="str">
        <f t="shared" si="37"/>
        <v/>
      </c>
      <c r="AI252" s="384" t="str">
        <f>IF(AH252="Check Data","Check Data",IFERROR(VLOOKUP(AH252,'G-4 Temporal multipliers'!$A$4:$C$36,3,FALSE),""))</f>
        <v/>
      </c>
      <c r="AJ252" s="362" t="str">
        <f>IF(S252="","",VLOOKUP(S252,'G-3 Multipliers'!$A$2:$E$134,4,FALSE))</f>
        <v/>
      </c>
      <c r="AK252" s="370" t="str">
        <f t="shared" si="38"/>
        <v/>
      </c>
      <c r="AL252" s="370" t="str">
        <f t="shared" si="39"/>
        <v/>
      </c>
      <c r="AM252" s="401" t="str">
        <f>IFERROR(IF(F252="","",IF(AH252="Check Data ⚠","Check Data ⚠",VLOOKUP(AL252, 'G-3 Multipliers'!$P$2:$Q$6,2,FALSE))),"")</f>
        <v/>
      </c>
      <c r="AN252" s="376" t="str">
        <f t="shared" si="40"/>
        <v/>
      </c>
      <c r="AO252" s="194"/>
      <c r="AP252" s="195"/>
      <c r="AQ252" s="120"/>
    </row>
    <row r="253" spans="1:43">
      <c r="A253" s="35" t="str">
        <f>IF(E253="","",IF(ISNA(VLOOKUP($E253,'A-1 On-Site Habitat Baseline'!$D$1:$O$258,2,FALSE)),"",(VLOOKUP($E253,'A-1 On-Site Habitat Baseline'!$D$1:$O$258,2,FALSE))))</f>
        <v/>
      </c>
      <c r="B253" s="35" t="str">
        <f>IF(E253="","",IF(ISNA(VLOOKUP($E253,'A-1 On-Site Habitat Baseline'!$D$1:$O$258,3,FALSE)),"",(VLOOKUP($E253,'A-1 On-Site Habitat Baseline'!$D$1:$O$258,3,FALSE))))</f>
        <v/>
      </c>
      <c r="C253" s="35" t="str">
        <f>IFERROR(INDEX('G-8 Condition Look up'!$I$4:$I$135,MATCH(S253,'G-8 Condition Look up'!$A$4:$A$135,0)),"")</f>
        <v/>
      </c>
      <c r="E253" s="392" t="str">
        <f>'A-1 On-Site Habitat Baseline'!AL252</f>
        <v/>
      </c>
      <c r="F253" s="382" t="str">
        <f>IF(E253="","",IF(ISNA(VLOOKUP($E253,'A-1 On-Site Habitat Baseline'!$D$1:$O$258,4,FALSE)),"",(VLOOKUP($E253,'A-1 On-Site Habitat Baseline'!$D$1:$O$258,4,FALSE))))</f>
        <v/>
      </c>
      <c r="G253" s="382" t="str">
        <f>IF(E253="","",IF(ISNA(VLOOKUP($E253,'A-1 On-Site Habitat Baseline'!$D$1:$O$258,5,FALSE)),"",(VLOOKUP($E253,'A-1 On-Site Habitat Baseline'!$D$1:$O$258,5,FALSE))))</f>
        <v/>
      </c>
      <c r="H253" s="382" t="str">
        <f>IF(E253="","",IF(ISNA(VLOOKUP($E253,'A-1 On-Site Habitat Baseline'!$D$1:$O$258,6,FALSE)),"",(VLOOKUP($E253,'A-1 On-Site Habitat Baseline'!$D$1:$O$258,6,FALSE))))</f>
        <v/>
      </c>
      <c r="I253" s="382" t="str">
        <f>IF(E253="","",IF(ISNA(VLOOKUP($E253,'A-1 On-Site Habitat Baseline'!$D$1:$O$258,7,FALSE)),"",(VLOOKUP($E253,'A-1 On-Site Habitat Baseline'!$D$1:$O$258,7,FALSE))))</f>
        <v/>
      </c>
      <c r="J253" s="382" t="str">
        <f>IF(E253="","",IF(ISNA(VLOOKUP($E253,'A-1 On-Site Habitat Baseline'!$D$1:$O$258,8,FALSE)),"",(VLOOKUP($E253,'A-1 On-Site Habitat Baseline'!$D$1:$O$258,8,FALSE))))</f>
        <v/>
      </c>
      <c r="K253" s="382" t="str">
        <f>IF(E253="","",IF(ISNA(VLOOKUP($E253,'A-1 On-Site Habitat Baseline'!$D$1:$O$258,9,FALSE)),"",(VLOOKUP($E253,'A-1 On-Site Habitat Baseline'!$D$1:$O$258,9,FALSE))))</f>
        <v/>
      </c>
      <c r="L253" s="382" t="str">
        <f>IF(E253="","",IF(ISNA(VLOOKUP($E253,'A-1 On-Site Habitat Baseline'!$D$1:$O$258,11,FALSE)),"",(VLOOKUP($E253,'A-1 On-Site Habitat Baseline'!$D$1:$O$258,11,FALSE))))</f>
        <v/>
      </c>
      <c r="M253" s="382" t="str">
        <f>IF(E253="","",IF(ISNA(VLOOKUP($E253,'A-1 On-Site Habitat Baseline'!$D$1:$O$258,12,FALSE)),"",(VLOOKUP($E253,'A-1 On-Site Habitat Baseline'!$D$1:$O$258,12,FALSE))))</f>
        <v/>
      </c>
      <c r="N253" s="393" t="str">
        <f>IF(E253="","",IF(ISNA(VLOOKUP($E253,'A-1 On-Site Habitat Baseline'!$D$1:$X$258,14,FALSE)),"",(VLOOKUP($E253,'A-1 On-Site Habitat Baseline'!$D$1:$X$258,14,FALSE))))</f>
        <v/>
      </c>
      <c r="O253" s="386" t="str">
        <f>IF(E253="","",IF(ISNA(VLOOKUP($E253,'A-1 On-Site Habitat Baseline'!$D$1:$X$258,16,FALSE)),"",(VLOOKUP($E253,'A-1 On-Site Habitat Baseline'!$D$1:$X$258,13,FALSE))))</f>
        <v/>
      </c>
      <c r="P253" s="192" t="str">
        <f>IFERROR(INDEX('G-1 All Habitats'!$AG$3:$AG$17,MATCH(Q253,'G-1 All Habitats'!$AF$3:$AF$17,0)),"")</f>
        <v/>
      </c>
      <c r="Q253" s="193" t="str">
        <f t="shared" si="33"/>
        <v/>
      </c>
      <c r="R253" s="193" t="str">
        <f t="shared" si="33"/>
        <v/>
      </c>
      <c r="S253" s="306" t="str">
        <f>IFERROR(INDEX('G-1 All Habitats'!$B$3:$B$134,MATCH(R253,'G-1 All Habitats'!$A$3:$A$134,0)),"")</f>
        <v/>
      </c>
      <c r="T253" s="362" t="str">
        <f t="shared" si="34"/>
        <v/>
      </c>
      <c r="U253" s="363" t="str">
        <f t="shared" si="35"/>
        <v/>
      </c>
      <c r="V253" s="398" t="str">
        <f t="shared" si="31"/>
        <v/>
      </c>
      <c r="W253" s="382" t="str">
        <f>IF(S253="","",VLOOKUP(S253,'G-1 All Habitats'!$B$2:$M$134,10,FALSE))</f>
        <v/>
      </c>
      <c r="X253" s="382" t="str">
        <f>IFERROR(VLOOKUP(W253,'G-1 All Habitats'!$V$3:$W$7,2,FALSE),"")</f>
        <v/>
      </c>
      <c r="Y253" s="61"/>
      <c r="Z253" s="386" t="str">
        <f>IFERROR(INDEX('G-8 Condition Look up'!$A$3:$H$135,MATCH(S253,'G-8 Condition Look up'!$A$3:$A$135,0),MATCH(Y253,'G-8 Condition Look up'!$A$3:$H$3,0)),"")</f>
        <v/>
      </c>
      <c r="AA253" s="54"/>
      <c r="AB253" s="382" t="str">
        <f>IF(AA253="","",IF(VLOOKUP(AA253,'G-3 Multipliers'!$L$3:$N$6,2,FALSE)=0,"Spatial Data Missing ⚠",VLOOKUP(AA253,'G-3 Multipliers'!$L$3:$N$6,2,FALSE)))</f>
        <v/>
      </c>
      <c r="AC253" s="386" t="str">
        <f>IF(AA253="","",IF(VLOOKUP(AA253,'G-3 Multipliers'!$L$3:$N$6,3,FALSE)=0,"Spatial Data Missing ⚠",VLOOKUP(AA253,'G-3 Multipliers'!$L$3:$N$6,3,FALSE)))</f>
        <v/>
      </c>
      <c r="AD253" s="400" t="str">
        <f t="shared" si="32"/>
        <v/>
      </c>
      <c r="AE253" s="63"/>
      <c r="AF253" s="63"/>
      <c r="AG253" s="370" t="str">
        <f t="shared" si="36"/>
        <v/>
      </c>
      <c r="AH253" s="383" t="str">
        <f t="shared" si="37"/>
        <v/>
      </c>
      <c r="AI253" s="384" t="str">
        <f>IF(AH253="Check Data","Check Data",IFERROR(VLOOKUP(AH253,'G-4 Temporal multipliers'!$A$4:$C$36,3,FALSE),""))</f>
        <v/>
      </c>
      <c r="AJ253" s="362" t="str">
        <f>IF(S253="","",VLOOKUP(S253,'G-3 Multipliers'!$A$2:$E$134,4,FALSE))</f>
        <v/>
      </c>
      <c r="AK253" s="370" t="str">
        <f t="shared" si="38"/>
        <v/>
      </c>
      <c r="AL253" s="370" t="str">
        <f t="shared" si="39"/>
        <v/>
      </c>
      <c r="AM253" s="401" t="str">
        <f>IFERROR(IF(F253="","",IF(AH253="Check Data ⚠","Check Data ⚠",VLOOKUP(AL253, 'G-3 Multipliers'!$P$2:$Q$6,2,FALSE))),"")</f>
        <v/>
      </c>
      <c r="AN253" s="376" t="str">
        <f t="shared" si="40"/>
        <v/>
      </c>
      <c r="AO253" s="194"/>
      <c r="AP253" s="195"/>
      <c r="AQ253" s="120"/>
    </row>
    <row r="254" spans="1:43">
      <c r="A254" s="35" t="str">
        <f>IF(E254="","",IF(ISNA(VLOOKUP($E254,'A-1 On-Site Habitat Baseline'!$D$1:$O$258,2,FALSE)),"",(VLOOKUP($E254,'A-1 On-Site Habitat Baseline'!$D$1:$O$258,2,FALSE))))</f>
        <v/>
      </c>
      <c r="B254" s="35" t="str">
        <f>IF(E254="","",IF(ISNA(VLOOKUP($E254,'A-1 On-Site Habitat Baseline'!$D$1:$O$258,3,FALSE)),"",(VLOOKUP($E254,'A-1 On-Site Habitat Baseline'!$D$1:$O$258,3,FALSE))))</f>
        <v/>
      </c>
      <c r="C254" s="35" t="str">
        <f>IFERROR(INDEX('G-8 Condition Look up'!$I$4:$I$135,MATCH(S254,'G-8 Condition Look up'!$A$4:$A$135,0)),"")</f>
        <v/>
      </c>
      <c r="E254" s="392" t="str">
        <f>'A-1 On-Site Habitat Baseline'!AL253</f>
        <v/>
      </c>
      <c r="F254" s="382" t="str">
        <f>IF(E254="","",IF(ISNA(VLOOKUP($E254,'A-1 On-Site Habitat Baseline'!$D$1:$O$258,4,FALSE)),"",(VLOOKUP($E254,'A-1 On-Site Habitat Baseline'!$D$1:$O$258,4,FALSE))))</f>
        <v/>
      </c>
      <c r="G254" s="382" t="str">
        <f>IF(E254="","",IF(ISNA(VLOOKUP($E254,'A-1 On-Site Habitat Baseline'!$D$1:$O$258,5,FALSE)),"",(VLOOKUP($E254,'A-1 On-Site Habitat Baseline'!$D$1:$O$258,5,FALSE))))</f>
        <v/>
      </c>
      <c r="H254" s="382" t="str">
        <f>IF(E254="","",IF(ISNA(VLOOKUP($E254,'A-1 On-Site Habitat Baseline'!$D$1:$O$258,6,FALSE)),"",(VLOOKUP($E254,'A-1 On-Site Habitat Baseline'!$D$1:$O$258,6,FALSE))))</f>
        <v/>
      </c>
      <c r="I254" s="382" t="str">
        <f>IF(E254="","",IF(ISNA(VLOOKUP($E254,'A-1 On-Site Habitat Baseline'!$D$1:$O$258,7,FALSE)),"",(VLOOKUP($E254,'A-1 On-Site Habitat Baseline'!$D$1:$O$258,7,FALSE))))</f>
        <v/>
      </c>
      <c r="J254" s="382" t="str">
        <f>IF(E254="","",IF(ISNA(VLOOKUP($E254,'A-1 On-Site Habitat Baseline'!$D$1:$O$258,8,FALSE)),"",(VLOOKUP($E254,'A-1 On-Site Habitat Baseline'!$D$1:$O$258,8,FALSE))))</f>
        <v/>
      </c>
      <c r="K254" s="382" t="str">
        <f>IF(E254="","",IF(ISNA(VLOOKUP($E254,'A-1 On-Site Habitat Baseline'!$D$1:$O$258,9,FALSE)),"",(VLOOKUP($E254,'A-1 On-Site Habitat Baseline'!$D$1:$O$258,9,FALSE))))</f>
        <v/>
      </c>
      <c r="L254" s="382" t="str">
        <f>IF(E254="","",IF(ISNA(VLOOKUP($E254,'A-1 On-Site Habitat Baseline'!$D$1:$O$258,11,FALSE)),"",(VLOOKUP($E254,'A-1 On-Site Habitat Baseline'!$D$1:$O$258,11,FALSE))))</f>
        <v/>
      </c>
      <c r="M254" s="382" t="str">
        <f>IF(E254="","",IF(ISNA(VLOOKUP($E254,'A-1 On-Site Habitat Baseline'!$D$1:$O$258,12,FALSE)),"",(VLOOKUP($E254,'A-1 On-Site Habitat Baseline'!$D$1:$O$258,12,FALSE))))</f>
        <v/>
      </c>
      <c r="N254" s="393" t="str">
        <f>IF(E254="","",IF(ISNA(VLOOKUP($E254,'A-1 On-Site Habitat Baseline'!$D$1:$X$258,14,FALSE)),"",(VLOOKUP($E254,'A-1 On-Site Habitat Baseline'!$D$1:$X$258,14,FALSE))))</f>
        <v/>
      </c>
      <c r="O254" s="386" t="str">
        <f>IF(E254="","",IF(ISNA(VLOOKUP($E254,'A-1 On-Site Habitat Baseline'!$D$1:$X$258,16,FALSE)),"",(VLOOKUP($E254,'A-1 On-Site Habitat Baseline'!$D$1:$X$258,13,FALSE))))</f>
        <v/>
      </c>
      <c r="P254" s="192" t="str">
        <f>IFERROR(INDEX('G-1 All Habitats'!$AG$3:$AG$17,MATCH(Q254,'G-1 All Habitats'!$AF$3:$AF$17,0)),"")</f>
        <v/>
      </c>
      <c r="Q254" s="193" t="str">
        <f t="shared" si="33"/>
        <v/>
      </c>
      <c r="R254" s="193" t="str">
        <f t="shared" si="33"/>
        <v/>
      </c>
      <c r="S254" s="306" t="str">
        <f>IFERROR(INDEX('G-1 All Habitats'!$B$3:$B$134,MATCH(R254,'G-1 All Habitats'!$A$3:$A$134,0)),"")</f>
        <v/>
      </c>
      <c r="T254" s="362" t="str">
        <f t="shared" si="34"/>
        <v/>
      </c>
      <c r="U254" s="363" t="str">
        <f t="shared" si="35"/>
        <v/>
      </c>
      <c r="V254" s="398" t="str">
        <f t="shared" si="31"/>
        <v/>
      </c>
      <c r="W254" s="382" t="str">
        <f>IF(S254="","",VLOOKUP(S254,'G-1 All Habitats'!$B$2:$M$134,10,FALSE))</f>
        <v/>
      </c>
      <c r="X254" s="382" t="str">
        <f>IFERROR(VLOOKUP(W254,'G-1 All Habitats'!$V$3:$W$7,2,FALSE),"")</f>
        <v/>
      </c>
      <c r="Y254" s="61"/>
      <c r="Z254" s="386" t="str">
        <f>IFERROR(INDEX('G-8 Condition Look up'!$A$3:$H$135,MATCH(S254,'G-8 Condition Look up'!$A$3:$A$135,0),MATCH(Y254,'G-8 Condition Look up'!$A$3:$H$3,0)),"")</f>
        <v/>
      </c>
      <c r="AA254" s="54"/>
      <c r="AB254" s="382" t="str">
        <f>IF(AA254="","",IF(VLOOKUP(AA254,'G-3 Multipliers'!$L$3:$N$6,2,FALSE)=0,"Spatial Data Missing ⚠",VLOOKUP(AA254,'G-3 Multipliers'!$L$3:$N$6,2,FALSE)))</f>
        <v/>
      </c>
      <c r="AC254" s="386" t="str">
        <f>IF(AA254="","",IF(VLOOKUP(AA254,'G-3 Multipliers'!$L$3:$N$6,3,FALSE)=0,"Spatial Data Missing ⚠",VLOOKUP(AA254,'G-3 Multipliers'!$L$3:$N$6,3,FALSE)))</f>
        <v/>
      </c>
      <c r="AD254" s="400" t="str">
        <f t="shared" si="32"/>
        <v/>
      </c>
      <c r="AE254" s="63"/>
      <c r="AF254" s="63"/>
      <c r="AG254" s="370" t="str">
        <f t="shared" si="36"/>
        <v/>
      </c>
      <c r="AH254" s="383" t="str">
        <f t="shared" si="37"/>
        <v/>
      </c>
      <c r="AI254" s="384" t="str">
        <f>IF(AH254="Check Data","Check Data",IFERROR(VLOOKUP(AH254,'G-4 Temporal multipliers'!$A$4:$C$36,3,FALSE),""))</f>
        <v/>
      </c>
      <c r="AJ254" s="362" t="str">
        <f>IF(S254="","",VLOOKUP(S254,'G-3 Multipliers'!$A$2:$E$134,4,FALSE))</f>
        <v/>
      </c>
      <c r="AK254" s="370" t="str">
        <f t="shared" si="38"/>
        <v/>
      </c>
      <c r="AL254" s="370" t="str">
        <f t="shared" si="39"/>
        <v/>
      </c>
      <c r="AM254" s="401" t="str">
        <f>IFERROR(IF(F254="","",IF(AH254="Check Data ⚠","Check Data ⚠",VLOOKUP(AL254, 'G-3 Multipliers'!$P$2:$Q$6,2,FALSE))),"")</f>
        <v/>
      </c>
      <c r="AN254" s="376" t="str">
        <f t="shared" si="40"/>
        <v/>
      </c>
      <c r="AO254" s="194"/>
      <c r="AP254" s="195"/>
      <c r="AQ254" s="120"/>
    </row>
    <row r="255" spans="1:43">
      <c r="A255" s="35" t="str">
        <f>IF(E255="","",IF(ISNA(VLOOKUP($E255,'A-1 On-Site Habitat Baseline'!$D$1:$O$258,2,FALSE)),"",(VLOOKUP($E255,'A-1 On-Site Habitat Baseline'!$D$1:$O$258,2,FALSE))))</f>
        <v/>
      </c>
      <c r="B255" s="35" t="str">
        <f>IF(E255="","",IF(ISNA(VLOOKUP($E255,'A-1 On-Site Habitat Baseline'!$D$1:$O$258,3,FALSE)),"",(VLOOKUP($E255,'A-1 On-Site Habitat Baseline'!$D$1:$O$258,3,FALSE))))</f>
        <v/>
      </c>
      <c r="C255" s="35" t="str">
        <f>IFERROR(INDEX('G-8 Condition Look up'!$I$4:$I$135,MATCH(S255,'G-8 Condition Look up'!$A$4:$A$135,0)),"")</f>
        <v/>
      </c>
      <c r="E255" s="392" t="str">
        <f>'A-1 On-Site Habitat Baseline'!AL254</f>
        <v/>
      </c>
      <c r="F255" s="382" t="str">
        <f>IF(E255="","",IF(ISNA(VLOOKUP($E255,'A-1 On-Site Habitat Baseline'!$D$1:$O$258,4,FALSE)),"",(VLOOKUP($E255,'A-1 On-Site Habitat Baseline'!$D$1:$O$258,4,FALSE))))</f>
        <v/>
      </c>
      <c r="G255" s="382" t="str">
        <f>IF(E255="","",IF(ISNA(VLOOKUP($E255,'A-1 On-Site Habitat Baseline'!$D$1:$O$258,5,FALSE)),"",(VLOOKUP($E255,'A-1 On-Site Habitat Baseline'!$D$1:$O$258,5,FALSE))))</f>
        <v/>
      </c>
      <c r="H255" s="382" t="str">
        <f>IF(E255="","",IF(ISNA(VLOOKUP($E255,'A-1 On-Site Habitat Baseline'!$D$1:$O$258,6,FALSE)),"",(VLOOKUP($E255,'A-1 On-Site Habitat Baseline'!$D$1:$O$258,6,FALSE))))</f>
        <v/>
      </c>
      <c r="I255" s="382" t="str">
        <f>IF(E255="","",IF(ISNA(VLOOKUP($E255,'A-1 On-Site Habitat Baseline'!$D$1:$O$258,7,FALSE)),"",(VLOOKUP($E255,'A-1 On-Site Habitat Baseline'!$D$1:$O$258,7,FALSE))))</f>
        <v/>
      </c>
      <c r="J255" s="382" t="str">
        <f>IF(E255="","",IF(ISNA(VLOOKUP($E255,'A-1 On-Site Habitat Baseline'!$D$1:$O$258,8,FALSE)),"",(VLOOKUP($E255,'A-1 On-Site Habitat Baseline'!$D$1:$O$258,8,FALSE))))</f>
        <v/>
      </c>
      <c r="K255" s="382" t="str">
        <f>IF(E255="","",IF(ISNA(VLOOKUP($E255,'A-1 On-Site Habitat Baseline'!$D$1:$O$258,9,FALSE)),"",(VLOOKUP($E255,'A-1 On-Site Habitat Baseline'!$D$1:$O$258,9,FALSE))))</f>
        <v/>
      </c>
      <c r="L255" s="382" t="str">
        <f>IF(E255="","",IF(ISNA(VLOOKUP($E255,'A-1 On-Site Habitat Baseline'!$D$1:$O$258,11,FALSE)),"",(VLOOKUP($E255,'A-1 On-Site Habitat Baseline'!$D$1:$O$258,11,FALSE))))</f>
        <v/>
      </c>
      <c r="M255" s="382" t="str">
        <f>IF(E255="","",IF(ISNA(VLOOKUP($E255,'A-1 On-Site Habitat Baseline'!$D$1:$O$258,12,FALSE)),"",(VLOOKUP($E255,'A-1 On-Site Habitat Baseline'!$D$1:$O$258,12,FALSE))))</f>
        <v/>
      </c>
      <c r="N255" s="393" t="str">
        <f>IF(E255="","",IF(ISNA(VLOOKUP($E255,'A-1 On-Site Habitat Baseline'!$D$1:$X$258,14,FALSE)),"",(VLOOKUP($E255,'A-1 On-Site Habitat Baseline'!$D$1:$X$258,14,FALSE))))</f>
        <v/>
      </c>
      <c r="O255" s="386" t="str">
        <f>IF(E255="","",IF(ISNA(VLOOKUP($E255,'A-1 On-Site Habitat Baseline'!$D$1:$X$258,16,FALSE)),"",(VLOOKUP($E255,'A-1 On-Site Habitat Baseline'!$D$1:$X$258,13,FALSE))))</f>
        <v/>
      </c>
      <c r="P255" s="192" t="str">
        <f>IFERROR(INDEX('G-1 All Habitats'!$AG$3:$AG$17,MATCH(Q255,'G-1 All Habitats'!$AF$3:$AF$17,0)),"")</f>
        <v/>
      </c>
      <c r="Q255" s="193" t="str">
        <f t="shared" si="33"/>
        <v/>
      </c>
      <c r="R255" s="193" t="str">
        <f t="shared" si="33"/>
        <v/>
      </c>
      <c r="S255" s="306" t="str">
        <f>IFERROR(INDEX('G-1 All Habitats'!$B$3:$B$134,MATCH(R255,'G-1 All Habitats'!$A$3:$A$134,0)),"")</f>
        <v/>
      </c>
      <c r="T255" s="362" t="str">
        <f t="shared" si="34"/>
        <v/>
      </c>
      <c r="U255" s="363" t="str">
        <f t="shared" si="35"/>
        <v/>
      </c>
      <c r="V255" s="398" t="str">
        <f t="shared" si="31"/>
        <v/>
      </c>
      <c r="W255" s="382" t="str">
        <f>IF(S255="","",VLOOKUP(S255,'G-1 All Habitats'!$B$2:$M$134,10,FALSE))</f>
        <v/>
      </c>
      <c r="X255" s="382" t="str">
        <f>IFERROR(VLOOKUP(W255,'G-1 All Habitats'!$V$3:$W$7,2,FALSE),"")</f>
        <v/>
      </c>
      <c r="Y255" s="61"/>
      <c r="Z255" s="386" t="str">
        <f>IFERROR(INDEX('G-8 Condition Look up'!$A$3:$H$135,MATCH(S255,'G-8 Condition Look up'!$A$3:$A$135,0),MATCH(Y255,'G-8 Condition Look up'!$A$3:$H$3,0)),"")</f>
        <v/>
      </c>
      <c r="AA255" s="54"/>
      <c r="AB255" s="382" t="str">
        <f>IF(AA255="","",IF(VLOOKUP(AA255,'G-3 Multipliers'!$L$3:$N$6,2,FALSE)=0,"Spatial Data Missing ⚠",VLOOKUP(AA255,'G-3 Multipliers'!$L$3:$N$6,2,FALSE)))</f>
        <v/>
      </c>
      <c r="AC255" s="386" t="str">
        <f>IF(AA255="","",IF(VLOOKUP(AA255,'G-3 Multipliers'!$L$3:$N$6,3,FALSE)=0,"Spatial Data Missing ⚠",VLOOKUP(AA255,'G-3 Multipliers'!$L$3:$N$6,3,FALSE)))</f>
        <v/>
      </c>
      <c r="AD255" s="400" t="str">
        <f t="shared" si="32"/>
        <v/>
      </c>
      <c r="AE255" s="63"/>
      <c r="AF255" s="63"/>
      <c r="AG255" s="370" t="str">
        <f t="shared" si="36"/>
        <v/>
      </c>
      <c r="AH255" s="383" t="str">
        <f t="shared" si="37"/>
        <v/>
      </c>
      <c r="AI255" s="384" t="str">
        <f>IF(AH255="Check Data","Check Data",IFERROR(VLOOKUP(AH255,'G-4 Temporal multipliers'!$A$4:$C$36,3,FALSE),""))</f>
        <v/>
      </c>
      <c r="AJ255" s="362" t="str">
        <f>IF(S255="","",VLOOKUP(S255,'G-3 Multipliers'!$A$2:$E$134,4,FALSE))</f>
        <v/>
      </c>
      <c r="AK255" s="370" t="str">
        <f t="shared" si="38"/>
        <v/>
      </c>
      <c r="AL255" s="370" t="str">
        <f t="shared" si="39"/>
        <v/>
      </c>
      <c r="AM255" s="401" t="str">
        <f>IFERROR(IF(F255="","",IF(AH255="Check Data ⚠","Check Data ⚠",VLOOKUP(AL255, 'G-3 Multipliers'!$P$2:$Q$6,2,FALSE))),"")</f>
        <v/>
      </c>
      <c r="AN255" s="376" t="str">
        <f t="shared" si="40"/>
        <v/>
      </c>
      <c r="AO255" s="194"/>
      <c r="AP255" s="195"/>
      <c r="AQ255" s="120"/>
    </row>
    <row r="256" spans="1:43">
      <c r="A256" s="35" t="str">
        <f>IF(E256="","",IF(ISNA(VLOOKUP($E256,'A-1 On-Site Habitat Baseline'!$D$1:$O$258,2,FALSE)),"",(VLOOKUP($E256,'A-1 On-Site Habitat Baseline'!$D$1:$O$258,2,FALSE))))</f>
        <v/>
      </c>
      <c r="B256" s="35" t="str">
        <f>IF(E256="","",IF(ISNA(VLOOKUP($E256,'A-1 On-Site Habitat Baseline'!$D$1:$O$258,3,FALSE)),"",(VLOOKUP($E256,'A-1 On-Site Habitat Baseline'!$D$1:$O$258,3,FALSE))))</f>
        <v/>
      </c>
      <c r="C256" s="35" t="str">
        <f>IFERROR(INDEX('G-8 Condition Look up'!$I$4:$I$135,MATCH(S256,'G-8 Condition Look up'!$A$4:$A$135,0)),"")</f>
        <v/>
      </c>
      <c r="E256" s="392" t="str">
        <f>'A-1 On-Site Habitat Baseline'!AL255</f>
        <v/>
      </c>
      <c r="F256" s="382" t="str">
        <f>IF(E256="","",IF(ISNA(VLOOKUP($E256,'A-1 On-Site Habitat Baseline'!$D$1:$O$258,4,FALSE)),"",(VLOOKUP($E256,'A-1 On-Site Habitat Baseline'!$D$1:$O$258,4,FALSE))))</f>
        <v/>
      </c>
      <c r="G256" s="382" t="str">
        <f>IF(E256="","",IF(ISNA(VLOOKUP($E256,'A-1 On-Site Habitat Baseline'!$D$1:$O$258,5,FALSE)),"",(VLOOKUP($E256,'A-1 On-Site Habitat Baseline'!$D$1:$O$258,5,FALSE))))</f>
        <v/>
      </c>
      <c r="H256" s="382" t="str">
        <f>IF(E256="","",IF(ISNA(VLOOKUP($E256,'A-1 On-Site Habitat Baseline'!$D$1:$O$258,6,FALSE)),"",(VLOOKUP($E256,'A-1 On-Site Habitat Baseline'!$D$1:$O$258,6,FALSE))))</f>
        <v/>
      </c>
      <c r="I256" s="382" t="str">
        <f>IF(E256="","",IF(ISNA(VLOOKUP($E256,'A-1 On-Site Habitat Baseline'!$D$1:$O$258,7,FALSE)),"",(VLOOKUP($E256,'A-1 On-Site Habitat Baseline'!$D$1:$O$258,7,FALSE))))</f>
        <v/>
      </c>
      <c r="J256" s="382" t="str">
        <f>IF(E256="","",IF(ISNA(VLOOKUP($E256,'A-1 On-Site Habitat Baseline'!$D$1:$O$258,8,FALSE)),"",(VLOOKUP($E256,'A-1 On-Site Habitat Baseline'!$D$1:$O$258,8,FALSE))))</f>
        <v/>
      </c>
      <c r="K256" s="382" t="str">
        <f>IF(E256="","",IF(ISNA(VLOOKUP($E256,'A-1 On-Site Habitat Baseline'!$D$1:$O$258,9,FALSE)),"",(VLOOKUP($E256,'A-1 On-Site Habitat Baseline'!$D$1:$O$258,9,FALSE))))</f>
        <v/>
      </c>
      <c r="L256" s="382" t="str">
        <f>IF(E256="","",IF(ISNA(VLOOKUP($E256,'A-1 On-Site Habitat Baseline'!$D$1:$O$258,11,FALSE)),"",(VLOOKUP($E256,'A-1 On-Site Habitat Baseline'!$D$1:$O$258,11,FALSE))))</f>
        <v/>
      </c>
      <c r="M256" s="382" t="str">
        <f>IF(E256="","",IF(ISNA(VLOOKUP($E256,'A-1 On-Site Habitat Baseline'!$D$1:$O$258,12,FALSE)),"",(VLOOKUP($E256,'A-1 On-Site Habitat Baseline'!$D$1:$O$258,12,FALSE))))</f>
        <v/>
      </c>
      <c r="N256" s="393" t="str">
        <f>IF(E256="","",IF(ISNA(VLOOKUP($E256,'A-1 On-Site Habitat Baseline'!$D$1:$X$258,14,FALSE)),"",(VLOOKUP($E256,'A-1 On-Site Habitat Baseline'!$D$1:$X$258,14,FALSE))))</f>
        <v/>
      </c>
      <c r="O256" s="386" t="str">
        <f>IF(E256="","",IF(ISNA(VLOOKUP($E256,'A-1 On-Site Habitat Baseline'!$D$1:$X$258,16,FALSE)),"",(VLOOKUP($E256,'A-1 On-Site Habitat Baseline'!$D$1:$X$258,13,FALSE))))</f>
        <v/>
      </c>
      <c r="P256" s="192" t="str">
        <f>IFERROR(INDEX('G-1 All Habitats'!$AG$3:$AG$17,MATCH(Q256,'G-1 All Habitats'!$AF$3:$AF$17,0)),"")</f>
        <v/>
      </c>
      <c r="Q256" s="193" t="str">
        <f t="shared" si="33"/>
        <v/>
      </c>
      <c r="R256" s="193" t="str">
        <f t="shared" si="33"/>
        <v/>
      </c>
      <c r="S256" s="306" t="str">
        <f>IFERROR(INDEX('G-1 All Habitats'!$B$3:$B$134,MATCH(R256,'G-1 All Habitats'!$A$3:$A$134,0)),"")</f>
        <v/>
      </c>
      <c r="T256" s="362" t="str">
        <f t="shared" si="34"/>
        <v/>
      </c>
      <c r="U256" s="363" t="str">
        <f t="shared" si="35"/>
        <v/>
      </c>
      <c r="V256" s="398" t="str">
        <f t="shared" si="31"/>
        <v/>
      </c>
      <c r="W256" s="382" t="str">
        <f>IF(S256="","",VLOOKUP(S256,'G-1 All Habitats'!$B$2:$M$134,10,FALSE))</f>
        <v/>
      </c>
      <c r="X256" s="382" t="str">
        <f>IFERROR(VLOOKUP(W256,'G-1 All Habitats'!$V$3:$W$7,2,FALSE),"")</f>
        <v/>
      </c>
      <c r="Y256" s="61"/>
      <c r="Z256" s="386" t="str">
        <f>IFERROR(INDEX('G-8 Condition Look up'!$A$3:$H$135,MATCH(S256,'G-8 Condition Look up'!$A$3:$A$135,0),MATCH(Y256,'G-8 Condition Look up'!$A$3:$H$3,0)),"")</f>
        <v/>
      </c>
      <c r="AA256" s="54"/>
      <c r="AB256" s="382" t="str">
        <f>IF(AA256="","",IF(VLOOKUP(AA256,'G-3 Multipliers'!$L$3:$N$6,2,FALSE)=0,"Spatial Data Missing ⚠",VLOOKUP(AA256,'G-3 Multipliers'!$L$3:$N$6,2,FALSE)))</f>
        <v/>
      </c>
      <c r="AC256" s="386" t="str">
        <f>IF(AA256="","",IF(VLOOKUP(AA256,'G-3 Multipliers'!$L$3:$N$6,3,FALSE)=0,"Spatial Data Missing ⚠",VLOOKUP(AA256,'G-3 Multipliers'!$L$3:$N$6,3,FALSE)))</f>
        <v/>
      </c>
      <c r="AD256" s="400" t="str">
        <f t="shared" si="32"/>
        <v/>
      </c>
      <c r="AE256" s="63"/>
      <c r="AF256" s="63"/>
      <c r="AG256" s="370" t="str">
        <f t="shared" si="36"/>
        <v/>
      </c>
      <c r="AH256" s="383" t="str">
        <f t="shared" si="37"/>
        <v/>
      </c>
      <c r="AI256" s="384" t="str">
        <f>IF(AH256="Check Data","Check Data",IFERROR(VLOOKUP(AH256,'G-4 Temporal multipliers'!$A$4:$C$36,3,FALSE),""))</f>
        <v/>
      </c>
      <c r="AJ256" s="362" t="str">
        <f>IF(S256="","",VLOOKUP(S256,'G-3 Multipliers'!$A$2:$E$134,4,FALSE))</f>
        <v/>
      </c>
      <c r="AK256" s="370" t="str">
        <f t="shared" si="38"/>
        <v/>
      </c>
      <c r="AL256" s="370" t="str">
        <f t="shared" si="39"/>
        <v/>
      </c>
      <c r="AM256" s="401" t="str">
        <f>IFERROR(IF(F256="","",IF(AH256="Check Data ⚠","Check Data ⚠",VLOOKUP(AL256, 'G-3 Multipliers'!$P$2:$Q$6,2,FALSE))),"")</f>
        <v/>
      </c>
      <c r="AN256" s="376" t="str">
        <f t="shared" si="40"/>
        <v/>
      </c>
      <c r="AO256" s="194"/>
      <c r="AP256" s="195"/>
      <c r="AQ256" s="120"/>
    </row>
    <row r="257" spans="1:43" ht="15.75" thickBot="1">
      <c r="A257" s="35" t="str">
        <f>IF(E257="","",IF(ISNA(VLOOKUP($E257,'A-1 On-Site Habitat Baseline'!$D$1:$O$258,2,FALSE)),"",(VLOOKUP($E257,'A-1 On-Site Habitat Baseline'!$D$1:$O$258,2,FALSE))))</f>
        <v/>
      </c>
      <c r="B257" s="35" t="str">
        <f>IF(E257="","",IF(ISNA(VLOOKUP($E257,'A-1 On-Site Habitat Baseline'!$D$1:$O$258,3,FALSE)),"",(VLOOKUP($E257,'A-1 On-Site Habitat Baseline'!$D$1:$O$258,3,FALSE))))</f>
        <v/>
      </c>
      <c r="C257" s="35" t="str">
        <f>IFERROR(INDEX('G-8 Condition Look up'!$I$4:$I$135,MATCH(S257,'G-8 Condition Look up'!$A$4:$A$135,0)),"")</f>
        <v/>
      </c>
      <c r="E257" s="394" t="str">
        <f>'A-1 On-Site Habitat Baseline'!AL256</f>
        <v/>
      </c>
      <c r="F257" s="395" t="str">
        <f>IF(E257="","",IF(ISNA(VLOOKUP($E257,'A-1 On-Site Habitat Baseline'!$D$1:$O$258,4,FALSE)),"",(VLOOKUP($E257,'A-1 On-Site Habitat Baseline'!$D$1:$O$258,4,FALSE))))</f>
        <v/>
      </c>
      <c r="G257" s="395" t="str">
        <f>IF(E257="","",IF(ISNA(VLOOKUP($E257,'A-1 On-Site Habitat Baseline'!$D$1:$O$258,5,FALSE)),"",(VLOOKUP($E257,'A-1 On-Site Habitat Baseline'!$D$1:$O$258,5,FALSE))))</f>
        <v/>
      </c>
      <c r="H257" s="395" t="str">
        <f>IF(E257="","",IF(ISNA(VLOOKUP($E257,'A-1 On-Site Habitat Baseline'!$D$1:$O$258,6,FALSE)),"",(VLOOKUP($E257,'A-1 On-Site Habitat Baseline'!$D$1:$O$258,6,FALSE))))</f>
        <v/>
      </c>
      <c r="I257" s="395" t="str">
        <f>IF(E257="","",IF(ISNA(VLOOKUP($E257,'A-1 On-Site Habitat Baseline'!$D$1:$O$258,7,FALSE)),"",(VLOOKUP($E257,'A-1 On-Site Habitat Baseline'!$D$1:$O$258,7,FALSE))))</f>
        <v/>
      </c>
      <c r="J257" s="395" t="str">
        <f>IF(E257="","",IF(ISNA(VLOOKUP($E257,'A-1 On-Site Habitat Baseline'!$D$1:$O$258,8,FALSE)),"",(VLOOKUP($E257,'A-1 On-Site Habitat Baseline'!$D$1:$O$258,8,FALSE))))</f>
        <v/>
      </c>
      <c r="K257" s="395" t="str">
        <f>IF(E257="","",IF(ISNA(VLOOKUP($E257,'A-1 On-Site Habitat Baseline'!$D$1:$O$258,9,FALSE)),"",(VLOOKUP($E257,'A-1 On-Site Habitat Baseline'!$D$1:$O$258,9,FALSE))))</f>
        <v/>
      </c>
      <c r="L257" s="395" t="str">
        <f>IF(E257="","",IF(ISNA(VLOOKUP($E257,'A-1 On-Site Habitat Baseline'!$D$1:$O$258,11,FALSE)),"",(VLOOKUP($E257,'A-1 On-Site Habitat Baseline'!$D$1:$O$258,11,FALSE))))</f>
        <v/>
      </c>
      <c r="M257" s="395" t="str">
        <f>IF(E257="","",IF(ISNA(VLOOKUP($E257,'A-1 On-Site Habitat Baseline'!$D$1:$O$258,12,FALSE)),"",(VLOOKUP($E257,'A-1 On-Site Habitat Baseline'!$D$1:$O$258,12,FALSE))))</f>
        <v/>
      </c>
      <c r="N257" s="396" t="str">
        <f>IF(E257="","",IF(ISNA(VLOOKUP($E257,'A-1 On-Site Habitat Baseline'!$D$1:$X$258,14,FALSE)),"",(VLOOKUP($E257,'A-1 On-Site Habitat Baseline'!$D$1:$X$258,14,FALSE))))</f>
        <v/>
      </c>
      <c r="O257" s="386" t="str">
        <f>IF(E257="","",IF(ISNA(VLOOKUP($E257,'A-1 On-Site Habitat Baseline'!$D$1:$X$258,16,FALSE)),"",(VLOOKUP($E257,'A-1 On-Site Habitat Baseline'!$D$1:$X$258,13,FALSE))))</f>
        <v/>
      </c>
      <c r="P257" s="192" t="str">
        <f>IFERROR(INDEX('G-1 All Habitats'!$AG$3:$AG$17,MATCH(Q257,'G-1 All Habitats'!$AF$3:$AF$17,0)),"")</f>
        <v/>
      </c>
      <c r="Q257" s="193" t="str">
        <f t="shared" si="33"/>
        <v/>
      </c>
      <c r="R257" s="193" t="str">
        <f t="shared" si="33"/>
        <v/>
      </c>
      <c r="S257" s="306" t="str">
        <f>IFERROR(INDEX('G-1 All Habitats'!$B$3:$B$134,MATCH(R257,'G-1 All Habitats'!$A$3:$A$134,0)),"")</f>
        <v/>
      </c>
      <c r="T257" s="362" t="str">
        <f t="shared" si="34"/>
        <v/>
      </c>
      <c r="U257" s="886" t="str">
        <f t="shared" si="35"/>
        <v/>
      </c>
      <c r="V257" s="399" t="str">
        <f t="shared" si="31"/>
        <v/>
      </c>
      <c r="W257" s="382" t="str">
        <f>IF(S257="","",VLOOKUP(S257,'G-1 All Habitats'!$B$2:$M$134,10,FALSE))</f>
        <v/>
      </c>
      <c r="X257" s="395" t="str">
        <f>IFERROR(VLOOKUP(W257,'G-1 All Habitats'!$V$3:$W$7,2,FALSE),"")</f>
        <v/>
      </c>
      <c r="Y257" s="267"/>
      <c r="Z257" s="386" t="str">
        <f>IFERROR(INDEX('G-8 Condition Look up'!$A$3:$H$135,MATCH(S257,'G-8 Condition Look up'!$A$3:$A$135,0),MATCH(Y257,'G-8 Condition Look up'!$A$3:$H$3,0)),"")</f>
        <v/>
      </c>
      <c r="AA257" s="325"/>
      <c r="AB257" s="382" t="str">
        <f>IF(AA257="","",IF(VLOOKUP(AA257,'G-3 Multipliers'!$L$3:$N$6,2,FALSE)=0,"Spatial Data Missing ⚠",VLOOKUP(AA257,'G-3 Multipliers'!$L$3:$N$6,2,FALSE)))</f>
        <v/>
      </c>
      <c r="AC257" s="397" t="str">
        <f>IF(AA257="","",IF(VLOOKUP(AA257,'G-3 Multipliers'!$L$3:$N$6,3,FALSE)=0,"Spatial Data Missing ⚠",VLOOKUP(AA257,'G-3 Multipliers'!$L$3:$N$6,3,FALSE)))</f>
        <v/>
      </c>
      <c r="AD257" s="400" t="str">
        <f t="shared" si="32"/>
        <v/>
      </c>
      <c r="AE257" s="267"/>
      <c r="AF257" s="267"/>
      <c r="AG257" s="370" t="str">
        <f t="shared" si="36"/>
        <v/>
      </c>
      <c r="AH257" s="383" t="str">
        <f t="shared" si="37"/>
        <v/>
      </c>
      <c r="AI257" s="402" t="str">
        <f>IF(AH257="Check Data","Check Data",IFERROR(VLOOKUP(AH257,'G-4 Temporal multipliers'!$A$4:$C$36,3,FALSE),""))</f>
        <v/>
      </c>
      <c r="AJ257" s="362" t="str">
        <f>IF(S257="","",VLOOKUP(S257,'G-3 Multipliers'!$A$2:$E$134,4,FALSE))</f>
        <v/>
      </c>
      <c r="AK257" s="370" t="str">
        <f t="shared" si="38"/>
        <v/>
      </c>
      <c r="AL257" s="370" t="str">
        <f t="shared" si="39"/>
        <v/>
      </c>
      <c r="AM257" s="401" t="str">
        <f>IFERROR(IF(F257="","",IF(AH257="Check Data ⚠","Check Data ⚠",VLOOKUP(AL257, 'G-3 Multipliers'!$P$2:$Q$6,2,FALSE))),"")</f>
        <v/>
      </c>
      <c r="AN257" s="376" t="str">
        <f t="shared" si="40"/>
        <v/>
      </c>
      <c r="AO257" s="323"/>
      <c r="AP257" s="326"/>
      <c r="AQ257" s="683"/>
    </row>
    <row r="258" spans="1:43" ht="15.75" thickBot="1">
      <c r="E258" s="324"/>
      <c r="F258" s="324"/>
      <c r="G258" s="324"/>
      <c r="H258" s="324"/>
      <c r="I258" s="324"/>
      <c r="J258" s="324"/>
      <c r="K258" s="324"/>
      <c r="L258" s="324"/>
      <c r="M258" s="324"/>
      <c r="N258" s="324"/>
      <c r="O258" s="324"/>
      <c r="P258" s="324"/>
      <c r="Q258" s="324"/>
      <c r="R258" s="324"/>
      <c r="S258" s="324"/>
      <c r="T258" s="324"/>
      <c r="U258" s="890" t="s">
        <v>329</v>
      </c>
      <c r="V258" s="366">
        <f>SUM(V12:V257)</f>
        <v>0</v>
      </c>
      <c r="W258" s="324"/>
      <c r="X258" s="324"/>
      <c r="Y258" s="324"/>
      <c r="Z258" s="324"/>
      <c r="AA258" s="324"/>
      <c r="AB258" s="324"/>
      <c r="AC258" s="324"/>
      <c r="AD258" s="324"/>
      <c r="AE258" s="324"/>
      <c r="AF258" s="324"/>
      <c r="AG258" s="324"/>
      <c r="AH258" s="324"/>
      <c r="AI258" s="324"/>
      <c r="AJ258" s="324"/>
      <c r="AK258" s="324"/>
      <c r="AL258" s="324"/>
      <c r="AM258" s="223"/>
      <c r="AN258" s="366">
        <f>(SUM(AN12:AN257))</f>
        <v>0</v>
      </c>
      <c r="AO258" s="324"/>
      <c r="AP258" s="324"/>
    </row>
    <row r="259" spans="1:43" ht="18.75">
      <c r="V259" s="1486" t="str">
        <f>IF(V258&lt;&gt;'A-1 On-Site Habitat Baseline'!T259,"Error - Area of habitat enhancement must match the area from sheet A1 ▲","")</f>
        <v/>
      </c>
      <c r="W259" s="1486"/>
      <c r="X259" s="1486"/>
      <c r="Y259" s="1486"/>
      <c r="Z259" s="1486"/>
      <c r="AA259" s="1486"/>
    </row>
    <row r="260" spans="1:43"/>
    <row r="261" spans="1:43"/>
    <row r="262" spans="1:43"/>
    <row r="263" spans="1:43"/>
    <row r="264" spans="1:43"/>
    <row r="265" spans="1:43"/>
    <row r="266" spans="1:43"/>
  </sheetData>
  <sheetProtection algorithmName="SHA-512" hashValue="BUSQndD7QOSvSAEiifi+lzLI9es1AomV9mv94NGE9WOUs3j/JzTPWGnSaFZND9WKpztK0FzSi6LW550TsGIF0w==" saltValue="wB4eVOiU8uku6FhwWUqwfg==" spinCount="100000" sheet="1" objects="1" scenarios="1"/>
  <customSheetViews>
    <customSheetView guid="{8BDA793C-C9C5-4FC6-A0A5-F1109F6D4F22}" topLeftCell="D1">
      <pane ySplit="11" topLeftCell="A12" activePane="bottomLeft" state="frozen"/>
      <selection pane="bottomLeft"/>
    </customSheetView>
  </customSheetViews>
  <mergeCells count="28">
    <mergeCell ref="T5:U5"/>
    <mergeCell ref="R2:U2"/>
    <mergeCell ref="AO10:AP10"/>
    <mergeCell ref="F10:O10"/>
    <mergeCell ref="AA10:AC10"/>
    <mergeCell ref="V10:V11"/>
    <mergeCell ref="AN10:AN11"/>
    <mergeCell ref="Z10:Z11"/>
    <mergeCell ref="Y10:Y11"/>
    <mergeCell ref="X10:X11"/>
    <mergeCell ref="W10:W11"/>
    <mergeCell ref="AD10:AI10"/>
    <mergeCell ref="V259:AA259"/>
    <mergeCell ref="Q9:AM9"/>
    <mergeCell ref="AJ10:AM10"/>
    <mergeCell ref="E2:G2"/>
    <mergeCell ref="E3:G4"/>
    <mergeCell ref="Q10:R10"/>
    <mergeCell ref="T10:U10"/>
    <mergeCell ref="AD5:AI6"/>
    <mergeCell ref="AD2:AI3"/>
    <mergeCell ref="R3:S3"/>
    <mergeCell ref="R4:S4"/>
    <mergeCell ref="R5:S5"/>
    <mergeCell ref="V2:AA5"/>
    <mergeCell ref="R6:T8"/>
    <mergeCell ref="T3:U3"/>
    <mergeCell ref="T4:U4"/>
  </mergeCells>
  <conditionalFormatting sqref="Z12:Z257">
    <cfRule type="cellIs" dxfId="674" priority="51" operator="equal">
      <formula>"Not Possible"</formula>
    </cfRule>
  </conditionalFormatting>
  <conditionalFormatting sqref="AN12:AN257">
    <cfRule type="containsText" dxfId="673" priority="42" operator="containsText" text="Existing Value Not Required">
      <formula>NOT(ISERROR(SEARCH("Existing Value Not Required",AN12)))</formula>
    </cfRule>
    <cfRule type="containsText" dxfId="672" priority="43" operator="containsText" text="Existing Value Required">
      <formula>NOT(ISERROR(SEARCH("Existing Value Required",AN12)))</formula>
    </cfRule>
  </conditionalFormatting>
  <conditionalFormatting sqref="AN256:AN257">
    <cfRule type="containsText" dxfId="671" priority="40" operator="containsText" text="Existing Value Not Required">
      <formula>NOT(ISERROR(SEARCH("Existing Value Not Required",AN256)))</formula>
    </cfRule>
    <cfRule type="containsText" dxfId="670" priority="41" operator="containsText" text="Existing Value Required">
      <formula>NOT(ISERROR(SEARCH("Existing Value Required",AN256)))</formula>
    </cfRule>
  </conditionalFormatting>
  <conditionalFormatting sqref="AD2">
    <cfRule type="containsText" dxfId="669" priority="39" operator="containsText" text="Note">
      <formula>NOT(ISERROR(SEARCH("Note",AD2)))</formula>
    </cfRule>
  </conditionalFormatting>
  <conditionalFormatting sqref="T12:T257">
    <cfRule type="containsText" dxfId="668" priority="38" operator="containsText" text="Error">
      <formula>NOT(ISERROR(SEARCH("Error",T12)))</formula>
    </cfRule>
  </conditionalFormatting>
  <conditionalFormatting sqref="U12:U257">
    <cfRule type="containsText" dxfId="667" priority="37" operator="containsText" text="Error">
      <formula>NOT(ISERROR(SEARCH("Error",U12)))</formula>
    </cfRule>
  </conditionalFormatting>
  <conditionalFormatting sqref="AB12:AB257">
    <cfRule type="containsText" dxfId="666" priority="36" operator="containsText" text="Spatial">
      <formula>NOT(ISERROR(SEARCH("Spatial",AB12)))</formula>
    </cfRule>
  </conditionalFormatting>
  <conditionalFormatting sqref="AC12:AC257">
    <cfRule type="containsText" dxfId="665" priority="35" operator="containsText" text="Spatial">
      <formula>NOT(ISERROR(SEARCH("Spatial",AC12)))</formula>
    </cfRule>
  </conditionalFormatting>
  <conditionalFormatting sqref="AD12:AD257">
    <cfRule type="containsText" dxfId="664" priority="34" operator="containsText" text="Check Data">
      <formula>NOT(ISERROR(SEARCH("Check Data",AD12)))</formula>
    </cfRule>
  </conditionalFormatting>
  <conditionalFormatting sqref="AG12:AG257">
    <cfRule type="containsText" dxfId="663" priority="32" operator="containsText" text="Error">
      <formula>NOT(ISERROR(SEARCH("Error",AG12)))</formula>
    </cfRule>
    <cfRule type="containsText" dxfId="662" priority="33" operator="containsText" text="Check">
      <formula>NOT(ISERROR(SEARCH("Check",AG12)))</formula>
    </cfRule>
  </conditionalFormatting>
  <conditionalFormatting sqref="AH12:AH257">
    <cfRule type="containsText" dxfId="661" priority="30" operator="containsText" text="Check Data ⚠">
      <formula>NOT(ISERROR(SEARCH("Check Data ⚠",AH12)))</formula>
    </cfRule>
    <cfRule type="containsText" dxfId="660" priority="31" operator="containsText" text="Error ▲">
      <formula>NOT(ISERROR(SEARCH("Error ▲",AH12)))</formula>
    </cfRule>
  </conditionalFormatting>
  <conditionalFormatting sqref="AI12:AI257">
    <cfRule type="containsText" dxfId="659" priority="28" operator="containsText" text="Check Data ⚠">
      <formula>NOT(ISERROR(SEARCH("Check Data ⚠",AI12)))</formula>
    </cfRule>
  </conditionalFormatting>
  <conditionalFormatting sqref="AK12:AK257">
    <cfRule type="containsText" dxfId="658" priority="27" operator="containsText" text="No - Low Difficulty - only applicable if all habitat created before losses ⚠">
      <formula>NOT(ISERROR(SEARCH("No - Low Difficulty - only applicable if all habitat created before losses ⚠",AK12)))</formula>
    </cfRule>
  </conditionalFormatting>
  <conditionalFormatting sqref="AM12:AM258">
    <cfRule type="containsText" dxfId="657" priority="26" operator="containsText" text="Check Data ⚠">
      <formula>NOT(ISERROR(SEARCH("Check Data ⚠",AM12)))</formula>
    </cfRule>
  </conditionalFormatting>
  <conditionalFormatting sqref="O12:O257">
    <cfRule type="beginsWith" dxfId="656" priority="22" operator="beginsWith" text="Bespoke">
      <formula>LEFT(O12,LEN("Bespoke"))="Bespoke"</formula>
    </cfRule>
    <cfRule type="beginsWith" dxfId="655" priority="23" operator="beginsWith" text="Same distinctiveness">
      <formula>LEFT(O12,LEN("Same distinctiveness"))="Same distinctiveness"</formula>
    </cfRule>
    <cfRule type="beginsWith" dxfId="654" priority="24" operator="beginsWith" text="Same broad">
      <formula>LEFT(O12,LEN("Same broad"))="Same broad"</formula>
    </cfRule>
    <cfRule type="beginsWith" dxfId="653" priority="25" operator="beginsWith" text="Same Habitat">
      <formula>LEFT(O12,LEN("Same Habitat"))="Same Habitat"</formula>
    </cfRule>
  </conditionalFormatting>
  <conditionalFormatting sqref="V259:AA259">
    <cfRule type="containsText" dxfId="652" priority="21" operator="containsText" text="Error">
      <formula>NOT(ISERROR(SEARCH("Error",V259)))</formula>
    </cfRule>
  </conditionalFormatting>
  <conditionalFormatting sqref="AD5">
    <cfRule type="containsText" dxfId="651" priority="20" operator="containsText" text="Change">
      <formula>NOT(ISERROR(SEARCH("Change",AD5)))</formula>
    </cfRule>
  </conditionalFormatting>
  <conditionalFormatting sqref="T3">
    <cfRule type="containsText" dxfId="650" priority="7" operator="containsText" text="Check">
      <formula>NOT(ISERROR(SEARCH("Check",T3)))</formula>
    </cfRule>
    <cfRule type="containsText" dxfId="649" priority="8" operator="containsText" text="Error">
      <formula>NOT(ISERROR(SEARCH("Error",T3)))</formula>
    </cfRule>
  </conditionalFormatting>
  <conditionalFormatting sqref="T4">
    <cfRule type="containsText" dxfId="648" priority="4" operator="containsText" text="Error">
      <formula>NOT(ISERROR(SEARCH("Error",T4)))</formula>
    </cfRule>
    <cfRule type="containsText" dxfId="647" priority="6" operator="containsText" text="Check">
      <formula>NOT(ISERROR(SEARCH("Check",T4)))</formula>
    </cfRule>
    <cfRule type="cellIs" dxfId="646" priority="17" operator="lessThan">
      <formula>0</formula>
    </cfRule>
  </conditionalFormatting>
  <conditionalFormatting sqref="T5">
    <cfRule type="containsText" dxfId="645" priority="11" operator="containsText" text="No">
      <formula>NOT(ISERROR(SEARCH("No",T5)))</formula>
    </cfRule>
    <cfRule type="containsText" dxfId="644" priority="12" operator="containsText" text="Yes">
      <formula>NOT(ISERROR(SEARCH("Yes",T5)))</formula>
    </cfRule>
  </conditionalFormatting>
  <conditionalFormatting sqref="V2:AA5">
    <cfRule type="containsText" dxfId="643" priority="10" operator="containsText" text="Check">
      <formula>NOT(ISERROR(SEARCH("Check",V2)))</formula>
    </cfRule>
  </conditionalFormatting>
  <conditionalFormatting sqref="R6:T8">
    <cfRule type="containsText" dxfId="642" priority="9" operator="containsText" text="⚠">
      <formula>NOT(ISERROR(SEARCH("⚠",R6)))</formula>
    </cfRule>
  </conditionalFormatting>
  <conditionalFormatting sqref="T4:U4">
    <cfRule type="cellIs" dxfId="641" priority="16" operator="equal">
      <formula>0</formula>
    </cfRule>
  </conditionalFormatting>
  <conditionalFormatting sqref="U258">
    <cfRule type="containsText" dxfId="640" priority="2" operator="containsText" text="Error">
      <formula>NOT(ISERROR(SEARCH("Error",U258)))</formula>
    </cfRule>
    <cfRule type="containsText" dxfId="639" priority="3" operator="containsText" text="Check">
      <formula>NOT(ISERROR(SEARCH("Check",U258)))</formula>
    </cfRule>
  </conditionalFormatting>
  <conditionalFormatting sqref="T3:U5">
    <cfRule type="containsText" dxfId="638" priority="1" operator="containsText" text="N/A">
      <formula>NOT(ISERROR(SEARCH("N/A",T3)))</formula>
    </cfRule>
  </conditionalFormatting>
  <dataValidations count="3">
    <dataValidation allowBlank="1" showErrorMessage="1" errorTitle="Invalid Habitat" error="Select from List" sqref="S12:S257" xr:uid="{00000000-0002-0000-0D00-000001000000}"/>
    <dataValidation type="list" allowBlank="1" showInputMessage="1" showErrorMessage="1" sqref="Y12:Y257" xr:uid="{00000000-0002-0000-0D00-000002000000}">
      <formula1>INDIRECT(C12)</formula1>
    </dataValidation>
    <dataValidation type="list" allowBlank="1" showInputMessage="1" showErrorMessage="1" sqref="R12:R257" xr:uid="{4E63D83B-2213-4261-A0F6-5924AE99B179}">
      <formula1>INDIRECT(P12)</formula1>
    </dataValidation>
  </dataValidations>
  <pageMargins left="0.7" right="0.7" top="0.75" bottom="0.75" header="0.3" footer="0.3"/>
  <pageSetup paperSize="9" orientation="portrait" horizontalDpi="90" verticalDpi="90" r:id="rId1"/>
  <drawing r:id="rId2"/>
  <extLst>
    <ext xmlns:x14="http://schemas.microsoft.com/office/spreadsheetml/2009/9/main" uri="{78C0D931-6437-407d-A8EE-F0AAD7539E65}">
      <x14:conditionalFormattings>
        <x14:conditionalFormatting xmlns:xm="http://schemas.microsoft.com/office/excel/2006/main">
          <x14:cfRule type="iconSet" priority="29" id="{00000000-000E-0000-0A00-00000A000000}">
            <x14:iconSet iconSet="3Symbols" custom="1">
              <x14:cfvo type="percent">
                <xm:f>0</xm:f>
              </x14:cfvo>
              <x14:cfvo type="num">
                <xm:f>0</xm:f>
              </x14:cfvo>
              <x14:cfvo type="num" gte="0">
                <xm:f>30</xm:f>
              </x14:cfvo>
              <x14:cfIcon iconSet="NoIcons" iconId="0"/>
              <x14:cfIcon iconSet="NoIcons" iconId="0"/>
              <x14:cfIcon iconSet="3Symbols" iconId="1"/>
            </x14:iconSet>
          </x14:cfRule>
          <xm:sqref>AH12:AH257</xm:sqref>
        </x14:conditionalFormatting>
        <x14:conditionalFormatting xmlns:xm="http://schemas.microsoft.com/office/excel/2006/main">
          <x14:cfRule type="cellIs" priority="427" operator="greaterThanOrEqual" id="{98191D48-3584-45ED-9B04-7E5F8287AC07}">
            <xm:f>Start!$F$22</xm:f>
            <x14:dxf>
              <font>
                <color rgb="FF383745"/>
              </font>
              <fill>
                <patternFill>
                  <bgColor rgb="FF92D050"/>
                </patternFill>
              </fill>
            </x14:dxf>
          </x14:cfRule>
          <xm:sqref>T4</xm:sqref>
        </x14:conditionalFormatting>
        <x14:conditionalFormatting xmlns:xm="http://schemas.microsoft.com/office/excel/2006/main">
          <x14:cfRule type="cellIs" priority="428" operator="lessThan" id="{2FC45805-93F2-4CD8-83E0-7459FAA8F9BB}">
            <xm:f>Start!$F$22</xm:f>
            <x14:dxf>
              <font>
                <color rgb="FF383745"/>
              </font>
              <fill>
                <patternFill>
                  <bgColor rgb="FFFFC000"/>
                </patternFill>
              </fill>
            </x14:dxf>
          </x14:cfRule>
          <xm:sqref>T4:U4</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00000000-0002-0000-0D00-000003000000}">
          <x14:formula1>
            <xm:f>'G-3 Multipliers'!$L$4:$L$6</xm:f>
          </x14:formula1>
          <xm:sqref>AA12:AA257</xm:sqref>
        </x14:dataValidation>
        <x14:dataValidation type="list" allowBlank="1" showInputMessage="1" showErrorMessage="1" xr:uid="{00000000-0002-0000-0D00-000004000000}">
          <x14:formula1>
            <xm:f>'G-4 Temporal multipliers'!$A$42:$A$73</xm:f>
          </x14:formula1>
          <xm:sqref>AE12:AF257</xm:sqref>
        </x14:dataValidation>
        <x14:dataValidation type="list" allowBlank="1" showInputMessage="1" showErrorMessage="1" xr:uid="{8576CF1E-39FA-4F90-B507-636903885C57}">
          <x14:formula1>
            <xm:f>'G-1 All Habitats'!$AF$3:$AF$17</xm:f>
          </x14:formula1>
          <xm:sqref>Q12:Q257</xm:sqref>
        </x14:dataValidation>
      </x14:dataValidations>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4">
    <tabColor rgb="FF006600"/>
  </sheetPr>
  <dimension ref="A1:XFD271"/>
  <sheetViews>
    <sheetView showGridLines="0" zoomScale="80" zoomScaleNormal="80" workbookViewId="0">
      <pane ySplit="10" topLeftCell="A11" activePane="bottomLeft" state="frozen"/>
      <selection pane="bottomLeft" activeCell="D1" sqref="D1"/>
    </sheetView>
  </sheetViews>
  <sheetFormatPr defaultColWidth="8.7109375" defaultRowHeight="15" zeroHeight="1"/>
  <cols>
    <col min="1" max="1" width="17.7109375" style="30" hidden="1" customWidth="1"/>
    <col min="2" max="2" width="14.7109375" style="30" hidden="1" customWidth="1"/>
    <col min="3" max="3" width="20.5703125" style="30" hidden="1" customWidth="1"/>
    <col min="4" max="4" width="10.42578125" style="30" customWidth="1"/>
    <col min="5" max="5" width="22.28515625" style="30" customWidth="1"/>
    <col min="6" max="6" width="70.28515625" style="30" customWidth="1"/>
    <col min="7" max="7" width="19.7109375" style="30" hidden="1" customWidth="1"/>
    <col min="8" max="8" width="19.5703125" style="33" customWidth="1"/>
    <col min="9" max="9" width="17.7109375" style="30" customWidth="1"/>
    <col min="10" max="10" width="8.7109375" style="30" customWidth="1"/>
    <col min="11" max="11" width="14.28515625" style="33" customWidth="1"/>
    <col min="12" max="12" width="9.5703125" style="30" customWidth="1"/>
    <col min="13" max="13" width="41.7109375" style="30" customWidth="1"/>
    <col min="14" max="14" width="12.7109375" style="30" customWidth="1"/>
    <col min="15" max="15" width="14.7109375" style="33" customWidth="1"/>
    <col min="16" max="16" width="32.7109375" style="33" customWidth="1"/>
    <col min="17" max="17" width="8.7109375" style="30" hidden="1" customWidth="1"/>
    <col min="18" max="18" width="82.7109375" style="33" customWidth="1"/>
    <col min="19" max="19" width="7.7109375" style="30" hidden="1" customWidth="1"/>
    <col min="20" max="20" width="17.28515625" style="33" customWidth="1"/>
    <col min="21" max="21" width="3.7109375" style="30" customWidth="1"/>
    <col min="22" max="22" width="11.5703125" style="33" customWidth="1"/>
    <col min="23" max="23" width="12.28515625" style="33" customWidth="1"/>
    <col min="24" max="24" width="10.28515625" style="33" customWidth="1"/>
    <col min="25" max="25" width="13" style="33" customWidth="1"/>
    <col min="26" max="26" width="13.28515625" style="33" customWidth="1"/>
    <col min="27" max="27" width="15.5703125" style="33" customWidth="1"/>
    <col min="28" max="28" width="16.7109375" style="30" customWidth="1"/>
    <col min="29" max="30" width="50.28515625" style="30" customWidth="1"/>
    <col min="31" max="31" width="14.28515625" style="30" customWidth="1"/>
    <col min="32" max="32" width="17.28515625" style="30" customWidth="1"/>
    <col min="33" max="33" width="11.28515625" style="11" hidden="1" customWidth="1"/>
    <col min="34" max="34" width="8.7109375" style="11" hidden="1" customWidth="1"/>
    <col min="35" max="50" width="8.7109375" style="30" hidden="1" customWidth="1"/>
    <col min="51" max="51" width="10.28515625" style="33" hidden="1" customWidth="1"/>
    <col min="52" max="55" width="8.7109375" style="30" hidden="1" customWidth="1"/>
    <col min="56" max="63" width="8.7109375" style="30" customWidth="1"/>
    <col min="64" max="64" width="13.42578125" style="30" customWidth="1"/>
    <col min="65" max="65" width="8.7109375" style="30" customWidth="1"/>
    <col min="66" max="16380" width="8.7109375" style="30"/>
    <col min="16381" max="16383" width="8.7109375" style="542"/>
    <col min="16384" max="16384" width="2.7109375" style="542" customWidth="1"/>
  </cols>
  <sheetData>
    <row r="1" spans="1:51 16381:16384" ht="12.75" customHeight="1" thickBot="1"/>
    <row r="2" spans="1:51 16381:16384" ht="19.5" customHeight="1" thickBot="1">
      <c r="D2" s="1519" t="str">
        <f>CONCATENATE("Project Name:", " ", Start!F12, "     ", "Map Reference:", " ", Start!F66)</f>
        <v xml:space="preserve">Project Name: Grove Farm Solar     Map Reference: </v>
      </c>
      <c r="E2" s="1520"/>
      <c r="F2" s="1521"/>
      <c r="I2" s="1404" t="s">
        <v>262</v>
      </c>
      <c r="J2" s="1405"/>
      <c r="K2" s="1405"/>
      <c r="L2" s="1405"/>
      <c r="M2" s="1406"/>
      <c r="O2" s="1518" t="str" cm="1">
        <f t="array" ref="O2">IF(OR(K11:K258 = "Fairly Good", K11:K258 = "Fairly Poor"),"A 'Fairly' Category has been used - check evidence to ensure this is appropriate ⚠", "")</f>
        <v/>
      </c>
      <c r="P2" s="1518"/>
      <c r="Q2" s="1518"/>
      <c r="R2" s="1518"/>
      <c r="S2" s="1518"/>
      <c r="T2" s="1518"/>
      <c r="U2" s="1518"/>
      <c r="V2" s="1518"/>
      <c r="W2" s="1518"/>
      <c r="X2" s="1518"/>
      <c r="Y2" s="1518"/>
      <c r="AY2" s="30"/>
    </row>
    <row r="3" spans="1:51 16381:16384" ht="15" customHeight="1">
      <c r="D3" s="1512" t="str">
        <f ca="1">MID(CELL("filename",C1),FIND("]",CELL("filename",C1))+1,256)</f>
        <v>D-1 Off-Site Habitat Baseline</v>
      </c>
      <c r="E3" s="1513"/>
      <c r="F3" s="1514"/>
      <c r="I3" s="1494" t="s">
        <v>263</v>
      </c>
      <c r="J3" s="1496"/>
      <c r="K3" s="1496"/>
      <c r="L3" s="1522"/>
      <c r="M3" s="512">
        <f>'Headline Results'!H47</f>
        <v>97.897490402123225</v>
      </c>
      <c r="O3" s="1518"/>
      <c r="P3" s="1518"/>
      <c r="Q3" s="1518"/>
      <c r="R3" s="1518"/>
      <c r="S3" s="1518"/>
      <c r="T3" s="1518"/>
      <c r="U3" s="1518"/>
      <c r="V3" s="1518"/>
      <c r="W3" s="1518"/>
      <c r="X3" s="1518"/>
      <c r="Y3" s="1518"/>
      <c r="AY3" s="30"/>
    </row>
    <row r="4" spans="1:51 16381:16384" ht="19.899999999999999" customHeight="1" thickBot="1">
      <c r="D4" s="1515"/>
      <c r="E4" s="1516"/>
      <c r="F4" s="1517"/>
      <c r="I4" s="1523" t="s">
        <v>265</v>
      </c>
      <c r="J4" s="1524"/>
      <c r="K4" s="1524"/>
      <c r="L4" s="1525"/>
      <c r="M4" s="513">
        <f>'Headline Results'!H51</f>
        <v>1.012467323068333</v>
      </c>
      <c r="O4" s="1518"/>
      <c r="P4" s="1518"/>
      <c r="Q4" s="1518"/>
      <c r="R4" s="1518"/>
      <c r="S4" s="1518"/>
      <c r="T4" s="1518"/>
      <c r="U4" s="1518"/>
      <c r="V4" s="1518"/>
      <c r="W4" s="1518"/>
      <c r="X4" s="1518"/>
      <c r="Y4" s="1518"/>
      <c r="AY4" s="30"/>
    </row>
    <row r="5" spans="1:51 16381:16384" ht="24" customHeight="1" thickBot="1">
      <c r="I5" s="1526" t="s">
        <v>267</v>
      </c>
      <c r="J5" s="1527"/>
      <c r="K5" s="1527"/>
      <c r="L5" s="1528"/>
      <c r="M5" s="504" t="str" cm="1">
        <f t="array" ref="M5">IF(OR('Trading Summary Area Habitats'!G5:G8="No ▲"), "No - check trading summaries ▲", "Yes ✓")</f>
        <v>Yes ✓</v>
      </c>
      <c r="O5" s="1518"/>
      <c r="P5" s="1518"/>
      <c r="Q5" s="1518"/>
      <c r="R5" s="1518"/>
      <c r="S5" s="1518"/>
      <c r="T5" s="1518"/>
      <c r="U5" s="1518"/>
      <c r="V5" s="1518"/>
      <c r="W5" s="1518"/>
      <c r="X5" s="1518"/>
      <c r="Y5" s="1518"/>
      <c r="AY5" s="30"/>
    </row>
    <row r="6" spans="1:51 16381:16384" ht="15.75" customHeight="1">
      <c r="I6" s="1529" t="str" cm="1">
        <f t="array" ref="I6">IF(OR(E11:E258="watercourse footprint"),"Please ensure the watercourse details for any watercourse footprints recorded are included in the watercourse tabs ⚠", "")</f>
        <v/>
      </c>
      <c r="J6" s="1529"/>
      <c r="K6" s="1529"/>
      <c r="L6" s="1529"/>
      <c r="M6" s="1529"/>
    </row>
    <row r="7" spans="1:51 16381:16384" ht="16.149999999999999" customHeight="1">
      <c r="D7" s="102"/>
      <c r="E7" s="102"/>
      <c r="F7" s="102"/>
      <c r="I7" s="1530"/>
      <c r="J7" s="1530"/>
      <c r="K7" s="1530"/>
      <c r="L7" s="1530"/>
      <c r="M7" s="1530"/>
    </row>
    <row r="8" spans="1:51 16381:16384" ht="22.9" customHeight="1" thickBot="1">
      <c r="D8" s="102"/>
      <c r="E8" s="102"/>
      <c r="F8" s="102"/>
      <c r="I8" s="1531"/>
      <c r="J8" s="1531"/>
      <c r="K8" s="1531"/>
      <c r="L8" s="1531"/>
      <c r="M8" s="1531"/>
    </row>
    <row r="9" spans="1:51 16381:16384" s="30" customFormat="1" ht="30" customHeight="1" thickBot="1">
      <c r="D9" s="200"/>
      <c r="E9" s="1534" t="s">
        <v>268</v>
      </c>
      <c r="F9" s="1534"/>
      <c r="G9" s="1534"/>
      <c r="H9" s="1534"/>
      <c r="I9" s="1534" t="s">
        <v>269</v>
      </c>
      <c r="J9" s="1534"/>
      <c r="K9" s="1534" t="s">
        <v>357</v>
      </c>
      <c r="L9" s="1534"/>
      <c r="M9" s="1534" t="s">
        <v>271</v>
      </c>
      <c r="N9" s="1534"/>
      <c r="O9" s="1534"/>
      <c r="P9" s="1534" t="s">
        <v>272</v>
      </c>
      <c r="Q9" s="720" t="s">
        <v>273</v>
      </c>
      <c r="R9" s="1535" t="s">
        <v>358</v>
      </c>
      <c r="S9" s="1536"/>
      <c r="T9" s="719" t="s">
        <v>273</v>
      </c>
      <c r="U9" s="107"/>
      <c r="V9" s="1534" t="s">
        <v>274</v>
      </c>
      <c r="W9" s="1534"/>
      <c r="X9" s="1534"/>
      <c r="Y9" s="1534"/>
      <c r="Z9" s="1534"/>
      <c r="AA9" s="1534"/>
      <c r="AB9" s="1534" t="s">
        <v>275</v>
      </c>
      <c r="AC9" s="1532" t="s">
        <v>276</v>
      </c>
      <c r="AD9" s="1533"/>
      <c r="AG9" s="11" t="s">
        <v>266</v>
      </c>
      <c r="AH9" s="11" t="s">
        <v>266</v>
      </c>
      <c r="AJ9" s="124" t="s">
        <v>277</v>
      </c>
      <c r="AK9" s="124"/>
      <c r="AL9" s="124"/>
      <c r="AM9" s="124"/>
      <c r="AN9" s="124"/>
      <c r="AO9" s="124" t="s">
        <v>278</v>
      </c>
      <c r="AP9" s="124"/>
      <c r="AQ9" s="124"/>
      <c r="AR9" s="124"/>
      <c r="XFA9" s="542"/>
      <c r="XFB9" s="542"/>
      <c r="XFC9" s="542"/>
      <c r="XFD9" s="542"/>
    </row>
    <row r="10" spans="1:51 16381:16384" ht="57" customHeight="1" thickBot="1">
      <c r="B10" s="101" t="s">
        <v>280</v>
      </c>
      <c r="D10" s="890" t="s">
        <v>339</v>
      </c>
      <c r="E10" s="720" t="s">
        <v>359</v>
      </c>
      <c r="F10" s="893" t="s">
        <v>33</v>
      </c>
      <c r="G10" s="833" t="s">
        <v>284</v>
      </c>
      <c r="H10" s="144" t="s">
        <v>285</v>
      </c>
      <c r="I10" s="834" t="s">
        <v>269</v>
      </c>
      <c r="J10" s="835" t="s">
        <v>286</v>
      </c>
      <c r="K10" s="140" t="s">
        <v>270</v>
      </c>
      <c r="L10" s="835" t="s">
        <v>286</v>
      </c>
      <c r="M10" s="834" t="s">
        <v>271</v>
      </c>
      <c r="N10" s="145" t="s">
        <v>271</v>
      </c>
      <c r="O10" s="144" t="s">
        <v>317</v>
      </c>
      <c r="P10" s="1537"/>
      <c r="Q10" s="747" t="s">
        <v>360</v>
      </c>
      <c r="R10" s="577" t="s">
        <v>361</v>
      </c>
      <c r="S10" s="821" t="s">
        <v>358</v>
      </c>
      <c r="T10" s="749" t="s">
        <v>288</v>
      </c>
      <c r="U10" s="107"/>
      <c r="V10" s="140" t="s">
        <v>289</v>
      </c>
      <c r="W10" s="145" t="s">
        <v>290</v>
      </c>
      <c r="X10" s="145" t="s">
        <v>291</v>
      </c>
      <c r="Y10" s="145" t="s">
        <v>292</v>
      </c>
      <c r="Z10" s="145" t="s">
        <v>362</v>
      </c>
      <c r="AA10" s="144" t="s">
        <v>294</v>
      </c>
      <c r="AB10" s="1537"/>
      <c r="AC10" s="140" t="s">
        <v>295</v>
      </c>
      <c r="AD10" s="145" t="s">
        <v>296</v>
      </c>
      <c r="AE10" s="43" t="s">
        <v>297</v>
      </c>
      <c r="AF10" s="42" t="s">
        <v>363</v>
      </c>
      <c r="AG10" s="743" t="s">
        <v>298</v>
      </c>
      <c r="AH10" s="743" t="s">
        <v>364</v>
      </c>
      <c r="AJ10" s="124" t="s">
        <v>300</v>
      </c>
      <c r="AK10" s="124" t="s">
        <v>301</v>
      </c>
      <c r="AL10" s="124" t="s">
        <v>302</v>
      </c>
      <c r="AM10" s="124" t="s">
        <v>303</v>
      </c>
      <c r="AN10" s="124"/>
      <c r="AO10" s="124" t="s">
        <v>300</v>
      </c>
      <c r="AP10" s="124" t="s">
        <v>301</v>
      </c>
      <c r="AQ10" s="124" t="s">
        <v>302</v>
      </c>
      <c r="AR10" s="124"/>
      <c r="AU10" s="30" t="s">
        <v>279</v>
      </c>
      <c r="AY10" s="145" t="s">
        <v>1673</v>
      </c>
    </row>
    <row r="11" spans="1:51 16381:16384">
      <c r="A11" s="30" t="str">
        <f>IFERROR(INDEX('G-1 All Habitats'!$AG$3:$AG$17,MATCH(E11,'G-1 All Habitats'!$AF$3:$AF$17,0)),"")</f>
        <v/>
      </c>
      <c r="B11" s="30" t="str">
        <f>IFERROR(INDEX('G-8 Condition Look up'!$I$4:$I$135,MATCH(G11,'G-8 Condition Look up'!$A$4:$A$135,0)),"")</f>
        <v/>
      </c>
      <c r="D11" s="104">
        <v>1</v>
      </c>
      <c r="E11" s="337"/>
      <c r="F11" s="51"/>
      <c r="G11" s="824" t="str">
        <f>IFERROR(INDEX('G-1 All Habitats'!$B$3:$B$134,MATCH(F11,'G-1 All Habitats'!$A$3:$A$134,0)),"")</f>
        <v/>
      </c>
      <c r="H11" s="789"/>
      <c r="I11" s="445" t="str">
        <f>IF(G11="","",VLOOKUP(G11,'G-1 All Habitats'!$B$2:$M$134,10,FALSE))</f>
        <v/>
      </c>
      <c r="J11" s="444" t="str">
        <f>IFERROR(VLOOKUP(I11,'G-1 All Habitats'!$V$3:$W$7,2,FALSE),"")</f>
        <v/>
      </c>
      <c r="K11" s="791"/>
      <c r="L11" s="444" t="str">
        <f>IFERROR(INDEX('G-8 Condition Look up'!$A$3:$H$135,MATCH(G11,'G-8 Condition Look up'!$A$3:$A$135,0),MATCH(K11,'G-8 Condition Look up'!$A$3:$H$3,0)),"")</f>
        <v/>
      </c>
      <c r="M11" s="825"/>
      <c r="N11" s="446" t="str">
        <f>IF(M11="","",IF(VLOOKUP(M11,'G-3 Multipliers'!$L$3:$N$6,2,FALSE)=0,"Spatial Data Missing ⚠",VLOOKUP(M11,'G-3 Multipliers'!$L$3:$N$6,2,FALSE)))</f>
        <v/>
      </c>
      <c r="O11" s="444" t="str">
        <f>IF(M11="","",IF(VLOOKUP(M11,'G-3 Multipliers'!$L$3:$N$6,3,FALSE)=0,"Spatial Data Missing ⚠",VLOOKUP(M11,'G-3 Multipliers'!$L$3:$N$6,3,FALSE)))</f>
        <v/>
      </c>
      <c r="P11" s="793" t="str">
        <f>IFERROR(VLOOKUP(G11,'G-1 All Habitats'!$B$2:$M$134,12,FALSE),"")</f>
        <v/>
      </c>
      <c r="Q11" s="826" t="str">
        <f>IFERROR(IF(P11="","",IF(AND(P11='G-1 All Habitats'!$X$3,W11&gt;0),X11+(Y11*S11),IF(AND(P11='G-1 All Habitats'!$X$3,V11&gt;0),X11+(Y11*S11),IF(AND(P11='G-1 All Habitats'!$X$3,AG11&gt;0),"Any Loss Unacceptable  ⚠",IF(AND(P11='G-1 All Habitats'!$X$3,Z11&gt;0),"Any Loss Unacceptable ⚠",H11*J11*L11*O11*S11))))),"Check Data ⚠")</f>
        <v/>
      </c>
      <c r="R11" s="578"/>
      <c r="S11" s="447" t="str">
        <f>IF(R11="","",IF(VLOOKUP(R11,'G-3 Multipliers'!$S$3:$T$10,2,FALSE)=0,"Spatial Data Missing ⚠",VLOOKUP(R11,'G-3 Multipliers'!$S$3:$T$10,2,FALSE)))</f>
        <v/>
      </c>
      <c r="T11" s="794" t="str">
        <f>IFERROR(IF(P11="","",IF(AND(P11='G-1 All Habitats'!$X$3,W11&gt;0),X11+Y11,IF(AND(P11='G-1 All Habitats'!$X$3,V11&gt;0),X11+Y11,IF(AND(P11='G-1 All Habitats'!$X$3,AG11&gt;0),"Any Loss Unacceptable ⚠", IF(R11="","", IF(AND(P11='G-1 All Habitats'!$X$3,Z11&gt;0),"Any Loss Unacceptable ⚠",H11*J11*L11*O11)))))),"Check Data ⚠")</f>
        <v/>
      </c>
      <c r="U11" s="38"/>
      <c r="V11" s="54"/>
      <c r="W11" s="55"/>
      <c r="X11" s="374" t="str">
        <f t="shared" ref="X11:X74" si="0">IFERROR(V11*J11*L11*O11,"")</f>
        <v/>
      </c>
      <c r="Y11" s="374" t="str">
        <f t="shared" ref="Y11:Y74" si="1">IFERROR(W11*J11*L11*O11,"")</f>
        <v/>
      </c>
      <c r="Z11" s="374" t="str">
        <f>IF(E11="","",IF(H11&lt;V11+W11,"Error in Areas ▲",IF(P11&lt;&gt;'G-1 All Habitats'!$X$3,H11-V11-W11,IF(AND(P11='G-1 All Habitats'!$X$3,AB11="Yes"),"Unacceptable Loss ⚠",IF(AND(P11='G-1 All Habitats'!$X$3,AB11="No"),AG11,IF(AND(P11='G-1 All Habitats'!$X$3,AB11=""),AG11,IF(AND(P11='G-1 All Habitats'!$X$3,AG11="None",AG11),IF(AND(P11='G-1 All Habitats'!$X$3,AG11&gt;0),H11-V11-W11))))))))</f>
        <v/>
      </c>
      <c r="AA11" s="405" t="str">
        <f>IFERROR(IF(H11="","",IF(H11-V11-W11=0&lt;0,"Error in Areas ▲",IF(V11+W11&gt;H11,"Error in Areas ▲",IF(AND(P11='G-1 All Habitats'!$X$3,AB11="Yes"),"Alternative Compensation ✓",IF(Z11=0,0,IF(P11='G-1 All Habitats'!$X$3,"Any Loss Unacceptable ▲",T11-X11-Y11)))))),"Check Data ⚠")</f>
        <v/>
      </c>
      <c r="AB11" s="836"/>
      <c r="AC11" s="117"/>
      <c r="AD11" s="530"/>
      <c r="AE11" s="118"/>
      <c r="AF11" s="686"/>
      <c r="AG11" s="744" t="str">
        <f>IF(P11="","",IF(P11='G-1 All Habitats'!$X$3,H11-V11-W11,"None"))</f>
        <v/>
      </c>
      <c r="AH11" s="744" t="str">
        <f t="shared" ref="AH11:AH74" si="2">IFERROR(AG11*J11*L11*O11,IF(P11="","","None"))</f>
        <v/>
      </c>
      <c r="AJ11" s="124" t="str">
        <f t="shared" ref="AJ11:AJ42" si="3">IF(G11="","",IF(V11&gt;0,TRUE,FALSE))</f>
        <v/>
      </c>
      <c r="AK11" s="124" t="str">
        <f t="shared" ref="AK11:AK42" si="4">IF(H11="","",IF(W11&gt;0,TRUE,FALSE))</f>
        <v/>
      </c>
      <c r="AL11" s="124" t="str">
        <f>IF(I11="","",IF(#REF!&gt;0,TRUE,FALSE))</f>
        <v/>
      </c>
      <c r="AM11" s="124">
        <v>1</v>
      </c>
      <c r="AN11" s="124"/>
      <c r="AO11" s="124" t="str" cm="1">
        <f t="array" ref="AO11">IFERROR(INDEX($AM$11:$AM$259, MATCH(0, IF(TRUE=$AJ$11:$AJ$259, COUNTIF($AO$10:$AO10, $AM$11:$AM$259), ""), 0)),"")</f>
        <v/>
      </c>
      <c r="AP11" s="124" t="str" cm="1">
        <f t="array" ref="AP11">IFERROR(INDEX($AM$11:$AM$259, MATCH(0, IF(TRUE=$AK$11:$AK$259, COUNTIF($AP$10:$AP10, $AM$11:$AM$259), ""), 0)),"")</f>
        <v/>
      </c>
      <c r="AQ11" s="124" t="str" cm="1">
        <f t="array" ref="AQ11">IFERROR(INDEX($AM$11:$AM$259, MATCH(0, IF(TRUE=$AL$11:$AL$259, COUNTIF($AQ$10:$AQ10, $AM$11:$AM$259), ""), 0)),"")</f>
        <v/>
      </c>
      <c r="AU11" s="30">
        <f t="shared" ref="AU11:AU16" si="5">IF(AA11="Unacceptable Loss",1,0)</f>
        <v>0</v>
      </c>
      <c r="AY11" s="374" t="str">
        <f>IFERROR(V11*J11*L11*O11*S11,"")</f>
        <v/>
      </c>
    </row>
    <row r="12" spans="1:51 16381:16384">
      <c r="A12" s="30" t="str">
        <f>IFERROR(INDEX('G-1 All Habitats'!$AG$3:$AG$17,MATCH(E12,'G-1 All Habitats'!$AF$3:$AF$17,0)),"")</f>
        <v/>
      </c>
      <c r="B12" s="30" t="str">
        <f>IFERROR(INDEX('G-8 Condition Look up'!$I$4:$I$135,MATCH(G12,'G-8 Condition Look up'!$A$4:$A$135,0)),"")</f>
        <v/>
      </c>
      <c r="D12" s="110">
        <v>2</v>
      </c>
      <c r="E12" s="892"/>
      <c r="F12" s="61"/>
      <c r="G12" s="295" t="str">
        <f>IFERROR(INDEX('G-1 All Habitats'!$B$3:$B$134,MATCH(F12,'G-1 All Habitats'!$A$3:$A$134,0)),"")</f>
        <v/>
      </c>
      <c r="H12" s="53"/>
      <c r="I12" s="722" t="str">
        <f>IF(G12="","",VLOOKUP(G12,'G-1 All Habitats'!$B$2:$M$134,10,FALSE))</f>
        <v/>
      </c>
      <c r="J12" s="490" t="str">
        <f>IFERROR(VLOOKUP(I12,'G-1 All Habitats'!$V$3:$W$7,2,FALSE),"")</f>
        <v/>
      </c>
      <c r="K12" s="54"/>
      <c r="L12" s="490" t="str">
        <f>IFERROR(INDEX('G-8 Condition Look up'!$A$3:$H$135,MATCH(G12,'G-8 Condition Look up'!$A$3:$A$135,0),MATCH(K12,'G-8 Condition Look up'!$A$3:$H$3,0)),"")</f>
        <v/>
      </c>
      <c r="M12" s="723"/>
      <c r="N12" s="404" t="str">
        <f>IF(M12="","",IF(VLOOKUP(M12,'G-3 Multipliers'!$L$3:$N$6,2,FALSE)=0,"Spatial Data Missing ⚠",VLOOKUP(M12,'G-3 Multipliers'!$L$3:$N$6,2,FALSE)))</f>
        <v/>
      </c>
      <c r="O12" s="452" t="str">
        <f>IF(M12="","",IF(VLOOKUP(M12,'G-3 Multipliers'!$L$3:$N$6,3,FALSE)=0,"Spatial Data Missing ⚠",VLOOKUP(M12,'G-3 Multipliers'!$L$3:$N$6,3,FALSE)))</f>
        <v/>
      </c>
      <c r="P12" s="369" t="str">
        <f>IFERROR(VLOOKUP(G12,'G-1 All Habitats'!$B$2:$M$134,12,FALSE),"")</f>
        <v/>
      </c>
      <c r="Q12" s="725" t="str">
        <f>IFERROR(IF(P12="","",IF(AND(P12='G-1 All Habitats'!$X$3,W12&gt;0),X12+(Y12*S12),IF(AND(P12='G-1 All Habitats'!$X$3,V12&gt;0),X12+(Y12*S12),IF(AND(P12='G-1 All Habitats'!$X$3,AG12&gt;0),"Any Loss Unacceptable  ⚠",IF(AND(P12='G-1 All Habitats'!$X$3,Z12&gt;0),"Any Loss Unacceptable ⚠",H12*J12*L12*O12*S12))))),"Check Data ⚠")</f>
        <v/>
      </c>
      <c r="R12" s="516"/>
      <c r="S12" s="724" t="str">
        <f>IF(R12="","",IF(VLOOKUP(R12,'G-3 Multipliers'!$S$3:$T$10,2,FALSE)=0,"Spatial Data Missing ⚠",VLOOKUP(R12,'G-3 Multipliers'!$S$3:$T$10,2,FALSE)))</f>
        <v/>
      </c>
      <c r="T12" s="376" t="str">
        <f>IFERROR(IF(P12="","",IF(AND(P12='G-1 All Habitats'!$X$3,W12&gt;0),X12+Y12,IF(AND(P12='G-1 All Habitats'!$X$3,V12&gt;0),X12+Y12,IF(AND(P12='G-1 All Habitats'!$X$3,AG12&gt;0),"Any Loss Unacceptable ⚠", IF(R12="","", IF(AND(P12='G-1 All Habitats'!$X$3,Z12&gt;0),"Any Loss Unacceptable ⚠",H12*J12*L12*O12)))))),"Check Data ⚠")</f>
        <v/>
      </c>
      <c r="U12" s="38"/>
      <c r="V12" s="54"/>
      <c r="W12" s="55"/>
      <c r="X12" s="374" t="str">
        <f t="shared" si="0"/>
        <v/>
      </c>
      <c r="Y12" s="374" t="str">
        <f t="shared" si="1"/>
        <v/>
      </c>
      <c r="Z12" s="374" t="str">
        <f>IF(E12="","",IF(H12&lt;V12+W12,"Error in Areas ▲",IF(P12&lt;&gt;'G-1 All Habitats'!$X$3,H12-V12-W12,IF(AND(P12='G-1 All Habitats'!$X$3,AB12="Yes"),"Unacceptable Loss ⚠",IF(AND(P12='G-1 All Habitats'!$X$3,AB12="No"),AG12,IF(AND(P12='G-1 All Habitats'!$X$3,AB12=""),AG12,IF(AND(P12='G-1 All Habitats'!$X$3,AG12="None",AG12),IF(AND(P12='G-1 All Habitats'!$X$3,AG12&gt;0),H12-V12-W12))))))))</f>
        <v/>
      </c>
      <c r="AA12" s="405" t="str">
        <f>IFERROR(IF(H12="","",IF(H12-V12-W12=0&lt;0,"Error in Areas ▲",IF(V12+W12&gt;H12,"Error in Areas ▲",IF(AND(P12='G-1 All Habitats'!$X$3,AB12="Yes"),"Alternative Compensation ✓",IF(Z12=0,0,IF(P12='G-1 All Habitats'!$X$3,"Any Loss Unacceptable ▲",T12-X12-Y12)))))),"Check Data ⚠")</f>
        <v/>
      </c>
      <c r="AB12" s="837"/>
      <c r="AC12" s="119"/>
      <c r="AD12" s="528"/>
      <c r="AE12" s="120"/>
      <c r="AF12" s="687"/>
      <c r="AG12" s="744" t="str">
        <f>IF(P12="","",IF(P12='G-1 All Habitats'!$X$3,H12-V12-W12,"None"))</f>
        <v/>
      </c>
      <c r="AH12" s="744" t="str">
        <f t="shared" si="2"/>
        <v/>
      </c>
      <c r="AJ12" s="124" t="str">
        <f t="shared" si="3"/>
        <v/>
      </c>
      <c r="AK12" s="124" t="str">
        <f t="shared" si="4"/>
        <v/>
      </c>
      <c r="AL12" s="124" t="str">
        <f>IF(I12="","",IF(#REF!&gt;0,TRUE,FALSE))</f>
        <v/>
      </c>
      <c r="AM12" s="124">
        <v>2</v>
      </c>
      <c r="AN12" s="124"/>
      <c r="AO12" s="124" t="str">
        <f t="array" ref="AO12">IFERROR(INDEX($AM$11:$AM$259, MATCH(0, IF(TRUE=$AJ$11:$AJ$259, COUNTIF($AO$10:$AO11, $AM$11:$AM$259), ""), 0)),"")</f>
        <v/>
      </c>
      <c r="AP12" s="124" t="str">
        <f t="array" ref="AP12">IFERROR(INDEX($AM$11:$AM$259, MATCH(0, IF(TRUE=$AK$11:$AK$259, COUNTIF($AP$10:$AP11, $AM$11:$AM$259), ""), 0)),"")</f>
        <v/>
      </c>
      <c r="AQ12" s="124" t="str">
        <f t="array" ref="AQ12">IFERROR(INDEX($AM$11:$AM$259, MATCH(0, IF(TRUE=$AL$11:$AL$259, COUNTIF($AQ$10:$AQ11, $AM$11:$AM$259), ""), 0)),"")</f>
        <v/>
      </c>
      <c r="AU12" s="30">
        <f t="shared" si="5"/>
        <v>0</v>
      </c>
      <c r="AY12" s="374" t="str">
        <f t="shared" ref="AY12:AY75" si="6">IFERROR(V12*J12*L12*O12*S12,"")</f>
        <v/>
      </c>
    </row>
    <row r="13" spans="1:51 16381:16384">
      <c r="A13" s="30" t="str">
        <f>IFERROR(INDEX('G-1 All Habitats'!$AG$3:$AG$17,MATCH(E13,'G-1 All Habitats'!$AF$3:$AF$17,0)),"")</f>
        <v/>
      </c>
      <c r="B13" s="30" t="str">
        <f>IFERROR(INDEX('G-8 Condition Look up'!$I$4:$I$135,MATCH(G13,'G-8 Condition Look up'!$A$4:$A$135,0)),"")</f>
        <v/>
      </c>
      <c r="D13" s="110">
        <v>3</v>
      </c>
      <c r="E13" s="267"/>
      <c r="F13" s="61"/>
      <c r="G13" s="295" t="str">
        <f>IFERROR(INDEX('G-1 All Habitats'!$B$3:$B$134,MATCH(F13,'G-1 All Habitats'!$A$3:$A$134,0)),"")</f>
        <v/>
      </c>
      <c r="H13" s="53"/>
      <c r="I13" s="722" t="str">
        <f>IF(G13="","",VLOOKUP(G13,'G-1 All Habitats'!$B$2:$M$134,10,FALSE))</f>
        <v/>
      </c>
      <c r="J13" s="490" t="str">
        <f>IFERROR(VLOOKUP(I13,'G-1 All Habitats'!$V$3:$W$7,2,FALSE),"")</f>
        <v/>
      </c>
      <c r="K13" s="54"/>
      <c r="L13" s="490" t="str">
        <f>IFERROR(INDEX('G-8 Condition Look up'!$A$3:$H$135,MATCH(G13,'G-8 Condition Look up'!$A$3:$A$135,0),MATCH(K13,'G-8 Condition Look up'!$A$3:$H$3,0)),"")</f>
        <v/>
      </c>
      <c r="M13" s="723"/>
      <c r="N13" s="404" t="str">
        <f>IF(M13="","",IF(VLOOKUP(M13,'G-3 Multipliers'!$L$3:$N$6,2,FALSE)=0,"Spatial Data Missing ⚠",VLOOKUP(M13,'G-3 Multipliers'!$L$3:$N$6,2,FALSE)))</f>
        <v/>
      </c>
      <c r="O13" s="452" t="str">
        <f>IF(M13="","",IF(VLOOKUP(M13,'G-3 Multipliers'!$L$3:$N$6,3,FALSE)=0,"Spatial Data Missing ⚠",VLOOKUP(M13,'G-3 Multipliers'!$L$3:$N$6,3,FALSE)))</f>
        <v/>
      </c>
      <c r="P13" s="369" t="str">
        <f>IFERROR(VLOOKUP(G13,'G-1 All Habitats'!$B$2:$M$134,12,FALSE),"")</f>
        <v/>
      </c>
      <c r="Q13" s="725" t="str">
        <f>IFERROR(IF(P13="","",IF(AND(P13='G-1 All Habitats'!$X$3,W13&gt;0),X13+(Y13*S13),IF(AND(P13='G-1 All Habitats'!$X$3,V13&gt;0),X13+(Y13*S13),IF(AND(P13='G-1 All Habitats'!$X$3,AG13&gt;0),"Any Loss Unacceptable  ⚠",IF(AND(P13='G-1 All Habitats'!$X$3,Z13&gt;0),"Any Loss Unacceptable ⚠",H13*J13*L13*O13*S13))))),"Check Data ⚠")</f>
        <v/>
      </c>
      <c r="R13" s="516"/>
      <c r="S13" s="724" t="str">
        <f>IF(R13="","",IF(VLOOKUP(R13,'G-3 Multipliers'!$S$3:$T$10,2,FALSE)=0,"Spatial Data Missing ⚠",VLOOKUP(R13,'G-3 Multipliers'!$S$3:$T$10,2,FALSE)))</f>
        <v/>
      </c>
      <c r="T13" s="376" t="str">
        <f>IFERROR(IF(P13="","",IF(AND(P13='G-1 All Habitats'!$X$3,W13&gt;0),X13+Y13,IF(AND(P13='G-1 All Habitats'!$X$3,V13&gt;0),X13+Y13,IF(AND(P13='G-1 All Habitats'!$X$3,AG13&gt;0),"Any Loss Unacceptable ⚠", IF(R13="","", IF(AND(P13='G-1 All Habitats'!$X$3,Z13&gt;0),"Any Loss Unacceptable ⚠",H13*J13*L13*O13)))))),"Check Data ⚠")</f>
        <v/>
      </c>
      <c r="U13" s="38"/>
      <c r="V13" s="54"/>
      <c r="W13" s="55"/>
      <c r="X13" s="374" t="str">
        <f t="shared" si="0"/>
        <v/>
      </c>
      <c r="Y13" s="374" t="str">
        <f t="shared" si="1"/>
        <v/>
      </c>
      <c r="Z13" s="374" t="str">
        <f>IF(E13="","",IF(H13&lt;V13+W13,"Error in Areas ▲",IF(P13&lt;&gt;'G-1 All Habitats'!$X$3,H13-V13-W13,IF(AND(P13='G-1 All Habitats'!$X$3,AB13="Yes"),"Unacceptable Loss ⚠",IF(AND(P13='G-1 All Habitats'!$X$3,AB13="No"),AG13,IF(AND(P13='G-1 All Habitats'!$X$3,AB13=""),AG13,IF(AND(P13='G-1 All Habitats'!$X$3,AG13="None",AG13),IF(AND(P13='G-1 All Habitats'!$X$3,AG13&gt;0),H13-V13-W13))))))))</f>
        <v/>
      </c>
      <c r="AA13" s="405" t="str">
        <f>IFERROR(IF(H13="","",IF(H13-V13-W13=0&lt;0,"Error in Areas ▲",IF(V13+W13&gt;H13,"Error in Areas ▲",IF(AND(P13='G-1 All Habitats'!$X$3,AB13="Yes"),"Alternative Compensation ✓",IF(Z13=0,0,IF(P13='G-1 All Habitats'!$X$3,"Any Loss Unacceptable ▲",T13-X13-Y13)))))),"Check Data ⚠")</f>
        <v/>
      </c>
      <c r="AB13" s="837"/>
      <c r="AC13" s="119"/>
      <c r="AD13" s="528"/>
      <c r="AE13" s="120"/>
      <c r="AF13" s="687"/>
      <c r="AG13" s="744" t="str">
        <f>IF(P13="","",IF(P13='G-1 All Habitats'!$X$3,H13-V13-W13,"None"))</f>
        <v/>
      </c>
      <c r="AH13" s="744" t="str">
        <f t="shared" si="2"/>
        <v/>
      </c>
      <c r="AJ13" s="124" t="str">
        <f t="shared" si="3"/>
        <v/>
      </c>
      <c r="AK13" s="124" t="str">
        <f t="shared" si="4"/>
        <v/>
      </c>
      <c r="AL13" s="124" t="str">
        <f>IF(I13="","",IF(#REF!&gt;0,TRUE,FALSE))</f>
        <v/>
      </c>
      <c r="AM13" s="124">
        <v>3</v>
      </c>
      <c r="AN13" s="124"/>
      <c r="AO13" s="124" t="str">
        <f t="array" ref="AO13">IFERROR(INDEX($AM$11:$AM$259, MATCH(0, IF(TRUE=$AJ$11:$AJ$259, COUNTIF($AO$10:$AO12, $AM$11:$AM$259), ""), 0)),"")</f>
        <v/>
      </c>
      <c r="AP13" s="124" t="str">
        <f t="array" ref="AP13">IFERROR(INDEX($AM$11:$AM$259, MATCH(0, IF(TRUE=$AK$11:$AK$259, COUNTIF($AP$10:$AP12, $AM$11:$AM$259), ""), 0)),"")</f>
        <v/>
      </c>
      <c r="AQ13" s="124" t="str">
        <f t="array" ref="AQ13">IFERROR(INDEX($AM$11:$AM$259, MATCH(0, IF(TRUE=$AL$11:$AL$259, COUNTIF($AQ$10:$AQ12, $AM$11:$AM$259), ""), 0)),"")</f>
        <v/>
      </c>
      <c r="AU13" s="30">
        <f t="shared" si="5"/>
        <v>0</v>
      </c>
      <c r="AY13" s="374" t="str">
        <f t="shared" si="6"/>
        <v/>
      </c>
    </row>
    <row r="14" spans="1:51 16381:16384">
      <c r="A14" s="30" t="str">
        <f>IFERROR(INDEX('G-1 All Habitats'!$AG$3:$AG$17,MATCH(E14,'G-1 All Habitats'!$AF$3:$AF$17,0)),"")</f>
        <v/>
      </c>
      <c r="B14" s="30" t="str">
        <f>IFERROR(INDEX('G-8 Condition Look up'!$I$4:$I$135,MATCH(G14,'G-8 Condition Look up'!$A$4:$A$135,0)),"")</f>
        <v/>
      </c>
      <c r="D14" s="110">
        <v>4</v>
      </c>
      <c r="E14" s="267"/>
      <c r="F14" s="61"/>
      <c r="G14" s="295" t="str">
        <f>IFERROR(INDEX('G-1 All Habitats'!$B$3:$B$134,MATCH(F14,'G-1 All Habitats'!$A$3:$A$134,0)),"")</f>
        <v/>
      </c>
      <c r="H14" s="53"/>
      <c r="I14" s="722" t="str">
        <f>IF(G14="","",VLOOKUP(G14,'G-1 All Habitats'!$B$2:$M$134,10,FALSE))</f>
        <v/>
      </c>
      <c r="J14" s="490" t="str">
        <f>IFERROR(VLOOKUP(I14,'G-1 All Habitats'!$V$3:$W$7,2,FALSE),"")</f>
        <v/>
      </c>
      <c r="K14" s="54"/>
      <c r="L14" s="490" t="str">
        <f>IFERROR(INDEX('G-8 Condition Look up'!$A$3:$H$135,MATCH(G14,'G-8 Condition Look up'!$A$3:$A$135,0),MATCH(K14,'G-8 Condition Look up'!$A$3:$H$3,0)),"")</f>
        <v/>
      </c>
      <c r="M14" s="723"/>
      <c r="N14" s="404" t="str">
        <f>IF(M14="","",IF(VLOOKUP(M14,'G-3 Multipliers'!$L$3:$N$6,2,FALSE)=0,"Spatial Data Missing ⚠",VLOOKUP(M14,'G-3 Multipliers'!$L$3:$N$6,2,FALSE)))</f>
        <v/>
      </c>
      <c r="O14" s="452" t="str">
        <f>IF(M14="","",IF(VLOOKUP(M14,'G-3 Multipliers'!$L$3:$N$6,3,FALSE)=0,"Spatial Data Missing ⚠",VLOOKUP(M14,'G-3 Multipliers'!$L$3:$N$6,3,FALSE)))</f>
        <v/>
      </c>
      <c r="P14" s="369" t="str">
        <f>IFERROR(VLOOKUP(G14,'G-1 All Habitats'!$B$2:$M$134,12,FALSE),"")</f>
        <v/>
      </c>
      <c r="Q14" s="725" t="str">
        <f>IFERROR(IF(P14="","",IF(AND(P14='G-1 All Habitats'!$X$3,W14&gt;0),X14+(Y14*S14),IF(AND(P14='G-1 All Habitats'!$X$3,V14&gt;0),X14+(Y14*S14),IF(AND(P14='G-1 All Habitats'!$X$3,AG14&gt;0),"Any Loss Unacceptable  ⚠",IF(AND(P14='G-1 All Habitats'!$X$3,Z14&gt;0),"Any Loss Unacceptable ⚠",H14*J14*L14*O14*S14))))),"Check Data ⚠")</f>
        <v/>
      </c>
      <c r="R14" s="516"/>
      <c r="S14" s="724" t="str">
        <f>IF(R14="","",IF(VLOOKUP(R14,'G-3 Multipliers'!$S$3:$T$10,2,FALSE)=0,"Spatial Data Missing ⚠",VLOOKUP(R14,'G-3 Multipliers'!$S$3:$T$10,2,FALSE)))</f>
        <v/>
      </c>
      <c r="T14" s="376" t="str">
        <f>IFERROR(IF(P14="","",IF(AND(P14='G-1 All Habitats'!$X$3,W14&gt;0),X14+Y14,IF(AND(P14='G-1 All Habitats'!$X$3,V14&gt;0),X14+Y14,IF(AND(P14='G-1 All Habitats'!$X$3,AG14&gt;0),"Any Loss Unacceptable ⚠", IF(R14="","", IF(AND(P14='G-1 All Habitats'!$X$3,Z14&gt;0),"Any Loss Unacceptable ⚠",H14*J14*L14*O14)))))),"Check Data ⚠")</f>
        <v/>
      </c>
      <c r="U14" s="38"/>
      <c r="V14" s="54"/>
      <c r="W14" s="55"/>
      <c r="X14" s="374" t="str">
        <f t="shared" si="0"/>
        <v/>
      </c>
      <c r="Y14" s="374" t="str">
        <f t="shared" si="1"/>
        <v/>
      </c>
      <c r="Z14" s="374" t="str">
        <f>IF(E14="","",IF(H14&lt;V14+W14,"Error in Areas ▲",IF(P14&lt;&gt;'G-1 All Habitats'!$X$3,H14-V14-W14,IF(AND(P14='G-1 All Habitats'!$X$3,AB14="Yes"),"Unacceptable Loss ⚠",IF(AND(P14='G-1 All Habitats'!$X$3,AB14="No"),AG14,IF(AND(P14='G-1 All Habitats'!$X$3,AB14=""),AG14,IF(AND(P14='G-1 All Habitats'!$X$3,AG14="None",AG14),IF(AND(P14='G-1 All Habitats'!$X$3,AG14&gt;0),H14-V14-W14))))))))</f>
        <v/>
      </c>
      <c r="AA14" s="405" t="str">
        <f>IFERROR(IF(H14="","",IF(H14-V14-W14=0&lt;0,"Error in Areas ▲",IF(V14+W14&gt;H14,"Error in Areas ▲",IF(AND(P14='G-1 All Habitats'!$X$3,AB14="Yes"),"Alternative Compensation ✓",IF(Z14=0,0,IF(P14='G-1 All Habitats'!$X$3,"Any Loss Unacceptable ▲",T14-X14-Y14)))))),"Check Data ⚠")</f>
        <v/>
      </c>
      <c r="AB14" s="837"/>
      <c r="AC14" s="119"/>
      <c r="AD14" s="528"/>
      <c r="AE14" s="120"/>
      <c r="AF14" s="687"/>
      <c r="AG14" s="744" t="str">
        <f>IF(P14="","",IF(P14='G-1 All Habitats'!$X$3,H14-V14-W14,"None"))</f>
        <v/>
      </c>
      <c r="AH14" s="744" t="str">
        <f t="shared" si="2"/>
        <v/>
      </c>
      <c r="AJ14" s="124" t="str">
        <f t="shared" si="3"/>
        <v/>
      </c>
      <c r="AK14" s="124" t="str">
        <f t="shared" si="4"/>
        <v/>
      </c>
      <c r="AL14" s="124" t="str">
        <f>IF(I14="","",IF(#REF!&gt;0,TRUE,FALSE))</f>
        <v/>
      </c>
      <c r="AM14" s="124">
        <v>4</v>
      </c>
      <c r="AN14" s="124"/>
      <c r="AO14" s="124" t="str">
        <f t="array" ref="AO14">IFERROR(INDEX($AM$11:$AM$259, MATCH(0, IF(TRUE=$AJ$11:$AJ$259, COUNTIF($AO$10:$AO13, $AM$11:$AM$259), ""), 0)),"")</f>
        <v/>
      </c>
      <c r="AP14" s="124" t="str">
        <f t="array" ref="AP14">IFERROR(INDEX($AM$11:$AM$259, MATCH(0, IF(TRUE=$AK$11:$AK$259, COUNTIF($AP$10:$AP13, $AM$11:$AM$259), ""), 0)),"")</f>
        <v/>
      </c>
      <c r="AQ14" s="124" t="str">
        <f t="array" ref="AQ14">IFERROR(INDEX($AM$11:$AM$259, MATCH(0, IF(TRUE=$AL$11:$AL$259, COUNTIF($AQ$10:$AQ13, $AM$11:$AM$259), ""), 0)),"")</f>
        <v/>
      </c>
      <c r="AU14" s="30">
        <f t="shared" si="5"/>
        <v>0</v>
      </c>
      <c r="AY14" s="374" t="str">
        <f t="shared" si="6"/>
        <v/>
      </c>
    </row>
    <row r="15" spans="1:51 16381:16384">
      <c r="A15" s="30" t="str">
        <f>IFERROR(INDEX('G-1 All Habitats'!$AG$3:$AG$17,MATCH(E15,'G-1 All Habitats'!$AF$3:$AF$17,0)),"")</f>
        <v/>
      </c>
      <c r="B15" s="30" t="str">
        <f>IFERROR(INDEX('G-8 Condition Look up'!$I$4:$I$135,MATCH(G15,'G-8 Condition Look up'!$A$4:$A$135,0)),"")</f>
        <v/>
      </c>
      <c r="D15" s="110">
        <v>5</v>
      </c>
      <c r="E15" s="339"/>
      <c r="F15" s="339"/>
      <c r="G15" s="295" t="str">
        <f>IFERROR(INDEX('G-1 All Habitats'!$B$3:$B$134,MATCH(F15,'G-1 All Habitats'!$A$3:$A$134,0)),"")</f>
        <v/>
      </c>
      <c r="H15" s="53"/>
      <c r="I15" s="722" t="str">
        <f>IF(G15="","",VLOOKUP(G15,'G-1 All Habitats'!$B$2:$M$134,10,FALSE))</f>
        <v/>
      </c>
      <c r="J15" s="490" t="str">
        <f>IFERROR(VLOOKUP(I15,'G-1 All Habitats'!$V$3:$W$7,2,FALSE),"")</f>
        <v/>
      </c>
      <c r="K15" s="54"/>
      <c r="L15" s="490" t="str">
        <f>IFERROR(INDEX('G-8 Condition Look up'!$A$3:$H$135,MATCH(G15,'G-8 Condition Look up'!$A$3:$A$135,0),MATCH(K15,'G-8 Condition Look up'!$A$3:$H$3,0)),"")</f>
        <v/>
      </c>
      <c r="M15" s="723"/>
      <c r="N15" s="404" t="str">
        <f>IF(M15="","",IF(VLOOKUP(M15,'G-3 Multipliers'!$L$3:$N$6,2,FALSE)=0,"Spatial Data Missing ⚠",VLOOKUP(M15,'G-3 Multipliers'!$L$3:$N$6,2,FALSE)))</f>
        <v/>
      </c>
      <c r="O15" s="452" t="str">
        <f>IF(M15="","",IF(VLOOKUP(M15,'G-3 Multipliers'!$L$3:$N$6,3,FALSE)=0,"Spatial Data Missing ⚠",VLOOKUP(M15,'G-3 Multipliers'!$L$3:$N$6,3,FALSE)))</f>
        <v/>
      </c>
      <c r="P15" s="369" t="str">
        <f>IFERROR(VLOOKUP(G15,'G-1 All Habitats'!$B$2:$M$134,12,FALSE),"")</f>
        <v/>
      </c>
      <c r="Q15" s="725" t="str">
        <f>IFERROR(IF(P15="","",IF(AND(P15='G-1 All Habitats'!$X$3,W15&gt;0),X15+(Y15*S15),IF(AND(P15='G-1 All Habitats'!$X$3,V15&gt;0),X15+(Y15*S15),IF(AND(P15='G-1 All Habitats'!$X$3,AG15&gt;0),"Any Loss Unacceptable  ⚠",IF(AND(P15='G-1 All Habitats'!$X$3,Z15&gt;0),"Any Loss Unacceptable ⚠",H15*J15*L15*O15*S15))))),"Check Data ⚠")</f>
        <v/>
      </c>
      <c r="R15" s="516"/>
      <c r="S15" s="724" t="str">
        <f>IF(R15="","",IF(VLOOKUP(R15,'G-3 Multipliers'!$S$3:$T$10,2,FALSE)=0,"Spatial Data Missing ⚠",VLOOKUP(R15,'G-3 Multipliers'!$S$3:$T$10,2,FALSE)))</f>
        <v/>
      </c>
      <c r="T15" s="376" t="str">
        <f>IFERROR(IF(P15="","",IF(AND(P15='G-1 All Habitats'!$X$3,W15&gt;0),X15+Y15,IF(AND(P15='G-1 All Habitats'!$X$3,V15&gt;0),X15+Y15,IF(AND(P15='G-1 All Habitats'!$X$3,AG15&gt;0),"Any Loss Unacceptable ⚠", IF(R15="","", IF(AND(P15='G-1 All Habitats'!$X$3,Z15&gt;0),"Any Loss Unacceptable ⚠",H15*J15*L15*O15)))))),"Check Data ⚠")</f>
        <v/>
      </c>
      <c r="U15" s="38"/>
      <c r="V15" s="54"/>
      <c r="W15" s="55"/>
      <c r="X15" s="374" t="str">
        <f t="shared" si="0"/>
        <v/>
      </c>
      <c r="Y15" s="374" t="str">
        <f t="shared" si="1"/>
        <v/>
      </c>
      <c r="Z15" s="374" t="str">
        <f>IF(E15="","",IF(H15&lt;V15+W15,"Error in Areas ▲",IF(P15&lt;&gt;'G-1 All Habitats'!$X$3,H15-V15-W15,IF(AND(P15='G-1 All Habitats'!$X$3,AB15="Yes"),"Unacceptable Loss ⚠",IF(AND(P15='G-1 All Habitats'!$X$3,AB15="No"),AG15,IF(AND(P15='G-1 All Habitats'!$X$3,AB15=""),AG15,IF(AND(P15='G-1 All Habitats'!$X$3,AG15="None",AG15),IF(AND(P15='G-1 All Habitats'!$X$3,AG15&gt;0),H15-V15-W15))))))))</f>
        <v/>
      </c>
      <c r="AA15" s="405" t="str">
        <f>IFERROR(IF(H15="","",IF(H15-V15-W15=0&lt;0,"Error in Areas ▲",IF(V15+W15&gt;H15,"Error in Areas ▲",IF(AND(P15='G-1 All Habitats'!$X$3,AB15="Yes"),"Alternative Compensation ✓",IF(Z15=0,0,IF(P15='G-1 All Habitats'!$X$3,"Any Loss Unacceptable ▲",T15-X15-Y15)))))),"Check Data ⚠")</f>
        <v/>
      </c>
      <c r="AB15" s="837"/>
      <c r="AC15" s="119"/>
      <c r="AD15" s="528"/>
      <c r="AE15" s="120"/>
      <c r="AF15" s="687"/>
      <c r="AG15" s="744" t="str">
        <f>IF(P15="","",IF(P15='G-1 All Habitats'!$X$3,H15-V15-W15,"None"))</f>
        <v/>
      </c>
      <c r="AH15" s="744" t="str">
        <f t="shared" si="2"/>
        <v/>
      </c>
      <c r="AJ15" s="124" t="str">
        <f t="shared" si="3"/>
        <v/>
      </c>
      <c r="AK15" s="124" t="str">
        <f t="shared" si="4"/>
        <v/>
      </c>
      <c r="AL15" s="124" t="str">
        <f>IF(I15="","",IF(#REF!&gt;0,TRUE,FALSE))</f>
        <v/>
      </c>
      <c r="AM15" s="124">
        <v>5</v>
      </c>
      <c r="AN15" s="124"/>
      <c r="AO15" s="124" t="str">
        <f t="array" ref="AO15">IFERROR(INDEX($AM$11:$AM$259, MATCH(0, IF(TRUE=$AJ$11:$AJ$259, COUNTIF($AO$10:$AO14, $AM$11:$AM$259), ""), 0)),"")</f>
        <v/>
      </c>
      <c r="AP15" s="124" t="str">
        <f t="array" ref="AP15">IFERROR(INDEX($AM$11:$AM$259, MATCH(0, IF(TRUE=$AK$11:$AK$259, COUNTIF($AP$10:$AP14, $AM$11:$AM$259), ""), 0)),"")</f>
        <v/>
      </c>
      <c r="AQ15" s="124" t="str">
        <f t="array" ref="AQ15">IFERROR(INDEX($AM$11:$AM$259, MATCH(0, IF(TRUE=$AL$11:$AL$259, COUNTIF($AQ$10:$AQ14, $AM$11:$AM$259), ""), 0)),"")</f>
        <v/>
      </c>
      <c r="AU15" s="30">
        <f t="shared" si="5"/>
        <v>0</v>
      </c>
      <c r="AY15" s="374" t="str">
        <f t="shared" si="6"/>
        <v/>
      </c>
    </row>
    <row r="16" spans="1:51 16381:16384">
      <c r="A16" s="30" t="str">
        <f>IFERROR(INDEX('G-1 All Habitats'!$AG$3:$AG$17,MATCH(E16,'G-1 All Habitats'!$AF$3:$AF$17,0)),"")</f>
        <v/>
      </c>
      <c r="B16" s="30" t="str">
        <f>IFERROR(INDEX('G-8 Condition Look up'!$I$4:$I$135,MATCH(G16,'G-8 Condition Look up'!$A$4:$A$135,0)),"")</f>
        <v/>
      </c>
      <c r="D16" s="110">
        <v>6</v>
      </c>
      <c r="E16" s="339"/>
      <c r="F16" s="339"/>
      <c r="G16" s="295" t="str">
        <f>IFERROR(INDEX('G-1 All Habitats'!$B$3:$B$134,MATCH(F16,'G-1 All Habitats'!$A$3:$A$134,0)),"")</f>
        <v/>
      </c>
      <c r="H16" s="53"/>
      <c r="I16" s="722" t="str">
        <f>IF(G16="","",VLOOKUP(G16,'G-1 All Habitats'!$B$2:$M$134,10,FALSE))</f>
        <v/>
      </c>
      <c r="J16" s="490" t="str">
        <f>IFERROR(VLOOKUP(I16,'G-1 All Habitats'!$V$3:$W$7,2,FALSE),"")</f>
        <v/>
      </c>
      <c r="K16" s="54"/>
      <c r="L16" s="490" t="str">
        <f>IFERROR(INDEX('G-8 Condition Look up'!$A$3:$H$135,MATCH(G16,'G-8 Condition Look up'!$A$3:$A$135,0),MATCH(K16,'G-8 Condition Look up'!$A$3:$H$3,0)),"")</f>
        <v/>
      </c>
      <c r="M16" s="723"/>
      <c r="N16" s="404" t="str">
        <f>IF(M16="","",IF(VLOOKUP(M16,'G-3 Multipliers'!$L$3:$N$6,2,FALSE)=0,"Spatial Data Missing ⚠",VLOOKUP(M16,'G-3 Multipliers'!$L$3:$N$6,2,FALSE)))</f>
        <v/>
      </c>
      <c r="O16" s="452" t="str">
        <f>IF(M16="","",IF(VLOOKUP(M16,'G-3 Multipliers'!$L$3:$N$6,3,FALSE)=0,"Spatial Data Missing ⚠",VLOOKUP(M16,'G-3 Multipliers'!$L$3:$N$6,3,FALSE)))</f>
        <v/>
      </c>
      <c r="P16" s="369" t="str">
        <f>IFERROR(VLOOKUP(G16,'G-1 All Habitats'!$B$2:$M$134,12,FALSE),"")</f>
        <v/>
      </c>
      <c r="Q16" s="725" t="str">
        <f>IFERROR(IF(P16="","",IF(AND(P16='G-1 All Habitats'!$X$3,W16&gt;0),X16+(Y16*S16),IF(AND(P16='G-1 All Habitats'!$X$3,V16&gt;0),X16+(Y16*S16),IF(AND(P16='G-1 All Habitats'!$X$3,AG16&gt;0),"Any Loss Unacceptable  ⚠",IF(AND(P16='G-1 All Habitats'!$X$3,Z16&gt;0),"Any Loss Unacceptable ⚠",H16*J16*L16*O16*S16))))),"Check Data ⚠")</f>
        <v/>
      </c>
      <c r="R16" s="516"/>
      <c r="S16" s="724" t="str">
        <f>IF(R16="","",IF(VLOOKUP(R16,'G-3 Multipliers'!$S$3:$T$10,2,FALSE)=0,"Spatial Data Missing ⚠",VLOOKUP(R16,'G-3 Multipliers'!$S$3:$T$10,2,FALSE)))</f>
        <v/>
      </c>
      <c r="T16" s="376" t="str">
        <f>IFERROR(IF(P16="","",IF(AND(P16='G-1 All Habitats'!$X$3,W16&gt;0),X16+Y16,IF(AND(P16='G-1 All Habitats'!$X$3,V16&gt;0),X16+Y16,IF(AND(P16='G-1 All Habitats'!$X$3,AG16&gt;0),"Any Loss Unacceptable ⚠", IF(R16="","", IF(AND(P16='G-1 All Habitats'!$X$3,Z16&gt;0),"Any Loss Unacceptable ⚠",H16*J16*L16*O16)))))),"Check Data ⚠")</f>
        <v/>
      </c>
      <c r="U16" s="38"/>
      <c r="V16" s="54"/>
      <c r="W16" s="55"/>
      <c r="X16" s="374" t="str">
        <f t="shared" si="0"/>
        <v/>
      </c>
      <c r="Y16" s="374" t="str">
        <f t="shared" si="1"/>
        <v/>
      </c>
      <c r="Z16" s="374" t="str">
        <f>IF(E16="","",IF(H16&lt;V16+W16,"Error in Areas ▲",IF(P16&lt;&gt;'G-1 All Habitats'!$X$3,H16-V16-W16,IF(AND(P16='G-1 All Habitats'!$X$3,AB16="Yes"),"Unacceptable Loss ⚠",IF(AND(P16='G-1 All Habitats'!$X$3,AB16="No"),AG16,IF(AND(P16='G-1 All Habitats'!$X$3,AB16=""),AG16,IF(AND(P16='G-1 All Habitats'!$X$3,AG16="None",AG16),IF(AND(P16='G-1 All Habitats'!$X$3,AG16&gt;0),H16-V16-W16))))))))</f>
        <v/>
      </c>
      <c r="AA16" s="405" t="str">
        <f>IFERROR(IF(H16="","",IF(H16-V16-W16=0&lt;0,"Error in Areas ▲",IF(V16+W16&gt;H16,"Error in Areas ▲",IF(AND(P16='G-1 All Habitats'!$X$3,AB16="Yes"),"Alternative Compensation ✓",IF(Z16=0,0,IF(P16='G-1 All Habitats'!$X$3,"Any Loss Unacceptable ▲",T16-X16-Y16)))))),"Check Data ⚠")</f>
        <v/>
      </c>
      <c r="AB16" s="837"/>
      <c r="AC16" s="119"/>
      <c r="AD16" s="528"/>
      <c r="AE16" s="120"/>
      <c r="AF16" s="687"/>
      <c r="AG16" s="744" t="str">
        <f>IF(P16="","",IF(P16='G-1 All Habitats'!$X$3,H16-V16-W16,"None"))</f>
        <v/>
      </c>
      <c r="AH16" s="744" t="str">
        <f t="shared" si="2"/>
        <v/>
      </c>
      <c r="AJ16" s="124" t="str">
        <f t="shared" si="3"/>
        <v/>
      </c>
      <c r="AK16" s="124" t="str">
        <f t="shared" si="4"/>
        <v/>
      </c>
      <c r="AL16" s="124" t="str">
        <f>IF(I16="","",IF(#REF!&gt;0,TRUE,FALSE))</f>
        <v/>
      </c>
      <c r="AM16" s="124">
        <v>6</v>
      </c>
      <c r="AN16" s="124"/>
      <c r="AO16" s="124" t="str">
        <f t="array" ref="AO16">IFERROR(INDEX($AM$11:$AM$259, MATCH(0, IF(TRUE=$AJ$11:$AJ$259, COUNTIF($AO$10:$AO15, $AM$11:$AM$259), ""), 0)),"")</f>
        <v/>
      </c>
      <c r="AP16" s="124" t="str">
        <f t="array" ref="AP16">IFERROR(INDEX($AM$11:$AM$259, MATCH(0, IF(TRUE=$AK$11:$AK$259, COUNTIF($AP$10:$AP15, $AM$11:$AM$259), ""), 0)),"")</f>
        <v/>
      </c>
      <c r="AQ16" s="124" t="str">
        <f t="array" ref="AQ16">IFERROR(INDEX($AM$11:$AM$259, MATCH(0, IF(TRUE=$AL$11:$AL$259, COUNTIF($AQ$10:$AQ15, $AM$11:$AM$259), ""), 0)),"")</f>
        <v/>
      </c>
      <c r="AU16" s="30">
        <f t="shared" si="5"/>
        <v>0</v>
      </c>
      <c r="AY16" s="374" t="str">
        <f t="shared" si="6"/>
        <v/>
      </c>
    </row>
    <row r="17" spans="1:51">
      <c r="A17" s="30" t="str">
        <f>IFERROR(INDEX('G-1 All Habitats'!$AG$3:$AG$17,MATCH(E17,'G-1 All Habitats'!$AF$3:$AF$17,0)),"")</f>
        <v/>
      </c>
      <c r="B17" s="30" t="str">
        <f>IFERROR(INDEX('G-8 Condition Look up'!$I$4:$I$135,MATCH(G17,'G-8 Condition Look up'!$A$4:$A$135,0)),"")</f>
        <v/>
      </c>
      <c r="D17" s="110">
        <v>7</v>
      </c>
      <c r="E17" s="339"/>
      <c r="F17" s="339"/>
      <c r="G17" s="295" t="str">
        <f>IFERROR(INDEX('G-1 All Habitats'!$B$3:$B$134,MATCH(F17,'G-1 All Habitats'!$A$3:$A$134,0)),"")</f>
        <v/>
      </c>
      <c r="H17" s="53"/>
      <c r="I17" s="722" t="str">
        <f>IF(G17="","",VLOOKUP(G17,'G-1 All Habitats'!$B$2:$M$134,10,FALSE))</f>
        <v/>
      </c>
      <c r="J17" s="490" t="str">
        <f>IFERROR(VLOOKUP(I17,'G-1 All Habitats'!$V$3:$W$7,2,FALSE),"")</f>
        <v/>
      </c>
      <c r="K17" s="54"/>
      <c r="L17" s="490" t="str">
        <f>IFERROR(INDEX('G-8 Condition Look up'!$A$3:$H$135,MATCH(G17,'G-8 Condition Look up'!$A$3:$A$135,0),MATCH(K17,'G-8 Condition Look up'!$A$3:$H$3,0)),"")</f>
        <v/>
      </c>
      <c r="M17" s="723"/>
      <c r="N17" s="404" t="str">
        <f>IF(M17="","",IF(VLOOKUP(M17,'G-3 Multipliers'!$L$3:$N$6,2,FALSE)=0,"Spatial Data Missing ⚠",VLOOKUP(M17,'G-3 Multipliers'!$L$3:$N$6,2,FALSE)))</f>
        <v/>
      </c>
      <c r="O17" s="452" t="str">
        <f>IF(M17="","",IF(VLOOKUP(M17,'G-3 Multipliers'!$L$3:$N$6,3,FALSE)=0,"Spatial Data Missing ⚠",VLOOKUP(M17,'G-3 Multipliers'!$L$3:$N$6,3,FALSE)))</f>
        <v/>
      </c>
      <c r="P17" s="369" t="str">
        <f>IFERROR(VLOOKUP(G17,'G-1 All Habitats'!$B$2:$M$134,12,FALSE),"")</f>
        <v/>
      </c>
      <c r="Q17" s="725" t="str">
        <f>IFERROR(IF(P17="","",IF(AND(P17='G-1 All Habitats'!$X$3,W17&gt;0),X17+(Y17*S17),IF(AND(P17='G-1 All Habitats'!$X$3,V17&gt;0),X17+(Y17*S17),IF(AND(P17='G-1 All Habitats'!$X$3,AG17&gt;0),"Any Loss Unacceptable  ⚠",IF(AND(P17='G-1 All Habitats'!$X$3,Z17&gt;0),"Any Loss Unacceptable ⚠",H17*J17*L17*O17*S17))))),"Check Data ⚠")</f>
        <v/>
      </c>
      <c r="R17" s="516"/>
      <c r="S17" s="724" t="str">
        <f>IF(R17="","",IF(VLOOKUP(R17,'G-3 Multipliers'!$S$3:$T$10,2,FALSE)=0,"Spatial Data Missing ⚠",VLOOKUP(R17,'G-3 Multipliers'!$S$3:$T$10,2,FALSE)))</f>
        <v/>
      </c>
      <c r="T17" s="376" t="str">
        <f>IFERROR(IF(P17="","",IF(AND(P17='G-1 All Habitats'!$X$3,W17&gt;0),X17+Y17,IF(AND(P17='G-1 All Habitats'!$X$3,V17&gt;0),X17+Y17,IF(AND(P17='G-1 All Habitats'!$X$3,AG17&gt;0),"Any Loss Unacceptable ⚠", IF(R17="","", IF(AND(P17='G-1 All Habitats'!$X$3,Z17&gt;0),"Any Loss Unacceptable ⚠",H17*J17*L17*O17)))))),"Check Data ⚠")</f>
        <v/>
      </c>
      <c r="U17" s="38"/>
      <c r="V17" s="54"/>
      <c r="W17" s="55"/>
      <c r="X17" s="374" t="str">
        <f t="shared" si="0"/>
        <v/>
      </c>
      <c r="Y17" s="374" t="str">
        <f t="shared" si="1"/>
        <v/>
      </c>
      <c r="Z17" s="374" t="str">
        <f>IF(E17="","",IF(H17&lt;V17+W17,"Error in Areas ▲",IF(P17&lt;&gt;'G-1 All Habitats'!$X$3,H17-V17-W17,IF(AND(P17='G-1 All Habitats'!$X$3,AB17="Yes"),"Unacceptable Loss ⚠",IF(AND(P17='G-1 All Habitats'!$X$3,AB17="No"),AG17,IF(AND(P17='G-1 All Habitats'!$X$3,AB17=""),AG17,IF(AND(P17='G-1 All Habitats'!$X$3,AG17="None",AG17),IF(AND(P17='G-1 All Habitats'!$X$3,AG17&gt;0),H17-V17-W17))))))))</f>
        <v/>
      </c>
      <c r="AA17" s="405" t="str">
        <f>IFERROR(IF(H17="","",IF(H17-V17-W17=0&lt;0,"Error in Areas ▲",IF(V17+W17&gt;H17,"Error in Areas ▲",IF(AND(P17='G-1 All Habitats'!$X$3,AB17="Yes"),"Alternative Compensation ✓",IF(Z17=0,0,IF(P17='G-1 All Habitats'!$X$3,"Any Loss Unacceptable ▲",T17-X17-Y17)))))),"Check Data ⚠")</f>
        <v/>
      </c>
      <c r="AB17" s="837"/>
      <c r="AC17" s="119"/>
      <c r="AD17" s="528"/>
      <c r="AE17" s="120"/>
      <c r="AF17" s="687"/>
      <c r="AG17" s="744" t="str">
        <f>IF(P17="","",IF(P17='G-1 All Habitats'!$X$3,H17-V17-W17,"None"))</f>
        <v/>
      </c>
      <c r="AH17" s="744" t="str">
        <f t="shared" si="2"/>
        <v/>
      </c>
      <c r="AJ17" s="124" t="str">
        <f t="shared" si="3"/>
        <v/>
      </c>
      <c r="AK17" s="124" t="str">
        <f t="shared" si="4"/>
        <v/>
      </c>
      <c r="AL17" s="124" t="str">
        <f>IF(I17="","",IF(#REF!&gt;0,TRUE,FALSE))</f>
        <v/>
      </c>
      <c r="AM17" s="124">
        <v>7</v>
      </c>
      <c r="AN17" s="124"/>
      <c r="AO17" s="124" t="str">
        <f t="array" ref="AO17">IFERROR(INDEX($AM$11:$AM$259, MATCH(0, IF(TRUE=$AJ$11:$AJ$259, COUNTIF($AO$10:$AO16, $AM$11:$AM$259), ""), 0)),"")</f>
        <v/>
      </c>
      <c r="AP17" s="124" t="str">
        <f t="array" ref="AP17">IFERROR(INDEX($AM$11:$AM$259, MATCH(0, IF(TRUE=$AK$11:$AK$259, COUNTIF($AP$10:$AP16, $AM$11:$AM$259), ""), 0)),"")</f>
        <v/>
      </c>
      <c r="AQ17" s="124" t="str">
        <f t="array" ref="AQ17">IFERROR(INDEX($AM$11:$AM$259, MATCH(0, IF(TRUE=$AL$11:$AL$259, COUNTIF($AQ$10:$AQ16, $AM$11:$AM$259), ""), 0)),"")</f>
        <v/>
      </c>
      <c r="AU17" s="30">
        <f t="shared" ref="AU17:AU48" si="7">IF(AA17="Unacceptable Loss",1,0)</f>
        <v>0</v>
      </c>
      <c r="AY17" s="374" t="str">
        <f t="shared" si="6"/>
        <v/>
      </c>
    </row>
    <row r="18" spans="1:51">
      <c r="A18" s="30" t="str">
        <f>IFERROR(INDEX('G-1 All Habitats'!$AG$3:$AG$17,MATCH(E18,'G-1 All Habitats'!$AF$3:$AF$17,0)),"")</f>
        <v/>
      </c>
      <c r="B18" s="30" t="str">
        <f>IFERROR(INDEX('G-8 Condition Look up'!$I$4:$I$135,MATCH(G18,'G-8 Condition Look up'!$A$4:$A$135,0)),"")</f>
        <v/>
      </c>
      <c r="D18" s="110">
        <v>8</v>
      </c>
      <c r="E18" s="339"/>
      <c r="F18" s="339"/>
      <c r="G18" s="295" t="str">
        <f>IFERROR(INDEX('G-1 All Habitats'!$B$3:$B$134,MATCH(F18,'G-1 All Habitats'!$A$3:$A$134,0)),"")</f>
        <v/>
      </c>
      <c r="H18" s="53"/>
      <c r="I18" s="722" t="str">
        <f>IF(G18="","",VLOOKUP(G18,'G-1 All Habitats'!$B$2:$M$134,10,FALSE))</f>
        <v/>
      </c>
      <c r="J18" s="490" t="str">
        <f>IFERROR(VLOOKUP(I18,'G-1 All Habitats'!$V$3:$W$7,2,FALSE),"")</f>
        <v/>
      </c>
      <c r="K18" s="54"/>
      <c r="L18" s="490" t="str">
        <f>IFERROR(INDEX('G-8 Condition Look up'!$A$3:$H$135,MATCH(G18,'G-8 Condition Look up'!$A$3:$A$135,0),MATCH(K18,'G-8 Condition Look up'!$A$3:$H$3,0)),"")</f>
        <v/>
      </c>
      <c r="M18" s="723"/>
      <c r="N18" s="404" t="str">
        <f>IF(M18="","",IF(VLOOKUP(M18,'G-3 Multipliers'!$L$3:$N$6,2,FALSE)=0,"Spatial Data Missing ⚠",VLOOKUP(M18,'G-3 Multipliers'!$L$3:$N$6,2,FALSE)))</f>
        <v/>
      </c>
      <c r="O18" s="452" t="str">
        <f>IF(M18="","",IF(VLOOKUP(M18,'G-3 Multipliers'!$L$3:$N$6,3,FALSE)=0,"Spatial Data Missing ⚠",VLOOKUP(M18,'G-3 Multipliers'!$L$3:$N$6,3,FALSE)))</f>
        <v/>
      </c>
      <c r="P18" s="369" t="str">
        <f>IFERROR(VLOOKUP(G18,'G-1 All Habitats'!$B$2:$M$134,12,FALSE),"")</f>
        <v/>
      </c>
      <c r="Q18" s="725" t="str">
        <f>IFERROR(IF(P18="","",IF(AND(P18='G-1 All Habitats'!$X$3,W18&gt;0),X18+(Y18*S18),IF(AND(P18='G-1 All Habitats'!$X$3,V18&gt;0),X18+(Y18*S18),IF(AND(P18='G-1 All Habitats'!$X$3,AG18&gt;0),"Any Loss Unacceptable  ⚠",IF(AND(P18='G-1 All Habitats'!$X$3,Z18&gt;0),"Any Loss Unacceptable ⚠",H18*J18*L18*O18*S18))))),"Check Data ⚠")</f>
        <v/>
      </c>
      <c r="R18" s="516"/>
      <c r="S18" s="724" t="str">
        <f>IF(R18="","",IF(VLOOKUP(R18,'G-3 Multipliers'!$S$3:$T$10,2,FALSE)=0,"Spatial Data Missing ⚠",VLOOKUP(R18,'G-3 Multipliers'!$S$3:$T$10,2,FALSE)))</f>
        <v/>
      </c>
      <c r="T18" s="376" t="str">
        <f>IFERROR(IF(P18="","",IF(AND(P18='G-1 All Habitats'!$X$3,W18&gt;0),X18+Y18,IF(AND(P18='G-1 All Habitats'!$X$3,V18&gt;0),X18+Y18,IF(AND(P18='G-1 All Habitats'!$X$3,AG18&gt;0),"Any Loss Unacceptable ⚠", IF(R18="","", IF(AND(P18='G-1 All Habitats'!$X$3,Z18&gt;0),"Any Loss Unacceptable ⚠",H18*J18*L18*O18)))))),"Check Data ⚠")</f>
        <v/>
      </c>
      <c r="U18" s="38"/>
      <c r="V18" s="54"/>
      <c r="W18" s="55"/>
      <c r="X18" s="374" t="str">
        <f t="shared" si="0"/>
        <v/>
      </c>
      <c r="Y18" s="374" t="str">
        <f t="shared" si="1"/>
        <v/>
      </c>
      <c r="Z18" s="374" t="str">
        <f>IF(E18="","",IF(H18&lt;V18+W18,"Error in Areas ▲",IF(P18&lt;&gt;'G-1 All Habitats'!$X$3,H18-V18-W18,IF(AND(P18='G-1 All Habitats'!$X$3,AB18="Yes"),"Unacceptable Loss ⚠",IF(AND(P18='G-1 All Habitats'!$X$3,AB18="No"),AG18,IF(AND(P18='G-1 All Habitats'!$X$3,AB18=""),AG18,IF(AND(P18='G-1 All Habitats'!$X$3,AG18="None",AG18),IF(AND(P18='G-1 All Habitats'!$X$3,AG18&gt;0),H18-V18-W18))))))))</f>
        <v/>
      </c>
      <c r="AA18" s="405" t="str">
        <f>IFERROR(IF(H18="","",IF(H18-V18-W18=0&lt;0,"Error in Areas ▲",IF(V18+W18&gt;H18,"Error in Areas ▲",IF(AND(P18='G-1 All Habitats'!$X$3,AB18="Yes"),"Alternative Compensation ✓",IF(Z18=0,0,IF(P18='G-1 All Habitats'!$X$3,"Any Loss Unacceptable ▲",T18-X18-Y18)))))),"Check Data ⚠")</f>
        <v/>
      </c>
      <c r="AB18" s="837"/>
      <c r="AC18" s="119"/>
      <c r="AD18" s="528"/>
      <c r="AE18" s="120"/>
      <c r="AF18" s="687"/>
      <c r="AG18" s="744" t="str">
        <f>IF(P18="","",IF(P18='G-1 All Habitats'!$X$3,H18-V18-W18,"None"))</f>
        <v/>
      </c>
      <c r="AH18" s="744" t="str">
        <f t="shared" si="2"/>
        <v/>
      </c>
      <c r="AJ18" s="124" t="str">
        <f t="shared" si="3"/>
        <v/>
      </c>
      <c r="AK18" s="124" t="str">
        <f t="shared" si="4"/>
        <v/>
      </c>
      <c r="AL18" s="124" t="str">
        <f>IF(I18="","",IF(#REF!&gt;0,TRUE,FALSE))</f>
        <v/>
      </c>
      <c r="AM18" s="124">
        <v>8</v>
      </c>
      <c r="AN18" s="124"/>
      <c r="AO18" s="124" t="str">
        <f t="array" ref="AO18">IFERROR(INDEX($AM$11:$AM$259, MATCH(0, IF(TRUE=$AJ$11:$AJ$259, COUNTIF($AO$10:$AO17, $AM$11:$AM$259), ""), 0)),"")</f>
        <v/>
      </c>
      <c r="AP18" s="124" t="str">
        <f t="array" ref="AP18">IFERROR(INDEX($AM$11:$AM$259, MATCH(0, IF(TRUE=$AK$11:$AK$259, COUNTIF($AP$10:$AP17, $AM$11:$AM$259), ""), 0)),"")</f>
        <v/>
      </c>
      <c r="AQ18" s="124" t="str">
        <f t="array" ref="AQ18">IFERROR(INDEX($AM$11:$AM$259, MATCH(0, IF(TRUE=$AL$11:$AL$259, COUNTIF($AQ$10:$AQ17, $AM$11:$AM$259), ""), 0)),"")</f>
        <v/>
      </c>
      <c r="AU18" s="30">
        <f t="shared" si="7"/>
        <v>0</v>
      </c>
      <c r="AY18" s="374" t="str">
        <f t="shared" si="6"/>
        <v/>
      </c>
    </row>
    <row r="19" spans="1:51">
      <c r="A19" s="30" t="str">
        <f>IFERROR(INDEX('G-1 All Habitats'!$AG$3:$AG$17,MATCH(E19,'G-1 All Habitats'!$AF$3:$AF$17,0)),"")</f>
        <v/>
      </c>
      <c r="B19" s="30" t="str">
        <f>IFERROR(INDEX('G-8 Condition Look up'!$I$4:$I$135,MATCH(G19,'G-8 Condition Look up'!$A$4:$A$135,0)),"")</f>
        <v/>
      </c>
      <c r="D19" s="110">
        <v>9</v>
      </c>
      <c r="E19" s="339"/>
      <c r="F19" s="339"/>
      <c r="G19" s="295" t="str">
        <f>IFERROR(INDEX('G-1 All Habitats'!$B$3:$B$134,MATCH(F19,'G-1 All Habitats'!$A$3:$A$134,0)),"")</f>
        <v/>
      </c>
      <c r="H19" s="53"/>
      <c r="I19" s="722" t="str">
        <f>IF(G19="","",VLOOKUP(G19,'G-1 All Habitats'!$B$2:$M$134,10,FALSE))</f>
        <v/>
      </c>
      <c r="J19" s="490" t="str">
        <f>IFERROR(VLOOKUP(I19,'G-1 All Habitats'!$V$3:$W$7,2,FALSE),"")</f>
        <v/>
      </c>
      <c r="K19" s="54"/>
      <c r="L19" s="490" t="str">
        <f>IFERROR(INDEX('G-8 Condition Look up'!$A$3:$H$135,MATCH(G19,'G-8 Condition Look up'!$A$3:$A$135,0),MATCH(K19,'G-8 Condition Look up'!$A$3:$H$3,0)),"")</f>
        <v/>
      </c>
      <c r="M19" s="723"/>
      <c r="N19" s="404" t="str">
        <f>IF(M19="","",IF(VLOOKUP(M19,'G-3 Multipliers'!$L$3:$N$6,2,FALSE)=0,"Spatial Data Missing ⚠",VLOOKUP(M19,'G-3 Multipliers'!$L$3:$N$6,2,FALSE)))</f>
        <v/>
      </c>
      <c r="O19" s="452" t="str">
        <f>IF(M19="","",IF(VLOOKUP(M19,'G-3 Multipliers'!$L$3:$N$6,3,FALSE)=0,"Spatial Data Missing ⚠",VLOOKUP(M19,'G-3 Multipliers'!$L$3:$N$6,3,FALSE)))</f>
        <v/>
      </c>
      <c r="P19" s="369" t="str">
        <f>IFERROR(VLOOKUP(G19,'G-1 All Habitats'!$B$2:$M$134,12,FALSE),"")</f>
        <v/>
      </c>
      <c r="Q19" s="725" t="str">
        <f>IFERROR(IF(P19="","",IF(AND(P19='G-1 All Habitats'!$X$3,W19&gt;0),X19+(Y19*S19),IF(AND(P19='G-1 All Habitats'!$X$3,V19&gt;0),X19+(Y19*S19),IF(AND(P19='G-1 All Habitats'!$X$3,AG19&gt;0),"Any Loss Unacceptable  ⚠",IF(AND(P19='G-1 All Habitats'!$X$3,Z19&gt;0),"Any Loss Unacceptable ⚠",H19*J19*L19*O19*S19))))),"Check Data ⚠")</f>
        <v/>
      </c>
      <c r="R19" s="516"/>
      <c r="S19" s="724" t="str">
        <f>IF(R19="","",IF(VLOOKUP(R19,'G-3 Multipliers'!$S$3:$T$10,2,FALSE)=0,"Spatial Data Missing ⚠",VLOOKUP(R19,'G-3 Multipliers'!$S$3:$T$10,2,FALSE)))</f>
        <v/>
      </c>
      <c r="T19" s="376" t="str">
        <f>IFERROR(IF(P19="","",IF(AND(P19='G-1 All Habitats'!$X$3,W19&gt;0),X19+Y19,IF(AND(P19='G-1 All Habitats'!$X$3,V19&gt;0),X19+Y19,IF(AND(P19='G-1 All Habitats'!$X$3,AG19&gt;0),"Any Loss Unacceptable ⚠", IF(R19="","", IF(AND(P19='G-1 All Habitats'!$X$3,Z19&gt;0),"Any Loss Unacceptable ⚠",H19*J19*L19*O19)))))),"Check Data ⚠")</f>
        <v/>
      </c>
      <c r="U19" s="38"/>
      <c r="V19" s="54"/>
      <c r="W19" s="55"/>
      <c r="X19" s="374" t="str">
        <f t="shared" si="0"/>
        <v/>
      </c>
      <c r="Y19" s="374" t="str">
        <f t="shared" si="1"/>
        <v/>
      </c>
      <c r="Z19" s="374" t="str">
        <f>IF(E19="","",IF(H19&lt;V19+W19,"Error in Areas ▲",IF(P19&lt;&gt;'G-1 All Habitats'!$X$3,H19-V19-W19,IF(AND(P19='G-1 All Habitats'!$X$3,AB19="Yes"),"Unacceptable Loss ⚠",IF(AND(P19='G-1 All Habitats'!$X$3,AB19="No"),AG19,IF(AND(P19='G-1 All Habitats'!$X$3,AB19=""),AG19,IF(AND(P19='G-1 All Habitats'!$X$3,AG19="None",AG19),IF(AND(P19='G-1 All Habitats'!$X$3,AG19&gt;0),H19-V19-W19))))))))</f>
        <v/>
      </c>
      <c r="AA19" s="405" t="str">
        <f>IFERROR(IF(H19="","",IF(H19-V19-W19=0&lt;0,"Error in Areas ▲",IF(V19+W19&gt;H19,"Error in Areas ▲",IF(AND(P19='G-1 All Habitats'!$X$3,AB19="Yes"),"Alternative Compensation ✓",IF(Z19=0,0,IF(P19='G-1 All Habitats'!$X$3,"Any Loss Unacceptable ▲",T19-X19-Y19)))))),"Check Data ⚠")</f>
        <v/>
      </c>
      <c r="AB19" s="837"/>
      <c r="AC19" s="119"/>
      <c r="AD19" s="528"/>
      <c r="AE19" s="120"/>
      <c r="AF19" s="687"/>
      <c r="AG19" s="744" t="str">
        <f>IF(P19="","",IF(P19='G-1 All Habitats'!$X$3,H19-V19-W19,"None"))</f>
        <v/>
      </c>
      <c r="AH19" s="744" t="str">
        <f t="shared" si="2"/>
        <v/>
      </c>
      <c r="AJ19" s="124" t="str">
        <f t="shared" si="3"/>
        <v/>
      </c>
      <c r="AK19" s="124" t="str">
        <f t="shared" si="4"/>
        <v/>
      </c>
      <c r="AL19" s="124" t="str">
        <f>IF(I19="","",IF(#REF!&gt;0,TRUE,FALSE))</f>
        <v/>
      </c>
      <c r="AM19" s="124">
        <v>9</v>
      </c>
      <c r="AN19" s="124"/>
      <c r="AO19" s="124" t="str">
        <f t="array" ref="AO19">IFERROR(INDEX($AM$11:$AM$259, MATCH(0, IF(TRUE=$AJ$11:$AJ$259, COUNTIF($AO$10:$AO18, $AM$11:$AM$259), ""), 0)),"")</f>
        <v/>
      </c>
      <c r="AP19" s="124" t="str">
        <f t="array" ref="AP19">IFERROR(INDEX($AM$11:$AM$259, MATCH(0, IF(TRUE=$AK$11:$AK$259, COUNTIF($AP$10:$AP18, $AM$11:$AM$259), ""), 0)),"")</f>
        <v/>
      </c>
      <c r="AQ19" s="124" t="str">
        <f t="array" ref="AQ19">IFERROR(INDEX($AM$11:$AM$259, MATCH(0, IF(TRUE=$AL$11:$AL$259, COUNTIF($AQ$10:$AQ18, $AM$11:$AM$259), ""), 0)),"")</f>
        <v/>
      </c>
      <c r="AU19" s="30">
        <f t="shared" si="7"/>
        <v>0</v>
      </c>
      <c r="AY19" s="374" t="str">
        <f t="shared" si="6"/>
        <v/>
      </c>
    </row>
    <row r="20" spans="1:51">
      <c r="A20" s="30" t="str">
        <f>IFERROR(INDEX('G-1 All Habitats'!$AG$3:$AG$17,MATCH(E20,'G-1 All Habitats'!$AF$3:$AF$17,0)),"")</f>
        <v/>
      </c>
      <c r="B20" s="30" t="str">
        <f>IFERROR(INDEX('G-8 Condition Look up'!$I$4:$I$135,MATCH(G20,'G-8 Condition Look up'!$A$4:$A$135,0)),"")</f>
        <v/>
      </c>
      <c r="D20" s="110">
        <v>10</v>
      </c>
      <c r="E20" s="339"/>
      <c r="F20" s="339"/>
      <c r="G20" s="295" t="str">
        <f>IFERROR(INDEX('G-1 All Habitats'!$B$3:$B$134,MATCH(F20,'G-1 All Habitats'!$A$3:$A$134,0)),"")</f>
        <v/>
      </c>
      <c r="H20" s="53"/>
      <c r="I20" s="722" t="str">
        <f>IF(G20="","",VLOOKUP(G20,'G-1 All Habitats'!$B$2:$M$134,10,FALSE))</f>
        <v/>
      </c>
      <c r="J20" s="490" t="str">
        <f>IFERROR(VLOOKUP(I20,'G-1 All Habitats'!$V$3:$W$7,2,FALSE),"")</f>
        <v/>
      </c>
      <c r="K20" s="54"/>
      <c r="L20" s="490" t="str">
        <f>IFERROR(INDEX('G-8 Condition Look up'!$A$3:$H$135,MATCH(G20,'G-8 Condition Look up'!$A$3:$A$135,0),MATCH(K20,'G-8 Condition Look up'!$A$3:$H$3,0)),"")</f>
        <v/>
      </c>
      <c r="M20" s="723"/>
      <c r="N20" s="404" t="str">
        <f>IF(M20="","",IF(VLOOKUP(M20,'G-3 Multipliers'!$L$3:$N$6,2,FALSE)=0,"Spatial Data Missing ⚠",VLOOKUP(M20,'G-3 Multipliers'!$L$3:$N$6,2,FALSE)))</f>
        <v/>
      </c>
      <c r="O20" s="452" t="str">
        <f>IF(M20="","",IF(VLOOKUP(M20,'G-3 Multipliers'!$L$3:$N$6,3,FALSE)=0,"Spatial Data Missing ⚠",VLOOKUP(M20,'G-3 Multipliers'!$L$3:$N$6,3,FALSE)))</f>
        <v/>
      </c>
      <c r="P20" s="369" t="str">
        <f>IFERROR(VLOOKUP(G20,'G-1 All Habitats'!$B$2:$M$134,12,FALSE),"")</f>
        <v/>
      </c>
      <c r="Q20" s="725" t="str">
        <f>IFERROR(IF(P20="","",IF(AND(P20='G-1 All Habitats'!$X$3,W20&gt;0),X20+(Y20*S20),IF(AND(P20='G-1 All Habitats'!$X$3,V20&gt;0),X20+(Y20*S20),IF(AND(P20='G-1 All Habitats'!$X$3,AG20&gt;0),"Any Loss Unacceptable  ⚠",IF(AND(P20='G-1 All Habitats'!$X$3,Z20&gt;0),"Any Loss Unacceptable ⚠",H20*J20*L20*O20*S20))))),"Check Data ⚠")</f>
        <v/>
      </c>
      <c r="R20" s="516"/>
      <c r="S20" s="724" t="str">
        <f>IF(R20="","",IF(VLOOKUP(R20,'G-3 Multipliers'!$S$3:$T$10,2,FALSE)=0,"Spatial Data Missing ⚠",VLOOKUP(R20,'G-3 Multipliers'!$S$3:$T$10,2,FALSE)))</f>
        <v/>
      </c>
      <c r="T20" s="376" t="str">
        <f>IFERROR(IF(P20="","",IF(AND(P20='G-1 All Habitats'!$X$3,W20&gt;0),X20+Y20,IF(AND(P20='G-1 All Habitats'!$X$3,V20&gt;0),X20+Y20,IF(AND(P20='G-1 All Habitats'!$X$3,AG20&gt;0),"Any Loss Unacceptable ⚠", IF(R20="","", IF(AND(P20='G-1 All Habitats'!$X$3,Z20&gt;0),"Any Loss Unacceptable ⚠",H20*J20*L20*O20)))))),"Check Data ⚠")</f>
        <v/>
      </c>
      <c r="U20" s="38"/>
      <c r="V20" s="54"/>
      <c r="W20" s="55"/>
      <c r="X20" s="374" t="str">
        <f t="shared" si="0"/>
        <v/>
      </c>
      <c r="Y20" s="374" t="str">
        <f t="shared" si="1"/>
        <v/>
      </c>
      <c r="Z20" s="374" t="str">
        <f>IF(E20="","",IF(H20&lt;V20+W20,"Error in Areas ▲",IF(P20&lt;&gt;'G-1 All Habitats'!$X$3,H20-V20-W20,IF(AND(P20='G-1 All Habitats'!$X$3,AB20="Yes"),"Unacceptable Loss ⚠",IF(AND(P20='G-1 All Habitats'!$X$3,AB20="No"),AG20,IF(AND(P20='G-1 All Habitats'!$X$3,AB20=""),AG20,IF(AND(P20='G-1 All Habitats'!$X$3,AG20="None",AG20),IF(AND(P20='G-1 All Habitats'!$X$3,AG20&gt;0),H20-V20-W20))))))))</f>
        <v/>
      </c>
      <c r="AA20" s="405" t="str">
        <f>IFERROR(IF(H20="","",IF(H20-V20-W20=0&lt;0,"Error in Areas ▲",IF(V20+W20&gt;H20,"Error in Areas ▲",IF(AND(P20='G-1 All Habitats'!$X$3,AB20="Yes"),"Alternative Compensation ✓",IF(Z20=0,0,IF(P20='G-1 All Habitats'!$X$3,"Any Loss Unacceptable ▲",T20-X20-Y20)))))),"Check Data ⚠")</f>
        <v/>
      </c>
      <c r="AB20" s="837"/>
      <c r="AC20" s="119"/>
      <c r="AD20" s="528"/>
      <c r="AE20" s="120"/>
      <c r="AF20" s="687"/>
      <c r="AG20" s="744" t="str">
        <f>IF(P20="","",IF(P20='G-1 All Habitats'!$X$3,H20-V20-W20,"None"))</f>
        <v/>
      </c>
      <c r="AH20" s="744" t="str">
        <f t="shared" si="2"/>
        <v/>
      </c>
      <c r="AJ20" s="124" t="str">
        <f t="shared" si="3"/>
        <v/>
      </c>
      <c r="AK20" s="124" t="str">
        <f t="shared" si="4"/>
        <v/>
      </c>
      <c r="AL20" s="124" t="str">
        <f>IF(I20="","",IF(#REF!&gt;0,TRUE,FALSE))</f>
        <v/>
      </c>
      <c r="AM20" s="124">
        <v>10</v>
      </c>
      <c r="AN20" s="124"/>
      <c r="AO20" s="124" t="str">
        <f t="array" ref="AO20">IFERROR(INDEX($AM$11:$AM$259, MATCH(0, IF(TRUE=$AJ$11:$AJ$259, COUNTIF($AO$10:$AO19, $AM$11:$AM$259), ""), 0)),"")</f>
        <v/>
      </c>
      <c r="AP20" s="124" t="str">
        <f t="array" ref="AP20">IFERROR(INDEX($AM$11:$AM$259, MATCH(0, IF(TRUE=$AK$11:$AK$259, COUNTIF($AP$10:$AP19, $AM$11:$AM$259), ""), 0)),"")</f>
        <v/>
      </c>
      <c r="AQ20" s="124" t="str">
        <f t="array" ref="AQ20">IFERROR(INDEX($AM$11:$AM$259, MATCH(0, IF(TRUE=$AL$11:$AL$259, COUNTIF($AQ$10:$AQ19, $AM$11:$AM$259), ""), 0)),"")</f>
        <v/>
      </c>
      <c r="AU20" s="30">
        <f t="shared" si="7"/>
        <v>0</v>
      </c>
      <c r="AY20" s="374" t="str">
        <f t="shared" si="6"/>
        <v/>
      </c>
    </row>
    <row r="21" spans="1:51">
      <c r="A21" s="30" t="str">
        <f>IFERROR(INDEX('G-1 All Habitats'!$AG$3:$AG$17,MATCH(E21,'G-1 All Habitats'!$AF$3:$AF$17,0)),"")</f>
        <v/>
      </c>
      <c r="B21" s="30" t="str">
        <f>IFERROR(INDEX('G-8 Condition Look up'!$I$4:$I$135,MATCH(G21,'G-8 Condition Look up'!$A$4:$A$135,0)),"")</f>
        <v/>
      </c>
      <c r="D21" s="110">
        <v>11</v>
      </c>
      <c r="E21" s="339"/>
      <c r="F21" s="339"/>
      <c r="G21" s="295" t="str">
        <f>IFERROR(INDEX('G-1 All Habitats'!$B$3:$B$134,MATCH(F21,'G-1 All Habitats'!$A$3:$A$134,0)),"")</f>
        <v/>
      </c>
      <c r="H21" s="53"/>
      <c r="I21" s="722" t="str">
        <f>IF(G21="","",VLOOKUP(G21,'G-1 All Habitats'!$B$2:$M$134,10,FALSE))</f>
        <v/>
      </c>
      <c r="J21" s="490" t="str">
        <f>IFERROR(VLOOKUP(I21,'G-1 All Habitats'!$V$3:$W$7,2,FALSE),"")</f>
        <v/>
      </c>
      <c r="K21" s="54"/>
      <c r="L21" s="490" t="str">
        <f>IFERROR(INDEX('G-8 Condition Look up'!$A$3:$H$135,MATCH(G21,'G-8 Condition Look up'!$A$3:$A$135,0),MATCH(K21,'G-8 Condition Look up'!$A$3:$H$3,0)),"")</f>
        <v/>
      </c>
      <c r="M21" s="723"/>
      <c r="N21" s="404" t="str">
        <f>IF(M21="","",IF(VLOOKUP(M21,'G-3 Multipliers'!$L$3:$N$6,2,FALSE)=0,"Spatial Data Missing ⚠",VLOOKUP(M21,'G-3 Multipliers'!$L$3:$N$6,2,FALSE)))</f>
        <v/>
      </c>
      <c r="O21" s="452" t="str">
        <f>IF(M21="","",IF(VLOOKUP(M21,'G-3 Multipliers'!$L$3:$N$6,3,FALSE)=0,"Spatial Data Missing ⚠",VLOOKUP(M21,'G-3 Multipliers'!$L$3:$N$6,3,FALSE)))</f>
        <v/>
      </c>
      <c r="P21" s="369" t="str">
        <f>IFERROR(VLOOKUP(G21,'G-1 All Habitats'!$B$2:$M$134,12,FALSE),"")</f>
        <v/>
      </c>
      <c r="Q21" s="725" t="str">
        <f>IFERROR(IF(P21="","",IF(AND(P21='G-1 All Habitats'!$X$3,W21&gt;0),X21+(Y21*S21),IF(AND(P21='G-1 All Habitats'!$X$3,V21&gt;0),X21+(Y21*S21),IF(AND(P21='G-1 All Habitats'!$X$3,AG21&gt;0),"Any Loss Unacceptable  ⚠",IF(AND(P21='G-1 All Habitats'!$X$3,Z21&gt;0),"Any Loss Unacceptable ⚠",H21*J21*L21*O21*S21))))),"Check Data ⚠")</f>
        <v/>
      </c>
      <c r="R21" s="516"/>
      <c r="S21" s="724" t="str">
        <f>IF(R21="","",IF(VLOOKUP(R21,'G-3 Multipliers'!$S$3:$T$10,2,FALSE)=0,"Spatial Data Missing ⚠",VLOOKUP(R21,'G-3 Multipliers'!$S$3:$T$10,2,FALSE)))</f>
        <v/>
      </c>
      <c r="T21" s="376" t="str">
        <f>IFERROR(IF(P21="","",IF(AND(P21='G-1 All Habitats'!$X$3,W21&gt;0),X21+Y21,IF(AND(P21='G-1 All Habitats'!$X$3,V21&gt;0),X21+Y21,IF(AND(P21='G-1 All Habitats'!$X$3,AG21&gt;0),"Any Loss Unacceptable ⚠", IF(R21="","", IF(AND(P21='G-1 All Habitats'!$X$3,Z21&gt;0),"Any Loss Unacceptable ⚠",H21*J21*L21*O21)))))),"Check Data ⚠")</f>
        <v/>
      </c>
      <c r="U21" s="38"/>
      <c r="V21" s="54"/>
      <c r="W21" s="55"/>
      <c r="X21" s="374" t="str">
        <f t="shared" si="0"/>
        <v/>
      </c>
      <c r="Y21" s="374" t="str">
        <f t="shared" si="1"/>
        <v/>
      </c>
      <c r="Z21" s="374" t="str">
        <f>IF(E21="","",IF(H21&lt;V21+W21,"Error in Areas ▲",IF(P21&lt;&gt;'G-1 All Habitats'!$X$3,H21-V21-W21,IF(AND(P21='G-1 All Habitats'!$X$3,AB21="Yes"),"Unacceptable Loss ⚠",IF(AND(P21='G-1 All Habitats'!$X$3,AB21="No"),AG21,IF(AND(P21='G-1 All Habitats'!$X$3,AB21=""),AG21,IF(AND(P21='G-1 All Habitats'!$X$3,AG21="None",AG21),IF(AND(P21='G-1 All Habitats'!$X$3,AG21&gt;0),H21-V21-W21))))))))</f>
        <v/>
      </c>
      <c r="AA21" s="405" t="str">
        <f>IFERROR(IF(H21="","",IF(H21-V21-W21=0&lt;0,"Error in Areas ▲",IF(V21+W21&gt;H21,"Error in Areas ▲",IF(AND(P21='G-1 All Habitats'!$X$3,AB21="Yes"),"Alternative Compensation ✓",IF(Z21=0,0,IF(P21='G-1 All Habitats'!$X$3,"Any Loss Unacceptable ▲",T21-X21-Y21)))))),"Check Data ⚠")</f>
        <v/>
      </c>
      <c r="AB21" s="837"/>
      <c r="AC21" s="119"/>
      <c r="AD21" s="528"/>
      <c r="AE21" s="120"/>
      <c r="AF21" s="687"/>
      <c r="AG21" s="744" t="str">
        <f>IF(P21="","",IF(P21='G-1 All Habitats'!$X$3,H21-V21-W21,"None"))</f>
        <v/>
      </c>
      <c r="AH21" s="744" t="str">
        <f t="shared" si="2"/>
        <v/>
      </c>
      <c r="AJ21" s="124" t="str">
        <f t="shared" si="3"/>
        <v/>
      </c>
      <c r="AK21" s="124" t="str">
        <f t="shared" si="4"/>
        <v/>
      </c>
      <c r="AL21" s="124" t="str">
        <f>IF(I21="","",IF(#REF!&gt;0,TRUE,FALSE))</f>
        <v/>
      </c>
      <c r="AM21" s="124">
        <v>11</v>
      </c>
      <c r="AN21" s="124"/>
      <c r="AO21" s="124" t="str">
        <f t="array" ref="AO21">IFERROR(INDEX($AM$11:$AM$259, MATCH(0, IF(TRUE=$AJ$11:$AJ$259, COUNTIF($AO$10:$AO20, $AM$11:$AM$259), ""), 0)),"")</f>
        <v/>
      </c>
      <c r="AP21" s="124" t="str">
        <f t="array" ref="AP21">IFERROR(INDEX($AM$11:$AM$259, MATCH(0, IF(TRUE=$AK$11:$AK$259, COUNTIF($AP$10:$AP20, $AM$11:$AM$259), ""), 0)),"")</f>
        <v/>
      </c>
      <c r="AQ21" s="124" t="str">
        <f t="array" ref="AQ21">IFERROR(INDEX($AM$11:$AM$259, MATCH(0, IF(TRUE=$AL$11:$AL$259, COUNTIF($AQ$10:$AQ20, $AM$11:$AM$259), ""), 0)),"")</f>
        <v/>
      </c>
      <c r="AU21" s="30">
        <f t="shared" si="7"/>
        <v>0</v>
      </c>
      <c r="AY21" s="374" t="str">
        <f t="shared" si="6"/>
        <v/>
      </c>
    </row>
    <row r="22" spans="1:51">
      <c r="A22" s="30" t="str">
        <f>IFERROR(INDEX('G-1 All Habitats'!$AG$3:$AG$17,MATCH(E22,'G-1 All Habitats'!$AF$3:$AF$17,0)),"")</f>
        <v/>
      </c>
      <c r="B22" s="30" t="str">
        <f>IFERROR(INDEX('G-8 Condition Look up'!$I$4:$I$135,MATCH(G22,'G-8 Condition Look up'!$A$4:$A$135,0)),"")</f>
        <v/>
      </c>
      <c r="D22" s="110">
        <v>12</v>
      </c>
      <c r="E22" s="339"/>
      <c r="F22" s="339"/>
      <c r="G22" s="295" t="str">
        <f>IFERROR(INDEX('G-1 All Habitats'!$B$3:$B$134,MATCH(F22,'G-1 All Habitats'!$A$3:$A$134,0)),"")</f>
        <v/>
      </c>
      <c r="H22" s="53"/>
      <c r="I22" s="722" t="str">
        <f>IF(G22="","",VLOOKUP(G22,'G-1 All Habitats'!$B$2:$M$134,10,FALSE))</f>
        <v/>
      </c>
      <c r="J22" s="490" t="str">
        <f>IFERROR(VLOOKUP(I22,'G-1 All Habitats'!$V$3:$W$7,2,FALSE),"")</f>
        <v/>
      </c>
      <c r="K22" s="54"/>
      <c r="L22" s="490" t="str">
        <f>IFERROR(INDEX('G-8 Condition Look up'!$A$3:$H$135,MATCH(G22,'G-8 Condition Look up'!$A$3:$A$135,0),MATCH(K22,'G-8 Condition Look up'!$A$3:$H$3,0)),"")</f>
        <v/>
      </c>
      <c r="M22" s="723"/>
      <c r="N22" s="404" t="str">
        <f>IF(M22="","",IF(VLOOKUP(M22,'G-3 Multipliers'!$L$3:$N$6,2,FALSE)=0,"Spatial Data Missing ⚠",VLOOKUP(M22,'G-3 Multipliers'!$L$3:$N$6,2,FALSE)))</f>
        <v/>
      </c>
      <c r="O22" s="452" t="str">
        <f>IF(M22="","",IF(VLOOKUP(M22,'G-3 Multipliers'!$L$3:$N$6,3,FALSE)=0,"Spatial Data Missing ⚠",VLOOKUP(M22,'G-3 Multipliers'!$L$3:$N$6,3,FALSE)))</f>
        <v/>
      </c>
      <c r="P22" s="369" t="str">
        <f>IFERROR(VLOOKUP(G22,'G-1 All Habitats'!$B$2:$M$134,12,FALSE),"")</f>
        <v/>
      </c>
      <c r="Q22" s="725" t="str">
        <f>IFERROR(IF(P22="","",IF(AND(P22='G-1 All Habitats'!$X$3,W22&gt;0),X22+(Y22*S22),IF(AND(P22='G-1 All Habitats'!$X$3,V22&gt;0),X22+(Y22*S22),IF(AND(P22='G-1 All Habitats'!$X$3,AG22&gt;0),"Any Loss Unacceptable  ⚠",IF(AND(P22='G-1 All Habitats'!$X$3,Z22&gt;0),"Any Loss Unacceptable ⚠",H22*J22*L22*O22*S22))))),"Check Data ⚠")</f>
        <v/>
      </c>
      <c r="R22" s="516"/>
      <c r="S22" s="724" t="str">
        <f>IF(R22="","",IF(VLOOKUP(R22,'G-3 Multipliers'!$S$3:$T$10,2,FALSE)=0,"Spatial Data Missing ⚠",VLOOKUP(R22,'G-3 Multipliers'!$S$3:$T$10,2,FALSE)))</f>
        <v/>
      </c>
      <c r="T22" s="376" t="str">
        <f>IFERROR(IF(P22="","",IF(AND(P22='G-1 All Habitats'!$X$3,W22&gt;0),X22+Y22,IF(AND(P22='G-1 All Habitats'!$X$3,V22&gt;0),X22+Y22,IF(AND(P22='G-1 All Habitats'!$X$3,AG22&gt;0),"Any Loss Unacceptable ⚠", IF(R22="","", IF(AND(P22='G-1 All Habitats'!$X$3,Z22&gt;0),"Any Loss Unacceptable ⚠",H22*J22*L22*O22)))))),"Check Data ⚠")</f>
        <v/>
      </c>
      <c r="U22" s="38"/>
      <c r="V22" s="54"/>
      <c r="W22" s="55"/>
      <c r="X22" s="374" t="str">
        <f t="shared" si="0"/>
        <v/>
      </c>
      <c r="Y22" s="374" t="str">
        <f t="shared" si="1"/>
        <v/>
      </c>
      <c r="Z22" s="374" t="str">
        <f>IF(E22="","",IF(H22&lt;V22+W22,"Error in Areas ▲",IF(P22&lt;&gt;'G-1 All Habitats'!$X$3,H22-V22-W22,IF(AND(P22='G-1 All Habitats'!$X$3,AB22="Yes"),"Unacceptable Loss ⚠",IF(AND(P22='G-1 All Habitats'!$X$3,AB22="No"),AG22,IF(AND(P22='G-1 All Habitats'!$X$3,AB22=""),AG22,IF(AND(P22='G-1 All Habitats'!$X$3,AG22="None",AG22),IF(AND(P22='G-1 All Habitats'!$X$3,AG22&gt;0),H22-V22-W22))))))))</f>
        <v/>
      </c>
      <c r="AA22" s="405" t="str">
        <f>IFERROR(IF(H22="","",IF(H22-V22-W22=0&lt;0,"Error in Areas ▲",IF(V22+W22&gt;H22,"Error in Areas ▲",IF(AND(P22='G-1 All Habitats'!$X$3,AB22="Yes"),"Alternative Compensation ✓",IF(Z22=0,0,IF(P22='G-1 All Habitats'!$X$3,"Any Loss Unacceptable ▲",T22-X22-Y22)))))),"Check Data ⚠")</f>
        <v/>
      </c>
      <c r="AB22" s="837"/>
      <c r="AC22" s="119"/>
      <c r="AD22" s="528"/>
      <c r="AE22" s="120"/>
      <c r="AF22" s="687"/>
      <c r="AG22" s="744" t="str">
        <f>IF(P22="","",IF(P22='G-1 All Habitats'!$X$3,H22-V22-W22,"None"))</f>
        <v/>
      </c>
      <c r="AH22" s="744" t="str">
        <f t="shared" si="2"/>
        <v/>
      </c>
      <c r="AJ22" s="124" t="str">
        <f t="shared" si="3"/>
        <v/>
      </c>
      <c r="AK22" s="124" t="str">
        <f t="shared" si="4"/>
        <v/>
      </c>
      <c r="AL22" s="124" t="str">
        <f>IF(I22="","",IF(#REF!&gt;0,TRUE,FALSE))</f>
        <v/>
      </c>
      <c r="AM22" s="124">
        <v>12</v>
      </c>
      <c r="AN22" s="124"/>
      <c r="AO22" s="124" t="str">
        <f t="array" ref="AO22">IFERROR(INDEX($AM$11:$AM$259, MATCH(0, IF(TRUE=$AJ$11:$AJ$259, COUNTIF($AO$10:$AO21, $AM$11:$AM$259), ""), 0)),"")</f>
        <v/>
      </c>
      <c r="AP22" s="124" t="str">
        <f t="array" ref="AP22">IFERROR(INDEX($AM$11:$AM$259, MATCH(0, IF(TRUE=$AK$11:$AK$259, COUNTIF($AP$10:$AP21, $AM$11:$AM$259), ""), 0)),"")</f>
        <v/>
      </c>
      <c r="AQ22" s="124" t="str">
        <f t="array" ref="AQ22">IFERROR(INDEX($AM$11:$AM$259, MATCH(0, IF(TRUE=$AL$11:$AL$259, COUNTIF($AQ$10:$AQ21, $AM$11:$AM$259), ""), 0)),"")</f>
        <v/>
      </c>
      <c r="AU22" s="30">
        <f t="shared" si="7"/>
        <v>0</v>
      </c>
      <c r="AY22" s="374" t="str">
        <f t="shared" si="6"/>
        <v/>
      </c>
    </row>
    <row r="23" spans="1:51">
      <c r="A23" s="30" t="str">
        <f>IFERROR(INDEX('G-1 All Habitats'!$AG$3:$AG$17,MATCH(E23,'G-1 All Habitats'!$AF$3:$AF$17,0)),"")</f>
        <v/>
      </c>
      <c r="B23" s="30" t="str">
        <f>IFERROR(INDEX('G-8 Condition Look up'!$I$4:$I$135,MATCH(G23,'G-8 Condition Look up'!$A$4:$A$135,0)),"")</f>
        <v/>
      </c>
      <c r="D23" s="110">
        <v>13</v>
      </c>
      <c r="E23" s="339"/>
      <c r="F23" s="339"/>
      <c r="G23" s="295" t="str">
        <f>IFERROR(INDEX('G-1 All Habitats'!$B$3:$B$134,MATCH(F23,'G-1 All Habitats'!$A$3:$A$134,0)),"")</f>
        <v/>
      </c>
      <c r="H23" s="53"/>
      <c r="I23" s="722" t="str">
        <f>IF(G23="","",VLOOKUP(G23,'G-1 All Habitats'!$B$2:$M$134,10,FALSE))</f>
        <v/>
      </c>
      <c r="J23" s="490" t="str">
        <f>IFERROR(VLOOKUP(I23,'G-1 All Habitats'!$V$3:$W$7,2,FALSE),"")</f>
        <v/>
      </c>
      <c r="K23" s="54"/>
      <c r="L23" s="490" t="str">
        <f>IFERROR(INDEX('G-8 Condition Look up'!$A$3:$H$135,MATCH(G23,'G-8 Condition Look up'!$A$3:$A$135,0),MATCH(K23,'G-8 Condition Look up'!$A$3:$H$3,0)),"")</f>
        <v/>
      </c>
      <c r="M23" s="723"/>
      <c r="N23" s="404" t="str">
        <f>IF(M23="","",IF(VLOOKUP(M23,'G-3 Multipliers'!$L$3:$N$6,2,FALSE)=0,"Spatial Data Missing ⚠",VLOOKUP(M23,'G-3 Multipliers'!$L$3:$N$6,2,FALSE)))</f>
        <v/>
      </c>
      <c r="O23" s="452" t="str">
        <f>IF(M23="","",IF(VLOOKUP(M23,'G-3 Multipliers'!$L$3:$N$6,3,FALSE)=0,"Spatial Data Missing ⚠",VLOOKUP(M23,'G-3 Multipliers'!$L$3:$N$6,3,FALSE)))</f>
        <v/>
      </c>
      <c r="P23" s="369" t="str">
        <f>IFERROR(VLOOKUP(G23,'G-1 All Habitats'!$B$2:$M$134,12,FALSE),"")</f>
        <v/>
      </c>
      <c r="Q23" s="725" t="str">
        <f>IFERROR(IF(P23="","",IF(AND(P23='G-1 All Habitats'!$X$3,W23&gt;0),X23+(Y23*S23),IF(AND(P23='G-1 All Habitats'!$X$3,V23&gt;0),X23+(Y23*S23),IF(AND(P23='G-1 All Habitats'!$X$3,AG23&gt;0),"Any Loss Unacceptable  ⚠",IF(AND(P23='G-1 All Habitats'!$X$3,Z23&gt;0),"Any Loss Unacceptable ⚠",H23*J23*L23*O23*S23))))),"Check Data ⚠")</f>
        <v/>
      </c>
      <c r="R23" s="516"/>
      <c r="S23" s="724" t="str">
        <f>IF(R23="","",IF(VLOOKUP(R23,'G-3 Multipliers'!$S$3:$T$10,2,FALSE)=0,"Spatial Data Missing ⚠",VLOOKUP(R23,'G-3 Multipliers'!$S$3:$T$10,2,FALSE)))</f>
        <v/>
      </c>
      <c r="T23" s="376" t="str">
        <f>IFERROR(IF(P23="","",IF(AND(P23='G-1 All Habitats'!$X$3,W23&gt;0),X23+Y23,IF(AND(P23='G-1 All Habitats'!$X$3,V23&gt;0),X23+Y23,IF(AND(P23='G-1 All Habitats'!$X$3,AG23&gt;0),"Any Loss Unacceptable ⚠", IF(R23="","", IF(AND(P23='G-1 All Habitats'!$X$3,Z23&gt;0),"Any Loss Unacceptable ⚠",H23*J23*L23*O23)))))),"Check Data ⚠")</f>
        <v/>
      </c>
      <c r="U23" s="38"/>
      <c r="V23" s="54"/>
      <c r="W23" s="55"/>
      <c r="X23" s="374" t="str">
        <f t="shared" si="0"/>
        <v/>
      </c>
      <c r="Y23" s="374" t="str">
        <f t="shared" si="1"/>
        <v/>
      </c>
      <c r="Z23" s="374" t="str">
        <f>IF(E23="","",IF(H23&lt;V23+W23,"Error in Areas ▲",IF(P23&lt;&gt;'G-1 All Habitats'!$X$3,H23-V23-W23,IF(AND(P23='G-1 All Habitats'!$X$3,AB23="Yes"),"Unacceptable Loss ⚠",IF(AND(P23='G-1 All Habitats'!$X$3,AB23="No"),AG23,IF(AND(P23='G-1 All Habitats'!$X$3,AB23=""),AG23,IF(AND(P23='G-1 All Habitats'!$X$3,AG23="None",AG23),IF(AND(P23='G-1 All Habitats'!$X$3,AG23&gt;0),H23-V23-W23))))))))</f>
        <v/>
      </c>
      <c r="AA23" s="405" t="str">
        <f>IFERROR(IF(H23="","",IF(H23-V23-W23=0&lt;0,"Error in Areas ▲",IF(V23+W23&gt;H23,"Error in Areas ▲",IF(AND(P23='G-1 All Habitats'!$X$3,AB23="Yes"),"Alternative Compensation ✓",IF(Z23=0,0,IF(P23='G-1 All Habitats'!$X$3,"Any Loss Unacceptable ▲",T23-X23-Y23)))))),"Check Data ⚠")</f>
        <v/>
      </c>
      <c r="AB23" s="837"/>
      <c r="AC23" s="119"/>
      <c r="AD23" s="528"/>
      <c r="AE23" s="120"/>
      <c r="AF23" s="687"/>
      <c r="AG23" s="744" t="str">
        <f>IF(P23="","",IF(P23='G-1 All Habitats'!$X$3,H23-V23-W23,"None"))</f>
        <v/>
      </c>
      <c r="AH23" s="744" t="str">
        <f t="shared" si="2"/>
        <v/>
      </c>
      <c r="AJ23" s="124" t="str">
        <f t="shared" si="3"/>
        <v/>
      </c>
      <c r="AK23" s="124" t="str">
        <f t="shared" si="4"/>
        <v/>
      </c>
      <c r="AL23" s="124" t="str">
        <f>IF(I23="","",IF(#REF!&gt;0,TRUE,FALSE))</f>
        <v/>
      </c>
      <c r="AM23" s="124">
        <v>13</v>
      </c>
      <c r="AN23" s="124"/>
      <c r="AO23" s="124" t="str">
        <f t="array" ref="AO23">IFERROR(INDEX($AM$11:$AM$259, MATCH(0, IF(TRUE=$AJ$11:$AJ$259, COUNTIF($AO$10:$AO22, $AM$11:$AM$259), ""), 0)),"")</f>
        <v/>
      </c>
      <c r="AP23" s="124" t="str">
        <f t="array" ref="AP23">IFERROR(INDEX($AM$11:$AM$259, MATCH(0, IF(TRUE=$AK$11:$AK$259, COUNTIF($AP$10:$AP22, $AM$11:$AM$259), ""), 0)),"")</f>
        <v/>
      </c>
      <c r="AQ23" s="124" t="str">
        <f t="array" ref="AQ23">IFERROR(INDEX($AM$11:$AM$259, MATCH(0, IF(TRUE=$AL$11:$AL$259, COUNTIF($AQ$10:$AQ22, $AM$11:$AM$259), ""), 0)),"")</f>
        <v/>
      </c>
      <c r="AU23" s="30">
        <f t="shared" si="7"/>
        <v>0</v>
      </c>
      <c r="AY23" s="374" t="str">
        <f t="shared" si="6"/>
        <v/>
      </c>
    </row>
    <row r="24" spans="1:51">
      <c r="A24" s="30" t="str">
        <f>IFERROR(INDEX('G-1 All Habitats'!$AG$3:$AG$17,MATCH(E24,'G-1 All Habitats'!$AF$3:$AF$17,0)),"")</f>
        <v/>
      </c>
      <c r="B24" s="30" t="str">
        <f>IFERROR(INDEX('G-8 Condition Look up'!$I$4:$I$135,MATCH(G24,'G-8 Condition Look up'!$A$4:$A$135,0)),"")</f>
        <v/>
      </c>
      <c r="D24" s="110">
        <v>14</v>
      </c>
      <c r="E24" s="339"/>
      <c r="F24" s="339"/>
      <c r="G24" s="295" t="str">
        <f>IFERROR(INDEX('G-1 All Habitats'!$B$3:$B$134,MATCH(F24,'G-1 All Habitats'!$A$3:$A$134,0)),"")</f>
        <v/>
      </c>
      <c r="H24" s="53"/>
      <c r="I24" s="722" t="str">
        <f>IF(G24="","",VLOOKUP(G24,'G-1 All Habitats'!$B$2:$M$134,10,FALSE))</f>
        <v/>
      </c>
      <c r="J24" s="490" t="str">
        <f>IFERROR(VLOOKUP(I24,'G-1 All Habitats'!$V$3:$W$7,2,FALSE),"")</f>
        <v/>
      </c>
      <c r="K24" s="54"/>
      <c r="L24" s="490" t="str">
        <f>IFERROR(INDEX('G-8 Condition Look up'!$A$3:$H$135,MATCH(G24,'G-8 Condition Look up'!$A$3:$A$135,0),MATCH(K24,'G-8 Condition Look up'!$A$3:$H$3,0)),"")</f>
        <v/>
      </c>
      <c r="M24" s="723"/>
      <c r="N24" s="404" t="str">
        <f>IF(M24="","",IF(VLOOKUP(M24,'G-3 Multipliers'!$L$3:$N$6,2,FALSE)=0,"Spatial Data Missing ⚠",VLOOKUP(M24,'G-3 Multipliers'!$L$3:$N$6,2,FALSE)))</f>
        <v/>
      </c>
      <c r="O24" s="452" t="str">
        <f>IF(M24="","",IF(VLOOKUP(M24,'G-3 Multipliers'!$L$3:$N$6,3,FALSE)=0,"Spatial Data Missing ⚠",VLOOKUP(M24,'G-3 Multipliers'!$L$3:$N$6,3,FALSE)))</f>
        <v/>
      </c>
      <c r="P24" s="369" t="str">
        <f>IFERROR(VLOOKUP(G24,'G-1 All Habitats'!$B$2:$M$134,12,FALSE),"")</f>
        <v/>
      </c>
      <c r="Q24" s="725" t="str">
        <f>IFERROR(IF(P24="","",IF(AND(P24='G-1 All Habitats'!$X$3,W24&gt;0),X24+(Y24*S24),IF(AND(P24='G-1 All Habitats'!$X$3,V24&gt;0),X24+(Y24*S24),IF(AND(P24='G-1 All Habitats'!$X$3,AG24&gt;0),"Any Loss Unacceptable  ⚠",IF(AND(P24='G-1 All Habitats'!$X$3,Z24&gt;0),"Any Loss Unacceptable ⚠",H24*J24*L24*O24*S24))))),"Check Data ⚠")</f>
        <v/>
      </c>
      <c r="R24" s="516"/>
      <c r="S24" s="724" t="str">
        <f>IF(R24="","",IF(VLOOKUP(R24,'G-3 Multipliers'!$S$3:$T$10,2,FALSE)=0,"Spatial Data Missing ⚠",VLOOKUP(R24,'G-3 Multipliers'!$S$3:$T$10,2,FALSE)))</f>
        <v/>
      </c>
      <c r="T24" s="376" t="str">
        <f>IFERROR(IF(P24="","",IF(AND(P24='G-1 All Habitats'!$X$3,W24&gt;0),X24+Y24,IF(AND(P24='G-1 All Habitats'!$X$3,V24&gt;0),X24+Y24,IF(AND(P24='G-1 All Habitats'!$X$3,AG24&gt;0),"Any Loss Unacceptable ⚠", IF(R24="","", IF(AND(P24='G-1 All Habitats'!$X$3,Z24&gt;0),"Any Loss Unacceptable ⚠",H24*J24*L24*O24)))))),"Check Data ⚠")</f>
        <v/>
      </c>
      <c r="U24" s="38"/>
      <c r="V24" s="54"/>
      <c r="W24" s="55"/>
      <c r="X24" s="374" t="str">
        <f t="shared" si="0"/>
        <v/>
      </c>
      <c r="Y24" s="374" t="str">
        <f t="shared" si="1"/>
        <v/>
      </c>
      <c r="Z24" s="374" t="str">
        <f>IF(E24="","",IF(H24&lt;V24+W24,"Error in Areas ▲",IF(P24&lt;&gt;'G-1 All Habitats'!$X$3,H24-V24-W24,IF(AND(P24='G-1 All Habitats'!$X$3,AB24="Yes"),"Unacceptable Loss ⚠",IF(AND(P24='G-1 All Habitats'!$X$3,AB24="No"),AG24,IF(AND(P24='G-1 All Habitats'!$X$3,AB24=""),AG24,IF(AND(P24='G-1 All Habitats'!$X$3,AG24="None",AG24),IF(AND(P24='G-1 All Habitats'!$X$3,AG24&gt;0),H24-V24-W24))))))))</f>
        <v/>
      </c>
      <c r="AA24" s="405" t="str">
        <f>IFERROR(IF(H24="","",IF(H24-V24-W24=0&lt;0,"Error in Areas ▲",IF(V24+W24&gt;H24,"Error in Areas ▲",IF(AND(P24='G-1 All Habitats'!$X$3,AB24="Yes"),"Alternative Compensation ✓",IF(Z24=0,0,IF(P24='G-1 All Habitats'!$X$3,"Any Loss Unacceptable ▲",T24-X24-Y24)))))),"Check Data ⚠")</f>
        <v/>
      </c>
      <c r="AB24" s="837"/>
      <c r="AC24" s="119"/>
      <c r="AD24" s="528"/>
      <c r="AE24" s="120"/>
      <c r="AF24" s="687"/>
      <c r="AG24" s="744" t="str">
        <f>IF(P24="","",IF(P24='G-1 All Habitats'!$X$3,H24-V24-W24,"None"))</f>
        <v/>
      </c>
      <c r="AH24" s="744" t="str">
        <f t="shared" si="2"/>
        <v/>
      </c>
      <c r="AJ24" s="124" t="str">
        <f t="shared" si="3"/>
        <v/>
      </c>
      <c r="AK24" s="124" t="str">
        <f t="shared" si="4"/>
        <v/>
      </c>
      <c r="AL24" s="124" t="str">
        <f>IF(I24="","",IF(#REF!&gt;0,TRUE,FALSE))</f>
        <v/>
      </c>
      <c r="AM24" s="124">
        <v>14</v>
      </c>
      <c r="AN24" s="124"/>
      <c r="AO24" s="124" t="str">
        <f t="array" ref="AO24">IFERROR(INDEX($AM$11:$AM$259, MATCH(0, IF(TRUE=$AJ$11:$AJ$259, COUNTIF($AO$10:$AO23, $AM$11:$AM$259), ""), 0)),"")</f>
        <v/>
      </c>
      <c r="AP24" s="124" t="str">
        <f t="array" ref="AP24">IFERROR(INDEX($AM$11:$AM$259, MATCH(0, IF(TRUE=$AK$11:$AK$259, COUNTIF($AP$10:$AP23, $AM$11:$AM$259), ""), 0)),"")</f>
        <v/>
      </c>
      <c r="AQ24" s="124" t="str">
        <f t="array" ref="AQ24">IFERROR(INDEX($AM$11:$AM$259, MATCH(0, IF(TRUE=$AL$11:$AL$259, COUNTIF($AQ$10:$AQ23, $AM$11:$AM$259), ""), 0)),"")</f>
        <v/>
      </c>
      <c r="AU24" s="30">
        <f t="shared" si="7"/>
        <v>0</v>
      </c>
      <c r="AY24" s="374" t="str">
        <f t="shared" si="6"/>
        <v/>
      </c>
    </row>
    <row r="25" spans="1:51">
      <c r="A25" s="30" t="str">
        <f>IFERROR(INDEX('G-1 All Habitats'!$AG$3:$AG$17,MATCH(E25,'G-1 All Habitats'!$AF$3:$AF$17,0)),"")</f>
        <v/>
      </c>
      <c r="B25" s="30" t="str">
        <f>IFERROR(INDEX('G-8 Condition Look up'!$I$4:$I$135,MATCH(G25,'G-8 Condition Look up'!$A$4:$A$135,0)),"")</f>
        <v/>
      </c>
      <c r="D25" s="110">
        <v>15</v>
      </c>
      <c r="E25" s="339"/>
      <c r="F25" s="339"/>
      <c r="G25" s="295" t="str">
        <f>IFERROR(INDEX('G-1 All Habitats'!$B$3:$B$134,MATCH(F25,'G-1 All Habitats'!$A$3:$A$134,0)),"")</f>
        <v/>
      </c>
      <c r="H25" s="53"/>
      <c r="I25" s="722" t="str">
        <f>IF(G25="","",VLOOKUP(G25,'G-1 All Habitats'!$B$2:$M$134,10,FALSE))</f>
        <v/>
      </c>
      <c r="J25" s="490" t="str">
        <f>IFERROR(VLOOKUP(I25,'G-1 All Habitats'!$V$3:$W$7,2,FALSE),"")</f>
        <v/>
      </c>
      <c r="K25" s="54"/>
      <c r="L25" s="490" t="str">
        <f>IFERROR(INDEX('G-8 Condition Look up'!$A$3:$H$135,MATCH(G25,'G-8 Condition Look up'!$A$3:$A$135,0),MATCH(K25,'G-8 Condition Look up'!$A$3:$H$3,0)),"")</f>
        <v/>
      </c>
      <c r="M25" s="723"/>
      <c r="N25" s="404" t="str">
        <f>IF(M25="","",IF(VLOOKUP(M25,'G-3 Multipliers'!$L$3:$N$6,2,FALSE)=0,"Spatial Data Missing ⚠",VLOOKUP(M25,'G-3 Multipliers'!$L$3:$N$6,2,FALSE)))</f>
        <v/>
      </c>
      <c r="O25" s="452" t="str">
        <f>IF(M25="","",IF(VLOOKUP(M25,'G-3 Multipliers'!$L$3:$N$6,3,FALSE)=0,"Spatial Data Missing ⚠",VLOOKUP(M25,'G-3 Multipliers'!$L$3:$N$6,3,FALSE)))</f>
        <v/>
      </c>
      <c r="P25" s="369" t="str">
        <f>IFERROR(VLOOKUP(G25,'G-1 All Habitats'!$B$2:$M$134,12,FALSE),"")</f>
        <v/>
      </c>
      <c r="Q25" s="725" t="str">
        <f>IFERROR(IF(P25="","",IF(AND(P25='G-1 All Habitats'!$X$3,W25&gt;0),X25+(Y25*S25),IF(AND(P25='G-1 All Habitats'!$X$3,V25&gt;0),X25+(Y25*S25),IF(AND(P25='G-1 All Habitats'!$X$3,AG25&gt;0),"Any Loss Unacceptable  ⚠",IF(AND(P25='G-1 All Habitats'!$X$3,Z25&gt;0),"Any Loss Unacceptable ⚠",H25*J25*L25*O25*S25))))),"Check Data ⚠")</f>
        <v/>
      </c>
      <c r="R25" s="516"/>
      <c r="S25" s="724" t="str">
        <f>IF(R25="","",IF(VLOOKUP(R25,'G-3 Multipliers'!$S$3:$T$10,2,FALSE)=0,"Spatial Data Missing ⚠",VLOOKUP(R25,'G-3 Multipliers'!$S$3:$T$10,2,FALSE)))</f>
        <v/>
      </c>
      <c r="T25" s="376" t="str">
        <f>IFERROR(IF(P25="","",IF(AND(P25='G-1 All Habitats'!$X$3,W25&gt;0),X25+Y25,IF(AND(P25='G-1 All Habitats'!$X$3,V25&gt;0),X25+Y25,IF(AND(P25='G-1 All Habitats'!$X$3,AG25&gt;0),"Any Loss Unacceptable ⚠", IF(R25="","", IF(AND(P25='G-1 All Habitats'!$X$3,Z25&gt;0),"Any Loss Unacceptable ⚠",H25*J25*L25*O25)))))),"Check Data ⚠")</f>
        <v/>
      </c>
      <c r="U25" s="38"/>
      <c r="V25" s="54"/>
      <c r="W25" s="55"/>
      <c r="X25" s="374" t="str">
        <f t="shared" si="0"/>
        <v/>
      </c>
      <c r="Y25" s="374" t="str">
        <f t="shared" si="1"/>
        <v/>
      </c>
      <c r="Z25" s="374" t="str">
        <f>IF(E25="","",IF(H25&lt;V25+W25,"Error in Areas ▲",IF(P25&lt;&gt;'G-1 All Habitats'!$X$3,H25-V25-W25,IF(AND(P25='G-1 All Habitats'!$X$3,AB25="Yes"),"Unacceptable Loss ⚠",IF(AND(P25='G-1 All Habitats'!$X$3,AB25="No"),AG25,IF(AND(P25='G-1 All Habitats'!$X$3,AB25=""),AG25,IF(AND(P25='G-1 All Habitats'!$X$3,AG25="None",AG25),IF(AND(P25='G-1 All Habitats'!$X$3,AG25&gt;0),H25-V25-W25))))))))</f>
        <v/>
      </c>
      <c r="AA25" s="405" t="str">
        <f>IFERROR(IF(H25="","",IF(H25-V25-W25=0&lt;0,"Error in Areas ▲",IF(V25+W25&gt;H25,"Error in Areas ▲",IF(AND(P25='G-1 All Habitats'!$X$3,AB25="Yes"),"Alternative Compensation ✓",IF(Z25=0,0,IF(P25='G-1 All Habitats'!$X$3,"Any Loss Unacceptable ▲",T25-X25-Y25)))))),"Check Data ⚠")</f>
        <v/>
      </c>
      <c r="AB25" s="837"/>
      <c r="AC25" s="119"/>
      <c r="AD25" s="528"/>
      <c r="AE25" s="120"/>
      <c r="AF25" s="687"/>
      <c r="AG25" s="744" t="str">
        <f>IF(P25="","",IF(P25='G-1 All Habitats'!$X$3,H25-V25-W25,"None"))</f>
        <v/>
      </c>
      <c r="AH25" s="744" t="str">
        <f t="shared" si="2"/>
        <v/>
      </c>
      <c r="AJ25" s="124" t="str">
        <f t="shared" si="3"/>
        <v/>
      </c>
      <c r="AK25" s="124" t="str">
        <f t="shared" si="4"/>
        <v/>
      </c>
      <c r="AL25" s="124" t="str">
        <f>IF(I25="","",IF(#REF!&gt;0,TRUE,FALSE))</f>
        <v/>
      </c>
      <c r="AM25" s="124">
        <v>15</v>
      </c>
      <c r="AN25" s="124"/>
      <c r="AO25" s="124" t="str">
        <f t="array" ref="AO25">IFERROR(INDEX($AM$11:$AM$259, MATCH(0, IF(TRUE=$AJ$11:$AJ$259, COUNTIF($AO$10:$AO24, $AM$11:$AM$259), ""), 0)),"")</f>
        <v/>
      </c>
      <c r="AP25" s="124" t="str">
        <f t="array" ref="AP25">IFERROR(INDEX($AM$11:$AM$259, MATCH(0, IF(TRUE=$AK$11:$AK$259, COUNTIF($AP$10:$AP24, $AM$11:$AM$259), ""), 0)),"")</f>
        <v/>
      </c>
      <c r="AQ25" s="124" t="str">
        <f t="array" ref="AQ25">IFERROR(INDEX($AM$11:$AM$259, MATCH(0, IF(TRUE=$AL$11:$AL$259, COUNTIF($AQ$10:$AQ24, $AM$11:$AM$259), ""), 0)),"")</f>
        <v/>
      </c>
      <c r="AU25" s="30">
        <f t="shared" si="7"/>
        <v>0</v>
      </c>
      <c r="AY25" s="374" t="str">
        <f t="shared" si="6"/>
        <v/>
      </c>
    </row>
    <row r="26" spans="1:51">
      <c r="A26" s="30" t="str">
        <f>IFERROR(INDEX('G-1 All Habitats'!$AG$3:$AG$17,MATCH(E26,'G-1 All Habitats'!$AF$3:$AF$17,0)),"")</f>
        <v/>
      </c>
      <c r="B26" s="30" t="str">
        <f>IFERROR(INDEX('G-8 Condition Look up'!$I$4:$I$135,MATCH(G26,'G-8 Condition Look up'!$A$4:$A$135,0)),"")</f>
        <v/>
      </c>
      <c r="D26" s="110">
        <v>16</v>
      </c>
      <c r="E26" s="339"/>
      <c r="F26" s="339"/>
      <c r="G26" s="295" t="str">
        <f>IFERROR(INDEX('G-1 All Habitats'!$B$3:$B$134,MATCH(F26,'G-1 All Habitats'!$A$3:$A$134,0)),"")</f>
        <v/>
      </c>
      <c r="H26" s="53"/>
      <c r="I26" s="722" t="str">
        <f>IF(G26="","",VLOOKUP(G26,'G-1 All Habitats'!$B$2:$M$134,10,FALSE))</f>
        <v/>
      </c>
      <c r="J26" s="490" t="str">
        <f>IFERROR(VLOOKUP(I26,'G-1 All Habitats'!$V$3:$W$7,2,FALSE),"")</f>
        <v/>
      </c>
      <c r="K26" s="54"/>
      <c r="L26" s="490" t="str">
        <f>IFERROR(INDEX('G-8 Condition Look up'!$A$3:$H$135,MATCH(G26,'G-8 Condition Look up'!$A$3:$A$135,0),MATCH(K26,'G-8 Condition Look up'!$A$3:$H$3,0)),"")</f>
        <v/>
      </c>
      <c r="M26" s="723"/>
      <c r="N26" s="404" t="str">
        <f>IF(M26="","",IF(VLOOKUP(M26,'G-3 Multipliers'!$L$3:$N$6,2,FALSE)=0,"Spatial Data Missing ⚠",VLOOKUP(M26,'G-3 Multipliers'!$L$3:$N$6,2,FALSE)))</f>
        <v/>
      </c>
      <c r="O26" s="452" t="str">
        <f>IF(M26="","",IF(VLOOKUP(M26,'G-3 Multipliers'!$L$3:$N$6,3,FALSE)=0,"Spatial Data Missing ⚠",VLOOKUP(M26,'G-3 Multipliers'!$L$3:$N$6,3,FALSE)))</f>
        <v/>
      </c>
      <c r="P26" s="369" t="str">
        <f>IFERROR(VLOOKUP(G26,'G-1 All Habitats'!$B$2:$M$134,12,FALSE),"")</f>
        <v/>
      </c>
      <c r="Q26" s="725" t="str">
        <f>IFERROR(IF(P26="","",IF(AND(P26='G-1 All Habitats'!$X$3,W26&gt;0),X26+(Y26*S26),IF(AND(P26='G-1 All Habitats'!$X$3,V26&gt;0),X26+(Y26*S26),IF(AND(P26='G-1 All Habitats'!$X$3,AG26&gt;0),"Any Loss Unacceptable  ⚠",IF(AND(P26='G-1 All Habitats'!$X$3,Z26&gt;0),"Any Loss Unacceptable ⚠",H26*J26*L26*O26*S26))))),"Check Data ⚠")</f>
        <v/>
      </c>
      <c r="R26" s="516"/>
      <c r="S26" s="724" t="str">
        <f>IF(R26="","",IF(VLOOKUP(R26,'G-3 Multipliers'!$S$3:$T$10,2,FALSE)=0,"Spatial Data Missing ⚠",VLOOKUP(R26,'G-3 Multipliers'!$S$3:$T$10,2,FALSE)))</f>
        <v/>
      </c>
      <c r="T26" s="376" t="str">
        <f>IFERROR(IF(P26="","",IF(AND(P26='G-1 All Habitats'!$X$3,W26&gt;0),X26+Y26,IF(AND(P26='G-1 All Habitats'!$X$3,V26&gt;0),X26+Y26,IF(AND(P26='G-1 All Habitats'!$X$3,AG26&gt;0),"Any Loss Unacceptable ⚠", IF(R26="","", IF(AND(P26='G-1 All Habitats'!$X$3,Z26&gt;0),"Any Loss Unacceptable ⚠",H26*J26*L26*O26)))))),"Check Data ⚠")</f>
        <v/>
      </c>
      <c r="U26" s="38"/>
      <c r="V26" s="54"/>
      <c r="W26" s="55"/>
      <c r="X26" s="374" t="str">
        <f t="shared" si="0"/>
        <v/>
      </c>
      <c r="Y26" s="374" t="str">
        <f t="shared" si="1"/>
        <v/>
      </c>
      <c r="Z26" s="374" t="str">
        <f>IF(E26="","",IF(H26&lt;V26+W26,"Error in Areas ▲",IF(P26&lt;&gt;'G-1 All Habitats'!$X$3,H26-V26-W26,IF(AND(P26='G-1 All Habitats'!$X$3,AB26="Yes"),"Unacceptable Loss ⚠",IF(AND(P26='G-1 All Habitats'!$X$3,AB26="No"),AG26,IF(AND(P26='G-1 All Habitats'!$X$3,AB26=""),AG26,IF(AND(P26='G-1 All Habitats'!$X$3,AG26="None",AG26),IF(AND(P26='G-1 All Habitats'!$X$3,AG26&gt;0),H26-V26-W26))))))))</f>
        <v/>
      </c>
      <c r="AA26" s="405" t="str">
        <f>IFERROR(IF(H26="","",IF(H26-V26-W26=0&lt;0,"Error in Areas ▲",IF(V26+W26&gt;H26,"Error in Areas ▲",IF(AND(P26='G-1 All Habitats'!$X$3,AB26="Yes"),"Alternative Compensation ✓",IF(Z26=0,0,IF(P26='G-1 All Habitats'!$X$3,"Any Loss Unacceptable ▲",T26-X26-Y26)))))),"Check Data ⚠")</f>
        <v/>
      </c>
      <c r="AB26" s="837"/>
      <c r="AC26" s="119"/>
      <c r="AD26" s="528"/>
      <c r="AE26" s="120"/>
      <c r="AF26" s="687"/>
      <c r="AG26" s="744" t="str">
        <f>IF(P26="","",IF(P26='G-1 All Habitats'!$X$3,H26-V26-W26,"None"))</f>
        <v/>
      </c>
      <c r="AH26" s="744" t="str">
        <f t="shared" si="2"/>
        <v/>
      </c>
      <c r="AJ26" s="124" t="str">
        <f t="shared" si="3"/>
        <v/>
      </c>
      <c r="AK26" s="124" t="str">
        <f t="shared" si="4"/>
        <v/>
      </c>
      <c r="AL26" s="124" t="str">
        <f>IF(I26="","",IF(#REF!&gt;0,TRUE,FALSE))</f>
        <v/>
      </c>
      <c r="AM26" s="124">
        <v>16</v>
      </c>
      <c r="AN26" s="124"/>
      <c r="AO26" s="124" t="str">
        <f t="array" ref="AO26">IFERROR(INDEX($AM$11:$AM$259, MATCH(0, IF(TRUE=$AJ$11:$AJ$259, COUNTIF($AO$10:$AO25, $AM$11:$AM$259), ""), 0)),"")</f>
        <v/>
      </c>
      <c r="AP26" s="124" t="str">
        <f t="array" ref="AP26">IFERROR(INDEX($AM$11:$AM$259, MATCH(0, IF(TRUE=$AK$11:$AK$259, COUNTIF($AP$10:$AP25, $AM$11:$AM$259), ""), 0)),"")</f>
        <v/>
      </c>
      <c r="AQ26" s="124" t="str">
        <f t="array" ref="AQ26">IFERROR(INDEX($AM$11:$AM$259, MATCH(0, IF(TRUE=$AL$11:$AL$259, COUNTIF($AQ$10:$AQ25, $AM$11:$AM$259), ""), 0)),"")</f>
        <v/>
      </c>
      <c r="AU26" s="30">
        <f t="shared" si="7"/>
        <v>0</v>
      </c>
      <c r="AY26" s="374" t="str">
        <f t="shared" si="6"/>
        <v/>
      </c>
    </row>
    <row r="27" spans="1:51">
      <c r="A27" s="30" t="str">
        <f>IFERROR(INDEX('G-1 All Habitats'!$AG$3:$AG$17,MATCH(E27,'G-1 All Habitats'!$AF$3:$AF$17,0)),"")</f>
        <v/>
      </c>
      <c r="B27" s="30" t="str">
        <f>IFERROR(INDEX('G-8 Condition Look up'!$I$4:$I$135,MATCH(G27,'G-8 Condition Look up'!$A$4:$A$135,0)),"")</f>
        <v/>
      </c>
      <c r="D27" s="110">
        <v>17</v>
      </c>
      <c r="E27" s="339"/>
      <c r="F27" s="339"/>
      <c r="G27" s="295" t="str">
        <f>IFERROR(INDEX('G-1 All Habitats'!$B$3:$B$134,MATCH(F27,'G-1 All Habitats'!$A$3:$A$134,0)),"")</f>
        <v/>
      </c>
      <c r="H27" s="53"/>
      <c r="I27" s="722" t="str">
        <f>IF(G27="","",VLOOKUP(G27,'G-1 All Habitats'!$B$2:$M$134,10,FALSE))</f>
        <v/>
      </c>
      <c r="J27" s="490" t="str">
        <f>IFERROR(VLOOKUP(I27,'G-1 All Habitats'!$V$3:$W$7,2,FALSE),"")</f>
        <v/>
      </c>
      <c r="K27" s="54"/>
      <c r="L27" s="490" t="str">
        <f>IFERROR(INDEX('G-8 Condition Look up'!$A$3:$H$135,MATCH(G27,'G-8 Condition Look up'!$A$3:$A$135,0),MATCH(K27,'G-8 Condition Look up'!$A$3:$H$3,0)),"")</f>
        <v/>
      </c>
      <c r="M27" s="723"/>
      <c r="N27" s="404" t="str">
        <f>IF(M27="","",IF(VLOOKUP(M27,'G-3 Multipliers'!$L$3:$N$6,2,FALSE)=0,"Spatial Data Missing ⚠",VLOOKUP(M27,'G-3 Multipliers'!$L$3:$N$6,2,FALSE)))</f>
        <v/>
      </c>
      <c r="O27" s="452" t="str">
        <f>IF(M27="","",IF(VLOOKUP(M27,'G-3 Multipliers'!$L$3:$N$6,3,FALSE)=0,"Spatial Data Missing ⚠",VLOOKUP(M27,'G-3 Multipliers'!$L$3:$N$6,3,FALSE)))</f>
        <v/>
      </c>
      <c r="P27" s="369" t="str">
        <f>IFERROR(VLOOKUP(G27,'G-1 All Habitats'!$B$2:$M$134,12,FALSE),"")</f>
        <v/>
      </c>
      <c r="Q27" s="725" t="str">
        <f>IFERROR(IF(P27="","",IF(AND(P27='G-1 All Habitats'!$X$3,W27&gt;0),X27+(Y27*S27),IF(AND(P27='G-1 All Habitats'!$X$3,V27&gt;0),X27+(Y27*S27),IF(AND(P27='G-1 All Habitats'!$X$3,AG27&gt;0),"Any Loss Unacceptable  ⚠",IF(AND(P27='G-1 All Habitats'!$X$3,Z27&gt;0),"Any Loss Unacceptable ⚠",H27*J27*L27*O27*S27))))),"Check Data ⚠")</f>
        <v/>
      </c>
      <c r="R27" s="516"/>
      <c r="S27" s="724" t="str">
        <f>IF(R27="","",IF(VLOOKUP(R27,'G-3 Multipliers'!$S$3:$T$10,2,FALSE)=0,"Spatial Data Missing ⚠",VLOOKUP(R27,'G-3 Multipliers'!$S$3:$T$10,2,FALSE)))</f>
        <v/>
      </c>
      <c r="T27" s="376" t="str">
        <f>IFERROR(IF(P27="","",IF(AND(P27='G-1 All Habitats'!$X$3,W27&gt;0),X27+Y27,IF(AND(P27='G-1 All Habitats'!$X$3,V27&gt;0),X27+Y27,IF(AND(P27='G-1 All Habitats'!$X$3,AG27&gt;0),"Any Loss Unacceptable ⚠", IF(R27="","", IF(AND(P27='G-1 All Habitats'!$X$3,Z27&gt;0),"Any Loss Unacceptable ⚠",H27*J27*L27*O27)))))),"Check Data ⚠")</f>
        <v/>
      </c>
      <c r="U27" s="38"/>
      <c r="V27" s="54"/>
      <c r="W27" s="55"/>
      <c r="X27" s="374" t="str">
        <f t="shared" si="0"/>
        <v/>
      </c>
      <c r="Y27" s="374" t="str">
        <f t="shared" si="1"/>
        <v/>
      </c>
      <c r="Z27" s="374" t="str">
        <f>IF(E27="","",IF(H27&lt;V27+W27,"Error in Areas ▲",IF(P27&lt;&gt;'G-1 All Habitats'!$X$3,H27-V27-W27,IF(AND(P27='G-1 All Habitats'!$X$3,AB27="Yes"),"Unacceptable Loss ⚠",IF(AND(P27='G-1 All Habitats'!$X$3,AB27="No"),AG27,IF(AND(P27='G-1 All Habitats'!$X$3,AB27=""),AG27,IF(AND(P27='G-1 All Habitats'!$X$3,AG27="None",AG27),IF(AND(P27='G-1 All Habitats'!$X$3,AG27&gt;0),H27-V27-W27))))))))</f>
        <v/>
      </c>
      <c r="AA27" s="405" t="str">
        <f>IFERROR(IF(H27="","",IF(H27-V27-W27=0&lt;0,"Error in Areas ▲",IF(V27+W27&gt;H27,"Error in Areas ▲",IF(AND(P27='G-1 All Habitats'!$X$3,AB27="Yes"),"Alternative Compensation ✓",IF(Z27=0,0,IF(P27='G-1 All Habitats'!$X$3,"Any Loss Unacceptable ▲",T27-X27-Y27)))))),"Check Data ⚠")</f>
        <v/>
      </c>
      <c r="AB27" s="837"/>
      <c r="AC27" s="119"/>
      <c r="AD27" s="528"/>
      <c r="AE27" s="120"/>
      <c r="AF27" s="687"/>
      <c r="AG27" s="744" t="str">
        <f>IF(P27="","",IF(P27='G-1 All Habitats'!$X$3,H27-V27-W27,"None"))</f>
        <v/>
      </c>
      <c r="AH27" s="744" t="str">
        <f t="shared" si="2"/>
        <v/>
      </c>
      <c r="AJ27" s="124" t="str">
        <f t="shared" si="3"/>
        <v/>
      </c>
      <c r="AK27" s="124" t="str">
        <f t="shared" si="4"/>
        <v/>
      </c>
      <c r="AL27" s="124" t="str">
        <f>IF(I27="","",IF(#REF!&gt;0,TRUE,FALSE))</f>
        <v/>
      </c>
      <c r="AM27" s="124">
        <v>17</v>
      </c>
      <c r="AN27" s="124"/>
      <c r="AO27" s="124" t="str">
        <f t="array" ref="AO27">IFERROR(INDEX($AM$11:$AM$259, MATCH(0, IF(TRUE=$AJ$11:$AJ$259, COUNTIF($AO$10:$AO26, $AM$11:$AM$259), ""), 0)),"")</f>
        <v/>
      </c>
      <c r="AP27" s="124" t="str">
        <f t="array" ref="AP27">IFERROR(INDEX($AM$11:$AM$259, MATCH(0, IF(TRUE=$AK$11:$AK$259, COUNTIF($AP$10:$AP26, $AM$11:$AM$259), ""), 0)),"")</f>
        <v/>
      </c>
      <c r="AQ27" s="124" t="str">
        <f t="array" ref="AQ27">IFERROR(INDEX($AM$11:$AM$259, MATCH(0, IF(TRUE=$AL$11:$AL$259, COUNTIF($AQ$10:$AQ26, $AM$11:$AM$259), ""), 0)),"")</f>
        <v/>
      </c>
      <c r="AU27" s="30">
        <f t="shared" si="7"/>
        <v>0</v>
      </c>
      <c r="AY27" s="374" t="str">
        <f t="shared" si="6"/>
        <v/>
      </c>
    </row>
    <row r="28" spans="1:51">
      <c r="A28" s="30" t="str">
        <f>IFERROR(INDEX('G-1 All Habitats'!$AG$3:$AG$17,MATCH(E28,'G-1 All Habitats'!$AF$3:$AF$17,0)),"")</f>
        <v/>
      </c>
      <c r="B28" s="30" t="str">
        <f>IFERROR(INDEX('G-8 Condition Look up'!$I$4:$I$135,MATCH(G28,'G-8 Condition Look up'!$A$4:$A$135,0)),"")</f>
        <v/>
      </c>
      <c r="D28" s="110">
        <v>18</v>
      </c>
      <c r="E28" s="339"/>
      <c r="F28" s="339"/>
      <c r="G28" s="295" t="str">
        <f>IFERROR(INDEX('G-1 All Habitats'!$B$3:$B$134,MATCH(F28,'G-1 All Habitats'!$A$3:$A$134,0)),"")</f>
        <v/>
      </c>
      <c r="H28" s="53"/>
      <c r="I28" s="722" t="str">
        <f>IF(G28="","",VLOOKUP(G28,'G-1 All Habitats'!$B$2:$M$134,10,FALSE))</f>
        <v/>
      </c>
      <c r="J28" s="490" t="str">
        <f>IFERROR(VLOOKUP(I28,'G-1 All Habitats'!$V$3:$W$7,2,FALSE),"")</f>
        <v/>
      </c>
      <c r="K28" s="54"/>
      <c r="L28" s="490" t="str">
        <f>IFERROR(INDEX('G-8 Condition Look up'!$A$3:$H$135,MATCH(G28,'G-8 Condition Look up'!$A$3:$A$135,0),MATCH(K28,'G-8 Condition Look up'!$A$3:$H$3,0)),"")</f>
        <v/>
      </c>
      <c r="M28" s="723"/>
      <c r="N28" s="404" t="str">
        <f>IF(M28="","",IF(VLOOKUP(M28,'G-3 Multipliers'!$L$3:$N$6,2,FALSE)=0,"Spatial Data Missing ⚠",VLOOKUP(M28,'G-3 Multipliers'!$L$3:$N$6,2,FALSE)))</f>
        <v/>
      </c>
      <c r="O28" s="452" t="str">
        <f>IF(M28="","",IF(VLOOKUP(M28,'G-3 Multipliers'!$L$3:$N$6,3,FALSE)=0,"Spatial Data Missing ⚠",VLOOKUP(M28,'G-3 Multipliers'!$L$3:$N$6,3,FALSE)))</f>
        <v/>
      </c>
      <c r="P28" s="369" t="str">
        <f>IFERROR(VLOOKUP(G28,'G-1 All Habitats'!$B$2:$M$134,12,FALSE),"")</f>
        <v/>
      </c>
      <c r="Q28" s="725" t="str">
        <f>IFERROR(IF(P28="","",IF(AND(P28='G-1 All Habitats'!$X$3,W28&gt;0),X28+(Y28*S28),IF(AND(P28='G-1 All Habitats'!$X$3,V28&gt;0),X28+(Y28*S28),IF(AND(P28='G-1 All Habitats'!$X$3,AG28&gt;0),"Any Loss Unacceptable  ⚠",IF(AND(P28='G-1 All Habitats'!$X$3,Z28&gt;0),"Any Loss Unacceptable ⚠",H28*J28*L28*O28*S28))))),"Check Data ⚠")</f>
        <v/>
      </c>
      <c r="R28" s="516"/>
      <c r="S28" s="724" t="str">
        <f>IF(R28="","",IF(VLOOKUP(R28,'G-3 Multipliers'!$S$3:$T$10,2,FALSE)=0,"Spatial Data Missing ⚠",VLOOKUP(R28,'G-3 Multipliers'!$S$3:$T$10,2,FALSE)))</f>
        <v/>
      </c>
      <c r="T28" s="376" t="str">
        <f>IFERROR(IF(P28="","",IF(AND(P28='G-1 All Habitats'!$X$3,W28&gt;0),X28+Y28,IF(AND(P28='G-1 All Habitats'!$X$3,V28&gt;0),X28+Y28,IF(AND(P28='G-1 All Habitats'!$X$3,AG28&gt;0),"Any Loss Unacceptable ⚠", IF(R28="","", IF(AND(P28='G-1 All Habitats'!$X$3,Z28&gt;0),"Any Loss Unacceptable ⚠",H28*J28*L28*O28)))))),"Check Data ⚠")</f>
        <v/>
      </c>
      <c r="U28" s="38"/>
      <c r="V28" s="54"/>
      <c r="W28" s="55"/>
      <c r="X28" s="374" t="str">
        <f t="shared" si="0"/>
        <v/>
      </c>
      <c r="Y28" s="374" t="str">
        <f t="shared" si="1"/>
        <v/>
      </c>
      <c r="Z28" s="374" t="str">
        <f>IF(E28="","",IF(H28&lt;V28+W28,"Error in Areas ▲",IF(P28&lt;&gt;'G-1 All Habitats'!$X$3,H28-V28-W28,IF(AND(P28='G-1 All Habitats'!$X$3,AB28="Yes"),"Unacceptable Loss ⚠",IF(AND(P28='G-1 All Habitats'!$X$3,AB28="No"),AG28,IF(AND(P28='G-1 All Habitats'!$X$3,AB28=""),AG28,IF(AND(P28='G-1 All Habitats'!$X$3,AG28="None",AG28),IF(AND(P28='G-1 All Habitats'!$X$3,AG28&gt;0),H28-V28-W28))))))))</f>
        <v/>
      </c>
      <c r="AA28" s="405" t="str">
        <f>IFERROR(IF(H28="","",IF(H28-V28-W28=0&lt;0,"Error in Areas ▲",IF(V28+W28&gt;H28,"Error in Areas ▲",IF(AND(P28='G-1 All Habitats'!$X$3,AB28="Yes"),"Alternative Compensation ✓",IF(Z28=0,0,IF(P28='G-1 All Habitats'!$X$3,"Any Loss Unacceptable ▲",T28-X28-Y28)))))),"Check Data ⚠")</f>
        <v/>
      </c>
      <c r="AB28" s="837"/>
      <c r="AC28" s="119"/>
      <c r="AD28" s="528"/>
      <c r="AE28" s="120"/>
      <c r="AF28" s="687"/>
      <c r="AG28" s="744" t="str">
        <f>IF(P28="","",IF(P28='G-1 All Habitats'!$X$3,H28-V28-W28,"None"))</f>
        <v/>
      </c>
      <c r="AH28" s="744" t="str">
        <f t="shared" si="2"/>
        <v/>
      </c>
      <c r="AJ28" s="124" t="str">
        <f t="shared" si="3"/>
        <v/>
      </c>
      <c r="AK28" s="124" t="str">
        <f t="shared" si="4"/>
        <v/>
      </c>
      <c r="AL28" s="124" t="str">
        <f>IF(I28="","",IF(#REF!&gt;0,TRUE,FALSE))</f>
        <v/>
      </c>
      <c r="AM28" s="124">
        <v>18</v>
      </c>
      <c r="AN28" s="124"/>
      <c r="AO28" s="124" t="str">
        <f t="array" ref="AO28">IFERROR(INDEX($AM$11:$AM$259, MATCH(0, IF(TRUE=$AJ$11:$AJ$259, COUNTIF($AO$10:$AO27, $AM$11:$AM$259), ""), 0)),"")</f>
        <v/>
      </c>
      <c r="AP28" s="124" t="str">
        <f t="array" ref="AP28">IFERROR(INDEX($AM$11:$AM$259, MATCH(0, IF(TRUE=$AK$11:$AK$259, COUNTIF($AP$10:$AP27, $AM$11:$AM$259), ""), 0)),"")</f>
        <v/>
      </c>
      <c r="AQ28" s="124" t="str">
        <f t="array" ref="AQ28">IFERROR(INDEX($AM$11:$AM$259, MATCH(0, IF(TRUE=$AL$11:$AL$259, COUNTIF($AQ$10:$AQ27, $AM$11:$AM$259), ""), 0)),"")</f>
        <v/>
      </c>
      <c r="AU28" s="30">
        <f t="shared" si="7"/>
        <v>0</v>
      </c>
      <c r="AY28" s="374" t="str">
        <f t="shared" si="6"/>
        <v/>
      </c>
    </row>
    <row r="29" spans="1:51">
      <c r="A29" s="30" t="str">
        <f>IFERROR(INDEX('G-1 All Habitats'!$AG$3:$AG$17,MATCH(E29,'G-1 All Habitats'!$AF$3:$AF$17,0)),"")</f>
        <v/>
      </c>
      <c r="B29" s="30" t="str">
        <f>IFERROR(INDEX('G-8 Condition Look up'!$I$4:$I$135,MATCH(G29,'G-8 Condition Look up'!$A$4:$A$135,0)),"")</f>
        <v/>
      </c>
      <c r="D29" s="110">
        <v>19</v>
      </c>
      <c r="E29" s="339"/>
      <c r="F29" s="339"/>
      <c r="G29" s="295" t="str">
        <f>IFERROR(INDEX('G-1 All Habitats'!$B$3:$B$134,MATCH(F29,'G-1 All Habitats'!$A$3:$A$134,0)),"")</f>
        <v/>
      </c>
      <c r="H29" s="53"/>
      <c r="I29" s="722" t="str">
        <f>IF(G29="","",VLOOKUP(G29,'G-1 All Habitats'!$B$2:$M$134,10,FALSE))</f>
        <v/>
      </c>
      <c r="J29" s="490" t="str">
        <f>IFERROR(VLOOKUP(I29,'G-1 All Habitats'!$V$3:$W$7,2,FALSE),"")</f>
        <v/>
      </c>
      <c r="K29" s="54"/>
      <c r="L29" s="490" t="str">
        <f>IFERROR(INDEX('G-8 Condition Look up'!$A$3:$H$135,MATCH(G29,'G-8 Condition Look up'!$A$3:$A$135,0),MATCH(K29,'G-8 Condition Look up'!$A$3:$H$3,0)),"")</f>
        <v/>
      </c>
      <c r="M29" s="723"/>
      <c r="N29" s="404" t="str">
        <f>IF(M29="","",IF(VLOOKUP(M29,'G-3 Multipliers'!$L$3:$N$6,2,FALSE)=0,"Spatial Data Missing ⚠",VLOOKUP(M29,'G-3 Multipliers'!$L$3:$N$6,2,FALSE)))</f>
        <v/>
      </c>
      <c r="O29" s="452" t="str">
        <f>IF(M29="","",IF(VLOOKUP(M29,'G-3 Multipliers'!$L$3:$N$6,3,FALSE)=0,"Spatial Data Missing ⚠",VLOOKUP(M29,'G-3 Multipliers'!$L$3:$N$6,3,FALSE)))</f>
        <v/>
      </c>
      <c r="P29" s="369" t="str">
        <f>IFERROR(VLOOKUP(G29,'G-1 All Habitats'!$B$2:$M$134,12,FALSE),"")</f>
        <v/>
      </c>
      <c r="Q29" s="725" t="str">
        <f>IFERROR(IF(P29="","",IF(AND(P29='G-1 All Habitats'!$X$3,W29&gt;0),X29+(Y29*S29),IF(AND(P29='G-1 All Habitats'!$X$3,V29&gt;0),X29+(Y29*S29),IF(AND(P29='G-1 All Habitats'!$X$3,AG29&gt;0),"Any Loss Unacceptable  ⚠",IF(AND(P29='G-1 All Habitats'!$X$3,Z29&gt;0),"Any Loss Unacceptable ⚠",H29*J29*L29*O29*S29))))),"Check Data ⚠")</f>
        <v/>
      </c>
      <c r="R29" s="516"/>
      <c r="S29" s="724" t="str">
        <f>IF(R29="","",IF(VLOOKUP(R29,'G-3 Multipliers'!$S$3:$T$10,2,FALSE)=0,"Spatial Data Missing ⚠",VLOOKUP(R29,'G-3 Multipliers'!$S$3:$T$10,2,FALSE)))</f>
        <v/>
      </c>
      <c r="T29" s="376" t="str">
        <f>IFERROR(IF(P29="","",IF(AND(P29='G-1 All Habitats'!$X$3,W29&gt;0),X29+Y29,IF(AND(P29='G-1 All Habitats'!$X$3,V29&gt;0),X29+Y29,IF(AND(P29='G-1 All Habitats'!$X$3,AG29&gt;0),"Any Loss Unacceptable ⚠", IF(R29="","", IF(AND(P29='G-1 All Habitats'!$X$3,Z29&gt;0),"Any Loss Unacceptable ⚠",H29*J29*L29*O29)))))),"Check Data ⚠")</f>
        <v/>
      </c>
      <c r="U29" s="38"/>
      <c r="V29" s="54"/>
      <c r="W29" s="55"/>
      <c r="X29" s="374" t="str">
        <f t="shared" si="0"/>
        <v/>
      </c>
      <c r="Y29" s="374" t="str">
        <f t="shared" si="1"/>
        <v/>
      </c>
      <c r="Z29" s="374" t="str">
        <f>IF(E29="","",IF(H29&lt;V29+W29,"Error in Areas ▲",IF(P29&lt;&gt;'G-1 All Habitats'!$X$3,H29-V29-W29,IF(AND(P29='G-1 All Habitats'!$X$3,AB29="Yes"),"Unacceptable Loss ⚠",IF(AND(P29='G-1 All Habitats'!$X$3,AB29="No"),AG29,IF(AND(P29='G-1 All Habitats'!$X$3,AB29=""),AG29,IF(AND(P29='G-1 All Habitats'!$X$3,AG29="None",AG29),IF(AND(P29='G-1 All Habitats'!$X$3,AG29&gt;0),H29-V29-W29))))))))</f>
        <v/>
      </c>
      <c r="AA29" s="405" t="str">
        <f>IFERROR(IF(H29="","",IF(H29-V29-W29=0&lt;0,"Error in Areas ▲",IF(V29+W29&gt;H29,"Error in Areas ▲",IF(AND(P29='G-1 All Habitats'!$X$3,AB29="Yes"),"Alternative Compensation ✓",IF(Z29=0,0,IF(P29='G-1 All Habitats'!$X$3,"Any Loss Unacceptable ▲",T29-X29-Y29)))))),"Check Data ⚠")</f>
        <v/>
      </c>
      <c r="AB29" s="837"/>
      <c r="AC29" s="119"/>
      <c r="AD29" s="528"/>
      <c r="AE29" s="120"/>
      <c r="AF29" s="687"/>
      <c r="AG29" s="744" t="str">
        <f>IF(P29="","",IF(P29='G-1 All Habitats'!$X$3,H29-V29-W29,"None"))</f>
        <v/>
      </c>
      <c r="AH29" s="744" t="str">
        <f t="shared" si="2"/>
        <v/>
      </c>
      <c r="AJ29" s="124" t="str">
        <f t="shared" si="3"/>
        <v/>
      </c>
      <c r="AK29" s="124" t="str">
        <f t="shared" si="4"/>
        <v/>
      </c>
      <c r="AL29" s="124" t="str">
        <f>IF(I29="","",IF(#REF!&gt;0,TRUE,FALSE))</f>
        <v/>
      </c>
      <c r="AM29" s="124">
        <v>19</v>
      </c>
      <c r="AN29" s="124"/>
      <c r="AO29" s="124" t="str">
        <f t="array" ref="AO29">IFERROR(INDEX($AM$11:$AM$259, MATCH(0, IF(TRUE=$AJ$11:$AJ$259, COUNTIF($AO$10:$AO28, $AM$11:$AM$259), ""), 0)),"")</f>
        <v/>
      </c>
      <c r="AP29" s="124" t="str">
        <f t="array" ref="AP29">IFERROR(INDEX($AM$11:$AM$259, MATCH(0, IF(TRUE=$AK$11:$AK$259, COUNTIF($AP$10:$AP28, $AM$11:$AM$259), ""), 0)),"")</f>
        <v/>
      </c>
      <c r="AQ29" s="124" t="str">
        <f t="array" ref="AQ29">IFERROR(INDEX($AM$11:$AM$259, MATCH(0, IF(TRUE=$AL$11:$AL$259, COUNTIF($AQ$10:$AQ28, $AM$11:$AM$259), ""), 0)),"")</f>
        <v/>
      </c>
      <c r="AU29" s="30">
        <f t="shared" si="7"/>
        <v>0</v>
      </c>
      <c r="AY29" s="374" t="str">
        <f t="shared" si="6"/>
        <v/>
      </c>
    </row>
    <row r="30" spans="1:51">
      <c r="A30" s="30" t="str">
        <f>IFERROR(INDEX('G-1 All Habitats'!$AG$3:$AG$17,MATCH(E30,'G-1 All Habitats'!$AF$3:$AF$17,0)),"")</f>
        <v/>
      </c>
      <c r="B30" s="30" t="str">
        <f>IFERROR(INDEX('G-8 Condition Look up'!$I$4:$I$135,MATCH(G30,'G-8 Condition Look up'!$A$4:$A$135,0)),"")</f>
        <v/>
      </c>
      <c r="D30" s="110">
        <v>20</v>
      </c>
      <c r="E30" s="339"/>
      <c r="F30" s="339"/>
      <c r="G30" s="295" t="str">
        <f>IFERROR(INDEX('G-1 All Habitats'!$B$3:$B$134,MATCH(F30,'G-1 All Habitats'!$A$3:$A$134,0)),"")</f>
        <v/>
      </c>
      <c r="H30" s="53"/>
      <c r="I30" s="722" t="str">
        <f>IF(G30="","",VLOOKUP(G30,'G-1 All Habitats'!$B$2:$M$134,10,FALSE))</f>
        <v/>
      </c>
      <c r="J30" s="490" t="str">
        <f>IFERROR(VLOOKUP(I30,'G-1 All Habitats'!$V$3:$W$7,2,FALSE),"")</f>
        <v/>
      </c>
      <c r="K30" s="54"/>
      <c r="L30" s="490" t="str">
        <f>IFERROR(INDEX('G-8 Condition Look up'!$A$3:$H$135,MATCH(G30,'G-8 Condition Look up'!$A$3:$A$135,0),MATCH(K30,'G-8 Condition Look up'!$A$3:$H$3,0)),"")</f>
        <v/>
      </c>
      <c r="M30" s="723"/>
      <c r="N30" s="404" t="str">
        <f>IF(M30="","",IF(VLOOKUP(M30,'G-3 Multipliers'!$L$3:$N$6,2,FALSE)=0,"Spatial Data Missing ⚠",VLOOKUP(M30,'G-3 Multipliers'!$L$3:$N$6,2,FALSE)))</f>
        <v/>
      </c>
      <c r="O30" s="452" t="str">
        <f>IF(M30="","",IF(VLOOKUP(M30,'G-3 Multipliers'!$L$3:$N$6,3,FALSE)=0,"Spatial Data Missing ⚠",VLOOKUP(M30,'G-3 Multipliers'!$L$3:$N$6,3,FALSE)))</f>
        <v/>
      </c>
      <c r="P30" s="369" t="str">
        <f>IFERROR(VLOOKUP(G30,'G-1 All Habitats'!$B$2:$M$134,12,FALSE),"")</f>
        <v/>
      </c>
      <c r="Q30" s="725" t="str">
        <f>IFERROR(IF(P30="","",IF(AND(P30='G-1 All Habitats'!$X$3,W30&gt;0),X30+(Y30*S30),IF(AND(P30='G-1 All Habitats'!$X$3,V30&gt;0),X30+(Y30*S30),IF(AND(P30='G-1 All Habitats'!$X$3,AG30&gt;0),"Any Loss Unacceptable  ⚠",IF(AND(P30='G-1 All Habitats'!$X$3,Z30&gt;0),"Any Loss Unacceptable ⚠",H30*J30*L30*O30*S30))))),"Check Data ⚠")</f>
        <v/>
      </c>
      <c r="R30" s="516"/>
      <c r="S30" s="724" t="str">
        <f>IF(R30="","",IF(VLOOKUP(R30,'G-3 Multipliers'!$S$3:$T$10,2,FALSE)=0,"Spatial Data Missing ⚠",VLOOKUP(R30,'G-3 Multipliers'!$S$3:$T$10,2,FALSE)))</f>
        <v/>
      </c>
      <c r="T30" s="376" t="str">
        <f>IFERROR(IF(P30="","",IF(AND(P30='G-1 All Habitats'!$X$3,W30&gt;0),X30+Y30,IF(AND(P30='G-1 All Habitats'!$X$3,V30&gt;0),X30+Y30,IF(AND(P30='G-1 All Habitats'!$X$3,AG30&gt;0),"Any Loss Unacceptable ⚠", IF(R30="","", IF(AND(P30='G-1 All Habitats'!$X$3,Z30&gt;0),"Any Loss Unacceptable ⚠",H30*J30*L30*O30)))))),"Check Data ⚠")</f>
        <v/>
      </c>
      <c r="U30" s="38"/>
      <c r="V30" s="54"/>
      <c r="W30" s="55"/>
      <c r="X30" s="374" t="str">
        <f t="shared" si="0"/>
        <v/>
      </c>
      <c r="Y30" s="374" t="str">
        <f t="shared" si="1"/>
        <v/>
      </c>
      <c r="Z30" s="374" t="str">
        <f>IF(E30="","",IF(H30&lt;V30+W30,"Error in Areas ▲",IF(P30&lt;&gt;'G-1 All Habitats'!$X$3,H30-V30-W30,IF(AND(P30='G-1 All Habitats'!$X$3,AB30="Yes"),"Unacceptable Loss ⚠",IF(AND(P30='G-1 All Habitats'!$X$3,AB30="No"),AG30,IF(AND(P30='G-1 All Habitats'!$X$3,AB30=""),AG30,IF(AND(P30='G-1 All Habitats'!$X$3,AG30="None",AG30),IF(AND(P30='G-1 All Habitats'!$X$3,AG30&gt;0),H30-V30-W30))))))))</f>
        <v/>
      </c>
      <c r="AA30" s="405" t="str">
        <f>IFERROR(IF(H30="","",IF(H30-V30-W30=0&lt;0,"Error in Areas ▲",IF(V30+W30&gt;H30,"Error in Areas ▲",IF(AND(P30='G-1 All Habitats'!$X$3,AB30="Yes"),"Alternative Compensation ✓",IF(Z30=0,0,IF(P30='G-1 All Habitats'!$X$3,"Any Loss Unacceptable ▲",T30-X30-Y30)))))),"Check Data ⚠")</f>
        <v/>
      </c>
      <c r="AB30" s="837"/>
      <c r="AC30" s="119"/>
      <c r="AD30" s="528"/>
      <c r="AE30" s="120"/>
      <c r="AF30" s="687"/>
      <c r="AG30" s="744" t="str">
        <f>IF(P30="","",IF(P30='G-1 All Habitats'!$X$3,H30-V30-W30,"None"))</f>
        <v/>
      </c>
      <c r="AH30" s="744" t="str">
        <f t="shared" si="2"/>
        <v/>
      </c>
      <c r="AJ30" s="124" t="str">
        <f t="shared" si="3"/>
        <v/>
      </c>
      <c r="AK30" s="124" t="str">
        <f t="shared" si="4"/>
        <v/>
      </c>
      <c r="AL30" s="124" t="str">
        <f>IF(I30="","",IF(#REF!&gt;0,TRUE,FALSE))</f>
        <v/>
      </c>
      <c r="AM30" s="124">
        <v>20</v>
      </c>
      <c r="AN30" s="124"/>
      <c r="AO30" s="124" t="str">
        <f t="array" ref="AO30">IFERROR(INDEX($AM$11:$AM$259, MATCH(0, IF(TRUE=$AJ$11:$AJ$259, COUNTIF($AO$10:$AO29, $AM$11:$AM$259), ""), 0)),"")</f>
        <v/>
      </c>
      <c r="AP30" s="124" t="str">
        <f t="array" ref="AP30">IFERROR(INDEX($AM$11:$AM$259, MATCH(0, IF(TRUE=$AK$11:$AK$259, COUNTIF($AP$10:$AP29, $AM$11:$AM$259), ""), 0)),"")</f>
        <v/>
      </c>
      <c r="AQ30" s="124" t="str">
        <f t="array" ref="AQ30">IFERROR(INDEX($AM$11:$AM$259, MATCH(0, IF(TRUE=$AL$11:$AL$259, COUNTIF($AQ$10:$AQ29, $AM$11:$AM$259), ""), 0)),"")</f>
        <v/>
      </c>
      <c r="AU30" s="30">
        <f t="shared" si="7"/>
        <v>0</v>
      </c>
      <c r="AY30" s="374" t="str">
        <f t="shared" si="6"/>
        <v/>
      </c>
    </row>
    <row r="31" spans="1:51">
      <c r="A31" s="30" t="str">
        <f>IFERROR(INDEX('G-1 All Habitats'!$AG$3:$AG$17,MATCH(E31,'G-1 All Habitats'!$AF$3:$AF$17,0)),"")</f>
        <v/>
      </c>
      <c r="B31" s="30" t="str">
        <f>IFERROR(INDEX('G-8 Condition Look up'!$I$4:$I$135,MATCH(G31,'G-8 Condition Look up'!$A$4:$A$135,0)),"")</f>
        <v/>
      </c>
      <c r="D31" s="110">
        <v>21</v>
      </c>
      <c r="E31" s="339"/>
      <c r="F31" s="339"/>
      <c r="G31" s="295" t="str">
        <f>IFERROR(INDEX('G-1 All Habitats'!$B$3:$B$134,MATCH(F31,'G-1 All Habitats'!$A$3:$A$134,0)),"")</f>
        <v/>
      </c>
      <c r="H31" s="53"/>
      <c r="I31" s="722" t="str">
        <f>IF(G31="","",VLOOKUP(G31,'G-1 All Habitats'!$B$2:$M$134,10,FALSE))</f>
        <v/>
      </c>
      <c r="J31" s="490" t="str">
        <f>IFERROR(VLOOKUP(I31,'G-1 All Habitats'!$V$3:$W$7,2,FALSE),"")</f>
        <v/>
      </c>
      <c r="K31" s="54"/>
      <c r="L31" s="490" t="str">
        <f>IFERROR(INDEX('G-8 Condition Look up'!$A$3:$H$135,MATCH(G31,'G-8 Condition Look up'!$A$3:$A$135,0),MATCH(K31,'G-8 Condition Look up'!$A$3:$H$3,0)),"")</f>
        <v/>
      </c>
      <c r="M31" s="723"/>
      <c r="N31" s="404" t="str">
        <f>IF(M31="","",IF(VLOOKUP(M31,'G-3 Multipliers'!$L$3:$N$6,2,FALSE)=0,"Spatial Data Missing ⚠",VLOOKUP(M31,'G-3 Multipliers'!$L$3:$N$6,2,FALSE)))</f>
        <v/>
      </c>
      <c r="O31" s="452" t="str">
        <f>IF(M31="","",IF(VLOOKUP(M31,'G-3 Multipliers'!$L$3:$N$6,3,FALSE)=0,"Spatial Data Missing ⚠",VLOOKUP(M31,'G-3 Multipliers'!$L$3:$N$6,3,FALSE)))</f>
        <v/>
      </c>
      <c r="P31" s="369" t="str">
        <f>IFERROR(VLOOKUP(G31,'G-1 All Habitats'!$B$2:$M$134,12,FALSE),"")</f>
        <v/>
      </c>
      <c r="Q31" s="725" t="str">
        <f>IFERROR(IF(P31="","",IF(AND(P31='G-1 All Habitats'!$X$3,W31&gt;0),X31+(Y31*S31),IF(AND(P31='G-1 All Habitats'!$X$3,V31&gt;0),X31+(Y31*S31),IF(AND(P31='G-1 All Habitats'!$X$3,AG31&gt;0),"Any Loss Unacceptable  ⚠",IF(AND(P31='G-1 All Habitats'!$X$3,Z31&gt;0),"Any Loss Unacceptable ⚠",H31*J31*L31*O31*S31))))),"Check Data ⚠")</f>
        <v/>
      </c>
      <c r="R31" s="516"/>
      <c r="S31" s="724" t="str">
        <f>IF(R31="","",IF(VLOOKUP(R31,'G-3 Multipliers'!$S$3:$T$10,2,FALSE)=0,"Spatial Data Missing ⚠",VLOOKUP(R31,'G-3 Multipliers'!$S$3:$T$10,2,FALSE)))</f>
        <v/>
      </c>
      <c r="T31" s="376" t="str">
        <f>IFERROR(IF(P31="","",IF(AND(P31='G-1 All Habitats'!$X$3,W31&gt;0),X31+Y31,IF(AND(P31='G-1 All Habitats'!$X$3,V31&gt;0),X31+Y31,IF(AND(P31='G-1 All Habitats'!$X$3,AG31&gt;0),"Any Loss Unacceptable ⚠", IF(R31="","", IF(AND(P31='G-1 All Habitats'!$X$3,Z31&gt;0),"Any Loss Unacceptable ⚠",H31*J31*L31*O31)))))),"Check Data ⚠")</f>
        <v/>
      </c>
      <c r="U31" s="38"/>
      <c r="V31" s="54"/>
      <c r="W31" s="55"/>
      <c r="X31" s="374" t="str">
        <f t="shared" si="0"/>
        <v/>
      </c>
      <c r="Y31" s="374" t="str">
        <f t="shared" si="1"/>
        <v/>
      </c>
      <c r="Z31" s="374" t="str">
        <f>IF(E31="","",IF(H31&lt;V31+W31,"Error in Areas ▲",IF(P31&lt;&gt;'G-1 All Habitats'!$X$3,H31-V31-W31,IF(AND(P31='G-1 All Habitats'!$X$3,AB31="Yes"),"Unacceptable Loss ⚠",IF(AND(P31='G-1 All Habitats'!$X$3,AB31="No"),AG31,IF(AND(P31='G-1 All Habitats'!$X$3,AB31=""),AG31,IF(AND(P31='G-1 All Habitats'!$X$3,AG31="None",AG31),IF(AND(P31='G-1 All Habitats'!$X$3,AG31&gt;0),H31-V31-W31))))))))</f>
        <v/>
      </c>
      <c r="AA31" s="405" t="str">
        <f>IFERROR(IF(H31="","",IF(H31-V31-W31=0&lt;0,"Error in Areas ▲",IF(V31+W31&gt;H31,"Error in Areas ▲",IF(AND(P31='G-1 All Habitats'!$X$3,AB31="Yes"),"Alternative Compensation ✓",IF(Z31=0,0,IF(P31='G-1 All Habitats'!$X$3,"Any Loss Unacceptable ▲",T31-X31-Y31)))))),"Check Data ⚠")</f>
        <v/>
      </c>
      <c r="AB31" s="837"/>
      <c r="AC31" s="119"/>
      <c r="AD31" s="528"/>
      <c r="AE31" s="120"/>
      <c r="AF31" s="687"/>
      <c r="AG31" s="744" t="str">
        <f>IF(P31="","",IF(P31='G-1 All Habitats'!$X$3,H31-V31-W31,"None"))</f>
        <v/>
      </c>
      <c r="AH31" s="744" t="str">
        <f t="shared" si="2"/>
        <v/>
      </c>
      <c r="AJ31" s="124" t="str">
        <f t="shared" si="3"/>
        <v/>
      </c>
      <c r="AK31" s="124" t="str">
        <f t="shared" si="4"/>
        <v/>
      </c>
      <c r="AL31" s="124" t="str">
        <f>IF(I31="","",IF(#REF!&gt;0,TRUE,FALSE))</f>
        <v/>
      </c>
      <c r="AM31" s="124">
        <v>21</v>
      </c>
      <c r="AN31" s="124"/>
      <c r="AO31" s="124" t="str">
        <f t="array" ref="AO31">IFERROR(INDEX($AM$11:$AM$259, MATCH(0, IF(TRUE=$AJ$11:$AJ$259, COUNTIF($AO$10:$AO30, $AM$11:$AM$259), ""), 0)),"")</f>
        <v/>
      </c>
      <c r="AP31" s="124" t="str">
        <f t="array" ref="AP31">IFERROR(INDEX($AM$11:$AM$259, MATCH(0, IF(TRUE=$AK$11:$AK$259, COUNTIF($AP$10:$AP30, $AM$11:$AM$259), ""), 0)),"")</f>
        <v/>
      </c>
      <c r="AQ31" s="124" t="str">
        <f t="array" ref="AQ31">IFERROR(INDEX($AM$11:$AM$259, MATCH(0, IF(TRUE=$AL$11:$AL$259, COUNTIF($AQ$10:$AQ30, $AM$11:$AM$259), ""), 0)),"")</f>
        <v/>
      </c>
      <c r="AU31" s="30">
        <f t="shared" si="7"/>
        <v>0</v>
      </c>
      <c r="AY31" s="374" t="str">
        <f t="shared" si="6"/>
        <v/>
      </c>
    </row>
    <row r="32" spans="1:51">
      <c r="A32" s="30" t="str">
        <f>IFERROR(INDEX('G-1 All Habitats'!$AG$3:$AG$17,MATCH(E32,'G-1 All Habitats'!$AF$3:$AF$17,0)),"")</f>
        <v/>
      </c>
      <c r="B32" s="30" t="str">
        <f>IFERROR(INDEX('G-8 Condition Look up'!$I$4:$I$135,MATCH(G32,'G-8 Condition Look up'!$A$4:$A$135,0)),"")</f>
        <v/>
      </c>
      <c r="D32" s="110">
        <v>22</v>
      </c>
      <c r="E32" s="339"/>
      <c r="F32" s="339"/>
      <c r="G32" s="295" t="str">
        <f>IFERROR(INDEX('G-1 All Habitats'!$B$3:$B$134,MATCH(F32,'G-1 All Habitats'!$A$3:$A$134,0)),"")</f>
        <v/>
      </c>
      <c r="H32" s="53"/>
      <c r="I32" s="722" t="str">
        <f>IF(G32="","",VLOOKUP(G32,'G-1 All Habitats'!$B$2:$M$134,10,FALSE))</f>
        <v/>
      </c>
      <c r="J32" s="490" t="str">
        <f>IFERROR(VLOOKUP(I32,'G-1 All Habitats'!$V$3:$W$7,2,FALSE),"")</f>
        <v/>
      </c>
      <c r="K32" s="54"/>
      <c r="L32" s="490" t="str">
        <f>IFERROR(INDEX('G-8 Condition Look up'!$A$3:$H$135,MATCH(G32,'G-8 Condition Look up'!$A$3:$A$135,0),MATCH(K32,'G-8 Condition Look up'!$A$3:$H$3,0)),"")</f>
        <v/>
      </c>
      <c r="M32" s="723"/>
      <c r="N32" s="404" t="str">
        <f>IF(M32="","",IF(VLOOKUP(M32,'G-3 Multipliers'!$L$3:$N$6,2,FALSE)=0,"Spatial Data Missing ⚠",VLOOKUP(M32,'G-3 Multipliers'!$L$3:$N$6,2,FALSE)))</f>
        <v/>
      </c>
      <c r="O32" s="452" t="str">
        <f>IF(M32="","",IF(VLOOKUP(M32,'G-3 Multipliers'!$L$3:$N$6,3,FALSE)=0,"Spatial Data Missing ⚠",VLOOKUP(M32,'G-3 Multipliers'!$L$3:$N$6,3,FALSE)))</f>
        <v/>
      </c>
      <c r="P32" s="369" t="str">
        <f>IFERROR(VLOOKUP(G32,'G-1 All Habitats'!$B$2:$M$134,12,FALSE),"")</f>
        <v/>
      </c>
      <c r="Q32" s="725" t="str">
        <f>IFERROR(IF(P32="","",IF(AND(P32='G-1 All Habitats'!$X$3,W32&gt;0),X32+(Y32*S32),IF(AND(P32='G-1 All Habitats'!$X$3,V32&gt;0),X32+(Y32*S32),IF(AND(P32='G-1 All Habitats'!$X$3,AG32&gt;0),"Any Loss Unacceptable  ⚠",IF(AND(P32='G-1 All Habitats'!$X$3,Z32&gt;0),"Any Loss Unacceptable ⚠",H32*J32*L32*O32*S32))))),"Check Data ⚠")</f>
        <v/>
      </c>
      <c r="R32" s="516"/>
      <c r="S32" s="724" t="str">
        <f>IF(R32="","",IF(VLOOKUP(R32,'G-3 Multipliers'!$S$3:$T$10,2,FALSE)=0,"Spatial Data Missing ⚠",VLOOKUP(R32,'G-3 Multipliers'!$S$3:$T$10,2,FALSE)))</f>
        <v/>
      </c>
      <c r="T32" s="376" t="str">
        <f>IFERROR(IF(P32="","",IF(AND(P32='G-1 All Habitats'!$X$3,W32&gt;0),X32+Y32,IF(AND(P32='G-1 All Habitats'!$X$3,V32&gt;0),X32+Y32,IF(AND(P32='G-1 All Habitats'!$X$3,AG32&gt;0),"Any Loss Unacceptable ⚠", IF(R32="","", IF(AND(P32='G-1 All Habitats'!$X$3,Z32&gt;0),"Any Loss Unacceptable ⚠",H32*J32*L32*O32)))))),"Check Data ⚠")</f>
        <v/>
      </c>
      <c r="U32" s="38"/>
      <c r="V32" s="54"/>
      <c r="W32" s="55"/>
      <c r="X32" s="374" t="str">
        <f t="shared" si="0"/>
        <v/>
      </c>
      <c r="Y32" s="374" t="str">
        <f t="shared" si="1"/>
        <v/>
      </c>
      <c r="Z32" s="374" t="str">
        <f>IF(E32="","",IF(H32&lt;V32+W32,"Error in Areas ▲",IF(P32&lt;&gt;'G-1 All Habitats'!$X$3,H32-V32-W32,IF(AND(P32='G-1 All Habitats'!$X$3,AB32="Yes"),"Unacceptable Loss ⚠",IF(AND(P32='G-1 All Habitats'!$X$3,AB32="No"),AG32,IF(AND(P32='G-1 All Habitats'!$X$3,AB32=""),AG32,IF(AND(P32='G-1 All Habitats'!$X$3,AG32="None",AG32),IF(AND(P32='G-1 All Habitats'!$X$3,AG32&gt;0),H32-V32-W32))))))))</f>
        <v/>
      </c>
      <c r="AA32" s="405" t="str">
        <f>IFERROR(IF(H32="","",IF(H32-V32-W32=0&lt;0,"Error in Areas ▲",IF(V32+W32&gt;H32,"Error in Areas ▲",IF(AND(P32='G-1 All Habitats'!$X$3,AB32="Yes"),"Alternative Compensation ✓",IF(Z32=0,0,IF(P32='G-1 All Habitats'!$X$3,"Any Loss Unacceptable ▲",T32-X32-Y32)))))),"Check Data ⚠")</f>
        <v/>
      </c>
      <c r="AB32" s="837"/>
      <c r="AC32" s="119"/>
      <c r="AD32" s="528"/>
      <c r="AE32" s="120"/>
      <c r="AF32" s="687"/>
      <c r="AG32" s="744" t="str">
        <f>IF(P32="","",IF(P32='G-1 All Habitats'!$X$3,H32-V32-W32,"None"))</f>
        <v/>
      </c>
      <c r="AH32" s="744" t="str">
        <f t="shared" si="2"/>
        <v/>
      </c>
      <c r="AJ32" s="124" t="str">
        <f t="shared" si="3"/>
        <v/>
      </c>
      <c r="AK32" s="124" t="str">
        <f t="shared" si="4"/>
        <v/>
      </c>
      <c r="AL32" s="124" t="str">
        <f>IF(I32="","",IF(#REF!&gt;0,TRUE,FALSE))</f>
        <v/>
      </c>
      <c r="AM32" s="124">
        <v>22</v>
      </c>
      <c r="AN32" s="124"/>
      <c r="AO32" s="124" t="str">
        <f t="array" ref="AO32">IFERROR(INDEX($AM$11:$AM$259, MATCH(0, IF(TRUE=$AJ$11:$AJ$259, COUNTIF($AO$10:$AO31, $AM$11:$AM$259), ""), 0)),"")</f>
        <v/>
      </c>
      <c r="AP32" s="124" t="str">
        <f t="array" ref="AP32">IFERROR(INDEX($AM$11:$AM$259, MATCH(0, IF(TRUE=$AK$11:$AK$259, COUNTIF($AP$10:$AP31, $AM$11:$AM$259), ""), 0)),"")</f>
        <v/>
      </c>
      <c r="AQ32" s="124" t="str">
        <f t="array" ref="AQ32">IFERROR(INDEX($AM$11:$AM$259, MATCH(0, IF(TRUE=$AL$11:$AL$259, COUNTIF($AQ$10:$AQ31, $AM$11:$AM$259), ""), 0)),"")</f>
        <v/>
      </c>
      <c r="AU32" s="30">
        <f t="shared" si="7"/>
        <v>0</v>
      </c>
      <c r="AY32" s="374" t="str">
        <f t="shared" si="6"/>
        <v/>
      </c>
    </row>
    <row r="33" spans="1:51">
      <c r="A33" s="30" t="str">
        <f>IFERROR(INDEX('G-1 All Habitats'!$AG$3:$AG$17,MATCH(E33,'G-1 All Habitats'!$AF$3:$AF$17,0)),"")</f>
        <v/>
      </c>
      <c r="B33" s="30" t="str">
        <f>IFERROR(INDEX('G-8 Condition Look up'!$I$4:$I$135,MATCH(G33,'G-8 Condition Look up'!$A$4:$A$135,0)),"")</f>
        <v/>
      </c>
      <c r="D33" s="110">
        <v>23</v>
      </c>
      <c r="E33" s="339"/>
      <c r="F33" s="339"/>
      <c r="G33" s="295" t="str">
        <f>IFERROR(INDEX('G-1 All Habitats'!$B$3:$B$134,MATCH(F33,'G-1 All Habitats'!$A$3:$A$134,0)),"")</f>
        <v/>
      </c>
      <c r="H33" s="53"/>
      <c r="I33" s="722" t="str">
        <f>IF(G33="","",VLOOKUP(G33,'G-1 All Habitats'!$B$2:$M$134,10,FALSE))</f>
        <v/>
      </c>
      <c r="J33" s="490" t="str">
        <f>IFERROR(VLOOKUP(I33,'G-1 All Habitats'!$V$3:$W$7,2,FALSE),"")</f>
        <v/>
      </c>
      <c r="K33" s="54"/>
      <c r="L33" s="490" t="str">
        <f>IFERROR(INDEX('G-8 Condition Look up'!$A$3:$H$135,MATCH(G33,'G-8 Condition Look up'!$A$3:$A$135,0),MATCH(K33,'G-8 Condition Look up'!$A$3:$H$3,0)),"")</f>
        <v/>
      </c>
      <c r="M33" s="723"/>
      <c r="N33" s="404" t="str">
        <f>IF(M33="","",IF(VLOOKUP(M33,'G-3 Multipliers'!$L$3:$N$6,2,FALSE)=0,"Spatial Data Missing ⚠",VLOOKUP(M33,'G-3 Multipliers'!$L$3:$N$6,2,FALSE)))</f>
        <v/>
      </c>
      <c r="O33" s="452" t="str">
        <f>IF(M33="","",IF(VLOOKUP(M33,'G-3 Multipliers'!$L$3:$N$6,3,FALSE)=0,"Spatial Data Missing ⚠",VLOOKUP(M33,'G-3 Multipliers'!$L$3:$N$6,3,FALSE)))</f>
        <v/>
      </c>
      <c r="P33" s="369" t="str">
        <f>IFERROR(VLOOKUP(G33,'G-1 All Habitats'!$B$2:$M$134,12,FALSE),"")</f>
        <v/>
      </c>
      <c r="Q33" s="725" t="str">
        <f>IFERROR(IF(P33="","",IF(AND(P33='G-1 All Habitats'!$X$3,W33&gt;0),X33+(Y33*S33),IF(AND(P33='G-1 All Habitats'!$X$3,V33&gt;0),X33+(Y33*S33),IF(AND(P33='G-1 All Habitats'!$X$3,AG33&gt;0),"Any Loss Unacceptable  ⚠",IF(AND(P33='G-1 All Habitats'!$X$3,Z33&gt;0),"Any Loss Unacceptable ⚠",H33*J33*L33*O33*S33))))),"Check Data ⚠")</f>
        <v/>
      </c>
      <c r="R33" s="516"/>
      <c r="S33" s="724" t="str">
        <f>IF(R33="","",IF(VLOOKUP(R33,'G-3 Multipliers'!$S$3:$T$10,2,FALSE)=0,"Spatial Data Missing ⚠",VLOOKUP(R33,'G-3 Multipliers'!$S$3:$T$10,2,FALSE)))</f>
        <v/>
      </c>
      <c r="T33" s="376" t="str">
        <f>IFERROR(IF(P33="","",IF(AND(P33='G-1 All Habitats'!$X$3,W33&gt;0),X33+Y33,IF(AND(P33='G-1 All Habitats'!$X$3,V33&gt;0),X33+Y33,IF(AND(P33='G-1 All Habitats'!$X$3,AG33&gt;0),"Any Loss Unacceptable ⚠", IF(R33="","", IF(AND(P33='G-1 All Habitats'!$X$3,Z33&gt;0),"Any Loss Unacceptable ⚠",H33*J33*L33*O33)))))),"Check Data ⚠")</f>
        <v/>
      </c>
      <c r="U33" s="38"/>
      <c r="V33" s="54"/>
      <c r="W33" s="55"/>
      <c r="X33" s="374" t="str">
        <f t="shared" si="0"/>
        <v/>
      </c>
      <c r="Y33" s="374" t="str">
        <f t="shared" si="1"/>
        <v/>
      </c>
      <c r="Z33" s="374" t="str">
        <f>IF(E33="","",IF(H33&lt;V33+W33,"Error in Areas ▲",IF(P33&lt;&gt;'G-1 All Habitats'!$X$3,H33-V33-W33,IF(AND(P33='G-1 All Habitats'!$X$3,AB33="Yes"),"Unacceptable Loss ⚠",IF(AND(P33='G-1 All Habitats'!$X$3,AB33="No"),AG33,IF(AND(P33='G-1 All Habitats'!$X$3,AB33=""),AG33,IF(AND(P33='G-1 All Habitats'!$X$3,AG33="None",AG33),IF(AND(P33='G-1 All Habitats'!$X$3,AG33&gt;0),H33-V33-W33))))))))</f>
        <v/>
      </c>
      <c r="AA33" s="405" t="str">
        <f>IFERROR(IF(H33="","",IF(H33-V33-W33=0&lt;0,"Error in Areas ▲",IF(V33+W33&gt;H33,"Error in Areas ▲",IF(AND(P33='G-1 All Habitats'!$X$3,AB33="Yes"),"Alternative Compensation ✓",IF(Z33=0,0,IF(P33='G-1 All Habitats'!$X$3,"Any Loss Unacceptable ▲",T33-X33-Y33)))))),"Check Data ⚠")</f>
        <v/>
      </c>
      <c r="AB33" s="837"/>
      <c r="AC33" s="119"/>
      <c r="AD33" s="528"/>
      <c r="AE33" s="120"/>
      <c r="AF33" s="687"/>
      <c r="AG33" s="744" t="str">
        <f>IF(P33="","",IF(P33='G-1 All Habitats'!$X$3,H33-V33-W33,"None"))</f>
        <v/>
      </c>
      <c r="AH33" s="744" t="str">
        <f t="shared" si="2"/>
        <v/>
      </c>
      <c r="AJ33" s="124" t="str">
        <f t="shared" si="3"/>
        <v/>
      </c>
      <c r="AK33" s="124" t="str">
        <f t="shared" si="4"/>
        <v/>
      </c>
      <c r="AL33" s="124" t="str">
        <f>IF(I33="","",IF(#REF!&gt;0,TRUE,FALSE))</f>
        <v/>
      </c>
      <c r="AM33" s="124">
        <v>23</v>
      </c>
      <c r="AN33" s="124"/>
      <c r="AO33" s="124" t="str">
        <f t="array" ref="AO33">IFERROR(INDEX($AM$11:$AM$259, MATCH(0, IF(TRUE=$AJ$11:$AJ$259, COUNTIF($AO$10:$AO32, $AM$11:$AM$259), ""), 0)),"")</f>
        <v/>
      </c>
      <c r="AP33" s="124" t="str">
        <f t="array" ref="AP33">IFERROR(INDEX($AM$11:$AM$259, MATCH(0, IF(TRUE=$AK$11:$AK$259, COUNTIF($AP$10:$AP32, $AM$11:$AM$259), ""), 0)),"")</f>
        <v/>
      </c>
      <c r="AQ33" s="124" t="str">
        <f t="array" ref="AQ33">IFERROR(INDEX($AM$11:$AM$259, MATCH(0, IF(TRUE=$AL$11:$AL$259, COUNTIF($AQ$10:$AQ32, $AM$11:$AM$259), ""), 0)),"")</f>
        <v/>
      </c>
      <c r="AU33" s="30">
        <f t="shared" si="7"/>
        <v>0</v>
      </c>
      <c r="AY33" s="374" t="str">
        <f t="shared" si="6"/>
        <v/>
      </c>
    </row>
    <row r="34" spans="1:51">
      <c r="A34" s="30" t="str">
        <f>IFERROR(INDEX('G-1 All Habitats'!$AG$3:$AG$17,MATCH(E34,'G-1 All Habitats'!$AF$3:$AF$17,0)),"")</f>
        <v/>
      </c>
      <c r="B34" s="30" t="str">
        <f>IFERROR(INDEX('G-8 Condition Look up'!$I$4:$I$135,MATCH(G34,'G-8 Condition Look up'!$A$4:$A$135,0)),"")</f>
        <v/>
      </c>
      <c r="D34" s="110">
        <v>24</v>
      </c>
      <c r="E34" s="339"/>
      <c r="F34" s="339"/>
      <c r="G34" s="295" t="str">
        <f>IFERROR(INDEX('G-1 All Habitats'!$B$3:$B$134,MATCH(F34,'G-1 All Habitats'!$A$3:$A$134,0)),"")</f>
        <v/>
      </c>
      <c r="H34" s="53"/>
      <c r="I34" s="722" t="str">
        <f>IF(G34="","",VLOOKUP(G34,'G-1 All Habitats'!$B$2:$M$134,10,FALSE))</f>
        <v/>
      </c>
      <c r="J34" s="490" t="str">
        <f>IFERROR(VLOOKUP(I34,'G-1 All Habitats'!$V$3:$W$7,2,FALSE),"")</f>
        <v/>
      </c>
      <c r="K34" s="54"/>
      <c r="L34" s="490" t="str">
        <f>IFERROR(INDEX('G-8 Condition Look up'!$A$3:$H$135,MATCH(G34,'G-8 Condition Look up'!$A$3:$A$135,0),MATCH(K34,'G-8 Condition Look up'!$A$3:$H$3,0)),"")</f>
        <v/>
      </c>
      <c r="M34" s="723"/>
      <c r="N34" s="404" t="str">
        <f>IF(M34="","",IF(VLOOKUP(M34,'G-3 Multipliers'!$L$3:$N$6,2,FALSE)=0,"Spatial Data Missing ⚠",VLOOKUP(M34,'G-3 Multipliers'!$L$3:$N$6,2,FALSE)))</f>
        <v/>
      </c>
      <c r="O34" s="452" t="str">
        <f>IF(M34="","",IF(VLOOKUP(M34,'G-3 Multipliers'!$L$3:$N$6,3,FALSE)=0,"Spatial Data Missing ⚠",VLOOKUP(M34,'G-3 Multipliers'!$L$3:$N$6,3,FALSE)))</f>
        <v/>
      </c>
      <c r="P34" s="369" t="str">
        <f>IFERROR(VLOOKUP(G34,'G-1 All Habitats'!$B$2:$M$134,12,FALSE),"")</f>
        <v/>
      </c>
      <c r="Q34" s="725" t="str">
        <f>IFERROR(IF(P34="","",IF(AND(P34='G-1 All Habitats'!$X$3,W34&gt;0),X34+(Y34*S34),IF(AND(P34='G-1 All Habitats'!$X$3,V34&gt;0),X34+(Y34*S34),IF(AND(P34='G-1 All Habitats'!$X$3,AG34&gt;0),"Any Loss Unacceptable  ⚠",IF(AND(P34='G-1 All Habitats'!$X$3,Z34&gt;0),"Any Loss Unacceptable ⚠",H34*J34*L34*O34*S34))))),"Check Data ⚠")</f>
        <v/>
      </c>
      <c r="R34" s="516"/>
      <c r="S34" s="724" t="str">
        <f>IF(R34="","",IF(VLOOKUP(R34,'G-3 Multipliers'!$S$3:$T$10,2,FALSE)=0,"Spatial Data Missing ⚠",VLOOKUP(R34,'G-3 Multipliers'!$S$3:$T$10,2,FALSE)))</f>
        <v/>
      </c>
      <c r="T34" s="376" t="str">
        <f>IFERROR(IF(P34="","",IF(AND(P34='G-1 All Habitats'!$X$3,W34&gt;0),X34+Y34,IF(AND(P34='G-1 All Habitats'!$X$3,V34&gt;0),X34+Y34,IF(AND(P34='G-1 All Habitats'!$X$3,AG34&gt;0),"Any Loss Unacceptable ⚠", IF(R34="","", IF(AND(P34='G-1 All Habitats'!$X$3,Z34&gt;0),"Any Loss Unacceptable ⚠",H34*J34*L34*O34)))))),"Check Data ⚠")</f>
        <v/>
      </c>
      <c r="U34" s="38"/>
      <c r="V34" s="54"/>
      <c r="W34" s="55"/>
      <c r="X34" s="374" t="str">
        <f t="shared" si="0"/>
        <v/>
      </c>
      <c r="Y34" s="374" t="str">
        <f t="shared" si="1"/>
        <v/>
      </c>
      <c r="Z34" s="374" t="str">
        <f>IF(E34="","",IF(H34&lt;V34+W34,"Error in Areas ▲",IF(P34&lt;&gt;'G-1 All Habitats'!$X$3,H34-V34-W34,IF(AND(P34='G-1 All Habitats'!$X$3,AB34="Yes"),"Unacceptable Loss ⚠",IF(AND(P34='G-1 All Habitats'!$X$3,AB34="No"),AG34,IF(AND(P34='G-1 All Habitats'!$X$3,AB34=""),AG34,IF(AND(P34='G-1 All Habitats'!$X$3,AG34="None",AG34),IF(AND(P34='G-1 All Habitats'!$X$3,AG34&gt;0),H34-V34-W34))))))))</f>
        <v/>
      </c>
      <c r="AA34" s="405" t="str">
        <f>IFERROR(IF(H34="","",IF(H34-V34-W34=0&lt;0,"Error in Areas ▲",IF(V34+W34&gt;H34,"Error in Areas ▲",IF(AND(P34='G-1 All Habitats'!$X$3,AB34="Yes"),"Alternative Compensation ✓",IF(Z34=0,0,IF(P34='G-1 All Habitats'!$X$3,"Any Loss Unacceptable ▲",T34-X34-Y34)))))),"Check Data ⚠")</f>
        <v/>
      </c>
      <c r="AB34" s="837"/>
      <c r="AC34" s="119"/>
      <c r="AD34" s="528"/>
      <c r="AE34" s="120"/>
      <c r="AF34" s="687"/>
      <c r="AG34" s="744" t="str">
        <f>IF(P34="","",IF(P34='G-1 All Habitats'!$X$3,H34-V34-W34,"None"))</f>
        <v/>
      </c>
      <c r="AH34" s="744" t="str">
        <f t="shared" si="2"/>
        <v/>
      </c>
      <c r="AJ34" s="124" t="str">
        <f t="shared" si="3"/>
        <v/>
      </c>
      <c r="AK34" s="124" t="str">
        <f t="shared" si="4"/>
        <v/>
      </c>
      <c r="AL34" s="124" t="str">
        <f>IF(I34="","",IF(#REF!&gt;0,TRUE,FALSE))</f>
        <v/>
      </c>
      <c r="AM34" s="124">
        <v>24</v>
      </c>
      <c r="AN34" s="124"/>
      <c r="AO34" s="124" t="str">
        <f t="array" ref="AO34">IFERROR(INDEX($AM$11:$AM$259, MATCH(0, IF(TRUE=$AJ$11:$AJ$259, COUNTIF($AO$10:$AO33, $AM$11:$AM$259), ""), 0)),"")</f>
        <v/>
      </c>
      <c r="AP34" s="124" t="str">
        <f t="array" ref="AP34">IFERROR(INDEX($AM$11:$AM$259, MATCH(0, IF(TRUE=$AK$11:$AK$259, COUNTIF($AP$10:$AP33, $AM$11:$AM$259), ""), 0)),"")</f>
        <v/>
      </c>
      <c r="AQ34" s="124" t="str">
        <f t="array" ref="AQ34">IFERROR(INDEX($AM$11:$AM$259, MATCH(0, IF(TRUE=$AL$11:$AL$259, COUNTIF($AQ$10:$AQ33, $AM$11:$AM$259), ""), 0)),"")</f>
        <v/>
      </c>
      <c r="AU34" s="30">
        <f t="shared" si="7"/>
        <v>0</v>
      </c>
      <c r="AY34" s="374" t="str">
        <f t="shared" si="6"/>
        <v/>
      </c>
    </row>
    <row r="35" spans="1:51">
      <c r="A35" s="30" t="str">
        <f>IFERROR(INDEX('G-1 All Habitats'!$AG$3:$AG$17,MATCH(E35,'G-1 All Habitats'!$AF$3:$AF$17,0)),"")</f>
        <v/>
      </c>
      <c r="B35" s="30" t="str">
        <f>IFERROR(INDEX('G-8 Condition Look up'!$I$4:$I$135,MATCH(G35,'G-8 Condition Look up'!$A$4:$A$135,0)),"")</f>
        <v/>
      </c>
      <c r="D35" s="110">
        <v>25</v>
      </c>
      <c r="E35" s="339"/>
      <c r="F35" s="339"/>
      <c r="G35" s="295" t="str">
        <f>IFERROR(INDEX('G-1 All Habitats'!$B$3:$B$134,MATCH(F35,'G-1 All Habitats'!$A$3:$A$134,0)),"")</f>
        <v/>
      </c>
      <c r="H35" s="53"/>
      <c r="I35" s="722" t="str">
        <f>IF(G35="","",VLOOKUP(G35,'G-1 All Habitats'!$B$2:$M$134,10,FALSE))</f>
        <v/>
      </c>
      <c r="J35" s="490" t="str">
        <f>IFERROR(VLOOKUP(I35,'G-1 All Habitats'!$V$3:$W$7,2,FALSE),"")</f>
        <v/>
      </c>
      <c r="K35" s="54"/>
      <c r="L35" s="490" t="str">
        <f>IFERROR(INDEX('G-8 Condition Look up'!$A$3:$H$135,MATCH(G35,'G-8 Condition Look up'!$A$3:$A$135,0),MATCH(K35,'G-8 Condition Look up'!$A$3:$H$3,0)),"")</f>
        <v/>
      </c>
      <c r="M35" s="723"/>
      <c r="N35" s="404" t="str">
        <f>IF(M35="","",IF(VLOOKUP(M35,'G-3 Multipliers'!$L$3:$N$6,2,FALSE)=0,"Spatial Data Missing ⚠",VLOOKUP(M35,'G-3 Multipliers'!$L$3:$N$6,2,FALSE)))</f>
        <v/>
      </c>
      <c r="O35" s="452" t="str">
        <f>IF(M35="","",IF(VLOOKUP(M35,'G-3 Multipliers'!$L$3:$N$6,3,FALSE)=0,"Spatial Data Missing ⚠",VLOOKUP(M35,'G-3 Multipliers'!$L$3:$N$6,3,FALSE)))</f>
        <v/>
      </c>
      <c r="P35" s="369" t="str">
        <f>IFERROR(VLOOKUP(G35,'G-1 All Habitats'!$B$2:$M$134,12,FALSE),"")</f>
        <v/>
      </c>
      <c r="Q35" s="725" t="str">
        <f>IFERROR(IF(P35="","",IF(AND(P35='G-1 All Habitats'!$X$3,W35&gt;0),X35+(Y35*S35),IF(AND(P35='G-1 All Habitats'!$X$3,V35&gt;0),X35+(Y35*S35),IF(AND(P35='G-1 All Habitats'!$X$3,AG35&gt;0),"Any Loss Unacceptable  ⚠",IF(AND(P35='G-1 All Habitats'!$X$3,Z35&gt;0),"Any Loss Unacceptable ⚠",H35*J35*L35*O35*S35))))),"Check Data ⚠")</f>
        <v/>
      </c>
      <c r="R35" s="516"/>
      <c r="S35" s="724" t="str">
        <f>IF(R35="","",IF(VLOOKUP(R35,'G-3 Multipliers'!$S$3:$T$10,2,FALSE)=0,"Spatial Data Missing ⚠",VLOOKUP(R35,'G-3 Multipliers'!$S$3:$T$10,2,FALSE)))</f>
        <v/>
      </c>
      <c r="T35" s="376" t="str">
        <f>IFERROR(IF(P35="","",IF(AND(P35='G-1 All Habitats'!$X$3,W35&gt;0),X35+Y35,IF(AND(P35='G-1 All Habitats'!$X$3,V35&gt;0),X35+Y35,IF(AND(P35='G-1 All Habitats'!$X$3,AG35&gt;0),"Any Loss Unacceptable ⚠", IF(R35="","", IF(AND(P35='G-1 All Habitats'!$X$3,Z35&gt;0),"Any Loss Unacceptable ⚠",H35*J35*L35*O35)))))),"Check Data ⚠")</f>
        <v/>
      </c>
      <c r="U35" s="38"/>
      <c r="V35" s="54"/>
      <c r="W35" s="55"/>
      <c r="X35" s="374" t="str">
        <f t="shared" si="0"/>
        <v/>
      </c>
      <c r="Y35" s="374" t="str">
        <f t="shared" si="1"/>
        <v/>
      </c>
      <c r="Z35" s="374" t="str">
        <f>IF(E35="","",IF(H35&lt;V35+W35,"Error in Areas ▲",IF(P35&lt;&gt;'G-1 All Habitats'!$X$3,H35-V35-W35,IF(AND(P35='G-1 All Habitats'!$X$3,AB35="Yes"),"Unacceptable Loss ⚠",IF(AND(P35='G-1 All Habitats'!$X$3,AB35="No"),AG35,IF(AND(P35='G-1 All Habitats'!$X$3,AB35=""),AG35,IF(AND(P35='G-1 All Habitats'!$X$3,AG35="None",AG35),IF(AND(P35='G-1 All Habitats'!$X$3,AG35&gt;0),H35-V35-W35))))))))</f>
        <v/>
      </c>
      <c r="AA35" s="405" t="str">
        <f>IFERROR(IF(H35="","",IF(H35-V35-W35=0&lt;0,"Error in Areas ▲",IF(V35+W35&gt;H35,"Error in Areas ▲",IF(AND(P35='G-1 All Habitats'!$X$3,AB35="Yes"),"Alternative Compensation ✓",IF(Z35=0,0,IF(P35='G-1 All Habitats'!$X$3,"Any Loss Unacceptable ▲",T35-X35-Y35)))))),"Check Data ⚠")</f>
        <v/>
      </c>
      <c r="AB35" s="837"/>
      <c r="AC35" s="119"/>
      <c r="AD35" s="528"/>
      <c r="AE35" s="120"/>
      <c r="AF35" s="687"/>
      <c r="AG35" s="744" t="str">
        <f>IF(P35="","",IF(P35='G-1 All Habitats'!$X$3,H35-V35-W35,"None"))</f>
        <v/>
      </c>
      <c r="AH35" s="744" t="str">
        <f t="shared" si="2"/>
        <v/>
      </c>
      <c r="AJ35" s="124" t="str">
        <f t="shared" si="3"/>
        <v/>
      </c>
      <c r="AK35" s="124" t="str">
        <f t="shared" si="4"/>
        <v/>
      </c>
      <c r="AL35" s="124" t="str">
        <f>IF(I35="","",IF(#REF!&gt;0,TRUE,FALSE))</f>
        <v/>
      </c>
      <c r="AM35" s="124">
        <v>25</v>
      </c>
      <c r="AN35" s="124"/>
      <c r="AO35" s="124" t="str">
        <f t="array" ref="AO35">IFERROR(INDEX($AM$11:$AM$259, MATCH(0, IF(TRUE=$AJ$11:$AJ$259, COUNTIF($AO$10:$AO34, $AM$11:$AM$259), ""), 0)),"")</f>
        <v/>
      </c>
      <c r="AP35" s="124" t="str">
        <f t="array" ref="AP35">IFERROR(INDEX($AM$11:$AM$259, MATCH(0, IF(TRUE=$AK$11:$AK$259, COUNTIF($AP$10:$AP34, $AM$11:$AM$259), ""), 0)),"")</f>
        <v/>
      </c>
      <c r="AQ35" s="124" t="str">
        <f t="array" ref="AQ35">IFERROR(INDEX($AM$11:$AM$259, MATCH(0, IF(TRUE=$AL$11:$AL$259, COUNTIF($AQ$10:$AQ34, $AM$11:$AM$259), ""), 0)),"")</f>
        <v/>
      </c>
      <c r="AU35" s="30">
        <f t="shared" si="7"/>
        <v>0</v>
      </c>
      <c r="AY35" s="374" t="str">
        <f t="shared" si="6"/>
        <v/>
      </c>
    </row>
    <row r="36" spans="1:51">
      <c r="A36" s="30" t="str">
        <f>IFERROR(INDEX('G-1 All Habitats'!$AG$3:$AG$17,MATCH(E36,'G-1 All Habitats'!$AF$3:$AF$17,0)),"")</f>
        <v/>
      </c>
      <c r="B36" s="30" t="str">
        <f>IFERROR(INDEX('G-8 Condition Look up'!$I$4:$I$135,MATCH(G36,'G-8 Condition Look up'!$A$4:$A$135,0)),"")</f>
        <v/>
      </c>
      <c r="D36" s="110">
        <v>26</v>
      </c>
      <c r="E36" s="339"/>
      <c r="F36" s="339"/>
      <c r="G36" s="295" t="str">
        <f>IFERROR(INDEX('G-1 All Habitats'!$B$3:$B$134,MATCH(F36,'G-1 All Habitats'!$A$3:$A$134,0)),"")</f>
        <v/>
      </c>
      <c r="H36" s="53"/>
      <c r="I36" s="722" t="str">
        <f>IF(G36="","",VLOOKUP(G36,'G-1 All Habitats'!$B$2:$M$134,10,FALSE))</f>
        <v/>
      </c>
      <c r="J36" s="490" t="str">
        <f>IFERROR(VLOOKUP(I36,'G-1 All Habitats'!$V$3:$W$7,2,FALSE),"")</f>
        <v/>
      </c>
      <c r="K36" s="54"/>
      <c r="L36" s="490" t="str">
        <f>IFERROR(INDEX('G-8 Condition Look up'!$A$3:$H$135,MATCH(G36,'G-8 Condition Look up'!$A$3:$A$135,0),MATCH(K36,'G-8 Condition Look up'!$A$3:$H$3,0)),"")</f>
        <v/>
      </c>
      <c r="M36" s="723"/>
      <c r="N36" s="404" t="str">
        <f>IF(M36="","",IF(VLOOKUP(M36,'G-3 Multipliers'!$L$3:$N$6,2,FALSE)=0,"Spatial Data Missing ⚠",VLOOKUP(M36,'G-3 Multipliers'!$L$3:$N$6,2,FALSE)))</f>
        <v/>
      </c>
      <c r="O36" s="452" t="str">
        <f>IF(M36="","",IF(VLOOKUP(M36,'G-3 Multipliers'!$L$3:$N$6,3,FALSE)=0,"Spatial Data Missing ⚠",VLOOKUP(M36,'G-3 Multipliers'!$L$3:$N$6,3,FALSE)))</f>
        <v/>
      </c>
      <c r="P36" s="369" t="str">
        <f>IFERROR(VLOOKUP(G36,'G-1 All Habitats'!$B$2:$M$134,12,FALSE),"")</f>
        <v/>
      </c>
      <c r="Q36" s="725" t="str">
        <f>IFERROR(IF(P36="","",IF(AND(P36='G-1 All Habitats'!$X$3,W36&gt;0),X36+(Y36*S36),IF(AND(P36='G-1 All Habitats'!$X$3,V36&gt;0),X36+(Y36*S36),IF(AND(P36='G-1 All Habitats'!$X$3,AG36&gt;0),"Any Loss Unacceptable  ⚠",IF(AND(P36='G-1 All Habitats'!$X$3,Z36&gt;0),"Any Loss Unacceptable ⚠",H36*J36*L36*O36*S36))))),"Check Data ⚠")</f>
        <v/>
      </c>
      <c r="R36" s="516"/>
      <c r="S36" s="724" t="str">
        <f>IF(R36="","",IF(VLOOKUP(R36,'G-3 Multipliers'!$S$3:$T$10,2,FALSE)=0,"Spatial Data Missing ⚠",VLOOKUP(R36,'G-3 Multipliers'!$S$3:$T$10,2,FALSE)))</f>
        <v/>
      </c>
      <c r="T36" s="376" t="str">
        <f>IFERROR(IF(P36="","",IF(AND(P36='G-1 All Habitats'!$X$3,W36&gt;0),X36+Y36,IF(AND(P36='G-1 All Habitats'!$X$3,V36&gt;0),X36+Y36,IF(AND(P36='G-1 All Habitats'!$X$3,AG36&gt;0),"Any Loss Unacceptable ⚠", IF(R36="","", IF(AND(P36='G-1 All Habitats'!$X$3,Z36&gt;0),"Any Loss Unacceptable ⚠",H36*J36*L36*O36)))))),"Check Data ⚠")</f>
        <v/>
      </c>
      <c r="U36" s="38"/>
      <c r="V36" s="54"/>
      <c r="W36" s="55"/>
      <c r="X36" s="374" t="str">
        <f t="shared" si="0"/>
        <v/>
      </c>
      <c r="Y36" s="374" t="str">
        <f t="shared" si="1"/>
        <v/>
      </c>
      <c r="Z36" s="374" t="str">
        <f>IF(E36="","",IF(H36&lt;V36+W36,"Error in Areas ▲",IF(P36&lt;&gt;'G-1 All Habitats'!$X$3,H36-V36-W36,IF(AND(P36='G-1 All Habitats'!$X$3,AB36="Yes"),"Unacceptable Loss ⚠",IF(AND(P36='G-1 All Habitats'!$X$3,AB36="No"),AG36,IF(AND(P36='G-1 All Habitats'!$X$3,AB36=""),AG36,IF(AND(P36='G-1 All Habitats'!$X$3,AG36="None",AG36),IF(AND(P36='G-1 All Habitats'!$X$3,AG36&gt;0),H36-V36-W36))))))))</f>
        <v/>
      </c>
      <c r="AA36" s="405" t="str">
        <f>IFERROR(IF(H36="","",IF(H36-V36-W36=0&lt;0,"Error in Areas ▲",IF(V36+W36&gt;H36,"Error in Areas ▲",IF(AND(P36='G-1 All Habitats'!$X$3,AB36="Yes"),"Alternative Compensation ✓",IF(Z36=0,0,IF(P36='G-1 All Habitats'!$X$3,"Any Loss Unacceptable ▲",T36-X36-Y36)))))),"Check Data ⚠")</f>
        <v/>
      </c>
      <c r="AB36" s="837"/>
      <c r="AC36" s="119"/>
      <c r="AD36" s="528"/>
      <c r="AE36" s="120"/>
      <c r="AF36" s="687"/>
      <c r="AG36" s="744" t="str">
        <f>IF(P36="","",IF(P36='G-1 All Habitats'!$X$3,H36-V36-W36,"None"))</f>
        <v/>
      </c>
      <c r="AH36" s="744" t="str">
        <f t="shared" si="2"/>
        <v/>
      </c>
      <c r="AJ36" s="124" t="str">
        <f t="shared" si="3"/>
        <v/>
      </c>
      <c r="AK36" s="124" t="str">
        <f t="shared" si="4"/>
        <v/>
      </c>
      <c r="AL36" s="124" t="str">
        <f>IF(I36="","",IF(#REF!&gt;0,TRUE,FALSE))</f>
        <v/>
      </c>
      <c r="AM36" s="124">
        <v>26</v>
      </c>
      <c r="AN36" s="124"/>
      <c r="AO36" s="124" t="str">
        <f t="array" ref="AO36">IFERROR(INDEX($AM$11:$AM$259, MATCH(0, IF(TRUE=$AJ$11:$AJ$259, COUNTIF($AO$10:$AO35, $AM$11:$AM$259), ""), 0)),"")</f>
        <v/>
      </c>
      <c r="AP36" s="124" t="str">
        <f t="array" ref="AP36">IFERROR(INDEX($AM$11:$AM$259, MATCH(0, IF(TRUE=$AK$11:$AK$259, COUNTIF($AP$10:$AP35, $AM$11:$AM$259), ""), 0)),"")</f>
        <v/>
      </c>
      <c r="AQ36" s="124" t="str">
        <f t="array" ref="AQ36">IFERROR(INDEX($AM$11:$AM$259, MATCH(0, IF(TRUE=$AL$11:$AL$259, COUNTIF($AQ$10:$AQ35, $AM$11:$AM$259), ""), 0)),"")</f>
        <v/>
      </c>
      <c r="AU36" s="30">
        <f t="shared" si="7"/>
        <v>0</v>
      </c>
      <c r="AY36" s="374" t="str">
        <f t="shared" si="6"/>
        <v/>
      </c>
    </row>
    <row r="37" spans="1:51">
      <c r="A37" s="30" t="str">
        <f>IFERROR(INDEX('G-1 All Habitats'!$AG$3:$AG$17,MATCH(E37,'G-1 All Habitats'!$AF$3:$AF$17,0)),"")</f>
        <v/>
      </c>
      <c r="B37" s="30" t="str">
        <f>IFERROR(INDEX('G-8 Condition Look up'!$I$4:$I$135,MATCH(G37,'G-8 Condition Look up'!$A$4:$A$135,0)),"")</f>
        <v/>
      </c>
      <c r="D37" s="110">
        <v>27</v>
      </c>
      <c r="E37" s="339"/>
      <c r="F37" s="339"/>
      <c r="G37" s="295" t="str">
        <f>IFERROR(INDEX('G-1 All Habitats'!$B$3:$B$134,MATCH(F37,'G-1 All Habitats'!$A$3:$A$134,0)),"")</f>
        <v/>
      </c>
      <c r="H37" s="53"/>
      <c r="I37" s="722" t="str">
        <f>IF(G37="","",VLOOKUP(G37,'G-1 All Habitats'!$B$2:$M$134,10,FALSE))</f>
        <v/>
      </c>
      <c r="J37" s="490" t="str">
        <f>IFERROR(VLOOKUP(I37,'G-1 All Habitats'!$V$3:$W$7,2,FALSE),"")</f>
        <v/>
      </c>
      <c r="K37" s="54"/>
      <c r="L37" s="490" t="str">
        <f>IFERROR(INDEX('G-8 Condition Look up'!$A$3:$H$135,MATCH(G37,'G-8 Condition Look up'!$A$3:$A$135,0),MATCH(K37,'G-8 Condition Look up'!$A$3:$H$3,0)),"")</f>
        <v/>
      </c>
      <c r="M37" s="723"/>
      <c r="N37" s="404" t="str">
        <f>IF(M37="","",IF(VLOOKUP(M37,'G-3 Multipliers'!$L$3:$N$6,2,FALSE)=0,"Spatial Data Missing ⚠",VLOOKUP(M37,'G-3 Multipliers'!$L$3:$N$6,2,FALSE)))</f>
        <v/>
      </c>
      <c r="O37" s="452" t="str">
        <f>IF(M37="","",IF(VLOOKUP(M37,'G-3 Multipliers'!$L$3:$N$6,3,FALSE)=0,"Spatial Data Missing ⚠",VLOOKUP(M37,'G-3 Multipliers'!$L$3:$N$6,3,FALSE)))</f>
        <v/>
      </c>
      <c r="P37" s="369" t="str">
        <f>IFERROR(VLOOKUP(G37,'G-1 All Habitats'!$B$2:$M$134,12,FALSE),"")</f>
        <v/>
      </c>
      <c r="Q37" s="725" t="str">
        <f>IFERROR(IF(P37="","",IF(AND(P37='G-1 All Habitats'!$X$3,W37&gt;0),X37+(Y37*S37),IF(AND(P37='G-1 All Habitats'!$X$3,V37&gt;0),X37+(Y37*S37),IF(AND(P37='G-1 All Habitats'!$X$3,AG37&gt;0),"Any Loss Unacceptable  ⚠",IF(AND(P37='G-1 All Habitats'!$X$3,Z37&gt;0),"Any Loss Unacceptable ⚠",H37*J37*L37*O37*S37))))),"Check Data ⚠")</f>
        <v/>
      </c>
      <c r="R37" s="516"/>
      <c r="S37" s="724" t="str">
        <f>IF(R37="","",IF(VLOOKUP(R37,'G-3 Multipliers'!$S$3:$T$10,2,FALSE)=0,"Spatial Data Missing ⚠",VLOOKUP(R37,'G-3 Multipliers'!$S$3:$T$10,2,FALSE)))</f>
        <v/>
      </c>
      <c r="T37" s="376" t="str">
        <f>IFERROR(IF(P37="","",IF(AND(P37='G-1 All Habitats'!$X$3,W37&gt;0),X37+Y37,IF(AND(P37='G-1 All Habitats'!$X$3,V37&gt;0),X37+Y37,IF(AND(P37='G-1 All Habitats'!$X$3,AG37&gt;0),"Any Loss Unacceptable ⚠", IF(R37="","", IF(AND(P37='G-1 All Habitats'!$X$3,Z37&gt;0),"Any Loss Unacceptable ⚠",H37*J37*L37*O37)))))),"Check Data ⚠")</f>
        <v/>
      </c>
      <c r="U37" s="38"/>
      <c r="V37" s="54"/>
      <c r="W37" s="55"/>
      <c r="X37" s="374" t="str">
        <f t="shared" si="0"/>
        <v/>
      </c>
      <c r="Y37" s="374" t="str">
        <f t="shared" si="1"/>
        <v/>
      </c>
      <c r="Z37" s="374" t="str">
        <f>IF(E37="","",IF(H37&lt;V37+W37,"Error in Areas ▲",IF(P37&lt;&gt;'G-1 All Habitats'!$X$3,H37-V37-W37,IF(AND(P37='G-1 All Habitats'!$X$3,AB37="Yes"),"Unacceptable Loss ⚠",IF(AND(P37='G-1 All Habitats'!$X$3,AB37="No"),AG37,IF(AND(P37='G-1 All Habitats'!$X$3,AB37=""),AG37,IF(AND(P37='G-1 All Habitats'!$X$3,AG37="None",AG37),IF(AND(P37='G-1 All Habitats'!$X$3,AG37&gt;0),H37-V37-W37))))))))</f>
        <v/>
      </c>
      <c r="AA37" s="405" t="str">
        <f>IFERROR(IF(H37="","",IF(H37-V37-W37=0&lt;0,"Error in Areas ▲",IF(V37+W37&gt;H37,"Error in Areas ▲",IF(AND(P37='G-1 All Habitats'!$X$3,AB37="Yes"),"Alternative Compensation ✓",IF(Z37=0,0,IF(P37='G-1 All Habitats'!$X$3,"Any Loss Unacceptable ▲",T37-X37-Y37)))))),"Check Data ⚠")</f>
        <v/>
      </c>
      <c r="AB37" s="837"/>
      <c r="AC37" s="119"/>
      <c r="AD37" s="528"/>
      <c r="AE37" s="120"/>
      <c r="AF37" s="687"/>
      <c r="AG37" s="744" t="str">
        <f>IF(P37="","",IF(P37='G-1 All Habitats'!$X$3,H37-V37-W37,"None"))</f>
        <v/>
      </c>
      <c r="AH37" s="744" t="str">
        <f t="shared" si="2"/>
        <v/>
      </c>
      <c r="AJ37" s="124" t="str">
        <f t="shared" si="3"/>
        <v/>
      </c>
      <c r="AK37" s="124" t="str">
        <f t="shared" si="4"/>
        <v/>
      </c>
      <c r="AL37" s="124" t="str">
        <f>IF(I37="","",IF(#REF!&gt;0,TRUE,FALSE))</f>
        <v/>
      </c>
      <c r="AM37" s="124">
        <v>27</v>
      </c>
      <c r="AN37" s="124"/>
      <c r="AO37" s="124" t="str">
        <f t="array" ref="AO37">IFERROR(INDEX($AM$11:$AM$259, MATCH(0, IF(TRUE=$AJ$11:$AJ$259, COUNTIF($AO$10:$AO36, $AM$11:$AM$259), ""), 0)),"")</f>
        <v/>
      </c>
      <c r="AP37" s="124" t="str">
        <f t="array" ref="AP37">IFERROR(INDEX($AM$11:$AM$259, MATCH(0, IF(TRUE=$AK$11:$AK$259, COUNTIF($AP$10:$AP36, $AM$11:$AM$259), ""), 0)),"")</f>
        <v/>
      </c>
      <c r="AQ37" s="124" t="str">
        <f t="array" ref="AQ37">IFERROR(INDEX($AM$11:$AM$259, MATCH(0, IF(TRUE=$AL$11:$AL$259, COUNTIF($AQ$10:$AQ36, $AM$11:$AM$259), ""), 0)),"")</f>
        <v/>
      </c>
      <c r="AU37" s="30">
        <f t="shared" si="7"/>
        <v>0</v>
      </c>
      <c r="AY37" s="374" t="str">
        <f t="shared" si="6"/>
        <v/>
      </c>
    </row>
    <row r="38" spans="1:51">
      <c r="A38" s="30" t="str">
        <f>IFERROR(INDEX('G-1 All Habitats'!$AG$3:$AG$17,MATCH(E38,'G-1 All Habitats'!$AF$3:$AF$17,0)),"")</f>
        <v/>
      </c>
      <c r="B38" s="30" t="str">
        <f>IFERROR(INDEX('G-8 Condition Look up'!$I$4:$I$135,MATCH(G38,'G-8 Condition Look up'!$A$4:$A$135,0)),"")</f>
        <v/>
      </c>
      <c r="D38" s="110">
        <v>28</v>
      </c>
      <c r="E38" s="339"/>
      <c r="F38" s="339"/>
      <c r="G38" s="295" t="str">
        <f>IFERROR(INDEX('G-1 All Habitats'!$B$3:$B$134,MATCH(F38,'G-1 All Habitats'!$A$3:$A$134,0)),"")</f>
        <v/>
      </c>
      <c r="H38" s="53"/>
      <c r="I38" s="722" t="str">
        <f>IF(G38="","",VLOOKUP(G38,'G-1 All Habitats'!$B$2:$M$134,10,FALSE))</f>
        <v/>
      </c>
      <c r="J38" s="490" t="str">
        <f>IFERROR(VLOOKUP(I38,'G-1 All Habitats'!$V$3:$W$7,2,FALSE),"")</f>
        <v/>
      </c>
      <c r="K38" s="54"/>
      <c r="L38" s="490" t="str">
        <f>IFERROR(INDEX('G-8 Condition Look up'!$A$3:$H$135,MATCH(G38,'G-8 Condition Look up'!$A$3:$A$135,0),MATCH(K38,'G-8 Condition Look up'!$A$3:$H$3,0)),"")</f>
        <v/>
      </c>
      <c r="M38" s="723"/>
      <c r="N38" s="404" t="str">
        <f>IF(M38="","",IF(VLOOKUP(M38,'G-3 Multipliers'!$L$3:$N$6,2,FALSE)=0,"Spatial Data Missing ⚠",VLOOKUP(M38,'G-3 Multipliers'!$L$3:$N$6,2,FALSE)))</f>
        <v/>
      </c>
      <c r="O38" s="452" t="str">
        <f>IF(M38="","",IF(VLOOKUP(M38,'G-3 Multipliers'!$L$3:$N$6,3,FALSE)=0,"Spatial Data Missing ⚠",VLOOKUP(M38,'G-3 Multipliers'!$L$3:$N$6,3,FALSE)))</f>
        <v/>
      </c>
      <c r="P38" s="369" t="str">
        <f>IFERROR(VLOOKUP(G38,'G-1 All Habitats'!$B$2:$M$134,12,FALSE),"")</f>
        <v/>
      </c>
      <c r="Q38" s="725" t="str">
        <f>IFERROR(IF(P38="","",IF(AND(P38='G-1 All Habitats'!$X$3,W38&gt;0),X38+(Y38*S38),IF(AND(P38='G-1 All Habitats'!$X$3,V38&gt;0),X38+(Y38*S38),IF(AND(P38='G-1 All Habitats'!$X$3,AG38&gt;0),"Any Loss Unacceptable  ⚠",IF(AND(P38='G-1 All Habitats'!$X$3,Z38&gt;0),"Any Loss Unacceptable ⚠",H38*J38*L38*O38*S38))))),"Check Data ⚠")</f>
        <v/>
      </c>
      <c r="R38" s="516"/>
      <c r="S38" s="724" t="str">
        <f>IF(R38="","",IF(VLOOKUP(R38,'G-3 Multipliers'!$S$3:$T$10,2,FALSE)=0,"Spatial Data Missing ⚠",VLOOKUP(R38,'G-3 Multipliers'!$S$3:$T$10,2,FALSE)))</f>
        <v/>
      </c>
      <c r="T38" s="376" t="str">
        <f>IFERROR(IF(P38="","",IF(AND(P38='G-1 All Habitats'!$X$3,W38&gt;0),X38+Y38,IF(AND(P38='G-1 All Habitats'!$X$3,V38&gt;0),X38+Y38,IF(AND(P38='G-1 All Habitats'!$X$3,AG38&gt;0),"Any Loss Unacceptable ⚠", IF(R38="","", IF(AND(P38='G-1 All Habitats'!$X$3,Z38&gt;0),"Any Loss Unacceptable ⚠",H38*J38*L38*O38)))))),"Check Data ⚠")</f>
        <v/>
      </c>
      <c r="U38" s="38"/>
      <c r="V38" s="54"/>
      <c r="W38" s="55"/>
      <c r="X38" s="374" t="str">
        <f t="shared" si="0"/>
        <v/>
      </c>
      <c r="Y38" s="374" t="str">
        <f t="shared" si="1"/>
        <v/>
      </c>
      <c r="Z38" s="374" t="str">
        <f>IF(E38="","",IF(H38&lt;V38+W38,"Error in Areas ▲",IF(P38&lt;&gt;'G-1 All Habitats'!$X$3,H38-V38-W38,IF(AND(P38='G-1 All Habitats'!$X$3,AB38="Yes"),"Unacceptable Loss ⚠",IF(AND(P38='G-1 All Habitats'!$X$3,AB38="No"),AG38,IF(AND(P38='G-1 All Habitats'!$X$3,AB38=""),AG38,IF(AND(P38='G-1 All Habitats'!$X$3,AG38="None",AG38),IF(AND(P38='G-1 All Habitats'!$X$3,AG38&gt;0),H38-V38-W38))))))))</f>
        <v/>
      </c>
      <c r="AA38" s="405" t="str">
        <f>IFERROR(IF(H38="","",IF(H38-V38-W38=0&lt;0,"Error in Areas ▲",IF(V38+W38&gt;H38,"Error in Areas ▲",IF(AND(P38='G-1 All Habitats'!$X$3,AB38="Yes"),"Alternative Compensation ✓",IF(Z38=0,0,IF(P38='G-1 All Habitats'!$X$3,"Any Loss Unacceptable ▲",T38-X38-Y38)))))),"Check Data ⚠")</f>
        <v/>
      </c>
      <c r="AB38" s="837"/>
      <c r="AC38" s="119"/>
      <c r="AD38" s="528"/>
      <c r="AE38" s="120"/>
      <c r="AF38" s="687"/>
      <c r="AG38" s="744" t="str">
        <f>IF(P38="","",IF(P38='G-1 All Habitats'!$X$3,H38-V38-W38,"None"))</f>
        <v/>
      </c>
      <c r="AH38" s="744" t="str">
        <f t="shared" si="2"/>
        <v/>
      </c>
      <c r="AJ38" s="124" t="str">
        <f t="shared" si="3"/>
        <v/>
      </c>
      <c r="AK38" s="124" t="str">
        <f t="shared" si="4"/>
        <v/>
      </c>
      <c r="AL38" s="124" t="str">
        <f>IF(I38="","",IF(#REF!&gt;0,TRUE,FALSE))</f>
        <v/>
      </c>
      <c r="AM38" s="124">
        <v>28</v>
      </c>
      <c r="AN38" s="124"/>
      <c r="AO38" s="124" t="str">
        <f t="array" ref="AO38">IFERROR(INDEX($AM$11:$AM$259, MATCH(0, IF(TRUE=$AJ$11:$AJ$259, COUNTIF($AO$10:$AO37, $AM$11:$AM$259), ""), 0)),"")</f>
        <v/>
      </c>
      <c r="AP38" s="124" t="str">
        <f t="array" ref="AP38">IFERROR(INDEX($AM$11:$AM$259, MATCH(0, IF(TRUE=$AK$11:$AK$259, COUNTIF($AP$10:$AP37, $AM$11:$AM$259), ""), 0)),"")</f>
        <v/>
      </c>
      <c r="AQ38" s="124" t="str">
        <f t="array" ref="AQ38">IFERROR(INDEX($AM$11:$AM$259, MATCH(0, IF(TRUE=$AL$11:$AL$259, COUNTIF($AQ$10:$AQ37, $AM$11:$AM$259), ""), 0)),"")</f>
        <v/>
      </c>
      <c r="AU38" s="30">
        <f t="shared" si="7"/>
        <v>0</v>
      </c>
      <c r="AY38" s="374" t="str">
        <f t="shared" si="6"/>
        <v/>
      </c>
    </row>
    <row r="39" spans="1:51">
      <c r="A39" s="30" t="str">
        <f>IFERROR(INDEX('G-1 All Habitats'!$AG$3:$AG$17,MATCH(E39,'G-1 All Habitats'!$AF$3:$AF$17,0)),"")</f>
        <v/>
      </c>
      <c r="B39" s="30" t="str">
        <f>IFERROR(INDEX('G-8 Condition Look up'!$I$4:$I$135,MATCH(G39,'G-8 Condition Look up'!$A$4:$A$135,0)),"")</f>
        <v/>
      </c>
      <c r="D39" s="110">
        <v>29</v>
      </c>
      <c r="E39" s="339"/>
      <c r="F39" s="339"/>
      <c r="G39" s="295" t="str">
        <f>IFERROR(INDEX('G-1 All Habitats'!$B$3:$B$134,MATCH(F39,'G-1 All Habitats'!$A$3:$A$134,0)),"")</f>
        <v/>
      </c>
      <c r="H39" s="53"/>
      <c r="I39" s="722" t="str">
        <f>IF(G39="","",VLOOKUP(G39,'G-1 All Habitats'!$B$2:$M$134,10,FALSE))</f>
        <v/>
      </c>
      <c r="J39" s="490" t="str">
        <f>IFERROR(VLOOKUP(I39,'G-1 All Habitats'!$V$3:$W$7,2,FALSE),"")</f>
        <v/>
      </c>
      <c r="K39" s="54"/>
      <c r="L39" s="490" t="str">
        <f>IFERROR(INDEX('G-8 Condition Look up'!$A$3:$H$135,MATCH(G39,'G-8 Condition Look up'!$A$3:$A$135,0),MATCH(K39,'G-8 Condition Look up'!$A$3:$H$3,0)),"")</f>
        <v/>
      </c>
      <c r="M39" s="723"/>
      <c r="N39" s="404" t="str">
        <f>IF(M39="","",IF(VLOOKUP(M39,'G-3 Multipliers'!$L$3:$N$6,2,FALSE)=0,"Spatial Data Missing ⚠",VLOOKUP(M39,'G-3 Multipliers'!$L$3:$N$6,2,FALSE)))</f>
        <v/>
      </c>
      <c r="O39" s="452" t="str">
        <f>IF(M39="","",IF(VLOOKUP(M39,'G-3 Multipliers'!$L$3:$N$6,3,FALSE)=0,"Spatial Data Missing ⚠",VLOOKUP(M39,'G-3 Multipliers'!$L$3:$N$6,3,FALSE)))</f>
        <v/>
      </c>
      <c r="P39" s="369" t="str">
        <f>IFERROR(VLOOKUP(G39,'G-1 All Habitats'!$B$2:$M$134,12,FALSE),"")</f>
        <v/>
      </c>
      <c r="Q39" s="725" t="str">
        <f>IFERROR(IF(P39="","",IF(AND(P39='G-1 All Habitats'!$X$3,W39&gt;0),X39+(Y39*S39),IF(AND(P39='G-1 All Habitats'!$X$3,V39&gt;0),X39+(Y39*S39),IF(AND(P39='G-1 All Habitats'!$X$3,AG39&gt;0),"Any Loss Unacceptable  ⚠",IF(AND(P39='G-1 All Habitats'!$X$3,Z39&gt;0),"Any Loss Unacceptable ⚠",H39*J39*L39*O39*S39))))),"Check Data ⚠")</f>
        <v/>
      </c>
      <c r="R39" s="516"/>
      <c r="S39" s="724" t="str">
        <f>IF(R39="","",IF(VLOOKUP(R39,'G-3 Multipliers'!$S$3:$T$10,2,FALSE)=0,"Spatial Data Missing ⚠",VLOOKUP(R39,'G-3 Multipliers'!$S$3:$T$10,2,FALSE)))</f>
        <v/>
      </c>
      <c r="T39" s="376" t="str">
        <f>IFERROR(IF(P39="","",IF(AND(P39='G-1 All Habitats'!$X$3,W39&gt;0),X39+Y39,IF(AND(P39='G-1 All Habitats'!$X$3,V39&gt;0),X39+Y39,IF(AND(P39='G-1 All Habitats'!$X$3,AG39&gt;0),"Any Loss Unacceptable ⚠", IF(R39="","", IF(AND(P39='G-1 All Habitats'!$X$3,Z39&gt;0),"Any Loss Unacceptable ⚠",H39*J39*L39*O39)))))),"Check Data ⚠")</f>
        <v/>
      </c>
      <c r="U39" s="38"/>
      <c r="V39" s="54"/>
      <c r="W39" s="55"/>
      <c r="X39" s="374" t="str">
        <f t="shared" si="0"/>
        <v/>
      </c>
      <c r="Y39" s="374" t="str">
        <f t="shared" si="1"/>
        <v/>
      </c>
      <c r="Z39" s="374" t="str">
        <f>IF(E39="","",IF(H39&lt;V39+W39,"Error in Areas ▲",IF(P39&lt;&gt;'G-1 All Habitats'!$X$3,H39-V39-W39,IF(AND(P39='G-1 All Habitats'!$X$3,AB39="Yes"),"Unacceptable Loss ⚠",IF(AND(P39='G-1 All Habitats'!$X$3,AB39="No"),AG39,IF(AND(P39='G-1 All Habitats'!$X$3,AB39=""),AG39,IF(AND(P39='G-1 All Habitats'!$X$3,AG39="None",AG39),IF(AND(P39='G-1 All Habitats'!$X$3,AG39&gt;0),H39-V39-W39))))))))</f>
        <v/>
      </c>
      <c r="AA39" s="405" t="str">
        <f>IFERROR(IF(H39="","",IF(H39-V39-W39=0&lt;0,"Error in Areas ▲",IF(V39+W39&gt;H39,"Error in Areas ▲",IF(AND(P39='G-1 All Habitats'!$X$3,AB39="Yes"),"Alternative Compensation ✓",IF(Z39=0,0,IF(P39='G-1 All Habitats'!$X$3,"Any Loss Unacceptable ▲",T39-X39-Y39)))))),"Check Data ⚠")</f>
        <v/>
      </c>
      <c r="AB39" s="837"/>
      <c r="AC39" s="119"/>
      <c r="AD39" s="528"/>
      <c r="AE39" s="120"/>
      <c r="AF39" s="687"/>
      <c r="AG39" s="744" t="str">
        <f>IF(P39="","",IF(P39='G-1 All Habitats'!$X$3,H39-V39-W39,"None"))</f>
        <v/>
      </c>
      <c r="AH39" s="744" t="str">
        <f t="shared" si="2"/>
        <v/>
      </c>
      <c r="AJ39" s="124" t="str">
        <f t="shared" si="3"/>
        <v/>
      </c>
      <c r="AK39" s="124" t="str">
        <f t="shared" si="4"/>
        <v/>
      </c>
      <c r="AL39" s="124" t="str">
        <f>IF(I39="","",IF(#REF!&gt;0,TRUE,FALSE))</f>
        <v/>
      </c>
      <c r="AM39" s="124">
        <v>29</v>
      </c>
      <c r="AN39" s="124"/>
      <c r="AO39" s="124" t="str">
        <f t="array" ref="AO39">IFERROR(INDEX($AM$11:$AM$259, MATCH(0, IF(TRUE=$AJ$11:$AJ$259, COUNTIF($AO$10:$AO38, $AM$11:$AM$259), ""), 0)),"")</f>
        <v/>
      </c>
      <c r="AP39" s="124" t="str">
        <f t="array" ref="AP39">IFERROR(INDEX($AM$11:$AM$259, MATCH(0, IF(TRUE=$AK$11:$AK$259, COUNTIF($AP$10:$AP38, $AM$11:$AM$259), ""), 0)),"")</f>
        <v/>
      </c>
      <c r="AQ39" s="124" t="str">
        <f t="array" ref="AQ39">IFERROR(INDEX($AM$11:$AM$259, MATCH(0, IF(TRUE=$AL$11:$AL$259, COUNTIF($AQ$10:$AQ38, $AM$11:$AM$259), ""), 0)),"")</f>
        <v/>
      </c>
      <c r="AU39" s="30">
        <f t="shared" si="7"/>
        <v>0</v>
      </c>
      <c r="AY39" s="374" t="str">
        <f t="shared" si="6"/>
        <v/>
      </c>
    </row>
    <row r="40" spans="1:51">
      <c r="A40" s="30" t="str">
        <f>IFERROR(INDEX('G-1 All Habitats'!$AG$3:$AG$17,MATCH(E40,'G-1 All Habitats'!$AF$3:$AF$17,0)),"")</f>
        <v/>
      </c>
      <c r="B40" s="30" t="str">
        <f>IFERROR(INDEX('G-8 Condition Look up'!$I$4:$I$135,MATCH(G40,'G-8 Condition Look up'!$A$4:$A$135,0)),"")</f>
        <v/>
      </c>
      <c r="D40" s="110">
        <v>30</v>
      </c>
      <c r="E40" s="339"/>
      <c r="F40" s="339"/>
      <c r="G40" s="295" t="str">
        <f>IFERROR(INDEX('G-1 All Habitats'!$B$3:$B$134,MATCH(F40,'G-1 All Habitats'!$A$3:$A$134,0)),"")</f>
        <v/>
      </c>
      <c r="H40" s="53"/>
      <c r="I40" s="722" t="str">
        <f>IF(G40="","",VLOOKUP(G40,'G-1 All Habitats'!$B$2:$M$134,10,FALSE))</f>
        <v/>
      </c>
      <c r="J40" s="490" t="str">
        <f>IFERROR(VLOOKUP(I40,'G-1 All Habitats'!$V$3:$W$7,2,FALSE),"")</f>
        <v/>
      </c>
      <c r="K40" s="54"/>
      <c r="L40" s="490" t="str">
        <f>IFERROR(INDEX('G-8 Condition Look up'!$A$3:$H$135,MATCH(G40,'G-8 Condition Look up'!$A$3:$A$135,0),MATCH(K40,'G-8 Condition Look up'!$A$3:$H$3,0)),"")</f>
        <v/>
      </c>
      <c r="M40" s="723"/>
      <c r="N40" s="404" t="str">
        <f>IF(M40="","",IF(VLOOKUP(M40,'G-3 Multipliers'!$L$3:$N$6,2,FALSE)=0,"Spatial Data Missing ⚠",VLOOKUP(M40,'G-3 Multipliers'!$L$3:$N$6,2,FALSE)))</f>
        <v/>
      </c>
      <c r="O40" s="452" t="str">
        <f>IF(M40="","",IF(VLOOKUP(M40,'G-3 Multipliers'!$L$3:$N$6,3,FALSE)=0,"Spatial Data Missing ⚠",VLOOKUP(M40,'G-3 Multipliers'!$L$3:$N$6,3,FALSE)))</f>
        <v/>
      </c>
      <c r="P40" s="369" t="str">
        <f>IFERROR(VLOOKUP(G40,'G-1 All Habitats'!$B$2:$M$134,12,FALSE),"")</f>
        <v/>
      </c>
      <c r="Q40" s="725" t="str">
        <f>IFERROR(IF(P40="","",IF(AND(P40='G-1 All Habitats'!$X$3,W40&gt;0),X40+(Y40*S40),IF(AND(P40='G-1 All Habitats'!$X$3,V40&gt;0),X40+(Y40*S40),IF(AND(P40='G-1 All Habitats'!$X$3,AG40&gt;0),"Any Loss Unacceptable  ⚠",IF(AND(P40='G-1 All Habitats'!$X$3,Z40&gt;0),"Any Loss Unacceptable ⚠",H40*J40*L40*O40*S40))))),"Check Data ⚠")</f>
        <v/>
      </c>
      <c r="R40" s="516"/>
      <c r="S40" s="724" t="str">
        <f>IF(R40="","",IF(VLOOKUP(R40,'G-3 Multipliers'!$S$3:$T$10,2,FALSE)=0,"Spatial Data Missing ⚠",VLOOKUP(R40,'G-3 Multipliers'!$S$3:$T$10,2,FALSE)))</f>
        <v/>
      </c>
      <c r="T40" s="376" t="str">
        <f>IFERROR(IF(P40="","",IF(AND(P40='G-1 All Habitats'!$X$3,W40&gt;0),X40+Y40,IF(AND(P40='G-1 All Habitats'!$X$3,V40&gt;0),X40+Y40,IF(AND(P40='G-1 All Habitats'!$X$3,AG40&gt;0),"Any Loss Unacceptable ⚠", IF(R40="","", IF(AND(P40='G-1 All Habitats'!$X$3,Z40&gt;0),"Any Loss Unacceptable ⚠",H40*J40*L40*O40)))))),"Check Data ⚠")</f>
        <v/>
      </c>
      <c r="U40" s="38"/>
      <c r="V40" s="54"/>
      <c r="W40" s="55"/>
      <c r="X40" s="374" t="str">
        <f t="shared" si="0"/>
        <v/>
      </c>
      <c r="Y40" s="374" t="str">
        <f t="shared" si="1"/>
        <v/>
      </c>
      <c r="Z40" s="374" t="str">
        <f>IF(E40="","",IF(H40&lt;V40+W40,"Error in Areas ▲",IF(P40&lt;&gt;'G-1 All Habitats'!$X$3,H40-V40-W40,IF(AND(P40='G-1 All Habitats'!$X$3,AB40="Yes"),"Unacceptable Loss ⚠",IF(AND(P40='G-1 All Habitats'!$X$3,AB40="No"),AG40,IF(AND(P40='G-1 All Habitats'!$X$3,AB40=""),AG40,IF(AND(P40='G-1 All Habitats'!$X$3,AG40="None",AG40),IF(AND(P40='G-1 All Habitats'!$X$3,AG40&gt;0),H40-V40-W40))))))))</f>
        <v/>
      </c>
      <c r="AA40" s="405" t="str">
        <f>IFERROR(IF(H40="","",IF(H40-V40-W40=0&lt;0,"Error in Areas ▲",IF(V40+W40&gt;H40,"Error in Areas ▲",IF(AND(P40='G-1 All Habitats'!$X$3,AB40="Yes"),"Alternative Compensation ✓",IF(Z40=0,0,IF(P40='G-1 All Habitats'!$X$3,"Any Loss Unacceptable ▲",T40-X40-Y40)))))),"Check Data ⚠")</f>
        <v/>
      </c>
      <c r="AB40" s="837"/>
      <c r="AC40" s="119"/>
      <c r="AD40" s="528"/>
      <c r="AE40" s="120"/>
      <c r="AF40" s="687"/>
      <c r="AG40" s="744" t="str">
        <f>IF(P40="","",IF(P40='G-1 All Habitats'!$X$3,H40-V40-W40,"None"))</f>
        <v/>
      </c>
      <c r="AH40" s="744" t="str">
        <f t="shared" si="2"/>
        <v/>
      </c>
      <c r="AJ40" s="124" t="str">
        <f t="shared" si="3"/>
        <v/>
      </c>
      <c r="AK40" s="124" t="str">
        <f t="shared" si="4"/>
        <v/>
      </c>
      <c r="AL40" s="124" t="str">
        <f>IF(I40="","",IF(#REF!&gt;0,TRUE,FALSE))</f>
        <v/>
      </c>
      <c r="AM40" s="124">
        <v>30</v>
      </c>
      <c r="AN40" s="124"/>
      <c r="AO40" s="124" t="str">
        <f t="array" ref="AO40">IFERROR(INDEX($AM$11:$AM$259, MATCH(0, IF(TRUE=$AJ$11:$AJ$259, COUNTIF($AO$10:$AO39, $AM$11:$AM$259), ""), 0)),"")</f>
        <v/>
      </c>
      <c r="AP40" s="124" t="str">
        <f t="array" ref="AP40">IFERROR(INDEX($AM$11:$AM$259, MATCH(0, IF(TRUE=$AK$11:$AK$259, COUNTIF($AP$10:$AP39, $AM$11:$AM$259), ""), 0)),"")</f>
        <v/>
      </c>
      <c r="AQ40" s="124" t="str">
        <f t="array" ref="AQ40">IFERROR(INDEX($AM$11:$AM$259, MATCH(0, IF(TRUE=$AL$11:$AL$259, COUNTIF($AQ$10:$AQ39, $AM$11:$AM$259), ""), 0)),"")</f>
        <v/>
      </c>
      <c r="AU40" s="30">
        <f t="shared" si="7"/>
        <v>0</v>
      </c>
      <c r="AY40" s="374" t="str">
        <f t="shared" si="6"/>
        <v/>
      </c>
    </row>
    <row r="41" spans="1:51">
      <c r="A41" s="30" t="str">
        <f>IFERROR(INDEX('G-1 All Habitats'!$AG$3:$AG$17,MATCH(E41,'G-1 All Habitats'!$AF$3:$AF$17,0)),"")</f>
        <v/>
      </c>
      <c r="B41" s="30" t="str">
        <f>IFERROR(INDEX('G-8 Condition Look up'!$I$4:$I$135,MATCH(G41,'G-8 Condition Look up'!$A$4:$A$135,0)),"")</f>
        <v/>
      </c>
      <c r="D41" s="110">
        <v>31</v>
      </c>
      <c r="E41" s="339"/>
      <c r="F41" s="339"/>
      <c r="G41" s="295" t="str">
        <f>IFERROR(INDEX('G-1 All Habitats'!$B$3:$B$134,MATCH(F41,'G-1 All Habitats'!$A$3:$A$134,0)),"")</f>
        <v/>
      </c>
      <c r="H41" s="53"/>
      <c r="I41" s="722" t="str">
        <f>IF(G41="","",VLOOKUP(G41,'G-1 All Habitats'!$B$2:$M$134,10,FALSE))</f>
        <v/>
      </c>
      <c r="J41" s="490" t="str">
        <f>IFERROR(VLOOKUP(I41,'G-1 All Habitats'!$V$3:$W$7,2,FALSE),"")</f>
        <v/>
      </c>
      <c r="K41" s="54"/>
      <c r="L41" s="490" t="str">
        <f>IFERROR(INDEX('G-8 Condition Look up'!$A$3:$H$135,MATCH(G41,'G-8 Condition Look up'!$A$3:$A$135,0),MATCH(K41,'G-8 Condition Look up'!$A$3:$H$3,0)),"")</f>
        <v/>
      </c>
      <c r="M41" s="723"/>
      <c r="N41" s="404" t="str">
        <f>IF(M41="","",IF(VLOOKUP(M41,'G-3 Multipliers'!$L$3:$N$6,2,FALSE)=0,"Spatial Data Missing ⚠",VLOOKUP(M41,'G-3 Multipliers'!$L$3:$N$6,2,FALSE)))</f>
        <v/>
      </c>
      <c r="O41" s="452" t="str">
        <f>IF(M41="","",IF(VLOOKUP(M41,'G-3 Multipliers'!$L$3:$N$6,3,FALSE)=0,"Spatial Data Missing ⚠",VLOOKUP(M41,'G-3 Multipliers'!$L$3:$N$6,3,FALSE)))</f>
        <v/>
      </c>
      <c r="P41" s="369" t="str">
        <f>IFERROR(VLOOKUP(G41,'G-1 All Habitats'!$B$2:$M$134,12,FALSE),"")</f>
        <v/>
      </c>
      <c r="Q41" s="725" t="str">
        <f>IFERROR(IF(P41="","",IF(AND(P41='G-1 All Habitats'!$X$3,W41&gt;0),X41+(Y41*S41),IF(AND(P41='G-1 All Habitats'!$X$3,V41&gt;0),X41+(Y41*S41),IF(AND(P41='G-1 All Habitats'!$X$3,AG41&gt;0),"Any Loss Unacceptable  ⚠",IF(AND(P41='G-1 All Habitats'!$X$3,Z41&gt;0),"Any Loss Unacceptable ⚠",H41*J41*L41*O41*S41))))),"Check Data ⚠")</f>
        <v/>
      </c>
      <c r="R41" s="516"/>
      <c r="S41" s="724" t="str">
        <f>IF(R41="","",IF(VLOOKUP(R41,'G-3 Multipliers'!$S$3:$T$10,2,FALSE)=0,"Spatial Data Missing ⚠",VLOOKUP(R41,'G-3 Multipliers'!$S$3:$T$10,2,FALSE)))</f>
        <v/>
      </c>
      <c r="T41" s="376" t="str">
        <f>IFERROR(IF(P41="","",IF(AND(P41='G-1 All Habitats'!$X$3,W41&gt;0),X41+Y41,IF(AND(P41='G-1 All Habitats'!$X$3,V41&gt;0),X41+Y41,IF(AND(P41='G-1 All Habitats'!$X$3,AG41&gt;0),"Any Loss Unacceptable ⚠", IF(R41="","", IF(AND(P41='G-1 All Habitats'!$X$3,Z41&gt;0),"Any Loss Unacceptable ⚠",H41*J41*L41*O41)))))),"Check Data ⚠")</f>
        <v/>
      </c>
      <c r="U41" s="38"/>
      <c r="V41" s="54"/>
      <c r="W41" s="55"/>
      <c r="X41" s="374" t="str">
        <f t="shared" si="0"/>
        <v/>
      </c>
      <c r="Y41" s="374" t="str">
        <f t="shared" si="1"/>
        <v/>
      </c>
      <c r="Z41" s="374" t="str">
        <f>IF(E41="","",IF(H41&lt;V41+W41,"Error in Areas ▲",IF(P41&lt;&gt;'G-1 All Habitats'!$X$3,H41-V41-W41,IF(AND(P41='G-1 All Habitats'!$X$3,AB41="Yes"),"Unacceptable Loss ⚠",IF(AND(P41='G-1 All Habitats'!$X$3,AB41="No"),AG41,IF(AND(P41='G-1 All Habitats'!$X$3,AB41=""),AG41,IF(AND(P41='G-1 All Habitats'!$X$3,AG41="None",AG41),IF(AND(P41='G-1 All Habitats'!$X$3,AG41&gt;0),H41-V41-W41))))))))</f>
        <v/>
      </c>
      <c r="AA41" s="405" t="str">
        <f>IFERROR(IF(H41="","",IF(H41-V41-W41=0&lt;0,"Error in Areas ▲",IF(V41+W41&gt;H41,"Error in Areas ▲",IF(AND(P41='G-1 All Habitats'!$X$3,AB41="Yes"),"Alternative Compensation ✓",IF(Z41=0,0,IF(P41='G-1 All Habitats'!$X$3,"Any Loss Unacceptable ▲",T41-X41-Y41)))))),"Check Data ⚠")</f>
        <v/>
      </c>
      <c r="AB41" s="837"/>
      <c r="AC41" s="119"/>
      <c r="AD41" s="528"/>
      <c r="AE41" s="120"/>
      <c r="AF41" s="687"/>
      <c r="AG41" s="744" t="str">
        <f>IF(P41="","",IF(P41='G-1 All Habitats'!$X$3,H41-V41-W41,"None"))</f>
        <v/>
      </c>
      <c r="AH41" s="744" t="str">
        <f t="shared" si="2"/>
        <v/>
      </c>
      <c r="AJ41" s="124" t="str">
        <f t="shared" si="3"/>
        <v/>
      </c>
      <c r="AK41" s="124" t="str">
        <f t="shared" si="4"/>
        <v/>
      </c>
      <c r="AL41" s="124" t="str">
        <f>IF(I41="","",IF(#REF!&gt;0,TRUE,FALSE))</f>
        <v/>
      </c>
      <c r="AM41" s="124">
        <v>31</v>
      </c>
      <c r="AN41" s="124"/>
      <c r="AO41" s="124" t="str">
        <f t="array" ref="AO41">IFERROR(INDEX($AM$11:$AM$259, MATCH(0, IF(TRUE=$AJ$11:$AJ$259, COUNTIF($AO$10:$AO40, $AM$11:$AM$259), ""), 0)),"")</f>
        <v/>
      </c>
      <c r="AP41" s="124" t="str">
        <f t="array" ref="AP41">IFERROR(INDEX($AM$11:$AM$259, MATCH(0, IF(TRUE=$AK$11:$AK$259, COUNTIF($AP$10:$AP40, $AM$11:$AM$259), ""), 0)),"")</f>
        <v/>
      </c>
      <c r="AQ41" s="124" t="str">
        <f t="array" ref="AQ41">IFERROR(INDEX($AM$11:$AM$259, MATCH(0, IF(TRUE=$AL$11:$AL$259, COUNTIF($AQ$10:$AQ40, $AM$11:$AM$259), ""), 0)),"")</f>
        <v/>
      </c>
      <c r="AU41" s="30">
        <f t="shared" si="7"/>
        <v>0</v>
      </c>
      <c r="AY41" s="374" t="str">
        <f t="shared" si="6"/>
        <v/>
      </c>
    </row>
    <row r="42" spans="1:51">
      <c r="A42" s="30" t="str">
        <f>IFERROR(INDEX('G-1 All Habitats'!$AG$3:$AG$17,MATCH(E42,'G-1 All Habitats'!$AF$3:$AF$17,0)),"")</f>
        <v/>
      </c>
      <c r="B42" s="30" t="str">
        <f>IFERROR(INDEX('G-8 Condition Look up'!$I$4:$I$135,MATCH(G42,'G-8 Condition Look up'!$A$4:$A$135,0)),"")</f>
        <v/>
      </c>
      <c r="D42" s="110">
        <v>32</v>
      </c>
      <c r="E42" s="339"/>
      <c r="F42" s="339"/>
      <c r="G42" s="295" t="str">
        <f>IFERROR(INDEX('G-1 All Habitats'!$B$3:$B$134,MATCH(F42,'G-1 All Habitats'!$A$3:$A$134,0)),"")</f>
        <v/>
      </c>
      <c r="H42" s="53"/>
      <c r="I42" s="722" t="str">
        <f>IF(G42="","",VLOOKUP(G42,'G-1 All Habitats'!$B$2:$M$134,10,FALSE))</f>
        <v/>
      </c>
      <c r="J42" s="490" t="str">
        <f>IFERROR(VLOOKUP(I42,'G-1 All Habitats'!$V$3:$W$7,2,FALSE),"")</f>
        <v/>
      </c>
      <c r="K42" s="54"/>
      <c r="L42" s="490" t="str">
        <f>IFERROR(INDEX('G-8 Condition Look up'!$A$3:$H$135,MATCH(G42,'G-8 Condition Look up'!$A$3:$A$135,0),MATCH(K42,'G-8 Condition Look up'!$A$3:$H$3,0)),"")</f>
        <v/>
      </c>
      <c r="M42" s="723"/>
      <c r="N42" s="404" t="str">
        <f>IF(M42="","",IF(VLOOKUP(M42,'G-3 Multipliers'!$L$3:$N$6,2,FALSE)=0,"Spatial Data Missing ⚠",VLOOKUP(M42,'G-3 Multipliers'!$L$3:$N$6,2,FALSE)))</f>
        <v/>
      </c>
      <c r="O42" s="452" t="str">
        <f>IF(M42="","",IF(VLOOKUP(M42,'G-3 Multipliers'!$L$3:$N$6,3,FALSE)=0,"Spatial Data Missing ⚠",VLOOKUP(M42,'G-3 Multipliers'!$L$3:$N$6,3,FALSE)))</f>
        <v/>
      </c>
      <c r="P42" s="369" t="str">
        <f>IFERROR(VLOOKUP(G42,'G-1 All Habitats'!$B$2:$M$134,12,FALSE),"")</f>
        <v/>
      </c>
      <c r="Q42" s="725" t="str">
        <f>IFERROR(IF(P42="","",IF(AND(P42='G-1 All Habitats'!$X$3,W42&gt;0),X42+(Y42*S42),IF(AND(P42='G-1 All Habitats'!$X$3,V42&gt;0),X42+(Y42*S42),IF(AND(P42='G-1 All Habitats'!$X$3,AG42&gt;0),"Any Loss Unacceptable  ⚠",IF(AND(P42='G-1 All Habitats'!$X$3,Z42&gt;0),"Any Loss Unacceptable ⚠",H42*J42*L42*O42*S42))))),"Check Data ⚠")</f>
        <v/>
      </c>
      <c r="R42" s="516"/>
      <c r="S42" s="724" t="str">
        <f>IF(R42="","",IF(VLOOKUP(R42,'G-3 Multipliers'!$S$3:$T$10,2,FALSE)=0,"Spatial Data Missing ⚠",VLOOKUP(R42,'G-3 Multipliers'!$S$3:$T$10,2,FALSE)))</f>
        <v/>
      </c>
      <c r="T42" s="376" t="str">
        <f>IFERROR(IF(P42="","",IF(AND(P42='G-1 All Habitats'!$X$3,W42&gt;0),X42+Y42,IF(AND(P42='G-1 All Habitats'!$X$3,V42&gt;0),X42+Y42,IF(AND(P42='G-1 All Habitats'!$X$3,AG42&gt;0),"Any Loss Unacceptable ⚠", IF(R42="","", IF(AND(P42='G-1 All Habitats'!$X$3,Z42&gt;0),"Any Loss Unacceptable ⚠",H42*J42*L42*O42)))))),"Check Data ⚠")</f>
        <v/>
      </c>
      <c r="U42" s="38"/>
      <c r="V42" s="54"/>
      <c r="W42" s="55"/>
      <c r="X42" s="374" t="str">
        <f t="shared" si="0"/>
        <v/>
      </c>
      <c r="Y42" s="374" t="str">
        <f t="shared" si="1"/>
        <v/>
      </c>
      <c r="Z42" s="374" t="str">
        <f>IF(E42="","",IF(H42&lt;V42+W42,"Error in Areas ▲",IF(P42&lt;&gt;'G-1 All Habitats'!$X$3,H42-V42-W42,IF(AND(P42='G-1 All Habitats'!$X$3,AB42="Yes"),"Unacceptable Loss ⚠",IF(AND(P42='G-1 All Habitats'!$X$3,AB42="No"),AG42,IF(AND(P42='G-1 All Habitats'!$X$3,AB42=""),AG42,IF(AND(P42='G-1 All Habitats'!$X$3,AG42="None",AG42),IF(AND(P42='G-1 All Habitats'!$X$3,AG42&gt;0),H42-V42-W42))))))))</f>
        <v/>
      </c>
      <c r="AA42" s="405" t="str">
        <f>IFERROR(IF(H42="","",IF(H42-V42-W42=0&lt;0,"Error in Areas ▲",IF(V42+W42&gt;H42,"Error in Areas ▲",IF(AND(P42='G-1 All Habitats'!$X$3,AB42="Yes"),"Alternative Compensation ✓",IF(Z42=0,0,IF(P42='G-1 All Habitats'!$X$3,"Any Loss Unacceptable ▲",T42-X42-Y42)))))),"Check Data ⚠")</f>
        <v/>
      </c>
      <c r="AB42" s="837"/>
      <c r="AC42" s="119"/>
      <c r="AD42" s="528"/>
      <c r="AE42" s="120"/>
      <c r="AF42" s="687"/>
      <c r="AG42" s="744" t="str">
        <f>IF(P42="","",IF(P42='G-1 All Habitats'!$X$3,H42-V42-W42,"None"))</f>
        <v/>
      </c>
      <c r="AH42" s="744" t="str">
        <f t="shared" si="2"/>
        <v/>
      </c>
      <c r="AJ42" s="124" t="str">
        <f t="shared" si="3"/>
        <v/>
      </c>
      <c r="AK42" s="124" t="str">
        <f t="shared" si="4"/>
        <v/>
      </c>
      <c r="AL42" s="124" t="str">
        <f>IF(I42="","",IF(#REF!&gt;0,TRUE,FALSE))</f>
        <v/>
      </c>
      <c r="AM42" s="124">
        <v>32</v>
      </c>
      <c r="AN42" s="124"/>
      <c r="AO42" s="124" t="str">
        <f t="array" ref="AO42">IFERROR(INDEX($AM$11:$AM$259, MATCH(0, IF(TRUE=$AJ$11:$AJ$259, COUNTIF($AO$10:$AO41, $AM$11:$AM$259), ""), 0)),"")</f>
        <v/>
      </c>
      <c r="AP42" s="124" t="str">
        <f t="array" ref="AP42">IFERROR(INDEX($AM$11:$AM$259, MATCH(0, IF(TRUE=$AK$11:$AK$259, COUNTIF($AP$10:$AP41, $AM$11:$AM$259), ""), 0)),"")</f>
        <v/>
      </c>
      <c r="AQ42" s="124" t="str">
        <f t="array" ref="AQ42">IFERROR(INDEX($AM$11:$AM$259, MATCH(0, IF(TRUE=$AL$11:$AL$259, COUNTIF($AQ$10:$AQ41, $AM$11:$AM$259), ""), 0)),"")</f>
        <v/>
      </c>
      <c r="AU42" s="30">
        <f t="shared" si="7"/>
        <v>0</v>
      </c>
      <c r="AY42" s="374" t="str">
        <f t="shared" si="6"/>
        <v/>
      </c>
    </row>
    <row r="43" spans="1:51">
      <c r="A43" s="30" t="str">
        <f>IFERROR(INDEX('G-1 All Habitats'!$AG$3:$AG$17,MATCH(E43,'G-1 All Habitats'!$AF$3:$AF$17,0)),"")</f>
        <v/>
      </c>
      <c r="B43" s="30" t="str">
        <f>IFERROR(INDEX('G-8 Condition Look up'!$I$4:$I$135,MATCH(G43,'G-8 Condition Look up'!$A$4:$A$135,0)),"")</f>
        <v/>
      </c>
      <c r="D43" s="110">
        <v>33</v>
      </c>
      <c r="E43" s="339"/>
      <c r="F43" s="339"/>
      <c r="G43" s="295" t="str">
        <f>IFERROR(INDEX('G-1 All Habitats'!$B$3:$B$134,MATCH(F43,'G-1 All Habitats'!$A$3:$A$134,0)),"")</f>
        <v/>
      </c>
      <c r="H43" s="53"/>
      <c r="I43" s="722" t="str">
        <f>IF(G43="","",VLOOKUP(G43,'G-1 All Habitats'!$B$2:$M$134,10,FALSE))</f>
        <v/>
      </c>
      <c r="J43" s="490" t="str">
        <f>IFERROR(VLOOKUP(I43,'G-1 All Habitats'!$V$3:$W$7,2,FALSE),"")</f>
        <v/>
      </c>
      <c r="K43" s="54"/>
      <c r="L43" s="490" t="str">
        <f>IFERROR(INDEX('G-8 Condition Look up'!$A$3:$H$135,MATCH(G43,'G-8 Condition Look up'!$A$3:$A$135,0),MATCH(K43,'G-8 Condition Look up'!$A$3:$H$3,0)),"")</f>
        <v/>
      </c>
      <c r="M43" s="723"/>
      <c r="N43" s="404" t="str">
        <f>IF(M43="","",IF(VLOOKUP(M43,'G-3 Multipliers'!$L$3:$N$6,2,FALSE)=0,"Spatial Data Missing ⚠",VLOOKUP(M43,'G-3 Multipliers'!$L$3:$N$6,2,FALSE)))</f>
        <v/>
      </c>
      <c r="O43" s="452" t="str">
        <f>IF(M43="","",IF(VLOOKUP(M43,'G-3 Multipliers'!$L$3:$N$6,3,FALSE)=0,"Spatial Data Missing ⚠",VLOOKUP(M43,'G-3 Multipliers'!$L$3:$N$6,3,FALSE)))</f>
        <v/>
      </c>
      <c r="P43" s="369" t="str">
        <f>IFERROR(VLOOKUP(G43,'G-1 All Habitats'!$B$2:$M$134,12,FALSE),"")</f>
        <v/>
      </c>
      <c r="Q43" s="725" t="str">
        <f>IFERROR(IF(P43="","",IF(AND(P43='G-1 All Habitats'!$X$3,W43&gt;0),X43+(Y43*S43),IF(AND(P43='G-1 All Habitats'!$X$3,V43&gt;0),X43+(Y43*S43),IF(AND(P43='G-1 All Habitats'!$X$3,AG43&gt;0),"Any Loss Unacceptable  ⚠",IF(AND(P43='G-1 All Habitats'!$X$3,Z43&gt;0),"Any Loss Unacceptable ⚠",H43*J43*L43*O43*S43))))),"Check Data ⚠")</f>
        <v/>
      </c>
      <c r="R43" s="516"/>
      <c r="S43" s="724" t="str">
        <f>IF(R43="","",IF(VLOOKUP(R43,'G-3 Multipliers'!$S$3:$T$10,2,FALSE)=0,"Spatial Data Missing ⚠",VLOOKUP(R43,'G-3 Multipliers'!$S$3:$T$10,2,FALSE)))</f>
        <v/>
      </c>
      <c r="T43" s="376" t="str">
        <f>IFERROR(IF(P43="","",IF(AND(P43='G-1 All Habitats'!$X$3,W43&gt;0),X43+Y43,IF(AND(P43='G-1 All Habitats'!$X$3,V43&gt;0),X43+Y43,IF(AND(P43='G-1 All Habitats'!$X$3,AG43&gt;0),"Any Loss Unacceptable ⚠", IF(R43="","", IF(AND(P43='G-1 All Habitats'!$X$3,Z43&gt;0),"Any Loss Unacceptable ⚠",H43*J43*L43*O43)))))),"Check Data ⚠")</f>
        <v/>
      </c>
      <c r="U43" s="38"/>
      <c r="V43" s="54"/>
      <c r="W43" s="55"/>
      <c r="X43" s="374" t="str">
        <f t="shared" si="0"/>
        <v/>
      </c>
      <c r="Y43" s="374" t="str">
        <f t="shared" si="1"/>
        <v/>
      </c>
      <c r="Z43" s="374" t="str">
        <f>IF(E43="","",IF(H43&lt;V43+W43,"Error in Areas ▲",IF(P43&lt;&gt;'G-1 All Habitats'!$X$3,H43-V43-W43,IF(AND(P43='G-1 All Habitats'!$X$3,AB43="Yes"),"Unacceptable Loss ⚠",IF(AND(P43='G-1 All Habitats'!$X$3,AB43="No"),AG43,IF(AND(P43='G-1 All Habitats'!$X$3,AB43=""),AG43,IF(AND(P43='G-1 All Habitats'!$X$3,AG43="None",AG43),IF(AND(P43='G-1 All Habitats'!$X$3,AG43&gt;0),H43-V43-W43))))))))</f>
        <v/>
      </c>
      <c r="AA43" s="405" t="str">
        <f>IFERROR(IF(H43="","",IF(H43-V43-W43=0&lt;0,"Error in Areas ▲",IF(V43+W43&gt;H43,"Error in Areas ▲",IF(AND(P43='G-1 All Habitats'!$X$3,AB43="Yes"),"Alternative Compensation ✓",IF(Z43=0,0,IF(P43='G-1 All Habitats'!$X$3,"Any Loss Unacceptable ▲",T43-X43-Y43)))))),"Check Data ⚠")</f>
        <v/>
      </c>
      <c r="AB43" s="837"/>
      <c r="AC43" s="119"/>
      <c r="AD43" s="528"/>
      <c r="AE43" s="120"/>
      <c r="AF43" s="687"/>
      <c r="AG43" s="744" t="str">
        <f>IF(P43="","",IF(P43='G-1 All Habitats'!$X$3,H43-V43-W43,"None"))</f>
        <v/>
      </c>
      <c r="AH43" s="744" t="str">
        <f t="shared" si="2"/>
        <v/>
      </c>
      <c r="AJ43" s="124" t="str">
        <f t="shared" ref="AJ43:AJ74" si="8">IF(G43="","",IF(V43&gt;0,TRUE,FALSE))</f>
        <v/>
      </c>
      <c r="AK43" s="124" t="str">
        <f t="shared" ref="AK43:AK74" si="9">IF(H43="","",IF(W43&gt;0,TRUE,FALSE))</f>
        <v/>
      </c>
      <c r="AL43" s="124" t="str">
        <f>IF(I43="","",IF(#REF!&gt;0,TRUE,FALSE))</f>
        <v/>
      </c>
      <c r="AM43" s="124">
        <v>33</v>
      </c>
      <c r="AN43" s="124"/>
      <c r="AO43" s="124" t="str">
        <f t="array" ref="AO43">IFERROR(INDEX($AM$11:$AM$259, MATCH(0, IF(TRUE=$AJ$11:$AJ$259, COUNTIF($AO$10:$AO42, $AM$11:$AM$259), ""), 0)),"")</f>
        <v/>
      </c>
      <c r="AP43" s="124" t="str">
        <f t="array" ref="AP43">IFERROR(INDEX($AM$11:$AM$259, MATCH(0, IF(TRUE=$AK$11:$AK$259, COUNTIF($AP$10:$AP42, $AM$11:$AM$259), ""), 0)),"")</f>
        <v/>
      </c>
      <c r="AQ43" s="124" t="str">
        <f t="array" ref="AQ43">IFERROR(INDEX($AM$11:$AM$259, MATCH(0, IF(TRUE=$AL$11:$AL$259, COUNTIF($AQ$10:$AQ42, $AM$11:$AM$259), ""), 0)),"")</f>
        <v/>
      </c>
      <c r="AU43" s="30">
        <f t="shared" si="7"/>
        <v>0</v>
      </c>
      <c r="AY43" s="374" t="str">
        <f t="shared" si="6"/>
        <v/>
      </c>
    </row>
    <row r="44" spans="1:51">
      <c r="A44" s="30" t="str">
        <f>IFERROR(INDEX('G-1 All Habitats'!$AG$3:$AG$17,MATCH(E44,'G-1 All Habitats'!$AF$3:$AF$17,0)),"")</f>
        <v/>
      </c>
      <c r="B44" s="30" t="str">
        <f>IFERROR(INDEX('G-8 Condition Look up'!$I$4:$I$135,MATCH(G44,'G-8 Condition Look up'!$A$4:$A$135,0)),"")</f>
        <v/>
      </c>
      <c r="D44" s="110">
        <v>34</v>
      </c>
      <c r="E44" s="339"/>
      <c r="F44" s="339"/>
      <c r="G44" s="295" t="str">
        <f>IFERROR(INDEX('G-1 All Habitats'!$B$3:$B$134,MATCH(F44,'G-1 All Habitats'!$A$3:$A$134,0)),"")</f>
        <v/>
      </c>
      <c r="H44" s="53"/>
      <c r="I44" s="722" t="str">
        <f>IF(G44="","",VLOOKUP(G44,'G-1 All Habitats'!$B$2:$M$134,10,FALSE))</f>
        <v/>
      </c>
      <c r="J44" s="490" t="str">
        <f>IFERROR(VLOOKUP(I44,'G-1 All Habitats'!$V$3:$W$7,2,FALSE),"")</f>
        <v/>
      </c>
      <c r="K44" s="54"/>
      <c r="L44" s="490" t="str">
        <f>IFERROR(INDEX('G-8 Condition Look up'!$A$3:$H$135,MATCH(G44,'G-8 Condition Look up'!$A$3:$A$135,0),MATCH(K44,'G-8 Condition Look up'!$A$3:$H$3,0)),"")</f>
        <v/>
      </c>
      <c r="M44" s="723"/>
      <c r="N44" s="404" t="str">
        <f>IF(M44="","",IF(VLOOKUP(M44,'G-3 Multipliers'!$L$3:$N$6,2,FALSE)=0,"Spatial Data Missing ⚠",VLOOKUP(M44,'G-3 Multipliers'!$L$3:$N$6,2,FALSE)))</f>
        <v/>
      </c>
      <c r="O44" s="452" t="str">
        <f>IF(M44="","",IF(VLOOKUP(M44,'G-3 Multipliers'!$L$3:$N$6,3,FALSE)=0,"Spatial Data Missing ⚠",VLOOKUP(M44,'G-3 Multipliers'!$L$3:$N$6,3,FALSE)))</f>
        <v/>
      </c>
      <c r="P44" s="369" t="str">
        <f>IFERROR(VLOOKUP(G44,'G-1 All Habitats'!$B$2:$M$134,12,FALSE),"")</f>
        <v/>
      </c>
      <c r="Q44" s="725" t="str">
        <f>IFERROR(IF(P44="","",IF(AND(P44='G-1 All Habitats'!$X$3,W44&gt;0),X44+(Y44*S44),IF(AND(P44='G-1 All Habitats'!$X$3,V44&gt;0),X44+(Y44*S44),IF(AND(P44='G-1 All Habitats'!$X$3,AG44&gt;0),"Any Loss Unacceptable  ⚠",IF(AND(P44='G-1 All Habitats'!$X$3,Z44&gt;0),"Any Loss Unacceptable ⚠",H44*J44*L44*O44*S44))))),"Check Data ⚠")</f>
        <v/>
      </c>
      <c r="R44" s="516"/>
      <c r="S44" s="724" t="str">
        <f>IF(R44="","",IF(VLOOKUP(R44,'G-3 Multipliers'!$S$3:$T$10,2,FALSE)=0,"Spatial Data Missing ⚠",VLOOKUP(R44,'G-3 Multipliers'!$S$3:$T$10,2,FALSE)))</f>
        <v/>
      </c>
      <c r="T44" s="376" t="str">
        <f>IFERROR(IF(P44="","",IF(AND(P44='G-1 All Habitats'!$X$3,W44&gt;0),X44+Y44,IF(AND(P44='G-1 All Habitats'!$X$3,V44&gt;0),X44+Y44,IF(AND(P44='G-1 All Habitats'!$X$3,AG44&gt;0),"Any Loss Unacceptable ⚠", IF(R44="","", IF(AND(P44='G-1 All Habitats'!$X$3,Z44&gt;0),"Any Loss Unacceptable ⚠",H44*J44*L44*O44)))))),"Check Data ⚠")</f>
        <v/>
      </c>
      <c r="U44" s="38"/>
      <c r="V44" s="54"/>
      <c r="W44" s="55"/>
      <c r="X44" s="374" t="str">
        <f t="shared" si="0"/>
        <v/>
      </c>
      <c r="Y44" s="374" t="str">
        <f t="shared" si="1"/>
        <v/>
      </c>
      <c r="Z44" s="374" t="str">
        <f>IF(E44="","",IF(H44&lt;V44+W44,"Error in Areas ▲",IF(P44&lt;&gt;'G-1 All Habitats'!$X$3,H44-V44-W44,IF(AND(P44='G-1 All Habitats'!$X$3,AB44="Yes"),"Unacceptable Loss ⚠",IF(AND(P44='G-1 All Habitats'!$X$3,AB44="No"),AG44,IF(AND(P44='G-1 All Habitats'!$X$3,AB44=""),AG44,IF(AND(P44='G-1 All Habitats'!$X$3,AG44="None",AG44),IF(AND(P44='G-1 All Habitats'!$X$3,AG44&gt;0),H44-V44-W44))))))))</f>
        <v/>
      </c>
      <c r="AA44" s="405" t="str">
        <f>IFERROR(IF(H44="","",IF(H44-V44-W44=0&lt;0,"Error in Areas ▲",IF(V44+W44&gt;H44,"Error in Areas ▲",IF(AND(P44='G-1 All Habitats'!$X$3,AB44="Yes"),"Alternative Compensation ✓",IF(Z44=0,0,IF(P44='G-1 All Habitats'!$X$3,"Any Loss Unacceptable ▲",T44-X44-Y44)))))),"Check Data ⚠")</f>
        <v/>
      </c>
      <c r="AB44" s="837"/>
      <c r="AC44" s="119"/>
      <c r="AD44" s="528"/>
      <c r="AE44" s="120"/>
      <c r="AF44" s="687"/>
      <c r="AG44" s="744" t="str">
        <f>IF(P44="","",IF(P44='G-1 All Habitats'!$X$3,H44-V44-W44,"None"))</f>
        <v/>
      </c>
      <c r="AH44" s="744" t="str">
        <f t="shared" si="2"/>
        <v/>
      </c>
      <c r="AJ44" s="124" t="str">
        <f t="shared" si="8"/>
        <v/>
      </c>
      <c r="AK44" s="124" t="str">
        <f t="shared" si="9"/>
        <v/>
      </c>
      <c r="AL44" s="124" t="str">
        <f>IF(I44="","",IF(#REF!&gt;0,TRUE,FALSE))</f>
        <v/>
      </c>
      <c r="AM44" s="124">
        <v>34</v>
      </c>
      <c r="AN44" s="124"/>
      <c r="AO44" s="124" t="str">
        <f t="array" ref="AO44">IFERROR(INDEX($AM$11:$AM$259, MATCH(0, IF(TRUE=$AJ$11:$AJ$259, COUNTIF($AO$10:$AO43, $AM$11:$AM$259), ""), 0)),"")</f>
        <v/>
      </c>
      <c r="AP44" s="124" t="str">
        <f t="array" ref="AP44">IFERROR(INDEX($AM$11:$AM$259, MATCH(0, IF(TRUE=$AK$11:$AK$259, COUNTIF($AP$10:$AP43, $AM$11:$AM$259), ""), 0)),"")</f>
        <v/>
      </c>
      <c r="AQ44" s="124" t="str">
        <f t="array" ref="AQ44">IFERROR(INDEX($AM$11:$AM$259, MATCH(0, IF(TRUE=$AL$11:$AL$259, COUNTIF($AQ$10:$AQ43, $AM$11:$AM$259), ""), 0)),"")</f>
        <v/>
      </c>
      <c r="AU44" s="30">
        <f t="shared" si="7"/>
        <v>0</v>
      </c>
      <c r="AY44" s="374" t="str">
        <f t="shared" si="6"/>
        <v/>
      </c>
    </row>
    <row r="45" spans="1:51">
      <c r="A45" s="30" t="str">
        <f>IFERROR(INDEX('G-1 All Habitats'!$AG$3:$AG$17,MATCH(E45,'G-1 All Habitats'!$AF$3:$AF$17,0)),"")</f>
        <v/>
      </c>
      <c r="B45" s="30" t="str">
        <f>IFERROR(INDEX('G-8 Condition Look up'!$I$4:$I$135,MATCH(G45,'G-8 Condition Look up'!$A$4:$A$135,0)),"")</f>
        <v/>
      </c>
      <c r="D45" s="110">
        <v>35</v>
      </c>
      <c r="E45" s="339"/>
      <c r="F45" s="339"/>
      <c r="G45" s="295" t="str">
        <f>IFERROR(INDEX('G-1 All Habitats'!$B$3:$B$134,MATCH(F45,'G-1 All Habitats'!$A$3:$A$134,0)),"")</f>
        <v/>
      </c>
      <c r="H45" s="53"/>
      <c r="I45" s="722" t="str">
        <f>IF(G45="","",VLOOKUP(G45,'G-1 All Habitats'!$B$2:$M$134,10,FALSE))</f>
        <v/>
      </c>
      <c r="J45" s="490" t="str">
        <f>IFERROR(VLOOKUP(I45,'G-1 All Habitats'!$V$3:$W$7,2,FALSE),"")</f>
        <v/>
      </c>
      <c r="K45" s="54"/>
      <c r="L45" s="490" t="str">
        <f>IFERROR(INDEX('G-8 Condition Look up'!$A$3:$H$135,MATCH(G45,'G-8 Condition Look up'!$A$3:$A$135,0),MATCH(K45,'G-8 Condition Look up'!$A$3:$H$3,0)),"")</f>
        <v/>
      </c>
      <c r="M45" s="723"/>
      <c r="N45" s="404" t="str">
        <f>IF(M45="","",IF(VLOOKUP(M45,'G-3 Multipliers'!$L$3:$N$6,2,FALSE)=0,"Spatial Data Missing ⚠",VLOOKUP(M45,'G-3 Multipliers'!$L$3:$N$6,2,FALSE)))</f>
        <v/>
      </c>
      <c r="O45" s="452" t="str">
        <f>IF(M45="","",IF(VLOOKUP(M45,'G-3 Multipliers'!$L$3:$N$6,3,FALSE)=0,"Spatial Data Missing ⚠",VLOOKUP(M45,'G-3 Multipliers'!$L$3:$N$6,3,FALSE)))</f>
        <v/>
      </c>
      <c r="P45" s="369" t="str">
        <f>IFERROR(VLOOKUP(G45,'G-1 All Habitats'!$B$2:$M$134,12,FALSE),"")</f>
        <v/>
      </c>
      <c r="Q45" s="725" t="str">
        <f>IFERROR(IF(P45="","",IF(AND(P45='G-1 All Habitats'!$X$3,W45&gt;0),X45+(Y45*S45),IF(AND(P45='G-1 All Habitats'!$X$3,V45&gt;0),X45+(Y45*S45),IF(AND(P45='G-1 All Habitats'!$X$3,AG45&gt;0),"Any Loss Unacceptable  ⚠",IF(AND(P45='G-1 All Habitats'!$X$3,Z45&gt;0),"Any Loss Unacceptable ⚠",H45*J45*L45*O45*S45))))),"Check Data ⚠")</f>
        <v/>
      </c>
      <c r="R45" s="516"/>
      <c r="S45" s="724" t="str">
        <f>IF(R45="","",IF(VLOOKUP(R45,'G-3 Multipliers'!$S$3:$T$10,2,FALSE)=0,"Spatial Data Missing ⚠",VLOOKUP(R45,'G-3 Multipliers'!$S$3:$T$10,2,FALSE)))</f>
        <v/>
      </c>
      <c r="T45" s="376" t="str">
        <f>IFERROR(IF(P45="","",IF(AND(P45='G-1 All Habitats'!$X$3,W45&gt;0),X45+Y45,IF(AND(P45='G-1 All Habitats'!$X$3,V45&gt;0),X45+Y45,IF(AND(P45='G-1 All Habitats'!$X$3,AG45&gt;0),"Any Loss Unacceptable ⚠", IF(R45="","", IF(AND(P45='G-1 All Habitats'!$X$3,Z45&gt;0),"Any Loss Unacceptable ⚠",H45*J45*L45*O45)))))),"Check Data ⚠")</f>
        <v/>
      </c>
      <c r="U45" s="38"/>
      <c r="V45" s="54"/>
      <c r="W45" s="55"/>
      <c r="X45" s="374" t="str">
        <f t="shared" si="0"/>
        <v/>
      </c>
      <c r="Y45" s="374" t="str">
        <f t="shared" si="1"/>
        <v/>
      </c>
      <c r="Z45" s="374" t="str">
        <f>IF(E45="","",IF(H45&lt;V45+W45,"Error in Areas ▲",IF(P45&lt;&gt;'G-1 All Habitats'!$X$3,H45-V45-W45,IF(AND(P45='G-1 All Habitats'!$X$3,AB45="Yes"),"Unacceptable Loss ⚠",IF(AND(P45='G-1 All Habitats'!$X$3,AB45="No"),AG45,IF(AND(P45='G-1 All Habitats'!$X$3,AB45=""),AG45,IF(AND(P45='G-1 All Habitats'!$X$3,AG45="None",AG45),IF(AND(P45='G-1 All Habitats'!$X$3,AG45&gt;0),H45-V45-W45))))))))</f>
        <v/>
      </c>
      <c r="AA45" s="405" t="str">
        <f>IFERROR(IF(H45="","",IF(H45-V45-W45=0&lt;0,"Error in Areas ▲",IF(V45+W45&gt;H45,"Error in Areas ▲",IF(AND(P45='G-1 All Habitats'!$X$3,AB45="Yes"),"Alternative Compensation ✓",IF(Z45=0,0,IF(P45='G-1 All Habitats'!$X$3,"Any Loss Unacceptable ▲",T45-X45-Y45)))))),"Check Data ⚠")</f>
        <v/>
      </c>
      <c r="AB45" s="837"/>
      <c r="AC45" s="119"/>
      <c r="AD45" s="528"/>
      <c r="AE45" s="120"/>
      <c r="AF45" s="687"/>
      <c r="AG45" s="744" t="str">
        <f>IF(P45="","",IF(P45='G-1 All Habitats'!$X$3,H45-V45-W45,"None"))</f>
        <v/>
      </c>
      <c r="AH45" s="744" t="str">
        <f t="shared" si="2"/>
        <v/>
      </c>
      <c r="AJ45" s="124" t="str">
        <f t="shared" si="8"/>
        <v/>
      </c>
      <c r="AK45" s="124" t="str">
        <f t="shared" si="9"/>
        <v/>
      </c>
      <c r="AL45" s="124" t="str">
        <f>IF(I45="","",IF(#REF!&gt;0,TRUE,FALSE))</f>
        <v/>
      </c>
      <c r="AM45" s="124">
        <v>35</v>
      </c>
      <c r="AN45" s="124"/>
      <c r="AO45" s="124" t="str">
        <f t="array" ref="AO45">IFERROR(INDEX($AM$11:$AM$259, MATCH(0, IF(TRUE=$AJ$11:$AJ$259, COUNTIF($AO$10:$AO44, $AM$11:$AM$259), ""), 0)),"")</f>
        <v/>
      </c>
      <c r="AP45" s="124" t="str">
        <f t="array" ref="AP45">IFERROR(INDEX($AM$11:$AM$259, MATCH(0, IF(TRUE=$AK$11:$AK$259, COUNTIF($AP$10:$AP44, $AM$11:$AM$259), ""), 0)),"")</f>
        <v/>
      </c>
      <c r="AQ45" s="124" t="str">
        <f t="array" ref="AQ45">IFERROR(INDEX($AM$11:$AM$259, MATCH(0, IF(TRUE=$AL$11:$AL$259, COUNTIF($AQ$10:$AQ44, $AM$11:$AM$259), ""), 0)),"")</f>
        <v/>
      </c>
      <c r="AU45" s="30">
        <f t="shared" si="7"/>
        <v>0</v>
      </c>
      <c r="AY45" s="374" t="str">
        <f t="shared" si="6"/>
        <v/>
      </c>
    </row>
    <row r="46" spans="1:51">
      <c r="A46" s="30" t="str">
        <f>IFERROR(INDEX('G-1 All Habitats'!$AG$3:$AG$17,MATCH(E46,'G-1 All Habitats'!$AF$3:$AF$17,0)),"")</f>
        <v/>
      </c>
      <c r="B46" s="30" t="str">
        <f>IFERROR(INDEX('G-8 Condition Look up'!$I$4:$I$135,MATCH(G46,'G-8 Condition Look up'!$A$4:$A$135,0)),"")</f>
        <v/>
      </c>
      <c r="D46" s="110">
        <v>36</v>
      </c>
      <c r="E46" s="339"/>
      <c r="F46" s="339"/>
      <c r="G46" s="295" t="str">
        <f>IFERROR(INDEX('G-1 All Habitats'!$B$3:$B$134,MATCH(F46,'G-1 All Habitats'!$A$3:$A$134,0)),"")</f>
        <v/>
      </c>
      <c r="H46" s="53"/>
      <c r="I46" s="722" t="str">
        <f>IF(G46="","",VLOOKUP(G46,'G-1 All Habitats'!$B$2:$M$134,10,FALSE))</f>
        <v/>
      </c>
      <c r="J46" s="490" t="str">
        <f>IFERROR(VLOOKUP(I46,'G-1 All Habitats'!$V$3:$W$7,2,FALSE),"")</f>
        <v/>
      </c>
      <c r="K46" s="54"/>
      <c r="L46" s="490" t="str">
        <f>IFERROR(INDEX('G-8 Condition Look up'!$A$3:$H$135,MATCH(G46,'G-8 Condition Look up'!$A$3:$A$135,0),MATCH(K46,'G-8 Condition Look up'!$A$3:$H$3,0)),"")</f>
        <v/>
      </c>
      <c r="M46" s="723"/>
      <c r="N46" s="404" t="str">
        <f>IF(M46="","",IF(VLOOKUP(M46,'G-3 Multipliers'!$L$3:$N$6,2,FALSE)=0,"Spatial Data Missing ⚠",VLOOKUP(M46,'G-3 Multipliers'!$L$3:$N$6,2,FALSE)))</f>
        <v/>
      </c>
      <c r="O46" s="452" t="str">
        <f>IF(M46="","",IF(VLOOKUP(M46,'G-3 Multipliers'!$L$3:$N$6,3,FALSE)=0,"Spatial Data Missing ⚠",VLOOKUP(M46,'G-3 Multipliers'!$L$3:$N$6,3,FALSE)))</f>
        <v/>
      </c>
      <c r="P46" s="369" t="str">
        <f>IFERROR(VLOOKUP(G46,'G-1 All Habitats'!$B$2:$M$134,12,FALSE),"")</f>
        <v/>
      </c>
      <c r="Q46" s="725" t="str">
        <f>IFERROR(IF(P46="","",IF(AND(P46='G-1 All Habitats'!$X$3,W46&gt;0),X46+(Y46*S46),IF(AND(P46='G-1 All Habitats'!$X$3,V46&gt;0),X46+(Y46*S46),IF(AND(P46='G-1 All Habitats'!$X$3,AG46&gt;0),"Any Loss Unacceptable  ⚠",IF(AND(P46='G-1 All Habitats'!$X$3,Z46&gt;0),"Any Loss Unacceptable ⚠",H46*J46*L46*O46*S46))))),"Check Data ⚠")</f>
        <v/>
      </c>
      <c r="R46" s="516"/>
      <c r="S46" s="724" t="str">
        <f>IF(R46="","",IF(VLOOKUP(R46,'G-3 Multipliers'!$S$3:$T$10,2,FALSE)=0,"Spatial Data Missing ⚠",VLOOKUP(R46,'G-3 Multipliers'!$S$3:$T$10,2,FALSE)))</f>
        <v/>
      </c>
      <c r="T46" s="376" t="str">
        <f>IFERROR(IF(P46="","",IF(AND(P46='G-1 All Habitats'!$X$3,W46&gt;0),X46+Y46,IF(AND(P46='G-1 All Habitats'!$X$3,V46&gt;0),X46+Y46,IF(AND(P46='G-1 All Habitats'!$X$3,AG46&gt;0),"Any Loss Unacceptable ⚠", IF(R46="","", IF(AND(P46='G-1 All Habitats'!$X$3,Z46&gt;0),"Any Loss Unacceptable ⚠",H46*J46*L46*O46)))))),"Check Data ⚠")</f>
        <v/>
      </c>
      <c r="U46" s="38"/>
      <c r="V46" s="54"/>
      <c r="W46" s="55"/>
      <c r="X46" s="374" t="str">
        <f t="shared" si="0"/>
        <v/>
      </c>
      <c r="Y46" s="374" t="str">
        <f t="shared" si="1"/>
        <v/>
      </c>
      <c r="Z46" s="374" t="str">
        <f>IF(E46="","",IF(H46&lt;V46+W46,"Error in Areas ▲",IF(P46&lt;&gt;'G-1 All Habitats'!$X$3,H46-V46-W46,IF(AND(P46='G-1 All Habitats'!$X$3,AB46="Yes"),"Unacceptable Loss ⚠",IF(AND(P46='G-1 All Habitats'!$X$3,AB46="No"),AG46,IF(AND(P46='G-1 All Habitats'!$X$3,AB46=""),AG46,IF(AND(P46='G-1 All Habitats'!$X$3,AG46="None",AG46),IF(AND(P46='G-1 All Habitats'!$X$3,AG46&gt;0),H46-V46-W46))))))))</f>
        <v/>
      </c>
      <c r="AA46" s="405" t="str">
        <f>IFERROR(IF(H46="","",IF(H46-V46-W46=0&lt;0,"Error in Areas ▲",IF(V46+W46&gt;H46,"Error in Areas ▲",IF(AND(P46='G-1 All Habitats'!$X$3,AB46="Yes"),"Alternative Compensation ✓",IF(Z46=0,0,IF(P46='G-1 All Habitats'!$X$3,"Any Loss Unacceptable ▲",T46-X46-Y46)))))),"Check Data ⚠")</f>
        <v/>
      </c>
      <c r="AB46" s="837"/>
      <c r="AC46" s="119"/>
      <c r="AD46" s="528"/>
      <c r="AE46" s="120"/>
      <c r="AF46" s="687"/>
      <c r="AG46" s="744" t="str">
        <f>IF(P46="","",IF(P46='G-1 All Habitats'!$X$3,H46-V46-W46,"None"))</f>
        <v/>
      </c>
      <c r="AH46" s="744" t="str">
        <f t="shared" si="2"/>
        <v/>
      </c>
      <c r="AJ46" s="124" t="str">
        <f t="shared" si="8"/>
        <v/>
      </c>
      <c r="AK46" s="124" t="str">
        <f t="shared" si="9"/>
        <v/>
      </c>
      <c r="AL46" s="124" t="str">
        <f>IF(I46="","",IF(#REF!&gt;0,TRUE,FALSE))</f>
        <v/>
      </c>
      <c r="AM46" s="124">
        <v>36</v>
      </c>
      <c r="AN46" s="124"/>
      <c r="AO46" s="124" t="str">
        <f t="array" ref="AO46">IFERROR(INDEX($AM$11:$AM$259, MATCH(0, IF(TRUE=$AJ$11:$AJ$259, COUNTIF($AO$10:$AO45, $AM$11:$AM$259), ""), 0)),"")</f>
        <v/>
      </c>
      <c r="AP46" s="124" t="str">
        <f t="array" ref="AP46">IFERROR(INDEX($AM$11:$AM$259, MATCH(0, IF(TRUE=$AK$11:$AK$259, COUNTIF($AP$10:$AP45, $AM$11:$AM$259), ""), 0)),"")</f>
        <v/>
      </c>
      <c r="AQ46" s="124" t="str">
        <f t="array" ref="AQ46">IFERROR(INDEX($AM$11:$AM$259, MATCH(0, IF(TRUE=$AL$11:$AL$259, COUNTIF($AQ$10:$AQ45, $AM$11:$AM$259), ""), 0)),"")</f>
        <v/>
      </c>
      <c r="AU46" s="30">
        <f t="shared" si="7"/>
        <v>0</v>
      </c>
      <c r="AY46" s="374" t="str">
        <f t="shared" si="6"/>
        <v/>
      </c>
    </row>
    <row r="47" spans="1:51">
      <c r="A47" s="30" t="str">
        <f>IFERROR(INDEX('G-1 All Habitats'!$AG$3:$AG$17,MATCH(E47,'G-1 All Habitats'!$AF$3:$AF$17,0)),"")</f>
        <v/>
      </c>
      <c r="B47" s="30" t="str">
        <f>IFERROR(INDEX('G-8 Condition Look up'!$I$4:$I$135,MATCH(G47,'G-8 Condition Look up'!$A$4:$A$135,0)),"")</f>
        <v/>
      </c>
      <c r="D47" s="110">
        <v>37</v>
      </c>
      <c r="E47" s="339"/>
      <c r="F47" s="339"/>
      <c r="G47" s="295" t="str">
        <f>IFERROR(INDEX('G-1 All Habitats'!$B$3:$B$134,MATCH(F47,'G-1 All Habitats'!$A$3:$A$134,0)),"")</f>
        <v/>
      </c>
      <c r="H47" s="53"/>
      <c r="I47" s="722" t="str">
        <f>IF(G47="","",VLOOKUP(G47,'G-1 All Habitats'!$B$2:$M$134,10,FALSE))</f>
        <v/>
      </c>
      <c r="J47" s="490" t="str">
        <f>IFERROR(VLOOKUP(I47,'G-1 All Habitats'!$V$3:$W$7,2,FALSE),"")</f>
        <v/>
      </c>
      <c r="K47" s="54"/>
      <c r="L47" s="490" t="str">
        <f>IFERROR(INDEX('G-8 Condition Look up'!$A$3:$H$135,MATCH(G47,'G-8 Condition Look up'!$A$3:$A$135,0),MATCH(K47,'G-8 Condition Look up'!$A$3:$H$3,0)),"")</f>
        <v/>
      </c>
      <c r="M47" s="723"/>
      <c r="N47" s="404" t="str">
        <f>IF(M47="","",IF(VLOOKUP(M47,'G-3 Multipliers'!$L$3:$N$6,2,FALSE)=0,"Spatial Data Missing ⚠",VLOOKUP(M47,'G-3 Multipliers'!$L$3:$N$6,2,FALSE)))</f>
        <v/>
      </c>
      <c r="O47" s="452" t="str">
        <f>IF(M47="","",IF(VLOOKUP(M47,'G-3 Multipliers'!$L$3:$N$6,3,FALSE)=0,"Spatial Data Missing ⚠",VLOOKUP(M47,'G-3 Multipliers'!$L$3:$N$6,3,FALSE)))</f>
        <v/>
      </c>
      <c r="P47" s="369" t="str">
        <f>IFERROR(VLOOKUP(G47,'G-1 All Habitats'!$B$2:$M$134,12,FALSE),"")</f>
        <v/>
      </c>
      <c r="Q47" s="725" t="str">
        <f>IFERROR(IF(P47="","",IF(AND(P47='G-1 All Habitats'!$X$3,W47&gt;0),X47+(Y47*S47),IF(AND(P47='G-1 All Habitats'!$X$3,V47&gt;0),X47+(Y47*S47),IF(AND(P47='G-1 All Habitats'!$X$3,AG47&gt;0),"Any Loss Unacceptable  ⚠",IF(AND(P47='G-1 All Habitats'!$X$3,Z47&gt;0),"Any Loss Unacceptable ⚠",H47*J47*L47*O47*S47))))),"Check Data ⚠")</f>
        <v/>
      </c>
      <c r="R47" s="516"/>
      <c r="S47" s="724" t="str">
        <f>IF(R47="","",IF(VLOOKUP(R47,'G-3 Multipliers'!$S$3:$T$10,2,FALSE)=0,"Spatial Data Missing ⚠",VLOOKUP(R47,'G-3 Multipliers'!$S$3:$T$10,2,FALSE)))</f>
        <v/>
      </c>
      <c r="T47" s="376" t="str">
        <f>IFERROR(IF(P47="","",IF(AND(P47='G-1 All Habitats'!$X$3,W47&gt;0),X47+Y47,IF(AND(P47='G-1 All Habitats'!$X$3,V47&gt;0),X47+Y47,IF(AND(P47='G-1 All Habitats'!$X$3,AG47&gt;0),"Any Loss Unacceptable ⚠", IF(R47="","", IF(AND(P47='G-1 All Habitats'!$X$3,Z47&gt;0),"Any Loss Unacceptable ⚠",H47*J47*L47*O47)))))),"Check Data ⚠")</f>
        <v/>
      </c>
      <c r="U47" s="38"/>
      <c r="V47" s="54"/>
      <c r="W47" s="55"/>
      <c r="X47" s="374" t="str">
        <f t="shared" si="0"/>
        <v/>
      </c>
      <c r="Y47" s="374" t="str">
        <f t="shared" si="1"/>
        <v/>
      </c>
      <c r="Z47" s="374" t="str">
        <f>IF(E47="","",IF(H47&lt;V47+W47,"Error in Areas ▲",IF(P47&lt;&gt;'G-1 All Habitats'!$X$3,H47-V47-W47,IF(AND(P47='G-1 All Habitats'!$X$3,AB47="Yes"),"Unacceptable Loss ⚠",IF(AND(P47='G-1 All Habitats'!$X$3,AB47="No"),AG47,IF(AND(P47='G-1 All Habitats'!$X$3,AB47=""),AG47,IF(AND(P47='G-1 All Habitats'!$X$3,AG47="None",AG47),IF(AND(P47='G-1 All Habitats'!$X$3,AG47&gt;0),H47-V47-W47))))))))</f>
        <v/>
      </c>
      <c r="AA47" s="405" t="str">
        <f>IFERROR(IF(H47="","",IF(H47-V47-W47=0&lt;0,"Error in Areas ▲",IF(V47+W47&gt;H47,"Error in Areas ▲",IF(AND(P47='G-1 All Habitats'!$X$3,AB47="Yes"),"Alternative Compensation ✓",IF(Z47=0,0,IF(P47='G-1 All Habitats'!$X$3,"Any Loss Unacceptable ▲",T47-X47-Y47)))))),"Check Data ⚠")</f>
        <v/>
      </c>
      <c r="AB47" s="837"/>
      <c r="AC47" s="119"/>
      <c r="AD47" s="528"/>
      <c r="AE47" s="120"/>
      <c r="AF47" s="687"/>
      <c r="AG47" s="744" t="str">
        <f>IF(P47="","",IF(P47='G-1 All Habitats'!$X$3,H47-V47-W47,"None"))</f>
        <v/>
      </c>
      <c r="AH47" s="744" t="str">
        <f t="shared" si="2"/>
        <v/>
      </c>
      <c r="AJ47" s="124" t="str">
        <f t="shared" si="8"/>
        <v/>
      </c>
      <c r="AK47" s="124" t="str">
        <f t="shared" si="9"/>
        <v/>
      </c>
      <c r="AL47" s="124" t="str">
        <f>IF(I47="","",IF(#REF!&gt;0,TRUE,FALSE))</f>
        <v/>
      </c>
      <c r="AM47" s="124">
        <v>37</v>
      </c>
      <c r="AN47" s="124"/>
      <c r="AO47" s="124" t="str">
        <f t="array" ref="AO47">IFERROR(INDEX($AM$11:$AM$259, MATCH(0, IF(TRUE=$AJ$11:$AJ$259, COUNTIF($AO$10:$AO46, $AM$11:$AM$259), ""), 0)),"")</f>
        <v/>
      </c>
      <c r="AP47" s="124" t="str">
        <f t="array" ref="AP47">IFERROR(INDEX($AM$11:$AM$259, MATCH(0, IF(TRUE=$AK$11:$AK$259, COUNTIF($AP$10:$AP46, $AM$11:$AM$259), ""), 0)),"")</f>
        <v/>
      </c>
      <c r="AQ47" s="124" t="str">
        <f t="array" ref="AQ47">IFERROR(INDEX($AM$11:$AM$259, MATCH(0, IF(TRUE=$AL$11:$AL$259, COUNTIF($AQ$10:$AQ46, $AM$11:$AM$259), ""), 0)),"")</f>
        <v/>
      </c>
      <c r="AU47" s="30">
        <f t="shared" si="7"/>
        <v>0</v>
      </c>
      <c r="AY47" s="374" t="str">
        <f t="shared" si="6"/>
        <v/>
      </c>
    </row>
    <row r="48" spans="1:51">
      <c r="A48" s="30" t="str">
        <f>IFERROR(INDEX('G-1 All Habitats'!$AG$3:$AG$17,MATCH(E48,'G-1 All Habitats'!$AF$3:$AF$17,0)),"")</f>
        <v/>
      </c>
      <c r="B48" s="30" t="str">
        <f>IFERROR(INDEX('G-8 Condition Look up'!$I$4:$I$135,MATCH(G48,'G-8 Condition Look up'!$A$4:$A$135,0)),"")</f>
        <v/>
      </c>
      <c r="D48" s="110">
        <v>38</v>
      </c>
      <c r="E48" s="339"/>
      <c r="F48" s="339"/>
      <c r="G48" s="295" t="str">
        <f>IFERROR(INDEX('G-1 All Habitats'!$B$3:$B$134,MATCH(F48,'G-1 All Habitats'!$A$3:$A$134,0)),"")</f>
        <v/>
      </c>
      <c r="H48" s="53"/>
      <c r="I48" s="722" t="str">
        <f>IF(G48="","",VLOOKUP(G48,'G-1 All Habitats'!$B$2:$M$134,10,FALSE))</f>
        <v/>
      </c>
      <c r="J48" s="490" t="str">
        <f>IFERROR(VLOOKUP(I48,'G-1 All Habitats'!$V$3:$W$7,2,FALSE),"")</f>
        <v/>
      </c>
      <c r="K48" s="54"/>
      <c r="L48" s="490" t="str">
        <f>IFERROR(INDEX('G-8 Condition Look up'!$A$3:$H$135,MATCH(G48,'G-8 Condition Look up'!$A$3:$A$135,0),MATCH(K48,'G-8 Condition Look up'!$A$3:$H$3,0)),"")</f>
        <v/>
      </c>
      <c r="M48" s="723"/>
      <c r="N48" s="404" t="str">
        <f>IF(M48="","",IF(VLOOKUP(M48,'G-3 Multipliers'!$L$3:$N$6,2,FALSE)=0,"Spatial Data Missing ⚠",VLOOKUP(M48,'G-3 Multipliers'!$L$3:$N$6,2,FALSE)))</f>
        <v/>
      </c>
      <c r="O48" s="452" t="str">
        <f>IF(M48="","",IF(VLOOKUP(M48,'G-3 Multipliers'!$L$3:$N$6,3,FALSE)=0,"Spatial Data Missing ⚠",VLOOKUP(M48,'G-3 Multipliers'!$L$3:$N$6,3,FALSE)))</f>
        <v/>
      </c>
      <c r="P48" s="369" t="str">
        <f>IFERROR(VLOOKUP(G48,'G-1 All Habitats'!$B$2:$M$134,12,FALSE),"")</f>
        <v/>
      </c>
      <c r="Q48" s="725" t="str">
        <f>IFERROR(IF(P48="","",IF(AND(P48='G-1 All Habitats'!$X$3,W48&gt;0),X48+(Y48*S48),IF(AND(P48='G-1 All Habitats'!$X$3,V48&gt;0),X48+(Y48*S48),IF(AND(P48='G-1 All Habitats'!$X$3,AG48&gt;0),"Any Loss Unacceptable  ⚠",IF(AND(P48='G-1 All Habitats'!$X$3,Z48&gt;0),"Any Loss Unacceptable ⚠",H48*J48*L48*O48*S48))))),"Check Data ⚠")</f>
        <v/>
      </c>
      <c r="R48" s="516"/>
      <c r="S48" s="724" t="str">
        <f>IF(R48="","",IF(VLOOKUP(R48,'G-3 Multipliers'!$S$3:$T$10,2,FALSE)=0,"Spatial Data Missing ⚠",VLOOKUP(R48,'G-3 Multipliers'!$S$3:$T$10,2,FALSE)))</f>
        <v/>
      </c>
      <c r="T48" s="376" t="str">
        <f>IFERROR(IF(P48="","",IF(AND(P48='G-1 All Habitats'!$X$3,W48&gt;0),X48+Y48,IF(AND(P48='G-1 All Habitats'!$X$3,V48&gt;0),X48+Y48,IF(AND(P48='G-1 All Habitats'!$X$3,AG48&gt;0),"Any Loss Unacceptable ⚠", IF(R48="","", IF(AND(P48='G-1 All Habitats'!$X$3,Z48&gt;0),"Any Loss Unacceptable ⚠",H48*J48*L48*O48)))))),"Check Data ⚠")</f>
        <v/>
      </c>
      <c r="U48" s="38"/>
      <c r="V48" s="54"/>
      <c r="W48" s="55"/>
      <c r="X48" s="374" t="str">
        <f t="shared" si="0"/>
        <v/>
      </c>
      <c r="Y48" s="374" t="str">
        <f t="shared" si="1"/>
        <v/>
      </c>
      <c r="Z48" s="374" t="str">
        <f>IF(E48="","",IF(H48&lt;V48+W48,"Error in Areas ▲",IF(P48&lt;&gt;'G-1 All Habitats'!$X$3,H48-V48-W48,IF(AND(P48='G-1 All Habitats'!$X$3,AB48="Yes"),"Unacceptable Loss ⚠",IF(AND(P48='G-1 All Habitats'!$X$3,AB48="No"),AG48,IF(AND(P48='G-1 All Habitats'!$X$3,AB48=""),AG48,IF(AND(P48='G-1 All Habitats'!$X$3,AG48="None",AG48),IF(AND(P48='G-1 All Habitats'!$X$3,AG48&gt;0),H48-V48-W48))))))))</f>
        <v/>
      </c>
      <c r="AA48" s="405" t="str">
        <f>IFERROR(IF(H48="","",IF(H48-V48-W48=0&lt;0,"Error in Areas ▲",IF(V48+W48&gt;H48,"Error in Areas ▲",IF(AND(P48='G-1 All Habitats'!$X$3,AB48="Yes"),"Alternative Compensation ✓",IF(Z48=0,0,IF(P48='G-1 All Habitats'!$X$3,"Any Loss Unacceptable ▲",T48-X48-Y48)))))),"Check Data ⚠")</f>
        <v/>
      </c>
      <c r="AB48" s="837"/>
      <c r="AC48" s="119"/>
      <c r="AD48" s="528"/>
      <c r="AE48" s="120"/>
      <c r="AF48" s="687"/>
      <c r="AG48" s="744" t="str">
        <f>IF(P48="","",IF(P48='G-1 All Habitats'!$X$3,H48-V48-W48,"None"))</f>
        <v/>
      </c>
      <c r="AH48" s="744" t="str">
        <f t="shared" si="2"/>
        <v/>
      </c>
      <c r="AJ48" s="124" t="str">
        <f t="shared" si="8"/>
        <v/>
      </c>
      <c r="AK48" s="124" t="str">
        <f t="shared" si="9"/>
        <v/>
      </c>
      <c r="AL48" s="124" t="str">
        <f>IF(I48="","",IF(#REF!&gt;0,TRUE,FALSE))</f>
        <v/>
      </c>
      <c r="AM48" s="124">
        <v>38</v>
      </c>
      <c r="AN48" s="124"/>
      <c r="AO48" s="124" t="str">
        <f t="array" ref="AO48">IFERROR(INDEX($AM$11:$AM$259, MATCH(0, IF(TRUE=$AJ$11:$AJ$259, COUNTIF($AO$10:$AO47, $AM$11:$AM$259), ""), 0)),"")</f>
        <v/>
      </c>
      <c r="AP48" s="124" t="str">
        <f t="array" ref="AP48">IFERROR(INDEX($AM$11:$AM$259, MATCH(0, IF(TRUE=$AK$11:$AK$259, COUNTIF($AP$10:$AP47, $AM$11:$AM$259), ""), 0)),"")</f>
        <v/>
      </c>
      <c r="AQ48" s="124" t="str">
        <f t="array" ref="AQ48">IFERROR(INDEX($AM$11:$AM$259, MATCH(0, IF(TRUE=$AL$11:$AL$259, COUNTIF($AQ$10:$AQ47, $AM$11:$AM$259), ""), 0)),"")</f>
        <v/>
      </c>
      <c r="AU48" s="30">
        <f t="shared" si="7"/>
        <v>0</v>
      </c>
      <c r="AY48" s="374" t="str">
        <f t="shared" si="6"/>
        <v/>
      </c>
    </row>
    <row r="49" spans="1:51">
      <c r="A49" s="30" t="str">
        <f>IFERROR(INDEX('G-1 All Habitats'!$AG$3:$AG$17,MATCH(E49,'G-1 All Habitats'!$AF$3:$AF$17,0)),"")</f>
        <v/>
      </c>
      <c r="B49" s="30" t="str">
        <f>IFERROR(INDEX('G-8 Condition Look up'!$I$4:$I$135,MATCH(G49,'G-8 Condition Look up'!$A$4:$A$135,0)),"")</f>
        <v/>
      </c>
      <c r="D49" s="110">
        <v>39</v>
      </c>
      <c r="E49" s="339"/>
      <c r="F49" s="339"/>
      <c r="G49" s="295" t="str">
        <f>IFERROR(INDEX('G-1 All Habitats'!$B$3:$B$134,MATCH(F49,'G-1 All Habitats'!$A$3:$A$134,0)),"")</f>
        <v/>
      </c>
      <c r="H49" s="53"/>
      <c r="I49" s="722" t="str">
        <f>IF(G49="","",VLOOKUP(G49,'G-1 All Habitats'!$B$2:$M$134,10,FALSE))</f>
        <v/>
      </c>
      <c r="J49" s="490" t="str">
        <f>IFERROR(VLOOKUP(I49,'G-1 All Habitats'!$V$3:$W$7,2,FALSE),"")</f>
        <v/>
      </c>
      <c r="K49" s="54"/>
      <c r="L49" s="490" t="str">
        <f>IFERROR(INDEX('G-8 Condition Look up'!$A$3:$H$135,MATCH(G49,'G-8 Condition Look up'!$A$3:$A$135,0),MATCH(K49,'G-8 Condition Look up'!$A$3:$H$3,0)),"")</f>
        <v/>
      </c>
      <c r="M49" s="723"/>
      <c r="N49" s="404" t="str">
        <f>IF(M49="","",IF(VLOOKUP(M49,'G-3 Multipliers'!$L$3:$N$6,2,FALSE)=0,"Spatial Data Missing ⚠",VLOOKUP(M49,'G-3 Multipliers'!$L$3:$N$6,2,FALSE)))</f>
        <v/>
      </c>
      <c r="O49" s="452" t="str">
        <f>IF(M49="","",IF(VLOOKUP(M49,'G-3 Multipliers'!$L$3:$N$6,3,FALSE)=0,"Spatial Data Missing ⚠",VLOOKUP(M49,'G-3 Multipliers'!$L$3:$N$6,3,FALSE)))</f>
        <v/>
      </c>
      <c r="P49" s="369" t="str">
        <f>IFERROR(VLOOKUP(G49,'G-1 All Habitats'!$B$2:$M$134,12,FALSE),"")</f>
        <v/>
      </c>
      <c r="Q49" s="725" t="str">
        <f>IFERROR(IF(P49="","",IF(AND(P49='G-1 All Habitats'!$X$3,W49&gt;0),X49+(Y49*S49),IF(AND(P49='G-1 All Habitats'!$X$3,V49&gt;0),X49+(Y49*S49),IF(AND(P49='G-1 All Habitats'!$X$3,AG49&gt;0),"Any Loss Unacceptable  ⚠",IF(AND(P49='G-1 All Habitats'!$X$3,Z49&gt;0),"Any Loss Unacceptable ⚠",H49*J49*L49*O49*S49))))),"Check Data ⚠")</f>
        <v/>
      </c>
      <c r="R49" s="516"/>
      <c r="S49" s="724" t="str">
        <f>IF(R49="","",IF(VLOOKUP(R49,'G-3 Multipliers'!$S$3:$T$10,2,FALSE)=0,"Spatial Data Missing ⚠",VLOOKUP(R49,'G-3 Multipliers'!$S$3:$T$10,2,FALSE)))</f>
        <v/>
      </c>
      <c r="T49" s="376" t="str">
        <f>IFERROR(IF(P49="","",IF(AND(P49='G-1 All Habitats'!$X$3,W49&gt;0),X49+Y49,IF(AND(P49='G-1 All Habitats'!$X$3,V49&gt;0),X49+Y49,IF(AND(P49='G-1 All Habitats'!$X$3,AG49&gt;0),"Any Loss Unacceptable ⚠", IF(R49="","", IF(AND(P49='G-1 All Habitats'!$X$3,Z49&gt;0),"Any Loss Unacceptable ⚠",H49*J49*L49*O49)))))),"Check Data ⚠")</f>
        <v/>
      </c>
      <c r="U49" s="38"/>
      <c r="V49" s="54"/>
      <c r="W49" s="55"/>
      <c r="X49" s="374" t="str">
        <f t="shared" si="0"/>
        <v/>
      </c>
      <c r="Y49" s="374" t="str">
        <f t="shared" si="1"/>
        <v/>
      </c>
      <c r="Z49" s="374" t="str">
        <f>IF(E49="","",IF(H49&lt;V49+W49,"Error in Areas ▲",IF(P49&lt;&gt;'G-1 All Habitats'!$X$3,H49-V49-W49,IF(AND(P49='G-1 All Habitats'!$X$3,AB49="Yes"),"Unacceptable Loss ⚠",IF(AND(P49='G-1 All Habitats'!$X$3,AB49="No"),AG49,IF(AND(P49='G-1 All Habitats'!$X$3,AB49=""),AG49,IF(AND(P49='G-1 All Habitats'!$X$3,AG49="None",AG49),IF(AND(P49='G-1 All Habitats'!$X$3,AG49&gt;0),H49-V49-W49))))))))</f>
        <v/>
      </c>
      <c r="AA49" s="405" t="str">
        <f>IFERROR(IF(H49="","",IF(H49-V49-W49=0&lt;0,"Error in Areas ▲",IF(V49+W49&gt;H49,"Error in Areas ▲",IF(AND(P49='G-1 All Habitats'!$X$3,AB49="Yes"),"Alternative Compensation ✓",IF(Z49=0,0,IF(P49='G-1 All Habitats'!$X$3,"Any Loss Unacceptable ▲",T49-X49-Y49)))))),"Check Data ⚠")</f>
        <v/>
      </c>
      <c r="AB49" s="837"/>
      <c r="AC49" s="119"/>
      <c r="AD49" s="528"/>
      <c r="AE49" s="120"/>
      <c r="AF49" s="687"/>
      <c r="AG49" s="744" t="str">
        <f>IF(P49="","",IF(P49='G-1 All Habitats'!$X$3,H49-V49-W49,"None"))</f>
        <v/>
      </c>
      <c r="AH49" s="744" t="str">
        <f t="shared" si="2"/>
        <v/>
      </c>
      <c r="AJ49" s="124" t="str">
        <f t="shared" si="8"/>
        <v/>
      </c>
      <c r="AK49" s="124" t="str">
        <f t="shared" si="9"/>
        <v/>
      </c>
      <c r="AL49" s="124" t="str">
        <f>IF(I49="","",IF(#REF!&gt;0,TRUE,FALSE))</f>
        <v/>
      </c>
      <c r="AM49" s="124">
        <v>39</v>
      </c>
      <c r="AN49" s="124"/>
      <c r="AO49" s="124" t="str">
        <f t="array" ref="AO49">IFERROR(INDEX($AM$11:$AM$259, MATCH(0, IF(TRUE=$AJ$11:$AJ$259, COUNTIF($AO$10:$AO48, $AM$11:$AM$259), ""), 0)),"")</f>
        <v/>
      </c>
      <c r="AP49" s="124" t="str">
        <f t="array" ref="AP49">IFERROR(INDEX($AM$11:$AM$259, MATCH(0, IF(TRUE=$AK$11:$AK$259, COUNTIF($AP$10:$AP48, $AM$11:$AM$259), ""), 0)),"")</f>
        <v/>
      </c>
      <c r="AQ49" s="124" t="str">
        <f t="array" ref="AQ49">IFERROR(INDEX($AM$11:$AM$259, MATCH(0, IF(TRUE=$AL$11:$AL$259, COUNTIF($AQ$10:$AQ48, $AM$11:$AM$259), ""), 0)),"")</f>
        <v/>
      </c>
      <c r="AU49" s="30">
        <f t="shared" ref="AU49:AU80" si="10">IF(AA49="Unacceptable Loss",1,0)</f>
        <v>0</v>
      </c>
      <c r="AY49" s="374" t="str">
        <f t="shared" si="6"/>
        <v/>
      </c>
    </row>
    <row r="50" spans="1:51">
      <c r="A50" s="30" t="str">
        <f>IFERROR(INDEX('G-1 All Habitats'!$AG$3:$AG$17,MATCH(E50,'G-1 All Habitats'!$AF$3:$AF$17,0)),"")</f>
        <v/>
      </c>
      <c r="B50" s="30" t="str">
        <f>IFERROR(INDEX('G-8 Condition Look up'!$I$4:$I$135,MATCH(G50,'G-8 Condition Look up'!$A$4:$A$135,0)),"")</f>
        <v/>
      </c>
      <c r="D50" s="110">
        <v>40</v>
      </c>
      <c r="E50" s="339"/>
      <c r="F50" s="339"/>
      <c r="G50" s="295" t="str">
        <f>IFERROR(INDEX('G-1 All Habitats'!$B$3:$B$134,MATCH(F50,'G-1 All Habitats'!$A$3:$A$134,0)),"")</f>
        <v/>
      </c>
      <c r="H50" s="53"/>
      <c r="I50" s="722" t="str">
        <f>IF(G50="","",VLOOKUP(G50,'G-1 All Habitats'!$B$2:$M$134,10,FALSE))</f>
        <v/>
      </c>
      <c r="J50" s="490" t="str">
        <f>IFERROR(VLOOKUP(I50,'G-1 All Habitats'!$V$3:$W$7,2,FALSE),"")</f>
        <v/>
      </c>
      <c r="K50" s="54"/>
      <c r="L50" s="490" t="str">
        <f>IFERROR(INDEX('G-8 Condition Look up'!$A$3:$H$135,MATCH(G50,'G-8 Condition Look up'!$A$3:$A$135,0),MATCH(K50,'G-8 Condition Look up'!$A$3:$H$3,0)),"")</f>
        <v/>
      </c>
      <c r="M50" s="723"/>
      <c r="N50" s="404" t="str">
        <f>IF(M50="","",IF(VLOOKUP(M50,'G-3 Multipliers'!$L$3:$N$6,2,FALSE)=0,"Spatial Data Missing ⚠",VLOOKUP(M50,'G-3 Multipliers'!$L$3:$N$6,2,FALSE)))</f>
        <v/>
      </c>
      <c r="O50" s="452" t="str">
        <f>IF(M50="","",IF(VLOOKUP(M50,'G-3 Multipliers'!$L$3:$N$6,3,FALSE)=0,"Spatial Data Missing ⚠",VLOOKUP(M50,'G-3 Multipliers'!$L$3:$N$6,3,FALSE)))</f>
        <v/>
      </c>
      <c r="P50" s="369" t="str">
        <f>IFERROR(VLOOKUP(G50,'G-1 All Habitats'!$B$2:$M$134,12,FALSE),"")</f>
        <v/>
      </c>
      <c r="Q50" s="725" t="str">
        <f>IFERROR(IF(P50="","",IF(AND(P50='G-1 All Habitats'!$X$3,W50&gt;0),X50+(Y50*S50),IF(AND(P50='G-1 All Habitats'!$X$3,V50&gt;0),X50+(Y50*S50),IF(AND(P50='G-1 All Habitats'!$X$3,AG50&gt;0),"Any Loss Unacceptable  ⚠",IF(AND(P50='G-1 All Habitats'!$X$3,Z50&gt;0),"Any Loss Unacceptable ⚠",H50*J50*L50*O50*S50))))),"Check Data ⚠")</f>
        <v/>
      </c>
      <c r="R50" s="516"/>
      <c r="S50" s="724" t="str">
        <f>IF(R50="","",IF(VLOOKUP(R50,'G-3 Multipliers'!$S$3:$T$10,2,FALSE)=0,"Spatial Data Missing ⚠",VLOOKUP(R50,'G-3 Multipliers'!$S$3:$T$10,2,FALSE)))</f>
        <v/>
      </c>
      <c r="T50" s="376" t="str">
        <f>IFERROR(IF(P50="","",IF(AND(P50='G-1 All Habitats'!$X$3,W50&gt;0),X50+Y50,IF(AND(P50='G-1 All Habitats'!$X$3,V50&gt;0),X50+Y50,IF(AND(P50='G-1 All Habitats'!$X$3,AG50&gt;0),"Any Loss Unacceptable ⚠", IF(R50="","", IF(AND(P50='G-1 All Habitats'!$X$3,Z50&gt;0),"Any Loss Unacceptable ⚠",H50*J50*L50*O50)))))),"Check Data ⚠")</f>
        <v/>
      </c>
      <c r="U50" s="38"/>
      <c r="V50" s="54"/>
      <c r="W50" s="55"/>
      <c r="X50" s="374" t="str">
        <f t="shared" si="0"/>
        <v/>
      </c>
      <c r="Y50" s="374" t="str">
        <f t="shared" si="1"/>
        <v/>
      </c>
      <c r="Z50" s="374" t="str">
        <f>IF(E50="","",IF(H50&lt;V50+W50,"Error in Areas ▲",IF(P50&lt;&gt;'G-1 All Habitats'!$X$3,H50-V50-W50,IF(AND(P50='G-1 All Habitats'!$X$3,AB50="Yes"),"Unacceptable Loss ⚠",IF(AND(P50='G-1 All Habitats'!$X$3,AB50="No"),AG50,IF(AND(P50='G-1 All Habitats'!$X$3,AB50=""),AG50,IF(AND(P50='G-1 All Habitats'!$X$3,AG50="None",AG50),IF(AND(P50='G-1 All Habitats'!$X$3,AG50&gt;0),H50-V50-W50))))))))</f>
        <v/>
      </c>
      <c r="AA50" s="405" t="str">
        <f>IFERROR(IF(H50="","",IF(H50-V50-W50=0&lt;0,"Error in Areas ▲",IF(V50+W50&gt;H50,"Error in Areas ▲",IF(AND(P50='G-1 All Habitats'!$X$3,AB50="Yes"),"Alternative Compensation ✓",IF(Z50=0,0,IF(P50='G-1 All Habitats'!$X$3,"Any Loss Unacceptable ▲",T50-X50-Y50)))))),"Check Data ⚠")</f>
        <v/>
      </c>
      <c r="AB50" s="837"/>
      <c r="AC50" s="119"/>
      <c r="AD50" s="528"/>
      <c r="AE50" s="120"/>
      <c r="AF50" s="687"/>
      <c r="AG50" s="744" t="str">
        <f>IF(P50="","",IF(P50='G-1 All Habitats'!$X$3,H50-V50-W50,"None"))</f>
        <v/>
      </c>
      <c r="AH50" s="744" t="str">
        <f t="shared" si="2"/>
        <v/>
      </c>
      <c r="AJ50" s="124" t="str">
        <f t="shared" si="8"/>
        <v/>
      </c>
      <c r="AK50" s="124" t="str">
        <f t="shared" si="9"/>
        <v/>
      </c>
      <c r="AL50" s="124" t="str">
        <f>IF(I50="","",IF(#REF!&gt;0,TRUE,FALSE))</f>
        <v/>
      </c>
      <c r="AM50" s="124">
        <v>40</v>
      </c>
      <c r="AN50" s="124"/>
      <c r="AO50" s="124" t="str">
        <f t="array" ref="AO50">IFERROR(INDEX($AM$11:$AM$259, MATCH(0, IF(TRUE=$AJ$11:$AJ$259, COUNTIF($AO$10:$AO49, $AM$11:$AM$259), ""), 0)),"")</f>
        <v/>
      </c>
      <c r="AP50" s="124" t="str">
        <f t="array" ref="AP50">IFERROR(INDEX($AM$11:$AM$259, MATCH(0, IF(TRUE=$AK$11:$AK$259, COUNTIF($AP$10:$AP49, $AM$11:$AM$259), ""), 0)),"")</f>
        <v/>
      </c>
      <c r="AQ50" s="124" t="str">
        <f t="array" ref="AQ50">IFERROR(INDEX($AM$11:$AM$259, MATCH(0, IF(TRUE=$AL$11:$AL$259, COUNTIF($AQ$10:$AQ49, $AM$11:$AM$259), ""), 0)),"")</f>
        <v/>
      </c>
      <c r="AU50" s="30">
        <f t="shared" si="10"/>
        <v>0</v>
      </c>
      <c r="AY50" s="374" t="str">
        <f t="shared" si="6"/>
        <v/>
      </c>
    </row>
    <row r="51" spans="1:51">
      <c r="A51" s="30" t="str">
        <f>IFERROR(INDEX('G-1 All Habitats'!$AG$3:$AG$17,MATCH(E51,'G-1 All Habitats'!$AF$3:$AF$17,0)),"")</f>
        <v/>
      </c>
      <c r="B51" s="30" t="str">
        <f>IFERROR(INDEX('G-8 Condition Look up'!$I$4:$I$135,MATCH(G51,'G-8 Condition Look up'!$A$4:$A$135,0)),"")</f>
        <v/>
      </c>
      <c r="D51" s="110">
        <v>41</v>
      </c>
      <c r="E51" s="339"/>
      <c r="F51" s="339"/>
      <c r="G51" s="295" t="str">
        <f>IFERROR(INDEX('G-1 All Habitats'!$B$3:$B$134,MATCH(F51,'G-1 All Habitats'!$A$3:$A$134,0)),"")</f>
        <v/>
      </c>
      <c r="H51" s="53"/>
      <c r="I51" s="722" t="str">
        <f>IF(G51="","",VLOOKUP(G51,'G-1 All Habitats'!$B$2:$M$134,10,FALSE))</f>
        <v/>
      </c>
      <c r="J51" s="490" t="str">
        <f>IFERROR(VLOOKUP(I51,'G-1 All Habitats'!$V$3:$W$7,2,FALSE),"")</f>
        <v/>
      </c>
      <c r="K51" s="54"/>
      <c r="L51" s="490" t="str">
        <f>IFERROR(INDEX('G-8 Condition Look up'!$A$3:$H$135,MATCH(G51,'G-8 Condition Look up'!$A$3:$A$135,0),MATCH(K51,'G-8 Condition Look up'!$A$3:$H$3,0)),"")</f>
        <v/>
      </c>
      <c r="M51" s="723"/>
      <c r="N51" s="404" t="str">
        <f>IF(M51="","",IF(VLOOKUP(M51,'G-3 Multipliers'!$L$3:$N$6,2,FALSE)=0,"Spatial Data Missing ⚠",VLOOKUP(M51,'G-3 Multipliers'!$L$3:$N$6,2,FALSE)))</f>
        <v/>
      </c>
      <c r="O51" s="452" t="str">
        <f>IF(M51="","",IF(VLOOKUP(M51,'G-3 Multipliers'!$L$3:$N$6,3,FALSE)=0,"Spatial Data Missing ⚠",VLOOKUP(M51,'G-3 Multipliers'!$L$3:$N$6,3,FALSE)))</f>
        <v/>
      </c>
      <c r="P51" s="369" t="str">
        <f>IFERROR(VLOOKUP(G51,'G-1 All Habitats'!$B$2:$M$134,12,FALSE),"")</f>
        <v/>
      </c>
      <c r="Q51" s="725" t="str">
        <f>IFERROR(IF(P51="","",IF(AND(P51='G-1 All Habitats'!$X$3,W51&gt;0),X51+(Y51*S51),IF(AND(P51='G-1 All Habitats'!$X$3,V51&gt;0),X51+(Y51*S51),IF(AND(P51='G-1 All Habitats'!$X$3,AG51&gt;0),"Any Loss Unacceptable  ⚠",IF(AND(P51='G-1 All Habitats'!$X$3,Z51&gt;0),"Any Loss Unacceptable ⚠",H51*J51*L51*O51*S51))))),"Check Data ⚠")</f>
        <v/>
      </c>
      <c r="R51" s="516"/>
      <c r="S51" s="724" t="str">
        <f>IF(R51="","",IF(VLOOKUP(R51,'G-3 Multipliers'!$S$3:$T$10,2,FALSE)=0,"Spatial Data Missing ⚠",VLOOKUP(R51,'G-3 Multipliers'!$S$3:$T$10,2,FALSE)))</f>
        <v/>
      </c>
      <c r="T51" s="376" t="str">
        <f>IFERROR(IF(P51="","",IF(AND(P51='G-1 All Habitats'!$X$3,W51&gt;0),X51+Y51,IF(AND(P51='G-1 All Habitats'!$X$3,V51&gt;0),X51+Y51,IF(AND(P51='G-1 All Habitats'!$X$3,AG51&gt;0),"Any Loss Unacceptable ⚠", IF(R51="","", IF(AND(P51='G-1 All Habitats'!$X$3,Z51&gt;0),"Any Loss Unacceptable ⚠",H51*J51*L51*O51)))))),"Check Data ⚠")</f>
        <v/>
      </c>
      <c r="U51" s="38"/>
      <c r="V51" s="54"/>
      <c r="W51" s="55"/>
      <c r="X51" s="374" t="str">
        <f t="shared" si="0"/>
        <v/>
      </c>
      <c r="Y51" s="374" t="str">
        <f t="shared" si="1"/>
        <v/>
      </c>
      <c r="Z51" s="374" t="str">
        <f>IF(E51="","",IF(H51&lt;V51+W51,"Error in Areas ▲",IF(P51&lt;&gt;'G-1 All Habitats'!$X$3,H51-V51-W51,IF(AND(P51='G-1 All Habitats'!$X$3,AB51="Yes"),"Unacceptable Loss ⚠",IF(AND(P51='G-1 All Habitats'!$X$3,AB51="No"),AG51,IF(AND(P51='G-1 All Habitats'!$X$3,AB51=""),AG51,IF(AND(P51='G-1 All Habitats'!$X$3,AG51="None",AG51),IF(AND(P51='G-1 All Habitats'!$X$3,AG51&gt;0),H51-V51-W51))))))))</f>
        <v/>
      </c>
      <c r="AA51" s="405" t="str">
        <f>IFERROR(IF(H51="","",IF(H51-V51-W51=0&lt;0,"Error in Areas ▲",IF(V51+W51&gt;H51,"Error in Areas ▲",IF(AND(P51='G-1 All Habitats'!$X$3,AB51="Yes"),"Alternative Compensation ✓",IF(Z51=0,0,IF(P51='G-1 All Habitats'!$X$3,"Any Loss Unacceptable ▲",T51-X51-Y51)))))),"Check Data ⚠")</f>
        <v/>
      </c>
      <c r="AB51" s="837"/>
      <c r="AC51" s="119"/>
      <c r="AD51" s="528"/>
      <c r="AE51" s="120"/>
      <c r="AF51" s="687"/>
      <c r="AG51" s="744" t="str">
        <f>IF(P51="","",IF(P51='G-1 All Habitats'!$X$3,H51-V51-W51,"None"))</f>
        <v/>
      </c>
      <c r="AH51" s="744" t="str">
        <f t="shared" si="2"/>
        <v/>
      </c>
      <c r="AJ51" s="124" t="str">
        <f t="shared" si="8"/>
        <v/>
      </c>
      <c r="AK51" s="124" t="str">
        <f t="shared" si="9"/>
        <v/>
      </c>
      <c r="AL51" s="124" t="str">
        <f>IF(I51="","",IF(#REF!&gt;0,TRUE,FALSE))</f>
        <v/>
      </c>
      <c r="AM51" s="124">
        <v>41</v>
      </c>
      <c r="AN51" s="124"/>
      <c r="AO51" s="124" t="str">
        <f t="array" ref="AO51">IFERROR(INDEX($AM$11:$AM$259, MATCH(0, IF(TRUE=$AJ$11:$AJ$259, COUNTIF($AO$10:$AO50, $AM$11:$AM$259), ""), 0)),"")</f>
        <v/>
      </c>
      <c r="AP51" s="124" t="str">
        <f t="array" ref="AP51">IFERROR(INDEX($AM$11:$AM$259, MATCH(0, IF(TRUE=$AK$11:$AK$259, COUNTIF($AP$10:$AP50, $AM$11:$AM$259), ""), 0)),"")</f>
        <v/>
      </c>
      <c r="AQ51" s="124" t="str">
        <f t="array" ref="AQ51">IFERROR(INDEX($AM$11:$AM$259, MATCH(0, IF(TRUE=$AL$11:$AL$259, COUNTIF($AQ$10:$AQ50, $AM$11:$AM$259), ""), 0)),"")</f>
        <v/>
      </c>
      <c r="AU51" s="30">
        <f t="shared" si="10"/>
        <v>0</v>
      </c>
      <c r="AY51" s="374" t="str">
        <f t="shared" si="6"/>
        <v/>
      </c>
    </row>
    <row r="52" spans="1:51">
      <c r="A52" s="30" t="str">
        <f>IFERROR(INDEX('G-1 All Habitats'!$AG$3:$AG$17,MATCH(E52,'G-1 All Habitats'!$AF$3:$AF$17,0)),"")</f>
        <v/>
      </c>
      <c r="B52" s="30" t="str">
        <f>IFERROR(INDEX('G-8 Condition Look up'!$I$4:$I$135,MATCH(G52,'G-8 Condition Look up'!$A$4:$A$135,0)),"")</f>
        <v/>
      </c>
      <c r="D52" s="110">
        <v>42</v>
      </c>
      <c r="E52" s="339"/>
      <c r="F52" s="339"/>
      <c r="G52" s="295" t="str">
        <f>IFERROR(INDEX('G-1 All Habitats'!$B$3:$B$134,MATCH(F52,'G-1 All Habitats'!$A$3:$A$134,0)),"")</f>
        <v/>
      </c>
      <c r="H52" s="53"/>
      <c r="I52" s="722" t="str">
        <f>IF(G52="","",VLOOKUP(G52,'G-1 All Habitats'!$B$2:$M$134,10,FALSE))</f>
        <v/>
      </c>
      <c r="J52" s="490" t="str">
        <f>IFERROR(VLOOKUP(I52,'G-1 All Habitats'!$V$3:$W$7,2,FALSE),"")</f>
        <v/>
      </c>
      <c r="K52" s="54"/>
      <c r="L52" s="490" t="str">
        <f>IFERROR(INDEX('G-8 Condition Look up'!$A$3:$H$135,MATCH(G52,'G-8 Condition Look up'!$A$3:$A$135,0),MATCH(K52,'G-8 Condition Look up'!$A$3:$H$3,0)),"")</f>
        <v/>
      </c>
      <c r="M52" s="723"/>
      <c r="N52" s="404" t="str">
        <f>IF(M52="","",IF(VLOOKUP(M52,'G-3 Multipliers'!$L$3:$N$6,2,FALSE)=0,"Spatial Data Missing ⚠",VLOOKUP(M52,'G-3 Multipliers'!$L$3:$N$6,2,FALSE)))</f>
        <v/>
      </c>
      <c r="O52" s="452" t="str">
        <f>IF(M52="","",IF(VLOOKUP(M52,'G-3 Multipliers'!$L$3:$N$6,3,FALSE)=0,"Spatial Data Missing ⚠",VLOOKUP(M52,'G-3 Multipliers'!$L$3:$N$6,3,FALSE)))</f>
        <v/>
      </c>
      <c r="P52" s="369" t="str">
        <f>IFERROR(VLOOKUP(G52,'G-1 All Habitats'!$B$2:$M$134,12,FALSE),"")</f>
        <v/>
      </c>
      <c r="Q52" s="725" t="str">
        <f>IFERROR(IF(P52="","",IF(AND(P52='G-1 All Habitats'!$X$3,W52&gt;0),X52+(Y52*S52),IF(AND(P52='G-1 All Habitats'!$X$3,V52&gt;0),X52+(Y52*S52),IF(AND(P52='G-1 All Habitats'!$X$3,AG52&gt;0),"Any Loss Unacceptable  ⚠",IF(AND(P52='G-1 All Habitats'!$X$3,Z52&gt;0),"Any Loss Unacceptable ⚠",H52*J52*L52*O52*S52))))),"Check Data ⚠")</f>
        <v/>
      </c>
      <c r="R52" s="516"/>
      <c r="S52" s="724" t="str">
        <f>IF(R52="","",IF(VLOOKUP(R52,'G-3 Multipliers'!$S$3:$T$10,2,FALSE)=0,"Spatial Data Missing ⚠",VLOOKUP(R52,'G-3 Multipliers'!$S$3:$T$10,2,FALSE)))</f>
        <v/>
      </c>
      <c r="T52" s="376" t="str">
        <f>IFERROR(IF(P52="","",IF(AND(P52='G-1 All Habitats'!$X$3,W52&gt;0),X52+Y52,IF(AND(P52='G-1 All Habitats'!$X$3,V52&gt;0),X52+Y52,IF(AND(P52='G-1 All Habitats'!$X$3,AG52&gt;0),"Any Loss Unacceptable ⚠", IF(R52="","", IF(AND(P52='G-1 All Habitats'!$X$3,Z52&gt;0),"Any Loss Unacceptable ⚠",H52*J52*L52*O52)))))),"Check Data ⚠")</f>
        <v/>
      </c>
      <c r="U52" s="38"/>
      <c r="V52" s="54"/>
      <c r="W52" s="55"/>
      <c r="X52" s="374" t="str">
        <f t="shared" si="0"/>
        <v/>
      </c>
      <c r="Y52" s="374" t="str">
        <f t="shared" si="1"/>
        <v/>
      </c>
      <c r="Z52" s="374" t="str">
        <f>IF(E52="","",IF(H52&lt;V52+W52,"Error in Areas ▲",IF(P52&lt;&gt;'G-1 All Habitats'!$X$3,H52-V52-W52,IF(AND(P52='G-1 All Habitats'!$X$3,AB52="Yes"),"Unacceptable Loss ⚠",IF(AND(P52='G-1 All Habitats'!$X$3,AB52="No"),AG52,IF(AND(P52='G-1 All Habitats'!$X$3,AB52=""),AG52,IF(AND(P52='G-1 All Habitats'!$X$3,AG52="None",AG52),IF(AND(P52='G-1 All Habitats'!$X$3,AG52&gt;0),H52-V52-W52))))))))</f>
        <v/>
      </c>
      <c r="AA52" s="405" t="str">
        <f>IFERROR(IF(H52="","",IF(H52-V52-W52=0&lt;0,"Error in Areas ▲",IF(V52+W52&gt;H52,"Error in Areas ▲",IF(AND(P52='G-1 All Habitats'!$X$3,AB52="Yes"),"Alternative Compensation ✓",IF(Z52=0,0,IF(P52='G-1 All Habitats'!$X$3,"Any Loss Unacceptable ▲",T52-X52-Y52)))))),"Check Data ⚠")</f>
        <v/>
      </c>
      <c r="AB52" s="837"/>
      <c r="AC52" s="119"/>
      <c r="AD52" s="528"/>
      <c r="AE52" s="120"/>
      <c r="AF52" s="687"/>
      <c r="AG52" s="744" t="str">
        <f>IF(P52="","",IF(P52='G-1 All Habitats'!$X$3,H52-V52-W52,"None"))</f>
        <v/>
      </c>
      <c r="AH52" s="744" t="str">
        <f t="shared" si="2"/>
        <v/>
      </c>
      <c r="AJ52" s="124" t="str">
        <f t="shared" si="8"/>
        <v/>
      </c>
      <c r="AK52" s="124" t="str">
        <f t="shared" si="9"/>
        <v/>
      </c>
      <c r="AL52" s="124" t="str">
        <f>IF(I52="","",IF(#REF!&gt;0,TRUE,FALSE))</f>
        <v/>
      </c>
      <c r="AM52" s="124">
        <v>42</v>
      </c>
      <c r="AN52" s="124"/>
      <c r="AO52" s="124" t="str">
        <f t="array" ref="AO52">IFERROR(INDEX($AM$11:$AM$259, MATCH(0, IF(TRUE=$AJ$11:$AJ$259, COUNTIF($AO$10:$AO51, $AM$11:$AM$259), ""), 0)),"")</f>
        <v/>
      </c>
      <c r="AP52" s="124" t="str">
        <f t="array" ref="AP52">IFERROR(INDEX($AM$11:$AM$259, MATCH(0, IF(TRUE=$AK$11:$AK$259, COUNTIF($AP$10:$AP51, $AM$11:$AM$259), ""), 0)),"")</f>
        <v/>
      </c>
      <c r="AQ52" s="124" t="str">
        <f t="array" ref="AQ52">IFERROR(INDEX($AM$11:$AM$259, MATCH(0, IF(TRUE=$AL$11:$AL$259, COUNTIF($AQ$10:$AQ51, $AM$11:$AM$259), ""), 0)),"")</f>
        <v/>
      </c>
      <c r="AU52" s="30">
        <f t="shared" si="10"/>
        <v>0</v>
      </c>
      <c r="AY52" s="374" t="str">
        <f t="shared" si="6"/>
        <v/>
      </c>
    </row>
    <row r="53" spans="1:51">
      <c r="A53" s="30" t="str">
        <f>IFERROR(INDEX('G-1 All Habitats'!$AG$3:$AG$17,MATCH(E53,'G-1 All Habitats'!$AF$3:$AF$17,0)),"")</f>
        <v/>
      </c>
      <c r="B53" s="30" t="str">
        <f>IFERROR(INDEX('G-8 Condition Look up'!$I$4:$I$135,MATCH(G53,'G-8 Condition Look up'!$A$4:$A$135,0)),"")</f>
        <v/>
      </c>
      <c r="D53" s="110">
        <v>43</v>
      </c>
      <c r="E53" s="339"/>
      <c r="F53" s="340"/>
      <c r="G53" s="295" t="str">
        <f>IFERROR(INDEX('G-1 All Habitats'!$B$3:$B$134,MATCH(F53,'G-1 All Habitats'!$A$3:$A$134,0)),"")</f>
        <v/>
      </c>
      <c r="H53" s="139"/>
      <c r="I53" s="722" t="str">
        <f>IF(G53="","",VLOOKUP(G53,'G-1 All Habitats'!$B$2:$M$134,10,FALSE))</f>
        <v/>
      </c>
      <c r="J53" s="490" t="str">
        <f>IFERROR(VLOOKUP(I53,'G-1 All Habitats'!$V$3:$W$7,2,FALSE),"")</f>
        <v/>
      </c>
      <c r="K53" s="114"/>
      <c r="L53" s="490" t="str">
        <f>IFERROR(INDEX('G-8 Condition Look up'!$A$3:$H$135,MATCH(G53,'G-8 Condition Look up'!$A$3:$A$135,0),MATCH(K53,'G-8 Condition Look up'!$A$3:$H$3,0)),"")</f>
        <v/>
      </c>
      <c r="M53" s="738"/>
      <c r="N53" s="404" t="str">
        <f>IF(M53="","",IF(VLOOKUP(M53,'G-3 Multipliers'!$L$3:$N$6,2,FALSE)=0,"Spatial Data Missing ⚠",VLOOKUP(M53,'G-3 Multipliers'!$L$3:$N$6,2,FALSE)))</f>
        <v/>
      </c>
      <c r="O53" s="452" t="str">
        <f>IF(M53="","",IF(VLOOKUP(M53,'G-3 Multipliers'!$L$3:$N$6,3,FALSE)=0,"Spatial Data Missing ⚠",VLOOKUP(M53,'G-3 Multipliers'!$L$3:$N$6,3,FALSE)))</f>
        <v/>
      </c>
      <c r="P53" s="369" t="str">
        <f>IFERROR(VLOOKUP(G53,'G-1 All Habitats'!$B$2:$M$134,12,FALSE),"")</f>
        <v/>
      </c>
      <c r="Q53" s="725" t="str">
        <f>IFERROR(IF(P53="","",IF(AND(P53='G-1 All Habitats'!$X$3,W53&gt;0),X53+(Y53*S53),IF(AND(P53='G-1 All Habitats'!$X$3,V53&gt;0),X53+(Y53*S53),IF(AND(P53='G-1 All Habitats'!$X$3,AG53&gt;0),"Any Loss Unacceptable  ⚠",IF(AND(P53='G-1 All Habitats'!$X$3,Z53&gt;0),"Any Loss Unacceptable ⚠",H53*J53*L53*O53*S53))))),"Check Data ⚠")</f>
        <v/>
      </c>
      <c r="R53" s="516"/>
      <c r="S53" s="724" t="str">
        <f>IF(R53="","",IF(VLOOKUP(R53,'G-3 Multipliers'!$S$3:$T$10,2,FALSE)=0,"Spatial Data Missing ⚠",VLOOKUP(R53,'G-3 Multipliers'!$S$3:$T$10,2,FALSE)))</f>
        <v/>
      </c>
      <c r="T53" s="376" t="str">
        <f>IFERROR(IF(P53="","",IF(AND(P53='G-1 All Habitats'!$X$3,W53&gt;0),X53+Y53,IF(AND(P53='G-1 All Habitats'!$X$3,V53&gt;0),X53+Y53,IF(AND(P53='G-1 All Habitats'!$X$3,AG53&gt;0),"Any Loss Unacceptable ⚠", IF(R53="","", IF(AND(P53='G-1 All Habitats'!$X$3,Z53&gt;0),"Any Loss Unacceptable ⚠",H53*J53*L53*O53)))))),"Check Data ⚠")</f>
        <v/>
      </c>
      <c r="U53" s="38"/>
      <c r="V53" s="54"/>
      <c r="W53" s="55"/>
      <c r="X53" s="374" t="str">
        <f t="shared" si="0"/>
        <v/>
      </c>
      <c r="Y53" s="374" t="str">
        <f t="shared" si="1"/>
        <v/>
      </c>
      <c r="Z53" s="374" t="str">
        <f>IF(E53="","",IF(H53&lt;V53+W53,"Error in Areas ▲",IF(P53&lt;&gt;'G-1 All Habitats'!$X$3,H53-V53-W53,IF(AND(P53='G-1 All Habitats'!$X$3,AB53="Yes"),"Unacceptable Loss ⚠",IF(AND(P53='G-1 All Habitats'!$X$3,AB53="No"),AG53,IF(AND(P53='G-1 All Habitats'!$X$3,AB53=""),AG53,IF(AND(P53='G-1 All Habitats'!$X$3,AG53="None",AG53),IF(AND(P53='G-1 All Habitats'!$X$3,AG53&gt;0),H53-V53-W53))))))))</f>
        <v/>
      </c>
      <c r="AA53" s="405" t="str">
        <f>IFERROR(IF(H53="","",IF(H53-V53-W53=0&lt;0,"Error in Areas ▲",IF(V53+W53&gt;H53,"Error in Areas ▲",IF(AND(P53='G-1 All Habitats'!$X$3,AB53="Yes"),"Alternative Compensation ✓",IF(Z53=0,0,IF(P53='G-1 All Habitats'!$X$3,"Any Loss Unacceptable ▲",T53-X53-Y53)))))),"Check Data ⚠")</f>
        <v/>
      </c>
      <c r="AB53" s="837"/>
      <c r="AC53" s="119"/>
      <c r="AD53" s="528"/>
      <c r="AE53" s="120"/>
      <c r="AF53" s="687"/>
      <c r="AG53" s="744" t="str">
        <f>IF(P53="","",IF(P53='G-1 All Habitats'!$X$3,H53-V53-W53,"None"))</f>
        <v/>
      </c>
      <c r="AH53" s="744" t="str">
        <f t="shared" si="2"/>
        <v/>
      </c>
      <c r="AJ53" s="124" t="str">
        <f t="shared" si="8"/>
        <v/>
      </c>
      <c r="AK53" s="124" t="str">
        <f t="shared" si="9"/>
        <v/>
      </c>
      <c r="AL53" s="124" t="str">
        <f>IF(I53="","",IF(#REF!&gt;0,TRUE,FALSE))</f>
        <v/>
      </c>
      <c r="AM53" s="124">
        <v>43</v>
      </c>
      <c r="AN53" s="124"/>
      <c r="AO53" s="124" t="str">
        <f t="array" ref="AO53">IFERROR(INDEX($AM$11:$AM$259, MATCH(0, IF(TRUE=$AJ$11:$AJ$259, COUNTIF($AO$10:$AO52, $AM$11:$AM$259), ""), 0)),"")</f>
        <v/>
      </c>
      <c r="AP53" s="124" t="str">
        <f t="array" ref="AP53">IFERROR(INDEX($AM$11:$AM$259, MATCH(0, IF(TRUE=$AK$11:$AK$259, COUNTIF($AP$10:$AP52, $AM$11:$AM$259), ""), 0)),"")</f>
        <v/>
      </c>
      <c r="AQ53" s="124" t="str">
        <f t="array" ref="AQ53">IFERROR(INDEX($AM$11:$AM$259, MATCH(0, IF(TRUE=$AL$11:$AL$259, COUNTIF($AQ$10:$AQ52, $AM$11:$AM$259), ""), 0)),"")</f>
        <v/>
      </c>
      <c r="AU53" s="30">
        <f t="shared" si="10"/>
        <v>0</v>
      </c>
      <c r="AY53" s="374" t="str">
        <f t="shared" si="6"/>
        <v/>
      </c>
    </row>
    <row r="54" spans="1:51">
      <c r="A54" s="30" t="str">
        <f>IFERROR(INDEX('G-1 All Habitats'!$AG$3:$AG$17,MATCH(E54,'G-1 All Habitats'!$AF$3:$AF$17,0)),"")</f>
        <v/>
      </c>
      <c r="B54" s="30" t="str">
        <f>IFERROR(INDEX('G-8 Condition Look up'!$I$4:$I$135,MATCH(G54,'G-8 Condition Look up'!$A$4:$A$135,0)),"")</f>
        <v/>
      </c>
      <c r="D54" s="110">
        <v>44</v>
      </c>
      <c r="E54" s="339"/>
      <c r="F54" s="340"/>
      <c r="G54" s="295" t="str">
        <f>IFERROR(INDEX('G-1 All Habitats'!$B$3:$B$134,MATCH(F54,'G-1 All Habitats'!$A$3:$A$134,0)),"")</f>
        <v/>
      </c>
      <c r="H54" s="139"/>
      <c r="I54" s="722" t="str">
        <f>IF(G54="","",VLOOKUP(G54,'G-1 All Habitats'!$B$2:$M$134,10,FALSE))</f>
        <v/>
      </c>
      <c r="J54" s="490" t="str">
        <f>IFERROR(VLOOKUP(I54,'G-1 All Habitats'!$V$3:$W$7,2,FALSE),"")</f>
        <v/>
      </c>
      <c r="K54" s="114"/>
      <c r="L54" s="490" t="str">
        <f>IFERROR(INDEX('G-8 Condition Look up'!$A$3:$H$135,MATCH(G54,'G-8 Condition Look up'!$A$3:$A$135,0),MATCH(K54,'G-8 Condition Look up'!$A$3:$H$3,0)),"")</f>
        <v/>
      </c>
      <c r="M54" s="738"/>
      <c r="N54" s="404" t="str">
        <f>IF(M54="","",IF(VLOOKUP(M54,'G-3 Multipliers'!$L$3:$N$6,2,FALSE)=0,"Spatial Data Missing ⚠",VLOOKUP(M54,'G-3 Multipliers'!$L$3:$N$6,2,FALSE)))</f>
        <v/>
      </c>
      <c r="O54" s="452" t="str">
        <f>IF(M54="","",IF(VLOOKUP(M54,'G-3 Multipliers'!$L$3:$N$6,3,FALSE)=0,"Spatial Data Missing ⚠",VLOOKUP(M54,'G-3 Multipliers'!$L$3:$N$6,3,FALSE)))</f>
        <v/>
      </c>
      <c r="P54" s="369" t="str">
        <f>IFERROR(VLOOKUP(G54,'G-1 All Habitats'!$B$2:$M$134,12,FALSE),"")</f>
        <v/>
      </c>
      <c r="Q54" s="725" t="str">
        <f>IFERROR(IF(P54="","",IF(AND(P54='G-1 All Habitats'!$X$3,W54&gt;0),X54+(Y54*S54),IF(AND(P54='G-1 All Habitats'!$X$3,V54&gt;0),X54+(Y54*S54),IF(AND(P54='G-1 All Habitats'!$X$3,AG54&gt;0),"Any Loss Unacceptable  ⚠",IF(AND(P54='G-1 All Habitats'!$X$3,Z54&gt;0),"Any Loss Unacceptable ⚠",H54*J54*L54*O54*S54))))),"Check Data ⚠")</f>
        <v/>
      </c>
      <c r="R54" s="516"/>
      <c r="S54" s="724" t="str">
        <f>IF(R54="","",IF(VLOOKUP(R54,'G-3 Multipliers'!$S$3:$T$10,2,FALSE)=0,"Spatial Data Missing ⚠",VLOOKUP(R54,'G-3 Multipliers'!$S$3:$T$10,2,FALSE)))</f>
        <v/>
      </c>
      <c r="T54" s="376" t="str">
        <f>IFERROR(IF(P54="","",IF(AND(P54='G-1 All Habitats'!$X$3,W54&gt;0),X54+Y54,IF(AND(P54='G-1 All Habitats'!$X$3,V54&gt;0),X54+Y54,IF(AND(P54='G-1 All Habitats'!$X$3,AG54&gt;0),"Any Loss Unacceptable ⚠", IF(R54="","", IF(AND(P54='G-1 All Habitats'!$X$3,Z54&gt;0),"Any Loss Unacceptable ⚠",H54*J54*L54*O54)))))),"Check Data ⚠")</f>
        <v/>
      </c>
      <c r="U54" s="38"/>
      <c r="V54" s="54"/>
      <c r="W54" s="55"/>
      <c r="X54" s="374" t="str">
        <f t="shared" si="0"/>
        <v/>
      </c>
      <c r="Y54" s="374" t="str">
        <f t="shared" si="1"/>
        <v/>
      </c>
      <c r="Z54" s="374" t="str">
        <f>IF(E54="","",IF(H54&lt;V54+W54,"Error in Areas ▲",IF(P54&lt;&gt;'G-1 All Habitats'!$X$3,H54-V54-W54,IF(AND(P54='G-1 All Habitats'!$X$3,AB54="Yes"),"Unacceptable Loss ⚠",IF(AND(P54='G-1 All Habitats'!$X$3,AB54="No"),AG54,IF(AND(P54='G-1 All Habitats'!$X$3,AB54=""),AG54,IF(AND(P54='G-1 All Habitats'!$X$3,AG54="None",AG54),IF(AND(P54='G-1 All Habitats'!$X$3,AG54&gt;0),H54-V54-W54))))))))</f>
        <v/>
      </c>
      <c r="AA54" s="405" t="str">
        <f>IFERROR(IF(H54="","",IF(H54-V54-W54=0&lt;0,"Error in Areas ▲",IF(V54+W54&gt;H54,"Error in Areas ▲",IF(AND(P54='G-1 All Habitats'!$X$3,AB54="Yes"),"Alternative Compensation ✓",IF(Z54=0,0,IF(P54='G-1 All Habitats'!$X$3,"Any Loss Unacceptable ▲",T54-X54-Y54)))))),"Check Data ⚠")</f>
        <v/>
      </c>
      <c r="AB54" s="837"/>
      <c r="AC54" s="119"/>
      <c r="AD54" s="528"/>
      <c r="AE54" s="120"/>
      <c r="AF54" s="687"/>
      <c r="AG54" s="744" t="str">
        <f>IF(P54="","",IF(P54='G-1 All Habitats'!$X$3,H54-V54-W54,"None"))</f>
        <v/>
      </c>
      <c r="AH54" s="744" t="str">
        <f t="shared" si="2"/>
        <v/>
      </c>
      <c r="AJ54" s="124" t="str">
        <f t="shared" si="8"/>
        <v/>
      </c>
      <c r="AK54" s="124" t="str">
        <f t="shared" si="9"/>
        <v/>
      </c>
      <c r="AL54" s="124" t="str">
        <f>IF(I54="","",IF(#REF!&gt;0,TRUE,FALSE))</f>
        <v/>
      </c>
      <c r="AM54" s="124">
        <v>44</v>
      </c>
      <c r="AN54" s="124"/>
      <c r="AO54" s="124" t="str">
        <f t="array" ref="AO54">IFERROR(INDEX($AM$11:$AM$259, MATCH(0, IF(TRUE=$AJ$11:$AJ$259, COUNTIF($AO$10:$AO53, $AM$11:$AM$259), ""), 0)),"")</f>
        <v/>
      </c>
      <c r="AP54" s="124" t="str">
        <f t="array" ref="AP54">IFERROR(INDEX($AM$11:$AM$259, MATCH(0, IF(TRUE=$AK$11:$AK$259, COUNTIF($AP$10:$AP53, $AM$11:$AM$259), ""), 0)),"")</f>
        <v/>
      </c>
      <c r="AQ54" s="124" t="str">
        <f t="array" ref="AQ54">IFERROR(INDEX($AM$11:$AM$259, MATCH(0, IF(TRUE=$AL$11:$AL$259, COUNTIF($AQ$10:$AQ53, $AM$11:$AM$259), ""), 0)),"")</f>
        <v/>
      </c>
      <c r="AU54" s="30">
        <f t="shared" si="10"/>
        <v>0</v>
      </c>
      <c r="AY54" s="374" t="str">
        <f t="shared" si="6"/>
        <v/>
      </c>
    </row>
    <row r="55" spans="1:51">
      <c r="A55" s="30" t="str">
        <f>IFERROR(INDEX('G-1 All Habitats'!$AG$3:$AG$17,MATCH(E55,'G-1 All Habitats'!$AF$3:$AF$17,0)),"")</f>
        <v/>
      </c>
      <c r="B55" s="30" t="str">
        <f>IFERROR(INDEX('G-8 Condition Look up'!$I$4:$I$135,MATCH(G55,'G-8 Condition Look up'!$A$4:$A$135,0)),"")</f>
        <v/>
      </c>
      <c r="D55" s="110">
        <v>45</v>
      </c>
      <c r="E55" s="339"/>
      <c r="F55" s="340"/>
      <c r="G55" s="295" t="str">
        <f>IFERROR(INDEX('G-1 All Habitats'!$B$3:$B$134,MATCH(F55,'G-1 All Habitats'!$A$3:$A$134,0)),"")</f>
        <v/>
      </c>
      <c r="H55" s="139"/>
      <c r="I55" s="722" t="str">
        <f>IF(G55="","",VLOOKUP(G55,'G-1 All Habitats'!$B$2:$M$134,10,FALSE))</f>
        <v/>
      </c>
      <c r="J55" s="490" t="str">
        <f>IFERROR(VLOOKUP(I55,'G-1 All Habitats'!$V$3:$W$7,2,FALSE),"")</f>
        <v/>
      </c>
      <c r="K55" s="114"/>
      <c r="L55" s="490" t="str">
        <f>IFERROR(INDEX('G-8 Condition Look up'!$A$3:$H$135,MATCH(G55,'G-8 Condition Look up'!$A$3:$A$135,0),MATCH(K55,'G-8 Condition Look up'!$A$3:$H$3,0)),"")</f>
        <v/>
      </c>
      <c r="M55" s="738"/>
      <c r="N55" s="404" t="str">
        <f>IF(M55="","",IF(VLOOKUP(M55,'G-3 Multipliers'!$L$3:$N$6,2,FALSE)=0,"Spatial Data Missing ⚠",VLOOKUP(M55,'G-3 Multipliers'!$L$3:$N$6,2,FALSE)))</f>
        <v/>
      </c>
      <c r="O55" s="452" t="str">
        <f>IF(M55="","",IF(VLOOKUP(M55,'G-3 Multipliers'!$L$3:$N$6,3,FALSE)=0,"Spatial Data Missing ⚠",VLOOKUP(M55,'G-3 Multipliers'!$L$3:$N$6,3,FALSE)))</f>
        <v/>
      </c>
      <c r="P55" s="369" t="str">
        <f>IFERROR(VLOOKUP(G55,'G-1 All Habitats'!$B$2:$M$134,12,FALSE),"")</f>
        <v/>
      </c>
      <c r="Q55" s="725" t="str">
        <f>IFERROR(IF(P55="","",IF(AND(P55='G-1 All Habitats'!$X$3,W55&gt;0),X55+(Y55*S55),IF(AND(P55='G-1 All Habitats'!$X$3,V55&gt;0),X55+(Y55*S55),IF(AND(P55='G-1 All Habitats'!$X$3,AG55&gt;0),"Any Loss Unacceptable  ⚠",IF(AND(P55='G-1 All Habitats'!$X$3,Z55&gt;0),"Any Loss Unacceptable ⚠",H55*J55*L55*O55*S55))))),"Check Data ⚠")</f>
        <v/>
      </c>
      <c r="R55" s="516"/>
      <c r="S55" s="724" t="str">
        <f>IF(R55="","",IF(VLOOKUP(R55,'G-3 Multipliers'!$S$3:$T$10,2,FALSE)=0,"Spatial Data Missing ⚠",VLOOKUP(R55,'G-3 Multipliers'!$S$3:$T$10,2,FALSE)))</f>
        <v/>
      </c>
      <c r="T55" s="376" t="str">
        <f>IFERROR(IF(P55="","",IF(AND(P55='G-1 All Habitats'!$X$3,W55&gt;0),X55+Y55,IF(AND(P55='G-1 All Habitats'!$X$3,V55&gt;0),X55+Y55,IF(AND(P55='G-1 All Habitats'!$X$3,AG55&gt;0),"Any Loss Unacceptable ⚠", IF(R55="","", IF(AND(P55='G-1 All Habitats'!$X$3,Z55&gt;0),"Any Loss Unacceptable ⚠",H55*J55*L55*O55)))))),"Check Data ⚠")</f>
        <v/>
      </c>
      <c r="U55" s="38"/>
      <c r="V55" s="54"/>
      <c r="W55" s="55"/>
      <c r="X55" s="374" t="str">
        <f t="shared" si="0"/>
        <v/>
      </c>
      <c r="Y55" s="374" t="str">
        <f t="shared" si="1"/>
        <v/>
      </c>
      <c r="Z55" s="374" t="str">
        <f>IF(E55="","",IF(H55&lt;V55+W55,"Error in Areas ▲",IF(P55&lt;&gt;'G-1 All Habitats'!$X$3,H55-V55-W55,IF(AND(P55='G-1 All Habitats'!$X$3,AB55="Yes"),"Unacceptable Loss ⚠",IF(AND(P55='G-1 All Habitats'!$X$3,AB55="No"),AG55,IF(AND(P55='G-1 All Habitats'!$X$3,AB55=""),AG55,IF(AND(P55='G-1 All Habitats'!$X$3,AG55="None",AG55),IF(AND(P55='G-1 All Habitats'!$X$3,AG55&gt;0),H55-V55-W55))))))))</f>
        <v/>
      </c>
      <c r="AA55" s="405" t="str">
        <f>IFERROR(IF(H55="","",IF(H55-V55-W55=0&lt;0,"Error in Areas ▲",IF(V55+W55&gt;H55,"Error in Areas ▲",IF(AND(P55='G-1 All Habitats'!$X$3,AB55="Yes"),"Alternative Compensation ✓",IF(Z55=0,0,IF(P55='G-1 All Habitats'!$X$3,"Any Loss Unacceptable ▲",T55-X55-Y55)))))),"Check Data ⚠")</f>
        <v/>
      </c>
      <c r="AB55" s="837"/>
      <c r="AC55" s="119"/>
      <c r="AD55" s="528"/>
      <c r="AE55" s="120"/>
      <c r="AF55" s="687"/>
      <c r="AG55" s="744" t="str">
        <f>IF(P55="","",IF(P55='G-1 All Habitats'!$X$3,H55-V55-W55,"None"))</f>
        <v/>
      </c>
      <c r="AH55" s="744" t="str">
        <f t="shared" si="2"/>
        <v/>
      </c>
      <c r="AJ55" s="124" t="str">
        <f t="shared" si="8"/>
        <v/>
      </c>
      <c r="AK55" s="124" t="str">
        <f t="shared" si="9"/>
        <v/>
      </c>
      <c r="AL55" s="124" t="str">
        <f>IF(I55="","",IF(#REF!&gt;0,TRUE,FALSE))</f>
        <v/>
      </c>
      <c r="AM55" s="124">
        <v>45</v>
      </c>
      <c r="AN55" s="124"/>
      <c r="AO55" s="124" t="str">
        <f t="array" ref="AO55">IFERROR(INDEX($AM$11:$AM$259, MATCH(0, IF(TRUE=$AJ$11:$AJ$259, COUNTIF($AO$10:$AO54, $AM$11:$AM$259), ""), 0)),"")</f>
        <v/>
      </c>
      <c r="AP55" s="124" t="str">
        <f t="array" ref="AP55">IFERROR(INDEX($AM$11:$AM$259, MATCH(0, IF(TRUE=$AK$11:$AK$259, COUNTIF($AP$10:$AP54, $AM$11:$AM$259), ""), 0)),"")</f>
        <v/>
      </c>
      <c r="AQ55" s="124" t="str">
        <f t="array" ref="AQ55">IFERROR(INDEX($AM$11:$AM$259, MATCH(0, IF(TRUE=$AL$11:$AL$259, COUNTIF($AQ$10:$AQ54, $AM$11:$AM$259), ""), 0)),"")</f>
        <v/>
      </c>
      <c r="AU55" s="30">
        <f t="shared" si="10"/>
        <v>0</v>
      </c>
      <c r="AY55" s="374" t="str">
        <f t="shared" si="6"/>
        <v/>
      </c>
    </row>
    <row r="56" spans="1:51">
      <c r="A56" s="30" t="str">
        <f>IFERROR(INDEX('G-1 All Habitats'!$AG$3:$AG$17,MATCH(E56,'G-1 All Habitats'!$AF$3:$AF$17,0)),"")</f>
        <v/>
      </c>
      <c r="B56" s="30" t="str">
        <f>IFERROR(INDEX('G-8 Condition Look up'!$I$4:$I$135,MATCH(G56,'G-8 Condition Look up'!$A$4:$A$135,0)),"")</f>
        <v/>
      </c>
      <c r="D56" s="110">
        <v>46</v>
      </c>
      <c r="E56" s="339"/>
      <c r="F56" s="340"/>
      <c r="G56" s="295" t="str">
        <f>IFERROR(INDEX('G-1 All Habitats'!$B$3:$B$134,MATCH(F56,'G-1 All Habitats'!$A$3:$A$134,0)),"")</f>
        <v/>
      </c>
      <c r="H56" s="139"/>
      <c r="I56" s="722" t="str">
        <f>IF(G56="","",VLOOKUP(G56,'G-1 All Habitats'!$B$2:$M$134,10,FALSE))</f>
        <v/>
      </c>
      <c r="J56" s="490" t="str">
        <f>IFERROR(VLOOKUP(I56,'G-1 All Habitats'!$V$3:$W$7,2,FALSE),"")</f>
        <v/>
      </c>
      <c r="K56" s="114"/>
      <c r="L56" s="490" t="str">
        <f>IFERROR(INDEX('G-8 Condition Look up'!$A$3:$H$135,MATCH(G56,'G-8 Condition Look up'!$A$3:$A$135,0),MATCH(K56,'G-8 Condition Look up'!$A$3:$H$3,0)),"")</f>
        <v/>
      </c>
      <c r="M56" s="738"/>
      <c r="N56" s="404" t="str">
        <f>IF(M56="","",IF(VLOOKUP(M56,'G-3 Multipliers'!$L$3:$N$6,2,FALSE)=0,"Spatial Data Missing ⚠",VLOOKUP(M56,'G-3 Multipliers'!$L$3:$N$6,2,FALSE)))</f>
        <v/>
      </c>
      <c r="O56" s="452" t="str">
        <f>IF(M56="","",IF(VLOOKUP(M56,'G-3 Multipliers'!$L$3:$N$6,3,FALSE)=0,"Spatial Data Missing ⚠",VLOOKUP(M56,'G-3 Multipliers'!$L$3:$N$6,3,FALSE)))</f>
        <v/>
      </c>
      <c r="P56" s="369" t="str">
        <f>IFERROR(VLOOKUP(G56,'G-1 All Habitats'!$B$2:$M$134,12,FALSE),"")</f>
        <v/>
      </c>
      <c r="Q56" s="725" t="str">
        <f>IFERROR(IF(P56="","",IF(AND(P56='G-1 All Habitats'!$X$3,W56&gt;0),X56+(Y56*S56),IF(AND(P56='G-1 All Habitats'!$X$3,V56&gt;0),X56+(Y56*S56),IF(AND(P56='G-1 All Habitats'!$X$3,AG56&gt;0),"Any Loss Unacceptable  ⚠",IF(AND(P56='G-1 All Habitats'!$X$3,Z56&gt;0),"Any Loss Unacceptable ⚠",H56*J56*L56*O56*S56))))),"Check Data ⚠")</f>
        <v/>
      </c>
      <c r="R56" s="516"/>
      <c r="S56" s="724" t="str">
        <f>IF(R56="","",IF(VLOOKUP(R56,'G-3 Multipliers'!$S$3:$T$10,2,FALSE)=0,"Spatial Data Missing ⚠",VLOOKUP(R56,'G-3 Multipliers'!$S$3:$T$10,2,FALSE)))</f>
        <v/>
      </c>
      <c r="T56" s="376" t="str">
        <f>IFERROR(IF(P56="","",IF(AND(P56='G-1 All Habitats'!$X$3,W56&gt;0),X56+Y56,IF(AND(P56='G-1 All Habitats'!$X$3,V56&gt;0),X56+Y56,IF(AND(P56='G-1 All Habitats'!$X$3,AG56&gt;0),"Any Loss Unacceptable ⚠", IF(R56="","", IF(AND(P56='G-1 All Habitats'!$X$3,Z56&gt;0),"Any Loss Unacceptable ⚠",H56*J56*L56*O56)))))),"Check Data ⚠")</f>
        <v/>
      </c>
      <c r="U56" s="38"/>
      <c r="V56" s="54"/>
      <c r="W56" s="55"/>
      <c r="X56" s="374" t="str">
        <f t="shared" si="0"/>
        <v/>
      </c>
      <c r="Y56" s="374" t="str">
        <f t="shared" si="1"/>
        <v/>
      </c>
      <c r="Z56" s="374" t="str">
        <f>IF(E56="","",IF(H56&lt;V56+W56,"Error in Areas ▲",IF(P56&lt;&gt;'G-1 All Habitats'!$X$3,H56-V56-W56,IF(AND(P56='G-1 All Habitats'!$X$3,AB56="Yes"),"Unacceptable Loss ⚠",IF(AND(P56='G-1 All Habitats'!$X$3,AB56="No"),AG56,IF(AND(P56='G-1 All Habitats'!$X$3,AB56=""),AG56,IF(AND(P56='G-1 All Habitats'!$X$3,AG56="None",AG56),IF(AND(P56='G-1 All Habitats'!$X$3,AG56&gt;0),H56-V56-W56))))))))</f>
        <v/>
      </c>
      <c r="AA56" s="405" t="str">
        <f>IFERROR(IF(H56="","",IF(H56-V56-W56=0&lt;0,"Error in Areas ▲",IF(V56+W56&gt;H56,"Error in Areas ▲",IF(AND(P56='G-1 All Habitats'!$X$3,AB56="Yes"),"Alternative Compensation ✓",IF(Z56=0,0,IF(P56='G-1 All Habitats'!$X$3,"Any Loss Unacceptable ▲",T56-X56-Y56)))))),"Check Data ⚠")</f>
        <v/>
      </c>
      <c r="AB56" s="837"/>
      <c r="AC56" s="119"/>
      <c r="AD56" s="528"/>
      <c r="AE56" s="120"/>
      <c r="AF56" s="687"/>
      <c r="AG56" s="744" t="str">
        <f>IF(P56="","",IF(P56='G-1 All Habitats'!$X$3,H56-V56-W56,"None"))</f>
        <v/>
      </c>
      <c r="AH56" s="744" t="str">
        <f t="shared" si="2"/>
        <v/>
      </c>
      <c r="AJ56" s="124" t="str">
        <f t="shared" si="8"/>
        <v/>
      </c>
      <c r="AK56" s="124" t="str">
        <f t="shared" si="9"/>
        <v/>
      </c>
      <c r="AL56" s="124" t="str">
        <f>IF(I56="","",IF(#REF!&gt;0,TRUE,FALSE))</f>
        <v/>
      </c>
      <c r="AM56" s="124">
        <v>46</v>
      </c>
      <c r="AN56" s="124"/>
      <c r="AO56" s="124" t="str">
        <f t="array" ref="AO56">IFERROR(INDEX($AM$11:$AM$259, MATCH(0, IF(TRUE=$AJ$11:$AJ$259, COUNTIF($AO$10:$AO55, $AM$11:$AM$259), ""), 0)),"")</f>
        <v/>
      </c>
      <c r="AP56" s="124" t="str">
        <f t="array" ref="AP56">IFERROR(INDEX($AM$11:$AM$259, MATCH(0, IF(TRUE=$AK$11:$AK$259, COUNTIF($AP$10:$AP55, $AM$11:$AM$259), ""), 0)),"")</f>
        <v/>
      </c>
      <c r="AQ56" s="124" t="str">
        <f t="array" ref="AQ56">IFERROR(INDEX($AM$11:$AM$259, MATCH(0, IF(TRUE=$AL$11:$AL$259, COUNTIF($AQ$10:$AQ55, $AM$11:$AM$259), ""), 0)),"")</f>
        <v/>
      </c>
      <c r="AU56" s="30">
        <f t="shared" si="10"/>
        <v>0</v>
      </c>
      <c r="AY56" s="374" t="str">
        <f t="shared" si="6"/>
        <v/>
      </c>
    </row>
    <row r="57" spans="1:51">
      <c r="A57" s="30" t="str">
        <f>IFERROR(INDEX('G-1 All Habitats'!$AG$3:$AG$17,MATCH(E57,'G-1 All Habitats'!$AF$3:$AF$17,0)),"")</f>
        <v/>
      </c>
      <c r="B57" s="30" t="str">
        <f>IFERROR(INDEX('G-8 Condition Look up'!$I$4:$I$135,MATCH(G57,'G-8 Condition Look up'!$A$4:$A$135,0)),"")</f>
        <v/>
      </c>
      <c r="D57" s="110">
        <v>47</v>
      </c>
      <c r="E57" s="339"/>
      <c r="F57" s="340"/>
      <c r="G57" s="295" t="str">
        <f>IFERROR(INDEX('G-1 All Habitats'!$B$3:$B$134,MATCH(F57,'G-1 All Habitats'!$A$3:$A$134,0)),"")</f>
        <v/>
      </c>
      <c r="H57" s="139"/>
      <c r="I57" s="722" t="str">
        <f>IF(G57="","",VLOOKUP(G57,'G-1 All Habitats'!$B$2:$M$134,10,FALSE))</f>
        <v/>
      </c>
      <c r="J57" s="490" t="str">
        <f>IFERROR(VLOOKUP(I57,'G-1 All Habitats'!$V$3:$W$7,2,FALSE),"")</f>
        <v/>
      </c>
      <c r="K57" s="114"/>
      <c r="L57" s="490" t="str">
        <f>IFERROR(INDEX('G-8 Condition Look up'!$A$3:$H$135,MATCH(G57,'G-8 Condition Look up'!$A$3:$A$135,0),MATCH(K57,'G-8 Condition Look up'!$A$3:$H$3,0)),"")</f>
        <v/>
      </c>
      <c r="M57" s="738"/>
      <c r="N57" s="404" t="str">
        <f>IF(M57="","",IF(VLOOKUP(M57,'G-3 Multipliers'!$L$3:$N$6,2,FALSE)=0,"Spatial Data Missing ⚠",VLOOKUP(M57,'G-3 Multipliers'!$L$3:$N$6,2,FALSE)))</f>
        <v/>
      </c>
      <c r="O57" s="452" t="str">
        <f>IF(M57="","",IF(VLOOKUP(M57,'G-3 Multipliers'!$L$3:$N$6,3,FALSE)=0,"Spatial Data Missing ⚠",VLOOKUP(M57,'G-3 Multipliers'!$L$3:$N$6,3,FALSE)))</f>
        <v/>
      </c>
      <c r="P57" s="369" t="str">
        <f>IFERROR(VLOOKUP(G57,'G-1 All Habitats'!$B$2:$M$134,12,FALSE),"")</f>
        <v/>
      </c>
      <c r="Q57" s="725" t="str">
        <f>IFERROR(IF(P57="","",IF(AND(P57='G-1 All Habitats'!$X$3,W57&gt;0),X57+(Y57*S57),IF(AND(P57='G-1 All Habitats'!$X$3,V57&gt;0),X57+(Y57*S57),IF(AND(P57='G-1 All Habitats'!$X$3,AG57&gt;0),"Any Loss Unacceptable  ⚠",IF(AND(P57='G-1 All Habitats'!$X$3,Z57&gt;0),"Any Loss Unacceptable ⚠",H57*J57*L57*O57*S57))))),"Check Data ⚠")</f>
        <v/>
      </c>
      <c r="R57" s="516"/>
      <c r="S57" s="724" t="str">
        <f>IF(R57="","",IF(VLOOKUP(R57,'G-3 Multipliers'!$S$3:$T$10,2,FALSE)=0,"Spatial Data Missing ⚠",VLOOKUP(R57,'G-3 Multipliers'!$S$3:$T$10,2,FALSE)))</f>
        <v/>
      </c>
      <c r="T57" s="376" t="str">
        <f>IFERROR(IF(P57="","",IF(AND(P57='G-1 All Habitats'!$X$3,W57&gt;0),X57+Y57,IF(AND(P57='G-1 All Habitats'!$X$3,V57&gt;0),X57+Y57,IF(AND(P57='G-1 All Habitats'!$X$3,AG57&gt;0),"Any Loss Unacceptable ⚠", IF(R57="","", IF(AND(P57='G-1 All Habitats'!$X$3,Z57&gt;0),"Any Loss Unacceptable ⚠",H57*J57*L57*O57)))))),"Check Data ⚠")</f>
        <v/>
      </c>
      <c r="U57" s="38"/>
      <c r="V57" s="54"/>
      <c r="W57" s="55"/>
      <c r="X57" s="374" t="str">
        <f t="shared" si="0"/>
        <v/>
      </c>
      <c r="Y57" s="374" t="str">
        <f t="shared" si="1"/>
        <v/>
      </c>
      <c r="Z57" s="374" t="str">
        <f>IF(E57="","",IF(H57&lt;V57+W57,"Error in Areas ▲",IF(P57&lt;&gt;'G-1 All Habitats'!$X$3,H57-V57-W57,IF(AND(P57='G-1 All Habitats'!$X$3,AB57="Yes"),"Unacceptable Loss ⚠",IF(AND(P57='G-1 All Habitats'!$X$3,AB57="No"),AG57,IF(AND(P57='G-1 All Habitats'!$X$3,AB57=""),AG57,IF(AND(P57='G-1 All Habitats'!$X$3,AG57="None",AG57),IF(AND(P57='G-1 All Habitats'!$X$3,AG57&gt;0),H57-V57-W57))))))))</f>
        <v/>
      </c>
      <c r="AA57" s="405" t="str">
        <f>IFERROR(IF(H57="","",IF(H57-V57-W57=0&lt;0,"Error in Areas ▲",IF(V57+W57&gt;H57,"Error in Areas ▲",IF(AND(P57='G-1 All Habitats'!$X$3,AB57="Yes"),"Alternative Compensation ✓",IF(Z57=0,0,IF(P57='G-1 All Habitats'!$X$3,"Any Loss Unacceptable ▲",T57-X57-Y57)))))),"Check Data ⚠")</f>
        <v/>
      </c>
      <c r="AB57" s="837"/>
      <c r="AC57" s="119"/>
      <c r="AD57" s="528"/>
      <c r="AE57" s="120"/>
      <c r="AF57" s="687"/>
      <c r="AG57" s="744" t="str">
        <f>IF(P57="","",IF(P57='G-1 All Habitats'!$X$3,H57-V57-W57,"None"))</f>
        <v/>
      </c>
      <c r="AH57" s="744" t="str">
        <f t="shared" si="2"/>
        <v/>
      </c>
      <c r="AJ57" s="124" t="str">
        <f t="shared" si="8"/>
        <v/>
      </c>
      <c r="AK57" s="124" t="str">
        <f t="shared" si="9"/>
        <v/>
      </c>
      <c r="AL57" s="124" t="str">
        <f>IF(I57="","",IF(#REF!&gt;0,TRUE,FALSE))</f>
        <v/>
      </c>
      <c r="AM57" s="124">
        <v>47</v>
      </c>
      <c r="AN57" s="124"/>
      <c r="AO57" s="124" t="str">
        <f t="array" ref="AO57">IFERROR(INDEX($AM$11:$AM$259, MATCH(0, IF(TRUE=$AJ$11:$AJ$259, COUNTIF($AO$10:$AO56, $AM$11:$AM$259), ""), 0)),"")</f>
        <v/>
      </c>
      <c r="AP57" s="124" t="str">
        <f t="array" ref="AP57">IFERROR(INDEX($AM$11:$AM$259, MATCH(0, IF(TRUE=$AK$11:$AK$259, COUNTIF($AP$10:$AP56, $AM$11:$AM$259), ""), 0)),"")</f>
        <v/>
      </c>
      <c r="AQ57" s="124" t="str">
        <f t="array" ref="AQ57">IFERROR(INDEX($AM$11:$AM$259, MATCH(0, IF(TRUE=$AL$11:$AL$259, COUNTIF($AQ$10:$AQ56, $AM$11:$AM$259), ""), 0)),"")</f>
        <v/>
      </c>
      <c r="AU57" s="30">
        <f t="shared" si="10"/>
        <v>0</v>
      </c>
      <c r="AY57" s="374" t="str">
        <f t="shared" si="6"/>
        <v/>
      </c>
    </row>
    <row r="58" spans="1:51">
      <c r="A58" s="30" t="str">
        <f>IFERROR(INDEX('G-1 All Habitats'!$AG$3:$AG$17,MATCH(E58,'G-1 All Habitats'!$AF$3:$AF$17,0)),"")</f>
        <v/>
      </c>
      <c r="B58" s="30" t="str">
        <f>IFERROR(INDEX('G-8 Condition Look up'!$I$4:$I$135,MATCH(G58,'G-8 Condition Look up'!$A$4:$A$135,0)),"")</f>
        <v/>
      </c>
      <c r="D58" s="110">
        <v>48</v>
      </c>
      <c r="E58" s="339"/>
      <c r="F58" s="340"/>
      <c r="G58" s="295" t="str">
        <f>IFERROR(INDEX('G-1 All Habitats'!$B$3:$B$134,MATCH(F58,'G-1 All Habitats'!$A$3:$A$134,0)),"")</f>
        <v/>
      </c>
      <c r="H58" s="139"/>
      <c r="I58" s="722" t="str">
        <f>IF(G58="","",VLOOKUP(G58,'G-1 All Habitats'!$B$2:$M$134,10,FALSE))</f>
        <v/>
      </c>
      <c r="J58" s="490" t="str">
        <f>IFERROR(VLOOKUP(I58,'G-1 All Habitats'!$V$3:$W$7,2,FALSE),"")</f>
        <v/>
      </c>
      <c r="K58" s="114"/>
      <c r="L58" s="490" t="str">
        <f>IFERROR(INDEX('G-8 Condition Look up'!$A$3:$H$135,MATCH(G58,'G-8 Condition Look up'!$A$3:$A$135,0),MATCH(K58,'G-8 Condition Look up'!$A$3:$H$3,0)),"")</f>
        <v/>
      </c>
      <c r="M58" s="738"/>
      <c r="N58" s="404" t="str">
        <f>IF(M58="","",IF(VLOOKUP(M58,'G-3 Multipliers'!$L$3:$N$6,2,FALSE)=0,"Spatial Data Missing ⚠",VLOOKUP(M58,'G-3 Multipliers'!$L$3:$N$6,2,FALSE)))</f>
        <v/>
      </c>
      <c r="O58" s="452" t="str">
        <f>IF(M58="","",IF(VLOOKUP(M58,'G-3 Multipliers'!$L$3:$N$6,3,FALSE)=0,"Spatial Data Missing ⚠",VLOOKUP(M58,'G-3 Multipliers'!$L$3:$N$6,3,FALSE)))</f>
        <v/>
      </c>
      <c r="P58" s="369" t="str">
        <f>IFERROR(VLOOKUP(G58,'G-1 All Habitats'!$B$2:$M$134,12,FALSE),"")</f>
        <v/>
      </c>
      <c r="Q58" s="725" t="str">
        <f>IFERROR(IF(P58="","",IF(AND(P58='G-1 All Habitats'!$X$3,W58&gt;0),X58+(Y58*S58),IF(AND(P58='G-1 All Habitats'!$X$3,V58&gt;0),X58+(Y58*S58),IF(AND(P58='G-1 All Habitats'!$X$3,AG58&gt;0),"Any Loss Unacceptable  ⚠",IF(AND(P58='G-1 All Habitats'!$X$3,Z58&gt;0),"Any Loss Unacceptable ⚠",H58*J58*L58*O58*S58))))),"Check Data ⚠")</f>
        <v/>
      </c>
      <c r="R58" s="516"/>
      <c r="S58" s="724" t="str">
        <f>IF(R58="","",IF(VLOOKUP(R58,'G-3 Multipliers'!$S$3:$T$10,2,FALSE)=0,"Spatial Data Missing ⚠",VLOOKUP(R58,'G-3 Multipliers'!$S$3:$T$10,2,FALSE)))</f>
        <v/>
      </c>
      <c r="T58" s="376" t="str">
        <f>IFERROR(IF(P58="","",IF(AND(P58='G-1 All Habitats'!$X$3,W58&gt;0),X58+Y58,IF(AND(P58='G-1 All Habitats'!$X$3,V58&gt;0),X58+Y58,IF(AND(P58='G-1 All Habitats'!$X$3,AG58&gt;0),"Any Loss Unacceptable ⚠", IF(R58="","", IF(AND(P58='G-1 All Habitats'!$X$3,Z58&gt;0),"Any Loss Unacceptable ⚠",H58*J58*L58*O58)))))),"Check Data ⚠")</f>
        <v/>
      </c>
      <c r="U58" s="38"/>
      <c r="V58" s="54"/>
      <c r="W58" s="55"/>
      <c r="X58" s="374" t="str">
        <f t="shared" si="0"/>
        <v/>
      </c>
      <c r="Y58" s="374" t="str">
        <f t="shared" si="1"/>
        <v/>
      </c>
      <c r="Z58" s="374" t="str">
        <f>IF(E58="","",IF(H58&lt;V58+W58,"Error in Areas ▲",IF(P58&lt;&gt;'G-1 All Habitats'!$X$3,H58-V58-W58,IF(AND(P58='G-1 All Habitats'!$X$3,AB58="Yes"),"Unacceptable Loss ⚠",IF(AND(P58='G-1 All Habitats'!$X$3,AB58="No"),AG58,IF(AND(P58='G-1 All Habitats'!$X$3,AB58=""),AG58,IF(AND(P58='G-1 All Habitats'!$X$3,AG58="None",AG58),IF(AND(P58='G-1 All Habitats'!$X$3,AG58&gt;0),H58-V58-W58))))))))</f>
        <v/>
      </c>
      <c r="AA58" s="405" t="str">
        <f>IFERROR(IF(H58="","",IF(H58-V58-W58=0&lt;0,"Error in Areas ▲",IF(V58+W58&gt;H58,"Error in Areas ▲",IF(AND(P58='G-1 All Habitats'!$X$3,AB58="Yes"),"Alternative Compensation ✓",IF(Z58=0,0,IF(P58='G-1 All Habitats'!$X$3,"Any Loss Unacceptable ▲",T58-X58-Y58)))))),"Check Data ⚠")</f>
        <v/>
      </c>
      <c r="AB58" s="837"/>
      <c r="AC58" s="119"/>
      <c r="AD58" s="528"/>
      <c r="AE58" s="120"/>
      <c r="AF58" s="687"/>
      <c r="AG58" s="744" t="str">
        <f>IF(P58="","",IF(P58='G-1 All Habitats'!$X$3,H58-V58-W58,"None"))</f>
        <v/>
      </c>
      <c r="AH58" s="744" t="str">
        <f t="shared" si="2"/>
        <v/>
      </c>
      <c r="AJ58" s="124" t="str">
        <f t="shared" si="8"/>
        <v/>
      </c>
      <c r="AK58" s="124" t="str">
        <f t="shared" si="9"/>
        <v/>
      </c>
      <c r="AL58" s="124" t="str">
        <f>IF(I58="","",IF(#REF!&gt;0,TRUE,FALSE))</f>
        <v/>
      </c>
      <c r="AM58" s="124">
        <v>48</v>
      </c>
      <c r="AN58" s="124"/>
      <c r="AO58" s="124" t="str">
        <f t="array" ref="AO58">IFERROR(INDEX($AM$11:$AM$259, MATCH(0, IF(TRUE=$AJ$11:$AJ$259, COUNTIF($AO$10:$AO57, $AM$11:$AM$259), ""), 0)),"")</f>
        <v/>
      </c>
      <c r="AP58" s="124" t="str">
        <f t="array" ref="AP58">IFERROR(INDEX($AM$11:$AM$259, MATCH(0, IF(TRUE=$AK$11:$AK$259, COUNTIF($AP$10:$AP57, $AM$11:$AM$259), ""), 0)),"")</f>
        <v/>
      </c>
      <c r="AQ58" s="124" t="str">
        <f t="array" ref="AQ58">IFERROR(INDEX($AM$11:$AM$259, MATCH(0, IF(TRUE=$AL$11:$AL$259, COUNTIF($AQ$10:$AQ57, $AM$11:$AM$259), ""), 0)),"")</f>
        <v/>
      </c>
      <c r="AU58" s="30">
        <f t="shared" si="10"/>
        <v>0</v>
      </c>
      <c r="AY58" s="374" t="str">
        <f t="shared" si="6"/>
        <v/>
      </c>
    </row>
    <row r="59" spans="1:51">
      <c r="A59" s="30" t="str">
        <f>IFERROR(INDEX('G-1 All Habitats'!$AG$3:$AG$17,MATCH(E59,'G-1 All Habitats'!$AF$3:$AF$17,0)),"")</f>
        <v/>
      </c>
      <c r="B59" s="30" t="str">
        <f>IFERROR(INDEX('G-8 Condition Look up'!$I$4:$I$135,MATCH(G59,'G-8 Condition Look up'!$A$4:$A$135,0)),"")</f>
        <v/>
      </c>
      <c r="D59" s="110">
        <v>49</v>
      </c>
      <c r="E59" s="339"/>
      <c r="F59" s="340"/>
      <c r="G59" s="295" t="str">
        <f>IFERROR(INDEX('G-1 All Habitats'!$B$3:$B$134,MATCH(F59,'G-1 All Habitats'!$A$3:$A$134,0)),"")</f>
        <v/>
      </c>
      <c r="H59" s="139"/>
      <c r="I59" s="722" t="str">
        <f>IF(G59="","",VLOOKUP(G59,'G-1 All Habitats'!$B$2:$M$134,10,FALSE))</f>
        <v/>
      </c>
      <c r="J59" s="490" t="str">
        <f>IFERROR(VLOOKUP(I59,'G-1 All Habitats'!$V$3:$W$7,2,FALSE),"")</f>
        <v/>
      </c>
      <c r="K59" s="114"/>
      <c r="L59" s="490" t="str">
        <f>IFERROR(INDEX('G-8 Condition Look up'!$A$3:$H$135,MATCH(G59,'G-8 Condition Look up'!$A$3:$A$135,0),MATCH(K59,'G-8 Condition Look up'!$A$3:$H$3,0)),"")</f>
        <v/>
      </c>
      <c r="M59" s="738"/>
      <c r="N59" s="404" t="str">
        <f>IF(M59="","",IF(VLOOKUP(M59,'G-3 Multipliers'!$L$3:$N$6,2,FALSE)=0,"Spatial Data Missing ⚠",VLOOKUP(M59,'G-3 Multipliers'!$L$3:$N$6,2,FALSE)))</f>
        <v/>
      </c>
      <c r="O59" s="452" t="str">
        <f>IF(M59="","",IF(VLOOKUP(M59,'G-3 Multipliers'!$L$3:$N$6,3,FALSE)=0,"Spatial Data Missing ⚠",VLOOKUP(M59,'G-3 Multipliers'!$L$3:$N$6,3,FALSE)))</f>
        <v/>
      </c>
      <c r="P59" s="369" t="str">
        <f>IFERROR(VLOOKUP(G59,'G-1 All Habitats'!$B$2:$M$134,12,FALSE),"")</f>
        <v/>
      </c>
      <c r="Q59" s="725" t="str">
        <f>IFERROR(IF(P59="","",IF(AND(P59='G-1 All Habitats'!$X$3,W59&gt;0),X59+(Y59*S59),IF(AND(P59='G-1 All Habitats'!$X$3,V59&gt;0),X59+(Y59*S59),IF(AND(P59='G-1 All Habitats'!$X$3,AG59&gt;0),"Any Loss Unacceptable  ⚠",IF(AND(P59='G-1 All Habitats'!$X$3,Z59&gt;0),"Any Loss Unacceptable ⚠",H59*J59*L59*O59*S59))))),"Check Data ⚠")</f>
        <v/>
      </c>
      <c r="R59" s="516"/>
      <c r="S59" s="724" t="str">
        <f>IF(R59="","",IF(VLOOKUP(R59,'G-3 Multipliers'!$S$3:$T$10,2,FALSE)=0,"Spatial Data Missing ⚠",VLOOKUP(R59,'G-3 Multipliers'!$S$3:$T$10,2,FALSE)))</f>
        <v/>
      </c>
      <c r="T59" s="376" t="str">
        <f>IFERROR(IF(P59="","",IF(AND(P59='G-1 All Habitats'!$X$3,W59&gt;0),X59+Y59,IF(AND(P59='G-1 All Habitats'!$X$3,V59&gt;0),X59+Y59,IF(AND(P59='G-1 All Habitats'!$X$3,AG59&gt;0),"Any Loss Unacceptable ⚠", IF(R59="","", IF(AND(P59='G-1 All Habitats'!$X$3,Z59&gt;0),"Any Loss Unacceptable ⚠",H59*J59*L59*O59)))))),"Check Data ⚠")</f>
        <v/>
      </c>
      <c r="U59" s="38"/>
      <c r="V59" s="54"/>
      <c r="W59" s="55"/>
      <c r="X59" s="374" t="str">
        <f t="shared" si="0"/>
        <v/>
      </c>
      <c r="Y59" s="374" t="str">
        <f t="shared" si="1"/>
        <v/>
      </c>
      <c r="Z59" s="374" t="str">
        <f>IF(E59="","",IF(H59&lt;V59+W59,"Error in Areas ▲",IF(P59&lt;&gt;'G-1 All Habitats'!$X$3,H59-V59-W59,IF(AND(P59='G-1 All Habitats'!$X$3,AB59="Yes"),"Unacceptable Loss ⚠",IF(AND(P59='G-1 All Habitats'!$X$3,AB59="No"),AG59,IF(AND(P59='G-1 All Habitats'!$X$3,AB59=""),AG59,IF(AND(P59='G-1 All Habitats'!$X$3,AG59="None",AG59),IF(AND(P59='G-1 All Habitats'!$X$3,AG59&gt;0),H59-V59-W59))))))))</f>
        <v/>
      </c>
      <c r="AA59" s="405" t="str">
        <f>IFERROR(IF(H59="","",IF(H59-V59-W59=0&lt;0,"Error in Areas ▲",IF(V59+W59&gt;H59,"Error in Areas ▲",IF(AND(P59='G-1 All Habitats'!$X$3,AB59="Yes"),"Alternative Compensation ✓",IF(Z59=0,0,IF(P59='G-1 All Habitats'!$X$3,"Any Loss Unacceptable ▲",T59-X59-Y59)))))),"Check Data ⚠")</f>
        <v/>
      </c>
      <c r="AB59" s="837"/>
      <c r="AC59" s="119"/>
      <c r="AD59" s="528"/>
      <c r="AE59" s="120"/>
      <c r="AF59" s="687"/>
      <c r="AG59" s="744" t="str">
        <f>IF(P59="","",IF(P59='G-1 All Habitats'!$X$3,H59-V59-W59,"None"))</f>
        <v/>
      </c>
      <c r="AH59" s="744" t="str">
        <f t="shared" si="2"/>
        <v/>
      </c>
      <c r="AJ59" s="124" t="str">
        <f t="shared" si="8"/>
        <v/>
      </c>
      <c r="AK59" s="124" t="str">
        <f t="shared" si="9"/>
        <v/>
      </c>
      <c r="AL59" s="124" t="str">
        <f>IF(I59="","",IF(#REF!&gt;0,TRUE,FALSE))</f>
        <v/>
      </c>
      <c r="AM59" s="124">
        <v>49</v>
      </c>
      <c r="AN59" s="124"/>
      <c r="AO59" s="124" t="str">
        <f t="array" ref="AO59">IFERROR(INDEX($AM$11:$AM$259, MATCH(0, IF(TRUE=$AJ$11:$AJ$259, COUNTIF($AO$10:$AO58, $AM$11:$AM$259), ""), 0)),"")</f>
        <v/>
      </c>
      <c r="AP59" s="124" t="str">
        <f t="array" ref="AP59">IFERROR(INDEX($AM$11:$AM$259, MATCH(0, IF(TRUE=$AK$11:$AK$259, COUNTIF($AP$10:$AP58, $AM$11:$AM$259), ""), 0)),"")</f>
        <v/>
      </c>
      <c r="AQ59" s="124" t="str">
        <f t="array" ref="AQ59">IFERROR(INDEX($AM$11:$AM$259, MATCH(0, IF(TRUE=$AL$11:$AL$259, COUNTIF($AQ$10:$AQ58, $AM$11:$AM$259), ""), 0)),"")</f>
        <v/>
      </c>
      <c r="AU59" s="30">
        <f t="shared" si="10"/>
        <v>0</v>
      </c>
      <c r="AY59" s="374" t="str">
        <f t="shared" si="6"/>
        <v/>
      </c>
    </row>
    <row r="60" spans="1:51">
      <c r="A60" s="30" t="str">
        <f>IFERROR(INDEX('G-1 All Habitats'!$AG$3:$AG$17,MATCH(E60,'G-1 All Habitats'!$AF$3:$AF$17,0)),"")</f>
        <v/>
      </c>
      <c r="B60" s="30" t="str">
        <f>IFERROR(INDEX('G-8 Condition Look up'!$I$4:$I$135,MATCH(G60,'G-8 Condition Look up'!$A$4:$A$135,0)),"")</f>
        <v/>
      </c>
      <c r="D60" s="110">
        <v>50</v>
      </c>
      <c r="E60" s="339"/>
      <c r="F60" s="340"/>
      <c r="G60" s="295" t="str">
        <f>IFERROR(INDEX('G-1 All Habitats'!$B$3:$B$134,MATCH(F60,'G-1 All Habitats'!$A$3:$A$134,0)),"")</f>
        <v/>
      </c>
      <c r="H60" s="139"/>
      <c r="I60" s="722" t="str">
        <f>IF(G60="","",VLOOKUP(G60,'G-1 All Habitats'!$B$2:$M$134,10,FALSE))</f>
        <v/>
      </c>
      <c r="J60" s="490" t="str">
        <f>IFERROR(VLOOKUP(I60,'G-1 All Habitats'!$V$3:$W$7,2,FALSE),"")</f>
        <v/>
      </c>
      <c r="K60" s="114"/>
      <c r="L60" s="490" t="str">
        <f>IFERROR(INDEX('G-8 Condition Look up'!$A$3:$H$135,MATCH(G60,'G-8 Condition Look up'!$A$3:$A$135,0),MATCH(K60,'G-8 Condition Look up'!$A$3:$H$3,0)),"")</f>
        <v/>
      </c>
      <c r="M60" s="738"/>
      <c r="N60" s="404" t="str">
        <f>IF(M60="","",IF(VLOOKUP(M60,'G-3 Multipliers'!$L$3:$N$6,2,FALSE)=0,"Spatial Data Missing ⚠",VLOOKUP(M60,'G-3 Multipliers'!$L$3:$N$6,2,FALSE)))</f>
        <v/>
      </c>
      <c r="O60" s="452" t="str">
        <f>IF(M60="","",IF(VLOOKUP(M60,'G-3 Multipliers'!$L$3:$N$6,3,FALSE)=0,"Spatial Data Missing ⚠",VLOOKUP(M60,'G-3 Multipliers'!$L$3:$N$6,3,FALSE)))</f>
        <v/>
      </c>
      <c r="P60" s="369" t="str">
        <f>IFERROR(VLOOKUP(G60,'G-1 All Habitats'!$B$2:$M$134,12,FALSE),"")</f>
        <v/>
      </c>
      <c r="Q60" s="725" t="str">
        <f>IFERROR(IF(P60="","",IF(AND(P60='G-1 All Habitats'!$X$3,W60&gt;0),X60+(Y60*S60),IF(AND(P60='G-1 All Habitats'!$X$3,V60&gt;0),X60+(Y60*S60),IF(AND(P60='G-1 All Habitats'!$X$3,AG60&gt;0),"Any Loss Unacceptable  ⚠",IF(AND(P60='G-1 All Habitats'!$X$3,Z60&gt;0),"Any Loss Unacceptable ⚠",H60*J60*L60*O60*S60))))),"Check Data ⚠")</f>
        <v/>
      </c>
      <c r="R60" s="516"/>
      <c r="S60" s="724" t="str">
        <f>IF(R60="","",IF(VLOOKUP(R60,'G-3 Multipliers'!$S$3:$T$10,2,FALSE)=0,"Spatial Data Missing ⚠",VLOOKUP(R60,'G-3 Multipliers'!$S$3:$T$10,2,FALSE)))</f>
        <v/>
      </c>
      <c r="T60" s="376" t="str">
        <f>IFERROR(IF(P60="","",IF(AND(P60='G-1 All Habitats'!$X$3,W60&gt;0),X60+Y60,IF(AND(P60='G-1 All Habitats'!$X$3,V60&gt;0),X60+Y60,IF(AND(P60='G-1 All Habitats'!$X$3,AG60&gt;0),"Any Loss Unacceptable ⚠", IF(R60="","", IF(AND(P60='G-1 All Habitats'!$X$3,Z60&gt;0),"Any Loss Unacceptable ⚠",H60*J60*L60*O60)))))),"Check Data ⚠")</f>
        <v/>
      </c>
      <c r="U60" s="38"/>
      <c r="V60" s="54"/>
      <c r="W60" s="55"/>
      <c r="X60" s="374" t="str">
        <f t="shared" si="0"/>
        <v/>
      </c>
      <c r="Y60" s="374" t="str">
        <f t="shared" si="1"/>
        <v/>
      </c>
      <c r="Z60" s="374" t="str">
        <f>IF(E60="","",IF(H60&lt;V60+W60,"Error in Areas ▲",IF(P60&lt;&gt;'G-1 All Habitats'!$X$3,H60-V60-W60,IF(AND(P60='G-1 All Habitats'!$X$3,AB60="Yes"),"Unacceptable Loss ⚠",IF(AND(P60='G-1 All Habitats'!$X$3,AB60="No"),AG60,IF(AND(P60='G-1 All Habitats'!$X$3,AB60=""),AG60,IF(AND(P60='G-1 All Habitats'!$X$3,AG60="None",AG60),IF(AND(P60='G-1 All Habitats'!$X$3,AG60&gt;0),H60-V60-W60))))))))</f>
        <v/>
      </c>
      <c r="AA60" s="405" t="str">
        <f>IFERROR(IF(H60="","",IF(H60-V60-W60=0&lt;0,"Error in Areas ▲",IF(V60+W60&gt;H60,"Error in Areas ▲",IF(AND(P60='G-1 All Habitats'!$X$3,AB60="Yes"),"Alternative Compensation ✓",IF(Z60=0,0,IF(P60='G-1 All Habitats'!$X$3,"Any Loss Unacceptable ▲",T60-X60-Y60)))))),"Check Data ⚠")</f>
        <v/>
      </c>
      <c r="AB60" s="837"/>
      <c r="AC60" s="119"/>
      <c r="AD60" s="528"/>
      <c r="AE60" s="120"/>
      <c r="AF60" s="687"/>
      <c r="AG60" s="744" t="str">
        <f>IF(P60="","",IF(P60='G-1 All Habitats'!$X$3,H60-V60-W60,"None"))</f>
        <v/>
      </c>
      <c r="AH60" s="744" t="str">
        <f t="shared" si="2"/>
        <v/>
      </c>
      <c r="AJ60" s="124" t="str">
        <f t="shared" si="8"/>
        <v/>
      </c>
      <c r="AK60" s="124" t="str">
        <f t="shared" si="9"/>
        <v/>
      </c>
      <c r="AL60" s="124" t="str">
        <f>IF(I60="","",IF(#REF!&gt;0,TRUE,FALSE))</f>
        <v/>
      </c>
      <c r="AM60" s="124">
        <v>50</v>
      </c>
      <c r="AN60" s="124"/>
      <c r="AO60" s="124" t="str">
        <f t="array" ref="AO60">IFERROR(INDEX($AM$11:$AM$259, MATCH(0, IF(TRUE=$AJ$11:$AJ$259, COUNTIF($AO$10:$AO59, $AM$11:$AM$259), ""), 0)),"")</f>
        <v/>
      </c>
      <c r="AP60" s="124" t="str">
        <f t="array" ref="AP60">IFERROR(INDEX($AM$11:$AM$259, MATCH(0, IF(TRUE=$AK$11:$AK$259, COUNTIF($AP$10:$AP59, $AM$11:$AM$259), ""), 0)),"")</f>
        <v/>
      </c>
      <c r="AQ60" s="124" t="str">
        <f t="array" ref="AQ60">IFERROR(INDEX($AM$11:$AM$259, MATCH(0, IF(TRUE=$AL$11:$AL$259, COUNTIF($AQ$10:$AQ59, $AM$11:$AM$259), ""), 0)),"")</f>
        <v/>
      </c>
      <c r="AU60" s="30">
        <f t="shared" si="10"/>
        <v>0</v>
      </c>
      <c r="AY60" s="374" t="str">
        <f t="shared" si="6"/>
        <v/>
      </c>
    </row>
    <row r="61" spans="1:51">
      <c r="A61" s="30" t="str">
        <f>IFERROR(INDEX('G-1 All Habitats'!$AG$3:$AG$17,MATCH(E61,'G-1 All Habitats'!$AF$3:$AF$17,0)),"")</f>
        <v/>
      </c>
      <c r="B61" s="30" t="str">
        <f>IFERROR(INDEX('G-8 Condition Look up'!$I$4:$I$135,MATCH(G61,'G-8 Condition Look up'!$A$4:$A$135,0)),"")</f>
        <v/>
      </c>
      <c r="D61" s="110">
        <v>51</v>
      </c>
      <c r="E61" s="339"/>
      <c r="F61" s="340"/>
      <c r="G61" s="295" t="str">
        <f>IFERROR(INDEX('G-1 All Habitats'!$B$3:$B$134,MATCH(F61,'G-1 All Habitats'!$A$3:$A$134,0)),"")</f>
        <v/>
      </c>
      <c r="H61" s="139"/>
      <c r="I61" s="722" t="str">
        <f>IF(G61="","",VLOOKUP(G61,'G-1 All Habitats'!$B$2:$M$134,10,FALSE))</f>
        <v/>
      </c>
      <c r="J61" s="490" t="str">
        <f>IFERROR(VLOOKUP(I61,'G-1 All Habitats'!$V$3:$W$7,2,FALSE),"")</f>
        <v/>
      </c>
      <c r="K61" s="114"/>
      <c r="L61" s="490" t="str">
        <f>IFERROR(INDEX('G-8 Condition Look up'!$A$3:$H$135,MATCH(G61,'G-8 Condition Look up'!$A$3:$A$135,0),MATCH(K61,'G-8 Condition Look up'!$A$3:$H$3,0)),"")</f>
        <v/>
      </c>
      <c r="M61" s="738"/>
      <c r="N61" s="404" t="str">
        <f>IF(M61="","",IF(VLOOKUP(M61,'G-3 Multipliers'!$L$3:$N$6,2,FALSE)=0,"Spatial Data Missing ⚠",VLOOKUP(M61,'G-3 Multipliers'!$L$3:$N$6,2,FALSE)))</f>
        <v/>
      </c>
      <c r="O61" s="452" t="str">
        <f>IF(M61="","",IF(VLOOKUP(M61,'G-3 Multipliers'!$L$3:$N$6,3,FALSE)=0,"Spatial Data Missing ⚠",VLOOKUP(M61,'G-3 Multipliers'!$L$3:$N$6,3,FALSE)))</f>
        <v/>
      </c>
      <c r="P61" s="369" t="str">
        <f>IFERROR(VLOOKUP(G61,'G-1 All Habitats'!$B$2:$M$134,12,FALSE),"")</f>
        <v/>
      </c>
      <c r="Q61" s="725" t="str">
        <f>IFERROR(IF(P61="","",IF(AND(P61='G-1 All Habitats'!$X$3,W61&gt;0),X61+(Y61*S61),IF(AND(P61='G-1 All Habitats'!$X$3,V61&gt;0),X61+(Y61*S61),IF(AND(P61='G-1 All Habitats'!$X$3,AG61&gt;0),"Any Loss Unacceptable  ⚠",IF(AND(P61='G-1 All Habitats'!$X$3,Z61&gt;0),"Any Loss Unacceptable ⚠",H61*J61*L61*O61*S61))))),"Check Data ⚠")</f>
        <v/>
      </c>
      <c r="R61" s="516"/>
      <c r="S61" s="724" t="str">
        <f>IF(R61="","",IF(VLOOKUP(R61,'G-3 Multipliers'!$S$3:$T$10,2,FALSE)=0,"Spatial Data Missing ⚠",VLOOKUP(R61,'G-3 Multipliers'!$S$3:$T$10,2,FALSE)))</f>
        <v/>
      </c>
      <c r="T61" s="376" t="str">
        <f>IFERROR(IF(P61="","",IF(AND(P61='G-1 All Habitats'!$X$3,W61&gt;0),X61+Y61,IF(AND(P61='G-1 All Habitats'!$X$3,V61&gt;0),X61+Y61,IF(AND(P61='G-1 All Habitats'!$X$3,AG61&gt;0),"Any Loss Unacceptable ⚠", IF(R61="","", IF(AND(P61='G-1 All Habitats'!$X$3,Z61&gt;0),"Any Loss Unacceptable ⚠",H61*J61*L61*O61)))))),"Check Data ⚠")</f>
        <v/>
      </c>
      <c r="U61" s="38"/>
      <c r="V61" s="54"/>
      <c r="W61" s="55"/>
      <c r="X61" s="374" t="str">
        <f t="shared" si="0"/>
        <v/>
      </c>
      <c r="Y61" s="374" t="str">
        <f t="shared" si="1"/>
        <v/>
      </c>
      <c r="Z61" s="374" t="str">
        <f>IF(E61="","",IF(H61&lt;V61+W61,"Error in Areas ▲",IF(P61&lt;&gt;'G-1 All Habitats'!$X$3,H61-V61-W61,IF(AND(P61='G-1 All Habitats'!$X$3,AB61="Yes"),"Unacceptable Loss ⚠",IF(AND(P61='G-1 All Habitats'!$X$3,AB61="No"),AG61,IF(AND(P61='G-1 All Habitats'!$X$3,AB61=""),AG61,IF(AND(P61='G-1 All Habitats'!$X$3,AG61="None",AG61),IF(AND(P61='G-1 All Habitats'!$X$3,AG61&gt;0),H61-V61-W61))))))))</f>
        <v/>
      </c>
      <c r="AA61" s="405" t="str">
        <f>IFERROR(IF(H61="","",IF(H61-V61-W61=0&lt;0,"Error in Areas ▲",IF(V61+W61&gt;H61,"Error in Areas ▲",IF(AND(P61='G-1 All Habitats'!$X$3,AB61="Yes"),"Alternative Compensation ✓",IF(Z61=0,0,IF(P61='G-1 All Habitats'!$X$3,"Any Loss Unacceptable ▲",T61-X61-Y61)))))),"Check Data ⚠")</f>
        <v/>
      </c>
      <c r="AB61" s="837"/>
      <c r="AC61" s="119"/>
      <c r="AD61" s="528"/>
      <c r="AE61" s="120"/>
      <c r="AF61" s="687"/>
      <c r="AG61" s="744" t="str">
        <f>IF(P61="","",IF(P61='G-1 All Habitats'!$X$3,H61-V61-W61,"None"))</f>
        <v/>
      </c>
      <c r="AH61" s="744" t="str">
        <f t="shared" si="2"/>
        <v/>
      </c>
      <c r="AJ61" s="124" t="str">
        <f t="shared" si="8"/>
        <v/>
      </c>
      <c r="AK61" s="124" t="str">
        <f t="shared" si="9"/>
        <v/>
      </c>
      <c r="AL61" s="124" t="str">
        <f>IF(I61="","",IF(#REF!&gt;0,TRUE,FALSE))</f>
        <v/>
      </c>
      <c r="AM61" s="124">
        <v>51</v>
      </c>
      <c r="AN61" s="124"/>
      <c r="AO61" s="124" t="str">
        <f t="array" ref="AO61">IFERROR(INDEX($AM$11:$AM$259, MATCH(0, IF(TRUE=$AJ$11:$AJ$259, COUNTIF($AO$10:$AO60, $AM$11:$AM$259), ""), 0)),"")</f>
        <v/>
      </c>
      <c r="AP61" s="124" t="str">
        <f t="array" ref="AP61">IFERROR(INDEX($AM$11:$AM$259, MATCH(0, IF(TRUE=$AK$11:$AK$259, COUNTIF($AP$10:$AP60, $AM$11:$AM$259), ""), 0)),"")</f>
        <v/>
      </c>
      <c r="AQ61" s="124" t="str">
        <f t="array" ref="AQ61">IFERROR(INDEX($AM$11:$AM$259, MATCH(0, IF(TRUE=$AL$11:$AL$259, COUNTIF($AQ$10:$AQ60, $AM$11:$AM$259), ""), 0)),"")</f>
        <v/>
      </c>
      <c r="AU61" s="30">
        <f t="shared" si="10"/>
        <v>0</v>
      </c>
      <c r="AY61" s="374" t="str">
        <f t="shared" si="6"/>
        <v/>
      </c>
    </row>
    <row r="62" spans="1:51">
      <c r="A62" s="30" t="str">
        <f>IFERROR(INDEX('G-1 All Habitats'!$AG$3:$AG$17,MATCH(E62,'G-1 All Habitats'!$AF$3:$AF$17,0)),"")</f>
        <v/>
      </c>
      <c r="B62" s="30" t="str">
        <f>IFERROR(INDEX('G-8 Condition Look up'!$I$4:$I$135,MATCH(G62,'G-8 Condition Look up'!$A$4:$A$135,0)),"")</f>
        <v/>
      </c>
      <c r="D62" s="110">
        <v>52</v>
      </c>
      <c r="E62" s="339"/>
      <c r="F62" s="340"/>
      <c r="G62" s="295" t="str">
        <f>IFERROR(INDEX('G-1 All Habitats'!$B$3:$B$134,MATCH(F62,'G-1 All Habitats'!$A$3:$A$134,0)),"")</f>
        <v/>
      </c>
      <c r="H62" s="139"/>
      <c r="I62" s="722" t="str">
        <f>IF(G62="","",VLOOKUP(G62,'G-1 All Habitats'!$B$2:$M$134,10,FALSE))</f>
        <v/>
      </c>
      <c r="J62" s="490" t="str">
        <f>IFERROR(VLOOKUP(I62,'G-1 All Habitats'!$V$3:$W$7,2,FALSE),"")</f>
        <v/>
      </c>
      <c r="K62" s="114"/>
      <c r="L62" s="490" t="str">
        <f>IFERROR(INDEX('G-8 Condition Look up'!$A$3:$H$135,MATCH(G62,'G-8 Condition Look up'!$A$3:$A$135,0),MATCH(K62,'G-8 Condition Look up'!$A$3:$H$3,0)),"")</f>
        <v/>
      </c>
      <c r="M62" s="738"/>
      <c r="N62" s="404" t="str">
        <f>IF(M62="","",IF(VLOOKUP(M62,'G-3 Multipliers'!$L$3:$N$6,2,FALSE)=0,"Spatial Data Missing ⚠",VLOOKUP(M62,'G-3 Multipliers'!$L$3:$N$6,2,FALSE)))</f>
        <v/>
      </c>
      <c r="O62" s="452" t="str">
        <f>IF(M62="","",IF(VLOOKUP(M62,'G-3 Multipliers'!$L$3:$N$6,3,FALSE)=0,"Spatial Data Missing ⚠",VLOOKUP(M62,'G-3 Multipliers'!$L$3:$N$6,3,FALSE)))</f>
        <v/>
      </c>
      <c r="P62" s="369" t="str">
        <f>IFERROR(VLOOKUP(G62,'G-1 All Habitats'!$B$2:$M$134,12,FALSE),"")</f>
        <v/>
      </c>
      <c r="Q62" s="725" t="str">
        <f>IFERROR(IF(P62="","",IF(AND(P62='G-1 All Habitats'!$X$3,W62&gt;0),X62+(Y62*S62),IF(AND(P62='G-1 All Habitats'!$X$3,V62&gt;0),X62+(Y62*S62),IF(AND(P62='G-1 All Habitats'!$X$3,AG62&gt;0),"Any Loss Unacceptable  ⚠",IF(AND(P62='G-1 All Habitats'!$X$3,Z62&gt;0),"Any Loss Unacceptable ⚠",H62*J62*L62*O62*S62))))),"Check Data ⚠")</f>
        <v/>
      </c>
      <c r="R62" s="516"/>
      <c r="S62" s="724" t="str">
        <f>IF(R62="","",IF(VLOOKUP(R62,'G-3 Multipliers'!$S$3:$T$10,2,FALSE)=0,"Spatial Data Missing ⚠",VLOOKUP(R62,'G-3 Multipliers'!$S$3:$T$10,2,FALSE)))</f>
        <v/>
      </c>
      <c r="T62" s="376" t="str">
        <f>IFERROR(IF(P62="","",IF(AND(P62='G-1 All Habitats'!$X$3,W62&gt;0),X62+Y62,IF(AND(P62='G-1 All Habitats'!$X$3,V62&gt;0),X62+Y62,IF(AND(P62='G-1 All Habitats'!$X$3,AG62&gt;0),"Any Loss Unacceptable ⚠", IF(R62="","", IF(AND(P62='G-1 All Habitats'!$X$3,Z62&gt;0),"Any Loss Unacceptable ⚠",H62*J62*L62*O62)))))),"Check Data ⚠")</f>
        <v/>
      </c>
      <c r="U62" s="38"/>
      <c r="V62" s="54"/>
      <c r="W62" s="55"/>
      <c r="X62" s="374" t="str">
        <f t="shared" si="0"/>
        <v/>
      </c>
      <c r="Y62" s="374" t="str">
        <f t="shared" si="1"/>
        <v/>
      </c>
      <c r="Z62" s="374" t="str">
        <f>IF(E62="","",IF(H62&lt;V62+W62,"Error in Areas ▲",IF(P62&lt;&gt;'G-1 All Habitats'!$X$3,H62-V62-W62,IF(AND(P62='G-1 All Habitats'!$X$3,AB62="Yes"),"Unacceptable Loss ⚠",IF(AND(P62='G-1 All Habitats'!$X$3,AB62="No"),AG62,IF(AND(P62='G-1 All Habitats'!$X$3,AB62=""),AG62,IF(AND(P62='G-1 All Habitats'!$X$3,AG62="None",AG62),IF(AND(P62='G-1 All Habitats'!$X$3,AG62&gt;0),H62-V62-W62))))))))</f>
        <v/>
      </c>
      <c r="AA62" s="405" t="str">
        <f>IFERROR(IF(H62="","",IF(H62-V62-W62=0&lt;0,"Error in Areas ▲",IF(V62+W62&gt;H62,"Error in Areas ▲",IF(AND(P62='G-1 All Habitats'!$X$3,AB62="Yes"),"Alternative Compensation ✓",IF(Z62=0,0,IF(P62='G-1 All Habitats'!$X$3,"Any Loss Unacceptable ▲",T62-X62-Y62)))))),"Check Data ⚠")</f>
        <v/>
      </c>
      <c r="AB62" s="837"/>
      <c r="AC62" s="119"/>
      <c r="AD62" s="528"/>
      <c r="AE62" s="120"/>
      <c r="AF62" s="687"/>
      <c r="AG62" s="744" t="str">
        <f>IF(P62="","",IF(P62='G-1 All Habitats'!$X$3,H62-V62-W62,"None"))</f>
        <v/>
      </c>
      <c r="AH62" s="744" t="str">
        <f t="shared" si="2"/>
        <v/>
      </c>
      <c r="AJ62" s="124" t="str">
        <f t="shared" si="8"/>
        <v/>
      </c>
      <c r="AK62" s="124" t="str">
        <f t="shared" si="9"/>
        <v/>
      </c>
      <c r="AL62" s="124" t="str">
        <f>IF(I62="","",IF(#REF!&gt;0,TRUE,FALSE))</f>
        <v/>
      </c>
      <c r="AM62" s="124">
        <v>52</v>
      </c>
      <c r="AN62" s="124"/>
      <c r="AO62" s="124" t="str">
        <f t="array" ref="AO62">IFERROR(INDEX($AM$11:$AM$259, MATCH(0, IF(TRUE=$AJ$11:$AJ$259, COUNTIF($AO$10:$AO61, $AM$11:$AM$259), ""), 0)),"")</f>
        <v/>
      </c>
      <c r="AP62" s="124" t="str">
        <f t="array" ref="AP62">IFERROR(INDEX($AM$11:$AM$259, MATCH(0, IF(TRUE=$AK$11:$AK$259, COUNTIF($AP$10:$AP61, $AM$11:$AM$259), ""), 0)),"")</f>
        <v/>
      </c>
      <c r="AQ62" s="124" t="str">
        <f t="array" ref="AQ62">IFERROR(INDEX($AM$11:$AM$259, MATCH(0, IF(TRUE=$AL$11:$AL$259, COUNTIF($AQ$10:$AQ61, $AM$11:$AM$259), ""), 0)),"")</f>
        <v/>
      </c>
      <c r="AU62" s="30">
        <f t="shared" si="10"/>
        <v>0</v>
      </c>
      <c r="AY62" s="374" t="str">
        <f t="shared" si="6"/>
        <v/>
      </c>
    </row>
    <row r="63" spans="1:51">
      <c r="A63" s="30" t="str">
        <f>IFERROR(INDEX('G-1 All Habitats'!$AG$3:$AG$17,MATCH(E63,'G-1 All Habitats'!$AF$3:$AF$17,0)),"")</f>
        <v/>
      </c>
      <c r="B63" s="30" t="str">
        <f>IFERROR(INDEX('G-8 Condition Look up'!$I$4:$I$135,MATCH(G63,'G-8 Condition Look up'!$A$4:$A$135,0)),"")</f>
        <v/>
      </c>
      <c r="D63" s="110">
        <v>53</v>
      </c>
      <c r="E63" s="339"/>
      <c r="F63" s="340"/>
      <c r="G63" s="295" t="str">
        <f>IFERROR(INDEX('G-1 All Habitats'!$B$3:$B$134,MATCH(F63,'G-1 All Habitats'!$A$3:$A$134,0)),"")</f>
        <v/>
      </c>
      <c r="H63" s="139"/>
      <c r="I63" s="722" t="str">
        <f>IF(G63="","",VLOOKUP(G63,'G-1 All Habitats'!$B$2:$M$134,10,FALSE))</f>
        <v/>
      </c>
      <c r="J63" s="490" t="str">
        <f>IFERROR(VLOOKUP(I63,'G-1 All Habitats'!$V$3:$W$7,2,FALSE),"")</f>
        <v/>
      </c>
      <c r="K63" s="114"/>
      <c r="L63" s="490" t="str">
        <f>IFERROR(INDEX('G-8 Condition Look up'!$A$3:$H$135,MATCH(G63,'G-8 Condition Look up'!$A$3:$A$135,0),MATCH(K63,'G-8 Condition Look up'!$A$3:$H$3,0)),"")</f>
        <v/>
      </c>
      <c r="M63" s="738"/>
      <c r="N63" s="404" t="str">
        <f>IF(M63="","",IF(VLOOKUP(M63,'G-3 Multipliers'!$L$3:$N$6,2,FALSE)=0,"Spatial Data Missing ⚠",VLOOKUP(M63,'G-3 Multipliers'!$L$3:$N$6,2,FALSE)))</f>
        <v/>
      </c>
      <c r="O63" s="452" t="str">
        <f>IF(M63="","",IF(VLOOKUP(M63,'G-3 Multipliers'!$L$3:$N$6,3,FALSE)=0,"Spatial Data Missing ⚠",VLOOKUP(M63,'G-3 Multipliers'!$L$3:$N$6,3,FALSE)))</f>
        <v/>
      </c>
      <c r="P63" s="369" t="str">
        <f>IFERROR(VLOOKUP(G63,'G-1 All Habitats'!$B$2:$M$134,12,FALSE),"")</f>
        <v/>
      </c>
      <c r="Q63" s="725" t="str">
        <f>IFERROR(IF(P63="","",IF(AND(P63='G-1 All Habitats'!$X$3,W63&gt;0),X63+(Y63*S63),IF(AND(P63='G-1 All Habitats'!$X$3,V63&gt;0),X63+(Y63*S63),IF(AND(P63='G-1 All Habitats'!$X$3,AG63&gt;0),"Any Loss Unacceptable  ⚠",IF(AND(P63='G-1 All Habitats'!$X$3,Z63&gt;0),"Any Loss Unacceptable ⚠",H63*J63*L63*O63*S63))))),"Check Data ⚠")</f>
        <v/>
      </c>
      <c r="R63" s="516"/>
      <c r="S63" s="724" t="str">
        <f>IF(R63="","",IF(VLOOKUP(R63,'G-3 Multipliers'!$S$3:$T$10,2,FALSE)=0,"Spatial Data Missing ⚠",VLOOKUP(R63,'G-3 Multipliers'!$S$3:$T$10,2,FALSE)))</f>
        <v/>
      </c>
      <c r="T63" s="376" t="str">
        <f>IFERROR(IF(P63="","",IF(AND(P63='G-1 All Habitats'!$X$3,W63&gt;0),X63+Y63,IF(AND(P63='G-1 All Habitats'!$X$3,V63&gt;0),X63+Y63,IF(AND(P63='G-1 All Habitats'!$X$3,AG63&gt;0),"Any Loss Unacceptable ⚠", IF(R63="","", IF(AND(P63='G-1 All Habitats'!$X$3,Z63&gt;0),"Any Loss Unacceptable ⚠",H63*J63*L63*O63)))))),"Check Data ⚠")</f>
        <v/>
      </c>
      <c r="U63" s="38"/>
      <c r="V63" s="54"/>
      <c r="W63" s="55"/>
      <c r="X63" s="374" t="str">
        <f t="shared" si="0"/>
        <v/>
      </c>
      <c r="Y63" s="374" t="str">
        <f t="shared" si="1"/>
        <v/>
      </c>
      <c r="Z63" s="374" t="str">
        <f>IF(E63="","",IF(H63&lt;V63+W63,"Error in Areas ▲",IF(P63&lt;&gt;'G-1 All Habitats'!$X$3,H63-V63-W63,IF(AND(P63='G-1 All Habitats'!$X$3,AB63="Yes"),"Unacceptable Loss ⚠",IF(AND(P63='G-1 All Habitats'!$X$3,AB63="No"),AG63,IF(AND(P63='G-1 All Habitats'!$X$3,AB63=""),AG63,IF(AND(P63='G-1 All Habitats'!$X$3,AG63="None",AG63),IF(AND(P63='G-1 All Habitats'!$X$3,AG63&gt;0),H63-V63-W63))))))))</f>
        <v/>
      </c>
      <c r="AA63" s="405" t="str">
        <f>IFERROR(IF(H63="","",IF(H63-V63-W63=0&lt;0,"Error in Areas ▲",IF(V63+W63&gt;H63,"Error in Areas ▲",IF(AND(P63='G-1 All Habitats'!$X$3,AB63="Yes"),"Alternative Compensation ✓",IF(Z63=0,0,IF(P63='G-1 All Habitats'!$X$3,"Any Loss Unacceptable ▲",T63-X63-Y63)))))),"Check Data ⚠")</f>
        <v/>
      </c>
      <c r="AB63" s="837"/>
      <c r="AC63" s="119"/>
      <c r="AD63" s="528"/>
      <c r="AE63" s="120"/>
      <c r="AF63" s="687"/>
      <c r="AG63" s="744" t="str">
        <f>IF(P63="","",IF(P63='G-1 All Habitats'!$X$3,H63-V63-W63,"None"))</f>
        <v/>
      </c>
      <c r="AH63" s="744" t="str">
        <f t="shared" si="2"/>
        <v/>
      </c>
      <c r="AJ63" s="124" t="str">
        <f t="shared" si="8"/>
        <v/>
      </c>
      <c r="AK63" s="124" t="str">
        <f t="shared" si="9"/>
        <v/>
      </c>
      <c r="AL63" s="124" t="str">
        <f>IF(I63="","",IF(#REF!&gt;0,TRUE,FALSE))</f>
        <v/>
      </c>
      <c r="AM63" s="124">
        <v>53</v>
      </c>
      <c r="AN63" s="124"/>
      <c r="AO63" s="124" t="str">
        <f t="array" ref="AO63">IFERROR(INDEX($AM$11:$AM$259, MATCH(0, IF(TRUE=$AJ$11:$AJ$259, COUNTIF($AO$10:$AO62, $AM$11:$AM$259), ""), 0)),"")</f>
        <v/>
      </c>
      <c r="AP63" s="124" t="str">
        <f t="array" ref="AP63">IFERROR(INDEX($AM$11:$AM$259, MATCH(0, IF(TRUE=$AK$11:$AK$259, COUNTIF($AP$10:$AP62, $AM$11:$AM$259), ""), 0)),"")</f>
        <v/>
      </c>
      <c r="AQ63" s="124" t="str">
        <f t="array" ref="AQ63">IFERROR(INDEX($AM$11:$AM$259, MATCH(0, IF(TRUE=$AL$11:$AL$259, COUNTIF($AQ$10:$AQ62, $AM$11:$AM$259), ""), 0)),"")</f>
        <v/>
      </c>
      <c r="AU63" s="30">
        <f t="shared" si="10"/>
        <v>0</v>
      </c>
      <c r="AY63" s="374" t="str">
        <f t="shared" si="6"/>
        <v/>
      </c>
    </row>
    <row r="64" spans="1:51">
      <c r="A64" s="30" t="str">
        <f>IFERROR(INDEX('G-1 All Habitats'!$AG$3:$AG$17,MATCH(E64,'G-1 All Habitats'!$AF$3:$AF$17,0)),"")</f>
        <v/>
      </c>
      <c r="B64" s="30" t="str">
        <f>IFERROR(INDEX('G-8 Condition Look up'!$I$4:$I$135,MATCH(G64,'G-8 Condition Look up'!$A$4:$A$135,0)),"")</f>
        <v/>
      </c>
      <c r="D64" s="110">
        <v>54</v>
      </c>
      <c r="E64" s="339"/>
      <c r="F64" s="340"/>
      <c r="G64" s="295" t="str">
        <f>IFERROR(INDEX('G-1 All Habitats'!$B$3:$B$134,MATCH(F64,'G-1 All Habitats'!$A$3:$A$134,0)),"")</f>
        <v/>
      </c>
      <c r="H64" s="139"/>
      <c r="I64" s="722" t="str">
        <f>IF(G64="","",VLOOKUP(G64,'G-1 All Habitats'!$B$2:$M$134,10,FALSE))</f>
        <v/>
      </c>
      <c r="J64" s="490" t="str">
        <f>IFERROR(VLOOKUP(I64,'G-1 All Habitats'!$V$3:$W$7,2,FALSE),"")</f>
        <v/>
      </c>
      <c r="K64" s="114"/>
      <c r="L64" s="490" t="str">
        <f>IFERROR(INDEX('G-8 Condition Look up'!$A$3:$H$135,MATCH(G64,'G-8 Condition Look up'!$A$3:$A$135,0),MATCH(K64,'G-8 Condition Look up'!$A$3:$H$3,0)),"")</f>
        <v/>
      </c>
      <c r="M64" s="738"/>
      <c r="N64" s="404" t="str">
        <f>IF(M64="","",IF(VLOOKUP(M64,'G-3 Multipliers'!$L$3:$N$6,2,FALSE)=0,"Spatial Data Missing ⚠",VLOOKUP(M64,'G-3 Multipliers'!$L$3:$N$6,2,FALSE)))</f>
        <v/>
      </c>
      <c r="O64" s="452" t="str">
        <f>IF(M64="","",IF(VLOOKUP(M64,'G-3 Multipliers'!$L$3:$N$6,3,FALSE)=0,"Spatial Data Missing ⚠",VLOOKUP(M64,'G-3 Multipliers'!$L$3:$N$6,3,FALSE)))</f>
        <v/>
      </c>
      <c r="P64" s="369" t="str">
        <f>IFERROR(VLOOKUP(G64,'G-1 All Habitats'!$B$2:$M$134,12,FALSE),"")</f>
        <v/>
      </c>
      <c r="Q64" s="725" t="str">
        <f>IFERROR(IF(P64="","",IF(AND(P64='G-1 All Habitats'!$X$3,W64&gt;0),X64+(Y64*S64),IF(AND(P64='G-1 All Habitats'!$X$3,V64&gt;0),X64+(Y64*S64),IF(AND(P64='G-1 All Habitats'!$X$3,AG64&gt;0),"Any Loss Unacceptable  ⚠",IF(AND(P64='G-1 All Habitats'!$X$3,Z64&gt;0),"Any Loss Unacceptable ⚠",H64*J64*L64*O64*S64))))),"Check Data ⚠")</f>
        <v/>
      </c>
      <c r="R64" s="516"/>
      <c r="S64" s="724" t="str">
        <f>IF(R64="","",IF(VLOOKUP(R64,'G-3 Multipliers'!$S$3:$T$10,2,FALSE)=0,"Spatial Data Missing ⚠",VLOOKUP(R64,'G-3 Multipliers'!$S$3:$T$10,2,FALSE)))</f>
        <v/>
      </c>
      <c r="T64" s="376" t="str">
        <f>IFERROR(IF(P64="","",IF(AND(P64='G-1 All Habitats'!$X$3,W64&gt;0),X64+Y64,IF(AND(P64='G-1 All Habitats'!$X$3,V64&gt;0),X64+Y64,IF(AND(P64='G-1 All Habitats'!$X$3,AG64&gt;0),"Any Loss Unacceptable ⚠", IF(R64="","", IF(AND(P64='G-1 All Habitats'!$X$3,Z64&gt;0),"Any Loss Unacceptable ⚠",H64*J64*L64*O64)))))),"Check Data ⚠")</f>
        <v/>
      </c>
      <c r="U64" s="38"/>
      <c r="V64" s="54"/>
      <c r="W64" s="55"/>
      <c r="X64" s="374" t="str">
        <f t="shared" si="0"/>
        <v/>
      </c>
      <c r="Y64" s="374" t="str">
        <f t="shared" si="1"/>
        <v/>
      </c>
      <c r="Z64" s="374" t="str">
        <f>IF(E64="","",IF(H64&lt;V64+W64,"Error in Areas ▲",IF(P64&lt;&gt;'G-1 All Habitats'!$X$3,H64-V64-W64,IF(AND(P64='G-1 All Habitats'!$X$3,AB64="Yes"),"Unacceptable Loss ⚠",IF(AND(P64='G-1 All Habitats'!$X$3,AB64="No"),AG64,IF(AND(P64='G-1 All Habitats'!$X$3,AB64=""),AG64,IF(AND(P64='G-1 All Habitats'!$X$3,AG64="None",AG64),IF(AND(P64='G-1 All Habitats'!$X$3,AG64&gt;0),H64-V64-W64))))))))</f>
        <v/>
      </c>
      <c r="AA64" s="405" t="str">
        <f>IFERROR(IF(H64="","",IF(H64-V64-W64=0&lt;0,"Error in Areas ▲",IF(V64+W64&gt;H64,"Error in Areas ▲",IF(AND(P64='G-1 All Habitats'!$X$3,AB64="Yes"),"Alternative Compensation ✓",IF(Z64=0,0,IF(P64='G-1 All Habitats'!$X$3,"Any Loss Unacceptable ▲",T64-X64-Y64)))))),"Check Data ⚠")</f>
        <v/>
      </c>
      <c r="AB64" s="837"/>
      <c r="AC64" s="119"/>
      <c r="AD64" s="528"/>
      <c r="AE64" s="120"/>
      <c r="AF64" s="687"/>
      <c r="AG64" s="744" t="str">
        <f>IF(P64="","",IF(P64='G-1 All Habitats'!$X$3,H64-V64-W64,"None"))</f>
        <v/>
      </c>
      <c r="AH64" s="744" t="str">
        <f t="shared" si="2"/>
        <v/>
      </c>
      <c r="AJ64" s="124" t="str">
        <f t="shared" si="8"/>
        <v/>
      </c>
      <c r="AK64" s="124" t="str">
        <f t="shared" si="9"/>
        <v/>
      </c>
      <c r="AL64" s="124" t="str">
        <f>IF(I64="","",IF(#REF!&gt;0,TRUE,FALSE))</f>
        <v/>
      </c>
      <c r="AM64" s="124">
        <v>54</v>
      </c>
      <c r="AN64" s="124"/>
      <c r="AO64" s="124" t="str">
        <f t="array" ref="AO64">IFERROR(INDEX($AM$11:$AM$259, MATCH(0, IF(TRUE=$AJ$11:$AJ$259, COUNTIF($AO$10:$AO63, $AM$11:$AM$259), ""), 0)),"")</f>
        <v/>
      </c>
      <c r="AP64" s="124" t="str">
        <f t="array" ref="AP64">IFERROR(INDEX($AM$11:$AM$259, MATCH(0, IF(TRUE=$AK$11:$AK$259, COUNTIF($AP$10:$AP63, $AM$11:$AM$259), ""), 0)),"")</f>
        <v/>
      </c>
      <c r="AQ64" s="124" t="str">
        <f t="array" ref="AQ64">IFERROR(INDEX($AM$11:$AM$259, MATCH(0, IF(TRUE=$AL$11:$AL$259, COUNTIF($AQ$10:$AQ63, $AM$11:$AM$259), ""), 0)),"")</f>
        <v/>
      </c>
      <c r="AU64" s="30">
        <f t="shared" si="10"/>
        <v>0</v>
      </c>
      <c r="AY64" s="374" t="str">
        <f t="shared" si="6"/>
        <v/>
      </c>
    </row>
    <row r="65" spans="1:51">
      <c r="A65" s="30" t="str">
        <f>IFERROR(INDEX('G-1 All Habitats'!$AG$3:$AG$17,MATCH(E65,'G-1 All Habitats'!$AF$3:$AF$17,0)),"")</f>
        <v/>
      </c>
      <c r="B65" s="30" t="str">
        <f>IFERROR(INDEX('G-8 Condition Look up'!$I$4:$I$135,MATCH(G65,'G-8 Condition Look up'!$A$4:$A$135,0)),"")</f>
        <v/>
      </c>
      <c r="D65" s="110">
        <v>55</v>
      </c>
      <c r="E65" s="339"/>
      <c r="F65" s="340"/>
      <c r="G65" s="295" t="str">
        <f>IFERROR(INDEX('G-1 All Habitats'!$B$3:$B$134,MATCH(F65,'G-1 All Habitats'!$A$3:$A$134,0)),"")</f>
        <v/>
      </c>
      <c r="H65" s="139"/>
      <c r="I65" s="722" t="str">
        <f>IF(G65="","",VLOOKUP(G65,'G-1 All Habitats'!$B$2:$M$134,10,FALSE))</f>
        <v/>
      </c>
      <c r="J65" s="490" t="str">
        <f>IFERROR(VLOOKUP(I65,'G-1 All Habitats'!$V$3:$W$7,2,FALSE),"")</f>
        <v/>
      </c>
      <c r="K65" s="114"/>
      <c r="L65" s="490" t="str">
        <f>IFERROR(INDEX('G-8 Condition Look up'!$A$3:$H$135,MATCH(G65,'G-8 Condition Look up'!$A$3:$A$135,0),MATCH(K65,'G-8 Condition Look up'!$A$3:$H$3,0)),"")</f>
        <v/>
      </c>
      <c r="M65" s="738"/>
      <c r="N65" s="404" t="str">
        <f>IF(M65="","",IF(VLOOKUP(M65,'G-3 Multipliers'!$L$3:$N$6,2,FALSE)=0,"Spatial Data Missing ⚠",VLOOKUP(M65,'G-3 Multipliers'!$L$3:$N$6,2,FALSE)))</f>
        <v/>
      </c>
      <c r="O65" s="452" t="str">
        <f>IF(M65="","",IF(VLOOKUP(M65,'G-3 Multipliers'!$L$3:$N$6,3,FALSE)=0,"Spatial Data Missing ⚠",VLOOKUP(M65,'G-3 Multipliers'!$L$3:$N$6,3,FALSE)))</f>
        <v/>
      </c>
      <c r="P65" s="369" t="str">
        <f>IFERROR(VLOOKUP(G65,'G-1 All Habitats'!$B$2:$M$134,12,FALSE),"")</f>
        <v/>
      </c>
      <c r="Q65" s="725" t="str">
        <f>IFERROR(IF(P65="","",IF(AND(P65='G-1 All Habitats'!$X$3,W65&gt;0),X65+(Y65*S65),IF(AND(P65='G-1 All Habitats'!$X$3,V65&gt;0),X65+(Y65*S65),IF(AND(P65='G-1 All Habitats'!$X$3,AG65&gt;0),"Any Loss Unacceptable  ⚠",IF(AND(P65='G-1 All Habitats'!$X$3,Z65&gt;0),"Any Loss Unacceptable ⚠",H65*J65*L65*O65*S65))))),"Check Data ⚠")</f>
        <v/>
      </c>
      <c r="R65" s="516"/>
      <c r="S65" s="724" t="str">
        <f>IF(R65="","",IF(VLOOKUP(R65,'G-3 Multipliers'!$S$3:$T$10,2,FALSE)=0,"Spatial Data Missing ⚠",VLOOKUP(R65,'G-3 Multipliers'!$S$3:$T$10,2,FALSE)))</f>
        <v/>
      </c>
      <c r="T65" s="376" t="str">
        <f>IFERROR(IF(P65="","",IF(AND(P65='G-1 All Habitats'!$X$3,W65&gt;0),X65+Y65,IF(AND(P65='G-1 All Habitats'!$X$3,V65&gt;0),X65+Y65,IF(AND(P65='G-1 All Habitats'!$X$3,AG65&gt;0),"Any Loss Unacceptable ⚠", IF(R65="","", IF(AND(P65='G-1 All Habitats'!$X$3,Z65&gt;0),"Any Loss Unacceptable ⚠",H65*J65*L65*O65)))))),"Check Data ⚠")</f>
        <v/>
      </c>
      <c r="U65" s="38"/>
      <c r="V65" s="54"/>
      <c r="W65" s="55"/>
      <c r="X65" s="374" t="str">
        <f t="shared" si="0"/>
        <v/>
      </c>
      <c r="Y65" s="374" t="str">
        <f t="shared" si="1"/>
        <v/>
      </c>
      <c r="Z65" s="374" t="str">
        <f>IF(E65="","",IF(H65&lt;V65+W65,"Error in Areas ▲",IF(P65&lt;&gt;'G-1 All Habitats'!$X$3,H65-V65-W65,IF(AND(P65='G-1 All Habitats'!$X$3,AB65="Yes"),"Unacceptable Loss ⚠",IF(AND(P65='G-1 All Habitats'!$X$3,AB65="No"),AG65,IF(AND(P65='G-1 All Habitats'!$X$3,AB65=""),AG65,IF(AND(P65='G-1 All Habitats'!$X$3,AG65="None",AG65),IF(AND(P65='G-1 All Habitats'!$X$3,AG65&gt;0),H65-V65-W65))))))))</f>
        <v/>
      </c>
      <c r="AA65" s="405" t="str">
        <f>IFERROR(IF(H65="","",IF(H65-V65-W65=0&lt;0,"Error in Areas ▲",IF(V65+W65&gt;H65,"Error in Areas ▲",IF(AND(P65='G-1 All Habitats'!$X$3,AB65="Yes"),"Alternative Compensation ✓",IF(Z65=0,0,IF(P65='G-1 All Habitats'!$X$3,"Any Loss Unacceptable ▲",T65-X65-Y65)))))),"Check Data ⚠")</f>
        <v/>
      </c>
      <c r="AB65" s="837"/>
      <c r="AC65" s="119"/>
      <c r="AD65" s="528"/>
      <c r="AE65" s="120"/>
      <c r="AF65" s="687"/>
      <c r="AG65" s="744" t="str">
        <f>IF(P65="","",IF(P65='G-1 All Habitats'!$X$3,H65-V65-W65,"None"))</f>
        <v/>
      </c>
      <c r="AH65" s="744" t="str">
        <f t="shared" si="2"/>
        <v/>
      </c>
      <c r="AJ65" s="124" t="str">
        <f t="shared" si="8"/>
        <v/>
      </c>
      <c r="AK65" s="124" t="str">
        <f t="shared" si="9"/>
        <v/>
      </c>
      <c r="AL65" s="124" t="str">
        <f>IF(I65="","",IF(#REF!&gt;0,TRUE,FALSE))</f>
        <v/>
      </c>
      <c r="AM65" s="124">
        <v>55</v>
      </c>
      <c r="AN65" s="124"/>
      <c r="AO65" s="124" t="str">
        <f t="array" ref="AO65">IFERROR(INDEX($AM$11:$AM$259, MATCH(0, IF(TRUE=$AJ$11:$AJ$259, COUNTIF($AO$10:$AO64, $AM$11:$AM$259), ""), 0)),"")</f>
        <v/>
      </c>
      <c r="AP65" s="124" t="str">
        <f t="array" ref="AP65">IFERROR(INDEX($AM$11:$AM$259, MATCH(0, IF(TRUE=$AK$11:$AK$259, COUNTIF($AP$10:$AP64, $AM$11:$AM$259), ""), 0)),"")</f>
        <v/>
      </c>
      <c r="AQ65" s="124" t="str">
        <f t="array" ref="AQ65">IFERROR(INDEX($AM$11:$AM$259, MATCH(0, IF(TRUE=$AL$11:$AL$259, COUNTIF($AQ$10:$AQ64, $AM$11:$AM$259), ""), 0)),"")</f>
        <v/>
      </c>
      <c r="AU65" s="30">
        <f t="shared" si="10"/>
        <v>0</v>
      </c>
      <c r="AY65" s="374" t="str">
        <f t="shared" si="6"/>
        <v/>
      </c>
    </row>
    <row r="66" spans="1:51">
      <c r="A66" s="30" t="str">
        <f>IFERROR(INDEX('G-1 All Habitats'!$AG$3:$AG$17,MATCH(E66,'G-1 All Habitats'!$AF$3:$AF$17,0)),"")</f>
        <v/>
      </c>
      <c r="B66" s="30" t="str">
        <f>IFERROR(INDEX('G-8 Condition Look up'!$I$4:$I$135,MATCH(G66,'G-8 Condition Look up'!$A$4:$A$135,0)),"")</f>
        <v/>
      </c>
      <c r="D66" s="110">
        <v>56</v>
      </c>
      <c r="E66" s="339"/>
      <c r="F66" s="340"/>
      <c r="G66" s="295" t="str">
        <f>IFERROR(INDEX('G-1 All Habitats'!$B$3:$B$134,MATCH(F66,'G-1 All Habitats'!$A$3:$A$134,0)),"")</f>
        <v/>
      </c>
      <c r="H66" s="139"/>
      <c r="I66" s="722" t="str">
        <f>IF(G66="","",VLOOKUP(G66,'G-1 All Habitats'!$B$2:$M$134,10,FALSE))</f>
        <v/>
      </c>
      <c r="J66" s="490" t="str">
        <f>IFERROR(VLOOKUP(I66,'G-1 All Habitats'!$V$3:$W$7,2,FALSE),"")</f>
        <v/>
      </c>
      <c r="K66" s="114"/>
      <c r="L66" s="490" t="str">
        <f>IFERROR(INDEX('G-8 Condition Look up'!$A$3:$H$135,MATCH(G66,'G-8 Condition Look up'!$A$3:$A$135,0),MATCH(K66,'G-8 Condition Look up'!$A$3:$H$3,0)),"")</f>
        <v/>
      </c>
      <c r="M66" s="738"/>
      <c r="N66" s="404" t="str">
        <f>IF(M66="","",IF(VLOOKUP(M66,'G-3 Multipliers'!$L$3:$N$6,2,FALSE)=0,"Spatial Data Missing ⚠",VLOOKUP(M66,'G-3 Multipliers'!$L$3:$N$6,2,FALSE)))</f>
        <v/>
      </c>
      <c r="O66" s="452" t="str">
        <f>IF(M66="","",IF(VLOOKUP(M66,'G-3 Multipliers'!$L$3:$N$6,3,FALSE)=0,"Spatial Data Missing ⚠",VLOOKUP(M66,'G-3 Multipliers'!$L$3:$N$6,3,FALSE)))</f>
        <v/>
      </c>
      <c r="P66" s="369" t="str">
        <f>IFERROR(VLOOKUP(G66,'G-1 All Habitats'!$B$2:$M$134,12,FALSE),"")</f>
        <v/>
      </c>
      <c r="Q66" s="725" t="str">
        <f>IFERROR(IF(P66="","",IF(AND(P66='G-1 All Habitats'!$X$3,W66&gt;0),X66+(Y66*S66),IF(AND(P66='G-1 All Habitats'!$X$3,V66&gt;0),X66+(Y66*S66),IF(AND(P66='G-1 All Habitats'!$X$3,AG66&gt;0),"Any Loss Unacceptable  ⚠",IF(AND(P66='G-1 All Habitats'!$X$3,Z66&gt;0),"Any Loss Unacceptable ⚠",H66*J66*L66*O66*S66))))),"Check Data ⚠")</f>
        <v/>
      </c>
      <c r="R66" s="516"/>
      <c r="S66" s="724" t="str">
        <f>IF(R66="","",IF(VLOOKUP(R66,'G-3 Multipliers'!$S$3:$T$10,2,FALSE)=0,"Spatial Data Missing ⚠",VLOOKUP(R66,'G-3 Multipliers'!$S$3:$T$10,2,FALSE)))</f>
        <v/>
      </c>
      <c r="T66" s="376" t="str">
        <f>IFERROR(IF(P66="","",IF(AND(P66='G-1 All Habitats'!$X$3,W66&gt;0),X66+Y66,IF(AND(P66='G-1 All Habitats'!$X$3,V66&gt;0),X66+Y66,IF(AND(P66='G-1 All Habitats'!$X$3,AG66&gt;0),"Any Loss Unacceptable ⚠", IF(R66="","", IF(AND(P66='G-1 All Habitats'!$X$3,Z66&gt;0),"Any Loss Unacceptable ⚠",H66*J66*L66*O66)))))),"Check Data ⚠")</f>
        <v/>
      </c>
      <c r="U66" s="38"/>
      <c r="V66" s="54"/>
      <c r="W66" s="55"/>
      <c r="X66" s="374" t="str">
        <f t="shared" si="0"/>
        <v/>
      </c>
      <c r="Y66" s="374" t="str">
        <f t="shared" si="1"/>
        <v/>
      </c>
      <c r="Z66" s="374" t="str">
        <f>IF(E66="","",IF(H66&lt;V66+W66,"Error in Areas ▲",IF(P66&lt;&gt;'G-1 All Habitats'!$X$3,H66-V66-W66,IF(AND(P66='G-1 All Habitats'!$X$3,AB66="Yes"),"Unacceptable Loss ⚠",IF(AND(P66='G-1 All Habitats'!$X$3,AB66="No"),AG66,IF(AND(P66='G-1 All Habitats'!$X$3,AB66=""),AG66,IF(AND(P66='G-1 All Habitats'!$X$3,AG66="None",AG66),IF(AND(P66='G-1 All Habitats'!$X$3,AG66&gt;0),H66-V66-W66))))))))</f>
        <v/>
      </c>
      <c r="AA66" s="405" t="str">
        <f>IFERROR(IF(H66="","",IF(H66-V66-W66=0&lt;0,"Error in Areas ▲",IF(V66+W66&gt;H66,"Error in Areas ▲",IF(AND(P66='G-1 All Habitats'!$X$3,AB66="Yes"),"Alternative Compensation ✓",IF(Z66=0,0,IF(P66='G-1 All Habitats'!$X$3,"Any Loss Unacceptable ▲",T66-X66-Y66)))))),"Check Data ⚠")</f>
        <v/>
      </c>
      <c r="AB66" s="837"/>
      <c r="AC66" s="119"/>
      <c r="AD66" s="528"/>
      <c r="AE66" s="120"/>
      <c r="AF66" s="687"/>
      <c r="AG66" s="744" t="str">
        <f>IF(P66="","",IF(P66='G-1 All Habitats'!$X$3,H66-V66-W66,"None"))</f>
        <v/>
      </c>
      <c r="AH66" s="744" t="str">
        <f t="shared" si="2"/>
        <v/>
      </c>
      <c r="AJ66" s="124" t="str">
        <f t="shared" si="8"/>
        <v/>
      </c>
      <c r="AK66" s="124" t="str">
        <f t="shared" si="9"/>
        <v/>
      </c>
      <c r="AL66" s="124" t="str">
        <f>IF(I66="","",IF(#REF!&gt;0,TRUE,FALSE))</f>
        <v/>
      </c>
      <c r="AM66" s="124">
        <v>56</v>
      </c>
      <c r="AN66" s="124"/>
      <c r="AO66" s="124" t="str">
        <f t="array" ref="AO66">IFERROR(INDEX($AM$11:$AM$259, MATCH(0, IF(TRUE=$AJ$11:$AJ$259, COUNTIF($AO$10:$AO65, $AM$11:$AM$259), ""), 0)),"")</f>
        <v/>
      </c>
      <c r="AP66" s="124" t="str">
        <f t="array" ref="AP66">IFERROR(INDEX($AM$11:$AM$259, MATCH(0, IF(TRUE=$AK$11:$AK$259, COUNTIF($AP$10:$AP65, $AM$11:$AM$259), ""), 0)),"")</f>
        <v/>
      </c>
      <c r="AQ66" s="124" t="str">
        <f t="array" ref="AQ66">IFERROR(INDEX($AM$11:$AM$259, MATCH(0, IF(TRUE=$AL$11:$AL$259, COUNTIF($AQ$10:$AQ65, $AM$11:$AM$259), ""), 0)),"")</f>
        <v/>
      </c>
      <c r="AU66" s="30">
        <f t="shared" si="10"/>
        <v>0</v>
      </c>
      <c r="AY66" s="374" t="str">
        <f t="shared" si="6"/>
        <v/>
      </c>
    </row>
    <row r="67" spans="1:51">
      <c r="A67" s="30" t="str">
        <f>IFERROR(INDEX('G-1 All Habitats'!$AG$3:$AG$17,MATCH(E67,'G-1 All Habitats'!$AF$3:$AF$17,0)),"")</f>
        <v/>
      </c>
      <c r="B67" s="30" t="str">
        <f>IFERROR(INDEX('G-8 Condition Look up'!$I$4:$I$135,MATCH(G67,'G-8 Condition Look up'!$A$4:$A$135,0)),"")</f>
        <v/>
      </c>
      <c r="D67" s="110">
        <v>57</v>
      </c>
      <c r="E67" s="339"/>
      <c r="F67" s="340"/>
      <c r="G67" s="295" t="str">
        <f>IFERROR(INDEX('G-1 All Habitats'!$B$3:$B$134,MATCH(F67,'G-1 All Habitats'!$A$3:$A$134,0)),"")</f>
        <v/>
      </c>
      <c r="H67" s="139"/>
      <c r="I67" s="722" t="str">
        <f>IF(G67="","",VLOOKUP(G67,'G-1 All Habitats'!$B$2:$M$134,10,FALSE))</f>
        <v/>
      </c>
      <c r="J67" s="490" t="str">
        <f>IFERROR(VLOOKUP(I67,'G-1 All Habitats'!$V$3:$W$7,2,FALSE),"")</f>
        <v/>
      </c>
      <c r="K67" s="114"/>
      <c r="L67" s="490" t="str">
        <f>IFERROR(INDEX('G-8 Condition Look up'!$A$3:$H$135,MATCH(G67,'G-8 Condition Look up'!$A$3:$A$135,0),MATCH(K67,'G-8 Condition Look up'!$A$3:$H$3,0)),"")</f>
        <v/>
      </c>
      <c r="M67" s="738"/>
      <c r="N67" s="404" t="str">
        <f>IF(M67="","",IF(VLOOKUP(M67,'G-3 Multipliers'!$L$3:$N$6,2,FALSE)=0,"Spatial Data Missing ⚠",VLOOKUP(M67,'G-3 Multipliers'!$L$3:$N$6,2,FALSE)))</f>
        <v/>
      </c>
      <c r="O67" s="452" t="str">
        <f>IF(M67="","",IF(VLOOKUP(M67,'G-3 Multipliers'!$L$3:$N$6,3,FALSE)=0,"Spatial Data Missing ⚠",VLOOKUP(M67,'G-3 Multipliers'!$L$3:$N$6,3,FALSE)))</f>
        <v/>
      </c>
      <c r="P67" s="369" t="str">
        <f>IFERROR(VLOOKUP(G67,'G-1 All Habitats'!$B$2:$M$134,12,FALSE),"")</f>
        <v/>
      </c>
      <c r="Q67" s="725" t="str">
        <f>IFERROR(IF(P67="","",IF(AND(P67='G-1 All Habitats'!$X$3,W67&gt;0),X67+(Y67*S67),IF(AND(P67='G-1 All Habitats'!$X$3,V67&gt;0),X67+(Y67*S67),IF(AND(P67='G-1 All Habitats'!$X$3,AG67&gt;0),"Any Loss Unacceptable  ⚠",IF(AND(P67='G-1 All Habitats'!$X$3,Z67&gt;0),"Any Loss Unacceptable ⚠",H67*J67*L67*O67*S67))))),"Check Data ⚠")</f>
        <v/>
      </c>
      <c r="R67" s="516"/>
      <c r="S67" s="724" t="str">
        <f>IF(R67="","",IF(VLOOKUP(R67,'G-3 Multipliers'!$S$3:$T$10,2,FALSE)=0,"Spatial Data Missing ⚠",VLOOKUP(R67,'G-3 Multipliers'!$S$3:$T$10,2,FALSE)))</f>
        <v/>
      </c>
      <c r="T67" s="376" t="str">
        <f>IFERROR(IF(P67="","",IF(AND(P67='G-1 All Habitats'!$X$3,W67&gt;0),X67+Y67,IF(AND(P67='G-1 All Habitats'!$X$3,V67&gt;0),X67+Y67,IF(AND(P67='G-1 All Habitats'!$X$3,AG67&gt;0),"Any Loss Unacceptable ⚠", IF(R67="","", IF(AND(P67='G-1 All Habitats'!$X$3,Z67&gt;0),"Any Loss Unacceptable ⚠",H67*J67*L67*O67)))))),"Check Data ⚠")</f>
        <v/>
      </c>
      <c r="U67" s="38"/>
      <c r="V67" s="54"/>
      <c r="W67" s="55"/>
      <c r="X67" s="374" t="str">
        <f t="shared" si="0"/>
        <v/>
      </c>
      <c r="Y67" s="374" t="str">
        <f t="shared" si="1"/>
        <v/>
      </c>
      <c r="Z67" s="374" t="str">
        <f>IF(E67="","",IF(H67&lt;V67+W67,"Error in Areas ▲",IF(P67&lt;&gt;'G-1 All Habitats'!$X$3,H67-V67-W67,IF(AND(P67='G-1 All Habitats'!$X$3,AB67="Yes"),"Unacceptable Loss ⚠",IF(AND(P67='G-1 All Habitats'!$X$3,AB67="No"),AG67,IF(AND(P67='G-1 All Habitats'!$X$3,AB67=""),AG67,IF(AND(P67='G-1 All Habitats'!$X$3,AG67="None",AG67),IF(AND(P67='G-1 All Habitats'!$X$3,AG67&gt;0),H67-V67-W67))))))))</f>
        <v/>
      </c>
      <c r="AA67" s="405" t="str">
        <f>IFERROR(IF(H67="","",IF(H67-V67-W67=0&lt;0,"Error in Areas ▲",IF(V67+W67&gt;H67,"Error in Areas ▲",IF(AND(P67='G-1 All Habitats'!$X$3,AB67="Yes"),"Alternative Compensation ✓",IF(Z67=0,0,IF(P67='G-1 All Habitats'!$X$3,"Any Loss Unacceptable ▲",T67-X67-Y67)))))),"Check Data ⚠")</f>
        <v/>
      </c>
      <c r="AB67" s="837"/>
      <c r="AC67" s="119"/>
      <c r="AD67" s="528"/>
      <c r="AE67" s="120"/>
      <c r="AF67" s="687"/>
      <c r="AG67" s="744" t="str">
        <f>IF(P67="","",IF(P67='G-1 All Habitats'!$X$3,H67-V67-W67,"None"))</f>
        <v/>
      </c>
      <c r="AH67" s="744" t="str">
        <f t="shared" si="2"/>
        <v/>
      </c>
      <c r="AJ67" s="124" t="str">
        <f t="shared" si="8"/>
        <v/>
      </c>
      <c r="AK67" s="124" t="str">
        <f t="shared" si="9"/>
        <v/>
      </c>
      <c r="AL67" s="124" t="str">
        <f>IF(I67="","",IF(#REF!&gt;0,TRUE,FALSE))</f>
        <v/>
      </c>
      <c r="AM67" s="124">
        <v>57</v>
      </c>
      <c r="AN67" s="124"/>
      <c r="AO67" s="124" t="str">
        <f t="array" ref="AO67">IFERROR(INDEX($AM$11:$AM$259, MATCH(0, IF(TRUE=$AJ$11:$AJ$259, COUNTIF($AO$10:$AO66, $AM$11:$AM$259), ""), 0)),"")</f>
        <v/>
      </c>
      <c r="AP67" s="124" t="str">
        <f t="array" ref="AP67">IFERROR(INDEX($AM$11:$AM$259, MATCH(0, IF(TRUE=$AK$11:$AK$259, COUNTIF($AP$10:$AP66, $AM$11:$AM$259), ""), 0)),"")</f>
        <v/>
      </c>
      <c r="AQ67" s="124" t="str">
        <f t="array" ref="AQ67">IFERROR(INDEX($AM$11:$AM$259, MATCH(0, IF(TRUE=$AL$11:$AL$259, COUNTIF($AQ$10:$AQ66, $AM$11:$AM$259), ""), 0)),"")</f>
        <v/>
      </c>
      <c r="AU67" s="30">
        <f t="shared" si="10"/>
        <v>0</v>
      </c>
      <c r="AY67" s="374" t="str">
        <f t="shared" si="6"/>
        <v/>
      </c>
    </row>
    <row r="68" spans="1:51">
      <c r="A68" s="30" t="str">
        <f>IFERROR(INDEX('G-1 All Habitats'!$AG$3:$AG$17,MATCH(E68,'G-1 All Habitats'!$AF$3:$AF$17,0)),"")</f>
        <v/>
      </c>
      <c r="B68" s="30" t="str">
        <f>IFERROR(INDEX('G-8 Condition Look up'!$I$4:$I$135,MATCH(G68,'G-8 Condition Look up'!$A$4:$A$135,0)),"")</f>
        <v/>
      </c>
      <c r="D68" s="110">
        <v>58</v>
      </c>
      <c r="E68" s="339"/>
      <c r="F68" s="340"/>
      <c r="G68" s="295" t="str">
        <f>IFERROR(INDEX('G-1 All Habitats'!$B$3:$B$134,MATCH(F68,'G-1 All Habitats'!$A$3:$A$134,0)),"")</f>
        <v/>
      </c>
      <c r="H68" s="139"/>
      <c r="I68" s="722" t="str">
        <f>IF(G68="","",VLOOKUP(G68,'G-1 All Habitats'!$B$2:$M$134,10,FALSE))</f>
        <v/>
      </c>
      <c r="J68" s="490" t="str">
        <f>IFERROR(VLOOKUP(I68,'G-1 All Habitats'!$V$3:$W$7,2,FALSE),"")</f>
        <v/>
      </c>
      <c r="K68" s="114"/>
      <c r="L68" s="490" t="str">
        <f>IFERROR(INDEX('G-8 Condition Look up'!$A$3:$H$135,MATCH(G68,'G-8 Condition Look up'!$A$3:$A$135,0),MATCH(K68,'G-8 Condition Look up'!$A$3:$H$3,0)),"")</f>
        <v/>
      </c>
      <c r="M68" s="738"/>
      <c r="N68" s="404" t="str">
        <f>IF(M68="","",IF(VLOOKUP(M68,'G-3 Multipliers'!$L$3:$N$6,2,FALSE)=0,"Spatial Data Missing ⚠",VLOOKUP(M68,'G-3 Multipliers'!$L$3:$N$6,2,FALSE)))</f>
        <v/>
      </c>
      <c r="O68" s="452" t="str">
        <f>IF(M68="","",IF(VLOOKUP(M68,'G-3 Multipliers'!$L$3:$N$6,3,FALSE)=0,"Spatial Data Missing ⚠",VLOOKUP(M68,'G-3 Multipliers'!$L$3:$N$6,3,FALSE)))</f>
        <v/>
      </c>
      <c r="P68" s="369" t="str">
        <f>IFERROR(VLOOKUP(G68,'G-1 All Habitats'!$B$2:$M$134,12,FALSE),"")</f>
        <v/>
      </c>
      <c r="Q68" s="725" t="str">
        <f>IFERROR(IF(P68="","",IF(AND(P68='G-1 All Habitats'!$X$3,W68&gt;0),X68+(Y68*S68),IF(AND(P68='G-1 All Habitats'!$X$3,V68&gt;0),X68+(Y68*S68),IF(AND(P68='G-1 All Habitats'!$X$3,AG68&gt;0),"Any Loss Unacceptable  ⚠",IF(AND(P68='G-1 All Habitats'!$X$3,Z68&gt;0),"Any Loss Unacceptable ⚠",H68*J68*L68*O68*S68))))),"Check Data ⚠")</f>
        <v/>
      </c>
      <c r="R68" s="516"/>
      <c r="S68" s="724" t="str">
        <f>IF(R68="","",IF(VLOOKUP(R68,'G-3 Multipliers'!$S$3:$T$10,2,FALSE)=0,"Spatial Data Missing ⚠",VLOOKUP(R68,'G-3 Multipliers'!$S$3:$T$10,2,FALSE)))</f>
        <v/>
      </c>
      <c r="T68" s="376" t="str">
        <f>IFERROR(IF(P68="","",IF(AND(P68='G-1 All Habitats'!$X$3,W68&gt;0),X68+Y68,IF(AND(P68='G-1 All Habitats'!$X$3,V68&gt;0),X68+Y68,IF(AND(P68='G-1 All Habitats'!$X$3,AG68&gt;0),"Any Loss Unacceptable ⚠", IF(R68="","", IF(AND(P68='G-1 All Habitats'!$X$3,Z68&gt;0),"Any Loss Unacceptable ⚠",H68*J68*L68*O68)))))),"Check Data ⚠")</f>
        <v/>
      </c>
      <c r="U68" s="38"/>
      <c r="V68" s="54"/>
      <c r="W68" s="55"/>
      <c r="X68" s="374" t="str">
        <f t="shared" si="0"/>
        <v/>
      </c>
      <c r="Y68" s="374" t="str">
        <f t="shared" si="1"/>
        <v/>
      </c>
      <c r="Z68" s="374" t="str">
        <f>IF(E68="","",IF(H68&lt;V68+W68,"Error in Areas ▲",IF(P68&lt;&gt;'G-1 All Habitats'!$X$3,H68-V68-W68,IF(AND(P68='G-1 All Habitats'!$X$3,AB68="Yes"),"Unacceptable Loss ⚠",IF(AND(P68='G-1 All Habitats'!$X$3,AB68="No"),AG68,IF(AND(P68='G-1 All Habitats'!$X$3,AB68=""),AG68,IF(AND(P68='G-1 All Habitats'!$X$3,AG68="None",AG68),IF(AND(P68='G-1 All Habitats'!$X$3,AG68&gt;0),H68-V68-W68))))))))</f>
        <v/>
      </c>
      <c r="AA68" s="405" t="str">
        <f>IFERROR(IF(H68="","",IF(H68-V68-W68=0&lt;0,"Error in Areas ▲",IF(V68+W68&gt;H68,"Error in Areas ▲",IF(AND(P68='G-1 All Habitats'!$X$3,AB68="Yes"),"Alternative Compensation ✓",IF(Z68=0,0,IF(P68='G-1 All Habitats'!$X$3,"Any Loss Unacceptable ▲",T68-X68-Y68)))))),"Check Data ⚠")</f>
        <v/>
      </c>
      <c r="AB68" s="837"/>
      <c r="AC68" s="119"/>
      <c r="AD68" s="528"/>
      <c r="AE68" s="120"/>
      <c r="AF68" s="687"/>
      <c r="AG68" s="744" t="str">
        <f>IF(P68="","",IF(P68='G-1 All Habitats'!$X$3,H68-V68-W68,"None"))</f>
        <v/>
      </c>
      <c r="AH68" s="744" t="str">
        <f t="shared" si="2"/>
        <v/>
      </c>
      <c r="AJ68" s="124" t="str">
        <f t="shared" si="8"/>
        <v/>
      </c>
      <c r="AK68" s="124" t="str">
        <f t="shared" si="9"/>
        <v/>
      </c>
      <c r="AL68" s="124" t="str">
        <f>IF(I68="","",IF(#REF!&gt;0,TRUE,FALSE))</f>
        <v/>
      </c>
      <c r="AM68" s="124">
        <v>58</v>
      </c>
      <c r="AN68" s="124"/>
      <c r="AO68" s="124" t="str">
        <f t="array" ref="AO68">IFERROR(INDEX($AM$11:$AM$259, MATCH(0, IF(TRUE=$AJ$11:$AJ$259, COUNTIF($AO$10:$AO67, $AM$11:$AM$259), ""), 0)),"")</f>
        <v/>
      </c>
      <c r="AP68" s="124" t="str">
        <f t="array" ref="AP68">IFERROR(INDEX($AM$11:$AM$259, MATCH(0, IF(TRUE=$AK$11:$AK$259, COUNTIF($AP$10:$AP67, $AM$11:$AM$259), ""), 0)),"")</f>
        <v/>
      </c>
      <c r="AQ68" s="124" t="str">
        <f t="array" ref="AQ68">IFERROR(INDEX($AM$11:$AM$259, MATCH(0, IF(TRUE=$AL$11:$AL$259, COUNTIF($AQ$10:$AQ67, $AM$11:$AM$259), ""), 0)),"")</f>
        <v/>
      </c>
      <c r="AU68" s="30">
        <f t="shared" si="10"/>
        <v>0</v>
      </c>
      <c r="AY68" s="374" t="str">
        <f t="shared" si="6"/>
        <v/>
      </c>
    </row>
    <row r="69" spans="1:51">
      <c r="A69" s="30" t="str">
        <f>IFERROR(INDEX('G-1 All Habitats'!$AG$3:$AG$17,MATCH(E69,'G-1 All Habitats'!$AF$3:$AF$17,0)),"")</f>
        <v/>
      </c>
      <c r="B69" s="30" t="str">
        <f>IFERROR(INDEX('G-8 Condition Look up'!$I$4:$I$135,MATCH(G69,'G-8 Condition Look up'!$A$4:$A$135,0)),"")</f>
        <v/>
      </c>
      <c r="D69" s="110">
        <v>59</v>
      </c>
      <c r="E69" s="339"/>
      <c r="F69" s="340"/>
      <c r="G69" s="295" t="str">
        <f>IFERROR(INDEX('G-1 All Habitats'!$B$3:$B$134,MATCH(F69,'G-1 All Habitats'!$A$3:$A$134,0)),"")</f>
        <v/>
      </c>
      <c r="H69" s="139"/>
      <c r="I69" s="722" t="str">
        <f>IF(G69="","",VLOOKUP(G69,'G-1 All Habitats'!$B$2:$M$134,10,FALSE))</f>
        <v/>
      </c>
      <c r="J69" s="490" t="str">
        <f>IFERROR(VLOOKUP(I69,'G-1 All Habitats'!$V$3:$W$7,2,FALSE),"")</f>
        <v/>
      </c>
      <c r="K69" s="114"/>
      <c r="L69" s="490" t="str">
        <f>IFERROR(INDEX('G-8 Condition Look up'!$A$3:$H$135,MATCH(G69,'G-8 Condition Look up'!$A$3:$A$135,0),MATCH(K69,'G-8 Condition Look up'!$A$3:$H$3,0)),"")</f>
        <v/>
      </c>
      <c r="M69" s="738"/>
      <c r="N69" s="404" t="str">
        <f>IF(M69="","",IF(VLOOKUP(M69,'G-3 Multipliers'!$L$3:$N$6,2,FALSE)=0,"Spatial Data Missing ⚠",VLOOKUP(M69,'G-3 Multipliers'!$L$3:$N$6,2,FALSE)))</f>
        <v/>
      </c>
      <c r="O69" s="452" t="str">
        <f>IF(M69="","",IF(VLOOKUP(M69,'G-3 Multipliers'!$L$3:$N$6,3,FALSE)=0,"Spatial Data Missing ⚠",VLOOKUP(M69,'G-3 Multipliers'!$L$3:$N$6,3,FALSE)))</f>
        <v/>
      </c>
      <c r="P69" s="369" t="str">
        <f>IFERROR(VLOOKUP(G69,'G-1 All Habitats'!$B$2:$M$134,12,FALSE),"")</f>
        <v/>
      </c>
      <c r="Q69" s="725" t="str">
        <f>IFERROR(IF(P69="","",IF(AND(P69='G-1 All Habitats'!$X$3,W69&gt;0),X69+(Y69*S69),IF(AND(P69='G-1 All Habitats'!$X$3,V69&gt;0),X69+(Y69*S69),IF(AND(P69='G-1 All Habitats'!$X$3,AG69&gt;0),"Any Loss Unacceptable  ⚠",IF(AND(P69='G-1 All Habitats'!$X$3,Z69&gt;0),"Any Loss Unacceptable ⚠",H69*J69*L69*O69*S69))))),"Check Data ⚠")</f>
        <v/>
      </c>
      <c r="R69" s="516"/>
      <c r="S69" s="724" t="str">
        <f>IF(R69="","",IF(VLOOKUP(R69,'G-3 Multipliers'!$S$3:$T$10,2,FALSE)=0,"Spatial Data Missing ⚠",VLOOKUP(R69,'G-3 Multipliers'!$S$3:$T$10,2,FALSE)))</f>
        <v/>
      </c>
      <c r="T69" s="376" t="str">
        <f>IFERROR(IF(P69="","",IF(AND(P69='G-1 All Habitats'!$X$3,W69&gt;0),X69+Y69,IF(AND(P69='G-1 All Habitats'!$X$3,V69&gt;0),X69+Y69,IF(AND(P69='G-1 All Habitats'!$X$3,AG69&gt;0),"Any Loss Unacceptable ⚠", IF(R69="","", IF(AND(P69='G-1 All Habitats'!$X$3,Z69&gt;0),"Any Loss Unacceptable ⚠",H69*J69*L69*O69)))))),"Check Data ⚠")</f>
        <v/>
      </c>
      <c r="U69" s="38"/>
      <c r="V69" s="54"/>
      <c r="W69" s="55"/>
      <c r="X69" s="374" t="str">
        <f t="shared" si="0"/>
        <v/>
      </c>
      <c r="Y69" s="374" t="str">
        <f t="shared" si="1"/>
        <v/>
      </c>
      <c r="Z69" s="374" t="str">
        <f>IF(E69="","",IF(H69&lt;V69+W69,"Error in Areas ▲",IF(P69&lt;&gt;'G-1 All Habitats'!$X$3,H69-V69-W69,IF(AND(P69='G-1 All Habitats'!$X$3,AB69="Yes"),"Unacceptable Loss ⚠",IF(AND(P69='G-1 All Habitats'!$X$3,AB69="No"),AG69,IF(AND(P69='G-1 All Habitats'!$X$3,AB69=""),AG69,IF(AND(P69='G-1 All Habitats'!$X$3,AG69="None",AG69),IF(AND(P69='G-1 All Habitats'!$X$3,AG69&gt;0),H69-V69-W69))))))))</f>
        <v/>
      </c>
      <c r="AA69" s="405" t="str">
        <f>IFERROR(IF(H69="","",IF(H69-V69-W69=0&lt;0,"Error in Areas ▲",IF(V69+W69&gt;H69,"Error in Areas ▲",IF(AND(P69='G-1 All Habitats'!$X$3,AB69="Yes"),"Alternative Compensation ✓",IF(Z69=0,0,IF(P69='G-1 All Habitats'!$X$3,"Any Loss Unacceptable ▲",T69-X69-Y69)))))),"Check Data ⚠")</f>
        <v/>
      </c>
      <c r="AB69" s="837"/>
      <c r="AC69" s="119"/>
      <c r="AD69" s="528"/>
      <c r="AE69" s="120"/>
      <c r="AF69" s="687"/>
      <c r="AG69" s="744" t="str">
        <f>IF(P69="","",IF(P69='G-1 All Habitats'!$X$3,H69-V69-W69,"None"))</f>
        <v/>
      </c>
      <c r="AH69" s="744" t="str">
        <f t="shared" si="2"/>
        <v/>
      </c>
      <c r="AJ69" s="124" t="str">
        <f t="shared" si="8"/>
        <v/>
      </c>
      <c r="AK69" s="124" t="str">
        <f t="shared" si="9"/>
        <v/>
      </c>
      <c r="AL69" s="124" t="str">
        <f>IF(I69="","",IF(#REF!&gt;0,TRUE,FALSE))</f>
        <v/>
      </c>
      <c r="AM69" s="124">
        <v>59</v>
      </c>
      <c r="AN69" s="124"/>
      <c r="AO69" s="124" t="str">
        <f t="array" ref="AO69">IFERROR(INDEX($AM$11:$AM$259, MATCH(0, IF(TRUE=$AJ$11:$AJ$259, COUNTIF($AO$10:$AO68, $AM$11:$AM$259), ""), 0)),"")</f>
        <v/>
      </c>
      <c r="AP69" s="124" t="str">
        <f t="array" ref="AP69">IFERROR(INDEX($AM$11:$AM$259, MATCH(0, IF(TRUE=$AK$11:$AK$259, COUNTIF($AP$10:$AP68, $AM$11:$AM$259), ""), 0)),"")</f>
        <v/>
      </c>
      <c r="AQ69" s="124" t="str">
        <f t="array" ref="AQ69">IFERROR(INDEX($AM$11:$AM$259, MATCH(0, IF(TRUE=$AL$11:$AL$259, COUNTIF($AQ$10:$AQ68, $AM$11:$AM$259), ""), 0)),"")</f>
        <v/>
      </c>
      <c r="AU69" s="30">
        <f t="shared" si="10"/>
        <v>0</v>
      </c>
      <c r="AY69" s="374" t="str">
        <f t="shared" si="6"/>
        <v/>
      </c>
    </row>
    <row r="70" spans="1:51">
      <c r="A70" s="30" t="str">
        <f>IFERROR(INDEX('G-1 All Habitats'!$AG$3:$AG$17,MATCH(E70,'G-1 All Habitats'!$AF$3:$AF$17,0)),"")</f>
        <v/>
      </c>
      <c r="B70" s="30" t="str">
        <f>IFERROR(INDEX('G-8 Condition Look up'!$I$4:$I$135,MATCH(G70,'G-8 Condition Look up'!$A$4:$A$135,0)),"")</f>
        <v/>
      </c>
      <c r="D70" s="110">
        <v>60</v>
      </c>
      <c r="E70" s="339"/>
      <c r="F70" s="340"/>
      <c r="G70" s="295" t="str">
        <f>IFERROR(INDEX('G-1 All Habitats'!$B$3:$B$134,MATCH(F70,'G-1 All Habitats'!$A$3:$A$134,0)),"")</f>
        <v/>
      </c>
      <c r="H70" s="139"/>
      <c r="I70" s="722" t="str">
        <f>IF(G70="","",VLOOKUP(G70,'G-1 All Habitats'!$B$2:$M$134,10,FALSE))</f>
        <v/>
      </c>
      <c r="J70" s="490" t="str">
        <f>IFERROR(VLOOKUP(I70,'G-1 All Habitats'!$V$3:$W$7,2,FALSE),"")</f>
        <v/>
      </c>
      <c r="K70" s="114"/>
      <c r="L70" s="490" t="str">
        <f>IFERROR(INDEX('G-8 Condition Look up'!$A$3:$H$135,MATCH(G70,'G-8 Condition Look up'!$A$3:$A$135,0),MATCH(K70,'G-8 Condition Look up'!$A$3:$H$3,0)),"")</f>
        <v/>
      </c>
      <c r="M70" s="738"/>
      <c r="N70" s="404" t="str">
        <f>IF(M70="","",IF(VLOOKUP(M70,'G-3 Multipliers'!$L$3:$N$6,2,FALSE)=0,"Spatial Data Missing ⚠",VLOOKUP(M70,'G-3 Multipliers'!$L$3:$N$6,2,FALSE)))</f>
        <v/>
      </c>
      <c r="O70" s="452" t="str">
        <f>IF(M70="","",IF(VLOOKUP(M70,'G-3 Multipliers'!$L$3:$N$6,3,FALSE)=0,"Spatial Data Missing ⚠",VLOOKUP(M70,'G-3 Multipliers'!$L$3:$N$6,3,FALSE)))</f>
        <v/>
      </c>
      <c r="P70" s="369" t="str">
        <f>IFERROR(VLOOKUP(G70,'G-1 All Habitats'!$B$2:$M$134,12,FALSE),"")</f>
        <v/>
      </c>
      <c r="Q70" s="725" t="str">
        <f>IFERROR(IF(P70="","",IF(AND(P70='G-1 All Habitats'!$X$3,W70&gt;0),X70+(Y70*S70),IF(AND(P70='G-1 All Habitats'!$X$3,V70&gt;0),X70+(Y70*S70),IF(AND(P70='G-1 All Habitats'!$X$3,AG70&gt;0),"Any Loss Unacceptable  ⚠",IF(AND(P70='G-1 All Habitats'!$X$3,Z70&gt;0),"Any Loss Unacceptable ⚠",H70*J70*L70*O70*S70))))),"Check Data ⚠")</f>
        <v/>
      </c>
      <c r="R70" s="516"/>
      <c r="S70" s="724" t="str">
        <f>IF(R70="","",IF(VLOOKUP(R70,'G-3 Multipliers'!$S$3:$T$10,2,FALSE)=0,"Spatial Data Missing ⚠",VLOOKUP(R70,'G-3 Multipliers'!$S$3:$T$10,2,FALSE)))</f>
        <v/>
      </c>
      <c r="T70" s="376" t="str">
        <f>IFERROR(IF(P70="","",IF(AND(P70='G-1 All Habitats'!$X$3,W70&gt;0),X70+Y70,IF(AND(P70='G-1 All Habitats'!$X$3,V70&gt;0),X70+Y70,IF(AND(P70='G-1 All Habitats'!$X$3,AG70&gt;0),"Any Loss Unacceptable ⚠", IF(R70="","", IF(AND(P70='G-1 All Habitats'!$X$3,Z70&gt;0),"Any Loss Unacceptable ⚠",H70*J70*L70*O70)))))),"Check Data ⚠")</f>
        <v/>
      </c>
      <c r="U70" s="38"/>
      <c r="V70" s="54"/>
      <c r="W70" s="55"/>
      <c r="X70" s="374" t="str">
        <f t="shared" si="0"/>
        <v/>
      </c>
      <c r="Y70" s="374" t="str">
        <f t="shared" si="1"/>
        <v/>
      </c>
      <c r="Z70" s="374" t="str">
        <f>IF(E70="","",IF(H70&lt;V70+W70,"Error in Areas ▲",IF(P70&lt;&gt;'G-1 All Habitats'!$X$3,H70-V70-W70,IF(AND(P70='G-1 All Habitats'!$X$3,AB70="Yes"),"Unacceptable Loss ⚠",IF(AND(P70='G-1 All Habitats'!$X$3,AB70="No"),AG70,IF(AND(P70='G-1 All Habitats'!$X$3,AB70=""),AG70,IF(AND(P70='G-1 All Habitats'!$X$3,AG70="None",AG70),IF(AND(P70='G-1 All Habitats'!$X$3,AG70&gt;0),H70-V70-W70))))))))</f>
        <v/>
      </c>
      <c r="AA70" s="405" t="str">
        <f>IFERROR(IF(H70="","",IF(H70-V70-W70=0&lt;0,"Error in Areas ▲",IF(V70+W70&gt;H70,"Error in Areas ▲",IF(AND(P70='G-1 All Habitats'!$X$3,AB70="Yes"),"Alternative Compensation ✓",IF(Z70=0,0,IF(P70='G-1 All Habitats'!$X$3,"Any Loss Unacceptable ▲",T70-X70-Y70)))))),"Check Data ⚠")</f>
        <v/>
      </c>
      <c r="AB70" s="837"/>
      <c r="AC70" s="119"/>
      <c r="AD70" s="528"/>
      <c r="AE70" s="120"/>
      <c r="AF70" s="687"/>
      <c r="AG70" s="744" t="str">
        <f>IF(P70="","",IF(P70='G-1 All Habitats'!$X$3,H70-V70-W70,"None"))</f>
        <v/>
      </c>
      <c r="AH70" s="744" t="str">
        <f t="shared" si="2"/>
        <v/>
      </c>
      <c r="AJ70" s="124" t="str">
        <f t="shared" si="8"/>
        <v/>
      </c>
      <c r="AK70" s="124" t="str">
        <f t="shared" si="9"/>
        <v/>
      </c>
      <c r="AL70" s="124" t="str">
        <f>IF(I70="","",IF(#REF!&gt;0,TRUE,FALSE))</f>
        <v/>
      </c>
      <c r="AM70" s="124">
        <v>60</v>
      </c>
      <c r="AN70" s="124"/>
      <c r="AO70" s="124" t="str">
        <f t="array" ref="AO70">IFERROR(INDEX($AM$11:$AM$259, MATCH(0, IF(TRUE=$AJ$11:$AJ$259, COUNTIF($AO$10:$AO69, $AM$11:$AM$259), ""), 0)),"")</f>
        <v/>
      </c>
      <c r="AP70" s="124" t="str">
        <f t="array" ref="AP70">IFERROR(INDEX($AM$11:$AM$259, MATCH(0, IF(TRUE=$AK$11:$AK$259, COUNTIF($AP$10:$AP69, $AM$11:$AM$259), ""), 0)),"")</f>
        <v/>
      </c>
      <c r="AQ70" s="124" t="str">
        <f t="array" ref="AQ70">IFERROR(INDEX($AM$11:$AM$259, MATCH(0, IF(TRUE=$AL$11:$AL$259, COUNTIF($AQ$10:$AQ69, $AM$11:$AM$259), ""), 0)),"")</f>
        <v/>
      </c>
      <c r="AU70" s="30">
        <f t="shared" si="10"/>
        <v>0</v>
      </c>
      <c r="AY70" s="374" t="str">
        <f t="shared" si="6"/>
        <v/>
      </c>
    </row>
    <row r="71" spans="1:51">
      <c r="A71" s="30" t="str">
        <f>IFERROR(INDEX('G-1 All Habitats'!$AG$3:$AG$17,MATCH(E71,'G-1 All Habitats'!$AF$3:$AF$17,0)),"")</f>
        <v/>
      </c>
      <c r="B71" s="30" t="str">
        <f>IFERROR(INDEX('G-8 Condition Look up'!$I$4:$I$135,MATCH(G71,'G-8 Condition Look up'!$A$4:$A$135,0)),"")</f>
        <v/>
      </c>
      <c r="D71" s="110">
        <v>61</v>
      </c>
      <c r="E71" s="339"/>
      <c r="F71" s="340"/>
      <c r="G71" s="295" t="str">
        <f>IFERROR(INDEX('G-1 All Habitats'!$B$3:$B$134,MATCH(F71,'G-1 All Habitats'!$A$3:$A$134,0)),"")</f>
        <v/>
      </c>
      <c r="H71" s="139"/>
      <c r="I71" s="722" t="str">
        <f>IF(G71="","",VLOOKUP(G71,'G-1 All Habitats'!$B$2:$M$134,10,FALSE))</f>
        <v/>
      </c>
      <c r="J71" s="490" t="str">
        <f>IFERROR(VLOOKUP(I71,'G-1 All Habitats'!$V$3:$W$7,2,FALSE),"")</f>
        <v/>
      </c>
      <c r="K71" s="114"/>
      <c r="L71" s="490" t="str">
        <f>IFERROR(INDEX('G-8 Condition Look up'!$A$3:$H$135,MATCH(G71,'G-8 Condition Look up'!$A$3:$A$135,0),MATCH(K71,'G-8 Condition Look up'!$A$3:$H$3,0)),"")</f>
        <v/>
      </c>
      <c r="M71" s="738"/>
      <c r="N71" s="404" t="str">
        <f>IF(M71="","",IF(VLOOKUP(M71,'G-3 Multipliers'!$L$3:$N$6,2,FALSE)=0,"Spatial Data Missing ⚠",VLOOKUP(M71,'G-3 Multipliers'!$L$3:$N$6,2,FALSE)))</f>
        <v/>
      </c>
      <c r="O71" s="452" t="str">
        <f>IF(M71="","",IF(VLOOKUP(M71,'G-3 Multipliers'!$L$3:$N$6,3,FALSE)=0,"Spatial Data Missing ⚠",VLOOKUP(M71,'G-3 Multipliers'!$L$3:$N$6,3,FALSE)))</f>
        <v/>
      </c>
      <c r="P71" s="369" t="str">
        <f>IFERROR(VLOOKUP(G71,'G-1 All Habitats'!$B$2:$M$134,12,FALSE),"")</f>
        <v/>
      </c>
      <c r="Q71" s="725" t="str">
        <f>IFERROR(IF(P71="","",IF(AND(P71='G-1 All Habitats'!$X$3,W71&gt;0),X71+(Y71*S71),IF(AND(P71='G-1 All Habitats'!$X$3,V71&gt;0),X71+(Y71*S71),IF(AND(P71='G-1 All Habitats'!$X$3,AG71&gt;0),"Any Loss Unacceptable  ⚠",IF(AND(P71='G-1 All Habitats'!$X$3,Z71&gt;0),"Any Loss Unacceptable ⚠",H71*J71*L71*O71*S71))))),"Check Data ⚠")</f>
        <v/>
      </c>
      <c r="R71" s="516"/>
      <c r="S71" s="724" t="str">
        <f>IF(R71="","",IF(VLOOKUP(R71,'G-3 Multipliers'!$S$3:$T$10,2,FALSE)=0,"Spatial Data Missing ⚠",VLOOKUP(R71,'G-3 Multipliers'!$S$3:$T$10,2,FALSE)))</f>
        <v/>
      </c>
      <c r="T71" s="376" t="str">
        <f>IFERROR(IF(P71="","",IF(AND(P71='G-1 All Habitats'!$X$3,W71&gt;0),X71+Y71,IF(AND(P71='G-1 All Habitats'!$X$3,V71&gt;0),X71+Y71,IF(AND(P71='G-1 All Habitats'!$X$3,AG71&gt;0),"Any Loss Unacceptable ⚠", IF(R71="","", IF(AND(P71='G-1 All Habitats'!$X$3,Z71&gt;0),"Any Loss Unacceptable ⚠",H71*J71*L71*O71)))))),"Check Data ⚠")</f>
        <v/>
      </c>
      <c r="U71" s="38"/>
      <c r="V71" s="54"/>
      <c r="W71" s="55"/>
      <c r="X71" s="374" t="str">
        <f t="shared" si="0"/>
        <v/>
      </c>
      <c r="Y71" s="374" t="str">
        <f t="shared" si="1"/>
        <v/>
      </c>
      <c r="Z71" s="374" t="str">
        <f>IF(E71="","",IF(H71&lt;V71+W71,"Error in Areas ▲",IF(P71&lt;&gt;'G-1 All Habitats'!$X$3,H71-V71-W71,IF(AND(P71='G-1 All Habitats'!$X$3,AB71="Yes"),"Unacceptable Loss ⚠",IF(AND(P71='G-1 All Habitats'!$X$3,AB71="No"),AG71,IF(AND(P71='G-1 All Habitats'!$X$3,AB71=""),AG71,IF(AND(P71='G-1 All Habitats'!$X$3,AG71="None",AG71),IF(AND(P71='G-1 All Habitats'!$X$3,AG71&gt;0),H71-V71-W71))))))))</f>
        <v/>
      </c>
      <c r="AA71" s="405" t="str">
        <f>IFERROR(IF(H71="","",IF(H71-V71-W71=0&lt;0,"Error in Areas ▲",IF(V71+W71&gt;H71,"Error in Areas ▲",IF(AND(P71='G-1 All Habitats'!$X$3,AB71="Yes"),"Alternative Compensation ✓",IF(Z71=0,0,IF(P71='G-1 All Habitats'!$X$3,"Any Loss Unacceptable ▲",T71-X71-Y71)))))),"Check Data ⚠")</f>
        <v/>
      </c>
      <c r="AB71" s="837"/>
      <c r="AC71" s="119"/>
      <c r="AD71" s="528"/>
      <c r="AE71" s="120"/>
      <c r="AF71" s="687"/>
      <c r="AG71" s="744" t="str">
        <f>IF(P71="","",IF(P71='G-1 All Habitats'!$X$3,H71-V71-W71,"None"))</f>
        <v/>
      </c>
      <c r="AH71" s="744" t="str">
        <f t="shared" si="2"/>
        <v/>
      </c>
      <c r="AJ71" s="124" t="str">
        <f t="shared" si="8"/>
        <v/>
      </c>
      <c r="AK71" s="124" t="str">
        <f t="shared" si="9"/>
        <v/>
      </c>
      <c r="AL71" s="124" t="str">
        <f>IF(I71="","",IF(#REF!&gt;0,TRUE,FALSE))</f>
        <v/>
      </c>
      <c r="AM71" s="124">
        <v>61</v>
      </c>
      <c r="AN71" s="124"/>
      <c r="AO71" s="124" t="str">
        <f t="array" ref="AO71">IFERROR(INDEX($AM$11:$AM$259, MATCH(0, IF(TRUE=$AJ$11:$AJ$259, COUNTIF($AO$10:$AO70, $AM$11:$AM$259), ""), 0)),"")</f>
        <v/>
      </c>
      <c r="AP71" s="124" t="str">
        <f t="array" ref="AP71">IFERROR(INDEX($AM$11:$AM$259, MATCH(0, IF(TRUE=$AK$11:$AK$259, COUNTIF($AP$10:$AP70, $AM$11:$AM$259), ""), 0)),"")</f>
        <v/>
      </c>
      <c r="AQ71" s="124" t="str">
        <f t="array" ref="AQ71">IFERROR(INDEX($AM$11:$AM$259, MATCH(0, IF(TRUE=$AL$11:$AL$259, COUNTIF($AQ$10:$AQ70, $AM$11:$AM$259), ""), 0)),"")</f>
        <v/>
      </c>
      <c r="AU71" s="30">
        <f t="shared" si="10"/>
        <v>0</v>
      </c>
      <c r="AY71" s="374" t="str">
        <f t="shared" si="6"/>
        <v/>
      </c>
    </row>
    <row r="72" spans="1:51">
      <c r="A72" s="30" t="str">
        <f>IFERROR(INDEX('G-1 All Habitats'!$AG$3:$AG$17,MATCH(E72,'G-1 All Habitats'!$AF$3:$AF$17,0)),"")</f>
        <v/>
      </c>
      <c r="B72" s="30" t="str">
        <f>IFERROR(INDEX('G-8 Condition Look up'!$I$4:$I$135,MATCH(G72,'G-8 Condition Look up'!$A$4:$A$135,0)),"")</f>
        <v/>
      </c>
      <c r="D72" s="110">
        <v>62</v>
      </c>
      <c r="E72" s="339"/>
      <c r="F72" s="340"/>
      <c r="G72" s="295" t="str">
        <f>IFERROR(INDEX('G-1 All Habitats'!$B$3:$B$134,MATCH(F72,'G-1 All Habitats'!$A$3:$A$134,0)),"")</f>
        <v/>
      </c>
      <c r="H72" s="139"/>
      <c r="I72" s="722" t="str">
        <f>IF(G72="","",VLOOKUP(G72,'G-1 All Habitats'!$B$2:$M$134,10,FALSE))</f>
        <v/>
      </c>
      <c r="J72" s="490" t="str">
        <f>IFERROR(VLOOKUP(I72,'G-1 All Habitats'!$V$3:$W$7,2,FALSE),"")</f>
        <v/>
      </c>
      <c r="K72" s="114"/>
      <c r="L72" s="490" t="str">
        <f>IFERROR(INDEX('G-8 Condition Look up'!$A$3:$H$135,MATCH(G72,'G-8 Condition Look up'!$A$3:$A$135,0),MATCH(K72,'G-8 Condition Look up'!$A$3:$H$3,0)),"")</f>
        <v/>
      </c>
      <c r="M72" s="738"/>
      <c r="N72" s="404" t="str">
        <f>IF(M72="","",IF(VLOOKUP(M72,'G-3 Multipliers'!$L$3:$N$6,2,FALSE)=0,"Spatial Data Missing ⚠",VLOOKUP(M72,'G-3 Multipliers'!$L$3:$N$6,2,FALSE)))</f>
        <v/>
      </c>
      <c r="O72" s="452" t="str">
        <f>IF(M72="","",IF(VLOOKUP(M72,'G-3 Multipliers'!$L$3:$N$6,3,FALSE)=0,"Spatial Data Missing ⚠",VLOOKUP(M72,'G-3 Multipliers'!$L$3:$N$6,3,FALSE)))</f>
        <v/>
      </c>
      <c r="P72" s="369" t="str">
        <f>IFERROR(VLOOKUP(G72,'G-1 All Habitats'!$B$2:$M$134,12,FALSE),"")</f>
        <v/>
      </c>
      <c r="Q72" s="725" t="str">
        <f>IFERROR(IF(P72="","",IF(AND(P72='G-1 All Habitats'!$X$3,W72&gt;0),X72+(Y72*S72),IF(AND(P72='G-1 All Habitats'!$X$3,V72&gt;0),X72+(Y72*S72),IF(AND(P72='G-1 All Habitats'!$X$3,AG72&gt;0),"Any Loss Unacceptable  ⚠",IF(AND(P72='G-1 All Habitats'!$X$3,Z72&gt;0),"Any Loss Unacceptable ⚠",H72*J72*L72*O72*S72))))),"Check Data ⚠")</f>
        <v/>
      </c>
      <c r="R72" s="516"/>
      <c r="S72" s="724" t="str">
        <f>IF(R72="","",IF(VLOOKUP(R72,'G-3 Multipliers'!$S$3:$T$10,2,FALSE)=0,"Spatial Data Missing ⚠",VLOOKUP(R72,'G-3 Multipliers'!$S$3:$T$10,2,FALSE)))</f>
        <v/>
      </c>
      <c r="T72" s="376" t="str">
        <f>IFERROR(IF(P72="","",IF(AND(P72='G-1 All Habitats'!$X$3,W72&gt;0),X72+Y72,IF(AND(P72='G-1 All Habitats'!$X$3,V72&gt;0),X72+Y72,IF(AND(P72='G-1 All Habitats'!$X$3,AG72&gt;0),"Any Loss Unacceptable ⚠", IF(R72="","", IF(AND(P72='G-1 All Habitats'!$X$3,Z72&gt;0),"Any Loss Unacceptable ⚠",H72*J72*L72*O72)))))),"Check Data ⚠")</f>
        <v/>
      </c>
      <c r="U72" s="38"/>
      <c r="V72" s="54"/>
      <c r="W72" s="55"/>
      <c r="X72" s="374" t="str">
        <f t="shared" si="0"/>
        <v/>
      </c>
      <c r="Y72" s="374" t="str">
        <f t="shared" si="1"/>
        <v/>
      </c>
      <c r="Z72" s="374" t="str">
        <f>IF(E72="","",IF(H72&lt;V72+W72,"Error in Areas ▲",IF(P72&lt;&gt;'G-1 All Habitats'!$X$3,H72-V72-W72,IF(AND(P72='G-1 All Habitats'!$X$3,AB72="Yes"),"Unacceptable Loss ⚠",IF(AND(P72='G-1 All Habitats'!$X$3,AB72="No"),AG72,IF(AND(P72='G-1 All Habitats'!$X$3,AB72=""),AG72,IF(AND(P72='G-1 All Habitats'!$X$3,AG72="None",AG72),IF(AND(P72='G-1 All Habitats'!$X$3,AG72&gt;0),H72-V72-W72))))))))</f>
        <v/>
      </c>
      <c r="AA72" s="405" t="str">
        <f>IFERROR(IF(H72="","",IF(H72-V72-W72=0&lt;0,"Error in Areas ▲",IF(V72+W72&gt;H72,"Error in Areas ▲",IF(AND(P72='G-1 All Habitats'!$X$3,AB72="Yes"),"Alternative Compensation ✓",IF(Z72=0,0,IF(P72='G-1 All Habitats'!$X$3,"Any Loss Unacceptable ▲",T72-X72-Y72)))))),"Check Data ⚠")</f>
        <v/>
      </c>
      <c r="AB72" s="837"/>
      <c r="AC72" s="119"/>
      <c r="AD72" s="528"/>
      <c r="AE72" s="120"/>
      <c r="AF72" s="687"/>
      <c r="AG72" s="744" t="str">
        <f>IF(P72="","",IF(P72='G-1 All Habitats'!$X$3,H72-V72-W72,"None"))</f>
        <v/>
      </c>
      <c r="AH72" s="744" t="str">
        <f t="shared" si="2"/>
        <v/>
      </c>
      <c r="AJ72" s="124" t="str">
        <f t="shared" si="8"/>
        <v/>
      </c>
      <c r="AK72" s="124" t="str">
        <f t="shared" si="9"/>
        <v/>
      </c>
      <c r="AL72" s="124" t="str">
        <f>IF(I72="","",IF(#REF!&gt;0,TRUE,FALSE))</f>
        <v/>
      </c>
      <c r="AM72" s="124">
        <v>62</v>
      </c>
      <c r="AN72" s="124"/>
      <c r="AO72" s="124" t="str">
        <f t="array" ref="AO72">IFERROR(INDEX($AM$11:$AM$259, MATCH(0, IF(TRUE=$AJ$11:$AJ$259, COUNTIF($AO$10:$AO71, $AM$11:$AM$259), ""), 0)),"")</f>
        <v/>
      </c>
      <c r="AP72" s="124" t="str">
        <f t="array" ref="AP72">IFERROR(INDEX($AM$11:$AM$259, MATCH(0, IF(TRUE=$AK$11:$AK$259, COUNTIF($AP$10:$AP71, $AM$11:$AM$259), ""), 0)),"")</f>
        <v/>
      </c>
      <c r="AQ72" s="124" t="str">
        <f t="array" ref="AQ72">IFERROR(INDEX($AM$11:$AM$259, MATCH(0, IF(TRUE=$AL$11:$AL$259, COUNTIF($AQ$10:$AQ71, $AM$11:$AM$259), ""), 0)),"")</f>
        <v/>
      </c>
      <c r="AU72" s="30">
        <f t="shared" si="10"/>
        <v>0</v>
      </c>
      <c r="AY72" s="374" t="str">
        <f t="shared" si="6"/>
        <v/>
      </c>
    </row>
    <row r="73" spans="1:51">
      <c r="A73" s="30" t="str">
        <f>IFERROR(INDEX('G-1 All Habitats'!$AG$3:$AG$17,MATCH(E73,'G-1 All Habitats'!$AF$3:$AF$17,0)),"")</f>
        <v/>
      </c>
      <c r="B73" s="30" t="str">
        <f>IFERROR(INDEX('G-8 Condition Look up'!$I$4:$I$135,MATCH(G73,'G-8 Condition Look up'!$A$4:$A$135,0)),"")</f>
        <v/>
      </c>
      <c r="D73" s="110">
        <v>63</v>
      </c>
      <c r="E73" s="339"/>
      <c r="F73" s="340"/>
      <c r="G73" s="295" t="str">
        <f>IFERROR(INDEX('G-1 All Habitats'!$B$3:$B$134,MATCH(F73,'G-1 All Habitats'!$A$3:$A$134,0)),"")</f>
        <v/>
      </c>
      <c r="H73" s="139"/>
      <c r="I73" s="722" t="str">
        <f>IF(G73="","",VLOOKUP(G73,'G-1 All Habitats'!$B$2:$M$134,10,FALSE))</f>
        <v/>
      </c>
      <c r="J73" s="490" t="str">
        <f>IFERROR(VLOOKUP(I73,'G-1 All Habitats'!$V$3:$W$7,2,FALSE),"")</f>
        <v/>
      </c>
      <c r="K73" s="114"/>
      <c r="L73" s="490" t="str">
        <f>IFERROR(INDEX('G-8 Condition Look up'!$A$3:$H$135,MATCH(G73,'G-8 Condition Look up'!$A$3:$A$135,0),MATCH(K73,'G-8 Condition Look up'!$A$3:$H$3,0)),"")</f>
        <v/>
      </c>
      <c r="M73" s="738"/>
      <c r="N73" s="404" t="str">
        <f>IF(M73="","",IF(VLOOKUP(M73,'G-3 Multipliers'!$L$3:$N$6,2,FALSE)=0,"Spatial Data Missing ⚠",VLOOKUP(M73,'G-3 Multipliers'!$L$3:$N$6,2,FALSE)))</f>
        <v/>
      </c>
      <c r="O73" s="452" t="str">
        <f>IF(M73="","",IF(VLOOKUP(M73,'G-3 Multipliers'!$L$3:$N$6,3,FALSE)=0,"Spatial Data Missing ⚠",VLOOKUP(M73,'G-3 Multipliers'!$L$3:$N$6,3,FALSE)))</f>
        <v/>
      </c>
      <c r="P73" s="369" t="str">
        <f>IFERROR(VLOOKUP(G73,'G-1 All Habitats'!$B$2:$M$134,12,FALSE),"")</f>
        <v/>
      </c>
      <c r="Q73" s="725" t="str">
        <f>IFERROR(IF(P73="","",IF(AND(P73='G-1 All Habitats'!$X$3,W73&gt;0),X73+(Y73*S73),IF(AND(P73='G-1 All Habitats'!$X$3,V73&gt;0),X73+(Y73*S73),IF(AND(P73='G-1 All Habitats'!$X$3,AG73&gt;0),"Any Loss Unacceptable  ⚠",IF(AND(P73='G-1 All Habitats'!$X$3,Z73&gt;0),"Any Loss Unacceptable ⚠",H73*J73*L73*O73*S73))))),"Check Data ⚠")</f>
        <v/>
      </c>
      <c r="R73" s="516"/>
      <c r="S73" s="724" t="str">
        <f>IF(R73="","",IF(VLOOKUP(R73,'G-3 Multipliers'!$S$3:$T$10,2,FALSE)=0,"Spatial Data Missing ⚠",VLOOKUP(R73,'G-3 Multipliers'!$S$3:$T$10,2,FALSE)))</f>
        <v/>
      </c>
      <c r="T73" s="376" t="str">
        <f>IFERROR(IF(P73="","",IF(AND(P73='G-1 All Habitats'!$X$3,W73&gt;0),X73+Y73,IF(AND(P73='G-1 All Habitats'!$X$3,V73&gt;0),X73+Y73,IF(AND(P73='G-1 All Habitats'!$X$3,AG73&gt;0),"Any Loss Unacceptable ⚠", IF(R73="","", IF(AND(P73='G-1 All Habitats'!$X$3,Z73&gt;0),"Any Loss Unacceptable ⚠",H73*J73*L73*O73)))))),"Check Data ⚠")</f>
        <v/>
      </c>
      <c r="U73" s="38"/>
      <c r="V73" s="54"/>
      <c r="W73" s="55"/>
      <c r="X73" s="374" t="str">
        <f t="shared" si="0"/>
        <v/>
      </c>
      <c r="Y73" s="374" t="str">
        <f t="shared" si="1"/>
        <v/>
      </c>
      <c r="Z73" s="374" t="str">
        <f>IF(E73="","",IF(H73&lt;V73+W73,"Error in Areas ▲",IF(P73&lt;&gt;'G-1 All Habitats'!$X$3,H73-V73-W73,IF(AND(P73='G-1 All Habitats'!$X$3,AB73="Yes"),"Unacceptable Loss ⚠",IF(AND(P73='G-1 All Habitats'!$X$3,AB73="No"),AG73,IF(AND(P73='G-1 All Habitats'!$X$3,AB73=""),AG73,IF(AND(P73='G-1 All Habitats'!$X$3,AG73="None",AG73),IF(AND(P73='G-1 All Habitats'!$X$3,AG73&gt;0),H73-V73-W73))))))))</f>
        <v/>
      </c>
      <c r="AA73" s="405" t="str">
        <f>IFERROR(IF(H73="","",IF(H73-V73-W73=0&lt;0,"Error in Areas ▲",IF(V73+W73&gt;H73,"Error in Areas ▲",IF(AND(P73='G-1 All Habitats'!$X$3,AB73="Yes"),"Alternative Compensation ✓",IF(Z73=0,0,IF(P73='G-1 All Habitats'!$X$3,"Any Loss Unacceptable ▲",T73-X73-Y73)))))),"Check Data ⚠")</f>
        <v/>
      </c>
      <c r="AB73" s="837"/>
      <c r="AC73" s="119"/>
      <c r="AD73" s="528"/>
      <c r="AE73" s="120"/>
      <c r="AF73" s="687"/>
      <c r="AG73" s="744" t="str">
        <f>IF(P73="","",IF(P73='G-1 All Habitats'!$X$3,H73-V73-W73,"None"))</f>
        <v/>
      </c>
      <c r="AH73" s="744" t="str">
        <f t="shared" si="2"/>
        <v/>
      </c>
      <c r="AJ73" s="124" t="str">
        <f t="shared" si="8"/>
        <v/>
      </c>
      <c r="AK73" s="124" t="str">
        <f t="shared" si="9"/>
        <v/>
      </c>
      <c r="AL73" s="124" t="str">
        <f>IF(I73="","",IF(#REF!&gt;0,TRUE,FALSE))</f>
        <v/>
      </c>
      <c r="AM73" s="124">
        <v>63</v>
      </c>
      <c r="AN73" s="124"/>
      <c r="AO73" s="124" t="str">
        <f t="array" ref="AO73">IFERROR(INDEX($AM$11:$AM$259, MATCH(0, IF(TRUE=$AJ$11:$AJ$259, COUNTIF($AO$10:$AO72, $AM$11:$AM$259), ""), 0)),"")</f>
        <v/>
      </c>
      <c r="AP73" s="124" t="str">
        <f t="array" ref="AP73">IFERROR(INDEX($AM$11:$AM$259, MATCH(0, IF(TRUE=$AK$11:$AK$259, COUNTIF($AP$10:$AP72, $AM$11:$AM$259), ""), 0)),"")</f>
        <v/>
      </c>
      <c r="AQ73" s="124" t="str">
        <f t="array" ref="AQ73">IFERROR(INDEX($AM$11:$AM$259, MATCH(0, IF(TRUE=$AL$11:$AL$259, COUNTIF($AQ$10:$AQ72, $AM$11:$AM$259), ""), 0)),"")</f>
        <v/>
      </c>
      <c r="AU73" s="30">
        <f t="shared" si="10"/>
        <v>0</v>
      </c>
      <c r="AY73" s="374" t="str">
        <f t="shared" si="6"/>
        <v/>
      </c>
    </row>
    <row r="74" spans="1:51">
      <c r="A74" s="30" t="str">
        <f>IFERROR(INDEX('G-1 All Habitats'!$AG$3:$AG$17,MATCH(E74,'G-1 All Habitats'!$AF$3:$AF$17,0)),"")</f>
        <v/>
      </c>
      <c r="B74" s="30" t="str">
        <f>IFERROR(INDEX('G-8 Condition Look up'!$I$4:$I$135,MATCH(G74,'G-8 Condition Look up'!$A$4:$A$135,0)),"")</f>
        <v/>
      </c>
      <c r="D74" s="110">
        <v>64</v>
      </c>
      <c r="E74" s="339"/>
      <c r="F74" s="340"/>
      <c r="G74" s="295" t="str">
        <f>IFERROR(INDEX('G-1 All Habitats'!$B$3:$B$134,MATCH(F74,'G-1 All Habitats'!$A$3:$A$134,0)),"")</f>
        <v/>
      </c>
      <c r="H74" s="139"/>
      <c r="I74" s="722" t="str">
        <f>IF(G74="","",VLOOKUP(G74,'G-1 All Habitats'!$B$2:$M$134,10,FALSE))</f>
        <v/>
      </c>
      <c r="J74" s="490" t="str">
        <f>IFERROR(VLOOKUP(I74,'G-1 All Habitats'!$V$3:$W$7,2,FALSE),"")</f>
        <v/>
      </c>
      <c r="K74" s="114"/>
      <c r="L74" s="490" t="str">
        <f>IFERROR(INDEX('G-8 Condition Look up'!$A$3:$H$135,MATCH(G74,'G-8 Condition Look up'!$A$3:$A$135,0),MATCH(K74,'G-8 Condition Look up'!$A$3:$H$3,0)),"")</f>
        <v/>
      </c>
      <c r="M74" s="738"/>
      <c r="N74" s="404" t="str">
        <f>IF(M74="","",IF(VLOOKUP(M74,'G-3 Multipliers'!$L$3:$N$6,2,FALSE)=0,"Spatial Data Missing ⚠",VLOOKUP(M74,'G-3 Multipliers'!$L$3:$N$6,2,FALSE)))</f>
        <v/>
      </c>
      <c r="O74" s="452" t="str">
        <f>IF(M74="","",IF(VLOOKUP(M74,'G-3 Multipliers'!$L$3:$N$6,3,FALSE)=0,"Spatial Data Missing ⚠",VLOOKUP(M74,'G-3 Multipliers'!$L$3:$N$6,3,FALSE)))</f>
        <v/>
      </c>
      <c r="P74" s="369" t="str">
        <f>IFERROR(VLOOKUP(G74,'G-1 All Habitats'!$B$2:$M$134,12,FALSE),"")</f>
        <v/>
      </c>
      <c r="Q74" s="725" t="str">
        <f>IFERROR(IF(P74="","",IF(AND(P74='G-1 All Habitats'!$X$3,W74&gt;0),X74+(Y74*S74),IF(AND(P74='G-1 All Habitats'!$X$3,V74&gt;0),X74+(Y74*S74),IF(AND(P74='G-1 All Habitats'!$X$3,AG74&gt;0),"Any Loss Unacceptable  ⚠",IF(AND(P74='G-1 All Habitats'!$X$3,Z74&gt;0),"Any Loss Unacceptable ⚠",H74*J74*L74*O74*S74))))),"Check Data ⚠")</f>
        <v/>
      </c>
      <c r="R74" s="516"/>
      <c r="S74" s="724" t="str">
        <f>IF(R74="","",IF(VLOOKUP(R74,'G-3 Multipliers'!$S$3:$T$10,2,FALSE)=0,"Spatial Data Missing ⚠",VLOOKUP(R74,'G-3 Multipliers'!$S$3:$T$10,2,FALSE)))</f>
        <v/>
      </c>
      <c r="T74" s="376" t="str">
        <f>IFERROR(IF(P74="","",IF(AND(P74='G-1 All Habitats'!$X$3,W74&gt;0),X74+Y74,IF(AND(P74='G-1 All Habitats'!$X$3,V74&gt;0),X74+Y74,IF(AND(P74='G-1 All Habitats'!$X$3,AG74&gt;0),"Any Loss Unacceptable ⚠", IF(R74="","", IF(AND(P74='G-1 All Habitats'!$X$3,Z74&gt;0),"Any Loss Unacceptable ⚠",H74*J74*L74*O74)))))),"Check Data ⚠")</f>
        <v/>
      </c>
      <c r="U74" s="38"/>
      <c r="V74" s="54"/>
      <c r="W74" s="55"/>
      <c r="X74" s="374" t="str">
        <f t="shared" si="0"/>
        <v/>
      </c>
      <c r="Y74" s="374" t="str">
        <f t="shared" si="1"/>
        <v/>
      </c>
      <c r="Z74" s="374" t="str">
        <f>IF(E74="","",IF(H74&lt;V74+W74,"Error in Areas ▲",IF(P74&lt;&gt;'G-1 All Habitats'!$X$3,H74-V74-W74,IF(AND(P74='G-1 All Habitats'!$X$3,AB74="Yes"),"Unacceptable Loss ⚠",IF(AND(P74='G-1 All Habitats'!$X$3,AB74="No"),AG74,IF(AND(P74='G-1 All Habitats'!$X$3,AB74=""),AG74,IF(AND(P74='G-1 All Habitats'!$X$3,AG74="None",AG74),IF(AND(P74='G-1 All Habitats'!$X$3,AG74&gt;0),H74-V74-W74))))))))</f>
        <v/>
      </c>
      <c r="AA74" s="405" t="str">
        <f>IFERROR(IF(H74="","",IF(H74-V74-W74=0&lt;0,"Error in Areas ▲",IF(V74+W74&gt;H74,"Error in Areas ▲",IF(AND(P74='G-1 All Habitats'!$X$3,AB74="Yes"),"Alternative Compensation ✓",IF(Z74=0,0,IF(P74='G-1 All Habitats'!$X$3,"Any Loss Unacceptable ▲",T74-X74-Y74)))))),"Check Data ⚠")</f>
        <v/>
      </c>
      <c r="AB74" s="837"/>
      <c r="AC74" s="119"/>
      <c r="AD74" s="528"/>
      <c r="AE74" s="120"/>
      <c r="AF74" s="687"/>
      <c r="AG74" s="744" t="str">
        <f>IF(P74="","",IF(P74='G-1 All Habitats'!$X$3,H74-V74-W74,"None"))</f>
        <v/>
      </c>
      <c r="AH74" s="744" t="str">
        <f t="shared" si="2"/>
        <v/>
      </c>
      <c r="AJ74" s="124" t="str">
        <f t="shared" si="8"/>
        <v/>
      </c>
      <c r="AK74" s="124" t="str">
        <f t="shared" si="9"/>
        <v/>
      </c>
      <c r="AL74" s="124" t="str">
        <f>IF(I74="","",IF(#REF!&gt;0,TRUE,FALSE))</f>
        <v/>
      </c>
      <c r="AM74" s="124">
        <v>64</v>
      </c>
      <c r="AN74" s="124"/>
      <c r="AO74" s="124" t="str">
        <f t="array" ref="AO74">IFERROR(INDEX($AM$11:$AM$259, MATCH(0, IF(TRUE=$AJ$11:$AJ$259, COUNTIF($AO$10:$AO73, $AM$11:$AM$259), ""), 0)),"")</f>
        <v/>
      </c>
      <c r="AP74" s="124" t="str">
        <f t="array" ref="AP74">IFERROR(INDEX($AM$11:$AM$259, MATCH(0, IF(TRUE=$AK$11:$AK$259, COUNTIF($AP$10:$AP73, $AM$11:$AM$259), ""), 0)),"")</f>
        <v/>
      </c>
      <c r="AQ74" s="124" t="str">
        <f t="array" ref="AQ74">IFERROR(INDEX($AM$11:$AM$259, MATCH(0, IF(TRUE=$AL$11:$AL$259, COUNTIF($AQ$10:$AQ73, $AM$11:$AM$259), ""), 0)),"")</f>
        <v/>
      </c>
      <c r="AU74" s="30">
        <f t="shared" si="10"/>
        <v>0</v>
      </c>
      <c r="AY74" s="374" t="str">
        <f t="shared" si="6"/>
        <v/>
      </c>
    </row>
    <row r="75" spans="1:51">
      <c r="A75" s="30" t="str">
        <f>IFERROR(INDEX('G-1 All Habitats'!$AG$3:$AG$17,MATCH(E75,'G-1 All Habitats'!$AF$3:$AF$17,0)),"")</f>
        <v/>
      </c>
      <c r="B75" s="30" t="str">
        <f>IFERROR(INDEX('G-8 Condition Look up'!$I$4:$I$135,MATCH(G75,'G-8 Condition Look up'!$A$4:$A$135,0)),"")</f>
        <v/>
      </c>
      <c r="D75" s="110">
        <v>65</v>
      </c>
      <c r="E75" s="339"/>
      <c r="F75" s="340"/>
      <c r="G75" s="295" t="str">
        <f>IFERROR(INDEX('G-1 All Habitats'!$B$3:$B$134,MATCH(F75,'G-1 All Habitats'!$A$3:$A$134,0)),"")</f>
        <v/>
      </c>
      <c r="H75" s="139"/>
      <c r="I75" s="722" t="str">
        <f>IF(G75="","",VLOOKUP(G75,'G-1 All Habitats'!$B$2:$M$134,10,FALSE))</f>
        <v/>
      </c>
      <c r="J75" s="490" t="str">
        <f>IFERROR(VLOOKUP(I75,'G-1 All Habitats'!$V$3:$W$7,2,FALSE),"")</f>
        <v/>
      </c>
      <c r="K75" s="114"/>
      <c r="L75" s="490" t="str">
        <f>IFERROR(INDEX('G-8 Condition Look up'!$A$3:$H$135,MATCH(G75,'G-8 Condition Look up'!$A$3:$A$135,0),MATCH(K75,'G-8 Condition Look up'!$A$3:$H$3,0)),"")</f>
        <v/>
      </c>
      <c r="M75" s="738"/>
      <c r="N75" s="404" t="str">
        <f>IF(M75="","",IF(VLOOKUP(M75,'G-3 Multipliers'!$L$3:$N$6,2,FALSE)=0,"Spatial Data Missing ⚠",VLOOKUP(M75,'G-3 Multipliers'!$L$3:$N$6,2,FALSE)))</f>
        <v/>
      </c>
      <c r="O75" s="452" t="str">
        <f>IF(M75="","",IF(VLOOKUP(M75,'G-3 Multipliers'!$L$3:$N$6,3,FALSE)=0,"Spatial Data Missing ⚠",VLOOKUP(M75,'G-3 Multipliers'!$L$3:$N$6,3,FALSE)))</f>
        <v/>
      </c>
      <c r="P75" s="369" t="str">
        <f>IFERROR(VLOOKUP(G75,'G-1 All Habitats'!$B$2:$M$134,12,FALSE),"")</f>
        <v/>
      </c>
      <c r="Q75" s="725" t="str">
        <f>IFERROR(IF(P75="","",IF(AND(P75='G-1 All Habitats'!$X$3,W75&gt;0),X75+(Y75*S75),IF(AND(P75='G-1 All Habitats'!$X$3,V75&gt;0),X75+(Y75*S75),IF(AND(P75='G-1 All Habitats'!$X$3,AG75&gt;0),"Any Loss Unacceptable  ⚠",IF(AND(P75='G-1 All Habitats'!$X$3,Z75&gt;0),"Any Loss Unacceptable ⚠",H75*J75*L75*O75*S75))))),"Check Data ⚠")</f>
        <v/>
      </c>
      <c r="R75" s="516"/>
      <c r="S75" s="724" t="str">
        <f>IF(R75="","",IF(VLOOKUP(R75,'G-3 Multipliers'!$S$3:$T$10,2,FALSE)=0,"Spatial Data Missing ⚠",VLOOKUP(R75,'G-3 Multipliers'!$S$3:$T$10,2,FALSE)))</f>
        <v/>
      </c>
      <c r="T75" s="376" t="str">
        <f>IFERROR(IF(P75="","",IF(AND(P75='G-1 All Habitats'!$X$3,W75&gt;0),X75+Y75,IF(AND(P75='G-1 All Habitats'!$X$3,V75&gt;0),X75+Y75,IF(AND(P75='G-1 All Habitats'!$X$3,AG75&gt;0),"Any Loss Unacceptable ⚠", IF(R75="","", IF(AND(P75='G-1 All Habitats'!$X$3,Z75&gt;0),"Any Loss Unacceptable ⚠",H75*J75*L75*O75)))))),"Check Data ⚠")</f>
        <v/>
      </c>
      <c r="U75" s="38"/>
      <c r="V75" s="54"/>
      <c r="W75" s="55"/>
      <c r="X75" s="374" t="str">
        <f t="shared" ref="X75:X138" si="11">IFERROR(V75*J75*L75*O75,"")</f>
        <v/>
      </c>
      <c r="Y75" s="374" t="str">
        <f t="shared" ref="Y75:Y138" si="12">IFERROR(W75*J75*L75*O75,"")</f>
        <v/>
      </c>
      <c r="Z75" s="374" t="str">
        <f>IF(E75="","",IF(H75&lt;V75+W75,"Error in Areas ▲",IF(P75&lt;&gt;'G-1 All Habitats'!$X$3,H75-V75-W75,IF(AND(P75='G-1 All Habitats'!$X$3,AB75="Yes"),"Unacceptable Loss ⚠",IF(AND(P75='G-1 All Habitats'!$X$3,AB75="No"),AG75,IF(AND(P75='G-1 All Habitats'!$X$3,AB75=""),AG75,IF(AND(P75='G-1 All Habitats'!$X$3,AG75="None",AG75),IF(AND(P75='G-1 All Habitats'!$X$3,AG75&gt;0),H75-V75-W75))))))))</f>
        <v/>
      </c>
      <c r="AA75" s="405" t="str">
        <f>IFERROR(IF(H75="","",IF(H75-V75-W75=0&lt;0,"Error in Areas ▲",IF(V75+W75&gt;H75,"Error in Areas ▲",IF(AND(P75='G-1 All Habitats'!$X$3,AB75="Yes"),"Alternative Compensation ✓",IF(Z75=0,0,IF(P75='G-1 All Habitats'!$X$3,"Any Loss Unacceptable ▲",T75-X75-Y75)))))),"Check Data ⚠")</f>
        <v/>
      </c>
      <c r="AB75" s="837"/>
      <c r="AC75" s="119"/>
      <c r="AD75" s="528"/>
      <c r="AE75" s="120"/>
      <c r="AF75" s="687"/>
      <c r="AG75" s="744" t="str">
        <f>IF(P75="","",IF(P75='G-1 All Habitats'!$X$3,H75-V75-W75,"None"))</f>
        <v/>
      </c>
      <c r="AH75" s="744" t="str">
        <f t="shared" ref="AH75:AH138" si="13">IFERROR(AG75*J75*L75*O75,IF(P75="","","None"))</f>
        <v/>
      </c>
      <c r="AJ75" s="124" t="str">
        <f t="shared" ref="AJ75:AJ106" si="14">IF(G75="","",IF(V75&gt;0,TRUE,FALSE))</f>
        <v/>
      </c>
      <c r="AK75" s="124" t="str">
        <f t="shared" ref="AK75:AK106" si="15">IF(H75="","",IF(W75&gt;0,TRUE,FALSE))</f>
        <v/>
      </c>
      <c r="AL75" s="124" t="str">
        <f>IF(I75="","",IF(#REF!&gt;0,TRUE,FALSE))</f>
        <v/>
      </c>
      <c r="AM75" s="124">
        <v>65</v>
      </c>
      <c r="AN75" s="124"/>
      <c r="AO75" s="124" t="str">
        <f t="array" ref="AO75">IFERROR(INDEX($AM$11:$AM$259, MATCH(0, IF(TRUE=$AJ$11:$AJ$259, COUNTIF($AO$10:$AO74, $AM$11:$AM$259), ""), 0)),"")</f>
        <v/>
      </c>
      <c r="AP75" s="124" t="str">
        <f t="array" ref="AP75">IFERROR(INDEX($AM$11:$AM$259, MATCH(0, IF(TRUE=$AK$11:$AK$259, COUNTIF($AP$10:$AP74, $AM$11:$AM$259), ""), 0)),"")</f>
        <v/>
      </c>
      <c r="AQ75" s="124" t="str">
        <f t="array" ref="AQ75">IFERROR(INDEX($AM$11:$AM$259, MATCH(0, IF(TRUE=$AL$11:$AL$259, COUNTIF($AQ$10:$AQ74, $AM$11:$AM$259), ""), 0)),"")</f>
        <v/>
      </c>
      <c r="AU75" s="30">
        <f t="shared" si="10"/>
        <v>0</v>
      </c>
      <c r="AY75" s="374" t="str">
        <f t="shared" si="6"/>
        <v/>
      </c>
    </row>
    <row r="76" spans="1:51">
      <c r="A76" s="30" t="str">
        <f>IFERROR(INDEX('G-1 All Habitats'!$AG$3:$AG$17,MATCH(E76,'G-1 All Habitats'!$AF$3:$AF$17,0)),"")</f>
        <v/>
      </c>
      <c r="B76" s="30" t="str">
        <f>IFERROR(INDEX('G-8 Condition Look up'!$I$4:$I$135,MATCH(G76,'G-8 Condition Look up'!$A$4:$A$135,0)),"")</f>
        <v/>
      </c>
      <c r="D76" s="110">
        <v>66</v>
      </c>
      <c r="E76" s="339"/>
      <c r="F76" s="340"/>
      <c r="G76" s="295" t="str">
        <f>IFERROR(INDEX('G-1 All Habitats'!$B$3:$B$134,MATCH(F76,'G-1 All Habitats'!$A$3:$A$134,0)),"")</f>
        <v/>
      </c>
      <c r="H76" s="139"/>
      <c r="I76" s="722" t="str">
        <f>IF(G76="","",VLOOKUP(G76,'G-1 All Habitats'!$B$2:$M$134,10,FALSE))</f>
        <v/>
      </c>
      <c r="J76" s="490" t="str">
        <f>IFERROR(VLOOKUP(I76,'G-1 All Habitats'!$V$3:$W$7,2,FALSE),"")</f>
        <v/>
      </c>
      <c r="K76" s="114"/>
      <c r="L76" s="490" t="str">
        <f>IFERROR(INDEX('G-8 Condition Look up'!$A$3:$H$135,MATCH(G76,'G-8 Condition Look up'!$A$3:$A$135,0),MATCH(K76,'G-8 Condition Look up'!$A$3:$H$3,0)),"")</f>
        <v/>
      </c>
      <c r="M76" s="738"/>
      <c r="N76" s="404" t="str">
        <f>IF(M76="","",IF(VLOOKUP(M76,'G-3 Multipliers'!$L$3:$N$6,2,FALSE)=0,"Spatial Data Missing ⚠",VLOOKUP(M76,'G-3 Multipliers'!$L$3:$N$6,2,FALSE)))</f>
        <v/>
      </c>
      <c r="O76" s="452" t="str">
        <f>IF(M76="","",IF(VLOOKUP(M76,'G-3 Multipliers'!$L$3:$N$6,3,FALSE)=0,"Spatial Data Missing ⚠",VLOOKUP(M76,'G-3 Multipliers'!$L$3:$N$6,3,FALSE)))</f>
        <v/>
      </c>
      <c r="P76" s="369" t="str">
        <f>IFERROR(VLOOKUP(G76,'G-1 All Habitats'!$B$2:$M$134,12,FALSE),"")</f>
        <v/>
      </c>
      <c r="Q76" s="725" t="str">
        <f>IFERROR(IF(P76="","",IF(AND(P76='G-1 All Habitats'!$X$3,W76&gt;0),X76+(Y76*S76),IF(AND(P76='G-1 All Habitats'!$X$3,V76&gt;0),X76+(Y76*S76),IF(AND(P76='G-1 All Habitats'!$X$3,AG76&gt;0),"Any Loss Unacceptable  ⚠",IF(AND(P76='G-1 All Habitats'!$X$3,Z76&gt;0),"Any Loss Unacceptable ⚠",H76*J76*L76*O76*S76))))),"Check Data ⚠")</f>
        <v/>
      </c>
      <c r="R76" s="516"/>
      <c r="S76" s="724" t="str">
        <f>IF(R76="","",IF(VLOOKUP(R76,'G-3 Multipliers'!$S$3:$T$10,2,FALSE)=0,"Spatial Data Missing ⚠",VLOOKUP(R76,'G-3 Multipliers'!$S$3:$T$10,2,FALSE)))</f>
        <v/>
      </c>
      <c r="T76" s="376" t="str">
        <f>IFERROR(IF(P76="","",IF(AND(P76='G-1 All Habitats'!$X$3,W76&gt;0),X76+Y76,IF(AND(P76='G-1 All Habitats'!$X$3,V76&gt;0),X76+Y76,IF(AND(P76='G-1 All Habitats'!$X$3,AG76&gt;0),"Any Loss Unacceptable ⚠", IF(R76="","", IF(AND(P76='G-1 All Habitats'!$X$3,Z76&gt;0),"Any Loss Unacceptable ⚠",H76*J76*L76*O76)))))),"Check Data ⚠")</f>
        <v/>
      </c>
      <c r="U76" s="38"/>
      <c r="V76" s="54"/>
      <c r="W76" s="55"/>
      <c r="X76" s="374" t="str">
        <f t="shared" si="11"/>
        <v/>
      </c>
      <c r="Y76" s="374" t="str">
        <f t="shared" si="12"/>
        <v/>
      </c>
      <c r="Z76" s="374" t="str">
        <f>IF(E76="","",IF(H76&lt;V76+W76,"Error in Areas ▲",IF(P76&lt;&gt;'G-1 All Habitats'!$X$3,H76-V76-W76,IF(AND(P76='G-1 All Habitats'!$X$3,AB76="Yes"),"Unacceptable Loss ⚠",IF(AND(P76='G-1 All Habitats'!$X$3,AB76="No"),AG76,IF(AND(P76='G-1 All Habitats'!$X$3,AB76=""),AG76,IF(AND(P76='G-1 All Habitats'!$X$3,AG76="None",AG76),IF(AND(P76='G-1 All Habitats'!$X$3,AG76&gt;0),H76-V76-W76))))))))</f>
        <v/>
      </c>
      <c r="AA76" s="405" t="str">
        <f>IFERROR(IF(H76="","",IF(H76-V76-W76=0&lt;0,"Error in Areas ▲",IF(V76+W76&gt;H76,"Error in Areas ▲",IF(AND(P76='G-1 All Habitats'!$X$3,AB76="Yes"),"Alternative Compensation ✓",IF(Z76=0,0,IF(P76='G-1 All Habitats'!$X$3,"Any Loss Unacceptable ▲",T76-X76-Y76)))))),"Check Data ⚠")</f>
        <v/>
      </c>
      <c r="AB76" s="837"/>
      <c r="AC76" s="119"/>
      <c r="AD76" s="528"/>
      <c r="AE76" s="120"/>
      <c r="AF76" s="687"/>
      <c r="AG76" s="744" t="str">
        <f>IF(P76="","",IF(P76='G-1 All Habitats'!$X$3,H76-V76-W76,"None"))</f>
        <v/>
      </c>
      <c r="AH76" s="744" t="str">
        <f t="shared" si="13"/>
        <v/>
      </c>
      <c r="AJ76" s="124" t="str">
        <f t="shared" si="14"/>
        <v/>
      </c>
      <c r="AK76" s="124" t="str">
        <f t="shared" si="15"/>
        <v/>
      </c>
      <c r="AL76" s="124" t="str">
        <f>IF(I76="","",IF(#REF!&gt;0,TRUE,FALSE))</f>
        <v/>
      </c>
      <c r="AM76" s="124">
        <v>66</v>
      </c>
      <c r="AN76" s="124"/>
      <c r="AO76" s="124" t="str">
        <f t="array" ref="AO76">IFERROR(INDEX($AM$11:$AM$259, MATCH(0, IF(TRUE=$AJ$11:$AJ$259, COUNTIF($AO$10:$AO75, $AM$11:$AM$259), ""), 0)),"")</f>
        <v/>
      </c>
      <c r="AP76" s="124" t="str">
        <f t="array" ref="AP76">IFERROR(INDEX($AM$11:$AM$259, MATCH(0, IF(TRUE=$AK$11:$AK$259, COUNTIF($AP$10:$AP75, $AM$11:$AM$259), ""), 0)),"")</f>
        <v/>
      </c>
      <c r="AQ76" s="124" t="str">
        <f t="array" ref="AQ76">IFERROR(INDEX($AM$11:$AM$259, MATCH(0, IF(TRUE=$AL$11:$AL$259, COUNTIF($AQ$10:$AQ75, $AM$11:$AM$259), ""), 0)),"")</f>
        <v/>
      </c>
      <c r="AU76" s="30">
        <f t="shared" si="10"/>
        <v>0</v>
      </c>
      <c r="AY76" s="374" t="str">
        <f t="shared" ref="AY76:AY139" si="16">IFERROR(V76*J76*L76*O76*S76,"")</f>
        <v/>
      </c>
    </row>
    <row r="77" spans="1:51">
      <c r="A77" s="30" t="str">
        <f>IFERROR(INDEX('G-1 All Habitats'!$AG$3:$AG$17,MATCH(E77,'G-1 All Habitats'!$AF$3:$AF$17,0)),"")</f>
        <v/>
      </c>
      <c r="B77" s="30" t="str">
        <f>IFERROR(INDEX('G-8 Condition Look up'!$I$4:$I$135,MATCH(G77,'G-8 Condition Look up'!$A$4:$A$135,0)),"")</f>
        <v/>
      </c>
      <c r="D77" s="110">
        <v>67</v>
      </c>
      <c r="E77" s="339"/>
      <c r="F77" s="340"/>
      <c r="G77" s="295" t="str">
        <f>IFERROR(INDEX('G-1 All Habitats'!$B$3:$B$134,MATCH(F77,'G-1 All Habitats'!$A$3:$A$134,0)),"")</f>
        <v/>
      </c>
      <c r="H77" s="139"/>
      <c r="I77" s="722" t="str">
        <f>IF(G77="","",VLOOKUP(G77,'G-1 All Habitats'!$B$2:$M$134,10,FALSE))</f>
        <v/>
      </c>
      <c r="J77" s="490" t="str">
        <f>IFERROR(VLOOKUP(I77,'G-1 All Habitats'!$V$3:$W$7,2,FALSE),"")</f>
        <v/>
      </c>
      <c r="K77" s="114"/>
      <c r="L77" s="490" t="str">
        <f>IFERROR(INDEX('G-8 Condition Look up'!$A$3:$H$135,MATCH(G77,'G-8 Condition Look up'!$A$3:$A$135,0),MATCH(K77,'G-8 Condition Look up'!$A$3:$H$3,0)),"")</f>
        <v/>
      </c>
      <c r="M77" s="738"/>
      <c r="N77" s="404" t="str">
        <f>IF(M77="","",IF(VLOOKUP(M77,'G-3 Multipliers'!$L$3:$N$6,2,FALSE)=0,"Spatial Data Missing ⚠",VLOOKUP(M77,'G-3 Multipliers'!$L$3:$N$6,2,FALSE)))</f>
        <v/>
      </c>
      <c r="O77" s="452" t="str">
        <f>IF(M77="","",IF(VLOOKUP(M77,'G-3 Multipliers'!$L$3:$N$6,3,FALSE)=0,"Spatial Data Missing ⚠",VLOOKUP(M77,'G-3 Multipliers'!$L$3:$N$6,3,FALSE)))</f>
        <v/>
      </c>
      <c r="P77" s="369" t="str">
        <f>IFERROR(VLOOKUP(G77,'G-1 All Habitats'!$B$2:$M$134,12,FALSE),"")</f>
        <v/>
      </c>
      <c r="Q77" s="725" t="str">
        <f>IFERROR(IF(P77="","",IF(AND(P77='G-1 All Habitats'!$X$3,W77&gt;0),X77+(Y77*S77),IF(AND(P77='G-1 All Habitats'!$X$3,V77&gt;0),X77+(Y77*S77),IF(AND(P77='G-1 All Habitats'!$X$3,AG77&gt;0),"Any Loss Unacceptable  ⚠",IF(AND(P77='G-1 All Habitats'!$X$3,Z77&gt;0),"Any Loss Unacceptable ⚠",H77*J77*L77*O77*S77))))),"Check Data ⚠")</f>
        <v/>
      </c>
      <c r="R77" s="516"/>
      <c r="S77" s="724" t="str">
        <f>IF(R77="","",IF(VLOOKUP(R77,'G-3 Multipliers'!$S$3:$T$10,2,FALSE)=0,"Spatial Data Missing ⚠",VLOOKUP(R77,'G-3 Multipliers'!$S$3:$T$10,2,FALSE)))</f>
        <v/>
      </c>
      <c r="T77" s="376" t="str">
        <f>IFERROR(IF(P77="","",IF(AND(P77='G-1 All Habitats'!$X$3,W77&gt;0),X77+Y77,IF(AND(P77='G-1 All Habitats'!$X$3,V77&gt;0),X77+Y77,IF(AND(P77='G-1 All Habitats'!$X$3,AG77&gt;0),"Any Loss Unacceptable ⚠", IF(R77="","", IF(AND(P77='G-1 All Habitats'!$X$3,Z77&gt;0),"Any Loss Unacceptable ⚠",H77*J77*L77*O77)))))),"Check Data ⚠")</f>
        <v/>
      </c>
      <c r="U77" s="38"/>
      <c r="V77" s="54"/>
      <c r="W77" s="55"/>
      <c r="X77" s="374" t="str">
        <f t="shared" si="11"/>
        <v/>
      </c>
      <c r="Y77" s="374" t="str">
        <f t="shared" si="12"/>
        <v/>
      </c>
      <c r="Z77" s="374" t="str">
        <f>IF(E77="","",IF(H77&lt;V77+W77,"Error in Areas ▲",IF(P77&lt;&gt;'G-1 All Habitats'!$X$3,H77-V77-W77,IF(AND(P77='G-1 All Habitats'!$X$3,AB77="Yes"),"Unacceptable Loss ⚠",IF(AND(P77='G-1 All Habitats'!$X$3,AB77="No"),AG77,IF(AND(P77='G-1 All Habitats'!$X$3,AB77=""),AG77,IF(AND(P77='G-1 All Habitats'!$X$3,AG77="None",AG77),IF(AND(P77='G-1 All Habitats'!$X$3,AG77&gt;0),H77-V77-W77))))))))</f>
        <v/>
      </c>
      <c r="AA77" s="405" t="str">
        <f>IFERROR(IF(H77="","",IF(H77-V77-W77=0&lt;0,"Error in Areas ▲",IF(V77+W77&gt;H77,"Error in Areas ▲",IF(AND(P77='G-1 All Habitats'!$X$3,AB77="Yes"),"Alternative Compensation ✓",IF(Z77=0,0,IF(P77='G-1 All Habitats'!$X$3,"Any Loss Unacceptable ▲",T77-X77-Y77)))))),"Check Data ⚠")</f>
        <v/>
      </c>
      <c r="AB77" s="837"/>
      <c r="AC77" s="119"/>
      <c r="AD77" s="528"/>
      <c r="AE77" s="120"/>
      <c r="AF77" s="687"/>
      <c r="AG77" s="744" t="str">
        <f>IF(P77="","",IF(P77='G-1 All Habitats'!$X$3,H77-V77-W77,"None"))</f>
        <v/>
      </c>
      <c r="AH77" s="744" t="str">
        <f t="shared" si="13"/>
        <v/>
      </c>
      <c r="AJ77" s="124" t="str">
        <f t="shared" si="14"/>
        <v/>
      </c>
      <c r="AK77" s="124" t="str">
        <f t="shared" si="15"/>
        <v/>
      </c>
      <c r="AL77" s="124" t="str">
        <f>IF(I77="","",IF(#REF!&gt;0,TRUE,FALSE))</f>
        <v/>
      </c>
      <c r="AM77" s="124">
        <v>67</v>
      </c>
      <c r="AN77" s="124"/>
      <c r="AO77" s="124" t="str">
        <f t="array" ref="AO77">IFERROR(INDEX($AM$11:$AM$259, MATCH(0, IF(TRUE=$AJ$11:$AJ$259, COUNTIF($AO$10:$AO76, $AM$11:$AM$259), ""), 0)),"")</f>
        <v/>
      </c>
      <c r="AP77" s="124" t="str">
        <f t="array" ref="AP77">IFERROR(INDEX($AM$11:$AM$259, MATCH(0, IF(TRUE=$AK$11:$AK$259, COUNTIF($AP$10:$AP76, $AM$11:$AM$259), ""), 0)),"")</f>
        <v/>
      </c>
      <c r="AQ77" s="124" t="str">
        <f t="array" ref="AQ77">IFERROR(INDEX($AM$11:$AM$259, MATCH(0, IF(TRUE=$AL$11:$AL$259, COUNTIF($AQ$10:$AQ76, $AM$11:$AM$259), ""), 0)),"")</f>
        <v/>
      </c>
      <c r="AU77" s="30">
        <f t="shared" si="10"/>
        <v>0</v>
      </c>
      <c r="AY77" s="374" t="str">
        <f t="shared" si="16"/>
        <v/>
      </c>
    </row>
    <row r="78" spans="1:51">
      <c r="A78" s="30" t="str">
        <f>IFERROR(INDEX('G-1 All Habitats'!$AG$3:$AG$17,MATCH(E78,'G-1 All Habitats'!$AF$3:$AF$17,0)),"")</f>
        <v/>
      </c>
      <c r="B78" s="30" t="str">
        <f>IFERROR(INDEX('G-8 Condition Look up'!$I$4:$I$135,MATCH(G78,'G-8 Condition Look up'!$A$4:$A$135,0)),"")</f>
        <v/>
      </c>
      <c r="D78" s="110">
        <v>68</v>
      </c>
      <c r="E78" s="339"/>
      <c r="F78" s="340"/>
      <c r="G78" s="295" t="str">
        <f>IFERROR(INDEX('G-1 All Habitats'!$B$3:$B$134,MATCH(F78,'G-1 All Habitats'!$A$3:$A$134,0)),"")</f>
        <v/>
      </c>
      <c r="H78" s="139"/>
      <c r="I78" s="722" t="str">
        <f>IF(G78="","",VLOOKUP(G78,'G-1 All Habitats'!$B$2:$M$134,10,FALSE))</f>
        <v/>
      </c>
      <c r="J78" s="490" t="str">
        <f>IFERROR(VLOOKUP(I78,'G-1 All Habitats'!$V$3:$W$7,2,FALSE),"")</f>
        <v/>
      </c>
      <c r="K78" s="114"/>
      <c r="L78" s="490" t="str">
        <f>IFERROR(INDEX('G-8 Condition Look up'!$A$3:$H$135,MATCH(G78,'G-8 Condition Look up'!$A$3:$A$135,0),MATCH(K78,'G-8 Condition Look up'!$A$3:$H$3,0)),"")</f>
        <v/>
      </c>
      <c r="M78" s="738"/>
      <c r="N78" s="404" t="str">
        <f>IF(M78="","",IF(VLOOKUP(M78,'G-3 Multipliers'!$L$3:$N$6,2,FALSE)=0,"Spatial Data Missing ⚠",VLOOKUP(M78,'G-3 Multipliers'!$L$3:$N$6,2,FALSE)))</f>
        <v/>
      </c>
      <c r="O78" s="452" t="str">
        <f>IF(M78="","",IF(VLOOKUP(M78,'G-3 Multipliers'!$L$3:$N$6,3,FALSE)=0,"Spatial Data Missing ⚠",VLOOKUP(M78,'G-3 Multipliers'!$L$3:$N$6,3,FALSE)))</f>
        <v/>
      </c>
      <c r="P78" s="369" t="str">
        <f>IFERROR(VLOOKUP(G78,'G-1 All Habitats'!$B$2:$M$134,12,FALSE),"")</f>
        <v/>
      </c>
      <c r="Q78" s="725" t="str">
        <f>IFERROR(IF(P78="","",IF(AND(P78='G-1 All Habitats'!$X$3,W78&gt;0),X78+(Y78*S78),IF(AND(P78='G-1 All Habitats'!$X$3,V78&gt;0),X78+(Y78*S78),IF(AND(P78='G-1 All Habitats'!$X$3,AG78&gt;0),"Any Loss Unacceptable  ⚠",IF(AND(P78='G-1 All Habitats'!$X$3,Z78&gt;0),"Any Loss Unacceptable ⚠",H78*J78*L78*O78*S78))))),"Check Data ⚠")</f>
        <v/>
      </c>
      <c r="R78" s="516"/>
      <c r="S78" s="724" t="str">
        <f>IF(R78="","",IF(VLOOKUP(R78,'G-3 Multipliers'!$S$3:$T$10,2,FALSE)=0,"Spatial Data Missing ⚠",VLOOKUP(R78,'G-3 Multipliers'!$S$3:$T$10,2,FALSE)))</f>
        <v/>
      </c>
      <c r="T78" s="376" t="str">
        <f>IFERROR(IF(P78="","",IF(AND(P78='G-1 All Habitats'!$X$3,W78&gt;0),X78+Y78,IF(AND(P78='G-1 All Habitats'!$X$3,V78&gt;0),X78+Y78,IF(AND(P78='G-1 All Habitats'!$X$3,AG78&gt;0),"Any Loss Unacceptable ⚠", IF(R78="","", IF(AND(P78='G-1 All Habitats'!$X$3,Z78&gt;0),"Any Loss Unacceptable ⚠",H78*J78*L78*O78)))))),"Check Data ⚠")</f>
        <v/>
      </c>
      <c r="U78" s="38"/>
      <c r="V78" s="54"/>
      <c r="W78" s="55"/>
      <c r="X78" s="374" t="str">
        <f t="shared" si="11"/>
        <v/>
      </c>
      <c r="Y78" s="374" t="str">
        <f t="shared" si="12"/>
        <v/>
      </c>
      <c r="Z78" s="374" t="str">
        <f>IF(E78="","",IF(H78&lt;V78+W78,"Error in Areas ▲",IF(P78&lt;&gt;'G-1 All Habitats'!$X$3,H78-V78-W78,IF(AND(P78='G-1 All Habitats'!$X$3,AB78="Yes"),"Unacceptable Loss ⚠",IF(AND(P78='G-1 All Habitats'!$X$3,AB78="No"),AG78,IF(AND(P78='G-1 All Habitats'!$X$3,AB78=""),AG78,IF(AND(P78='G-1 All Habitats'!$X$3,AG78="None",AG78),IF(AND(P78='G-1 All Habitats'!$X$3,AG78&gt;0),H78-V78-W78))))))))</f>
        <v/>
      </c>
      <c r="AA78" s="405" t="str">
        <f>IFERROR(IF(H78="","",IF(H78-V78-W78=0&lt;0,"Error in Areas ▲",IF(V78+W78&gt;H78,"Error in Areas ▲",IF(AND(P78='G-1 All Habitats'!$X$3,AB78="Yes"),"Alternative Compensation ✓",IF(Z78=0,0,IF(P78='G-1 All Habitats'!$X$3,"Any Loss Unacceptable ▲",T78-X78-Y78)))))),"Check Data ⚠")</f>
        <v/>
      </c>
      <c r="AB78" s="837"/>
      <c r="AC78" s="119"/>
      <c r="AD78" s="528"/>
      <c r="AE78" s="120"/>
      <c r="AF78" s="687"/>
      <c r="AG78" s="744" t="str">
        <f>IF(P78="","",IF(P78='G-1 All Habitats'!$X$3,H78-V78-W78,"None"))</f>
        <v/>
      </c>
      <c r="AH78" s="744" t="str">
        <f t="shared" si="13"/>
        <v/>
      </c>
      <c r="AJ78" s="124" t="str">
        <f t="shared" si="14"/>
        <v/>
      </c>
      <c r="AK78" s="124" t="str">
        <f t="shared" si="15"/>
        <v/>
      </c>
      <c r="AL78" s="124" t="str">
        <f>IF(I78="","",IF(#REF!&gt;0,TRUE,FALSE))</f>
        <v/>
      </c>
      <c r="AM78" s="124">
        <v>68</v>
      </c>
      <c r="AN78" s="124"/>
      <c r="AO78" s="124" t="str">
        <f t="array" ref="AO78">IFERROR(INDEX($AM$11:$AM$259, MATCH(0, IF(TRUE=$AJ$11:$AJ$259, COUNTIF($AO$10:$AO77, $AM$11:$AM$259), ""), 0)),"")</f>
        <v/>
      </c>
      <c r="AP78" s="124" t="str">
        <f t="array" ref="AP78">IFERROR(INDEX($AM$11:$AM$259, MATCH(0, IF(TRUE=$AK$11:$AK$259, COUNTIF($AP$10:$AP77, $AM$11:$AM$259), ""), 0)),"")</f>
        <v/>
      </c>
      <c r="AQ78" s="124" t="str">
        <f t="array" ref="AQ78">IFERROR(INDEX($AM$11:$AM$259, MATCH(0, IF(TRUE=$AL$11:$AL$259, COUNTIF($AQ$10:$AQ77, $AM$11:$AM$259), ""), 0)),"")</f>
        <v/>
      </c>
      <c r="AU78" s="30">
        <f t="shared" si="10"/>
        <v>0</v>
      </c>
      <c r="AY78" s="374" t="str">
        <f t="shared" si="16"/>
        <v/>
      </c>
    </row>
    <row r="79" spans="1:51">
      <c r="A79" s="30" t="str">
        <f>IFERROR(INDEX('G-1 All Habitats'!$AG$3:$AG$17,MATCH(E79,'G-1 All Habitats'!$AF$3:$AF$17,0)),"")</f>
        <v/>
      </c>
      <c r="B79" s="30" t="str">
        <f>IFERROR(INDEX('G-8 Condition Look up'!$I$4:$I$135,MATCH(G79,'G-8 Condition Look up'!$A$4:$A$135,0)),"")</f>
        <v/>
      </c>
      <c r="D79" s="110">
        <v>69</v>
      </c>
      <c r="E79" s="339"/>
      <c r="F79" s="340"/>
      <c r="G79" s="295" t="str">
        <f>IFERROR(INDEX('G-1 All Habitats'!$B$3:$B$134,MATCH(F79,'G-1 All Habitats'!$A$3:$A$134,0)),"")</f>
        <v/>
      </c>
      <c r="H79" s="139"/>
      <c r="I79" s="722" t="str">
        <f>IF(G79="","",VLOOKUP(G79,'G-1 All Habitats'!$B$2:$M$134,10,FALSE))</f>
        <v/>
      </c>
      <c r="J79" s="490" t="str">
        <f>IFERROR(VLOOKUP(I79,'G-1 All Habitats'!$V$3:$W$7,2,FALSE),"")</f>
        <v/>
      </c>
      <c r="K79" s="114"/>
      <c r="L79" s="490" t="str">
        <f>IFERROR(INDEX('G-8 Condition Look up'!$A$3:$H$135,MATCH(G79,'G-8 Condition Look up'!$A$3:$A$135,0),MATCH(K79,'G-8 Condition Look up'!$A$3:$H$3,0)),"")</f>
        <v/>
      </c>
      <c r="M79" s="738"/>
      <c r="N79" s="404" t="str">
        <f>IF(M79="","",IF(VLOOKUP(M79,'G-3 Multipliers'!$L$3:$N$6,2,FALSE)=0,"Spatial Data Missing ⚠",VLOOKUP(M79,'G-3 Multipliers'!$L$3:$N$6,2,FALSE)))</f>
        <v/>
      </c>
      <c r="O79" s="452" t="str">
        <f>IF(M79="","",IF(VLOOKUP(M79,'G-3 Multipliers'!$L$3:$N$6,3,FALSE)=0,"Spatial Data Missing ⚠",VLOOKUP(M79,'G-3 Multipliers'!$L$3:$N$6,3,FALSE)))</f>
        <v/>
      </c>
      <c r="P79" s="369" t="str">
        <f>IFERROR(VLOOKUP(G79,'G-1 All Habitats'!$B$2:$M$134,12,FALSE),"")</f>
        <v/>
      </c>
      <c r="Q79" s="725" t="str">
        <f>IFERROR(IF(P79="","",IF(AND(P79='G-1 All Habitats'!$X$3,W79&gt;0),X79+(Y79*S79),IF(AND(P79='G-1 All Habitats'!$X$3,V79&gt;0),X79+(Y79*S79),IF(AND(P79='G-1 All Habitats'!$X$3,AG79&gt;0),"Any Loss Unacceptable  ⚠",IF(AND(P79='G-1 All Habitats'!$X$3,Z79&gt;0),"Any Loss Unacceptable ⚠",H79*J79*L79*O79*S79))))),"Check Data ⚠")</f>
        <v/>
      </c>
      <c r="R79" s="516"/>
      <c r="S79" s="724" t="str">
        <f>IF(R79="","",IF(VLOOKUP(R79,'G-3 Multipliers'!$S$3:$T$10,2,FALSE)=0,"Spatial Data Missing ⚠",VLOOKUP(R79,'G-3 Multipliers'!$S$3:$T$10,2,FALSE)))</f>
        <v/>
      </c>
      <c r="T79" s="376" t="str">
        <f>IFERROR(IF(P79="","",IF(AND(P79='G-1 All Habitats'!$X$3,W79&gt;0),X79+Y79,IF(AND(P79='G-1 All Habitats'!$X$3,V79&gt;0),X79+Y79,IF(AND(P79='G-1 All Habitats'!$X$3,AG79&gt;0),"Any Loss Unacceptable ⚠", IF(R79="","", IF(AND(P79='G-1 All Habitats'!$X$3,Z79&gt;0),"Any Loss Unacceptable ⚠",H79*J79*L79*O79)))))),"Check Data ⚠")</f>
        <v/>
      </c>
      <c r="U79" s="38"/>
      <c r="V79" s="54"/>
      <c r="W79" s="55"/>
      <c r="X79" s="374" t="str">
        <f t="shared" si="11"/>
        <v/>
      </c>
      <c r="Y79" s="374" t="str">
        <f t="shared" si="12"/>
        <v/>
      </c>
      <c r="Z79" s="374" t="str">
        <f>IF(E79="","",IF(H79&lt;V79+W79,"Error in Areas ▲",IF(P79&lt;&gt;'G-1 All Habitats'!$X$3,H79-V79-W79,IF(AND(P79='G-1 All Habitats'!$X$3,AB79="Yes"),"Unacceptable Loss ⚠",IF(AND(P79='G-1 All Habitats'!$X$3,AB79="No"),AG79,IF(AND(P79='G-1 All Habitats'!$X$3,AB79=""),AG79,IF(AND(P79='G-1 All Habitats'!$X$3,AG79="None",AG79),IF(AND(P79='G-1 All Habitats'!$X$3,AG79&gt;0),H79-V79-W79))))))))</f>
        <v/>
      </c>
      <c r="AA79" s="405" t="str">
        <f>IFERROR(IF(H79="","",IF(H79-V79-W79=0&lt;0,"Error in Areas ▲",IF(V79+W79&gt;H79,"Error in Areas ▲",IF(AND(P79='G-1 All Habitats'!$X$3,AB79="Yes"),"Alternative Compensation ✓",IF(Z79=0,0,IF(P79='G-1 All Habitats'!$X$3,"Any Loss Unacceptable ▲",T79-X79-Y79)))))),"Check Data ⚠")</f>
        <v/>
      </c>
      <c r="AB79" s="837"/>
      <c r="AC79" s="119"/>
      <c r="AD79" s="528"/>
      <c r="AE79" s="120"/>
      <c r="AF79" s="687"/>
      <c r="AG79" s="744" t="str">
        <f>IF(P79="","",IF(P79='G-1 All Habitats'!$X$3,H79-V79-W79,"None"))</f>
        <v/>
      </c>
      <c r="AH79" s="744" t="str">
        <f t="shared" si="13"/>
        <v/>
      </c>
      <c r="AJ79" s="124" t="str">
        <f t="shared" si="14"/>
        <v/>
      </c>
      <c r="AK79" s="124" t="str">
        <f t="shared" si="15"/>
        <v/>
      </c>
      <c r="AL79" s="124" t="str">
        <f>IF(I79="","",IF(#REF!&gt;0,TRUE,FALSE))</f>
        <v/>
      </c>
      <c r="AM79" s="124">
        <v>69</v>
      </c>
      <c r="AN79" s="124"/>
      <c r="AO79" s="124" t="str">
        <f t="array" ref="AO79">IFERROR(INDEX($AM$11:$AM$259, MATCH(0, IF(TRUE=$AJ$11:$AJ$259, COUNTIF($AO$10:$AO78, $AM$11:$AM$259), ""), 0)),"")</f>
        <v/>
      </c>
      <c r="AP79" s="124" t="str">
        <f t="array" ref="AP79">IFERROR(INDEX($AM$11:$AM$259, MATCH(0, IF(TRUE=$AK$11:$AK$259, COUNTIF($AP$10:$AP78, $AM$11:$AM$259), ""), 0)),"")</f>
        <v/>
      </c>
      <c r="AQ79" s="124" t="str">
        <f t="array" ref="AQ79">IFERROR(INDEX($AM$11:$AM$259, MATCH(0, IF(TRUE=$AL$11:$AL$259, COUNTIF($AQ$10:$AQ78, $AM$11:$AM$259), ""), 0)),"")</f>
        <v/>
      </c>
      <c r="AU79" s="30">
        <f t="shared" si="10"/>
        <v>0</v>
      </c>
      <c r="AY79" s="374" t="str">
        <f t="shared" si="16"/>
        <v/>
      </c>
    </row>
    <row r="80" spans="1:51">
      <c r="A80" s="30" t="str">
        <f>IFERROR(INDEX('G-1 All Habitats'!$AG$3:$AG$17,MATCH(E80,'G-1 All Habitats'!$AF$3:$AF$17,0)),"")</f>
        <v/>
      </c>
      <c r="B80" s="30" t="str">
        <f>IFERROR(INDEX('G-8 Condition Look up'!$I$4:$I$135,MATCH(G80,'G-8 Condition Look up'!$A$4:$A$135,0)),"")</f>
        <v/>
      </c>
      <c r="D80" s="110">
        <v>70</v>
      </c>
      <c r="E80" s="339"/>
      <c r="F80" s="340"/>
      <c r="G80" s="295" t="str">
        <f>IFERROR(INDEX('G-1 All Habitats'!$B$3:$B$134,MATCH(F80,'G-1 All Habitats'!$A$3:$A$134,0)),"")</f>
        <v/>
      </c>
      <c r="H80" s="139"/>
      <c r="I80" s="722" t="str">
        <f>IF(G80="","",VLOOKUP(G80,'G-1 All Habitats'!$B$2:$M$134,10,FALSE))</f>
        <v/>
      </c>
      <c r="J80" s="490" t="str">
        <f>IFERROR(VLOOKUP(I80,'G-1 All Habitats'!$V$3:$W$7,2,FALSE),"")</f>
        <v/>
      </c>
      <c r="K80" s="114"/>
      <c r="L80" s="490" t="str">
        <f>IFERROR(INDEX('G-8 Condition Look up'!$A$3:$H$135,MATCH(G80,'G-8 Condition Look up'!$A$3:$A$135,0),MATCH(K80,'G-8 Condition Look up'!$A$3:$H$3,0)),"")</f>
        <v/>
      </c>
      <c r="M80" s="738"/>
      <c r="N80" s="404" t="str">
        <f>IF(M80="","",IF(VLOOKUP(M80,'G-3 Multipliers'!$L$3:$N$6,2,FALSE)=0,"Spatial Data Missing ⚠",VLOOKUP(M80,'G-3 Multipliers'!$L$3:$N$6,2,FALSE)))</f>
        <v/>
      </c>
      <c r="O80" s="452" t="str">
        <f>IF(M80="","",IF(VLOOKUP(M80,'G-3 Multipliers'!$L$3:$N$6,3,FALSE)=0,"Spatial Data Missing ⚠",VLOOKUP(M80,'G-3 Multipliers'!$L$3:$N$6,3,FALSE)))</f>
        <v/>
      </c>
      <c r="P80" s="369" t="str">
        <f>IFERROR(VLOOKUP(G80,'G-1 All Habitats'!$B$2:$M$134,12,FALSE),"")</f>
        <v/>
      </c>
      <c r="Q80" s="725" t="str">
        <f>IFERROR(IF(P80="","",IF(AND(P80='G-1 All Habitats'!$X$3,W80&gt;0),X80+(Y80*S80),IF(AND(P80='G-1 All Habitats'!$X$3,V80&gt;0),X80+(Y80*S80),IF(AND(P80='G-1 All Habitats'!$X$3,AG80&gt;0),"Any Loss Unacceptable  ⚠",IF(AND(P80='G-1 All Habitats'!$X$3,Z80&gt;0),"Any Loss Unacceptable ⚠",H80*J80*L80*O80*S80))))),"Check Data ⚠")</f>
        <v/>
      </c>
      <c r="R80" s="516"/>
      <c r="S80" s="724" t="str">
        <f>IF(R80="","",IF(VLOOKUP(R80,'G-3 Multipliers'!$S$3:$T$10,2,FALSE)=0,"Spatial Data Missing ⚠",VLOOKUP(R80,'G-3 Multipliers'!$S$3:$T$10,2,FALSE)))</f>
        <v/>
      </c>
      <c r="T80" s="376" t="str">
        <f>IFERROR(IF(P80="","",IF(AND(P80='G-1 All Habitats'!$X$3,W80&gt;0),X80+Y80,IF(AND(P80='G-1 All Habitats'!$X$3,V80&gt;0),X80+Y80,IF(AND(P80='G-1 All Habitats'!$X$3,AG80&gt;0),"Any Loss Unacceptable ⚠", IF(R80="","", IF(AND(P80='G-1 All Habitats'!$X$3,Z80&gt;0),"Any Loss Unacceptable ⚠",H80*J80*L80*O80)))))),"Check Data ⚠")</f>
        <v/>
      </c>
      <c r="U80" s="38"/>
      <c r="V80" s="54"/>
      <c r="W80" s="55"/>
      <c r="X80" s="374" t="str">
        <f t="shared" si="11"/>
        <v/>
      </c>
      <c r="Y80" s="374" t="str">
        <f t="shared" si="12"/>
        <v/>
      </c>
      <c r="Z80" s="374" t="str">
        <f>IF(E80="","",IF(H80&lt;V80+W80,"Error in Areas ▲",IF(P80&lt;&gt;'G-1 All Habitats'!$X$3,H80-V80-W80,IF(AND(P80='G-1 All Habitats'!$X$3,AB80="Yes"),"Unacceptable Loss ⚠",IF(AND(P80='G-1 All Habitats'!$X$3,AB80="No"),AG80,IF(AND(P80='G-1 All Habitats'!$X$3,AB80=""),AG80,IF(AND(P80='G-1 All Habitats'!$X$3,AG80="None",AG80),IF(AND(P80='G-1 All Habitats'!$X$3,AG80&gt;0),H80-V80-W80))))))))</f>
        <v/>
      </c>
      <c r="AA80" s="405" t="str">
        <f>IFERROR(IF(H80="","",IF(H80-V80-W80=0&lt;0,"Error in Areas ▲",IF(V80+W80&gt;H80,"Error in Areas ▲",IF(AND(P80='G-1 All Habitats'!$X$3,AB80="Yes"),"Alternative Compensation ✓",IF(Z80=0,0,IF(P80='G-1 All Habitats'!$X$3,"Any Loss Unacceptable ▲",T80-X80-Y80)))))),"Check Data ⚠")</f>
        <v/>
      </c>
      <c r="AB80" s="837"/>
      <c r="AC80" s="119"/>
      <c r="AD80" s="528"/>
      <c r="AE80" s="120"/>
      <c r="AF80" s="687"/>
      <c r="AG80" s="744" t="str">
        <f>IF(P80="","",IF(P80='G-1 All Habitats'!$X$3,H80-V80-W80,"None"))</f>
        <v/>
      </c>
      <c r="AH80" s="744" t="str">
        <f t="shared" si="13"/>
        <v/>
      </c>
      <c r="AJ80" s="124" t="str">
        <f t="shared" si="14"/>
        <v/>
      </c>
      <c r="AK80" s="124" t="str">
        <f t="shared" si="15"/>
        <v/>
      </c>
      <c r="AL80" s="124" t="str">
        <f>IF(I80="","",IF(#REF!&gt;0,TRUE,FALSE))</f>
        <v/>
      </c>
      <c r="AM80" s="124">
        <v>70</v>
      </c>
      <c r="AN80" s="124"/>
      <c r="AO80" s="124" t="str">
        <f t="array" ref="AO80">IFERROR(INDEX($AM$11:$AM$259, MATCH(0, IF(TRUE=$AJ$11:$AJ$259, COUNTIF($AO$10:$AO79, $AM$11:$AM$259), ""), 0)),"")</f>
        <v/>
      </c>
      <c r="AP80" s="124" t="str">
        <f t="array" ref="AP80">IFERROR(INDEX($AM$11:$AM$259, MATCH(0, IF(TRUE=$AK$11:$AK$259, COUNTIF($AP$10:$AP79, $AM$11:$AM$259), ""), 0)),"")</f>
        <v/>
      </c>
      <c r="AQ80" s="124" t="str">
        <f t="array" ref="AQ80">IFERROR(INDEX($AM$11:$AM$259, MATCH(0, IF(TRUE=$AL$11:$AL$259, COUNTIF($AQ$10:$AQ79, $AM$11:$AM$259), ""), 0)),"")</f>
        <v/>
      </c>
      <c r="AU80" s="30">
        <f t="shared" si="10"/>
        <v>0</v>
      </c>
      <c r="AY80" s="374" t="str">
        <f t="shared" si="16"/>
        <v/>
      </c>
    </row>
    <row r="81" spans="1:51">
      <c r="A81" s="30" t="str">
        <f>IFERROR(INDEX('G-1 All Habitats'!$AG$3:$AG$17,MATCH(E81,'G-1 All Habitats'!$AF$3:$AF$17,0)),"")</f>
        <v/>
      </c>
      <c r="B81" s="30" t="str">
        <f>IFERROR(INDEX('G-8 Condition Look up'!$I$4:$I$135,MATCH(G81,'G-8 Condition Look up'!$A$4:$A$135,0)),"")</f>
        <v/>
      </c>
      <c r="D81" s="110">
        <v>71</v>
      </c>
      <c r="E81" s="339"/>
      <c r="F81" s="340"/>
      <c r="G81" s="295" t="str">
        <f>IFERROR(INDEX('G-1 All Habitats'!$B$3:$B$134,MATCH(F81,'G-1 All Habitats'!$A$3:$A$134,0)),"")</f>
        <v/>
      </c>
      <c r="H81" s="139"/>
      <c r="I81" s="722" t="str">
        <f>IF(G81="","",VLOOKUP(G81,'G-1 All Habitats'!$B$2:$M$134,10,FALSE))</f>
        <v/>
      </c>
      <c r="J81" s="490" t="str">
        <f>IFERROR(VLOOKUP(I81,'G-1 All Habitats'!$V$3:$W$7,2,FALSE),"")</f>
        <v/>
      </c>
      <c r="K81" s="114"/>
      <c r="L81" s="490" t="str">
        <f>IFERROR(INDEX('G-8 Condition Look up'!$A$3:$H$135,MATCH(G81,'G-8 Condition Look up'!$A$3:$A$135,0),MATCH(K81,'G-8 Condition Look up'!$A$3:$H$3,0)),"")</f>
        <v/>
      </c>
      <c r="M81" s="738"/>
      <c r="N81" s="404" t="str">
        <f>IF(M81="","",IF(VLOOKUP(M81,'G-3 Multipliers'!$L$3:$N$6,2,FALSE)=0,"Spatial Data Missing ⚠",VLOOKUP(M81,'G-3 Multipliers'!$L$3:$N$6,2,FALSE)))</f>
        <v/>
      </c>
      <c r="O81" s="452" t="str">
        <f>IF(M81="","",IF(VLOOKUP(M81,'G-3 Multipliers'!$L$3:$N$6,3,FALSE)=0,"Spatial Data Missing ⚠",VLOOKUP(M81,'G-3 Multipliers'!$L$3:$N$6,3,FALSE)))</f>
        <v/>
      </c>
      <c r="P81" s="369" t="str">
        <f>IFERROR(VLOOKUP(G81,'G-1 All Habitats'!$B$2:$M$134,12,FALSE),"")</f>
        <v/>
      </c>
      <c r="Q81" s="725" t="str">
        <f>IFERROR(IF(P81="","",IF(AND(P81='G-1 All Habitats'!$X$3,W81&gt;0),X81+(Y81*S81),IF(AND(P81='G-1 All Habitats'!$X$3,V81&gt;0),X81+(Y81*S81),IF(AND(P81='G-1 All Habitats'!$X$3,AG81&gt;0),"Any Loss Unacceptable  ⚠",IF(AND(P81='G-1 All Habitats'!$X$3,Z81&gt;0),"Any Loss Unacceptable ⚠",H81*J81*L81*O81*S81))))),"Check Data ⚠")</f>
        <v/>
      </c>
      <c r="R81" s="516"/>
      <c r="S81" s="724" t="str">
        <f>IF(R81="","",IF(VLOOKUP(R81,'G-3 Multipliers'!$S$3:$T$10,2,FALSE)=0,"Spatial Data Missing ⚠",VLOOKUP(R81,'G-3 Multipliers'!$S$3:$T$10,2,FALSE)))</f>
        <v/>
      </c>
      <c r="T81" s="376" t="str">
        <f>IFERROR(IF(P81="","",IF(AND(P81='G-1 All Habitats'!$X$3,W81&gt;0),X81+Y81,IF(AND(P81='G-1 All Habitats'!$X$3,V81&gt;0),X81+Y81,IF(AND(P81='G-1 All Habitats'!$X$3,AG81&gt;0),"Any Loss Unacceptable ⚠", IF(R81="","", IF(AND(P81='G-1 All Habitats'!$X$3,Z81&gt;0),"Any Loss Unacceptable ⚠",H81*J81*L81*O81)))))),"Check Data ⚠")</f>
        <v/>
      </c>
      <c r="U81" s="38"/>
      <c r="V81" s="54"/>
      <c r="W81" s="55"/>
      <c r="X81" s="374" t="str">
        <f t="shared" si="11"/>
        <v/>
      </c>
      <c r="Y81" s="374" t="str">
        <f t="shared" si="12"/>
        <v/>
      </c>
      <c r="Z81" s="374" t="str">
        <f>IF(E81="","",IF(H81&lt;V81+W81,"Error in Areas ▲",IF(P81&lt;&gt;'G-1 All Habitats'!$X$3,H81-V81-W81,IF(AND(P81='G-1 All Habitats'!$X$3,AB81="Yes"),"Unacceptable Loss ⚠",IF(AND(P81='G-1 All Habitats'!$X$3,AB81="No"),AG81,IF(AND(P81='G-1 All Habitats'!$X$3,AB81=""),AG81,IF(AND(P81='G-1 All Habitats'!$X$3,AG81="None",AG81),IF(AND(P81='G-1 All Habitats'!$X$3,AG81&gt;0),H81-V81-W81))))))))</f>
        <v/>
      </c>
      <c r="AA81" s="405" t="str">
        <f>IFERROR(IF(H81="","",IF(H81-V81-W81=0&lt;0,"Error in Areas ▲",IF(V81+W81&gt;H81,"Error in Areas ▲",IF(AND(P81='G-1 All Habitats'!$X$3,AB81="Yes"),"Alternative Compensation ✓",IF(Z81=0,0,IF(P81='G-1 All Habitats'!$X$3,"Any Loss Unacceptable ▲",T81-X81-Y81)))))),"Check Data ⚠")</f>
        <v/>
      </c>
      <c r="AB81" s="837"/>
      <c r="AC81" s="119"/>
      <c r="AD81" s="528"/>
      <c r="AE81" s="120"/>
      <c r="AF81" s="687"/>
      <c r="AG81" s="744" t="str">
        <f>IF(P81="","",IF(P81='G-1 All Habitats'!$X$3,H81-V81-W81,"None"))</f>
        <v/>
      </c>
      <c r="AH81" s="744" t="str">
        <f t="shared" si="13"/>
        <v/>
      </c>
      <c r="AJ81" s="124" t="str">
        <f t="shared" si="14"/>
        <v/>
      </c>
      <c r="AK81" s="124" t="str">
        <f t="shared" si="15"/>
        <v/>
      </c>
      <c r="AL81" s="124" t="str">
        <f>IF(I81="","",IF(#REF!&gt;0,TRUE,FALSE))</f>
        <v/>
      </c>
      <c r="AM81" s="124">
        <v>71</v>
      </c>
      <c r="AN81" s="124"/>
      <c r="AO81" s="124" t="str">
        <f t="array" ref="AO81">IFERROR(INDEX($AM$11:$AM$259, MATCH(0, IF(TRUE=$AJ$11:$AJ$259, COUNTIF($AO$10:$AO80, $AM$11:$AM$259), ""), 0)),"")</f>
        <v/>
      </c>
      <c r="AP81" s="124" t="str">
        <f t="array" ref="AP81">IFERROR(INDEX($AM$11:$AM$259, MATCH(0, IF(TRUE=$AK$11:$AK$259, COUNTIF($AP$10:$AP80, $AM$11:$AM$259), ""), 0)),"")</f>
        <v/>
      </c>
      <c r="AQ81" s="124" t="str">
        <f t="array" ref="AQ81">IFERROR(INDEX($AM$11:$AM$259, MATCH(0, IF(TRUE=$AL$11:$AL$259, COUNTIF($AQ$10:$AQ80, $AM$11:$AM$259), ""), 0)),"")</f>
        <v/>
      </c>
      <c r="AU81" s="30">
        <f t="shared" ref="AU81:AU112" si="17">IF(AA81="Unacceptable Loss",1,0)</f>
        <v>0</v>
      </c>
      <c r="AY81" s="374" t="str">
        <f t="shared" si="16"/>
        <v/>
      </c>
    </row>
    <row r="82" spans="1:51">
      <c r="A82" s="30" t="str">
        <f>IFERROR(INDEX('G-1 All Habitats'!$AG$3:$AG$17,MATCH(E82,'G-1 All Habitats'!$AF$3:$AF$17,0)),"")</f>
        <v/>
      </c>
      <c r="B82" s="30" t="str">
        <f>IFERROR(INDEX('G-8 Condition Look up'!$I$4:$I$135,MATCH(G82,'G-8 Condition Look up'!$A$4:$A$135,0)),"")</f>
        <v/>
      </c>
      <c r="D82" s="110">
        <v>72</v>
      </c>
      <c r="E82" s="339"/>
      <c r="F82" s="340"/>
      <c r="G82" s="295" t="str">
        <f>IFERROR(INDEX('G-1 All Habitats'!$B$3:$B$134,MATCH(F82,'G-1 All Habitats'!$A$3:$A$134,0)),"")</f>
        <v/>
      </c>
      <c r="H82" s="139"/>
      <c r="I82" s="722" t="str">
        <f>IF(G82="","",VLOOKUP(G82,'G-1 All Habitats'!$B$2:$M$134,10,FALSE))</f>
        <v/>
      </c>
      <c r="J82" s="490" t="str">
        <f>IFERROR(VLOOKUP(I82,'G-1 All Habitats'!$V$3:$W$7,2,FALSE),"")</f>
        <v/>
      </c>
      <c r="K82" s="114"/>
      <c r="L82" s="490" t="str">
        <f>IFERROR(INDEX('G-8 Condition Look up'!$A$3:$H$135,MATCH(G82,'G-8 Condition Look up'!$A$3:$A$135,0),MATCH(K82,'G-8 Condition Look up'!$A$3:$H$3,0)),"")</f>
        <v/>
      </c>
      <c r="M82" s="738"/>
      <c r="N82" s="404" t="str">
        <f>IF(M82="","",IF(VLOOKUP(M82,'G-3 Multipliers'!$L$3:$N$6,2,FALSE)=0,"Spatial Data Missing ⚠",VLOOKUP(M82,'G-3 Multipliers'!$L$3:$N$6,2,FALSE)))</f>
        <v/>
      </c>
      <c r="O82" s="452" t="str">
        <f>IF(M82="","",IF(VLOOKUP(M82,'G-3 Multipliers'!$L$3:$N$6,3,FALSE)=0,"Spatial Data Missing ⚠",VLOOKUP(M82,'G-3 Multipliers'!$L$3:$N$6,3,FALSE)))</f>
        <v/>
      </c>
      <c r="P82" s="369" t="str">
        <f>IFERROR(VLOOKUP(G82,'G-1 All Habitats'!$B$2:$M$134,12,FALSE),"")</f>
        <v/>
      </c>
      <c r="Q82" s="725" t="str">
        <f>IFERROR(IF(P82="","",IF(AND(P82='G-1 All Habitats'!$X$3,W82&gt;0),X82+(Y82*S82),IF(AND(P82='G-1 All Habitats'!$X$3,V82&gt;0),X82+(Y82*S82),IF(AND(P82='G-1 All Habitats'!$X$3,AG82&gt;0),"Any Loss Unacceptable  ⚠",IF(AND(P82='G-1 All Habitats'!$X$3,Z82&gt;0),"Any Loss Unacceptable ⚠",H82*J82*L82*O82*S82))))),"Check Data ⚠")</f>
        <v/>
      </c>
      <c r="R82" s="516"/>
      <c r="S82" s="724" t="str">
        <f>IF(R82="","",IF(VLOOKUP(R82,'G-3 Multipliers'!$S$3:$T$10,2,FALSE)=0,"Spatial Data Missing ⚠",VLOOKUP(R82,'G-3 Multipliers'!$S$3:$T$10,2,FALSE)))</f>
        <v/>
      </c>
      <c r="T82" s="376" t="str">
        <f>IFERROR(IF(P82="","",IF(AND(P82='G-1 All Habitats'!$X$3,W82&gt;0),X82+Y82,IF(AND(P82='G-1 All Habitats'!$X$3,V82&gt;0),X82+Y82,IF(AND(P82='G-1 All Habitats'!$X$3,AG82&gt;0),"Any Loss Unacceptable ⚠", IF(R82="","", IF(AND(P82='G-1 All Habitats'!$X$3,Z82&gt;0),"Any Loss Unacceptable ⚠",H82*J82*L82*O82)))))),"Check Data ⚠")</f>
        <v/>
      </c>
      <c r="U82" s="38"/>
      <c r="V82" s="54"/>
      <c r="W82" s="55"/>
      <c r="X82" s="374" t="str">
        <f t="shared" si="11"/>
        <v/>
      </c>
      <c r="Y82" s="374" t="str">
        <f t="shared" si="12"/>
        <v/>
      </c>
      <c r="Z82" s="374" t="str">
        <f>IF(E82="","",IF(H82&lt;V82+W82,"Error in Areas ▲",IF(P82&lt;&gt;'G-1 All Habitats'!$X$3,H82-V82-W82,IF(AND(P82='G-1 All Habitats'!$X$3,AB82="Yes"),"Unacceptable Loss ⚠",IF(AND(P82='G-1 All Habitats'!$X$3,AB82="No"),AG82,IF(AND(P82='G-1 All Habitats'!$X$3,AB82=""),AG82,IF(AND(P82='G-1 All Habitats'!$X$3,AG82="None",AG82),IF(AND(P82='G-1 All Habitats'!$X$3,AG82&gt;0),H82-V82-W82))))))))</f>
        <v/>
      </c>
      <c r="AA82" s="405" t="str">
        <f>IFERROR(IF(H82="","",IF(H82-V82-W82=0&lt;0,"Error in Areas ▲",IF(V82+W82&gt;H82,"Error in Areas ▲",IF(AND(P82='G-1 All Habitats'!$X$3,AB82="Yes"),"Alternative Compensation ✓",IF(Z82=0,0,IF(P82='G-1 All Habitats'!$X$3,"Any Loss Unacceptable ▲",T82-X82-Y82)))))),"Check Data ⚠")</f>
        <v/>
      </c>
      <c r="AB82" s="837"/>
      <c r="AC82" s="119"/>
      <c r="AD82" s="528"/>
      <c r="AE82" s="120"/>
      <c r="AF82" s="687"/>
      <c r="AG82" s="744" t="str">
        <f>IF(P82="","",IF(P82='G-1 All Habitats'!$X$3,H82-V82-W82,"None"))</f>
        <v/>
      </c>
      <c r="AH82" s="744" t="str">
        <f t="shared" si="13"/>
        <v/>
      </c>
      <c r="AJ82" s="124" t="str">
        <f t="shared" si="14"/>
        <v/>
      </c>
      <c r="AK82" s="124" t="str">
        <f t="shared" si="15"/>
        <v/>
      </c>
      <c r="AL82" s="124" t="str">
        <f>IF(I82="","",IF(#REF!&gt;0,TRUE,FALSE))</f>
        <v/>
      </c>
      <c r="AM82" s="124">
        <v>72</v>
      </c>
      <c r="AN82" s="124"/>
      <c r="AO82" s="124" t="str">
        <f t="array" ref="AO82">IFERROR(INDEX($AM$11:$AM$259, MATCH(0, IF(TRUE=$AJ$11:$AJ$259, COUNTIF($AO$10:$AO81, $AM$11:$AM$259), ""), 0)),"")</f>
        <v/>
      </c>
      <c r="AP82" s="124" t="str">
        <f t="array" ref="AP82">IFERROR(INDEX($AM$11:$AM$259, MATCH(0, IF(TRUE=$AK$11:$AK$259, COUNTIF($AP$10:$AP81, $AM$11:$AM$259), ""), 0)),"")</f>
        <v/>
      </c>
      <c r="AQ82" s="124" t="str">
        <f t="array" ref="AQ82">IFERROR(INDEX($AM$11:$AM$259, MATCH(0, IF(TRUE=$AL$11:$AL$259, COUNTIF($AQ$10:$AQ81, $AM$11:$AM$259), ""), 0)),"")</f>
        <v/>
      </c>
      <c r="AU82" s="30">
        <f t="shared" si="17"/>
        <v>0</v>
      </c>
      <c r="AY82" s="374" t="str">
        <f t="shared" si="16"/>
        <v/>
      </c>
    </row>
    <row r="83" spans="1:51">
      <c r="A83" s="30" t="str">
        <f>IFERROR(INDEX('G-1 All Habitats'!$AG$3:$AG$17,MATCH(E83,'G-1 All Habitats'!$AF$3:$AF$17,0)),"")</f>
        <v/>
      </c>
      <c r="B83" s="30" t="str">
        <f>IFERROR(INDEX('G-8 Condition Look up'!$I$4:$I$135,MATCH(G83,'G-8 Condition Look up'!$A$4:$A$135,0)),"")</f>
        <v/>
      </c>
      <c r="D83" s="110">
        <v>73</v>
      </c>
      <c r="E83" s="339"/>
      <c r="F83" s="340"/>
      <c r="G83" s="295" t="str">
        <f>IFERROR(INDEX('G-1 All Habitats'!$B$3:$B$134,MATCH(F83,'G-1 All Habitats'!$A$3:$A$134,0)),"")</f>
        <v/>
      </c>
      <c r="H83" s="139"/>
      <c r="I83" s="722" t="str">
        <f>IF(G83="","",VLOOKUP(G83,'G-1 All Habitats'!$B$2:$M$134,10,FALSE))</f>
        <v/>
      </c>
      <c r="J83" s="490" t="str">
        <f>IFERROR(VLOOKUP(I83,'G-1 All Habitats'!$V$3:$W$7,2,FALSE),"")</f>
        <v/>
      </c>
      <c r="K83" s="114"/>
      <c r="L83" s="490" t="str">
        <f>IFERROR(INDEX('G-8 Condition Look up'!$A$3:$H$135,MATCH(G83,'G-8 Condition Look up'!$A$3:$A$135,0),MATCH(K83,'G-8 Condition Look up'!$A$3:$H$3,0)),"")</f>
        <v/>
      </c>
      <c r="M83" s="738"/>
      <c r="N83" s="404" t="str">
        <f>IF(M83="","",IF(VLOOKUP(M83,'G-3 Multipliers'!$L$3:$N$6,2,FALSE)=0,"Spatial Data Missing ⚠",VLOOKUP(M83,'G-3 Multipliers'!$L$3:$N$6,2,FALSE)))</f>
        <v/>
      </c>
      <c r="O83" s="452" t="str">
        <f>IF(M83="","",IF(VLOOKUP(M83,'G-3 Multipliers'!$L$3:$N$6,3,FALSE)=0,"Spatial Data Missing ⚠",VLOOKUP(M83,'G-3 Multipliers'!$L$3:$N$6,3,FALSE)))</f>
        <v/>
      </c>
      <c r="P83" s="369" t="str">
        <f>IFERROR(VLOOKUP(G83,'G-1 All Habitats'!$B$2:$M$134,12,FALSE),"")</f>
        <v/>
      </c>
      <c r="Q83" s="725" t="str">
        <f>IFERROR(IF(P83="","",IF(AND(P83='G-1 All Habitats'!$X$3,W83&gt;0),X83+(Y83*S83),IF(AND(P83='G-1 All Habitats'!$X$3,V83&gt;0),X83+(Y83*S83),IF(AND(P83='G-1 All Habitats'!$X$3,AG83&gt;0),"Any Loss Unacceptable  ⚠",IF(AND(P83='G-1 All Habitats'!$X$3,Z83&gt;0),"Any Loss Unacceptable ⚠",H83*J83*L83*O83*S83))))),"Check Data ⚠")</f>
        <v/>
      </c>
      <c r="R83" s="516"/>
      <c r="S83" s="724" t="str">
        <f>IF(R83="","",IF(VLOOKUP(R83,'G-3 Multipliers'!$S$3:$T$10,2,FALSE)=0,"Spatial Data Missing ⚠",VLOOKUP(R83,'G-3 Multipliers'!$S$3:$T$10,2,FALSE)))</f>
        <v/>
      </c>
      <c r="T83" s="376" t="str">
        <f>IFERROR(IF(P83="","",IF(AND(P83='G-1 All Habitats'!$X$3,W83&gt;0),X83+Y83,IF(AND(P83='G-1 All Habitats'!$X$3,V83&gt;0),X83+Y83,IF(AND(P83='G-1 All Habitats'!$X$3,AG83&gt;0),"Any Loss Unacceptable ⚠", IF(R83="","", IF(AND(P83='G-1 All Habitats'!$X$3,Z83&gt;0),"Any Loss Unacceptable ⚠",H83*J83*L83*O83)))))),"Check Data ⚠")</f>
        <v/>
      </c>
      <c r="U83" s="38"/>
      <c r="V83" s="54"/>
      <c r="W83" s="55"/>
      <c r="X83" s="374" t="str">
        <f t="shared" si="11"/>
        <v/>
      </c>
      <c r="Y83" s="374" t="str">
        <f t="shared" si="12"/>
        <v/>
      </c>
      <c r="Z83" s="374" t="str">
        <f>IF(E83="","",IF(H83&lt;V83+W83,"Error in Areas ▲",IF(P83&lt;&gt;'G-1 All Habitats'!$X$3,H83-V83-W83,IF(AND(P83='G-1 All Habitats'!$X$3,AB83="Yes"),"Unacceptable Loss ⚠",IF(AND(P83='G-1 All Habitats'!$X$3,AB83="No"),AG83,IF(AND(P83='G-1 All Habitats'!$X$3,AB83=""),AG83,IF(AND(P83='G-1 All Habitats'!$X$3,AG83="None",AG83),IF(AND(P83='G-1 All Habitats'!$X$3,AG83&gt;0),H83-V83-W83))))))))</f>
        <v/>
      </c>
      <c r="AA83" s="405" t="str">
        <f>IFERROR(IF(H83="","",IF(H83-V83-W83=0&lt;0,"Error in Areas ▲",IF(V83+W83&gt;H83,"Error in Areas ▲",IF(AND(P83='G-1 All Habitats'!$X$3,AB83="Yes"),"Alternative Compensation ✓",IF(Z83=0,0,IF(P83='G-1 All Habitats'!$X$3,"Any Loss Unacceptable ▲",T83-X83-Y83)))))),"Check Data ⚠")</f>
        <v/>
      </c>
      <c r="AB83" s="837"/>
      <c r="AC83" s="119"/>
      <c r="AD83" s="528"/>
      <c r="AE83" s="120"/>
      <c r="AF83" s="687"/>
      <c r="AG83" s="744" t="str">
        <f>IF(P83="","",IF(P83='G-1 All Habitats'!$X$3,H83-V83-W83,"None"))</f>
        <v/>
      </c>
      <c r="AH83" s="744" t="str">
        <f t="shared" si="13"/>
        <v/>
      </c>
      <c r="AJ83" s="124" t="str">
        <f t="shared" si="14"/>
        <v/>
      </c>
      <c r="AK83" s="124" t="str">
        <f t="shared" si="15"/>
        <v/>
      </c>
      <c r="AL83" s="124" t="str">
        <f>IF(I83="","",IF(#REF!&gt;0,TRUE,FALSE))</f>
        <v/>
      </c>
      <c r="AM83" s="124">
        <v>73</v>
      </c>
      <c r="AN83" s="124"/>
      <c r="AO83" s="124" t="str">
        <f t="array" ref="AO83">IFERROR(INDEX($AM$11:$AM$259, MATCH(0, IF(TRUE=$AJ$11:$AJ$259, COUNTIF($AO$10:$AO82, $AM$11:$AM$259), ""), 0)),"")</f>
        <v/>
      </c>
      <c r="AP83" s="124" t="str">
        <f t="array" ref="AP83">IFERROR(INDEX($AM$11:$AM$259, MATCH(0, IF(TRUE=$AK$11:$AK$259, COUNTIF($AP$10:$AP82, $AM$11:$AM$259), ""), 0)),"")</f>
        <v/>
      </c>
      <c r="AQ83" s="124" t="str">
        <f t="array" ref="AQ83">IFERROR(INDEX($AM$11:$AM$259, MATCH(0, IF(TRUE=$AL$11:$AL$259, COUNTIF($AQ$10:$AQ82, $AM$11:$AM$259), ""), 0)),"")</f>
        <v/>
      </c>
      <c r="AU83" s="30">
        <f t="shared" si="17"/>
        <v>0</v>
      </c>
      <c r="AY83" s="374" t="str">
        <f t="shared" si="16"/>
        <v/>
      </c>
    </row>
    <row r="84" spans="1:51">
      <c r="A84" s="30" t="str">
        <f>IFERROR(INDEX('G-1 All Habitats'!$AG$3:$AG$17,MATCH(E84,'G-1 All Habitats'!$AF$3:$AF$17,0)),"")</f>
        <v/>
      </c>
      <c r="B84" s="30" t="str">
        <f>IFERROR(INDEX('G-8 Condition Look up'!$I$4:$I$135,MATCH(G84,'G-8 Condition Look up'!$A$4:$A$135,0)),"")</f>
        <v/>
      </c>
      <c r="D84" s="110">
        <v>74</v>
      </c>
      <c r="E84" s="339"/>
      <c r="F84" s="340"/>
      <c r="G84" s="295" t="str">
        <f>IFERROR(INDEX('G-1 All Habitats'!$B$3:$B$134,MATCH(F84,'G-1 All Habitats'!$A$3:$A$134,0)),"")</f>
        <v/>
      </c>
      <c r="H84" s="139"/>
      <c r="I84" s="722" t="str">
        <f>IF(G84="","",VLOOKUP(G84,'G-1 All Habitats'!$B$2:$M$134,10,FALSE))</f>
        <v/>
      </c>
      <c r="J84" s="490" t="str">
        <f>IFERROR(VLOOKUP(I84,'G-1 All Habitats'!$V$3:$W$7,2,FALSE),"")</f>
        <v/>
      </c>
      <c r="K84" s="114"/>
      <c r="L84" s="490" t="str">
        <f>IFERROR(INDEX('G-8 Condition Look up'!$A$3:$H$135,MATCH(G84,'G-8 Condition Look up'!$A$3:$A$135,0),MATCH(K84,'G-8 Condition Look up'!$A$3:$H$3,0)),"")</f>
        <v/>
      </c>
      <c r="M84" s="738"/>
      <c r="N84" s="404" t="str">
        <f>IF(M84="","",IF(VLOOKUP(M84,'G-3 Multipliers'!$L$3:$N$6,2,FALSE)=0,"Spatial Data Missing ⚠",VLOOKUP(M84,'G-3 Multipliers'!$L$3:$N$6,2,FALSE)))</f>
        <v/>
      </c>
      <c r="O84" s="452" t="str">
        <f>IF(M84="","",IF(VLOOKUP(M84,'G-3 Multipliers'!$L$3:$N$6,3,FALSE)=0,"Spatial Data Missing ⚠",VLOOKUP(M84,'G-3 Multipliers'!$L$3:$N$6,3,FALSE)))</f>
        <v/>
      </c>
      <c r="P84" s="369" t="str">
        <f>IFERROR(VLOOKUP(G84,'G-1 All Habitats'!$B$2:$M$134,12,FALSE),"")</f>
        <v/>
      </c>
      <c r="Q84" s="725" t="str">
        <f>IFERROR(IF(P84="","",IF(AND(P84='G-1 All Habitats'!$X$3,W84&gt;0),X84+(Y84*S84),IF(AND(P84='G-1 All Habitats'!$X$3,V84&gt;0),X84+(Y84*S84),IF(AND(P84='G-1 All Habitats'!$X$3,AG84&gt;0),"Any Loss Unacceptable  ⚠",IF(AND(P84='G-1 All Habitats'!$X$3,Z84&gt;0),"Any Loss Unacceptable ⚠",H84*J84*L84*O84*S84))))),"Check Data ⚠")</f>
        <v/>
      </c>
      <c r="R84" s="516"/>
      <c r="S84" s="724" t="str">
        <f>IF(R84="","",IF(VLOOKUP(R84,'G-3 Multipliers'!$S$3:$T$10,2,FALSE)=0,"Spatial Data Missing ⚠",VLOOKUP(R84,'G-3 Multipliers'!$S$3:$T$10,2,FALSE)))</f>
        <v/>
      </c>
      <c r="T84" s="376" t="str">
        <f>IFERROR(IF(P84="","",IF(AND(P84='G-1 All Habitats'!$X$3,W84&gt;0),X84+Y84,IF(AND(P84='G-1 All Habitats'!$X$3,V84&gt;0),X84+Y84,IF(AND(P84='G-1 All Habitats'!$X$3,AG84&gt;0),"Any Loss Unacceptable ⚠", IF(R84="","", IF(AND(P84='G-1 All Habitats'!$X$3,Z84&gt;0),"Any Loss Unacceptable ⚠",H84*J84*L84*O84)))))),"Check Data ⚠")</f>
        <v/>
      </c>
      <c r="U84" s="38"/>
      <c r="V84" s="54"/>
      <c r="W84" s="55"/>
      <c r="X84" s="374" t="str">
        <f t="shared" si="11"/>
        <v/>
      </c>
      <c r="Y84" s="374" t="str">
        <f t="shared" si="12"/>
        <v/>
      </c>
      <c r="Z84" s="374" t="str">
        <f>IF(E84="","",IF(H84&lt;V84+W84,"Error in Areas ▲",IF(P84&lt;&gt;'G-1 All Habitats'!$X$3,H84-V84-W84,IF(AND(P84='G-1 All Habitats'!$X$3,AB84="Yes"),"Unacceptable Loss ⚠",IF(AND(P84='G-1 All Habitats'!$X$3,AB84="No"),AG84,IF(AND(P84='G-1 All Habitats'!$X$3,AB84=""),AG84,IF(AND(P84='G-1 All Habitats'!$X$3,AG84="None",AG84),IF(AND(P84='G-1 All Habitats'!$X$3,AG84&gt;0),H84-V84-W84))))))))</f>
        <v/>
      </c>
      <c r="AA84" s="405" t="str">
        <f>IFERROR(IF(H84="","",IF(H84-V84-W84=0&lt;0,"Error in Areas ▲",IF(V84+W84&gt;H84,"Error in Areas ▲",IF(AND(P84='G-1 All Habitats'!$X$3,AB84="Yes"),"Alternative Compensation ✓",IF(Z84=0,0,IF(P84='G-1 All Habitats'!$X$3,"Any Loss Unacceptable ▲",T84-X84-Y84)))))),"Check Data ⚠")</f>
        <v/>
      </c>
      <c r="AB84" s="837"/>
      <c r="AC84" s="119"/>
      <c r="AD84" s="528"/>
      <c r="AE84" s="120"/>
      <c r="AF84" s="687"/>
      <c r="AG84" s="744" t="str">
        <f>IF(P84="","",IF(P84='G-1 All Habitats'!$X$3,H84-V84-W84,"None"))</f>
        <v/>
      </c>
      <c r="AH84" s="744" t="str">
        <f t="shared" si="13"/>
        <v/>
      </c>
      <c r="AJ84" s="124" t="str">
        <f t="shared" si="14"/>
        <v/>
      </c>
      <c r="AK84" s="124" t="str">
        <f t="shared" si="15"/>
        <v/>
      </c>
      <c r="AL84" s="124" t="str">
        <f>IF(I84="","",IF(#REF!&gt;0,TRUE,FALSE))</f>
        <v/>
      </c>
      <c r="AM84" s="124">
        <v>74</v>
      </c>
      <c r="AN84" s="124"/>
      <c r="AO84" s="124" t="str">
        <f t="array" ref="AO84">IFERROR(INDEX($AM$11:$AM$259, MATCH(0, IF(TRUE=$AJ$11:$AJ$259, COUNTIF($AO$10:$AO83, $AM$11:$AM$259), ""), 0)),"")</f>
        <v/>
      </c>
      <c r="AP84" s="124" t="str">
        <f t="array" ref="AP84">IFERROR(INDEX($AM$11:$AM$259, MATCH(0, IF(TRUE=$AK$11:$AK$259, COUNTIF($AP$10:$AP83, $AM$11:$AM$259), ""), 0)),"")</f>
        <v/>
      </c>
      <c r="AQ84" s="124" t="str">
        <f t="array" ref="AQ84">IFERROR(INDEX($AM$11:$AM$259, MATCH(0, IF(TRUE=$AL$11:$AL$259, COUNTIF($AQ$10:$AQ83, $AM$11:$AM$259), ""), 0)),"")</f>
        <v/>
      </c>
      <c r="AU84" s="30">
        <f t="shared" si="17"/>
        <v>0</v>
      </c>
      <c r="AY84" s="374" t="str">
        <f t="shared" si="16"/>
        <v/>
      </c>
    </row>
    <row r="85" spans="1:51">
      <c r="A85" s="30" t="str">
        <f>IFERROR(INDEX('G-1 All Habitats'!$AG$3:$AG$17,MATCH(E85,'G-1 All Habitats'!$AF$3:$AF$17,0)),"")</f>
        <v/>
      </c>
      <c r="B85" s="30" t="str">
        <f>IFERROR(INDEX('G-8 Condition Look up'!$I$4:$I$135,MATCH(G85,'G-8 Condition Look up'!$A$4:$A$135,0)),"")</f>
        <v/>
      </c>
      <c r="D85" s="110">
        <v>75</v>
      </c>
      <c r="E85" s="339"/>
      <c r="F85" s="340"/>
      <c r="G85" s="295" t="str">
        <f>IFERROR(INDEX('G-1 All Habitats'!$B$3:$B$134,MATCH(F85,'G-1 All Habitats'!$A$3:$A$134,0)),"")</f>
        <v/>
      </c>
      <c r="H85" s="139"/>
      <c r="I85" s="722" t="str">
        <f>IF(G85="","",VLOOKUP(G85,'G-1 All Habitats'!$B$2:$M$134,10,FALSE))</f>
        <v/>
      </c>
      <c r="J85" s="490" t="str">
        <f>IFERROR(VLOOKUP(I85,'G-1 All Habitats'!$V$3:$W$7,2,FALSE),"")</f>
        <v/>
      </c>
      <c r="K85" s="114"/>
      <c r="L85" s="490" t="str">
        <f>IFERROR(INDEX('G-8 Condition Look up'!$A$3:$H$135,MATCH(G85,'G-8 Condition Look up'!$A$3:$A$135,0),MATCH(K85,'G-8 Condition Look up'!$A$3:$H$3,0)),"")</f>
        <v/>
      </c>
      <c r="M85" s="738"/>
      <c r="N85" s="404" t="str">
        <f>IF(M85="","",IF(VLOOKUP(M85,'G-3 Multipliers'!$L$3:$N$6,2,FALSE)=0,"Spatial Data Missing ⚠",VLOOKUP(M85,'G-3 Multipliers'!$L$3:$N$6,2,FALSE)))</f>
        <v/>
      </c>
      <c r="O85" s="452" t="str">
        <f>IF(M85="","",IF(VLOOKUP(M85,'G-3 Multipliers'!$L$3:$N$6,3,FALSE)=0,"Spatial Data Missing ⚠",VLOOKUP(M85,'G-3 Multipliers'!$L$3:$N$6,3,FALSE)))</f>
        <v/>
      </c>
      <c r="P85" s="369" t="str">
        <f>IFERROR(VLOOKUP(G85,'G-1 All Habitats'!$B$2:$M$134,12,FALSE),"")</f>
        <v/>
      </c>
      <c r="Q85" s="725" t="str">
        <f>IFERROR(IF(P85="","",IF(AND(P85='G-1 All Habitats'!$X$3,W85&gt;0),X85+(Y85*S85),IF(AND(P85='G-1 All Habitats'!$X$3,V85&gt;0),X85+(Y85*S85),IF(AND(P85='G-1 All Habitats'!$X$3,AG85&gt;0),"Any Loss Unacceptable  ⚠",IF(AND(P85='G-1 All Habitats'!$X$3,Z85&gt;0),"Any Loss Unacceptable ⚠",H85*J85*L85*O85*S85))))),"Check Data ⚠")</f>
        <v/>
      </c>
      <c r="R85" s="516"/>
      <c r="S85" s="724" t="str">
        <f>IF(R85="","",IF(VLOOKUP(R85,'G-3 Multipliers'!$S$3:$T$10,2,FALSE)=0,"Spatial Data Missing ⚠",VLOOKUP(R85,'G-3 Multipliers'!$S$3:$T$10,2,FALSE)))</f>
        <v/>
      </c>
      <c r="T85" s="376" t="str">
        <f>IFERROR(IF(P85="","",IF(AND(P85='G-1 All Habitats'!$X$3,W85&gt;0),X85+Y85,IF(AND(P85='G-1 All Habitats'!$X$3,V85&gt;0),X85+Y85,IF(AND(P85='G-1 All Habitats'!$X$3,AG85&gt;0),"Any Loss Unacceptable ⚠", IF(R85="","", IF(AND(P85='G-1 All Habitats'!$X$3,Z85&gt;0),"Any Loss Unacceptable ⚠",H85*J85*L85*O85)))))),"Check Data ⚠")</f>
        <v/>
      </c>
      <c r="U85" s="38"/>
      <c r="V85" s="54"/>
      <c r="W85" s="55"/>
      <c r="X85" s="374" t="str">
        <f t="shared" si="11"/>
        <v/>
      </c>
      <c r="Y85" s="374" t="str">
        <f t="shared" si="12"/>
        <v/>
      </c>
      <c r="Z85" s="374" t="str">
        <f>IF(E85="","",IF(H85&lt;V85+W85,"Error in Areas ▲",IF(P85&lt;&gt;'G-1 All Habitats'!$X$3,H85-V85-W85,IF(AND(P85='G-1 All Habitats'!$X$3,AB85="Yes"),"Unacceptable Loss ⚠",IF(AND(P85='G-1 All Habitats'!$X$3,AB85="No"),AG85,IF(AND(P85='G-1 All Habitats'!$X$3,AB85=""),AG85,IF(AND(P85='G-1 All Habitats'!$X$3,AG85="None",AG85),IF(AND(P85='G-1 All Habitats'!$X$3,AG85&gt;0),H85-V85-W85))))))))</f>
        <v/>
      </c>
      <c r="AA85" s="405" t="str">
        <f>IFERROR(IF(H85="","",IF(H85-V85-W85=0&lt;0,"Error in Areas ▲",IF(V85+W85&gt;H85,"Error in Areas ▲",IF(AND(P85='G-1 All Habitats'!$X$3,AB85="Yes"),"Alternative Compensation ✓",IF(Z85=0,0,IF(P85='G-1 All Habitats'!$X$3,"Any Loss Unacceptable ▲",T85-X85-Y85)))))),"Check Data ⚠")</f>
        <v/>
      </c>
      <c r="AB85" s="837"/>
      <c r="AC85" s="119"/>
      <c r="AD85" s="528"/>
      <c r="AE85" s="120"/>
      <c r="AF85" s="687"/>
      <c r="AG85" s="744" t="str">
        <f>IF(P85="","",IF(P85='G-1 All Habitats'!$X$3,H85-V85-W85,"None"))</f>
        <v/>
      </c>
      <c r="AH85" s="744" t="str">
        <f t="shared" si="13"/>
        <v/>
      </c>
      <c r="AJ85" s="124" t="str">
        <f t="shared" si="14"/>
        <v/>
      </c>
      <c r="AK85" s="124" t="str">
        <f t="shared" si="15"/>
        <v/>
      </c>
      <c r="AL85" s="124" t="str">
        <f>IF(I85="","",IF(#REF!&gt;0,TRUE,FALSE))</f>
        <v/>
      </c>
      <c r="AM85" s="124">
        <v>75</v>
      </c>
      <c r="AN85" s="124"/>
      <c r="AO85" s="124" t="str">
        <f t="array" ref="AO85">IFERROR(INDEX($AM$11:$AM$259, MATCH(0, IF(TRUE=$AJ$11:$AJ$259, COUNTIF($AO$10:$AO84, $AM$11:$AM$259), ""), 0)),"")</f>
        <v/>
      </c>
      <c r="AP85" s="124" t="str">
        <f t="array" ref="AP85">IFERROR(INDEX($AM$11:$AM$259, MATCH(0, IF(TRUE=$AK$11:$AK$259, COUNTIF($AP$10:$AP84, $AM$11:$AM$259), ""), 0)),"")</f>
        <v/>
      </c>
      <c r="AQ85" s="124" t="str">
        <f t="array" ref="AQ85">IFERROR(INDEX($AM$11:$AM$259, MATCH(0, IF(TRUE=$AL$11:$AL$259, COUNTIF($AQ$10:$AQ84, $AM$11:$AM$259), ""), 0)),"")</f>
        <v/>
      </c>
      <c r="AU85" s="30">
        <f t="shared" si="17"/>
        <v>0</v>
      </c>
      <c r="AY85" s="374" t="str">
        <f t="shared" si="16"/>
        <v/>
      </c>
    </row>
    <row r="86" spans="1:51">
      <c r="A86" s="30" t="str">
        <f>IFERROR(INDEX('G-1 All Habitats'!$AG$3:$AG$17,MATCH(E86,'G-1 All Habitats'!$AF$3:$AF$17,0)),"")</f>
        <v/>
      </c>
      <c r="B86" s="30" t="str">
        <f>IFERROR(INDEX('G-8 Condition Look up'!$I$4:$I$135,MATCH(G86,'G-8 Condition Look up'!$A$4:$A$135,0)),"")</f>
        <v/>
      </c>
      <c r="D86" s="110">
        <v>76</v>
      </c>
      <c r="E86" s="339"/>
      <c r="F86" s="340"/>
      <c r="G86" s="295" t="str">
        <f>IFERROR(INDEX('G-1 All Habitats'!$B$3:$B$134,MATCH(F86,'G-1 All Habitats'!$A$3:$A$134,0)),"")</f>
        <v/>
      </c>
      <c r="H86" s="139"/>
      <c r="I86" s="722" t="str">
        <f>IF(G86="","",VLOOKUP(G86,'G-1 All Habitats'!$B$2:$M$134,10,FALSE))</f>
        <v/>
      </c>
      <c r="J86" s="490" t="str">
        <f>IFERROR(VLOOKUP(I86,'G-1 All Habitats'!$V$3:$W$7,2,FALSE),"")</f>
        <v/>
      </c>
      <c r="K86" s="114"/>
      <c r="L86" s="490" t="str">
        <f>IFERROR(INDEX('G-8 Condition Look up'!$A$3:$H$135,MATCH(G86,'G-8 Condition Look up'!$A$3:$A$135,0),MATCH(K86,'G-8 Condition Look up'!$A$3:$H$3,0)),"")</f>
        <v/>
      </c>
      <c r="M86" s="738"/>
      <c r="N86" s="404" t="str">
        <f>IF(M86="","",IF(VLOOKUP(M86,'G-3 Multipliers'!$L$3:$N$6,2,FALSE)=0,"Spatial Data Missing ⚠",VLOOKUP(M86,'G-3 Multipliers'!$L$3:$N$6,2,FALSE)))</f>
        <v/>
      </c>
      <c r="O86" s="452" t="str">
        <f>IF(M86="","",IF(VLOOKUP(M86,'G-3 Multipliers'!$L$3:$N$6,3,FALSE)=0,"Spatial Data Missing ⚠",VLOOKUP(M86,'G-3 Multipliers'!$L$3:$N$6,3,FALSE)))</f>
        <v/>
      </c>
      <c r="P86" s="369" t="str">
        <f>IFERROR(VLOOKUP(G86,'G-1 All Habitats'!$B$2:$M$134,12,FALSE),"")</f>
        <v/>
      </c>
      <c r="Q86" s="725" t="str">
        <f>IFERROR(IF(P86="","",IF(AND(P86='G-1 All Habitats'!$X$3,W86&gt;0),X86+(Y86*S86),IF(AND(P86='G-1 All Habitats'!$X$3,V86&gt;0),X86+(Y86*S86),IF(AND(P86='G-1 All Habitats'!$X$3,AG86&gt;0),"Any Loss Unacceptable  ⚠",IF(AND(P86='G-1 All Habitats'!$X$3,Z86&gt;0),"Any Loss Unacceptable ⚠",H86*J86*L86*O86*S86))))),"Check Data ⚠")</f>
        <v/>
      </c>
      <c r="R86" s="516"/>
      <c r="S86" s="724" t="str">
        <f>IF(R86="","",IF(VLOOKUP(R86,'G-3 Multipliers'!$S$3:$T$10,2,FALSE)=0,"Spatial Data Missing ⚠",VLOOKUP(R86,'G-3 Multipliers'!$S$3:$T$10,2,FALSE)))</f>
        <v/>
      </c>
      <c r="T86" s="376" t="str">
        <f>IFERROR(IF(P86="","",IF(AND(P86='G-1 All Habitats'!$X$3,W86&gt;0),X86+Y86,IF(AND(P86='G-1 All Habitats'!$X$3,V86&gt;0),X86+Y86,IF(AND(P86='G-1 All Habitats'!$X$3,AG86&gt;0),"Any Loss Unacceptable ⚠", IF(R86="","", IF(AND(P86='G-1 All Habitats'!$X$3,Z86&gt;0),"Any Loss Unacceptable ⚠",H86*J86*L86*O86)))))),"Check Data ⚠")</f>
        <v/>
      </c>
      <c r="U86" s="38"/>
      <c r="V86" s="54"/>
      <c r="W86" s="55"/>
      <c r="X86" s="374" t="str">
        <f t="shared" si="11"/>
        <v/>
      </c>
      <c r="Y86" s="374" t="str">
        <f t="shared" si="12"/>
        <v/>
      </c>
      <c r="Z86" s="374" t="str">
        <f>IF(E86="","",IF(H86&lt;V86+W86,"Error in Areas ▲",IF(P86&lt;&gt;'G-1 All Habitats'!$X$3,H86-V86-W86,IF(AND(P86='G-1 All Habitats'!$X$3,AB86="Yes"),"Unacceptable Loss ⚠",IF(AND(P86='G-1 All Habitats'!$X$3,AB86="No"),AG86,IF(AND(P86='G-1 All Habitats'!$X$3,AB86=""),AG86,IF(AND(P86='G-1 All Habitats'!$X$3,AG86="None",AG86),IF(AND(P86='G-1 All Habitats'!$X$3,AG86&gt;0),H86-V86-W86))))))))</f>
        <v/>
      </c>
      <c r="AA86" s="405" t="str">
        <f>IFERROR(IF(H86="","",IF(H86-V86-W86=0&lt;0,"Error in Areas ▲",IF(V86+W86&gt;H86,"Error in Areas ▲",IF(AND(P86='G-1 All Habitats'!$X$3,AB86="Yes"),"Alternative Compensation ✓",IF(Z86=0,0,IF(P86='G-1 All Habitats'!$X$3,"Any Loss Unacceptable ▲",T86-X86-Y86)))))),"Check Data ⚠")</f>
        <v/>
      </c>
      <c r="AB86" s="837"/>
      <c r="AC86" s="119"/>
      <c r="AD86" s="528"/>
      <c r="AE86" s="120"/>
      <c r="AF86" s="687"/>
      <c r="AG86" s="744" t="str">
        <f>IF(P86="","",IF(P86='G-1 All Habitats'!$X$3,H86-V86-W86,"None"))</f>
        <v/>
      </c>
      <c r="AH86" s="744" t="str">
        <f t="shared" si="13"/>
        <v/>
      </c>
      <c r="AJ86" s="124" t="str">
        <f t="shared" si="14"/>
        <v/>
      </c>
      <c r="AK86" s="124" t="str">
        <f t="shared" si="15"/>
        <v/>
      </c>
      <c r="AL86" s="124" t="str">
        <f>IF(I86="","",IF(#REF!&gt;0,TRUE,FALSE))</f>
        <v/>
      </c>
      <c r="AM86" s="124">
        <v>76</v>
      </c>
      <c r="AN86" s="124"/>
      <c r="AO86" s="124" t="str">
        <f t="array" ref="AO86">IFERROR(INDEX($AM$11:$AM$259, MATCH(0, IF(TRUE=$AJ$11:$AJ$259, COUNTIF($AO$10:$AO85, $AM$11:$AM$259), ""), 0)),"")</f>
        <v/>
      </c>
      <c r="AP86" s="124" t="str">
        <f t="array" ref="AP86">IFERROR(INDEX($AM$11:$AM$259, MATCH(0, IF(TRUE=$AK$11:$AK$259, COUNTIF($AP$10:$AP85, $AM$11:$AM$259), ""), 0)),"")</f>
        <v/>
      </c>
      <c r="AQ86" s="124" t="str">
        <f t="array" ref="AQ86">IFERROR(INDEX($AM$11:$AM$259, MATCH(0, IF(TRUE=$AL$11:$AL$259, COUNTIF($AQ$10:$AQ85, $AM$11:$AM$259), ""), 0)),"")</f>
        <v/>
      </c>
      <c r="AU86" s="30">
        <f t="shared" si="17"/>
        <v>0</v>
      </c>
      <c r="AY86" s="374" t="str">
        <f t="shared" si="16"/>
        <v/>
      </c>
    </row>
    <row r="87" spans="1:51">
      <c r="A87" s="30" t="str">
        <f>IFERROR(INDEX('G-1 All Habitats'!$AG$3:$AG$17,MATCH(E87,'G-1 All Habitats'!$AF$3:$AF$17,0)),"")</f>
        <v/>
      </c>
      <c r="B87" s="30" t="str">
        <f>IFERROR(INDEX('G-8 Condition Look up'!$I$4:$I$135,MATCH(G87,'G-8 Condition Look up'!$A$4:$A$135,0)),"")</f>
        <v/>
      </c>
      <c r="D87" s="110">
        <v>77</v>
      </c>
      <c r="E87" s="339"/>
      <c r="F87" s="340"/>
      <c r="G87" s="295" t="str">
        <f>IFERROR(INDEX('G-1 All Habitats'!$B$3:$B$134,MATCH(F87,'G-1 All Habitats'!$A$3:$A$134,0)),"")</f>
        <v/>
      </c>
      <c r="H87" s="139"/>
      <c r="I87" s="722" t="str">
        <f>IF(G87="","",VLOOKUP(G87,'G-1 All Habitats'!$B$2:$M$134,10,FALSE))</f>
        <v/>
      </c>
      <c r="J87" s="490" t="str">
        <f>IFERROR(VLOOKUP(I87,'G-1 All Habitats'!$V$3:$W$7,2,FALSE),"")</f>
        <v/>
      </c>
      <c r="K87" s="114"/>
      <c r="L87" s="490" t="str">
        <f>IFERROR(INDEX('G-8 Condition Look up'!$A$3:$H$135,MATCH(G87,'G-8 Condition Look up'!$A$3:$A$135,0),MATCH(K87,'G-8 Condition Look up'!$A$3:$H$3,0)),"")</f>
        <v/>
      </c>
      <c r="M87" s="738"/>
      <c r="N87" s="404" t="str">
        <f>IF(M87="","",IF(VLOOKUP(M87,'G-3 Multipliers'!$L$3:$N$6,2,FALSE)=0,"Spatial Data Missing ⚠",VLOOKUP(M87,'G-3 Multipliers'!$L$3:$N$6,2,FALSE)))</f>
        <v/>
      </c>
      <c r="O87" s="452" t="str">
        <f>IF(M87="","",IF(VLOOKUP(M87,'G-3 Multipliers'!$L$3:$N$6,3,FALSE)=0,"Spatial Data Missing ⚠",VLOOKUP(M87,'G-3 Multipliers'!$L$3:$N$6,3,FALSE)))</f>
        <v/>
      </c>
      <c r="P87" s="369" t="str">
        <f>IFERROR(VLOOKUP(G87,'G-1 All Habitats'!$B$2:$M$134,12,FALSE),"")</f>
        <v/>
      </c>
      <c r="Q87" s="725" t="str">
        <f>IFERROR(IF(P87="","",IF(AND(P87='G-1 All Habitats'!$X$3,W87&gt;0),X87+(Y87*S87),IF(AND(P87='G-1 All Habitats'!$X$3,V87&gt;0),X87+(Y87*S87),IF(AND(P87='G-1 All Habitats'!$X$3,AG87&gt;0),"Any Loss Unacceptable  ⚠",IF(AND(P87='G-1 All Habitats'!$X$3,Z87&gt;0),"Any Loss Unacceptable ⚠",H87*J87*L87*O87*S87))))),"Check Data ⚠")</f>
        <v/>
      </c>
      <c r="R87" s="516"/>
      <c r="S87" s="724" t="str">
        <f>IF(R87="","",IF(VLOOKUP(R87,'G-3 Multipliers'!$S$3:$T$10,2,FALSE)=0,"Spatial Data Missing ⚠",VLOOKUP(R87,'G-3 Multipliers'!$S$3:$T$10,2,FALSE)))</f>
        <v/>
      </c>
      <c r="T87" s="376" t="str">
        <f>IFERROR(IF(P87="","",IF(AND(P87='G-1 All Habitats'!$X$3,W87&gt;0),X87+Y87,IF(AND(P87='G-1 All Habitats'!$X$3,V87&gt;0),X87+Y87,IF(AND(P87='G-1 All Habitats'!$X$3,AG87&gt;0),"Any Loss Unacceptable ⚠", IF(R87="","", IF(AND(P87='G-1 All Habitats'!$X$3,Z87&gt;0),"Any Loss Unacceptable ⚠",H87*J87*L87*O87)))))),"Check Data ⚠")</f>
        <v/>
      </c>
      <c r="U87" s="38"/>
      <c r="V87" s="54"/>
      <c r="W87" s="55"/>
      <c r="X87" s="374" t="str">
        <f t="shared" si="11"/>
        <v/>
      </c>
      <c r="Y87" s="374" t="str">
        <f t="shared" si="12"/>
        <v/>
      </c>
      <c r="Z87" s="374" t="str">
        <f>IF(E87="","",IF(H87&lt;V87+W87,"Error in Areas ▲",IF(P87&lt;&gt;'G-1 All Habitats'!$X$3,H87-V87-W87,IF(AND(P87='G-1 All Habitats'!$X$3,AB87="Yes"),"Unacceptable Loss ⚠",IF(AND(P87='G-1 All Habitats'!$X$3,AB87="No"),AG87,IF(AND(P87='G-1 All Habitats'!$X$3,AB87=""),AG87,IF(AND(P87='G-1 All Habitats'!$X$3,AG87="None",AG87),IF(AND(P87='G-1 All Habitats'!$X$3,AG87&gt;0),H87-V87-W87))))))))</f>
        <v/>
      </c>
      <c r="AA87" s="405" t="str">
        <f>IFERROR(IF(H87="","",IF(H87-V87-W87=0&lt;0,"Error in Areas ▲",IF(V87+W87&gt;H87,"Error in Areas ▲",IF(AND(P87='G-1 All Habitats'!$X$3,AB87="Yes"),"Alternative Compensation ✓",IF(Z87=0,0,IF(P87='G-1 All Habitats'!$X$3,"Any Loss Unacceptable ▲",T87-X87-Y87)))))),"Check Data ⚠")</f>
        <v/>
      </c>
      <c r="AB87" s="837"/>
      <c r="AC87" s="119"/>
      <c r="AD87" s="528"/>
      <c r="AE87" s="120"/>
      <c r="AF87" s="687"/>
      <c r="AG87" s="744" t="str">
        <f>IF(P87="","",IF(P87='G-1 All Habitats'!$X$3,H87-V87-W87,"None"))</f>
        <v/>
      </c>
      <c r="AH87" s="744" t="str">
        <f t="shared" si="13"/>
        <v/>
      </c>
      <c r="AJ87" s="124" t="str">
        <f t="shared" si="14"/>
        <v/>
      </c>
      <c r="AK87" s="124" t="str">
        <f t="shared" si="15"/>
        <v/>
      </c>
      <c r="AL87" s="124" t="str">
        <f>IF(I87="","",IF(#REF!&gt;0,TRUE,FALSE))</f>
        <v/>
      </c>
      <c r="AM87" s="124">
        <v>77</v>
      </c>
      <c r="AN87" s="124"/>
      <c r="AO87" s="124" t="str">
        <f t="array" ref="AO87">IFERROR(INDEX($AM$11:$AM$259, MATCH(0, IF(TRUE=$AJ$11:$AJ$259, COUNTIF($AO$10:$AO86, $AM$11:$AM$259), ""), 0)),"")</f>
        <v/>
      </c>
      <c r="AP87" s="124" t="str">
        <f t="array" ref="AP87">IFERROR(INDEX($AM$11:$AM$259, MATCH(0, IF(TRUE=$AK$11:$AK$259, COUNTIF($AP$10:$AP86, $AM$11:$AM$259), ""), 0)),"")</f>
        <v/>
      </c>
      <c r="AQ87" s="124" t="str">
        <f t="array" ref="AQ87">IFERROR(INDEX($AM$11:$AM$259, MATCH(0, IF(TRUE=$AL$11:$AL$259, COUNTIF($AQ$10:$AQ86, $AM$11:$AM$259), ""), 0)),"")</f>
        <v/>
      </c>
      <c r="AU87" s="30">
        <f t="shared" si="17"/>
        <v>0</v>
      </c>
      <c r="AY87" s="374" t="str">
        <f t="shared" si="16"/>
        <v/>
      </c>
    </row>
    <row r="88" spans="1:51">
      <c r="A88" s="30" t="str">
        <f>IFERROR(INDEX('G-1 All Habitats'!$AG$3:$AG$17,MATCH(E88,'G-1 All Habitats'!$AF$3:$AF$17,0)),"")</f>
        <v/>
      </c>
      <c r="B88" s="30" t="str">
        <f>IFERROR(INDEX('G-8 Condition Look up'!$I$4:$I$135,MATCH(G88,'G-8 Condition Look up'!$A$4:$A$135,0)),"")</f>
        <v/>
      </c>
      <c r="D88" s="110">
        <v>78</v>
      </c>
      <c r="E88" s="339"/>
      <c r="F88" s="340"/>
      <c r="G88" s="295" t="str">
        <f>IFERROR(INDEX('G-1 All Habitats'!$B$3:$B$134,MATCH(F88,'G-1 All Habitats'!$A$3:$A$134,0)),"")</f>
        <v/>
      </c>
      <c r="H88" s="139"/>
      <c r="I88" s="722" t="str">
        <f>IF(G88="","",VLOOKUP(G88,'G-1 All Habitats'!$B$2:$M$134,10,FALSE))</f>
        <v/>
      </c>
      <c r="J88" s="490" t="str">
        <f>IFERROR(VLOOKUP(I88,'G-1 All Habitats'!$V$3:$W$7,2,FALSE),"")</f>
        <v/>
      </c>
      <c r="K88" s="114"/>
      <c r="L88" s="490" t="str">
        <f>IFERROR(INDEX('G-8 Condition Look up'!$A$3:$H$135,MATCH(G88,'G-8 Condition Look up'!$A$3:$A$135,0),MATCH(K88,'G-8 Condition Look up'!$A$3:$H$3,0)),"")</f>
        <v/>
      </c>
      <c r="M88" s="738"/>
      <c r="N88" s="404" t="str">
        <f>IF(M88="","",IF(VLOOKUP(M88,'G-3 Multipliers'!$L$3:$N$6,2,FALSE)=0,"Spatial Data Missing ⚠",VLOOKUP(M88,'G-3 Multipliers'!$L$3:$N$6,2,FALSE)))</f>
        <v/>
      </c>
      <c r="O88" s="452" t="str">
        <f>IF(M88="","",IF(VLOOKUP(M88,'G-3 Multipliers'!$L$3:$N$6,3,FALSE)=0,"Spatial Data Missing ⚠",VLOOKUP(M88,'G-3 Multipliers'!$L$3:$N$6,3,FALSE)))</f>
        <v/>
      </c>
      <c r="P88" s="369" t="str">
        <f>IFERROR(VLOOKUP(G88,'G-1 All Habitats'!$B$2:$M$134,12,FALSE),"")</f>
        <v/>
      </c>
      <c r="Q88" s="725" t="str">
        <f>IFERROR(IF(P88="","",IF(AND(P88='G-1 All Habitats'!$X$3,W88&gt;0),X88+(Y88*S88),IF(AND(P88='G-1 All Habitats'!$X$3,V88&gt;0),X88+(Y88*S88),IF(AND(P88='G-1 All Habitats'!$X$3,AG88&gt;0),"Any Loss Unacceptable  ⚠",IF(AND(P88='G-1 All Habitats'!$X$3,Z88&gt;0),"Any Loss Unacceptable ⚠",H88*J88*L88*O88*S88))))),"Check Data ⚠")</f>
        <v/>
      </c>
      <c r="R88" s="516"/>
      <c r="S88" s="724" t="str">
        <f>IF(R88="","",IF(VLOOKUP(R88,'G-3 Multipliers'!$S$3:$T$10,2,FALSE)=0,"Spatial Data Missing ⚠",VLOOKUP(R88,'G-3 Multipliers'!$S$3:$T$10,2,FALSE)))</f>
        <v/>
      </c>
      <c r="T88" s="376" t="str">
        <f>IFERROR(IF(P88="","",IF(AND(P88='G-1 All Habitats'!$X$3,W88&gt;0),X88+Y88,IF(AND(P88='G-1 All Habitats'!$X$3,V88&gt;0),X88+Y88,IF(AND(P88='G-1 All Habitats'!$X$3,AG88&gt;0),"Any Loss Unacceptable ⚠", IF(R88="","", IF(AND(P88='G-1 All Habitats'!$X$3,Z88&gt;0),"Any Loss Unacceptable ⚠",H88*J88*L88*O88)))))),"Check Data ⚠")</f>
        <v/>
      </c>
      <c r="U88" s="38"/>
      <c r="V88" s="54"/>
      <c r="W88" s="55"/>
      <c r="X88" s="374" t="str">
        <f t="shared" si="11"/>
        <v/>
      </c>
      <c r="Y88" s="374" t="str">
        <f t="shared" si="12"/>
        <v/>
      </c>
      <c r="Z88" s="374" t="str">
        <f>IF(E88="","",IF(H88&lt;V88+W88,"Error in Areas ▲",IF(P88&lt;&gt;'G-1 All Habitats'!$X$3,H88-V88-W88,IF(AND(P88='G-1 All Habitats'!$X$3,AB88="Yes"),"Unacceptable Loss ⚠",IF(AND(P88='G-1 All Habitats'!$X$3,AB88="No"),AG88,IF(AND(P88='G-1 All Habitats'!$X$3,AB88=""),AG88,IF(AND(P88='G-1 All Habitats'!$X$3,AG88="None",AG88),IF(AND(P88='G-1 All Habitats'!$X$3,AG88&gt;0),H88-V88-W88))))))))</f>
        <v/>
      </c>
      <c r="AA88" s="405" t="str">
        <f>IFERROR(IF(H88="","",IF(H88-V88-W88=0&lt;0,"Error in Areas ▲",IF(V88+W88&gt;H88,"Error in Areas ▲",IF(AND(P88='G-1 All Habitats'!$X$3,AB88="Yes"),"Alternative Compensation ✓",IF(Z88=0,0,IF(P88='G-1 All Habitats'!$X$3,"Any Loss Unacceptable ▲",T88-X88-Y88)))))),"Check Data ⚠")</f>
        <v/>
      </c>
      <c r="AB88" s="837"/>
      <c r="AC88" s="119"/>
      <c r="AD88" s="528"/>
      <c r="AE88" s="120"/>
      <c r="AF88" s="687"/>
      <c r="AG88" s="744" t="str">
        <f>IF(P88="","",IF(P88='G-1 All Habitats'!$X$3,H88-V88-W88,"None"))</f>
        <v/>
      </c>
      <c r="AH88" s="744" t="str">
        <f t="shared" si="13"/>
        <v/>
      </c>
      <c r="AJ88" s="124" t="str">
        <f t="shared" si="14"/>
        <v/>
      </c>
      <c r="AK88" s="124" t="str">
        <f t="shared" si="15"/>
        <v/>
      </c>
      <c r="AL88" s="124" t="str">
        <f>IF(I88="","",IF(#REF!&gt;0,TRUE,FALSE))</f>
        <v/>
      </c>
      <c r="AM88" s="124">
        <v>78</v>
      </c>
      <c r="AN88" s="124"/>
      <c r="AO88" s="124" t="str">
        <f t="array" ref="AO88">IFERROR(INDEX($AM$11:$AM$259, MATCH(0, IF(TRUE=$AJ$11:$AJ$259, COUNTIF($AO$10:$AO87, $AM$11:$AM$259), ""), 0)),"")</f>
        <v/>
      </c>
      <c r="AP88" s="124" t="str">
        <f t="array" ref="AP88">IFERROR(INDEX($AM$11:$AM$259, MATCH(0, IF(TRUE=$AK$11:$AK$259, COUNTIF($AP$10:$AP87, $AM$11:$AM$259), ""), 0)),"")</f>
        <v/>
      </c>
      <c r="AQ88" s="124" t="str">
        <f t="array" ref="AQ88">IFERROR(INDEX($AM$11:$AM$259, MATCH(0, IF(TRUE=$AL$11:$AL$259, COUNTIF($AQ$10:$AQ87, $AM$11:$AM$259), ""), 0)),"")</f>
        <v/>
      </c>
      <c r="AU88" s="30">
        <f t="shared" si="17"/>
        <v>0</v>
      </c>
      <c r="AY88" s="374" t="str">
        <f t="shared" si="16"/>
        <v/>
      </c>
    </row>
    <row r="89" spans="1:51">
      <c r="A89" s="30" t="str">
        <f>IFERROR(INDEX('G-1 All Habitats'!$AG$3:$AG$17,MATCH(E89,'G-1 All Habitats'!$AF$3:$AF$17,0)),"")</f>
        <v/>
      </c>
      <c r="B89" s="30" t="str">
        <f>IFERROR(INDEX('G-8 Condition Look up'!$I$4:$I$135,MATCH(G89,'G-8 Condition Look up'!$A$4:$A$135,0)),"")</f>
        <v/>
      </c>
      <c r="D89" s="110">
        <v>79</v>
      </c>
      <c r="E89" s="339"/>
      <c r="F89" s="340"/>
      <c r="G89" s="295" t="str">
        <f>IFERROR(INDEX('G-1 All Habitats'!$B$3:$B$134,MATCH(F89,'G-1 All Habitats'!$A$3:$A$134,0)),"")</f>
        <v/>
      </c>
      <c r="H89" s="139"/>
      <c r="I89" s="722" t="str">
        <f>IF(G89="","",VLOOKUP(G89,'G-1 All Habitats'!$B$2:$M$134,10,FALSE))</f>
        <v/>
      </c>
      <c r="J89" s="490" t="str">
        <f>IFERROR(VLOOKUP(I89,'G-1 All Habitats'!$V$3:$W$7,2,FALSE),"")</f>
        <v/>
      </c>
      <c r="K89" s="114"/>
      <c r="L89" s="490" t="str">
        <f>IFERROR(INDEX('G-8 Condition Look up'!$A$3:$H$135,MATCH(G89,'G-8 Condition Look up'!$A$3:$A$135,0),MATCH(K89,'G-8 Condition Look up'!$A$3:$H$3,0)),"")</f>
        <v/>
      </c>
      <c r="M89" s="738"/>
      <c r="N89" s="404" t="str">
        <f>IF(M89="","",IF(VLOOKUP(M89,'G-3 Multipliers'!$L$3:$N$6,2,FALSE)=0,"Spatial Data Missing ⚠",VLOOKUP(M89,'G-3 Multipliers'!$L$3:$N$6,2,FALSE)))</f>
        <v/>
      </c>
      <c r="O89" s="452" t="str">
        <f>IF(M89="","",IF(VLOOKUP(M89,'G-3 Multipliers'!$L$3:$N$6,3,FALSE)=0,"Spatial Data Missing ⚠",VLOOKUP(M89,'G-3 Multipliers'!$L$3:$N$6,3,FALSE)))</f>
        <v/>
      </c>
      <c r="P89" s="369" t="str">
        <f>IFERROR(VLOOKUP(G89,'G-1 All Habitats'!$B$2:$M$134,12,FALSE),"")</f>
        <v/>
      </c>
      <c r="Q89" s="725" t="str">
        <f>IFERROR(IF(P89="","",IF(AND(P89='G-1 All Habitats'!$X$3,W89&gt;0),X89+(Y89*S89),IF(AND(P89='G-1 All Habitats'!$X$3,V89&gt;0),X89+(Y89*S89),IF(AND(P89='G-1 All Habitats'!$X$3,AG89&gt;0),"Any Loss Unacceptable  ⚠",IF(AND(P89='G-1 All Habitats'!$X$3,Z89&gt;0),"Any Loss Unacceptable ⚠",H89*J89*L89*O89*S89))))),"Check Data ⚠")</f>
        <v/>
      </c>
      <c r="R89" s="516"/>
      <c r="S89" s="724" t="str">
        <f>IF(R89="","",IF(VLOOKUP(R89,'G-3 Multipliers'!$S$3:$T$10,2,FALSE)=0,"Spatial Data Missing ⚠",VLOOKUP(R89,'G-3 Multipliers'!$S$3:$T$10,2,FALSE)))</f>
        <v/>
      </c>
      <c r="T89" s="376" t="str">
        <f>IFERROR(IF(P89="","",IF(AND(P89='G-1 All Habitats'!$X$3,W89&gt;0),X89+Y89,IF(AND(P89='G-1 All Habitats'!$X$3,V89&gt;0),X89+Y89,IF(AND(P89='G-1 All Habitats'!$X$3,AG89&gt;0),"Any Loss Unacceptable ⚠", IF(R89="","", IF(AND(P89='G-1 All Habitats'!$X$3,Z89&gt;0),"Any Loss Unacceptable ⚠",H89*J89*L89*O89)))))),"Check Data ⚠")</f>
        <v/>
      </c>
      <c r="U89" s="38"/>
      <c r="V89" s="54"/>
      <c r="W89" s="55"/>
      <c r="X89" s="374" t="str">
        <f t="shared" si="11"/>
        <v/>
      </c>
      <c r="Y89" s="374" t="str">
        <f t="shared" si="12"/>
        <v/>
      </c>
      <c r="Z89" s="374" t="str">
        <f>IF(E89="","",IF(H89&lt;V89+W89,"Error in Areas ▲",IF(P89&lt;&gt;'G-1 All Habitats'!$X$3,H89-V89-W89,IF(AND(P89='G-1 All Habitats'!$X$3,AB89="Yes"),"Unacceptable Loss ⚠",IF(AND(P89='G-1 All Habitats'!$X$3,AB89="No"),AG89,IF(AND(P89='G-1 All Habitats'!$X$3,AB89=""),AG89,IF(AND(P89='G-1 All Habitats'!$X$3,AG89="None",AG89),IF(AND(P89='G-1 All Habitats'!$X$3,AG89&gt;0),H89-V89-W89))))))))</f>
        <v/>
      </c>
      <c r="AA89" s="405" t="str">
        <f>IFERROR(IF(H89="","",IF(H89-V89-W89=0&lt;0,"Error in Areas ▲",IF(V89+W89&gt;H89,"Error in Areas ▲",IF(AND(P89='G-1 All Habitats'!$X$3,AB89="Yes"),"Alternative Compensation ✓",IF(Z89=0,0,IF(P89='G-1 All Habitats'!$X$3,"Any Loss Unacceptable ▲",T89-X89-Y89)))))),"Check Data ⚠")</f>
        <v/>
      </c>
      <c r="AB89" s="837"/>
      <c r="AC89" s="119"/>
      <c r="AD89" s="528"/>
      <c r="AE89" s="120"/>
      <c r="AF89" s="687"/>
      <c r="AG89" s="744" t="str">
        <f>IF(P89="","",IF(P89='G-1 All Habitats'!$X$3,H89-V89-W89,"None"))</f>
        <v/>
      </c>
      <c r="AH89" s="744" t="str">
        <f t="shared" si="13"/>
        <v/>
      </c>
      <c r="AJ89" s="124" t="str">
        <f t="shared" si="14"/>
        <v/>
      </c>
      <c r="AK89" s="124" t="str">
        <f t="shared" si="15"/>
        <v/>
      </c>
      <c r="AL89" s="124" t="str">
        <f>IF(I89="","",IF(#REF!&gt;0,TRUE,FALSE))</f>
        <v/>
      </c>
      <c r="AM89" s="124">
        <v>79</v>
      </c>
      <c r="AN89" s="124"/>
      <c r="AO89" s="124" t="str">
        <f t="array" ref="AO89">IFERROR(INDEX($AM$11:$AM$259, MATCH(0, IF(TRUE=$AJ$11:$AJ$259, COUNTIF($AO$10:$AO88, $AM$11:$AM$259), ""), 0)),"")</f>
        <v/>
      </c>
      <c r="AP89" s="124" t="str">
        <f t="array" ref="AP89">IFERROR(INDEX($AM$11:$AM$259, MATCH(0, IF(TRUE=$AK$11:$AK$259, COUNTIF($AP$10:$AP88, $AM$11:$AM$259), ""), 0)),"")</f>
        <v/>
      </c>
      <c r="AQ89" s="124" t="str">
        <f t="array" ref="AQ89">IFERROR(INDEX($AM$11:$AM$259, MATCH(0, IF(TRUE=$AL$11:$AL$259, COUNTIF($AQ$10:$AQ88, $AM$11:$AM$259), ""), 0)),"")</f>
        <v/>
      </c>
      <c r="AU89" s="30">
        <f t="shared" si="17"/>
        <v>0</v>
      </c>
      <c r="AY89" s="374" t="str">
        <f t="shared" si="16"/>
        <v/>
      </c>
    </row>
    <row r="90" spans="1:51">
      <c r="A90" s="30" t="str">
        <f>IFERROR(INDEX('G-1 All Habitats'!$AG$3:$AG$17,MATCH(E90,'G-1 All Habitats'!$AF$3:$AF$17,0)),"")</f>
        <v/>
      </c>
      <c r="B90" s="30" t="str">
        <f>IFERROR(INDEX('G-8 Condition Look up'!$I$4:$I$135,MATCH(G90,'G-8 Condition Look up'!$A$4:$A$135,0)),"")</f>
        <v/>
      </c>
      <c r="D90" s="110">
        <v>80</v>
      </c>
      <c r="E90" s="339"/>
      <c r="F90" s="340"/>
      <c r="G90" s="295" t="str">
        <f>IFERROR(INDEX('G-1 All Habitats'!$B$3:$B$134,MATCH(F90,'G-1 All Habitats'!$A$3:$A$134,0)),"")</f>
        <v/>
      </c>
      <c r="H90" s="139"/>
      <c r="I90" s="722" t="str">
        <f>IF(G90="","",VLOOKUP(G90,'G-1 All Habitats'!$B$2:$M$134,10,FALSE))</f>
        <v/>
      </c>
      <c r="J90" s="490" t="str">
        <f>IFERROR(VLOOKUP(I90,'G-1 All Habitats'!$V$3:$W$7,2,FALSE),"")</f>
        <v/>
      </c>
      <c r="K90" s="114"/>
      <c r="L90" s="490" t="str">
        <f>IFERROR(INDEX('G-8 Condition Look up'!$A$3:$H$135,MATCH(G90,'G-8 Condition Look up'!$A$3:$A$135,0),MATCH(K90,'G-8 Condition Look up'!$A$3:$H$3,0)),"")</f>
        <v/>
      </c>
      <c r="M90" s="738"/>
      <c r="N90" s="404" t="str">
        <f>IF(M90="","",IF(VLOOKUP(M90,'G-3 Multipliers'!$L$3:$N$6,2,FALSE)=0,"Spatial Data Missing ⚠",VLOOKUP(M90,'G-3 Multipliers'!$L$3:$N$6,2,FALSE)))</f>
        <v/>
      </c>
      <c r="O90" s="452" t="str">
        <f>IF(M90="","",IF(VLOOKUP(M90,'G-3 Multipliers'!$L$3:$N$6,3,FALSE)=0,"Spatial Data Missing ⚠",VLOOKUP(M90,'G-3 Multipliers'!$L$3:$N$6,3,FALSE)))</f>
        <v/>
      </c>
      <c r="P90" s="369" t="str">
        <f>IFERROR(VLOOKUP(G90,'G-1 All Habitats'!$B$2:$M$134,12,FALSE),"")</f>
        <v/>
      </c>
      <c r="Q90" s="725" t="str">
        <f>IFERROR(IF(P90="","",IF(AND(P90='G-1 All Habitats'!$X$3,W90&gt;0),X90+(Y90*S90),IF(AND(P90='G-1 All Habitats'!$X$3,V90&gt;0),X90+(Y90*S90),IF(AND(P90='G-1 All Habitats'!$X$3,AG90&gt;0),"Any Loss Unacceptable  ⚠",IF(AND(P90='G-1 All Habitats'!$X$3,Z90&gt;0),"Any Loss Unacceptable ⚠",H90*J90*L90*O90*S90))))),"Check Data ⚠")</f>
        <v/>
      </c>
      <c r="R90" s="516"/>
      <c r="S90" s="724" t="str">
        <f>IF(R90="","",IF(VLOOKUP(R90,'G-3 Multipliers'!$S$3:$T$10,2,FALSE)=0,"Spatial Data Missing ⚠",VLOOKUP(R90,'G-3 Multipliers'!$S$3:$T$10,2,FALSE)))</f>
        <v/>
      </c>
      <c r="T90" s="376" t="str">
        <f>IFERROR(IF(P90="","",IF(AND(P90='G-1 All Habitats'!$X$3,W90&gt;0),X90+Y90,IF(AND(P90='G-1 All Habitats'!$X$3,V90&gt;0),X90+Y90,IF(AND(P90='G-1 All Habitats'!$X$3,AG90&gt;0),"Any Loss Unacceptable ⚠", IF(R90="","", IF(AND(P90='G-1 All Habitats'!$X$3,Z90&gt;0),"Any Loss Unacceptable ⚠",H90*J90*L90*O90)))))),"Check Data ⚠")</f>
        <v/>
      </c>
      <c r="U90" s="38"/>
      <c r="V90" s="54"/>
      <c r="W90" s="55"/>
      <c r="X90" s="374" t="str">
        <f t="shared" si="11"/>
        <v/>
      </c>
      <c r="Y90" s="374" t="str">
        <f t="shared" si="12"/>
        <v/>
      </c>
      <c r="Z90" s="374" t="str">
        <f>IF(E90="","",IF(H90&lt;V90+W90,"Error in Areas ▲",IF(P90&lt;&gt;'G-1 All Habitats'!$X$3,H90-V90-W90,IF(AND(P90='G-1 All Habitats'!$X$3,AB90="Yes"),"Unacceptable Loss ⚠",IF(AND(P90='G-1 All Habitats'!$X$3,AB90="No"),AG90,IF(AND(P90='G-1 All Habitats'!$X$3,AB90=""),AG90,IF(AND(P90='G-1 All Habitats'!$X$3,AG90="None",AG90),IF(AND(P90='G-1 All Habitats'!$X$3,AG90&gt;0),H90-V90-W90))))))))</f>
        <v/>
      </c>
      <c r="AA90" s="405" t="str">
        <f>IFERROR(IF(H90="","",IF(H90-V90-W90=0&lt;0,"Error in Areas ▲",IF(V90+W90&gt;H90,"Error in Areas ▲",IF(AND(P90='G-1 All Habitats'!$X$3,AB90="Yes"),"Alternative Compensation ✓",IF(Z90=0,0,IF(P90='G-1 All Habitats'!$X$3,"Any Loss Unacceptable ▲",T90-X90-Y90)))))),"Check Data ⚠")</f>
        <v/>
      </c>
      <c r="AB90" s="837"/>
      <c r="AC90" s="119"/>
      <c r="AD90" s="528"/>
      <c r="AE90" s="120"/>
      <c r="AF90" s="687"/>
      <c r="AG90" s="744" t="str">
        <f>IF(P90="","",IF(P90='G-1 All Habitats'!$X$3,H90-V90-W90,"None"))</f>
        <v/>
      </c>
      <c r="AH90" s="744" t="str">
        <f t="shared" si="13"/>
        <v/>
      </c>
      <c r="AJ90" s="124" t="str">
        <f t="shared" si="14"/>
        <v/>
      </c>
      <c r="AK90" s="124" t="str">
        <f t="shared" si="15"/>
        <v/>
      </c>
      <c r="AL90" s="124" t="str">
        <f>IF(I90="","",IF(#REF!&gt;0,TRUE,FALSE))</f>
        <v/>
      </c>
      <c r="AM90" s="124">
        <v>80</v>
      </c>
      <c r="AN90" s="124"/>
      <c r="AO90" s="124" t="str">
        <f t="array" ref="AO90">IFERROR(INDEX($AM$11:$AM$259, MATCH(0, IF(TRUE=$AJ$11:$AJ$259, COUNTIF($AO$10:$AO89, $AM$11:$AM$259), ""), 0)),"")</f>
        <v/>
      </c>
      <c r="AP90" s="124" t="str">
        <f t="array" ref="AP90">IFERROR(INDEX($AM$11:$AM$259, MATCH(0, IF(TRUE=$AK$11:$AK$259, COUNTIF($AP$10:$AP89, $AM$11:$AM$259), ""), 0)),"")</f>
        <v/>
      </c>
      <c r="AQ90" s="124" t="str">
        <f t="array" ref="AQ90">IFERROR(INDEX($AM$11:$AM$259, MATCH(0, IF(TRUE=$AL$11:$AL$259, COUNTIF($AQ$10:$AQ89, $AM$11:$AM$259), ""), 0)),"")</f>
        <v/>
      </c>
      <c r="AU90" s="30">
        <f t="shared" si="17"/>
        <v>0</v>
      </c>
      <c r="AY90" s="374" t="str">
        <f t="shared" si="16"/>
        <v/>
      </c>
    </row>
    <row r="91" spans="1:51">
      <c r="A91" s="30" t="str">
        <f>IFERROR(INDEX('G-1 All Habitats'!$AG$3:$AG$17,MATCH(E91,'G-1 All Habitats'!$AF$3:$AF$17,0)),"")</f>
        <v/>
      </c>
      <c r="B91" s="30" t="str">
        <f>IFERROR(INDEX('G-8 Condition Look up'!$I$4:$I$135,MATCH(G91,'G-8 Condition Look up'!$A$4:$A$135,0)),"")</f>
        <v/>
      </c>
      <c r="D91" s="110">
        <v>81</v>
      </c>
      <c r="E91" s="339"/>
      <c r="F91" s="340"/>
      <c r="G91" s="295" t="str">
        <f>IFERROR(INDEX('G-1 All Habitats'!$B$3:$B$134,MATCH(F91,'G-1 All Habitats'!$A$3:$A$134,0)),"")</f>
        <v/>
      </c>
      <c r="H91" s="139"/>
      <c r="I91" s="722" t="str">
        <f>IF(G91="","",VLOOKUP(G91,'G-1 All Habitats'!$B$2:$M$134,10,FALSE))</f>
        <v/>
      </c>
      <c r="J91" s="490" t="str">
        <f>IFERROR(VLOOKUP(I91,'G-1 All Habitats'!$V$3:$W$7,2,FALSE),"")</f>
        <v/>
      </c>
      <c r="K91" s="114"/>
      <c r="L91" s="490" t="str">
        <f>IFERROR(INDEX('G-8 Condition Look up'!$A$3:$H$135,MATCH(G91,'G-8 Condition Look up'!$A$3:$A$135,0),MATCH(K91,'G-8 Condition Look up'!$A$3:$H$3,0)),"")</f>
        <v/>
      </c>
      <c r="M91" s="738"/>
      <c r="N91" s="404" t="str">
        <f>IF(M91="","",IF(VLOOKUP(M91,'G-3 Multipliers'!$L$3:$N$6,2,FALSE)=0,"Spatial Data Missing ⚠",VLOOKUP(M91,'G-3 Multipliers'!$L$3:$N$6,2,FALSE)))</f>
        <v/>
      </c>
      <c r="O91" s="452" t="str">
        <f>IF(M91="","",IF(VLOOKUP(M91,'G-3 Multipliers'!$L$3:$N$6,3,FALSE)=0,"Spatial Data Missing ⚠",VLOOKUP(M91,'G-3 Multipliers'!$L$3:$N$6,3,FALSE)))</f>
        <v/>
      </c>
      <c r="P91" s="369" t="str">
        <f>IFERROR(VLOOKUP(G91,'G-1 All Habitats'!$B$2:$M$134,12,FALSE),"")</f>
        <v/>
      </c>
      <c r="Q91" s="725" t="str">
        <f>IFERROR(IF(P91="","",IF(AND(P91='G-1 All Habitats'!$X$3,W91&gt;0),X91+(Y91*S91),IF(AND(P91='G-1 All Habitats'!$X$3,V91&gt;0),X91+(Y91*S91),IF(AND(P91='G-1 All Habitats'!$X$3,AG91&gt;0),"Any Loss Unacceptable  ⚠",IF(AND(P91='G-1 All Habitats'!$X$3,Z91&gt;0),"Any Loss Unacceptable ⚠",H91*J91*L91*O91*S91))))),"Check Data ⚠")</f>
        <v/>
      </c>
      <c r="R91" s="516"/>
      <c r="S91" s="724" t="str">
        <f>IF(R91="","",IF(VLOOKUP(R91,'G-3 Multipliers'!$S$3:$T$10,2,FALSE)=0,"Spatial Data Missing ⚠",VLOOKUP(R91,'G-3 Multipliers'!$S$3:$T$10,2,FALSE)))</f>
        <v/>
      </c>
      <c r="T91" s="376" t="str">
        <f>IFERROR(IF(P91="","",IF(AND(P91='G-1 All Habitats'!$X$3,W91&gt;0),X91+Y91,IF(AND(P91='G-1 All Habitats'!$X$3,V91&gt;0),X91+Y91,IF(AND(P91='G-1 All Habitats'!$X$3,AG91&gt;0),"Any Loss Unacceptable ⚠", IF(R91="","", IF(AND(P91='G-1 All Habitats'!$X$3,Z91&gt;0),"Any Loss Unacceptable ⚠",H91*J91*L91*O91)))))),"Check Data ⚠")</f>
        <v/>
      </c>
      <c r="U91" s="38"/>
      <c r="V91" s="54"/>
      <c r="W91" s="55"/>
      <c r="X91" s="374" t="str">
        <f t="shared" si="11"/>
        <v/>
      </c>
      <c r="Y91" s="374" t="str">
        <f t="shared" si="12"/>
        <v/>
      </c>
      <c r="Z91" s="374" t="str">
        <f>IF(E91="","",IF(H91&lt;V91+W91,"Error in Areas ▲",IF(P91&lt;&gt;'G-1 All Habitats'!$X$3,H91-V91-W91,IF(AND(P91='G-1 All Habitats'!$X$3,AB91="Yes"),"Unacceptable Loss ⚠",IF(AND(P91='G-1 All Habitats'!$X$3,AB91="No"),AG91,IF(AND(P91='G-1 All Habitats'!$X$3,AB91=""),AG91,IF(AND(P91='G-1 All Habitats'!$X$3,AG91="None",AG91),IF(AND(P91='G-1 All Habitats'!$X$3,AG91&gt;0),H91-V91-W91))))))))</f>
        <v/>
      </c>
      <c r="AA91" s="405" t="str">
        <f>IFERROR(IF(H91="","",IF(H91-V91-W91=0&lt;0,"Error in Areas ▲",IF(V91+W91&gt;H91,"Error in Areas ▲",IF(AND(P91='G-1 All Habitats'!$X$3,AB91="Yes"),"Alternative Compensation ✓",IF(Z91=0,0,IF(P91='G-1 All Habitats'!$X$3,"Any Loss Unacceptable ▲",T91-X91-Y91)))))),"Check Data ⚠")</f>
        <v/>
      </c>
      <c r="AB91" s="837"/>
      <c r="AC91" s="119"/>
      <c r="AD91" s="528"/>
      <c r="AE91" s="120"/>
      <c r="AF91" s="687"/>
      <c r="AG91" s="744" t="str">
        <f>IF(P91="","",IF(P91='G-1 All Habitats'!$X$3,H91-V91-W91,"None"))</f>
        <v/>
      </c>
      <c r="AH91" s="744" t="str">
        <f t="shared" si="13"/>
        <v/>
      </c>
      <c r="AJ91" s="124" t="str">
        <f t="shared" si="14"/>
        <v/>
      </c>
      <c r="AK91" s="124" t="str">
        <f t="shared" si="15"/>
        <v/>
      </c>
      <c r="AL91" s="124" t="str">
        <f>IF(I91="","",IF(#REF!&gt;0,TRUE,FALSE))</f>
        <v/>
      </c>
      <c r="AM91" s="124">
        <v>81</v>
      </c>
      <c r="AN91" s="124"/>
      <c r="AO91" s="124" t="str">
        <f t="array" ref="AO91">IFERROR(INDEX($AM$11:$AM$259, MATCH(0, IF(TRUE=$AJ$11:$AJ$259, COUNTIF($AO$10:$AO90, $AM$11:$AM$259), ""), 0)),"")</f>
        <v/>
      </c>
      <c r="AP91" s="124" t="str">
        <f t="array" ref="AP91">IFERROR(INDEX($AM$11:$AM$259, MATCH(0, IF(TRUE=$AK$11:$AK$259, COUNTIF($AP$10:$AP90, $AM$11:$AM$259), ""), 0)),"")</f>
        <v/>
      </c>
      <c r="AQ91" s="124" t="str">
        <f t="array" ref="AQ91">IFERROR(INDEX($AM$11:$AM$259, MATCH(0, IF(TRUE=$AL$11:$AL$259, COUNTIF($AQ$10:$AQ90, $AM$11:$AM$259), ""), 0)),"")</f>
        <v/>
      </c>
      <c r="AU91" s="30">
        <f t="shared" si="17"/>
        <v>0</v>
      </c>
      <c r="AY91" s="374" t="str">
        <f t="shared" si="16"/>
        <v/>
      </c>
    </row>
    <row r="92" spans="1:51">
      <c r="A92" s="30" t="str">
        <f>IFERROR(INDEX('G-1 All Habitats'!$AG$3:$AG$17,MATCH(E92,'G-1 All Habitats'!$AF$3:$AF$17,0)),"")</f>
        <v/>
      </c>
      <c r="B92" s="30" t="str">
        <f>IFERROR(INDEX('G-8 Condition Look up'!$I$4:$I$135,MATCH(G92,'G-8 Condition Look up'!$A$4:$A$135,0)),"")</f>
        <v/>
      </c>
      <c r="D92" s="110">
        <v>82</v>
      </c>
      <c r="E92" s="339"/>
      <c r="F92" s="340"/>
      <c r="G92" s="295" t="str">
        <f>IFERROR(INDEX('G-1 All Habitats'!$B$3:$B$134,MATCH(F92,'G-1 All Habitats'!$A$3:$A$134,0)),"")</f>
        <v/>
      </c>
      <c r="H92" s="139"/>
      <c r="I92" s="722" t="str">
        <f>IF(G92="","",VLOOKUP(G92,'G-1 All Habitats'!$B$2:$M$134,10,FALSE))</f>
        <v/>
      </c>
      <c r="J92" s="490" t="str">
        <f>IFERROR(VLOOKUP(I92,'G-1 All Habitats'!$V$3:$W$7,2,FALSE),"")</f>
        <v/>
      </c>
      <c r="K92" s="114"/>
      <c r="L92" s="490" t="str">
        <f>IFERROR(INDEX('G-8 Condition Look up'!$A$3:$H$135,MATCH(G92,'G-8 Condition Look up'!$A$3:$A$135,0),MATCH(K92,'G-8 Condition Look up'!$A$3:$H$3,0)),"")</f>
        <v/>
      </c>
      <c r="M92" s="738"/>
      <c r="N92" s="404" t="str">
        <f>IF(M92="","",IF(VLOOKUP(M92,'G-3 Multipliers'!$L$3:$N$6,2,FALSE)=0,"Spatial Data Missing ⚠",VLOOKUP(M92,'G-3 Multipliers'!$L$3:$N$6,2,FALSE)))</f>
        <v/>
      </c>
      <c r="O92" s="452" t="str">
        <f>IF(M92="","",IF(VLOOKUP(M92,'G-3 Multipliers'!$L$3:$N$6,3,FALSE)=0,"Spatial Data Missing ⚠",VLOOKUP(M92,'G-3 Multipliers'!$L$3:$N$6,3,FALSE)))</f>
        <v/>
      </c>
      <c r="P92" s="369" t="str">
        <f>IFERROR(VLOOKUP(G92,'G-1 All Habitats'!$B$2:$M$134,12,FALSE),"")</f>
        <v/>
      </c>
      <c r="Q92" s="725" t="str">
        <f>IFERROR(IF(P92="","",IF(AND(P92='G-1 All Habitats'!$X$3,W92&gt;0),X92+(Y92*S92),IF(AND(P92='G-1 All Habitats'!$X$3,V92&gt;0),X92+(Y92*S92),IF(AND(P92='G-1 All Habitats'!$X$3,AG92&gt;0),"Any Loss Unacceptable  ⚠",IF(AND(P92='G-1 All Habitats'!$X$3,Z92&gt;0),"Any Loss Unacceptable ⚠",H92*J92*L92*O92*S92))))),"Check Data ⚠")</f>
        <v/>
      </c>
      <c r="R92" s="516"/>
      <c r="S92" s="724" t="str">
        <f>IF(R92="","",IF(VLOOKUP(R92,'G-3 Multipliers'!$S$3:$T$10,2,FALSE)=0,"Spatial Data Missing ⚠",VLOOKUP(R92,'G-3 Multipliers'!$S$3:$T$10,2,FALSE)))</f>
        <v/>
      </c>
      <c r="T92" s="376" t="str">
        <f>IFERROR(IF(P92="","",IF(AND(P92='G-1 All Habitats'!$X$3,W92&gt;0),X92+Y92,IF(AND(P92='G-1 All Habitats'!$X$3,V92&gt;0),X92+Y92,IF(AND(P92='G-1 All Habitats'!$X$3,AG92&gt;0),"Any Loss Unacceptable ⚠", IF(R92="","", IF(AND(P92='G-1 All Habitats'!$X$3,Z92&gt;0),"Any Loss Unacceptable ⚠",H92*J92*L92*O92)))))),"Check Data ⚠")</f>
        <v/>
      </c>
      <c r="U92" s="38"/>
      <c r="V92" s="54"/>
      <c r="W92" s="55"/>
      <c r="X92" s="374" t="str">
        <f t="shared" si="11"/>
        <v/>
      </c>
      <c r="Y92" s="374" t="str">
        <f t="shared" si="12"/>
        <v/>
      </c>
      <c r="Z92" s="374" t="str">
        <f>IF(E92="","",IF(H92&lt;V92+W92,"Error in Areas ▲",IF(P92&lt;&gt;'G-1 All Habitats'!$X$3,H92-V92-W92,IF(AND(P92='G-1 All Habitats'!$X$3,AB92="Yes"),"Unacceptable Loss ⚠",IF(AND(P92='G-1 All Habitats'!$X$3,AB92="No"),AG92,IF(AND(P92='G-1 All Habitats'!$X$3,AB92=""),AG92,IF(AND(P92='G-1 All Habitats'!$X$3,AG92="None",AG92),IF(AND(P92='G-1 All Habitats'!$X$3,AG92&gt;0),H92-V92-W92))))))))</f>
        <v/>
      </c>
      <c r="AA92" s="405" t="str">
        <f>IFERROR(IF(H92="","",IF(H92-V92-W92=0&lt;0,"Error in Areas ▲",IF(V92+W92&gt;H92,"Error in Areas ▲",IF(AND(P92='G-1 All Habitats'!$X$3,AB92="Yes"),"Alternative Compensation ✓",IF(Z92=0,0,IF(P92='G-1 All Habitats'!$X$3,"Any Loss Unacceptable ▲",T92-X92-Y92)))))),"Check Data ⚠")</f>
        <v/>
      </c>
      <c r="AB92" s="837"/>
      <c r="AC92" s="119"/>
      <c r="AD92" s="528"/>
      <c r="AE92" s="120"/>
      <c r="AF92" s="687"/>
      <c r="AG92" s="744" t="str">
        <f>IF(P92="","",IF(P92='G-1 All Habitats'!$X$3,H92-V92-W92,"None"))</f>
        <v/>
      </c>
      <c r="AH92" s="744" t="str">
        <f t="shared" si="13"/>
        <v/>
      </c>
      <c r="AJ92" s="124" t="str">
        <f t="shared" si="14"/>
        <v/>
      </c>
      <c r="AK92" s="124" t="str">
        <f t="shared" si="15"/>
        <v/>
      </c>
      <c r="AL92" s="124" t="str">
        <f>IF(I92="","",IF(#REF!&gt;0,TRUE,FALSE))</f>
        <v/>
      </c>
      <c r="AM92" s="124">
        <v>82</v>
      </c>
      <c r="AN92" s="124"/>
      <c r="AO92" s="124" t="str">
        <f t="array" ref="AO92">IFERROR(INDEX($AM$11:$AM$259, MATCH(0, IF(TRUE=$AJ$11:$AJ$259, COUNTIF($AO$10:$AO91, $AM$11:$AM$259), ""), 0)),"")</f>
        <v/>
      </c>
      <c r="AP92" s="124" t="str">
        <f t="array" ref="AP92">IFERROR(INDEX($AM$11:$AM$259, MATCH(0, IF(TRUE=$AK$11:$AK$259, COUNTIF($AP$10:$AP91, $AM$11:$AM$259), ""), 0)),"")</f>
        <v/>
      </c>
      <c r="AQ92" s="124" t="str">
        <f t="array" ref="AQ92">IFERROR(INDEX($AM$11:$AM$259, MATCH(0, IF(TRUE=$AL$11:$AL$259, COUNTIF($AQ$10:$AQ91, $AM$11:$AM$259), ""), 0)),"")</f>
        <v/>
      </c>
      <c r="AU92" s="30">
        <f t="shared" si="17"/>
        <v>0</v>
      </c>
      <c r="AY92" s="374" t="str">
        <f t="shared" si="16"/>
        <v/>
      </c>
    </row>
    <row r="93" spans="1:51">
      <c r="A93" s="30" t="str">
        <f>IFERROR(INDEX('G-1 All Habitats'!$AG$3:$AG$17,MATCH(E93,'G-1 All Habitats'!$AF$3:$AF$17,0)),"")</f>
        <v/>
      </c>
      <c r="B93" s="30" t="str">
        <f>IFERROR(INDEX('G-8 Condition Look up'!$I$4:$I$135,MATCH(G93,'G-8 Condition Look up'!$A$4:$A$135,0)),"")</f>
        <v/>
      </c>
      <c r="D93" s="110">
        <v>83</v>
      </c>
      <c r="E93" s="339"/>
      <c r="F93" s="340"/>
      <c r="G93" s="295" t="str">
        <f>IFERROR(INDEX('G-1 All Habitats'!$B$3:$B$134,MATCH(F93,'G-1 All Habitats'!$A$3:$A$134,0)),"")</f>
        <v/>
      </c>
      <c r="H93" s="139"/>
      <c r="I93" s="722" t="str">
        <f>IF(G93="","",VLOOKUP(G93,'G-1 All Habitats'!$B$2:$M$134,10,FALSE))</f>
        <v/>
      </c>
      <c r="J93" s="490" t="str">
        <f>IFERROR(VLOOKUP(I93,'G-1 All Habitats'!$V$3:$W$7,2,FALSE),"")</f>
        <v/>
      </c>
      <c r="K93" s="114"/>
      <c r="L93" s="490" t="str">
        <f>IFERROR(INDEX('G-8 Condition Look up'!$A$3:$H$135,MATCH(G93,'G-8 Condition Look up'!$A$3:$A$135,0),MATCH(K93,'G-8 Condition Look up'!$A$3:$H$3,0)),"")</f>
        <v/>
      </c>
      <c r="M93" s="738"/>
      <c r="N93" s="404" t="str">
        <f>IF(M93="","",IF(VLOOKUP(M93,'G-3 Multipliers'!$L$3:$N$6,2,FALSE)=0,"Spatial Data Missing ⚠",VLOOKUP(M93,'G-3 Multipliers'!$L$3:$N$6,2,FALSE)))</f>
        <v/>
      </c>
      <c r="O93" s="452" t="str">
        <f>IF(M93="","",IF(VLOOKUP(M93,'G-3 Multipliers'!$L$3:$N$6,3,FALSE)=0,"Spatial Data Missing ⚠",VLOOKUP(M93,'G-3 Multipliers'!$L$3:$N$6,3,FALSE)))</f>
        <v/>
      </c>
      <c r="P93" s="369" t="str">
        <f>IFERROR(VLOOKUP(G93,'G-1 All Habitats'!$B$2:$M$134,12,FALSE),"")</f>
        <v/>
      </c>
      <c r="Q93" s="725" t="str">
        <f>IFERROR(IF(P93="","",IF(AND(P93='G-1 All Habitats'!$X$3,W93&gt;0),X93+(Y93*S93),IF(AND(P93='G-1 All Habitats'!$X$3,V93&gt;0),X93+(Y93*S93),IF(AND(P93='G-1 All Habitats'!$X$3,AG93&gt;0),"Any Loss Unacceptable  ⚠",IF(AND(P93='G-1 All Habitats'!$X$3,Z93&gt;0),"Any Loss Unacceptable ⚠",H93*J93*L93*O93*S93))))),"Check Data ⚠")</f>
        <v/>
      </c>
      <c r="R93" s="516"/>
      <c r="S93" s="724" t="str">
        <f>IF(R93="","",IF(VLOOKUP(R93,'G-3 Multipliers'!$S$3:$T$10,2,FALSE)=0,"Spatial Data Missing ⚠",VLOOKUP(R93,'G-3 Multipliers'!$S$3:$T$10,2,FALSE)))</f>
        <v/>
      </c>
      <c r="T93" s="376" t="str">
        <f>IFERROR(IF(P93="","",IF(AND(P93='G-1 All Habitats'!$X$3,W93&gt;0),X93+Y93,IF(AND(P93='G-1 All Habitats'!$X$3,V93&gt;0),X93+Y93,IF(AND(P93='G-1 All Habitats'!$X$3,AG93&gt;0),"Any Loss Unacceptable ⚠", IF(R93="","", IF(AND(P93='G-1 All Habitats'!$X$3,Z93&gt;0),"Any Loss Unacceptable ⚠",H93*J93*L93*O93)))))),"Check Data ⚠")</f>
        <v/>
      </c>
      <c r="U93" s="38"/>
      <c r="V93" s="54"/>
      <c r="W93" s="55"/>
      <c r="X93" s="374" t="str">
        <f t="shared" si="11"/>
        <v/>
      </c>
      <c r="Y93" s="374" t="str">
        <f t="shared" si="12"/>
        <v/>
      </c>
      <c r="Z93" s="374" t="str">
        <f>IF(E93="","",IF(H93&lt;V93+W93,"Error in Areas ▲",IF(P93&lt;&gt;'G-1 All Habitats'!$X$3,H93-V93-W93,IF(AND(P93='G-1 All Habitats'!$X$3,AB93="Yes"),"Unacceptable Loss ⚠",IF(AND(P93='G-1 All Habitats'!$X$3,AB93="No"),AG93,IF(AND(P93='G-1 All Habitats'!$X$3,AB93=""),AG93,IF(AND(P93='G-1 All Habitats'!$X$3,AG93="None",AG93),IF(AND(P93='G-1 All Habitats'!$X$3,AG93&gt;0),H93-V93-W93))))))))</f>
        <v/>
      </c>
      <c r="AA93" s="405" t="str">
        <f>IFERROR(IF(H93="","",IF(H93-V93-W93=0&lt;0,"Error in Areas ▲",IF(V93+W93&gt;H93,"Error in Areas ▲",IF(AND(P93='G-1 All Habitats'!$X$3,AB93="Yes"),"Alternative Compensation ✓",IF(Z93=0,0,IF(P93='G-1 All Habitats'!$X$3,"Any Loss Unacceptable ▲",T93-X93-Y93)))))),"Check Data ⚠")</f>
        <v/>
      </c>
      <c r="AB93" s="837"/>
      <c r="AC93" s="119"/>
      <c r="AD93" s="528"/>
      <c r="AE93" s="120"/>
      <c r="AF93" s="687"/>
      <c r="AG93" s="744" t="str">
        <f>IF(P93="","",IF(P93='G-1 All Habitats'!$X$3,H93-V93-W93,"None"))</f>
        <v/>
      </c>
      <c r="AH93" s="744" t="str">
        <f t="shared" si="13"/>
        <v/>
      </c>
      <c r="AJ93" s="124" t="str">
        <f t="shared" si="14"/>
        <v/>
      </c>
      <c r="AK93" s="124" t="str">
        <f t="shared" si="15"/>
        <v/>
      </c>
      <c r="AL93" s="124" t="str">
        <f>IF(I93="","",IF(#REF!&gt;0,TRUE,FALSE))</f>
        <v/>
      </c>
      <c r="AM93" s="124">
        <v>83</v>
      </c>
      <c r="AN93" s="124"/>
      <c r="AO93" s="124" t="str">
        <f t="array" ref="AO93">IFERROR(INDEX($AM$11:$AM$259, MATCH(0, IF(TRUE=$AJ$11:$AJ$259, COUNTIF($AO$10:$AO92, $AM$11:$AM$259), ""), 0)),"")</f>
        <v/>
      </c>
      <c r="AP93" s="124" t="str">
        <f t="array" ref="AP93">IFERROR(INDEX($AM$11:$AM$259, MATCH(0, IF(TRUE=$AK$11:$AK$259, COUNTIF($AP$10:$AP92, $AM$11:$AM$259), ""), 0)),"")</f>
        <v/>
      </c>
      <c r="AQ93" s="124" t="str">
        <f t="array" ref="AQ93">IFERROR(INDEX($AM$11:$AM$259, MATCH(0, IF(TRUE=$AL$11:$AL$259, COUNTIF($AQ$10:$AQ92, $AM$11:$AM$259), ""), 0)),"")</f>
        <v/>
      </c>
      <c r="AU93" s="30">
        <f t="shared" si="17"/>
        <v>0</v>
      </c>
      <c r="AY93" s="374" t="str">
        <f t="shared" si="16"/>
        <v/>
      </c>
    </row>
    <row r="94" spans="1:51">
      <c r="A94" s="30" t="str">
        <f>IFERROR(INDEX('G-1 All Habitats'!$AG$3:$AG$17,MATCH(E94,'G-1 All Habitats'!$AF$3:$AF$17,0)),"")</f>
        <v/>
      </c>
      <c r="B94" s="30" t="str">
        <f>IFERROR(INDEX('G-8 Condition Look up'!$I$4:$I$135,MATCH(G94,'G-8 Condition Look up'!$A$4:$A$135,0)),"")</f>
        <v/>
      </c>
      <c r="D94" s="110">
        <v>84</v>
      </c>
      <c r="E94" s="339"/>
      <c r="F94" s="340"/>
      <c r="G94" s="295" t="str">
        <f>IFERROR(INDEX('G-1 All Habitats'!$B$3:$B$134,MATCH(F94,'G-1 All Habitats'!$A$3:$A$134,0)),"")</f>
        <v/>
      </c>
      <c r="H94" s="139"/>
      <c r="I94" s="722" t="str">
        <f>IF(G94="","",VLOOKUP(G94,'G-1 All Habitats'!$B$2:$M$134,10,FALSE))</f>
        <v/>
      </c>
      <c r="J94" s="490" t="str">
        <f>IFERROR(VLOOKUP(I94,'G-1 All Habitats'!$V$3:$W$7,2,FALSE),"")</f>
        <v/>
      </c>
      <c r="K94" s="114"/>
      <c r="L94" s="490" t="str">
        <f>IFERROR(INDEX('G-8 Condition Look up'!$A$3:$H$135,MATCH(G94,'G-8 Condition Look up'!$A$3:$A$135,0),MATCH(K94,'G-8 Condition Look up'!$A$3:$H$3,0)),"")</f>
        <v/>
      </c>
      <c r="M94" s="738"/>
      <c r="N94" s="404" t="str">
        <f>IF(M94="","",IF(VLOOKUP(M94,'G-3 Multipliers'!$L$3:$N$6,2,FALSE)=0,"Spatial Data Missing ⚠",VLOOKUP(M94,'G-3 Multipliers'!$L$3:$N$6,2,FALSE)))</f>
        <v/>
      </c>
      <c r="O94" s="452" t="str">
        <f>IF(M94="","",IF(VLOOKUP(M94,'G-3 Multipliers'!$L$3:$N$6,3,FALSE)=0,"Spatial Data Missing ⚠",VLOOKUP(M94,'G-3 Multipliers'!$L$3:$N$6,3,FALSE)))</f>
        <v/>
      </c>
      <c r="P94" s="369" t="str">
        <f>IFERROR(VLOOKUP(G94,'G-1 All Habitats'!$B$2:$M$134,12,FALSE),"")</f>
        <v/>
      </c>
      <c r="Q94" s="725" t="str">
        <f>IFERROR(IF(P94="","",IF(AND(P94='G-1 All Habitats'!$X$3,W94&gt;0),X94+(Y94*S94),IF(AND(P94='G-1 All Habitats'!$X$3,V94&gt;0),X94+(Y94*S94),IF(AND(P94='G-1 All Habitats'!$X$3,AG94&gt;0),"Any Loss Unacceptable  ⚠",IF(AND(P94='G-1 All Habitats'!$X$3,Z94&gt;0),"Any Loss Unacceptable ⚠",H94*J94*L94*O94*S94))))),"Check Data ⚠")</f>
        <v/>
      </c>
      <c r="R94" s="516"/>
      <c r="S94" s="724" t="str">
        <f>IF(R94="","",IF(VLOOKUP(R94,'G-3 Multipliers'!$S$3:$T$10,2,FALSE)=0,"Spatial Data Missing ⚠",VLOOKUP(R94,'G-3 Multipliers'!$S$3:$T$10,2,FALSE)))</f>
        <v/>
      </c>
      <c r="T94" s="376" t="str">
        <f>IFERROR(IF(P94="","",IF(AND(P94='G-1 All Habitats'!$X$3,W94&gt;0),X94+Y94,IF(AND(P94='G-1 All Habitats'!$X$3,V94&gt;0),X94+Y94,IF(AND(P94='G-1 All Habitats'!$X$3,AG94&gt;0),"Any Loss Unacceptable ⚠", IF(R94="","", IF(AND(P94='G-1 All Habitats'!$X$3,Z94&gt;0),"Any Loss Unacceptable ⚠",H94*J94*L94*O94)))))),"Check Data ⚠")</f>
        <v/>
      </c>
      <c r="U94" s="38"/>
      <c r="V94" s="54"/>
      <c r="W94" s="55"/>
      <c r="X94" s="374" t="str">
        <f t="shared" si="11"/>
        <v/>
      </c>
      <c r="Y94" s="374" t="str">
        <f t="shared" si="12"/>
        <v/>
      </c>
      <c r="Z94" s="374" t="str">
        <f>IF(E94="","",IF(H94&lt;V94+W94,"Error in Areas ▲",IF(P94&lt;&gt;'G-1 All Habitats'!$X$3,H94-V94-W94,IF(AND(P94='G-1 All Habitats'!$X$3,AB94="Yes"),"Unacceptable Loss ⚠",IF(AND(P94='G-1 All Habitats'!$X$3,AB94="No"),AG94,IF(AND(P94='G-1 All Habitats'!$X$3,AB94=""),AG94,IF(AND(P94='G-1 All Habitats'!$X$3,AG94="None",AG94),IF(AND(P94='G-1 All Habitats'!$X$3,AG94&gt;0),H94-V94-W94))))))))</f>
        <v/>
      </c>
      <c r="AA94" s="405" t="str">
        <f>IFERROR(IF(H94="","",IF(H94-V94-W94=0&lt;0,"Error in Areas ▲",IF(V94+W94&gt;H94,"Error in Areas ▲",IF(AND(P94='G-1 All Habitats'!$X$3,AB94="Yes"),"Alternative Compensation ✓",IF(Z94=0,0,IF(P94='G-1 All Habitats'!$X$3,"Any Loss Unacceptable ▲",T94-X94-Y94)))))),"Check Data ⚠")</f>
        <v/>
      </c>
      <c r="AB94" s="837"/>
      <c r="AC94" s="119"/>
      <c r="AD94" s="528"/>
      <c r="AE94" s="120"/>
      <c r="AF94" s="687"/>
      <c r="AG94" s="744" t="str">
        <f>IF(P94="","",IF(P94='G-1 All Habitats'!$X$3,H94-V94-W94,"None"))</f>
        <v/>
      </c>
      <c r="AH94" s="744" t="str">
        <f t="shared" si="13"/>
        <v/>
      </c>
      <c r="AJ94" s="124" t="str">
        <f t="shared" si="14"/>
        <v/>
      </c>
      <c r="AK94" s="124" t="str">
        <f t="shared" si="15"/>
        <v/>
      </c>
      <c r="AL94" s="124" t="str">
        <f>IF(I94="","",IF(#REF!&gt;0,TRUE,FALSE))</f>
        <v/>
      </c>
      <c r="AM94" s="124">
        <v>84</v>
      </c>
      <c r="AN94" s="124"/>
      <c r="AO94" s="124" t="str">
        <f t="array" ref="AO94">IFERROR(INDEX($AM$11:$AM$259, MATCH(0, IF(TRUE=$AJ$11:$AJ$259, COUNTIF($AO$10:$AO93, $AM$11:$AM$259), ""), 0)),"")</f>
        <v/>
      </c>
      <c r="AP94" s="124" t="str">
        <f t="array" ref="AP94">IFERROR(INDEX($AM$11:$AM$259, MATCH(0, IF(TRUE=$AK$11:$AK$259, COUNTIF($AP$10:$AP93, $AM$11:$AM$259), ""), 0)),"")</f>
        <v/>
      </c>
      <c r="AQ94" s="124" t="str">
        <f t="array" ref="AQ94">IFERROR(INDEX($AM$11:$AM$259, MATCH(0, IF(TRUE=$AL$11:$AL$259, COUNTIF($AQ$10:$AQ93, $AM$11:$AM$259), ""), 0)),"")</f>
        <v/>
      </c>
      <c r="AU94" s="30">
        <f t="shared" si="17"/>
        <v>0</v>
      </c>
      <c r="AY94" s="374" t="str">
        <f t="shared" si="16"/>
        <v/>
      </c>
    </row>
    <row r="95" spans="1:51">
      <c r="A95" s="30" t="str">
        <f>IFERROR(INDEX('G-1 All Habitats'!$AG$3:$AG$17,MATCH(E95,'G-1 All Habitats'!$AF$3:$AF$17,0)),"")</f>
        <v/>
      </c>
      <c r="B95" s="30" t="str">
        <f>IFERROR(INDEX('G-8 Condition Look up'!$I$4:$I$135,MATCH(G95,'G-8 Condition Look up'!$A$4:$A$135,0)),"")</f>
        <v/>
      </c>
      <c r="D95" s="110">
        <v>85</v>
      </c>
      <c r="E95" s="339"/>
      <c r="F95" s="340"/>
      <c r="G95" s="295" t="str">
        <f>IFERROR(INDEX('G-1 All Habitats'!$B$3:$B$134,MATCH(F95,'G-1 All Habitats'!$A$3:$A$134,0)),"")</f>
        <v/>
      </c>
      <c r="H95" s="139"/>
      <c r="I95" s="722" t="str">
        <f>IF(G95="","",VLOOKUP(G95,'G-1 All Habitats'!$B$2:$M$134,10,FALSE))</f>
        <v/>
      </c>
      <c r="J95" s="490" t="str">
        <f>IFERROR(VLOOKUP(I95,'G-1 All Habitats'!$V$3:$W$7,2,FALSE),"")</f>
        <v/>
      </c>
      <c r="K95" s="114"/>
      <c r="L95" s="490" t="str">
        <f>IFERROR(INDEX('G-8 Condition Look up'!$A$3:$H$135,MATCH(G95,'G-8 Condition Look up'!$A$3:$A$135,0),MATCH(K95,'G-8 Condition Look up'!$A$3:$H$3,0)),"")</f>
        <v/>
      </c>
      <c r="M95" s="738"/>
      <c r="N95" s="404" t="str">
        <f>IF(M95="","",IF(VLOOKUP(M95,'G-3 Multipliers'!$L$3:$N$6,2,FALSE)=0,"Spatial Data Missing ⚠",VLOOKUP(M95,'G-3 Multipliers'!$L$3:$N$6,2,FALSE)))</f>
        <v/>
      </c>
      <c r="O95" s="452" t="str">
        <f>IF(M95="","",IF(VLOOKUP(M95,'G-3 Multipliers'!$L$3:$N$6,3,FALSE)=0,"Spatial Data Missing ⚠",VLOOKUP(M95,'G-3 Multipliers'!$L$3:$N$6,3,FALSE)))</f>
        <v/>
      </c>
      <c r="P95" s="369" t="str">
        <f>IFERROR(VLOOKUP(G95,'G-1 All Habitats'!$B$2:$M$134,12,FALSE),"")</f>
        <v/>
      </c>
      <c r="Q95" s="725" t="str">
        <f>IFERROR(IF(P95="","",IF(AND(P95='G-1 All Habitats'!$X$3,W95&gt;0),X95+(Y95*S95),IF(AND(P95='G-1 All Habitats'!$X$3,V95&gt;0),X95+(Y95*S95),IF(AND(P95='G-1 All Habitats'!$X$3,AG95&gt;0),"Any Loss Unacceptable  ⚠",IF(AND(P95='G-1 All Habitats'!$X$3,Z95&gt;0),"Any Loss Unacceptable ⚠",H95*J95*L95*O95*S95))))),"Check Data ⚠")</f>
        <v/>
      </c>
      <c r="R95" s="516"/>
      <c r="S95" s="724" t="str">
        <f>IF(R95="","",IF(VLOOKUP(R95,'G-3 Multipliers'!$S$3:$T$10,2,FALSE)=0,"Spatial Data Missing ⚠",VLOOKUP(R95,'G-3 Multipliers'!$S$3:$T$10,2,FALSE)))</f>
        <v/>
      </c>
      <c r="T95" s="376" t="str">
        <f>IFERROR(IF(P95="","",IF(AND(P95='G-1 All Habitats'!$X$3,W95&gt;0),X95+Y95,IF(AND(P95='G-1 All Habitats'!$X$3,V95&gt;0),X95+Y95,IF(AND(P95='G-1 All Habitats'!$X$3,AG95&gt;0),"Any Loss Unacceptable ⚠", IF(R95="","", IF(AND(P95='G-1 All Habitats'!$X$3,Z95&gt;0),"Any Loss Unacceptable ⚠",H95*J95*L95*O95)))))),"Check Data ⚠")</f>
        <v/>
      </c>
      <c r="U95" s="38"/>
      <c r="V95" s="54"/>
      <c r="W95" s="55"/>
      <c r="X95" s="374" t="str">
        <f t="shared" si="11"/>
        <v/>
      </c>
      <c r="Y95" s="374" t="str">
        <f t="shared" si="12"/>
        <v/>
      </c>
      <c r="Z95" s="374" t="str">
        <f>IF(E95="","",IF(H95&lt;V95+W95,"Error in Areas ▲",IF(P95&lt;&gt;'G-1 All Habitats'!$X$3,H95-V95-W95,IF(AND(P95='G-1 All Habitats'!$X$3,AB95="Yes"),"Unacceptable Loss ⚠",IF(AND(P95='G-1 All Habitats'!$X$3,AB95="No"),AG95,IF(AND(P95='G-1 All Habitats'!$X$3,AB95=""),AG95,IF(AND(P95='G-1 All Habitats'!$X$3,AG95="None",AG95),IF(AND(P95='G-1 All Habitats'!$X$3,AG95&gt;0),H95-V95-W95))))))))</f>
        <v/>
      </c>
      <c r="AA95" s="405" t="str">
        <f>IFERROR(IF(H95="","",IF(H95-V95-W95=0&lt;0,"Error in Areas ▲",IF(V95+W95&gt;H95,"Error in Areas ▲",IF(AND(P95='G-1 All Habitats'!$X$3,AB95="Yes"),"Alternative Compensation ✓",IF(Z95=0,0,IF(P95='G-1 All Habitats'!$X$3,"Any Loss Unacceptable ▲",T95-X95-Y95)))))),"Check Data ⚠")</f>
        <v/>
      </c>
      <c r="AB95" s="837"/>
      <c r="AC95" s="119"/>
      <c r="AD95" s="528"/>
      <c r="AE95" s="120"/>
      <c r="AF95" s="687"/>
      <c r="AG95" s="744" t="str">
        <f>IF(P95="","",IF(P95='G-1 All Habitats'!$X$3,H95-V95-W95,"None"))</f>
        <v/>
      </c>
      <c r="AH95" s="744" t="str">
        <f t="shared" si="13"/>
        <v/>
      </c>
      <c r="AJ95" s="124" t="str">
        <f t="shared" si="14"/>
        <v/>
      </c>
      <c r="AK95" s="124" t="str">
        <f t="shared" si="15"/>
        <v/>
      </c>
      <c r="AL95" s="124" t="str">
        <f>IF(I95="","",IF(#REF!&gt;0,TRUE,FALSE))</f>
        <v/>
      </c>
      <c r="AM95" s="124">
        <v>85</v>
      </c>
      <c r="AN95" s="124"/>
      <c r="AO95" s="124" t="str">
        <f t="array" ref="AO95">IFERROR(INDEX($AM$11:$AM$259, MATCH(0, IF(TRUE=$AJ$11:$AJ$259, COUNTIF($AO$10:$AO94, $AM$11:$AM$259), ""), 0)),"")</f>
        <v/>
      </c>
      <c r="AP95" s="124" t="str">
        <f t="array" ref="AP95">IFERROR(INDEX($AM$11:$AM$259, MATCH(0, IF(TRUE=$AK$11:$AK$259, COUNTIF($AP$10:$AP94, $AM$11:$AM$259), ""), 0)),"")</f>
        <v/>
      </c>
      <c r="AQ95" s="124" t="str">
        <f t="array" ref="AQ95">IFERROR(INDEX($AM$11:$AM$259, MATCH(0, IF(TRUE=$AL$11:$AL$259, COUNTIF($AQ$10:$AQ94, $AM$11:$AM$259), ""), 0)),"")</f>
        <v/>
      </c>
      <c r="AU95" s="30">
        <f t="shared" si="17"/>
        <v>0</v>
      </c>
      <c r="AY95" s="374" t="str">
        <f t="shared" si="16"/>
        <v/>
      </c>
    </row>
    <row r="96" spans="1:51">
      <c r="A96" s="30" t="str">
        <f>IFERROR(INDEX('G-1 All Habitats'!$AG$3:$AG$17,MATCH(E96,'G-1 All Habitats'!$AF$3:$AF$17,0)),"")</f>
        <v/>
      </c>
      <c r="B96" s="30" t="str">
        <f>IFERROR(INDEX('G-8 Condition Look up'!$I$4:$I$135,MATCH(G96,'G-8 Condition Look up'!$A$4:$A$135,0)),"")</f>
        <v/>
      </c>
      <c r="D96" s="110">
        <v>86</v>
      </c>
      <c r="E96" s="339"/>
      <c r="F96" s="340"/>
      <c r="G96" s="295" t="str">
        <f>IFERROR(INDEX('G-1 All Habitats'!$B$3:$B$134,MATCH(F96,'G-1 All Habitats'!$A$3:$A$134,0)),"")</f>
        <v/>
      </c>
      <c r="H96" s="139"/>
      <c r="I96" s="722" t="str">
        <f>IF(G96="","",VLOOKUP(G96,'G-1 All Habitats'!$B$2:$M$134,10,FALSE))</f>
        <v/>
      </c>
      <c r="J96" s="490" t="str">
        <f>IFERROR(VLOOKUP(I96,'G-1 All Habitats'!$V$3:$W$7,2,FALSE),"")</f>
        <v/>
      </c>
      <c r="K96" s="114"/>
      <c r="L96" s="490" t="str">
        <f>IFERROR(INDEX('G-8 Condition Look up'!$A$3:$H$135,MATCH(G96,'G-8 Condition Look up'!$A$3:$A$135,0),MATCH(K96,'G-8 Condition Look up'!$A$3:$H$3,0)),"")</f>
        <v/>
      </c>
      <c r="M96" s="738"/>
      <c r="N96" s="404" t="str">
        <f>IF(M96="","",IF(VLOOKUP(M96,'G-3 Multipliers'!$L$3:$N$6,2,FALSE)=0,"Spatial Data Missing ⚠",VLOOKUP(M96,'G-3 Multipliers'!$L$3:$N$6,2,FALSE)))</f>
        <v/>
      </c>
      <c r="O96" s="452" t="str">
        <f>IF(M96="","",IF(VLOOKUP(M96,'G-3 Multipliers'!$L$3:$N$6,3,FALSE)=0,"Spatial Data Missing ⚠",VLOOKUP(M96,'G-3 Multipliers'!$L$3:$N$6,3,FALSE)))</f>
        <v/>
      </c>
      <c r="P96" s="369" t="str">
        <f>IFERROR(VLOOKUP(G96,'G-1 All Habitats'!$B$2:$M$134,12,FALSE),"")</f>
        <v/>
      </c>
      <c r="Q96" s="725" t="str">
        <f>IFERROR(IF(P96="","",IF(AND(P96='G-1 All Habitats'!$X$3,W96&gt;0),X96+(Y96*S96),IF(AND(P96='G-1 All Habitats'!$X$3,V96&gt;0),X96+(Y96*S96),IF(AND(P96='G-1 All Habitats'!$X$3,AG96&gt;0),"Any Loss Unacceptable  ⚠",IF(AND(P96='G-1 All Habitats'!$X$3,Z96&gt;0),"Any Loss Unacceptable ⚠",H96*J96*L96*O96*S96))))),"Check Data ⚠")</f>
        <v/>
      </c>
      <c r="R96" s="516"/>
      <c r="S96" s="724" t="str">
        <f>IF(R96="","",IF(VLOOKUP(R96,'G-3 Multipliers'!$S$3:$T$10,2,FALSE)=0,"Spatial Data Missing ⚠",VLOOKUP(R96,'G-3 Multipliers'!$S$3:$T$10,2,FALSE)))</f>
        <v/>
      </c>
      <c r="T96" s="376" t="str">
        <f>IFERROR(IF(P96="","",IF(AND(P96='G-1 All Habitats'!$X$3,W96&gt;0),X96+Y96,IF(AND(P96='G-1 All Habitats'!$X$3,V96&gt;0),X96+Y96,IF(AND(P96='G-1 All Habitats'!$X$3,AG96&gt;0),"Any Loss Unacceptable ⚠", IF(R96="","", IF(AND(P96='G-1 All Habitats'!$X$3,Z96&gt;0),"Any Loss Unacceptable ⚠",H96*J96*L96*O96)))))),"Check Data ⚠")</f>
        <v/>
      </c>
      <c r="U96" s="38"/>
      <c r="V96" s="54"/>
      <c r="W96" s="55"/>
      <c r="X96" s="374" t="str">
        <f t="shared" si="11"/>
        <v/>
      </c>
      <c r="Y96" s="374" t="str">
        <f t="shared" si="12"/>
        <v/>
      </c>
      <c r="Z96" s="374" t="str">
        <f>IF(E96="","",IF(H96&lt;V96+W96,"Error in Areas ▲",IF(P96&lt;&gt;'G-1 All Habitats'!$X$3,H96-V96-W96,IF(AND(P96='G-1 All Habitats'!$X$3,AB96="Yes"),"Unacceptable Loss ⚠",IF(AND(P96='G-1 All Habitats'!$X$3,AB96="No"),AG96,IF(AND(P96='G-1 All Habitats'!$X$3,AB96=""),AG96,IF(AND(P96='G-1 All Habitats'!$X$3,AG96="None",AG96),IF(AND(P96='G-1 All Habitats'!$X$3,AG96&gt;0),H96-V96-W96))))))))</f>
        <v/>
      </c>
      <c r="AA96" s="405" t="str">
        <f>IFERROR(IF(H96="","",IF(H96-V96-W96=0&lt;0,"Error in Areas ▲",IF(V96+W96&gt;H96,"Error in Areas ▲",IF(AND(P96='G-1 All Habitats'!$X$3,AB96="Yes"),"Alternative Compensation ✓",IF(Z96=0,0,IF(P96='G-1 All Habitats'!$X$3,"Any Loss Unacceptable ▲",T96-X96-Y96)))))),"Check Data ⚠")</f>
        <v/>
      </c>
      <c r="AB96" s="837"/>
      <c r="AC96" s="119"/>
      <c r="AD96" s="528"/>
      <c r="AE96" s="120"/>
      <c r="AF96" s="687"/>
      <c r="AG96" s="744" t="str">
        <f>IF(P96="","",IF(P96='G-1 All Habitats'!$X$3,H96-V96-W96,"None"))</f>
        <v/>
      </c>
      <c r="AH96" s="744" t="str">
        <f t="shared" si="13"/>
        <v/>
      </c>
      <c r="AJ96" s="124" t="str">
        <f t="shared" si="14"/>
        <v/>
      </c>
      <c r="AK96" s="124" t="str">
        <f t="shared" si="15"/>
        <v/>
      </c>
      <c r="AL96" s="124" t="str">
        <f>IF(I96="","",IF(#REF!&gt;0,TRUE,FALSE))</f>
        <v/>
      </c>
      <c r="AM96" s="124">
        <v>86</v>
      </c>
      <c r="AN96" s="124"/>
      <c r="AO96" s="124" t="str">
        <f t="array" ref="AO96">IFERROR(INDEX($AM$11:$AM$259, MATCH(0, IF(TRUE=$AJ$11:$AJ$259, COUNTIF($AO$10:$AO95, $AM$11:$AM$259), ""), 0)),"")</f>
        <v/>
      </c>
      <c r="AP96" s="124" t="str">
        <f t="array" ref="AP96">IFERROR(INDEX($AM$11:$AM$259, MATCH(0, IF(TRUE=$AK$11:$AK$259, COUNTIF($AP$10:$AP95, $AM$11:$AM$259), ""), 0)),"")</f>
        <v/>
      </c>
      <c r="AQ96" s="124" t="str">
        <f t="array" ref="AQ96">IFERROR(INDEX($AM$11:$AM$259, MATCH(0, IF(TRUE=$AL$11:$AL$259, COUNTIF($AQ$10:$AQ95, $AM$11:$AM$259), ""), 0)),"")</f>
        <v/>
      </c>
      <c r="AU96" s="30">
        <f t="shared" si="17"/>
        <v>0</v>
      </c>
      <c r="AY96" s="374" t="str">
        <f t="shared" si="16"/>
        <v/>
      </c>
    </row>
    <row r="97" spans="1:51">
      <c r="A97" s="30" t="str">
        <f>IFERROR(INDEX('G-1 All Habitats'!$AG$3:$AG$17,MATCH(E97,'G-1 All Habitats'!$AF$3:$AF$17,0)),"")</f>
        <v/>
      </c>
      <c r="B97" s="30" t="str">
        <f>IFERROR(INDEX('G-8 Condition Look up'!$I$4:$I$135,MATCH(G97,'G-8 Condition Look up'!$A$4:$A$135,0)),"")</f>
        <v/>
      </c>
      <c r="D97" s="110">
        <v>87</v>
      </c>
      <c r="E97" s="339"/>
      <c r="F97" s="340"/>
      <c r="G97" s="295" t="str">
        <f>IFERROR(INDEX('G-1 All Habitats'!$B$3:$B$134,MATCH(F97,'G-1 All Habitats'!$A$3:$A$134,0)),"")</f>
        <v/>
      </c>
      <c r="H97" s="139"/>
      <c r="I97" s="722" t="str">
        <f>IF(G97="","",VLOOKUP(G97,'G-1 All Habitats'!$B$2:$M$134,10,FALSE))</f>
        <v/>
      </c>
      <c r="J97" s="490" t="str">
        <f>IFERROR(VLOOKUP(I97,'G-1 All Habitats'!$V$3:$W$7,2,FALSE),"")</f>
        <v/>
      </c>
      <c r="K97" s="114"/>
      <c r="L97" s="490" t="str">
        <f>IFERROR(INDEX('G-8 Condition Look up'!$A$3:$H$135,MATCH(G97,'G-8 Condition Look up'!$A$3:$A$135,0),MATCH(K97,'G-8 Condition Look up'!$A$3:$H$3,0)),"")</f>
        <v/>
      </c>
      <c r="M97" s="738"/>
      <c r="N97" s="404" t="str">
        <f>IF(M97="","",IF(VLOOKUP(M97,'G-3 Multipliers'!$L$3:$N$6,2,FALSE)=0,"Spatial Data Missing ⚠",VLOOKUP(M97,'G-3 Multipliers'!$L$3:$N$6,2,FALSE)))</f>
        <v/>
      </c>
      <c r="O97" s="452" t="str">
        <f>IF(M97="","",IF(VLOOKUP(M97,'G-3 Multipliers'!$L$3:$N$6,3,FALSE)=0,"Spatial Data Missing ⚠",VLOOKUP(M97,'G-3 Multipliers'!$L$3:$N$6,3,FALSE)))</f>
        <v/>
      </c>
      <c r="P97" s="369" t="str">
        <f>IFERROR(VLOOKUP(G97,'G-1 All Habitats'!$B$2:$M$134,12,FALSE),"")</f>
        <v/>
      </c>
      <c r="Q97" s="725" t="str">
        <f>IFERROR(IF(P97="","",IF(AND(P97='G-1 All Habitats'!$X$3,W97&gt;0),X97+(Y97*S97),IF(AND(P97='G-1 All Habitats'!$X$3,V97&gt;0),X97+(Y97*S97),IF(AND(P97='G-1 All Habitats'!$X$3,AG97&gt;0),"Any Loss Unacceptable  ⚠",IF(AND(P97='G-1 All Habitats'!$X$3,Z97&gt;0),"Any Loss Unacceptable ⚠",H97*J97*L97*O97*S97))))),"Check Data ⚠")</f>
        <v/>
      </c>
      <c r="R97" s="516"/>
      <c r="S97" s="724" t="str">
        <f>IF(R97="","",IF(VLOOKUP(R97,'G-3 Multipliers'!$S$3:$T$10,2,FALSE)=0,"Spatial Data Missing ⚠",VLOOKUP(R97,'G-3 Multipliers'!$S$3:$T$10,2,FALSE)))</f>
        <v/>
      </c>
      <c r="T97" s="376" t="str">
        <f>IFERROR(IF(P97="","",IF(AND(P97='G-1 All Habitats'!$X$3,W97&gt;0),X97+Y97,IF(AND(P97='G-1 All Habitats'!$X$3,V97&gt;0),X97+Y97,IF(AND(P97='G-1 All Habitats'!$X$3,AG97&gt;0),"Any Loss Unacceptable ⚠", IF(R97="","", IF(AND(P97='G-1 All Habitats'!$X$3,Z97&gt;0),"Any Loss Unacceptable ⚠",H97*J97*L97*O97)))))),"Check Data ⚠")</f>
        <v/>
      </c>
      <c r="U97" s="38"/>
      <c r="V97" s="54"/>
      <c r="W97" s="55"/>
      <c r="X97" s="374" t="str">
        <f t="shared" si="11"/>
        <v/>
      </c>
      <c r="Y97" s="374" t="str">
        <f t="shared" si="12"/>
        <v/>
      </c>
      <c r="Z97" s="374" t="str">
        <f>IF(E97="","",IF(H97&lt;V97+W97,"Error in Areas ▲",IF(P97&lt;&gt;'G-1 All Habitats'!$X$3,H97-V97-W97,IF(AND(P97='G-1 All Habitats'!$X$3,AB97="Yes"),"Unacceptable Loss ⚠",IF(AND(P97='G-1 All Habitats'!$X$3,AB97="No"),AG97,IF(AND(P97='G-1 All Habitats'!$X$3,AB97=""),AG97,IF(AND(P97='G-1 All Habitats'!$X$3,AG97="None",AG97),IF(AND(P97='G-1 All Habitats'!$X$3,AG97&gt;0),H97-V97-W97))))))))</f>
        <v/>
      </c>
      <c r="AA97" s="405" t="str">
        <f>IFERROR(IF(H97="","",IF(H97-V97-W97=0&lt;0,"Error in Areas ▲",IF(V97+W97&gt;H97,"Error in Areas ▲",IF(AND(P97='G-1 All Habitats'!$X$3,AB97="Yes"),"Alternative Compensation ✓",IF(Z97=0,0,IF(P97='G-1 All Habitats'!$X$3,"Any Loss Unacceptable ▲",T97-X97-Y97)))))),"Check Data ⚠")</f>
        <v/>
      </c>
      <c r="AB97" s="837"/>
      <c r="AC97" s="119"/>
      <c r="AD97" s="528"/>
      <c r="AE97" s="120"/>
      <c r="AF97" s="687"/>
      <c r="AG97" s="744" t="str">
        <f>IF(P97="","",IF(P97='G-1 All Habitats'!$X$3,H97-V97-W97,"None"))</f>
        <v/>
      </c>
      <c r="AH97" s="744" t="str">
        <f t="shared" si="13"/>
        <v/>
      </c>
      <c r="AJ97" s="124" t="str">
        <f t="shared" si="14"/>
        <v/>
      </c>
      <c r="AK97" s="124" t="str">
        <f t="shared" si="15"/>
        <v/>
      </c>
      <c r="AL97" s="124" t="str">
        <f>IF(I97="","",IF(#REF!&gt;0,TRUE,FALSE))</f>
        <v/>
      </c>
      <c r="AM97" s="124">
        <v>87</v>
      </c>
      <c r="AN97" s="124"/>
      <c r="AO97" s="124" t="str">
        <f t="array" ref="AO97">IFERROR(INDEX($AM$11:$AM$259, MATCH(0, IF(TRUE=$AJ$11:$AJ$259, COUNTIF($AO$10:$AO96, $AM$11:$AM$259), ""), 0)),"")</f>
        <v/>
      </c>
      <c r="AP97" s="124" t="str">
        <f t="array" ref="AP97">IFERROR(INDEX($AM$11:$AM$259, MATCH(0, IF(TRUE=$AK$11:$AK$259, COUNTIF($AP$10:$AP96, $AM$11:$AM$259), ""), 0)),"")</f>
        <v/>
      </c>
      <c r="AQ97" s="124" t="str">
        <f t="array" ref="AQ97">IFERROR(INDEX($AM$11:$AM$259, MATCH(0, IF(TRUE=$AL$11:$AL$259, COUNTIF($AQ$10:$AQ96, $AM$11:$AM$259), ""), 0)),"")</f>
        <v/>
      </c>
      <c r="AU97" s="30">
        <f t="shared" si="17"/>
        <v>0</v>
      </c>
      <c r="AY97" s="374" t="str">
        <f t="shared" si="16"/>
        <v/>
      </c>
    </row>
    <row r="98" spans="1:51">
      <c r="A98" s="30" t="str">
        <f>IFERROR(INDEX('G-1 All Habitats'!$AG$3:$AG$17,MATCH(E98,'G-1 All Habitats'!$AF$3:$AF$17,0)),"")</f>
        <v/>
      </c>
      <c r="B98" s="30" t="str">
        <f>IFERROR(INDEX('G-8 Condition Look up'!$I$4:$I$135,MATCH(G98,'G-8 Condition Look up'!$A$4:$A$135,0)),"")</f>
        <v/>
      </c>
      <c r="D98" s="110">
        <v>88</v>
      </c>
      <c r="E98" s="339"/>
      <c r="F98" s="340"/>
      <c r="G98" s="295" t="str">
        <f>IFERROR(INDEX('G-1 All Habitats'!$B$3:$B$134,MATCH(F98,'G-1 All Habitats'!$A$3:$A$134,0)),"")</f>
        <v/>
      </c>
      <c r="H98" s="139"/>
      <c r="I98" s="722" t="str">
        <f>IF(G98="","",VLOOKUP(G98,'G-1 All Habitats'!$B$2:$M$134,10,FALSE))</f>
        <v/>
      </c>
      <c r="J98" s="490" t="str">
        <f>IFERROR(VLOOKUP(I98,'G-1 All Habitats'!$V$3:$W$7,2,FALSE),"")</f>
        <v/>
      </c>
      <c r="K98" s="114"/>
      <c r="L98" s="490" t="str">
        <f>IFERROR(INDEX('G-8 Condition Look up'!$A$3:$H$135,MATCH(G98,'G-8 Condition Look up'!$A$3:$A$135,0),MATCH(K98,'G-8 Condition Look up'!$A$3:$H$3,0)),"")</f>
        <v/>
      </c>
      <c r="M98" s="738"/>
      <c r="N98" s="404" t="str">
        <f>IF(M98="","",IF(VLOOKUP(M98,'G-3 Multipliers'!$L$3:$N$6,2,FALSE)=0,"Spatial Data Missing ⚠",VLOOKUP(M98,'G-3 Multipliers'!$L$3:$N$6,2,FALSE)))</f>
        <v/>
      </c>
      <c r="O98" s="452" t="str">
        <f>IF(M98="","",IF(VLOOKUP(M98,'G-3 Multipliers'!$L$3:$N$6,3,FALSE)=0,"Spatial Data Missing ⚠",VLOOKUP(M98,'G-3 Multipliers'!$L$3:$N$6,3,FALSE)))</f>
        <v/>
      </c>
      <c r="P98" s="369" t="str">
        <f>IFERROR(VLOOKUP(G98,'G-1 All Habitats'!$B$2:$M$134,12,FALSE),"")</f>
        <v/>
      </c>
      <c r="Q98" s="725" t="str">
        <f>IFERROR(IF(P98="","",IF(AND(P98='G-1 All Habitats'!$X$3,W98&gt;0),X98+(Y98*S98),IF(AND(P98='G-1 All Habitats'!$X$3,V98&gt;0),X98+(Y98*S98),IF(AND(P98='G-1 All Habitats'!$X$3,AG98&gt;0),"Any Loss Unacceptable  ⚠",IF(AND(P98='G-1 All Habitats'!$X$3,Z98&gt;0),"Any Loss Unacceptable ⚠",H98*J98*L98*O98*S98))))),"Check Data ⚠")</f>
        <v/>
      </c>
      <c r="R98" s="516"/>
      <c r="S98" s="724" t="str">
        <f>IF(R98="","",IF(VLOOKUP(R98,'G-3 Multipliers'!$S$3:$T$10,2,FALSE)=0,"Spatial Data Missing ⚠",VLOOKUP(R98,'G-3 Multipliers'!$S$3:$T$10,2,FALSE)))</f>
        <v/>
      </c>
      <c r="T98" s="376" t="str">
        <f>IFERROR(IF(P98="","",IF(AND(P98='G-1 All Habitats'!$X$3,W98&gt;0),X98+Y98,IF(AND(P98='G-1 All Habitats'!$X$3,V98&gt;0),X98+Y98,IF(AND(P98='G-1 All Habitats'!$X$3,AG98&gt;0),"Any Loss Unacceptable ⚠", IF(R98="","", IF(AND(P98='G-1 All Habitats'!$X$3,Z98&gt;0),"Any Loss Unacceptable ⚠",H98*J98*L98*O98)))))),"Check Data ⚠")</f>
        <v/>
      </c>
      <c r="U98" s="38"/>
      <c r="V98" s="54"/>
      <c r="W98" s="55"/>
      <c r="X98" s="374" t="str">
        <f t="shared" si="11"/>
        <v/>
      </c>
      <c r="Y98" s="374" t="str">
        <f t="shared" si="12"/>
        <v/>
      </c>
      <c r="Z98" s="374" t="str">
        <f>IF(E98="","",IF(H98&lt;V98+W98,"Error in Areas ▲",IF(P98&lt;&gt;'G-1 All Habitats'!$X$3,H98-V98-W98,IF(AND(P98='G-1 All Habitats'!$X$3,AB98="Yes"),"Unacceptable Loss ⚠",IF(AND(P98='G-1 All Habitats'!$X$3,AB98="No"),AG98,IF(AND(P98='G-1 All Habitats'!$X$3,AB98=""),AG98,IF(AND(P98='G-1 All Habitats'!$X$3,AG98="None",AG98),IF(AND(P98='G-1 All Habitats'!$X$3,AG98&gt;0),H98-V98-W98))))))))</f>
        <v/>
      </c>
      <c r="AA98" s="405" t="str">
        <f>IFERROR(IF(H98="","",IF(H98-V98-W98=0&lt;0,"Error in Areas ▲",IF(V98+W98&gt;H98,"Error in Areas ▲",IF(AND(P98='G-1 All Habitats'!$X$3,AB98="Yes"),"Alternative Compensation ✓",IF(Z98=0,0,IF(P98='G-1 All Habitats'!$X$3,"Any Loss Unacceptable ▲",T98-X98-Y98)))))),"Check Data ⚠")</f>
        <v/>
      </c>
      <c r="AB98" s="837"/>
      <c r="AC98" s="119"/>
      <c r="AD98" s="528"/>
      <c r="AE98" s="120"/>
      <c r="AF98" s="687"/>
      <c r="AG98" s="744" t="str">
        <f>IF(P98="","",IF(P98='G-1 All Habitats'!$X$3,H98-V98-W98,"None"))</f>
        <v/>
      </c>
      <c r="AH98" s="744" t="str">
        <f t="shared" si="13"/>
        <v/>
      </c>
      <c r="AJ98" s="124" t="str">
        <f t="shared" si="14"/>
        <v/>
      </c>
      <c r="AK98" s="124" t="str">
        <f t="shared" si="15"/>
        <v/>
      </c>
      <c r="AL98" s="124" t="str">
        <f>IF(I98="","",IF(#REF!&gt;0,TRUE,FALSE))</f>
        <v/>
      </c>
      <c r="AM98" s="124">
        <v>88</v>
      </c>
      <c r="AN98" s="124"/>
      <c r="AO98" s="124" t="str">
        <f t="array" ref="AO98">IFERROR(INDEX($AM$11:$AM$259, MATCH(0, IF(TRUE=$AJ$11:$AJ$259, COUNTIF($AO$10:$AO97, $AM$11:$AM$259), ""), 0)),"")</f>
        <v/>
      </c>
      <c r="AP98" s="124" t="str">
        <f t="array" ref="AP98">IFERROR(INDEX($AM$11:$AM$259, MATCH(0, IF(TRUE=$AK$11:$AK$259, COUNTIF($AP$10:$AP97, $AM$11:$AM$259), ""), 0)),"")</f>
        <v/>
      </c>
      <c r="AQ98" s="124" t="str">
        <f t="array" ref="AQ98">IFERROR(INDEX($AM$11:$AM$259, MATCH(0, IF(TRUE=$AL$11:$AL$259, COUNTIF($AQ$10:$AQ97, $AM$11:$AM$259), ""), 0)),"")</f>
        <v/>
      </c>
      <c r="AU98" s="30">
        <f t="shared" si="17"/>
        <v>0</v>
      </c>
      <c r="AY98" s="374" t="str">
        <f t="shared" si="16"/>
        <v/>
      </c>
    </row>
    <row r="99" spans="1:51">
      <c r="A99" s="30" t="str">
        <f>IFERROR(INDEX('G-1 All Habitats'!$AG$3:$AG$17,MATCH(E99,'G-1 All Habitats'!$AF$3:$AF$17,0)),"")</f>
        <v/>
      </c>
      <c r="B99" s="30" t="str">
        <f>IFERROR(INDEX('G-8 Condition Look up'!$I$4:$I$135,MATCH(G99,'G-8 Condition Look up'!$A$4:$A$135,0)),"")</f>
        <v/>
      </c>
      <c r="D99" s="110">
        <v>89</v>
      </c>
      <c r="E99" s="339"/>
      <c r="F99" s="340"/>
      <c r="G99" s="295" t="str">
        <f>IFERROR(INDEX('G-1 All Habitats'!$B$3:$B$134,MATCH(F99,'G-1 All Habitats'!$A$3:$A$134,0)),"")</f>
        <v/>
      </c>
      <c r="H99" s="139"/>
      <c r="I99" s="722" t="str">
        <f>IF(G99="","",VLOOKUP(G99,'G-1 All Habitats'!$B$2:$M$134,10,FALSE))</f>
        <v/>
      </c>
      <c r="J99" s="490" t="str">
        <f>IFERROR(VLOOKUP(I99,'G-1 All Habitats'!$V$3:$W$7,2,FALSE),"")</f>
        <v/>
      </c>
      <c r="K99" s="114"/>
      <c r="L99" s="490" t="str">
        <f>IFERROR(INDEX('G-8 Condition Look up'!$A$3:$H$135,MATCH(G99,'G-8 Condition Look up'!$A$3:$A$135,0),MATCH(K99,'G-8 Condition Look up'!$A$3:$H$3,0)),"")</f>
        <v/>
      </c>
      <c r="M99" s="738"/>
      <c r="N99" s="404" t="str">
        <f>IF(M99="","",IF(VLOOKUP(M99,'G-3 Multipliers'!$L$3:$N$6,2,FALSE)=0,"Spatial Data Missing ⚠",VLOOKUP(M99,'G-3 Multipliers'!$L$3:$N$6,2,FALSE)))</f>
        <v/>
      </c>
      <c r="O99" s="452" t="str">
        <f>IF(M99="","",IF(VLOOKUP(M99,'G-3 Multipliers'!$L$3:$N$6,3,FALSE)=0,"Spatial Data Missing ⚠",VLOOKUP(M99,'G-3 Multipliers'!$L$3:$N$6,3,FALSE)))</f>
        <v/>
      </c>
      <c r="P99" s="369" t="str">
        <f>IFERROR(VLOOKUP(G99,'G-1 All Habitats'!$B$2:$M$134,12,FALSE),"")</f>
        <v/>
      </c>
      <c r="Q99" s="725" t="str">
        <f>IFERROR(IF(P99="","",IF(AND(P99='G-1 All Habitats'!$X$3,W99&gt;0),X99+(Y99*S99),IF(AND(P99='G-1 All Habitats'!$X$3,V99&gt;0),X99+(Y99*S99),IF(AND(P99='G-1 All Habitats'!$X$3,AG99&gt;0),"Any Loss Unacceptable  ⚠",IF(AND(P99='G-1 All Habitats'!$X$3,Z99&gt;0),"Any Loss Unacceptable ⚠",H99*J99*L99*O99*S99))))),"Check Data ⚠")</f>
        <v/>
      </c>
      <c r="R99" s="516"/>
      <c r="S99" s="724" t="str">
        <f>IF(R99="","",IF(VLOOKUP(R99,'G-3 Multipliers'!$S$3:$T$10,2,FALSE)=0,"Spatial Data Missing ⚠",VLOOKUP(R99,'G-3 Multipliers'!$S$3:$T$10,2,FALSE)))</f>
        <v/>
      </c>
      <c r="T99" s="376" t="str">
        <f>IFERROR(IF(P99="","",IF(AND(P99='G-1 All Habitats'!$X$3,W99&gt;0),X99+Y99,IF(AND(P99='G-1 All Habitats'!$X$3,V99&gt;0),X99+Y99,IF(AND(P99='G-1 All Habitats'!$X$3,AG99&gt;0),"Any Loss Unacceptable ⚠", IF(R99="","", IF(AND(P99='G-1 All Habitats'!$X$3,Z99&gt;0),"Any Loss Unacceptable ⚠",H99*J99*L99*O99)))))),"Check Data ⚠")</f>
        <v/>
      </c>
      <c r="U99" s="38"/>
      <c r="V99" s="54"/>
      <c r="W99" s="55"/>
      <c r="X99" s="374" t="str">
        <f t="shared" si="11"/>
        <v/>
      </c>
      <c r="Y99" s="374" t="str">
        <f t="shared" si="12"/>
        <v/>
      </c>
      <c r="Z99" s="374" t="str">
        <f>IF(E99="","",IF(H99&lt;V99+W99,"Error in Areas ▲",IF(P99&lt;&gt;'G-1 All Habitats'!$X$3,H99-V99-W99,IF(AND(P99='G-1 All Habitats'!$X$3,AB99="Yes"),"Unacceptable Loss ⚠",IF(AND(P99='G-1 All Habitats'!$X$3,AB99="No"),AG99,IF(AND(P99='G-1 All Habitats'!$X$3,AB99=""),AG99,IF(AND(P99='G-1 All Habitats'!$X$3,AG99="None",AG99),IF(AND(P99='G-1 All Habitats'!$X$3,AG99&gt;0),H99-V99-W99))))))))</f>
        <v/>
      </c>
      <c r="AA99" s="405" t="str">
        <f>IFERROR(IF(H99="","",IF(H99-V99-W99=0&lt;0,"Error in Areas ▲",IF(V99+W99&gt;H99,"Error in Areas ▲",IF(AND(P99='G-1 All Habitats'!$X$3,AB99="Yes"),"Alternative Compensation ✓",IF(Z99=0,0,IF(P99='G-1 All Habitats'!$X$3,"Any Loss Unacceptable ▲",T99-X99-Y99)))))),"Check Data ⚠")</f>
        <v/>
      </c>
      <c r="AB99" s="837"/>
      <c r="AC99" s="119"/>
      <c r="AD99" s="528"/>
      <c r="AE99" s="120"/>
      <c r="AF99" s="687"/>
      <c r="AG99" s="744" t="str">
        <f>IF(P99="","",IF(P99='G-1 All Habitats'!$X$3,H99-V99-W99,"None"))</f>
        <v/>
      </c>
      <c r="AH99" s="744" t="str">
        <f t="shared" si="13"/>
        <v/>
      </c>
      <c r="AJ99" s="124" t="str">
        <f t="shared" si="14"/>
        <v/>
      </c>
      <c r="AK99" s="124" t="str">
        <f t="shared" si="15"/>
        <v/>
      </c>
      <c r="AL99" s="124" t="str">
        <f>IF(I99="","",IF(#REF!&gt;0,TRUE,FALSE))</f>
        <v/>
      </c>
      <c r="AM99" s="124">
        <v>89</v>
      </c>
      <c r="AN99" s="124"/>
      <c r="AO99" s="124" t="str">
        <f t="array" ref="AO99">IFERROR(INDEX($AM$11:$AM$259, MATCH(0, IF(TRUE=$AJ$11:$AJ$259, COUNTIF($AO$10:$AO98, $AM$11:$AM$259), ""), 0)),"")</f>
        <v/>
      </c>
      <c r="AP99" s="124" t="str">
        <f t="array" ref="AP99">IFERROR(INDEX($AM$11:$AM$259, MATCH(0, IF(TRUE=$AK$11:$AK$259, COUNTIF($AP$10:$AP98, $AM$11:$AM$259), ""), 0)),"")</f>
        <v/>
      </c>
      <c r="AQ99" s="124" t="str">
        <f t="array" ref="AQ99">IFERROR(INDEX($AM$11:$AM$259, MATCH(0, IF(TRUE=$AL$11:$AL$259, COUNTIF($AQ$10:$AQ98, $AM$11:$AM$259), ""), 0)),"")</f>
        <v/>
      </c>
      <c r="AU99" s="30">
        <f t="shared" si="17"/>
        <v>0</v>
      </c>
      <c r="AY99" s="374" t="str">
        <f t="shared" si="16"/>
        <v/>
      </c>
    </row>
    <row r="100" spans="1:51">
      <c r="A100" s="30" t="str">
        <f>IFERROR(INDEX('G-1 All Habitats'!$AG$3:$AG$17,MATCH(E100,'G-1 All Habitats'!$AF$3:$AF$17,0)),"")</f>
        <v/>
      </c>
      <c r="B100" s="30" t="str">
        <f>IFERROR(INDEX('G-8 Condition Look up'!$I$4:$I$135,MATCH(G100,'G-8 Condition Look up'!$A$4:$A$135,0)),"")</f>
        <v/>
      </c>
      <c r="D100" s="110">
        <v>90</v>
      </c>
      <c r="E100" s="339"/>
      <c r="F100" s="340"/>
      <c r="G100" s="295" t="str">
        <f>IFERROR(INDEX('G-1 All Habitats'!$B$3:$B$134,MATCH(F100,'G-1 All Habitats'!$A$3:$A$134,0)),"")</f>
        <v/>
      </c>
      <c r="H100" s="139"/>
      <c r="I100" s="722" t="str">
        <f>IF(G100="","",VLOOKUP(G100,'G-1 All Habitats'!$B$2:$M$134,10,FALSE))</f>
        <v/>
      </c>
      <c r="J100" s="490" t="str">
        <f>IFERROR(VLOOKUP(I100,'G-1 All Habitats'!$V$3:$W$7,2,FALSE),"")</f>
        <v/>
      </c>
      <c r="K100" s="114"/>
      <c r="L100" s="490" t="str">
        <f>IFERROR(INDEX('G-8 Condition Look up'!$A$3:$H$135,MATCH(G100,'G-8 Condition Look up'!$A$3:$A$135,0),MATCH(K100,'G-8 Condition Look up'!$A$3:$H$3,0)),"")</f>
        <v/>
      </c>
      <c r="M100" s="738"/>
      <c r="N100" s="404" t="str">
        <f>IF(M100="","",IF(VLOOKUP(M100,'G-3 Multipliers'!$L$3:$N$6,2,FALSE)=0,"Spatial Data Missing ⚠",VLOOKUP(M100,'G-3 Multipliers'!$L$3:$N$6,2,FALSE)))</f>
        <v/>
      </c>
      <c r="O100" s="452" t="str">
        <f>IF(M100="","",IF(VLOOKUP(M100,'G-3 Multipliers'!$L$3:$N$6,3,FALSE)=0,"Spatial Data Missing ⚠",VLOOKUP(M100,'G-3 Multipliers'!$L$3:$N$6,3,FALSE)))</f>
        <v/>
      </c>
      <c r="P100" s="369" t="str">
        <f>IFERROR(VLOOKUP(G100,'G-1 All Habitats'!$B$2:$M$134,12,FALSE),"")</f>
        <v/>
      </c>
      <c r="Q100" s="725" t="str">
        <f>IFERROR(IF(P100="","",IF(AND(P100='G-1 All Habitats'!$X$3,W100&gt;0),X100+(Y100*S100),IF(AND(P100='G-1 All Habitats'!$X$3,V100&gt;0),X100+(Y100*S100),IF(AND(P100='G-1 All Habitats'!$X$3,AG100&gt;0),"Any Loss Unacceptable  ⚠",IF(AND(P100='G-1 All Habitats'!$X$3,Z100&gt;0),"Any Loss Unacceptable ⚠",H100*J100*L100*O100*S100))))),"Check Data ⚠")</f>
        <v/>
      </c>
      <c r="R100" s="516"/>
      <c r="S100" s="724" t="str">
        <f>IF(R100="","",IF(VLOOKUP(R100,'G-3 Multipliers'!$S$3:$T$10,2,FALSE)=0,"Spatial Data Missing ⚠",VLOOKUP(R100,'G-3 Multipliers'!$S$3:$T$10,2,FALSE)))</f>
        <v/>
      </c>
      <c r="T100" s="376" t="str">
        <f>IFERROR(IF(P100="","",IF(AND(P100='G-1 All Habitats'!$X$3,W100&gt;0),X100+Y100,IF(AND(P100='G-1 All Habitats'!$X$3,V100&gt;0),X100+Y100,IF(AND(P100='G-1 All Habitats'!$X$3,AG100&gt;0),"Any Loss Unacceptable ⚠", IF(R100="","", IF(AND(P100='G-1 All Habitats'!$X$3,Z100&gt;0),"Any Loss Unacceptable ⚠",H100*J100*L100*O100)))))),"Check Data ⚠")</f>
        <v/>
      </c>
      <c r="U100" s="38"/>
      <c r="V100" s="54"/>
      <c r="W100" s="55"/>
      <c r="X100" s="374" t="str">
        <f t="shared" si="11"/>
        <v/>
      </c>
      <c r="Y100" s="374" t="str">
        <f t="shared" si="12"/>
        <v/>
      </c>
      <c r="Z100" s="374" t="str">
        <f>IF(E100="","",IF(H100&lt;V100+W100,"Error in Areas ▲",IF(P100&lt;&gt;'G-1 All Habitats'!$X$3,H100-V100-W100,IF(AND(P100='G-1 All Habitats'!$X$3,AB100="Yes"),"Unacceptable Loss ⚠",IF(AND(P100='G-1 All Habitats'!$X$3,AB100="No"),AG100,IF(AND(P100='G-1 All Habitats'!$X$3,AB100=""),AG100,IF(AND(P100='G-1 All Habitats'!$X$3,AG100="None",AG100),IF(AND(P100='G-1 All Habitats'!$X$3,AG100&gt;0),H100-V100-W100))))))))</f>
        <v/>
      </c>
      <c r="AA100" s="405" t="str">
        <f>IFERROR(IF(H100="","",IF(H100-V100-W100=0&lt;0,"Error in Areas ▲",IF(V100+W100&gt;H100,"Error in Areas ▲",IF(AND(P100='G-1 All Habitats'!$X$3,AB100="Yes"),"Alternative Compensation ✓",IF(Z100=0,0,IF(P100='G-1 All Habitats'!$X$3,"Any Loss Unacceptable ▲",T100-X100-Y100)))))),"Check Data ⚠")</f>
        <v/>
      </c>
      <c r="AB100" s="837"/>
      <c r="AC100" s="119"/>
      <c r="AD100" s="528"/>
      <c r="AE100" s="120"/>
      <c r="AF100" s="687"/>
      <c r="AG100" s="744" t="str">
        <f>IF(P100="","",IF(P100='G-1 All Habitats'!$X$3,H100-V100-W100,"None"))</f>
        <v/>
      </c>
      <c r="AH100" s="744" t="str">
        <f t="shared" si="13"/>
        <v/>
      </c>
      <c r="AJ100" s="124" t="str">
        <f t="shared" si="14"/>
        <v/>
      </c>
      <c r="AK100" s="124" t="str">
        <f t="shared" si="15"/>
        <v/>
      </c>
      <c r="AL100" s="124" t="str">
        <f>IF(I100="","",IF(#REF!&gt;0,TRUE,FALSE))</f>
        <v/>
      </c>
      <c r="AM100" s="124">
        <v>90</v>
      </c>
      <c r="AN100" s="124"/>
      <c r="AO100" s="124" t="str">
        <f t="array" ref="AO100">IFERROR(INDEX($AM$11:$AM$259, MATCH(0, IF(TRUE=$AJ$11:$AJ$259, COUNTIF($AO$10:$AO99, $AM$11:$AM$259), ""), 0)),"")</f>
        <v/>
      </c>
      <c r="AP100" s="124" t="str">
        <f t="array" ref="AP100">IFERROR(INDEX($AM$11:$AM$259, MATCH(0, IF(TRUE=$AK$11:$AK$259, COUNTIF($AP$10:$AP99, $AM$11:$AM$259), ""), 0)),"")</f>
        <v/>
      </c>
      <c r="AQ100" s="124" t="str">
        <f t="array" ref="AQ100">IFERROR(INDEX($AM$11:$AM$259, MATCH(0, IF(TRUE=$AL$11:$AL$259, COUNTIF($AQ$10:$AQ99, $AM$11:$AM$259), ""), 0)),"")</f>
        <v/>
      </c>
      <c r="AU100" s="30">
        <f t="shared" si="17"/>
        <v>0</v>
      </c>
      <c r="AY100" s="374" t="str">
        <f t="shared" si="16"/>
        <v/>
      </c>
    </row>
    <row r="101" spans="1:51">
      <c r="A101" s="30" t="str">
        <f>IFERROR(INDEX('G-1 All Habitats'!$AG$3:$AG$17,MATCH(E101,'G-1 All Habitats'!$AF$3:$AF$17,0)),"")</f>
        <v/>
      </c>
      <c r="B101" s="30" t="str">
        <f>IFERROR(INDEX('G-8 Condition Look up'!$I$4:$I$135,MATCH(G101,'G-8 Condition Look up'!$A$4:$A$135,0)),"")</f>
        <v/>
      </c>
      <c r="D101" s="110">
        <v>91</v>
      </c>
      <c r="E101" s="339"/>
      <c r="F101" s="340"/>
      <c r="G101" s="295" t="str">
        <f>IFERROR(INDEX('G-1 All Habitats'!$B$3:$B$134,MATCH(F101,'G-1 All Habitats'!$A$3:$A$134,0)),"")</f>
        <v/>
      </c>
      <c r="H101" s="139"/>
      <c r="I101" s="722" t="str">
        <f>IF(G101="","",VLOOKUP(G101,'G-1 All Habitats'!$B$2:$M$134,10,FALSE))</f>
        <v/>
      </c>
      <c r="J101" s="490" t="str">
        <f>IFERROR(VLOOKUP(I101,'G-1 All Habitats'!$V$3:$W$7,2,FALSE),"")</f>
        <v/>
      </c>
      <c r="K101" s="114"/>
      <c r="L101" s="490" t="str">
        <f>IFERROR(INDEX('G-8 Condition Look up'!$A$3:$H$135,MATCH(G101,'G-8 Condition Look up'!$A$3:$A$135,0),MATCH(K101,'G-8 Condition Look up'!$A$3:$H$3,0)),"")</f>
        <v/>
      </c>
      <c r="M101" s="738"/>
      <c r="N101" s="404" t="str">
        <f>IF(M101="","",IF(VLOOKUP(M101,'G-3 Multipliers'!$L$3:$N$6,2,FALSE)=0,"Spatial Data Missing ⚠",VLOOKUP(M101,'G-3 Multipliers'!$L$3:$N$6,2,FALSE)))</f>
        <v/>
      </c>
      <c r="O101" s="452" t="str">
        <f>IF(M101="","",IF(VLOOKUP(M101,'G-3 Multipliers'!$L$3:$N$6,3,FALSE)=0,"Spatial Data Missing ⚠",VLOOKUP(M101,'G-3 Multipliers'!$L$3:$N$6,3,FALSE)))</f>
        <v/>
      </c>
      <c r="P101" s="369" t="str">
        <f>IFERROR(VLOOKUP(G101,'G-1 All Habitats'!$B$2:$M$134,12,FALSE),"")</f>
        <v/>
      </c>
      <c r="Q101" s="725" t="str">
        <f>IFERROR(IF(P101="","",IF(AND(P101='G-1 All Habitats'!$X$3,W101&gt;0),X101+(Y101*S101),IF(AND(P101='G-1 All Habitats'!$X$3,V101&gt;0),X101+(Y101*S101),IF(AND(P101='G-1 All Habitats'!$X$3,AG101&gt;0),"Any Loss Unacceptable  ⚠",IF(AND(P101='G-1 All Habitats'!$X$3,Z101&gt;0),"Any Loss Unacceptable ⚠",H101*J101*L101*O101*S101))))),"Check Data ⚠")</f>
        <v/>
      </c>
      <c r="R101" s="516"/>
      <c r="S101" s="724" t="str">
        <f>IF(R101="","",IF(VLOOKUP(R101,'G-3 Multipliers'!$S$3:$T$10,2,FALSE)=0,"Spatial Data Missing ⚠",VLOOKUP(R101,'G-3 Multipliers'!$S$3:$T$10,2,FALSE)))</f>
        <v/>
      </c>
      <c r="T101" s="376" t="str">
        <f>IFERROR(IF(P101="","",IF(AND(P101='G-1 All Habitats'!$X$3,W101&gt;0),X101+Y101,IF(AND(P101='G-1 All Habitats'!$X$3,V101&gt;0),X101+Y101,IF(AND(P101='G-1 All Habitats'!$X$3,AG101&gt;0),"Any Loss Unacceptable ⚠", IF(R101="","", IF(AND(P101='G-1 All Habitats'!$X$3,Z101&gt;0),"Any Loss Unacceptable ⚠",H101*J101*L101*O101)))))),"Check Data ⚠")</f>
        <v/>
      </c>
      <c r="U101" s="38"/>
      <c r="V101" s="54"/>
      <c r="W101" s="55"/>
      <c r="X101" s="374" t="str">
        <f t="shared" si="11"/>
        <v/>
      </c>
      <c r="Y101" s="374" t="str">
        <f t="shared" si="12"/>
        <v/>
      </c>
      <c r="Z101" s="374" t="str">
        <f>IF(E101="","",IF(H101&lt;V101+W101,"Error in Areas ▲",IF(P101&lt;&gt;'G-1 All Habitats'!$X$3,H101-V101-W101,IF(AND(P101='G-1 All Habitats'!$X$3,AB101="Yes"),"Unacceptable Loss ⚠",IF(AND(P101='G-1 All Habitats'!$X$3,AB101="No"),AG101,IF(AND(P101='G-1 All Habitats'!$X$3,AB101=""),AG101,IF(AND(P101='G-1 All Habitats'!$X$3,AG101="None",AG101),IF(AND(P101='G-1 All Habitats'!$X$3,AG101&gt;0),H101-V101-W101))))))))</f>
        <v/>
      </c>
      <c r="AA101" s="405" t="str">
        <f>IFERROR(IF(H101="","",IF(H101-V101-W101=0&lt;0,"Error in Areas ▲",IF(V101+W101&gt;H101,"Error in Areas ▲",IF(AND(P101='G-1 All Habitats'!$X$3,AB101="Yes"),"Alternative Compensation ✓",IF(Z101=0,0,IF(P101='G-1 All Habitats'!$X$3,"Any Loss Unacceptable ▲",T101-X101-Y101)))))),"Check Data ⚠")</f>
        <v/>
      </c>
      <c r="AB101" s="837"/>
      <c r="AC101" s="119"/>
      <c r="AD101" s="528"/>
      <c r="AE101" s="120"/>
      <c r="AF101" s="687"/>
      <c r="AG101" s="744" t="str">
        <f>IF(P101="","",IF(P101='G-1 All Habitats'!$X$3,H101-V101-W101,"None"))</f>
        <v/>
      </c>
      <c r="AH101" s="744" t="str">
        <f t="shared" si="13"/>
        <v/>
      </c>
      <c r="AJ101" s="124" t="str">
        <f t="shared" si="14"/>
        <v/>
      </c>
      <c r="AK101" s="124" t="str">
        <f t="shared" si="15"/>
        <v/>
      </c>
      <c r="AL101" s="124" t="str">
        <f>IF(I101="","",IF(#REF!&gt;0,TRUE,FALSE))</f>
        <v/>
      </c>
      <c r="AM101" s="124">
        <v>91</v>
      </c>
      <c r="AN101" s="124"/>
      <c r="AO101" s="124" t="str">
        <f t="array" ref="AO101">IFERROR(INDEX($AM$11:$AM$259, MATCH(0, IF(TRUE=$AJ$11:$AJ$259, COUNTIF($AO$10:$AO100, $AM$11:$AM$259), ""), 0)),"")</f>
        <v/>
      </c>
      <c r="AP101" s="124" t="str">
        <f t="array" ref="AP101">IFERROR(INDEX($AM$11:$AM$259, MATCH(0, IF(TRUE=$AK$11:$AK$259, COUNTIF($AP$10:$AP100, $AM$11:$AM$259), ""), 0)),"")</f>
        <v/>
      </c>
      <c r="AQ101" s="124" t="str">
        <f t="array" ref="AQ101">IFERROR(INDEX($AM$11:$AM$259, MATCH(0, IF(TRUE=$AL$11:$AL$259, COUNTIF($AQ$10:$AQ100, $AM$11:$AM$259), ""), 0)),"")</f>
        <v/>
      </c>
      <c r="AU101" s="30">
        <f t="shared" si="17"/>
        <v>0</v>
      </c>
      <c r="AY101" s="374" t="str">
        <f t="shared" si="16"/>
        <v/>
      </c>
    </row>
    <row r="102" spans="1:51">
      <c r="A102" s="30" t="str">
        <f>IFERROR(INDEX('G-1 All Habitats'!$AG$3:$AG$17,MATCH(E102,'G-1 All Habitats'!$AF$3:$AF$17,0)),"")</f>
        <v/>
      </c>
      <c r="B102" s="30" t="str">
        <f>IFERROR(INDEX('G-8 Condition Look up'!$I$4:$I$135,MATCH(G102,'G-8 Condition Look up'!$A$4:$A$135,0)),"")</f>
        <v/>
      </c>
      <c r="D102" s="110">
        <v>92</v>
      </c>
      <c r="E102" s="339"/>
      <c r="F102" s="340"/>
      <c r="G102" s="295" t="str">
        <f>IFERROR(INDEX('G-1 All Habitats'!$B$3:$B$134,MATCH(F102,'G-1 All Habitats'!$A$3:$A$134,0)),"")</f>
        <v/>
      </c>
      <c r="H102" s="139"/>
      <c r="I102" s="722" t="str">
        <f>IF(G102="","",VLOOKUP(G102,'G-1 All Habitats'!$B$2:$M$134,10,FALSE))</f>
        <v/>
      </c>
      <c r="J102" s="490" t="str">
        <f>IFERROR(VLOOKUP(I102,'G-1 All Habitats'!$V$3:$W$7,2,FALSE),"")</f>
        <v/>
      </c>
      <c r="K102" s="114"/>
      <c r="L102" s="490" t="str">
        <f>IFERROR(INDEX('G-8 Condition Look up'!$A$3:$H$135,MATCH(G102,'G-8 Condition Look up'!$A$3:$A$135,0),MATCH(K102,'G-8 Condition Look up'!$A$3:$H$3,0)),"")</f>
        <v/>
      </c>
      <c r="M102" s="738"/>
      <c r="N102" s="404" t="str">
        <f>IF(M102="","",IF(VLOOKUP(M102,'G-3 Multipliers'!$L$3:$N$6,2,FALSE)=0,"Spatial Data Missing ⚠",VLOOKUP(M102,'G-3 Multipliers'!$L$3:$N$6,2,FALSE)))</f>
        <v/>
      </c>
      <c r="O102" s="452" t="str">
        <f>IF(M102="","",IF(VLOOKUP(M102,'G-3 Multipliers'!$L$3:$N$6,3,FALSE)=0,"Spatial Data Missing ⚠",VLOOKUP(M102,'G-3 Multipliers'!$L$3:$N$6,3,FALSE)))</f>
        <v/>
      </c>
      <c r="P102" s="369" t="str">
        <f>IFERROR(VLOOKUP(G102,'G-1 All Habitats'!$B$2:$M$134,12,FALSE),"")</f>
        <v/>
      </c>
      <c r="Q102" s="725" t="str">
        <f>IFERROR(IF(P102="","",IF(AND(P102='G-1 All Habitats'!$X$3,W102&gt;0),X102+(Y102*S102),IF(AND(P102='G-1 All Habitats'!$X$3,V102&gt;0),X102+(Y102*S102),IF(AND(P102='G-1 All Habitats'!$X$3,AG102&gt;0),"Any Loss Unacceptable  ⚠",IF(AND(P102='G-1 All Habitats'!$X$3,Z102&gt;0),"Any Loss Unacceptable ⚠",H102*J102*L102*O102*S102))))),"Check Data ⚠")</f>
        <v/>
      </c>
      <c r="R102" s="516"/>
      <c r="S102" s="724" t="str">
        <f>IF(R102="","",IF(VLOOKUP(R102,'G-3 Multipliers'!$S$3:$T$10,2,FALSE)=0,"Spatial Data Missing ⚠",VLOOKUP(R102,'G-3 Multipliers'!$S$3:$T$10,2,FALSE)))</f>
        <v/>
      </c>
      <c r="T102" s="376" t="str">
        <f>IFERROR(IF(P102="","",IF(AND(P102='G-1 All Habitats'!$X$3,W102&gt;0),X102+Y102,IF(AND(P102='G-1 All Habitats'!$X$3,V102&gt;0),X102+Y102,IF(AND(P102='G-1 All Habitats'!$X$3,AG102&gt;0),"Any Loss Unacceptable ⚠", IF(R102="","", IF(AND(P102='G-1 All Habitats'!$X$3,Z102&gt;0),"Any Loss Unacceptable ⚠",H102*J102*L102*O102)))))),"Check Data ⚠")</f>
        <v/>
      </c>
      <c r="U102" s="38"/>
      <c r="V102" s="54"/>
      <c r="W102" s="55"/>
      <c r="X102" s="374" t="str">
        <f t="shared" si="11"/>
        <v/>
      </c>
      <c r="Y102" s="374" t="str">
        <f t="shared" si="12"/>
        <v/>
      </c>
      <c r="Z102" s="374" t="str">
        <f>IF(E102="","",IF(H102&lt;V102+W102,"Error in Areas ▲",IF(P102&lt;&gt;'G-1 All Habitats'!$X$3,H102-V102-W102,IF(AND(P102='G-1 All Habitats'!$X$3,AB102="Yes"),"Unacceptable Loss ⚠",IF(AND(P102='G-1 All Habitats'!$X$3,AB102="No"),AG102,IF(AND(P102='G-1 All Habitats'!$X$3,AB102=""),AG102,IF(AND(P102='G-1 All Habitats'!$X$3,AG102="None",AG102),IF(AND(P102='G-1 All Habitats'!$X$3,AG102&gt;0),H102-V102-W102))))))))</f>
        <v/>
      </c>
      <c r="AA102" s="405" t="str">
        <f>IFERROR(IF(H102="","",IF(H102-V102-W102=0&lt;0,"Error in Areas ▲",IF(V102+W102&gt;H102,"Error in Areas ▲",IF(AND(P102='G-1 All Habitats'!$X$3,AB102="Yes"),"Alternative Compensation ✓",IF(Z102=0,0,IF(P102='G-1 All Habitats'!$X$3,"Any Loss Unacceptable ▲",T102-X102-Y102)))))),"Check Data ⚠")</f>
        <v/>
      </c>
      <c r="AB102" s="837"/>
      <c r="AC102" s="119"/>
      <c r="AD102" s="528"/>
      <c r="AE102" s="120"/>
      <c r="AF102" s="687"/>
      <c r="AG102" s="744" t="str">
        <f>IF(P102="","",IF(P102='G-1 All Habitats'!$X$3,H102-V102-W102,"None"))</f>
        <v/>
      </c>
      <c r="AH102" s="744" t="str">
        <f t="shared" si="13"/>
        <v/>
      </c>
      <c r="AJ102" s="124" t="str">
        <f t="shared" si="14"/>
        <v/>
      </c>
      <c r="AK102" s="124" t="str">
        <f t="shared" si="15"/>
        <v/>
      </c>
      <c r="AL102" s="124" t="str">
        <f>IF(I102="","",IF(#REF!&gt;0,TRUE,FALSE))</f>
        <v/>
      </c>
      <c r="AM102" s="124">
        <v>92</v>
      </c>
      <c r="AN102" s="124"/>
      <c r="AO102" s="124" t="str">
        <f t="array" ref="AO102">IFERROR(INDEX($AM$11:$AM$259, MATCH(0, IF(TRUE=$AJ$11:$AJ$259, COUNTIF($AO$10:$AO101, $AM$11:$AM$259), ""), 0)),"")</f>
        <v/>
      </c>
      <c r="AP102" s="124" t="str">
        <f t="array" ref="AP102">IFERROR(INDEX($AM$11:$AM$259, MATCH(0, IF(TRUE=$AK$11:$AK$259, COUNTIF($AP$10:$AP101, $AM$11:$AM$259), ""), 0)),"")</f>
        <v/>
      </c>
      <c r="AQ102" s="124" t="str">
        <f t="array" ref="AQ102">IFERROR(INDEX($AM$11:$AM$259, MATCH(0, IF(TRUE=$AL$11:$AL$259, COUNTIF($AQ$10:$AQ101, $AM$11:$AM$259), ""), 0)),"")</f>
        <v/>
      </c>
      <c r="AU102" s="30">
        <f t="shared" si="17"/>
        <v>0</v>
      </c>
      <c r="AY102" s="374" t="str">
        <f t="shared" si="16"/>
        <v/>
      </c>
    </row>
    <row r="103" spans="1:51">
      <c r="A103" s="30" t="str">
        <f>IFERROR(INDEX('G-1 All Habitats'!$AG$3:$AG$17,MATCH(E103,'G-1 All Habitats'!$AF$3:$AF$17,0)),"")</f>
        <v/>
      </c>
      <c r="B103" s="30" t="str">
        <f>IFERROR(INDEX('G-8 Condition Look up'!$I$4:$I$135,MATCH(G103,'G-8 Condition Look up'!$A$4:$A$135,0)),"")</f>
        <v/>
      </c>
      <c r="D103" s="110">
        <v>93</v>
      </c>
      <c r="E103" s="339"/>
      <c r="F103" s="340"/>
      <c r="G103" s="295" t="str">
        <f>IFERROR(INDEX('G-1 All Habitats'!$B$3:$B$134,MATCH(F103,'G-1 All Habitats'!$A$3:$A$134,0)),"")</f>
        <v/>
      </c>
      <c r="H103" s="139"/>
      <c r="I103" s="722" t="str">
        <f>IF(G103="","",VLOOKUP(G103,'G-1 All Habitats'!$B$2:$M$134,10,FALSE))</f>
        <v/>
      </c>
      <c r="J103" s="490" t="str">
        <f>IFERROR(VLOOKUP(I103,'G-1 All Habitats'!$V$3:$W$7,2,FALSE),"")</f>
        <v/>
      </c>
      <c r="K103" s="114"/>
      <c r="L103" s="490" t="str">
        <f>IFERROR(INDEX('G-8 Condition Look up'!$A$3:$H$135,MATCH(G103,'G-8 Condition Look up'!$A$3:$A$135,0),MATCH(K103,'G-8 Condition Look up'!$A$3:$H$3,0)),"")</f>
        <v/>
      </c>
      <c r="M103" s="738"/>
      <c r="N103" s="404" t="str">
        <f>IF(M103="","",IF(VLOOKUP(M103,'G-3 Multipliers'!$L$3:$N$6,2,FALSE)=0,"Spatial Data Missing ⚠",VLOOKUP(M103,'G-3 Multipliers'!$L$3:$N$6,2,FALSE)))</f>
        <v/>
      </c>
      <c r="O103" s="452" t="str">
        <f>IF(M103="","",IF(VLOOKUP(M103,'G-3 Multipliers'!$L$3:$N$6,3,FALSE)=0,"Spatial Data Missing ⚠",VLOOKUP(M103,'G-3 Multipliers'!$L$3:$N$6,3,FALSE)))</f>
        <v/>
      </c>
      <c r="P103" s="369" t="str">
        <f>IFERROR(VLOOKUP(G103,'G-1 All Habitats'!$B$2:$M$134,12,FALSE),"")</f>
        <v/>
      </c>
      <c r="Q103" s="725" t="str">
        <f>IFERROR(IF(P103="","",IF(AND(P103='G-1 All Habitats'!$X$3,W103&gt;0),X103+(Y103*S103),IF(AND(P103='G-1 All Habitats'!$X$3,V103&gt;0),X103+(Y103*S103),IF(AND(P103='G-1 All Habitats'!$X$3,AG103&gt;0),"Any Loss Unacceptable  ⚠",IF(AND(P103='G-1 All Habitats'!$X$3,Z103&gt;0),"Any Loss Unacceptable ⚠",H103*J103*L103*O103*S103))))),"Check Data ⚠")</f>
        <v/>
      </c>
      <c r="R103" s="516"/>
      <c r="S103" s="724" t="str">
        <f>IF(R103="","",IF(VLOOKUP(R103,'G-3 Multipliers'!$S$3:$T$10,2,FALSE)=0,"Spatial Data Missing ⚠",VLOOKUP(R103,'G-3 Multipliers'!$S$3:$T$10,2,FALSE)))</f>
        <v/>
      </c>
      <c r="T103" s="376" t="str">
        <f>IFERROR(IF(P103="","",IF(AND(P103='G-1 All Habitats'!$X$3,W103&gt;0),X103+Y103,IF(AND(P103='G-1 All Habitats'!$X$3,V103&gt;0),X103+Y103,IF(AND(P103='G-1 All Habitats'!$X$3,AG103&gt;0),"Any Loss Unacceptable ⚠", IF(R103="","", IF(AND(P103='G-1 All Habitats'!$X$3,Z103&gt;0),"Any Loss Unacceptable ⚠",H103*J103*L103*O103)))))),"Check Data ⚠")</f>
        <v/>
      </c>
      <c r="U103" s="38"/>
      <c r="V103" s="54"/>
      <c r="W103" s="55"/>
      <c r="X103" s="374" t="str">
        <f t="shared" si="11"/>
        <v/>
      </c>
      <c r="Y103" s="374" t="str">
        <f t="shared" si="12"/>
        <v/>
      </c>
      <c r="Z103" s="374" t="str">
        <f>IF(E103="","",IF(H103&lt;V103+W103,"Error in Areas ▲",IF(P103&lt;&gt;'G-1 All Habitats'!$X$3,H103-V103-W103,IF(AND(P103='G-1 All Habitats'!$X$3,AB103="Yes"),"Unacceptable Loss ⚠",IF(AND(P103='G-1 All Habitats'!$X$3,AB103="No"),AG103,IF(AND(P103='G-1 All Habitats'!$X$3,AB103=""),AG103,IF(AND(P103='G-1 All Habitats'!$X$3,AG103="None",AG103),IF(AND(P103='G-1 All Habitats'!$X$3,AG103&gt;0),H103-V103-W103))))))))</f>
        <v/>
      </c>
      <c r="AA103" s="405" t="str">
        <f>IFERROR(IF(H103="","",IF(H103-V103-W103=0&lt;0,"Error in Areas ▲",IF(V103+W103&gt;H103,"Error in Areas ▲",IF(AND(P103='G-1 All Habitats'!$X$3,AB103="Yes"),"Alternative Compensation ✓",IF(Z103=0,0,IF(P103='G-1 All Habitats'!$X$3,"Any Loss Unacceptable ▲",T103-X103-Y103)))))),"Check Data ⚠")</f>
        <v/>
      </c>
      <c r="AB103" s="837"/>
      <c r="AC103" s="119"/>
      <c r="AD103" s="528"/>
      <c r="AE103" s="120"/>
      <c r="AF103" s="687"/>
      <c r="AG103" s="744" t="str">
        <f>IF(P103="","",IF(P103='G-1 All Habitats'!$X$3,H103-V103-W103,"None"))</f>
        <v/>
      </c>
      <c r="AH103" s="744" t="str">
        <f t="shared" si="13"/>
        <v/>
      </c>
      <c r="AJ103" s="124" t="str">
        <f t="shared" si="14"/>
        <v/>
      </c>
      <c r="AK103" s="124" t="str">
        <f t="shared" si="15"/>
        <v/>
      </c>
      <c r="AL103" s="124" t="str">
        <f>IF(I103="","",IF(#REF!&gt;0,TRUE,FALSE))</f>
        <v/>
      </c>
      <c r="AM103" s="124">
        <v>93</v>
      </c>
      <c r="AN103" s="124"/>
      <c r="AO103" s="124" t="str">
        <f t="array" ref="AO103">IFERROR(INDEX($AM$11:$AM$259, MATCH(0, IF(TRUE=$AJ$11:$AJ$259, COUNTIF($AO$10:$AO102, $AM$11:$AM$259), ""), 0)),"")</f>
        <v/>
      </c>
      <c r="AP103" s="124" t="str">
        <f t="array" ref="AP103">IFERROR(INDEX($AM$11:$AM$259, MATCH(0, IF(TRUE=$AK$11:$AK$259, COUNTIF($AP$10:$AP102, $AM$11:$AM$259), ""), 0)),"")</f>
        <v/>
      </c>
      <c r="AQ103" s="124" t="str">
        <f t="array" ref="AQ103">IFERROR(INDEX($AM$11:$AM$259, MATCH(0, IF(TRUE=$AL$11:$AL$259, COUNTIF($AQ$10:$AQ102, $AM$11:$AM$259), ""), 0)),"")</f>
        <v/>
      </c>
      <c r="AU103" s="30">
        <f t="shared" si="17"/>
        <v>0</v>
      </c>
      <c r="AY103" s="374" t="str">
        <f t="shared" si="16"/>
        <v/>
      </c>
    </row>
    <row r="104" spans="1:51">
      <c r="A104" s="30" t="str">
        <f>IFERROR(INDEX('G-1 All Habitats'!$AG$3:$AG$17,MATCH(E104,'G-1 All Habitats'!$AF$3:$AF$17,0)),"")</f>
        <v/>
      </c>
      <c r="B104" s="30" t="str">
        <f>IFERROR(INDEX('G-8 Condition Look up'!$I$4:$I$135,MATCH(G104,'G-8 Condition Look up'!$A$4:$A$135,0)),"")</f>
        <v/>
      </c>
      <c r="D104" s="110">
        <v>94</v>
      </c>
      <c r="E104" s="339"/>
      <c r="F104" s="340"/>
      <c r="G104" s="295" t="str">
        <f>IFERROR(INDEX('G-1 All Habitats'!$B$3:$B$134,MATCH(F104,'G-1 All Habitats'!$A$3:$A$134,0)),"")</f>
        <v/>
      </c>
      <c r="H104" s="139"/>
      <c r="I104" s="722" t="str">
        <f>IF(G104="","",VLOOKUP(G104,'G-1 All Habitats'!$B$2:$M$134,10,FALSE))</f>
        <v/>
      </c>
      <c r="J104" s="490" t="str">
        <f>IFERROR(VLOOKUP(I104,'G-1 All Habitats'!$V$3:$W$7,2,FALSE),"")</f>
        <v/>
      </c>
      <c r="K104" s="114"/>
      <c r="L104" s="490" t="str">
        <f>IFERROR(INDEX('G-8 Condition Look up'!$A$3:$H$135,MATCH(G104,'G-8 Condition Look up'!$A$3:$A$135,0),MATCH(K104,'G-8 Condition Look up'!$A$3:$H$3,0)),"")</f>
        <v/>
      </c>
      <c r="M104" s="738"/>
      <c r="N104" s="404" t="str">
        <f>IF(M104="","",IF(VLOOKUP(M104,'G-3 Multipliers'!$L$3:$N$6,2,FALSE)=0,"Spatial Data Missing ⚠",VLOOKUP(M104,'G-3 Multipliers'!$L$3:$N$6,2,FALSE)))</f>
        <v/>
      </c>
      <c r="O104" s="452" t="str">
        <f>IF(M104="","",IF(VLOOKUP(M104,'G-3 Multipliers'!$L$3:$N$6,3,FALSE)=0,"Spatial Data Missing ⚠",VLOOKUP(M104,'G-3 Multipliers'!$L$3:$N$6,3,FALSE)))</f>
        <v/>
      </c>
      <c r="P104" s="369" t="str">
        <f>IFERROR(VLOOKUP(G104,'G-1 All Habitats'!$B$2:$M$134,12,FALSE),"")</f>
        <v/>
      </c>
      <c r="Q104" s="725" t="str">
        <f>IFERROR(IF(P104="","",IF(AND(P104='G-1 All Habitats'!$X$3,W104&gt;0),X104+(Y104*S104),IF(AND(P104='G-1 All Habitats'!$X$3,V104&gt;0),X104+(Y104*S104),IF(AND(P104='G-1 All Habitats'!$X$3,AG104&gt;0),"Any Loss Unacceptable  ⚠",IF(AND(P104='G-1 All Habitats'!$X$3,Z104&gt;0),"Any Loss Unacceptable ⚠",H104*J104*L104*O104*S104))))),"Check Data ⚠")</f>
        <v/>
      </c>
      <c r="R104" s="516"/>
      <c r="S104" s="724" t="str">
        <f>IF(R104="","",IF(VLOOKUP(R104,'G-3 Multipliers'!$S$3:$T$10,2,FALSE)=0,"Spatial Data Missing ⚠",VLOOKUP(R104,'G-3 Multipliers'!$S$3:$T$10,2,FALSE)))</f>
        <v/>
      </c>
      <c r="T104" s="376" t="str">
        <f>IFERROR(IF(P104="","",IF(AND(P104='G-1 All Habitats'!$X$3,W104&gt;0),X104+Y104,IF(AND(P104='G-1 All Habitats'!$X$3,V104&gt;0),X104+Y104,IF(AND(P104='G-1 All Habitats'!$X$3,AG104&gt;0),"Any Loss Unacceptable ⚠", IF(R104="","", IF(AND(P104='G-1 All Habitats'!$X$3,Z104&gt;0),"Any Loss Unacceptable ⚠",H104*J104*L104*O104)))))),"Check Data ⚠")</f>
        <v/>
      </c>
      <c r="U104" s="38"/>
      <c r="V104" s="54"/>
      <c r="W104" s="55"/>
      <c r="X104" s="374" t="str">
        <f t="shared" si="11"/>
        <v/>
      </c>
      <c r="Y104" s="374" t="str">
        <f t="shared" si="12"/>
        <v/>
      </c>
      <c r="Z104" s="374" t="str">
        <f>IF(E104="","",IF(H104&lt;V104+W104,"Error in Areas ▲",IF(P104&lt;&gt;'G-1 All Habitats'!$X$3,H104-V104-W104,IF(AND(P104='G-1 All Habitats'!$X$3,AB104="Yes"),"Unacceptable Loss ⚠",IF(AND(P104='G-1 All Habitats'!$X$3,AB104="No"),AG104,IF(AND(P104='G-1 All Habitats'!$X$3,AB104=""),AG104,IF(AND(P104='G-1 All Habitats'!$X$3,AG104="None",AG104),IF(AND(P104='G-1 All Habitats'!$X$3,AG104&gt;0),H104-V104-W104))))))))</f>
        <v/>
      </c>
      <c r="AA104" s="405" t="str">
        <f>IFERROR(IF(H104="","",IF(H104-V104-W104=0&lt;0,"Error in Areas ▲",IF(V104+W104&gt;H104,"Error in Areas ▲",IF(AND(P104='G-1 All Habitats'!$X$3,AB104="Yes"),"Alternative Compensation ✓",IF(Z104=0,0,IF(P104='G-1 All Habitats'!$X$3,"Any Loss Unacceptable ▲",T104-X104-Y104)))))),"Check Data ⚠")</f>
        <v/>
      </c>
      <c r="AB104" s="837"/>
      <c r="AC104" s="119"/>
      <c r="AD104" s="528"/>
      <c r="AE104" s="120"/>
      <c r="AF104" s="687"/>
      <c r="AG104" s="744" t="str">
        <f>IF(P104="","",IF(P104='G-1 All Habitats'!$X$3,H104-V104-W104,"None"))</f>
        <v/>
      </c>
      <c r="AH104" s="744" t="str">
        <f t="shared" si="13"/>
        <v/>
      </c>
      <c r="AJ104" s="124" t="str">
        <f t="shared" si="14"/>
        <v/>
      </c>
      <c r="AK104" s="124" t="str">
        <f t="shared" si="15"/>
        <v/>
      </c>
      <c r="AL104" s="124" t="str">
        <f>IF(I104="","",IF(#REF!&gt;0,TRUE,FALSE))</f>
        <v/>
      </c>
      <c r="AM104" s="124">
        <v>94</v>
      </c>
      <c r="AN104" s="124"/>
      <c r="AO104" s="124" t="str">
        <f t="array" ref="AO104">IFERROR(INDEX($AM$11:$AM$259, MATCH(0, IF(TRUE=$AJ$11:$AJ$259, COUNTIF($AO$10:$AO103, $AM$11:$AM$259), ""), 0)),"")</f>
        <v/>
      </c>
      <c r="AP104" s="124" t="str">
        <f t="array" ref="AP104">IFERROR(INDEX($AM$11:$AM$259, MATCH(0, IF(TRUE=$AK$11:$AK$259, COUNTIF($AP$10:$AP103, $AM$11:$AM$259), ""), 0)),"")</f>
        <v/>
      </c>
      <c r="AQ104" s="124" t="str">
        <f t="array" ref="AQ104">IFERROR(INDEX($AM$11:$AM$259, MATCH(0, IF(TRUE=$AL$11:$AL$259, COUNTIF($AQ$10:$AQ103, $AM$11:$AM$259), ""), 0)),"")</f>
        <v/>
      </c>
      <c r="AU104" s="30">
        <f t="shared" si="17"/>
        <v>0</v>
      </c>
      <c r="AY104" s="374" t="str">
        <f t="shared" si="16"/>
        <v/>
      </c>
    </row>
    <row r="105" spans="1:51">
      <c r="A105" s="30" t="str">
        <f>IFERROR(INDEX('G-1 All Habitats'!$AG$3:$AG$17,MATCH(E105,'G-1 All Habitats'!$AF$3:$AF$17,0)),"")</f>
        <v/>
      </c>
      <c r="B105" s="30" t="str">
        <f>IFERROR(INDEX('G-8 Condition Look up'!$I$4:$I$135,MATCH(G105,'G-8 Condition Look up'!$A$4:$A$135,0)),"")</f>
        <v/>
      </c>
      <c r="D105" s="110">
        <v>95</v>
      </c>
      <c r="E105" s="339"/>
      <c r="F105" s="340"/>
      <c r="G105" s="295" t="str">
        <f>IFERROR(INDEX('G-1 All Habitats'!$B$3:$B$134,MATCH(F105,'G-1 All Habitats'!$A$3:$A$134,0)),"")</f>
        <v/>
      </c>
      <c r="H105" s="139"/>
      <c r="I105" s="722" t="str">
        <f>IF(G105="","",VLOOKUP(G105,'G-1 All Habitats'!$B$2:$M$134,10,FALSE))</f>
        <v/>
      </c>
      <c r="J105" s="490" t="str">
        <f>IFERROR(VLOOKUP(I105,'G-1 All Habitats'!$V$3:$W$7,2,FALSE),"")</f>
        <v/>
      </c>
      <c r="K105" s="114"/>
      <c r="L105" s="490" t="str">
        <f>IFERROR(INDEX('G-8 Condition Look up'!$A$3:$H$135,MATCH(G105,'G-8 Condition Look up'!$A$3:$A$135,0),MATCH(K105,'G-8 Condition Look up'!$A$3:$H$3,0)),"")</f>
        <v/>
      </c>
      <c r="M105" s="738"/>
      <c r="N105" s="404" t="str">
        <f>IF(M105="","",IF(VLOOKUP(M105,'G-3 Multipliers'!$L$3:$N$6,2,FALSE)=0,"Spatial Data Missing ⚠",VLOOKUP(M105,'G-3 Multipliers'!$L$3:$N$6,2,FALSE)))</f>
        <v/>
      </c>
      <c r="O105" s="452" t="str">
        <f>IF(M105="","",IF(VLOOKUP(M105,'G-3 Multipliers'!$L$3:$N$6,3,FALSE)=0,"Spatial Data Missing ⚠",VLOOKUP(M105,'G-3 Multipliers'!$L$3:$N$6,3,FALSE)))</f>
        <v/>
      </c>
      <c r="P105" s="369" t="str">
        <f>IFERROR(VLOOKUP(G105,'G-1 All Habitats'!$B$2:$M$134,12,FALSE),"")</f>
        <v/>
      </c>
      <c r="Q105" s="725" t="str">
        <f>IFERROR(IF(P105="","",IF(AND(P105='G-1 All Habitats'!$X$3,W105&gt;0),X105+(Y105*S105),IF(AND(P105='G-1 All Habitats'!$X$3,V105&gt;0),X105+(Y105*S105),IF(AND(P105='G-1 All Habitats'!$X$3,AG105&gt;0),"Any Loss Unacceptable  ⚠",IF(AND(P105='G-1 All Habitats'!$X$3,Z105&gt;0),"Any Loss Unacceptable ⚠",H105*J105*L105*O105*S105))))),"Check Data ⚠")</f>
        <v/>
      </c>
      <c r="R105" s="516"/>
      <c r="S105" s="724" t="str">
        <f>IF(R105="","",IF(VLOOKUP(R105,'G-3 Multipliers'!$S$3:$T$10,2,FALSE)=0,"Spatial Data Missing ⚠",VLOOKUP(R105,'G-3 Multipliers'!$S$3:$T$10,2,FALSE)))</f>
        <v/>
      </c>
      <c r="T105" s="376" t="str">
        <f>IFERROR(IF(P105="","",IF(AND(P105='G-1 All Habitats'!$X$3,W105&gt;0),X105+Y105,IF(AND(P105='G-1 All Habitats'!$X$3,V105&gt;0),X105+Y105,IF(AND(P105='G-1 All Habitats'!$X$3,AG105&gt;0),"Any Loss Unacceptable ⚠", IF(R105="","", IF(AND(P105='G-1 All Habitats'!$X$3,Z105&gt;0),"Any Loss Unacceptable ⚠",H105*J105*L105*O105)))))),"Check Data ⚠")</f>
        <v/>
      </c>
      <c r="U105" s="38"/>
      <c r="V105" s="54"/>
      <c r="W105" s="55"/>
      <c r="X105" s="374" t="str">
        <f t="shared" si="11"/>
        <v/>
      </c>
      <c r="Y105" s="374" t="str">
        <f t="shared" si="12"/>
        <v/>
      </c>
      <c r="Z105" s="374" t="str">
        <f>IF(E105="","",IF(H105&lt;V105+W105,"Error in Areas ▲",IF(P105&lt;&gt;'G-1 All Habitats'!$X$3,H105-V105-W105,IF(AND(P105='G-1 All Habitats'!$X$3,AB105="Yes"),"Unacceptable Loss ⚠",IF(AND(P105='G-1 All Habitats'!$X$3,AB105="No"),AG105,IF(AND(P105='G-1 All Habitats'!$X$3,AB105=""),AG105,IF(AND(P105='G-1 All Habitats'!$X$3,AG105="None",AG105),IF(AND(P105='G-1 All Habitats'!$X$3,AG105&gt;0),H105-V105-W105))))))))</f>
        <v/>
      </c>
      <c r="AA105" s="405" t="str">
        <f>IFERROR(IF(H105="","",IF(H105-V105-W105=0&lt;0,"Error in Areas ▲",IF(V105+W105&gt;H105,"Error in Areas ▲",IF(AND(P105='G-1 All Habitats'!$X$3,AB105="Yes"),"Alternative Compensation ✓",IF(Z105=0,0,IF(P105='G-1 All Habitats'!$X$3,"Any Loss Unacceptable ▲",T105-X105-Y105)))))),"Check Data ⚠")</f>
        <v/>
      </c>
      <c r="AB105" s="837"/>
      <c r="AC105" s="119"/>
      <c r="AD105" s="528"/>
      <c r="AE105" s="120"/>
      <c r="AF105" s="687"/>
      <c r="AG105" s="744" t="str">
        <f>IF(P105="","",IF(P105='G-1 All Habitats'!$X$3,H105-V105-W105,"None"))</f>
        <v/>
      </c>
      <c r="AH105" s="744" t="str">
        <f t="shared" si="13"/>
        <v/>
      </c>
      <c r="AJ105" s="124" t="str">
        <f t="shared" si="14"/>
        <v/>
      </c>
      <c r="AK105" s="124" t="str">
        <f t="shared" si="15"/>
        <v/>
      </c>
      <c r="AL105" s="124" t="str">
        <f>IF(I105="","",IF(#REF!&gt;0,TRUE,FALSE))</f>
        <v/>
      </c>
      <c r="AM105" s="124">
        <v>95</v>
      </c>
      <c r="AN105" s="124"/>
      <c r="AO105" s="124" t="str">
        <f t="array" ref="AO105">IFERROR(INDEX($AM$11:$AM$259, MATCH(0, IF(TRUE=$AJ$11:$AJ$259, COUNTIF($AO$10:$AO104, $AM$11:$AM$259), ""), 0)),"")</f>
        <v/>
      </c>
      <c r="AP105" s="124" t="str">
        <f t="array" ref="AP105">IFERROR(INDEX($AM$11:$AM$259, MATCH(0, IF(TRUE=$AK$11:$AK$259, COUNTIF($AP$10:$AP104, $AM$11:$AM$259), ""), 0)),"")</f>
        <v/>
      </c>
      <c r="AQ105" s="124" t="str">
        <f t="array" ref="AQ105">IFERROR(INDEX($AM$11:$AM$259, MATCH(0, IF(TRUE=$AL$11:$AL$259, COUNTIF($AQ$10:$AQ104, $AM$11:$AM$259), ""), 0)),"")</f>
        <v/>
      </c>
      <c r="AU105" s="30">
        <f t="shared" si="17"/>
        <v>0</v>
      </c>
      <c r="AY105" s="374" t="str">
        <f t="shared" si="16"/>
        <v/>
      </c>
    </row>
    <row r="106" spans="1:51">
      <c r="A106" s="30" t="str">
        <f>IFERROR(INDEX('G-1 All Habitats'!$AG$3:$AG$17,MATCH(E106,'G-1 All Habitats'!$AF$3:$AF$17,0)),"")</f>
        <v/>
      </c>
      <c r="B106" s="30" t="str">
        <f>IFERROR(INDEX('G-8 Condition Look up'!$I$4:$I$135,MATCH(G106,'G-8 Condition Look up'!$A$4:$A$135,0)),"")</f>
        <v/>
      </c>
      <c r="D106" s="110">
        <v>96</v>
      </c>
      <c r="E106" s="339"/>
      <c r="F106" s="340"/>
      <c r="G106" s="295" t="str">
        <f>IFERROR(INDEX('G-1 All Habitats'!$B$3:$B$134,MATCH(F106,'G-1 All Habitats'!$A$3:$A$134,0)),"")</f>
        <v/>
      </c>
      <c r="H106" s="139"/>
      <c r="I106" s="722" t="str">
        <f>IF(G106="","",VLOOKUP(G106,'G-1 All Habitats'!$B$2:$M$134,10,FALSE))</f>
        <v/>
      </c>
      <c r="J106" s="490" t="str">
        <f>IFERROR(VLOOKUP(I106,'G-1 All Habitats'!$V$3:$W$7,2,FALSE),"")</f>
        <v/>
      </c>
      <c r="K106" s="114"/>
      <c r="L106" s="490" t="str">
        <f>IFERROR(INDEX('G-8 Condition Look up'!$A$3:$H$135,MATCH(G106,'G-8 Condition Look up'!$A$3:$A$135,0),MATCH(K106,'G-8 Condition Look up'!$A$3:$H$3,0)),"")</f>
        <v/>
      </c>
      <c r="M106" s="738"/>
      <c r="N106" s="404" t="str">
        <f>IF(M106="","",IF(VLOOKUP(M106,'G-3 Multipliers'!$L$3:$N$6,2,FALSE)=0,"Spatial Data Missing ⚠",VLOOKUP(M106,'G-3 Multipliers'!$L$3:$N$6,2,FALSE)))</f>
        <v/>
      </c>
      <c r="O106" s="452" t="str">
        <f>IF(M106="","",IF(VLOOKUP(M106,'G-3 Multipliers'!$L$3:$N$6,3,FALSE)=0,"Spatial Data Missing ⚠",VLOOKUP(M106,'G-3 Multipliers'!$L$3:$N$6,3,FALSE)))</f>
        <v/>
      </c>
      <c r="P106" s="369" t="str">
        <f>IFERROR(VLOOKUP(G106,'G-1 All Habitats'!$B$2:$M$134,12,FALSE),"")</f>
        <v/>
      </c>
      <c r="Q106" s="725" t="str">
        <f>IFERROR(IF(P106="","",IF(AND(P106='G-1 All Habitats'!$X$3,W106&gt;0),X106+(Y106*S106),IF(AND(P106='G-1 All Habitats'!$X$3,V106&gt;0),X106+(Y106*S106),IF(AND(P106='G-1 All Habitats'!$X$3,AG106&gt;0),"Any Loss Unacceptable  ⚠",IF(AND(P106='G-1 All Habitats'!$X$3,Z106&gt;0),"Any Loss Unacceptable ⚠",H106*J106*L106*O106*S106))))),"Check Data ⚠")</f>
        <v/>
      </c>
      <c r="R106" s="516"/>
      <c r="S106" s="724" t="str">
        <f>IF(R106="","",IF(VLOOKUP(R106,'G-3 Multipliers'!$S$3:$T$10,2,FALSE)=0,"Spatial Data Missing ⚠",VLOOKUP(R106,'G-3 Multipliers'!$S$3:$T$10,2,FALSE)))</f>
        <v/>
      </c>
      <c r="T106" s="376" t="str">
        <f>IFERROR(IF(P106="","",IF(AND(P106='G-1 All Habitats'!$X$3,W106&gt;0),X106+Y106,IF(AND(P106='G-1 All Habitats'!$X$3,V106&gt;0),X106+Y106,IF(AND(P106='G-1 All Habitats'!$X$3,AG106&gt;0),"Any Loss Unacceptable ⚠", IF(R106="","", IF(AND(P106='G-1 All Habitats'!$X$3,Z106&gt;0),"Any Loss Unacceptable ⚠",H106*J106*L106*O106)))))),"Check Data ⚠")</f>
        <v/>
      </c>
      <c r="U106" s="38"/>
      <c r="V106" s="54"/>
      <c r="W106" s="55"/>
      <c r="X106" s="374" t="str">
        <f t="shared" si="11"/>
        <v/>
      </c>
      <c r="Y106" s="374" t="str">
        <f t="shared" si="12"/>
        <v/>
      </c>
      <c r="Z106" s="374" t="str">
        <f>IF(E106="","",IF(H106&lt;V106+W106,"Error in Areas ▲",IF(P106&lt;&gt;'G-1 All Habitats'!$X$3,H106-V106-W106,IF(AND(P106='G-1 All Habitats'!$X$3,AB106="Yes"),"Unacceptable Loss ⚠",IF(AND(P106='G-1 All Habitats'!$X$3,AB106="No"),AG106,IF(AND(P106='G-1 All Habitats'!$X$3,AB106=""),AG106,IF(AND(P106='G-1 All Habitats'!$X$3,AG106="None",AG106),IF(AND(P106='G-1 All Habitats'!$X$3,AG106&gt;0),H106-V106-W106))))))))</f>
        <v/>
      </c>
      <c r="AA106" s="405" t="str">
        <f>IFERROR(IF(H106="","",IF(H106-V106-W106=0&lt;0,"Error in Areas ▲",IF(V106+W106&gt;H106,"Error in Areas ▲",IF(AND(P106='G-1 All Habitats'!$X$3,AB106="Yes"),"Alternative Compensation ✓",IF(Z106=0,0,IF(P106='G-1 All Habitats'!$X$3,"Any Loss Unacceptable ▲",T106-X106-Y106)))))),"Check Data ⚠")</f>
        <v/>
      </c>
      <c r="AB106" s="837"/>
      <c r="AC106" s="119"/>
      <c r="AD106" s="528"/>
      <c r="AE106" s="120"/>
      <c r="AF106" s="687"/>
      <c r="AG106" s="744" t="str">
        <f>IF(P106="","",IF(P106='G-1 All Habitats'!$X$3,H106-V106-W106,"None"))</f>
        <v/>
      </c>
      <c r="AH106" s="744" t="str">
        <f t="shared" si="13"/>
        <v/>
      </c>
      <c r="AJ106" s="124" t="str">
        <f t="shared" si="14"/>
        <v/>
      </c>
      <c r="AK106" s="124" t="str">
        <f t="shared" si="15"/>
        <v/>
      </c>
      <c r="AL106" s="124" t="str">
        <f>IF(I106="","",IF(#REF!&gt;0,TRUE,FALSE))</f>
        <v/>
      </c>
      <c r="AM106" s="124">
        <v>96</v>
      </c>
      <c r="AN106" s="124"/>
      <c r="AO106" s="124" t="str">
        <f t="array" ref="AO106">IFERROR(INDEX($AM$11:$AM$259, MATCH(0, IF(TRUE=$AJ$11:$AJ$259, COUNTIF($AO$10:$AO105, $AM$11:$AM$259), ""), 0)),"")</f>
        <v/>
      </c>
      <c r="AP106" s="124" t="str">
        <f t="array" ref="AP106">IFERROR(INDEX($AM$11:$AM$259, MATCH(0, IF(TRUE=$AK$11:$AK$259, COUNTIF($AP$10:$AP105, $AM$11:$AM$259), ""), 0)),"")</f>
        <v/>
      </c>
      <c r="AQ106" s="124" t="str">
        <f t="array" ref="AQ106">IFERROR(INDEX($AM$11:$AM$259, MATCH(0, IF(TRUE=$AL$11:$AL$259, COUNTIF($AQ$10:$AQ105, $AM$11:$AM$259), ""), 0)),"")</f>
        <v/>
      </c>
      <c r="AU106" s="30">
        <f t="shared" si="17"/>
        <v>0</v>
      </c>
      <c r="AY106" s="374" t="str">
        <f t="shared" si="16"/>
        <v/>
      </c>
    </row>
    <row r="107" spans="1:51">
      <c r="A107" s="30" t="str">
        <f>IFERROR(INDEX('G-1 All Habitats'!$AG$3:$AG$17,MATCH(E107,'G-1 All Habitats'!$AF$3:$AF$17,0)),"")</f>
        <v/>
      </c>
      <c r="B107" s="30" t="str">
        <f>IFERROR(INDEX('G-8 Condition Look up'!$I$4:$I$135,MATCH(G107,'G-8 Condition Look up'!$A$4:$A$135,0)),"")</f>
        <v/>
      </c>
      <c r="D107" s="110">
        <v>97</v>
      </c>
      <c r="E107" s="339"/>
      <c r="F107" s="340"/>
      <c r="G107" s="295" t="str">
        <f>IFERROR(INDEX('G-1 All Habitats'!$B$3:$B$134,MATCH(F107,'G-1 All Habitats'!$A$3:$A$134,0)),"")</f>
        <v/>
      </c>
      <c r="H107" s="139"/>
      <c r="I107" s="722" t="str">
        <f>IF(G107="","",VLOOKUP(G107,'G-1 All Habitats'!$B$2:$M$134,10,FALSE))</f>
        <v/>
      </c>
      <c r="J107" s="490" t="str">
        <f>IFERROR(VLOOKUP(I107,'G-1 All Habitats'!$V$3:$W$7,2,FALSE),"")</f>
        <v/>
      </c>
      <c r="K107" s="114"/>
      <c r="L107" s="490" t="str">
        <f>IFERROR(INDEX('G-8 Condition Look up'!$A$3:$H$135,MATCH(G107,'G-8 Condition Look up'!$A$3:$A$135,0),MATCH(K107,'G-8 Condition Look up'!$A$3:$H$3,0)),"")</f>
        <v/>
      </c>
      <c r="M107" s="738"/>
      <c r="N107" s="404" t="str">
        <f>IF(M107="","",IF(VLOOKUP(M107,'G-3 Multipliers'!$L$3:$N$6,2,FALSE)=0,"Spatial Data Missing ⚠",VLOOKUP(M107,'G-3 Multipliers'!$L$3:$N$6,2,FALSE)))</f>
        <v/>
      </c>
      <c r="O107" s="452" t="str">
        <f>IF(M107="","",IF(VLOOKUP(M107,'G-3 Multipliers'!$L$3:$N$6,3,FALSE)=0,"Spatial Data Missing ⚠",VLOOKUP(M107,'G-3 Multipliers'!$L$3:$N$6,3,FALSE)))</f>
        <v/>
      </c>
      <c r="P107" s="369" t="str">
        <f>IFERROR(VLOOKUP(G107,'G-1 All Habitats'!$B$2:$M$134,12,FALSE),"")</f>
        <v/>
      </c>
      <c r="Q107" s="725" t="str">
        <f>IFERROR(IF(P107="","",IF(AND(P107='G-1 All Habitats'!$X$3,W107&gt;0),X107+(Y107*S107),IF(AND(P107='G-1 All Habitats'!$X$3,V107&gt;0),X107+(Y107*S107),IF(AND(P107='G-1 All Habitats'!$X$3,AG107&gt;0),"Any Loss Unacceptable  ⚠",IF(AND(P107='G-1 All Habitats'!$X$3,Z107&gt;0),"Any Loss Unacceptable ⚠",H107*J107*L107*O107*S107))))),"Check Data ⚠")</f>
        <v/>
      </c>
      <c r="R107" s="516"/>
      <c r="S107" s="724" t="str">
        <f>IF(R107="","",IF(VLOOKUP(R107,'G-3 Multipliers'!$S$3:$T$10,2,FALSE)=0,"Spatial Data Missing ⚠",VLOOKUP(R107,'G-3 Multipliers'!$S$3:$T$10,2,FALSE)))</f>
        <v/>
      </c>
      <c r="T107" s="376" t="str">
        <f>IFERROR(IF(P107="","",IF(AND(P107='G-1 All Habitats'!$X$3,W107&gt;0),X107+Y107,IF(AND(P107='G-1 All Habitats'!$X$3,V107&gt;0),X107+Y107,IF(AND(P107='G-1 All Habitats'!$X$3,AG107&gt;0),"Any Loss Unacceptable ⚠", IF(R107="","", IF(AND(P107='G-1 All Habitats'!$X$3,Z107&gt;0),"Any Loss Unacceptable ⚠",H107*J107*L107*O107)))))),"Check Data ⚠")</f>
        <v/>
      </c>
      <c r="U107" s="38"/>
      <c r="V107" s="54"/>
      <c r="W107" s="55"/>
      <c r="X107" s="374" t="str">
        <f t="shared" si="11"/>
        <v/>
      </c>
      <c r="Y107" s="374" t="str">
        <f t="shared" si="12"/>
        <v/>
      </c>
      <c r="Z107" s="374" t="str">
        <f>IF(E107="","",IF(H107&lt;V107+W107,"Error in Areas ▲",IF(P107&lt;&gt;'G-1 All Habitats'!$X$3,H107-V107-W107,IF(AND(P107='G-1 All Habitats'!$X$3,AB107="Yes"),"Unacceptable Loss ⚠",IF(AND(P107='G-1 All Habitats'!$X$3,AB107="No"),AG107,IF(AND(P107='G-1 All Habitats'!$X$3,AB107=""),AG107,IF(AND(P107='G-1 All Habitats'!$X$3,AG107="None",AG107),IF(AND(P107='G-1 All Habitats'!$X$3,AG107&gt;0),H107-V107-W107))))))))</f>
        <v/>
      </c>
      <c r="AA107" s="405" t="str">
        <f>IFERROR(IF(H107="","",IF(H107-V107-W107=0&lt;0,"Error in Areas ▲",IF(V107+W107&gt;H107,"Error in Areas ▲",IF(AND(P107='G-1 All Habitats'!$X$3,AB107="Yes"),"Alternative Compensation ✓",IF(Z107=0,0,IF(P107='G-1 All Habitats'!$X$3,"Any Loss Unacceptable ▲",T107-X107-Y107)))))),"Check Data ⚠")</f>
        <v/>
      </c>
      <c r="AB107" s="837"/>
      <c r="AC107" s="119"/>
      <c r="AD107" s="528"/>
      <c r="AE107" s="120"/>
      <c r="AF107" s="687"/>
      <c r="AG107" s="744" t="str">
        <f>IF(P107="","",IF(P107='G-1 All Habitats'!$X$3,H107-V107-W107,"None"))</f>
        <v/>
      </c>
      <c r="AH107" s="744" t="str">
        <f t="shared" si="13"/>
        <v/>
      </c>
      <c r="AJ107" s="124" t="str">
        <f t="shared" ref="AJ107:AJ138" si="18">IF(G107="","",IF(V107&gt;0,TRUE,FALSE))</f>
        <v/>
      </c>
      <c r="AK107" s="124" t="str">
        <f t="shared" ref="AK107:AK138" si="19">IF(H107="","",IF(W107&gt;0,TRUE,FALSE))</f>
        <v/>
      </c>
      <c r="AL107" s="124" t="str">
        <f>IF(I107="","",IF(#REF!&gt;0,TRUE,FALSE))</f>
        <v/>
      </c>
      <c r="AM107" s="124">
        <v>97</v>
      </c>
      <c r="AN107" s="124"/>
      <c r="AO107" s="124" t="str">
        <f t="array" ref="AO107">IFERROR(INDEX($AM$11:$AM$259, MATCH(0, IF(TRUE=$AJ$11:$AJ$259, COUNTIF($AO$10:$AO106, $AM$11:$AM$259), ""), 0)),"")</f>
        <v/>
      </c>
      <c r="AP107" s="124" t="str">
        <f t="array" ref="AP107">IFERROR(INDEX($AM$11:$AM$259, MATCH(0, IF(TRUE=$AK$11:$AK$259, COUNTIF($AP$10:$AP106, $AM$11:$AM$259), ""), 0)),"")</f>
        <v/>
      </c>
      <c r="AQ107" s="124" t="str">
        <f t="array" ref="AQ107">IFERROR(INDEX($AM$11:$AM$259, MATCH(0, IF(TRUE=$AL$11:$AL$259, COUNTIF($AQ$10:$AQ106, $AM$11:$AM$259), ""), 0)),"")</f>
        <v/>
      </c>
      <c r="AU107" s="30">
        <f t="shared" si="17"/>
        <v>0</v>
      </c>
      <c r="AY107" s="374" t="str">
        <f t="shared" si="16"/>
        <v/>
      </c>
    </row>
    <row r="108" spans="1:51">
      <c r="A108" s="30" t="str">
        <f>IFERROR(INDEX('G-1 All Habitats'!$AG$3:$AG$17,MATCH(E108,'G-1 All Habitats'!$AF$3:$AF$17,0)),"")</f>
        <v/>
      </c>
      <c r="B108" s="30" t="str">
        <f>IFERROR(INDEX('G-8 Condition Look up'!$I$4:$I$135,MATCH(G108,'G-8 Condition Look up'!$A$4:$A$135,0)),"")</f>
        <v/>
      </c>
      <c r="D108" s="110">
        <v>98</v>
      </c>
      <c r="E108" s="339"/>
      <c r="F108" s="340"/>
      <c r="G108" s="295" t="str">
        <f>IFERROR(INDEX('G-1 All Habitats'!$B$3:$B$134,MATCH(F108,'G-1 All Habitats'!$A$3:$A$134,0)),"")</f>
        <v/>
      </c>
      <c r="H108" s="139"/>
      <c r="I108" s="722" t="str">
        <f>IF(G108="","",VLOOKUP(G108,'G-1 All Habitats'!$B$2:$M$134,10,FALSE))</f>
        <v/>
      </c>
      <c r="J108" s="490" t="str">
        <f>IFERROR(VLOOKUP(I108,'G-1 All Habitats'!$V$3:$W$7,2,FALSE),"")</f>
        <v/>
      </c>
      <c r="K108" s="114"/>
      <c r="L108" s="490" t="str">
        <f>IFERROR(INDEX('G-8 Condition Look up'!$A$3:$H$135,MATCH(G108,'G-8 Condition Look up'!$A$3:$A$135,0),MATCH(K108,'G-8 Condition Look up'!$A$3:$H$3,0)),"")</f>
        <v/>
      </c>
      <c r="M108" s="738"/>
      <c r="N108" s="404" t="str">
        <f>IF(M108="","",IF(VLOOKUP(M108,'G-3 Multipliers'!$L$3:$N$6,2,FALSE)=0,"Spatial Data Missing ⚠",VLOOKUP(M108,'G-3 Multipliers'!$L$3:$N$6,2,FALSE)))</f>
        <v/>
      </c>
      <c r="O108" s="452" t="str">
        <f>IF(M108="","",IF(VLOOKUP(M108,'G-3 Multipliers'!$L$3:$N$6,3,FALSE)=0,"Spatial Data Missing ⚠",VLOOKUP(M108,'G-3 Multipliers'!$L$3:$N$6,3,FALSE)))</f>
        <v/>
      </c>
      <c r="P108" s="369" t="str">
        <f>IFERROR(VLOOKUP(G108,'G-1 All Habitats'!$B$2:$M$134,12,FALSE),"")</f>
        <v/>
      </c>
      <c r="Q108" s="725" t="str">
        <f>IFERROR(IF(P108="","",IF(AND(P108='G-1 All Habitats'!$X$3,W108&gt;0),X108+(Y108*S108),IF(AND(P108='G-1 All Habitats'!$X$3,V108&gt;0),X108+(Y108*S108),IF(AND(P108='G-1 All Habitats'!$X$3,AG108&gt;0),"Any Loss Unacceptable  ⚠",IF(AND(P108='G-1 All Habitats'!$X$3,Z108&gt;0),"Any Loss Unacceptable ⚠",H108*J108*L108*O108*S108))))),"Check Data ⚠")</f>
        <v/>
      </c>
      <c r="R108" s="516"/>
      <c r="S108" s="724" t="str">
        <f>IF(R108="","",IF(VLOOKUP(R108,'G-3 Multipliers'!$S$3:$T$10,2,FALSE)=0,"Spatial Data Missing ⚠",VLOOKUP(R108,'G-3 Multipliers'!$S$3:$T$10,2,FALSE)))</f>
        <v/>
      </c>
      <c r="T108" s="376" t="str">
        <f>IFERROR(IF(P108="","",IF(AND(P108='G-1 All Habitats'!$X$3,W108&gt;0),X108+Y108,IF(AND(P108='G-1 All Habitats'!$X$3,V108&gt;0),X108+Y108,IF(AND(P108='G-1 All Habitats'!$X$3,AG108&gt;0),"Any Loss Unacceptable ⚠", IF(R108="","", IF(AND(P108='G-1 All Habitats'!$X$3,Z108&gt;0),"Any Loss Unacceptable ⚠",H108*J108*L108*O108)))))),"Check Data ⚠")</f>
        <v/>
      </c>
      <c r="U108" s="38"/>
      <c r="V108" s="54"/>
      <c r="W108" s="55"/>
      <c r="X108" s="374" t="str">
        <f t="shared" si="11"/>
        <v/>
      </c>
      <c r="Y108" s="374" t="str">
        <f t="shared" si="12"/>
        <v/>
      </c>
      <c r="Z108" s="374" t="str">
        <f>IF(E108="","",IF(H108&lt;V108+W108,"Error in Areas ▲",IF(P108&lt;&gt;'G-1 All Habitats'!$X$3,H108-V108-W108,IF(AND(P108='G-1 All Habitats'!$X$3,AB108="Yes"),"Unacceptable Loss ⚠",IF(AND(P108='G-1 All Habitats'!$X$3,AB108="No"),AG108,IF(AND(P108='G-1 All Habitats'!$X$3,AB108=""),AG108,IF(AND(P108='G-1 All Habitats'!$X$3,AG108="None",AG108),IF(AND(P108='G-1 All Habitats'!$X$3,AG108&gt;0),H108-V108-W108))))))))</f>
        <v/>
      </c>
      <c r="AA108" s="405" t="str">
        <f>IFERROR(IF(H108="","",IF(H108-V108-W108=0&lt;0,"Error in Areas ▲",IF(V108+W108&gt;H108,"Error in Areas ▲",IF(AND(P108='G-1 All Habitats'!$X$3,AB108="Yes"),"Alternative Compensation ✓",IF(Z108=0,0,IF(P108='G-1 All Habitats'!$X$3,"Any Loss Unacceptable ▲",T108-X108-Y108)))))),"Check Data ⚠")</f>
        <v/>
      </c>
      <c r="AB108" s="837"/>
      <c r="AC108" s="119"/>
      <c r="AD108" s="528"/>
      <c r="AE108" s="120"/>
      <c r="AF108" s="687"/>
      <c r="AG108" s="744" t="str">
        <f>IF(P108="","",IF(P108='G-1 All Habitats'!$X$3,H108-V108-W108,"None"))</f>
        <v/>
      </c>
      <c r="AH108" s="744" t="str">
        <f t="shared" si="13"/>
        <v/>
      </c>
      <c r="AJ108" s="124" t="str">
        <f t="shared" si="18"/>
        <v/>
      </c>
      <c r="AK108" s="124" t="str">
        <f t="shared" si="19"/>
        <v/>
      </c>
      <c r="AL108" s="124" t="str">
        <f>IF(I108="","",IF(#REF!&gt;0,TRUE,FALSE))</f>
        <v/>
      </c>
      <c r="AM108" s="124">
        <v>98</v>
      </c>
      <c r="AN108" s="124"/>
      <c r="AO108" s="124" t="str">
        <f t="array" ref="AO108">IFERROR(INDEX($AM$11:$AM$259, MATCH(0, IF(TRUE=$AJ$11:$AJ$259, COUNTIF($AO$10:$AO107, $AM$11:$AM$259), ""), 0)),"")</f>
        <v/>
      </c>
      <c r="AP108" s="124" t="str">
        <f t="array" ref="AP108">IFERROR(INDEX($AM$11:$AM$259, MATCH(0, IF(TRUE=$AK$11:$AK$259, COUNTIF($AP$10:$AP107, $AM$11:$AM$259), ""), 0)),"")</f>
        <v/>
      </c>
      <c r="AQ108" s="124" t="str">
        <f t="array" ref="AQ108">IFERROR(INDEX($AM$11:$AM$259, MATCH(0, IF(TRUE=$AL$11:$AL$259, COUNTIF($AQ$10:$AQ107, $AM$11:$AM$259), ""), 0)),"")</f>
        <v/>
      </c>
      <c r="AU108" s="30">
        <f t="shared" si="17"/>
        <v>0</v>
      </c>
      <c r="AY108" s="374" t="str">
        <f t="shared" si="16"/>
        <v/>
      </c>
    </row>
    <row r="109" spans="1:51">
      <c r="A109" s="30" t="str">
        <f>IFERROR(INDEX('G-1 All Habitats'!$AG$3:$AG$17,MATCH(E109,'G-1 All Habitats'!$AF$3:$AF$17,0)),"")</f>
        <v/>
      </c>
      <c r="B109" s="30" t="str">
        <f>IFERROR(INDEX('G-8 Condition Look up'!$I$4:$I$135,MATCH(G109,'G-8 Condition Look up'!$A$4:$A$135,0)),"")</f>
        <v/>
      </c>
      <c r="D109" s="110">
        <v>99</v>
      </c>
      <c r="E109" s="339"/>
      <c r="F109" s="340"/>
      <c r="G109" s="295" t="str">
        <f>IFERROR(INDEX('G-1 All Habitats'!$B$3:$B$134,MATCH(F109,'G-1 All Habitats'!$A$3:$A$134,0)),"")</f>
        <v/>
      </c>
      <c r="H109" s="139"/>
      <c r="I109" s="722" t="str">
        <f>IF(G109="","",VLOOKUP(G109,'G-1 All Habitats'!$B$2:$M$134,10,FALSE))</f>
        <v/>
      </c>
      <c r="J109" s="490" t="str">
        <f>IFERROR(VLOOKUP(I109,'G-1 All Habitats'!$V$3:$W$7,2,FALSE),"")</f>
        <v/>
      </c>
      <c r="K109" s="114"/>
      <c r="L109" s="490" t="str">
        <f>IFERROR(INDEX('G-8 Condition Look up'!$A$3:$H$135,MATCH(G109,'G-8 Condition Look up'!$A$3:$A$135,0),MATCH(K109,'G-8 Condition Look up'!$A$3:$H$3,0)),"")</f>
        <v/>
      </c>
      <c r="M109" s="738"/>
      <c r="N109" s="404" t="str">
        <f>IF(M109="","",IF(VLOOKUP(M109,'G-3 Multipliers'!$L$3:$N$6,2,FALSE)=0,"Spatial Data Missing ⚠",VLOOKUP(M109,'G-3 Multipliers'!$L$3:$N$6,2,FALSE)))</f>
        <v/>
      </c>
      <c r="O109" s="452" t="str">
        <f>IF(M109="","",IF(VLOOKUP(M109,'G-3 Multipliers'!$L$3:$N$6,3,FALSE)=0,"Spatial Data Missing ⚠",VLOOKUP(M109,'G-3 Multipliers'!$L$3:$N$6,3,FALSE)))</f>
        <v/>
      </c>
      <c r="P109" s="369" t="str">
        <f>IFERROR(VLOOKUP(G109,'G-1 All Habitats'!$B$2:$M$134,12,FALSE),"")</f>
        <v/>
      </c>
      <c r="Q109" s="725" t="str">
        <f>IFERROR(IF(P109="","",IF(AND(P109='G-1 All Habitats'!$X$3,W109&gt;0),X109+(Y109*S109),IF(AND(P109='G-1 All Habitats'!$X$3,V109&gt;0),X109+(Y109*S109),IF(AND(P109='G-1 All Habitats'!$X$3,AG109&gt;0),"Any Loss Unacceptable  ⚠",IF(AND(P109='G-1 All Habitats'!$X$3,Z109&gt;0),"Any Loss Unacceptable ⚠",H109*J109*L109*O109*S109))))),"Check Data ⚠")</f>
        <v/>
      </c>
      <c r="R109" s="516"/>
      <c r="S109" s="724" t="str">
        <f>IF(R109="","",IF(VLOOKUP(R109,'G-3 Multipliers'!$S$3:$T$10,2,FALSE)=0,"Spatial Data Missing ⚠",VLOOKUP(R109,'G-3 Multipliers'!$S$3:$T$10,2,FALSE)))</f>
        <v/>
      </c>
      <c r="T109" s="376" t="str">
        <f>IFERROR(IF(P109="","",IF(AND(P109='G-1 All Habitats'!$X$3,W109&gt;0),X109+Y109,IF(AND(P109='G-1 All Habitats'!$X$3,V109&gt;0),X109+Y109,IF(AND(P109='G-1 All Habitats'!$X$3,AG109&gt;0),"Any Loss Unacceptable ⚠", IF(R109="","", IF(AND(P109='G-1 All Habitats'!$X$3,Z109&gt;0),"Any Loss Unacceptable ⚠",H109*J109*L109*O109)))))),"Check Data ⚠")</f>
        <v/>
      </c>
      <c r="U109" s="38"/>
      <c r="V109" s="54"/>
      <c r="W109" s="55"/>
      <c r="X109" s="374" t="str">
        <f t="shared" si="11"/>
        <v/>
      </c>
      <c r="Y109" s="374" t="str">
        <f t="shared" si="12"/>
        <v/>
      </c>
      <c r="Z109" s="374" t="str">
        <f>IF(E109="","",IF(H109&lt;V109+W109,"Error in Areas ▲",IF(P109&lt;&gt;'G-1 All Habitats'!$X$3,H109-V109-W109,IF(AND(P109='G-1 All Habitats'!$X$3,AB109="Yes"),"Unacceptable Loss ⚠",IF(AND(P109='G-1 All Habitats'!$X$3,AB109="No"),AG109,IF(AND(P109='G-1 All Habitats'!$X$3,AB109=""),AG109,IF(AND(P109='G-1 All Habitats'!$X$3,AG109="None",AG109),IF(AND(P109='G-1 All Habitats'!$X$3,AG109&gt;0),H109-V109-W109))))))))</f>
        <v/>
      </c>
      <c r="AA109" s="405" t="str">
        <f>IFERROR(IF(H109="","",IF(H109-V109-W109=0&lt;0,"Error in Areas ▲",IF(V109+W109&gt;H109,"Error in Areas ▲",IF(AND(P109='G-1 All Habitats'!$X$3,AB109="Yes"),"Alternative Compensation ✓",IF(Z109=0,0,IF(P109='G-1 All Habitats'!$X$3,"Any Loss Unacceptable ▲",T109-X109-Y109)))))),"Check Data ⚠")</f>
        <v/>
      </c>
      <c r="AB109" s="837"/>
      <c r="AC109" s="119"/>
      <c r="AD109" s="528"/>
      <c r="AE109" s="120"/>
      <c r="AF109" s="687"/>
      <c r="AG109" s="744" t="str">
        <f>IF(P109="","",IF(P109='G-1 All Habitats'!$X$3,H109-V109-W109,"None"))</f>
        <v/>
      </c>
      <c r="AH109" s="744" t="str">
        <f t="shared" si="13"/>
        <v/>
      </c>
      <c r="AJ109" s="124" t="str">
        <f t="shared" si="18"/>
        <v/>
      </c>
      <c r="AK109" s="124" t="str">
        <f t="shared" si="19"/>
        <v/>
      </c>
      <c r="AL109" s="124" t="str">
        <f>IF(I109="","",IF(#REF!&gt;0,TRUE,FALSE))</f>
        <v/>
      </c>
      <c r="AM109" s="124">
        <v>99</v>
      </c>
      <c r="AN109" s="124"/>
      <c r="AO109" s="124" t="str">
        <f t="array" ref="AO109">IFERROR(INDEX($AM$11:$AM$259, MATCH(0, IF(TRUE=$AJ$11:$AJ$259, COUNTIF($AO$10:$AO108, $AM$11:$AM$259), ""), 0)),"")</f>
        <v/>
      </c>
      <c r="AP109" s="124" t="str">
        <f t="array" ref="AP109">IFERROR(INDEX($AM$11:$AM$259, MATCH(0, IF(TRUE=$AK$11:$AK$259, COUNTIF($AP$10:$AP108, $AM$11:$AM$259), ""), 0)),"")</f>
        <v/>
      </c>
      <c r="AQ109" s="124" t="str">
        <f t="array" ref="AQ109">IFERROR(INDEX($AM$11:$AM$259, MATCH(0, IF(TRUE=$AL$11:$AL$259, COUNTIF($AQ$10:$AQ108, $AM$11:$AM$259), ""), 0)),"")</f>
        <v/>
      </c>
      <c r="AU109" s="30">
        <f t="shared" si="17"/>
        <v>0</v>
      </c>
      <c r="AY109" s="374" t="str">
        <f t="shared" si="16"/>
        <v/>
      </c>
    </row>
    <row r="110" spans="1:51">
      <c r="A110" s="30" t="str">
        <f>IFERROR(INDEX('G-1 All Habitats'!$AG$3:$AG$17,MATCH(E110,'G-1 All Habitats'!$AF$3:$AF$17,0)),"")</f>
        <v/>
      </c>
      <c r="B110" s="30" t="str">
        <f>IFERROR(INDEX('G-8 Condition Look up'!$I$4:$I$135,MATCH(G110,'G-8 Condition Look up'!$A$4:$A$135,0)),"")</f>
        <v/>
      </c>
      <c r="D110" s="110">
        <v>100</v>
      </c>
      <c r="E110" s="339"/>
      <c r="F110" s="340"/>
      <c r="G110" s="295" t="str">
        <f>IFERROR(INDEX('G-1 All Habitats'!$B$3:$B$134,MATCH(F110,'G-1 All Habitats'!$A$3:$A$134,0)),"")</f>
        <v/>
      </c>
      <c r="H110" s="139"/>
      <c r="I110" s="722" t="str">
        <f>IF(G110="","",VLOOKUP(G110,'G-1 All Habitats'!$B$2:$M$134,10,FALSE))</f>
        <v/>
      </c>
      <c r="J110" s="490" t="str">
        <f>IFERROR(VLOOKUP(I110,'G-1 All Habitats'!$V$3:$W$7,2,FALSE),"")</f>
        <v/>
      </c>
      <c r="K110" s="114"/>
      <c r="L110" s="490" t="str">
        <f>IFERROR(INDEX('G-8 Condition Look up'!$A$3:$H$135,MATCH(G110,'G-8 Condition Look up'!$A$3:$A$135,0),MATCH(K110,'G-8 Condition Look up'!$A$3:$H$3,0)),"")</f>
        <v/>
      </c>
      <c r="M110" s="738"/>
      <c r="N110" s="404" t="str">
        <f>IF(M110="","",IF(VLOOKUP(M110,'G-3 Multipliers'!$L$3:$N$6,2,FALSE)=0,"Spatial Data Missing ⚠",VLOOKUP(M110,'G-3 Multipliers'!$L$3:$N$6,2,FALSE)))</f>
        <v/>
      </c>
      <c r="O110" s="452" t="str">
        <f>IF(M110="","",IF(VLOOKUP(M110,'G-3 Multipliers'!$L$3:$N$6,3,FALSE)=0,"Spatial Data Missing ⚠",VLOOKUP(M110,'G-3 Multipliers'!$L$3:$N$6,3,FALSE)))</f>
        <v/>
      </c>
      <c r="P110" s="369" t="str">
        <f>IFERROR(VLOOKUP(G110,'G-1 All Habitats'!$B$2:$M$134,12,FALSE),"")</f>
        <v/>
      </c>
      <c r="Q110" s="725" t="str">
        <f>IFERROR(IF(P110="","",IF(AND(P110='G-1 All Habitats'!$X$3,W110&gt;0),X110+(Y110*S110),IF(AND(P110='G-1 All Habitats'!$X$3,V110&gt;0),X110+(Y110*S110),IF(AND(P110='G-1 All Habitats'!$X$3,AG110&gt;0),"Any Loss Unacceptable  ⚠",IF(AND(P110='G-1 All Habitats'!$X$3,Z110&gt;0),"Any Loss Unacceptable ⚠",H110*J110*L110*O110*S110))))),"Check Data ⚠")</f>
        <v/>
      </c>
      <c r="R110" s="516"/>
      <c r="S110" s="724" t="str">
        <f>IF(R110="","",IF(VLOOKUP(R110,'G-3 Multipliers'!$S$3:$T$10,2,FALSE)=0,"Spatial Data Missing ⚠",VLOOKUP(R110,'G-3 Multipliers'!$S$3:$T$10,2,FALSE)))</f>
        <v/>
      </c>
      <c r="T110" s="376" t="str">
        <f>IFERROR(IF(P110="","",IF(AND(P110='G-1 All Habitats'!$X$3,W110&gt;0),X110+Y110,IF(AND(P110='G-1 All Habitats'!$X$3,V110&gt;0),X110+Y110,IF(AND(P110='G-1 All Habitats'!$X$3,AG110&gt;0),"Any Loss Unacceptable ⚠", IF(R110="","", IF(AND(P110='G-1 All Habitats'!$X$3,Z110&gt;0),"Any Loss Unacceptable ⚠",H110*J110*L110*O110)))))),"Check Data ⚠")</f>
        <v/>
      </c>
      <c r="U110" s="38"/>
      <c r="V110" s="54"/>
      <c r="W110" s="55"/>
      <c r="X110" s="374" t="str">
        <f t="shared" si="11"/>
        <v/>
      </c>
      <c r="Y110" s="374" t="str">
        <f t="shared" si="12"/>
        <v/>
      </c>
      <c r="Z110" s="374" t="str">
        <f>IF(E110="","",IF(H110&lt;V110+W110,"Error in Areas ▲",IF(P110&lt;&gt;'G-1 All Habitats'!$X$3,H110-V110-W110,IF(AND(P110='G-1 All Habitats'!$X$3,AB110="Yes"),"Unacceptable Loss ⚠",IF(AND(P110='G-1 All Habitats'!$X$3,AB110="No"),AG110,IF(AND(P110='G-1 All Habitats'!$X$3,AB110=""),AG110,IF(AND(P110='G-1 All Habitats'!$X$3,AG110="None",AG110),IF(AND(P110='G-1 All Habitats'!$X$3,AG110&gt;0),H110-V110-W110))))))))</f>
        <v/>
      </c>
      <c r="AA110" s="405" t="str">
        <f>IFERROR(IF(H110="","",IF(H110-V110-W110=0&lt;0,"Error in Areas ▲",IF(V110+W110&gt;H110,"Error in Areas ▲",IF(AND(P110='G-1 All Habitats'!$X$3,AB110="Yes"),"Alternative Compensation ✓",IF(Z110=0,0,IF(P110='G-1 All Habitats'!$X$3,"Any Loss Unacceptable ▲",T110-X110-Y110)))))),"Check Data ⚠")</f>
        <v/>
      </c>
      <c r="AB110" s="837"/>
      <c r="AC110" s="119"/>
      <c r="AD110" s="528"/>
      <c r="AE110" s="120"/>
      <c r="AF110" s="687"/>
      <c r="AG110" s="744" t="str">
        <f>IF(P110="","",IF(P110='G-1 All Habitats'!$X$3,H110-V110-W110,"None"))</f>
        <v/>
      </c>
      <c r="AH110" s="744" t="str">
        <f t="shared" si="13"/>
        <v/>
      </c>
      <c r="AJ110" s="124" t="str">
        <f t="shared" si="18"/>
        <v/>
      </c>
      <c r="AK110" s="124" t="str">
        <f t="shared" si="19"/>
        <v/>
      </c>
      <c r="AL110" s="124" t="str">
        <f>IF(I110="","",IF(#REF!&gt;0,TRUE,FALSE))</f>
        <v/>
      </c>
      <c r="AM110" s="124">
        <v>100</v>
      </c>
      <c r="AN110" s="124"/>
      <c r="AO110" s="124" t="str">
        <f t="array" ref="AO110">IFERROR(INDEX($AM$11:$AM$259, MATCH(0, IF(TRUE=$AJ$11:$AJ$259, COUNTIF($AO$10:$AO109, $AM$11:$AM$259), ""), 0)),"")</f>
        <v/>
      </c>
      <c r="AP110" s="124" t="str">
        <f t="array" ref="AP110">IFERROR(INDEX($AM$11:$AM$259, MATCH(0, IF(TRUE=$AK$11:$AK$259, COUNTIF($AP$10:$AP109, $AM$11:$AM$259), ""), 0)),"")</f>
        <v/>
      </c>
      <c r="AQ110" s="124" t="str">
        <f t="array" ref="AQ110">IFERROR(INDEX($AM$11:$AM$259, MATCH(0, IF(TRUE=$AL$11:$AL$259, COUNTIF($AQ$10:$AQ109, $AM$11:$AM$259), ""), 0)),"")</f>
        <v/>
      </c>
      <c r="AU110" s="30">
        <f t="shared" si="17"/>
        <v>0</v>
      </c>
      <c r="AY110" s="374" t="str">
        <f t="shared" si="16"/>
        <v/>
      </c>
    </row>
    <row r="111" spans="1:51">
      <c r="A111" s="30" t="str">
        <f>IFERROR(INDEX('G-1 All Habitats'!$AG$3:$AG$17,MATCH(E111,'G-1 All Habitats'!$AF$3:$AF$17,0)),"")</f>
        <v/>
      </c>
      <c r="B111" s="30" t="str">
        <f>IFERROR(INDEX('G-8 Condition Look up'!$I$4:$I$135,MATCH(G111,'G-8 Condition Look up'!$A$4:$A$135,0)),"")</f>
        <v/>
      </c>
      <c r="D111" s="110">
        <v>101</v>
      </c>
      <c r="E111" s="339"/>
      <c r="F111" s="340"/>
      <c r="G111" s="295" t="str">
        <f>IFERROR(INDEX('G-1 All Habitats'!$B$3:$B$134,MATCH(F111,'G-1 All Habitats'!$A$3:$A$134,0)),"")</f>
        <v/>
      </c>
      <c r="H111" s="139"/>
      <c r="I111" s="722" t="str">
        <f>IF(G111="","",VLOOKUP(G111,'G-1 All Habitats'!$B$2:$M$134,10,FALSE))</f>
        <v/>
      </c>
      <c r="J111" s="490" t="str">
        <f>IFERROR(VLOOKUP(I111,'G-1 All Habitats'!$V$3:$W$7,2,FALSE),"")</f>
        <v/>
      </c>
      <c r="K111" s="114"/>
      <c r="L111" s="490" t="str">
        <f>IFERROR(INDEX('G-8 Condition Look up'!$A$3:$H$135,MATCH(G111,'G-8 Condition Look up'!$A$3:$A$135,0),MATCH(K111,'G-8 Condition Look up'!$A$3:$H$3,0)),"")</f>
        <v/>
      </c>
      <c r="M111" s="738"/>
      <c r="N111" s="404" t="str">
        <f>IF(M111="","",IF(VLOOKUP(M111,'G-3 Multipliers'!$L$3:$N$6,2,FALSE)=0,"Spatial Data Missing ⚠",VLOOKUP(M111,'G-3 Multipliers'!$L$3:$N$6,2,FALSE)))</f>
        <v/>
      </c>
      <c r="O111" s="452" t="str">
        <f>IF(M111="","",IF(VLOOKUP(M111,'G-3 Multipliers'!$L$3:$N$6,3,FALSE)=0,"Spatial Data Missing ⚠",VLOOKUP(M111,'G-3 Multipliers'!$L$3:$N$6,3,FALSE)))</f>
        <v/>
      </c>
      <c r="P111" s="369" t="str">
        <f>IFERROR(VLOOKUP(G111,'G-1 All Habitats'!$B$2:$M$134,12,FALSE),"")</f>
        <v/>
      </c>
      <c r="Q111" s="725" t="str">
        <f>IFERROR(IF(P111="","",IF(AND(P111='G-1 All Habitats'!$X$3,W111&gt;0),X111+(Y111*S111),IF(AND(P111='G-1 All Habitats'!$X$3,V111&gt;0),X111+(Y111*S111),IF(AND(P111='G-1 All Habitats'!$X$3,AG111&gt;0),"Any Loss Unacceptable  ⚠",IF(AND(P111='G-1 All Habitats'!$X$3,Z111&gt;0),"Any Loss Unacceptable ⚠",H111*J111*L111*O111*S111))))),"Check Data ⚠")</f>
        <v/>
      </c>
      <c r="R111" s="516"/>
      <c r="S111" s="724" t="str">
        <f>IF(R111="","",IF(VLOOKUP(R111,'G-3 Multipliers'!$S$3:$T$10,2,FALSE)=0,"Spatial Data Missing ⚠",VLOOKUP(R111,'G-3 Multipliers'!$S$3:$T$10,2,FALSE)))</f>
        <v/>
      </c>
      <c r="T111" s="376" t="str">
        <f>IFERROR(IF(P111="","",IF(AND(P111='G-1 All Habitats'!$X$3,W111&gt;0),X111+Y111,IF(AND(P111='G-1 All Habitats'!$X$3,V111&gt;0),X111+Y111,IF(AND(P111='G-1 All Habitats'!$X$3,AG111&gt;0),"Any Loss Unacceptable ⚠", IF(R111="","", IF(AND(P111='G-1 All Habitats'!$X$3,Z111&gt;0),"Any Loss Unacceptable ⚠",H111*J111*L111*O111)))))),"Check Data ⚠")</f>
        <v/>
      </c>
      <c r="U111" s="38"/>
      <c r="V111" s="54"/>
      <c r="W111" s="55"/>
      <c r="X111" s="374" t="str">
        <f t="shared" si="11"/>
        <v/>
      </c>
      <c r="Y111" s="374" t="str">
        <f t="shared" si="12"/>
        <v/>
      </c>
      <c r="Z111" s="374" t="str">
        <f>IF(E111="","",IF(H111&lt;V111+W111,"Error in Areas ▲",IF(P111&lt;&gt;'G-1 All Habitats'!$X$3,H111-V111-W111,IF(AND(P111='G-1 All Habitats'!$X$3,AB111="Yes"),"Unacceptable Loss ⚠",IF(AND(P111='G-1 All Habitats'!$X$3,AB111="No"),AG111,IF(AND(P111='G-1 All Habitats'!$X$3,AB111=""),AG111,IF(AND(P111='G-1 All Habitats'!$X$3,AG111="None",AG111),IF(AND(P111='G-1 All Habitats'!$X$3,AG111&gt;0),H111-V111-W111))))))))</f>
        <v/>
      </c>
      <c r="AA111" s="405" t="str">
        <f>IFERROR(IF(H111="","",IF(H111-V111-W111=0&lt;0,"Error in Areas ▲",IF(V111+W111&gt;H111,"Error in Areas ▲",IF(AND(P111='G-1 All Habitats'!$X$3,AB111="Yes"),"Alternative Compensation ✓",IF(Z111=0,0,IF(P111='G-1 All Habitats'!$X$3,"Any Loss Unacceptable ▲",T111-X111-Y111)))))),"Check Data ⚠")</f>
        <v/>
      </c>
      <c r="AB111" s="837"/>
      <c r="AC111" s="119"/>
      <c r="AD111" s="528"/>
      <c r="AE111" s="120"/>
      <c r="AF111" s="687"/>
      <c r="AG111" s="744" t="str">
        <f>IF(P111="","",IF(P111='G-1 All Habitats'!$X$3,H111-V111-W111,"None"))</f>
        <v/>
      </c>
      <c r="AH111" s="744" t="str">
        <f t="shared" si="13"/>
        <v/>
      </c>
      <c r="AJ111" s="124" t="str">
        <f t="shared" si="18"/>
        <v/>
      </c>
      <c r="AK111" s="124" t="str">
        <f t="shared" si="19"/>
        <v/>
      </c>
      <c r="AL111" s="124" t="str">
        <f>IF(I111="","",IF(#REF!&gt;0,TRUE,FALSE))</f>
        <v/>
      </c>
      <c r="AM111" s="124">
        <v>101</v>
      </c>
      <c r="AN111" s="124"/>
      <c r="AO111" s="124" t="str">
        <f t="array" ref="AO111">IFERROR(INDEX($AM$11:$AM$259, MATCH(0, IF(TRUE=$AJ$11:$AJ$259, COUNTIF($AO$10:$AO110, $AM$11:$AM$259), ""), 0)),"")</f>
        <v/>
      </c>
      <c r="AP111" s="124" t="str">
        <f t="array" ref="AP111">IFERROR(INDEX($AM$11:$AM$259, MATCH(0, IF(TRUE=$AK$11:$AK$259, COUNTIF($AP$10:$AP110, $AM$11:$AM$259), ""), 0)),"")</f>
        <v/>
      </c>
      <c r="AQ111" s="124" t="str">
        <f t="array" ref="AQ111">IFERROR(INDEX($AM$11:$AM$259, MATCH(0, IF(TRUE=$AL$11:$AL$259, COUNTIF($AQ$10:$AQ110, $AM$11:$AM$259), ""), 0)),"")</f>
        <v/>
      </c>
      <c r="AU111" s="30">
        <f t="shared" si="17"/>
        <v>0</v>
      </c>
      <c r="AY111" s="374" t="str">
        <f t="shared" si="16"/>
        <v/>
      </c>
    </row>
    <row r="112" spans="1:51">
      <c r="A112" s="30" t="str">
        <f>IFERROR(INDEX('G-1 All Habitats'!$AG$3:$AG$17,MATCH(E112,'G-1 All Habitats'!$AF$3:$AF$17,0)),"")</f>
        <v/>
      </c>
      <c r="B112" s="30" t="str">
        <f>IFERROR(INDEX('G-8 Condition Look up'!$I$4:$I$135,MATCH(G112,'G-8 Condition Look up'!$A$4:$A$135,0)),"")</f>
        <v/>
      </c>
      <c r="D112" s="110">
        <v>102</v>
      </c>
      <c r="E112" s="339"/>
      <c r="F112" s="340"/>
      <c r="G112" s="295" t="str">
        <f>IFERROR(INDEX('G-1 All Habitats'!$B$3:$B$134,MATCH(F112,'G-1 All Habitats'!$A$3:$A$134,0)),"")</f>
        <v/>
      </c>
      <c r="H112" s="139"/>
      <c r="I112" s="722" t="str">
        <f>IF(G112="","",VLOOKUP(G112,'G-1 All Habitats'!$B$2:$M$134,10,FALSE))</f>
        <v/>
      </c>
      <c r="J112" s="490" t="str">
        <f>IFERROR(VLOOKUP(I112,'G-1 All Habitats'!$V$3:$W$7,2,FALSE),"")</f>
        <v/>
      </c>
      <c r="K112" s="114"/>
      <c r="L112" s="490" t="str">
        <f>IFERROR(INDEX('G-8 Condition Look up'!$A$3:$H$135,MATCH(G112,'G-8 Condition Look up'!$A$3:$A$135,0),MATCH(K112,'G-8 Condition Look up'!$A$3:$H$3,0)),"")</f>
        <v/>
      </c>
      <c r="M112" s="738"/>
      <c r="N112" s="404" t="str">
        <f>IF(M112="","",IF(VLOOKUP(M112,'G-3 Multipliers'!$L$3:$N$6,2,FALSE)=0,"Spatial Data Missing ⚠",VLOOKUP(M112,'G-3 Multipliers'!$L$3:$N$6,2,FALSE)))</f>
        <v/>
      </c>
      <c r="O112" s="452" t="str">
        <f>IF(M112="","",IF(VLOOKUP(M112,'G-3 Multipliers'!$L$3:$N$6,3,FALSE)=0,"Spatial Data Missing ⚠",VLOOKUP(M112,'G-3 Multipliers'!$L$3:$N$6,3,FALSE)))</f>
        <v/>
      </c>
      <c r="P112" s="369" t="str">
        <f>IFERROR(VLOOKUP(G112,'G-1 All Habitats'!$B$2:$M$134,12,FALSE),"")</f>
        <v/>
      </c>
      <c r="Q112" s="725" t="str">
        <f>IFERROR(IF(P112="","",IF(AND(P112='G-1 All Habitats'!$X$3,W112&gt;0),X112+(Y112*S112),IF(AND(P112='G-1 All Habitats'!$X$3,V112&gt;0),X112+(Y112*S112),IF(AND(P112='G-1 All Habitats'!$X$3,AG112&gt;0),"Any Loss Unacceptable  ⚠",IF(AND(P112='G-1 All Habitats'!$X$3,Z112&gt;0),"Any Loss Unacceptable ⚠",H112*J112*L112*O112*S112))))),"Check Data ⚠")</f>
        <v/>
      </c>
      <c r="R112" s="516"/>
      <c r="S112" s="724" t="str">
        <f>IF(R112="","",IF(VLOOKUP(R112,'G-3 Multipliers'!$S$3:$T$10,2,FALSE)=0,"Spatial Data Missing ⚠",VLOOKUP(R112,'G-3 Multipliers'!$S$3:$T$10,2,FALSE)))</f>
        <v/>
      </c>
      <c r="T112" s="376" t="str">
        <f>IFERROR(IF(P112="","",IF(AND(P112='G-1 All Habitats'!$X$3,W112&gt;0),X112+Y112,IF(AND(P112='G-1 All Habitats'!$X$3,V112&gt;0),X112+Y112,IF(AND(P112='G-1 All Habitats'!$X$3,AG112&gt;0),"Any Loss Unacceptable ⚠", IF(R112="","", IF(AND(P112='G-1 All Habitats'!$X$3,Z112&gt;0),"Any Loss Unacceptable ⚠",H112*J112*L112*O112)))))),"Check Data ⚠")</f>
        <v/>
      </c>
      <c r="U112" s="38"/>
      <c r="V112" s="54"/>
      <c r="W112" s="55"/>
      <c r="X112" s="374" t="str">
        <f t="shared" si="11"/>
        <v/>
      </c>
      <c r="Y112" s="374" t="str">
        <f t="shared" si="12"/>
        <v/>
      </c>
      <c r="Z112" s="374" t="str">
        <f>IF(E112="","",IF(H112&lt;V112+W112,"Error in Areas ▲",IF(P112&lt;&gt;'G-1 All Habitats'!$X$3,H112-V112-W112,IF(AND(P112='G-1 All Habitats'!$X$3,AB112="Yes"),"Unacceptable Loss ⚠",IF(AND(P112='G-1 All Habitats'!$X$3,AB112="No"),AG112,IF(AND(P112='G-1 All Habitats'!$X$3,AB112=""),AG112,IF(AND(P112='G-1 All Habitats'!$X$3,AG112="None",AG112),IF(AND(P112='G-1 All Habitats'!$X$3,AG112&gt;0),H112-V112-W112))))))))</f>
        <v/>
      </c>
      <c r="AA112" s="405" t="str">
        <f>IFERROR(IF(H112="","",IF(H112-V112-W112=0&lt;0,"Error in Areas ▲",IF(V112+W112&gt;H112,"Error in Areas ▲",IF(AND(P112='G-1 All Habitats'!$X$3,AB112="Yes"),"Alternative Compensation ✓",IF(Z112=0,0,IF(P112='G-1 All Habitats'!$X$3,"Any Loss Unacceptable ▲",T112-X112-Y112)))))),"Check Data ⚠")</f>
        <v/>
      </c>
      <c r="AB112" s="837"/>
      <c r="AC112" s="119"/>
      <c r="AD112" s="528"/>
      <c r="AE112" s="120"/>
      <c r="AF112" s="687"/>
      <c r="AG112" s="744" t="str">
        <f>IF(P112="","",IF(P112='G-1 All Habitats'!$X$3,H112-V112-W112,"None"))</f>
        <v/>
      </c>
      <c r="AH112" s="744" t="str">
        <f t="shared" si="13"/>
        <v/>
      </c>
      <c r="AJ112" s="124" t="str">
        <f t="shared" si="18"/>
        <v/>
      </c>
      <c r="AK112" s="124" t="str">
        <f t="shared" si="19"/>
        <v/>
      </c>
      <c r="AL112" s="124" t="str">
        <f>IF(I112="","",IF(#REF!&gt;0,TRUE,FALSE))</f>
        <v/>
      </c>
      <c r="AM112" s="124">
        <v>102</v>
      </c>
      <c r="AN112" s="124"/>
      <c r="AO112" s="124" t="str">
        <f t="array" ref="AO112">IFERROR(INDEX($AM$11:$AM$259, MATCH(0, IF(TRUE=$AJ$11:$AJ$259, COUNTIF($AO$10:$AO111, $AM$11:$AM$259), ""), 0)),"")</f>
        <v/>
      </c>
      <c r="AP112" s="124" t="str">
        <f t="array" ref="AP112">IFERROR(INDEX($AM$11:$AM$259, MATCH(0, IF(TRUE=$AK$11:$AK$259, COUNTIF($AP$10:$AP111, $AM$11:$AM$259), ""), 0)),"")</f>
        <v/>
      </c>
      <c r="AQ112" s="124" t="str">
        <f t="array" ref="AQ112">IFERROR(INDEX($AM$11:$AM$259, MATCH(0, IF(TRUE=$AL$11:$AL$259, COUNTIF($AQ$10:$AQ111, $AM$11:$AM$259), ""), 0)),"")</f>
        <v/>
      </c>
      <c r="AU112" s="30">
        <f t="shared" si="17"/>
        <v>0</v>
      </c>
      <c r="AY112" s="374" t="str">
        <f t="shared" si="16"/>
        <v/>
      </c>
    </row>
    <row r="113" spans="1:51">
      <c r="A113" s="30" t="str">
        <f>IFERROR(INDEX('G-1 All Habitats'!$AG$3:$AG$17,MATCH(E113,'G-1 All Habitats'!$AF$3:$AF$17,0)),"")</f>
        <v/>
      </c>
      <c r="B113" s="30" t="str">
        <f>IFERROR(INDEX('G-8 Condition Look up'!$I$4:$I$135,MATCH(G113,'G-8 Condition Look up'!$A$4:$A$135,0)),"")</f>
        <v/>
      </c>
      <c r="D113" s="110">
        <v>103</v>
      </c>
      <c r="E113" s="339"/>
      <c r="F113" s="340"/>
      <c r="G113" s="295" t="str">
        <f>IFERROR(INDEX('G-1 All Habitats'!$B$3:$B$134,MATCH(F113,'G-1 All Habitats'!$A$3:$A$134,0)),"")</f>
        <v/>
      </c>
      <c r="H113" s="139"/>
      <c r="I113" s="722" t="str">
        <f>IF(G113="","",VLOOKUP(G113,'G-1 All Habitats'!$B$2:$M$134,10,FALSE))</f>
        <v/>
      </c>
      <c r="J113" s="490" t="str">
        <f>IFERROR(VLOOKUP(I113,'G-1 All Habitats'!$V$3:$W$7,2,FALSE),"")</f>
        <v/>
      </c>
      <c r="K113" s="114"/>
      <c r="L113" s="490" t="str">
        <f>IFERROR(INDEX('G-8 Condition Look up'!$A$3:$H$135,MATCH(G113,'G-8 Condition Look up'!$A$3:$A$135,0),MATCH(K113,'G-8 Condition Look up'!$A$3:$H$3,0)),"")</f>
        <v/>
      </c>
      <c r="M113" s="738"/>
      <c r="N113" s="404" t="str">
        <f>IF(M113="","",IF(VLOOKUP(M113,'G-3 Multipliers'!$L$3:$N$6,2,FALSE)=0,"Spatial Data Missing ⚠",VLOOKUP(M113,'G-3 Multipliers'!$L$3:$N$6,2,FALSE)))</f>
        <v/>
      </c>
      <c r="O113" s="452" t="str">
        <f>IF(M113="","",IF(VLOOKUP(M113,'G-3 Multipliers'!$L$3:$N$6,3,FALSE)=0,"Spatial Data Missing ⚠",VLOOKUP(M113,'G-3 Multipliers'!$L$3:$N$6,3,FALSE)))</f>
        <v/>
      </c>
      <c r="P113" s="369" t="str">
        <f>IFERROR(VLOOKUP(G113,'G-1 All Habitats'!$B$2:$M$134,12,FALSE),"")</f>
        <v/>
      </c>
      <c r="Q113" s="725" t="str">
        <f>IFERROR(IF(P113="","",IF(AND(P113='G-1 All Habitats'!$X$3,W113&gt;0),X113+(Y113*S113),IF(AND(P113='G-1 All Habitats'!$X$3,V113&gt;0),X113+(Y113*S113),IF(AND(P113='G-1 All Habitats'!$X$3,AG113&gt;0),"Any Loss Unacceptable  ⚠",IF(AND(P113='G-1 All Habitats'!$X$3,Z113&gt;0),"Any Loss Unacceptable ⚠",H113*J113*L113*O113*S113))))),"Check Data ⚠")</f>
        <v/>
      </c>
      <c r="R113" s="516"/>
      <c r="S113" s="724" t="str">
        <f>IF(R113="","",IF(VLOOKUP(R113,'G-3 Multipliers'!$S$3:$T$10,2,FALSE)=0,"Spatial Data Missing ⚠",VLOOKUP(R113,'G-3 Multipliers'!$S$3:$T$10,2,FALSE)))</f>
        <v/>
      </c>
      <c r="T113" s="376" t="str">
        <f>IFERROR(IF(P113="","",IF(AND(P113='G-1 All Habitats'!$X$3,W113&gt;0),X113+Y113,IF(AND(P113='G-1 All Habitats'!$X$3,V113&gt;0),X113+Y113,IF(AND(P113='G-1 All Habitats'!$X$3,AG113&gt;0),"Any Loss Unacceptable ⚠", IF(R113="","", IF(AND(P113='G-1 All Habitats'!$X$3,Z113&gt;0),"Any Loss Unacceptable ⚠",H113*J113*L113*O113)))))),"Check Data ⚠")</f>
        <v/>
      </c>
      <c r="U113" s="38"/>
      <c r="V113" s="54"/>
      <c r="W113" s="55"/>
      <c r="X113" s="374" t="str">
        <f t="shared" si="11"/>
        <v/>
      </c>
      <c r="Y113" s="374" t="str">
        <f t="shared" si="12"/>
        <v/>
      </c>
      <c r="Z113" s="374" t="str">
        <f>IF(E113="","",IF(H113&lt;V113+W113,"Error in Areas ▲",IF(P113&lt;&gt;'G-1 All Habitats'!$X$3,H113-V113-W113,IF(AND(P113='G-1 All Habitats'!$X$3,AB113="Yes"),"Unacceptable Loss ⚠",IF(AND(P113='G-1 All Habitats'!$X$3,AB113="No"),AG113,IF(AND(P113='G-1 All Habitats'!$X$3,AB113=""),AG113,IF(AND(P113='G-1 All Habitats'!$X$3,AG113="None",AG113),IF(AND(P113='G-1 All Habitats'!$X$3,AG113&gt;0),H113-V113-W113))))))))</f>
        <v/>
      </c>
      <c r="AA113" s="405" t="str">
        <f>IFERROR(IF(H113="","",IF(H113-V113-W113=0&lt;0,"Error in Areas ▲",IF(V113+W113&gt;H113,"Error in Areas ▲",IF(AND(P113='G-1 All Habitats'!$X$3,AB113="Yes"),"Alternative Compensation ✓",IF(Z113=0,0,IF(P113='G-1 All Habitats'!$X$3,"Any Loss Unacceptable ▲",T113-X113-Y113)))))),"Check Data ⚠")</f>
        <v/>
      </c>
      <c r="AB113" s="837"/>
      <c r="AC113" s="119"/>
      <c r="AD113" s="528"/>
      <c r="AE113" s="120"/>
      <c r="AF113" s="687"/>
      <c r="AG113" s="744" t="str">
        <f>IF(P113="","",IF(P113='G-1 All Habitats'!$X$3,H113-V113-W113,"None"))</f>
        <v/>
      </c>
      <c r="AH113" s="744" t="str">
        <f t="shared" si="13"/>
        <v/>
      </c>
      <c r="AJ113" s="124" t="str">
        <f t="shared" si="18"/>
        <v/>
      </c>
      <c r="AK113" s="124" t="str">
        <f t="shared" si="19"/>
        <v/>
      </c>
      <c r="AL113" s="124" t="str">
        <f>IF(I113="","",IF(#REF!&gt;0,TRUE,FALSE))</f>
        <v/>
      </c>
      <c r="AM113" s="124">
        <v>103</v>
      </c>
      <c r="AN113" s="124"/>
      <c r="AO113" s="124" t="str">
        <f t="array" ref="AO113">IFERROR(INDEX($AM$11:$AM$259, MATCH(0, IF(TRUE=$AJ$11:$AJ$259, COUNTIF($AO$10:$AO112, $AM$11:$AM$259), ""), 0)),"")</f>
        <v/>
      </c>
      <c r="AP113" s="124" t="str">
        <f t="array" ref="AP113">IFERROR(INDEX($AM$11:$AM$259, MATCH(0, IF(TRUE=$AK$11:$AK$259, COUNTIF($AP$10:$AP112, $AM$11:$AM$259), ""), 0)),"")</f>
        <v/>
      </c>
      <c r="AQ113" s="124" t="str">
        <f t="array" ref="AQ113">IFERROR(INDEX($AM$11:$AM$259, MATCH(0, IF(TRUE=$AL$11:$AL$259, COUNTIF($AQ$10:$AQ112, $AM$11:$AM$259), ""), 0)),"")</f>
        <v/>
      </c>
      <c r="AU113" s="30">
        <f t="shared" ref="AU113:AU144" si="20">IF(AA113="Unacceptable Loss",1,0)</f>
        <v>0</v>
      </c>
      <c r="AY113" s="374" t="str">
        <f t="shared" si="16"/>
        <v/>
      </c>
    </row>
    <row r="114" spans="1:51">
      <c r="A114" s="30" t="str">
        <f>IFERROR(INDEX('G-1 All Habitats'!$AG$3:$AG$17,MATCH(E114,'G-1 All Habitats'!$AF$3:$AF$17,0)),"")</f>
        <v/>
      </c>
      <c r="B114" s="30" t="str">
        <f>IFERROR(INDEX('G-8 Condition Look up'!$I$4:$I$135,MATCH(G114,'G-8 Condition Look up'!$A$4:$A$135,0)),"")</f>
        <v/>
      </c>
      <c r="D114" s="110">
        <v>104</v>
      </c>
      <c r="E114" s="339"/>
      <c r="F114" s="340"/>
      <c r="G114" s="295" t="str">
        <f>IFERROR(INDEX('G-1 All Habitats'!$B$3:$B$134,MATCH(F114,'G-1 All Habitats'!$A$3:$A$134,0)),"")</f>
        <v/>
      </c>
      <c r="H114" s="139"/>
      <c r="I114" s="722" t="str">
        <f>IF(G114="","",VLOOKUP(G114,'G-1 All Habitats'!$B$2:$M$134,10,FALSE))</f>
        <v/>
      </c>
      <c r="J114" s="490" t="str">
        <f>IFERROR(VLOOKUP(I114,'G-1 All Habitats'!$V$3:$W$7,2,FALSE),"")</f>
        <v/>
      </c>
      <c r="K114" s="114"/>
      <c r="L114" s="490" t="str">
        <f>IFERROR(INDEX('G-8 Condition Look up'!$A$3:$H$135,MATCH(G114,'G-8 Condition Look up'!$A$3:$A$135,0),MATCH(K114,'G-8 Condition Look up'!$A$3:$H$3,0)),"")</f>
        <v/>
      </c>
      <c r="M114" s="738"/>
      <c r="N114" s="404" t="str">
        <f>IF(M114="","",IF(VLOOKUP(M114,'G-3 Multipliers'!$L$3:$N$6,2,FALSE)=0,"Spatial Data Missing ⚠",VLOOKUP(M114,'G-3 Multipliers'!$L$3:$N$6,2,FALSE)))</f>
        <v/>
      </c>
      <c r="O114" s="452" t="str">
        <f>IF(M114="","",IF(VLOOKUP(M114,'G-3 Multipliers'!$L$3:$N$6,3,FALSE)=0,"Spatial Data Missing ⚠",VLOOKUP(M114,'G-3 Multipliers'!$L$3:$N$6,3,FALSE)))</f>
        <v/>
      </c>
      <c r="P114" s="369" t="str">
        <f>IFERROR(VLOOKUP(G114,'G-1 All Habitats'!$B$2:$M$134,12,FALSE),"")</f>
        <v/>
      </c>
      <c r="Q114" s="725" t="str">
        <f>IFERROR(IF(P114="","",IF(AND(P114='G-1 All Habitats'!$X$3,W114&gt;0),X114+(Y114*S114),IF(AND(P114='G-1 All Habitats'!$X$3,V114&gt;0),X114+(Y114*S114),IF(AND(P114='G-1 All Habitats'!$X$3,AG114&gt;0),"Any Loss Unacceptable  ⚠",IF(AND(P114='G-1 All Habitats'!$X$3,Z114&gt;0),"Any Loss Unacceptable ⚠",H114*J114*L114*O114*S114))))),"Check Data ⚠")</f>
        <v/>
      </c>
      <c r="R114" s="516"/>
      <c r="S114" s="724" t="str">
        <f>IF(R114="","",IF(VLOOKUP(R114,'G-3 Multipliers'!$S$3:$T$10,2,FALSE)=0,"Spatial Data Missing ⚠",VLOOKUP(R114,'G-3 Multipliers'!$S$3:$T$10,2,FALSE)))</f>
        <v/>
      </c>
      <c r="T114" s="376" t="str">
        <f>IFERROR(IF(P114="","",IF(AND(P114='G-1 All Habitats'!$X$3,W114&gt;0),X114+Y114,IF(AND(P114='G-1 All Habitats'!$X$3,V114&gt;0),X114+Y114,IF(AND(P114='G-1 All Habitats'!$X$3,AG114&gt;0),"Any Loss Unacceptable ⚠", IF(R114="","", IF(AND(P114='G-1 All Habitats'!$X$3,Z114&gt;0),"Any Loss Unacceptable ⚠",H114*J114*L114*O114)))))),"Check Data ⚠")</f>
        <v/>
      </c>
      <c r="U114" s="38"/>
      <c r="V114" s="54"/>
      <c r="W114" s="55"/>
      <c r="X114" s="374" t="str">
        <f t="shared" si="11"/>
        <v/>
      </c>
      <c r="Y114" s="374" t="str">
        <f t="shared" si="12"/>
        <v/>
      </c>
      <c r="Z114" s="374" t="str">
        <f>IF(E114="","",IF(H114&lt;V114+W114,"Error in Areas ▲",IF(P114&lt;&gt;'G-1 All Habitats'!$X$3,H114-V114-W114,IF(AND(P114='G-1 All Habitats'!$X$3,AB114="Yes"),"Unacceptable Loss ⚠",IF(AND(P114='G-1 All Habitats'!$X$3,AB114="No"),AG114,IF(AND(P114='G-1 All Habitats'!$X$3,AB114=""),AG114,IF(AND(P114='G-1 All Habitats'!$X$3,AG114="None",AG114),IF(AND(P114='G-1 All Habitats'!$X$3,AG114&gt;0),H114-V114-W114))))))))</f>
        <v/>
      </c>
      <c r="AA114" s="405" t="str">
        <f>IFERROR(IF(H114="","",IF(H114-V114-W114=0&lt;0,"Error in Areas ▲",IF(V114+W114&gt;H114,"Error in Areas ▲",IF(AND(P114='G-1 All Habitats'!$X$3,AB114="Yes"),"Alternative Compensation ✓",IF(Z114=0,0,IF(P114='G-1 All Habitats'!$X$3,"Any Loss Unacceptable ▲",T114-X114-Y114)))))),"Check Data ⚠")</f>
        <v/>
      </c>
      <c r="AB114" s="837"/>
      <c r="AC114" s="119"/>
      <c r="AD114" s="528"/>
      <c r="AE114" s="120"/>
      <c r="AF114" s="687"/>
      <c r="AG114" s="744" t="str">
        <f>IF(P114="","",IF(P114='G-1 All Habitats'!$X$3,H114-V114-W114,"None"))</f>
        <v/>
      </c>
      <c r="AH114" s="744" t="str">
        <f t="shared" si="13"/>
        <v/>
      </c>
      <c r="AJ114" s="124" t="str">
        <f t="shared" si="18"/>
        <v/>
      </c>
      <c r="AK114" s="124" t="str">
        <f t="shared" si="19"/>
        <v/>
      </c>
      <c r="AL114" s="124" t="str">
        <f>IF(I114="","",IF(#REF!&gt;0,TRUE,FALSE))</f>
        <v/>
      </c>
      <c r="AM114" s="124">
        <v>104</v>
      </c>
      <c r="AN114" s="124"/>
      <c r="AO114" s="124" t="str">
        <f t="array" ref="AO114">IFERROR(INDEX($AM$11:$AM$259, MATCH(0, IF(TRUE=$AJ$11:$AJ$259, COUNTIF($AO$10:$AO113, $AM$11:$AM$259), ""), 0)),"")</f>
        <v/>
      </c>
      <c r="AP114" s="124" t="str">
        <f t="array" ref="AP114">IFERROR(INDEX($AM$11:$AM$259, MATCH(0, IF(TRUE=$AK$11:$AK$259, COUNTIF($AP$10:$AP113, $AM$11:$AM$259), ""), 0)),"")</f>
        <v/>
      </c>
      <c r="AQ114" s="124" t="str">
        <f t="array" ref="AQ114">IFERROR(INDEX($AM$11:$AM$259, MATCH(0, IF(TRUE=$AL$11:$AL$259, COUNTIF($AQ$10:$AQ113, $AM$11:$AM$259), ""), 0)),"")</f>
        <v/>
      </c>
      <c r="AU114" s="30">
        <f t="shared" si="20"/>
        <v>0</v>
      </c>
      <c r="AY114" s="374" t="str">
        <f t="shared" si="16"/>
        <v/>
      </c>
    </row>
    <row r="115" spans="1:51">
      <c r="A115" s="30" t="str">
        <f>IFERROR(INDEX('G-1 All Habitats'!$AG$3:$AG$17,MATCH(E115,'G-1 All Habitats'!$AF$3:$AF$17,0)),"")</f>
        <v/>
      </c>
      <c r="B115" s="30" t="str">
        <f>IFERROR(INDEX('G-8 Condition Look up'!$I$4:$I$135,MATCH(G115,'G-8 Condition Look up'!$A$4:$A$135,0)),"")</f>
        <v/>
      </c>
      <c r="D115" s="110">
        <v>105</v>
      </c>
      <c r="E115" s="339"/>
      <c r="F115" s="340"/>
      <c r="G115" s="295" t="str">
        <f>IFERROR(INDEX('G-1 All Habitats'!$B$3:$B$134,MATCH(F115,'G-1 All Habitats'!$A$3:$A$134,0)),"")</f>
        <v/>
      </c>
      <c r="H115" s="139"/>
      <c r="I115" s="722" t="str">
        <f>IF(G115="","",VLOOKUP(G115,'G-1 All Habitats'!$B$2:$M$134,10,FALSE))</f>
        <v/>
      </c>
      <c r="J115" s="490" t="str">
        <f>IFERROR(VLOOKUP(I115,'G-1 All Habitats'!$V$3:$W$7,2,FALSE),"")</f>
        <v/>
      </c>
      <c r="K115" s="114"/>
      <c r="L115" s="490" t="str">
        <f>IFERROR(INDEX('G-8 Condition Look up'!$A$3:$H$135,MATCH(G115,'G-8 Condition Look up'!$A$3:$A$135,0),MATCH(K115,'G-8 Condition Look up'!$A$3:$H$3,0)),"")</f>
        <v/>
      </c>
      <c r="M115" s="738"/>
      <c r="N115" s="404" t="str">
        <f>IF(M115="","",IF(VLOOKUP(M115,'G-3 Multipliers'!$L$3:$N$6,2,FALSE)=0,"Spatial Data Missing ⚠",VLOOKUP(M115,'G-3 Multipliers'!$L$3:$N$6,2,FALSE)))</f>
        <v/>
      </c>
      <c r="O115" s="452" t="str">
        <f>IF(M115="","",IF(VLOOKUP(M115,'G-3 Multipliers'!$L$3:$N$6,3,FALSE)=0,"Spatial Data Missing ⚠",VLOOKUP(M115,'G-3 Multipliers'!$L$3:$N$6,3,FALSE)))</f>
        <v/>
      </c>
      <c r="P115" s="369" t="str">
        <f>IFERROR(VLOOKUP(G115,'G-1 All Habitats'!$B$2:$M$134,12,FALSE),"")</f>
        <v/>
      </c>
      <c r="Q115" s="725" t="str">
        <f>IFERROR(IF(P115="","",IF(AND(P115='G-1 All Habitats'!$X$3,W115&gt;0),X115+(Y115*S115),IF(AND(P115='G-1 All Habitats'!$X$3,V115&gt;0),X115+(Y115*S115),IF(AND(P115='G-1 All Habitats'!$X$3,AG115&gt;0),"Any Loss Unacceptable  ⚠",IF(AND(P115='G-1 All Habitats'!$X$3,Z115&gt;0),"Any Loss Unacceptable ⚠",H115*J115*L115*O115*S115))))),"Check Data ⚠")</f>
        <v/>
      </c>
      <c r="R115" s="516"/>
      <c r="S115" s="724" t="str">
        <f>IF(R115="","",IF(VLOOKUP(R115,'G-3 Multipliers'!$S$3:$T$10,2,FALSE)=0,"Spatial Data Missing ⚠",VLOOKUP(R115,'G-3 Multipliers'!$S$3:$T$10,2,FALSE)))</f>
        <v/>
      </c>
      <c r="T115" s="376" t="str">
        <f>IFERROR(IF(P115="","",IF(AND(P115='G-1 All Habitats'!$X$3,W115&gt;0),X115+Y115,IF(AND(P115='G-1 All Habitats'!$X$3,V115&gt;0),X115+Y115,IF(AND(P115='G-1 All Habitats'!$X$3,AG115&gt;0),"Any Loss Unacceptable ⚠", IF(R115="","", IF(AND(P115='G-1 All Habitats'!$X$3,Z115&gt;0),"Any Loss Unacceptable ⚠",H115*J115*L115*O115)))))),"Check Data ⚠")</f>
        <v/>
      </c>
      <c r="U115" s="38"/>
      <c r="V115" s="54"/>
      <c r="W115" s="55"/>
      <c r="X115" s="374" t="str">
        <f t="shared" si="11"/>
        <v/>
      </c>
      <c r="Y115" s="374" t="str">
        <f t="shared" si="12"/>
        <v/>
      </c>
      <c r="Z115" s="374" t="str">
        <f>IF(E115="","",IF(H115&lt;V115+W115,"Error in Areas ▲",IF(P115&lt;&gt;'G-1 All Habitats'!$X$3,H115-V115-W115,IF(AND(P115='G-1 All Habitats'!$X$3,AB115="Yes"),"Unacceptable Loss ⚠",IF(AND(P115='G-1 All Habitats'!$X$3,AB115="No"),AG115,IF(AND(P115='G-1 All Habitats'!$X$3,AB115=""),AG115,IF(AND(P115='G-1 All Habitats'!$X$3,AG115="None",AG115),IF(AND(P115='G-1 All Habitats'!$X$3,AG115&gt;0),H115-V115-W115))))))))</f>
        <v/>
      </c>
      <c r="AA115" s="405" t="str">
        <f>IFERROR(IF(H115="","",IF(H115-V115-W115=0&lt;0,"Error in Areas ▲",IF(V115+W115&gt;H115,"Error in Areas ▲",IF(AND(P115='G-1 All Habitats'!$X$3,AB115="Yes"),"Alternative Compensation ✓",IF(Z115=0,0,IF(P115='G-1 All Habitats'!$X$3,"Any Loss Unacceptable ▲",T115-X115-Y115)))))),"Check Data ⚠")</f>
        <v/>
      </c>
      <c r="AB115" s="837"/>
      <c r="AC115" s="119"/>
      <c r="AD115" s="528"/>
      <c r="AE115" s="120"/>
      <c r="AF115" s="687"/>
      <c r="AG115" s="744" t="str">
        <f>IF(P115="","",IF(P115='G-1 All Habitats'!$X$3,H115-V115-W115,"None"))</f>
        <v/>
      </c>
      <c r="AH115" s="744" t="str">
        <f t="shared" si="13"/>
        <v/>
      </c>
      <c r="AJ115" s="124" t="str">
        <f t="shared" si="18"/>
        <v/>
      </c>
      <c r="AK115" s="124" t="str">
        <f t="shared" si="19"/>
        <v/>
      </c>
      <c r="AL115" s="124" t="str">
        <f>IF(I115="","",IF(#REF!&gt;0,TRUE,FALSE))</f>
        <v/>
      </c>
      <c r="AM115" s="124">
        <v>105</v>
      </c>
      <c r="AN115" s="124"/>
      <c r="AO115" s="124" t="str">
        <f t="array" ref="AO115">IFERROR(INDEX($AM$11:$AM$259, MATCH(0, IF(TRUE=$AJ$11:$AJ$259, COUNTIF($AO$10:$AO114, $AM$11:$AM$259), ""), 0)),"")</f>
        <v/>
      </c>
      <c r="AP115" s="124" t="str">
        <f t="array" ref="AP115">IFERROR(INDEX($AM$11:$AM$259, MATCH(0, IF(TRUE=$AK$11:$AK$259, COUNTIF($AP$10:$AP114, $AM$11:$AM$259), ""), 0)),"")</f>
        <v/>
      </c>
      <c r="AQ115" s="124" t="str">
        <f t="array" ref="AQ115">IFERROR(INDEX($AM$11:$AM$259, MATCH(0, IF(TRUE=$AL$11:$AL$259, COUNTIF($AQ$10:$AQ114, $AM$11:$AM$259), ""), 0)),"")</f>
        <v/>
      </c>
      <c r="AU115" s="30">
        <f t="shared" si="20"/>
        <v>0</v>
      </c>
      <c r="AY115" s="374" t="str">
        <f t="shared" si="16"/>
        <v/>
      </c>
    </row>
    <row r="116" spans="1:51">
      <c r="A116" s="30" t="str">
        <f>IFERROR(INDEX('G-1 All Habitats'!$AG$3:$AG$17,MATCH(E116,'G-1 All Habitats'!$AF$3:$AF$17,0)),"")</f>
        <v/>
      </c>
      <c r="B116" s="30" t="str">
        <f>IFERROR(INDEX('G-8 Condition Look up'!$I$4:$I$135,MATCH(G116,'G-8 Condition Look up'!$A$4:$A$135,0)),"")</f>
        <v/>
      </c>
      <c r="D116" s="110">
        <v>106</v>
      </c>
      <c r="E116" s="339"/>
      <c r="F116" s="340"/>
      <c r="G116" s="295" t="str">
        <f>IFERROR(INDEX('G-1 All Habitats'!$B$3:$B$134,MATCH(F116,'G-1 All Habitats'!$A$3:$A$134,0)),"")</f>
        <v/>
      </c>
      <c r="H116" s="139"/>
      <c r="I116" s="722" t="str">
        <f>IF(G116="","",VLOOKUP(G116,'G-1 All Habitats'!$B$2:$M$134,10,FALSE))</f>
        <v/>
      </c>
      <c r="J116" s="490" t="str">
        <f>IFERROR(VLOOKUP(I116,'G-1 All Habitats'!$V$3:$W$7,2,FALSE),"")</f>
        <v/>
      </c>
      <c r="K116" s="114"/>
      <c r="L116" s="490" t="str">
        <f>IFERROR(INDEX('G-8 Condition Look up'!$A$3:$H$135,MATCH(G116,'G-8 Condition Look up'!$A$3:$A$135,0),MATCH(K116,'G-8 Condition Look up'!$A$3:$H$3,0)),"")</f>
        <v/>
      </c>
      <c r="M116" s="738"/>
      <c r="N116" s="404" t="str">
        <f>IF(M116="","",IF(VLOOKUP(M116,'G-3 Multipliers'!$L$3:$N$6,2,FALSE)=0,"Spatial Data Missing ⚠",VLOOKUP(M116,'G-3 Multipliers'!$L$3:$N$6,2,FALSE)))</f>
        <v/>
      </c>
      <c r="O116" s="452" t="str">
        <f>IF(M116="","",IF(VLOOKUP(M116,'G-3 Multipliers'!$L$3:$N$6,3,FALSE)=0,"Spatial Data Missing ⚠",VLOOKUP(M116,'G-3 Multipliers'!$L$3:$N$6,3,FALSE)))</f>
        <v/>
      </c>
      <c r="P116" s="369" t="str">
        <f>IFERROR(VLOOKUP(G116,'G-1 All Habitats'!$B$2:$M$134,12,FALSE),"")</f>
        <v/>
      </c>
      <c r="Q116" s="725" t="str">
        <f>IFERROR(IF(P116="","",IF(AND(P116='G-1 All Habitats'!$X$3,W116&gt;0),X116+(Y116*S116),IF(AND(P116='G-1 All Habitats'!$X$3,V116&gt;0),X116+(Y116*S116),IF(AND(P116='G-1 All Habitats'!$X$3,AG116&gt;0),"Any Loss Unacceptable  ⚠",IF(AND(P116='G-1 All Habitats'!$X$3,Z116&gt;0),"Any Loss Unacceptable ⚠",H116*J116*L116*O116*S116))))),"Check Data ⚠")</f>
        <v/>
      </c>
      <c r="R116" s="516"/>
      <c r="S116" s="724" t="str">
        <f>IF(R116="","",IF(VLOOKUP(R116,'G-3 Multipliers'!$S$3:$T$10,2,FALSE)=0,"Spatial Data Missing ⚠",VLOOKUP(R116,'G-3 Multipliers'!$S$3:$T$10,2,FALSE)))</f>
        <v/>
      </c>
      <c r="T116" s="376" t="str">
        <f>IFERROR(IF(P116="","",IF(AND(P116='G-1 All Habitats'!$X$3,W116&gt;0),X116+Y116,IF(AND(P116='G-1 All Habitats'!$X$3,V116&gt;0),X116+Y116,IF(AND(P116='G-1 All Habitats'!$X$3,AG116&gt;0),"Any Loss Unacceptable ⚠", IF(R116="","", IF(AND(P116='G-1 All Habitats'!$X$3,Z116&gt;0),"Any Loss Unacceptable ⚠",H116*J116*L116*O116)))))),"Check Data ⚠")</f>
        <v/>
      </c>
      <c r="U116" s="38"/>
      <c r="V116" s="54"/>
      <c r="W116" s="55"/>
      <c r="X116" s="374" t="str">
        <f t="shared" si="11"/>
        <v/>
      </c>
      <c r="Y116" s="374" t="str">
        <f>IFERROR(W116*J116*L116*O116,"")</f>
        <v/>
      </c>
      <c r="Z116" s="374" t="str">
        <f>IF(E116="","",IF(H116&lt;V116+W116,"Error in Areas ▲",IF(P116&lt;&gt;'G-1 All Habitats'!$X$3,H116-V116-W116,IF(AND(P116='G-1 All Habitats'!$X$3,AB116="Yes"),"Unacceptable Loss ⚠",IF(AND(P116='G-1 All Habitats'!$X$3,AB116="No"),AG116,IF(AND(P116='G-1 All Habitats'!$X$3,AB116=""),AG116,IF(AND(P116='G-1 All Habitats'!$X$3,AG116="None",AG116),IF(AND(P116='G-1 All Habitats'!$X$3,AG116&gt;0),H116-V116-W116))))))))</f>
        <v/>
      </c>
      <c r="AA116" s="405" t="str">
        <f>IFERROR(IF(H116="","",IF(H116-V116-W116=0&lt;0,"Error in Areas ▲",IF(V116+W116&gt;H116,"Error in Areas ▲",IF(AND(P116='G-1 All Habitats'!$X$3,AB116="Yes"),"Alternative Compensation ✓",IF(Z116=0,0,IF(P116='G-1 All Habitats'!$X$3,"Any Loss Unacceptable ▲",T116-X116-Y116)))))),"Check Data ⚠")</f>
        <v/>
      </c>
      <c r="AB116" s="837"/>
      <c r="AC116" s="119"/>
      <c r="AD116" s="528"/>
      <c r="AE116" s="120"/>
      <c r="AF116" s="687"/>
      <c r="AG116" s="744" t="str">
        <f>IF(P116="","",IF(P116='G-1 All Habitats'!$X$3,H116-V116-W116,"None"))</f>
        <v/>
      </c>
      <c r="AH116" s="744" t="str">
        <f t="shared" si="13"/>
        <v/>
      </c>
      <c r="AJ116" s="124" t="str">
        <f t="shared" si="18"/>
        <v/>
      </c>
      <c r="AK116" s="124" t="str">
        <f t="shared" si="19"/>
        <v/>
      </c>
      <c r="AL116" s="124" t="str">
        <f>IF(I116="","",IF(#REF!&gt;0,TRUE,FALSE))</f>
        <v/>
      </c>
      <c r="AM116" s="124">
        <v>106</v>
      </c>
      <c r="AN116" s="124"/>
      <c r="AO116" s="124" t="str">
        <f t="array" ref="AO116">IFERROR(INDEX($AM$11:$AM$259, MATCH(0, IF(TRUE=$AJ$11:$AJ$259, COUNTIF($AO$10:$AO115, $AM$11:$AM$259), ""), 0)),"")</f>
        <v/>
      </c>
      <c r="AP116" s="124" t="str">
        <f t="array" ref="AP116">IFERROR(INDEX($AM$11:$AM$259, MATCH(0, IF(TRUE=$AK$11:$AK$259, COUNTIF($AP$10:$AP115, $AM$11:$AM$259), ""), 0)),"")</f>
        <v/>
      </c>
      <c r="AQ116" s="124" t="str">
        <f t="array" ref="AQ116">IFERROR(INDEX($AM$11:$AM$259, MATCH(0, IF(TRUE=$AL$11:$AL$259, COUNTIF($AQ$10:$AQ115, $AM$11:$AM$259), ""), 0)),"")</f>
        <v/>
      </c>
      <c r="AU116" s="30">
        <f t="shared" si="20"/>
        <v>0</v>
      </c>
      <c r="AY116" s="374" t="str">
        <f t="shared" si="16"/>
        <v/>
      </c>
    </row>
    <row r="117" spans="1:51">
      <c r="A117" s="30" t="str">
        <f>IFERROR(INDEX('G-1 All Habitats'!$AG$3:$AG$17,MATCH(E117,'G-1 All Habitats'!$AF$3:$AF$17,0)),"")</f>
        <v/>
      </c>
      <c r="B117" s="30" t="str">
        <f>IFERROR(INDEX('G-8 Condition Look up'!$I$4:$I$135,MATCH(G117,'G-8 Condition Look up'!$A$4:$A$135,0)),"")</f>
        <v/>
      </c>
      <c r="D117" s="110">
        <v>107</v>
      </c>
      <c r="E117" s="339"/>
      <c r="F117" s="340"/>
      <c r="G117" s="295" t="str">
        <f>IFERROR(INDEX('G-1 All Habitats'!$B$3:$B$134,MATCH(F117,'G-1 All Habitats'!$A$3:$A$134,0)),"")</f>
        <v/>
      </c>
      <c r="H117" s="139"/>
      <c r="I117" s="722" t="str">
        <f>IF(G117="","",VLOOKUP(G117,'G-1 All Habitats'!$B$2:$M$134,10,FALSE))</f>
        <v/>
      </c>
      <c r="J117" s="490" t="str">
        <f>IFERROR(VLOOKUP(I117,'G-1 All Habitats'!$V$3:$W$7,2,FALSE),"")</f>
        <v/>
      </c>
      <c r="K117" s="114"/>
      <c r="L117" s="490" t="str">
        <f>IFERROR(INDEX('G-8 Condition Look up'!$A$3:$H$135,MATCH(G117,'G-8 Condition Look up'!$A$3:$A$135,0),MATCH(K117,'G-8 Condition Look up'!$A$3:$H$3,0)),"")</f>
        <v/>
      </c>
      <c r="M117" s="738"/>
      <c r="N117" s="404" t="str">
        <f>IF(M117="","",IF(VLOOKUP(M117,'G-3 Multipliers'!$L$3:$N$6,2,FALSE)=0,"Spatial Data Missing ⚠",VLOOKUP(M117,'G-3 Multipliers'!$L$3:$N$6,2,FALSE)))</f>
        <v/>
      </c>
      <c r="O117" s="452" t="str">
        <f>IF(M117="","",IF(VLOOKUP(M117,'G-3 Multipliers'!$L$3:$N$6,3,FALSE)=0,"Spatial Data Missing ⚠",VLOOKUP(M117,'G-3 Multipliers'!$L$3:$N$6,3,FALSE)))</f>
        <v/>
      </c>
      <c r="P117" s="369" t="str">
        <f>IFERROR(VLOOKUP(G117,'G-1 All Habitats'!$B$2:$M$134,12,FALSE),"")</f>
        <v/>
      </c>
      <c r="Q117" s="725" t="str">
        <f>IFERROR(IF(P117="","",IF(AND(P117='G-1 All Habitats'!$X$3,W117&gt;0),X117+(Y117*S117),IF(AND(P117='G-1 All Habitats'!$X$3,V117&gt;0),X117+(Y117*S117),IF(AND(P117='G-1 All Habitats'!$X$3,AG117&gt;0),"Any Loss Unacceptable  ⚠",IF(AND(P117='G-1 All Habitats'!$X$3,Z117&gt;0),"Any Loss Unacceptable ⚠",H117*J117*L117*O117*S117))))),"Check Data ⚠")</f>
        <v/>
      </c>
      <c r="R117" s="516"/>
      <c r="S117" s="724" t="str">
        <f>IF(R117="","",IF(VLOOKUP(R117,'G-3 Multipliers'!$S$3:$T$10,2,FALSE)=0,"Spatial Data Missing ⚠",VLOOKUP(R117,'G-3 Multipliers'!$S$3:$T$10,2,FALSE)))</f>
        <v/>
      </c>
      <c r="T117" s="376" t="str">
        <f>IFERROR(IF(P117="","",IF(AND(P117='G-1 All Habitats'!$X$3,W117&gt;0),X117+Y117,IF(AND(P117='G-1 All Habitats'!$X$3,V117&gt;0),X117+Y117,IF(AND(P117='G-1 All Habitats'!$X$3,AG117&gt;0),"Any Loss Unacceptable ⚠", IF(R117="","", IF(AND(P117='G-1 All Habitats'!$X$3,Z117&gt;0),"Any Loss Unacceptable ⚠",H117*J117*L117*O117)))))),"Check Data ⚠")</f>
        <v/>
      </c>
      <c r="U117" s="38"/>
      <c r="V117" s="54"/>
      <c r="W117" s="55"/>
      <c r="X117" s="374" t="str">
        <f t="shared" si="11"/>
        <v/>
      </c>
      <c r="Y117" s="374" t="str">
        <f t="shared" si="12"/>
        <v/>
      </c>
      <c r="Z117" s="374" t="str">
        <f>IF(E117="","",IF(H117&lt;V117+W117,"Error in Areas ▲",IF(P117&lt;&gt;'G-1 All Habitats'!$X$3,H117-V117-W117,IF(AND(P117='G-1 All Habitats'!$X$3,AB117="Yes"),"Unacceptable Loss ⚠",IF(AND(P117='G-1 All Habitats'!$X$3,AB117="No"),AG117,IF(AND(P117='G-1 All Habitats'!$X$3,AB117=""),AG117,IF(AND(P117='G-1 All Habitats'!$X$3,AG117="None",AG117),IF(AND(P117='G-1 All Habitats'!$X$3,AG117&gt;0),H117-V117-W117))))))))</f>
        <v/>
      </c>
      <c r="AA117" s="405" t="str">
        <f>IFERROR(IF(H117="","",IF(H117-V117-W117=0&lt;0,"Error in Areas ▲",IF(V117+W117&gt;H117,"Error in Areas ▲",IF(AND(P117='G-1 All Habitats'!$X$3,AB117="Yes"),"Alternative Compensation ✓",IF(Z117=0,0,IF(P117='G-1 All Habitats'!$X$3,"Any Loss Unacceptable ▲",T117-X117-Y117)))))),"Check Data ⚠")</f>
        <v/>
      </c>
      <c r="AB117" s="837"/>
      <c r="AC117" s="119"/>
      <c r="AD117" s="528"/>
      <c r="AE117" s="120"/>
      <c r="AF117" s="687"/>
      <c r="AG117" s="744" t="str">
        <f>IF(P117="","",IF(P117='G-1 All Habitats'!$X$3,H117-V117-W117,"None"))</f>
        <v/>
      </c>
      <c r="AH117" s="744" t="str">
        <f t="shared" si="13"/>
        <v/>
      </c>
      <c r="AJ117" s="124" t="str">
        <f t="shared" si="18"/>
        <v/>
      </c>
      <c r="AK117" s="124" t="str">
        <f t="shared" si="19"/>
        <v/>
      </c>
      <c r="AL117" s="124" t="str">
        <f>IF(I117="","",IF(#REF!&gt;0,TRUE,FALSE))</f>
        <v/>
      </c>
      <c r="AM117" s="124">
        <v>107</v>
      </c>
      <c r="AN117" s="124"/>
      <c r="AO117" s="124" t="str">
        <f t="array" ref="AO117">IFERROR(INDEX($AM$11:$AM$259, MATCH(0, IF(TRUE=$AJ$11:$AJ$259, COUNTIF($AO$10:$AO116, $AM$11:$AM$259), ""), 0)),"")</f>
        <v/>
      </c>
      <c r="AP117" s="124" t="str">
        <f t="array" ref="AP117">IFERROR(INDEX($AM$11:$AM$259, MATCH(0, IF(TRUE=$AK$11:$AK$259, COUNTIF($AP$10:$AP116, $AM$11:$AM$259), ""), 0)),"")</f>
        <v/>
      </c>
      <c r="AQ117" s="124" t="str">
        <f t="array" ref="AQ117">IFERROR(INDEX($AM$11:$AM$259, MATCH(0, IF(TRUE=$AL$11:$AL$259, COUNTIF($AQ$10:$AQ116, $AM$11:$AM$259), ""), 0)),"")</f>
        <v/>
      </c>
      <c r="AU117" s="30">
        <f t="shared" si="20"/>
        <v>0</v>
      </c>
      <c r="AY117" s="374" t="str">
        <f t="shared" si="16"/>
        <v/>
      </c>
    </row>
    <row r="118" spans="1:51">
      <c r="A118" s="30" t="str">
        <f>IFERROR(INDEX('G-1 All Habitats'!$AG$3:$AG$17,MATCH(E118,'G-1 All Habitats'!$AF$3:$AF$17,0)),"")</f>
        <v/>
      </c>
      <c r="B118" s="30" t="str">
        <f>IFERROR(INDEX('G-8 Condition Look up'!$I$4:$I$135,MATCH(G118,'G-8 Condition Look up'!$A$4:$A$135,0)),"")</f>
        <v/>
      </c>
      <c r="D118" s="110">
        <v>108</v>
      </c>
      <c r="E118" s="339"/>
      <c r="F118" s="340"/>
      <c r="G118" s="295" t="str">
        <f>IFERROR(INDEX('G-1 All Habitats'!$B$3:$B$134,MATCH(F118,'G-1 All Habitats'!$A$3:$A$134,0)),"")</f>
        <v/>
      </c>
      <c r="H118" s="139"/>
      <c r="I118" s="722" t="str">
        <f>IF(G118="","",VLOOKUP(G118,'G-1 All Habitats'!$B$2:$M$134,10,FALSE))</f>
        <v/>
      </c>
      <c r="J118" s="490" t="str">
        <f>IFERROR(VLOOKUP(I118,'G-1 All Habitats'!$V$3:$W$7,2,FALSE),"")</f>
        <v/>
      </c>
      <c r="K118" s="114"/>
      <c r="L118" s="490" t="str">
        <f>IFERROR(INDEX('G-8 Condition Look up'!$A$3:$H$135,MATCH(G118,'G-8 Condition Look up'!$A$3:$A$135,0),MATCH(K118,'G-8 Condition Look up'!$A$3:$H$3,0)),"")</f>
        <v/>
      </c>
      <c r="M118" s="738"/>
      <c r="N118" s="404" t="str">
        <f>IF(M118="","",IF(VLOOKUP(M118,'G-3 Multipliers'!$L$3:$N$6,2,FALSE)=0,"Spatial Data Missing ⚠",VLOOKUP(M118,'G-3 Multipliers'!$L$3:$N$6,2,FALSE)))</f>
        <v/>
      </c>
      <c r="O118" s="452" t="str">
        <f>IF(M118="","",IF(VLOOKUP(M118,'G-3 Multipliers'!$L$3:$N$6,3,FALSE)=0,"Spatial Data Missing ⚠",VLOOKUP(M118,'G-3 Multipliers'!$L$3:$N$6,3,FALSE)))</f>
        <v/>
      </c>
      <c r="P118" s="369" t="str">
        <f>IFERROR(VLOOKUP(G118,'G-1 All Habitats'!$B$2:$M$134,12,FALSE),"")</f>
        <v/>
      </c>
      <c r="Q118" s="725" t="str">
        <f>IFERROR(IF(P118="","",IF(AND(P118='G-1 All Habitats'!$X$3,W118&gt;0),X118+(Y118*S118),IF(AND(P118='G-1 All Habitats'!$X$3,V118&gt;0),X118+(Y118*S118),IF(AND(P118='G-1 All Habitats'!$X$3,AG118&gt;0),"Any Loss Unacceptable  ⚠",IF(AND(P118='G-1 All Habitats'!$X$3,Z118&gt;0),"Any Loss Unacceptable ⚠",H118*J118*L118*O118*S118))))),"Check Data ⚠")</f>
        <v/>
      </c>
      <c r="R118" s="516"/>
      <c r="S118" s="724" t="str">
        <f>IF(R118="","",IF(VLOOKUP(R118,'G-3 Multipliers'!$S$3:$T$10,2,FALSE)=0,"Spatial Data Missing ⚠",VLOOKUP(R118,'G-3 Multipliers'!$S$3:$T$10,2,FALSE)))</f>
        <v/>
      </c>
      <c r="T118" s="376" t="str">
        <f>IFERROR(IF(P118="","",IF(AND(P118='G-1 All Habitats'!$X$3,W118&gt;0),X118+Y118,IF(AND(P118='G-1 All Habitats'!$X$3,V118&gt;0),X118+Y118,IF(AND(P118='G-1 All Habitats'!$X$3,AG118&gt;0),"Any Loss Unacceptable ⚠", IF(R118="","", IF(AND(P118='G-1 All Habitats'!$X$3,Z118&gt;0),"Any Loss Unacceptable ⚠",H118*J118*L118*O118)))))),"Check Data ⚠")</f>
        <v/>
      </c>
      <c r="U118" s="38"/>
      <c r="V118" s="54"/>
      <c r="W118" s="55"/>
      <c r="X118" s="374" t="str">
        <f t="shared" si="11"/>
        <v/>
      </c>
      <c r="Y118" s="374" t="str">
        <f t="shared" si="12"/>
        <v/>
      </c>
      <c r="Z118" s="374" t="str">
        <f>IF(E118="","",IF(H118&lt;V118+W118,"Error in Areas ▲",IF(P118&lt;&gt;'G-1 All Habitats'!$X$3,H118-V118-W118,IF(AND(P118='G-1 All Habitats'!$X$3,AB118="Yes"),"Unacceptable Loss ⚠",IF(AND(P118='G-1 All Habitats'!$X$3,AB118="No"),AG118,IF(AND(P118='G-1 All Habitats'!$X$3,AB118=""),AG118,IF(AND(P118='G-1 All Habitats'!$X$3,AG118="None",AG118),IF(AND(P118='G-1 All Habitats'!$X$3,AG118&gt;0),H118-V118-W118))))))))</f>
        <v/>
      </c>
      <c r="AA118" s="405" t="str">
        <f>IFERROR(IF(H118="","",IF(H118-V118-W118=0&lt;0,"Error in Areas ▲",IF(V118+W118&gt;H118,"Error in Areas ▲",IF(AND(P118='G-1 All Habitats'!$X$3,AB118="Yes"),"Alternative Compensation ✓",IF(Z118=0,0,IF(P118='G-1 All Habitats'!$X$3,"Any Loss Unacceptable ▲",T118-X118-Y118)))))),"Check Data ⚠")</f>
        <v/>
      </c>
      <c r="AB118" s="837"/>
      <c r="AC118" s="119"/>
      <c r="AD118" s="528"/>
      <c r="AE118" s="120"/>
      <c r="AF118" s="687"/>
      <c r="AG118" s="744" t="str">
        <f>IF(P118="","",IF(P118='G-1 All Habitats'!$X$3,H118-V118-W118,"None"))</f>
        <v/>
      </c>
      <c r="AH118" s="744" t="str">
        <f t="shared" si="13"/>
        <v/>
      </c>
      <c r="AJ118" s="124" t="str">
        <f t="shared" si="18"/>
        <v/>
      </c>
      <c r="AK118" s="124" t="str">
        <f t="shared" si="19"/>
        <v/>
      </c>
      <c r="AL118" s="124" t="str">
        <f>IF(I118="","",IF(#REF!&gt;0,TRUE,FALSE))</f>
        <v/>
      </c>
      <c r="AM118" s="124">
        <v>108</v>
      </c>
      <c r="AN118" s="124"/>
      <c r="AO118" s="124" t="str">
        <f t="array" ref="AO118">IFERROR(INDEX($AM$11:$AM$259, MATCH(0, IF(TRUE=$AJ$11:$AJ$259, COUNTIF($AO$10:$AO117, $AM$11:$AM$259), ""), 0)),"")</f>
        <v/>
      </c>
      <c r="AP118" s="124" t="str">
        <f t="array" ref="AP118">IFERROR(INDEX($AM$11:$AM$259, MATCH(0, IF(TRUE=$AK$11:$AK$259, COUNTIF($AP$10:$AP117, $AM$11:$AM$259), ""), 0)),"")</f>
        <v/>
      </c>
      <c r="AQ118" s="124" t="str">
        <f t="array" ref="AQ118">IFERROR(INDEX($AM$11:$AM$259, MATCH(0, IF(TRUE=$AL$11:$AL$259, COUNTIF($AQ$10:$AQ117, $AM$11:$AM$259), ""), 0)),"")</f>
        <v/>
      </c>
      <c r="AU118" s="30">
        <f t="shared" si="20"/>
        <v>0</v>
      </c>
      <c r="AY118" s="374" t="str">
        <f t="shared" si="16"/>
        <v/>
      </c>
    </row>
    <row r="119" spans="1:51">
      <c r="A119" s="30" t="str">
        <f>IFERROR(INDEX('G-1 All Habitats'!$AG$3:$AG$17,MATCH(E119,'G-1 All Habitats'!$AF$3:$AF$17,0)),"")</f>
        <v/>
      </c>
      <c r="B119" s="30" t="str">
        <f>IFERROR(INDEX('G-8 Condition Look up'!$I$4:$I$135,MATCH(G119,'G-8 Condition Look up'!$A$4:$A$135,0)),"")</f>
        <v/>
      </c>
      <c r="D119" s="110">
        <v>109</v>
      </c>
      <c r="E119" s="339"/>
      <c r="F119" s="340"/>
      <c r="G119" s="295" t="str">
        <f>IFERROR(INDEX('G-1 All Habitats'!$B$3:$B$134,MATCH(F119,'G-1 All Habitats'!$A$3:$A$134,0)),"")</f>
        <v/>
      </c>
      <c r="H119" s="139"/>
      <c r="I119" s="722" t="str">
        <f>IF(G119="","",VLOOKUP(G119,'G-1 All Habitats'!$B$2:$M$134,10,FALSE))</f>
        <v/>
      </c>
      <c r="J119" s="490" t="str">
        <f>IFERROR(VLOOKUP(I119,'G-1 All Habitats'!$V$3:$W$7,2,FALSE),"")</f>
        <v/>
      </c>
      <c r="K119" s="114"/>
      <c r="L119" s="490" t="str">
        <f>IFERROR(INDEX('G-8 Condition Look up'!$A$3:$H$135,MATCH(G119,'G-8 Condition Look up'!$A$3:$A$135,0),MATCH(K119,'G-8 Condition Look up'!$A$3:$H$3,0)),"")</f>
        <v/>
      </c>
      <c r="M119" s="738"/>
      <c r="N119" s="404" t="str">
        <f>IF(M119="","",IF(VLOOKUP(M119,'G-3 Multipliers'!$L$3:$N$6,2,FALSE)=0,"Spatial Data Missing ⚠",VLOOKUP(M119,'G-3 Multipliers'!$L$3:$N$6,2,FALSE)))</f>
        <v/>
      </c>
      <c r="O119" s="452" t="str">
        <f>IF(M119="","",IF(VLOOKUP(M119,'G-3 Multipliers'!$L$3:$N$6,3,FALSE)=0,"Spatial Data Missing ⚠",VLOOKUP(M119,'G-3 Multipliers'!$L$3:$N$6,3,FALSE)))</f>
        <v/>
      </c>
      <c r="P119" s="369" t="str">
        <f>IFERROR(VLOOKUP(G119,'G-1 All Habitats'!$B$2:$M$134,12,FALSE),"")</f>
        <v/>
      </c>
      <c r="Q119" s="725" t="str">
        <f>IFERROR(IF(P119="","",IF(AND(P119='G-1 All Habitats'!$X$3,W119&gt;0),X119+(Y119*S119),IF(AND(P119='G-1 All Habitats'!$X$3,V119&gt;0),X119+(Y119*S119),IF(AND(P119='G-1 All Habitats'!$X$3,AG119&gt;0),"Any Loss Unacceptable  ⚠",IF(AND(P119='G-1 All Habitats'!$X$3,Z119&gt;0),"Any Loss Unacceptable ⚠",H119*J119*L119*O119*S119))))),"Check Data ⚠")</f>
        <v/>
      </c>
      <c r="R119" s="516"/>
      <c r="S119" s="724" t="str">
        <f>IF(R119="","",IF(VLOOKUP(R119,'G-3 Multipliers'!$S$3:$T$10,2,FALSE)=0,"Spatial Data Missing ⚠",VLOOKUP(R119,'G-3 Multipliers'!$S$3:$T$10,2,FALSE)))</f>
        <v/>
      </c>
      <c r="T119" s="376" t="str">
        <f>IFERROR(IF(P119="","",IF(AND(P119='G-1 All Habitats'!$X$3,W119&gt;0),X119+Y119,IF(AND(P119='G-1 All Habitats'!$X$3,V119&gt;0),X119+Y119,IF(AND(P119='G-1 All Habitats'!$X$3,AG119&gt;0),"Any Loss Unacceptable ⚠", IF(R119="","", IF(AND(P119='G-1 All Habitats'!$X$3,Z119&gt;0),"Any Loss Unacceptable ⚠",H119*J119*L119*O119)))))),"Check Data ⚠")</f>
        <v/>
      </c>
      <c r="U119" s="38"/>
      <c r="V119" s="54"/>
      <c r="W119" s="55"/>
      <c r="X119" s="374" t="str">
        <f t="shared" si="11"/>
        <v/>
      </c>
      <c r="Y119" s="374" t="str">
        <f t="shared" si="12"/>
        <v/>
      </c>
      <c r="Z119" s="374" t="str">
        <f>IF(E119="","",IF(H119&lt;V119+W119,"Error in Areas ▲",IF(P119&lt;&gt;'G-1 All Habitats'!$X$3,H119-V119-W119,IF(AND(P119='G-1 All Habitats'!$X$3,AB119="Yes"),"Unacceptable Loss ⚠",IF(AND(P119='G-1 All Habitats'!$X$3,AB119="No"),AG119,IF(AND(P119='G-1 All Habitats'!$X$3,AB119=""),AG119,IF(AND(P119='G-1 All Habitats'!$X$3,AG119="None",AG119),IF(AND(P119='G-1 All Habitats'!$X$3,AG119&gt;0),H119-V119-W119))))))))</f>
        <v/>
      </c>
      <c r="AA119" s="405" t="str">
        <f>IFERROR(IF(H119="","",IF(H119-V119-W119=0&lt;0,"Error in Areas ▲",IF(V119+W119&gt;H119,"Error in Areas ▲",IF(AND(P119='G-1 All Habitats'!$X$3,AB119="Yes"),"Alternative Compensation ✓",IF(Z119=0,0,IF(P119='G-1 All Habitats'!$X$3,"Any Loss Unacceptable ▲",T119-X119-Y119)))))),"Check Data ⚠")</f>
        <v/>
      </c>
      <c r="AB119" s="837"/>
      <c r="AC119" s="119"/>
      <c r="AD119" s="528"/>
      <c r="AE119" s="120"/>
      <c r="AF119" s="687"/>
      <c r="AG119" s="744" t="str">
        <f>IF(P119="","",IF(P119='G-1 All Habitats'!$X$3,H119-V119-W119,"None"))</f>
        <v/>
      </c>
      <c r="AH119" s="744" t="str">
        <f t="shared" si="13"/>
        <v/>
      </c>
      <c r="AJ119" s="124" t="str">
        <f t="shared" si="18"/>
        <v/>
      </c>
      <c r="AK119" s="124" t="str">
        <f t="shared" si="19"/>
        <v/>
      </c>
      <c r="AL119" s="124" t="str">
        <f>IF(I119="","",IF(#REF!&gt;0,TRUE,FALSE))</f>
        <v/>
      </c>
      <c r="AM119" s="124">
        <v>109</v>
      </c>
      <c r="AN119" s="124"/>
      <c r="AO119" s="124" t="str">
        <f t="array" ref="AO119">IFERROR(INDEX($AM$11:$AM$259, MATCH(0, IF(TRUE=$AJ$11:$AJ$259, COUNTIF($AO$10:$AO118, $AM$11:$AM$259), ""), 0)),"")</f>
        <v/>
      </c>
      <c r="AP119" s="124" t="str">
        <f t="array" ref="AP119">IFERROR(INDEX($AM$11:$AM$259, MATCH(0, IF(TRUE=$AK$11:$AK$259, COUNTIF($AP$10:$AP118, $AM$11:$AM$259), ""), 0)),"")</f>
        <v/>
      </c>
      <c r="AQ119" s="124" t="str">
        <f t="array" ref="AQ119">IFERROR(INDEX($AM$11:$AM$259, MATCH(0, IF(TRUE=$AL$11:$AL$259, COUNTIF($AQ$10:$AQ118, $AM$11:$AM$259), ""), 0)),"")</f>
        <v/>
      </c>
      <c r="AU119" s="30">
        <f t="shared" si="20"/>
        <v>0</v>
      </c>
      <c r="AY119" s="374" t="str">
        <f t="shared" si="16"/>
        <v/>
      </c>
    </row>
    <row r="120" spans="1:51">
      <c r="A120" s="30" t="str">
        <f>IFERROR(INDEX('G-1 All Habitats'!$AG$3:$AG$17,MATCH(E120,'G-1 All Habitats'!$AF$3:$AF$17,0)),"")</f>
        <v/>
      </c>
      <c r="B120" s="30" t="str">
        <f>IFERROR(INDEX('G-8 Condition Look up'!$I$4:$I$135,MATCH(G120,'G-8 Condition Look up'!$A$4:$A$135,0)),"")</f>
        <v/>
      </c>
      <c r="D120" s="110">
        <v>110</v>
      </c>
      <c r="E120" s="339"/>
      <c r="F120" s="340"/>
      <c r="G120" s="295" t="str">
        <f>IFERROR(INDEX('G-1 All Habitats'!$B$3:$B$134,MATCH(F120,'G-1 All Habitats'!$A$3:$A$134,0)),"")</f>
        <v/>
      </c>
      <c r="H120" s="139"/>
      <c r="I120" s="722" t="str">
        <f>IF(G120="","",VLOOKUP(G120,'G-1 All Habitats'!$B$2:$M$134,10,FALSE))</f>
        <v/>
      </c>
      <c r="J120" s="490" t="str">
        <f>IFERROR(VLOOKUP(I120,'G-1 All Habitats'!$V$3:$W$7,2,FALSE),"")</f>
        <v/>
      </c>
      <c r="K120" s="114"/>
      <c r="L120" s="490" t="str">
        <f>IFERROR(INDEX('G-8 Condition Look up'!$A$3:$H$135,MATCH(G120,'G-8 Condition Look up'!$A$3:$A$135,0),MATCH(K120,'G-8 Condition Look up'!$A$3:$H$3,0)),"")</f>
        <v/>
      </c>
      <c r="M120" s="738"/>
      <c r="N120" s="404" t="str">
        <f>IF(M120="","",IF(VLOOKUP(M120,'G-3 Multipliers'!$L$3:$N$6,2,FALSE)=0,"Spatial Data Missing ⚠",VLOOKUP(M120,'G-3 Multipliers'!$L$3:$N$6,2,FALSE)))</f>
        <v/>
      </c>
      <c r="O120" s="452" t="str">
        <f>IF(M120="","",IF(VLOOKUP(M120,'G-3 Multipliers'!$L$3:$N$6,3,FALSE)=0,"Spatial Data Missing ⚠",VLOOKUP(M120,'G-3 Multipliers'!$L$3:$N$6,3,FALSE)))</f>
        <v/>
      </c>
      <c r="P120" s="369" t="str">
        <f>IFERROR(VLOOKUP(G120,'G-1 All Habitats'!$B$2:$M$134,12,FALSE),"")</f>
        <v/>
      </c>
      <c r="Q120" s="725" t="str">
        <f>IFERROR(IF(P120="","",IF(AND(P120='G-1 All Habitats'!$X$3,W120&gt;0),X120+(Y120*S120),IF(AND(P120='G-1 All Habitats'!$X$3,V120&gt;0),X120+(Y120*S120),IF(AND(P120='G-1 All Habitats'!$X$3,AG120&gt;0),"Any Loss Unacceptable  ⚠",IF(AND(P120='G-1 All Habitats'!$X$3,Z120&gt;0),"Any Loss Unacceptable ⚠",H120*J120*L120*O120*S120))))),"Check Data ⚠")</f>
        <v/>
      </c>
      <c r="R120" s="516"/>
      <c r="S120" s="724" t="str">
        <f>IF(R120="","",IF(VLOOKUP(R120,'G-3 Multipliers'!$S$3:$T$10,2,FALSE)=0,"Spatial Data Missing ⚠",VLOOKUP(R120,'G-3 Multipliers'!$S$3:$T$10,2,FALSE)))</f>
        <v/>
      </c>
      <c r="T120" s="376" t="str">
        <f>IFERROR(IF(P120="","",IF(AND(P120='G-1 All Habitats'!$X$3,W120&gt;0),X120+Y120,IF(AND(P120='G-1 All Habitats'!$X$3,V120&gt;0),X120+Y120,IF(AND(P120='G-1 All Habitats'!$X$3,AG120&gt;0),"Any Loss Unacceptable ⚠", IF(R120="","", IF(AND(P120='G-1 All Habitats'!$X$3,Z120&gt;0),"Any Loss Unacceptable ⚠",H120*J120*L120*O120)))))),"Check Data ⚠")</f>
        <v/>
      </c>
      <c r="U120" s="38"/>
      <c r="V120" s="54"/>
      <c r="W120" s="55"/>
      <c r="X120" s="374" t="str">
        <f t="shared" si="11"/>
        <v/>
      </c>
      <c r="Y120" s="374" t="str">
        <f t="shared" si="12"/>
        <v/>
      </c>
      <c r="Z120" s="374" t="str">
        <f>IF(E120="","",IF(H120&lt;V120+W120,"Error in Areas ▲",IF(P120&lt;&gt;'G-1 All Habitats'!$X$3,H120-V120-W120,IF(AND(P120='G-1 All Habitats'!$X$3,AB120="Yes"),"Unacceptable Loss ⚠",IF(AND(P120='G-1 All Habitats'!$X$3,AB120="No"),AG120,IF(AND(P120='G-1 All Habitats'!$X$3,AB120=""),AG120,IF(AND(P120='G-1 All Habitats'!$X$3,AG120="None",AG120),IF(AND(P120='G-1 All Habitats'!$X$3,AG120&gt;0),H120-V120-W120))))))))</f>
        <v/>
      </c>
      <c r="AA120" s="405" t="str">
        <f>IFERROR(IF(H120="","",IF(H120-V120-W120=0&lt;0,"Error in Areas ▲",IF(V120+W120&gt;H120,"Error in Areas ▲",IF(AND(P120='G-1 All Habitats'!$X$3,AB120="Yes"),"Alternative Compensation ✓",IF(Z120=0,0,IF(P120='G-1 All Habitats'!$X$3,"Any Loss Unacceptable ▲",T120-X120-Y120)))))),"Check Data ⚠")</f>
        <v/>
      </c>
      <c r="AB120" s="837"/>
      <c r="AC120" s="119"/>
      <c r="AD120" s="528"/>
      <c r="AE120" s="120"/>
      <c r="AF120" s="687"/>
      <c r="AG120" s="744" t="str">
        <f>IF(P120="","",IF(P120='G-1 All Habitats'!$X$3,H120-V120-W120,"None"))</f>
        <v/>
      </c>
      <c r="AH120" s="744" t="str">
        <f t="shared" si="13"/>
        <v/>
      </c>
      <c r="AJ120" s="124" t="str">
        <f t="shared" si="18"/>
        <v/>
      </c>
      <c r="AK120" s="124" t="str">
        <f t="shared" si="19"/>
        <v/>
      </c>
      <c r="AL120" s="124" t="str">
        <f>IF(I120="","",IF(#REF!&gt;0,TRUE,FALSE))</f>
        <v/>
      </c>
      <c r="AM120" s="124">
        <v>110</v>
      </c>
      <c r="AN120" s="124"/>
      <c r="AO120" s="124" t="str">
        <f t="array" ref="AO120">IFERROR(INDEX($AM$11:$AM$259, MATCH(0, IF(TRUE=$AJ$11:$AJ$259, COUNTIF($AO$10:$AO119, $AM$11:$AM$259), ""), 0)),"")</f>
        <v/>
      </c>
      <c r="AP120" s="124" t="str">
        <f t="array" ref="AP120">IFERROR(INDEX($AM$11:$AM$259, MATCH(0, IF(TRUE=$AK$11:$AK$259, COUNTIF($AP$10:$AP119, $AM$11:$AM$259), ""), 0)),"")</f>
        <v/>
      </c>
      <c r="AQ120" s="124" t="str">
        <f t="array" ref="AQ120">IFERROR(INDEX($AM$11:$AM$259, MATCH(0, IF(TRUE=$AL$11:$AL$259, COUNTIF($AQ$10:$AQ119, $AM$11:$AM$259), ""), 0)),"")</f>
        <v/>
      </c>
      <c r="AU120" s="30">
        <f t="shared" si="20"/>
        <v>0</v>
      </c>
      <c r="AY120" s="374" t="str">
        <f t="shared" si="16"/>
        <v/>
      </c>
    </row>
    <row r="121" spans="1:51">
      <c r="A121" s="30" t="str">
        <f>IFERROR(INDEX('G-1 All Habitats'!$AG$3:$AG$17,MATCH(E121,'G-1 All Habitats'!$AF$3:$AF$17,0)),"")</f>
        <v/>
      </c>
      <c r="B121" s="30" t="str">
        <f>IFERROR(INDEX('G-8 Condition Look up'!$I$4:$I$135,MATCH(G121,'G-8 Condition Look up'!$A$4:$A$135,0)),"")</f>
        <v/>
      </c>
      <c r="D121" s="110">
        <v>111</v>
      </c>
      <c r="E121" s="339"/>
      <c r="F121" s="340"/>
      <c r="G121" s="295" t="str">
        <f>IFERROR(INDEX('G-1 All Habitats'!$B$3:$B$134,MATCH(F121,'G-1 All Habitats'!$A$3:$A$134,0)),"")</f>
        <v/>
      </c>
      <c r="H121" s="139"/>
      <c r="I121" s="722" t="str">
        <f>IF(G121="","",VLOOKUP(G121,'G-1 All Habitats'!$B$2:$M$134,10,FALSE))</f>
        <v/>
      </c>
      <c r="J121" s="490" t="str">
        <f>IFERROR(VLOOKUP(I121,'G-1 All Habitats'!$V$3:$W$7,2,FALSE),"")</f>
        <v/>
      </c>
      <c r="K121" s="114"/>
      <c r="L121" s="490" t="str">
        <f>IFERROR(INDEX('G-8 Condition Look up'!$A$3:$H$135,MATCH(G121,'G-8 Condition Look up'!$A$3:$A$135,0),MATCH(K121,'G-8 Condition Look up'!$A$3:$H$3,0)),"")</f>
        <v/>
      </c>
      <c r="M121" s="738"/>
      <c r="N121" s="404" t="str">
        <f>IF(M121="","",IF(VLOOKUP(M121,'G-3 Multipliers'!$L$3:$N$6,2,FALSE)=0,"Spatial Data Missing ⚠",VLOOKUP(M121,'G-3 Multipliers'!$L$3:$N$6,2,FALSE)))</f>
        <v/>
      </c>
      <c r="O121" s="452" t="str">
        <f>IF(M121="","",IF(VLOOKUP(M121,'G-3 Multipliers'!$L$3:$N$6,3,FALSE)=0,"Spatial Data Missing ⚠",VLOOKUP(M121,'G-3 Multipliers'!$L$3:$N$6,3,FALSE)))</f>
        <v/>
      </c>
      <c r="P121" s="369" t="str">
        <f>IFERROR(VLOOKUP(G121,'G-1 All Habitats'!$B$2:$M$134,12,FALSE),"")</f>
        <v/>
      </c>
      <c r="Q121" s="725" t="str">
        <f>IFERROR(IF(P121="","",IF(AND(P121='G-1 All Habitats'!$X$3,W121&gt;0),X121+(Y121*S121),IF(AND(P121='G-1 All Habitats'!$X$3,V121&gt;0),X121+(Y121*S121),IF(AND(P121='G-1 All Habitats'!$X$3,AG121&gt;0),"Any Loss Unacceptable  ⚠",IF(AND(P121='G-1 All Habitats'!$X$3,Z121&gt;0),"Any Loss Unacceptable ⚠",H121*J121*L121*O121*S121))))),"Check Data ⚠")</f>
        <v/>
      </c>
      <c r="R121" s="516"/>
      <c r="S121" s="724" t="str">
        <f>IF(R121="","",IF(VLOOKUP(R121,'G-3 Multipliers'!$S$3:$T$10,2,FALSE)=0,"Spatial Data Missing ⚠",VLOOKUP(R121,'G-3 Multipliers'!$S$3:$T$10,2,FALSE)))</f>
        <v/>
      </c>
      <c r="T121" s="376" t="str">
        <f>IFERROR(IF(P121="","",IF(AND(P121='G-1 All Habitats'!$X$3,W121&gt;0),X121+Y121,IF(AND(P121='G-1 All Habitats'!$X$3,V121&gt;0),X121+Y121,IF(AND(P121='G-1 All Habitats'!$X$3,AG121&gt;0),"Any Loss Unacceptable ⚠", IF(R121="","", IF(AND(P121='G-1 All Habitats'!$X$3,Z121&gt;0),"Any Loss Unacceptable ⚠",H121*J121*L121*O121)))))),"Check Data ⚠")</f>
        <v/>
      </c>
      <c r="U121" s="38"/>
      <c r="V121" s="54"/>
      <c r="W121" s="55"/>
      <c r="X121" s="374" t="str">
        <f t="shared" si="11"/>
        <v/>
      </c>
      <c r="Y121" s="374" t="str">
        <f t="shared" si="12"/>
        <v/>
      </c>
      <c r="Z121" s="374" t="str">
        <f>IF(E121="","",IF(H121&lt;V121+W121,"Error in Areas ▲",IF(P121&lt;&gt;'G-1 All Habitats'!$X$3,H121-V121-W121,IF(AND(P121='G-1 All Habitats'!$X$3,AB121="Yes"),"Unacceptable Loss ⚠",IF(AND(P121='G-1 All Habitats'!$X$3,AB121="No"),AG121,IF(AND(P121='G-1 All Habitats'!$X$3,AB121=""),AG121,IF(AND(P121='G-1 All Habitats'!$X$3,AG121="None",AG121),IF(AND(P121='G-1 All Habitats'!$X$3,AG121&gt;0),H121-V121-W121))))))))</f>
        <v/>
      </c>
      <c r="AA121" s="405" t="str">
        <f>IFERROR(IF(H121="","",IF(H121-V121-W121=0&lt;0,"Error in Areas ▲",IF(V121+W121&gt;H121,"Error in Areas ▲",IF(AND(P121='G-1 All Habitats'!$X$3,AB121="Yes"),"Alternative Compensation ✓",IF(Z121=0,0,IF(P121='G-1 All Habitats'!$X$3,"Any Loss Unacceptable ▲",T121-X121-Y121)))))),"Check Data ⚠")</f>
        <v/>
      </c>
      <c r="AB121" s="837"/>
      <c r="AC121" s="119"/>
      <c r="AD121" s="528"/>
      <c r="AE121" s="120"/>
      <c r="AF121" s="687"/>
      <c r="AG121" s="744" t="str">
        <f>IF(P121="","",IF(P121='G-1 All Habitats'!$X$3,H121-V121-W121,"None"))</f>
        <v/>
      </c>
      <c r="AH121" s="744" t="str">
        <f t="shared" si="13"/>
        <v/>
      </c>
      <c r="AJ121" s="124" t="str">
        <f t="shared" si="18"/>
        <v/>
      </c>
      <c r="AK121" s="124" t="str">
        <f t="shared" si="19"/>
        <v/>
      </c>
      <c r="AL121" s="124" t="str">
        <f>IF(I121="","",IF(#REF!&gt;0,TRUE,FALSE))</f>
        <v/>
      </c>
      <c r="AM121" s="124">
        <v>111</v>
      </c>
      <c r="AN121" s="124"/>
      <c r="AO121" s="124" t="str">
        <f t="array" ref="AO121">IFERROR(INDEX($AM$11:$AM$259, MATCH(0, IF(TRUE=$AJ$11:$AJ$259, COUNTIF($AO$10:$AO120, $AM$11:$AM$259), ""), 0)),"")</f>
        <v/>
      </c>
      <c r="AP121" s="124" t="str">
        <f t="array" ref="AP121">IFERROR(INDEX($AM$11:$AM$259, MATCH(0, IF(TRUE=$AK$11:$AK$259, COUNTIF($AP$10:$AP120, $AM$11:$AM$259), ""), 0)),"")</f>
        <v/>
      </c>
      <c r="AQ121" s="124" t="str">
        <f t="array" ref="AQ121">IFERROR(INDEX($AM$11:$AM$259, MATCH(0, IF(TRUE=$AL$11:$AL$259, COUNTIF($AQ$10:$AQ120, $AM$11:$AM$259), ""), 0)),"")</f>
        <v/>
      </c>
      <c r="AU121" s="30">
        <f t="shared" si="20"/>
        <v>0</v>
      </c>
      <c r="AY121" s="374" t="str">
        <f t="shared" si="16"/>
        <v/>
      </c>
    </row>
    <row r="122" spans="1:51">
      <c r="A122" s="30" t="str">
        <f>IFERROR(INDEX('G-1 All Habitats'!$AG$3:$AG$17,MATCH(E122,'G-1 All Habitats'!$AF$3:$AF$17,0)),"")</f>
        <v/>
      </c>
      <c r="B122" s="30" t="str">
        <f>IFERROR(INDEX('G-8 Condition Look up'!$I$4:$I$135,MATCH(G122,'G-8 Condition Look up'!$A$4:$A$135,0)),"")</f>
        <v/>
      </c>
      <c r="D122" s="110">
        <v>112</v>
      </c>
      <c r="E122" s="339"/>
      <c r="F122" s="340"/>
      <c r="G122" s="295" t="str">
        <f>IFERROR(INDEX('G-1 All Habitats'!$B$3:$B$134,MATCH(F122,'G-1 All Habitats'!$A$3:$A$134,0)),"")</f>
        <v/>
      </c>
      <c r="H122" s="139"/>
      <c r="I122" s="722" t="str">
        <f>IF(G122="","",VLOOKUP(G122,'G-1 All Habitats'!$B$2:$M$134,10,FALSE))</f>
        <v/>
      </c>
      <c r="J122" s="490" t="str">
        <f>IFERROR(VLOOKUP(I122,'G-1 All Habitats'!$V$3:$W$7,2,FALSE),"")</f>
        <v/>
      </c>
      <c r="K122" s="114"/>
      <c r="L122" s="490" t="str">
        <f>IFERROR(INDEX('G-8 Condition Look up'!$A$3:$H$135,MATCH(G122,'G-8 Condition Look up'!$A$3:$A$135,0),MATCH(K122,'G-8 Condition Look up'!$A$3:$H$3,0)),"")</f>
        <v/>
      </c>
      <c r="M122" s="738"/>
      <c r="N122" s="404" t="str">
        <f>IF(M122="","",IF(VLOOKUP(M122,'G-3 Multipliers'!$L$3:$N$6,2,FALSE)=0,"Spatial Data Missing ⚠",VLOOKUP(M122,'G-3 Multipliers'!$L$3:$N$6,2,FALSE)))</f>
        <v/>
      </c>
      <c r="O122" s="452" t="str">
        <f>IF(M122="","",IF(VLOOKUP(M122,'G-3 Multipliers'!$L$3:$N$6,3,FALSE)=0,"Spatial Data Missing ⚠",VLOOKUP(M122,'G-3 Multipliers'!$L$3:$N$6,3,FALSE)))</f>
        <v/>
      </c>
      <c r="P122" s="369" t="str">
        <f>IFERROR(VLOOKUP(G122,'G-1 All Habitats'!$B$2:$M$134,12,FALSE),"")</f>
        <v/>
      </c>
      <c r="Q122" s="725" t="str">
        <f>IFERROR(IF(P122="","",IF(AND(P122='G-1 All Habitats'!$X$3,W122&gt;0),X122+(Y122*S122),IF(AND(P122='G-1 All Habitats'!$X$3,V122&gt;0),X122+(Y122*S122),IF(AND(P122='G-1 All Habitats'!$X$3,AG122&gt;0),"Any Loss Unacceptable  ⚠",IF(AND(P122='G-1 All Habitats'!$X$3,Z122&gt;0),"Any Loss Unacceptable ⚠",H122*J122*L122*O122*S122))))),"Check Data ⚠")</f>
        <v/>
      </c>
      <c r="R122" s="516"/>
      <c r="S122" s="724" t="str">
        <f>IF(R122="","",IF(VLOOKUP(R122,'G-3 Multipliers'!$S$3:$T$10,2,FALSE)=0,"Spatial Data Missing ⚠",VLOOKUP(R122,'G-3 Multipliers'!$S$3:$T$10,2,FALSE)))</f>
        <v/>
      </c>
      <c r="T122" s="376" t="str">
        <f>IFERROR(IF(P122="","",IF(AND(P122='G-1 All Habitats'!$X$3,W122&gt;0),X122+Y122,IF(AND(P122='G-1 All Habitats'!$X$3,V122&gt;0),X122+Y122,IF(AND(P122='G-1 All Habitats'!$X$3,AG122&gt;0),"Any Loss Unacceptable ⚠", IF(R122="","", IF(AND(P122='G-1 All Habitats'!$X$3,Z122&gt;0),"Any Loss Unacceptable ⚠",H122*J122*L122*O122)))))),"Check Data ⚠")</f>
        <v/>
      </c>
      <c r="U122" s="38"/>
      <c r="V122" s="54"/>
      <c r="W122" s="55"/>
      <c r="X122" s="374" t="str">
        <f t="shared" si="11"/>
        <v/>
      </c>
      <c r="Y122" s="374" t="str">
        <f t="shared" si="12"/>
        <v/>
      </c>
      <c r="Z122" s="374" t="str">
        <f>IF(E122="","",IF(H122&lt;V122+W122,"Error in Areas ▲",IF(P122&lt;&gt;'G-1 All Habitats'!$X$3,H122-V122-W122,IF(AND(P122='G-1 All Habitats'!$X$3,AB122="Yes"),"Unacceptable Loss ⚠",IF(AND(P122='G-1 All Habitats'!$X$3,AB122="No"),AG122,IF(AND(P122='G-1 All Habitats'!$X$3,AB122=""),AG122,IF(AND(P122='G-1 All Habitats'!$X$3,AG122="None",AG122),IF(AND(P122='G-1 All Habitats'!$X$3,AG122&gt;0),H122-V122-W122))))))))</f>
        <v/>
      </c>
      <c r="AA122" s="405" t="str">
        <f>IFERROR(IF(H122="","",IF(H122-V122-W122=0&lt;0,"Error in Areas ▲",IF(V122+W122&gt;H122,"Error in Areas ▲",IF(AND(P122='G-1 All Habitats'!$X$3,AB122="Yes"),"Alternative Compensation ✓",IF(Z122=0,0,IF(P122='G-1 All Habitats'!$X$3,"Any Loss Unacceptable ▲",T122-X122-Y122)))))),"Check Data ⚠")</f>
        <v/>
      </c>
      <c r="AB122" s="837"/>
      <c r="AC122" s="119"/>
      <c r="AD122" s="528"/>
      <c r="AE122" s="120"/>
      <c r="AF122" s="687"/>
      <c r="AG122" s="744" t="str">
        <f>IF(P122="","",IF(P122='G-1 All Habitats'!$X$3,H122-V122-W122,"None"))</f>
        <v/>
      </c>
      <c r="AH122" s="744" t="str">
        <f t="shared" si="13"/>
        <v/>
      </c>
      <c r="AJ122" s="124" t="str">
        <f t="shared" si="18"/>
        <v/>
      </c>
      <c r="AK122" s="124" t="str">
        <f t="shared" si="19"/>
        <v/>
      </c>
      <c r="AL122" s="124" t="str">
        <f>IF(I122="","",IF(#REF!&gt;0,TRUE,FALSE))</f>
        <v/>
      </c>
      <c r="AM122" s="124">
        <v>112</v>
      </c>
      <c r="AN122" s="124"/>
      <c r="AO122" s="124" t="str">
        <f t="array" ref="AO122">IFERROR(INDEX($AM$11:$AM$259, MATCH(0, IF(TRUE=$AJ$11:$AJ$259, COUNTIF($AO$10:$AO121, $AM$11:$AM$259), ""), 0)),"")</f>
        <v/>
      </c>
      <c r="AP122" s="124" t="str">
        <f t="array" ref="AP122">IFERROR(INDEX($AM$11:$AM$259, MATCH(0, IF(TRUE=$AK$11:$AK$259, COUNTIF($AP$10:$AP121, $AM$11:$AM$259), ""), 0)),"")</f>
        <v/>
      </c>
      <c r="AQ122" s="124" t="str">
        <f t="array" ref="AQ122">IFERROR(INDEX($AM$11:$AM$259, MATCH(0, IF(TRUE=$AL$11:$AL$259, COUNTIF($AQ$10:$AQ121, $AM$11:$AM$259), ""), 0)),"")</f>
        <v/>
      </c>
      <c r="AU122" s="30">
        <f t="shared" si="20"/>
        <v>0</v>
      </c>
      <c r="AY122" s="374" t="str">
        <f t="shared" si="16"/>
        <v/>
      </c>
    </row>
    <row r="123" spans="1:51">
      <c r="A123" s="30" t="str">
        <f>IFERROR(INDEX('G-1 All Habitats'!$AG$3:$AG$17,MATCH(E123,'G-1 All Habitats'!$AF$3:$AF$17,0)),"")</f>
        <v/>
      </c>
      <c r="B123" s="30" t="str">
        <f>IFERROR(INDEX('G-8 Condition Look up'!$I$4:$I$135,MATCH(G123,'G-8 Condition Look up'!$A$4:$A$135,0)),"")</f>
        <v/>
      </c>
      <c r="D123" s="110">
        <v>113</v>
      </c>
      <c r="E123" s="339"/>
      <c r="F123" s="340"/>
      <c r="G123" s="295" t="str">
        <f>IFERROR(INDEX('G-1 All Habitats'!$B$3:$B$134,MATCH(F123,'G-1 All Habitats'!$A$3:$A$134,0)),"")</f>
        <v/>
      </c>
      <c r="H123" s="139"/>
      <c r="I123" s="722" t="str">
        <f>IF(G123="","",VLOOKUP(G123,'G-1 All Habitats'!$B$2:$M$134,10,FALSE))</f>
        <v/>
      </c>
      <c r="J123" s="490" t="str">
        <f>IFERROR(VLOOKUP(I123,'G-1 All Habitats'!$V$3:$W$7,2,FALSE),"")</f>
        <v/>
      </c>
      <c r="K123" s="114"/>
      <c r="L123" s="490" t="str">
        <f>IFERROR(INDEX('G-8 Condition Look up'!$A$3:$H$135,MATCH(G123,'G-8 Condition Look up'!$A$3:$A$135,0),MATCH(K123,'G-8 Condition Look up'!$A$3:$H$3,0)),"")</f>
        <v/>
      </c>
      <c r="M123" s="738"/>
      <c r="N123" s="404" t="str">
        <f>IF(M123="","",IF(VLOOKUP(M123,'G-3 Multipliers'!$L$3:$N$6,2,FALSE)=0,"Spatial Data Missing ⚠",VLOOKUP(M123,'G-3 Multipliers'!$L$3:$N$6,2,FALSE)))</f>
        <v/>
      </c>
      <c r="O123" s="452" t="str">
        <f>IF(M123="","",IF(VLOOKUP(M123,'G-3 Multipliers'!$L$3:$N$6,3,FALSE)=0,"Spatial Data Missing ⚠",VLOOKUP(M123,'G-3 Multipliers'!$L$3:$N$6,3,FALSE)))</f>
        <v/>
      </c>
      <c r="P123" s="369" t="str">
        <f>IFERROR(VLOOKUP(G123,'G-1 All Habitats'!$B$2:$M$134,12,FALSE),"")</f>
        <v/>
      </c>
      <c r="Q123" s="725" t="str">
        <f>IFERROR(IF(P123="","",IF(AND(P123='G-1 All Habitats'!$X$3,W123&gt;0),X123+(Y123*S123),IF(AND(P123='G-1 All Habitats'!$X$3,V123&gt;0),X123+(Y123*S123),IF(AND(P123='G-1 All Habitats'!$X$3,AG123&gt;0),"Any Loss Unacceptable  ⚠",IF(AND(P123='G-1 All Habitats'!$X$3,Z123&gt;0),"Any Loss Unacceptable ⚠",H123*J123*L123*O123*S123))))),"Check Data ⚠")</f>
        <v/>
      </c>
      <c r="R123" s="516"/>
      <c r="S123" s="724" t="str">
        <f>IF(R123="","",IF(VLOOKUP(R123,'G-3 Multipliers'!$S$3:$T$10,2,FALSE)=0,"Spatial Data Missing ⚠",VLOOKUP(R123,'G-3 Multipliers'!$S$3:$T$10,2,FALSE)))</f>
        <v/>
      </c>
      <c r="T123" s="376" t="str">
        <f>IFERROR(IF(P123="","",IF(AND(P123='G-1 All Habitats'!$X$3,W123&gt;0),X123+Y123,IF(AND(P123='G-1 All Habitats'!$X$3,V123&gt;0),X123+Y123,IF(AND(P123='G-1 All Habitats'!$X$3,AG123&gt;0),"Any Loss Unacceptable ⚠", IF(R123="","", IF(AND(P123='G-1 All Habitats'!$X$3,Z123&gt;0),"Any Loss Unacceptable ⚠",H123*J123*L123*O123)))))),"Check Data ⚠")</f>
        <v/>
      </c>
      <c r="U123" s="38"/>
      <c r="V123" s="54"/>
      <c r="W123" s="55"/>
      <c r="X123" s="374" t="str">
        <f t="shared" si="11"/>
        <v/>
      </c>
      <c r="Y123" s="374" t="str">
        <f t="shared" si="12"/>
        <v/>
      </c>
      <c r="Z123" s="374" t="str">
        <f>IF(E123="","",IF(H123&lt;V123+W123,"Error in Areas ▲",IF(P123&lt;&gt;'G-1 All Habitats'!$X$3,H123-V123-W123,IF(AND(P123='G-1 All Habitats'!$X$3,AB123="Yes"),"Unacceptable Loss ⚠",IF(AND(P123='G-1 All Habitats'!$X$3,AB123="No"),AG123,IF(AND(P123='G-1 All Habitats'!$X$3,AB123=""),AG123,IF(AND(P123='G-1 All Habitats'!$X$3,AG123="None",AG123),IF(AND(P123='G-1 All Habitats'!$X$3,AG123&gt;0),H123-V123-W123))))))))</f>
        <v/>
      </c>
      <c r="AA123" s="405" t="str">
        <f>IFERROR(IF(H123="","",IF(H123-V123-W123=0&lt;0,"Error in Areas ▲",IF(V123+W123&gt;H123,"Error in Areas ▲",IF(AND(P123='G-1 All Habitats'!$X$3,AB123="Yes"),"Alternative Compensation ✓",IF(Z123=0,0,IF(P123='G-1 All Habitats'!$X$3,"Any Loss Unacceptable ▲",T123-X123-Y123)))))),"Check Data ⚠")</f>
        <v/>
      </c>
      <c r="AB123" s="837"/>
      <c r="AC123" s="119"/>
      <c r="AD123" s="528"/>
      <c r="AE123" s="120"/>
      <c r="AF123" s="687"/>
      <c r="AG123" s="744" t="str">
        <f>IF(P123="","",IF(P123='G-1 All Habitats'!$X$3,H123-V123-W123,"None"))</f>
        <v/>
      </c>
      <c r="AH123" s="744" t="str">
        <f t="shared" si="13"/>
        <v/>
      </c>
      <c r="AJ123" s="124" t="str">
        <f t="shared" si="18"/>
        <v/>
      </c>
      <c r="AK123" s="124" t="str">
        <f t="shared" si="19"/>
        <v/>
      </c>
      <c r="AL123" s="124" t="str">
        <f>IF(I123="","",IF(#REF!&gt;0,TRUE,FALSE))</f>
        <v/>
      </c>
      <c r="AM123" s="124">
        <v>113</v>
      </c>
      <c r="AN123" s="124"/>
      <c r="AO123" s="124" t="str">
        <f t="array" ref="AO123">IFERROR(INDEX($AM$11:$AM$259, MATCH(0, IF(TRUE=$AJ$11:$AJ$259, COUNTIF($AO$10:$AO122, $AM$11:$AM$259), ""), 0)),"")</f>
        <v/>
      </c>
      <c r="AP123" s="124" t="str">
        <f t="array" ref="AP123">IFERROR(INDEX($AM$11:$AM$259, MATCH(0, IF(TRUE=$AK$11:$AK$259, COUNTIF($AP$10:$AP122, $AM$11:$AM$259), ""), 0)),"")</f>
        <v/>
      </c>
      <c r="AQ123" s="124" t="str">
        <f t="array" ref="AQ123">IFERROR(INDEX($AM$11:$AM$259, MATCH(0, IF(TRUE=$AL$11:$AL$259, COUNTIF($AQ$10:$AQ122, $AM$11:$AM$259), ""), 0)),"")</f>
        <v/>
      </c>
      <c r="AU123" s="30">
        <f t="shared" si="20"/>
        <v>0</v>
      </c>
      <c r="AY123" s="374" t="str">
        <f t="shared" si="16"/>
        <v/>
      </c>
    </row>
    <row r="124" spans="1:51">
      <c r="A124" s="30" t="str">
        <f>IFERROR(INDEX('G-1 All Habitats'!$AG$3:$AG$17,MATCH(E124,'G-1 All Habitats'!$AF$3:$AF$17,0)),"")</f>
        <v/>
      </c>
      <c r="B124" s="30" t="str">
        <f>IFERROR(INDEX('G-8 Condition Look up'!$I$4:$I$135,MATCH(G124,'G-8 Condition Look up'!$A$4:$A$135,0)),"")</f>
        <v/>
      </c>
      <c r="D124" s="110">
        <v>114</v>
      </c>
      <c r="E124" s="339"/>
      <c r="F124" s="340"/>
      <c r="G124" s="295" t="str">
        <f>IFERROR(INDEX('G-1 All Habitats'!$B$3:$B$134,MATCH(F124,'G-1 All Habitats'!$A$3:$A$134,0)),"")</f>
        <v/>
      </c>
      <c r="H124" s="139"/>
      <c r="I124" s="722" t="str">
        <f>IF(G124="","",VLOOKUP(G124,'G-1 All Habitats'!$B$2:$M$134,10,FALSE))</f>
        <v/>
      </c>
      <c r="J124" s="490" t="str">
        <f>IFERROR(VLOOKUP(I124,'G-1 All Habitats'!$V$3:$W$7,2,FALSE),"")</f>
        <v/>
      </c>
      <c r="K124" s="114"/>
      <c r="L124" s="490" t="str">
        <f>IFERROR(INDEX('G-8 Condition Look up'!$A$3:$H$135,MATCH(G124,'G-8 Condition Look up'!$A$3:$A$135,0),MATCH(K124,'G-8 Condition Look up'!$A$3:$H$3,0)),"")</f>
        <v/>
      </c>
      <c r="M124" s="738"/>
      <c r="N124" s="404" t="str">
        <f>IF(M124="","",IF(VLOOKUP(M124,'G-3 Multipliers'!$L$3:$N$6,2,FALSE)=0,"Spatial Data Missing ⚠",VLOOKUP(M124,'G-3 Multipliers'!$L$3:$N$6,2,FALSE)))</f>
        <v/>
      </c>
      <c r="O124" s="452" t="str">
        <f>IF(M124="","",IF(VLOOKUP(M124,'G-3 Multipliers'!$L$3:$N$6,3,FALSE)=0,"Spatial Data Missing ⚠",VLOOKUP(M124,'G-3 Multipliers'!$L$3:$N$6,3,FALSE)))</f>
        <v/>
      </c>
      <c r="P124" s="369" t="str">
        <f>IFERROR(VLOOKUP(G124,'G-1 All Habitats'!$B$2:$M$134,12,FALSE),"")</f>
        <v/>
      </c>
      <c r="Q124" s="725" t="str">
        <f>IFERROR(IF(P124="","",IF(AND(P124='G-1 All Habitats'!$X$3,W124&gt;0),X124+(Y124*S124),IF(AND(P124='G-1 All Habitats'!$X$3,V124&gt;0),X124+(Y124*S124),IF(AND(P124='G-1 All Habitats'!$X$3,AG124&gt;0),"Any Loss Unacceptable  ⚠",IF(AND(P124='G-1 All Habitats'!$X$3,Z124&gt;0),"Any Loss Unacceptable ⚠",H124*J124*L124*O124*S124))))),"Check Data ⚠")</f>
        <v/>
      </c>
      <c r="R124" s="516"/>
      <c r="S124" s="724" t="str">
        <f>IF(R124="","",IF(VLOOKUP(R124,'G-3 Multipliers'!$S$3:$T$10,2,FALSE)=0,"Spatial Data Missing ⚠",VLOOKUP(R124,'G-3 Multipliers'!$S$3:$T$10,2,FALSE)))</f>
        <v/>
      </c>
      <c r="T124" s="376" t="str">
        <f>IFERROR(IF(P124="","",IF(AND(P124='G-1 All Habitats'!$X$3,W124&gt;0),X124+Y124,IF(AND(P124='G-1 All Habitats'!$X$3,V124&gt;0),X124+Y124,IF(AND(P124='G-1 All Habitats'!$X$3,AG124&gt;0),"Any Loss Unacceptable ⚠", IF(R124="","", IF(AND(P124='G-1 All Habitats'!$X$3,Z124&gt;0),"Any Loss Unacceptable ⚠",H124*J124*L124*O124)))))),"Check Data ⚠")</f>
        <v/>
      </c>
      <c r="U124" s="38"/>
      <c r="V124" s="54"/>
      <c r="W124" s="55"/>
      <c r="X124" s="374" t="str">
        <f t="shared" si="11"/>
        <v/>
      </c>
      <c r="Y124" s="374" t="str">
        <f t="shared" si="12"/>
        <v/>
      </c>
      <c r="Z124" s="374" t="str">
        <f>IF(E124="","",IF(H124&lt;V124+W124,"Error in Areas ▲",IF(P124&lt;&gt;'G-1 All Habitats'!$X$3,H124-V124-W124,IF(AND(P124='G-1 All Habitats'!$X$3,AB124="Yes"),"Unacceptable Loss ⚠",IF(AND(P124='G-1 All Habitats'!$X$3,AB124="No"),AG124,IF(AND(P124='G-1 All Habitats'!$X$3,AB124=""),AG124,IF(AND(P124='G-1 All Habitats'!$X$3,AG124="None",AG124),IF(AND(P124='G-1 All Habitats'!$X$3,AG124&gt;0),H124-V124-W124))))))))</f>
        <v/>
      </c>
      <c r="AA124" s="405" t="str">
        <f>IFERROR(IF(H124="","",IF(H124-V124-W124=0&lt;0,"Error in Areas ▲",IF(V124+W124&gt;H124,"Error in Areas ▲",IF(AND(P124='G-1 All Habitats'!$X$3,AB124="Yes"),"Alternative Compensation ✓",IF(Z124=0,0,IF(P124='G-1 All Habitats'!$X$3,"Any Loss Unacceptable ▲",T124-X124-Y124)))))),"Check Data ⚠")</f>
        <v/>
      </c>
      <c r="AB124" s="837"/>
      <c r="AC124" s="119"/>
      <c r="AD124" s="528"/>
      <c r="AE124" s="120"/>
      <c r="AF124" s="687"/>
      <c r="AG124" s="744" t="str">
        <f>IF(P124="","",IF(P124='G-1 All Habitats'!$X$3,H124-V124-W124,"None"))</f>
        <v/>
      </c>
      <c r="AH124" s="744" t="str">
        <f t="shared" si="13"/>
        <v/>
      </c>
      <c r="AJ124" s="124" t="str">
        <f t="shared" si="18"/>
        <v/>
      </c>
      <c r="AK124" s="124" t="str">
        <f t="shared" si="19"/>
        <v/>
      </c>
      <c r="AL124" s="124" t="str">
        <f>IF(I124="","",IF(#REF!&gt;0,TRUE,FALSE))</f>
        <v/>
      </c>
      <c r="AM124" s="124">
        <v>114</v>
      </c>
      <c r="AN124" s="124"/>
      <c r="AO124" s="124" t="str">
        <f t="array" ref="AO124">IFERROR(INDEX($AM$11:$AM$259, MATCH(0, IF(TRUE=$AJ$11:$AJ$259, COUNTIF($AO$10:$AO123, $AM$11:$AM$259), ""), 0)),"")</f>
        <v/>
      </c>
      <c r="AP124" s="124" t="str">
        <f t="array" ref="AP124">IFERROR(INDEX($AM$11:$AM$259, MATCH(0, IF(TRUE=$AK$11:$AK$259, COUNTIF($AP$10:$AP123, $AM$11:$AM$259), ""), 0)),"")</f>
        <v/>
      </c>
      <c r="AQ124" s="124" t="str">
        <f t="array" ref="AQ124">IFERROR(INDEX($AM$11:$AM$259, MATCH(0, IF(TRUE=$AL$11:$AL$259, COUNTIF($AQ$10:$AQ123, $AM$11:$AM$259), ""), 0)),"")</f>
        <v/>
      </c>
      <c r="AU124" s="30">
        <f t="shared" si="20"/>
        <v>0</v>
      </c>
      <c r="AY124" s="374" t="str">
        <f t="shared" si="16"/>
        <v/>
      </c>
    </row>
    <row r="125" spans="1:51">
      <c r="A125" s="30" t="str">
        <f>IFERROR(INDEX('G-1 All Habitats'!$AG$3:$AG$17,MATCH(E125,'G-1 All Habitats'!$AF$3:$AF$17,0)),"")</f>
        <v/>
      </c>
      <c r="B125" s="30" t="str">
        <f>IFERROR(INDEX('G-8 Condition Look up'!$I$4:$I$135,MATCH(G125,'G-8 Condition Look up'!$A$4:$A$135,0)),"")</f>
        <v/>
      </c>
      <c r="D125" s="110">
        <v>115</v>
      </c>
      <c r="E125" s="339"/>
      <c r="F125" s="340"/>
      <c r="G125" s="295" t="str">
        <f>IFERROR(INDEX('G-1 All Habitats'!$B$3:$B$134,MATCH(F125,'G-1 All Habitats'!$A$3:$A$134,0)),"")</f>
        <v/>
      </c>
      <c r="H125" s="139"/>
      <c r="I125" s="722" t="str">
        <f>IF(G125="","",VLOOKUP(G125,'G-1 All Habitats'!$B$2:$M$134,10,FALSE))</f>
        <v/>
      </c>
      <c r="J125" s="490" t="str">
        <f>IFERROR(VLOOKUP(I125,'G-1 All Habitats'!$V$3:$W$7,2,FALSE),"")</f>
        <v/>
      </c>
      <c r="K125" s="114"/>
      <c r="L125" s="490" t="str">
        <f>IFERROR(INDEX('G-8 Condition Look up'!$A$3:$H$135,MATCH(G125,'G-8 Condition Look up'!$A$3:$A$135,0),MATCH(K125,'G-8 Condition Look up'!$A$3:$H$3,0)),"")</f>
        <v/>
      </c>
      <c r="M125" s="738"/>
      <c r="N125" s="404" t="str">
        <f>IF(M125="","",IF(VLOOKUP(M125,'G-3 Multipliers'!$L$3:$N$6,2,FALSE)=0,"Spatial Data Missing ⚠",VLOOKUP(M125,'G-3 Multipliers'!$L$3:$N$6,2,FALSE)))</f>
        <v/>
      </c>
      <c r="O125" s="452" t="str">
        <f>IF(M125="","",IF(VLOOKUP(M125,'G-3 Multipliers'!$L$3:$N$6,3,FALSE)=0,"Spatial Data Missing ⚠",VLOOKUP(M125,'G-3 Multipliers'!$L$3:$N$6,3,FALSE)))</f>
        <v/>
      </c>
      <c r="P125" s="369" t="str">
        <f>IFERROR(VLOOKUP(G125,'G-1 All Habitats'!$B$2:$M$134,12,FALSE),"")</f>
        <v/>
      </c>
      <c r="Q125" s="725" t="str">
        <f>IFERROR(IF(P125="","",IF(AND(P125='G-1 All Habitats'!$X$3,W125&gt;0),X125+(Y125*S125),IF(AND(P125='G-1 All Habitats'!$X$3,V125&gt;0),X125+(Y125*S125),IF(AND(P125='G-1 All Habitats'!$X$3,AG125&gt;0),"Any Loss Unacceptable  ⚠",IF(AND(P125='G-1 All Habitats'!$X$3,Z125&gt;0),"Any Loss Unacceptable ⚠",H125*J125*L125*O125*S125))))),"Check Data ⚠")</f>
        <v/>
      </c>
      <c r="R125" s="516"/>
      <c r="S125" s="724" t="str">
        <f>IF(R125="","",IF(VLOOKUP(R125,'G-3 Multipliers'!$S$3:$T$10,2,FALSE)=0,"Spatial Data Missing ⚠",VLOOKUP(R125,'G-3 Multipliers'!$S$3:$T$10,2,FALSE)))</f>
        <v/>
      </c>
      <c r="T125" s="376" t="str">
        <f>IFERROR(IF(P125="","",IF(AND(P125='G-1 All Habitats'!$X$3,W125&gt;0),X125+Y125,IF(AND(P125='G-1 All Habitats'!$X$3,V125&gt;0),X125+Y125,IF(AND(P125='G-1 All Habitats'!$X$3,AG125&gt;0),"Any Loss Unacceptable ⚠", IF(R125="","", IF(AND(P125='G-1 All Habitats'!$X$3,Z125&gt;0),"Any Loss Unacceptable ⚠",H125*J125*L125*O125)))))),"Check Data ⚠")</f>
        <v/>
      </c>
      <c r="U125" s="38"/>
      <c r="V125" s="54"/>
      <c r="W125" s="55"/>
      <c r="X125" s="374" t="str">
        <f t="shared" si="11"/>
        <v/>
      </c>
      <c r="Y125" s="374" t="str">
        <f t="shared" si="12"/>
        <v/>
      </c>
      <c r="Z125" s="374" t="str">
        <f>IF(E125="","",IF(H125&lt;V125+W125,"Error in Areas ▲",IF(P125&lt;&gt;'G-1 All Habitats'!$X$3,H125-V125-W125,IF(AND(P125='G-1 All Habitats'!$X$3,AB125="Yes"),"Unacceptable Loss ⚠",IF(AND(P125='G-1 All Habitats'!$X$3,AB125="No"),AG125,IF(AND(P125='G-1 All Habitats'!$X$3,AB125=""),AG125,IF(AND(P125='G-1 All Habitats'!$X$3,AG125="None",AG125),IF(AND(P125='G-1 All Habitats'!$X$3,AG125&gt;0),H125-V125-W125))))))))</f>
        <v/>
      </c>
      <c r="AA125" s="405" t="str">
        <f>IFERROR(IF(H125="","",IF(H125-V125-W125=0&lt;0,"Error in Areas ▲",IF(V125+W125&gt;H125,"Error in Areas ▲",IF(AND(P125='G-1 All Habitats'!$X$3,AB125="Yes"),"Alternative Compensation ✓",IF(Z125=0,0,IF(P125='G-1 All Habitats'!$X$3,"Any Loss Unacceptable ▲",T125-X125-Y125)))))),"Check Data ⚠")</f>
        <v/>
      </c>
      <c r="AB125" s="837"/>
      <c r="AC125" s="119"/>
      <c r="AD125" s="528"/>
      <c r="AE125" s="120"/>
      <c r="AF125" s="687"/>
      <c r="AG125" s="744" t="str">
        <f>IF(P125="","",IF(P125='G-1 All Habitats'!$X$3,H125-V125-W125,"None"))</f>
        <v/>
      </c>
      <c r="AH125" s="744" t="str">
        <f t="shared" si="13"/>
        <v/>
      </c>
      <c r="AJ125" s="124" t="str">
        <f t="shared" si="18"/>
        <v/>
      </c>
      <c r="AK125" s="124" t="str">
        <f t="shared" si="19"/>
        <v/>
      </c>
      <c r="AL125" s="124" t="str">
        <f>IF(I125="","",IF(#REF!&gt;0,TRUE,FALSE))</f>
        <v/>
      </c>
      <c r="AM125" s="124">
        <v>115</v>
      </c>
      <c r="AN125" s="124"/>
      <c r="AO125" s="124" t="str">
        <f t="array" ref="AO125">IFERROR(INDEX($AM$11:$AM$259, MATCH(0, IF(TRUE=$AJ$11:$AJ$259, COUNTIF($AO$10:$AO124, $AM$11:$AM$259), ""), 0)),"")</f>
        <v/>
      </c>
      <c r="AP125" s="124" t="str">
        <f t="array" ref="AP125">IFERROR(INDEX($AM$11:$AM$259, MATCH(0, IF(TRUE=$AK$11:$AK$259, COUNTIF($AP$10:$AP124, $AM$11:$AM$259), ""), 0)),"")</f>
        <v/>
      </c>
      <c r="AQ125" s="124" t="str">
        <f t="array" ref="AQ125">IFERROR(INDEX($AM$11:$AM$259, MATCH(0, IF(TRUE=$AL$11:$AL$259, COUNTIF($AQ$10:$AQ124, $AM$11:$AM$259), ""), 0)),"")</f>
        <v/>
      </c>
      <c r="AU125" s="30">
        <f t="shared" si="20"/>
        <v>0</v>
      </c>
      <c r="AY125" s="374" t="str">
        <f t="shared" si="16"/>
        <v/>
      </c>
    </row>
    <row r="126" spans="1:51">
      <c r="A126" s="30" t="str">
        <f>IFERROR(INDEX('G-1 All Habitats'!$AG$3:$AG$17,MATCH(E126,'G-1 All Habitats'!$AF$3:$AF$17,0)),"")</f>
        <v/>
      </c>
      <c r="B126" s="30" t="str">
        <f>IFERROR(INDEX('G-8 Condition Look up'!$I$4:$I$135,MATCH(G126,'G-8 Condition Look up'!$A$4:$A$135,0)),"")</f>
        <v/>
      </c>
      <c r="D126" s="110">
        <v>116</v>
      </c>
      <c r="E126" s="339"/>
      <c r="F126" s="340"/>
      <c r="G126" s="295" t="str">
        <f>IFERROR(INDEX('G-1 All Habitats'!$B$3:$B$134,MATCH(F126,'G-1 All Habitats'!$A$3:$A$134,0)),"")</f>
        <v/>
      </c>
      <c r="H126" s="139"/>
      <c r="I126" s="722" t="str">
        <f>IF(G126="","",VLOOKUP(G126,'G-1 All Habitats'!$B$2:$M$134,10,FALSE))</f>
        <v/>
      </c>
      <c r="J126" s="490" t="str">
        <f>IFERROR(VLOOKUP(I126,'G-1 All Habitats'!$V$3:$W$7,2,FALSE),"")</f>
        <v/>
      </c>
      <c r="K126" s="114"/>
      <c r="L126" s="490" t="str">
        <f>IFERROR(INDEX('G-8 Condition Look up'!$A$3:$H$135,MATCH(G126,'G-8 Condition Look up'!$A$3:$A$135,0),MATCH(K126,'G-8 Condition Look up'!$A$3:$H$3,0)),"")</f>
        <v/>
      </c>
      <c r="M126" s="738"/>
      <c r="N126" s="404" t="str">
        <f>IF(M126="","",IF(VLOOKUP(M126,'G-3 Multipliers'!$L$3:$N$6,2,FALSE)=0,"Spatial Data Missing ⚠",VLOOKUP(M126,'G-3 Multipliers'!$L$3:$N$6,2,FALSE)))</f>
        <v/>
      </c>
      <c r="O126" s="452" t="str">
        <f>IF(M126="","",IF(VLOOKUP(M126,'G-3 Multipliers'!$L$3:$N$6,3,FALSE)=0,"Spatial Data Missing ⚠",VLOOKUP(M126,'G-3 Multipliers'!$L$3:$N$6,3,FALSE)))</f>
        <v/>
      </c>
      <c r="P126" s="369" t="str">
        <f>IFERROR(VLOOKUP(G126,'G-1 All Habitats'!$B$2:$M$134,12,FALSE),"")</f>
        <v/>
      </c>
      <c r="Q126" s="725" t="str">
        <f>IFERROR(IF(P126="","",IF(AND(P126='G-1 All Habitats'!$X$3,W126&gt;0),X126+(Y126*S126),IF(AND(P126='G-1 All Habitats'!$X$3,V126&gt;0),X126+(Y126*S126),IF(AND(P126='G-1 All Habitats'!$X$3,AG126&gt;0),"Any Loss Unacceptable  ⚠",IF(AND(P126='G-1 All Habitats'!$X$3,Z126&gt;0),"Any Loss Unacceptable ⚠",H126*J126*L126*O126*S126))))),"Check Data ⚠")</f>
        <v/>
      </c>
      <c r="R126" s="516"/>
      <c r="S126" s="724" t="str">
        <f>IF(R126="","",IF(VLOOKUP(R126,'G-3 Multipliers'!$S$3:$T$10,2,FALSE)=0,"Spatial Data Missing ⚠",VLOOKUP(R126,'G-3 Multipliers'!$S$3:$T$10,2,FALSE)))</f>
        <v/>
      </c>
      <c r="T126" s="376" t="str">
        <f>IFERROR(IF(P126="","",IF(AND(P126='G-1 All Habitats'!$X$3,W126&gt;0),X126+Y126,IF(AND(P126='G-1 All Habitats'!$X$3,V126&gt;0),X126+Y126,IF(AND(P126='G-1 All Habitats'!$X$3,AG126&gt;0),"Any Loss Unacceptable ⚠", IF(R126="","", IF(AND(P126='G-1 All Habitats'!$X$3,Z126&gt;0),"Any Loss Unacceptable ⚠",H126*J126*L126*O126)))))),"Check Data ⚠")</f>
        <v/>
      </c>
      <c r="U126" s="38"/>
      <c r="V126" s="54"/>
      <c r="W126" s="55"/>
      <c r="X126" s="374" t="str">
        <f t="shared" si="11"/>
        <v/>
      </c>
      <c r="Y126" s="374" t="str">
        <f t="shared" si="12"/>
        <v/>
      </c>
      <c r="Z126" s="374" t="str">
        <f>IF(E126="","",IF(H126&lt;V126+W126,"Error in Areas ▲",IF(P126&lt;&gt;'G-1 All Habitats'!$X$3,H126-V126-W126,IF(AND(P126='G-1 All Habitats'!$X$3,AB126="Yes"),"Unacceptable Loss ⚠",IF(AND(P126='G-1 All Habitats'!$X$3,AB126="No"),AG126,IF(AND(P126='G-1 All Habitats'!$X$3,AB126=""),AG126,IF(AND(P126='G-1 All Habitats'!$X$3,AG126="None",AG126),IF(AND(P126='G-1 All Habitats'!$X$3,AG126&gt;0),H126-V126-W126))))))))</f>
        <v/>
      </c>
      <c r="AA126" s="405" t="str">
        <f>IFERROR(IF(H126="","",IF(H126-V126-W126=0&lt;0,"Error in Areas ▲",IF(V126+W126&gt;H126,"Error in Areas ▲",IF(AND(P126='G-1 All Habitats'!$X$3,AB126="Yes"),"Alternative Compensation ✓",IF(Z126=0,0,IF(P126='G-1 All Habitats'!$X$3,"Any Loss Unacceptable ▲",T126-X126-Y126)))))),"Check Data ⚠")</f>
        <v/>
      </c>
      <c r="AB126" s="837"/>
      <c r="AC126" s="119"/>
      <c r="AD126" s="528"/>
      <c r="AE126" s="120"/>
      <c r="AF126" s="687"/>
      <c r="AG126" s="744" t="str">
        <f>IF(P126="","",IF(P126='G-1 All Habitats'!$X$3,H126-V126-W126,"None"))</f>
        <v/>
      </c>
      <c r="AH126" s="744" t="str">
        <f t="shared" si="13"/>
        <v/>
      </c>
      <c r="AJ126" s="124" t="str">
        <f t="shared" si="18"/>
        <v/>
      </c>
      <c r="AK126" s="124" t="str">
        <f t="shared" si="19"/>
        <v/>
      </c>
      <c r="AL126" s="124" t="str">
        <f>IF(I126="","",IF(#REF!&gt;0,TRUE,FALSE))</f>
        <v/>
      </c>
      <c r="AM126" s="124">
        <v>116</v>
      </c>
      <c r="AN126" s="124"/>
      <c r="AO126" s="124" t="str">
        <f t="array" ref="AO126">IFERROR(INDEX($AM$11:$AM$259, MATCH(0, IF(TRUE=$AJ$11:$AJ$259, COUNTIF($AO$10:$AO125, $AM$11:$AM$259), ""), 0)),"")</f>
        <v/>
      </c>
      <c r="AP126" s="124" t="str">
        <f t="array" ref="AP126">IFERROR(INDEX($AM$11:$AM$259, MATCH(0, IF(TRUE=$AK$11:$AK$259, COUNTIF($AP$10:$AP125, $AM$11:$AM$259), ""), 0)),"")</f>
        <v/>
      </c>
      <c r="AQ126" s="124" t="str">
        <f t="array" ref="AQ126">IFERROR(INDEX($AM$11:$AM$259, MATCH(0, IF(TRUE=$AL$11:$AL$259, COUNTIF($AQ$10:$AQ125, $AM$11:$AM$259), ""), 0)),"")</f>
        <v/>
      </c>
      <c r="AU126" s="30">
        <f t="shared" si="20"/>
        <v>0</v>
      </c>
      <c r="AY126" s="374" t="str">
        <f t="shared" si="16"/>
        <v/>
      </c>
    </row>
    <row r="127" spans="1:51">
      <c r="A127" s="30" t="str">
        <f>IFERROR(INDEX('G-1 All Habitats'!$AG$3:$AG$17,MATCH(E127,'G-1 All Habitats'!$AF$3:$AF$17,0)),"")</f>
        <v/>
      </c>
      <c r="B127" s="30" t="str">
        <f>IFERROR(INDEX('G-8 Condition Look up'!$I$4:$I$135,MATCH(G127,'G-8 Condition Look up'!$A$4:$A$135,0)),"")</f>
        <v/>
      </c>
      <c r="D127" s="110">
        <v>117</v>
      </c>
      <c r="E127" s="339"/>
      <c r="F127" s="340"/>
      <c r="G127" s="295" t="str">
        <f>IFERROR(INDEX('G-1 All Habitats'!$B$3:$B$134,MATCH(F127,'G-1 All Habitats'!$A$3:$A$134,0)),"")</f>
        <v/>
      </c>
      <c r="H127" s="139"/>
      <c r="I127" s="722" t="str">
        <f>IF(G127="","",VLOOKUP(G127,'G-1 All Habitats'!$B$2:$M$134,10,FALSE))</f>
        <v/>
      </c>
      <c r="J127" s="490" t="str">
        <f>IFERROR(VLOOKUP(I127,'G-1 All Habitats'!$V$3:$W$7,2,FALSE),"")</f>
        <v/>
      </c>
      <c r="K127" s="114"/>
      <c r="L127" s="490" t="str">
        <f>IFERROR(INDEX('G-8 Condition Look up'!$A$3:$H$135,MATCH(G127,'G-8 Condition Look up'!$A$3:$A$135,0),MATCH(K127,'G-8 Condition Look up'!$A$3:$H$3,0)),"")</f>
        <v/>
      </c>
      <c r="M127" s="738"/>
      <c r="N127" s="404" t="str">
        <f>IF(M127="","",IF(VLOOKUP(M127,'G-3 Multipliers'!$L$3:$N$6,2,FALSE)=0,"Spatial Data Missing ⚠",VLOOKUP(M127,'G-3 Multipliers'!$L$3:$N$6,2,FALSE)))</f>
        <v/>
      </c>
      <c r="O127" s="452" t="str">
        <f>IF(M127="","",IF(VLOOKUP(M127,'G-3 Multipliers'!$L$3:$N$6,3,FALSE)=0,"Spatial Data Missing ⚠",VLOOKUP(M127,'G-3 Multipliers'!$L$3:$N$6,3,FALSE)))</f>
        <v/>
      </c>
      <c r="P127" s="369" t="str">
        <f>IFERROR(VLOOKUP(G127,'G-1 All Habitats'!$B$2:$M$134,12,FALSE),"")</f>
        <v/>
      </c>
      <c r="Q127" s="725" t="str">
        <f>IFERROR(IF(P127="","",IF(AND(P127='G-1 All Habitats'!$X$3,W127&gt;0),X127+(Y127*S127),IF(AND(P127='G-1 All Habitats'!$X$3,V127&gt;0),X127+(Y127*S127),IF(AND(P127='G-1 All Habitats'!$X$3,AG127&gt;0),"Any Loss Unacceptable  ⚠",IF(AND(P127='G-1 All Habitats'!$X$3,Z127&gt;0),"Any Loss Unacceptable ⚠",H127*J127*L127*O127*S127))))),"Check Data ⚠")</f>
        <v/>
      </c>
      <c r="R127" s="516"/>
      <c r="S127" s="724" t="str">
        <f>IF(R127="","",IF(VLOOKUP(R127,'G-3 Multipliers'!$S$3:$T$10,2,FALSE)=0,"Spatial Data Missing ⚠",VLOOKUP(R127,'G-3 Multipliers'!$S$3:$T$10,2,FALSE)))</f>
        <v/>
      </c>
      <c r="T127" s="376" t="str">
        <f>IFERROR(IF(P127="","",IF(AND(P127='G-1 All Habitats'!$X$3,W127&gt;0),X127+Y127,IF(AND(P127='G-1 All Habitats'!$X$3,V127&gt;0),X127+Y127,IF(AND(P127='G-1 All Habitats'!$X$3,AG127&gt;0),"Any Loss Unacceptable ⚠", IF(R127="","", IF(AND(P127='G-1 All Habitats'!$X$3,Z127&gt;0),"Any Loss Unacceptable ⚠",H127*J127*L127*O127)))))),"Check Data ⚠")</f>
        <v/>
      </c>
      <c r="U127" s="38"/>
      <c r="V127" s="54"/>
      <c r="W127" s="55"/>
      <c r="X127" s="374" t="str">
        <f t="shared" si="11"/>
        <v/>
      </c>
      <c r="Y127" s="374" t="str">
        <f t="shared" si="12"/>
        <v/>
      </c>
      <c r="Z127" s="374" t="str">
        <f>IF(E127="","",IF(H127&lt;V127+W127,"Error in Areas ▲",IF(P127&lt;&gt;'G-1 All Habitats'!$X$3,H127-V127-W127,IF(AND(P127='G-1 All Habitats'!$X$3,AB127="Yes"),"Unacceptable Loss ⚠",IF(AND(P127='G-1 All Habitats'!$X$3,AB127="No"),AG127,IF(AND(P127='G-1 All Habitats'!$X$3,AB127=""),AG127,IF(AND(P127='G-1 All Habitats'!$X$3,AG127="None",AG127),IF(AND(P127='G-1 All Habitats'!$X$3,AG127&gt;0),H127-V127-W127))))))))</f>
        <v/>
      </c>
      <c r="AA127" s="405" t="str">
        <f>IFERROR(IF(H127="","",IF(H127-V127-W127=0&lt;0,"Error in Areas ▲",IF(V127+W127&gt;H127,"Error in Areas ▲",IF(AND(P127='G-1 All Habitats'!$X$3,AB127="Yes"),"Alternative Compensation ✓",IF(Z127=0,0,IF(P127='G-1 All Habitats'!$X$3,"Any Loss Unacceptable ▲",T127-X127-Y127)))))),"Check Data ⚠")</f>
        <v/>
      </c>
      <c r="AB127" s="837"/>
      <c r="AC127" s="119"/>
      <c r="AD127" s="528"/>
      <c r="AE127" s="120"/>
      <c r="AF127" s="687"/>
      <c r="AG127" s="744" t="str">
        <f>IF(P127="","",IF(P127='G-1 All Habitats'!$X$3,H127-V127-W127,"None"))</f>
        <v/>
      </c>
      <c r="AH127" s="744" t="str">
        <f t="shared" si="13"/>
        <v/>
      </c>
      <c r="AJ127" s="124" t="str">
        <f t="shared" si="18"/>
        <v/>
      </c>
      <c r="AK127" s="124" t="str">
        <f t="shared" si="19"/>
        <v/>
      </c>
      <c r="AL127" s="124" t="str">
        <f>IF(I127="","",IF(#REF!&gt;0,TRUE,FALSE))</f>
        <v/>
      </c>
      <c r="AM127" s="124">
        <v>117</v>
      </c>
      <c r="AN127" s="124"/>
      <c r="AO127" s="124" t="str">
        <f t="array" ref="AO127">IFERROR(INDEX($AM$11:$AM$259, MATCH(0, IF(TRUE=$AJ$11:$AJ$259, COUNTIF($AO$10:$AO126, $AM$11:$AM$259), ""), 0)),"")</f>
        <v/>
      </c>
      <c r="AP127" s="124" t="str">
        <f t="array" ref="AP127">IFERROR(INDEX($AM$11:$AM$259, MATCH(0, IF(TRUE=$AK$11:$AK$259, COUNTIF($AP$10:$AP126, $AM$11:$AM$259), ""), 0)),"")</f>
        <v/>
      </c>
      <c r="AQ127" s="124" t="str">
        <f t="array" ref="AQ127">IFERROR(INDEX($AM$11:$AM$259, MATCH(0, IF(TRUE=$AL$11:$AL$259, COUNTIF($AQ$10:$AQ126, $AM$11:$AM$259), ""), 0)),"")</f>
        <v/>
      </c>
      <c r="AU127" s="30">
        <f t="shared" si="20"/>
        <v>0</v>
      </c>
      <c r="AY127" s="374" t="str">
        <f t="shared" si="16"/>
        <v/>
      </c>
    </row>
    <row r="128" spans="1:51">
      <c r="A128" s="30" t="str">
        <f>IFERROR(INDEX('G-1 All Habitats'!$AG$3:$AG$17,MATCH(E128,'G-1 All Habitats'!$AF$3:$AF$17,0)),"")</f>
        <v/>
      </c>
      <c r="B128" s="30" t="str">
        <f>IFERROR(INDEX('G-8 Condition Look up'!$I$4:$I$135,MATCH(G128,'G-8 Condition Look up'!$A$4:$A$135,0)),"")</f>
        <v/>
      </c>
      <c r="D128" s="110">
        <v>118</v>
      </c>
      <c r="E128" s="339"/>
      <c r="F128" s="340"/>
      <c r="G128" s="295" t="str">
        <f>IFERROR(INDEX('G-1 All Habitats'!$B$3:$B$134,MATCH(F128,'G-1 All Habitats'!$A$3:$A$134,0)),"")</f>
        <v/>
      </c>
      <c r="H128" s="139"/>
      <c r="I128" s="722" t="str">
        <f>IF(G128="","",VLOOKUP(G128,'G-1 All Habitats'!$B$2:$M$134,10,FALSE))</f>
        <v/>
      </c>
      <c r="J128" s="490" t="str">
        <f>IFERROR(VLOOKUP(I128,'G-1 All Habitats'!$V$3:$W$7,2,FALSE),"")</f>
        <v/>
      </c>
      <c r="K128" s="114"/>
      <c r="L128" s="490" t="str">
        <f>IFERROR(INDEX('G-8 Condition Look up'!$A$3:$H$135,MATCH(G128,'G-8 Condition Look up'!$A$3:$A$135,0),MATCH(K128,'G-8 Condition Look up'!$A$3:$H$3,0)),"")</f>
        <v/>
      </c>
      <c r="M128" s="738"/>
      <c r="N128" s="404" t="str">
        <f>IF(M128="","",IF(VLOOKUP(M128,'G-3 Multipliers'!$L$3:$N$6,2,FALSE)=0,"Spatial Data Missing ⚠",VLOOKUP(M128,'G-3 Multipliers'!$L$3:$N$6,2,FALSE)))</f>
        <v/>
      </c>
      <c r="O128" s="452" t="str">
        <f>IF(M128="","",IF(VLOOKUP(M128,'G-3 Multipliers'!$L$3:$N$6,3,FALSE)=0,"Spatial Data Missing ⚠",VLOOKUP(M128,'G-3 Multipliers'!$L$3:$N$6,3,FALSE)))</f>
        <v/>
      </c>
      <c r="P128" s="369" t="str">
        <f>IFERROR(VLOOKUP(G128,'G-1 All Habitats'!$B$2:$M$134,12,FALSE),"")</f>
        <v/>
      </c>
      <c r="Q128" s="725" t="str">
        <f>IFERROR(IF(P128="","",IF(AND(P128='G-1 All Habitats'!$X$3,W128&gt;0),X128+(Y128*S128),IF(AND(P128='G-1 All Habitats'!$X$3,V128&gt;0),X128+(Y128*S128),IF(AND(P128='G-1 All Habitats'!$X$3,AG128&gt;0),"Any Loss Unacceptable  ⚠",IF(AND(P128='G-1 All Habitats'!$X$3,Z128&gt;0),"Any Loss Unacceptable ⚠",H128*J128*L128*O128*S128))))),"Check Data ⚠")</f>
        <v/>
      </c>
      <c r="R128" s="516"/>
      <c r="S128" s="724" t="str">
        <f>IF(R128="","",IF(VLOOKUP(R128,'G-3 Multipliers'!$S$3:$T$10,2,FALSE)=0,"Spatial Data Missing ⚠",VLOOKUP(R128,'G-3 Multipliers'!$S$3:$T$10,2,FALSE)))</f>
        <v/>
      </c>
      <c r="T128" s="376" t="str">
        <f>IFERROR(IF(P128="","",IF(AND(P128='G-1 All Habitats'!$X$3,W128&gt;0),X128+Y128,IF(AND(P128='G-1 All Habitats'!$X$3,V128&gt;0),X128+Y128,IF(AND(P128='G-1 All Habitats'!$X$3,AG128&gt;0),"Any Loss Unacceptable ⚠", IF(R128="","", IF(AND(P128='G-1 All Habitats'!$X$3,Z128&gt;0),"Any Loss Unacceptable ⚠",H128*J128*L128*O128)))))),"Check Data ⚠")</f>
        <v/>
      </c>
      <c r="U128" s="38"/>
      <c r="V128" s="54"/>
      <c r="W128" s="55"/>
      <c r="X128" s="374" t="str">
        <f t="shared" si="11"/>
        <v/>
      </c>
      <c r="Y128" s="374" t="str">
        <f t="shared" si="12"/>
        <v/>
      </c>
      <c r="Z128" s="374" t="str">
        <f>IF(E128="","",IF(H128&lt;V128+W128,"Error in Areas ▲",IF(P128&lt;&gt;'G-1 All Habitats'!$X$3,H128-V128-W128,IF(AND(P128='G-1 All Habitats'!$X$3,AB128="Yes"),"Unacceptable Loss ⚠",IF(AND(P128='G-1 All Habitats'!$X$3,AB128="No"),AG128,IF(AND(P128='G-1 All Habitats'!$X$3,AB128=""),AG128,IF(AND(P128='G-1 All Habitats'!$X$3,AG128="None",AG128),IF(AND(P128='G-1 All Habitats'!$X$3,AG128&gt;0),H128-V128-W128))))))))</f>
        <v/>
      </c>
      <c r="AA128" s="405" t="str">
        <f>IFERROR(IF(H128="","",IF(H128-V128-W128=0&lt;0,"Error in Areas ▲",IF(V128+W128&gt;H128,"Error in Areas ▲",IF(AND(P128='G-1 All Habitats'!$X$3,AB128="Yes"),"Alternative Compensation ✓",IF(Z128=0,0,IF(P128='G-1 All Habitats'!$X$3,"Any Loss Unacceptable ▲",T128-X128-Y128)))))),"Check Data ⚠")</f>
        <v/>
      </c>
      <c r="AB128" s="837"/>
      <c r="AC128" s="119"/>
      <c r="AD128" s="528"/>
      <c r="AE128" s="120"/>
      <c r="AF128" s="687"/>
      <c r="AG128" s="744" t="str">
        <f>IF(P128="","",IF(P128='G-1 All Habitats'!$X$3,H128-V128-W128,"None"))</f>
        <v/>
      </c>
      <c r="AH128" s="744" t="str">
        <f t="shared" si="13"/>
        <v/>
      </c>
      <c r="AJ128" s="124" t="str">
        <f t="shared" si="18"/>
        <v/>
      </c>
      <c r="AK128" s="124" t="str">
        <f t="shared" si="19"/>
        <v/>
      </c>
      <c r="AL128" s="124" t="str">
        <f>IF(I128="","",IF(#REF!&gt;0,TRUE,FALSE))</f>
        <v/>
      </c>
      <c r="AM128" s="124">
        <v>118</v>
      </c>
      <c r="AN128" s="124"/>
      <c r="AO128" s="124" t="str">
        <f t="array" ref="AO128">IFERROR(INDEX($AM$11:$AM$259, MATCH(0, IF(TRUE=$AJ$11:$AJ$259, COUNTIF($AO$10:$AO127, $AM$11:$AM$259), ""), 0)),"")</f>
        <v/>
      </c>
      <c r="AP128" s="124" t="str">
        <f t="array" ref="AP128">IFERROR(INDEX($AM$11:$AM$259, MATCH(0, IF(TRUE=$AK$11:$AK$259, COUNTIF($AP$10:$AP127, $AM$11:$AM$259), ""), 0)),"")</f>
        <v/>
      </c>
      <c r="AQ128" s="124" t="str">
        <f t="array" ref="AQ128">IFERROR(INDEX($AM$11:$AM$259, MATCH(0, IF(TRUE=$AL$11:$AL$259, COUNTIF($AQ$10:$AQ127, $AM$11:$AM$259), ""), 0)),"")</f>
        <v/>
      </c>
      <c r="AU128" s="30">
        <f t="shared" si="20"/>
        <v>0</v>
      </c>
      <c r="AY128" s="374" t="str">
        <f t="shared" si="16"/>
        <v/>
      </c>
    </row>
    <row r="129" spans="1:51">
      <c r="A129" s="30" t="str">
        <f>IFERROR(INDEX('G-1 All Habitats'!$AG$3:$AG$17,MATCH(E129,'G-1 All Habitats'!$AF$3:$AF$17,0)),"")</f>
        <v/>
      </c>
      <c r="B129" s="30" t="str">
        <f>IFERROR(INDEX('G-8 Condition Look up'!$I$4:$I$135,MATCH(G129,'G-8 Condition Look up'!$A$4:$A$135,0)),"")</f>
        <v/>
      </c>
      <c r="D129" s="110">
        <v>119</v>
      </c>
      <c r="E129" s="339"/>
      <c r="F129" s="340"/>
      <c r="G129" s="295" t="str">
        <f>IFERROR(INDEX('G-1 All Habitats'!$B$3:$B$134,MATCH(F129,'G-1 All Habitats'!$A$3:$A$134,0)),"")</f>
        <v/>
      </c>
      <c r="H129" s="139"/>
      <c r="I129" s="722" t="str">
        <f>IF(G129="","",VLOOKUP(G129,'G-1 All Habitats'!$B$2:$M$134,10,FALSE))</f>
        <v/>
      </c>
      <c r="J129" s="490" t="str">
        <f>IFERROR(VLOOKUP(I129,'G-1 All Habitats'!$V$3:$W$7,2,FALSE),"")</f>
        <v/>
      </c>
      <c r="K129" s="114"/>
      <c r="L129" s="490" t="str">
        <f>IFERROR(INDEX('G-8 Condition Look up'!$A$3:$H$135,MATCH(G129,'G-8 Condition Look up'!$A$3:$A$135,0),MATCH(K129,'G-8 Condition Look up'!$A$3:$H$3,0)),"")</f>
        <v/>
      </c>
      <c r="M129" s="738"/>
      <c r="N129" s="404" t="str">
        <f>IF(M129="","",IF(VLOOKUP(M129,'G-3 Multipliers'!$L$3:$N$6,2,FALSE)=0,"Spatial Data Missing ⚠",VLOOKUP(M129,'G-3 Multipliers'!$L$3:$N$6,2,FALSE)))</f>
        <v/>
      </c>
      <c r="O129" s="452" t="str">
        <f>IF(M129="","",IF(VLOOKUP(M129,'G-3 Multipliers'!$L$3:$N$6,3,FALSE)=0,"Spatial Data Missing ⚠",VLOOKUP(M129,'G-3 Multipliers'!$L$3:$N$6,3,FALSE)))</f>
        <v/>
      </c>
      <c r="P129" s="369" t="str">
        <f>IFERROR(VLOOKUP(G129,'G-1 All Habitats'!$B$2:$M$134,12,FALSE),"")</f>
        <v/>
      </c>
      <c r="Q129" s="725" t="str">
        <f>IFERROR(IF(P129="","",IF(AND(P129='G-1 All Habitats'!$X$3,W129&gt;0),X129+(Y129*S129),IF(AND(P129='G-1 All Habitats'!$X$3,V129&gt;0),X129+(Y129*S129),IF(AND(P129='G-1 All Habitats'!$X$3,AG129&gt;0),"Any Loss Unacceptable  ⚠",IF(AND(P129='G-1 All Habitats'!$X$3,Z129&gt;0),"Any Loss Unacceptable ⚠",H129*J129*L129*O129*S129))))),"Check Data ⚠")</f>
        <v/>
      </c>
      <c r="R129" s="516"/>
      <c r="S129" s="724" t="str">
        <f>IF(R129="","",IF(VLOOKUP(R129,'G-3 Multipliers'!$S$3:$T$10,2,FALSE)=0,"Spatial Data Missing ⚠",VLOOKUP(R129,'G-3 Multipliers'!$S$3:$T$10,2,FALSE)))</f>
        <v/>
      </c>
      <c r="T129" s="376" t="str">
        <f>IFERROR(IF(P129="","",IF(AND(P129='G-1 All Habitats'!$X$3,W129&gt;0),X129+Y129,IF(AND(P129='G-1 All Habitats'!$X$3,V129&gt;0),X129+Y129,IF(AND(P129='G-1 All Habitats'!$X$3,AG129&gt;0),"Any Loss Unacceptable ⚠", IF(R129="","", IF(AND(P129='G-1 All Habitats'!$X$3,Z129&gt;0),"Any Loss Unacceptable ⚠",H129*J129*L129*O129)))))),"Check Data ⚠")</f>
        <v/>
      </c>
      <c r="U129" s="38"/>
      <c r="V129" s="54"/>
      <c r="W129" s="55"/>
      <c r="X129" s="374" t="str">
        <f t="shared" si="11"/>
        <v/>
      </c>
      <c r="Y129" s="374" t="str">
        <f t="shared" si="12"/>
        <v/>
      </c>
      <c r="Z129" s="374" t="str">
        <f>IF(E129="","",IF(H129&lt;V129+W129,"Error in Areas ▲",IF(P129&lt;&gt;'G-1 All Habitats'!$X$3,H129-V129-W129,IF(AND(P129='G-1 All Habitats'!$X$3,AB129="Yes"),"Unacceptable Loss ⚠",IF(AND(P129='G-1 All Habitats'!$X$3,AB129="No"),AG129,IF(AND(P129='G-1 All Habitats'!$X$3,AB129=""),AG129,IF(AND(P129='G-1 All Habitats'!$X$3,AG129="None",AG129),IF(AND(P129='G-1 All Habitats'!$X$3,AG129&gt;0),H129-V129-W129))))))))</f>
        <v/>
      </c>
      <c r="AA129" s="405" t="str">
        <f>IFERROR(IF(H129="","",IF(H129-V129-W129=0&lt;0,"Error in Areas ▲",IF(V129+W129&gt;H129,"Error in Areas ▲",IF(AND(P129='G-1 All Habitats'!$X$3,AB129="Yes"),"Alternative Compensation ✓",IF(Z129=0,0,IF(P129='G-1 All Habitats'!$X$3,"Any Loss Unacceptable ▲",T129-X129-Y129)))))),"Check Data ⚠")</f>
        <v/>
      </c>
      <c r="AB129" s="837"/>
      <c r="AC129" s="119"/>
      <c r="AD129" s="528"/>
      <c r="AE129" s="120"/>
      <c r="AF129" s="687"/>
      <c r="AG129" s="744" t="str">
        <f>IF(P129="","",IF(P129='G-1 All Habitats'!$X$3,H129-V129-W129,"None"))</f>
        <v/>
      </c>
      <c r="AH129" s="744" t="str">
        <f t="shared" si="13"/>
        <v/>
      </c>
      <c r="AJ129" s="124" t="str">
        <f t="shared" si="18"/>
        <v/>
      </c>
      <c r="AK129" s="124" t="str">
        <f t="shared" si="19"/>
        <v/>
      </c>
      <c r="AL129" s="124" t="str">
        <f>IF(I129="","",IF(#REF!&gt;0,TRUE,FALSE))</f>
        <v/>
      </c>
      <c r="AM129" s="124">
        <v>119</v>
      </c>
      <c r="AN129" s="124"/>
      <c r="AO129" s="124" t="str">
        <f t="array" ref="AO129">IFERROR(INDEX($AM$11:$AM$259, MATCH(0, IF(TRUE=$AJ$11:$AJ$259, COUNTIF($AO$10:$AO128, $AM$11:$AM$259), ""), 0)),"")</f>
        <v/>
      </c>
      <c r="AP129" s="124" t="str">
        <f t="array" ref="AP129">IFERROR(INDEX($AM$11:$AM$259, MATCH(0, IF(TRUE=$AK$11:$AK$259, COUNTIF($AP$10:$AP128, $AM$11:$AM$259), ""), 0)),"")</f>
        <v/>
      </c>
      <c r="AQ129" s="124" t="str">
        <f t="array" ref="AQ129">IFERROR(INDEX($AM$11:$AM$259, MATCH(0, IF(TRUE=$AL$11:$AL$259, COUNTIF($AQ$10:$AQ128, $AM$11:$AM$259), ""), 0)),"")</f>
        <v/>
      </c>
      <c r="AU129" s="30">
        <f t="shared" si="20"/>
        <v>0</v>
      </c>
      <c r="AY129" s="374" t="str">
        <f t="shared" si="16"/>
        <v/>
      </c>
    </row>
    <row r="130" spans="1:51">
      <c r="A130" s="30" t="str">
        <f>IFERROR(INDEX('G-1 All Habitats'!$AG$3:$AG$17,MATCH(E130,'G-1 All Habitats'!$AF$3:$AF$17,0)),"")</f>
        <v/>
      </c>
      <c r="B130" s="30" t="str">
        <f>IFERROR(INDEX('G-8 Condition Look up'!$I$4:$I$135,MATCH(G130,'G-8 Condition Look up'!$A$4:$A$135,0)),"")</f>
        <v/>
      </c>
      <c r="D130" s="110">
        <v>120</v>
      </c>
      <c r="E130" s="339"/>
      <c r="F130" s="340"/>
      <c r="G130" s="295" t="str">
        <f>IFERROR(INDEX('G-1 All Habitats'!$B$3:$B$134,MATCH(F130,'G-1 All Habitats'!$A$3:$A$134,0)),"")</f>
        <v/>
      </c>
      <c r="H130" s="139"/>
      <c r="I130" s="722" t="str">
        <f>IF(G130="","",VLOOKUP(G130,'G-1 All Habitats'!$B$2:$M$134,10,FALSE))</f>
        <v/>
      </c>
      <c r="J130" s="490" t="str">
        <f>IFERROR(VLOOKUP(I130,'G-1 All Habitats'!$V$3:$W$7,2,FALSE),"")</f>
        <v/>
      </c>
      <c r="K130" s="114"/>
      <c r="L130" s="490" t="str">
        <f>IFERROR(INDEX('G-8 Condition Look up'!$A$3:$H$135,MATCH(G130,'G-8 Condition Look up'!$A$3:$A$135,0),MATCH(K130,'G-8 Condition Look up'!$A$3:$H$3,0)),"")</f>
        <v/>
      </c>
      <c r="M130" s="738"/>
      <c r="N130" s="404" t="str">
        <f>IF(M130="","",IF(VLOOKUP(M130,'G-3 Multipliers'!$L$3:$N$6,2,FALSE)=0,"Spatial Data Missing ⚠",VLOOKUP(M130,'G-3 Multipliers'!$L$3:$N$6,2,FALSE)))</f>
        <v/>
      </c>
      <c r="O130" s="452" t="str">
        <f>IF(M130="","",IF(VLOOKUP(M130,'G-3 Multipliers'!$L$3:$N$6,3,FALSE)=0,"Spatial Data Missing ⚠",VLOOKUP(M130,'G-3 Multipliers'!$L$3:$N$6,3,FALSE)))</f>
        <v/>
      </c>
      <c r="P130" s="369" t="str">
        <f>IFERROR(VLOOKUP(G130,'G-1 All Habitats'!$B$2:$M$134,12,FALSE),"")</f>
        <v/>
      </c>
      <c r="Q130" s="725" t="str">
        <f>IFERROR(IF(P130="","",IF(AND(P130='G-1 All Habitats'!$X$3,W130&gt;0),X130+(Y130*S130),IF(AND(P130='G-1 All Habitats'!$X$3,V130&gt;0),X130+(Y130*S130),IF(AND(P130='G-1 All Habitats'!$X$3,AG130&gt;0),"Any Loss Unacceptable  ⚠",IF(AND(P130='G-1 All Habitats'!$X$3,Z130&gt;0),"Any Loss Unacceptable ⚠",H130*J130*L130*O130*S130))))),"Check Data ⚠")</f>
        <v/>
      </c>
      <c r="R130" s="516"/>
      <c r="S130" s="724" t="str">
        <f>IF(R130="","",IF(VLOOKUP(R130,'G-3 Multipliers'!$S$3:$T$10,2,FALSE)=0,"Spatial Data Missing ⚠",VLOOKUP(R130,'G-3 Multipliers'!$S$3:$T$10,2,FALSE)))</f>
        <v/>
      </c>
      <c r="T130" s="376" t="str">
        <f>IFERROR(IF(P130="","",IF(AND(P130='G-1 All Habitats'!$X$3,W130&gt;0),X130+Y130,IF(AND(P130='G-1 All Habitats'!$X$3,V130&gt;0),X130+Y130,IF(AND(P130='G-1 All Habitats'!$X$3,AG130&gt;0),"Any Loss Unacceptable ⚠", IF(R130="","", IF(AND(P130='G-1 All Habitats'!$X$3,Z130&gt;0),"Any Loss Unacceptable ⚠",H130*J130*L130*O130)))))),"Check Data ⚠")</f>
        <v/>
      </c>
      <c r="U130" s="38"/>
      <c r="V130" s="54"/>
      <c r="W130" s="55"/>
      <c r="X130" s="374" t="str">
        <f t="shared" si="11"/>
        <v/>
      </c>
      <c r="Y130" s="374" t="str">
        <f t="shared" si="12"/>
        <v/>
      </c>
      <c r="Z130" s="374" t="str">
        <f>IF(E130="","",IF(H130&lt;V130+W130,"Error in Areas ▲",IF(P130&lt;&gt;'G-1 All Habitats'!$X$3,H130-V130-W130,IF(AND(P130='G-1 All Habitats'!$X$3,AB130="Yes"),"Unacceptable Loss ⚠",IF(AND(P130='G-1 All Habitats'!$X$3,AB130="No"),AG130,IF(AND(P130='G-1 All Habitats'!$X$3,AB130=""),AG130,IF(AND(P130='G-1 All Habitats'!$X$3,AG130="None",AG130),IF(AND(P130='G-1 All Habitats'!$X$3,AG130&gt;0),H130-V130-W130))))))))</f>
        <v/>
      </c>
      <c r="AA130" s="405" t="str">
        <f>IFERROR(IF(H130="","",IF(H130-V130-W130=0&lt;0,"Error in Areas ▲",IF(V130+W130&gt;H130,"Error in Areas ▲",IF(AND(P130='G-1 All Habitats'!$X$3,AB130="Yes"),"Alternative Compensation ✓",IF(Z130=0,0,IF(P130='G-1 All Habitats'!$X$3,"Any Loss Unacceptable ▲",T130-X130-Y130)))))),"Check Data ⚠")</f>
        <v/>
      </c>
      <c r="AB130" s="837"/>
      <c r="AC130" s="119"/>
      <c r="AD130" s="528"/>
      <c r="AE130" s="120"/>
      <c r="AF130" s="687"/>
      <c r="AG130" s="744" t="str">
        <f>IF(P130="","",IF(P130='G-1 All Habitats'!$X$3,H130-V130-W130,"None"))</f>
        <v/>
      </c>
      <c r="AH130" s="744" t="str">
        <f t="shared" si="13"/>
        <v/>
      </c>
      <c r="AJ130" s="124" t="str">
        <f t="shared" si="18"/>
        <v/>
      </c>
      <c r="AK130" s="124" t="str">
        <f t="shared" si="19"/>
        <v/>
      </c>
      <c r="AL130" s="124" t="str">
        <f>IF(I130="","",IF(#REF!&gt;0,TRUE,FALSE))</f>
        <v/>
      </c>
      <c r="AM130" s="124">
        <v>120</v>
      </c>
      <c r="AN130" s="124"/>
      <c r="AO130" s="124" t="str">
        <f t="array" ref="AO130">IFERROR(INDEX($AM$11:$AM$259, MATCH(0, IF(TRUE=$AJ$11:$AJ$259, COUNTIF($AO$10:$AO129, $AM$11:$AM$259), ""), 0)),"")</f>
        <v/>
      </c>
      <c r="AP130" s="124" t="str">
        <f t="array" ref="AP130">IFERROR(INDEX($AM$11:$AM$259, MATCH(0, IF(TRUE=$AK$11:$AK$259, COUNTIF($AP$10:$AP129, $AM$11:$AM$259), ""), 0)),"")</f>
        <v/>
      </c>
      <c r="AQ130" s="124" t="str">
        <f t="array" ref="AQ130">IFERROR(INDEX($AM$11:$AM$259, MATCH(0, IF(TRUE=$AL$11:$AL$259, COUNTIF($AQ$10:$AQ129, $AM$11:$AM$259), ""), 0)),"")</f>
        <v/>
      </c>
      <c r="AU130" s="30">
        <f t="shared" si="20"/>
        <v>0</v>
      </c>
      <c r="AY130" s="374" t="str">
        <f t="shared" si="16"/>
        <v/>
      </c>
    </row>
    <row r="131" spans="1:51">
      <c r="A131" s="30" t="str">
        <f>IFERROR(INDEX('G-1 All Habitats'!$AG$3:$AG$17,MATCH(E131,'G-1 All Habitats'!$AF$3:$AF$17,0)),"")</f>
        <v/>
      </c>
      <c r="B131" s="30" t="str">
        <f>IFERROR(INDEX('G-8 Condition Look up'!$I$4:$I$135,MATCH(G131,'G-8 Condition Look up'!$A$4:$A$135,0)),"")</f>
        <v/>
      </c>
      <c r="D131" s="110">
        <v>121</v>
      </c>
      <c r="E131" s="339"/>
      <c r="F131" s="340"/>
      <c r="G131" s="295" t="str">
        <f>IFERROR(INDEX('G-1 All Habitats'!$B$3:$B$134,MATCH(F131,'G-1 All Habitats'!$A$3:$A$134,0)),"")</f>
        <v/>
      </c>
      <c r="H131" s="139"/>
      <c r="I131" s="722" t="str">
        <f>IF(G131="","",VLOOKUP(G131,'G-1 All Habitats'!$B$2:$M$134,10,FALSE))</f>
        <v/>
      </c>
      <c r="J131" s="490" t="str">
        <f>IFERROR(VLOOKUP(I131,'G-1 All Habitats'!$V$3:$W$7,2,FALSE),"")</f>
        <v/>
      </c>
      <c r="K131" s="114"/>
      <c r="L131" s="490" t="str">
        <f>IFERROR(INDEX('G-8 Condition Look up'!$A$3:$H$135,MATCH(G131,'G-8 Condition Look up'!$A$3:$A$135,0),MATCH(K131,'G-8 Condition Look up'!$A$3:$H$3,0)),"")</f>
        <v/>
      </c>
      <c r="M131" s="738"/>
      <c r="N131" s="404" t="str">
        <f>IF(M131="","",IF(VLOOKUP(M131,'G-3 Multipliers'!$L$3:$N$6,2,FALSE)=0,"Spatial Data Missing ⚠",VLOOKUP(M131,'G-3 Multipliers'!$L$3:$N$6,2,FALSE)))</f>
        <v/>
      </c>
      <c r="O131" s="452" t="str">
        <f>IF(M131="","",IF(VLOOKUP(M131,'G-3 Multipliers'!$L$3:$N$6,3,FALSE)=0,"Spatial Data Missing ⚠",VLOOKUP(M131,'G-3 Multipliers'!$L$3:$N$6,3,FALSE)))</f>
        <v/>
      </c>
      <c r="P131" s="369" t="str">
        <f>IFERROR(VLOOKUP(G131,'G-1 All Habitats'!$B$2:$M$134,12,FALSE),"")</f>
        <v/>
      </c>
      <c r="Q131" s="725" t="str">
        <f>IFERROR(IF(P131="","",IF(AND(P131='G-1 All Habitats'!$X$3,W131&gt;0),X131+(Y131*S131),IF(AND(P131='G-1 All Habitats'!$X$3,V131&gt;0),X131+(Y131*S131),IF(AND(P131='G-1 All Habitats'!$X$3,AG131&gt;0),"Any Loss Unacceptable  ⚠",IF(AND(P131='G-1 All Habitats'!$X$3,Z131&gt;0),"Any Loss Unacceptable ⚠",H131*J131*L131*O131*S131))))),"Check Data ⚠")</f>
        <v/>
      </c>
      <c r="R131" s="516"/>
      <c r="S131" s="724" t="str">
        <f>IF(R131="","",IF(VLOOKUP(R131,'G-3 Multipliers'!$S$3:$T$10,2,FALSE)=0,"Spatial Data Missing ⚠",VLOOKUP(R131,'G-3 Multipliers'!$S$3:$T$10,2,FALSE)))</f>
        <v/>
      </c>
      <c r="T131" s="376" t="str">
        <f>IFERROR(IF(P131="","",IF(AND(P131='G-1 All Habitats'!$X$3,W131&gt;0),X131+Y131,IF(AND(P131='G-1 All Habitats'!$X$3,V131&gt;0),X131+Y131,IF(AND(P131='G-1 All Habitats'!$X$3,AG131&gt;0),"Any Loss Unacceptable ⚠", IF(R131="","", IF(AND(P131='G-1 All Habitats'!$X$3,Z131&gt;0),"Any Loss Unacceptable ⚠",H131*J131*L131*O131)))))),"Check Data ⚠")</f>
        <v/>
      </c>
      <c r="U131" s="38"/>
      <c r="V131" s="54"/>
      <c r="W131" s="55"/>
      <c r="X131" s="374" t="str">
        <f t="shared" si="11"/>
        <v/>
      </c>
      <c r="Y131" s="374" t="str">
        <f t="shared" si="12"/>
        <v/>
      </c>
      <c r="Z131" s="374" t="str">
        <f>IF(E131="","",IF(H131&lt;V131+W131,"Error in Areas ▲",IF(P131&lt;&gt;'G-1 All Habitats'!$X$3,H131-V131-W131,IF(AND(P131='G-1 All Habitats'!$X$3,AB131="Yes"),"Unacceptable Loss ⚠",IF(AND(P131='G-1 All Habitats'!$X$3,AB131="No"),AG131,IF(AND(P131='G-1 All Habitats'!$X$3,AB131=""),AG131,IF(AND(P131='G-1 All Habitats'!$X$3,AG131="None",AG131),IF(AND(P131='G-1 All Habitats'!$X$3,AG131&gt;0),H131-V131-W131))))))))</f>
        <v/>
      </c>
      <c r="AA131" s="405" t="str">
        <f>IFERROR(IF(H131="","",IF(H131-V131-W131=0&lt;0,"Error in Areas ▲",IF(V131+W131&gt;H131,"Error in Areas ▲",IF(AND(P131='G-1 All Habitats'!$X$3,AB131="Yes"),"Alternative Compensation ✓",IF(Z131=0,0,IF(P131='G-1 All Habitats'!$X$3,"Any Loss Unacceptable ▲",T131-X131-Y131)))))),"Check Data ⚠")</f>
        <v/>
      </c>
      <c r="AB131" s="837"/>
      <c r="AC131" s="119"/>
      <c r="AD131" s="528"/>
      <c r="AE131" s="120"/>
      <c r="AF131" s="687"/>
      <c r="AG131" s="744" t="str">
        <f>IF(P131="","",IF(P131='G-1 All Habitats'!$X$3,H131-V131-W131,"None"))</f>
        <v/>
      </c>
      <c r="AH131" s="744" t="str">
        <f t="shared" si="13"/>
        <v/>
      </c>
      <c r="AJ131" s="124" t="str">
        <f t="shared" si="18"/>
        <v/>
      </c>
      <c r="AK131" s="124" t="str">
        <f t="shared" si="19"/>
        <v/>
      </c>
      <c r="AL131" s="124" t="str">
        <f>IF(I131="","",IF(#REF!&gt;0,TRUE,FALSE))</f>
        <v/>
      </c>
      <c r="AM131" s="124">
        <v>121</v>
      </c>
      <c r="AN131" s="124"/>
      <c r="AO131" s="124" t="str">
        <f t="array" ref="AO131">IFERROR(INDEX($AM$11:$AM$259, MATCH(0, IF(TRUE=$AJ$11:$AJ$259, COUNTIF($AO$10:$AO130, $AM$11:$AM$259), ""), 0)),"")</f>
        <v/>
      </c>
      <c r="AP131" s="124" t="str">
        <f t="array" ref="AP131">IFERROR(INDEX($AM$11:$AM$259, MATCH(0, IF(TRUE=$AK$11:$AK$259, COUNTIF($AP$10:$AP130, $AM$11:$AM$259), ""), 0)),"")</f>
        <v/>
      </c>
      <c r="AQ131" s="124" t="str">
        <f t="array" ref="AQ131">IFERROR(INDEX($AM$11:$AM$259, MATCH(0, IF(TRUE=$AL$11:$AL$259, COUNTIF($AQ$10:$AQ130, $AM$11:$AM$259), ""), 0)),"")</f>
        <v/>
      </c>
      <c r="AU131" s="30">
        <f t="shared" si="20"/>
        <v>0</v>
      </c>
      <c r="AY131" s="374" t="str">
        <f t="shared" si="16"/>
        <v/>
      </c>
    </row>
    <row r="132" spans="1:51">
      <c r="A132" s="30" t="str">
        <f>IFERROR(INDEX('G-1 All Habitats'!$AG$3:$AG$17,MATCH(E132,'G-1 All Habitats'!$AF$3:$AF$17,0)),"")</f>
        <v/>
      </c>
      <c r="B132" s="30" t="str">
        <f>IFERROR(INDEX('G-8 Condition Look up'!$I$4:$I$135,MATCH(G132,'G-8 Condition Look up'!$A$4:$A$135,0)),"")</f>
        <v/>
      </c>
      <c r="D132" s="110">
        <v>122</v>
      </c>
      <c r="E132" s="339"/>
      <c r="F132" s="340"/>
      <c r="G132" s="295" t="str">
        <f>IFERROR(INDEX('G-1 All Habitats'!$B$3:$B$134,MATCH(F132,'G-1 All Habitats'!$A$3:$A$134,0)),"")</f>
        <v/>
      </c>
      <c r="H132" s="139"/>
      <c r="I132" s="722" t="str">
        <f>IF(G132="","",VLOOKUP(G132,'G-1 All Habitats'!$B$2:$M$134,10,FALSE))</f>
        <v/>
      </c>
      <c r="J132" s="490" t="str">
        <f>IFERROR(VLOOKUP(I132,'G-1 All Habitats'!$V$3:$W$7,2,FALSE),"")</f>
        <v/>
      </c>
      <c r="K132" s="114"/>
      <c r="L132" s="490" t="str">
        <f>IFERROR(INDEX('G-8 Condition Look up'!$A$3:$H$135,MATCH(G132,'G-8 Condition Look up'!$A$3:$A$135,0),MATCH(K132,'G-8 Condition Look up'!$A$3:$H$3,0)),"")</f>
        <v/>
      </c>
      <c r="M132" s="738"/>
      <c r="N132" s="404" t="str">
        <f>IF(M132="","",IF(VLOOKUP(M132,'G-3 Multipliers'!$L$3:$N$6,2,FALSE)=0,"Spatial Data Missing ⚠",VLOOKUP(M132,'G-3 Multipliers'!$L$3:$N$6,2,FALSE)))</f>
        <v/>
      </c>
      <c r="O132" s="452" t="str">
        <f>IF(M132="","",IF(VLOOKUP(M132,'G-3 Multipliers'!$L$3:$N$6,3,FALSE)=0,"Spatial Data Missing ⚠",VLOOKUP(M132,'G-3 Multipliers'!$L$3:$N$6,3,FALSE)))</f>
        <v/>
      </c>
      <c r="P132" s="369" t="str">
        <f>IFERROR(VLOOKUP(G132,'G-1 All Habitats'!$B$2:$M$134,12,FALSE),"")</f>
        <v/>
      </c>
      <c r="Q132" s="725" t="str">
        <f>IFERROR(IF(P132="","",IF(AND(P132='G-1 All Habitats'!$X$3,W132&gt;0),X132+(Y132*S132),IF(AND(P132='G-1 All Habitats'!$X$3,V132&gt;0),X132+(Y132*S132),IF(AND(P132='G-1 All Habitats'!$X$3,AG132&gt;0),"Any Loss Unacceptable  ⚠",IF(AND(P132='G-1 All Habitats'!$X$3,Z132&gt;0),"Any Loss Unacceptable ⚠",H132*J132*L132*O132*S132))))),"Check Data ⚠")</f>
        <v/>
      </c>
      <c r="R132" s="516"/>
      <c r="S132" s="724" t="str">
        <f>IF(R132="","",IF(VLOOKUP(R132,'G-3 Multipliers'!$S$3:$T$10,2,FALSE)=0,"Spatial Data Missing ⚠",VLOOKUP(R132,'G-3 Multipliers'!$S$3:$T$10,2,FALSE)))</f>
        <v/>
      </c>
      <c r="T132" s="376" t="str">
        <f>IFERROR(IF(P132="","",IF(AND(P132='G-1 All Habitats'!$X$3,W132&gt;0),X132+Y132,IF(AND(P132='G-1 All Habitats'!$X$3,V132&gt;0),X132+Y132,IF(AND(P132='G-1 All Habitats'!$X$3,AG132&gt;0),"Any Loss Unacceptable ⚠", IF(R132="","", IF(AND(P132='G-1 All Habitats'!$X$3,Z132&gt;0),"Any Loss Unacceptable ⚠",H132*J132*L132*O132)))))),"Check Data ⚠")</f>
        <v/>
      </c>
      <c r="U132" s="38"/>
      <c r="V132" s="54"/>
      <c r="W132" s="55"/>
      <c r="X132" s="374" t="str">
        <f t="shared" si="11"/>
        <v/>
      </c>
      <c r="Y132" s="374" t="str">
        <f t="shared" si="12"/>
        <v/>
      </c>
      <c r="Z132" s="374" t="str">
        <f>IF(E132="","",IF(H132&lt;V132+W132,"Error in Areas ▲",IF(P132&lt;&gt;'G-1 All Habitats'!$X$3,H132-V132-W132,IF(AND(P132='G-1 All Habitats'!$X$3,AB132="Yes"),"Unacceptable Loss ⚠",IF(AND(P132='G-1 All Habitats'!$X$3,AB132="No"),AG132,IF(AND(P132='G-1 All Habitats'!$X$3,AB132=""),AG132,IF(AND(P132='G-1 All Habitats'!$X$3,AG132="None",AG132),IF(AND(P132='G-1 All Habitats'!$X$3,AG132&gt;0),H132-V132-W132))))))))</f>
        <v/>
      </c>
      <c r="AA132" s="405" t="str">
        <f>IFERROR(IF(H132="","",IF(H132-V132-W132=0&lt;0,"Error in Areas ▲",IF(V132+W132&gt;H132,"Error in Areas ▲",IF(AND(P132='G-1 All Habitats'!$X$3,AB132="Yes"),"Alternative Compensation ✓",IF(Z132=0,0,IF(P132='G-1 All Habitats'!$X$3,"Any Loss Unacceptable ▲",T132-X132-Y132)))))),"Check Data ⚠")</f>
        <v/>
      </c>
      <c r="AB132" s="837"/>
      <c r="AC132" s="119"/>
      <c r="AD132" s="528"/>
      <c r="AE132" s="120"/>
      <c r="AF132" s="687"/>
      <c r="AG132" s="744" t="str">
        <f>IF(P132="","",IF(P132='G-1 All Habitats'!$X$3,H132-V132-W132,"None"))</f>
        <v/>
      </c>
      <c r="AH132" s="744" t="str">
        <f t="shared" si="13"/>
        <v/>
      </c>
      <c r="AJ132" s="124" t="str">
        <f t="shared" si="18"/>
        <v/>
      </c>
      <c r="AK132" s="124" t="str">
        <f t="shared" si="19"/>
        <v/>
      </c>
      <c r="AL132" s="124" t="str">
        <f>IF(I132="","",IF(#REF!&gt;0,TRUE,FALSE))</f>
        <v/>
      </c>
      <c r="AM132" s="124">
        <v>122</v>
      </c>
      <c r="AN132" s="124"/>
      <c r="AO132" s="124" t="str">
        <f t="array" ref="AO132">IFERROR(INDEX($AM$11:$AM$259, MATCH(0, IF(TRUE=$AJ$11:$AJ$259, COUNTIF($AO$10:$AO131, $AM$11:$AM$259), ""), 0)),"")</f>
        <v/>
      </c>
      <c r="AP132" s="124" t="str">
        <f t="array" ref="AP132">IFERROR(INDEX($AM$11:$AM$259, MATCH(0, IF(TRUE=$AK$11:$AK$259, COUNTIF($AP$10:$AP131, $AM$11:$AM$259), ""), 0)),"")</f>
        <v/>
      </c>
      <c r="AQ132" s="124" t="str">
        <f t="array" ref="AQ132">IFERROR(INDEX($AM$11:$AM$259, MATCH(0, IF(TRUE=$AL$11:$AL$259, COUNTIF($AQ$10:$AQ131, $AM$11:$AM$259), ""), 0)),"")</f>
        <v/>
      </c>
      <c r="AU132" s="30">
        <f t="shared" si="20"/>
        <v>0</v>
      </c>
      <c r="AY132" s="374" t="str">
        <f t="shared" si="16"/>
        <v/>
      </c>
    </row>
    <row r="133" spans="1:51">
      <c r="A133" s="30" t="str">
        <f>IFERROR(INDEX('G-1 All Habitats'!$AG$3:$AG$17,MATCH(E133,'G-1 All Habitats'!$AF$3:$AF$17,0)),"")</f>
        <v/>
      </c>
      <c r="B133" s="30" t="str">
        <f>IFERROR(INDEX('G-8 Condition Look up'!$I$4:$I$135,MATCH(G133,'G-8 Condition Look up'!$A$4:$A$135,0)),"")</f>
        <v/>
      </c>
      <c r="D133" s="110">
        <v>123</v>
      </c>
      <c r="E133" s="339"/>
      <c r="F133" s="340"/>
      <c r="G133" s="295" t="str">
        <f>IFERROR(INDEX('G-1 All Habitats'!$B$3:$B$134,MATCH(F133,'G-1 All Habitats'!$A$3:$A$134,0)),"")</f>
        <v/>
      </c>
      <c r="H133" s="139"/>
      <c r="I133" s="722" t="str">
        <f>IF(G133="","",VLOOKUP(G133,'G-1 All Habitats'!$B$2:$M$134,10,FALSE))</f>
        <v/>
      </c>
      <c r="J133" s="490" t="str">
        <f>IFERROR(VLOOKUP(I133,'G-1 All Habitats'!$V$3:$W$7,2,FALSE),"")</f>
        <v/>
      </c>
      <c r="K133" s="114"/>
      <c r="L133" s="490" t="str">
        <f>IFERROR(INDEX('G-8 Condition Look up'!$A$3:$H$135,MATCH(G133,'G-8 Condition Look up'!$A$3:$A$135,0),MATCH(K133,'G-8 Condition Look up'!$A$3:$H$3,0)),"")</f>
        <v/>
      </c>
      <c r="M133" s="738"/>
      <c r="N133" s="404" t="str">
        <f>IF(M133="","",IF(VLOOKUP(M133,'G-3 Multipliers'!$L$3:$N$6,2,FALSE)=0,"Spatial Data Missing ⚠",VLOOKUP(M133,'G-3 Multipliers'!$L$3:$N$6,2,FALSE)))</f>
        <v/>
      </c>
      <c r="O133" s="452" t="str">
        <f>IF(M133="","",IF(VLOOKUP(M133,'G-3 Multipliers'!$L$3:$N$6,3,FALSE)=0,"Spatial Data Missing ⚠",VLOOKUP(M133,'G-3 Multipliers'!$L$3:$N$6,3,FALSE)))</f>
        <v/>
      </c>
      <c r="P133" s="369" t="str">
        <f>IFERROR(VLOOKUP(G133,'G-1 All Habitats'!$B$2:$M$134,12,FALSE),"")</f>
        <v/>
      </c>
      <c r="Q133" s="725" t="str">
        <f>IFERROR(IF(P133="","",IF(AND(P133='G-1 All Habitats'!$X$3,W133&gt;0),X133+(Y133*S133),IF(AND(P133='G-1 All Habitats'!$X$3,V133&gt;0),X133+(Y133*S133),IF(AND(P133='G-1 All Habitats'!$X$3,AG133&gt;0),"Any Loss Unacceptable  ⚠",IF(AND(P133='G-1 All Habitats'!$X$3,Z133&gt;0),"Any Loss Unacceptable ⚠",H133*J133*L133*O133*S133))))),"Check Data ⚠")</f>
        <v/>
      </c>
      <c r="R133" s="516"/>
      <c r="S133" s="724" t="str">
        <f>IF(R133="","",IF(VLOOKUP(R133,'G-3 Multipliers'!$S$3:$T$10,2,FALSE)=0,"Spatial Data Missing ⚠",VLOOKUP(R133,'G-3 Multipliers'!$S$3:$T$10,2,FALSE)))</f>
        <v/>
      </c>
      <c r="T133" s="376" t="str">
        <f>IFERROR(IF(P133="","",IF(AND(P133='G-1 All Habitats'!$X$3,W133&gt;0),X133+Y133,IF(AND(P133='G-1 All Habitats'!$X$3,V133&gt;0),X133+Y133,IF(AND(P133='G-1 All Habitats'!$X$3,AG133&gt;0),"Any Loss Unacceptable ⚠", IF(R133="","", IF(AND(P133='G-1 All Habitats'!$X$3,Z133&gt;0),"Any Loss Unacceptable ⚠",H133*J133*L133*O133)))))),"Check Data ⚠")</f>
        <v/>
      </c>
      <c r="U133" s="38"/>
      <c r="V133" s="54"/>
      <c r="W133" s="55"/>
      <c r="X133" s="374" t="str">
        <f t="shared" si="11"/>
        <v/>
      </c>
      <c r="Y133" s="374" t="str">
        <f t="shared" si="12"/>
        <v/>
      </c>
      <c r="Z133" s="374" t="str">
        <f>IF(E133="","",IF(H133&lt;V133+W133,"Error in Areas ▲",IF(P133&lt;&gt;'G-1 All Habitats'!$X$3,H133-V133-W133,IF(AND(P133='G-1 All Habitats'!$X$3,AB133="Yes"),"Unacceptable Loss ⚠",IF(AND(P133='G-1 All Habitats'!$X$3,AB133="No"),AG133,IF(AND(P133='G-1 All Habitats'!$X$3,AB133=""),AG133,IF(AND(P133='G-1 All Habitats'!$X$3,AG133="None",AG133),IF(AND(P133='G-1 All Habitats'!$X$3,AG133&gt;0),H133-V133-W133))))))))</f>
        <v/>
      </c>
      <c r="AA133" s="405" t="str">
        <f>IFERROR(IF(H133="","",IF(H133-V133-W133=0&lt;0,"Error in Areas ▲",IF(V133+W133&gt;H133,"Error in Areas ▲",IF(AND(P133='G-1 All Habitats'!$X$3,AB133="Yes"),"Alternative Compensation ✓",IF(Z133=0,0,IF(P133='G-1 All Habitats'!$X$3,"Any Loss Unacceptable ▲",T133-X133-Y133)))))),"Check Data ⚠")</f>
        <v/>
      </c>
      <c r="AB133" s="837"/>
      <c r="AC133" s="119"/>
      <c r="AD133" s="528"/>
      <c r="AE133" s="120"/>
      <c r="AF133" s="687"/>
      <c r="AG133" s="744" t="str">
        <f>IF(P133="","",IF(P133='G-1 All Habitats'!$X$3,H133-V133-W133,"None"))</f>
        <v/>
      </c>
      <c r="AH133" s="744" t="str">
        <f t="shared" si="13"/>
        <v/>
      </c>
      <c r="AJ133" s="124" t="str">
        <f t="shared" si="18"/>
        <v/>
      </c>
      <c r="AK133" s="124" t="str">
        <f t="shared" si="19"/>
        <v/>
      </c>
      <c r="AL133" s="124" t="str">
        <f>IF(I133="","",IF(#REF!&gt;0,TRUE,FALSE))</f>
        <v/>
      </c>
      <c r="AM133" s="124">
        <v>123</v>
      </c>
      <c r="AN133" s="124"/>
      <c r="AO133" s="124" t="str">
        <f t="array" ref="AO133">IFERROR(INDEX($AM$11:$AM$259, MATCH(0, IF(TRUE=$AJ$11:$AJ$259, COUNTIF($AO$10:$AO132, $AM$11:$AM$259), ""), 0)),"")</f>
        <v/>
      </c>
      <c r="AP133" s="124" t="str">
        <f t="array" ref="AP133">IFERROR(INDEX($AM$11:$AM$259, MATCH(0, IF(TRUE=$AK$11:$AK$259, COUNTIF($AP$10:$AP132, $AM$11:$AM$259), ""), 0)),"")</f>
        <v/>
      </c>
      <c r="AQ133" s="124" t="str">
        <f t="array" ref="AQ133">IFERROR(INDEX($AM$11:$AM$259, MATCH(0, IF(TRUE=$AL$11:$AL$259, COUNTIF($AQ$10:$AQ132, $AM$11:$AM$259), ""), 0)),"")</f>
        <v/>
      </c>
      <c r="AU133" s="30">
        <f t="shared" si="20"/>
        <v>0</v>
      </c>
      <c r="AY133" s="374" t="str">
        <f t="shared" si="16"/>
        <v/>
      </c>
    </row>
    <row r="134" spans="1:51">
      <c r="A134" s="30" t="str">
        <f>IFERROR(INDEX('G-1 All Habitats'!$AG$3:$AG$17,MATCH(E134,'G-1 All Habitats'!$AF$3:$AF$17,0)),"")</f>
        <v/>
      </c>
      <c r="B134" s="30" t="str">
        <f>IFERROR(INDEX('G-8 Condition Look up'!$I$4:$I$135,MATCH(G134,'G-8 Condition Look up'!$A$4:$A$135,0)),"")</f>
        <v/>
      </c>
      <c r="D134" s="110">
        <v>124</v>
      </c>
      <c r="E134" s="339"/>
      <c r="F134" s="340"/>
      <c r="G134" s="295" t="str">
        <f>IFERROR(INDEX('G-1 All Habitats'!$B$3:$B$134,MATCH(F134,'G-1 All Habitats'!$A$3:$A$134,0)),"")</f>
        <v/>
      </c>
      <c r="H134" s="139"/>
      <c r="I134" s="722" t="str">
        <f>IF(G134="","",VLOOKUP(G134,'G-1 All Habitats'!$B$2:$M$134,10,FALSE))</f>
        <v/>
      </c>
      <c r="J134" s="490" t="str">
        <f>IFERROR(VLOOKUP(I134,'G-1 All Habitats'!$V$3:$W$7,2,FALSE),"")</f>
        <v/>
      </c>
      <c r="K134" s="114"/>
      <c r="L134" s="490" t="str">
        <f>IFERROR(INDEX('G-8 Condition Look up'!$A$3:$H$135,MATCH(G134,'G-8 Condition Look up'!$A$3:$A$135,0),MATCH(K134,'G-8 Condition Look up'!$A$3:$H$3,0)),"")</f>
        <v/>
      </c>
      <c r="M134" s="738"/>
      <c r="N134" s="404" t="str">
        <f>IF(M134="","",IF(VLOOKUP(M134,'G-3 Multipliers'!$L$3:$N$6,2,FALSE)=0,"Spatial Data Missing ⚠",VLOOKUP(M134,'G-3 Multipliers'!$L$3:$N$6,2,FALSE)))</f>
        <v/>
      </c>
      <c r="O134" s="452" t="str">
        <f>IF(M134="","",IF(VLOOKUP(M134,'G-3 Multipliers'!$L$3:$N$6,3,FALSE)=0,"Spatial Data Missing ⚠",VLOOKUP(M134,'G-3 Multipliers'!$L$3:$N$6,3,FALSE)))</f>
        <v/>
      </c>
      <c r="P134" s="369" t="str">
        <f>IFERROR(VLOOKUP(G134,'G-1 All Habitats'!$B$2:$M$134,12,FALSE),"")</f>
        <v/>
      </c>
      <c r="Q134" s="725" t="str">
        <f>IFERROR(IF(P134="","",IF(AND(P134='G-1 All Habitats'!$X$3,W134&gt;0),X134+(Y134*S134),IF(AND(P134='G-1 All Habitats'!$X$3,V134&gt;0),X134+(Y134*S134),IF(AND(P134='G-1 All Habitats'!$X$3,AG134&gt;0),"Any Loss Unacceptable  ⚠",IF(AND(P134='G-1 All Habitats'!$X$3,Z134&gt;0),"Any Loss Unacceptable ⚠",H134*J134*L134*O134*S134))))),"Check Data ⚠")</f>
        <v/>
      </c>
      <c r="R134" s="516"/>
      <c r="S134" s="724" t="str">
        <f>IF(R134="","",IF(VLOOKUP(R134,'G-3 Multipliers'!$S$3:$T$10,2,FALSE)=0,"Spatial Data Missing ⚠",VLOOKUP(R134,'G-3 Multipliers'!$S$3:$T$10,2,FALSE)))</f>
        <v/>
      </c>
      <c r="T134" s="376" t="str">
        <f>IFERROR(IF(P134="","",IF(AND(P134='G-1 All Habitats'!$X$3,W134&gt;0),X134+Y134,IF(AND(P134='G-1 All Habitats'!$X$3,V134&gt;0),X134+Y134,IF(AND(P134='G-1 All Habitats'!$X$3,AG134&gt;0),"Any Loss Unacceptable ⚠", IF(R134="","", IF(AND(P134='G-1 All Habitats'!$X$3,Z134&gt;0),"Any Loss Unacceptable ⚠",H134*J134*L134*O134)))))),"Check Data ⚠")</f>
        <v/>
      </c>
      <c r="U134" s="38"/>
      <c r="V134" s="54"/>
      <c r="W134" s="55"/>
      <c r="X134" s="374" t="str">
        <f t="shared" si="11"/>
        <v/>
      </c>
      <c r="Y134" s="374" t="str">
        <f t="shared" si="12"/>
        <v/>
      </c>
      <c r="Z134" s="374" t="str">
        <f>IF(E134="","",IF(H134&lt;V134+W134,"Error in Areas ▲",IF(P134&lt;&gt;'G-1 All Habitats'!$X$3,H134-V134-W134,IF(AND(P134='G-1 All Habitats'!$X$3,AB134="Yes"),"Unacceptable Loss ⚠",IF(AND(P134='G-1 All Habitats'!$X$3,AB134="No"),AG134,IF(AND(P134='G-1 All Habitats'!$X$3,AB134=""),AG134,IF(AND(P134='G-1 All Habitats'!$X$3,AG134="None",AG134),IF(AND(P134='G-1 All Habitats'!$X$3,AG134&gt;0),H134-V134-W134))))))))</f>
        <v/>
      </c>
      <c r="AA134" s="405" t="str">
        <f>IFERROR(IF(H134="","",IF(H134-V134-W134=0&lt;0,"Error in Areas ▲",IF(V134+W134&gt;H134,"Error in Areas ▲",IF(AND(P134='G-1 All Habitats'!$X$3,AB134="Yes"),"Alternative Compensation ✓",IF(Z134=0,0,IF(P134='G-1 All Habitats'!$X$3,"Any Loss Unacceptable ▲",T134-X134-Y134)))))),"Check Data ⚠")</f>
        <v/>
      </c>
      <c r="AB134" s="837"/>
      <c r="AC134" s="119"/>
      <c r="AD134" s="528"/>
      <c r="AE134" s="120"/>
      <c r="AF134" s="687"/>
      <c r="AG134" s="744" t="str">
        <f>IF(P134="","",IF(P134='G-1 All Habitats'!$X$3,H134-V134-W134,"None"))</f>
        <v/>
      </c>
      <c r="AH134" s="744" t="str">
        <f t="shared" si="13"/>
        <v/>
      </c>
      <c r="AJ134" s="124" t="str">
        <f t="shared" si="18"/>
        <v/>
      </c>
      <c r="AK134" s="124" t="str">
        <f t="shared" si="19"/>
        <v/>
      </c>
      <c r="AL134" s="124" t="str">
        <f>IF(I134="","",IF(#REF!&gt;0,TRUE,FALSE))</f>
        <v/>
      </c>
      <c r="AM134" s="124">
        <v>124</v>
      </c>
      <c r="AN134" s="124"/>
      <c r="AO134" s="124" t="str">
        <f t="array" ref="AO134">IFERROR(INDEX($AM$11:$AM$259, MATCH(0, IF(TRUE=$AJ$11:$AJ$259, COUNTIF($AO$10:$AO133, $AM$11:$AM$259), ""), 0)),"")</f>
        <v/>
      </c>
      <c r="AP134" s="124" t="str">
        <f t="array" ref="AP134">IFERROR(INDEX($AM$11:$AM$259, MATCH(0, IF(TRUE=$AK$11:$AK$259, COUNTIF($AP$10:$AP133, $AM$11:$AM$259), ""), 0)),"")</f>
        <v/>
      </c>
      <c r="AQ134" s="124" t="str">
        <f t="array" ref="AQ134">IFERROR(INDEX($AM$11:$AM$259, MATCH(0, IF(TRUE=$AL$11:$AL$259, COUNTIF($AQ$10:$AQ133, $AM$11:$AM$259), ""), 0)),"")</f>
        <v/>
      </c>
      <c r="AU134" s="30">
        <f t="shared" si="20"/>
        <v>0</v>
      </c>
      <c r="AY134" s="374" t="str">
        <f t="shared" si="16"/>
        <v/>
      </c>
    </row>
    <row r="135" spans="1:51">
      <c r="A135" s="30" t="str">
        <f>IFERROR(INDEX('G-1 All Habitats'!$AG$3:$AG$17,MATCH(E135,'G-1 All Habitats'!$AF$3:$AF$17,0)),"")</f>
        <v/>
      </c>
      <c r="B135" s="30" t="str">
        <f>IFERROR(INDEX('G-8 Condition Look up'!$I$4:$I$135,MATCH(G135,'G-8 Condition Look up'!$A$4:$A$135,0)),"")</f>
        <v/>
      </c>
      <c r="D135" s="110">
        <v>125</v>
      </c>
      <c r="E135" s="339"/>
      <c r="F135" s="340"/>
      <c r="G135" s="295" t="str">
        <f>IFERROR(INDEX('G-1 All Habitats'!$B$3:$B$134,MATCH(F135,'G-1 All Habitats'!$A$3:$A$134,0)),"")</f>
        <v/>
      </c>
      <c r="H135" s="139"/>
      <c r="I135" s="722" t="str">
        <f>IF(G135="","",VLOOKUP(G135,'G-1 All Habitats'!$B$2:$M$134,10,FALSE))</f>
        <v/>
      </c>
      <c r="J135" s="490" t="str">
        <f>IFERROR(VLOOKUP(I135,'G-1 All Habitats'!$V$3:$W$7,2,FALSE),"")</f>
        <v/>
      </c>
      <c r="K135" s="114"/>
      <c r="L135" s="490" t="str">
        <f>IFERROR(INDEX('G-8 Condition Look up'!$A$3:$H$135,MATCH(G135,'G-8 Condition Look up'!$A$3:$A$135,0),MATCH(K135,'G-8 Condition Look up'!$A$3:$H$3,0)),"")</f>
        <v/>
      </c>
      <c r="M135" s="738"/>
      <c r="N135" s="404" t="str">
        <f>IF(M135="","",IF(VLOOKUP(M135,'G-3 Multipliers'!$L$3:$N$6,2,FALSE)=0,"Spatial Data Missing ⚠",VLOOKUP(M135,'G-3 Multipliers'!$L$3:$N$6,2,FALSE)))</f>
        <v/>
      </c>
      <c r="O135" s="452" t="str">
        <f>IF(M135="","",IF(VLOOKUP(M135,'G-3 Multipliers'!$L$3:$N$6,3,FALSE)=0,"Spatial Data Missing ⚠",VLOOKUP(M135,'G-3 Multipliers'!$L$3:$N$6,3,FALSE)))</f>
        <v/>
      </c>
      <c r="P135" s="369" t="str">
        <f>IFERROR(VLOOKUP(G135,'G-1 All Habitats'!$B$2:$M$134,12,FALSE),"")</f>
        <v/>
      </c>
      <c r="Q135" s="725" t="str">
        <f>IFERROR(IF(P135="","",IF(AND(P135='G-1 All Habitats'!$X$3,W135&gt;0),X135+(Y135*S135),IF(AND(P135='G-1 All Habitats'!$X$3,V135&gt;0),X135+(Y135*S135),IF(AND(P135='G-1 All Habitats'!$X$3,AG135&gt;0),"Any Loss Unacceptable  ⚠",IF(AND(P135='G-1 All Habitats'!$X$3,Z135&gt;0),"Any Loss Unacceptable ⚠",H135*J135*L135*O135*S135))))),"Check Data ⚠")</f>
        <v/>
      </c>
      <c r="R135" s="516"/>
      <c r="S135" s="724" t="str">
        <f>IF(R135="","",IF(VLOOKUP(R135,'G-3 Multipliers'!$S$3:$T$10,2,FALSE)=0,"Spatial Data Missing ⚠",VLOOKUP(R135,'G-3 Multipliers'!$S$3:$T$10,2,FALSE)))</f>
        <v/>
      </c>
      <c r="T135" s="376" t="str">
        <f>IFERROR(IF(P135="","",IF(AND(P135='G-1 All Habitats'!$X$3,W135&gt;0),X135+Y135,IF(AND(P135='G-1 All Habitats'!$X$3,V135&gt;0),X135+Y135,IF(AND(P135='G-1 All Habitats'!$X$3,AG135&gt;0),"Any Loss Unacceptable ⚠", IF(R135="","", IF(AND(P135='G-1 All Habitats'!$X$3,Z135&gt;0),"Any Loss Unacceptable ⚠",H135*J135*L135*O135)))))),"Check Data ⚠")</f>
        <v/>
      </c>
      <c r="U135" s="38"/>
      <c r="V135" s="54"/>
      <c r="W135" s="55"/>
      <c r="X135" s="374" t="str">
        <f t="shared" si="11"/>
        <v/>
      </c>
      <c r="Y135" s="374" t="str">
        <f t="shared" si="12"/>
        <v/>
      </c>
      <c r="Z135" s="374" t="str">
        <f>IF(E135="","",IF(H135&lt;V135+W135,"Error in Areas ▲",IF(P135&lt;&gt;'G-1 All Habitats'!$X$3,H135-V135-W135,IF(AND(P135='G-1 All Habitats'!$X$3,AB135="Yes"),"Unacceptable Loss ⚠",IF(AND(P135='G-1 All Habitats'!$X$3,AB135="No"),AG135,IF(AND(P135='G-1 All Habitats'!$X$3,AB135=""),AG135,IF(AND(P135='G-1 All Habitats'!$X$3,AG135="None",AG135),IF(AND(P135='G-1 All Habitats'!$X$3,AG135&gt;0),H135-V135-W135))))))))</f>
        <v/>
      </c>
      <c r="AA135" s="405" t="str">
        <f>IFERROR(IF(H135="","",IF(H135-V135-W135=0&lt;0,"Error in Areas ▲",IF(V135+W135&gt;H135,"Error in Areas ▲",IF(AND(P135='G-1 All Habitats'!$X$3,AB135="Yes"),"Alternative Compensation ✓",IF(Z135=0,0,IF(P135='G-1 All Habitats'!$X$3,"Any Loss Unacceptable ▲",T135-X135-Y135)))))),"Check Data ⚠")</f>
        <v/>
      </c>
      <c r="AB135" s="837"/>
      <c r="AC135" s="119"/>
      <c r="AD135" s="528"/>
      <c r="AE135" s="120"/>
      <c r="AF135" s="687"/>
      <c r="AG135" s="744" t="str">
        <f>IF(P135="","",IF(P135='G-1 All Habitats'!$X$3,H135-V135-W135,"None"))</f>
        <v/>
      </c>
      <c r="AH135" s="744" t="str">
        <f t="shared" si="13"/>
        <v/>
      </c>
      <c r="AJ135" s="124" t="str">
        <f t="shared" si="18"/>
        <v/>
      </c>
      <c r="AK135" s="124" t="str">
        <f t="shared" si="19"/>
        <v/>
      </c>
      <c r="AL135" s="124" t="str">
        <f>IF(I135="","",IF(#REF!&gt;0,TRUE,FALSE))</f>
        <v/>
      </c>
      <c r="AM135" s="124">
        <v>125</v>
      </c>
      <c r="AN135" s="124"/>
      <c r="AO135" s="124" t="str">
        <f t="array" ref="AO135">IFERROR(INDEX($AM$11:$AM$259, MATCH(0, IF(TRUE=$AJ$11:$AJ$259, COUNTIF($AO$10:$AO134, $AM$11:$AM$259), ""), 0)),"")</f>
        <v/>
      </c>
      <c r="AP135" s="124" t="str">
        <f t="array" ref="AP135">IFERROR(INDEX($AM$11:$AM$259, MATCH(0, IF(TRUE=$AK$11:$AK$259, COUNTIF($AP$10:$AP134, $AM$11:$AM$259), ""), 0)),"")</f>
        <v/>
      </c>
      <c r="AQ135" s="124" t="str">
        <f t="array" ref="AQ135">IFERROR(INDEX($AM$11:$AM$259, MATCH(0, IF(TRUE=$AL$11:$AL$259, COUNTIF($AQ$10:$AQ134, $AM$11:$AM$259), ""), 0)),"")</f>
        <v/>
      </c>
      <c r="AU135" s="30">
        <f t="shared" si="20"/>
        <v>0</v>
      </c>
      <c r="AY135" s="374" t="str">
        <f t="shared" si="16"/>
        <v/>
      </c>
    </row>
    <row r="136" spans="1:51">
      <c r="A136" s="30" t="str">
        <f>IFERROR(INDEX('G-1 All Habitats'!$AG$3:$AG$17,MATCH(E136,'G-1 All Habitats'!$AF$3:$AF$17,0)),"")</f>
        <v/>
      </c>
      <c r="B136" s="30" t="str">
        <f>IFERROR(INDEX('G-8 Condition Look up'!$I$4:$I$135,MATCH(G136,'G-8 Condition Look up'!$A$4:$A$135,0)),"")</f>
        <v/>
      </c>
      <c r="D136" s="110">
        <v>126</v>
      </c>
      <c r="E136" s="339"/>
      <c r="F136" s="340"/>
      <c r="G136" s="295" t="str">
        <f>IFERROR(INDEX('G-1 All Habitats'!$B$3:$B$134,MATCH(F136,'G-1 All Habitats'!$A$3:$A$134,0)),"")</f>
        <v/>
      </c>
      <c r="H136" s="139"/>
      <c r="I136" s="722" t="str">
        <f>IF(G136="","",VLOOKUP(G136,'G-1 All Habitats'!$B$2:$M$134,10,FALSE))</f>
        <v/>
      </c>
      <c r="J136" s="490" t="str">
        <f>IFERROR(VLOOKUP(I136,'G-1 All Habitats'!$V$3:$W$7,2,FALSE),"")</f>
        <v/>
      </c>
      <c r="K136" s="114"/>
      <c r="L136" s="490" t="str">
        <f>IFERROR(INDEX('G-8 Condition Look up'!$A$3:$H$135,MATCH(G136,'G-8 Condition Look up'!$A$3:$A$135,0),MATCH(K136,'G-8 Condition Look up'!$A$3:$H$3,0)),"")</f>
        <v/>
      </c>
      <c r="M136" s="738"/>
      <c r="N136" s="404" t="str">
        <f>IF(M136="","",IF(VLOOKUP(M136,'G-3 Multipliers'!$L$3:$N$6,2,FALSE)=0,"Spatial Data Missing ⚠",VLOOKUP(M136,'G-3 Multipliers'!$L$3:$N$6,2,FALSE)))</f>
        <v/>
      </c>
      <c r="O136" s="452" t="str">
        <f>IF(M136="","",IF(VLOOKUP(M136,'G-3 Multipliers'!$L$3:$N$6,3,FALSE)=0,"Spatial Data Missing ⚠",VLOOKUP(M136,'G-3 Multipliers'!$L$3:$N$6,3,FALSE)))</f>
        <v/>
      </c>
      <c r="P136" s="369" t="str">
        <f>IFERROR(VLOOKUP(G136,'G-1 All Habitats'!$B$2:$M$134,12,FALSE),"")</f>
        <v/>
      </c>
      <c r="Q136" s="725" t="str">
        <f>IFERROR(IF(P136="","",IF(AND(P136='G-1 All Habitats'!$X$3,W136&gt;0),X136+(Y136*S136),IF(AND(P136='G-1 All Habitats'!$X$3,V136&gt;0),X136+(Y136*S136),IF(AND(P136='G-1 All Habitats'!$X$3,AG136&gt;0),"Any Loss Unacceptable  ⚠",IF(AND(P136='G-1 All Habitats'!$X$3,Z136&gt;0),"Any Loss Unacceptable ⚠",H136*J136*L136*O136*S136))))),"Check Data ⚠")</f>
        <v/>
      </c>
      <c r="R136" s="516"/>
      <c r="S136" s="724" t="str">
        <f>IF(R136="","",IF(VLOOKUP(R136,'G-3 Multipliers'!$S$3:$T$10,2,FALSE)=0,"Spatial Data Missing ⚠",VLOOKUP(R136,'G-3 Multipliers'!$S$3:$T$10,2,FALSE)))</f>
        <v/>
      </c>
      <c r="T136" s="376" t="str">
        <f>IFERROR(IF(P136="","",IF(AND(P136='G-1 All Habitats'!$X$3,W136&gt;0),X136+Y136,IF(AND(P136='G-1 All Habitats'!$X$3,V136&gt;0),X136+Y136,IF(AND(P136='G-1 All Habitats'!$X$3,AG136&gt;0),"Any Loss Unacceptable ⚠", IF(R136="","", IF(AND(P136='G-1 All Habitats'!$X$3,Z136&gt;0),"Any Loss Unacceptable ⚠",H136*J136*L136*O136)))))),"Check Data ⚠")</f>
        <v/>
      </c>
      <c r="U136" s="38"/>
      <c r="V136" s="54"/>
      <c r="W136" s="55"/>
      <c r="X136" s="374" t="str">
        <f t="shared" si="11"/>
        <v/>
      </c>
      <c r="Y136" s="374" t="str">
        <f t="shared" si="12"/>
        <v/>
      </c>
      <c r="Z136" s="374" t="str">
        <f>IF(E136="","",IF(H136&lt;V136+W136,"Error in Areas ▲",IF(P136&lt;&gt;'G-1 All Habitats'!$X$3,H136-V136-W136,IF(AND(P136='G-1 All Habitats'!$X$3,AB136="Yes"),"Unacceptable Loss ⚠",IF(AND(P136='G-1 All Habitats'!$X$3,AB136="No"),AG136,IF(AND(P136='G-1 All Habitats'!$X$3,AB136=""),AG136,IF(AND(P136='G-1 All Habitats'!$X$3,AG136="None",AG136),IF(AND(P136='G-1 All Habitats'!$X$3,AG136&gt;0),H136-V136-W136))))))))</f>
        <v/>
      </c>
      <c r="AA136" s="405" t="str">
        <f>IFERROR(IF(H136="","",IF(H136-V136-W136=0&lt;0,"Error in Areas ▲",IF(V136+W136&gt;H136,"Error in Areas ▲",IF(AND(P136='G-1 All Habitats'!$X$3,AB136="Yes"),"Alternative Compensation ✓",IF(Z136=0,0,IF(P136='G-1 All Habitats'!$X$3,"Any Loss Unacceptable ▲",T136-X136-Y136)))))),"Check Data ⚠")</f>
        <v/>
      </c>
      <c r="AB136" s="837"/>
      <c r="AC136" s="119"/>
      <c r="AD136" s="528"/>
      <c r="AE136" s="120"/>
      <c r="AF136" s="687"/>
      <c r="AG136" s="744" t="str">
        <f>IF(P136="","",IF(P136='G-1 All Habitats'!$X$3,H136-V136-W136,"None"))</f>
        <v/>
      </c>
      <c r="AH136" s="744" t="str">
        <f t="shared" si="13"/>
        <v/>
      </c>
      <c r="AJ136" s="124" t="str">
        <f t="shared" si="18"/>
        <v/>
      </c>
      <c r="AK136" s="124" t="str">
        <f t="shared" si="19"/>
        <v/>
      </c>
      <c r="AL136" s="124" t="str">
        <f>IF(I136="","",IF(#REF!&gt;0,TRUE,FALSE))</f>
        <v/>
      </c>
      <c r="AM136" s="124">
        <v>126</v>
      </c>
      <c r="AN136" s="124"/>
      <c r="AO136" s="124" t="str">
        <f t="array" ref="AO136">IFERROR(INDEX($AM$11:$AM$259, MATCH(0, IF(TRUE=$AJ$11:$AJ$259, COUNTIF($AO$10:$AO135, $AM$11:$AM$259), ""), 0)),"")</f>
        <v/>
      </c>
      <c r="AP136" s="124" t="str">
        <f t="array" ref="AP136">IFERROR(INDEX($AM$11:$AM$259, MATCH(0, IF(TRUE=$AK$11:$AK$259, COUNTIF($AP$10:$AP135, $AM$11:$AM$259), ""), 0)),"")</f>
        <v/>
      </c>
      <c r="AQ136" s="124" t="str">
        <f t="array" ref="AQ136">IFERROR(INDEX($AM$11:$AM$259, MATCH(0, IF(TRUE=$AL$11:$AL$259, COUNTIF($AQ$10:$AQ135, $AM$11:$AM$259), ""), 0)),"")</f>
        <v/>
      </c>
      <c r="AU136" s="30">
        <f t="shared" si="20"/>
        <v>0</v>
      </c>
      <c r="AY136" s="374" t="str">
        <f t="shared" si="16"/>
        <v/>
      </c>
    </row>
    <row r="137" spans="1:51">
      <c r="A137" s="30" t="str">
        <f>IFERROR(INDEX('G-1 All Habitats'!$AG$3:$AG$17,MATCH(E137,'G-1 All Habitats'!$AF$3:$AF$17,0)),"")</f>
        <v/>
      </c>
      <c r="B137" s="30" t="str">
        <f>IFERROR(INDEX('G-8 Condition Look up'!$I$4:$I$135,MATCH(G137,'G-8 Condition Look up'!$A$4:$A$135,0)),"")</f>
        <v/>
      </c>
      <c r="D137" s="110">
        <v>127</v>
      </c>
      <c r="E137" s="339"/>
      <c r="F137" s="340"/>
      <c r="G137" s="295" t="str">
        <f>IFERROR(INDEX('G-1 All Habitats'!$B$3:$B$134,MATCH(F137,'G-1 All Habitats'!$A$3:$A$134,0)),"")</f>
        <v/>
      </c>
      <c r="H137" s="139"/>
      <c r="I137" s="722" t="str">
        <f>IF(G137="","",VLOOKUP(G137,'G-1 All Habitats'!$B$2:$M$134,10,FALSE))</f>
        <v/>
      </c>
      <c r="J137" s="490" t="str">
        <f>IFERROR(VLOOKUP(I137,'G-1 All Habitats'!$V$3:$W$7,2,FALSE),"")</f>
        <v/>
      </c>
      <c r="K137" s="114"/>
      <c r="L137" s="490" t="str">
        <f>IFERROR(INDEX('G-8 Condition Look up'!$A$3:$H$135,MATCH(G137,'G-8 Condition Look up'!$A$3:$A$135,0),MATCH(K137,'G-8 Condition Look up'!$A$3:$H$3,0)),"")</f>
        <v/>
      </c>
      <c r="M137" s="738"/>
      <c r="N137" s="404" t="str">
        <f>IF(M137="","",IF(VLOOKUP(M137,'G-3 Multipliers'!$L$3:$N$6,2,FALSE)=0,"Spatial Data Missing ⚠",VLOOKUP(M137,'G-3 Multipliers'!$L$3:$N$6,2,FALSE)))</f>
        <v/>
      </c>
      <c r="O137" s="452" t="str">
        <f>IF(M137="","",IF(VLOOKUP(M137,'G-3 Multipliers'!$L$3:$N$6,3,FALSE)=0,"Spatial Data Missing ⚠",VLOOKUP(M137,'G-3 Multipliers'!$L$3:$N$6,3,FALSE)))</f>
        <v/>
      </c>
      <c r="P137" s="369" t="str">
        <f>IFERROR(VLOOKUP(G137,'G-1 All Habitats'!$B$2:$M$134,12,FALSE),"")</f>
        <v/>
      </c>
      <c r="Q137" s="725" t="str">
        <f>IFERROR(IF(P137="","",IF(AND(P137='G-1 All Habitats'!$X$3,W137&gt;0),X137+(Y137*S137),IF(AND(P137='G-1 All Habitats'!$X$3,V137&gt;0),X137+(Y137*S137),IF(AND(P137='G-1 All Habitats'!$X$3,AG137&gt;0),"Any Loss Unacceptable  ⚠",IF(AND(P137='G-1 All Habitats'!$X$3,Z137&gt;0),"Any Loss Unacceptable ⚠",H137*J137*L137*O137*S137))))),"Check Data ⚠")</f>
        <v/>
      </c>
      <c r="R137" s="516"/>
      <c r="S137" s="724" t="str">
        <f>IF(R137="","",IF(VLOOKUP(R137,'G-3 Multipliers'!$S$3:$T$10,2,FALSE)=0,"Spatial Data Missing ⚠",VLOOKUP(R137,'G-3 Multipliers'!$S$3:$T$10,2,FALSE)))</f>
        <v/>
      </c>
      <c r="T137" s="376" t="str">
        <f>IFERROR(IF(P137="","",IF(AND(P137='G-1 All Habitats'!$X$3,W137&gt;0),X137+Y137,IF(AND(P137='G-1 All Habitats'!$X$3,V137&gt;0),X137+Y137,IF(AND(P137='G-1 All Habitats'!$X$3,AG137&gt;0),"Any Loss Unacceptable ⚠", IF(R137="","", IF(AND(P137='G-1 All Habitats'!$X$3,Z137&gt;0),"Any Loss Unacceptable ⚠",H137*J137*L137*O137)))))),"Check Data ⚠")</f>
        <v/>
      </c>
      <c r="U137" s="38"/>
      <c r="V137" s="54"/>
      <c r="W137" s="55"/>
      <c r="X137" s="374" t="str">
        <f t="shared" si="11"/>
        <v/>
      </c>
      <c r="Y137" s="374" t="str">
        <f t="shared" si="12"/>
        <v/>
      </c>
      <c r="Z137" s="374" t="str">
        <f>IF(E137="","",IF(H137&lt;V137+W137,"Error in Areas ▲",IF(P137&lt;&gt;'G-1 All Habitats'!$X$3,H137-V137-W137,IF(AND(P137='G-1 All Habitats'!$X$3,AB137="Yes"),"Unacceptable Loss ⚠",IF(AND(P137='G-1 All Habitats'!$X$3,AB137="No"),AG137,IF(AND(P137='G-1 All Habitats'!$X$3,AB137=""),AG137,IF(AND(P137='G-1 All Habitats'!$X$3,AG137="None",AG137),IF(AND(P137='G-1 All Habitats'!$X$3,AG137&gt;0),H137-V137-W137))))))))</f>
        <v/>
      </c>
      <c r="AA137" s="405" t="str">
        <f>IFERROR(IF(H137="","",IF(H137-V137-W137=0&lt;0,"Error in Areas ▲",IF(V137+W137&gt;H137,"Error in Areas ▲",IF(AND(P137='G-1 All Habitats'!$X$3,AB137="Yes"),"Alternative Compensation ✓",IF(Z137=0,0,IF(P137='G-1 All Habitats'!$X$3,"Any Loss Unacceptable ▲",T137-X137-Y137)))))),"Check Data ⚠")</f>
        <v/>
      </c>
      <c r="AB137" s="837"/>
      <c r="AC137" s="119"/>
      <c r="AD137" s="528"/>
      <c r="AE137" s="120"/>
      <c r="AF137" s="687"/>
      <c r="AG137" s="744" t="str">
        <f>IF(P137="","",IF(P137='G-1 All Habitats'!$X$3,H137-V137-W137,"None"))</f>
        <v/>
      </c>
      <c r="AH137" s="744" t="str">
        <f t="shared" si="13"/>
        <v/>
      </c>
      <c r="AJ137" s="124" t="str">
        <f t="shared" si="18"/>
        <v/>
      </c>
      <c r="AK137" s="124" t="str">
        <f t="shared" si="19"/>
        <v/>
      </c>
      <c r="AL137" s="124" t="str">
        <f>IF(I137="","",IF(#REF!&gt;0,TRUE,FALSE))</f>
        <v/>
      </c>
      <c r="AM137" s="124">
        <v>127</v>
      </c>
      <c r="AN137" s="124"/>
      <c r="AO137" s="124" t="str">
        <f t="array" ref="AO137">IFERROR(INDEX($AM$11:$AM$259, MATCH(0, IF(TRUE=$AJ$11:$AJ$259, COUNTIF($AO$10:$AO136, $AM$11:$AM$259), ""), 0)),"")</f>
        <v/>
      </c>
      <c r="AP137" s="124" t="str">
        <f t="array" ref="AP137">IFERROR(INDEX($AM$11:$AM$259, MATCH(0, IF(TRUE=$AK$11:$AK$259, COUNTIF($AP$10:$AP136, $AM$11:$AM$259), ""), 0)),"")</f>
        <v/>
      </c>
      <c r="AQ137" s="124" t="str">
        <f t="array" ref="AQ137">IFERROR(INDEX($AM$11:$AM$259, MATCH(0, IF(TRUE=$AL$11:$AL$259, COUNTIF($AQ$10:$AQ136, $AM$11:$AM$259), ""), 0)),"")</f>
        <v/>
      </c>
      <c r="AU137" s="30">
        <f t="shared" si="20"/>
        <v>0</v>
      </c>
      <c r="AY137" s="374" t="str">
        <f t="shared" si="16"/>
        <v/>
      </c>
    </row>
    <row r="138" spans="1:51">
      <c r="A138" s="30" t="str">
        <f>IFERROR(INDEX('G-1 All Habitats'!$AG$3:$AG$17,MATCH(E138,'G-1 All Habitats'!$AF$3:$AF$17,0)),"")</f>
        <v/>
      </c>
      <c r="B138" s="30" t="str">
        <f>IFERROR(INDEX('G-8 Condition Look up'!$I$4:$I$135,MATCH(G138,'G-8 Condition Look up'!$A$4:$A$135,0)),"")</f>
        <v/>
      </c>
      <c r="D138" s="110">
        <v>128</v>
      </c>
      <c r="E138" s="339"/>
      <c r="F138" s="340"/>
      <c r="G138" s="295" t="str">
        <f>IFERROR(INDEX('G-1 All Habitats'!$B$3:$B$134,MATCH(F138,'G-1 All Habitats'!$A$3:$A$134,0)),"")</f>
        <v/>
      </c>
      <c r="H138" s="139"/>
      <c r="I138" s="722" t="str">
        <f>IF(G138="","",VLOOKUP(G138,'G-1 All Habitats'!$B$2:$M$134,10,FALSE))</f>
        <v/>
      </c>
      <c r="J138" s="490" t="str">
        <f>IFERROR(VLOOKUP(I138,'G-1 All Habitats'!$V$3:$W$7,2,FALSE),"")</f>
        <v/>
      </c>
      <c r="K138" s="114"/>
      <c r="L138" s="490" t="str">
        <f>IFERROR(INDEX('G-8 Condition Look up'!$A$3:$H$135,MATCH(G138,'G-8 Condition Look up'!$A$3:$A$135,0),MATCH(K138,'G-8 Condition Look up'!$A$3:$H$3,0)),"")</f>
        <v/>
      </c>
      <c r="M138" s="738"/>
      <c r="N138" s="404" t="str">
        <f>IF(M138="","",IF(VLOOKUP(M138,'G-3 Multipliers'!$L$3:$N$6,2,FALSE)=0,"Spatial Data Missing ⚠",VLOOKUP(M138,'G-3 Multipliers'!$L$3:$N$6,2,FALSE)))</f>
        <v/>
      </c>
      <c r="O138" s="452" t="str">
        <f>IF(M138="","",IF(VLOOKUP(M138,'G-3 Multipliers'!$L$3:$N$6,3,FALSE)=0,"Spatial Data Missing ⚠",VLOOKUP(M138,'G-3 Multipliers'!$L$3:$N$6,3,FALSE)))</f>
        <v/>
      </c>
      <c r="P138" s="369" t="str">
        <f>IFERROR(VLOOKUP(G138,'G-1 All Habitats'!$B$2:$M$134,12,FALSE),"")</f>
        <v/>
      </c>
      <c r="Q138" s="725" t="str">
        <f>IFERROR(IF(P138="","",IF(AND(P138='G-1 All Habitats'!$X$3,W138&gt;0),X138+(Y138*S138),IF(AND(P138='G-1 All Habitats'!$X$3,V138&gt;0),X138+(Y138*S138),IF(AND(P138='G-1 All Habitats'!$X$3,AG138&gt;0),"Any Loss Unacceptable  ⚠",IF(AND(P138='G-1 All Habitats'!$X$3,Z138&gt;0),"Any Loss Unacceptable ⚠",H138*J138*L138*O138*S138))))),"Check Data ⚠")</f>
        <v/>
      </c>
      <c r="R138" s="516"/>
      <c r="S138" s="724" t="str">
        <f>IF(R138="","",IF(VLOOKUP(R138,'G-3 Multipliers'!$S$3:$T$10,2,FALSE)=0,"Spatial Data Missing ⚠",VLOOKUP(R138,'G-3 Multipliers'!$S$3:$T$10,2,FALSE)))</f>
        <v/>
      </c>
      <c r="T138" s="376" t="str">
        <f>IFERROR(IF(P138="","",IF(AND(P138='G-1 All Habitats'!$X$3,W138&gt;0),X138+Y138,IF(AND(P138='G-1 All Habitats'!$X$3,V138&gt;0),X138+Y138,IF(AND(P138='G-1 All Habitats'!$X$3,AG138&gt;0),"Any Loss Unacceptable ⚠", IF(R138="","", IF(AND(P138='G-1 All Habitats'!$X$3,Z138&gt;0),"Any Loss Unacceptable ⚠",H138*J138*L138*O138)))))),"Check Data ⚠")</f>
        <v/>
      </c>
      <c r="U138" s="38"/>
      <c r="V138" s="54"/>
      <c r="W138" s="55"/>
      <c r="X138" s="374" t="str">
        <f t="shared" si="11"/>
        <v/>
      </c>
      <c r="Y138" s="374" t="str">
        <f t="shared" si="12"/>
        <v/>
      </c>
      <c r="Z138" s="374" t="str">
        <f>IF(E138="","",IF(H138&lt;V138+W138,"Error in Areas ▲",IF(P138&lt;&gt;'G-1 All Habitats'!$X$3,H138-V138-W138,IF(AND(P138='G-1 All Habitats'!$X$3,AB138="Yes"),"Unacceptable Loss ⚠",IF(AND(P138='G-1 All Habitats'!$X$3,AB138="No"),AG138,IF(AND(P138='G-1 All Habitats'!$X$3,AB138=""),AG138,IF(AND(P138='G-1 All Habitats'!$X$3,AG138="None",AG138),IF(AND(P138='G-1 All Habitats'!$X$3,AG138&gt;0),H138-V138-W138))))))))</f>
        <v/>
      </c>
      <c r="AA138" s="405" t="str">
        <f>IFERROR(IF(H138="","",IF(H138-V138-W138=0&lt;0,"Error in Areas ▲",IF(V138+W138&gt;H138,"Error in Areas ▲",IF(AND(P138='G-1 All Habitats'!$X$3,AB138="Yes"),"Alternative Compensation ✓",IF(Z138=0,0,IF(P138='G-1 All Habitats'!$X$3,"Any Loss Unacceptable ▲",T138-X138-Y138)))))),"Check Data ⚠")</f>
        <v/>
      </c>
      <c r="AB138" s="837"/>
      <c r="AC138" s="119"/>
      <c r="AD138" s="528"/>
      <c r="AE138" s="120"/>
      <c r="AF138" s="687"/>
      <c r="AG138" s="744" t="str">
        <f>IF(P138="","",IF(P138='G-1 All Habitats'!$X$3,H138-V138-W138,"None"))</f>
        <v/>
      </c>
      <c r="AH138" s="744" t="str">
        <f t="shared" si="13"/>
        <v/>
      </c>
      <c r="AJ138" s="124" t="str">
        <f t="shared" si="18"/>
        <v/>
      </c>
      <c r="AK138" s="124" t="str">
        <f t="shared" si="19"/>
        <v/>
      </c>
      <c r="AL138" s="124" t="str">
        <f>IF(I138="","",IF(#REF!&gt;0,TRUE,FALSE))</f>
        <v/>
      </c>
      <c r="AM138" s="124">
        <v>128</v>
      </c>
      <c r="AN138" s="124"/>
      <c r="AO138" s="124" t="str">
        <f t="array" ref="AO138">IFERROR(INDEX($AM$11:$AM$259, MATCH(0, IF(TRUE=$AJ$11:$AJ$259, COUNTIF($AO$10:$AO137, $AM$11:$AM$259), ""), 0)),"")</f>
        <v/>
      </c>
      <c r="AP138" s="124" t="str">
        <f t="array" ref="AP138">IFERROR(INDEX($AM$11:$AM$259, MATCH(0, IF(TRUE=$AK$11:$AK$259, COUNTIF($AP$10:$AP137, $AM$11:$AM$259), ""), 0)),"")</f>
        <v/>
      </c>
      <c r="AQ138" s="124" t="str">
        <f t="array" ref="AQ138">IFERROR(INDEX($AM$11:$AM$259, MATCH(0, IF(TRUE=$AL$11:$AL$259, COUNTIF($AQ$10:$AQ137, $AM$11:$AM$259), ""), 0)),"")</f>
        <v/>
      </c>
      <c r="AU138" s="30">
        <f t="shared" si="20"/>
        <v>0</v>
      </c>
      <c r="AY138" s="374" t="str">
        <f t="shared" si="16"/>
        <v/>
      </c>
    </row>
    <row r="139" spans="1:51">
      <c r="A139" s="30" t="str">
        <f>IFERROR(INDEX('G-1 All Habitats'!$AG$3:$AG$17,MATCH(E139,'G-1 All Habitats'!$AF$3:$AF$17,0)),"")</f>
        <v/>
      </c>
      <c r="B139" s="30" t="str">
        <f>IFERROR(INDEX('G-8 Condition Look up'!$I$4:$I$135,MATCH(G139,'G-8 Condition Look up'!$A$4:$A$135,0)),"")</f>
        <v/>
      </c>
      <c r="D139" s="110">
        <v>129</v>
      </c>
      <c r="E139" s="339"/>
      <c r="F139" s="340"/>
      <c r="G139" s="295" t="str">
        <f>IFERROR(INDEX('G-1 All Habitats'!$B$3:$B$134,MATCH(F139,'G-1 All Habitats'!$A$3:$A$134,0)),"")</f>
        <v/>
      </c>
      <c r="H139" s="139"/>
      <c r="I139" s="722" t="str">
        <f>IF(G139="","",VLOOKUP(G139,'G-1 All Habitats'!$B$2:$M$134,10,FALSE))</f>
        <v/>
      </c>
      <c r="J139" s="490" t="str">
        <f>IFERROR(VLOOKUP(I139,'G-1 All Habitats'!$V$3:$W$7,2,FALSE),"")</f>
        <v/>
      </c>
      <c r="K139" s="114"/>
      <c r="L139" s="490" t="str">
        <f>IFERROR(INDEX('G-8 Condition Look up'!$A$3:$H$135,MATCH(G139,'G-8 Condition Look up'!$A$3:$A$135,0),MATCH(K139,'G-8 Condition Look up'!$A$3:$H$3,0)),"")</f>
        <v/>
      </c>
      <c r="M139" s="738"/>
      <c r="N139" s="404" t="str">
        <f>IF(M139="","",IF(VLOOKUP(M139,'G-3 Multipliers'!$L$3:$N$6,2,FALSE)=0,"Spatial Data Missing ⚠",VLOOKUP(M139,'G-3 Multipliers'!$L$3:$N$6,2,FALSE)))</f>
        <v/>
      </c>
      <c r="O139" s="452" t="str">
        <f>IF(M139="","",IF(VLOOKUP(M139,'G-3 Multipliers'!$L$3:$N$6,3,FALSE)=0,"Spatial Data Missing ⚠",VLOOKUP(M139,'G-3 Multipliers'!$L$3:$N$6,3,FALSE)))</f>
        <v/>
      </c>
      <c r="P139" s="369" t="str">
        <f>IFERROR(VLOOKUP(G139,'G-1 All Habitats'!$B$2:$M$134,12,FALSE),"")</f>
        <v/>
      </c>
      <c r="Q139" s="725" t="str">
        <f>IFERROR(IF(P139="","",IF(AND(P139='G-1 All Habitats'!$X$3,W139&gt;0),X139+(Y139*S139),IF(AND(P139='G-1 All Habitats'!$X$3,V139&gt;0),X139+(Y139*S139),IF(AND(P139='G-1 All Habitats'!$X$3,AG139&gt;0),"Any Loss Unacceptable  ⚠",IF(AND(P139='G-1 All Habitats'!$X$3,Z139&gt;0),"Any Loss Unacceptable ⚠",H139*J139*L139*O139*S139))))),"Check Data ⚠")</f>
        <v/>
      </c>
      <c r="R139" s="516"/>
      <c r="S139" s="724" t="str">
        <f>IF(R139="","",IF(VLOOKUP(R139,'G-3 Multipliers'!$S$3:$T$10,2,FALSE)=0,"Spatial Data Missing ⚠",VLOOKUP(R139,'G-3 Multipliers'!$S$3:$T$10,2,FALSE)))</f>
        <v/>
      </c>
      <c r="T139" s="376" t="str">
        <f>IFERROR(IF(P139="","",IF(AND(P139='G-1 All Habitats'!$X$3,W139&gt;0),X139+Y139,IF(AND(P139='G-1 All Habitats'!$X$3,V139&gt;0),X139+Y139,IF(AND(P139='G-1 All Habitats'!$X$3,AG139&gt;0),"Any Loss Unacceptable ⚠", IF(R139="","", IF(AND(P139='G-1 All Habitats'!$X$3,Z139&gt;0),"Any Loss Unacceptable ⚠",H139*J139*L139*O139)))))),"Check Data ⚠")</f>
        <v/>
      </c>
      <c r="U139" s="38"/>
      <c r="V139" s="54"/>
      <c r="W139" s="55"/>
      <c r="X139" s="374" t="str">
        <f t="shared" ref="X139:X202" si="21">IFERROR(V139*J139*L139*O139,"")</f>
        <v/>
      </c>
      <c r="Y139" s="374" t="str">
        <f t="shared" ref="Y139:Y202" si="22">IFERROR(W139*J139*L139*O139,"")</f>
        <v/>
      </c>
      <c r="Z139" s="374" t="str">
        <f>IF(E139="","",IF(H139&lt;V139+W139,"Error in Areas ▲",IF(P139&lt;&gt;'G-1 All Habitats'!$X$3,H139-V139-W139,IF(AND(P139='G-1 All Habitats'!$X$3,AB139="Yes"),"Unacceptable Loss ⚠",IF(AND(P139='G-1 All Habitats'!$X$3,AB139="No"),AG139,IF(AND(P139='G-1 All Habitats'!$X$3,AB139=""),AG139,IF(AND(P139='G-1 All Habitats'!$X$3,AG139="None",AG139),IF(AND(P139='G-1 All Habitats'!$X$3,AG139&gt;0),H139-V139-W139))))))))</f>
        <v/>
      </c>
      <c r="AA139" s="405" t="str">
        <f>IFERROR(IF(H139="","",IF(H139-V139-W139=0&lt;0,"Error in Areas ▲",IF(V139+W139&gt;H139,"Error in Areas ▲",IF(AND(P139='G-1 All Habitats'!$X$3,AB139="Yes"),"Alternative Compensation ✓",IF(Z139=0,0,IF(P139='G-1 All Habitats'!$X$3,"Any Loss Unacceptable ▲",T139-X139-Y139)))))),"Check Data ⚠")</f>
        <v/>
      </c>
      <c r="AB139" s="837"/>
      <c r="AC139" s="119"/>
      <c r="AD139" s="528"/>
      <c r="AE139" s="120"/>
      <c r="AF139" s="687"/>
      <c r="AG139" s="744" t="str">
        <f>IF(P139="","",IF(P139='G-1 All Habitats'!$X$3,H139-V139-W139,"None"))</f>
        <v/>
      </c>
      <c r="AH139" s="744" t="str">
        <f t="shared" ref="AH139:AH202" si="23">IFERROR(AG139*J139*L139*O139,IF(P139="","","None"))</f>
        <v/>
      </c>
      <c r="AJ139" s="124" t="str">
        <f t="shared" ref="AJ139:AJ170" si="24">IF(G139="","",IF(V139&gt;0,TRUE,FALSE))</f>
        <v/>
      </c>
      <c r="AK139" s="124" t="str">
        <f t="shared" ref="AK139:AK170" si="25">IF(H139="","",IF(W139&gt;0,TRUE,FALSE))</f>
        <v/>
      </c>
      <c r="AL139" s="124" t="str">
        <f>IF(I139="","",IF(#REF!&gt;0,TRUE,FALSE))</f>
        <v/>
      </c>
      <c r="AM139" s="124">
        <v>129</v>
      </c>
      <c r="AN139" s="124"/>
      <c r="AO139" s="124" t="str">
        <f t="array" ref="AO139">IFERROR(INDEX($AM$11:$AM$259, MATCH(0, IF(TRUE=$AJ$11:$AJ$259, COUNTIF($AO$10:$AO138, $AM$11:$AM$259), ""), 0)),"")</f>
        <v/>
      </c>
      <c r="AP139" s="124" t="str">
        <f t="array" ref="AP139">IFERROR(INDEX($AM$11:$AM$259, MATCH(0, IF(TRUE=$AK$11:$AK$259, COUNTIF($AP$10:$AP138, $AM$11:$AM$259), ""), 0)),"")</f>
        <v/>
      </c>
      <c r="AQ139" s="124" t="str">
        <f t="array" ref="AQ139">IFERROR(INDEX($AM$11:$AM$259, MATCH(0, IF(TRUE=$AL$11:$AL$259, COUNTIF($AQ$10:$AQ138, $AM$11:$AM$259), ""), 0)),"")</f>
        <v/>
      </c>
      <c r="AU139" s="30">
        <f t="shared" si="20"/>
        <v>0</v>
      </c>
      <c r="AY139" s="374" t="str">
        <f t="shared" si="16"/>
        <v/>
      </c>
    </row>
    <row r="140" spans="1:51">
      <c r="A140" s="30" t="str">
        <f>IFERROR(INDEX('G-1 All Habitats'!$AG$3:$AG$17,MATCH(E140,'G-1 All Habitats'!$AF$3:$AF$17,0)),"")</f>
        <v/>
      </c>
      <c r="B140" s="30" t="str">
        <f>IFERROR(INDEX('G-8 Condition Look up'!$I$4:$I$135,MATCH(G140,'G-8 Condition Look up'!$A$4:$A$135,0)),"")</f>
        <v/>
      </c>
      <c r="D140" s="110">
        <v>130</v>
      </c>
      <c r="E140" s="339"/>
      <c r="F140" s="340"/>
      <c r="G140" s="295" t="str">
        <f>IFERROR(INDEX('G-1 All Habitats'!$B$3:$B$134,MATCH(F140,'G-1 All Habitats'!$A$3:$A$134,0)),"")</f>
        <v/>
      </c>
      <c r="H140" s="139"/>
      <c r="I140" s="722" t="str">
        <f>IF(G140="","",VLOOKUP(G140,'G-1 All Habitats'!$B$2:$M$134,10,FALSE))</f>
        <v/>
      </c>
      <c r="J140" s="490" t="str">
        <f>IFERROR(VLOOKUP(I140,'G-1 All Habitats'!$V$3:$W$7,2,FALSE),"")</f>
        <v/>
      </c>
      <c r="K140" s="114"/>
      <c r="L140" s="490" t="str">
        <f>IFERROR(INDEX('G-8 Condition Look up'!$A$3:$H$135,MATCH(G140,'G-8 Condition Look up'!$A$3:$A$135,0),MATCH(K140,'G-8 Condition Look up'!$A$3:$H$3,0)),"")</f>
        <v/>
      </c>
      <c r="M140" s="738"/>
      <c r="N140" s="404" t="str">
        <f>IF(M140="","",IF(VLOOKUP(M140,'G-3 Multipliers'!$L$3:$N$6,2,FALSE)=0,"Spatial Data Missing ⚠",VLOOKUP(M140,'G-3 Multipliers'!$L$3:$N$6,2,FALSE)))</f>
        <v/>
      </c>
      <c r="O140" s="452" t="str">
        <f>IF(M140="","",IF(VLOOKUP(M140,'G-3 Multipliers'!$L$3:$N$6,3,FALSE)=0,"Spatial Data Missing ⚠",VLOOKUP(M140,'G-3 Multipliers'!$L$3:$N$6,3,FALSE)))</f>
        <v/>
      </c>
      <c r="P140" s="369" t="str">
        <f>IFERROR(VLOOKUP(G140,'G-1 All Habitats'!$B$2:$M$134,12,FALSE),"")</f>
        <v/>
      </c>
      <c r="Q140" s="725" t="str">
        <f>IFERROR(IF(P140="","",IF(AND(P140='G-1 All Habitats'!$X$3,W140&gt;0),X140+(Y140*S140),IF(AND(P140='G-1 All Habitats'!$X$3,V140&gt;0),X140+(Y140*S140),IF(AND(P140='G-1 All Habitats'!$X$3,AG140&gt;0),"Any Loss Unacceptable  ⚠",IF(AND(P140='G-1 All Habitats'!$X$3,Z140&gt;0),"Any Loss Unacceptable ⚠",H140*J140*L140*O140*S140))))),"Check Data ⚠")</f>
        <v/>
      </c>
      <c r="R140" s="516"/>
      <c r="S140" s="724" t="str">
        <f>IF(R140="","",IF(VLOOKUP(R140,'G-3 Multipliers'!$S$3:$T$10,2,FALSE)=0,"Spatial Data Missing ⚠",VLOOKUP(R140,'G-3 Multipliers'!$S$3:$T$10,2,FALSE)))</f>
        <v/>
      </c>
      <c r="T140" s="376" t="str">
        <f>IFERROR(IF(P140="","",IF(AND(P140='G-1 All Habitats'!$X$3,W140&gt;0),X140+Y140,IF(AND(P140='G-1 All Habitats'!$X$3,V140&gt;0),X140+Y140,IF(AND(P140='G-1 All Habitats'!$X$3,AG140&gt;0),"Any Loss Unacceptable ⚠", IF(R140="","", IF(AND(P140='G-1 All Habitats'!$X$3,Z140&gt;0),"Any Loss Unacceptable ⚠",H140*J140*L140*O140)))))),"Check Data ⚠")</f>
        <v/>
      </c>
      <c r="U140" s="38"/>
      <c r="V140" s="54"/>
      <c r="W140" s="55"/>
      <c r="X140" s="374" t="str">
        <f t="shared" si="21"/>
        <v/>
      </c>
      <c r="Y140" s="374" t="str">
        <f t="shared" si="22"/>
        <v/>
      </c>
      <c r="Z140" s="374" t="str">
        <f>IF(E140="","",IF(H140&lt;V140+W140,"Error in Areas ▲",IF(P140&lt;&gt;'G-1 All Habitats'!$X$3,H140-V140-W140,IF(AND(P140='G-1 All Habitats'!$X$3,AB140="Yes"),"Unacceptable Loss ⚠",IF(AND(P140='G-1 All Habitats'!$X$3,AB140="No"),AG140,IF(AND(P140='G-1 All Habitats'!$X$3,AB140=""),AG140,IF(AND(P140='G-1 All Habitats'!$X$3,AG140="None",AG140),IF(AND(P140='G-1 All Habitats'!$X$3,AG140&gt;0),H140-V140-W140))))))))</f>
        <v/>
      </c>
      <c r="AA140" s="405" t="str">
        <f>IFERROR(IF(H140="","",IF(H140-V140-W140=0&lt;0,"Error in Areas ▲",IF(V140+W140&gt;H140,"Error in Areas ▲",IF(AND(P140='G-1 All Habitats'!$X$3,AB140="Yes"),"Alternative Compensation ✓",IF(Z140=0,0,IF(P140='G-1 All Habitats'!$X$3,"Any Loss Unacceptable ▲",T140-X140-Y140)))))),"Check Data ⚠")</f>
        <v/>
      </c>
      <c r="AB140" s="837"/>
      <c r="AC140" s="119"/>
      <c r="AD140" s="528"/>
      <c r="AE140" s="120"/>
      <c r="AF140" s="687"/>
      <c r="AG140" s="744" t="str">
        <f>IF(P140="","",IF(P140='G-1 All Habitats'!$X$3,H140-V140-W140,"None"))</f>
        <v/>
      </c>
      <c r="AH140" s="744" t="str">
        <f t="shared" si="23"/>
        <v/>
      </c>
      <c r="AJ140" s="124" t="str">
        <f t="shared" si="24"/>
        <v/>
      </c>
      <c r="AK140" s="124" t="str">
        <f t="shared" si="25"/>
        <v/>
      </c>
      <c r="AL140" s="124" t="str">
        <f>IF(I140="","",IF(#REF!&gt;0,TRUE,FALSE))</f>
        <v/>
      </c>
      <c r="AM140" s="124">
        <v>130</v>
      </c>
      <c r="AN140" s="124"/>
      <c r="AO140" s="124" t="str">
        <f t="array" ref="AO140">IFERROR(INDEX($AM$11:$AM$259, MATCH(0, IF(TRUE=$AJ$11:$AJ$259, COUNTIF($AO$10:$AO139, $AM$11:$AM$259), ""), 0)),"")</f>
        <v/>
      </c>
      <c r="AP140" s="124" t="str">
        <f t="array" ref="AP140">IFERROR(INDEX($AM$11:$AM$259, MATCH(0, IF(TRUE=$AK$11:$AK$259, COUNTIF($AP$10:$AP139, $AM$11:$AM$259), ""), 0)),"")</f>
        <v/>
      </c>
      <c r="AQ140" s="124" t="str">
        <f t="array" ref="AQ140">IFERROR(INDEX($AM$11:$AM$259, MATCH(0, IF(TRUE=$AL$11:$AL$259, COUNTIF($AQ$10:$AQ139, $AM$11:$AM$259), ""), 0)),"")</f>
        <v/>
      </c>
      <c r="AU140" s="30">
        <f t="shared" si="20"/>
        <v>0</v>
      </c>
      <c r="AY140" s="374" t="str">
        <f t="shared" ref="AY140:AY203" si="26">IFERROR(V140*J140*L140*O140*S140,"")</f>
        <v/>
      </c>
    </row>
    <row r="141" spans="1:51">
      <c r="A141" s="30" t="str">
        <f>IFERROR(INDEX('G-1 All Habitats'!$AG$3:$AG$17,MATCH(E141,'G-1 All Habitats'!$AF$3:$AF$17,0)),"")</f>
        <v/>
      </c>
      <c r="B141" s="30" t="str">
        <f>IFERROR(INDEX('G-8 Condition Look up'!$I$4:$I$135,MATCH(G141,'G-8 Condition Look up'!$A$4:$A$135,0)),"")</f>
        <v/>
      </c>
      <c r="D141" s="110">
        <v>131</v>
      </c>
      <c r="E141" s="339"/>
      <c r="F141" s="340"/>
      <c r="G141" s="295" t="str">
        <f>IFERROR(INDEX('G-1 All Habitats'!$B$3:$B$134,MATCH(F141,'G-1 All Habitats'!$A$3:$A$134,0)),"")</f>
        <v/>
      </c>
      <c r="H141" s="139"/>
      <c r="I141" s="722" t="str">
        <f>IF(G141="","",VLOOKUP(G141,'G-1 All Habitats'!$B$2:$M$134,10,FALSE))</f>
        <v/>
      </c>
      <c r="J141" s="490" t="str">
        <f>IFERROR(VLOOKUP(I141,'G-1 All Habitats'!$V$3:$W$7,2,FALSE),"")</f>
        <v/>
      </c>
      <c r="K141" s="114"/>
      <c r="L141" s="490" t="str">
        <f>IFERROR(INDEX('G-8 Condition Look up'!$A$3:$H$135,MATCH(G141,'G-8 Condition Look up'!$A$3:$A$135,0),MATCH(K141,'G-8 Condition Look up'!$A$3:$H$3,0)),"")</f>
        <v/>
      </c>
      <c r="M141" s="738"/>
      <c r="N141" s="404" t="str">
        <f>IF(M141="","",IF(VLOOKUP(M141,'G-3 Multipliers'!$L$3:$N$6,2,FALSE)=0,"Spatial Data Missing ⚠",VLOOKUP(M141,'G-3 Multipliers'!$L$3:$N$6,2,FALSE)))</f>
        <v/>
      </c>
      <c r="O141" s="452" t="str">
        <f>IF(M141="","",IF(VLOOKUP(M141,'G-3 Multipliers'!$L$3:$N$6,3,FALSE)=0,"Spatial Data Missing ⚠",VLOOKUP(M141,'G-3 Multipliers'!$L$3:$N$6,3,FALSE)))</f>
        <v/>
      </c>
      <c r="P141" s="369" t="str">
        <f>IFERROR(VLOOKUP(G141,'G-1 All Habitats'!$B$2:$M$134,12,FALSE),"")</f>
        <v/>
      </c>
      <c r="Q141" s="725" t="str">
        <f>IFERROR(IF(P141="","",IF(AND(P141='G-1 All Habitats'!$X$3,W141&gt;0),X141+(Y141*S141),IF(AND(P141='G-1 All Habitats'!$X$3,V141&gt;0),X141+(Y141*S141),IF(AND(P141='G-1 All Habitats'!$X$3,AG141&gt;0),"Any Loss Unacceptable  ⚠",IF(AND(P141='G-1 All Habitats'!$X$3,Z141&gt;0),"Any Loss Unacceptable ⚠",H141*J141*L141*O141*S141))))),"Check Data ⚠")</f>
        <v/>
      </c>
      <c r="R141" s="516"/>
      <c r="S141" s="724" t="str">
        <f>IF(R141="","",IF(VLOOKUP(R141,'G-3 Multipliers'!$S$3:$T$10,2,FALSE)=0,"Spatial Data Missing ⚠",VLOOKUP(R141,'G-3 Multipliers'!$S$3:$T$10,2,FALSE)))</f>
        <v/>
      </c>
      <c r="T141" s="376" t="str">
        <f>IFERROR(IF(P141="","",IF(AND(P141='G-1 All Habitats'!$X$3,W141&gt;0),X141+Y141,IF(AND(P141='G-1 All Habitats'!$X$3,V141&gt;0),X141+Y141,IF(AND(P141='G-1 All Habitats'!$X$3,AG141&gt;0),"Any Loss Unacceptable ⚠", IF(R141="","", IF(AND(P141='G-1 All Habitats'!$X$3,Z141&gt;0),"Any Loss Unacceptable ⚠",H141*J141*L141*O141)))))),"Check Data ⚠")</f>
        <v/>
      </c>
      <c r="U141" s="38"/>
      <c r="V141" s="54"/>
      <c r="W141" s="55"/>
      <c r="X141" s="374" t="str">
        <f t="shared" si="21"/>
        <v/>
      </c>
      <c r="Y141" s="374" t="str">
        <f t="shared" si="22"/>
        <v/>
      </c>
      <c r="Z141" s="374" t="str">
        <f>IF(E141="","",IF(H141&lt;V141+W141,"Error in Areas ▲",IF(P141&lt;&gt;'G-1 All Habitats'!$X$3,H141-V141-W141,IF(AND(P141='G-1 All Habitats'!$X$3,AB141="Yes"),"Unacceptable Loss ⚠",IF(AND(P141='G-1 All Habitats'!$X$3,AB141="No"),AG141,IF(AND(P141='G-1 All Habitats'!$X$3,AB141=""),AG141,IF(AND(P141='G-1 All Habitats'!$X$3,AG141="None",AG141),IF(AND(P141='G-1 All Habitats'!$X$3,AG141&gt;0),H141-V141-W141))))))))</f>
        <v/>
      </c>
      <c r="AA141" s="405" t="str">
        <f>IFERROR(IF(H141="","",IF(H141-V141-W141=0&lt;0,"Error in Areas ▲",IF(V141+W141&gt;H141,"Error in Areas ▲",IF(AND(P141='G-1 All Habitats'!$X$3,AB141="Yes"),"Alternative Compensation ✓",IF(Z141=0,0,IF(P141='G-1 All Habitats'!$X$3,"Any Loss Unacceptable ▲",T141-X141-Y141)))))),"Check Data ⚠")</f>
        <v/>
      </c>
      <c r="AB141" s="837"/>
      <c r="AC141" s="119"/>
      <c r="AD141" s="528"/>
      <c r="AE141" s="120"/>
      <c r="AF141" s="687"/>
      <c r="AG141" s="744" t="str">
        <f>IF(P141="","",IF(P141='G-1 All Habitats'!$X$3,H141-V141-W141,"None"))</f>
        <v/>
      </c>
      <c r="AH141" s="744" t="str">
        <f t="shared" si="23"/>
        <v/>
      </c>
      <c r="AJ141" s="124" t="str">
        <f t="shared" si="24"/>
        <v/>
      </c>
      <c r="AK141" s="124" t="str">
        <f t="shared" si="25"/>
        <v/>
      </c>
      <c r="AL141" s="124" t="str">
        <f>IF(I141="","",IF(#REF!&gt;0,TRUE,FALSE))</f>
        <v/>
      </c>
      <c r="AM141" s="124">
        <v>131</v>
      </c>
      <c r="AN141" s="124"/>
      <c r="AO141" s="124" t="str">
        <f t="array" ref="AO141">IFERROR(INDEX($AM$11:$AM$259, MATCH(0, IF(TRUE=$AJ$11:$AJ$259, COUNTIF($AO$10:$AO140, $AM$11:$AM$259), ""), 0)),"")</f>
        <v/>
      </c>
      <c r="AP141" s="124" t="str">
        <f t="array" ref="AP141">IFERROR(INDEX($AM$11:$AM$259, MATCH(0, IF(TRUE=$AK$11:$AK$259, COUNTIF($AP$10:$AP140, $AM$11:$AM$259), ""), 0)),"")</f>
        <v/>
      </c>
      <c r="AQ141" s="124" t="str">
        <f t="array" ref="AQ141">IFERROR(INDEX($AM$11:$AM$259, MATCH(0, IF(TRUE=$AL$11:$AL$259, COUNTIF($AQ$10:$AQ140, $AM$11:$AM$259), ""), 0)),"")</f>
        <v/>
      </c>
      <c r="AU141" s="30">
        <f t="shared" si="20"/>
        <v>0</v>
      </c>
      <c r="AY141" s="374" t="str">
        <f t="shared" si="26"/>
        <v/>
      </c>
    </row>
    <row r="142" spans="1:51">
      <c r="A142" s="30" t="str">
        <f>IFERROR(INDEX('G-1 All Habitats'!$AG$3:$AG$17,MATCH(E142,'G-1 All Habitats'!$AF$3:$AF$17,0)),"")</f>
        <v/>
      </c>
      <c r="B142" s="30" t="str">
        <f>IFERROR(INDEX('G-8 Condition Look up'!$I$4:$I$135,MATCH(G142,'G-8 Condition Look up'!$A$4:$A$135,0)),"")</f>
        <v/>
      </c>
      <c r="D142" s="110">
        <v>132</v>
      </c>
      <c r="E142" s="339"/>
      <c r="F142" s="340"/>
      <c r="G142" s="295" t="str">
        <f>IFERROR(INDEX('G-1 All Habitats'!$B$3:$B$134,MATCH(F142,'G-1 All Habitats'!$A$3:$A$134,0)),"")</f>
        <v/>
      </c>
      <c r="H142" s="139"/>
      <c r="I142" s="722" t="str">
        <f>IF(G142="","",VLOOKUP(G142,'G-1 All Habitats'!$B$2:$M$134,10,FALSE))</f>
        <v/>
      </c>
      <c r="J142" s="490" t="str">
        <f>IFERROR(VLOOKUP(I142,'G-1 All Habitats'!$V$3:$W$7,2,FALSE),"")</f>
        <v/>
      </c>
      <c r="K142" s="114"/>
      <c r="L142" s="490" t="str">
        <f>IFERROR(INDEX('G-8 Condition Look up'!$A$3:$H$135,MATCH(G142,'G-8 Condition Look up'!$A$3:$A$135,0),MATCH(K142,'G-8 Condition Look up'!$A$3:$H$3,0)),"")</f>
        <v/>
      </c>
      <c r="M142" s="738"/>
      <c r="N142" s="404" t="str">
        <f>IF(M142="","",IF(VLOOKUP(M142,'G-3 Multipliers'!$L$3:$N$6,2,FALSE)=0,"Spatial Data Missing ⚠",VLOOKUP(M142,'G-3 Multipliers'!$L$3:$N$6,2,FALSE)))</f>
        <v/>
      </c>
      <c r="O142" s="452" t="str">
        <f>IF(M142="","",IF(VLOOKUP(M142,'G-3 Multipliers'!$L$3:$N$6,3,FALSE)=0,"Spatial Data Missing ⚠",VLOOKUP(M142,'G-3 Multipliers'!$L$3:$N$6,3,FALSE)))</f>
        <v/>
      </c>
      <c r="P142" s="369" t="str">
        <f>IFERROR(VLOOKUP(G142,'G-1 All Habitats'!$B$2:$M$134,12,FALSE),"")</f>
        <v/>
      </c>
      <c r="Q142" s="725" t="str">
        <f>IFERROR(IF(P142="","",IF(AND(P142='G-1 All Habitats'!$X$3,W142&gt;0),X142+(Y142*S142),IF(AND(P142='G-1 All Habitats'!$X$3,V142&gt;0),X142+(Y142*S142),IF(AND(P142='G-1 All Habitats'!$X$3,AG142&gt;0),"Any Loss Unacceptable  ⚠",IF(AND(P142='G-1 All Habitats'!$X$3,Z142&gt;0),"Any Loss Unacceptable ⚠",H142*J142*L142*O142*S142))))),"Check Data ⚠")</f>
        <v/>
      </c>
      <c r="R142" s="516"/>
      <c r="S142" s="724" t="str">
        <f>IF(R142="","",IF(VLOOKUP(R142,'G-3 Multipliers'!$S$3:$T$10,2,FALSE)=0,"Spatial Data Missing ⚠",VLOOKUP(R142,'G-3 Multipliers'!$S$3:$T$10,2,FALSE)))</f>
        <v/>
      </c>
      <c r="T142" s="376" t="str">
        <f>IFERROR(IF(P142="","",IF(AND(P142='G-1 All Habitats'!$X$3,W142&gt;0),X142+Y142,IF(AND(P142='G-1 All Habitats'!$X$3,V142&gt;0),X142+Y142,IF(AND(P142='G-1 All Habitats'!$X$3,AG142&gt;0),"Any Loss Unacceptable ⚠", IF(R142="","", IF(AND(P142='G-1 All Habitats'!$X$3,Z142&gt;0),"Any Loss Unacceptable ⚠",H142*J142*L142*O142)))))),"Check Data ⚠")</f>
        <v/>
      </c>
      <c r="U142" s="38"/>
      <c r="V142" s="54"/>
      <c r="W142" s="55"/>
      <c r="X142" s="374" t="str">
        <f t="shared" si="21"/>
        <v/>
      </c>
      <c r="Y142" s="374" t="str">
        <f t="shared" si="22"/>
        <v/>
      </c>
      <c r="Z142" s="374" t="str">
        <f>IF(E142="","",IF(H142&lt;V142+W142,"Error in Areas ▲",IF(P142&lt;&gt;'G-1 All Habitats'!$X$3,H142-V142-W142,IF(AND(P142='G-1 All Habitats'!$X$3,AB142="Yes"),"Unacceptable Loss ⚠",IF(AND(P142='G-1 All Habitats'!$X$3,AB142="No"),AG142,IF(AND(P142='G-1 All Habitats'!$X$3,AB142=""),AG142,IF(AND(P142='G-1 All Habitats'!$X$3,AG142="None",AG142),IF(AND(P142='G-1 All Habitats'!$X$3,AG142&gt;0),H142-V142-W142))))))))</f>
        <v/>
      </c>
      <c r="AA142" s="405" t="str">
        <f>IFERROR(IF(H142="","",IF(H142-V142-W142=0&lt;0,"Error in Areas ▲",IF(V142+W142&gt;H142,"Error in Areas ▲",IF(AND(P142='G-1 All Habitats'!$X$3,AB142="Yes"),"Alternative Compensation ✓",IF(Z142=0,0,IF(P142='G-1 All Habitats'!$X$3,"Any Loss Unacceptable ▲",T142-X142-Y142)))))),"Check Data ⚠")</f>
        <v/>
      </c>
      <c r="AB142" s="837"/>
      <c r="AC142" s="119"/>
      <c r="AD142" s="528"/>
      <c r="AE142" s="120"/>
      <c r="AF142" s="687"/>
      <c r="AG142" s="744" t="str">
        <f>IF(P142="","",IF(P142='G-1 All Habitats'!$X$3,H142-V142-W142,"None"))</f>
        <v/>
      </c>
      <c r="AH142" s="744" t="str">
        <f t="shared" si="23"/>
        <v/>
      </c>
      <c r="AJ142" s="124" t="str">
        <f t="shared" si="24"/>
        <v/>
      </c>
      <c r="AK142" s="124" t="str">
        <f t="shared" si="25"/>
        <v/>
      </c>
      <c r="AL142" s="124" t="str">
        <f>IF(I142="","",IF(#REF!&gt;0,TRUE,FALSE))</f>
        <v/>
      </c>
      <c r="AM142" s="124">
        <v>132</v>
      </c>
      <c r="AN142" s="124"/>
      <c r="AO142" s="124" t="str">
        <f t="array" ref="AO142">IFERROR(INDEX($AM$11:$AM$259, MATCH(0, IF(TRUE=$AJ$11:$AJ$259, COUNTIF($AO$10:$AO141, $AM$11:$AM$259), ""), 0)),"")</f>
        <v/>
      </c>
      <c r="AP142" s="124" t="str">
        <f t="array" ref="AP142">IFERROR(INDEX($AM$11:$AM$259, MATCH(0, IF(TRUE=$AK$11:$AK$259, COUNTIF($AP$10:$AP141, $AM$11:$AM$259), ""), 0)),"")</f>
        <v/>
      </c>
      <c r="AQ142" s="124" t="str">
        <f t="array" ref="AQ142">IFERROR(INDEX($AM$11:$AM$259, MATCH(0, IF(TRUE=$AL$11:$AL$259, COUNTIF($AQ$10:$AQ141, $AM$11:$AM$259), ""), 0)),"")</f>
        <v/>
      </c>
      <c r="AU142" s="30">
        <f t="shared" si="20"/>
        <v>0</v>
      </c>
      <c r="AY142" s="374" t="str">
        <f t="shared" si="26"/>
        <v/>
      </c>
    </row>
    <row r="143" spans="1:51">
      <c r="A143" s="30" t="str">
        <f>IFERROR(INDEX('G-1 All Habitats'!$AG$3:$AG$17,MATCH(E143,'G-1 All Habitats'!$AF$3:$AF$17,0)),"")</f>
        <v/>
      </c>
      <c r="B143" s="30" t="str">
        <f>IFERROR(INDEX('G-8 Condition Look up'!$I$4:$I$135,MATCH(G143,'G-8 Condition Look up'!$A$4:$A$135,0)),"")</f>
        <v/>
      </c>
      <c r="D143" s="110">
        <v>133</v>
      </c>
      <c r="E143" s="339"/>
      <c r="F143" s="340"/>
      <c r="G143" s="295" t="str">
        <f>IFERROR(INDEX('G-1 All Habitats'!$B$3:$B$134,MATCH(F143,'G-1 All Habitats'!$A$3:$A$134,0)),"")</f>
        <v/>
      </c>
      <c r="H143" s="139"/>
      <c r="I143" s="722" t="str">
        <f>IF(G143="","",VLOOKUP(G143,'G-1 All Habitats'!$B$2:$M$134,10,FALSE))</f>
        <v/>
      </c>
      <c r="J143" s="490" t="str">
        <f>IFERROR(VLOOKUP(I143,'G-1 All Habitats'!$V$3:$W$7,2,FALSE),"")</f>
        <v/>
      </c>
      <c r="K143" s="114"/>
      <c r="L143" s="490" t="str">
        <f>IFERROR(INDEX('G-8 Condition Look up'!$A$3:$H$135,MATCH(G143,'G-8 Condition Look up'!$A$3:$A$135,0),MATCH(K143,'G-8 Condition Look up'!$A$3:$H$3,0)),"")</f>
        <v/>
      </c>
      <c r="M143" s="738"/>
      <c r="N143" s="404" t="str">
        <f>IF(M143="","",IF(VLOOKUP(M143,'G-3 Multipliers'!$L$3:$N$6,2,FALSE)=0,"Spatial Data Missing ⚠",VLOOKUP(M143,'G-3 Multipliers'!$L$3:$N$6,2,FALSE)))</f>
        <v/>
      </c>
      <c r="O143" s="452" t="str">
        <f>IF(M143="","",IF(VLOOKUP(M143,'G-3 Multipliers'!$L$3:$N$6,3,FALSE)=0,"Spatial Data Missing ⚠",VLOOKUP(M143,'G-3 Multipliers'!$L$3:$N$6,3,FALSE)))</f>
        <v/>
      </c>
      <c r="P143" s="369" t="str">
        <f>IFERROR(VLOOKUP(G143,'G-1 All Habitats'!$B$2:$M$134,12,FALSE),"")</f>
        <v/>
      </c>
      <c r="Q143" s="725" t="str">
        <f>IFERROR(IF(P143="","",IF(AND(P143='G-1 All Habitats'!$X$3,W143&gt;0),X143+(Y143*S143),IF(AND(P143='G-1 All Habitats'!$X$3,V143&gt;0),X143+(Y143*S143),IF(AND(P143='G-1 All Habitats'!$X$3,AG143&gt;0),"Any Loss Unacceptable  ⚠",IF(AND(P143='G-1 All Habitats'!$X$3,Z143&gt;0),"Any Loss Unacceptable ⚠",H143*J143*L143*O143*S143))))),"Check Data ⚠")</f>
        <v/>
      </c>
      <c r="R143" s="516"/>
      <c r="S143" s="724" t="str">
        <f>IF(R143="","",IF(VLOOKUP(R143,'G-3 Multipliers'!$S$3:$T$10,2,FALSE)=0,"Spatial Data Missing ⚠",VLOOKUP(R143,'G-3 Multipliers'!$S$3:$T$10,2,FALSE)))</f>
        <v/>
      </c>
      <c r="T143" s="376" t="str">
        <f>IFERROR(IF(P143="","",IF(AND(P143='G-1 All Habitats'!$X$3,W143&gt;0),X143+Y143,IF(AND(P143='G-1 All Habitats'!$X$3,V143&gt;0),X143+Y143,IF(AND(P143='G-1 All Habitats'!$X$3,AG143&gt;0),"Any Loss Unacceptable ⚠", IF(R143="","", IF(AND(P143='G-1 All Habitats'!$X$3,Z143&gt;0),"Any Loss Unacceptable ⚠",H143*J143*L143*O143)))))),"Check Data ⚠")</f>
        <v/>
      </c>
      <c r="U143" s="38"/>
      <c r="V143" s="54"/>
      <c r="W143" s="55"/>
      <c r="X143" s="374" t="str">
        <f t="shared" si="21"/>
        <v/>
      </c>
      <c r="Y143" s="374" t="str">
        <f t="shared" si="22"/>
        <v/>
      </c>
      <c r="Z143" s="374" t="str">
        <f>IF(E143="","",IF(H143&lt;V143+W143,"Error in Areas ▲",IF(P143&lt;&gt;'G-1 All Habitats'!$X$3,H143-V143-W143,IF(AND(P143='G-1 All Habitats'!$X$3,AB143="Yes"),"Unacceptable Loss ⚠",IF(AND(P143='G-1 All Habitats'!$X$3,AB143="No"),AG143,IF(AND(P143='G-1 All Habitats'!$X$3,AB143=""),AG143,IF(AND(P143='G-1 All Habitats'!$X$3,AG143="None",AG143),IF(AND(P143='G-1 All Habitats'!$X$3,AG143&gt;0),H143-V143-W143))))))))</f>
        <v/>
      </c>
      <c r="AA143" s="405" t="str">
        <f>IFERROR(IF(H143="","",IF(H143-V143-W143=0&lt;0,"Error in Areas ▲",IF(V143+W143&gt;H143,"Error in Areas ▲",IF(AND(P143='G-1 All Habitats'!$X$3,AB143="Yes"),"Alternative Compensation ✓",IF(Z143=0,0,IF(P143='G-1 All Habitats'!$X$3,"Any Loss Unacceptable ▲",T143-X143-Y143)))))),"Check Data ⚠")</f>
        <v/>
      </c>
      <c r="AB143" s="837"/>
      <c r="AC143" s="119"/>
      <c r="AD143" s="528"/>
      <c r="AE143" s="120"/>
      <c r="AF143" s="687"/>
      <c r="AG143" s="744" t="str">
        <f>IF(P143="","",IF(P143='G-1 All Habitats'!$X$3,H143-V143-W143,"None"))</f>
        <v/>
      </c>
      <c r="AH143" s="744" t="str">
        <f t="shared" si="23"/>
        <v/>
      </c>
      <c r="AJ143" s="124" t="str">
        <f t="shared" si="24"/>
        <v/>
      </c>
      <c r="AK143" s="124" t="str">
        <f t="shared" si="25"/>
        <v/>
      </c>
      <c r="AL143" s="124" t="str">
        <f>IF(I143="","",IF(#REF!&gt;0,TRUE,FALSE))</f>
        <v/>
      </c>
      <c r="AM143" s="124">
        <v>133</v>
      </c>
      <c r="AN143" s="124"/>
      <c r="AO143" s="124" t="str">
        <f t="array" ref="AO143">IFERROR(INDEX($AM$11:$AM$259, MATCH(0, IF(TRUE=$AJ$11:$AJ$259, COUNTIF($AO$10:$AO142, $AM$11:$AM$259), ""), 0)),"")</f>
        <v/>
      </c>
      <c r="AP143" s="124" t="str">
        <f t="array" ref="AP143">IFERROR(INDEX($AM$11:$AM$259, MATCH(0, IF(TRUE=$AK$11:$AK$259, COUNTIF($AP$10:$AP142, $AM$11:$AM$259), ""), 0)),"")</f>
        <v/>
      </c>
      <c r="AQ143" s="124" t="str">
        <f t="array" ref="AQ143">IFERROR(INDEX($AM$11:$AM$259, MATCH(0, IF(TRUE=$AL$11:$AL$259, COUNTIF($AQ$10:$AQ142, $AM$11:$AM$259), ""), 0)),"")</f>
        <v/>
      </c>
      <c r="AU143" s="30">
        <f t="shared" si="20"/>
        <v>0</v>
      </c>
      <c r="AY143" s="374" t="str">
        <f t="shared" si="26"/>
        <v/>
      </c>
    </row>
    <row r="144" spans="1:51">
      <c r="A144" s="30" t="str">
        <f>IFERROR(INDEX('G-1 All Habitats'!$AG$3:$AG$17,MATCH(E144,'G-1 All Habitats'!$AF$3:$AF$17,0)),"")</f>
        <v/>
      </c>
      <c r="B144" s="30" t="str">
        <f>IFERROR(INDEX('G-8 Condition Look up'!$I$4:$I$135,MATCH(G144,'G-8 Condition Look up'!$A$4:$A$135,0)),"")</f>
        <v/>
      </c>
      <c r="D144" s="110">
        <v>134</v>
      </c>
      <c r="E144" s="339"/>
      <c r="F144" s="340"/>
      <c r="G144" s="295" t="str">
        <f>IFERROR(INDEX('G-1 All Habitats'!$B$3:$B$134,MATCH(F144,'G-1 All Habitats'!$A$3:$A$134,0)),"")</f>
        <v/>
      </c>
      <c r="H144" s="139"/>
      <c r="I144" s="722" t="str">
        <f>IF(G144="","",VLOOKUP(G144,'G-1 All Habitats'!$B$2:$M$134,10,FALSE))</f>
        <v/>
      </c>
      <c r="J144" s="490" t="str">
        <f>IFERROR(VLOOKUP(I144,'G-1 All Habitats'!$V$3:$W$7,2,FALSE),"")</f>
        <v/>
      </c>
      <c r="K144" s="114"/>
      <c r="L144" s="490" t="str">
        <f>IFERROR(INDEX('G-8 Condition Look up'!$A$3:$H$135,MATCH(G144,'G-8 Condition Look up'!$A$3:$A$135,0),MATCH(K144,'G-8 Condition Look up'!$A$3:$H$3,0)),"")</f>
        <v/>
      </c>
      <c r="M144" s="738"/>
      <c r="N144" s="404" t="str">
        <f>IF(M144="","",IF(VLOOKUP(M144,'G-3 Multipliers'!$L$3:$N$6,2,FALSE)=0,"Spatial Data Missing ⚠",VLOOKUP(M144,'G-3 Multipliers'!$L$3:$N$6,2,FALSE)))</f>
        <v/>
      </c>
      <c r="O144" s="452" t="str">
        <f>IF(M144="","",IF(VLOOKUP(M144,'G-3 Multipliers'!$L$3:$N$6,3,FALSE)=0,"Spatial Data Missing ⚠",VLOOKUP(M144,'G-3 Multipliers'!$L$3:$N$6,3,FALSE)))</f>
        <v/>
      </c>
      <c r="P144" s="369" t="str">
        <f>IFERROR(VLOOKUP(G144,'G-1 All Habitats'!$B$2:$M$134,12,FALSE),"")</f>
        <v/>
      </c>
      <c r="Q144" s="725" t="str">
        <f>IFERROR(IF(P144="","",IF(AND(P144='G-1 All Habitats'!$X$3,W144&gt;0),X144+(Y144*S144),IF(AND(P144='G-1 All Habitats'!$X$3,V144&gt;0),X144+(Y144*S144),IF(AND(P144='G-1 All Habitats'!$X$3,AG144&gt;0),"Any Loss Unacceptable  ⚠",IF(AND(P144='G-1 All Habitats'!$X$3,Z144&gt;0),"Any Loss Unacceptable ⚠",H144*J144*L144*O144*S144))))),"Check Data ⚠")</f>
        <v/>
      </c>
      <c r="R144" s="516"/>
      <c r="S144" s="724" t="str">
        <f>IF(R144="","",IF(VLOOKUP(R144,'G-3 Multipliers'!$S$3:$T$10,2,FALSE)=0,"Spatial Data Missing ⚠",VLOOKUP(R144,'G-3 Multipliers'!$S$3:$T$10,2,FALSE)))</f>
        <v/>
      </c>
      <c r="T144" s="376" t="str">
        <f>IFERROR(IF(P144="","",IF(AND(P144='G-1 All Habitats'!$X$3,W144&gt;0),X144+Y144,IF(AND(P144='G-1 All Habitats'!$X$3,V144&gt;0),X144+Y144,IF(AND(P144='G-1 All Habitats'!$X$3,AG144&gt;0),"Any Loss Unacceptable ⚠", IF(R144="","", IF(AND(P144='G-1 All Habitats'!$X$3,Z144&gt;0),"Any Loss Unacceptable ⚠",H144*J144*L144*O144)))))),"Check Data ⚠")</f>
        <v/>
      </c>
      <c r="U144" s="38"/>
      <c r="V144" s="54"/>
      <c r="W144" s="55"/>
      <c r="X144" s="374" t="str">
        <f t="shared" si="21"/>
        <v/>
      </c>
      <c r="Y144" s="374" t="str">
        <f t="shared" si="22"/>
        <v/>
      </c>
      <c r="Z144" s="374" t="str">
        <f>IF(E144="","",IF(H144&lt;V144+W144,"Error in Areas ▲",IF(P144&lt;&gt;'G-1 All Habitats'!$X$3,H144-V144-W144,IF(AND(P144='G-1 All Habitats'!$X$3,AB144="Yes"),"Unacceptable Loss ⚠",IF(AND(P144='G-1 All Habitats'!$X$3,AB144="No"),AG144,IF(AND(P144='G-1 All Habitats'!$X$3,AB144=""),AG144,IF(AND(P144='G-1 All Habitats'!$X$3,AG144="None",AG144),IF(AND(P144='G-1 All Habitats'!$X$3,AG144&gt;0),H144-V144-W144))))))))</f>
        <v/>
      </c>
      <c r="AA144" s="405" t="str">
        <f>IFERROR(IF(H144="","",IF(H144-V144-W144=0&lt;0,"Error in Areas ▲",IF(V144+W144&gt;H144,"Error in Areas ▲",IF(AND(P144='G-1 All Habitats'!$X$3,AB144="Yes"),"Alternative Compensation ✓",IF(Z144=0,0,IF(P144='G-1 All Habitats'!$X$3,"Any Loss Unacceptable ▲",T144-X144-Y144)))))),"Check Data ⚠")</f>
        <v/>
      </c>
      <c r="AB144" s="837"/>
      <c r="AC144" s="119"/>
      <c r="AD144" s="528"/>
      <c r="AE144" s="120"/>
      <c r="AF144" s="687"/>
      <c r="AG144" s="744" t="str">
        <f>IF(P144="","",IF(P144='G-1 All Habitats'!$X$3,H144-V144-W144,"None"))</f>
        <v/>
      </c>
      <c r="AH144" s="744" t="str">
        <f t="shared" si="23"/>
        <v/>
      </c>
      <c r="AJ144" s="124" t="str">
        <f t="shared" si="24"/>
        <v/>
      </c>
      <c r="AK144" s="124" t="str">
        <f t="shared" si="25"/>
        <v/>
      </c>
      <c r="AL144" s="124" t="str">
        <f>IF(I144="","",IF(#REF!&gt;0,TRUE,FALSE))</f>
        <v/>
      </c>
      <c r="AM144" s="124">
        <v>134</v>
      </c>
      <c r="AN144" s="124"/>
      <c r="AO144" s="124" t="str">
        <f t="array" ref="AO144">IFERROR(INDEX($AM$11:$AM$259, MATCH(0, IF(TRUE=$AJ$11:$AJ$259, COUNTIF($AO$10:$AO143, $AM$11:$AM$259), ""), 0)),"")</f>
        <v/>
      </c>
      <c r="AP144" s="124" t="str">
        <f t="array" ref="AP144">IFERROR(INDEX($AM$11:$AM$259, MATCH(0, IF(TRUE=$AK$11:$AK$259, COUNTIF($AP$10:$AP143, $AM$11:$AM$259), ""), 0)),"")</f>
        <v/>
      </c>
      <c r="AQ144" s="124" t="str">
        <f t="array" ref="AQ144">IFERROR(INDEX($AM$11:$AM$259, MATCH(0, IF(TRUE=$AL$11:$AL$259, COUNTIF($AQ$10:$AQ143, $AM$11:$AM$259), ""), 0)),"")</f>
        <v/>
      </c>
      <c r="AU144" s="30">
        <f t="shared" si="20"/>
        <v>0</v>
      </c>
      <c r="AY144" s="374" t="str">
        <f t="shared" si="26"/>
        <v/>
      </c>
    </row>
    <row r="145" spans="1:51">
      <c r="A145" s="30" t="str">
        <f>IFERROR(INDEX('G-1 All Habitats'!$AG$3:$AG$17,MATCH(E145,'G-1 All Habitats'!$AF$3:$AF$17,0)),"")</f>
        <v/>
      </c>
      <c r="B145" s="30" t="str">
        <f>IFERROR(INDEX('G-8 Condition Look up'!$I$4:$I$135,MATCH(G145,'G-8 Condition Look up'!$A$4:$A$135,0)),"")</f>
        <v/>
      </c>
      <c r="D145" s="110">
        <v>135</v>
      </c>
      <c r="E145" s="339"/>
      <c r="F145" s="340"/>
      <c r="G145" s="295" t="str">
        <f>IFERROR(INDEX('G-1 All Habitats'!$B$3:$B$134,MATCH(F145,'G-1 All Habitats'!$A$3:$A$134,0)),"")</f>
        <v/>
      </c>
      <c r="H145" s="139"/>
      <c r="I145" s="722" t="str">
        <f>IF(G145="","",VLOOKUP(G145,'G-1 All Habitats'!$B$2:$M$134,10,FALSE))</f>
        <v/>
      </c>
      <c r="J145" s="490" t="str">
        <f>IFERROR(VLOOKUP(I145,'G-1 All Habitats'!$V$3:$W$7,2,FALSE),"")</f>
        <v/>
      </c>
      <c r="K145" s="114"/>
      <c r="L145" s="490" t="str">
        <f>IFERROR(INDEX('G-8 Condition Look up'!$A$3:$H$135,MATCH(G145,'G-8 Condition Look up'!$A$3:$A$135,0),MATCH(K145,'G-8 Condition Look up'!$A$3:$H$3,0)),"")</f>
        <v/>
      </c>
      <c r="M145" s="738"/>
      <c r="N145" s="404" t="str">
        <f>IF(M145="","",IF(VLOOKUP(M145,'G-3 Multipliers'!$L$3:$N$6,2,FALSE)=0,"Spatial Data Missing ⚠",VLOOKUP(M145,'G-3 Multipliers'!$L$3:$N$6,2,FALSE)))</f>
        <v/>
      </c>
      <c r="O145" s="452" t="str">
        <f>IF(M145="","",IF(VLOOKUP(M145,'G-3 Multipliers'!$L$3:$N$6,3,FALSE)=0,"Spatial Data Missing ⚠",VLOOKUP(M145,'G-3 Multipliers'!$L$3:$N$6,3,FALSE)))</f>
        <v/>
      </c>
      <c r="P145" s="369" t="str">
        <f>IFERROR(VLOOKUP(G145,'G-1 All Habitats'!$B$2:$M$134,12,FALSE),"")</f>
        <v/>
      </c>
      <c r="Q145" s="725" t="str">
        <f>IFERROR(IF(P145="","",IF(AND(P145='G-1 All Habitats'!$X$3,W145&gt;0),X145+(Y145*S145),IF(AND(P145='G-1 All Habitats'!$X$3,V145&gt;0),X145+(Y145*S145),IF(AND(P145='G-1 All Habitats'!$X$3,AG145&gt;0),"Any Loss Unacceptable  ⚠",IF(AND(P145='G-1 All Habitats'!$X$3,Z145&gt;0),"Any Loss Unacceptable ⚠",H145*J145*L145*O145*S145))))),"Check Data ⚠")</f>
        <v/>
      </c>
      <c r="R145" s="516"/>
      <c r="S145" s="724" t="str">
        <f>IF(R145="","",IF(VLOOKUP(R145,'G-3 Multipliers'!$S$3:$T$10,2,FALSE)=0,"Spatial Data Missing ⚠",VLOOKUP(R145,'G-3 Multipliers'!$S$3:$T$10,2,FALSE)))</f>
        <v/>
      </c>
      <c r="T145" s="376" t="str">
        <f>IFERROR(IF(P145="","",IF(AND(P145='G-1 All Habitats'!$X$3,W145&gt;0),X145+Y145,IF(AND(P145='G-1 All Habitats'!$X$3,V145&gt;0),X145+Y145,IF(AND(P145='G-1 All Habitats'!$X$3,AG145&gt;0),"Any Loss Unacceptable ⚠", IF(R145="","", IF(AND(P145='G-1 All Habitats'!$X$3,Z145&gt;0),"Any Loss Unacceptable ⚠",H145*J145*L145*O145)))))),"Check Data ⚠")</f>
        <v/>
      </c>
      <c r="U145" s="38"/>
      <c r="V145" s="54"/>
      <c r="W145" s="55"/>
      <c r="X145" s="374" t="str">
        <f t="shared" si="21"/>
        <v/>
      </c>
      <c r="Y145" s="374" t="str">
        <f t="shared" si="22"/>
        <v/>
      </c>
      <c r="Z145" s="374" t="str">
        <f>IF(E145="","",IF(H145&lt;V145+W145,"Error in Areas ▲",IF(P145&lt;&gt;'G-1 All Habitats'!$X$3,H145-V145-W145,IF(AND(P145='G-1 All Habitats'!$X$3,AB145="Yes"),"Unacceptable Loss ⚠",IF(AND(P145='G-1 All Habitats'!$X$3,AB145="No"),AG145,IF(AND(P145='G-1 All Habitats'!$X$3,AB145=""),AG145,IF(AND(P145='G-1 All Habitats'!$X$3,AG145="None",AG145),IF(AND(P145='G-1 All Habitats'!$X$3,AG145&gt;0),H145-V145-W145))))))))</f>
        <v/>
      </c>
      <c r="AA145" s="405" t="str">
        <f>IFERROR(IF(H145="","",IF(H145-V145-W145=0&lt;0,"Error in Areas ▲",IF(V145+W145&gt;H145,"Error in Areas ▲",IF(AND(P145='G-1 All Habitats'!$X$3,AB145="Yes"),"Alternative Compensation ✓",IF(Z145=0,0,IF(P145='G-1 All Habitats'!$X$3,"Any Loss Unacceptable ▲",T145-X145-Y145)))))),"Check Data ⚠")</f>
        <v/>
      </c>
      <c r="AB145" s="837"/>
      <c r="AC145" s="119"/>
      <c r="AD145" s="528"/>
      <c r="AE145" s="120"/>
      <c r="AF145" s="687"/>
      <c r="AG145" s="744" t="str">
        <f>IF(P145="","",IF(P145='G-1 All Habitats'!$X$3,H145-V145-W145,"None"))</f>
        <v/>
      </c>
      <c r="AH145" s="744" t="str">
        <f t="shared" si="23"/>
        <v/>
      </c>
      <c r="AJ145" s="124" t="str">
        <f t="shared" si="24"/>
        <v/>
      </c>
      <c r="AK145" s="124" t="str">
        <f t="shared" si="25"/>
        <v/>
      </c>
      <c r="AL145" s="124" t="str">
        <f>IF(I145="","",IF(#REF!&gt;0,TRUE,FALSE))</f>
        <v/>
      </c>
      <c r="AM145" s="124">
        <v>135</v>
      </c>
      <c r="AN145" s="124"/>
      <c r="AO145" s="124" t="str">
        <f t="array" ref="AO145">IFERROR(INDEX($AM$11:$AM$259, MATCH(0, IF(TRUE=$AJ$11:$AJ$259, COUNTIF($AO$10:$AO144, $AM$11:$AM$259), ""), 0)),"")</f>
        <v/>
      </c>
      <c r="AP145" s="124" t="str">
        <f t="array" ref="AP145">IFERROR(INDEX($AM$11:$AM$259, MATCH(0, IF(TRUE=$AK$11:$AK$259, COUNTIF($AP$10:$AP144, $AM$11:$AM$259), ""), 0)),"")</f>
        <v/>
      </c>
      <c r="AQ145" s="124" t="str">
        <f t="array" ref="AQ145">IFERROR(INDEX($AM$11:$AM$259, MATCH(0, IF(TRUE=$AL$11:$AL$259, COUNTIF($AQ$10:$AQ144, $AM$11:$AM$259), ""), 0)),"")</f>
        <v/>
      </c>
      <c r="AU145" s="30">
        <f t="shared" ref="AU145:AU176" si="27">IF(AA145="Unacceptable Loss",1,0)</f>
        <v>0</v>
      </c>
      <c r="AY145" s="374" t="str">
        <f t="shared" si="26"/>
        <v/>
      </c>
    </row>
    <row r="146" spans="1:51">
      <c r="A146" s="30" t="str">
        <f>IFERROR(INDEX('G-1 All Habitats'!$AG$3:$AG$17,MATCH(E146,'G-1 All Habitats'!$AF$3:$AF$17,0)),"")</f>
        <v/>
      </c>
      <c r="B146" s="30" t="str">
        <f>IFERROR(INDEX('G-8 Condition Look up'!$I$4:$I$135,MATCH(G146,'G-8 Condition Look up'!$A$4:$A$135,0)),"")</f>
        <v/>
      </c>
      <c r="D146" s="110">
        <v>136</v>
      </c>
      <c r="E146" s="339"/>
      <c r="F146" s="340"/>
      <c r="G146" s="295" t="str">
        <f>IFERROR(INDEX('G-1 All Habitats'!$B$3:$B$134,MATCH(F146,'G-1 All Habitats'!$A$3:$A$134,0)),"")</f>
        <v/>
      </c>
      <c r="H146" s="139"/>
      <c r="I146" s="722" t="str">
        <f>IF(G146="","",VLOOKUP(G146,'G-1 All Habitats'!$B$2:$M$134,10,FALSE))</f>
        <v/>
      </c>
      <c r="J146" s="490" t="str">
        <f>IFERROR(VLOOKUP(I146,'G-1 All Habitats'!$V$3:$W$7,2,FALSE),"")</f>
        <v/>
      </c>
      <c r="K146" s="114"/>
      <c r="L146" s="490" t="str">
        <f>IFERROR(INDEX('G-8 Condition Look up'!$A$3:$H$135,MATCH(G146,'G-8 Condition Look up'!$A$3:$A$135,0),MATCH(K146,'G-8 Condition Look up'!$A$3:$H$3,0)),"")</f>
        <v/>
      </c>
      <c r="M146" s="738"/>
      <c r="N146" s="404" t="str">
        <f>IF(M146="","",IF(VLOOKUP(M146,'G-3 Multipliers'!$L$3:$N$6,2,FALSE)=0,"Spatial Data Missing ⚠",VLOOKUP(M146,'G-3 Multipliers'!$L$3:$N$6,2,FALSE)))</f>
        <v/>
      </c>
      <c r="O146" s="452" t="str">
        <f>IF(M146="","",IF(VLOOKUP(M146,'G-3 Multipliers'!$L$3:$N$6,3,FALSE)=0,"Spatial Data Missing ⚠",VLOOKUP(M146,'G-3 Multipliers'!$L$3:$N$6,3,FALSE)))</f>
        <v/>
      </c>
      <c r="P146" s="369" t="str">
        <f>IFERROR(VLOOKUP(G146,'G-1 All Habitats'!$B$2:$M$134,12,FALSE),"")</f>
        <v/>
      </c>
      <c r="Q146" s="725" t="str">
        <f>IFERROR(IF(P146="","",IF(AND(P146='G-1 All Habitats'!$X$3,W146&gt;0),X146+(Y146*S146),IF(AND(P146='G-1 All Habitats'!$X$3,V146&gt;0),X146+(Y146*S146),IF(AND(P146='G-1 All Habitats'!$X$3,AG146&gt;0),"Any Loss Unacceptable  ⚠",IF(AND(P146='G-1 All Habitats'!$X$3,Z146&gt;0),"Any Loss Unacceptable ⚠",H146*J146*L146*O146*S146))))),"Check Data ⚠")</f>
        <v/>
      </c>
      <c r="R146" s="516"/>
      <c r="S146" s="724" t="str">
        <f>IF(R146="","",IF(VLOOKUP(R146,'G-3 Multipliers'!$S$3:$T$10,2,FALSE)=0,"Spatial Data Missing ⚠",VLOOKUP(R146,'G-3 Multipliers'!$S$3:$T$10,2,FALSE)))</f>
        <v/>
      </c>
      <c r="T146" s="376" t="str">
        <f>IFERROR(IF(P146="","",IF(AND(P146='G-1 All Habitats'!$X$3,W146&gt;0),X146+Y146,IF(AND(P146='G-1 All Habitats'!$X$3,V146&gt;0),X146+Y146,IF(AND(P146='G-1 All Habitats'!$X$3,AG146&gt;0),"Any Loss Unacceptable ⚠", IF(R146="","", IF(AND(P146='G-1 All Habitats'!$X$3,Z146&gt;0),"Any Loss Unacceptable ⚠",H146*J146*L146*O146)))))),"Check Data ⚠")</f>
        <v/>
      </c>
      <c r="U146" s="38"/>
      <c r="V146" s="54"/>
      <c r="W146" s="55"/>
      <c r="X146" s="374" t="str">
        <f t="shared" si="21"/>
        <v/>
      </c>
      <c r="Y146" s="374" t="str">
        <f t="shared" si="22"/>
        <v/>
      </c>
      <c r="Z146" s="374" t="str">
        <f>IF(E146="","",IF(H146&lt;V146+W146,"Error in Areas ▲",IF(P146&lt;&gt;'G-1 All Habitats'!$X$3,H146-V146-W146,IF(AND(P146='G-1 All Habitats'!$X$3,AB146="Yes"),"Unacceptable Loss ⚠",IF(AND(P146='G-1 All Habitats'!$X$3,AB146="No"),AG146,IF(AND(P146='G-1 All Habitats'!$X$3,AB146=""),AG146,IF(AND(P146='G-1 All Habitats'!$X$3,AG146="None",AG146),IF(AND(P146='G-1 All Habitats'!$X$3,AG146&gt;0),H146-V146-W146))))))))</f>
        <v/>
      </c>
      <c r="AA146" s="405" t="str">
        <f>IFERROR(IF(H146="","",IF(H146-V146-W146=0&lt;0,"Error in Areas ▲",IF(V146+W146&gt;H146,"Error in Areas ▲",IF(AND(P146='G-1 All Habitats'!$X$3,AB146="Yes"),"Alternative Compensation ✓",IF(Z146=0,0,IF(P146='G-1 All Habitats'!$X$3,"Any Loss Unacceptable ▲",T146-X146-Y146)))))),"Check Data ⚠")</f>
        <v/>
      </c>
      <c r="AB146" s="837"/>
      <c r="AC146" s="119"/>
      <c r="AD146" s="528"/>
      <c r="AE146" s="120"/>
      <c r="AF146" s="687"/>
      <c r="AG146" s="744" t="str">
        <f>IF(P146="","",IF(P146='G-1 All Habitats'!$X$3,H146-V146-W146,"None"))</f>
        <v/>
      </c>
      <c r="AH146" s="744" t="str">
        <f t="shared" si="23"/>
        <v/>
      </c>
      <c r="AJ146" s="124" t="str">
        <f t="shared" si="24"/>
        <v/>
      </c>
      <c r="AK146" s="124" t="str">
        <f t="shared" si="25"/>
        <v/>
      </c>
      <c r="AL146" s="124" t="str">
        <f>IF(I146="","",IF(#REF!&gt;0,TRUE,FALSE))</f>
        <v/>
      </c>
      <c r="AM146" s="124">
        <v>136</v>
      </c>
      <c r="AN146" s="124"/>
      <c r="AO146" s="124" t="str">
        <f t="array" ref="AO146">IFERROR(INDEX($AM$11:$AM$259, MATCH(0, IF(TRUE=$AJ$11:$AJ$259, COUNTIF($AO$10:$AO145, $AM$11:$AM$259), ""), 0)),"")</f>
        <v/>
      </c>
      <c r="AP146" s="124" t="str">
        <f t="array" ref="AP146">IFERROR(INDEX($AM$11:$AM$259, MATCH(0, IF(TRUE=$AK$11:$AK$259, COUNTIF($AP$10:$AP145, $AM$11:$AM$259), ""), 0)),"")</f>
        <v/>
      </c>
      <c r="AQ146" s="124" t="str">
        <f t="array" ref="AQ146">IFERROR(INDEX($AM$11:$AM$259, MATCH(0, IF(TRUE=$AL$11:$AL$259, COUNTIF($AQ$10:$AQ145, $AM$11:$AM$259), ""), 0)),"")</f>
        <v/>
      </c>
      <c r="AU146" s="30">
        <f t="shared" si="27"/>
        <v>0</v>
      </c>
      <c r="AY146" s="374" t="str">
        <f t="shared" si="26"/>
        <v/>
      </c>
    </row>
    <row r="147" spans="1:51">
      <c r="A147" s="30" t="str">
        <f>IFERROR(INDEX('G-1 All Habitats'!$AG$3:$AG$17,MATCH(E147,'G-1 All Habitats'!$AF$3:$AF$17,0)),"")</f>
        <v/>
      </c>
      <c r="B147" s="30" t="str">
        <f>IFERROR(INDEX('G-8 Condition Look up'!$I$4:$I$135,MATCH(G147,'G-8 Condition Look up'!$A$4:$A$135,0)),"")</f>
        <v/>
      </c>
      <c r="D147" s="110">
        <v>137</v>
      </c>
      <c r="E147" s="339"/>
      <c r="F147" s="340"/>
      <c r="G147" s="295" t="str">
        <f>IFERROR(INDEX('G-1 All Habitats'!$B$3:$B$134,MATCH(F147,'G-1 All Habitats'!$A$3:$A$134,0)),"")</f>
        <v/>
      </c>
      <c r="H147" s="139"/>
      <c r="I147" s="722" t="str">
        <f>IF(G147="","",VLOOKUP(G147,'G-1 All Habitats'!$B$2:$M$134,10,FALSE))</f>
        <v/>
      </c>
      <c r="J147" s="490" t="str">
        <f>IFERROR(VLOOKUP(I147,'G-1 All Habitats'!$V$3:$W$7,2,FALSE),"")</f>
        <v/>
      </c>
      <c r="K147" s="114"/>
      <c r="L147" s="490" t="str">
        <f>IFERROR(INDEX('G-8 Condition Look up'!$A$3:$H$135,MATCH(G147,'G-8 Condition Look up'!$A$3:$A$135,0),MATCH(K147,'G-8 Condition Look up'!$A$3:$H$3,0)),"")</f>
        <v/>
      </c>
      <c r="M147" s="738"/>
      <c r="N147" s="404" t="str">
        <f>IF(M147="","",IF(VLOOKUP(M147,'G-3 Multipliers'!$L$3:$N$6,2,FALSE)=0,"Spatial Data Missing ⚠",VLOOKUP(M147,'G-3 Multipliers'!$L$3:$N$6,2,FALSE)))</f>
        <v/>
      </c>
      <c r="O147" s="452" t="str">
        <f>IF(M147="","",IF(VLOOKUP(M147,'G-3 Multipliers'!$L$3:$N$6,3,FALSE)=0,"Spatial Data Missing ⚠",VLOOKUP(M147,'G-3 Multipliers'!$L$3:$N$6,3,FALSE)))</f>
        <v/>
      </c>
      <c r="P147" s="369" t="str">
        <f>IFERROR(VLOOKUP(G147,'G-1 All Habitats'!$B$2:$M$134,12,FALSE),"")</f>
        <v/>
      </c>
      <c r="Q147" s="725" t="str">
        <f>IFERROR(IF(P147="","",IF(AND(P147='G-1 All Habitats'!$X$3,W147&gt;0),X147+(Y147*S147),IF(AND(P147='G-1 All Habitats'!$X$3,V147&gt;0),X147+(Y147*S147),IF(AND(P147='G-1 All Habitats'!$X$3,AG147&gt;0),"Any Loss Unacceptable  ⚠",IF(AND(P147='G-1 All Habitats'!$X$3,Z147&gt;0),"Any Loss Unacceptable ⚠",H147*J147*L147*O147*S147))))),"Check Data ⚠")</f>
        <v/>
      </c>
      <c r="R147" s="516"/>
      <c r="S147" s="724" t="str">
        <f>IF(R147="","",IF(VLOOKUP(R147,'G-3 Multipliers'!$S$3:$T$10,2,FALSE)=0,"Spatial Data Missing ⚠",VLOOKUP(R147,'G-3 Multipliers'!$S$3:$T$10,2,FALSE)))</f>
        <v/>
      </c>
      <c r="T147" s="376" t="str">
        <f>IFERROR(IF(P147="","",IF(AND(P147='G-1 All Habitats'!$X$3,W147&gt;0),X147+Y147,IF(AND(P147='G-1 All Habitats'!$X$3,V147&gt;0),X147+Y147,IF(AND(P147='G-1 All Habitats'!$X$3,AG147&gt;0),"Any Loss Unacceptable ⚠", IF(R147="","", IF(AND(P147='G-1 All Habitats'!$X$3,Z147&gt;0),"Any Loss Unacceptable ⚠",H147*J147*L147*O147)))))),"Check Data ⚠")</f>
        <v/>
      </c>
      <c r="U147" s="38"/>
      <c r="V147" s="54"/>
      <c r="W147" s="55"/>
      <c r="X147" s="374" t="str">
        <f t="shared" si="21"/>
        <v/>
      </c>
      <c r="Y147" s="374" t="str">
        <f t="shared" si="22"/>
        <v/>
      </c>
      <c r="Z147" s="374" t="str">
        <f>IF(E147="","",IF(H147&lt;V147+W147,"Error in Areas ▲",IF(P147&lt;&gt;'G-1 All Habitats'!$X$3,H147-V147-W147,IF(AND(P147='G-1 All Habitats'!$X$3,AB147="Yes"),"Unacceptable Loss ⚠",IF(AND(P147='G-1 All Habitats'!$X$3,AB147="No"),AG147,IF(AND(P147='G-1 All Habitats'!$X$3,AB147=""),AG147,IF(AND(P147='G-1 All Habitats'!$X$3,AG147="None",AG147),IF(AND(P147='G-1 All Habitats'!$X$3,AG147&gt;0),H147-V147-W147))))))))</f>
        <v/>
      </c>
      <c r="AA147" s="405" t="str">
        <f>IFERROR(IF(H147="","",IF(H147-V147-W147=0&lt;0,"Error in Areas ▲",IF(V147+W147&gt;H147,"Error in Areas ▲",IF(AND(P147='G-1 All Habitats'!$X$3,AB147="Yes"),"Alternative Compensation ✓",IF(Z147=0,0,IF(P147='G-1 All Habitats'!$X$3,"Any Loss Unacceptable ▲",T147-X147-Y147)))))),"Check Data ⚠")</f>
        <v/>
      </c>
      <c r="AB147" s="837"/>
      <c r="AC147" s="119"/>
      <c r="AD147" s="528"/>
      <c r="AE147" s="120"/>
      <c r="AF147" s="687"/>
      <c r="AG147" s="744" t="str">
        <f>IF(P147="","",IF(P147='G-1 All Habitats'!$X$3,H147-V147-W147,"None"))</f>
        <v/>
      </c>
      <c r="AH147" s="744" t="str">
        <f t="shared" si="23"/>
        <v/>
      </c>
      <c r="AJ147" s="124" t="str">
        <f t="shared" si="24"/>
        <v/>
      </c>
      <c r="AK147" s="124" t="str">
        <f t="shared" si="25"/>
        <v/>
      </c>
      <c r="AL147" s="124" t="str">
        <f>IF(I147="","",IF(#REF!&gt;0,TRUE,FALSE))</f>
        <v/>
      </c>
      <c r="AM147" s="124">
        <v>137</v>
      </c>
      <c r="AN147" s="124"/>
      <c r="AO147" s="124" t="str">
        <f t="array" ref="AO147">IFERROR(INDEX($AM$11:$AM$259, MATCH(0, IF(TRUE=$AJ$11:$AJ$259, COUNTIF($AO$10:$AO146, $AM$11:$AM$259), ""), 0)),"")</f>
        <v/>
      </c>
      <c r="AP147" s="124" t="str">
        <f t="array" ref="AP147">IFERROR(INDEX($AM$11:$AM$259, MATCH(0, IF(TRUE=$AK$11:$AK$259, COUNTIF($AP$10:$AP146, $AM$11:$AM$259), ""), 0)),"")</f>
        <v/>
      </c>
      <c r="AQ147" s="124" t="str">
        <f t="array" ref="AQ147">IFERROR(INDEX($AM$11:$AM$259, MATCH(0, IF(TRUE=$AL$11:$AL$259, COUNTIF($AQ$10:$AQ146, $AM$11:$AM$259), ""), 0)),"")</f>
        <v/>
      </c>
      <c r="AU147" s="30">
        <f t="shared" si="27"/>
        <v>0</v>
      </c>
      <c r="AY147" s="374" t="str">
        <f t="shared" si="26"/>
        <v/>
      </c>
    </row>
    <row r="148" spans="1:51">
      <c r="A148" s="30" t="str">
        <f>IFERROR(INDEX('G-1 All Habitats'!$AG$3:$AG$17,MATCH(E148,'G-1 All Habitats'!$AF$3:$AF$17,0)),"")</f>
        <v/>
      </c>
      <c r="B148" s="30" t="str">
        <f>IFERROR(INDEX('G-8 Condition Look up'!$I$4:$I$135,MATCH(G148,'G-8 Condition Look up'!$A$4:$A$135,0)),"")</f>
        <v/>
      </c>
      <c r="D148" s="110">
        <v>138</v>
      </c>
      <c r="E148" s="339"/>
      <c r="F148" s="340"/>
      <c r="G148" s="295" t="str">
        <f>IFERROR(INDEX('G-1 All Habitats'!$B$3:$B$134,MATCH(F148,'G-1 All Habitats'!$A$3:$A$134,0)),"")</f>
        <v/>
      </c>
      <c r="H148" s="139"/>
      <c r="I148" s="722" t="str">
        <f>IF(G148="","",VLOOKUP(G148,'G-1 All Habitats'!$B$2:$M$134,10,FALSE))</f>
        <v/>
      </c>
      <c r="J148" s="490" t="str">
        <f>IFERROR(VLOOKUP(I148,'G-1 All Habitats'!$V$3:$W$7,2,FALSE),"")</f>
        <v/>
      </c>
      <c r="K148" s="114"/>
      <c r="L148" s="490" t="str">
        <f>IFERROR(INDEX('G-8 Condition Look up'!$A$3:$H$135,MATCH(G148,'G-8 Condition Look up'!$A$3:$A$135,0),MATCH(K148,'G-8 Condition Look up'!$A$3:$H$3,0)),"")</f>
        <v/>
      </c>
      <c r="M148" s="738"/>
      <c r="N148" s="404" t="str">
        <f>IF(M148="","",IF(VLOOKUP(M148,'G-3 Multipliers'!$L$3:$N$6,2,FALSE)=0,"Spatial Data Missing ⚠",VLOOKUP(M148,'G-3 Multipliers'!$L$3:$N$6,2,FALSE)))</f>
        <v/>
      </c>
      <c r="O148" s="452" t="str">
        <f>IF(M148="","",IF(VLOOKUP(M148,'G-3 Multipliers'!$L$3:$N$6,3,FALSE)=0,"Spatial Data Missing ⚠",VLOOKUP(M148,'G-3 Multipliers'!$L$3:$N$6,3,FALSE)))</f>
        <v/>
      </c>
      <c r="P148" s="369" t="str">
        <f>IFERROR(VLOOKUP(G148,'G-1 All Habitats'!$B$2:$M$134,12,FALSE),"")</f>
        <v/>
      </c>
      <c r="Q148" s="725" t="str">
        <f>IFERROR(IF(P148="","",IF(AND(P148='G-1 All Habitats'!$X$3,W148&gt;0),X148+(Y148*S148),IF(AND(P148='G-1 All Habitats'!$X$3,V148&gt;0),X148+(Y148*S148),IF(AND(P148='G-1 All Habitats'!$X$3,AG148&gt;0),"Any Loss Unacceptable  ⚠",IF(AND(P148='G-1 All Habitats'!$X$3,Z148&gt;0),"Any Loss Unacceptable ⚠",H148*J148*L148*O148*S148))))),"Check Data ⚠")</f>
        <v/>
      </c>
      <c r="R148" s="516"/>
      <c r="S148" s="724" t="str">
        <f>IF(R148="","",IF(VLOOKUP(R148,'G-3 Multipliers'!$S$3:$T$10,2,FALSE)=0,"Spatial Data Missing ⚠",VLOOKUP(R148,'G-3 Multipliers'!$S$3:$T$10,2,FALSE)))</f>
        <v/>
      </c>
      <c r="T148" s="376" t="str">
        <f>IFERROR(IF(P148="","",IF(AND(P148='G-1 All Habitats'!$X$3,W148&gt;0),X148+Y148,IF(AND(P148='G-1 All Habitats'!$X$3,V148&gt;0),X148+Y148,IF(AND(P148='G-1 All Habitats'!$X$3,AG148&gt;0),"Any Loss Unacceptable ⚠", IF(R148="","", IF(AND(P148='G-1 All Habitats'!$X$3,Z148&gt;0),"Any Loss Unacceptable ⚠",H148*J148*L148*O148)))))),"Check Data ⚠")</f>
        <v/>
      </c>
      <c r="U148" s="38"/>
      <c r="V148" s="54"/>
      <c r="W148" s="55"/>
      <c r="X148" s="374" t="str">
        <f t="shared" si="21"/>
        <v/>
      </c>
      <c r="Y148" s="374" t="str">
        <f t="shared" si="22"/>
        <v/>
      </c>
      <c r="Z148" s="374" t="str">
        <f>IF(E148="","",IF(H148&lt;V148+W148,"Error in Areas ▲",IF(P148&lt;&gt;'G-1 All Habitats'!$X$3,H148-V148-W148,IF(AND(P148='G-1 All Habitats'!$X$3,AB148="Yes"),"Unacceptable Loss ⚠",IF(AND(P148='G-1 All Habitats'!$X$3,AB148="No"),AG148,IF(AND(P148='G-1 All Habitats'!$X$3,AB148=""),AG148,IF(AND(P148='G-1 All Habitats'!$X$3,AG148="None",AG148),IF(AND(P148='G-1 All Habitats'!$X$3,AG148&gt;0),H148-V148-W148))))))))</f>
        <v/>
      </c>
      <c r="AA148" s="405" t="str">
        <f>IFERROR(IF(H148="","",IF(H148-V148-W148=0&lt;0,"Error in Areas ▲",IF(V148+W148&gt;H148,"Error in Areas ▲",IF(AND(P148='G-1 All Habitats'!$X$3,AB148="Yes"),"Alternative Compensation ✓",IF(Z148=0,0,IF(P148='G-1 All Habitats'!$X$3,"Any Loss Unacceptable ▲",T148-X148-Y148)))))),"Check Data ⚠")</f>
        <v/>
      </c>
      <c r="AB148" s="837"/>
      <c r="AC148" s="119"/>
      <c r="AD148" s="528"/>
      <c r="AE148" s="120"/>
      <c r="AF148" s="687"/>
      <c r="AG148" s="744" t="str">
        <f>IF(P148="","",IF(P148='G-1 All Habitats'!$X$3,H148-V148-W148,"None"))</f>
        <v/>
      </c>
      <c r="AH148" s="744" t="str">
        <f t="shared" si="23"/>
        <v/>
      </c>
      <c r="AJ148" s="124" t="str">
        <f t="shared" si="24"/>
        <v/>
      </c>
      <c r="AK148" s="124" t="str">
        <f t="shared" si="25"/>
        <v/>
      </c>
      <c r="AL148" s="124" t="str">
        <f>IF(I148="","",IF(#REF!&gt;0,TRUE,FALSE))</f>
        <v/>
      </c>
      <c r="AM148" s="124">
        <v>138</v>
      </c>
      <c r="AN148" s="124"/>
      <c r="AO148" s="124" t="str">
        <f t="array" ref="AO148">IFERROR(INDEX($AM$11:$AM$259, MATCH(0, IF(TRUE=$AJ$11:$AJ$259, COUNTIF($AO$10:$AO147, $AM$11:$AM$259), ""), 0)),"")</f>
        <v/>
      </c>
      <c r="AP148" s="124" t="str">
        <f t="array" ref="AP148">IFERROR(INDEX($AM$11:$AM$259, MATCH(0, IF(TRUE=$AK$11:$AK$259, COUNTIF($AP$10:$AP147, $AM$11:$AM$259), ""), 0)),"")</f>
        <v/>
      </c>
      <c r="AQ148" s="124" t="str">
        <f t="array" ref="AQ148">IFERROR(INDEX($AM$11:$AM$259, MATCH(0, IF(TRUE=$AL$11:$AL$259, COUNTIF($AQ$10:$AQ147, $AM$11:$AM$259), ""), 0)),"")</f>
        <v/>
      </c>
      <c r="AU148" s="30">
        <f t="shared" si="27"/>
        <v>0</v>
      </c>
      <c r="AY148" s="374" t="str">
        <f t="shared" si="26"/>
        <v/>
      </c>
    </row>
    <row r="149" spans="1:51">
      <c r="A149" s="30" t="str">
        <f>IFERROR(INDEX('G-1 All Habitats'!$AG$3:$AG$17,MATCH(E149,'G-1 All Habitats'!$AF$3:$AF$17,0)),"")</f>
        <v/>
      </c>
      <c r="B149" s="30" t="str">
        <f>IFERROR(INDEX('G-8 Condition Look up'!$I$4:$I$135,MATCH(G149,'G-8 Condition Look up'!$A$4:$A$135,0)),"")</f>
        <v/>
      </c>
      <c r="D149" s="110">
        <v>139</v>
      </c>
      <c r="E149" s="339"/>
      <c r="F149" s="340"/>
      <c r="G149" s="295" t="str">
        <f>IFERROR(INDEX('G-1 All Habitats'!$B$3:$B$134,MATCH(F149,'G-1 All Habitats'!$A$3:$A$134,0)),"")</f>
        <v/>
      </c>
      <c r="H149" s="139"/>
      <c r="I149" s="722" t="str">
        <f>IF(G149="","",VLOOKUP(G149,'G-1 All Habitats'!$B$2:$M$134,10,FALSE))</f>
        <v/>
      </c>
      <c r="J149" s="490" t="str">
        <f>IFERROR(VLOOKUP(I149,'G-1 All Habitats'!$V$3:$W$7,2,FALSE),"")</f>
        <v/>
      </c>
      <c r="K149" s="114"/>
      <c r="L149" s="490" t="str">
        <f>IFERROR(INDEX('G-8 Condition Look up'!$A$3:$H$135,MATCH(G149,'G-8 Condition Look up'!$A$3:$A$135,0),MATCH(K149,'G-8 Condition Look up'!$A$3:$H$3,0)),"")</f>
        <v/>
      </c>
      <c r="M149" s="738"/>
      <c r="N149" s="404" t="str">
        <f>IF(M149="","",IF(VLOOKUP(M149,'G-3 Multipliers'!$L$3:$N$6,2,FALSE)=0,"Spatial Data Missing ⚠",VLOOKUP(M149,'G-3 Multipliers'!$L$3:$N$6,2,FALSE)))</f>
        <v/>
      </c>
      <c r="O149" s="452" t="str">
        <f>IF(M149="","",IF(VLOOKUP(M149,'G-3 Multipliers'!$L$3:$N$6,3,FALSE)=0,"Spatial Data Missing ⚠",VLOOKUP(M149,'G-3 Multipliers'!$L$3:$N$6,3,FALSE)))</f>
        <v/>
      </c>
      <c r="P149" s="369" t="str">
        <f>IFERROR(VLOOKUP(G149,'G-1 All Habitats'!$B$2:$M$134,12,FALSE),"")</f>
        <v/>
      </c>
      <c r="Q149" s="725" t="str">
        <f>IFERROR(IF(P149="","",IF(AND(P149='G-1 All Habitats'!$X$3,W149&gt;0),X149+(Y149*S149),IF(AND(P149='G-1 All Habitats'!$X$3,V149&gt;0),X149+(Y149*S149),IF(AND(P149='G-1 All Habitats'!$X$3,AG149&gt;0),"Any Loss Unacceptable  ⚠",IF(AND(P149='G-1 All Habitats'!$X$3,Z149&gt;0),"Any Loss Unacceptable ⚠",H149*J149*L149*O149*S149))))),"Check Data ⚠")</f>
        <v/>
      </c>
      <c r="R149" s="516"/>
      <c r="S149" s="724" t="str">
        <f>IF(R149="","",IF(VLOOKUP(R149,'G-3 Multipliers'!$S$3:$T$10,2,FALSE)=0,"Spatial Data Missing ⚠",VLOOKUP(R149,'G-3 Multipliers'!$S$3:$T$10,2,FALSE)))</f>
        <v/>
      </c>
      <c r="T149" s="376" t="str">
        <f>IFERROR(IF(P149="","",IF(AND(P149='G-1 All Habitats'!$X$3,W149&gt;0),X149+Y149,IF(AND(P149='G-1 All Habitats'!$X$3,V149&gt;0),X149+Y149,IF(AND(P149='G-1 All Habitats'!$X$3,AG149&gt;0),"Any Loss Unacceptable ⚠", IF(R149="","", IF(AND(P149='G-1 All Habitats'!$X$3,Z149&gt;0),"Any Loss Unacceptable ⚠",H149*J149*L149*O149)))))),"Check Data ⚠")</f>
        <v/>
      </c>
      <c r="U149" s="38"/>
      <c r="V149" s="54"/>
      <c r="W149" s="55"/>
      <c r="X149" s="374" t="str">
        <f t="shared" si="21"/>
        <v/>
      </c>
      <c r="Y149" s="374" t="str">
        <f t="shared" si="22"/>
        <v/>
      </c>
      <c r="Z149" s="374" t="str">
        <f>IF(E149="","",IF(H149&lt;V149+W149,"Error in Areas ▲",IF(P149&lt;&gt;'G-1 All Habitats'!$X$3,H149-V149-W149,IF(AND(P149='G-1 All Habitats'!$X$3,AB149="Yes"),"Unacceptable Loss ⚠",IF(AND(P149='G-1 All Habitats'!$X$3,AB149="No"),AG149,IF(AND(P149='G-1 All Habitats'!$X$3,AB149=""),AG149,IF(AND(P149='G-1 All Habitats'!$X$3,AG149="None",AG149),IF(AND(P149='G-1 All Habitats'!$X$3,AG149&gt;0),H149-V149-W149))))))))</f>
        <v/>
      </c>
      <c r="AA149" s="405" t="str">
        <f>IFERROR(IF(H149="","",IF(H149-V149-W149=0&lt;0,"Error in Areas ▲",IF(V149+W149&gt;H149,"Error in Areas ▲",IF(AND(P149='G-1 All Habitats'!$X$3,AB149="Yes"),"Alternative Compensation ✓",IF(Z149=0,0,IF(P149='G-1 All Habitats'!$X$3,"Any Loss Unacceptable ▲",T149-X149-Y149)))))),"Check Data ⚠")</f>
        <v/>
      </c>
      <c r="AB149" s="837"/>
      <c r="AC149" s="119"/>
      <c r="AD149" s="528"/>
      <c r="AE149" s="120"/>
      <c r="AF149" s="687"/>
      <c r="AG149" s="744" t="str">
        <f>IF(P149="","",IF(P149='G-1 All Habitats'!$X$3,H149-V149-W149,"None"))</f>
        <v/>
      </c>
      <c r="AH149" s="744" t="str">
        <f t="shared" si="23"/>
        <v/>
      </c>
      <c r="AJ149" s="124" t="str">
        <f t="shared" si="24"/>
        <v/>
      </c>
      <c r="AK149" s="124" t="str">
        <f t="shared" si="25"/>
        <v/>
      </c>
      <c r="AL149" s="124" t="str">
        <f>IF(I149="","",IF(#REF!&gt;0,TRUE,FALSE))</f>
        <v/>
      </c>
      <c r="AM149" s="124">
        <v>139</v>
      </c>
      <c r="AN149" s="124"/>
      <c r="AO149" s="124" t="str">
        <f t="array" ref="AO149">IFERROR(INDEX($AM$11:$AM$259, MATCH(0, IF(TRUE=$AJ$11:$AJ$259, COUNTIF($AO$10:$AO148, $AM$11:$AM$259), ""), 0)),"")</f>
        <v/>
      </c>
      <c r="AP149" s="124" t="str">
        <f t="array" ref="AP149">IFERROR(INDEX($AM$11:$AM$259, MATCH(0, IF(TRUE=$AK$11:$AK$259, COUNTIF($AP$10:$AP148, $AM$11:$AM$259), ""), 0)),"")</f>
        <v/>
      </c>
      <c r="AQ149" s="124" t="str">
        <f t="array" ref="AQ149">IFERROR(INDEX($AM$11:$AM$259, MATCH(0, IF(TRUE=$AL$11:$AL$259, COUNTIF($AQ$10:$AQ148, $AM$11:$AM$259), ""), 0)),"")</f>
        <v/>
      </c>
      <c r="AU149" s="30">
        <f t="shared" si="27"/>
        <v>0</v>
      </c>
      <c r="AY149" s="374" t="str">
        <f t="shared" si="26"/>
        <v/>
      </c>
    </row>
    <row r="150" spans="1:51">
      <c r="A150" s="30" t="str">
        <f>IFERROR(INDEX('G-1 All Habitats'!$AG$3:$AG$17,MATCH(E150,'G-1 All Habitats'!$AF$3:$AF$17,0)),"")</f>
        <v/>
      </c>
      <c r="B150" s="30" t="str">
        <f>IFERROR(INDEX('G-8 Condition Look up'!$I$4:$I$135,MATCH(G150,'G-8 Condition Look up'!$A$4:$A$135,0)),"")</f>
        <v/>
      </c>
      <c r="D150" s="110">
        <v>140</v>
      </c>
      <c r="E150" s="339"/>
      <c r="F150" s="340"/>
      <c r="G150" s="295" t="str">
        <f>IFERROR(INDEX('G-1 All Habitats'!$B$3:$B$134,MATCH(F150,'G-1 All Habitats'!$A$3:$A$134,0)),"")</f>
        <v/>
      </c>
      <c r="H150" s="139"/>
      <c r="I150" s="722" t="str">
        <f>IF(G150="","",VLOOKUP(G150,'G-1 All Habitats'!$B$2:$M$134,10,FALSE))</f>
        <v/>
      </c>
      <c r="J150" s="490" t="str">
        <f>IFERROR(VLOOKUP(I150,'G-1 All Habitats'!$V$3:$W$7,2,FALSE),"")</f>
        <v/>
      </c>
      <c r="K150" s="114"/>
      <c r="L150" s="490" t="str">
        <f>IFERROR(INDEX('G-8 Condition Look up'!$A$3:$H$135,MATCH(G150,'G-8 Condition Look up'!$A$3:$A$135,0),MATCH(K150,'G-8 Condition Look up'!$A$3:$H$3,0)),"")</f>
        <v/>
      </c>
      <c r="M150" s="738"/>
      <c r="N150" s="404" t="str">
        <f>IF(M150="","",IF(VLOOKUP(M150,'G-3 Multipliers'!$L$3:$N$6,2,FALSE)=0,"Spatial Data Missing ⚠",VLOOKUP(M150,'G-3 Multipliers'!$L$3:$N$6,2,FALSE)))</f>
        <v/>
      </c>
      <c r="O150" s="452" t="str">
        <f>IF(M150="","",IF(VLOOKUP(M150,'G-3 Multipliers'!$L$3:$N$6,3,FALSE)=0,"Spatial Data Missing ⚠",VLOOKUP(M150,'G-3 Multipliers'!$L$3:$N$6,3,FALSE)))</f>
        <v/>
      </c>
      <c r="P150" s="369" t="str">
        <f>IFERROR(VLOOKUP(G150,'G-1 All Habitats'!$B$2:$M$134,12,FALSE),"")</f>
        <v/>
      </c>
      <c r="Q150" s="725" t="str">
        <f>IFERROR(IF(P150="","",IF(AND(P150='G-1 All Habitats'!$X$3,W150&gt;0),X150+(Y150*S150),IF(AND(P150='G-1 All Habitats'!$X$3,V150&gt;0),X150+(Y150*S150),IF(AND(P150='G-1 All Habitats'!$X$3,AG150&gt;0),"Any Loss Unacceptable  ⚠",IF(AND(P150='G-1 All Habitats'!$X$3,Z150&gt;0),"Any Loss Unacceptable ⚠",H150*J150*L150*O150*S150))))),"Check Data ⚠")</f>
        <v/>
      </c>
      <c r="R150" s="516"/>
      <c r="S150" s="724" t="str">
        <f>IF(R150="","",IF(VLOOKUP(R150,'G-3 Multipliers'!$S$3:$T$10,2,FALSE)=0,"Spatial Data Missing ⚠",VLOOKUP(R150,'G-3 Multipliers'!$S$3:$T$10,2,FALSE)))</f>
        <v/>
      </c>
      <c r="T150" s="376" t="str">
        <f>IFERROR(IF(P150="","",IF(AND(P150='G-1 All Habitats'!$X$3,W150&gt;0),X150+Y150,IF(AND(P150='G-1 All Habitats'!$X$3,V150&gt;0),X150+Y150,IF(AND(P150='G-1 All Habitats'!$X$3,AG150&gt;0),"Any Loss Unacceptable ⚠", IF(R150="","", IF(AND(P150='G-1 All Habitats'!$X$3,Z150&gt;0),"Any Loss Unacceptable ⚠",H150*J150*L150*O150)))))),"Check Data ⚠")</f>
        <v/>
      </c>
      <c r="U150" s="38"/>
      <c r="V150" s="54"/>
      <c r="W150" s="55"/>
      <c r="X150" s="374" t="str">
        <f t="shared" si="21"/>
        <v/>
      </c>
      <c r="Y150" s="374" t="str">
        <f t="shared" si="22"/>
        <v/>
      </c>
      <c r="Z150" s="374" t="str">
        <f>IF(E150="","",IF(H150&lt;V150+W150,"Error in Areas ▲",IF(P150&lt;&gt;'G-1 All Habitats'!$X$3,H150-V150-W150,IF(AND(P150='G-1 All Habitats'!$X$3,AB150="Yes"),"Unacceptable Loss ⚠",IF(AND(P150='G-1 All Habitats'!$X$3,AB150="No"),AG150,IF(AND(P150='G-1 All Habitats'!$X$3,AB150=""),AG150,IF(AND(P150='G-1 All Habitats'!$X$3,AG150="None",AG150),IF(AND(P150='G-1 All Habitats'!$X$3,AG150&gt;0),H150-V150-W150))))))))</f>
        <v/>
      </c>
      <c r="AA150" s="405" t="str">
        <f>IFERROR(IF(H150="","",IF(H150-V150-W150=0&lt;0,"Error in Areas ▲",IF(V150+W150&gt;H150,"Error in Areas ▲",IF(AND(P150='G-1 All Habitats'!$X$3,AB150="Yes"),"Alternative Compensation ✓",IF(Z150=0,0,IF(P150='G-1 All Habitats'!$X$3,"Any Loss Unacceptable ▲",T150-X150-Y150)))))),"Check Data ⚠")</f>
        <v/>
      </c>
      <c r="AB150" s="837"/>
      <c r="AC150" s="119"/>
      <c r="AD150" s="528"/>
      <c r="AE150" s="120"/>
      <c r="AF150" s="687"/>
      <c r="AG150" s="744" t="str">
        <f>IF(P150="","",IF(P150='G-1 All Habitats'!$X$3,H150-V150-W150,"None"))</f>
        <v/>
      </c>
      <c r="AH150" s="744" t="str">
        <f t="shared" si="23"/>
        <v/>
      </c>
      <c r="AJ150" s="124" t="str">
        <f t="shared" si="24"/>
        <v/>
      </c>
      <c r="AK150" s="124" t="str">
        <f t="shared" si="25"/>
        <v/>
      </c>
      <c r="AL150" s="124" t="str">
        <f>IF(I150="","",IF(#REF!&gt;0,TRUE,FALSE))</f>
        <v/>
      </c>
      <c r="AM150" s="124">
        <v>140</v>
      </c>
      <c r="AN150" s="124"/>
      <c r="AO150" s="124" t="str">
        <f t="array" ref="AO150">IFERROR(INDEX($AM$11:$AM$259, MATCH(0, IF(TRUE=$AJ$11:$AJ$259, COUNTIF($AO$10:$AO149, $AM$11:$AM$259), ""), 0)),"")</f>
        <v/>
      </c>
      <c r="AP150" s="124" t="str">
        <f t="array" ref="AP150">IFERROR(INDEX($AM$11:$AM$259, MATCH(0, IF(TRUE=$AK$11:$AK$259, COUNTIF($AP$10:$AP149, $AM$11:$AM$259), ""), 0)),"")</f>
        <v/>
      </c>
      <c r="AQ150" s="124" t="str">
        <f t="array" ref="AQ150">IFERROR(INDEX($AM$11:$AM$259, MATCH(0, IF(TRUE=$AL$11:$AL$259, COUNTIF($AQ$10:$AQ149, $AM$11:$AM$259), ""), 0)),"")</f>
        <v/>
      </c>
      <c r="AU150" s="30">
        <f t="shared" si="27"/>
        <v>0</v>
      </c>
      <c r="AY150" s="374" t="str">
        <f t="shared" si="26"/>
        <v/>
      </c>
    </row>
    <row r="151" spans="1:51">
      <c r="A151" s="30" t="str">
        <f>IFERROR(INDEX('G-1 All Habitats'!$AG$3:$AG$17,MATCH(E151,'G-1 All Habitats'!$AF$3:$AF$17,0)),"")</f>
        <v/>
      </c>
      <c r="B151" s="30" t="str">
        <f>IFERROR(INDEX('G-8 Condition Look up'!$I$4:$I$135,MATCH(G151,'G-8 Condition Look up'!$A$4:$A$135,0)),"")</f>
        <v/>
      </c>
      <c r="D151" s="110">
        <v>141</v>
      </c>
      <c r="E151" s="339"/>
      <c r="F151" s="340"/>
      <c r="G151" s="295" t="str">
        <f>IFERROR(INDEX('G-1 All Habitats'!$B$3:$B$134,MATCH(F151,'G-1 All Habitats'!$A$3:$A$134,0)),"")</f>
        <v/>
      </c>
      <c r="H151" s="139"/>
      <c r="I151" s="722" t="str">
        <f>IF(G151="","",VLOOKUP(G151,'G-1 All Habitats'!$B$2:$M$134,10,FALSE))</f>
        <v/>
      </c>
      <c r="J151" s="490" t="str">
        <f>IFERROR(VLOOKUP(I151,'G-1 All Habitats'!$V$3:$W$7,2,FALSE),"")</f>
        <v/>
      </c>
      <c r="K151" s="114"/>
      <c r="L151" s="490" t="str">
        <f>IFERROR(INDEX('G-8 Condition Look up'!$A$3:$H$135,MATCH(G151,'G-8 Condition Look up'!$A$3:$A$135,0),MATCH(K151,'G-8 Condition Look up'!$A$3:$H$3,0)),"")</f>
        <v/>
      </c>
      <c r="M151" s="738"/>
      <c r="N151" s="404" t="str">
        <f>IF(M151="","",IF(VLOOKUP(M151,'G-3 Multipliers'!$L$3:$N$6,2,FALSE)=0,"Spatial Data Missing ⚠",VLOOKUP(M151,'G-3 Multipliers'!$L$3:$N$6,2,FALSE)))</f>
        <v/>
      </c>
      <c r="O151" s="452" t="str">
        <f>IF(M151="","",IF(VLOOKUP(M151,'G-3 Multipliers'!$L$3:$N$6,3,FALSE)=0,"Spatial Data Missing ⚠",VLOOKUP(M151,'G-3 Multipliers'!$L$3:$N$6,3,FALSE)))</f>
        <v/>
      </c>
      <c r="P151" s="369" t="str">
        <f>IFERROR(VLOOKUP(G151,'G-1 All Habitats'!$B$2:$M$134,12,FALSE),"")</f>
        <v/>
      </c>
      <c r="Q151" s="725" t="str">
        <f>IFERROR(IF(P151="","",IF(AND(P151='G-1 All Habitats'!$X$3,W151&gt;0),X151+(Y151*S151),IF(AND(P151='G-1 All Habitats'!$X$3,V151&gt;0),X151+(Y151*S151),IF(AND(P151='G-1 All Habitats'!$X$3,AG151&gt;0),"Any Loss Unacceptable  ⚠",IF(AND(P151='G-1 All Habitats'!$X$3,Z151&gt;0),"Any Loss Unacceptable ⚠",H151*J151*L151*O151*S151))))),"Check Data ⚠")</f>
        <v/>
      </c>
      <c r="R151" s="516"/>
      <c r="S151" s="724" t="str">
        <f>IF(R151="","",IF(VLOOKUP(R151,'G-3 Multipliers'!$S$3:$T$10,2,FALSE)=0,"Spatial Data Missing ⚠",VLOOKUP(R151,'G-3 Multipliers'!$S$3:$T$10,2,FALSE)))</f>
        <v/>
      </c>
      <c r="T151" s="376" t="str">
        <f>IFERROR(IF(P151="","",IF(AND(P151='G-1 All Habitats'!$X$3,W151&gt;0),X151+Y151,IF(AND(P151='G-1 All Habitats'!$X$3,V151&gt;0),X151+Y151,IF(AND(P151='G-1 All Habitats'!$X$3,AG151&gt;0),"Any Loss Unacceptable ⚠", IF(R151="","", IF(AND(P151='G-1 All Habitats'!$X$3,Z151&gt;0),"Any Loss Unacceptable ⚠",H151*J151*L151*O151)))))),"Check Data ⚠")</f>
        <v/>
      </c>
      <c r="U151" s="38"/>
      <c r="V151" s="54"/>
      <c r="W151" s="55"/>
      <c r="X151" s="374" t="str">
        <f t="shared" si="21"/>
        <v/>
      </c>
      <c r="Y151" s="374" t="str">
        <f t="shared" si="22"/>
        <v/>
      </c>
      <c r="Z151" s="374" t="str">
        <f>IF(E151="","",IF(H151&lt;V151+W151,"Error in Areas ▲",IF(P151&lt;&gt;'G-1 All Habitats'!$X$3,H151-V151-W151,IF(AND(P151='G-1 All Habitats'!$X$3,AB151="Yes"),"Unacceptable Loss ⚠",IF(AND(P151='G-1 All Habitats'!$X$3,AB151="No"),AG151,IF(AND(P151='G-1 All Habitats'!$X$3,AB151=""),AG151,IF(AND(P151='G-1 All Habitats'!$X$3,AG151="None",AG151),IF(AND(P151='G-1 All Habitats'!$X$3,AG151&gt;0),H151-V151-W151))))))))</f>
        <v/>
      </c>
      <c r="AA151" s="405" t="str">
        <f>IFERROR(IF(H151="","",IF(H151-V151-W151=0&lt;0,"Error in Areas ▲",IF(V151+W151&gt;H151,"Error in Areas ▲",IF(AND(P151='G-1 All Habitats'!$X$3,AB151="Yes"),"Alternative Compensation ✓",IF(Z151=0,0,IF(P151='G-1 All Habitats'!$X$3,"Any Loss Unacceptable ▲",T151-X151-Y151)))))),"Check Data ⚠")</f>
        <v/>
      </c>
      <c r="AB151" s="837"/>
      <c r="AC151" s="119"/>
      <c r="AD151" s="528"/>
      <c r="AE151" s="120"/>
      <c r="AF151" s="687"/>
      <c r="AG151" s="744" t="str">
        <f>IF(P151="","",IF(P151='G-1 All Habitats'!$X$3,H151-V151-W151,"None"))</f>
        <v/>
      </c>
      <c r="AH151" s="744" t="str">
        <f t="shared" si="23"/>
        <v/>
      </c>
      <c r="AJ151" s="124" t="str">
        <f t="shared" si="24"/>
        <v/>
      </c>
      <c r="AK151" s="124" t="str">
        <f t="shared" si="25"/>
        <v/>
      </c>
      <c r="AL151" s="124" t="str">
        <f>IF(I151="","",IF(#REF!&gt;0,TRUE,FALSE))</f>
        <v/>
      </c>
      <c r="AM151" s="124">
        <v>141</v>
      </c>
      <c r="AN151" s="124"/>
      <c r="AO151" s="124" t="str">
        <f t="array" ref="AO151">IFERROR(INDEX($AM$11:$AM$259, MATCH(0, IF(TRUE=$AJ$11:$AJ$259, COUNTIF($AO$10:$AO150, $AM$11:$AM$259), ""), 0)),"")</f>
        <v/>
      </c>
      <c r="AP151" s="124" t="str">
        <f t="array" ref="AP151">IFERROR(INDEX($AM$11:$AM$259, MATCH(0, IF(TRUE=$AK$11:$AK$259, COUNTIF($AP$10:$AP150, $AM$11:$AM$259), ""), 0)),"")</f>
        <v/>
      </c>
      <c r="AQ151" s="124" t="str">
        <f t="array" ref="AQ151">IFERROR(INDEX($AM$11:$AM$259, MATCH(0, IF(TRUE=$AL$11:$AL$259, COUNTIF($AQ$10:$AQ150, $AM$11:$AM$259), ""), 0)),"")</f>
        <v/>
      </c>
      <c r="AU151" s="30">
        <f t="shared" si="27"/>
        <v>0</v>
      </c>
      <c r="AY151" s="374" t="str">
        <f t="shared" si="26"/>
        <v/>
      </c>
    </row>
    <row r="152" spans="1:51">
      <c r="A152" s="30" t="str">
        <f>IFERROR(INDEX('G-1 All Habitats'!$AG$3:$AG$17,MATCH(E152,'G-1 All Habitats'!$AF$3:$AF$17,0)),"")</f>
        <v/>
      </c>
      <c r="B152" s="30" t="str">
        <f>IFERROR(INDEX('G-8 Condition Look up'!$I$4:$I$135,MATCH(G152,'G-8 Condition Look up'!$A$4:$A$135,0)),"")</f>
        <v/>
      </c>
      <c r="D152" s="110">
        <v>142</v>
      </c>
      <c r="E152" s="339"/>
      <c r="F152" s="340"/>
      <c r="G152" s="295" t="str">
        <f>IFERROR(INDEX('G-1 All Habitats'!$B$3:$B$134,MATCH(F152,'G-1 All Habitats'!$A$3:$A$134,0)),"")</f>
        <v/>
      </c>
      <c r="H152" s="139"/>
      <c r="I152" s="722" t="str">
        <f>IF(G152="","",VLOOKUP(G152,'G-1 All Habitats'!$B$2:$M$134,10,FALSE))</f>
        <v/>
      </c>
      <c r="J152" s="490" t="str">
        <f>IFERROR(VLOOKUP(I152,'G-1 All Habitats'!$V$3:$W$7,2,FALSE),"")</f>
        <v/>
      </c>
      <c r="K152" s="114"/>
      <c r="L152" s="490" t="str">
        <f>IFERROR(INDEX('G-8 Condition Look up'!$A$3:$H$135,MATCH(G152,'G-8 Condition Look up'!$A$3:$A$135,0),MATCH(K152,'G-8 Condition Look up'!$A$3:$H$3,0)),"")</f>
        <v/>
      </c>
      <c r="M152" s="738"/>
      <c r="N152" s="404" t="str">
        <f>IF(M152="","",IF(VLOOKUP(M152,'G-3 Multipliers'!$L$3:$N$6,2,FALSE)=0,"Spatial Data Missing ⚠",VLOOKUP(M152,'G-3 Multipliers'!$L$3:$N$6,2,FALSE)))</f>
        <v/>
      </c>
      <c r="O152" s="452" t="str">
        <f>IF(M152="","",IF(VLOOKUP(M152,'G-3 Multipliers'!$L$3:$N$6,3,FALSE)=0,"Spatial Data Missing ⚠",VLOOKUP(M152,'G-3 Multipliers'!$L$3:$N$6,3,FALSE)))</f>
        <v/>
      </c>
      <c r="P152" s="369" t="str">
        <f>IFERROR(VLOOKUP(G152,'G-1 All Habitats'!$B$2:$M$134,12,FALSE),"")</f>
        <v/>
      </c>
      <c r="Q152" s="725" t="str">
        <f>IFERROR(IF(P152="","",IF(AND(P152='G-1 All Habitats'!$X$3,W152&gt;0),X152+(Y152*S152),IF(AND(P152='G-1 All Habitats'!$X$3,V152&gt;0),X152+(Y152*S152),IF(AND(P152='G-1 All Habitats'!$X$3,AG152&gt;0),"Any Loss Unacceptable  ⚠",IF(AND(P152='G-1 All Habitats'!$X$3,Z152&gt;0),"Any Loss Unacceptable ⚠",H152*J152*L152*O152*S152))))),"Check Data ⚠")</f>
        <v/>
      </c>
      <c r="R152" s="516"/>
      <c r="S152" s="724" t="str">
        <f>IF(R152="","",IF(VLOOKUP(R152,'G-3 Multipliers'!$S$3:$T$10,2,FALSE)=0,"Spatial Data Missing ⚠",VLOOKUP(R152,'G-3 Multipliers'!$S$3:$T$10,2,FALSE)))</f>
        <v/>
      </c>
      <c r="T152" s="376" t="str">
        <f>IFERROR(IF(P152="","",IF(AND(P152='G-1 All Habitats'!$X$3,W152&gt;0),X152+Y152,IF(AND(P152='G-1 All Habitats'!$X$3,V152&gt;0),X152+Y152,IF(AND(P152='G-1 All Habitats'!$X$3,AG152&gt;0),"Any Loss Unacceptable ⚠", IF(R152="","", IF(AND(P152='G-1 All Habitats'!$X$3,Z152&gt;0),"Any Loss Unacceptable ⚠",H152*J152*L152*O152)))))),"Check Data ⚠")</f>
        <v/>
      </c>
      <c r="U152" s="38"/>
      <c r="V152" s="54"/>
      <c r="W152" s="55"/>
      <c r="X152" s="374" t="str">
        <f t="shared" si="21"/>
        <v/>
      </c>
      <c r="Y152" s="374" t="str">
        <f t="shared" si="22"/>
        <v/>
      </c>
      <c r="Z152" s="374" t="str">
        <f>IF(E152="","",IF(H152&lt;V152+W152,"Error in Areas ▲",IF(P152&lt;&gt;'G-1 All Habitats'!$X$3,H152-V152-W152,IF(AND(P152='G-1 All Habitats'!$X$3,AB152="Yes"),"Unacceptable Loss ⚠",IF(AND(P152='G-1 All Habitats'!$X$3,AB152="No"),AG152,IF(AND(P152='G-1 All Habitats'!$X$3,AB152=""),AG152,IF(AND(P152='G-1 All Habitats'!$X$3,AG152="None",AG152),IF(AND(P152='G-1 All Habitats'!$X$3,AG152&gt;0),H152-V152-W152))))))))</f>
        <v/>
      </c>
      <c r="AA152" s="405" t="str">
        <f>IFERROR(IF(H152="","",IF(H152-V152-W152=0&lt;0,"Error in Areas ▲",IF(V152+W152&gt;H152,"Error in Areas ▲",IF(AND(P152='G-1 All Habitats'!$X$3,AB152="Yes"),"Alternative Compensation ✓",IF(Z152=0,0,IF(P152='G-1 All Habitats'!$X$3,"Any Loss Unacceptable ▲",T152-X152-Y152)))))),"Check Data ⚠")</f>
        <v/>
      </c>
      <c r="AB152" s="837"/>
      <c r="AC152" s="119"/>
      <c r="AD152" s="528"/>
      <c r="AE152" s="120"/>
      <c r="AF152" s="687"/>
      <c r="AG152" s="744" t="str">
        <f>IF(P152="","",IF(P152='G-1 All Habitats'!$X$3,H152-V152-W152,"None"))</f>
        <v/>
      </c>
      <c r="AH152" s="744" t="str">
        <f t="shared" si="23"/>
        <v/>
      </c>
      <c r="AJ152" s="124" t="str">
        <f t="shared" si="24"/>
        <v/>
      </c>
      <c r="AK152" s="124" t="str">
        <f t="shared" si="25"/>
        <v/>
      </c>
      <c r="AL152" s="124" t="str">
        <f>IF(I152="","",IF(#REF!&gt;0,TRUE,FALSE))</f>
        <v/>
      </c>
      <c r="AM152" s="124">
        <v>142</v>
      </c>
      <c r="AN152" s="124"/>
      <c r="AO152" s="124" t="str">
        <f t="array" ref="AO152">IFERROR(INDEX($AM$11:$AM$259, MATCH(0, IF(TRUE=$AJ$11:$AJ$259, COUNTIF($AO$10:$AO151, $AM$11:$AM$259), ""), 0)),"")</f>
        <v/>
      </c>
      <c r="AP152" s="124" t="str">
        <f t="array" ref="AP152">IFERROR(INDEX($AM$11:$AM$259, MATCH(0, IF(TRUE=$AK$11:$AK$259, COUNTIF($AP$10:$AP151, $AM$11:$AM$259), ""), 0)),"")</f>
        <v/>
      </c>
      <c r="AQ152" s="124" t="str">
        <f t="array" ref="AQ152">IFERROR(INDEX($AM$11:$AM$259, MATCH(0, IF(TRUE=$AL$11:$AL$259, COUNTIF($AQ$10:$AQ151, $AM$11:$AM$259), ""), 0)),"")</f>
        <v/>
      </c>
      <c r="AU152" s="30">
        <f t="shared" si="27"/>
        <v>0</v>
      </c>
      <c r="AY152" s="374" t="str">
        <f t="shared" si="26"/>
        <v/>
      </c>
    </row>
    <row r="153" spans="1:51">
      <c r="A153" s="30" t="str">
        <f>IFERROR(INDEX('G-1 All Habitats'!$AG$3:$AG$17,MATCH(E153,'G-1 All Habitats'!$AF$3:$AF$17,0)),"")</f>
        <v/>
      </c>
      <c r="B153" s="30" t="str">
        <f>IFERROR(INDEX('G-8 Condition Look up'!$I$4:$I$135,MATCH(G153,'G-8 Condition Look up'!$A$4:$A$135,0)),"")</f>
        <v/>
      </c>
      <c r="D153" s="110">
        <v>143</v>
      </c>
      <c r="E153" s="339"/>
      <c r="F153" s="340"/>
      <c r="G153" s="295" t="str">
        <f>IFERROR(INDEX('G-1 All Habitats'!$B$3:$B$134,MATCH(F153,'G-1 All Habitats'!$A$3:$A$134,0)),"")</f>
        <v/>
      </c>
      <c r="H153" s="139"/>
      <c r="I153" s="722" t="str">
        <f>IF(G153="","",VLOOKUP(G153,'G-1 All Habitats'!$B$2:$M$134,10,FALSE))</f>
        <v/>
      </c>
      <c r="J153" s="490" t="str">
        <f>IFERROR(VLOOKUP(I153,'G-1 All Habitats'!$V$3:$W$7,2,FALSE),"")</f>
        <v/>
      </c>
      <c r="K153" s="114"/>
      <c r="L153" s="490" t="str">
        <f>IFERROR(INDEX('G-8 Condition Look up'!$A$3:$H$135,MATCH(G153,'G-8 Condition Look up'!$A$3:$A$135,0),MATCH(K153,'G-8 Condition Look up'!$A$3:$H$3,0)),"")</f>
        <v/>
      </c>
      <c r="M153" s="738"/>
      <c r="N153" s="404" t="str">
        <f>IF(M153="","",IF(VLOOKUP(M153,'G-3 Multipliers'!$L$3:$N$6,2,FALSE)=0,"Spatial Data Missing ⚠",VLOOKUP(M153,'G-3 Multipliers'!$L$3:$N$6,2,FALSE)))</f>
        <v/>
      </c>
      <c r="O153" s="452" t="str">
        <f>IF(M153="","",IF(VLOOKUP(M153,'G-3 Multipliers'!$L$3:$N$6,3,FALSE)=0,"Spatial Data Missing ⚠",VLOOKUP(M153,'G-3 Multipliers'!$L$3:$N$6,3,FALSE)))</f>
        <v/>
      </c>
      <c r="P153" s="369" t="str">
        <f>IFERROR(VLOOKUP(G153,'G-1 All Habitats'!$B$2:$M$134,12,FALSE),"")</f>
        <v/>
      </c>
      <c r="Q153" s="725" t="str">
        <f>IFERROR(IF(P153="","",IF(AND(P153='G-1 All Habitats'!$X$3,W153&gt;0),X153+(Y153*S153),IF(AND(P153='G-1 All Habitats'!$X$3,V153&gt;0),X153+(Y153*S153),IF(AND(P153='G-1 All Habitats'!$X$3,AG153&gt;0),"Any Loss Unacceptable  ⚠",IF(AND(P153='G-1 All Habitats'!$X$3,Z153&gt;0),"Any Loss Unacceptable ⚠",H153*J153*L153*O153*S153))))),"Check Data ⚠")</f>
        <v/>
      </c>
      <c r="R153" s="516"/>
      <c r="S153" s="724" t="str">
        <f>IF(R153="","",IF(VLOOKUP(R153,'G-3 Multipliers'!$S$3:$T$10,2,FALSE)=0,"Spatial Data Missing ⚠",VLOOKUP(R153,'G-3 Multipliers'!$S$3:$T$10,2,FALSE)))</f>
        <v/>
      </c>
      <c r="T153" s="376" t="str">
        <f>IFERROR(IF(P153="","",IF(AND(P153='G-1 All Habitats'!$X$3,W153&gt;0),X153+Y153,IF(AND(P153='G-1 All Habitats'!$X$3,V153&gt;0),X153+Y153,IF(AND(P153='G-1 All Habitats'!$X$3,AG153&gt;0),"Any Loss Unacceptable ⚠", IF(R153="","", IF(AND(P153='G-1 All Habitats'!$X$3,Z153&gt;0),"Any Loss Unacceptable ⚠",H153*J153*L153*O153)))))),"Check Data ⚠")</f>
        <v/>
      </c>
      <c r="U153" s="38"/>
      <c r="V153" s="54"/>
      <c r="W153" s="55"/>
      <c r="X153" s="374" t="str">
        <f t="shared" si="21"/>
        <v/>
      </c>
      <c r="Y153" s="374" t="str">
        <f t="shared" si="22"/>
        <v/>
      </c>
      <c r="Z153" s="374" t="str">
        <f>IF(E153="","",IF(H153&lt;V153+W153,"Error in Areas ▲",IF(P153&lt;&gt;'G-1 All Habitats'!$X$3,H153-V153-W153,IF(AND(P153='G-1 All Habitats'!$X$3,AB153="Yes"),"Unacceptable Loss ⚠",IF(AND(P153='G-1 All Habitats'!$X$3,AB153="No"),AG153,IF(AND(P153='G-1 All Habitats'!$X$3,AB153=""),AG153,IF(AND(P153='G-1 All Habitats'!$X$3,AG153="None",AG153),IF(AND(P153='G-1 All Habitats'!$X$3,AG153&gt;0),H153-V153-W153))))))))</f>
        <v/>
      </c>
      <c r="AA153" s="405" t="str">
        <f>IFERROR(IF(H153="","",IF(H153-V153-W153=0&lt;0,"Error in Areas ▲",IF(V153+W153&gt;H153,"Error in Areas ▲",IF(AND(P153='G-1 All Habitats'!$X$3,AB153="Yes"),"Alternative Compensation ✓",IF(Z153=0,0,IF(P153='G-1 All Habitats'!$X$3,"Any Loss Unacceptable ▲",T153-X153-Y153)))))),"Check Data ⚠")</f>
        <v/>
      </c>
      <c r="AB153" s="837"/>
      <c r="AC153" s="119"/>
      <c r="AD153" s="528"/>
      <c r="AE153" s="120"/>
      <c r="AF153" s="687"/>
      <c r="AG153" s="744" t="str">
        <f>IF(P153="","",IF(P153='G-1 All Habitats'!$X$3,H153-V153-W153,"None"))</f>
        <v/>
      </c>
      <c r="AH153" s="744" t="str">
        <f t="shared" si="23"/>
        <v/>
      </c>
      <c r="AJ153" s="124" t="str">
        <f t="shared" si="24"/>
        <v/>
      </c>
      <c r="AK153" s="124" t="str">
        <f t="shared" si="25"/>
        <v/>
      </c>
      <c r="AL153" s="124" t="str">
        <f>IF(I153="","",IF(#REF!&gt;0,TRUE,FALSE))</f>
        <v/>
      </c>
      <c r="AM153" s="124">
        <v>143</v>
      </c>
      <c r="AN153" s="124"/>
      <c r="AO153" s="124" t="str">
        <f t="array" ref="AO153">IFERROR(INDEX($AM$11:$AM$259, MATCH(0, IF(TRUE=$AJ$11:$AJ$259, COUNTIF($AO$10:$AO152, $AM$11:$AM$259), ""), 0)),"")</f>
        <v/>
      </c>
      <c r="AP153" s="124" t="str">
        <f t="array" ref="AP153">IFERROR(INDEX($AM$11:$AM$259, MATCH(0, IF(TRUE=$AK$11:$AK$259, COUNTIF($AP$10:$AP152, $AM$11:$AM$259), ""), 0)),"")</f>
        <v/>
      </c>
      <c r="AQ153" s="124" t="str">
        <f t="array" ref="AQ153">IFERROR(INDEX($AM$11:$AM$259, MATCH(0, IF(TRUE=$AL$11:$AL$259, COUNTIF($AQ$10:$AQ152, $AM$11:$AM$259), ""), 0)),"")</f>
        <v/>
      </c>
      <c r="AU153" s="30">
        <f t="shared" si="27"/>
        <v>0</v>
      </c>
      <c r="AY153" s="374" t="str">
        <f t="shared" si="26"/>
        <v/>
      </c>
    </row>
    <row r="154" spans="1:51">
      <c r="A154" s="30" t="str">
        <f>IFERROR(INDEX('G-1 All Habitats'!$AG$3:$AG$17,MATCH(E154,'G-1 All Habitats'!$AF$3:$AF$17,0)),"")</f>
        <v/>
      </c>
      <c r="B154" s="30" t="str">
        <f>IFERROR(INDEX('G-8 Condition Look up'!$I$4:$I$135,MATCH(G154,'G-8 Condition Look up'!$A$4:$A$135,0)),"")</f>
        <v/>
      </c>
      <c r="D154" s="110">
        <v>144</v>
      </c>
      <c r="E154" s="339"/>
      <c r="F154" s="340"/>
      <c r="G154" s="295" t="str">
        <f>IFERROR(INDEX('G-1 All Habitats'!$B$3:$B$134,MATCH(F154,'G-1 All Habitats'!$A$3:$A$134,0)),"")</f>
        <v/>
      </c>
      <c r="H154" s="139"/>
      <c r="I154" s="722" t="str">
        <f>IF(G154="","",VLOOKUP(G154,'G-1 All Habitats'!$B$2:$M$134,10,FALSE))</f>
        <v/>
      </c>
      <c r="J154" s="490" t="str">
        <f>IFERROR(VLOOKUP(I154,'G-1 All Habitats'!$V$3:$W$7,2,FALSE),"")</f>
        <v/>
      </c>
      <c r="K154" s="114"/>
      <c r="L154" s="490" t="str">
        <f>IFERROR(INDEX('G-8 Condition Look up'!$A$3:$H$135,MATCH(G154,'G-8 Condition Look up'!$A$3:$A$135,0),MATCH(K154,'G-8 Condition Look up'!$A$3:$H$3,0)),"")</f>
        <v/>
      </c>
      <c r="M154" s="738"/>
      <c r="N154" s="404" t="str">
        <f>IF(M154="","",IF(VLOOKUP(M154,'G-3 Multipliers'!$L$3:$N$6,2,FALSE)=0,"Spatial Data Missing ⚠",VLOOKUP(M154,'G-3 Multipliers'!$L$3:$N$6,2,FALSE)))</f>
        <v/>
      </c>
      <c r="O154" s="452" t="str">
        <f>IF(M154="","",IF(VLOOKUP(M154,'G-3 Multipliers'!$L$3:$N$6,3,FALSE)=0,"Spatial Data Missing ⚠",VLOOKUP(M154,'G-3 Multipliers'!$L$3:$N$6,3,FALSE)))</f>
        <v/>
      </c>
      <c r="P154" s="369" t="str">
        <f>IFERROR(VLOOKUP(G154,'G-1 All Habitats'!$B$2:$M$134,12,FALSE),"")</f>
        <v/>
      </c>
      <c r="Q154" s="725" t="str">
        <f>IFERROR(IF(P154="","",IF(AND(P154='G-1 All Habitats'!$X$3,W154&gt;0),X154+(Y154*S154),IF(AND(P154='G-1 All Habitats'!$X$3,V154&gt;0),X154+(Y154*S154),IF(AND(P154='G-1 All Habitats'!$X$3,AG154&gt;0),"Any Loss Unacceptable  ⚠",IF(AND(P154='G-1 All Habitats'!$X$3,Z154&gt;0),"Any Loss Unacceptable ⚠",H154*J154*L154*O154*S154))))),"Check Data ⚠")</f>
        <v/>
      </c>
      <c r="R154" s="516"/>
      <c r="S154" s="724" t="str">
        <f>IF(R154="","",IF(VLOOKUP(R154,'G-3 Multipliers'!$S$3:$T$10,2,FALSE)=0,"Spatial Data Missing ⚠",VLOOKUP(R154,'G-3 Multipliers'!$S$3:$T$10,2,FALSE)))</f>
        <v/>
      </c>
      <c r="T154" s="376" t="str">
        <f>IFERROR(IF(P154="","",IF(AND(P154='G-1 All Habitats'!$X$3,W154&gt;0),X154+Y154,IF(AND(P154='G-1 All Habitats'!$X$3,V154&gt;0),X154+Y154,IF(AND(P154='G-1 All Habitats'!$X$3,AG154&gt;0),"Any Loss Unacceptable ⚠", IF(R154="","", IF(AND(P154='G-1 All Habitats'!$X$3,Z154&gt;0),"Any Loss Unacceptable ⚠",H154*J154*L154*O154)))))),"Check Data ⚠")</f>
        <v/>
      </c>
      <c r="U154" s="38"/>
      <c r="V154" s="54"/>
      <c r="W154" s="55"/>
      <c r="X154" s="374" t="str">
        <f t="shared" si="21"/>
        <v/>
      </c>
      <c r="Y154" s="374" t="str">
        <f t="shared" si="22"/>
        <v/>
      </c>
      <c r="Z154" s="374" t="str">
        <f>IF(E154="","",IF(H154&lt;V154+W154,"Error in Areas ▲",IF(P154&lt;&gt;'G-1 All Habitats'!$X$3,H154-V154-W154,IF(AND(P154='G-1 All Habitats'!$X$3,AB154="Yes"),"Unacceptable Loss ⚠",IF(AND(P154='G-1 All Habitats'!$X$3,AB154="No"),AG154,IF(AND(P154='G-1 All Habitats'!$X$3,AB154=""),AG154,IF(AND(P154='G-1 All Habitats'!$X$3,AG154="None",AG154),IF(AND(P154='G-1 All Habitats'!$X$3,AG154&gt;0),H154-V154-W154))))))))</f>
        <v/>
      </c>
      <c r="AA154" s="405" t="str">
        <f>IFERROR(IF(H154="","",IF(H154-V154-W154=0&lt;0,"Error in Areas ▲",IF(V154+W154&gt;H154,"Error in Areas ▲",IF(AND(P154='G-1 All Habitats'!$X$3,AB154="Yes"),"Alternative Compensation ✓",IF(Z154=0,0,IF(P154='G-1 All Habitats'!$X$3,"Any Loss Unacceptable ▲",T154-X154-Y154)))))),"Check Data ⚠")</f>
        <v/>
      </c>
      <c r="AB154" s="837"/>
      <c r="AC154" s="119"/>
      <c r="AD154" s="528"/>
      <c r="AE154" s="120"/>
      <c r="AF154" s="687"/>
      <c r="AG154" s="744" t="str">
        <f>IF(P154="","",IF(P154='G-1 All Habitats'!$X$3,H154-V154-W154,"None"))</f>
        <v/>
      </c>
      <c r="AH154" s="744" t="str">
        <f t="shared" si="23"/>
        <v/>
      </c>
      <c r="AJ154" s="124" t="str">
        <f t="shared" si="24"/>
        <v/>
      </c>
      <c r="AK154" s="124" t="str">
        <f t="shared" si="25"/>
        <v/>
      </c>
      <c r="AL154" s="124" t="str">
        <f>IF(I154="","",IF(#REF!&gt;0,TRUE,FALSE))</f>
        <v/>
      </c>
      <c r="AM154" s="124">
        <v>144</v>
      </c>
      <c r="AN154" s="124"/>
      <c r="AO154" s="124" t="str">
        <f t="array" ref="AO154">IFERROR(INDEX($AM$11:$AM$259, MATCH(0, IF(TRUE=$AJ$11:$AJ$259, COUNTIF($AO$10:$AO153, $AM$11:$AM$259), ""), 0)),"")</f>
        <v/>
      </c>
      <c r="AP154" s="124" t="str">
        <f t="array" ref="AP154">IFERROR(INDEX($AM$11:$AM$259, MATCH(0, IF(TRUE=$AK$11:$AK$259, COUNTIF($AP$10:$AP153, $AM$11:$AM$259), ""), 0)),"")</f>
        <v/>
      </c>
      <c r="AQ154" s="124" t="str">
        <f t="array" ref="AQ154">IFERROR(INDEX($AM$11:$AM$259, MATCH(0, IF(TRUE=$AL$11:$AL$259, COUNTIF($AQ$10:$AQ153, $AM$11:$AM$259), ""), 0)),"")</f>
        <v/>
      </c>
      <c r="AU154" s="30">
        <f t="shared" si="27"/>
        <v>0</v>
      </c>
      <c r="AY154" s="374" t="str">
        <f t="shared" si="26"/>
        <v/>
      </c>
    </row>
    <row r="155" spans="1:51">
      <c r="A155" s="30" t="str">
        <f>IFERROR(INDEX('G-1 All Habitats'!$AG$3:$AG$17,MATCH(E155,'G-1 All Habitats'!$AF$3:$AF$17,0)),"")</f>
        <v/>
      </c>
      <c r="B155" s="30" t="str">
        <f>IFERROR(INDEX('G-8 Condition Look up'!$I$4:$I$135,MATCH(G155,'G-8 Condition Look up'!$A$4:$A$135,0)),"")</f>
        <v/>
      </c>
      <c r="D155" s="110">
        <v>145</v>
      </c>
      <c r="E155" s="339"/>
      <c r="F155" s="340"/>
      <c r="G155" s="295" t="str">
        <f>IFERROR(INDEX('G-1 All Habitats'!$B$3:$B$134,MATCH(F155,'G-1 All Habitats'!$A$3:$A$134,0)),"")</f>
        <v/>
      </c>
      <c r="H155" s="139"/>
      <c r="I155" s="722" t="str">
        <f>IF(G155="","",VLOOKUP(G155,'G-1 All Habitats'!$B$2:$M$134,10,FALSE))</f>
        <v/>
      </c>
      <c r="J155" s="490" t="str">
        <f>IFERROR(VLOOKUP(I155,'G-1 All Habitats'!$V$3:$W$7,2,FALSE),"")</f>
        <v/>
      </c>
      <c r="K155" s="114"/>
      <c r="L155" s="490" t="str">
        <f>IFERROR(INDEX('G-8 Condition Look up'!$A$3:$H$135,MATCH(G155,'G-8 Condition Look up'!$A$3:$A$135,0),MATCH(K155,'G-8 Condition Look up'!$A$3:$H$3,0)),"")</f>
        <v/>
      </c>
      <c r="M155" s="738"/>
      <c r="N155" s="404" t="str">
        <f>IF(M155="","",IF(VLOOKUP(M155,'G-3 Multipliers'!$L$3:$N$6,2,FALSE)=0,"Spatial Data Missing ⚠",VLOOKUP(M155,'G-3 Multipliers'!$L$3:$N$6,2,FALSE)))</f>
        <v/>
      </c>
      <c r="O155" s="452" t="str">
        <f>IF(M155="","",IF(VLOOKUP(M155,'G-3 Multipliers'!$L$3:$N$6,3,FALSE)=0,"Spatial Data Missing ⚠",VLOOKUP(M155,'G-3 Multipliers'!$L$3:$N$6,3,FALSE)))</f>
        <v/>
      </c>
      <c r="P155" s="369" t="str">
        <f>IFERROR(VLOOKUP(G155,'G-1 All Habitats'!$B$2:$M$134,12,FALSE),"")</f>
        <v/>
      </c>
      <c r="Q155" s="725" t="str">
        <f>IFERROR(IF(P155="","",IF(AND(P155='G-1 All Habitats'!$X$3,W155&gt;0),X155+(Y155*S155),IF(AND(P155='G-1 All Habitats'!$X$3,V155&gt;0),X155+(Y155*S155),IF(AND(P155='G-1 All Habitats'!$X$3,AG155&gt;0),"Any Loss Unacceptable  ⚠",IF(AND(P155='G-1 All Habitats'!$X$3,Z155&gt;0),"Any Loss Unacceptable ⚠",H155*J155*L155*O155*S155))))),"Check Data ⚠")</f>
        <v/>
      </c>
      <c r="R155" s="516"/>
      <c r="S155" s="724" t="str">
        <f>IF(R155="","",IF(VLOOKUP(R155,'G-3 Multipliers'!$S$3:$T$10,2,FALSE)=0,"Spatial Data Missing ⚠",VLOOKUP(R155,'G-3 Multipliers'!$S$3:$T$10,2,FALSE)))</f>
        <v/>
      </c>
      <c r="T155" s="376" t="str">
        <f>IFERROR(IF(P155="","",IF(AND(P155='G-1 All Habitats'!$X$3,W155&gt;0),X155+Y155,IF(AND(P155='G-1 All Habitats'!$X$3,V155&gt;0),X155+Y155,IF(AND(P155='G-1 All Habitats'!$X$3,AG155&gt;0),"Any Loss Unacceptable ⚠", IF(R155="","", IF(AND(P155='G-1 All Habitats'!$X$3,Z155&gt;0),"Any Loss Unacceptable ⚠",H155*J155*L155*O155)))))),"Check Data ⚠")</f>
        <v/>
      </c>
      <c r="U155" s="38"/>
      <c r="V155" s="54"/>
      <c r="W155" s="55"/>
      <c r="X155" s="374" t="str">
        <f t="shared" si="21"/>
        <v/>
      </c>
      <c r="Y155" s="374" t="str">
        <f t="shared" si="22"/>
        <v/>
      </c>
      <c r="Z155" s="374" t="str">
        <f>IF(E155="","",IF(H155&lt;V155+W155,"Error in Areas ▲",IF(P155&lt;&gt;'G-1 All Habitats'!$X$3,H155-V155-W155,IF(AND(P155='G-1 All Habitats'!$X$3,AB155="Yes"),"Unacceptable Loss ⚠",IF(AND(P155='G-1 All Habitats'!$X$3,AB155="No"),AG155,IF(AND(P155='G-1 All Habitats'!$X$3,AB155=""),AG155,IF(AND(P155='G-1 All Habitats'!$X$3,AG155="None",AG155),IF(AND(P155='G-1 All Habitats'!$X$3,AG155&gt;0),H155-V155-W155))))))))</f>
        <v/>
      </c>
      <c r="AA155" s="405" t="str">
        <f>IFERROR(IF(H155="","",IF(H155-V155-W155=0&lt;0,"Error in Areas ▲",IF(V155+W155&gt;H155,"Error in Areas ▲",IF(AND(P155='G-1 All Habitats'!$X$3,AB155="Yes"),"Alternative Compensation ✓",IF(Z155=0,0,IF(P155='G-1 All Habitats'!$X$3,"Any Loss Unacceptable ▲",T155-X155-Y155)))))),"Check Data ⚠")</f>
        <v/>
      </c>
      <c r="AB155" s="837"/>
      <c r="AC155" s="119"/>
      <c r="AD155" s="528"/>
      <c r="AE155" s="120"/>
      <c r="AF155" s="687"/>
      <c r="AG155" s="744" t="str">
        <f>IF(P155="","",IF(P155='G-1 All Habitats'!$X$3,H155-V155-W155,"None"))</f>
        <v/>
      </c>
      <c r="AH155" s="744" t="str">
        <f t="shared" si="23"/>
        <v/>
      </c>
      <c r="AJ155" s="124" t="str">
        <f t="shared" si="24"/>
        <v/>
      </c>
      <c r="AK155" s="124" t="str">
        <f t="shared" si="25"/>
        <v/>
      </c>
      <c r="AL155" s="124" t="str">
        <f>IF(I155="","",IF(#REF!&gt;0,TRUE,FALSE))</f>
        <v/>
      </c>
      <c r="AM155" s="124">
        <v>145</v>
      </c>
      <c r="AN155" s="124"/>
      <c r="AO155" s="124" t="str">
        <f t="array" ref="AO155">IFERROR(INDEX($AM$11:$AM$259, MATCH(0, IF(TRUE=$AJ$11:$AJ$259, COUNTIF($AO$10:$AO154, $AM$11:$AM$259), ""), 0)),"")</f>
        <v/>
      </c>
      <c r="AP155" s="124" t="str">
        <f t="array" ref="AP155">IFERROR(INDEX($AM$11:$AM$259, MATCH(0, IF(TRUE=$AK$11:$AK$259, COUNTIF($AP$10:$AP154, $AM$11:$AM$259), ""), 0)),"")</f>
        <v/>
      </c>
      <c r="AQ155" s="124" t="str">
        <f t="array" ref="AQ155">IFERROR(INDEX($AM$11:$AM$259, MATCH(0, IF(TRUE=$AL$11:$AL$259, COUNTIF($AQ$10:$AQ154, $AM$11:$AM$259), ""), 0)),"")</f>
        <v/>
      </c>
      <c r="AU155" s="30">
        <f t="shared" si="27"/>
        <v>0</v>
      </c>
      <c r="AY155" s="374" t="str">
        <f t="shared" si="26"/>
        <v/>
      </c>
    </row>
    <row r="156" spans="1:51">
      <c r="A156" s="30" t="str">
        <f>IFERROR(INDEX('G-1 All Habitats'!$AG$3:$AG$17,MATCH(E156,'G-1 All Habitats'!$AF$3:$AF$17,0)),"")</f>
        <v/>
      </c>
      <c r="B156" s="30" t="str">
        <f>IFERROR(INDEX('G-8 Condition Look up'!$I$4:$I$135,MATCH(G156,'G-8 Condition Look up'!$A$4:$A$135,0)),"")</f>
        <v/>
      </c>
      <c r="D156" s="110">
        <v>146</v>
      </c>
      <c r="E156" s="339"/>
      <c r="F156" s="340"/>
      <c r="G156" s="295" t="str">
        <f>IFERROR(INDEX('G-1 All Habitats'!$B$3:$B$134,MATCH(F156,'G-1 All Habitats'!$A$3:$A$134,0)),"")</f>
        <v/>
      </c>
      <c r="H156" s="139"/>
      <c r="I156" s="722" t="str">
        <f>IF(G156="","",VLOOKUP(G156,'G-1 All Habitats'!$B$2:$M$134,10,FALSE))</f>
        <v/>
      </c>
      <c r="J156" s="490" t="str">
        <f>IFERROR(VLOOKUP(I156,'G-1 All Habitats'!$V$3:$W$7,2,FALSE),"")</f>
        <v/>
      </c>
      <c r="K156" s="114"/>
      <c r="L156" s="490" t="str">
        <f>IFERROR(INDEX('G-8 Condition Look up'!$A$3:$H$135,MATCH(G156,'G-8 Condition Look up'!$A$3:$A$135,0),MATCH(K156,'G-8 Condition Look up'!$A$3:$H$3,0)),"")</f>
        <v/>
      </c>
      <c r="M156" s="738"/>
      <c r="N156" s="404" t="str">
        <f>IF(M156="","",IF(VLOOKUP(M156,'G-3 Multipliers'!$L$3:$N$6,2,FALSE)=0,"Spatial Data Missing ⚠",VLOOKUP(M156,'G-3 Multipliers'!$L$3:$N$6,2,FALSE)))</f>
        <v/>
      </c>
      <c r="O156" s="452" t="str">
        <f>IF(M156="","",IF(VLOOKUP(M156,'G-3 Multipliers'!$L$3:$N$6,3,FALSE)=0,"Spatial Data Missing ⚠",VLOOKUP(M156,'G-3 Multipliers'!$L$3:$N$6,3,FALSE)))</f>
        <v/>
      </c>
      <c r="P156" s="369" t="str">
        <f>IFERROR(VLOOKUP(G156,'G-1 All Habitats'!$B$2:$M$134,12,FALSE),"")</f>
        <v/>
      </c>
      <c r="Q156" s="725" t="str">
        <f>IFERROR(IF(P156="","",IF(AND(P156='G-1 All Habitats'!$X$3,W156&gt;0),X156+(Y156*S156),IF(AND(P156='G-1 All Habitats'!$X$3,V156&gt;0),X156+(Y156*S156),IF(AND(P156='G-1 All Habitats'!$X$3,AG156&gt;0),"Any Loss Unacceptable  ⚠",IF(AND(P156='G-1 All Habitats'!$X$3,Z156&gt;0),"Any Loss Unacceptable ⚠",H156*J156*L156*O156*S156))))),"Check Data ⚠")</f>
        <v/>
      </c>
      <c r="R156" s="516"/>
      <c r="S156" s="724" t="str">
        <f>IF(R156="","",IF(VLOOKUP(R156,'G-3 Multipliers'!$S$3:$T$10,2,FALSE)=0,"Spatial Data Missing ⚠",VLOOKUP(R156,'G-3 Multipliers'!$S$3:$T$10,2,FALSE)))</f>
        <v/>
      </c>
      <c r="T156" s="376" t="str">
        <f>IFERROR(IF(P156="","",IF(AND(P156='G-1 All Habitats'!$X$3,W156&gt;0),X156+Y156,IF(AND(P156='G-1 All Habitats'!$X$3,V156&gt;0),X156+Y156,IF(AND(P156='G-1 All Habitats'!$X$3,AG156&gt;0),"Any Loss Unacceptable ⚠", IF(R156="","", IF(AND(P156='G-1 All Habitats'!$X$3,Z156&gt;0),"Any Loss Unacceptable ⚠",H156*J156*L156*O156)))))),"Check Data ⚠")</f>
        <v/>
      </c>
      <c r="U156" s="38"/>
      <c r="V156" s="54"/>
      <c r="W156" s="55"/>
      <c r="X156" s="374" t="str">
        <f t="shared" si="21"/>
        <v/>
      </c>
      <c r="Y156" s="374" t="str">
        <f t="shared" si="22"/>
        <v/>
      </c>
      <c r="Z156" s="374" t="str">
        <f>IF(E156="","",IF(H156&lt;V156+W156,"Error in Areas ▲",IF(P156&lt;&gt;'G-1 All Habitats'!$X$3,H156-V156-W156,IF(AND(P156='G-1 All Habitats'!$X$3,AB156="Yes"),"Unacceptable Loss ⚠",IF(AND(P156='G-1 All Habitats'!$X$3,AB156="No"),AG156,IF(AND(P156='G-1 All Habitats'!$X$3,AB156=""),AG156,IF(AND(P156='G-1 All Habitats'!$X$3,AG156="None",AG156),IF(AND(P156='G-1 All Habitats'!$X$3,AG156&gt;0),H156-V156-W156))))))))</f>
        <v/>
      </c>
      <c r="AA156" s="405" t="str">
        <f>IFERROR(IF(H156="","",IF(H156-V156-W156=0&lt;0,"Error in Areas ▲",IF(V156+W156&gt;H156,"Error in Areas ▲",IF(AND(P156='G-1 All Habitats'!$X$3,AB156="Yes"),"Alternative Compensation ✓",IF(Z156=0,0,IF(P156='G-1 All Habitats'!$X$3,"Any Loss Unacceptable ▲",T156-X156-Y156)))))),"Check Data ⚠")</f>
        <v/>
      </c>
      <c r="AB156" s="837"/>
      <c r="AC156" s="119"/>
      <c r="AD156" s="528"/>
      <c r="AE156" s="120"/>
      <c r="AF156" s="687"/>
      <c r="AG156" s="744" t="str">
        <f>IF(P156="","",IF(P156='G-1 All Habitats'!$X$3,H156-V156-W156,"None"))</f>
        <v/>
      </c>
      <c r="AH156" s="744" t="str">
        <f t="shared" si="23"/>
        <v/>
      </c>
      <c r="AJ156" s="124" t="str">
        <f t="shared" si="24"/>
        <v/>
      </c>
      <c r="AK156" s="124" t="str">
        <f t="shared" si="25"/>
        <v/>
      </c>
      <c r="AL156" s="124" t="str">
        <f>IF(I156="","",IF(#REF!&gt;0,TRUE,FALSE))</f>
        <v/>
      </c>
      <c r="AM156" s="124">
        <v>146</v>
      </c>
      <c r="AN156" s="124"/>
      <c r="AO156" s="124" t="str">
        <f t="array" ref="AO156">IFERROR(INDEX($AM$11:$AM$259, MATCH(0, IF(TRUE=$AJ$11:$AJ$259, COUNTIF($AO$10:$AO155, $AM$11:$AM$259), ""), 0)),"")</f>
        <v/>
      </c>
      <c r="AP156" s="124" t="str">
        <f t="array" ref="AP156">IFERROR(INDEX($AM$11:$AM$259, MATCH(0, IF(TRUE=$AK$11:$AK$259, COUNTIF($AP$10:$AP155, $AM$11:$AM$259), ""), 0)),"")</f>
        <v/>
      </c>
      <c r="AQ156" s="124" t="str">
        <f t="array" ref="AQ156">IFERROR(INDEX($AM$11:$AM$259, MATCH(0, IF(TRUE=$AL$11:$AL$259, COUNTIF($AQ$10:$AQ155, $AM$11:$AM$259), ""), 0)),"")</f>
        <v/>
      </c>
      <c r="AU156" s="30">
        <f t="shared" si="27"/>
        <v>0</v>
      </c>
      <c r="AY156" s="374" t="str">
        <f t="shared" si="26"/>
        <v/>
      </c>
    </row>
    <row r="157" spans="1:51">
      <c r="A157" s="30" t="str">
        <f>IFERROR(INDEX('G-1 All Habitats'!$AG$3:$AG$17,MATCH(E157,'G-1 All Habitats'!$AF$3:$AF$17,0)),"")</f>
        <v/>
      </c>
      <c r="B157" s="30" t="str">
        <f>IFERROR(INDEX('G-8 Condition Look up'!$I$4:$I$135,MATCH(G157,'G-8 Condition Look up'!$A$4:$A$135,0)),"")</f>
        <v/>
      </c>
      <c r="D157" s="110">
        <v>147</v>
      </c>
      <c r="E157" s="339"/>
      <c r="F157" s="340"/>
      <c r="G157" s="295" t="str">
        <f>IFERROR(INDEX('G-1 All Habitats'!$B$3:$B$134,MATCH(F157,'G-1 All Habitats'!$A$3:$A$134,0)),"")</f>
        <v/>
      </c>
      <c r="H157" s="139"/>
      <c r="I157" s="722" t="str">
        <f>IF(G157="","",VLOOKUP(G157,'G-1 All Habitats'!$B$2:$M$134,10,FALSE))</f>
        <v/>
      </c>
      <c r="J157" s="490" t="str">
        <f>IFERROR(VLOOKUP(I157,'G-1 All Habitats'!$V$3:$W$7,2,FALSE),"")</f>
        <v/>
      </c>
      <c r="K157" s="114"/>
      <c r="L157" s="490" t="str">
        <f>IFERROR(INDEX('G-8 Condition Look up'!$A$3:$H$135,MATCH(G157,'G-8 Condition Look up'!$A$3:$A$135,0),MATCH(K157,'G-8 Condition Look up'!$A$3:$H$3,0)),"")</f>
        <v/>
      </c>
      <c r="M157" s="738"/>
      <c r="N157" s="404" t="str">
        <f>IF(M157="","",IF(VLOOKUP(M157,'G-3 Multipliers'!$L$3:$N$6,2,FALSE)=0,"Spatial Data Missing ⚠",VLOOKUP(M157,'G-3 Multipliers'!$L$3:$N$6,2,FALSE)))</f>
        <v/>
      </c>
      <c r="O157" s="452" t="str">
        <f>IF(M157="","",IF(VLOOKUP(M157,'G-3 Multipliers'!$L$3:$N$6,3,FALSE)=0,"Spatial Data Missing ⚠",VLOOKUP(M157,'G-3 Multipliers'!$L$3:$N$6,3,FALSE)))</f>
        <v/>
      </c>
      <c r="P157" s="369" t="str">
        <f>IFERROR(VLOOKUP(G157,'G-1 All Habitats'!$B$2:$M$134,12,FALSE),"")</f>
        <v/>
      </c>
      <c r="Q157" s="725" t="str">
        <f>IFERROR(IF(P157="","",IF(AND(P157='G-1 All Habitats'!$X$3,W157&gt;0),X157+(Y157*S157),IF(AND(P157='G-1 All Habitats'!$X$3,V157&gt;0),X157+(Y157*S157),IF(AND(P157='G-1 All Habitats'!$X$3,AG157&gt;0),"Any Loss Unacceptable  ⚠",IF(AND(P157='G-1 All Habitats'!$X$3,Z157&gt;0),"Any Loss Unacceptable ⚠",H157*J157*L157*O157*S157))))),"Check Data ⚠")</f>
        <v/>
      </c>
      <c r="R157" s="516"/>
      <c r="S157" s="724" t="str">
        <f>IF(R157="","",IF(VLOOKUP(R157,'G-3 Multipliers'!$S$3:$T$10,2,FALSE)=0,"Spatial Data Missing ⚠",VLOOKUP(R157,'G-3 Multipliers'!$S$3:$T$10,2,FALSE)))</f>
        <v/>
      </c>
      <c r="T157" s="376" t="str">
        <f>IFERROR(IF(P157="","",IF(AND(P157='G-1 All Habitats'!$X$3,W157&gt;0),X157+Y157,IF(AND(P157='G-1 All Habitats'!$X$3,V157&gt;0),X157+Y157,IF(AND(P157='G-1 All Habitats'!$X$3,AG157&gt;0),"Any Loss Unacceptable ⚠", IF(R157="","", IF(AND(P157='G-1 All Habitats'!$X$3,Z157&gt;0),"Any Loss Unacceptable ⚠",H157*J157*L157*O157)))))),"Check Data ⚠")</f>
        <v/>
      </c>
      <c r="U157" s="38"/>
      <c r="V157" s="54"/>
      <c r="W157" s="55"/>
      <c r="X157" s="374" t="str">
        <f t="shared" si="21"/>
        <v/>
      </c>
      <c r="Y157" s="374" t="str">
        <f t="shared" si="22"/>
        <v/>
      </c>
      <c r="Z157" s="374" t="str">
        <f>IF(E157="","",IF(H157&lt;V157+W157,"Error in Areas ▲",IF(P157&lt;&gt;'G-1 All Habitats'!$X$3,H157-V157-W157,IF(AND(P157='G-1 All Habitats'!$X$3,AB157="Yes"),"Unacceptable Loss ⚠",IF(AND(P157='G-1 All Habitats'!$X$3,AB157="No"),AG157,IF(AND(P157='G-1 All Habitats'!$X$3,AB157=""),AG157,IF(AND(P157='G-1 All Habitats'!$X$3,AG157="None",AG157),IF(AND(P157='G-1 All Habitats'!$X$3,AG157&gt;0),H157-V157-W157))))))))</f>
        <v/>
      </c>
      <c r="AA157" s="405" t="str">
        <f>IFERROR(IF(H157="","",IF(H157-V157-W157=0&lt;0,"Error in Areas ▲",IF(V157+W157&gt;H157,"Error in Areas ▲",IF(AND(P157='G-1 All Habitats'!$X$3,AB157="Yes"),"Alternative Compensation ✓",IF(Z157=0,0,IF(P157='G-1 All Habitats'!$X$3,"Any Loss Unacceptable ▲",T157-X157-Y157)))))),"Check Data ⚠")</f>
        <v/>
      </c>
      <c r="AB157" s="837"/>
      <c r="AC157" s="119"/>
      <c r="AD157" s="528"/>
      <c r="AE157" s="120"/>
      <c r="AF157" s="687"/>
      <c r="AG157" s="744" t="str">
        <f>IF(P157="","",IF(P157='G-1 All Habitats'!$X$3,H157-V157-W157,"None"))</f>
        <v/>
      </c>
      <c r="AH157" s="744" t="str">
        <f t="shared" si="23"/>
        <v/>
      </c>
      <c r="AJ157" s="124" t="str">
        <f t="shared" si="24"/>
        <v/>
      </c>
      <c r="AK157" s="124" t="str">
        <f t="shared" si="25"/>
        <v/>
      </c>
      <c r="AL157" s="124" t="str">
        <f>IF(I157="","",IF(#REF!&gt;0,TRUE,FALSE))</f>
        <v/>
      </c>
      <c r="AM157" s="124">
        <v>147</v>
      </c>
      <c r="AN157" s="124"/>
      <c r="AO157" s="124" t="str">
        <f t="array" ref="AO157">IFERROR(INDEX($AM$11:$AM$259, MATCH(0, IF(TRUE=$AJ$11:$AJ$259, COUNTIF($AO$10:$AO156, $AM$11:$AM$259), ""), 0)),"")</f>
        <v/>
      </c>
      <c r="AP157" s="124" t="str">
        <f t="array" ref="AP157">IFERROR(INDEX($AM$11:$AM$259, MATCH(0, IF(TRUE=$AK$11:$AK$259, COUNTIF($AP$10:$AP156, $AM$11:$AM$259), ""), 0)),"")</f>
        <v/>
      </c>
      <c r="AQ157" s="124" t="str">
        <f t="array" ref="AQ157">IFERROR(INDEX($AM$11:$AM$259, MATCH(0, IF(TRUE=$AL$11:$AL$259, COUNTIF($AQ$10:$AQ156, $AM$11:$AM$259), ""), 0)),"")</f>
        <v/>
      </c>
      <c r="AU157" s="30">
        <f t="shared" si="27"/>
        <v>0</v>
      </c>
      <c r="AY157" s="374" t="str">
        <f t="shared" si="26"/>
        <v/>
      </c>
    </row>
    <row r="158" spans="1:51">
      <c r="A158" s="30" t="str">
        <f>IFERROR(INDEX('G-1 All Habitats'!$AG$3:$AG$17,MATCH(E158,'G-1 All Habitats'!$AF$3:$AF$17,0)),"")</f>
        <v/>
      </c>
      <c r="B158" s="30" t="str">
        <f>IFERROR(INDEX('G-8 Condition Look up'!$I$4:$I$135,MATCH(G158,'G-8 Condition Look up'!$A$4:$A$135,0)),"")</f>
        <v/>
      </c>
      <c r="D158" s="110">
        <v>148</v>
      </c>
      <c r="E158" s="339"/>
      <c r="F158" s="340"/>
      <c r="G158" s="295" t="str">
        <f>IFERROR(INDEX('G-1 All Habitats'!$B$3:$B$134,MATCH(F158,'G-1 All Habitats'!$A$3:$A$134,0)),"")</f>
        <v/>
      </c>
      <c r="H158" s="139"/>
      <c r="I158" s="722" t="str">
        <f>IF(G158="","",VLOOKUP(G158,'G-1 All Habitats'!$B$2:$M$134,10,FALSE))</f>
        <v/>
      </c>
      <c r="J158" s="490" t="str">
        <f>IFERROR(VLOOKUP(I158,'G-1 All Habitats'!$V$3:$W$7,2,FALSE),"")</f>
        <v/>
      </c>
      <c r="K158" s="114"/>
      <c r="L158" s="490" t="str">
        <f>IFERROR(INDEX('G-8 Condition Look up'!$A$3:$H$135,MATCH(G158,'G-8 Condition Look up'!$A$3:$A$135,0),MATCH(K158,'G-8 Condition Look up'!$A$3:$H$3,0)),"")</f>
        <v/>
      </c>
      <c r="M158" s="738"/>
      <c r="N158" s="404" t="str">
        <f>IF(M158="","",IF(VLOOKUP(M158,'G-3 Multipliers'!$L$3:$N$6,2,FALSE)=0,"Spatial Data Missing ⚠",VLOOKUP(M158,'G-3 Multipliers'!$L$3:$N$6,2,FALSE)))</f>
        <v/>
      </c>
      <c r="O158" s="452" t="str">
        <f>IF(M158="","",IF(VLOOKUP(M158,'G-3 Multipliers'!$L$3:$N$6,3,FALSE)=0,"Spatial Data Missing ⚠",VLOOKUP(M158,'G-3 Multipliers'!$L$3:$N$6,3,FALSE)))</f>
        <v/>
      </c>
      <c r="P158" s="369" t="str">
        <f>IFERROR(VLOOKUP(G158,'G-1 All Habitats'!$B$2:$M$134,12,FALSE),"")</f>
        <v/>
      </c>
      <c r="Q158" s="725" t="str">
        <f>IFERROR(IF(P158="","",IF(AND(P158='G-1 All Habitats'!$X$3,W158&gt;0),X158+(Y158*S158),IF(AND(P158='G-1 All Habitats'!$X$3,V158&gt;0),X158+(Y158*S158),IF(AND(P158='G-1 All Habitats'!$X$3,AG158&gt;0),"Any Loss Unacceptable  ⚠",IF(AND(P158='G-1 All Habitats'!$X$3,Z158&gt;0),"Any Loss Unacceptable ⚠",H158*J158*L158*O158*S158))))),"Check Data ⚠")</f>
        <v/>
      </c>
      <c r="R158" s="516"/>
      <c r="S158" s="724" t="str">
        <f>IF(R158="","",IF(VLOOKUP(R158,'G-3 Multipliers'!$S$3:$T$10,2,FALSE)=0,"Spatial Data Missing ⚠",VLOOKUP(R158,'G-3 Multipliers'!$S$3:$T$10,2,FALSE)))</f>
        <v/>
      </c>
      <c r="T158" s="376" t="str">
        <f>IFERROR(IF(P158="","",IF(AND(P158='G-1 All Habitats'!$X$3,W158&gt;0),X158+Y158,IF(AND(P158='G-1 All Habitats'!$X$3,V158&gt;0),X158+Y158,IF(AND(P158='G-1 All Habitats'!$X$3,AG158&gt;0),"Any Loss Unacceptable ⚠", IF(R158="","", IF(AND(P158='G-1 All Habitats'!$X$3,Z158&gt;0),"Any Loss Unacceptable ⚠",H158*J158*L158*O158)))))),"Check Data ⚠")</f>
        <v/>
      </c>
      <c r="U158" s="38"/>
      <c r="V158" s="54"/>
      <c r="W158" s="55"/>
      <c r="X158" s="374" t="str">
        <f t="shared" si="21"/>
        <v/>
      </c>
      <c r="Y158" s="374" t="str">
        <f t="shared" si="22"/>
        <v/>
      </c>
      <c r="Z158" s="374" t="str">
        <f>IF(E158="","",IF(H158&lt;V158+W158,"Error in Areas ▲",IF(P158&lt;&gt;'G-1 All Habitats'!$X$3,H158-V158-W158,IF(AND(P158='G-1 All Habitats'!$X$3,AB158="Yes"),"Unacceptable Loss ⚠",IF(AND(P158='G-1 All Habitats'!$X$3,AB158="No"),AG158,IF(AND(P158='G-1 All Habitats'!$X$3,AB158=""),AG158,IF(AND(P158='G-1 All Habitats'!$X$3,AG158="None",AG158),IF(AND(P158='G-1 All Habitats'!$X$3,AG158&gt;0),H158-V158-W158))))))))</f>
        <v/>
      </c>
      <c r="AA158" s="405" t="str">
        <f>IFERROR(IF(H158="","",IF(H158-V158-W158=0&lt;0,"Error in Areas ▲",IF(V158+W158&gt;H158,"Error in Areas ▲",IF(AND(P158='G-1 All Habitats'!$X$3,AB158="Yes"),"Alternative Compensation ✓",IF(Z158=0,0,IF(P158='G-1 All Habitats'!$X$3,"Any Loss Unacceptable ▲",T158-X158-Y158)))))),"Check Data ⚠")</f>
        <v/>
      </c>
      <c r="AB158" s="837"/>
      <c r="AC158" s="119"/>
      <c r="AD158" s="528"/>
      <c r="AE158" s="120"/>
      <c r="AF158" s="687"/>
      <c r="AG158" s="744" t="str">
        <f>IF(P158="","",IF(P158='G-1 All Habitats'!$X$3,H158-V158-W158,"None"))</f>
        <v/>
      </c>
      <c r="AH158" s="744" t="str">
        <f t="shared" si="23"/>
        <v/>
      </c>
      <c r="AJ158" s="124" t="str">
        <f t="shared" si="24"/>
        <v/>
      </c>
      <c r="AK158" s="124" t="str">
        <f t="shared" si="25"/>
        <v/>
      </c>
      <c r="AL158" s="124" t="str">
        <f>IF(I158="","",IF(#REF!&gt;0,TRUE,FALSE))</f>
        <v/>
      </c>
      <c r="AM158" s="124">
        <v>148</v>
      </c>
      <c r="AN158" s="124"/>
      <c r="AO158" s="124" t="str">
        <f t="array" ref="AO158">IFERROR(INDEX($AM$11:$AM$259, MATCH(0, IF(TRUE=$AJ$11:$AJ$259, COUNTIF($AO$10:$AO157, $AM$11:$AM$259), ""), 0)),"")</f>
        <v/>
      </c>
      <c r="AP158" s="124" t="str">
        <f t="array" ref="AP158">IFERROR(INDEX($AM$11:$AM$259, MATCH(0, IF(TRUE=$AK$11:$AK$259, COUNTIF($AP$10:$AP157, $AM$11:$AM$259), ""), 0)),"")</f>
        <v/>
      </c>
      <c r="AQ158" s="124" t="str">
        <f t="array" ref="AQ158">IFERROR(INDEX($AM$11:$AM$259, MATCH(0, IF(TRUE=$AL$11:$AL$259, COUNTIF($AQ$10:$AQ157, $AM$11:$AM$259), ""), 0)),"")</f>
        <v/>
      </c>
      <c r="AU158" s="30">
        <f t="shared" si="27"/>
        <v>0</v>
      </c>
      <c r="AY158" s="374" t="str">
        <f t="shared" si="26"/>
        <v/>
      </c>
    </row>
    <row r="159" spans="1:51">
      <c r="A159" s="30" t="str">
        <f>IFERROR(INDEX('G-1 All Habitats'!$AG$3:$AG$17,MATCH(E159,'G-1 All Habitats'!$AF$3:$AF$17,0)),"")</f>
        <v/>
      </c>
      <c r="B159" s="30" t="str">
        <f>IFERROR(INDEX('G-8 Condition Look up'!$I$4:$I$135,MATCH(G159,'G-8 Condition Look up'!$A$4:$A$135,0)),"")</f>
        <v/>
      </c>
      <c r="D159" s="110">
        <v>149</v>
      </c>
      <c r="E159" s="339"/>
      <c r="F159" s="340"/>
      <c r="G159" s="295" t="str">
        <f>IFERROR(INDEX('G-1 All Habitats'!$B$3:$B$134,MATCH(F159,'G-1 All Habitats'!$A$3:$A$134,0)),"")</f>
        <v/>
      </c>
      <c r="H159" s="139"/>
      <c r="I159" s="722" t="str">
        <f>IF(G159="","",VLOOKUP(G159,'G-1 All Habitats'!$B$2:$M$134,10,FALSE))</f>
        <v/>
      </c>
      <c r="J159" s="490" t="str">
        <f>IFERROR(VLOOKUP(I159,'G-1 All Habitats'!$V$3:$W$7,2,FALSE),"")</f>
        <v/>
      </c>
      <c r="K159" s="114"/>
      <c r="L159" s="490" t="str">
        <f>IFERROR(INDEX('G-8 Condition Look up'!$A$3:$H$135,MATCH(G159,'G-8 Condition Look up'!$A$3:$A$135,0),MATCH(K159,'G-8 Condition Look up'!$A$3:$H$3,0)),"")</f>
        <v/>
      </c>
      <c r="M159" s="738"/>
      <c r="N159" s="404" t="str">
        <f>IF(M159="","",IF(VLOOKUP(M159,'G-3 Multipliers'!$L$3:$N$6,2,FALSE)=0,"Spatial Data Missing ⚠",VLOOKUP(M159,'G-3 Multipliers'!$L$3:$N$6,2,FALSE)))</f>
        <v/>
      </c>
      <c r="O159" s="452" t="str">
        <f>IF(M159="","",IF(VLOOKUP(M159,'G-3 Multipliers'!$L$3:$N$6,3,FALSE)=0,"Spatial Data Missing ⚠",VLOOKUP(M159,'G-3 Multipliers'!$L$3:$N$6,3,FALSE)))</f>
        <v/>
      </c>
      <c r="P159" s="369" t="str">
        <f>IFERROR(VLOOKUP(G159,'G-1 All Habitats'!$B$2:$M$134,12,FALSE),"")</f>
        <v/>
      </c>
      <c r="Q159" s="725" t="str">
        <f>IFERROR(IF(P159="","",IF(AND(P159='G-1 All Habitats'!$X$3,W159&gt;0),X159+(Y159*S159),IF(AND(P159='G-1 All Habitats'!$X$3,V159&gt;0),X159+(Y159*S159),IF(AND(P159='G-1 All Habitats'!$X$3,AG159&gt;0),"Any Loss Unacceptable  ⚠",IF(AND(P159='G-1 All Habitats'!$X$3,Z159&gt;0),"Any Loss Unacceptable ⚠",H159*J159*L159*O159*S159))))),"Check Data ⚠")</f>
        <v/>
      </c>
      <c r="R159" s="516"/>
      <c r="S159" s="724" t="str">
        <f>IF(R159="","",IF(VLOOKUP(R159,'G-3 Multipliers'!$S$3:$T$10,2,FALSE)=0,"Spatial Data Missing ⚠",VLOOKUP(R159,'G-3 Multipliers'!$S$3:$T$10,2,FALSE)))</f>
        <v/>
      </c>
      <c r="T159" s="376" t="str">
        <f>IFERROR(IF(P159="","",IF(AND(P159='G-1 All Habitats'!$X$3,W159&gt;0),X159+Y159,IF(AND(P159='G-1 All Habitats'!$X$3,V159&gt;0),X159+Y159,IF(AND(P159='G-1 All Habitats'!$X$3,AG159&gt;0),"Any Loss Unacceptable ⚠", IF(R159="","", IF(AND(P159='G-1 All Habitats'!$X$3,Z159&gt;0),"Any Loss Unacceptable ⚠",H159*J159*L159*O159)))))),"Check Data ⚠")</f>
        <v/>
      </c>
      <c r="U159" s="38"/>
      <c r="V159" s="54"/>
      <c r="W159" s="55"/>
      <c r="X159" s="374" t="str">
        <f t="shared" si="21"/>
        <v/>
      </c>
      <c r="Y159" s="374" t="str">
        <f t="shared" si="22"/>
        <v/>
      </c>
      <c r="Z159" s="374" t="str">
        <f>IF(E159="","",IF(H159&lt;V159+W159,"Error in Areas ▲",IF(P159&lt;&gt;'G-1 All Habitats'!$X$3,H159-V159-W159,IF(AND(P159='G-1 All Habitats'!$X$3,AB159="Yes"),"Unacceptable Loss ⚠",IF(AND(P159='G-1 All Habitats'!$X$3,AB159="No"),AG159,IF(AND(P159='G-1 All Habitats'!$X$3,AB159=""),AG159,IF(AND(P159='G-1 All Habitats'!$X$3,AG159="None",AG159),IF(AND(P159='G-1 All Habitats'!$X$3,AG159&gt;0),H159-V159-W159))))))))</f>
        <v/>
      </c>
      <c r="AA159" s="405" t="str">
        <f>IFERROR(IF(H159="","",IF(H159-V159-W159=0&lt;0,"Error in Areas ▲",IF(V159+W159&gt;H159,"Error in Areas ▲",IF(AND(P159='G-1 All Habitats'!$X$3,AB159="Yes"),"Alternative Compensation ✓",IF(Z159=0,0,IF(P159='G-1 All Habitats'!$X$3,"Any Loss Unacceptable ▲",T159-X159-Y159)))))),"Check Data ⚠")</f>
        <v/>
      </c>
      <c r="AB159" s="837"/>
      <c r="AC159" s="119"/>
      <c r="AD159" s="528"/>
      <c r="AE159" s="120"/>
      <c r="AF159" s="687"/>
      <c r="AG159" s="744" t="str">
        <f>IF(P159="","",IF(P159='G-1 All Habitats'!$X$3,H159-V159-W159,"None"))</f>
        <v/>
      </c>
      <c r="AH159" s="744" t="str">
        <f t="shared" si="23"/>
        <v/>
      </c>
      <c r="AJ159" s="124" t="str">
        <f t="shared" si="24"/>
        <v/>
      </c>
      <c r="AK159" s="124" t="str">
        <f t="shared" si="25"/>
        <v/>
      </c>
      <c r="AL159" s="124" t="str">
        <f>IF(I159="","",IF(#REF!&gt;0,TRUE,FALSE))</f>
        <v/>
      </c>
      <c r="AM159" s="124">
        <v>149</v>
      </c>
      <c r="AN159" s="124"/>
      <c r="AO159" s="124" t="str">
        <f t="array" ref="AO159">IFERROR(INDEX($AM$11:$AM$259, MATCH(0, IF(TRUE=$AJ$11:$AJ$259, COUNTIF($AO$10:$AO158, $AM$11:$AM$259), ""), 0)),"")</f>
        <v/>
      </c>
      <c r="AP159" s="124" t="str">
        <f t="array" ref="AP159">IFERROR(INDEX($AM$11:$AM$259, MATCH(0, IF(TRUE=$AK$11:$AK$259, COUNTIF($AP$10:$AP158, $AM$11:$AM$259), ""), 0)),"")</f>
        <v/>
      </c>
      <c r="AQ159" s="124" t="str">
        <f t="array" ref="AQ159">IFERROR(INDEX($AM$11:$AM$259, MATCH(0, IF(TRUE=$AL$11:$AL$259, COUNTIF($AQ$10:$AQ158, $AM$11:$AM$259), ""), 0)),"")</f>
        <v/>
      </c>
      <c r="AU159" s="30">
        <f t="shared" si="27"/>
        <v>0</v>
      </c>
      <c r="AY159" s="374" t="str">
        <f t="shared" si="26"/>
        <v/>
      </c>
    </row>
    <row r="160" spans="1:51">
      <c r="A160" s="30" t="str">
        <f>IFERROR(INDEX('G-1 All Habitats'!$AG$3:$AG$17,MATCH(E160,'G-1 All Habitats'!$AF$3:$AF$17,0)),"")</f>
        <v/>
      </c>
      <c r="B160" s="30" t="str">
        <f>IFERROR(INDEX('G-8 Condition Look up'!$I$4:$I$135,MATCH(G160,'G-8 Condition Look up'!$A$4:$A$135,0)),"")</f>
        <v/>
      </c>
      <c r="D160" s="110">
        <v>150</v>
      </c>
      <c r="E160" s="339"/>
      <c r="F160" s="340"/>
      <c r="G160" s="295" t="str">
        <f>IFERROR(INDEX('G-1 All Habitats'!$B$3:$B$134,MATCH(F160,'G-1 All Habitats'!$A$3:$A$134,0)),"")</f>
        <v/>
      </c>
      <c r="H160" s="139"/>
      <c r="I160" s="722" t="str">
        <f>IF(G160="","",VLOOKUP(G160,'G-1 All Habitats'!$B$2:$M$134,10,FALSE))</f>
        <v/>
      </c>
      <c r="J160" s="490" t="str">
        <f>IFERROR(VLOOKUP(I160,'G-1 All Habitats'!$V$3:$W$7,2,FALSE),"")</f>
        <v/>
      </c>
      <c r="K160" s="114"/>
      <c r="L160" s="490" t="str">
        <f>IFERROR(INDEX('G-8 Condition Look up'!$A$3:$H$135,MATCH(G160,'G-8 Condition Look up'!$A$3:$A$135,0),MATCH(K160,'G-8 Condition Look up'!$A$3:$H$3,0)),"")</f>
        <v/>
      </c>
      <c r="M160" s="738"/>
      <c r="N160" s="404" t="str">
        <f>IF(M160="","",IF(VLOOKUP(M160,'G-3 Multipliers'!$L$3:$N$6,2,FALSE)=0,"Spatial Data Missing ⚠",VLOOKUP(M160,'G-3 Multipliers'!$L$3:$N$6,2,FALSE)))</f>
        <v/>
      </c>
      <c r="O160" s="452" t="str">
        <f>IF(M160="","",IF(VLOOKUP(M160,'G-3 Multipliers'!$L$3:$N$6,3,FALSE)=0,"Spatial Data Missing ⚠",VLOOKUP(M160,'G-3 Multipliers'!$L$3:$N$6,3,FALSE)))</f>
        <v/>
      </c>
      <c r="P160" s="369" t="str">
        <f>IFERROR(VLOOKUP(G160,'G-1 All Habitats'!$B$2:$M$134,12,FALSE),"")</f>
        <v/>
      </c>
      <c r="Q160" s="725" t="str">
        <f>IFERROR(IF(P160="","",IF(AND(P160='G-1 All Habitats'!$X$3,W160&gt;0),X160+(Y160*S160),IF(AND(P160='G-1 All Habitats'!$X$3,V160&gt;0),X160+(Y160*S160),IF(AND(P160='G-1 All Habitats'!$X$3,AG160&gt;0),"Any Loss Unacceptable  ⚠",IF(AND(P160='G-1 All Habitats'!$X$3,Z160&gt;0),"Any Loss Unacceptable ⚠",H160*J160*L160*O160*S160))))),"Check Data ⚠")</f>
        <v/>
      </c>
      <c r="R160" s="516"/>
      <c r="S160" s="724" t="str">
        <f>IF(R160="","",IF(VLOOKUP(R160,'G-3 Multipliers'!$S$3:$T$10,2,FALSE)=0,"Spatial Data Missing ⚠",VLOOKUP(R160,'G-3 Multipliers'!$S$3:$T$10,2,FALSE)))</f>
        <v/>
      </c>
      <c r="T160" s="376" t="str">
        <f>IFERROR(IF(P160="","",IF(AND(P160='G-1 All Habitats'!$X$3,W160&gt;0),X160+Y160,IF(AND(P160='G-1 All Habitats'!$X$3,V160&gt;0),X160+Y160,IF(AND(P160='G-1 All Habitats'!$X$3,AG160&gt;0),"Any Loss Unacceptable ⚠", IF(R160="","", IF(AND(P160='G-1 All Habitats'!$X$3,Z160&gt;0),"Any Loss Unacceptable ⚠",H160*J160*L160*O160)))))),"Check Data ⚠")</f>
        <v/>
      </c>
      <c r="U160" s="38"/>
      <c r="V160" s="54"/>
      <c r="W160" s="55"/>
      <c r="X160" s="374" t="str">
        <f t="shared" si="21"/>
        <v/>
      </c>
      <c r="Y160" s="374" t="str">
        <f t="shared" si="22"/>
        <v/>
      </c>
      <c r="Z160" s="374" t="str">
        <f>IF(E160="","",IF(H160&lt;V160+W160,"Error in Areas ▲",IF(P160&lt;&gt;'G-1 All Habitats'!$X$3,H160-V160-W160,IF(AND(P160='G-1 All Habitats'!$X$3,AB160="Yes"),"Unacceptable Loss ⚠",IF(AND(P160='G-1 All Habitats'!$X$3,AB160="No"),AG160,IF(AND(P160='G-1 All Habitats'!$X$3,AB160=""),AG160,IF(AND(P160='G-1 All Habitats'!$X$3,AG160="None",AG160),IF(AND(P160='G-1 All Habitats'!$X$3,AG160&gt;0),H160-V160-W160))))))))</f>
        <v/>
      </c>
      <c r="AA160" s="405" t="str">
        <f>IFERROR(IF(H160="","",IF(H160-V160-W160=0&lt;0,"Error in Areas ▲",IF(V160+W160&gt;H160,"Error in Areas ▲",IF(AND(P160='G-1 All Habitats'!$X$3,AB160="Yes"),"Alternative Compensation ✓",IF(Z160=0,0,IF(P160='G-1 All Habitats'!$X$3,"Any Loss Unacceptable ▲",T160-X160-Y160)))))),"Check Data ⚠")</f>
        <v/>
      </c>
      <c r="AB160" s="837"/>
      <c r="AC160" s="119"/>
      <c r="AD160" s="528"/>
      <c r="AE160" s="120"/>
      <c r="AF160" s="687"/>
      <c r="AG160" s="744" t="str">
        <f>IF(P160="","",IF(P160='G-1 All Habitats'!$X$3,H160-V160-W160,"None"))</f>
        <v/>
      </c>
      <c r="AH160" s="744" t="str">
        <f t="shared" si="23"/>
        <v/>
      </c>
      <c r="AJ160" s="124" t="str">
        <f t="shared" si="24"/>
        <v/>
      </c>
      <c r="AK160" s="124" t="str">
        <f t="shared" si="25"/>
        <v/>
      </c>
      <c r="AL160" s="124" t="str">
        <f>IF(I160="","",IF(#REF!&gt;0,TRUE,FALSE))</f>
        <v/>
      </c>
      <c r="AM160" s="124">
        <v>150</v>
      </c>
      <c r="AN160" s="124"/>
      <c r="AO160" s="124" t="str">
        <f t="array" ref="AO160">IFERROR(INDEX($AM$11:$AM$259, MATCH(0, IF(TRUE=$AJ$11:$AJ$259, COUNTIF($AO$10:$AO159, $AM$11:$AM$259), ""), 0)),"")</f>
        <v/>
      </c>
      <c r="AP160" s="124" t="str">
        <f t="array" ref="AP160">IFERROR(INDEX($AM$11:$AM$259, MATCH(0, IF(TRUE=$AK$11:$AK$259, COUNTIF($AP$10:$AP159, $AM$11:$AM$259), ""), 0)),"")</f>
        <v/>
      </c>
      <c r="AQ160" s="124" t="str">
        <f t="array" ref="AQ160">IFERROR(INDEX($AM$11:$AM$259, MATCH(0, IF(TRUE=$AL$11:$AL$259, COUNTIF($AQ$10:$AQ159, $AM$11:$AM$259), ""), 0)),"")</f>
        <v/>
      </c>
      <c r="AU160" s="30">
        <f t="shared" si="27"/>
        <v>0</v>
      </c>
      <c r="AY160" s="374" t="str">
        <f t="shared" si="26"/>
        <v/>
      </c>
    </row>
    <row r="161" spans="1:51">
      <c r="A161" s="30" t="str">
        <f>IFERROR(INDEX('G-1 All Habitats'!$AG$3:$AG$17,MATCH(E161,'G-1 All Habitats'!$AF$3:$AF$17,0)),"")</f>
        <v/>
      </c>
      <c r="B161" s="30" t="str">
        <f>IFERROR(INDEX('G-8 Condition Look up'!$I$4:$I$135,MATCH(G161,'G-8 Condition Look up'!$A$4:$A$135,0)),"")</f>
        <v/>
      </c>
      <c r="D161" s="110">
        <v>151</v>
      </c>
      <c r="E161" s="339"/>
      <c r="F161" s="340"/>
      <c r="G161" s="295" t="str">
        <f>IFERROR(INDEX('G-1 All Habitats'!$B$3:$B$134,MATCH(F161,'G-1 All Habitats'!$A$3:$A$134,0)),"")</f>
        <v/>
      </c>
      <c r="H161" s="139"/>
      <c r="I161" s="722" t="str">
        <f>IF(G161="","",VLOOKUP(G161,'G-1 All Habitats'!$B$2:$M$134,10,FALSE))</f>
        <v/>
      </c>
      <c r="J161" s="490" t="str">
        <f>IFERROR(VLOOKUP(I161,'G-1 All Habitats'!$V$3:$W$7,2,FALSE),"")</f>
        <v/>
      </c>
      <c r="K161" s="114"/>
      <c r="L161" s="490" t="str">
        <f>IFERROR(INDEX('G-8 Condition Look up'!$A$3:$H$135,MATCH(G161,'G-8 Condition Look up'!$A$3:$A$135,0),MATCH(K161,'G-8 Condition Look up'!$A$3:$H$3,0)),"")</f>
        <v/>
      </c>
      <c r="M161" s="738"/>
      <c r="N161" s="404" t="str">
        <f>IF(M161="","",IF(VLOOKUP(M161,'G-3 Multipliers'!$L$3:$N$6,2,FALSE)=0,"Spatial Data Missing ⚠",VLOOKUP(M161,'G-3 Multipliers'!$L$3:$N$6,2,FALSE)))</f>
        <v/>
      </c>
      <c r="O161" s="452" t="str">
        <f>IF(M161="","",IF(VLOOKUP(M161,'G-3 Multipliers'!$L$3:$N$6,3,FALSE)=0,"Spatial Data Missing ⚠",VLOOKUP(M161,'G-3 Multipliers'!$L$3:$N$6,3,FALSE)))</f>
        <v/>
      </c>
      <c r="P161" s="369" t="str">
        <f>IFERROR(VLOOKUP(G161,'G-1 All Habitats'!$B$2:$M$134,12,FALSE),"")</f>
        <v/>
      </c>
      <c r="Q161" s="725" t="str">
        <f>IFERROR(IF(P161="","",IF(AND(P161='G-1 All Habitats'!$X$3,W161&gt;0),X161+(Y161*S161),IF(AND(P161='G-1 All Habitats'!$X$3,V161&gt;0),X161+(Y161*S161),IF(AND(P161='G-1 All Habitats'!$X$3,AG161&gt;0),"Any Loss Unacceptable  ⚠",IF(AND(P161='G-1 All Habitats'!$X$3,Z161&gt;0),"Any Loss Unacceptable ⚠",H161*J161*L161*O161*S161))))),"Check Data ⚠")</f>
        <v/>
      </c>
      <c r="R161" s="516"/>
      <c r="S161" s="724" t="str">
        <f>IF(R161="","",IF(VLOOKUP(R161,'G-3 Multipliers'!$S$3:$T$10,2,FALSE)=0,"Spatial Data Missing ⚠",VLOOKUP(R161,'G-3 Multipliers'!$S$3:$T$10,2,FALSE)))</f>
        <v/>
      </c>
      <c r="T161" s="376" t="str">
        <f>IFERROR(IF(P161="","",IF(AND(P161='G-1 All Habitats'!$X$3,W161&gt;0),X161+Y161,IF(AND(P161='G-1 All Habitats'!$X$3,V161&gt;0),X161+Y161,IF(AND(P161='G-1 All Habitats'!$X$3,AG161&gt;0),"Any Loss Unacceptable ⚠", IF(R161="","", IF(AND(P161='G-1 All Habitats'!$X$3,Z161&gt;0),"Any Loss Unacceptable ⚠",H161*J161*L161*O161)))))),"Check Data ⚠")</f>
        <v/>
      </c>
      <c r="U161" s="38"/>
      <c r="V161" s="54"/>
      <c r="W161" s="55"/>
      <c r="X161" s="374" t="str">
        <f t="shared" si="21"/>
        <v/>
      </c>
      <c r="Y161" s="374" t="str">
        <f t="shared" si="22"/>
        <v/>
      </c>
      <c r="Z161" s="374" t="str">
        <f>IF(E161="","",IF(H161&lt;V161+W161,"Error in Areas ▲",IF(P161&lt;&gt;'G-1 All Habitats'!$X$3,H161-V161-W161,IF(AND(P161='G-1 All Habitats'!$X$3,AB161="Yes"),"Unacceptable Loss ⚠",IF(AND(P161='G-1 All Habitats'!$X$3,AB161="No"),AG161,IF(AND(P161='G-1 All Habitats'!$X$3,AB161=""),AG161,IF(AND(P161='G-1 All Habitats'!$X$3,AG161="None",AG161),IF(AND(P161='G-1 All Habitats'!$X$3,AG161&gt;0),H161-V161-W161))))))))</f>
        <v/>
      </c>
      <c r="AA161" s="405" t="str">
        <f>IFERROR(IF(H161="","",IF(H161-V161-W161=0&lt;0,"Error in Areas ▲",IF(V161+W161&gt;H161,"Error in Areas ▲",IF(AND(P161='G-1 All Habitats'!$X$3,AB161="Yes"),"Alternative Compensation ✓",IF(Z161=0,0,IF(P161='G-1 All Habitats'!$X$3,"Any Loss Unacceptable ▲",T161-X161-Y161)))))),"Check Data ⚠")</f>
        <v/>
      </c>
      <c r="AB161" s="837"/>
      <c r="AC161" s="119"/>
      <c r="AD161" s="528"/>
      <c r="AE161" s="120"/>
      <c r="AF161" s="687"/>
      <c r="AG161" s="744" t="str">
        <f>IF(P161="","",IF(P161='G-1 All Habitats'!$X$3,H161-V161-W161,"None"))</f>
        <v/>
      </c>
      <c r="AH161" s="744" t="str">
        <f t="shared" si="23"/>
        <v/>
      </c>
      <c r="AJ161" s="124" t="str">
        <f t="shared" si="24"/>
        <v/>
      </c>
      <c r="AK161" s="124" t="str">
        <f t="shared" si="25"/>
        <v/>
      </c>
      <c r="AL161" s="124" t="str">
        <f>IF(I161="","",IF(#REF!&gt;0,TRUE,FALSE))</f>
        <v/>
      </c>
      <c r="AM161" s="124">
        <v>151</v>
      </c>
      <c r="AN161" s="124"/>
      <c r="AO161" s="124" t="str">
        <f t="array" ref="AO161">IFERROR(INDEX($AM$11:$AM$259, MATCH(0, IF(TRUE=$AJ$11:$AJ$259, COUNTIF($AO$10:$AO160, $AM$11:$AM$259), ""), 0)),"")</f>
        <v/>
      </c>
      <c r="AP161" s="124" t="str">
        <f t="array" ref="AP161">IFERROR(INDEX($AM$11:$AM$259, MATCH(0, IF(TRUE=$AK$11:$AK$259, COUNTIF($AP$10:$AP160, $AM$11:$AM$259), ""), 0)),"")</f>
        <v/>
      </c>
      <c r="AQ161" s="124" t="str">
        <f t="array" ref="AQ161">IFERROR(INDEX($AM$11:$AM$259, MATCH(0, IF(TRUE=$AL$11:$AL$259, COUNTIF($AQ$10:$AQ160, $AM$11:$AM$259), ""), 0)),"")</f>
        <v/>
      </c>
      <c r="AU161" s="30">
        <f t="shared" si="27"/>
        <v>0</v>
      </c>
      <c r="AY161" s="374" t="str">
        <f t="shared" si="26"/>
        <v/>
      </c>
    </row>
    <row r="162" spans="1:51">
      <c r="A162" s="30" t="str">
        <f>IFERROR(INDEX('G-1 All Habitats'!$AG$3:$AG$17,MATCH(E162,'G-1 All Habitats'!$AF$3:$AF$17,0)),"")</f>
        <v/>
      </c>
      <c r="B162" s="30" t="str">
        <f>IFERROR(INDEX('G-8 Condition Look up'!$I$4:$I$135,MATCH(G162,'G-8 Condition Look up'!$A$4:$A$135,0)),"")</f>
        <v/>
      </c>
      <c r="D162" s="110">
        <v>152</v>
      </c>
      <c r="E162" s="339"/>
      <c r="F162" s="340"/>
      <c r="G162" s="295" t="str">
        <f>IFERROR(INDEX('G-1 All Habitats'!$B$3:$B$134,MATCH(F162,'G-1 All Habitats'!$A$3:$A$134,0)),"")</f>
        <v/>
      </c>
      <c r="H162" s="139"/>
      <c r="I162" s="722" t="str">
        <f>IF(G162="","",VLOOKUP(G162,'G-1 All Habitats'!$B$2:$M$134,10,FALSE))</f>
        <v/>
      </c>
      <c r="J162" s="490" t="str">
        <f>IFERROR(VLOOKUP(I162,'G-1 All Habitats'!$V$3:$W$7,2,FALSE),"")</f>
        <v/>
      </c>
      <c r="K162" s="114"/>
      <c r="L162" s="490" t="str">
        <f>IFERROR(INDEX('G-8 Condition Look up'!$A$3:$H$135,MATCH(G162,'G-8 Condition Look up'!$A$3:$A$135,0),MATCH(K162,'G-8 Condition Look up'!$A$3:$H$3,0)),"")</f>
        <v/>
      </c>
      <c r="M162" s="738"/>
      <c r="N162" s="404" t="str">
        <f>IF(M162="","",IF(VLOOKUP(M162,'G-3 Multipliers'!$L$3:$N$6,2,FALSE)=0,"Spatial Data Missing ⚠",VLOOKUP(M162,'G-3 Multipliers'!$L$3:$N$6,2,FALSE)))</f>
        <v/>
      </c>
      <c r="O162" s="452" t="str">
        <f>IF(M162="","",IF(VLOOKUP(M162,'G-3 Multipliers'!$L$3:$N$6,3,FALSE)=0,"Spatial Data Missing ⚠",VLOOKUP(M162,'G-3 Multipliers'!$L$3:$N$6,3,FALSE)))</f>
        <v/>
      </c>
      <c r="P162" s="369" t="str">
        <f>IFERROR(VLOOKUP(G162,'G-1 All Habitats'!$B$2:$M$134,12,FALSE),"")</f>
        <v/>
      </c>
      <c r="Q162" s="725" t="str">
        <f>IFERROR(IF(P162="","",IF(AND(P162='G-1 All Habitats'!$X$3,W162&gt;0),X162+(Y162*S162),IF(AND(P162='G-1 All Habitats'!$X$3,V162&gt;0),X162+(Y162*S162),IF(AND(P162='G-1 All Habitats'!$X$3,AG162&gt;0),"Any Loss Unacceptable  ⚠",IF(AND(P162='G-1 All Habitats'!$X$3,Z162&gt;0),"Any Loss Unacceptable ⚠",H162*J162*L162*O162*S162))))),"Check Data ⚠")</f>
        <v/>
      </c>
      <c r="R162" s="516"/>
      <c r="S162" s="724" t="str">
        <f>IF(R162="","",IF(VLOOKUP(R162,'G-3 Multipliers'!$S$3:$T$10,2,FALSE)=0,"Spatial Data Missing ⚠",VLOOKUP(R162,'G-3 Multipliers'!$S$3:$T$10,2,FALSE)))</f>
        <v/>
      </c>
      <c r="T162" s="376" t="str">
        <f>IFERROR(IF(P162="","",IF(AND(P162='G-1 All Habitats'!$X$3,W162&gt;0),X162+Y162,IF(AND(P162='G-1 All Habitats'!$X$3,V162&gt;0),X162+Y162,IF(AND(P162='G-1 All Habitats'!$X$3,AG162&gt;0),"Any Loss Unacceptable ⚠", IF(R162="","", IF(AND(P162='G-1 All Habitats'!$X$3,Z162&gt;0),"Any Loss Unacceptable ⚠",H162*J162*L162*O162)))))),"Check Data ⚠")</f>
        <v/>
      </c>
      <c r="U162" s="38"/>
      <c r="V162" s="54"/>
      <c r="W162" s="55"/>
      <c r="X162" s="374" t="str">
        <f t="shared" si="21"/>
        <v/>
      </c>
      <c r="Y162" s="374" t="str">
        <f t="shared" si="22"/>
        <v/>
      </c>
      <c r="Z162" s="374" t="str">
        <f>IF(E162="","",IF(H162&lt;V162+W162,"Error in Areas ▲",IF(P162&lt;&gt;'G-1 All Habitats'!$X$3,H162-V162-W162,IF(AND(P162='G-1 All Habitats'!$X$3,AB162="Yes"),"Unacceptable Loss ⚠",IF(AND(P162='G-1 All Habitats'!$X$3,AB162="No"),AG162,IF(AND(P162='G-1 All Habitats'!$X$3,AB162=""),AG162,IF(AND(P162='G-1 All Habitats'!$X$3,AG162="None",AG162),IF(AND(P162='G-1 All Habitats'!$X$3,AG162&gt;0),H162-V162-W162))))))))</f>
        <v/>
      </c>
      <c r="AA162" s="405" t="str">
        <f>IFERROR(IF(H162="","",IF(H162-V162-W162=0&lt;0,"Error in Areas ▲",IF(V162+W162&gt;H162,"Error in Areas ▲",IF(AND(P162='G-1 All Habitats'!$X$3,AB162="Yes"),"Alternative Compensation ✓",IF(Z162=0,0,IF(P162='G-1 All Habitats'!$X$3,"Any Loss Unacceptable ▲",T162-X162-Y162)))))),"Check Data ⚠")</f>
        <v/>
      </c>
      <c r="AB162" s="837"/>
      <c r="AC162" s="119"/>
      <c r="AD162" s="528"/>
      <c r="AE162" s="120"/>
      <c r="AF162" s="687"/>
      <c r="AG162" s="744" t="str">
        <f>IF(P162="","",IF(P162='G-1 All Habitats'!$X$3,H162-V162-W162,"None"))</f>
        <v/>
      </c>
      <c r="AH162" s="744" t="str">
        <f t="shared" si="23"/>
        <v/>
      </c>
      <c r="AJ162" s="124" t="str">
        <f t="shared" si="24"/>
        <v/>
      </c>
      <c r="AK162" s="124" t="str">
        <f t="shared" si="25"/>
        <v/>
      </c>
      <c r="AL162" s="124" t="str">
        <f>IF(I162="","",IF(#REF!&gt;0,TRUE,FALSE))</f>
        <v/>
      </c>
      <c r="AM162" s="124">
        <v>152</v>
      </c>
      <c r="AN162" s="124"/>
      <c r="AO162" s="124" t="str">
        <f t="array" ref="AO162">IFERROR(INDEX($AM$11:$AM$259, MATCH(0, IF(TRUE=$AJ$11:$AJ$259, COUNTIF($AO$10:$AO161, $AM$11:$AM$259), ""), 0)),"")</f>
        <v/>
      </c>
      <c r="AP162" s="124" t="str">
        <f t="array" ref="AP162">IFERROR(INDEX($AM$11:$AM$259, MATCH(0, IF(TRUE=$AK$11:$AK$259, COUNTIF($AP$10:$AP161, $AM$11:$AM$259), ""), 0)),"")</f>
        <v/>
      </c>
      <c r="AQ162" s="124" t="str">
        <f t="array" ref="AQ162">IFERROR(INDEX($AM$11:$AM$259, MATCH(0, IF(TRUE=$AL$11:$AL$259, COUNTIF($AQ$10:$AQ161, $AM$11:$AM$259), ""), 0)),"")</f>
        <v/>
      </c>
      <c r="AU162" s="30">
        <f t="shared" si="27"/>
        <v>0</v>
      </c>
      <c r="AY162" s="374" t="str">
        <f t="shared" si="26"/>
        <v/>
      </c>
    </row>
    <row r="163" spans="1:51">
      <c r="A163" s="30" t="str">
        <f>IFERROR(INDEX('G-1 All Habitats'!$AG$3:$AG$17,MATCH(E163,'G-1 All Habitats'!$AF$3:$AF$17,0)),"")</f>
        <v/>
      </c>
      <c r="B163" s="30" t="str">
        <f>IFERROR(INDEX('G-8 Condition Look up'!$I$4:$I$135,MATCH(G163,'G-8 Condition Look up'!$A$4:$A$135,0)),"")</f>
        <v/>
      </c>
      <c r="D163" s="110">
        <v>153</v>
      </c>
      <c r="E163" s="339"/>
      <c r="F163" s="340"/>
      <c r="G163" s="295" t="str">
        <f>IFERROR(INDEX('G-1 All Habitats'!$B$3:$B$134,MATCH(F163,'G-1 All Habitats'!$A$3:$A$134,0)),"")</f>
        <v/>
      </c>
      <c r="H163" s="139"/>
      <c r="I163" s="722" t="str">
        <f>IF(G163="","",VLOOKUP(G163,'G-1 All Habitats'!$B$2:$M$134,10,FALSE))</f>
        <v/>
      </c>
      <c r="J163" s="490" t="str">
        <f>IFERROR(VLOOKUP(I163,'G-1 All Habitats'!$V$3:$W$7,2,FALSE),"")</f>
        <v/>
      </c>
      <c r="K163" s="114"/>
      <c r="L163" s="490" t="str">
        <f>IFERROR(INDEX('G-8 Condition Look up'!$A$3:$H$135,MATCH(G163,'G-8 Condition Look up'!$A$3:$A$135,0),MATCH(K163,'G-8 Condition Look up'!$A$3:$H$3,0)),"")</f>
        <v/>
      </c>
      <c r="M163" s="738"/>
      <c r="N163" s="404" t="str">
        <f>IF(M163="","",IF(VLOOKUP(M163,'G-3 Multipliers'!$L$3:$N$6,2,FALSE)=0,"Spatial Data Missing ⚠",VLOOKUP(M163,'G-3 Multipliers'!$L$3:$N$6,2,FALSE)))</f>
        <v/>
      </c>
      <c r="O163" s="452" t="str">
        <f>IF(M163="","",IF(VLOOKUP(M163,'G-3 Multipliers'!$L$3:$N$6,3,FALSE)=0,"Spatial Data Missing ⚠",VLOOKUP(M163,'G-3 Multipliers'!$L$3:$N$6,3,FALSE)))</f>
        <v/>
      </c>
      <c r="P163" s="369" t="str">
        <f>IFERROR(VLOOKUP(G163,'G-1 All Habitats'!$B$2:$M$134,12,FALSE),"")</f>
        <v/>
      </c>
      <c r="Q163" s="725" t="str">
        <f>IFERROR(IF(P163="","",IF(AND(P163='G-1 All Habitats'!$X$3,W163&gt;0),X163+(Y163*S163),IF(AND(P163='G-1 All Habitats'!$X$3,V163&gt;0),X163+(Y163*S163),IF(AND(P163='G-1 All Habitats'!$X$3,AG163&gt;0),"Any Loss Unacceptable  ⚠",IF(AND(P163='G-1 All Habitats'!$X$3,Z163&gt;0),"Any Loss Unacceptable ⚠",H163*J163*L163*O163*S163))))),"Check Data ⚠")</f>
        <v/>
      </c>
      <c r="R163" s="516"/>
      <c r="S163" s="724" t="str">
        <f>IF(R163="","",IF(VLOOKUP(R163,'G-3 Multipliers'!$S$3:$T$10,2,FALSE)=0,"Spatial Data Missing ⚠",VLOOKUP(R163,'G-3 Multipliers'!$S$3:$T$10,2,FALSE)))</f>
        <v/>
      </c>
      <c r="T163" s="376" t="str">
        <f>IFERROR(IF(P163="","",IF(AND(P163='G-1 All Habitats'!$X$3,W163&gt;0),X163+Y163,IF(AND(P163='G-1 All Habitats'!$X$3,V163&gt;0),X163+Y163,IF(AND(P163='G-1 All Habitats'!$X$3,AG163&gt;0),"Any Loss Unacceptable ⚠", IF(R163="","", IF(AND(P163='G-1 All Habitats'!$X$3,Z163&gt;0),"Any Loss Unacceptable ⚠",H163*J163*L163*O163)))))),"Check Data ⚠")</f>
        <v/>
      </c>
      <c r="U163" s="38"/>
      <c r="V163" s="54"/>
      <c r="W163" s="55"/>
      <c r="X163" s="374" t="str">
        <f t="shared" si="21"/>
        <v/>
      </c>
      <c r="Y163" s="374" t="str">
        <f t="shared" si="22"/>
        <v/>
      </c>
      <c r="Z163" s="374" t="str">
        <f>IF(E163="","",IF(H163&lt;V163+W163,"Error in Areas ▲",IF(P163&lt;&gt;'G-1 All Habitats'!$X$3,H163-V163-W163,IF(AND(P163='G-1 All Habitats'!$X$3,AB163="Yes"),"Unacceptable Loss ⚠",IF(AND(P163='G-1 All Habitats'!$X$3,AB163="No"),AG163,IF(AND(P163='G-1 All Habitats'!$X$3,AB163=""),AG163,IF(AND(P163='G-1 All Habitats'!$X$3,AG163="None",AG163),IF(AND(P163='G-1 All Habitats'!$X$3,AG163&gt;0),H163-V163-W163))))))))</f>
        <v/>
      </c>
      <c r="AA163" s="405" t="str">
        <f>IFERROR(IF(H163="","",IF(H163-V163-W163=0&lt;0,"Error in Areas ▲",IF(V163+W163&gt;H163,"Error in Areas ▲",IF(AND(P163='G-1 All Habitats'!$X$3,AB163="Yes"),"Alternative Compensation ✓",IF(Z163=0,0,IF(P163='G-1 All Habitats'!$X$3,"Any Loss Unacceptable ▲",T163-X163-Y163)))))),"Check Data ⚠")</f>
        <v/>
      </c>
      <c r="AB163" s="837"/>
      <c r="AC163" s="119"/>
      <c r="AD163" s="528"/>
      <c r="AE163" s="120"/>
      <c r="AF163" s="687"/>
      <c r="AG163" s="744" t="str">
        <f>IF(P163="","",IF(P163='G-1 All Habitats'!$X$3,H163-V163-W163,"None"))</f>
        <v/>
      </c>
      <c r="AH163" s="744" t="str">
        <f t="shared" si="23"/>
        <v/>
      </c>
      <c r="AJ163" s="124" t="str">
        <f t="shared" si="24"/>
        <v/>
      </c>
      <c r="AK163" s="124" t="str">
        <f t="shared" si="25"/>
        <v/>
      </c>
      <c r="AL163" s="124" t="str">
        <f>IF(I163="","",IF(#REF!&gt;0,TRUE,FALSE))</f>
        <v/>
      </c>
      <c r="AM163" s="124">
        <v>153</v>
      </c>
      <c r="AN163" s="124"/>
      <c r="AO163" s="124" t="str">
        <f t="array" ref="AO163">IFERROR(INDEX($AM$11:$AM$259, MATCH(0, IF(TRUE=$AJ$11:$AJ$259, COUNTIF($AO$10:$AO162, $AM$11:$AM$259), ""), 0)),"")</f>
        <v/>
      </c>
      <c r="AP163" s="124" t="str">
        <f t="array" ref="AP163">IFERROR(INDEX($AM$11:$AM$259, MATCH(0, IF(TRUE=$AK$11:$AK$259, COUNTIF($AP$10:$AP162, $AM$11:$AM$259), ""), 0)),"")</f>
        <v/>
      </c>
      <c r="AQ163" s="124" t="str">
        <f t="array" ref="AQ163">IFERROR(INDEX($AM$11:$AM$259, MATCH(0, IF(TRUE=$AL$11:$AL$259, COUNTIF($AQ$10:$AQ162, $AM$11:$AM$259), ""), 0)),"")</f>
        <v/>
      </c>
      <c r="AU163" s="30">
        <f t="shared" si="27"/>
        <v>0</v>
      </c>
      <c r="AY163" s="374" t="str">
        <f t="shared" si="26"/>
        <v/>
      </c>
    </row>
    <row r="164" spans="1:51">
      <c r="A164" s="30" t="str">
        <f>IFERROR(INDEX('G-1 All Habitats'!$AG$3:$AG$17,MATCH(E164,'G-1 All Habitats'!$AF$3:$AF$17,0)),"")</f>
        <v/>
      </c>
      <c r="B164" s="30" t="str">
        <f>IFERROR(INDEX('G-8 Condition Look up'!$I$4:$I$135,MATCH(G164,'G-8 Condition Look up'!$A$4:$A$135,0)),"")</f>
        <v/>
      </c>
      <c r="D164" s="110">
        <v>154</v>
      </c>
      <c r="E164" s="339"/>
      <c r="F164" s="340"/>
      <c r="G164" s="295" t="str">
        <f>IFERROR(INDEX('G-1 All Habitats'!$B$3:$B$134,MATCH(F164,'G-1 All Habitats'!$A$3:$A$134,0)),"")</f>
        <v/>
      </c>
      <c r="H164" s="139"/>
      <c r="I164" s="722" t="str">
        <f>IF(G164="","",VLOOKUP(G164,'G-1 All Habitats'!$B$2:$M$134,10,FALSE))</f>
        <v/>
      </c>
      <c r="J164" s="490" t="str">
        <f>IFERROR(VLOOKUP(I164,'G-1 All Habitats'!$V$3:$W$7,2,FALSE),"")</f>
        <v/>
      </c>
      <c r="K164" s="114"/>
      <c r="L164" s="490" t="str">
        <f>IFERROR(INDEX('G-8 Condition Look up'!$A$3:$H$135,MATCH(G164,'G-8 Condition Look up'!$A$3:$A$135,0),MATCH(K164,'G-8 Condition Look up'!$A$3:$H$3,0)),"")</f>
        <v/>
      </c>
      <c r="M164" s="738"/>
      <c r="N164" s="404" t="str">
        <f>IF(M164="","",IF(VLOOKUP(M164,'G-3 Multipliers'!$L$3:$N$6,2,FALSE)=0,"Spatial Data Missing ⚠",VLOOKUP(M164,'G-3 Multipliers'!$L$3:$N$6,2,FALSE)))</f>
        <v/>
      </c>
      <c r="O164" s="452" t="str">
        <f>IF(M164="","",IF(VLOOKUP(M164,'G-3 Multipliers'!$L$3:$N$6,3,FALSE)=0,"Spatial Data Missing ⚠",VLOOKUP(M164,'G-3 Multipliers'!$L$3:$N$6,3,FALSE)))</f>
        <v/>
      </c>
      <c r="P164" s="369" t="str">
        <f>IFERROR(VLOOKUP(G164,'G-1 All Habitats'!$B$2:$M$134,12,FALSE),"")</f>
        <v/>
      </c>
      <c r="Q164" s="725" t="str">
        <f>IFERROR(IF(P164="","",IF(AND(P164='G-1 All Habitats'!$X$3,W164&gt;0),X164+(Y164*S164),IF(AND(P164='G-1 All Habitats'!$X$3,V164&gt;0),X164+(Y164*S164),IF(AND(P164='G-1 All Habitats'!$X$3,AG164&gt;0),"Any Loss Unacceptable  ⚠",IF(AND(P164='G-1 All Habitats'!$X$3,Z164&gt;0),"Any Loss Unacceptable ⚠",H164*J164*L164*O164*S164))))),"Check Data ⚠")</f>
        <v/>
      </c>
      <c r="R164" s="516"/>
      <c r="S164" s="724" t="str">
        <f>IF(R164="","",IF(VLOOKUP(R164,'G-3 Multipliers'!$S$3:$T$10,2,FALSE)=0,"Spatial Data Missing ⚠",VLOOKUP(R164,'G-3 Multipliers'!$S$3:$T$10,2,FALSE)))</f>
        <v/>
      </c>
      <c r="T164" s="376" t="str">
        <f>IFERROR(IF(P164="","",IF(AND(P164='G-1 All Habitats'!$X$3,W164&gt;0),X164+Y164,IF(AND(P164='G-1 All Habitats'!$X$3,V164&gt;0),X164+Y164,IF(AND(P164='G-1 All Habitats'!$X$3,AG164&gt;0),"Any Loss Unacceptable ⚠", IF(R164="","", IF(AND(P164='G-1 All Habitats'!$X$3,Z164&gt;0),"Any Loss Unacceptable ⚠",H164*J164*L164*O164)))))),"Check Data ⚠")</f>
        <v/>
      </c>
      <c r="U164" s="38"/>
      <c r="V164" s="54"/>
      <c r="W164" s="55"/>
      <c r="X164" s="374" t="str">
        <f t="shared" si="21"/>
        <v/>
      </c>
      <c r="Y164" s="374" t="str">
        <f t="shared" si="22"/>
        <v/>
      </c>
      <c r="Z164" s="374" t="str">
        <f>IF(E164="","",IF(H164&lt;V164+W164,"Error in Areas ▲",IF(P164&lt;&gt;'G-1 All Habitats'!$X$3,H164-V164-W164,IF(AND(P164='G-1 All Habitats'!$X$3,AB164="Yes"),"Unacceptable Loss ⚠",IF(AND(P164='G-1 All Habitats'!$X$3,AB164="No"),AG164,IF(AND(P164='G-1 All Habitats'!$X$3,AB164=""),AG164,IF(AND(P164='G-1 All Habitats'!$X$3,AG164="None",AG164),IF(AND(P164='G-1 All Habitats'!$X$3,AG164&gt;0),H164-V164-W164))))))))</f>
        <v/>
      </c>
      <c r="AA164" s="405" t="str">
        <f>IFERROR(IF(H164="","",IF(H164-V164-W164=0&lt;0,"Error in Areas ▲",IF(V164+W164&gt;H164,"Error in Areas ▲",IF(AND(P164='G-1 All Habitats'!$X$3,AB164="Yes"),"Alternative Compensation ✓",IF(Z164=0,0,IF(P164='G-1 All Habitats'!$X$3,"Any Loss Unacceptable ▲",T164-X164-Y164)))))),"Check Data ⚠")</f>
        <v/>
      </c>
      <c r="AB164" s="837"/>
      <c r="AC164" s="119"/>
      <c r="AD164" s="528"/>
      <c r="AE164" s="120"/>
      <c r="AF164" s="687"/>
      <c r="AG164" s="744" t="str">
        <f>IF(P164="","",IF(P164='G-1 All Habitats'!$X$3,H164-V164-W164,"None"))</f>
        <v/>
      </c>
      <c r="AH164" s="744" t="str">
        <f t="shared" si="23"/>
        <v/>
      </c>
      <c r="AJ164" s="124" t="str">
        <f t="shared" si="24"/>
        <v/>
      </c>
      <c r="AK164" s="124" t="str">
        <f t="shared" si="25"/>
        <v/>
      </c>
      <c r="AL164" s="124" t="str">
        <f>IF(I164="","",IF(#REF!&gt;0,TRUE,FALSE))</f>
        <v/>
      </c>
      <c r="AM164" s="124">
        <v>154</v>
      </c>
      <c r="AN164" s="124"/>
      <c r="AO164" s="124" t="str">
        <f t="array" ref="AO164">IFERROR(INDEX($AM$11:$AM$259, MATCH(0, IF(TRUE=$AJ$11:$AJ$259, COUNTIF($AO$10:$AO163, $AM$11:$AM$259), ""), 0)),"")</f>
        <v/>
      </c>
      <c r="AP164" s="124" t="str">
        <f t="array" ref="AP164">IFERROR(INDEX($AM$11:$AM$259, MATCH(0, IF(TRUE=$AK$11:$AK$259, COUNTIF($AP$10:$AP163, $AM$11:$AM$259), ""), 0)),"")</f>
        <v/>
      </c>
      <c r="AQ164" s="124" t="str">
        <f t="array" ref="AQ164">IFERROR(INDEX($AM$11:$AM$259, MATCH(0, IF(TRUE=$AL$11:$AL$259, COUNTIF($AQ$10:$AQ163, $AM$11:$AM$259), ""), 0)),"")</f>
        <v/>
      </c>
      <c r="AU164" s="30">
        <f t="shared" si="27"/>
        <v>0</v>
      </c>
      <c r="AY164" s="374" t="str">
        <f t="shared" si="26"/>
        <v/>
      </c>
    </row>
    <row r="165" spans="1:51">
      <c r="A165" s="30" t="str">
        <f>IFERROR(INDEX('G-1 All Habitats'!$AG$3:$AG$17,MATCH(E165,'G-1 All Habitats'!$AF$3:$AF$17,0)),"")</f>
        <v/>
      </c>
      <c r="B165" s="30" t="str">
        <f>IFERROR(INDEX('G-8 Condition Look up'!$I$4:$I$135,MATCH(G165,'G-8 Condition Look up'!$A$4:$A$135,0)),"")</f>
        <v/>
      </c>
      <c r="D165" s="110">
        <v>155</v>
      </c>
      <c r="E165" s="339"/>
      <c r="F165" s="340"/>
      <c r="G165" s="295" t="str">
        <f>IFERROR(INDEX('G-1 All Habitats'!$B$3:$B$134,MATCH(F165,'G-1 All Habitats'!$A$3:$A$134,0)),"")</f>
        <v/>
      </c>
      <c r="H165" s="139"/>
      <c r="I165" s="722" t="str">
        <f>IF(G165="","",VLOOKUP(G165,'G-1 All Habitats'!$B$2:$M$134,10,FALSE))</f>
        <v/>
      </c>
      <c r="J165" s="490" t="str">
        <f>IFERROR(VLOOKUP(I165,'G-1 All Habitats'!$V$3:$W$7,2,FALSE),"")</f>
        <v/>
      </c>
      <c r="K165" s="114"/>
      <c r="L165" s="490" t="str">
        <f>IFERROR(INDEX('G-8 Condition Look up'!$A$3:$H$135,MATCH(G165,'G-8 Condition Look up'!$A$3:$A$135,0),MATCH(K165,'G-8 Condition Look up'!$A$3:$H$3,0)),"")</f>
        <v/>
      </c>
      <c r="M165" s="738"/>
      <c r="N165" s="404" t="str">
        <f>IF(M165="","",IF(VLOOKUP(M165,'G-3 Multipliers'!$L$3:$N$6,2,FALSE)=0,"Spatial Data Missing ⚠",VLOOKUP(M165,'G-3 Multipliers'!$L$3:$N$6,2,FALSE)))</f>
        <v/>
      </c>
      <c r="O165" s="452" t="str">
        <f>IF(M165="","",IF(VLOOKUP(M165,'G-3 Multipliers'!$L$3:$N$6,3,FALSE)=0,"Spatial Data Missing ⚠",VLOOKUP(M165,'G-3 Multipliers'!$L$3:$N$6,3,FALSE)))</f>
        <v/>
      </c>
      <c r="P165" s="369" t="str">
        <f>IFERROR(VLOOKUP(G165,'G-1 All Habitats'!$B$2:$M$134,12,FALSE),"")</f>
        <v/>
      </c>
      <c r="Q165" s="725" t="str">
        <f>IFERROR(IF(P165="","",IF(AND(P165='G-1 All Habitats'!$X$3,W165&gt;0),X165+(Y165*S165),IF(AND(P165='G-1 All Habitats'!$X$3,V165&gt;0),X165+(Y165*S165),IF(AND(P165='G-1 All Habitats'!$X$3,AG165&gt;0),"Any Loss Unacceptable  ⚠",IF(AND(P165='G-1 All Habitats'!$X$3,Z165&gt;0),"Any Loss Unacceptable ⚠",H165*J165*L165*O165*S165))))),"Check Data ⚠")</f>
        <v/>
      </c>
      <c r="R165" s="516"/>
      <c r="S165" s="724" t="str">
        <f>IF(R165="","",IF(VLOOKUP(R165,'G-3 Multipliers'!$S$3:$T$10,2,FALSE)=0,"Spatial Data Missing ⚠",VLOOKUP(R165,'G-3 Multipliers'!$S$3:$T$10,2,FALSE)))</f>
        <v/>
      </c>
      <c r="T165" s="376" t="str">
        <f>IFERROR(IF(P165="","",IF(AND(P165='G-1 All Habitats'!$X$3,W165&gt;0),X165+Y165,IF(AND(P165='G-1 All Habitats'!$X$3,V165&gt;0),X165+Y165,IF(AND(P165='G-1 All Habitats'!$X$3,AG165&gt;0),"Any Loss Unacceptable ⚠", IF(R165="","", IF(AND(P165='G-1 All Habitats'!$X$3,Z165&gt;0),"Any Loss Unacceptable ⚠",H165*J165*L165*O165)))))),"Check Data ⚠")</f>
        <v/>
      </c>
      <c r="U165" s="38"/>
      <c r="V165" s="54"/>
      <c r="W165" s="55"/>
      <c r="X165" s="374" t="str">
        <f t="shared" si="21"/>
        <v/>
      </c>
      <c r="Y165" s="374" t="str">
        <f t="shared" si="22"/>
        <v/>
      </c>
      <c r="Z165" s="374" t="str">
        <f>IF(E165="","",IF(H165&lt;V165+W165,"Error in Areas ▲",IF(P165&lt;&gt;'G-1 All Habitats'!$X$3,H165-V165-W165,IF(AND(P165='G-1 All Habitats'!$X$3,AB165="Yes"),"Unacceptable Loss ⚠",IF(AND(P165='G-1 All Habitats'!$X$3,AB165="No"),AG165,IF(AND(P165='G-1 All Habitats'!$X$3,AB165=""),AG165,IF(AND(P165='G-1 All Habitats'!$X$3,AG165="None",AG165),IF(AND(P165='G-1 All Habitats'!$X$3,AG165&gt;0),H165-V165-W165))))))))</f>
        <v/>
      </c>
      <c r="AA165" s="405" t="str">
        <f>IFERROR(IF(H165="","",IF(H165-V165-W165=0&lt;0,"Error in Areas ▲",IF(V165+W165&gt;H165,"Error in Areas ▲",IF(AND(P165='G-1 All Habitats'!$X$3,AB165="Yes"),"Alternative Compensation ✓",IF(Z165=0,0,IF(P165='G-1 All Habitats'!$X$3,"Any Loss Unacceptable ▲",T165-X165-Y165)))))),"Check Data ⚠")</f>
        <v/>
      </c>
      <c r="AB165" s="837"/>
      <c r="AC165" s="119"/>
      <c r="AD165" s="528"/>
      <c r="AE165" s="120"/>
      <c r="AF165" s="687"/>
      <c r="AG165" s="744" t="str">
        <f>IF(P165="","",IF(P165='G-1 All Habitats'!$X$3,H165-V165-W165,"None"))</f>
        <v/>
      </c>
      <c r="AH165" s="744" t="str">
        <f t="shared" si="23"/>
        <v/>
      </c>
      <c r="AJ165" s="124" t="str">
        <f t="shared" si="24"/>
        <v/>
      </c>
      <c r="AK165" s="124" t="str">
        <f t="shared" si="25"/>
        <v/>
      </c>
      <c r="AL165" s="124" t="str">
        <f>IF(I165="","",IF(#REF!&gt;0,TRUE,FALSE))</f>
        <v/>
      </c>
      <c r="AM165" s="124">
        <v>155</v>
      </c>
      <c r="AN165" s="124"/>
      <c r="AO165" s="124" t="str">
        <f t="array" ref="AO165">IFERROR(INDEX($AM$11:$AM$259, MATCH(0, IF(TRUE=$AJ$11:$AJ$259, COUNTIF($AO$10:$AO164, $AM$11:$AM$259), ""), 0)),"")</f>
        <v/>
      </c>
      <c r="AP165" s="124" t="str">
        <f t="array" ref="AP165">IFERROR(INDEX($AM$11:$AM$259, MATCH(0, IF(TRUE=$AK$11:$AK$259, COUNTIF($AP$10:$AP164, $AM$11:$AM$259), ""), 0)),"")</f>
        <v/>
      </c>
      <c r="AQ165" s="124" t="str">
        <f t="array" ref="AQ165">IFERROR(INDEX($AM$11:$AM$259, MATCH(0, IF(TRUE=$AL$11:$AL$259, COUNTIF($AQ$10:$AQ164, $AM$11:$AM$259), ""), 0)),"")</f>
        <v/>
      </c>
      <c r="AU165" s="30">
        <f t="shared" si="27"/>
        <v>0</v>
      </c>
      <c r="AY165" s="374" t="str">
        <f t="shared" si="26"/>
        <v/>
      </c>
    </row>
    <row r="166" spans="1:51">
      <c r="A166" s="30" t="str">
        <f>IFERROR(INDEX('G-1 All Habitats'!$AG$3:$AG$17,MATCH(E166,'G-1 All Habitats'!$AF$3:$AF$17,0)),"")</f>
        <v/>
      </c>
      <c r="B166" s="30" t="str">
        <f>IFERROR(INDEX('G-8 Condition Look up'!$I$4:$I$135,MATCH(G166,'G-8 Condition Look up'!$A$4:$A$135,0)),"")</f>
        <v/>
      </c>
      <c r="D166" s="110">
        <v>156</v>
      </c>
      <c r="E166" s="339"/>
      <c r="F166" s="340"/>
      <c r="G166" s="295" t="str">
        <f>IFERROR(INDEX('G-1 All Habitats'!$B$3:$B$134,MATCH(F166,'G-1 All Habitats'!$A$3:$A$134,0)),"")</f>
        <v/>
      </c>
      <c r="H166" s="139"/>
      <c r="I166" s="722" t="str">
        <f>IF(G166="","",VLOOKUP(G166,'G-1 All Habitats'!$B$2:$M$134,10,FALSE))</f>
        <v/>
      </c>
      <c r="J166" s="490" t="str">
        <f>IFERROR(VLOOKUP(I166,'G-1 All Habitats'!$V$3:$W$7,2,FALSE),"")</f>
        <v/>
      </c>
      <c r="K166" s="114"/>
      <c r="L166" s="490" t="str">
        <f>IFERROR(INDEX('G-8 Condition Look up'!$A$3:$H$135,MATCH(G166,'G-8 Condition Look up'!$A$3:$A$135,0),MATCH(K166,'G-8 Condition Look up'!$A$3:$H$3,0)),"")</f>
        <v/>
      </c>
      <c r="M166" s="738"/>
      <c r="N166" s="404" t="str">
        <f>IF(M166="","",IF(VLOOKUP(M166,'G-3 Multipliers'!$L$3:$N$6,2,FALSE)=0,"Spatial Data Missing ⚠",VLOOKUP(M166,'G-3 Multipliers'!$L$3:$N$6,2,FALSE)))</f>
        <v/>
      </c>
      <c r="O166" s="452" t="str">
        <f>IF(M166="","",IF(VLOOKUP(M166,'G-3 Multipliers'!$L$3:$N$6,3,FALSE)=0,"Spatial Data Missing ⚠",VLOOKUP(M166,'G-3 Multipliers'!$L$3:$N$6,3,FALSE)))</f>
        <v/>
      </c>
      <c r="P166" s="369" t="str">
        <f>IFERROR(VLOOKUP(G166,'G-1 All Habitats'!$B$2:$M$134,12,FALSE),"")</f>
        <v/>
      </c>
      <c r="Q166" s="725" t="str">
        <f>IFERROR(IF(P166="","",IF(AND(P166='G-1 All Habitats'!$X$3,W166&gt;0),X166+(Y166*S166),IF(AND(P166='G-1 All Habitats'!$X$3,V166&gt;0),X166+(Y166*S166),IF(AND(P166='G-1 All Habitats'!$X$3,AG166&gt;0),"Any Loss Unacceptable  ⚠",IF(AND(P166='G-1 All Habitats'!$X$3,Z166&gt;0),"Any Loss Unacceptable ⚠",H166*J166*L166*O166*S166))))),"Check Data ⚠")</f>
        <v/>
      </c>
      <c r="R166" s="516"/>
      <c r="S166" s="724" t="str">
        <f>IF(R166="","",IF(VLOOKUP(R166,'G-3 Multipliers'!$S$3:$T$10,2,FALSE)=0,"Spatial Data Missing ⚠",VLOOKUP(R166,'G-3 Multipliers'!$S$3:$T$10,2,FALSE)))</f>
        <v/>
      </c>
      <c r="T166" s="376" t="str">
        <f>IFERROR(IF(P166="","",IF(AND(P166='G-1 All Habitats'!$X$3,W166&gt;0),X166+Y166,IF(AND(P166='G-1 All Habitats'!$X$3,V166&gt;0),X166+Y166,IF(AND(P166='G-1 All Habitats'!$X$3,AG166&gt;0),"Any Loss Unacceptable ⚠", IF(R166="","", IF(AND(P166='G-1 All Habitats'!$X$3,Z166&gt;0),"Any Loss Unacceptable ⚠",H166*J166*L166*O166)))))),"Check Data ⚠")</f>
        <v/>
      </c>
      <c r="U166" s="38"/>
      <c r="V166" s="54"/>
      <c r="W166" s="55"/>
      <c r="X166" s="374" t="str">
        <f t="shared" si="21"/>
        <v/>
      </c>
      <c r="Y166" s="374" t="str">
        <f t="shared" si="22"/>
        <v/>
      </c>
      <c r="Z166" s="374" t="str">
        <f>IF(E166="","",IF(H166&lt;V166+W166,"Error in Areas ▲",IF(P166&lt;&gt;'G-1 All Habitats'!$X$3,H166-V166-W166,IF(AND(P166='G-1 All Habitats'!$X$3,AB166="Yes"),"Unacceptable Loss ⚠",IF(AND(P166='G-1 All Habitats'!$X$3,AB166="No"),AG166,IF(AND(P166='G-1 All Habitats'!$X$3,AB166=""),AG166,IF(AND(P166='G-1 All Habitats'!$X$3,AG166="None",AG166),IF(AND(P166='G-1 All Habitats'!$X$3,AG166&gt;0),H166-V166-W166))))))))</f>
        <v/>
      </c>
      <c r="AA166" s="405" t="str">
        <f>IFERROR(IF(H166="","",IF(H166-V166-W166=0&lt;0,"Error in Areas ▲",IF(V166+W166&gt;H166,"Error in Areas ▲",IF(AND(P166='G-1 All Habitats'!$X$3,AB166="Yes"),"Alternative Compensation ✓",IF(Z166=0,0,IF(P166='G-1 All Habitats'!$X$3,"Any Loss Unacceptable ▲",T166-X166-Y166)))))),"Check Data ⚠")</f>
        <v/>
      </c>
      <c r="AB166" s="837"/>
      <c r="AC166" s="119"/>
      <c r="AD166" s="528"/>
      <c r="AE166" s="120"/>
      <c r="AF166" s="687"/>
      <c r="AG166" s="744" t="str">
        <f>IF(P166="","",IF(P166='G-1 All Habitats'!$X$3,H166-V166-W166,"None"))</f>
        <v/>
      </c>
      <c r="AH166" s="744" t="str">
        <f t="shared" si="23"/>
        <v/>
      </c>
      <c r="AJ166" s="124" t="str">
        <f t="shared" si="24"/>
        <v/>
      </c>
      <c r="AK166" s="124" t="str">
        <f t="shared" si="25"/>
        <v/>
      </c>
      <c r="AL166" s="124" t="str">
        <f>IF(I166="","",IF(#REF!&gt;0,TRUE,FALSE))</f>
        <v/>
      </c>
      <c r="AM166" s="124">
        <v>156</v>
      </c>
      <c r="AN166" s="124"/>
      <c r="AO166" s="124" t="str">
        <f t="array" ref="AO166">IFERROR(INDEX($AM$11:$AM$259, MATCH(0, IF(TRUE=$AJ$11:$AJ$259, COUNTIF($AO$10:$AO165, $AM$11:$AM$259), ""), 0)),"")</f>
        <v/>
      </c>
      <c r="AP166" s="124" t="str">
        <f t="array" ref="AP166">IFERROR(INDEX($AM$11:$AM$259, MATCH(0, IF(TRUE=$AK$11:$AK$259, COUNTIF($AP$10:$AP165, $AM$11:$AM$259), ""), 0)),"")</f>
        <v/>
      </c>
      <c r="AQ166" s="124" t="str">
        <f t="array" ref="AQ166">IFERROR(INDEX($AM$11:$AM$259, MATCH(0, IF(TRUE=$AL$11:$AL$259, COUNTIF($AQ$10:$AQ165, $AM$11:$AM$259), ""), 0)),"")</f>
        <v/>
      </c>
      <c r="AU166" s="30">
        <f t="shared" si="27"/>
        <v>0</v>
      </c>
      <c r="AY166" s="374" t="str">
        <f t="shared" si="26"/>
        <v/>
      </c>
    </row>
    <row r="167" spans="1:51">
      <c r="A167" s="30" t="str">
        <f>IFERROR(INDEX('G-1 All Habitats'!$AG$3:$AG$17,MATCH(E167,'G-1 All Habitats'!$AF$3:$AF$17,0)),"")</f>
        <v/>
      </c>
      <c r="B167" s="30" t="str">
        <f>IFERROR(INDEX('G-8 Condition Look up'!$I$4:$I$135,MATCH(G167,'G-8 Condition Look up'!$A$4:$A$135,0)),"")</f>
        <v/>
      </c>
      <c r="D167" s="110">
        <v>157</v>
      </c>
      <c r="E167" s="339"/>
      <c r="F167" s="340"/>
      <c r="G167" s="295" t="str">
        <f>IFERROR(INDEX('G-1 All Habitats'!$B$3:$B$134,MATCH(F167,'G-1 All Habitats'!$A$3:$A$134,0)),"")</f>
        <v/>
      </c>
      <c r="H167" s="139"/>
      <c r="I167" s="722" t="str">
        <f>IF(G167="","",VLOOKUP(G167,'G-1 All Habitats'!$B$2:$M$134,10,FALSE))</f>
        <v/>
      </c>
      <c r="J167" s="490" t="str">
        <f>IFERROR(VLOOKUP(I167,'G-1 All Habitats'!$V$3:$W$7,2,FALSE),"")</f>
        <v/>
      </c>
      <c r="K167" s="114"/>
      <c r="L167" s="490" t="str">
        <f>IFERROR(INDEX('G-8 Condition Look up'!$A$3:$H$135,MATCH(G167,'G-8 Condition Look up'!$A$3:$A$135,0),MATCH(K167,'G-8 Condition Look up'!$A$3:$H$3,0)),"")</f>
        <v/>
      </c>
      <c r="M167" s="738"/>
      <c r="N167" s="404" t="str">
        <f>IF(M167="","",IF(VLOOKUP(M167,'G-3 Multipliers'!$L$3:$N$6,2,FALSE)=0,"Spatial Data Missing ⚠",VLOOKUP(M167,'G-3 Multipliers'!$L$3:$N$6,2,FALSE)))</f>
        <v/>
      </c>
      <c r="O167" s="452" t="str">
        <f>IF(M167="","",IF(VLOOKUP(M167,'G-3 Multipliers'!$L$3:$N$6,3,FALSE)=0,"Spatial Data Missing ⚠",VLOOKUP(M167,'G-3 Multipliers'!$L$3:$N$6,3,FALSE)))</f>
        <v/>
      </c>
      <c r="P167" s="369" t="str">
        <f>IFERROR(VLOOKUP(G167,'G-1 All Habitats'!$B$2:$M$134,12,FALSE),"")</f>
        <v/>
      </c>
      <c r="Q167" s="725" t="str">
        <f>IFERROR(IF(P167="","",IF(AND(P167='G-1 All Habitats'!$X$3,W167&gt;0),X167+(Y167*S167),IF(AND(P167='G-1 All Habitats'!$X$3,V167&gt;0),X167+(Y167*S167),IF(AND(P167='G-1 All Habitats'!$X$3,AG167&gt;0),"Any Loss Unacceptable  ⚠",IF(AND(P167='G-1 All Habitats'!$X$3,Z167&gt;0),"Any Loss Unacceptable ⚠",H167*J167*L167*O167*S167))))),"Check Data ⚠")</f>
        <v/>
      </c>
      <c r="R167" s="516"/>
      <c r="S167" s="724" t="str">
        <f>IF(R167="","",IF(VLOOKUP(R167,'G-3 Multipliers'!$S$3:$T$10,2,FALSE)=0,"Spatial Data Missing ⚠",VLOOKUP(R167,'G-3 Multipliers'!$S$3:$T$10,2,FALSE)))</f>
        <v/>
      </c>
      <c r="T167" s="376" t="str">
        <f>IFERROR(IF(P167="","",IF(AND(P167='G-1 All Habitats'!$X$3,W167&gt;0),X167+Y167,IF(AND(P167='G-1 All Habitats'!$X$3,V167&gt;0),X167+Y167,IF(AND(P167='G-1 All Habitats'!$X$3,AG167&gt;0),"Any Loss Unacceptable ⚠", IF(R167="","", IF(AND(P167='G-1 All Habitats'!$X$3,Z167&gt;0),"Any Loss Unacceptable ⚠",H167*J167*L167*O167)))))),"Check Data ⚠")</f>
        <v/>
      </c>
      <c r="U167" s="38"/>
      <c r="V167" s="54"/>
      <c r="W167" s="55"/>
      <c r="X167" s="374" t="str">
        <f t="shared" si="21"/>
        <v/>
      </c>
      <c r="Y167" s="374" t="str">
        <f t="shared" si="22"/>
        <v/>
      </c>
      <c r="Z167" s="374" t="str">
        <f>IF(E167="","",IF(H167&lt;V167+W167,"Error in Areas ▲",IF(P167&lt;&gt;'G-1 All Habitats'!$X$3,H167-V167-W167,IF(AND(P167='G-1 All Habitats'!$X$3,AB167="Yes"),"Unacceptable Loss ⚠",IF(AND(P167='G-1 All Habitats'!$X$3,AB167="No"),AG167,IF(AND(P167='G-1 All Habitats'!$X$3,AB167=""),AG167,IF(AND(P167='G-1 All Habitats'!$X$3,AG167="None",AG167),IF(AND(P167='G-1 All Habitats'!$X$3,AG167&gt;0),H167-V167-W167))))))))</f>
        <v/>
      </c>
      <c r="AA167" s="405" t="str">
        <f>IFERROR(IF(H167="","",IF(H167-V167-W167=0&lt;0,"Error in Areas ▲",IF(V167+W167&gt;H167,"Error in Areas ▲",IF(AND(P167='G-1 All Habitats'!$X$3,AB167="Yes"),"Alternative Compensation ✓",IF(Z167=0,0,IF(P167='G-1 All Habitats'!$X$3,"Any Loss Unacceptable ▲",T167-X167-Y167)))))),"Check Data ⚠")</f>
        <v/>
      </c>
      <c r="AB167" s="837"/>
      <c r="AC167" s="119"/>
      <c r="AD167" s="528"/>
      <c r="AE167" s="120"/>
      <c r="AF167" s="687"/>
      <c r="AG167" s="744" t="str">
        <f>IF(P167="","",IF(P167='G-1 All Habitats'!$X$3,H167-V167-W167,"None"))</f>
        <v/>
      </c>
      <c r="AH167" s="744" t="str">
        <f t="shared" si="23"/>
        <v/>
      </c>
      <c r="AJ167" s="124" t="str">
        <f t="shared" si="24"/>
        <v/>
      </c>
      <c r="AK167" s="124" t="str">
        <f t="shared" si="25"/>
        <v/>
      </c>
      <c r="AL167" s="124" t="str">
        <f>IF(I167="","",IF(#REF!&gt;0,TRUE,FALSE))</f>
        <v/>
      </c>
      <c r="AM167" s="124">
        <v>157</v>
      </c>
      <c r="AN167" s="124"/>
      <c r="AO167" s="124" t="str">
        <f t="array" ref="AO167">IFERROR(INDEX($AM$11:$AM$259, MATCH(0, IF(TRUE=$AJ$11:$AJ$259, COUNTIF($AO$10:$AO166, $AM$11:$AM$259), ""), 0)),"")</f>
        <v/>
      </c>
      <c r="AP167" s="124" t="str">
        <f t="array" ref="AP167">IFERROR(INDEX($AM$11:$AM$259, MATCH(0, IF(TRUE=$AK$11:$AK$259, COUNTIF($AP$10:$AP166, $AM$11:$AM$259), ""), 0)),"")</f>
        <v/>
      </c>
      <c r="AQ167" s="124" t="str">
        <f t="array" ref="AQ167">IFERROR(INDEX($AM$11:$AM$259, MATCH(0, IF(TRUE=$AL$11:$AL$259, COUNTIF($AQ$10:$AQ166, $AM$11:$AM$259), ""), 0)),"")</f>
        <v/>
      </c>
      <c r="AU167" s="30">
        <f t="shared" si="27"/>
        <v>0</v>
      </c>
      <c r="AY167" s="374" t="str">
        <f t="shared" si="26"/>
        <v/>
      </c>
    </row>
    <row r="168" spans="1:51">
      <c r="A168" s="30" t="str">
        <f>IFERROR(INDEX('G-1 All Habitats'!$AG$3:$AG$17,MATCH(E168,'G-1 All Habitats'!$AF$3:$AF$17,0)),"")</f>
        <v/>
      </c>
      <c r="B168" s="30" t="str">
        <f>IFERROR(INDEX('G-8 Condition Look up'!$I$4:$I$135,MATCH(G168,'G-8 Condition Look up'!$A$4:$A$135,0)),"")</f>
        <v/>
      </c>
      <c r="D168" s="110">
        <v>158</v>
      </c>
      <c r="E168" s="339"/>
      <c r="F168" s="340"/>
      <c r="G168" s="295" t="str">
        <f>IFERROR(INDEX('G-1 All Habitats'!$B$3:$B$134,MATCH(F168,'G-1 All Habitats'!$A$3:$A$134,0)),"")</f>
        <v/>
      </c>
      <c r="H168" s="139"/>
      <c r="I168" s="722" t="str">
        <f>IF(G168="","",VLOOKUP(G168,'G-1 All Habitats'!$B$2:$M$134,10,FALSE))</f>
        <v/>
      </c>
      <c r="J168" s="490" t="str">
        <f>IFERROR(VLOOKUP(I168,'G-1 All Habitats'!$V$3:$W$7,2,FALSE),"")</f>
        <v/>
      </c>
      <c r="K168" s="114"/>
      <c r="L168" s="490" t="str">
        <f>IFERROR(INDEX('G-8 Condition Look up'!$A$3:$H$135,MATCH(G168,'G-8 Condition Look up'!$A$3:$A$135,0),MATCH(K168,'G-8 Condition Look up'!$A$3:$H$3,0)),"")</f>
        <v/>
      </c>
      <c r="M168" s="738"/>
      <c r="N168" s="404" t="str">
        <f>IF(M168="","",IF(VLOOKUP(M168,'G-3 Multipliers'!$L$3:$N$6,2,FALSE)=0,"Spatial Data Missing ⚠",VLOOKUP(M168,'G-3 Multipliers'!$L$3:$N$6,2,FALSE)))</f>
        <v/>
      </c>
      <c r="O168" s="452" t="str">
        <f>IF(M168="","",IF(VLOOKUP(M168,'G-3 Multipliers'!$L$3:$N$6,3,FALSE)=0,"Spatial Data Missing ⚠",VLOOKUP(M168,'G-3 Multipliers'!$L$3:$N$6,3,FALSE)))</f>
        <v/>
      </c>
      <c r="P168" s="369" t="str">
        <f>IFERROR(VLOOKUP(G168,'G-1 All Habitats'!$B$2:$M$134,12,FALSE),"")</f>
        <v/>
      </c>
      <c r="Q168" s="725" t="str">
        <f>IFERROR(IF(P168="","",IF(AND(P168='G-1 All Habitats'!$X$3,W168&gt;0),X168+(Y168*S168),IF(AND(P168='G-1 All Habitats'!$X$3,V168&gt;0),X168+(Y168*S168),IF(AND(P168='G-1 All Habitats'!$X$3,AG168&gt;0),"Any Loss Unacceptable  ⚠",IF(AND(P168='G-1 All Habitats'!$X$3,Z168&gt;0),"Any Loss Unacceptable ⚠",H168*J168*L168*O168*S168))))),"Check Data ⚠")</f>
        <v/>
      </c>
      <c r="R168" s="516"/>
      <c r="S168" s="724" t="str">
        <f>IF(R168="","",IF(VLOOKUP(R168,'G-3 Multipliers'!$S$3:$T$10,2,FALSE)=0,"Spatial Data Missing ⚠",VLOOKUP(R168,'G-3 Multipliers'!$S$3:$T$10,2,FALSE)))</f>
        <v/>
      </c>
      <c r="T168" s="376" t="str">
        <f>IFERROR(IF(P168="","",IF(AND(P168='G-1 All Habitats'!$X$3,W168&gt;0),X168+Y168,IF(AND(P168='G-1 All Habitats'!$X$3,V168&gt;0),X168+Y168,IF(AND(P168='G-1 All Habitats'!$X$3,AG168&gt;0),"Any Loss Unacceptable ⚠", IF(R168="","", IF(AND(P168='G-1 All Habitats'!$X$3,Z168&gt;0),"Any Loss Unacceptable ⚠",H168*J168*L168*O168)))))),"Check Data ⚠")</f>
        <v/>
      </c>
      <c r="U168" s="38"/>
      <c r="V168" s="54"/>
      <c r="W168" s="55"/>
      <c r="X168" s="374" t="str">
        <f t="shared" si="21"/>
        <v/>
      </c>
      <c r="Y168" s="374" t="str">
        <f t="shared" si="22"/>
        <v/>
      </c>
      <c r="Z168" s="374" t="str">
        <f>IF(E168="","",IF(H168&lt;V168+W168,"Error in Areas ▲",IF(P168&lt;&gt;'G-1 All Habitats'!$X$3,H168-V168-W168,IF(AND(P168='G-1 All Habitats'!$X$3,AB168="Yes"),"Unacceptable Loss ⚠",IF(AND(P168='G-1 All Habitats'!$X$3,AB168="No"),AG168,IF(AND(P168='G-1 All Habitats'!$X$3,AB168=""),AG168,IF(AND(P168='G-1 All Habitats'!$X$3,AG168="None",AG168),IF(AND(P168='G-1 All Habitats'!$X$3,AG168&gt;0),H168-V168-W168))))))))</f>
        <v/>
      </c>
      <c r="AA168" s="405" t="str">
        <f>IFERROR(IF(H168="","",IF(H168-V168-W168=0&lt;0,"Error in Areas ▲",IF(V168+W168&gt;H168,"Error in Areas ▲",IF(AND(P168='G-1 All Habitats'!$X$3,AB168="Yes"),"Alternative Compensation ✓",IF(Z168=0,0,IF(P168='G-1 All Habitats'!$X$3,"Any Loss Unacceptable ▲",T168-X168-Y168)))))),"Check Data ⚠")</f>
        <v/>
      </c>
      <c r="AB168" s="837"/>
      <c r="AC168" s="119"/>
      <c r="AD168" s="528"/>
      <c r="AE168" s="120"/>
      <c r="AF168" s="687"/>
      <c r="AG168" s="744" t="str">
        <f>IF(P168="","",IF(P168='G-1 All Habitats'!$X$3,H168-V168-W168,"None"))</f>
        <v/>
      </c>
      <c r="AH168" s="744" t="str">
        <f t="shared" si="23"/>
        <v/>
      </c>
      <c r="AJ168" s="124" t="str">
        <f t="shared" si="24"/>
        <v/>
      </c>
      <c r="AK168" s="124" t="str">
        <f t="shared" si="25"/>
        <v/>
      </c>
      <c r="AL168" s="124" t="str">
        <f>IF(I168="","",IF(#REF!&gt;0,TRUE,FALSE))</f>
        <v/>
      </c>
      <c r="AM168" s="124">
        <v>158</v>
      </c>
      <c r="AN168" s="124"/>
      <c r="AO168" s="124" t="str">
        <f t="array" ref="AO168">IFERROR(INDEX($AM$11:$AM$259, MATCH(0, IF(TRUE=$AJ$11:$AJ$259, COUNTIF($AO$10:$AO167, $AM$11:$AM$259), ""), 0)),"")</f>
        <v/>
      </c>
      <c r="AP168" s="124" t="str">
        <f t="array" ref="AP168">IFERROR(INDEX($AM$11:$AM$259, MATCH(0, IF(TRUE=$AK$11:$AK$259, COUNTIF($AP$10:$AP167, $AM$11:$AM$259), ""), 0)),"")</f>
        <v/>
      </c>
      <c r="AQ168" s="124" t="str">
        <f t="array" ref="AQ168">IFERROR(INDEX($AM$11:$AM$259, MATCH(0, IF(TRUE=$AL$11:$AL$259, COUNTIF($AQ$10:$AQ167, $AM$11:$AM$259), ""), 0)),"")</f>
        <v/>
      </c>
      <c r="AU168" s="30">
        <f t="shared" si="27"/>
        <v>0</v>
      </c>
      <c r="AY168" s="374" t="str">
        <f t="shared" si="26"/>
        <v/>
      </c>
    </row>
    <row r="169" spans="1:51">
      <c r="A169" s="30" t="str">
        <f>IFERROR(INDEX('G-1 All Habitats'!$AG$3:$AG$17,MATCH(E169,'G-1 All Habitats'!$AF$3:$AF$17,0)),"")</f>
        <v/>
      </c>
      <c r="B169" s="30" t="str">
        <f>IFERROR(INDEX('G-8 Condition Look up'!$I$4:$I$135,MATCH(G169,'G-8 Condition Look up'!$A$4:$A$135,0)),"")</f>
        <v/>
      </c>
      <c r="D169" s="110">
        <v>159</v>
      </c>
      <c r="E169" s="339"/>
      <c r="F169" s="340"/>
      <c r="G169" s="295" t="str">
        <f>IFERROR(INDEX('G-1 All Habitats'!$B$3:$B$134,MATCH(F169,'G-1 All Habitats'!$A$3:$A$134,0)),"")</f>
        <v/>
      </c>
      <c r="H169" s="139"/>
      <c r="I169" s="722" t="str">
        <f>IF(G169="","",VLOOKUP(G169,'G-1 All Habitats'!$B$2:$M$134,10,FALSE))</f>
        <v/>
      </c>
      <c r="J169" s="490" t="str">
        <f>IFERROR(VLOOKUP(I169,'G-1 All Habitats'!$V$3:$W$7,2,FALSE),"")</f>
        <v/>
      </c>
      <c r="K169" s="114"/>
      <c r="L169" s="490" t="str">
        <f>IFERROR(INDEX('G-8 Condition Look up'!$A$3:$H$135,MATCH(G169,'G-8 Condition Look up'!$A$3:$A$135,0),MATCH(K169,'G-8 Condition Look up'!$A$3:$H$3,0)),"")</f>
        <v/>
      </c>
      <c r="M169" s="738"/>
      <c r="N169" s="404" t="str">
        <f>IF(M169="","",IF(VLOOKUP(M169,'G-3 Multipliers'!$L$3:$N$6,2,FALSE)=0,"Spatial Data Missing ⚠",VLOOKUP(M169,'G-3 Multipliers'!$L$3:$N$6,2,FALSE)))</f>
        <v/>
      </c>
      <c r="O169" s="452" t="str">
        <f>IF(M169="","",IF(VLOOKUP(M169,'G-3 Multipliers'!$L$3:$N$6,3,FALSE)=0,"Spatial Data Missing ⚠",VLOOKUP(M169,'G-3 Multipliers'!$L$3:$N$6,3,FALSE)))</f>
        <v/>
      </c>
      <c r="P169" s="369" t="str">
        <f>IFERROR(VLOOKUP(G169,'G-1 All Habitats'!$B$2:$M$134,12,FALSE),"")</f>
        <v/>
      </c>
      <c r="Q169" s="725" t="str">
        <f>IFERROR(IF(P169="","",IF(AND(P169='G-1 All Habitats'!$X$3,W169&gt;0),X169+(Y169*S169),IF(AND(P169='G-1 All Habitats'!$X$3,V169&gt;0),X169+(Y169*S169),IF(AND(P169='G-1 All Habitats'!$X$3,AG169&gt;0),"Any Loss Unacceptable  ⚠",IF(AND(P169='G-1 All Habitats'!$X$3,Z169&gt;0),"Any Loss Unacceptable ⚠",H169*J169*L169*O169*S169))))),"Check Data ⚠")</f>
        <v/>
      </c>
      <c r="R169" s="516"/>
      <c r="S169" s="724" t="str">
        <f>IF(R169="","",IF(VLOOKUP(R169,'G-3 Multipliers'!$S$3:$T$10,2,FALSE)=0,"Spatial Data Missing ⚠",VLOOKUP(R169,'G-3 Multipliers'!$S$3:$T$10,2,FALSE)))</f>
        <v/>
      </c>
      <c r="T169" s="376" t="str">
        <f>IFERROR(IF(P169="","",IF(AND(P169='G-1 All Habitats'!$X$3,W169&gt;0),X169+Y169,IF(AND(P169='G-1 All Habitats'!$X$3,V169&gt;0),X169+Y169,IF(AND(P169='G-1 All Habitats'!$X$3,AG169&gt;0),"Any Loss Unacceptable ⚠", IF(R169="","", IF(AND(P169='G-1 All Habitats'!$X$3,Z169&gt;0),"Any Loss Unacceptable ⚠",H169*J169*L169*O169)))))),"Check Data ⚠")</f>
        <v/>
      </c>
      <c r="U169" s="38"/>
      <c r="V169" s="54"/>
      <c r="W169" s="55"/>
      <c r="X169" s="374" t="str">
        <f t="shared" si="21"/>
        <v/>
      </c>
      <c r="Y169" s="374" t="str">
        <f t="shared" si="22"/>
        <v/>
      </c>
      <c r="Z169" s="374" t="str">
        <f>IF(E169="","",IF(H169&lt;V169+W169,"Error in Areas ▲",IF(P169&lt;&gt;'G-1 All Habitats'!$X$3,H169-V169-W169,IF(AND(P169='G-1 All Habitats'!$X$3,AB169="Yes"),"Unacceptable Loss ⚠",IF(AND(P169='G-1 All Habitats'!$X$3,AB169="No"),AG169,IF(AND(P169='G-1 All Habitats'!$X$3,AB169=""),AG169,IF(AND(P169='G-1 All Habitats'!$X$3,AG169="None",AG169),IF(AND(P169='G-1 All Habitats'!$X$3,AG169&gt;0),H169-V169-W169))))))))</f>
        <v/>
      </c>
      <c r="AA169" s="405" t="str">
        <f>IFERROR(IF(H169="","",IF(H169-V169-W169=0&lt;0,"Error in Areas ▲",IF(V169+W169&gt;H169,"Error in Areas ▲",IF(AND(P169='G-1 All Habitats'!$X$3,AB169="Yes"),"Alternative Compensation ✓",IF(Z169=0,0,IF(P169='G-1 All Habitats'!$X$3,"Any Loss Unacceptable ▲",T169-X169-Y169)))))),"Check Data ⚠")</f>
        <v/>
      </c>
      <c r="AB169" s="837"/>
      <c r="AC169" s="119"/>
      <c r="AD169" s="528"/>
      <c r="AE169" s="120"/>
      <c r="AF169" s="687"/>
      <c r="AG169" s="744" t="str">
        <f>IF(P169="","",IF(P169='G-1 All Habitats'!$X$3,H169-V169-W169,"None"))</f>
        <v/>
      </c>
      <c r="AH169" s="744" t="str">
        <f t="shared" si="23"/>
        <v/>
      </c>
      <c r="AJ169" s="124" t="str">
        <f t="shared" si="24"/>
        <v/>
      </c>
      <c r="AK169" s="124" t="str">
        <f t="shared" si="25"/>
        <v/>
      </c>
      <c r="AL169" s="124" t="str">
        <f>IF(I169="","",IF(#REF!&gt;0,TRUE,FALSE))</f>
        <v/>
      </c>
      <c r="AM169" s="124">
        <v>159</v>
      </c>
      <c r="AN169" s="124"/>
      <c r="AO169" s="124" t="str">
        <f t="array" ref="AO169">IFERROR(INDEX($AM$11:$AM$259, MATCH(0, IF(TRUE=$AJ$11:$AJ$259, COUNTIF($AO$10:$AO168, $AM$11:$AM$259), ""), 0)),"")</f>
        <v/>
      </c>
      <c r="AP169" s="124" t="str">
        <f t="array" ref="AP169">IFERROR(INDEX($AM$11:$AM$259, MATCH(0, IF(TRUE=$AK$11:$AK$259, COUNTIF($AP$10:$AP168, $AM$11:$AM$259), ""), 0)),"")</f>
        <v/>
      </c>
      <c r="AQ169" s="124" t="str">
        <f t="array" ref="AQ169">IFERROR(INDEX($AM$11:$AM$259, MATCH(0, IF(TRUE=$AL$11:$AL$259, COUNTIF($AQ$10:$AQ168, $AM$11:$AM$259), ""), 0)),"")</f>
        <v/>
      </c>
      <c r="AU169" s="30">
        <f t="shared" si="27"/>
        <v>0</v>
      </c>
      <c r="AY169" s="374" t="str">
        <f t="shared" si="26"/>
        <v/>
      </c>
    </row>
    <row r="170" spans="1:51">
      <c r="A170" s="30" t="str">
        <f>IFERROR(INDEX('G-1 All Habitats'!$AG$3:$AG$17,MATCH(E170,'G-1 All Habitats'!$AF$3:$AF$17,0)),"")</f>
        <v/>
      </c>
      <c r="B170" s="30" t="str">
        <f>IFERROR(INDEX('G-8 Condition Look up'!$I$4:$I$135,MATCH(G170,'G-8 Condition Look up'!$A$4:$A$135,0)),"")</f>
        <v/>
      </c>
      <c r="D170" s="110">
        <v>160</v>
      </c>
      <c r="E170" s="339"/>
      <c r="F170" s="340"/>
      <c r="G170" s="295" t="str">
        <f>IFERROR(INDEX('G-1 All Habitats'!$B$3:$B$134,MATCH(F170,'G-1 All Habitats'!$A$3:$A$134,0)),"")</f>
        <v/>
      </c>
      <c r="H170" s="139"/>
      <c r="I170" s="722" t="str">
        <f>IF(G170="","",VLOOKUP(G170,'G-1 All Habitats'!$B$2:$M$134,10,FALSE))</f>
        <v/>
      </c>
      <c r="J170" s="490" t="str">
        <f>IFERROR(VLOOKUP(I170,'G-1 All Habitats'!$V$3:$W$7,2,FALSE),"")</f>
        <v/>
      </c>
      <c r="K170" s="114"/>
      <c r="L170" s="490" t="str">
        <f>IFERROR(INDEX('G-8 Condition Look up'!$A$3:$H$135,MATCH(G170,'G-8 Condition Look up'!$A$3:$A$135,0),MATCH(K170,'G-8 Condition Look up'!$A$3:$H$3,0)),"")</f>
        <v/>
      </c>
      <c r="M170" s="738"/>
      <c r="N170" s="404" t="str">
        <f>IF(M170="","",IF(VLOOKUP(M170,'G-3 Multipliers'!$L$3:$N$6,2,FALSE)=0,"Spatial Data Missing ⚠",VLOOKUP(M170,'G-3 Multipliers'!$L$3:$N$6,2,FALSE)))</f>
        <v/>
      </c>
      <c r="O170" s="452" t="str">
        <f>IF(M170="","",IF(VLOOKUP(M170,'G-3 Multipliers'!$L$3:$N$6,3,FALSE)=0,"Spatial Data Missing ⚠",VLOOKUP(M170,'G-3 Multipliers'!$L$3:$N$6,3,FALSE)))</f>
        <v/>
      </c>
      <c r="P170" s="369" t="str">
        <f>IFERROR(VLOOKUP(G170,'G-1 All Habitats'!$B$2:$M$134,12,FALSE),"")</f>
        <v/>
      </c>
      <c r="Q170" s="725" t="str">
        <f>IFERROR(IF(P170="","",IF(AND(P170='G-1 All Habitats'!$X$3,W170&gt;0),X170+(Y170*S170),IF(AND(P170='G-1 All Habitats'!$X$3,V170&gt;0),X170+(Y170*S170),IF(AND(P170='G-1 All Habitats'!$X$3,AG170&gt;0),"Any Loss Unacceptable  ⚠",IF(AND(P170='G-1 All Habitats'!$X$3,Z170&gt;0),"Any Loss Unacceptable ⚠",H170*J170*L170*O170*S170))))),"Check Data ⚠")</f>
        <v/>
      </c>
      <c r="R170" s="516"/>
      <c r="S170" s="724" t="str">
        <f>IF(R170="","",IF(VLOOKUP(R170,'G-3 Multipliers'!$S$3:$T$10,2,FALSE)=0,"Spatial Data Missing ⚠",VLOOKUP(R170,'G-3 Multipliers'!$S$3:$T$10,2,FALSE)))</f>
        <v/>
      </c>
      <c r="T170" s="376" t="str">
        <f>IFERROR(IF(P170="","",IF(AND(P170='G-1 All Habitats'!$X$3,W170&gt;0),X170+Y170,IF(AND(P170='G-1 All Habitats'!$X$3,V170&gt;0),X170+Y170,IF(AND(P170='G-1 All Habitats'!$X$3,AG170&gt;0),"Any Loss Unacceptable ⚠", IF(R170="","", IF(AND(P170='G-1 All Habitats'!$X$3,Z170&gt;0),"Any Loss Unacceptable ⚠",H170*J170*L170*O170)))))),"Check Data ⚠")</f>
        <v/>
      </c>
      <c r="U170" s="38"/>
      <c r="V170" s="54"/>
      <c r="W170" s="55"/>
      <c r="X170" s="374" t="str">
        <f t="shared" si="21"/>
        <v/>
      </c>
      <c r="Y170" s="374" t="str">
        <f t="shared" si="22"/>
        <v/>
      </c>
      <c r="Z170" s="374" t="str">
        <f>IF(E170="","",IF(H170&lt;V170+W170,"Error in Areas ▲",IF(P170&lt;&gt;'G-1 All Habitats'!$X$3,H170-V170-W170,IF(AND(P170='G-1 All Habitats'!$X$3,AB170="Yes"),"Unacceptable Loss ⚠",IF(AND(P170='G-1 All Habitats'!$X$3,AB170="No"),AG170,IF(AND(P170='G-1 All Habitats'!$X$3,AB170=""),AG170,IF(AND(P170='G-1 All Habitats'!$X$3,AG170="None",AG170),IF(AND(P170='G-1 All Habitats'!$X$3,AG170&gt;0),H170-V170-W170))))))))</f>
        <v/>
      </c>
      <c r="AA170" s="405" t="str">
        <f>IFERROR(IF(H170="","",IF(H170-V170-W170=0&lt;0,"Error in Areas ▲",IF(V170+W170&gt;H170,"Error in Areas ▲",IF(AND(P170='G-1 All Habitats'!$X$3,AB170="Yes"),"Alternative Compensation ✓",IF(Z170=0,0,IF(P170='G-1 All Habitats'!$X$3,"Any Loss Unacceptable ▲",T170-X170-Y170)))))),"Check Data ⚠")</f>
        <v/>
      </c>
      <c r="AB170" s="837"/>
      <c r="AC170" s="119"/>
      <c r="AD170" s="528"/>
      <c r="AE170" s="120"/>
      <c r="AF170" s="687"/>
      <c r="AG170" s="744" t="str">
        <f>IF(P170="","",IF(P170='G-1 All Habitats'!$X$3,H170-V170-W170,"None"))</f>
        <v/>
      </c>
      <c r="AH170" s="744" t="str">
        <f t="shared" si="23"/>
        <v/>
      </c>
      <c r="AJ170" s="124" t="str">
        <f t="shared" si="24"/>
        <v/>
      </c>
      <c r="AK170" s="124" t="str">
        <f t="shared" si="25"/>
        <v/>
      </c>
      <c r="AL170" s="124" t="str">
        <f>IF(I170="","",IF(#REF!&gt;0,TRUE,FALSE))</f>
        <v/>
      </c>
      <c r="AM170" s="124">
        <v>160</v>
      </c>
      <c r="AN170" s="124"/>
      <c r="AO170" s="124" t="str">
        <f t="array" ref="AO170">IFERROR(INDEX($AM$11:$AM$259, MATCH(0, IF(TRUE=$AJ$11:$AJ$259, COUNTIF($AO$10:$AO169, $AM$11:$AM$259), ""), 0)),"")</f>
        <v/>
      </c>
      <c r="AP170" s="124" t="str">
        <f t="array" ref="AP170">IFERROR(INDEX($AM$11:$AM$259, MATCH(0, IF(TRUE=$AK$11:$AK$259, COUNTIF($AP$10:$AP169, $AM$11:$AM$259), ""), 0)),"")</f>
        <v/>
      </c>
      <c r="AQ170" s="124" t="str">
        <f t="array" ref="AQ170">IFERROR(INDEX($AM$11:$AM$259, MATCH(0, IF(TRUE=$AL$11:$AL$259, COUNTIF($AQ$10:$AQ169, $AM$11:$AM$259), ""), 0)),"")</f>
        <v/>
      </c>
      <c r="AU170" s="30">
        <f t="shared" si="27"/>
        <v>0</v>
      </c>
      <c r="AY170" s="374" t="str">
        <f t="shared" si="26"/>
        <v/>
      </c>
    </row>
    <row r="171" spans="1:51">
      <c r="A171" s="30" t="str">
        <f>IFERROR(INDEX('G-1 All Habitats'!$AG$3:$AG$17,MATCH(E171,'G-1 All Habitats'!$AF$3:$AF$17,0)),"")</f>
        <v/>
      </c>
      <c r="B171" s="30" t="str">
        <f>IFERROR(INDEX('G-8 Condition Look up'!$I$4:$I$135,MATCH(G171,'G-8 Condition Look up'!$A$4:$A$135,0)),"")</f>
        <v/>
      </c>
      <c r="D171" s="110">
        <v>161</v>
      </c>
      <c r="E171" s="339"/>
      <c r="F171" s="340"/>
      <c r="G171" s="295" t="str">
        <f>IFERROR(INDEX('G-1 All Habitats'!$B$3:$B$134,MATCH(F171,'G-1 All Habitats'!$A$3:$A$134,0)),"")</f>
        <v/>
      </c>
      <c r="H171" s="139"/>
      <c r="I171" s="722" t="str">
        <f>IF(G171="","",VLOOKUP(G171,'G-1 All Habitats'!$B$2:$M$134,10,FALSE))</f>
        <v/>
      </c>
      <c r="J171" s="490" t="str">
        <f>IFERROR(VLOOKUP(I171,'G-1 All Habitats'!$V$3:$W$7,2,FALSE),"")</f>
        <v/>
      </c>
      <c r="K171" s="114"/>
      <c r="L171" s="490" t="str">
        <f>IFERROR(INDEX('G-8 Condition Look up'!$A$3:$H$135,MATCH(G171,'G-8 Condition Look up'!$A$3:$A$135,0),MATCH(K171,'G-8 Condition Look up'!$A$3:$H$3,0)),"")</f>
        <v/>
      </c>
      <c r="M171" s="738"/>
      <c r="N171" s="404" t="str">
        <f>IF(M171="","",IF(VLOOKUP(M171,'G-3 Multipliers'!$L$3:$N$6,2,FALSE)=0,"Spatial Data Missing ⚠",VLOOKUP(M171,'G-3 Multipliers'!$L$3:$N$6,2,FALSE)))</f>
        <v/>
      </c>
      <c r="O171" s="452" t="str">
        <f>IF(M171="","",IF(VLOOKUP(M171,'G-3 Multipliers'!$L$3:$N$6,3,FALSE)=0,"Spatial Data Missing ⚠",VLOOKUP(M171,'G-3 Multipliers'!$L$3:$N$6,3,FALSE)))</f>
        <v/>
      </c>
      <c r="P171" s="369" t="str">
        <f>IFERROR(VLOOKUP(G171,'G-1 All Habitats'!$B$2:$M$134,12,FALSE),"")</f>
        <v/>
      </c>
      <c r="Q171" s="725" t="str">
        <f>IFERROR(IF(P171="","",IF(AND(P171='G-1 All Habitats'!$X$3,W171&gt;0),X171+(Y171*S171),IF(AND(P171='G-1 All Habitats'!$X$3,V171&gt;0),X171+(Y171*S171),IF(AND(P171='G-1 All Habitats'!$X$3,AG171&gt;0),"Any Loss Unacceptable  ⚠",IF(AND(P171='G-1 All Habitats'!$X$3,Z171&gt;0),"Any Loss Unacceptable ⚠",H171*J171*L171*O171*S171))))),"Check Data ⚠")</f>
        <v/>
      </c>
      <c r="R171" s="516"/>
      <c r="S171" s="724" t="str">
        <f>IF(R171="","",IF(VLOOKUP(R171,'G-3 Multipliers'!$S$3:$T$10,2,FALSE)=0,"Spatial Data Missing ⚠",VLOOKUP(R171,'G-3 Multipliers'!$S$3:$T$10,2,FALSE)))</f>
        <v/>
      </c>
      <c r="T171" s="376" t="str">
        <f>IFERROR(IF(P171="","",IF(AND(P171='G-1 All Habitats'!$X$3,W171&gt;0),X171+Y171,IF(AND(P171='G-1 All Habitats'!$X$3,V171&gt;0),X171+Y171,IF(AND(P171='G-1 All Habitats'!$X$3,AG171&gt;0),"Any Loss Unacceptable ⚠", IF(R171="","", IF(AND(P171='G-1 All Habitats'!$X$3,Z171&gt;0),"Any Loss Unacceptable ⚠",H171*J171*L171*O171)))))),"Check Data ⚠")</f>
        <v/>
      </c>
      <c r="U171" s="38"/>
      <c r="V171" s="54"/>
      <c r="W171" s="55"/>
      <c r="X171" s="374" t="str">
        <f t="shared" si="21"/>
        <v/>
      </c>
      <c r="Y171" s="374" t="str">
        <f t="shared" si="22"/>
        <v/>
      </c>
      <c r="Z171" s="374" t="str">
        <f>IF(E171="","",IF(H171&lt;V171+W171,"Error in Areas ▲",IF(P171&lt;&gt;'G-1 All Habitats'!$X$3,H171-V171-W171,IF(AND(P171='G-1 All Habitats'!$X$3,AB171="Yes"),"Unacceptable Loss ⚠",IF(AND(P171='G-1 All Habitats'!$X$3,AB171="No"),AG171,IF(AND(P171='G-1 All Habitats'!$X$3,AB171=""),AG171,IF(AND(P171='G-1 All Habitats'!$X$3,AG171="None",AG171),IF(AND(P171='G-1 All Habitats'!$X$3,AG171&gt;0),H171-V171-W171))))))))</f>
        <v/>
      </c>
      <c r="AA171" s="405" t="str">
        <f>IFERROR(IF(H171="","",IF(H171-V171-W171=0&lt;0,"Error in Areas ▲",IF(V171+W171&gt;H171,"Error in Areas ▲",IF(AND(P171='G-1 All Habitats'!$X$3,AB171="Yes"),"Alternative Compensation ✓",IF(Z171=0,0,IF(P171='G-1 All Habitats'!$X$3,"Any Loss Unacceptable ▲",T171-X171-Y171)))))),"Check Data ⚠")</f>
        <v/>
      </c>
      <c r="AB171" s="837"/>
      <c r="AC171" s="119"/>
      <c r="AD171" s="528"/>
      <c r="AE171" s="120"/>
      <c r="AF171" s="687"/>
      <c r="AG171" s="744" t="str">
        <f>IF(P171="","",IF(P171='G-1 All Habitats'!$X$3,H171-V171-W171,"None"))</f>
        <v/>
      </c>
      <c r="AH171" s="744" t="str">
        <f t="shared" si="23"/>
        <v/>
      </c>
      <c r="AJ171" s="124" t="str">
        <f t="shared" ref="AJ171:AJ202" si="28">IF(G171="","",IF(V171&gt;0,TRUE,FALSE))</f>
        <v/>
      </c>
      <c r="AK171" s="124" t="str">
        <f t="shared" ref="AK171:AK202" si="29">IF(H171="","",IF(W171&gt;0,TRUE,FALSE))</f>
        <v/>
      </c>
      <c r="AL171" s="124" t="str">
        <f>IF(I171="","",IF(#REF!&gt;0,TRUE,FALSE))</f>
        <v/>
      </c>
      <c r="AM171" s="124">
        <v>161</v>
      </c>
      <c r="AN171" s="124"/>
      <c r="AO171" s="124" t="str">
        <f t="array" ref="AO171">IFERROR(INDEX($AM$11:$AM$259, MATCH(0, IF(TRUE=$AJ$11:$AJ$259, COUNTIF($AO$10:$AO170, $AM$11:$AM$259), ""), 0)),"")</f>
        <v/>
      </c>
      <c r="AP171" s="124" t="str">
        <f t="array" ref="AP171">IFERROR(INDEX($AM$11:$AM$259, MATCH(0, IF(TRUE=$AK$11:$AK$259, COUNTIF($AP$10:$AP170, $AM$11:$AM$259), ""), 0)),"")</f>
        <v/>
      </c>
      <c r="AQ171" s="124" t="str">
        <f t="array" ref="AQ171">IFERROR(INDEX($AM$11:$AM$259, MATCH(0, IF(TRUE=$AL$11:$AL$259, COUNTIF($AQ$10:$AQ170, $AM$11:$AM$259), ""), 0)),"")</f>
        <v/>
      </c>
      <c r="AU171" s="30">
        <f t="shared" si="27"/>
        <v>0</v>
      </c>
      <c r="AY171" s="374" t="str">
        <f t="shared" si="26"/>
        <v/>
      </c>
    </row>
    <row r="172" spans="1:51">
      <c r="A172" s="30" t="str">
        <f>IFERROR(INDEX('G-1 All Habitats'!$AG$3:$AG$17,MATCH(E172,'G-1 All Habitats'!$AF$3:$AF$17,0)),"")</f>
        <v/>
      </c>
      <c r="B172" s="30" t="str">
        <f>IFERROR(INDEX('G-8 Condition Look up'!$I$4:$I$135,MATCH(G172,'G-8 Condition Look up'!$A$4:$A$135,0)),"")</f>
        <v/>
      </c>
      <c r="D172" s="110">
        <v>162</v>
      </c>
      <c r="E172" s="339"/>
      <c r="F172" s="340"/>
      <c r="G172" s="295" t="str">
        <f>IFERROR(INDEX('G-1 All Habitats'!$B$3:$B$134,MATCH(F172,'G-1 All Habitats'!$A$3:$A$134,0)),"")</f>
        <v/>
      </c>
      <c r="H172" s="139"/>
      <c r="I172" s="722" t="str">
        <f>IF(G172="","",VLOOKUP(G172,'G-1 All Habitats'!$B$2:$M$134,10,FALSE))</f>
        <v/>
      </c>
      <c r="J172" s="490" t="str">
        <f>IFERROR(VLOOKUP(I172,'G-1 All Habitats'!$V$3:$W$7,2,FALSE),"")</f>
        <v/>
      </c>
      <c r="K172" s="114"/>
      <c r="L172" s="490" t="str">
        <f>IFERROR(INDEX('G-8 Condition Look up'!$A$3:$H$135,MATCH(G172,'G-8 Condition Look up'!$A$3:$A$135,0),MATCH(K172,'G-8 Condition Look up'!$A$3:$H$3,0)),"")</f>
        <v/>
      </c>
      <c r="M172" s="738"/>
      <c r="N172" s="404" t="str">
        <f>IF(M172="","",IF(VLOOKUP(M172,'G-3 Multipliers'!$L$3:$N$6,2,FALSE)=0,"Spatial Data Missing ⚠",VLOOKUP(M172,'G-3 Multipliers'!$L$3:$N$6,2,FALSE)))</f>
        <v/>
      </c>
      <c r="O172" s="452" t="str">
        <f>IF(M172="","",IF(VLOOKUP(M172,'G-3 Multipliers'!$L$3:$N$6,3,FALSE)=0,"Spatial Data Missing ⚠",VLOOKUP(M172,'G-3 Multipliers'!$L$3:$N$6,3,FALSE)))</f>
        <v/>
      </c>
      <c r="P172" s="369" t="str">
        <f>IFERROR(VLOOKUP(G172,'G-1 All Habitats'!$B$2:$M$134,12,FALSE),"")</f>
        <v/>
      </c>
      <c r="Q172" s="725" t="str">
        <f>IFERROR(IF(P172="","",IF(AND(P172='G-1 All Habitats'!$X$3,W172&gt;0),X172+(Y172*S172),IF(AND(P172='G-1 All Habitats'!$X$3,V172&gt;0),X172+(Y172*S172),IF(AND(P172='G-1 All Habitats'!$X$3,AG172&gt;0),"Any Loss Unacceptable  ⚠",IF(AND(P172='G-1 All Habitats'!$X$3,Z172&gt;0),"Any Loss Unacceptable ⚠",H172*J172*L172*O172*S172))))),"Check Data ⚠")</f>
        <v/>
      </c>
      <c r="R172" s="516"/>
      <c r="S172" s="724" t="str">
        <f>IF(R172="","",IF(VLOOKUP(R172,'G-3 Multipliers'!$S$3:$T$10,2,FALSE)=0,"Spatial Data Missing ⚠",VLOOKUP(R172,'G-3 Multipliers'!$S$3:$T$10,2,FALSE)))</f>
        <v/>
      </c>
      <c r="T172" s="376" t="str">
        <f>IFERROR(IF(P172="","",IF(AND(P172='G-1 All Habitats'!$X$3,W172&gt;0),X172+Y172,IF(AND(P172='G-1 All Habitats'!$X$3,V172&gt;0),X172+Y172,IF(AND(P172='G-1 All Habitats'!$X$3,AG172&gt;0),"Any Loss Unacceptable ⚠", IF(R172="","", IF(AND(P172='G-1 All Habitats'!$X$3,Z172&gt;0),"Any Loss Unacceptable ⚠",H172*J172*L172*O172)))))),"Check Data ⚠")</f>
        <v/>
      </c>
      <c r="U172" s="38"/>
      <c r="V172" s="54"/>
      <c r="W172" s="55"/>
      <c r="X172" s="374" t="str">
        <f t="shared" si="21"/>
        <v/>
      </c>
      <c r="Y172" s="374" t="str">
        <f t="shared" si="22"/>
        <v/>
      </c>
      <c r="Z172" s="374" t="str">
        <f>IF(E172="","",IF(H172&lt;V172+W172,"Error in Areas ▲",IF(P172&lt;&gt;'G-1 All Habitats'!$X$3,H172-V172-W172,IF(AND(P172='G-1 All Habitats'!$X$3,AB172="Yes"),"Unacceptable Loss ⚠",IF(AND(P172='G-1 All Habitats'!$X$3,AB172="No"),AG172,IF(AND(P172='G-1 All Habitats'!$X$3,AB172=""),AG172,IF(AND(P172='G-1 All Habitats'!$X$3,AG172="None",AG172),IF(AND(P172='G-1 All Habitats'!$X$3,AG172&gt;0),H172-V172-W172))))))))</f>
        <v/>
      </c>
      <c r="AA172" s="405" t="str">
        <f>IFERROR(IF(H172="","",IF(H172-V172-W172=0&lt;0,"Error in Areas ▲",IF(V172+W172&gt;H172,"Error in Areas ▲",IF(AND(P172='G-1 All Habitats'!$X$3,AB172="Yes"),"Alternative Compensation ✓",IF(Z172=0,0,IF(P172='G-1 All Habitats'!$X$3,"Any Loss Unacceptable ▲",T172-X172-Y172)))))),"Check Data ⚠")</f>
        <v/>
      </c>
      <c r="AB172" s="837"/>
      <c r="AC172" s="119"/>
      <c r="AD172" s="528"/>
      <c r="AE172" s="120"/>
      <c r="AF172" s="687"/>
      <c r="AG172" s="744" t="str">
        <f>IF(P172="","",IF(P172='G-1 All Habitats'!$X$3,H172-V172-W172,"None"))</f>
        <v/>
      </c>
      <c r="AH172" s="744" t="str">
        <f t="shared" si="23"/>
        <v/>
      </c>
      <c r="AJ172" s="124" t="str">
        <f t="shared" si="28"/>
        <v/>
      </c>
      <c r="AK172" s="124" t="str">
        <f t="shared" si="29"/>
        <v/>
      </c>
      <c r="AL172" s="124" t="str">
        <f>IF(I172="","",IF(#REF!&gt;0,TRUE,FALSE))</f>
        <v/>
      </c>
      <c r="AM172" s="124">
        <v>162</v>
      </c>
      <c r="AN172" s="124"/>
      <c r="AO172" s="124" t="str">
        <f t="array" ref="AO172">IFERROR(INDEX($AM$11:$AM$259, MATCH(0, IF(TRUE=$AJ$11:$AJ$259, COUNTIF($AO$10:$AO171, $AM$11:$AM$259), ""), 0)),"")</f>
        <v/>
      </c>
      <c r="AP172" s="124" t="str">
        <f t="array" ref="AP172">IFERROR(INDEX($AM$11:$AM$259, MATCH(0, IF(TRUE=$AK$11:$AK$259, COUNTIF($AP$10:$AP171, $AM$11:$AM$259), ""), 0)),"")</f>
        <v/>
      </c>
      <c r="AQ172" s="124" t="str">
        <f t="array" ref="AQ172">IFERROR(INDEX($AM$11:$AM$259, MATCH(0, IF(TRUE=$AL$11:$AL$259, COUNTIF($AQ$10:$AQ171, $AM$11:$AM$259), ""), 0)),"")</f>
        <v/>
      </c>
      <c r="AU172" s="30">
        <f t="shared" si="27"/>
        <v>0</v>
      </c>
      <c r="AY172" s="374" t="str">
        <f t="shared" si="26"/>
        <v/>
      </c>
    </row>
    <row r="173" spans="1:51">
      <c r="A173" s="30" t="str">
        <f>IFERROR(INDEX('G-1 All Habitats'!$AG$3:$AG$17,MATCH(E173,'G-1 All Habitats'!$AF$3:$AF$17,0)),"")</f>
        <v/>
      </c>
      <c r="B173" s="30" t="str">
        <f>IFERROR(INDEX('G-8 Condition Look up'!$I$4:$I$135,MATCH(G173,'G-8 Condition Look up'!$A$4:$A$135,0)),"")</f>
        <v/>
      </c>
      <c r="D173" s="110">
        <v>163</v>
      </c>
      <c r="E173" s="339"/>
      <c r="F173" s="340"/>
      <c r="G173" s="295" t="str">
        <f>IFERROR(INDEX('G-1 All Habitats'!$B$3:$B$134,MATCH(F173,'G-1 All Habitats'!$A$3:$A$134,0)),"")</f>
        <v/>
      </c>
      <c r="H173" s="139"/>
      <c r="I173" s="722" t="str">
        <f>IF(G173="","",VLOOKUP(G173,'G-1 All Habitats'!$B$2:$M$134,10,FALSE))</f>
        <v/>
      </c>
      <c r="J173" s="490" t="str">
        <f>IFERROR(VLOOKUP(I173,'G-1 All Habitats'!$V$3:$W$7,2,FALSE),"")</f>
        <v/>
      </c>
      <c r="K173" s="114"/>
      <c r="L173" s="490" t="str">
        <f>IFERROR(INDEX('G-8 Condition Look up'!$A$3:$H$135,MATCH(G173,'G-8 Condition Look up'!$A$3:$A$135,0),MATCH(K173,'G-8 Condition Look up'!$A$3:$H$3,0)),"")</f>
        <v/>
      </c>
      <c r="M173" s="738"/>
      <c r="N173" s="404" t="str">
        <f>IF(M173="","",IF(VLOOKUP(M173,'G-3 Multipliers'!$L$3:$N$6,2,FALSE)=0,"Spatial Data Missing ⚠",VLOOKUP(M173,'G-3 Multipliers'!$L$3:$N$6,2,FALSE)))</f>
        <v/>
      </c>
      <c r="O173" s="452" t="str">
        <f>IF(M173="","",IF(VLOOKUP(M173,'G-3 Multipliers'!$L$3:$N$6,3,FALSE)=0,"Spatial Data Missing ⚠",VLOOKUP(M173,'G-3 Multipliers'!$L$3:$N$6,3,FALSE)))</f>
        <v/>
      </c>
      <c r="P173" s="369" t="str">
        <f>IFERROR(VLOOKUP(G173,'G-1 All Habitats'!$B$2:$M$134,12,FALSE),"")</f>
        <v/>
      </c>
      <c r="Q173" s="725" t="str">
        <f>IFERROR(IF(P173="","",IF(AND(P173='G-1 All Habitats'!$X$3,W173&gt;0),X173+(Y173*S173),IF(AND(P173='G-1 All Habitats'!$X$3,V173&gt;0),X173+(Y173*S173),IF(AND(P173='G-1 All Habitats'!$X$3,AG173&gt;0),"Any Loss Unacceptable  ⚠",IF(AND(P173='G-1 All Habitats'!$X$3,Z173&gt;0),"Any Loss Unacceptable ⚠",H173*J173*L173*O173*S173))))),"Check Data ⚠")</f>
        <v/>
      </c>
      <c r="R173" s="516"/>
      <c r="S173" s="724" t="str">
        <f>IF(R173="","",IF(VLOOKUP(R173,'G-3 Multipliers'!$S$3:$T$10,2,FALSE)=0,"Spatial Data Missing ⚠",VLOOKUP(R173,'G-3 Multipliers'!$S$3:$T$10,2,FALSE)))</f>
        <v/>
      </c>
      <c r="T173" s="376" t="str">
        <f>IFERROR(IF(P173="","",IF(AND(P173='G-1 All Habitats'!$X$3,W173&gt;0),X173+Y173,IF(AND(P173='G-1 All Habitats'!$X$3,V173&gt;0),X173+Y173,IF(AND(P173='G-1 All Habitats'!$X$3,AG173&gt;0),"Any Loss Unacceptable ⚠", IF(R173="","", IF(AND(P173='G-1 All Habitats'!$X$3,Z173&gt;0),"Any Loss Unacceptable ⚠",H173*J173*L173*O173)))))),"Check Data ⚠")</f>
        <v/>
      </c>
      <c r="U173" s="38"/>
      <c r="V173" s="54"/>
      <c r="W173" s="55"/>
      <c r="X173" s="374" t="str">
        <f t="shared" si="21"/>
        <v/>
      </c>
      <c r="Y173" s="374" t="str">
        <f t="shared" si="22"/>
        <v/>
      </c>
      <c r="Z173" s="374" t="str">
        <f>IF(E173="","",IF(H173&lt;V173+W173,"Error in Areas ▲",IF(P173&lt;&gt;'G-1 All Habitats'!$X$3,H173-V173-W173,IF(AND(P173='G-1 All Habitats'!$X$3,AB173="Yes"),"Unacceptable Loss ⚠",IF(AND(P173='G-1 All Habitats'!$X$3,AB173="No"),AG173,IF(AND(P173='G-1 All Habitats'!$X$3,AB173=""),AG173,IF(AND(P173='G-1 All Habitats'!$X$3,AG173="None",AG173),IF(AND(P173='G-1 All Habitats'!$X$3,AG173&gt;0),H173-V173-W173))))))))</f>
        <v/>
      </c>
      <c r="AA173" s="405" t="str">
        <f>IFERROR(IF(H173="","",IF(H173-V173-W173=0&lt;0,"Error in Areas ▲",IF(V173+W173&gt;H173,"Error in Areas ▲",IF(AND(P173='G-1 All Habitats'!$X$3,AB173="Yes"),"Alternative Compensation ✓",IF(Z173=0,0,IF(P173='G-1 All Habitats'!$X$3,"Any Loss Unacceptable ▲",T173-X173-Y173)))))),"Check Data ⚠")</f>
        <v/>
      </c>
      <c r="AB173" s="837"/>
      <c r="AC173" s="119"/>
      <c r="AD173" s="528"/>
      <c r="AE173" s="120"/>
      <c r="AF173" s="687"/>
      <c r="AG173" s="744" t="str">
        <f>IF(P173="","",IF(P173='G-1 All Habitats'!$X$3,H173-V173-W173,"None"))</f>
        <v/>
      </c>
      <c r="AH173" s="744" t="str">
        <f t="shared" si="23"/>
        <v/>
      </c>
      <c r="AJ173" s="124" t="str">
        <f t="shared" si="28"/>
        <v/>
      </c>
      <c r="AK173" s="124" t="str">
        <f t="shared" si="29"/>
        <v/>
      </c>
      <c r="AL173" s="124" t="str">
        <f>IF(I173="","",IF(#REF!&gt;0,TRUE,FALSE))</f>
        <v/>
      </c>
      <c r="AM173" s="124">
        <v>163</v>
      </c>
      <c r="AN173" s="124"/>
      <c r="AO173" s="124" t="str">
        <f t="array" ref="AO173">IFERROR(INDEX($AM$11:$AM$259, MATCH(0, IF(TRUE=$AJ$11:$AJ$259, COUNTIF($AO$10:$AO172, $AM$11:$AM$259), ""), 0)),"")</f>
        <v/>
      </c>
      <c r="AP173" s="124" t="str">
        <f t="array" ref="AP173">IFERROR(INDEX($AM$11:$AM$259, MATCH(0, IF(TRUE=$AK$11:$AK$259, COUNTIF($AP$10:$AP172, $AM$11:$AM$259), ""), 0)),"")</f>
        <v/>
      </c>
      <c r="AQ173" s="124" t="str">
        <f t="array" ref="AQ173">IFERROR(INDEX($AM$11:$AM$259, MATCH(0, IF(TRUE=$AL$11:$AL$259, COUNTIF($AQ$10:$AQ172, $AM$11:$AM$259), ""), 0)),"")</f>
        <v/>
      </c>
      <c r="AU173" s="30">
        <f t="shared" si="27"/>
        <v>0</v>
      </c>
      <c r="AY173" s="374" t="str">
        <f t="shared" si="26"/>
        <v/>
      </c>
    </row>
    <row r="174" spans="1:51">
      <c r="A174" s="30" t="str">
        <f>IFERROR(INDEX('G-1 All Habitats'!$AG$3:$AG$17,MATCH(E174,'G-1 All Habitats'!$AF$3:$AF$17,0)),"")</f>
        <v/>
      </c>
      <c r="B174" s="30" t="str">
        <f>IFERROR(INDEX('G-8 Condition Look up'!$I$4:$I$135,MATCH(G174,'G-8 Condition Look up'!$A$4:$A$135,0)),"")</f>
        <v/>
      </c>
      <c r="D174" s="110">
        <v>164</v>
      </c>
      <c r="E174" s="339"/>
      <c r="F174" s="340"/>
      <c r="G174" s="295" t="str">
        <f>IFERROR(INDEX('G-1 All Habitats'!$B$3:$B$134,MATCH(F174,'G-1 All Habitats'!$A$3:$A$134,0)),"")</f>
        <v/>
      </c>
      <c r="H174" s="139"/>
      <c r="I174" s="722" t="str">
        <f>IF(G174="","",VLOOKUP(G174,'G-1 All Habitats'!$B$2:$M$134,10,FALSE))</f>
        <v/>
      </c>
      <c r="J174" s="490" t="str">
        <f>IFERROR(VLOOKUP(I174,'G-1 All Habitats'!$V$3:$W$7,2,FALSE),"")</f>
        <v/>
      </c>
      <c r="K174" s="114"/>
      <c r="L174" s="490" t="str">
        <f>IFERROR(INDEX('G-8 Condition Look up'!$A$3:$H$135,MATCH(G174,'G-8 Condition Look up'!$A$3:$A$135,0),MATCH(K174,'G-8 Condition Look up'!$A$3:$H$3,0)),"")</f>
        <v/>
      </c>
      <c r="M174" s="738"/>
      <c r="N174" s="404" t="str">
        <f>IF(M174="","",IF(VLOOKUP(M174,'G-3 Multipliers'!$L$3:$N$6,2,FALSE)=0,"Spatial Data Missing ⚠",VLOOKUP(M174,'G-3 Multipliers'!$L$3:$N$6,2,FALSE)))</f>
        <v/>
      </c>
      <c r="O174" s="452" t="str">
        <f>IF(M174="","",IF(VLOOKUP(M174,'G-3 Multipliers'!$L$3:$N$6,3,FALSE)=0,"Spatial Data Missing ⚠",VLOOKUP(M174,'G-3 Multipliers'!$L$3:$N$6,3,FALSE)))</f>
        <v/>
      </c>
      <c r="P174" s="369" t="str">
        <f>IFERROR(VLOOKUP(G174,'G-1 All Habitats'!$B$2:$M$134,12,FALSE),"")</f>
        <v/>
      </c>
      <c r="Q174" s="725" t="str">
        <f>IFERROR(IF(P174="","",IF(AND(P174='G-1 All Habitats'!$X$3,W174&gt;0),X174+(Y174*S174),IF(AND(P174='G-1 All Habitats'!$X$3,V174&gt;0),X174+(Y174*S174),IF(AND(P174='G-1 All Habitats'!$X$3,AG174&gt;0),"Any Loss Unacceptable  ⚠",IF(AND(P174='G-1 All Habitats'!$X$3,Z174&gt;0),"Any Loss Unacceptable ⚠",H174*J174*L174*O174*S174))))),"Check Data ⚠")</f>
        <v/>
      </c>
      <c r="R174" s="516"/>
      <c r="S174" s="724" t="str">
        <f>IF(R174="","",IF(VLOOKUP(R174,'G-3 Multipliers'!$S$3:$T$10,2,FALSE)=0,"Spatial Data Missing ⚠",VLOOKUP(R174,'G-3 Multipliers'!$S$3:$T$10,2,FALSE)))</f>
        <v/>
      </c>
      <c r="T174" s="376" t="str">
        <f>IFERROR(IF(P174="","",IF(AND(P174='G-1 All Habitats'!$X$3,W174&gt;0),X174+Y174,IF(AND(P174='G-1 All Habitats'!$X$3,V174&gt;0),X174+Y174,IF(AND(P174='G-1 All Habitats'!$X$3,AG174&gt;0),"Any Loss Unacceptable ⚠", IF(R174="","", IF(AND(P174='G-1 All Habitats'!$X$3,Z174&gt;0),"Any Loss Unacceptable ⚠",H174*J174*L174*O174)))))),"Check Data ⚠")</f>
        <v/>
      </c>
      <c r="U174" s="38"/>
      <c r="V174" s="54"/>
      <c r="W174" s="55"/>
      <c r="X174" s="374" t="str">
        <f t="shared" si="21"/>
        <v/>
      </c>
      <c r="Y174" s="374" t="str">
        <f t="shared" si="22"/>
        <v/>
      </c>
      <c r="Z174" s="374" t="str">
        <f>IF(E174="","",IF(H174&lt;V174+W174,"Error in Areas ▲",IF(P174&lt;&gt;'G-1 All Habitats'!$X$3,H174-V174-W174,IF(AND(P174='G-1 All Habitats'!$X$3,AB174="Yes"),"Unacceptable Loss ⚠",IF(AND(P174='G-1 All Habitats'!$X$3,AB174="No"),AG174,IF(AND(P174='G-1 All Habitats'!$X$3,AB174=""),AG174,IF(AND(P174='G-1 All Habitats'!$X$3,AG174="None",AG174),IF(AND(P174='G-1 All Habitats'!$X$3,AG174&gt;0),H174-V174-W174))))))))</f>
        <v/>
      </c>
      <c r="AA174" s="405" t="str">
        <f>IFERROR(IF(H174="","",IF(H174-V174-W174=0&lt;0,"Error in Areas ▲",IF(V174+W174&gt;H174,"Error in Areas ▲",IF(AND(P174='G-1 All Habitats'!$X$3,AB174="Yes"),"Alternative Compensation ✓",IF(Z174=0,0,IF(P174='G-1 All Habitats'!$X$3,"Any Loss Unacceptable ▲",T174-X174-Y174)))))),"Check Data ⚠")</f>
        <v/>
      </c>
      <c r="AB174" s="837"/>
      <c r="AC174" s="119"/>
      <c r="AD174" s="528"/>
      <c r="AE174" s="120"/>
      <c r="AF174" s="687"/>
      <c r="AG174" s="744" t="str">
        <f>IF(P174="","",IF(P174='G-1 All Habitats'!$X$3,H174-V174-W174,"None"))</f>
        <v/>
      </c>
      <c r="AH174" s="744" t="str">
        <f t="shared" si="23"/>
        <v/>
      </c>
      <c r="AJ174" s="124" t="str">
        <f t="shared" si="28"/>
        <v/>
      </c>
      <c r="AK174" s="124" t="str">
        <f t="shared" si="29"/>
        <v/>
      </c>
      <c r="AL174" s="124" t="str">
        <f>IF(I174="","",IF(#REF!&gt;0,TRUE,FALSE))</f>
        <v/>
      </c>
      <c r="AM174" s="124">
        <v>164</v>
      </c>
      <c r="AN174" s="124"/>
      <c r="AO174" s="124" t="str">
        <f t="array" ref="AO174">IFERROR(INDEX($AM$11:$AM$259, MATCH(0, IF(TRUE=$AJ$11:$AJ$259, COUNTIF($AO$10:$AO173, $AM$11:$AM$259), ""), 0)),"")</f>
        <v/>
      </c>
      <c r="AP174" s="124" t="str">
        <f t="array" ref="AP174">IFERROR(INDEX($AM$11:$AM$259, MATCH(0, IF(TRUE=$AK$11:$AK$259, COUNTIF($AP$10:$AP173, $AM$11:$AM$259), ""), 0)),"")</f>
        <v/>
      </c>
      <c r="AQ174" s="124" t="str">
        <f t="array" ref="AQ174">IFERROR(INDEX($AM$11:$AM$259, MATCH(0, IF(TRUE=$AL$11:$AL$259, COUNTIF($AQ$10:$AQ173, $AM$11:$AM$259), ""), 0)),"")</f>
        <v/>
      </c>
      <c r="AU174" s="30">
        <f t="shared" si="27"/>
        <v>0</v>
      </c>
      <c r="AY174" s="374" t="str">
        <f t="shared" si="26"/>
        <v/>
      </c>
    </row>
    <row r="175" spans="1:51">
      <c r="A175" s="30" t="str">
        <f>IFERROR(INDEX('G-1 All Habitats'!$AG$3:$AG$17,MATCH(E175,'G-1 All Habitats'!$AF$3:$AF$17,0)),"")</f>
        <v/>
      </c>
      <c r="B175" s="30" t="str">
        <f>IFERROR(INDEX('G-8 Condition Look up'!$I$4:$I$135,MATCH(G175,'G-8 Condition Look up'!$A$4:$A$135,0)),"")</f>
        <v/>
      </c>
      <c r="D175" s="110">
        <v>165</v>
      </c>
      <c r="E175" s="339"/>
      <c r="F175" s="340"/>
      <c r="G175" s="295" t="str">
        <f>IFERROR(INDEX('G-1 All Habitats'!$B$3:$B$134,MATCH(F175,'G-1 All Habitats'!$A$3:$A$134,0)),"")</f>
        <v/>
      </c>
      <c r="H175" s="139"/>
      <c r="I175" s="722" t="str">
        <f>IF(G175="","",VLOOKUP(G175,'G-1 All Habitats'!$B$2:$M$134,10,FALSE))</f>
        <v/>
      </c>
      <c r="J175" s="490" t="str">
        <f>IFERROR(VLOOKUP(I175,'G-1 All Habitats'!$V$3:$W$7,2,FALSE),"")</f>
        <v/>
      </c>
      <c r="K175" s="114"/>
      <c r="L175" s="490" t="str">
        <f>IFERROR(INDEX('G-8 Condition Look up'!$A$3:$H$135,MATCH(G175,'G-8 Condition Look up'!$A$3:$A$135,0),MATCH(K175,'G-8 Condition Look up'!$A$3:$H$3,0)),"")</f>
        <v/>
      </c>
      <c r="M175" s="738"/>
      <c r="N175" s="404" t="str">
        <f>IF(M175="","",IF(VLOOKUP(M175,'G-3 Multipliers'!$L$3:$N$6,2,FALSE)=0,"Spatial Data Missing ⚠",VLOOKUP(M175,'G-3 Multipliers'!$L$3:$N$6,2,FALSE)))</f>
        <v/>
      </c>
      <c r="O175" s="452" t="str">
        <f>IF(M175="","",IF(VLOOKUP(M175,'G-3 Multipliers'!$L$3:$N$6,3,FALSE)=0,"Spatial Data Missing ⚠",VLOOKUP(M175,'G-3 Multipliers'!$L$3:$N$6,3,FALSE)))</f>
        <v/>
      </c>
      <c r="P175" s="369" t="str">
        <f>IFERROR(VLOOKUP(G175,'G-1 All Habitats'!$B$2:$M$134,12,FALSE),"")</f>
        <v/>
      </c>
      <c r="Q175" s="725" t="str">
        <f>IFERROR(IF(P175="","",IF(AND(P175='G-1 All Habitats'!$X$3,W175&gt;0),X175+(Y175*S175),IF(AND(P175='G-1 All Habitats'!$X$3,V175&gt;0),X175+(Y175*S175),IF(AND(P175='G-1 All Habitats'!$X$3,AG175&gt;0),"Any Loss Unacceptable  ⚠",IF(AND(P175='G-1 All Habitats'!$X$3,Z175&gt;0),"Any Loss Unacceptable ⚠",H175*J175*L175*O175*S175))))),"Check Data ⚠")</f>
        <v/>
      </c>
      <c r="R175" s="516"/>
      <c r="S175" s="724" t="str">
        <f>IF(R175="","",IF(VLOOKUP(R175,'G-3 Multipliers'!$S$3:$T$10,2,FALSE)=0,"Spatial Data Missing ⚠",VLOOKUP(R175,'G-3 Multipliers'!$S$3:$T$10,2,FALSE)))</f>
        <v/>
      </c>
      <c r="T175" s="376" t="str">
        <f>IFERROR(IF(P175="","",IF(AND(P175='G-1 All Habitats'!$X$3,W175&gt;0),X175+Y175,IF(AND(P175='G-1 All Habitats'!$X$3,V175&gt;0),X175+Y175,IF(AND(P175='G-1 All Habitats'!$X$3,AG175&gt;0),"Any Loss Unacceptable ⚠", IF(R175="","", IF(AND(P175='G-1 All Habitats'!$X$3,Z175&gt;0),"Any Loss Unacceptable ⚠",H175*J175*L175*O175)))))),"Check Data ⚠")</f>
        <v/>
      </c>
      <c r="U175" s="38"/>
      <c r="V175" s="54"/>
      <c r="W175" s="55"/>
      <c r="X175" s="374" t="str">
        <f t="shared" si="21"/>
        <v/>
      </c>
      <c r="Y175" s="374" t="str">
        <f t="shared" si="22"/>
        <v/>
      </c>
      <c r="Z175" s="374" t="str">
        <f>IF(E175="","",IF(H175&lt;V175+W175,"Error in Areas ▲",IF(P175&lt;&gt;'G-1 All Habitats'!$X$3,H175-V175-W175,IF(AND(P175='G-1 All Habitats'!$X$3,AB175="Yes"),"Unacceptable Loss ⚠",IF(AND(P175='G-1 All Habitats'!$X$3,AB175="No"),AG175,IF(AND(P175='G-1 All Habitats'!$X$3,AB175=""),AG175,IF(AND(P175='G-1 All Habitats'!$X$3,AG175="None",AG175),IF(AND(P175='G-1 All Habitats'!$X$3,AG175&gt;0),H175-V175-W175))))))))</f>
        <v/>
      </c>
      <c r="AA175" s="405" t="str">
        <f>IFERROR(IF(H175="","",IF(H175-V175-W175=0&lt;0,"Error in Areas ▲",IF(V175+W175&gt;H175,"Error in Areas ▲",IF(AND(P175='G-1 All Habitats'!$X$3,AB175="Yes"),"Alternative Compensation ✓",IF(Z175=0,0,IF(P175='G-1 All Habitats'!$X$3,"Any Loss Unacceptable ▲",T175-X175-Y175)))))),"Check Data ⚠")</f>
        <v/>
      </c>
      <c r="AB175" s="837"/>
      <c r="AC175" s="119"/>
      <c r="AD175" s="528"/>
      <c r="AE175" s="120"/>
      <c r="AF175" s="687"/>
      <c r="AG175" s="744" t="str">
        <f>IF(P175="","",IF(P175='G-1 All Habitats'!$X$3,H175-V175-W175,"None"))</f>
        <v/>
      </c>
      <c r="AH175" s="744" t="str">
        <f t="shared" si="23"/>
        <v/>
      </c>
      <c r="AJ175" s="124" t="str">
        <f t="shared" si="28"/>
        <v/>
      </c>
      <c r="AK175" s="124" t="str">
        <f t="shared" si="29"/>
        <v/>
      </c>
      <c r="AL175" s="124" t="str">
        <f>IF(I175="","",IF(#REF!&gt;0,TRUE,FALSE))</f>
        <v/>
      </c>
      <c r="AM175" s="124">
        <v>165</v>
      </c>
      <c r="AN175" s="124"/>
      <c r="AO175" s="124" t="str">
        <f t="array" ref="AO175">IFERROR(INDEX($AM$11:$AM$259, MATCH(0, IF(TRUE=$AJ$11:$AJ$259, COUNTIF($AO$10:$AO174, $AM$11:$AM$259), ""), 0)),"")</f>
        <v/>
      </c>
      <c r="AP175" s="124" t="str">
        <f t="array" ref="AP175">IFERROR(INDEX($AM$11:$AM$259, MATCH(0, IF(TRUE=$AK$11:$AK$259, COUNTIF($AP$10:$AP174, $AM$11:$AM$259), ""), 0)),"")</f>
        <v/>
      </c>
      <c r="AQ175" s="124" t="str">
        <f t="array" ref="AQ175">IFERROR(INDEX($AM$11:$AM$259, MATCH(0, IF(TRUE=$AL$11:$AL$259, COUNTIF($AQ$10:$AQ174, $AM$11:$AM$259), ""), 0)),"")</f>
        <v/>
      </c>
      <c r="AU175" s="30">
        <f t="shared" si="27"/>
        <v>0</v>
      </c>
      <c r="AY175" s="374" t="str">
        <f t="shared" si="26"/>
        <v/>
      </c>
    </row>
    <row r="176" spans="1:51">
      <c r="A176" s="30" t="str">
        <f>IFERROR(INDEX('G-1 All Habitats'!$AG$3:$AG$17,MATCH(E176,'G-1 All Habitats'!$AF$3:$AF$17,0)),"")</f>
        <v/>
      </c>
      <c r="B176" s="30" t="str">
        <f>IFERROR(INDEX('G-8 Condition Look up'!$I$4:$I$135,MATCH(G176,'G-8 Condition Look up'!$A$4:$A$135,0)),"")</f>
        <v/>
      </c>
      <c r="D176" s="110">
        <v>166</v>
      </c>
      <c r="E176" s="339"/>
      <c r="F176" s="340"/>
      <c r="G176" s="295" t="str">
        <f>IFERROR(INDEX('G-1 All Habitats'!$B$3:$B$134,MATCH(F176,'G-1 All Habitats'!$A$3:$A$134,0)),"")</f>
        <v/>
      </c>
      <c r="H176" s="139"/>
      <c r="I176" s="722" t="str">
        <f>IF(G176="","",VLOOKUP(G176,'G-1 All Habitats'!$B$2:$M$134,10,FALSE))</f>
        <v/>
      </c>
      <c r="J176" s="490" t="str">
        <f>IFERROR(VLOOKUP(I176,'G-1 All Habitats'!$V$3:$W$7,2,FALSE),"")</f>
        <v/>
      </c>
      <c r="K176" s="114"/>
      <c r="L176" s="490" t="str">
        <f>IFERROR(INDEX('G-8 Condition Look up'!$A$3:$H$135,MATCH(G176,'G-8 Condition Look up'!$A$3:$A$135,0),MATCH(K176,'G-8 Condition Look up'!$A$3:$H$3,0)),"")</f>
        <v/>
      </c>
      <c r="M176" s="738"/>
      <c r="N176" s="404" t="str">
        <f>IF(M176="","",IF(VLOOKUP(M176,'G-3 Multipliers'!$L$3:$N$6,2,FALSE)=0,"Spatial Data Missing ⚠",VLOOKUP(M176,'G-3 Multipliers'!$L$3:$N$6,2,FALSE)))</f>
        <v/>
      </c>
      <c r="O176" s="452" t="str">
        <f>IF(M176="","",IF(VLOOKUP(M176,'G-3 Multipliers'!$L$3:$N$6,3,FALSE)=0,"Spatial Data Missing ⚠",VLOOKUP(M176,'G-3 Multipliers'!$L$3:$N$6,3,FALSE)))</f>
        <v/>
      </c>
      <c r="P176" s="369" t="str">
        <f>IFERROR(VLOOKUP(G176,'G-1 All Habitats'!$B$2:$M$134,12,FALSE),"")</f>
        <v/>
      </c>
      <c r="Q176" s="725" t="str">
        <f>IFERROR(IF(P176="","",IF(AND(P176='G-1 All Habitats'!$X$3,W176&gt;0),X176+(Y176*S176),IF(AND(P176='G-1 All Habitats'!$X$3,V176&gt;0),X176+(Y176*S176),IF(AND(P176='G-1 All Habitats'!$X$3,AG176&gt;0),"Any Loss Unacceptable  ⚠",IF(AND(P176='G-1 All Habitats'!$X$3,Z176&gt;0),"Any Loss Unacceptable ⚠",H176*J176*L176*O176*S176))))),"Check Data ⚠")</f>
        <v/>
      </c>
      <c r="R176" s="516"/>
      <c r="S176" s="724" t="str">
        <f>IF(R176="","",IF(VLOOKUP(R176,'G-3 Multipliers'!$S$3:$T$10,2,FALSE)=0,"Spatial Data Missing ⚠",VLOOKUP(R176,'G-3 Multipliers'!$S$3:$T$10,2,FALSE)))</f>
        <v/>
      </c>
      <c r="T176" s="376" t="str">
        <f>IFERROR(IF(P176="","",IF(AND(P176='G-1 All Habitats'!$X$3,W176&gt;0),X176+Y176,IF(AND(P176='G-1 All Habitats'!$X$3,V176&gt;0),X176+Y176,IF(AND(P176='G-1 All Habitats'!$X$3,AG176&gt;0),"Any Loss Unacceptable ⚠", IF(R176="","", IF(AND(P176='G-1 All Habitats'!$X$3,Z176&gt;0),"Any Loss Unacceptable ⚠",H176*J176*L176*O176)))))),"Check Data ⚠")</f>
        <v/>
      </c>
      <c r="U176" s="38"/>
      <c r="V176" s="54"/>
      <c r="W176" s="55"/>
      <c r="X176" s="374" t="str">
        <f t="shared" si="21"/>
        <v/>
      </c>
      <c r="Y176" s="374" t="str">
        <f t="shared" si="22"/>
        <v/>
      </c>
      <c r="Z176" s="374" t="str">
        <f>IF(E176="","",IF(H176&lt;V176+W176,"Error in Areas ▲",IF(P176&lt;&gt;'G-1 All Habitats'!$X$3,H176-V176-W176,IF(AND(P176='G-1 All Habitats'!$X$3,AB176="Yes"),"Unacceptable Loss ⚠",IF(AND(P176='G-1 All Habitats'!$X$3,AB176="No"),AG176,IF(AND(P176='G-1 All Habitats'!$X$3,AB176=""),AG176,IF(AND(P176='G-1 All Habitats'!$X$3,AG176="None",AG176),IF(AND(P176='G-1 All Habitats'!$X$3,AG176&gt;0),H176-V176-W176))))))))</f>
        <v/>
      </c>
      <c r="AA176" s="405" t="str">
        <f>IFERROR(IF(H176="","",IF(H176-V176-W176=0&lt;0,"Error in Areas ▲",IF(V176+W176&gt;H176,"Error in Areas ▲",IF(AND(P176='G-1 All Habitats'!$X$3,AB176="Yes"),"Alternative Compensation ✓",IF(Z176=0,0,IF(P176='G-1 All Habitats'!$X$3,"Any Loss Unacceptable ▲",T176-X176-Y176)))))),"Check Data ⚠")</f>
        <v/>
      </c>
      <c r="AB176" s="837"/>
      <c r="AC176" s="119"/>
      <c r="AD176" s="528"/>
      <c r="AE176" s="120"/>
      <c r="AF176" s="687"/>
      <c r="AG176" s="744" t="str">
        <f>IF(P176="","",IF(P176='G-1 All Habitats'!$X$3,H176-V176-W176,"None"))</f>
        <v/>
      </c>
      <c r="AH176" s="744" t="str">
        <f t="shared" si="23"/>
        <v/>
      </c>
      <c r="AJ176" s="124" t="str">
        <f t="shared" si="28"/>
        <v/>
      </c>
      <c r="AK176" s="124" t="str">
        <f t="shared" si="29"/>
        <v/>
      </c>
      <c r="AL176" s="124" t="str">
        <f>IF(I176="","",IF(#REF!&gt;0,TRUE,FALSE))</f>
        <v/>
      </c>
      <c r="AM176" s="124">
        <v>166</v>
      </c>
      <c r="AN176" s="124"/>
      <c r="AO176" s="124" t="str">
        <f t="array" ref="AO176">IFERROR(INDEX($AM$11:$AM$259, MATCH(0, IF(TRUE=$AJ$11:$AJ$259, COUNTIF($AO$10:$AO175, $AM$11:$AM$259), ""), 0)),"")</f>
        <v/>
      </c>
      <c r="AP176" s="124" t="str">
        <f t="array" ref="AP176">IFERROR(INDEX($AM$11:$AM$259, MATCH(0, IF(TRUE=$AK$11:$AK$259, COUNTIF($AP$10:$AP175, $AM$11:$AM$259), ""), 0)),"")</f>
        <v/>
      </c>
      <c r="AQ176" s="124" t="str">
        <f t="array" ref="AQ176">IFERROR(INDEX($AM$11:$AM$259, MATCH(0, IF(TRUE=$AL$11:$AL$259, COUNTIF($AQ$10:$AQ175, $AM$11:$AM$259), ""), 0)),"")</f>
        <v/>
      </c>
      <c r="AU176" s="30">
        <f t="shared" si="27"/>
        <v>0</v>
      </c>
      <c r="AY176" s="374" t="str">
        <f t="shared" si="26"/>
        <v/>
      </c>
    </row>
    <row r="177" spans="1:51">
      <c r="A177" s="30" t="str">
        <f>IFERROR(INDEX('G-1 All Habitats'!$AG$3:$AG$17,MATCH(E177,'G-1 All Habitats'!$AF$3:$AF$17,0)),"")</f>
        <v/>
      </c>
      <c r="B177" s="30" t="str">
        <f>IFERROR(INDEX('G-8 Condition Look up'!$I$4:$I$135,MATCH(G177,'G-8 Condition Look up'!$A$4:$A$135,0)),"")</f>
        <v/>
      </c>
      <c r="D177" s="110">
        <v>167</v>
      </c>
      <c r="E177" s="339"/>
      <c r="F177" s="340"/>
      <c r="G177" s="295" t="str">
        <f>IFERROR(INDEX('G-1 All Habitats'!$B$3:$B$134,MATCH(F177,'G-1 All Habitats'!$A$3:$A$134,0)),"")</f>
        <v/>
      </c>
      <c r="H177" s="139"/>
      <c r="I177" s="722" t="str">
        <f>IF(G177="","",VLOOKUP(G177,'G-1 All Habitats'!$B$2:$M$134,10,FALSE))</f>
        <v/>
      </c>
      <c r="J177" s="490" t="str">
        <f>IFERROR(VLOOKUP(I177,'G-1 All Habitats'!$V$3:$W$7,2,FALSE),"")</f>
        <v/>
      </c>
      <c r="K177" s="114"/>
      <c r="L177" s="490" t="str">
        <f>IFERROR(INDEX('G-8 Condition Look up'!$A$3:$H$135,MATCH(G177,'G-8 Condition Look up'!$A$3:$A$135,0),MATCH(K177,'G-8 Condition Look up'!$A$3:$H$3,0)),"")</f>
        <v/>
      </c>
      <c r="M177" s="738"/>
      <c r="N177" s="404" t="str">
        <f>IF(M177="","",IF(VLOOKUP(M177,'G-3 Multipliers'!$L$3:$N$6,2,FALSE)=0,"Spatial Data Missing ⚠",VLOOKUP(M177,'G-3 Multipliers'!$L$3:$N$6,2,FALSE)))</f>
        <v/>
      </c>
      <c r="O177" s="452" t="str">
        <f>IF(M177="","",IF(VLOOKUP(M177,'G-3 Multipliers'!$L$3:$N$6,3,FALSE)=0,"Spatial Data Missing ⚠",VLOOKUP(M177,'G-3 Multipliers'!$L$3:$N$6,3,FALSE)))</f>
        <v/>
      </c>
      <c r="P177" s="369" t="str">
        <f>IFERROR(VLOOKUP(G177,'G-1 All Habitats'!$B$2:$M$134,12,FALSE),"")</f>
        <v/>
      </c>
      <c r="Q177" s="725" t="str">
        <f>IFERROR(IF(P177="","",IF(AND(P177='G-1 All Habitats'!$X$3,W177&gt;0),X177+(Y177*S177),IF(AND(P177='G-1 All Habitats'!$X$3,V177&gt;0),X177+(Y177*S177),IF(AND(P177='G-1 All Habitats'!$X$3,AG177&gt;0),"Any Loss Unacceptable  ⚠",IF(AND(P177='G-1 All Habitats'!$X$3,Z177&gt;0),"Any Loss Unacceptable ⚠",H177*J177*L177*O177*S177))))),"Check Data ⚠")</f>
        <v/>
      </c>
      <c r="R177" s="516"/>
      <c r="S177" s="724" t="str">
        <f>IF(R177="","",IF(VLOOKUP(R177,'G-3 Multipliers'!$S$3:$T$10,2,FALSE)=0,"Spatial Data Missing ⚠",VLOOKUP(R177,'G-3 Multipliers'!$S$3:$T$10,2,FALSE)))</f>
        <v/>
      </c>
      <c r="T177" s="376" t="str">
        <f>IFERROR(IF(P177="","",IF(AND(P177='G-1 All Habitats'!$X$3,W177&gt;0),X177+Y177,IF(AND(P177='G-1 All Habitats'!$X$3,V177&gt;0),X177+Y177,IF(AND(P177='G-1 All Habitats'!$X$3,AG177&gt;0),"Any Loss Unacceptable ⚠", IF(R177="","", IF(AND(P177='G-1 All Habitats'!$X$3,Z177&gt;0),"Any Loss Unacceptable ⚠",H177*J177*L177*O177)))))),"Check Data ⚠")</f>
        <v/>
      </c>
      <c r="U177" s="38"/>
      <c r="V177" s="54"/>
      <c r="W177" s="55"/>
      <c r="X177" s="374" t="str">
        <f t="shared" si="21"/>
        <v/>
      </c>
      <c r="Y177" s="374" t="str">
        <f t="shared" si="22"/>
        <v/>
      </c>
      <c r="Z177" s="374" t="str">
        <f>IF(E177="","",IF(H177&lt;V177+W177,"Error in Areas ▲",IF(P177&lt;&gt;'G-1 All Habitats'!$X$3,H177-V177-W177,IF(AND(P177='G-1 All Habitats'!$X$3,AB177="Yes"),"Unacceptable Loss ⚠",IF(AND(P177='G-1 All Habitats'!$X$3,AB177="No"),AG177,IF(AND(P177='G-1 All Habitats'!$X$3,AB177=""),AG177,IF(AND(P177='G-1 All Habitats'!$X$3,AG177="None",AG177),IF(AND(P177='G-1 All Habitats'!$X$3,AG177&gt;0),H177-V177-W177))))))))</f>
        <v/>
      </c>
      <c r="AA177" s="405" t="str">
        <f>IFERROR(IF(H177="","",IF(H177-V177-W177=0&lt;0,"Error in Areas ▲",IF(V177+W177&gt;H177,"Error in Areas ▲",IF(AND(P177='G-1 All Habitats'!$X$3,AB177="Yes"),"Alternative Compensation ✓",IF(Z177=0,0,IF(P177='G-1 All Habitats'!$X$3,"Any Loss Unacceptable ▲",T177-X177-Y177)))))),"Check Data ⚠")</f>
        <v/>
      </c>
      <c r="AB177" s="837"/>
      <c r="AC177" s="119"/>
      <c r="AD177" s="528"/>
      <c r="AE177" s="120"/>
      <c r="AF177" s="687"/>
      <c r="AG177" s="744" t="str">
        <f>IF(P177="","",IF(P177='G-1 All Habitats'!$X$3,H177-V177-W177,"None"))</f>
        <v/>
      </c>
      <c r="AH177" s="744" t="str">
        <f t="shared" si="23"/>
        <v/>
      </c>
      <c r="AJ177" s="124" t="str">
        <f t="shared" si="28"/>
        <v/>
      </c>
      <c r="AK177" s="124" t="str">
        <f t="shared" si="29"/>
        <v/>
      </c>
      <c r="AL177" s="124" t="str">
        <f>IF(I177="","",IF(#REF!&gt;0,TRUE,FALSE))</f>
        <v/>
      </c>
      <c r="AM177" s="124">
        <v>167</v>
      </c>
      <c r="AN177" s="124"/>
      <c r="AO177" s="124" t="str">
        <f t="array" ref="AO177">IFERROR(INDEX($AM$11:$AM$259, MATCH(0, IF(TRUE=$AJ$11:$AJ$259, COUNTIF($AO$10:$AO176, $AM$11:$AM$259), ""), 0)),"")</f>
        <v/>
      </c>
      <c r="AP177" s="124" t="str">
        <f t="array" ref="AP177">IFERROR(INDEX($AM$11:$AM$259, MATCH(0, IF(TRUE=$AK$11:$AK$259, COUNTIF($AP$10:$AP176, $AM$11:$AM$259), ""), 0)),"")</f>
        <v/>
      </c>
      <c r="AQ177" s="124" t="str">
        <f t="array" ref="AQ177">IFERROR(INDEX($AM$11:$AM$259, MATCH(0, IF(TRUE=$AL$11:$AL$259, COUNTIF($AQ$10:$AQ176, $AM$11:$AM$259), ""), 0)),"")</f>
        <v/>
      </c>
      <c r="AU177" s="30">
        <f t="shared" ref="AU177:AU203" si="30">IF(AA177="Unacceptable Loss",1,0)</f>
        <v>0</v>
      </c>
      <c r="AY177" s="374" t="str">
        <f t="shared" si="26"/>
        <v/>
      </c>
    </row>
    <row r="178" spans="1:51">
      <c r="A178" s="30" t="str">
        <f>IFERROR(INDEX('G-1 All Habitats'!$AG$3:$AG$17,MATCH(E178,'G-1 All Habitats'!$AF$3:$AF$17,0)),"")</f>
        <v/>
      </c>
      <c r="B178" s="30" t="str">
        <f>IFERROR(INDEX('G-8 Condition Look up'!$I$4:$I$135,MATCH(G178,'G-8 Condition Look up'!$A$4:$A$135,0)),"")</f>
        <v/>
      </c>
      <c r="D178" s="110">
        <v>168</v>
      </c>
      <c r="E178" s="339"/>
      <c r="F178" s="340"/>
      <c r="G178" s="295" t="str">
        <f>IFERROR(INDEX('G-1 All Habitats'!$B$3:$B$134,MATCH(F178,'G-1 All Habitats'!$A$3:$A$134,0)),"")</f>
        <v/>
      </c>
      <c r="H178" s="139"/>
      <c r="I178" s="722" t="str">
        <f>IF(G178="","",VLOOKUP(G178,'G-1 All Habitats'!$B$2:$M$134,10,FALSE))</f>
        <v/>
      </c>
      <c r="J178" s="490" t="str">
        <f>IFERROR(VLOOKUP(I178,'G-1 All Habitats'!$V$3:$W$7,2,FALSE),"")</f>
        <v/>
      </c>
      <c r="K178" s="114"/>
      <c r="L178" s="490" t="str">
        <f>IFERROR(INDEX('G-8 Condition Look up'!$A$3:$H$135,MATCH(G178,'G-8 Condition Look up'!$A$3:$A$135,0),MATCH(K178,'G-8 Condition Look up'!$A$3:$H$3,0)),"")</f>
        <v/>
      </c>
      <c r="M178" s="738"/>
      <c r="N178" s="404" t="str">
        <f>IF(M178="","",IF(VLOOKUP(M178,'G-3 Multipliers'!$L$3:$N$6,2,FALSE)=0,"Spatial Data Missing ⚠",VLOOKUP(M178,'G-3 Multipliers'!$L$3:$N$6,2,FALSE)))</f>
        <v/>
      </c>
      <c r="O178" s="452" t="str">
        <f>IF(M178="","",IF(VLOOKUP(M178,'G-3 Multipliers'!$L$3:$N$6,3,FALSE)=0,"Spatial Data Missing ⚠",VLOOKUP(M178,'G-3 Multipliers'!$L$3:$N$6,3,FALSE)))</f>
        <v/>
      </c>
      <c r="P178" s="369" t="str">
        <f>IFERROR(VLOOKUP(G178,'G-1 All Habitats'!$B$2:$M$134,12,FALSE),"")</f>
        <v/>
      </c>
      <c r="Q178" s="725" t="str">
        <f>IFERROR(IF(P178="","",IF(AND(P178='G-1 All Habitats'!$X$3,W178&gt;0),X178+(Y178*S178),IF(AND(P178='G-1 All Habitats'!$X$3,V178&gt;0),X178+(Y178*S178),IF(AND(P178='G-1 All Habitats'!$X$3,AG178&gt;0),"Any Loss Unacceptable  ⚠",IF(AND(P178='G-1 All Habitats'!$X$3,Z178&gt;0),"Any Loss Unacceptable ⚠",H178*J178*L178*O178*S178))))),"Check Data ⚠")</f>
        <v/>
      </c>
      <c r="R178" s="516"/>
      <c r="S178" s="724" t="str">
        <f>IF(R178="","",IF(VLOOKUP(R178,'G-3 Multipliers'!$S$3:$T$10,2,FALSE)=0,"Spatial Data Missing ⚠",VLOOKUP(R178,'G-3 Multipliers'!$S$3:$T$10,2,FALSE)))</f>
        <v/>
      </c>
      <c r="T178" s="376" t="str">
        <f>IFERROR(IF(P178="","",IF(AND(P178='G-1 All Habitats'!$X$3,W178&gt;0),X178+Y178,IF(AND(P178='G-1 All Habitats'!$X$3,V178&gt;0),X178+Y178,IF(AND(P178='G-1 All Habitats'!$X$3,AG178&gt;0),"Any Loss Unacceptable ⚠", IF(R178="","", IF(AND(P178='G-1 All Habitats'!$X$3,Z178&gt;0),"Any Loss Unacceptable ⚠",H178*J178*L178*O178)))))),"Check Data ⚠")</f>
        <v/>
      </c>
      <c r="U178" s="38"/>
      <c r="V178" s="54"/>
      <c r="W178" s="55"/>
      <c r="X178" s="374" t="str">
        <f t="shared" si="21"/>
        <v/>
      </c>
      <c r="Y178" s="374" t="str">
        <f t="shared" si="22"/>
        <v/>
      </c>
      <c r="Z178" s="374" t="str">
        <f>IF(E178="","",IF(H178&lt;V178+W178,"Error in Areas ▲",IF(P178&lt;&gt;'G-1 All Habitats'!$X$3,H178-V178-W178,IF(AND(P178='G-1 All Habitats'!$X$3,AB178="Yes"),"Unacceptable Loss ⚠",IF(AND(P178='G-1 All Habitats'!$X$3,AB178="No"),AG178,IF(AND(P178='G-1 All Habitats'!$X$3,AB178=""),AG178,IF(AND(P178='G-1 All Habitats'!$X$3,AG178="None",AG178),IF(AND(P178='G-1 All Habitats'!$X$3,AG178&gt;0),H178-V178-W178))))))))</f>
        <v/>
      </c>
      <c r="AA178" s="405" t="str">
        <f>IFERROR(IF(H178="","",IF(H178-V178-W178=0&lt;0,"Error in Areas ▲",IF(V178+W178&gt;H178,"Error in Areas ▲",IF(AND(P178='G-1 All Habitats'!$X$3,AB178="Yes"),"Alternative Compensation ✓",IF(Z178=0,0,IF(P178='G-1 All Habitats'!$X$3,"Any Loss Unacceptable ▲",T178-X178-Y178)))))),"Check Data ⚠")</f>
        <v/>
      </c>
      <c r="AB178" s="837"/>
      <c r="AC178" s="119"/>
      <c r="AD178" s="528"/>
      <c r="AE178" s="120"/>
      <c r="AF178" s="687"/>
      <c r="AG178" s="744" t="str">
        <f>IF(P178="","",IF(P178='G-1 All Habitats'!$X$3,H178-V178-W178,"None"))</f>
        <v/>
      </c>
      <c r="AH178" s="744" t="str">
        <f t="shared" si="23"/>
        <v/>
      </c>
      <c r="AJ178" s="124" t="str">
        <f t="shared" si="28"/>
        <v/>
      </c>
      <c r="AK178" s="124" t="str">
        <f t="shared" si="29"/>
        <v/>
      </c>
      <c r="AL178" s="124" t="str">
        <f>IF(I178="","",IF(#REF!&gt;0,TRUE,FALSE))</f>
        <v/>
      </c>
      <c r="AM178" s="124">
        <v>168</v>
      </c>
      <c r="AN178" s="124"/>
      <c r="AO178" s="124" t="str">
        <f t="array" ref="AO178">IFERROR(INDEX($AM$11:$AM$259, MATCH(0, IF(TRUE=$AJ$11:$AJ$259, COUNTIF($AO$10:$AO177, $AM$11:$AM$259), ""), 0)),"")</f>
        <v/>
      </c>
      <c r="AP178" s="124" t="str">
        <f t="array" ref="AP178">IFERROR(INDEX($AM$11:$AM$259, MATCH(0, IF(TRUE=$AK$11:$AK$259, COUNTIF($AP$10:$AP177, $AM$11:$AM$259), ""), 0)),"")</f>
        <v/>
      </c>
      <c r="AQ178" s="124" t="str">
        <f t="array" ref="AQ178">IFERROR(INDEX($AM$11:$AM$259, MATCH(0, IF(TRUE=$AL$11:$AL$259, COUNTIF($AQ$10:$AQ177, $AM$11:$AM$259), ""), 0)),"")</f>
        <v/>
      </c>
      <c r="AU178" s="30">
        <f t="shared" si="30"/>
        <v>0</v>
      </c>
      <c r="AY178" s="374" t="str">
        <f t="shared" si="26"/>
        <v/>
      </c>
    </row>
    <row r="179" spans="1:51">
      <c r="A179" s="30" t="str">
        <f>IFERROR(INDEX('G-1 All Habitats'!$AG$3:$AG$17,MATCH(E179,'G-1 All Habitats'!$AF$3:$AF$17,0)),"")</f>
        <v/>
      </c>
      <c r="B179" s="30" t="str">
        <f>IFERROR(INDEX('G-8 Condition Look up'!$I$4:$I$135,MATCH(G179,'G-8 Condition Look up'!$A$4:$A$135,0)),"")</f>
        <v/>
      </c>
      <c r="D179" s="110">
        <v>169</v>
      </c>
      <c r="E179" s="339"/>
      <c r="F179" s="340"/>
      <c r="G179" s="295" t="str">
        <f>IFERROR(INDEX('G-1 All Habitats'!$B$3:$B$134,MATCH(F179,'G-1 All Habitats'!$A$3:$A$134,0)),"")</f>
        <v/>
      </c>
      <c r="H179" s="139"/>
      <c r="I179" s="722" t="str">
        <f>IF(G179="","",VLOOKUP(G179,'G-1 All Habitats'!$B$2:$M$134,10,FALSE))</f>
        <v/>
      </c>
      <c r="J179" s="490" t="str">
        <f>IFERROR(VLOOKUP(I179,'G-1 All Habitats'!$V$3:$W$7,2,FALSE),"")</f>
        <v/>
      </c>
      <c r="K179" s="114"/>
      <c r="L179" s="490" t="str">
        <f>IFERROR(INDEX('G-8 Condition Look up'!$A$3:$H$135,MATCH(G179,'G-8 Condition Look up'!$A$3:$A$135,0),MATCH(K179,'G-8 Condition Look up'!$A$3:$H$3,0)),"")</f>
        <v/>
      </c>
      <c r="M179" s="738"/>
      <c r="N179" s="404" t="str">
        <f>IF(M179="","",IF(VLOOKUP(M179,'G-3 Multipliers'!$L$3:$N$6,2,FALSE)=0,"Spatial Data Missing ⚠",VLOOKUP(M179,'G-3 Multipliers'!$L$3:$N$6,2,FALSE)))</f>
        <v/>
      </c>
      <c r="O179" s="452" t="str">
        <f>IF(M179="","",IF(VLOOKUP(M179,'G-3 Multipliers'!$L$3:$N$6,3,FALSE)=0,"Spatial Data Missing ⚠",VLOOKUP(M179,'G-3 Multipliers'!$L$3:$N$6,3,FALSE)))</f>
        <v/>
      </c>
      <c r="P179" s="369" t="str">
        <f>IFERROR(VLOOKUP(G179,'G-1 All Habitats'!$B$2:$M$134,12,FALSE),"")</f>
        <v/>
      </c>
      <c r="Q179" s="725" t="str">
        <f>IFERROR(IF(P179="","",IF(AND(P179='G-1 All Habitats'!$X$3,W179&gt;0),X179+(Y179*S179),IF(AND(P179='G-1 All Habitats'!$X$3,V179&gt;0),X179+(Y179*S179),IF(AND(P179='G-1 All Habitats'!$X$3,AG179&gt;0),"Any Loss Unacceptable  ⚠",IF(AND(P179='G-1 All Habitats'!$X$3,Z179&gt;0),"Any Loss Unacceptable ⚠",H179*J179*L179*O179*S179))))),"Check Data ⚠")</f>
        <v/>
      </c>
      <c r="R179" s="516"/>
      <c r="S179" s="724" t="str">
        <f>IF(R179="","",IF(VLOOKUP(R179,'G-3 Multipliers'!$S$3:$T$10,2,FALSE)=0,"Spatial Data Missing ⚠",VLOOKUP(R179,'G-3 Multipliers'!$S$3:$T$10,2,FALSE)))</f>
        <v/>
      </c>
      <c r="T179" s="376" t="str">
        <f>IFERROR(IF(P179="","",IF(AND(P179='G-1 All Habitats'!$X$3,W179&gt;0),X179+Y179,IF(AND(P179='G-1 All Habitats'!$X$3,V179&gt;0),X179+Y179,IF(AND(P179='G-1 All Habitats'!$X$3,AG179&gt;0),"Any Loss Unacceptable ⚠", IF(R179="","", IF(AND(P179='G-1 All Habitats'!$X$3,Z179&gt;0),"Any Loss Unacceptable ⚠",H179*J179*L179*O179)))))),"Check Data ⚠")</f>
        <v/>
      </c>
      <c r="U179" s="38"/>
      <c r="V179" s="54"/>
      <c r="W179" s="55"/>
      <c r="X179" s="374" t="str">
        <f t="shared" si="21"/>
        <v/>
      </c>
      <c r="Y179" s="374" t="str">
        <f t="shared" si="22"/>
        <v/>
      </c>
      <c r="Z179" s="374" t="str">
        <f>IF(E179="","",IF(H179&lt;V179+W179,"Error in Areas ▲",IF(P179&lt;&gt;'G-1 All Habitats'!$X$3,H179-V179-W179,IF(AND(P179='G-1 All Habitats'!$X$3,AB179="Yes"),"Unacceptable Loss ⚠",IF(AND(P179='G-1 All Habitats'!$X$3,AB179="No"),AG179,IF(AND(P179='G-1 All Habitats'!$X$3,AB179=""),AG179,IF(AND(P179='G-1 All Habitats'!$X$3,AG179="None",AG179),IF(AND(P179='G-1 All Habitats'!$X$3,AG179&gt;0),H179-V179-W179))))))))</f>
        <v/>
      </c>
      <c r="AA179" s="405" t="str">
        <f>IFERROR(IF(H179="","",IF(H179-V179-W179=0&lt;0,"Error in Areas ▲",IF(V179+W179&gt;H179,"Error in Areas ▲",IF(AND(P179='G-1 All Habitats'!$X$3,AB179="Yes"),"Alternative Compensation ✓",IF(Z179=0,0,IF(P179='G-1 All Habitats'!$X$3,"Any Loss Unacceptable ▲",T179-X179-Y179)))))),"Check Data ⚠")</f>
        <v/>
      </c>
      <c r="AB179" s="837"/>
      <c r="AC179" s="119"/>
      <c r="AD179" s="528"/>
      <c r="AE179" s="120"/>
      <c r="AF179" s="687"/>
      <c r="AG179" s="744" t="str">
        <f>IF(P179="","",IF(P179='G-1 All Habitats'!$X$3,H179-V179-W179,"None"))</f>
        <v/>
      </c>
      <c r="AH179" s="744" t="str">
        <f t="shared" si="23"/>
        <v/>
      </c>
      <c r="AJ179" s="124" t="str">
        <f t="shared" si="28"/>
        <v/>
      </c>
      <c r="AK179" s="124" t="str">
        <f t="shared" si="29"/>
        <v/>
      </c>
      <c r="AL179" s="124" t="str">
        <f>IF(I179="","",IF(#REF!&gt;0,TRUE,FALSE))</f>
        <v/>
      </c>
      <c r="AM179" s="124">
        <v>169</v>
      </c>
      <c r="AN179" s="124"/>
      <c r="AO179" s="124" t="str">
        <f t="array" ref="AO179">IFERROR(INDEX($AM$11:$AM$259, MATCH(0, IF(TRUE=$AJ$11:$AJ$259, COUNTIF($AO$10:$AO178, $AM$11:$AM$259), ""), 0)),"")</f>
        <v/>
      </c>
      <c r="AP179" s="124" t="str">
        <f t="array" ref="AP179">IFERROR(INDEX($AM$11:$AM$259, MATCH(0, IF(TRUE=$AK$11:$AK$259, COUNTIF($AP$10:$AP178, $AM$11:$AM$259), ""), 0)),"")</f>
        <v/>
      </c>
      <c r="AQ179" s="124" t="str">
        <f t="array" ref="AQ179">IFERROR(INDEX($AM$11:$AM$259, MATCH(0, IF(TRUE=$AL$11:$AL$259, COUNTIF($AQ$10:$AQ178, $AM$11:$AM$259), ""), 0)),"")</f>
        <v/>
      </c>
      <c r="AU179" s="30">
        <f t="shared" si="30"/>
        <v>0</v>
      </c>
      <c r="AY179" s="374" t="str">
        <f t="shared" si="26"/>
        <v/>
      </c>
    </row>
    <row r="180" spans="1:51">
      <c r="A180" s="30" t="str">
        <f>IFERROR(INDEX('G-1 All Habitats'!$AG$3:$AG$17,MATCH(E180,'G-1 All Habitats'!$AF$3:$AF$17,0)),"")</f>
        <v/>
      </c>
      <c r="B180" s="30" t="str">
        <f>IFERROR(INDEX('G-8 Condition Look up'!$I$4:$I$135,MATCH(G180,'G-8 Condition Look up'!$A$4:$A$135,0)),"")</f>
        <v/>
      </c>
      <c r="D180" s="110">
        <v>170</v>
      </c>
      <c r="E180" s="339"/>
      <c r="F180" s="340"/>
      <c r="G180" s="295" t="str">
        <f>IFERROR(INDEX('G-1 All Habitats'!$B$3:$B$134,MATCH(F180,'G-1 All Habitats'!$A$3:$A$134,0)),"")</f>
        <v/>
      </c>
      <c r="H180" s="139"/>
      <c r="I180" s="722" t="str">
        <f>IF(G180="","",VLOOKUP(G180,'G-1 All Habitats'!$B$2:$M$134,10,FALSE))</f>
        <v/>
      </c>
      <c r="J180" s="490" t="str">
        <f>IFERROR(VLOOKUP(I180,'G-1 All Habitats'!$V$3:$W$7,2,FALSE),"")</f>
        <v/>
      </c>
      <c r="K180" s="114"/>
      <c r="L180" s="490" t="str">
        <f>IFERROR(INDEX('G-8 Condition Look up'!$A$3:$H$135,MATCH(G180,'G-8 Condition Look up'!$A$3:$A$135,0),MATCH(K180,'G-8 Condition Look up'!$A$3:$H$3,0)),"")</f>
        <v/>
      </c>
      <c r="M180" s="738"/>
      <c r="N180" s="404" t="str">
        <f>IF(M180="","",IF(VLOOKUP(M180,'G-3 Multipliers'!$L$3:$N$6,2,FALSE)=0,"Spatial Data Missing ⚠",VLOOKUP(M180,'G-3 Multipliers'!$L$3:$N$6,2,FALSE)))</f>
        <v/>
      </c>
      <c r="O180" s="452" t="str">
        <f>IF(M180="","",IF(VLOOKUP(M180,'G-3 Multipliers'!$L$3:$N$6,3,FALSE)=0,"Spatial Data Missing ⚠",VLOOKUP(M180,'G-3 Multipliers'!$L$3:$N$6,3,FALSE)))</f>
        <v/>
      </c>
      <c r="P180" s="369" t="str">
        <f>IFERROR(VLOOKUP(G180,'G-1 All Habitats'!$B$2:$M$134,12,FALSE),"")</f>
        <v/>
      </c>
      <c r="Q180" s="725" t="str">
        <f>IFERROR(IF(P180="","",IF(AND(P180='G-1 All Habitats'!$X$3,W180&gt;0),X180+(Y180*S180),IF(AND(P180='G-1 All Habitats'!$X$3,V180&gt;0),X180+(Y180*S180),IF(AND(P180='G-1 All Habitats'!$X$3,AG180&gt;0),"Any Loss Unacceptable  ⚠",IF(AND(P180='G-1 All Habitats'!$X$3,Z180&gt;0),"Any Loss Unacceptable ⚠",H180*J180*L180*O180*S180))))),"Check Data ⚠")</f>
        <v/>
      </c>
      <c r="R180" s="516"/>
      <c r="S180" s="724" t="str">
        <f>IF(R180="","",IF(VLOOKUP(R180,'G-3 Multipliers'!$S$3:$T$10,2,FALSE)=0,"Spatial Data Missing ⚠",VLOOKUP(R180,'G-3 Multipliers'!$S$3:$T$10,2,FALSE)))</f>
        <v/>
      </c>
      <c r="T180" s="376" t="str">
        <f>IFERROR(IF(P180="","",IF(AND(P180='G-1 All Habitats'!$X$3,W180&gt;0),X180+Y180,IF(AND(P180='G-1 All Habitats'!$X$3,V180&gt;0),X180+Y180,IF(AND(P180='G-1 All Habitats'!$X$3,AG180&gt;0),"Any Loss Unacceptable ⚠", IF(R180="","", IF(AND(P180='G-1 All Habitats'!$X$3,Z180&gt;0),"Any Loss Unacceptable ⚠",H180*J180*L180*O180)))))),"Check Data ⚠")</f>
        <v/>
      </c>
      <c r="U180" s="38"/>
      <c r="V180" s="54"/>
      <c r="W180" s="55"/>
      <c r="X180" s="374" t="str">
        <f t="shared" si="21"/>
        <v/>
      </c>
      <c r="Y180" s="374" t="str">
        <f t="shared" si="22"/>
        <v/>
      </c>
      <c r="Z180" s="374" t="str">
        <f>IF(E180="","",IF(H180&lt;V180+W180,"Error in Areas ▲",IF(P180&lt;&gt;'G-1 All Habitats'!$X$3,H180-V180-W180,IF(AND(P180='G-1 All Habitats'!$X$3,AB180="Yes"),"Unacceptable Loss ⚠",IF(AND(P180='G-1 All Habitats'!$X$3,AB180="No"),AG180,IF(AND(P180='G-1 All Habitats'!$X$3,AB180=""),AG180,IF(AND(P180='G-1 All Habitats'!$X$3,AG180="None",AG180),IF(AND(P180='G-1 All Habitats'!$X$3,AG180&gt;0),H180-V180-W180))))))))</f>
        <v/>
      </c>
      <c r="AA180" s="405" t="str">
        <f>IFERROR(IF(H180="","",IF(H180-V180-W180=0&lt;0,"Error in Areas ▲",IF(V180+W180&gt;H180,"Error in Areas ▲",IF(AND(P180='G-1 All Habitats'!$X$3,AB180="Yes"),"Alternative Compensation ✓",IF(Z180=0,0,IF(P180='G-1 All Habitats'!$X$3,"Any Loss Unacceptable ▲",T180-X180-Y180)))))),"Check Data ⚠")</f>
        <v/>
      </c>
      <c r="AB180" s="837"/>
      <c r="AC180" s="119"/>
      <c r="AD180" s="528"/>
      <c r="AE180" s="120"/>
      <c r="AF180" s="687"/>
      <c r="AG180" s="744" t="str">
        <f>IF(P180="","",IF(P180='G-1 All Habitats'!$X$3,H180-V180-W180,"None"))</f>
        <v/>
      </c>
      <c r="AH180" s="744" t="str">
        <f t="shared" si="23"/>
        <v/>
      </c>
      <c r="AJ180" s="124" t="str">
        <f t="shared" si="28"/>
        <v/>
      </c>
      <c r="AK180" s="124" t="str">
        <f t="shared" si="29"/>
        <v/>
      </c>
      <c r="AL180" s="124" t="str">
        <f>IF(I180="","",IF(#REF!&gt;0,TRUE,FALSE))</f>
        <v/>
      </c>
      <c r="AM180" s="124">
        <v>170</v>
      </c>
      <c r="AN180" s="124"/>
      <c r="AO180" s="124" t="str">
        <f t="array" ref="AO180">IFERROR(INDEX($AM$11:$AM$259, MATCH(0, IF(TRUE=$AJ$11:$AJ$259, COUNTIF($AO$10:$AO179, $AM$11:$AM$259), ""), 0)),"")</f>
        <v/>
      </c>
      <c r="AP180" s="124" t="str">
        <f t="array" ref="AP180">IFERROR(INDEX($AM$11:$AM$259, MATCH(0, IF(TRUE=$AK$11:$AK$259, COUNTIF($AP$10:$AP179, $AM$11:$AM$259), ""), 0)),"")</f>
        <v/>
      </c>
      <c r="AQ180" s="124" t="str">
        <f t="array" ref="AQ180">IFERROR(INDEX($AM$11:$AM$259, MATCH(0, IF(TRUE=$AL$11:$AL$259, COUNTIF($AQ$10:$AQ179, $AM$11:$AM$259), ""), 0)),"")</f>
        <v/>
      </c>
      <c r="AU180" s="30">
        <f t="shared" si="30"/>
        <v>0</v>
      </c>
      <c r="AY180" s="374" t="str">
        <f t="shared" si="26"/>
        <v/>
      </c>
    </row>
    <row r="181" spans="1:51">
      <c r="A181" s="30" t="str">
        <f>IFERROR(INDEX('G-1 All Habitats'!$AG$3:$AG$17,MATCH(E181,'G-1 All Habitats'!$AF$3:$AF$17,0)),"")</f>
        <v/>
      </c>
      <c r="B181" s="30" t="str">
        <f>IFERROR(INDEX('G-8 Condition Look up'!$I$4:$I$135,MATCH(G181,'G-8 Condition Look up'!$A$4:$A$135,0)),"")</f>
        <v/>
      </c>
      <c r="D181" s="110">
        <v>171</v>
      </c>
      <c r="E181" s="339"/>
      <c r="F181" s="340"/>
      <c r="G181" s="295" t="str">
        <f>IFERROR(INDEX('G-1 All Habitats'!$B$3:$B$134,MATCH(F181,'G-1 All Habitats'!$A$3:$A$134,0)),"")</f>
        <v/>
      </c>
      <c r="H181" s="139"/>
      <c r="I181" s="722" t="str">
        <f>IF(G181="","",VLOOKUP(G181,'G-1 All Habitats'!$B$2:$M$134,10,FALSE))</f>
        <v/>
      </c>
      <c r="J181" s="490" t="str">
        <f>IFERROR(VLOOKUP(I181,'G-1 All Habitats'!$V$3:$W$7,2,FALSE),"")</f>
        <v/>
      </c>
      <c r="K181" s="114"/>
      <c r="L181" s="490" t="str">
        <f>IFERROR(INDEX('G-8 Condition Look up'!$A$3:$H$135,MATCH(G181,'G-8 Condition Look up'!$A$3:$A$135,0),MATCH(K181,'G-8 Condition Look up'!$A$3:$H$3,0)),"")</f>
        <v/>
      </c>
      <c r="M181" s="738"/>
      <c r="N181" s="404" t="str">
        <f>IF(M181="","",IF(VLOOKUP(M181,'G-3 Multipliers'!$L$3:$N$6,2,FALSE)=0,"Spatial Data Missing ⚠",VLOOKUP(M181,'G-3 Multipliers'!$L$3:$N$6,2,FALSE)))</f>
        <v/>
      </c>
      <c r="O181" s="452" t="str">
        <f>IF(M181="","",IF(VLOOKUP(M181,'G-3 Multipliers'!$L$3:$N$6,3,FALSE)=0,"Spatial Data Missing ⚠",VLOOKUP(M181,'G-3 Multipliers'!$L$3:$N$6,3,FALSE)))</f>
        <v/>
      </c>
      <c r="P181" s="369" t="str">
        <f>IFERROR(VLOOKUP(G181,'G-1 All Habitats'!$B$2:$M$134,12,FALSE),"")</f>
        <v/>
      </c>
      <c r="Q181" s="725" t="str">
        <f>IFERROR(IF(P181="","",IF(AND(P181='G-1 All Habitats'!$X$3,W181&gt;0),X181+(Y181*S181),IF(AND(P181='G-1 All Habitats'!$X$3,V181&gt;0),X181+(Y181*S181),IF(AND(P181='G-1 All Habitats'!$X$3,AG181&gt;0),"Any Loss Unacceptable  ⚠",IF(AND(P181='G-1 All Habitats'!$X$3,Z181&gt;0),"Any Loss Unacceptable ⚠",H181*J181*L181*O181*S181))))),"Check Data ⚠")</f>
        <v/>
      </c>
      <c r="R181" s="516"/>
      <c r="S181" s="724" t="str">
        <f>IF(R181="","",IF(VLOOKUP(R181,'G-3 Multipliers'!$S$3:$T$10,2,FALSE)=0,"Spatial Data Missing ⚠",VLOOKUP(R181,'G-3 Multipliers'!$S$3:$T$10,2,FALSE)))</f>
        <v/>
      </c>
      <c r="T181" s="376" t="str">
        <f>IFERROR(IF(P181="","",IF(AND(P181='G-1 All Habitats'!$X$3,W181&gt;0),X181+Y181,IF(AND(P181='G-1 All Habitats'!$X$3,V181&gt;0),X181+Y181,IF(AND(P181='G-1 All Habitats'!$X$3,AG181&gt;0),"Any Loss Unacceptable ⚠", IF(R181="","", IF(AND(P181='G-1 All Habitats'!$X$3,Z181&gt;0),"Any Loss Unacceptable ⚠",H181*J181*L181*O181)))))),"Check Data ⚠")</f>
        <v/>
      </c>
      <c r="U181" s="38"/>
      <c r="V181" s="54"/>
      <c r="W181" s="55"/>
      <c r="X181" s="374" t="str">
        <f t="shared" si="21"/>
        <v/>
      </c>
      <c r="Y181" s="374" t="str">
        <f t="shared" si="22"/>
        <v/>
      </c>
      <c r="Z181" s="374" t="str">
        <f>IF(E181="","",IF(H181&lt;V181+W181,"Error in Areas ▲",IF(P181&lt;&gt;'G-1 All Habitats'!$X$3,H181-V181-W181,IF(AND(P181='G-1 All Habitats'!$X$3,AB181="Yes"),"Unacceptable Loss ⚠",IF(AND(P181='G-1 All Habitats'!$X$3,AB181="No"),AG181,IF(AND(P181='G-1 All Habitats'!$X$3,AB181=""),AG181,IF(AND(P181='G-1 All Habitats'!$X$3,AG181="None",AG181),IF(AND(P181='G-1 All Habitats'!$X$3,AG181&gt;0),H181-V181-W181))))))))</f>
        <v/>
      </c>
      <c r="AA181" s="405" t="str">
        <f>IFERROR(IF(H181="","",IF(H181-V181-W181=0&lt;0,"Error in Areas ▲",IF(V181+W181&gt;H181,"Error in Areas ▲",IF(AND(P181='G-1 All Habitats'!$X$3,AB181="Yes"),"Alternative Compensation ✓",IF(Z181=0,0,IF(P181='G-1 All Habitats'!$X$3,"Any Loss Unacceptable ▲",T181-X181-Y181)))))),"Check Data ⚠")</f>
        <v/>
      </c>
      <c r="AB181" s="837"/>
      <c r="AC181" s="119"/>
      <c r="AD181" s="528"/>
      <c r="AE181" s="120"/>
      <c r="AF181" s="687"/>
      <c r="AG181" s="744" t="str">
        <f>IF(P181="","",IF(P181='G-1 All Habitats'!$X$3,H181-V181-W181,"None"))</f>
        <v/>
      </c>
      <c r="AH181" s="744" t="str">
        <f t="shared" si="23"/>
        <v/>
      </c>
      <c r="AJ181" s="124" t="str">
        <f t="shared" si="28"/>
        <v/>
      </c>
      <c r="AK181" s="124" t="str">
        <f t="shared" si="29"/>
        <v/>
      </c>
      <c r="AL181" s="124" t="str">
        <f>IF(I181="","",IF(#REF!&gt;0,TRUE,FALSE))</f>
        <v/>
      </c>
      <c r="AM181" s="124">
        <v>171</v>
      </c>
      <c r="AN181" s="124"/>
      <c r="AO181" s="124" t="str">
        <f t="array" ref="AO181">IFERROR(INDEX($AM$11:$AM$259, MATCH(0, IF(TRUE=$AJ$11:$AJ$259, COUNTIF($AO$10:$AO180, $AM$11:$AM$259), ""), 0)),"")</f>
        <v/>
      </c>
      <c r="AP181" s="124" t="str">
        <f t="array" ref="AP181">IFERROR(INDEX($AM$11:$AM$259, MATCH(0, IF(TRUE=$AK$11:$AK$259, COUNTIF($AP$10:$AP180, $AM$11:$AM$259), ""), 0)),"")</f>
        <v/>
      </c>
      <c r="AQ181" s="124" t="str">
        <f t="array" ref="AQ181">IFERROR(INDEX($AM$11:$AM$259, MATCH(0, IF(TRUE=$AL$11:$AL$259, COUNTIF($AQ$10:$AQ180, $AM$11:$AM$259), ""), 0)),"")</f>
        <v/>
      </c>
      <c r="AU181" s="30">
        <f t="shared" si="30"/>
        <v>0</v>
      </c>
      <c r="AY181" s="374" t="str">
        <f t="shared" si="26"/>
        <v/>
      </c>
    </row>
    <row r="182" spans="1:51">
      <c r="A182" s="30" t="str">
        <f>IFERROR(INDEX('G-1 All Habitats'!$AG$3:$AG$17,MATCH(E182,'G-1 All Habitats'!$AF$3:$AF$17,0)),"")</f>
        <v/>
      </c>
      <c r="B182" s="30" t="str">
        <f>IFERROR(INDEX('G-8 Condition Look up'!$I$4:$I$135,MATCH(G182,'G-8 Condition Look up'!$A$4:$A$135,0)),"")</f>
        <v/>
      </c>
      <c r="D182" s="110">
        <v>172</v>
      </c>
      <c r="E182" s="339"/>
      <c r="F182" s="340"/>
      <c r="G182" s="295" t="str">
        <f>IFERROR(INDEX('G-1 All Habitats'!$B$3:$B$134,MATCH(F182,'G-1 All Habitats'!$A$3:$A$134,0)),"")</f>
        <v/>
      </c>
      <c r="H182" s="139"/>
      <c r="I182" s="722" t="str">
        <f>IF(G182="","",VLOOKUP(G182,'G-1 All Habitats'!$B$2:$M$134,10,FALSE))</f>
        <v/>
      </c>
      <c r="J182" s="490" t="str">
        <f>IFERROR(VLOOKUP(I182,'G-1 All Habitats'!$V$3:$W$7,2,FALSE),"")</f>
        <v/>
      </c>
      <c r="K182" s="114"/>
      <c r="L182" s="490" t="str">
        <f>IFERROR(INDEX('G-8 Condition Look up'!$A$3:$H$135,MATCH(G182,'G-8 Condition Look up'!$A$3:$A$135,0),MATCH(K182,'G-8 Condition Look up'!$A$3:$H$3,0)),"")</f>
        <v/>
      </c>
      <c r="M182" s="738"/>
      <c r="N182" s="404" t="str">
        <f>IF(M182="","",IF(VLOOKUP(M182,'G-3 Multipliers'!$L$3:$N$6,2,FALSE)=0,"Spatial Data Missing ⚠",VLOOKUP(M182,'G-3 Multipliers'!$L$3:$N$6,2,FALSE)))</f>
        <v/>
      </c>
      <c r="O182" s="452" t="str">
        <f>IF(M182="","",IF(VLOOKUP(M182,'G-3 Multipliers'!$L$3:$N$6,3,FALSE)=0,"Spatial Data Missing ⚠",VLOOKUP(M182,'G-3 Multipliers'!$L$3:$N$6,3,FALSE)))</f>
        <v/>
      </c>
      <c r="P182" s="369" t="str">
        <f>IFERROR(VLOOKUP(G182,'G-1 All Habitats'!$B$2:$M$134,12,FALSE),"")</f>
        <v/>
      </c>
      <c r="Q182" s="725" t="str">
        <f>IFERROR(IF(P182="","",IF(AND(P182='G-1 All Habitats'!$X$3,W182&gt;0),X182+(Y182*S182),IF(AND(P182='G-1 All Habitats'!$X$3,V182&gt;0),X182+(Y182*S182),IF(AND(P182='G-1 All Habitats'!$X$3,AG182&gt;0),"Any Loss Unacceptable  ⚠",IF(AND(P182='G-1 All Habitats'!$X$3,Z182&gt;0),"Any Loss Unacceptable ⚠",H182*J182*L182*O182*S182))))),"Check Data ⚠")</f>
        <v/>
      </c>
      <c r="R182" s="516"/>
      <c r="S182" s="724" t="str">
        <f>IF(R182="","",IF(VLOOKUP(R182,'G-3 Multipliers'!$S$3:$T$10,2,FALSE)=0,"Spatial Data Missing ⚠",VLOOKUP(R182,'G-3 Multipliers'!$S$3:$T$10,2,FALSE)))</f>
        <v/>
      </c>
      <c r="T182" s="376" t="str">
        <f>IFERROR(IF(P182="","",IF(AND(P182='G-1 All Habitats'!$X$3,W182&gt;0),X182+Y182,IF(AND(P182='G-1 All Habitats'!$X$3,V182&gt;0),X182+Y182,IF(AND(P182='G-1 All Habitats'!$X$3,AG182&gt;0),"Any Loss Unacceptable ⚠", IF(R182="","", IF(AND(P182='G-1 All Habitats'!$X$3,Z182&gt;0),"Any Loss Unacceptable ⚠",H182*J182*L182*O182)))))),"Check Data ⚠")</f>
        <v/>
      </c>
      <c r="U182" s="38"/>
      <c r="V182" s="54"/>
      <c r="W182" s="55"/>
      <c r="X182" s="374" t="str">
        <f t="shared" si="21"/>
        <v/>
      </c>
      <c r="Y182" s="374" t="str">
        <f t="shared" si="22"/>
        <v/>
      </c>
      <c r="Z182" s="374" t="str">
        <f>IF(E182="","",IF(H182&lt;V182+W182,"Error in Areas ▲",IF(P182&lt;&gt;'G-1 All Habitats'!$X$3,H182-V182-W182,IF(AND(P182='G-1 All Habitats'!$X$3,AB182="Yes"),"Unacceptable Loss ⚠",IF(AND(P182='G-1 All Habitats'!$X$3,AB182="No"),AG182,IF(AND(P182='G-1 All Habitats'!$X$3,AB182=""),AG182,IF(AND(P182='G-1 All Habitats'!$X$3,AG182="None",AG182),IF(AND(P182='G-1 All Habitats'!$X$3,AG182&gt;0),H182-V182-W182))))))))</f>
        <v/>
      </c>
      <c r="AA182" s="405" t="str">
        <f>IFERROR(IF(H182="","",IF(H182-V182-W182=0&lt;0,"Error in Areas ▲",IF(V182+W182&gt;H182,"Error in Areas ▲",IF(AND(P182='G-1 All Habitats'!$X$3,AB182="Yes"),"Alternative Compensation ✓",IF(Z182=0,0,IF(P182='G-1 All Habitats'!$X$3,"Any Loss Unacceptable ▲",T182-X182-Y182)))))),"Check Data ⚠")</f>
        <v/>
      </c>
      <c r="AB182" s="837"/>
      <c r="AC182" s="119"/>
      <c r="AD182" s="528"/>
      <c r="AE182" s="120"/>
      <c r="AF182" s="687"/>
      <c r="AG182" s="744" t="str">
        <f>IF(P182="","",IF(P182='G-1 All Habitats'!$X$3,H182-V182-W182,"None"))</f>
        <v/>
      </c>
      <c r="AH182" s="744" t="str">
        <f t="shared" si="23"/>
        <v/>
      </c>
      <c r="AJ182" s="124" t="str">
        <f t="shared" si="28"/>
        <v/>
      </c>
      <c r="AK182" s="124" t="str">
        <f t="shared" si="29"/>
        <v/>
      </c>
      <c r="AL182" s="124" t="str">
        <f>IF(I182="","",IF(#REF!&gt;0,TRUE,FALSE))</f>
        <v/>
      </c>
      <c r="AM182" s="124">
        <v>172</v>
      </c>
      <c r="AN182" s="124"/>
      <c r="AO182" s="124" t="str">
        <f t="array" ref="AO182">IFERROR(INDEX($AM$11:$AM$259, MATCH(0, IF(TRUE=$AJ$11:$AJ$259, COUNTIF($AO$10:$AO181, $AM$11:$AM$259), ""), 0)),"")</f>
        <v/>
      </c>
      <c r="AP182" s="124" t="str">
        <f t="array" ref="AP182">IFERROR(INDEX($AM$11:$AM$259, MATCH(0, IF(TRUE=$AK$11:$AK$259, COUNTIF($AP$10:$AP181, $AM$11:$AM$259), ""), 0)),"")</f>
        <v/>
      </c>
      <c r="AQ182" s="124" t="str">
        <f t="array" ref="AQ182">IFERROR(INDEX($AM$11:$AM$259, MATCH(0, IF(TRUE=$AL$11:$AL$259, COUNTIF($AQ$10:$AQ181, $AM$11:$AM$259), ""), 0)),"")</f>
        <v/>
      </c>
      <c r="AU182" s="30">
        <f t="shared" si="30"/>
        <v>0</v>
      </c>
      <c r="AY182" s="374" t="str">
        <f t="shared" si="26"/>
        <v/>
      </c>
    </row>
    <row r="183" spans="1:51">
      <c r="A183" s="30" t="str">
        <f>IFERROR(INDEX('G-1 All Habitats'!$AG$3:$AG$17,MATCH(E183,'G-1 All Habitats'!$AF$3:$AF$17,0)),"")</f>
        <v/>
      </c>
      <c r="B183" s="30" t="str">
        <f>IFERROR(INDEX('G-8 Condition Look up'!$I$4:$I$135,MATCH(G183,'G-8 Condition Look up'!$A$4:$A$135,0)),"")</f>
        <v/>
      </c>
      <c r="D183" s="110">
        <v>173</v>
      </c>
      <c r="E183" s="339"/>
      <c r="F183" s="340"/>
      <c r="G183" s="295" t="str">
        <f>IFERROR(INDEX('G-1 All Habitats'!$B$3:$B$134,MATCH(F183,'G-1 All Habitats'!$A$3:$A$134,0)),"")</f>
        <v/>
      </c>
      <c r="H183" s="139"/>
      <c r="I183" s="722" t="str">
        <f>IF(G183="","",VLOOKUP(G183,'G-1 All Habitats'!$B$2:$M$134,10,FALSE))</f>
        <v/>
      </c>
      <c r="J183" s="490" t="str">
        <f>IFERROR(VLOOKUP(I183,'G-1 All Habitats'!$V$3:$W$7,2,FALSE),"")</f>
        <v/>
      </c>
      <c r="K183" s="114"/>
      <c r="L183" s="490" t="str">
        <f>IFERROR(INDEX('G-8 Condition Look up'!$A$3:$H$135,MATCH(G183,'G-8 Condition Look up'!$A$3:$A$135,0),MATCH(K183,'G-8 Condition Look up'!$A$3:$H$3,0)),"")</f>
        <v/>
      </c>
      <c r="M183" s="738"/>
      <c r="N183" s="404" t="str">
        <f>IF(M183="","",IF(VLOOKUP(M183,'G-3 Multipliers'!$L$3:$N$6,2,FALSE)=0,"Spatial Data Missing ⚠",VLOOKUP(M183,'G-3 Multipliers'!$L$3:$N$6,2,FALSE)))</f>
        <v/>
      </c>
      <c r="O183" s="452" t="str">
        <f>IF(M183="","",IF(VLOOKUP(M183,'G-3 Multipliers'!$L$3:$N$6,3,FALSE)=0,"Spatial Data Missing ⚠",VLOOKUP(M183,'G-3 Multipliers'!$L$3:$N$6,3,FALSE)))</f>
        <v/>
      </c>
      <c r="P183" s="369" t="str">
        <f>IFERROR(VLOOKUP(G183,'G-1 All Habitats'!$B$2:$M$134,12,FALSE),"")</f>
        <v/>
      </c>
      <c r="Q183" s="725" t="str">
        <f>IFERROR(IF(P183="","",IF(AND(P183='G-1 All Habitats'!$X$3,W183&gt;0),X183+(Y183*S183),IF(AND(P183='G-1 All Habitats'!$X$3,V183&gt;0),X183+(Y183*S183),IF(AND(P183='G-1 All Habitats'!$X$3,AG183&gt;0),"Any Loss Unacceptable  ⚠",IF(AND(P183='G-1 All Habitats'!$X$3,Z183&gt;0),"Any Loss Unacceptable ⚠",H183*J183*L183*O183*S183))))),"Check Data ⚠")</f>
        <v/>
      </c>
      <c r="R183" s="516"/>
      <c r="S183" s="724" t="str">
        <f>IF(R183="","",IF(VLOOKUP(R183,'G-3 Multipliers'!$S$3:$T$10,2,FALSE)=0,"Spatial Data Missing ⚠",VLOOKUP(R183,'G-3 Multipliers'!$S$3:$T$10,2,FALSE)))</f>
        <v/>
      </c>
      <c r="T183" s="376" t="str">
        <f>IFERROR(IF(P183="","",IF(AND(P183='G-1 All Habitats'!$X$3,W183&gt;0),X183+Y183,IF(AND(P183='G-1 All Habitats'!$X$3,V183&gt;0),X183+Y183,IF(AND(P183='G-1 All Habitats'!$X$3,AG183&gt;0),"Any Loss Unacceptable ⚠", IF(R183="","", IF(AND(P183='G-1 All Habitats'!$X$3,Z183&gt;0),"Any Loss Unacceptable ⚠",H183*J183*L183*O183)))))),"Check Data ⚠")</f>
        <v/>
      </c>
      <c r="U183" s="38"/>
      <c r="V183" s="54"/>
      <c r="W183" s="55"/>
      <c r="X183" s="374" t="str">
        <f t="shared" si="21"/>
        <v/>
      </c>
      <c r="Y183" s="374" t="str">
        <f t="shared" si="22"/>
        <v/>
      </c>
      <c r="Z183" s="374" t="str">
        <f>IF(E183="","",IF(H183&lt;V183+W183,"Error in Areas ▲",IF(P183&lt;&gt;'G-1 All Habitats'!$X$3,H183-V183-W183,IF(AND(P183='G-1 All Habitats'!$X$3,AB183="Yes"),"Unacceptable Loss ⚠",IF(AND(P183='G-1 All Habitats'!$X$3,AB183="No"),AG183,IF(AND(P183='G-1 All Habitats'!$X$3,AB183=""),AG183,IF(AND(P183='G-1 All Habitats'!$X$3,AG183="None",AG183),IF(AND(P183='G-1 All Habitats'!$X$3,AG183&gt;0),H183-V183-W183))))))))</f>
        <v/>
      </c>
      <c r="AA183" s="405" t="str">
        <f>IFERROR(IF(H183="","",IF(H183-V183-W183=0&lt;0,"Error in Areas ▲",IF(V183+W183&gt;H183,"Error in Areas ▲",IF(AND(P183='G-1 All Habitats'!$X$3,AB183="Yes"),"Alternative Compensation ✓",IF(Z183=0,0,IF(P183='G-1 All Habitats'!$X$3,"Any Loss Unacceptable ▲",T183-X183-Y183)))))),"Check Data ⚠")</f>
        <v/>
      </c>
      <c r="AB183" s="837"/>
      <c r="AC183" s="119"/>
      <c r="AD183" s="528"/>
      <c r="AE183" s="120"/>
      <c r="AF183" s="687"/>
      <c r="AG183" s="744" t="str">
        <f>IF(P183="","",IF(P183='G-1 All Habitats'!$X$3,H183-V183-W183,"None"))</f>
        <v/>
      </c>
      <c r="AH183" s="744" t="str">
        <f t="shared" si="23"/>
        <v/>
      </c>
      <c r="AJ183" s="124" t="str">
        <f t="shared" si="28"/>
        <v/>
      </c>
      <c r="AK183" s="124" t="str">
        <f t="shared" si="29"/>
        <v/>
      </c>
      <c r="AL183" s="124" t="str">
        <f>IF(I183="","",IF(#REF!&gt;0,TRUE,FALSE))</f>
        <v/>
      </c>
      <c r="AM183" s="124">
        <v>173</v>
      </c>
      <c r="AN183" s="124"/>
      <c r="AO183" s="124" t="str">
        <f t="array" ref="AO183">IFERROR(INDEX($AM$11:$AM$259, MATCH(0, IF(TRUE=$AJ$11:$AJ$259, COUNTIF($AO$10:$AO182, $AM$11:$AM$259), ""), 0)),"")</f>
        <v/>
      </c>
      <c r="AP183" s="124" t="str">
        <f t="array" ref="AP183">IFERROR(INDEX($AM$11:$AM$259, MATCH(0, IF(TRUE=$AK$11:$AK$259, COUNTIF($AP$10:$AP182, $AM$11:$AM$259), ""), 0)),"")</f>
        <v/>
      </c>
      <c r="AQ183" s="124" t="str">
        <f t="array" ref="AQ183">IFERROR(INDEX($AM$11:$AM$259, MATCH(0, IF(TRUE=$AL$11:$AL$259, COUNTIF($AQ$10:$AQ182, $AM$11:$AM$259), ""), 0)),"")</f>
        <v/>
      </c>
      <c r="AU183" s="30">
        <f t="shared" si="30"/>
        <v>0</v>
      </c>
      <c r="AY183" s="374" t="str">
        <f t="shared" si="26"/>
        <v/>
      </c>
    </row>
    <row r="184" spans="1:51">
      <c r="A184" s="30" t="str">
        <f>IFERROR(INDEX('G-1 All Habitats'!$AG$3:$AG$17,MATCH(E184,'G-1 All Habitats'!$AF$3:$AF$17,0)),"")</f>
        <v/>
      </c>
      <c r="B184" s="30" t="str">
        <f>IFERROR(INDEX('G-8 Condition Look up'!$I$4:$I$135,MATCH(G184,'G-8 Condition Look up'!$A$4:$A$135,0)),"")</f>
        <v/>
      </c>
      <c r="D184" s="110">
        <v>174</v>
      </c>
      <c r="E184" s="339"/>
      <c r="F184" s="340"/>
      <c r="G184" s="295" t="str">
        <f>IFERROR(INDEX('G-1 All Habitats'!$B$3:$B$134,MATCH(F184,'G-1 All Habitats'!$A$3:$A$134,0)),"")</f>
        <v/>
      </c>
      <c r="H184" s="139"/>
      <c r="I184" s="722" t="str">
        <f>IF(G184="","",VLOOKUP(G184,'G-1 All Habitats'!$B$2:$M$134,10,FALSE))</f>
        <v/>
      </c>
      <c r="J184" s="490" t="str">
        <f>IFERROR(VLOOKUP(I184,'G-1 All Habitats'!$V$3:$W$7,2,FALSE),"")</f>
        <v/>
      </c>
      <c r="K184" s="114"/>
      <c r="L184" s="490" t="str">
        <f>IFERROR(INDEX('G-8 Condition Look up'!$A$3:$H$135,MATCH(G184,'G-8 Condition Look up'!$A$3:$A$135,0),MATCH(K184,'G-8 Condition Look up'!$A$3:$H$3,0)),"")</f>
        <v/>
      </c>
      <c r="M184" s="738"/>
      <c r="N184" s="404" t="str">
        <f>IF(M184="","",IF(VLOOKUP(M184,'G-3 Multipliers'!$L$3:$N$6,2,FALSE)=0,"Spatial Data Missing ⚠",VLOOKUP(M184,'G-3 Multipliers'!$L$3:$N$6,2,FALSE)))</f>
        <v/>
      </c>
      <c r="O184" s="452" t="str">
        <f>IF(M184="","",IF(VLOOKUP(M184,'G-3 Multipliers'!$L$3:$N$6,3,FALSE)=0,"Spatial Data Missing ⚠",VLOOKUP(M184,'G-3 Multipliers'!$L$3:$N$6,3,FALSE)))</f>
        <v/>
      </c>
      <c r="P184" s="369" t="str">
        <f>IFERROR(VLOOKUP(G184,'G-1 All Habitats'!$B$2:$M$134,12,FALSE),"")</f>
        <v/>
      </c>
      <c r="Q184" s="725" t="str">
        <f>IFERROR(IF(P184="","",IF(AND(P184='G-1 All Habitats'!$X$3,W184&gt;0),X184+(Y184*S184),IF(AND(P184='G-1 All Habitats'!$X$3,V184&gt;0),X184+(Y184*S184),IF(AND(P184='G-1 All Habitats'!$X$3,AG184&gt;0),"Any Loss Unacceptable  ⚠",IF(AND(P184='G-1 All Habitats'!$X$3,Z184&gt;0),"Any Loss Unacceptable ⚠",H184*J184*L184*O184*S184))))),"Check Data ⚠")</f>
        <v/>
      </c>
      <c r="R184" s="516"/>
      <c r="S184" s="724" t="str">
        <f>IF(R184="","",IF(VLOOKUP(R184,'G-3 Multipliers'!$S$3:$T$10,2,FALSE)=0,"Spatial Data Missing ⚠",VLOOKUP(R184,'G-3 Multipliers'!$S$3:$T$10,2,FALSE)))</f>
        <v/>
      </c>
      <c r="T184" s="376" t="str">
        <f>IFERROR(IF(P184="","",IF(AND(P184='G-1 All Habitats'!$X$3,W184&gt;0),X184+Y184,IF(AND(P184='G-1 All Habitats'!$X$3,V184&gt;0),X184+Y184,IF(AND(P184='G-1 All Habitats'!$X$3,AG184&gt;0),"Any Loss Unacceptable ⚠", IF(R184="","", IF(AND(P184='G-1 All Habitats'!$X$3,Z184&gt;0),"Any Loss Unacceptable ⚠",H184*J184*L184*O184)))))),"Check Data ⚠")</f>
        <v/>
      </c>
      <c r="U184" s="38"/>
      <c r="V184" s="54"/>
      <c r="W184" s="55"/>
      <c r="X184" s="374" t="str">
        <f t="shared" si="21"/>
        <v/>
      </c>
      <c r="Y184" s="374" t="str">
        <f t="shared" si="22"/>
        <v/>
      </c>
      <c r="Z184" s="374" t="str">
        <f>IF(E184="","",IF(H184&lt;V184+W184,"Error in Areas ▲",IF(P184&lt;&gt;'G-1 All Habitats'!$X$3,H184-V184-W184,IF(AND(P184='G-1 All Habitats'!$X$3,AB184="Yes"),"Unacceptable Loss ⚠",IF(AND(P184='G-1 All Habitats'!$X$3,AB184="No"),AG184,IF(AND(P184='G-1 All Habitats'!$X$3,AB184=""),AG184,IF(AND(P184='G-1 All Habitats'!$X$3,AG184="None",AG184),IF(AND(P184='G-1 All Habitats'!$X$3,AG184&gt;0),H184-V184-W184))))))))</f>
        <v/>
      </c>
      <c r="AA184" s="405" t="str">
        <f>IFERROR(IF(H184="","",IF(H184-V184-W184=0&lt;0,"Error in Areas ▲",IF(V184+W184&gt;H184,"Error in Areas ▲",IF(AND(P184='G-1 All Habitats'!$X$3,AB184="Yes"),"Alternative Compensation ✓",IF(Z184=0,0,IF(P184='G-1 All Habitats'!$X$3,"Any Loss Unacceptable ▲",T184-X184-Y184)))))),"Check Data ⚠")</f>
        <v/>
      </c>
      <c r="AB184" s="837"/>
      <c r="AC184" s="119"/>
      <c r="AD184" s="528"/>
      <c r="AE184" s="120"/>
      <c r="AF184" s="687"/>
      <c r="AG184" s="744" t="str">
        <f>IF(P184="","",IF(P184='G-1 All Habitats'!$X$3,H184-V184-W184,"None"))</f>
        <v/>
      </c>
      <c r="AH184" s="744" t="str">
        <f t="shared" si="23"/>
        <v/>
      </c>
      <c r="AJ184" s="124" t="str">
        <f t="shared" si="28"/>
        <v/>
      </c>
      <c r="AK184" s="124" t="str">
        <f t="shared" si="29"/>
        <v/>
      </c>
      <c r="AL184" s="124" t="str">
        <f>IF(I184="","",IF(#REF!&gt;0,TRUE,FALSE))</f>
        <v/>
      </c>
      <c r="AM184" s="124">
        <v>174</v>
      </c>
      <c r="AN184" s="124"/>
      <c r="AO184" s="124" t="str">
        <f t="array" ref="AO184">IFERROR(INDEX($AM$11:$AM$259, MATCH(0, IF(TRUE=$AJ$11:$AJ$259, COUNTIF($AO$10:$AO183, $AM$11:$AM$259), ""), 0)),"")</f>
        <v/>
      </c>
      <c r="AP184" s="124" t="str">
        <f t="array" ref="AP184">IFERROR(INDEX($AM$11:$AM$259, MATCH(0, IF(TRUE=$AK$11:$AK$259, COUNTIF($AP$10:$AP183, $AM$11:$AM$259), ""), 0)),"")</f>
        <v/>
      </c>
      <c r="AQ184" s="124" t="str">
        <f t="array" ref="AQ184">IFERROR(INDEX($AM$11:$AM$259, MATCH(0, IF(TRUE=$AL$11:$AL$259, COUNTIF($AQ$10:$AQ183, $AM$11:$AM$259), ""), 0)),"")</f>
        <v/>
      </c>
      <c r="AU184" s="30">
        <f t="shared" si="30"/>
        <v>0</v>
      </c>
      <c r="AY184" s="374" t="str">
        <f t="shared" si="26"/>
        <v/>
      </c>
    </row>
    <row r="185" spans="1:51">
      <c r="A185" s="30" t="str">
        <f>IFERROR(INDEX('G-1 All Habitats'!$AG$3:$AG$17,MATCH(E185,'G-1 All Habitats'!$AF$3:$AF$17,0)),"")</f>
        <v/>
      </c>
      <c r="B185" s="30" t="str">
        <f>IFERROR(INDEX('G-8 Condition Look up'!$I$4:$I$135,MATCH(G185,'G-8 Condition Look up'!$A$4:$A$135,0)),"")</f>
        <v/>
      </c>
      <c r="D185" s="110">
        <v>175</v>
      </c>
      <c r="E185" s="339"/>
      <c r="F185" s="340"/>
      <c r="G185" s="295" t="str">
        <f>IFERROR(INDEX('G-1 All Habitats'!$B$3:$B$134,MATCH(F185,'G-1 All Habitats'!$A$3:$A$134,0)),"")</f>
        <v/>
      </c>
      <c r="H185" s="139"/>
      <c r="I185" s="722" t="str">
        <f>IF(G185="","",VLOOKUP(G185,'G-1 All Habitats'!$B$2:$M$134,10,FALSE))</f>
        <v/>
      </c>
      <c r="J185" s="490" t="str">
        <f>IFERROR(VLOOKUP(I185,'G-1 All Habitats'!$V$3:$W$7,2,FALSE),"")</f>
        <v/>
      </c>
      <c r="K185" s="114"/>
      <c r="L185" s="490" t="str">
        <f>IFERROR(INDEX('G-8 Condition Look up'!$A$3:$H$135,MATCH(G185,'G-8 Condition Look up'!$A$3:$A$135,0),MATCH(K185,'G-8 Condition Look up'!$A$3:$H$3,0)),"")</f>
        <v/>
      </c>
      <c r="M185" s="738"/>
      <c r="N185" s="404" t="str">
        <f>IF(M185="","",IF(VLOOKUP(M185,'G-3 Multipliers'!$L$3:$N$6,2,FALSE)=0,"Spatial Data Missing ⚠",VLOOKUP(M185,'G-3 Multipliers'!$L$3:$N$6,2,FALSE)))</f>
        <v/>
      </c>
      <c r="O185" s="452" t="str">
        <f>IF(M185="","",IF(VLOOKUP(M185,'G-3 Multipliers'!$L$3:$N$6,3,FALSE)=0,"Spatial Data Missing ⚠",VLOOKUP(M185,'G-3 Multipliers'!$L$3:$N$6,3,FALSE)))</f>
        <v/>
      </c>
      <c r="P185" s="369" t="str">
        <f>IFERROR(VLOOKUP(G185,'G-1 All Habitats'!$B$2:$M$134,12,FALSE),"")</f>
        <v/>
      </c>
      <c r="Q185" s="725" t="str">
        <f>IFERROR(IF(P185="","",IF(AND(P185='G-1 All Habitats'!$X$3,W185&gt;0),X185+(Y185*S185),IF(AND(P185='G-1 All Habitats'!$X$3,V185&gt;0),X185+(Y185*S185),IF(AND(P185='G-1 All Habitats'!$X$3,AG185&gt;0),"Any Loss Unacceptable  ⚠",IF(AND(P185='G-1 All Habitats'!$X$3,Z185&gt;0),"Any Loss Unacceptable ⚠",H185*J185*L185*O185*S185))))),"Check Data ⚠")</f>
        <v/>
      </c>
      <c r="R185" s="516"/>
      <c r="S185" s="724" t="str">
        <f>IF(R185="","",IF(VLOOKUP(R185,'G-3 Multipliers'!$S$3:$T$10,2,FALSE)=0,"Spatial Data Missing ⚠",VLOOKUP(R185,'G-3 Multipliers'!$S$3:$T$10,2,FALSE)))</f>
        <v/>
      </c>
      <c r="T185" s="376" t="str">
        <f>IFERROR(IF(P185="","",IF(AND(P185='G-1 All Habitats'!$X$3,W185&gt;0),X185+Y185,IF(AND(P185='G-1 All Habitats'!$X$3,V185&gt;0),X185+Y185,IF(AND(P185='G-1 All Habitats'!$X$3,AG185&gt;0),"Any Loss Unacceptable ⚠", IF(R185="","", IF(AND(P185='G-1 All Habitats'!$X$3,Z185&gt;0),"Any Loss Unacceptable ⚠",H185*J185*L185*O185)))))),"Check Data ⚠")</f>
        <v/>
      </c>
      <c r="U185" s="38"/>
      <c r="V185" s="54"/>
      <c r="W185" s="55"/>
      <c r="X185" s="374" t="str">
        <f t="shared" si="21"/>
        <v/>
      </c>
      <c r="Y185" s="374" t="str">
        <f t="shared" si="22"/>
        <v/>
      </c>
      <c r="Z185" s="374" t="str">
        <f>IF(E185="","",IF(H185&lt;V185+W185,"Error in Areas ▲",IF(P185&lt;&gt;'G-1 All Habitats'!$X$3,H185-V185-W185,IF(AND(P185='G-1 All Habitats'!$X$3,AB185="Yes"),"Unacceptable Loss ⚠",IF(AND(P185='G-1 All Habitats'!$X$3,AB185="No"),AG185,IF(AND(P185='G-1 All Habitats'!$X$3,AB185=""),AG185,IF(AND(P185='G-1 All Habitats'!$X$3,AG185="None",AG185),IF(AND(P185='G-1 All Habitats'!$X$3,AG185&gt;0),H185-V185-W185))))))))</f>
        <v/>
      </c>
      <c r="AA185" s="405" t="str">
        <f>IFERROR(IF(H185="","",IF(H185-V185-W185=0&lt;0,"Error in Areas ▲",IF(V185+W185&gt;H185,"Error in Areas ▲",IF(AND(P185='G-1 All Habitats'!$X$3,AB185="Yes"),"Alternative Compensation ✓",IF(Z185=0,0,IF(P185='G-1 All Habitats'!$X$3,"Any Loss Unacceptable ▲",T185-X185-Y185)))))),"Check Data ⚠")</f>
        <v/>
      </c>
      <c r="AB185" s="837"/>
      <c r="AC185" s="119"/>
      <c r="AD185" s="528"/>
      <c r="AE185" s="120"/>
      <c r="AF185" s="687"/>
      <c r="AG185" s="744" t="str">
        <f>IF(P185="","",IF(P185='G-1 All Habitats'!$X$3,H185-V185-W185,"None"))</f>
        <v/>
      </c>
      <c r="AH185" s="744" t="str">
        <f t="shared" si="23"/>
        <v/>
      </c>
      <c r="AJ185" s="124" t="str">
        <f t="shared" si="28"/>
        <v/>
      </c>
      <c r="AK185" s="124" t="str">
        <f t="shared" si="29"/>
        <v/>
      </c>
      <c r="AL185" s="124" t="str">
        <f>IF(I185="","",IF(#REF!&gt;0,TRUE,FALSE))</f>
        <v/>
      </c>
      <c r="AM185" s="124">
        <v>175</v>
      </c>
      <c r="AN185" s="124"/>
      <c r="AO185" s="124" t="str">
        <f t="array" ref="AO185">IFERROR(INDEX($AM$11:$AM$259, MATCH(0, IF(TRUE=$AJ$11:$AJ$259, COUNTIF($AO$10:$AO184, $AM$11:$AM$259), ""), 0)),"")</f>
        <v/>
      </c>
      <c r="AP185" s="124" t="str">
        <f t="array" ref="AP185">IFERROR(INDEX($AM$11:$AM$259, MATCH(0, IF(TRUE=$AK$11:$AK$259, COUNTIF($AP$10:$AP184, $AM$11:$AM$259), ""), 0)),"")</f>
        <v/>
      </c>
      <c r="AQ185" s="124" t="str">
        <f t="array" ref="AQ185">IFERROR(INDEX($AM$11:$AM$259, MATCH(0, IF(TRUE=$AL$11:$AL$259, COUNTIF($AQ$10:$AQ184, $AM$11:$AM$259), ""), 0)),"")</f>
        <v/>
      </c>
      <c r="AU185" s="30">
        <f t="shared" si="30"/>
        <v>0</v>
      </c>
      <c r="AY185" s="374" t="str">
        <f t="shared" si="26"/>
        <v/>
      </c>
    </row>
    <row r="186" spans="1:51">
      <c r="A186" s="30" t="str">
        <f>IFERROR(INDEX('G-1 All Habitats'!$AG$3:$AG$17,MATCH(E186,'G-1 All Habitats'!$AF$3:$AF$17,0)),"")</f>
        <v/>
      </c>
      <c r="B186" s="30" t="str">
        <f>IFERROR(INDEX('G-8 Condition Look up'!$I$4:$I$135,MATCH(G186,'G-8 Condition Look up'!$A$4:$A$135,0)),"")</f>
        <v/>
      </c>
      <c r="D186" s="110">
        <v>176</v>
      </c>
      <c r="E186" s="339"/>
      <c r="F186" s="340"/>
      <c r="G186" s="295" t="str">
        <f>IFERROR(INDEX('G-1 All Habitats'!$B$3:$B$134,MATCH(F186,'G-1 All Habitats'!$A$3:$A$134,0)),"")</f>
        <v/>
      </c>
      <c r="H186" s="139"/>
      <c r="I186" s="722" t="str">
        <f>IF(G186="","",VLOOKUP(G186,'G-1 All Habitats'!$B$2:$M$134,10,FALSE))</f>
        <v/>
      </c>
      <c r="J186" s="490" t="str">
        <f>IFERROR(VLOOKUP(I186,'G-1 All Habitats'!$V$3:$W$7,2,FALSE),"")</f>
        <v/>
      </c>
      <c r="K186" s="114"/>
      <c r="L186" s="490" t="str">
        <f>IFERROR(INDEX('G-8 Condition Look up'!$A$3:$H$135,MATCH(G186,'G-8 Condition Look up'!$A$3:$A$135,0),MATCH(K186,'G-8 Condition Look up'!$A$3:$H$3,0)),"")</f>
        <v/>
      </c>
      <c r="M186" s="738"/>
      <c r="N186" s="404" t="str">
        <f>IF(M186="","",IF(VLOOKUP(M186,'G-3 Multipliers'!$L$3:$N$6,2,FALSE)=0,"Spatial Data Missing ⚠",VLOOKUP(M186,'G-3 Multipliers'!$L$3:$N$6,2,FALSE)))</f>
        <v/>
      </c>
      <c r="O186" s="452" t="str">
        <f>IF(M186="","",IF(VLOOKUP(M186,'G-3 Multipliers'!$L$3:$N$6,3,FALSE)=0,"Spatial Data Missing ⚠",VLOOKUP(M186,'G-3 Multipliers'!$L$3:$N$6,3,FALSE)))</f>
        <v/>
      </c>
      <c r="P186" s="369" t="str">
        <f>IFERROR(VLOOKUP(G186,'G-1 All Habitats'!$B$2:$M$134,12,FALSE),"")</f>
        <v/>
      </c>
      <c r="Q186" s="725" t="str">
        <f>IFERROR(IF(P186="","",IF(AND(P186='G-1 All Habitats'!$X$3,W186&gt;0),X186+(Y186*S186),IF(AND(P186='G-1 All Habitats'!$X$3,V186&gt;0),X186+(Y186*S186),IF(AND(P186='G-1 All Habitats'!$X$3,AG186&gt;0),"Any Loss Unacceptable  ⚠",IF(AND(P186='G-1 All Habitats'!$X$3,Z186&gt;0),"Any Loss Unacceptable ⚠",H186*J186*L186*O186*S186))))),"Check Data ⚠")</f>
        <v/>
      </c>
      <c r="R186" s="516"/>
      <c r="S186" s="724" t="str">
        <f>IF(R186="","",IF(VLOOKUP(R186,'G-3 Multipliers'!$S$3:$T$10,2,FALSE)=0,"Spatial Data Missing ⚠",VLOOKUP(R186,'G-3 Multipliers'!$S$3:$T$10,2,FALSE)))</f>
        <v/>
      </c>
      <c r="T186" s="376" t="str">
        <f>IFERROR(IF(P186="","",IF(AND(P186='G-1 All Habitats'!$X$3,W186&gt;0),X186+Y186,IF(AND(P186='G-1 All Habitats'!$X$3,V186&gt;0),X186+Y186,IF(AND(P186='G-1 All Habitats'!$X$3,AG186&gt;0),"Any Loss Unacceptable ⚠", IF(R186="","", IF(AND(P186='G-1 All Habitats'!$X$3,Z186&gt;0),"Any Loss Unacceptable ⚠",H186*J186*L186*O186)))))),"Check Data ⚠")</f>
        <v/>
      </c>
      <c r="U186" s="38"/>
      <c r="V186" s="54"/>
      <c r="W186" s="55"/>
      <c r="X186" s="374" t="str">
        <f t="shared" si="21"/>
        <v/>
      </c>
      <c r="Y186" s="374" t="str">
        <f t="shared" si="22"/>
        <v/>
      </c>
      <c r="Z186" s="374" t="str">
        <f>IF(E186="","",IF(H186&lt;V186+W186,"Error in Areas ▲",IF(P186&lt;&gt;'G-1 All Habitats'!$X$3,H186-V186-W186,IF(AND(P186='G-1 All Habitats'!$X$3,AB186="Yes"),"Unacceptable Loss ⚠",IF(AND(P186='G-1 All Habitats'!$X$3,AB186="No"),AG186,IF(AND(P186='G-1 All Habitats'!$X$3,AB186=""),AG186,IF(AND(P186='G-1 All Habitats'!$X$3,AG186="None",AG186),IF(AND(P186='G-1 All Habitats'!$X$3,AG186&gt;0),H186-V186-W186))))))))</f>
        <v/>
      </c>
      <c r="AA186" s="405" t="str">
        <f>IFERROR(IF(H186="","",IF(H186-V186-W186=0&lt;0,"Error in Areas ▲",IF(V186+W186&gt;H186,"Error in Areas ▲",IF(AND(P186='G-1 All Habitats'!$X$3,AB186="Yes"),"Alternative Compensation ✓",IF(Z186=0,0,IF(P186='G-1 All Habitats'!$X$3,"Any Loss Unacceptable ▲",T186-X186-Y186)))))),"Check Data ⚠")</f>
        <v/>
      </c>
      <c r="AB186" s="837"/>
      <c r="AC186" s="119"/>
      <c r="AD186" s="528"/>
      <c r="AE186" s="120"/>
      <c r="AF186" s="687"/>
      <c r="AG186" s="744" t="str">
        <f>IF(P186="","",IF(P186='G-1 All Habitats'!$X$3,H186-V186-W186,"None"))</f>
        <v/>
      </c>
      <c r="AH186" s="744" t="str">
        <f t="shared" si="23"/>
        <v/>
      </c>
      <c r="AJ186" s="124" t="str">
        <f t="shared" si="28"/>
        <v/>
      </c>
      <c r="AK186" s="124" t="str">
        <f t="shared" si="29"/>
        <v/>
      </c>
      <c r="AL186" s="124" t="str">
        <f>IF(I186="","",IF(#REF!&gt;0,TRUE,FALSE))</f>
        <v/>
      </c>
      <c r="AM186" s="124">
        <v>176</v>
      </c>
      <c r="AN186" s="124"/>
      <c r="AO186" s="124" t="str">
        <f t="array" ref="AO186">IFERROR(INDEX($AM$11:$AM$259, MATCH(0, IF(TRUE=$AJ$11:$AJ$259, COUNTIF($AO$10:$AO185, $AM$11:$AM$259), ""), 0)),"")</f>
        <v/>
      </c>
      <c r="AP186" s="124" t="str">
        <f t="array" ref="AP186">IFERROR(INDEX($AM$11:$AM$259, MATCH(0, IF(TRUE=$AK$11:$AK$259, COUNTIF($AP$10:$AP185, $AM$11:$AM$259), ""), 0)),"")</f>
        <v/>
      </c>
      <c r="AQ186" s="124" t="str">
        <f t="array" ref="AQ186">IFERROR(INDEX($AM$11:$AM$259, MATCH(0, IF(TRUE=$AL$11:$AL$259, COUNTIF($AQ$10:$AQ185, $AM$11:$AM$259), ""), 0)),"")</f>
        <v/>
      </c>
      <c r="AU186" s="30">
        <f t="shared" si="30"/>
        <v>0</v>
      </c>
      <c r="AY186" s="374" t="str">
        <f t="shared" si="26"/>
        <v/>
      </c>
    </row>
    <row r="187" spans="1:51">
      <c r="A187" s="30" t="str">
        <f>IFERROR(INDEX('G-1 All Habitats'!$AG$3:$AG$17,MATCH(E187,'G-1 All Habitats'!$AF$3:$AF$17,0)),"")</f>
        <v/>
      </c>
      <c r="B187" s="30" t="str">
        <f>IFERROR(INDEX('G-8 Condition Look up'!$I$4:$I$135,MATCH(G187,'G-8 Condition Look up'!$A$4:$A$135,0)),"")</f>
        <v/>
      </c>
      <c r="D187" s="110">
        <v>177</v>
      </c>
      <c r="E187" s="339"/>
      <c r="F187" s="340"/>
      <c r="G187" s="295" t="str">
        <f>IFERROR(INDEX('G-1 All Habitats'!$B$3:$B$134,MATCH(F187,'G-1 All Habitats'!$A$3:$A$134,0)),"")</f>
        <v/>
      </c>
      <c r="H187" s="139"/>
      <c r="I187" s="722" t="str">
        <f>IF(G187="","",VLOOKUP(G187,'G-1 All Habitats'!$B$2:$M$134,10,FALSE))</f>
        <v/>
      </c>
      <c r="J187" s="490" t="str">
        <f>IFERROR(VLOOKUP(I187,'G-1 All Habitats'!$V$3:$W$7,2,FALSE),"")</f>
        <v/>
      </c>
      <c r="K187" s="114"/>
      <c r="L187" s="490" t="str">
        <f>IFERROR(INDEX('G-8 Condition Look up'!$A$3:$H$135,MATCH(G187,'G-8 Condition Look up'!$A$3:$A$135,0),MATCH(K187,'G-8 Condition Look up'!$A$3:$H$3,0)),"")</f>
        <v/>
      </c>
      <c r="M187" s="738"/>
      <c r="N187" s="404" t="str">
        <f>IF(M187="","",IF(VLOOKUP(M187,'G-3 Multipliers'!$L$3:$N$6,2,FALSE)=0,"Spatial Data Missing ⚠",VLOOKUP(M187,'G-3 Multipliers'!$L$3:$N$6,2,FALSE)))</f>
        <v/>
      </c>
      <c r="O187" s="452" t="str">
        <f>IF(M187="","",IF(VLOOKUP(M187,'G-3 Multipliers'!$L$3:$N$6,3,FALSE)=0,"Spatial Data Missing ⚠",VLOOKUP(M187,'G-3 Multipliers'!$L$3:$N$6,3,FALSE)))</f>
        <v/>
      </c>
      <c r="P187" s="369" t="str">
        <f>IFERROR(VLOOKUP(G187,'G-1 All Habitats'!$B$2:$M$134,12,FALSE),"")</f>
        <v/>
      </c>
      <c r="Q187" s="725" t="str">
        <f>IFERROR(IF(P187="","",IF(AND(P187='G-1 All Habitats'!$X$3,W187&gt;0),X187+(Y187*S187),IF(AND(P187='G-1 All Habitats'!$X$3,V187&gt;0),X187+(Y187*S187),IF(AND(P187='G-1 All Habitats'!$X$3,AG187&gt;0),"Any Loss Unacceptable  ⚠",IF(AND(P187='G-1 All Habitats'!$X$3,Z187&gt;0),"Any Loss Unacceptable ⚠",H187*J187*L187*O187*S187))))),"Check Data ⚠")</f>
        <v/>
      </c>
      <c r="R187" s="516"/>
      <c r="S187" s="724" t="str">
        <f>IF(R187="","",IF(VLOOKUP(R187,'G-3 Multipliers'!$S$3:$T$10,2,FALSE)=0,"Spatial Data Missing ⚠",VLOOKUP(R187,'G-3 Multipliers'!$S$3:$T$10,2,FALSE)))</f>
        <v/>
      </c>
      <c r="T187" s="376" t="str">
        <f>IFERROR(IF(P187="","",IF(AND(P187='G-1 All Habitats'!$X$3,W187&gt;0),X187+Y187,IF(AND(P187='G-1 All Habitats'!$X$3,V187&gt;0),X187+Y187,IF(AND(P187='G-1 All Habitats'!$X$3,AG187&gt;0),"Any Loss Unacceptable ⚠", IF(R187="","", IF(AND(P187='G-1 All Habitats'!$X$3,Z187&gt;0),"Any Loss Unacceptable ⚠",H187*J187*L187*O187)))))),"Check Data ⚠")</f>
        <v/>
      </c>
      <c r="U187" s="38"/>
      <c r="V187" s="54"/>
      <c r="W187" s="55"/>
      <c r="X187" s="374" t="str">
        <f t="shared" si="21"/>
        <v/>
      </c>
      <c r="Y187" s="374" t="str">
        <f t="shared" si="22"/>
        <v/>
      </c>
      <c r="Z187" s="374" t="str">
        <f>IF(E187="","",IF(H187&lt;V187+W187,"Error in Areas ▲",IF(P187&lt;&gt;'G-1 All Habitats'!$X$3,H187-V187-W187,IF(AND(P187='G-1 All Habitats'!$X$3,AB187="Yes"),"Unacceptable Loss ⚠",IF(AND(P187='G-1 All Habitats'!$X$3,AB187="No"),AG187,IF(AND(P187='G-1 All Habitats'!$X$3,AB187=""),AG187,IF(AND(P187='G-1 All Habitats'!$X$3,AG187="None",AG187),IF(AND(P187='G-1 All Habitats'!$X$3,AG187&gt;0),H187-V187-W187))))))))</f>
        <v/>
      </c>
      <c r="AA187" s="405" t="str">
        <f>IFERROR(IF(H187="","",IF(H187-V187-W187=0&lt;0,"Error in Areas ▲",IF(V187+W187&gt;H187,"Error in Areas ▲",IF(AND(P187='G-1 All Habitats'!$X$3,AB187="Yes"),"Alternative Compensation ✓",IF(Z187=0,0,IF(P187='G-1 All Habitats'!$X$3,"Any Loss Unacceptable ▲",T187-X187-Y187)))))),"Check Data ⚠")</f>
        <v/>
      </c>
      <c r="AB187" s="837"/>
      <c r="AC187" s="119"/>
      <c r="AD187" s="528"/>
      <c r="AE187" s="120"/>
      <c r="AF187" s="687"/>
      <c r="AG187" s="744" t="str">
        <f>IF(P187="","",IF(P187='G-1 All Habitats'!$X$3,H187-V187-W187,"None"))</f>
        <v/>
      </c>
      <c r="AH187" s="744" t="str">
        <f t="shared" si="23"/>
        <v/>
      </c>
      <c r="AJ187" s="124" t="str">
        <f t="shared" si="28"/>
        <v/>
      </c>
      <c r="AK187" s="124" t="str">
        <f t="shared" si="29"/>
        <v/>
      </c>
      <c r="AL187" s="124" t="str">
        <f>IF(I187="","",IF(#REF!&gt;0,TRUE,FALSE))</f>
        <v/>
      </c>
      <c r="AM187" s="124">
        <v>177</v>
      </c>
      <c r="AN187" s="124"/>
      <c r="AO187" s="124" t="str">
        <f t="array" ref="AO187">IFERROR(INDEX($AM$11:$AM$259, MATCH(0, IF(TRUE=$AJ$11:$AJ$259, COUNTIF($AO$10:$AO186, $AM$11:$AM$259), ""), 0)),"")</f>
        <v/>
      </c>
      <c r="AP187" s="124" t="str">
        <f t="array" ref="AP187">IFERROR(INDEX($AM$11:$AM$259, MATCH(0, IF(TRUE=$AK$11:$AK$259, COUNTIF($AP$10:$AP186, $AM$11:$AM$259), ""), 0)),"")</f>
        <v/>
      </c>
      <c r="AQ187" s="124" t="str">
        <f t="array" ref="AQ187">IFERROR(INDEX($AM$11:$AM$259, MATCH(0, IF(TRUE=$AL$11:$AL$259, COUNTIF($AQ$10:$AQ186, $AM$11:$AM$259), ""), 0)),"")</f>
        <v/>
      </c>
      <c r="AU187" s="30">
        <f t="shared" si="30"/>
        <v>0</v>
      </c>
      <c r="AY187" s="374" t="str">
        <f t="shared" si="26"/>
        <v/>
      </c>
    </row>
    <row r="188" spans="1:51">
      <c r="A188" s="30" t="str">
        <f>IFERROR(INDEX('G-1 All Habitats'!$AG$3:$AG$17,MATCH(E188,'G-1 All Habitats'!$AF$3:$AF$17,0)),"")</f>
        <v/>
      </c>
      <c r="B188" s="30" t="str">
        <f>IFERROR(INDEX('G-8 Condition Look up'!$I$4:$I$135,MATCH(G188,'G-8 Condition Look up'!$A$4:$A$135,0)),"")</f>
        <v/>
      </c>
      <c r="D188" s="110">
        <v>178</v>
      </c>
      <c r="E188" s="339"/>
      <c r="F188" s="340"/>
      <c r="G188" s="295" t="str">
        <f>IFERROR(INDEX('G-1 All Habitats'!$B$3:$B$134,MATCH(F188,'G-1 All Habitats'!$A$3:$A$134,0)),"")</f>
        <v/>
      </c>
      <c r="H188" s="139"/>
      <c r="I188" s="722" t="str">
        <f>IF(G188="","",VLOOKUP(G188,'G-1 All Habitats'!$B$2:$M$134,10,FALSE))</f>
        <v/>
      </c>
      <c r="J188" s="490" t="str">
        <f>IFERROR(VLOOKUP(I188,'G-1 All Habitats'!$V$3:$W$7,2,FALSE),"")</f>
        <v/>
      </c>
      <c r="K188" s="114"/>
      <c r="L188" s="490" t="str">
        <f>IFERROR(INDEX('G-8 Condition Look up'!$A$3:$H$135,MATCH(G188,'G-8 Condition Look up'!$A$3:$A$135,0),MATCH(K188,'G-8 Condition Look up'!$A$3:$H$3,0)),"")</f>
        <v/>
      </c>
      <c r="M188" s="738"/>
      <c r="N188" s="404" t="str">
        <f>IF(M188="","",IF(VLOOKUP(M188,'G-3 Multipliers'!$L$3:$N$6,2,FALSE)=0,"Spatial Data Missing ⚠",VLOOKUP(M188,'G-3 Multipliers'!$L$3:$N$6,2,FALSE)))</f>
        <v/>
      </c>
      <c r="O188" s="452" t="str">
        <f>IF(M188="","",IF(VLOOKUP(M188,'G-3 Multipliers'!$L$3:$N$6,3,FALSE)=0,"Spatial Data Missing ⚠",VLOOKUP(M188,'G-3 Multipliers'!$L$3:$N$6,3,FALSE)))</f>
        <v/>
      </c>
      <c r="P188" s="369" t="str">
        <f>IFERROR(VLOOKUP(G188,'G-1 All Habitats'!$B$2:$M$134,12,FALSE),"")</f>
        <v/>
      </c>
      <c r="Q188" s="725" t="str">
        <f>IFERROR(IF(P188="","",IF(AND(P188='G-1 All Habitats'!$X$3,W188&gt;0),X188+(Y188*S188),IF(AND(P188='G-1 All Habitats'!$X$3,V188&gt;0),X188+(Y188*S188),IF(AND(P188='G-1 All Habitats'!$X$3,AG188&gt;0),"Any Loss Unacceptable  ⚠",IF(AND(P188='G-1 All Habitats'!$X$3,Z188&gt;0),"Any Loss Unacceptable ⚠",H188*J188*L188*O188*S188))))),"Check Data ⚠")</f>
        <v/>
      </c>
      <c r="R188" s="516"/>
      <c r="S188" s="724" t="str">
        <f>IF(R188="","",IF(VLOOKUP(R188,'G-3 Multipliers'!$S$3:$T$10,2,FALSE)=0,"Spatial Data Missing ⚠",VLOOKUP(R188,'G-3 Multipliers'!$S$3:$T$10,2,FALSE)))</f>
        <v/>
      </c>
      <c r="T188" s="376" t="str">
        <f>IFERROR(IF(P188="","",IF(AND(P188='G-1 All Habitats'!$X$3,W188&gt;0),X188+Y188,IF(AND(P188='G-1 All Habitats'!$X$3,V188&gt;0),X188+Y188,IF(AND(P188='G-1 All Habitats'!$X$3,AG188&gt;0),"Any Loss Unacceptable ⚠", IF(R188="","", IF(AND(P188='G-1 All Habitats'!$X$3,Z188&gt;0),"Any Loss Unacceptable ⚠",H188*J188*L188*O188)))))),"Check Data ⚠")</f>
        <v/>
      </c>
      <c r="U188" s="38"/>
      <c r="V188" s="54"/>
      <c r="W188" s="55"/>
      <c r="X188" s="374" t="str">
        <f t="shared" si="21"/>
        <v/>
      </c>
      <c r="Y188" s="374" t="str">
        <f t="shared" si="22"/>
        <v/>
      </c>
      <c r="Z188" s="374" t="str">
        <f>IF(E188="","",IF(H188&lt;V188+W188,"Error in Areas ▲",IF(P188&lt;&gt;'G-1 All Habitats'!$X$3,H188-V188-W188,IF(AND(P188='G-1 All Habitats'!$X$3,AB188="Yes"),"Unacceptable Loss ⚠",IF(AND(P188='G-1 All Habitats'!$X$3,AB188="No"),AG188,IF(AND(P188='G-1 All Habitats'!$X$3,AB188=""),AG188,IF(AND(P188='G-1 All Habitats'!$X$3,AG188="None",AG188),IF(AND(P188='G-1 All Habitats'!$X$3,AG188&gt;0),H188-V188-W188))))))))</f>
        <v/>
      </c>
      <c r="AA188" s="405" t="str">
        <f>IFERROR(IF(H188="","",IF(H188-V188-W188=0&lt;0,"Error in Areas ▲",IF(V188+W188&gt;H188,"Error in Areas ▲",IF(AND(P188='G-1 All Habitats'!$X$3,AB188="Yes"),"Alternative Compensation ✓",IF(Z188=0,0,IF(P188='G-1 All Habitats'!$X$3,"Any Loss Unacceptable ▲",T188-X188-Y188)))))),"Check Data ⚠")</f>
        <v/>
      </c>
      <c r="AB188" s="837"/>
      <c r="AC188" s="119"/>
      <c r="AD188" s="528"/>
      <c r="AE188" s="120"/>
      <c r="AF188" s="687"/>
      <c r="AG188" s="744" t="str">
        <f>IF(P188="","",IF(P188='G-1 All Habitats'!$X$3,H188-V188-W188,"None"))</f>
        <v/>
      </c>
      <c r="AH188" s="744" t="str">
        <f t="shared" si="23"/>
        <v/>
      </c>
      <c r="AJ188" s="124" t="str">
        <f t="shared" si="28"/>
        <v/>
      </c>
      <c r="AK188" s="124" t="str">
        <f t="shared" si="29"/>
        <v/>
      </c>
      <c r="AL188" s="124" t="str">
        <f>IF(I188="","",IF(#REF!&gt;0,TRUE,FALSE))</f>
        <v/>
      </c>
      <c r="AM188" s="124">
        <v>178</v>
      </c>
      <c r="AN188" s="124"/>
      <c r="AO188" s="124" t="str">
        <f t="array" ref="AO188">IFERROR(INDEX($AM$11:$AM$259, MATCH(0, IF(TRUE=$AJ$11:$AJ$259, COUNTIF($AO$10:$AO187, $AM$11:$AM$259), ""), 0)),"")</f>
        <v/>
      </c>
      <c r="AP188" s="124" t="str">
        <f t="array" ref="AP188">IFERROR(INDEX($AM$11:$AM$259, MATCH(0, IF(TRUE=$AK$11:$AK$259, COUNTIF($AP$10:$AP187, $AM$11:$AM$259), ""), 0)),"")</f>
        <v/>
      </c>
      <c r="AQ188" s="124" t="str">
        <f t="array" ref="AQ188">IFERROR(INDEX($AM$11:$AM$259, MATCH(0, IF(TRUE=$AL$11:$AL$259, COUNTIF($AQ$10:$AQ187, $AM$11:$AM$259), ""), 0)),"")</f>
        <v/>
      </c>
      <c r="AU188" s="30">
        <f t="shared" si="30"/>
        <v>0</v>
      </c>
      <c r="AY188" s="374" t="str">
        <f t="shared" si="26"/>
        <v/>
      </c>
    </row>
    <row r="189" spans="1:51">
      <c r="A189" s="30" t="str">
        <f>IFERROR(INDEX('G-1 All Habitats'!$AG$3:$AG$17,MATCH(E189,'G-1 All Habitats'!$AF$3:$AF$17,0)),"")</f>
        <v/>
      </c>
      <c r="B189" s="30" t="str">
        <f>IFERROR(INDEX('G-8 Condition Look up'!$I$4:$I$135,MATCH(G189,'G-8 Condition Look up'!$A$4:$A$135,0)),"")</f>
        <v/>
      </c>
      <c r="D189" s="110">
        <v>179</v>
      </c>
      <c r="E189" s="339"/>
      <c r="F189" s="340"/>
      <c r="G189" s="295" t="str">
        <f>IFERROR(INDEX('G-1 All Habitats'!$B$3:$B$134,MATCH(F189,'G-1 All Habitats'!$A$3:$A$134,0)),"")</f>
        <v/>
      </c>
      <c r="H189" s="139"/>
      <c r="I189" s="722" t="str">
        <f>IF(G189="","",VLOOKUP(G189,'G-1 All Habitats'!$B$2:$M$134,10,FALSE))</f>
        <v/>
      </c>
      <c r="J189" s="490" t="str">
        <f>IFERROR(VLOOKUP(I189,'G-1 All Habitats'!$V$3:$W$7,2,FALSE),"")</f>
        <v/>
      </c>
      <c r="K189" s="114"/>
      <c r="L189" s="490" t="str">
        <f>IFERROR(INDEX('G-8 Condition Look up'!$A$3:$H$135,MATCH(G189,'G-8 Condition Look up'!$A$3:$A$135,0),MATCH(K189,'G-8 Condition Look up'!$A$3:$H$3,0)),"")</f>
        <v/>
      </c>
      <c r="M189" s="738"/>
      <c r="N189" s="404" t="str">
        <f>IF(M189="","",IF(VLOOKUP(M189,'G-3 Multipliers'!$L$3:$N$6,2,FALSE)=0,"Spatial Data Missing ⚠",VLOOKUP(M189,'G-3 Multipliers'!$L$3:$N$6,2,FALSE)))</f>
        <v/>
      </c>
      <c r="O189" s="452" t="str">
        <f>IF(M189="","",IF(VLOOKUP(M189,'G-3 Multipliers'!$L$3:$N$6,3,FALSE)=0,"Spatial Data Missing ⚠",VLOOKUP(M189,'G-3 Multipliers'!$L$3:$N$6,3,FALSE)))</f>
        <v/>
      </c>
      <c r="P189" s="369" t="str">
        <f>IFERROR(VLOOKUP(G189,'G-1 All Habitats'!$B$2:$M$134,12,FALSE),"")</f>
        <v/>
      </c>
      <c r="Q189" s="725" t="str">
        <f>IFERROR(IF(P189="","",IF(AND(P189='G-1 All Habitats'!$X$3,W189&gt;0),X189+(Y189*S189),IF(AND(P189='G-1 All Habitats'!$X$3,V189&gt;0),X189+(Y189*S189),IF(AND(P189='G-1 All Habitats'!$X$3,AG189&gt;0),"Any Loss Unacceptable  ⚠",IF(AND(P189='G-1 All Habitats'!$X$3,Z189&gt;0),"Any Loss Unacceptable ⚠",H189*J189*L189*O189*S189))))),"Check Data ⚠")</f>
        <v/>
      </c>
      <c r="R189" s="516"/>
      <c r="S189" s="724" t="str">
        <f>IF(R189="","",IF(VLOOKUP(R189,'G-3 Multipliers'!$S$3:$T$10,2,FALSE)=0,"Spatial Data Missing ⚠",VLOOKUP(R189,'G-3 Multipliers'!$S$3:$T$10,2,FALSE)))</f>
        <v/>
      </c>
      <c r="T189" s="376" t="str">
        <f>IFERROR(IF(P189="","",IF(AND(P189='G-1 All Habitats'!$X$3,W189&gt;0),X189+Y189,IF(AND(P189='G-1 All Habitats'!$X$3,V189&gt;0),X189+Y189,IF(AND(P189='G-1 All Habitats'!$X$3,AG189&gt;0),"Any Loss Unacceptable ⚠", IF(R189="","", IF(AND(P189='G-1 All Habitats'!$X$3,Z189&gt;0),"Any Loss Unacceptable ⚠",H189*J189*L189*O189)))))),"Check Data ⚠")</f>
        <v/>
      </c>
      <c r="U189" s="38"/>
      <c r="V189" s="54"/>
      <c r="W189" s="55"/>
      <c r="X189" s="374" t="str">
        <f t="shared" si="21"/>
        <v/>
      </c>
      <c r="Y189" s="374" t="str">
        <f t="shared" si="22"/>
        <v/>
      </c>
      <c r="Z189" s="374" t="str">
        <f>IF(E189="","",IF(H189&lt;V189+W189,"Error in Areas ▲",IF(P189&lt;&gt;'G-1 All Habitats'!$X$3,H189-V189-W189,IF(AND(P189='G-1 All Habitats'!$X$3,AB189="Yes"),"Unacceptable Loss ⚠",IF(AND(P189='G-1 All Habitats'!$X$3,AB189="No"),AG189,IF(AND(P189='G-1 All Habitats'!$X$3,AB189=""),AG189,IF(AND(P189='G-1 All Habitats'!$X$3,AG189="None",AG189),IF(AND(P189='G-1 All Habitats'!$X$3,AG189&gt;0),H189-V189-W189))))))))</f>
        <v/>
      </c>
      <c r="AA189" s="405" t="str">
        <f>IFERROR(IF(H189="","",IF(H189-V189-W189=0&lt;0,"Error in Areas ▲",IF(V189+W189&gt;H189,"Error in Areas ▲",IF(AND(P189='G-1 All Habitats'!$X$3,AB189="Yes"),"Alternative Compensation ✓",IF(Z189=0,0,IF(P189='G-1 All Habitats'!$X$3,"Any Loss Unacceptable ▲",T189-X189-Y189)))))),"Check Data ⚠")</f>
        <v/>
      </c>
      <c r="AB189" s="837"/>
      <c r="AC189" s="119"/>
      <c r="AD189" s="528"/>
      <c r="AE189" s="120"/>
      <c r="AF189" s="687"/>
      <c r="AG189" s="744" t="str">
        <f>IF(P189="","",IF(P189='G-1 All Habitats'!$X$3,H189-V189-W189,"None"))</f>
        <v/>
      </c>
      <c r="AH189" s="744" t="str">
        <f t="shared" si="23"/>
        <v/>
      </c>
      <c r="AJ189" s="124" t="str">
        <f t="shared" si="28"/>
        <v/>
      </c>
      <c r="AK189" s="124" t="str">
        <f t="shared" si="29"/>
        <v/>
      </c>
      <c r="AL189" s="124" t="str">
        <f>IF(I189="","",IF(#REF!&gt;0,TRUE,FALSE))</f>
        <v/>
      </c>
      <c r="AM189" s="124">
        <v>179</v>
      </c>
      <c r="AN189" s="124"/>
      <c r="AO189" s="124" t="str">
        <f t="array" ref="AO189">IFERROR(INDEX($AM$11:$AM$259, MATCH(0, IF(TRUE=$AJ$11:$AJ$259, COUNTIF($AO$10:$AO188, $AM$11:$AM$259), ""), 0)),"")</f>
        <v/>
      </c>
      <c r="AP189" s="124" t="str">
        <f t="array" ref="AP189">IFERROR(INDEX($AM$11:$AM$259, MATCH(0, IF(TRUE=$AK$11:$AK$259, COUNTIF($AP$10:$AP188, $AM$11:$AM$259), ""), 0)),"")</f>
        <v/>
      </c>
      <c r="AQ189" s="124" t="str">
        <f t="array" ref="AQ189">IFERROR(INDEX($AM$11:$AM$259, MATCH(0, IF(TRUE=$AL$11:$AL$259, COUNTIF($AQ$10:$AQ188, $AM$11:$AM$259), ""), 0)),"")</f>
        <v/>
      </c>
      <c r="AU189" s="30">
        <f t="shared" si="30"/>
        <v>0</v>
      </c>
      <c r="AY189" s="374" t="str">
        <f t="shared" si="26"/>
        <v/>
      </c>
    </row>
    <row r="190" spans="1:51">
      <c r="A190" s="30" t="str">
        <f>IFERROR(INDEX('G-1 All Habitats'!$AG$3:$AG$17,MATCH(E190,'G-1 All Habitats'!$AF$3:$AF$17,0)),"")</f>
        <v/>
      </c>
      <c r="B190" s="30" t="str">
        <f>IFERROR(INDEX('G-8 Condition Look up'!$I$4:$I$135,MATCH(G190,'G-8 Condition Look up'!$A$4:$A$135,0)),"")</f>
        <v/>
      </c>
      <c r="D190" s="110">
        <v>180</v>
      </c>
      <c r="E190" s="339"/>
      <c r="F190" s="340"/>
      <c r="G190" s="295" t="str">
        <f>IFERROR(INDEX('G-1 All Habitats'!$B$3:$B$134,MATCH(F190,'G-1 All Habitats'!$A$3:$A$134,0)),"")</f>
        <v/>
      </c>
      <c r="H190" s="139"/>
      <c r="I190" s="722" t="str">
        <f>IF(G190="","",VLOOKUP(G190,'G-1 All Habitats'!$B$2:$M$134,10,FALSE))</f>
        <v/>
      </c>
      <c r="J190" s="490" t="str">
        <f>IFERROR(VLOOKUP(I190,'G-1 All Habitats'!$V$3:$W$7,2,FALSE),"")</f>
        <v/>
      </c>
      <c r="K190" s="114"/>
      <c r="L190" s="490" t="str">
        <f>IFERROR(INDEX('G-8 Condition Look up'!$A$3:$H$135,MATCH(G190,'G-8 Condition Look up'!$A$3:$A$135,0),MATCH(K190,'G-8 Condition Look up'!$A$3:$H$3,0)),"")</f>
        <v/>
      </c>
      <c r="M190" s="738"/>
      <c r="N190" s="404" t="str">
        <f>IF(M190="","",IF(VLOOKUP(M190,'G-3 Multipliers'!$L$3:$N$6,2,FALSE)=0,"Spatial Data Missing ⚠",VLOOKUP(M190,'G-3 Multipliers'!$L$3:$N$6,2,FALSE)))</f>
        <v/>
      </c>
      <c r="O190" s="452" t="str">
        <f>IF(M190="","",IF(VLOOKUP(M190,'G-3 Multipliers'!$L$3:$N$6,3,FALSE)=0,"Spatial Data Missing ⚠",VLOOKUP(M190,'G-3 Multipliers'!$L$3:$N$6,3,FALSE)))</f>
        <v/>
      </c>
      <c r="P190" s="369" t="str">
        <f>IFERROR(VLOOKUP(G190,'G-1 All Habitats'!$B$2:$M$134,12,FALSE),"")</f>
        <v/>
      </c>
      <c r="Q190" s="725" t="str">
        <f>IFERROR(IF(P190="","",IF(AND(P190='G-1 All Habitats'!$X$3,W190&gt;0),X190+(Y190*S190),IF(AND(P190='G-1 All Habitats'!$X$3,V190&gt;0),X190+(Y190*S190),IF(AND(P190='G-1 All Habitats'!$X$3,AG190&gt;0),"Any Loss Unacceptable  ⚠",IF(AND(P190='G-1 All Habitats'!$X$3,Z190&gt;0),"Any Loss Unacceptable ⚠",H190*J190*L190*O190*S190))))),"Check Data ⚠")</f>
        <v/>
      </c>
      <c r="R190" s="516"/>
      <c r="S190" s="724" t="str">
        <f>IF(R190="","",IF(VLOOKUP(R190,'G-3 Multipliers'!$S$3:$T$10,2,FALSE)=0,"Spatial Data Missing ⚠",VLOOKUP(R190,'G-3 Multipliers'!$S$3:$T$10,2,FALSE)))</f>
        <v/>
      </c>
      <c r="T190" s="376" t="str">
        <f>IFERROR(IF(P190="","",IF(AND(P190='G-1 All Habitats'!$X$3,W190&gt;0),X190+Y190,IF(AND(P190='G-1 All Habitats'!$X$3,V190&gt;0),X190+Y190,IF(AND(P190='G-1 All Habitats'!$X$3,AG190&gt;0),"Any Loss Unacceptable ⚠", IF(R190="","", IF(AND(P190='G-1 All Habitats'!$X$3,Z190&gt;0),"Any Loss Unacceptable ⚠",H190*J190*L190*O190)))))),"Check Data ⚠")</f>
        <v/>
      </c>
      <c r="U190" s="38"/>
      <c r="V190" s="54"/>
      <c r="W190" s="55"/>
      <c r="X190" s="374" t="str">
        <f t="shared" si="21"/>
        <v/>
      </c>
      <c r="Y190" s="374" t="str">
        <f t="shared" si="22"/>
        <v/>
      </c>
      <c r="Z190" s="374" t="str">
        <f>IF(E190="","",IF(H190&lt;V190+W190,"Error in Areas ▲",IF(P190&lt;&gt;'G-1 All Habitats'!$X$3,H190-V190-W190,IF(AND(P190='G-1 All Habitats'!$X$3,AB190="Yes"),"Unacceptable Loss ⚠",IF(AND(P190='G-1 All Habitats'!$X$3,AB190="No"),AG190,IF(AND(P190='G-1 All Habitats'!$X$3,AB190=""),AG190,IF(AND(P190='G-1 All Habitats'!$X$3,AG190="None",AG190),IF(AND(P190='G-1 All Habitats'!$X$3,AG190&gt;0),H190-V190-W190))))))))</f>
        <v/>
      </c>
      <c r="AA190" s="405" t="str">
        <f>IFERROR(IF(H190="","",IF(H190-V190-W190=0&lt;0,"Error in Areas ▲",IF(V190+W190&gt;H190,"Error in Areas ▲",IF(AND(P190='G-1 All Habitats'!$X$3,AB190="Yes"),"Alternative Compensation ✓",IF(Z190=0,0,IF(P190='G-1 All Habitats'!$X$3,"Any Loss Unacceptable ▲",T190-X190-Y190)))))),"Check Data ⚠")</f>
        <v/>
      </c>
      <c r="AB190" s="837"/>
      <c r="AC190" s="119"/>
      <c r="AD190" s="528"/>
      <c r="AE190" s="120"/>
      <c r="AF190" s="687"/>
      <c r="AG190" s="744" t="str">
        <f>IF(P190="","",IF(P190='G-1 All Habitats'!$X$3,H190-V190-W190,"None"))</f>
        <v/>
      </c>
      <c r="AH190" s="744" t="str">
        <f t="shared" si="23"/>
        <v/>
      </c>
      <c r="AJ190" s="124" t="str">
        <f t="shared" si="28"/>
        <v/>
      </c>
      <c r="AK190" s="124" t="str">
        <f t="shared" si="29"/>
        <v/>
      </c>
      <c r="AL190" s="124" t="str">
        <f>IF(I190="","",IF(#REF!&gt;0,TRUE,FALSE))</f>
        <v/>
      </c>
      <c r="AM190" s="124">
        <v>180</v>
      </c>
      <c r="AN190" s="124"/>
      <c r="AO190" s="124" t="str">
        <f t="array" ref="AO190">IFERROR(INDEX($AM$11:$AM$259, MATCH(0, IF(TRUE=$AJ$11:$AJ$259, COUNTIF($AO$10:$AO189, $AM$11:$AM$259), ""), 0)),"")</f>
        <v/>
      </c>
      <c r="AP190" s="124" t="str">
        <f t="array" ref="AP190">IFERROR(INDEX($AM$11:$AM$259, MATCH(0, IF(TRUE=$AK$11:$AK$259, COUNTIF($AP$10:$AP189, $AM$11:$AM$259), ""), 0)),"")</f>
        <v/>
      </c>
      <c r="AQ190" s="124" t="str">
        <f t="array" ref="AQ190">IFERROR(INDEX($AM$11:$AM$259, MATCH(0, IF(TRUE=$AL$11:$AL$259, COUNTIF($AQ$10:$AQ189, $AM$11:$AM$259), ""), 0)),"")</f>
        <v/>
      </c>
      <c r="AU190" s="30">
        <f t="shared" si="30"/>
        <v>0</v>
      </c>
      <c r="AY190" s="374" t="str">
        <f t="shared" si="26"/>
        <v/>
      </c>
    </row>
    <row r="191" spans="1:51">
      <c r="A191" s="30" t="str">
        <f>IFERROR(INDEX('G-1 All Habitats'!$AG$3:$AG$17,MATCH(E191,'G-1 All Habitats'!$AF$3:$AF$17,0)),"")</f>
        <v/>
      </c>
      <c r="B191" s="30" t="str">
        <f>IFERROR(INDEX('G-8 Condition Look up'!$I$4:$I$135,MATCH(G191,'G-8 Condition Look up'!$A$4:$A$135,0)),"")</f>
        <v/>
      </c>
      <c r="D191" s="110">
        <v>181</v>
      </c>
      <c r="E191" s="339"/>
      <c r="F191" s="340"/>
      <c r="G191" s="295" t="str">
        <f>IFERROR(INDEX('G-1 All Habitats'!$B$3:$B$134,MATCH(F191,'G-1 All Habitats'!$A$3:$A$134,0)),"")</f>
        <v/>
      </c>
      <c r="H191" s="139"/>
      <c r="I191" s="722" t="str">
        <f>IF(G191="","",VLOOKUP(G191,'G-1 All Habitats'!$B$2:$M$134,10,FALSE))</f>
        <v/>
      </c>
      <c r="J191" s="490" t="str">
        <f>IFERROR(VLOOKUP(I191,'G-1 All Habitats'!$V$3:$W$7,2,FALSE),"")</f>
        <v/>
      </c>
      <c r="K191" s="114"/>
      <c r="L191" s="490" t="str">
        <f>IFERROR(INDEX('G-8 Condition Look up'!$A$3:$H$135,MATCH(G191,'G-8 Condition Look up'!$A$3:$A$135,0),MATCH(K191,'G-8 Condition Look up'!$A$3:$H$3,0)),"")</f>
        <v/>
      </c>
      <c r="M191" s="738"/>
      <c r="N191" s="404" t="str">
        <f>IF(M191="","",IF(VLOOKUP(M191,'G-3 Multipliers'!$L$3:$N$6,2,FALSE)=0,"Spatial Data Missing ⚠",VLOOKUP(M191,'G-3 Multipliers'!$L$3:$N$6,2,FALSE)))</f>
        <v/>
      </c>
      <c r="O191" s="452" t="str">
        <f>IF(M191="","",IF(VLOOKUP(M191,'G-3 Multipliers'!$L$3:$N$6,3,FALSE)=0,"Spatial Data Missing ⚠",VLOOKUP(M191,'G-3 Multipliers'!$L$3:$N$6,3,FALSE)))</f>
        <v/>
      </c>
      <c r="P191" s="369" t="str">
        <f>IFERROR(VLOOKUP(G191,'G-1 All Habitats'!$B$2:$M$134,12,FALSE),"")</f>
        <v/>
      </c>
      <c r="Q191" s="725" t="str">
        <f>IFERROR(IF(P191="","",IF(AND(P191='G-1 All Habitats'!$X$3,W191&gt;0),X191+(Y191*S191),IF(AND(P191='G-1 All Habitats'!$X$3,V191&gt;0),X191+(Y191*S191),IF(AND(P191='G-1 All Habitats'!$X$3,AG191&gt;0),"Any Loss Unacceptable  ⚠",IF(AND(P191='G-1 All Habitats'!$X$3,Z191&gt;0),"Any Loss Unacceptable ⚠",H191*J191*L191*O191*S191))))),"Check Data ⚠")</f>
        <v/>
      </c>
      <c r="R191" s="516"/>
      <c r="S191" s="724" t="str">
        <f>IF(R191="","",IF(VLOOKUP(R191,'G-3 Multipliers'!$S$3:$T$10,2,FALSE)=0,"Spatial Data Missing ⚠",VLOOKUP(R191,'G-3 Multipliers'!$S$3:$T$10,2,FALSE)))</f>
        <v/>
      </c>
      <c r="T191" s="376" t="str">
        <f>IFERROR(IF(P191="","",IF(AND(P191='G-1 All Habitats'!$X$3,W191&gt;0),X191+Y191,IF(AND(P191='G-1 All Habitats'!$X$3,V191&gt;0),X191+Y191,IF(AND(P191='G-1 All Habitats'!$X$3,AG191&gt;0),"Any Loss Unacceptable ⚠", IF(R191="","", IF(AND(P191='G-1 All Habitats'!$X$3,Z191&gt;0),"Any Loss Unacceptable ⚠",H191*J191*L191*O191)))))),"Check Data ⚠")</f>
        <v/>
      </c>
      <c r="U191" s="38"/>
      <c r="V191" s="54"/>
      <c r="W191" s="55"/>
      <c r="X191" s="374" t="str">
        <f t="shared" si="21"/>
        <v/>
      </c>
      <c r="Y191" s="374" t="str">
        <f t="shared" si="22"/>
        <v/>
      </c>
      <c r="Z191" s="374" t="str">
        <f>IF(E191="","",IF(H191&lt;V191+W191,"Error in Areas ▲",IF(P191&lt;&gt;'G-1 All Habitats'!$X$3,H191-V191-W191,IF(AND(P191='G-1 All Habitats'!$X$3,AB191="Yes"),"Unacceptable Loss ⚠",IF(AND(P191='G-1 All Habitats'!$X$3,AB191="No"),AG191,IF(AND(P191='G-1 All Habitats'!$X$3,AB191=""),AG191,IF(AND(P191='G-1 All Habitats'!$X$3,AG191="None",AG191),IF(AND(P191='G-1 All Habitats'!$X$3,AG191&gt;0),H191-V191-W191))))))))</f>
        <v/>
      </c>
      <c r="AA191" s="405" t="str">
        <f>IFERROR(IF(H191="","",IF(H191-V191-W191=0&lt;0,"Error in Areas ▲",IF(V191+W191&gt;H191,"Error in Areas ▲",IF(AND(P191='G-1 All Habitats'!$X$3,AB191="Yes"),"Alternative Compensation ✓",IF(Z191=0,0,IF(P191='G-1 All Habitats'!$X$3,"Any Loss Unacceptable ▲",T191-X191-Y191)))))),"Check Data ⚠")</f>
        <v/>
      </c>
      <c r="AB191" s="837"/>
      <c r="AC191" s="119"/>
      <c r="AD191" s="528"/>
      <c r="AE191" s="120"/>
      <c r="AF191" s="687"/>
      <c r="AG191" s="744" t="str">
        <f>IF(P191="","",IF(P191='G-1 All Habitats'!$X$3,H191-V191-W191,"None"))</f>
        <v/>
      </c>
      <c r="AH191" s="744" t="str">
        <f t="shared" si="23"/>
        <v/>
      </c>
      <c r="AJ191" s="124" t="str">
        <f t="shared" si="28"/>
        <v/>
      </c>
      <c r="AK191" s="124" t="str">
        <f t="shared" si="29"/>
        <v/>
      </c>
      <c r="AL191" s="124" t="str">
        <f>IF(I191="","",IF(#REF!&gt;0,TRUE,FALSE))</f>
        <v/>
      </c>
      <c r="AM191" s="124">
        <v>181</v>
      </c>
      <c r="AN191" s="124"/>
      <c r="AO191" s="124" t="str">
        <f t="array" ref="AO191">IFERROR(INDEX($AM$11:$AM$259, MATCH(0, IF(TRUE=$AJ$11:$AJ$259, COUNTIF($AO$10:$AO190, $AM$11:$AM$259), ""), 0)),"")</f>
        <v/>
      </c>
      <c r="AP191" s="124" t="str">
        <f t="array" ref="AP191">IFERROR(INDEX($AM$11:$AM$259, MATCH(0, IF(TRUE=$AK$11:$AK$259, COUNTIF($AP$10:$AP190, $AM$11:$AM$259), ""), 0)),"")</f>
        <v/>
      </c>
      <c r="AQ191" s="124" t="str">
        <f t="array" ref="AQ191">IFERROR(INDEX($AM$11:$AM$259, MATCH(0, IF(TRUE=$AL$11:$AL$259, COUNTIF($AQ$10:$AQ190, $AM$11:$AM$259), ""), 0)),"")</f>
        <v/>
      </c>
      <c r="AU191" s="30">
        <f t="shared" si="30"/>
        <v>0</v>
      </c>
      <c r="AY191" s="374" t="str">
        <f t="shared" si="26"/>
        <v/>
      </c>
    </row>
    <row r="192" spans="1:51">
      <c r="A192" s="30" t="str">
        <f>IFERROR(INDEX('G-1 All Habitats'!$AG$3:$AG$17,MATCH(E192,'G-1 All Habitats'!$AF$3:$AF$17,0)),"")</f>
        <v/>
      </c>
      <c r="B192" s="30" t="str">
        <f>IFERROR(INDEX('G-8 Condition Look up'!$I$4:$I$135,MATCH(G192,'G-8 Condition Look up'!$A$4:$A$135,0)),"")</f>
        <v/>
      </c>
      <c r="D192" s="110">
        <v>182</v>
      </c>
      <c r="E192" s="339"/>
      <c r="F192" s="340"/>
      <c r="G192" s="295" t="str">
        <f>IFERROR(INDEX('G-1 All Habitats'!$B$3:$B$134,MATCH(F192,'G-1 All Habitats'!$A$3:$A$134,0)),"")</f>
        <v/>
      </c>
      <c r="H192" s="139"/>
      <c r="I192" s="722" t="str">
        <f>IF(G192="","",VLOOKUP(G192,'G-1 All Habitats'!$B$2:$M$134,10,FALSE))</f>
        <v/>
      </c>
      <c r="J192" s="490" t="str">
        <f>IFERROR(VLOOKUP(I192,'G-1 All Habitats'!$V$3:$W$7,2,FALSE),"")</f>
        <v/>
      </c>
      <c r="K192" s="114"/>
      <c r="L192" s="490" t="str">
        <f>IFERROR(INDEX('G-8 Condition Look up'!$A$3:$H$135,MATCH(G192,'G-8 Condition Look up'!$A$3:$A$135,0),MATCH(K192,'G-8 Condition Look up'!$A$3:$H$3,0)),"")</f>
        <v/>
      </c>
      <c r="M192" s="738"/>
      <c r="N192" s="404" t="str">
        <f>IF(M192="","",IF(VLOOKUP(M192,'G-3 Multipliers'!$L$3:$N$6,2,FALSE)=0,"Spatial Data Missing ⚠",VLOOKUP(M192,'G-3 Multipliers'!$L$3:$N$6,2,FALSE)))</f>
        <v/>
      </c>
      <c r="O192" s="452" t="str">
        <f>IF(M192="","",IF(VLOOKUP(M192,'G-3 Multipliers'!$L$3:$N$6,3,FALSE)=0,"Spatial Data Missing ⚠",VLOOKUP(M192,'G-3 Multipliers'!$L$3:$N$6,3,FALSE)))</f>
        <v/>
      </c>
      <c r="P192" s="369" t="str">
        <f>IFERROR(VLOOKUP(G192,'G-1 All Habitats'!$B$2:$M$134,12,FALSE),"")</f>
        <v/>
      </c>
      <c r="Q192" s="725" t="str">
        <f>IFERROR(IF(P192="","",IF(AND(P192='G-1 All Habitats'!$X$3,W192&gt;0),X192+(Y192*S192),IF(AND(P192='G-1 All Habitats'!$X$3,V192&gt;0),X192+(Y192*S192),IF(AND(P192='G-1 All Habitats'!$X$3,AG192&gt;0),"Any Loss Unacceptable  ⚠",IF(AND(P192='G-1 All Habitats'!$X$3,Z192&gt;0),"Any Loss Unacceptable ⚠",H192*J192*L192*O192*S192))))),"Check Data ⚠")</f>
        <v/>
      </c>
      <c r="R192" s="516"/>
      <c r="S192" s="724" t="str">
        <f>IF(R192="","",IF(VLOOKUP(R192,'G-3 Multipliers'!$S$3:$T$10,2,FALSE)=0,"Spatial Data Missing ⚠",VLOOKUP(R192,'G-3 Multipliers'!$S$3:$T$10,2,FALSE)))</f>
        <v/>
      </c>
      <c r="T192" s="376" t="str">
        <f>IFERROR(IF(P192="","",IF(AND(P192='G-1 All Habitats'!$X$3,W192&gt;0),X192+Y192,IF(AND(P192='G-1 All Habitats'!$X$3,V192&gt;0),X192+Y192,IF(AND(P192='G-1 All Habitats'!$X$3,AG192&gt;0),"Any Loss Unacceptable ⚠", IF(R192="","", IF(AND(P192='G-1 All Habitats'!$X$3,Z192&gt;0),"Any Loss Unacceptable ⚠",H192*J192*L192*O192)))))),"Check Data ⚠")</f>
        <v/>
      </c>
      <c r="U192" s="38"/>
      <c r="V192" s="54"/>
      <c r="W192" s="55"/>
      <c r="X192" s="374" t="str">
        <f t="shared" si="21"/>
        <v/>
      </c>
      <c r="Y192" s="374" t="str">
        <f t="shared" si="22"/>
        <v/>
      </c>
      <c r="Z192" s="374" t="str">
        <f>IF(E192="","",IF(H192&lt;V192+W192,"Error in Areas ▲",IF(P192&lt;&gt;'G-1 All Habitats'!$X$3,H192-V192-W192,IF(AND(P192='G-1 All Habitats'!$X$3,AB192="Yes"),"Unacceptable Loss ⚠",IF(AND(P192='G-1 All Habitats'!$X$3,AB192="No"),AG192,IF(AND(P192='G-1 All Habitats'!$X$3,AB192=""),AG192,IF(AND(P192='G-1 All Habitats'!$X$3,AG192="None",AG192),IF(AND(P192='G-1 All Habitats'!$X$3,AG192&gt;0),H192-V192-W192))))))))</f>
        <v/>
      </c>
      <c r="AA192" s="405" t="str">
        <f>IFERROR(IF(H192="","",IF(H192-V192-W192=0&lt;0,"Error in Areas ▲",IF(V192+W192&gt;H192,"Error in Areas ▲",IF(AND(P192='G-1 All Habitats'!$X$3,AB192="Yes"),"Alternative Compensation ✓",IF(Z192=0,0,IF(P192='G-1 All Habitats'!$X$3,"Any Loss Unacceptable ▲",T192-X192-Y192)))))),"Check Data ⚠")</f>
        <v/>
      </c>
      <c r="AB192" s="837"/>
      <c r="AC192" s="119"/>
      <c r="AD192" s="528"/>
      <c r="AE192" s="120"/>
      <c r="AF192" s="687"/>
      <c r="AG192" s="744" t="str">
        <f>IF(P192="","",IF(P192='G-1 All Habitats'!$X$3,H192-V192-W192,"None"))</f>
        <v/>
      </c>
      <c r="AH192" s="744" t="str">
        <f t="shared" si="23"/>
        <v/>
      </c>
      <c r="AJ192" s="124" t="str">
        <f t="shared" si="28"/>
        <v/>
      </c>
      <c r="AK192" s="124" t="str">
        <f t="shared" si="29"/>
        <v/>
      </c>
      <c r="AL192" s="124" t="str">
        <f>IF(I192="","",IF(#REF!&gt;0,TRUE,FALSE))</f>
        <v/>
      </c>
      <c r="AM192" s="124">
        <v>182</v>
      </c>
      <c r="AN192" s="124"/>
      <c r="AO192" s="124" t="str">
        <f t="array" ref="AO192">IFERROR(INDEX($AM$11:$AM$259, MATCH(0, IF(TRUE=$AJ$11:$AJ$259, COUNTIF($AO$10:$AO191, $AM$11:$AM$259), ""), 0)),"")</f>
        <v/>
      </c>
      <c r="AP192" s="124" t="str">
        <f t="array" ref="AP192">IFERROR(INDEX($AM$11:$AM$259, MATCH(0, IF(TRUE=$AK$11:$AK$259, COUNTIF($AP$10:$AP191, $AM$11:$AM$259), ""), 0)),"")</f>
        <v/>
      </c>
      <c r="AQ192" s="124" t="str">
        <f t="array" ref="AQ192">IFERROR(INDEX($AM$11:$AM$259, MATCH(0, IF(TRUE=$AL$11:$AL$259, COUNTIF($AQ$10:$AQ191, $AM$11:$AM$259), ""), 0)),"")</f>
        <v/>
      </c>
      <c r="AU192" s="30">
        <f t="shared" si="30"/>
        <v>0</v>
      </c>
      <c r="AY192" s="374" t="str">
        <f t="shared" si="26"/>
        <v/>
      </c>
    </row>
    <row r="193" spans="1:51">
      <c r="A193" s="30" t="str">
        <f>IFERROR(INDEX('G-1 All Habitats'!$AG$3:$AG$17,MATCH(E193,'G-1 All Habitats'!$AF$3:$AF$17,0)),"")</f>
        <v/>
      </c>
      <c r="B193" s="30" t="str">
        <f>IFERROR(INDEX('G-8 Condition Look up'!$I$4:$I$135,MATCH(G193,'G-8 Condition Look up'!$A$4:$A$135,0)),"")</f>
        <v/>
      </c>
      <c r="D193" s="110">
        <v>183</v>
      </c>
      <c r="E193" s="339"/>
      <c r="F193" s="340"/>
      <c r="G193" s="295" t="str">
        <f>IFERROR(INDEX('G-1 All Habitats'!$B$3:$B$134,MATCH(F193,'G-1 All Habitats'!$A$3:$A$134,0)),"")</f>
        <v/>
      </c>
      <c r="H193" s="139"/>
      <c r="I193" s="722" t="str">
        <f>IF(G193="","",VLOOKUP(G193,'G-1 All Habitats'!$B$2:$M$134,10,FALSE))</f>
        <v/>
      </c>
      <c r="J193" s="490" t="str">
        <f>IFERROR(VLOOKUP(I193,'G-1 All Habitats'!$V$3:$W$7,2,FALSE),"")</f>
        <v/>
      </c>
      <c r="K193" s="114"/>
      <c r="L193" s="490" t="str">
        <f>IFERROR(INDEX('G-8 Condition Look up'!$A$3:$H$135,MATCH(G193,'G-8 Condition Look up'!$A$3:$A$135,0),MATCH(K193,'G-8 Condition Look up'!$A$3:$H$3,0)),"")</f>
        <v/>
      </c>
      <c r="M193" s="738"/>
      <c r="N193" s="404" t="str">
        <f>IF(M193="","",IF(VLOOKUP(M193,'G-3 Multipliers'!$L$3:$N$6,2,FALSE)=0,"Spatial Data Missing ⚠",VLOOKUP(M193,'G-3 Multipliers'!$L$3:$N$6,2,FALSE)))</f>
        <v/>
      </c>
      <c r="O193" s="452" t="str">
        <f>IF(M193="","",IF(VLOOKUP(M193,'G-3 Multipliers'!$L$3:$N$6,3,FALSE)=0,"Spatial Data Missing ⚠",VLOOKUP(M193,'G-3 Multipliers'!$L$3:$N$6,3,FALSE)))</f>
        <v/>
      </c>
      <c r="P193" s="369" t="str">
        <f>IFERROR(VLOOKUP(G193,'G-1 All Habitats'!$B$2:$M$134,12,FALSE),"")</f>
        <v/>
      </c>
      <c r="Q193" s="725" t="str">
        <f>IFERROR(IF(P193="","",IF(AND(P193='G-1 All Habitats'!$X$3,W193&gt;0),X193+(Y193*S193),IF(AND(P193='G-1 All Habitats'!$X$3,V193&gt;0),X193+(Y193*S193),IF(AND(P193='G-1 All Habitats'!$X$3,AG193&gt;0),"Any Loss Unacceptable  ⚠",IF(AND(P193='G-1 All Habitats'!$X$3,Z193&gt;0),"Any Loss Unacceptable ⚠",H193*J193*L193*O193*S193))))),"Check Data ⚠")</f>
        <v/>
      </c>
      <c r="R193" s="516"/>
      <c r="S193" s="724" t="str">
        <f>IF(R193="","",IF(VLOOKUP(R193,'G-3 Multipliers'!$S$3:$T$10,2,FALSE)=0,"Spatial Data Missing ⚠",VLOOKUP(R193,'G-3 Multipliers'!$S$3:$T$10,2,FALSE)))</f>
        <v/>
      </c>
      <c r="T193" s="376" t="str">
        <f>IFERROR(IF(P193="","",IF(AND(P193='G-1 All Habitats'!$X$3,W193&gt;0),X193+Y193,IF(AND(P193='G-1 All Habitats'!$X$3,V193&gt;0),X193+Y193,IF(AND(P193='G-1 All Habitats'!$X$3,AG193&gt;0),"Any Loss Unacceptable ⚠", IF(R193="","", IF(AND(P193='G-1 All Habitats'!$X$3,Z193&gt;0),"Any Loss Unacceptable ⚠",H193*J193*L193*O193)))))),"Check Data ⚠")</f>
        <v/>
      </c>
      <c r="U193" s="38"/>
      <c r="V193" s="54"/>
      <c r="W193" s="55"/>
      <c r="X193" s="374" t="str">
        <f t="shared" si="21"/>
        <v/>
      </c>
      <c r="Y193" s="374" t="str">
        <f t="shared" si="22"/>
        <v/>
      </c>
      <c r="Z193" s="374" t="str">
        <f>IF(E193="","",IF(H193&lt;V193+W193,"Error in Areas ▲",IF(P193&lt;&gt;'G-1 All Habitats'!$X$3,H193-V193-W193,IF(AND(P193='G-1 All Habitats'!$X$3,AB193="Yes"),"Unacceptable Loss ⚠",IF(AND(P193='G-1 All Habitats'!$X$3,AB193="No"),AG193,IF(AND(P193='G-1 All Habitats'!$X$3,AB193=""),AG193,IF(AND(P193='G-1 All Habitats'!$X$3,AG193="None",AG193),IF(AND(P193='G-1 All Habitats'!$X$3,AG193&gt;0),H193-V193-W193))))))))</f>
        <v/>
      </c>
      <c r="AA193" s="405" t="str">
        <f>IFERROR(IF(H193="","",IF(H193-V193-W193=0&lt;0,"Error in Areas ▲",IF(V193+W193&gt;H193,"Error in Areas ▲",IF(AND(P193='G-1 All Habitats'!$X$3,AB193="Yes"),"Alternative Compensation ✓",IF(Z193=0,0,IF(P193='G-1 All Habitats'!$X$3,"Any Loss Unacceptable ▲",T193-X193-Y193)))))),"Check Data ⚠")</f>
        <v/>
      </c>
      <c r="AB193" s="837"/>
      <c r="AC193" s="119"/>
      <c r="AD193" s="528"/>
      <c r="AE193" s="120"/>
      <c r="AF193" s="687"/>
      <c r="AG193" s="744" t="str">
        <f>IF(P193="","",IF(P193='G-1 All Habitats'!$X$3,H193-V193-W193,"None"))</f>
        <v/>
      </c>
      <c r="AH193" s="744" t="str">
        <f t="shared" si="23"/>
        <v/>
      </c>
      <c r="AJ193" s="124" t="str">
        <f t="shared" si="28"/>
        <v/>
      </c>
      <c r="AK193" s="124" t="str">
        <f t="shared" si="29"/>
        <v/>
      </c>
      <c r="AL193" s="124" t="str">
        <f>IF(I193="","",IF(#REF!&gt;0,TRUE,FALSE))</f>
        <v/>
      </c>
      <c r="AM193" s="124">
        <v>183</v>
      </c>
      <c r="AN193" s="124"/>
      <c r="AO193" s="124" t="str">
        <f t="array" ref="AO193">IFERROR(INDEX($AM$11:$AM$259, MATCH(0, IF(TRUE=$AJ$11:$AJ$259, COUNTIF($AO$10:$AO192, $AM$11:$AM$259), ""), 0)),"")</f>
        <v/>
      </c>
      <c r="AP193" s="124" t="str">
        <f t="array" ref="AP193">IFERROR(INDEX($AM$11:$AM$259, MATCH(0, IF(TRUE=$AK$11:$AK$259, COUNTIF($AP$10:$AP192, $AM$11:$AM$259), ""), 0)),"")</f>
        <v/>
      </c>
      <c r="AQ193" s="124" t="str">
        <f t="array" ref="AQ193">IFERROR(INDEX($AM$11:$AM$259, MATCH(0, IF(TRUE=$AL$11:$AL$259, COUNTIF($AQ$10:$AQ192, $AM$11:$AM$259), ""), 0)),"")</f>
        <v/>
      </c>
      <c r="AU193" s="30">
        <f t="shared" si="30"/>
        <v>0</v>
      </c>
      <c r="AY193" s="374" t="str">
        <f t="shared" si="26"/>
        <v/>
      </c>
    </row>
    <row r="194" spans="1:51">
      <c r="A194" s="30" t="str">
        <f>IFERROR(INDEX('G-1 All Habitats'!$AG$3:$AG$17,MATCH(E194,'G-1 All Habitats'!$AF$3:$AF$17,0)),"")</f>
        <v/>
      </c>
      <c r="B194" s="30" t="str">
        <f>IFERROR(INDEX('G-8 Condition Look up'!$I$4:$I$135,MATCH(G194,'G-8 Condition Look up'!$A$4:$A$135,0)),"")</f>
        <v/>
      </c>
      <c r="D194" s="110">
        <v>184</v>
      </c>
      <c r="E194" s="339"/>
      <c r="F194" s="340"/>
      <c r="G194" s="295" t="str">
        <f>IFERROR(INDEX('G-1 All Habitats'!$B$3:$B$134,MATCH(F194,'G-1 All Habitats'!$A$3:$A$134,0)),"")</f>
        <v/>
      </c>
      <c r="H194" s="139"/>
      <c r="I194" s="722" t="str">
        <f>IF(G194="","",VLOOKUP(G194,'G-1 All Habitats'!$B$2:$M$134,10,FALSE))</f>
        <v/>
      </c>
      <c r="J194" s="490" t="str">
        <f>IFERROR(VLOOKUP(I194,'G-1 All Habitats'!$V$3:$W$7,2,FALSE),"")</f>
        <v/>
      </c>
      <c r="K194" s="114"/>
      <c r="L194" s="490" t="str">
        <f>IFERROR(INDEX('G-8 Condition Look up'!$A$3:$H$135,MATCH(G194,'G-8 Condition Look up'!$A$3:$A$135,0),MATCH(K194,'G-8 Condition Look up'!$A$3:$H$3,0)),"")</f>
        <v/>
      </c>
      <c r="M194" s="738"/>
      <c r="N194" s="404" t="str">
        <f>IF(M194="","",IF(VLOOKUP(M194,'G-3 Multipliers'!$L$3:$N$6,2,FALSE)=0,"Spatial Data Missing ⚠",VLOOKUP(M194,'G-3 Multipliers'!$L$3:$N$6,2,FALSE)))</f>
        <v/>
      </c>
      <c r="O194" s="452" t="str">
        <f>IF(M194="","",IF(VLOOKUP(M194,'G-3 Multipliers'!$L$3:$N$6,3,FALSE)=0,"Spatial Data Missing ⚠",VLOOKUP(M194,'G-3 Multipliers'!$L$3:$N$6,3,FALSE)))</f>
        <v/>
      </c>
      <c r="P194" s="369" t="str">
        <f>IFERROR(VLOOKUP(G194,'G-1 All Habitats'!$B$2:$M$134,12,FALSE),"")</f>
        <v/>
      </c>
      <c r="Q194" s="725" t="str">
        <f>IFERROR(IF(P194="","",IF(AND(P194='G-1 All Habitats'!$X$3,W194&gt;0),X194+(Y194*S194),IF(AND(P194='G-1 All Habitats'!$X$3,V194&gt;0),X194+(Y194*S194),IF(AND(P194='G-1 All Habitats'!$X$3,AG194&gt;0),"Any Loss Unacceptable  ⚠",IF(AND(P194='G-1 All Habitats'!$X$3,Z194&gt;0),"Any Loss Unacceptable ⚠",H194*J194*L194*O194*S194))))),"Check Data ⚠")</f>
        <v/>
      </c>
      <c r="R194" s="516"/>
      <c r="S194" s="724" t="str">
        <f>IF(R194="","",IF(VLOOKUP(R194,'G-3 Multipliers'!$S$3:$T$10,2,FALSE)=0,"Spatial Data Missing ⚠",VLOOKUP(R194,'G-3 Multipliers'!$S$3:$T$10,2,FALSE)))</f>
        <v/>
      </c>
      <c r="T194" s="376" t="str">
        <f>IFERROR(IF(P194="","",IF(AND(P194='G-1 All Habitats'!$X$3,W194&gt;0),X194+Y194,IF(AND(P194='G-1 All Habitats'!$X$3,V194&gt;0),X194+Y194,IF(AND(P194='G-1 All Habitats'!$X$3,AG194&gt;0),"Any Loss Unacceptable ⚠", IF(R194="","", IF(AND(P194='G-1 All Habitats'!$X$3,Z194&gt;0),"Any Loss Unacceptable ⚠",H194*J194*L194*O194)))))),"Check Data ⚠")</f>
        <v/>
      </c>
      <c r="U194" s="38"/>
      <c r="V194" s="54"/>
      <c r="W194" s="55"/>
      <c r="X194" s="374" t="str">
        <f t="shared" si="21"/>
        <v/>
      </c>
      <c r="Y194" s="374" t="str">
        <f t="shared" si="22"/>
        <v/>
      </c>
      <c r="Z194" s="374" t="str">
        <f>IF(E194="","",IF(H194&lt;V194+W194,"Error in Areas ▲",IF(P194&lt;&gt;'G-1 All Habitats'!$X$3,H194-V194-W194,IF(AND(P194='G-1 All Habitats'!$X$3,AB194="Yes"),"Unacceptable Loss ⚠",IF(AND(P194='G-1 All Habitats'!$X$3,AB194="No"),AG194,IF(AND(P194='G-1 All Habitats'!$X$3,AB194=""),AG194,IF(AND(P194='G-1 All Habitats'!$X$3,AG194="None",AG194),IF(AND(P194='G-1 All Habitats'!$X$3,AG194&gt;0),H194-V194-W194))))))))</f>
        <v/>
      </c>
      <c r="AA194" s="405" t="str">
        <f>IFERROR(IF(H194="","",IF(H194-V194-W194=0&lt;0,"Error in Areas ▲",IF(V194+W194&gt;H194,"Error in Areas ▲",IF(AND(P194='G-1 All Habitats'!$X$3,AB194="Yes"),"Alternative Compensation ✓",IF(Z194=0,0,IF(P194='G-1 All Habitats'!$X$3,"Any Loss Unacceptable ▲",T194-X194-Y194)))))),"Check Data ⚠")</f>
        <v/>
      </c>
      <c r="AB194" s="837"/>
      <c r="AC194" s="119"/>
      <c r="AD194" s="528"/>
      <c r="AE194" s="120"/>
      <c r="AF194" s="687"/>
      <c r="AG194" s="744" t="str">
        <f>IF(P194="","",IF(P194='G-1 All Habitats'!$X$3,H194-V194-W194,"None"))</f>
        <v/>
      </c>
      <c r="AH194" s="744" t="str">
        <f t="shared" si="23"/>
        <v/>
      </c>
      <c r="AJ194" s="124" t="str">
        <f t="shared" si="28"/>
        <v/>
      </c>
      <c r="AK194" s="124" t="str">
        <f t="shared" si="29"/>
        <v/>
      </c>
      <c r="AL194" s="124" t="str">
        <f>IF(I194="","",IF(#REF!&gt;0,TRUE,FALSE))</f>
        <v/>
      </c>
      <c r="AM194" s="124">
        <v>184</v>
      </c>
      <c r="AN194" s="124"/>
      <c r="AO194" s="124" t="str">
        <f t="array" ref="AO194">IFERROR(INDEX($AM$11:$AM$259, MATCH(0, IF(TRUE=$AJ$11:$AJ$259, COUNTIF($AO$10:$AO193, $AM$11:$AM$259), ""), 0)),"")</f>
        <v/>
      </c>
      <c r="AP194" s="124" t="str">
        <f t="array" ref="AP194">IFERROR(INDEX($AM$11:$AM$259, MATCH(0, IF(TRUE=$AK$11:$AK$259, COUNTIF($AP$10:$AP193, $AM$11:$AM$259), ""), 0)),"")</f>
        <v/>
      </c>
      <c r="AQ194" s="124" t="str">
        <f t="array" ref="AQ194">IFERROR(INDEX($AM$11:$AM$259, MATCH(0, IF(TRUE=$AL$11:$AL$259, COUNTIF($AQ$10:$AQ193, $AM$11:$AM$259), ""), 0)),"")</f>
        <v/>
      </c>
      <c r="AU194" s="30">
        <f t="shared" si="30"/>
        <v>0</v>
      </c>
      <c r="AY194" s="374" t="str">
        <f t="shared" si="26"/>
        <v/>
      </c>
    </row>
    <row r="195" spans="1:51">
      <c r="A195" s="30" t="str">
        <f>IFERROR(INDEX('G-1 All Habitats'!$AG$3:$AG$17,MATCH(E195,'G-1 All Habitats'!$AF$3:$AF$17,0)),"")</f>
        <v/>
      </c>
      <c r="B195" s="30" t="str">
        <f>IFERROR(INDEX('G-8 Condition Look up'!$I$4:$I$135,MATCH(G195,'G-8 Condition Look up'!$A$4:$A$135,0)),"")</f>
        <v/>
      </c>
      <c r="D195" s="110">
        <v>185</v>
      </c>
      <c r="E195" s="339"/>
      <c r="F195" s="340"/>
      <c r="G195" s="295" t="str">
        <f>IFERROR(INDEX('G-1 All Habitats'!$B$3:$B$134,MATCH(F195,'G-1 All Habitats'!$A$3:$A$134,0)),"")</f>
        <v/>
      </c>
      <c r="H195" s="139"/>
      <c r="I195" s="722" t="str">
        <f>IF(G195="","",VLOOKUP(G195,'G-1 All Habitats'!$B$2:$M$134,10,FALSE))</f>
        <v/>
      </c>
      <c r="J195" s="490" t="str">
        <f>IFERROR(VLOOKUP(I195,'G-1 All Habitats'!$V$3:$W$7,2,FALSE),"")</f>
        <v/>
      </c>
      <c r="K195" s="114"/>
      <c r="L195" s="490" t="str">
        <f>IFERROR(INDEX('G-8 Condition Look up'!$A$3:$H$135,MATCH(G195,'G-8 Condition Look up'!$A$3:$A$135,0),MATCH(K195,'G-8 Condition Look up'!$A$3:$H$3,0)),"")</f>
        <v/>
      </c>
      <c r="M195" s="738"/>
      <c r="N195" s="404" t="str">
        <f>IF(M195="","",IF(VLOOKUP(M195,'G-3 Multipliers'!$L$3:$N$6,2,FALSE)=0,"Spatial Data Missing ⚠",VLOOKUP(M195,'G-3 Multipliers'!$L$3:$N$6,2,FALSE)))</f>
        <v/>
      </c>
      <c r="O195" s="452" t="str">
        <f>IF(M195="","",IF(VLOOKUP(M195,'G-3 Multipliers'!$L$3:$N$6,3,FALSE)=0,"Spatial Data Missing ⚠",VLOOKUP(M195,'G-3 Multipliers'!$L$3:$N$6,3,FALSE)))</f>
        <v/>
      </c>
      <c r="P195" s="369" t="str">
        <f>IFERROR(VLOOKUP(G195,'G-1 All Habitats'!$B$2:$M$134,12,FALSE),"")</f>
        <v/>
      </c>
      <c r="Q195" s="725" t="str">
        <f>IFERROR(IF(P195="","",IF(AND(P195='G-1 All Habitats'!$X$3,W195&gt;0),X195+(Y195*S195),IF(AND(P195='G-1 All Habitats'!$X$3,V195&gt;0),X195+(Y195*S195),IF(AND(P195='G-1 All Habitats'!$X$3,AG195&gt;0),"Any Loss Unacceptable  ⚠",IF(AND(P195='G-1 All Habitats'!$X$3,Z195&gt;0),"Any Loss Unacceptable ⚠",H195*J195*L195*O195*S195))))),"Check Data ⚠")</f>
        <v/>
      </c>
      <c r="R195" s="516"/>
      <c r="S195" s="724" t="str">
        <f>IF(R195="","",IF(VLOOKUP(R195,'G-3 Multipliers'!$S$3:$T$10,2,FALSE)=0,"Spatial Data Missing ⚠",VLOOKUP(R195,'G-3 Multipliers'!$S$3:$T$10,2,FALSE)))</f>
        <v/>
      </c>
      <c r="T195" s="376" t="str">
        <f>IFERROR(IF(P195="","",IF(AND(P195='G-1 All Habitats'!$X$3,W195&gt;0),X195+Y195,IF(AND(P195='G-1 All Habitats'!$X$3,V195&gt;0),X195+Y195,IF(AND(P195='G-1 All Habitats'!$X$3,AG195&gt;0),"Any Loss Unacceptable ⚠", IF(R195="","", IF(AND(P195='G-1 All Habitats'!$X$3,Z195&gt;0),"Any Loss Unacceptable ⚠",H195*J195*L195*O195)))))),"Check Data ⚠")</f>
        <v/>
      </c>
      <c r="U195" s="38"/>
      <c r="V195" s="54"/>
      <c r="W195" s="55"/>
      <c r="X195" s="374" t="str">
        <f t="shared" si="21"/>
        <v/>
      </c>
      <c r="Y195" s="374" t="str">
        <f t="shared" si="22"/>
        <v/>
      </c>
      <c r="Z195" s="374" t="str">
        <f>IF(E195="","",IF(H195&lt;V195+W195,"Error in Areas ▲",IF(P195&lt;&gt;'G-1 All Habitats'!$X$3,H195-V195-W195,IF(AND(P195='G-1 All Habitats'!$X$3,AB195="Yes"),"Unacceptable Loss ⚠",IF(AND(P195='G-1 All Habitats'!$X$3,AB195="No"),AG195,IF(AND(P195='G-1 All Habitats'!$X$3,AB195=""),AG195,IF(AND(P195='G-1 All Habitats'!$X$3,AG195="None",AG195),IF(AND(P195='G-1 All Habitats'!$X$3,AG195&gt;0),H195-V195-W195))))))))</f>
        <v/>
      </c>
      <c r="AA195" s="405" t="str">
        <f>IFERROR(IF(H195="","",IF(H195-V195-W195=0&lt;0,"Error in Areas ▲",IF(V195+W195&gt;H195,"Error in Areas ▲",IF(AND(P195='G-1 All Habitats'!$X$3,AB195="Yes"),"Alternative Compensation ✓",IF(Z195=0,0,IF(P195='G-1 All Habitats'!$X$3,"Any Loss Unacceptable ▲",T195-X195-Y195)))))),"Check Data ⚠")</f>
        <v/>
      </c>
      <c r="AB195" s="837"/>
      <c r="AC195" s="119"/>
      <c r="AD195" s="528"/>
      <c r="AE195" s="120"/>
      <c r="AF195" s="687"/>
      <c r="AG195" s="744" t="str">
        <f>IF(P195="","",IF(P195='G-1 All Habitats'!$X$3,H195-V195-W195,"None"))</f>
        <v/>
      </c>
      <c r="AH195" s="744" t="str">
        <f t="shared" si="23"/>
        <v/>
      </c>
      <c r="AJ195" s="124" t="str">
        <f t="shared" si="28"/>
        <v/>
      </c>
      <c r="AK195" s="124" t="str">
        <f t="shared" si="29"/>
        <v/>
      </c>
      <c r="AL195" s="124" t="str">
        <f>IF(I195="","",IF(#REF!&gt;0,TRUE,FALSE))</f>
        <v/>
      </c>
      <c r="AM195" s="124">
        <v>185</v>
      </c>
      <c r="AN195" s="124"/>
      <c r="AO195" s="124" t="str">
        <f t="array" ref="AO195">IFERROR(INDEX($AM$11:$AM$259, MATCH(0, IF(TRUE=$AJ$11:$AJ$259, COUNTIF($AO$10:$AO194, $AM$11:$AM$259), ""), 0)),"")</f>
        <v/>
      </c>
      <c r="AP195" s="124" t="str">
        <f t="array" ref="AP195">IFERROR(INDEX($AM$11:$AM$259, MATCH(0, IF(TRUE=$AK$11:$AK$259, COUNTIF($AP$10:$AP194, $AM$11:$AM$259), ""), 0)),"")</f>
        <v/>
      </c>
      <c r="AQ195" s="124" t="str">
        <f t="array" ref="AQ195">IFERROR(INDEX($AM$11:$AM$259, MATCH(0, IF(TRUE=$AL$11:$AL$259, COUNTIF($AQ$10:$AQ194, $AM$11:$AM$259), ""), 0)),"")</f>
        <v/>
      </c>
      <c r="AU195" s="30">
        <f t="shared" si="30"/>
        <v>0</v>
      </c>
      <c r="AY195" s="374" t="str">
        <f t="shared" si="26"/>
        <v/>
      </c>
    </row>
    <row r="196" spans="1:51">
      <c r="A196" s="30" t="str">
        <f>IFERROR(INDEX('G-1 All Habitats'!$AG$3:$AG$17,MATCH(E196,'G-1 All Habitats'!$AF$3:$AF$17,0)),"")</f>
        <v/>
      </c>
      <c r="B196" s="30" t="str">
        <f>IFERROR(INDEX('G-8 Condition Look up'!$I$4:$I$135,MATCH(G196,'G-8 Condition Look up'!$A$4:$A$135,0)),"")</f>
        <v/>
      </c>
      <c r="D196" s="110">
        <v>186</v>
      </c>
      <c r="E196" s="339"/>
      <c r="F196" s="340"/>
      <c r="G196" s="295" t="str">
        <f>IFERROR(INDEX('G-1 All Habitats'!$B$3:$B$134,MATCH(F196,'G-1 All Habitats'!$A$3:$A$134,0)),"")</f>
        <v/>
      </c>
      <c r="H196" s="139"/>
      <c r="I196" s="722" t="str">
        <f>IF(G196="","",VLOOKUP(G196,'G-1 All Habitats'!$B$2:$M$134,10,FALSE))</f>
        <v/>
      </c>
      <c r="J196" s="490" t="str">
        <f>IFERROR(VLOOKUP(I196,'G-1 All Habitats'!$V$3:$W$7,2,FALSE),"")</f>
        <v/>
      </c>
      <c r="K196" s="114"/>
      <c r="L196" s="490" t="str">
        <f>IFERROR(INDEX('G-8 Condition Look up'!$A$3:$H$135,MATCH(G196,'G-8 Condition Look up'!$A$3:$A$135,0),MATCH(K196,'G-8 Condition Look up'!$A$3:$H$3,0)),"")</f>
        <v/>
      </c>
      <c r="M196" s="738"/>
      <c r="N196" s="404" t="str">
        <f>IF(M196="","",IF(VLOOKUP(M196,'G-3 Multipliers'!$L$3:$N$6,2,FALSE)=0,"Spatial Data Missing ⚠",VLOOKUP(M196,'G-3 Multipliers'!$L$3:$N$6,2,FALSE)))</f>
        <v/>
      </c>
      <c r="O196" s="452" t="str">
        <f>IF(M196="","",IF(VLOOKUP(M196,'G-3 Multipliers'!$L$3:$N$6,3,FALSE)=0,"Spatial Data Missing ⚠",VLOOKUP(M196,'G-3 Multipliers'!$L$3:$N$6,3,FALSE)))</f>
        <v/>
      </c>
      <c r="P196" s="369" t="str">
        <f>IFERROR(VLOOKUP(G196,'G-1 All Habitats'!$B$2:$M$134,12,FALSE),"")</f>
        <v/>
      </c>
      <c r="Q196" s="725" t="str">
        <f>IFERROR(IF(P196="","",IF(AND(P196='G-1 All Habitats'!$X$3,W196&gt;0),X196+(Y196*S196),IF(AND(P196='G-1 All Habitats'!$X$3,V196&gt;0),X196+(Y196*S196),IF(AND(P196='G-1 All Habitats'!$X$3,AG196&gt;0),"Any Loss Unacceptable  ⚠",IF(AND(P196='G-1 All Habitats'!$X$3,Z196&gt;0),"Any Loss Unacceptable ⚠",H196*J196*L196*O196*S196))))),"Check Data ⚠")</f>
        <v/>
      </c>
      <c r="R196" s="516"/>
      <c r="S196" s="724" t="str">
        <f>IF(R196="","",IF(VLOOKUP(R196,'G-3 Multipliers'!$S$3:$T$10,2,FALSE)=0,"Spatial Data Missing ⚠",VLOOKUP(R196,'G-3 Multipliers'!$S$3:$T$10,2,FALSE)))</f>
        <v/>
      </c>
      <c r="T196" s="376" t="str">
        <f>IFERROR(IF(P196="","",IF(AND(P196='G-1 All Habitats'!$X$3,W196&gt;0),X196+Y196,IF(AND(P196='G-1 All Habitats'!$X$3,V196&gt;0),X196+Y196,IF(AND(P196='G-1 All Habitats'!$X$3,AG196&gt;0),"Any Loss Unacceptable ⚠", IF(R196="","", IF(AND(P196='G-1 All Habitats'!$X$3,Z196&gt;0),"Any Loss Unacceptable ⚠",H196*J196*L196*O196)))))),"Check Data ⚠")</f>
        <v/>
      </c>
      <c r="U196" s="38"/>
      <c r="V196" s="54"/>
      <c r="W196" s="55"/>
      <c r="X196" s="374" t="str">
        <f t="shared" si="21"/>
        <v/>
      </c>
      <c r="Y196" s="374" t="str">
        <f t="shared" si="22"/>
        <v/>
      </c>
      <c r="Z196" s="374" t="str">
        <f>IF(E196="","",IF(H196&lt;V196+W196,"Error in Areas ▲",IF(P196&lt;&gt;'G-1 All Habitats'!$X$3,H196-V196-W196,IF(AND(P196='G-1 All Habitats'!$X$3,AB196="Yes"),"Unacceptable Loss ⚠",IF(AND(P196='G-1 All Habitats'!$X$3,AB196="No"),AG196,IF(AND(P196='G-1 All Habitats'!$X$3,AB196=""),AG196,IF(AND(P196='G-1 All Habitats'!$X$3,AG196="None",AG196),IF(AND(P196='G-1 All Habitats'!$X$3,AG196&gt;0),H196-V196-W196))))))))</f>
        <v/>
      </c>
      <c r="AA196" s="405" t="str">
        <f>IFERROR(IF(H196="","",IF(H196-V196-W196=0&lt;0,"Error in Areas ▲",IF(V196+W196&gt;H196,"Error in Areas ▲",IF(AND(P196='G-1 All Habitats'!$X$3,AB196="Yes"),"Alternative Compensation ✓",IF(Z196=0,0,IF(P196='G-1 All Habitats'!$X$3,"Any Loss Unacceptable ▲",T196-X196-Y196)))))),"Check Data ⚠")</f>
        <v/>
      </c>
      <c r="AB196" s="837"/>
      <c r="AC196" s="119"/>
      <c r="AD196" s="528"/>
      <c r="AE196" s="120"/>
      <c r="AF196" s="687"/>
      <c r="AG196" s="744" t="str">
        <f>IF(P196="","",IF(P196='G-1 All Habitats'!$X$3,H196-V196-W196,"None"))</f>
        <v/>
      </c>
      <c r="AH196" s="744" t="str">
        <f t="shared" si="23"/>
        <v/>
      </c>
      <c r="AJ196" s="124" t="str">
        <f t="shared" si="28"/>
        <v/>
      </c>
      <c r="AK196" s="124" t="str">
        <f t="shared" si="29"/>
        <v/>
      </c>
      <c r="AL196" s="124" t="str">
        <f>IF(I196="","",IF(#REF!&gt;0,TRUE,FALSE))</f>
        <v/>
      </c>
      <c r="AM196" s="124">
        <v>186</v>
      </c>
      <c r="AN196" s="124"/>
      <c r="AO196" s="124" t="str">
        <f t="array" ref="AO196">IFERROR(INDEX($AM$11:$AM$259, MATCH(0, IF(TRUE=$AJ$11:$AJ$259, COUNTIF($AO$10:$AO195, $AM$11:$AM$259), ""), 0)),"")</f>
        <v/>
      </c>
      <c r="AP196" s="124" t="str">
        <f t="array" ref="AP196">IFERROR(INDEX($AM$11:$AM$259, MATCH(0, IF(TRUE=$AK$11:$AK$259, COUNTIF($AP$10:$AP195, $AM$11:$AM$259), ""), 0)),"")</f>
        <v/>
      </c>
      <c r="AQ196" s="124" t="str">
        <f t="array" ref="AQ196">IFERROR(INDEX($AM$11:$AM$259, MATCH(0, IF(TRUE=$AL$11:$AL$259, COUNTIF($AQ$10:$AQ195, $AM$11:$AM$259), ""), 0)),"")</f>
        <v/>
      </c>
      <c r="AU196" s="30">
        <f t="shared" si="30"/>
        <v>0</v>
      </c>
      <c r="AY196" s="374" t="str">
        <f t="shared" si="26"/>
        <v/>
      </c>
    </row>
    <row r="197" spans="1:51">
      <c r="A197" s="30" t="str">
        <f>IFERROR(INDEX('G-1 All Habitats'!$AG$3:$AG$17,MATCH(E197,'G-1 All Habitats'!$AF$3:$AF$17,0)),"")</f>
        <v/>
      </c>
      <c r="B197" s="30" t="str">
        <f>IFERROR(INDEX('G-8 Condition Look up'!$I$4:$I$135,MATCH(G197,'G-8 Condition Look up'!$A$4:$A$135,0)),"")</f>
        <v/>
      </c>
      <c r="D197" s="110">
        <v>187</v>
      </c>
      <c r="E197" s="339"/>
      <c r="F197" s="340"/>
      <c r="G197" s="295" t="str">
        <f>IFERROR(INDEX('G-1 All Habitats'!$B$3:$B$134,MATCH(F197,'G-1 All Habitats'!$A$3:$A$134,0)),"")</f>
        <v/>
      </c>
      <c r="H197" s="139"/>
      <c r="I197" s="722" t="str">
        <f>IF(G197="","",VLOOKUP(G197,'G-1 All Habitats'!$B$2:$M$134,10,FALSE))</f>
        <v/>
      </c>
      <c r="J197" s="490" t="str">
        <f>IFERROR(VLOOKUP(I197,'G-1 All Habitats'!$V$3:$W$7,2,FALSE),"")</f>
        <v/>
      </c>
      <c r="K197" s="114"/>
      <c r="L197" s="490" t="str">
        <f>IFERROR(INDEX('G-8 Condition Look up'!$A$3:$H$135,MATCH(G197,'G-8 Condition Look up'!$A$3:$A$135,0),MATCH(K197,'G-8 Condition Look up'!$A$3:$H$3,0)),"")</f>
        <v/>
      </c>
      <c r="M197" s="738"/>
      <c r="N197" s="404" t="str">
        <f>IF(M197="","",IF(VLOOKUP(M197,'G-3 Multipliers'!$L$3:$N$6,2,FALSE)=0,"Spatial Data Missing ⚠",VLOOKUP(M197,'G-3 Multipliers'!$L$3:$N$6,2,FALSE)))</f>
        <v/>
      </c>
      <c r="O197" s="452" t="str">
        <f>IF(M197="","",IF(VLOOKUP(M197,'G-3 Multipliers'!$L$3:$N$6,3,FALSE)=0,"Spatial Data Missing ⚠",VLOOKUP(M197,'G-3 Multipliers'!$L$3:$N$6,3,FALSE)))</f>
        <v/>
      </c>
      <c r="P197" s="369" t="str">
        <f>IFERROR(VLOOKUP(G197,'G-1 All Habitats'!$B$2:$M$134,12,FALSE),"")</f>
        <v/>
      </c>
      <c r="Q197" s="725" t="str">
        <f>IFERROR(IF(P197="","",IF(AND(P197='G-1 All Habitats'!$X$3,W197&gt;0),X197+(Y197*S197),IF(AND(P197='G-1 All Habitats'!$X$3,V197&gt;0),X197+(Y197*S197),IF(AND(P197='G-1 All Habitats'!$X$3,AG197&gt;0),"Any Loss Unacceptable  ⚠",IF(AND(P197='G-1 All Habitats'!$X$3,Z197&gt;0),"Any Loss Unacceptable ⚠",H197*J197*L197*O197*S197))))),"Check Data ⚠")</f>
        <v/>
      </c>
      <c r="R197" s="516"/>
      <c r="S197" s="724" t="str">
        <f>IF(R197="","",IF(VLOOKUP(R197,'G-3 Multipliers'!$S$3:$T$10,2,FALSE)=0,"Spatial Data Missing ⚠",VLOOKUP(R197,'G-3 Multipliers'!$S$3:$T$10,2,FALSE)))</f>
        <v/>
      </c>
      <c r="T197" s="376" t="str">
        <f>IFERROR(IF(P197="","",IF(AND(P197='G-1 All Habitats'!$X$3,W197&gt;0),X197+Y197,IF(AND(P197='G-1 All Habitats'!$X$3,V197&gt;0),X197+Y197,IF(AND(P197='G-1 All Habitats'!$X$3,AG197&gt;0),"Any Loss Unacceptable ⚠", IF(R197="","", IF(AND(P197='G-1 All Habitats'!$X$3,Z197&gt;0),"Any Loss Unacceptable ⚠",H197*J197*L197*O197)))))),"Check Data ⚠")</f>
        <v/>
      </c>
      <c r="U197" s="38"/>
      <c r="V197" s="54"/>
      <c r="W197" s="55"/>
      <c r="X197" s="374" t="str">
        <f t="shared" si="21"/>
        <v/>
      </c>
      <c r="Y197" s="374" t="str">
        <f t="shared" si="22"/>
        <v/>
      </c>
      <c r="Z197" s="374" t="str">
        <f>IF(E197="","",IF(H197&lt;V197+W197,"Error in Areas ▲",IF(P197&lt;&gt;'G-1 All Habitats'!$X$3,H197-V197-W197,IF(AND(P197='G-1 All Habitats'!$X$3,AB197="Yes"),"Unacceptable Loss ⚠",IF(AND(P197='G-1 All Habitats'!$X$3,AB197="No"),AG197,IF(AND(P197='G-1 All Habitats'!$X$3,AB197=""),AG197,IF(AND(P197='G-1 All Habitats'!$X$3,AG197="None",AG197),IF(AND(P197='G-1 All Habitats'!$X$3,AG197&gt;0),H197-V197-W197))))))))</f>
        <v/>
      </c>
      <c r="AA197" s="405" t="str">
        <f>IFERROR(IF(H197="","",IF(H197-V197-W197=0&lt;0,"Error in Areas ▲",IF(V197+W197&gt;H197,"Error in Areas ▲",IF(AND(P197='G-1 All Habitats'!$X$3,AB197="Yes"),"Alternative Compensation ✓",IF(Z197=0,0,IF(P197='G-1 All Habitats'!$X$3,"Any Loss Unacceptable ▲",T197-X197-Y197)))))),"Check Data ⚠")</f>
        <v/>
      </c>
      <c r="AB197" s="837"/>
      <c r="AC197" s="119"/>
      <c r="AD197" s="528"/>
      <c r="AE197" s="120"/>
      <c r="AF197" s="687"/>
      <c r="AG197" s="744" t="str">
        <f>IF(P197="","",IF(P197='G-1 All Habitats'!$X$3,H197-V197-W197,"None"))</f>
        <v/>
      </c>
      <c r="AH197" s="744" t="str">
        <f t="shared" si="23"/>
        <v/>
      </c>
      <c r="AJ197" s="124" t="str">
        <f t="shared" si="28"/>
        <v/>
      </c>
      <c r="AK197" s="124" t="str">
        <f t="shared" si="29"/>
        <v/>
      </c>
      <c r="AL197" s="124" t="str">
        <f>IF(I197="","",IF(#REF!&gt;0,TRUE,FALSE))</f>
        <v/>
      </c>
      <c r="AM197" s="124">
        <v>187</v>
      </c>
      <c r="AN197" s="124"/>
      <c r="AO197" s="124" t="str">
        <f t="array" ref="AO197">IFERROR(INDEX($AM$11:$AM$259, MATCH(0, IF(TRUE=$AJ$11:$AJ$259, COUNTIF($AO$10:$AO196, $AM$11:$AM$259), ""), 0)),"")</f>
        <v/>
      </c>
      <c r="AP197" s="124" t="str">
        <f t="array" ref="AP197">IFERROR(INDEX($AM$11:$AM$259, MATCH(0, IF(TRUE=$AK$11:$AK$259, COUNTIF($AP$10:$AP196, $AM$11:$AM$259), ""), 0)),"")</f>
        <v/>
      </c>
      <c r="AQ197" s="124" t="str">
        <f t="array" ref="AQ197">IFERROR(INDEX($AM$11:$AM$259, MATCH(0, IF(TRUE=$AL$11:$AL$259, COUNTIF($AQ$10:$AQ196, $AM$11:$AM$259), ""), 0)),"")</f>
        <v/>
      </c>
      <c r="AU197" s="30">
        <f t="shared" si="30"/>
        <v>0</v>
      </c>
      <c r="AY197" s="374" t="str">
        <f t="shared" si="26"/>
        <v/>
      </c>
    </row>
    <row r="198" spans="1:51">
      <c r="A198" s="30" t="str">
        <f>IFERROR(INDEX('G-1 All Habitats'!$AG$3:$AG$17,MATCH(E198,'G-1 All Habitats'!$AF$3:$AF$17,0)),"")</f>
        <v/>
      </c>
      <c r="B198" s="30" t="str">
        <f>IFERROR(INDEX('G-8 Condition Look up'!$I$4:$I$135,MATCH(G198,'G-8 Condition Look up'!$A$4:$A$135,0)),"")</f>
        <v/>
      </c>
      <c r="D198" s="110">
        <v>188</v>
      </c>
      <c r="E198" s="339"/>
      <c r="F198" s="340"/>
      <c r="G198" s="295" t="str">
        <f>IFERROR(INDEX('G-1 All Habitats'!$B$3:$B$134,MATCH(F198,'G-1 All Habitats'!$A$3:$A$134,0)),"")</f>
        <v/>
      </c>
      <c r="H198" s="139"/>
      <c r="I198" s="722" t="str">
        <f>IF(G198="","",VLOOKUP(G198,'G-1 All Habitats'!$B$2:$M$134,10,FALSE))</f>
        <v/>
      </c>
      <c r="J198" s="490" t="str">
        <f>IFERROR(VLOOKUP(I198,'G-1 All Habitats'!$V$3:$W$7,2,FALSE),"")</f>
        <v/>
      </c>
      <c r="K198" s="114"/>
      <c r="L198" s="490" t="str">
        <f>IFERROR(INDEX('G-8 Condition Look up'!$A$3:$H$135,MATCH(G198,'G-8 Condition Look up'!$A$3:$A$135,0),MATCH(K198,'G-8 Condition Look up'!$A$3:$H$3,0)),"")</f>
        <v/>
      </c>
      <c r="M198" s="738"/>
      <c r="N198" s="404" t="str">
        <f>IF(M198="","",IF(VLOOKUP(M198,'G-3 Multipliers'!$L$3:$N$6,2,FALSE)=0,"Spatial Data Missing ⚠",VLOOKUP(M198,'G-3 Multipliers'!$L$3:$N$6,2,FALSE)))</f>
        <v/>
      </c>
      <c r="O198" s="452" t="str">
        <f>IF(M198="","",IF(VLOOKUP(M198,'G-3 Multipliers'!$L$3:$N$6,3,FALSE)=0,"Spatial Data Missing ⚠",VLOOKUP(M198,'G-3 Multipliers'!$L$3:$N$6,3,FALSE)))</f>
        <v/>
      </c>
      <c r="P198" s="369" t="str">
        <f>IFERROR(VLOOKUP(G198,'G-1 All Habitats'!$B$2:$M$134,12,FALSE),"")</f>
        <v/>
      </c>
      <c r="Q198" s="725" t="str">
        <f>IFERROR(IF(P198="","",IF(AND(P198='G-1 All Habitats'!$X$3,W198&gt;0),X198+(Y198*S198),IF(AND(P198='G-1 All Habitats'!$X$3,V198&gt;0),X198+(Y198*S198),IF(AND(P198='G-1 All Habitats'!$X$3,AG198&gt;0),"Any Loss Unacceptable  ⚠",IF(AND(P198='G-1 All Habitats'!$X$3,Z198&gt;0),"Any Loss Unacceptable ⚠",H198*J198*L198*O198*S198))))),"Check Data ⚠")</f>
        <v/>
      </c>
      <c r="R198" s="516"/>
      <c r="S198" s="724" t="str">
        <f>IF(R198="","",IF(VLOOKUP(R198,'G-3 Multipliers'!$S$3:$T$10,2,FALSE)=0,"Spatial Data Missing ⚠",VLOOKUP(R198,'G-3 Multipliers'!$S$3:$T$10,2,FALSE)))</f>
        <v/>
      </c>
      <c r="T198" s="376" t="str">
        <f>IFERROR(IF(P198="","",IF(AND(P198='G-1 All Habitats'!$X$3,W198&gt;0),X198+Y198,IF(AND(P198='G-1 All Habitats'!$X$3,V198&gt;0),X198+Y198,IF(AND(P198='G-1 All Habitats'!$X$3,AG198&gt;0),"Any Loss Unacceptable ⚠", IF(R198="","", IF(AND(P198='G-1 All Habitats'!$X$3,Z198&gt;0),"Any Loss Unacceptable ⚠",H198*J198*L198*O198)))))),"Check Data ⚠")</f>
        <v/>
      </c>
      <c r="U198" s="38"/>
      <c r="V198" s="54"/>
      <c r="W198" s="55"/>
      <c r="X198" s="374" t="str">
        <f t="shared" si="21"/>
        <v/>
      </c>
      <c r="Y198" s="374" t="str">
        <f t="shared" si="22"/>
        <v/>
      </c>
      <c r="Z198" s="374" t="str">
        <f>IF(E198="","",IF(H198&lt;V198+W198,"Error in Areas ▲",IF(P198&lt;&gt;'G-1 All Habitats'!$X$3,H198-V198-W198,IF(AND(P198='G-1 All Habitats'!$X$3,AB198="Yes"),"Unacceptable Loss ⚠",IF(AND(P198='G-1 All Habitats'!$X$3,AB198="No"),AG198,IF(AND(P198='G-1 All Habitats'!$X$3,AB198=""),AG198,IF(AND(P198='G-1 All Habitats'!$X$3,AG198="None",AG198),IF(AND(P198='G-1 All Habitats'!$X$3,AG198&gt;0),H198-V198-W198))))))))</f>
        <v/>
      </c>
      <c r="AA198" s="405" t="str">
        <f>IFERROR(IF(H198="","",IF(H198-V198-W198=0&lt;0,"Error in Areas ▲",IF(V198+W198&gt;H198,"Error in Areas ▲",IF(AND(P198='G-1 All Habitats'!$X$3,AB198="Yes"),"Alternative Compensation ✓",IF(Z198=0,0,IF(P198='G-1 All Habitats'!$X$3,"Any Loss Unacceptable ▲",T198-X198-Y198)))))),"Check Data ⚠")</f>
        <v/>
      </c>
      <c r="AB198" s="837"/>
      <c r="AC198" s="119"/>
      <c r="AD198" s="528"/>
      <c r="AE198" s="120"/>
      <c r="AF198" s="687"/>
      <c r="AG198" s="744" t="str">
        <f>IF(P198="","",IF(P198='G-1 All Habitats'!$X$3,H198-V198-W198,"None"))</f>
        <v/>
      </c>
      <c r="AH198" s="744" t="str">
        <f t="shared" si="23"/>
        <v/>
      </c>
      <c r="AJ198" s="124" t="str">
        <f t="shared" si="28"/>
        <v/>
      </c>
      <c r="AK198" s="124" t="str">
        <f t="shared" si="29"/>
        <v/>
      </c>
      <c r="AL198" s="124" t="str">
        <f>IF(I198="","",IF(#REF!&gt;0,TRUE,FALSE))</f>
        <v/>
      </c>
      <c r="AM198" s="124">
        <v>188</v>
      </c>
      <c r="AN198" s="124"/>
      <c r="AO198" s="124" t="str">
        <f t="array" ref="AO198">IFERROR(INDEX($AM$11:$AM$259, MATCH(0, IF(TRUE=$AJ$11:$AJ$259, COUNTIF($AO$10:$AO197, $AM$11:$AM$259), ""), 0)),"")</f>
        <v/>
      </c>
      <c r="AP198" s="124" t="str">
        <f t="array" ref="AP198">IFERROR(INDEX($AM$11:$AM$259, MATCH(0, IF(TRUE=$AK$11:$AK$259, COUNTIF($AP$10:$AP197, $AM$11:$AM$259), ""), 0)),"")</f>
        <v/>
      </c>
      <c r="AQ198" s="124" t="str">
        <f t="array" ref="AQ198">IFERROR(INDEX($AM$11:$AM$259, MATCH(0, IF(TRUE=$AL$11:$AL$259, COUNTIF($AQ$10:$AQ197, $AM$11:$AM$259), ""), 0)),"")</f>
        <v/>
      </c>
      <c r="AU198" s="30">
        <f t="shared" si="30"/>
        <v>0</v>
      </c>
      <c r="AY198" s="374" t="str">
        <f t="shared" si="26"/>
        <v/>
      </c>
    </row>
    <row r="199" spans="1:51">
      <c r="A199" s="30" t="str">
        <f>IFERROR(INDEX('G-1 All Habitats'!$AG$3:$AG$17,MATCH(E199,'G-1 All Habitats'!$AF$3:$AF$17,0)),"")</f>
        <v/>
      </c>
      <c r="B199" s="30" t="str">
        <f>IFERROR(INDEX('G-8 Condition Look up'!$I$4:$I$135,MATCH(G199,'G-8 Condition Look up'!$A$4:$A$135,0)),"")</f>
        <v/>
      </c>
      <c r="D199" s="110">
        <v>189</v>
      </c>
      <c r="E199" s="339"/>
      <c r="F199" s="340"/>
      <c r="G199" s="295" t="str">
        <f>IFERROR(INDEX('G-1 All Habitats'!$B$3:$B$134,MATCH(F199,'G-1 All Habitats'!$A$3:$A$134,0)),"")</f>
        <v/>
      </c>
      <c r="H199" s="139"/>
      <c r="I199" s="722" t="str">
        <f>IF(G199="","",VLOOKUP(G199,'G-1 All Habitats'!$B$2:$M$134,10,FALSE))</f>
        <v/>
      </c>
      <c r="J199" s="490" t="str">
        <f>IFERROR(VLOOKUP(I199,'G-1 All Habitats'!$V$3:$W$7,2,FALSE),"")</f>
        <v/>
      </c>
      <c r="K199" s="114"/>
      <c r="L199" s="490" t="str">
        <f>IFERROR(INDEX('G-8 Condition Look up'!$A$3:$H$135,MATCH(G199,'G-8 Condition Look up'!$A$3:$A$135,0),MATCH(K199,'G-8 Condition Look up'!$A$3:$H$3,0)),"")</f>
        <v/>
      </c>
      <c r="M199" s="738"/>
      <c r="N199" s="404" t="str">
        <f>IF(M199="","",IF(VLOOKUP(M199,'G-3 Multipliers'!$L$3:$N$6,2,FALSE)=0,"Spatial Data Missing ⚠",VLOOKUP(M199,'G-3 Multipliers'!$L$3:$N$6,2,FALSE)))</f>
        <v/>
      </c>
      <c r="O199" s="452" t="str">
        <f>IF(M199="","",IF(VLOOKUP(M199,'G-3 Multipliers'!$L$3:$N$6,3,FALSE)=0,"Spatial Data Missing ⚠",VLOOKUP(M199,'G-3 Multipliers'!$L$3:$N$6,3,FALSE)))</f>
        <v/>
      </c>
      <c r="P199" s="369" t="str">
        <f>IFERROR(VLOOKUP(G199,'G-1 All Habitats'!$B$2:$M$134,12,FALSE),"")</f>
        <v/>
      </c>
      <c r="Q199" s="725" t="str">
        <f>IFERROR(IF(P199="","",IF(AND(P199='G-1 All Habitats'!$X$3,W199&gt;0),X199+(Y199*S199),IF(AND(P199='G-1 All Habitats'!$X$3,V199&gt;0),X199+(Y199*S199),IF(AND(P199='G-1 All Habitats'!$X$3,AG199&gt;0),"Any Loss Unacceptable  ⚠",IF(AND(P199='G-1 All Habitats'!$X$3,Z199&gt;0),"Any Loss Unacceptable ⚠",H199*J199*L199*O199*S199))))),"Check Data ⚠")</f>
        <v/>
      </c>
      <c r="R199" s="516"/>
      <c r="S199" s="724" t="str">
        <f>IF(R199="","",IF(VLOOKUP(R199,'G-3 Multipliers'!$S$3:$T$10,2,FALSE)=0,"Spatial Data Missing ⚠",VLOOKUP(R199,'G-3 Multipliers'!$S$3:$T$10,2,FALSE)))</f>
        <v/>
      </c>
      <c r="T199" s="376" t="str">
        <f>IFERROR(IF(P199="","",IF(AND(P199='G-1 All Habitats'!$X$3,W199&gt;0),X199+Y199,IF(AND(P199='G-1 All Habitats'!$X$3,V199&gt;0),X199+Y199,IF(AND(P199='G-1 All Habitats'!$X$3,AG199&gt;0),"Any Loss Unacceptable ⚠", IF(R199="","", IF(AND(P199='G-1 All Habitats'!$X$3,Z199&gt;0),"Any Loss Unacceptable ⚠",H199*J199*L199*O199)))))),"Check Data ⚠")</f>
        <v/>
      </c>
      <c r="U199" s="38"/>
      <c r="V199" s="54"/>
      <c r="W199" s="55"/>
      <c r="X199" s="374" t="str">
        <f t="shared" si="21"/>
        <v/>
      </c>
      <c r="Y199" s="374" t="str">
        <f t="shared" si="22"/>
        <v/>
      </c>
      <c r="Z199" s="374" t="str">
        <f>IF(E199="","",IF(H199&lt;V199+W199,"Error in Areas ▲",IF(P199&lt;&gt;'G-1 All Habitats'!$X$3,H199-V199-W199,IF(AND(P199='G-1 All Habitats'!$X$3,AB199="Yes"),"Unacceptable Loss ⚠",IF(AND(P199='G-1 All Habitats'!$X$3,AB199="No"),AG199,IF(AND(P199='G-1 All Habitats'!$X$3,AB199=""),AG199,IF(AND(P199='G-1 All Habitats'!$X$3,AG199="None",AG199),IF(AND(P199='G-1 All Habitats'!$X$3,AG199&gt;0),H199-V199-W199))))))))</f>
        <v/>
      </c>
      <c r="AA199" s="405" t="str">
        <f>IFERROR(IF(H199="","",IF(H199-V199-W199=0&lt;0,"Error in Areas ▲",IF(V199+W199&gt;H199,"Error in Areas ▲",IF(AND(P199='G-1 All Habitats'!$X$3,AB199="Yes"),"Alternative Compensation ✓",IF(Z199=0,0,IF(P199='G-1 All Habitats'!$X$3,"Any Loss Unacceptable ▲",T199-X199-Y199)))))),"Check Data ⚠")</f>
        <v/>
      </c>
      <c r="AB199" s="837"/>
      <c r="AC199" s="119"/>
      <c r="AD199" s="528"/>
      <c r="AE199" s="120"/>
      <c r="AF199" s="687"/>
      <c r="AG199" s="744" t="str">
        <f>IF(P199="","",IF(P199='G-1 All Habitats'!$X$3,H199-V199-W199,"None"))</f>
        <v/>
      </c>
      <c r="AH199" s="744" t="str">
        <f t="shared" si="23"/>
        <v/>
      </c>
      <c r="AJ199" s="124" t="str">
        <f t="shared" si="28"/>
        <v/>
      </c>
      <c r="AK199" s="124" t="str">
        <f t="shared" si="29"/>
        <v/>
      </c>
      <c r="AL199" s="124" t="str">
        <f>IF(I199="","",IF(#REF!&gt;0,TRUE,FALSE))</f>
        <v/>
      </c>
      <c r="AM199" s="124">
        <v>189</v>
      </c>
      <c r="AN199" s="124"/>
      <c r="AO199" s="124" t="str">
        <f t="array" ref="AO199">IFERROR(INDEX($AM$11:$AM$259, MATCH(0, IF(TRUE=$AJ$11:$AJ$259, COUNTIF($AO$10:$AO198, $AM$11:$AM$259), ""), 0)),"")</f>
        <v/>
      </c>
      <c r="AP199" s="124" t="str">
        <f t="array" ref="AP199">IFERROR(INDEX($AM$11:$AM$259, MATCH(0, IF(TRUE=$AK$11:$AK$259, COUNTIF($AP$10:$AP198, $AM$11:$AM$259), ""), 0)),"")</f>
        <v/>
      </c>
      <c r="AQ199" s="124" t="str">
        <f t="array" ref="AQ199">IFERROR(INDEX($AM$11:$AM$259, MATCH(0, IF(TRUE=$AL$11:$AL$259, COUNTIF($AQ$10:$AQ198, $AM$11:$AM$259), ""), 0)),"")</f>
        <v/>
      </c>
      <c r="AU199" s="30">
        <f t="shared" si="30"/>
        <v>0</v>
      </c>
      <c r="AY199" s="374" t="str">
        <f t="shared" si="26"/>
        <v/>
      </c>
    </row>
    <row r="200" spans="1:51">
      <c r="A200" s="30" t="str">
        <f>IFERROR(INDEX('G-1 All Habitats'!$AG$3:$AG$17,MATCH(E200,'G-1 All Habitats'!$AF$3:$AF$17,0)),"")</f>
        <v/>
      </c>
      <c r="B200" s="30" t="str">
        <f>IFERROR(INDEX('G-8 Condition Look up'!$I$4:$I$135,MATCH(G200,'G-8 Condition Look up'!$A$4:$A$135,0)),"")</f>
        <v/>
      </c>
      <c r="D200" s="110">
        <v>190</v>
      </c>
      <c r="E200" s="339"/>
      <c r="F200" s="340"/>
      <c r="G200" s="295" t="str">
        <f>IFERROR(INDEX('G-1 All Habitats'!$B$3:$B$134,MATCH(F200,'G-1 All Habitats'!$A$3:$A$134,0)),"")</f>
        <v/>
      </c>
      <c r="H200" s="139"/>
      <c r="I200" s="722" t="str">
        <f>IF(G200="","",VLOOKUP(G200,'G-1 All Habitats'!$B$2:$M$134,10,FALSE))</f>
        <v/>
      </c>
      <c r="J200" s="490" t="str">
        <f>IFERROR(VLOOKUP(I200,'G-1 All Habitats'!$V$3:$W$7,2,FALSE),"")</f>
        <v/>
      </c>
      <c r="K200" s="114"/>
      <c r="L200" s="490" t="str">
        <f>IFERROR(INDEX('G-8 Condition Look up'!$A$3:$H$135,MATCH(G200,'G-8 Condition Look up'!$A$3:$A$135,0),MATCH(K200,'G-8 Condition Look up'!$A$3:$H$3,0)),"")</f>
        <v/>
      </c>
      <c r="M200" s="738"/>
      <c r="N200" s="404" t="str">
        <f>IF(M200="","",IF(VLOOKUP(M200,'G-3 Multipliers'!$L$3:$N$6,2,FALSE)=0,"Spatial Data Missing ⚠",VLOOKUP(M200,'G-3 Multipliers'!$L$3:$N$6,2,FALSE)))</f>
        <v/>
      </c>
      <c r="O200" s="452" t="str">
        <f>IF(M200="","",IF(VLOOKUP(M200,'G-3 Multipliers'!$L$3:$N$6,3,FALSE)=0,"Spatial Data Missing ⚠",VLOOKUP(M200,'G-3 Multipliers'!$L$3:$N$6,3,FALSE)))</f>
        <v/>
      </c>
      <c r="P200" s="369" t="str">
        <f>IFERROR(VLOOKUP(G200,'G-1 All Habitats'!$B$2:$M$134,12,FALSE),"")</f>
        <v/>
      </c>
      <c r="Q200" s="725" t="str">
        <f>IFERROR(IF(P200="","",IF(AND(P200='G-1 All Habitats'!$X$3,W200&gt;0),X200+(Y200*S200),IF(AND(P200='G-1 All Habitats'!$X$3,V200&gt;0),X200+(Y200*S200),IF(AND(P200='G-1 All Habitats'!$X$3,AG200&gt;0),"Any Loss Unacceptable  ⚠",IF(AND(P200='G-1 All Habitats'!$X$3,Z200&gt;0),"Any Loss Unacceptable ⚠",H200*J200*L200*O200*S200))))),"Check Data ⚠")</f>
        <v/>
      </c>
      <c r="R200" s="516"/>
      <c r="S200" s="724" t="str">
        <f>IF(R200="","",IF(VLOOKUP(R200,'G-3 Multipliers'!$S$3:$T$10,2,FALSE)=0,"Spatial Data Missing ⚠",VLOOKUP(R200,'G-3 Multipliers'!$S$3:$T$10,2,FALSE)))</f>
        <v/>
      </c>
      <c r="T200" s="376" t="str">
        <f>IFERROR(IF(P200="","",IF(AND(P200='G-1 All Habitats'!$X$3,W200&gt;0),X200+Y200,IF(AND(P200='G-1 All Habitats'!$X$3,V200&gt;0),X200+Y200,IF(AND(P200='G-1 All Habitats'!$X$3,AG200&gt;0),"Any Loss Unacceptable ⚠", IF(R200="","", IF(AND(P200='G-1 All Habitats'!$X$3,Z200&gt;0),"Any Loss Unacceptable ⚠",H200*J200*L200*O200)))))),"Check Data ⚠")</f>
        <v/>
      </c>
      <c r="U200" s="38"/>
      <c r="V200" s="54"/>
      <c r="W200" s="55"/>
      <c r="X200" s="374" t="str">
        <f t="shared" si="21"/>
        <v/>
      </c>
      <c r="Y200" s="374" t="str">
        <f t="shared" si="22"/>
        <v/>
      </c>
      <c r="Z200" s="374" t="str">
        <f>IF(E200="","",IF(H200&lt;V200+W200,"Error in Areas ▲",IF(P200&lt;&gt;'G-1 All Habitats'!$X$3,H200-V200-W200,IF(AND(P200='G-1 All Habitats'!$X$3,AB200="Yes"),"Unacceptable Loss ⚠",IF(AND(P200='G-1 All Habitats'!$X$3,AB200="No"),AG200,IF(AND(P200='G-1 All Habitats'!$X$3,AB200=""),AG200,IF(AND(P200='G-1 All Habitats'!$X$3,AG200="None",AG200),IF(AND(P200='G-1 All Habitats'!$X$3,AG200&gt;0),H200-V200-W200))))))))</f>
        <v/>
      </c>
      <c r="AA200" s="405" t="str">
        <f>IFERROR(IF(H200="","",IF(H200-V200-W200=0&lt;0,"Error in Areas ▲",IF(V200+W200&gt;H200,"Error in Areas ▲",IF(AND(P200='G-1 All Habitats'!$X$3,AB200="Yes"),"Alternative Compensation ✓",IF(Z200=0,0,IF(P200='G-1 All Habitats'!$X$3,"Any Loss Unacceptable ▲",T200-X200-Y200)))))),"Check Data ⚠")</f>
        <v/>
      </c>
      <c r="AB200" s="837"/>
      <c r="AC200" s="119"/>
      <c r="AD200" s="528"/>
      <c r="AE200" s="120"/>
      <c r="AF200" s="687"/>
      <c r="AG200" s="744" t="str">
        <f>IF(P200="","",IF(P200='G-1 All Habitats'!$X$3,H200-V200-W200,"None"))</f>
        <v/>
      </c>
      <c r="AH200" s="744" t="str">
        <f t="shared" si="23"/>
        <v/>
      </c>
      <c r="AJ200" s="124" t="str">
        <f t="shared" si="28"/>
        <v/>
      </c>
      <c r="AK200" s="124" t="str">
        <f t="shared" si="29"/>
        <v/>
      </c>
      <c r="AL200" s="124" t="str">
        <f>IF(I200="","",IF(#REF!&gt;0,TRUE,FALSE))</f>
        <v/>
      </c>
      <c r="AM200" s="124">
        <v>190</v>
      </c>
      <c r="AN200" s="124"/>
      <c r="AO200" s="124" t="str">
        <f t="array" ref="AO200">IFERROR(INDEX($AM$11:$AM$259, MATCH(0, IF(TRUE=$AJ$11:$AJ$259, COUNTIF($AO$10:$AO199, $AM$11:$AM$259), ""), 0)),"")</f>
        <v/>
      </c>
      <c r="AP200" s="124" t="str">
        <f t="array" ref="AP200">IFERROR(INDEX($AM$11:$AM$259, MATCH(0, IF(TRUE=$AK$11:$AK$259, COUNTIF($AP$10:$AP199, $AM$11:$AM$259), ""), 0)),"")</f>
        <v/>
      </c>
      <c r="AQ200" s="124" t="str">
        <f t="array" ref="AQ200">IFERROR(INDEX($AM$11:$AM$259, MATCH(0, IF(TRUE=$AL$11:$AL$259, COUNTIF($AQ$10:$AQ199, $AM$11:$AM$259), ""), 0)),"")</f>
        <v/>
      </c>
      <c r="AU200" s="30">
        <f t="shared" si="30"/>
        <v>0</v>
      </c>
      <c r="AY200" s="374" t="str">
        <f t="shared" si="26"/>
        <v/>
      </c>
    </row>
    <row r="201" spans="1:51">
      <c r="A201" s="30" t="str">
        <f>IFERROR(INDEX('G-1 All Habitats'!$AG$3:$AG$17,MATCH(E201,'G-1 All Habitats'!$AF$3:$AF$17,0)),"")</f>
        <v/>
      </c>
      <c r="B201" s="30" t="str">
        <f>IFERROR(INDEX('G-8 Condition Look up'!$I$4:$I$135,MATCH(G201,'G-8 Condition Look up'!$A$4:$A$135,0)),"")</f>
        <v/>
      </c>
      <c r="D201" s="110">
        <v>191</v>
      </c>
      <c r="E201" s="339"/>
      <c r="F201" s="340"/>
      <c r="G201" s="295" t="str">
        <f>IFERROR(INDEX('G-1 All Habitats'!$B$3:$B$134,MATCH(F201,'G-1 All Habitats'!$A$3:$A$134,0)),"")</f>
        <v/>
      </c>
      <c r="H201" s="139"/>
      <c r="I201" s="722" t="str">
        <f>IF(G201="","",VLOOKUP(G201,'G-1 All Habitats'!$B$2:$M$134,10,FALSE))</f>
        <v/>
      </c>
      <c r="J201" s="490" t="str">
        <f>IFERROR(VLOOKUP(I201,'G-1 All Habitats'!$V$3:$W$7,2,FALSE),"")</f>
        <v/>
      </c>
      <c r="K201" s="114"/>
      <c r="L201" s="490" t="str">
        <f>IFERROR(INDEX('G-8 Condition Look up'!$A$3:$H$135,MATCH(G201,'G-8 Condition Look up'!$A$3:$A$135,0),MATCH(K201,'G-8 Condition Look up'!$A$3:$H$3,0)),"")</f>
        <v/>
      </c>
      <c r="M201" s="738"/>
      <c r="N201" s="404" t="str">
        <f>IF(M201="","",IF(VLOOKUP(M201,'G-3 Multipliers'!$L$3:$N$6,2,FALSE)=0,"Spatial Data Missing ⚠",VLOOKUP(M201,'G-3 Multipliers'!$L$3:$N$6,2,FALSE)))</f>
        <v/>
      </c>
      <c r="O201" s="452" t="str">
        <f>IF(M201="","",IF(VLOOKUP(M201,'G-3 Multipliers'!$L$3:$N$6,3,FALSE)=0,"Spatial Data Missing ⚠",VLOOKUP(M201,'G-3 Multipliers'!$L$3:$N$6,3,FALSE)))</f>
        <v/>
      </c>
      <c r="P201" s="369" t="str">
        <f>IFERROR(VLOOKUP(G201,'G-1 All Habitats'!$B$2:$M$134,12,FALSE),"")</f>
        <v/>
      </c>
      <c r="Q201" s="725" t="str">
        <f>IFERROR(IF(P201="","",IF(AND(P201='G-1 All Habitats'!$X$3,W201&gt;0),X201+(Y201*S201),IF(AND(P201='G-1 All Habitats'!$X$3,V201&gt;0),X201+(Y201*S201),IF(AND(P201='G-1 All Habitats'!$X$3,AG201&gt;0),"Any Loss Unacceptable  ⚠",IF(AND(P201='G-1 All Habitats'!$X$3,Z201&gt;0),"Any Loss Unacceptable ⚠",H201*J201*L201*O201*S201))))),"Check Data ⚠")</f>
        <v/>
      </c>
      <c r="R201" s="516"/>
      <c r="S201" s="724" t="str">
        <f>IF(R201="","",IF(VLOOKUP(R201,'G-3 Multipliers'!$S$3:$T$10,2,FALSE)=0,"Spatial Data Missing ⚠",VLOOKUP(R201,'G-3 Multipliers'!$S$3:$T$10,2,FALSE)))</f>
        <v/>
      </c>
      <c r="T201" s="376" t="str">
        <f>IFERROR(IF(P201="","",IF(AND(P201='G-1 All Habitats'!$X$3,W201&gt;0),X201+Y201,IF(AND(P201='G-1 All Habitats'!$X$3,V201&gt;0),X201+Y201,IF(AND(P201='G-1 All Habitats'!$X$3,AG201&gt;0),"Any Loss Unacceptable ⚠", IF(R201="","", IF(AND(P201='G-1 All Habitats'!$X$3,Z201&gt;0),"Any Loss Unacceptable ⚠",H201*J201*L201*O201)))))),"Check Data ⚠")</f>
        <v/>
      </c>
      <c r="U201" s="38"/>
      <c r="V201" s="54"/>
      <c r="W201" s="55"/>
      <c r="X201" s="374" t="str">
        <f t="shared" si="21"/>
        <v/>
      </c>
      <c r="Y201" s="374" t="str">
        <f t="shared" si="22"/>
        <v/>
      </c>
      <c r="Z201" s="374" t="str">
        <f>IF(E201="","",IF(H201&lt;V201+W201,"Error in Areas ▲",IF(P201&lt;&gt;'G-1 All Habitats'!$X$3,H201-V201-W201,IF(AND(P201='G-1 All Habitats'!$X$3,AB201="Yes"),"Unacceptable Loss ⚠",IF(AND(P201='G-1 All Habitats'!$X$3,AB201="No"),AG201,IF(AND(P201='G-1 All Habitats'!$X$3,AB201=""),AG201,IF(AND(P201='G-1 All Habitats'!$X$3,AG201="None",AG201),IF(AND(P201='G-1 All Habitats'!$X$3,AG201&gt;0),H201-V201-W201))))))))</f>
        <v/>
      </c>
      <c r="AA201" s="405" t="str">
        <f>IFERROR(IF(H201="","",IF(H201-V201-W201=0&lt;0,"Error in Areas ▲",IF(V201+W201&gt;H201,"Error in Areas ▲",IF(AND(P201='G-1 All Habitats'!$X$3,AB201="Yes"),"Alternative Compensation ✓",IF(Z201=0,0,IF(P201='G-1 All Habitats'!$X$3,"Any Loss Unacceptable ▲",T201-X201-Y201)))))),"Check Data ⚠")</f>
        <v/>
      </c>
      <c r="AB201" s="837"/>
      <c r="AC201" s="119"/>
      <c r="AD201" s="528"/>
      <c r="AE201" s="120"/>
      <c r="AF201" s="687"/>
      <c r="AG201" s="744" t="str">
        <f>IF(P201="","",IF(P201='G-1 All Habitats'!$X$3,H201-V201-W201,"None"))</f>
        <v/>
      </c>
      <c r="AH201" s="744" t="str">
        <f t="shared" si="23"/>
        <v/>
      </c>
      <c r="AJ201" s="124" t="str">
        <f t="shared" si="28"/>
        <v/>
      </c>
      <c r="AK201" s="124" t="str">
        <f t="shared" si="29"/>
        <v/>
      </c>
      <c r="AL201" s="124" t="str">
        <f>IF(I201="","",IF(#REF!&gt;0,TRUE,FALSE))</f>
        <v/>
      </c>
      <c r="AM201" s="124">
        <v>191</v>
      </c>
      <c r="AN201" s="124"/>
      <c r="AO201" s="124" t="str">
        <f t="array" ref="AO201">IFERROR(INDEX($AM$11:$AM$259, MATCH(0, IF(TRUE=$AJ$11:$AJ$259, COUNTIF($AO$10:$AO200, $AM$11:$AM$259), ""), 0)),"")</f>
        <v/>
      </c>
      <c r="AP201" s="124" t="str">
        <f t="array" ref="AP201">IFERROR(INDEX($AM$11:$AM$259, MATCH(0, IF(TRUE=$AK$11:$AK$259, COUNTIF($AP$10:$AP200, $AM$11:$AM$259), ""), 0)),"")</f>
        <v/>
      </c>
      <c r="AQ201" s="124" t="str">
        <f t="array" ref="AQ201">IFERROR(INDEX($AM$11:$AM$259, MATCH(0, IF(TRUE=$AL$11:$AL$259, COUNTIF($AQ$10:$AQ200, $AM$11:$AM$259), ""), 0)),"")</f>
        <v/>
      </c>
      <c r="AU201" s="30">
        <f t="shared" si="30"/>
        <v>0</v>
      </c>
      <c r="AY201" s="374" t="str">
        <f t="shared" si="26"/>
        <v/>
      </c>
    </row>
    <row r="202" spans="1:51">
      <c r="A202" s="30" t="str">
        <f>IFERROR(INDEX('G-1 All Habitats'!$AG$3:$AG$17,MATCH(E202,'G-1 All Habitats'!$AF$3:$AF$17,0)),"")</f>
        <v/>
      </c>
      <c r="B202" s="30" t="str">
        <f>IFERROR(INDEX('G-8 Condition Look up'!$I$4:$I$135,MATCH(G202,'G-8 Condition Look up'!$A$4:$A$135,0)),"")</f>
        <v/>
      </c>
      <c r="D202" s="110">
        <v>192</v>
      </c>
      <c r="E202" s="339"/>
      <c r="F202" s="340"/>
      <c r="G202" s="295" t="str">
        <f>IFERROR(INDEX('G-1 All Habitats'!$B$3:$B$134,MATCH(F202,'G-1 All Habitats'!$A$3:$A$134,0)),"")</f>
        <v/>
      </c>
      <c r="H202" s="139"/>
      <c r="I202" s="722" t="str">
        <f>IF(G202="","",VLOOKUP(G202,'G-1 All Habitats'!$B$2:$M$134,10,FALSE))</f>
        <v/>
      </c>
      <c r="J202" s="490" t="str">
        <f>IFERROR(VLOOKUP(I202,'G-1 All Habitats'!$V$3:$W$7,2,FALSE),"")</f>
        <v/>
      </c>
      <c r="K202" s="114"/>
      <c r="L202" s="490" t="str">
        <f>IFERROR(INDEX('G-8 Condition Look up'!$A$3:$H$135,MATCH(G202,'G-8 Condition Look up'!$A$3:$A$135,0),MATCH(K202,'G-8 Condition Look up'!$A$3:$H$3,0)),"")</f>
        <v/>
      </c>
      <c r="M202" s="738"/>
      <c r="N202" s="404" t="str">
        <f>IF(M202="","",IF(VLOOKUP(M202,'G-3 Multipliers'!$L$3:$N$6,2,FALSE)=0,"Spatial Data Missing ⚠",VLOOKUP(M202,'G-3 Multipliers'!$L$3:$N$6,2,FALSE)))</f>
        <v/>
      </c>
      <c r="O202" s="452" t="str">
        <f>IF(M202="","",IF(VLOOKUP(M202,'G-3 Multipliers'!$L$3:$N$6,3,FALSE)=0,"Spatial Data Missing ⚠",VLOOKUP(M202,'G-3 Multipliers'!$L$3:$N$6,3,FALSE)))</f>
        <v/>
      </c>
      <c r="P202" s="369" t="str">
        <f>IFERROR(VLOOKUP(G202,'G-1 All Habitats'!$B$2:$M$134,12,FALSE),"")</f>
        <v/>
      </c>
      <c r="Q202" s="725" t="str">
        <f>IFERROR(IF(P202="","",IF(AND(P202='G-1 All Habitats'!$X$3,W202&gt;0),X202+(Y202*S202),IF(AND(P202='G-1 All Habitats'!$X$3,V202&gt;0),X202+(Y202*S202),IF(AND(P202='G-1 All Habitats'!$X$3,AG202&gt;0),"Any Loss Unacceptable  ⚠",IF(AND(P202='G-1 All Habitats'!$X$3,Z202&gt;0),"Any Loss Unacceptable ⚠",H202*J202*L202*O202*S202))))),"Check Data ⚠")</f>
        <v/>
      </c>
      <c r="R202" s="516"/>
      <c r="S202" s="724" t="str">
        <f>IF(R202="","",IF(VLOOKUP(R202,'G-3 Multipliers'!$S$3:$T$10,2,FALSE)=0,"Spatial Data Missing ⚠",VLOOKUP(R202,'G-3 Multipliers'!$S$3:$T$10,2,FALSE)))</f>
        <v/>
      </c>
      <c r="T202" s="376" t="str">
        <f>IFERROR(IF(P202="","",IF(AND(P202='G-1 All Habitats'!$X$3,W202&gt;0),X202+Y202,IF(AND(P202='G-1 All Habitats'!$X$3,V202&gt;0),X202+Y202,IF(AND(P202='G-1 All Habitats'!$X$3,AG202&gt;0),"Any Loss Unacceptable ⚠", IF(R202="","", IF(AND(P202='G-1 All Habitats'!$X$3,Z202&gt;0),"Any Loss Unacceptable ⚠",H202*J202*L202*O202)))))),"Check Data ⚠")</f>
        <v/>
      </c>
      <c r="U202" s="38"/>
      <c r="V202" s="54"/>
      <c r="W202" s="55"/>
      <c r="X202" s="374" t="str">
        <f t="shared" si="21"/>
        <v/>
      </c>
      <c r="Y202" s="374" t="str">
        <f t="shared" si="22"/>
        <v/>
      </c>
      <c r="Z202" s="374" t="str">
        <f>IF(E202="","",IF(H202&lt;V202+W202,"Error in Areas ▲",IF(P202&lt;&gt;'G-1 All Habitats'!$X$3,H202-V202-W202,IF(AND(P202='G-1 All Habitats'!$X$3,AB202="Yes"),"Unacceptable Loss ⚠",IF(AND(P202='G-1 All Habitats'!$X$3,AB202="No"),AG202,IF(AND(P202='G-1 All Habitats'!$X$3,AB202=""),AG202,IF(AND(P202='G-1 All Habitats'!$X$3,AG202="None",AG202),IF(AND(P202='G-1 All Habitats'!$X$3,AG202&gt;0),H202-V202-W202))))))))</f>
        <v/>
      </c>
      <c r="AA202" s="405" t="str">
        <f>IFERROR(IF(H202="","",IF(H202-V202-W202=0&lt;0,"Error in Areas ▲",IF(V202+W202&gt;H202,"Error in Areas ▲",IF(AND(P202='G-1 All Habitats'!$X$3,AB202="Yes"),"Alternative Compensation ✓",IF(Z202=0,0,IF(P202='G-1 All Habitats'!$X$3,"Any Loss Unacceptable ▲",T202-X202-Y202)))))),"Check Data ⚠")</f>
        <v/>
      </c>
      <c r="AB202" s="837"/>
      <c r="AC202" s="119"/>
      <c r="AD202" s="528"/>
      <c r="AE202" s="120"/>
      <c r="AF202" s="687"/>
      <c r="AG202" s="744" t="str">
        <f>IF(P202="","",IF(P202='G-1 All Habitats'!$X$3,H202-V202-W202,"None"))</f>
        <v/>
      </c>
      <c r="AH202" s="744" t="str">
        <f t="shared" si="23"/>
        <v/>
      </c>
      <c r="AJ202" s="124" t="str">
        <f t="shared" si="28"/>
        <v/>
      </c>
      <c r="AK202" s="124" t="str">
        <f t="shared" si="29"/>
        <v/>
      </c>
      <c r="AL202" s="124" t="str">
        <f>IF(I202="","",IF(#REF!&gt;0,TRUE,FALSE))</f>
        <v/>
      </c>
      <c r="AM202" s="124">
        <v>192</v>
      </c>
      <c r="AN202" s="124"/>
      <c r="AO202" s="124" t="str">
        <f t="array" ref="AO202">IFERROR(INDEX($AM$11:$AM$259, MATCH(0, IF(TRUE=$AJ$11:$AJ$259, COUNTIF($AO$10:$AO201, $AM$11:$AM$259), ""), 0)),"")</f>
        <v/>
      </c>
      <c r="AP202" s="124" t="str">
        <f t="array" ref="AP202">IFERROR(INDEX($AM$11:$AM$259, MATCH(0, IF(TRUE=$AK$11:$AK$259, COUNTIF($AP$10:$AP201, $AM$11:$AM$259), ""), 0)),"")</f>
        <v/>
      </c>
      <c r="AQ202" s="124" t="str">
        <f t="array" ref="AQ202">IFERROR(INDEX($AM$11:$AM$259, MATCH(0, IF(TRUE=$AL$11:$AL$259, COUNTIF($AQ$10:$AQ201, $AM$11:$AM$259), ""), 0)),"")</f>
        <v/>
      </c>
      <c r="AU202" s="30">
        <f t="shared" si="30"/>
        <v>0</v>
      </c>
      <c r="AY202" s="374" t="str">
        <f t="shared" si="26"/>
        <v/>
      </c>
    </row>
    <row r="203" spans="1:51">
      <c r="A203" s="30" t="str">
        <f>IFERROR(INDEX('G-1 All Habitats'!$AG$3:$AG$17,MATCH(E203,'G-1 All Habitats'!$AF$3:$AF$17,0)),"")</f>
        <v/>
      </c>
      <c r="B203" s="30" t="str">
        <f>IFERROR(INDEX('G-8 Condition Look up'!$I$4:$I$135,MATCH(G203,'G-8 Condition Look up'!$A$4:$A$135,0)),"")</f>
        <v/>
      </c>
      <c r="D203" s="110">
        <v>193</v>
      </c>
      <c r="E203" s="339"/>
      <c r="F203" s="340"/>
      <c r="G203" s="295" t="str">
        <f>IFERROR(INDEX('G-1 All Habitats'!$B$3:$B$134,MATCH(F203,'G-1 All Habitats'!$A$3:$A$134,0)),"")</f>
        <v/>
      </c>
      <c r="H203" s="139"/>
      <c r="I203" s="722" t="str">
        <f>IF(G203="","",VLOOKUP(G203,'G-1 All Habitats'!$B$2:$M$134,10,FALSE))</f>
        <v/>
      </c>
      <c r="J203" s="490" t="str">
        <f>IFERROR(VLOOKUP(I203,'G-1 All Habitats'!$V$3:$W$7,2,FALSE),"")</f>
        <v/>
      </c>
      <c r="K203" s="114"/>
      <c r="L203" s="490" t="str">
        <f>IFERROR(INDEX('G-8 Condition Look up'!$A$3:$H$135,MATCH(G203,'G-8 Condition Look up'!$A$3:$A$135,0),MATCH(K203,'G-8 Condition Look up'!$A$3:$H$3,0)),"")</f>
        <v/>
      </c>
      <c r="M203" s="738"/>
      <c r="N203" s="404" t="str">
        <f>IF(M203="","",IF(VLOOKUP(M203,'G-3 Multipliers'!$L$3:$N$6,2,FALSE)=0,"Spatial Data Missing ⚠",VLOOKUP(M203,'G-3 Multipliers'!$L$3:$N$6,2,FALSE)))</f>
        <v/>
      </c>
      <c r="O203" s="452" t="str">
        <f>IF(M203="","",IF(VLOOKUP(M203,'G-3 Multipliers'!$L$3:$N$6,3,FALSE)=0,"Spatial Data Missing ⚠",VLOOKUP(M203,'G-3 Multipliers'!$L$3:$N$6,3,FALSE)))</f>
        <v/>
      </c>
      <c r="P203" s="369" t="str">
        <f>IFERROR(VLOOKUP(G203,'G-1 All Habitats'!$B$2:$M$134,12,FALSE),"")</f>
        <v/>
      </c>
      <c r="Q203" s="725" t="str">
        <f>IFERROR(IF(P203="","",IF(AND(P203='G-1 All Habitats'!$X$3,W203&gt;0),X203+(Y203*S203),IF(AND(P203='G-1 All Habitats'!$X$3,V203&gt;0),X203+(Y203*S203),IF(AND(P203='G-1 All Habitats'!$X$3,AG203&gt;0),"Any Loss Unacceptable  ⚠",IF(AND(P203='G-1 All Habitats'!$X$3,Z203&gt;0),"Any Loss Unacceptable ⚠",H203*J203*L203*O203*S203))))),"Check Data ⚠")</f>
        <v/>
      </c>
      <c r="R203" s="516"/>
      <c r="S203" s="724" t="str">
        <f>IF(R203="","",IF(VLOOKUP(R203,'G-3 Multipliers'!$S$3:$T$10,2,FALSE)=0,"Spatial Data Missing ⚠",VLOOKUP(R203,'G-3 Multipliers'!$S$3:$T$10,2,FALSE)))</f>
        <v/>
      </c>
      <c r="T203" s="376" t="str">
        <f>IFERROR(IF(P203="","",IF(AND(P203='G-1 All Habitats'!$X$3,W203&gt;0),X203+Y203,IF(AND(P203='G-1 All Habitats'!$X$3,V203&gt;0),X203+Y203,IF(AND(P203='G-1 All Habitats'!$X$3,AG203&gt;0),"Any Loss Unacceptable ⚠", IF(R203="","", IF(AND(P203='G-1 All Habitats'!$X$3,Z203&gt;0),"Any Loss Unacceptable ⚠",H203*J203*L203*O203)))))),"Check Data ⚠")</f>
        <v/>
      </c>
      <c r="U203" s="38"/>
      <c r="V203" s="54"/>
      <c r="W203" s="55"/>
      <c r="X203" s="374" t="str">
        <f t="shared" ref="X203:X258" si="31">IFERROR(V203*J203*L203*O203,"")</f>
        <v/>
      </c>
      <c r="Y203" s="374" t="str">
        <f t="shared" ref="Y203:Y258" si="32">IFERROR(W203*J203*L203*O203,"")</f>
        <v/>
      </c>
      <c r="Z203" s="374" t="str">
        <f>IF(E203="","",IF(H203&lt;V203+W203,"Error in Areas ▲",IF(P203&lt;&gt;'G-1 All Habitats'!$X$3,H203-V203-W203,IF(AND(P203='G-1 All Habitats'!$X$3,AB203="Yes"),"Unacceptable Loss ⚠",IF(AND(P203='G-1 All Habitats'!$X$3,AB203="No"),AG203,IF(AND(P203='G-1 All Habitats'!$X$3,AB203=""),AG203,IF(AND(P203='G-1 All Habitats'!$X$3,AG203="None",AG203),IF(AND(P203='G-1 All Habitats'!$X$3,AG203&gt;0),H203-V203-W203))))))))</f>
        <v/>
      </c>
      <c r="AA203" s="405" t="str">
        <f>IFERROR(IF(H203="","",IF(H203-V203-W203=0&lt;0,"Error in Areas ▲",IF(V203+W203&gt;H203,"Error in Areas ▲",IF(AND(P203='G-1 All Habitats'!$X$3,AB203="Yes"),"Alternative Compensation ✓",IF(Z203=0,0,IF(P203='G-1 All Habitats'!$X$3,"Any Loss Unacceptable ▲",T203-X203-Y203)))))),"Check Data ⚠")</f>
        <v/>
      </c>
      <c r="AB203" s="837"/>
      <c r="AC203" s="119"/>
      <c r="AD203" s="528"/>
      <c r="AE203" s="120"/>
      <c r="AF203" s="687"/>
      <c r="AG203" s="744" t="str">
        <f>IF(P203="","",IF(P203='G-1 All Habitats'!$X$3,H203-V203-W203,"None"))</f>
        <v/>
      </c>
      <c r="AH203" s="744" t="str">
        <f t="shared" ref="AH203:AH258" si="33">IFERROR(AG203*J203*L203*O203,IF(P203="","","None"))</f>
        <v/>
      </c>
      <c r="AJ203" s="124" t="str">
        <f t="shared" ref="AJ203:AJ258" si="34">IF(G203="","",IF(V203&gt;0,TRUE,FALSE))</f>
        <v/>
      </c>
      <c r="AK203" s="124" t="str">
        <f t="shared" ref="AK203:AK258" si="35">IF(H203="","",IF(W203&gt;0,TRUE,FALSE))</f>
        <v/>
      </c>
      <c r="AL203" s="124" t="str">
        <f>IF(I203="","",IF(#REF!&gt;0,TRUE,FALSE))</f>
        <v/>
      </c>
      <c r="AM203" s="124">
        <v>193</v>
      </c>
      <c r="AN203" s="124"/>
      <c r="AO203" s="124" t="str">
        <f t="array" ref="AO203">IFERROR(INDEX($AM$11:$AM$259, MATCH(0, IF(TRUE=$AJ$11:$AJ$259, COUNTIF($AO$10:$AO202, $AM$11:$AM$259), ""), 0)),"")</f>
        <v/>
      </c>
      <c r="AP203" s="124" t="str">
        <f t="array" ref="AP203">IFERROR(INDEX($AM$11:$AM$259, MATCH(0, IF(TRUE=$AK$11:$AK$259, COUNTIF($AP$10:$AP202, $AM$11:$AM$259), ""), 0)),"")</f>
        <v/>
      </c>
      <c r="AQ203" s="124" t="str">
        <f t="array" ref="AQ203">IFERROR(INDEX($AM$11:$AM$259, MATCH(0, IF(TRUE=$AL$11:$AL$259, COUNTIF($AQ$10:$AQ202, $AM$11:$AM$259), ""), 0)),"")</f>
        <v/>
      </c>
      <c r="AU203" s="30">
        <f t="shared" si="30"/>
        <v>0</v>
      </c>
      <c r="AY203" s="374" t="str">
        <f t="shared" si="26"/>
        <v/>
      </c>
    </row>
    <row r="204" spans="1:51">
      <c r="A204" s="30" t="str">
        <f>IFERROR(INDEX('G-1 All Habitats'!$AG$3:$AG$17,MATCH(E204,'G-1 All Habitats'!$AF$3:$AF$17,0)),"")</f>
        <v/>
      </c>
      <c r="B204" s="30" t="str">
        <f>IFERROR(INDEX('G-8 Condition Look up'!$I$4:$I$135,MATCH(G204,'G-8 Condition Look up'!$A$4:$A$135,0)),"")</f>
        <v/>
      </c>
      <c r="D204" s="110">
        <v>194</v>
      </c>
      <c r="E204" s="339"/>
      <c r="F204" s="340"/>
      <c r="G204" s="295" t="str">
        <f>IFERROR(INDEX('G-1 All Habitats'!$B$3:$B$134,MATCH(F204,'G-1 All Habitats'!$A$3:$A$134,0)),"")</f>
        <v/>
      </c>
      <c r="H204" s="139"/>
      <c r="I204" s="722" t="str">
        <f>IF(G204="","",VLOOKUP(G204,'G-1 All Habitats'!$B$2:$M$134,10,FALSE))</f>
        <v/>
      </c>
      <c r="J204" s="490" t="str">
        <f>IFERROR(VLOOKUP(I204,'G-1 All Habitats'!$V$3:$W$7,2,FALSE),"")</f>
        <v/>
      </c>
      <c r="K204" s="114"/>
      <c r="L204" s="490" t="str">
        <f>IFERROR(INDEX('G-8 Condition Look up'!$A$3:$H$135,MATCH(G204,'G-8 Condition Look up'!$A$3:$A$135,0),MATCH(K204,'G-8 Condition Look up'!$A$3:$H$3,0)),"")</f>
        <v/>
      </c>
      <c r="M204" s="738"/>
      <c r="N204" s="404" t="str">
        <f>IF(M204="","",IF(VLOOKUP(M204,'G-3 Multipliers'!$L$3:$N$6,2,FALSE)=0,"Spatial Data Missing ⚠",VLOOKUP(M204,'G-3 Multipliers'!$L$3:$N$6,2,FALSE)))</f>
        <v/>
      </c>
      <c r="O204" s="452" t="str">
        <f>IF(M204="","",IF(VLOOKUP(M204,'G-3 Multipliers'!$L$3:$N$6,3,FALSE)=0,"Spatial Data Missing ⚠",VLOOKUP(M204,'G-3 Multipliers'!$L$3:$N$6,3,FALSE)))</f>
        <v/>
      </c>
      <c r="P204" s="369" t="str">
        <f>IFERROR(VLOOKUP(G204,'G-1 All Habitats'!$B$2:$M$134,12,FALSE),"")</f>
        <v/>
      </c>
      <c r="Q204" s="725" t="str">
        <f>IFERROR(IF(P204="","",IF(AND(P204='G-1 All Habitats'!$X$3,W204&gt;0),X204+(Y204*S204),IF(AND(P204='G-1 All Habitats'!$X$3,V204&gt;0),X204+(Y204*S204),IF(AND(P204='G-1 All Habitats'!$X$3,AG204&gt;0),"Any Loss Unacceptable  ⚠",IF(AND(P204='G-1 All Habitats'!$X$3,Z204&gt;0),"Any Loss Unacceptable ⚠",H204*J204*L204*O204*S204))))),"Check Data ⚠")</f>
        <v/>
      </c>
      <c r="R204" s="516"/>
      <c r="S204" s="724" t="str">
        <f>IF(R204="","",IF(VLOOKUP(R204,'G-3 Multipliers'!$S$3:$T$10,2,FALSE)=0,"Spatial Data Missing ⚠",VLOOKUP(R204,'G-3 Multipliers'!$S$3:$T$10,2,FALSE)))</f>
        <v/>
      </c>
      <c r="T204" s="376" t="str">
        <f>IFERROR(IF(P204="","",IF(AND(P204='G-1 All Habitats'!$X$3,W204&gt;0),X204+Y204,IF(AND(P204='G-1 All Habitats'!$X$3,V204&gt;0),X204+Y204,IF(AND(P204='G-1 All Habitats'!$X$3,AG204&gt;0),"Any Loss Unacceptable ⚠", IF(R204="","", IF(AND(P204='G-1 All Habitats'!$X$3,Z204&gt;0),"Any Loss Unacceptable ⚠",H204*J204*L204*O204)))))),"Check Data ⚠")</f>
        <v/>
      </c>
      <c r="U204" s="38"/>
      <c r="V204" s="54"/>
      <c r="W204" s="55"/>
      <c r="X204" s="374" t="str">
        <f t="shared" si="31"/>
        <v/>
      </c>
      <c r="Y204" s="374" t="str">
        <f t="shared" si="32"/>
        <v/>
      </c>
      <c r="Z204" s="374" t="str">
        <f>IF(E204="","",IF(H204&lt;V204+W204,"Error in Areas ▲",IF(P204&lt;&gt;'G-1 All Habitats'!$X$3,H204-V204-W204,IF(AND(P204='G-1 All Habitats'!$X$3,AB204="Yes"),"Unacceptable Loss ⚠",IF(AND(P204='G-1 All Habitats'!$X$3,AB204="No"),AG204,IF(AND(P204='G-1 All Habitats'!$X$3,AB204=""),AG204,IF(AND(P204='G-1 All Habitats'!$X$3,AG204="None",AG204),IF(AND(P204='G-1 All Habitats'!$X$3,AG204&gt;0),H204-V204-W204))))))))</f>
        <v/>
      </c>
      <c r="AA204" s="405" t="str">
        <f>IFERROR(IF(H204="","",IF(H204-V204-W204=0&lt;0,"Error in Areas ▲",IF(V204+W204&gt;H204,"Error in Areas ▲",IF(AND(P204='G-1 All Habitats'!$X$3,AB204="Yes"),"Alternative Compensation ✓",IF(Z204=0,0,IF(P204='G-1 All Habitats'!$X$3,"Any Loss Unacceptable ▲",T204-X204-Y204)))))),"Check Data ⚠")</f>
        <v/>
      </c>
      <c r="AB204" s="837"/>
      <c r="AC204" s="119"/>
      <c r="AD204" s="528"/>
      <c r="AE204" s="120"/>
      <c r="AF204" s="687"/>
      <c r="AG204" s="744" t="str">
        <f>IF(P204="","",IF(P204='G-1 All Habitats'!$X$3,H204-V204-W204,"None"))</f>
        <v/>
      </c>
      <c r="AH204" s="744" t="str">
        <f t="shared" si="33"/>
        <v/>
      </c>
      <c r="AJ204" s="124" t="str">
        <f t="shared" si="34"/>
        <v/>
      </c>
      <c r="AK204" s="124" t="str">
        <f t="shared" si="35"/>
        <v/>
      </c>
      <c r="AL204" s="124" t="str">
        <f>IF(I204="","",IF(#REF!&gt;0,TRUE,FALSE))</f>
        <v/>
      </c>
      <c r="AM204" s="124">
        <v>194</v>
      </c>
      <c r="AN204" s="124"/>
      <c r="AO204" s="124" t="str">
        <f t="array" ref="AO204">IFERROR(INDEX($AM$11:$AM$259, MATCH(0, IF(TRUE=$AJ$11:$AJ$259, COUNTIF($AO$10:$AO203, $AM$11:$AM$259), ""), 0)),"")</f>
        <v/>
      </c>
      <c r="AP204" s="124" t="str">
        <f t="array" ref="AP204">IFERROR(INDEX($AM$11:$AM$259, MATCH(0, IF(TRUE=$AK$11:$AK$259, COUNTIF($AP$10:$AP203, $AM$11:$AM$259), ""), 0)),"")</f>
        <v/>
      </c>
      <c r="AQ204" s="124" t="str">
        <f t="array" ref="AQ204">IFERROR(INDEX($AM$11:$AM$259, MATCH(0, IF(TRUE=$AL$11:$AL$259, COUNTIF($AQ$10:$AQ203, $AM$11:$AM$259), ""), 0)),"")</f>
        <v/>
      </c>
      <c r="AU204" s="30">
        <f t="shared" ref="AU204:AU258" si="36">IF(AA204="Unacceptable Loss",1,0)</f>
        <v>0</v>
      </c>
      <c r="AY204" s="374" t="str">
        <f t="shared" ref="AY204:AY258" si="37">IFERROR(V204*J204*L204*O204*S204,"")</f>
        <v/>
      </c>
    </row>
    <row r="205" spans="1:51">
      <c r="A205" s="30" t="str">
        <f>IFERROR(INDEX('G-1 All Habitats'!$AG$3:$AG$17,MATCH(E205,'G-1 All Habitats'!$AF$3:$AF$17,0)),"")</f>
        <v/>
      </c>
      <c r="B205" s="30" t="str">
        <f>IFERROR(INDEX('G-8 Condition Look up'!$I$4:$I$135,MATCH(G205,'G-8 Condition Look up'!$A$4:$A$135,0)),"")</f>
        <v/>
      </c>
      <c r="D205" s="110">
        <v>195</v>
      </c>
      <c r="E205" s="339"/>
      <c r="F205" s="340"/>
      <c r="G205" s="295" t="str">
        <f>IFERROR(INDEX('G-1 All Habitats'!$B$3:$B$134,MATCH(F205,'G-1 All Habitats'!$A$3:$A$134,0)),"")</f>
        <v/>
      </c>
      <c r="H205" s="139"/>
      <c r="I205" s="722" t="str">
        <f>IF(G205="","",VLOOKUP(G205,'G-1 All Habitats'!$B$2:$M$134,10,FALSE))</f>
        <v/>
      </c>
      <c r="J205" s="490" t="str">
        <f>IFERROR(VLOOKUP(I205,'G-1 All Habitats'!$V$3:$W$7,2,FALSE),"")</f>
        <v/>
      </c>
      <c r="K205" s="114"/>
      <c r="L205" s="490" t="str">
        <f>IFERROR(INDEX('G-8 Condition Look up'!$A$3:$H$135,MATCH(G205,'G-8 Condition Look up'!$A$3:$A$135,0),MATCH(K205,'G-8 Condition Look up'!$A$3:$H$3,0)),"")</f>
        <v/>
      </c>
      <c r="M205" s="738"/>
      <c r="N205" s="404" t="str">
        <f>IF(M205="","",IF(VLOOKUP(M205,'G-3 Multipliers'!$L$3:$N$6,2,FALSE)=0,"Spatial Data Missing ⚠",VLOOKUP(M205,'G-3 Multipliers'!$L$3:$N$6,2,FALSE)))</f>
        <v/>
      </c>
      <c r="O205" s="452" t="str">
        <f>IF(M205="","",IF(VLOOKUP(M205,'G-3 Multipliers'!$L$3:$N$6,3,FALSE)=0,"Spatial Data Missing ⚠",VLOOKUP(M205,'G-3 Multipliers'!$L$3:$N$6,3,FALSE)))</f>
        <v/>
      </c>
      <c r="P205" s="369" t="str">
        <f>IFERROR(VLOOKUP(G205,'G-1 All Habitats'!$B$2:$M$134,12,FALSE),"")</f>
        <v/>
      </c>
      <c r="Q205" s="725" t="str">
        <f>IFERROR(IF(P205="","",IF(AND(P205='G-1 All Habitats'!$X$3,W205&gt;0),X205+(Y205*S205),IF(AND(P205='G-1 All Habitats'!$X$3,V205&gt;0),X205+(Y205*S205),IF(AND(P205='G-1 All Habitats'!$X$3,AG205&gt;0),"Any Loss Unacceptable  ⚠",IF(AND(P205='G-1 All Habitats'!$X$3,Z205&gt;0),"Any Loss Unacceptable ⚠",H205*J205*L205*O205*S205))))),"Check Data ⚠")</f>
        <v/>
      </c>
      <c r="R205" s="516"/>
      <c r="S205" s="724" t="str">
        <f>IF(R205="","",IF(VLOOKUP(R205,'G-3 Multipliers'!$S$3:$T$10,2,FALSE)=0,"Spatial Data Missing ⚠",VLOOKUP(R205,'G-3 Multipliers'!$S$3:$T$10,2,FALSE)))</f>
        <v/>
      </c>
      <c r="T205" s="376" t="str">
        <f>IFERROR(IF(P205="","",IF(AND(P205='G-1 All Habitats'!$X$3,W205&gt;0),X205+Y205,IF(AND(P205='G-1 All Habitats'!$X$3,V205&gt;0),X205+Y205,IF(AND(P205='G-1 All Habitats'!$X$3,AG205&gt;0),"Any Loss Unacceptable ⚠", IF(R205="","", IF(AND(P205='G-1 All Habitats'!$X$3,Z205&gt;0),"Any Loss Unacceptable ⚠",H205*J205*L205*O205)))))),"Check Data ⚠")</f>
        <v/>
      </c>
      <c r="U205" s="38"/>
      <c r="V205" s="54"/>
      <c r="W205" s="55"/>
      <c r="X205" s="374" t="str">
        <f t="shared" si="31"/>
        <v/>
      </c>
      <c r="Y205" s="374" t="str">
        <f t="shared" si="32"/>
        <v/>
      </c>
      <c r="Z205" s="374" t="str">
        <f>IF(E205="","",IF(H205&lt;V205+W205,"Error in Areas ▲",IF(P205&lt;&gt;'G-1 All Habitats'!$X$3,H205-V205-W205,IF(AND(P205='G-1 All Habitats'!$X$3,AB205="Yes"),"Unacceptable Loss ⚠",IF(AND(P205='G-1 All Habitats'!$X$3,AB205="No"),AG205,IF(AND(P205='G-1 All Habitats'!$X$3,AB205=""),AG205,IF(AND(P205='G-1 All Habitats'!$X$3,AG205="None",AG205),IF(AND(P205='G-1 All Habitats'!$X$3,AG205&gt;0),H205-V205-W205))))))))</f>
        <v/>
      </c>
      <c r="AA205" s="405" t="str">
        <f>IFERROR(IF(H205="","",IF(H205-V205-W205=0&lt;0,"Error in Areas ▲",IF(V205+W205&gt;H205,"Error in Areas ▲",IF(AND(P205='G-1 All Habitats'!$X$3,AB205="Yes"),"Alternative Compensation ✓",IF(Z205=0,0,IF(P205='G-1 All Habitats'!$X$3,"Any Loss Unacceptable ▲",T205-X205-Y205)))))),"Check Data ⚠")</f>
        <v/>
      </c>
      <c r="AB205" s="837"/>
      <c r="AC205" s="119"/>
      <c r="AD205" s="528"/>
      <c r="AE205" s="120"/>
      <c r="AF205" s="687"/>
      <c r="AG205" s="744" t="str">
        <f>IF(P205="","",IF(P205='G-1 All Habitats'!$X$3,H205-V205-W205,"None"))</f>
        <v/>
      </c>
      <c r="AH205" s="744" t="str">
        <f t="shared" si="33"/>
        <v/>
      </c>
      <c r="AJ205" s="124" t="str">
        <f t="shared" si="34"/>
        <v/>
      </c>
      <c r="AK205" s="124" t="str">
        <f t="shared" si="35"/>
        <v/>
      </c>
      <c r="AL205" s="124" t="str">
        <f>IF(I205="","",IF(#REF!&gt;0,TRUE,FALSE))</f>
        <v/>
      </c>
      <c r="AM205" s="124">
        <v>195</v>
      </c>
      <c r="AN205" s="124"/>
      <c r="AO205" s="124" t="str">
        <f t="array" ref="AO205">IFERROR(INDEX($AM$11:$AM$259, MATCH(0, IF(TRUE=$AJ$11:$AJ$259, COUNTIF($AO$10:$AO204, $AM$11:$AM$259), ""), 0)),"")</f>
        <v/>
      </c>
      <c r="AP205" s="124" t="str">
        <f t="array" ref="AP205">IFERROR(INDEX($AM$11:$AM$259, MATCH(0, IF(TRUE=$AK$11:$AK$259, COUNTIF($AP$10:$AP204, $AM$11:$AM$259), ""), 0)),"")</f>
        <v/>
      </c>
      <c r="AQ205" s="124" t="str">
        <f t="array" ref="AQ205">IFERROR(INDEX($AM$11:$AM$259, MATCH(0, IF(TRUE=$AL$11:$AL$259, COUNTIF($AQ$10:$AQ204, $AM$11:$AM$259), ""), 0)),"")</f>
        <v/>
      </c>
      <c r="AU205" s="30">
        <f t="shared" si="36"/>
        <v>0</v>
      </c>
      <c r="AY205" s="374" t="str">
        <f t="shared" si="37"/>
        <v/>
      </c>
    </row>
    <row r="206" spans="1:51">
      <c r="A206" s="30" t="str">
        <f>IFERROR(INDEX('G-1 All Habitats'!$AG$3:$AG$17,MATCH(E206,'G-1 All Habitats'!$AF$3:$AF$17,0)),"")</f>
        <v/>
      </c>
      <c r="B206" s="30" t="str">
        <f>IFERROR(INDEX('G-8 Condition Look up'!$I$4:$I$135,MATCH(G206,'G-8 Condition Look up'!$A$4:$A$135,0)),"")</f>
        <v/>
      </c>
      <c r="D206" s="110">
        <v>196</v>
      </c>
      <c r="E206" s="339"/>
      <c r="F206" s="340"/>
      <c r="G206" s="295" t="str">
        <f>IFERROR(INDEX('G-1 All Habitats'!$B$3:$B$134,MATCH(F206,'G-1 All Habitats'!$A$3:$A$134,0)),"")</f>
        <v/>
      </c>
      <c r="H206" s="139"/>
      <c r="I206" s="722" t="str">
        <f>IF(G206="","",VLOOKUP(G206,'G-1 All Habitats'!$B$2:$M$134,10,FALSE))</f>
        <v/>
      </c>
      <c r="J206" s="490" t="str">
        <f>IFERROR(VLOOKUP(I206,'G-1 All Habitats'!$V$3:$W$7,2,FALSE),"")</f>
        <v/>
      </c>
      <c r="K206" s="114"/>
      <c r="L206" s="490" t="str">
        <f>IFERROR(INDEX('G-8 Condition Look up'!$A$3:$H$135,MATCH(G206,'G-8 Condition Look up'!$A$3:$A$135,0),MATCH(K206,'G-8 Condition Look up'!$A$3:$H$3,0)),"")</f>
        <v/>
      </c>
      <c r="M206" s="738"/>
      <c r="N206" s="404" t="str">
        <f>IF(M206="","",IF(VLOOKUP(M206,'G-3 Multipliers'!$L$3:$N$6,2,FALSE)=0,"Spatial Data Missing ⚠",VLOOKUP(M206,'G-3 Multipliers'!$L$3:$N$6,2,FALSE)))</f>
        <v/>
      </c>
      <c r="O206" s="452" t="str">
        <f>IF(M206="","",IF(VLOOKUP(M206,'G-3 Multipliers'!$L$3:$N$6,3,FALSE)=0,"Spatial Data Missing ⚠",VLOOKUP(M206,'G-3 Multipliers'!$L$3:$N$6,3,FALSE)))</f>
        <v/>
      </c>
      <c r="P206" s="369" t="str">
        <f>IFERROR(VLOOKUP(G206,'G-1 All Habitats'!$B$2:$M$134,12,FALSE),"")</f>
        <v/>
      </c>
      <c r="Q206" s="725" t="str">
        <f>IFERROR(IF(P206="","",IF(AND(P206='G-1 All Habitats'!$X$3,W206&gt;0),X206+(Y206*S206),IF(AND(P206='G-1 All Habitats'!$X$3,V206&gt;0),X206+(Y206*S206),IF(AND(P206='G-1 All Habitats'!$X$3,AG206&gt;0),"Any Loss Unacceptable  ⚠",IF(AND(P206='G-1 All Habitats'!$X$3,Z206&gt;0),"Any Loss Unacceptable ⚠",H206*J206*L206*O206*S206))))),"Check Data ⚠")</f>
        <v/>
      </c>
      <c r="R206" s="516"/>
      <c r="S206" s="724" t="str">
        <f>IF(R206="","",IF(VLOOKUP(R206,'G-3 Multipliers'!$S$3:$T$10,2,FALSE)=0,"Spatial Data Missing ⚠",VLOOKUP(R206,'G-3 Multipliers'!$S$3:$T$10,2,FALSE)))</f>
        <v/>
      </c>
      <c r="T206" s="376" t="str">
        <f>IFERROR(IF(P206="","",IF(AND(P206='G-1 All Habitats'!$X$3,W206&gt;0),X206+Y206,IF(AND(P206='G-1 All Habitats'!$X$3,V206&gt;0),X206+Y206,IF(AND(P206='G-1 All Habitats'!$X$3,AG206&gt;0),"Any Loss Unacceptable ⚠", IF(R206="","", IF(AND(P206='G-1 All Habitats'!$X$3,Z206&gt;0),"Any Loss Unacceptable ⚠",H206*J206*L206*O206)))))),"Check Data ⚠")</f>
        <v/>
      </c>
      <c r="U206" s="38"/>
      <c r="V206" s="54"/>
      <c r="W206" s="55"/>
      <c r="X206" s="374" t="str">
        <f t="shared" si="31"/>
        <v/>
      </c>
      <c r="Y206" s="374" t="str">
        <f t="shared" si="32"/>
        <v/>
      </c>
      <c r="Z206" s="374" t="str">
        <f>IF(E206="","",IF(H206&lt;V206+W206,"Error in Areas ▲",IF(P206&lt;&gt;'G-1 All Habitats'!$X$3,H206-V206-W206,IF(AND(P206='G-1 All Habitats'!$X$3,AB206="Yes"),"Unacceptable Loss ⚠",IF(AND(P206='G-1 All Habitats'!$X$3,AB206="No"),AG206,IF(AND(P206='G-1 All Habitats'!$X$3,AB206=""),AG206,IF(AND(P206='G-1 All Habitats'!$X$3,AG206="None",AG206),IF(AND(P206='G-1 All Habitats'!$X$3,AG206&gt;0),H206-V206-W206))))))))</f>
        <v/>
      </c>
      <c r="AA206" s="405" t="str">
        <f>IFERROR(IF(H206="","",IF(H206-V206-W206=0&lt;0,"Error in Areas ▲",IF(V206+W206&gt;H206,"Error in Areas ▲",IF(AND(P206='G-1 All Habitats'!$X$3,AB206="Yes"),"Alternative Compensation ✓",IF(Z206=0,0,IF(P206='G-1 All Habitats'!$X$3,"Any Loss Unacceptable ▲",T206-X206-Y206)))))),"Check Data ⚠")</f>
        <v/>
      </c>
      <c r="AB206" s="837"/>
      <c r="AC206" s="119"/>
      <c r="AD206" s="528"/>
      <c r="AE206" s="120"/>
      <c r="AF206" s="687"/>
      <c r="AG206" s="744" t="str">
        <f>IF(P206="","",IF(P206='G-1 All Habitats'!$X$3,H206-V206-W206,"None"))</f>
        <v/>
      </c>
      <c r="AH206" s="744" t="str">
        <f t="shared" si="33"/>
        <v/>
      </c>
      <c r="AJ206" s="124" t="str">
        <f t="shared" si="34"/>
        <v/>
      </c>
      <c r="AK206" s="124" t="str">
        <f t="shared" si="35"/>
        <v/>
      </c>
      <c r="AL206" s="124" t="str">
        <f>IF(I206="","",IF(#REF!&gt;0,TRUE,FALSE))</f>
        <v/>
      </c>
      <c r="AM206" s="124">
        <v>196</v>
      </c>
      <c r="AN206" s="124"/>
      <c r="AO206" s="124" t="str">
        <f t="array" ref="AO206">IFERROR(INDEX($AM$11:$AM$259, MATCH(0, IF(TRUE=$AJ$11:$AJ$259, COUNTIF($AO$10:$AO205, $AM$11:$AM$259), ""), 0)),"")</f>
        <v/>
      </c>
      <c r="AP206" s="124" t="str">
        <f t="array" ref="AP206">IFERROR(INDEX($AM$11:$AM$259, MATCH(0, IF(TRUE=$AK$11:$AK$259, COUNTIF($AP$10:$AP205, $AM$11:$AM$259), ""), 0)),"")</f>
        <v/>
      </c>
      <c r="AQ206" s="124" t="str">
        <f t="array" ref="AQ206">IFERROR(INDEX($AM$11:$AM$259, MATCH(0, IF(TRUE=$AL$11:$AL$259, COUNTIF($AQ$10:$AQ205, $AM$11:$AM$259), ""), 0)),"")</f>
        <v/>
      </c>
      <c r="AU206" s="30">
        <f t="shared" si="36"/>
        <v>0</v>
      </c>
      <c r="AY206" s="374" t="str">
        <f t="shared" si="37"/>
        <v/>
      </c>
    </row>
    <row r="207" spans="1:51">
      <c r="A207" s="30" t="str">
        <f>IFERROR(INDEX('G-1 All Habitats'!$AG$3:$AG$17,MATCH(E207,'G-1 All Habitats'!$AF$3:$AF$17,0)),"")</f>
        <v/>
      </c>
      <c r="B207" s="30" t="str">
        <f>IFERROR(INDEX('G-8 Condition Look up'!$I$4:$I$135,MATCH(G207,'G-8 Condition Look up'!$A$4:$A$135,0)),"")</f>
        <v/>
      </c>
      <c r="D207" s="110">
        <v>197</v>
      </c>
      <c r="E207" s="339"/>
      <c r="F207" s="340"/>
      <c r="G207" s="295" t="str">
        <f>IFERROR(INDEX('G-1 All Habitats'!$B$3:$B$134,MATCH(F207,'G-1 All Habitats'!$A$3:$A$134,0)),"")</f>
        <v/>
      </c>
      <c r="H207" s="139"/>
      <c r="I207" s="722" t="str">
        <f>IF(G207="","",VLOOKUP(G207,'G-1 All Habitats'!$B$2:$M$134,10,FALSE))</f>
        <v/>
      </c>
      <c r="J207" s="490" t="str">
        <f>IFERROR(VLOOKUP(I207,'G-1 All Habitats'!$V$3:$W$7,2,FALSE),"")</f>
        <v/>
      </c>
      <c r="K207" s="114"/>
      <c r="L207" s="490" t="str">
        <f>IFERROR(INDEX('G-8 Condition Look up'!$A$3:$H$135,MATCH(G207,'G-8 Condition Look up'!$A$3:$A$135,0),MATCH(K207,'G-8 Condition Look up'!$A$3:$H$3,0)),"")</f>
        <v/>
      </c>
      <c r="M207" s="738"/>
      <c r="N207" s="404" t="str">
        <f>IF(M207="","",IF(VLOOKUP(M207,'G-3 Multipliers'!$L$3:$N$6,2,FALSE)=0,"Spatial Data Missing ⚠",VLOOKUP(M207,'G-3 Multipliers'!$L$3:$N$6,2,FALSE)))</f>
        <v/>
      </c>
      <c r="O207" s="452" t="str">
        <f>IF(M207="","",IF(VLOOKUP(M207,'G-3 Multipliers'!$L$3:$N$6,3,FALSE)=0,"Spatial Data Missing ⚠",VLOOKUP(M207,'G-3 Multipliers'!$L$3:$N$6,3,FALSE)))</f>
        <v/>
      </c>
      <c r="P207" s="369" t="str">
        <f>IFERROR(VLOOKUP(G207,'G-1 All Habitats'!$B$2:$M$134,12,FALSE),"")</f>
        <v/>
      </c>
      <c r="Q207" s="725" t="str">
        <f>IFERROR(IF(P207="","",IF(AND(P207='G-1 All Habitats'!$X$3,W207&gt;0),X207+(Y207*S207),IF(AND(P207='G-1 All Habitats'!$X$3,V207&gt;0),X207+(Y207*S207),IF(AND(P207='G-1 All Habitats'!$X$3,AG207&gt;0),"Any Loss Unacceptable  ⚠",IF(AND(P207='G-1 All Habitats'!$X$3,Z207&gt;0),"Any Loss Unacceptable ⚠",H207*J207*L207*O207*S207))))),"Check Data ⚠")</f>
        <v/>
      </c>
      <c r="R207" s="516"/>
      <c r="S207" s="724" t="str">
        <f>IF(R207="","",IF(VLOOKUP(R207,'G-3 Multipliers'!$S$3:$T$10,2,FALSE)=0,"Spatial Data Missing ⚠",VLOOKUP(R207,'G-3 Multipliers'!$S$3:$T$10,2,FALSE)))</f>
        <v/>
      </c>
      <c r="T207" s="376" t="str">
        <f>IFERROR(IF(P207="","",IF(AND(P207='G-1 All Habitats'!$X$3,W207&gt;0),X207+Y207,IF(AND(P207='G-1 All Habitats'!$X$3,V207&gt;0),X207+Y207,IF(AND(P207='G-1 All Habitats'!$X$3,AG207&gt;0),"Any Loss Unacceptable ⚠", IF(R207="","", IF(AND(P207='G-1 All Habitats'!$X$3,Z207&gt;0),"Any Loss Unacceptable ⚠",H207*J207*L207*O207)))))),"Check Data ⚠")</f>
        <v/>
      </c>
      <c r="U207" s="38"/>
      <c r="V207" s="54"/>
      <c r="W207" s="55"/>
      <c r="X207" s="374" t="str">
        <f t="shared" si="31"/>
        <v/>
      </c>
      <c r="Y207" s="374" t="str">
        <f t="shared" si="32"/>
        <v/>
      </c>
      <c r="Z207" s="374" t="str">
        <f>IF(E207="","",IF(H207&lt;V207+W207,"Error in Areas ▲",IF(P207&lt;&gt;'G-1 All Habitats'!$X$3,H207-V207-W207,IF(AND(P207='G-1 All Habitats'!$X$3,AB207="Yes"),"Unacceptable Loss ⚠",IF(AND(P207='G-1 All Habitats'!$X$3,AB207="No"),AG207,IF(AND(P207='G-1 All Habitats'!$X$3,AB207=""),AG207,IF(AND(P207='G-1 All Habitats'!$X$3,AG207="None",AG207),IF(AND(P207='G-1 All Habitats'!$X$3,AG207&gt;0),H207-V207-W207))))))))</f>
        <v/>
      </c>
      <c r="AA207" s="405" t="str">
        <f>IFERROR(IF(H207="","",IF(H207-V207-W207=0&lt;0,"Error in Areas ▲",IF(V207+W207&gt;H207,"Error in Areas ▲",IF(AND(P207='G-1 All Habitats'!$X$3,AB207="Yes"),"Alternative Compensation ✓",IF(Z207=0,0,IF(P207='G-1 All Habitats'!$X$3,"Any Loss Unacceptable ▲",T207-X207-Y207)))))),"Check Data ⚠")</f>
        <v/>
      </c>
      <c r="AB207" s="837"/>
      <c r="AC207" s="119"/>
      <c r="AD207" s="528"/>
      <c r="AE207" s="120"/>
      <c r="AF207" s="687"/>
      <c r="AG207" s="744" t="str">
        <f>IF(P207="","",IF(P207='G-1 All Habitats'!$X$3,H207-V207-W207,"None"))</f>
        <v/>
      </c>
      <c r="AH207" s="744" t="str">
        <f t="shared" si="33"/>
        <v/>
      </c>
      <c r="AJ207" s="124" t="str">
        <f t="shared" si="34"/>
        <v/>
      </c>
      <c r="AK207" s="124" t="str">
        <f t="shared" si="35"/>
        <v/>
      </c>
      <c r="AL207" s="124" t="str">
        <f>IF(I207="","",IF(#REF!&gt;0,TRUE,FALSE))</f>
        <v/>
      </c>
      <c r="AM207" s="124">
        <v>197</v>
      </c>
      <c r="AN207" s="124"/>
      <c r="AO207" s="124" t="str">
        <f t="array" ref="AO207">IFERROR(INDEX($AM$11:$AM$259, MATCH(0, IF(TRUE=$AJ$11:$AJ$259, COUNTIF($AO$10:$AO206, $AM$11:$AM$259), ""), 0)),"")</f>
        <v/>
      </c>
      <c r="AP207" s="124" t="str">
        <f t="array" ref="AP207">IFERROR(INDEX($AM$11:$AM$259, MATCH(0, IF(TRUE=$AK$11:$AK$259, COUNTIF($AP$10:$AP206, $AM$11:$AM$259), ""), 0)),"")</f>
        <v/>
      </c>
      <c r="AQ207" s="124" t="str">
        <f t="array" ref="AQ207">IFERROR(INDEX($AM$11:$AM$259, MATCH(0, IF(TRUE=$AL$11:$AL$259, COUNTIF($AQ$10:$AQ206, $AM$11:$AM$259), ""), 0)),"")</f>
        <v/>
      </c>
      <c r="AU207" s="30">
        <f t="shared" si="36"/>
        <v>0</v>
      </c>
      <c r="AY207" s="374" t="str">
        <f t="shared" si="37"/>
        <v/>
      </c>
    </row>
    <row r="208" spans="1:51">
      <c r="A208" s="30" t="str">
        <f>IFERROR(INDEX('G-1 All Habitats'!$AG$3:$AG$17,MATCH(E208,'G-1 All Habitats'!$AF$3:$AF$17,0)),"")</f>
        <v/>
      </c>
      <c r="B208" s="30" t="str">
        <f>IFERROR(INDEX('G-8 Condition Look up'!$I$4:$I$135,MATCH(G208,'G-8 Condition Look up'!$A$4:$A$135,0)),"")</f>
        <v/>
      </c>
      <c r="D208" s="110">
        <v>198</v>
      </c>
      <c r="E208" s="339"/>
      <c r="F208" s="340"/>
      <c r="G208" s="295" t="str">
        <f>IFERROR(INDEX('G-1 All Habitats'!$B$3:$B$134,MATCH(F208,'G-1 All Habitats'!$A$3:$A$134,0)),"")</f>
        <v/>
      </c>
      <c r="H208" s="139"/>
      <c r="I208" s="722" t="str">
        <f>IF(G208="","",VLOOKUP(G208,'G-1 All Habitats'!$B$2:$M$134,10,FALSE))</f>
        <v/>
      </c>
      <c r="J208" s="490" t="str">
        <f>IFERROR(VLOOKUP(I208,'G-1 All Habitats'!$V$3:$W$7,2,FALSE),"")</f>
        <v/>
      </c>
      <c r="K208" s="114"/>
      <c r="L208" s="490" t="str">
        <f>IFERROR(INDEX('G-8 Condition Look up'!$A$3:$H$135,MATCH(G208,'G-8 Condition Look up'!$A$3:$A$135,0),MATCH(K208,'G-8 Condition Look up'!$A$3:$H$3,0)),"")</f>
        <v/>
      </c>
      <c r="M208" s="738"/>
      <c r="N208" s="404" t="str">
        <f>IF(M208="","",IF(VLOOKUP(M208,'G-3 Multipliers'!$L$3:$N$6,2,FALSE)=0,"Spatial Data Missing ⚠",VLOOKUP(M208,'G-3 Multipliers'!$L$3:$N$6,2,FALSE)))</f>
        <v/>
      </c>
      <c r="O208" s="452" t="str">
        <f>IF(M208="","",IF(VLOOKUP(M208,'G-3 Multipliers'!$L$3:$N$6,3,FALSE)=0,"Spatial Data Missing ⚠",VLOOKUP(M208,'G-3 Multipliers'!$L$3:$N$6,3,FALSE)))</f>
        <v/>
      </c>
      <c r="P208" s="369" t="str">
        <f>IFERROR(VLOOKUP(G208,'G-1 All Habitats'!$B$2:$M$134,12,FALSE),"")</f>
        <v/>
      </c>
      <c r="Q208" s="725" t="str">
        <f>IFERROR(IF(P208="","",IF(AND(P208='G-1 All Habitats'!$X$3,W208&gt;0),X208+(Y208*S208),IF(AND(P208='G-1 All Habitats'!$X$3,V208&gt;0),X208+(Y208*S208),IF(AND(P208='G-1 All Habitats'!$X$3,AG208&gt;0),"Any Loss Unacceptable  ⚠",IF(AND(P208='G-1 All Habitats'!$X$3,Z208&gt;0),"Any Loss Unacceptable ⚠",H208*J208*L208*O208*S208))))),"Check Data ⚠")</f>
        <v/>
      </c>
      <c r="R208" s="516"/>
      <c r="S208" s="724" t="str">
        <f>IF(R208="","",IF(VLOOKUP(R208,'G-3 Multipliers'!$S$3:$T$10,2,FALSE)=0,"Spatial Data Missing ⚠",VLOOKUP(R208,'G-3 Multipliers'!$S$3:$T$10,2,FALSE)))</f>
        <v/>
      </c>
      <c r="T208" s="376" t="str">
        <f>IFERROR(IF(P208="","",IF(AND(P208='G-1 All Habitats'!$X$3,W208&gt;0),X208+Y208,IF(AND(P208='G-1 All Habitats'!$X$3,V208&gt;0),X208+Y208,IF(AND(P208='G-1 All Habitats'!$X$3,AG208&gt;0),"Any Loss Unacceptable ⚠", IF(R208="","", IF(AND(P208='G-1 All Habitats'!$X$3,Z208&gt;0),"Any Loss Unacceptable ⚠",H208*J208*L208*O208)))))),"Check Data ⚠")</f>
        <v/>
      </c>
      <c r="U208" s="38"/>
      <c r="V208" s="54"/>
      <c r="W208" s="55"/>
      <c r="X208" s="374" t="str">
        <f t="shared" si="31"/>
        <v/>
      </c>
      <c r="Y208" s="374" t="str">
        <f t="shared" si="32"/>
        <v/>
      </c>
      <c r="Z208" s="374" t="str">
        <f>IF(E208="","",IF(H208&lt;V208+W208,"Error in Areas ▲",IF(P208&lt;&gt;'G-1 All Habitats'!$X$3,H208-V208-W208,IF(AND(P208='G-1 All Habitats'!$X$3,AB208="Yes"),"Unacceptable Loss ⚠",IF(AND(P208='G-1 All Habitats'!$X$3,AB208="No"),AG208,IF(AND(P208='G-1 All Habitats'!$X$3,AB208=""),AG208,IF(AND(P208='G-1 All Habitats'!$X$3,AG208="None",AG208),IF(AND(P208='G-1 All Habitats'!$X$3,AG208&gt;0),H208-V208-W208))))))))</f>
        <v/>
      </c>
      <c r="AA208" s="405" t="str">
        <f>IFERROR(IF(H208="","",IF(H208-V208-W208=0&lt;0,"Error in Areas ▲",IF(V208+W208&gt;H208,"Error in Areas ▲",IF(AND(P208='G-1 All Habitats'!$X$3,AB208="Yes"),"Alternative Compensation ✓",IF(Z208=0,0,IF(P208='G-1 All Habitats'!$X$3,"Any Loss Unacceptable ▲",T208-X208-Y208)))))),"Check Data ⚠")</f>
        <v/>
      </c>
      <c r="AB208" s="837"/>
      <c r="AC208" s="119"/>
      <c r="AD208" s="528"/>
      <c r="AE208" s="120"/>
      <c r="AF208" s="687"/>
      <c r="AG208" s="744" t="str">
        <f>IF(P208="","",IF(P208='G-1 All Habitats'!$X$3,H208-V208-W208,"None"))</f>
        <v/>
      </c>
      <c r="AH208" s="744" t="str">
        <f t="shared" si="33"/>
        <v/>
      </c>
      <c r="AJ208" s="124" t="str">
        <f t="shared" si="34"/>
        <v/>
      </c>
      <c r="AK208" s="124" t="str">
        <f t="shared" si="35"/>
        <v/>
      </c>
      <c r="AL208" s="124" t="str">
        <f>IF(I208="","",IF(#REF!&gt;0,TRUE,FALSE))</f>
        <v/>
      </c>
      <c r="AM208" s="124">
        <v>198</v>
      </c>
      <c r="AN208" s="124"/>
      <c r="AO208" s="124" t="str">
        <f t="array" ref="AO208">IFERROR(INDEX($AM$11:$AM$259, MATCH(0, IF(TRUE=$AJ$11:$AJ$259, COUNTIF($AO$10:$AO207, $AM$11:$AM$259), ""), 0)),"")</f>
        <v/>
      </c>
      <c r="AP208" s="124" t="str">
        <f t="array" ref="AP208">IFERROR(INDEX($AM$11:$AM$259, MATCH(0, IF(TRUE=$AK$11:$AK$259, COUNTIF($AP$10:$AP207, $AM$11:$AM$259), ""), 0)),"")</f>
        <v/>
      </c>
      <c r="AQ208" s="124" t="str">
        <f t="array" ref="AQ208">IFERROR(INDEX($AM$11:$AM$259, MATCH(0, IF(TRUE=$AL$11:$AL$259, COUNTIF($AQ$10:$AQ207, $AM$11:$AM$259), ""), 0)),"")</f>
        <v/>
      </c>
      <c r="AU208" s="30">
        <f t="shared" si="36"/>
        <v>0</v>
      </c>
      <c r="AY208" s="374" t="str">
        <f t="shared" si="37"/>
        <v/>
      </c>
    </row>
    <row r="209" spans="1:51">
      <c r="A209" s="30" t="str">
        <f>IFERROR(INDEX('G-1 All Habitats'!$AG$3:$AG$17,MATCH(E209,'G-1 All Habitats'!$AF$3:$AF$17,0)),"")</f>
        <v/>
      </c>
      <c r="B209" s="30" t="str">
        <f>IFERROR(INDEX('G-8 Condition Look up'!$I$4:$I$135,MATCH(G209,'G-8 Condition Look up'!$A$4:$A$135,0)),"")</f>
        <v/>
      </c>
      <c r="D209" s="110">
        <v>199</v>
      </c>
      <c r="E209" s="339"/>
      <c r="F209" s="340"/>
      <c r="G209" s="295" t="str">
        <f>IFERROR(INDEX('G-1 All Habitats'!$B$3:$B$134,MATCH(F209,'G-1 All Habitats'!$A$3:$A$134,0)),"")</f>
        <v/>
      </c>
      <c r="H209" s="139"/>
      <c r="I209" s="722" t="str">
        <f>IF(G209="","",VLOOKUP(G209,'G-1 All Habitats'!$B$2:$M$134,10,FALSE))</f>
        <v/>
      </c>
      <c r="J209" s="490" t="str">
        <f>IFERROR(VLOOKUP(I209,'G-1 All Habitats'!$V$3:$W$7,2,FALSE),"")</f>
        <v/>
      </c>
      <c r="K209" s="114"/>
      <c r="L209" s="490" t="str">
        <f>IFERROR(INDEX('G-8 Condition Look up'!$A$3:$H$135,MATCH(G209,'G-8 Condition Look up'!$A$3:$A$135,0),MATCH(K209,'G-8 Condition Look up'!$A$3:$H$3,0)),"")</f>
        <v/>
      </c>
      <c r="M209" s="738"/>
      <c r="N209" s="404" t="str">
        <f>IF(M209="","",IF(VLOOKUP(M209,'G-3 Multipliers'!$L$3:$N$6,2,FALSE)=0,"Spatial Data Missing ⚠",VLOOKUP(M209,'G-3 Multipliers'!$L$3:$N$6,2,FALSE)))</f>
        <v/>
      </c>
      <c r="O209" s="452" t="str">
        <f>IF(M209="","",IF(VLOOKUP(M209,'G-3 Multipliers'!$L$3:$N$6,3,FALSE)=0,"Spatial Data Missing ⚠",VLOOKUP(M209,'G-3 Multipliers'!$L$3:$N$6,3,FALSE)))</f>
        <v/>
      </c>
      <c r="P209" s="369" t="str">
        <f>IFERROR(VLOOKUP(G209,'G-1 All Habitats'!$B$2:$M$134,12,FALSE),"")</f>
        <v/>
      </c>
      <c r="Q209" s="725" t="str">
        <f>IFERROR(IF(P209="","",IF(AND(P209='G-1 All Habitats'!$X$3,W209&gt;0),X209+(Y209*S209),IF(AND(P209='G-1 All Habitats'!$X$3,V209&gt;0),X209+(Y209*S209),IF(AND(P209='G-1 All Habitats'!$X$3,AG209&gt;0),"Any Loss Unacceptable  ⚠",IF(AND(P209='G-1 All Habitats'!$X$3,Z209&gt;0),"Any Loss Unacceptable ⚠",H209*J209*L209*O209*S209))))),"Check Data ⚠")</f>
        <v/>
      </c>
      <c r="R209" s="516"/>
      <c r="S209" s="724" t="str">
        <f>IF(R209="","",IF(VLOOKUP(R209,'G-3 Multipliers'!$S$3:$T$10,2,FALSE)=0,"Spatial Data Missing ⚠",VLOOKUP(R209,'G-3 Multipliers'!$S$3:$T$10,2,FALSE)))</f>
        <v/>
      </c>
      <c r="T209" s="376" t="str">
        <f>IFERROR(IF(P209="","",IF(AND(P209='G-1 All Habitats'!$X$3,W209&gt;0),X209+Y209,IF(AND(P209='G-1 All Habitats'!$X$3,V209&gt;0),X209+Y209,IF(AND(P209='G-1 All Habitats'!$X$3,AG209&gt;0),"Any Loss Unacceptable ⚠", IF(R209="","", IF(AND(P209='G-1 All Habitats'!$X$3,Z209&gt;0),"Any Loss Unacceptable ⚠",H209*J209*L209*O209)))))),"Check Data ⚠")</f>
        <v/>
      </c>
      <c r="U209" s="38"/>
      <c r="V209" s="54"/>
      <c r="W209" s="55"/>
      <c r="X209" s="374" t="str">
        <f t="shared" si="31"/>
        <v/>
      </c>
      <c r="Y209" s="374" t="str">
        <f t="shared" si="32"/>
        <v/>
      </c>
      <c r="Z209" s="374" t="str">
        <f>IF(E209="","",IF(H209&lt;V209+W209,"Error in Areas ▲",IF(P209&lt;&gt;'G-1 All Habitats'!$X$3,H209-V209-W209,IF(AND(P209='G-1 All Habitats'!$X$3,AB209="Yes"),"Unacceptable Loss ⚠",IF(AND(P209='G-1 All Habitats'!$X$3,AB209="No"),AG209,IF(AND(P209='G-1 All Habitats'!$X$3,AB209=""),AG209,IF(AND(P209='G-1 All Habitats'!$X$3,AG209="None",AG209),IF(AND(P209='G-1 All Habitats'!$X$3,AG209&gt;0),H209-V209-W209))))))))</f>
        <v/>
      </c>
      <c r="AA209" s="405" t="str">
        <f>IFERROR(IF(H209="","",IF(H209-V209-W209=0&lt;0,"Error in Areas ▲",IF(V209+W209&gt;H209,"Error in Areas ▲",IF(AND(P209='G-1 All Habitats'!$X$3,AB209="Yes"),"Alternative Compensation ✓",IF(Z209=0,0,IF(P209='G-1 All Habitats'!$X$3,"Any Loss Unacceptable ▲",T209-X209-Y209)))))),"Check Data ⚠")</f>
        <v/>
      </c>
      <c r="AB209" s="837"/>
      <c r="AC209" s="119"/>
      <c r="AD209" s="528"/>
      <c r="AE209" s="120"/>
      <c r="AF209" s="687"/>
      <c r="AG209" s="744" t="str">
        <f>IF(P209="","",IF(P209='G-1 All Habitats'!$X$3,H209-V209-W209,"None"))</f>
        <v/>
      </c>
      <c r="AH209" s="744" t="str">
        <f t="shared" si="33"/>
        <v/>
      </c>
      <c r="AJ209" s="124" t="str">
        <f t="shared" si="34"/>
        <v/>
      </c>
      <c r="AK209" s="124" t="str">
        <f t="shared" si="35"/>
        <v/>
      </c>
      <c r="AL209" s="124" t="str">
        <f>IF(I209="","",IF(#REF!&gt;0,TRUE,FALSE))</f>
        <v/>
      </c>
      <c r="AM209" s="124">
        <v>199</v>
      </c>
      <c r="AN209" s="124"/>
      <c r="AO209" s="124" t="str">
        <f t="array" ref="AO209">IFERROR(INDEX($AM$11:$AM$259, MATCH(0, IF(TRUE=$AJ$11:$AJ$259, COUNTIF($AO$10:$AO208, $AM$11:$AM$259), ""), 0)),"")</f>
        <v/>
      </c>
      <c r="AP209" s="124" t="str">
        <f t="array" ref="AP209">IFERROR(INDEX($AM$11:$AM$259, MATCH(0, IF(TRUE=$AK$11:$AK$259, COUNTIF($AP$10:$AP208, $AM$11:$AM$259), ""), 0)),"")</f>
        <v/>
      </c>
      <c r="AQ209" s="124" t="str">
        <f t="array" ref="AQ209">IFERROR(INDEX($AM$11:$AM$259, MATCH(0, IF(TRUE=$AL$11:$AL$259, COUNTIF($AQ$10:$AQ208, $AM$11:$AM$259), ""), 0)),"")</f>
        <v/>
      </c>
      <c r="AU209" s="30">
        <f t="shared" si="36"/>
        <v>0</v>
      </c>
      <c r="AY209" s="374" t="str">
        <f t="shared" si="37"/>
        <v/>
      </c>
    </row>
    <row r="210" spans="1:51">
      <c r="A210" s="30" t="str">
        <f>IFERROR(INDEX('G-1 All Habitats'!$AG$3:$AG$17,MATCH(E210,'G-1 All Habitats'!$AF$3:$AF$17,0)),"")</f>
        <v/>
      </c>
      <c r="B210" s="30" t="str">
        <f>IFERROR(INDEX('G-8 Condition Look up'!$I$4:$I$135,MATCH(G210,'G-8 Condition Look up'!$A$4:$A$135,0)),"")</f>
        <v/>
      </c>
      <c r="D210" s="110">
        <v>200</v>
      </c>
      <c r="E210" s="339"/>
      <c r="F210" s="340"/>
      <c r="G210" s="295" t="str">
        <f>IFERROR(INDEX('G-1 All Habitats'!$B$3:$B$134,MATCH(F210,'G-1 All Habitats'!$A$3:$A$134,0)),"")</f>
        <v/>
      </c>
      <c r="H210" s="139"/>
      <c r="I210" s="722" t="str">
        <f>IF(G210="","",VLOOKUP(G210,'G-1 All Habitats'!$B$2:$M$134,10,FALSE))</f>
        <v/>
      </c>
      <c r="J210" s="490" t="str">
        <f>IFERROR(VLOOKUP(I210,'G-1 All Habitats'!$V$3:$W$7,2,FALSE),"")</f>
        <v/>
      </c>
      <c r="K210" s="114"/>
      <c r="L210" s="490" t="str">
        <f>IFERROR(INDEX('G-8 Condition Look up'!$A$3:$H$135,MATCH(G210,'G-8 Condition Look up'!$A$3:$A$135,0),MATCH(K210,'G-8 Condition Look up'!$A$3:$H$3,0)),"")</f>
        <v/>
      </c>
      <c r="M210" s="738"/>
      <c r="N210" s="404" t="str">
        <f>IF(M210="","",IF(VLOOKUP(M210,'G-3 Multipliers'!$L$3:$N$6,2,FALSE)=0,"Spatial Data Missing ⚠",VLOOKUP(M210,'G-3 Multipliers'!$L$3:$N$6,2,FALSE)))</f>
        <v/>
      </c>
      <c r="O210" s="452" t="str">
        <f>IF(M210="","",IF(VLOOKUP(M210,'G-3 Multipliers'!$L$3:$N$6,3,FALSE)=0,"Spatial Data Missing ⚠",VLOOKUP(M210,'G-3 Multipliers'!$L$3:$N$6,3,FALSE)))</f>
        <v/>
      </c>
      <c r="P210" s="369" t="str">
        <f>IFERROR(VLOOKUP(G210,'G-1 All Habitats'!$B$2:$M$134,12,FALSE),"")</f>
        <v/>
      </c>
      <c r="Q210" s="725" t="str">
        <f>IFERROR(IF(P210="","",IF(AND(P210='G-1 All Habitats'!$X$3,W210&gt;0),X210+(Y210*S210),IF(AND(P210='G-1 All Habitats'!$X$3,V210&gt;0),X210+(Y210*S210),IF(AND(P210='G-1 All Habitats'!$X$3,AG210&gt;0),"Any Loss Unacceptable  ⚠",IF(AND(P210='G-1 All Habitats'!$X$3,Z210&gt;0),"Any Loss Unacceptable ⚠",H210*J210*L210*O210*S210))))),"Check Data ⚠")</f>
        <v/>
      </c>
      <c r="R210" s="516"/>
      <c r="S210" s="724" t="str">
        <f>IF(R210="","",IF(VLOOKUP(R210,'G-3 Multipliers'!$S$3:$T$10,2,FALSE)=0,"Spatial Data Missing ⚠",VLOOKUP(R210,'G-3 Multipliers'!$S$3:$T$10,2,FALSE)))</f>
        <v/>
      </c>
      <c r="T210" s="376" t="str">
        <f>IFERROR(IF(P210="","",IF(AND(P210='G-1 All Habitats'!$X$3,W210&gt;0),X210+Y210,IF(AND(P210='G-1 All Habitats'!$X$3,V210&gt;0),X210+Y210,IF(AND(P210='G-1 All Habitats'!$X$3,AG210&gt;0),"Any Loss Unacceptable ⚠", IF(R210="","", IF(AND(P210='G-1 All Habitats'!$X$3,Z210&gt;0),"Any Loss Unacceptable ⚠",H210*J210*L210*O210)))))),"Check Data ⚠")</f>
        <v/>
      </c>
      <c r="U210" s="38"/>
      <c r="V210" s="54"/>
      <c r="W210" s="55"/>
      <c r="X210" s="374" t="str">
        <f t="shared" si="31"/>
        <v/>
      </c>
      <c r="Y210" s="374" t="str">
        <f t="shared" si="32"/>
        <v/>
      </c>
      <c r="Z210" s="374" t="str">
        <f>IF(E210="","",IF(H210&lt;V210+W210,"Error in Areas ▲",IF(P210&lt;&gt;'G-1 All Habitats'!$X$3,H210-V210-W210,IF(AND(P210='G-1 All Habitats'!$X$3,AB210="Yes"),"Unacceptable Loss ⚠",IF(AND(P210='G-1 All Habitats'!$X$3,AB210="No"),AG210,IF(AND(P210='G-1 All Habitats'!$X$3,AB210=""),AG210,IF(AND(P210='G-1 All Habitats'!$X$3,AG210="None",AG210),IF(AND(P210='G-1 All Habitats'!$X$3,AG210&gt;0),H210-V210-W210))))))))</f>
        <v/>
      </c>
      <c r="AA210" s="405" t="str">
        <f>IFERROR(IF(H210="","",IF(H210-V210-W210=0&lt;0,"Error in Areas ▲",IF(V210+W210&gt;H210,"Error in Areas ▲",IF(AND(P210='G-1 All Habitats'!$X$3,AB210="Yes"),"Alternative Compensation ✓",IF(Z210=0,0,IF(P210='G-1 All Habitats'!$X$3,"Any Loss Unacceptable ▲",T210-X210-Y210)))))),"Check Data ⚠")</f>
        <v/>
      </c>
      <c r="AB210" s="837"/>
      <c r="AC210" s="119"/>
      <c r="AD210" s="528"/>
      <c r="AE210" s="120"/>
      <c r="AF210" s="687"/>
      <c r="AG210" s="744" t="str">
        <f>IF(P210="","",IF(P210='G-1 All Habitats'!$X$3,H210-V210-W210,"None"))</f>
        <v/>
      </c>
      <c r="AH210" s="744" t="str">
        <f t="shared" si="33"/>
        <v/>
      </c>
      <c r="AJ210" s="124" t="str">
        <f t="shared" si="34"/>
        <v/>
      </c>
      <c r="AK210" s="124" t="str">
        <f t="shared" si="35"/>
        <v/>
      </c>
      <c r="AL210" s="124" t="str">
        <f>IF(I210="","",IF(#REF!&gt;0,TRUE,FALSE))</f>
        <v/>
      </c>
      <c r="AM210" s="124">
        <v>200</v>
      </c>
      <c r="AN210" s="124"/>
      <c r="AO210" s="124" t="str">
        <f t="array" ref="AO210">IFERROR(INDEX($AM$11:$AM$259, MATCH(0, IF(TRUE=$AJ$11:$AJ$259, COUNTIF($AO$10:$AO209, $AM$11:$AM$259), ""), 0)),"")</f>
        <v/>
      </c>
      <c r="AP210" s="124" t="str">
        <f t="array" ref="AP210">IFERROR(INDEX($AM$11:$AM$259, MATCH(0, IF(TRUE=$AK$11:$AK$259, COUNTIF($AP$10:$AP209, $AM$11:$AM$259), ""), 0)),"")</f>
        <v/>
      </c>
      <c r="AQ210" s="124" t="str">
        <f t="array" ref="AQ210">IFERROR(INDEX($AM$11:$AM$259, MATCH(0, IF(TRUE=$AL$11:$AL$259, COUNTIF($AQ$10:$AQ209, $AM$11:$AM$259), ""), 0)),"")</f>
        <v/>
      </c>
      <c r="AU210" s="30">
        <f t="shared" si="36"/>
        <v>0</v>
      </c>
      <c r="AY210" s="374" t="str">
        <f t="shared" si="37"/>
        <v/>
      </c>
    </row>
    <row r="211" spans="1:51">
      <c r="A211" s="30" t="str">
        <f>IFERROR(INDEX('G-1 All Habitats'!$AG$3:$AG$17,MATCH(E211,'G-1 All Habitats'!$AF$3:$AF$17,0)),"")</f>
        <v/>
      </c>
      <c r="B211" s="30" t="str">
        <f>IFERROR(INDEX('G-8 Condition Look up'!$I$4:$I$135,MATCH(G211,'G-8 Condition Look up'!$A$4:$A$135,0)),"")</f>
        <v/>
      </c>
      <c r="D211" s="110">
        <v>201</v>
      </c>
      <c r="E211" s="339"/>
      <c r="F211" s="340"/>
      <c r="G211" s="295" t="str">
        <f>IFERROR(INDEX('G-1 All Habitats'!$B$3:$B$134,MATCH(F211,'G-1 All Habitats'!$A$3:$A$134,0)),"")</f>
        <v/>
      </c>
      <c r="H211" s="139"/>
      <c r="I211" s="722" t="str">
        <f>IF(G211="","",VLOOKUP(G211,'G-1 All Habitats'!$B$2:$M$134,10,FALSE))</f>
        <v/>
      </c>
      <c r="J211" s="490" t="str">
        <f>IFERROR(VLOOKUP(I211,'G-1 All Habitats'!$V$3:$W$7,2,FALSE),"")</f>
        <v/>
      </c>
      <c r="K211" s="114"/>
      <c r="L211" s="490" t="str">
        <f>IFERROR(INDEX('G-8 Condition Look up'!$A$3:$H$135,MATCH(G211,'G-8 Condition Look up'!$A$3:$A$135,0),MATCH(K211,'G-8 Condition Look up'!$A$3:$H$3,0)),"")</f>
        <v/>
      </c>
      <c r="M211" s="738"/>
      <c r="N211" s="404" t="str">
        <f>IF(M211="","",IF(VLOOKUP(M211,'G-3 Multipliers'!$L$3:$N$6,2,FALSE)=0,"Spatial Data Missing ⚠",VLOOKUP(M211,'G-3 Multipliers'!$L$3:$N$6,2,FALSE)))</f>
        <v/>
      </c>
      <c r="O211" s="452" t="str">
        <f>IF(M211="","",IF(VLOOKUP(M211,'G-3 Multipliers'!$L$3:$N$6,3,FALSE)=0,"Spatial Data Missing ⚠",VLOOKUP(M211,'G-3 Multipliers'!$L$3:$N$6,3,FALSE)))</f>
        <v/>
      </c>
      <c r="P211" s="369" t="str">
        <f>IFERROR(VLOOKUP(G211,'G-1 All Habitats'!$B$2:$M$134,12,FALSE),"")</f>
        <v/>
      </c>
      <c r="Q211" s="725" t="str">
        <f>IFERROR(IF(P211="","",IF(AND(P211='G-1 All Habitats'!$X$3,W211&gt;0),X211+(Y211*S211),IF(AND(P211='G-1 All Habitats'!$X$3,V211&gt;0),X211+(Y211*S211),IF(AND(P211='G-1 All Habitats'!$X$3,AG211&gt;0),"Any Loss Unacceptable  ⚠",IF(AND(P211='G-1 All Habitats'!$X$3,Z211&gt;0),"Any Loss Unacceptable ⚠",H211*J211*L211*O211*S211))))),"Check Data ⚠")</f>
        <v/>
      </c>
      <c r="R211" s="516"/>
      <c r="S211" s="724" t="str">
        <f>IF(R211="","",IF(VLOOKUP(R211,'G-3 Multipliers'!$S$3:$T$10,2,FALSE)=0,"Spatial Data Missing ⚠",VLOOKUP(R211,'G-3 Multipliers'!$S$3:$T$10,2,FALSE)))</f>
        <v/>
      </c>
      <c r="T211" s="376" t="str">
        <f>IFERROR(IF(P211="","",IF(AND(P211='G-1 All Habitats'!$X$3,W211&gt;0),X211+Y211,IF(AND(P211='G-1 All Habitats'!$X$3,V211&gt;0),X211+Y211,IF(AND(P211='G-1 All Habitats'!$X$3,AG211&gt;0),"Any Loss Unacceptable ⚠", IF(R211="","", IF(AND(P211='G-1 All Habitats'!$X$3,Z211&gt;0),"Any Loss Unacceptable ⚠",H211*J211*L211*O211)))))),"Check Data ⚠")</f>
        <v/>
      </c>
      <c r="U211" s="38"/>
      <c r="V211" s="54"/>
      <c r="W211" s="55"/>
      <c r="X211" s="374" t="str">
        <f t="shared" si="31"/>
        <v/>
      </c>
      <c r="Y211" s="374" t="str">
        <f t="shared" si="32"/>
        <v/>
      </c>
      <c r="Z211" s="374" t="str">
        <f>IF(E211="","",IF(H211&lt;V211+W211,"Error in Areas ▲",IF(P211&lt;&gt;'G-1 All Habitats'!$X$3,H211-V211-W211,IF(AND(P211='G-1 All Habitats'!$X$3,AB211="Yes"),"Unacceptable Loss ⚠",IF(AND(P211='G-1 All Habitats'!$X$3,AB211="No"),AG211,IF(AND(P211='G-1 All Habitats'!$X$3,AB211=""),AG211,IF(AND(P211='G-1 All Habitats'!$X$3,AG211="None",AG211),IF(AND(P211='G-1 All Habitats'!$X$3,AG211&gt;0),H211-V211-W211))))))))</f>
        <v/>
      </c>
      <c r="AA211" s="405" t="str">
        <f>IFERROR(IF(H211="","",IF(H211-V211-W211=0&lt;0,"Error in Areas ▲",IF(V211+W211&gt;H211,"Error in Areas ▲",IF(AND(P211='G-1 All Habitats'!$X$3,AB211="Yes"),"Alternative Compensation ✓",IF(Z211=0,0,IF(P211='G-1 All Habitats'!$X$3,"Any Loss Unacceptable ▲",T211-X211-Y211)))))),"Check Data ⚠")</f>
        <v/>
      </c>
      <c r="AB211" s="837"/>
      <c r="AC211" s="119"/>
      <c r="AD211" s="528"/>
      <c r="AE211" s="120"/>
      <c r="AF211" s="687"/>
      <c r="AG211" s="744" t="str">
        <f>IF(P211="","",IF(P211='G-1 All Habitats'!$X$3,H211-V211-W211,"None"))</f>
        <v/>
      </c>
      <c r="AH211" s="744" t="str">
        <f t="shared" si="33"/>
        <v/>
      </c>
      <c r="AJ211" s="124" t="str">
        <f t="shared" si="34"/>
        <v/>
      </c>
      <c r="AK211" s="124" t="str">
        <f t="shared" si="35"/>
        <v/>
      </c>
      <c r="AL211" s="124" t="str">
        <f>IF(I211="","",IF(#REF!&gt;0,TRUE,FALSE))</f>
        <v/>
      </c>
      <c r="AM211" s="124">
        <v>201</v>
      </c>
      <c r="AN211" s="124"/>
      <c r="AO211" s="124" t="str">
        <f t="array" ref="AO211">IFERROR(INDEX($AM$11:$AM$259, MATCH(0, IF(TRUE=$AJ$11:$AJ$259, COUNTIF($AO$10:$AO210, $AM$11:$AM$259), ""), 0)),"")</f>
        <v/>
      </c>
      <c r="AP211" s="124" t="str">
        <f t="array" ref="AP211">IFERROR(INDEX($AM$11:$AM$259, MATCH(0, IF(TRUE=$AK$11:$AK$259, COUNTIF($AP$10:$AP210, $AM$11:$AM$259), ""), 0)),"")</f>
        <v/>
      </c>
      <c r="AQ211" s="124" t="str">
        <f t="array" ref="AQ211">IFERROR(INDEX($AM$11:$AM$259, MATCH(0, IF(TRUE=$AL$11:$AL$259, COUNTIF($AQ$10:$AQ210, $AM$11:$AM$259), ""), 0)),"")</f>
        <v/>
      </c>
      <c r="AU211" s="30">
        <f t="shared" si="36"/>
        <v>0</v>
      </c>
      <c r="AY211" s="374" t="str">
        <f t="shared" si="37"/>
        <v/>
      </c>
    </row>
    <row r="212" spans="1:51">
      <c r="A212" s="30" t="str">
        <f>IFERROR(INDEX('G-1 All Habitats'!$AG$3:$AG$17,MATCH(E212,'G-1 All Habitats'!$AF$3:$AF$17,0)),"")</f>
        <v/>
      </c>
      <c r="B212" s="30" t="str">
        <f>IFERROR(INDEX('G-8 Condition Look up'!$I$4:$I$135,MATCH(G212,'G-8 Condition Look up'!$A$4:$A$135,0)),"")</f>
        <v/>
      </c>
      <c r="D212" s="110">
        <v>202</v>
      </c>
      <c r="E212" s="339"/>
      <c r="F212" s="340"/>
      <c r="G212" s="295" t="str">
        <f>IFERROR(INDEX('G-1 All Habitats'!$B$3:$B$134,MATCH(F212,'G-1 All Habitats'!$A$3:$A$134,0)),"")</f>
        <v/>
      </c>
      <c r="H212" s="139"/>
      <c r="I212" s="722" t="str">
        <f>IF(G212="","",VLOOKUP(G212,'G-1 All Habitats'!$B$2:$M$134,10,FALSE))</f>
        <v/>
      </c>
      <c r="J212" s="490" t="str">
        <f>IFERROR(VLOOKUP(I212,'G-1 All Habitats'!$V$3:$W$7,2,FALSE),"")</f>
        <v/>
      </c>
      <c r="K212" s="114"/>
      <c r="L212" s="490" t="str">
        <f>IFERROR(INDEX('G-8 Condition Look up'!$A$3:$H$135,MATCH(G212,'G-8 Condition Look up'!$A$3:$A$135,0),MATCH(K212,'G-8 Condition Look up'!$A$3:$H$3,0)),"")</f>
        <v/>
      </c>
      <c r="M212" s="738"/>
      <c r="N212" s="404" t="str">
        <f>IF(M212="","",IF(VLOOKUP(M212,'G-3 Multipliers'!$L$3:$N$6,2,FALSE)=0,"Spatial Data Missing ⚠",VLOOKUP(M212,'G-3 Multipliers'!$L$3:$N$6,2,FALSE)))</f>
        <v/>
      </c>
      <c r="O212" s="452" t="str">
        <f>IF(M212="","",IF(VLOOKUP(M212,'G-3 Multipliers'!$L$3:$N$6,3,FALSE)=0,"Spatial Data Missing ⚠",VLOOKUP(M212,'G-3 Multipliers'!$L$3:$N$6,3,FALSE)))</f>
        <v/>
      </c>
      <c r="P212" s="369" t="str">
        <f>IFERROR(VLOOKUP(G212,'G-1 All Habitats'!$B$2:$M$134,12,FALSE),"")</f>
        <v/>
      </c>
      <c r="Q212" s="725" t="str">
        <f>IFERROR(IF(P212="","",IF(AND(P212='G-1 All Habitats'!$X$3,W212&gt;0),X212+(Y212*S212),IF(AND(P212='G-1 All Habitats'!$X$3,V212&gt;0),X212+(Y212*S212),IF(AND(P212='G-1 All Habitats'!$X$3,AG212&gt;0),"Any Loss Unacceptable  ⚠",IF(AND(P212='G-1 All Habitats'!$X$3,Z212&gt;0),"Any Loss Unacceptable ⚠",H212*J212*L212*O212*S212))))),"Check Data ⚠")</f>
        <v/>
      </c>
      <c r="R212" s="516"/>
      <c r="S212" s="724" t="str">
        <f>IF(R212="","",IF(VLOOKUP(R212,'G-3 Multipliers'!$S$3:$T$10,2,FALSE)=0,"Spatial Data Missing ⚠",VLOOKUP(R212,'G-3 Multipliers'!$S$3:$T$10,2,FALSE)))</f>
        <v/>
      </c>
      <c r="T212" s="376" t="str">
        <f>IFERROR(IF(P212="","",IF(AND(P212='G-1 All Habitats'!$X$3,W212&gt;0),X212+Y212,IF(AND(P212='G-1 All Habitats'!$X$3,V212&gt;0),X212+Y212,IF(AND(P212='G-1 All Habitats'!$X$3,AG212&gt;0),"Any Loss Unacceptable ⚠", IF(R212="","", IF(AND(P212='G-1 All Habitats'!$X$3,Z212&gt;0),"Any Loss Unacceptable ⚠",H212*J212*L212*O212)))))),"Check Data ⚠")</f>
        <v/>
      </c>
      <c r="U212" s="38"/>
      <c r="V212" s="54"/>
      <c r="W212" s="55"/>
      <c r="X212" s="374" t="str">
        <f t="shared" si="31"/>
        <v/>
      </c>
      <c r="Y212" s="374" t="str">
        <f t="shared" si="32"/>
        <v/>
      </c>
      <c r="Z212" s="374" t="str">
        <f>IF(E212="","",IF(H212&lt;V212+W212,"Error in Areas ▲",IF(P212&lt;&gt;'G-1 All Habitats'!$X$3,H212-V212-W212,IF(AND(P212='G-1 All Habitats'!$X$3,AB212="Yes"),"Unacceptable Loss ⚠",IF(AND(P212='G-1 All Habitats'!$X$3,AB212="No"),AG212,IF(AND(P212='G-1 All Habitats'!$X$3,AB212=""),AG212,IF(AND(P212='G-1 All Habitats'!$X$3,AG212="None",AG212),IF(AND(P212='G-1 All Habitats'!$X$3,AG212&gt;0),H212-V212-W212))))))))</f>
        <v/>
      </c>
      <c r="AA212" s="405" t="str">
        <f>IFERROR(IF(H212="","",IF(H212-V212-W212=0&lt;0,"Error in Areas ▲",IF(V212+W212&gt;H212,"Error in Areas ▲",IF(AND(P212='G-1 All Habitats'!$X$3,AB212="Yes"),"Alternative Compensation ✓",IF(Z212=0,0,IF(P212='G-1 All Habitats'!$X$3,"Any Loss Unacceptable ▲",T212-X212-Y212)))))),"Check Data ⚠")</f>
        <v/>
      </c>
      <c r="AB212" s="837"/>
      <c r="AC212" s="119"/>
      <c r="AD212" s="528"/>
      <c r="AE212" s="120"/>
      <c r="AF212" s="687"/>
      <c r="AG212" s="744" t="str">
        <f>IF(P212="","",IF(P212='G-1 All Habitats'!$X$3,H212-V212-W212,"None"))</f>
        <v/>
      </c>
      <c r="AH212" s="744" t="str">
        <f t="shared" si="33"/>
        <v/>
      </c>
      <c r="AJ212" s="124" t="str">
        <f t="shared" si="34"/>
        <v/>
      </c>
      <c r="AK212" s="124" t="str">
        <f t="shared" si="35"/>
        <v/>
      </c>
      <c r="AL212" s="124" t="str">
        <f>IF(I212="","",IF(#REF!&gt;0,TRUE,FALSE))</f>
        <v/>
      </c>
      <c r="AM212" s="124">
        <v>202</v>
      </c>
      <c r="AN212" s="124"/>
      <c r="AO212" s="124" t="str">
        <f t="array" ref="AO212">IFERROR(INDEX($AM$11:$AM$259, MATCH(0, IF(TRUE=$AJ$11:$AJ$259, COUNTIF($AO$10:$AO211, $AM$11:$AM$259), ""), 0)),"")</f>
        <v/>
      </c>
      <c r="AP212" s="124" t="str">
        <f t="array" ref="AP212">IFERROR(INDEX($AM$11:$AM$259, MATCH(0, IF(TRUE=$AK$11:$AK$259, COUNTIF($AP$10:$AP211, $AM$11:$AM$259), ""), 0)),"")</f>
        <v/>
      </c>
      <c r="AQ212" s="124" t="str">
        <f t="array" ref="AQ212">IFERROR(INDEX($AM$11:$AM$259, MATCH(0, IF(TRUE=$AL$11:$AL$259, COUNTIF($AQ$10:$AQ211, $AM$11:$AM$259), ""), 0)),"")</f>
        <v/>
      </c>
      <c r="AU212" s="30">
        <f t="shared" si="36"/>
        <v>0</v>
      </c>
      <c r="AY212" s="374" t="str">
        <f t="shared" si="37"/>
        <v/>
      </c>
    </row>
    <row r="213" spans="1:51">
      <c r="A213" s="30" t="str">
        <f>IFERROR(INDEX('G-1 All Habitats'!$AG$3:$AG$17,MATCH(E213,'G-1 All Habitats'!$AF$3:$AF$17,0)),"")</f>
        <v/>
      </c>
      <c r="B213" s="30" t="str">
        <f>IFERROR(INDEX('G-8 Condition Look up'!$I$4:$I$135,MATCH(G213,'G-8 Condition Look up'!$A$4:$A$135,0)),"")</f>
        <v/>
      </c>
      <c r="D213" s="110">
        <v>203</v>
      </c>
      <c r="E213" s="339"/>
      <c r="F213" s="340"/>
      <c r="G213" s="295" t="str">
        <f>IFERROR(INDEX('G-1 All Habitats'!$B$3:$B$134,MATCH(F213,'G-1 All Habitats'!$A$3:$A$134,0)),"")</f>
        <v/>
      </c>
      <c r="H213" s="139"/>
      <c r="I213" s="722" t="str">
        <f>IF(G213="","",VLOOKUP(G213,'G-1 All Habitats'!$B$2:$M$134,10,FALSE))</f>
        <v/>
      </c>
      <c r="J213" s="490" t="str">
        <f>IFERROR(VLOOKUP(I213,'G-1 All Habitats'!$V$3:$W$7,2,FALSE),"")</f>
        <v/>
      </c>
      <c r="K213" s="114"/>
      <c r="L213" s="490" t="str">
        <f>IFERROR(INDEX('G-8 Condition Look up'!$A$3:$H$135,MATCH(G213,'G-8 Condition Look up'!$A$3:$A$135,0),MATCH(K213,'G-8 Condition Look up'!$A$3:$H$3,0)),"")</f>
        <v/>
      </c>
      <c r="M213" s="738"/>
      <c r="N213" s="404" t="str">
        <f>IF(M213="","",IF(VLOOKUP(M213,'G-3 Multipliers'!$L$3:$N$6,2,FALSE)=0,"Spatial Data Missing ⚠",VLOOKUP(M213,'G-3 Multipliers'!$L$3:$N$6,2,FALSE)))</f>
        <v/>
      </c>
      <c r="O213" s="452" t="str">
        <f>IF(M213="","",IF(VLOOKUP(M213,'G-3 Multipliers'!$L$3:$N$6,3,FALSE)=0,"Spatial Data Missing ⚠",VLOOKUP(M213,'G-3 Multipliers'!$L$3:$N$6,3,FALSE)))</f>
        <v/>
      </c>
      <c r="P213" s="369" t="str">
        <f>IFERROR(VLOOKUP(G213,'G-1 All Habitats'!$B$2:$M$134,12,FALSE),"")</f>
        <v/>
      </c>
      <c r="Q213" s="725" t="str">
        <f>IFERROR(IF(P213="","",IF(AND(P213='G-1 All Habitats'!$X$3,W213&gt;0),X213+(Y213*S213),IF(AND(P213='G-1 All Habitats'!$X$3,V213&gt;0),X213+(Y213*S213),IF(AND(P213='G-1 All Habitats'!$X$3,AG213&gt;0),"Any Loss Unacceptable  ⚠",IF(AND(P213='G-1 All Habitats'!$X$3,Z213&gt;0),"Any Loss Unacceptable ⚠",H213*J213*L213*O213*S213))))),"Check Data ⚠")</f>
        <v/>
      </c>
      <c r="R213" s="516"/>
      <c r="S213" s="724" t="str">
        <f>IF(R213="","",IF(VLOOKUP(R213,'G-3 Multipliers'!$S$3:$T$10,2,FALSE)=0,"Spatial Data Missing ⚠",VLOOKUP(R213,'G-3 Multipliers'!$S$3:$T$10,2,FALSE)))</f>
        <v/>
      </c>
      <c r="T213" s="376" t="str">
        <f>IFERROR(IF(P213="","",IF(AND(P213='G-1 All Habitats'!$X$3,W213&gt;0),X213+Y213,IF(AND(P213='G-1 All Habitats'!$X$3,V213&gt;0),X213+Y213,IF(AND(P213='G-1 All Habitats'!$X$3,AG213&gt;0),"Any Loss Unacceptable ⚠", IF(R213="","", IF(AND(P213='G-1 All Habitats'!$X$3,Z213&gt;0),"Any Loss Unacceptable ⚠",H213*J213*L213*O213)))))),"Check Data ⚠")</f>
        <v/>
      </c>
      <c r="U213" s="38"/>
      <c r="V213" s="54"/>
      <c r="W213" s="55"/>
      <c r="X213" s="374" t="str">
        <f t="shared" si="31"/>
        <v/>
      </c>
      <c r="Y213" s="374" t="str">
        <f t="shared" si="32"/>
        <v/>
      </c>
      <c r="Z213" s="374" t="str">
        <f>IF(E213="","",IF(H213&lt;V213+W213,"Error in Areas ▲",IF(P213&lt;&gt;'G-1 All Habitats'!$X$3,H213-V213-W213,IF(AND(P213='G-1 All Habitats'!$X$3,AB213="Yes"),"Unacceptable Loss ⚠",IF(AND(P213='G-1 All Habitats'!$X$3,AB213="No"),AG213,IF(AND(P213='G-1 All Habitats'!$X$3,AB213=""),AG213,IF(AND(P213='G-1 All Habitats'!$X$3,AG213="None",AG213),IF(AND(P213='G-1 All Habitats'!$X$3,AG213&gt;0),H213-V213-W213))))))))</f>
        <v/>
      </c>
      <c r="AA213" s="405" t="str">
        <f>IFERROR(IF(H213="","",IF(H213-V213-W213=0&lt;0,"Error in Areas ▲",IF(V213+W213&gt;H213,"Error in Areas ▲",IF(AND(P213='G-1 All Habitats'!$X$3,AB213="Yes"),"Alternative Compensation ✓",IF(Z213=0,0,IF(P213='G-1 All Habitats'!$X$3,"Any Loss Unacceptable ▲",T213-X213-Y213)))))),"Check Data ⚠")</f>
        <v/>
      </c>
      <c r="AB213" s="837"/>
      <c r="AC213" s="119"/>
      <c r="AD213" s="528"/>
      <c r="AE213" s="120"/>
      <c r="AF213" s="687"/>
      <c r="AG213" s="744" t="str">
        <f>IF(P213="","",IF(P213='G-1 All Habitats'!$X$3,H213-V213-W213,"None"))</f>
        <v/>
      </c>
      <c r="AH213" s="744" t="str">
        <f t="shared" si="33"/>
        <v/>
      </c>
      <c r="AJ213" s="124" t="str">
        <f t="shared" si="34"/>
        <v/>
      </c>
      <c r="AK213" s="124" t="str">
        <f t="shared" si="35"/>
        <v/>
      </c>
      <c r="AL213" s="124" t="str">
        <f>IF(I213="","",IF(#REF!&gt;0,TRUE,FALSE))</f>
        <v/>
      </c>
      <c r="AM213" s="124">
        <v>203</v>
      </c>
      <c r="AN213" s="124"/>
      <c r="AO213" s="124" t="str">
        <f t="array" ref="AO213">IFERROR(INDEX($AM$11:$AM$259, MATCH(0, IF(TRUE=$AJ$11:$AJ$259, COUNTIF($AO$10:$AO212, $AM$11:$AM$259), ""), 0)),"")</f>
        <v/>
      </c>
      <c r="AP213" s="124" t="str">
        <f t="array" ref="AP213">IFERROR(INDEX($AM$11:$AM$259, MATCH(0, IF(TRUE=$AK$11:$AK$259, COUNTIF($AP$10:$AP212, $AM$11:$AM$259), ""), 0)),"")</f>
        <v/>
      </c>
      <c r="AQ213" s="124" t="str">
        <f t="array" ref="AQ213">IFERROR(INDEX($AM$11:$AM$259, MATCH(0, IF(TRUE=$AL$11:$AL$259, COUNTIF($AQ$10:$AQ212, $AM$11:$AM$259), ""), 0)),"")</f>
        <v/>
      </c>
      <c r="AU213" s="30">
        <f t="shared" si="36"/>
        <v>0</v>
      </c>
      <c r="AY213" s="374" t="str">
        <f t="shared" si="37"/>
        <v/>
      </c>
    </row>
    <row r="214" spans="1:51">
      <c r="A214" s="30" t="str">
        <f>IFERROR(INDEX('G-1 All Habitats'!$AG$3:$AG$17,MATCH(E214,'G-1 All Habitats'!$AF$3:$AF$17,0)),"")</f>
        <v/>
      </c>
      <c r="B214" s="30" t="str">
        <f>IFERROR(INDEX('G-8 Condition Look up'!$I$4:$I$135,MATCH(G214,'G-8 Condition Look up'!$A$4:$A$135,0)),"")</f>
        <v/>
      </c>
      <c r="D214" s="110">
        <v>204</v>
      </c>
      <c r="E214" s="339"/>
      <c r="F214" s="340"/>
      <c r="G214" s="295" t="str">
        <f>IFERROR(INDEX('G-1 All Habitats'!$B$3:$B$134,MATCH(F214,'G-1 All Habitats'!$A$3:$A$134,0)),"")</f>
        <v/>
      </c>
      <c r="H214" s="139"/>
      <c r="I214" s="722" t="str">
        <f>IF(G214="","",VLOOKUP(G214,'G-1 All Habitats'!$B$2:$M$134,10,FALSE))</f>
        <v/>
      </c>
      <c r="J214" s="490" t="str">
        <f>IFERROR(VLOOKUP(I214,'G-1 All Habitats'!$V$3:$W$7,2,FALSE),"")</f>
        <v/>
      </c>
      <c r="K214" s="114"/>
      <c r="L214" s="490" t="str">
        <f>IFERROR(INDEX('G-8 Condition Look up'!$A$3:$H$135,MATCH(G214,'G-8 Condition Look up'!$A$3:$A$135,0),MATCH(K214,'G-8 Condition Look up'!$A$3:$H$3,0)),"")</f>
        <v/>
      </c>
      <c r="M214" s="738"/>
      <c r="N214" s="404" t="str">
        <f>IF(M214="","",IF(VLOOKUP(M214,'G-3 Multipliers'!$L$3:$N$6,2,FALSE)=0,"Spatial Data Missing ⚠",VLOOKUP(M214,'G-3 Multipliers'!$L$3:$N$6,2,FALSE)))</f>
        <v/>
      </c>
      <c r="O214" s="452" t="str">
        <f>IF(M214="","",IF(VLOOKUP(M214,'G-3 Multipliers'!$L$3:$N$6,3,FALSE)=0,"Spatial Data Missing ⚠",VLOOKUP(M214,'G-3 Multipliers'!$L$3:$N$6,3,FALSE)))</f>
        <v/>
      </c>
      <c r="P214" s="369" t="str">
        <f>IFERROR(VLOOKUP(G214,'G-1 All Habitats'!$B$2:$M$134,12,FALSE),"")</f>
        <v/>
      </c>
      <c r="Q214" s="725" t="str">
        <f>IFERROR(IF(P214="","",IF(AND(P214='G-1 All Habitats'!$X$3,W214&gt;0),X214+(Y214*S214),IF(AND(P214='G-1 All Habitats'!$X$3,V214&gt;0),X214+(Y214*S214),IF(AND(P214='G-1 All Habitats'!$X$3,AG214&gt;0),"Any Loss Unacceptable  ⚠",IF(AND(P214='G-1 All Habitats'!$X$3,Z214&gt;0),"Any Loss Unacceptable ⚠",H214*J214*L214*O214*S214))))),"Check Data ⚠")</f>
        <v/>
      </c>
      <c r="R214" s="516"/>
      <c r="S214" s="724" t="str">
        <f>IF(R214="","",IF(VLOOKUP(R214,'G-3 Multipliers'!$S$3:$T$10,2,FALSE)=0,"Spatial Data Missing ⚠",VLOOKUP(R214,'G-3 Multipliers'!$S$3:$T$10,2,FALSE)))</f>
        <v/>
      </c>
      <c r="T214" s="376" t="str">
        <f>IFERROR(IF(P214="","",IF(AND(P214='G-1 All Habitats'!$X$3,W214&gt;0),X214+Y214,IF(AND(P214='G-1 All Habitats'!$X$3,V214&gt;0),X214+Y214,IF(AND(P214='G-1 All Habitats'!$X$3,AG214&gt;0),"Any Loss Unacceptable ⚠", IF(R214="","", IF(AND(P214='G-1 All Habitats'!$X$3,Z214&gt;0),"Any Loss Unacceptable ⚠",H214*J214*L214*O214)))))),"Check Data ⚠")</f>
        <v/>
      </c>
      <c r="U214" s="38"/>
      <c r="V214" s="54"/>
      <c r="W214" s="55"/>
      <c r="X214" s="374" t="str">
        <f t="shared" si="31"/>
        <v/>
      </c>
      <c r="Y214" s="374" t="str">
        <f t="shared" si="32"/>
        <v/>
      </c>
      <c r="Z214" s="374" t="str">
        <f>IF(E214="","",IF(H214&lt;V214+W214,"Error in Areas ▲",IF(P214&lt;&gt;'G-1 All Habitats'!$X$3,H214-V214-W214,IF(AND(P214='G-1 All Habitats'!$X$3,AB214="Yes"),"Unacceptable Loss ⚠",IF(AND(P214='G-1 All Habitats'!$X$3,AB214="No"),AG214,IF(AND(P214='G-1 All Habitats'!$X$3,AB214=""),AG214,IF(AND(P214='G-1 All Habitats'!$X$3,AG214="None",AG214),IF(AND(P214='G-1 All Habitats'!$X$3,AG214&gt;0),H214-V214-W214))))))))</f>
        <v/>
      </c>
      <c r="AA214" s="405" t="str">
        <f>IFERROR(IF(H214="","",IF(H214-V214-W214=0&lt;0,"Error in Areas ▲",IF(V214+W214&gt;H214,"Error in Areas ▲",IF(AND(P214='G-1 All Habitats'!$X$3,AB214="Yes"),"Alternative Compensation ✓",IF(Z214=0,0,IF(P214='G-1 All Habitats'!$X$3,"Any Loss Unacceptable ▲",T214-X214-Y214)))))),"Check Data ⚠")</f>
        <v/>
      </c>
      <c r="AB214" s="837"/>
      <c r="AC214" s="119"/>
      <c r="AD214" s="528"/>
      <c r="AE214" s="120"/>
      <c r="AF214" s="687"/>
      <c r="AG214" s="744" t="str">
        <f>IF(P214="","",IF(P214='G-1 All Habitats'!$X$3,H214-V214-W214,"None"))</f>
        <v/>
      </c>
      <c r="AH214" s="744" t="str">
        <f t="shared" si="33"/>
        <v/>
      </c>
      <c r="AJ214" s="124" t="str">
        <f t="shared" si="34"/>
        <v/>
      </c>
      <c r="AK214" s="124" t="str">
        <f t="shared" si="35"/>
        <v/>
      </c>
      <c r="AL214" s="124" t="str">
        <f>IF(I214="","",IF(#REF!&gt;0,TRUE,FALSE))</f>
        <v/>
      </c>
      <c r="AM214" s="124">
        <v>204</v>
      </c>
      <c r="AN214" s="124"/>
      <c r="AO214" s="124" t="str">
        <f t="array" ref="AO214">IFERROR(INDEX($AM$11:$AM$259, MATCH(0, IF(TRUE=$AJ$11:$AJ$259, COUNTIF($AO$10:$AO213, $AM$11:$AM$259), ""), 0)),"")</f>
        <v/>
      </c>
      <c r="AP214" s="124" t="str">
        <f t="array" ref="AP214">IFERROR(INDEX($AM$11:$AM$259, MATCH(0, IF(TRUE=$AK$11:$AK$259, COUNTIF($AP$10:$AP213, $AM$11:$AM$259), ""), 0)),"")</f>
        <v/>
      </c>
      <c r="AQ214" s="124" t="str">
        <f t="array" ref="AQ214">IFERROR(INDEX($AM$11:$AM$259, MATCH(0, IF(TRUE=$AL$11:$AL$259, COUNTIF($AQ$10:$AQ213, $AM$11:$AM$259), ""), 0)),"")</f>
        <v/>
      </c>
      <c r="AU214" s="30">
        <f t="shared" si="36"/>
        <v>0</v>
      </c>
      <c r="AY214" s="374" t="str">
        <f t="shared" si="37"/>
        <v/>
      </c>
    </row>
    <row r="215" spans="1:51">
      <c r="A215" s="30" t="str">
        <f>IFERROR(INDEX('G-1 All Habitats'!$AG$3:$AG$17,MATCH(E215,'G-1 All Habitats'!$AF$3:$AF$17,0)),"")</f>
        <v/>
      </c>
      <c r="B215" s="30" t="str">
        <f>IFERROR(INDEX('G-8 Condition Look up'!$I$4:$I$135,MATCH(G215,'G-8 Condition Look up'!$A$4:$A$135,0)),"")</f>
        <v/>
      </c>
      <c r="D215" s="110">
        <v>205</v>
      </c>
      <c r="E215" s="339"/>
      <c r="F215" s="340"/>
      <c r="G215" s="295" t="str">
        <f>IFERROR(INDEX('G-1 All Habitats'!$B$3:$B$134,MATCH(F215,'G-1 All Habitats'!$A$3:$A$134,0)),"")</f>
        <v/>
      </c>
      <c r="H215" s="139"/>
      <c r="I215" s="722" t="str">
        <f>IF(G215="","",VLOOKUP(G215,'G-1 All Habitats'!$B$2:$M$134,10,FALSE))</f>
        <v/>
      </c>
      <c r="J215" s="490" t="str">
        <f>IFERROR(VLOOKUP(I215,'G-1 All Habitats'!$V$3:$W$7,2,FALSE),"")</f>
        <v/>
      </c>
      <c r="K215" s="114"/>
      <c r="L215" s="490" t="str">
        <f>IFERROR(INDEX('G-8 Condition Look up'!$A$3:$H$135,MATCH(G215,'G-8 Condition Look up'!$A$3:$A$135,0),MATCH(K215,'G-8 Condition Look up'!$A$3:$H$3,0)),"")</f>
        <v/>
      </c>
      <c r="M215" s="738"/>
      <c r="N215" s="404" t="str">
        <f>IF(M215="","",IF(VLOOKUP(M215,'G-3 Multipliers'!$L$3:$N$6,2,FALSE)=0,"Spatial Data Missing ⚠",VLOOKUP(M215,'G-3 Multipliers'!$L$3:$N$6,2,FALSE)))</f>
        <v/>
      </c>
      <c r="O215" s="452" t="str">
        <f>IF(M215="","",IF(VLOOKUP(M215,'G-3 Multipliers'!$L$3:$N$6,3,FALSE)=0,"Spatial Data Missing ⚠",VLOOKUP(M215,'G-3 Multipliers'!$L$3:$N$6,3,FALSE)))</f>
        <v/>
      </c>
      <c r="P215" s="369" t="str">
        <f>IFERROR(VLOOKUP(G215,'G-1 All Habitats'!$B$2:$M$134,12,FALSE),"")</f>
        <v/>
      </c>
      <c r="Q215" s="725" t="str">
        <f>IFERROR(IF(P215="","",IF(AND(P215='G-1 All Habitats'!$X$3,W215&gt;0),X215+(Y215*S215),IF(AND(P215='G-1 All Habitats'!$X$3,V215&gt;0),X215+(Y215*S215),IF(AND(P215='G-1 All Habitats'!$X$3,AG215&gt;0),"Any Loss Unacceptable  ⚠",IF(AND(P215='G-1 All Habitats'!$X$3,Z215&gt;0),"Any Loss Unacceptable ⚠",H215*J215*L215*O215*S215))))),"Check Data ⚠")</f>
        <v/>
      </c>
      <c r="R215" s="516"/>
      <c r="S215" s="724" t="str">
        <f>IF(R215="","",IF(VLOOKUP(R215,'G-3 Multipliers'!$S$3:$T$10,2,FALSE)=0,"Spatial Data Missing ⚠",VLOOKUP(R215,'G-3 Multipliers'!$S$3:$T$10,2,FALSE)))</f>
        <v/>
      </c>
      <c r="T215" s="376" t="str">
        <f>IFERROR(IF(P215="","",IF(AND(P215='G-1 All Habitats'!$X$3,W215&gt;0),X215+Y215,IF(AND(P215='G-1 All Habitats'!$X$3,V215&gt;0),X215+Y215,IF(AND(P215='G-1 All Habitats'!$X$3,AG215&gt;0),"Any Loss Unacceptable ⚠", IF(R215="","", IF(AND(P215='G-1 All Habitats'!$X$3,Z215&gt;0),"Any Loss Unacceptable ⚠",H215*J215*L215*O215)))))),"Check Data ⚠")</f>
        <v/>
      </c>
      <c r="U215" s="38"/>
      <c r="V215" s="54"/>
      <c r="W215" s="55"/>
      <c r="X215" s="374" t="str">
        <f t="shared" si="31"/>
        <v/>
      </c>
      <c r="Y215" s="374" t="str">
        <f t="shared" si="32"/>
        <v/>
      </c>
      <c r="Z215" s="374" t="str">
        <f>IF(E215="","",IF(H215&lt;V215+W215,"Error in Areas ▲",IF(P215&lt;&gt;'G-1 All Habitats'!$X$3,H215-V215-W215,IF(AND(P215='G-1 All Habitats'!$X$3,AB215="Yes"),"Unacceptable Loss ⚠",IF(AND(P215='G-1 All Habitats'!$X$3,AB215="No"),AG215,IF(AND(P215='G-1 All Habitats'!$X$3,AB215=""),AG215,IF(AND(P215='G-1 All Habitats'!$X$3,AG215="None",AG215),IF(AND(P215='G-1 All Habitats'!$X$3,AG215&gt;0),H215-V215-W215))))))))</f>
        <v/>
      </c>
      <c r="AA215" s="405" t="str">
        <f>IFERROR(IF(H215="","",IF(H215-V215-W215=0&lt;0,"Error in Areas ▲",IF(V215+W215&gt;H215,"Error in Areas ▲",IF(AND(P215='G-1 All Habitats'!$X$3,AB215="Yes"),"Alternative Compensation ✓",IF(Z215=0,0,IF(P215='G-1 All Habitats'!$X$3,"Any Loss Unacceptable ▲",T215-X215-Y215)))))),"Check Data ⚠")</f>
        <v/>
      </c>
      <c r="AB215" s="837"/>
      <c r="AC215" s="119"/>
      <c r="AD215" s="528"/>
      <c r="AE215" s="120"/>
      <c r="AF215" s="687"/>
      <c r="AG215" s="744" t="str">
        <f>IF(P215="","",IF(P215='G-1 All Habitats'!$X$3,H215-V215-W215,"None"))</f>
        <v/>
      </c>
      <c r="AH215" s="744" t="str">
        <f t="shared" si="33"/>
        <v/>
      </c>
      <c r="AJ215" s="124" t="str">
        <f t="shared" si="34"/>
        <v/>
      </c>
      <c r="AK215" s="124" t="str">
        <f t="shared" si="35"/>
        <v/>
      </c>
      <c r="AL215" s="124" t="str">
        <f>IF(I215="","",IF(#REF!&gt;0,TRUE,FALSE))</f>
        <v/>
      </c>
      <c r="AM215" s="124">
        <v>205</v>
      </c>
      <c r="AN215" s="124"/>
      <c r="AO215" s="124" t="str">
        <f t="array" ref="AO215">IFERROR(INDEX($AM$11:$AM$259, MATCH(0, IF(TRUE=$AJ$11:$AJ$259, COUNTIF($AO$10:$AO214, $AM$11:$AM$259), ""), 0)),"")</f>
        <v/>
      </c>
      <c r="AP215" s="124" t="str">
        <f t="array" ref="AP215">IFERROR(INDEX($AM$11:$AM$259, MATCH(0, IF(TRUE=$AK$11:$AK$259, COUNTIF($AP$10:$AP214, $AM$11:$AM$259), ""), 0)),"")</f>
        <v/>
      </c>
      <c r="AQ215" s="124" t="str">
        <f t="array" ref="AQ215">IFERROR(INDEX($AM$11:$AM$259, MATCH(0, IF(TRUE=$AL$11:$AL$259, COUNTIF($AQ$10:$AQ214, $AM$11:$AM$259), ""), 0)),"")</f>
        <v/>
      </c>
      <c r="AU215" s="30">
        <f t="shared" si="36"/>
        <v>0</v>
      </c>
      <c r="AY215" s="374" t="str">
        <f t="shared" si="37"/>
        <v/>
      </c>
    </row>
    <row r="216" spans="1:51">
      <c r="A216" s="30" t="str">
        <f>IFERROR(INDEX('G-1 All Habitats'!$AG$3:$AG$17,MATCH(E216,'G-1 All Habitats'!$AF$3:$AF$17,0)),"")</f>
        <v/>
      </c>
      <c r="B216" s="30" t="str">
        <f>IFERROR(INDEX('G-8 Condition Look up'!$I$4:$I$135,MATCH(G216,'G-8 Condition Look up'!$A$4:$A$135,0)),"")</f>
        <v/>
      </c>
      <c r="D216" s="110">
        <v>206</v>
      </c>
      <c r="E216" s="339"/>
      <c r="F216" s="340"/>
      <c r="G216" s="295" t="str">
        <f>IFERROR(INDEX('G-1 All Habitats'!$B$3:$B$134,MATCH(F216,'G-1 All Habitats'!$A$3:$A$134,0)),"")</f>
        <v/>
      </c>
      <c r="H216" s="139"/>
      <c r="I216" s="722" t="str">
        <f>IF(G216="","",VLOOKUP(G216,'G-1 All Habitats'!$B$2:$M$134,10,FALSE))</f>
        <v/>
      </c>
      <c r="J216" s="490" t="str">
        <f>IFERROR(VLOOKUP(I216,'G-1 All Habitats'!$V$3:$W$7,2,FALSE),"")</f>
        <v/>
      </c>
      <c r="K216" s="114"/>
      <c r="L216" s="490" t="str">
        <f>IFERROR(INDEX('G-8 Condition Look up'!$A$3:$H$135,MATCH(G216,'G-8 Condition Look up'!$A$3:$A$135,0),MATCH(K216,'G-8 Condition Look up'!$A$3:$H$3,0)),"")</f>
        <v/>
      </c>
      <c r="M216" s="738"/>
      <c r="N216" s="404" t="str">
        <f>IF(M216="","",IF(VLOOKUP(M216,'G-3 Multipliers'!$L$3:$N$6,2,FALSE)=0,"Spatial Data Missing ⚠",VLOOKUP(M216,'G-3 Multipliers'!$L$3:$N$6,2,FALSE)))</f>
        <v/>
      </c>
      <c r="O216" s="452" t="str">
        <f>IF(M216="","",IF(VLOOKUP(M216,'G-3 Multipliers'!$L$3:$N$6,3,FALSE)=0,"Spatial Data Missing ⚠",VLOOKUP(M216,'G-3 Multipliers'!$L$3:$N$6,3,FALSE)))</f>
        <v/>
      </c>
      <c r="P216" s="369" t="str">
        <f>IFERROR(VLOOKUP(G216,'G-1 All Habitats'!$B$2:$M$134,12,FALSE),"")</f>
        <v/>
      </c>
      <c r="Q216" s="725" t="str">
        <f>IFERROR(IF(P216="","",IF(AND(P216='G-1 All Habitats'!$X$3,W216&gt;0),X216+(Y216*S216),IF(AND(P216='G-1 All Habitats'!$X$3,V216&gt;0),X216+(Y216*S216),IF(AND(P216='G-1 All Habitats'!$X$3,AG216&gt;0),"Any Loss Unacceptable  ⚠",IF(AND(P216='G-1 All Habitats'!$X$3,Z216&gt;0),"Any Loss Unacceptable ⚠",H216*J216*L216*O216*S216))))),"Check Data ⚠")</f>
        <v/>
      </c>
      <c r="R216" s="516"/>
      <c r="S216" s="724" t="str">
        <f>IF(R216="","",IF(VLOOKUP(R216,'G-3 Multipliers'!$S$3:$T$10,2,FALSE)=0,"Spatial Data Missing ⚠",VLOOKUP(R216,'G-3 Multipliers'!$S$3:$T$10,2,FALSE)))</f>
        <v/>
      </c>
      <c r="T216" s="376" t="str">
        <f>IFERROR(IF(P216="","",IF(AND(P216='G-1 All Habitats'!$X$3,W216&gt;0),X216+Y216,IF(AND(P216='G-1 All Habitats'!$X$3,V216&gt;0),X216+Y216,IF(AND(P216='G-1 All Habitats'!$X$3,AG216&gt;0),"Any Loss Unacceptable ⚠", IF(R216="","", IF(AND(P216='G-1 All Habitats'!$X$3,Z216&gt;0),"Any Loss Unacceptable ⚠",H216*J216*L216*O216)))))),"Check Data ⚠")</f>
        <v/>
      </c>
      <c r="U216" s="38"/>
      <c r="V216" s="54"/>
      <c r="W216" s="55"/>
      <c r="X216" s="374" t="str">
        <f t="shared" si="31"/>
        <v/>
      </c>
      <c r="Y216" s="374" t="str">
        <f t="shared" si="32"/>
        <v/>
      </c>
      <c r="Z216" s="374" t="str">
        <f>IF(E216="","",IF(H216&lt;V216+W216,"Error in Areas ▲",IF(P216&lt;&gt;'G-1 All Habitats'!$X$3,H216-V216-W216,IF(AND(P216='G-1 All Habitats'!$X$3,AB216="Yes"),"Unacceptable Loss ⚠",IF(AND(P216='G-1 All Habitats'!$X$3,AB216="No"),AG216,IF(AND(P216='G-1 All Habitats'!$X$3,AB216=""),AG216,IF(AND(P216='G-1 All Habitats'!$X$3,AG216="None",AG216),IF(AND(P216='G-1 All Habitats'!$X$3,AG216&gt;0),H216-V216-W216))))))))</f>
        <v/>
      </c>
      <c r="AA216" s="405" t="str">
        <f>IFERROR(IF(H216="","",IF(H216-V216-W216=0&lt;0,"Error in Areas ▲",IF(V216+W216&gt;H216,"Error in Areas ▲",IF(AND(P216='G-1 All Habitats'!$X$3,AB216="Yes"),"Alternative Compensation ✓",IF(Z216=0,0,IF(P216='G-1 All Habitats'!$X$3,"Any Loss Unacceptable ▲",T216-X216-Y216)))))),"Check Data ⚠")</f>
        <v/>
      </c>
      <c r="AB216" s="837"/>
      <c r="AC216" s="119"/>
      <c r="AD216" s="528"/>
      <c r="AE216" s="120"/>
      <c r="AF216" s="687"/>
      <c r="AG216" s="744" t="str">
        <f>IF(P216="","",IF(P216='G-1 All Habitats'!$X$3,H216-V216-W216,"None"))</f>
        <v/>
      </c>
      <c r="AH216" s="744" t="str">
        <f t="shared" si="33"/>
        <v/>
      </c>
      <c r="AJ216" s="124" t="str">
        <f t="shared" si="34"/>
        <v/>
      </c>
      <c r="AK216" s="124" t="str">
        <f t="shared" si="35"/>
        <v/>
      </c>
      <c r="AL216" s="124" t="str">
        <f>IF(I216="","",IF(#REF!&gt;0,TRUE,FALSE))</f>
        <v/>
      </c>
      <c r="AM216" s="124">
        <v>206</v>
      </c>
      <c r="AN216" s="124"/>
      <c r="AO216" s="124" t="str">
        <f t="array" ref="AO216">IFERROR(INDEX($AM$11:$AM$259, MATCH(0, IF(TRUE=$AJ$11:$AJ$259, COUNTIF($AO$10:$AO215, $AM$11:$AM$259), ""), 0)),"")</f>
        <v/>
      </c>
      <c r="AP216" s="124" t="str">
        <f t="array" ref="AP216">IFERROR(INDEX($AM$11:$AM$259, MATCH(0, IF(TRUE=$AK$11:$AK$259, COUNTIF($AP$10:$AP215, $AM$11:$AM$259), ""), 0)),"")</f>
        <v/>
      </c>
      <c r="AQ216" s="124" t="str">
        <f t="array" ref="AQ216">IFERROR(INDEX($AM$11:$AM$259, MATCH(0, IF(TRUE=$AL$11:$AL$259, COUNTIF($AQ$10:$AQ215, $AM$11:$AM$259), ""), 0)),"")</f>
        <v/>
      </c>
      <c r="AU216" s="30">
        <f t="shared" si="36"/>
        <v>0</v>
      </c>
      <c r="AY216" s="374" t="str">
        <f t="shared" si="37"/>
        <v/>
      </c>
    </row>
    <row r="217" spans="1:51">
      <c r="A217" s="30" t="str">
        <f>IFERROR(INDEX('G-1 All Habitats'!$AG$3:$AG$17,MATCH(E217,'G-1 All Habitats'!$AF$3:$AF$17,0)),"")</f>
        <v/>
      </c>
      <c r="B217" s="30" t="str">
        <f>IFERROR(INDEX('G-8 Condition Look up'!$I$4:$I$135,MATCH(G217,'G-8 Condition Look up'!$A$4:$A$135,0)),"")</f>
        <v/>
      </c>
      <c r="D217" s="110">
        <v>207</v>
      </c>
      <c r="E217" s="339"/>
      <c r="F217" s="340"/>
      <c r="G217" s="295" t="str">
        <f>IFERROR(INDEX('G-1 All Habitats'!$B$3:$B$134,MATCH(F217,'G-1 All Habitats'!$A$3:$A$134,0)),"")</f>
        <v/>
      </c>
      <c r="H217" s="139"/>
      <c r="I217" s="722" t="str">
        <f>IF(G217="","",VLOOKUP(G217,'G-1 All Habitats'!$B$2:$M$134,10,FALSE))</f>
        <v/>
      </c>
      <c r="J217" s="490" t="str">
        <f>IFERROR(VLOOKUP(I217,'G-1 All Habitats'!$V$3:$W$7,2,FALSE),"")</f>
        <v/>
      </c>
      <c r="K217" s="114"/>
      <c r="L217" s="490" t="str">
        <f>IFERROR(INDEX('G-8 Condition Look up'!$A$3:$H$135,MATCH(G217,'G-8 Condition Look up'!$A$3:$A$135,0),MATCH(K217,'G-8 Condition Look up'!$A$3:$H$3,0)),"")</f>
        <v/>
      </c>
      <c r="M217" s="738"/>
      <c r="N217" s="404" t="str">
        <f>IF(M217="","",IF(VLOOKUP(M217,'G-3 Multipliers'!$L$3:$N$6,2,FALSE)=0,"Spatial Data Missing ⚠",VLOOKUP(M217,'G-3 Multipliers'!$L$3:$N$6,2,FALSE)))</f>
        <v/>
      </c>
      <c r="O217" s="452" t="str">
        <f>IF(M217="","",IF(VLOOKUP(M217,'G-3 Multipliers'!$L$3:$N$6,3,FALSE)=0,"Spatial Data Missing ⚠",VLOOKUP(M217,'G-3 Multipliers'!$L$3:$N$6,3,FALSE)))</f>
        <v/>
      </c>
      <c r="P217" s="369" t="str">
        <f>IFERROR(VLOOKUP(G217,'G-1 All Habitats'!$B$2:$M$134,12,FALSE),"")</f>
        <v/>
      </c>
      <c r="Q217" s="725" t="str">
        <f>IFERROR(IF(P217="","",IF(AND(P217='G-1 All Habitats'!$X$3,W217&gt;0),X217+(Y217*S217),IF(AND(P217='G-1 All Habitats'!$X$3,V217&gt;0),X217+(Y217*S217),IF(AND(P217='G-1 All Habitats'!$X$3,AG217&gt;0),"Any Loss Unacceptable  ⚠",IF(AND(P217='G-1 All Habitats'!$X$3,Z217&gt;0),"Any Loss Unacceptable ⚠",H217*J217*L217*O217*S217))))),"Check Data ⚠")</f>
        <v/>
      </c>
      <c r="R217" s="516"/>
      <c r="S217" s="724" t="str">
        <f>IF(R217="","",IF(VLOOKUP(R217,'G-3 Multipliers'!$S$3:$T$10,2,FALSE)=0,"Spatial Data Missing ⚠",VLOOKUP(R217,'G-3 Multipliers'!$S$3:$T$10,2,FALSE)))</f>
        <v/>
      </c>
      <c r="T217" s="376" t="str">
        <f>IFERROR(IF(P217="","",IF(AND(P217='G-1 All Habitats'!$X$3,W217&gt;0),X217+Y217,IF(AND(P217='G-1 All Habitats'!$X$3,V217&gt;0),X217+Y217,IF(AND(P217='G-1 All Habitats'!$X$3,AG217&gt;0),"Any Loss Unacceptable ⚠", IF(R217="","", IF(AND(P217='G-1 All Habitats'!$X$3,Z217&gt;0),"Any Loss Unacceptable ⚠",H217*J217*L217*O217)))))),"Check Data ⚠")</f>
        <v/>
      </c>
      <c r="U217" s="38"/>
      <c r="V217" s="54"/>
      <c r="W217" s="55"/>
      <c r="X217" s="374" t="str">
        <f t="shared" si="31"/>
        <v/>
      </c>
      <c r="Y217" s="374" t="str">
        <f t="shared" si="32"/>
        <v/>
      </c>
      <c r="Z217" s="374" t="str">
        <f>IF(E217="","",IF(H217&lt;V217+W217,"Error in Areas ▲",IF(P217&lt;&gt;'G-1 All Habitats'!$X$3,H217-V217-W217,IF(AND(P217='G-1 All Habitats'!$X$3,AB217="Yes"),"Unacceptable Loss ⚠",IF(AND(P217='G-1 All Habitats'!$X$3,AB217="No"),AG217,IF(AND(P217='G-1 All Habitats'!$X$3,AB217=""),AG217,IF(AND(P217='G-1 All Habitats'!$X$3,AG217="None",AG217),IF(AND(P217='G-1 All Habitats'!$X$3,AG217&gt;0),H217-V217-W217))))))))</f>
        <v/>
      </c>
      <c r="AA217" s="405" t="str">
        <f>IFERROR(IF(H217="","",IF(H217-V217-W217=0&lt;0,"Error in Areas ▲",IF(V217+W217&gt;H217,"Error in Areas ▲",IF(AND(P217='G-1 All Habitats'!$X$3,AB217="Yes"),"Alternative Compensation ✓",IF(Z217=0,0,IF(P217='G-1 All Habitats'!$X$3,"Any Loss Unacceptable ▲",T217-X217-Y217)))))),"Check Data ⚠")</f>
        <v/>
      </c>
      <c r="AB217" s="837"/>
      <c r="AC217" s="119"/>
      <c r="AD217" s="528"/>
      <c r="AE217" s="120"/>
      <c r="AF217" s="687"/>
      <c r="AG217" s="744" t="str">
        <f>IF(P217="","",IF(P217='G-1 All Habitats'!$X$3,H217-V217-W217,"None"))</f>
        <v/>
      </c>
      <c r="AH217" s="744" t="str">
        <f t="shared" si="33"/>
        <v/>
      </c>
      <c r="AJ217" s="124" t="str">
        <f t="shared" si="34"/>
        <v/>
      </c>
      <c r="AK217" s="124" t="str">
        <f t="shared" si="35"/>
        <v/>
      </c>
      <c r="AL217" s="124" t="str">
        <f>IF(I217="","",IF(#REF!&gt;0,TRUE,FALSE))</f>
        <v/>
      </c>
      <c r="AM217" s="124">
        <v>207</v>
      </c>
      <c r="AN217" s="124"/>
      <c r="AO217" s="124" t="str">
        <f t="array" ref="AO217">IFERROR(INDEX($AM$11:$AM$259, MATCH(0, IF(TRUE=$AJ$11:$AJ$259, COUNTIF($AO$10:$AO216, $AM$11:$AM$259), ""), 0)),"")</f>
        <v/>
      </c>
      <c r="AP217" s="124" t="str">
        <f t="array" ref="AP217">IFERROR(INDEX($AM$11:$AM$259, MATCH(0, IF(TRUE=$AK$11:$AK$259, COUNTIF($AP$10:$AP216, $AM$11:$AM$259), ""), 0)),"")</f>
        <v/>
      </c>
      <c r="AQ217" s="124" t="str">
        <f t="array" ref="AQ217">IFERROR(INDEX($AM$11:$AM$259, MATCH(0, IF(TRUE=$AL$11:$AL$259, COUNTIF($AQ$10:$AQ216, $AM$11:$AM$259), ""), 0)),"")</f>
        <v/>
      </c>
      <c r="AU217" s="30">
        <f t="shared" si="36"/>
        <v>0</v>
      </c>
      <c r="AY217" s="374" t="str">
        <f t="shared" si="37"/>
        <v/>
      </c>
    </row>
    <row r="218" spans="1:51">
      <c r="A218" s="30" t="str">
        <f>IFERROR(INDEX('G-1 All Habitats'!$AG$3:$AG$17,MATCH(E218,'G-1 All Habitats'!$AF$3:$AF$17,0)),"")</f>
        <v/>
      </c>
      <c r="B218" s="30" t="str">
        <f>IFERROR(INDEX('G-8 Condition Look up'!$I$4:$I$135,MATCH(G218,'G-8 Condition Look up'!$A$4:$A$135,0)),"")</f>
        <v/>
      </c>
      <c r="D218" s="110">
        <v>208</v>
      </c>
      <c r="E218" s="339"/>
      <c r="F218" s="340"/>
      <c r="G218" s="295" t="str">
        <f>IFERROR(INDEX('G-1 All Habitats'!$B$3:$B$134,MATCH(F218,'G-1 All Habitats'!$A$3:$A$134,0)),"")</f>
        <v/>
      </c>
      <c r="H218" s="139"/>
      <c r="I218" s="722" t="str">
        <f>IF(G218="","",VLOOKUP(G218,'G-1 All Habitats'!$B$2:$M$134,10,FALSE))</f>
        <v/>
      </c>
      <c r="J218" s="490" t="str">
        <f>IFERROR(VLOOKUP(I218,'G-1 All Habitats'!$V$3:$W$7,2,FALSE),"")</f>
        <v/>
      </c>
      <c r="K218" s="114"/>
      <c r="L218" s="490" t="str">
        <f>IFERROR(INDEX('G-8 Condition Look up'!$A$3:$H$135,MATCH(G218,'G-8 Condition Look up'!$A$3:$A$135,0),MATCH(K218,'G-8 Condition Look up'!$A$3:$H$3,0)),"")</f>
        <v/>
      </c>
      <c r="M218" s="738"/>
      <c r="N218" s="404" t="str">
        <f>IF(M218="","",IF(VLOOKUP(M218,'G-3 Multipliers'!$L$3:$N$6,2,FALSE)=0,"Spatial Data Missing ⚠",VLOOKUP(M218,'G-3 Multipliers'!$L$3:$N$6,2,FALSE)))</f>
        <v/>
      </c>
      <c r="O218" s="452" t="str">
        <f>IF(M218="","",IF(VLOOKUP(M218,'G-3 Multipliers'!$L$3:$N$6,3,FALSE)=0,"Spatial Data Missing ⚠",VLOOKUP(M218,'G-3 Multipliers'!$L$3:$N$6,3,FALSE)))</f>
        <v/>
      </c>
      <c r="P218" s="369" t="str">
        <f>IFERROR(VLOOKUP(G218,'G-1 All Habitats'!$B$2:$M$134,12,FALSE),"")</f>
        <v/>
      </c>
      <c r="Q218" s="725" t="str">
        <f>IFERROR(IF(P218="","",IF(AND(P218='G-1 All Habitats'!$X$3,W218&gt;0),X218+(Y218*S218),IF(AND(P218='G-1 All Habitats'!$X$3,V218&gt;0),X218+(Y218*S218),IF(AND(P218='G-1 All Habitats'!$X$3,AG218&gt;0),"Any Loss Unacceptable  ⚠",IF(AND(P218='G-1 All Habitats'!$X$3,Z218&gt;0),"Any Loss Unacceptable ⚠",H218*J218*L218*O218*S218))))),"Check Data ⚠")</f>
        <v/>
      </c>
      <c r="R218" s="516"/>
      <c r="S218" s="724" t="str">
        <f>IF(R218="","",IF(VLOOKUP(R218,'G-3 Multipliers'!$S$3:$T$10,2,FALSE)=0,"Spatial Data Missing ⚠",VLOOKUP(R218,'G-3 Multipliers'!$S$3:$T$10,2,FALSE)))</f>
        <v/>
      </c>
      <c r="T218" s="376" t="str">
        <f>IFERROR(IF(P218="","",IF(AND(P218='G-1 All Habitats'!$X$3,W218&gt;0),X218+Y218,IF(AND(P218='G-1 All Habitats'!$X$3,V218&gt;0),X218+Y218,IF(AND(P218='G-1 All Habitats'!$X$3,AG218&gt;0),"Any Loss Unacceptable ⚠", IF(R218="","", IF(AND(P218='G-1 All Habitats'!$X$3,Z218&gt;0),"Any Loss Unacceptable ⚠",H218*J218*L218*O218)))))),"Check Data ⚠")</f>
        <v/>
      </c>
      <c r="U218" s="38"/>
      <c r="V218" s="54"/>
      <c r="W218" s="55"/>
      <c r="X218" s="374" t="str">
        <f t="shared" si="31"/>
        <v/>
      </c>
      <c r="Y218" s="374" t="str">
        <f t="shared" si="32"/>
        <v/>
      </c>
      <c r="Z218" s="374" t="str">
        <f>IF(E218="","",IF(H218&lt;V218+W218,"Error in Areas ▲",IF(P218&lt;&gt;'G-1 All Habitats'!$X$3,H218-V218-W218,IF(AND(P218='G-1 All Habitats'!$X$3,AB218="Yes"),"Unacceptable Loss ⚠",IF(AND(P218='G-1 All Habitats'!$X$3,AB218="No"),AG218,IF(AND(P218='G-1 All Habitats'!$X$3,AB218=""),AG218,IF(AND(P218='G-1 All Habitats'!$X$3,AG218="None",AG218),IF(AND(P218='G-1 All Habitats'!$X$3,AG218&gt;0),H218-V218-W218))))))))</f>
        <v/>
      </c>
      <c r="AA218" s="405" t="str">
        <f>IFERROR(IF(H218="","",IF(H218-V218-W218=0&lt;0,"Error in Areas ▲",IF(V218+W218&gt;H218,"Error in Areas ▲",IF(AND(P218='G-1 All Habitats'!$X$3,AB218="Yes"),"Alternative Compensation ✓",IF(Z218=0,0,IF(P218='G-1 All Habitats'!$X$3,"Any Loss Unacceptable ▲",T218-X218-Y218)))))),"Check Data ⚠")</f>
        <v/>
      </c>
      <c r="AB218" s="837"/>
      <c r="AC218" s="119"/>
      <c r="AD218" s="528"/>
      <c r="AE218" s="120"/>
      <c r="AF218" s="687"/>
      <c r="AG218" s="744" t="str">
        <f>IF(P218="","",IF(P218='G-1 All Habitats'!$X$3,H218-V218-W218,"None"))</f>
        <v/>
      </c>
      <c r="AH218" s="744" t="str">
        <f t="shared" si="33"/>
        <v/>
      </c>
      <c r="AJ218" s="124" t="str">
        <f t="shared" si="34"/>
        <v/>
      </c>
      <c r="AK218" s="124" t="str">
        <f t="shared" si="35"/>
        <v/>
      </c>
      <c r="AL218" s="124" t="str">
        <f>IF(I218="","",IF(#REF!&gt;0,TRUE,FALSE))</f>
        <v/>
      </c>
      <c r="AM218" s="124">
        <v>208</v>
      </c>
      <c r="AN218" s="124"/>
      <c r="AO218" s="124" t="str">
        <f t="array" ref="AO218">IFERROR(INDEX($AM$11:$AM$259, MATCH(0, IF(TRUE=$AJ$11:$AJ$259, COUNTIF($AO$10:$AO217, $AM$11:$AM$259), ""), 0)),"")</f>
        <v/>
      </c>
      <c r="AP218" s="124" t="str">
        <f t="array" ref="AP218">IFERROR(INDEX($AM$11:$AM$259, MATCH(0, IF(TRUE=$AK$11:$AK$259, COUNTIF($AP$10:$AP217, $AM$11:$AM$259), ""), 0)),"")</f>
        <v/>
      </c>
      <c r="AQ218" s="124" t="str">
        <f t="array" ref="AQ218">IFERROR(INDEX($AM$11:$AM$259, MATCH(0, IF(TRUE=$AL$11:$AL$259, COUNTIF($AQ$10:$AQ217, $AM$11:$AM$259), ""), 0)),"")</f>
        <v/>
      </c>
      <c r="AU218" s="30">
        <f t="shared" si="36"/>
        <v>0</v>
      </c>
      <c r="AY218" s="374" t="str">
        <f t="shared" si="37"/>
        <v/>
      </c>
    </row>
    <row r="219" spans="1:51">
      <c r="A219" s="30" t="str">
        <f>IFERROR(INDEX('G-1 All Habitats'!$AG$3:$AG$17,MATCH(E219,'G-1 All Habitats'!$AF$3:$AF$17,0)),"")</f>
        <v/>
      </c>
      <c r="B219" s="30" t="str">
        <f>IFERROR(INDEX('G-8 Condition Look up'!$I$4:$I$135,MATCH(G219,'G-8 Condition Look up'!$A$4:$A$135,0)),"")</f>
        <v/>
      </c>
      <c r="D219" s="110">
        <v>209</v>
      </c>
      <c r="E219" s="339"/>
      <c r="F219" s="340"/>
      <c r="G219" s="295" t="str">
        <f>IFERROR(INDEX('G-1 All Habitats'!$B$3:$B$134,MATCH(F219,'G-1 All Habitats'!$A$3:$A$134,0)),"")</f>
        <v/>
      </c>
      <c r="H219" s="139"/>
      <c r="I219" s="722" t="str">
        <f>IF(G219="","",VLOOKUP(G219,'G-1 All Habitats'!$B$2:$M$134,10,FALSE))</f>
        <v/>
      </c>
      <c r="J219" s="490" t="str">
        <f>IFERROR(VLOOKUP(I219,'G-1 All Habitats'!$V$3:$W$7,2,FALSE),"")</f>
        <v/>
      </c>
      <c r="K219" s="114"/>
      <c r="L219" s="490" t="str">
        <f>IFERROR(INDEX('G-8 Condition Look up'!$A$3:$H$135,MATCH(G219,'G-8 Condition Look up'!$A$3:$A$135,0),MATCH(K219,'G-8 Condition Look up'!$A$3:$H$3,0)),"")</f>
        <v/>
      </c>
      <c r="M219" s="738"/>
      <c r="N219" s="404" t="str">
        <f>IF(M219="","",IF(VLOOKUP(M219,'G-3 Multipliers'!$L$3:$N$6,2,FALSE)=0,"Spatial Data Missing ⚠",VLOOKUP(M219,'G-3 Multipliers'!$L$3:$N$6,2,FALSE)))</f>
        <v/>
      </c>
      <c r="O219" s="452" t="str">
        <f>IF(M219="","",IF(VLOOKUP(M219,'G-3 Multipliers'!$L$3:$N$6,3,FALSE)=0,"Spatial Data Missing ⚠",VLOOKUP(M219,'G-3 Multipliers'!$L$3:$N$6,3,FALSE)))</f>
        <v/>
      </c>
      <c r="P219" s="369" t="str">
        <f>IFERROR(VLOOKUP(G219,'G-1 All Habitats'!$B$2:$M$134,12,FALSE),"")</f>
        <v/>
      </c>
      <c r="Q219" s="725" t="str">
        <f>IFERROR(IF(P219="","",IF(AND(P219='G-1 All Habitats'!$X$3,W219&gt;0),X219+(Y219*S219),IF(AND(P219='G-1 All Habitats'!$X$3,V219&gt;0),X219+(Y219*S219),IF(AND(P219='G-1 All Habitats'!$X$3,AG219&gt;0),"Any Loss Unacceptable  ⚠",IF(AND(P219='G-1 All Habitats'!$X$3,Z219&gt;0),"Any Loss Unacceptable ⚠",H219*J219*L219*O219*S219))))),"Check Data ⚠")</f>
        <v/>
      </c>
      <c r="R219" s="516"/>
      <c r="S219" s="724" t="str">
        <f>IF(R219="","",IF(VLOOKUP(R219,'G-3 Multipliers'!$S$3:$T$10,2,FALSE)=0,"Spatial Data Missing ⚠",VLOOKUP(R219,'G-3 Multipliers'!$S$3:$T$10,2,FALSE)))</f>
        <v/>
      </c>
      <c r="T219" s="376" t="str">
        <f>IFERROR(IF(P219="","",IF(AND(P219='G-1 All Habitats'!$X$3,W219&gt;0),X219+Y219,IF(AND(P219='G-1 All Habitats'!$X$3,V219&gt;0),X219+Y219,IF(AND(P219='G-1 All Habitats'!$X$3,AG219&gt;0),"Any Loss Unacceptable ⚠", IF(R219="","", IF(AND(P219='G-1 All Habitats'!$X$3,Z219&gt;0),"Any Loss Unacceptable ⚠",H219*J219*L219*O219)))))),"Check Data ⚠")</f>
        <v/>
      </c>
      <c r="U219" s="38"/>
      <c r="V219" s="54"/>
      <c r="W219" s="55"/>
      <c r="X219" s="374" t="str">
        <f t="shared" si="31"/>
        <v/>
      </c>
      <c r="Y219" s="374" t="str">
        <f t="shared" si="32"/>
        <v/>
      </c>
      <c r="Z219" s="374" t="str">
        <f>IF(E219="","",IF(H219&lt;V219+W219,"Error in Areas ▲",IF(P219&lt;&gt;'G-1 All Habitats'!$X$3,H219-V219-W219,IF(AND(P219='G-1 All Habitats'!$X$3,AB219="Yes"),"Unacceptable Loss ⚠",IF(AND(P219='G-1 All Habitats'!$X$3,AB219="No"),AG219,IF(AND(P219='G-1 All Habitats'!$X$3,AB219=""),AG219,IF(AND(P219='G-1 All Habitats'!$X$3,AG219="None",AG219),IF(AND(P219='G-1 All Habitats'!$X$3,AG219&gt;0),H219-V219-W219))))))))</f>
        <v/>
      </c>
      <c r="AA219" s="405" t="str">
        <f>IFERROR(IF(H219="","",IF(H219-V219-W219=0&lt;0,"Error in Areas ▲",IF(V219+W219&gt;H219,"Error in Areas ▲",IF(AND(P219='G-1 All Habitats'!$X$3,AB219="Yes"),"Alternative Compensation ✓",IF(Z219=0,0,IF(P219='G-1 All Habitats'!$X$3,"Any Loss Unacceptable ▲",T219-X219-Y219)))))),"Check Data ⚠")</f>
        <v/>
      </c>
      <c r="AB219" s="837"/>
      <c r="AC219" s="119"/>
      <c r="AD219" s="528"/>
      <c r="AE219" s="120"/>
      <c r="AF219" s="687"/>
      <c r="AG219" s="744" t="str">
        <f>IF(P219="","",IF(P219='G-1 All Habitats'!$X$3,H219-V219-W219,"None"))</f>
        <v/>
      </c>
      <c r="AH219" s="744" t="str">
        <f t="shared" si="33"/>
        <v/>
      </c>
      <c r="AJ219" s="124" t="str">
        <f t="shared" si="34"/>
        <v/>
      </c>
      <c r="AK219" s="124" t="str">
        <f t="shared" si="35"/>
        <v/>
      </c>
      <c r="AL219" s="124" t="str">
        <f>IF(I219="","",IF(#REF!&gt;0,TRUE,FALSE))</f>
        <v/>
      </c>
      <c r="AM219" s="124">
        <v>209</v>
      </c>
      <c r="AN219" s="124"/>
      <c r="AO219" s="124" t="str">
        <f t="array" ref="AO219">IFERROR(INDEX($AM$11:$AM$259, MATCH(0, IF(TRUE=$AJ$11:$AJ$259, COUNTIF($AO$10:$AO218, $AM$11:$AM$259), ""), 0)),"")</f>
        <v/>
      </c>
      <c r="AP219" s="124" t="str">
        <f t="array" ref="AP219">IFERROR(INDEX($AM$11:$AM$259, MATCH(0, IF(TRUE=$AK$11:$AK$259, COUNTIF($AP$10:$AP218, $AM$11:$AM$259), ""), 0)),"")</f>
        <v/>
      </c>
      <c r="AQ219" s="124" t="str">
        <f t="array" ref="AQ219">IFERROR(INDEX($AM$11:$AM$259, MATCH(0, IF(TRUE=$AL$11:$AL$259, COUNTIF($AQ$10:$AQ218, $AM$11:$AM$259), ""), 0)),"")</f>
        <v/>
      </c>
      <c r="AU219" s="30">
        <f t="shared" si="36"/>
        <v>0</v>
      </c>
      <c r="AY219" s="374" t="str">
        <f t="shared" si="37"/>
        <v/>
      </c>
    </row>
    <row r="220" spans="1:51">
      <c r="A220" s="30" t="str">
        <f>IFERROR(INDEX('G-1 All Habitats'!$AG$3:$AG$17,MATCH(E220,'G-1 All Habitats'!$AF$3:$AF$17,0)),"")</f>
        <v/>
      </c>
      <c r="B220" s="30" t="str">
        <f>IFERROR(INDEX('G-8 Condition Look up'!$I$4:$I$135,MATCH(G220,'G-8 Condition Look up'!$A$4:$A$135,0)),"")</f>
        <v/>
      </c>
      <c r="D220" s="110">
        <v>210</v>
      </c>
      <c r="E220" s="339"/>
      <c r="F220" s="340"/>
      <c r="G220" s="295" t="str">
        <f>IFERROR(INDEX('G-1 All Habitats'!$B$3:$B$134,MATCH(F220,'G-1 All Habitats'!$A$3:$A$134,0)),"")</f>
        <v/>
      </c>
      <c r="H220" s="139"/>
      <c r="I220" s="722" t="str">
        <f>IF(G220="","",VLOOKUP(G220,'G-1 All Habitats'!$B$2:$M$134,10,FALSE))</f>
        <v/>
      </c>
      <c r="J220" s="490" t="str">
        <f>IFERROR(VLOOKUP(I220,'G-1 All Habitats'!$V$3:$W$7,2,FALSE),"")</f>
        <v/>
      </c>
      <c r="K220" s="114"/>
      <c r="L220" s="490" t="str">
        <f>IFERROR(INDEX('G-8 Condition Look up'!$A$3:$H$135,MATCH(G220,'G-8 Condition Look up'!$A$3:$A$135,0),MATCH(K220,'G-8 Condition Look up'!$A$3:$H$3,0)),"")</f>
        <v/>
      </c>
      <c r="M220" s="738"/>
      <c r="N220" s="404" t="str">
        <f>IF(M220="","",IF(VLOOKUP(M220,'G-3 Multipliers'!$L$3:$N$6,2,FALSE)=0,"Spatial Data Missing ⚠",VLOOKUP(M220,'G-3 Multipliers'!$L$3:$N$6,2,FALSE)))</f>
        <v/>
      </c>
      <c r="O220" s="452" t="str">
        <f>IF(M220="","",IF(VLOOKUP(M220,'G-3 Multipliers'!$L$3:$N$6,3,FALSE)=0,"Spatial Data Missing ⚠",VLOOKUP(M220,'G-3 Multipliers'!$L$3:$N$6,3,FALSE)))</f>
        <v/>
      </c>
      <c r="P220" s="369" t="str">
        <f>IFERROR(VLOOKUP(G220,'G-1 All Habitats'!$B$2:$M$134,12,FALSE),"")</f>
        <v/>
      </c>
      <c r="Q220" s="725" t="str">
        <f>IFERROR(IF(P220="","",IF(AND(P220='G-1 All Habitats'!$X$3,W220&gt;0),X220+(Y220*S220),IF(AND(P220='G-1 All Habitats'!$X$3,V220&gt;0),X220+(Y220*S220),IF(AND(P220='G-1 All Habitats'!$X$3,AG220&gt;0),"Any Loss Unacceptable  ⚠",IF(AND(P220='G-1 All Habitats'!$X$3,Z220&gt;0),"Any Loss Unacceptable ⚠",H220*J220*L220*O220*S220))))),"Check Data ⚠")</f>
        <v/>
      </c>
      <c r="R220" s="516"/>
      <c r="S220" s="724" t="str">
        <f>IF(R220="","",IF(VLOOKUP(R220,'G-3 Multipliers'!$S$3:$T$10,2,FALSE)=0,"Spatial Data Missing ⚠",VLOOKUP(R220,'G-3 Multipliers'!$S$3:$T$10,2,FALSE)))</f>
        <v/>
      </c>
      <c r="T220" s="376" t="str">
        <f>IFERROR(IF(P220="","",IF(AND(P220='G-1 All Habitats'!$X$3,W220&gt;0),X220+Y220,IF(AND(P220='G-1 All Habitats'!$X$3,V220&gt;0),X220+Y220,IF(AND(P220='G-1 All Habitats'!$X$3,AG220&gt;0),"Any Loss Unacceptable ⚠", IF(R220="","", IF(AND(P220='G-1 All Habitats'!$X$3,Z220&gt;0),"Any Loss Unacceptable ⚠",H220*J220*L220*O220)))))),"Check Data ⚠")</f>
        <v/>
      </c>
      <c r="U220" s="38"/>
      <c r="V220" s="54"/>
      <c r="W220" s="55"/>
      <c r="X220" s="374" t="str">
        <f t="shared" si="31"/>
        <v/>
      </c>
      <c r="Y220" s="374" t="str">
        <f t="shared" si="32"/>
        <v/>
      </c>
      <c r="Z220" s="374" t="str">
        <f>IF(E220="","",IF(H220&lt;V220+W220,"Error in Areas ▲",IF(P220&lt;&gt;'G-1 All Habitats'!$X$3,H220-V220-W220,IF(AND(P220='G-1 All Habitats'!$X$3,AB220="Yes"),"Unacceptable Loss ⚠",IF(AND(P220='G-1 All Habitats'!$X$3,AB220="No"),AG220,IF(AND(P220='G-1 All Habitats'!$X$3,AB220=""),AG220,IF(AND(P220='G-1 All Habitats'!$X$3,AG220="None",AG220),IF(AND(P220='G-1 All Habitats'!$X$3,AG220&gt;0),H220-V220-W220))))))))</f>
        <v/>
      </c>
      <c r="AA220" s="405" t="str">
        <f>IFERROR(IF(H220="","",IF(H220-V220-W220=0&lt;0,"Error in Areas ▲",IF(V220+W220&gt;H220,"Error in Areas ▲",IF(AND(P220='G-1 All Habitats'!$X$3,AB220="Yes"),"Alternative Compensation ✓",IF(Z220=0,0,IF(P220='G-1 All Habitats'!$X$3,"Any Loss Unacceptable ▲",T220-X220-Y220)))))),"Check Data ⚠")</f>
        <v/>
      </c>
      <c r="AB220" s="837"/>
      <c r="AC220" s="119"/>
      <c r="AD220" s="528"/>
      <c r="AE220" s="120"/>
      <c r="AF220" s="687"/>
      <c r="AG220" s="744" t="str">
        <f>IF(P220="","",IF(P220='G-1 All Habitats'!$X$3,H220-V220-W220,"None"))</f>
        <v/>
      </c>
      <c r="AH220" s="744" t="str">
        <f t="shared" si="33"/>
        <v/>
      </c>
      <c r="AJ220" s="124" t="str">
        <f t="shared" si="34"/>
        <v/>
      </c>
      <c r="AK220" s="124" t="str">
        <f t="shared" si="35"/>
        <v/>
      </c>
      <c r="AL220" s="124" t="str">
        <f>IF(I220="","",IF(#REF!&gt;0,TRUE,FALSE))</f>
        <v/>
      </c>
      <c r="AM220" s="124">
        <v>210</v>
      </c>
      <c r="AN220" s="124"/>
      <c r="AO220" s="124" t="str">
        <f t="array" ref="AO220">IFERROR(INDEX($AM$11:$AM$259, MATCH(0, IF(TRUE=$AJ$11:$AJ$259, COUNTIF($AO$10:$AO219, $AM$11:$AM$259), ""), 0)),"")</f>
        <v/>
      </c>
      <c r="AP220" s="124" t="str">
        <f t="array" ref="AP220">IFERROR(INDEX($AM$11:$AM$259, MATCH(0, IF(TRUE=$AK$11:$AK$259, COUNTIF($AP$10:$AP219, $AM$11:$AM$259), ""), 0)),"")</f>
        <v/>
      </c>
      <c r="AQ220" s="124" t="str">
        <f t="array" ref="AQ220">IFERROR(INDEX($AM$11:$AM$259, MATCH(0, IF(TRUE=$AL$11:$AL$259, COUNTIF($AQ$10:$AQ219, $AM$11:$AM$259), ""), 0)),"")</f>
        <v/>
      </c>
      <c r="AU220" s="30">
        <f t="shared" si="36"/>
        <v>0</v>
      </c>
      <c r="AY220" s="374" t="str">
        <f t="shared" si="37"/>
        <v/>
      </c>
    </row>
    <row r="221" spans="1:51">
      <c r="A221" s="30" t="str">
        <f>IFERROR(INDEX('G-1 All Habitats'!$AG$3:$AG$17,MATCH(E221,'G-1 All Habitats'!$AF$3:$AF$17,0)),"")</f>
        <v/>
      </c>
      <c r="B221" s="30" t="str">
        <f>IFERROR(INDEX('G-8 Condition Look up'!$I$4:$I$135,MATCH(G221,'G-8 Condition Look up'!$A$4:$A$135,0)),"")</f>
        <v/>
      </c>
      <c r="D221" s="110">
        <v>211</v>
      </c>
      <c r="E221" s="339"/>
      <c r="F221" s="340"/>
      <c r="G221" s="295" t="str">
        <f>IFERROR(INDEX('G-1 All Habitats'!$B$3:$B$134,MATCH(F221,'G-1 All Habitats'!$A$3:$A$134,0)),"")</f>
        <v/>
      </c>
      <c r="H221" s="139"/>
      <c r="I221" s="722" t="str">
        <f>IF(G221="","",VLOOKUP(G221,'G-1 All Habitats'!$B$2:$M$134,10,FALSE))</f>
        <v/>
      </c>
      <c r="J221" s="490" t="str">
        <f>IFERROR(VLOOKUP(I221,'G-1 All Habitats'!$V$3:$W$7,2,FALSE),"")</f>
        <v/>
      </c>
      <c r="K221" s="114"/>
      <c r="L221" s="490" t="str">
        <f>IFERROR(INDEX('G-8 Condition Look up'!$A$3:$H$135,MATCH(G221,'G-8 Condition Look up'!$A$3:$A$135,0),MATCH(K221,'G-8 Condition Look up'!$A$3:$H$3,0)),"")</f>
        <v/>
      </c>
      <c r="M221" s="738"/>
      <c r="N221" s="404" t="str">
        <f>IF(M221="","",IF(VLOOKUP(M221,'G-3 Multipliers'!$L$3:$N$6,2,FALSE)=0,"Spatial Data Missing ⚠",VLOOKUP(M221,'G-3 Multipliers'!$L$3:$N$6,2,FALSE)))</f>
        <v/>
      </c>
      <c r="O221" s="452" t="str">
        <f>IF(M221="","",IF(VLOOKUP(M221,'G-3 Multipliers'!$L$3:$N$6,3,FALSE)=0,"Spatial Data Missing ⚠",VLOOKUP(M221,'G-3 Multipliers'!$L$3:$N$6,3,FALSE)))</f>
        <v/>
      </c>
      <c r="P221" s="369" t="str">
        <f>IFERROR(VLOOKUP(G221,'G-1 All Habitats'!$B$2:$M$134,12,FALSE),"")</f>
        <v/>
      </c>
      <c r="Q221" s="725" t="str">
        <f>IFERROR(IF(P221="","",IF(AND(P221='G-1 All Habitats'!$X$3,W221&gt;0),X221+(Y221*S221),IF(AND(P221='G-1 All Habitats'!$X$3,V221&gt;0),X221+(Y221*S221),IF(AND(P221='G-1 All Habitats'!$X$3,AG221&gt;0),"Any Loss Unacceptable  ⚠",IF(AND(P221='G-1 All Habitats'!$X$3,Z221&gt;0),"Any Loss Unacceptable ⚠",H221*J221*L221*O221*S221))))),"Check Data ⚠")</f>
        <v/>
      </c>
      <c r="R221" s="516"/>
      <c r="S221" s="724" t="str">
        <f>IF(R221="","",IF(VLOOKUP(R221,'G-3 Multipliers'!$S$3:$T$10,2,FALSE)=0,"Spatial Data Missing ⚠",VLOOKUP(R221,'G-3 Multipliers'!$S$3:$T$10,2,FALSE)))</f>
        <v/>
      </c>
      <c r="T221" s="376" t="str">
        <f>IFERROR(IF(P221="","",IF(AND(P221='G-1 All Habitats'!$X$3,W221&gt;0),X221+Y221,IF(AND(P221='G-1 All Habitats'!$X$3,V221&gt;0),X221+Y221,IF(AND(P221='G-1 All Habitats'!$X$3,AG221&gt;0),"Any Loss Unacceptable ⚠", IF(R221="","", IF(AND(P221='G-1 All Habitats'!$X$3,Z221&gt;0),"Any Loss Unacceptable ⚠",H221*J221*L221*O221)))))),"Check Data ⚠")</f>
        <v/>
      </c>
      <c r="U221" s="38"/>
      <c r="V221" s="54"/>
      <c r="W221" s="55"/>
      <c r="X221" s="374" t="str">
        <f t="shared" si="31"/>
        <v/>
      </c>
      <c r="Y221" s="374" t="str">
        <f t="shared" si="32"/>
        <v/>
      </c>
      <c r="Z221" s="374" t="str">
        <f>IF(E221="","",IF(H221&lt;V221+W221,"Error in Areas ▲",IF(P221&lt;&gt;'G-1 All Habitats'!$X$3,H221-V221-W221,IF(AND(P221='G-1 All Habitats'!$X$3,AB221="Yes"),"Unacceptable Loss ⚠",IF(AND(P221='G-1 All Habitats'!$X$3,AB221="No"),AG221,IF(AND(P221='G-1 All Habitats'!$X$3,AB221=""),AG221,IF(AND(P221='G-1 All Habitats'!$X$3,AG221="None",AG221),IF(AND(P221='G-1 All Habitats'!$X$3,AG221&gt;0),H221-V221-W221))))))))</f>
        <v/>
      </c>
      <c r="AA221" s="405" t="str">
        <f>IFERROR(IF(H221="","",IF(H221-V221-W221=0&lt;0,"Error in Areas ▲",IF(V221+W221&gt;H221,"Error in Areas ▲",IF(AND(P221='G-1 All Habitats'!$X$3,AB221="Yes"),"Alternative Compensation ✓",IF(Z221=0,0,IF(P221='G-1 All Habitats'!$X$3,"Any Loss Unacceptable ▲",T221-X221-Y221)))))),"Check Data ⚠")</f>
        <v/>
      </c>
      <c r="AB221" s="837"/>
      <c r="AC221" s="119"/>
      <c r="AD221" s="528"/>
      <c r="AE221" s="120"/>
      <c r="AF221" s="687"/>
      <c r="AG221" s="744" t="str">
        <f>IF(P221="","",IF(P221='G-1 All Habitats'!$X$3,H221-V221-W221,"None"))</f>
        <v/>
      </c>
      <c r="AH221" s="744" t="str">
        <f t="shared" si="33"/>
        <v/>
      </c>
      <c r="AJ221" s="124" t="str">
        <f t="shared" si="34"/>
        <v/>
      </c>
      <c r="AK221" s="124" t="str">
        <f t="shared" si="35"/>
        <v/>
      </c>
      <c r="AL221" s="124" t="str">
        <f>IF(I221="","",IF(#REF!&gt;0,TRUE,FALSE))</f>
        <v/>
      </c>
      <c r="AM221" s="124">
        <v>211</v>
      </c>
      <c r="AN221" s="124"/>
      <c r="AO221" s="124" t="str">
        <f t="array" ref="AO221">IFERROR(INDEX($AM$11:$AM$259, MATCH(0, IF(TRUE=$AJ$11:$AJ$259, COUNTIF($AO$10:$AO220, $AM$11:$AM$259), ""), 0)),"")</f>
        <v/>
      </c>
      <c r="AP221" s="124" t="str">
        <f t="array" ref="AP221">IFERROR(INDEX($AM$11:$AM$259, MATCH(0, IF(TRUE=$AK$11:$AK$259, COUNTIF($AP$10:$AP220, $AM$11:$AM$259), ""), 0)),"")</f>
        <v/>
      </c>
      <c r="AQ221" s="124" t="str">
        <f t="array" ref="AQ221">IFERROR(INDEX($AM$11:$AM$259, MATCH(0, IF(TRUE=$AL$11:$AL$259, COUNTIF($AQ$10:$AQ220, $AM$11:$AM$259), ""), 0)),"")</f>
        <v/>
      </c>
      <c r="AU221" s="30">
        <f t="shared" si="36"/>
        <v>0</v>
      </c>
      <c r="AY221" s="374" t="str">
        <f t="shared" si="37"/>
        <v/>
      </c>
    </row>
    <row r="222" spans="1:51">
      <c r="A222" s="30" t="str">
        <f>IFERROR(INDEX('G-1 All Habitats'!$AG$3:$AG$17,MATCH(E222,'G-1 All Habitats'!$AF$3:$AF$17,0)),"")</f>
        <v/>
      </c>
      <c r="B222" s="30" t="str">
        <f>IFERROR(INDEX('G-8 Condition Look up'!$I$4:$I$135,MATCH(G222,'G-8 Condition Look up'!$A$4:$A$135,0)),"")</f>
        <v/>
      </c>
      <c r="D222" s="110">
        <v>212</v>
      </c>
      <c r="E222" s="339"/>
      <c r="F222" s="340"/>
      <c r="G222" s="295" t="str">
        <f>IFERROR(INDEX('G-1 All Habitats'!$B$3:$B$134,MATCH(F222,'G-1 All Habitats'!$A$3:$A$134,0)),"")</f>
        <v/>
      </c>
      <c r="H222" s="139"/>
      <c r="I222" s="722" t="str">
        <f>IF(G222="","",VLOOKUP(G222,'G-1 All Habitats'!$B$2:$M$134,10,FALSE))</f>
        <v/>
      </c>
      <c r="J222" s="490" t="str">
        <f>IFERROR(VLOOKUP(I222,'G-1 All Habitats'!$V$3:$W$7,2,FALSE),"")</f>
        <v/>
      </c>
      <c r="K222" s="114"/>
      <c r="L222" s="490" t="str">
        <f>IFERROR(INDEX('G-8 Condition Look up'!$A$3:$H$135,MATCH(G222,'G-8 Condition Look up'!$A$3:$A$135,0),MATCH(K222,'G-8 Condition Look up'!$A$3:$H$3,0)),"")</f>
        <v/>
      </c>
      <c r="M222" s="738"/>
      <c r="N222" s="404" t="str">
        <f>IF(M222="","",IF(VLOOKUP(M222,'G-3 Multipliers'!$L$3:$N$6,2,FALSE)=0,"Spatial Data Missing ⚠",VLOOKUP(M222,'G-3 Multipliers'!$L$3:$N$6,2,FALSE)))</f>
        <v/>
      </c>
      <c r="O222" s="452" t="str">
        <f>IF(M222="","",IF(VLOOKUP(M222,'G-3 Multipliers'!$L$3:$N$6,3,FALSE)=0,"Spatial Data Missing ⚠",VLOOKUP(M222,'G-3 Multipliers'!$L$3:$N$6,3,FALSE)))</f>
        <v/>
      </c>
      <c r="P222" s="369" t="str">
        <f>IFERROR(VLOOKUP(G222,'G-1 All Habitats'!$B$2:$M$134,12,FALSE),"")</f>
        <v/>
      </c>
      <c r="Q222" s="725" t="str">
        <f>IFERROR(IF(P222="","",IF(AND(P222='G-1 All Habitats'!$X$3,W222&gt;0),X222+(Y222*S222),IF(AND(P222='G-1 All Habitats'!$X$3,V222&gt;0),X222+(Y222*S222),IF(AND(P222='G-1 All Habitats'!$X$3,AG222&gt;0),"Any Loss Unacceptable  ⚠",IF(AND(P222='G-1 All Habitats'!$X$3,Z222&gt;0),"Any Loss Unacceptable ⚠",H222*J222*L222*O222*S222))))),"Check Data ⚠")</f>
        <v/>
      </c>
      <c r="R222" s="516"/>
      <c r="S222" s="724" t="str">
        <f>IF(R222="","",IF(VLOOKUP(R222,'G-3 Multipliers'!$S$3:$T$10,2,FALSE)=0,"Spatial Data Missing ⚠",VLOOKUP(R222,'G-3 Multipliers'!$S$3:$T$10,2,FALSE)))</f>
        <v/>
      </c>
      <c r="T222" s="376" t="str">
        <f>IFERROR(IF(P222="","",IF(AND(P222='G-1 All Habitats'!$X$3,W222&gt;0),X222+Y222,IF(AND(P222='G-1 All Habitats'!$X$3,V222&gt;0),X222+Y222,IF(AND(P222='G-1 All Habitats'!$X$3,AG222&gt;0),"Any Loss Unacceptable ⚠", IF(R222="","", IF(AND(P222='G-1 All Habitats'!$X$3,Z222&gt;0),"Any Loss Unacceptable ⚠",H222*J222*L222*O222)))))),"Check Data ⚠")</f>
        <v/>
      </c>
      <c r="U222" s="38"/>
      <c r="V222" s="54"/>
      <c r="W222" s="55"/>
      <c r="X222" s="374" t="str">
        <f t="shared" si="31"/>
        <v/>
      </c>
      <c r="Y222" s="374" t="str">
        <f t="shared" si="32"/>
        <v/>
      </c>
      <c r="Z222" s="374" t="str">
        <f>IF(E222="","",IF(H222&lt;V222+W222,"Error in Areas ▲",IF(P222&lt;&gt;'G-1 All Habitats'!$X$3,H222-V222-W222,IF(AND(P222='G-1 All Habitats'!$X$3,AB222="Yes"),"Unacceptable Loss ⚠",IF(AND(P222='G-1 All Habitats'!$X$3,AB222="No"),AG222,IF(AND(P222='G-1 All Habitats'!$X$3,AB222=""),AG222,IF(AND(P222='G-1 All Habitats'!$X$3,AG222="None",AG222),IF(AND(P222='G-1 All Habitats'!$X$3,AG222&gt;0),H222-V222-W222))))))))</f>
        <v/>
      </c>
      <c r="AA222" s="405" t="str">
        <f>IFERROR(IF(H222="","",IF(H222-V222-W222=0&lt;0,"Error in Areas ▲",IF(V222+W222&gt;H222,"Error in Areas ▲",IF(AND(P222='G-1 All Habitats'!$X$3,AB222="Yes"),"Alternative Compensation ✓",IF(Z222=0,0,IF(P222='G-1 All Habitats'!$X$3,"Any Loss Unacceptable ▲",T222-X222-Y222)))))),"Check Data ⚠")</f>
        <v/>
      </c>
      <c r="AB222" s="837"/>
      <c r="AC222" s="119"/>
      <c r="AD222" s="528"/>
      <c r="AE222" s="120"/>
      <c r="AF222" s="687"/>
      <c r="AG222" s="744" t="str">
        <f>IF(P222="","",IF(P222='G-1 All Habitats'!$X$3,H222-V222-W222,"None"))</f>
        <v/>
      </c>
      <c r="AH222" s="744" t="str">
        <f t="shared" si="33"/>
        <v/>
      </c>
      <c r="AJ222" s="124" t="str">
        <f t="shared" si="34"/>
        <v/>
      </c>
      <c r="AK222" s="124" t="str">
        <f t="shared" si="35"/>
        <v/>
      </c>
      <c r="AL222" s="124" t="str">
        <f>IF(I222="","",IF(#REF!&gt;0,TRUE,FALSE))</f>
        <v/>
      </c>
      <c r="AM222" s="124">
        <v>212</v>
      </c>
      <c r="AN222" s="124"/>
      <c r="AO222" s="124" t="str">
        <f t="array" ref="AO222">IFERROR(INDEX($AM$11:$AM$259, MATCH(0, IF(TRUE=$AJ$11:$AJ$259, COUNTIF($AO$10:$AO221, $AM$11:$AM$259), ""), 0)),"")</f>
        <v/>
      </c>
      <c r="AP222" s="124" t="str">
        <f t="array" ref="AP222">IFERROR(INDEX($AM$11:$AM$259, MATCH(0, IF(TRUE=$AK$11:$AK$259, COUNTIF($AP$10:$AP221, $AM$11:$AM$259), ""), 0)),"")</f>
        <v/>
      </c>
      <c r="AQ222" s="124" t="str">
        <f t="array" ref="AQ222">IFERROR(INDEX($AM$11:$AM$259, MATCH(0, IF(TRUE=$AL$11:$AL$259, COUNTIF($AQ$10:$AQ221, $AM$11:$AM$259), ""), 0)),"")</f>
        <v/>
      </c>
      <c r="AU222" s="30">
        <f t="shared" si="36"/>
        <v>0</v>
      </c>
      <c r="AY222" s="374" t="str">
        <f t="shared" si="37"/>
        <v/>
      </c>
    </row>
    <row r="223" spans="1:51">
      <c r="A223" s="30" t="str">
        <f>IFERROR(INDEX('G-1 All Habitats'!$AG$3:$AG$17,MATCH(E223,'G-1 All Habitats'!$AF$3:$AF$17,0)),"")</f>
        <v/>
      </c>
      <c r="B223" s="30" t="str">
        <f>IFERROR(INDEX('G-8 Condition Look up'!$I$4:$I$135,MATCH(G223,'G-8 Condition Look up'!$A$4:$A$135,0)),"")</f>
        <v/>
      </c>
      <c r="D223" s="110">
        <v>213</v>
      </c>
      <c r="E223" s="339"/>
      <c r="F223" s="340"/>
      <c r="G223" s="295" t="str">
        <f>IFERROR(INDEX('G-1 All Habitats'!$B$3:$B$134,MATCH(F223,'G-1 All Habitats'!$A$3:$A$134,0)),"")</f>
        <v/>
      </c>
      <c r="H223" s="139"/>
      <c r="I223" s="722" t="str">
        <f>IF(G223="","",VLOOKUP(G223,'G-1 All Habitats'!$B$2:$M$134,10,FALSE))</f>
        <v/>
      </c>
      <c r="J223" s="490" t="str">
        <f>IFERROR(VLOOKUP(I223,'G-1 All Habitats'!$V$3:$W$7,2,FALSE),"")</f>
        <v/>
      </c>
      <c r="K223" s="114"/>
      <c r="L223" s="490" t="str">
        <f>IFERROR(INDEX('G-8 Condition Look up'!$A$3:$H$135,MATCH(G223,'G-8 Condition Look up'!$A$3:$A$135,0),MATCH(K223,'G-8 Condition Look up'!$A$3:$H$3,0)),"")</f>
        <v/>
      </c>
      <c r="M223" s="738"/>
      <c r="N223" s="404" t="str">
        <f>IF(M223="","",IF(VLOOKUP(M223,'G-3 Multipliers'!$L$3:$N$6,2,FALSE)=0,"Spatial Data Missing ⚠",VLOOKUP(M223,'G-3 Multipliers'!$L$3:$N$6,2,FALSE)))</f>
        <v/>
      </c>
      <c r="O223" s="452" t="str">
        <f>IF(M223="","",IF(VLOOKUP(M223,'G-3 Multipliers'!$L$3:$N$6,3,FALSE)=0,"Spatial Data Missing ⚠",VLOOKUP(M223,'G-3 Multipliers'!$L$3:$N$6,3,FALSE)))</f>
        <v/>
      </c>
      <c r="P223" s="369" t="str">
        <f>IFERROR(VLOOKUP(G223,'G-1 All Habitats'!$B$2:$M$134,12,FALSE),"")</f>
        <v/>
      </c>
      <c r="Q223" s="725" t="str">
        <f>IFERROR(IF(P223="","",IF(AND(P223='G-1 All Habitats'!$X$3,W223&gt;0),X223+(Y223*S223),IF(AND(P223='G-1 All Habitats'!$X$3,V223&gt;0),X223+(Y223*S223),IF(AND(P223='G-1 All Habitats'!$X$3,AG223&gt;0),"Any Loss Unacceptable  ⚠",IF(AND(P223='G-1 All Habitats'!$X$3,Z223&gt;0),"Any Loss Unacceptable ⚠",H223*J223*L223*O223*S223))))),"Check Data ⚠")</f>
        <v/>
      </c>
      <c r="R223" s="516"/>
      <c r="S223" s="724" t="str">
        <f>IF(R223="","",IF(VLOOKUP(R223,'G-3 Multipliers'!$S$3:$T$10,2,FALSE)=0,"Spatial Data Missing ⚠",VLOOKUP(R223,'G-3 Multipliers'!$S$3:$T$10,2,FALSE)))</f>
        <v/>
      </c>
      <c r="T223" s="376" t="str">
        <f>IFERROR(IF(P223="","",IF(AND(P223='G-1 All Habitats'!$X$3,W223&gt;0),X223+Y223,IF(AND(P223='G-1 All Habitats'!$X$3,V223&gt;0),X223+Y223,IF(AND(P223='G-1 All Habitats'!$X$3,AG223&gt;0),"Any Loss Unacceptable ⚠", IF(R223="","", IF(AND(P223='G-1 All Habitats'!$X$3,Z223&gt;0),"Any Loss Unacceptable ⚠",H223*J223*L223*O223)))))),"Check Data ⚠")</f>
        <v/>
      </c>
      <c r="U223" s="38"/>
      <c r="V223" s="54"/>
      <c r="W223" s="55"/>
      <c r="X223" s="374" t="str">
        <f t="shared" si="31"/>
        <v/>
      </c>
      <c r="Y223" s="374" t="str">
        <f t="shared" si="32"/>
        <v/>
      </c>
      <c r="Z223" s="374" t="str">
        <f>IF(E223="","",IF(H223&lt;V223+W223,"Error in Areas ▲",IF(P223&lt;&gt;'G-1 All Habitats'!$X$3,H223-V223-W223,IF(AND(P223='G-1 All Habitats'!$X$3,AB223="Yes"),"Unacceptable Loss ⚠",IF(AND(P223='G-1 All Habitats'!$X$3,AB223="No"),AG223,IF(AND(P223='G-1 All Habitats'!$X$3,AB223=""),AG223,IF(AND(P223='G-1 All Habitats'!$X$3,AG223="None",AG223),IF(AND(P223='G-1 All Habitats'!$X$3,AG223&gt;0),H223-V223-W223))))))))</f>
        <v/>
      </c>
      <c r="AA223" s="405" t="str">
        <f>IFERROR(IF(H223="","",IF(H223-V223-W223=0&lt;0,"Error in Areas ▲",IF(V223+W223&gt;H223,"Error in Areas ▲",IF(AND(P223='G-1 All Habitats'!$X$3,AB223="Yes"),"Alternative Compensation ✓",IF(Z223=0,0,IF(P223='G-1 All Habitats'!$X$3,"Any Loss Unacceptable ▲",T223-X223-Y223)))))),"Check Data ⚠")</f>
        <v/>
      </c>
      <c r="AB223" s="837"/>
      <c r="AC223" s="119"/>
      <c r="AD223" s="528"/>
      <c r="AE223" s="120"/>
      <c r="AF223" s="687"/>
      <c r="AG223" s="744" t="str">
        <f>IF(P223="","",IF(P223='G-1 All Habitats'!$X$3,H223-V223-W223,"None"))</f>
        <v/>
      </c>
      <c r="AH223" s="744" t="str">
        <f t="shared" si="33"/>
        <v/>
      </c>
      <c r="AJ223" s="124" t="str">
        <f t="shared" si="34"/>
        <v/>
      </c>
      <c r="AK223" s="124" t="str">
        <f t="shared" si="35"/>
        <v/>
      </c>
      <c r="AL223" s="124" t="str">
        <f>IF(I223="","",IF(#REF!&gt;0,TRUE,FALSE))</f>
        <v/>
      </c>
      <c r="AM223" s="124">
        <v>213</v>
      </c>
      <c r="AN223" s="124"/>
      <c r="AO223" s="124" t="str">
        <f t="array" ref="AO223">IFERROR(INDEX($AM$11:$AM$259, MATCH(0, IF(TRUE=$AJ$11:$AJ$259, COUNTIF($AO$10:$AO222, $AM$11:$AM$259), ""), 0)),"")</f>
        <v/>
      </c>
      <c r="AP223" s="124" t="str">
        <f t="array" ref="AP223">IFERROR(INDEX($AM$11:$AM$259, MATCH(0, IF(TRUE=$AK$11:$AK$259, COUNTIF($AP$10:$AP222, $AM$11:$AM$259), ""), 0)),"")</f>
        <v/>
      </c>
      <c r="AQ223" s="124" t="str">
        <f t="array" ref="AQ223">IFERROR(INDEX($AM$11:$AM$259, MATCH(0, IF(TRUE=$AL$11:$AL$259, COUNTIF($AQ$10:$AQ222, $AM$11:$AM$259), ""), 0)),"")</f>
        <v/>
      </c>
      <c r="AU223" s="30">
        <f t="shared" si="36"/>
        <v>0</v>
      </c>
      <c r="AY223" s="374" t="str">
        <f t="shared" si="37"/>
        <v/>
      </c>
    </row>
    <row r="224" spans="1:51">
      <c r="A224" s="30" t="str">
        <f>IFERROR(INDEX('G-1 All Habitats'!$AG$3:$AG$17,MATCH(E224,'G-1 All Habitats'!$AF$3:$AF$17,0)),"")</f>
        <v/>
      </c>
      <c r="B224" s="30" t="str">
        <f>IFERROR(INDEX('G-8 Condition Look up'!$I$4:$I$135,MATCH(G224,'G-8 Condition Look up'!$A$4:$A$135,0)),"")</f>
        <v/>
      </c>
      <c r="D224" s="110">
        <v>214</v>
      </c>
      <c r="E224" s="339"/>
      <c r="F224" s="340"/>
      <c r="G224" s="295" t="str">
        <f>IFERROR(INDEX('G-1 All Habitats'!$B$3:$B$134,MATCH(F224,'G-1 All Habitats'!$A$3:$A$134,0)),"")</f>
        <v/>
      </c>
      <c r="H224" s="139"/>
      <c r="I224" s="722" t="str">
        <f>IF(G224="","",VLOOKUP(G224,'G-1 All Habitats'!$B$2:$M$134,10,FALSE))</f>
        <v/>
      </c>
      <c r="J224" s="490" t="str">
        <f>IFERROR(VLOOKUP(I224,'G-1 All Habitats'!$V$3:$W$7,2,FALSE),"")</f>
        <v/>
      </c>
      <c r="K224" s="114"/>
      <c r="L224" s="490" t="str">
        <f>IFERROR(INDEX('G-8 Condition Look up'!$A$3:$H$135,MATCH(G224,'G-8 Condition Look up'!$A$3:$A$135,0),MATCH(K224,'G-8 Condition Look up'!$A$3:$H$3,0)),"")</f>
        <v/>
      </c>
      <c r="M224" s="738"/>
      <c r="N224" s="404" t="str">
        <f>IF(M224="","",IF(VLOOKUP(M224,'G-3 Multipliers'!$L$3:$N$6,2,FALSE)=0,"Spatial Data Missing ⚠",VLOOKUP(M224,'G-3 Multipliers'!$L$3:$N$6,2,FALSE)))</f>
        <v/>
      </c>
      <c r="O224" s="452" t="str">
        <f>IF(M224="","",IF(VLOOKUP(M224,'G-3 Multipliers'!$L$3:$N$6,3,FALSE)=0,"Spatial Data Missing ⚠",VLOOKUP(M224,'G-3 Multipliers'!$L$3:$N$6,3,FALSE)))</f>
        <v/>
      </c>
      <c r="P224" s="369" t="str">
        <f>IFERROR(VLOOKUP(G224,'G-1 All Habitats'!$B$2:$M$134,12,FALSE),"")</f>
        <v/>
      </c>
      <c r="Q224" s="725" t="str">
        <f>IFERROR(IF(P224="","",IF(AND(P224='G-1 All Habitats'!$X$3,W224&gt;0),X224+(Y224*S224),IF(AND(P224='G-1 All Habitats'!$X$3,V224&gt;0),X224+(Y224*S224),IF(AND(P224='G-1 All Habitats'!$X$3,AG224&gt;0),"Any Loss Unacceptable  ⚠",IF(AND(P224='G-1 All Habitats'!$X$3,Z224&gt;0),"Any Loss Unacceptable ⚠",H224*J224*L224*O224*S224))))),"Check Data ⚠")</f>
        <v/>
      </c>
      <c r="R224" s="516"/>
      <c r="S224" s="724" t="str">
        <f>IF(R224="","",IF(VLOOKUP(R224,'G-3 Multipliers'!$S$3:$T$10,2,FALSE)=0,"Spatial Data Missing ⚠",VLOOKUP(R224,'G-3 Multipliers'!$S$3:$T$10,2,FALSE)))</f>
        <v/>
      </c>
      <c r="T224" s="376" t="str">
        <f>IFERROR(IF(P224="","",IF(AND(P224='G-1 All Habitats'!$X$3,W224&gt;0),X224+Y224,IF(AND(P224='G-1 All Habitats'!$X$3,V224&gt;0),X224+Y224,IF(AND(P224='G-1 All Habitats'!$X$3,AG224&gt;0),"Any Loss Unacceptable ⚠", IF(R224="","", IF(AND(P224='G-1 All Habitats'!$X$3,Z224&gt;0),"Any Loss Unacceptable ⚠",H224*J224*L224*O224)))))),"Check Data ⚠")</f>
        <v/>
      </c>
      <c r="U224" s="38"/>
      <c r="V224" s="54"/>
      <c r="W224" s="55"/>
      <c r="X224" s="374" t="str">
        <f t="shared" si="31"/>
        <v/>
      </c>
      <c r="Y224" s="374" t="str">
        <f t="shared" si="32"/>
        <v/>
      </c>
      <c r="Z224" s="374" t="str">
        <f>IF(E224="","",IF(H224&lt;V224+W224,"Error in Areas ▲",IF(P224&lt;&gt;'G-1 All Habitats'!$X$3,H224-V224-W224,IF(AND(P224='G-1 All Habitats'!$X$3,AB224="Yes"),"Unacceptable Loss ⚠",IF(AND(P224='G-1 All Habitats'!$X$3,AB224="No"),AG224,IF(AND(P224='G-1 All Habitats'!$X$3,AB224=""),AG224,IF(AND(P224='G-1 All Habitats'!$X$3,AG224="None",AG224),IF(AND(P224='G-1 All Habitats'!$X$3,AG224&gt;0),H224-V224-W224))))))))</f>
        <v/>
      </c>
      <c r="AA224" s="405" t="str">
        <f>IFERROR(IF(H224="","",IF(H224-V224-W224=0&lt;0,"Error in Areas ▲",IF(V224+W224&gt;H224,"Error in Areas ▲",IF(AND(P224='G-1 All Habitats'!$X$3,AB224="Yes"),"Alternative Compensation ✓",IF(Z224=0,0,IF(P224='G-1 All Habitats'!$X$3,"Any Loss Unacceptable ▲",T224-X224-Y224)))))),"Check Data ⚠")</f>
        <v/>
      </c>
      <c r="AB224" s="837"/>
      <c r="AC224" s="119"/>
      <c r="AD224" s="528"/>
      <c r="AE224" s="120"/>
      <c r="AF224" s="687"/>
      <c r="AG224" s="744" t="str">
        <f>IF(P224="","",IF(P224='G-1 All Habitats'!$X$3,H224-V224-W224,"None"))</f>
        <v/>
      </c>
      <c r="AH224" s="744" t="str">
        <f t="shared" si="33"/>
        <v/>
      </c>
      <c r="AJ224" s="124" t="str">
        <f t="shared" si="34"/>
        <v/>
      </c>
      <c r="AK224" s="124" t="str">
        <f t="shared" si="35"/>
        <v/>
      </c>
      <c r="AL224" s="124" t="str">
        <f>IF(I224="","",IF(#REF!&gt;0,TRUE,FALSE))</f>
        <v/>
      </c>
      <c r="AM224" s="124">
        <v>214</v>
      </c>
      <c r="AN224" s="124"/>
      <c r="AO224" s="124" t="str">
        <f t="array" ref="AO224">IFERROR(INDEX($AM$11:$AM$259, MATCH(0, IF(TRUE=$AJ$11:$AJ$259, COUNTIF($AO$10:$AO223, $AM$11:$AM$259), ""), 0)),"")</f>
        <v/>
      </c>
      <c r="AP224" s="124" t="str">
        <f t="array" ref="AP224">IFERROR(INDEX($AM$11:$AM$259, MATCH(0, IF(TRUE=$AK$11:$AK$259, COUNTIF($AP$10:$AP223, $AM$11:$AM$259), ""), 0)),"")</f>
        <v/>
      </c>
      <c r="AQ224" s="124" t="str">
        <f t="array" ref="AQ224">IFERROR(INDEX($AM$11:$AM$259, MATCH(0, IF(TRUE=$AL$11:$AL$259, COUNTIF($AQ$10:$AQ223, $AM$11:$AM$259), ""), 0)),"")</f>
        <v/>
      </c>
      <c r="AU224" s="30">
        <f t="shared" si="36"/>
        <v>0</v>
      </c>
      <c r="AY224" s="374" t="str">
        <f t="shared" si="37"/>
        <v/>
      </c>
    </row>
    <row r="225" spans="1:51">
      <c r="A225" s="30" t="str">
        <f>IFERROR(INDEX('G-1 All Habitats'!$AG$3:$AG$17,MATCH(E225,'G-1 All Habitats'!$AF$3:$AF$17,0)),"")</f>
        <v/>
      </c>
      <c r="B225" s="30" t="str">
        <f>IFERROR(INDEX('G-8 Condition Look up'!$I$4:$I$135,MATCH(G225,'G-8 Condition Look up'!$A$4:$A$135,0)),"")</f>
        <v/>
      </c>
      <c r="D225" s="110">
        <v>215</v>
      </c>
      <c r="E225" s="339"/>
      <c r="F225" s="340"/>
      <c r="G225" s="295" t="str">
        <f>IFERROR(INDEX('G-1 All Habitats'!$B$3:$B$134,MATCH(F225,'G-1 All Habitats'!$A$3:$A$134,0)),"")</f>
        <v/>
      </c>
      <c r="H225" s="139"/>
      <c r="I225" s="722" t="str">
        <f>IF(G225="","",VLOOKUP(G225,'G-1 All Habitats'!$B$2:$M$134,10,FALSE))</f>
        <v/>
      </c>
      <c r="J225" s="490" t="str">
        <f>IFERROR(VLOOKUP(I225,'G-1 All Habitats'!$V$3:$W$7,2,FALSE),"")</f>
        <v/>
      </c>
      <c r="K225" s="114"/>
      <c r="L225" s="490" t="str">
        <f>IFERROR(INDEX('G-8 Condition Look up'!$A$3:$H$135,MATCH(G225,'G-8 Condition Look up'!$A$3:$A$135,0),MATCH(K225,'G-8 Condition Look up'!$A$3:$H$3,0)),"")</f>
        <v/>
      </c>
      <c r="M225" s="738"/>
      <c r="N225" s="404" t="str">
        <f>IF(M225="","",IF(VLOOKUP(M225,'G-3 Multipliers'!$L$3:$N$6,2,FALSE)=0,"Spatial Data Missing ⚠",VLOOKUP(M225,'G-3 Multipliers'!$L$3:$N$6,2,FALSE)))</f>
        <v/>
      </c>
      <c r="O225" s="452" t="str">
        <f>IF(M225="","",IF(VLOOKUP(M225,'G-3 Multipliers'!$L$3:$N$6,3,FALSE)=0,"Spatial Data Missing ⚠",VLOOKUP(M225,'G-3 Multipliers'!$L$3:$N$6,3,FALSE)))</f>
        <v/>
      </c>
      <c r="P225" s="369" t="str">
        <f>IFERROR(VLOOKUP(G225,'G-1 All Habitats'!$B$2:$M$134,12,FALSE),"")</f>
        <v/>
      </c>
      <c r="Q225" s="725" t="str">
        <f>IFERROR(IF(P225="","",IF(AND(P225='G-1 All Habitats'!$X$3,W225&gt;0),X225+(Y225*S225),IF(AND(P225='G-1 All Habitats'!$X$3,V225&gt;0),X225+(Y225*S225),IF(AND(P225='G-1 All Habitats'!$X$3,AG225&gt;0),"Any Loss Unacceptable  ⚠",IF(AND(P225='G-1 All Habitats'!$X$3,Z225&gt;0),"Any Loss Unacceptable ⚠",H225*J225*L225*O225*S225))))),"Check Data ⚠")</f>
        <v/>
      </c>
      <c r="R225" s="516"/>
      <c r="S225" s="724" t="str">
        <f>IF(R225="","",IF(VLOOKUP(R225,'G-3 Multipliers'!$S$3:$T$10,2,FALSE)=0,"Spatial Data Missing ⚠",VLOOKUP(R225,'G-3 Multipliers'!$S$3:$T$10,2,FALSE)))</f>
        <v/>
      </c>
      <c r="T225" s="376" t="str">
        <f>IFERROR(IF(P225="","",IF(AND(P225='G-1 All Habitats'!$X$3,W225&gt;0),X225+Y225,IF(AND(P225='G-1 All Habitats'!$X$3,V225&gt;0),X225+Y225,IF(AND(P225='G-1 All Habitats'!$X$3,AG225&gt;0),"Any Loss Unacceptable ⚠", IF(R225="","", IF(AND(P225='G-1 All Habitats'!$X$3,Z225&gt;0),"Any Loss Unacceptable ⚠",H225*J225*L225*O225)))))),"Check Data ⚠")</f>
        <v/>
      </c>
      <c r="U225" s="38"/>
      <c r="V225" s="54"/>
      <c r="W225" s="55"/>
      <c r="X225" s="374" t="str">
        <f t="shared" si="31"/>
        <v/>
      </c>
      <c r="Y225" s="374" t="str">
        <f t="shared" si="32"/>
        <v/>
      </c>
      <c r="Z225" s="374" t="str">
        <f>IF(E225="","",IF(H225&lt;V225+W225,"Error in Areas ▲",IF(P225&lt;&gt;'G-1 All Habitats'!$X$3,H225-V225-W225,IF(AND(P225='G-1 All Habitats'!$X$3,AB225="Yes"),"Unacceptable Loss ⚠",IF(AND(P225='G-1 All Habitats'!$X$3,AB225="No"),AG225,IF(AND(P225='G-1 All Habitats'!$X$3,AB225=""),AG225,IF(AND(P225='G-1 All Habitats'!$X$3,AG225="None",AG225),IF(AND(P225='G-1 All Habitats'!$X$3,AG225&gt;0),H225-V225-W225))))))))</f>
        <v/>
      </c>
      <c r="AA225" s="405" t="str">
        <f>IFERROR(IF(H225="","",IF(H225-V225-W225=0&lt;0,"Error in Areas ▲",IF(V225+W225&gt;H225,"Error in Areas ▲",IF(AND(P225='G-1 All Habitats'!$X$3,AB225="Yes"),"Alternative Compensation ✓",IF(Z225=0,0,IF(P225='G-1 All Habitats'!$X$3,"Any Loss Unacceptable ▲",T225-X225-Y225)))))),"Check Data ⚠")</f>
        <v/>
      </c>
      <c r="AB225" s="837"/>
      <c r="AC225" s="119"/>
      <c r="AD225" s="528"/>
      <c r="AE225" s="120"/>
      <c r="AF225" s="687"/>
      <c r="AG225" s="744" t="str">
        <f>IF(P225="","",IF(P225='G-1 All Habitats'!$X$3,H225-V225-W225,"None"))</f>
        <v/>
      </c>
      <c r="AH225" s="744" t="str">
        <f t="shared" si="33"/>
        <v/>
      </c>
      <c r="AJ225" s="124" t="str">
        <f t="shared" si="34"/>
        <v/>
      </c>
      <c r="AK225" s="124" t="str">
        <f t="shared" si="35"/>
        <v/>
      </c>
      <c r="AL225" s="124" t="str">
        <f>IF(I225="","",IF(#REF!&gt;0,TRUE,FALSE))</f>
        <v/>
      </c>
      <c r="AM225" s="124">
        <v>215</v>
      </c>
      <c r="AN225" s="124"/>
      <c r="AO225" s="124" t="str">
        <f t="array" ref="AO225">IFERROR(INDEX($AM$11:$AM$259, MATCH(0, IF(TRUE=$AJ$11:$AJ$259, COUNTIF($AO$10:$AO224, $AM$11:$AM$259), ""), 0)),"")</f>
        <v/>
      </c>
      <c r="AP225" s="124" t="str">
        <f t="array" ref="AP225">IFERROR(INDEX($AM$11:$AM$259, MATCH(0, IF(TRUE=$AK$11:$AK$259, COUNTIF($AP$10:$AP224, $AM$11:$AM$259), ""), 0)),"")</f>
        <v/>
      </c>
      <c r="AQ225" s="124" t="str">
        <f t="array" ref="AQ225">IFERROR(INDEX($AM$11:$AM$259, MATCH(0, IF(TRUE=$AL$11:$AL$259, COUNTIF($AQ$10:$AQ224, $AM$11:$AM$259), ""), 0)),"")</f>
        <v/>
      </c>
      <c r="AU225" s="30">
        <f t="shared" si="36"/>
        <v>0</v>
      </c>
      <c r="AY225" s="374" t="str">
        <f t="shared" si="37"/>
        <v/>
      </c>
    </row>
    <row r="226" spans="1:51">
      <c r="A226" s="30" t="str">
        <f>IFERROR(INDEX('G-1 All Habitats'!$AG$3:$AG$17,MATCH(E226,'G-1 All Habitats'!$AF$3:$AF$17,0)),"")</f>
        <v/>
      </c>
      <c r="B226" s="30" t="str">
        <f>IFERROR(INDEX('G-8 Condition Look up'!$I$4:$I$135,MATCH(G226,'G-8 Condition Look up'!$A$4:$A$135,0)),"")</f>
        <v/>
      </c>
      <c r="D226" s="110">
        <v>216</v>
      </c>
      <c r="E226" s="339"/>
      <c r="F226" s="340"/>
      <c r="G226" s="295" t="str">
        <f>IFERROR(INDEX('G-1 All Habitats'!$B$3:$B$134,MATCH(F226,'G-1 All Habitats'!$A$3:$A$134,0)),"")</f>
        <v/>
      </c>
      <c r="H226" s="139"/>
      <c r="I226" s="722" t="str">
        <f>IF(G226="","",VLOOKUP(G226,'G-1 All Habitats'!$B$2:$M$134,10,FALSE))</f>
        <v/>
      </c>
      <c r="J226" s="490" t="str">
        <f>IFERROR(VLOOKUP(I226,'G-1 All Habitats'!$V$3:$W$7,2,FALSE),"")</f>
        <v/>
      </c>
      <c r="K226" s="114"/>
      <c r="L226" s="490" t="str">
        <f>IFERROR(INDEX('G-8 Condition Look up'!$A$3:$H$135,MATCH(G226,'G-8 Condition Look up'!$A$3:$A$135,0),MATCH(K226,'G-8 Condition Look up'!$A$3:$H$3,0)),"")</f>
        <v/>
      </c>
      <c r="M226" s="738"/>
      <c r="N226" s="404" t="str">
        <f>IF(M226="","",IF(VLOOKUP(M226,'G-3 Multipliers'!$L$3:$N$6,2,FALSE)=0,"Spatial Data Missing ⚠",VLOOKUP(M226,'G-3 Multipliers'!$L$3:$N$6,2,FALSE)))</f>
        <v/>
      </c>
      <c r="O226" s="452" t="str">
        <f>IF(M226="","",IF(VLOOKUP(M226,'G-3 Multipliers'!$L$3:$N$6,3,FALSE)=0,"Spatial Data Missing ⚠",VLOOKUP(M226,'G-3 Multipliers'!$L$3:$N$6,3,FALSE)))</f>
        <v/>
      </c>
      <c r="P226" s="369" t="str">
        <f>IFERROR(VLOOKUP(G226,'G-1 All Habitats'!$B$2:$M$134,12,FALSE),"")</f>
        <v/>
      </c>
      <c r="Q226" s="725" t="str">
        <f>IFERROR(IF(P226="","",IF(AND(P226='G-1 All Habitats'!$X$3,W226&gt;0),X226+(Y226*S226),IF(AND(P226='G-1 All Habitats'!$X$3,V226&gt;0),X226+(Y226*S226),IF(AND(P226='G-1 All Habitats'!$X$3,AG226&gt;0),"Any Loss Unacceptable  ⚠",IF(AND(P226='G-1 All Habitats'!$X$3,Z226&gt;0),"Any Loss Unacceptable ⚠",H226*J226*L226*O226*S226))))),"Check Data ⚠")</f>
        <v/>
      </c>
      <c r="R226" s="516"/>
      <c r="S226" s="724" t="str">
        <f>IF(R226="","",IF(VLOOKUP(R226,'G-3 Multipliers'!$S$3:$T$10,2,FALSE)=0,"Spatial Data Missing ⚠",VLOOKUP(R226,'G-3 Multipliers'!$S$3:$T$10,2,FALSE)))</f>
        <v/>
      </c>
      <c r="T226" s="376" t="str">
        <f>IFERROR(IF(P226="","",IF(AND(P226='G-1 All Habitats'!$X$3,W226&gt;0),X226+Y226,IF(AND(P226='G-1 All Habitats'!$X$3,V226&gt;0),X226+Y226,IF(AND(P226='G-1 All Habitats'!$X$3,AG226&gt;0),"Any Loss Unacceptable ⚠", IF(R226="","", IF(AND(P226='G-1 All Habitats'!$X$3,Z226&gt;0),"Any Loss Unacceptable ⚠",H226*J226*L226*O226)))))),"Check Data ⚠")</f>
        <v/>
      </c>
      <c r="U226" s="38"/>
      <c r="V226" s="54"/>
      <c r="W226" s="55"/>
      <c r="X226" s="374" t="str">
        <f t="shared" si="31"/>
        <v/>
      </c>
      <c r="Y226" s="374" t="str">
        <f t="shared" si="32"/>
        <v/>
      </c>
      <c r="Z226" s="374" t="str">
        <f>IF(E226="","",IF(H226&lt;V226+W226,"Error in Areas ▲",IF(P226&lt;&gt;'G-1 All Habitats'!$X$3,H226-V226-W226,IF(AND(P226='G-1 All Habitats'!$X$3,AB226="Yes"),"Unacceptable Loss ⚠",IF(AND(P226='G-1 All Habitats'!$X$3,AB226="No"),AG226,IF(AND(P226='G-1 All Habitats'!$X$3,AB226=""),AG226,IF(AND(P226='G-1 All Habitats'!$X$3,AG226="None",AG226),IF(AND(P226='G-1 All Habitats'!$X$3,AG226&gt;0),H226-V226-W226))))))))</f>
        <v/>
      </c>
      <c r="AA226" s="405" t="str">
        <f>IFERROR(IF(H226="","",IF(H226-V226-W226=0&lt;0,"Error in Areas ▲",IF(V226+W226&gt;H226,"Error in Areas ▲",IF(AND(P226='G-1 All Habitats'!$X$3,AB226="Yes"),"Alternative Compensation ✓",IF(Z226=0,0,IF(P226='G-1 All Habitats'!$X$3,"Any Loss Unacceptable ▲",T226-X226-Y226)))))),"Check Data ⚠")</f>
        <v/>
      </c>
      <c r="AB226" s="837"/>
      <c r="AC226" s="119"/>
      <c r="AD226" s="528"/>
      <c r="AE226" s="120"/>
      <c r="AF226" s="687"/>
      <c r="AG226" s="744" t="str">
        <f>IF(P226="","",IF(P226='G-1 All Habitats'!$X$3,H226-V226-W226,"None"))</f>
        <v/>
      </c>
      <c r="AH226" s="744" t="str">
        <f t="shared" si="33"/>
        <v/>
      </c>
      <c r="AJ226" s="124" t="str">
        <f t="shared" si="34"/>
        <v/>
      </c>
      <c r="AK226" s="124" t="str">
        <f t="shared" si="35"/>
        <v/>
      </c>
      <c r="AL226" s="124" t="str">
        <f>IF(I226="","",IF(#REF!&gt;0,TRUE,FALSE))</f>
        <v/>
      </c>
      <c r="AM226" s="124">
        <v>216</v>
      </c>
      <c r="AN226" s="124"/>
      <c r="AO226" s="124" t="str">
        <f t="array" ref="AO226">IFERROR(INDEX($AM$11:$AM$259, MATCH(0, IF(TRUE=$AJ$11:$AJ$259, COUNTIF($AO$10:$AO225, $AM$11:$AM$259), ""), 0)),"")</f>
        <v/>
      </c>
      <c r="AP226" s="124" t="str">
        <f t="array" ref="AP226">IFERROR(INDEX($AM$11:$AM$259, MATCH(0, IF(TRUE=$AK$11:$AK$259, COUNTIF($AP$10:$AP225, $AM$11:$AM$259), ""), 0)),"")</f>
        <v/>
      </c>
      <c r="AQ226" s="124" t="str">
        <f t="array" ref="AQ226">IFERROR(INDEX($AM$11:$AM$259, MATCH(0, IF(TRUE=$AL$11:$AL$259, COUNTIF($AQ$10:$AQ225, $AM$11:$AM$259), ""), 0)),"")</f>
        <v/>
      </c>
      <c r="AU226" s="30">
        <f t="shared" si="36"/>
        <v>0</v>
      </c>
      <c r="AY226" s="374" t="str">
        <f t="shared" si="37"/>
        <v/>
      </c>
    </row>
    <row r="227" spans="1:51">
      <c r="A227" s="30" t="str">
        <f>IFERROR(INDEX('G-1 All Habitats'!$AG$3:$AG$17,MATCH(E227,'G-1 All Habitats'!$AF$3:$AF$17,0)),"")</f>
        <v/>
      </c>
      <c r="B227" s="30" t="str">
        <f>IFERROR(INDEX('G-8 Condition Look up'!$I$4:$I$135,MATCH(G227,'G-8 Condition Look up'!$A$4:$A$135,0)),"")</f>
        <v/>
      </c>
      <c r="D227" s="110">
        <v>217</v>
      </c>
      <c r="E227" s="339"/>
      <c r="F227" s="340"/>
      <c r="G227" s="295" t="str">
        <f>IFERROR(INDEX('G-1 All Habitats'!$B$3:$B$134,MATCH(F227,'G-1 All Habitats'!$A$3:$A$134,0)),"")</f>
        <v/>
      </c>
      <c r="H227" s="139"/>
      <c r="I227" s="722" t="str">
        <f>IF(G227="","",VLOOKUP(G227,'G-1 All Habitats'!$B$2:$M$134,10,FALSE))</f>
        <v/>
      </c>
      <c r="J227" s="490" t="str">
        <f>IFERROR(VLOOKUP(I227,'G-1 All Habitats'!$V$3:$W$7,2,FALSE),"")</f>
        <v/>
      </c>
      <c r="K227" s="114"/>
      <c r="L227" s="490" t="str">
        <f>IFERROR(INDEX('G-8 Condition Look up'!$A$3:$H$135,MATCH(G227,'G-8 Condition Look up'!$A$3:$A$135,0),MATCH(K227,'G-8 Condition Look up'!$A$3:$H$3,0)),"")</f>
        <v/>
      </c>
      <c r="M227" s="738"/>
      <c r="N227" s="404" t="str">
        <f>IF(M227="","",IF(VLOOKUP(M227,'G-3 Multipliers'!$L$3:$N$6,2,FALSE)=0,"Spatial Data Missing ⚠",VLOOKUP(M227,'G-3 Multipliers'!$L$3:$N$6,2,FALSE)))</f>
        <v/>
      </c>
      <c r="O227" s="452" t="str">
        <f>IF(M227="","",IF(VLOOKUP(M227,'G-3 Multipliers'!$L$3:$N$6,3,FALSE)=0,"Spatial Data Missing ⚠",VLOOKUP(M227,'G-3 Multipliers'!$L$3:$N$6,3,FALSE)))</f>
        <v/>
      </c>
      <c r="P227" s="369" t="str">
        <f>IFERROR(VLOOKUP(G227,'G-1 All Habitats'!$B$2:$M$134,12,FALSE),"")</f>
        <v/>
      </c>
      <c r="Q227" s="725" t="str">
        <f>IFERROR(IF(P227="","",IF(AND(P227='G-1 All Habitats'!$X$3,W227&gt;0),X227+(Y227*S227),IF(AND(P227='G-1 All Habitats'!$X$3,V227&gt;0),X227+(Y227*S227),IF(AND(P227='G-1 All Habitats'!$X$3,AG227&gt;0),"Any Loss Unacceptable  ⚠",IF(AND(P227='G-1 All Habitats'!$X$3,Z227&gt;0),"Any Loss Unacceptable ⚠",H227*J227*L227*O227*S227))))),"Check Data ⚠")</f>
        <v/>
      </c>
      <c r="R227" s="516"/>
      <c r="S227" s="724" t="str">
        <f>IF(R227="","",IF(VLOOKUP(R227,'G-3 Multipliers'!$S$3:$T$10,2,FALSE)=0,"Spatial Data Missing ⚠",VLOOKUP(R227,'G-3 Multipliers'!$S$3:$T$10,2,FALSE)))</f>
        <v/>
      </c>
      <c r="T227" s="376" t="str">
        <f>IFERROR(IF(P227="","",IF(AND(P227='G-1 All Habitats'!$X$3,W227&gt;0),X227+Y227,IF(AND(P227='G-1 All Habitats'!$X$3,V227&gt;0),X227+Y227,IF(AND(P227='G-1 All Habitats'!$X$3,AG227&gt;0),"Any Loss Unacceptable ⚠", IF(R227="","", IF(AND(P227='G-1 All Habitats'!$X$3,Z227&gt;0),"Any Loss Unacceptable ⚠",H227*J227*L227*O227)))))),"Check Data ⚠")</f>
        <v/>
      </c>
      <c r="U227" s="38"/>
      <c r="V227" s="54"/>
      <c r="W227" s="55"/>
      <c r="X227" s="374" t="str">
        <f t="shared" si="31"/>
        <v/>
      </c>
      <c r="Y227" s="374" t="str">
        <f t="shared" si="32"/>
        <v/>
      </c>
      <c r="Z227" s="374" t="str">
        <f>IF(E227="","",IF(H227&lt;V227+W227,"Error in Areas ▲",IF(P227&lt;&gt;'G-1 All Habitats'!$X$3,H227-V227-W227,IF(AND(P227='G-1 All Habitats'!$X$3,AB227="Yes"),"Unacceptable Loss ⚠",IF(AND(P227='G-1 All Habitats'!$X$3,AB227="No"),AG227,IF(AND(P227='G-1 All Habitats'!$X$3,AB227=""),AG227,IF(AND(P227='G-1 All Habitats'!$X$3,AG227="None",AG227),IF(AND(P227='G-1 All Habitats'!$X$3,AG227&gt;0),H227-V227-W227))))))))</f>
        <v/>
      </c>
      <c r="AA227" s="405" t="str">
        <f>IFERROR(IF(H227="","",IF(H227-V227-W227=0&lt;0,"Error in Areas ▲",IF(V227+W227&gt;H227,"Error in Areas ▲",IF(AND(P227='G-1 All Habitats'!$X$3,AB227="Yes"),"Alternative Compensation ✓",IF(Z227=0,0,IF(P227='G-1 All Habitats'!$X$3,"Any Loss Unacceptable ▲",T227-X227-Y227)))))),"Check Data ⚠")</f>
        <v/>
      </c>
      <c r="AB227" s="837"/>
      <c r="AC227" s="119"/>
      <c r="AD227" s="528"/>
      <c r="AE227" s="120"/>
      <c r="AF227" s="687"/>
      <c r="AG227" s="744" t="str">
        <f>IF(P227="","",IF(P227='G-1 All Habitats'!$X$3,H227-V227-W227,"None"))</f>
        <v/>
      </c>
      <c r="AH227" s="744" t="str">
        <f t="shared" si="33"/>
        <v/>
      </c>
      <c r="AJ227" s="124" t="str">
        <f t="shared" si="34"/>
        <v/>
      </c>
      <c r="AK227" s="124" t="str">
        <f t="shared" si="35"/>
        <v/>
      </c>
      <c r="AL227" s="124" t="str">
        <f>IF(I227="","",IF(#REF!&gt;0,TRUE,FALSE))</f>
        <v/>
      </c>
      <c r="AM227" s="124">
        <v>217</v>
      </c>
      <c r="AN227" s="124"/>
      <c r="AO227" s="124" t="str">
        <f t="array" ref="AO227">IFERROR(INDEX($AM$11:$AM$259, MATCH(0, IF(TRUE=$AJ$11:$AJ$259, COUNTIF($AO$10:$AO226, $AM$11:$AM$259), ""), 0)),"")</f>
        <v/>
      </c>
      <c r="AP227" s="124" t="str">
        <f t="array" ref="AP227">IFERROR(INDEX($AM$11:$AM$259, MATCH(0, IF(TRUE=$AK$11:$AK$259, COUNTIF($AP$10:$AP226, $AM$11:$AM$259), ""), 0)),"")</f>
        <v/>
      </c>
      <c r="AQ227" s="124" t="str">
        <f t="array" ref="AQ227">IFERROR(INDEX($AM$11:$AM$259, MATCH(0, IF(TRUE=$AL$11:$AL$259, COUNTIF($AQ$10:$AQ226, $AM$11:$AM$259), ""), 0)),"")</f>
        <v/>
      </c>
      <c r="AU227" s="30">
        <f t="shared" si="36"/>
        <v>0</v>
      </c>
      <c r="AY227" s="374" t="str">
        <f t="shared" si="37"/>
        <v/>
      </c>
    </row>
    <row r="228" spans="1:51">
      <c r="A228" s="30" t="str">
        <f>IFERROR(INDEX('G-1 All Habitats'!$AG$3:$AG$17,MATCH(E228,'G-1 All Habitats'!$AF$3:$AF$17,0)),"")</f>
        <v/>
      </c>
      <c r="B228" s="30" t="str">
        <f>IFERROR(INDEX('G-8 Condition Look up'!$I$4:$I$135,MATCH(G228,'G-8 Condition Look up'!$A$4:$A$135,0)),"")</f>
        <v/>
      </c>
      <c r="D228" s="110">
        <v>218</v>
      </c>
      <c r="E228" s="339"/>
      <c r="F228" s="340"/>
      <c r="G228" s="295" t="str">
        <f>IFERROR(INDEX('G-1 All Habitats'!$B$3:$B$134,MATCH(F228,'G-1 All Habitats'!$A$3:$A$134,0)),"")</f>
        <v/>
      </c>
      <c r="H228" s="139"/>
      <c r="I228" s="722" t="str">
        <f>IF(G228="","",VLOOKUP(G228,'G-1 All Habitats'!$B$2:$M$134,10,FALSE))</f>
        <v/>
      </c>
      <c r="J228" s="490" t="str">
        <f>IFERROR(VLOOKUP(I228,'G-1 All Habitats'!$V$3:$W$7,2,FALSE),"")</f>
        <v/>
      </c>
      <c r="K228" s="114"/>
      <c r="L228" s="490" t="str">
        <f>IFERROR(INDEX('G-8 Condition Look up'!$A$3:$H$135,MATCH(G228,'G-8 Condition Look up'!$A$3:$A$135,0),MATCH(K228,'G-8 Condition Look up'!$A$3:$H$3,0)),"")</f>
        <v/>
      </c>
      <c r="M228" s="738"/>
      <c r="N228" s="404" t="str">
        <f>IF(M228="","",IF(VLOOKUP(M228,'G-3 Multipliers'!$L$3:$N$6,2,FALSE)=0,"Spatial Data Missing ⚠",VLOOKUP(M228,'G-3 Multipliers'!$L$3:$N$6,2,FALSE)))</f>
        <v/>
      </c>
      <c r="O228" s="452" t="str">
        <f>IF(M228="","",IF(VLOOKUP(M228,'G-3 Multipliers'!$L$3:$N$6,3,FALSE)=0,"Spatial Data Missing ⚠",VLOOKUP(M228,'G-3 Multipliers'!$L$3:$N$6,3,FALSE)))</f>
        <v/>
      </c>
      <c r="P228" s="369" t="str">
        <f>IFERROR(VLOOKUP(G228,'G-1 All Habitats'!$B$2:$M$134,12,FALSE),"")</f>
        <v/>
      </c>
      <c r="Q228" s="725" t="str">
        <f>IFERROR(IF(P228="","",IF(AND(P228='G-1 All Habitats'!$X$3,W228&gt;0),X228+(Y228*S228),IF(AND(P228='G-1 All Habitats'!$X$3,V228&gt;0),X228+(Y228*S228),IF(AND(P228='G-1 All Habitats'!$X$3,AG228&gt;0),"Any Loss Unacceptable  ⚠",IF(AND(P228='G-1 All Habitats'!$X$3,Z228&gt;0),"Any Loss Unacceptable ⚠",H228*J228*L228*O228*S228))))),"Check Data ⚠")</f>
        <v/>
      </c>
      <c r="R228" s="516"/>
      <c r="S228" s="724" t="str">
        <f>IF(R228="","",IF(VLOOKUP(R228,'G-3 Multipliers'!$S$3:$T$10,2,FALSE)=0,"Spatial Data Missing ⚠",VLOOKUP(R228,'G-3 Multipliers'!$S$3:$T$10,2,FALSE)))</f>
        <v/>
      </c>
      <c r="T228" s="376" t="str">
        <f>IFERROR(IF(P228="","",IF(AND(P228='G-1 All Habitats'!$X$3,W228&gt;0),X228+Y228,IF(AND(P228='G-1 All Habitats'!$X$3,V228&gt;0),X228+Y228,IF(AND(P228='G-1 All Habitats'!$X$3,AG228&gt;0),"Any Loss Unacceptable ⚠", IF(R228="","", IF(AND(P228='G-1 All Habitats'!$X$3,Z228&gt;0),"Any Loss Unacceptable ⚠",H228*J228*L228*O228)))))),"Check Data ⚠")</f>
        <v/>
      </c>
      <c r="U228" s="38"/>
      <c r="V228" s="54"/>
      <c r="W228" s="55"/>
      <c r="X228" s="374" t="str">
        <f t="shared" si="31"/>
        <v/>
      </c>
      <c r="Y228" s="374" t="str">
        <f t="shared" si="32"/>
        <v/>
      </c>
      <c r="Z228" s="374" t="str">
        <f>IF(E228="","",IF(H228&lt;V228+W228,"Error in Areas ▲",IF(P228&lt;&gt;'G-1 All Habitats'!$X$3,H228-V228-W228,IF(AND(P228='G-1 All Habitats'!$X$3,AB228="Yes"),"Unacceptable Loss ⚠",IF(AND(P228='G-1 All Habitats'!$X$3,AB228="No"),AG228,IF(AND(P228='G-1 All Habitats'!$X$3,AB228=""),AG228,IF(AND(P228='G-1 All Habitats'!$X$3,AG228="None",AG228),IF(AND(P228='G-1 All Habitats'!$X$3,AG228&gt;0),H228-V228-W228))))))))</f>
        <v/>
      </c>
      <c r="AA228" s="405" t="str">
        <f>IFERROR(IF(H228="","",IF(H228-V228-W228=0&lt;0,"Error in Areas ▲",IF(V228+W228&gt;H228,"Error in Areas ▲",IF(AND(P228='G-1 All Habitats'!$X$3,AB228="Yes"),"Alternative Compensation ✓",IF(Z228=0,0,IF(P228='G-1 All Habitats'!$X$3,"Any Loss Unacceptable ▲",T228-X228-Y228)))))),"Check Data ⚠")</f>
        <v/>
      </c>
      <c r="AB228" s="837"/>
      <c r="AC228" s="119"/>
      <c r="AD228" s="528"/>
      <c r="AE228" s="120"/>
      <c r="AF228" s="687"/>
      <c r="AG228" s="744" t="str">
        <f>IF(P228="","",IF(P228='G-1 All Habitats'!$X$3,H228-V228-W228,"None"))</f>
        <v/>
      </c>
      <c r="AH228" s="744" t="str">
        <f t="shared" si="33"/>
        <v/>
      </c>
      <c r="AJ228" s="124" t="str">
        <f t="shared" si="34"/>
        <v/>
      </c>
      <c r="AK228" s="124" t="str">
        <f t="shared" si="35"/>
        <v/>
      </c>
      <c r="AL228" s="124" t="str">
        <f>IF(I228="","",IF(#REF!&gt;0,TRUE,FALSE))</f>
        <v/>
      </c>
      <c r="AM228" s="124">
        <v>218</v>
      </c>
      <c r="AN228" s="124"/>
      <c r="AO228" s="124" t="str">
        <f t="array" ref="AO228">IFERROR(INDEX($AM$11:$AM$259, MATCH(0, IF(TRUE=$AJ$11:$AJ$259, COUNTIF($AO$10:$AO227, $AM$11:$AM$259), ""), 0)),"")</f>
        <v/>
      </c>
      <c r="AP228" s="124" t="str">
        <f t="array" ref="AP228">IFERROR(INDEX($AM$11:$AM$259, MATCH(0, IF(TRUE=$AK$11:$AK$259, COUNTIF($AP$10:$AP227, $AM$11:$AM$259), ""), 0)),"")</f>
        <v/>
      </c>
      <c r="AQ228" s="124" t="str">
        <f t="array" ref="AQ228">IFERROR(INDEX($AM$11:$AM$259, MATCH(0, IF(TRUE=$AL$11:$AL$259, COUNTIF($AQ$10:$AQ227, $AM$11:$AM$259), ""), 0)),"")</f>
        <v/>
      </c>
      <c r="AU228" s="30">
        <f t="shared" si="36"/>
        <v>0</v>
      </c>
      <c r="AY228" s="374" t="str">
        <f t="shared" si="37"/>
        <v/>
      </c>
    </row>
    <row r="229" spans="1:51">
      <c r="A229" s="30" t="str">
        <f>IFERROR(INDEX('G-1 All Habitats'!$AG$3:$AG$17,MATCH(E229,'G-1 All Habitats'!$AF$3:$AF$17,0)),"")</f>
        <v/>
      </c>
      <c r="B229" s="30" t="str">
        <f>IFERROR(INDEX('G-8 Condition Look up'!$I$4:$I$135,MATCH(G229,'G-8 Condition Look up'!$A$4:$A$135,0)),"")</f>
        <v/>
      </c>
      <c r="D229" s="110">
        <v>219</v>
      </c>
      <c r="E229" s="339"/>
      <c r="F229" s="340"/>
      <c r="G229" s="295" t="str">
        <f>IFERROR(INDEX('G-1 All Habitats'!$B$3:$B$134,MATCH(F229,'G-1 All Habitats'!$A$3:$A$134,0)),"")</f>
        <v/>
      </c>
      <c r="H229" s="139"/>
      <c r="I229" s="722" t="str">
        <f>IF(G229="","",VLOOKUP(G229,'G-1 All Habitats'!$B$2:$M$134,10,FALSE))</f>
        <v/>
      </c>
      <c r="J229" s="490" t="str">
        <f>IFERROR(VLOOKUP(I229,'G-1 All Habitats'!$V$3:$W$7,2,FALSE),"")</f>
        <v/>
      </c>
      <c r="K229" s="114"/>
      <c r="L229" s="490" t="str">
        <f>IFERROR(INDEX('G-8 Condition Look up'!$A$3:$H$135,MATCH(G229,'G-8 Condition Look up'!$A$3:$A$135,0),MATCH(K229,'G-8 Condition Look up'!$A$3:$H$3,0)),"")</f>
        <v/>
      </c>
      <c r="M229" s="738"/>
      <c r="N229" s="404" t="str">
        <f>IF(M229="","",IF(VLOOKUP(M229,'G-3 Multipliers'!$L$3:$N$6,2,FALSE)=0,"Spatial Data Missing ⚠",VLOOKUP(M229,'G-3 Multipliers'!$L$3:$N$6,2,FALSE)))</f>
        <v/>
      </c>
      <c r="O229" s="452" t="str">
        <f>IF(M229="","",IF(VLOOKUP(M229,'G-3 Multipliers'!$L$3:$N$6,3,FALSE)=0,"Spatial Data Missing ⚠",VLOOKUP(M229,'G-3 Multipliers'!$L$3:$N$6,3,FALSE)))</f>
        <v/>
      </c>
      <c r="P229" s="369" t="str">
        <f>IFERROR(VLOOKUP(G229,'G-1 All Habitats'!$B$2:$M$134,12,FALSE),"")</f>
        <v/>
      </c>
      <c r="Q229" s="725" t="str">
        <f>IFERROR(IF(P229="","",IF(AND(P229='G-1 All Habitats'!$X$3,W229&gt;0),X229+(Y229*S229),IF(AND(P229='G-1 All Habitats'!$X$3,V229&gt;0),X229+(Y229*S229),IF(AND(P229='G-1 All Habitats'!$X$3,AG229&gt;0),"Any Loss Unacceptable  ⚠",IF(AND(P229='G-1 All Habitats'!$X$3,Z229&gt;0),"Any Loss Unacceptable ⚠",H229*J229*L229*O229*S229))))),"Check Data ⚠")</f>
        <v/>
      </c>
      <c r="R229" s="516"/>
      <c r="S229" s="724" t="str">
        <f>IF(R229="","",IF(VLOOKUP(R229,'G-3 Multipliers'!$S$3:$T$10,2,FALSE)=0,"Spatial Data Missing ⚠",VLOOKUP(R229,'G-3 Multipliers'!$S$3:$T$10,2,FALSE)))</f>
        <v/>
      </c>
      <c r="T229" s="376" t="str">
        <f>IFERROR(IF(P229="","",IF(AND(P229='G-1 All Habitats'!$X$3,W229&gt;0),X229+Y229,IF(AND(P229='G-1 All Habitats'!$X$3,V229&gt;0),X229+Y229,IF(AND(P229='G-1 All Habitats'!$X$3,AG229&gt;0),"Any Loss Unacceptable ⚠", IF(R229="","", IF(AND(P229='G-1 All Habitats'!$X$3,Z229&gt;0),"Any Loss Unacceptable ⚠",H229*J229*L229*O229)))))),"Check Data ⚠")</f>
        <v/>
      </c>
      <c r="U229" s="38"/>
      <c r="V229" s="54"/>
      <c r="W229" s="55"/>
      <c r="X229" s="374" t="str">
        <f t="shared" si="31"/>
        <v/>
      </c>
      <c r="Y229" s="374" t="str">
        <f t="shared" si="32"/>
        <v/>
      </c>
      <c r="Z229" s="374" t="str">
        <f>IF(E229="","",IF(H229&lt;V229+W229,"Error in Areas ▲",IF(P229&lt;&gt;'G-1 All Habitats'!$X$3,H229-V229-W229,IF(AND(P229='G-1 All Habitats'!$X$3,AB229="Yes"),"Unacceptable Loss ⚠",IF(AND(P229='G-1 All Habitats'!$X$3,AB229="No"),AG229,IF(AND(P229='G-1 All Habitats'!$X$3,AB229=""),AG229,IF(AND(P229='G-1 All Habitats'!$X$3,AG229="None",AG229),IF(AND(P229='G-1 All Habitats'!$X$3,AG229&gt;0),H229-V229-W229))))))))</f>
        <v/>
      </c>
      <c r="AA229" s="405" t="str">
        <f>IFERROR(IF(H229="","",IF(H229-V229-W229=0&lt;0,"Error in Areas ▲",IF(V229+W229&gt;H229,"Error in Areas ▲",IF(AND(P229='G-1 All Habitats'!$X$3,AB229="Yes"),"Alternative Compensation ✓",IF(Z229=0,0,IF(P229='G-1 All Habitats'!$X$3,"Any Loss Unacceptable ▲",T229-X229-Y229)))))),"Check Data ⚠")</f>
        <v/>
      </c>
      <c r="AB229" s="837"/>
      <c r="AC229" s="119"/>
      <c r="AD229" s="528"/>
      <c r="AE229" s="120"/>
      <c r="AF229" s="687"/>
      <c r="AG229" s="744" t="str">
        <f>IF(P229="","",IF(P229='G-1 All Habitats'!$X$3,H229-V229-W229,"None"))</f>
        <v/>
      </c>
      <c r="AH229" s="744" t="str">
        <f t="shared" si="33"/>
        <v/>
      </c>
      <c r="AJ229" s="124" t="str">
        <f t="shared" si="34"/>
        <v/>
      </c>
      <c r="AK229" s="124" t="str">
        <f t="shared" si="35"/>
        <v/>
      </c>
      <c r="AL229" s="124" t="str">
        <f>IF(I229="","",IF(#REF!&gt;0,TRUE,FALSE))</f>
        <v/>
      </c>
      <c r="AM229" s="124">
        <v>219</v>
      </c>
      <c r="AN229" s="124"/>
      <c r="AO229" s="124" t="str">
        <f t="array" ref="AO229">IFERROR(INDEX($AM$11:$AM$259, MATCH(0, IF(TRUE=$AJ$11:$AJ$259, COUNTIF($AO$10:$AO228, $AM$11:$AM$259), ""), 0)),"")</f>
        <v/>
      </c>
      <c r="AP229" s="124" t="str">
        <f t="array" ref="AP229">IFERROR(INDEX($AM$11:$AM$259, MATCH(0, IF(TRUE=$AK$11:$AK$259, COUNTIF($AP$10:$AP228, $AM$11:$AM$259), ""), 0)),"")</f>
        <v/>
      </c>
      <c r="AQ229" s="124" t="str">
        <f t="array" ref="AQ229">IFERROR(INDEX($AM$11:$AM$259, MATCH(0, IF(TRUE=$AL$11:$AL$259, COUNTIF($AQ$10:$AQ228, $AM$11:$AM$259), ""), 0)),"")</f>
        <v/>
      </c>
      <c r="AU229" s="30">
        <f t="shared" si="36"/>
        <v>0</v>
      </c>
      <c r="AY229" s="374" t="str">
        <f t="shared" si="37"/>
        <v/>
      </c>
    </row>
    <row r="230" spans="1:51">
      <c r="A230" s="30" t="str">
        <f>IFERROR(INDEX('G-1 All Habitats'!$AG$3:$AG$17,MATCH(E230,'G-1 All Habitats'!$AF$3:$AF$17,0)),"")</f>
        <v/>
      </c>
      <c r="B230" s="30" t="str">
        <f>IFERROR(INDEX('G-8 Condition Look up'!$I$4:$I$135,MATCH(G230,'G-8 Condition Look up'!$A$4:$A$135,0)),"")</f>
        <v/>
      </c>
      <c r="D230" s="110">
        <v>220</v>
      </c>
      <c r="E230" s="339"/>
      <c r="F230" s="340"/>
      <c r="G230" s="295" t="str">
        <f>IFERROR(INDEX('G-1 All Habitats'!$B$3:$B$134,MATCH(F230,'G-1 All Habitats'!$A$3:$A$134,0)),"")</f>
        <v/>
      </c>
      <c r="H230" s="139"/>
      <c r="I230" s="722" t="str">
        <f>IF(G230="","",VLOOKUP(G230,'G-1 All Habitats'!$B$2:$M$134,10,FALSE))</f>
        <v/>
      </c>
      <c r="J230" s="490" t="str">
        <f>IFERROR(VLOOKUP(I230,'G-1 All Habitats'!$V$3:$W$7,2,FALSE),"")</f>
        <v/>
      </c>
      <c r="K230" s="114"/>
      <c r="L230" s="490" t="str">
        <f>IFERROR(INDEX('G-8 Condition Look up'!$A$3:$H$135,MATCH(G230,'G-8 Condition Look up'!$A$3:$A$135,0),MATCH(K230,'G-8 Condition Look up'!$A$3:$H$3,0)),"")</f>
        <v/>
      </c>
      <c r="M230" s="738"/>
      <c r="N230" s="404" t="str">
        <f>IF(M230="","",IF(VLOOKUP(M230,'G-3 Multipliers'!$L$3:$N$6,2,FALSE)=0,"Spatial Data Missing ⚠",VLOOKUP(M230,'G-3 Multipliers'!$L$3:$N$6,2,FALSE)))</f>
        <v/>
      </c>
      <c r="O230" s="452" t="str">
        <f>IF(M230="","",IF(VLOOKUP(M230,'G-3 Multipliers'!$L$3:$N$6,3,FALSE)=0,"Spatial Data Missing ⚠",VLOOKUP(M230,'G-3 Multipliers'!$L$3:$N$6,3,FALSE)))</f>
        <v/>
      </c>
      <c r="P230" s="369" t="str">
        <f>IFERROR(VLOOKUP(G230,'G-1 All Habitats'!$B$2:$M$134,12,FALSE),"")</f>
        <v/>
      </c>
      <c r="Q230" s="725" t="str">
        <f>IFERROR(IF(P230="","",IF(AND(P230='G-1 All Habitats'!$X$3,W230&gt;0),X230+(Y230*S230),IF(AND(P230='G-1 All Habitats'!$X$3,V230&gt;0),X230+(Y230*S230),IF(AND(P230='G-1 All Habitats'!$X$3,AG230&gt;0),"Any Loss Unacceptable  ⚠",IF(AND(P230='G-1 All Habitats'!$X$3,Z230&gt;0),"Any Loss Unacceptable ⚠",H230*J230*L230*O230*S230))))),"Check Data ⚠")</f>
        <v/>
      </c>
      <c r="R230" s="516"/>
      <c r="S230" s="724" t="str">
        <f>IF(R230="","",IF(VLOOKUP(R230,'G-3 Multipliers'!$S$3:$T$10,2,FALSE)=0,"Spatial Data Missing ⚠",VLOOKUP(R230,'G-3 Multipliers'!$S$3:$T$10,2,FALSE)))</f>
        <v/>
      </c>
      <c r="T230" s="376" t="str">
        <f>IFERROR(IF(P230="","",IF(AND(P230='G-1 All Habitats'!$X$3,W230&gt;0),X230+Y230,IF(AND(P230='G-1 All Habitats'!$X$3,V230&gt;0),X230+Y230,IF(AND(P230='G-1 All Habitats'!$X$3,AG230&gt;0),"Any Loss Unacceptable ⚠", IF(R230="","", IF(AND(P230='G-1 All Habitats'!$X$3,Z230&gt;0),"Any Loss Unacceptable ⚠",H230*J230*L230*O230)))))),"Check Data ⚠")</f>
        <v/>
      </c>
      <c r="U230" s="38"/>
      <c r="V230" s="54"/>
      <c r="W230" s="55"/>
      <c r="X230" s="374" t="str">
        <f t="shared" si="31"/>
        <v/>
      </c>
      <c r="Y230" s="374" t="str">
        <f t="shared" si="32"/>
        <v/>
      </c>
      <c r="Z230" s="374" t="str">
        <f>IF(E230="","",IF(H230&lt;V230+W230,"Error in Areas ▲",IF(P230&lt;&gt;'G-1 All Habitats'!$X$3,H230-V230-W230,IF(AND(P230='G-1 All Habitats'!$X$3,AB230="Yes"),"Unacceptable Loss ⚠",IF(AND(P230='G-1 All Habitats'!$X$3,AB230="No"),AG230,IF(AND(P230='G-1 All Habitats'!$X$3,AB230=""),AG230,IF(AND(P230='G-1 All Habitats'!$X$3,AG230="None",AG230),IF(AND(P230='G-1 All Habitats'!$X$3,AG230&gt;0),H230-V230-W230))))))))</f>
        <v/>
      </c>
      <c r="AA230" s="405" t="str">
        <f>IFERROR(IF(H230="","",IF(H230-V230-W230=0&lt;0,"Error in Areas ▲",IF(V230+W230&gt;H230,"Error in Areas ▲",IF(AND(P230='G-1 All Habitats'!$X$3,AB230="Yes"),"Alternative Compensation ✓",IF(Z230=0,0,IF(P230='G-1 All Habitats'!$X$3,"Any Loss Unacceptable ▲",T230-X230-Y230)))))),"Check Data ⚠")</f>
        <v/>
      </c>
      <c r="AB230" s="837"/>
      <c r="AC230" s="119"/>
      <c r="AD230" s="528"/>
      <c r="AE230" s="120"/>
      <c r="AF230" s="687"/>
      <c r="AG230" s="744" t="str">
        <f>IF(P230="","",IF(P230='G-1 All Habitats'!$X$3,H230-V230-W230,"None"))</f>
        <v/>
      </c>
      <c r="AH230" s="744" t="str">
        <f t="shared" si="33"/>
        <v/>
      </c>
      <c r="AJ230" s="124" t="str">
        <f t="shared" si="34"/>
        <v/>
      </c>
      <c r="AK230" s="124" t="str">
        <f t="shared" si="35"/>
        <v/>
      </c>
      <c r="AL230" s="124" t="str">
        <f>IF(I230="","",IF(#REF!&gt;0,TRUE,FALSE))</f>
        <v/>
      </c>
      <c r="AM230" s="124">
        <v>220</v>
      </c>
      <c r="AN230" s="124"/>
      <c r="AO230" s="124" t="str">
        <f t="array" ref="AO230">IFERROR(INDEX($AM$11:$AM$259, MATCH(0, IF(TRUE=$AJ$11:$AJ$259, COUNTIF($AO$10:$AO229, $AM$11:$AM$259), ""), 0)),"")</f>
        <v/>
      </c>
      <c r="AP230" s="124" t="str">
        <f t="array" ref="AP230">IFERROR(INDEX($AM$11:$AM$259, MATCH(0, IF(TRUE=$AK$11:$AK$259, COUNTIF($AP$10:$AP229, $AM$11:$AM$259), ""), 0)),"")</f>
        <v/>
      </c>
      <c r="AQ230" s="124" t="str">
        <f t="array" ref="AQ230">IFERROR(INDEX($AM$11:$AM$259, MATCH(0, IF(TRUE=$AL$11:$AL$259, COUNTIF($AQ$10:$AQ229, $AM$11:$AM$259), ""), 0)),"")</f>
        <v/>
      </c>
      <c r="AU230" s="30">
        <f t="shared" si="36"/>
        <v>0</v>
      </c>
      <c r="AY230" s="374" t="str">
        <f t="shared" si="37"/>
        <v/>
      </c>
    </row>
    <row r="231" spans="1:51">
      <c r="A231" s="30" t="str">
        <f>IFERROR(INDEX('G-1 All Habitats'!$AG$3:$AG$17,MATCH(E231,'G-1 All Habitats'!$AF$3:$AF$17,0)),"")</f>
        <v/>
      </c>
      <c r="B231" s="30" t="str">
        <f>IFERROR(INDEX('G-8 Condition Look up'!$I$4:$I$135,MATCH(G231,'G-8 Condition Look up'!$A$4:$A$135,0)),"")</f>
        <v/>
      </c>
      <c r="D231" s="110">
        <v>221</v>
      </c>
      <c r="E231" s="339"/>
      <c r="F231" s="340"/>
      <c r="G231" s="295" t="str">
        <f>IFERROR(INDEX('G-1 All Habitats'!$B$3:$B$134,MATCH(F231,'G-1 All Habitats'!$A$3:$A$134,0)),"")</f>
        <v/>
      </c>
      <c r="H231" s="139"/>
      <c r="I231" s="722" t="str">
        <f>IF(G231="","",VLOOKUP(G231,'G-1 All Habitats'!$B$2:$M$134,10,FALSE))</f>
        <v/>
      </c>
      <c r="J231" s="490" t="str">
        <f>IFERROR(VLOOKUP(I231,'G-1 All Habitats'!$V$3:$W$7,2,FALSE),"")</f>
        <v/>
      </c>
      <c r="K231" s="114"/>
      <c r="L231" s="490" t="str">
        <f>IFERROR(INDEX('G-8 Condition Look up'!$A$3:$H$135,MATCH(G231,'G-8 Condition Look up'!$A$3:$A$135,0),MATCH(K231,'G-8 Condition Look up'!$A$3:$H$3,0)),"")</f>
        <v/>
      </c>
      <c r="M231" s="738"/>
      <c r="N231" s="404" t="str">
        <f>IF(M231="","",IF(VLOOKUP(M231,'G-3 Multipliers'!$L$3:$N$6,2,FALSE)=0,"Spatial Data Missing ⚠",VLOOKUP(M231,'G-3 Multipliers'!$L$3:$N$6,2,FALSE)))</f>
        <v/>
      </c>
      <c r="O231" s="452" t="str">
        <f>IF(M231="","",IF(VLOOKUP(M231,'G-3 Multipliers'!$L$3:$N$6,3,FALSE)=0,"Spatial Data Missing ⚠",VLOOKUP(M231,'G-3 Multipliers'!$L$3:$N$6,3,FALSE)))</f>
        <v/>
      </c>
      <c r="P231" s="369" t="str">
        <f>IFERROR(VLOOKUP(G231,'G-1 All Habitats'!$B$2:$M$134,12,FALSE),"")</f>
        <v/>
      </c>
      <c r="Q231" s="725" t="str">
        <f>IFERROR(IF(P231="","",IF(AND(P231='G-1 All Habitats'!$X$3,W231&gt;0),X231+(Y231*S231),IF(AND(P231='G-1 All Habitats'!$X$3,V231&gt;0),X231+(Y231*S231),IF(AND(P231='G-1 All Habitats'!$X$3,AG231&gt;0),"Any Loss Unacceptable  ⚠",IF(AND(P231='G-1 All Habitats'!$X$3,Z231&gt;0),"Any Loss Unacceptable ⚠",H231*J231*L231*O231*S231))))),"Check Data ⚠")</f>
        <v/>
      </c>
      <c r="R231" s="516"/>
      <c r="S231" s="724" t="str">
        <f>IF(R231="","",IF(VLOOKUP(R231,'G-3 Multipliers'!$S$3:$T$10,2,FALSE)=0,"Spatial Data Missing ⚠",VLOOKUP(R231,'G-3 Multipliers'!$S$3:$T$10,2,FALSE)))</f>
        <v/>
      </c>
      <c r="T231" s="376" t="str">
        <f>IFERROR(IF(P231="","",IF(AND(P231='G-1 All Habitats'!$X$3,W231&gt;0),X231+Y231,IF(AND(P231='G-1 All Habitats'!$X$3,V231&gt;0),X231+Y231,IF(AND(P231='G-1 All Habitats'!$X$3,AG231&gt;0),"Any Loss Unacceptable ⚠", IF(R231="","", IF(AND(P231='G-1 All Habitats'!$X$3,Z231&gt;0),"Any Loss Unacceptable ⚠",H231*J231*L231*O231)))))),"Check Data ⚠")</f>
        <v/>
      </c>
      <c r="U231" s="38"/>
      <c r="V231" s="54"/>
      <c r="W231" s="55"/>
      <c r="X231" s="374" t="str">
        <f t="shared" si="31"/>
        <v/>
      </c>
      <c r="Y231" s="374" t="str">
        <f t="shared" si="32"/>
        <v/>
      </c>
      <c r="Z231" s="374" t="str">
        <f>IF(E231="","",IF(H231&lt;V231+W231,"Error in Areas ▲",IF(P231&lt;&gt;'G-1 All Habitats'!$X$3,H231-V231-W231,IF(AND(P231='G-1 All Habitats'!$X$3,AB231="Yes"),"Unacceptable Loss ⚠",IF(AND(P231='G-1 All Habitats'!$X$3,AB231="No"),AG231,IF(AND(P231='G-1 All Habitats'!$X$3,AB231=""),AG231,IF(AND(P231='G-1 All Habitats'!$X$3,AG231="None",AG231),IF(AND(P231='G-1 All Habitats'!$X$3,AG231&gt;0),H231-V231-W231))))))))</f>
        <v/>
      </c>
      <c r="AA231" s="405" t="str">
        <f>IFERROR(IF(H231="","",IF(H231-V231-W231=0&lt;0,"Error in Areas ▲",IF(V231+W231&gt;H231,"Error in Areas ▲",IF(AND(P231='G-1 All Habitats'!$X$3,AB231="Yes"),"Alternative Compensation ✓",IF(Z231=0,0,IF(P231='G-1 All Habitats'!$X$3,"Any Loss Unacceptable ▲",T231-X231-Y231)))))),"Check Data ⚠")</f>
        <v/>
      </c>
      <c r="AB231" s="837"/>
      <c r="AC231" s="119"/>
      <c r="AD231" s="528"/>
      <c r="AE231" s="120"/>
      <c r="AF231" s="687"/>
      <c r="AG231" s="744" t="str">
        <f>IF(P231="","",IF(P231='G-1 All Habitats'!$X$3,H231-V231-W231,"None"))</f>
        <v/>
      </c>
      <c r="AH231" s="744" t="str">
        <f t="shared" si="33"/>
        <v/>
      </c>
      <c r="AJ231" s="124" t="str">
        <f t="shared" si="34"/>
        <v/>
      </c>
      <c r="AK231" s="124" t="str">
        <f t="shared" si="35"/>
        <v/>
      </c>
      <c r="AL231" s="124" t="str">
        <f>IF(I231="","",IF(#REF!&gt;0,TRUE,FALSE))</f>
        <v/>
      </c>
      <c r="AM231" s="124">
        <v>221</v>
      </c>
      <c r="AN231" s="124"/>
      <c r="AO231" s="124" t="str">
        <f t="array" ref="AO231">IFERROR(INDEX($AM$11:$AM$259, MATCH(0, IF(TRUE=$AJ$11:$AJ$259, COUNTIF($AO$10:$AO230, $AM$11:$AM$259), ""), 0)),"")</f>
        <v/>
      </c>
      <c r="AP231" s="124" t="str">
        <f t="array" ref="AP231">IFERROR(INDEX($AM$11:$AM$259, MATCH(0, IF(TRUE=$AK$11:$AK$259, COUNTIF($AP$10:$AP230, $AM$11:$AM$259), ""), 0)),"")</f>
        <v/>
      </c>
      <c r="AQ231" s="124" t="str">
        <f t="array" ref="AQ231">IFERROR(INDEX($AM$11:$AM$259, MATCH(0, IF(TRUE=$AL$11:$AL$259, COUNTIF($AQ$10:$AQ230, $AM$11:$AM$259), ""), 0)),"")</f>
        <v/>
      </c>
      <c r="AU231" s="30">
        <f t="shared" si="36"/>
        <v>0</v>
      </c>
      <c r="AY231" s="374" t="str">
        <f t="shared" si="37"/>
        <v/>
      </c>
    </row>
    <row r="232" spans="1:51">
      <c r="A232" s="30" t="str">
        <f>IFERROR(INDEX('G-1 All Habitats'!$AG$3:$AG$17,MATCH(E232,'G-1 All Habitats'!$AF$3:$AF$17,0)),"")</f>
        <v/>
      </c>
      <c r="B232" s="30" t="str">
        <f>IFERROR(INDEX('G-8 Condition Look up'!$I$4:$I$135,MATCH(G232,'G-8 Condition Look up'!$A$4:$A$135,0)),"")</f>
        <v/>
      </c>
      <c r="D232" s="110">
        <v>222</v>
      </c>
      <c r="E232" s="339"/>
      <c r="F232" s="340"/>
      <c r="G232" s="295" t="str">
        <f>IFERROR(INDEX('G-1 All Habitats'!$B$3:$B$134,MATCH(F232,'G-1 All Habitats'!$A$3:$A$134,0)),"")</f>
        <v/>
      </c>
      <c r="H232" s="139"/>
      <c r="I232" s="722" t="str">
        <f>IF(G232="","",VLOOKUP(G232,'G-1 All Habitats'!$B$2:$M$134,10,FALSE))</f>
        <v/>
      </c>
      <c r="J232" s="490" t="str">
        <f>IFERROR(VLOOKUP(I232,'G-1 All Habitats'!$V$3:$W$7,2,FALSE),"")</f>
        <v/>
      </c>
      <c r="K232" s="114"/>
      <c r="L232" s="490" t="str">
        <f>IFERROR(INDEX('G-8 Condition Look up'!$A$3:$H$135,MATCH(G232,'G-8 Condition Look up'!$A$3:$A$135,0),MATCH(K232,'G-8 Condition Look up'!$A$3:$H$3,0)),"")</f>
        <v/>
      </c>
      <c r="M232" s="738"/>
      <c r="N232" s="404" t="str">
        <f>IF(M232="","",IF(VLOOKUP(M232,'G-3 Multipliers'!$L$3:$N$6,2,FALSE)=0,"Spatial Data Missing ⚠",VLOOKUP(M232,'G-3 Multipliers'!$L$3:$N$6,2,FALSE)))</f>
        <v/>
      </c>
      <c r="O232" s="452" t="str">
        <f>IF(M232="","",IF(VLOOKUP(M232,'G-3 Multipliers'!$L$3:$N$6,3,FALSE)=0,"Spatial Data Missing ⚠",VLOOKUP(M232,'G-3 Multipliers'!$L$3:$N$6,3,FALSE)))</f>
        <v/>
      </c>
      <c r="P232" s="369" t="str">
        <f>IFERROR(VLOOKUP(G232,'G-1 All Habitats'!$B$2:$M$134,12,FALSE),"")</f>
        <v/>
      </c>
      <c r="Q232" s="725" t="str">
        <f>IFERROR(IF(P232="","",IF(AND(P232='G-1 All Habitats'!$X$3,W232&gt;0),X232+(Y232*S232),IF(AND(P232='G-1 All Habitats'!$X$3,V232&gt;0),X232+(Y232*S232),IF(AND(P232='G-1 All Habitats'!$X$3,AG232&gt;0),"Any Loss Unacceptable  ⚠",IF(AND(P232='G-1 All Habitats'!$X$3,Z232&gt;0),"Any Loss Unacceptable ⚠",H232*J232*L232*O232*S232))))),"Check Data ⚠")</f>
        <v/>
      </c>
      <c r="R232" s="516"/>
      <c r="S232" s="724" t="str">
        <f>IF(R232="","",IF(VLOOKUP(R232,'G-3 Multipliers'!$S$3:$T$10,2,FALSE)=0,"Spatial Data Missing ⚠",VLOOKUP(R232,'G-3 Multipliers'!$S$3:$T$10,2,FALSE)))</f>
        <v/>
      </c>
      <c r="T232" s="376" t="str">
        <f>IFERROR(IF(P232="","",IF(AND(P232='G-1 All Habitats'!$X$3,W232&gt;0),X232+Y232,IF(AND(P232='G-1 All Habitats'!$X$3,V232&gt;0),X232+Y232,IF(AND(P232='G-1 All Habitats'!$X$3,AG232&gt;0),"Any Loss Unacceptable ⚠", IF(R232="","", IF(AND(P232='G-1 All Habitats'!$X$3,Z232&gt;0),"Any Loss Unacceptable ⚠",H232*J232*L232*O232)))))),"Check Data ⚠")</f>
        <v/>
      </c>
      <c r="U232" s="38"/>
      <c r="V232" s="54"/>
      <c r="W232" s="55"/>
      <c r="X232" s="374" t="str">
        <f t="shared" si="31"/>
        <v/>
      </c>
      <c r="Y232" s="374" t="str">
        <f t="shared" si="32"/>
        <v/>
      </c>
      <c r="Z232" s="374" t="str">
        <f>IF(E232="","",IF(H232&lt;V232+W232,"Error in Areas ▲",IF(P232&lt;&gt;'G-1 All Habitats'!$X$3,H232-V232-W232,IF(AND(P232='G-1 All Habitats'!$X$3,AB232="Yes"),"Unacceptable Loss ⚠",IF(AND(P232='G-1 All Habitats'!$X$3,AB232="No"),AG232,IF(AND(P232='G-1 All Habitats'!$X$3,AB232=""),AG232,IF(AND(P232='G-1 All Habitats'!$X$3,AG232="None",AG232),IF(AND(P232='G-1 All Habitats'!$X$3,AG232&gt;0),H232-V232-W232))))))))</f>
        <v/>
      </c>
      <c r="AA232" s="405" t="str">
        <f>IFERROR(IF(H232="","",IF(H232-V232-W232=0&lt;0,"Error in Areas ▲",IF(V232+W232&gt;H232,"Error in Areas ▲",IF(AND(P232='G-1 All Habitats'!$X$3,AB232="Yes"),"Alternative Compensation ✓",IF(Z232=0,0,IF(P232='G-1 All Habitats'!$X$3,"Any Loss Unacceptable ▲",T232-X232-Y232)))))),"Check Data ⚠")</f>
        <v/>
      </c>
      <c r="AB232" s="837"/>
      <c r="AC232" s="119"/>
      <c r="AD232" s="528"/>
      <c r="AE232" s="120"/>
      <c r="AF232" s="687"/>
      <c r="AG232" s="744" t="str">
        <f>IF(P232="","",IF(P232='G-1 All Habitats'!$X$3,H232-V232-W232,"None"))</f>
        <v/>
      </c>
      <c r="AH232" s="744" t="str">
        <f t="shared" si="33"/>
        <v/>
      </c>
      <c r="AJ232" s="124" t="str">
        <f t="shared" si="34"/>
        <v/>
      </c>
      <c r="AK232" s="124" t="str">
        <f t="shared" si="35"/>
        <v/>
      </c>
      <c r="AL232" s="124" t="str">
        <f>IF(I232="","",IF(#REF!&gt;0,TRUE,FALSE))</f>
        <v/>
      </c>
      <c r="AM232" s="124">
        <v>222</v>
      </c>
      <c r="AN232" s="124"/>
      <c r="AO232" s="124" t="str">
        <f t="array" ref="AO232">IFERROR(INDEX($AM$11:$AM$259, MATCH(0, IF(TRUE=$AJ$11:$AJ$259, COUNTIF($AO$10:$AO231, $AM$11:$AM$259), ""), 0)),"")</f>
        <v/>
      </c>
      <c r="AP232" s="124" t="str">
        <f t="array" ref="AP232">IFERROR(INDEX($AM$11:$AM$259, MATCH(0, IF(TRUE=$AK$11:$AK$259, COUNTIF($AP$10:$AP231, $AM$11:$AM$259), ""), 0)),"")</f>
        <v/>
      </c>
      <c r="AQ232" s="124" t="str">
        <f t="array" ref="AQ232">IFERROR(INDEX($AM$11:$AM$259, MATCH(0, IF(TRUE=$AL$11:$AL$259, COUNTIF($AQ$10:$AQ231, $AM$11:$AM$259), ""), 0)),"")</f>
        <v/>
      </c>
      <c r="AU232" s="30">
        <f t="shared" si="36"/>
        <v>0</v>
      </c>
      <c r="AY232" s="374" t="str">
        <f t="shared" si="37"/>
        <v/>
      </c>
    </row>
    <row r="233" spans="1:51">
      <c r="A233" s="30" t="str">
        <f>IFERROR(INDEX('G-1 All Habitats'!$AG$3:$AG$17,MATCH(E233,'G-1 All Habitats'!$AF$3:$AF$17,0)),"")</f>
        <v/>
      </c>
      <c r="B233" s="30" t="str">
        <f>IFERROR(INDEX('G-8 Condition Look up'!$I$4:$I$135,MATCH(G233,'G-8 Condition Look up'!$A$4:$A$135,0)),"")</f>
        <v/>
      </c>
      <c r="D233" s="110">
        <v>223</v>
      </c>
      <c r="E233" s="339"/>
      <c r="F233" s="340"/>
      <c r="G233" s="295" t="str">
        <f>IFERROR(INDEX('G-1 All Habitats'!$B$3:$B$134,MATCH(F233,'G-1 All Habitats'!$A$3:$A$134,0)),"")</f>
        <v/>
      </c>
      <c r="H233" s="139"/>
      <c r="I233" s="722" t="str">
        <f>IF(G233="","",VLOOKUP(G233,'G-1 All Habitats'!$B$2:$M$134,10,FALSE))</f>
        <v/>
      </c>
      <c r="J233" s="490" t="str">
        <f>IFERROR(VLOOKUP(I233,'G-1 All Habitats'!$V$3:$W$7,2,FALSE),"")</f>
        <v/>
      </c>
      <c r="K233" s="114"/>
      <c r="L233" s="490" t="str">
        <f>IFERROR(INDEX('G-8 Condition Look up'!$A$3:$H$135,MATCH(G233,'G-8 Condition Look up'!$A$3:$A$135,0),MATCH(K233,'G-8 Condition Look up'!$A$3:$H$3,0)),"")</f>
        <v/>
      </c>
      <c r="M233" s="738"/>
      <c r="N233" s="404" t="str">
        <f>IF(M233="","",IF(VLOOKUP(M233,'G-3 Multipliers'!$L$3:$N$6,2,FALSE)=0,"Spatial Data Missing ⚠",VLOOKUP(M233,'G-3 Multipliers'!$L$3:$N$6,2,FALSE)))</f>
        <v/>
      </c>
      <c r="O233" s="452" t="str">
        <f>IF(M233="","",IF(VLOOKUP(M233,'G-3 Multipliers'!$L$3:$N$6,3,FALSE)=0,"Spatial Data Missing ⚠",VLOOKUP(M233,'G-3 Multipliers'!$L$3:$N$6,3,FALSE)))</f>
        <v/>
      </c>
      <c r="P233" s="369" t="str">
        <f>IFERROR(VLOOKUP(G233,'G-1 All Habitats'!$B$2:$M$134,12,FALSE),"")</f>
        <v/>
      </c>
      <c r="Q233" s="725" t="str">
        <f>IFERROR(IF(P233="","",IF(AND(P233='G-1 All Habitats'!$X$3,W233&gt;0),X233+(Y233*S233),IF(AND(P233='G-1 All Habitats'!$X$3,V233&gt;0),X233+(Y233*S233),IF(AND(P233='G-1 All Habitats'!$X$3,AG233&gt;0),"Any Loss Unacceptable  ⚠",IF(AND(P233='G-1 All Habitats'!$X$3,Z233&gt;0),"Any Loss Unacceptable ⚠",H233*J233*L233*O233*S233))))),"Check Data ⚠")</f>
        <v/>
      </c>
      <c r="R233" s="516"/>
      <c r="S233" s="724" t="str">
        <f>IF(R233="","",IF(VLOOKUP(R233,'G-3 Multipliers'!$S$3:$T$10,2,FALSE)=0,"Spatial Data Missing ⚠",VLOOKUP(R233,'G-3 Multipliers'!$S$3:$T$10,2,FALSE)))</f>
        <v/>
      </c>
      <c r="T233" s="376" t="str">
        <f>IFERROR(IF(P233="","",IF(AND(P233='G-1 All Habitats'!$X$3,W233&gt;0),X233+Y233,IF(AND(P233='G-1 All Habitats'!$X$3,V233&gt;0),X233+Y233,IF(AND(P233='G-1 All Habitats'!$X$3,AG233&gt;0),"Any Loss Unacceptable ⚠", IF(R233="","", IF(AND(P233='G-1 All Habitats'!$X$3,Z233&gt;0),"Any Loss Unacceptable ⚠",H233*J233*L233*O233)))))),"Check Data ⚠")</f>
        <v/>
      </c>
      <c r="U233" s="38"/>
      <c r="V233" s="54"/>
      <c r="W233" s="55"/>
      <c r="X233" s="374" t="str">
        <f t="shared" si="31"/>
        <v/>
      </c>
      <c r="Y233" s="374" t="str">
        <f t="shared" si="32"/>
        <v/>
      </c>
      <c r="Z233" s="374" t="str">
        <f>IF(E233="","",IF(H233&lt;V233+W233,"Error in Areas ▲",IF(P233&lt;&gt;'G-1 All Habitats'!$X$3,H233-V233-W233,IF(AND(P233='G-1 All Habitats'!$X$3,AB233="Yes"),"Unacceptable Loss ⚠",IF(AND(P233='G-1 All Habitats'!$X$3,AB233="No"),AG233,IF(AND(P233='G-1 All Habitats'!$X$3,AB233=""),AG233,IF(AND(P233='G-1 All Habitats'!$X$3,AG233="None",AG233),IF(AND(P233='G-1 All Habitats'!$X$3,AG233&gt;0),H233-V233-W233))))))))</f>
        <v/>
      </c>
      <c r="AA233" s="405" t="str">
        <f>IFERROR(IF(H233="","",IF(H233-V233-W233=0&lt;0,"Error in Areas ▲",IF(V233+W233&gt;H233,"Error in Areas ▲",IF(AND(P233='G-1 All Habitats'!$X$3,AB233="Yes"),"Alternative Compensation ✓",IF(Z233=0,0,IF(P233='G-1 All Habitats'!$X$3,"Any Loss Unacceptable ▲",T233-X233-Y233)))))),"Check Data ⚠")</f>
        <v/>
      </c>
      <c r="AB233" s="837"/>
      <c r="AC233" s="119"/>
      <c r="AD233" s="528"/>
      <c r="AE233" s="120"/>
      <c r="AF233" s="687"/>
      <c r="AG233" s="744" t="str">
        <f>IF(P233="","",IF(P233='G-1 All Habitats'!$X$3,H233-V233-W233,"None"))</f>
        <v/>
      </c>
      <c r="AH233" s="744" t="str">
        <f t="shared" si="33"/>
        <v/>
      </c>
      <c r="AJ233" s="124" t="str">
        <f t="shared" si="34"/>
        <v/>
      </c>
      <c r="AK233" s="124" t="str">
        <f t="shared" si="35"/>
        <v/>
      </c>
      <c r="AL233" s="124" t="str">
        <f>IF(I233="","",IF(#REF!&gt;0,TRUE,FALSE))</f>
        <v/>
      </c>
      <c r="AM233" s="124">
        <v>223</v>
      </c>
      <c r="AN233" s="124"/>
      <c r="AO233" s="124" t="str">
        <f t="array" ref="AO233">IFERROR(INDEX($AM$11:$AM$259, MATCH(0, IF(TRUE=$AJ$11:$AJ$259, COUNTIF($AO$10:$AO232, $AM$11:$AM$259), ""), 0)),"")</f>
        <v/>
      </c>
      <c r="AP233" s="124" t="str">
        <f t="array" ref="AP233">IFERROR(INDEX($AM$11:$AM$259, MATCH(0, IF(TRUE=$AK$11:$AK$259, COUNTIF($AP$10:$AP232, $AM$11:$AM$259), ""), 0)),"")</f>
        <v/>
      </c>
      <c r="AQ233" s="124" t="str">
        <f t="array" ref="AQ233">IFERROR(INDEX($AM$11:$AM$259, MATCH(0, IF(TRUE=$AL$11:$AL$259, COUNTIF($AQ$10:$AQ232, $AM$11:$AM$259), ""), 0)),"")</f>
        <v/>
      </c>
      <c r="AU233" s="30">
        <f t="shared" si="36"/>
        <v>0</v>
      </c>
      <c r="AY233" s="374" t="str">
        <f t="shared" si="37"/>
        <v/>
      </c>
    </row>
    <row r="234" spans="1:51">
      <c r="A234" s="30" t="str">
        <f>IFERROR(INDEX('G-1 All Habitats'!$AG$3:$AG$17,MATCH(E234,'G-1 All Habitats'!$AF$3:$AF$17,0)),"")</f>
        <v/>
      </c>
      <c r="B234" s="30" t="str">
        <f>IFERROR(INDEX('G-8 Condition Look up'!$I$4:$I$135,MATCH(G234,'G-8 Condition Look up'!$A$4:$A$135,0)),"")</f>
        <v/>
      </c>
      <c r="D234" s="110">
        <v>224</v>
      </c>
      <c r="E234" s="339"/>
      <c r="F234" s="340"/>
      <c r="G234" s="295" t="str">
        <f>IFERROR(INDEX('G-1 All Habitats'!$B$3:$B$134,MATCH(F234,'G-1 All Habitats'!$A$3:$A$134,0)),"")</f>
        <v/>
      </c>
      <c r="H234" s="139"/>
      <c r="I234" s="722" t="str">
        <f>IF(G234="","",VLOOKUP(G234,'G-1 All Habitats'!$B$2:$M$134,10,FALSE))</f>
        <v/>
      </c>
      <c r="J234" s="490" t="str">
        <f>IFERROR(VLOOKUP(I234,'G-1 All Habitats'!$V$3:$W$7,2,FALSE),"")</f>
        <v/>
      </c>
      <c r="K234" s="114"/>
      <c r="L234" s="490" t="str">
        <f>IFERROR(INDEX('G-8 Condition Look up'!$A$3:$H$135,MATCH(G234,'G-8 Condition Look up'!$A$3:$A$135,0),MATCH(K234,'G-8 Condition Look up'!$A$3:$H$3,0)),"")</f>
        <v/>
      </c>
      <c r="M234" s="738"/>
      <c r="N234" s="404" t="str">
        <f>IF(M234="","",IF(VLOOKUP(M234,'G-3 Multipliers'!$L$3:$N$6,2,FALSE)=0,"Spatial Data Missing ⚠",VLOOKUP(M234,'G-3 Multipliers'!$L$3:$N$6,2,FALSE)))</f>
        <v/>
      </c>
      <c r="O234" s="452" t="str">
        <f>IF(M234="","",IF(VLOOKUP(M234,'G-3 Multipliers'!$L$3:$N$6,3,FALSE)=0,"Spatial Data Missing ⚠",VLOOKUP(M234,'G-3 Multipliers'!$L$3:$N$6,3,FALSE)))</f>
        <v/>
      </c>
      <c r="P234" s="369" t="str">
        <f>IFERROR(VLOOKUP(G234,'G-1 All Habitats'!$B$2:$M$134,12,FALSE),"")</f>
        <v/>
      </c>
      <c r="Q234" s="725" t="str">
        <f>IFERROR(IF(P234="","",IF(AND(P234='G-1 All Habitats'!$X$3,W234&gt;0),X234+(Y234*S234),IF(AND(P234='G-1 All Habitats'!$X$3,V234&gt;0),X234+(Y234*S234),IF(AND(P234='G-1 All Habitats'!$X$3,AG234&gt;0),"Any Loss Unacceptable  ⚠",IF(AND(P234='G-1 All Habitats'!$X$3,Z234&gt;0),"Any Loss Unacceptable ⚠",H234*J234*L234*O234*S234))))),"Check Data ⚠")</f>
        <v/>
      </c>
      <c r="R234" s="516"/>
      <c r="S234" s="724" t="str">
        <f>IF(R234="","",IF(VLOOKUP(R234,'G-3 Multipliers'!$S$3:$T$10,2,FALSE)=0,"Spatial Data Missing ⚠",VLOOKUP(R234,'G-3 Multipliers'!$S$3:$T$10,2,FALSE)))</f>
        <v/>
      </c>
      <c r="T234" s="376" t="str">
        <f>IFERROR(IF(P234="","",IF(AND(P234='G-1 All Habitats'!$X$3,W234&gt;0),X234+Y234,IF(AND(P234='G-1 All Habitats'!$X$3,V234&gt;0),X234+Y234,IF(AND(P234='G-1 All Habitats'!$X$3,AG234&gt;0),"Any Loss Unacceptable ⚠", IF(R234="","", IF(AND(P234='G-1 All Habitats'!$X$3,Z234&gt;0),"Any Loss Unacceptable ⚠",H234*J234*L234*O234)))))),"Check Data ⚠")</f>
        <v/>
      </c>
      <c r="U234" s="38"/>
      <c r="V234" s="54"/>
      <c r="W234" s="55"/>
      <c r="X234" s="374" t="str">
        <f t="shared" si="31"/>
        <v/>
      </c>
      <c r="Y234" s="374" t="str">
        <f t="shared" si="32"/>
        <v/>
      </c>
      <c r="Z234" s="374" t="str">
        <f>IF(E234="","",IF(H234&lt;V234+W234,"Error in Areas ▲",IF(P234&lt;&gt;'G-1 All Habitats'!$X$3,H234-V234-W234,IF(AND(P234='G-1 All Habitats'!$X$3,AB234="Yes"),"Unacceptable Loss ⚠",IF(AND(P234='G-1 All Habitats'!$X$3,AB234="No"),AG234,IF(AND(P234='G-1 All Habitats'!$X$3,AB234=""),AG234,IF(AND(P234='G-1 All Habitats'!$X$3,AG234="None",AG234),IF(AND(P234='G-1 All Habitats'!$X$3,AG234&gt;0),H234-V234-W234))))))))</f>
        <v/>
      </c>
      <c r="AA234" s="405" t="str">
        <f>IFERROR(IF(H234="","",IF(H234-V234-W234=0&lt;0,"Error in Areas ▲",IF(V234+W234&gt;H234,"Error in Areas ▲",IF(AND(P234='G-1 All Habitats'!$X$3,AB234="Yes"),"Alternative Compensation ✓",IF(Z234=0,0,IF(P234='G-1 All Habitats'!$X$3,"Any Loss Unacceptable ▲",T234-X234-Y234)))))),"Check Data ⚠")</f>
        <v/>
      </c>
      <c r="AB234" s="837"/>
      <c r="AC234" s="119"/>
      <c r="AD234" s="528"/>
      <c r="AE234" s="120"/>
      <c r="AF234" s="687"/>
      <c r="AG234" s="744" t="str">
        <f>IF(P234="","",IF(P234='G-1 All Habitats'!$X$3,H234-V234-W234,"None"))</f>
        <v/>
      </c>
      <c r="AH234" s="744" t="str">
        <f t="shared" si="33"/>
        <v/>
      </c>
      <c r="AJ234" s="124" t="str">
        <f t="shared" si="34"/>
        <v/>
      </c>
      <c r="AK234" s="124" t="str">
        <f t="shared" si="35"/>
        <v/>
      </c>
      <c r="AL234" s="124" t="str">
        <f>IF(I234="","",IF(#REF!&gt;0,TRUE,FALSE))</f>
        <v/>
      </c>
      <c r="AM234" s="124">
        <v>224</v>
      </c>
      <c r="AN234" s="124"/>
      <c r="AO234" s="124" t="str">
        <f t="array" ref="AO234">IFERROR(INDEX($AM$11:$AM$259, MATCH(0, IF(TRUE=$AJ$11:$AJ$259, COUNTIF($AO$10:$AO233, $AM$11:$AM$259), ""), 0)),"")</f>
        <v/>
      </c>
      <c r="AP234" s="124" t="str">
        <f t="array" ref="AP234">IFERROR(INDEX($AM$11:$AM$259, MATCH(0, IF(TRUE=$AK$11:$AK$259, COUNTIF($AP$10:$AP233, $AM$11:$AM$259), ""), 0)),"")</f>
        <v/>
      </c>
      <c r="AQ234" s="124" t="str">
        <f t="array" ref="AQ234">IFERROR(INDEX($AM$11:$AM$259, MATCH(0, IF(TRUE=$AL$11:$AL$259, COUNTIF($AQ$10:$AQ233, $AM$11:$AM$259), ""), 0)),"")</f>
        <v/>
      </c>
      <c r="AU234" s="30">
        <f t="shared" si="36"/>
        <v>0</v>
      </c>
      <c r="AY234" s="374" t="str">
        <f t="shared" si="37"/>
        <v/>
      </c>
    </row>
    <row r="235" spans="1:51">
      <c r="A235" s="30" t="str">
        <f>IFERROR(INDEX('G-1 All Habitats'!$AG$3:$AG$17,MATCH(E235,'G-1 All Habitats'!$AF$3:$AF$17,0)),"")</f>
        <v/>
      </c>
      <c r="B235" s="30" t="str">
        <f>IFERROR(INDEX('G-8 Condition Look up'!$I$4:$I$135,MATCH(G235,'G-8 Condition Look up'!$A$4:$A$135,0)),"")</f>
        <v/>
      </c>
      <c r="D235" s="110">
        <v>225</v>
      </c>
      <c r="E235" s="339"/>
      <c r="F235" s="340"/>
      <c r="G235" s="295" t="str">
        <f>IFERROR(INDEX('G-1 All Habitats'!$B$3:$B$134,MATCH(F235,'G-1 All Habitats'!$A$3:$A$134,0)),"")</f>
        <v/>
      </c>
      <c r="H235" s="139"/>
      <c r="I235" s="722" t="str">
        <f>IF(G235="","",VLOOKUP(G235,'G-1 All Habitats'!$B$2:$M$134,10,FALSE))</f>
        <v/>
      </c>
      <c r="J235" s="490" t="str">
        <f>IFERROR(VLOOKUP(I235,'G-1 All Habitats'!$V$3:$W$7,2,FALSE),"")</f>
        <v/>
      </c>
      <c r="K235" s="114"/>
      <c r="L235" s="490" t="str">
        <f>IFERROR(INDEX('G-8 Condition Look up'!$A$3:$H$135,MATCH(G235,'G-8 Condition Look up'!$A$3:$A$135,0),MATCH(K235,'G-8 Condition Look up'!$A$3:$H$3,0)),"")</f>
        <v/>
      </c>
      <c r="M235" s="738"/>
      <c r="N235" s="404" t="str">
        <f>IF(M235="","",IF(VLOOKUP(M235,'G-3 Multipliers'!$L$3:$N$6,2,FALSE)=0,"Spatial Data Missing ⚠",VLOOKUP(M235,'G-3 Multipliers'!$L$3:$N$6,2,FALSE)))</f>
        <v/>
      </c>
      <c r="O235" s="452" t="str">
        <f>IF(M235="","",IF(VLOOKUP(M235,'G-3 Multipliers'!$L$3:$N$6,3,FALSE)=0,"Spatial Data Missing ⚠",VLOOKUP(M235,'G-3 Multipliers'!$L$3:$N$6,3,FALSE)))</f>
        <v/>
      </c>
      <c r="P235" s="369" t="str">
        <f>IFERROR(VLOOKUP(G235,'G-1 All Habitats'!$B$2:$M$134,12,FALSE),"")</f>
        <v/>
      </c>
      <c r="Q235" s="725" t="str">
        <f>IFERROR(IF(P235="","",IF(AND(P235='G-1 All Habitats'!$X$3,W235&gt;0),X235+(Y235*S235),IF(AND(P235='G-1 All Habitats'!$X$3,V235&gt;0),X235+(Y235*S235),IF(AND(P235='G-1 All Habitats'!$X$3,AG235&gt;0),"Any Loss Unacceptable  ⚠",IF(AND(P235='G-1 All Habitats'!$X$3,Z235&gt;0),"Any Loss Unacceptable ⚠",H235*J235*L235*O235*S235))))),"Check Data ⚠")</f>
        <v/>
      </c>
      <c r="R235" s="516"/>
      <c r="S235" s="724" t="str">
        <f>IF(R235="","",IF(VLOOKUP(R235,'G-3 Multipliers'!$S$3:$T$10,2,FALSE)=0,"Spatial Data Missing ⚠",VLOOKUP(R235,'G-3 Multipliers'!$S$3:$T$10,2,FALSE)))</f>
        <v/>
      </c>
      <c r="T235" s="376" t="str">
        <f>IFERROR(IF(P235="","",IF(AND(P235='G-1 All Habitats'!$X$3,W235&gt;0),X235+Y235,IF(AND(P235='G-1 All Habitats'!$X$3,V235&gt;0),X235+Y235,IF(AND(P235='G-1 All Habitats'!$X$3,AG235&gt;0),"Any Loss Unacceptable ⚠", IF(R235="","", IF(AND(P235='G-1 All Habitats'!$X$3,Z235&gt;0),"Any Loss Unacceptable ⚠",H235*J235*L235*O235)))))),"Check Data ⚠")</f>
        <v/>
      </c>
      <c r="U235" s="38"/>
      <c r="V235" s="54"/>
      <c r="W235" s="55"/>
      <c r="X235" s="374" t="str">
        <f t="shared" si="31"/>
        <v/>
      </c>
      <c r="Y235" s="374" t="str">
        <f t="shared" si="32"/>
        <v/>
      </c>
      <c r="Z235" s="374" t="str">
        <f>IF(E235="","",IF(H235&lt;V235+W235,"Error in Areas ▲",IF(P235&lt;&gt;'G-1 All Habitats'!$X$3,H235-V235-W235,IF(AND(P235='G-1 All Habitats'!$X$3,AB235="Yes"),"Unacceptable Loss ⚠",IF(AND(P235='G-1 All Habitats'!$X$3,AB235="No"),AG235,IF(AND(P235='G-1 All Habitats'!$X$3,AB235=""),AG235,IF(AND(P235='G-1 All Habitats'!$X$3,AG235="None",AG235),IF(AND(P235='G-1 All Habitats'!$X$3,AG235&gt;0),H235-V235-W235))))))))</f>
        <v/>
      </c>
      <c r="AA235" s="405" t="str">
        <f>IFERROR(IF(H235="","",IF(H235-V235-W235=0&lt;0,"Error in Areas ▲",IF(V235+W235&gt;H235,"Error in Areas ▲",IF(AND(P235='G-1 All Habitats'!$X$3,AB235="Yes"),"Alternative Compensation ✓",IF(Z235=0,0,IF(P235='G-1 All Habitats'!$X$3,"Any Loss Unacceptable ▲",T235-X235-Y235)))))),"Check Data ⚠")</f>
        <v/>
      </c>
      <c r="AB235" s="837"/>
      <c r="AC235" s="119"/>
      <c r="AD235" s="528"/>
      <c r="AE235" s="120"/>
      <c r="AF235" s="687"/>
      <c r="AG235" s="744" t="str">
        <f>IF(P235="","",IF(P235='G-1 All Habitats'!$X$3,H235-V235-W235,"None"))</f>
        <v/>
      </c>
      <c r="AH235" s="744" t="str">
        <f t="shared" si="33"/>
        <v/>
      </c>
      <c r="AJ235" s="124" t="str">
        <f t="shared" si="34"/>
        <v/>
      </c>
      <c r="AK235" s="124" t="str">
        <f t="shared" si="35"/>
        <v/>
      </c>
      <c r="AL235" s="124" t="str">
        <f>IF(I235="","",IF(#REF!&gt;0,TRUE,FALSE))</f>
        <v/>
      </c>
      <c r="AM235" s="124">
        <v>225</v>
      </c>
      <c r="AN235" s="124"/>
      <c r="AO235" s="124" t="str">
        <f t="array" ref="AO235">IFERROR(INDEX($AM$11:$AM$259, MATCH(0, IF(TRUE=$AJ$11:$AJ$259, COUNTIF($AO$10:$AO234, $AM$11:$AM$259), ""), 0)),"")</f>
        <v/>
      </c>
      <c r="AP235" s="124" t="str">
        <f t="array" ref="AP235">IFERROR(INDEX($AM$11:$AM$259, MATCH(0, IF(TRUE=$AK$11:$AK$259, COUNTIF($AP$10:$AP234, $AM$11:$AM$259), ""), 0)),"")</f>
        <v/>
      </c>
      <c r="AQ235" s="124" t="str">
        <f t="array" ref="AQ235">IFERROR(INDEX($AM$11:$AM$259, MATCH(0, IF(TRUE=$AL$11:$AL$259, COUNTIF($AQ$10:$AQ234, $AM$11:$AM$259), ""), 0)),"")</f>
        <v/>
      </c>
      <c r="AU235" s="30">
        <f t="shared" si="36"/>
        <v>0</v>
      </c>
      <c r="AY235" s="374" t="str">
        <f t="shared" si="37"/>
        <v/>
      </c>
    </row>
    <row r="236" spans="1:51">
      <c r="A236" s="30" t="str">
        <f>IFERROR(INDEX('G-1 All Habitats'!$AG$3:$AG$17,MATCH(E236,'G-1 All Habitats'!$AF$3:$AF$17,0)),"")</f>
        <v/>
      </c>
      <c r="B236" s="30" t="str">
        <f>IFERROR(INDEX('G-8 Condition Look up'!$I$4:$I$135,MATCH(G236,'G-8 Condition Look up'!$A$4:$A$135,0)),"")</f>
        <v/>
      </c>
      <c r="D236" s="110">
        <v>226</v>
      </c>
      <c r="E236" s="339"/>
      <c r="F236" s="340"/>
      <c r="G236" s="295" t="str">
        <f>IFERROR(INDEX('G-1 All Habitats'!$B$3:$B$134,MATCH(F236,'G-1 All Habitats'!$A$3:$A$134,0)),"")</f>
        <v/>
      </c>
      <c r="H236" s="139"/>
      <c r="I236" s="722" t="str">
        <f>IF(G236="","",VLOOKUP(G236,'G-1 All Habitats'!$B$2:$M$134,10,FALSE))</f>
        <v/>
      </c>
      <c r="J236" s="490" t="str">
        <f>IFERROR(VLOOKUP(I236,'G-1 All Habitats'!$V$3:$W$7,2,FALSE),"")</f>
        <v/>
      </c>
      <c r="K236" s="114"/>
      <c r="L236" s="490" t="str">
        <f>IFERROR(INDEX('G-8 Condition Look up'!$A$3:$H$135,MATCH(G236,'G-8 Condition Look up'!$A$3:$A$135,0),MATCH(K236,'G-8 Condition Look up'!$A$3:$H$3,0)),"")</f>
        <v/>
      </c>
      <c r="M236" s="738"/>
      <c r="N236" s="404" t="str">
        <f>IF(M236="","",IF(VLOOKUP(M236,'G-3 Multipliers'!$L$3:$N$6,2,FALSE)=0,"Spatial Data Missing ⚠",VLOOKUP(M236,'G-3 Multipliers'!$L$3:$N$6,2,FALSE)))</f>
        <v/>
      </c>
      <c r="O236" s="452" t="str">
        <f>IF(M236="","",IF(VLOOKUP(M236,'G-3 Multipliers'!$L$3:$N$6,3,FALSE)=0,"Spatial Data Missing ⚠",VLOOKUP(M236,'G-3 Multipliers'!$L$3:$N$6,3,FALSE)))</f>
        <v/>
      </c>
      <c r="P236" s="369" t="str">
        <f>IFERROR(VLOOKUP(G236,'G-1 All Habitats'!$B$2:$M$134,12,FALSE),"")</f>
        <v/>
      </c>
      <c r="Q236" s="725" t="str">
        <f>IFERROR(IF(P236="","",IF(AND(P236='G-1 All Habitats'!$X$3,W236&gt;0),X236+(Y236*S236),IF(AND(P236='G-1 All Habitats'!$X$3,V236&gt;0),X236+(Y236*S236),IF(AND(P236='G-1 All Habitats'!$X$3,AG236&gt;0),"Any Loss Unacceptable  ⚠",IF(AND(P236='G-1 All Habitats'!$X$3,Z236&gt;0),"Any Loss Unacceptable ⚠",H236*J236*L236*O236*S236))))),"Check Data ⚠")</f>
        <v/>
      </c>
      <c r="R236" s="516"/>
      <c r="S236" s="724" t="str">
        <f>IF(R236="","",IF(VLOOKUP(R236,'G-3 Multipliers'!$S$3:$T$10,2,FALSE)=0,"Spatial Data Missing ⚠",VLOOKUP(R236,'G-3 Multipliers'!$S$3:$T$10,2,FALSE)))</f>
        <v/>
      </c>
      <c r="T236" s="376" t="str">
        <f>IFERROR(IF(P236="","",IF(AND(P236='G-1 All Habitats'!$X$3,W236&gt;0),X236+Y236,IF(AND(P236='G-1 All Habitats'!$X$3,V236&gt;0),X236+Y236,IF(AND(P236='G-1 All Habitats'!$X$3,AG236&gt;0),"Any Loss Unacceptable ⚠", IF(R236="","", IF(AND(P236='G-1 All Habitats'!$X$3,Z236&gt;0),"Any Loss Unacceptable ⚠",H236*J236*L236*O236)))))),"Check Data ⚠")</f>
        <v/>
      </c>
      <c r="U236" s="38"/>
      <c r="V236" s="54"/>
      <c r="W236" s="55"/>
      <c r="X236" s="374" t="str">
        <f t="shared" si="31"/>
        <v/>
      </c>
      <c r="Y236" s="374" t="str">
        <f t="shared" si="32"/>
        <v/>
      </c>
      <c r="Z236" s="374" t="str">
        <f>IF(E236="","",IF(H236&lt;V236+W236,"Error in Areas ▲",IF(P236&lt;&gt;'G-1 All Habitats'!$X$3,H236-V236-W236,IF(AND(P236='G-1 All Habitats'!$X$3,AB236="Yes"),"Unacceptable Loss ⚠",IF(AND(P236='G-1 All Habitats'!$X$3,AB236="No"),AG236,IF(AND(P236='G-1 All Habitats'!$X$3,AB236=""),AG236,IF(AND(P236='G-1 All Habitats'!$X$3,AG236="None",AG236),IF(AND(P236='G-1 All Habitats'!$X$3,AG236&gt;0),H236-V236-W236))))))))</f>
        <v/>
      </c>
      <c r="AA236" s="405" t="str">
        <f>IFERROR(IF(H236="","",IF(H236-V236-W236=0&lt;0,"Error in Areas ▲",IF(V236+W236&gt;H236,"Error in Areas ▲",IF(AND(P236='G-1 All Habitats'!$X$3,AB236="Yes"),"Alternative Compensation ✓",IF(Z236=0,0,IF(P236='G-1 All Habitats'!$X$3,"Any Loss Unacceptable ▲",T236-X236-Y236)))))),"Check Data ⚠")</f>
        <v/>
      </c>
      <c r="AB236" s="837"/>
      <c r="AC236" s="119"/>
      <c r="AD236" s="528"/>
      <c r="AE236" s="120"/>
      <c r="AF236" s="687"/>
      <c r="AG236" s="744" t="str">
        <f>IF(P236="","",IF(P236='G-1 All Habitats'!$X$3,H236-V236-W236,"None"))</f>
        <v/>
      </c>
      <c r="AH236" s="744" t="str">
        <f t="shared" si="33"/>
        <v/>
      </c>
      <c r="AJ236" s="124" t="str">
        <f t="shared" si="34"/>
        <v/>
      </c>
      <c r="AK236" s="124" t="str">
        <f t="shared" si="35"/>
        <v/>
      </c>
      <c r="AL236" s="124" t="str">
        <f>IF(I236="","",IF(#REF!&gt;0,TRUE,FALSE))</f>
        <v/>
      </c>
      <c r="AM236" s="124">
        <v>226</v>
      </c>
      <c r="AN236" s="124"/>
      <c r="AO236" s="124" t="str">
        <f t="array" ref="AO236">IFERROR(INDEX($AM$11:$AM$259, MATCH(0, IF(TRUE=$AJ$11:$AJ$259, COUNTIF($AO$10:$AO235, $AM$11:$AM$259), ""), 0)),"")</f>
        <v/>
      </c>
      <c r="AP236" s="124" t="str">
        <f t="array" ref="AP236">IFERROR(INDEX($AM$11:$AM$259, MATCH(0, IF(TRUE=$AK$11:$AK$259, COUNTIF($AP$10:$AP235, $AM$11:$AM$259), ""), 0)),"")</f>
        <v/>
      </c>
      <c r="AQ236" s="124" t="str">
        <f t="array" ref="AQ236">IFERROR(INDEX($AM$11:$AM$259, MATCH(0, IF(TRUE=$AL$11:$AL$259, COUNTIF($AQ$10:$AQ235, $AM$11:$AM$259), ""), 0)),"")</f>
        <v/>
      </c>
      <c r="AU236" s="30">
        <f t="shared" si="36"/>
        <v>0</v>
      </c>
      <c r="AY236" s="374" t="str">
        <f t="shared" si="37"/>
        <v/>
      </c>
    </row>
    <row r="237" spans="1:51">
      <c r="A237" s="30" t="str">
        <f>IFERROR(INDEX('G-1 All Habitats'!$AG$3:$AG$17,MATCH(E237,'G-1 All Habitats'!$AF$3:$AF$17,0)),"")</f>
        <v/>
      </c>
      <c r="B237" s="30" t="str">
        <f>IFERROR(INDEX('G-8 Condition Look up'!$I$4:$I$135,MATCH(G237,'G-8 Condition Look up'!$A$4:$A$135,0)),"")</f>
        <v/>
      </c>
      <c r="D237" s="110">
        <v>227</v>
      </c>
      <c r="E237" s="339"/>
      <c r="F237" s="340"/>
      <c r="G237" s="295" t="str">
        <f>IFERROR(INDEX('G-1 All Habitats'!$B$3:$B$134,MATCH(F237,'G-1 All Habitats'!$A$3:$A$134,0)),"")</f>
        <v/>
      </c>
      <c r="H237" s="139"/>
      <c r="I237" s="722" t="str">
        <f>IF(G237="","",VLOOKUP(G237,'G-1 All Habitats'!$B$2:$M$134,10,FALSE))</f>
        <v/>
      </c>
      <c r="J237" s="490" t="str">
        <f>IFERROR(VLOOKUP(I237,'G-1 All Habitats'!$V$3:$W$7,2,FALSE),"")</f>
        <v/>
      </c>
      <c r="K237" s="114"/>
      <c r="L237" s="490" t="str">
        <f>IFERROR(INDEX('G-8 Condition Look up'!$A$3:$H$135,MATCH(G237,'G-8 Condition Look up'!$A$3:$A$135,0),MATCH(K237,'G-8 Condition Look up'!$A$3:$H$3,0)),"")</f>
        <v/>
      </c>
      <c r="M237" s="738"/>
      <c r="N237" s="404" t="str">
        <f>IF(M237="","",IF(VLOOKUP(M237,'G-3 Multipliers'!$L$3:$N$6,2,FALSE)=0,"Spatial Data Missing ⚠",VLOOKUP(M237,'G-3 Multipliers'!$L$3:$N$6,2,FALSE)))</f>
        <v/>
      </c>
      <c r="O237" s="452" t="str">
        <f>IF(M237="","",IF(VLOOKUP(M237,'G-3 Multipliers'!$L$3:$N$6,3,FALSE)=0,"Spatial Data Missing ⚠",VLOOKUP(M237,'G-3 Multipliers'!$L$3:$N$6,3,FALSE)))</f>
        <v/>
      </c>
      <c r="P237" s="369" t="str">
        <f>IFERROR(VLOOKUP(G237,'G-1 All Habitats'!$B$2:$M$134,12,FALSE),"")</f>
        <v/>
      </c>
      <c r="Q237" s="725" t="str">
        <f>IFERROR(IF(P237="","",IF(AND(P237='G-1 All Habitats'!$X$3,W237&gt;0),X237+(Y237*S237),IF(AND(P237='G-1 All Habitats'!$X$3,V237&gt;0),X237+(Y237*S237),IF(AND(P237='G-1 All Habitats'!$X$3,AG237&gt;0),"Any Loss Unacceptable  ⚠",IF(AND(P237='G-1 All Habitats'!$X$3,Z237&gt;0),"Any Loss Unacceptable ⚠",H237*J237*L237*O237*S237))))),"Check Data ⚠")</f>
        <v/>
      </c>
      <c r="R237" s="516"/>
      <c r="S237" s="724" t="str">
        <f>IF(R237="","",IF(VLOOKUP(R237,'G-3 Multipliers'!$S$3:$T$10,2,FALSE)=0,"Spatial Data Missing ⚠",VLOOKUP(R237,'G-3 Multipliers'!$S$3:$T$10,2,FALSE)))</f>
        <v/>
      </c>
      <c r="T237" s="376" t="str">
        <f>IFERROR(IF(P237="","",IF(AND(P237='G-1 All Habitats'!$X$3,W237&gt;0),X237+Y237,IF(AND(P237='G-1 All Habitats'!$X$3,V237&gt;0),X237+Y237,IF(AND(P237='G-1 All Habitats'!$X$3,AG237&gt;0),"Any Loss Unacceptable ⚠", IF(R237="","", IF(AND(P237='G-1 All Habitats'!$X$3,Z237&gt;0),"Any Loss Unacceptable ⚠",H237*J237*L237*O237)))))),"Check Data ⚠")</f>
        <v/>
      </c>
      <c r="U237" s="38"/>
      <c r="V237" s="54"/>
      <c r="W237" s="55"/>
      <c r="X237" s="374" t="str">
        <f t="shared" si="31"/>
        <v/>
      </c>
      <c r="Y237" s="374" t="str">
        <f t="shared" si="32"/>
        <v/>
      </c>
      <c r="Z237" s="374" t="str">
        <f>IF(E237="","",IF(H237&lt;V237+W237,"Error in Areas ▲",IF(P237&lt;&gt;'G-1 All Habitats'!$X$3,H237-V237-W237,IF(AND(P237='G-1 All Habitats'!$X$3,AB237="Yes"),"Unacceptable Loss ⚠",IF(AND(P237='G-1 All Habitats'!$X$3,AB237="No"),AG237,IF(AND(P237='G-1 All Habitats'!$X$3,AB237=""),AG237,IF(AND(P237='G-1 All Habitats'!$X$3,AG237="None",AG237),IF(AND(P237='G-1 All Habitats'!$X$3,AG237&gt;0),H237-V237-W237))))))))</f>
        <v/>
      </c>
      <c r="AA237" s="405" t="str">
        <f>IFERROR(IF(H237="","",IF(H237-V237-W237=0&lt;0,"Error in Areas ▲",IF(V237+W237&gt;H237,"Error in Areas ▲",IF(AND(P237='G-1 All Habitats'!$X$3,AB237="Yes"),"Alternative Compensation ✓",IF(Z237=0,0,IF(P237='G-1 All Habitats'!$X$3,"Any Loss Unacceptable ▲",T237-X237-Y237)))))),"Check Data ⚠")</f>
        <v/>
      </c>
      <c r="AB237" s="837"/>
      <c r="AC237" s="119"/>
      <c r="AD237" s="528"/>
      <c r="AE237" s="120"/>
      <c r="AF237" s="687"/>
      <c r="AG237" s="744" t="str">
        <f>IF(P237="","",IF(P237='G-1 All Habitats'!$X$3,H237-V237-W237,"None"))</f>
        <v/>
      </c>
      <c r="AH237" s="744" t="str">
        <f t="shared" si="33"/>
        <v/>
      </c>
      <c r="AJ237" s="124" t="str">
        <f t="shared" si="34"/>
        <v/>
      </c>
      <c r="AK237" s="124" t="str">
        <f t="shared" si="35"/>
        <v/>
      </c>
      <c r="AL237" s="124" t="str">
        <f>IF(I237="","",IF(#REF!&gt;0,TRUE,FALSE))</f>
        <v/>
      </c>
      <c r="AM237" s="124">
        <v>227</v>
      </c>
      <c r="AN237" s="124"/>
      <c r="AO237" s="124" t="str">
        <f t="array" ref="AO237">IFERROR(INDEX($AM$11:$AM$259, MATCH(0, IF(TRUE=$AJ$11:$AJ$259, COUNTIF($AO$10:$AO236, $AM$11:$AM$259), ""), 0)),"")</f>
        <v/>
      </c>
      <c r="AP237" s="124" t="str">
        <f t="array" ref="AP237">IFERROR(INDEX($AM$11:$AM$259, MATCH(0, IF(TRUE=$AK$11:$AK$259, COUNTIF($AP$10:$AP236, $AM$11:$AM$259), ""), 0)),"")</f>
        <v/>
      </c>
      <c r="AQ237" s="124" t="str">
        <f t="array" ref="AQ237">IFERROR(INDEX($AM$11:$AM$259, MATCH(0, IF(TRUE=$AL$11:$AL$259, COUNTIF($AQ$10:$AQ236, $AM$11:$AM$259), ""), 0)),"")</f>
        <v/>
      </c>
      <c r="AU237" s="30">
        <f t="shared" si="36"/>
        <v>0</v>
      </c>
      <c r="AY237" s="374" t="str">
        <f t="shared" si="37"/>
        <v/>
      </c>
    </row>
    <row r="238" spans="1:51">
      <c r="A238" s="30" t="str">
        <f>IFERROR(INDEX('G-1 All Habitats'!$AG$3:$AG$17,MATCH(E238,'G-1 All Habitats'!$AF$3:$AF$17,0)),"")</f>
        <v/>
      </c>
      <c r="B238" s="30" t="str">
        <f>IFERROR(INDEX('G-8 Condition Look up'!$I$4:$I$135,MATCH(G238,'G-8 Condition Look up'!$A$4:$A$135,0)),"")</f>
        <v/>
      </c>
      <c r="D238" s="110">
        <v>228</v>
      </c>
      <c r="E238" s="339"/>
      <c r="F238" s="340"/>
      <c r="G238" s="295" t="str">
        <f>IFERROR(INDEX('G-1 All Habitats'!$B$3:$B$134,MATCH(F238,'G-1 All Habitats'!$A$3:$A$134,0)),"")</f>
        <v/>
      </c>
      <c r="H238" s="139"/>
      <c r="I238" s="722" t="str">
        <f>IF(G238="","",VLOOKUP(G238,'G-1 All Habitats'!$B$2:$M$134,10,FALSE))</f>
        <v/>
      </c>
      <c r="J238" s="490" t="str">
        <f>IFERROR(VLOOKUP(I238,'G-1 All Habitats'!$V$3:$W$7,2,FALSE),"")</f>
        <v/>
      </c>
      <c r="K238" s="114"/>
      <c r="L238" s="490" t="str">
        <f>IFERROR(INDEX('G-8 Condition Look up'!$A$3:$H$135,MATCH(G238,'G-8 Condition Look up'!$A$3:$A$135,0),MATCH(K238,'G-8 Condition Look up'!$A$3:$H$3,0)),"")</f>
        <v/>
      </c>
      <c r="M238" s="738"/>
      <c r="N238" s="404" t="str">
        <f>IF(M238="","",IF(VLOOKUP(M238,'G-3 Multipliers'!$L$3:$N$6,2,FALSE)=0,"Spatial Data Missing ⚠",VLOOKUP(M238,'G-3 Multipliers'!$L$3:$N$6,2,FALSE)))</f>
        <v/>
      </c>
      <c r="O238" s="452" t="str">
        <f>IF(M238="","",IF(VLOOKUP(M238,'G-3 Multipliers'!$L$3:$N$6,3,FALSE)=0,"Spatial Data Missing ⚠",VLOOKUP(M238,'G-3 Multipliers'!$L$3:$N$6,3,FALSE)))</f>
        <v/>
      </c>
      <c r="P238" s="369" t="str">
        <f>IFERROR(VLOOKUP(G238,'G-1 All Habitats'!$B$2:$M$134,12,FALSE),"")</f>
        <v/>
      </c>
      <c r="Q238" s="725" t="str">
        <f>IFERROR(IF(P238="","",IF(AND(P238='G-1 All Habitats'!$X$3,W238&gt;0),X238+(Y238*S238),IF(AND(P238='G-1 All Habitats'!$X$3,V238&gt;0),X238+(Y238*S238),IF(AND(P238='G-1 All Habitats'!$X$3,AG238&gt;0),"Any Loss Unacceptable  ⚠",IF(AND(P238='G-1 All Habitats'!$X$3,Z238&gt;0),"Any Loss Unacceptable ⚠",H238*J238*L238*O238*S238))))),"Check Data ⚠")</f>
        <v/>
      </c>
      <c r="R238" s="516"/>
      <c r="S238" s="724" t="str">
        <f>IF(R238="","",IF(VLOOKUP(R238,'G-3 Multipliers'!$S$3:$T$10,2,FALSE)=0,"Spatial Data Missing ⚠",VLOOKUP(R238,'G-3 Multipliers'!$S$3:$T$10,2,FALSE)))</f>
        <v/>
      </c>
      <c r="T238" s="376" t="str">
        <f>IFERROR(IF(P238="","",IF(AND(P238='G-1 All Habitats'!$X$3,W238&gt;0),X238+Y238,IF(AND(P238='G-1 All Habitats'!$X$3,V238&gt;0),X238+Y238,IF(AND(P238='G-1 All Habitats'!$X$3,AG238&gt;0),"Any Loss Unacceptable ⚠", IF(R238="","", IF(AND(P238='G-1 All Habitats'!$X$3,Z238&gt;0),"Any Loss Unacceptable ⚠",H238*J238*L238*O238)))))),"Check Data ⚠")</f>
        <v/>
      </c>
      <c r="U238" s="38"/>
      <c r="V238" s="54"/>
      <c r="W238" s="55"/>
      <c r="X238" s="374" t="str">
        <f t="shared" si="31"/>
        <v/>
      </c>
      <c r="Y238" s="374" t="str">
        <f t="shared" si="32"/>
        <v/>
      </c>
      <c r="Z238" s="374" t="str">
        <f>IF(E238="","",IF(H238&lt;V238+W238,"Error in Areas ▲",IF(P238&lt;&gt;'G-1 All Habitats'!$X$3,H238-V238-W238,IF(AND(P238='G-1 All Habitats'!$X$3,AB238="Yes"),"Unacceptable Loss ⚠",IF(AND(P238='G-1 All Habitats'!$X$3,AB238="No"),AG238,IF(AND(P238='G-1 All Habitats'!$X$3,AB238=""),AG238,IF(AND(P238='G-1 All Habitats'!$X$3,AG238="None",AG238),IF(AND(P238='G-1 All Habitats'!$X$3,AG238&gt;0),H238-V238-W238))))))))</f>
        <v/>
      </c>
      <c r="AA238" s="405" t="str">
        <f>IFERROR(IF(H238="","",IF(H238-V238-W238=0&lt;0,"Error in Areas ▲",IF(V238+W238&gt;H238,"Error in Areas ▲",IF(AND(P238='G-1 All Habitats'!$X$3,AB238="Yes"),"Alternative Compensation ✓",IF(Z238=0,0,IF(P238='G-1 All Habitats'!$X$3,"Any Loss Unacceptable ▲",T238-X238-Y238)))))),"Check Data ⚠")</f>
        <v/>
      </c>
      <c r="AB238" s="837"/>
      <c r="AC238" s="119"/>
      <c r="AD238" s="528"/>
      <c r="AE238" s="120"/>
      <c r="AF238" s="687"/>
      <c r="AG238" s="744" t="str">
        <f>IF(P238="","",IF(P238='G-1 All Habitats'!$X$3,H238-V238-W238,"None"))</f>
        <v/>
      </c>
      <c r="AH238" s="744" t="str">
        <f t="shared" si="33"/>
        <v/>
      </c>
      <c r="AJ238" s="124" t="str">
        <f t="shared" si="34"/>
        <v/>
      </c>
      <c r="AK238" s="124" t="str">
        <f t="shared" si="35"/>
        <v/>
      </c>
      <c r="AL238" s="124" t="str">
        <f>IF(I238="","",IF(#REF!&gt;0,TRUE,FALSE))</f>
        <v/>
      </c>
      <c r="AM238" s="124">
        <v>228</v>
      </c>
      <c r="AN238" s="124"/>
      <c r="AO238" s="124" t="str">
        <f t="array" ref="AO238">IFERROR(INDEX($AM$11:$AM$259, MATCH(0, IF(TRUE=$AJ$11:$AJ$259, COUNTIF($AO$10:$AO237, $AM$11:$AM$259), ""), 0)),"")</f>
        <v/>
      </c>
      <c r="AP238" s="124" t="str">
        <f t="array" ref="AP238">IFERROR(INDEX($AM$11:$AM$259, MATCH(0, IF(TRUE=$AK$11:$AK$259, COUNTIF($AP$10:$AP237, $AM$11:$AM$259), ""), 0)),"")</f>
        <v/>
      </c>
      <c r="AQ238" s="124" t="str">
        <f t="array" ref="AQ238">IFERROR(INDEX($AM$11:$AM$259, MATCH(0, IF(TRUE=$AL$11:$AL$259, COUNTIF($AQ$10:$AQ237, $AM$11:$AM$259), ""), 0)),"")</f>
        <v/>
      </c>
      <c r="AU238" s="30">
        <f t="shared" si="36"/>
        <v>0</v>
      </c>
      <c r="AY238" s="374" t="str">
        <f t="shared" si="37"/>
        <v/>
      </c>
    </row>
    <row r="239" spans="1:51">
      <c r="A239" s="30" t="str">
        <f>IFERROR(INDEX('G-1 All Habitats'!$AG$3:$AG$17,MATCH(E239,'G-1 All Habitats'!$AF$3:$AF$17,0)),"")</f>
        <v/>
      </c>
      <c r="B239" s="30" t="str">
        <f>IFERROR(INDEX('G-8 Condition Look up'!$I$4:$I$135,MATCH(G239,'G-8 Condition Look up'!$A$4:$A$135,0)),"")</f>
        <v/>
      </c>
      <c r="D239" s="110">
        <v>229</v>
      </c>
      <c r="E239" s="339"/>
      <c r="F239" s="340"/>
      <c r="G239" s="295" t="str">
        <f>IFERROR(INDEX('G-1 All Habitats'!$B$3:$B$134,MATCH(F239,'G-1 All Habitats'!$A$3:$A$134,0)),"")</f>
        <v/>
      </c>
      <c r="H239" s="139"/>
      <c r="I239" s="722" t="str">
        <f>IF(G239="","",VLOOKUP(G239,'G-1 All Habitats'!$B$2:$M$134,10,FALSE))</f>
        <v/>
      </c>
      <c r="J239" s="490" t="str">
        <f>IFERROR(VLOOKUP(I239,'G-1 All Habitats'!$V$3:$W$7,2,FALSE),"")</f>
        <v/>
      </c>
      <c r="K239" s="114"/>
      <c r="L239" s="490" t="str">
        <f>IFERROR(INDEX('G-8 Condition Look up'!$A$3:$H$135,MATCH(G239,'G-8 Condition Look up'!$A$3:$A$135,0),MATCH(K239,'G-8 Condition Look up'!$A$3:$H$3,0)),"")</f>
        <v/>
      </c>
      <c r="M239" s="738"/>
      <c r="N239" s="404" t="str">
        <f>IF(M239="","",IF(VLOOKUP(M239,'G-3 Multipliers'!$L$3:$N$6,2,FALSE)=0,"Spatial Data Missing ⚠",VLOOKUP(M239,'G-3 Multipliers'!$L$3:$N$6,2,FALSE)))</f>
        <v/>
      </c>
      <c r="O239" s="452" t="str">
        <f>IF(M239="","",IF(VLOOKUP(M239,'G-3 Multipliers'!$L$3:$N$6,3,FALSE)=0,"Spatial Data Missing ⚠",VLOOKUP(M239,'G-3 Multipliers'!$L$3:$N$6,3,FALSE)))</f>
        <v/>
      </c>
      <c r="P239" s="369" t="str">
        <f>IFERROR(VLOOKUP(G239,'G-1 All Habitats'!$B$2:$M$134,12,FALSE),"")</f>
        <v/>
      </c>
      <c r="Q239" s="725" t="str">
        <f>IFERROR(IF(P239="","",IF(AND(P239='G-1 All Habitats'!$X$3,W239&gt;0),X239+(Y239*S239),IF(AND(P239='G-1 All Habitats'!$X$3,V239&gt;0),X239+(Y239*S239),IF(AND(P239='G-1 All Habitats'!$X$3,AG239&gt;0),"Any Loss Unacceptable  ⚠",IF(AND(P239='G-1 All Habitats'!$X$3,Z239&gt;0),"Any Loss Unacceptable ⚠",H239*J239*L239*O239*S239))))),"Check Data ⚠")</f>
        <v/>
      </c>
      <c r="R239" s="516"/>
      <c r="S239" s="724" t="str">
        <f>IF(R239="","",IF(VLOOKUP(R239,'G-3 Multipliers'!$S$3:$T$10,2,FALSE)=0,"Spatial Data Missing ⚠",VLOOKUP(R239,'G-3 Multipliers'!$S$3:$T$10,2,FALSE)))</f>
        <v/>
      </c>
      <c r="T239" s="376" t="str">
        <f>IFERROR(IF(P239="","",IF(AND(P239='G-1 All Habitats'!$X$3,W239&gt;0),X239+Y239,IF(AND(P239='G-1 All Habitats'!$X$3,V239&gt;0),X239+Y239,IF(AND(P239='G-1 All Habitats'!$X$3,AG239&gt;0),"Any Loss Unacceptable ⚠", IF(R239="","", IF(AND(P239='G-1 All Habitats'!$X$3,Z239&gt;0),"Any Loss Unacceptable ⚠",H239*J239*L239*O239)))))),"Check Data ⚠")</f>
        <v/>
      </c>
      <c r="U239" s="38"/>
      <c r="V239" s="54"/>
      <c r="W239" s="55"/>
      <c r="X239" s="374" t="str">
        <f t="shared" si="31"/>
        <v/>
      </c>
      <c r="Y239" s="374" t="str">
        <f t="shared" si="32"/>
        <v/>
      </c>
      <c r="Z239" s="374" t="str">
        <f>IF(E239="","",IF(H239&lt;V239+W239,"Error in Areas ▲",IF(P239&lt;&gt;'G-1 All Habitats'!$X$3,H239-V239-W239,IF(AND(P239='G-1 All Habitats'!$X$3,AB239="Yes"),"Unacceptable Loss ⚠",IF(AND(P239='G-1 All Habitats'!$X$3,AB239="No"),AG239,IF(AND(P239='G-1 All Habitats'!$X$3,AB239=""),AG239,IF(AND(P239='G-1 All Habitats'!$X$3,AG239="None",AG239),IF(AND(P239='G-1 All Habitats'!$X$3,AG239&gt;0),H239-V239-W239))))))))</f>
        <v/>
      </c>
      <c r="AA239" s="405" t="str">
        <f>IFERROR(IF(H239="","",IF(H239-V239-W239=0&lt;0,"Error in Areas ▲",IF(V239+W239&gt;H239,"Error in Areas ▲",IF(AND(P239='G-1 All Habitats'!$X$3,AB239="Yes"),"Alternative Compensation ✓",IF(Z239=0,0,IF(P239='G-1 All Habitats'!$X$3,"Any Loss Unacceptable ▲",T239-X239-Y239)))))),"Check Data ⚠")</f>
        <v/>
      </c>
      <c r="AB239" s="837"/>
      <c r="AC239" s="119"/>
      <c r="AD239" s="528"/>
      <c r="AE239" s="120"/>
      <c r="AF239" s="687"/>
      <c r="AG239" s="744" t="str">
        <f>IF(P239="","",IF(P239='G-1 All Habitats'!$X$3,H239-V239-W239,"None"))</f>
        <v/>
      </c>
      <c r="AH239" s="744" t="str">
        <f t="shared" si="33"/>
        <v/>
      </c>
      <c r="AJ239" s="124" t="str">
        <f t="shared" si="34"/>
        <v/>
      </c>
      <c r="AK239" s="124" t="str">
        <f t="shared" si="35"/>
        <v/>
      </c>
      <c r="AL239" s="124" t="str">
        <f>IF(I239="","",IF(#REF!&gt;0,TRUE,FALSE))</f>
        <v/>
      </c>
      <c r="AM239" s="124">
        <v>229</v>
      </c>
      <c r="AN239" s="124"/>
      <c r="AO239" s="124" t="str">
        <f t="array" ref="AO239">IFERROR(INDEX($AM$11:$AM$259, MATCH(0, IF(TRUE=$AJ$11:$AJ$259, COUNTIF($AO$10:$AO238, $AM$11:$AM$259), ""), 0)),"")</f>
        <v/>
      </c>
      <c r="AP239" s="124" t="str">
        <f t="array" ref="AP239">IFERROR(INDEX($AM$11:$AM$259, MATCH(0, IF(TRUE=$AK$11:$AK$259, COUNTIF($AP$10:$AP238, $AM$11:$AM$259), ""), 0)),"")</f>
        <v/>
      </c>
      <c r="AQ239" s="124" t="str">
        <f t="array" ref="AQ239">IFERROR(INDEX($AM$11:$AM$259, MATCH(0, IF(TRUE=$AL$11:$AL$259, COUNTIF($AQ$10:$AQ238, $AM$11:$AM$259), ""), 0)),"")</f>
        <v/>
      </c>
      <c r="AU239" s="30">
        <f t="shared" si="36"/>
        <v>0</v>
      </c>
      <c r="AY239" s="374" t="str">
        <f t="shared" si="37"/>
        <v/>
      </c>
    </row>
    <row r="240" spans="1:51">
      <c r="A240" s="30" t="str">
        <f>IFERROR(INDEX('G-1 All Habitats'!$AG$3:$AG$17,MATCH(E240,'G-1 All Habitats'!$AF$3:$AF$17,0)),"")</f>
        <v/>
      </c>
      <c r="B240" s="30" t="str">
        <f>IFERROR(INDEX('G-8 Condition Look up'!$I$4:$I$135,MATCH(G240,'G-8 Condition Look up'!$A$4:$A$135,0)),"")</f>
        <v/>
      </c>
      <c r="D240" s="110">
        <v>230</v>
      </c>
      <c r="E240" s="339"/>
      <c r="F240" s="340"/>
      <c r="G240" s="295" t="str">
        <f>IFERROR(INDEX('G-1 All Habitats'!$B$3:$B$134,MATCH(F240,'G-1 All Habitats'!$A$3:$A$134,0)),"")</f>
        <v/>
      </c>
      <c r="H240" s="139"/>
      <c r="I240" s="722" t="str">
        <f>IF(G240="","",VLOOKUP(G240,'G-1 All Habitats'!$B$2:$M$134,10,FALSE))</f>
        <v/>
      </c>
      <c r="J240" s="490" t="str">
        <f>IFERROR(VLOOKUP(I240,'G-1 All Habitats'!$V$3:$W$7,2,FALSE),"")</f>
        <v/>
      </c>
      <c r="K240" s="114"/>
      <c r="L240" s="490" t="str">
        <f>IFERROR(INDEX('G-8 Condition Look up'!$A$3:$H$135,MATCH(G240,'G-8 Condition Look up'!$A$3:$A$135,0),MATCH(K240,'G-8 Condition Look up'!$A$3:$H$3,0)),"")</f>
        <v/>
      </c>
      <c r="M240" s="738"/>
      <c r="N240" s="404" t="str">
        <f>IF(M240="","",IF(VLOOKUP(M240,'G-3 Multipliers'!$L$3:$N$6,2,FALSE)=0,"Spatial Data Missing ⚠",VLOOKUP(M240,'G-3 Multipliers'!$L$3:$N$6,2,FALSE)))</f>
        <v/>
      </c>
      <c r="O240" s="452" t="str">
        <f>IF(M240="","",IF(VLOOKUP(M240,'G-3 Multipliers'!$L$3:$N$6,3,FALSE)=0,"Spatial Data Missing ⚠",VLOOKUP(M240,'G-3 Multipliers'!$L$3:$N$6,3,FALSE)))</f>
        <v/>
      </c>
      <c r="P240" s="369" t="str">
        <f>IFERROR(VLOOKUP(G240,'G-1 All Habitats'!$B$2:$M$134,12,FALSE),"")</f>
        <v/>
      </c>
      <c r="Q240" s="725" t="str">
        <f>IFERROR(IF(P240="","",IF(AND(P240='G-1 All Habitats'!$X$3,W240&gt;0),X240+(Y240*S240),IF(AND(P240='G-1 All Habitats'!$X$3,V240&gt;0),X240+(Y240*S240),IF(AND(P240='G-1 All Habitats'!$X$3,AG240&gt;0),"Any Loss Unacceptable  ⚠",IF(AND(P240='G-1 All Habitats'!$X$3,Z240&gt;0),"Any Loss Unacceptable ⚠",H240*J240*L240*O240*S240))))),"Check Data ⚠")</f>
        <v/>
      </c>
      <c r="R240" s="516"/>
      <c r="S240" s="724" t="str">
        <f>IF(R240="","",IF(VLOOKUP(R240,'G-3 Multipliers'!$S$3:$T$10,2,FALSE)=0,"Spatial Data Missing ⚠",VLOOKUP(R240,'G-3 Multipliers'!$S$3:$T$10,2,FALSE)))</f>
        <v/>
      </c>
      <c r="T240" s="376" t="str">
        <f>IFERROR(IF(P240="","",IF(AND(P240='G-1 All Habitats'!$X$3,W240&gt;0),X240+Y240,IF(AND(P240='G-1 All Habitats'!$X$3,V240&gt;0),X240+Y240,IF(AND(P240='G-1 All Habitats'!$X$3,AG240&gt;0),"Any Loss Unacceptable ⚠", IF(R240="","", IF(AND(P240='G-1 All Habitats'!$X$3,Z240&gt;0),"Any Loss Unacceptable ⚠",H240*J240*L240*O240)))))),"Check Data ⚠")</f>
        <v/>
      </c>
      <c r="U240" s="38"/>
      <c r="V240" s="54"/>
      <c r="W240" s="55"/>
      <c r="X240" s="374" t="str">
        <f t="shared" si="31"/>
        <v/>
      </c>
      <c r="Y240" s="374" t="str">
        <f t="shared" si="32"/>
        <v/>
      </c>
      <c r="Z240" s="374" t="str">
        <f>IF(E240="","",IF(H240&lt;V240+W240,"Error in Areas ▲",IF(P240&lt;&gt;'G-1 All Habitats'!$X$3,H240-V240-W240,IF(AND(P240='G-1 All Habitats'!$X$3,AB240="Yes"),"Unacceptable Loss ⚠",IF(AND(P240='G-1 All Habitats'!$X$3,AB240="No"),AG240,IF(AND(P240='G-1 All Habitats'!$X$3,AB240=""),AG240,IF(AND(P240='G-1 All Habitats'!$X$3,AG240="None",AG240),IF(AND(P240='G-1 All Habitats'!$X$3,AG240&gt;0),H240-V240-W240))))))))</f>
        <v/>
      </c>
      <c r="AA240" s="405" t="str">
        <f>IFERROR(IF(H240="","",IF(H240-V240-W240=0&lt;0,"Error in Areas ▲",IF(V240+W240&gt;H240,"Error in Areas ▲",IF(AND(P240='G-1 All Habitats'!$X$3,AB240="Yes"),"Alternative Compensation ✓",IF(Z240=0,0,IF(P240='G-1 All Habitats'!$X$3,"Any Loss Unacceptable ▲",T240-X240-Y240)))))),"Check Data ⚠")</f>
        <v/>
      </c>
      <c r="AB240" s="837"/>
      <c r="AC240" s="119"/>
      <c r="AD240" s="528"/>
      <c r="AE240" s="120"/>
      <c r="AF240" s="687"/>
      <c r="AG240" s="744" t="str">
        <f>IF(P240="","",IF(P240='G-1 All Habitats'!$X$3,H240-V240-W240,"None"))</f>
        <v/>
      </c>
      <c r="AH240" s="744" t="str">
        <f t="shared" si="33"/>
        <v/>
      </c>
      <c r="AJ240" s="124" t="str">
        <f t="shared" si="34"/>
        <v/>
      </c>
      <c r="AK240" s="124" t="str">
        <f t="shared" si="35"/>
        <v/>
      </c>
      <c r="AL240" s="124" t="str">
        <f>IF(I240="","",IF(#REF!&gt;0,TRUE,FALSE))</f>
        <v/>
      </c>
      <c r="AM240" s="124">
        <v>230</v>
      </c>
      <c r="AN240" s="124"/>
      <c r="AO240" s="124" t="str">
        <f t="array" ref="AO240">IFERROR(INDEX($AM$11:$AM$259, MATCH(0, IF(TRUE=$AJ$11:$AJ$259, COUNTIF($AO$10:$AO239, $AM$11:$AM$259), ""), 0)),"")</f>
        <v/>
      </c>
      <c r="AP240" s="124" t="str">
        <f t="array" ref="AP240">IFERROR(INDEX($AM$11:$AM$259, MATCH(0, IF(TRUE=$AK$11:$AK$259, COUNTIF($AP$10:$AP239, $AM$11:$AM$259), ""), 0)),"")</f>
        <v/>
      </c>
      <c r="AQ240" s="124" t="str">
        <f t="array" ref="AQ240">IFERROR(INDEX($AM$11:$AM$259, MATCH(0, IF(TRUE=$AL$11:$AL$259, COUNTIF($AQ$10:$AQ239, $AM$11:$AM$259), ""), 0)),"")</f>
        <v/>
      </c>
      <c r="AU240" s="30">
        <f t="shared" si="36"/>
        <v>0</v>
      </c>
      <c r="AY240" s="374" t="str">
        <f t="shared" si="37"/>
        <v/>
      </c>
    </row>
    <row r="241" spans="1:51">
      <c r="A241" s="30" t="str">
        <f>IFERROR(INDEX('G-1 All Habitats'!$AG$3:$AG$17,MATCH(E241,'G-1 All Habitats'!$AF$3:$AF$17,0)),"")</f>
        <v/>
      </c>
      <c r="B241" s="30" t="str">
        <f>IFERROR(INDEX('G-8 Condition Look up'!$I$4:$I$135,MATCH(G241,'G-8 Condition Look up'!$A$4:$A$135,0)),"")</f>
        <v/>
      </c>
      <c r="D241" s="110">
        <v>231</v>
      </c>
      <c r="E241" s="339"/>
      <c r="F241" s="340"/>
      <c r="G241" s="295" t="str">
        <f>IFERROR(INDEX('G-1 All Habitats'!$B$3:$B$134,MATCH(F241,'G-1 All Habitats'!$A$3:$A$134,0)),"")</f>
        <v/>
      </c>
      <c r="H241" s="139"/>
      <c r="I241" s="722" t="str">
        <f>IF(G241="","",VLOOKUP(G241,'G-1 All Habitats'!$B$2:$M$134,10,FALSE))</f>
        <v/>
      </c>
      <c r="J241" s="490" t="str">
        <f>IFERROR(VLOOKUP(I241,'G-1 All Habitats'!$V$3:$W$7,2,FALSE),"")</f>
        <v/>
      </c>
      <c r="K241" s="114"/>
      <c r="L241" s="490" t="str">
        <f>IFERROR(INDEX('G-8 Condition Look up'!$A$3:$H$135,MATCH(G241,'G-8 Condition Look up'!$A$3:$A$135,0),MATCH(K241,'G-8 Condition Look up'!$A$3:$H$3,0)),"")</f>
        <v/>
      </c>
      <c r="M241" s="738"/>
      <c r="N241" s="404" t="str">
        <f>IF(M241="","",IF(VLOOKUP(M241,'G-3 Multipliers'!$L$3:$N$6,2,FALSE)=0,"Spatial Data Missing ⚠",VLOOKUP(M241,'G-3 Multipliers'!$L$3:$N$6,2,FALSE)))</f>
        <v/>
      </c>
      <c r="O241" s="452" t="str">
        <f>IF(M241="","",IF(VLOOKUP(M241,'G-3 Multipliers'!$L$3:$N$6,3,FALSE)=0,"Spatial Data Missing ⚠",VLOOKUP(M241,'G-3 Multipliers'!$L$3:$N$6,3,FALSE)))</f>
        <v/>
      </c>
      <c r="P241" s="369" t="str">
        <f>IFERROR(VLOOKUP(G241,'G-1 All Habitats'!$B$2:$M$134,12,FALSE),"")</f>
        <v/>
      </c>
      <c r="Q241" s="725" t="str">
        <f>IFERROR(IF(P241="","",IF(AND(P241='G-1 All Habitats'!$X$3,W241&gt;0),X241+(Y241*S241),IF(AND(P241='G-1 All Habitats'!$X$3,V241&gt;0),X241+(Y241*S241),IF(AND(P241='G-1 All Habitats'!$X$3,AG241&gt;0),"Any Loss Unacceptable  ⚠",IF(AND(P241='G-1 All Habitats'!$X$3,Z241&gt;0),"Any Loss Unacceptable ⚠",H241*J241*L241*O241*S241))))),"Check Data ⚠")</f>
        <v/>
      </c>
      <c r="R241" s="516"/>
      <c r="S241" s="724" t="str">
        <f>IF(R241="","",IF(VLOOKUP(R241,'G-3 Multipliers'!$S$3:$T$10,2,FALSE)=0,"Spatial Data Missing ⚠",VLOOKUP(R241,'G-3 Multipliers'!$S$3:$T$10,2,FALSE)))</f>
        <v/>
      </c>
      <c r="T241" s="376" t="str">
        <f>IFERROR(IF(P241="","",IF(AND(P241='G-1 All Habitats'!$X$3,W241&gt;0),X241+Y241,IF(AND(P241='G-1 All Habitats'!$X$3,V241&gt;0),X241+Y241,IF(AND(P241='G-1 All Habitats'!$X$3,AG241&gt;0),"Any Loss Unacceptable ⚠", IF(R241="","", IF(AND(P241='G-1 All Habitats'!$X$3,Z241&gt;0),"Any Loss Unacceptable ⚠",H241*J241*L241*O241)))))),"Check Data ⚠")</f>
        <v/>
      </c>
      <c r="U241" s="38"/>
      <c r="V241" s="54"/>
      <c r="W241" s="55"/>
      <c r="X241" s="374" t="str">
        <f t="shared" si="31"/>
        <v/>
      </c>
      <c r="Y241" s="374" t="str">
        <f t="shared" si="32"/>
        <v/>
      </c>
      <c r="Z241" s="374" t="str">
        <f>IF(E241="","",IF(H241&lt;V241+W241,"Error in Areas ▲",IF(P241&lt;&gt;'G-1 All Habitats'!$X$3,H241-V241-W241,IF(AND(P241='G-1 All Habitats'!$X$3,AB241="Yes"),"Unacceptable Loss ⚠",IF(AND(P241='G-1 All Habitats'!$X$3,AB241="No"),AG241,IF(AND(P241='G-1 All Habitats'!$X$3,AB241=""),AG241,IF(AND(P241='G-1 All Habitats'!$X$3,AG241="None",AG241),IF(AND(P241='G-1 All Habitats'!$X$3,AG241&gt;0),H241-V241-W241))))))))</f>
        <v/>
      </c>
      <c r="AA241" s="405" t="str">
        <f>IFERROR(IF(H241="","",IF(H241-V241-W241=0&lt;0,"Error in Areas ▲",IF(V241+W241&gt;H241,"Error in Areas ▲",IF(AND(P241='G-1 All Habitats'!$X$3,AB241="Yes"),"Alternative Compensation ✓",IF(Z241=0,0,IF(P241='G-1 All Habitats'!$X$3,"Any Loss Unacceptable ▲",T241-X241-Y241)))))),"Check Data ⚠")</f>
        <v/>
      </c>
      <c r="AB241" s="837"/>
      <c r="AC241" s="119"/>
      <c r="AD241" s="528"/>
      <c r="AE241" s="120"/>
      <c r="AF241" s="687"/>
      <c r="AG241" s="744" t="str">
        <f>IF(P241="","",IF(P241='G-1 All Habitats'!$X$3,H241-V241-W241,"None"))</f>
        <v/>
      </c>
      <c r="AH241" s="744" t="str">
        <f t="shared" si="33"/>
        <v/>
      </c>
      <c r="AJ241" s="124" t="str">
        <f t="shared" si="34"/>
        <v/>
      </c>
      <c r="AK241" s="124" t="str">
        <f t="shared" si="35"/>
        <v/>
      </c>
      <c r="AL241" s="124" t="str">
        <f>IF(I241="","",IF(#REF!&gt;0,TRUE,FALSE))</f>
        <v/>
      </c>
      <c r="AM241" s="124">
        <v>231</v>
      </c>
      <c r="AN241" s="124"/>
      <c r="AO241" s="124" t="str">
        <f t="array" ref="AO241">IFERROR(INDEX($AM$11:$AM$259, MATCH(0, IF(TRUE=$AJ$11:$AJ$259, COUNTIF($AO$10:$AO240, $AM$11:$AM$259), ""), 0)),"")</f>
        <v/>
      </c>
      <c r="AP241" s="124" t="str">
        <f t="array" ref="AP241">IFERROR(INDEX($AM$11:$AM$259, MATCH(0, IF(TRUE=$AK$11:$AK$259, COUNTIF($AP$10:$AP240, $AM$11:$AM$259), ""), 0)),"")</f>
        <v/>
      </c>
      <c r="AQ241" s="124" t="str">
        <f t="array" ref="AQ241">IFERROR(INDEX($AM$11:$AM$259, MATCH(0, IF(TRUE=$AL$11:$AL$259, COUNTIF($AQ$10:$AQ240, $AM$11:$AM$259), ""), 0)),"")</f>
        <v/>
      </c>
      <c r="AU241" s="30">
        <f t="shared" si="36"/>
        <v>0</v>
      </c>
      <c r="AY241" s="374" t="str">
        <f t="shared" si="37"/>
        <v/>
      </c>
    </row>
    <row r="242" spans="1:51">
      <c r="A242" s="30" t="str">
        <f>IFERROR(INDEX('G-1 All Habitats'!$AG$3:$AG$17,MATCH(E242,'G-1 All Habitats'!$AF$3:$AF$17,0)),"")</f>
        <v/>
      </c>
      <c r="B242" s="30" t="str">
        <f>IFERROR(INDEX('G-8 Condition Look up'!$I$4:$I$135,MATCH(G242,'G-8 Condition Look up'!$A$4:$A$135,0)),"")</f>
        <v/>
      </c>
      <c r="D242" s="110">
        <v>232</v>
      </c>
      <c r="E242" s="339"/>
      <c r="F242" s="340"/>
      <c r="G242" s="295" t="str">
        <f>IFERROR(INDEX('G-1 All Habitats'!$B$3:$B$134,MATCH(F242,'G-1 All Habitats'!$A$3:$A$134,0)),"")</f>
        <v/>
      </c>
      <c r="H242" s="139"/>
      <c r="I242" s="722" t="str">
        <f>IF(G242="","",VLOOKUP(G242,'G-1 All Habitats'!$B$2:$M$134,10,FALSE))</f>
        <v/>
      </c>
      <c r="J242" s="490" t="str">
        <f>IFERROR(VLOOKUP(I242,'G-1 All Habitats'!$V$3:$W$7,2,FALSE),"")</f>
        <v/>
      </c>
      <c r="K242" s="114"/>
      <c r="L242" s="490" t="str">
        <f>IFERROR(INDEX('G-8 Condition Look up'!$A$3:$H$135,MATCH(G242,'G-8 Condition Look up'!$A$3:$A$135,0),MATCH(K242,'G-8 Condition Look up'!$A$3:$H$3,0)),"")</f>
        <v/>
      </c>
      <c r="M242" s="738"/>
      <c r="N242" s="404" t="str">
        <f>IF(M242="","",IF(VLOOKUP(M242,'G-3 Multipliers'!$L$3:$N$6,2,FALSE)=0,"Spatial Data Missing ⚠",VLOOKUP(M242,'G-3 Multipliers'!$L$3:$N$6,2,FALSE)))</f>
        <v/>
      </c>
      <c r="O242" s="452" t="str">
        <f>IF(M242="","",IF(VLOOKUP(M242,'G-3 Multipliers'!$L$3:$N$6,3,FALSE)=0,"Spatial Data Missing ⚠",VLOOKUP(M242,'G-3 Multipliers'!$L$3:$N$6,3,FALSE)))</f>
        <v/>
      </c>
      <c r="P242" s="369" t="str">
        <f>IFERROR(VLOOKUP(G242,'G-1 All Habitats'!$B$2:$M$134,12,FALSE),"")</f>
        <v/>
      </c>
      <c r="Q242" s="725" t="str">
        <f>IFERROR(IF(P242="","",IF(AND(P242='G-1 All Habitats'!$X$3,W242&gt;0),X242+(Y242*S242),IF(AND(P242='G-1 All Habitats'!$X$3,V242&gt;0),X242+(Y242*S242),IF(AND(P242='G-1 All Habitats'!$X$3,AG242&gt;0),"Any Loss Unacceptable  ⚠",IF(AND(P242='G-1 All Habitats'!$X$3,Z242&gt;0),"Any Loss Unacceptable ⚠",H242*J242*L242*O242*S242))))),"Check Data ⚠")</f>
        <v/>
      </c>
      <c r="R242" s="516"/>
      <c r="S242" s="724" t="str">
        <f>IF(R242="","",IF(VLOOKUP(R242,'G-3 Multipliers'!$S$3:$T$10,2,FALSE)=0,"Spatial Data Missing ⚠",VLOOKUP(R242,'G-3 Multipliers'!$S$3:$T$10,2,FALSE)))</f>
        <v/>
      </c>
      <c r="T242" s="376" t="str">
        <f>IFERROR(IF(P242="","",IF(AND(P242='G-1 All Habitats'!$X$3,W242&gt;0),X242+Y242,IF(AND(P242='G-1 All Habitats'!$X$3,V242&gt;0),X242+Y242,IF(AND(P242='G-1 All Habitats'!$X$3,AG242&gt;0),"Any Loss Unacceptable ⚠", IF(R242="","", IF(AND(P242='G-1 All Habitats'!$X$3,Z242&gt;0),"Any Loss Unacceptable ⚠",H242*J242*L242*O242)))))),"Check Data ⚠")</f>
        <v/>
      </c>
      <c r="U242" s="38"/>
      <c r="V242" s="54"/>
      <c r="W242" s="55"/>
      <c r="X242" s="374" t="str">
        <f t="shared" si="31"/>
        <v/>
      </c>
      <c r="Y242" s="374" t="str">
        <f t="shared" si="32"/>
        <v/>
      </c>
      <c r="Z242" s="374" t="str">
        <f>IF(E242="","",IF(H242&lt;V242+W242,"Error in Areas ▲",IF(P242&lt;&gt;'G-1 All Habitats'!$X$3,H242-V242-W242,IF(AND(P242='G-1 All Habitats'!$X$3,AB242="Yes"),"Unacceptable Loss ⚠",IF(AND(P242='G-1 All Habitats'!$X$3,AB242="No"),AG242,IF(AND(P242='G-1 All Habitats'!$X$3,AB242=""),AG242,IF(AND(P242='G-1 All Habitats'!$X$3,AG242="None",AG242),IF(AND(P242='G-1 All Habitats'!$X$3,AG242&gt;0),H242-V242-W242))))))))</f>
        <v/>
      </c>
      <c r="AA242" s="405" t="str">
        <f>IFERROR(IF(H242="","",IF(H242-V242-W242=0&lt;0,"Error in Areas ▲",IF(V242+W242&gt;H242,"Error in Areas ▲",IF(AND(P242='G-1 All Habitats'!$X$3,AB242="Yes"),"Alternative Compensation ✓",IF(Z242=0,0,IF(P242='G-1 All Habitats'!$X$3,"Any Loss Unacceptable ▲",T242-X242-Y242)))))),"Check Data ⚠")</f>
        <v/>
      </c>
      <c r="AB242" s="837"/>
      <c r="AC242" s="119"/>
      <c r="AD242" s="528"/>
      <c r="AE242" s="120"/>
      <c r="AF242" s="687"/>
      <c r="AG242" s="744" t="str">
        <f>IF(P242="","",IF(P242='G-1 All Habitats'!$X$3,H242-V242-W242,"None"))</f>
        <v/>
      </c>
      <c r="AH242" s="744" t="str">
        <f t="shared" si="33"/>
        <v/>
      </c>
      <c r="AJ242" s="124" t="str">
        <f t="shared" si="34"/>
        <v/>
      </c>
      <c r="AK242" s="124" t="str">
        <f t="shared" si="35"/>
        <v/>
      </c>
      <c r="AL242" s="124" t="str">
        <f>IF(I242="","",IF(#REF!&gt;0,TRUE,FALSE))</f>
        <v/>
      </c>
      <c r="AM242" s="124">
        <v>232</v>
      </c>
      <c r="AN242" s="124"/>
      <c r="AO242" s="124" t="str">
        <f t="array" ref="AO242">IFERROR(INDEX($AM$11:$AM$259, MATCH(0, IF(TRUE=$AJ$11:$AJ$259, COUNTIF($AO$10:$AO241, $AM$11:$AM$259), ""), 0)),"")</f>
        <v/>
      </c>
      <c r="AP242" s="124" t="str">
        <f t="array" ref="AP242">IFERROR(INDEX($AM$11:$AM$259, MATCH(0, IF(TRUE=$AK$11:$AK$259, COUNTIF($AP$10:$AP241, $AM$11:$AM$259), ""), 0)),"")</f>
        <v/>
      </c>
      <c r="AQ242" s="124" t="str">
        <f t="array" ref="AQ242">IFERROR(INDEX($AM$11:$AM$259, MATCH(0, IF(TRUE=$AL$11:$AL$259, COUNTIF($AQ$10:$AQ241, $AM$11:$AM$259), ""), 0)),"")</f>
        <v/>
      </c>
      <c r="AU242" s="30">
        <f t="shared" si="36"/>
        <v>0</v>
      </c>
      <c r="AY242" s="374" t="str">
        <f t="shared" si="37"/>
        <v/>
      </c>
    </row>
    <row r="243" spans="1:51">
      <c r="A243" s="30" t="str">
        <f>IFERROR(INDEX('G-1 All Habitats'!$AG$3:$AG$17,MATCH(E243,'G-1 All Habitats'!$AF$3:$AF$17,0)),"")</f>
        <v/>
      </c>
      <c r="B243" s="30" t="str">
        <f>IFERROR(INDEX('G-8 Condition Look up'!$I$4:$I$135,MATCH(G243,'G-8 Condition Look up'!$A$4:$A$135,0)),"")</f>
        <v/>
      </c>
      <c r="D243" s="110">
        <v>233</v>
      </c>
      <c r="E243" s="339"/>
      <c r="F243" s="340"/>
      <c r="G243" s="295" t="str">
        <f>IFERROR(INDEX('G-1 All Habitats'!$B$3:$B$134,MATCH(F243,'G-1 All Habitats'!$A$3:$A$134,0)),"")</f>
        <v/>
      </c>
      <c r="H243" s="139"/>
      <c r="I243" s="722" t="str">
        <f>IF(G243="","",VLOOKUP(G243,'G-1 All Habitats'!$B$2:$M$134,10,FALSE))</f>
        <v/>
      </c>
      <c r="J243" s="490" t="str">
        <f>IFERROR(VLOOKUP(I243,'G-1 All Habitats'!$V$3:$W$7,2,FALSE),"")</f>
        <v/>
      </c>
      <c r="K243" s="114"/>
      <c r="L243" s="490" t="str">
        <f>IFERROR(INDEX('G-8 Condition Look up'!$A$3:$H$135,MATCH(G243,'G-8 Condition Look up'!$A$3:$A$135,0),MATCH(K243,'G-8 Condition Look up'!$A$3:$H$3,0)),"")</f>
        <v/>
      </c>
      <c r="M243" s="738"/>
      <c r="N243" s="404" t="str">
        <f>IF(M243="","",IF(VLOOKUP(M243,'G-3 Multipliers'!$L$3:$N$6,2,FALSE)=0,"Spatial Data Missing ⚠",VLOOKUP(M243,'G-3 Multipliers'!$L$3:$N$6,2,FALSE)))</f>
        <v/>
      </c>
      <c r="O243" s="452" t="str">
        <f>IF(M243="","",IF(VLOOKUP(M243,'G-3 Multipliers'!$L$3:$N$6,3,FALSE)=0,"Spatial Data Missing ⚠",VLOOKUP(M243,'G-3 Multipliers'!$L$3:$N$6,3,FALSE)))</f>
        <v/>
      </c>
      <c r="P243" s="369" t="str">
        <f>IFERROR(VLOOKUP(G243,'G-1 All Habitats'!$B$2:$M$134,12,FALSE),"")</f>
        <v/>
      </c>
      <c r="Q243" s="725" t="str">
        <f>IFERROR(IF(P243="","",IF(AND(P243='G-1 All Habitats'!$X$3,W243&gt;0),X243+(Y243*S243),IF(AND(P243='G-1 All Habitats'!$X$3,V243&gt;0),X243+(Y243*S243),IF(AND(P243='G-1 All Habitats'!$X$3,AG243&gt;0),"Any Loss Unacceptable  ⚠",IF(AND(P243='G-1 All Habitats'!$X$3,Z243&gt;0),"Any Loss Unacceptable ⚠",H243*J243*L243*O243*S243))))),"Check Data ⚠")</f>
        <v/>
      </c>
      <c r="R243" s="516"/>
      <c r="S243" s="724" t="str">
        <f>IF(R243="","",IF(VLOOKUP(R243,'G-3 Multipliers'!$S$3:$T$10,2,FALSE)=0,"Spatial Data Missing ⚠",VLOOKUP(R243,'G-3 Multipliers'!$S$3:$T$10,2,FALSE)))</f>
        <v/>
      </c>
      <c r="T243" s="376" t="str">
        <f>IFERROR(IF(P243="","",IF(AND(P243='G-1 All Habitats'!$X$3,W243&gt;0),X243+Y243,IF(AND(P243='G-1 All Habitats'!$X$3,V243&gt;0),X243+Y243,IF(AND(P243='G-1 All Habitats'!$X$3,AG243&gt;0),"Any Loss Unacceptable ⚠", IF(R243="","", IF(AND(P243='G-1 All Habitats'!$X$3,Z243&gt;0),"Any Loss Unacceptable ⚠",H243*J243*L243*O243)))))),"Check Data ⚠")</f>
        <v/>
      </c>
      <c r="U243" s="38"/>
      <c r="V243" s="54"/>
      <c r="W243" s="55"/>
      <c r="X243" s="374" t="str">
        <f t="shared" si="31"/>
        <v/>
      </c>
      <c r="Y243" s="374" t="str">
        <f t="shared" si="32"/>
        <v/>
      </c>
      <c r="Z243" s="374" t="str">
        <f>IF(E243="","",IF(H243&lt;V243+W243,"Error in Areas ▲",IF(P243&lt;&gt;'G-1 All Habitats'!$X$3,H243-V243-W243,IF(AND(P243='G-1 All Habitats'!$X$3,AB243="Yes"),"Unacceptable Loss ⚠",IF(AND(P243='G-1 All Habitats'!$X$3,AB243="No"),AG243,IF(AND(P243='G-1 All Habitats'!$X$3,AB243=""),AG243,IF(AND(P243='G-1 All Habitats'!$X$3,AG243="None",AG243),IF(AND(P243='G-1 All Habitats'!$X$3,AG243&gt;0),H243-V243-W243))))))))</f>
        <v/>
      </c>
      <c r="AA243" s="405" t="str">
        <f>IFERROR(IF(H243="","",IF(H243-V243-W243=0&lt;0,"Error in Areas ▲",IF(V243+W243&gt;H243,"Error in Areas ▲",IF(AND(P243='G-1 All Habitats'!$X$3,AB243="Yes"),"Alternative Compensation ✓",IF(Z243=0,0,IF(P243='G-1 All Habitats'!$X$3,"Any Loss Unacceptable ▲",T243-X243-Y243)))))),"Check Data ⚠")</f>
        <v/>
      </c>
      <c r="AB243" s="837"/>
      <c r="AC243" s="119"/>
      <c r="AD243" s="528"/>
      <c r="AE243" s="120"/>
      <c r="AF243" s="687"/>
      <c r="AG243" s="744" t="str">
        <f>IF(P243="","",IF(P243='G-1 All Habitats'!$X$3,H243-V243-W243,"None"))</f>
        <v/>
      </c>
      <c r="AH243" s="744" t="str">
        <f t="shared" si="33"/>
        <v/>
      </c>
      <c r="AJ243" s="124" t="str">
        <f t="shared" si="34"/>
        <v/>
      </c>
      <c r="AK243" s="124" t="str">
        <f t="shared" si="35"/>
        <v/>
      </c>
      <c r="AL243" s="124" t="str">
        <f>IF(I243="","",IF(#REF!&gt;0,TRUE,FALSE))</f>
        <v/>
      </c>
      <c r="AM243" s="124">
        <v>233</v>
      </c>
      <c r="AN243" s="124"/>
      <c r="AO243" s="124" t="str">
        <f t="array" ref="AO243">IFERROR(INDEX($AM$11:$AM$259, MATCH(0, IF(TRUE=$AJ$11:$AJ$259, COUNTIF($AO$10:$AO242, $AM$11:$AM$259), ""), 0)),"")</f>
        <v/>
      </c>
      <c r="AP243" s="124" t="str">
        <f t="array" ref="AP243">IFERROR(INDEX($AM$11:$AM$259, MATCH(0, IF(TRUE=$AK$11:$AK$259, COUNTIF($AP$10:$AP242, $AM$11:$AM$259), ""), 0)),"")</f>
        <v/>
      </c>
      <c r="AQ243" s="124" t="str">
        <f t="array" ref="AQ243">IFERROR(INDEX($AM$11:$AM$259, MATCH(0, IF(TRUE=$AL$11:$AL$259, COUNTIF($AQ$10:$AQ242, $AM$11:$AM$259), ""), 0)),"")</f>
        <v/>
      </c>
      <c r="AU243" s="30">
        <f t="shared" si="36"/>
        <v>0</v>
      </c>
      <c r="AY243" s="374" t="str">
        <f t="shared" si="37"/>
        <v/>
      </c>
    </row>
    <row r="244" spans="1:51">
      <c r="A244" s="30" t="str">
        <f>IFERROR(INDEX('G-1 All Habitats'!$AG$3:$AG$17,MATCH(E244,'G-1 All Habitats'!$AF$3:$AF$17,0)),"")</f>
        <v/>
      </c>
      <c r="B244" s="30" t="str">
        <f>IFERROR(INDEX('G-8 Condition Look up'!$I$4:$I$135,MATCH(G244,'G-8 Condition Look up'!$A$4:$A$135,0)),"")</f>
        <v/>
      </c>
      <c r="D244" s="110">
        <v>234</v>
      </c>
      <c r="E244" s="339"/>
      <c r="F244" s="340"/>
      <c r="G244" s="295" t="str">
        <f>IFERROR(INDEX('G-1 All Habitats'!$B$3:$B$134,MATCH(F244,'G-1 All Habitats'!$A$3:$A$134,0)),"")</f>
        <v/>
      </c>
      <c r="H244" s="139"/>
      <c r="I244" s="722" t="str">
        <f>IF(G244="","",VLOOKUP(G244,'G-1 All Habitats'!$B$2:$M$134,10,FALSE))</f>
        <v/>
      </c>
      <c r="J244" s="490" t="str">
        <f>IFERROR(VLOOKUP(I244,'G-1 All Habitats'!$V$3:$W$7,2,FALSE),"")</f>
        <v/>
      </c>
      <c r="K244" s="114"/>
      <c r="L244" s="490" t="str">
        <f>IFERROR(INDEX('G-8 Condition Look up'!$A$3:$H$135,MATCH(G244,'G-8 Condition Look up'!$A$3:$A$135,0),MATCH(K244,'G-8 Condition Look up'!$A$3:$H$3,0)),"")</f>
        <v/>
      </c>
      <c r="M244" s="738"/>
      <c r="N244" s="404" t="str">
        <f>IF(M244="","",IF(VLOOKUP(M244,'G-3 Multipliers'!$L$3:$N$6,2,FALSE)=0,"Spatial Data Missing ⚠",VLOOKUP(M244,'G-3 Multipliers'!$L$3:$N$6,2,FALSE)))</f>
        <v/>
      </c>
      <c r="O244" s="452" t="str">
        <f>IF(M244="","",IF(VLOOKUP(M244,'G-3 Multipliers'!$L$3:$N$6,3,FALSE)=0,"Spatial Data Missing ⚠",VLOOKUP(M244,'G-3 Multipliers'!$L$3:$N$6,3,FALSE)))</f>
        <v/>
      </c>
      <c r="P244" s="369" t="str">
        <f>IFERROR(VLOOKUP(G244,'G-1 All Habitats'!$B$2:$M$134,12,FALSE),"")</f>
        <v/>
      </c>
      <c r="Q244" s="725" t="str">
        <f>IFERROR(IF(P244="","",IF(AND(P244='G-1 All Habitats'!$X$3,W244&gt;0),X244+(Y244*S244),IF(AND(P244='G-1 All Habitats'!$X$3,V244&gt;0),X244+(Y244*S244),IF(AND(P244='G-1 All Habitats'!$X$3,AG244&gt;0),"Any Loss Unacceptable  ⚠",IF(AND(P244='G-1 All Habitats'!$X$3,Z244&gt;0),"Any Loss Unacceptable ⚠",H244*J244*L244*O244*S244))))),"Check Data ⚠")</f>
        <v/>
      </c>
      <c r="R244" s="516"/>
      <c r="S244" s="724" t="str">
        <f>IF(R244="","",IF(VLOOKUP(R244,'G-3 Multipliers'!$S$3:$T$10,2,FALSE)=0,"Spatial Data Missing ⚠",VLOOKUP(R244,'G-3 Multipliers'!$S$3:$T$10,2,FALSE)))</f>
        <v/>
      </c>
      <c r="T244" s="376" t="str">
        <f>IFERROR(IF(P244="","",IF(AND(P244='G-1 All Habitats'!$X$3,W244&gt;0),X244+Y244,IF(AND(P244='G-1 All Habitats'!$X$3,V244&gt;0),X244+Y244,IF(AND(P244='G-1 All Habitats'!$X$3,AG244&gt;0),"Any Loss Unacceptable ⚠", IF(R244="","", IF(AND(P244='G-1 All Habitats'!$X$3,Z244&gt;0),"Any Loss Unacceptable ⚠",H244*J244*L244*O244)))))),"Check Data ⚠")</f>
        <v/>
      </c>
      <c r="U244" s="38"/>
      <c r="V244" s="54"/>
      <c r="W244" s="55"/>
      <c r="X244" s="374" t="str">
        <f t="shared" si="31"/>
        <v/>
      </c>
      <c r="Y244" s="374" t="str">
        <f t="shared" si="32"/>
        <v/>
      </c>
      <c r="Z244" s="374" t="str">
        <f>IF(E244="","",IF(H244&lt;V244+W244,"Error in Areas ▲",IF(P244&lt;&gt;'G-1 All Habitats'!$X$3,H244-V244-W244,IF(AND(P244='G-1 All Habitats'!$X$3,AB244="Yes"),"Unacceptable Loss ⚠",IF(AND(P244='G-1 All Habitats'!$X$3,AB244="No"),AG244,IF(AND(P244='G-1 All Habitats'!$X$3,AB244=""),AG244,IF(AND(P244='G-1 All Habitats'!$X$3,AG244="None",AG244),IF(AND(P244='G-1 All Habitats'!$X$3,AG244&gt;0),H244-V244-W244))))))))</f>
        <v/>
      </c>
      <c r="AA244" s="405" t="str">
        <f>IFERROR(IF(H244="","",IF(H244-V244-W244=0&lt;0,"Error in Areas ▲",IF(V244+W244&gt;H244,"Error in Areas ▲",IF(AND(P244='G-1 All Habitats'!$X$3,AB244="Yes"),"Alternative Compensation ✓",IF(Z244=0,0,IF(P244='G-1 All Habitats'!$X$3,"Any Loss Unacceptable ▲",T244-X244-Y244)))))),"Check Data ⚠")</f>
        <v/>
      </c>
      <c r="AB244" s="837"/>
      <c r="AC244" s="119"/>
      <c r="AD244" s="528"/>
      <c r="AE244" s="120"/>
      <c r="AF244" s="687"/>
      <c r="AG244" s="744" t="str">
        <f>IF(P244="","",IF(P244='G-1 All Habitats'!$X$3,H244-V244-W244,"None"))</f>
        <v/>
      </c>
      <c r="AH244" s="744" t="str">
        <f t="shared" si="33"/>
        <v/>
      </c>
      <c r="AJ244" s="124" t="str">
        <f t="shared" si="34"/>
        <v/>
      </c>
      <c r="AK244" s="124" t="str">
        <f t="shared" si="35"/>
        <v/>
      </c>
      <c r="AL244" s="124" t="str">
        <f>IF(I244="","",IF(#REF!&gt;0,TRUE,FALSE))</f>
        <v/>
      </c>
      <c r="AM244" s="124">
        <v>234</v>
      </c>
      <c r="AN244" s="124"/>
      <c r="AO244" s="124" t="str">
        <f t="array" ref="AO244">IFERROR(INDEX($AM$11:$AM$259, MATCH(0, IF(TRUE=$AJ$11:$AJ$259, COUNTIF($AO$10:$AO243, $AM$11:$AM$259), ""), 0)),"")</f>
        <v/>
      </c>
      <c r="AP244" s="124" t="str">
        <f t="array" ref="AP244">IFERROR(INDEX($AM$11:$AM$259, MATCH(0, IF(TRUE=$AK$11:$AK$259, COUNTIF($AP$10:$AP243, $AM$11:$AM$259), ""), 0)),"")</f>
        <v/>
      </c>
      <c r="AQ244" s="124" t="str">
        <f t="array" ref="AQ244">IFERROR(INDEX($AM$11:$AM$259, MATCH(0, IF(TRUE=$AL$11:$AL$259, COUNTIF($AQ$10:$AQ243, $AM$11:$AM$259), ""), 0)),"")</f>
        <v/>
      </c>
      <c r="AU244" s="30">
        <f t="shared" si="36"/>
        <v>0</v>
      </c>
      <c r="AY244" s="374" t="str">
        <f t="shared" si="37"/>
        <v/>
      </c>
    </row>
    <row r="245" spans="1:51">
      <c r="A245" s="30" t="str">
        <f>IFERROR(INDEX('G-1 All Habitats'!$AG$3:$AG$17,MATCH(E245,'G-1 All Habitats'!$AF$3:$AF$17,0)),"")</f>
        <v/>
      </c>
      <c r="B245" s="30" t="str">
        <f>IFERROR(INDEX('G-8 Condition Look up'!$I$4:$I$135,MATCH(G245,'G-8 Condition Look up'!$A$4:$A$135,0)),"")</f>
        <v/>
      </c>
      <c r="D245" s="110">
        <v>235</v>
      </c>
      <c r="E245" s="339"/>
      <c r="F245" s="340"/>
      <c r="G245" s="295" t="str">
        <f>IFERROR(INDEX('G-1 All Habitats'!$B$3:$B$134,MATCH(F245,'G-1 All Habitats'!$A$3:$A$134,0)),"")</f>
        <v/>
      </c>
      <c r="H245" s="139"/>
      <c r="I245" s="722" t="str">
        <f>IF(G245="","",VLOOKUP(G245,'G-1 All Habitats'!$B$2:$M$134,10,FALSE))</f>
        <v/>
      </c>
      <c r="J245" s="490" t="str">
        <f>IFERROR(VLOOKUP(I245,'G-1 All Habitats'!$V$3:$W$7,2,FALSE),"")</f>
        <v/>
      </c>
      <c r="K245" s="114"/>
      <c r="L245" s="490" t="str">
        <f>IFERROR(INDEX('G-8 Condition Look up'!$A$3:$H$135,MATCH(G245,'G-8 Condition Look up'!$A$3:$A$135,0),MATCH(K245,'G-8 Condition Look up'!$A$3:$H$3,0)),"")</f>
        <v/>
      </c>
      <c r="M245" s="738"/>
      <c r="N245" s="404" t="str">
        <f>IF(M245="","",IF(VLOOKUP(M245,'G-3 Multipliers'!$L$3:$N$6,2,FALSE)=0,"Spatial Data Missing ⚠",VLOOKUP(M245,'G-3 Multipliers'!$L$3:$N$6,2,FALSE)))</f>
        <v/>
      </c>
      <c r="O245" s="452" t="str">
        <f>IF(M245="","",IF(VLOOKUP(M245,'G-3 Multipliers'!$L$3:$N$6,3,FALSE)=0,"Spatial Data Missing ⚠",VLOOKUP(M245,'G-3 Multipliers'!$L$3:$N$6,3,FALSE)))</f>
        <v/>
      </c>
      <c r="P245" s="369" t="str">
        <f>IFERROR(VLOOKUP(G245,'G-1 All Habitats'!$B$2:$M$134,12,FALSE),"")</f>
        <v/>
      </c>
      <c r="Q245" s="725" t="str">
        <f>IFERROR(IF(P245="","",IF(AND(P245='G-1 All Habitats'!$X$3,W245&gt;0),X245+(Y245*S245),IF(AND(P245='G-1 All Habitats'!$X$3,V245&gt;0),X245+(Y245*S245),IF(AND(P245='G-1 All Habitats'!$X$3,AG245&gt;0),"Any Loss Unacceptable  ⚠",IF(AND(P245='G-1 All Habitats'!$X$3,Z245&gt;0),"Any Loss Unacceptable ⚠",H245*J245*L245*O245*S245))))),"Check Data ⚠")</f>
        <v/>
      </c>
      <c r="R245" s="516"/>
      <c r="S245" s="724" t="str">
        <f>IF(R245="","",IF(VLOOKUP(R245,'G-3 Multipliers'!$S$3:$T$10,2,FALSE)=0,"Spatial Data Missing ⚠",VLOOKUP(R245,'G-3 Multipliers'!$S$3:$T$10,2,FALSE)))</f>
        <v/>
      </c>
      <c r="T245" s="376" t="str">
        <f>IFERROR(IF(P245="","",IF(AND(P245='G-1 All Habitats'!$X$3,W245&gt;0),X245+Y245,IF(AND(P245='G-1 All Habitats'!$X$3,V245&gt;0),X245+Y245,IF(AND(P245='G-1 All Habitats'!$X$3,AG245&gt;0),"Any Loss Unacceptable ⚠", IF(R245="","", IF(AND(P245='G-1 All Habitats'!$X$3,Z245&gt;0),"Any Loss Unacceptable ⚠",H245*J245*L245*O245)))))),"Check Data ⚠")</f>
        <v/>
      </c>
      <c r="U245" s="38"/>
      <c r="V245" s="54"/>
      <c r="W245" s="55"/>
      <c r="X245" s="374" t="str">
        <f t="shared" si="31"/>
        <v/>
      </c>
      <c r="Y245" s="374" t="str">
        <f t="shared" si="32"/>
        <v/>
      </c>
      <c r="Z245" s="374" t="str">
        <f>IF(E245="","",IF(H245&lt;V245+W245,"Error in Areas ▲",IF(P245&lt;&gt;'G-1 All Habitats'!$X$3,H245-V245-W245,IF(AND(P245='G-1 All Habitats'!$X$3,AB245="Yes"),"Unacceptable Loss ⚠",IF(AND(P245='G-1 All Habitats'!$X$3,AB245="No"),AG245,IF(AND(P245='G-1 All Habitats'!$X$3,AB245=""),AG245,IF(AND(P245='G-1 All Habitats'!$X$3,AG245="None",AG245),IF(AND(P245='G-1 All Habitats'!$X$3,AG245&gt;0),H245-V245-W245))))))))</f>
        <v/>
      </c>
      <c r="AA245" s="405" t="str">
        <f>IFERROR(IF(H245="","",IF(H245-V245-W245=0&lt;0,"Error in Areas ▲",IF(V245+W245&gt;H245,"Error in Areas ▲",IF(AND(P245='G-1 All Habitats'!$X$3,AB245="Yes"),"Alternative Compensation ✓",IF(Z245=0,0,IF(P245='G-1 All Habitats'!$X$3,"Any Loss Unacceptable ▲",T245-X245-Y245)))))),"Check Data ⚠")</f>
        <v/>
      </c>
      <c r="AB245" s="837"/>
      <c r="AC245" s="119"/>
      <c r="AD245" s="528"/>
      <c r="AE245" s="120"/>
      <c r="AF245" s="687"/>
      <c r="AG245" s="744" t="str">
        <f>IF(P245="","",IF(P245='G-1 All Habitats'!$X$3,H245-V245-W245,"None"))</f>
        <v/>
      </c>
      <c r="AH245" s="744" t="str">
        <f t="shared" si="33"/>
        <v/>
      </c>
      <c r="AJ245" s="124" t="str">
        <f t="shared" si="34"/>
        <v/>
      </c>
      <c r="AK245" s="124" t="str">
        <f t="shared" si="35"/>
        <v/>
      </c>
      <c r="AL245" s="124" t="str">
        <f>IF(I245="","",IF(#REF!&gt;0,TRUE,FALSE))</f>
        <v/>
      </c>
      <c r="AM245" s="124">
        <v>235</v>
      </c>
      <c r="AN245" s="124"/>
      <c r="AO245" s="124" t="str">
        <f t="array" ref="AO245">IFERROR(INDEX($AM$11:$AM$259, MATCH(0, IF(TRUE=$AJ$11:$AJ$259, COUNTIF($AO$10:$AO244, $AM$11:$AM$259), ""), 0)),"")</f>
        <v/>
      </c>
      <c r="AP245" s="124" t="str">
        <f t="array" ref="AP245">IFERROR(INDEX($AM$11:$AM$259, MATCH(0, IF(TRUE=$AK$11:$AK$259, COUNTIF($AP$10:$AP244, $AM$11:$AM$259), ""), 0)),"")</f>
        <v/>
      </c>
      <c r="AQ245" s="124" t="str">
        <f t="array" ref="AQ245">IFERROR(INDEX($AM$11:$AM$259, MATCH(0, IF(TRUE=$AL$11:$AL$259, COUNTIF($AQ$10:$AQ244, $AM$11:$AM$259), ""), 0)),"")</f>
        <v/>
      </c>
      <c r="AU245" s="30">
        <f t="shared" si="36"/>
        <v>0</v>
      </c>
      <c r="AY245" s="374" t="str">
        <f t="shared" si="37"/>
        <v/>
      </c>
    </row>
    <row r="246" spans="1:51">
      <c r="A246" s="30" t="str">
        <f>IFERROR(INDEX('G-1 All Habitats'!$AG$3:$AG$17,MATCH(E246,'G-1 All Habitats'!$AF$3:$AF$17,0)),"")</f>
        <v/>
      </c>
      <c r="B246" s="30" t="str">
        <f>IFERROR(INDEX('G-8 Condition Look up'!$I$4:$I$135,MATCH(G246,'G-8 Condition Look up'!$A$4:$A$135,0)),"")</f>
        <v/>
      </c>
      <c r="D246" s="110">
        <v>236</v>
      </c>
      <c r="E246" s="339"/>
      <c r="F246" s="340"/>
      <c r="G246" s="295" t="str">
        <f>IFERROR(INDEX('G-1 All Habitats'!$B$3:$B$134,MATCH(F246,'G-1 All Habitats'!$A$3:$A$134,0)),"")</f>
        <v/>
      </c>
      <c r="H246" s="139"/>
      <c r="I246" s="722" t="str">
        <f>IF(G246="","",VLOOKUP(G246,'G-1 All Habitats'!$B$2:$M$134,10,FALSE))</f>
        <v/>
      </c>
      <c r="J246" s="490" t="str">
        <f>IFERROR(VLOOKUP(I246,'G-1 All Habitats'!$V$3:$W$7,2,FALSE),"")</f>
        <v/>
      </c>
      <c r="K246" s="114"/>
      <c r="L246" s="490" t="str">
        <f>IFERROR(INDEX('G-8 Condition Look up'!$A$3:$H$135,MATCH(G246,'G-8 Condition Look up'!$A$3:$A$135,0),MATCH(K246,'G-8 Condition Look up'!$A$3:$H$3,0)),"")</f>
        <v/>
      </c>
      <c r="M246" s="738"/>
      <c r="N246" s="404" t="str">
        <f>IF(M246="","",IF(VLOOKUP(M246,'G-3 Multipliers'!$L$3:$N$6,2,FALSE)=0,"Spatial Data Missing ⚠",VLOOKUP(M246,'G-3 Multipliers'!$L$3:$N$6,2,FALSE)))</f>
        <v/>
      </c>
      <c r="O246" s="452" t="str">
        <f>IF(M246="","",IF(VLOOKUP(M246,'G-3 Multipliers'!$L$3:$N$6,3,FALSE)=0,"Spatial Data Missing ⚠",VLOOKUP(M246,'G-3 Multipliers'!$L$3:$N$6,3,FALSE)))</f>
        <v/>
      </c>
      <c r="P246" s="369" t="str">
        <f>IFERROR(VLOOKUP(G246,'G-1 All Habitats'!$B$2:$M$134,12,FALSE),"")</f>
        <v/>
      </c>
      <c r="Q246" s="725" t="str">
        <f>IFERROR(IF(P246="","",IF(AND(P246='G-1 All Habitats'!$X$3,W246&gt;0),X246+(Y246*S246),IF(AND(P246='G-1 All Habitats'!$X$3,V246&gt;0),X246+(Y246*S246),IF(AND(P246='G-1 All Habitats'!$X$3,AG246&gt;0),"Any Loss Unacceptable  ⚠",IF(AND(P246='G-1 All Habitats'!$X$3,Z246&gt;0),"Any Loss Unacceptable ⚠",H246*J246*L246*O246*S246))))),"Check Data ⚠")</f>
        <v/>
      </c>
      <c r="R246" s="516"/>
      <c r="S246" s="724" t="str">
        <f>IF(R246="","",IF(VLOOKUP(R246,'G-3 Multipliers'!$S$3:$T$10,2,FALSE)=0,"Spatial Data Missing ⚠",VLOOKUP(R246,'G-3 Multipliers'!$S$3:$T$10,2,FALSE)))</f>
        <v/>
      </c>
      <c r="T246" s="376" t="str">
        <f>IFERROR(IF(P246="","",IF(AND(P246='G-1 All Habitats'!$X$3,W246&gt;0),X246+Y246,IF(AND(P246='G-1 All Habitats'!$X$3,V246&gt;0),X246+Y246,IF(AND(P246='G-1 All Habitats'!$X$3,AG246&gt;0),"Any Loss Unacceptable ⚠", IF(R246="","", IF(AND(P246='G-1 All Habitats'!$X$3,Z246&gt;0),"Any Loss Unacceptable ⚠",H246*J246*L246*O246)))))),"Check Data ⚠")</f>
        <v/>
      </c>
      <c r="U246" s="38"/>
      <c r="V246" s="54"/>
      <c r="W246" s="55"/>
      <c r="X246" s="374" t="str">
        <f t="shared" si="31"/>
        <v/>
      </c>
      <c r="Y246" s="374" t="str">
        <f t="shared" si="32"/>
        <v/>
      </c>
      <c r="Z246" s="374" t="str">
        <f>IF(E246="","",IF(H246&lt;V246+W246,"Error in Areas ▲",IF(P246&lt;&gt;'G-1 All Habitats'!$X$3,H246-V246-W246,IF(AND(P246='G-1 All Habitats'!$X$3,AB246="Yes"),"Unacceptable Loss ⚠",IF(AND(P246='G-1 All Habitats'!$X$3,AB246="No"),AG246,IF(AND(P246='G-1 All Habitats'!$X$3,AB246=""),AG246,IF(AND(P246='G-1 All Habitats'!$X$3,AG246="None",AG246),IF(AND(P246='G-1 All Habitats'!$X$3,AG246&gt;0),H246-V246-W246))))))))</f>
        <v/>
      </c>
      <c r="AA246" s="405" t="str">
        <f>IFERROR(IF(H246="","",IF(H246-V246-W246=0&lt;0,"Error in Areas ▲",IF(V246+W246&gt;H246,"Error in Areas ▲",IF(AND(P246='G-1 All Habitats'!$X$3,AB246="Yes"),"Alternative Compensation ✓",IF(Z246=0,0,IF(P246='G-1 All Habitats'!$X$3,"Any Loss Unacceptable ▲",T246-X246-Y246)))))),"Check Data ⚠")</f>
        <v/>
      </c>
      <c r="AB246" s="837"/>
      <c r="AC246" s="119"/>
      <c r="AD246" s="528"/>
      <c r="AE246" s="120"/>
      <c r="AF246" s="687"/>
      <c r="AG246" s="744" t="str">
        <f>IF(P246="","",IF(P246='G-1 All Habitats'!$X$3,H246-V246-W246,"None"))</f>
        <v/>
      </c>
      <c r="AH246" s="744" t="str">
        <f t="shared" si="33"/>
        <v/>
      </c>
      <c r="AJ246" s="124" t="str">
        <f t="shared" si="34"/>
        <v/>
      </c>
      <c r="AK246" s="124" t="str">
        <f t="shared" si="35"/>
        <v/>
      </c>
      <c r="AL246" s="124" t="str">
        <f>IF(I246="","",IF(#REF!&gt;0,TRUE,FALSE))</f>
        <v/>
      </c>
      <c r="AM246" s="124">
        <v>236</v>
      </c>
      <c r="AN246" s="124"/>
      <c r="AO246" s="124" t="str">
        <f t="array" ref="AO246">IFERROR(INDEX($AM$11:$AM$259, MATCH(0, IF(TRUE=$AJ$11:$AJ$259, COUNTIF($AO$10:$AO245, $AM$11:$AM$259), ""), 0)),"")</f>
        <v/>
      </c>
      <c r="AP246" s="124" t="str">
        <f t="array" ref="AP246">IFERROR(INDEX($AM$11:$AM$259, MATCH(0, IF(TRUE=$AK$11:$AK$259, COUNTIF($AP$10:$AP245, $AM$11:$AM$259), ""), 0)),"")</f>
        <v/>
      </c>
      <c r="AQ246" s="124" t="str">
        <f t="array" ref="AQ246">IFERROR(INDEX($AM$11:$AM$259, MATCH(0, IF(TRUE=$AL$11:$AL$259, COUNTIF($AQ$10:$AQ245, $AM$11:$AM$259), ""), 0)),"")</f>
        <v/>
      </c>
      <c r="AU246" s="30">
        <f t="shared" si="36"/>
        <v>0</v>
      </c>
      <c r="AY246" s="374" t="str">
        <f t="shared" si="37"/>
        <v/>
      </c>
    </row>
    <row r="247" spans="1:51">
      <c r="A247" s="30" t="str">
        <f>IFERROR(INDEX('G-1 All Habitats'!$AG$3:$AG$17,MATCH(E247,'G-1 All Habitats'!$AF$3:$AF$17,0)),"")</f>
        <v/>
      </c>
      <c r="B247" s="30" t="str">
        <f>IFERROR(INDEX('G-8 Condition Look up'!$I$4:$I$135,MATCH(G247,'G-8 Condition Look up'!$A$4:$A$135,0)),"")</f>
        <v/>
      </c>
      <c r="D247" s="110">
        <v>237</v>
      </c>
      <c r="E247" s="339"/>
      <c r="F247" s="340"/>
      <c r="G247" s="295" t="str">
        <f>IFERROR(INDEX('G-1 All Habitats'!$B$3:$B$134,MATCH(F247,'G-1 All Habitats'!$A$3:$A$134,0)),"")</f>
        <v/>
      </c>
      <c r="H247" s="139"/>
      <c r="I247" s="722" t="str">
        <f>IF(G247="","",VLOOKUP(G247,'G-1 All Habitats'!$B$2:$M$134,10,FALSE))</f>
        <v/>
      </c>
      <c r="J247" s="490" t="str">
        <f>IFERROR(VLOOKUP(I247,'G-1 All Habitats'!$V$3:$W$7,2,FALSE),"")</f>
        <v/>
      </c>
      <c r="K247" s="114"/>
      <c r="L247" s="490" t="str">
        <f>IFERROR(INDEX('G-8 Condition Look up'!$A$3:$H$135,MATCH(G247,'G-8 Condition Look up'!$A$3:$A$135,0),MATCH(K247,'G-8 Condition Look up'!$A$3:$H$3,0)),"")</f>
        <v/>
      </c>
      <c r="M247" s="738"/>
      <c r="N247" s="404" t="str">
        <f>IF(M247="","",IF(VLOOKUP(M247,'G-3 Multipliers'!$L$3:$N$6,2,FALSE)=0,"Spatial Data Missing ⚠",VLOOKUP(M247,'G-3 Multipliers'!$L$3:$N$6,2,FALSE)))</f>
        <v/>
      </c>
      <c r="O247" s="452" t="str">
        <f>IF(M247="","",IF(VLOOKUP(M247,'G-3 Multipliers'!$L$3:$N$6,3,FALSE)=0,"Spatial Data Missing ⚠",VLOOKUP(M247,'G-3 Multipliers'!$L$3:$N$6,3,FALSE)))</f>
        <v/>
      </c>
      <c r="P247" s="369" t="str">
        <f>IFERROR(VLOOKUP(G247,'G-1 All Habitats'!$B$2:$M$134,12,FALSE),"")</f>
        <v/>
      </c>
      <c r="Q247" s="725" t="str">
        <f>IFERROR(IF(P247="","",IF(AND(P247='G-1 All Habitats'!$X$3,W247&gt;0),X247+(Y247*S247),IF(AND(P247='G-1 All Habitats'!$X$3,V247&gt;0),X247+(Y247*S247),IF(AND(P247='G-1 All Habitats'!$X$3,AG247&gt;0),"Any Loss Unacceptable  ⚠",IF(AND(P247='G-1 All Habitats'!$X$3,Z247&gt;0),"Any Loss Unacceptable ⚠",H247*J247*L247*O247*S247))))),"Check Data ⚠")</f>
        <v/>
      </c>
      <c r="R247" s="516"/>
      <c r="S247" s="724" t="str">
        <f>IF(R247="","",IF(VLOOKUP(R247,'G-3 Multipliers'!$S$3:$T$10,2,FALSE)=0,"Spatial Data Missing ⚠",VLOOKUP(R247,'G-3 Multipliers'!$S$3:$T$10,2,FALSE)))</f>
        <v/>
      </c>
      <c r="T247" s="376" t="str">
        <f>IFERROR(IF(P247="","",IF(AND(P247='G-1 All Habitats'!$X$3,W247&gt;0),X247+Y247,IF(AND(P247='G-1 All Habitats'!$X$3,V247&gt;0),X247+Y247,IF(AND(P247='G-1 All Habitats'!$X$3,AG247&gt;0),"Any Loss Unacceptable ⚠", IF(R247="","", IF(AND(P247='G-1 All Habitats'!$X$3,Z247&gt;0),"Any Loss Unacceptable ⚠",H247*J247*L247*O247)))))),"Check Data ⚠")</f>
        <v/>
      </c>
      <c r="U247" s="38"/>
      <c r="V247" s="54"/>
      <c r="W247" s="55"/>
      <c r="X247" s="374" t="str">
        <f t="shared" si="31"/>
        <v/>
      </c>
      <c r="Y247" s="374" t="str">
        <f t="shared" si="32"/>
        <v/>
      </c>
      <c r="Z247" s="374" t="str">
        <f>IF(E247="","",IF(H247&lt;V247+W247,"Error in Areas ▲",IF(P247&lt;&gt;'G-1 All Habitats'!$X$3,H247-V247-W247,IF(AND(P247='G-1 All Habitats'!$X$3,AB247="Yes"),"Unacceptable Loss ⚠",IF(AND(P247='G-1 All Habitats'!$X$3,AB247="No"),AG247,IF(AND(P247='G-1 All Habitats'!$X$3,AB247=""),AG247,IF(AND(P247='G-1 All Habitats'!$X$3,AG247="None",AG247),IF(AND(P247='G-1 All Habitats'!$X$3,AG247&gt;0),H247-V247-W247))))))))</f>
        <v/>
      </c>
      <c r="AA247" s="405" t="str">
        <f>IFERROR(IF(H247="","",IF(H247-V247-W247=0&lt;0,"Error in Areas ▲",IF(V247+W247&gt;H247,"Error in Areas ▲",IF(AND(P247='G-1 All Habitats'!$X$3,AB247="Yes"),"Alternative Compensation ✓",IF(Z247=0,0,IF(P247='G-1 All Habitats'!$X$3,"Any Loss Unacceptable ▲",T247-X247-Y247)))))),"Check Data ⚠")</f>
        <v/>
      </c>
      <c r="AB247" s="837"/>
      <c r="AC247" s="119"/>
      <c r="AD247" s="528"/>
      <c r="AE247" s="120"/>
      <c r="AF247" s="687"/>
      <c r="AG247" s="744" t="str">
        <f>IF(P247="","",IF(P247='G-1 All Habitats'!$X$3,H247-V247-W247,"None"))</f>
        <v/>
      </c>
      <c r="AH247" s="744" t="str">
        <f t="shared" si="33"/>
        <v/>
      </c>
      <c r="AJ247" s="124" t="str">
        <f t="shared" si="34"/>
        <v/>
      </c>
      <c r="AK247" s="124" t="str">
        <f t="shared" si="35"/>
        <v/>
      </c>
      <c r="AL247" s="124" t="str">
        <f>IF(I247="","",IF(#REF!&gt;0,TRUE,FALSE))</f>
        <v/>
      </c>
      <c r="AM247" s="124">
        <v>237</v>
      </c>
      <c r="AN247" s="124"/>
      <c r="AO247" s="124" t="str">
        <f t="array" ref="AO247">IFERROR(INDEX($AM$11:$AM$259, MATCH(0, IF(TRUE=$AJ$11:$AJ$259, COUNTIF($AO$10:$AO246, $AM$11:$AM$259), ""), 0)),"")</f>
        <v/>
      </c>
      <c r="AP247" s="124" t="str">
        <f t="array" ref="AP247">IFERROR(INDEX($AM$11:$AM$259, MATCH(0, IF(TRUE=$AK$11:$AK$259, COUNTIF($AP$10:$AP246, $AM$11:$AM$259), ""), 0)),"")</f>
        <v/>
      </c>
      <c r="AQ247" s="124" t="str">
        <f t="array" ref="AQ247">IFERROR(INDEX($AM$11:$AM$259, MATCH(0, IF(TRUE=$AL$11:$AL$259, COUNTIF($AQ$10:$AQ246, $AM$11:$AM$259), ""), 0)),"")</f>
        <v/>
      </c>
      <c r="AU247" s="30">
        <f t="shared" si="36"/>
        <v>0</v>
      </c>
      <c r="AY247" s="374" t="str">
        <f t="shared" si="37"/>
        <v/>
      </c>
    </row>
    <row r="248" spans="1:51">
      <c r="A248" s="30" t="str">
        <f>IFERROR(INDEX('G-1 All Habitats'!$AG$3:$AG$17,MATCH(E248,'G-1 All Habitats'!$AF$3:$AF$17,0)),"")</f>
        <v/>
      </c>
      <c r="B248" s="30" t="str">
        <f>IFERROR(INDEX('G-8 Condition Look up'!$I$4:$I$135,MATCH(G248,'G-8 Condition Look up'!$A$4:$A$135,0)),"")</f>
        <v/>
      </c>
      <c r="D248" s="110">
        <v>238</v>
      </c>
      <c r="E248" s="339"/>
      <c r="F248" s="340"/>
      <c r="G248" s="295" t="str">
        <f>IFERROR(INDEX('G-1 All Habitats'!$B$3:$B$134,MATCH(F248,'G-1 All Habitats'!$A$3:$A$134,0)),"")</f>
        <v/>
      </c>
      <c r="H248" s="139"/>
      <c r="I248" s="722" t="str">
        <f>IF(G248="","",VLOOKUP(G248,'G-1 All Habitats'!$B$2:$M$134,10,FALSE))</f>
        <v/>
      </c>
      <c r="J248" s="490" t="str">
        <f>IFERROR(VLOOKUP(I248,'G-1 All Habitats'!$V$3:$W$7,2,FALSE),"")</f>
        <v/>
      </c>
      <c r="K248" s="114"/>
      <c r="L248" s="490" t="str">
        <f>IFERROR(INDEX('G-8 Condition Look up'!$A$3:$H$135,MATCH(G248,'G-8 Condition Look up'!$A$3:$A$135,0),MATCH(K248,'G-8 Condition Look up'!$A$3:$H$3,0)),"")</f>
        <v/>
      </c>
      <c r="M248" s="738"/>
      <c r="N248" s="404" t="str">
        <f>IF(M248="","",IF(VLOOKUP(M248,'G-3 Multipliers'!$L$3:$N$6,2,FALSE)=0,"Spatial Data Missing ⚠",VLOOKUP(M248,'G-3 Multipliers'!$L$3:$N$6,2,FALSE)))</f>
        <v/>
      </c>
      <c r="O248" s="452" t="str">
        <f>IF(M248="","",IF(VLOOKUP(M248,'G-3 Multipliers'!$L$3:$N$6,3,FALSE)=0,"Spatial Data Missing ⚠",VLOOKUP(M248,'G-3 Multipliers'!$L$3:$N$6,3,FALSE)))</f>
        <v/>
      </c>
      <c r="P248" s="369" t="str">
        <f>IFERROR(VLOOKUP(G248,'G-1 All Habitats'!$B$2:$M$134,12,FALSE),"")</f>
        <v/>
      </c>
      <c r="Q248" s="725" t="str">
        <f>IFERROR(IF(P248="","",IF(AND(P248='G-1 All Habitats'!$X$3,W248&gt;0),X248+(Y248*S248),IF(AND(P248='G-1 All Habitats'!$X$3,V248&gt;0),X248+(Y248*S248),IF(AND(P248='G-1 All Habitats'!$X$3,AG248&gt;0),"Any Loss Unacceptable  ⚠",IF(AND(P248='G-1 All Habitats'!$X$3,Z248&gt;0),"Any Loss Unacceptable ⚠",H248*J248*L248*O248*S248))))),"Check Data ⚠")</f>
        <v/>
      </c>
      <c r="R248" s="516"/>
      <c r="S248" s="724" t="str">
        <f>IF(R248="","",IF(VLOOKUP(R248,'G-3 Multipliers'!$S$3:$T$10,2,FALSE)=0,"Spatial Data Missing ⚠",VLOOKUP(R248,'G-3 Multipliers'!$S$3:$T$10,2,FALSE)))</f>
        <v/>
      </c>
      <c r="T248" s="376" t="str">
        <f>IFERROR(IF(P248="","",IF(AND(P248='G-1 All Habitats'!$X$3,W248&gt;0),X248+Y248,IF(AND(P248='G-1 All Habitats'!$X$3,V248&gt;0),X248+Y248,IF(AND(P248='G-1 All Habitats'!$X$3,AG248&gt;0),"Any Loss Unacceptable ⚠", IF(R248="","", IF(AND(P248='G-1 All Habitats'!$X$3,Z248&gt;0),"Any Loss Unacceptable ⚠",H248*J248*L248*O248)))))),"Check Data ⚠")</f>
        <v/>
      </c>
      <c r="U248" s="38"/>
      <c r="V248" s="54"/>
      <c r="W248" s="55"/>
      <c r="X248" s="374" t="str">
        <f t="shared" si="31"/>
        <v/>
      </c>
      <c r="Y248" s="374" t="str">
        <f t="shared" si="32"/>
        <v/>
      </c>
      <c r="Z248" s="374" t="str">
        <f>IF(E248="","",IF(H248&lt;V248+W248,"Error in Areas ▲",IF(P248&lt;&gt;'G-1 All Habitats'!$X$3,H248-V248-W248,IF(AND(P248='G-1 All Habitats'!$X$3,AB248="Yes"),"Unacceptable Loss ⚠",IF(AND(P248='G-1 All Habitats'!$X$3,AB248="No"),AG248,IF(AND(P248='G-1 All Habitats'!$X$3,AB248=""),AG248,IF(AND(P248='G-1 All Habitats'!$X$3,AG248="None",AG248),IF(AND(P248='G-1 All Habitats'!$X$3,AG248&gt;0),H248-V248-W248))))))))</f>
        <v/>
      </c>
      <c r="AA248" s="405" t="str">
        <f>IFERROR(IF(H248="","",IF(H248-V248-W248=0&lt;0,"Error in Areas ▲",IF(V248+W248&gt;H248,"Error in Areas ▲",IF(AND(P248='G-1 All Habitats'!$X$3,AB248="Yes"),"Alternative Compensation ✓",IF(Z248=0,0,IF(P248='G-1 All Habitats'!$X$3,"Any Loss Unacceptable ▲",T248-X248-Y248)))))),"Check Data ⚠")</f>
        <v/>
      </c>
      <c r="AB248" s="837"/>
      <c r="AC248" s="119"/>
      <c r="AD248" s="528"/>
      <c r="AE248" s="120"/>
      <c r="AF248" s="687"/>
      <c r="AG248" s="744" t="str">
        <f>IF(P248="","",IF(P248='G-1 All Habitats'!$X$3,H248-V248-W248,"None"))</f>
        <v/>
      </c>
      <c r="AH248" s="744" t="str">
        <f t="shared" si="33"/>
        <v/>
      </c>
      <c r="AJ248" s="124" t="str">
        <f t="shared" si="34"/>
        <v/>
      </c>
      <c r="AK248" s="124" t="str">
        <f t="shared" si="35"/>
        <v/>
      </c>
      <c r="AL248" s="124" t="str">
        <f>IF(I248="","",IF(#REF!&gt;0,TRUE,FALSE))</f>
        <v/>
      </c>
      <c r="AM248" s="124">
        <v>238</v>
      </c>
      <c r="AN248" s="124"/>
      <c r="AO248" s="124" t="str">
        <f t="array" ref="AO248">IFERROR(INDEX($AM$11:$AM$259, MATCH(0, IF(TRUE=$AJ$11:$AJ$259, COUNTIF($AO$10:$AO247, $AM$11:$AM$259), ""), 0)),"")</f>
        <v/>
      </c>
      <c r="AP248" s="124" t="str">
        <f t="array" ref="AP248">IFERROR(INDEX($AM$11:$AM$259, MATCH(0, IF(TRUE=$AK$11:$AK$259, COUNTIF($AP$10:$AP247, $AM$11:$AM$259), ""), 0)),"")</f>
        <v/>
      </c>
      <c r="AQ248" s="124" t="str">
        <f t="array" ref="AQ248">IFERROR(INDEX($AM$11:$AM$259, MATCH(0, IF(TRUE=$AL$11:$AL$259, COUNTIF($AQ$10:$AQ247, $AM$11:$AM$259), ""), 0)),"")</f>
        <v/>
      </c>
      <c r="AU248" s="30">
        <f t="shared" si="36"/>
        <v>0</v>
      </c>
      <c r="AY248" s="374" t="str">
        <f t="shared" si="37"/>
        <v/>
      </c>
    </row>
    <row r="249" spans="1:51">
      <c r="A249" s="30" t="str">
        <f>IFERROR(INDEX('G-1 All Habitats'!$AG$3:$AG$17,MATCH(E249,'G-1 All Habitats'!$AF$3:$AF$17,0)),"")</f>
        <v/>
      </c>
      <c r="B249" s="30" t="str">
        <f>IFERROR(INDEX('G-8 Condition Look up'!$I$4:$I$135,MATCH(G249,'G-8 Condition Look up'!$A$4:$A$135,0)),"")</f>
        <v/>
      </c>
      <c r="D249" s="110">
        <v>239</v>
      </c>
      <c r="E249" s="339"/>
      <c r="F249" s="340"/>
      <c r="G249" s="295" t="str">
        <f>IFERROR(INDEX('G-1 All Habitats'!$B$3:$B$134,MATCH(F249,'G-1 All Habitats'!$A$3:$A$134,0)),"")</f>
        <v/>
      </c>
      <c r="H249" s="139"/>
      <c r="I249" s="722" t="str">
        <f>IF(G249="","",VLOOKUP(G249,'G-1 All Habitats'!$B$2:$M$134,10,FALSE))</f>
        <v/>
      </c>
      <c r="J249" s="490" t="str">
        <f>IFERROR(VLOOKUP(I249,'G-1 All Habitats'!$V$3:$W$7,2,FALSE),"")</f>
        <v/>
      </c>
      <c r="K249" s="114"/>
      <c r="L249" s="490" t="str">
        <f>IFERROR(INDEX('G-8 Condition Look up'!$A$3:$H$135,MATCH(G249,'G-8 Condition Look up'!$A$3:$A$135,0),MATCH(K249,'G-8 Condition Look up'!$A$3:$H$3,0)),"")</f>
        <v/>
      </c>
      <c r="M249" s="738"/>
      <c r="N249" s="404" t="str">
        <f>IF(M249="","",IF(VLOOKUP(M249,'G-3 Multipliers'!$L$3:$N$6,2,FALSE)=0,"Spatial Data Missing ⚠",VLOOKUP(M249,'G-3 Multipliers'!$L$3:$N$6,2,FALSE)))</f>
        <v/>
      </c>
      <c r="O249" s="452" t="str">
        <f>IF(M249="","",IF(VLOOKUP(M249,'G-3 Multipliers'!$L$3:$N$6,3,FALSE)=0,"Spatial Data Missing ⚠",VLOOKUP(M249,'G-3 Multipliers'!$L$3:$N$6,3,FALSE)))</f>
        <v/>
      </c>
      <c r="P249" s="369" t="str">
        <f>IFERROR(VLOOKUP(G249,'G-1 All Habitats'!$B$2:$M$134,12,FALSE),"")</f>
        <v/>
      </c>
      <c r="Q249" s="725" t="str">
        <f>IFERROR(IF(P249="","",IF(AND(P249='G-1 All Habitats'!$X$3,W249&gt;0),X249+(Y249*S249),IF(AND(P249='G-1 All Habitats'!$X$3,V249&gt;0),X249+(Y249*S249),IF(AND(P249='G-1 All Habitats'!$X$3,AG249&gt;0),"Any Loss Unacceptable  ⚠",IF(AND(P249='G-1 All Habitats'!$X$3,Z249&gt;0),"Any Loss Unacceptable ⚠",H249*J249*L249*O249*S249))))),"Check Data ⚠")</f>
        <v/>
      </c>
      <c r="R249" s="516"/>
      <c r="S249" s="724" t="str">
        <f>IF(R249="","",IF(VLOOKUP(R249,'G-3 Multipliers'!$S$3:$T$10,2,FALSE)=0,"Spatial Data Missing ⚠",VLOOKUP(R249,'G-3 Multipliers'!$S$3:$T$10,2,FALSE)))</f>
        <v/>
      </c>
      <c r="T249" s="376" t="str">
        <f>IFERROR(IF(P249="","",IF(AND(P249='G-1 All Habitats'!$X$3,W249&gt;0),X249+Y249,IF(AND(P249='G-1 All Habitats'!$X$3,V249&gt;0),X249+Y249,IF(AND(P249='G-1 All Habitats'!$X$3,AG249&gt;0),"Any Loss Unacceptable ⚠", IF(R249="","", IF(AND(P249='G-1 All Habitats'!$X$3,Z249&gt;0),"Any Loss Unacceptable ⚠",H249*J249*L249*O249)))))),"Check Data ⚠")</f>
        <v/>
      </c>
      <c r="U249" s="38"/>
      <c r="V249" s="54"/>
      <c r="W249" s="55"/>
      <c r="X249" s="374" t="str">
        <f t="shared" si="31"/>
        <v/>
      </c>
      <c r="Y249" s="374" t="str">
        <f t="shared" si="32"/>
        <v/>
      </c>
      <c r="Z249" s="374" t="str">
        <f>IF(E249="","",IF(H249&lt;V249+W249,"Error in Areas ▲",IF(P249&lt;&gt;'G-1 All Habitats'!$X$3,H249-V249-W249,IF(AND(P249='G-1 All Habitats'!$X$3,AB249="Yes"),"Unacceptable Loss ⚠",IF(AND(P249='G-1 All Habitats'!$X$3,AB249="No"),AG249,IF(AND(P249='G-1 All Habitats'!$X$3,AB249=""),AG249,IF(AND(P249='G-1 All Habitats'!$X$3,AG249="None",AG249),IF(AND(P249='G-1 All Habitats'!$X$3,AG249&gt;0),H249-V249-W249))))))))</f>
        <v/>
      </c>
      <c r="AA249" s="405" t="str">
        <f>IFERROR(IF(H249="","",IF(H249-V249-W249=0&lt;0,"Error in Areas ▲",IF(V249+W249&gt;H249,"Error in Areas ▲",IF(AND(P249='G-1 All Habitats'!$X$3,AB249="Yes"),"Alternative Compensation ✓",IF(Z249=0,0,IF(P249='G-1 All Habitats'!$X$3,"Any Loss Unacceptable ▲",T249-X249-Y249)))))),"Check Data ⚠")</f>
        <v/>
      </c>
      <c r="AB249" s="837"/>
      <c r="AC249" s="119"/>
      <c r="AD249" s="528"/>
      <c r="AE249" s="120"/>
      <c r="AF249" s="687"/>
      <c r="AG249" s="744" t="str">
        <f>IF(P249="","",IF(P249='G-1 All Habitats'!$X$3,H249-V249-W249,"None"))</f>
        <v/>
      </c>
      <c r="AH249" s="744" t="str">
        <f t="shared" si="33"/>
        <v/>
      </c>
      <c r="AJ249" s="124" t="str">
        <f t="shared" si="34"/>
        <v/>
      </c>
      <c r="AK249" s="124" t="str">
        <f t="shared" si="35"/>
        <v/>
      </c>
      <c r="AL249" s="124" t="str">
        <f>IF(I249="","",IF(#REF!&gt;0,TRUE,FALSE))</f>
        <v/>
      </c>
      <c r="AM249" s="124">
        <v>239</v>
      </c>
      <c r="AN249" s="124"/>
      <c r="AO249" s="124" t="str">
        <f t="array" ref="AO249">IFERROR(INDEX($AM$11:$AM$259, MATCH(0, IF(TRUE=$AJ$11:$AJ$259, COUNTIF($AO$10:$AO248, $AM$11:$AM$259), ""), 0)),"")</f>
        <v/>
      </c>
      <c r="AP249" s="124" t="str">
        <f t="array" ref="AP249">IFERROR(INDEX($AM$11:$AM$259, MATCH(0, IF(TRUE=$AK$11:$AK$259, COUNTIF($AP$10:$AP248, $AM$11:$AM$259), ""), 0)),"")</f>
        <v/>
      </c>
      <c r="AQ249" s="124" t="str">
        <f t="array" ref="AQ249">IFERROR(INDEX($AM$11:$AM$259, MATCH(0, IF(TRUE=$AL$11:$AL$259, COUNTIF($AQ$10:$AQ248, $AM$11:$AM$259), ""), 0)),"")</f>
        <v/>
      </c>
      <c r="AU249" s="30">
        <f t="shared" si="36"/>
        <v>0</v>
      </c>
      <c r="AY249" s="374" t="str">
        <f t="shared" si="37"/>
        <v/>
      </c>
    </row>
    <row r="250" spans="1:51">
      <c r="A250" s="30" t="str">
        <f>IFERROR(INDEX('G-1 All Habitats'!$AG$3:$AG$17,MATCH(E250,'G-1 All Habitats'!$AF$3:$AF$17,0)),"")</f>
        <v/>
      </c>
      <c r="B250" s="30" t="str">
        <f>IFERROR(INDEX('G-8 Condition Look up'!$I$4:$I$135,MATCH(G250,'G-8 Condition Look up'!$A$4:$A$135,0)),"")</f>
        <v/>
      </c>
      <c r="D250" s="110">
        <v>240</v>
      </c>
      <c r="E250" s="339"/>
      <c r="F250" s="340"/>
      <c r="G250" s="295" t="str">
        <f>IFERROR(INDEX('G-1 All Habitats'!$B$3:$B$134,MATCH(F250,'G-1 All Habitats'!$A$3:$A$134,0)),"")</f>
        <v/>
      </c>
      <c r="H250" s="139"/>
      <c r="I250" s="722" t="str">
        <f>IF(G250="","",VLOOKUP(G250,'G-1 All Habitats'!$B$2:$M$134,10,FALSE))</f>
        <v/>
      </c>
      <c r="J250" s="490" t="str">
        <f>IFERROR(VLOOKUP(I250,'G-1 All Habitats'!$V$3:$W$7,2,FALSE),"")</f>
        <v/>
      </c>
      <c r="K250" s="114"/>
      <c r="L250" s="490" t="str">
        <f>IFERROR(INDEX('G-8 Condition Look up'!$A$3:$H$135,MATCH(G250,'G-8 Condition Look up'!$A$3:$A$135,0),MATCH(K250,'G-8 Condition Look up'!$A$3:$H$3,0)),"")</f>
        <v/>
      </c>
      <c r="M250" s="738"/>
      <c r="N250" s="404" t="str">
        <f>IF(M250="","",IF(VLOOKUP(M250,'G-3 Multipliers'!$L$3:$N$6,2,FALSE)=0,"Spatial Data Missing ⚠",VLOOKUP(M250,'G-3 Multipliers'!$L$3:$N$6,2,FALSE)))</f>
        <v/>
      </c>
      <c r="O250" s="452" t="str">
        <f>IF(M250="","",IF(VLOOKUP(M250,'G-3 Multipliers'!$L$3:$N$6,3,FALSE)=0,"Spatial Data Missing ⚠",VLOOKUP(M250,'G-3 Multipliers'!$L$3:$N$6,3,FALSE)))</f>
        <v/>
      </c>
      <c r="P250" s="369" t="str">
        <f>IFERROR(VLOOKUP(G250,'G-1 All Habitats'!$B$2:$M$134,12,FALSE),"")</f>
        <v/>
      </c>
      <c r="Q250" s="725" t="str">
        <f>IFERROR(IF(P250="","",IF(AND(P250='G-1 All Habitats'!$X$3,W250&gt;0),X250+(Y250*S250),IF(AND(P250='G-1 All Habitats'!$X$3,V250&gt;0),X250+(Y250*S250),IF(AND(P250='G-1 All Habitats'!$X$3,AG250&gt;0),"Any Loss Unacceptable  ⚠",IF(AND(P250='G-1 All Habitats'!$X$3,Z250&gt;0),"Any Loss Unacceptable ⚠",H250*J250*L250*O250*S250))))),"Check Data ⚠")</f>
        <v/>
      </c>
      <c r="R250" s="516"/>
      <c r="S250" s="724" t="str">
        <f>IF(R250="","",IF(VLOOKUP(R250,'G-3 Multipliers'!$S$3:$T$10,2,FALSE)=0,"Spatial Data Missing ⚠",VLOOKUP(R250,'G-3 Multipliers'!$S$3:$T$10,2,FALSE)))</f>
        <v/>
      </c>
      <c r="T250" s="376" t="str">
        <f>IFERROR(IF(P250="","",IF(AND(P250='G-1 All Habitats'!$X$3,W250&gt;0),X250+Y250,IF(AND(P250='G-1 All Habitats'!$X$3,V250&gt;0),X250+Y250,IF(AND(P250='G-1 All Habitats'!$X$3,AG250&gt;0),"Any Loss Unacceptable ⚠", IF(R250="","", IF(AND(P250='G-1 All Habitats'!$X$3,Z250&gt;0),"Any Loss Unacceptable ⚠",H250*J250*L250*O250)))))),"Check Data ⚠")</f>
        <v/>
      </c>
      <c r="U250" s="38"/>
      <c r="V250" s="54"/>
      <c r="W250" s="55"/>
      <c r="X250" s="374" t="str">
        <f t="shared" si="31"/>
        <v/>
      </c>
      <c r="Y250" s="374" t="str">
        <f t="shared" si="32"/>
        <v/>
      </c>
      <c r="Z250" s="374" t="str">
        <f>IF(E250="","",IF(H250&lt;V250+W250,"Error in Areas ▲",IF(P250&lt;&gt;'G-1 All Habitats'!$X$3,H250-V250-W250,IF(AND(P250='G-1 All Habitats'!$X$3,AB250="Yes"),"Unacceptable Loss ⚠",IF(AND(P250='G-1 All Habitats'!$X$3,AB250="No"),AG250,IF(AND(P250='G-1 All Habitats'!$X$3,AB250=""),AG250,IF(AND(P250='G-1 All Habitats'!$X$3,AG250="None",AG250),IF(AND(P250='G-1 All Habitats'!$X$3,AG250&gt;0),H250-V250-W250))))))))</f>
        <v/>
      </c>
      <c r="AA250" s="405" t="str">
        <f>IFERROR(IF(H250="","",IF(H250-V250-W250=0&lt;0,"Error in Areas ▲",IF(V250+W250&gt;H250,"Error in Areas ▲",IF(AND(P250='G-1 All Habitats'!$X$3,AB250="Yes"),"Alternative Compensation ✓",IF(Z250=0,0,IF(P250='G-1 All Habitats'!$X$3,"Any Loss Unacceptable ▲",T250-X250-Y250)))))),"Check Data ⚠")</f>
        <v/>
      </c>
      <c r="AB250" s="837"/>
      <c r="AC250" s="119"/>
      <c r="AD250" s="528"/>
      <c r="AE250" s="120"/>
      <c r="AF250" s="687"/>
      <c r="AG250" s="744" t="str">
        <f>IF(P250="","",IF(P250='G-1 All Habitats'!$X$3,H250-V250-W250,"None"))</f>
        <v/>
      </c>
      <c r="AH250" s="744" t="str">
        <f t="shared" si="33"/>
        <v/>
      </c>
      <c r="AJ250" s="124" t="str">
        <f t="shared" si="34"/>
        <v/>
      </c>
      <c r="AK250" s="124" t="str">
        <f t="shared" si="35"/>
        <v/>
      </c>
      <c r="AL250" s="124" t="str">
        <f>IF(I250="","",IF(#REF!&gt;0,TRUE,FALSE))</f>
        <v/>
      </c>
      <c r="AM250" s="124">
        <v>240</v>
      </c>
      <c r="AN250" s="124"/>
      <c r="AO250" s="124" t="str">
        <f t="array" ref="AO250">IFERROR(INDEX($AM$11:$AM$259, MATCH(0, IF(TRUE=$AJ$11:$AJ$259, COUNTIF($AO$10:$AO249, $AM$11:$AM$259), ""), 0)),"")</f>
        <v/>
      </c>
      <c r="AP250" s="124" t="str">
        <f t="array" ref="AP250">IFERROR(INDEX($AM$11:$AM$259, MATCH(0, IF(TRUE=$AK$11:$AK$259, COUNTIF($AP$10:$AP249, $AM$11:$AM$259), ""), 0)),"")</f>
        <v/>
      </c>
      <c r="AQ250" s="124" t="str">
        <f t="array" ref="AQ250">IFERROR(INDEX($AM$11:$AM$259, MATCH(0, IF(TRUE=$AL$11:$AL$259, COUNTIF($AQ$10:$AQ249, $AM$11:$AM$259), ""), 0)),"")</f>
        <v/>
      </c>
      <c r="AU250" s="30">
        <f t="shared" si="36"/>
        <v>0</v>
      </c>
      <c r="AY250" s="374" t="str">
        <f t="shared" si="37"/>
        <v/>
      </c>
    </row>
    <row r="251" spans="1:51">
      <c r="A251" s="30" t="str">
        <f>IFERROR(INDEX('G-1 All Habitats'!$AG$3:$AG$17,MATCH(E251,'G-1 All Habitats'!$AF$3:$AF$17,0)),"")</f>
        <v/>
      </c>
      <c r="B251" s="30" t="str">
        <f>IFERROR(INDEX('G-8 Condition Look up'!$I$4:$I$135,MATCH(G251,'G-8 Condition Look up'!$A$4:$A$135,0)),"")</f>
        <v/>
      </c>
      <c r="D251" s="110">
        <v>241</v>
      </c>
      <c r="E251" s="339"/>
      <c r="F251" s="340"/>
      <c r="G251" s="295" t="str">
        <f>IFERROR(INDEX('G-1 All Habitats'!$B$3:$B$134,MATCH(F251,'G-1 All Habitats'!$A$3:$A$134,0)),"")</f>
        <v/>
      </c>
      <c r="H251" s="139"/>
      <c r="I251" s="722" t="str">
        <f>IF(G251="","",VLOOKUP(G251,'G-1 All Habitats'!$B$2:$M$134,10,FALSE))</f>
        <v/>
      </c>
      <c r="J251" s="490" t="str">
        <f>IFERROR(VLOOKUP(I251,'G-1 All Habitats'!$V$3:$W$7,2,FALSE),"")</f>
        <v/>
      </c>
      <c r="K251" s="114"/>
      <c r="L251" s="490" t="str">
        <f>IFERROR(INDEX('G-8 Condition Look up'!$A$3:$H$135,MATCH(G251,'G-8 Condition Look up'!$A$3:$A$135,0),MATCH(K251,'G-8 Condition Look up'!$A$3:$H$3,0)),"")</f>
        <v/>
      </c>
      <c r="M251" s="738"/>
      <c r="N251" s="404" t="str">
        <f>IF(M251="","",IF(VLOOKUP(M251,'G-3 Multipliers'!$L$3:$N$6,2,FALSE)=0,"Spatial Data Missing ⚠",VLOOKUP(M251,'G-3 Multipliers'!$L$3:$N$6,2,FALSE)))</f>
        <v/>
      </c>
      <c r="O251" s="452" t="str">
        <f>IF(M251="","",IF(VLOOKUP(M251,'G-3 Multipliers'!$L$3:$N$6,3,FALSE)=0,"Spatial Data Missing ⚠",VLOOKUP(M251,'G-3 Multipliers'!$L$3:$N$6,3,FALSE)))</f>
        <v/>
      </c>
      <c r="P251" s="369" t="str">
        <f>IFERROR(VLOOKUP(G251,'G-1 All Habitats'!$B$2:$M$134,12,FALSE),"")</f>
        <v/>
      </c>
      <c r="Q251" s="725" t="str">
        <f>IFERROR(IF(P251="","",IF(AND(P251='G-1 All Habitats'!$X$3,W251&gt;0),X251+(Y251*S251),IF(AND(P251='G-1 All Habitats'!$X$3,V251&gt;0),X251+(Y251*S251),IF(AND(P251='G-1 All Habitats'!$X$3,AG251&gt;0),"Any Loss Unacceptable  ⚠",IF(AND(P251='G-1 All Habitats'!$X$3,Z251&gt;0),"Any Loss Unacceptable ⚠",H251*J251*L251*O251*S251))))),"Check Data ⚠")</f>
        <v/>
      </c>
      <c r="R251" s="516"/>
      <c r="S251" s="724" t="str">
        <f>IF(R251="","",IF(VLOOKUP(R251,'G-3 Multipliers'!$S$3:$T$10,2,FALSE)=0,"Spatial Data Missing ⚠",VLOOKUP(R251,'G-3 Multipliers'!$S$3:$T$10,2,FALSE)))</f>
        <v/>
      </c>
      <c r="T251" s="376" t="str">
        <f>IFERROR(IF(P251="","",IF(AND(P251='G-1 All Habitats'!$X$3,W251&gt;0),X251+Y251,IF(AND(P251='G-1 All Habitats'!$X$3,V251&gt;0),X251+Y251,IF(AND(P251='G-1 All Habitats'!$X$3,AG251&gt;0),"Any Loss Unacceptable ⚠", IF(R251="","", IF(AND(P251='G-1 All Habitats'!$X$3,Z251&gt;0),"Any Loss Unacceptable ⚠",H251*J251*L251*O251)))))),"Check Data ⚠")</f>
        <v/>
      </c>
      <c r="U251" s="38"/>
      <c r="V251" s="54"/>
      <c r="W251" s="55"/>
      <c r="X251" s="374" t="str">
        <f t="shared" si="31"/>
        <v/>
      </c>
      <c r="Y251" s="374" t="str">
        <f t="shared" si="32"/>
        <v/>
      </c>
      <c r="Z251" s="374" t="str">
        <f>IF(E251="","",IF(H251&lt;V251+W251,"Error in Areas ▲",IF(P251&lt;&gt;'G-1 All Habitats'!$X$3,H251-V251-W251,IF(AND(P251='G-1 All Habitats'!$X$3,AB251="Yes"),"Unacceptable Loss ⚠",IF(AND(P251='G-1 All Habitats'!$X$3,AB251="No"),AG251,IF(AND(P251='G-1 All Habitats'!$X$3,AB251=""),AG251,IF(AND(P251='G-1 All Habitats'!$X$3,AG251="None",AG251),IF(AND(P251='G-1 All Habitats'!$X$3,AG251&gt;0),H251-V251-W251))))))))</f>
        <v/>
      </c>
      <c r="AA251" s="405" t="str">
        <f>IFERROR(IF(H251="","",IF(H251-V251-W251=0&lt;0,"Error in Areas ▲",IF(V251+W251&gt;H251,"Error in Areas ▲",IF(AND(P251='G-1 All Habitats'!$X$3,AB251="Yes"),"Alternative Compensation ✓",IF(Z251=0,0,IF(P251='G-1 All Habitats'!$X$3,"Any Loss Unacceptable ▲",T251-X251-Y251)))))),"Check Data ⚠")</f>
        <v/>
      </c>
      <c r="AB251" s="837"/>
      <c r="AC251" s="119"/>
      <c r="AD251" s="528"/>
      <c r="AE251" s="120"/>
      <c r="AF251" s="687"/>
      <c r="AG251" s="744" t="str">
        <f>IF(P251="","",IF(P251='G-1 All Habitats'!$X$3,H251-V251-W251,"None"))</f>
        <v/>
      </c>
      <c r="AH251" s="744" t="str">
        <f t="shared" si="33"/>
        <v/>
      </c>
      <c r="AJ251" s="124" t="str">
        <f t="shared" si="34"/>
        <v/>
      </c>
      <c r="AK251" s="124" t="str">
        <f t="shared" si="35"/>
        <v/>
      </c>
      <c r="AL251" s="124" t="str">
        <f>IF(I251="","",IF(#REF!&gt;0,TRUE,FALSE))</f>
        <v/>
      </c>
      <c r="AM251" s="124">
        <v>241</v>
      </c>
      <c r="AN251" s="124"/>
      <c r="AO251" s="124" t="str">
        <f t="array" ref="AO251">IFERROR(INDEX($AM$11:$AM$259, MATCH(0, IF(TRUE=$AJ$11:$AJ$259, COUNTIF($AO$10:$AO250, $AM$11:$AM$259), ""), 0)),"")</f>
        <v/>
      </c>
      <c r="AP251" s="124" t="str">
        <f t="array" ref="AP251">IFERROR(INDEX($AM$11:$AM$259, MATCH(0, IF(TRUE=$AK$11:$AK$259, COUNTIF($AP$10:$AP250, $AM$11:$AM$259), ""), 0)),"")</f>
        <v/>
      </c>
      <c r="AQ251" s="124" t="str">
        <f t="array" ref="AQ251">IFERROR(INDEX($AM$11:$AM$259, MATCH(0, IF(TRUE=$AL$11:$AL$259, COUNTIF($AQ$10:$AQ250, $AM$11:$AM$259), ""), 0)),"")</f>
        <v/>
      </c>
      <c r="AU251" s="30">
        <f t="shared" si="36"/>
        <v>0</v>
      </c>
      <c r="AY251" s="374" t="str">
        <f t="shared" si="37"/>
        <v/>
      </c>
    </row>
    <row r="252" spans="1:51">
      <c r="A252" s="30" t="str">
        <f>IFERROR(INDEX('G-1 All Habitats'!$AG$3:$AG$17,MATCH(E252,'G-1 All Habitats'!$AF$3:$AF$17,0)),"")</f>
        <v/>
      </c>
      <c r="B252" s="30" t="str">
        <f>IFERROR(INDEX('G-8 Condition Look up'!$I$4:$I$135,MATCH(G252,'G-8 Condition Look up'!$A$4:$A$135,0)),"")</f>
        <v/>
      </c>
      <c r="D252" s="110">
        <v>242</v>
      </c>
      <c r="E252" s="339"/>
      <c r="F252" s="340"/>
      <c r="G252" s="295" t="str">
        <f>IFERROR(INDEX('G-1 All Habitats'!$B$3:$B$134,MATCH(F252,'G-1 All Habitats'!$A$3:$A$134,0)),"")</f>
        <v/>
      </c>
      <c r="H252" s="139"/>
      <c r="I252" s="722" t="str">
        <f>IF(G252="","",VLOOKUP(G252,'G-1 All Habitats'!$B$2:$M$134,10,FALSE))</f>
        <v/>
      </c>
      <c r="J252" s="490" t="str">
        <f>IFERROR(VLOOKUP(I252,'G-1 All Habitats'!$V$3:$W$7,2,FALSE),"")</f>
        <v/>
      </c>
      <c r="K252" s="114"/>
      <c r="L252" s="490" t="str">
        <f>IFERROR(INDEX('G-8 Condition Look up'!$A$3:$H$135,MATCH(G252,'G-8 Condition Look up'!$A$3:$A$135,0),MATCH(K252,'G-8 Condition Look up'!$A$3:$H$3,0)),"")</f>
        <v/>
      </c>
      <c r="M252" s="738"/>
      <c r="N252" s="404" t="str">
        <f>IF(M252="","",IF(VLOOKUP(M252,'G-3 Multipliers'!$L$3:$N$6,2,FALSE)=0,"Spatial Data Missing ⚠",VLOOKUP(M252,'G-3 Multipliers'!$L$3:$N$6,2,FALSE)))</f>
        <v/>
      </c>
      <c r="O252" s="452" t="str">
        <f>IF(M252="","",IF(VLOOKUP(M252,'G-3 Multipliers'!$L$3:$N$6,3,FALSE)=0,"Spatial Data Missing ⚠",VLOOKUP(M252,'G-3 Multipliers'!$L$3:$N$6,3,FALSE)))</f>
        <v/>
      </c>
      <c r="P252" s="369" t="str">
        <f>IFERROR(VLOOKUP(G252,'G-1 All Habitats'!$B$2:$M$134,12,FALSE),"")</f>
        <v/>
      </c>
      <c r="Q252" s="725" t="str">
        <f>IFERROR(IF(P252="","",IF(AND(P252='G-1 All Habitats'!$X$3,W252&gt;0),X252+(Y252*S252),IF(AND(P252='G-1 All Habitats'!$X$3,V252&gt;0),X252+(Y252*S252),IF(AND(P252='G-1 All Habitats'!$X$3,AG252&gt;0),"Any Loss Unacceptable  ⚠",IF(AND(P252='G-1 All Habitats'!$X$3,Z252&gt;0),"Any Loss Unacceptable ⚠",H252*J252*L252*O252*S252))))),"Check Data ⚠")</f>
        <v/>
      </c>
      <c r="R252" s="516"/>
      <c r="S252" s="724" t="str">
        <f>IF(R252="","",IF(VLOOKUP(R252,'G-3 Multipliers'!$S$3:$T$10,2,FALSE)=0,"Spatial Data Missing ⚠",VLOOKUP(R252,'G-3 Multipliers'!$S$3:$T$10,2,FALSE)))</f>
        <v/>
      </c>
      <c r="T252" s="376" t="str">
        <f>IFERROR(IF(P252="","",IF(AND(P252='G-1 All Habitats'!$X$3,W252&gt;0),X252+Y252,IF(AND(P252='G-1 All Habitats'!$X$3,V252&gt;0),X252+Y252,IF(AND(P252='G-1 All Habitats'!$X$3,AG252&gt;0),"Any Loss Unacceptable ⚠", IF(R252="","", IF(AND(P252='G-1 All Habitats'!$X$3,Z252&gt;0),"Any Loss Unacceptable ⚠",H252*J252*L252*O252)))))),"Check Data ⚠")</f>
        <v/>
      </c>
      <c r="U252" s="38"/>
      <c r="V252" s="54"/>
      <c r="W252" s="55"/>
      <c r="X252" s="374" t="str">
        <f t="shared" si="31"/>
        <v/>
      </c>
      <c r="Y252" s="374" t="str">
        <f t="shared" si="32"/>
        <v/>
      </c>
      <c r="Z252" s="374" t="str">
        <f>IF(E252="","",IF(H252&lt;V252+W252,"Error in Areas ▲",IF(P252&lt;&gt;'G-1 All Habitats'!$X$3,H252-V252-W252,IF(AND(P252='G-1 All Habitats'!$X$3,AB252="Yes"),"Unacceptable Loss ⚠",IF(AND(P252='G-1 All Habitats'!$X$3,AB252="No"),AG252,IF(AND(P252='G-1 All Habitats'!$X$3,AB252=""),AG252,IF(AND(P252='G-1 All Habitats'!$X$3,AG252="None",AG252),IF(AND(P252='G-1 All Habitats'!$X$3,AG252&gt;0),H252-V252-W252))))))))</f>
        <v/>
      </c>
      <c r="AA252" s="405" t="str">
        <f>IFERROR(IF(H252="","",IF(H252-V252-W252=0&lt;0,"Error in Areas ▲",IF(V252+W252&gt;H252,"Error in Areas ▲",IF(AND(P252='G-1 All Habitats'!$X$3,AB252="Yes"),"Alternative Compensation ✓",IF(Z252=0,0,IF(P252='G-1 All Habitats'!$X$3,"Any Loss Unacceptable ▲",T252-X252-Y252)))))),"Check Data ⚠")</f>
        <v/>
      </c>
      <c r="AB252" s="837"/>
      <c r="AC252" s="119"/>
      <c r="AD252" s="528"/>
      <c r="AE252" s="120"/>
      <c r="AF252" s="687"/>
      <c r="AG252" s="744" t="str">
        <f>IF(P252="","",IF(P252='G-1 All Habitats'!$X$3,H252-V252-W252,"None"))</f>
        <v/>
      </c>
      <c r="AH252" s="744" t="str">
        <f t="shared" si="33"/>
        <v/>
      </c>
      <c r="AJ252" s="124" t="str">
        <f t="shared" si="34"/>
        <v/>
      </c>
      <c r="AK252" s="124" t="str">
        <f t="shared" si="35"/>
        <v/>
      </c>
      <c r="AL252" s="124" t="str">
        <f>IF(I252="","",IF(#REF!&gt;0,TRUE,FALSE))</f>
        <v/>
      </c>
      <c r="AM252" s="124">
        <v>242</v>
      </c>
      <c r="AN252" s="124"/>
      <c r="AO252" s="124" t="str">
        <f t="array" ref="AO252">IFERROR(INDEX($AM$11:$AM$259, MATCH(0, IF(TRUE=$AJ$11:$AJ$259, COUNTIF($AO$10:$AO251, $AM$11:$AM$259), ""), 0)),"")</f>
        <v/>
      </c>
      <c r="AP252" s="124" t="str">
        <f t="array" ref="AP252">IFERROR(INDEX($AM$11:$AM$259, MATCH(0, IF(TRUE=$AK$11:$AK$259, COUNTIF($AP$10:$AP251, $AM$11:$AM$259), ""), 0)),"")</f>
        <v/>
      </c>
      <c r="AQ252" s="124" t="str">
        <f t="array" ref="AQ252">IFERROR(INDEX($AM$11:$AM$259, MATCH(0, IF(TRUE=$AL$11:$AL$259, COUNTIF($AQ$10:$AQ251, $AM$11:$AM$259), ""), 0)),"")</f>
        <v/>
      </c>
      <c r="AU252" s="30">
        <f t="shared" si="36"/>
        <v>0</v>
      </c>
      <c r="AY252" s="374" t="str">
        <f t="shared" si="37"/>
        <v/>
      </c>
    </row>
    <row r="253" spans="1:51">
      <c r="A253" s="30" t="str">
        <f>IFERROR(INDEX('G-1 All Habitats'!$AG$3:$AG$17,MATCH(E253,'G-1 All Habitats'!$AF$3:$AF$17,0)),"")</f>
        <v/>
      </c>
      <c r="B253" s="30" t="str">
        <f>IFERROR(INDEX('G-8 Condition Look up'!$I$4:$I$135,MATCH(G253,'G-8 Condition Look up'!$A$4:$A$135,0)),"")</f>
        <v/>
      </c>
      <c r="D253" s="110">
        <v>243</v>
      </c>
      <c r="E253" s="339"/>
      <c r="F253" s="340"/>
      <c r="G253" s="295" t="str">
        <f>IFERROR(INDEX('G-1 All Habitats'!$B$3:$B$134,MATCH(F253,'G-1 All Habitats'!$A$3:$A$134,0)),"")</f>
        <v/>
      </c>
      <c r="H253" s="139"/>
      <c r="I253" s="722" t="str">
        <f>IF(G253="","",VLOOKUP(G253,'G-1 All Habitats'!$B$2:$M$134,10,FALSE))</f>
        <v/>
      </c>
      <c r="J253" s="490" t="str">
        <f>IFERROR(VLOOKUP(I253,'G-1 All Habitats'!$V$3:$W$7,2,FALSE),"")</f>
        <v/>
      </c>
      <c r="K253" s="114"/>
      <c r="L253" s="490" t="str">
        <f>IFERROR(INDEX('G-8 Condition Look up'!$A$3:$H$135,MATCH(G253,'G-8 Condition Look up'!$A$3:$A$135,0),MATCH(K253,'G-8 Condition Look up'!$A$3:$H$3,0)),"")</f>
        <v/>
      </c>
      <c r="M253" s="738"/>
      <c r="N253" s="404" t="str">
        <f>IF(M253="","",IF(VLOOKUP(M253,'G-3 Multipliers'!$L$3:$N$6,2,FALSE)=0,"Spatial Data Missing ⚠",VLOOKUP(M253,'G-3 Multipliers'!$L$3:$N$6,2,FALSE)))</f>
        <v/>
      </c>
      <c r="O253" s="452" t="str">
        <f>IF(M253="","",IF(VLOOKUP(M253,'G-3 Multipliers'!$L$3:$N$6,3,FALSE)=0,"Spatial Data Missing ⚠",VLOOKUP(M253,'G-3 Multipliers'!$L$3:$N$6,3,FALSE)))</f>
        <v/>
      </c>
      <c r="P253" s="369" t="str">
        <f>IFERROR(VLOOKUP(G253,'G-1 All Habitats'!$B$2:$M$134,12,FALSE),"")</f>
        <v/>
      </c>
      <c r="Q253" s="725" t="str">
        <f>IFERROR(IF(P253="","",IF(AND(P253='G-1 All Habitats'!$X$3,W253&gt;0),X253+(Y253*S253),IF(AND(P253='G-1 All Habitats'!$X$3,V253&gt;0),X253+(Y253*S253),IF(AND(P253='G-1 All Habitats'!$X$3,AG253&gt;0),"Any Loss Unacceptable  ⚠",IF(AND(P253='G-1 All Habitats'!$X$3,Z253&gt;0),"Any Loss Unacceptable ⚠",H253*J253*L253*O253*S253))))),"Check Data ⚠")</f>
        <v/>
      </c>
      <c r="R253" s="516"/>
      <c r="S253" s="724" t="str">
        <f>IF(R253="","",IF(VLOOKUP(R253,'G-3 Multipliers'!$S$3:$T$10,2,FALSE)=0,"Spatial Data Missing ⚠",VLOOKUP(R253,'G-3 Multipliers'!$S$3:$T$10,2,FALSE)))</f>
        <v/>
      </c>
      <c r="T253" s="376" t="str">
        <f>IFERROR(IF(P253="","",IF(AND(P253='G-1 All Habitats'!$X$3,W253&gt;0),X253+Y253,IF(AND(P253='G-1 All Habitats'!$X$3,V253&gt;0),X253+Y253,IF(AND(P253='G-1 All Habitats'!$X$3,AG253&gt;0),"Any Loss Unacceptable ⚠", IF(R253="","", IF(AND(P253='G-1 All Habitats'!$X$3,Z253&gt;0),"Any Loss Unacceptable ⚠",H253*J253*L253*O253)))))),"Check Data ⚠")</f>
        <v/>
      </c>
      <c r="U253" s="38"/>
      <c r="V253" s="54"/>
      <c r="W253" s="55"/>
      <c r="X253" s="374" t="str">
        <f t="shared" si="31"/>
        <v/>
      </c>
      <c r="Y253" s="374" t="str">
        <f t="shared" si="32"/>
        <v/>
      </c>
      <c r="Z253" s="374" t="str">
        <f>IF(E253="","",IF(H253&lt;V253+W253,"Error in Areas ▲",IF(P253&lt;&gt;'G-1 All Habitats'!$X$3,H253-V253-W253,IF(AND(P253='G-1 All Habitats'!$X$3,AB253="Yes"),"Unacceptable Loss ⚠",IF(AND(P253='G-1 All Habitats'!$X$3,AB253="No"),AG253,IF(AND(P253='G-1 All Habitats'!$X$3,AB253=""),AG253,IF(AND(P253='G-1 All Habitats'!$X$3,AG253="None",AG253),IF(AND(P253='G-1 All Habitats'!$X$3,AG253&gt;0),H253-V253-W253))))))))</f>
        <v/>
      </c>
      <c r="AA253" s="405" t="str">
        <f>IFERROR(IF(H253="","",IF(H253-V253-W253=0&lt;0,"Error in Areas ▲",IF(V253+W253&gt;H253,"Error in Areas ▲",IF(AND(P253='G-1 All Habitats'!$X$3,AB253="Yes"),"Alternative Compensation ✓",IF(Z253=0,0,IF(P253='G-1 All Habitats'!$X$3,"Any Loss Unacceptable ▲",T253-X253-Y253)))))),"Check Data ⚠")</f>
        <v/>
      </c>
      <c r="AB253" s="837"/>
      <c r="AC253" s="119"/>
      <c r="AD253" s="528"/>
      <c r="AE253" s="120"/>
      <c r="AF253" s="687"/>
      <c r="AG253" s="744" t="str">
        <f>IF(P253="","",IF(P253='G-1 All Habitats'!$X$3,H253-V253-W253,"None"))</f>
        <v/>
      </c>
      <c r="AH253" s="744" t="str">
        <f t="shared" si="33"/>
        <v/>
      </c>
      <c r="AJ253" s="124" t="str">
        <f t="shared" si="34"/>
        <v/>
      </c>
      <c r="AK253" s="124" t="str">
        <f t="shared" si="35"/>
        <v/>
      </c>
      <c r="AL253" s="124" t="str">
        <f>IF(I253="","",IF(#REF!&gt;0,TRUE,FALSE))</f>
        <v/>
      </c>
      <c r="AM253" s="124">
        <v>243</v>
      </c>
      <c r="AN253" s="124"/>
      <c r="AO253" s="124" t="str">
        <f t="array" ref="AO253">IFERROR(INDEX($AM$11:$AM$259, MATCH(0, IF(TRUE=$AJ$11:$AJ$259, COUNTIF($AO$10:$AO252, $AM$11:$AM$259), ""), 0)),"")</f>
        <v/>
      </c>
      <c r="AP253" s="124" t="str">
        <f t="array" ref="AP253">IFERROR(INDEX($AM$11:$AM$259, MATCH(0, IF(TRUE=$AK$11:$AK$259, COUNTIF($AP$10:$AP252, $AM$11:$AM$259), ""), 0)),"")</f>
        <v/>
      </c>
      <c r="AQ253" s="124" t="str">
        <f t="array" ref="AQ253">IFERROR(INDEX($AM$11:$AM$259, MATCH(0, IF(TRUE=$AL$11:$AL$259, COUNTIF($AQ$10:$AQ252, $AM$11:$AM$259), ""), 0)),"")</f>
        <v/>
      </c>
      <c r="AU253" s="30">
        <f t="shared" si="36"/>
        <v>0</v>
      </c>
      <c r="AY253" s="374" t="str">
        <f t="shared" si="37"/>
        <v/>
      </c>
    </row>
    <row r="254" spans="1:51">
      <c r="A254" s="30" t="str">
        <f>IFERROR(INDEX('G-1 All Habitats'!$AG$3:$AG$17,MATCH(E254,'G-1 All Habitats'!$AF$3:$AF$17,0)),"")</f>
        <v/>
      </c>
      <c r="B254" s="30" t="str">
        <f>IFERROR(INDEX('G-8 Condition Look up'!$I$4:$I$135,MATCH(G254,'G-8 Condition Look up'!$A$4:$A$135,0)),"")</f>
        <v/>
      </c>
      <c r="D254" s="110">
        <v>244</v>
      </c>
      <c r="E254" s="339"/>
      <c r="F254" s="340"/>
      <c r="G254" s="295" t="str">
        <f>IFERROR(INDEX('G-1 All Habitats'!$B$3:$B$134,MATCH(F254,'G-1 All Habitats'!$A$3:$A$134,0)),"")</f>
        <v/>
      </c>
      <c r="H254" s="139"/>
      <c r="I254" s="722" t="str">
        <f>IF(G254="","",VLOOKUP(G254,'G-1 All Habitats'!$B$2:$M$134,10,FALSE))</f>
        <v/>
      </c>
      <c r="J254" s="490" t="str">
        <f>IFERROR(VLOOKUP(I254,'G-1 All Habitats'!$V$3:$W$7,2,FALSE),"")</f>
        <v/>
      </c>
      <c r="K254" s="114"/>
      <c r="L254" s="490" t="str">
        <f>IFERROR(INDEX('G-8 Condition Look up'!$A$3:$H$135,MATCH(G254,'G-8 Condition Look up'!$A$3:$A$135,0),MATCH(K254,'G-8 Condition Look up'!$A$3:$H$3,0)),"")</f>
        <v/>
      </c>
      <c r="M254" s="738"/>
      <c r="N254" s="404" t="str">
        <f>IF(M254="","",IF(VLOOKUP(M254,'G-3 Multipliers'!$L$3:$N$6,2,FALSE)=0,"Spatial Data Missing ⚠",VLOOKUP(M254,'G-3 Multipliers'!$L$3:$N$6,2,FALSE)))</f>
        <v/>
      </c>
      <c r="O254" s="452" t="str">
        <f>IF(M254="","",IF(VLOOKUP(M254,'G-3 Multipliers'!$L$3:$N$6,3,FALSE)=0,"Spatial Data Missing ⚠",VLOOKUP(M254,'G-3 Multipliers'!$L$3:$N$6,3,FALSE)))</f>
        <v/>
      </c>
      <c r="P254" s="369" t="str">
        <f>IFERROR(VLOOKUP(G254,'G-1 All Habitats'!$B$2:$M$134,12,FALSE),"")</f>
        <v/>
      </c>
      <c r="Q254" s="725" t="str">
        <f>IFERROR(IF(P254="","",IF(AND(P254='G-1 All Habitats'!$X$3,W254&gt;0),X254+(Y254*S254),IF(AND(P254='G-1 All Habitats'!$X$3,V254&gt;0),X254+(Y254*S254),IF(AND(P254='G-1 All Habitats'!$X$3,AG254&gt;0),"Any Loss Unacceptable  ⚠",IF(AND(P254='G-1 All Habitats'!$X$3,Z254&gt;0),"Any Loss Unacceptable ⚠",H254*J254*L254*O254*S254))))),"Check Data ⚠")</f>
        <v/>
      </c>
      <c r="R254" s="516"/>
      <c r="S254" s="724" t="str">
        <f>IF(R254="","",IF(VLOOKUP(R254,'G-3 Multipliers'!$S$3:$T$10,2,FALSE)=0,"Spatial Data Missing ⚠",VLOOKUP(R254,'G-3 Multipliers'!$S$3:$T$10,2,FALSE)))</f>
        <v/>
      </c>
      <c r="T254" s="376" t="str">
        <f>IFERROR(IF(P254="","",IF(AND(P254='G-1 All Habitats'!$X$3,W254&gt;0),X254+Y254,IF(AND(P254='G-1 All Habitats'!$X$3,V254&gt;0),X254+Y254,IF(AND(P254='G-1 All Habitats'!$X$3,AG254&gt;0),"Any Loss Unacceptable ⚠", IF(R254="","", IF(AND(P254='G-1 All Habitats'!$X$3,Z254&gt;0),"Any Loss Unacceptable ⚠",H254*J254*L254*O254)))))),"Check Data ⚠")</f>
        <v/>
      </c>
      <c r="U254" s="38"/>
      <c r="V254" s="54"/>
      <c r="W254" s="55"/>
      <c r="X254" s="374" t="str">
        <f t="shared" si="31"/>
        <v/>
      </c>
      <c r="Y254" s="374" t="str">
        <f t="shared" si="32"/>
        <v/>
      </c>
      <c r="Z254" s="374" t="str">
        <f>IF(E254="","",IF(H254&lt;V254+W254,"Error in Areas ▲",IF(P254&lt;&gt;'G-1 All Habitats'!$X$3,H254-V254-W254,IF(AND(P254='G-1 All Habitats'!$X$3,AB254="Yes"),"Unacceptable Loss ⚠",IF(AND(P254='G-1 All Habitats'!$X$3,AB254="No"),AG254,IF(AND(P254='G-1 All Habitats'!$X$3,AB254=""),AG254,IF(AND(P254='G-1 All Habitats'!$X$3,AG254="None",AG254),IF(AND(P254='G-1 All Habitats'!$X$3,AG254&gt;0),H254-V254-W254))))))))</f>
        <v/>
      </c>
      <c r="AA254" s="405" t="str">
        <f>IFERROR(IF(H254="","",IF(H254-V254-W254=0&lt;0,"Error in Areas ▲",IF(V254+W254&gt;H254,"Error in Areas ▲",IF(AND(P254='G-1 All Habitats'!$X$3,AB254="Yes"),"Alternative Compensation ✓",IF(Z254=0,0,IF(P254='G-1 All Habitats'!$X$3,"Any Loss Unacceptable ▲",T254-X254-Y254)))))),"Check Data ⚠")</f>
        <v/>
      </c>
      <c r="AB254" s="837"/>
      <c r="AC254" s="119"/>
      <c r="AD254" s="528"/>
      <c r="AE254" s="120"/>
      <c r="AF254" s="687"/>
      <c r="AG254" s="744" t="str">
        <f>IF(P254="","",IF(P254='G-1 All Habitats'!$X$3,H254-V254-W254,"None"))</f>
        <v/>
      </c>
      <c r="AH254" s="744" t="str">
        <f t="shared" si="33"/>
        <v/>
      </c>
      <c r="AJ254" s="124" t="str">
        <f t="shared" si="34"/>
        <v/>
      </c>
      <c r="AK254" s="124" t="str">
        <f t="shared" si="35"/>
        <v/>
      </c>
      <c r="AL254" s="124" t="str">
        <f>IF(I254="","",IF(#REF!&gt;0,TRUE,FALSE))</f>
        <v/>
      </c>
      <c r="AM254" s="124">
        <v>244</v>
      </c>
      <c r="AN254" s="124"/>
      <c r="AO254" s="124" t="str">
        <f t="array" ref="AO254">IFERROR(INDEX($AM$11:$AM$259, MATCH(0, IF(TRUE=$AJ$11:$AJ$259, COUNTIF($AO$10:$AO253, $AM$11:$AM$259), ""), 0)),"")</f>
        <v/>
      </c>
      <c r="AP254" s="124" t="str">
        <f t="array" ref="AP254">IFERROR(INDEX($AM$11:$AM$259, MATCH(0, IF(TRUE=$AK$11:$AK$259, COUNTIF($AP$10:$AP253, $AM$11:$AM$259), ""), 0)),"")</f>
        <v/>
      </c>
      <c r="AQ254" s="124" t="str">
        <f t="array" ref="AQ254">IFERROR(INDEX($AM$11:$AM$259, MATCH(0, IF(TRUE=$AL$11:$AL$259, COUNTIF($AQ$10:$AQ253, $AM$11:$AM$259), ""), 0)),"")</f>
        <v/>
      </c>
      <c r="AU254" s="30">
        <f t="shared" si="36"/>
        <v>0</v>
      </c>
      <c r="AY254" s="374" t="str">
        <f t="shared" si="37"/>
        <v/>
      </c>
    </row>
    <row r="255" spans="1:51">
      <c r="A255" s="30" t="str">
        <f>IFERROR(INDEX('G-1 All Habitats'!$AG$3:$AG$17,MATCH(E255,'G-1 All Habitats'!$AF$3:$AF$17,0)),"")</f>
        <v/>
      </c>
      <c r="B255" s="30" t="str">
        <f>IFERROR(INDEX('G-8 Condition Look up'!$I$4:$I$135,MATCH(G255,'G-8 Condition Look up'!$A$4:$A$135,0)),"")</f>
        <v/>
      </c>
      <c r="D255" s="110">
        <v>245</v>
      </c>
      <c r="E255" s="339"/>
      <c r="F255" s="340"/>
      <c r="G255" s="295" t="str">
        <f>IFERROR(INDEX('G-1 All Habitats'!$B$3:$B$134,MATCH(F255,'G-1 All Habitats'!$A$3:$A$134,0)),"")</f>
        <v/>
      </c>
      <c r="H255" s="139"/>
      <c r="I255" s="722" t="str">
        <f>IF(G255="","",VLOOKUP(G255,'G-1 All Habitats'!$B$2:$M$134,10,FALSE))</f>
        <v/>
      </c>
      <c r="J255" s="490" t="str">
        <f>IFERROR(VLOOKUP(I255,'G-1 All Habitats'!$V$3:$W$7,2,FALSE),"")</f>
        <v/>
      </c>
      <c r="K255" s="114"/>
      <c r="L255" s="490" t="str">
        <f>IFERROR(INDEX('G-8 Condition Look up'!$A$3:$H$135,MATCH(G255,'G-8 Condition Look up'!$A$3:$A$135,0),MATCH(K255,'G-8 Condition Look up'!$A$3:$H$3,0)),"")</f>
        <v/>
      </c>
      <c r="M255" s="738"/>
      <c r="N255" s="404" t="str">
        <f>IF(M255="","",IF(VLOOKUP(M255,'G-3 Multipliers'!$L$3:$N$6,2,FALSE)=0,"Spatial Data Missing ⚠",VLOOKUP(M255,'G-3 Multipliers'!$L$3:$N$6,2,FALSE)))</f>
        <v/>
      </c>
      <c r="O255" s="452" t="str">
        <f>IF(M255="","",IF(VLOOKUP(M255,'G-3 Multipliers'!$L$3:$N$6,3,FALSE)=0,"Spatial Data Missing ⚠",VLOOKUP(M255,'G-3 Multipliers'!$L$3:$N$6,3,FALSE)))</f>
        <v/>
      </c>
      <c r="P255" s="369" t="str">
        <f>IFERROR(VLOOKUP(G255,'G-1 All Habitats'!$B$2:$M$134,12,FALSE),"")</f>
        <v/>
      </c>
      <c r="Q255" s="725" t="str">
        <f>IFERROR(IF(P255="","",IF(AND(P255='G-1 All Habitats'!$X$3,W255&gt;0),X255+(Y255*S255),IF(AND(P255='G-1 All Habitats'!$X$3,V255&gt;0),X255+(Y255*S255),IF(AND(P255='G-1 All Habitats'!$X$3,AG255&gt;0),"Any Loss Unacceptable  ⚠",IF(AND(P255='G-1 All Habitats'!$X$3,Z255&gt;0),"Any Loss Unacceptable ⚠",H255*J255*L255*O255*S255))))),"Check Data ⚠")</f>
        <v/>
      </c>
      <c r="R255" s="516"/>
      <c r="S255" s="724" t="str">
        <f>IF(R255="","",IF(VLOOKUP(R255,'G-3 Multipliers'!$S$3:$T$10,2,FALSE)=0,"Spatial Data Missing ⚠",VLOOKUP(R255,'G-3 Multipliers'!$S$3:$T$10,2,FALSE)))</f>
        <v/>
      </c>
      <c r="T255" s="376" t="str">
        <f>IFERROR(IF(P255="","",IF(AND(P255='G-1 All Habitats'!$X$3,W255&gt;0),X255+Y255,IF(AND(P255='G-1 All Habitats'!$X$3,V255&gt;0),X255+Y255,IF(AND(P255='G-1 All Habitats'!$X$3,AG255&gt;0),"Any Loss Unacceptable ⚠", IF(R255="","", IF(AND(P255='G-1 All Habitats'!$X$3,Z255&gt;0),"Any Loss Unacceptable ⚠",H255*J255*L255*O255)))))),"Check Data ⚠")</f>
        <v/>
      </c>
      <c r="U255" s="38"/>
      <c r="V255" s="54"/>
      <c r="W255" s="55"/>
      <c r="X255" s="374" t="str">
        <f t="shared" si="31"/>
        <v/>
      </c>
      <c r="Y255" s="374" t="str">
        <f t="shared" si="32"/>
        <v/>
      </c>
      <c r="Z255" s="374" t="str">
        <f>IF(E255="","",IF(H255&lt;V255+W255,"Error in Areas ▲",IF(P255&lt;&gt;'G-1 All Habitats'!$X$3,H255-V255-W255,IF(AND(P255='G-1 All Habitats'!$X$3,AB255="Yes"),"Unacceptable Loss ⚠",IF(AND(P255='G-1 All Habitats'!$X$3,AB255="No"),AG255,IF(AND(P255='G-1 All Habitats'!$X$3,AB255=""),AG255,IF(AND(P255='G-1 All Habitats'!$X$3,AG255="None",AG255),IF(AND(P255='G-1 All Habitats'!$X$3,AG255&gt;0),H255-V255-W255))))))))</f>
        <v/>
      </c>
      <c r="AA255" s="405" t="str">
        <f>IFERROR(IF(H255="","",IF(H255-V255-W255=0&lt;0,"Error in Areas ▲",IF(V255+W255&gt;H255,"Error in Areas ▲",IF(AND(P255='G-1 All Habitats'!$X$3,AB255="Yes"),"Alternative Compensation ✓",IF(Z255=0,0,IF(P255='G-1 All Habitats'!$X$3,"Any Loss Unacceptable ▲",T255-X255-Y255)))))),"Check Data ⚠")</f>
        <v/>
      </c>
      <c r="AB255" s="837"/>
      <c r="AC255" s="119"/>
      <c r="AD255" s="528"/>
      <c r="AE255" s="120"/>
      <c r="AF255" s="687"/>
      <c r="AG255" s="744" t="str">
        <f>IF(P255="","",IF(P255='G-1 All Habitats'!$X$3,H255-V255-W255,"None"))</f>
        <v/>
      </c>
      <c r="AH255" s="744" t="str">
        <f t="shared" si="33"/>
        <v/>
      </c>
      <c r="AJ255" s="124" t="str">
        <f t="shared" si="34"/>
        <v/>
      </c>
      <c r="AK255" s="124" t="str">
        <f t="shared" si="35"/>
        <v/>
      </c>
      <c r="AL255" s="124" t="str">
        <f>IF(I255="","",IF(#REF!&gt;0,TRUE,FALSE))</f>
        <v/>
      </c>
      <c r="AM255" s="124">
        <v>245</v>
      </c>
      <c r="AN255" s="124"/>
      <c r="AO255" s="124" t="str">
        <f t="array" ref="AO255">IFERROR(INDEX($AM$11:$AM$259, MATCH(0, IF(TRUE=$AJ$11:$AJ$259, COUNTIF($AO$10:$AO254, $AM$11:$AM$259), ""), 0)),"")</f>
        <v/>
      </c>
      <c r="AP255" s="124" t="str">
        <f t="array" ref="AP255">IFERROR(INDEX($AM$11:$AM$259, MATCH(0, IF(TRUE=$AK$11:$AK$259, COUNTIF($AP$10:$AP254, $AM$11:$AM$259), ""), 0)),"")</f>
        <v/>
      </c>
      <c r="AQ255" s="124" t="str">
        <f t="array" ref="AQ255">IFERROR(INDEX($AM$11:$AM$259, MATCH(0, IF(TRUE=$AL$11:$AL$259, COUNTIF($AQ$10:$AQ254, $AM$11:$AM$259), ""), 0)),"")</f>
        <v/>
      </c>
      <c r="AU255" s="30">
        <f t="shared" si="36"/>
        <v>0</v>
      </c>
      <c r="AY255" s="374" t="str">
        <f t="shared" si="37"/>
        <v/>
      </c>
    </row>
    <row r="256" spans="1:51">
      <c r="A256" s="30" t="str">
        <f>IFERROR(INDEX('G-1 All Habitats'!$AG$3:$AG$17,MATCH(E256,'G-1 All Habitats'!$AF$3:$AF$17,0)),"")</f>
        <v/>
      </c>
      <c r="B256" s="30" t="str">
        <f>IFERROR(INDEX('G-8 Condition Look up'!$I$4:$I$135,MATCH(G256,'G-8 Condition Look up'!$A$4:$A$135,0)),"")</f>
        <v/>
      </c>
      <c r="D256" s="110">
        <v>246</v>
      </c>
      <c r="E256" s="339"/>
      <c r="F256" s="340"/>
      <c r="G256" s="295" t="str">
        <f>IFERROR(INDEX('G-1 All Habitats'!$B$3:$B$134,MATCH(F256,'G-1 All Habitats'!$A$3:$A$134,0)),"")</f>
        <v/>
      </c>
      <c r="H256" s="139"/>
      <c r="I256" s="722" t="str">
        <f>IF(G256="","",VLOOKUP(G256,'G-1 All Habitats'!$B$2:$M$134,10,FALSE))</f>
        <v/>
      </c>
      <c r="J256" s="490" t="str">
        <f>IFERROR(VLOOKUP(I256,'G-1 All Habitats'!$V$3:$W$7,2,FALSE),"")</f>
        <v/>
      </c>
      <c r="K256" s="114"/>
      <c r="L256" s="490" t="str">
        <f>IFERROR(INDEX('G-8 Condition Look up'!$A$3:$H$135,MATCH(G256,'G-8 Condition Look up'!$A$3:$A$135,0),MATCH(K256,'G-8 Condition Look up'!$A$3:$H$3,0)),"")</f>
        <v/>
      </c>
      <c r="M256" s="738"/>
      <c r="N256" s="404" t="str">
        <f>IF(M256="","",IF(VLOOKUP(M256,'G-3 Multipliers'!$L$3:$N$6,2,FALSE)=0,"Spatial Data Missing ⚠",VLOOKUP(M256,'G-3 Multipliers'!$L$3:$N$6,2,FALSE)))</f>
        <v/>
      </c>
      <c r="O256" s="452" t="str">
        <f>IF(M256="","",IF(VLOOKUP(M256,'G-3 Multipliers'!$L$3:$N$6,3,FALSE)=0,"Spatial Data Missing ⚠",VLOOKUP(M256,'G-3 Multipliers'!$L$3:$N$6,3,FALSE)))</f>
        <v/>
      </c>
      <c r="P256" s="369" t="str">
        <f>IFERROR(VLOOKUP(G256,'G-1 All Habitats'!$B$2:$M$134,12,FALSE),"")</f>
        <v/>
      </c>
      <c r="Q256" s="725" t="str">
        <f>IFERROR(IF(P256="","",IF(AND(P256='G-1 All Habitats'!$X$3,W256&gt;0),X256+(Y256*S256),IF(AND(P256='G-1 All Habitats'!$X$3,V256&gt;0),X256+(Y256*S256),IF(AND(P256='G-1 All Habitats'!$X$3,AG256&gt;0),"Any Loss Unacceptable  ⚠",IF(AND(P256='G-1 All Habitats'!$X$3,Z256&gt;0),"Any Loss Unacceptable ⚠",H256*J256*L256*O256*S256))))),"Check Data ⚠")</f>
        <v/>
      </c>
      <c r="R256" s="516"/>
      <c r="S256" s="724" t="str">
        <f>IF(R256="","",IF(VLOOKUP(R256,'G-3 Multipliers'!$S$3:$T$10,2,FALSE)=0,"Spatial Data Missing ⚠",VLOOKUP(R256,'G-3 Multipliers'!$S$3:$T$10,2,FALSE)))</f>
        <v/>
      </c>
      <c r="T256" s="376" t="str">
        <f>IFERROR(IF(P256="","",IF(AND(P256='G-1 All Habitats'!$X$3,W256&gt;0),X256+Y256,IF(AND(P256='G-1 All Habitats'!$X$3,V256&gt;0),X256+Y256,IF(AND(P256='G-1 All Habitats'!$X$3,AG256&gt;0),"Any Loss Unacceptable ⚠", IF(R256="","", IF(AND(P256='G-1 All Habitats'!$X$3,Z256&gt;0),"Any Loss Unacceptable ⚠",H256*J256*L256*O256)))))),"Check Data ⚠")</f>
        <v/>
      </c>
      <c r="U256" s="38"/>
      <c r="V256" s="54"/>
      <c r="W256" s="55"/>
      <c r="X256" s="374" t="str">
        <f t="shared" si="31"/>
        <v/>
      </c>
      <c r="Y256" s="374" t="str">
        <f t="shared" si="32"/>
        <v/>
      </c>
      <c r="Z256" s="374" t="str">
        <f>IF(E256="","",IF(H256&lt;V256+W256,"Error in Areas ▲",IF(P256&lt;&gt;'G-1 All Habitats'!$X$3,H256-V256-W256,IF(AND(P256='G-1 All Habitats'!$X$3,AB256="Yes"),"Unacceptable Loss ⚠",IF(AND(P256='G-1 All Habitats'!$X$3,AB256="No"),AG256,IF(AND(P256='G-1 All Habitats'!$X$3,AB256=""),AG256,IF(AND(P256='G-1 All Habitats'!$X$3,AG256="None",AG256),IF(AND(P256='G-1 All Habitats'!$X$3,AG256&gt;0),H256-V256-W256))))))))</f>
        <v/>
      </c>
      <c r="AA256" s="405" t="str">
        <f>IFERROR(IF(H256="","",IF(H256-V256-W256=0&lt;0,"Error in Areas ▲",IF(V256+W256&gt;H256,"Error in Areas ▲",IF(AND(P256='G-1 All Habitats'!$X$3,AB256="Yes"),"Alternative Compensation ✓",IF(Z256=0,0,IF(P256='G-1 All Habitats'!$X$3,"Any Loss Unacceptable ▲",T256-X256-Y256)))))),"Check Data ⚠")</f>
        <v/>
      </c>
      <c r="AB256" s="837"/>
      <c r="AC256" s="119"/>
      <c r="AD256" s="528"/>
      <c r="AE256" s="120"/>
      <c r="AF256" s="687"/>
      <c r="AG256" s="744" t="str">
        <f>IF(P256="","",IF(P256='G-1 All Habitats'!$X$3,H256-V256-W256,"None"))</f>
        <v/>
      </c>
      <c r="AH256" s="744" t="str">
        <f t="shared" si="33"/>
        <v/>
      </c>
      <c r="AJ256" s="124" t="str">
        <f t="shared" si="34"/>
        <v/>
      </c>
      <c r="AK256" s="124" t="str">
        <f t="shared" si="35"/>
        <v/>
      </c>
      <c r="AL256" s="124" t="str">
        <f>IF(I256="","",IF(#REF!&gt;0,TRUE,FALSE))</f>
        <v/>
      </c>
      <c r="AM256" s="124">
        <v>246</v>
      </c>
      <c r="AN256" s="124"/>
      <c r="AO256" s="124" t="str">
        <f t="array" ref="AO256">IFERROR(INDEX($AM$11:$AM$259, MATCH(0, IF(TRUE=$AJ$11:$AJ$259, COUNTIF($AO$10:$AO255, $AM$11:$AM$259), ""), 0)),"")</f>
        <v/>
      </c>
      <c r="AP256" s="124" t="str">
        <f t="array" ref="AP256">IFERROR(INDEX($AM$11:$AM$259, MATCH(0, IF(TRUE=$AK$11:$AK$259, COUNTIF($AP$10:$AP255, $AM$11:$AM$259), ""), 0)),"")</f>
        <v/>
      </c>
      <c r="AQ256" s="124" t="str">
        <f t="array" ref="AQ256">IFERROR(INDEX($AM$11:$AM$259, MATCH(0, IF(TRUE=$AL$11:$AL$259, COUNTIF($AQ$10:$AQ255, $AM$11:$AM$259), ""), 0)),"")</f>
        <v/>
      </c>
      <c r="AU256" s="30">
        <f t="shared" si="36"/>
        <v>0</v>
      </c>
      <c r="AY256" s="374" t="str">
        <f t="shared" si="37"/>
        <v/>
      </c>
    </row>
    <row r="257" spans="1:51">
      <c r="A257" s="30" t="str">
        <f>IFERROR(INDEX('G-1 All Habitats'!$AG$3:$AG$17,MATCH(E257,'G-1 All Habitats'!$AF$3:$AF$17,0)),"")</f>
        <v/>
      </c>
      <c r="B257" s="30" t="str">
        <f>IFERROR(INDEX('G-8 Condition Look up'!$I$4:$I$135,MATCH(G257,'G-8 Condition Look up'!$A$4:$A$135,0)),"")</f>
        <v/>
      </c>
      <c r="D257" s="110">
        <v>247</v>
      </c>
      <c r="E257" s="339"/>
      <c r="F257" s="340"/>
      <c r="G257" s="295" t="str">
        <f>IFERROR(INDEX('G-1 All Habitats'!$B$3:$B$134,MATCH(F257,'G-1 All Habitats'!$A$3:$A$134,0)),"")</f>
        <v/>
      </c>
      <c r="H257" s="139"/>
      <c r="I257" s="722" t="str">
        <f>IF(G257="","",VLOOKUP(G257,'G-1 All Habitats'!$B$2:$M$134,10,FALSE))</f>
        <v/>
      </c>
      <c r="J257" s="490" t="str">
        <f>IFERROR(VLOOKUP(I257,'G-1 All Habitats'!$V$3:$W$7,2,FALSE),"")</f>
        <v/>
      </c>
      <c r="K257" s="114"/>
      <c r="L257" s="490" t="str">
        <f>IFERROR(INDEX('G-8 Condition Look up'!$A$3:$H$135,MATCH(G257,'G-8 Condition Look up'!$A$3:$A$135,0),MATCH(K257,'G-8 Condition Look up'!$A$3:$H$3,0)),"")</f>
        <v/>
      </c>
      <c r="M257" s="738"/>
      <c r="N257" s="404" t="str">
        <f>IF(M257="","",IF(VLOOKUP(M257,'G-3 Multipliers'!$L$3:$N$6,2,FALSE)=0,"Spatial Data Missing ⚠",VLOOKUP(M257,'G-3 Multipliers'!$L$3:$N$6,2,FALSE)))</f>
        <v/>
      </c>
      <c r="O257" s="452" t="str">
        <f>IF(M257="","",IF(VLOOKUP(M257,'G-3 Multipliers'!$L$3:$N$6,3,FALSE)=0,"Spatial Data Missing ⚠",VLOOKUP(M257,'G-3 Multipliers'!$L$3:$N$6,3,FALSE)))</f>
        <v/>
      </c>
      <c r="P257" s="369" t="str">
        <f>IFERROR(VLOOKUP(G257,'G-1 All Habitats'!$B$2:$M$134,12,FALSE),"")</f>
        <v/>
      </c>
      <c r="Q257" s="725" t="str">
        <f>IFERROR(IF(P257="","",IF(AND(P257='G-1 All Habitats'!$X$3,W257&gt;0),X257+(Y257*S257),IF(AND(P257='G-1 All Habitats'!$X$3,V257&gt;0),X257+(Y257*S257),IF(AND(P257='G-1 All Habitats'!$X$3,AG257&gt;0),"Any Loss Unacceptable  ⚠",IF(AND(P257='G-1 All Habitats'!$X$3,Z257&gt;0),"Any Loss Unacceptable ⚠",H257*J257*L257*O257*S257))))),"Check Data ⚠")</f>
        <v/>
      </c>
      <c r="R257" s="516"/>
      <c r="S257" s="724" t="str">
        <f>IF(R257="","",IF(VLOOKUP(R257,'G-3 Multipliers'!$S$3:$T$10,2,FALSE)=0,"Spatial Data Missing ⚠",VLOOKUP(R257,'G-3 Multipliers'!$S$3:$T$10,2,FALSE)))</f>
        <v/>
      </c>
      <c r="T257" s="376" t="str">
        <f>IFERROR(IF(P257="","",IF(AND(P257='G-1 All Habitats'!$X$3,W257&gt;0),X257+Y257,IF(AND(P257='G-1 All Habitats'!$X$3,V257&gt;0),X257+Y257,IF(AND(P257='G-1 All Habitats'!$X$3,AG257&gt;0),"Any Loss Unacceptable ⚠", IF(R257="","", IF(AND(P257='G-1 All Habitats'!$X$3,Z257&gt;0),"Any Loss Unacceptable ⚠",H257*J257*L257*O257)))))),"Check Data ⚠")</f>
        <v/>
      </c>
      <c r="U257" s="38"/>
      <c r="V257" s="54"/>
      <c r="W257" s="55"/>
      <c r="X257" s="374" t="str">
        <f t="shared" si="31"/>
        <v/>
      </c>
      <c r="Y257" s="374" t="str">
        <f t="shared" si="32"/>
        <v/>
      </c>
      <c r="Z257" s="374" t="str">
        <f>IF(E257="","",IF(H257&lt;V257+W257,"Error in Areas ▲",IF(P257&lt;&gt;'G-1 All Habitats'!$X$3,H257-V257-W257,IF(AND(P257='G-1 All Habitats'!$X$3,AB257="Yes"),"Unacceptable Loss ⚠",IF(AND(P257='G-1 All Habitats'!$X$3,AB257="No"),AG257,IF(AND(P257='G-1 All Habitats'!$X$3,AB257=""),AG257,IF(AND(P257='G-1 All Habitats'!$X$3,AG257="None",AG257),IF(AND(P257='G-1 All Habitats'!$X$3,AG257&gt;0),H257-V257-W257))))))))</f>
        <v/>
      </c>
      <c r="AA257" s="405" t="str">
        <f>IFERROR(IF(H257="","",IF(H257-V257-W257=0&lt;0,"Error in Areas ▲",IF(V257+W257&gt;H257,"Error in Areas ▲",IF(AND(P257='G-1 All Habitats'!$X$3,AB257="Yes"),"Alternative Compensation ✓",IF(Z257=0,0,IF(P257='G-1 All Habitats'!$X$3,"Any Loss Unacceptable ▲",T257-X257-Y257)))))),"Check Data ⚠")</f>
        <v/>
      </c>
      <c r="AB257" s="837"/>
      <c r="AC257" s="119"/>
      <c r="AD257" s="528"/>
      <c r="AE257" s="120"/>
      <c r="AF257" s="687"/>
      <c r="AG257" s="744" t="str">
        <f>IF(P257="","",IF(P257='G-1 All Habitats'!$X$3,H257-V257-W257,"None"))</f>
        <v/>
      </c>
      <c r="AH257" s="744" t="str">
        <f t="shared" si="33"/>
        <v/>
      </c>
      <c r="AJ257" s="124" t="str">
        <f t="shared" si="34"/>
        <v/>
      </c>
      <c r="AK257" s="124" t="str">
        <f t="shared" si="35"/>
        <v/>
      </c>
      <c r="AL257" s="124" t="str">
        <f>IF(I257="","",IF(#REF!&gt;0,TRUE,FALSE))</f>
        <v/>
      </c>
      <c r="AM257" s="124">
        <v>247</v>
      </c>
      <c r="AN257" s="124"/>
      <c r="AO257" s="124" t="str">
        <f t="array" ref="AO257">IFERROR(INDEX($AM$11:$AM$259, MATCH(0, IF(TRUE=$AJ$11:$AJ$259, COUNTIF($AO$10:$AO256, $AM$11:$AM$259), ""), 0)),"")</f>
        <v/>
      </c>
      <c r="AP257" s="124" t="str">
        <f t="array" ref="AP257">IFERROR(INDEX($AM$11:$AM$259, MATCH(0, IF(TRUE=$AK$11:$AK$259, COUNTIF($AP$10:$AP256, $AM$11:$AM$259), ""), 0)),"")</f>
        <v/>
      </c>
      <c r="AQ257" s="124" t="str">
        <f t="array" ref="AQ257">IFERROR(INDEX($AM$11:$AM$259, MATCH(0, IF(TRUE=$AL$11:$AL$259, COUNTIF($AQ$10:$AQ256, $AM$11:$AM$259), ""), 0)),"")</f>
        <v/>
      </c>
      <c r="AU257" s="30">
        <f t="shared" si="36"/>
        <v>0</v>
      </c>
      <c r="AY257" s="374" t="str">
        <f t="shared" si="37"/>
        <v/>
      </c>
    </row>
    <row r="258" spans="1:51" ht="15.75" thickBot="1">
      <c r="A258" s="30" t="str">
        <f>IFERROR(INDEX('G-1 All Habitats'!$AG$3:$AG$17,MATCH(E258,'G-1 All Habitats'!$AF$3:$AF$17,0)),"")</f>
        <v/>
      </c>
      <c r="B258" s="30" t="str">
        <f>IFERROR(INDEX('G-8 Condition Look up'!$I$4:$I$135,MATCH(G258,'G-8 Condition Look up'!$A$4:$A$135,0)),"")</f>
        <v/>
      </c>
      <c r="D258" s="126">
        <v>248</v>
      </c>
      <c r="E258" s="827"/>
      <c r="F258" s="341"/>
      <c r="G258" s="828" t="str">
        <f>IFERROR(INDEX('G-1 All Habitats'!$B$3:$B$134,MATCH(F258,'G-1 All Habitats'!$A$3:$A$134,0)),"")</f>
        <v/>
      </c>
      <c r="H258" s="128"/>
      <c r="I258" s="829" t="str">
        <f>IF(G258="","",VLOOKUP(G258,'G-1 All Habitats'!$B$2:$M$134,10,FALSE))</f>
        <v/>
      </c>
      <c r="J258" s="442" t="str">
        <f>IFERROR(VLOOKUP(I258,'G-1 All Habitats'!$V$3:$W$7,2,FALSE),"")</f>
        <v/>
      </c>
      <c r="K258" s="129"/>
      <c r="L258" s="830" t="str">
        <f>IFERROR(INDEX('G-8 Condition Look up'!$A$3:$H$135,MATCH(G258,'G-8 Condition Look up'!$A$3:$A$135,0),MATCH(K258,'G-8 Condition Look up'!$A$3:$H$3,0)),"")</f>
        <v/>
      </c>
      <c r="M258" s="737"/>
      <c r="N258" s="388" t="str">
        <f>IF(M258="","",IF(VLOOKUP(M258,'G-3 Multipliers'!$L$3:$N$6,2,FALSE)=0,"Spatial Data Missing ⚠",VLOOKUP(M258,'G-3 Multipliers'!$L$3:$N$6,2,FALSE)))</f>
        <v/>
      </c>
      <c r="O258" s="442" t="str">
        <f>IF(M258="","",IF(VLOOKUP(M258,'G-3 Multipliers'!$L$3:$N$6,3,FALSE)=0,"Spatial Data Missing ⚠",VLOOKUP(M258,'G-3 Multipliers'!$L$3:$N$6,3,FALSE)))</f>
        <v/>
      </c>
      <c r="P258" s="799" t="str">
        <f>IFERROR(VLOOKUP(G258,'G-1 All Habitats'!$B$2:$M$134,12,FALSE),"")</f>
        <v/>
      </c>
      <c r="Q258" s="831" t="str">
        <f>IFERROR(IF(P258="","",IF(AND(P258='G-1 All Habitats'!$X$3,W258&gt;0),X258+(Y258*S258),IF(AND(P258='G-1 All Habitats'!$X$3,V258&gt;0),X258+(Y258*S258),IF(AND(P258='G-1 All Habitats'!$X$3,AG258&gt;0),"Any Loss Unacceptable  ⚠",IF(AND(P258='G-1 All Habitats'!$X$3,Z258&gt;0),"Any Loss Unacceptable ⚠",H258*J258*L258*O258*S258))))),"Check Data ⚠")</f>
        <v/>
      </c>
      <c r="R258" s="579"/>
      <c r="S258" s="832" t="str">
        <f>IF(R258="","",IF(VLOOKUP(R258,'G-3 Multipliers'!$S$3:$T$10,2,FALSE)=0,"Spatial Data Missing ⚠",VLOOKUP(R258,'G-3 Multipliers'!$S$3:$T$10,2,FALSE)))</f>
        <v/>
      </c>
      <c r="T258" s="345" t="str">
        <f>IFERROR(IF(P258="","",IF(AND(P258='G-1 All Habitats'!$X$3,W258&gt;0),X258+Y258,IF(AND(P258='G-1 All Habitats'!$X$3,V258&gt;0),X258+Y258,IF(AND(P258='G-1 All Habitats'!$X$3,AG258&gt;0),"Any Loss Unacceptable ⚠", IF(R258="","", IF(AND(P258='G-1 All Habitats'!$X$3,Z258&gt;0),"Any Loss Unacceptable ⚠",H258*J258*L258*O258)))))),"Check Data ⚠")</f>
        <v/>
      </c>
      <c r="U258" s="38"/>
      <c r="V258" s="293"/>
      <c r="W258" s="294"/>
      <c r="X258" s="465" t="str">
        <f t="shared" si="31"/>
        <v/>
      </c>
      <c r="Y258" s="465" t="str">
        <f t="shared" si="32"/>
        <v/>
      </c>
      <c r="Z258" s="374" t="str">
        <f>IF(E258="","",IF(H258&lt;V258+W258,"Error in Areas ▲",IF(P258&lt;&gt;'G-1 All Habitats'!$X$3,H258-V258-W258,IF(AND(P258='G-1 All Habitats'!$X$3,AB258="Yes"),"Unacceptable Loss ⚠",IF(AND(P258='G-1 All Habitats'!$X$3,AB258="No"),AG258,IF(AND(P258='G-1 All Habitats'!$X$3,AB258=""),AG258,IF(AND(P258='G-1 All Habitats'!$X$3,AG258="None",AG258),IF(AND(P258='G-1 All Habitats'!$X$3,AG258&gt;0),H258-V258-W258))))))))</f>
        <v/>
      </c>
      <c r="AA258" s="405" t="str">
        <f>IFERROR(IF(H258="","",IF(H258-V258-W258=0&lt;0,"Error in Areas ▲",IF(V258+W258&gt;H258,"Error in Areas ▲",IF(AND(P258='G-1 All Habitats'!$X$3,AB258="Yes"),"Alternative Compensation ✓",IF(Z258=0,0,IF(P258='G-1 All Habitats'!$X$3,"Any Loss Unacceptable ▲",T258-X258-Y258)))))),"Check Data ⚠")</f>
        <v/>
      </c>
      <c r="AB258" s="838"/>
      <c r="AC258" s="130"/>
      <c r="AD258" s="529"/>
      <c r="AE258" s="131"/>
      <c r="AF258" s="688"/>
      <c r="AG258" s="744" t="str">
        <f>IF(P258="","",IF(P258='G-1 All Habitats'!$X$3,H258-V258-W258,"None"))</f>
        <v/>
      </c>
      <c r="AH258" s="744" t="str">
        <f t="shared" si="33"/>
        <v/>
      </c>
      <c r="AJ258" s="124" t="str">
        <f t="shared" si="34"/>
        <v/>
      </c>
      <c r="AK258" s="124" t="str">
        <f t="shared" si="35"/>
        <v/>
      </c>
      <c r="AL258" s="124" t="str">
        <f>IF(I258="","",IF(#REF!&gt;0,TRUE,FALSE))</f>
        <v/>
      </c>
      <c r="AM258" s="124">
        <v>248</v>
      </c>
      <c r="AN258" s="124"/>
      <c r="AO258" s="124" t="str">
        <f t="array" ref="AO258">IFERROR(INDEX($AM$11:$AM$259, MATCH(0, IF(TRUE=$AJ$11:$AJ$259, COUNTIF($AO$10:$AO257, $AM$11:$AM$259), ""), 0)),"")</f>
        <v/>
      </c>
      <c r="AP258" s="124" t="str">
        <f t="array" ref="AP258">IFERROR(INDEX($AM$11:$AM$259, MATCH(0, IF(TRUE=$AK$11:$AK$259, COUNTIF($AP$10:$AP257, $AM$11:$AM$259), ""), 0)),"")</f>
        <v/>
      </c>
      <c r="AQ258" s="124" t="str">
        <f t="array" ref="AQ258">IFERROR(INDEX($AM$11:$AM$259, MATCH(0, IF(TRUE=$AL$11:$AL$259, COUNTIF($AQ$10:$AQ257, $AM$11:$AM$259), ""), 0)),"")</f>
        <v/>
      </c>
      <c r="AU258" s="30">
        <f t="shared" si="36"/>
        <v>0</v>
      </c>
      <c r="AY258" s="374" t="str">
        <f t="shared" si="37"/>
        <v/>
      </c>
    </row>
    <row r="259" spans="1:51" ht="15.75" thickBot="1">
      <c r="F259" s="822" t="s">
        <v>329</v>
      </c>
      <c r="G259" s="739" t="s">
        <v>365</v>
      </c>
      <c r="H259" s="414">
        <f>IF('Detailed Results'!K40&gt;0,"Error ▲", SUM(H11:H258))</f>
        <v>0</v>
      </c>
      <c r="N259" s="102"/>
      <c r="P259" s="132" t="s">
        <v>366</v>
      </c>
      <c r="Q259" s="714">
        <f>IF('Detailed Results'!$K$40&gt;0,"Error ▲",SUM(Q11:Q258))</f>
        <v>0</v>
      </c>
      <c r="S259" s="541"/>
      <c r="T259" s="414">
        <f>IF('Detailed Results'!$K$40&gt;0,"Error ▲",SUM(T11:T258))</f>
        <v>0</v>
      </c>
      <c r="U259" s="65"/>
      <c r="V259" s="731">
        <f>IF('Detailed Results'!$K$40&gt;0,"Error ▲",SUM(V11:V258))</f>
        <v>0</v>
      </c>
      <c r="W259" s="732">
        <f>IF('Detailed Results'!$K$40&gt;0,"Error ▲",SUM(W11:W258))</f>
        <v>0</v>
      </c>
      <c r="X259" s="732" cm="1">
        <f t="array" ref="X259">IF(OR('Detailed Results'!$K$40&gt;0,Z11:Z258="Error in Areas ▲"),"Error ▲",SUM(X11:X258))</f>
        <v>0</v>
      </c>
      <c r="Y259" s="732" cm="1">
        <f t="array" ref="Y259">IF(OR('Detailed Results'!$K$40&gt;0, Z11:Z258="Error in Areas ▲"),"Error ▲",SUM(Y11:Y258))</f>
        <v>0</v>
      </c>
      <c r="Z259" s="732">
        <f>IF('Detailed Results'!$K$40&gt;0,"Error ▲",SUM(Z11:Z258))</f>
        <v>0</v>
      </c>
      <c r="AA259" s="381">
        <f>IF('Detailed Results'!$K$40&gt;0,"Error ▲",SUM(AA11:AA258))</f>
        <v>0</v>
      </c>
      <c r="AB259" s="202"/>
      <c r="AU259" s="101">
        <f>SUM(AU11:AU258)</f>
        <v>0</v>
      </c>
      <c r="AY259" s="732" cm="1">
        <f t="array" ref="AY259">IF(OR('Detailed Results'!$K$40&gt;0,Z11:Z258="Error in Areas ▲"),"Error ▲",SUM(AY11:AY258))</f>
        <v>0</v>
      </c>
    </row>
    <row r="260" spans="1:51" ht="15.75" thickBot="1">
      <c r="U260" s="133"/>
      <c r="V260" s="133"/>
      <c r="W260" s="133"/>
      <c r="X260" s="133"/>
      <c r="Y260" s="133"/>
      <c r="Z260" s="133"/>
      <c r="AA260" s="133"/>
      <c r="AY260" s="133"/>
    </row>
    <row r="261" spans="1:51" ht="28.5" customHeight="1" thickBot="1">
      <c r="D261" s="102"/>
      <c r="E261" s="102"/>
      <c r="F261" s="511" t="s">
        <v>305</v>
      </c>
      <c r="H261" s="381">
        <f>IF('Detailed Results'!$K$40&gt;0,"Error",SUMIFS($H$11:$H$256,$G$11:$G$256,"&lt;&gt;"&amp;'G-1 All Habitats'!B80,$G$11:$G$256,"&lt;&gt;"&amp;'G-1 All Habitats'!B81,$G$11:$G$256,"&lt;&gt;"&amp;'G-1 All Habitats'!B67,$G$11:$G$256,"&lt;&gt;"&amp;'G-1 All Habitats'!B68))</f>
        <v>0</v>
      </c>
      <c r="V261" s="1424" t="s">
        <v>367</v>
      </c>
      <c r="W261" s="1425"/>
      <c r="X261" s="1425"/>
      <c r="Y261" s="1426"/>
      <c r="Z261" s="366">
        <f>IF('Detailed Results'!$K$40&gt;0,"Error",SUMIFS($Z$11:$Z$258,$G$11:$G$258,"&lt;&gt;"&amp;'G-1 All Habitats'!B67,$G$11:$G$258,"&lt;&gt;"&amp;'G-1 All Habitats'!B68,$G$11:$G$258,"&lt;&gt;"&amp;'G-1 All Habitats'!B80, $G$11:$G$258,"&lt;&gt;"&amp;'G-1 All Habitats'!B81))</f>
        <v>0</v>
      </c>
      <c r="AY261" s="30"/>
    </row>
    <row r="262" spans="1:51" ht="15.75" thickBot="1">
      <c r="D262" s="102"/>
      <c r="E262" s="102"/>
      <c r="F262" s="102"/>
    </row>
    <row r="263" spans="1:51">
      <c r="D263" s="102"/>
      <c r="E263" s="102"/>
      <c r="F263" s="1465" t="s">
        <v>307</v>
      </c>
      <c r="G263" s="36"/>
      <c r="H263" s="730" t="s">
        <v>308</v>
      </c>
      <c r="I263" s="551" t="s">
        <v>309</v>
      </c>
      <c r="J263" s="1419" t="s">
        <v>310</v>
      </c>
      <c r="K263" s="1420"/>
    </row>
    <row r="264" spans="1:51" ht="15.75" thickBot="1">
      <c r="D264" s="102"/>
      <c r="E264" s="102"/>
      <c r="F264" s="1466"/>
      <c r="G264" s="36"/>
      <c r="H264" s="736"/>
      <c r="I264" s="552" t="str">
        <f>IF(H263="Hectares",H264,IF(H263="M²",H264/10000,""))</f>
        <v/>
      </c>
      <c r="J264" s="1421" t="str">
        <f>IF(H263="M²",H264,IF(H263="Hectares",H264*10000,""))</f>
        <v/>
      </c>
      <c r="K264" s="1422"/>
    </row>
    <row r="265" spans="1:51">
      <c r="D265" s="102"/>
      <c r="E265" s="102"/>
      <c r="F265" s="102"/>
    </row>
    <row r="266" spans="1:51">
      <c r="D266" s="102"/>
      <c r="E266" s="102"/>
      <c r="F266" s="102"/>
    </row>
    <row r="267" spans="1:51">
      <c r="D267" s="102"/>
      <c r="E267" s="102"/>
      <c r="F267" s="102"/>
    </row>
    <row r="268" spans="1:51">
      <c r="D268" s="102"/>
      <c r="E268" s="102"/>
      <c r="F268" s="102"/>
    </row>
    <row r="269" spans="1:51">
      <c r="D269" s="102"/>
      <c r="E269" s="102"/>
      <c r="F269" s="102"/>
    </row>
    <row r="270" spans="1:51">
      <c r="D270" s="102"/>
      <c r="E270" s="102"/>
      <c r="F270" s="102"/>
    </row>
    <row r="271" spans="1:51">
      <c r="D271" s="102"/>
      <c r="E271" s="102"/>
      <c r="F271" s="102"/>
    </row>
  </sheetData>
  <sheetProtection algorithmName="SHA-512" hashValue="PKQUw3LEIhQWiZxQu5dQvalHzmEHYXWBdwSlmcKpewN4GHVLu5ZtwZhqAUusUMWGiqJOFXnJPpgbVyYN2prC1Q==" saltValue="7AFQ+TVoebDTcpl+3czldw==" spinCount="100000" sheet="1" objects="1" scenarios="1"/>
  <customSheetViews>
    <customSheetView guid="{8BDA793C-C9C5-4FC6-A0A5-F1109F6D4F22}" topLeftCell="C1">
      <pane ySplit="10" topLeftCell="A11" activePane="bottomLeft" state="frozen"/>
      <selection pane="bottomLeft"/>
    </customSheetView>
  </customSheetViews>
  <mergeCells count="21">
    <mergeCell ref="I6:M8"/>
    <mergeCell ref="F263:F264"/>
    <mergeCell ref="J263:K263"/>
    <mergeCell ref="J264:K264"/>
    <mergeCell ref="AC9:AD9"/>
    <mergeCell ref="E9:H9"/>
    <mergeCell ref="I9:J9"/>
    <mergeCell ref="K9:L9"/>
    <mergeCell ref="R9:S9"/>
    <mergeCell ref="V261:Y261"/>
    <mergeCell ref="P9:P10"/>
    <mergeCell ref="AB9:AB10"/>
    <mergeCell ref="M9:O9"/>
    <mergeCell ref="V9:AA9"/>
    <mergeCell ref="D3:F4"/>
    <mergeCell ref="O2:Y5"/>
    <mergeCell ref="D2:F2"/>
    <mergeCell ref="I2:M2"/>
    <mergeCell ref="I3:L3"/>
    <mergeCell ref="I4:L4"/>
    <mergeCell ref="I5:L5"/>
  </mergeCells>
  <conditionalFormatting sqref="L11:L258">
    <cfRule type="containsText" dxfId="635" priority="127" operator="containsText" text="Not Possible">
      <formula>NOT(ISERROR(SEARCH("Not Possible",L11)))</formula>
    </cfRule>
  </conditionalFormatting>
  <conditionalFormatting sqref="N11:O258">
    <cfRule type="containsText" dxfId="634" priority="79" operator="containsText" text="Spatial">
      <formula>NOT(ISERROR(SEARCH("Spatial",N11)))</formula>
    </cfRule>
  </conditionalFormatting>
  <conditionalFormatting sqref="Z11:Z258">
    <cfRule type="cellIs" dxfId="633" priority="66" operator="equal">
      <formula>"Error in Areas ▲"</formula>
    </cfRule>
    <cfRule type="cellIs" dxfId="632" priority="74" operator="equal">
      <formula>"Unacceptable Loss ⚠"</formula>
    </cfRule>
  </conditionalFormatting>
  <conditionalFormatting sqref="Q11:Q258">
    <cfRule type="cellIs" dxfId="631" priority="71" operator="equal">
      <formula>"Any loss Unacceptable ⚠"</formula>
    </cfRule>
  </conditionalFormatting>
  <conditionalFormatting sqref="Q11:Q258">
    <cfRule type="expression" dxfId="630" priority="73">
      <formula>"p18=""Avoid"""</formula>
    </cfRule>
  </conditionalFormatting>
  <conditionalFormatting sqref="Q11:Q258">
    <cfRule type="cellIs" dxfId="629" priority="72" operator="equal">
      <formula>"Any loss Unacceptable ⚠"</formula>
    </cfRule>
  </conditionalFormatting>
  <conditionalFormatting sqref="Q11:Q258">
    <cfRule type="cellIs" dxfId="628" priority="68" operator="equal">
      <formula>"Any loss Unacceptable ⚠"</formula>
    </cfRule>
  </conditionalFormatting>
  <conditionalFormatting sqref="Q11:Q258">
    <cfRule type="expression" dxfId="627" priority="70">
      <formula>"p18=""Avoid"""</formula>
    </cfRule>
  </conditionalFormatting>
  <conditionalFormatting sqref="Q11:Q258">
    <cfRule type="cellIs" dxfId="626" priority="69" operator="equal">
      <formula>"Any loss Unacceptable ⚠"</formula>
    </cfRule>
  </conditionalFormatting>
  <conditionalFormatting sqref="Q11:Q258">
    <cfRule type="cellIs" dxfId="625" priority="67" operator="equal">
      <formula>"Check Data ⚠"</formula>
    </cfRule>
  </conditionalFormatting>
  <conditionalFormatting sqref="AB11:AB258">
    <cfRule type="cellIs" dxfId="624" priority="75" operator="equal">
      <formula>"No"</formula>
    </cfRule>
    <cfRule type="cellIs" dxfId="623" priority="76" operator="equal">
      <formula>"Yes"</formula>
    </cfRule>
  </conditionalFormatting>
  <conditionalFormatting sqref="AA11:AA258">
    <cfRule type="cellIs" dxfId="622" priority="63" operator="equal">
      <formula>"Alternative Compensation ✓"</formula>
    </cfRule>
    <cfRule type="cellIs" dxfId="621" priority="64" operator="equal">
      <formula>"Error in Areas ▲"</formula>
    </cfRule>
  </conditionalFormatting>
  <conditionalFormatting sqref="AA11:AA258">
    <cfRule type="containsText" dxfId="620" priority="65" operator="containsText" text="Unacceptable">
      <formula>NOT(ISERROR(SEARCH("Unacceptable",AA11)))</formula>
    </cfRule>
  </conditionalFormatting>
  <conditionalFormatting sqref="H259">
    <cfRule type="cellIs" dxfId="619" priority="48" operator="equal">
      <formula>"Error ▲"</formula>
    </cfRule>
  </conditionalFormatting>
  <conditionalFormatting sqref="Q259 S259">
    <cfRule type="cellIs" dxfId="618" priority="47" operator="equal">
      <formula>"Error ▲"</formula>
    </cfRule>
  </conditionalFormatting>
  <conditionalFormatting sqref="V259:AA259">
    <cfRule type="cellIs" dxfId="617" priority="46" operator="equal">
      <formula>"Error ▲"</formula>
    </cfRule>
  </conditionalFormatting>
  <conditionalFormatting sqref="M5">
    <cfRule type="containsText" dxfId="616" priority="44" operator="containsText" text="No">
      <formula>NOT(ISERROR(SEARCH("No",M5)))</formula>
    </cfRule>
    <cfRule type="containsText" dxfId="615" priority="45" operator="containsText" text="Yes">
      <formula>NOT(ISERROR(SEARCH("Yes",M5)))</formula>
    </cfRule>
  </conditionalFormatting>
  <conditionalFormatting sqref="M4">
    <cfRule type="containsText" dxfId="614" priority="5" operator="containsText" text="Error">
      <formula>NOT(ISERROR(SEARCH("Error",M4)))</formula>
    </cfRule>
    <cfRule type="containsText" dxfId="613" priority="6" operator="containsText" text="Check">
      <formula>NOT(ISERROR(SEARCH("Check",M4)))</formula>
    </cfRule>
    <cfRule type="cellIs" dxfId="612" priority="7" operator="equal">
      <formula>0</formula>
    </cfRule>
    <cfRule type="cellIs" dxfId="611" priority="8" operator="lessThan">
      <formula>0</formula>
    </cfRule>
  </conditionalFormatting>
  <conditionalFormatting sqref="M3">
    <cfRule type="containsText" dxfId="610" priority="40" operator="containsText" text="Error">
      <formula>NOT(ISERROR(SEARCH("Error",M3)))</formula>
    </cfRule>
    <cfRule type="containsText" dxfId="609" priority="41" operator="containsText" text="Check">
      <formula>NOT(ISERROR(SEARCH("Check",M3)))</formula>
    </cfRule>
  </conditionalFormatting>
  <conditionalFormatting sqref="O2:Y5">
    <cfRule type="containsText" dxfId="608" priority="39" operator="containsText" text="Check">
      <formula>NOT(ISERROR(SEARCH("Check",O2)))</formula>
    </cfRule>
  </conditionalFormatting>
  <conditionalFormatting sqref="R11:R258">
    <cfRule type="containsText" dxfId="607" priority="37" operator="containsText" text="Existing Value Not Required">
      <formula>NOT(ISERROR(SEARCH("Existing Value Not Required",R11)))</formula>
    </cfRule>
    <cfRule type="containsText" dxfId="606" priority="38" operator="containsText" text="Existing Value Required">
      <formula>NOT(ISERROR(SEARCH("Existing Value Required",R11)))</formula>
    </cfRule>
  </conditionalFormatting>
  <conditionalFormatting sqref="R11:S11 S12:S256 R12:R258">
    <cfRule type="containsText" dxfId="605" priority="33" operator="containsText" text="Check">
      <formula>NOT(ISERROR(SEARCH("Check",R11)))</formula>
    </cfRule>
    <cfRule type="containsText" dxfId="604" priority="34" operator="containsText" text="Error">
      <formula>NOT(ISERROR(SEARCH("Error",R11)))</formula>
    </cfRule>
  </conditionalFormatting>
  <conditionalFormatting sqref="S11:S256">
    <cfRule type="containsText" dxfId="603" priority="32" operator="containsText" text="Spatial">
      <formula>NOT(ISERROR(SEARCH("Spatial",S11)))</formula>
    </cfRule>
  </conditionalFormatting>
  <conditionalFormatting sqref="T11:T258">
    <cfRule type="cellIs" dxfId="602" priority="29" operator="equal">
      <formula>"Any loss Unacceptable ⚠"</formula>
    </cfRule>
  </conditionalFormatting>
  <conditionalFormatting sqref="T11:T258">
    <cfRule type="expression" dxfId="601" priority="31">
      <formula>"p18=""Avoid"""</formula>
    </cfRule>
  </conditionalFormatting>
  <conditionalFormatting sqref="T11:T258">
    <cfRule type="cellIs" dxfId="600" priority="30" operator="equal">
      <formula>"Any loss Unacceptable ⚠"</formula>
    </cfRule>
  </conditionalFormatting>
  <conditionalFormatting sqref="T11:T258">
    <cfRule type="cellIs" dxfId="599" priority="26" operator="equal">
      <formula>"Any loss Unacceptable ⚠"</formula>
    </cfRule>
  </conditionalFormatting>
  <conditionalFormatting sqref="T11:T258">
    <cfRule type="expression" dxfId="598" priority="28">
      <formula>"p18=""Avoid"""</formula>
    </cfRule>
  </conditionalFormatting>
  <conditionalFormatting sqref="T11:T258">
    <cfRule type="cellIs" dxfId="597" priority="27" operator="equal">
      <formula>"Any loss Unacceptable ⚠"</formula>
    </cfRule>
  </conditionalFormatting>
  <conditionalFormatting sqref="T11:T258">
    <cfRule type="cellIs" dxfId="596" priority="25" operator="equal">
      <formula>"Check Data ⚠"</formula>
    </cfRule>
  </conditionalFormatting>
  <conditionalFormatting sqref="T259">
    <cfRule type="cellIs" dxfId="595" priority="24" operator="equal">
      <formula>"Error ▲"</formula>
    </cfRule>
  </conditionalFormatting>
  <conditionalFormatting sqref="S257">
    <cfRule type="containsText" dxfId="594" priority="14" operator="containsText" text="Check">
      <formula>NOT(ISERROR(SEARCH("Check",S257)))</formula>
    </cfRule>
    <cfRule type="containsText" dxfId="593" priority="15" operator="containsText" text="Error">
      <formula>NOT(ISERROR(SEARCH("Error",S257)))</formula>
    </cfRule>
  </conditionalFormatting>
  <conditionalFormatting sqref="S257">
    <cfRule type="containsText" dxfId="592" priority="13" operator="containsText" text="Spatial">
      <formula>NOT(ISERROR(SEARCH("Spatial",S257)))</formula>
    </cfRule>
  </conditionalFormatting>
  <conditionalFormatting sqref="S258">
    <cfRule type="containsText" dxfId="591" priority="11" operator="containsText" text="Check">
      <formula>NOT(ISERROR(SEARCH("Check",S258)))</formula>
    </cfRule>
    <cfRule type="containsText" dxfId="590" priority="12" operator="containsText" text="Error">
      <formula>NOT(ISERROR(SEARCH("Error",S258)))</formula>
    </cfRule>
  </conditionalFormatting>
  <conditionalFormatting sqref="S258">
    <cfRule type="containsText" dxfId="589" priority="10" operator="containsText" text="Spatial">
      <formula>NOT(ISERROR(SEARCH("Spatial",S258)))</formula>
    </cfRule>
  </conditionalFormatting>
  <conditionalFormatting sqref="I6:M8">
    <cfRule type="containsText" dxfId="588" priority="9" operator="containsText" text="⚠">
      <formula>NOT(ISERROR(SEARCH("⚠",I6)))</formula>
    </cfRule>
  </conditionalFormatting>
  <conditionalFormatting sqref="AA11:AA258">
    <cfRule type="containsText" dxfId="587" priority="4" operator="containsText" text="⚠">
      <formula>NOT(ISERROR(SEARCH("⚠",AA11)))</formula>
    </cfRule>
  </conditionalFormatting>
  <conditionalFormatting sqref="AY259">
    <cfRule type="cellIs" dxfId="586" priority="3" operator="equal">
      <formula>"Error ▲"</formula>
    </cfRule>
  </conditionalFormatting>
  <conditionalFormatting sqref="AY2:AY5">
    <cfRule type="containsText" dxfId="585" priority="2" operator="containsText" text="Check">
      <formula>NOT(ISERROR(SEARCH("Check",AY2)))</formula>
    </cfRule>
  </conditionalFormatting>
  <conditionalFormatting sqref="M3:M5">
    <cfRule type="containsText" dxfId="584" priority="1" operator="containsText" text="N/A">
      <formula>NOT(ISERROR(SEARCH("N/A",M3)))</formula>
    </cfRule>
  </conditionalFormatting>
  <dataValidations count="4">
    <dataValidation allowBlank="1" showErrorMessage="1" errorTitle="Invalid Habitat" error="Select from List" sqref="G11:G258" xr:uid="{00000000-0002-0000-0A00-000000000000}"/>
    <dataValidation type="list" allowBlank="1" showInputMessage="1" showErrorMessage="1" sqref="F11:F258" xr:uid="{00000000-0002-0000-0A00-000001000000}">
      <formula1>INDIRECT(A11)</formula1>
    </dataValidation>
    <dataValidation type="list" allowBlank="1" showInputMessage="1" showErrorMessage="1" sqref="K11:K258" xr:uid="{00000000-0002-0000-0A00-000002000000}">
      <formula1>INDIRECT(B11)</formula1>
    </dataValidation>
    <dataValidation type="list" allowBlank="1" showInputMessage="1" showErrorMessage="1" sqref="H263" xr:uid="{A73459A6-BB2C-4AA0-B3A7-B5883D39E5F0}">
      <formula1>"Hectares, M²"</formula1>
    </dataValidation>
  </dataValidations>
  <pageMargins left="0.7" right="0.7" top="0.75" bottom="0.75" header="0.3" footer="0.3"/>
  <pageSetup paperSize="9" orientation="portrait" horizontalDpi="90" verticalDpi="90" r:id="rId1"/>
  <drawing r:id="rId2"/>
  <extLst>
    <ext xmlns:x14="http://schemas.microsoft.com/office/spreadsheetml/2009/9/main" uri="{78C0D931-6437-407d-A8EE-F0AAD7539E65}">
      <x14:conditionalFormattings>
        <x14:conditionalFormatting xmlns:xm="http://schemas.microsoft.com/office/excel/2006/main">
          <x14:cfRule type="cellIs" priority="129" operator="equal" id="{4F50D605-E638-4A00-95DA-25AAC11AC10A}">
            <xm:f>'G-1 All Habitats'!$X$6</xm:f>
            <x14:dxf>
              <font>
                <color rgb="FF383745"/>
              </font>
              <fill>
                <patternFill>
                  <bgColor theme="8" tint="0.59996337778862885"/>
                </patternFill>
              </fill>
            </x14:dxf>
          </x14:cfRule>
          <x14:cfRule type="cellIs" priority="176" operator="equal" id="{94CF483F-3A53-4751-BC79-DEF0528327DD}">
            <xm:f>'G-1 All Habitats'!$X$5</xm:f>
            <x14:dxf>
              <font>
                <color rgb="FF383745"/>
              </font>
              <fill>
                <patternFill>
                  <bgColor theme="8" tint="-0.24994659260841701"/>
                </patternFill>
              </fill>
            </x14:dxf>
          </x14:cfRule>
          <x14:cfRule type="cellIs" priority="177" operator="equal" id="{B81E5FD8-88ED-479F-9E97-AEE295FEDC63}">
            <xm:f>'G-1 All Habitats'!$X$4</xm:f>
            <x14:dxf>
              <font>
                <color rgb="FF383745"/>
              </font>
              <fill>
                <patternFill>
                  <bgColor theme="6"/>
                </patternFill>
              </fill>
            </x14:dxf>
          </x14:cfRule>
          <x14:cfRule type="cellIs" priority="178" operator="equal" id="{7885BECF-B310-4E80-9044-647A2B05C768}">
            <xm:f>'G-1 All Habitats'!$X$3</xm:f>
            <x14:dxf>
              <font>
                <color auto="1"/>
              </font>
              <fill>
                <patternFill>
                  <bgColor theme="6" tint="-0.24994659260841701"/>
                </patternFill>
              </fill>
            </x14:dxf>
          </x14:cfRule>
          <xm:sqref>P11:P258</xm:sqref>
        </x14:conditionalFormatting>
        <x14:conditionalFormatting xmlns:xm="http://schemas.microsoft.com/office/excel/2006/main">
          <x14:cfRule type="cellIs" priority="430" operator="lessThan" id="{C9331F0E-1C51-4161-85A4-3D4B30E59263}">
            <xm:f>Start!$F$22</xm:f>
            <x14:dxf>
              <font>
                <color rgb="FF383745"/>
              </font>
              <fill>
                <patternFill>
                  <bgColor rgb="FFFFC000"/>
                </patternFill>
              </fill>
            </x14:dxf>
          </x14:cfRule>
          <x14:cfRule type="cellIs" priority="431" operator="greaterThanOrEqual" id="{52458767-4C45-4444-8724-A3DADAF3158C}">
            <xm:f>Start!$F$22</xm:f>
            <x14:dxf>
              <font>
                <color rgb="FF383745"/>
              </font>
              <fill>
                <patternFill>
                  <bgColor rgb="FF92D050"/>
                </patternFill>
              </fill>
            </x14:dxf>
          </x14:cfRule>
          <xm:sqref>M4</xm:sqref>
        </x14:conditionalFormatting>
      </x14:conditionalFormattings>
    </ext>
    <ext xmlns:x14="http://schemas.microsoft.com/office/spreadsheetml/2009/9/main" uri="{CCE6A557-97BC-4b89-ADB6-D9C93CAAB3DF}">
      <x14:dataValidations xmlns:xm="http://schemas.microsoft.com/office/excel/2006/main" count="4">
        <x14:dataValidation type="list" allowBlank="1" showInputMessage="1" showErrorMessage="1" xr:uid="{00000000-0002-0000-0A00-000003000000}">
          <x14:formula1>
            <xm:f>'G-3 Multipliers'!$L$4:$L$6</xm:f>
          </x14:formula1>
          <xm:sqref>M11:M258</xm:sqref>
        </x14:dataValidation>
        <x14:dataValidation type="list" allowBlank="1" showInputMessage="1" showErrorMessage="1" xr:uid="{00000000-0002-0000-0A00-000004000000}">
          <x14:formula1>
            <xm:f>'G-1 All Habitats'!$AD$3:$AD$4</xm:f>
          </x14:formula1>
          <xm:sqref>AB11:AB258</xm:sqref>
        </x14:dataValidation>
        <x14:dataValidation type="list" allowBlank="1" showInputMessage="1" showErrorMessage="1" xr:uid="{6903B9C4-1349-4FE0-91F8-04651F4A5240}">
          <x14:formula1>
            <xm:f>'G-1 All Habitats'!$AF$3:$AF$17</xm:f>
          </x14:formula1>
          <xm:sqref>E11:E258</xm:sqref>
        </x14:dataValidation>
        <x14:dataValidation type="list" allowBlank="1" showInputMessage="1" showErrorMessage="1" xr:uid="{932F185A-3F30-4155-A5A7-3FA7C3D87041}">
          <x14:formula1>
            <xm:f>'G-3 Multipliers'!$S$4:$S$10</xm:f>
          </x14:formula1>
          <xm:sqref>R11:R258</xm:sqref>
        </x14:dataValidation>
      </x14:dataValidations>
    </ext>
  </extLs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25">
    <tabColor rgb="FF006600"/>
  </sheetPr>
  <dimension ref="A1:AJ270"/>
  <sheetViews>
    <sheetView showGridLines="0" topLeftCell="D1" zoomScale="80" zoomScaleNormal="80" workbookViewId="0">
      <pane ySplit="10" topLeftCell="A11" activePane="bottomLeft" state="frozen"/>
      <selection pane="bottomLeft" activeCell="L3" sqref="L3:L6"/>
    </sheetView>
  </sheetViews>
  <sheetFormatPr defaultColWidth="8.7109375" defaultRowHeight="0" customHeight="1" zeroHeight="1"/>
  <cols>
    <col min="1" max="1" width="8.7109375" style="30" hidden="1" customWidth="1"/>
    <col min="2" max="2" width="10.42578125" style="30" hidden="1" customWidth="1"/>
    <col min="3" max="3" width="19.7109375" style="30" hidden="1" customWidth="1"/>
    <col min="4" max="4" width="22.5703125" style="30" bestFit="1" customWidth="1"/>
    <col min="5" max="5" width="71" style="30" customWidth="1"/>
    <col min="6" max="6" width="12.42578125" style="30" hidden="1" customWidth="1"/>
    <col min="7" max="7" width="18.5703125" style="30" customWidth="1"/>
    <col min="8" max="8" width="18" style="30" customWidth="1"/>
    <col min="9" max="9" width="13.28515625" style="30" customWidth="1"/>
    <col min="10" max="11" width="12.5703125" style="30" customWidth="1"/>
    <col min="12" max="12" width="40.7109375" style="30" customWidth="1"/>
    <col min="13" max="13" width="6.7109375" style="30" hidden="1" customWidth="1"/>
    <col min="14" max="14" width="12.28515625" style="30" customWidth="1"/>
    <col min="15" max="15" width="19.5703125" style="30" customWidth="1"/>
    <col min="16" max="17" width="17.7109375" style="30" customWidth="1"/>
    <col min="18" max="18" width="31.28515625" style="30" customWidth="1"/>
    <col min="19" max="19" width="21.28515625" style="30" customWidth="1"/>
    <col min="20" max="20" width="15.28515625" style="30" customWidth="1"/>
    <col min="21" max="21" width="13.7109375" style="30" customWidth="1"/>
    <col min="22" max="22" width="35.28515625" style="30" customWidth="1"/>
    <col min="23" max="23" width="13.7109375" style="30" customWidth="1"/>
    <col min="24" max="24" width="14.28515625" style="30" customWidth="1"/>
    <col min="25" max="25" width="91.42578125" style="30" customWidth="1"/>
    <col min="26" max="26" width="11.42578125" style="30" hidden="1" customWidth="1"/>
    <col min="27" max="27" width="16.7109375" style="30" hidden="1" customWidth="1"/>
    <col min="28" max="28" width="12.7109375" style="30" customWidth="1"/>
    <col min="29" max="30" width="34.7109375" style="30" customWidth="1"/>
    <col min="31" max="31" width="14.28515625" style="30" customWidth="1"/>
    <col min="32" max="32" width="16.7109375" style="30" customWidth="1"/>
    <col min="33" max="33" width="11.28515625" style="30" customWidth="1"/>
    <col min="34" max="34" width="14.5703125" style="30" hidden="1" customWidth="1"/>
    <col min="35" max="36" width="8.7109375" style="30" hidden="1" customWidth="1"/>
    <col min="37" max="39" width="0" style="30" hidden="1" customWidth="1"/>
    <col min="40" max="42" width="8.7109375" style="30"/>
    <col min="43" max="43" width="8.7109375" style="30" customWidth="1"/>
    <col min="44" max="16384" width="8.7109375" style="30"/>
  </cols>
  <sheetData>
    <row r="1" spans="1:32" ht="15.75" thickBot="1"/>
    <row r="2" spans="1:32" ht="25.9" customHeight="1" thickBot="1">
      <c r="D2" s="1519" t="str">
        <f>CONCATENATE("Project Name:", " ", Start!F12, "     ", "Map Reference:", " ", Start!K66)</f>
        <v xml:space="preserve">Project Name: Grove Farm Solar     Map Reference: </v>
      </c>
      <c r="E2" s="1520"/>
      <c r="G2" s="895">
        <v>0.01</v>
      </c>
      <c r="H2" s="1549" t="s">
        <v>262</v>
      </c>
      <c r="I2" s="1550"/>
      <c r="J2" s="1550"/>
      <c r="K2" s="1550"/>
      <c r="L2" s="1551"/>
      <c r="O2" s="1463" t="str">
        <f>IF(OR(COUNTIF($O$11:O256,"*30+*")&gt;0,COUNTIF($S$11:S256,"*30+*")&gt;0),"Note; Habitat selected has a time to target condition greater than 30 years. Non standard agreement may be required. ⚠","")</f>
        <v/>
      </c>
      <c r="P2" s="1463"/>
      <c r="Q2" s="1463"/>
      <c r="R2" s="1463"/>
      <c r="S2" s="1463"/>
      <c r="T2" s="1463"/>
      <c r="U2" s="1518" t="str" cm="1">
        <f t="array" ref="U2">IF(OR(J11:J256 = "Fairly Good", J11:J256 = "Fairly Poor"),"A 'Fairly' Category has been used - check evidence to ensure this is appropriate ⚠", "")</f>
        <v/>
      </c>
      <c r="V2" s="1518"/>
      <c r="W2" s="1518"/>
      <c r="X2" s="1518"/>
      <c r="Y2" s="1518"/>
    </row>
    <row r="3" spans="1:32" ht="19.899999999999999" customHeight="1">
      <c r="D3" s="1512" t="str">
        <f ca="1">MID(CELL("filename",C1),FIND("]",CELL("filename",C1))+1,256)</f>
        <v>D-2 Off-Site Habitat Creation</v>
      </c>
      <c r="E3" s="1513"/>
      <c r="G3" s="197"/>
      <c r="H3" s="1494" t="s">
        <v>263</v>
      </c>
      <c r="I3" s="1496"/>
      <c r="J3" s="1496"/>
      <c r="K3" s="1522"/>
      <c r="L3" s="512">
        <f>'Headline Results'!H47</f>
        <v>97.897490402123225</v>
      </c>
      <c r="M3" s="35"/>
      <c r="N3" s="35"/>
      <c r="O3" s="1463"/>
      <c r="P3" s="1463"/>
      <c r="Q3" s="1463"/>
      <c r="R3" s="1463"/>
      <c r="S3" s="1463"/>
      <c r="T3" s="1463"/>
      <c r="U3" s="1518"/>
      <c r="V3" s="1518"/>
      <c r="W3" s="1518"/>
      <c r="X3" s="1518"/>
      <c r="Y3" s="1518"/>
    </row>
    <row r="4" spans="1:32" ht="15.75" customHeight="1" thickBot="1">
      <c r="D4" s="1515"/>
      <c r="E4" s="1516"/>
      <c r="G4" s="197"/>
      <c r="H4" s="1523" t="s">
        <v>265</v>
      </c>
      <c r="I4" s="1524"/>
      <c r="J4" s="1524"/>
      <c r="K4" s="1525"/>
      <c r="L4" s="513">
        <f>'Headline Results'!H51</f>
        <v>1.012467323068333</v>
      </c>
      <c r="M4" s="41"/>
      <c r="N4" s="35"/>
      <c r="O4" s="310"/>
      <c r="P4" s="310"/>
      <c r="Q4" s="310"/>
      <c r="R4" s="310"/>
      <c r="S4" s="310"/>
      <c r="U4" s="1518"/>
      <c r="V4" s="1518"/>
      <c r="W4" s="1518"/>
      <c r="X4" s="1518"/>
      <c r="Y4" s="1518"/>
    </row>
    <row r="5" spans="1:32" ht="29.65" customHeight="1">
      <c r="H5" s="1523" t="s">
        <v>267</v>
      </c>
      <c r="I5" s="1524"/>
      <c r="J5" s="1524"/>
      <c r="K5" s="1525"/>
      <c r="L5" s="514" t="str" cm="1">
        <f t="array" ref="L5">IF(OR('Trading Summary Area Habitats'!G5:G8="No ▲"), "No - check trading summaries ▲", "Yes ✓")</f>
        <v>Yes ✓</v>
      </c>
      <c r="M5" s="199"/>
      <c r="N5" s="190"/>
      <c r="O5" s="1497"/>
      <c r="P5" s="1497"/>
      <c r="Q5" s="1497"/>
      <c r="R5" s="1497"/>
      <c r="S5" s="1497"/>
      <c r="T5" s="1497"/>
      <c r="U5" s="1518"/>
      <c r="V5" s="1518"/>
      <c r="W5" s="1518"/>
      <c r="X5" s="1518"/>
      <c r="Y5" s="1518"/>
    </row>
    <row r="6" spans="1:32" ht="44.1" customHeight="1" thickBot="1">
      <c r="H6" s="1482" t="s">
        <v>1675</v>
      </c>
      <c r="I6" s="1483"/>
      <c r="J6" s="1483"/>
      <c r="K6" s="1484"/>
      <c r="L6" s="48" t="str">
        <f>IF(ABS('D-1 Off-Site Habitat Baseline'!Z261 - G259)&lt;=G2,  "Area Acceptable 🗸", "Error - Area created does not equal area lost ▲")</f>
        <v>Area Acceptable 🗸</v>
      </c>
      <c r="M6" s="509"/>
      <c r="N6" s="509"/>
      <c r="O6" s="1497"/>
      <c r="P6" s="1497"/>
      <c r="Q6" s="1497"/>
      <c r="R6" s="1497"/>
      <c r="S6" s="1497"/>
      <c r="T6" s="1497"/>
      <c r="U6" s="1553" t="str" cm="1">
        <f t="array" ref="U6">IF(OR(E11:E258="watercourse footprint"),"Please ensure the watercourse details for any watercourse footprints recorded are included in the watercourse tabs ⚠", "")</f>
        <v/>
      </c>
      <c r="V6" s="1553"/>
      <c r="W6" s="1553"/>
      <c r="X6" s="1553"/>
    </row>
    <row r="7" spans="1:32" ht="15.75" thickBot="1"/>
    <row r="8" spans="1:32" ht="26.65" customHeight="1" thickBot="1">
      <c r="D8" s="1542" t="s">
        <v>311</v>
      </c>
      <c r="E8" s="1543"/>
      <c r="F8" s="1543"/>
      <c r="G8" s="1543"/>
      <c r="H8" s="1543"/>
      <c r="I8" s="1543"/>
      <c r="J8" s="1543"/>
      <c r="K8" s="1543"/>
      <c r="L8" s="1543"/>
      <c r="M8" s="1543"/>
      <c r="N8" s="1543"/>
      <c r="O8" s="1543"/>
      <c r="P8" s="1543"/>
      <c r="Q8" s="1543"/>
      <c r="R8" s="1543"/>
      <c r="S8" s="1543"/>
      <c r="T8" s="1543"/>
      <c r="U8" s="1543"/>
      <c r="V8" s="1543"/>
      <c r="W8" s="1543"/>
      <c r="X8" s="1544"/>
    </row>
    <row r="9" spans="1:32" s="33" customFormat="1" ht="27.6" customHeight="1" thickBot="1">
      <c r="B9" s="30"/>
      <c r="C9" s="30"/>
      <c r="D9" s="1315" t="s">
        <v>282</v>
      </c>
      <c r="E9" s="1317" t="s">
        <v>313</v>
      </c>
      <c r="F9" s="1317" t="s">
        <v>313</v>
      </c>
      <c r="G9" s="1539" t="s">
        <v>285</v>
      </c>
      <c r="H9" s="1315" t="s">
        <v>269</v>
      </c>
      <c r="I9" s="1313" t="s">
        <v>286</v>
      </c>
      <c r="J9" s="1546" t="s">
        <v>270</v>
      </c>
      <c r="K9" s="1313" t="s">
        <v>286</v>
      </c>
      <c r="L9" s="1552" t="s">
        <v>271</v>
      </c>
      <c r="M9" s="1552"/>
      <c r="N9" s="1552"/>
      <c r="O9" s="1552" t="s">
        <v>336</v>
      </c>
      <c r="P9" s="1552"/>
      <c r="Q9" s="1552"/>
      <c r="R9" s="1552"/>
      <c r="S9" s="1552"/>
      <c r="T9" s="1552"/>
      <c r="U9" s="1552" t="s">
        <v>337</v>
      </c>
      <c r="V9" s="1552"/>
      <c r="W9" s="1552"/>
      <c r="X9" s="1552"/>
      <c r="Y9" s="1535" t="s">
        <v>358</v>
      </c>
      <c r="Z9" s="1548"/>
      <c r="AA9" s="1548" t="s">
        <v>368</v>
      </c>
      <c r="AB9" s="1534" t="s">
        <v>316</v>
      </c>
      <c r="AC9" s="1532" t="s">
        <v>276</v>
      </c>
      <c r="AD9" s="1533"/>
      <c r="AE9" s="30"/>
      <c r="AF9" s="30"/>
    </row>
    <row r="10" spans="1:32" ht="57" customHeight="1" thickBot="1">
      <c r="A10" s="101" t="s">
        <v>280</v>
      </c>
      <c r="C10" s="30" t="s">
        <v>369</v>
      </c>
      <c r="D10" s="1538"/>
      <c r="E10" s="1541"/>
      <c r="F10" s="1541"/>
      <c r="G10" s="1540"/>
      <c r="H10" s="1538"/>
      <c r="I10" s="1545"/>
      <c r="J10" s="1547"/>
      <c r="K10" s="1545"/>
      <c r="L10" s="668" t="s">
        <v>271</v>
      </c>
      <c r="M10" s="840" t="s">
        <v>271</v>
      </c>
      <c r="N10" s="667" t="s">
        <v>317</v>
      </c>
      <c r="O10" s="668" t="s">
        <v>318</v>
      </c>
      <c r="P10" s="840" t="s">
        <v>370</v>
      </c>
      <c r="Q10" s="840" t="s">
        <v>320</v>
      </c>
      <c r="R10" s="840" t="s">
        <v>321</v>
      </c>
      <c r="S10" s="840" t="s">
        <v>322</v>
      </c>
      <c r="T10" s="667" t="s">
        <v>323</v>
      </c>
      <c r="U10" s="668" t="s">
        <v>324</v>
      </c>
      <c r="V10" s="840" t="s">
        <v>325</v>
      </c>
      <c r="W10" s="840" t="s">
        <v>326</v>
      </c>
      <c r="X10" s="667" t="s">
        <v>327</v>
      </c>
      <c r="Y10" s="853" t="s">
        <v>361</v>
      </c>
      <c r="Z10" s="821" t="s">
        <v>358</v>
      </c>
      <c r="AA10" s="1535"/>
      <c r="AB10" s="1537"/>
      <c r="AC10" s="214" t="s">
        <v>295</v>
      </c>
      <c r="AD10" s="748" t="s">
        <v>296</v>
      </c>
      <c r="AE10" s="682" t="s">
        <v>297</v>
      </c>
      <c r="AF10" s="682" t="s">
        <v>363</v>
      </c>
    </row>
    <row r="11" spans="1:32" ht="15">
      <c r="A11" s="30" t="str">
        <f>IFERROR(INDEX('G-8 Condition Look up'!$I$4:$I$135,MATCH(F11,'G-8 Condition Look up'!$A$4:$A$135,0)),"")</f>
        <v/>
      </c>
      <c r="C11" s="75" t="str">
        <f>IFERROR(INDEX('G-1 All Habitats'!$AG$3:$AG$17,MATCH(D11,'G-1 All Habitats'!$AF$3:$AF$17,0)),"")</f>
        <v/>
      </c>
      <c r="D11" s="841"/>
      <c r="E11" s="842"/>
      <c r="F11" s="843" t="str">
        <f>IFERROR(INDEX('G-1 All Habitats'!$B$3:$B$135,MATCH(E11,'G-1 All Habitats'!$A$3:$A$135,0)),"")</f>
        <v/>
      </c>
      <c r="G11" s="844"/>
      <c r="H11" s="443" t="str">
        <f>IF(F11="","",VLOOKUP(F11,'G-1 All Habitats'!$B$2:$M$134,10,FALSE))</f>
        <v/>
      </c>
      <c r="I11" s="790" t="str">
        <f>IFERROR(VLOOKUP(H11,'G-1 All Habitats'!$V$3:$W$7,2,FALSE),"")</f>
        <v/>
      </c>
      <c r="J11" s="845"/>
      <c r="K11" s="790" t="str">
        <f>IFERROR(INDEX('G-8 Condition Look up'!$A$3:$H$135,MATCH(F11,'G-8 Condition Look up'!$A$3:$A$135,0),MATCH(J11,'G-8 Condition Look up'!$A$3:$H$3,0)),"")</f>
        <v/>
      </c>
      <c r="L11" s="841"/>
      <c r="M11" s="846" t="str">
        <f>IF(L11="","",IF(VLOOKUP(L11,'G-3 Multipliers'!$L$3:$N$6,2,FALSE)=0,"Spatial Data Missing ⚠",VLOOKUP(L11,'G-3 Multipliers'!$L$3:$N$6,2,FALSE)))</f>
        <v/>
      </c>
      <c r="N11" s="790" t="str">
        <f>IF(L11="","",IF(VLOOKUP(L11,'G-3 Multipliers'!$L$3:$N$6,3,FALSE)=0,"Spatial Data Missing ⚠",VLOOKUP(L11,'G-3 Multipliers'!$L$3:$N$6,3,FALSE)))</f>
        <v/>
      </c>
      <c r="O11" s="443" t="str">
        <f>IFERROR(INDEX(TemporalData,MATCH(F11,TemporalHabitats,0),MATCH(J11,TemporalConditions,0)),"")</f>
        <v/>
      </c>
      <c r="P11" s="842"/>
      <c r="Q11" s="842"/>
      <c r="R11" s="367" t="str">
        <f>IF(E11="","",IF(AND(P11&gt;0,Q11&gt;0),"Error -both advance and delayed habitat creation ▲",IF(AND(OR(P11="Habitat already in target condition",O11&lt;=P11),Q11=0,I11&gt;0),"Check details - Is there evidence that habitat has reached target condition? ⚠",IF(O11="","",IF(AND(P11&gt;=AF11,P11&gt;0),"Check details - Is there evidence habitat creation started and the threshold for Poor condition reached? ⚠",IF(Q11&gt;0,"Check details- Delay in starting habitat in required condition? ⚠",IF(P11&gt;0,"Check details - Is there evidence habitat creation started/in place? ⚠","Standard time to target condition applied")))))))</f>
        <v/>
      </c>
      <c r="S11" s="446" t="str">
        <f t="shared" ref="S11:S74" si="0">IF(R11="Error -both advance and delayed habitat creation ▲","Check Data ⚠",IF(O11="Not Possible","Check Data ⚠",IF(O11="","",IF(AND(O11="30+",P11=0),"30+",IF(AND(O11="30+",P11="30+"),0,IF(AND(O11="30+",P11&lt;32),30-P11,IF(O11="30+",30-P11,IF(P11&gt;O11,0,IF(Q11="30+","30+",IF(O11+Q11&gt;30,"30+",IF(O11+Q11&gt;30,"30+",IF(O11-P11&gt;30,"30+",IF(O11+Q11-P11&gt;0,O11+Q11-P11,IF(O11-P11&gt;0,O11-P11,O11+Q11-P11))))))))))))))</f>
        <v/>
      </c>
      <c r="T11" s="814" t="str">
        <f>IFERROR(IF(S11="Check Data ⚠","Check Data ⚠",VLOOKUP(S11,'G-4 Temporal multipliers'!$A$4:$C$37,3,FALSE)),"")</f>
        <v/>
      </c>
      <c r="U11" s="815" t="str">
        <f>IF(F11="","",VLOOKUP(F11,'G-3 Multipliers'!$A$2:$E$134,2,FALSE))</f>
        <v/>
      </c>
      <c r="V11" s="367" t="str">
        <f>IF(F11="","",IF($R11="Check details - Is there evidence that habitat has reached target condition? ⚠","Low Difficulty - only applicable if all habitat created before losses ⚠",IF($R11="Check details - Is there evidence habitat creation started and the threshold for Poor condition reached? ⚠","Enhancement difficulty applied","Standard difficulty applied")))</f>
        <v/>
      </c>
      <c r="W11" s="367" t="str">
        <f>IF(E11="","",IF(AND(V11="Standard difficulty applied",O11&gt;P11),U11,IF(AND(V11="Low Difficulty - only applicable if all habitat created before losses ⚠",P11&gt;=O11),"Low",VLOOKUP(F11,'G-3 Multipliers'!$A$2:$E$134,4,FALSE))))</f>
        <v/>
      </c>
      <c r="X11" s="790" t="str">
        <f>IFERROR(IF(E11="","",VLOOKUP(W11, 'G-3 Multipliers'!$P$2:$Q$6,2,FALSE)),"")</f>
        <v/>
      </c>
      <c r="Y11" s="578"/>
      <c r="Z11" s="447" t="str">
        <f>IF(Y11="","",IF(VLOOKUP(Y11,'G-3 Multipliers'!$S$3:$T$10,2,FALSE)=0,"Spatial Data Missing ⚠",VLOOKUP(Y11,'G-3 Multipliers'!$S$3:$T$10,2,FALSE)))</f>
        <v/>
      </c>
      <c r="AA11" s="847" t="str">
        <f t="shared" ref="AA11:AA74" si="1">IFERROR(G11*I11*K11*N11*T11*X11*Z11,"")</f>
        <v/>
      </c>
      <c r="AB11" s="848" t="str">
        <f>IFERROR(IF(Y11="","",G11*I11*K11*N11*T11*X11),"")</f>
        <v/>
      </c>
      <c r="AC11" s="136"/>
      <c r="AD11" s="531"/>
      <c r="AE11" s="137"/>
      <c r="AF11" s="137"/>
    </row>
    <row r="12" spans="1:32" ht="15">
      <c r="A12" s="30" t="str">
        <f>IFERROR(INDEX('G-8 Condition Look up'!$I$4:$I$135,MATCH(F12,'G-8 Condition Look up'!$A$4:$A$135,0)),"")</f>
        <v/>
      </c>
      <c r="C12" s="75" t="str">
        <f>IFERROR(INDEX('G-1 All Habitats'!$AG$3:$AG$17,MATCH(D12,'G-1 All Habitats'!$AF$3:$AF$17,0)),"")</f>
        <v/>
      </c>
      <c r="D12" s="122"/>
      <c r="E12" s="165"/>
      <c r="F12" s="198" t="str">
        <f>IFERROR(INDEX('G-1 All Habitats'!$B$3:$B$135,MATCH(E12,'G-1 All Habitats'!$A$3:$A$135,0)),"")</f>
        <v/>
      </c>
      <c r="G12" s="300"/>
      <c r="H12" s="398" t="str">
        <f>IF(F12="","",VLOOKUP(F12,'G-1 All Habitats'!$B$2:$M$134,10,FALSE))</f>
        <v/>
      </c>
      <c r="I12" s="386" t="str">
        <f>IFERROR(VLOOKUP(H12,'G-1 All Habitats'!$V$3:$W$7,2,FALSE),"")</f>
        <v/>
      </c>
      <c r="J12" s="162"/>
      <c r="K12" s="386" t="str">
        <f>IFERROR(INDEX('G-8 Condition Look up'!$A$3:$H$135,MATCH(F12,'G-8 Condition Look up'!$A$3:$A$135,0),MATCH(J12,'G-8 Condition Look up'!$A$3:$H$3,0)),"")</f>
        <v/>
      </c>
      <c r="L12" s="114"/>
      <c r="M12" s="401" t="str">
        <f>IF(L12="","",IF(VLOOKUP(L12,'G-3 Multipliers'!$L$3:$N$6,2,FALSE)=0,"Spatial Data Missing ⚠",VLOOKUP(L12,'G-3 Multipliers'!$L$3:$N$6,2,FALSE)))</f>
        <v/>
      </c>
      <c r="N12" s="363" t="str">
        <f>IF(L12="","",IF(VLOOKUP(L12,'G-3 Multipliers'!$L$3:$N$6,3,FALSE)=0,"Spatial Data Missing ⚠",VLOOKUP(L12,'G-3 Multipliers'!$L$3:$N$6,3,FALSE)))</f>
        <v/>
      </c>
      <c r="O12" s="362" t="str">
        <f t="shared" ref="O12:O74" si="2">IFERROR(INDEX(TemporalData,MATCH(F12,TemporalHabitats,0),MATCH(J12,TemporalConditions,0)),"")</f>
        <v/>
      </c>
      <c r="P12" s="159"/>
      <c r="Q12" s="159"/>
      <c r="R12" s="382" t="str">
        <f t="shared" ref="R12:R74" si="3">IF(E12="","",IF(AND(P12&gt;0,Q12&gt;0),"Error -both advance and delayed habitat creation ▲",IF(AND(OR(P12="Habitat already in target condition",O12&lt;=P12),Q12=0,I12&gt;0),"Check details - Is there evidence that habitat has reached target condition? ⚠",IF(O12="","",IF(AND(P12&gt;=AF12,P12&gt;0),"Check details - Is there evidence habitat creation started and the threshold for Poor condition reached? ⚠",IF(Q12&gt;0,"Check details- Delay in starting habitat in required condition? ⚠",IF(P12&gt;0,"Check details - Is there evidence habitat creation started/in place? ⚠","Standard time to target condition applied")))))))</f>
        <v/>
      </c>
      <c r="S12" s="404" t="str">
        <f t="shared" si="0"/>
        <v/>
      </c>
      <c r="T12" s="387" t="str">
        <f>IFERROR(IF(S12="Check Data ⚠","Check Data ⚠",VLOOKUP(S12,'G-4 Temporal multipliers'!$A$4:$C$37,3,FALSE)),"")</f>
        <v/>
      </c>
      <c r="U12" s="385" t="str">
        <f>IF(F12="","",VLOOKUP(F12,'G-3 Multipliers'!$A$2:$E$134,2,FALSE))</f>
        <v/>
      </c>
      <c r="V12" s="382" t="str">
        <f>IF(F12="","",IF($R12="Check details - Is there evidence that habitat has reached target condition? ⚠","Low Difficulty - only applicable if all habitat created before losses ⚠",IF($R12="Check details - Is there evidence habitat creation started and the threshold for Poor condition reached? ⚠","Enhancement difficulty applied","Standard difficulty applied")))</f>
        <v/>
      </c>
      <c r="W12" s="382" t="str">
        <f>IF(E12="","",IF(AND(V12="Standard difficulty applied",O12&gt;P12),U12,IF(AND(V12="Low Difficulty - only applicable if all habitat created before losses ⚠",P12&gt;=O12),"Low",VLOOKUP(F12,'G-3 Multipliers'!$A$2:$E$134,4,FALSE))))</f>
        <v/>
      </c>
      <c r="X12" s="386" t="str">
        <f>IFERROR(IF(E12="","",VLOOKUP(W12, 'G-3 Multipliers'!$P$2:$Q$6,2,FALSE)),"")</f>
        <v/>
      </c>
      <c r="Y12" s="516"/>
      <c r="Z12" s="724" t="str">
        <f>IF(Y12="","",IF(VLOOKUP(Y12,'G-3 Multipliers'!$S$3:$T$10,2,FALSE)=0,"Spatial Data Missing ⚠",VLOOKUP(Y12,'G-3 Multipliers'!$S$3:$T$10,2,FALSE)))</f>
        <v/>
      </c>
      <c r="AA12" s="741" t="str">
        <f t="shared" si="1"/>
        <v/>
      </c>
      <c r="AB12" s="405" t="str">
        <f t="shared" ref="AB12:AB75" si="4">IFERROR(IF(Y12="","",G12*I12*K12*N12*T12*X12),"")</f>
        <v/>
      </c>
      <c r="AC12" s="119"/>
      <c r="AD12" s="528"/>
      <c r="AE12" s="120"/>
      <c r="AF12" s="120"/>
    </row>
    <row r="13" spans="1:32" ht="15">
      <c r="A13" s="30" t="str">
        <f>IFERROR(INDEX('G-8 Condition Look up'!$I$4:$I$135,MATCH(F13,'G-8 Condition Look up'!$A$4:$A$135,0)),"")</f>
        <v/>
      </c>
      <c r="C13" s="75" t="str">
        <f>IFERROR(INDEX('G-1 All Habitats'!$AG$3:$AG$17,MATCH(D13,'G-1 All Habitats'!$AF$3:$AF$17,0)),"")</f>
        <v/>
      </c>
      <c r="D13" s="122"/>
      <c r="E13" s="165"/>
      <c r="F13" s="198" t="str">
        <f>IFERROR(INDEX('G-1 All Habitats'!$B$3:$B$135,MATCH(E13,'G-1 All Habitats'!$A$3:$A$135,0)),"")</f>
        <v/>
      </c>
      <c r="G13" s="300"/>
      <c r="H13" s="398" t="str">
        <f>IF(F13="","",VLOOKUP(F13,'G-1 All Habitats'!$B$2:$M$134,10,FALSE))</f>
        <v/>
      </c>
      <c r="I13" s="386" t="str">
        <f>IFERROR(VLOOKUP(H13,'G-1 All Habitats'!$V$3:$W$7,2,FALSE),"")</f>
        <v/>
      </c>
      <c r="J13" s="162"/>
      <c r="K13" s="386" t="str">
        <f>IFERROR(INDEX('G-8 Condition Look up'!$A$3:$H$135,MATCH(F13,'G-8 Condition Look up'!$A$3:$A$135,0),MATCH(J13,'G-8 Condition Look up'!$A$3:$H$3,0)),"")</f>
        <v/>
      </c>
      <c r="L13" s="114"/>
      <c r="M13" s="401" t="str">
        <f>IF(L13="","",IF(VLOOKUP(L13,'G-3 Multipliers'!$L$3:$N$6,2,FALSE)=0,"Spatial Data Missing ⚠",VLOOKUP(L13,'G-3 Multipliers'!$L$3:$N$6,2,FALSE)))</f>
        <v/>
      </c>
      <c r="N13" s="363" t="str">
        <f>IF(L13="","",IF(VLOOKUP(L13,'G-3 Multipliers'!$L$3:$N$6,3,FALSE)=0,"Spatial Data Missing ⚠",VLOOKUP(L13,'G-3 Multipliers'!$L$3:$N$6,3,FALSE)))</f>
        <v/>
      </c>
      <c r="O13" s="362" t="str">
        <f t="shared" si="2"/>
        <v/>
      </c>
      <c r="P13" s="159"/>
      <c r="Q13" s="159"/>
      <c r="R13" s="382" t="str">
        <f t="shared" si="3"/>
        <v/>
      </c>
      <c r="S13" s="404" t="str">
        <f t="shared" si="0"/>
        <v/>
      </c>
      <c r="T13" s="387" t="str">
        <f>IFERROR(IF(S13="Check Data ⚠","Check Data ⚠",VLOOKUP(S13,'G-4 Temporal multipliers'!$A$4:$C$37,3,FALSE)),"")</f>
        <v/>
      </c>
      <c r="U13" s="385" t="str">
        <f>IF(F13="","",VLOOKUP(F13,'G-3 Multipliers'!$A$2:$E$134,2,FALSE))</f>
        <v/>
      </c>
      <c r="V13" s="382" t="str">
        <f t="shared" ref="V13:V76" si="5">IF(F13="","",IF($R13="Check details - Is there evidence that habitat has reached target condition? ⚠","Low Difficulty - only applicable if all habitat created before losses ⚠",IF($R13="Check details - Is there evidence habitat creation started and the threshold for Poor condition reached? ⚠","Enhancement difficulty applied","Standard difficulty applied")))</f>
        <v/>
      </c>
      <c r="W13" s="382" t="str">
        <f>IF(E13="","",IF(AND(V13="Standard difficulty applied",O13&gt;P13),U13,IF(AND(V13="Low Difficulty - only applicable if all habitat created before losses ⚠",P13&gt;=O13),"Low",VLOOKUP(F13,'G-3 Multipliers'!$A$2:$E$134,4,FALSE))))</f>
        <v/>
      </c>
      <c r="X13" s="386" t="str">
        <f>IFERROR(IF(E13="","",VLOOKUP(W13, 'G-3 Multipliers'!$P$2:$Q$6,2,FALSE)),"")</f>
        <v/>
      </c>
      <c r="Y13" s="516"/>
      <c r="Z13" s="724" t="str">
        <f>IF(Y13="","",IF(VLOOKUP(Y13,'G-3 Multipliers'!$S$3:$T$10,2,FALSE)=0,"Spatial Data Missing ⚠",VLOOKUP(Y13,'G-3 Multipliers'!$S$3:$T$10,2,FALSE)))</f>
        <v/>
      </c>
      <c r="AA13" s="741" t="str">
        <f t="shared" si="1"/>
        <v/>
      </c>
      <c r="AB13" s="405" t="str">
        <f t="shared" si="4"/>
        <v/>
      </c>
      <c r="AC13" s="119"/>
      <c r="AD13" s="528"/>
      <c r="AE13" s="120"/>
      <c r="AF13" s="120"/>
    </row>
    <row r="14" spans="1:32" ht="15">
      <c r="A14" s="30" t="str">
        <f>IFERROR(INDEX('G-8 Condition Look up'!$I$4:$I$135,MATCH(F14,'G-8 Condition Look up'!$A$4:$A$135,0)),"")</f>
        <v/>
      </c>
      <c r="C14" s="75" t="str">
        <f>IFERROR(INDEX('G-1 All Habitats'!$AG$3:$AG$17,MATCH(D14,'G-1 All Habitats'!$AF$3:$AF$17,0)),"")</f>
        <v/>
      </c>
      <c r="D14" s="122"/>
      <c r="E14" s="165"/>
      <c r="F14" s="198" t="str">
        <f>IFERROR(INDEX('G-1 All Habitats'!$B$3:$B$135,MATCH(E14,'G-1 All Habitats'!$A$3:$A$135,0)),"")</f>
        <v/>
      </c>
      <c r="G14" s="300"/>
      <c r="H14" s="398" t="str">
        <f>IF(F14="","",VLOOKUP(F14,'G-1 All Habitats'!$B$2:$M$134,10,FALSE))</f>
        <v/>
      </c>
      <c r="I14" s="386" t="str">
        <f>IFERROR(VLOOKUP(H14,'G-1 All Habitats'!$V$3:$W$7,2,FALSE),"")</f>
        <v/>
      </c>
      <c r="J14" s="162"/>
      <c r="K14" s="386" t="str">
        <f>IFERROR(INDEX('G-8 Condition Look up'!$A$3:$H$135,MATCH(F14,'G-8 Condition Look up'!$A$3:$A$135,0),MATCH(J14,'G-8 Condition Look up'!$A$3:$H$3,0)),"")</f>
        <v/>
      </c>
      <c r="L14" s="114"/>
      <c r="M14" s="401" t="str">
        <f>IF(L14="","",IF(VLOOKUP(L14,'G-3 Multipliers'!$L$3:$N$6,2,FALSE)=0,"Spatial Data Missing ⚠",VLOOKUP(L14,'G-3 Multipliers'!$L$3:$N$6,2,FALSE)))</f>
        <v/>
      </c>
      <c r="N14" s="363" t="str">
        <f>IF(L14="","",IF(VLOOKUP(L14,'G-3 Multipliers'!$L$3:$N$6,3,FALSE)=0,"Spatial Data Missing ⚠",VLOOKUP(L14,'G-3 Multipliers'!$L$3:$N$6,3,FALSE)))</f>
        <v/>
      </c>
      <c r="O14" s="362" t="str">
        <f t="shared" si="2"/>
        <v/>
      </c>
      <c r="P14" s="159"/>
      <c r="Q14" s="159"/>
      <c r="R14" s="382" t="str">
        <f t="shared" si="3"/>
        <v/>
      </c>
      <c r="S14" s="404" t="str">
        <f t="shared" si="0"/>
        <v/>
      </c>
      <c r="T14" s="387" t="str">
        <f>IFERROR(IF(S14="Check Data ⚠","Check Data ⚠",VLOOKUP(S14,'G-4 Temporal multipliers'!$A$4:$C$37,3,FALSE)),"")</f>
        <v/>
      </c>
      <c r="U14" s="385" t="str">
        <f>IF(F14="","",VLOOKUP(F14,'G-3 Multipliers'!$A$2:$E$134,2,FALSE))</f>
        <v/>
      </c>
      <c r="V14" s="382" t="str">
        <f t="shared" si="5"/>
        <v/>
      </c>
      <c r="W14" s="382" t="str">
        <f>IF(E14="","",IF(AND(V14="Standard difficulty applied",O14&gt;P14),U14,IF(AND(V14="Low Difficulty - only applicable if all habitat created before losses ⚠",P14&gt;=O14),"Low",VLOOKUP(F14,'G-3 Multipliers'!$A$2:$E$134,4,FALSE))))</f>
        <v/>
      </c>
      <c r="X14" s="386" t="str">
        <f>IFERROR(IF(E14="","",VLOOKUP(W14, 'G-3 Multipliers'!$P$2:$Q$6,2,FALSE)),"")</f>
        <v/>
      </c>
      <c r="Y14" s="516"/>
      <c r="Z14" s="724" t="str">
        <f>IF(Y14="","",IF(VLOOKUP(Y14,'G-3 Multipliers'!$S$3:$T$10,2,FALSE)=0,"Spatial Data Missing ⚠",VLOOKUP(Y14,'G-3 Multipliers'!$S$3:$T$10,2,FALSE)))</f>
        <v/>
      </c>
      <c r="AA14" s="741" t="str">
        <f t="shared" si="1"/>
        <v/>
      </c>
      <c r="AB14" s="405" t="str">
        <f t="shared" si="4"/>
        <v/>
      </c>
      <c r="AC14" s="119"/>
      <c r="AD14" s="528"/>
      <c r="AE14" s="120"/>
      <c r="AF14" s="120"/>
    </row>
    <row r="15" spans="1:32" ht="15">
      <c r="A15" s="30" t="str">
        <f>IFERROR(INDEX('G-8 Condition Look up'!$I$4:$I$135,MATCH(F15,'G-8 Condition Look up'!$A$4:$A$135,0)),"")</f>
        <v/>
      </c>
      <c r="C15" s="75" t="str">
        <f>IFERROR(INDEX('G-1 All Habitats'!$AG$3:$AG$17,MATCH(D15,'G-1 All Habitats'!$AF$3:$AF$17,0)),"")</f>
        <v/>
      </c>
      <c r="D15" s="122"/>
      <c r="E15" s="165"/>
      <c r="F15" s="198" t="str">
        <f>IFERROR(INDEX('G-1 All Habitats'!$B$3:$B$135,MATCH(E15,'G-1 All Habitats'!$A$3:$A$135,0)),"")</f>
        <v/>
      </c>
      <c r="G15" s="300"/>
      <c r="H15" s="398" t="str">
        <f>IF(F15="","",VLOOKUP(F15,'G-1 All Habitats'!$B$2:$M$134,10,FALSE))</f>
        <v/>
      </c>
      <c r="I15" s="386" t="str">
        <f>IFERROR(VLOOKUP(H15,'G-1 All Habitats'!$V$3:$W$7,2,FALSE),"")</f>
        <v/>
      </c>
      <c r="J15" s="162"/>
      <c r="K15" s="386" t="str">
        <f>IFERROR(INDEX('G-8 Condition Look up'!$A$3:$H$135,MATCH(F15,'G-8 Condition Look up'!$A$3:$A$135,0),MATCH(J15,'G-8 Condition Look up'!$A$3:$H$3,0)),"")</f>
        <v/>
      </c>
      <c r="L15" s="114"/>
      <c r="M15" s="401" t="str">
        <f>IF(L15="","",IF(VLOOKUP(L15,'G-3 Multipliers'!$L$3:$N$6,2,FALSE)=0,"Spatial Data Missing ⚠",VLOOKUP(L15,'G-3 Multipliers'!$L$3:$N$6,2,FALSE)))</f>
        <v/>
      </c>
      <c r="N15" s="363" t="str">
        <f>IF(L15="","",IF(VLOOKUP(L15,'G-3 Multipliers'!$L$3:$N$6,3,FALSE)=0,"Spatial Data Missing ⚠",VLOOKUP(L15,'G-3 Multipliers'!$L$3:$N$6,3,FALSE)))</f>
        <v/>
      </c>
      <c r="O15" s="362" t="str">
        <f t="shared" si="2"/>
        <v/>
      </c>
      <c r="P15" s="159"/>
      <c r="Q15" s="159"/>
      <c r="R15" s="382" t="str">
        <f t="shared" si="3"/>
        <v/>
      </c>
      <c r="S15" s="404" t="str">
        <f t="shared" si="0"/>
        <v/>
      </c>
      <c r="T15" s="387" t="str">
        <f>IFERROR(IF(S15="Check Data ⚠","Check Data ⚠",VLOOKUP(S15,'G-4 Temporal multipliers'!$A$4:$C$37,3,FALSE)),"")</f>
        <v/>
      </c>
      <c r="U15" s="385" t="str">
        <f>IF(F15="","",VLOOKUP(F15,'G-3 Multipliers'!$A$2:$E$134,2,FALSE))</f>
        <v/>
      </c>
      <c r="V15" s="382" t="str">
        <f t="shared" si="5"/>
        <v/>
      </c>
      <c r="W15" s="382" t="str">
        <f>IF(E15="","",IF(AND(V15="Standard difficulty applied",O15&gt;P15),U15,IF(AND(V15="Low Difficulty - only applicable if all habitat created before losses ⚠",P15&gt;=O15),"Low",VLOOKUP(F15,'G-3 Multipliers'!$A$2:$E$134,4,FALSE))))</f>
        <v/>
      </c>
      <c r="X15" s="386" t="str">
        <f>IFERROR(IF(E15="","",VLOOKUP(W15, 'G-3 Multipliers'!$P$2:$Q$6,2,FALSE)),"")</f>
        <v/>
      </c>
      <c r="Y15" s="516"/>
      <c r="Z15" s="724" t="str">
        <f>IF(Y15="","",IF(VLOOKUP(Y15,'G-3 Multipliers'!$S$3:$T$10,2,FALSE)=0,"Spatial Data Missing ⚠",VLOOKUP(Y15,'G-3 Multipliers'!$S$3:$T$10,2,FALSE)))</f>
        <v/>
      </c>
      <c r="AA15" s="741" t="str">
        <f t="shared" si="1"/>
        <v/>
      </c>
      <c r="AB15" s="405" t="str">
        <f t="shared" si="4"/>
        <v/>
      </c>
      <c r="AC15" s="119"/>
      <c r="AD15" s="528"/>
      <c r="AE15" s="120"/>
      <c r="AF15" s="120"/>
    </row>
    <row r="16" spans="1:32" ht="15">
      <c r="A16" s="30" t="str">
        <f>IFERROR(INDEX('G-8 Condition Look up'!$I$4:$I$135,MATCH(F16,'G-8 Condition Look up'!$A$4:$A$135,0)),"")</f>
        <v/>
      </c>
      <c r="C16" s="75" t="str">
        <f>IFERROR(INDEX('G-1 All Habitats'!$AG$3:$AG$17,MATCH(D16,'G-1 All Habitats'!$AF$3:$AF$17,0)),"")</f>
        <v/>
      </c>
      <c r="D16" s="122"/>
      <c r="E16" s="165"/>
      <c r="F16" s="198" t="str">
        <f>IFERROR(INDEX('G-1 All Habitats'!$B$3:$B$135,MATCH(E16,'G-1 All Habitats'!$A$3:$A$135,0)),"")</f>
        <v/>
      </c>
      <c r="G16" s="300"/>
      <c r="H16" s="398" t="str">
        <f>IF(F16="","",VLOOKUP(F16,'G-1 All Habitats'!$B$2:$M$134,10,FALSE))</f>
        <v/>
      </c>
      <c r="I16" s="386" t="str">
        <f>IFERROR(VLOOKUP(H16,'G-1 All Habitats'!$V$3:$W$7,2,FALSE),"")</f>
        <v/>
      </c>
      <c r="J16" s="162"/>
      <c r="K16" s="386" t="str">
        <f>IFERROR(INDEX('G-8 Condition Look up'!$A$3:$H$135,MATCH(F16,'G-8 Condition Look up'!$A$3:$A$135,0),MATCH(J16,'G-8 Condition Look up'!$A$3:$H$3,0)),"")</f>
        <v/>
      </c>
      <c r="L16" s="114"/>
      <c r="M16" s="401" t="str">
        <f>IF(L16="","",IF(VLOOKUP(L16,'G-3 Multipliers'!$L$3:$N$6,2,FALSE)=0,"Spatial Data Missing ⚠",VLOOKUP(L16,'G-3 Multipliers'!$L$3:$N$6,2,FALSE)))</f>
        <v/>
      </c>
      <c r="N16" s="363" t="str">
        <f>IF(L16="","",IF(VLOOKUP(L16,'G-3 Multipliers'!$L$3:$N$6,3,FALSE)=0,"Spatial Data Missing ⚠",VLOOKUP(L16,'G-3 Multipliers'!$L$3:$N$6,3,FALSE)))</f>
        <v/>
      </c>
      <c r="O16" s="362" t="str">
        <f t="shared" si="2"/>
        <v/>
      </c>
      <c r="P16" s="159"/>
      <c r="Q16" s="159"/>
      <c r="R16" s="382" t="str">
        <f t="shared" si="3"/>
        <v/>
      </c>
      <c r="S16" s="404" t="str">
        <f t="shared" si="0"/>
        <v/>
      </c>
      <c r="T16" s="387" t="str">
        <f>IFERROR(IF(S16="Check Data ⚠","Check Data ⚠",VLOOKUP(S16,'G-4 Temporal multipliers'!$A$4:$C$37,3,FALSE)),"")</f>
        <v/>
      </c>
      <c r="U16" s="385" t="str">
        <f>IF(F16="","",VLOOKUP(F16,'G-3 Multipliers'!$A$2:$E$134,2,FALSE))</f>
        <v/>
      </c>
      <c r="V16" s="382" t="str">
        <f t="shared" si="5"/>
        <v/>
      </c>
      <c r="W16" s="382" t="str">
        <f>IF(E16="","",IF(AND(V16="Standard difficulty applied",O16&gt;P16),U16,IF(AND(V16="Low Difficulty - only applicable if all habitat created before losses ⚠",P16&gt;=O16),"Low",VLOOKUP(F16,'G-3 Multipliers'!$A$2:$E$134,4,FALSE))))</f>
        <v/>
      </c>
      <c r="X16" s="386" t="str">
        <f>IFERROR(IF(E16="","",VLOOKUP(W16, 'G-3 Multipliers'!$P$2:$Q$6,2,FALSE)),"")</f>
        <v/>
      </c>
      <c r="Y16" s="516"/>
      <c r="Z16" s="724" t="str">
        <f>IF(Y16="","",IF(VLOOKUP(Y16,'G-3 Multipliers'!$S$3:$T$10,2,FALSE)=0,"Spatial Data Missing ⚠",VLOOKUP(Y16,'G-3 Multipliers'!$S$3:$T$10,2,FALSE)))</f>
        <v/>
      </c>
      <c r="AA16" s="741" t="str">
        <f t="shared" si="1"/>
        <v/>
      </c>
      <c r="AB16" s="405" t="str">
        <f t="shared" si="4"/>
        <v/>
      </c>
      <c r="AC16" s="119"/>
      <c r="AD16" s="528"/>
      <c r="AE16" s="120"/>
      <c r="AF16" s="120"/>
    </row>
    <row r="17" spans="1:32" ht="15">
      <c r="A17" s="30" t="str">
        <f>IFERROR(INDEX('G-8 Condition Look up'!$I$4:$I$135,MATCH(F17,'G-8 Condition Look up'!$A$4:$A$135,0)),"")</f>
        <v/>
      </c>
      <c r="C17" s="75" t="str">
        <f>IFERROR(INDEX('G-1 All Habitats'!$AG$3:$AG$17,MATCH(D17,'G-1 All Habitats'!$AF$3:$AF$17,0)),"")</f>
        <v/>
      </c>
      <c r="D17" s="122"/>
      <c r="E17" s="165"/>
      <c r="F17" s="198" t="str">
        <f>IFERROR(INDEX('G-1 All Habitats'!$B$3:$B$135,MATCH(E17,'G-1 All Habitats'!$A$3:$A$135,0)),"")</f>
        <v/>
      </c>
      <c r="G17" s="300"/>
      <c r="H17" s="398" t="str">
        <f>IF(F17="","",VLOOKUP(F17,'G-1 All Habitats'!$B$2:$M$134,10,FALSE))</f>
        <v/>
      </c>
      <c r="I17" s="386" t="str">
        <f>IFERROR(VLOOKUP(H17,'G-1 All Habitats'!$V$3:$W$7,2,FALSE),"")</f>
        <v/>
      </c>
      <c r="J17" s="162"/>
      <c r="K17" s="386" t="str">
        <f>IFERROR(INDEX('G-8 Condition Look up'!$A$3:$H$135,MATCH(F17,'G-8 Condition Look up'!$A$3:$A$135,0),MATCH(J17,'G-8 Condition Look up'!$A$3:$H$3,0)),"")</f>
        <v/>
      </c>
      <c r="L17" s="114"/>
      <c r="M17" s="401" t="str">
        <f>IF(L17="","",IF(VLOOKUP(L17,'G-3 Multipliers'!$L$3:$N$6,2,FALSE)=0,"Spatial Data Missing ⚠",VLOOKUP(L17,'G-3 Multipliers'!$L$3:$N$6,2,FALSE)))</f>
        <v/>
      </c>
      <c r="N17" s="363" t="str">
        <f>IF(L17="","",IF(VLOOKUP(L17,'G-3 Multipliers'!$L$3:$N$6,3,FALSE)=0,"Spatial Data Missing ⚠",VLOOKUP(L17,'G-3 Multipliers'!$L$3:$N$6,3,FALSE)))</f>
        <v/>
      </c>
      <c r="O17" s="362" t="str">
        <f t="shared" si="2"/>
        <v/>
      </c>
      <c r="P17" s="159"/>
      <c r="Q17" s="159"/>
      <c r="R17" s="382" t="str">
        <f t="shared" si="3"/>
        <v/>
      </c>
      <c r="S17" s="404" t="str">
        <f t="shared" si="0"/>
        <v/>
      </c>
      <c r="T17" s="387" t="str">
        <f>IFERROR(IF(S17="Check Data ⚠","Check Data ⚠",VLOOKUP(S17,'G-4 Temporal multipliers'!$A$4:$C$37,3,FALSE)),"")</f>
        <v/>
      </c>
      <c r="U17" s="385" t="str">
        <f>IF(F17="","",VLOOKUP(F17,'G-3 Multipliers'!$A$2:$E$134,2,FALSE))</f>
        <v/>
      </c>
      <c r="V17" s="382" t="str">
        <f t="shared" si="5"/>
        <v/>
      </c>
      <c r="W17" s="382" t="str">
        <f>IF(E17="","",IF(AND(V17="Standard difficulty applied",O17&gt;P17),U17,IF(AND(V17="Low Difficulty - only applicable if all habitat created before losses ⚠",P17&gt;=O17),"Low",VLOOKUP(F17,'G-3 Multipliers'!$A$2:$E$134,4,FALSE))))</f>
        <v/>
      </c>
      <c r="X17" s="386" t="str">
        <f>IFERROR(IF(E17="","",VLOOKUP(W17, 'G-3 Multipliers'!$P$2:$Q$6,2,FALSE)),"")</f>
        <v/>
      </c>
      <c r="Y17" s="516"/>
      <c r="Z17" s="724" t="str">
        <f>IF(Y17="","",IF(VLOOKUP(Y17,'G-3 Multipliers'!$S$3:$T$10,2,FALSE)=0,"Spatial Data Missing ⚠",VLOOKUP(Y17,'G-3 Multipliers'!$S$3:$T$10,2,FALSE)))</f>
        <v/>
      </c>
      <c r="AA17" s="741" t="str">
        <f t="shared" si="1"/>
        <v/>
      </c>
      <c r="AB17" s="405" t="str">
        <f t="shared" si="4"/>
        <v/>
      </c>
      <c r="AC17" s="119"/>
      <c r="AD17" s="528"/>
      <c r="AE17" s="120"/>
      <c r="AF17" s="120"/>
    </row>
    <row r="18" spans="1:32" ht="15">
      <c r="A18" s="30" t="str">
        <f>IFERROR(INDEX('G-8 Condition Look up'!$I$4:$I$135,MATCH(F18,'G-8 Condition Look up'!$A$4:$A$135,0)),"")</f>
        <v/>
      </c>
      <c r="C18" s="75" t="str">
        <f>IFERROR(INDEX('G-1 All Habitats'!$AG$3:$AG$17,MATCH(D18,'G-1 All Habitats'!$AF$3:$AF$17,0)),"")</f>
        <v/>
      </c>
      <c r="D18" s="122"/>
      <c r="E18" s="165"/>
      <c r="F18" s="198" t="str">
        <f>IFERROR(INDEX('G-1 All Habitats'!$B$3:$B$135,MATCH(E18,'G-1 All Habitats'!$A$3:$A$135,0)),"")</f>
        <v/>
      </c>
      <c r="G18" s="300"/>
      <c r="H18" s="398" t="str">
        <f>IF(F18="","",VLOOKUP(F18,'G-1 All Habitats'!$B$2:$M$134,10,FALSE))</f>
        <v/>
      </c>
      <c r="I18" s="386" t="str">
        <f>IFERROR(VLOOKUP(H18,'G-1 All Habitats'!$V$3:$W$7,2,FALSE),"")</f>
        <v/>
      </c>
      <c r="J18" s="162"/>
      <c r="K18" s="386" t="str">
        <f>IFERROR(INDEX('G-8 Condition Look up'!$A$3:$H$135,MATCH(F18,'G-8 Condition Look up'!$A$3:$A$135,0),MATCH(J18,'G-8 Condition Look up'!$A$3:$H$3,0)),"")</f>
        <v/>
      </c>
      <c r="L18" s="114"/>
      <c r="M18" s="401" t="str">
        <f>IF(L18="","",IF(VLOOKUP(L18,'G-3 Multipliers'!$L$3:$N$6,2,FALSE)=0,"Spatial Data Missing ⚠",VLOOKUP(L18,'G-3 Multipliers'!$L$3:$N$6,2,FALSE)))</f>
        <v/>
      </c>
      <c r="N18" s="363" t="str">
        <f>IF(L18="","",IF(VLOOKUP(L18,'G-3 Multipliers'!$L$3:$N$6,3,FALSE)=0,"Spatial Data Missing ⚠",VLOOKUP(L18,'G-3 Multipliers'!$L$3:$N$6,3,FALSE)))</f>
        <v/>
      </c>
      <c r="O18" s="362" t="str">
        <f t="shared" si="2"/>
        <v/>
      </c>
      <c r="P18" s="159"/>
      <c r="Q18" s="159"/>
      <c r="R18" s="382" t="str">
        <f t="shared" si="3"/>
        <v/>
      </c>
      <c r="S18" s="404" t="str">
        <f t="shared" si="0"/>
        <v/>
      </c>
      <c r="T18" s="387" t="str">
        <f>IFERROR(IF(S18="Check Data ⚠","Check Data ⚠",VLOOKUP(S18,'G-4 Temporal multipliers'!$A$4:$C$37,3,FALSE)),"")</f>
        <v/>
      </c>
      <c r="U18" s="385" t="str">
        <f>IF(F18="","",VLOOKUP(F18,'G-3 Multipliers'!$A$2:$E$134,2,FALSE))</f>
        <v/>
      </c>
      <c r="V18" s="382" t="str">
        <f t="shared" si="5"/>
        <v/>
      </c>
      <c r="W18" s="382" t="str">
        <f>IF(E18="","",IF(AND(V18="Standard difficulty applied",O18&gt;P18),U18,IF(AND(V18="Low Difficulty - only applicable if all habitat created before losses ⚠",P18&gt;=O18),"Low",VLOOKUP(F18,'G-3 Multipliers'!$A$2:$E$134,4,FALSE))))</f>
        <v/>
      </c>
      <c r="X18" s="386" t="str">
        <f>IFERROR(IF(E18="","",VLOOKUP(W18, 'G-3 Multipliers'!$P$2:$Q$6,2,FALSE)),"")</f>
        <v/>
      </c>
      <c r="Y18" s="516"/>
      <c r="Z18" s="724" t="str">
        <f>IF(Y18="","",IF(VLOOKUP(Y18,'G-3 Multipliers'!$S$3:$T$10,2,FALSE)=0,"Spatial Data Missing ⚠",VLOOKUP(Y18,'G-3 Multipliers'!$S$3:$T$10,2,FALSE)))</f>
        <v/>
      </c>
      <c r="AA18" s="741" t="str">
        <f t="shared" si="1"/>
        <v/>
      </c>
      <c r="AB18" s="405" t="str">
        <f t="shared" si="4"/>
        <v/>
      </c>
      <c r="AC18" s="119"/>
      <c r="AD18" s="528"/>
      <c r="AE18" s="120"/>
      <c r="AF18" s="120"/>
    </row>
    <row r="19" spans="1:32" ht="15">
      <c r="A19" s="30" t="str">
        <f>IFERROR(INDEX('G-8 Condition Look up'!$I$4:$I$135,MATCH(F19,'G-8 Condition Look up'!$A$4:$A$135,0)),"")</f>
        <v/>
      </c>
      <c r="C19" s="75" t="str">
        <f>IFERROR(INDEX('G-1 All Habitats'!$AG$3:$AG$17,MATCH(D19,'G-1 All Habitats'!$AF$3:$AF$17,0)),"")</f>
        <v/>
      </c>
      <c r="D19" s="122"/>
      <c r="E19" s="165"/>
      <c r="F19" s="198" t="str">
        <f>IFERROR(INDEX('G-1 All Habitats'!$B$3:$B$135,MATCH(E19,'G-1 All Habitats'!$A$3:$A$135,0)),"")</f>
        <v/>
      </c>
      <c r="G19" s="300"/>
      <c r="H19" s="398" t="str">
        <f>IF(F19="","",VLOOKUP(F19,'G-1 All Habitats'!$B$2:$M$134,10,FALSE))</f>
        <v/>
      </c>
      <c r="I19" s="386" t="str">
        <f>IFERROR(VLOOKUP(H19,'G-1 All Habitats'!$V$3:$W$7,2,FALSE),"")</f>
        <v/>
      </c>
      <c r="J19" s="162"/>
      <c r="K19" s="386" t="str">
        <f>IFERROR(INDEX('G-8 Condition Look up'!$A$3:$H$135,MATCH(F19,'G-8 Condition Look up'!$A$3:$A$135,0),MATCH(J19,'G-8 Condition Look up'!$A$3:$H$3,0)),"")</f>
        <v/>
      </c>
      <c r="L19" s="114"/>
      <c r="M19" s="401" t="str">
        <f>IF(L19="","",IF(VLOOKUP(L19,'G-3 Multipliers'!$L$3:$N$6,2,FALSE)=0,"Spatial Data Missing ⚠",VLOOKUP(L19,'G-3 Multipliers'!$L$3:$N$6,2,FALSE)))</f>
        <v/>
      </c>
      <c r="N19" s="363" t="str">
        <f>IF(L19="","",IF(VLOOKUP(L19,'G-3 Multipliers'!$L$3:$N$6,3,FALSE)=0,"Spatial Data Missing ⚠",VLOOKUP(L19,'G-3 Multipliers'!$L$3:$N$6,3,FALSE)))</f>
        <v/>
      </c>
      <c r="O19" s="362" t="str">
        <f t="shared" si="2"/>
        <v/>
      </c>
      <c r="P19" s="159"/>
      <c r="Q19" s="159"/>
      <c r="R19" s="382" t="str">
        <f t="shared" si="3"/>
        <v/>
      </c>
      <c r="S19" s="404" t="str">
        <f t="shared" si="0"/>
        <v/>
      </c>
      <c r="T19" s="387" t="str">
        <f>IFERROR(IF(S19="Check Data ⚠","Check Data ⚠",VLOOKUP(S19,'G-4 Temporal multipliers'!$A$4:$C$37,3,FALSE)),"")</f>
        <v/>
      </c>
      <c r="U19" s="385" t="str">
        <f>IF(F19="","",VLOOKUP(F19,'G-3 Multipliers'!$A$2:$E$134,2,FALSE))</f>
        <v/>
      </c>
      <c r="V19" s="382" t="str">
        <f t="shared" si="5"/>
        <v/>
      </c>
      <c r="W19" s="382" t="str">
        <f>IF(E19="","",IF(AND(V19="Standard difficulty applied",O19&gt;P19),U19,IF(AND(V19="Low Difficulty - only applicable if all habitat created before losses ⚠",P19&gt;=O19),"Low",VLOOKUP(F19,'G-3 Multipliers'!$A$2:$E$134,4,FALSE))))</f>
        <v/>
      </c>
      <c r="X19" s="386" t="str">
        <f>IFERROR(IF(E19="","",VLOOKUP(W19, 'G-3 Multipliers'!$P$2:$Q$6,2,FALSE)),"")</f>
        <v/>
      </c>
      <c r="Y19" s="516"/>
      <c r="Z19" s="724" t="str">
        <f>IF(Y19="","",IF(VLOOKUP(Y19,'G-3 Multipliers'!$S$3:$T$10,2,FALSE)=0,"Spatial Data Missing ⚠",VLOOKUP(Y19,'G-3 Multipliers'!$S$3:$T$10,2,FALSE)))</f>
        <v/>
      </c>
      <c r="AA19" s="741" t="str">
        <f t="shared" si="1"/>
        <v/>
      </c>
      <c r="AB19" s="405" t="str">
        <f t="shared" si="4"/>
        <v/>
      </c>
      <c r="AC19" s="119"/>
      <c r="AD19" s="528"/>
      <c r="AE19" s="120"/>
      <c r="AF19" s="120"/>
    </row>
    <row r="20" spans="1:32" ht="15">
      <c r="A20" s="30" t="str">
        <f>IFERROR(INDEX('G-8 Condition Look up'!$I$4:$I$135,MATCH(F20,'G-8 Condition Look up'!$A$4:$A$135,0)),"")</f>
        <v/>
      </c>
      <c r="C20" s="75" t="str">
        <f>IFERROR(INDEX('G-1 All Habitats'!$AG$3:$AG$17,MATCH(D20,'G-1 All Habitats'!$AF$3:$AF$17,0)),"")</f>
        <v/>
      </c>
      <c r="D20" s="122"/>
      <c r="E20" s="165"/>
      <c r="F20" s="198" t="str">
        <f>IFERROR(INDEX('G-1 All Habitats'!$B$3:$B$135,MATCH(E20,'G-1 All Habitats'!$A$3:$A$135,0)),"")</f>
        <v/>
      </c>
      <c r="G20" s="300"/>
      <c r="H20" s="398" t="str">
        <f>IF(F20="","",VLOOKUP(F20,'G-1 All Habitats'!$B$2:$M$134,10,FALSE))</f>
        <v/>
      </c>
      <c r="I20" s="386" t="str">
        <f>IFERROR(VLOOKUP(H20,'G-1 All Habitats'!$V$3:$W$7,2,FALSE),"")</f>
        <v/>
      </c>
      <c r="J20" s="162"/>
      <c r="K20" s="386" t="str">
        <f>IFERROR(INDEX('G-8 Condition Look up'!$A$3:$H$135,MATCH(F20,'G-8 Condition Look up'!$A$3:$A$135,0),MATCH(J20,'G-8 Condition Look up'!$A$3:$H$3,0)),"")</f>
        <v/>
      </c>
      <c r="L20" s="114"/>
      <c r="M20" s="401" t="str">
        <f>IF(L20="","",IF(VLOOKUP(L20,'G-3 Multipliers'!$L$3:$N$6,2,FALSE)=0,"Spatial Data Missing ⚠",VLOOKUP(L20,'G-3 Multipliers'!$L$3:$N$6,2,FALSE)))</f>
        <v/>
      </c>
      <c r="N20" s="363" t="str">
        <f>IF(L20="","",IF(VLOOKUP(L20,'G-3 Multipliers'!$L$3:$N$6,3,FALSE)=0,"Spatial Data Missing ⚠",VLOOKUP(L20,'G-3 Multipliers'!$L$3:$N$6,3,FALSE)))</f>
        <v/>
      </c>
      <c r="O20" s="362" t="str">
        <f t="shared" si="2"/>
        <v/>
      </c>
      <c r="P20" s="159"/>
      <c r="Q20" s="159"/>
      <c r="R20" s="382" t="str">
        <f t="shared" si="3"/>
        <v/>
      </c>
      <c r="S20" s="404" t="str">
        <f t="shared" si="0"/>
        <v/>
      </c>
      <c r="T20" s="387" t="str">
        <f>IFERROR(IF(S20="Check Data ⚠","Check Data ⚠",VLOOKUP(S20,'G-4 Temporal multipliers'!$A$4:$C$37,3,FALSE)),"")</f>
        <v/>
      </c>
      <c r="U20" s="385" t="str">
        <f>IF(F20="","",VLOOKUP(F20,'G-3 Multipliers'!$A$2:$E$134,2,FALSE))</f>
        <v/>
      </c>
      <c r="V20" s="382" t="str">
        <f t="shared" si="5"/>
        <v/>
      </c>
      <c r="W20" s="382" t="str">
        <f>IF(E20="","",IF(AND(V20="Standard difficulty applied",O20&gt;P20),U20,IF(AND(V20="Low Difficulty - only applicable if all habitat created before losses ⚠",P20&gt;=O20),"Low",VLOOKUP(F20,'G-3 Multipliers'!$A$2:$E$134,4,FALSE))))</f>
        <v/>
      </c>
      <c r="X20" s="386" t="str">
        <f>IFERROR(IF(E20="","",VLOOKUP(W20, 'G-3 Multipliers'!$P$2:$Q$6,2,FALSE)),"")</f>
        <v/>
      </c>
      <c r="Y20" s="516"/>
      <c r="Z20" s="724" t="str">
        <f>IF(Y20="","",IF(VLOOKUP(Y20,'G-3 Multipliers'!$S$3:$T$10,2,FALSE)=0,"Spatial Data Missing ⚠",VLOOKUP(Y20,'G-3 Multipliers'!$S$3:$T$10,2,FALSE)))</f>
        <v/>
      </c>
      <c r="AA20" s="741" t="str">
        <f t="shared" si="1"/>
        <v/>
      </c>
      <c r="AB20" s="405" t="str">
        <f t="shared" si="4"/>
        <v/>
      </c>
      <c r="AC20" s="119"/>
      <c r="AD20" s="528"/>
      <c r="AE20" s="120"/>
      <c r="AF20" s="120"/>
    </row>
    <row r="21" spans="1:32" ht="15">
      <c r="A21" s="30" t="str">
        <f>IFERROR(INDEX('G-8 Condition Look up'!$I$4:$I$135,MATCH(F21,'G-8 Condition Look up'!$A$4:$A$135,0)),"")</f>
        <v/>
      </c>
      <c r="C21" s="75" t="str">
        <f>IFERROR(INDEX('G-1 All Habitats'!$AG$3:$AG$17,MATCH(D21,'G-1 All Habitats'!$AF$3:$AF$17,0)),"")</f>
        <v/>
      </c>
      <c r="D21" s="122"/>
      <c r="E21" s="165"/>
      <c r="F21" s="198" t="str">
        <f>IFERROR(INDEX('G-1 All Habitats'!$B$3:$B$135,MATCH(E21,'G-1 All Habitats'!$A$3:$A$135,0)),"")</f>
        <v/>
      </c>
      <c r="G21" s="300"/>
      <c r="H21" s="398" t="str">
        <f>IF(F21="","",VLOOKUP(F21,'G-1 All Habitats'!$B$2:$M$134,10,FALSE))</f>
        <v/>
      </c>
      <c r="I21" s="386" t="str">
        <f>IFERROR(VLOOKUP(H21,'G-1 All Habitats'!$V$3:$W$7,2,FALSE),"")</f>
        <v/>
      </c>
      <c r="J21" s="162"/>
      <c r="K21" s="386" t="str">
        <f>IFERROR(INDEX('G-8 Condition Look up'!$A$3:$H$135,MATCH(F21,'G-8 Condition Look up'!$A$3:$A$135,0),MATCH(J21,'G-8 Condition Look up'!$A$3:$H$3,0)),"")</f>
        <v/>
      </c>
      <c r="L21" s="114"/>
      <c r="M21" s="401" t="str">
        <f>IF(L21="","",IF(VLOOKUP(L21,'G-3 Multipliers'!$L$3:$N$6,2,FALSE)=0,"Spatial Data Missing ⚠",VLOOKUP(L21,'G-3 Multipliers'!$L$3:$N$6,2,FALSE)))</f>
        <v/>
      </c>
      <c r="N21" s="363" t="str">
        <f>IF(L21="","",IF(VLOOKUP(L21,'G-3 Multipliers'!$L$3:$N$6,3,FALSE)=0,"Spatial Data Missing ⚠",VLOOKUP(L21,'G-3 Multipliers'!$L$3:$N$6,3,FALSE)))</f>
        <v/>
      </c>
      <c r="O21" s="362" t="str">
        <f t="shared" si="2"/>
        <v/>
      </c>
      <c r="P21" s="159"/>
      <c r="Q21" s="159"/>
      <c r="R21" s="382" t="str">
        <f t="shared" si="3"/>
        <v/>
      </c>
      <c r="S21" s="404" t="str">
        <f t="shared" si="0"/>
        <v/>
      </c>
      <c r="T21" s="387" t="str">
        <f>IFERROR(IF(S21="Check Data ⚠","Check Data ⚠",VLOOKUP(S21,'G-4 Temporal multipliers'!$A$4:$C$37,3,FALSE)),"")</f>
        <v/>
      </c>
      <c r="U21" s="385" t="str">
        <f>IF(F21="","",VLOOKUP(F21,'G-3 Multipliers'!$A$2:$E$134,2,FALSE))</f>
        <v/>
      </c>
      <c r="V21" s="382" t="str">
        <f t="shared" si="5"/>
        <v/>
      </c>
      <c r="W21" s="382" t="str">
        <f>IF(E21="","",IF(AND(V21="Standard difficulty applied",O21&gt;P21),U21,IF(AND(V21="Low Difficulty - only applicable if all habitat created before losses ⚠",P21&gt;=O21),"Low",VLOOKUP(F21,'G-3 Multipliers'!$A$2:$E$134,4,FALSE))))</f>
        <v/>
      </c>
      <c r="X21" s="386" t="str">
        <f>IFERROR(IF(E21="","",VLOOKUP(W21, 'G-3 Multipliers'!$P$2:$Q$6,2,FALSE)),"")</f>
        <v/>
      </c>
      <c r="Y21" s="516"/>
      <c r="Z21" s="724" t="str">
        <f>IF(Y21="","",IF(VLOOKUP(Y21,'G-3 Multipliers'!$S$3:$T$10,2,FALSE)=0,"Spatial Data Missing ⚠",VLOOKUP(Y21,'G-3 Multipliers'!$S$3:$T$10,2,FALSE)))</f>
        <v/>
      </c>
      <c r="AA21" s="741" t="str">
        <f t="shared" si="1"/>
        <v/>
      </c>
      <c r="AB21" s="405" t="str">
        <f t="shared" si="4"/>
        <v/>
      </c>
      <c r="AC21" s="119"/>
      <c r="AD21" s="528"/>
      <c r="AE21" s="120"/>
      <c r="AF21" s="120"/>
    </row>
    <row r="22" spans="1:32" ht="15">
      <c r="A22" s="30" t="str">
        <f>IFERROR(INDEX('G-8 Condition Look up'!$I$4:$I$135,MATCH(F22,'G-8 Condition Look up'!$A$4:$A$135,0)),"")</f>
        <v/>
      </c>
      <c r="C22" s="75" t="str">
        <f>IFERROR(INDEX('G-1 All Habitats'!$AG$3:$AG$17,MATCH(D22,'G-1 All Habitats'!$AF$3:$AF$17,0)),"")</f>
        <v/>
      </c>
      <c r="D22" s="122"/>
      <c r="E22" s="165"/>
      <c r="F22" s="198" t="str">
        <f>IFERROR(INDEX('G-1 All Habitats'!$B$3:$B$135,MATCH(E22,'G-1 All Habitats'!$A$3:$A$135,0)),"")</f>
        <v/>
      </c>
      <c r="G22" s="300"/>
      <c r="H22" s="398" t="str">
        <f>IF(F22="","",VLOOKUP(F22,'G-1 All Habitats'!$B$2:$M$134,10,FALSE))</f>
        <v/>
      </c>
      <c r="I22" s="386" t="str">
        <f>IFERROR(VLOOKUP(H22,'G-1 All Habitats'!$V$3:$W$7,2,FALSE),"")</f>
        <v/>
      </c>
      <c r="J22" s="162"/>
      <c r="K22" s="386" t="str">
        <f>IFERROR(INDEX('G-8 Condition Look up'!$A$3:$H$135,MATCH(F22,'G-8 Condition Look up'!$A$3:$A$135,0),MATCH(J22,'G-8 Condition Look up'!$A$3:$H$3,0)),"")</f>
        <v/>
      </c>
      <c r="L22" s="114"/>
      <c r="M22" s="401" t="str">
        <f>IF(L22="","",IF(VLOOKUP(L22,'G-3 Multipliers'!$L$3:$N$6,2,FALSE)=0,"Spatial Data Missing ⚠",VLOOKUP(L22,'G-3 Multipliers'!$L$3:$N$6,2,FALSE)))</f>
        <v/>
      </c>
      <c r="N22" s="363" t="str">
        <f>IF(L22="","",IF(VLOOKUP(L22,'G-3 Multipliers'!$L$3:$N$6,3,FALSE)=0,"Spatial Data Missing ⚠",VLOOKUP(L22,'G-3 Multipliers'!$L$3:$N$6,3,FALSE)))</f>
        <v/>
      </c>
      <c r="O22" s="362" t="str">
        <f t="shared" si="2"/>
        <v/>
      </c>
      <c r="P22" s="159"/>
      <c r="Q22" s="159"/>
      <c r="R22" s="382" t="str">
        <f t="shared" si="3"/>
        <v/>
      </c>
      <c r="S22" s="404" t="str">
        <f t="shared" si="0"/>
        <v/>
      </c>
      <c r="T22" s="387" t="str">
        <f>IFERROR(IF(S22="Check Data ⚠","Check Data ⚠",VLOOKUP(S22,'G-4 Temporal multipliers'!$A$4:$C$37,3,FALSE)),"")</f>
        <v/>
      </c>
      <c r="U22" s="385" t="str">
        <f>IF(F22="","",VLOOKUP(F22,'G-3 Multipliers'!$A$2:$E$134,2,FALSE))</f>
        <v/>
      </c>
      <c r="V22" s="382" t="str">
        <f t="shared" si="5"/>
        <v/>
      </c>
      <c r="W22" s="382" t="str">
        <f>IF(E22="","",IF(AND(V22="Standard difficulty applied",O22&gt;P22),U22,IF(AND(V22="Low Difficulty - only applicable if all habitat created before losses ⚠",P22&gt;=O22),"Low",VLOOKUP(F22,'G-3 Multipliers'!$A$2:$E$134,4,FALSE))))</f>
        <v/>
      </c>
      <c r="X22" s="386" t="str">
        <f>IFERROR(IF(E22="","",VLOOKUP(W22, 'G-3 Multipliers'!$P$2:$Q$6,2,FALSE)),"")</f>
        <v/>
      </c>
      <c r="Y22" s="516"/>
      <c r="Z22" s="724" t="str">
        <f>IF(Y22="","",IF(VLOOKUP(Y22,'G-3 Multipliers'!$S$3:$T$10,2,FALSE)=0,"Spatial Data Missing ⚠",VLOOKUP(Y22,'G-3 Multipliers'!$S$3:$T$10,2,FALSE)))</f>
        <v/>
      </c>
      <c r="AA22" s="741" t="str">
        <f t="shared" si="1"/>
        <v/>
      </c>
      <c r="AB22" s="405" t="str">
        <f t="shared" si="4"/>
        <v/>
      </c>
      <c r="AC22" s="119"/>
      <c r="AD22" s="528"/>
      <c r="AE22" s="120"/>
      <c r="AF22" s="120"/>
    </row>
    <row r="23" spans="1:32" ht="15">
      <c r="A23" s="30" t="str">
        <f>IFERROR(INDEX('G-8 Condition Look up'!$I$4:$I$135,MATCH(F23,'G-8 Condition Look up'!$A$4:$A$135,0)),"")</f>
        <v/>
      </c>
      <c r="C23" s="75" t="str">
        <f>IFERROR(INDEX('G-1 All Habitats'!$AG$3:$AG$17,MATCH(D23,'G-1 All Habitats'!$AF$3:$AF$17,0)),"")</f>
        <v/>
      </c>
      <c r="D23" s="122"/>
      <c r="E23" s="165"/>
      <c r="F23" s="198" t="str">
        <f>IFERROR(INDEX('G-1 All Habitats'!$B$3:$B$135,MATCH(E23,'G-1 All Habitats'!$A$3:$A$135,0)),"")</f>
        <v/>
      </c>
      <c r="G23" s="300"/>
      <c r="H23" s="398" t="str">
        <f>IF(F23="","",VLOOKUP(F23,'G-1 All Habitats'!$B$2:$M$134,10,FALSE))</f>
        <v/>
      </c>
      <c r="I23" s="386" t="str">
        <f>IFERROR(VLOOKUP(H23,'G-1 All Habitats'!$V$3:$W$7,2,FALSE),"")</f>
        <v/>
      </c>
      <c r="J23" s="162"/>
      <c r="K23" s="386" t="str">
        <f>IFERROR(INDEX('G-8 Condition Look up'!$A$3:$H$135,MATCH(F23,'G-8 Condition Look up'!$A$3:$A$135,0),MATCH(J23,'G-8 Condition Look up'!$A$3:$H$3,0)),"")</f>
        <v/>
      </c>
      <c r="L23" s="114"/>
      <c r="M23" s="401" t="str">
        <f>IF(L23="","",IF(VLOOKUP(L23,'G-3 Multipliers'!$L$3:$N$6,2,FALSE)=0,"Spatial Data Missing ⚠",VLOOKUP(L23,'G-3 Multipliers'!$L$3:$N$6,2,FALSE)))</f>
        <v/>
      </c>
      <c r="N23" s="363" t="str">
        <f>IF(L23="","",IF(VLOOKUP(L23,'G-3 Multipliers'!$L$3:$N$6,3,FALSE)=0,"Spatial Data Missing ⚠",VLOOKUP(L23,'G-3 Multipliers'!$L$3:$N$6,3,FALSE)))</f>
        <v/>
      </c>
      <c r="O23" s="362" t="str">
        <f t="shared" si="2"/>
        <v/>
      </c>
      <c r="P23" s="159"/>
      <c r="Q23" s="159"/>
      <c r="R23" s="382" t="str">
        <f t="shared" si="3"/>
        <v/>
      </c>
      <c r="S23" s="404" t="str">
        <f t="shared" si="0"/>
        <v/>
      </c>
      <c r="T23" s="387" t="str">
        <f>IFERROR(IF(S23="Check Data ⚠","Check Data ⚠",VLOOKUP(S23,'G-4 Temporal multipliers'!$A$4:$C$37,3,FALSE)),"")</f>
        <v/>
      </c>
      <c r="U23" s="385" t="str">
        <f>IF(F23="","",VLOOKUP(F23,'G-3 Multipliers'!$A$2:$E$134,2,FALSE))</f>
        <v/>
      </c>
      <c r="V23" s="382" t="str">
        <f t="shared" si="5"/>
        <v/>
      </c>
      <c r="W23" s="382" t="str">
        <f>IF(E23="","",IF(AND(V23="Standard difficulty applied",O23&gt;P23),U23,IF(AND(V23="Low Difficulty - only applicable if all habitat created before losses ⚠",P23&gt;=O23),"Low",VLOOKUP(F23,'G-3 Multipliers'!$A$2:$E$134,4,FALSE))))</f>
        <v/>
      </c>
      <c r="X23" s="386" t="str">
        <f>IFERROR(IF(E23="","",VLOOKUP(W23, 'G-3 Multipliers'!$P$2:$Q$6,2,FALSE)),"")</f>
        <v/>
      </c>
      <c r="Y23" s="516"/>
      <c r="Z23" s="724" t="str">
        <f>IF(Y23="","",IF(VLOOKUP(Y23,'G-3 Multipliers'!$S$3:$T$10,2,FALSE)=0,"Spatial Data Missing ⚠",VLOOKUP(Y23,'G-3 Multipliers'!$S$3:$T$10,2,FALSE)))</f>
        <v/>
      </c>
      <c r="AA23" s="741" t="str">
        <f t="shared" si="1"/>
        <v/>
      </c>
      <c r="AB23" s="405" t="str">
        <f t="shared" si="4"/>
        <v/>
      </c>
      <c r="AC23" s="119"/>
      <c r="AD23" s="528"/>
      <c r="AE23" s="120"/>
      <c r="AF23" s="120"/>
    </row>
    <row r="24" spans="1:32" ht="15">
      <c r="A24" s="30" t="str">
        <f>IFERROR(INDEX('G-8 Condition Look up'!$I$4:$I$135,MATCH(F24,'G-8 Condition Look up'!$A$4:$A$135,0)),"")</f>
        <v/>
      </c>
      <c r="C24" s="75" t="str">
        <f>IFERROR(INDEX('G-1 All Habitats'!$AG$3:$AG$17,MATCH(D24,'G-1 All Habitats'!$AF$3:$AF$17,0)),"")</f>
        <v/>
      </c>
      <c r="D24" s="122"/>
      <c r="E24" s="165"/>
      <c r="F24" s="198" t="str">
        <f>IFERROR(INDEX('G-1 All Habitats'!$B$3:$B$135,MATCH(E24,'G-1 All Habitats'!$A$3:$A$135,0)),"")</f>
        <v/>
      </c>
      <c r="G24" s="300"/>
      <c r="H24" s="398" t="str">
        <f>IF(F24="","",VLOOKUP(F24,'G-1 All Habitats'!$B$2:$M$134,10,FALSE))</f>
        <v/>
      </c>
      <c r="I24" s="386" t="str">
        <f>IFERROR(VLOOKUP(H24,'G-1 All Habitats'!$V$3:$W$7,2,FALSE),"")</f>
        <v/>
      </c>
      <c r="J24" s="162"/>
      <c r="K24" s="386" t="str">
        <f>IFERROR(INDEX('G-8 Condition Look up'!$A$3:$H$135,MATCH(F24,'G-8 Condition Look up'!$A$3:$A$135,0),MATCH(J24,'G-8 Condition Look up'!$A$3:$H$3,0)),"")</f>
        <v/>
      </c>
      <c r="L24" s="114"/>
      <c r="M24" s="401" t="str">
        <f>IF(L24="","",IF(VLOOKUP(L24,'G-3 Multipliers'!$L$3:$N$6,2,FALSE)=0,"Spatial Data Missing ⚠",VLOOKUP(L24,'G-3 Multipliers'!$L$3:$N$6,2,FALSE)))</f>
        <v/>
      </c>
      <c r="N24" s="363" t="str">
        <f>IF(L24="","",IF(VLOOKUP(L24,'G-3 Multipliers'!$L$3:$N$6,3,FALSE)=0,"Spatial Data Missing ⚠",VLOOKUP(L24,'G-3 Multipliers'!$L$3:$N$6,3,FALSE)))</f>
        <v/>
      </c>
      <c r="O24" s="362" t="str">
        <f t="shared" si="2"/>
        <v/>
      </c>
      <c r="P24" s="159"/>
      <c r="Q24" s="159"/>
      <c r="R24" s="382" t="str">
        <f t="shared" si="3"/>
        <v/>
      </c>
      <c r="S24" s="404" t="str">
        <f t="shared" si="0"/>
        <v/>
      </c>
      <c r="T24" s="387" t="str">
        <f>IFERROR(IF(S24="Check Data ⚠","Check Data ⚠",VLOOKUP(S24,'G-4 Temporal multipliers'!$A$4:$C$37,3,FALSE)),"")</f>
        <v/>
      </c>
      <c r="U24" s="385" t="str">
        <f>IF(F24="","",VLOOKUP(F24,'G-3 Multipliers'!$A$2:$E$134,2,FALSE))</f>
        <v/>
      </c>
      <c r="V24" s="382" t="str">
        <f t="shared" si="5"/>
        <v/>
      </c>
      <c r="W24" s="382" t="str">
        <f>IF(E24="","",IF(AND(V24="Standard difficulty applied",O24&gt;P24),U24,IF(AND(V24="Low Difficulty - only applicable if all habitat created before losses ⚠",P24&gt;=O24),"Low",VLOOKUP(F24,'G-3 Multipliers'!$A$2:$E$134,4,FALSE))))</f>
        <v/>
      </c>
      <c r="X24" s="386" t="str">
        <f>IFERROR(IF(E24="","",VLOOKUP(W24, 'G-3 Multipliers'!$P$2:$Q$6,2,FALSE)),"")</f>
        <v/>
      </c>
      <c r="Y24" s="516"/>
      <c r="Z24" s="724" t="str">
        <f>IF(Y24="","",IF(VLOOKUP(Y24,'G-3 Multipliers'!$S$3:$T$10,2,FALSE)=0,"Spatial Data Missing ⚠",VLOOKUP(Y24,'G-3 Multipliers'!$S$3:$T$10,2,FALSE)))</f>
        <v/>
      </c>
      <c r="AA24" s="741" t="str">
        <f t="shared" si="1"/>
        <v/>
      </c>
      <c r="AB24" s="405" t="str">
        <f t="shared" si="4"/>
        <v/>
      </c>
      <c r="AC24" s="119"/>
      <c r="AD24" s="528"/>
      <c r="AE24" s="120"/>
      <c r="AF24" s="120"/>
    </row>
    <row r="25" spans="1:32" ht="15">
      <c r="A25" s="30" t="str">
        <f>IFERROR(INDEX('G-8 Condition Look up'!$I$4:$I$135,MATCH(F25,'G-8 Condition Look up'!$A$4:$A$135,0)),"")</f>
        <v/>
      </c>
      <c r="C25" s="75" t="str">
        <f>IFERROR(INDEX('G-1 All Habitats'!$AG$3:$AG$17,MATCH(D25,'G-1 All Habitats'!$AF$3:$AF$17,0)),"")</f>
        <v/>
      </c>
      <c r="D25" s="122"/>
      <c r="E25" s="165"/>
      <c r="F25" s="198" t="str">
        <f>IFERROR(INDEX('G-1 All Habitats'!$B$3:$B$135,MATCH(E25,'G-1 All Habitats'!$A$3:$A$135,0)),"")</f>
        <v/>
      </c>
      <c r="G25" s="300"/>
      <c r="H25" s="398" t="str">
        <f>IF(F25="","",VLOOKUP(F25,'G-1 All Habitats'!$B$2:$M$134,10,FALSE))</f>
        <v/>
      </c>
      <c r="I25" s="386" t="str">
        <f>IFERROR(VLOOKUP(H25,'G-1 All Habitats'!$V$3:$W$7,2,FALSE),"")</f>
        <v/>
      </c>
      <c r="J25" s="162"/>
      <c r="K25" s="386" t="str">
        <f>IFERROR(INDEX('G-8 Condition Look up'!$A$3:$H$135,MATCH(F25,'G-8 Condition Look up'!$A$3:$A$135,0),MATCH(J25,'G-8 Condition Look up'!$A$3:$H$3,0)),"")</f>
        <v/>
      </c>
      <c r="L25" s="114"/>
      <c r="M25" s="401" t="str">
        <f>IF(L25="","",IF(VLOOKUP(L25,'G-3 Multipliers'!$L$3:$N$6,2,FALSE)=0,"Spatial Data Missing ⚠",VLOOKUP(L25,'G-3 Multipliers'!$L$3:$N$6,2,FALSE)))</f>
        <v/>
      </c>
      <c r="N25" s="363" t="str">
        <f>IF(L25="","",IF(VLOOKUP(L25,'G-3 Multipliers'!$L$3:$N$6,3,FALSE)=0,"Spatial Data Missing ⚠",VLOOKUP(L25,'G-3 Multipliers'!$L$3:$N$6,3,FALSE)))</f>
        <v/>
      </c>
      <c r="O25" s="362" t="str">
        <f t="shared" si="2"/>
        <v/>
      </c>
      <c r="P25" s="159"/>
      <c r="Q25" s="159"/>
      <c r="R25" s="382" t="str">
        <f t="shared" si="3"/>
        <v/>
      </c>
      <c r="S25" s="404" t="str">
        <f t="shared" si="0"/>
        <v/>
      </c>
      <c r="T25" s="387" t="str">
        <f>IFERROR(IF(S25="Check Data ⚠","Check Data ⚠",VLOOKUP(S25,'G-4 Temporal multipliers'!$A$4:$C$37,3,FALSE)),"")</f>
        <v/>
      </c>
      <c r="U25" s="385" t="str">
        <f>IF(F25="","",VLOOKUP(F25,'G-3 Multipliers'!$A$2:$E$134,2,FALSE))</f>
        <v/>
      </c>
      <c r="V25" s="382" t="str">
        <f t="shared" si="5"/>
        <v/>
      </c>
      <c r="W25" s="382" t="str">
        <f>IF(E25="","",IF(AND(V25="Standard difficulty applied",O25&gt;P25),U25,IF(AND(V25="Low Difficulty - only applicable if all habitat created before losses ⚠",P25&gt;=O25),"Low",VLOOKUP(F25,'G-3 Multipliers'!$A$2:$E$134,4,FALSE))))</f>
        <v/>
      </c>
      <c r="X25" s="386" t="str">
        <f>IFERROR(IF(E25="","",VLOOKUP(W25, 'G-3 Multipliers'!$P$2:$Q$6,2,FALSE)),"")</f>
        <v/>
      </c>
      <c r="Y25" s="516"/>
      <c r="Z25" s="724" t="str">
        <f>IF(Y25="","",IF(VLOOKUP(Y25,'G-3 Multipliers'!$S$3:$T$10,2,FALSE)=0,"Spatial Data Missing ⚠",VLOOKUP(Y25,'G-3 Multipliers'!$S$3:$T$10,2,FALSE)))</f>
        <v/>
      </c>
      <c r="AA25" s="741" t="str">
        <f t="shared" si="1"/>
        <v/>
      </c>
      <c r="AB25" s="405" t="str">
        <f t="shared" si="4"/>
        <v/>
      </c>
      <c r="AC25" s="119"/>
      <c r="AD25" s="528"/>
      <c r="AE25" s="120"/>
      <c r="AF25" s="120"/>
    </row>
    <row r="26" spans="1:32" ht="15">
      <c r="A26" s="30" t="str">
        <f>IFERROR(INDEX('G-8 Condition Look up'!$I$4:$I$135,MATCH(F26,'G-8 Condition Look up'!$A$4:$A$135,0)),"")</f>
        <v/>
      </c>
      <c r="C26" s="75" t="str">
        <f>IFERROR(INDEX('G-1 All Habitats'!$AG$3:$AG$17,MATCH(D26,'G-1 All Habitats'!$AF$3:$AF$17,0)),"")</f>
        <v/>
      </c>
      <c r="D26" s="122"/>
      <c r="E26" s="165"/>
      <c r="F26" s="198" t="str">
        <f>IFERROR(INDEX('G-1 All Habitats'!$B$3:$B$135,MATCH(E26,'G-1 All Habitats'!$A$3:$A$135,0)),"")</f>
        <v/>
      </c>
      <c r="G26" s="300"/>
      <c r="H26" s="398" t="str">
        <f>IF(F26="","",VLOOKUP(F26,'G-1 All Habitats'!$B$2:$M$134,10,FALSE))</f>
        <v/>
      </c>
      <c r="I26" s="386" t="str">
        <f>IFERROR(VLOOKUP(H26,'G-1 All Habitats'!$V$3:$W$7,2,FALSE),"")</f>
        <v/>
      </c>
      <c r="J26" s="162"/>
      <c r="K26" s="386" t="str">
        <f>IFERROR(INDEX('G-8 Condition Look up'!$A$3:$H$135,MATCH(F26,'G-8 Condition Look up'!$A$3:$A$135,0),MATCH(J26,'G-8 Condition Look up'!$A$3:$H$3,0)),"")</f>
        <v/>
      </c>
      <c r="L26" s="114"/>
      <c r="M26" s="401" t="str">
        <f>IF(L26="","",IF(VLOOKUP(L26,'G-3 Multipliers'!$L$3:$N$6,2,FALSE)=0,"Spatial Data Missing ⚠",VLOOKUP(L26,'G-3 Multipliers'!$L$3:$N$6,2,FALSE)))</f>
        <v/>
      </c>
      <c r="N26" s="363" t="str">
        <f>IF(L26="","",IF(VLOOKUP(L26,'G-3 Multipliers'!$L$3:$N$6,3,FALSE)=0,"Spatial Data Missing ⚠",VLOOKUP(L26,'G-3 Multipliers'!$L$3:$N$6,3,FALSE)))</f>
        <v/>
      </c>
      <c r="O26" s="362" t="str">
        <f t="shared" si="2"/>
        <v/>
      </c>
      <c r="P26" s="159"/>
      <c r="Q26" s="159"/>
      <c r="R26" s="382" t="str">
        <f t="shared" si="3"/>
        <v/>
      </c>
      <c r="S26" s="404" t="str">
        <f t="shared" si="0"/>
        <v/>
      </c>
      <c r="T26" s="387" t="str">
        <f>IFERROR(IF(S26="Check Data ⚠","Check Data ⚠",VLOOKUP(S26,'G-4 Temporal multipliers'!$A$4:$C$37,3,FALSE)),"")</f>
        <v/>
      </c>
      <c r="U26" s="385" t="str">
        <f>IF(F26="","",VLOOKUP(F26,'G-3 Multipliers'!$A$2:$E$134,2,FALSE))</f>
        <v/>
      </c>
      <c r="V26" s="382" t="str">
        <f t="shared" si="5"/>
        <v/>
      </c>
      <c r="W26" s="382" t="str">
        <f>IF(E26="","",IF(AND(V26="Standard difficulty applied",O26&gt;P26),U26,IF(AND(V26="Low Difficulty - only applicable if all habitat created before losses ⚠",P26&gt;=O26),"Low",VLOOKUP(F26,'G-3 Multipliers'!$A$2:$E$134,4,FALSE))))</f>
        <v/>
      </c>
      <c r="X26" s="386" t="str">
        <f>IFERROR(IF(E26="","",VLOOKUP(W26, 'G-3 Multipliers'!$P$2:$Q$6,2,FALSE)),"")</f>
        <v/>
      </c>
      <c r="Y26" s="516"/>
      <c r="Z26" s="724" t="str">
        <f>IF(Y26="","",IF(VLOOKUP(Y26,'G-3 Multipliers'!$S$3:$T$10,2,FALSE)=0,"Spatial Data Missing ⚠",VLOOKUP(Y26,'G-3 Multipliers'!$S$3:$T$10,2,FALSE)))</f>
        <v/>
      </c>
      <c r="AA26" s="741" t="str">
        <f t="shared" si="1"/>
        <v/>
      </c>
      <c r="AB26" s="405" t="str">
        <f t="shared" si="4"/>
        <v/>
      </c>
      <c r="AC26" s="119"/>
      <c r="AD26" s="528"/>
      <c r="AE26" s="120"/>
      <c r="AF26" s="120"/>
    </row>
    <row r="27" spans="1:32" ht="15">
      <c r="A27" s="30" t="str">
        <f>IFERROR(INDEX('G-8 Condition Look up'!$I$4:$I$135,MATCH(F27,'G-8 Condition Look up'!$A$4:$A$135,0)),"")</f>
        <v/>
      </c>
      <c r="C27" s="75" t="str">
        <f>IFERROR(INDEX('G-1 All Habitats'!$AG$3:$AG$17,MATCH(D27,'G-1 All Habitats'!$AF$3:$AF$17,0)),"")</f>
        <v/>
      </c>
      <c r="D27" s="122"/>
      <c r="E27" s="165"/>
      <c r="F27" s="198" t="str">
        <f>IFERROR(INDEX('G-1 All Habitats'!$B$3:$B$135,MATCH(E27,'G-1 All Habitats'!$A$3:$A$135,0)),"")</f>
        <v/>
      </c>
      <c r="G27" s="300"/>
      <c r="H27" s="398" t="str">
        <f>IF(F27="","",VLOOKUP(F27,'G-1 All Habitats'!$B$2:$M$134,10,FALSE))</f>
        <v/>
      </c>
      <c r="I27" s="386" t="str">
        <f>IFERROR(VLOOKUP(H27,'G-1 All Habitats'!$V$3:$W$7,2,FALSE),"")</f>
        <v/>
      </c>
      <c r="J27" s="162"/>
      <c r="K27" s="386" t="str">
        <f>IFERROR(INDEX('G-8 Condition Look up'!$A$3:$H$135,MATCH(F27,'G-8 Condition Look up'!$A$3:$A$135,0),MATCH(J27,'G-8 Condition Look up'!$A$3:$H$3,0)),"")</f>
        <v/>
      </c>
      <c r="L27" s="114"/>
      <c r="M27" s="401" t="str">
        <f>IF(L27="","",IF(VLOOKUP(L27,'G-3 Multipliers'!$L$3:$N$6,2,FALSE)=0,"Spatial Data Missing ⚠",VLOOKUP(L27,'G-3 Multipliers'!$L$3:$N$6,2,FALSE)))</f>
        <v/>
      </c>
      <c r="N27" s="363" t="str">
        <f>IF(L27="","",IF(VLOOKUP(L27,'G-3 Multipliers'!$L$3:$N$6,3,FALSE)=0,"Spatial Data Missing ⚠",VLOOKUP(L27,'G-3 Multipliers'!$L$3:$N$6,3,FALSE)))</f>
        <v/>
      </c>
      <c r="O27" s="362" t="str">
        <f t="shared" si="2"/>
        <v/>
      </c>
      <c r="P27" s="159"/>
      <c r="Q27" s="159"/>
      <c r="R27" s="382" t="str">
        <f t="shared" si="3"/>
        <v/>
      </c>
      <c r="S27" s="404" t="str">
        <f t="shared" si="0"/>
        <v/>
      </c>
      <c r="T27" s="387" t="str">
        <f>IFERROR(IF(S27="Check Data ⚠","Check Data ⚠",VLOOKUP(S27,'G-4 Temporal multipliers'!$A$4:$C$37,3,FALSE)),"")</f>
        <v/>
      </c>
      <c r="U27" s="385" t="str">
        <f>IF(F27="","",VLOOKUP(F27,'G-3 Multipliers'!$A$2:$E$134,2,FALSE))</f>
        <v/>
      </c>
      <c r="V27" s="382" t="str">
        <f t="shared" si="5"/>
        <v/>
      </c>
      <c r="W27" s="382" t="str">
        <f>IF(E27="","",IF(AND(V27="Standard difficulty applied",O27&gt;P27),U27,IF(AND(V27="Low Difficulty - only applicable if all habitat created before losses ⚠",P27&gt;=O27),"Low",VLOOKUP(F27,'G-3 Multipliers'!$A$2:$E$134,4,FALSE))))</f>
        <v/>
      </c>
      <c r="X27" s="386" t="str">
        <f>IFERROR(IF(E27="","",VLOOKUP(W27, 'G-3 Multipliers'!$P$2:$Q$6,2,FALSE)),"")</f>
        <v/>
      </c>
      <c r="Y27" s="516"/>
      <c r="Z27" s="724" t="str">
        <f>IF(Y27="","",IF(VLOOKUP(Y27,'G-3 Multipliers'!$S$3:$T$10,2,FALSE)=0,"Spatial Data Missing ⚠",VLOOKUP(Y27,'G-3 Multipliers'!$S$3:$T$10,2,FALSE)))</f>
        <v/>
      </c>
      <c r="AA27" s="741" t="str">
        <f t="shared" si="1"/>
        <v/>
      </c>
      <c r="AB27" s="405" t="str">
        <f t="shared" si="4"/>
        <v/>
      </c>
      <c r="AC27" s="119"/>
      <c r="AD27" s="528"/>
      <c r="AE27" s="120"/>
      <c r="AF27" s="120"/>
    </row>
    <row r="28" spans="1:32" ht="15">
      <c r="A28" s="30" t="str">
        <f>IFERROR(INDEX('G-8 Condition Look up'!$I$4:$I$135,MATCH(F28,'G-8 Condition Look up'!$A$4:$A$135,0)),"")</f>
        <v/>
      </c>
      <c r="C28" s="75" t="str">
        <f>IFERROR(INDEX('G-1 All Habitats'!$AG$3:$AG$17,MATCH(D28,'G-1 All Habitats'!$AF$3:$AF$17,0)),"")</f>
        <v/>
      </c>
      <c r="D28" s="122"/>
      <c r="E28" s="165"/>
      <c r="F28" s="198" t="str">
        <f>IFERROR(INDEX('G-1 All Habitats'!$B$3:$B$135,MATCH(E28,'G-1 All Habitats'!$A$3:$A$135,0)),"")</f>
        <v/>
      </c>
      <c r="G28" s="300"/>
      <c r="H28" s="398" t="str">
        <f>IF(F28="","",VLOOKUP(F28,'G-1 All Habitats'!$B$2:$M$134,10,FALSE))</f>
        <v/>
      </c>
      <c r="I28" s="386" t="str">
        <f>IFERROR(VLOOKUP(H28,'G-1 All Habitats'!$V$3:$W$7,2,FALSE),"")</f>
        <v/>
      </c>
      <c r="J28" s="162"/>
      <c r="K28" s="386" t="str">
        <f>IFERROR(INDEX('G-8 Condition Look up'!$A$3:$H$135,MATCH(F28,'G-8 Condition Look up'!$A$3:$A$135,0),MATCH(J28,'G-8 Condition Look up'!$A$3:$H$3,0)),"")</f>
        <v/>
      </c>
      <c r="L28" s="114"/>
      <c r="M28" s="401" t="str">
        <f>IF(L28="","",IF(VLOOKUP(L28,'G-3 Multipliers'!$L$3:$N$6,2,FALSE)=0,"Spatial Data Missing ⚠",VLOOKUP(L28,'G-3 Multipliers'!$L$3:$N$6,2,FALSE)))</f>
        <v/>
      </c>
      <c r="N28" s="363" t="str">
        <f>IF(L28="","",IF(VLOOKUP(L28,'G-3 Multipliers'!$L$3:$N$6,3,FALSE)=0,"Spatial Data Missing ⚠",VLOOKUP(L28,'G-3 Multipliers'!$L$3:$N$6,3,FALSE)))</f>
        <v/>
      </c>
      <c r="O28" s="362" t="str">
        <f t="shared" si="2"/>
        <v/>
      </c>
      <c r="P28" s="159"/>
      <c r="Q28" s="159"/>
      <c r="R28" s="382" t="str">
        <f t="shared" si="3"/>
        <v/>
      </c>
      <c r="S28" s="404" t="str">
        <f t="shared" si="0"/>
        <v/>
      </c>
      <c r="T28" s="387" t="str">
        <f>IFERROR(IF(S28="Check Data ⚠","Check Data ⚠",VLOOKUP(S28,'G-4 Temporal multipliers'!$A$4:$C$37,3,FALSE)),"")</f>
        <v/>
      </c>
      <c r="U28" s="385" t="str">
        <f>IF(F28="","",VLOOKUP(F28,'G-3 Multipliers'!$A$2:$E$134,2,FALSE))</f>
        <v/>
      </c>
      <c r="V28" s="382" t="str">
        <f t="shared" si="5"/>
        <v/>
      </c>
      <c r="W28" s="382" t="str">
        <f>IF(E28="","",IF(AND(V28="Standard difficulty applied",O28&gt;P28),U28,IF(AND(V28="Low Difficulty - only applicable if all habitat created before losses ⚠",P28&gt;=O28),"Low",VLOOKUP(F28,'G-3 Multipliers'!$A$2:$E$134,4,FALSE))))</f>
        <v/>
      </c>
      <c r="X28" s="386" t="str">
        <f>IFERROR(IF(E28="","",VLOOKUP(W28, 'G-3 Multipliers'!$P$2:$Q$6,2,FALSE)),"")</f>
        <v/>
      </c>
      <c r="Y28" s="516"/>
      <c r="Z28" s="724" t="str">
        <f>IF(Y28="","",IF(VLOOKUP(Y28,'G-3 Multipliers'!$S$3:$T$10,2,FALSE)=0,"Spatial Data Missing ⚠",VLOOKUP(Y28,'G-3 Multipliers'!$S$3:$T$10,2,FALSE)))</f>
        <v/>
      </c>
      <c r="AA28" s="741" t="str">
        <f t="shared" si="1"/>
        <v/>
      </c>
      <c r="AB28" s="405" t="str">
        <f t="shared" si="4"/>
        <v/>
      </c>
      <c r="AC28" s="119"/>
      <c r="AD28" s="528"/>
      <c r="AE28" s="120"/>
      <c r="AF28" s="120"/>
    </row>
    <row r="29" spans="1:32" ht="15">
      <c r="A29" s="30" t="str">
        <f>IFERROR(INDEX('G-8 Condition Look up'!$I$4:$I$135,MATCH(F29,'G-8 Condition Look up'!$A$4:$A$135,0)),"")</f>
        <v/>
      </c>
      <c r="C29" s="75" t="str">
        <f>IFERROR(INDEX('G-1 All Habitats'!$AG$3:$AG$17,MATCH(D29,'G-1 All Habitats'!$AF$3:$AF$17,0)),"")</f>
        <v/>
      </c>
      <c r="D29" s="122"/>
      <c r="E29" s="165"/>
      <c r="F29" s="198" t="str">
        <f>IFERROR(INDEX('G-1 All Habitats'!$B$3:$B$135,MATCH(E29,'G-1 All Habitats'!$A$3:$A$135,0)),"")</f>
        <v/>
      </c>
      <c r="G29" s="300"/>
      <c r="H29" s="398" t="str">
        <f>IF(F29="","",VLOOKUP(F29,'G-1 All Habitats'!$B$2:$M$134,10,FALSE))</f>
        <v/>
      </c>
      <c r="I29" s="386" t="str">
        <f>IFERROR(VLOOKUP(H29,'G-1 All Habitats'!$V$3:$W$7,2,FALSE),"")</f>
        <v/>
      </c>
      <c r="J29" s="162"/>
      <c r="K29" s="386" t="str">
        <f>IFERROR(INDEX('G-8 Condition Look up'!$A$3:$H$135,MATCH(F29,'G-8 Condition Look up'!$A$3:$A$135,0),MATCH(J29,'G-8 Condition Look up'!$A$3:$H$3,0)),"")</f>
        <v/>
      </c>
      <c r="L29" s="114"/>
      <c r="M29" s="401" t="str">
        <f>IF(L29="","",IF(VLOOKUP(L29,'G-3 Multipliers'!$L$3:$N$6,2,FALSE)=0,"Spatial Data Missing ⚠",VLOOKUP(L29,'G-3 Multipliers'!$L$3:$N$6,2,FALSE)))</f>
        <v/>
      </c>
      <c r="N29" s="363" t="str">
        <f>IF(L29="","",IF(VLOOKUP(L29,'G-3 Multipliers'!$L$3:$N$6,3,FALSE)=0,"Spatial Data Missing ⚠",VLOOKUP(L29,'G-3 Multipliers'!$L$3:$N$6,3,FALSE)))</f>
        <v/>
      </c>
      <c r="O29" s="362" t="str">
        <f t="shared" si="2"/>
        <v/>
      </c>
      <c r="P29" s="159"/>
      <c r="Q29" s="159"/>
      <c r="R29" s="382" t="str">
        <f t="shared" si="3"/>
        <v/>
      </c>
      <c r="S29" s="404" t="str">
        <f t="shared" si="0"/>
        <v/>
      </c>
      <c r="T29" s="387" t="str">
        <f>IFERROR(IF(S29="Check Data ⚠","Check Data ⚠",VLOOKUP(S29,'G-4 Temporal multipliers'!$A$4:$C$37,3,FALSE)),"")</f>
        <v/>
      </c>
      <c r="U29" s="385" t="str">
        <f>IF(F29="","",VLOOKUP(F29,'G-3 Multipliers'!$A$2:$E$134,2,FALSE))</f>
        <v/>
      </c>
      <c r="V29" s="382" t="str">
        <f t="shared" si="5"/>
        <v/>
      </c>
      <c r="W29" s="382" t="str">
        <f>IF(E29="","",IF(AND(V29="Standard difficulty applied",O29&gt;P29),U29,IF(AND(V29="Low Difficulty - only applicable if all habitat created before losses ⚠",P29&gt;=O29),"Low",VLOOKUP(F29,'G-3 Multipliers'!$A$2:$E$134,4,FALSE))))</f>
        <v/>
      </c>
      <c r="X29" s="386" t="str">
        <f>IFERROR(IF(E29="","",VLOOKUP(W29, 'G-3 Multipliers'!$P$2:$Q$6,2,FALSE)),"")</f>
        <v/>
      </c>
      <c r="Y29" s="516"/>
      <c r="Z29" s="724" t="str">
        <f>IF(Y29="","",IF(VLOOKUP(Y29,'G-3 Multipliers'!$S$3:$T$10,2,FALSE)=0,"Spatial Data Missing ⚠",VLOOKUP(Y29,'G-3 Multipliers'!$S$3:$T$10,2,FALSE)))</f>
        <v/>
      </c>
      <c r="AA29" s="741" t="str">
        <f t="shared" si="1"/>
        <v/>
      </c>
      <c r="AB29" s="405" t="str">
        <f t="shared" si="4"/>
        <v/>
      </c>
      <c r="AC29" s="119"/>
      <c r="AD29" s="528"/>
      <c r="AE29" s="120"/>
      <c r="AF29" s="120"/>
    </row>
    <row r="30" spans="1:32" ht="15">
      <c r="A30" s="30" t="str">
        <f>IFERROR(INDEX('G-8 Condition Look up'!$I$4:$I$135,MATCH(F30,'G-8 Condition Look up'!$A$4:$A$135,0)),"")</f>
        <v/>
      </c>
      <c r="C30" s="75" t="str">
        <f>IFERROR(INDEX('G-1 All Habitats'!$AG$3:$AG$17,MATCH(D30,'G-1 All Habitats'!$AF$3:$AF$17,0)),"")</f>
        <v/>
      </c>
      <c r="D30" s="122"/>
      <c r="E30" s="165"/>
      <c r="F30" s="198" t="str">
        <f>IFERROR(INDEX('G-1 All Habitats'!$B$3:$B$135,MATCH(E30,'G-1 All Habitats'!$A$3:$A$135,0)),"")</f>
        <v/>
      </c>
      <c r="G30" s="300"/>
      <c r="H30" s="398" t="str">
        <f>IF(F30="","",VLOOKUP(F30,'G-1 All Habitats'!$B$2:$M$134,10,FALSE))</f>
        <v/>
      </c>
      <c r="I30" s="386" t="str">
        <f>IFERROR(VLOOKUP(H30,'G-1 All Habitats'!$V$3:$W$7,2,FALSE),"")</f>
        <v/>
      </c>
      <c r="J30" s="162"/>
      <c r="K30" s="386" t="str">
        <f>IFERROR(INDEX('G-8 Condition Look up'!$A$3:$H$135,MATCH(F30,'G-8 Condition Look up'!$A$3:$A$135,0),MATCH(J30,'G-8 Condition Look up'!$A$3:$H$3,0)),"")</f>
        <v/>
      </c>
      <c r="L30" s="114"/>
      <c r="M30" s="401" t="str">
        <f>IF(L30="","",IF(VLOOKUP(L30,'G-3 Multipliers'!$L$3:$N$6,2,FALSE)=0,"Spatial Data Missing ⚠",VLOOKUP(L30,'G-3 Multipliers'!$L$3:$N$6,2,FALSE)))</f>
        <v/>
      </c>
      <c r="N30" s="363" t="str">
        <f>IF(L30="","",IF(VLOOKUP(L30,'G-3 Multipliers'!$L$3:$N$6,3,FALSE)=0,"Spatial Data Missing ⚠",VLOOKUP(L30,'G-3 Multipliers'!$L$3:$N$6,3,FALSE)))</f>
        <v/>
      </c>
      <c r="O30" s="362" t="str">
        <f t="shared" si="2"/>
        <v/>
      </c>
      <c r="P30" s="159"/>
      <c r="Q30" s="159"/>
      <c r="R30" s="382" t="str">
        <f t="shared" si="3"/>
        <v/>
      </c>
      <c r="S30" s="404" t="str">
        <f t="shared" si="0"/>
        <v/>
      </c>
      <c r="T30" s="387" t="str">
        <f>IFERROR(IF(S30="Check Data ⚠","Check Data ⚠",VLOOKUP(S30,'G-4 Temporal multipliers'!$A$4:$C$37,3,FALSE)),"")</f>
        <v/>
      </c>
      <c r="U30" s="385" t="str">
        <f>IF(F30="","",VLOOKUP(F30,'G-3 Multipliers'!$A$2:$E$134,2,FALSE))</f>
        <v/>
      </c>
      <c r="V30" s="382" t="str">
        <f t="shared" si="5"/>
        <v/>
      </c>
      <c r="W30" s="382" t="str">
        <f>IF(E30="","",IF(AND(V30="Standard difficulty applied",O30&gt;P30),U30,IF(AND(V30="Low Difficulty - only applicable if all habitat created before losses ⚠",P30&gt;=O30),"Low",VLOOKUP(F30,'G-3 Multipliers'!$A$2:$E$134,4,FALSE))))</f>
        <v/>
      </c>
      <c r="X30" s="386" t="str">
        <f>IFERROR(IF(E30="","",VLOOKUP(W30, 'G-3 Multipliers'!$P$2:$Q$6,2,FALSE)),"")</f>
        <v/>
      </c>
      <c r="Y30" s="516"/>
      <c r="Z30" s="724" t="str">
        <f>IF(Y30="","",IF(VLOOKUP(Y30,'G-3 Multipliers'!$S$3:$T$10,2,FALSE)=0,"Spatial Data Missing ⚠",VLOOKUP(Y30,'G-3 Multipliers'!$S$3:$T$10,2,FALSE)))</f>
        <v/>
      </c>
      <c r="AA30" s="741" t="str">
        <f t="shared" si="1"/>
        <v/>
      </c>
      <c r="AB30" s="405" t="str">
        <f t="shared" si="4"/>
        <v/>
      </c>
      <c r="AC30" s="119"/>
      <c r="AD30" s="528"/>
      <c r="AE30" s="120"/>
      <c r="AF30" s="120"/>
    </row>
    <row r="31" spans="1:32" ht="15">
      <c r="A31" s="30" t="str">
        <f>IFERROR(INDEX('G-8 Condition Look up'!$I$4:$I$135,MATCH(F31,'G-8 Condition Look up'!$A$4:$A$135,0)),"")</f>
        <v/>
      </c>
      <c r="C31" s="75" t="str">
        <f>IFERROR(INDEX('G-1 All Habitats'!$AG$3:$AG$17,MATCH(D31,'G-1 All Habitats'!$AF$3:$AF$17,0)),"")</f>
        <v/>
      </c>
      <c r="D31" s="122"/>
      <c r="E31" s="165"/>
      <c r="F31" s="198" t="str">
        <f>IFERROR(INDEX('G-1 All Habitats'!$B$3:$B$135,MATCH(E31,'G-1 All Habitats'!$A$3:$A$135,0)),"")</f>
        <v/>
      </c>
      <c r="G31" s="300"/>
      <c r="H31" s="398" t="str">
        <f>IF(F31="","",VLOOKUP(F31,'G-1 All Habitats'!$B$2:$M$134,10,FALSE))</f>
        <v/>
      </c>
      <c r="I31" s="386" t="str">
        <f>IFERROR(VLOOKUP(H31,'G-1 All Habitats'!$V$3:$W$7,2,FALSE),"")</f>
        <v/>
      </c>
      <c r="J31" s="162"/>
      <c r="K31" s="386" t="str">
        <f>IFERROR(INDEX('G-8 Condition Look up'!$A$3:$H$135,MATCH(F31,'G-8 Condition Look up'!$A$3:$A$135,0),MATCH(J31,'G-8 Condition Look up'!$A$3:$H$3,0)),"")</f>
        <v/>
      </c>
      <c r="L31" s="114"/>
      <c r="M31" s="401" t="str">
        <f>IF(L31="","",IF(VLOOKUP(L31,'G-3 Multipliers'!$L$3:$N$6,2,FALSE)=0,"Spatial Data Missing ⚠",VLOOKUP(L31,'G-3 Multipliers'!$L$3:$N$6,2,FALSE)))</f>
        <v/>
      </c>
      <c r="N31" s="363" t="str">
        <f>IF(L31="","",IF(VLOOKUP(L31,'G-3 Multipliers'!$L$3:$N$6,3,FALSE)=0,"Spatial Data Missing ⚠",VLOOKUP(L31,'G-3 Multipliers'!$L$3:$N$6,3,FALSE)))</f>
        <v/>
      </c>
      <c r="O31" s="362" t="str">
        <f t="shared" si="2"/>
        <v/>
      </c>
      <c r="P31" s="159"/>
      <c r="Q31" s="159"/>
      <c r="R31" s="382" t="str">
        <f t="shared" si="3"/>
        <v/>
      </c>
      <c r="S31" s="404" t="str">
        <f t="shared" si="0"/>
        <v/>
      </c>
      <c r="T31" s="387" t="str">
        <f>IFERROR(IF(S31="Check Data ⚠","Check Data ⚠",VLOOKUP(S31,'G-4 Temporal multipliers'!$A$4:$C$37,3,FALSE)),"")</f>
        <v/>
      </c>
      <c r="U31" s="385" t="str">
        <f>IF(F31="","",VLOOKUP(F31,'G-3 Multipliers'!$A$2:$E$134,2,FALSE))</f>
        <v/>
      </c>
      <c r="V31" s="382" t="str">
        <f t="shared" si="5"/>
        <v/>
      </c>
      <c r="W31" s="382" t="str">
        <f>IF(E31="","",IF(AND(V31="Standard difficulty applied",O31&gt;P31),U31,IF(AND(V31="Low Difficulty - only applicable if all habitat created before losses ⚠",P31&gt;=O31),"Low",VLOOKUP(F31,'G-3 Multipliers'!$A$2:$E$134,4,FALSE))))</f>
        <v/>
      </c>
      <c r="X31" s="386" t="str">
        <f>IFERROR(IF(E31="","",VLOOKUP(W31, 'G-3 Multipliers'!$P$2:$Q$6,2,FALSE)),"")</f>
        <v/>
      </c>
      <c r="Y31" s="516"/>
      <c r="Z31" s="724" t="str">
        <f>IF(Y31="","",IF(VLOOKUP(Y31,'G-3 Multipliers'!$S$3:$T$10,2,FALSE)=0,"Spatial Data Missing ⚠",VLOOKUP(Y31,'G-3 Multipliers'!$S$3:$T$10,2,FALSE)))</f>
        <v/>
      </c>
      <c r="AA31" s="741" t="str">
        <f t="shared" si="1"/>
        <v/>
      </c>
      <c r="AB31" s="405" t="str">
        <f t="shared" si="4"/>
        <v/>
      </c>
      <c r="AC31" s="119"/>
      <c r="AD31" s="528"/>
      <c r="AE31" s="120"/>
      <c r="AF31" s="120"/>
    </row>
    <row r="32" spans="1:32" ht="15">
      <c r="A32" s="30" t="str">
        <f>IFERROR(INDEX('G-8 Condition Look up'!$I$4:$I$135,MATCH(F32,'G-8 Condition Look up'!$A$4:$A$135,0)),"")</f>
        <v/>
      </c>
      <c r="C32" s="75" t="str">
        <f>IFERROR(INDEX('G-1 All Habitats'!$AG$3:$AG$17,MATCH(D32,'G-1 All Habitats'!$AF$3:$AF$17,0)),"")</f>
        <v/>
      </c>
      <c r="D32" s="122"/>
      <c r="E32" s="165"/>
      <c r="F32" s="198" t="str">
        <f>IFERROR(INDEX('G-1 All Habitats'!$B$3:$B$135,MATCH(E32,'G-1 All Habitats'!$A$3:$A$135,0)),"")</f>
        <v/>
      </c>
      <c r="G32" s="300"/>
      <c r="H32" s="398" t="str">
        <f>IF(F32="","",VLOOKUP(F32,'G-1 All Habitats'!$B$2:$M$134,10,FALSE))</f>
        <v/>
      </c>
      <c r="I32" s="386" t="str">
        <f>IFERROR(VLOOKUP(H32,'G-1 All Habitats'!$V$3:$W$7,2,FALSE),"")</f>
        <v/>
      </c>
      <c r="J32" s="162"/>
      <c r="K32" s="386" t="str">
        <f>IFERROR(INDEX('G-8 Condition Look up'!$A$3:$H$135,MATCH(F32,'G-8 Condition Look up'!$A$3:$A$135,0),MATCH(J32,'G-8 Condition Look up'!$A$3:$H$3,0)),"")</f>
        <v/>
      </c>
      <c r="L32" s="114"/>
      <c r="M32" s="401" t="str">
        <f>IF(L32="","",IF(VLOOKUP(L32,'G-3 Multipliers'!$L$3:$N$6,2,FALSE)=0,"Spatial Data Missing ⚠",VLOOKUP(L32,'G-3 Multipliers'!$L$3:$N$6,2,FALSE)))</f>
        <v/>
      </c>
      <c r="N32" s="363" t="str">
        <f>IF(L32="","",IF(VLOOKUP(L32,'G-3 Multipliers'!$L$3:$N$6,3,FALSE)=0,"Spatial Data Missing ⚠",VLOOKUP(L32,'G-3 Multipliers'!$L$3:$N$6,3,FALSE)))</f>
        <v/>
      </c>
      <c r="O32" s="362" t="str">
        <f t="shared" si="2"/>
        <v/>
      </c>
      <c r="P32" s="159"/>
      <c r="Q32" s="159"/>
      <c r="R32" s="382" t="str">
        <f t="shared" si="3"/>
        <v/>
      </c>
      <c r="S32" s="404" t="str">
        <f t="shared" si="0"/>
        <v/>
      </c>
      <c r="T32" s="387" t="str">
        <f>IFERROR(IF(S32="Check Data ⚠","Check Data ⚠",VLOOKUP(S32,'G-4 Temporal multipliers'!$A$4:$C$37,3,FALSE)),"")</f>
        <v/>
      </c>
      <c r="U32" s="385" t="str">
        <f>IF(F32="","",VLOOKUP(F32,'G-3 Multipliers'!$A$2:$E$134,2,FALSE))</f>
        <v/>
      </c>
      <c r="V32" s="382" t="str">
        <f t="shared" si="5"/>
        <v/>
      </c>
      <c r="W32" s="382" t="str">
        <f>IF(E32="","",IF(AND(V32="Standard difficulty applied",O32&gt;P32),U32,IF(AND(V32="Low Difficulty - only applicable if all habitat created before losses ⚠",P32&gt;=O32),"Low",VLOOKUP(F32,'G-3 Multipliers'!$A$2:$E$134,4,FALSE))))</f>
        <v/>
      </c>
      <c r="X32" s="386" t="str">
        <f>IFERROR(IF(E32="","",VLOOKUP(W32, 'G-3 Multipliers'!$P$2:$Q$6,2,FALSE)),"")</f>
        <v/>
      </c>
      <c r="Y32" s="516"/>
      <c r="Z32" s="724" t="str">
        <f>IF(Y32="","",IF(VLOOKUP(Y32,'G-3 Multipliers'!$S$3:$T$10,2,FALSE)=0,"Spatial Data Missing ⚠",VLOOKUP(Y32,'G-3 Multipliers'!$S$3:$T$10,2,FALSE)))</f>
        <v/>
      </c>
      <c r="AA32" s="741" t="str">
        <f t="shared" si="1"/>
        <v/>
      </c>
      <c r="AB32" s="405" t="str">
        <f t="shared" si="4"/>
        <v/>
      </c>
      <c r="AC32" s="119"/>
      <c r="AD32" s="528"/>
      <c r="AE32" s="120"/>
      <c r="AF32" s="120"/>
    </row>
    <row r="33" spans="1:32" ht="15">
      <c r="A33" s="30" t="str">
        <f>IFERROR(INDEX('G-8 Condition Look up'!$I$4:$I$135,MATCH(F33,'G-8 Condition Look up'!$A$4:$A$135,0)),"")</f>
        <v/>
      </c>
      <c r="C33" s="75" t="str">
        <f>IFERROR(INDEX('G-1 All Habitats'!$AG$3:$AG$17,MATCH(D33,'G-1 All Habitats'!$AF$3:$AF$17,0)),"")</f>
        <v/>
      </c>
      <c r="D33" s="122"/>
      <c r="E33" s="165"/>
      <c r="F33" s="198" t="str">
        <f>IFERROR(INDEX('G-1 All Habitats'!$B$3:$B$135,MATCH(E33,'G-1 All Habitats'!$A$3:$A$135,0)),"")</f>
        <v/>
      </c>
      <c r="G33" s="300"/>
      <c r="H33" s="398" t="str">
        <f>IF(F33="","",VLOOKUP(F33,'G-1 All Habitats'!$B$2:$M$134,10,FALSE))</f>
        <v/>
      </c>
      <c r="I33" s="386" t="str">
        <f>IFERROR(VLOOKUP(H33,'G-1 All Habitats'!$V$3:$W$7,2,FALSE),"")</f>
        <v/>
      </c>
      <c r="J33" s="162"/>
      <c r="K33" s="386" t="str">
        <f>IFERROR(INDEX('G-8 Condition Look up'!$A$3:$H$135,MATCH(F33,'G-8 Condition Look up'!$A$3:$A$135,0),MATCH(J33,'G-8 Condition Look up'!$A$3:$H$3,0)),"")</f>
        <v/>
      </c>
      <c r="L33" s="114"/>
      <c r="M33" s="401" t="str">
        <f>IF(L33="","",IF(VLOOKUP(L33,'G-3 Multipliers'!$L$3:$N$6,2,FALSE)=0,"Spatial Data Missing ⚠",VLOOKUP(L33,'G-3 Multipliers'!$L$3:$N$6,2,FALSE)))</f>
        <v/>
      </c>
      <c r="N33" s="363" t="str">
        <f>IF(L33="","",IF(VLOOKUP(L33,'G-3 Multipliers'!$L$3:$N$6,3,FALSE)=0,"Spatial Data Missing ⚠",VLOOKUP(L33,'G-3 Multipliers'!$L$3:$N$6,3,FALSE)))</f>
        <v/>
      </c>
      <c r="O33" s="362" t="str">
        <f t="shared" si="2"/>
        <v/>
      </c>
      <c r="P33" s="159"/>
      <c r="Q33" s="159"/>
      <c r="R33" s="382" t="str">
        <f t="shared" si="3"/>
        <v/>
      </c>
      <c r="S33" s="404" t="str">
        <f t="shared" si="0"/>
        <v/>
      </c>
      <c r="T33" s="387" t="str">
        <f>IFERROR(IF(S33="Check Data ⚠","Check Data ⚠",VLOOKUP(S33,'G-4 Temporal multipliers'!$A$4:$C$37,3,FALSE)),"")</f>
        <v/>
      </c>
      <c r="U33" s="385" t="str">
        <f>IF(F33="","",VLOOKUP(F33,'G-3 Multipliers'!$A$2:$E$134,2,FALSE))</f>
        <v/>
      </c>
      <c r="V33" s="382" t="str">
        <f t="shared" si="5"/>
        <v/>
      </c>
      <c r="W33" s="382" t="str">
        <f>IF(E33="","",IF(AND(V33="Standard difficulty applied",O33&gt;P33),U33,IF(AND(V33="Low Difficulty - only applicable if all habitat created before losses ⚠",P33&gt;=O33),"Low",VLOOKUP(F33,'G-3 Multipliers'!$A$2:$E$134,4,FALSE))))</f>
        <v/>
      </c>
      <c r="X33" s="386" t="str">
        <f>IFERROR(IF(E33="","",VLOOKUP(W33, 'G-3 Multipliers'!$P$2:$Q$6,2,FALSE)),"")</f>
        <v/>
      </c>
      <c r="Y33" s="516"/>
      <c r="Z33" s="724" t="str">
        <f>IF(Y33="","",IF(VLOOKUP(Y33,'G-3 Multipliers'!$S$3:$T$10,2,FALSE)=0,"Spatial Data Missing ⚠",VLOOKUP(Y33,'G-3 Multipliers'!$S$3:$T$10,2,FALSE)))</f>
        <v/>
      </c>
      <c r="AA33" s="741" t="str">
        <f t="shared" si="1"/>
        <v/>
      </c>
      <c r="AB33" s="405" t="str">
        <f t="shared" si="4"/>
        <v/>
      </c>
      <c r="AC33" s="119"/>
      <c r="AD33" s="528"/>
      <c r="AE33" s="120"/>
      <c r="AF33" s="120"/>
    </row>
    <row r="34" spans="1:32" ht="15">
      <c r="A34" s="30" t="str">
        <f>IFERROR(INDEX('G-8 Condition Look up'!$I$4:$I$135,MATCH(F34,'G-8 Condition Look up'!$A$4:$A$135,0)),"")</f>
        <v/>
      </c>
      <c r="C34" s="75" t="str">
        <f>IFERROR(INDEX('G-1 All Habitats'!$AG$3:$AG$17,MATCH(D34,'G-1 All Habitats'!$AF$3:$AF$17,0)),"")</f>
        <v/>
      </c>
      <c r="D34" s="122"/>
      <c r="E34" s="165"/>
      <c r="F34" s="198" t="str">
        <f>IFERROR(INDEX('G-1 All Habitats'!$B$3:$B$135,MATCH(E34,'G-1 All Habitats'!$A$3:$A$135,0)),"")</f>
        <v/>
      </c>
      <c r="G34" s="300"/>
      <c r="H34" s="398" t="str">
        <f>IF(F34="","",VLOOKUP(F34,'G-1 All Habitats'!$B$2:$M$134,10,FALSE))</f>
        <v/>
      </c>
      <c r="I34" s="386" t="str">
        <f>IFERROR(VLOOKUP(H34,'G-1 All Habitats'!$V$3:$W$7,2,FALSE),"")</f>
        <v/>
      </c>
      <c r="J34" s="162"/>
      <c r="K34" s="386" t="str">
        <f>IFERROR(INDEX('G-8 Condition Look up'!$A$3:$H$135,MATCH(F34,'G-8 Condition Look up'!$A$3:$A$135,0),MATCH(J34,'G-8 Condition Look up'!$A$3:$H$3,0)),"")</f>
        <v/>
      </c>
      <c r="L34" s="114"/>
      <c r="M34" s="401" t="str">
        <f>IF(L34="","",IF(VLOOKUP(L34,'G-3 Multipliers'!$L$3:$N$6,2,FALSE)=0,"Spatial Data Missing ⚠",VLOOKUP(L34,'G-3 Multipliers'!$L$3:$N$6,2,FALSE)))</f>
        <v/>
      </c>
      <c r="N34" s="363" t="str">
        <f>IF(L34="","",IF(VLOOKUP(L34,'G-3 Multipliers'!$L$3:$N$6,3,FALSE)=0,"Spatial Data Missing ⚠",VLOOKUP(L34,'G-3 Multipliers'!$L$3:$N$6,3,FALSE)))</f>
        <v/>
      </c>
      <c r="O34" s="362" t="str">
        <f t="shared" si="2"/>
        <v/>
      </c>
      <c r="P34" s="159"/>
      <c r="Q34" s="159"/>
      <c r="R34" s="382" t="str">
        <f t="shared" si="3"/>
        <v/>
      </c>
      <c r="S34" s="404" t="str">
        <f t="shared" si="0"/>
        <v/>
      </c>
      <c r="T34" s="387" t="str">
        <f>IFERROR(IF(S34="Check Data ⚠","Check Data ⚠",VLOOKUP(S34,'G-4 Temporal multipliers'!$A$4:$C$37,3,FALSE)),"")</f>
        <v/>
      </c>
      <c r="U34" s="385" t="str">
        <f>IF(F34="","",VLOOKUP(F34,'G-3 Multipliers'!$A$2:$E$134,2,FALSE))</f>
        <v/>
      </c>
      <c r="V34" s="382" t="str">
        <f t="shared" si="5"/>
        <v/>
      </c>
      <c r="W34" s="382" t="str">
        <f>IF(E34="","",IF(AND(V34="Standard difficulty applied",O34&gt;P34),U34,IF(AND(V34="Low Difficulty - only applicable if all habitat created before losses ⚠",P34&gt;=O34),"Low",VLOOKUP(F34,'G-3 Multipliers'!$A$2:$E$134,4,FALSE))))</f>
        <v/>
      </c>
      <c r="X34" s="386" t="str">
        <f>IFERROR(IF(E34="","",VLOOKUP(W34, 'G-3 Multipliers'!$P$2:$Q$6,2,FALSE)),"")</f>
        <v/>
      </c>
      <c r="Y34" s="516"/>
      <c r="Z34" s="724" t="str">
        <f>IF(Y34="","",IF(VLOOKUP(Y34,'G-3 Multipliers'!$S$3:$T$10,2,FALSE)=0,"Spatial Data Missing ⚠",VLOOKUP(Y34,'G-3 Multipliers'!$S$3:$T$10,2,FALSE)))</f>
        <v/>
      </c>
      <c r="AA34" s="741" t="str">
        <f t="shared" si="1"/>
        <v/>
      </c>
      <c r="AB34" s="405" t="str">
        <f t="shared" si="4"/>
        <v/>
      </c>
      <c r="AC34" s="119"/>
      <c r="AD34" s="528"/>
      <c r="AE34" s="120"/>
      <c r="AF34" s="120"/>
    </row>
    <row r="35" spans="1:32" ht="15">
      <c r="A35" s="30" t="str">
        <f>IFERROR(INDEX('G-8 Condition Look up'!$I$4:$I$135,MATCH(F35,'G-8 Condition Look up'!$A$4:$A$135,0)),"")</f>
        <v/>
      </c>
      <c r="C35" s="75" t="str">
        <f>IFERROR(INDEX('G-1 All Habitats'!$AG$3:$AG$17,MATCH(D35,'G-1 All Habitats'!$AF$3:$AF$17,0)),"")</f>
        <v/>
      </c>
      <c r="D35" s="122"/>
      <c r="E35" s="165"/>
      <c r="F35" s="198" t="str">
        <f>IFERROR(INDEX('G-1 All Habitats'!$B$3:$B$135,MATCH(E35,'G-1 All Habitats'!$A$3:$A$135,0)),"")</f>
        <v/>
      </c>
      <c r="G35" s="300"/>
      <c r="H35" s="398" t="str">
        <f>IF(F35="","",VLOOKUP(F35,'G-1 All Habitats'!$B$2:$M$134,10,FALSE))</f>
        <v/>
      </c>
      <c r="I35" s="386" t="str">
        <f>IFERROR(VLOOKUP(H35,'G-1 All Habitats'!$V$3:$W$7,2,FALSE),"")</f>
        <v/>
      </c>
      <c r="J35" s="162"/>
      <c r="K35" s="386" t="str">
        <f>IFERROR(INDEX('G-8 Condition Look up'!$A$3:$H$135,MATCH(F35,'G-8 Condition Look up'!$A$3:$A$135,0),MATCH(J35,'G-8 Condition Look up'!$A$3:$H$3,0)),"")</f>
        <v/>
      </c>
      <c r="L35" s="114"/>
      <c r="M35" s="401" t="str">
        <f>IF(L35="","",IF(VLOOKUP(L35,'G-3 Multipliers'!$L$3:$N$6,2,FALSE)=0,"Spatial Data Missing ⚠",VLOOKUP(L35,'G-3 Multipliers'!$L$3:$N$6,2,FALSE)))</f>
        <v/>
      </c>
      <c r="N35" s="363" t="str">
        <f>IF(L35="","",IF(VLOOKUP(L35,'G-3 Multipliers'!$L$3:$N$6,3,FALSE)=0,"Spatial Data Missing ⚠",VLOOKUP(L35,'G-3 Multipliers'!$L$3:$N$6,3,FALSE)))</f>
        <v/>
      </c>
      <c r="O35" s="362" t="str">
        <f t="shared" si="2"/>
        <v/>
      </c>
      <c r="P35" s="159"/>
      <c r="Q35" s="159"/>
      <c r="R35" s="382" t="str">
        <f t="shared" si="3"/>
        <v/>
      </c>
      <c r="S35" s="404" t="str">
        <f t="shared" si="0"/>
        <v/>
      </c>
      <c r="T35" s="387" t="str">
        <f>IFERROR(IF(S35="Check Data ⚠","Check Data ⚠",VLOOKUP(S35,'G-4 Temporal multipliers'!$A$4:$C$37,3,FALSE)),"")</f>
        <v/>
      </c>
      <c r="U35" s="385" t="str">
        <f>IF(F35="","",VLOOKUP(F35,'G-3 Multipliers'!$A$2:$E$134,2,FALSE))</f>
        <v/>
      </c>
      <c r="V35" s="382" t="str">
        <f t="shared" si="5"/>
        <v/>
      </c>
      <c r="W35" s="382" t="str">
        <f>IF(E35="","",IF(AND(V35="Standard difficulty applied",O35&gt;P35),U35,IF(AND(V35="Low Difficulty - only applicable if all habitat created before losses ⚠",P35&gt;=O35),"Low",VLOOKUP(F35,'G-3 Multipliers'!$A$2:$E$134,4,FALSE))))</f>
        <v/>
      </c>
      <c r="X35" s="386" t="str">
        <f>IFERROR(IF(E35="","",VLOOKUP(W35, 'G-3 Multipliers'!$P$2:$Q$6,2,FALSE)),"")</f>
        <v/>
      </c>
      <c r="Y35" s="516"/>
      <c r="Z35" s="724" t="str">
        <f>IF(Y35="","",IF(VLOOKUP(Y35,'G-3 Multipliers'!$S$3:$T$10,2,FALSE)=0,"Spatial Data Missing ⚠",VLOOKUP(Y35,'G-3 Multipliers'!$S$3:$T$10,2,FALSE)))</f>
        <v/>
      </c>
      <c r="AA35" s="741" t="str">
        <f t="shared" si="1"/>
        <v/>
      </c>
      <c r="AB35" s="405" t="str">
        <f t="shared" si="4"/>
        <v/>
      </c>
      <c r="AC35" s="119"/>
      <c r="AD35" s="528"/>
      <c r="AE35" s="120"/>
      <c r="AF35" s="120"/>
    </row>
    <row r="36" spans="1:32" ht="15">
      <c r="A36" s="30" t="str">
        <f>IFERROR(INDEX('G-8 Condition Look up'!$I$4:$I$135,MATCH(F36,'G-8 Condition Look up'!$A$4:$A$135,0)),"")</f>
        <v/>
      </c>
      <c r="C36" s="75" t="str">
        <f>IFERROR(INDEX('G-1 All Habitats'!$AG$3:$AG$17,MATCH(D36,'G-1 All Habitats'!$AF$3:$AF$17,0)),"")</f>
        <v/>
      </c>
      <c r="D36" s="122"/>
      <c r="E36" s="165"/>
      <c r="F36" s="198" t="str">
        <f>IFERROR(INDEX('G-1 All Habitats'!$B$3:$B$135,MATCH(E36,'G-1 All Habitats'!$A$3:$A$135,0)),"")</f>
        <v/>
      </c>
      <c r="G36" s="300"/>
      <c r="H36" s="398" t="str">
        <f>IF(F36="","",VLOOKUP(F36,'G-1 All Habitats'!$B$2:$M$134,10,FALSE))</f>
        <v/>
      </c>
      <c r="I36" s="386" t="str">
        <f>IFERROR(VLOOKUP(H36,'G-1 All Habitats'!$V$3:$W$7,2,FALSE),"")</f>
        <v/>
      </c>
      <c r="J36" s="162"/>
      <c r="K36" s="386" t="str">
        <f>IFERROR(INDEX('G-8 Condition Look up'!$A$3:$H$135,MATCH(F36,'G-8 Condition Look up'!$A$3:$A$135,0),MATCH(J36,'G-8 Condition Look up'!$A$3:$H$3,0)),"")</f>
        <v/>
      </c>
      <c r="L36" s="114"/>
      <c r="M36" s="401" t="str">
        <f>IF(L36="","",IF(VLOOKUP(L36,'G-3 Multipliers'!$L$3:$N$6,2,FALSE)=0,"Spatial Data Missing ⚠",VLOOKUP(L36,'G-3 Multipliers'!$L$3:$N$6,2,FALSE)))</f>
        <v/>
      </c>
      <c r="N36" s="363" t="str">
        <f>IF(L36="","",IF(VLOOKUP(L36,'G-3 Multipliers'!$L$3:$N$6,3,FALSE)=0,"Spatial Data Missing ⚠",VLOOKUP(L36,'G-3 Multipliers'!$L$3:$N$6,3,FALSE)))</f>
        <v/>
      </c>
      <c r="O36" s="362" t="str">
        <f t="shared" si="2"/>
        <v/>
      </c>
      <c r="P36" s="159"/>
      <c r="Q36" s="159"/>
      <c r="R36" s="382" t="str">
        <f t="shared" si="3"/>
        <v/>
      </c>
      <c r="S36" s="404" t="str">
        <f t="shared" si="0"/>
        <v/>
      </c>
      <c r="T36" s="387" t="str">
        <f>IFERROR(IF(S36="Check Data ⚠","Check Data ⚠",VLOOKUP(S36,'G-4 Temporal multipliers'!$A$4:$C$37,3,FALSE)),"")</f>
        <v/>
      </c>
      <c r="U36" s="385" t="str">
        <f>IF(F36="","",VLOOKUP(F36,'G-3 Multipliers'!$A$2:$E$134,2,FALSE))</f>
        <v/>
      </c>
      <c r="V36" s="382" t="str">
        <f t="shared" si="5"/>
        <v/>
      </c>
      <c r="W36" s="382" t="str">
        <f>IF(E36="","",IF(AND(V36="Standard difficulty applied",O36&gt;P36),U36,IF(AND(V36="Low Difficulty - only applicable if all habitat created before losses ⚠",P36&gt;=O36),"Low",VLOOKUP(F36,'G-3 Multipliers'!$A$2:$E$134,4,FALSE))))</f>
        <v/>
      </c>
      <c r="X36" s="386" t="str">
        <f>IFERROR(IF(E36="","",VLOOKUP(W36, 'G-3 Multipliers'!$P$2:$Q$6,2,FALSE)),"")</f>
        <v/>
      </c>
      <c r="Y36" s="516"/>
      <c r="Z36" s="724" t="str">
        <f>IF(Y36="","",IF(VLOOKUP(Y36,'G-3 Multipliers'!$S$3:$T$10,2,FALSE)=0,"Spatial Data Missing ⚠",VLOOKUP(Y36,'G-3 Multipliers'!$S$3:$T$10,2,FALSE)))</f>
        <v/>
      </c>
      <c r="AA36" s="741" t="str">
        <f t="shared" si="1"/>
        <v/>
      </c>
      <c r="AB36" s="405" t="str">
        <f t="shared" si="4"/>
        <v/>
      </c>
      <c r="AC36" s="119"/>
      <c r="AD36" s="528"/>
      <c r="AE36" s="120"/>
      <c r="AF36" s="120"/>
    </row>
    <row r="37" spans="1:32" ht="15">
      <c r="A37" s="30" t="str">
        <f>IFERROR(INDEX('G-8 Condition Look up'!$I$4:$I$135,MATCH(F37,'G-8 Condition Look up'!$A$4:$A$135,0)),"")</f>
        <v/>
      </c>
      <c r="C37" s="75" t="str">
        <f>IFERROR(INDEX('G-1 All Habitats'!$AG$3:$AG$17,MATCH(D37,'G-1 All Habitats'!$AF$3:$AF$17,0)),"")</f>
        <v/>
      </c>
      <c r="D37" s="122"/>
      <c r="E37" s="165"/>
      <c r="F37" s="198" t="str">
        <f>IFERROR(INDEX('G-1 All Habitats'!$B$3:$B$135,MATCH(E37,'G-1 All Habitats'!$A$3:$A$135,0)),"")</f>
        <v/>
      </c>
      <c r="G37" s="300"/>
      <c r="H37" s="398" t="str">
        <f>IF(F37="","",VLOOKUP(F37,'G-1 All Habitats'!$B$2:$M$134,10,FALSE))</f>
        <v/>
      </c>
      <c r="I37" s="386" t="str">
        <f>IFERROR(VLOOKUP(H37,'G-1 All Habitats'!$V$3:$W$7,2,FALSE),"")</f>
        <v/>
      </c>
      <c r="J37" s="162"/>
      <c r="K37" s="386" t="str">
        <f>IFERROR(INDEX('G-8 Condition Look up'!$A$3:$H$135,MATCH(F37,'G-8 Condition Look up'!$A$3:$A$135,0),MATCH(J37,'G-8 Condition Look up'!$A$3:$H$3,0)),"")</f>
        <v/>
      </c>
      <c r="L37" s="114"/>
      <c r="M37" s="401" t="str">
        <f>IF(L37="","",IF(VLOOKUP(L37,'G-3 Multipliers'!$L$3:$N$6,2,FALSE)=0,"Spatial Data Missing ⚠",VLOOKUP(L37,'G-3 Multipliers'!$L$3:$N$6,2,FALSE)))</f>
        <v/>
      </c>
      <c r="N37" s="363" t="str">
        <f>IF(L37="","",IF(VLOOKUP(L37,'G-3 Multipliers'!$L$3:$N$6,3,FALSE)=0,"Spatial Data Missing ⚠",VLOOKUP(L37,'G-3 Multipliers'!$L$3:$N$6,3,FALSE)))</f>
        <v/>
      </c>
      <c r="O37" s="362" t="str">
        <f t="shared" si="2"/>
        <v/>
      </c>
      <c r="P37" s="159"/>
      <c r="Q37" s="159"/>
      <c r="R37" s="382" t="str">
        <f t="shared" si="3"/>
        <v/>
      </c>
      <c r="S37" s="404" t="str">
        <f t="shared" si="0"/>
        <v/>
      </c>
      <c r="T37" s="387" t="str">
        <f>IFERROR(IF(S37="Check Data ⚠","Check Data ⚠",VLOOKUP(S37,'G-4 Temporal multipliers'!$A$4:$C$37,3,FALSE)),"")</f>
        <v/>
      </c>
      <c r="U37" s="385" t="str">
        <f>IF(F37="","",VLOOKUP(F37,'G-3 Multipliers'!$A$2:$E$134,2,FALSE))</f>
        <v/>
      </c>
      <c r="V37" s="382" t="str">
        <f t="shared" si="5"/>
        <v/>
      </c>
      <c r="W37" s="382" t="str">
        <f>IF(E37="","",IF(AND(V37="Standard difficulty applied",O37&gt;P37),U37,IF(AND(V37="Low Difficulty - only applicable if all habitat created before losses ⚠",P37&gt;=O37),"Low",VLOOKUP(F37,'G-3 Multipliers'!$A$2:$E$134,4,FALSE))))</f>
        <v/>
      </c>
      <c r="X37" s="386" t="str">
        <f>IFERROR(IF(E37="","",VLOOKUP(W37, 'G-3 Multipliers'!$P$2:$Q$6,2,FALSE)),"")</f>
        <v/>
      </c>
      <c r="Y37" s="516"/>
      <c r="Z37" s="724" t="str">
        <f>IF(Y37="","",IF(VLOOKUP(Y37,'G-3 Multipliers'!$S$3:$T$10,2,FALSE)=0,"Spatial Data Missing ⚠",VLOOKUP(Y37,'G-3 Multipliers'!$S$3:$T$10,2,FALSE)))</f>
        <v/>
      </c>
      <c r="AA37" s="741" t="str">
        <f t="shared" si="1"/>
        <v/>
      </c>
      <c r="AB37" s="405" t="str">
        <f t="shared" si="4"/>
        <v/>
      </c>
      <c r="AC37" s="119"/>
      <c r="AD37" s="528"/>
      <c r="AE37" s="120"/>
      <c r="AF37" s="120"/>
    </row>
    <row r="38" spans="1:32" ht="15">
      <c r="A38" s="30" t="str">
        <f>IFERROR(INDEX('G-8 Condition Look up'!$I$4:$I$135,MATCH(F38,'G-8 Condition Look up'!$A$4:$A$135,0)),"")</f>
        <v/>
      </c>
      <c r="C38" s="75" t="str">
        <f>IFERROR(INDEX('G-1 All Habitats'!$AG$3:$AG$17,MATCH(D38,'G-1 All Habitats'!$AF$3:$AF$17,0)),"")</f>
        <v/>
      </c>
      <c r="D38" s="122"/>
      <c r="E38" s="165"/>
      <c r="F38" s="198" t="str">
        <f>IFERROR(INDEX('G-1 All Habitats'!$B$3:$B$135,MATCH(E38,'G-1 All Habitats'!$A$3:$A$135,0)),"")</f>
        <v/>
      </c>
      <c r="G38" s="300"/>
      <c r="H38" s="398" t="str">
        <f>IF(F38="","",VLOOKUP(F38,'G-1 All Habitats'!$B$2:$M$134,10,FALSE))</f>
        <v/>
      </c>
      <c r="I38" s="386" t="str">
        <f>IFERROR(VLOOKUP(H38,'G-1 All Habitats'!$V$3:$W$7,2,FALSE),"")</f>
        <v/>
      </c>
      <c r="J38" s="162"/>
      <c r="K38" s="386" t="str">
        <f>IFERROR(INDEX('G-8 Condition Look up'!$A$3:$H$135,MATCH(F38,'G-8 Condition Look up'!$A$3:$A$135,0),MATCH(J38,'G-8 Condition Look up'!$A$3:$H$3,0)),"")</f>
        <v/>
      </c>
      <c r="L38" s="114"/>
      <c r="M38" s="401" t="str">
        <f>IF(L38="","",IF(VLOOKUP(L38,'G-3 Multipliers'!$L$3:$N$6,2,FALSE)=0,"Spatial Data Missing ⚠",VLOOKUP(L38,'G-3 Multipliers'!$L$3:$N$6,2,FALSE)))</f>
        <v/>
      </c>
      <c r="N38" s="363" t="str">
        <f>IF(L38="","",IF(VLOOKUP(L38,'G-3 Multipliers'!$L$3:$N$6,3,FALSE)=0,"Spatial Data Missing ⚠",VLOOKUP(L38,'G-3 Multipliers'!$L$3:$N$6,3,FALSE)))</f>
        <v/>
      </c>
      <c r="O38" s="362" t="str">
        <f t="shared" si="2"/>
        <v/>
      </c>
      <c r="P38" s="159"/>
      <c r="Q38" s="159"/>
      <c r="R38" s="382" t="str">
        <f t="shared" si="3"/>
        <v/>
      </c>
      <c r="S38" s="404" t="str">
        <f t="shared" si="0"/>
        <v/>
      </c>
      <c r="T38" s="387" t="str">
        <f>IFERROR(IF(S38="Check Data ⚠","Check Data ⚠",VLOOKUP(S38,'G-4 Temporal multipliers'!$A$4:$C$37,3,FALSE)),"")</f>
        <v/>
      </c>
      <c r="U38" s="385" t="str">
        <f>IF(F38="","",VLOOKUP(F38,'G-3 Multipliers'!$A$2:$E$134,2,FALSE))</f>
        <v/>
      </c>
      <c r="V38" s="382" t="str">
        <f t="shared" si="5"/>
        <v/>
      </c>
      <c r="W38" s="382" t="str">
        <f>IF(E38="","",IF(AND(V38="Standard difficulty applied",O38&gt;P38),U38,IF(AND(V38="Low Difficulty - only applicable if all habitat created before losses ⚠",P38&gt;=O38),"Low",VLOOKUP(F38,'G-3 Multipliers'!$A$2:$E$134,4,FALSE))))</f>
        <v/>
      </c>
      <c r="X38" s="386" t="str">
        <f>IFERROR(IF(E38="","",VLOOKUP(W38, 'G-3 Multipliers'!$P$2:$Q$6,2,FALSE)),"")</f>
        <v/>
      </c>
      <c r="Y38" s="516"/>
      <c r="Z38" s="724" t="str">
        <f>IF(Y38="","",IF(VLOOKUP(Y38,'G-3 Multipliers'!$S$3:$T$10,2,FALSE)=0,"Spatial Data Missing ⚠",VLOOKUP(Y38,'G-3 Multipliers'!$S$3:$T$10,2,FALSE)))</f>
        <v/>
      </c>
      <c r="AA38" s="741" t="str">
        <f t="shared" si="1"/>
        <v/>
      </c>
      <c r="AB38" s="405" t="str">
        <f t="shared" si="4"/>
        <v/>
      </c>
      <c r="AC38" s="119"/>
      <c r="AD38" s="528"/>
      <c r="AE38" s="120"/>
      <c r="AF38" s="120"/>
    </row>
    <row r="39" spans="1:32" ht="15">
      <c r="A39" s="30" t="str">
        <f>IFERROR(INDEX('G-8 Condition Look up'!$I$4:$I$135,MATCH(F39,'G-8 Condition Look up'!$A$4:$A$135,0)),"")</f>
        <v/>
      </c>
      <c r="C39" s="75" t="str">
        <f>IFERROR(INDEX('G-1 All Habitats'!$AG$3:$AG$17,MATCH(D39,'G-1 All Habitats'!$AF$3:$AF$17,0)),"")</f>
        <v/>
      </c>
      <c r="D39" s="122"/>
      <c r="E39" s="165"/>
      <c r="F39" s="198" t="str">
        <f>IFERROR(INDEX('G-1 All Habitats'!$B$3:$B$135,MATCH(E39,'G-1 All Habitats'!$A$3:$A$135,0)),"")</f>
        <v/>
      </c>
      <c r="G39" s="300"/>
      <c r="H39" s="398" t="str">
        <f>IF(F39="","",VLOOKUP(F39,'G-1 All Habitats'!$B$2:$M$134,10,FALSE))</f>
        <v/>
      </c>
      <c r="I39" s="386" t="str">
        <f>IFERROR(VLOOKUP(H39,'G-1 All Habitats'!$V$3:$W$7,2,FALSE),"")</f>
        <v/>
      </c>
      <c r="J39" s="162"/>
      <c r="K39" s="386" t="str">
        <f>IFERROR(INDEX('G-8 Condition Look up'!$A$3:$H$135,MATCH(F39,'G-8 Condition Look up'!$A$3:$A$135,0),MATCH(J39,'G-8 Condition Look up'!$A$3:$H$3,0)),"")</f>
        <v/>
      </c>
      <c r="L39" s="114"/>
      <c r="M39" s="401" t="str">
        <f>IF(L39="","",IF(VLOOKUP(L39,'G-3 Multipliers'!$L$3:$N$6,2,FALSE)=0,"Spatial Data Missing ⚠",VLOOKUP(L39,'G-3 Multipliers'!$L$3:$N$6,2,FALSE)))</f>
        <v/>
      </c>
      <c r="N39" s="363" t="str">
        <f>IF(L39="","",IF(VLOOKUP(L39,'G-3 Multipliers'!$L$3:$N$6,3,FALSE)=0,"Spatial Data Missing ⚠",VLOOKUP(L39,'G-3 Multipliers'!$L$3:$N$6,3,FALSE)))</f>
        <v/>
      </c>
      <c r="O39" s="362" t="str">
        <f t="shared" si="2"/>
        <v/>
      </c>
      <c r="P39" s="159"/>
      <c r="Q39" s="159"/>
      <c r="R39" s="382" t="str">
        <f t="shared" si="3"/>
        <v/>
      </c>
      <c r="S39" s="404" t="str">
        <f t="shared" si="0"/>
        <v/>
      </c>
      <c r="T39" s="387" t="str">
        <f>IFERROR(IF(S39="Check Data ⚠","Check Data ⚠",VLOOKUP(S39,'G-4 Temporal multipliers'!$A$4:$C$37,3,FALSE)),"")</f>
        <v/>
      </c>
      <c r="U39" s="385" t="str">
        <f>IF(F39="","",VLOOKUP(F39,'G-3 Multipliers'!$A$2:$E$134,2,FALSE))</f>
        <v/>
      </c>
      <c r="V39" s="382" t="str">
        <f t="shared" si="5"/>
        <v/>
      </c>
      <c r="W39" s="382" t="str">
        <f>IF(E39="","",IF(AND(V39="Standard difficulty applied",O39&gt;P39),U39,IF(AND(V39="Low Difficulty - only applicable if all habitat created before losses ⚠",P39&gt;=O39),"Low",VLOOKUP(F39,'G-3 Multipliers'!$A$2:$E$134,4,FALSE))))</f>
        <v/>
      </c>
      <c r="X39" s="386" t="str">
        <f>IFERROR(IF(E39="","",VLOOKUP(W39, 'G-3 Multipliers'!$P$2:$Q$6,2,FALSE)),"")</f>
        <v/>
      </c>
      <c r="Y39" s="516"/>
      <c r="Z39" s="724" t="str">
        <f>IF(Y39="","",IF(VLOOKUP(Y39,'G-3 Multipliers'!$S$3:$T$10,2,FALSE)=0,"Spatial Data Missing ⚠",VLOOKUP(Y39,'G-3 Multipliers'!$S$3:$T$10,2,FALSE)))</f>
        <v/>
      </c>
      <c r="AA39" s="741" t="str">
        <f t="shared" si="1"/>
        <v/>
      </c>
      <c r="AB39" s="405" t="str">
        <f t="shared" si="4"/>
        <v/>
      </c>
      <c r="AC39" s="119"/>
      <c r="AD39" s="528"/>
      <c r="AE39" s="120"/>
      <c r="AF39" s="120"/>
    </row>
    <row r="40" spans="1:32" ht="15">
      <c r="A40" s="30" t="str">
        <f>IFERROR(INDEX('G-8 Condition Look up'!$I$4:$I$135,MATCH(F40,'G-8 Condition Look up'!$A$4:$A$135,0)),"")</f>
        <v/>
      </c>
      <c r="C40" s="75" t="str">
        <f>IFERROR(INDEX('G-1 All Habitats'!$AG$3:$AG$17,MATCH(D40,'G-1 All Habitats'!$AF$3:$AF$17,0)),"")</f>
        <v/>
      </c>
      <c r="D40" s="122"/>
      <c r="E40" s="165"/>
      <c r="F40" s="198" t="str">
        <f>IFERROR(INDEX('G-1 All Habitats'!$B$3:$B$135,MATCH(E40,'G-1 All Habitats'!$A$3:$A$135,0)),"")</f>
        <v/>
      </c>
      <c r="G40" s="300"/>
      <c r="H40" s="398" t="str">
        <f>IF(F40="","",VLOOKUP(F40,'G-1 All Habitats'!$B$2:$M$134,10,FALSE))</f>
        <v/>
      </c>
      <c r="I40" s="386" t="str">
        <f>IFERROR(VLOOKUP(H40,'G-1 All Habitats'!$V$3:$W$7,2,FALSE),"")</f>
        <v/>
      </c>
      <c r="J40" s="162"/>
      <c r="K40" s="386" t="str">
        <f>IFERROR(INDEX('G-8 Condition Look up'!$A$3:$H$135,MATCH(F40,'G-8 Condition Look up'!$A$3:$A$135,0),MATCH(J40,'G-8 Condition Look up'!$A$3:$H$3,0)),"")</f>
        <v/>
      </c>
      <c r="L40" s="114"/>
      <c r="M40" s="401" t="str">
        <f>IF(L40="","",IF(VLOOKUP(L40,'G-3 Multipliers'!$L$3:$N$6,2,FALSE)=0,"Spatial Data Missing ⚠",VLOOKUP(L40,'G-3 Multipliers'!$L$3:$N$6,2,FALSE)))</f>
        <v/>
      </c>
      <c r="N40" s="363" t="str">
        <f>IF(L40="","",IF(VLOOKUP(L40,'G-3 Multipliers'!$L$3:$N$6,3,FALSE)=0,"Spatial Data Missing ⚠",VLOOKUP(L40,'G-3 Multipliers'!$L$3:$N$6,3,FALSE)))</f>
        <v/>
      </c>
      <c r="O40" s="362" t="str">
        <f t="shared" si="2"/>
        <v/>
      </c>
      <c r="P40" s="159"/>
      <c r="Q40" s="159"/>
      <c r="R40" s="382" t="str">
        <f t="shared" si="3"/>
        <v/>
      </c>
      <c r="S40" s="404" t="str">
        <f t="shared" si="0"/>
        <v/>
      </c>
      <c r="T40" s="387" t="str">
        <f>IFERROR(IF(S40="Check Data ⚠","Check Data ⚠",VLOOKUP(S40,'G-4 Temporal multipliers'!$A$4:$C$37,3,FALSE)),"")</f>
        <v/>
      </c>
      <c r="U40" s="385" t="str">
        <f>IF(F40="","",VLOOKUP(F40,'G-3 Multipliers'!$A$2:$E$134,2,FALSE))</f>
        <v/>
      </c>
      <c r="V40" s="382" t="str">
        <f t="shared" si="5"/>
        <v/>
      </c>
      <c r="W40" s="382" t="str">
        <f>IF(E40="","",IF(AND(V40="Standard difficulty applied",O40&gt;P40),U40,IF(AND(V40="Low Difficulty - only applicable if all habitat created before losses ⚠",P40&gt;=O40),"Low",VLOOKUP(F40,'G-3 Multipliers'!$A$2:$E$134,4,FALSE))))</f>
        <v/>
      </c>
      <c r="X40" s="386" t="str">
        <f>IFERROR(IF(E40="","",VLOOKUP(W40, 'G-3 Multipliers'!$P$2:$Q$6,2,FALSE)),"")</f>
        <v/>
      </c>
      <c r="Y40" s="516"/>
      <c r="Z40" s="724" t="str">
        <f>IF(Y40="","",IF(VLOOKUP(Y40,'G-3 Multipliers'!$S$3:$T$10,2,FALSE)=0,"Spatial Data Missing ⚠",VLOOKUP(Y40,'G-3 Multipliers'!$S$3:$T$10,2,FALSE)))</f>
        <v/>
      </c>
      <c r="AA40" s="741" t="str">
        <f t="shared" si="1"/>
        <v/>
      </c>
      <c r="AB40" s="405" t="str">
        <f t="shared" si="4"/>
        <v/>
      </c>
      <c r="AC40" s="119"/>
      <c r="AD40" s="528"/>
      <c r="AE40" s="120"/>
      <c r="AF40" s="120"/>
    </row>
    <row r="41" spans="1:32" ht="15">
      <c r="A41" s="30" t="str">
        <f>IFERROR(INDEX('G-8 Condition Look up'!$I$4:$I$135,MATCH(F41,'G-8 Condition Look up'!$A$4:$A$135,0)),"")</f>
        <v/>
      </c>
      <c r="C41" s="75" t="str">
        <f>IFERROR(INDEX('G-1 All Habitats'!$AG$3:$AG$17,MATCH(D41,'G-1 All Habitats'!$AF$3:$AF$17,0)),"")</f>
        <v/>
      </c>
      <c r="D41" s="122"/>
      <c r="E41" s="165"/>
      <c r="F41" s="198" t="str">
        <f>IFERROR(INDEX('G-1 All Habitats'!$B$3:$B$135,MATCH(E41,'G-1 All Habitats'!$A$3:$A$135,0)),"")</f>
        <v/>
      </c>
      <c r="G41" s="300"/>
      <c r="H41" s="398" t="str">
        <f>IF(F41="","",VLOOKUP(F41,'G-1 All Habitats'!$B$2:$M$134,10,FALSE))</f>
        <v/>
      </c>
      <c r="I41" s="386" t="str">
        <f>IFERROR(VLOOKUP(H41,'G-1 All Habitats'!$V$3:$W$7,2,FALSE),"")</f>
        <v/>
      </c>
      <c r="J41" s="162"/>
      <c r="K41" s="386" t="str">
        <f>IFERROR(INDEX('G-8 Condition Look up'!$A$3:$H$135,MATCH(F41,'G-8 Condition Look up'!$A$3:$A$135,0),MATCH(J41,'G-8 Condition Look up'!$A$3:$H$3,0)),"")</f>
        <v/>
      </c>
      <c r="L41" s="114"/>
      <c r="M41" s="401" t="str">
        <f>IF(L41="","",IF(VLOOKUP(L41,'G-3 Multipliers'!$L$3:$N$6,2,FALSE)=0,"Spatial Data Missing ⚠",VLOOKUP(L41,'G-3 Multipliers'!$L$3:$N$6,2,FALSE)))</f>
        <v/>
      </c>
      <c r="N41" s="363" t="str">
        <f>IF(L41="","",IF(VLOOKUP(L41,'G-3 Multipliers'!$L$3:$N$6,3,FALSE)=0,"Spatial Data Missing ⚠",VLOOKUP(L41,'G-3 Multipliers'!$L$3:$N$6,3,FALSE)))</f>
        <v/>
      </c>
      <c r="O41" s="362" t="str">
        <f t="shared" si="2"/>
        <v/>
      </c>
      <c r="P41" s="159"/>
      <c r="Q41" s="159"/>
      <c r="R41" s="382" t="str">
        <f t="shared" si="3"/>
        <v/>
      </c>
      <c r="S41" s="404" t="str">
        <f t="shared" si="0"/>
        <v/>
      </c>
      <c r="T41" s="387" t="str">
        <f>IFERROR(IF(S41="Check Data ⚠","Check Data ⚠",VLOOKUP(S41,'G-4 Temporal multipliers'!$A$4:$C$37,3,FALSE)),"")</f>
        <v/>
      </c>
      <c r="U41" s="385" t="str">
        <f>IF(F41="","",VLOOKUP(F41,'G-3 Multipliers'!$A$2:$E$134,2,FALSE))</f>
        <v/>
      </c>
      <c r="V41" s="382" t="str">
        <f t="shared" si="5"/>
        <v/>
      </c>
      <c r="W41" s="382" t="str">
        <f>IF(E41="","",IF(AND(V41="Standard difficulty applied",O41&gt;P41),U41,IF(AND(V41="Low Difficulty - only applicable if all habitat created before losses ⚠",P41&gt;=O41),"Low",VLOOKUP(F41,'G-3 Multipliers'!$A$2:$E$134,4,FALSE))))</f>
        <v/>
      </c>
      <c r="X41" s="386" t="str">
        <f>IFERROR(IF(E41="","",VLOOKUP(W41, 'G-3 Multipliers'!$P$2:$Q$6,2,FALSE)),"")</f>
        <v/>
      </c>
      <c r="Y41" s="516"/>
      <c r="Z41" s="724" t="str">
        <f>IF(Y41="","",IF(VLOOKUP(Y41,'G-3 Multipliers'!$S$3:$T$10,2,FALSE)=0,"Spatial Data Missing ⚠",VLOOKUP(Y41,'G-3 Multipliers'!$S$3:$T$10,2,FALSE)))</f>
        <v/>
      </c>
      <c r="AA41" s="741" t="str">
        <f t="shared" si="1"/>
        <v/>
      </c>
      <c r="AB41" s="405" t="str">
        <f t="shared" si="4"/>
        <v/>
      </c>
      <c r="AC41" s="119"/>
      <c r="AD41" s="528"/>
      <c r="AE41" s="120"/>
      <c r="AF41" s="120"/>
    </row>
    <row r="42" spans="1:32" ht="15">
      <c r="A42" s="30" t="str">
        <f>IFERROR(INDEX('G-8 Condition Look up'!$I$4:$I$135,MATCH(F42,'G-8 Condition Look up'!$A$4:$A$135,0)),"")</f>
        <v/>
      </c>
      <c r="C42" s="75" t="str">
        <f>IFERROR(INDEX('G-1 All Habitats'!$AG$3:$AG$17,MATCH(D42,'G-1 All Habitats'!$AF$3:$AF$17,0)),"")</f>
        <v/>
      </c>
      <c r="D42" s="122"/>
      <c r="E42" s="165"/>
      <c r="F42" s="198" t="str">
        <f>IFERROR(INDEX('G-1 All Habitats'!$B$3:$B$135,MATCH(E42,'G-1 All Habitats'!$A$3:$A$135,0)),"")</f>
        <v/>
      </c>
      <c r="G42" s="300"/>
      <c r="H42" s="398" t="str">
        <f>IF(F42="","",VLOOKUP(F42,'G-1 All Habitats'!$B$2:$M$134,10,FALSE))</f>
        <v/>
      </c>
      <c r="I42" s="386" t="str">
        <f>IFERROR(VLOOKUP(H42,'G-1 All Habitats'!$V$3:$W$7,2,FALSE),"")</f>
        <v/>
      </c>
      <c r="J42" s="162"/>
      <c r="K42" s="386" t="str">
        <f>IFERROR(INDEX('G-8 Condition Look up'!$A$3:$H$135,MATCH(F42,'G-8 Condition Look up'!$A$3:$A$135,0),MATCH(J42,'G-8 Condition Look up'!$A$3:$H$3,0)),"")</f>
        <v/>
      </c>
      <c r="L42" s="114"/>
      <c r="M42" s="401" t="str">
        <f>IF(L42="","",IF(VLOOKUP(L42,'G-3 Multipliers'!$L$3:$N$6,2,FALSE)=0,"Spatial Data Missing ⚠",VLOOKUP(L42,'G-3 Multipliers'!$L$3:$N$6,2,FALSE)))</f>
        <v/>
      </c>
      <c r="N42" s="363" t="str">
        <f>IF(L42="","",IF(VLOOKUP(L42,'G-3 Multipliers'!$L$3:$N$6,3,FALSE)=0,"Spatial Data Missing ⚠",VLOOKUP(L42,'G-3 Multipliers'!$L$3:$N$6,3,FALSE)))</f>
        <v/>
      </c>
      <c r="O42" s="362" t="str">
        <f t="shared" si="2"/>
        <v/>
      </c>
      <c r="P42" s="159"/>
      <c r="Q42" s="159"/>
      <c r="R42" s="382" t="str">
        <f t="shared" si="3"/>
        <v/>
      </c>
      <c r="S42" s="404" t="str">
        <f t="shared" si="0"/>
        <v/>
      </c>
      <c r="T42" s="387" t="str">
        <f>IFERROR(IF(S42="Check Data ⚠","Check Data ⚠",VLOOKUP(S42,'G-4 Temporal multipliers'!$A$4:$C$37,3,FALSE)),"")</f>
        <v/>
      </c>
      <c r="U42" s="385" t="str">
        <f>IF(F42="","",VLOOKUP(F42,'G-3 Multipliers'!$A$2:$E$134,2,FALSE))</f>
        <v/>
      </c>
      <c r="V42" s="382" t="str">
        <f t="shared" si="5"/>
        <v/>
      </c>
      <c r="W42" s="382" t="str">
        <f>IF(E42="","",IF(AND(V42="Standard difficulty applied",O42&gt;P42),U42,IF(AND(V42="Low Difficulty - only applicable if all habitat created before losses ⚠",P42&gt;=O42),"Low",VLOOKUP(F42,'G-3 Multipliers'!$A$2:$E$134,4,FALSE))))</f>
        <v/>
      </c>
      <c r="X42" s="386" t="str">
        <f>IFERROR(IF(E42="","",VLOOKUP(W42, 'G-3 Multipliers'!$P$2:$Q$6,2,FALSE)),"")</f>
        <v/>
      </c>
      <c r="Y42" s="516"/>
      <c r="Z42" s="724" t="str">
        <f>IF(Y42="","",IF(VLOOKUP(Y42,'G-3 Multipliers'!$S$3:$T$10,2,FALSE)=0,"Spatial Data Missing ⚠",VLOOKUP(Y42,'G-3 Multipliers'!$S$3:$T$10,2,FALSE)))</f>
        <v/>
      </c>
      <c r="AA42" s="741" t="str">
        <f t="shared" si="1"/>
        <v/>
      </c>
      <c r="AB42" s="405" t="str">
        <f t="shared" si="4"/>
        <v/>
      </c>
      <c r="AC42" s="119"/>
      <c r="AD42" s="528"/>
      <c r="AE42" s="120"/>
      <c r="AF42" s="120"/>
    </row>
    <row r="43" spans="1:32" ht="15">
      <c r="A43" s="30" t="str">
        <f>IFERROR(INDEX('G-8 Condition Look up'!$I$4:$I$135,MATCH(F43,'G-8 Condition Look up'!$A$4:$A$135,0)),"")</f>
        <v/>
      </c>
      <c r="C43" s="75" t="str">
        <f>IFERROR(INDEX('G-1 All Habitats'!$AG$3:$AG$17,MATCH(D43,'G-1 All Habitats'!$AF$3:$AF$17,0)),"")</f>
        <v/>
      </c>
      <c r="D43" s="122"/>
      <c r="E43" s="165"/>
      <c r="F43" s="198" t="str">
        <f>IFERROR(INDEX('G-1 All Habitats'!$B$3:$B$135,MATCH(E43,'G-1 All Habitats'!$A$3:$A$135,0)),"")</f>
        <v/>
      </c>
      <c r="G43" s="300"/>
      <c r="H43" s="398" t="str">
        <f>IF(F43="","",VLOOKUP(F43,'G-1 All Habitats'!$B$2:$M$134,10,FALSE))</f>
        <v/>
      </c>
      <c r="I43" s="386" t="str">
        <f>IFERROR(VLOOKUP(H43,'G-1 All Habitats'!$V$3:$W$7,2,FALSE),"")</f>
        <v/>
      </c>
      <c r="J43" s="162"/>
      <c r="K43" s="386" t="str">
        <f>IFERROR(INDEX('G-8 Condition Look up'!$A$3:$H$135,MATCH(F43,'G-8 Condition Look up'!$A$3:$A$135,0),MATCH(J43,'G-8 Condition Look up'!$A$3:$H$3,0)),"")</f>
        <v/>
      </c>
      <c r="L43" s="114"/>
      <c r="M43" s="401" t="str">
        <f>IF(L43="","",IF(VLOOKUP(L43,'G-3 Multipliers'!$L$3:$N$6,2,FALSE)=0,"Spatial Data Missing ⚠",VLOOKUP(L43,'G-3 Multipliers'!$L$3:$N$6,2,FALSE)))</f>
        <v/>
      </c>
      <c r="N43" s="363" t="str">
        <f>IF(L43="","",IF(VLOOKUP(L43,'G-3 Multipliers'!$L$3:$N$6,3,FALSE)=0,"Spatial Data Missing ⚠",VLOOKUP(L43,'G-3 Multipliers'!$L$3:$N$6,3,FALSE)))</f>
        <v/>
      </c>
      <c r="O43" s="362" t="str">
        <f t="shared" si="2"/>
        <v/>
      </c>
      <c r="P43" s="159"/>
      <c r="Q43" s="159"/>
      <c r="R43" s="382" t="str">
        <f t="shared" si="3"/>
        <v/>
      </c>
      <c r="S43" s="404" t="str">
        <f t="shared" si="0"/>
        <v/>
      </c>
      <c r="T43" s="387" t="str">
        <f>IFERROR(IF(S43="Check Data ⚠","Check Data ⚠",VLOOKUP(S43,'G-4 Temporal multipliers'!$A$4:$C$37,3,FALSE)),"")</f>
        <v/>
      </c>
      <c r="U43" s="385" t="str">
        <f>IF(F43="","",VLOOKUP(F43,'G-3 Multipliers'!$A$2:$E$134,2,FALSE))</f>
        <v/>
      </c>
      <c r="V43" s="382" t="str">
        <f t="shared" si="5"/>
        <v/>
      </c>
      <c r="W43" s="382" t="str">
        <f>IF(E43="","",IF(AND(V43="Standard difficulty applied",O43&gt;P43),U43,IF(AND(V43="Low Difficulty - only applicable if all habitat created before losses ⚠",P43&gt;=O43),"Low",VLOOKUP(F43,'G-3 Multipliers'!$A$2:$E$134,4,FALSE))))</f>
        <v/>
      </c>
      <c r="X43" s="386" t="str">
        <f>IFERROR(IF(E43="","",VLOOKUP(W43, 'G-3 Multipliers'!$P$2:$Q$6,2,FALSE)),"")</f>
        <v/>
      </c>
      <c r="Y43" s="516"/>
      <c r="Z43" s="724" t="str">
        <f>IF(Y43="","",IF(VLOOKUP(Y43,'G-3 Multipliers'!$S$3:$T$10,2,FALSE)=0,"Spatial Data Missing ⚠",VLOOKUP(Y43,'G-3 Multipliers'!$S$3:$T$10,2,FALSE)))</f>
        <v/>
      </c>
      <c r="AA43" s="741" t="str">
        <f t="shared" si="1"/>
        <v/>
      </c>
      <c r="AB43" s="405" t="str">
        <f t="shared" si="4"/>
        <v/>
      </c>
      <c r="AC43" s="119"/>
      <c r="AD43" s="528"/>
      <c r="AE43" s="120"/>
      <c r="AF43" s="120"/>
    </row>
    <row r="44" spans="1:32" ht="15">
      <c r="A44" s="30" t="str">
        <f>IFERROR(INDEX('G-8 Condition Look up'!$I$4:$I$135,MATCH(F44,'G-8 Condition Look up'!$A$4:$A$135,0)),"")</f>
        <v/>
      </c>
      <c r="C44" s="75" t="str">
        <f>IFERROR(INDEX('G-1 All Habitats'!$AG$3:$AG$17,MATCH(D44,'G-1 All Habitats'!$AF$3:$AF$17,0)),"")</f>
        <v/>
      </c>
      <c r="D44" s="122"/>
      <c r="E44" s="165"/>
      <c r="F44" s="198" t="str">
        <f>IFERROR(INDEX('G-1 All Habitats'!$B$3:$B$135,MATCH(E44,'G-1 All Habitats'!$A$3:$A$135,0)),"")</f>
        <v/>
      </c>
      <c r="G44" s="300"/>
      <c r="H44" s="398" t="str">
        <f>IF(F44="","",VLOOKUP(F44,'G-1 All Habitats'!$B$2:$M$134,10,FALSE))</f>
        <v/>
      </c>
      <c r="I44" s="386" t="str">
        <f>IFERROR(VLOOKUP(H44,'G-1 All Habitats'!$V$3:$W$7,2,FALSE),"")</f>
        <v/>
      </c>
      <c r="J44" s="162"/>
      <c r="K44" s="386" t="str">
        <f>IFERROR(INDEX('G-8 Condition Look up'!$A$3:$H$135,MATCH(F44,'G-8 Condition Look up'!$A$3:$A$135,0),MATCH(J44,'G-8 Condition Look up'!$A$3:$H$3,0)),"")</f>
        <v/>
      </c>
      <c r="L44" s="114"/>
      <c r="M44" s="401" t="str">
        <f>IF(L44="","",IF(VLOOKUP(L44,'G-3 Multipliers'!$L$3:$N$6,2,FALSE)=0,"Spatial Data Missing ⚠",VLOOKUP(L44,'G-3 Multipliers'!$L$3:$N$6,2,FALSE)))</f>
        <v/>
      </c>
      <c r="N44" s="363" t="str">
        <f>IF(L44="","",IF(VLOOKUP(L44,'G-3 Multipliers'!$L$3:$N$6,3,FALSE)=0,"Spatial Data Missing ⚠",VLOOKUP(L44,'G-3 Multipliers'!$L$3:$N$6,3,FALSE)))</f>
        <v/>
      </c>
      <c r="O44" s="362" t="str">
        <f t="shared" si="2"/>
        <v/>
      </c>
      <c r="P44" s="159"/>
      <c r="Q44" s="159"/>
      <c r="R44" s="382" t="str">
        <f t="shared" si="3"/>
        <v/>
      </c>
      <c r="S44" s="404" t="str">
        <f t="shared" si="0"/>
        <v/>
      </c>
      <c r="T44" s="387" t="str">
        <f>IFERROR(IF(S44="Check Data ⚠","Check Data ⚠",VLOOKUP(S44,'G-4 Temporal multipliers'!$A$4:$C$37,3,FALSE)),"")</f>
        <v/>
      </c>
      <c r="U44" s="385" t="str">
        <f>IF(F44="","",VLOOKUP(F44,'G-3 Multipliers'!$A$2:$E$134,2,FALSE))</f>
        <v/>
      </c>
      <c r="V44" s="382" t="str">
        <f t="shared" si="5"/>
        <v/>
      </c>
      <c r="W44" s="382" t="str">
        <f>IF(E44="","",IF(AND(V44="Standard difficulty applied",O44&gt;P44),U44,IF(AND(V44="Low Difficulty - only applicable if all habitat created before losses ⚠",P44&gt;=O44),"Low",VLOOKUP(F44,'G-3 Multipliers'!$A$2:$E$134,4,FALSE))))</f>
        <v/>
      </c>
      <c r="X44" s="386" t="str">
        <f>IFERROR(IF(E44="","",VLOOKUP(W44, 'G-3 Multipliers'!$P$2:$Q$6,2,FALSE)),"")</f>
        <v/>
      </c>
      <c r="Y44" s="516"/>
      <c r="Z44" s="724" t="str">
        <f>IF(Y44="","",IF(VLOOKUP(Y44,'G-3 Multipliers'!$S$3:$T$10,2,FALSE)=0,"Spatial Data Missing ⚠",VLOOKUP(Y44,'G-3 Multipliers'!$S$3:$T$10,2,FALSE)))</f>
        <v/>
      </c>
      <c r="AA44" s="741" t="str">
        <f t="shared" si="1"/>
        <v/>
      </c>
      <c r="AB44" s="405" t="str">
        <f t="shared" si="4"/>
        <v/>
      </c>
      <c r="AC44" s="119"/>
      <c r="AD44" s="528"/>
      <c r="AE44" s="120"/>
      <c r="AF44" s="120"/>
    </row>
    <row r="45" spans="1:32" ht="15">
      <c r="A45" s="30" t="str">
        <f>IFERROR(INDEX('G-8 Condition Look up'!$I$4:$I$135,MATCH(F45,'G-8 Condition Look up'!$A$4:$A$135,0)),"")</f>
        <v/>
      </c>
      <c r="C45" s="75" t="str">
        <f>IFERROR(INDEX('G-1 All Habitats'!$AG$3:$AG$17,MATCH(D45,'G-1 All Habitats'!$AF$3:$AF$17,0)),"")</f>
        <v/>
      </c>
      <c r="D45" s="122"/>
      <c r="E45" s="165"/>
      <c r="F45" s="198" t="str">
        <f>IFERROR(INDEX('G-1 All Habitats'!$B$3:$B$135,MATCH(E45,'G-1 All Habitats'!$A$3:$A$135,0)),"")</f>
        <v/>
      </c>
      <c r="G45" s="300"/>
      <c r="H45" s="398" t="str">
        <f>IF(F45="","",VLOOKUP(F45,'G-1 All Habitats'!$B$2:$M$134,10,FALSE))</f>
        <v/>
      </c>
      <c r="I45" s="386" t="str">
        <f>IFERROR(VLOOKUP(H45,'G-1 All Habitats'!$V$3:$W$7,2,FALSE),"")</f>
        <v/>
      </c>
      <c r="J45" s="162"/>
      <c r="K45" s="386" t="str">
        <f>IFERROR(INDEX('G-8 Condition Look up'!$A$3:$H$135,MATCH(F45,'G-8 Condition Look up'!$A$3:$A$135,0),MATCH(J45,'G-8 Condition Look up'!$A$3:$H$3,0)),"")</f>
        <v/>
      </c>
      <c r="L45" s="114"/>
      <c r="M45" s="401" t="str">
        <f>IF(L45="","",IF(VLOOKUP(L45,'G-3 Multipliers'!$L$3:$N$6,2,FALSE)=0,"Spatial Data Missing ⚠",VLOOKUP(L45,'G-3 Multipliers'!$L$3:$N$6,2,FALSE)))</f>
        <v/>
      </c>
      <c r="N45" s="363" t="str">
        <f>IF(L45="","",IF(VLOOKUP(L45,'G-3 Multipliers'!$L$3:$N$6,3,FALSE)=0,"Spatial Data Missing ⚠",VLOOKUP(L45,'G-3 Multipliers'!$L$3:$N$6,3,FALSE)))</f>
        <v/>
      </c>
      <c r="O45" s="362" t="str">
        <f t="shared" si="2"/>
        <v/>
      </c>
      <c r="P45" s="159"/>
      <c r="Q45" s="159"/>
      <c r="R45" s="382" t="str">
        <f t="shared" si="3"/>
        <v/>
      </c>
      <c r="S45" s="404" t="str">
        <f t="shared" si="0"/>
        <v/>
      </c>
      <c r="T45" s="387" t="str">
        <f>IFERROR(IF(S45="Check Data ⚠","Check Data ⚠",VLOOKUP(S45,'G-4 Temporal multipliers'!$A$4:$C$37,3,FALSE)),"")</f>
        <v/>
      </c>
      <c r="U45" s="385" t="str">
        <f>IF(F45="","",VLOOKUP(F45,'G-3 Multipliers'!$A$2:$E$134,2,FALSE))</f>
        <v/>
      </c>
      <c r="V45" s="382" t="str">
        <f t="shared" si="5"/>
        <v/>
      </c>
      <c r="W45" s="382" t="str">
        <f>IF(E45="","",IF(AND(V45="Standard difficulty applied",O45&gt;P45),U45,IF(AND(V45="Low Difficulty - only applicable if all habitat created before losses ⚠",P45&gt;=O45),"Low",VLOOKUP(F45,'G-3 Multipliers'!$A$2:$E$134,4,FALSE))))</f>
        <v/>
      </c>
      <c r="X45" s="386" t="str">
        <f>IFERROR(IF(E45="","",VLOOKUP(W45, 'G-3 Multipliers'!$P$2:$Q$6,2,FALSE)),"")</f>
        <v/>
      </c>
      <c r="Y45" s="516"/>
      <c r="Z45" s="724" t="str">
        <f>IF(Y45="","",IF(VLOOKUP(Y45,'G-3 Multipliers'!$S$3:$T$10,2,FALSE)=0,"Spatial Data Missing ⚠",VLOOKUP(Y45,'G-3 Multipliers'!$S$3:$T$10,2,FALSE)))</f>
        <v/>
      </c>
      <c r="AA45" s="741" t="str">
        <f t="shared" si="1"/>
        <v/>
      </c>
      <c r="AB45" s="405" t="str">
        <f t="shared" si="4"/>
        <v/>
      </c>
      <c r="AC45" s="119"/>
      <c r="AD45" s="528"/>
      <c r="AE45" s="120"/>
      <c r="AF45" s="120"/>
    </row>
    <row r="46" spans="1:32" ht="15">
      <c r="A46" s="30" t="str">
        <f>IFERROR(INDEX('G-8 Condition Look up'!$I$4:$I$135,MATCH(F46,'G-8 Condition Look up'!$A$4:$A$135,0)),"")</f>
        <v/>
      </c>
      <c r="C46" s="75" t="str">
        <f>IFERROR(INDEX('G-1 All Habitats'!$AG$3:$AG$17,MATCH(D46,'G-1 All Habitats'!$AF$3:$AF$17,0)),"")</f>
        <v/>
      </c>
      <c r="D46" s="122"/>
      <c r="E46" s="165"/>
      <c r="F46" s="198" t="str">
        <f>IFERROR(INDEX('G-1 All Habitats'!$B$3:$B$135,MATCH(E46,'G-1 All Habitats'!$A$3:$A$135,0)),"")</f>
        <v/>
      </c>
      <c r="G46" s="300"/>
      <c r="H46" s="398" t="str">
        <f>IF(F46="","",VLOOKUP(F46,'G-1 All Habitats'!$B$2:$M$134,10,FALSE))</f>
        <v/>
      </c>
      <c r="I46" s="386" t="str">
        <f>IFERROR(VLOOKUP(H46,'G-1 All Habitats'!$V$3:$W$7,2,FALSE),"")</f>
        <v/>
      </c>
      <c r="J46" s="162"/>
      <c r="K46" s="386" t="str">
        <f>IFERROR(INDEX('G-8 Condition Look up'!$A$3:$H$135,MATCH(F46,'G-8 Condition Look up'!$A$3:$A$135,0),MATCH(J46,'G-8 Condition Look up'!$A$3:$H$3,0)),"")</f>
        <v/>
      </c>
      <c r="L46" s="114"/>
      <c r="M46" s="401" t="str">
        <f>IF(L46="","",IF(VLOOKUP(L46,'G-3 Multipliers'!$L$3:$N$6,2,FALSE)=0,"Spatial Data Missing ⚠",VLOOKUP(L46,'G-3 Multipliers'!$L$3:$N$6,2,FALSE)))</f>
        <v/>
      </c>
      <c r="N46" s="363" t="str">
        <f>IF(L46="","",IF(VLOOKUP(L46,'G-3 Multipliers'!$L$3:$N$6,3,FALSE)=0,"Spatial Data Missing ⚠",VLOOKUP(L46,'G-3 Multipliers'!$L$3:$N$6,3,FALSE)))</f>
        <v/>
      </c>
      <c r="O46" s="362" t="str">
        <f t="shared" si="2"/>
        <v/>
      </c>
      <c r="P46" s="159"/>
      <c r="Q46" s="159"/>
      <c r="R46" s="382" t="str">
        <f t="shared" si="3"/>
        <v/>
      </c>
      <c r="S46" s="404" t="str">
        <f t="shared" si="0"/>
        <v/>
      </c>
      <c r="T46" s="387" t="str">
        <f>IFERROR(IF(S46="Check Data ⚠","Check Data ⚠",VLOOKUP(S46,'G-4 Temporal multipliers'!$A$4:$C$37,3,FALSE)),"")</f>
        <v/>
      </c>
      <c r="U46" s="385" t="str">
        <f>IF(F46="","",VLOOKUP(F46,'G-3 Multipliers'!$A$2:$E$134,2,FALSE))</f>
        <v/>
      </c>
      <c r="V46" s="382" t="str">
        <f t="shared" si="5"/>
        <v/>
      </c>
      <c r="W46" s="382" t="str">
        <f>IF(E46="","",IF(AND(V46="Standard difficulty applied",O46&gt;P46),U46,IF(AND(V46="Low Difficulty - only applicable if all habitat created before losses ⚠",P46&gt;=O46),"Low",VLOOKUP(F46,'G-3 Multipliers'!$A$2:$E$134,4,FALSE))))</f>
        <v/>
      </c>
      <c r="X46" s="386" t="str">
        <f>IFERROR(IF(E46="","",VLOOKUP(W46, 'G-3 Multipliers'!$P$2:$Q$6,2,FALSE)),"")</f>
        <v/>
      </c>
      <c r="Y46" s="516"/>
      <c r="Z46" s="724" t="str">
        <f>IF(Y46="","",IF(VLOOKUP(Y46,'G-3 Multipliers'!$S$3:$T$10,2,FALSE)=0,"Spatial Data Missing ⚠",VLOOKUP(Y46,'G-3 Multipliers'!$S$3:$T$10,2,FALSE)))</f>
        <v/>
      </c>
      <c r="AA46" s="741" t="str">
        <f t="shared" si="1"/>
        <v/>
      </c>
      <c r="AB46" s="405" t="str">
        <f t="shared" si="4"/>
        <v/>
      </c>
      <c r="AC46" s="119"/>
      <c r="AD46" s="528"/>
      <c r="AE46" s="120"/>
      <c r="AF46" s="120"/>
    </row>
    <row r="47" spans="1:32" ht="15">
      <c r="A47" s="30" t="str">
        <f>IFERROR(INDEX('G-8 Condition Look up'!$I$4:$I$135,MATCH(F47,'G-8 Condition Look up'!$A$4:$A$135,0)),"")</f>
        <v/>
      </c>
      <c r="C47" s="75" t="str">
        <f>IFERROR(INDEX('G-1 All Habitats'!$AG$3:$AG$17,MATCH(D47,'G-1 All Habitats'!$AF$3:$AF$17,0)),"")</f>
        <v/>
      </c>
      <c r="D47" s="122"/>
      <c r="E47" s="165"/>
      <c r="F47" s="198" t="str">
        <f>IFERROR(INDEX('G-1 All Habitats'!$B$3:$B$135,MATCH(E47,'G-1 All Habitats'!$A$3:$A$135,0)),"")</f>
        <v/>
      </c>
      <c r="G47" s="300"/>
      <c r="H47" s="398" t="str">
        <f>IF(F47="","",VLOOKUP(F47,'G-1 All Habitats'!$B$2:$M$134,10,FALSE))</f>
        <v/>
      </c>
      <c r="I47" s="386" t="str">
        <f>IFERROR(VLOOKUP(H47,'G-1 All Habitats'!$V$3:$W$7,2,FALSE),"")</f>
        <v/>
      </c>
      <c r="J47" s="162"/>
      <c r="K47" s="386" t="str">
        <f>IFERROR(INDEX('G-8 Condition Look up'!$A$3:$H$135,MATCH(F47,'G-8 Condition Look up'!$A$3:$A$135,0),MATCH(J47,'G-8 Condition Look up'!$A$3:$H$3,0)),"")</f>
        <v/>
      </c>
      <c r="L47" s="114"/>
      <c r="M47" s="401" t="str">
        <f>IF(L47="","",IF(VLOOKUP(L47,'G-3 Multipliers'!$L$3:$N$6,2,FALSE)=0,"Spatial Data Missing ⚠",VLOOKUP(L47,'G-3 Multipliers'!$L$3:$N$6,2,FALSE)))</f>
        <v/>
      </c>
      <c r="N47" s="363" t="str">
        <f>IF(L47="","",IF(VLOOKUP(L47,'G-3 Multipliers'!$L$3:$N$6,3,FALSE)=0,"Spatial Data Missing ⚠",VLOOKUP(L47,'G-3 Multipliers'!$L$3:$N$6,3,FALSE)))</f>
        <v/>
      </c>
      <c r="O47" s="362" t="str">
        <f t="shared" si="2"/>
        <v/>
      </c>
      <c r="P47" s="159"/>
      <c r="Q47" s="159"/>
      <c r="R47" s="382" t="str">
        <f t="shared" si="3"/>
        <v/>
      </c>
      <c r="S47" s="404" t="str">
        <f t="shared" si="0"/>
        <v/>
      </c>
      <c r="T47" s="387" t="str">
        <f>IFERROR(IF(S47="Check Data ⚠","Check Data ⚠",VLOOKUP(S47,'G-4 Temporal multipliers'!$A$4:$C$37,3,FALSE)),"")</f>
        <v/>
      </c>
      <c r="U47" s="385" t="str">
        <f>IF(F47="","",VLOOKUP(F47,'G-3 Multipliers'!$A$2:$E$134,2,FALSE))</f>
        <v/>
      </c>
      <c r="V47" s="382" t="str">
        <f t="shared" si="5"/>
        <v/>
      </c>
      <c r="W47" s="382" t="str">
        <f>IF(E47="","",IF(AND(V47="Standard difficulty applied",O47&gt;P47),U47,IF(AND(V47="Low Difficulty - only applicable if all habitat created before losses ⚠",P47&gt;=O47),"Low",VLOOKUP(F47,'G-3 Multipliers'!$A$2:$E$134,4,FALSE))))</f>
        <v/>
      </c>
      <c r="X47" s="386" t="str">
        <f>IFERROR(IF(E47="","",VLOOKUP(W47, 'G-3 Multipliers'!$P$2:$Q$6,2,FALSE)),"")</f>
        <v/>
      </c>
      <c r="Y47" s="516"/>
      <c r="Z47" s="724" t="str">
        <f>IF(Y47="","",IF(VLOOKUP(Y47,'G-3 Multipliers'!$S$3:$T$10,2,FALSE)=0,"Spatial Data Missing ⚠",VLOOKUP(Y47,'G-3 Multipliers'!$S$3:$T$10,2,FALSE)))</f>
        <v/>
      </c>
      <c r="AA47" s="741" t="str">
        <f t="shared" si="1"/>
        <v/>
      </c>
      <c r="AB47" s="405" t="str">
        <f t="shared" si="4"/>
        <v/>
      </c>
      <c r="AC47" s="119"/>
      <c r="AD47" s="528"/>
      <c r="AE47" s="120"/>
      <c r="AF47" s="120"/>
    </row>
    <row r="48" spans="1:32" ht="15">
      <c r="A48" s="30" t="str">
        <f>IFERROR(INDEX('G-8 Condition Look up'!$I$4:$I$135,MATCH(F48,'G-8 Condition Look up'!$A$4:$A$135,0)),"")</f>
        <v/>
      </c>
      <c r="C48" s="75" t="str">
        <f>IFERROR(INDEX('G-1 All Habitats'!$AG$3:$AG$17,MATCH(D48,'G-1 All Habitats'!$AF$3:$AF$17,0)),"")</f>
        <v/>
      </c>
      <c r="D48" s="122"/>
      <c r="E48" s="165"/>
      <c r="F48" s="198" t="str">
        <f>IFERROR(INDEX('G-1 All Habitats'!$B$3:$B$135,MATCH(E48,'G-1 All Habitats'!$A$3:$A$135,0)),"")</f>
        <v/>
      </c>
      <c r="G48" s="300"/>
      <c r="H48" s="398" t="str">
        <f>IF(F48="","",VLOOKUP(F48,'G-1 All Habitats'!$B$2:$M$134,10,FALSE))</f>
        <v/>
      </c>
      <c r="I48" s="386" t="str">
        <f>IFERROR(VLOOKUP(H48,'G-1 All Habitats'!$V$3:$W$7,2,FALSE),"")</f>
        <v/>
      </c>
      <c r="J48" s="162"/>
      <c r="K48" s="386" t="str">
        <f>IFERROR(INDEX('G-8 Condition Look up'!$A$3:$H$135,MATCH(F48,'G-8 Condition Look up'!$A$3:$A$135,0),MATCH(J48,'G-8 Condition Look up'!$A$3:$H$3,0)),"")</f>
        <v/>
      </c>
      <c r="L48" s="114"/>
      <c r="M48" s="401" t="str">
        <f>IF(L48="","",IF(VLOOKUP(L48,'G-3 Multipliers'!$L$3:$N$6,2,FALSE)=0,"Spatial Data Missing ⚠",VLOOKUP(L48,'G-3 Multipliers'!$L$3:$N$6,2,FALSE)))</f>
        <v/>
      </c>
      <c r="N48" s="363" t="str">
        <f>IF(L48="","",IF(VLOOKUP(L48,'G-3 Multipliers'!$L$3:$N$6,3,FALSE)=0,"Spatial Data Missing ⚠",VLOOKUP(L48,'G-3 Multipliers'!$L$3:$N$6,3,FALSE)))</f>
        <v/>
      </c>
      <c r="O48" s="362" t="str">
        <f t="shared" si="2"/>
        <v/>
      </c>
      <c r="P48" s="159"/>
      <c r="Q48" s="159"/>
      <c r="R48" s="382" t="str">
        <f t="shared" si="3"/>
        <v/>
      </c>
      <c r="S48" s="404" t="str">
        <f t="shared" si="0"/>
        <v/>
      </c>
      <c r="T48" s="387" t="str">
        <f>IFERROR(IF(S48="Check Data ⚠","Check Data ⚠",VLOOKUP(S48,'G-4 Temporal multipliers'!$A$4:$C$37,3,FALSE)),"")</f>
        <v/>
      </c>
      <c r="U48" s="385" t="str">
        <f>IF(F48="","",VLOOKUP(F48,'G-3 Multipliers'!$A$2:$E$134,2,FALSE))</f>
        <v/>
      </c>
      <c r="V48" s="382" t="str">
        <f t="shared" si="5"/>
        <v/>
      </c>
      <c r="W48" s="382" t="str">
        <f>IF(E48="","",IF(AND(V48="Standard difficulty applied",O48&gt;P48),U48,IF(AND(V48="Low Difficulty - only applicable if all habitat created before losses ⚠",P48&gt;=O48),"Low",VLOOKUP(F48,'G-3 Multipliers'!$A$2:$E$134,4,FALSE))))</f>
        <v/>
      </c>
      <c r="X48" s="386" t="str">
        <f>IFERROR(IF(E48="","",VLOOKUP(W48, 'G-3 Multipliers'!$P$2:$Q$6,2,FALSE)),"")</f>
        <v/>
      </c>
      <c r="Y48" s="516"/>
      <c r="Z48" s="724" t="str">
        <f>IF(Y48="","",IF(VLOOKUP(Y48,'G-3 Multipliers'!$S$3:$T$10,2,FALSE)=0,"Spatial Data Missing ⚠",VLOOKUP(Y48,'G-3 Multipliers'!$S$3:$T$10,2,FALSE)))</f>
        <v/>
      </c>
      <c r="AA48" s="741" t="str">
        <f t="shared" si="1"/>
        <v/>
      </c>
      <c r="AB48" s="405" t="str">
        <f t="shared" si="4"/>
        <v/>
      </c>
      <c r="AC48" s="119"/>
      <c r="AD48" s="528"/>
      <c r="AE48" s="120"/>
      <c r="AF48" s="120"/>
    </row>
    <row r="49" spans="1:32" ht="15">
      <c r="A49" s="30" t="str">
        <f>IFERROR(INDEX('G-8 Condition Look up'!$I$4:$I$135,MATCH(F49,'G-8 Condition Look up'!$A$4:$A$135,0)),"")</f>
        <v/>
      </c>
      <c r="C49" s="75" t="str">
        <f>IFERROR(INDEX('G-1 All Habitats'!$AG$3:$AG$17,MATCH(D49,'G-1 All Habitats'!$AF$3:$AF$17,0)),"")</f>
        <v/>
      </c>
      <c r="D49" s="122"/>
      <c r="E49" s="165"/>
      <c r="F49" s="198" t="str">
        <f>IFERROR(INDEX('G-1 All Habitats'!$B$3:$B$135,MATCH(E49,'G-1 All Habitats'!$A$3:$A$135,0)),"")</f>
        <v/>
      </c>
      <c r="G49" s="300"/>
      <c r="H49" s="398" t="str">
        <f>IF(F49="","",VLOOKUP(F49,'G-1 All Habitats'!$B$2:$M$134,10,FALSE))</f>
        <v/>
      </c>
      <c r="I49" s="386" t="str">
        <f>IFERROR(VLOOKUP(H49,'G-1 All Habitats'!$V$3:$W$7,2,FALSE),"")</f>
        <v/>
      </c>
      <c r="J49" s="162"/>
      <c r="K49" s="386" t="str">
        <f>IFERROR(INDEX('G-8 Condition Look up'!$A$3:$H$135,MATCH(F49,'G-8 Condition Look up'!$A$3:$A$135,0),MATCH(J49,'G-8 Condition Look up'!$A$3:$H$3,0)),"")</f>
        <v/>
      </c>
      <c r="L49" s="114"/>
      <c r="M49" s="401" t="str">
        <f>IF(L49="","",IF(VLOOKUP(L49,'G-3 Multipliers'!$L$3:$N$6,2,FALSE)=0,"Spatial Data Missing ⚠",VLOOKUP(L49,'G-3 Multipliers'!$L$3:$N$6,2,FALSE)))</f>
        <v/>
      </c>
      <c r="N49" s="363" t="str">
        <f>IF(L49="","",IF(VLOOKUP(L49,'G-3 Multipliers'!$L$3:$N$6,3,FALSE)=0,"Spatial Data Missing ⚠",VLOOKUP(L49,'G-3 Multipliers'!$L$3:$N$6,3,FALSE)))</f>
        <v/>
      </c>
      <c r="O49" s="362" t="str">
        <f t="shared" si="2"/>
        <v/>
      </c>
      <c r="P49" s="159"/>
      <c r="Q49" s="159"/>
      <c r="R49" s="382" t="str">
        <f t="shared" si="3"/>
        <v/>
      </c>
      <c r="S49" s="404" t="str">
        <f t="shared" si="0"/>
        <v/>
      </c>
      <c r="T49" s="387" t="str">
        <f>IFERROR(IF(S49="Check Data ⚠","Check Data ⚠",VLOOKUP(S49,'G-4 Temporal multipliers'!$A$4:$C$37,3,FALSE)),"")</f>
        <v/>
      </c>
      <c r="U49" s="385" t="str">
        <f>IF(F49="","",VLOOKUP(F49,'G-3 Multipliers'!$A$2:$E$134,2,FALSE))</f>
        <v/>
      </c>
      <c r="V49" s="382" t="str">
        <f t="shared" si="5"/>
        <v/>
      </c>
      <c r="W49" s="382" t="str">
        <f>IF(E49="","",IF(AND(V49="Standard difficulty applied",O49&gt;P49),U49,IF(AND(V49="Low Difficulty - only applicable if all habitat created before losses ⚠",P49&gt;=O49),"Low",VLOOKUP(F49,'G-3 Multipliers'!$A$2:$E$134,4,FALSE))))</f>
        <v/>
      </c>
      <c r="X49" s="386" t="str">
        <f>IFERROR(IF(E49="","",VLOOKUP(W49, 'G-3 Multipliers'!$P$2:$Q$6,2,FALSE)),"")</f>
        <v/>
      </c>
      <c r="Y49" s="516"/>
      <c r="Z49" s="724" t="str">
        <f>IF(Y49="","",IF(VLOOKUP(Y49,'G-3 Multipliers'!$S$3:$T$10,2,FALSE)=0,"Spatial Data Missing ⚠",VLOOKUP(Y49,'G-3 Multipliers'!$S$3:$T$10,2,FALSE)))</f>
        <v/>
      </c>
      <c r="AA49" s="741" t="str">
        <f t="shared" si="1"/>
        <v/>
      </c>
      <c r="AB49" s="405" t="str">
        <f t="shared" si="4"/>
        <v/>
      </c>
      <c r="AC49" s="119"/>
      <c r="AD49" s="528"/>
      <c r="AE49" s="120"/>
      <c r="AF49" s="120"/>
    </row>
    <row r="50" spans="1:32" ht="15">
      <c r="A50" s="30" t="str">
        <f>IFERROR(INDEX('G-8 Condition Look up'!$I$4:$I$135,MATCH(F50,'G-8 Condition Look up'!$A$4:$A$135,0)),"")</f>
        <v/>
      </c>
      <c r="C50" s="75" t="str">
        <f>IFERROR(INDEX('G-1 All Habitats'!$AG$3:$AG$17,MATCH(D50,'G-1 All Habitats'!$AF$3:$AF$17,0)),"")</f>
        <v/>
      </c>
      <c r="D50" s="122"/>
      <c r="E50" s="165"/>
      <c r="F50" s="198" t="str">
        <f>IFERROR(INDEX('G-1 All Habitats'!$B$3:$B$135,MATCH(E50,'G-1 All Habitats'!$A$3:$A$135,0)),"")</f>
        <v/>
      </c>
      <c r="G50" s="300"/>
      <c r="H50" s="398" t="str">
        <f>IF(F50="","",VLOOKUP(F50,'G-1 All Habitats'!$B$2:$M$134,10,FALSE))</f>
        <v/>
      </c>
      <c r="I50" s="386" t="str">
        <f>IFERROR(VLOOKUP(H50,'G-1 All Habitats'!$V$3:$W$7,2,FALSE),"")</f>
        <v/>
      </c>
      <c r="J50" s="162"/>
      <c r="K50" s="386" t="str">
        <f>IFERROR(INDEX('G-8 Condition Look up'!$A$3:$H$135,MATCH(F50,'G-8 Condition Look up'!$A$3:$A$135,0),MATCH(J50,'G-8 Condition Look up'!$A$3:$H$3,0)),"")</f>
        <v/>
      </c>
      <c r="L50" s="114"/>
      <c r="M50" s="401" t="str">
        <f>IF(L50="","",IF(VLOOKUP(L50,'G-3 Multipliers'!$L$3:$N$6,2,FALSE)=0,"Spatial Data Missing ⚠",VLOOKUP(L50,'G-3 Multipliers'!$L$3:$N$6,2,FALSE)))</f>
        <v/>
      </c>
      <c r="N50" s="363" t="str">
        <f>IF(L50="","",IF(VLOOKUP(L50,'G-3 Multipliers'!$L$3:$N$6,3,FALSE)=0,"Spatial Data Missing ⚠",VLOOKUP(L50,'G-3 Multipliers'!$L$3:$N$6,3,FALSE)))</f>
        <v/>
      </c>
      <c r="O50" s="362" t="str">
        <f t="shared" si="2"/>
        <v/>
      </c>
      <c r="P50" s="159"/>
      <c r="Q50" s="159"/>
      <c r="R50" s="382" t="str">
        <f t="shared" si="3"/>
        <v/>
      </c>
      <c r="S50" s="404" t="str">
        <f t="shared" si="0"/>
        <v/>
      </c>
      <c r="T50" s="387" t="str">
        <f>IFERROR(IF(S50="Check Data ⚠","Check Data ⚠",VLOOKUP(S50,'G-4 Temporal multipliers'!$A$4:$C$37,3,FALSE)),"")</f>
        <v/>
      </c>
      <c r="U50" s="385" t="str">
        <f>IF(F50="","",VLOOKUP(F50,'G-3 Multipliers'!$A$2:$E$134,2,FALSE))</f>
        <v/>
      </c>
      <c r="V50" s="382" t="str">
        <f t="shared" si="5"/>
        <v/>
      </c>
      <c r="W50" s="382" t="str">
        <f>IF(E50="","",IF(AND(V50="Standard difficulty applied",O50&gt;P50),U50,IF(AND(V50="Low Difficulty - only applicable if all habitat created before losses ⚠",P50&gt;=O50),"Low",VLOOKUP(F50,'G-3 Multipliers'!$A$2:$E$134,4,FALSE))))</f>
        <v/>
      </c>
      <c r="X50" s="386" t="str">
        <f>IFERROR(IF(E50="","",VLOOKUP(W50, 'G-3 Multipliers'!$P$2:$Q$6,2,FALSE)),"")</f>
        <v/>
      </c>
      <c r="Y50" s="516"/>
      <c r="Z50" s="724" t="str">
        <f>IF(Y50="","",IF(VLOOKUP(Y50,'G-3 Multipliers'!$S$3:$T$10,2,FALSE)=0,"Spatial Data Missing ⚠",VLOOKUP(Y50,'G-3 Multipliers'!$S$3:$T$10,2,FALSE)))</f>
        <v/>
      </c>
      <c r="AA50" s="741" t="str">
        <f t="shared" si="1"/>
        <v/>
      </c>
      <c r="AB50" s="405" t="str">
        <f t="shared" si="4"/>
        <v/>
      </c>
      <c r="AC50" s="119"/>
      <c r="AD50" s="528"/>
      <c r="AE50" s="120"/>
      <c r="AF50" s="120"/>
    </row>
    <row r="51" spans="1:32" ht="15">
      <c r="A51" s="30" t="str">
        <f>IFERROR(INDEX('G-8 Condition Look up'!$I$4:$I$135,MATCH(F51,'G-8 Condition Look up'!$A$4:$A$135,0)),"")</f>
        <v/>
      </c>
      <c r="C51" s="75" t="str">
        <f>IFERROR(INDEX('G-1 All Habitats'!$AG$3:$AG$17,MATCH(D51,'G-1 All Habitats'!$AF$3:$AF$17,0)),"")</f>
        <v/>
      </c>
      <c r="D51" s="122"/>
      <c r="E51" s="165"/>
      <c r="F51" s="198" t="str">
        <f>IFERROR(INDEX('G-1 All Habitats'!$B$3:$B$135,MATCH(E51,'G-1 All Habitats'!$A$3:$A$135,0)),"")</f>
        <v/>
      </c>
      <c r="G51" s="300"/>
      <c r="H51" s="398" t="str">
        <f>IF(F51="","",VLOOKUP(F51,'G-1 All Habitats'!$B$2:$M$134,10,FALSE))</f>
        <v/>
      </c>
      <c r="I51" s="386" t="str">
        <f>IFERROR(VLOOKUP(H51,'G-1 All Habitats'!$V$3:$W$7,2,FALSE),"")</f>
        <v/>
      </c>
      <c r="J51" s="162"/>
      <c r="K51" s="386" t="str">
        <f>IFERROR(INDEX('G-8 Condition Look up'!$A$3:$H$135,MATCH(F51,'G-8 Condition Look up'!$A$3:$A$135,0),MATCH(J51,'G-8 Condition Look up'!$A$3:$H$3,0)),"")</f>
        <v/>
      </c>
      <c r="L51" s="114"/>
      <c r="M51" s="401" t="str">
        <f>IF(L51="","",IF(VLOOKUP(L51,'G-3 Multipliers'!$L$3:$N$6,2,FALSE)=0,"Spatial Data Missing ⚠",VLOOKUP(L51,'G-3 Multipliers'!$L$3:$N$6,2,FALSE)))</f>
        <v/>
      </c>
      <c r="N51" s="363" t="str">
        <f>IF(L51="","",IF(VLOOKUP(L51,'G-3 Multipliers'!$L$3:$N$6,3,FALSE)=0,"Spatial Data Missing ⚠",VLOOKUP(L51,'G-3 Multipliers'!$L$3:$N$6,3,FALSE)))</f>
        <v/>
      </c>
      <c r="O51" s="362" t="str">
        <f t="shared" si="2"/>
        <v/>
      </c>
      <c r="P51" s="159"/>
      <c r="Q51" s="159"/>
      <c r="R51" s="382" t="str">
        <f t="shared" si="3"/>
        <v/>
      </c>
      <c r="S51" s="404" t="str">
        <f t="shared" si="0"/>
        <v/>
      </c>
      <c r="T51" s="387" t="str">
        <f>IFERROR(IF(S51="Check Data ⚠","Check Data ⚠",VLOOKUP(S51,'G-4 Temporal multipliers'!$A$4:$C$37,3,FALSE)),"")</f>
        <v/>
      </c>
      <c r="U51" s="385" t="str">
        <f>IF(F51="","",VLOOKUP(F51,'G-3 Multipliers'!$A$2:$E$134,2,FALSE))</f>
        <v/>
      </c>
      <c r="V51" s="382" t="str">
        <f t="shared" si="5"/>
        <v/>
      </c>
      <c r="W51" s="382" t="str">
        <f>IF(E51="","",IF(AND(V51="Standard difficulty applied",O51&gt;P51),U51,IF(AND(V51="Low Difficulty - only applicable if all habitat created before losses ⚠",P51&gt;=O51),"Low",VLOOKUP(F51,'G-3 Multipliers'!$A$2:$E$134,4,FALSE))))</f>
        <v/>
      </c>
      <c r="X51" s="386" t="str">
        <f>IFERROR(IF(E51="","",VLOOKUP(W51, 'G-3 Multipliers'!$P$2:$Q$6,2,FALSE)),"")</f>
        <v/>
      </c>
      <c r="Y51" s="516"/>
      <c r="Z51" s="724" t="str">
        <f>IF(Y51="","",IF(VLOOKUP(Y51,'G-3 Multipliers'!$S$3:$T$10,2,FALSE)=0,"Spatial Data Missing ⚠",VLOOKUP(Y51,'G-3 Multipliers'!$S$3:$T$10,2,FALSE)))</f>
        <v/>
      </c>
      <c r="AA51" s="741" t="str">
        <f t="shared" si="1"/>
        <v/>
      </c>
      <c r="AB51" s="405" t="str">
        <f t="shared" si="4"/>
        <v/>
      </c>
      <c r="AC51" s="119"/>
      <c r="AD51" s="528"/>
      <c r="AE51" s="120"/>
      <c r="AF51" s="120"/>
    </row>
    <row r="52" spans="1:32" ht="15">
      <c r="A52" s="30" t="str">
        <f>IFERROR(INDEX('G-8 Condition Look up'!$I$4:$I$135,MATCH(F52,'G-8 Condition Look up'!$A$4:$A$135,0)),"")</f>
        <v/>
      </c>
      <c r="C52" s="75" t="str">
        <f>IFERROR(INDEX('G-1 All Habitats'!$AG$3:$AG$17,MATCH(D52,'G-1 All Habitats'!$AF$3:$AF$17,0)),"")</f>
        <v/>
      </c>
      <c r="D52" s="122"/>
      <c r="E52" s="165"/>
      <c r="F52" s="198" t="str">
        <f>IFERROR(INDEX('G-1 All Habitats'!$B$3:$B$135,MATCH(E52,'G-1 All Habitats'!$A$3:$A$135,0)),"")</f>
        <v/>
      </c>
      <c r="G52" s="300"/>
      <c r="H52" s="398" t="str">
        <f>IF(F52="","",VLOOKUP(F52,'G-1 All Habitats'!$B$2:$M$134,10,FALSE))</f>
        <v/>
      </c>
      <c r="I52" s="386" t="str">
        <f>IFERROR(VLOOKUP(H52,'G-1 All Habitats'!$V$3:$W$7,2,FALSE),"")</f>
        <v/>
      </c>
      <c r="J52" s="162"/>
      <c r="K52" s="386" t="str">
        <f>IFERROR(INDEX('G-8 Condition Look up'!$A$3:$H$135,MATCH(F52,'G-8 Condition Look up'!$A$3:$A$135,0),MATCH(J52,'G-8 Condition Look up'!$A$3:$H$3,0)),"")</f>
        <v/>
      </c>
      <c r="L52" s="114"/>
      <c r="M52" s="401" t="str">
        <f>IF(L52="","",IF(VLOOKUP(L52,'G-3 Multipliers'!$L$3:$N$6,2,FALSE)=0,"Spatial Data Missing ⚠",VLOOKUP(L52,'G-3 Multipliers'!$L$3:$N$6,2,FALSE)))</f>
        <v/>
      </c>
      <c r="N52" s="363" t="str">
        <f>IF(L52="","",IF(VLOOKUP(L52,'G-3 Multipliers'!$L$3:$N$6,3,FALSE)=0,"Spatial Data Missing ⚠",VLOOKUP(L52,'G-3 Multipliers'!$L$3:$N$6,3,FALSE)))</f>
        <v/>
      </c>
      <c r="O52" s="362" t="str">
        <f t="shared" si="2"/>
        <v/>
      </c>
      <c r="P52" s="159"/>
      <c r="Q52" s="159"/>
      <c r="R52" s="382" t="str">
        <f t="shared" si="3"/>
        <v/>
      </c>
      <c r="S52" s="404" t="str">
        <f t="shared" si="0"/>
        <v/>
      </c>
      <c r="T52" s="387" t="str">
        <f>IFERROR(IF(S52="Check Data ⚠","Check Data ⚠",VLOOKUP(S52,'G-4 Temporal multipliers'!$A$4:$C$37,3,FALSE)),"")</f>
        <v/>
      </c>
      <c r="U52" s="385" t="str">
        <f>IF(F52="","",VLOOKUP(F52,'G-3 Multipliers'!$A$2:$E$134,2,FALSE))</f>
        <v/>
      </c>
      <c r="V52" s="382" t="str">
        <f t="shared" si="5"/>
        <v/>
      </c>
      <c r="W52" s="382" t="str">
        <f>IF(E52="","",IF(AND(V52="Standard difficulty applied",O52&gt;P52),U52,IF(AND(V52="Low Difficulty - only applicable if all habitat created before losses ⚠",P52&gt;=O52),"Low",VLOOKUP(F52,'G-3 Multipliers'!$A$2:$E$134,4,FALSE))))</f>
        <v/>
      </c>
      <c r="X52" s="386" t="str">
        <f>IFERROR(IF(E52="","",VLOOKUP(W52, 'G-3 Multipliers'!$P$2:$Q$6,2,FALSE)),"")</f>
        <v/>
      </c>
      <c r="Y52" s="516"/>
      <c r="Z52" s="724" t="str">
        <f>IF(Y52="","",IF(VLOOKUP(Y52,'G-3 Multipliers'!$S$3:$T$10,2,FALSE)=0,"Spatial Data Missing ⚠",VLOOKUP(Y52,'G-3 Multipliers'!$S$3:$T$10,2,FALSE)))</f>
        <v/>
      </c>
      <c r="AA52" s="741" t="str">
        <f t="shared" si="1"/>
        <v/>
      </c>
      <c r="AB52" s="405" t="str">
        <f t="shared" si="4"/>
        <v/>
      </c>
      <c r="AC52" s="119"/>
      <c r="AD52" s="528"/>
      <c r="AE52" s="120"/>
      <c r="AF52" s="120"/>
    </row>
    <row r="53" spans="1:32" ht="15">
      <c r="A53" s="30" t="str">
        <f>IFERROR(INDEX('G-8 Condition Look up'!$I$4:$I$135,MATCH(F53,'G-8 Condition Look up'!$A$4:$A$135,0)),"")</f>
        <v/>
      </c>
      <c r="C53" s="75" t="str">
        <f>IFERROR(INDEX('G-1 All Habitats'!$AG$3:$AG$17,MATCH(D53,'G-1 All Habitats'!$AF$3:$AF$17,0)),"")</f>
        <v/>
      </c>
      <c r="D53" s="122"/>
      <c r="E53" s="165"/>
      <c r="F53" s="198" t="str">
        <f>IFERROR(INDEX('G-1 All Habitats'!$B$3:$B$135,MATCH(E53,'G-1 All Habitats'!$A$3:$A$135,0)),"")</f>
        <v/>
      </c>
      <c r="G53" s="300"/>
      <c r="H53" s="398" t="str">
        <f>IF(F53="","",VLOOKUP(F53,'G-1 All Habitats'!$B$2:$M$134,10,FALSE))</f>
        <v/>
      </c>
      <c r="I53" s="386" t="str">
        <f>IFERROR(VLOOKUP(H53,'G-1 All Habitats'!$V$3:$W$7,2,FALSE),"")</f>
        <v/>
      </c>
      <c r="J53" s="162"/>
      <c r="K53" s="386" t="str">
        <f>IFERROR(INDEX('G-8 Condition Look up'!$A$3:$H$135,MATCH(F53,'G-8 Condition Look up'!$A$3:$A$135,0),MATCH(J53,'G-8 Condition Look up'!$A$3:$H$3,0)),"")</f>
        <v/>
      </c>
      <c r="L53" s="114"/>
      <c r="M53" s="401" t="str">
        <f>IF(L53="","",IF(VLOOKUP(L53,'G-3 Multipliers'!$L$3:$N$6,2,FALSE)=0,"Spatial Data Missing ⚠",VLOOKUP(L53,'G-3 Multipliers'!$L$3:$N$6,2,FALSE)))</f>
        <v/>
      </c>
      <c r="N53" s="363" t="str">
        <f>IF(L53="","",IF(VLOOKUP(L53,'G-3 Multipliers'!$L$3:$N$6,3,FALSE)=0,"Spatial Data Missing ⚠",VLOOKUP(L53,'G-3 Multipliers'!$L$3:$N$6,3,FALSE)))</f>
        <v/>
      </c>
      <c r="O53" s="362" t="str">
        <f t="shared" si="2"/>
        <v/>
      </c>
      <c r="P53" s="159"/>
      <c r="Q53" s="159"/>
      <c r="R53" s="382" t="str">
        <f t="shared" si="3"/>
        <v/>
      </c>
      <c r="S53" s="404" t="str">
        <f t="shared" si="0"/>
        <v/>
      </c>
      <c r="T53" s="387" t="str">
        <f>IFERROR(IF(S53="Check Data ⚠","Check Data ⚠",VLOOKUP(S53,'G-4 Temporal multipliers'!$A$4:$C$37,3,FALSE)),"")</f>
        <v/>
      </c>
      <c r="U53" s="385" t="str">
        <f>IF(F53="","",VLOOKUP(F53,'G-3 Multipliers'!$A$2:$E$134,2,FALSE))</f>
        <v/>
      </c>
      <c r="V53" s="382" t="str">
        <f t="shared" si="5"/>
        <v/>
      </c>
      <c r="W53" s="382" t="str">
        <f>IF(E53="","",IF(AND(V53="Standard difficulty applied",O53&gt;P53),U53,IF(AND(V53="Low Difficulty - only applicable if all habitat created before losses ⚠",P53&gt;=O53),"Low",VLOOKUP(F53,'G-3 Multipliers'!$A$2:$E$134,4,FALSE))))</f>
        <v/>
      </c>
      <c r="X53" s="386" t="str">
        <f>IFERROR(IF(E53="","",VLOOKUP(W53, 'G-3 Multipliers'!$P$2:$Q$6,2,FALSE)),"")</f>
        <v/>
      </c>
      <c r="Y53" s="516"/>
      <c r="Z53" s="724" t="str">
        <f>IF(Y53="","",IF(VLOOKUP(Y53,'G-3 Multipliers'!$S$3:$T$10,2,FALSE)=0,"Spatial Data Missing ⚠",VLOOKUP(Y53,'G-3 Multipliers'!$S$3:$T$10,2,FALSE)))</f>
        <v/>
      </c>
      <c r="AA53" s="741" t="str">
        <f t="shared" si="1"/>
        <v/>
      </c>
      <c r="AB53" s="405" t="str">
        <f t="shared" si="4"/>
        <v/>
      </c>
      <c r="AC53" s="119"/>
      <c r="AD53" s="528"/>
      <c r="AE53" s="120"/>
      <c r="AF53" s="120"/>
    </row>
    <row r="54" spans="1:32" ht="15">
      <c r="A54" s="30" t="str">
        <f>IFERROR(INDEX('G-8 Condition Look up'!$I$4:$I$135,MATCH(F54,'G-8 Condition Look up'!$A$4:$A$135,0)),"")</f>
        <v/>
      </c>
      <c r="C54" s="75" t="str">
        <f>IFERROR(INDEX('G-1 All Habitats'!$AG$3:$AG$17,MATCH(D54,'G-1 All Habitats'!$AF$3:$AF$17,0)),"")</f>
        <v/>
      </c>
      <c r="D54" s="122"/>
      <c r="E54" s="165"/>
      <c r="F54" s="198" t="str">
        <f>IFERROR(INDEX('G-1 All Habitats'!$B$3:$B$135,MATCH(E54,'G-1 All Habitats'!$A$3:$A$135,0)),"")</f>
        <v/>
      </c>
      <c r="G54" s="300"/>
      <c r="H54" s="398" t="str">
        <f>IF(F54="","",VLOOKUP(F54,'G-1 All Habitats'!$B$2:$M$134,10,FALSE))</f>
        <v/>
      </c>
      <c r="I54" s="386" t="str">
        <f>IFERROR(VLOOKUP(H54,'G-1 All Habitats'!$V$3:$W$7,2,FALSE),"")</f>
        <v/>
      </c>
      <c r="J54" s="162"/>
      <c r="K54" s="386" t="str">
        <f>IFERROR(INDEX('G-8 Condition Look up'!$A$3:$H$135,MATCH(F54,'G-8 Condition Look up'!$A$3:$A$135,0),MATCH(J54,'G-8 Condition Look up'!$A$3:$H$3,0)),"")</f>
        <v/>
      </c>
      <c r="L54" s="114"/>
      <c r="M54" s="401" t="str">
        <f>IF(L54="","",IF(VLOOKUP(L54,'G-3 Multipliers'!$L$3:$N$6,2,FALSE)=0,"Spatial Data Missing ⚠",VLOOKUP(L54,'G-3 Multipliers'!$L$3:$N$6,2,FALSE)))</f>
        <v/>
      </c>
      <c r="N54" s="363" t="str">
        <f>IF(L54="","",IF(VLOOKUP(L54,'G-3 Multipliers'!$L$3:$N$6,3,FALSE)=0,"Spatial Data Missing ⚠",VLOOKUP(L54,'G-3 Multipliers'!$L$3:$N$6,3,FALSE)))</f>
        <v/>
      </c>
      <c r="O54" s="362" t="str">
        <f t="shared" si="2"/>
        <v/>
      </c>
      <c r="P54" s="159"/>
      <c r="Q54" s="159"/>
      <c r="R54" s="382" t="str">
        <f t="shared" si="3"/>
        <v/>
      </c>
      <c r="S54" s="404" t="str">
        <f t="shared" si="0"/>
        <v/>
      </c>
      <c r="T54" s="387" t="str">
        <f>IFERROR(IF(S54="Check Data ⚠","Check Data ⚠",VLOOKUP(S54,'G-4 Temporal multipliers'!$A$4:$C$37,3,FALSE)),"")</f>
        <v/>
      </c>
      <c r="U54" s="385" t="str">
        <f>IF(F54="","",VLOOKUP(F54,'G-3 Multipliers'!$A$2:$E$134,2,FALSE))</f>
        <v/>
      </c>
      <c r="V54" s="382" t="str">
        <f t="shared" si="5"/>
        <v/>
      </c>
      <c r="W54" s="382" t="str">
        <f>IF(E54="","",IF(AND(V54="Standard difficulty applied",O54&gt;P54),U54,IF(AND(V54="Low Difficulty - only applicable if all habitat created before losses ⚠",P54&gt;=O54),"Low",VLOOKUP(F54,'G-3 Multipliers'!$A$2:$E$134,4,FALSE))))</f>
        <v/>
      </c>
      <c r="X54" s="386" t="str">
        <f>IFERROR(IF(E54="","",VLOOKUP(W54, 'G-3 Multipliers'!$P$2:$Q$6,2,FALSE)),"")</f>
        <v/>
      </c>
      <c r="Y54" s="516"/>
      <c r="Z54" s="724" t="str">
        <f>IF(Y54="","",IF(VLOOKUP(Y54,'G-3 Multipliers'!$S$3:$T$10,2,FALSE)=0,"Spatial Data Missing ⚠",VLOOKUP(Y54,'G-3 Multipliers'!$S$3:$T$10,2,FALSE)))</f>
        <v/>
      </c>
      <c r="AA54" s="741" t="str">
        <f t="shared" si="1"/>
        <v/>
      </c>
      <c r="AB54" s="405" t="str">
        <f t="shared" si="4"/>
        <v/>
      </c>
      <c r="AC54" s="119"/>
      <c r="AD54" s="528"/>
      <c r="AE54" s="120"/>
      <c r="AF54" s="120"/>
    </row>
    <row r="55" spans="1:32" ht="15">
      <c r="A55" s="30" t="str">
        <f>IFERROR(INDEX('G-8 Condition Look up'!$I$4:$I$135,MATCH(F55,'G-8 Condition Look up'!$A$4:$A$135,0)),"")</f>
        <v/>
      </c>
      <c r="C55" s="75" t="str">
        <f>IFERROR(INDEX('G-1 All Habitats'!$AG$3:$AG$17,MATCH(D55,'G-1 All Habitats'!$AF$3:$AF$17,0)),"")</f>
        <v/>
      </c>
      <c r="D55" s="122"/>
      <c r="E55" s="165"/>
      <c r="F55" s="198" t="str">
        <f>IFERROR(INDEX('G-1 All Habitats'!$B$3:$B$135,MATCH(E55,'G-1 All Habitats'!$A$3:$A$135,0)),"")</f>
        <v/>
      </c>
      <c r="G55" s="300"/>
      <c r="H55" s="398" t="str">
        <f>IF(F55="","",VLOOKUP(F55,'G-1 All Habitats'!$B$2:$M$134,10,FALSE))</f>
        <v/>
      </c>
      <c r="I55" s="386" t="str">
        <f>IFERROR(VLOOKUP(H55,'G-1 All Habitats'!$V$3:$W$7,2,FALSE),"")</f>
        <v/>
      </c>
      <c r="J55" s="162"/>
      <c r="K55" s="386" t="str">
        <f>IFERROR(INDEX('G-8 Condition Look up'!$A$3:$H$135,MATCH(F55,'G-8 Condition Look up'!$A$3:$A$135,0),MATCH(J55,'G-8 Condition Look up'!$A$3:$H$3,0)),"")</f>
        <v/>
      </c>
      <c r="L55" s="114"/>
      <c r="M55" s="401" t="str">
        <f>IF(L55="","",IF(VLOOKUP(L55,'G-3 Multipliers'!$L$3:$N$6,2,FALSE)=0,"Spatial Data Missing ⚠",VLOOKUP(L55,'G-3 Multipliers'!$L$3:$N$6,2,FALSE)))</f>
        <v/>
      </c>
      <c r="N55" s="363" t="str">
        <f>IF(L55="","",IF(VLOOKUP(L55,'G-3 Multipliers'!$L$3:$N$6,3,FALSE)=0,"Spatial Data Missing ⚠",VLOOKUP(L55,'G-3 Multipliers'!$L$3:$N$6,3,FALSE)))</f>
        <v/>
      </c>
      <c r="O55" s="362" t="str">
        <f t="shared" si="2"/>
        <v/>
      </c>
      <c r="P55" s="159"/>
      <c r="Q55" s="159"/>
      <c r="R55" s="382" t="str">
        <f t="shared" si="3"/>
        <v/>
      </c>
      <c r="S55" s="404" t="str">
        <f t="shared" si="0"/>
        <v/>
      </c>
      <c r="T55" s="387" t="str">
        <f>IFERROR(IF(S55="Check Data ⚠","Check Data ⚠",VLOOKUP(S55,'G-4 Temporal multipliers'!$A$4:$C$37,3,FALSE)),"")</f>
        <v/>
      </c>
      <c r="U55" s="385" t="str">
        <f>IF(F55="","",VLOOKUP(F55,'G-3 Multipliers'!$A$2:$E$134,2,FALSE))</f>
        <v/>
      </c>
      <c r="V55" s="382" t="str">
        <f t="shared" si="5"/>
        <v/>
      </c>
      <c r="W55" s="382" t="str">
        <f>IF(E55="","",IF(AND(V55="Standard difficulty applied",O55&gt;P55),U55,IF(AND(V55="Low Difficulty - only applicable if all habitat created before losses ⚠",P55&gt;=O55),"Low",VLOOKUP(F55,'G-3 Multipliers'!$A$2:$E$134,4,FALSE))))</f>
        <v/>
      </c>
      <c r="X55" s="386" t="str">
        <f>IFERROR(IF(E55="","",VLOOKUP(W55, 'G-3 Multipliers'!$P$2:$Q$6,2,FALSE)),"")</f>
        <v/>
      </c>
      <c r="Y55" s="516"/>
      <c r="Z55" s="724" t="str">
        <f>IF(Y55="","",IF(VLOOKUP(Y55,'G-3 Multipliers'!$S$3:$T$10,2,FALSE)=0,"Spatial Data Missing ⚠",VLOOKUP(Y55,'G-3 Multipliers'!$S$3:$T$10,2,FALSE)))</f>
        <v/>
      </c>
      <c r="AA55" s="741" t="str">
        <f t="shared" si="1"/>
        <v/>
      </c>
      <c r="AB55" s="405" t="str">
        <f t="shared" si="4"/>
        <v/>
      </c>
      <c r="AC55" s="119"/>
      <c r="AD55" s="528"/>
      <c r="AE55" s="120"/>
      <c r="AF55" s="120"/>
    </row>
    <row r="56" spans="1:32" ht="15">
      <c r="A56" s="30" t="str">
        <f>IFERROR(INDEX('G-8 Condition Look up'!$I$4:$I$135,MATCH(F56,'G-8 Condition Look up'!$A$4:$A$135,0)),"")</f>
        <v/>
      </c>
      <c r="C56" s="75" t="str">
        <f>IFERROR(INDEX('G-1 All Habitats'!$AG$3:$AG$17,MATCH(D56,'G-1 All Habitats'!$AF$3:$AF$17,0)),"")</f>
        <v/>
      </c>
      <c r="D56" s="122"/>
      <c r="E56" s="165"/>
      <c r="F56" s="198" t="str">
        <f>IFERROR(INDEX('G-1 All Habitats'!$B$3:$B$135,MATCH(E56,'G-1 All Habitats'!$A$3:$A$135,0)),"")</f>
        <v/>
      </c>
      <c r="G56" s="300"/>
      <c r="H56" s="398" t="str">
        <f>IF(F56="","",VLOOKUP(F56,'G-1 All Habitats'!$B$2:$M$134,10,FALSE))</f>
        <v/>
      </c>
      <c r="I56" s="386" t="str">
        <f>IFERROR(VLOOKUP(H56,'G-1 All Habitats'!$V$3:$W$7,2,FALSE),"")</f>
        <v/>
      </c>
      <c r="J56" s="162"/>
      <c r="K56" s="386" t="str">
        <f>IFERROR(INDEX('G-8 Condition Look up'!$A$3:$H$135,MATCH(F56,'G-8 Condition Look up'!$A$3:$A$135,0),MATCH(J56,'G-8 Condition Look up'!$A$3:$H$3,0)),"")</f>
        <v/>
      </c>
      <c r="L56" s="114"/>
      <c r="M56" s="401" t="str">
        <f>IF(L56="","",IF(VLOOKUP(L56,'G-3 Multipliers'!$L$3:$N$6,2,FALSE)=0,"Spatial Data Missing ⚠",VLOOKUP(L56,'G-3 Multipliers'!$L$3:$N$6,2,FALSE)))</f>
        <v/>
      </c>
      <c r="N56" s="363" t="str">
        <f>IF(L56="","",IF(VLOOKUP(L56,'G-3 Multipliers'!$L$3:$N$6,3,FALSE)=0,"Spatial Data Missing ⚠",VLOOKUP(L56,'G-3 Multipliers'!$L$3:$N$6,3,FALSE)))</f>
        <v/>
      </c>
      <c r="O56" s="362" t="str">
        <f t="shared" si="2"/>
        <v/>
      </c>
      <c r="P56" s="159"/>
      <c r="Q56" s="159"/>
      <c r="R56" s="382" t="str">
        <f t="shared" si="3"/>
        <v/>
      </c>
      <c r="S56" s="404" t="str">
        <f t="shared" si="0"/>
        <v/>
      </c>
      <c r="T56" s="387" t="str">
        <f>IFERROR(IF(S56="Check Data ⚠","Check Data ⚠",VLOOKUP(S56,'G-4 Temporal multipliers'!$A$4:$C$37,3,FALSE)),"")</f>
        <v/>
      </c>
      <c r="U56" s="385" t="str">
        <f>IF(F56="","",VLOOKUP(F56,'G-3 Multipliers'!$A$2:$E$134,2,FALSE))</f>
        <v/>
      </c>
      <c r="V56" s="382" t="str">
        <f t="shared" si="5"/>
        <v/>
      </c>
      <c r="W56" s="382" t="str">
        <f>IF(E56="","",IF(AND(V56="Standard difficulty applied",O56&gt;P56),U56,IF(AND(V56="Low Difficulty - only applicable if all habitat created before losses ⚠",P56&gt;=O56),"Low",VLOOKUP(F56,'G-3 Multipliers'!$A$2:$E$134,4,FALSE))))</f>
        <v/>
      </c>
      <c r="X56" s="386" t="str">
        <f>IFERROR(IF(E56="","",VLOOKUP(W56, 'G-3 Multipliers'!$P$2:$Q$6,2,FALSE)),"")</f>
        <v/>
      </c>
      <c r="Y56" s="516"/>
      <c r="Z56" s="724" t="str">
        <f>IF(Y56="","",IF(VLOOKUP(Y56,'G-3 Multipliers'!$S$3:$T$10,2,FALSE)=0,"Spatial Data Missing ⚠",VLOOKUP(Y56,'G-3 Multipliers'!$S$3:$T$10,2,FALSE)))</f>
        <v/>
      </c>
      <c r="AA56" s="741" t="str">
        <f t="shared" si="1"/>
        <v/>
      </c>
      <c r="AB56" s="405" t="str">
        <f t="shared" si="4"/>
        <v/>
      </c>
      <c r="AC56" s="119"/>
      <c r="AD56" s="528"/>
      <c r="AE56" s="120"/>
      <c r="AF56" s="120"/>
    </row>
    <row r="57" spans="1:32" ht="15">
      <c r="A57" s="30" t="str">
        <f>IFERROR(INDEX('G-8 Condition Look up'!$I$4:$I$135,MATCH(F57,'G-8 Condition Look up'!$A$4:$A$135,0)),"")</f>
        <v/>
      </c>
      <c r="C57" s="75" t="str">
        <f>IFERROR(INDEX('G-1 All Habitats'!$AG$3:$AG$17,MATCH(D57,'G-1 All Habitats'!$AF$3:$AF$17,0)),"")</f>
        <v/>
      </c>
      <c r="D57" s="122"/>
      <c r="E57" s="165"/>
      <c r="F57" s="198" t="str">
        <f>IFERROR(INDEX('G-1 All Habitats'!$B$3:$B$135,MATCH(E57,'G-1 All Habitats'!$A$3:$A$135,0)),"")</f>
        <v/>
      </c>
      <c r="G57" s="300"/>
      <c r="H57" s="398" t="str">
        <f>IF(F57="","",VLOOKUP(F57,'G-1 All Habitats'!$B$2:$M$134,10,FALSE))</f>
        <v/>
      </c>
      <c r="I57" s="386" t="str">
        <f>IFERROR(VLOOKUP(H57,'G-1 All Habitats'!$V$3:$W$7,2,FALSE),"")</f>
        <v/>
      </c>
      <c r="J57" s="162"/>
      <c r="K57" s="386" t="str">
        <f>IFERROR(INDEX('G-8 Condition Look up'!$A$3:$H$135,MATCH(F57,'G-8 Condition Look up'!$A$3:$A$135,0),MATCH(J57,'G-8 Condition Look up'!$A$3:$H$3,0)),"")</f>
        <v/>
      </c>
      <c r="L57" s="114"/>
      <c r="M57" s="401" t="str">
        <f>IF(L57="","",IF(VLOOKUP(L57,'G-3 Multipliers'!$L$3:$N$6,2,FALSE)=0,"Spatial Data Missing ⚠",VLOOKUP(L57,'G-3 Multipliers'!$L$3:$N$6,2,FALSE)))</f>
        <v/>
      </c>
      <c r="N57" s="363" t="str">
        <f>IF(L57="","",IF(VLOOKUP(L57,'G-3 Multipliers'!$L$3:$N$6,3,FALSE)=0,"Spatial Data Missing ⚠",VLOOKUP(L57,'G-3 Multipliers'!$L$3:$N$6,3,FALSE)))</f>
        <v/>
      </c>
      <c r="O57" s="362" t="str">
        <f t="shared" si="2"/>
        <v/>
      </c>
      <c r="P57" s="159"/>
      <c r="Q57" s="159"/>
      <c r="R57" s="382" t="str">
        <f t="shared" si="3"/>
        <v/>
      </c>
      <c r="S57" s="404" t="str">
        <f t="shared" si="0"/>
        <v/>
      </c>
      <c r="T57" s="387" t="str">
        <f>IFERROR(IF(S57="Check Data ⚠","Check Data ⚠",VLOOKUP(S57,'G-4 Temporal multipliers'!$A$4:$C$37,3,FALSE)),"")</f>
        <v/>
      </c>
      <c r="U57" s="385" t="str">
        <f>IF(F57="","",VLOOKUP(F57,'G-3 Multipliers'!$A$2:$E$134,2,FALSE))</f>
        <v/>
      </c>
      <c r="V57" s="382" t="str">
        <f t="shared" si="5"/>
        <v/>
      </c>
      <c r="W57" s="382" t="str">
        <f>IF(E57="","",IF(AND(V57="Standard difficulty applied",O57&gt;P57),U57,IF(AND(V57="Low Difficulty - only applicable if all habitat created before losses ⚠",P57&gt;=O57),"Low",VLOOKUP(F57,'G-3 Multipliers'!$A$2:$E$134,4,FALSE))))</f>
        <v/>
      </c>
      <c r="X57" s="386" t="str">
        <f>IFERROR(IF(E57="","",VLOOKUP(W57, 'G-3 Multipliers'!$P$2:$Q$6,2,FALSE)),"")</f>
        <v/>
      </c>
      <c r="Y57" s="516"/>
      <c r="Z57" s="724" t="str">
        <f>IF(Y57="","",IF(VLOOKUP(Y57,'G-3 Multipliers'!$S$3:$T$10,2,FALSE)=0,"Spatial Data Missing ⚠",VLOOKUP(Y57,'G-3 Multipliers'!$S$3:$T$10,2,FALSE)))</f>
        <v/>
      </c>
      <c r="AA57" s="741" t="str">
        <f t="shared" si="1"/>
        <v/>
      </c>
      <c r="AB57" s="405" t="str">
        <f t="shared" si="4"/>
        <v/>
      </c>
      <c r="AC57" s="119"/>
      <c r="AD57" s="528"/>
      <c r="AE57" s="120"/>
      <c r="AF57" s="120"/>
    </row>
    <row r="58" spans="1:32" ht="15">
      <c r="A58" s="30" t="str">
        <f>IFERROR(INDEX('G-8 Condition Look up'!$I$4:$I$135,MATCH(F58,'G-8 Condition Look up'!$A$4:$A$135,0)),"")</f>
        <v/>
      </c>
      <c r="C58" s="75" t="str">
        <f>IFERROR(INDEX('G-1 All Habitats'!$AG$3:$AG$17,MATCH(D58,'G-1 All Habitats'!$AF$3:$AF$17,0)),"")</f>
        <v/>
      </c>
      <c r="D58" s="122"/>
      <c r="E58" s="165"/>
      <c r="F58" s="198" t="str">
        <f>IFERROR(INDEX('G-1 All Habitats'!$B$3:$B$135,MATCH(E58,'G-1 All Habitats'!$A$3:$A$135,0)),"")</f>
        <v/>
      </c>
      <c r="G58" s="300"/>
      <c r="H58" s="398" t="str">
        <f>IF(F58="","",VLOOKUP(F58,'G-1 All Habitats'!$B$2:$M$134,10,FALSE))</f>
        <v/>
      </c>
      <c r="I58" s="386" t="str">
        <f>IFERROR(VLOOKUP(H58,'G-1 All Habitats'!$V$3:$W$7,2,FALSE),"")</f>
        <v/>
      </c>
      <c r="J58" s="162"/>
      <c r="K58" s="386" t="str">
        <f>IFERROR(INDEX('G-8 Condition Look up'!$A$3:$H$135,MATCH(F58,'G-8 Condition Look up'!$A$3:$A$135,0),MATCH(J58,'G-8 Condition Look up'!$A$3:$H$3,0)),"")</f>
        <v/>
      </c>
      <c r="L58" s="114"/>
      <c r="M58" s="401" t="str">
        <f>IF(L58="","",IF(VLOOKUP(L58,'G-3 Multipliers'!$L$3:$N$6,2,FALSE)=0,"Spatial Data Missing ⚠",VLOOKUP(L58,'G-3 Multipliers'!$L$3:$N$6,2,FALSE)))</f>
        <v/>
      </c>
      <c r="N58" s="363" t="str">
        <f>IF(L58="","",IF(VLOOKUP(L58,'G-3 Multipliers'!$L$3:$N$6,3,FALSE)=0,"Spatial Data Missing ⚠",VLOOKUP(L58,'G-3 Multipliers'!$L$3:$N$6,3,FALSE)))</f>
        <v/>
      </c>
      <c r="O58" s="362" t="str">
        <f t="shared" si="2"/>
        <v/>
      </c>
      <c r="P58" s="159"/>
      <c r="Q58" s="159"/>
      <c r="R58" s="382" t="str">
        <f t="shared" si="3"/>
        <v/>
      </c>
      <c r="S58" s="404" t="str">
        <f t="shared" si="0"/>
        <v/>
      </c>
      <c r="T58" s="387" t="str">
        <f>IFERROR(IF(S58="Check Data ⚠","Check Data ⚠",VLOOKUP(S58,'G-4 Temporal multipliers'!$A$4:$C$37,3,FALSE)),"")</f>
        <v/>
      </c>
      <c r="U58" s="385" t="str">
        <f>IF(F58="","",VLOOKUP(F58,'G-3 Multipliers'!$A$2:$E$134,2,FALSE))</f>
        <v/>
      </c>
      <c r="V58" s="382" t="str">
        <f t="shared" si="5"/>
        <v/>
      </c>
      <c r="W58" s="382" t="str">
        <f>IF(E58="","",IF(AND(V58="Standard difficulty applied",O58&gt;P58),U58,IF(AND(V58="Low Difficulty - only applicable if all habitat created before losses ⚠",P58&gt;=O58),"Low",VLOOKUP(F58,'G-3 Multipliers'!$A$2:$E$134,4,FALSE))))</f>
        <v/>
      </c>
      <c r="X58" s="386" t="str">
        <f>IFERROR(IF(E58="","",VLOOKUP(W58, 'G-3 Multipliers'!$P$2:$Q$6,2,FALSE)),"")</f>
        <v/>
      </c>
      <c r="Y58" s="516"/>
      <c r="Z58" s="724" t="str">
        <f>IF(Y58="","",IF(VLOOKUP(Y58,'G-3 Multipliers'!$S$3:$T$10,2,FALSE)=0,"Spatial Data Missing ⚠",VLOOKUP(Y58,'G-3 Multipliers'!$S$3:$T$10,2,FALSE)))</f>
        <v/>
      </c>
      <c r="AA58" s="741" t="str">
        <f t="shared" si="1"/>
        <v/>
      </c>
      <c r="AB58" s="405" t="str">
        <f t="shared" si="4"/>
        <v/>
      </c>
      <c r="AC58" s="119"/>
      <c r="AD58" s="528"/>
      <c r="AE58" s="120"/>
      <c r="AF58" s="120"/>
    </row>
    <row r="59" spans="1:32" ht="15">
      <c r="A59" s="30" t="str">
        <f>IFERROR(INDEX('G-8 Condition Look up'!$I$4:$I$135,MATCH(F59,'G-8 Condition Look up'!$A$4:$A$135,0)),"")</f>
        <v/>
      </c>
      <c r="C59" s="75" t="str">
        <f>IFERROR(INDEX('G-1 All Habitats'!$AG$3:$AG$17,MATCH(D59,'G-1 All Habitats'!$AF$3:$AF$17,0)),"")</f>
        <v/>
      </c>
      <c r="D59" s="122"/>
      <c r="E59" s="165"/>
      <c r="F59" s="198" t="str">
        <f>IFERROR(INDEX('G-1 All Habitats'!$B$3:$B$135,MATCH(E59,'G-1 All Habitats'!$A$3:$A$135,0)),"")</f>
        <v/>
      </c>
      <c r="G59" s="300"/>
      <c r="H59" s="398" t="str">
        <f>IF(F59="","",VLOOKUP(F59,'G-1 All Habitats'!$B$2:$M$134,10,FALSE))</f>
        <v/>
      </c>
      <c r="I59" s="386" t="str">
        <f>IFERROR(VLOOKUP(H59,'G-1 All Habitats'!$V$3:$W$7,2,FALSE),"")</f>
        <v/>
      </c>
      <c r="J59" s="162"/>
      <c r="K59" s="386" t="str">
        <f>IFERROR(INDEX('G-8 Condition Look up'!$A$3:$H$135,MATCH(F59,'G-8 Condition Look up'!$A$3:$A$135,0),MATCH(J59,'G-8 Condition Look up'!$A$3:$H$3,0)),"")</f>
        <v/>
      </c>
      <c r="L59" s="114"/>
      <c r="M59" s="401" t="str">
        <f>IF(L59="","",IF(VLOOKUP(L59,'G-3 Multipliers'!$L$3:$N$6,2,FALSE)=0,"Spatial Data Missing ⚠",VLOOKUP(L59,'G-3 Multipliers'!$L$3:$N$6,2,FALSE)))</f>
        <v/>
      </c>
      <c r="N59" s="363" t="str">
        <f>IF(L59="","",IF(VLOOKUP(L59,'G-3 Multipliers'!$L$3:$N$6,3,FALSE)=0,"Spatial Data Missing ⚠",VLOOKUP(L59,'G-3 Multipliers'!$L$3:$N$6,3,FALSE)))</f>
        <v/>
      </c>
      <c r="O59" s="362" t="str">
        <f t="shared" si="2"/>
        <v/>
      </c>
      <c r="P59" s="159"/>
      <c r="Q59" s="159"/>
      <c r="R59" s="382" t="str">
        <f t="shared" si="3"/>
        <v/>
      </c>
      <c r="S59" s="404" t="str">
        <f t="shared" si="0"/>
        <v/>
      </c>
      <c r="T59" s="387" t="str">
        <f>IFERROR(IF(S59="Check Data ⚠","Check Data ⚠",VLOOKUP(S59,'G-4 Temporal multipliers'!$A$4:$C$37,3,FALSE)),"")</f>
        <v/>
      </c>
      <c r="U59" s="385" t="str">
        <f>IF(F59="","",VLOOKUP(F59,'G-3 Multipliers'!$A$2:$E$134,2,FALSE))</f>
        <v/>
      </c>
      <c r="V59" s="382" t="str">
        <f t="shared" si="5"/>
        <v/>
      </c>
      <c r="W59" s="382" t="str">
        <f>IF(E59="","",IF(AND(V59="Standard difficulty applied",O59&gt;P59),U59,IF(AND(V59="Low Difficulty - only applicable if all habitat created before losses ⚠",P59&gt;=O59),"Low",VLOOKUP(F59,'G-3 Multipliers'!$A$2:$E$134,4,FALSE))))</f>
        <v/>
      </c>
      <c r="X59" s="386" t="str">
        <f>IFERROR(IF(E59="","",VLOOKUP(W59, 'G-3 Multipliers'!$P$2:$Q$6,2,FALSE)),"")</f>
        <v/>
      </c>
      <c r="Y59" s="516"/>
      <c r="Z59" s="724" t="str">
        <f>IF(Y59="","",IF(VLOOKUP(Y59,'G-3 Multipliers'!$S$3:$T$10,2,FALSE)=0,"Spatial Data Missing ⚠",VLOOKUP(Y59,'G-3 Multipliers'!$S$3:$T$10,2,FALSE)))</f>
        <v/>
      </c>
      <c r="AA59" s="741" t="str">
        <f t="shared" si="1"/>
        <v/>
      </c>
      <c r="AB59" s="405" t="str">
        <f t="shared" si="4"/>
        <v/>
      </c>
      <c r="AC59" s="119"/>
      <c r="AD59" s="528"/>
      <c r="AE59" s="120"/>
      <c r="AF59" s="120"/>
    </row>
    <row r="60" spans="1:32" ht="15">
      <c r="A60" s="30" t="str">
        <f>IFERROR(INDEX('G-8 Condition Look up'!$I$4:$I$135,MATCH(F60,'G-8 Condition Look up'!$A$4:$A$135,0)),"")</f>
        <v/>
      </c>
      <c r="C60" s="75" t="str">
        <f>IFERROR(INDEX('G-1 All Habitats'!$AG$3:$AG$17,MATCH(D60,'G-1 All Habitats'!$AF$3:$AF$17,0)),"")</f>
        <v/>
      </c>
      <c r="D60" s="122"/>
      <c r="E60" s="165"/>
      <c r="F60" s="198" t="str">
        <f>IFERROR(INDEX('G-1 All Habitats'!$B$3:$B$135,MATCH(E60,'G-1 All Habitats'!$A$3:$A$135,0)),"")</f>
        <v/>
      </c>
      <c r="G60" s="300"/>
      <c r="H60" s="398" t="str">
        <f>IF(F60="","",VLOOKUP(F60,'G-1 All Habitats'!$B$2:$M$134,10,FALSE))</f>
        <v/>
      </c>
      <c r="I60" s="386" t="str">
        <f>IFERROR(VLOOKUP(H60,'G-1 All Habitats'!$V$3:$W$7,2,FALSE),"")</f>
        <v/>
      </c>
      <c r="J60" s="162"/>
      <c r="K60" s="386" t="str">
        <f>IFERROR(INDEX('G-8 Condition Look up'!$A$3:$H$135,MATCH(F60,'G-8 Condition Look up'!$A$3:$A$135,0),MATCH(J60,'G-8 Condition Look up'!$A$3:$H$3,0)),"")</f>
        <v/>
      </c>
      <c r="L60" s="114"/>
      <c r="M60" s="401" t="str">
        <f>IF(L60="","",IF(VLOOKUP(L60,'G-3 Multipliers'!$L$3:$N$6,2,FALSE)=0,"Spatial Data Missing ⚠",VLOOKUP(L60,'G-3 Multipliers'!$L$3:$N$6,2,FALSE)))</f>
        <v/>
      </c>
      <c r="N60" s="363" t="str">
        <f>IF(L60="","",IF(VLOOKUP(L60,'G-3 Multipliers'!$L$3:$N$6,3,FALSE)=0,"Spatial Data Missing ⚠",VLOOKUP(L60,'G-3 Multipliers'!$L$3:$N$6,3,FALSE)))</f>
        <v/>
      </c>
      <c r="O60" s="362" t="str">
        <f t="shared" si="2"/>
        <v/>
      </c>
      <c r="P60" s="159"/>
      <c r="Q60" s="159"/>
      <c r="R60" s="382" t="str">
        <f t="shared" si="3"/>
        <v/>
      </c>
      <c r="S60" s="404" t="str">
        <f t="shared" si="0"/>
        <v/>
      </c>
      <c r="T60" s="387" t="str">
        <f>IFERROR(IF(S60="Check Data ⚠","Check Data ⚠",VLOOKUP(S60,'G-4 Temporal multipliers'!$A$4:$C$37,3,FALSE)),"")</f>
        <v/>
      </c>
      <c r="U60" s="385" t="str">
        <f>IF(F60="","",VLOOKUP(F60,'G-3 Multipliers'!$A$2:$E$134,2,FALSE))</f>
        <v/>
      </c>
      <c r="V60" s="382" t="str">
        <f t="shared" si="5"/>
        <v/>
      </c>
      <c r="W60" s="382" t="str">
        <f>IF(E60="","",IF(AND(V60="Standard difficulty applied",O60&gt;P60),U60,IF(AND(V60="Low Difficulty - only applicable if all habitat created before losses ⚠",P60&gt;=O60),"Low",VLOOKUP(F60,'G-3 Multipliers'!$A$2:$E$134,4,FALSE))))</f>
        <v/>
      </c>
      <c r="X60" s="386" t="str">
        <f>IFERROR(IF(E60="","",VLOOKUP(W60, 'G-3 Multipliers'!$P$2:$Q$6,2,FALSE)),"")</f>
        <v/>
      </c>
      <c r="Y60" s="516"/>
      <c r="Z60" s="724" t="str">
        <f>IF(Y60="","",IF(VLOOKUP(Y60,'G-3 Multipliers'!$S$3:$T$10,2,FALSE)=0,"Spatial Data Missing ⚠",VLOOKUP(Y60,'G-3 Multipliers'!$S$3:$T$10,2,FALSE)))</f>
        <v/>
      </c>
      <c r="AA60" s="741" t="str">
        <f t="shared" si="1"/>
        <v/>
      </c>
      <c r="AB60" s="405" t="str">
        <f t="shared" si="4"/>
        <v/>
      </c>
      <c r="AC60" s="119"/>
      <c r="AD60" s="528"/>
      <c r="AE60" s="120"/>
      <c r="AF60" s="120"/>
    </row>
    <row r="61" spans="1:32" ht="15">
      <c r="A61" s="30" t="str">
        <f>IFERROR(INDEX('G-8 Condition Look up'!$I$4:$I$135,MATCH(F61,'G-8 Condition Look up'!$A$4:$A$135,0)),"")</f>
        <v/>
      </c>
      <c r="C61" s="75" t="str">
        <f>IFERROR(INDEX('G-1 All Habitats'!$AG$3:$AG$17,MATCH(D61,'G-1 All Habitats'!$AF$3:$AF$17,0)),"")</f>
        <v/>
      </c>
      <c r="D61" s="122"/>
      <c r="E61" s="165"/>
      <c r="F61" s="198" t="str">
        <f>IFERROR(INDEX('G-1 All Habitats'!$B$3:$B$135,MATCH(E61,'G-1 All Habitats'!$A$3:$A$135,0)),"")</f>
        <v/>
      </c>
      <c r="G61" s="300"/>
      <c r="H61" s="398" t="str">
        <f>IF(F61="","",VLOOKUP(F61,'G-1 All Habitats'!$B$2:$M$134,10,FALSE))</f>
        <v/>
      </c>
      <c r="I61" s="386" t="str">
        <f>IFERROR(VLOOKUP(H61,'G-1 All Habitats'!$V$3:$W$7,2,FALSE),"")</f>
        <v/>
      </c>
      <c r="J61" s="162"/>
      <c r="K61" s="386" t="str">
        <f>IFERROR(INDEX('G-8 Condition Look up'!$A$3:$H$135,MATCH(F61,'G-8 Condition Look up'!$A$3:$A$135,0),MATCH(J61,'G-8 Condition Look up'!$A$3:$H$3,0)),"")</f>
        <v/>
      </c>
      <c r="L61" s="114"/>
      <c r="M61" s="401" t="str">
        <f>IF(L61="","",IF(VLOOKUP(L61,'G-3 Multipliers'!$L$3:$N$6,2,FALSE)=0,"Spatial Data Missing ⚠",VLOOKUP(L61,'G-3 Multipliers'!$L$3:$N$6,2,FALSE)))</f>
        <v/>
      </c>
      <c r="N61" s="363" t="str">
        <f>IF(L61="","",IF(VLOOKUP(L61,'G-3 Multipliers'!$L$3:$N$6,3,FALSE)=0,"Spatial Data Missing ⚠",VLOOKUP(L61,'G-3 Multipliers'!$L$3:$N$6,3,FALSE)))</f>
        <v/>
      </c>
      <c r="O61" s="362" t="str">
        <f t="shared" si="2"/>
        <v/>
      </c>
      <c r="P61" s="159"/>
      <c r="Q61" s="159"/>
      <c r="R61" s="382" t="str">
        <f t="shared" si="3"/>
        <v/>
      </c>
      <c r="S61" s="404" t="str">
        <f t="shared" si="0"/>
        <v/>
      </c>
      <c r="T61" s="387" t="str">
        <f>IFERROR(IF(S61="Check Data ⚠","Check Data ⚠",VLOOKUP(S61,'G-4 Temporal multipliers'!$A$4:$C$37,3,FALSE)),"")</f>
        <v/>
      </c>
      <c r="U61" s="385" t="str">
        <f>IF(F61="","",VLOOKUP(F61,'G-3 Multipliers'!$A$2:$E$134,2,FALSE))</f>
        <v/>
      </c>
      <c r="V61" s="382" t="str">
        <f t="shared" si="5"/>
        <v/>
      </c>
      <c r="W61" s="382" t="str">
        <f>IF(E61="","",IF(AND(V61="Standard difficulty applied",O61&gt;P61),U61,IF(AND(V61="Low Difficulty - only applicable if all habitat created before losses ⚠",P61&gt;=O61),"Low",VLOOKUP(F61,'G-3 Multipliers'!$A$2:$E$134,4,FALSE))))</f>
        <v/>
      </c>
      <c r="X61" s="386" t="str">
        <f>IFERROR(IF(E61="","",VLOOKUP(W61, 'G-3 Multipliers'!$P$2:$Q$6,2,FALSE)),"")</f>
        <v/>
      </c>
      <c r="Y61" s="516"/>
      <c r="Z61" s="724" t="str">
        <f>IF(Y61="","",IF(VLOOKUP(Y61,'G-3 Multipliers'!$S$3:$T$10,2,FALSE)=0,"Spatial Data Missing ⚠",VLOOKUP(Y61,'G-3 Multipliers'!$S$3:$T$10,2,FALSE)))</f>
        <v/>
      </c>
      <c r="AA61" s="741" t="str">
        <f t="shared" si="1"/>
        <v/>
      </c>
      <c r="AB61" s="405" t="str">
        <f t="shared" si="4"/>
        <v/>
      </c>
      <c r="AC61" s="119"/>
      <c r="AD61" s="528"/>
      <c r="AE61" s="120"/>
      <c r="AF61" s="120"/>
    </row>
    <row r="62" spans="1:32" ht="15">
      <c r="A62" s="30" t="str">
        <f>IFERROR(INDEX('G-8 Condition Look up'!$I$4:$I$135,MATCH(F62,'G-8 Condition Look up'!$A$4:$A$135,0)),"")</f>
        <v/>
      </c>
      <c r="C62" s="75" t="str">
        <f>IFERROR(INDEX('G-1 All Habitats'!$AG$3:$AG$17,MATCH(D62,'G-1 All Habitats'!$AF$3:$AF$17,0)),"")</f>
        <v/>
      </c>
      <c r="D62" s="122"/>
      <c r="E62" s="165"/>
      <c r="F62" s="198" t="str">
        <f>IFERROR(INDEX('G-1 All Habitats'!$B$3:$B$135,MATCH(E62,'G-1 All Habitats'!$A$3:$A$135,0)),"")</f>
        <v/>
      </c>
      <c r="G62" s="300"/>
      <c r="H62" s="398" t="str">
        <f>IF(F62="","",VLOOKUP(F62,'G-1 All Habitats'!$B$2:$M$134,10,FALSE))</f>
        <v/>
      </c>
      <c r="I62" s="386" t="str">
        <f>IFERROR(VLOOKUP(H62,'G-1 All Habitats'!$V$3:$W$7,2,FALSE),"")</f>
        <v/>
      </c>
      <c r="J62" s="162"/>
      <c r="K62" s="386" t="str">
        <f>IFERROR(INDEX('G-8 Condition Look up'!$A$3:$H$135,MATCH(F62,'G-8 Condition Look up'!$A$3:$A$135,0),MATCH(J62,'G-8 Condition Look up'!$A$3:$H$3,0)),"")</f>
        <v/>
      </c>
      <c r="L62" s="114"/>
      <c r="M62" s="401" t="str">
        <f>IF(L62="","",IF(VLOOKUP(L62,'G-3 Multipliers'!$L$3:$N$6,2,FALSE)=0,"Spatial Data Missing ⚠",VLOOKUP(L62,'G-3 Multipliers'!$L$3:$N$6,2,FALSE)))</f>
        <v/>
      </c>
      <c r="N62" s="363" t="str">
        <f>IF(L62="","",IF(VLOOKUP(L62,'G-3 Multipliers'!$L$3:$N$6,3,FALSE)=0,"Spatial Data Missing ⚠",VLOOKUP(L62,'G-3 Multipliers'!$L$3:$N$6,3,FALSE)))</f>
        <v/>
      </c>
      <c r="O62" s="362" t="str">
        <f t="shared" si="2"/>
        <v/>
      </c>
      <c r="P62" s="159"/>
      <c r="Q62" s="159"/>
      <c r="R62" s="382" t="str">
        <f t="shared" si="3"/>
        <v/>
      </c>
      <c r="S62" s="404" t="str">
        <f t="shared" si="0"/>
        <v/>
      </c>
      <c r="T62" s="387" t="str">
        <f>IFERROR(IF(S62="Check Data ⚠","Check Data ⚠",VLOOKUP(S62,'G-4 Temporal multipliers'!$A$4:$C$37,3,FALSE)),"")</f>
        <v/>
      </c>
      <c r="U62" s="385" t="str">
        <f>IF(F62="","",VLOOKUP(F62,'G-3 Multipliers'!$A$2:$E$134,2,FALSE))</f>
        <v/>
      </c>
      <c r="V62" s="382" t="str">
        <f t="shared" si="5"/>
        <v/>
      </c>
      <c r="W62" s="382" t="str">
        <f>IF(E62="","",IF(AND(V62="Standard difficulty applied",O62&gt;P62),U62,IF(AND(V62="Low Difficulty - only applicable if all habitat created before losses ⚠",P62&gt;=O62),"Low",VLOOKUP(F62,'G-3 Multipliers'!$A$2:$E$134,4,FALSE))))</f>
        <v/>
      </c>
      <c r="X62" s="386" t="str">
        <f>IFERROR(IF(E62="","",VLOOKUP(W62, 'G-3 Multipliers'!$P$2:$Q$6,2,FALSE)),"")</f>
        <v/>
      </c>
      <c r="Y62" s="516"/>
      <c r="Z62" s="724" t="str">
        <f>IF(Y62="","",IF(VLOOKUP(Y62,'G-3 Multipliers'!$S$3:$T$10,2,FALSE)=0,"Spatial Data Missing ⚠",VLOOKUP(Y62,'G-3 Multipliers'!$S$3:$T$10,2,FALSE)))</f>
        <v/>
      </c>
      <c r="AA62" s="741" t="str">
        <f t="shared" si="1"/>
        <v/>
      </c>
      <c r="AB62" s="405" t="str">
        <f t="shared" si="4"/>
        <v/>
      </c>
      <c r="AC62" s="119"/>
      <c r="AD62" s="528"/>
      <c r="AE62" s="120"/>
      <c r="AF62" s="120"/>
    </row>
    <row r="63" spans="1:32" ht="15">
      <c r="A63" s="30" t="str">
        <f>IFERROR(INDEX('G-8 Condition Look up'!$I$4:$I$135,MATCH(F63,'G-8 Condition Look up'!$A$4:$A$135,0)),"")</f>
        <v/>
      </c>
      <c r="C63" s="75" t="str">
        <f>IFERROR(INDEX('G-1 All Habitats'!$AG$3:$AG$17,MATCH(D63,'G-1 All Habitats'!$AF$3:$AF$17,0)),"")</f>
        <v/>
      </c>
      <c r="D63" s="122"/>
      <c r="E63" s="165"/>
      <c r="F63" s="198" t="str">
        <f>IFERROR(INDEX('G-1 All Habitats'!$B$3:$B$135,MATCH(E63,'G-1 All Habitats'!$A$3:$A$135,0)),"")</f>
        <v/>
      </c>
      <c r="G63" s="300"/>
      <c r="H63" s="398" t="str">
        <f>IF(F63="","",VLOOKUP(F63,'G-1 All Habitats'!$B$2:$M$134,10,FALSE))</f>
        <v/>
      </c>
      <c r="I63" s="386" t="str">
        <f>IFERROR(VLOOKUP(H63,'G-1 All Habitats'!$V$3:$W$7,2,FALSE),"")</f>
        <v/>
      </c>
      <c r="J63" s="162"/>
      <c r="K63" s="386" t="str">
        <f>IFERROR(INDEX('G-8 Condition Look up'!$A$3:$H$135,MATCH(F63,'G-8 Condition Look up'!$A$3:$A$135,0),MATCH(J63,'G-8 Condition Look up'!$A$3:$H$3,0)),"")</f>
        <v/>
      </c>
      <c r="L63" s="114"/>
      <c r="M63" s="401" t="str">
        <f>IF(L63="","",IF(VLOOKUP(L63,'G-3 Multipliers'!$L$3:$N$6,2,FALSE)=0,"Spatial Data Missing ⚠",VLOOKUP(L63,'G-3 Multipliers'!$L$3:$N$6,2,FALSE)))</f>
        <v/>
      </c>
      <c r="N63" s="363" t="str">
        <f>IF(L63="","",IF(VLOOKUP(L63,'G-3 Multipliers'!$L$3:$N$6,3,FALSE)=0,"Spatial Data Missing ⚠",VLOOKUP(L63,'G-3 Multipliers'!$L$3:$N$6,3,FALSE)))</f>
        <v/>
      </c>
      <c r="O63" s="362" t="str">
        <f t="shared" si="2"/>
        <v/>
      </c>
      <c r="P63" s="159"/>
      <c r="Q63" s="159"/>
      <c r="R63" s="382" t="str">
        <f t="shared" si="3"/>
        <v/>
      </c>
      <c r="S63" s="404" t="str">
        <f t="shared" si="0"/>
        <v/>
      </c>
      <c r="T63" s="387" t="str">
        <f>IFERROR(IF(S63="Check Data ⚠","Check Data ⚠",VLOOKUP(S63,'G-4 Temporal multipliers'!$A$4:$C$37,3,FALSE)),"")</f>
        <v/>
      </c>
      <c r="U63" s="385" t="str">
        <f>IF(F63="","",VLOOKUP(F63,'G-3 Multipliers'!$A$2:$E$134,2,FALSE))</f>
        <v/>
      </c>
      <c r="V63" s="382" t="str">
        <f t="shared" si="5"/>
        <v/>
      </c>
      <c r="W63" s="382" t="str">
        <f>IF(E63="","",IF(AND(V63="Standard difficulty applied",O63&gt;P63),U63,IF(AND(V63="Low Difficulty - only applicable if all habitat created before losses ⚠",P63&gt;=O63),"Low",VLOOKUP(F63,'G-3 Multipliers'!$A$2:$E$134,4,FALSE))))</f>
        <v/>
      </c>
      <c r="X63" s="386" t="str">
        <f>IFERROR(IF(E63="","",VLOOKUP(W63, 'G-3 Multipliers'!$P$2:$Q$6,2,FALSE)),"")</f>
        <v/>
      </c>
      <c r="Y63" s="516"/>
      <c r="Z63" s="724" t="str">
        <f>IF(Y63="","",IF(VLOOKUP(Y63,'G-3 Multipliers'!$S$3:$T$10,2,FALSE)=0,"Spatial Data Missing ⚠",VLOOKUP(Y63,'G-3 Multipliers'!$S$3:$T$10,2,FALSE)))</f>
        <v/>
      </c>
      <c r="AA63" s="741" t="str">
        <f t="shared" si="1"/>
        <v/>
      </c>
      <c r="AB63" s="405" t="str">
        <f t="shared" si="4"/>
        <v/>
      </c>
      <c r="AC63" s="119"/>
      <c r="AD63" s="528"/>
      <c r="AE63" s="120"/>
      <c r="AF63" s="120"/>
    </row>
    <row r="64" spans="1:32" ht="15">
      <c r="A64" s="30" t="str">
        <f>IFERROR(INDEX('G-8 Condition Look up'!$I$4:$I$135,MATCH(F64,'G-8 Condition Look up'!$A$4:$A$135,0)),"")</f>
        <v/>
      </c>
      <c r="C64" s="75" t="str">
        <f>IFERROR(INDEX('G-1 All Habitats'!$AG$3:$AG$17,MATCH(D64,'G-1 All Habitats'!$AF$3:$AF$17,0)),"")</f>
        <v/>
      </c>
      <c r="D64" s="122"/>
      <c r="E64" s="165"/>
      <c r="F64" s="198" t="str">
        <f>IFERROR(INDEX('G-1 All Habitats'!$B$3:$B$135,MATCH(E64,'G-1 All Habitats'!$A$3:$A$135,0)),"")</f>
        <v/>
      </c>
      <c r="G64" s="300"/>
      <c r="H64" s="398" t="str">
        <f>IF(F64="","",VLOOKUP(F64,'G-1 All Habitats'!$B$2:$M$134,10,FALSE))</f>
        <v/>
      </c>
      <c r="I64" s="386" t="str">
        <f>IFERROR(VLOOKUP(H64,'G-1 All Habitats'!$V$3:$W$7,2,FALSE),"")</f>
        <v/>
      </c>
      <c r="J64" s="162"/>
      <c r="K64" s="386" t="str">
        <f>IFERROR(INDEX('G-8 Condition Look up'!$A$3:$H$135,MATCH(F64,'G-8 Condition Look up'!$A$3:$A$135,0),MATCH(J64,'G-8 Condition Look up'!$A$3:$H$3,0)),"")</f>
        <v/>
      </c>
      <c r="L64" s="114"/>
      <c r="M64" s="401" t="str">
        <f>IF(L64="","",IF(VLOOKUP(L64,'G-3 Multipliers'!$L$3:$N$6,2,FALSE)=0,"Spatial Data Missing ⚠",VLOOKUP(L64,'G-3 Multipliers'!$L$3:$N$6,2,FALSE)))</f>
        <v/>
      </c>
      <c r="N64" s="363" t="str">
        <f>IF(L64="","",IF(VLOOKUP(L64,'G-3 Multipliers'!$L$3:$N$6,3,FALSE)=0,"Spatial Data Missing ⚠",VLOOKUP(L64,'G-3 Multipliers'!$L$3:$N$6,3,FALSE)))</f>
        <v/>
      </c>
      <c r="O64" s="362" t="str">
        <f t="shared" si="2"/>
        <v/>
      </c>
      <c r="P64" s="159"/>
      <c r="Q64" s="159"/>
      <c r="R64" s="382" t="str">
        <f t="shared" si="3"/>
        <v/>
      </c>
      <c r="S64" s="404" t="str">
        <f t="shared" si="0"/>
        <v/>
      </c>
      <c r="T64" s="387" t="str">
        <f>IFERROR(IF(S64="Check Data ⚠","Check Data ⚠",VLOOKUP(S64,'G-4 Temporal multipliers'!$A$4:$C$37,3,FALSE)),"")</f>
        <v/>
      </c>
      <c r="U64" s="385" t="str">
        <f>IF(F64="","",VLOOKUP(F64,'G-3 Multipliers'!$A$2:$E$134,2,FALSE))</f>
        <v/>
      </c>
      <c r="V64" s="382" t="str">
        <f t="shared" si="5"/>
        <v/>
      </c>
      <c r="W64" s="382" t="str">
        <f>IF(E64="","",IF(AND(V64="Standard difficulty applied",O64&gt;P64),U64,IF(AND(V64="Low Difficulty - only applicable if all habitat created before losses ⚠",P64&gt;=O64),"Low",VLOOKUP(F64,'G-3 Multipliers'!$A$2:$E$134,4,FALSE))))</f>
        <v/>
      </c>
      <c r="X64" s="386" t="str">
        <f>IFERROR(IF(E64="","",VLOOKUP(W64, 'G-3 Multipliers'!$P$2:$Q$6,2,FALSE)),"")</f>
        <v/>
      </c>
      <c r="Y64" s="516"/>
      <c r="Z64" s="724" t="str">
        <f>IF(Y64="","",IF(VLOOKUP(Y64,'G-3 Multipliers'!$S$3:$T$10,2,FALSE)=0,"Spatial Data Missing ⚠",VLOOKUP(Y64,'G-3 Multipliers'!$S$3:$T$10,2,FALSE)))</f>
        <v/>
      </c>
      <c r="AA64" s="741" t="str">
        <f t="shared" si="1"/>
        <v/>
      </c>
      <c r="AB64" s="405" t="str">
        <f t="shared" si="4"/>
        <v/>
      </c>
      <c r="AC64" s="119"/>
      <c r="AD64" s="528"/>
      <c r="AE64" s="120"/>
      <c r="AF64" s="120"/>
    </row>
    <row r="65" spans="1:32" ht="15">
      <c r="A65" s="30" t="str">
        <f>IFERROR(INDEX('G-8 Condition Look up'!$I$4:$I$135,MATCH(F65,'G-8 Condition Look up'!$A$4:$A$135,0)),"")</f>
        <v/>
      </c>
      <c r="C65" s="75" t="str">
        <f>IFERROR(INDEX('G-1 All Habitats'!$AG$3:$AG$17,MATCH(D65,'G-1 All Habitats'!$AF$3:$AF$17,0)),"")</f>
        <v/>
      </c>
      <c r="D65" s="122"/>
      <c r="E65" s="165"/>
      <c r="F65" s="198" t="str">
        <f>IFERROR(INDEX('G-1 All Habitats'!$B$3:$B$135,MATCH(E65,'G-1 All Habitats'!$A$3:$A$135,0)),"")</f>
        <v/>
      </c>
      <c r="G65" s="300"/>
      <c r="H65" s="398" t="str">
        <f>IF(F65="","",VLOOKUP(F65,'G-1 All Habitats'!$B$2:$M$134,10,FALSE))</f>
        <v/>
      </c>
      <c r="I65" s="386" t="str">
        <f>IFERROR(VLOOKUP(H65,'G-1 All Habitats'!$V$3:$W$7,2,FALSE),"")</f>
        <v/>
      </c>
      <c r="J65" s="162"/>
      <c r="K65" s="386" t="str">
        <f>IFERROR(INDEX('G-8 Condition Look up'!$A$3:$H$135,MATCH(F65,'G-8 Condition Look up'!$A$3:$A$135,0),MATCH(J65,'G-8 Condition Look up'!$A$3:$H$3,0)),"")</f>
        <v/>
      </c>
      <c r="L65" s="114"/>
      <c r="M65" s="401" t="str">
        <f>IF(L65="","",IF(VLOOKUP(L65,'G-3 Multipliers'!$L$3:$N$6,2,FALSE)=0,"Spatial Data Missing ⚠",VLOOKUP(L65,'G-3 Multipliers'!$L$3:$N$6,2,FALSE)))</f>
        <v/>
      </c>
      <c r="N65" s="363" t="str">
        <f>IF(L65="","",IF(VLOOKUP(L65,'G-3 Multipliers'!$L$3:$N$6,3,FALSE)=0,"Spatial Data Missing ⚠",VLOOKUP(L65,'G-3 Multipliers'!$L$3:$N$6,3,FALSE)))</f>
        <v/>
      </c>
      <c r="O65" s="362" t="str">
        <f t="shared" si="2"/>
        <v/>
      </c>
      <c r="P65" s="159"/>
      <c r="Q65" s="159"/>
      <c r="R65" s="382" t="str">
        <f t="shared" si="3"/>
        <v/>
      </c>
      <c r="S65" s="404" t="str">
        <f t="shared" si="0"/>
        <v/>
      </c>
      <c r="T65" s="387" t="str">
        <f>IFERROR(IF(S65="Check Data ⚠","Check Data ⚠",VLOOKUP(S65,'G-4 Temporal multipliers'!$A$4:$C$37,3,FALSE)),"")</f>
        <v/>
      </c>
      <c r="U65" s="385" t="str">
        <f>IF(F65="","",VLOOKUP(F65,'G-3 Multipliers'!$A$2:$E$134,2,FALSE))</f>
        <v/>
      </c>
      <c r="V65" s="382" t="str">
        <f t="shared" si="5"/>
        <v/>
      </c>
      <c r="W65" s="382" t="str">
        <f>IF(E65="","",IF(AND(V65="Standard difficulty applied",O65&gt;P65),U65,IF(AND(V65="Low Difficulty - only applicable if all habitat created before losses ⚠",P65&gt;=O65),"Low",VLOOKUP(F65,'G-3 Multipliers'!$A$2:$E$134,4,FALSE))))</f>
        <v/>
      </c>
      <c r="X65" s="386" t="str">
        <f>IFERROR(IF(E65="","",VLOOKUP(W65, 'G-3 Multipliers'!$P$2:$Q$6,2,FALSE)),"")</f>
        <v/>
      </c>
      <c r="Y65" s="516"/>
      <c r="Z65" s="724" t="str">
        <f>IF(Y65="","",IF(VLOOKUP(Y65,'G-3 Multipliers'!$S$3:$T$10,2,FALSE)=0,"Spatial Data Missing ⚠",VLOOKUP(Y65,'G-3 Multipliers'!$S$3:$T$10,2,FALSE)))</f>
        <v/>
      </c>
      <c r="AA65" s="741" t="str">
        <f t="shared" si="1"/>
        <v/>
      </c>
      <c r="AB65" s="405" t="str">
        <f t="shared" si="4"/>
        <v/>
      </c>
      <c r="AC65" s="119"/>
      <c r="AD65" s="528"/>
      <c r="AE65" s="120"/>
      <c r="AF65" s="120"/>
    </row>
    <row r="66" spans="1:32" ht="15">
      <c r="A66" s="30" t="str">
        <f>IFERROR(INDEX('G-8 Condition Look up'!$I$4:$I$135,MATCH(F66,'G-8 Condition Look up'!$A$4:$A$135,0)),"")</f>
        <v/>
      </c>
      <c r="C66" s="75" t="str">
        <f>IFERROR(INDEX('G-1 All Habitats'!$AG$3:$AG$17,MATCH(D66,'G-1 All Habitats'!$AF$3:$AF$17,0)),"")</f>
        <v/>
      </c>
      <c r="D66" s="122"/>
      <c r="E66" s="165"/>
      <c r="F66" s="198" t="str">
        <f>IFERROR(INDEX('G-1 All Habitats'!$B$3:$B$135,MATCH(E66,'G-1 All Habitats'!$A$3:$A$135,0)),"")</f>
        <v/>
      </c>
      <c r="G66" s="300"/>
      <c r="H66" s="398" t="str">
        <f>IF(F66="","",VLOOKUP(F66,'G-1 All Habitats'!$B$2:$M$134,10,FALSE))</f>
        <v/>
      </c>
      <c r="I66" s="386" t="str">
        <f>IFERROR(VLOOKUP(H66,'G-1 All Habitats'!$V$3:$W$7,2,FALSE),"")</f>
        <v/>
      </c>
      <c r="J66" s="162"/>
      <c r="K66" s="386" t="str">
        <f>IFERROR(INDEX('G-8 Condition Look up'!$A$3:$H$135,MATCH(F66,'G-8 Condition Look up'!$A$3:$A$135,0),MATCH(J66,'G-8 Condition Look up'!$A$3:$H$3,0)),"")</f>
        <v/>
      </c>
      <c r="L66" s="114"/>
      <c r="M66" s="401" t="str">
        <f>IF(L66="","",IF(VLOOKUP(L66,'G-3 Multipliers'!$L$3:$N$6,2,FALSE)=0,"Spatial Data Missing ⚠",VLOOKUP(L66,'G-3 Multipliers'!$L$3:$N$6,2,FALSE)))</f>
        <v/>
      </c>
      <c r="N66" s="363" t="str">
        <f>IF(L66="","",IF(VLOOKUP(L66,'G-3 Multipliers'!$L$3:$N$6,3,FALSE)=0,"Spatial Data Missing ⚠",VLOOKUP(L66,'G-3 Multipliers'!$L$3:$N$6,3,FALSE)))</f>
        <v/>
      </c>
      <c r="O66" s="362" t="str">
        <f t="shared" si="2"/>
        <v/>
      </c>
      <c r="P66" s="159"/>
      <c r="Q66" s="159"/>
      <c r="R66" s="382" t="str">
        <f t="shared" si="3"/>
        <v/>
      </c>
      <c r="S66" s="404" t="str">
        <f t="shared" si="0"/>
        <v/>
      </c>
      <c r="T66" s="387" t="str">
        <f>IFERROR(IF(S66="Check Data ⚠","Check Data ⚠",VLOOKUP(S66,'G-4 Temporal multipliers'!$A$4:$C$37,3,FALSE)),"")</f>
        <v/>
      </c>
      <c r="U66" s="385" t="str">
        <f>IF(F66="","",VLOOKUP(F66,'G-3 Multipliers'!$A$2:$E$134,2,FALSE))</f>
        <v/>
      </c>
      <c r="V66" s="382" t="str">
        <f t="shared" si="5"/>
        <v/>
      </c>
      <c r="W66" s="382" t="str">
        <f>IF(E66="","",IF(AND(V66="Standard difficulty applied",O66&gt;P66),U66,IF(AND(V66="Low Difficulty - only applicable if all habitat created before losses ⚠",P66&gt;=O66),"Low",VLOOKUP(F66,'G-3 Multipliers'!$A$2:$E$134,4,FALSE))))</f>
        <v/>
      </c>
      <c r="X66" s="386" t="str">
        <f>IFERROR(IF(E66="","",VLOOKUP(W66, 'G-3 Multipliers'!$P$2:$Q$6,2,FALSE)),"")</f>
        <v/>
      </c>
      <c r="Y66" s="516"/>
      <c r="Z66" s="724" t="str">
        <f>IF(Y66="","",IF(VLOOKUP(Y66,'G-3 Multipliers'!$S$3:$T$10,2,FALSE)=0,"Spatial Data Missing ⚠",VLOOKUP(Y66,'G-3 Multipliers'!$S$3:$T$10,2,FALSE)))</f>
        <v/>
      </c>
      <c r="AA66" s="741" t="str">
        <f t="shared" si="1"/>
        <v/>
      </c>
      <c r="AB66" s="405" t="str">
        <f t="shared" si="4"/>
        <v/>
      </c>
      <c r="AC66" s="119"/>
      <c r="AD66" s="528"/>
      <c r="AE66" s="120"/>
      <c r="AF66" s="120"/>
    </row>
    <row r="67" spans="1:32" ht="15">
      <c r="A67" s="30" t="str">
        <f>IFERROR(INDEX('G-8 Condition Look up'!$I$4:$I$135,MATCH(F67,'G-8 Condition Look up'!$A$4:$A$135,0)),"")</f>
        <v/>
      </c>
      <c r="C67" s="75" t="str">
        <f>IFERROR(INDEX('G-1 All Habitats'!$AG$3:$AG$17,MATCH(D67,'G-1 All Habitats'!$AF$3:$AF$17,0)),"")</f>
        <v/>
      </c>
      <c r="D67" s="122"/>
      <c r="E67" s="165"/>
      <c r="F67" s="198" t="str">
        <f>IFERROR(INDEX('G-1 All Habitats'!$B$3:$B$135,MATCH(E67,'G-1 All Habitats'!$A$3:$A$135,0)),"")</f>
        <v/>
      </c>
      <c r="G67" s="300"/>
      <c r="H67" s="398" t="str">
        <f>IF(F67="","",VLOOKUP(F67,'G-1 All Habitats'!$B$2:$M$134,10,FALSE))</f>
        <v/>
      </c>
      <c r="I67" s="386" t="str">
        <f>IFERROR(VLOOKUP(H67,'G-1 All Habitats'!$V$3:$W$7,2,FALSE),"")</f>
        <v/>
      </c>
      <c r="J67" s="162"/>
      <c r="K67" s="386" t="str">
        <f>IFERROR(INDEX('G-8 Condition Look up'!$A$3:$H$135,MATCH(F67,'G-8 Condition Look up'!$A$3:$A$135,0),MATCH(J67,'G-8 Condition Look up'!$A$3:$H$3,0)),"")</f>
        <v/>
      </c>
      <c r="L67" s="114"/>
      <c r="M67" s="401" t="str">
        <f>IF(L67="","",IF(VLOOKUP(L67,'G-3 Multipliers'!$L$3:$N$6,2,FALSE)=0,"Spatial Data Missing ⚠",VLOOKUP(L67,'G-3 Multipliers'!$L$3:$N$6,2,FALSE)))</f>
        <v/>
      </c>
      <c r="N67" s="363" t="str">
        <f>IF(L67="","",IF(VLOOKUP(L67,'G-3 Multipliers'!$L$3:$N$6,3,FALSE)=0,"Spatial Data Missing ⚠",VLOOKUP(L67,'G-3 Multipliers'!$L$3:$N$6,3,FALSE)))</f>
        <v/>
      </c>
      <c r="O67" s="362" t="str">
        <f t="shared" si="2"/>
        <v/>
      </c>
      <c r="P67" s="159"/>
      <c r="Q67" s="159"/>
      <c r="R67" s="382" t="str">
        <f t="shared" si="3"/>
        <v/>
      </c>
      <c r="S67" s="404" t="str">
        <f t="shared" si="0"/>
        <v/>
      </c>
      <c r="T67" s="387" t="str">
        <f>IFERROR(IF(S67="Check Data ⚠","Check Data ⚠",VLOOKUP(S67,'G-4 Temporal multipliers'!$A$4:$C$37,3,FALSE)),"")</f>
        <v/>
      </c>
      <c r="U67" s="385" t="str">
        <f>IF(F67="","",VLOOKUP(F67,'G-3 Multipliers'!$A$2:$E$134,2,FALSE))</f>
        <v/>
      </c>
      <c r="V67" s="382" t="str">
        <f t="shared" si="5"/>
        <v/>
      </c>
      <c r="W67" s="382" t="str">
        <f>IF(E67="","",IF(AND(V67="Standard difficulty applied",O67&gt;P67),U67,IF(AND(V67="Low Difficulty - only applicable if all habitat created before losses ⚠",P67&gt;=O67),"Low",VLOOKUP(F67,'G-3 Multipliers'!$A$2:$E$134,4,FALSE))))</f>
        <v/>
      </c>
      <c r="X67" s="386" t="str">
        <f>IFERROR(IF(E67="","",VLOOKUP(W67, 'G-3 Multipliers'!$P$2:$Q$6,2,FALSE)),"")</f>
        <v/>
      </c>
      <c r="Y67" s="516"/>
      <c r="Z67" s="724" t="str">
        <f>IF(Y67="","",IF(VLOOKUP(Y67,'G-3 Multipliers'!$S$3:$T$10,2,FALSE)=0,"Spatial Data Missing ⚠",VLOOKUP(Y67,'G-3 Multipliers'!$S$3:$T$10,2,FALSE)))</f>
        <v/>
      </c>
      <c r="AA67" s="741" t="str">
        <f t="shared" si="1"/>
        <v/>
      </c>
      <c r="AB67" s="405" t="str">
        <f t="shared" si="4"/>
        <v/>
      </c>
      <c r="AC67" s="119"/>
      <c r="AD67" s="528"/>
      <c r="AE67" s="120"/>
      <c r="AF67" s="120"/>
    </row>
    <row r="68" spans="1:32" ht="15">
      <c r="A68" s="30" t="str">
        <f>IFERROR(INDEX('G-8 Condition Look up'!$I$4:$I$135,MATCH(F68,'G-8 Condition Look up'!$A$4:$A$135,0)),"")</f>
        <v/>
      </c>
      <c r="C68" s="75" t="str">
        <f>IFERROR(INDEX('G-1 All Habitats'!$AG$3:$AG$17,MATCH(D68,'G-1 All Habitats'!$AF$3:$AF$17,0)),"")</f>
        <v/>
      </c>
      <c r="D68" s="122"/>
      <c r="E68" s="165"/>
      <c r="F68" s="198" t="str">
        <f>IFERROR(INDEX('G-1 All Habitats'!$B$3:$B$135,MATCH(E68,'G-1 All Habitats'!$A$3:$A$135,0)),"")</f>
        <v/>
      </c>
      <c r="G68" s="300"/>
      <c r="H68" s="398" t="str">
        <f>IF(F68="","",VLOOKUP(F68,'G-1 All Habitats'!$B$2:$M$134,10,FALSE))</f>
        <v/>
      </c>
      <c r="I68" s="386" t="str">
        <f>IFERROR(VLOOKUP(H68,'G-1 All Habitats'!$V$3:$W$7,2,FALSE),"")</f>
        <v/>
      </c>
      <c r="J68" s="162"/>
      <c r="K68" s="386" t="str">
        <f>IFERROR(INDEX('G-8 Condition Look up'!$A$3:$H$135,MATCH(F68,'G-8 Condition Look up'!$A$3:$A$135,0),MATCH(J68,'G-8 Condition Look up'!$A$3:$H$3,0)),"")</f>
        <v/>
      </c>
      <c r="L68" s="114"/>
      <c r="M68" s="401" t="str">
        <f>IF(L68="","",IF(VLOOKUP(L68,'G-3 Multipliers'!$L$3:$N$6,2,FALSE)=0,"Spatial Data Missing ⚠",VLOOKUP(L68,'G-3 Multipliers'!$L$3:$N$6,2,FALSE)))</f>
        <v/>
      </c>
      <c r="N68" s="363" t="str">
        <f>IF(L68="","",IF(VLOOKUP(L68,'G-3 Multipliers'!$L$3:$N$6,3,FALSE)=0,"Spatial Data Missing ⚠",VLOOKUP(L68,'G-3 Multipliers'!$L$3:$N$6,3,FALSE)))</f>
        <v/>
      </c>
      <c r="O68" s="362" t="str">
        <f t="shared" si="2"/>
        <v/>
      </c>
      <c r="P68" s="159"/>
      <c r="Q68" s="159"/>
      <c r="R68" s="382" t="str">
        <f t="shared" si="3"/>
        <v/>
      </c>
      <c r="S68" s="404" t="str">
        <f t="shared" si="0"/>
        <v/>
      </c>
      <c r="T68" s="387" t="str">
        <f>IFERROR(IF(S68="Check Data ⚠","Check Data ⚠",VLOOKUP(S68,'G-4 Temporal multipliers'!$A$4:$C$37,3,FALSE)),"")</f>
        <v/>
      </c>
      <c r="U68" s="385" t="str">
        <f>IF(F68="","",VLOOKUP(F68,'G-3 Multipliers'!$A$2:$E$134,2,FALSE))</f>
        <v/>
      </c>
      <c r="V68" s="382" t="str">
        <f t="shared" si="5"/>
        <v/>
      </c>
      <c r="W68" s="382" t="str">
        <f>IF(E68="","",IF(AND(V68="Standard difficulty applied",O68&gt;P68),U68,IF(AND(V68="Low Difficulty - only applicable if all habitat created before losses ⚠",P68&gt;=O68),"Low",VLOOKUP(F68,'G-3 Multipliers'!$A$2:$E$134,4,FALSE))))</f>
        <v/>
      </c>
      <c r="X68" s="386" t="str">
        <f>IFERROR(IF(E68="","",VLOOKUP(W68, 'G-3 Multipliers'!$P$2:$Q$6,2,FALSE)),"")</f>
        <v/>
      </c>
      <c r="Y68" s="516"/>
      <c r="Z68" s="724" t="str">
        <f>IF(Y68="","",IF(VLOOKUP(Y68,'G-3 Multipliers'!$S$3:$T$10,2,FALSE)=0,"Spatial Data Missing ⚠",VLOOKUP(Y68,'G-3 Multipliers'!$S$3:$T$10,2,FALSE)))</f>
        <v/>
      </c>
      <c r="AA68" s="741" t="str">
        <f t="shared" si="1"/>
        <v/>
      </c>
      <c r="AB68" s="405" t="str">
        <f t="shared" si="4"/>
        <v/>
      </c>
      <c r="AC68" s="119"/>
      <c r="AD68" s="528"/>
      <c r="AE68" s="120"/>
      <c r="AF68" s="120"/>
    </row>
    <row r="69" spans="1:32" ht="15">
      <c r="A69" s="30" t="str">
        <f>IFERROR(INDEX('G-8 Condition Look up'!$I$4:$I$135,MATCH(F69,'G-8 Condition Look up'!$A$4:$A$135,0)),"")</f>
        <v/>
      </c>
      <c r="C69" s="75" t="str">
        <f>IFERROR(INDEX('G-1 All Habitats'!$AG$3:$AG$17,MATCH(D69,'G-1 All Habitats'!$AF$3:$AF$17,0)),"")</f>
        <v/>
      </c>
      <c r="D69" s="122"/>
      <c r="E69" s="165"/>
      <c r="F69" s="198" t="str">
        <f>IFERROR(INDEX('G-1 All Habitats'!$B$3:$B$135,MATCH(E69,'G-1 All Habitats'!$A$3:$A$135,0)),"")</f>
        <v/>
      </c>
      <c r="G69" s="300"/>
      <c r="H69" s="398" t="str">
        <f>IF(F69="","",VLOOKUP(F69,'G-1 All Habitats'!$B$2:$M$134,10,FALSE))</f>
        <v/>
      </c>
      <c r="I69" s="386" t="str">
        <f>IFERROR(VLOOKUP(H69,'G-1 All Habitats'!$V$3:$W$7,2,FALSE),"")</f>
        <v/>
      </c>
      <c r="J69" s="162"/>
      <c r="K69" s="386" t="str">
        <f>IFERROR(INDEX('G-8 Condition Look up'!$A$3:$H$135,MATCH(F69,'G-8 Condition Look up'!$A$3:$A$135,0),MATCH(J69,'G-8 Condition Look up'!$A$3:$H$3,0)),"")</f>
        <v/>
      </c>
      <c r="L69" s="114"/>
      <c r="M69" s="401" t="str">
        <f>IF(L69="","",IF(VLOOKUP(L69,'G-3 Multipliers'!$L$3:$N$6,2,FALSE)=0,"Spatial Data Missing ⚠",VLOOKUP(L69,'G-3 Multipliers'!$L$3:$N$6,2,FALSE)))</f>
        <v/>
      </c>
      <c r="N69" s="363" t="str">
        <f>IF(L69="","",IF(VLOOKUP(L69,'G-3 Multipliers'!$L$3:$N$6,3,FALSE)=0,"Spatial Data Missing ⚠",VLOOKUP(L69,'G-3 Multipliers'!$L$3:$N$6,3,FALSE)))</f>
        <v/>
      </c>
      <c r="O69" s="362" t="str">
        <f t="shared" si="2"/>
        <v/>
      </c>
      <c r="P69" s="159"/>
      <c r="Q69" s="159"/>
      <c r="R69" s="382" t="str">
        <f t="shared" si="3"/>
        <v/>
      </c>
      <c r="S69" s="404" t="str">
        <f t="shared" si="0"/>
        <v/>
      </c>
      <c r="T69" s="387" t="str">
        <f>IFERROR(IF(S69="Check Data ⚠","Check Data ⚠",VLOOKUP(S69,'G-4 Temporal multipliers'!$A$4:$C$37,3,FALSE)),"")</f>
        <v/>
      </c>
      <c r="U69" s="385" t="str">
        <f>IF(F69="","",VLOOKUP(F69,'G-3 Multipliers'!$A$2:$E$134,2,FALSE))</f>
        <v/>
      </c>
      <c r="V69" s="382" t="str">
        <f t="shared" si="5"/>
        <v/>
      </c>
      <c r="W69" s="382" t="str">
        <f>IF(E69="","",IF(AND(V69="Standard difficulty applied",O69&gt;P69),U69,IF(AND(V69="Low Difficulty - only applicable if all habitat created before losses ⚠",P69&gt;=O69),"Low",VLOOKUP(F69,'G-3 Multipliers'!$A$2:$E$134,4,FALSE))))</f>
        <v/>
      </c>
      <c r="X69" s="386" t="str">
        <f>IFERROR(IF(E69="","",VLOOKUP(W69, 'G-3 Multipliers'!$P$2:$Q$6,2,FALSE)),"")</f>
        <v/>
      </c>
      <c r="Y69" s="516"/>
      <c r="Z69" s="724" t="str">
        <f>IF(Y69="","",IF(VLOOKUP(Y69,'G-3 Multipliers'!$S$3:$T$10,2,FALSE)=0,"Spatial Data Missing ⚠",VLOOKUP(Y69,'G-3 Multipliers'!$S$3:$T$10,2,FALSE)))</f>
        <v/>
      </c>
      <c r="AA69" s="741" t="str">
        <f t="shared" si="1"/>
        <v/>
      </c>
      <c r="AB69" s="405" t="str">
        <f t="shared" si="4"/>
        <v/>
      </c>
      <c r="AC69" s="119"/>
      <c r="AD69" s="528"/>
      <c r="AE69" s="120"/>
      <c r="AF69" s="120"/>
    </row>
    <row r="70" spans="1:32" ht="15">
      <c r="A70" s="30" t="str">
        <f>IFERROR(INDEX('G-8 Condition Look up'!$I$4:$I$135,MATCH(F70,'G-8 Condition Look up'!$A$4:$A$135,0)),"")</f>
        <v/>
      </c>
      <c r="C70" s="75" t="str">
        <f>IFERROR(INDEX('G-1 All Habitats'!$AG$3:$AG$17,MATCH(D70,'G-1 All Habitats'!$AF$3:$AF$17,0)),"")</f>
        <v/>
      </c>
      <c r="D70" s="122"/>
      <c r="E70" s="165"/>
      <c r="F70" s="198" t="str">
        <f>IFERROR(INDEX('G-1 All Habitats'!$B$3:$B$135,MATCH(E70,'G-1 All Habitats'!$A$3:$A$135,0)),"")</f>
        <v/>
      </c>
      <c r="G70" s="300"/>
      <c r="H70" s="398" t="str">
        <f>IF(F70="","",VLOOKUP(F70,'G-1 All Habitats'!$B$2:$M$134,10,FALSE))</f>
        <v/>
      </c>
      <c r="I70" s="386" t="str">
        <f>IFERROR(VLOOKUP(H70,'G-1 All Habitats'!$V$3:$W$7,2,FALSE),"")</f>
        <v/>
      </c>
      <c r="J70" s="162"/>
      <c r="K70" s="386" t="str">
        <f>IFERROR(INDEX('G-8 Condition Look up'!$A$3:$H$135,MATCH(F70,'G-8 Condition Look up'!$A$3:$A$135,0),MATCH(J70,'G-8 Condition Look up'!$A$3:$H$3,0)),"")</f>
        <v/>
      </c>
      <c r="L70" s="114"/>
      <c r="M70" s="401" t="str">
        <f>IF(L70="","",IF(VLOOKUP(L70,'G-3 Multipliers'!$L$3:$N$6,2,FALSE)=0,"Spatial Data Missing ⚠",VLOOKUP(L70,'G-3 Multipliers'!$L$3:$N$6,2,FALSE)))</f>
        <v/>
      </c>
      <c r="N70" s="363" t="str">
        <f>IF(L70="","",IF(VLOOKUP(L70,'G-3 Multipliers'!$L$3:$N$6,3,FALSE)=0,"Spatial Data Missing ⚠",VLOOKUP(L70,'G-3 Multipliers'!$L$3:$N$6,3,FALSE)))</f>
        <v/>
      </c>
      <c r="O70" s="362" t="str">
        <f t="shared" si="2"/>
        <v/>
      </c>
      <c r="P70" s="159"/>
      <c r="Q70" s="159"/>
      <c r="R70" s="382" t="str">
        <f t="shared" si="3"/>
        <v/>
      </c>
      <c r="S70" s="404" t="str">
        <f t="shared" si="0"/>
        <v/>
      </c>
      <c r="T70" s="387" t="str">
        <f>IFERROR(IF(S70="Check Data ⚠","Check Data ⚠",VLOOKUP(S70,'G-4 Temporal multipliers'!$A$4:$C$37,3,FALSE)),"")</f>
        <v/>
      </c>
      <c r="U70" s="385" t="str">
        <f>IF(F70="","",VLOOKUP(F70,'G-3 Multipliers'!$A$2:$E$134,2,FALSE))</f>
        <v/>
      </c>
      <c r="V70" s="382" t="str">
        <f t="shared" si="5"/>
        <v/>
      </c>
      <c r="W70" s="382" t="str">
        <f>IF(E70="","",IF(AND(V70="Standard difficulty applied",O70&gt;P70),U70,IF(AND(V70="Low Difficulty - only applicable if all habitat created before losses ⚠",P70&gt;=O70),"Low",VLOOKUP(F70,'G-3 Multipliers'!$A$2:$E$134,4,FALSE))))</f>
        <v/>
      </c>
      <c r="X70" s="386" t="str">
        <f>IFERROR(IF(E70="","",VLOOKUP(W70, 'G-3 Multipliers'!$P$2:$Q$6,2,FALSE)),"")</f>
        <v/>
      </c>
      <c r="Y70" s="516"/>
      <c r="Z70" s="724" t="str">
        <f>IF(Y70="","",IF(VLOOKUP(Y70,'G-3 Multipliers'!$S$3:$T$10,2,FALSE)=0,"Spatial Data Missing ⚠",VLOOKUP(Y70,'G-3 Multipliers'!$S$3:$T$10,2,FALSE)))</f>
        <v/>
      </c>
      <c r="AA70" s="741" t="str">
        <f t="shared" si="1"/>
        <v/>
      </c>
      <c r="AB70" s="405" t="str">
        <f t="shared" si="4"/>
        <v/>
      </c>
      <c r="AC70" s="119"/>
      <c r="AD70" s="528"/>
      <c r="AE70" s="120"/>
      <c r="AF70" s="120"/>
    </row>
    <row r="71" spans="1:32" ht="15">
      <c r="A71" s="30" t="str">
        <f>IFERROR(INDEX('G-8 Condition Look up'!$I$4:$I$135,MATCH(F71,'G-8 Condition Look up'!$A$4:$A$135,0)),"")</f>
        <v/>
      </c>
      <c r="C71" s="75" t="str">
        <f>IFERROR(INDEX('G-1 All Habitats'!$AG$3:$AG$17,MATCH(D71,'G-1 All Habitats'!$AF$3:$AF$17,0)),"")</f>
        <v/>
      </c>
      <c r="D71" s="122"/>
      <c r="E71" s="165"/>
      <c r="F71" s="198" t="str">
        <f>IFERROR(INDEX('G-1 All Habitats'!$B$3:$B$135,MATCH(E71,'G-1 All Habitats'!$A$3:$A$135,0)),"")</f>
        <v/>
      </c>
      <c r="G71" s="300"/>
      <c r="H71" s="398" t="str">
        <f>IF(F71="","",VLOOKUP(F71,'G-1 All Habitats'!$B$2:$M$134,10,FALSE))</f>
        <v/>
      </c>
      <c r="I71" s="386" t="str">
        <f>IFERROR(VLOOKUP(H71,'G-1 All Habitats'!$V$3:$W$7,2,FALSE),"")</f>
        <v/>
      </c>
      <c r="J71" s="162"/>
      <c r="K71" s="386" t="str">
        <f>IFERROR(INDEX('G-8 Condition Look up'!$A$3:$H$135,MATCH(F71,'G-8 Condition Look up'!$A$3:$A$135,0),MATCH(J71,'G-8 Condition Look up'!$A$3:$H$3,0)),"")</f>
        <v/>
      </c>
      <c r="L71" s="114"/>
      <c r="M71" s="401" t="str">
        <f>IF(L71="","",IF(VLOOKUP(L71,'G-3 Multipliers'!$L$3:$N$6,2,FALSE)=0,"Spatial Data Missing ⚠",VLOOKUP(L71,'G-3 Multipliers'!$L$3:$N$6,2,FALSE)))</f>
        <v/>
      </c>
      <c r="N71" s="363" t="str">
        <f>IF(L71="","",IF(VLOOKUP(L71,'G-3 Multipliers'!$L$3:$N$6,3,FALSE)=0,"Spatial Data Missing ⚠",VLOOKUP(L71,'G-3 Multipliers'!$L$3:$N$6,3,FALSE)))</f>
        <v/>
      </c>
      <c r="O71" s="362" t="str">
        <f t="shared" si="2"/>
        <v/>
      </c>
      <c r="P71" s="159"/>
      <c r="Q71" s="159"/>
      <c r="R71" s="382" t="str">
        <f t="shared" si="3"/>
        <v/>
      </c>
      <c r="S71" s="404" t="str">
        <f t="shared" si="0"/>
        <v/>
      </c>
      <c r="T71" s="387" t="str">
        <f>IFERROR(IF(S71="Check Data ⚠","Check Data ⚠",VLOOKUP(S71,'G-4 Temporal multipliers'!$A$4:$C$37,3,FALSE)),"")</f>
        <v/>
      </c>
      <c r="U71" s="385" t="str">
        <f>IF(F71="","",VLOOKUP(F71,'G-3 Multipliers'!$A$2:$E$134,2,FALSE))</f>
        <v/>
      </c>
      <c r="V71" s="382" t="str">
        <f t="shared" si="5"/>
        <v/>
      </c>
      <c r="W71" s="382" t="str">
        <f>IF(E71="","",IF(AND(V71="Standard difficulty applied",O71&gt;P71),U71,IF(AND(V71="Low Difficulty - only applicable if all habitat created before losses ⚠",P71&gt;=O71),"Low",VLOOKUP(F71,'G-3 Multipliers'!$A$2:$E$134,4,FALSE))))</f>
        <v/>
      </c>
      <c r="X71" s="386" t="str">
        <f>IFERROR(IF(E71="","",VLOOKUP(W71, 'G-3 Multipliers'!$P$2:$Q$6,2,FALSE)),"")</f>
        <v/>
      </c>
      <c r="Y71" s="516"/>
      <c r="Z71" s="724" t="str">
        <f>IF(Y71="","",IF(VLOOKUP(Y71,'G-3 Multipliers'!$S$3:$T$10,2,FALSE)=0,"Spatial Data Missing ⚠",VLOOKUP(Y71,'G-3 Multipliers'!$S$3:$T$10,2,FALSE)))</f>
        <v/>
      </c>
      <c r="AA71" s="741" t="str">
        <f t="shared" si="1"/>
        <v/>
      </c>
      <c r="AB71" s="405" t="str">
        <f t="shared" si="4"/>
        <v/>
      </c>
      <c r="AC71" s="119"/>
      <c r="AD71" s="528"/>
      <c r="AE71" s="120"/>
      <c r="AF71" s="120"/>
    </row>
    <row r="72" spans="1:32" ht="15">
      <c r="A72" s="30" t="str">
        <f>IFERROR(INDEX('G-8 Condition Look up'!$I$4:$I$135,MATCH(F72,'G-8 Condition Look up'!$A$4:$A$135,0)),"")</f>
        <v/>
      </c>
      <c r="C72" s="75" t="str">
        <f>IFERROR(INDEX('G-1 All Habitats'!$AG$3:$AG$17,MATCH(D72,'G-1 All Habitats'!$AF$3:$AF$17,0)),"")</f>
        <v/>
      </c>
      <c r="D72" s="122"/>
      <c r="E72" s="165"/>
      <c r="F72" s="198" t="str">
        <f>IFERROR(INDEX('G-1 All Habitats'!$B$3:$B$135,MATCH(E72,'G-1 All Habitats'!$A$3:$A$135,0)),"")</f>
        <v/>
      </c>
      <c r="G72" s="300"/>
      <c r="H72" s="398" t="str">
        <f>IF(F72="","",VLOOKUP(F72,'G-1 All Habitats'!$B$2:$M$134,10,FALSE))</f>
        <v/>
      </c>
      <c r="I72" s="386" t="str">
        <f>IFERROR(VLOOKUP(H72,'G-1 All Habitats'!$V$3:$W$7,2,FALSE),"")</f>
        <v/>
      </c>
      <c r="J72" s="162"/>
      <c r="K72" s="386" t="str">
        <f>IFERROR(INDEX('G-8 Condition Look up'!$A$3:$H$135,MATCH(F72,'G-8 Condition Look up'!$A$3:$A$135,0),MATCH(J72,'G-8 Condition Look up'!$A$3:$H$3,0)),"")</f>
        <v/>
      </c>
      <c r="L72" s="114"/>
      <c r="M72" s="401" t="str">
        <f>IF(L72="","",IF(VLOOKUP(L72,'G-3 Multipliers'!$L$3:$N$6,2,FALSE)=0,"Spatial Data Missing ⚠",VLOOKUP(L72,'G-3 Multipliers'!$L$3:$N$6,2,FALSE)))</f>
        <v/>
      </c>
      <c r="N72" s="363" t="str">
        <f>IF(L72="","",IF(VLOOKUP(L72,'G-3 Multipliers'!$L$3:$N$6,3,FALSE)=0,"Spatial Data Missing ⚠",VLOOKUP(L72,'G-3 Multipliers'!$L$3:$N$6,3,FALSE)))</f>
        <v/>
      </c>
      <c r="O72" s="362" t="str">
        <f t="shared" si="2"/>
        <v/>
      </c>
      <c r="P72" s="159"/>
      <c r="Q72" s="159"/>
      <c r="R72" s="382" t="str">
        <f t="shared" si="3"/>
        <v/>
      </c>
      <c r="S72" s="404" t="str">
        <f t="shared" si="0"/>
        <v/>
      </c>
      <c r="T72" s="387" t="str">
        <f>IFERROR(IF(S72="Check Data ⚠","Check Data ⚠",VLOOKUP(S72,'G-4 Temporal multipliers'!$A$4:$C$37,3,FALSE)),"")</f>
        <v/>
      </c>
      <c r="U72" s="385" t="str">
        <f>IF(F72="","",VLOOKUP(F72,'G-3 Multipliers'!$A$2:$E$134,2,FALSE))</f>
        <v/>
      </c>
      <c r="V72" s="382" t="str">
        <f t="shared" si="5"/>
        <v/>
      </c>
      <c r="W72" s="382" t="str">
        <f>IF(E72="","",IF(AND(V72="Standard difficulty applied",O72&gt;P72),U72,IF(AND(V72="Low Difficulty - only applicable if all habitat created before losses ⚠",P72&gt;=O72),"Low",VLOOKUP(F72,'G-3 Multipliers'!$A$2:$E$134,4,FALSE))))</f>
        <v/>
      </c>
      <c r="X72" s="386" t="str">
        <f>IFERROR(IF(E72="","",VLOOKUP(W72, 'G-3 Multipliers'!$P$2:$Q$6,2,FALSE)),"")</f>
        <v/>
      </c>
      <c r="Y72" s="516"/>
      <c r="Z72" s="724" t="str">
        <f>IF(Y72="","",IF(VLOOKUP(Y72,'G-3 Multipliers'!$S$3:$T$10,2,FALSE)=0,"Spatial Data Missing ⚠",VLOOKUP(Y72,'G-3 Multipliers'!$S$3:$T$10,2,FALSE)))</f>
        <v/>
      </c>
      <c r="AA72" s="741" t="str">
        <f t="shared" si="1"/>
        <v/>
      </c>
      <c r="AB72" s="405" t="str">
        <f t="shared" si="4"/>
        <v/>
      </c>
      <c r="AC72" s="119"/>
      <c r="AD72" s="528"/>
      <c r="AE72" s="120"/>
      <c r="AF72" s="120"/>
    </row>
    <row r="73" spans="1:32" ht="15">
      <c r="A73" s="30" t="str">
        <f>IFERROR(INDEX('G-8 Condition Look up'!$I$4:$I$135,MATCH(F73,'G-8 Condition Look up'!$A$4:$A$135,0)),"")</f>
        <v/>
      </c>
      <c r="C73" s="75" t="str">
        <f>IFERROR(INDEX('G-1 All Habitats'!$AG$3:$AG$17,MATCH(D73,'G-1 All Habitats'!$AF$3:$AF$17,0)),"")</f>
        <v/>
      </c>
      <c r="D73" s="122"/>
      <c r="E73" s="165"/>
      <c r="F73" s="198" t="str">
        <f>IFERROR(INDEX('G-1 All Habitats'!$B$3:$B$135,MATCH(E73,'G-1 All Habitats'!$A$3:$A$135,0)),"")</f>
        <v/>
      </c>
      <c r="G73" s="300"/>
      <c r="H73" s="398" t="str">
        <f>IF(F73="","",VLOOKUP(F73,'G-1 All Habitats'!$B$2:$M$134,10,FALSE))</f>
        <v/>
      </c>
      <c r="I73" s="386" t="str">
        <f>IFERROR(VLOOKUP(H73,'G-1 All Habitats'!$V$3:$W$7,2,FALSE),"")</f>
        <v/>
      </c>
      <c r="J73" s="162"/>
      <c r="K73" s="386" t="str">
        <f>IFERROR(INDEX('G-8 Condition Look up'!$A$3:$H$135,MATCH(F73,'G-8 Condition Look up'!$A$3:$A$135,0),MATCH(J73,'G-8 Condition Look up'!$A$3:$H$3,0)),"")</f>
        <v/>
      </c>
      <c r="L73" s="114"/>
      <c r="M73" s="401" t="str">
        <f>IF(L73="","",IF(VLOOKUP(L73,'G-3 Multipliers'!$L$3:$N$6,2,FALSE)=0,"Spatial Data Missing ⚠",VLOOKUP(L73,'G-3 Multipliers'!$L$3:$N$6,2,FALSE)))</f>
        <v/>
      </c>
      <c r="N73" s="363" t="str">
        <f>IF(L73="","",IF(VLOOKUP(L73,'G-3 Multipliers'!$L$3:$N$6,3,FALSE)=0,"Spatial Data Missing ⚠",VLOOKUP(L73,'G-3 Multipliers'!$L$3:$N$6,3,FALSE)))</f>
        <v/>
      </c>
      <c r="O73" s="362" t="str">
        <f t="shared" si="2"/>
        <v/>
      </c>
      <c r="P73" s="159"/>
      <c r="Q73" s="159"/>
      <c r="R73" s="382" t="str">
        <f t="shared" si="3"/>
        <v/>
      </c>
      <c r="S73" s="404" t="str">
        <f t="shared" si="0"/>
        <v/>
      </c>
      <c r="T73" s="387" t="str">
        <f>IFERROR(IF(S73="Check Data ⚠","Check Data ⚠",VLOOKUP(S73,'G-4 Temporal multipliers'!$A$4:$C$37,3,FALSE)),"")</f>
        <v/>
      </c>
      <c r="U73" s="385" t="str">
        <f>IF(F73="","",VLOOKUP(F73,'G-3 Multipliers'!$A$2:$E$134,2,FALSE))</f>
        <v/>
      </c>
      <c r="V73" s="382" t="str">
        <f t="shared" si="5"/>
        <v/>
      </c>
      <c r="W73" s="382" t="str">
        <f>IF(E73="","",IF(AND(V73="Standard difficulty applied",O73&gt;P73),U73,IF(AND(V73="Low Difficulty - only applicable if all habitat created before losses ⚠",P73&gt;=O73),"Low",VLOOKUP(F73,'G-3 Multipliers'!$A$2:$E$134,4,FALSE))))</f>
        <v/>
      </c>
      <c r="X73" s="386" t="str">
        <f>IFERROR(IF(E73="","",VLOOKUP(W73, 'G-3 Multipliers'!$P$2:$Q$6,2,FALSE)),"")</f>
        <v/>
      </c>
      <c r="Y73" s="516"/>
      <c r="Z73" s="724" t="str">
        <f>IF(Y73="","",IF(VLOOKUP(Y73,'G-3 Multipliers'!$S$3:$T$10,2,FALSE)=0,"Spatial Data Missing ⚠",VLOOKUP(Y73,'G-3 Multipliers'!$S$3:$T$10,2,FALSE)))</f>
        <v/>
      </c>
      <c r="AA73" s="741" t="str">
        <f t="shared" si="1"/>
        <v/>
      </c>
      <c r="AB73" s="405" t="str">
        <f t="shared" si="4"/>
        <v/>
      </c>
      <c r="AC73" s="119"/>
      <c r="AD73" s="528"/>
      <c r="AE73" s="120"/>
      <c r="AF73" s="120"/>
    </row>
    <row r="74" spans="1:32" ht="15">
      <c r="A74" s="30" t="str">
        <f>IFERROR(INDEX('G-8 Condition Look up'!$I$4:$I$135,MATCH(F74,'G-8 Condition Look up'!$A$4:$A$135,0)),"")</f>
        <v/>
      </c>
      <c r="C74" s="75" t="str">
        <f>IFERROR(INDEX('G-1 All Habitats'!$AG$3:$AG$17,MATCH(D74,'G-1 All Habitats'!$AF$3:$AF$17,0)),"")</f>
        <v/>
      </c>
      <c r="D74" s="122"/>
      <c r="E74" s="165"/>
      <c r="F74" s="198" t="str">
        <f>IFERROR(INDEX('G-1 All Habitats'!$B$3:$B$135,MATCH(E74,'G-1 All Habitats'!$A$3:$A$135,0)),"")</f>
        <v/>
      </c>
      <c r="G74" s="300"/>
      <c r="H74" s="398" t="str">
        <f>IF(F74="","",VLOOKUP(F74,'G-1 All Habitats'!$B$2:$M$134,10,FALSE))</f>
        <v/>
      </c>
      <c r="I74" s="386" t="str">
        <f>IFERROR(VLOOKUP(H74,'G-1 All Habitats'!$V$3:$W$7,2,FALSE),"")</f>
        <v/>
      </c>
      <c r="J74" s="162"/>
      <c r="K74" s="386" t="str">
        <f>IFERROR(INDEX('G-8 Condition Look up'!$A$3:$H$135,MATCH(F74,'G-8 Condition Look up'!$A$3:$A$135,0),MATCH(J74,'G-8 Condition Look up'!$A$3:$H$3,0)),"")</f>
        <v/>
      </c>
      <c r="L74" s="114"/>
      <c r="M74" s="401" t="str">
        <f>IF(L74="","",IF(VLOOKUP(L74,'G-3 Multipliers'!$L$3:$N$6,2,FALSE)=0,"Spatial Data Missing ⚠",VLOOKUP(L74,'G-3 Multipliers'!$L$3:$N$6,2,FALSE)))</f>
        <v/>
      </c>
      <c r="N74" s="363" t="str">
        <f>IF(L74="","",IF(VLOOKUP(L74,'G-3 Multipliers'!$L$3:$N$6,3,FALSE)=0,"Spatial Data Missing ⚠",VLOOKUP(L74,'G-3 Multipliers'!$L$3:$N$6,3,FALSE)))</f>
        <v/>
      </c>
      <c r="O74" s="362" t="str">
        <f t="shared" si="2"/>
        <v/>
      </c>
      <c r="P74" s="159"/>
      <c r="Q74" s="159"/>
      <c r="R74" s="382" t="str">
        <f t="shared" si="3"/>
        <v/>
      </c>
      <c r="S74" s="404" t="str">
        <f t="shared" si="0"/>
        <v/>
      </c>
      <c r="T74" s="387" t="str">
        <f>IFERROR(IF(S74="Check Data ⚠","Check Data ⚠",VLOOKUP(S74,'G-4 Temporal multipliers'!$A$4:$C$37,3,FALSE)),"")</f>
        <v/>
      </c>
      <c r="U74" s="385" t="str">
        <f>IF(F74="","",VLOOKUP(F74,'G-3 Multipliers'!$A$2:$E$134,2,FALSE))</f>
        <v/>
      </c>
      <c r="V74" s="382" t="str">
        <f t="shared" si="5"/>
        <v/>
      </c>
      <c r="W74" s="382" t="str">
        <f>IF(E74="","",IF(AND(V74="Standard difficulty applied",O74&gt;P74),U74,IF(AND(V74="Low Difficulty - only applicable if all habitat created before losses ⚠",P74&gt;=O74),"Low",VLOOKUP(F74,'G-3 Multipliers'!$A$2:$E$134,4,FALSE))))</f>
        <v/>
      </c>
      <c r="X74" s="386" t="str">
        <f>IFERROR(IF(E74="","",VLOOKUP(W74, 'G-3 Multipliers'!$P$2:$Q$6,2,FALSE)),"")</f>
        <v/>
      </c>
      <c r="Y74" s="516"/>
      <c r="Z74" s="724" t="str">
        <f>IF(Y74="","",IF(VLOOKUP(Y74,'G-3 Multipliers'!$S$3:$T$10,2,FALSE)=0,"Spatial Data Missing ⚠",VLOOKUP(Y74,'G-3 Multipliers'!$S$3:$T$10,2,FALSE)))</f>
        <v/>
      </c>
      <c r="AA74" s="741" t="str">
        <f t="shared" si="1"/>
        <v/>
      </c>
      <c r="AB74" s="405" t="str">
        <f t="shared" si="4"/>
        <v/>
      </c>
      <c r="AC74" s="119"/>
      <c r="AD74" s="528"/>
      <c r="AE74" s="120"/>
      <c r="AF74" s="120"/>
    </row>
    <row r="75" spans="1:32" ht="15">
      <c r="A75" s="30" t="str">
        <f>IFERROR(INDEX('G-8 Condition Look up'!$I$4:$I$135,MATCH(F75,'G-8 Condition Look up'!$A$4:$A$135,0)),"")</f>
        <v/>
      </c>
      <c r="C75" s="75" t="str">
        <f>IFERROR(INDEX('G-1 All Habitats'!$AG$3:$AG$17,MATCH(D75,'G-1 All Habitats'!$AF$3:$AF$17,0)),"")</f>
        <v/>
      </c>
      <c r="D75" s="122"/>
      <c r="E75" s="165"/>
      <c r="F75" s="198" t="str">
        <f>IFERROR(INDEX('G-1 All Habitats'!$B$3:$B$135,MATCH(E75,'G-1 All Habitats'!$A$3:$A$135,0)),"")</f>
        <v/>
      </c>
      <c r="G75" s="300"/>
      <c r="H75" s="398" t="str">
        <f>IF(F75="","",VLOOKUP(F75,'G-1 All Habitats'!$B$2:$M$134,10,FALSE))</f>
        <v/>
      </c>
      <c r="I75" s="386" t="str">
        <f>IFERROR(VLOOKUP(H75,'G-1 All Habitats'!$V$3:$W$7,2,FALSE),"")</f>
        <v/>
      </c>
      <c r="J75" s="162"/>
      <c r="K75" s="386" t="str">
        <f>IFERROR(INDEX('G-8 Condition Look up'!$A$3:$H$135,MATCH(F75,'G-8 Condition Look up'!$A$3:$A$135,0),MATCH(J75,'G-8 Condition Look up'!$A$3:$H$3,0)),"")</f>
        <v/>
      </c>
      <c r="L75" s="114"/>
      <c r="M75" s="401" t="str">
        <f>IF(L75="","",IF(VLOOKUP(L75,'G-3 Multipliers'!$L$3:$N$6,2,FALSE)=0,"Spatial Data Missing ⚠",VLOOKUP(L75,'G-3 Multipliers'!$L$3:$N$6,2,FALSE)))</f>
        <v/>
      </c>
      <c r="N75" s="363" t="str">
        <f>IF(L75="","",IF(VLOOKUP(L75,'G-3 Multipliers'!$L$3:$N$6,3,FALSE)=0,"Spatial Data Missing ⚠",VLOOKUP(L75,'G-3 Multipliers'!$L$3:$N$6,3,FALSE)))</f>
        <v/>
      </c>
      <c r="O75" s="362" t="str">
        <f t="shared" ref="O75:O138" si="6">IFERROR(INDEX(TemporalData,MATCH(F75,TemporalHabitats,0),MATCH(J75,TemporalConditions,0)),"")</f>
        <v/>
      </c>
      <c r="P75" s="159"/>
      <c r="Q75" s="159"/>
      <c r="R75" s="382" t="str">
        <f t="shared" ref="R75:R138" si="7">IF(E75="","",IF(AND(P75&gt;0,Q75&gt;0),"Error -both advance and delayed habitat creation ▲",IF(AND(OR(P75="Habitat already in target condition",O75&lt;=P75),Q75=0,I75&gt;0),"Check details - Is there evidence that habitat has reached target condition? ⚠",IF(O75="","",IF(AND(P75&gt;=AF75,P75&gt;0),"Check details - Is there evidence habitat creation started and the threshold for Poor condition reached? ⚠",IF(Q75&gt;0,"Check details- Delay in starting habitat in required condition? ⚠",IF(P75&gt;0,"Check details - Is there evidence habitat creation started/in place? ⚠","Standard time to target condition applied")))))))</f>
        <v/>
      </c>
      <c r="S75" s="404" t="str">
        <f t="shared" ref="S75:S138" si="8">IF(R75="Error -both advance and delayed habitat creation ▲","Check Data ⚠",IF(O75="Not Possible","Check Data ⚠",IF(O75="","",IF(AND(O75="30+",P75=0),"30+",IF(AND(O75="30+",P75="30+"),0,IF(AND(O75="30+",P75&lt;32),30-P75,IF(O75="30+",30-P75,IF(P75&gt;O75,0,IF(Q75="30+","30+",IF(O75+Q75&gt;30,"30+",IF(O75+Q75&gt;30,"30+",IF(O75-P75&gt;30,"30+",IF(O75+Q75-P75&gt;0,O75+Q75-P75,IF(O75-P75&gt;0,O75-P75,O75+Q75-P75))))))))))))))</f>
        <v/>
      </c>
      <c r="T75" s="387" t="str">
        <f>IFERROR(IF(S75="Check Data ⚠","Check Data ⚠",VLOOKUP(S75,'G-4 Temporal multipliers'!$A$4:$C$37,3,FALSE)),"")</f>
        <v/>
      </c>
      <c r="U75" s="385" t="str">
        <f>IF(F75="","",VLOOKUP(F75,'G-3 Multipliers'!$A$2:$E$134,2,FALSE))</f>
        <v/>
      </c>
      <c r="V75" s="382" t="str">
        <f t="shared" si="5"/>
        <v/>
      </c>
      <c r="W75" s="382" t="str">
        <f>IF(E75="","",IF(AND(V75="Standard difficulty applied",O75&gt;P75),U75,IF(AND(V75="Low Difficulty - only applicable if all habitat created before losses ⚠",P75&gt;=O75),"Low",VLOOKUP(F75,'G-3 Multipliers'!$A$2:$E$134,4,FALSE))))</f>
        <v/>
      </c>
      <c r="X75" s="386" t="str">
        <f>IFERROR(IF(E75="","",VLOOKUP(W75, 'G-3 Multipliers'!$P$2:$Q$6,2,FALSE)),"")</f>
        <v/>
      </c>
      <c r="Y75" s="516"/>
      <c r="Z75" s="724" t="str">
        <f>IF(Y75="","",IF(VLOOKUP(Y75,'G-3 Multipliers'!$S$3:$T$10,2,FALSE)=0,"Spatial Data Missing ⚠",VLOOKUP(Y75,'G-3 Multipliers'!$S$3:$T$10,2,FALSE)))</f>
        <v/>
      </c>
      <c r="AA75" s="741" t="str">
        <f t="shared" ref="AA75:AA138" si="9">IFERROR(G75*I75*K75*N75*T75*X75*Z75,"")</f>
        <v/>
      </c>
      <c r="AB75" s="405" t="str">
        <f t="shared" si="4"/>
        <v/>
      </c>
      <c r="AC75" s="119"/>
      <c r="AD75" s="528"/>
      <c r="AE75" s="120"/>
      <c r="AF75" s="120"/>
    </row>
    <row r="76" spans="1:32" ht="15">
      <c r="A76" s="30" t="str">
        <f>IFERROR(INDEX('G-8 Condition Look up'!$I$4:$I$135,MATCH(F76,'G-8 Condition Look up'!$A$4:$A$135,0)),"")</f>
        <v/>
      </c>
      <c r="C76" s="75" t="str">
        <f>IFERROR(INDEX('G-1 All Habitats'!$AG$3:$AG$17,MATCH(D76,'G-1 All Habitats'!$AF$3:$AF$17,0)),"")</f>
        <v/>
      </c>
      <c r="D76" s="122"/>
      <c r="E76" s="165"/>
      <c r="F76" s="198" t="str">
        <f>IFERROR(INDEX('G-1 All Habitats'!$B$3:$B$135,MATCH(E76,'G-1 All Habitats'!$A$3:$A$135,0)),"")</f>
        <v/>
      </c>
      <c r="G76" s="300"/>
      <c r="H76" s="398" t="str">
        <f>IF(F76="","",VLOOKUP(F76,'G-1 All Habitats'!$B$2:$M$134,10,FALSE))</f>
        <v/>
      </c>
      <c r="I76" s="386" t="str">
        <f>IFERROR(VLOOKUP(H76,'G-1 All Habitats'!$V$3:$W$7,2,FALSE),"")</f>
        <v/>
      </c>
      <c r="J76" s="162"/>
      <c r="K76" s="386" t="str">
        <f>IFERROR(INDEX('G-8 Condition Look up'!$A$3:$H$135,MATCH(F76,'G-8 Condition Look up'!$A$3:$A$135,0),MATCH(J76,'G-8 Condition Look up'!$A$3:$H$3,0)),"")</f>
        <v/>
      </c>
      <c r="L76" s="114"/>
      <c r="M76" s="401" t="str">
        <f>IF(L76="","",IF(VLOOKUP(L76,'G-3 Multipliers'!$L$3:$N$6,2,FALSE)=0,"Spatial Data Missing ⚠",VLOOKUP(L76,'G-3 Multipliers'!$L$3:$N$6,2,FALSE)))</f>
        <v/>
      </c>
      <c r="N76" s="363" t="str">
        <f>IF(L76="","",IF(VLOOKUP(L76,'G-3 Multipliers'!$L$3:$N$6,3,FALSE)=0,"Spatial Data Missing ⚠",VLOOKUP(L76,'G-3 Multipliers'!$L$3:$N$6,3,FALSE)))</f>
        <v/>
      </c>
      <c r="O76" s="362" t="str">
        <f t="shared" si="6"/>
        <v/>
      </c>
      <c r="P76" s="159"/>
      <c r="Q76" s="159"/>
      <c r="R76" s="382" t="str">
        <f t="shared" si="7"/>
        <v/>
      </c>
      <c r="S76" s="404" t="str">
        <f t="shared" si="8"/>
        <v/>
      </c>
      <c r="T76" s="387" t="str">
        <f>IFERROR(IF(S76="Check Data ⚠","Check Data ⚠",VLOOKUP(S76,'G-4 Temporal multipliers'!$A$4:$C$37,3,FALSE)),"")</f>
        <v/>
      </c>
      <c r="U76" s="385" t="str">
        <f>IF(F76="","",VLOOKUP(F76,'G-3 Multipliers'!$A$2:$E$134,2,FALSE))</f>
        <v/>
      </c>
      <c r="V76" s="382" t="str">
        <f t="shared" si="5"/>
        <v/>
      </c>
      <c r="W76" s="382" t="str">
        <f>IF(E76="","",IF(AND(V76="Standard difficulty applied",O76&gt;P76),U76,IF(AND(V76="Low Difficulty - only applicable if all habitat created before losses ⚠",P76&gt;=O76),"Low",VLOOKUP(F76,'G-3 Multipliers'!$A$2:$E$134,4,FALSE))))</f>
        <v/>
      </c>
      <c r="X76" s="386" t="str">
        <f>IFERROR(IF(E76="","",VLOOKUP(W76, 'G-3 Multipliers'!$P$2:$Q$6,2,FALSE)),"")</f>
        <v/>
      </c>
      <c r="Y76" s="516"/>
      <c r="Z76" s="724" t="str">
        <f>IF(Y76="","",IF(VLOOKUP(Y76,'G-3 Multipliers'!$S$3:$T$10,2,FALSE)=0,"Spatial Data Missing ⚠",VLOOKUP(Y76,'G-3 Multipliers'!$S$3:$T$10,2,FALSE)))</f>
        <v/>
      </c>
      <c r="AA76" s="741" t="str">
        <f t="shared" si="9"/>
        <v/>
      </c>
      <c r="AB76" s="405" t="str">
        <f t="shared" ref="AB76:AB139" si="10">IFERROR(IF(Y76="","",G76*I76*K76*N76*T76*X76),"")</f>
        <v/>
      </c>
      <c r="AC76" s="119"/>
      <c r="AD76" s="528"/>
      <c r="AE76" s="120"/>
      <c r="AF76" s="120"/>
    </row>
    <row r="77" spans="1:32" ht="15">
      <c r="A77" s="30" t="str">
        <f>IFERROR(INDEX('G-8 Condition Look up'!$I$4:$I$135,MATCH(F77,'G-8 Condition Look up'!$A$4:$A$135,0)),"")</f>
        <v/>
      </c>
      <c r="C77" s="75" t="str">
        <f>IFERROR(INDEX('G-1 All Habitats'!$AG$3:$AG$17,MATCH(D77,'G-1 All Habitats'!$AF$3:$AF$17,0)),"")</f>
        <v/>
      </c>
      <c r="D77" s="122"/>
      <c r="E77" s="165"/>
      <c r="F77" s="198" t="str">
        <f>IFERROR(INDEX('G-1 All Habitats'!$B$3:$B$135,MATCH(E77,'G-1 All Habitats'!$A$3:$A$135,0)),"")</f>
        <v/>
      </c>
      <c r="G77" s="300"/>
      <c r="H77" s="398" t="str">
        <f>IF(F77="","",VLOOKUP(F77,'G-1 All Habitats'!$B$2:$M$134,10,FALSE))</f>
        <v/>
      </c>
      <c r="I77" s="386" t="str">
        <f>IFERROR(VLOOKUP(H77,'G-1 All Habitats'!$V$3:$W$7,2,FALSE),"")</f>
        <v/>
      </c>
      <c r="J77" s="162"/>
      <c r="K77" s="386" t="str">
        <f>IFERROR(INDEX('G-8 Condition Look up'!$A$3:$H$135,MATCH(F77,'G-8 Condition Look up'!$A$3:$A$135,0),MATCH(J77,'G-8 Condition Look up'!$A$3:$H$3,0)),"")</f>
        <v/>
      </c>
      <c r="L77" s="114"/>
      <c r="M77" s="401" t="str">
        <f>IF(L77="","",IF(VLOOKUP(L77,'G-3 Multipliers'!$L$3:$N$6,2,FALSE)=0,"Spatial Data Missing ⚠",VLOOKUP(L77,'G-3 Multipliers'!$L$3:$N$6,2,FALSE)))</f>
        <v/>
      </c>
      <c r="N77" s="363" t="str">
        <f>IF(L77="","",IF(VLOOKUP(L77,'G-3 Multipliers'!$L$3:$N$6,3,FALSE)=0,"Spatial Data Missing ⚠",VLOOKUP(L77,'G-3 Multipliers'!$L$3:$N$6,3,FALSE)))</f>
        <v/>
      </c>
      <c r="O77" s="362" t="str">
        <f t="shared" si="6"/>
        <v/>
      </c>
      <c r="P77" s="159"/>
      <c r="Q77" s="159"/>
      <c r="R77" s="382" t="str">
        <f t="shared" si="7"/>
        <v/>
      </c>
      <c r="S77" s="404" t="str">
        <f t="shared" si="8"/>
        <v/>
      </c>
      <c r="T77" s="387" t="str">
        <f>IFERROR(IF(S77="Check Data ⚠","Check Data ⚠",VLOOKUP(S77,'G-4 Temporal multipliers'!$A$4:$C$37,3,FALSE)),"")</f>
        <v/>
      </c>
      <c r="U77" s="385" t="str">
        <f>IF(F77="","",VLOOKUP(F77,'G-3 Multipliers'!$A$2:$E$134,2,FALSE))</f>
        <v/>
      </c>
      <c r="V77" s="382" t="str">
        <f t="shared" ref="V77:V140" si="11">IF(F77="","",IF($R77="Check details - Is there evidence that habitat has reached target condition? ⚠","Low Difficulty - only applicable if all habitat created before losses ⚠",IF($R77="Check details - Is there evidence habitat creation started and the threshold for Poor condition reached? ⚠","Enhancement difficulty applied","Standard difficulty applied")))</f>
        <v/>
      </c>
      <c r="W77" s="382" t="str">
        <f>IF(E77="","",IF(AND(V77="Standard difficulty applied",O77&gt;P77),U77,IF(AND(V77="Low Difficulty - only applicable if all habitat created before losses ⚠",P77&gt;=O77),"Low",VLOOKUP(F77,'G-3 Multipliers'!$A$2:$E$134,4,FALSE))))</f>
        <v/>
      </c>
      <c r="X77" s="386" t="str">
        <f>IFERROR(IF(E77="","",VLOOKUP(W77, 'G-3 Multipliers'!$P$2:$Q$6,2,FALSE)),"")</f>
        <v/>
      </c>
      <c r="Y77" s="516"/>
      <c r="Z77" s="724" t="str">
        <f>IF(Y77="","",IF(VLOOKUP(Y77,'G-3 Multipliers'!$S$3:$T$10,2,FALSE)=0,"Spatial Data Missing ⚠",VLOOKUP(Y77,'G-3 Multipliers'!$S$3:$T$10,2,FALSE)))</f>
        <v/>
      </c>
      <c r="AA77" s="741" t="str">
        <f t="shared" si="9"/>
        <v/>
      </c>
      <c r="AB77" s="405" t="str">
        <f t="shared" si="10"/>
        <v/>
      </c>
      <c r="AC77" s="119"/>
      <c r="AD77" s="528"/>
      <c r="AE77" s="120"/>
      <c r="AF77" s="120"/>
    </row>
    <row r="78" spans="1:32" ht="15">
      <c r="A78" s="30" t="str">
        <f>IFERROR(INDEX('G-8 Condition Look up'!$I$4:$I$135,MATCH(F78,'G-8 Condition Look up'!$A$4:$A$135,0)),"")</f>
        <v/>
      </c>
      <c r="C78" s="75" t="str">
        <f>IFERROR(INDEX('G-1 All Habitats'!$AG$3:$AG$17,MATCH(D78,'G-1 All Habitats'!$AF$3:$AF$17,0)),"")</f>
        <v/>
      </c>
      <c r="D78" s="122"/>
      <c r="E78" s="165"/>
      <c r="F78" s="198" t="str">
        <f>IFERROR(INDEX('G-1 All Habitats'!$B$3:$B$135,MATCH(E78,'G-1 All Habitats'!$A$3:$A$135,0)),"")</f>
        <v/>
      </c>
      <c r="G78" s="300"/>
      <c r="H78" s="398" t="str">
        <f>IF(F78="","",VLOOKUP(F78,'G-1 All Habitats'!$B$2:$M$134,10,FALSE))</f>
        <v/>
      </c>
      <c r="I78" s="386" t="str">
        <f>IFERROR(VLOOKUP(H78,'G-1 All Habitats'!$V$3:$W$7,2,FALSE),"")</f>
        <v/>
      </c>
      <c r="J78" s="162"/>
      <c r="K78" s="386" t="str">
        <f>IFERROR(INDEX('G-8 Condition Look up'!$A$3:$H$135,MATCH(F78,'G-8 Condition Look up'!$A$3:$A$135,0),MATCH(J78,'G-8 Condition Look up'!$A$3:$H$3,0)),"")</f>
        <v/>
      </c>
      <c r="L78" s="114"/>
      <c r="M78" s="401" t="str">
        <f>IF(L78="","",IF(VLOOKUP(L78,'G-3 Multipliers'!$L$3:$N$6,2,FALSE)=0,"Spatial Data Missing ⚠",VLOOKUP(L78,'G-3 Multipliers'!$L$3:$N$6,2,FALSE)))</f>
        <v/>
      </c>
      <c r="N78" s="363" t="str">
        <f>IF(L78="","",IF(VLOOKUP(L78,'G-3 Multipliers'!$L$3:$N$6,3,FALSE)=0,"Spatial Data Missing ⚠",VLOOKUP(L78,'G-3 Multipliers'!$L$3:$N$6,3,FALSE)))</f>
        <v/>
      </c>
      <c r="O78" s="362" t="str">
        <f t="shared" si="6"/>
        <v/>
      </c>
      <c r="P78" s="159"/>
      <c r="Q78" s="159"/>
      <c r="R78" s="382" t="str">
        <f t="shared" si="7"/>
        <v/>
      </c>
      <c r="S78" s="404" t="str">
        <f t="shared" si="8"/>
        <v/>
      </c>
      <c r="T78" s="387" t="str">
        <f>IFERROR(IF(S78="Check Data ⚠","Check Data ⚠",VLOOKUP(S78,'G-4 Temporal multipliers'!$A$4:$C$37,3,FALSE)),"")</f>
        <v/>
      </c>
      <c r="U78" s="385" t="str">
        <f>IF(F78="","",VLOOKUP(F78,'G-3 Multipliers'!$A$2:$E$134,2,FALSE))</f>
        <v/>
      </c>
      <c r="V78" s="382" t="str">
        <f t="shared" si="11"/>
        <v/>
      </c>
      <c r="W78" s="382" t="str">
        <f>IF(E78="","",IF(AND(V78="Standard difficulty applied",O78&gt;P78),U78,IF(AND(V78="Low Difficulty - only applicable if all habitat created before losses ⚠",P78&gt;=O78),"Low",VLOOKUP(F78,'G-3 Multipliers'!$A$2:$E$134,4,FALSE))))</f>
        <v/>
      </c>
      <c r="X78" s="386" t="str">
        <f>IFERROR(IF(E78="","",VLOOKUP(W78, 'G-3 Multipliers'!$P$2:$Q$6,2,FALSE)),"")</f>
        <v/>
      </c>
      <c r="Y78" s="516"/>
      <c r="Z78" s="724" t="str">
        <f>IF(Y78="","",IF(VLOOKUP(Y78,'G-3 Multipliers'!$S$3:$T$10,2,FALSE)=0,"Spatial Data Missing ⚠",VLOOKUP(Y78,'G-3 Multipliers'!$S$3:$T$10,2,FALSE)))</f>
        <v/>
      </c>
      <c r="AA78" s="741" t="str">
        <f t="shared" si="9"/>
        <v/>
      </c>
      <c r="AB78" s="405" t="str">
        <f t="shared" si="10"/>
        <v/>
      </c>
      <c r="AC78" s="119"/>
      <c r="AD78" s="528"/>
      <c r="AE78" s="120"/>
      <c r="AF78" s="120"/>
    </row>
    <row r="79" spans="1:32" ht="15">
      <c r="A79" s="30" t="str">
        <f>IFERROR(INDEX('G-8 Condition Look up'!$I$4:$I$135,MATCH(F79,'G-8 Condition Look up'!$A$4:$A$135,0)),"")</f>
        <v/>
      </c>
      <c r="C79" s="75" t="str">
        <f>IFERROR(INDEX('G-1 All Habitats'!$AG$3:$AG$17,MATCH(D79,'G-1 All Habitats'!$AF$3:$AF$17,0)),"")</f>
        <v/>
      </c>
      <c r="D79" s="122"/>
      <c r="E79" s="165"/>
      <c r="F79" s="198" t="str">
        <f>IFERROR(INDEX('G-1 All Habitats'!$B$3:$B$135,MATCH(E79,'G-1 All Habitats'!$A$3:$A$135,0)),"")</f>
        <v/>
      </c>
      <c r="G79" s="300"/>
      <c r="H79" s="398" t="str">
        <f>IF(F79="","",VLOOKUP(F79,'G-1 All Habitats'!$B$2:$M$134,10,FALSE))</f>
        <v/>
      </c>
      <c r="I79" s="386" t="str">
        <f>IFERROR(VLOOKUP(H79,'G-1 All Habitats'!$V$3:$W$7,2,FALSE),"")</f>
        <v/>
      </c>
      <c r="J79" s="162"/>
      <c r="K79" s="386" t="str">
        <f>IFERROR(INDEX('G-8 Condition Look up'!$A$3:$H$135,MATCH(F79,'G-8 Condition Look up'!$A$3:$A$135,0),MATCH(J79,'G-8 Condition Look up'!$A$3:$H$3,0)),"")</f>
        <v/>
      </c>
      <c r="L79" s="114"/>
      <c r="M79" s="401" t="str">
        <f>IF(L79="","",IF(VLOOKUP(L79,'G-3 Multipliers'!$L$3:$N$6,2,FALSE)=0,"Spatial Data Missing ⚠",VLOOKUP(L79,'G-3 Multipliers'!$L$3:$N$6,2,FALSE)))</f>
        <v/>
      </c>
      <c r="N79" s="363" t="str">
        <f>IF(L79="","",IF(VLOOKUP(L79,'G-3 Multipliers'!$L$3:$N$6,3,FALSE)=0,"Spatial Data Missing ⚠",VLOOKUP(L79,'G-3 Multipliers'!$L$3:$N$6,3,FALSE)))</f>
        <v/>
      </c>
      <c r="O79" s="362" t="str">
        <f t="shared" si="6"/>
        <v/>
      </c>
      <c r="P79" s="159"/>
      <c r="Q79" s="159"/>
      <c r="R79" s="382" t="str">
        <f t="shared" si="7"/>
        <v/>
      </c>
      <c r="S79" s="404" t="str">
        <f t="shared" si="8"/>
        <v/>
      </c>
      <c r="T79" s="387" t="str">
        <f>IFERROR(IF(S79="Check Data ⚠","Check Data ⚠",VLOOKUP(S79,'G-4 Temporal multipliers'!$A$4:$C$37,3,FALSE)),"")</f>
        <v/>
      </c>
      <c r="U79" s="385" t="str">
        <f>IF(F79="","",VLOOKUP(F79,'G-3 Multipliers'!$A$2:$E$134,2,FALSE))</f>
        <v/>
      </c>
      <c r="V79" s="382" t="str">
        <f t="shared" si="11"/>
        <v/>
      </c>
      <c r="W79" s="382" t="str">
        <f>IF(E79="","",IF(AND(V79="Standard difficulty applied",O79&gt;P79),U79,IF(AND(V79="Low Difficulty - only applicable if all habitat created before losses ⚠",P79&gt;=O79),"Low",VLOOKUP(F79,'G-3 Multipliers'!$A$2:$E$134,4,FALSE))))</f>
        <v/>
      </c>
      <c r="X79" s="386" t="str">
        <f>IFERROR(IF(E79="","",VLOOKUP(W79, 'G-3 Multipliers'!$P$2:$Q$6,2,FALSE)),"")</f>
        <v/>
      </c>
      <c r="Y79" s="516"/>
      <c r="Z79" s="724" t="str">
        <f>IF(Y79="","",IF(VLOOKUP(Y79,'G-3 Multipliers'!$S$3:$T$10,2,FALSE)=0,"Spatial Data Missing ⚠",VLOOKUP(Y79,'G-3 Multipliers'!$S$3:$T$10,2,FALSE)))</f>
        <v/>
      </c>
      <c r="AA79" s="741" t="str">
        <f t="shared" si="9"/>
        <v/>
      </c>
      <c r="AB79" s="405" t="str">
        <f t="shared" si="10"/>
        <v/>
      </c>
      <c r="AC79" s="119"/>
      <c r="AD79" s="528"/>
      <c r="AE79" s="120"/>
      <c r="AF79" s="120"/>
    </row>
    <row r="80" spans="1:32" ht="15">
      <c r="A80" s="30" t="str">
        <f>IFERROR(INDEX('G-8 Condition Look up'!$I$4:$I$135,MATCH(F80,'G-8 Condition Look up'!$A$4:$A$135,0)),"")</f>
        <v/>
      </c>
      <c r="C80" s="75" t="str">
        <f>IFERROR(INDEX('G-1 All Habitats'!$AG$3:$AG$17,MATCH(D80,'G-1 All Habitats'!$AF$3:$AF$17,0)),"")</f>
        <v/>
      </c>
      <c r="D80" s="122"/>
      <c r="E80" s="165"/>
      <c r="F80" s="198" t="str">
        <f>IFERROR(INDEX('G-1 All Habitats'!$B$3:$B$135,MATCH(E80,'G-1 All Habitats'!$A$3:$A$135,0)),"")</f>
        <v/>
      </c>
      <c r="G80" s="300"/>
      <c r="H80" s="398" t="str">
        <f>IF(F80="","",VLOOKUP(F80,'G-1 All Habitats'!$B$2:$M$134,10,FALSE))</f>
        <v/>
      </c>
      <c r="I80" s="386" t="str">
        <f>IFERROR(VLOOKUP(H80,'G-1 All Habitats'!$V$3:$W$7,2,FALSE),"")</f>
        <v/>
      </c>
      <c r="J80" s="162"/>
      <c r="K80" s="386" t="str">
        <f>IFERROR(INDEX('G-8 Condition Look up'!$A$3:$H$135,MATCH(F80,'G-8 Condition Look up'!$A$3:$A$135,0),MATCH(J80,'G-8 Condition Look up'!$A$3:$H$3,0)),"")</f>
        <v/>
      </c>
      <c r="L80" s="114"/>
      <c r="M80" s="401" t="str">
        <f>IF(L80="","",IF(VLOOKUP(L80,'G-3 Multipliers'!$L$3:$N$6,2,FALSE)=0,"Spatial Data Missing ⚠",VLOOKUP(L80,'G-3 Multipliers'!$L$3:$N$6,2,FALSE)))</f>
        <v/>
      </c>
      <c r="N80" s="363" t="str">
        <f>IF(L80="","",IF(VLOOKUP(L80,'G-3 Multipliers'!$L$3:$N$6,3,FALSE)=0,"Spatial Data Missing ⚠",VLOOKUP(L80,'G-3 Multipliers'!$L$3:$N$6,3,FALSE)))</f>
        <v/>
      </c>
      <c r="O80" s="362" t="str">
        <f t="shared" si="6"/>
        <v/>
      </c>
      <c r="P80" s="159"/>
      <c r="Q80" s="159"/>
      <c r="R80" s="382" t="str">
        <f t="shared" si="7"/>
        <v/>
      </c>
      <c r="S80" s="404" t="str">
        <f t="shared" si="8"/>
        <v/>
      </c>
      <c r="T80" s="387" t="str">
        <f>IFERROR(IF(S80="Check Data ⚠","Check Data ⚠",VLOOKUP(S80,'G-4 Temporal multipliers'!$A$4:$C$37,3,FALSE)),"")</f>
        <v/>
      </c>
      <c r="U80" s="385" t="str">
        <f>IF(F80="","",VLOOKUP(F80,'G-3 Multipliers'!$A$2:$E$134,2,FALSE))</f>
        <v/>
      </c>
      <c r="V80" s="382" t="str">
        <f t="shared" si="11"/>
        <v/>
      </c>
      <c r="W80" s="382" t="str">
        <f>IF(E80="","",IF(AND(V80="Standard difficulty applied",O80&gt;P80),U80,IF(AND(V80="Low Difficulty - only applicable if all habitat created before losses ⚠",P80&gt;=O80),"Low",VLOOKUP(F80,'G-3 Multipliers'!$A$2:$E$134,4,FALSE))))</f>
        <v/>
      </c>
      <c r="X80" s="386" t="str">
        <f>IFERROR(IF(E80="","",VLOOKUP(W80, 'G-3 Multipliers'!$P$2:$Q$6,2,FALSE)),"")</f>
        <v/>
      </c>
      <c r="Y80" s="516"/>
      <c r="Z80" s="724" t="str">
        <f>IF(Y80="","",IF(VLOOKUP(Y80,'G-3 Multipliers'!$S$3:$T$10,2,FALSE)=0,"Spatial Data Missing ⚠",VLOOKUP(Y80,'G-3 Multipliers'!$S$3:$T$10,2,FALSE)))</f>
        <v/>
      </c>
      <c r="AA80" s="741" t="str">
        <f t="shared" si="9"/>
        <v/>
      </c>
      <c r="AB80" s="405" t="str">
        <f t="shared" si="10"/>
        <v/>
      </c>
      <c r="AC80" s="119"/>
      <c r="AD80" s="528"/>
      <c r="AE80" s="120"/>
      <c r="AF80" s="120"/>
    </row>
    <row r="81" spans="1:32" ht="15">
      <c r="A81" s="30" t="str">
        <f>IFERROR(INDEX('G-8 Condition Look up'!$I$4:$I$135,MATCH(F81,'G-8 Condition Look up'!$A$4:$A$135,0)),"")</f>
        <v/>
      </c>
      <c r="C81" s="75" t="str">
        <f>IFERROR(INDEX('G-1 All Habitats'!$AG$3:$AG$17,MATCH(D81,'G-1 All Habitats'!$AF$3:$AF$17,0)),"")</f>
        <v/>
      </c>
      <c r="D81" s="122"/>
      <c r="E81" s="165"/>
      <c r="F81" s="198" t="str">
        <f>IFERROR(INDEX('G-1 All Habitats'!$B$3:$B$135,MATCH(E81,'G-1 All Habitats'!$A$3:$A$135,0)),"")</f>
        <v/>
      </c>
      <c r="G81" s="300"/>
      <c r="H81" s="398" t="str">
        <f>IF(F81="","",VLOOKUP(F81,'G-1 All Habitats'!$B$2:$M$134,10,FALSE))</f>
        <v/>
      </c>
      <c r="I81" s="386" t="str">
        <f>IFERROR(VLOOKUP(H81,'G-1 All Habitats'!$V$3:$W$7,2,FALSE),"")</f>
        <v/>
      </c>
      <c r="J81" s="162"/>
      <c r="K81" s="386" t="str">
        <f>IFERROR(INDEX('G-8 Condition Look up'!$A$3:$H$135,MATCH(F81,'G-8 Condition Look up'!$A$3:$A$135,0),MATCH(J81,'G-8 Condition Look up'!$A$3:$H$3,0)),"")</f>
        <v/>
      </c>
      <c r="L81" s="114"/>
      <c r="M81" s="401" t="str">
        <f>IF(L81="","",IF(VLOOKUP(L81,'G-3 Multipliers'!$L$3:$N$6,2,FALSE)=0,"Spatial Data Missing ⚠",VLOOKUP(L81,'G-3 Multipliers'!$L$3:$N$6,2,FALSE)))</f>
        <v/>
      </c>
      <c r="N81" s="363" t="str">
        <f>IF(L81="","",IF(VLOOKUP(L81,'G-3 Multipliers'!$L$3:$N$6,3,FALSE)=0,"Spatial Data Missing ⚠",VLOOKUP(L81,'G-3 Multipliers'!$L$3:$N$6,3,FALSE)))</f>
        <v/>
      </c>
      <c r="O81" s="362" t="str">
        <f t="shared" si="6"/>
        <v/>
      </c>
      <c r="P81" s="159"/>
      <c r="Q81" s="159"/>
      <c r="R81" s="382" t="str">
        <f t="shared" si="7"/>
        <v/>
      </c>
      <c r="S81" s="404" t="str">
        <f t="shared" si="8"/>
        <v/>
      </c>
      <c r="T81" s="387" t="str">
        <f>IFERROR(IF(S81="Check Data ⚠","Check Data ⚠",VLOOKUP(S81,'G-4 Temporal multipliers'!$A$4:$C$37,3,FALSE)),"")</f>
        <v/>
      </c>
      <c r="U81" s="385" t="str">
        <f>IF(F81="","",VLOOKUP(F81,'G-3 Multipliers'!$A$2:$E$134,2,FALSE))</f>
        <v/>
      </c>
      <c r="V81" s="382" t="str">
        <f t="shared" si="11"/>
        <v/>
      </c>
      <c r="W81" s="382" t="str">
        <f>IF(E81="","",IF(AND(V81="Standard difficulty applied",O81&gt;P81),U81,IF(AND(V81="Low Difficulty - only applicable if all habitat created before losses ⚠",P81&gt;=O81),"Low",VLOOKUP(F81,'G-3 Multipliers'!$A$2:$E$134,4,FALSE))))</f>
        <v/>
      </c>
      <c r="X81" s="386" t="str">
        <f>IFERROR(IF(E81="","",VLOOKUP(W81, 'G-3 Multipliers'!$P$2:$Q$6,2,FALSE)),"")</f>
        <v/>
      </c>
      <c r="Y81" s="516"/>
      <c r="Z81" s="724" t="str">
        <f>IF(Y81="","",IF(VLOOKUP(Y81,'G-3 Multipliers'!$S$3:$T$10,2,FALSE)=0,"Spatial Data Missing ⚠",VLOOKUP(Y81,'G-3 Multipliers'!$S$3:$T$10,2,FALSE)))</f>
        <v/>
      </c>
      <c r="AA81" s="741" t="str">
        <f t="shared" si="9"/>
        <v/>
      </c>
      <c r="AB81" s="405" t="str">
        <f t="shared" si="10"/>
        <v/>
      </c>
      <c r="AC81" s="119"/>
      <c r="AD81" s="528"/>
      <c r="AE81" s="120"/>
      <c r="AF81" s="120"/>
    </row>
    <row r="82" spans="1:32" ht="15">
      <c r="A82" s="30" t="str">
        <f>IFERROR(INDEX('G-8 Condition Look up'!$I$4:$I$135,MATCH(F82,'G-8 Condition Look up'!$A$4:$A$135,0)),"")</f>
        <v/>
      </c>
      <c r="C82" s="75" t="str">
        <f>IFERROR(INDEX('G-1 All Habitats'!$AG$3:$AG$17,MATCH(D82,'G-1 All Habitats'!$AF$3:$AF$17,0)),"")</f>
        <v/>
      </c>
      <c r="D82" s="122"/>
      <c r="E82" s="165"/>
      <c r="F82" s="198" t="str">
        <f>IFERROR(INDEX('G-1 All Habitats'!$B$3:$B$135,MATCH(E82,'G-1 All Habitats'!$A$3:$A$135,0)),"")</f>
        <v/>
      </c>
      <c r="G82" s="300"/>
      <c r="H82" s="398" t="str">
        <f>IF(F82="","",VLOOKUP(F82,'G-1 All Habitats'!$B$2:$M$134,10,FALSE))</f>
        <v/>
      </c>
      <c r="I82" s="386" t="str">
        <f>IFERROR(VLOOKUP(H82,'G-1 All Habitats'!$V$3:$W$7,2,FALSE),"")</f>
        <v/>
      </c>
      <c r="J82" s="162"/>
      <c r="K82" s="386" t="str">
        <f>IFERROR(INDEX('G-8 Condition Look up'!$A$3:$H$135,MATCH(F82,'G-8 Condition Look up'!$A$3:$A$135,0),MATCH(J82,'G-8 Condition Look up'!$A$3:$H$3,0)),"")</f>
        <v/>
      </c>
      <c r="L82" s="114"/>
      <c r="M82" s="401" t="str">
        <f>IF(L82="","",IF(VLOOKUP(L82,'G-3 Multipliers'!$L$3:$N$6,2,FALSE)=0,"Spatial Data Missing ⚠",VLOOKUP(L82,'G-3 Multipliers'!$L$3:$N$6,2,FALSE)))</f>
        <v/>
      </c>
      <c r="N82" s="363" t="str">
        <f>IF(L82="","",IF(VLOOKUP(L82,'G-3 Multipliers'!$L$3:$N$6,3,FALSE)=0,"Spatial Data Missing ⚠",VLOOKUP(L82,'G-3 Multipliers'!$L$3:$N$6,3,FALSE)))</f>
        <v/>
      </c>
      <c r="O82" s="362" t="str">
        <f t="shared" si="6"/>
        <v/>
      </c>
      <c r="P82" s="159"/>
      <c r="Q82" s="159"/>
      <c r="R82" s="382" t="str">
        <f t="shared" si="7"/>
        <v/>
      </c>
      <c r="S82" s="404" t="str">
        <f t="shared" si="8"/>
        <v/>
      </c>
      <c r="T82" s="387" t="str">
        <f>IFERROR(IF(S82="Check Data ⚠","Check Data ⚠",VLOOKUP(S82,'G-4 Temporal multipliers'!$A$4:$C$37,3,FALSE)),"")</f>
        <v/>
      </c>
      <c r="U82" s="385" t="str">
        <f>IF(F82="","",VLOOKUP(F82,'G-3 Multipliers'!$A$2:$E$134,2,FALSE))</f>
        <v/>
      </c>
      <c r="V82" s="382" t="str">
        <f t="shared" si="11"/>
        <v/>
      </c>
      <c r="W82" s="382" t="str">
        <f>IF(E82="","",IF(AND(V82="Standard difficulty applied",O82&gt;P82),U82,IF(AND(V82="Low Difficulty - only applicable if all habitat created before losses ⚠",P82&gt;=O82),"Low",VLOOKUP(F82,'G-3 Multipliers'!$A$2:$E$134,4,FALSE))))</f>
        <v/>
      </c>
      <c r="X82" s="386" t="str">
        <f>IFERROR(IF(E82="","",VLOOKUP(W82, 'G-3 Multipliers'!$P$2:$Q$6,2,FALSE)),"")</f>
        <v/>
      </c>
      <c r="Y82" s="516"/>
      <c r="Z82" s="724" t="str">
        <f>IF(Y82="","",IF(VLOOKUP(Y82,'G-3 Multipliers'!$S$3:$T$10,2,FALSE)=0,"Spatial Data Missing ⚠",VLOOKUP(Y82,'G-3 Multipliers'!$S$3:$T$10,2,FALSE)))</f>
        <v/>
      </c>
      <c r="AA82" s="741" t="str">
        <f t="shared" si="9"/>
        <v/>
      </c>
      <c r="AB82" s="405" t="str">
        <f t="shared" si="10"/>
        <v/>
      </c>
      <c r="AC82" s="119"/>
      <c r="AD82" s="528"/>
      <c r="AE82" s="120"/>
      <c r="AF82" s="120"/>
    </row>
    <row r="83" spans="1:32" ht="15">
      <c r="A83" s="30" t="str">
        <f>IFERROR(INDEX('G-8 Condition Look up'!$I$4:$I$135,MATCH(F83,'G-8 Condition Look up'!$A$4:$A$135,0)),"")</f>
        <v/>
      </c>
      <c r="C83" s="75" t="str">
        <f>IFERROR(INDEX('G-1 All Habitats'!$AG$3:$AG$17,MATCH(D83,'G-1 All Habitats'!$AF$3:$AF$17,0)),"")</f>
        <v/>
      </c>
      <c r="D83" s="122"/>
      <c r="E83" s="165"/>
      <c r="F83" s="198" t="str">
        <f>IFERROR(INDEX('G-1 All Habitats'!$B$3:$B$135,MATCH(E83,'G-1 All Habitats'!$A$3:$A$135,0)),"")</f>
        <v/>
      </c>
      <c r="G83" s="300"/>
      <c r="H83" s="398" t="str">
        <f>IF(F83="","",VLOOKUP(F83,'G-1 All Habitats'!$B$2:$M$134,10,FALSE))</f>
        <v/>
      </c>
      <c r="I83" s="386" t="str">
        <f>IFERROR(VLOOKUP(H83,'G-1 All Habitats'!$V$3:$W$7,2,FALSE),"")</f>
        <v/>
      </c>
      <c r="J83" s="162"/>
      <c r="K83" s="386" t="str">
        <f>IFERROR(INDEX('G-8 Condition Look up'!$A$3:$H$135,MATCH(F83,'G-8 Condition Look up'!$A$3:$A$135,0),MATCH(J83,'G-8 Condition Look up'!$A$3:$H$3,0)),"")</f>
        <v/>
      </c>
      <c r="L83" s="114"/>
      <c r="M83" s="401" t="str">
        <f>IF(L83="","",IF(VLOOKUP(L83,'G-3 Multipliers'!$L$3:$N$6,2,FALSE)=0,"Spatial Data Missing ⚠",VLOOKUP(L83,'G-3 Multipliers'!$L$3:$N$6,2,FALSE)))</f>
        <v/>
      </c>
      <c r="N83" s="363" t="str">
        <f>IF(L83="","",IF(VLOOKUP(L83,'G-3 Multipliers'!$L$3:$N$6,3,FALSE)=0,"Spatial Data Missing ⚠",VLOOKUP(L83,'G-3 Multipliers'!$L$3:$N$6,3,FALSE)))</f>
        <v/>
      </c>
      <c r="O83" s="362" t="str">
        <f t="shared" si="6"/>
        <v/>
      </c>
      <c r="P83" s="159"/>
      <c r="Q83" s="159"/>
      <c r="R83" s="382" t="str">
        <f t="shared" si="7"/>
        <v/>
      </c>
      <c r="S83" s="404" t="str">
        <f t="shared" si="8"/>
        <v/>
      </c>
      <c r="T83" s="387" t="str">
        <f>IFERROR(IF(S83="Check Data ⚠","Check Data ⚠",VLOOKUP(S83,'G-4 Temporal multipliers'!$A$4:$C$37,3,FALSE)),"")</f>
        <v/>
      </c>
      <c r="U83" s="385" t="str">
        <f>IF(F83="","",VLOOKUP(F83,'G-3 Multipliers'!$A$2:$E$134,2,FALSE))</f>
        <v/>
      </c>
      <c r="V83" s="382" t="str">
        <f t="shared" si="11"/>
        <v/>
      </c>
      <c r="W83" s="382" t="str">
        <f>IF(E83="","",IF(AND(V83="Standard difficulty applied",O83&gt;P83),U83,IF(AND(V83="Low Difficulty - only applicable if all habitat created before losses ⚠",P83&gt;=O83),"Low",VLOOKUP(F83,'G-3 Multipliers'!$A$2:$E$134,4,FALSE))))</f>
        <v/>
      </c>
      <c r="X83" s="386" t="str">
        <f>IFERROR(IF(E83="","",VLOOKUP(W83, 'G-3 Multipliers'!$P$2:$Q$6,2,FALSE)),"")</f>
        <v/>
      </c>
      <c r="Y83" s="516"/>
      <c r="Z83" s="724" t="str">
        <f>IF(Y83="","",IF(VLOOKUP(Y83,'G-3 Multipliers'!$S$3:$T$10,2,FALSE)=0,"Spatial Data Missing ⚠",VLOOKUP(Y83,'G-3 Multipliers'!$S$3:$T$10,2,FALSE)))</f>
        <v/>
      </c>
      <c r="AA83" s="741" t="str">
        <f t="shared" si="9"/>
        <v/>
      </c>
      <c r="AB83" s="405" t="str">
        <f t="shared" si="10"/>
        <v/>
      </c>
      <c r="AC83" s="119"/>
      <c r="AD83" s="528"/>
      <c r="AE83" s="120"/>
      <c r="AF83" s="120"/>
    </row>
    <row r="84" spans="1:32" ht="15">
      <c r="A84" s="30" t="str">
        <f>IFERROR(INDEX('G-8 Condition Look up'!$I$4:$I$135,MATCH(F84,'G-8 Condition Look up'!$A$4:$A$135,0)),"")</f>
        <v/>
      </c>
      <c r="C84" s="75" t="str">
        <f>IFERROR(INDEX('G-1 All Habitats'!$AG$3:$AG$17,MATCH(D84,'G-1 All Habitats'!$AF$3:$AF$17,0)),"")</f>
        <v/>
      </c>
      <c r="D84" s="122"/>
      <c r="E84" s="165"/>
      <c r="F84" s="198" t="str">
        <f>IFERROR(INDEX('G-1 All Habitats'!$B$3:$B$135,MATCH(E84,'G-1 All Habitats'!$A$3:$A$135,0)),"")</f>
        <v/>
      </c>
      <c r="G84" s="300"/>
      <c r="H84" s="398" t="str">
        <f>IF(F84="","",VLOOKUP(F84,'G-1 All Habitats'!$B$2:$M$134,10,FALSE))</f>
        <v/>
      </c>
      <c r="I84" s="386" t="str">
        <f>IFERROR(VLOOKUP(H84,'G-1 All Habitats'!$V$3:$W$7,2,FALSE),"")</f>
        <v/>
      </c>
      <c r="J84" s="162"/>
      <c r="K84" s="386" t="str">
        <f>IFERROR(INDEX('G-8 Condition Look up'!$A$3:$H$135,MATCH(F84,'G-8 Condition Look up'!$A$3:$A$135,0),MATCH(J84,'G-8 Condition Look up'!$A$3:$H$3,0)),"")</f>
        <v/>
      </c>
      <c r="L84" s="114"/>
      <c r="M84" s="401" t="str">
        <f>IF(L84="","",IF(VLOOKUP(L84,'G-3 Multipliers'!$L$3:$N$6,2,FALSE)=0,"Spatial Data Missing ⚠",VLOOKUP(L84,'G-3 Multipliers'!$L$3:$N$6,2,FALSE)))</f>
        <v/>
      </c>
      <c r="N84" s="363" t="str">
        <f>IF(L84="","",IF(VLOOKUP(L84,'G-3 Multipliers'!$L$3:$N$6,3,FALSE)=0,"Spatial Data Missing ⚠",VLOOKUP(L84,'G-3 Multipliers'!$L$3:$N$6,3,FALSE)))</f>
        <v/>
      </c>
      <c r="O84" s="362" t="str">
        <f t="shared" si="6"/>
        <v/>
      </c>
      <c r="P84" s="159"/>
      <c r="Q84" s="159"/>
      <c r="R84" s="382" t="str">
        <f t="shared" si="7"/>
        <v/>
      </c>
      <c r="S84" s="404" t="str">
        <f t="shared" si="8"/>
        <v/>
      </c>
      <c r="T84" s="387" t="str">
        <f>IFERROR(IF(S84="Check Data ⚠","Check Data ⚠",VLOOKUP(S84,'G-4 Temporal multipliers'!$A$4:$C$37,3,FALSE)),"")</f>
        <v/>
      </c>
      <c r="U84" s="385" t="str">
        <f>IF(F84="","",VLOOKUP(F84,'G-3 Multipliers'!$A$2:$E$134,2,FALSE))</f>
        <v/>
      </c>
      <c r="V84" s="382" t="str">
        <f t="shared" si="11"/>
        <v/>
      </c>
      <c r="W84" s="382" t="str">
        <f>IF(E84="","",IF(AND(V84="Standard difficulty applied",O84&gt;P84),U84,IF(AND(V84="Low Difficulty - only applicable if all habitat created before losses ⚠",P84&gt;=O84),"Low",VLOOKUP(F84,'G-3 Multipliers'!$A$2:$E$134,4,FALSE))))</f>
        <v/>
      </c>
      <c r="X84" s="386" t="str">
        <f>IFERROR(IF(E84="","",VLOOKUP(W84, 'G-3 Multipliers'!$P$2:$Q$6,2,FALSE)),"")</f>
        <v/>
      </c>
      <c r="Y84" s="516"/>
      <c r="Z84" s="724" t="str">
        <f>IF(Y84="","",IF(VLOOKUP(Y84,'G-3 Multipliers'!$S$3:$T$10,2,FALSE)=0,"Spatial Data Missing ⚠",VLOOKUP(Y84,'G-3 Multipliers'!$S$3:$T$10,2,FALSE)))</f>
        <v/>
      </c>
      <c r="AA84" s="741" t="str">
        <f t="shared" si="9"/>
        <v/>
      </c>
      <c r="AB84" s="405" t="str">
        <f t="shared" si="10"/>
        <v/>
      </c>
      <c r="AC84" s="119"/>
      <c r="AD84" s="528"/>
      <c r="AE84" s="120"/>
      <c r="AF84" s="120"/>
    </row>
    <row r="85" spans="1:32" ht="15">
      <c r="A85" s="30" t="str">
        <f>IFERROR(INDEX('G-8 Condition Look up'!$I$4:$I$135,MATCH(F85,'G-8 Condition Look up'!$A$4:$A$135,0)),"")</f>
        <v/>
      </c>
      <c r="C85" s="75" t="str">
        <f>IFERROR(INDEX('G-1 All Habitats'!$AG$3:$AG$17,MATCH(D85,'G-1 All Habitats'!$AF$3:$AF$17,0)),"")</f>
        <v/>
      </c>
      <c r="D85" s="122"/>
      <c r="E85" s="165"/>
      <c r="F85" s="198" t="str">
        <f>IFERROR(INDEX('G-1 All Habitats'!$B$3:$B$135,MATCH(E85,'G-1 All Habitats'!$A$3:$A$135,0)),"")</f>
        <v/>
      </c>
      <c r="G85" s="300"/>
      <c r="H85" s="398" t="str">
        <f>IF(F85="","",VLOOKUP(F85,'G-1 All Habitats'!$B$2:$M$134,10,FALSE))</f>
        <v/>
      </c>
      <c r="I85" s="386" t="str">
        <f>IFERROR(VLOOKUP(H85,'G-1 All Habitats'!$V$3:$W$7,2,FALSE),"")</f>
        <v/>
      </c>
      <c r="J85" s="162"/>
      <c r="K85" s="386" t="str">
        <f>IFERROR(INDEX('G-8 Condition Look up'!$A$3:$H$135,MATCH(F85,'G-8 Condition Look up'!$A$3:$A$135,0),MATCH(J85,'G-8 Condition Look up'!$A$3:$H$3,0)),"")</f>
        <v/>
      </c>
      <c r="L85" s="114"/>
      <c r="M85" s="401" t="str">
        <f>IF(L85="","",IF(VLOOKUP(L85,'G-3 Multipliers'!$L$3:$N$6,2,FALSE)=0,"Spatial Data Missing ⚠",VLOOKUP(L85,'G-3 Multipliers'!$L$3:$N$6,2,FALSE)))</f>
        <v/>
      </c>
      <c r="N85" s="363" t="str">
        <f>IF(L85="","",IF(VLOOKUP(L85,'G-3 Multipliers'!$L$3:$N$6,3,FALSE)=0,"Spatial Data Missing ⚠",VLOOKUP(L85,'G-3 Multipliers'!$L$3:$N$6,3,FALSE)))</f>
        <v/>
      </c>
      <c r="O85" s="362" t="str">
        <f t="shared" si="6"/>
        <v/>
      </c>
      <c r="P85" s="159"/>
      <c r="Q85" s="159"/>
      <c r="R85" s="382" t="str">
        <f t="shared" si="7"/>
        <v/>
      </c>
      <c r="S85" s="404" t="str">
        <f t="shared" si="8"/>
        <v/>
      </c>
      <c r="T85" s="387" t="str">
        <f>IFERROR(IF(S85="Check Data ⚠","Check Data ⚠",VLOOKUP(S85,'G-4 Temporal multipliers'!$A$4:$C$37,3,FALSE)),"")</f>
        <v/>
      </c>
      <c r="U85" s="385" t="str">
        <f>IF(F85="","",VLOOKUP(F85,'G-3 Multipliers'!$A$2:$E$134,2,FALSE))</f>
        <v/>
      </c>
      <c r="V85" s="382" t="str">
        <f t="shared" si="11"/>
        <v/>
      </c>
      <c r="W85" s="382" t="str">
        <f>IF(E85="","",IF(AND(V85="Standard difficulty applied",O85&gt;P85),U85,IF(AND(V85="Low Difficulty - only applicable if all habitat created before losses ⚠",P85&gt;=O85),"Low",VLOOKUP(F85,'G-3 Multipliers'!$A$2:$E$134,4,FALSE))))</f>
        <v/>
      </c>
      <c r="X85" s="386" t="str">
        <f>IFERROR(IF(E85="","",VLOOKUP(W85, 'G-3 Multipliers'!$P$2:$Q$6,2,FALSE)),"")</f>
        <v/>
      </c>
      <c r="Y85" s="516"/>
      <c r="Z85" s="724" t="str">
        <f>IF(Y85="","",IF(VLOOKUP(Y85,'G-3 Multipliers'!$S$3:$T$10,2,FALSE)=0,"Spatial Data Missing ⚠",VLOOKUP(Y85,'G-3 Multipliers'!$S$3:$T$10,2,FALSE)))</f>
        <v/>
      </c>
      <c r="AA85" s="741" t="str">
        <f t="shared" si="9"/>
        <v/>
      </c>
      <c r="AB85" s="405" t="str">
        <f t="shared" si="10"/>
        <v/>
      </c>
      <c r="AC85" s="119"/>
      <c r="AD85" s="528"/>
      <c r="AE85" s="120"/>
      <c r="AF85" s="120"/>
    </row>
    <row r="86" spans="1:32" ht="15">
      <c r="A86" s="30" t="str">
        <f>IFERROR(INDEX('G-8 Condition Look up'!$I$4:$I$135,MATCH(F86,'G-8 Condition Look up'!$A$4:$A$135,0)),"")</f>
        <v/>
      </c>
      <c r="C86" s="75" t="str">
        <f>IFERROR(INDEX('G-1 All Habitats'!$AG$3:$AG$17,MATCH(D86,'G-1 All Habitats'!$AF$3:$AF$17,0)),"")</f>
        <v/>
      </c>
      <c r="D86" s="122"/>
      <c r="E86" s="165"/>
      <c r="F86" s="198" t="str">
        <f>IFERROR(INDEX('G-1 All Habitats'!$B$3:$B$135,MATCH(E86,'G-1 All Habitats'!$A$3:$A$135,0)),"")</f>
        <v/>
      </c>
      <c r="G86" s="300"/>
      <c r="H86" s="398" t="str">
        <f>IF(F86="","",VLOOKUP(F86,'G-1 All Habitats'!$B$2:$M$134,10,FALSE))</f>
        <v/>
      </c>
      <c r="I86" s="386" t="str">
        <f>IFERROR(VLOOKUP(H86,'G-1 All Habitats'!$V$3:$W$7,2,FALSE),"")</f>
        <v/>
      </c>
      <c r="J86" s="162"/>
      <c r="K86" s="386" t="str">
        <f>IFERROR(INDEX('G-8 Condition Look up'!$A$3:$H$135,MATCH(F86,'G-8 Condition Look up'!$A$3:$A$135,0),MATCH(J86,'G-8 Condition Look up'!$A$3:$H$3,0)),"")</f>
        <v/>
      </c>
      <c r="L86" s="114"/>
      <c r="M86" s="401" t="str">
        <f>IF(L86="","",IF(VLOOKUP(L86,'G-3 Multipliers'!$L$3:$N$6,2,FALSE)=0,"Spatial Data Missing ⚠",VLOOKUP(L86,'G-3 Multipliers'!$L$3:$N$6,2,FALSE)))</f>
        <v/>
      </c>
      <c r="N86" s="363" t="str">
        <f>IF(L86="","",IF(VLOOKUP(L86,'G-3 Multipliers'!$L$3:$N$6,3,FALSE)=0,"Spatial Data Missing ⚠",VLOOKUP(L86,'G-3 Multipliers'!$L$3:$N$6,3,FALSE)))</f>
        <v/>
      </c>
      <c r="O86" s="362" t="str">
        <f t="shared" si="6"/>
        <v/>
      </c>
      <c r="P86" s="159"/>
      <c r="Q86" s="159"/>
      <c r="R86" s="382" t="str">
        <f t="shared" si="7"/>
        <v/>
      </c>
      <c r="S86" s="404" t="str">
        <f t="shared" si="8"/>
        <v/>
      </c>
      <c r="T86" s="387" t="str">
        <f>IFERROR(IF(S86="Check Data ⚠","Check Data ⚠",VLOOKUP(S86,'G-4 Temporal multipliers'!$A$4:$C$37,3,FALSE)),"")</f>
        <v/>
      </c>
      <c r="U86" s="385" t="str">
        <f>IF(F86="","",VLOOKUP(F86,'G-3 Multipliers'!$A$2:$E$134,2,FALSE))</f>
        <v/>
      </c>
      <c r="V86" s="382" t="str">
        <f t="shared" si="11"/>
        <v/>
      </c>
      <c r="W86" s="382" t="str">
        <f>IF(E86="","",IF(AND(V86="Standard difficulty applied",O86&gt;P86),U86,IF(AND(V86="Low Difficulty - only applicable if all habitat created before losses ⚠",P86&gt;=O86),"Low",VLOOKUP(F86,'G-3 Multipliers'!$A$2:$E$134,4,FALSE))))</f>
        <v/>
      </c>
      <c r="X86" s="386" t="str">
        <f>IFERROR(IF(E86="","",VLOOKUP(W86, 'G-3 Multipliers'!$P$2:$Q$6,2,FALSE)),"")</f>
        <v/>
      </c>
      <c r="Y86" s="516"/>
      <c r="Z86" s="724" t="str">
        <f>IF(Y86="","",IF(VLOOKUP(Y86,'G-3 Multipliers'!$S$3:$T$10,2,FALSE)=0,"Spatial Data Missing ⚠",VLOOKUP(Y86,'G-3 Multipliers'!$S$3:$T$10,2,FALSE)))</f>
        <v/>
      </c>
      <c r="AA86" s="741" t="str">
        <f t="shared" si="9"/>
        <v/>
      </c>
      <c r="AB86" s="405" t="str">
        <f t="shared" si="10"/>
        <v/>
      </c>
      <c r="AC86" s="119"/>
      <c r="AD86" s="528"/>
      <c r="AE86" s="120"/>
      <c r="AF86" s="120"/>
    </row>
    <row r="87" spans="1:32" ht="15">
      <c r="A87" s="30" t="str">
        <f>IFERROR(INDEX('G-8 Condition Look up'!$I$4:$I$135,MATCH(F87,'G-8 Condition Look up'!$A$4:$A$135,0)),"")</f>
        <v/>
      </c>
      <c r="C87" s="75" t="str">
        <f>IFERROR(INDEX('G-1 All Habitats'!$AG$3:$AG$17,MATCH(D87,'G-1 All Habitats'!$AF$3:$AF$17,0)),"")</f>
        <v/>
      </c>
      <c r="D87" s="122"/>
      <c r="E87" s="165"/>
      <c r="F87" s="198" t="str">
        <f>IFERROR(INDEX('G-1 All Habitats'!$B$3:$B$135,MATCH(E87,'G-1 All Habitats'!$A$3:$A$135,0)),"")</f>
        <v/>
      </c>
      <c r="G87" s="300"/>
      <c r="H87" s="398" t="str">
        <f>IF(F87="","",VLOOKUP(F87,'G-1 All Habitats'!$B$2:$M$134,10,FALSE))</f>
        <v/>
      </c>
      <c r="I87" s="386" t="str">
        <f>IFERROR(VLOOKUP(H87,'G-1 All Habitats'!$V$3:$W$7,2,FALSE),"")</f>
        <v/>
      </c>
      <c r="J87" s="162"/>
      <c r="K87" s="386" t="str">
        <f>IFERROR(INDEX('G-8 Condition Look up'!$A$3:$H$135,MATCH(F87,'G-8 Condition Look up'!$A$3:$A$135,0),MATCH(J87,'G-8 Condition Look up'!$A$3:$H$3,0)),"")</f>
        <v/>
      </c>
      <c r="L87" s="114"/>
      <c r="M87" s="401" t="str">
        <f>IF(L87="","",IF(VLOOKUP(L87,'G-3 Multipliers'!$L$3:$N$6,2,FALSE)=0,"Spatial Data Missing ⚠",VLOOKUP(L87,'G-3 Multipliers'!$L$3:$N$6,2,FALSE)))</f>
        <v/>
      </c>
      <c r="N87" s="363" t="str">
        <f>IF(L87="","",IF(VLOOKUP(L87,'G-3 Multipliers'!$L$3:$N$6,3,FALSE)=0,"Spatial Data Missing ⚠",VLOOKUP(L87,'G-3 Multipliers'!$L$3:$N$6,3,FALSE)))</f>
        <v/>
      </c>
      <c r="O87" s="362" t="str">
        <f t="shared" si="6"/>
        <v/>
      </c>
      <c r="P87" s="159"/>
      <c r="Q87" s="159"/>
      <c r="R87" s="382" t="str">
        <f t="shared" si="7"/>
        <v/>
      </c>
      <c r="S87" s="404" t="str">
        <f t="shared" si="8"/>
        <v/>
      </c>
      <c r="T87" s="387" t="str">
        <f>IFERROR(IF(S87="Check Data ⚠","Check Data ⚠",VLOOKUP(S87,'G-4 Temporal multipliers'!$A$4:$C$37,3,FALSE)),"")</f>
        <v/>
      </c>
      <c r="U87" s="385" t="str">
        <f>IF(F87="","",VLOOKUP(F87,'G-3 Multipliers'!$A$2:$E$134,2,FALSE))</f>
        <v/>
      </c>
      <c r="V87" s="382" t="str">
        <f t="shared" si="11"/>
        <v/>
      </c>
      <c r="W87" s="382" t="str">
        <f>IF(E87="","",IF(AND(V87="Standard difficulty applied",O87&gt;P87),U87,IF(AND(V87="Low Difficulty - only applicable if all habitat created before losses ⚠",P87&gt;=O87),"Low",VLOOKUP(F87,'G-3 Multipliers'!$A$2:$E$134,4,FALSE))))</f>
        <v/>
      </c>
      <c r="X87" s="386" t="str">
        <f>IFERROR(IF(E87="","",VLOOKUP(W87, 'G-3 Multipliers'!$P$2:$Q$6,2,FALSE)),"")</f>
        <v/>
      </c>
      <c r="Y87" s="516"/>
      <c r="Z87" s="724" t="str">
        <f>IF(Y87="","",IF(VLOOKUP(Y87,'G-3 Multipliers'!$S$3:$T$10,2,FALSE)=0,"Spatial Data Missing ⚠",VLOOKUP(Y87,'G-3 Multipliers'!$S$3:$T$10,2,FALSE)))</f>
        <v/>
      </c>
      <c r="AA87" s="741" t="str">
        <f t="shared" si="9"/>
        <v/>
      </c>
      <c r="AB87" s="405" t="str">
        <f t="shared" si="10"/>
        <v/>
      </c>
      <c r="AC87" s="119"/>
      <c r="AD87" s="528"/>
      <c r="AE87" s="120"/>
      <c r="AF87" s="120"/>
    </row>
    <row r="88" spans="1:32" ht="15">
      <c r="A88" s="30" t="str">
        <f>IFERROR(INDEX('G-8 Condition Look up'!$I$4:$I$135,MATCH(F88,'G-8 Condition Look up'!$A$4:$A$135,0)),"")</f>
        <v/>
      </c>
      <c r="C88" s="75" t="str">
        <f>IFERROR(INDEX('G-1 All Habitats'!$AG$3:$AG$17,MATCH(D88,'G-1 All Habitats'!$AF$3:$AF$17,0)),"")</f>
        <v/>
      </c>
      <c r="D88" s="122"/>
      <c r="E88" s="165"/>
      <c r="F88" s="198" t="str">
        <f>IFERROR(INDEX('G-1 All Habitats'!$B$3:$B$135,MATCH(E88,'G-1 All Habitats'!$A$3:$A$135,0)),"")</f>
        <v/>
      </c>
      <c r="G88" s="300"/>
      <c r="H88" s="398" t="str">
        <f>IF(F88="","",VLOOKUP(F88,'G-1 All Habitats'!$B$2:$M$134,10,FALSE))</f>
        <v/>
      </c>
      <c r="I88" s="386" t="str">
        <f>IFERROR(VLOOKUP(H88,'G-1 All Habitats'!$V$3:$W$7,2,FALSE),"")</f>
        <v/>
      </c>
      <c r="J88" s="162"/>
      <c r="K88" s="386" t="str">
        <f>IFERROR(INDEX('G-8 Condition Look up'!$A$3:$H$135,MATCH(F88,'G-8 Condition Look up'!$A$3:$A$135,0),MATCH(J88,'G-8 Condition Look up'!$A$3:$H$3,0)),"")</f>
        <v/>
      </c>
      <c r="L88" s="114"/>
      <c r="M88" s="401" t="str">
        <f>IF(L88="","",IF(VLOOKUP(L88,'G-3 Multipliers'!$L$3:$N$6,2,FALSE)=0,"Spatial Data Missing ⚠",VLOOKUP(L88,'G-3 Multipliers'!$L$3:$N$6,2,FALSE)))</f>
        <v/>
      </c>
      <c r="N88" s="363" t="str">
        <f>IF(L88="","",IF(VLOOKUP(L88,'G-3 Multipliers'!$L$3:$N$6,3,FALSE)=0,"Spatial Data Missing ⚠",VLOOKUP(L88,'G-3 Multipliers'!$L$3:$N$6,3,FALSE)))</f>
        <v/>
      </c>
      <c r="O88" s="362" t="str">
        <f t="shared" si="6"/>
        <v/>
      </c>
      <c r="P88" s="159"/>
      <c r="Q88" s="159"/>
      <c r="R88" s="382" t="str">
        <f t="shared" si="7"/>
        <v/>
      </c>
      <c r="S88" s="404" t="str">
        <f t="shared" si="8"/>
        <v/>
      </c>
      <c r="T88" s="387" t="str">
        <f>IFERROR(IF(S88="Check Data ⚠","Check Data ⚠",VLOOKUP(S88,'G-4 Temporal multipliers'!$A$4:$C$37,3,FALSE)),"")</f>
        <v/>
      </c>
      <c r="U88" s="385" t="str">
        <f>IF(F88="","",VLOOKUP(F88,'G-3 Multipliers'!$A$2:$E$134,2,FALSE))</f>
        <v/>
      </c>
      <c r="V88" s="382" t="str">
        <f t="shared" si="11"/>
        <v/>
      </c>
      <c r="W88" s="382" t="str">
        <f>IF(E88="","",IF(AND(V88="Standard difficulty applied",O88&gt;P88),U88,IF(AND(V88="Low Difficulty - only applicable if all habitat created before losses ⚠",P88&gt;=O88),"Low",VLOOKUP(F88,'G-3 Multipliers'!$A$2:$E$134,4,FALSE))))</f>
        <v/>
      </c>
      <c r="X88" s="386" t="str">
        <f>IFERROR(IF(E88="","",VLOOKUP(W88, 'G-3 Multipliers'!$P$2:$Q$6,2,FALSE)),"")</f>
        <v/>
      </c>
      <c r="Y88" s="516"/>
      <c r="Z88" s="724" t="str">
        <f>IF(Y88="","",IF(VLOOKUP(Y88,'G-3 Multipliers'!$S$3:$T$10,2,FALSE)=0,"Spatial Data Missing ⚠",VLOOKUP(Y88,'G-3 Multipliers'!$S$3:$T$10,2,FALSE)))</f>
        <v/>
      </c>
      <c r="AA88" s="741" t="str">
        <f t="shared" si="9"/>
        <v/>
      </c>
      <c r="AB88" s="405" t="str">
        <f t="shared" si="10"/>
        <v/>
      </c>
      <c r="AC88" s="119"/>
      <c r="AD88" s="528"/>
      <c r="AE88" s="120"/>
      <c r="AF88" s="120"/>
    </row>
    <row r="89" spans="1:32" ht="15">
      <c r="A89" s="30" t="str">
        <f>IFERROR(INDEX('G-8 Condition Look up'!$I$4:$I$135,MATCH(F89,'G-8 Condition Look up'!$A$4:$A$135,0)),"")</f>
        <v/>
      </c>
      <c r="C89" s="75" t="str">
        <f>IFERROR(INDEX('G-1 All Habitats'!$AG$3:$AG$17,MATCH(D89,'G-1 All Habitats'!$AF$3:$AF$17,0)),"")</f>
        <v/>
      </c>
      <c r="D89" s="122"/>
      <c r="E89" s="165"/>
      <c r="F89" s="198" t="str">
        <f>IFERROR(INDEX('G-1 All Habitats'!$B$3:$B$135,MATCH(E89,'G-1 All Habitats'!$A$3:$A$135,0)),"")</f>
        <v/>
      </c>
      <c r="G89" s="300"/>
      <c r="H89" s="398" t="str">
        <f>IF(F89="","",VLOOKUP(F89,'G-1 All Habitats'!$B$2:$M$134,10,FALSE))</f>
        <v/>
      </c>
      <c r="I89" s="386" t="str">
        <f>IFERROR(VLOOKUP(H89,'G-1 All Habitats'!$V$3:$W$7,2,FALSE),"")</f>
        <v/>
      </c>
      <c r="J89" s="162"/>
      <c r="K89" s="386" t="str">
        <f>IFERROR(INDEX('G-8 Condition Look up'!$A$3:$H$135,MATCH(F89,'G-8 Condition Look up'!$A$3:$A$135,0),MATCH(J89,'G-8 Condition Look up'!$A$3:$H$3,0)),"")</f>
        <v/>
      </c>
      <c r="L89" s="114"/>
      <c r="M89" s="401" t="str">
        <f>IF(L89="","",IF(VLOOKUP(L89,'G-3 Multipliers'!$L$3:$N$6,2,FALSE)=0,"Spatial Data Missing ⚠",VLOOKUP(L89,'G-3 Multipliers'!$L$3:$N$6,2,FALSE)))</f>
        <v/>
      </c>
      <c r="N89" s="363" t="str">
        <f>IF(L89="","",IF(VLOOKUP(L89,'G-3 Multipliers'!$L$3:$N$6,3,FALSE)=0,"Spatial Data Missing ⚠",VLOOKUP(L89,'G-3 Multipliers'!$L$3:$N$6,3,FALSE)))</f>
        <v/>
      </c>
      <c r="O89" s="362" t="str">
        <f t="shared" si="6"/>
        <v/>
      </c>
      <c r="P89" s="159"/>
      <c r="Q89" s="159"/>
      <c r="R89" s="382" t="str">
        <f t="shared" si="7"/>
        <v/>
      </c>
      <c r="S89" s="404" t="str">
        <f t="shared" si="8"/>
        <v/>
      </c>
      <c r="T89" s="387" t="str">
        <f>IFERROR(IF(S89="Check Data ⚠","Check Data ⚠",VLOOKUP(S89,'G-4 Temporal multipliers'!$A$4:$C$37,3,FALSE)),"")</f>
        <v/>
      </c>
      <c r="U89" s="385" t="str">
        <f>IF(F89="","",VLOOKUP(F89,'G-3 Multipliers'!$A$2:$E$134,2,FALSE))</f>
        <v/>
      </c>
      <c r="V89" s="382" t="str">
        <f t="shared" si="11"/>
        <v/>
      </c>
      <c r="W89" s="382" t="str">
        <f>IF(E89="","",IF(AND(V89="Standard difficulty applied",O89&gt;P89),U89,IF(AND(V89="Low Difficulty - only applicable if all habitat created before losses ⚠",P89&gt;=O89),"Low",VLOOKUP(F89,'G-3 Multipliers'!$A$2:$E$134,4,FALSE))))</f>
        <v/>
      </c>
      <c r="X89" s="386" t="str">
        <f>IFERROR(IF(E89="","",VLOOKUP(W89, 'G-3 Multipliers'!$P$2:$Q$6,2,FALSE)),"")</f>
        <v/>
      </c>
      <c r="Y89" s="516"/>
      <c r="Z89" s="724" t="str">
        <f>IF(Y89="","",IF(VLOOKUP(Y89,'G-3 Multipliers'!$S$3:$T$10,2,FALSE)=0,"Spatial Data Missing ⚠",VLOOKUP(Y89,'G-3 Multipliers'!$S$3:$T$10,2,FALSE)))</f>
        <v/>
      </c>
      <c r="AA89" s="741" t="str">
        <f t="shared" si="9"/>
        <v/>
      </c>
      <c r="AB89" s="405" t="str">
        <f t="shared" si="10"/>
        <v/>
      </c>
      <c r="AC89" s="119"/>
      <c r="AD89" s="528"/>
      <c r="AE89" s="120"/>
      <c r="AF89" s="120"/>
    </row>
    <row r="90" spans="1:32" ht="15">
      <c r="A90" s="30" t="str">
        <f>IFERROR(INDEX('G-8 Condition Look up'!$I$4:$I$135,MATCH(F90,'G-8 Condition Look up'!$A$4:$A$135,0)),"")</f>
        <v/>
      </c>
      <c r="C90" s="75" t="str">
        <f>IFERROR(INDEX('G-1 All Habitats'!$AG$3:$AG$17,MATCH(D90,'G-1 All Habitats'!$AF$3:$AF$17,0)),"")</f>
        <v/>
      </c>
      <c r="D90" s="122"/>
      <c r="E90" s="165"/>
      <c r="F90" s="198" t="str">
        <f>IFERROR(INDEX('G-1 All Habitats'!$B$3:$B$135,MATCH(E90,'G-1 All Habitats'!$A$3:$A$135,0)),"")</f>
        <v/>
      </c>
      <c r="G90" s="300"/>
      <c r="H90" s="398" t="str">
        <f>IF(F90="","",VLOOKUP(F90,'G-1 All Habitats'!$B$2:$M$134,10,FALSE))</f>
        <v/>
      </c>
      <c r="I90" s="386" t="str">
        <f>IFERROR(VLOOKUP(H90,'G-1 All Habitats'!$V$3:$W$7,2,FALSE),"")</f>
        <v/>
      </c>
      <c r="J90" s="162"/>
      <c r="K90" s="386" t="str">
        <f>IFERROR(INDEX('G-8 Condition Look up'!$A$3:$H$135,MATCH(F90,'G-8 Condition Look up'!$A$3:$A$135,0),MATCH(J90,'G-8 Condition Look up'!$A$3:$H$3,0)),"")</f>
        <v/>
      </c>
      <c r="L90" s="114"/>
      <c r="M90" s="401" t="str">
        <f>IF(L90="","",IF(VLOOKUP(L90,'G-3 Multipliers'!$L$3:$N$6,2,FALSE)=0,"Spatial Data Missing ⚠",VLOOKUP(L90,'G-3 Multipliers'!$L$3:$N$6,2,FALSE)))</f>
        <v/>
      </c>
      <c r="N90" s="363" t="str">
        <f>IF(L90="","",IF(VLOOKUP(L90,'G-3 Multipliers'!$L$3:$N$6,3,FALSE)=0,"Spatial Data Missing ⚠",VLOOKUP(L90,'G-3 Multipliers'!$L$3:$N$6,3,FALSE)))</f>
        <v/>
      </c>
      <c r="O90" s="362" t="str">
        <f t="shared" si="6"/>
        <v/>
      </c>
      <c r="P90" s="159"/>
      <c r="Q90" s="159"/>
      <c r="R90" s="382" t="str">
        <f t="shared" si="7"/>
        <v/>
      </c>
      <c r="S90" s="404" t="str">
        <f t="shared" si="8"/>
        <v/>
      </c>
      <c r="T90" s="387" t="str">
        <f>IFERROR(IF(S90="Check Data ⚠","Check Data ⚠",VLOOKUP(S90,'G-4 Temporal multipliers'!$A$4:$C$37,3,FALSE)),"")</f>
        <v/>
      </c>
      <c r="U90" s="385" t="str">
        <f>IF(F90="","",VLOOKUP(F90,'G-3 Multipliers'!$A$2:$E$134,2,FALSE))</f>
        <v/>
      </c>
      <c r="V90" s="382" t="str">
        <f t="shared" si="11"/>
        <v/>
      </c>
      <c r="W90" s="382" t="str">
        <f>IF(E90="","",IF(AND(V90="Standard difficulty applied",O90&gt;P90),U90,IF(AND(V90="Low Difficulty - only applicable if all habitat created before losses ⚠",P90&gt;=O90),"Low",VLOOKUP(F90,'G-3 Multipliers'!$A$2:$E$134,4,FALSE))))</f>
        <v/>
      </c>
      <c r="X90" s="386" t="str">
        <f>IFERROR(IF(E90="","",VLOOKUP(W90, 'G-3 Multipliers'!$P$2:$Q$6,2,FALSE)),"")</f>
        <v/>
      </c>
      <c r="Y90" s="516"/>
      <c r="Z90" s="724" t="str">
        <f>IF(Y90="","",IF(VLOOKUP(Y90,'G-3 Multipliers'!$S$3:$T$10,2,FALSE)=0,"Spatial Data Missing ⚠",VLOOKUP(Y90,'G-3 Multipliers'!$S$3:$T$10,2,FALSE)))</f>
        <v/>
      </c>
      <c r="AA90" s="741" t="str">
        <f t="shared" si="9"/>
        <v/>
      </c>
      <c r="AB90" s="405" t="str">
        <f t="shared" si="10"/>
        <v/>
      </c>
      <c r="AC90" s="119"/>
      <c r="AD90" s="528"/>
      <c r="AE90" s="120"/>
      <c r="AF90" s="120"/>
    </row>
    <row r="91" spans="1:32" ht="15">
      <c r="A91" s="30" t="str">
        <f>IFERROR(INDEX('G-8 Condition Look up'!$I$4:$I$135,MATCH(F91,'G-8 Condition Look up'!$A$4:$A$135,0)),"")</f>
        <v/>
      </c>
      <c r="C91" s="75" t="str">
        <f>IFERROR(INDEX('G-1 All Habitats'!$AG$3:$AG$17,MATCH(D91,'G-1 All Habitats'!$AF$3:$AF$17,0)),"")</f>
        <v/>
      </c>
      <c r="D91" s="122"/>
      <c r="E91" s="165"/>
      <c r="F91" s="198" t="str">
        <f>IFERROR(INDEX('G-1 All Habitats'!$B$3:$B$135,MATCH(E91,'G-1 All Habitats'!$A$3:$A$135,0)),"")</f>
        <v/>
      </c>
      <c r="G91" s="300"/>
      <c r="H91" s="398" t="str">
        <f>IF(F91="","",VLOOKUP(F91,'G-1 All Habitats'!$B$2:$M$134,10,FALSE))</f>
        <v/>
      </c>
      <c r="I91" s="386" t="str">
        <f>IFERROR(VLOOKUP(H91,'G-1 All Habitats'!$V$3:$W$7,2,FALSE),"")</f>
        <v/>
      </c>
      <c r="J91" s="162"/>
      <c r="K91" s="386" t="str">
        <f>IFERROR(INDEX('G-8 Condition Look up'!$A$3:$H$135,MATCH(F91,'G-8 Condition Look up'!$A$3:$A$135,0),MATCH(J91,'G-8 Condition Look up'!$A$3:$H$3,0)),"")</f>
        <v/>
      </c>
      <c r="L91" s="114"/>
      <c r="M91" s="401" t="str">
        <f>IF(L91="","",IF(VLOOKUP(L91,'G-3 Multipliers'!$L$3:$N$6,2,FALSE)=0,"Spatial Data Missing ⚠",VLOOKUP(L91,'G-3 Multipliers'!$L$3:$N$6,2,FALSE)))</f>
        <v/>
      </c>
      <c r="N91" s="363" t="str">
        <f>IF(L91="","",IF(VLOOKUP(L91,'G-3 Multipliers'!$L$3:$N$6,3,FALSE)=0,"Spatial Data Missing ⚠",VLOOKUP(L91,'G-3 Multipliers'!$L$3:$N$6,3,FALSE)))</f>
        <v/>
      </c>
      <c r="O91" s="362" t="str">
        <f t="shared" si="6"/>
        <v/>
      </c>
      <c r="P91" s="159"/>
      <c r="Q91" s="159"/>
      <c r="R91" s="382" t="str">
        <f t="shared" si="7"/>
        <v/>
      </c>
      <c r="S91" s="404" t="str">
        <f t="shared" si="8"/>
        <v/>
      </c>
      <c r="T91" s="387" t="str">
        <f>IFERROR(IF(S91="Check Data ⚠","Check Data ⚠",VLOOKUP(S91,'G-4 Temporal multipliers'!$A$4:$C$37,3,FALSE)),"")</f>
        <v/>
      </c>
      <c r="U91" s="385" t="str">
        <f>IF(F91="","",VLOOKUP(F91,'G-3 Multipliers'!$A$2:$E$134,2,FALSE))</f>
        <v/>
      </c>
      <c r="V91" s="382" t="str">
        <f t="shared" si="11"/>
        <v/>
      </c>
      <c r="W91" s="382" t="str">
        <f>IF(E91="","",IF(AND(V91="Standard difficulty applied",O91&gt;P91),U91,IF(AND(V91="Low Difficulty - only applicable if all habitat created before losses ⚠",P91&gt;=O91),"Low",VLOOKUP(F91,'G-3 Multipliers'!$A$2:$E$134,4,FALSE))))</f>
        <v/>
      </c>
      <c r="X91" s="386" t="str">
        <f>IFERROR(IF(E91="","",VLOOKUP(W91, 'G-3 Multipliers'!$P$2:$Q$6,2,FALSE)),"")</f>
        <v/>
      </c>
      <c r="Y91" s="516"/>
      <c r="Z91" s="724" t="str">
        <f>IF(Y91="","",IF(VLOOKUP(Y91,'G-3 Multipliers'!$S$3:$T$10,2,FALSE)=0,"Spatial Data Missing ⚠",VLOOKUP(Y91,'G-3 Multipliers'!$S$3:$T$10,2,FALSE)))</f>
        <v/>
      </c>
      <c r="AA91" s="741" t="str">
        <f t="shared" si="9"/>
        <v/>
      </c>
      <c r="AB91" s="405" t="str">
        <f t="shared" si="10"/>
        <v/>
      </c>
      <c r="AC91" s="119"/>
      <c r="AD91" s="528"/>
      <c r="AE91" s="120"/>
      <c r="AF91" s="120"/>
    </row>
    <row r="92" spans="1:32" ht="15">
      <c r="A92" s="30" t="str">
        <f>IFERROR(INDEX('G-8 Condition Look up'!$I$4:$I$135,MATCH(F92,'G-8 Condition Look up'!$A$4:$A$135,0)),"")</f>
        <v/>
      </c>
      <c r="C92" s="75" t="str">
        <f>IFERROR(INDEX('G-1 All Habitats'!$AG$3:$AG$17,MATCH(D92,'G-1 All Habitats'!$AF$3:$AF$17,0)),"")</f>
        <v/>
      </c>
      <c r="D92" s="122"/>
      <c r="E92" s="165"/>
      <c r="F92" s="198" t="str">
        <f>IFERROR(INDEX('G-1 All Habitats'!$B$3:$B$135,MATCH(E92,'G-1 All Habitats'!$A$3:$A$135,0)),"")</f>
        <v/>
      </c>
      <c r="G92" s="300"/>
      <c r="H92" s="398" t="str">
        <f>IF(F92="","",VLOOKUP(F92,'G-1 All Habitats'!$B$2:$M$134,10,FALSE))</f>
        <v/>
      </c>
      <c r="I92" s="386" t="str">
        <f>IFERROR(VLOOKUP(H92,'G-1 All Habitats'!$V$3:$W$7,2,FALSE),"")</f>
        <v/>
      </c>
      <c r="J92" s="162"/>
      <c r="K92" s="386" t="str">
        <f>IFERROR(INDEX('G-8 Condition Look up'!$A$3:$H$135,MATCH(F92,'G-8 Condition Look up'!$A$3:$A$135,0),MATCH(J92,'G-8 Condition Look up'!$A$3:$H$3,0)),"")</f>
        <v/>
      </c>
      <c r="L92" s="114"/>
      <c r="M92" s="401" t="str">
        <f>IF(L92="","",IF(VLOOKUP(L92,'G-3 Multipliers'!$L$3:$N$6,2,FALSE)=0,"Spatial Data Missing ⚠",VLOOKUP(L92,'G-3 Multipliers'!$L$3:$N$6,2,FALSE)))</f>
        <v/>
      </c>
      <c r="N92" s="363" t="str">
        <f>IF(L92="","",IF(VLOOKUP(L92,'G-3 Multipliers'!$L$3:$N$6,3,FALSE)=0,"Spatial Data Missing ⚠",VLOOKUP(L92,'G-3 Multipliers'!$L$3:$N$6,3,FALSE)))</f>
        <v/>
      </c>
      <c r="O92" s="362" t="str">
        <f t="shared" si="6"/>
        <v/>
      </c>
      <c r="P92" s="159"/>
      <c r="Q92" s="159"/>
      <c r="R92" s="382" t="str">
        <f t="shared" si="7"/>
        <v/>
      </c>
      <c r="S92" s="404" t="str">
        <f t="shared" si="8"/>
        <v/>
      </c>
      <c r="T92" s="387" t="str">
        <f>IFERROR(IF(S92="Check Data ⚠","Check Data ⚠",VLOOKUP(S92,'G-4 Temporal multipliers'!$A$4:$C$37,3,FALSE)),"")</f>
        <v/>
      </c>
      <c r="U92" s="385" t="str">
        <f>IF(F92="","",VLOOKUP(F92,'G-3 Multipliers'!$A$2:$E$134,2,FALSE))</f>
        <v/>
      </c>
      <c r="V92" s="382" t="str">
        <f t="shared" si="11"/>
        <v/>
      </c>
      <c r="W92" s="382" t="str">
        <f>IF(E92="","",IF(AND(V92="Standard difficulty applied",O92&gt;P92),U92,IF(AND(V92="Low Difficulty - only applicable if all habitat created before losses ⚠",P92&gt;=O92),"Low",VLOOKUP(F92,'G-3 Multipliers'!$A$2:$E$134,4,FALSE))))</f>
        <v/>
      </c>
      <c r="X92" s="386" t="str">
        <f>IFERROR(IF(E92="","",VLOOKUP(W92, 'G-3 Multipliers'!$P$2:$Q$6,2,FALSE)),"")</f>
        <v/>
      </c>
      <c r="Y92" s="516"/>
      <c r="Z92" s="724" t="str">
        <f>IF(Y92="","",IF(VLOOKUP(Y92,'G-3 Multipliers'!$S$3:$T$10,2,FALSE)=0,"Spatial Data Missing ⚠",VLOOKUP(Y92,'G-3 Multipliers'!$S$3:$T$10,2,FALSE)))</f>
        <v/>
      </c>
      <c r="AA92" s="741" t="str">
        <f t="shared" si="9"/>
        <v/>
      </c>
      <c r="AB92" s="405" t="str">
        <f t="shared" si="10"/>
        <v/>
      </c>
      <c r="AC92" s="119"/>
      <c r="AD92" s="528"/>
      <c r="AE92" s="120"/>
      <c r="AF92" s="120"/>
    </row>
    <row r="93" spans="1:32" ht="15">
      <c r="A93" s="30" t="str">
        <f>IFERROR(INDEX('G-8 Condition Look up'!$I$4:$I$135,MATCH(F93,'G-8 Condition Look up'!$A$4:$A$135,0)),"")</f>
        <v/>
      </c>
      <c r="C93" s="75" t="str">
        <f>IFERROR(INDEX('G-1 All Habitats'!$AG$3:$AG$17,MATCH(D93,'G-1 All Habitats'!$AF$3:$AF$17,0)),"")</f>
        <v/>
      </c>
      <c r="D93" s="122"/>
      <c r="E93" s="165"/>
      <c r="F93" s="198" t="str">
        <f>IFERROR(INDEX('G-1 All Habitats'!$B$3:$B$135,MATCH(E93,'G-1 All Habitats'!$A$3:$A$135,0)),"")</f>
        <v/>
      </c>
      <c r="G93" s="300"/>
      <c r="H93" s="398" t="str">
        <f>IF(F93="","",VLOOKUP(F93,'G-1 All Habitats'!$B$2:$M$134,10,FALSE))</f>
        <v/>
      </c>
      <c r="I93" s="386" t="str">
        <f>IFERROR(VLOOKUP(H93,'G-1 All Habitats'!$V$3:$W$7,2,FALSE),"")</f>
        <v/>
      </c>
      <c r="J93" s="162"/>
      <c r="K93" s="386" t="str">
        <f>IFERROR(INDEX('G-8 Condition Look up'!$A$3:$H$135,MATCH(F93,'G-8 Condition Look up'!$A$3:$A$135,0),MATCH(J93,'G-8 Condition Look up'!$A$3:$H$3,0)),"")</f>
        <v/>
      </c>
      <c r="L93" s="114"/>
      <c r="M93" s="401" t="str">
        <f>IF(L93="","",IF(VLOOKUP(L93,'G-3 Multipliers'!$L$3:$N$6,2,FALSE)=0,"Spatial Data Missing ⚠",VLOOKUP(L93,'G-3 Multipliers'!$L$3:$N$6,2,FALSE)))</f>
        <v/>
      </c>
      <c r="N93" s="363" t="str">
        <f>IF(L93="","",IF(VLOOKUP(L93,'G-3 Multipliers'!$L$3:$N$6,3,FALSE)=0,"Spatial Data Missing ⚠",VLOOKUP(L93,'G-3 Multipliers'!$L$3:$N$6,3,FALSE)))</f>
        <v/>
      </c>
      <c r="O93" s="362" t="str">
        <f t="shared" si="6"/>
        <v/>
      </c>
      <c r="P93" s="159"/>
      <c r="Q93" s="159"/>
      <c r="R93" s="382" t="str">
        <f t="shared" si="7"/>
        <v/>
      </c>
      <c r="S93" s="404" t="str">
        <f t="shared" si="8"/>
        <v/>
      </c>
      <c r="T93" s="387" t="str">
        <f>IFERROR(IF(S93="Check Data ⚠","Check Data ⚠",VLOOKUP(S93,'G-4 Temporal multipliers'!$A$4:$C$37,3,FALSE)),"")</f>
        <v/>
      </c>
      <c r="U93" s="385" t="str">
        <f>IF(F93="","",VLOOKUP(F93,'G-3 Multipliers'!$A$2:$E$134,2,FALSE))</f>
        <v/>
      </c>
      <c r="V93" s="382" t="str">
        <f t="shared" si="11"/>
        <v/>
      </c>
      <c r="W93" s="382" t="str">
        <f>IF(E93="","",IF(AND(V93="Standard difficulty applied",O93&gt;P93),U93,IF(AND(V93="Low Difficulty - only applicable if all habitat created before losses ⚠",P93&gt;=O93),"Low",VLOOKUP(F93,'G-3 Multipliers'!$A$2:$E$134,4,FALSE))))</f>
        <v/>
      </c>
      <c r="X93" s="386" t="str">
        <f>IFERROR(IF(E93="","",VLOOKUP(W93, 'G-3 Multipliers'!$P$2:$Q$6,2,FALSE)),"")</f>
        <v/>
      </c>
      <c r="Y93" s="516"/>
      <c r="Z93" s="724" t="str">
        <f>IF(Y93="","",IF(VLOOKUP(Y93,'G-3 Multipliers'!$S$3:$T$10,2,FALSE)=0,"Spatial Data Missing ⚠",VLOOKUP(Y93,'G-3 Multipliers'!$S$3:$T$10,2,FALSE)))</f>
        <v/>
      </c>
      <c r="AA93" s="741" t="str">
        <f t="shared" si="9"/>
        <v/>
      </c>
      <c r="AB93" s="405" t="str">
        <f t="shared" si="10"/>
        <v/>
      </c>
      <c r="AC93" s="119"/>
      <c r="AD93" s="528"/>
      <c r="AE93" s="120"/>
      <c r="AF93" s="120"/>
    </row>
    <row r="94" spans="1:32" ht="15">
      <c r="A94" s="30" t="str">
        <f>IFERROR(INDEX('G-8 Condition Look up'!$I$4:$I$135,MATCH(F94,'G-8 Condition Look up'!$A$4:$A$135,0)),"")</f>
        <v/>
      </c>
      <c r="C94" s="75" t="str">
        <f>IFERROR(INDEX('G-1 All Habitats'!$AG$3:$AG$17,MATCH(D94,'G-1 All Habitats'!$AF$3:$AF$17,0)),"")</f>
        <v/>
      </c>
      <c r="D94" s="122"/>
      <c r="E94" s="165"/>
      <c r="F94" s="198" t="str">
        <f>IFERROR(INDEX('G-1 All Habitats'!$B$3:$B$135,MATCH(E94,'G-1 All Habitats'!$A$3:$A$135,0)),"")</f>
        <v/>
      </c>
      <c r="G94" s="300"/>
      <c r="H94" s="398" t="str">
        <f>IF(F94="","",VLOOKUP(F94,'G-1 All Habitats'!$B$2:$M$134,10,FALSE))</f>
        <v/>
      </c>
      <c r="I94" s="386" t="str">
        <f>IFERROR(VLOOKUP(H94,'G-1 All Habitats'!$V$3:$W$7,2,FALSE),"")</f>
        <v/>
      </c>
      <c r="J94" s="162"/>
      <c r="K94" s="386" t="str">
        <f>IFERROR(INDEX('G-8 Condition Look up'!$A$3:$H$135,MATCH(F94,'G-8 Condition Look up'!$A$3:$A$135,0),MATCH(J94,'G-8 Condition Look up'!$A$3:$H$3,0)),"")</f>
        <v/>
      </c>
      <c r="L94" s="114"/>
      <c r="M94" s="401" t="str">
        <f>IF(L94="","",IF(VLOOKUP(L94,'G-3 Multipliers'!$L$3:$N$6,2,FALSE)=0,"Spatial Data Missing ⚠",VLOOKUP(L94,'G-3 Multipliers'!$L$3:$N$6,2,FALSE)))</f>
        <v/>
      </c>
      <c r="N94" s="363" t="str">
        <f>IF(L94="","",IF(VLOOKUP(L94,'G-3 Multipliers'!$L$3:$N$6,3,FALSE)=0,"Spatial Data Missing ⚠",VLOOKUP(L94,'G-3 Multipliers'!$L$3:$N$6,3,FALSE)))</f>
        <v/>
      </c>
      <c r="O94" s="362" t="str">
        <f t="shared" si="6"/>
        <v/>
      </c>
      <c r="P94" s="159"/>
      <c r="Q94" s="159"/>
      <c r="R94" s="382" t="str">
        <f t="shared" si="7"/>
        <v/>
      </c>
      <c r="S94" s="404" t="str">
        <f t="shared" si="8"/>
        <v/>
      </c>
      <c r="T94" s="387" t="str">
        <f>IFERROR(IF(S94="Check Data ⚠","Check Data ⚠",VLOOKUP(S94,'G-4 Temporal multipliers'!$A$4:$C$37,3,FALSE)),"")</f>
        <v/>
      </c>
      <c r="U94" s="385" t="str">
        <f>IF(F94="","",VLOOKUP(F94,'G-3 Multipliers'!$A$2:$E$134,2,FALSE))</f>
        <v/>
      </c>
      <c r="V94" s="382" t="str">
        <f t="shared" si="11"/>
        <v/>
      </c>
      <c r="W94" s="382" t="str">
        <f>IF(E94="","",IF(AND(V94="Standard difficulty applied",O94&gt;P94),U94,IF(AND(V94="Low Difficulty - only applicable if all habitat created before losses ⚠",P94&gt;=O94),"Low",VLOOKUP(F94,'G-3 Multipliers'!$A$2:$E$134,4,FALSE))))</f>
        <v/>
      </c>
      <c r="X94" s="386" t="str">
        <f>IFERROR(IF(E94="","",VLOOKUP(W94, 'G-3 Multipliers'!$P$2:$Q$6,2,FALSE)),"")</f>
        <v/>
      </c>
      <c r="Y94" s="516"/>
      <c r="Z94" s="724" t="str">
        <f>IF(Y94="","",IF(VLOOKUP(Y94,'G-3 Multipliers'!$S$3:$T$10,2,FALSE)=0,"Spatial Data Missing ⚠",VLOOKUP(Y94,'G-3 Multipliers'!$S$3:$T$10,2,FALSE)))</f>
        <v/>
      </c>
      <c r="AA94" s="741" t="str">
        <f t="shared" si="9"/>
        <v/>
      </c>
      <c r="AB94" s="405" t="str">
        <f t="shared" si="10"/>
        <v/>
      </c>
      <c r="AC94" s="119"/>
      <c r="AD94" s="528"/>
      <c r="AE94" s="120"/>
      <c r="AF94" s="120"/>
    </row>
    <row r="95" spans="1:32" ht="15">
      <c r="A95" s="30" t="str">
        <f>IFERROR(INDEX('G-8 Condition Look up'!$I$4:$I$135,MATCH(F95,'G-8 Condition Look up'!$A$4:$A$135,0)),"")</f>
        <v/>
      </c>
      <c r="C95" s="75" t="str">
        <f>IFERROR(INDEX('G-1 All Habitats'!$AG$3:$AG$17,MATCH(D95,'G-1 All Habitats'!$AF$3:$AF$17,0)),"")</f>
        <v/>
      </c>
      <c r="D95" s="122"/>
      <c r="E95" s="165"/>
      <c r="F95" s="198" t="str">
        <f>IFERROR(INDEX('G-1 All Habitats'!$B$3:$B$135,MATCH(E95,'G-1 All Habitats'!$A$3:$A$135,0)),"")</f>
        <v/>
      </c>
      <c r="G95" s="300"/>
      <c r="H95" s="398" t="str">
        <f>IF(F95="","",VLOOKUP(F95,'G-1 All Habitats'!$B$2:$M$134,10,FALSE))</f>
        <v/>
      </c>
      <c r="I95" s="386" t="str">
        <f>IFERROR(VLOOKUP(H95,'G-1 All Habitats'!$V$3:$W$7,2,FALSE),"")</f>
        <v/>
      </c>
      <c r="J95" s="162"/>
      <c r="K95" s="386" t="str">
        <f>IFERROR(INDEX('G-8 Condition Look up'!$A$3:$H$135,MATCH(F95,'G-8 Condition Look up'!$A$3:$A$135,0),MATCH(J95,'G-8 Condition Look up'!$A$3:$H$3,0)),"")</f>
        <v/>
      </c>
      <c r="L95" s="114"/>
      <c r="M95" s="401" t="str">
        <f>IF(L95="","",IF(VLOOKUP(L95,'G-3 Multipliers'!$L$3:$N$6,2,FALSE)=0,"Spatial Data Missing ⚠",VLOOKUP(L95,'G-3 Multipliers'!$L$3:$N$6,2,FALSE)))</f>
        <v/>
      </c>
      <c r="N95" s="363" t="str">
        <f>IF(L95="","",IF(VLOOKUP(L95,'G-3 Multipliers'!$L$3:$N$6,3,FALSE)=0,"Spatial Data Missing ⚠",VLOOKUP(L95,'G-3 Multipliers'!$L$3:$N$6,3,FALSE)))</f>
        <v/>
      </c>
      <c r="O95" s="362" t="str">
        <f t="shared" si="6"/>
        <v/>
      </c>
      <c r="P95" s="159"/>
      <c r="Q95" s="159"/>
      <c r="R95" s="382" t="str">
        <f t="shared" si="7"/>
        <v/>
      </c>
      <c r="S95" s="404" t="str">
        <f t="shared" si="8"/>
        <v/>
      </c>
      <c r="T95" s="387" t="str">
        <f>IFERROR(IF(S95="Check Data ⚠","Check Data ⚠",VLOOKUP(S95,'G-4 Temporal multipliers'!$A$4:$C$37,3,FALSE)),"")</f>
        <v/>
      </c>
      <c r="U95" s="385" t="str">
        <f>IF(F95="","",VLOOKUP(F95,'G-3 Multipliers'!$A$2:$E$134,2,FALSE))</f>
        <v/>
      </c>
      <c r="V95" s="382" t="str">
        <f t="shared" si="11"/>
        <v/>
      </c>
      <c r="W95" s="382" t="str">
        <f>IF(E95="","",IF(AND(V95="Standard difficulty applied",O95&gt;P95),U95,IF(AND(V95="Low Difficulty - only applicable if all habitat created before losses ⚠",P95&gt;=O95),"Low",VLOOKUP(F95,'G-3 Multipliers'!$A$2:$E$134,4,FALSE))))</f>
        <v/>
      </c>
      <c r="X95" s="386" t="str">
        <f>IFERROR(IF(E95="","",VLOOKUP(W95, 'G-3 Multipliers'!$P$2:$Q$6,2,FALSE)),"")</f>
        <v/>
      </c>
      <c r="Y95" s="516"/>
      <c r="Z95" s="724" t="str">
        <f>IF(Y95="","",IF(VLOOKUP(Y95,'G-3 Multipliers'!$S$3:$T$10,2,FALSE)=0,"Spatial Data Missing ⚠",VLOOKUP(Y95,'G-3 Multipliers'!$S$3:$T$10,2,FALSE)))</f>
        <v/>
      </c>
      <c r="AA95" s="741" t="str">
        <f t="shared" si="9"/>
        <v/>
      </c>
      <c r="AB95" s="405" t="str">
        <f t="shared" si="10"/>
        <v/>
      </c>
      <c r="AC95" s="119"/>
      <c r="AD95" s="528"/>
      <c r="AE95" s="120"/>
      <c r="AF95" s="120"/>
    </row>
    <row r="96" spans="1:32" ht="15">
      <c r="A96" s="30" t="str">
        <f>IFERROR(INDEX('G-8 Condition Look up'!$I$4:$I$135,MATCH(F96,'G-8 Condition Look up'!$A$4:$A$135,0)),"")</f>
        <v/>
      </c>
      <c r="C96" s="75" t="str">
        <f>IFERROR(INDEX('G-1 All Habitats'!$AG$3:$AG$17,MATCH(D96,'G-1 All Habitats'!$AF$3:$AF$17,0)),"")</f>
        <v/>
      </c>
      <c r="D96" s="122"/>
      <c r="E96" s="165"/>
      <c r="F96" s="198" t="str">
        <f>IFERROR(INDEX('G-1 All Habitats'!$B$3:$B$135,MATCH(E96,'G-1 All Habitats'!$A$3:$A$135,0)),"")</f>
        <v/>
      </c>
      <c r="G96" s="300"/>
      <c r="H96" s="398" t="str">
        <f>IF(F96="","",VLOOKUP(F96,'G-1 All Habitats'!$B$2:$M$134,10,FALSE))</f>
        <v/>
      </c>
      <c r="I96" s="386" t="str">
        <f>IFERROR(VLOOKUP(H96,'G-1 All Habitats'!$V$3:$W$7,2,FALSE),"")</f>
        <v/>
      </c>
      <c r="J96" s="162"/>
      <c r="K96" s="386" t="str">
        <f>IFERROR(INDEX('G-8 Condition Look up'!$A$3:$H$135,MATCH(F96,'G-8 Condition Look up'!$A$3:$A$135,0),MATCH(J96,'G-8 Condition Look up'!$A$3:$H$3,0)),"")</f>
        <v/>
      </c>
      <c r="L96" s="114"/>
      <c r="M96" s="401" t="str">
        <f>IF(L96="","",IF(VLOOKUP(L96,'G-3 Multipliers'!$L$3:$N$6,2,FALSE)=0,"Spatial Data Missing ⚠",VLOOKUP(L96,'G-3 Multipliers'!$L$3:$N$6,2,FALSE)))</f>
        <v/>
      </c>
      <c r="N96" s="363" t="str">
        <f>IF(L96="","",IF(VLOOKUP(L96,'G-3 Multipliers'!$L$3:$N$6,3,FALSE)=0,"Spatial Data Missing ⚠",VLOOKUP(L96,'G-3 Multipliers'!$L$3:$N$6,3,FALSE)))</f>
        <v/>
      </c>
      <c r="O96" s="362" t="str">
        <f t="shared" si="6"/>
        <v/>
      </c>
      <c r="P96" s="159"/>
      <c r="Q96" s="159"/>
      <c r="R96" s="382" t="str">
        <f t="shared" si="7"/>
        <v/>
      </c>
      <c r="S96" s="404" t="str">
        <f t="shared" si="8"/>
        <v/>
      </c>
      <c r="T96" s="387" t="str">
        <f>IFERROR(IF(S96="Check Data ⚠","Check Data ⚠",VLOOKUP(S96,'G-4 Temporal multipliers'!$A$4:$C$37,3,FALSE)),"")</f>
        <v/>
      </c>
      <c r="U96" s="385" t="str">
        <f>IF(F96="","",VLOOKUP(F96,'G-3 Multipliers'!$A$2:$E$134,2,FALSE))</f>
        <v/>
      </c>
      <c r="V96" s="382" t="str">
        <f t="shared" si="11"/>
        <v/>
      </c>
      <c r="W96" s="382" t="str">
        <f>IF(E96="","",IF(AND(V96="Standard difficulty applied",O96&gt;P96),U96,IF(AND(V96="Low Difficulty - only applicable if all habitat created before losses ⚠",P96&gt;=O96),"Low",VLOOKUP(F96,'G-3 Multipliers'!$A$2:$E$134,4,FALSE))))</f>
        <v/>
      </c>
      <c r="X96" s="386" t="str">
        <f>IFERROR(IF(E96="","",VLOOKUP(W96, 'G-3 Multipliers'!$P$2:$Q$6,2,FALSE)),"")</f>
        <v/>
      </c>
      <c r="Y96" s="516"/>
      <c r="Z96" s="724" t="str">
        <f>IF(Y96="","",IF(VLOOKUP(Y96,'G-3 Multipliers'!$S$3:$T$10,2,FALSE)=0,"Spatial Data Missing ⚠",VLOOKUP(Y96,'G-3 Multipliers'!$S$3:$T$10,2,FALSE)))</f>
        <v/>
      </c>
      <c r="AA96" s="741" t="str">
        <f t="shared" si="9"/>
        <v/>
      </c>
      <c r="AB96" s="405" t="str">
        <f t="shared" si="10"/>
        <v/>
      </c>
      <c r="AC96" s="119"/>
      <c r="AD96" s="528"/>
      <c r="AE96" s="120"/>
      <c r="AF96" s="120"/>
    </row>
    <row r="97" spans="1:32" ht="15">
      <c r="A97" s="30" t="str">
        <f>IFERROR(INDEX('G-8 Condition Look up'!$I$4:$I$135,MATCH(F97,'G-8 Condition Look up'!$A$4:$A$135,0)),"")</f>
        <v/>
      </c>
      <c r="C97" s="75" t="str">
        <f>IFERROR(INDEX('G-1 All Habitats'!$AG$3:$AG$17,MATCH(D97,'G-1 All Habitats'!$AF$3:$AF$17,0)),"")</f>
        <v/>
      </c>
      <c r="D97" s="122"/>
      <c r="E97" s="165"/>
      <c r="F97" s="198" t="str">
        <f>IFERROR(INDEX('G-1 All Habitats'!$B$3:$B$135,MATCH(E97,'G-1 All Habitats'!$A$3:$A$135,0)),"")</f>
        <v/>
      </c>
      <c r="G97" s="300"/>
      <c r="H97" s="398" t="str">
        <f>IF(F97="","",VLOOKUP(F97,'G-1 All Habitats'!$B$2:$M$134,10,FALSE))</f>
        <v/>
      </c>
      <c r="I97" s="386" t="str">
        <f>IFERROR(VLOOKUP(H97,'G-1 All Habitats'!$V$3:$W$7,2,FALSE),"")</f>
        <v/>
      </c>
      <c r="J97" s="162"/>
      <c r="K97" s="386" t="str">
        <f>IFERROR(INDEX('G-8 Condition Look up'!$A$3:$H$135,MATCH(F97,'G-8 Condition Look up'!$A$3:$A$135,0),MATCH(J97,'G-8 Condition Look up'!$A$3:$H$3,0)),"")</f>
        <v/>
      </c>
      <c r="L97" s="114"/>
      <c r="M97" s="401" t="str">
        <f>IF(L97="","",IF(VLOOKUP(L97,'G-3 Multipliers'!$L$3:$N$6,2,FALSE)=0,"Spatial Data Missing ⚠",VLOOKUP(L97,'G-3 Multipliers'!$L$3:$N$6,2,FALSE)))</f>
        <v/>
      </c>
      <c r="N97" s="363" t="str">
        <f>IF(L97="","",IF(VLOOKUP(L97,'G-3 Multipliers'!$L$3:$N$6,3,FALSE)=0,"Spatial Data Missing ⚠",VLOOKUP(L97,'G-3 Multipliers'!$L$3:$N$6,3,FALSE)))</f>
        <v/>
      </c>
      <c r="O97" s="362" t="str">
        <f t="shared" si="6"/>
        <v/>
      </c>
      <c r="P97" s="159"/>
      <c r="Q97" s="159"/>
      <c r="R97" s="382" t="str">
        <f t="shared" si="7"/>
        <v/>
      </c>
      <c r="S97" s="404" t="str">
        <f t="shared" si="8"/>
        <v/>
      </c>
      <c r="T97" s="387" t="str">
        <f>IFERROR(IF(S97="Check Data ⚠","Check Data ⚠",VLOOKUP(S97,'G-4 Temporal multipliers'!$A$4:$C$37,3,FALSE)),"")</f>
        <v/>
      </c>
      <c r="U97" s="385" t="str">
        <f>IF(F97="","",VLOOKUP(F97,'G-3 Multipliers'!$A$2:$E$134,2,FALSE))</f>
        <v/>
      </c>
      <c r="V97" s="382" t="str">
        <f t="shared" si="11"/>
        <v/>
      </c>
      <c r="W97" s="382" t="str">
        <f>IF(E97="","",IF(AND(V97="Standard difficulty applied",O97&gt;P97),U97,IF(AND(V97="Low Difficulty - only applicable if all habitat created before losses ⚠",P97&gt;=O97),"Low",VLOOKUP(F97,'G-3 Multipliers'!$A$2:$E$134,4,FALSE))))</f>
        <v/>
      </c>
      <c r="X97" s="386" t="str">
        <f>IFERROR(IF(E97="","",VLOOKUP(W97, 'G-3 Multipliers'!$P$2:$Q$6,2,FALSE)),"")</f>
        <v/>
      </c>
      <c r="Y97" s="516"/>
      <c r="Z97" s="724" t="str">
        <f>IF(Y97="","",IF(VLOOKUP(Y97,'G-3 Multipliers'!$S$3:$T$10,2,FALSE)=0,"Spatial Data Missing ⚠",VLOOKUP(Y97,'G-3 Multipliers'!$S$3:$T$10,2,FALSE)))</f>
        <v/>
      </c>
      <c r="AA97" s="741" t="str">
        <f t="shared" si="9"/>
        <v/>
      </c>
      <c r="AB97" s="405" t="str">
        <f t="shared" si="10"/>
        <v/>
      </c>
      <c r="AC97" s="119"/>
      <c r="AD97" s="528"/>
      <c r="AE97" s="120"/>
      <c r="AF97" s="120"/>
    </row>
    <row r="98" spans="1:32" ht="15">
      <c r="A98" s="30" t="str">
        <f>IFERROR(INDEX('G-8 Condition Look up'!$I$4:$I$135,MATCH(F98,'G-8 Condition Look up'!$A$4:$A$135,0)),"")</f>
        <v/>
      </c>
      <c r="C98" s="75" t="str">
        <f>IFERROR(INDEX('G-1 All Habitats'!$AG$3:$AG$17,MATCH(D98,'G-1 All Habitats'!$AF$3:$AF$17,0)),"")</f>
        <v/>
      </c>
      <c r="D98" s="122"/>
      <c r="E98" s="165"/>
      <c r="F98" s="198" t="str">
        <f>IFERROR(INDEX('G-1 All Habitats'!$B$3:$B$135,MATCH(E98,'G-1 All Habitats'!$A$3:$A$135,0)),"")</f>
        <v/>
      </c>
      <c r="G98" s="300"/>
      <c r="H98" s="398" t="str">
        <f>IF(F98="","",VLOOKUP(F98,'G-1 All Habitats'!$B$2:$M$134,10,FALSE))</f>
        <v/>
      </c>
      <c r="I98" s="386" t="str">
        <f>IFERROR(VLOOKUP(H98,'G-1 All Habitats'!$V$3:$W$7,2,FALSE),"")</f>
        <v/>
      </c>
      <c r="J98" s="162"/>
      <c r="K98" s="386" t="str">
        <f>IFERROR(INDEX('G-8 Condition Look up'!$A$3:$H$135,MATCH(F98,'G-8 Condition Look up'!$A$3:$A$135,0),MATCH(J98,'G-8 Condition Look up'!$A$3:$H$3,0)),"")</f>
        <v/>
      </c>
      <c r="L98" s="114"/>
      <c r="M98" s="401" t="str">
        <f>IF(L98="","",IF(VLOOKUP(L98,'G-3 Multipliers'!$L$3:$N$6,2,FALSE)=0,"Spatial Data Missing ⚠",VLOOKUP(L98,'G-3 Multipliers'!$L$3:$N$6,2,FALSE)))</f>
        <v/>
      </c>
      <c r="N98" s="363" t="str">
        <f>IF(L98="","",IF(VLOOKUP(L98,'G-3 Multipliers'!$L$3:$N$6,3,FALSE)=0,"Spatial Data Missing ⚠",VLOOKUP(L98,'G-3 Multipliers'!$L$3:$N$6,3,FALSE)))</f>
        <v/>
      </c>
      <c r="O98" s="362" t="str">
        <f t="shared" si="6"/>
        <v/>
      </c>
      <c r="P98" s="159"/>
      <c r="Q98" s="159"/>
      <c r="R98" s="382" t="str">
        <f t="shared" si="7"/>
        <v/>
      </c>
      <c r="S98" s="404" t="str">
        <f t="shared" si="8"/>
        <v/>
      </c>
      <c r="T98" s="387" t="str">
        <f>IFERROR(IF(S98="Check Data ⚠","Check Data ⚠",VLOOKUP(S98,'G-4 Temporal multipliers'!$A$4:$C$37,3,FALSE)),"")</f>
        <v/>
      </c>
      <c r="U98" s="385" t="str">
        <f>IF(F98="","",VLOOKUP(F98,'G-3 Multipliers'!$A$2:$E$134,2,FALSE))</f>
        <v/>
      </c>
      <c r="V98" s="382" t="str">
        <f t="shared" si="11"/>
        <v/>
      </c>
      <c r="W98" s="382" t="str">
        <f>IF(E98="","",IF(AND(V98="Standard difficulty applied",O98&gt;P98),U98,IF(AND(V98="Low Difficulty - only applicable if all habitat created before losses ⚠",P98&gt;=O98),"Low",VLOOKUP(F98,'G-3 Multipliers'!$A$2:$E$134,4,FALSE))))</f>
        <v/>
      </c>
      <c r="X98" s="386" t="str">
        <f>IFERROR(IF(E98="","",VLOOKUP(W98, 'G-3 Multipliers'!$P$2:$Q$6,2,FALSE)),"")</f>
        <v/>
      </c>
      <c r="Y98" s="516"/>
      <c r="Z98" s="724" t="str">
        <f>IF(Y98="","",IF(VLOOKUP(Y98,'G-3 Multipliers'!$S$3:$T$10,2,FALSE)=0,"Spatial Data Missing ⚠",VLOOKUP(Y98,'G-3 Multipliers'!$S$3:$T$10,2,FALSE)))</f>
        <v/>
      </c>
      <c r="AA98" s="741" t="str">
        <f t="shared" si="9"/>
        <v/>
      </c>
      <c r="AB98" s="405" t="str">
        <f t="shared" si="10"/>
        <v/>
      </c>
      <c r="AC98" s="119"/>
      <c r="AD98" s="528"/>
      <c r="AE98" s="120"/>
      <c r="AF98" s="120"/>
    </row>
    <row r="99" spans="1:32" ht="15">
      <c r="A99" s="30" t="str">
        <f>IFERROR(INDEX('G-8 Condition Look up'!$I$4:$I$135,MATCH(F99,'G-8 Condition Look up'!$A$4:$A$135,0)),"")</f>
        <v/>
      </c>
      <c r="C99" s="75" t="str">
        <f>IFERROR(INDEX('G-1 All Habitats'!$AG$3:$AG$17,MATCH(D99,'G-1 All Habitats'!$AF$3:$AF$17,0)),"")</f>
        <v/>
      </c>
      <c r="D99" s="122"/>
      <c r="E99" s="165"/>
      <c r="F99" s="198" t="str">
        <f>IFERROR(INDEX('G-1 All Habitats'!$B$3:$B$135,MATCH(E99,'G-1 All Habitats'!$A$3:$A$135,0)),"")</f>
        <v/>
      </c>
      <c r="G99" s="300"/>
      <c r="H99" s="398" t="str">
        <f>IF(F99="","",VLOOKUP(F99,'G-1 All Habitats'!$B$2:$M$134,10,FALSE))</f>
        <v/>
      </c>
      <c r="I99" s="386" t="str">
        <f>IFERROR(VLOOKUP(H99,'G-1 All Habitats'!$V$3:$W$7,2,FALSE),"")</f>
        <v/>
      </c>
      <c r="J99" s="162"/>
      <c r="K99" s="386" t="str">
        <f>IFERROR(INDEX('G-8 Condition Look up'!$A$3:$H$135,MATCH(F99,'G-8 Condition Look up'!$A$3:$A$135,0),MATCH(J99,'G-8 Condition Look up'!$A$3:$H$3,0)),"")</f>
        <v/>
      </c>
      <c r="L99" s="114"/>
      <c r="M99" s="401" t="str">
        <f>IF(L99="","",IF(VLOOKUP(L99,'G-3 Multipliers'!$L$3:$N$6,2,FALSE)=0,"Spatial Data Missing ⚠",VLOOKUP(L99,'G-3 Multipliers'!$L$3:$N$6,2,FALSE)))</f>
        <v/>
      </c>
      <c r="N99" s="363" t="str">
        <f>IF(L99="","",IF(VLOOKUP(L99,'G-3 Multipliers'!$L$3:$N$6,3,FALSE)=0,"Spatial Data Missing ⚠",VLOOKUP(L99,'G-3 Multipliers'!$L$3:$N$6,3,FALSE)))</f>
        <v/>
      </c>
      <c r="O99" s="362" t="str">
        <f t="shared" si="6"/>
        <v/>
      </c>
      <c r="P99" s="159"/>
      <c r="Q99" s="159"/>
      <c r="R99" s="382" t="str">
        <f t="shared" si="7"/>
        <v/>
      </c>
      <c r="S99" s="404" t="str">
        <f t="shared" si="8"/>
        <v/>
      </c>
      <c r="T99" s="387" t="str">
        <f>IFERROR(IF(S99="Check Data ⚠","Check Data ⚠",VLOOKUP(S99,'G-4 Temporal multipliers'!$A$4:$C$37,3,FALSE)),"")</f>
        <v/>
      </c>
      <c r="U99" s="385" t="str">
        <f>IF(F99="","",VLOOKUP(F99,'G-3 Multipliers'!$A$2:$E$134,2,FALSE))</f>
        <v/>
      </c>
      <c r="V99" s="382" t="str">
        <f t="shared" si="11"/>
        <v/>
      </c>
      <c r="W99" s="382" t="str">
        <f>IF(E99="","",IF(AND(V99="Standard difficulty applied",O99&gt;P99),U99,IF(AND(V99="Low Difficulty - only applicable if all habitat created before losses ⚠",P99&gt;=O99),"Low",VLOOKUP(F99,'G-3 Multipliers'!$A$2:$E$134,4,FALSE))))</f>
        <v/>
      </c>
      <c r="X99" s="386" t="str">
        <f>IFERROR(IF(E99="","",VLOOKUP(W99, 'G-3 Multipliers'!$P$2:$Q$6,2,FALSE)),"")</f>
        <v/>
      </c>
      <c r="Y99" s="516"/>
      <c r="Z99" s="724" t="str">
        <f>IF(Y99="","",IF(VLOOKUP(Y99,'G-3 Multipliers'!$S$3:$T$10,2,FALSE)=0,"Spatial Data Missing ⚠",VLOOKUP(Y99,'G-3 Multipliers'!$S$3:$T$10,2,FALSE)))</f>
        <v/>
      </c>
      <c r="AA99" s="741" t="str">
        <f t="shared" si="9"/>
        <v/>
      </c>
      <c r="AB99" s="405" t="str">
        <f t="shared" si="10"/>
        <v/>
      </c>
      <c r="AC99" s="119"/>
      <c r="AD99" s="528"/>
      <c r="AE99" s="120"/>
      <c r="AF99" s="120"/>
    </row>
    <row r="100" spans="1:32" ht="15">
      <c r="A100" s="30" t="str">
        <f>IFERROR(INDEX('G-8 Condition Look up'!$I$4:$I$135,MATCH(F100,'G-8 Condition Look up'!$A$4:$A$135,0)),"")</f>
        <v/>
      </c>
      <c r="C100" s="75" t="str">
        <f>IFERROR(INDEX('G-1 All Habitats'!$AG$3:$AG$17,MATCH(D100,'G-1 All Habitats'!$AF$3:$AF$17,0)),"")</f>
        <v/>
      </c>
      <c r="D100" s="122"/>
      <c r="E100" s="165"/>
      <c r="F100" s="198" t="str">
        <f>IFERROR(INDEX('G-1 All Habitats'!$B$3:$B$135,MATCH(E100,'G-1 All Habitats'!$A$3:$A$135,0)),"")</f>
        <v/>
      </c>
      <c r="G100" s="300"/>
      <c r="H100" s="398" t="str">
        <f>IF(F100="","",VLOOKUP(F100,'G-1 All Habitats'!$B$2:$M$134,10,FALSE))</f>
        <v/>
      </c>
      <c r="I100" s="386" t="str">
        <f>IFERROR(VLOOKUP(H100,'G-1 All Habitats'!$V$3:$W$7,2,FALSE),"")</f>
        <v/>
      </c>
      <c r="J100" s="162"/>
      <c r="K100" s="386" t="str">
        <f>IFERROR(INDEX('G-8 Condition Look up'!$A$3:$H$135,MATCH(F100,'G-8 Condition Look up'!$A$3:$A$135,0),MATCH(J100,'G-8 Condition Look up'!$A$3:$H$3,0)),"")</f>
        <v/>
      </c>
      <c r="L100" s="114"/>
      <c r="M100" s="401" t="str">
        <f>IF(L100="","",IF(VLOOKUP(L100,'G-3 Multipliers'!$L$3:$N$6,2,FALSE)=0,"Spatial Data Missing ⚠",VLOOKUP(L100,'G-3 Multipliers'!$L$3:$N$6,2,FALSE)))</f>
        <v/>
      </c>
      <c r="N100" s="363" t="str">
        <f>IF(L100="","",IF(VLOOKUP(L100,'G-3 Multipliers'!$L$3:$N$6,3,FALSE)=0,"Spatial Data Missing ⚠",VLOOKUP(L100,'G-3 Multipliers'!$L$3:$N$6,3,FALSE)))</f>
        <v/>
      </c>
      <c r="O100" s="362" t="str">
        <f t="shared" si="6"/>
        <v/>
      </c>
      <c r="P100" s="159"/>
      <c r="Q100" s="159"/>
      <c r="R100" s="382" t="str">
        <f t="shared" si="7"/>
        <v/>
      </c>
      <c r="S100" s="404" t="str">
        <f t="shared" si="8"/>
        <v/>
      </c>
      <c r="T100" s="387" t="str">
        <f>IFERROR(IF(S100="Check Data ⚠","Check Data ⚠",VLOOKUP(S100,'G-4 Temporal multipliers'!$A$4:$C$37,3,FALSE)),"")</f>
        <v/>
      </c>
      <c r="U100" s="385" t="str">
        <f>IF(F100="","",VLOOKUP(F100,'G-3 Multipliers'!$A$2:$E$134,2,FALSE))</f>
        <v/>
      </c>
      <c r="V100" s="382" t="str">
        <f t="shared" si="11"/>
        <v/>
      </c>
      <c r="W100" s="382" t="str">
        <f>IF(E100="","",IF(AND(V100="Standard difficulty applied",O100&gt;P100),U100,IF(AND(V100="Low Difficulty - only applicable if all habitat created before losses ⚠",P100&gt;=O100),"Low",VLOOKUP(F100,'G-3 Multipliers'!$A$2:$E$134,4,FALSE))))</f>
        <v/>
      </c>
      <c r="X100" s="386" t="str">
        <f>IFERROR(IF(E100="","",VLOOKUP(W100, 'G-3 Multipliers'!$P$2:$Q$6,2,FALSE)),"")</f>
        <v/>
      </c>
      <c r="Y100" s="516"/>
      <c r="Z100" s="724" t="str">
        <f>IF(Y100="","",IF(VLOOKUP(Y100,'G-3 Multipliers'!$S$3:$T$10,2,FALSE)=0,"Spatial Data Missing ⚠",VLOOKUP(Y100,'G-3 Multipliers'!$S$3:$T$10,2,FALSE)))</f>
        <v/>
      </c>
      <c r="AA100" s="741" t="str">
        <f t="shared" si="9"/>
        <v/>
      </c>
      <c r="AB100" s="405" t="str">
        <f t="shared" si="10"/>
        <v/>
      </c>
      <c r="AC100" s="119"/>
      <c r="AD100" s="528"/>
      <c r="AE100" s="120"/>
      <c r="AF100" s="120"/>
    </row>
    <row r="101" spans="1:32" ht="15">
      <c r="A101" s="30" t="str">
        <f>IFERROR(INDEX('G-8 Condition Look up'!$I$4:$I$135,MATCH(F101,'G-8 Condition Look up'!$A$4:$A$135,0)),"")</f>
        <v/>
      </c>
      <c r="C101" s="75" t="str">
        <f>IFERROR(INDEX('G-1 All Habitats'!$AG$3:$AG$17,MATCH(D101,'G-1 All Habitats'!$AF$3:$AF$17,0)),"")</f>
        <v/>
      </c>
      <c r="D101" s="122"/>
      <c r="E101" s="165"/>
      <c r="F101" s="198" t="str">
        <f>IFERROR(INDEX('G-1 All Habitats'!$B$3:$B$135,MATCH(E101,'G-1 All Habitats'!$A$3:$A$135,0)),"")</f>
        <v/>
      </c>
      <c r="G101" s="300"/>
      <c r="H101" s="398" t="str">
        <f>IF(F101="","",VLOOKUP(F101,'G-1 All Habitats'!$B$2:$M$134,10,FALSE))</f>
        <v/>
      </c>
      <c r="I101" s="386" t="str">
        <f>IFERROR(VLOOKUP(H101,'G-1 All Habitats'!$V$3:$W$7,2,FALSE),"")</f>
        <v/>
      </c>
      <c r="J101" s="162"/>
      <c r="K101" s="386" t="str">
        <f>IFERROR(INDEX('G-8 Condition Look up'!$A$3:$H$135,MATCH(F101,'G-8 Condition Look up'!$A$3:$A$135,0),MATCH(J101,'G-8 Condition Look up'!$A$3:$H$3,0)),"")</f>
        <v/>
      </c>
      <c r="L101" s="114"/>
      <c r="M101" s="401" t="str">
        <f>IF(L101="","",IF(VLOOKUP(L101,'G-3 Multipliers'!$L$3:$N$6,2,FALSE)=0,"Spatial Data Missing ⚠",VLOOKUP(L101,'G-3 Multipliers'!$L$3:$N$6,2,FALSE)))</f>
        <v/>
      </c>
      <c r="N101" s="363" t="str">
        <f>IF(L101="","",IF(VLOOKUP(L101,'G-3 Multipliers'!$L$3:$N$6,3,FALSE)=0,"Spatial Data Missing ⚠",VLOOKUP(L101,'G-3 Multipliers'!$L$3:$N$6,3,FALSE)))</f>
        <v/>
      </c>
      <c r="O101" s="362" t="str">
        <f t="shared" si="6"/>
        <v/>
      </c>
      <c r="P101" s="159"/>
      <c r="Q101" s="159"/>
      <c r="R101" s="382" t="str">
        <f t="shared" si="7"/>
        <v/>
      </c>
      <c r="S101" s="404" t="str">
        <f t="shared" si="8"/>
        <v/>
      </c>
      <c r="T101" s="387" t="str">
        <f>IFERROR(IF(S101="Check Data ⚠","Check Data ⚠",VLOOKUP(S101,'G-4 Temporal multipliers'!$A$4:$C$37,3,FALSE)),"")</f>
        <v/>
      </c>
      <c r="U101" s="385" t="str">
        <f>IF(F101="","",VLOOKUP(F101,'G-3 Multipliers'!$A$2:$E$134,2,FALSE))</f>
        <v/>
      </c>
      <c r="V101" s="382" t="str">
        <f t="shared" si="11"/>
        <v/>
      </c>
      <c r="W101" s="382" t="str">
        <f>IF(E101="","",IF(AND(V101="Standard difficulty applied",O101&gt;P101),U101,IF(AND(V101="Low Difficulty - only applicable if all habitat created before losses ⚠",P101&gt;=O101),"Low",VLOOKUP(F101,'G-3 Multipliers'!$A$2:$E$134,4,FALSE))))</f>
        <v/>
      </c>
      <c r="X101" s="386" t="str">
        <f>IFERROR(IF(E101="","",VLOOKUP(W101, 'G-3 Multipliers'!$P$2:$Q$6,2,FALSE)),"")</f>
        <v/>
      </c>
      <c r="Y101" s="516"/>
      <c r="Z101" s="724" t="str">
        <f>IF(Y101="","",IF(VLOOKUP(Y101,'G-3 Multipliers'!$S$3:$T$10,2,FALSE)=0,"Spatial Data Missing ⚠",VLOOKUP(Y101,'G-3 Multipliers'!$S$3:$T$10,2,FALSE)))</f>
        <v/>
      </c>
      <c r="AA101" s="741" t="str">
        <f t="shared" si="9"/>
        <v/>
      </c>
      <c r="AB101" s="405" t="str">
        <f t="shared" si="10"/>
        <v/>
      </c>
      <c r="AC101" s="119"/>
      <c r="AD101" s="528"/>
      <c r="AE101" s="120"/>
      <c r="AF101" s="120"/>
    </row>
    <row r="102" spans="1:32" ht="15">
      <c r="A102" s="30" t="str">
        <f>IFERROR(INDEX('G-8 Condition Look up'!$I$4:$I$135,MATCH(F102,'G-8 Condition Look up'!$A$4:$A$135,0)),"")</f>
        <v/>
      </c>
      <c r="C102" s="75" t="str">
        <f>IFERROR(INDEX('G-1 All Habitats'!$AG$3:$AG$17,MATCH(D102,'G-1 All Habitats'!$AF$3:$AF$17,0)),"")</f>
        <v/>
      </c>
      <c r="D102" s="122"/>
      <c r="E102" s="165"/>
      <c r="F102" s="198" t="str">
        <f>IFERROR(INDEX('G-1 All Habitats'!$B$3:$B$135,MATCH(E102,'G-1 All Habitats'!$A$3:$A$135,0)),"")</f>
        <v/>
      </c>
      <c r="G102" s="300"/>
      <c r="H102" s="398" t="str">
        <f>IF(F102="","",VLOOKUP(F102,'G-1 All Habitats'!$B$2:$M$134,10,FALSE))</f>
        <v/>
      </c>
      <c r="I102" s="386" t="str">
        <f>IFERROR(VLOOKUP(H102,'G-1 All Habitats'!$V$3:$W$7,2,FALSE),"")</f>
        <v/>
      </c>
      <c r="J102" s="162"/>
      <c r="K102" s="386" t="str">
        <f>IFERROR(INDEX('G-8 Condition Look up'!$A$3:$H$135,MATCH(F102,'G-8 Condition Look up'!$A$3:$A$135,0),MATCH(J102,'G-8 Condition Look up'!$A$3:$H$3,0)),"")</f>
        <v/>
      </c>
      <c r="L102" s="114"/>
      <c r="M102" s="401" t="str">
        <f>IF(L102="","",IF(VLOOKUP(L102,'G-3 Multipliers'!$L$3:$N$6,2,FALSE)=0,"Spatial Data Missing ⚠",VLOOKUP(L102,'G-3 Multipliers'!$L$3:$N$6,2,FALSE)))</f>
        <v/>
      </c>
      <c r="N102" s="363" t="str">
        <f>IF(L102="","",IF(VLOOKUP(L102,'G-3 Multipliers'!$L$3:$N$6,3,FALSE)=0,"Spatial Data Missing ⚠",VLOOKUP(L102,'G-3 Multipliers'!$L$3:$N$6,3,FALSE)))</f>
        <v/>
      </c>
      <c r="O102" s="362" t="str">
        <f t="shared" si="6"/>
        <v/>
      </c>
      <c r="P102" s="159"/>
      <c r="Q102" s="159"/>
      <c r="R102" s="382" t="str">
        <f t="shared" si="7"/>
        <v/>
      </c>
      <c r="S102" s="404" t="str">
        <f t="shared" si="8"/>
        <v/>
      </c>
      <c r="T102" s="387" t="str">
        <f>IFERROR(IF(S102="Check Data ⚠","Check Data ⚠",VLOOKUP(S102,'G-4 Temporal multipliers'!$A$4:$C$37,3,FALSE)),"")</f>
        <v/>
      </c>
      <c r="U102" s="385" t="str">
        <f>IF(F102="","",VLOOKUP(F102,'G-3 Multipliers'!$A$2:$E$134,2,FALSE))</f>
        <v/>
      </c>
      <c r="V102" s="382" t="str">
        <f t="shared" si="11"/>
        <v/>
      </c>
      <c r="W102" s="382" t="str">
        <f>IF(E102="","",IF(AND(V102="Standard difficulty applied",O102&gt;P102),U102,IF(AND(V102="Low Difficulty - only applicable if all habitat created before losses ⚠",P102&gt;=O102),"Low",VLOOKUP(F102,'G-3 Multipliers'!$A$2:$E$134,4,FALSE))))</f>
        <v/>
      </c>
      <c r="X102" s="386" t="str">
        <f>IFERROR(IF(E102="","",VLOOKUP(W102, 'G-3 Multipliers'!$P$2:$Q$6,2,FALSE)),"")</f>
        <v/>
      </c>
      <c r="Y102" s="516"/>
      <c r="Z102" s="724" t="str">
        <f>IF(Y102="","",IF(VLOOKUP(Y102,'G-3 Multipliers'!$S$3:$T$10,2,FALSE)=0,"Spatial Data Missing ⚠",VLOOKUP(Y102,'G-3 Multipliers'!$S$3:$T$10,2,FALSE)))</f>
        <v/>
      </c>
      <c r="AA102" s="741" t="str">
        <f t="shared" si="9"/>
        <v/>
      </c>
      <c r="AB102" s="405" t="str">
        <f t="shared" si="10"/>
        <v/>
      </c>
      <c r="AC102" s="119"/>
      <c r="AD102" s="528"/>
      <c r="AE102" s="120"/>
      <c r="AF102" s="120"/>
    </row>
    <row r="103" spans="1:32" ht="15">
      <c r="A103" s="30" t="str">
        <f>IFERROR(INDEX('G-8 Condition Look up'!$I$4:$I$135,MATCH(F103,'G-8 Condition Look up'!$A$4:$A$135,0)),"")</f>
        <v/>
      </c>
      <c r="C103" s="75" t="str">
        <f>IFERROR(INDEX('G-1 All Habitats'!$AG$3:$AG$17,MATCH(D103,'G-1 All Habitats'!$AF$3:$AF$17,0)),"")</f>
        <v/>
      </c>
      <c r="D103" s="122"/>
      <c r="E103" s="165"/>
      <c r="F103" s="198" t="str">
        <f>IFERROR(INDEX('G-1 All Habitats'!$B$3:$B$135,MATCH(E103,'G-1 All Habitats'!$A$3:$A$135,0)),"")</f>
        <v/>
      </c>
      <c r="G103" s="300"/>
      <c r="H103" s="398" t="str">
        <f>IF(F103="","",VLOOKUP(F103,'G-1 All Habitats'!$B$2:$M$134,10,FALSE))</f>
        <v/>
      </c>
      <c r="I103" s="386" t="str">
        <f>IFERROR(VLOOKUP(H103,'G-1 All Habitats'!$V$3:$W$7,2,FALSE),"")</f>
        <v/>
      </c>
      <c r="J103" s="162"/>
      <c r="K103" s="386" t="str">
        <f>IFERROR(INDEX('G-8 Condition Look up'!$A$3:$H$135,MATCH(F103,'G-8 Condition Look up'!$A$3:$A$135,0),MATCH(J103,'G-8 Condition Look up'!$A$3:$H$3,0)),"")</f>
        <v/>
      </c>
      <c r="L103" s="114"/>
      <c r="M103" s="401" t="str">
        <f>IF(L103="","",IF(VLOOKUP(L103,'G-3 Multipliers'!$L$3:$N$6,2,FALSE)=0,"Spatial Data Missing ⚠",VLOOKUP(L103,'G-3 Multipliers'!$L$3:$N$6,2,FALSE)))</f>
        <v/>
      </c>
      <c r="N103" s="363" t="str">
        <f>IF(L103="","",IF(VLOOKUP(L103,'G-3 Multipliers'!$L$3:$N$6,3,FALSE)=0,"Spatial Data Missing ⚠",VLOOKUP(L103,'G-3 Multipliers'!$L$3:$N$6,3,FALSE)))</f>
        <v/>
      </c>
      <c r="O103" s="362" t="str">
        <f t="shared" si="6"/>
        <v/>
      </c>
      <c r="P103" s="159"/>
      <c r="Q103" s="159"/>
      <c r="R103" s="382" t="str">
        <f t="shared" si="7"/>
        <v/>
      </c>
      <c r="S103" s="404" t="str">
        <f t="shared" si="8"/>
        <v/>
      </c>
      <c r="T103" s="387" t="str">
        <f>IFERROR(IF(S103="Check Data ⚠","Check Data ⚠",VLOOKUP(S103,'G-4 Temporal multipliers'!$A$4:$C$37,3,FALSE)),"")</f>
        <v/>
      </c>
      <c r="U103" s="385" t="str">
        <f>IF(F103="","",VLOOKUP(F103,'G-3 Multipliers'!$A$2:$E$134,2,FALSE))</f>
        <v/>
      </c>
      <c r="V103" s="382" t="str">
        <f t="shared" si="11"/>
        <v/>
      </c>
      <c r="W103" s="382" t="str">
        <f>IF(E103="","",IF(AND(V103="Standard difficulty applied",O103&gt;P103),U103,IF(AND(V103="Low Difficulty - only applicable if all habitat created before losses ⚠",P103&gt;=O103),"Low",VLOOKUP(F103,'G-3 Multipliers'!$A$2:$E$134,4,FALSE))))</f>
        <v/>
      </c>
      <c r="X103" s="386" t="str">
        <f>IFERROR(IF(E103="","",VLOOKUP(W103, 'G-3 Multipliers'!$P$2:$Q$6,2,FALSE)),"")</f>
        <v/>
      </c>
      <c r="Y103" s="516"/>
      <c r="Z103" s="724" t="str">
        <f>IF(Y103="","",IF(VLOOKUP(Y103,'G-3 Multipliers'!$S$3:$T$10,2,FALSE)=0,"Spatial Data Missing ⚠",VLOOKUP(Y103,'G-3 Multipliers'!$S$3:$T$10,2,FALSE)))</f>
        <v/>
      </c>
      <c r="AA103" s="741" t="str">
        <f t="shared" si="9"/>
        <v/>
      </c>
      <c r="AB103" s="405" t="str">
        <f t="shared" si="10"/>
        <v/>
      </c>
      <c r="AC103" s="119"/>
      <c r="AD103" s="528"/>
      <c r="AE103" s="120"/>
      <c r="AF103" s="120"/>
    </row>
    <row r="104" spans="1:32" ht="15">
      <c r="A104" s="30" t="str">
        <f>IFERROR(INDEX('G-8 Condition Look up'!$I$4:$I$135,MATCH(F104,'G-8 Condition Look up'!$A$4:$A$135,0)),"")</f>
        <v/>
      </c>
      <c r="C104" s="75" t="str">
        <f>IFERROR(INDEX('G-1 All Habitats'!$AG$3:$AG$17,MATCH(D104,'G-1 All Habitats'!$AF$3:$AF$17,0)),"")</f>
        <v/>
      </c>
      <c r="D104" s="122"/>
      <c r="E104" s="165"/>
      <c r="F104" s="198" t="str">
        <f>IFERROR(INDEX('G-1 All Habitats'!$B$3:$B$135,MATCH(E104,'G-1 All Habitats'!$A$3:$A$135,0)),"")</f>
        <v/>
      </c>
      <c r="G104" s="300"/>
      <c r="H104" s="398" t="str">
        <f>IF(F104="","",VLOOKUP(F104,'G-1 All Habitats'!$B$2:$M$134,10,FALSE))</f>
        <v/>
      </c>
      <c r="I104" s="386" t="str">
        <f>IFERROR(VLOOKUP(H104,'G-1 All Habitats'!$V$3:$W$7,2,FALSE),"")</f>
        <v/>
      </c>
      <c r="J104" s="162"/>
      <c r="K104" s="386" t="str">
        <f>IFERROR(INDEX('G-8 Condition Look up'!$A$3:$H$135,MATCH(F104,'G-8 Condition Look up'!$A$3:$A$135,0),MATCH(J104,'G-8 Condition Look up'!$A$3:$H$3,0)),"")</f>
        <v/>
      </c>
      <c r="L104" s="114"/>
      <c r="M104" s="401" t="str">
        <f>IF(L104="","",IF(VLOOKUP(L104,'G-3 Multipliers'!$L$3:$N$6,2,FALSE)=0,"Spatial Data Missing ⚠",VLOOKUP(L104,'G-3 Multipliers'!$L$3:$N$6,2,FALSE)))</f>
        <v/>
      </c>
      <c r="N104" s="363" t="str">
        <f>IF(L104="","",IF(VLOOKUP(L104,'G-3 Multipliers'!$L$3:$N$6,3,FALSE)=0,"Spatial Data Missing ⚠",VLOOKUP(L104,'G-3 Multipliers'!$L$3:$N$6,3,FALSE)))</f>
        <v/>
      </c>
      <c r="O104" s="362" t="str">
        <f t="shared" si="6"/>
        <v/>
      </c>
      <c r="P104" s="159"/>
      <c r="Q104" s="159"/>
      <c r="R104" s="382" t="str">
        <f t="shared" si="7"/>
        <v/>
      </c>
      <c r="S104" s="404" t="str">
        <f t="shared" si="8"/>
        <v/>
      </c>
      <c r="T104" s="387" t="str">
        <f>IFERROR(IF(S104="Check Data ⚠","Check Data ⚠",VLOOKUP(S104,'G-4 Temporal multipliers'!$A$4:$C$37,3,FALSE)),"")</f>
        <v/>
      </c>
      <c r="U104" s="385" t="str">
        <f>IF(F104="","",VLOOKUP(F104,'G-3 Multipliers'!$A$2:$E$134,2,FALSE))</f>
        <v/>
      </c>
      <c r="V104" s="382" t="str">
        <f t="shared" si="11"/>
        <v/>
      </c>
      <c r="W104" s="382" t="str">
        <f>IF(E104="","",IF(AND(V104="Standard difficulty applied",O104&gt;P104),U104,IF(AND(V104="Low Difficulty - only applicable if all habitat created before losses ⚠",P104&gt;=O104),"Low",VLOOKUP(F104,'G-3 Multipliers'!$A$2:$E$134,4,FALSE))))</f>
        <v/>
      </c>
      <c r="X104" s="386" t="str">
        <f>IFERROR(IF(E104="","",VLOOKUP(W104, 'G-3 Multipliers'!$P$2:$Q$6,2,FALSE)),"")</f>
        <v/>
      </c>
      <c r="Y104" s="516"/>
      <c r="Z104" s="724" t="str">
        <f>IF(Y104="","",IF(VLOOKUP(Y104,'G-3 Multipliers'!$S$3:$T$10,2,FALSE)=0,"Spatial Data Missing ⚠",VLOOKUP(Y104,'G-3 Multipliers'!$S$3:$T$10,2,FALSE)))</f>
        <v/>
      </c>
      <c r="AA104" s="741" t="str">
        <f t="shared" si="9"/>
        <v/>
      </c>
      <c r="AB104" s="405" t="str">
        <f t="shared" si="10"/>
        <v/>
      </c>
      <c r="AC104" s="119"/>
      <c r="AD104" s="528"/>
      <c r="AE104" s="120"/>
      <c r="AF104" s="120"/>
    </row>
    <row r="105" spans="1:32" ht="15">
      <c r="A105" s="30" t="str">
        <f>IFERROR(INDEX('G-8 Condition Look up'!$I$4:$I$135,MATCH(F105,'G-8 Condition Look up'!$A$4:$A$135,0)),"")</f>
        <v/>
      </c>
      <c r="C105" s="75" t="str">
        <f>IFERROR(INDEX('G-1 All Habitats'!$AG$3:$AG$17,MATCH(D105,'G-1 All Habitats'!$AF$3:$AF$17,0)),"")</f>
        <v/>
      </c>
      <c r="D105" s="122"/>
      <c r="E105" s="165"/>
      <c r="F105" s="198" t="str">
        <f>IFERROR(INDEX('G-1 All Habitats'!$B$3:$B$135,MATCH(E105,'G-1 All Habitats'!$A$3:$A$135,0)),"")</f>
        <v/>
      </c>
      <c r="G105" s="300"/>
      <c r="H105" s="398" t="str">
        <f>IF(F105="","",VLOOKUP(F105,'G-1 All Habitats'!$B$2:$M$134,10,FALSE))</f>
        <v/>
      </c>
      <c r="I105" s="386" t="str">
        <f>IFERROR(VLOOKUP(H105,'G-1 All Habitats'!$V$3:$W$7,2,FALSE),"")</f>
        <v/>
      </c>
      <c r="J105" s="162"/>
      <c r="K105" s="386" t="str">
        <f>IFERROR(INDEX('G-8 Condition Look up'!$A$3:$H$135,MATCH(F105,'G-8 Condition Look up'!$A$3:$A$135,0),MATCH(J105,'G-8 Condition Look up'!$A$3:$H$3,0)),"")</f>
        <v/>
      </c>
      <c r="L105" s="114"/>
      <c r="M105" s="401" t="str">
        <f>IF(L105="","",IF(VLOOKUP(L105,'G-3 Multipliers'!$L$3:$N$6,2,FALSE)=0,"Spatial Data Missing ⚠",VLOOKUP(L105,'G-3 Multipliers'!$L$3:$N$6,2,FALSE)))</f>
        <v/>
      </c>
      <c r="N105" s="363" t="str">
        <f>IF(L105="","",IF(VLOOKUP(L105,'G-3 Multipliers'!$L$3:$N$6,3,FALSE)=0,"Spatial Data Missing ⚠",VLOOKUP(L105,'G-3 Multipliers'!$L$3:$N$6,3,FALSE)))</f>
        <v/>
      </c>
      <c r="O105" s="362" t="str">
        <f t="shared" si="6"/>
        <v/>
      </c>
      <c r="P105" s="159"/>
      <c r="Q105" s="159"/>
      <c r="R105" s="382" t="str">
        <f t="shared" si="7"/>
        <v/>
      </c>
      <c r="S105" s="404" t="str">
        <f t="shared" si="8"/>
        <v/>
      </c>
      <c r="T105" s="387" t="str">
        <f>IFERROR(IF(S105="Check Data ⚠","Check Data ⚠",VLOOKUP(S105,'G-4 Temporal multipliers'!$A$4:$C$37,3,FALSE)),"")</f>
        <v/>
      </c>
      <c r="U105" s="385" t="str">
        <f>IF(F105="","",VLOOKUP(F105,'G-3 Multipliers'!$A$2:$E$134,2,FALSE))</f>
        <v/>
      </c>
      <c r="V105" s="382" t="str">
        <f t="shared" si="11"/>
        <v/>
      </c>
      <c r="W105" s="382" t="str">
        <f>IF(E105="","",IF(AND(V105="Standard difficulty applied",O105&gt;P105),U105,IF(AND(V105="Low Difficulty - only applicable if all habitat created before losses ⚠",P105&gt;=O105),"Low",VLOOKUP(F105,'G-3 Multipliers'!$A$2:$E$134,4,FALSE))))</f>
        <v/>
      </c>
      <c r="X105" s="386" t="str">
        <f>IFERROR(IF(E105="","",VLOOKUP(W105, 'G-3 Multipliers'!$P$2:$Q$6,2,FALSE)),"")</f>
        <v/>
      </c>
      <c r="Y105" s="516"/>
      <c r="Z105" s="724" t="str">
        <f>IF(Y105="","",IF(VLOOKUP(Y105,'G-3 Multipliers'!$S$3:$T$10,2,FALSE)=0,"Spatial Data Missing ⚠",VLOOKUP(Y105,'G-3 Multipliers'!$S$3:$T$10,2,FALSE)))</f>
        <v/>
      </c>
      <c r="AA105" s="741" t="str">
        <f t="shared" si="9"/>
        <v/>
      </c>
      <c r="AB105" s="405" t="str">
        <f t="shared" si="10"/>
        <v/>
      </c>
      <c r="AC105" s="119"/>
      <c r="AD105" s="528"/>
      <c r="AE105" s="120"/>
      <c r="AF105" s="120"/>
    </row>
    <row r="106" spans="1:32" ht="15">
      <c r="A106" s="30" t="str">
        <f>IFERROR(INDEX('G-8 Condition Look up'!$I$4:$I$135,MATCH(F106,'G-8 Condition Look up'!$A$4:$A$135,0)),"")</f>
        <v/>
      </c>
      <c r="C106" s="75" t="str">
        <f>IFERROR(INDEX('G-1 All Habitats'!$AG$3:$AG$17,MATCH(D106,'G-1 All Habitats'!$AF$3:$AF$17,0)),"")</f>
        <v/>
      </c>
      <c r="D106" s="122"/>
      <c r="E106" s="165"/>
      <c r="F106" s="198" t="str">
        <f>IFERROR(INDEX('G-1 All Habitats'!$B$3:$B$135,MATCH(E106,'G-1 All Habitats'!$A$3:$A$135,0)),"")</f>
        <v/>
      </c>
      <c r="G106" s="300"/>
      <c r="H106" s="398" t="str">
        <f>IF(F106="","",VLOOKUP(F106,'G-1 All Habitats'!$B$2:$M$134,10,FALSE))</f>
        <v/>
      </c>
      <c r="I106" s="386" t="str">
        <f>IFERROR(VLOOKUP(H106,'G-1 All Habitats'!$V$3:$W$7,2,FALSE),"")</f>
        <v/>
      </c>
      <c r="J106" s="162"/>
      <c r="K106" s="386" t="str">
        <f>IFERROR(INDEX('G-8 Condition Look up'!$A$3:$H$135,MATCH(F106,'G-8 Condition Look up'!$A$3:$A$135,0),MATCH(J106,'G-8 Condition Look up'!$A$3:$H$3,0)),"")</f>
        <v/>
      </c>
      <c r="L106" s="114"/>
      <c r="M106" s="401" t="str">
        <f>IF(L106="","",IF(VLOOKUP(L106,'G-3 Multipliers'!$L$3:$N$6,2,FALSE)=0,"Spatial Data Missing ⚠",VLOOKUP(L106,'G-3 Multipliers'!$L$3:$N$6,2,FALSE)))</f>
        <v/>
      </c>
      <c r="N106" s="363" t="str">
        <f>IF(L106="","",IF(VLOOKUP(L106,'G-3 Multipliers'!$L$3:$N$6,3,FALSE)=0,"Spatial Data Missing ⚠",VLOOKUP(L106,'G-3 Multipliers'!$L$3:$N$6,3,FALSE)))</f>
        <v/>
      </c>
      <c r="O106" s="362" t="str">
        <f t="shared" si="6"/>
        <v/>
      </c>
      <c r="P106" s="159"/>
      <c r="Q106" s="159"/>
      <c r="R106" s="382" t="str">
        <f t="shared" si="7"/>
        <v/>
      </c>
      <c r="S106" s="404" t="str">
        <f t="shared" si="8"/>
        <v/>
      </c>
      <c r="T106" s="387" t="str">
        <f>IFERROR(IF(S106="Check Data ⚠","Check Data ⚠",VLOOKUP(S106,'G-4 Temporal multipliers'!$A$4:$C$37,3,FALSE)),"")</f>
        <v/>
      </c>
      <c r="U106" s="385" t="str">
        <f>IF(F106="","",VLOOKUP(F106,'G-3 Multipliers'!$A$2:$E$134,2,FALSE))</f>
        <v/>
      </c>
      <c r="V106" s="382" t="str">
        <f t="shared" si="11"/>
        <v/>
      </c>
      <c r="W106" s="382" t="str">
        <f>IF(E106="","",IF(AND(V106="Standard difficulty applied",O106&gt;P106),U106,IF(AND(V106="Low Difficulty - only applicable if all habitat created before losses ⚠",P106&gt;=O106),"Low",VLOOKUP(F106,'G-3 Multipliers'!$A$2:$E$134,4,FALSE))))</f>
        <v/>
      </c>
      <c r="X106" s="386" t="str">
        <f>IFERROR(IF(E106="","",VLOOKUP(W106, 'G-3 Multipliers'!$P$2:$Q$6,2,FALSE)),"")</f>
        <v/>
      </c>
      <c r="Y106" s="516"/>
      <c r="Z106" s="724" t="str">
        <f>IF(Y106="","",IF(VLOOKUP(Y106,'G-3 Multipliers'!$S$3:$T$10,2,FALSE)=0,"Spatial Data Missing ⚠",VLOOKUP(Y106,'G-3 Multipliers'!$S$3:$T$10,2,FALSE)))</f>
        <v/>
      </c>
      <c r="AA106" s="741" t="str">
        <f t="shared" si="9"/>
        <v/>
      </c>
      <c r="AB106" s="405" t="str">
        <f t="shared" si="10"/>
        <v/>
      </c>
      <c r="AC106" s="119"/>
      <c r="AD106" s="528"/>
      <c r="AE106" s="120"/>
      <c r="AF106" s="120"/>
    </row>
    <row r="107" spans="1:32" ht="15">
      <c r="A107" s="30" t="str">
        <f>IFERROR(INDEX('G-8 Condition Look up'!$I$4:$I$135,MATCH(F107,'G-8 Condition Look up'!$A$4:$A$135,0)),"")</f>
        <v/>
      </c>
      <c r="C107" s="75" t="str">
        <f>IFERROR(INDEX('G-1 All Habitats'!$AG$3:$AG$17,MATCH(D107,'G-1 All Habitats'!$AF$3:$AF$17,0)),"")</f>
        <v/>
      </c>
      <c r="D107" s="122"/>
      <c r="E107" s="165"/>
      <c r="F107" s="198" t="str">
        <f>IFERROR(INDEX('G-1 All Habitats'!$B$3:$B$135,MATCH(E107,'G-1 All Habitats'!$A$3:$A$135,0)),"")</f>
        <v/>
      </c>
      <c r="G107" s="300"/>
      <c r="H107" s="398" t="str">
        <f>IF(F107="","",VLOOKUP(F107,'G-1 All Habitats'!$B$2:$M$134,10,FALSE))</f>
        <v/>
      </c>
      <c r="I107" s="386" t="str">
        <f>IFERROR(VLOOKUP(H107,'G-1 All Habitats'!$V$3:$W$7,2,FALSE),"")</f>
        <v/>
      </c>
      <c r="J107" s="162"/>
      <c r="K107" s="386" t="str">
        <f>IFERROR(INDEX('G-8 Condition Look up'!$A$3:$H$135,MATCH(F107,'G-8 Condition Look up'!$A$3:$A$135,0),MATCH(J107,'G-8 Condition Look up'!$A$3:$H$3,0)),"")</f>
        <v/>
      </c>
      <c r="L107" s="114"/>
      <c r="M107" s="401" t="str">
        <f>IF(L107="","",IF(VLOOKUP(L107,'G-3 Multipliers'!$L$3:$N$6,2,FALSE)=0,"Spatial Data Missing ⚠",VLOOKUP(L107,'G-3 Multipliers'!$L$3:$N$6,2,FALSE)))</f>
        <v/>
      </c>
      <c r="N107" s="363" t="str">
        <f>IF(L107="","",IF(VLOOKUP(L107,'G-3 Multipliers'!$L$3:$N$6,3,FALSE)=0,"Spatial Data Missing ⚠",VLOOKUP(L107,'G-3 Multipliers'!$L$3:$N$6,3,FALSE)))</f>
        <v/>
      </c>
      <c r="O107" s="362" t="str">
        <f t="shared" si="6"/>
        <v/>
      </c>
      <c r="P107" s="159"/>
      <c r="Q107" s="159"/>
      <c r="R107" s="382" t="str">
        <f t="shared" si="7"/>
        <v/>
      </c>
      <c r="S107" s="404" t="str">
        <f t="shared" si="8"/>
        <v/>
      </c>
      <c r="T107" s="387" t="str">
        <f>IFERROR(IF(S107="Check Data ⚠","Check Data ⚠",VLOOKUP(S107,'G-4 Temporal multipliers'!$A$4:$C$37,3,FALSE)),"")</f>
        <v/>
      </c>
      <c r="U107" s="385" t="str">
        <f>IF(F107="","",VLOOKUP(F107,'G-3 Multipliers'!$A$2:$E$134,2,FALSE))</f>
        <v/>
      </c>
      <c r="V107" s="382" t="str">
        <f t="shared" si="11"/>
        <v/>
      </c>
      <c r="W107" s="382" t="str">
        <f>IF(E107="","",IF(AND(V107="Standard difficulty applied",O107&gt;P107),U107,IF(AND(V107="Low Difficulty - only applicable if all habitat created before losses ⚠",P107&gt;=O107),"Low",VLOOKUP(F107,'G-3 Multipliers'!$A$2:$E$134,4,FALSE))))</f>
        <v/>
      </c>
      <c r="X107" s="386" t="str">
        <f>IFERROR(IF(E107="","",VLOOKUP(W107, 'G-3 Multipliers'!$P$2:$Q$6,2,FALSE)),"")</f>
        <v/>
      </c>
      <c r="Y107" s="516"/>
      <c r="Z107" s="724" t="str">
        <f>IF(Y107="","",IF(VLOOKUP(Y107,'G-3 Multipliers'!$S$3:$T$10,2,FALSE)=0,"Spatial Data Missing ⚠",VLOOKUP(Y107,'G-3 Multipliers'!$S$3:$T$10,2,FALSE)))</f>
        <v/>
      </c>
      <c r="AA107" s="741" t="str">
        <f t="shared" si="9"/>
        <v/>
      </c>
      <c r="AB107" s="405" t="str">
        <f t="shared" si="10"/>
        <v/>
      </c>
      <c r="AC107" s="119"/>
      <c r="AD107" s="528"/>
      <c r="AE107" s="120"/>
      <c r="AF107" s="120"/>
    </row>
    <row r="108" spans="1:32" ht="15">
      <c r="A108" s="30" t="str">
        <f>IFERROR(INDEX('G-8 Condition Look up'!$I$4:$I$135,MATCH(F108,'G-8 Condition Look up'!$A$4:$A$135,0)),"")</f>
        <v/>
      </c>
      <c r="C108" s="75" t="str">
        <f>IFERROR(INDEX('G-1 All Habitats'!$AG$3:$AG$17,MATCH(D108,'G-1 All Habitats'!$AF$3:$AF$17,0)),"")</f>
        <v/>
      </c>
      <c r="D108" s="122"/>
      <c r="E108" s="165"/>
      <c r="F108" s="198" t="str">
        <f>IFERROR(INDEX('G-1 All Habitats'!$B$3:$B$135,MATCH(E108,'G-1 All Habitats'!$A$3:$A$135,0)),"")</f>
        <v/>
      </c>
      <c r="G108" s="300"/>
      <c r="H108" s="398" t="str">
        <f>IF(F108="","",VLOOKUP(F108,'G-1 All Habitats'!$B$2:$M$134,10,FALSE))</f>
        <v/>
      </c>
      <c r="I108" s="386" t="str">
        <f>IFERROR(VLOOKUP(H108,'G-1 All Habitats'!$V$3:$W$7,2,FALSE),"")</f>
        <v/>
      </c>
      <c r="J108" s="162"/>
      <c r="K108" s="386" t="str">
        <f>IFERROR(INDEX('G-8 Condition Look up'!$A$3:$H$135,MATCH(F108,'G-8 Condition Look up'!$A$3:$A$135,0),MATCH(J108,'G-8 Condition Look up'!$A$3:$H$3,0)),"")</f>
        <v/>
      </c>
      <c r="L108" s="114"/>
      <c r="M108" s="401" t="str">
        <f>IF(L108="","",IF(VLOOKUP(L108,'G-3 Multipliers'!$L$3:$N$6,2,FALSE)=0,"Spatial Data Missing ⚠",VLOOKUP(L108,'G-3 Multipliers'!$L$3:$N$6,2,FALSE)))</f>
        <v/>
      </c>
      <c r="N108" s="363" t="str">
        <f>IF(L108="","",IF(VLOOKUP(L108,'G-3 Multipliers'!$L$3:$N$6,3,FALSE)=0,"Spatial Data Missing ⚠",VLOOKUP(L108,'G-3 Multipliers'!$L$3:$N$6,3,FALSE)))</f>
        <v/>
      </c>
      <c r="O108" s="362" t="str">
        <f t="shared" si="6"/>
        <v/>
      </c>
      <c r="P108" s="159"/>
      <c r="Q108" s="159"/>
      <c r="R108" s="382" t="str">
        <f t="shared" si="7"/>
        <v/>
      </c>
      <c r="S108" s="404" t="str">
        <f t="shared" si="8"/>
        <v/>
      </c>
      <c r="T108" s="387" t="str">
        <f>IFERROR(IF(S108="Check Data ⚠","Check Data ⚠",VLOOKUP(S108,'G-4 Temporal multipliers'!$A$4:$C$37,3,FALSE)),"")</f>
        <v/>
      </c>
      <c r="U108" s="385" t="str">
        <f>IF(F108="","",VLOOKUP(F108,'G-3 Multipliers'!$A$2:$E$134,2,FALSE))</f>
        <v/>
      </c>
      <c r="V108" s="382" t="str">
        <f t="shared" si="11"/>
        <v/>
      </c>
      <c r="W108" s="382" t="str">
        <f>IF(E108="","",IF(AND(V108="Standard difficulty applied",O108&gt;P108),U108,IF(AND(V108="Low Difficulty - only applicable if all habitat created before losses ⚠",P108&gt;=O108),"Low",VLOOKUP(F108,'G-3 Multipliers'!$A$2:$E$134,4,FALSE))))</f>
        <v/>
      </c>
      <c r="X108" s="386" t="str">
        <f>IFERROR(IF(E108="","",VLOOKUP(W108, 'G-3 Multipliers'!$P$2:$Q$6,2,FALSE)),"")</f>
        <v/>
      </c>
      <c r="Y108" s="516"/>
      <c r="Z108" s="724" t="str">
        <f>IF(Y108="","",IF(VLOOKUP(Y108,'G-3 Multipliers'!$S$3:$T$10,2,FALSE)=0,"Spatial Data Missing ⚠",VLOOKUP(Y108,'G-3 Multipliers'!$S$3:$T$10,2,FALSE)))</f>
        <v/>
      </c>
      <c r="AA108" s="741" t="str">
        <f t="shared" si="9"/>
        <v/>
      </c>
      <c r="AB108" s="405" t="str">
        <f t="shared" si="10"/>
        <v/>
      </c>
      <c r="AC108" s="119"/>
      <c r="AD108" s="528"/>
      <c r="AE108" s="120"/>
      <c r="AF108" s="120"/>
    </row>
    <row r="109" spans="1:32" ht="15">
      <c r="A109" s="30" t="str">
        <f>IFERROR(INDEX('G-8 Condition Look up'!$I$4:$I$135,MATCH(F109,'G-8 Condition Look up'!$A$4:$A$135,0)),"")</f>
        <v/>
      </c>
      <c r="C109" s="75" t="str">
        <f>IFERROR(INDEX('G-1 All Habitats'!$AG$3:$AG$17,MATCH(D109,'G-1 All Habitats'!$AF$3:$AF$17,0)),"")</f>
        <v/>
      </c>
      <c r="D109" s="122"/>
      <c r="E109" s="165"/>
      <c r="F109" s="198" t="str">
        <f>IFERROR(INDEX('G-1 All Habitats'!$B$3:$B$135,MATCH(E109,'G-1 All Habitats'!$A$3:$A$135,0)),"")</f>
        <v/>
      </c>
      <c r="G109" s="300"/>
      <c r="H109" s="398" t="str">
        <f>IF(F109="","",VLOOKUP(F109,'G-1 All Habitats'!$B$2:$M$134,10,FALSE))</f>
        <v/>
      </c>
      <c r="I109" s="386" t="str">
        <f>IFERROR(VLOOKUP(H109,'G-1 All Habitats'!$V$3:$W$7,2,FALSE),"")</f>
        <v/>
      </c>
      <c r="J109" s="162"/>
      <c r="K109" s="386" t="str">
        <f>IFERROR(INDEX('G-8 Condition Look up'!$A$3:$H$135,MATCH(F109,'G-8 Condition Look up'!$A$3:$A$135,0),MATCH(J109,'G-8 Condition Look up'!$A$3:$H$3,0)),"")</f>
        <v/>
      </c>
      <c r="L109" s="114"/>
      <c r="M109" s="401" t="str">
        <f>IF(L109="","",IF(VLOOKUP(L109,'G-3 Multipliers'!$L$3:$N$6,2,FALSE)=0,"Spatial Data Missing ⚠",VLOOKUP(L109,'G-3 Multipliers'!$L$3:$N$6,2,FALSE)))</f>
        <v/>
      </c>
      <c r="N109" s="363" t="str">
        <f>IF(L109="","",IF(VLOOKUP(L109,'G-3 Multipliers'!$L$3:$N$6,3,FALSE)=0,"Spatial Data Missing ⚠",VLOOKUP(L109,'G-3 Multipliers'!$L$3:$N$6,3,FALSE)))</f>
        <v/>
      </c>
      <c r="O109" s="362" t="str">
        <f t="shared" si="6"/>
        <v/>
      </c>
      <c r="P109" s="159"/>
      <c r="Q109" s="159"/>
      <c r="R109" s="382" t="str">
        <f t="shared" si="7"/>
        <v/>
      </c>
      <c r="S109" s="404" t="str">
        <f t="shared" si="8"/>
        <v/>
      </c>
      <c r="T109" s="387" t="str">
        <f>IFERROR(IF(S109="Check Data ⚠","Check Data ⚠",VLOOKUP(S109,'G-4 Temporal multipliers'!$A$4:$C$37,3,FALSE)),"")</f>
        <v/>
      </c>
      <c r="U109" s="385" t="str">
        <f>IF(F109="","",VLOOKUP(F109,'G-3 Multipliers'!$A$2:$E$134,2,FALSE))</f>
        <v/>
      </c>
      <c r="V109" s="382" t="str">
        <f t="shared" si="11"/>
        <v/>
      </c>
      <c r="W109" s="382" t="str">
        <f>IF(E109="","",IF(AND(V109="Standard difficulty applied",O109&gt;P109),U109,IF(AND(V109="Low Difficulty - only applicable if all habitat created before losses ⚠",P109&gt;=O109),"Low",VLOOKUP(F109,'G-3 Multipliers'!$A$2:$E$134,4,FALSE))))</f>
        <v/>
      </c>
      <c r="X109" s="386" t="str">
        <f>IFERROR(IF(E109="","",VLOOKUP(W109, 'G-3 Multipliers'!$P$2:$Q$6,2,FALSE)),"")</f>
        <v/>
      </c>
      <c r="Y109" s="516"/>
      <c r="Z109" s="724" t="str">
        <f>IF(Y109="","",IF(VLOOKUP(Y109,'G-3 Multipliers'!$S$3:$T$10,2,FALSE)=0,"Spatial Data Missing ⚠",VLOOKUP(Y109,'G-3 Multipliers'!$S$3:$T$10,2,FALSE)))</f>
        <v/>
      </c>
      <c r="AA109" s="741" t="str">
        <f t="shared" si="9"/>
        <v/>
      </c>
      <c r="AB109" s="405" t="str">
        <f t="shared" si="10"/>
        <v/>
      </c>
      <c r="AC109" s="119"/>
      <c r="AD109" s="528"/>
      <c r="AE109" s="120"/>
      <c r="AF109" s="120"/>
    </row>
    <row r="110" spans="1:32" ht="15">
      <c r="A110" s="30" t="str">
        <f>IFERROR(INDEX('G-8 Condition Look up'!$I$4:$I$135,MATCH(F110,'G-8 Condition Look up'!$A$4:$A$135,0)),"")</f>
        <v/>
      </c>
      <c r="C110" s="75" t="str">
        <f>IFERROR(INDEX('G-1 All Habitats'!$AG$3:$AG$17,MATCH(D110,'G-1 All Habitats'!$AF$3:$AF$17,0)),"")</f>
        <v/>
      </c>
      <c r="D110" s="122"/>
      <c r="E110" s="165"/>
      <c r="F110" s="198" t="str">
        <f>IFERROR(INDEX('G-1 All Habitats'!$B$3:$B$135,MATCH(E110,'G-1 All Habitats'!$A$3:$A$135,0)),"")</f>
        <v/>
      </c>
      <c r="G110" s="300"/>
      <c r="H110" s="398" t="str">
        <f>IF(F110="","",VLOOKUP(F110,'G-1 All Habitats'!$B$2:$M$134,10,FALSE))</f>
        <v/>
      </c>
      <c r="I110" s="386" t="str">
        <f>IFERROR(VLOOKUP(H110,'G-1 All Habitats'!$V$3:$W$7,2,FALSE),"")</f>
        <v/>
      </c>
      <c r="J110" s="162"/>
      <c r="K110" s="386" t="str">
        <f>IFERROR(INDEX('G-8 Condition Look up'!$A$3:$H$135,MATCH(F110,'G-8 Condition Look up'!$A$3:$A$135,0),MATCH(J110,'G-8 Condition Look up'!$A$3:$H$3,0)),"")</f>
        <v/>
      </c>
      <c r="L110" s="114"/>
      <c r="M110" s="401" t="str">
        <f>IF(L110="","",IF(VLOOKUP(L110,'G-3 Multipliers'!$L$3:$N$6,2,FALSE)=0,"Spatial Data Missing ⚠",VLOOKUP(L110,'G-3 Multipliers'!$L$3:$N$6,2,FALSE)))</f>
        <v/>
      </c>
      <c r="N110" s="363" t="str">
        <f>IF(L110="","",IF(VLOOKUP(L110,'G-3 Multipliers'!$L$3:$N$6,3,FALSE)=0,"Spatial Data Missing ⚠",VLOOKUP(L110,'G-3 Multipliers'!$L$3:$N$6,3,FALSE)))</f>
        <v/>
      </c>
      <c r="O110" s="362" t="str">
        <f t="shared" si="6"/>
        <v/>
      </c>
      <c r="P110" s="159"/>
      <c r="Q110" s="159"/>
      <c r="R110" s="382" t="str">
        <f t="shared" si="7"/>
        <v/>
      </c>
      <c r="S110" s="404" t="str">
        <f t="shared" si="8"/>
        <v/>
      </c>
      <c r="T110" s="387" t="str">
        <f>IFERROR(IF(S110="Check Data ⚠","Check Data ⚠",VLOOKUP(S110,'G-4 Temporal multipliers'!$A$4:$C$37,3,FALSE)),"")</f>
        <v/>
      </c>
      <c r="U110" s="385" t="str">
        <f>IF(F110="","",VLOOKUP(F110,'G-3 Multipliers'!$A$2:$E$134,2,FALSE))</f>
        <v/>
      </c>
      <c r="V110" s="382" t="str">
        <f t="shared" si="11"/>
        <v/>
      </c>
      <c r="W110" s="382" t="str">
        <f>IF(E110="","",IF(AND(V110="Standard difficulty applied",O110&gt;P110),U110,IF(AND(V110="Low Difficulty - only applicable if all habitat created before losses ⚠",P110&gt;=O110),"Low",VLOOKUP(F110,'G-3 Multipliers'!$A$2:$E$134,4,FALSE))))</f>
        <v/>
      </c>
      <c r="X110" s="386" t="str">
        <f>IFERROR(IF(E110="","",VLOOKUP(W110, 'G-3 Multipliers'!$P$2:$Q$6,2,FALSE)),"")</f>
        <v/>
      </c>
      <c r="Y110" s="516"/>
      <c r="Z110" s="724" t="str">
        <f>IF(Y110="","",IF(VLOOKUP(Y110,'G-3 Multipliers'!$S$3:$T$10,2,FALSE)=0,"Spatial Data Missing ⚠",VLOOKUP(Y110,'G-3 Multipliers'!$S$3:$T$10,2,FALSE)))</f>
        <v/>
      </c>
      <c r="AA110" s="741" t="str">
        <f t="shared" si="9"/>
        <v/>
      </c>
      <c r="AB110" s="405" t="str">
        <f t="shared" si="10"/>
        <v/>
      </c>
      <c r="AC110" s="119"/>
      <c r="AD110" s="528"/>
      <c r="AE110" s="120"/>
      <c r="AF110" s="120"/>
    </row>
    <row r="111" spans="1:32" ht="15">
      <c r="A111" s="30" t="str">
        <f>IFERROR(INDEX('G-8 Condition Look up'!$I$4:$I$135,MATCH(F111,'G-8 Condition Look up'!$A$4:$A$135,0)),"")</f>
        <v/>
      </c>
      <c r="C111" s="75" t="str">
        <f>IFERROR(INDEX('G-1 All Habitats'!$AG$3:$AG$17,MATCH(D111,'G-1 All Habitats'!$AF$3:$AF$17,0)),"")</f>
        <v/>
      </c>
      <c r="D111" s="122"/>
      <c r="E111" s="165"/>
      <c r="F111" s="198" t="str">
        <f>IFERROR(INDEX('G-1 All Habitats'!$B$3:$B$135,MATCH(E111,'G-1 All Habitats'!$A$3:$A$135,0)),"")</f>
        <v/>
      </c>
      <c r="G111" s="300"/>
      <c r="H111" s="398" t="str">
        <f>IF(F111="","",VLOOKUP(F111,'G-1 All Habitats'!$B$2:$M$134,10,FALSE))</f>
        <v/>
      </c>
      <c r="I111" s="386" t="str">
        <f>IFERROR(VLOOKUP(H111,'G-1 All Habitats'!$V$3:$W$7,2,FALSE),"")</f>
        <v/>
      </c>
      <c r="J111" s="162"/>
      <c r="K111" s="386" t="str">
        <f>IFERROR(INDEX('G-8 Condition Look up'!$A$3:$H$135,MATCH(F111,'G-8 Condition Look up'!$A$3:$A$135,0),MATCH(J111,'G-8 Condition Look up'!$A$3:$H$3,0)),"")</f>
        <v/>
      </c>
      <c r="L111" s="114"/>
      <c r="M111" s="401" t="str">
        <f>IF(L111="","",IF(VLOOKUP(L111,'G-3 Multipliers'!$L$3:$N$6,2,FALSE)=0,"Spatial Data Missing ⚠",VLOOKUP(L111,'G-3 Multipliers'!$L$3:$N$6,2,FALSE)))</f>
        <v/>
      </c>
      <c r="N111" s="363" t="str">
        <f>IF(L111="","",IF(VLOOKUP(L111,'G-3 Multipliers'!$L$3:$N$6,3,FALSE)=0,"Spatial Data Missing ⚠",VLOOKUP(L111,'G-3 Multipliers'!$L$3:$N$6,3,FALSE)))</f>
        <v/>
      </c>
      <c r="O111" s="362" t="str">
        <f t="shared" si="6"/>
        <v/>
      </c>
      <c r="P111" s="159"/>
      <c r="Q111" s="159"/>
      <c r="R111" s="382" t="str">
        <f t="shared" si="7"/>
        <v/>
      </c>
      <c r="S111" s="404" t="str">
        <f t="shared" si="8"/>
        <v/>
      </c>
      <c r="T111" s="387" t="str">
        <f>IFERROR(IF(S111="Check Data ⚠","Check Data ⚠",VLOOKUP(S111,'G-4 Temporal multipliers'!$A$4:$C$37,3,FALSE)),"")</f>
        <v/>
      </c>
      <c r="U111" s="385" t="str">
        <f>IF(F111="","",VLOOKUP(F111,'G-3 Multipliers'!$A$2:$E$134,2,FALSE))</f>
        <v/>
      </c>
      <c r="V111" s="382" t="str">
        <f t="shared" si="11"/>
        <v/>
      </c>
      <c r="W111" s="382" t="str">
        <f>IF(E111="","",IF(AND(V111="Standard difficulty applied",O111&gt;P111),U111,IF(AND(V111="Low Difficulty - only applicable if all habitat created before losses ⚠",P111&gt;=O111),"Low",VLOOKUP(F111,'G-3 Multipliers'!$A$2:$E$134,4,FALSE))))</f>
        <v/>
      </c>
      <c r="X111" s="386" t="str">
        <f>IFERROR(IF(E111="","",VLOOKUP(W111, 'G-3 Multipliers'!$P$2:$Q$6,2,FALSE)),"")</f>
        <v/>
      </c>
      <c r="Y111" s="516"/>
      <c r="Z111" s="724" t="str">
        <f>IF(Y111="","",IF(VLOOKUP(Y111,'G-3 Multipliers'!$S$3:$T$10,2,FALSE)=0,"Spatial Data Missing ⚠",VLOOKUP(Y111,'G-3 Multipliers'!$S$3:$T$10,2,FALSE)))</f>
        <v/>
      </c>
      <c r="AA111" s="741" t="str">
        <f t="shared" si="9"/>
        <v/>
      </c>
      <c r="AB111" s="405" t="str">
        <f t="shared" si="10"/>
        <v/>
      </c>
      <c r="AC111" s="119"/>
      <c r="AD111" s="528"/>
      <c r="AE111" s="120"/>
      <c r="AF111" s="120"/>
    </row>
    <row r="112" spans="1:32" ht="15">
      <c r="A112" s="30" t="str">
        <f>IFERROR(INDEX('G-8 Condition Look up'!$I$4:$I$135,MATCH(F112,'G-8 Condition Look up'!$A$4:$A$135,0)),"")</f>
        <v/>
      </c>
      <c r="C112" s="75" t="str">
        <f>IFERROR(INDEX('G-1 All Habitats'!$AG$3:$AG$17,MATCH(D112,'G-1 All Habitats'!$AF$3:$AF$17,0)),"")</f>
        <v/>
      </c>
      <c r="D112" s="122"/>
      <c r="E112" s="165"/>
      <c r="F112" s="198" t="str">
        <f>IFERROR(INDEX('G-1 All Habitats'!$B$3:$B$135,MATCH(E112,'G-1 All Habitats'!$A$3:$A$135,0)),"")</f>
        <v/>
      </c>
      <c r="G112" s="300"/>
      <c r="H112" s="398" t="str">
        <f>IF(F112="","",VLOOKUP(F112,'G-1 All Habitats'!$B$2:$M$134,10,FALSE))</f>
        <v/>
      </c>
      <c r="I112" s="386" t="str">
        <f>IFERROR(VLOOKUP(H112,'G-1 All Habitats'!$V$3:$W$7,2,FALSE),"")</f>
        <v/>
      </c>
      <c r="J112" s="162"/>
      <c r="K112" s="386" t="str">
        <f>IFERROR(INDEX('G-8 Condition Look up'!$A$3:$H$135,MATCH(F112,'G-8 Condition Look up'!$A$3:$A$135,0),MATCH(J112,'G-8 Condition Look up'!$A$3:$H$3,0)),"")</f>
        <v/>
      </c>
      <c r="L112" s="114"/>
      <c r="M112" s="401" t="str">
        <f>IF(L112="","",IF(VLOOKUP(L112,'G-3 Multipliers'!$L$3:$N$6,2,FALSE)=0,"Spatial Data Missing ⚠",VLOOKUP(L112,'G-3 Multipliers'!$L$3:$N$6,2,FALSE)))</f>
        <v/>
      </c>
      <c r="N112" s="363" t="str">
        <f>IF(L112="","",IF(VLOOKUP(L112,'G-3 Multipliers'!$L$3:$N$6,3,FALSE)=0,"Spatial Data Missing ⚠",VLOOKUP(L112,'G-3 Multipliers'!$L$3:$N$6,3,FALSE)))</f>
        <v/>
      </c>
      <c r="O112" s="362" t="str">
        <f t="shared" si="6"/>
        <v/>
      </c>
      <c r="P112" s="159"/>
      <c r="Q112" s="159"/>
      <c r="R112" s="382" t="str">
        <f t="shared" si="7"/>
        <v/>
      </c>
      <c r="S112" s="404" t="str">
        <f t="shared" si="8"/>
        <v/>
      </c>
      <c r="T112" s="387" t="str">
        <f>IFERROR(IF(S112="Check Data ⚠","Check Data ⚠",VLOOKUP(S112,'G-4 Temporal multipliers'!$A$4:$C$37,3,FALSE)),"")</f>
        <v/>
      </c>
      <c r="U112" s="385" t="str">
        <f>IF(F112="","",VLOOKUP(F112,'G-3 Multipliers'!$A$2:$E$134,2,FALSE))</f>
        <v/>
      </c>
      <c r="V112" s="382" t="str">
        <f t="shared" si="11"/>
        <v/>
      </c>
      <c r="W112" s="382" t="str">
        <f>IF(E112="","",IF(AND(V112="Standard difficulty applied",O112&gt;P112),U112,IF(AND(V112="Low Difficulty - only applicable if all habitat created before losses ⚠",P112&gt;=O112),"Low",VLOOKUP(F112,'G-3 Multipliers'!$A$2:$E$134,4,FALSE))))</f>
        <v/>
      </c>
      <c r="X112" s="386" t="str">
        <f>IFERROR(IF(E112="","",VLOOKUP(W112, 'G-3 Multipliers'!$P$2:$Q$6,2,FALSE)),"")</f>
        <v/>
      </c>
      <c r="Y112" s="516"/>
      <c r="Z112" s="724" t="str">
        <f>IF(Y112="","",IF(VLOOKUP(Y112,'G-3 Multipliers'!$S$3:$T$10,2,FALSE)=0,"Spatial Data Missing ⚠",VLOOKUP(Y112,'G-3 Multipliers'!$S$3:$T$10,2,FALSE)))</f>
        <v/>
      </c>
      <c r="AA112" s="741" t="str">
        <f t="shared" si="9"/>
        <v/>
      </c>
      <c r="AB112" s="405" t="str">
        <f t="shared" si="10"/>
        <v/>
      </c>
      <c r="AC112" s="119"/>
      <c r="AD112" s="528"/>
      <c r="AE112" s="120"/>
      <c r="AF112" s="120"/>
    </row>
    <row r="113" spans="1:32" ht="15">
      <c r="A113" s="30" t="str">
        <f>IFERROR(INDEX('G-8 Condition Look up'!$I$4:$I$135,MATCH(F113,'G-8 Condition Look up'!$A$4:$A$135,0)),"")</f>
        <v/>
      </c>
      <c r="C113" s="75" t="str">
        <f>IFERROR(INDEX('G-1 All Habitats'!$AG$3:$AG$17,MATCH(D113,'G-1 All Habitats'!$AF$3:$AF$17,0)),"")</f>
        <v/>
      </c>
      <c r="D113" s="122"/>
      <c r="E113" s="165"/>
      <c r="F113" s="198" t="str">
        <f>IFERROR(INDEX('G-1 All Habitats'!$B$3:$B$135,MATCH(E113,'G-1 All Habitats'!$A$3:$A$135,0)),"")</f>
        <v/>
      </c>
      <c r="G113" s="300"/>
      <c r="H113" s="398" t="str">
        <f>IF(F113="","",VLOOKUP(F113,'G-1 All Habitats'!$B$2:$M$134,10,FALSE))</f>
        <v/>
      </c>
      <c r="I113" s="386" t="str">
        <f>IFERROR(VLOOKUP(H113,'G-1 All Habitats'!$V$3:$W$7,2,FALSE),"")</f>
        <v/>
      </c>
      <c r="J113" s="162"/>
      <c r="K113" s="386" t="str">
        <f>IFERROR(INDEX('G-8 Condition Look up'!$A$3:$H$135,MATCH(F113,'G-8 Condition Look up'!$A$3:$A$135,0),MATCH(J113,'G-8 Condition Look up'!$A$3:$H$3,0)),"")</f>
        <v/>
      </c>
      <c r="L113" s="114"/>
      <c r="M113" s="401" t="str">
        <f>IF(L113="","",IF(VLOOKUP(L113,'G-3 Multipliers'!$L$3:$N$6,2,FALSE)=0,"Spatial Data Missing ⚠",VLOOKUP(L113,'G-3 Multipliers'!$L$3:$N$6,2,FALSE)))</f>
        <v/>
      </c>
      <c r="N113" s="363" t="str">
        <f>IF(L113="","",IF(VLOOKUP(L113,'G-3 Multipliers'!$L$3:$N$6,3,FALSE)=0,"Spatial Data Missing ⚠",VLOOKUP(L113,'G-3 Multipliers'!$L$3:$N$6,3,FALSE)))</f>
        <v/>
      </c>
      <c r="O113" s="362" t="str">
        <f t="shared" si="6"/>
        <v/>
      </c>
      <c r="P113" s="159"/>
      <c r="Q113" s="159"/>
      <c r="R113" s="382" t="str">
        <f t="shared" si="7"/>
        <v/>
      </c>
      <c r="S113" s="404" t="str">
        <f t="shared" si="8"/>
        <v/>
      </c>
      <c r="T113" s="387" t="str">
        <f>IFERROR(IF(S113="Check Data ⚠","Check Data ⚠",VLOOKUP(S113,'G-4 Temporal multipliers'!$A$4:$C$37,3,FALSE)),"")</f>
        <v/>
      </c>
      <c r="U113" s="385" t="str">
        <f>IF(F113="","",VLOOKUP(F113,'G-3 Multipliers'!$A$2:$E$134,2,FALSE))</f>
        <v/>
      </c>
      <c r="V113" s="382" t="str">
        <f t="shared" si="11"/>
        <v/>
      </c>
      <c r="W113" s="382" t="str">
        <f>IF(E113="","",IF(AND(V113="Standard difficulty applied",O113&gt;P113),U113,IF(AND(V113="Low Difficulty - only applicable if all habitat created before losses ⚠",P113&gt;=O113),"Low",VLOOKUP(F113,'G-3 Multipliers'!$A$2:$E$134,4,FALSE))))</f>
        <v/>
      </c>
      <c r="X113" s="386" t="str">
        <f>IFERROR(IF(E113="","",VLOOKUP(W113, 'G-3 Multipliers'!$P$2:$Q$6,2,FALSE)),"")</f>
        <v/>
      </c>
      <c r="Y113" s="516"/>
      <c r="Z113" s="724" t="str">
        <f>IF(Y113="","",IF(VLOOKUP(Y113,'G-3 Multipliers'!$S$3:$T$10,2,FALSE)=0,"Spatial Data Missing ⚠",VLOOKUP(Y113,'G-3 Multipliers'!$S$3:$T$10,2,FALSE)))</f>
        <v/>
      </c>
      <c r="AA113" s="741" t="str">
        <f t="shared" si="9"/>
        <v/>
      </c>
      <c r="AB113" s="405" t="str">
        <f t="shared" si="10"/>
        <v/>
      </c>
      <c r="AC113" s="119"/>
      <c r="AD113" s="528"/>
      <c r="AE113" s="120"/>
      <c r="AF113" s="120"/>
    </row>
    <row r="114" spans="1:32" ht="15">
      <c r="A114" s="30" t="str">
        <f>IFERROR(INDEX('G-8 Condition Look up'!$I$4:$I$135,MATCH(F114,'G-8 Condition Look up'!$A$4:$A$135,0)),"")</f>
        <v/>
      </c>
      <c r="C114" s="75" t="str">
        <f>IFERROR(INDEX('G-1 All Habitats'!$AG$3:$AG$17,MATCH(D114,'G-1 All Habitats'!$AF$3:$AF$17,0)),"")</f>
        <v/>
      </c>
      <c r="D114" s="122"/>
      <c r="E114" s="165"/>
      <c r="F114" s="198" t="str">
        <f>IFERROR(INDEX('G-1 All Habitats'!$B$3:$B$135,MATCH(E114,'G-1 All Habitats'!$A$3:$A$135,0)),"")</f>
        <v/>
      </c>
      <c r="G114" s="300"/>
      <c r="H114" s="398" t="str">
        <f>IF(F114="","",VLOOKUP(F114,'G-1 All Habitats'!$B$2:$M$134,10,FALSE))</f>
        <v/>
      </c>
      <c r="I114" s="386" t="str">
        <f>IFERROR(VLOOKUP(H114,'G-1 All Habitats'!$V$3:$W$7,2,FALSE),"")</f>
        <v/>
      </c>
      <c r="J114" s="162"/>
      <c r="K114" s="386" t="str">
        <f>IFERROR(INDEX('G-8 Condition Look up'!$A$3:$H$135,MATCH(F114,'G-8 Condition Look up'!$A$3:$A$135,0),MATCH(J114,'G-8 Condition Look up'!$A$3:$H$3,0)),"")</f>
        <v/>
      </c>
      <c r="L114" s="114"/>
      <c r="M114" s="401" t="str">
        <f>IF(L114="","",IF(VLOOKUP(L114,'G-3 Multipliers'!$L$3:$N$6,2,FALSE)=0,"Spatial Data Missing ⚠",VLOOKUP(L114,'G-3 Multipliers'!$L$3:$N$6,2,FALSE)))</f>
        <v/>
      </c>
      <c r="N114" s="363" t="str">
        <f>IF(L114="","",IF(VLOOKUP(L114,'G-3 Multipliers'!$L$3:$N$6,3,FALSE)=0,"Spatial Data Missing ⚠",VLOOKUP(L114,'G-3 Multipliers'!$L$3:$N$6,3,FALSE)))</f>
        <v/>
      </c>
      <c r="O114" s="362" t="str">
        <f t="shared" si="6"/>
        <v/>
      </c>
      <c r="P114" s="159"/>
      <c r="Q114" s="159"/>
      <c r="R114" s="382" t="str">
        <f t="shared" si="7"/>
        <v/>
      </c>
      <c r="S114" s="404" t="str">
        <f t="shared" si="8"/>
        <v/>
      </c>
      <c r="T114" s="387" t="str">
        <f>IFERROR(IF(S114="Check Data ⚠","Check Data ⚠",VLOOKUP(S114,'G-4 Temporal multipliers'!$A$4:$C$37,3,FALSE)),"")</f>
        <v/>
      </c>
      <c r="U114" s="385" t="str">
        <f>IF(F114="","",VLOOKUP(F114,'G-3 Multipliers'!$A$2:$E$134,2,FALSE))</f>
        <v/>
      </c>
      <c r="V114" s="382" t="str">
        <f t="shared" si="11"/>
        <v/>
      </c>
      <c r="W114" s="382" t="str">
        <f>IF(E114="","",IF(AND(V114="Standard difficulty applied",O114&gt;P114),U114,IF(AND(V114="Low Difficulty - only applicable if all habitat created before losses ⚠",P114&gt;=O114),"Low",VLOOKUP(F114,'G-3 Multipliers'!$A$2:$E$134,4,FALSE))))</f>
        <v/>
      </c>
      <c r="X114" s="386" t="str">
        <f>IFERROR(IF(E114="","",VLOOKUP(W114, 'G-3 Multipliers'!$P$2:$Q$6,2,FALSE)),"")</f>
        <v/>
      </c>
      <c r="Y114" s="516"/>
      <c r="Z114" s="724" t="str">
        <f>IF(Y114="","",IF(VLOOKUP(Y114,'G-3 Multipliers'!$S$3:$T$10,2,FALSE)=0,"Spatial Data Missing ⚠",VLOOKUP(Y114,'G-3 Multipliers'!$S$3:$T$10,2,FALSE)))</f>
        <v/>
      </c>
      <c r="AA114" s="741" t="str">
        <f t="shared" si="9"/>
        <v/>
      </c>
      <c r="AB114" s="405" t="str">
        <f t="shared" si="10"/>
        <v/>
      </c>
      <c r="AC114" s="119"/>
      <c r="AD114" s="528"/>
      <c r="AE114" s="120"/>
      <c r="AF114" s="120"/>
    </row>
    <row r="115" spans="1:32" ht="15">
      <c r="A115" s="30" t="str">
        <f>IFERROR(INDEX('G-8 Condition Look up'!$I$4:$I$135,MATCH(F115,'G-8 Condition Look up'!$A$4:$A$135,0)),"")</f>
        <v/>
      </c>
      <c r="C115" s="75" t="str">
        <f>IFERROR(INDEX('G-1 All Habitats'!$AG$3:$AG$17,MATCH(D115,'G-1 All Habitats'!$AF$3:$AF$17,0)),"")</f>
        <v/>
      </c>
      <c r="D115" s="122"/>
      <c r="E115" s="165"/>
      <c r="F115" s="198" t="str">
        <f>IFERROR(INDEX('G-1 All Habitats'!$B$3:$B$135,MATCH(E115,'G-1 All Habitats'!$A$3:$A$135,0)),"")</f>
        <v/>
      </c>
      <c r="G115" s="300"/>
      <c r="H115" s="398" t="str">
        <f>IF(F115="","",VLOOKUP(F115,'G-1 All Habitats'!$B$2:$M$134,10,FALSE))</f>
        <v/>
      </c>
      <c r="I115" s="386" t="str">
        <f>IFERROR(VLOOKUP(H115,'G-1 All Habitats'!$V$3:$W$7,2,FALSE),"")</f>
        <v/>
      </c>
      <c r="J115" s="162"/>
      <c r="K115" s="386" t="str">
        <f>IFERROR(INDEX('G-8 Condition Look up'!$A$3:$H$135,MATCH(F115,'G-8 Condition Look up'!$A$3:$A$135,0),MATCH(J115,'G-8 Condition Look up'!$A$3:$H$3,0)),"")</f>
        <v/>
      </c>
      <c r="L115" s="114"/>
      <c r="M115" s="401" t="str">
        <f>IF(L115="","",IF(VLOOKUP(L115,'G-3 Multipliers'!$L$3:$N$6,2,FALSE)=0,"Spatial Data Missing ⚠",VLOOKUP(L115,'G-3 Multipliers'!$L$3:$N$6,2,FALSE)))</f>
        <v/>
      </c>
      <c r="N115" s="363" t="str">
        <f>IF(L115="","",IF(VLOOKUP(L115,'G-3 Multipliers'!$L$3:$N$6,3,FALSE)=0,"Spatial Data Missing ⚠",VLOOKUP(L115,'G-3 Multipliers'!$L$3:$N$6,3,FALSE)))</f>
        <v/>
      </c>
      <c r="O115" s="362" t="str">
        <f t="shared" si="6"/>
        <v/>
      </c>
      <c r="P115" s="159"/>
      <c r="Q115" s="159"/>
      <c r="R115" s="382" t="str">
        <f t="shared" si="7"/>
        <v/>
      </c>
      <c r="S115" s="404" t="str">
        <f t="shared" si="8"/>
        <v/>
      </c>
      <c r="T115" s="387" t="str">
        <f>IFERROR(IF(S115="Check Data ⚠","Check Data ⚠",VLOOKUP(S115,'G-4 Temporal multipliers'!$A$4:$C$37,3,FALSE)),"")</f>
        <v/>
      </c>
      <c r="U115" s="385" t="str">
        <f>IF(F115="","",VLOOKUP(F115,'G-3 Multipliers'!$A$2:$E$134,2,FALSE))</f>
        <v/>
      </c>
      <c r="V115" s="382" t="str">
        <f t="shared" si="11"/>
        <v/>
      </c>
      <c r="W115" s="382" t="str">
        <f>IF(E115="","",IF(AND(V115="Standard difficulty applied",O115&gt;P115),U115,IF(AND(V115="Low Difficulty - only applicable if all habitat created before losses ⚠",P115&gt;=O115),"Low",VLOOKUP(F115,'G-3 Multipliers'!$A$2:$E$134,4,FALSE))))</f>
        <v/>
      </c>
      <c r="X115" s="386" t="str">
        <f>IFERROR(IF(E115="","",VLOOKUP(W115, 'G-3 Multipliers'!$P$2:$Q$6,2,FALSE)),"")</f>
        <v/>
      </c>
      <c r="Y115" s="516"/>
      <c r="Z115" s="724" t="str">
        <f>IF(Y115="","",IF(VLOOKUP(Y115,'G-3 Multipliers'!$S$3:$T$10,2,FALSE)=0,"Spatial Data Missing ⚠",VLOOKUP(Y115,'G-3 Multipliers'!$S$3:$T$10,2,FALSE)))</f>
        <v/>
      </c>
      <c r="AA115" s="741" t="str">
        <f t="shared" si="9"/>
        <v/>
      </c>
      <c r="AB115" s="405" t="str">
        <f t="shared" si="10"/>
        <v/>
      </c>
      <c r="AC115" s="119"/>
      <c r="AD115" s="528"/>
      <c r="AE115" s="120"/>
      <c r="AF115" s="120"/>
    </row>
    <row r="116" spans="1:32" ht="15">
      <c r="A116" s="30" t="str">
        <f>IFERROR(INDEX('G-8 Condition Look up'!$I$4:$I$135,MATCH(F116,'G-8 Condition Look up'!$A$4:$A$135,0)),"")</f>
        <v/>
      </c>
      <c r="C116" s="75" t="str">
        <f>IFERROR(INDEX('G-1 All Habitats'!$AG$3:$AG$17,MATCH(D116,'G-1 All Habitats'!$AF$3:$AF$17,0)),"")</f>
        <v/>
      </c>
      <c r="D116" s="122"/>
      <c r="E116" s="165"/>
      <c r="F116" s="198" t="str">
        <f>IFERROR(INDEX('G-1 All Habitats'!$B$3:$B$135,MATCH(E116,'G-1 All Habitats'!$A$3:$A$135,0)),"")</f>
        <v/>
      </c>
      <c r="G116" s="300"/>
      <c r="H116" s="398" t="str">
        <f>IF(F116="","",VLOOKUP(F116,'G-1 All Habitats'!$B$2:$M$134,10,FALSE))</f>
        <v/>
      </c>
      <c r="I116" s="386" t="str">
        <f>IFERROR(VLOOKUP(H116,'G-1 All Habitats'!$V$3:$W$7,2,FALSE),"")</f>
        <v/>
      </c>
      <c r="J116" s="162"/>
      <c r="K116" s="386" t="str">
        <f>IFERROR(INDEX('G-8 Condition Look up'!$A$3:$H$135,MATCH(F116,'G-8 Condition Look up'!$A$3:$A$135,0),MATCH(J116,'G-8 Condition Look up'!$A$3:$H$3,0)),"")</f>
        <v/>
      </c>
      <c r="L116" s="114"/>
      <c r="M116" s="401" t="str">
        <f>IF(L116="","",IF(VLOOKUP(L116,'G-3 Multipliers'!$L$3:$N$6,2,FALSE)=0,"Spatial Data Missing ⚠",VLOOKUP(L116,'G-3 Multipliers'!$L$3:$N$6,2,FALSE)))</f>
        <v/>
      </c>
      <c r="N116" s="363" t="str">
        <f>IF(L116="","",IF(VLOOKUP(L116,'G-3 Multipliers'!$L$3:$N$6,3,FALSE)=0,"Spatial Data Missing ⚠",VLOOKUP(L116,'G-3 Multipliers'!$L$3:$N$6,3,FALSE)))</f>
        <v/>
      </c>
      <c r="O116" s="362" t="str">
        <f t="shared" si="6"/>
        <v/>
      </c>
      <c r="P116" s="159"/>
      <c r="Q116" s="159"/>
      <c r="R116" s="382" t="str">
        <f t="shared" si="7"/>
        <v/>
      </c>
      <c r="S116" s="404" t="str">
        <f t="shared" si="8"/>
        <v/>
      </c>
      <c r="T116" s="387" t="str">
        <f>IFERROR(IF(S116="Check Data ⚠","Check Data ⚠",VLOOKUP(S116,'G-4 Temporal multipliers'!$A$4:$C$37,3,FALSE)),"")</f>
        <v/>
      </c>
      <c r="U116" s="385" t="str">
        <f>IF(F116="","",VLOOKUP(F116,'G-3 Multipliers'!$A$2:$E$134,2,FALSE))</f>
        <v/>
      </c>
      <c r="V116" s="382" t="str">
        <f t="shared" si="11"/>
        <v/>
      </c>
      <c r="W116" s="382" t="str">
        <f>IF(E116="","",IF(AND(V116="Standard difficulty applied",O116&gt;P116),U116,IF(AND(V116="Low Difficulty - only applicable if all habitat created before losses ⚠",P116&gt;=O116),"Low",VLOOKUP(F116,'G-3 Multipliers'!$A$2:$E$134,4,FALSE))))</f>
        <v/>
      </c>
      <c r="X116" s="386" t="str">
        <f>IFERROR(IF(E116="","",VLOOKUP(W116, 'G-3 Multipliers'!$P$2:$Q$6,2,FALSE)),"")</f>
        <v/>
      </c>
      <c r="Y116" s="516"/>
      <c r="Z116" s="724" t="str">
        <f>IF(Y116="","",IF(VLOOKUP(Y116,'G-3 Multipliers'!$S$3:$T$10,2,FALSE)=0,"Spatial Data Missing ⚠",VLOOKUP(Y116,'G-3 Multipliers'!$S$3:$T$10,2,FALSE)))</f>
        <v/>
      </c>
      <c r="AA116" s="741" t="str">
        <f t="shared" si="9"/>
        <v/>
      </c>
      <c r="AB116" s="405" t="str">
        <f t="shared" si="10"/>
        <v/>
      </c>
      <c r="AC116" s="119"/>
      <c r="AD116" s="528"/>
      <c r="AE116" s="120"/>
      <c r="AF116" s="120"/>
    </row>
    <row r="117" spans="1:32" ht="15">
      <c r="A117" s="30" t="str">
        <f>IFERROR(INDEX('G-8 Condition Look up'!$I$4:$I$135,MATCH(F117,'G-8 Condition Look up'!$A$4:$A$135,0)),"")</f>
        <v/>
      </c>
      <c r="C117" s="75" t="str">
        <f>IFERROR(INDEX('G-1 All Habitats'!$AG$3:$AG$17,MATCH(D117,'G-1 All Habitats'!$AF$3:$AF$17,0)),"")</f>
        <v/>
      </c>
      <c r="D117" s="122"/>
      <c r="E117" s="165"/>
      <c r="F117" s="198" t="str">
        <f>IFERROR(INDEX('G-1 All Habitats'!$B$3:$B$135,MATCH(E117,'G-1 All Habitats'!$A$3:$A$135,0)),"")</f>
        <v/>
      </c>
      <c r="G117" s="300"/>
      <c r="H117" s="398" t="str">
        <f>IF(F117="","",VLOOKUP(F117,'G-1 All Habitats'!$B$2:$M$134,10,FALSE))</f>
        <v/>
      </c>
      <c r="I117" s="386" t="str">
        <f>IFERROR(VLOOKUP(H117,'G-1 All Habitats'!$V$3:$W$7,2,FALSE),"")</f>
        <v/>
      </c>
      <c r="J117" s="162"/>
      <c r="K117" s="386" t="str">
        <f>IFERROR(INDEX('G-8 Condition Look up'!$A$3:$H$135,MATCH(F117,'G-8 Condition Look up'!$A$3:$A$135,0),MATCH(J117,'G-8 Condition Look up'!$A$3:$H$3,0)),"")</f>
        <v/>
      </c>
      <c r="L117" s="114"/>
      <c r="M117" s="401" t="str">
        <f>IF(L117="","",IF(VLOOKUP(L117,'G-3 Multipliers'!$L$3:$N$6,2,FALSE)=0,"Spatial Data Missing ⚠",VLOOKUP(L117,'G-3 Multipliers'!$L$3:$N$6,2,FALSE)))</f>
        <v/>
      </c>
      <c r="N117" s="363" t="str">
        <f>IF(L117="","",IF(VLOOKUP(L117,'G-3 Multipliers'!$L$3:$N$6,3,FALSE)=0,"Spatial Data Missing ⚠",VLOOKUP(L117,'G-3 Multipliers'!$L$3:$N$6,3,FALSE)))</f>
        <v/>
      </c>
      <c r="O117" s="362" t="str">
        <f t="shared" si="6"/>
        <v/>
      </c>
      <c r="P117" s="159"/>
      <c r="Q117" s="159"/>
      <c r="R117" s="382" t="str">
        <f t="shared" si="7"/>
        <v/>
      </c>
      <c r="S117" s="404" t="str">
        <f t="shared" si="8"/>
        <v/>
      </c>
      <c r="T117" s="387" t="str">
        <f>IFERROR(IF(S117="Check Data ⚠","Check Data ⚠",VLOOKUP(S117,'G-4 Temporal multipliers'!$A$4:$C$37,3,FALSE)),"")</f>
        <v/>
      </c>
      <c r="U117" s="385" t="str">
        <f>IF(F117="","",VLOOKUP(F117,'G-3 Multipliers'!$A$2:$E$134,2,FALSE))</f>
        <v/>
      </c>
      <c r="V117" s="382" t="str">
        <f t="shared" si="11"/>
        <v/>
      </c>
      <c r="W117" s="382" t="str">
        <f>IF(E117="","",IF(AND(V117="Standard difficulty applied",O117&gt;P117),U117,IF(AND(V117="Low Difficulty - only applicable if all habitat created before losses ⚠",P117&gt;=O117),"Low",VLOOKUP(F117,'G-3 Multipliers'!$A$2:$E$134,4,FALSE))))</f>
        <v/>
      </c>
      <c r="X117" s="386" t="str">
        <f>IFERROR(IF(E117="","",VLOOKUP(W117, 'G-3 Multipliers'!$P$2:$Q$6,2,FALSE)),"")</f>
        <v/>
      </c>
      <c r="Y117" s="516"/>
      <c r="Z117" s="724" t="str">
        <f>IF(Y117="","",IF(VLOOKUP(Y117,'G-3 Multipliers'!$S$3:$T$10,2,FALSE)=0,"Spatial Data Missing ⚠",VLOOKUP(Y117,'G-3 Multipliers'!$S$3:$T$10,2,FALSE)))</f>
        <v/>
      </c>
      <c r="AA117" s="741" t="str">
        <f t="shared" si="9"/>
        <v/>
      </c>
      <c r="AB117" s="405" t="str">
        <f t="shared" si="10"/>
        <v/>
      </c>
      <c r="AC117" s="119"/>
      <c r="AD117" s="528"/>
      <c r="AE117" s="120"/>
      <c r="AF117" s="120"/>
    </row>
    <row r="118" spans="1:32" ht="15">
      <c r="A118" s="30" t="str">
        <f>IFERROR(INDEX('G-8 Condition Look up'!$I$4:$I$135,MATCH(F118,'G-8 Condition Look up'!$A$4:$A$135,0)),"")</f>
        <v/>
      </c>
      <c r="C118" s="75" t="str">
        <f>IFERROR(INDEX('G-1 All Habitats'!$AG$3:$AG$17,MATCH(D118,'G-1 All Habitats'!$AF$3:$AF$17,0)),"")</f>
        <v/>
      </c>
      <c r="D118" s="122"/>
      <c r="E118" s="165"/>
      <c r="F118" s="198" t="str">
        <f>IFERROR(INDEX('G-1 All Habitats'!$B$3:$B$135,MATCH(E118,'G-1 All Habitats'!$A$3:$A$135,0)),"")</f>
        <v/>
      </c>
      <c r="G118" s="300"/>
      <c r="H118" s="398" t="str">
        <f>IF(F118="","",VLOOKUP(F118,'G-1 All Habitats'!$B$2:$M$134,10,FALSE))</f>
        <v/>
      </c>
      <c r="I118" s="386" t="str">
        <f>IFERROR(VLOOKUP(H118,'G-1 All Habitats'!$V$3:$W$7,2,FALSE),"")</f>
        <v/>
      </c>
      <c r="J118" s="162"/>
      <c r="K118" s="386" t="str">
        <f>IFERROR(INDEX('G-8 Condition Look up'!$A$3:$H$135,MATCH(F118,'G-8 Condition Look up'!$A$3:$A$135,0),MATCH(J118,'G-8 Condition Look up'!$A$3:$H$3,0)),"")</f>
        <v/>
      </c>
      <c r="L118" s="114"/>
      <c r="M118" s="401" t="str">
        <f>IF(L118="","",IF(VLOOKUP(L118,'G-3 Multipliers'!$L$3:$N$6,2,FALSE)=0,"Spatial Data Missing ⚠",VLOOKUP(L118,'G-3 Multipliers'!$L$3:$N$6,2,FALSE)))</f>
        <v/>
      </c>
      <c r="N118" s="363" t="str">
        <f>IF(L118="","",IF(VLOOKUP(L118,'G-3 Multipliers'!$L$3:$N$6,3,FALSE)=0,"Spatial Data Missing ⚠",VLOOKUP(L118,'G-3 Multipliers'!$L$3:$N$6,3,FALSE)))</f>
        <v/>
      </c>
      <c r="O118" s="362" t="str">
        <f t="shared" si="6"/>
        <v/>
      </c>
      <c r="P118" s="159"/>
      <c r="Q118" s="159"/>
      <c r="R118" s="382" t="str">
        <f t="shared" si="7"/>
        <v/>
      </c>
      <c r="S118" s="404" t="str">
        <f t="shared" si="8"/>
        <v/>
      </c>
      <c r="T118" s="387" t="str">
        <f>IFERROR(IF(S118="Check Data ⚠","Check Data ⚠",VLOOKUP(S118,'G-4 Temporal multipliers'!$A$4:$C$37,3,FALSE)),"")</f>
        <v/>
      </c>
      <c r="U118" s="385" t="str">
        <f>IF(F118="","",VLOOKUP(F118,'G-3 Multipliers'!$A$2:$E$134,2,FALSE))</f>
        <v/>
      </c>
      <c r="V118" s="382" t="str">
        <f t="shared" si="11"/>
        <v/>
      </c>
      <c r="W118" s="382" t="str">
        <f>IF(E118="","",IF(AND(V118="Standard difficulty applied",O118&gt;P118),U118,IF(AND(V118="Low Difficulty - only applicable if all habitat created before losses ⚠",P118&gt;=O118),"Low",VLOOKUP(F118,'G-3 Multipliers'!$A$2:$E$134,4,FALSE))))</f>
        <v/>
      </c>
      <c r="X118" s="386" t="str">
        <f>IFERROR(IF(E118="","",VLOOKUP(W118, 'G-3 Multipliers'!$P$2:$Q$6,2,FALSE)),"")</f>
        <v/>
      </c>
      <c r="Y118" s="516"/>
      <c r="Z118" s="724" t="str">
        <f>IF(Y118="","",IF(VLOOKUP(Y118,'G-3 Multipliers'!$S$3:$T$10,2,FALSE)=0,"Spatial Data Missing ⚠",VLOOKUP(Y118,'G-3 Multipliers'!$S$3:$T$10,2,FALSE)))</f>
        <v/>
      </c>
      <c r="AA118" s="741" t="str">
        <f t="shared" si="9"/>
        <v/>
      </c>
      <c r="AB118" s="405" t="str">
        <f t="shared" si="10"/>
        <v/>
      </c>
      <c r="AC118" s="119"/>
      <c r="AD118" s="528"/>
      <c r="AE118" s="120"/>
      <c r="AF118" s="120"/>
    </row>
    <row r="119" spans="1:32" ht="15">
      <c r="A119" s="30" t="str">
        <f>IFERROR(INDEX('G-8 Condition Look up'!$I$4:$I$135,MATCH(F119,'G-8 Condition Look up'!$A$4:$A$135,0)),"")</f>
        <v/>
      </c>
      <c r="C119" s="75" t="str">
        <f>IFERROR(INDEX('G-1 All Habitats'!$AG$3:$AG$17,MATCH(D119,'G-1 All Habitats'!$AF$3:$AF$17,0)),"")</f>
        <v/>
      </c>
      <c r="D119" s="122"/>
      <c r="E119" s="165"/>
      <c r="F119" s="198" t="str">
        <f>IFERROR(INDEX('G-1 All Habitats'!$B$3:$B$135,MATCH(E119,'G-1 All Habitats'!$A$3:$A$135,0)),"")</f>
        <v/>
      </c>
      <c r="G119" s="300"/>
      <c r="H119" s="398" t="str">
        <f>IF(F119="","",VLOOKUP(F119,'G-1 All Habitats'!$B$2:$M$134,10,FALSE))</f>
        <v/>
      </c>
      <c r="I119" s="386" t="str">
        <f>IFERROR(VLOOKUP(H119,'G-1 All Habitats'!$V$3:$W$7,2,FALSE),"")</f>
        <v/>
      </c>
      <c r="J119" s="162"/>
      <c r="K119" s="386" t="str">
        <f>IFERROR(INDEX('G-8 Condition Look up'!$A$3:$H$135,MATCH(F119,'G-8 Condition Look up'!$A$3:$A$135,0),MATCH(J119,'G-8 Condition Look up'!$A$3:$H$3,0)),"")</f>
        <v/>
      </c>
      <c r="L119" s="114"/>
      <c r="M119" s="401" t="str">
        <f>IF(L119="","",IF(VLOOKUP(L119,'G-3 Multipliers'!$L$3:$N$6,2,FALSE)=0,"Spatial Data Missing ⚠",VLOOKUP(L119,'G-3 Multipliers'!$L$3:$N$6,2,FALSE)))</f>
        <v/>
      </c>
      <c r="N119" s="363" t="str">
        <f>IF(L119="","",IF(VLOOKUP(L119,'G-3 Multipliers'!$L$3:$N$6,3,FALSE)=0,"Spatial Data Missing ⚠",VLOOKUP(L119,'G-3 Multipliers'!$L$3:$N$6,3,FALSE)))</f>
        <v/>
      </c>
      <c r="O119" s="362" t="str">
        <f t="shared" si="6"/>
        <v/>
      </c>
      <c r="P119" s="159"/>
      <c r="Q119" s="159"/>
      <c r="R119" s="382" t="str">
        <f t="shared" si="7"/>
        <v/>
      </c>
      <c r="S119" s="404" t="str">
        <f t="shared" si="8"/>
        <v/>
      </c>
      <c r="T119" s="387" t="str">
        <f>IFERROR(IF(S119="Check Data ⚠","Check Data ⚠",VLOOKUP(S119,'G-4 Temporal multipliers'!$A$4:$C$37,3,FALSE)),"")</f>
        <v/>
      </c>
      <c r="U119" s="385" t="str">
        <f>IF(F119="","",VLOOKUP(F119,'G-3 Multipliers'!$A$2:$E$134,2,FALSE))</f>
        <v/>
      </c>
      <c r="V119" s="382" t="str">
        <f t="shared" si="11"/>
        <v/>
      </c>
      <c r="W119" s="382" t="str">
        <f>IF(E119="","",IF(AND(V119="Standard difficulty applied",O119&gt;P119),U119,IF(AND(V119="Low Difficulty - only applicable if all habitat created before losses ⚠",P119&gt;=O119),"Low",VLOOKUP(F119,'G-3 Multipliers'!$A$2:$E$134,4,FALSE))))</f>
        <v/>
      </c>
      <c r="X119" s="386" t="str">
        <f>IFERROR(IF(E119="","",VLOOKUP(W119, 'G-3 Multipliers'!$P$2:$Q$6,2,FALSE)),"")</f>
        <v/>
      </c>
      <c r="Y119" s="516"/>
      <c r="Z119" s="724" t="str">
        <f>IF(Y119="","",IF(VLOOKUP(Y119,'G-3 Multipliers'!$S$3:$T$10,2,FALSE)=0,"Spatial Data Missing ⚠",VLOOKUP(Y119,'G-3 Multipliers'!$S$3:$T$10,2,FALSE)))</f>
        <v/>
      </c>
      <c r="AA119" s="741" t="str">
        <f t="shared" si="9"/>
        <v/>
      </c>
      <c r="AB119" s="405" t="str">
        <f t="shared" si="10"/>
        <v/>
      </c>
      <c r="AC119" s="119"/>
      <c r="AD119" s="528"/>
      <c r="AE119" s="120"/>
      <c r="AF119" s="120"/>
    </row>
    <row r="120" spans="1:32" ht="15">
      <c r="A120" s="30" t="str">
        <f>IFERROR(INDEX('G-8 Condition Look up'!$I$4:$I$135,MATCH(F120,'G-8 Condition Look up'!$A$4:$A$135,0)),"")</f>
        <v/>
      </c>
      <c r="C120" s="75" t="str">
        <f>IFERROR(INDEX('G-1 All Habitats'!$AG$3:$AG$17,MATCH(D120,'G-1 All Habitats'!$AF$3:$AF$17,0)),"")</f>
        <v/>
      </c>
      <c r="D120" s="122"/>
      <c r="E120" s="165"/>
      <c r="F120" s="198" t="str">
        <f>IFERROR(INDEX('G-1 All Habitats'!$B$3:$B$135,MATCH(E120,'G-1 All Habitats'!$A$3:$A$135,0)),"")</f>
        <v/>
      </c>
      <c r="G120" s="300"/>
      <c r="H120" s="398" t="str">
        <f>IF(F120="","",VLOOKUP(F120,'G-1 All Habitats'!$B$2:$M$134,10,FALSE))</f>
        <v/>
      </c>
      <c r="I120" s="386" t="str">
        <f>IFERROR(VLOOKUP(H120,'G-1 All Habitats'!$V$3:$W$7,2,FALSE),"")</f>
        <v/>
      </c>
      <c r="J120" s="162"/>
      <c r="K120" s="386" t="str">
        <f>IFERROR(INDEX('G-8 Condition Look up'!$A$3:$H$135,MATCH(F120,'G-8 Condition Look up'!$A$3:$A$135,0),MATCH(J120,'G-8 Condition Look up'!$A$3:$H$3,0)),"")</f>
        <v/>
      </c>
      <c r="L120" s="114"/>
      <c r="M120" s="401" t="str">
        <f>IF(L120="","",IF(VLOOKUP(L120,'G-3 Multipliers'!$L$3:$N$6,2,FALSE)=0,"Spatial Data Missing ⚠",VLOOKUP(L120,'G-3 Multipliers'!$L$3:$N$6,2,FALSE)))</f>
        <v/>
      </c>
      <c r="N120" s="363" t="str">
        <f>IF(L120="","",IF(VLOOKUP(L120,'G-3 Multipliers'!$L$3:$N$6,3,FALSE)=0,"Spatial Data Missing ⚠",VLOOKUP(L120,'G-3 Multipliers'!$L$3:$N$6,3,FALSE)))</f>
        <v/>
      </c>
      <c r="O120" s="362" t="str">
        <f t="shared" si="6"/>
        <v/>
      </c>
      <c r="P120" s="159"/>
      <c r="Q120" s="159"/>
      <c r="R120" s="382" t="str">
        <f t="shared" si="7"/>
        <v/>
      </c>
      <c r="S120" s="404" t="str">
        <f t="shared" si="8"/>
        <v/>
      </c>
      <c r="T120" s="387" t="str">
        <f>IFERROR(IF(S120="Check Data ⚠","Check Data ⚠",VLOOKUP(S120,'G-4 Temporal multipliers'!$A$4:$C$37,3,FALSE)),"")</f>
        <v/>
      </c>
      <c r="U120" s="385" t="str">
        <f>IF(F120="","",VLOOKUP(F120,'G-3 Multipliers'!$A$2:$E$134,2,FALSE))</f>
        <v/>
      </c>
      <c r="V120" s="382" t="str">
        <f t="shared" si="11"/>
        <v/>
      </c>
      <c r="W120" s="382" t="str">
        <f>IF(E120="","",IF(AND(V120="Standard difficulty applied",O120&gt;P120),U120,IF(AND(V120="Low Difficulty - only applicable if all habitat created before losses ⚠",P120&gt;=O120),"Low",VLOOKUP(F120,'G-3 Multipliers'!$A$2:$E$134,4,FALSE))))</f>
        <v/>
      </c>
      <c r="X120" s="386" t="str">
        <f>IFERROR(IF(E120="","",VLOOKUP(W120, 'G-3 Multipliers'!$P$2:$Q$6,2,FALSE)),"")</f>
        <v/>
      </c>
      <c r="Y120" s="516"/>
      <c r="Z120" s="724" t="str">
        <f>IF(Y120="","",IF(VLOOKUP(Y120,'G-3 Multipliers'!$S$3:$T$10,2,FALSE)=0,"Spatial Data Missing ⚠",VLOOKUP(Y120,'G-3 Multipliers'!$S$3:$T$10,2,FALSE)))</f>
        <v/>
      </c>
      <c r="AA120" s="741" t="str">
        <f t="shared" si="9"/>
        <v/>
      </c>
      <c r="AB120" s="405" t="str">
        <f t="shared" si="10"/>
        <v/>
      </c>
      <c r="AC120" s="119"/>
      <c r="AD120" s="528"/>
      <c r="AE120" s="120"/>
      <c r="AF120" s="120"/>
    </row>
    <row r="121" spans="1:32" ht="15">
      <c r="A121" s="30" t="str">
        <f>IFERROR(INDEX('G-8 Condition Look up'!$I$4:$I$135,MATCH(F121,'G-8 Condition Look up'!$A$4:$A$135,0)),"")</f>
        <v/>
      </c>
      <c r="C121" s="75" t="str">
        <f>IFERROR(INDEX('G-1 All Habitats'!$AG$3:$AG$17,MATCH(D121,'G-1 All Habitats'!$AF$3:$AF$17,0)),"")</f>
        <v/>
      </c>
      <c r="D121" s="122"/>
      <c r="E121" s="165"/>
      <c r="F121" s="198" t="str">
        <f>IFERROR(INDEX('G-1 All Habitats'!$B$3:$B$135,MATCH(E121,'G-1 All Habitats'!$A$3:$A$135,0)),"")</f>
        <v/>
      </c>
      <c r="G121" s="300"/>
      <c r="H121" s="398" t="str">
        <f>IF(F121="","",VLOOKUP(F121,'G-1 All Habitats'!$B$2:$M$134,10,FALSE))</f>
        <v/>
      </c>
      <c r="I121" s="386" t="str">
        <f>IFERROR(VLOOKUP(H121,'G-1 All Habitats'!$V$3:$W$7,2,FALSE),"")</f>
        <v/>
      </c>
      <c r="J121" s="162"/>
      <c r="K121" s="386" t="str">
        <f>IFERROR(INDEX('G-8 Condition Look up'!$A$3:$H$135,MATCH(F121,'G-8 Condition Look up'!$A$3:$A$135,0),MATCH(J121,'G-8 Condition Look up'!$A$3:$H$3,0)),"")</f>
        <v/>
      </c>
      <c r="L121" s="114"/>
      <c r="M121" s="401" t="str">
        <f>IF(L121="","",IF(VLOOKUP(L121,'G-3 Multipliers'!$L$3:$N$6,2,FALSE)=0,"Spatial Data Missing ⚠",VLOOKUP(L121,'G-3 Multipliers'!$L$3:$N$6,2,FALSE)))</f>
        <v/>
      </c>
      <c r="N121" s="363" t="str">
        <f>IF(L121="","",IF(VLOOKUP(L121,'G-3 Multipliers'!$L$3:$N$6,3,FALSE)=0,"Spatial Data Missing ⚠",VLOOKUP(L121,'G-3 Multipliers'!$L$3:$N$6,3,FALSE)))</f>
        <v/>
      </c>
      <c r="O121" s="362" t="str">
        <f t="shared" si="6"/>
        <v/>
      </c>
      <c r="P121" s="159"/>
      <c r="Q121" s="159"/>
      <c r="R121" s="382" t="str">
        <f t="shared" si="7"/>
        <v/>
      </c>
      <c r="S121" s="404" t="str">
        <f t="shared" si="8"/>
        <v/>
      </c>
      <c r="T121" s="387" t="str">
        <f>IFERROR(IF(S121="Check Data ⚠","Check Data ⚠",VLOOKUP(S121,'G-4 Temporal multipliers'!$A$4:$C$37,3,FALSE)),"")</f>
        <v/>
      </c>
      <c r="U121" s="385" t="str">
        <f>IF(F121="","",VLOOKUP(F121,'G-3 Multipliers'!$A$2:$E$134,2,FALSE))</f>
        <v/>
      </c>
      <c r="V121" s="382" t="str">
        <f t="shared" si="11"/>
        <v/>
      </c>
      <c r="W121" s="382" t="str">
        <f>IF(E121="","",IF(AND(V121="Standard difficulty applied",O121&gt;P121),U121,IF(AND(V121="Low Difficulty - only applicable if all habitat created before losses ⚠",P121&gt;=O121),"Low",VLOOKUP(F121,'G-3 Multipliers'!$A$2:$E$134,4,FALSE))))</f>
        <v/>
      </c>
      <c r="X121" s="386" t="str">
        <f>IFERROR(IF(E121="","",VLOOKUP(W121, 'G-3 Multipliers'!$P$2:$Q$6,2,FALSE)),"")</f>
        <v/>
      </c>
      <c r="Y121" s="516"/>
      <c r="Z121" s="724" t="str">
        <f>IF(Y121="","",IF(VLOOKUP(Y121,'G-3 Multipliers'!$S$3:$T$10,2,FALSE)=0,"Spatial Data Missing ⚠",VLOOKUP(Y121,'G-3 Multipliers'!$S$3:$T$10,2,FALSE)))</f>
        <v/>
      </c>
      <c r="AA121" s="741" t="str">
        <f t="shared" si="9"/>
        <v/>
      </c>
      <c r="AB121" s="405" t="str">
        <f t="shared" si="10"/>
        <v/>
      </c>
      <c r="AC121" s="119"/>
      <c r="AD121" s="528"/>
      <c r="AE121" s="120"/>
      <c r="AF121" s="120"/>
    </row>
    <row r="122" spans="1:32" ht="15">
      <c r="A122" s="30" t="str">
        <f>IFERROR(INDEX('G-8 Condition Look up'!$I$4:$I$135,MATCH(F122,'G-8 Condition Look up'!$A$4:$A$135,0)),"")</f>
        <v/>
      </c>
      <c r="C122" s="75" t="str">
        <f>IFERROR(INDEX('G-1 All Habitats'!$AG$3:$AG$17,MATCH(D122,'G-1 All Habitats'!$AF$3:$AF$17,0)),"")</f>
        <v/>
      </c>
      <c r="D122" s="122"/>
      <c r="E122" s="165"/>
      <c r="F122" s="198" t="str">
        <f>IFERROR(INDEX('G-1 All Habitats'!$B$3:$B$135,MATCH(E122,'G-1 All Habitats'!$A$3:$A$135,0)),"")</f>
        <v/>
      </c>
      <c r="G122" s="300"/>
      <c r="H122" s="398" t="str">
        <f>IF(F122="","",VLOOKUP(F122,'G-1 All Habitats'!$B$2:$M$134,10,FALSE))</f>
        <v/>
      </c>
      <c r="I122" s="386" t="str">
        <f>IFERROR(VLOOKUP(H122,'G-1 All Habitats'!$V$3:$W$7,2,FALSE),"")</f>
        <v/>
      </c>
      <c r="J122" s="162"/>
      <c r="K122" s="386" t="str">
        <f>IFERROR(INDEX('G-8 Condition Look up'!$A$3:$H$135,MATCH(F122,'G-8 Condition Look up'!$A$3:$A$135,0),MATCH(J122,'G-8 Condition Look up'!$A$3:$H$3,0)),"")</f>
        <v/>
      </c>
      <c r="L122" s="114"/>
      <c r="M122" s="401" t="str">
        <f>IF(L122="","",IF(VLOOKUP(L122,'G-3 Multipliers'!$L$3:$N$6,2,FALSE)=0,"Spatial Data Missing ⚠",VLOOKUP(L122,'G-3 Multipliers'!$L$3:$N$6,2,FALSE)))</f>
        <v/>
      </c>
      <c r="N122" s="363" t="str">
        <f>IF(L122="","",IF(VLOOKUP(L122,'G-3 Multipliers'!$L$3:$N$6,3,FALSE)=0,"Spatial Data Missing ⚠",VLOOKUP(L122,'G-3 Multipliers'!$L$3:$N$6,3,FALSE)))</f>
        <v/>
      </c>
      <c r="O122" s="362" t="str">
        <f t="shared" si="6"/>
        <v/>
      </c>
      <c r="P122" s="159"/>
      <c r="Q122" s="159"/>
      <c r="R122" s="382" t="str">
        <f t="shared" si="7"/>
        <v/>
      </c>
      <c r="S122" s="404" t="str">
        <f t="shared" si="8"/>
        <v/>
      </c>
      <c r="T122" s="387" t="str">
        <f>IFERROR(IF(S122="Check Data ⚠","Check Data ⚠",VLOOKUP(S122,'G-4 Temporal multipliers'!$A$4:$C$37,3,FALSE)),"")</f>
        <v/>
      </c>
      <c r="U122" s="385" t="str">
        <f>IF(F122="","",VLOOKUP(F122,'G-3 Multipliers'!$A$2:$E$134,2,FALSE))</f>
        <v/>
      </c>
      <c r="V122" s="382" t="str">
        <f t="shared" si="11"/>
        <v/>
      </c>
      <c r="W122" s="382" t="str">
        <f>IF(E122="","",IF(AND(V122="Standard difficulty applied",O122&gt;P122),U122,IF(AND(V122="Low Difficulty - only applicable if all habitat created before losses ⚠",P122&gt;=O122),"Low",VLOOKUP(F122,'G-3 Multipliers'!$A$2:$E$134,4,FALSE))))</f>
        <v/>
      </c>
      <c r="X122" s="386" t="str">
        <f>IFERROR(IF(E122="","",VLOOKUP(W122, 'G-3 Multipliers'!$P$2:$Q$6,2,FALSE)),"")</f>
        <v/>
      </c>
      <c r="Y122" s="516"/>
      <c r="Z122" s="724" t="str">
        <f>IF(Y122="","",IF(VLOOKUP(Y122,'G-3 Multipliers'!$S$3:$T$10,2,FALSE)=0,"Spatial Data Missing ⚠",VLOOKUP(Y122,'G-3 Multipliers'!$S$3:$T$10,2,FALSE)))</f>
        <v/>
      </c>
      <c r="AA122" s="741" t="str">
        <f t="shared" si="9"/>
        <v/>
      </c>
      <c r="AB122" s="405" t="str">
        <f t="shared" si="10"/>
        <v/>
      </c>
      <c r="AC122" s="119"/>
      <c r="AD122" s="528"/>
      <c r="AE122" s="120"/>
      <c r="AF122" s="120"/>
    </row>
    <row r="123" spans="1:32" ht="15">
      <c r="A123" s="30" t="str">
        <f>IFERROR(INDEX('G-8 Condition Look up'!$I$4:$I$135,MATCH(F123,'G-8 Condition Look up'!$A$4:$A$135,0)),"")</f>
        <v/>
      </c>
      <c r="C123" s="75" t="str">
        <f>IFERROR(INDEX('G-1 All Habitats'!$AG$3:$AG$17,MATCH(D123,'G-1 All Habitats'!$AF$3:$AF$17,0)),"")</f>
        <v/>
      </c>
      <c r="D123" s="122"/>
      <c r="E123" s="165"/>
      <c r="F123" s="198" t="str">
        <f>IFERROR(INDEX('G-1 All Habitats'!$B$3:$B$135,MATCH(E123,'G-1 All Habitats'!$A$3:$A$135,0)),"")</f>
        <v/>
      </c>
      <c r="G123" s="300"/>
      <c r="H123" s="398" t="str">
        <f>IF(F123="","",VLOOKUP(F123,'G-1 All Habitats'!$B$2:$M$134,10,FALSE))</f>
        <v/>
      </c>
      <c r="I123" s="386" t="str">
        <f>IFERROR(VLOOKUP(H123,'G-1 All Habitats'!$V$3:$W$7,2,FALSE),"")</f>
        <v/>
      </c>
      <c r="J123" s="162"/>
      <c r="K123" s="386" t="str">
        <f>IFERROR(INDEX('G-8 Condition Look up'!$A$3:$H$135,MATCH(F123,'G-8 Condition Look up'!$A$3:$A$135,0),MATCH(J123,'G-8 Condition Look up'!$A$3:$H$3,0)),"")</f>
        <v/>
      </c>
      <c r="L123" s="114"/>
      <c r="M123" s="401" t="str">
        <f>IF(L123="","",IF(VLOOKUP(L123,'G-3 Multipliers'!$L$3:$N$6,2,FALSE)=0,"Spatial Data Missing ⚠",VLOOKUP(L123,'G-3 Multipliers'!$L$3:$N$6,2,FALSE)))</f>
        <v/>
      </c>
      <c r="N123" s="363" t="str">
        <f>IF(L123="","",IF(VLOOKUP(L123,'G-3 Multipliers'!$L$3:$N$6,3,FALSE)=0,"Spatial Data Missing ⚠",VLOOKUP(L123,'G-3 Multipliers'!$L$3:$N$6,3,FALSE)))</f>
        <v/>
      </c>
      <c r="O123" s="362" t="str">
        <f t="shared" si="6"/>
        <v/>
      </c>
      <c r="P123" s="159"/>
      <c r="Q123" s="159"/>
      <c r="R123" s="382" t="str">
        <f t="shared" si="7"/>
        <v/>
      </c>
      <c r="S123" s="404" t="str">
        <f t="shared" si="8"/>
        <v/>
      </c>
      <c r="T123" s="387" t="str">
        <f>IFERROR(IF(S123="Check Data ⚠","Check Data ⚠",VLOOKUP(S123,'G-4 Temporal multipliers'!$A$4:$C$37,3,FALSE)),"")</f>
        <v/>
      </c>
      <c r="U123" s="385" t="str">
        <f>IF(F123="","",VLOOKUP(F123,'G-3 Multipliers'!$A$2:$E$134,2,FALSE))</f>
        <v/>
      </c>
      <c r="V123" s="382" t="str">
        <f t="shared" si="11"/>
        <v/>
      </c>
      <c r="W123" s="382" t="str">
        <f>IF(E123="","",IF(AND(V123="Standard difficulty applied",O123&gt;P123),U123,IF(AND(V123="Low Difficulty - only applicable if all habitat created before losses ⚠",P123&gt;=O123),"Low",VLOOKUP(F123,'G-3 Multipliers'!$A$2:$E$134,4,FALSE))))</f>
        <v/>
      </c>
      <c r="X123" s="386" t="str">
        <f>IFERROR(IF(E123="","",VLOOKUP(W123, 'G-3 Multipliers'!$P$2:$Q$6,2,FALSE)),"")</f>
        <v/>
      </c>
      <c r="Y123" s="516"/>
      <c r="Z123" s="724" t="str">
        <f>IF(Y123="","",IF(VLOOKUP(Y123,'G-3 Multipliers'!$S$3:$T$10,2,FALSE)=0,"Spatial Data Missing ⚠",VLOOKUP(Y123,'G-3 Multipliers'!$S$3:$T$10,2,FALSE)))</f>
        <v/>
      </c>
      <c r="AA123" s="741" t="str">
        <f t="shared" si="9"/>
        <v/>
      </c>
      <c r="AB123" s="405" t="str">
        <f t="shared" si="10"/>
        <v/>
      </c>
      <c r="AC123" s="119"/>
      <c r="AD123" s="528"/>
      <c r="AE123" s="120"/>
      <c r="AF123" s="120"/>
    </row>
    <row r="124" spans="1:32" ht="15">
      <c r="A124" s="30" t="str">
        <f>IFERROR(INDEX('G-8 Condition Look up'!$I$4:$I$135,MATCH(F124,'G-8 Condition Look up'!$A$4:$A$135,0)),"")</f>
        <v/>
      </c>
      <c r="C124" s="75" t="str">
        <f>IFERROR(INDEX('G-1 All Habitats'!$AG$3:$AG$17,MATCH(D124,'G-1 All Habitats'!$AF$3:$AF$17,0)),"")</f>
        <v/>
      </c>
      <c r="D124" s="122"/>
      <c r="E124" s="165"/>
      <c r="F124" s="198" t="str">
        <f>IFERROR(INDEX('G-1 All Habitats'!$B$3:$B$135,MATCH(E124,'G-1 All Habitats'!$A$3:$A$135,0)),"")</f>
        <v/>
      </c>
      <c r="G124" s="300"/>
      <c r="H124" s="398" t="str">
        <f>IF(F124="","",VLOOKUP(F124,'G-1 All Habitats'!$B$2:$M$134,10,FALSE))</f>
        <v/>
      </c>
      <c r="I124" s="386" t="str">
        <f>IFERROR(VLOOKUP(H124,'G-1 All Habitats'!$V$3:$W$7,2,FALSE),"")</f>
        <v/>
      </c>
      <c r="J124" s="162"/>
      <c r="K124" s="386" t="str">
        <f>IFERROR(INDEX('G-8 Condition Look up'!$A$3:$H$135,MATCH(F124,'G-8 Condition Look up'!$A$3:$A$135,0),MATCH(J124,'G-8 Condition Look up'!$A$3:$H$3,0)),"")</f>
        <v/>
      </c>
      <c r="L124" s="114"/>
      <c r="M124" s="401" t="str">
        <f>IF(L124="","",IF(VLOOKUP(L124,'G-3 Multipliers'!$L$3:$N$6,2,FALSE)=0,"Spatial Data Missing ⚠",VLOOKUP(L124,'G-3 Multipliers'!$L$3:$N$6,2,FALSE)))</f>
        <v/>
      </c>
      <c r="N124" s="363" t="str">
        <f>IF(L124="","",IF(VLOOKUP(L124,'G-3 Multipliers'!$L$3:$N$6,3,FALSE)=0,"Spatial Data Missing ⚠",VLOOKUP(L124,'G-3 Multipliers'!$L$3:$N$6,3,FALSE)))</f>
        <v/>
      </c>
      <c r="O124" s="362" t="str">
        <f t="shared" si="6"/>
        <v/>
      </c>
      <c r="P124" s="159"/>
      <c r="Q124" s="159"/>
      <c r="R124" s="382" t="str">
        <f t="shared" si="7"/>
        <v/>
      </c>
      <c r="S124" s="404" t="str">
        <f t="shared" si="8"/>
        <v/>
      </c>
      <c r="T124" s="387" t="str">
        <f>IFERROR(IF(S124="Check Data ⚠","Check Data ⚠",VLOOKUP(S124,'G-4 Temporal multipliers'!$A$4:$C$37,3,FALSE)),"")</f>
        <v/>
      </c>
      <c r="U124" s="385" t="str">
        <f>IF(F124="","",VLOOKUP(F124,'G-3 Multipliers'!$A$2:$E$134,2,FALSE))</f>
        <v/>
      </c>
      <c r="V124" s="382" t="str">
        <f t="shared" si="11"/>
        <v/>
      </c>
      <c r="W124" s="382" t="str">
        <f>IF(E124="","",IF(AND(V124="Standard difficulty applied",O124&gt;P124),U124,IF(AND(V124="Low Difficulty - only applicable if all habitat created before losses ⚠",P124&gt;=O124),"Low",VLOOKUP(F124,'G-3 Multipliers'!$A$2:$E$134,4,FALSE))))</f>
        <v/>
      </c>
      <c r="X124" s="386" t="str">
        <f>IFERROR(IF(E124="","",VLOOKUP(W124, 'G-3 Multipliers'!$P$2:$Q$6,2,FALSE)),"")</f>
        <v/>
      </c>
      <c r="Y124" s="516"/>
      <c r="Z124" s="724" t="str">
        <f>IF(Y124="","",IF(VLOOKUP(Y124,'G-3 Multipliers'!$S$3:$T$10,2,FALSE)=0,"Spatial Data Missing ⚠",VLOOKUP(Y124,'G-3 Multipliers'!$S$3:$T$10,2,FALSE)))</f>
        <v/>
      </c>
      <c r="AA124" s="741" t="str">
        <f t="shared" si="9"/>
        <v/>
      </c>
      <c r="AB124" s="405" t="str">
        <f t="shared" si="10"/>
        <v/>
      </c>
      <c r="AC124" s="119"/>
      <c r="AD124" s="528"/>
      <c r="AE124" s="120"/>
      <c r="AF124" s="120"/>
    </row>
    <row r="125" spans="1:32" ht="15">
      <c r="A125" s="30" t="str">
        <f>IFERROR(INDEX('G-8 Condition Look up'!$I$4:$I$135,MATCH(F125,'G-8 Condition Look up'!$A$4:$A$135,0)),"")</f>
        <v/>
      </c>
      <c r="C125" s="75" t="str">
        <f>IFERROR(INDEX('G-1 All Habitats'!$AG$3:$AG$17,MATCH(D125,'G-1 All Habitats'!$AF$3:$AF$17,0)),"")</f>
        <v/>
      </c>
      <c r="D125" s="122"/>
      <c r="E125" s="165"/>
      <c r="F125" s="198" t="str">
        <f>IFERROR(INDEX('G-1 All Habitats'!$B$3:$B$135,MATCH(E125,'G-1 All Habitats'!$A$3:$A$135,0)),"")</f>
        <v/>
      </c>
      <c r="G125" s="300"/>
      <c r="H125" s="398" t="str">
        <f>IF(F125="","",VLOOKUP(F125,'G-1 All Habitats'!$B$2:$M$134,10,FALSE))</f>
        <v/>
      </c>
      <c r="I125" s="386" t="str">
        <f>IFERROR(VLOOKUP(H125,'G-1 All Habitats'!$V$3:$W$7,2,FALSE),"")</f>
        <v/>
      </c>
      <c r="J125" s="162"/>
      <c r="K125" s="386" t="str">
        <f>IFERROR(INDEX('G-8 Condition Look up'!$A$3:$H$135,MATCH(F125,'G-8 Condition Look up'!$A$3:$A$135,0),MATCH(J125,'G-8 Condition Look up'!$A$3:$H$3,0)),"")</f>
        <v/>
      </c>
      <c r="L125" s="114"/>
      <c r="M125" s="401" t="str">
        <f>IF(L125="","",IF(VLOOKUP(L125,'G-3 Multipliers'!$L$3:$N$6,2,FALSE)=0,"Spatial Data Missing ⚠",VLOOKUP(L125,'G-3 Multipliers'!$L$3:$N$6,2,FALSE)))</f>
        <v/>
      </c>
      <c r="N125" s="363" t="str">
        <f>IF(L125="","",IF(VLOOKUP(L125,'G-3 Multipliers'!$L$3:$N$6,3,FALSE)=0,"Spatial Data Missing ⚠",VLOOKUP(L125,'G-3 Multipliers'!$L$3:$N$6,3,FALSE)))</f>
        <v/>
      </c>
      <c r="O125" s="362" t="str">
        <f t="shared" si="6"/>
        <v/>
      </c>
      <c r="P125" s="159"/>
      <c r="Q125" s="159"/>
      <c r="R125" s="382" t="str">
        <f t="shared" si="7"/>
        <v/>
      </c>
      <c r="S125" s="404" t="str">
        <f t="shared" si="8"/>
        <v/>
      </c>
      <c r="T125" s="387" t="str">
        <f>IFERROR(IF(S125="Check Data ⚠","Check Data ⚠",VLOOKUP(S125,'G-4 Temporal multipliers'!$A$4:$C$37,3,FALSE)),"")</f>
        <v/>
      </c>
      <c r="U125" s="385" t="str">
        <f>IF(F125="","",VLOOKUP(F125,'G-3 Multipliers'!$A$2:$E$134,2,FALSE))</f>
        <v/>
      </c>
      <c r="V125" s="382" t="str">
        <f t="shared" si="11"/>
        <v/>
      </c>
      <c r="W125" s="382" t="str">
        <f>IF(E125="","",IF(AND(V125="Standard difficulty applied",O125&gt;P125),U125,IF(AND(V125="Low Difficulty - only applicable if all habitat created before losses ⚠",P125&gt;=O125),"Low",VLOOKUP(F125,'G-3 Multipliers'!$A$2:$E$134,4,FALSE))))</f>
        <v/>
      </c>
      <c r="X125" s="386" t="str">
        <f>IFERROR(IF(E125="","",VLOOKUP(W125, 'G-3 Multipliers'!$P$2:$Q$6,2,FALSE)),"")</f>
        <v/>
      </c>
      <c r="Y125" s="516"/>
      <c r="Z125" s="724" t="str">
        <f>IF(Y125="","",IF(VLOOKUP(Y125,'G-3 Multipliers'!$S$3:$T$10,2,FALSE)=0,"Spatial Data Missing ⚠",VLOOKUP(Y125,'G-3 Multipliers'!$S$3:$T$10,2,FALSE)))</f>
        <v/>
      </c>
      <c r="AA125" s="741" t="str">
        <f t="shared" si="9"/>
        <v/>
      </c>
      <c r="AB125" s="405" t="str">
        <f t="shared" si="10"/>
        <v/>
      </c>
      <c r="AC125" s="119"/>
      <c r="AD125" s="528"/>
      <c r="AE125" s="120"/>
      <c r="AF125" s="120"/>
    </row>
    <row r="126" spans="1:32" ht="15">
      <c r="A126" s="30" t="str">
        <f>IFERROR(INDEX('G-8 Condition Look up'!$I$4:$I$135,MATCH(F126,'G-8 Condition Look up'!$A$4:$A$135,0)),"")</f>
        <v/>
      </c>
      <c r="C126" s="75" t="str">
        <f>IFERROR(INDEX('G-1 All Habitats'!$AG$3:$AG$17,MATCH(D126,'G-1 All Habitats'!$AF$3:$AF$17,0)),"")</f>
        <v/>
      </c>
      <c r="D126" s="122"/>
      <c r="E126" s="165"/>
      <c r="F126" s="198" t="str">
        <f>IFERROR(INDEX('G-1 All Habitats'!$B$3:$B$135,MATCH(E126,'G-1 All Habitats'!$A$3:$A$135,0)),"")</f>
        <v/>
      </c>
      <c r="G126" s="300"/>
      <c r="H126" s="398" t="str">
        <f>IF(F126="","",VLOOKUP(F126,'G-1 All Habitats'!$B$2:$M$134,10,FALSE))</f>
        <v/>
      </c>
      <c r="I126" s="386" t="str">
        <f>IFERROR(VLOOKUP(H126,'G-1 All Habitats'!$V$3:$W$7,2,FALSE),"")</f>
        <v/>
      </c>
      <c r="J126" s="162"/>
      <c r="K126" s="386" t="str">
        <f>IFERROR(INDEX('G-8 Condition Look up'!$A$3:$H$135,MATCH(F126,'G-8 Condition Look up'!$A$3:$A$135,0),MATCH(J126,'G-8 Condition Look up'!$A$3:$H$3,0)),"")</f>
        <v/>
      </c>
      <c r="L126" s="114"/>
      <c r="M126" s="401" t="str">
        <f>IF(L126="","",IF(VLOOKUP(L126,'G-3 Multipliers'!$L$3:$N$6,2,FALSE)=0,"Spatial Data Missing ⚠",VLOOKUP(L126,'G-3 Multipliers'!$L$3:$N$6,2,FALSE)))</f>
        <v/>
      </c>
      <c r="N126" s="363" t="str">
        <f>IF(L126="","",IF(VLOOKUP(L126,'G-3 Multipliers'!$L$3:$N$6,3,FALSE)=0,"Spatial Data Missing ⚠",VLOOKUP(L126,'G-3 Multipliers'!$L$3:$N$6,3,FALSE)))</f>
        <v/>
      </c>
      <c r="O126" s="362" t="str">
        <f t="shared" si="6"/>
        <v/>
      </c>
      <c r="P126" s="159"/>
      <c r="Q126" s="159"/>
      <c r="R126" s="382" t="str">
        <f t="shared" si="7"/>
        <v/>
      </c>
      <c r="S126" s="404" t="str">
        <f t="shared" si="8"/>
        <v/>
      </c>
      <c r="T126" s="387" t="str">
        <f>IFERROR(IF(S126="Check Data ⚠","Check Data ⚠",VLOOKUP(S126,'G-4 Temporal multipliers'!$A$4:$C$37,3,FALSE)),"")</f>
        <v/>
      </c>
      <c r="U126" s="385" t="str">
        <f>IF(F126="","",VLOOKUP(F126,'G-3 Multipliers'!$A$2:$E$134,2,FALSE))</f>
        <v/>
      </c>
      <c r="V126" s="382" t="str">
        <f t="shared" si="11"/>
        <v/>
      </c>
      <c r="W126" s="382" t="str">
        <f>IF(E126="","",IF(AND(V126="Standard difficulty applied",O126&gt;P126),U126,IF(AND(V126="Low Difficulty - only applicable if all habitat created before losses ⚠",P126&gt;=O126),"Low",VLOOKUP(F126,'G-3 Multipliers'!$A$2:$E$134,4,FALSE))))</f>
        <v/>
      </c>
      <c r="X126" s="386" t="str">
        <f>IFERROR(IF(E126="","",VLOOKUP(W126, 'G-3 Multipliers'!$P$2:$Q$6,2,FALSE)),"")</f>
        <v/>
      </c>
      <c r="Y126" s="516"/>
      <c r="Z126" s="724" t="str">
        <f>IF(Y126="","",IF(VLOOKUP(Y126,'G-3 Multipliers'!$S$3:$T$10,2,FALSE)=0,"Spatial Data Missing ⚠",VLOOKUP(Y126,'G-3 Multipliers'!$S$3:$T$10,2,FALSE)))</f>
        <v/>
      </c>
      <c r="AA126" s="741" t="str">
        <f t="shared" si="9"/>
        <v/>
      </c>
      <c r="AB126" s="405" t="str">
        <f t="shared" si="10"/>
        <v/>
      </c>
      <c r="AC126" s="119"/>
      <c r="AD126" s="528"/>
      <c r="AE126" s="120"/>
      <c r="AF126" s="120"/>
    </row>
    <row r="127" spans="1:32" ht="15">
      <c r="A127" s="30" t="str">
        <f>IFERROR(INDEX('G-8 Condition Look up'!$I$4:$I$135,MATCH(F127,'G-8 Condition Look up'!$A$4:$A$135,0)),"")</f>
        <v/>
      </c>
      <c r="C127" s="75" t="str">
        <f>IFERROR(INDEX('G-1 All Habitats'!$AG$3:$AG$17,MATCH(D127,'G-1 All Habitats'!$AF$3:$AF$17,0)),"")</f>
        <v/>
      </c>
      <c r="D127" s="122"/>
      <c r="E127" s="165"/>
      <c r="F127" s="198" t="str">
        <f>IFERROR(INDEX('G-1 All Habitats'!$B$3:$B$135,MATCH(E127,'G-1 All Habitats'!$A$3:$A$135,0)),"")</f>
        <v/>
      </c>
      <c r="G127" s="300"/>
      <c r="H127" s="398" t="str">
        <f>IF(F127="","",VLOOKUP(F127,'G-1 All Habitats'!$B$2:$M$134,10,FALSE))</f>
        <v/>
      </c>
      <c r="I127" s="386" t="str">
        <f>IFERROR(VLOOKUP(H127,'G-1 All Habitats'!$V$3:$W$7,2,FALSE),"")</f>
        <v/>
      </c>
      <c r="J127" s="162"/>
      <c r="K127" s="386" t="str">
        <f>IFERROR(INDEX('G-8 Condition Look up'!$A$3:$H$135,MATCH(F127,'G-8 Condition Look up'!$A$3:$A$135,0),MATCH(J127,'G-8 Condition Look up'!$A$3:$H$3,0)),"")</f>
        <v/>
      </c>
      <c r="L127" s="114"/>
      <c r="M127" s="401" t="str">
        <f>IF(L127="","",IF(VLOOKUP(L127,'G-3 Multipliers'!$L$3:$N$6,2,FALSE)=0,"Spatial Data Missing ⚠",VLOOKUP(L127,'G-3 Multipliers'!$L$3:$N$6,2,FALSE)))</f>
        <v/>
      </c>
      <c r="N127" s="363" t="str">
        <f>IF(L127="","",IF(VLOOKUP(L127,'G-3 Multipliers'!$L$3:$N$6,3,FALSE)=0,"Spatial Data Missing ⚠",VLOOKUP(L127,'G-3 Multipliers'!$L$3:$N$6,3,FALSE)))</f>
        <v/>
      </c>
      <c r="O127" s="362" t="str">
        <f t="shared" si="6"/>
        <v/>
      </c>
      <c r="P127" s="159"/>
      <c r="Q127" s="159"/>
      <c r="R127" s="382" t="str">
        <f t="shared" si="7"/>
        <v/>
      </c>
      <c r="S127" s="404" t="str">
        <f t="shared" si="8"/>
        <v/>
      </c>
      <c r="T127" s="387" t="str">
        <f>IFERROR(IF(S127="Check Data ⚠","Check Data ⚠",VLOOKUP(S127,'G-4 Temporal multipliers'!$A$4:$C$37,3,FALSE)),"")</f>
        <v/>
      </c>
      <c r="U127" s="385" t="str">
        <f>IF(F127="","",VLOOKUP(F127,'G-3 Multipliers'!$A$2:$E$134,2,FALSE))</f>
        <v/>
      </c>
      <c r="V127" s="382" t="str">
        <f t="shared" si="11"/>
        <v/>
      </c>
      <c r="W127" s="382" t="str">
        <f>IF(E127="","",IF(AND(V127="Standard difficulty applied",O127&gt;P127),U127,IF(AND(V127="Low Difficulty - only applicable if all habitat created before losses ⚠",P127&gt;=O127),"Low",VLOOKUP(F127,'G-3 Multipliers'!$A$2:$E$134,4,FALSE))))</f>
        <v/>
      </c>
      <c r="X127" s="386" t="str">
        <f>IFERROR(IF(E127="","",VLOOKUP(W127, 'G-3 Multipliers'!$P$2:$Q$6,2,FALSE)),"")</f>
        <v/>
      </c>
      <c r="Y127" s="516"/>
      <c r="Z127" s="724" t="str">
        <f>IF(Y127="","",IF(VLOOKUP(Y127,'G-3 Multipliers'!$S$3:$T$10,2,FALSE)=0,"Spatial Data Missing ⚠",VLOOKUP(Y127,'G-3 Multipliers'!$S$3:$T$10,2,FALSE)))</f>
        <v/>
      </c>
      <c r="AA127" s="741" t="str">
        <f t="shared" si="9"/>
        <v/>
      </c>
      <c r="AB127" s="405" t="str">
        <f t="shared" si="10"/>
        <v/>
      </c>
      <c r="AC127" s="119"/>
      <c r="AD127" s="528"/>
      <c r="AE127" s="120"/>
      <c r="AF127" s="120"/>
    </row>
    <row r="128" spans="1:32" ht="15">
      <c r="A128" s="30" t="str">
        <f>IFERROR(INDEX('G-8 Condition Look up'!$I$4:$I$135,MATCH(F128,'G-8 Condition Look up'!$A$4:$A$135,0)),"")</f>
        <v/>
      </c>
      <c r="C128" s="75" t="str">
        <f>IFERROR(INDEX('G-1 All Habitats'!$AG$3:$AG$17,MATCH(D128,'G-1 All Habitats'!$AF$3:$AF$17,0)),"")</f>
        <v/>
      </c>
      <c r="D128" s="122"/>
      <c r="E128" s="165"/>
      <c r="F128" s="198" t="str">
        <f>IFERROR(INDEX('G-1 All Habitats'!$B$3:$B$135,MATCH(E128,'G-1 All Habitats'!$A$3:$A$135,0)),"")</f>
        <v/>
      </c>
      <c r="G128" s="300"/>
      <c r="H128" s="398" t="str">
        <f>IF(F128="","",VLOOKUP(F128,'G-1 All Habitats'!$B$2:$M$134,10,FALSE))</f>
        <v/>
      </c>
      <c r="I128" s="386" t="str">
        <f>IFERROR(VLOOKUP(H128,'G-1 All Habitats'!$V$3:$W$7,2,FALSE),"")</f>
        <v/>
      </c>
      <c r="J128" s="162"/>
      <c r="K128" s="386" t="str">
        <f>IFERROR(INDEX('G-8 Condition Look up'!$A$3:$H$135,MATCH(F128,'G-8 Condition Look up'!$A$3:$A$135,0),MATCH(J128,'G-8 Condition Look up'!$A$3:$H$3,0)),"")</f>
        <v/>
      </c>
      <c r="L128" s="114"/>
      <c r="M128" s="401" t="str">
        <f>IF(L128="","",IF(VLOOKUP(L128,'G-3 Multipliers'!$L$3:$N$6,2,FALSE)=0,"Spatial Data Missing ⚠",VLOOKUP(L128,'G-3 Multipliers'!$L$3:$N$6,2,FALSE)))</f>
        <v/>
      </c>
      <c r="N128" s="363" t="str">
        <f>IF(L128="","",IF(VLOOKUP(L128,'G-3 Multipliers'!$L$3:$N$6,3,FALSE)=0,"Spatial Data Missing ⚠",VLOOKUP(L128,'G-3 Multipliers'!$L$3:$N$6,3,FALSE)))</f>
        <v/>
      </c>
      <c r="O128" s="362" t="str">
        <f t="shared" si="6"/>
        <v/>
      </c>
      <c r="P128" s="159"/>
      <c r="Q128" s="159"/>
      <c r="R128" s="382" t="str">
        <f t="shared" si="7"/>
        <v/>
      </c>
      <c r="S128" s="404" t="str">
        <f t="shared" si="8"/>
        <v/>
      </c>
      <c r="T128" s="387" t="str">
        <f>IFERROR(IF(S128="Check Data ⚠","Check Data ⚠",VLOOKUP(S128,'G-4 Temporal multipliers'!$A$4:$C$37,3,FALSE)),"")</f>
        <v/>
      </c>
      <c r="U128" s="385" t="str">
        <f>IF(F128="","",VLOOKUP(F128,'G-3 Multipliers'!$A$2:$E$134,2,FALSE))</f>
        <v/>
      </c>
      <c r="V128" s="382" t="str">
        <f t="shared" si="11"/>
        <v/>
      </c>
      <c r="W128" s="382" t="str">
        <f>IF(E128="","",IF(AND(V128="Standard difficulty applied",O128&gt;P128),U128,IF(AND(V128="Low Difficulty - only applicable if all habitat created before losses ⚠",P128&gt;=O128),"Low",VLOOKUP(F128,'G-3 Multipliers'!$A$2:$E$134,4,FALSE))))</f>
        <v/>
      </c>
      <c r="X128" s="386" t="str">
        <f>IFERROR(IF(E128="","",VLOOKUP(W128, 'G-3 Multipliers'!$P$2:$Q$6,2,FALSE)),"")</f>
        <v/>
      </c>
      <c r="Y128" s="516"/>
      <c r="Z128" s="724" t="str">
        <f>IF(Y128="","",IF(VLOOKUP(Y128,'G-3 Multipliers'!$S$3:$T$10,2,FALSE)=0,"Spatial Data Missing ⚠",VLOOKUP(Y128,'G-3 Multipliers'!$S$3:$T$10,2,FALSE)))</f>
        <v/>
      </c>
      <c r="AA128" s="741" t="str">
        <f t="shared" si="9"/>
        <v/>
      </c>
      <c r="AB128" s="405" t="str">
        <f t="shared" si="10"/>
        <v/>
      </c>
      <c r="AC128" s="119"/>
      <c r="AD128" s="528"/>
      <c r="AE128" s="120"/>
      <c r="AF128" s="120"/>
    </row>
    <row r="129" spans="1:32" ht="15">
      <c r="A129" s="30" t="str">
        <f>IFERROR(INDEX('G-8 Condition Look up'!$I$4:$I$135,MATCH(F129,'G-8 Condition Look up'!$A$4:$A$135,0)),"")</f>
        <v/>
      </c>
      <c r="C129" s="75" t="str">
        <f>IFERROR(INDEX('G-1 All Habitats'!$AG$3:$AG$17,MATCH(D129,'G-1 All Habitats'!$AF$3:$AF$17,0)),"")</f>
        <v/>
      </c>
      <c r="D129" s="122"/>
      <c r="E129" s="165"/>
      <c r="F129" s="198" t="str">
        <f>IFERROR(INDEX('G-1 All Habitats'!$B$3:$B$135,MATCH(E129,'G-1 All Habitats'!$A$3:$A$135,0)),"")</f>
        <v/>
      </c>
      <c r="G129" s="300"/>
      <c r="H129" s="398" t="str">
        <f>IF(F129="","",VLOOKUP(F129,'G-1 All Habitats'!$B$2:$M$134,10,FALSE))</f>
        <v/>
      </c>
      <c r="I129" s="386" t="str">
        <f>IFERROR(VLOOKUP(H129,'G-1 All Habitats'!$V$3:$W$7,2,FALSE),"")</f>
        <v/>
      </c>
      <c r="J129" s="162"/>
      <c r="K129" s="386" t="str">
        <f>IFERROR(INDEX('G-8 Condition Look up'!$A$3:$H$135,MATCH(F129,'G-8 Condition Look up'!$A$3:$A$135,0),MATCH(J129,'G-8 Condition Look up'!$A$3:$H$3,0)),"")</f>
        <v/>
      </c>
      <c r="L129" s="114"/>
      <c r="M129" s="401" t="str">
        <f>IF(L129="","",IF(VLOOKUP(L129,'G-3 Multipliers'!$L$3:$N$6,2,FALSE)=0,"Spatial Data Missing ⚠",VLOOKUP(L129,'G-3 Multipliers'!$L$3:$N$6,2,FALSE)))</f>
        <v/>
      </c>
      <c r="N129" s="363" t="str">
        <f>IF(L129="","",IF(VLOOKUP(L129,'G-3 Multipliers'!$L$3:$N$6,3,FALSE)=0,"Spatial Data Missing ⚠",VLOOKUP(L129,'G-3 Multipliers'!$L$3:$N$6,3,FALSE)))</f>
        <v/>
      </c>
      <c r="O129" s="362" t="str">
        <f t="shared" si="6"/>
        <v/>
      </c>
      <c r="P129" s="159"/>
      <c r="Q129" s="159"/>
      <c r="R129" s="382" t="str">
        <f t="shared" si="7"/>
        <v/>
      </c>
      <c r="S129" s="404" t="str">
        <f t="shared" si="8"/>
        <v/>
      </c>
      <c r="T129" s="387" t="str">
        <f>IFERROR(IF(S129="Check Data ⚠","Check Data ⚠",VLOOKUP(S129,'G-4 Temporal multipliers'!$A$4:$C$37,3,FALSE)),"")</f>
        <v/>
      </c>
      <c r="U129" s="385" t="str">
        <f>IF(F129="","",VLOOKUP(F129,'G-3 Multipliers'!$A$2:$E$134,2,FALSE))</f>
        <v/>
      </c>
      <c r="V129" s="382" t="str">
        <f t="shared" si="11"/>
        <v/>
      </c>
      <c r="W129" s="382" t="str">
        <f>IF(E129="","",IF(AND(V129="Standard difficulty applied",O129&gt;P129),U129,IF(AND(V129="Low Difficulty - only applicable if all habitat created before losses ⚠",P129&gt;=O129),"Low",VLOOKUP(F129,'G-3 Multipliers'!$A$2:$E$134,4,FALSE))))</f>
        <v/>
      </c>
      <c r="X129" s="386" t="str">
        <f>IFERROR(IF(E129="","",VLOOKUP(W129, 'G-3 Multipliers'!$P$2:$Q$6,2,FALSE)),"")</f>
        <v/>
      </c>
      <c r="Y129" s="516"/>
      <c r="Z129" s="724" t="str">
        <f>IF(Y129="","",IF(VLOOKUP(Y129,'G-3 Multipliers'!$S$3:$T$10,2,FALSE)=0,"Spatial Data Missing ⚠",VLOOKUP(Y129,'G-3 Multipliers'!$S$3:$T$10,2,FALSE)))</f>
        <v/>
      </c>
      <c r="AA129" s="741" t="str">
        <f t="shared" si="9"/>
        <v/>
      </c>
      <c r="AB129" s="405" t="str">
        <f t="shared" si="10"/>
        <v/>
      </c>
      <c r="AC129" s="119"/>
      <c r="AD129" s="528"/>
      <c r="AE129" s="120"/>
      <c r="AF129" s="120"/>
    </row>
    <row r="130" spans="1:32" ht="15">
      <c r="A130" s="30" t="str">
        <f>IFERROR(INDEX('G-8 Condition Look up'!$I$4:$I$135,MATCH(F130,'G-8 Condition Look up'!$A$4:$A$135,0)),"")</f>
        <v/>
      </c>
      <c r="C130" s="75" t="str">
        <f>IFERROR(INDEX('G-1 All Habitats'!$AG$3:$AG$17,MATCH(D130,'G-1 All Habitats'!$AF$3:$AF$17,0)),"")</f>
        <v/>
      </c>
      <c r="D130" s="122"/>
      <c r="E130" s="165"/>
      <c r="F130" s="198" t="str">
        <f>IFERROR(INDEX('G-1 All Habitats'!$B$3:$B$135,MATCH(E130,'G-1 All Habitats'!$A$3:$A$135,0)),"")</f>
        <v/>
      </c>
      <c r="G130" s="300"/>
      <c r="H130" s="398" t="str">
        <f>IF(F130="","",VLOOKUP(F130,'G-1 All Habitats'!$B$2:$M$134,10,FALSE))</f>
        <v/>
      </c>
      <c r="I130" s="386" t="str">
        <f>IFERROR(VLOOKUP(H130,'G-1 All Habitats'!$V$3:$W$7,2,FALSE),"")</f>
        <v/>
      </c>
      <c r="J130" s="162"/>
      <c r="K130" s="386" t="str">
        <f>IFERROR(INDEX('G-8 Condition Look up'!$A$3:$H$135,MATCH(F130,'G-8 Condition Look up'!$A$3:$A$135,0),MATCH(J130,'G-8 Condition Look up'!$A$3:$H$3,0)),"")</f>
        <v/>
      </c>
      <c r="L130" s="114"/>
      <c r="M130" s="401" t="str">
        <f>IF(L130="","",IF(VLOOKUP(L130,'G-3 Multipliers'!$L$3:$N$6,2,FALSE)=0,"Spatial Data Missing ⚠",VLOOKUP(L130,'G-3 Multipliers'!$L$3:$N$6,2,FALSE)))</f>
        <v/>
      </c>
      <c r="N130" s="363" t="str">
        <f>IF(L130="","",IF(VLOOKUP(L130,'G-3 Multipliers'!$L$3:$N$6,3,FALSE)=0,"Spatial Data Missing ⚠",VLOOKUP(L130,'G-3 Multipliers'!$L$3:$N$6,3,FALSE)))</f>
        <v/>
      </c>
      <c r="O130" s="362" t="str">
        <f t="shared" si="6"/>
        <v/>
      </c>
      <c r="P130" s="159"/>
      <c r="Q130" s="159"/>
      <c r="R130" s="382" t="str">
        <f t="shared" si="7"/>
        <v/>
      </c>
      <c r="S130" s="404" t="str">
        <f t="shared" si="8"/>
        <v/>
      </c>
      <c r="T130" s="387" t="str">
        <f>IFERROR(IF(S130="Check Data ⚠","Check Data ⚠",VLOOKUP(S130,'G-4 Temporal multipliers'!$A$4:$C$37,3,FALSE)),"")</f>
        <v/>
      </c>
      <c r="U130" s="385" t="str">
        <f>IF(F130="","",VLOOKUP(F130,'G-3 Multipliers'!$A$2:$E$134,2,FALSE))</f>
        <v/>
      </c>
      <c r="V130" s="382" t="str">
        <f t="shared" si="11"/>
        <v/>
      </c>
      <c r="W130" s="382" t="str">
        <f>IF(E130="","",IF(AND(V130="Standard difficulty applied",O130&gt;P130),U130,IF(AND(V130="Low Difficulty - only applicable if all habitat created before losses ⚠",P130&gt;=O130),"Low",VLOOKUP(F130,'G-3 Multipliers'!$A$2:$E$134,4,FALSE))))</f>
        <v/>
      </c>
      <c r="X130" s="386" t="str">
        <f>IFERROR(IF(E130="","",VLOOKUP(W130, 'G-3 Multipliers'!$P$2:$Q$6,2,FALSE)),"")</f>
        <v/>
      </c>
      <c r="Y130" s="516"/>
      <c r="Z130" s="724" t="str">
        <f>IF(Y130="","",IF(VLOOKUP(Y130,'G-3 Multipliers'!$S$3:$T$10,2,FALSE)=0,"Spatial Data Missing ⚠",VLOOKUP(Y130,'G-3 Multipliers'!$S$3:$T$10,2,FALSE)))</f>
        <v/>
      </c>
      <c r="AA130" s="741" t="str">
        <f t="shared" si="9"/>
        <v/>
      </c>
      <c r="AB130" s="405" t="str">
        <f t="shared" si="10"/>
        <v/>
      </c>
      <c r="AC130" s="119"/>
      <c r="AD130" s="528"/>
      <c r="AE130" s="120"/>
      <c r="AF130" s="120"/>
    </row>
    <row r="131" spans="1:32" ht="15">
      <c r="A131" s="30" t="str">
        <f>IFERROR(INDEX('G-8 Condition Look up'!$I$4:$I$135,MATCH(F131,'G-8 Condition Look up'!$A$4:$A$135,0)),"")</f>
        <v/>
      </c>
      <c r="C131" s="75" t="str">
        <f>IFERROR(INDEX('G-1 All Habitats'!$AG$3:$AG$17,MATCH(D131,'G-1 All Habitats'!$AF$3:$AF$17,0)),"")</f>
        <v/>
      </c>
      <c r="D131" s="122"/>
      <c r="E131" s="165"/>
      <c r="F131" s="198" t="str">
        <f>IFERROR(INDEX('G-1 All Habitats'!$B$3:$B$135,MATCH(E131,'G-1 All Habitats'!$A$3:$A$135,0)),"")</f>
        <v/>
      </c>
      <c r="G131" s="300"/>
      <c r="H131" s="398" t="str">
        <f>IF(F131="","",VLOOKUP(F131,'G-1 All Habitats'!$B$2:$M$134,10,FALSE))</f>
        <v/>
      </c>
      <c r="I131" s="386" t="str">
        <f>IFERROR(VLOOKUP(H131,'G-1 All Habitats'!$V$3:$W$7,2,FALSE),"")</f>
        <v/>
      </c>
      <c r="J131" s="162"/>
      <c r="K131" s="386" t="str">
        <f>IFERROR(INDEX('G-8 Condition Look up'!$A$3:$H$135,MATCH(F131,'G-8 Condition Look up'!$A$3:$A$135,0),MATCH(J131,'G-8 Condition Look up'!$A$3:$H$3,0)),"")</f>
        <v/>
      </c>
      <c r="L131" s="114"/>
      <c r="M131" s="401" t="str">
        <f>IF(L131="","",IF(VLOOKUP(L131,'G-3 Multipliers'!$L$3:$N$6,2,FALSE)=0,"Spatial Data Missing ⚠",VLOOKUP(L131,'G-3 Multipliers'!$L$3:$N$6,2,FALSE)))</f>
        <v/>
      </c>
      <c r="N131" s="363" t="str">
        <f>IF(L131="","",IF(VLOOKUP(L131,'G-3 Multipliers'!$L$3:$N$6,3,FALSE)=0,"Spatial Data Missing ⚠",VLOOKUP(L131,'G-3 Multipliers'!$L$3:$N$6,3,FALSE)))</f>
        <v/>
      </c>
      <c r="O131" s="362" t="str">
        <f t="shared" si="6"/>
        <v/>
      </c>
      <c r="P131" s="159"/>
      <c r="Q131" s="159"/>
      <c r="R131" s="382" t="str">
        <f t="shared" si="7"/>
        <v/>
      </c>
      <c r="S131" s="404" t="str">
        <f t="shared" si="8"/>
        <v/>
      </c>
      <c r="T131" s="387" t="str">
        <f>IFERROR(IF(S131="Check Data ⚠","Check Data ⚠",VLOOKUP(S131,'G-4 Temporal multipliers'!$A$4:$C$37,3,FALSE)),"")</f>
        <v/>
      </c>
      <c r="U131" s="385" t="str">
        <f>IF(F131="","",VLOOKUP(F131,'G-3 Multipliers'!$A$2:$E$134,2,FALSE))</f>
        <v/>
      </c>
      <c r="V131" s="382" t="str">
        <f t="shared" si="11"/>
        <v/>
      </c>
      <c r="W131" s="382" t="str">
        <f>IF(E131="","",IF(AND(V131="Standard difficulty applied",O131&gt;P131),U131,IF(AND(V131="Low Difficulty - only applicable if all habitat created before losses ⚠",P131&gt;=O131),"Low",VLOOKUP(F131,'G-3 Multipliers'!$A$2:$E$134,4,FALSE))))</f>
        <v/>
      </c>
      <c r="X131" s="386" t="str">
        <f>IFERROR(IF(E131="","",VLOOKUP(W131, 'G-3 Multipliers'!$P$2:$Q$6,2,FALSE)),"")</f>
        <v/>
      </c>
      <c r="Y131" s="516"/>
      <c r="Z131" s="724" t="str">
        <f>IF(Y131="","",IF(VLOOKUP(Y131,'G-3 Multipliers'!$S$3:$T$10,2,FALSE)=0,"Spatial Data Missing ⚠",VLOOKUP(Y131,'G-3 Multipliers'!$S$3:$T$10,2,FALSE)))</f>
        <v/>
      </c>
      <c r="AA131" s="741" t="str">
        <f t="shared" si="9"/>
        <v/>
      </c>
      <c r="AB131" s="405" t="str">
        <f t="shared" si="10"/>
        <v/>
      </c>
      <c r="AC131" s="119"/>
      <c r="AD131" s="528"/>
      <c r="AE131" s="120"/>
      <c r="AF131" s="120"/>
    </row>
    <row r="132" spans="1:32" ht="15">
      <c r="A132" s="30" t="str">
        <f>IFERROR(INDEX('G-8 Condition Look up'!$I$4:$I$135,MATCH(F132,'G-8 Condition Look up'!$A$4:$A$135,0)),"")</f>
        <v/>
      </c>
      <c r="C132" s="75" t="str">
        <f>IFERROR(INDEX('G-1 All Habitats'!$AG$3:$AG$17,MATCH(D132,'G-1 All Habitats'!$AF$3:$AF$17,0)),"")</f>
        <v/>
      </c>
      <c r="D132" s="122"/>
      <c r="E132" s="165"/>
      <c r="F132" s="198" t="str">
        <f>IFERROR(INDEX('G-1 All Habitats'!$B$3:$B$135,MATCH(E132,'G-1 All Habitats'!$A$3:$A$135,0)),"")</f>
        <v/>
      </c>
      <c r="G132" s="300"/>
      <c r="H132" s="398" t="str">
        <f>IF(F132="","",VLOOKUP(F132,'G-1 All Habitats'!$B$2:$M$134,10,FALSE))</f>
        <v/>
      </c>
      <c r="I132" s="386" t="str">
        <f>IFERROR(VLOOKUP(H132,'G-1 All Habitats'!$V$3:$W$7,2,FALSE),"")</f>
        <v/>
      </c>
      <c r="J132" s="162"/>
      <c r="K132" s="386" t="str">
        <f>IFERROR(INDEX('G-8 Condition Look up'!$A$3:$H$135,MATCH(F132,'G-8 Condition Look up'!$A$3:$A$135,0),MATCH(J132,'G-8 Condition Look up'!$A$3:$H$3,0)),"")</f>
        <v/>
      </c>
      <c r="L132" s="114"/>
      <c r="M132" s="401" t="str">
        <f>IF(L132="","",IF(VLOOKUP(L132,'G-3 Multipliers'!$L$3:$N$6,2,FALSE)=0,"Spatial Data Missing ⚠",VLOOKUP(L132,'G-3 Multipliers'!$L$3:$N$6,2,FALSE)))</f>
        <v/>
      </c>
      <c r="N132" s="363" t="str">
        <f>IF(L132="","",IF(VLOOKUP(L132,'G-3 Multipliers'!$L$3:$N$6,3,FALSE)=0,"Spatial Data Missing ⚠",VLOOKUP(L132,'G-3 Multipliers'!$L$3:$N$6,3,FALSE)))</f>
        <v/>
      </c>
      <c r="O132" s="362" t="str">
        <f t="shared" si="6"/>
        <v/>
      </c>
      <c r="P132" s="159"/>
      <c r="Q132" s="159"/>
      <c r="R132" s="382" t="str">
        <f t="shared" si="7"/>
        <v/>
      </c>
      <c r="S132" s="404" t="str">
        <f t="shared" si="8"/>
        <v/>
      </c>
      <c r="T132" s="387" t="str">
        <f>IFERROR(IF(S132="Check Data ⚠","Check Data ⚠",VLOOKUP(S132,'G-4 Temporal multipliers'!$A$4:$C$37,3,FALSE)),"")</f>
        <v/>
      </c>
      <c r="U132" s="385" t="str">
        <f>IF(F132="","",VLOOKUP(F132,'G-3 Multipliers'!$A$2:$E$134,2,FALSE))</f>
        <v/>
      </c>
      <c r="V132" s="382" t="str">
        <f t="shared" si="11"/>
        <v/>
      </c>
      <c r="W132" s="382" t="str">
        <f>IF(E132="","",IF(AND(V132="Standard difficulty applied",O132&gt;P132),U132,IF(AND(V132="Low Difficulty - only applicable if all habitat created before losses ⚠",P132&gt;=O132),"Low",VLOOKUP(F132,'G-3 Multipliers'!$A$2:$E$134,4,FALSE))))</f>
        <v/>
      </c>
      <c r="X132" s="386" t="str">
        <f>IFERROR(IF(E132="","",VLOOKUP(W132, 'G-3 Multipliers'!$P$2:$Q$6,2,FALSE)),"")</f>
        <v/>
      </c>
      <c r="Y132" s="516"/>
      <c r="Z132" s="724" t="str">
        <f>IF(Y132="","",IF(VLOOKUP(Y132,'G-3 Multipliers'!$S$3:$T$10,2,FALSE)=0,"Spatial Data Missing ⚠",VLOOKUP(Y132,'G-3 Multipliers'!$S$3:$T$10,2,FALSE)))</f>
        <v/>
      </c>
      <c r="AA132" s="741" t="str">
        <f t="shared" si="9"/>
        <v/>
      </c>
      <c r="AB132" s="405" t="str">
        <f t="shared" si="10"/>
        <v/>
      </c>
      <c r="AC132" s="119"/>
      <c r="AD132" s="528"/>
      <c r="AE132" s="120"/>
      <c r="AF132" s="120"/>
    </row>
    <row r="133" spans="1:32" ht="15">
      <c r="A133" s="30" t="str">
        <f>IFERROR(INDEX('G-8 Condition Look up'!$I$4:$I$135,MATCH(F133,'G-8 Condition Look up'!$A$4:$A$135,0)),"")</f>
        <v/>
      </c>
      <c r="C133" s="75" t="str">
        <f>IFERROR(INDEX('G-1 All Habitats'!$AG$3:$AG$17,MATCH(D133,'G-1 All Habitats'!$AF$3:$AF$17,0)),"")</f>
        <v/>
      </c>
      <c r="D133" s="122"/>
      <c r="E133" s="165"/>
      <c r="F133" s="198" t="str">
        <f>IFERROR(INDEX('G-1 All Habitats'!$B$3:$B$135,MATCH(E133,'G-1 All Habitats'!$A$3:$A$135,0)),"")</f>
        <v/>
      </c>
      <c r="G133" s="300"/>
      <c r="H133" s="398" t="str">
        <f>IF(F133="","",VLOOKUP(F133,'G-1 All Habitats'!$B$2:$M$134,10,FALSE))</f>
        <v/>
      </c>
      <c r="I133" s="386" t="str">
        <f>IFERROR(VLOOKUP(H133,'G-1 All Habitats'!$V$3:$W$7,2,FALSE),"")</f>
        <v/>
      </c>
      <c r="J133" s="162"/>
      <c r="K133" s="386" t="str">
        <f>IFERROR(INDEX('G-8 Condition Look up'!$A$3:$H$135,MATCH(F133,'G-8 Condition Look up'!$A$3:$A$135,0),MATCH(J133,'G-8 Condition Look up'!$A$3:$H$3,0)),"")</f>
        <v/>
      </c>
      <c r="L133" s="114"/>
      <c r="M133" s="401" t="str">
        <f>IF(L133="","",IF(VLOOKUP(L133,'G-3 Multipliers'!$L$3:$N$6,2,FALSE)=0,"Spatial Data Missing ⚠",VLOOKUP(L133,'G-3 Multipliers'!$L$3:$N$6,2,FALSE)))</f>
        <v/>
      </c>
      <c r="N133" s="363" t="str">
        <f>IF(L133="","",IF(VLOOKUP(L133,'G-3 Multipliers'!$L$3:$N$6,3,FALSE)=0,"Spatial Data Missing ⚠",VLOOKUP(L133,'G-3 Multipliers'!$L$3:$N$6,3,FALSE)))</f>
        <v/>
      </c>
      <c r="O133" s="362" t="str">
        <f t="shared" si="6"/>
        <v/>
      </c>
      <c r="P133" s="159"/>
      <c r="Q133" s="159"/>
      <c r="R133" s="382" t="str">
        <f t="shared" si="7"/>
        <v/>
      </c>
      <c r="S133" s="404" t="str">
        <f t="shared" si="8"/>
        <v/>
      </c>
      <c r="T133" s="387" t="str">
        <f>IFERROR(IF(S133="Check Data ⚠","Check Data ⚠",VLOOKUP(S133,'G-4 Temporal multipliers'!$A$4:$C$37,3,FALSE)),"")</f>
        <v/>
      </c>
      <c r="U133" s="385" t="str">
        <f>IF(F133="","",VLOOKUP(F133,'G-3 Multipliers'!$A$2:$E$134,2,FALSE))</f>
        <v/>
      </c>
      <c r="V133" s="382" t="str">
        <f t="shared" si="11"/>
        <v/>
      </c>
      <c r="W133" s="382" t="str">
        <f>IF(E133="","",IF(AND(V133="Standard difficulty applied",O133&gt;P133),U133,IF(AND(V133="Low Difficulty - only applicable if all habitat created before losses ⚠",P133&gt;=O133),"Low",VLOOKUP(F133,'G-3 Multipliers'!$A$2:$E$134,4,FALSE))))</f>
        <v/>
      </c>
      <c r="X133" s="386" t="str">
        <f>IFERROR(IF(E133="","",VLOOKUP(W133, 'G-3 Multipliers'!$P$2:$Q$6,2,FALSE)),"")</f>
        <v/>
      </c>
      <c r="Y133" s="516"/>
      <c r="Z133" s="724" t="str">
        <f>IF(Y133="","",IF(VLOOKUP(Y133,'G-3 Multipliers'!$S$3:$T$10,2,FALSE)=0,"Spatial Data Missing ⚠",VLOOKUP(Y133,'G-3 Multipliers'!$S$3:$T$10,2,FALSE)))</f>
        <v/>
      </c>
      <c r="AA133" s="741" t="str">
        <f t="shared" si="9"/>
        <v/>
      </c>
      <c r="AB133" s="405" t="str">
        <f t="shared" si="10"/>
        <v/>
      </c>
      <c r="AC133" s="119"/>
      <c r="AD133" s="528"/>
      <c r="AE133" s="120"/>
      <c r="AF133" s="120"/>
    </row>
    <row r="134" spans="1:32" ht="15">
      <c r="A134" s="30" t="str">
        <f>IFERROR(INDEX('G-8 Condition Look up'!$I$4:$I$135,MATCH(F134,'G-8 Condition Look up'!$A$4:$A$135,0)),"")</f>
        <v/>
      </c>
      <c r="C134" s="75" t="str">
        <f>IFERROR(INDEX('G-1 All Habitats'!$AG$3:$AG$17,MATCH(D134,'G-1 All Habitats'!$AF$3:$AF$17,0)),"")</f>
        <v/>
      </c>
      <c r="D134" s="122"/>
      <c r="E134" s="165"/>
      <c r="F134" s="198" t="str">
        <f>IFERROR(INDEX('G-1 All Habitats'!$B$3:$B$135,MATCH(E134,'G-1 All Habitats'!$A$3:$A$135,0)),"")</f>
        <v/>
      </c>
      <c r="G134" s="300"/>
      <c r="H134" s="398" t="str">
        <f>IF(F134="","",VLOOKUP(F134,'G-1 All Habitats'!$B$2:$M$134,10,FALSE))</f>
        <v/>
      </c>
      <c r="I134" s="386" t="str">
        <f>IFERROR(VLOOKUP(H134,'G-1 All Habitats'!$V$3:$W$7,2,FALSE),"")</f>
        <v/>
      </c>
      <c r="J134" s="162"/>
      <c r="K134" s="386" t="str">
        <f>IFERROR(INDEX('G-8 Condition Look up'!$A$3:$H$135,MATCH(F134,'G-8 Condition Look up'!$A$3:$A$135,0),MATCH(J134,'G-8 Condition Look up'!$A$3:$H$3,0)),"")</f>
        <v/>
      </c>
      <c r="L134" s="114"/>
      <c r="M134" s="401" t="str">
        <f>IF(L134="","",IF(VLOOKUP(L134,'G-3 Multipliers'!$L$3:$N$6,2,FALSE)=0,"Spatial Data Missing ⚠",VLOOKUP(L134,'G-3 Multipliers'!$L$3:$N$6,2,FALSE)))</f>
        <v/>
      </c>
      <c r="N134" s="363" t="str">
        <f>IF(L134="","",IF(VLOOKUP(L134,'G-3 Multipliers'!$L$3:$N$6,3,FALSE)=0,"Spatial Data Missing ⚠",VLOOKUP(L134,'G-3 Multipliers'!$L$3:$N$6,3,FALSE)))</f>
        <v/>
      </c>
      <c r="O134" s="362" t="str">
        <f t="shared" si="6"/>
        <v/>
      </c>
      <c r="P134" s="159"/>
      <c r="Q134" s="159"/>
      <c r="R134" s="382" t="str">
        <f t="shared" si="7"/>
        <v/>
      </c>
      <c r="S134" s="404" t="str">
        <f t="shared" si="8"/>
        <v/>
      </c>
      <c r="T134" s="387" t="str">
        <f>IFERROR(IF(S134="Check Data ⚠","Check Data ⚠",VLOOKUP(S134,'G-4 Temporal multipliers'!$A$4:$C$37,3,FALSE)),"")</f>
        <v/>
      </c>
      <c r="U134" s="385" t="str">
        <f>IF(F134="","",VLOOKUP(F134,'G-3 Multipliers'!$A$2:$E$134,2,FALSE))</f>
        <v/>
      </c>
      <c r="V134" s="382" t="str">
        <f t="shared" si="11"/>
        <v/>
      </c>
      <c r="W134" s="382" t="str">
        <f>IF(E134="","",IF(AND(V134="Standard difficulty applied",O134&gt;P134),U134,IF(AND(V134="Low Difficulty - only applicable if all habitat created before losses ⚠",P134&gt;=O134),"Low",VLOOKUP(F134,'G-3 Multipliers'!$A$2:$E$134,4,FALSE))))</f>
        <v/>
      </c>
      <c r="X134" s="386" t="str">
        <f>IFERROR(IF(E134="","",VLOOKUP(W134, 'G-3 Multipliers'!$P$2:$Q$6,2,FALSE)),"")</f>
        <v/>
      </c>
      <c r="Y134" s="516"/>
      <c r="Z134" s="724" t="str">
        <f>IF(Y134="","",IF(VLOOKUP(Y134,'G-3 Multipliers'!$S$3:$T$10,2,FALSE)=0,"Spatial Data Missing ⚠",VLOOKUP(Y134,'G-3 Multipliers'!$S$3:$T$10,2,FALSE)))</f>
        <v/>
      </c>
      <c r="AA134" s="741" t="str">
        <f t="shared" si="9"/>
        <v/>
      </c>
      <c r="AB134" s="405" t="str">
        <f t="shared" si="10"/>
        <v/>
      </c>
      <c r="AC134" s="119"/>
      <c r="AD134" s="528"/>
      <c r="AE134" s="120"/>
      <c r="AF134" s="120"/>
    </row>
    <row r="135" spans="1:32" ht="15">
      <c r="A135" s="30" t="str">
        <f>IFERROR(INDEX('G-8 Condition Look up'!$I$4:$I$135,MATCH(F135,'G-8 Condition Look up'!$A$4:$A$135,0)),"")</f>
        <v/>
      </c>
      <c r="C135" s="75" t="str">
        <f>IFERROR(INDEX('G-1 All Habitats'!$AG$3:$AG$17,MATCH(D135,'G-1 All Habitats'!$AF$3:$AF$17,0)),"")</f>
        <v/>
      </c>
      <c r="D135" s="122"/>
      <c r="E135" s="165"/>
      <c r="F135" s="198" t="str">
        <f>IFERROR(INDEX('G-1 All Habitats'!$B$3:$B$135,MATCH(E135,'G-1 All Habitats'!$A$3:$A$135,0)),"")</f>
        <v/>
      </c>
      <c r="G135" s="300"/>
      <c r="H135" s="398" t="str">
        <f>IF(F135="","",VLOOKUP(F135,'G-1 All Habitats'!$B$2:$M$134,10,FALSE))</f>
        <v/>
      </c>
      <c r="I135" s="386" t="str">
        <f>IFERROR(VLOOKUP(H135,'G-1 All Habitats'!$V$3:$W$7,2,FALSE),"")</f>
        <v/>
      </c>
      <c r="J135" s="162"/>
      <c r="K135" s="386" t="str">
        <f>IFERROR(INDEX('G-8 Condition Look up'!$A$3:$H$135,MATCH(F135,'G-8 Condition Look up'!$A$3:$A$135,0),MATCH(J135,'G-8 Condition Look up'!$A$3:$H$3,0)),"")</f>
        <v/>
      </c>
      <c r="L135" s="114"/>
      <c r="M135" s="401" t="str">
        <f>IF(L135="","",IF(VLOOKUP(L135,'G-3 Multipliers'!$L$3:$N$6,2,FALSE)=0,"Spatial Data Missing ⚠",VLOOKUP(L135,'G-3 Multipliers'!$L$3:$N$6,2,FALSE)))</f>
        <v/>
      </c>
      <c r="N135" s="363" t="str">
        <f>IF(L135="","",IF(VLOOKUP(L135,'G-3 Multipliers'!$L$3:$N$6,3,FALSE)=0,"Spatial Data Missing ⚠",VLOOKUP(L135,'G-3 Multipliers'!$L$3:$N$6,3,FALSE)))</f>
        <v/>
      </c>
      <c r="O135" s="362" t="str">
        <f t="shared" si="6"/>
        <v/>
      </c>
      <c r="P135" s="159"/>
      <c r="Q135" s="159"/>
      <c r="R135" s="382" t="str">
        <f t="shared" si="7"/>
        <v/>
      </c>
      <c r="S135" s="404" t="str">
        <f t="shared" si="8"/>
        <v/>
      </c>
      <c r="T135" s="387" t="str">
        <f>IFERROR(IF(S135="Check Data ⚠","Check Data ⚠",VLOOKUP(S135,'G-4 Temporal multipliers'!$A$4:$C$37,3,FALSE)),"")</f>
        <v/>
      </c>
      <c r="U135" s="385" t="str">
        <f>IF(F135="","",VLOOKUP(F135,'G-3 Multipliers'!$A$2:$E$134,2,FALSE))</f>
        <v/>
      </c>
      <c r="V135" s="382" t="str">
        <f t="shared" si="11"/>
        <v/>
      </c>
      <c r="W135" s="382" t="str">
        <f>IF(E135="","",IF(AND(V135="Standard difficulty applied",O135&gt;P135),U135,IF(AND(V135="Low Difficulty - only applicable if all habitat created before losses ⚠",P135&gt;=O135),"Low",VLOOKUP(F135,'G-3 Multipliers'!$A$2:$E$134,4,FALSE))))</f>
        <v/>
      </c>
      <c r="X135" s="386" t="str">
        <f>IFERROR(IF(E135="","",VLOOKUP(W135, 'G-3 Multipliers'!$P$2:$Q$6,2,FALSE)),"")</f>
        <v/>
      </c>
      <c r="Y135" s="516"/>
      <c r="Z135" s="724" t="str">
        <f>IF(Y135="","",IF(VLOOKUP(Y135,'G-3 Multipliers'!$S$3:$T$10,2,FALSE)=0,"Spatial Data Missing ⚠",VLOOKUP(Y135,'G-3 Multipliers'!$S$3:$T$10,2,FALSE)))</f>
        <v/>
      </c>
      <c r="AA135" s="741" t="str">
        <f t="shared" si="9"/>
        <v/>
      </c>
      <c r="AB135" s="405" t="str">
        <f t="shared" si="10"/>
        <v/>
      </c>
      <c r="AC135" s="119"/>
      <c r="AD135" s="528"/>
      <c r="AE135" s="120"/>
      <c r="AF135" s="120"/>
    </row>
    <row r="136" spans="1:32" ht="15">
      <c r="A136" s="30" t="str">
        <f>IFERROR(INDEX('G-8 Condition Look up'!$I$4:$I$135,MATCH(F136,'G-8 Condition Look up'!$A$4:$A$135,0)),"")</f>
        <v/>
      </c>
      <c r="C136" s="75" t="str">
        <f>IFERROR(INDEX('G-1 All Habitats'!$AG$3:$AG$17,MATCH(D136,'G-1 All Habitats'!$AF$3:$AF$17,0)),"")</f>
        <v/>
      </c>
      <c r="D136" s="122"/>
      <c r="E136" s="165"/>
      <c r="F136" s="198" t="str">
        <f>IFERROR(INDEX('G-1 All Habitats'!$B$3:$B$135,MATCH(E136,'G-1 All Habitats'!$A$3:$A$135,0)),"")</f>
        <v/>
      </c>
      <c r="G136" s="300"/>
      <c r="H136" s="398" t="str">
        <f>IF(F136="","",VLOOKUP(F136,'G-1 All Habitats'!$B$2:$M$134,10,FALSE))</f>
        <v/>
      </c>
      <c r="I136" s="386" t="str">
        <f>IFERROR(VLOOKUP(H136,'G-1 All Habitats'!$V$3:$W$7,2,FALSE),"")</f>
        <v/>
      </c>
      <c r="J136" s="162"/>
      <c r="K136" s="386" t="str">
        <f>IFERROR(INDEX('G-8 Condition Look up'!$A$3:$H$135,MATCH(F136,'G-8 Condition Look up'!$A$3:$A$135,0),MATCH(J136,'G-8 Condition Look up'!$A$3:$H$3,0)),"")</f>
        <v/>
      </c>
      <c r="L136" s="114"/>
      <c r="M136" s="401" t="str">
        <f>IF(L136="","",IF(VLOOKUP(L136,'G-3 Multipliers'!$L$3:$N$6,2,FALSE)=0,"Spatial Data Missing ⚠",VLOOKUP(L136,'G-3 Multipliers'!$L$3:$N$6,2,FALSE)))</f>
        <v/>
      </c>
      <c r="N136" s="363" t="str">
        <f>IF(L136="","",IF(VLOOKUP(L136,'G-3 Multipliers'!$L$3:$N$6,3,FALSE)=0,"Spatial Data Missing ⚠",VLOOKUP(L136,'G-3 Multipliers'!$L$3:$N$6,3,FALSE)))</f>
        <v/>
      </c>
      <c r="O136" s="362" t="str">
        <f t="shared" si="6"/>
        <v/>
      </c>
      <c r="P136" s="159"/>
      <c r="Q136" s="159"/>
      <c r="R136" s="382" t="str">
        <f t="shared" si="7"/>
        <v/>
      </c>
      <c r="S136" s="404" t="str">
        <f t="shared" si="8"/>
        <v/>
      </c>
      <c r="T136" s="387" t="str">
        <f>IFERROR(IF(S136="Check Data ⚠","Check Data ⚠",VLOOKUP(S136,'G-4 Temporal multipliers'!$A$4:$C$37,3,FALSE)),"")</f>
        <v/>
      </c>
      <c r="U136" s="385" t="str">
        <f>IF(F136="","",VLOOKUP(F136,'G-3 Multipliers'!$A$2:$E$134,2,FALSE))</f>
        <v/>
      </c>
      <c r="V136" s="382" t="str">
        <f t="shared" si="11"/>
        <v/>
      </c>
      <c r="W136" s="382" t="str">
        <f>IF(E136="","",IF(AND(V136="Standard difficulty applied",O136&gt;P136),U136,IF(AND(V136="Low Difficulty - only applicable if all habitat created before losses ⚠",P136&gt;=O136),"Low",VLOOKUP(F136,'G-3 Multipliers'!$A$2:$E$134,4,FALSE))))</f>
        <v/>
      </c>
      <c r="X136" s="386" t="str">
        <f>IFERROR(IF(E136="","",VLOOKUP(W136, 'G-3 Multipliers'!$P$2:$Q$6,2,FALSE)),"")</f>
        <v/>
      </c>
      <c r="Y136" s="516"/>
      <c r="Z136" s="724" t="str">
        <f>IF(Y136="","",IF(VLOOKUP(Y136,'G-3 Multipliers'!$S$3:$T$10,2,FALSE)=0,"Spatial Data Missing ⚠",VLOOKUP(Y136,'G-3 Multipliers'!$S$3:$T$10,2,FALSE)))</f>
        <v/>
      </c>
      <c r="AA136" s="741" t="str">
        <f t="shared" si="9"/>
        <v/>
      </c>
      <c r="AB136" s="405" t="str">
        <f t="shared" si="10"/>
        <v/>
      </c>
      <c r="AC136" s="119"/>
      <c r="AD136" s="528"/>
      <c r="AE136" s="120"/>
      <c r="AF136" s="120"/>
    </row>
    <row r="137" spans="1:32" ht="15">
      <c r="A137" s="30" t="str">
        <f>IFERROR(INDEX('G-8 Condition Look up'!$I$4:$I$135,MATCH(F137,'G-8 Condition Look up'!$A$4:$A$135,0)),"")</f>
        <v/>
      </c>
      <c r="C137" s="75" t="str">
        <f>IFERROR(INDEX('G-1 All Habitats'!$AG$3:$AG$17,MATCH(D137,'G-1 All Habitats'!$AF$3:$AF$17,0)),"")</f>
        <v/>
      </c>
      <c r="D137" s="122"/>
      <c r="E137" s="165"/>
      <c r="F137" s="198" t="str">
        <f>IFERROR(INDEX('G-1 All Habitats'!$B$3:$B$135,MATCH(E137,'G-1 All Habitats'!$A$3:$A$135,0)),"")</f>
        <v/>
      </c>
      <c r="G137" s="300"/>
      <c r="H137" s="398" t="str">
        <f>IF(F137="","",VLOOKUP(F137,'G-1 All Habitats'!$B$2:$M$134,10,FALSE))</f>
        <v/>
      </c>
      <c r="I137" s="386" t="str">
        <f>IFERROR(VLOOKUP(H137,'G-1 All Habitats'!$V$3:$W$7,2,FALSE),"")</f>
        <v/>
      </c>
      <c r="J137" s="162"/>
      <c r="K137" s="386" t="str">
        <f>IFERROR(INDEX('G-8 Condition Look up'!$A$3:$H$135,MATCH(F137,'G-8 Condition Look up'!$A$3:$A$135,0),MATCH(J137,'G-8 Condition Look up'!$A$3:$H$3,0)),"")</f>
        <v/>
      </c>
      <c r="L137" s="114"/>
      <c r="M137" s="401" t="str">
        <f>IF(L137="","",IF(VLOOKUP(L137,'G-3 Multipliers'!$L$3:$N$6,2,FALSE)=0,"Spatial Data Missing ⚠",VLOOKUP(L137,'G-3 Multipliers'!$L$3:$N$6,2,FALSE)))</f>
        <v/>
      </c>
      <c r="N137" s="363" t="str">
        <f>IF(L137="","",IF(VLOOKUP(L137,'G-3 Multipliers'!$L$3:$N$6,3,FALSE)=0,"Spatial Data Missing ⚠",VLOOKUP(L137,'G-3 Multipliers'!$L$3:$N$6,3,FALSE)))</f>
        <v/>
      </c>
      <c r="O137" s="362" t="str">
        <f t="shared" si="6"/>
        <v/>
      </c>
      <c r="P137" s="159"/>
      <c r="Q137" s="159"/>
      <c r="R137" s="382" t="str">
        <f t="shared" si="7"/>
        <v/>
      </c>
      <c r="S137" s="404" t="str">
        <f t="shared" si="8"/>
        <v/>
      </c>
      <c r="T137" s="387" t="str">
        <f>IFERROR(IF(S137="Check Data ⚠","Check Data ⚠",VLOOKUP(S137,'G-4 Temporal multipliers'!$A$4:$C$37,3,FALSE)),"")</f>
        <v/>
      </c>
      <c r="U137" s="385" t="str">
        <f>IF(F137="","",VLOOKUP(F137,'G-3 Multipliers'!$A$2:$E$134,2,FALSE))</f>
        <v/>
      </c>
      <c r="V137" s="382" t="str">
        <f t="shared" si="11"/>
        <v/>
      </c>
      <c r="W137" s="382" t="str">
        <f>IF(E137="","",IF(AND(V137="Standard difficulty applied",O137&gt;P137),U137,IF(AND(V137="Low Difficulty - only applicable if all habitat created before losses ⚠",P137&gt;=O137),"Low",VLOOKUP(F137,'G-3 Multipliers'!$A$2:$E$134,4,FALSE))))</f>
        <v/>
      </c>
      <c r="X137" s="386" t="str">
        <f>IFERROR(IF(E137="","",VLOOKUP(W137, 'G-3 Multipliers'!$P$2:$Q$6,2,FALSE)),"")</f>
        <v/>
      </c>
      <c r="Y137" s="516"/>
      <c r="Z137" s="724" t="str">
        <f>IF(Y137="","",IF(VLOOKUP(Y137,'G-3 Multipliers'!$S$3:$T$10,2,FALSE)=0,"Spatial Data Missing ⚠",VLOOKUP(Y137,'G-3 Multipliers'!$S$3:$T$10,2,FALSE)))</f>
        <v/>
      </c>
      <c r="AA137" s="741" t="str">
        <f t="shared" si="9"/>
        <v/>
      </c>
      <c r="AB137" s="405" t="str">
        <f t="shared" si="10"/>
        <v/>
      </c>
      <c r="AC137" s="119"/>
      <c r="AD137" s="528"/>
      <c r="AE137" s="120"/>
      <c r="AF137" s="120"/>
    </row>
    <row r="138" spans="1:32" ht="15">
      <c r="A138" s="30" t="str">
        <f>IFERROR(INDEX('G-8 Condition Look up'!$I$4:$I$135,MATCH(F138,'G-8 Condition Look up'!$A$4:$A$135,0)),"")</f>
        <v/>
      </c>
      <c r="C138" s="75" t="str">
        <f>IFERROR(INDEX('G-1 All Habitats'!$AG$3:$AG$17,MATCH(D138,'G-1 All Habitats'!$AF$3:$AF$17,0)),"")</f>
        <v/>
      </c>
      <c r="D138" s="122"/>
      <c r="E138" s="165"/>
      <c r="F138" s="198" t="str">
        <f>IFERROR(INDEX('G-1 All Habitats'!$B$3:$B$135,MATCH(E138,'G-1 All Habitats'!$A$3:$A$135,0)),"")</f>
        <v/>
      </c>
      <c r="G138" s="300"/>
      <c r="H138" s="398" t="str">
        <f>IF(F138="","",VLOOKUP(F138,'G-1 All Habitats'!$B$2:$M$134,10,FALSE))</f>
        <v/>
      </c>
      <c r="I138" s="386" t="str">
        <f>IFERROR(VLOOKUP(H138,'G-1 All Habitats'!$V$3:$W$7,2,FALSE),"")</f>
        <v/>
      </c>
      <c r="J138" s="162"/>
      <c r="K138" s="386" t="str">
        <f>IFERROR(INDEX('G-8 Condition Look up'!$A$3:$H$135,MATCH(F138,'G-8 Condition Look up'!$A$3:$A$135,0),MATCH(J138,'G-8 Condition Look up'!$A$3:$H$3,0)),"")</f>
        <v/>
      </c>
      <c r="L138" s="114"/>
      <c r="M138" s="401" t="str">
        <f>IF(L138="","",IF(VLOOKUP(L138,'G-3 Multipliers'!$L$3:$N$6,2,FALSE)=0,"Spatial Data Missing ⚠",VLOOKUP(L138,'G-3 Multipliers'!$L$3:$N$6,2,FALSE)))</f>
        <v/>
      </c>
      <c r="N138" s="363" t="str">
        <f>IF(L138="","",IF(VLOOKUP(L138,'G-3 Multipliers'!$L$3:$N$6,3,FALSE)=0,"Spatial Data Missing ⚠",VLOOKUP(L138,'G-3 Multipliers'!$L$3:$N$6,3,FALSE)))</f>
        <v/>
      </c>
      <c r="O138" s="362" t="str">
        <f t="shared" si="6"/>
        <v/>
      </c>
      <c r="P138" s="159"/>
      <c r="Q138" s="159"/>
      <c r="R138" s="382" t="str">
        <f t="shared" si="7"/>
        <v/>
      </c>
      <c r="S138" s="404" t="str">
        <f t="shared" si="8"/>
        <v/>
      </c>
      <c r="T138" s="387" t="str">
        <f>IFERROR(IF(S138="Check Data ⚠","Check Data ⚠",VLOOKUP(S138,'G-4 Temporal multipliers'!$A$4:$C$37,3,FALSE)),"")</f>
        <v/>
      </c>
      <c r="U138" s="385" t="str">
        <f>IF(F138="","",VLOOKUP(F138,'G-3 Multipliers'!$A$2:$E$134,2,FALSE))</f>
        <v/>
      </c>
      <c r="V138" s="382" t="str">
        <f t="shared" si="11"/>
        <v/>
      </c>
      <c r="W138" s="382" t="str">
        <f>IF(E138="","",IF(AND(V138="Standard difficulty applied",O138&gt;P138),U138,IF(AND(V138="Low Difficulty - only applicable if all habitat created before losses ⚠",P138&gt;=O138),"Low",VLOOKUP(F138,'G-3 Multipliers'!$A$2:$E$134,4,FALSE))))</f>
        <v/>
      </c>
      <c r="X138" s="386" t="str">
        <f>IFERROR(IF(E138="","",VLOOKUP(W138, 'G-3 Multipliers'!$P$2:$Q$6,2,FALSE)),"")</f>
        <v/>
      </c>
      <c r="Y138" s="516"/>
      <c r="Z138" s="724" t="str">
        <f>IF(Y138="","",IF(VLOOKUP(Y138,'G-3 Multipliers'!$S$3:$T$10,2,FALSE)=0,"Spatial Data Missing ⚠",VLOOKUP(Y138,'G-3 Multipliers'!$S$3:$T$10,2,FALSE)))</f>
        <v/>
      </c>
      <c r="AA138" s="741" t="str">
        <f t="shared" si="9"/>
        <v/>
      </c>
      <c r="AB138" s="405" t="str">
        <f t="shared" si="10"/>
        <v/>
      </c>
      <c r="AC138" s="119"/>
      <c r="AD138" s="528"/>
      <c r="AE138" s="120"/>
      <c r="AF138" s="120"/>
    </row>
    <row r="139" spans="1:32" ht="15">
      <c r="A139" s="30" t="str">
        <f>IFERROR(INDEX('G-8 Condition Look up'!$I$4:$I$135,MATCH(F139,'G-8 Condition Look up'!$A$4:$A$135,0)),"")</f>
        <v/>
      </c>
      <c r="C139" s="75" t="str">
        <f>IFERROR(INDEX('G-1 All Habitats'!$AG$3:$AG$17,MATCH(D139,'G-1 All Habitats'!$AF$3:$AF$17,0)),"")</f>
        <v/>
      </c>
      <c r="D139" s="122"/>
      <c r="E139" s="165"/>
      <c r="F139" s="198" t="str">
        <f>IFERROR(INDEX('G-1 All Habitats'!$B$3:$B$135,MATCH(E139,'G-1 All Habitats'!$A$3:$A$135,0)),"")</f>
        <v/>
      </c>
      <c r="G139" s="300"/>
      <c r="H139" s="398" t="str">
        <f>IF(F139="","",VLOOKUP(F139,'G-1 All Habitats'!$B$2:$M$134,10,FALSE))</f>
        <v/>
      </c>
      <c r="I139" s="386" t="str">
        <f>IFERROR(VLOOKUP(H139,'G-1 All Habitats'!$V$3:$W$7,2,FALSE),"")</f>
        <v/>
      </c>
      <c r="J139" s="162"/>
      <c r="K139" s="386" t="str">
        <f>IFERROR(INDEX('G-8 Condition Look up'!$A$3:$H$135,MATCH(F139,'G-8 Condition Look up'!$A$3:$A$135,0),MATCH(J139,'G-8 Condition Look up'!$A$3:$H$3,0)),"")</f>
        <v/>
      </c>
      <c r="L139" s="114"/>
      <c r="M139" s="401" t="str">
        <f>IF(L139="","",IF(VLOOKUP(L139,'G-3 Multipliers'!$L$3:$N$6,2,FALSE)=0,"Spatial Data Missing ⚠",VLOOKUP(L139,'G-3 Multipliers'!$L$3:$N$6,2,FALSE)))</f>
        <v/>
      </c>
      <c r="N139" s="363" t="str">
        <f>IF(L139="","",IF(VLOOKUP(L139,'G-3 Multipliers'!$L$3:$N$6,3,FALSE)=0,"Spatial Data Missing ⚠",VLOOKUP(L139,'G-3 Multipliers'!$L$3:$N$6,3,FALSE)))</f>
        <v/>
      </c>
      <c r="O139" s="362" t="str">
        <f t="shared" ref="O139:O202" si="12">IFERROR(INDEX(TemporalData,MATCH(F139,TemporalHabitats,0),MATCH(J139,TemporalConditions,0)),"")</f>
        <v/>
      </c>
      <c r="P139" s="159"/>
      <c r="Q139" s="159"/>
      <c r="R139" s="382" t="str">
        <f t="shared" ref="R139:R202" si="13">IF(E139="","",IF(AND(P139&gt;0,Q139&gt;0),"Error -both advance and delayed habitat creation ▲",IF(AND(OR(P139="Habitat already in target condition",O139&lt;=P139),Q139=0,I139&gt;0),"Check details - Is there evidence that habitat has reached target condition? ⚠",IF(O139="","",IF(AND(P139&gt;=AF139,P139&gt;0),"Check details - Is there evidence habitat creation started and the threshold for Poor condition reached? ⚠",IF(Q139&gt;0,"Check details- Delay in starting habitat in required condition? ⚠",IF(P139&gt;0,"Check details - Is there evidence habitat creation started/in place? ⚠","Standard time to target condition applied")))))))</f>
        <v/>
      </c>
      <c r="S139" s="404" t="str">
        <f t="shared" ref="S139:S202" si="14">IF(R139="Error -both advance and delayed habitat creation ▲","Check Data ⚠",IF(O139="Not Possible","Check Data ⚠",IF(O139="","",IF(AND(O139="30+",P139=0),"30+",IF(AND(O139="30+",P139="30+"),0,IF(AND(O139="30+",P139&lt;32),30-P139,IF(O139="30+",30-P139,IF(P139&gt;O139,0,IF(Q139="30+","30+",IF(O139+Q139&gt;30,"30+",IF(O139+Q139&gt;30,"30+",IF(O139-P139&gt;30,"30+",IF(O139+Q139-P139&gt;0,O139+Q139-P139,IF(O139-P139&gt;0,O139-P139,O139+Q139-P139))))))))))))))</f>
        <v/>
      </c>
      <c r="T139" s="387" t="str">
        <f>IFERROR(IF(S139="Check Data ⚠","Check Data ⚠",VLOOKUP(S139,'G-4 Temporal multipliers'!$A$4:$C$37,3,FALSE)),"")</f>
        <v/>
      </c>
      <c r="U139" s="385" t="str">
        <f>IF(F139="","",VLOOKUP(F139,'G-3 Multipliers'!$A$2:$E$134,2,FALSE))</f>
        <v/>
      </c>
      <c r="V139" s="382" t="str">
        <f t="shared" si="11"/>
        <v/>
      </c>
      <c r="W139" s="382" t="str">
        <f>IF(E139="","",IF(AND(V139="Standard difficulty applied",O139&gt;P139),U139,IF(AND(V139="Low Difficulty - only applicable if all habitat created before losses ⚠",P139&gt;=O139),"Low",VLOOKUP(F139,'G-3 Multipliers'!$A$2:$E$134,4,FALSE))))</f>
        <v/>
      </c>
      <c r="X139" s="386" t="str">
        <f>IFERROR(IF(E139="","",VLOOKUP(W139, 'G-3 Multipliers'!$P$2:$Q$6,2,FALSE)),"")</f>
        <v/>
      </c>
      <c r="Y139" s="516"/>
      <c r="Z139" s="724" t="str">
        <f>IF(Y139="","",IF(VLOOKUP(Y139,'G-3 Multipliers'!$S$3:$T$10,2,FALSE)=0,"Spatial Data Missing ⚠",VLOOKUP(Y139,'G-3 Multipliers'!$S$3:$T$10,2,FALSE)))</f>
        <v/>
      </c>
      <c r="AA139" s="741" t="str">
        <f t="shared" ref="AA139:AA202" si="15">IFERROR(G139*I139*K139*N139*T139*X139*Z139,"")</f>
        <v/>
      </c>
      <c r="AB139" s="405" t="str">
        <f t="shared" si="10"/>
        <v/>
      </c>
      <c r="AC139" s="119"/>
      <c r="AD139" s="528"/>
      <c r="AE139" s="120"/>
      <c r="AF139" s="120"/>
    </row>
    <row r="140" spans="1:32" ht="15">
      <c r="A140" s="30" t="str">
        <f>IFERROR(INDEX('G-8 Condition Look up'!$I$4:$I$135,MATCH(F140,'G-8 Condition Look up'!$A$4:$A$135,0)),"")</f>
        <v/>
      </c>
      <c r="C140" s="75" t="str">
        <f>IFERROR(INDEX('G-1 All Habitats'!$AG$3:$AG$17,MATCH(D140,'G-1 All Habitats'!$AF$3:$AF$17,0)),"")</f>
        <v/>
      </c>
      <c r="D140" s="122"/>
      <c r="E140" s="165"/>
      <c r="F140" s="198" t="str">
        <f>IFERROR(INDEX('G-1 All Habitats'!$B$3:$B$135,MATCH(E140,'G-1 All Habitats'!$A$3:$A$135,0)),"")</f>
        <v/>
      </c>
      <c r="G140" s="300"/>
      <c r="H140" s="398" t="str">
        <f>IF(F140="","",VLOOKUP(F140,'G-1 All Habitats'!$B$2:$M$134,10,FALSE))</f>
        <v/>
      </c>
      <c r="I140" s="386" t="str">
        <f>IFERROR(VLOOKUP(H140,'G-1 All Habitats'!$V$3:$W$7,2,FALSE),"")</f>
        <v/>
      </c>
      <c r="J140" s="162"/>
      <c r="K140" s="386" t="str">
        <f>IFERROR(INDEX('G-8 Condition Look up'!$A$3:$H$135,MATCH(F140,'G-8 Condition Look up'!$A$3:$A$135,0),MATCH(J140,'G-8 Condition Look up'!$A$3:$H$3,0)),"")</f>
        <v/>
      </c>
      <c r="L140" s="114"/>
      <c r="M140" s="401" t="str">
        <f>IF(L140="","",IF(VLOOKUP(L140,'G-3 Multipliers'!$L$3:$N$6,2,FALSE)=0,"Spatial Data Missing ⚠",VLOOKUP(L140,'G-3 Multipliers'!$L$3:$N$6,2,FALSE)))</f>
        <v/>
      </c>
      <c r="N140" s="363" t="str">
        <f>IF(L140="","",IF(VLOOKUP(L140,'G-3 Multipliers'!$L$3:$N$6,3,FALSE)=0,"Spatial Data Missing ⚠",VLOOKUP(L140,'G-3 Multipliers'!$L$3:$N$6,3,FALSE)))</f>
        <v/>
      </c>
      <c r="O140" s="362" t="str">
        <f t="shared" si="12"/>
        <v/>
      </c>
      <c r="P140" s="159"/>
      <c r="Q140" s="159"/>
      <c r="R140" s="382" t="str">
        <f t="shared" si="13"/>
        <v/>
      </c>
      <c r="S140" s="404" t="str">
        <f t="shared" si="14"/>
        <v/>
      </c>
      <c r="T140" s="387" t="str">
        <f>IFERROR(IF(S140="Check Data ⚠","Check Data ⚠",VLOOKUP(S140,'G-4 Temporal multipliers'!$A$4:$C$37,3,FALSE)),"")</f>
        <v/>
      </c>
      <c r="U140" s="385" t="str">
        <f>IF(F140="","",VLOOKUP(F140,'G-3 Multipliers'!$A$2:$E$134,2,FALSE))</f>
        <v/>
      </c>
      <c r="V140" s="382" t="str">
        <f t="shared" si="11"/>
        <v/>
      </c>
      <c r="W140" s="382" t="str">
        <f>IF(E140="","",IF(AND(V140="Standard difficulty applied",O140&gt;P140),U140,IF(AND(V140="Low Difficulty - only applicable if all habitat created before losses ⚠",P140&gt;=O140),"Low",VLOOKUP(F140,'G-3 Multipliers'!$A$2:$E$134,4,FALSE))))</f>
        <v/>
      </c>
      <c r="X140" s="386" t="str">
        <f>IFERROR(IF(E140="","",VLOOKUP(W140, 'G-3 Multipliers'!$P$2:$Q$6,2,FALSE)),"")</f>
        <v/>
      </c>
      <c r="Y140" s="516"/>
      <c r="Z140" s="724" t="str">
        <f>IF(Y140="","",IF(VLOOKUP(Y140,'G-3 Multipliers'!$S$3:$T$10,2,FALSE)=0,"Spatial Data Missing ⚠",VLOOKUP(Y140,'G-3 Multipliers'!$S$3:$T$10,2,FALSE)))</f>
        <v/>
      </c>
      <c r="AA140" s="741" t="str">
        <f t="shared" si="15"/>
        <v/>
      </c>
      <c r="AB140" s="405" t="str">
        <f t="shared" ref="AB140:AB203" si="16">IFERROR(IF(Y140="","",G140*I140*K140*N140*T140*X140),"")</f>
        <v/>
      </c>
      <c r="AC140" s="119"/>
      <c r="AD140" s="528"/>
      <c r="AE140" s="120"/>
      <c r="AF140" s="120"/>
    </row>
    <row r="141" spans="1:32" ht="15">
      <c r="A141" s="30" t="str">
        <f>IFERROR(INDEX('G-8 Condition Look up'!$I$4:$I$135,MATCH(F141,'G-8 Condition Look up'!$A$4:$A$135,0)),"")</f>
        <v/>
      </c>
      <c r="C141" s="75" t="str">
        <f>IFERROR(INDEX('G-1 All Habitats'!$AG$3:$AG$17,MATCH(D141,'G-1 All Habitats'!$AF$3:$AF$17,0)),"")</f>
        <v/>
      </c>
      <c r="D141" s="122"/>
      <c r="E141" s="165"/>
      <c r="F141" s="198" t="str">
        <f>IFERROR(INDEX('G-1 All Habitats'!$B$3:$B$135,MATCH(E141,'G-1 All Habitats'!$A$3:$A$135,0)),"")</f>
        <v/>
      </c>
      <c r="G141" s="300"/>
      <c r="H141" s="398" t="str">
        <f>IF(F141="","",VLOOKUP(F141,'G-1 All Habitats'!$B$2:$M$134,10,FALSE))</f>
        <v/>
      </c>
      <c r="I141" s="386" t="str">
        <f>IFERROR(VLOOKUP(H141,'G-1 All Habitats'!$V$3:$W$7,2,FALSE),"")</f>
        <v/>
      </c>
      <c r="J141" s="162"/>
      <c r="K141" s="386" t="str">
        <f>IFERROR(INDEX('G-8 Condition Look up'!$A$3:$H$135,MATCH(F141,'G-8 Condition Look up'!$A$3:$A$135,0),MATCH(J141,'G-8 Condition Look up'!$A$3:$H$3,0)),"")</f>
        <v/>
      </c>
      <c r="L141" s="114"/>
      <c r="M141" s="401" t="str">
        <f>IF(L141="","",IF(VLOOKUP(L141,'G-3 Multipliers'!$L$3:$N$6,2,FALSE)=0,"Spatial Data Missing ⚠",VLOOKUP(L141,'G-3 Multipliers'!$L$3:$N$6,2,FALSE)))</f>
        <v/>
      </c>
      <c r="N141" s="363" t="str">
        <f>IF(L141="","",IF(VLOOKUP(L141,'G-3 Multipliers'!$L$3:$N$6,3,FALSE)=0,"Spatial Data Missing ⚠",VLOOKUP(L141,'G-3 Multipliers'!$L$3:$N$6,3,FALSE)))</f>
        <v/>
      </c>
      <c r="O141" s="362" t="str">
        <f t="shared" si="12"/>
        <v/>
      </c>
      <c r="P141" s="159"/>
      <c r="Q141" s="159"/>
      <c r="R141" s="382" t="str">
        <f t="shared" si="13"/>
        <v/>
      </c>
      <c r="S141" s="404" t="str">
        <f t="shared" si="14"/>
        <v/>
      </c>
      <c r="T141" s="387" t="str">
        <f>IFERROR(IF(S141="Check Data ⚠","Check Data ⚠",VLOOKUP(S141,'G-4 Temporal multipliers'!$A$4:$C$37,3,FALSE)),"")</f>
        <v/>
      </c>
      <c r="U141" s="385" t="str">
        <f>IF(F141="","",VLOOKUP(F141,'G-3 Multipliers'!$A$2:$E$134,2,FALSE))</f>
        <v/>
      </c>
      <c r="V141" s="382" t="str">
        <f t="shared" ref="V141:V204" si="17">IF(F141="","",IF($R141="Check details - Is there evidence that habitat has reached target condition? ⚠","Low Difficulty - only applicable if all habitat created before losses ⚠",IF($R141="Check details - Is there evidence habitat creation started and the threshold for Poor condition reached? ⚠","Enhancement difficulty applied","Standard difficulty applied")))</f>
        <v/>
      </c>
      <c r="W141" s="382" t="str">
        <f>IF(E141="","",IF(AND(V141="Standard difficulty applied",O141&gt;P141),U141,IF(AND(V141="Low Difficulty - only applicable if all habitat created before losses ⚠",P141&gt;=O141),"Low",VLOOKUP(F141,'G-3 Multipliers'!$A$2:$E$134,4,FALSE))))</f>
        <v/>
      </c>
      <c r="X141" s="386" t="str">
        <f>IFERROR(IF(E141="","",VLOOKUP(W141, 'G-3 Multipliers'!$P$2:$Q$6,2,FALSE)),"")</f>
        <v/>
      </c>
      <c r="Y141" s="516"/>
      <c r="Z141" s="724" t="str">
        <f>IF(Y141="","",IF(VLOOKUP(Y141,'G-3 Multipliers'!$S$3:$T$10,2,FALSE)=0,"Spatial Data Missing ⚠",VLOOKUP(Y141,'G-3 Multipliers'!$S$3:$T$10,2,FALSE)))</f>
        <v/>
      </c>
      <c r="AA141" s="741" t="str">
        <f t="shared" si="15"/>
        <v/>
      </c>
      <c r="AB141" s="405" t="str">
        <f t="shared" si="16"/>
        <v/>
      </c>
      <c r="AC141" s="119"/>
      <c r="AD141" s="528"/>
      <c r="AE141" s="120"/>
      <c r="AF141" s="120"/>
    </row>
    <row r="142" spans="1:32" ht="15">
      <c r="A142" s="30" t="str">
        <f>IFERROR(INDEX('G-8 Condition Look up'!$I$4:$I$135,MATCH(F142,'G-8 Condition Look up'!$A$4:$A$135,0)),"")</f>
        <v/>
      </c>
      <c r="C142" s="75" t="str">
        <f>IFERROR(INDEX('G-1 All Habitats'!$AG$3:$AG$17,MATCH(D142,'G-1 All Habitats'!$AF$3:$AF$17,0)),"")</f>
        <v/>
      </c>
      <c r="D142" s="122"/>
      <c r="E142" s="165"/>
      <c r="F142" s="198" t="str">
        <f>IFERROR(INDEX('G-1 All Habitats'!$B$3:$B$135,MATCH(E142,'G-1 All Habitats'!$A$3:$A$135,0)),"")</f>
        <v/>
      </c>
      <c r="G142" s="300"/>
      <c r="H142" s="398" t="str">
        <f>IF(F142="","",VLOOKUP(F142,'G-1 All Habitats'!$B$2:$M$134,10,FALSE))</f>
        <v/>
      </c>
      <c r="I142" s="386" t="str">
        <f>IFERROR(VLOOKUP(H142,'G-1 All Habitats'!$V$3:$W$7,2,FALSE),"")</f>
        <v/>
      </c>
      <c r="J142" s="162"/>
      <c r="K142" s="386" t="str">
        <f>IFERROR(INDEX('G-8 Condition Look up'!$A$3:$H$135,MATCH(F142,'G-8 Condition Look up'!$A$3:$A$135,0),MATCH(J142,'G-8 Condition Look up'!$A$3:$H$3,0)),"")</f>
        <v/>
      </c>
      <c r="L142" s="114"/>
      <c r="M142" s="401" t="str">
        <f>IF(L142="","",IF(VLOOKUP(L142,'G-3 Multipliers'!$L$3:$N$6,2,FALSE)=0,"Spatial Data Missing ⚠",VLOOKUP(L142,'G-3 Multipliers'!$L$3:$N$6,2,FALSE)))</f>
        <v/>
      </c>
      <c r="N142" s="363" t="str">
        <f>IF(L142="","",IF(VLOOKUP(L142,'G-3 Multipliers'!$L$3:$N$6,3,FALSE)=0,"Spatial Data Missing ⚠",VLOOKUP(L142,'G-3 Multipliers'!$L$3:$N$6,3,FALSE)))</f>
        <v/>
      </c>
      <c r="O142" s="362" t="str">
        <f t="shared" si="12"/>
        <v/>
      </c>
      <c r="P142" s="159"/>
      <c r="Q142" s="159"/>
      <c r="R142" s="382" t="str">
        <f t="shared" si="13"/>
        <v/>
      </c>
      <c r="S142" s="404" t="str">
        <f t="shared" si="14"/>
        <v/>
      </c>
      <c r="T142" s="387" t="str">
        <f>IFERROR(IF(S142="Check Data ⚠","Check Data ⚠",VLOOKUP(S142,'G-4 Temporal multipliers'!$A$4:$C$37,3,FALSE)),"")</f>
        <v/>
      </c>
      <c r="U142" s="385" t="str">
        <f>IF(F142="","",VLOOKUP(F142,'G-3 Multipliers'!$A$2:$E$134,2,FALSE))</f>
        <v/>
      </c>
      <c r="V142" s="382" t="str">
        <f t="shared" si="17"/>
        <v/>
      </c>
      <c r="W142" s="382" t="str">
        <f>IF(E142="","",IF(AND(V142="Standard difficulty applied",O142&gt;P142),U142,IF(AND(V142="Low Difficulty - only applicable if all habitat created before losses ⚠",P142&gt;=O142),"Low",VLOOKUP(F142,'G-3 Multipliers'!$A$2:$E$134,4,FALSE))))</f>
        <v/>
      </c>
      <c r="X142" s="386" t="str">
        <f>IFERROR(IF(E142="","",VLOOKUP(W142, 'G-3 Multipliers'!$P$2:$Q$6,2,FALSE)),"")</f>
        <v/>
      </c>
      <c r="Y142" s="516"/>
      <c r="Z142" s="724" t="str">
        <f>IF(Y142="","",IF(VLOOKUP(Y142,'G-3 Multipliers'!$S$3:$T$10,2,FALSE)=0,"Spatial Data Missing ⚠",VLOOKUP(Y142,'G-3 Multipliers'!$S$3:$T$10,2,FALSE)))</f>
        <v/>
      </c>
      <c r="AA142" s="741" t="str">
        <f t="shared" si="15"/>
        <v/>
      </c>
      <c r="AB142" s="405" t="str">
        <f t="shared" si="16"/>
        <v/>
      </c>
      <c r="AC142" s="119"/>
      <c r="AD142" s="528"/>
      <c r="AE142" s="120"/>
      <c r="AF142" s="120"/>
    </row>
    <row r="143" spans="1:32" ht="15">
      <c r="A143" s="30" t="str">
        <f>IFERROR(INDEX('G-8 Condition Look up'!$I$4:$I$135,MATCH(F143,'G-8 Condition Look up'!$A$4:$A$135,0)),"")</f>
        <v/>
      </c>
      <c r="C143" s="75" t="str">
        <f>IFERROR(INDEX('G-1 All Habitats'!$AG$3:$AG$17,MATCH(D143,'G-1 All Habitats'!$AF$3:$AF$17,0)),"")</f>
        <v/>
      </c>
      <c r="D143" s="122"/>
      <c r="E143" s="165"/>
      <c r="F143" s="198" t="str">
        <f>IFERROR(INDEX('G-1 All Habitats'!$B$3:$B$135,MATCH(E143,'G-1 All Habitats'!$A$3:$A$135,0)),"")</f>
        <v/>
      </c>
      <c r="G143" s="300"/>
      <c r="H143" s="398" t="str">
        <f>IF(F143="","",VLOOKUP(F143,'G-1 All Habitats'!$B$2:$M$134,10,FALSE))</f>
        <v/>
      </c>
      <c r="I143" s="386" t="str">
        <f>IFERROR(VLOOKUP(H143,'G-1 All Habitats'!$V$3:$W$7,2,FALSE),"")</f>
        <v/>
      </c>
      <c r="J143" s="162"/>
      <c r="K143" s="386" t="str">
        <f>IFERROR(INDEX('G-8 Condition Look up'!$A$3:$H$135,MATCH(F143,'G-8 Condition Look up'!$A$3:$A$135,0),MATCH(J143,'G-8 Condition Look up'!$A$3:$H$3,0)),"")</f>
        <v/>
      </c>
      <c r="L143" s="114"/>
      <c r="M143" s="401" t="str">
        <f>IF(L143="","",IF(VLOOKUP(L143,'G-3 Multipliers'!$L$3:$N$6,2,FALSE)=0,"Spatial Data Missing ⚠",VLOOKUP(L143,'G-3 Multipliers'!$L$3:$N$6,2,FALSE)))</f>
        <v/>
      </c>
      <c r="N143" s="363" t="str">
        <f>IF(L143="","",IF(VLOOKUP(L143,'G-3 Multipliers'!$L$3:$N$6,3,FALSE)=0,"Spatial Data Missing ⚠",VLOOKUP(L143,'G-3 Multipliers'!$L$3:$N$6,3,FALSE)))</f>
        <v/>
      </c>
      <c r="O143" s="362" t="str">
        <f t="shared" si="12"/>
        <v/>
      </c>
      <c r="P143" s="159"/>
      <c r="Q143" s="159"/>
      <c r="R143" s="382" t="str">
        <f t="shared" si="13"/>
        <v/>
      </c>
      <c r="S143" s="404" t="str">
        <f t="shared" si="14"/>
        <v/>
      </c>
      <c r="T143" s="387" t="str">
        <f>IFERROR(IF(S143="Check Data ⚠","Check Data ⚠",VLOOKUP(S143,'G-4 Temporal multipliers'!$A$4:$C$37,3,FALSE)),"")</f>
        <v/>
      </c>
      <c r="U143" s="385" t="str">
        <f>IF(F143="","",VLOOKUP(F143,'G-3 Multipliers'!$A$2:$E$134,2,FALSE))</f>
        <v/>
      </c>
      <c r="V143" s="382" t="str">
        <f t="shared" si="17"/>
        <v/>
      </c>
      <c r="W143" s="382" t="str">
        <f>IF(E143="","",IF(AND(V143="Standard difficulty applied",O143&gt;P143),U143,IF(AND(V143="Low Difficulty - only applicable if all habitat created before losses ⚠",P143&gt;=O143),"Low",VLOOKUP(F143,'G-3 Multipliers'!$A$2:$E$134,4,FALSE))))</f>
        <v/>
      </c>
      <c r="X143" s="386" t="str">
        <f>IFERROR(IF(E143="","",VLOOKUP(W143, 'G-3 Multipliers'!$P$2:$Q$6,2,FALSE)),"")</f>
        <v/>
      </c>
      <c r="Y143" s="516"/>
      <c r="Z143" s="724" t="str">
        <f>IF(Y143="","",IF(VLOOKUP(Y143,'G-3 Multipliers'!$S$3:$T$10,2,FALSE)=0,"Spatial Data Missing ⚠",VLOOKUP(Y143,'G-3 Multipliers'!$S$3:$T$10,2,FALSE)))</f>
        <v/>
      </c>
      <c r="AA143" s="741" t="str">
        <f t="shared" si="15"/>
        <v/>
      </c>
      <c r="AB143" s="405" t="str">
        <f t="shared" si="16"/>
        <v/>
      </c>
      <c r="AC143" s="119"/>
      <c r="AD143" s="528"/>
      <c r="AE143" s="120"/>
      <c r="AF143" s="120"/>
    </row>
    <row r="144" spans="1:32" ht="15">
      <c r="A144" s="30" t="str">
        <f>IFERROR(INDEX('G-8 Condition Look up'!$I$4:$I$135,MATCH(F144,'G-8 Condition Look up'!$A$4:$A$135,0)),"")</f>
        <v/>
      </c>
      <c r="C144" s="75" t="str">
        <f>IFERROR(INDEX('G-1 All Habitats'!$AG$3:$AG$17,MATCH(D144,'G-1 All Habitats'!$AF$3:$AF$17,0)),"")</f>
        <v/>
      </c>
      <c r="D144" s="122"/>
      <c r="E144" s="165"/>
      <c r="F144" s="198" t="str">
        <f>IFERROR(INDEX('G-1 All Habitats'!$B$3:$B$135,MATCH(E144,'G-1 All Habitats'!$A$3:$A$135,0)),"")</f>
        <v/>
      </c>
      <c r="G144" s="300"/>
      <c r="H144" s="398" t="str">
        <f>IF(F144="","",VLOOKUP(F144,'G-1 All Habitats'!$B$2:$M$134,10,FALSE))</f>
        <v/>
      </c>
      <c r="I144" s="386" t="str">
        <f>IFERROR(VLOOKUP(H144,'G-1 All Habitats'!$V$3:$W$7,2,FALSE),"")</f>
        <v/>
      </c>
      <c r="J144" s="162"/>
      <c r="K144" s="386" t="str">
        <f>IFERROR(INDEX('G-8 Condition Look up'!$A$3:$H$135,MATCH(F144,'G-8 Condition Look up'!$A$3:$A$135,0),MATCH(J144,'G-8 Condition Look up'!$A$3:$H$3,0)),"")</f>
        <v/>
      </c>
      <c r="L144" s="114"/>
      <c r="M144" s="401" t="str">
        <f>IF(L144="","",IF(VLOOKUP(L144,'G-3 Multipliers'!$L$3:$N$6,2,FALSE)=0,"Spatial Data Missing ⚠",VLOOKUP(L144,'G-3 Multipliers'!$L$3:$N$6,2,FALSE)))</f>
        <v/>
      </c>
      <c r="N144" s="363" t="str">
        <f>IF(L144="","",IF(VLOOKUP(L144,'G-3 Multipliers'!$L$3:$N$6,3,FALSE)=0,"Spatial Data Missing ⚠",VLOOKUP(L144,'G-3 Multipliers'!$L$3:$N$6,3,FALSE)))</f>
        <v/>
      </c>
      <c r="O144" s="362" t="str">
        <f t="shared" si="12"/>
        <v/>
      </c>
      <c r="P144" s="159"/>
      <c r="Q144" s="159"/>
      <c r="R144" s="382" t="str">
        <f t="shared" si="13"/>
        <v/>
      </c>
      <c r="S144" s="404" t="str">
        <f t="shared" si="14"/>
        <v/>
      </c>
      <c r="T144" s="387" t="str">
        <f>IFERROR(IF(S144="Check Data ⚠","Check Data ⚠",VLOOKUP(S144,'G-4 Temporal multipliers'!$A$4:$C$37,3,FALSE)),"")</f>
        <v/>
      </c>
      <c r="U144" s="385" t="str">
        <f>IF(F144="","",VLOOKUP(F144,'G-3 Multipliers'!$A$2:$E$134,2,FALSE))</f>
        <v/>
      </c>
      <c r="V144" s="382" t="str">
        <f t="shared" si="17"/>
        <v/>
      </c>
      <c r="W144" s="382" t="str">
        <f>IF(E144="","",IF(AND(V144="Standard difficulty applied",O144&gt;P144),U144,IF(AND(V144="Low Difficulty - only applicable if all habitat created before losses ⚠",P144&gt;=O144),"Low",VLOOKUP(F144,'G-3 Multipliers'!$A$2:$E$134,4,FALSE))))</f>
        <v/>
      </c>
      <c r="X144" s="386" t="str">
        <f>IFERROR(IF(E144="","",VLOOKUP(W144, 'G-3 Multipliers'!$P$2:$Q$6,2,FALSE)),"")</f>
        <v/>
      </c>
      <c r="Y144" s="516"/>
      <c r="Z144" s="724" t="str">
        <f>IF(Y144="","",IF(VLOOKUP(Y144,'G-3 Multipliers'!$S$3:$T$10,2,FALSE)=0,"Spatial Data Missing ⚠",VLOOKUP(Y144,'G-3 Multipliers'!$S$3:$T$10,2,FALSE)))</f>
        <v/>
      </c>
      <c r="AA144" s="741" t="str">
        <f t="shared" si="15"/>
        <v/>
      </c>
      <c r="AB144" s="405" t="str">
        <f t="shared" si="16"/>
        <v/>
      </c>
      <c r="AC144" s="119"/>
      <c r="AD144" s="528"/>
      <c r="AE144" s="120"/>
      <c r="AF144" s="120"/>
    </row>
    <row r="145" spans="1:32" ht="15">
      <c r="A145" s="30" t="str">
        <f>IFERROR(INDEX('G-8 Condition Look up'!$I$4:$I$135,MATCH(F145,'G-8 Condition Look up'!$A$4:$A$135,0)),"")</f>
        <v/>
      </c>
      <c r="C145" s="75" t="str">
        <f>IFERROR(INDEX('G-1 All Habitats'!$AG$3:$AG$17,MATCH(D145,'G-1 All Habitats'!$AF$3:$AF$17,0)),"")</f>
        <v/>
      </c>
      <c r="D145" s="122"/>
      <c r="E145" s="165"/>
      <c r="F145" s="198" t="str">
        <f>IFERROR(INDEX('G-1 All Habitats'!$B$3:$B$135,MATCH(E145,'G-1 All Habitats'!$A$3:$A$135,0)),"")</f>
        <v/>
      </c>
      <c r="G145" s="300"/>
      <c r="H145" s="398" t="str">
        <f>IF(F145="","",VLOOKUP(F145,'G-1 All Habitats'!$B$2:$M$134,10,FALSE))</f>
        <v/>
      </c>
      <c r="I145" s="386" t="str">
        <f>IFERROR(VLOOKUP(H145,'G-1 All Habitats'!$V$3:$W$7,2,FALSE),"")</f>
        <v/>
      </c>
      <c r="J145" s="162"/>
      <c r="K145" s="386" t="str">
        <f>IFERROR(INDEX('G-8 Condition Look up'!$A$3:$H$135,MATCH(F145,'G-8 Condition Look up'!$A$3:$A$135,0),MATCH(J145,'G-8 Condition Look up'!$A$3:$H$3,0)),"")</f>
        <v/>
      </c>
      <c r="L145" s="114"/>
      <c r="M145" s="401" t="str">
        <f>IF(L145="","",IF(VLOOKUP(L145,'G-3 Multipliers'!$L$3:$N$6,2,FALSE)=0,"Spatial Data Missing ⚠",VLOOKUP(L145,'G-3 Multipliers'!$L$3:$N$6,2,FALSE)))</f>
        <v/>
      </c>
      <c r="N145" s="363" t="str">
        <f>IF(L145="","",IF(VLOOKUP(L145,'G-3 Multipliers'!$L$3:$N$6,3,FALSE)=0,"Spatial Data Missing ⚠",VLOOKUP(L145,'G-3 Multipliers'!$L$3:$N$6,3,FALSE)))</f>
        <v/>
      </c>
      <c r="O145" s="362" t="str">
        <f t="shared" si="12"/>
        <v/>
      </c>
      <c r="P145" s="159"/>
      <c r="Q145" s="159"/>
      <c r="R145" s="382" t="str">
        <f t="shared" si="13"/>
        <v/>
      </c>
      <c r="S145" s="404" t="str">
        <f t="shared" si="14"/>
        <v/>
      </c>
      <c r="T145" s="387" t="str">
        <f>IFERROR(IF(S145="Check Data ⚠","Check Data ⚠",VLOOKUP(S145,'G-4 Temporal multipliers'!$A$4:$C$37,3,FALSE)),"")</f>
        <v/>
      </c>
      <c r="U145" s="385" t="str">
        <f>IF(F145="","",VLOOKUP(F145,'G-3 Multipliers'!$A$2:$E$134,2,FALSE))</f>
        <v/>
      </c>
      <c r="V145" s="382" t="str">
        <f t="shared" si="17"/>
        <v/>
      </c>
      <c r="W145" s="382" t="str">
        <f>IF(E145="","",IF(AND(V145="Standard difficulty applied",O145&gt;P145),U145,IF(AND(V145="Low Difficulty - only applicable if all habitat created before losses ⚠",P145&gt;=O145),"Low",VLOOKUP(F145,'G-3 Multipliers'!$A$2:$E$134,4,FALSE))))</f>
        <v/>
      </c>
      <c r="X145" s="386" t="str">
        <f>IFERROR(IF(E145="","",VLOOKUP(W145, 'G-3 Multipliers'!$P$2:$Q$6,2,FALSE)),"")</f>
        <v/>
      </c>
      <c r="Y145" s="516"/>
      <c r="Z145" s="724" t="str">
        <f>IF(Y145="","",IF(VLOOKUP(Y145,'G-3 Multipliers'!$S$3:$T$10,2,FALSE)=0,"Spatial Data Missing ⚠",VLOOKUP(Y145,'G-3 Multipliers'!$S$3:$T$10,2,FALSE)))</f>
        <v/>
      </c>
      <c r="AA145" s="741" t="str">
        <f t="shared" si="15"/>
        <v/>
      </c>
      <c r="AB145" s="405" t="str">
        <f t="shared" si="16"/>
        <v/>
      </c>
      <c r="AC145" s="119"/>
      <c r="AD145" s="528"/>
      <c r="AE145" s="120"/>
      <c r="AF145" s="120"/>
    </row>
    <row r="146" spans="1:32" ht="15">
      <c r="A146" s="30" t="str">
        <f>IFERROR(INDEX('G-8 Condition Look up'!$I$4:$I$135,MATCH(F146,'G-8 Condition Look up'!$A$4:$A$135,0)),"")</f>
        <v/>
      </c>
      <c r="C146" s="75" t="str">
        <f>IFERROR(INDEX('G-1 All Habitats'!$AG$3:$AG$17,MATCH(D146,'G-1 All Habitats'!$AF$3:$AF$17,0)),"")</f>
        <v/>
      </c>
      <c r="D146" s="122"/>
      <c r="E146" s="165"/>
      <c r="F146" s="198" t="str">
        <f>IFERROR(INDEX('G-1 All Habitats'!$B$3:$B$135,MATCH(E146,'G-1 All Habitats'!$A$3:$A$135,0)),"")</f>
        <v/>
      </c>
      <c r="G146" s="300"/>
      <c r="H146" s="398" t="str">
        <f>IF(F146="","",VLOOKUP(F146,'G-1 All Habitats'!$B$2:$M$134,10,FALSE))</f>
        <v/>
      </c>
      <c r="I146" s="386" t="str">
        <f>IFERROR(VLOOKUP(H146,'G-1 All Habitats'!$V$3:$W$7,2,FALSE),"")</f>
        <v/>
      </c>
      <c r="J146" s="162"/>
      <c r="K146" s="386" t="str">
        <f>IFERROR(INDEX('G-8 Condition Look up'!$A$3:$H$135,MATCH(F146,'G-8 Condition Look up'!$A$3:$A$135,0),MATCH(J146,'G-8 Condition Look up'!$A$3:$H$3,0)),"")</f>
        <v/>
      </c>
      <c r="L146" s="114"/>
      <c r="M146" s="401" t="str">
        <f>IF(L146="","",IF(VLOOKUP(L146,'G-3 Multipliers'!$L$3:$N$6,2,FALSE)=0,"Spatial Data Missing ⚠",VLOOKUP(L146,'G-3 Multipliers'!$L$3:$N$6,2,FALSE)))</f>
        <v/>
      </c>
      <c r="N146" s="363" t="str">
        <f>IF(L146="","",IF(VLOOKUP(L146,'G-3 Multipliers'!$L$3:$N$6,3,FALSE)=0,"Spatial Data Missing ⚠",VLOOKUP(L146,'G-3 Multipliers'!$L$3:$N$6,3,FALSE)))</f>
        <v/>
      </c>
      <c r="O146" s="362" t="str">
        <f t="shared" si="12"/>
        <v/>
      </c>
      <c r="P146" s="159"/>
      <c r="Q146" s="159"/>
      <c r="R146" s="382" t="str">
        <f t="shared" si="13"/>
        <v/>
      </c>
      <c r="S146" s="404" t="str">
        <f t="shared" si="14"/>
        <v/>
      </c>
      <c r="T146" s="387" t="str">
        <f>IFERROR(IF(S146="Check Data ⚠","Check Data ⚠",VLOOKUP(S146,'G-4 Temporal multipliers'!$A$4:$C$37,3,FALSE)),"")</f>
        <v/>
      </c>
      <c r="U146" s="385" t="str">
        <f>IF(F146="","",VLOOKUP(F146,'G-3 Multipliers'!$A$2:$E$134,2,FALSE))</f>
        <v/>
      </c>
      <c r="V146" s="382" t="str">
        <f t="shared" si="17"/>
        <v/>
      </c>
      <c r="W146" s="382" t="str">
        <f>IF(E146="","",IF(AND(V146="Standard difficulty applied",O146&gt;P146),U146,IF(AND(V146="Low Difficulty - only applicable if all habitat created before losses ⚠",P146&gt;=O146),"Low",VLOOKUP(F146,'G-3 Multipliers'!$A$2:$E$134,4,FALSE))))</f>
        <v/>
      </c>
      <c r="X146" s="386" t="str">
        <f>IFERROR(IF(E146="","",VLOOKUP(W146, 'G-3 Multipliers'!$P$2:$Q$6,2,FALSE)),"")</f>
        <v/>
      </c>
      <c r="Y146" s="516"/>
      <c r="Z146" s="724" t="str">
        <f>IF(Y146="","",IF(VLOOKUP(Y146,'G-3 Multipliers'!$S$3:$T$10,2,FALSE)=0,"Spatial Data Missing ⚠",VLOOKUP(Y146,'G-3 Multipliers'!$S$3:$T$10,2,FALSE)))</f>
        <v/>
      </c>
      <c r="AA146" s="741" t="str">
        <f t="shared" si="15"/>
        <v/>
      </c>
      <c r="AB146" s="405" t="str">
        <f t="shared" si="16"/>
        <v/>
      </c>
      <c r="AC146" s="119"/>
      <c r="AD146" s="528"/>
      <c r="AE146" s="120"/>
      <c r="AF146" s="120"/>
    </row>
    <row r="147" spans="1:32" ht="15">
      <c r="A147" s="30" t="str">
        <f>IFERROR(INDEX('G-8 Condition Look up'!$I$4:$I$135,MATCH(F147,'G-8 Condition Look up'!$A$4:$A$135,0)),"")</f>
        <v/>
      </c>
      <c r="C147" s="75" t="str">
        <f>IFERROR(INDEX('G-1 All Habitats'!$AG$3:$AG$17,MATCH(D147,'G-1 All Habitats'!$AF$3:$AF$17,0)),"")</f>
        <v/>
      </c>
      <c r="D147" s="122"/>
      <c r="E147" s="165"/>
      <c r="F147" s="198" t="str">
        <f>IFERROR(INDEX('G-1 All Habitats'!$B$3:$B$135,MATCH(E147,'G-1 All Habitats'!$A$3:$A$135,0)),"")</f>
        <v/>
      </c>
      <c r="G147" s="300"/>
      <c r="H147" s="398" t="str">
        <f>IF(F147="","",VLOOKUP(F147,'G-1 All Habitats'!$B$2:$M$134,10,FALSE))</f>
        <v/>
      </c>
      <c r="I147" s="386" t="str">
        <f>IFERROR(VLOOKUP(H147,'G-1 All Habitats'!$V$3:$W$7,2,FALSE),"")</f>
        <v/>
      </c>
      <c r="J147" s="162"/>
      <c r="K147" s="386" t="str">
        <f>IFERROR(INDEX('G-8 Condition Look up'!$A$3:$H$135,MATCH(F147,'G-8 Condition Look up'!$A$3:$A$135,0),MATCH(J147,'G-8 Condition Look up'!$A$3:$H$3,0)),"")</f>
        <v/>
      </c>
      <c r="L147" s="114"/>
      <c r="M147" s="401" t="str">
        <f>IF(L147="","",IF(VLOOKUP(L147,'G-3 Multipliers'!$L$3:$N$6,2,FALSE)=0,"Spatial Data Missing ⚠",VLOOKUP(L147,'G-3 Multipliers'!$L$3:$N$6,2,FALSE)))</f>
        <v/>
      </c>
      <c r="N147" s="363" t="str">
        <f>IF(L147="","",IF(VLOOKUP(L147,'G-3 Multipliers'!$L$3:$N$6,3,FALSE)=0,"Spatial Data Missing ⚠",VLOOKUP(L147,'G-3 Multipliers'!$L$3:$N$6,3,FALSE)))</f>
        <v/>
      </c>
      <c r="O147" s="362" t="str">
        <f t="shared" si="12"/>
        <v/>
      </c>
      <c r="P147" s="159"/>
      <c r="Q147" s="159"/>
      <c r="R147" s="382" t="str">
        <f t="shared" si="13"/>
        <v/>
      </c>
      <c r="S147" s="404" t="str">
        <f t="shared" si="14"/>
        <v/>
      </c>
      <c r="T147" s="387" t="str">
        <f>IFERROR(IF(S147="Check Data ⚠","Check Data ⚠",VLOOKUP(S147,'G-4 Temporal multipliers'!$A$4:$C$37,3,FALSE)),"")</f>
        <v/>
      </c>
      <c r="U147" s="385" t="str">
        <f>IF(F147="","",VLOOKUP(F147,'G-3 Multipliers'!$A$2:$E$134,2,FALSE))</f>
        <v/>
      </c>
      <c r="V147" s="382" t="str">
        <f t="shared" si="17"/>
        <v/>
      </c>
      <c r="W147" s="382" t="str">
        <f>IF(E147="","",IF(AND(V147="Standard difficulty applied",O147&gt;P147),U147,IF(AND(V147="Low Difficulty - only applicable if all habitat created before losses ⚠",P147&gt;=O147),"Low",VLOOKUP(F147,'G-3 Multipliers'!$A$2:$E$134,4,FALSE))))</f>
        <v/>
      </c>
      <c r="X147" s="386" t="str">
        <f>IFERROR(IF(E147="","",VLOOKUP(W147, 'G-3 Multipliers'!$P$2:$Q$6,2,FALSE)),"")</f>
        <v/>
      </c>
      <c r="Y147" s="516"/>
      <c r="Z147" s="724" t="str">
        <f>IF(Y147="","",IF(VLOOKUP(Y147,'G-3 Multipliers'!$S$3:$T$10,2,FALSE)=0,"Spatial Data Missing ⚠",VLOOKUP(Y147,'G-3 Multipliers'!$S$3:$T$10,2,FALSE)))</f>
        <v/>
      </c>
      <c r="AA147" s="741" t="str">
        <f t="shared" si="15"/>
        <v/>
      </c>
      <c r="AB147" s="405" t="str">
        <f t="shared" si="16"/>
        <v/>
      </c>
      <c r="AC147" s="119"/>
      <c r="AD147" s="528"/>
      <c r="AE147" s="120"/>
      <c r="AF147" s="120"/>
    </row>
    <row r="148" spans="1:32" ht="15">
      <c r="A148" s="30" t="str">
        <f>IFERROR(INDEX('G-8 Condition Look up'!$I$4:$I$135,MATCH(F148,'G-8 Condition Look up'!$A$4:$A$135,0)),"")</f>
        <v/>
      </c>
      <c r="C148" s="75" t="str">
        <f>IFERROR(INDEX('G-1 All Habitats'!$AG$3:$AG$17,MATCH(D148,'G-1 All Habitats'!$AF$3:$AF$17,0)),"")</f>
        <v/>
      </c>
      <c r="D148" s="122"/>
      <c r="E148" s="165"/>
      <c r="F148" s="198" t="str">
        <f>IFERROR(INDEX('G-1 All Habitats'!$B$3:$B$135,MATCH(E148,'G-1 All Habitats'!$A$3:$A$135,0)),"")</f>
        <v/>
      </c>
      <c r="G148" s="300"/>
      <c r="H148" s="398" t="str">
        <f>IF(F148="","",VLOOKUP(F148,'G-1 All Habitats'!$B$2:$M$134,10,FALSE))</f>
        <v/>
      </c>
      <c r="I148" s="386" t="str">
        <f>IFERROR(VLOOKUP(H148,'G-1 All Habitats'!$V$3:$W$7,2,FALSE),"")</f>
        <v/>
      </c>
      <c r="J148" s="162"/>
      <c r="K148" s="386" t="str">
        <f>IFERROR(INDEX('G-8 Condition Look up'!$A$3:$H$135,MATCH(F148,'G-8 Condition Look up'!$A$3:$A$135,0),MATCH(J148,'G-8 Condition Look up'!$A$3:$H$3,0)),"")</f>
        <v/>
      </c>
      <c r="L148" s="114"/>
      <c r="M148" s="401" t="str">
        <f>IF(L148="","",IF(VLOOKUP(L148,'G-3 Multipliers'!$L$3:$N$6,2,FALSE)=0,"Spatial Data Missing ⚠",VLOOKUP(L148,'G-3 Multipliers'!$L$3:$N$6,2,FALSE)))</f>
        <v/>
      </c>
      <c r="N148" s="363" t="str">
        <f>IF(L148="","",IF(VLOOKUP(L148,'G-3 Multipliers'!$L$3:$N$6,3,FALSE)=0,"Spatial Data Missing ⚠",VLOOKUP(L148,'G-3 Multipliers'!$L$3:$N$6,3,FALSE)))</f>
        <v/>
      </c>
      <c r="O148" s="362" t="str">
        <f t="shared" si="12"/>
        <v/>
      </c>
      <c r="P148" s="159"/>
      <c r="Q148" s="159"/>
      <c r="R148" s="382" t="str">
        <f t="shared" si="13"/>
        <v/>
      </c>
      <c r="S148" s="404" t="str">
        <f t="shared" si="14"/>
        <v/>
      </c>
      <c r="T148" s="387" t="str">
        <f>IFERROR(IF(S148="Check Data ⚠","Check Data ⚠",VLOOKUP(S148,'G-4 Temporal multipliers'!$A$4:$C$37,3,FALSE)),"")</f>
        <v/>
      </c>
      <c r="U148" s="385" t="str">
        <f>IF(F148="","",VLOOKUP(F148,'G-3 Multipliers'!$A$2:$E$134,2,FALSE))</f>
        <v/>
      </c>
      <c r="V148" s="382" t="str">
        <f t="shared" si="17"/>
        <v/>
      </c>
      <c r="W148" s="382" t="str">
        <f>IF(E148="","",IF(AND(V148="Standard difficulty applied",O148&gt;P148),U148,IF(AND(V148="Low Difficulty - only applicable if all habitat created before losses ⚠",P148&gt;=O148),"Low",VLOOKUP(F148,'G-3 Multipliers'!$A$2:$E$134,4,FALSE))))</f>
        <v/>
      </c>
      <c r="X148" s="386" t="str">
        <f>IFERROR(IF(E148="","",VLOOKUP(W148, 'G-3 Multipliers'!$P$2:$Q$6,2,FALSE)),"")</f>
        <v/>
      </c>
      <c r="Y148" s="516"/>
      <c r="Z148" s="724" t="str">
        <f>IF(Y148="","",IF(VLOOKUP(Y148,'G-3 Multipliers'!$S$3:$T$10,2,FALSE)=0,"Spatial Data Missing ⚠",VLOOKUP(Y148,'G-3 Multipliers'!$S$3:$T$10,2,FALSE)))</f>
        <v/>
      </c>
      <c r="AA148" s="741" t="str">
        <f t="shared" si="15"/>
        <v/>
      </c>
      <c r="AB148" s="405" t="str">
        <f t="shared" si="16"/>
        <v/>
      </c>
      <c r="AC148" s="119"/>
      <c r="AD148" s="528"/>
      <c r="AE148" s="120"/>
      <c r="AF148" s="120"/>
    </row>
    <row r="149" spans="1:32" ht="15">
      <c r="A149" s="30" t="str">
        <f>IFERROR(INDEX('G-8 Condition Look up'!$I$4:$I$135,MATCH(F149,'G-8 Condition Look up'!$A$4:$A$135,0)),"")</f>
        <v/>
      </c>
      <c r="C149" s="75" t="str">
        <f>IFERROR(INDEX('G-1 All Habitats'!$AG$3:$AG$17,MATCH(D149,'G-1 All Habitats'!$AF$3:$AF$17,0)),"")</f>
        <v/>
      </c>
      <c r="D149" s="122"/>
      <c r="E149" s="165"/>
      <c r="F149" s="198" t="str">
        <f>IFERROR(INDEX('G-1 All Habitats'!$B$3:$B$135,MATCH(E149,'G-1 All Habitats'!$A$3:$A$135,0)),"")</f>
        <v/>
      </c>
      <c r="G149" s="300"/>
      <c r="H149" s="398" t="str">
        <f>IF(F149="","",VLOOKUP(F149,'G-1 All Habitats'!$B$2:$M$134,10,FALSE))</f>
        <v/>
      </c>
      <c r="I149" s="386" t="str">
        <f>IFERROR(VLOOKUP(H149,'G-1 All Habitats'!$V$3:$W$7,2,FALSE),"")</f>
        <v/>
      </c>
      <c r="J149" s="162"/>
      <c r="K149" s="386" t="str">
        <f>IFERROR(INDEX('G-8 Condition Look up'!$A$3:$H$135,MATCH(F149,'G-8 Condition Look up'!$A$3:$A$135,0),MATCH(J149,'G-8 Condition Look up'!$A$3:$H$3,0)),"")</f>
        <v/>
      </c>
      <c r="L149" s="114"/>
      <c r="M149" s="401" t="str">
        <f>IF(L149="","",IF(VLOOKUP(L149,'G-3 Multipliers'!$L$3:$N$6,2,FALSE)=0,"Spatial Data Missing ⚠",VLOOKUP(L149,'G-3 Multipliers'!$L$3:$N$6,2,FALSE)))</f>
        <v/>
      </c>
      <c r="N149" s="363" t="str">
        <f>IF(L149="","",IF(VLOOKUP(L149,'G-3 Multipliers'!$L$3:$N$6,3,FALSE)=0,"Spatial Data Missing ⚠",VLOOKUP(L149,'G-3 Multipliers'!$L$3:$N$6,3,FALSE)))</f>
        <v/>
      </c>
      <c r="O149" s="362" t="str">
        <f t="shared" si="12"/>
        <v/>
      </c>
      <c r="P149" s="159"/>
      <c r="Q149" s="159"/>
      <c r="R149" s="382" t="str">
        <f t="shared" si="13"/>
        <v/>
      </c>
      <c r="S149" s="404" t="str">
        <f t="shared" si="14"/>
        <v/>
      </c>
      <c r="T149" s="387" t="str">
        <f>IFERROR(IF(S149="Check Data ⚠","Check Data ⚠",VLOOKUP(S149,'G-4 Temporal multipliers'!$A$4:$C$37,3,FALSE)),"")</f>
        <v/>
      </c>
      <c r="U149" s="385" t="str">
        <f>IF(F149="","",VLOOKUP(F149,'G-3 Multipliers'!$A$2:$E$134,2,FALSE))</f>
        <v/>
      </c>
      <c r="V149" s="382" t="str">
        <f t="shared" si="17"/>
        <v/>
      </c>
      <c r="W149" s="382" t="str">
        <f>IF(E149="","",IF(AND(V149="Standard difficulty applied",O149&gt;P149),U149,IF(AND(V149="Low Difficulty - only applicable if all habitat created before losses ⚠",P149&gt;=O149),"Low",VLOOKUP(F149,'G-3 Multipliers'!$A$2:$E$134,4,FALSE))))</f>
        <v/>
      </c>
      <c r="X149" s="386" t="str">
        <f>IFERROR(IF(E149="","",VLOOKUP(W149, 'G-3 Multipliers'!$P$2:$Q$6,2,FALSE)),"")</f>
        <v/>
      </c>
      <c r="Y149" s="516"/>
      <c r="Z149" s="724" t="str">
        <f>IF(Y149="","",IF(VLOOKUP(Y149,'G-3 Multipliers'!$S$3:$T$10,2,FALSE)=0,"Spatial Data Missing ⚠",VLOOKUP(Y149,'G-3 Multipliers'!$S$3:$T$10,2,FALSE)))</f>
        <v/>
      </c>
      <c r="AA149" s="741" t="str">
        <f t="shared" si="15"/>
        <v/>
      </c>
      <c r="AB149" s="405" t="str">
        <f t="shared" si="16"/>
        <v/>
      </c>
      <c r="AC149" s="119"/>
      <c r="AD149" s="528"/>
      <c r="AE149" s="120"/>
      <c r="AF149" s="120"/>
    </row>
    <row r="150" spans="1:32" ht="15">
      <c r="A150" s="30" t="str">
        <f>IFERROR(INDEX('G-8 Condition Look up'!$I$4:$I$135,MATCH(F150,'G-8 Condition Look up'!$A$4:$A$135,0)),"")</f>
        <v/>
      </c>
      <c r="C150" s="75" t="str">
        <f>IFERROR(INDEX('G-1 All Habitats'!$AG$3:$AG$17,MATCH(D150,'G-1 All Habitats'!$AF$3:$AF$17,0)),"")</f>
        <v/>
      </c>
      <c r="D150" s="122"/>
      <c r="E150" s="165"/>
      <c r="F150" s="198" t="str">
        <f>IFERROR(INDEX('G-1 All Habitats'!$B$3:$B$135,MATCH(E150,'G-1 All Habitats'!$A$3:$A$135,0)),"")</f>
        <v/>
      </c>
      <c r="G150" s="300"/>
      <c r="H150" s="398" t="str">
        <f>IF(F150="","",VLOOKUP(F150,'G-1 All Habitats'!$B$2:$M$134,10,FALSE))</f>
        <v/>
      </c>
      <c r="I150" s="386" t="str">
        <f>IFERROR(VLOOKUP(H150,'G-1 All Habitats'!$V$3:$W$7,2,FALSE),"")</f>
        <v/>
      </c>
      <c r="J150" s="162"/>
      <c r="K150" s="386" t="str">
        <f>IFERROR(INDEX('G-8 Condition Look up'!$A$3:$H$135,MATCH(F150,'G-8 Condition Look up'!$A$3:$A$135,0),MATCH(J150,'G-8 Condition Look up'!$A$3:$H$3,0)),"")</f>
        <v/>
      </c>
      <c r="L150" s="114"/>
      <c r="M150" s="401" t="str">
        <f>IF(L150="","",IF(VLOOKUP(L150,'G-3 Multipliers'!$L$3:$N$6,2,FALSE)=0,"Spatial Data Missing ⚠",VLOOKUP(L150,'G-3 Multipliers'!$L$3:$N$6,2,FALSE)))</f>
        <v/>
      </c>
      <c r="N150" s="363" t="str">
        <f>IF(L150="","",IF(VLOOKUP(L150,'G-3 Multipliers'!$L$3:$N$6,3,FALSE)=0,"Spatial Data Missing ⚠",VLOOKUP(L150,'G-3 Multipliers'!$L$3:$N$6,3,FALSE)))</f>
        <v/>
      </c>
      <c r="O150" s="362" t="str">
        <f t="shared" si="12"/>
        <v/>
      </c>
      <c r="P150" s="159"/>
      <c r="Q150" s="159"/>
      <c r="R150" s="382" t="str">
        <f t="shared" si="13"/>
        <v/>
      </c>
      <c r="S150" s="404" t="str">
        <f t="shared" si="14"/>
        <v/>
      </c>
      <c r="T150" s="387" t="str">
        <f>IFERROR(IF(S150="Check Data ⚠","Check Data ⚠",VLOOKUP(S150,'G-4 Temporal multipliers'!$A$4:$C$37,3,FALSE)),"")</f>
        <v/>
      </c>
      <c r="U150" s="385" t="str">
        <f>IF(F150="","",VLOOKUP(F150,'G-3 Multipliers'!$A$2:$E$134,2,FALSE))</f>
        <v/>
      </c>
      <c r="V150" s="382" t="str">
        <f t="shared" si="17"/>
        <v/>
      </c>
      <c r="W150" s="382" t="str">
        <f>IF(E150="","",IF(AND(V150="Standard difficulty applied",O150&gt;P150),U150,IF(AND(V150="Low Difficulty - only applicable if all habitat created before losses ⚠",P150&gt;=O150),"Low",VLOOKUP(F150,'G-3 Multipliers'!$A$2:$E$134,4,FALSE))))</f>
        <v/>
      </c>
      <c r="X150" s="386" t="str">
        <f>IFERROR(IF(E150="","",VLOOKUP(W150, 'G-3 Multipliers'!$P$2:$Q$6,2,FALSE)),"")</f>
        <v/>
      </c>
      <c r="Y150" s="516"/>
      <c r="Z150" s="724" t="str">
        <f>IF(Y150="","",IF(VLOOKUP(Y150,'G-3 Multipliers'!$S$3:$T$10,2,FALSE)=0,"Spatial Data Missing ⚠",VLOOKUP(Y150,'G-3 Multipliers'!$S$3:$T$10,2,FALSE)))</f>
        <v/>
      </c>
      <c r="AA150" s="741" t="str">
        <f t="shared" si="15"/>
        <v/>
      </c>
      <c r="AB150" s="405" t="str">
        <f t="shared" si="16"/>
        <v/>
      </c>
      <c r="AC150" s="119"/>
      <c r="AD150" s="528"/>
      <c r="AE150" s="120"/>
      <c r="AF150" s="120"/>
    </row>
    <row r="151" spans="1:32" ht="15">
      <c r="A151" s="30" t="str">
        <f>IFERROR(INDEX('G-8 Condition Look up'!$I$4:$I$135,MATCH(F151,'G-8 Condition Look up'!$A$4:$A$135,0)),"")</f>
        <v/>
      </c>
      <c r="C151" s="75" t="str">
        <f>IFERROR(INDEX('G-1 All Habitats'!$AG$3:$AG$17,MATCH(D151,'G-1 All Habitats'!$AF$3:$AF$17,0)),"")</f>
        <v/>
      </c>
      <c r="D151" s="122"/>
      <c r="E151" s="165"/>
      <c r="F151" s="198" t="str">
        <f>IFERROR(INDEX('G-1 All Habitats'!$B$3:$B$135,MATCH(E151,'G-1 All Habitats'!$A$3:$A$135,0)),"")</f>
        <v/>
      </c>
      <c r="G151" s="300"/>
      <c r="H151" s="398" t="str">
        <f>IF(F151="","",VLOOKUP(F151,'G-1 All Habitats'!$B$2:$M$134,10,FALSE))</f>
        <v/>
      </c>
      <c r="I151" s="386" t="str">
        <f>IFERROR(VLOOKUP(H151,'G-1 All Habitats'!$V$3:$W$7,2,FALSE),"")</f>
        <v/>
      </c>
      <c r="J151" s="162"/>
      <c r="K151" s="386" t="str">
        <f>IFERROR(INDEX('G-8 Condition Look up'!$A$3:$H$135,MATCH(F151,'G-8 Condition Look up'!$A$3:$A$135,0),MATCH(J151,'G-8 Condition Look up'!$A$3:$H$3,0)),"")</f>
        <v/>
      </c>
      <c r="L151" s="114"/>
      <c r="M151" s="401" t="str">
        <f>IF(L151="","",IF(VLOOKUP(L151,'G-3 Multipliers'!$L$3:$N$6,2,FALSE)=0,"Spatial Data Missing ⚠",VLOOKUP(L151,'G-3 Multipliers'!$L$3:$N$6,2,FALSE)))</f>
        <v/>
      </c>
      <c r="N151" s="363" t="str">
        <f>IF(L151="","",IF(VLOOKUP(L151,'G-3 Multipliers'!$L$3:$N$6,3,FALSE)=0,"Spatial Data Missing ⚠",VLOOKUP(L151,'G-3 Multipliers'!$L$3:$N$6,3,FALSE)))</f>
        <v/>
      </c>
      <c r="O151" s="362" t="str">
        <f t="shared" si="12"/>
        <v/>
      </c>
      <c r="P151" s="159"/>
      <c r="Q151" s="159"/>
      <c r="R151" s="382" t="str">
        <f t="shared" si="13"/>
        <v/>
      </c>
      <c r="S151" s="404" t="str">
        <f t="shared" si="14"/>
        <v/>
      </c>
      <c r="T151" s="387" t="str">
        <f>IFERROR(IF(S151="Check Data ⚠","Check Data ⚠",VLOOKUP(S151,'G-4 Temporal multipliers'!$A$4:$C$37,3,FALSE)),"")</f>
        <v/>
      </c>
      <c r="U151" s="385" t="str">
        <f>IF(F151="","",VLOOKUP(F151,'G-3 Multipliers'!$A$2:$E$134,2,FALSE))</f>
        <v/>
      </c>
      <c r="V151" s="382" t="str">
        <f t="shared" si="17"/>
        <v/>
      </c>
      <c r="W151" s="382" t="str">
        <f>IF(E151="","",IF(AND(V151="Standard difficulty applied",O151&gt;P151),U151,IF(AND(V151="Low Difficulty - only applicable if all habitat created before losses ⚠",P151&gt;=O151),"Low",VLOOKUP(F151,'G-3 Multipliers'!$A$2:$E$134,4,FALSE))))</f>
        <v/>
      </c>
      <c r="X151" s="386" t="str">
        <f>IFERROR(IF(E151="","",VLOOKUP(W151, 'G-3 Multipliers'!$P$2:$Q$6,2,FALSE)),"")</f>
        <v/>
      </c>
      <c r="Y151" s="516"/>
      <c r="Z151" s="724" t="str">
        <f>IF(Y151="","",IF(VLOOKUP(Y151,'G-3 Multipliers'!$S$3:$T$10,2,FALSE)=0,"Spatial Data Missing ⚠",VLOOKUP(Y151,'G-3 Multipliers'!$S$3:$T$10,2,FALSE)))</f>
        <v/>
      </c>
      <c r="AA151" s="741" t="str">
        <f t="shared" si="15"/>
        <v/>
      </c>
      <c r="AB151" s="405" t="str">
        <f t="shared" si="16"/>
        <v/>
      </c>
      <c r="AC151" s="119"/>
      <c r="AD151" s="528"/>
      <c r="AE151" s="120"/>
      <c r="AF151" s="120"/>
    </row>
    <row r="152" spans="1:32" ht="15">
      <c r="A152" s="30" t="str">
        <f>IFERROR(INDEX('G-8 Condition Look up'!$I$4:$I$135,MATCH(F152,'G-8 Condition Look up'!$A$4:$A$135,0)),"")</f>
        <v/>
      </c>
      <c r="C152" s="75" t="str">
        <f>IFERROR(INDEX('G-1 All Habitats'!$AG$3:$AG$17,MATCH(D152,'G-1 All Habitats'!$AF$3:$AF$17,0)),"")</f>
        <v/>
      </c>
      <c r="D152" s="122"/>
      <c r="E152" s="165"/>
      <c r="F152" s="198" t="str">
        <f>IFERROR(INDEX('G-1 All Habitats'!$B$3:$B$135,MATCH(E152,'G-1 All Habitats'!$A$3:$A$135,0)),"")</f>
        <v/>
      </c>
      <c r="G152" s="300"/>
      <c r="H152" s="398" t="str">
        <f>IF(F152="","",VLOOKUP(F152,'G-1 All Habitats'!$B$2:$M$134,10,FALSE))</f>
        <v/>
      </c>
      <c r="I152" s="386" t="str">
        <f>IFERROR(VLOOKUP(H152,'G-1 All Habitats'!$V$3:$W$7,2,FALSE),"")</f>
        <v/>
      </c>
      <c r="J152" s="162"/>
      <c r="K152" s="386" t="str">
        <f>IFERROR(INDEX('G-8 Condition Look up'!$A$3:$H$135,MATCH(F152,'G-8 Condition Look up'!$A$3:$A$135,0),MATCH(J152,'G-8 Condition Look up'!$A$3:$H$3,0)),"")</f>
        <v/>
      </c>
      <c r="L152" s="114"/>
      <c r="M152" s="401" t="str">
        <f>IF(L152="","",IF(VLOOKUP(L152,'G-3 Multipliers'!$L$3:$N$6,2,FALSE)=0,"Spatial Data Missing ⚠",VLOOKUP(L152,'G-3 Multipliers'!$L$3:$N$6,2,FALSE)))</f>
        <v/>
      </c>
      <c r="N152" s="363" t="str">
        <f>IF(L152="","",IF(VLOOKUP(L152,'G-3 Multipliers'!$L$3:$N$6,3,FALSE)=0,"Spatial Data Missing ⚠",VLOOKUP(L152,'G-3 Multipliers'!$L$3:$N$6,3,FALSE)))</f>
        <v/>
      </c>
      <c r="O152" s="362" t="str">
        <f t="shared" si="12"/>
        <v/>
      </c>
      <c r="P152" s="159"/>
      <c r="Q152" s="159"/>
      <c r="R152" s="382" t="str">
        <f t="shared" si="13"/>
        <v/>
      </c>
      <c r="S152" s="404" t="str">
        <f t="shared" si="14"/>
        <v/>
      </c>
      <c r="T152" s="387" t="str">
        <f>IFERROR(IF(S152="Check Data ⚠","Check Data ⚠",VLOOKUP(S152,'G-4 Temporal multipliers'!$A$4:$C$37,3,FALSE)),"")</f>
        <v/>
      </c>
      <c r="U152" s="385" t="str">
        <f>IF(F152="","",VLOOKUP(F152,'G-3 Multipliers'!$A$2:$E$134,2,FALSE))</f>
        <v/>
      </c>
      <c r="V152" s="382" t="str">
        <f t="shared" si="17"/>
        <v/>
      </c>
      <c r="W152" s="382" t="str">
        <f>IF(E152="","",IF(AND(V152="Standard difficulty applied",O152&gt;P152),U152,IF(AND(V152="Low Difficulty - only applicable if all habitat created before losses ⚠",P152&gt;=O152),"Low",VLOOKUP(F152,'G-3 Multipliers'!$A$2:$E$134,4,FALSE))))</f>
        <v/>
      </c>
      <c r="X152" s="386" t="str">
        <f>IFERROR(IF(E152="","",VLOOKUP(W152, 'G-3 Multipliers'!$P$2:$Q$6,2,FALSE)),"")</f>
        <v/>
      </c>
      <c r="Y152" s="516"/>
      <c r="Z152" s="724" t="str">
        <f>IF(Y152="","",IF(VLOOKUP(Y152,'G-3 Multipliers'!$S$3:$T$10,2,FALSE)=0,"Spatial Data Missing ⚠",VLOOKUP(Y152,'G-3 Multipliers'!$S$3:$T$10,2,FALSE)))</f>
        <v/>
      </c>
      <c r="AA152" s="741" t="str">
        <f t="shared" si="15"/>
        <v/>
      </c>
      <c r="AB152" s="405" t="str">
        <f t="shared" si="16"/>
        <v/>
      </c>
      <c r="AC152" s="119"/>
      <c r="AD152" s="528"/>
      <c r="AE152" s="120"/>
      <c r="AF152" s="120"/>
    </row>
    <row r="153" spans="1:32" ht="15">
      <c r="A153" s="30" t="str">
        <f>IFERROR(INDEX('G-8 Condition Look up'!$I$4:$I$135,MATCH(F153,'G-8 Condition Look up'!$A$4:$A$135,0)),"")</f>
        <v/>
      </c>
      <c r="C153" s="75" t="str">
        <f>IFERROR(INDEX('G-1 All Habitats'!$AG$3:$AG$17,MATCH(D153,'G-1 All Habitats'!$AF$3:$AF$17,0)),"")</f>
        <v/>
      </c>
      <c r="D153" s="122"/>
      <c r="E153" s="165"/>
      <c r="F153" s="198" t="str">
        <f>IFERROR(INDEX('G-1 All Habitats'!$B$3:$B$135,MATCH(E153,'G-1 All Habitats'!$A$3:$A$135,0)),"")</f>
        <v/>
      </c>
      <c r="G153" s="300"/>
      <c r="H153" s="398" t="str">
        <f>IF(F153="","",VLOOKUP(F153,'G-1 All Habitats'!$B$2:$M$134,10,FALSE))</f>
        <v/>
      </c>
      <c r="I153" s="386" t="str">
        <f>IFERROR(VLOOKUP(H153,'G-1 All Habitats'!$V$3:$W$7,2,FALSE),"")</f>
        <v/>
      </c>
      <c r="J153" s="162"/>
      <c r="K153" s="386" t="str">
        <f>IFERROR(INDEX('G-8 Condition Look up'!$A$3:$H$135,MATCH(F153,'G-8 Condition Look up'!$A$3:$A$135,0),MATCH(J153,'G-8 Condition Look up'!$A$3:$H$3,0)),"")</f>
        <v/>
      </c>
      <c r="L153" s="114"/>
      <c r="M153" s="401" t="str">
        <f>IF(L153="","",IF(VLOOKUP(L153,'G-3 Multipliers'!$L$3:$N$6,2,FALSE)=0,"Spatial Data Missing ⚠",VLOOKUP(L153,'G-3 Multipliers'!$L$3:$N$6,2,FALSE)))</f>
        <v/>
      </c>
      <c r="N153" s="363" t="str">
        <f>IF(L153="","",IF(VLOOKUP(L153,'G-3 Multipliers'!$L$3:$N$6,3,FALSE)=0,"Spatial Data Missing ⚠",VLOOKUP(L153,'G-3 Multipliers'!$L$3:$N$6,3,FALSE)))</f>
        <v/>
      </c>
      <c r="O153" s="362" t="str">
        <f t="shared" si="12"/>
        <v/>
      </c>
      <c r="P153" s="159"/>
      <c r="Q153" s="159"/>
      <c r="R153" s="382" t="str">
        <f t="shared" si="13"/>
        <v/>
      </c>
      <c r="S153" s="404" t="str">
        <f t="shared" si="14"/>
        <v/>
      </c>
      <c r="T153" s="387" t="str">
        <f>IFERROR(IF(S153="Check Data ⚠","Check Data ⚠",VLOOKUP(S153,'G-4 Temporal multipliers'!$A$4:$C$37,3,FALSE)),"")</f>
        <v/>
      </c>
      <c r="U153" s="385" t="str">
        <f>IF(F153="","",VLOOKUP(F153,'G-3 Multipliers'!$A$2:$E$134,2,FALSE))</f>
        <v/>
      </c>
      <c r="V153" s="382" t="str">
        <f t="shared" si="17"/>
        <v/>
      </c>
      <c r="W153" s="382" t="str">
        <f>IF(E153="","",IF(AND(V153="Standard difficulty applied",O153&gt;P153),U153,IF(AND(V153="Low Difficulty - only applicable if all habitat created before losses ⚠",P153&gt;=O153),"Low",VLOOKUP(F153,'G-3 Multipliers'!$A$2:$E$134,4,FALSE))))</f>
        <v/>
      </c>
      <c r="X153" s="386" t="str">
        <f>IFERROR(IF(E153="","",VLOOKUP(W153, 'G-3 Multipliers'!$P$2:$Q$6,2,FALSE)),"")</f>
        <v/>
      </c>
      <c r="Y153" s="516"/>
      <c r="Z153" s="724" t="str">
        <f>IF(Y153="","",IF(VLOOKUP(Y153,'G-3 Multipliers'!$S$3:$T$10,2,FALSE)=0,"Spatial Data Missing ⚠",VLOOKUP(Y153,'G-3 Multipliers'!$S$3:$T$10,2,FALSE)))</f>
        <v/>
      </c>
      <c r="AA153" s="741" t="str">
        <f t="shared" si="15"/>
        <v/>
      </c>
      <c r="AB153" s="405" t="str">
        <f t="shared" si="16"/>
        <v/>
      </c>
      <c r="AC153" s="119"/>
      <c r="AD153" s="528"/>
      <c r="AE153" s="120"/>
      <c r="AF153" s="120"/>
    </row>
    <row r="154" spans="1:32" ht="15">
      <c r="A154" s="30" t="str">
        <f>IFERROR(INDEX('G-8 Condition Look up'!$I$4:$I$135,MATCH(F154,'G-8 Condition Look up'!$A$4:$A$135,0)),"")</f>
        <v/>
      </c>
      <c r="C154" s="75" t="str">
        <f>IFERROR(INDEX('G-1 All Habitats'!$AG$3:$AG$17,MATCH(D154,'G-1 All Habitats'!$AF$3:$AF$17,0)),"")</f>
        <v/>
      </c>
      <c r="D154" s="122"/>
      <c r="E154" s="165"/>
      <c r="F154" s="198" t="str">
        <f>IFERROR(INDEX('G-1 All Habitats'!$B$3:$B$135,MATCH(E154,'G-1 All Habitats'!$A$3:$A$135,0)),"")</f>
        <v/>
      </c>
      <c r="G154" s="300"/>
      <c r="H154" s="398" t="str">
        <f>IF(F154="","",VLOOKUP(F154,'G-1 All Habitats'!$B$2:$M$134,10,FALSE))</f>
        <v/>
      </c>
      <c r="I154" s="386" t="str">
        <f>IFERROR(VLOOKUP(H154,'G-1 All Habitats'!$V$3:$W$7,2,FALSE),"")</f>
        <v/>
      </c>
      <c r="J154" s="162"/>
      <c r="K154" s="386" t="str">
        <f>IFERROR(INDEX('G-8 Condition Look up'!$A$3:$H$135,MATCH(F154,'G-8 Condition Look up'!$A$3:$A$135,0),MATCH(J154,'G-8 Condition Look up'!$A$3:$H$3,0)),"")</f>
        <v/>
      </c>
      <c r="L154" s="114"/>
      <c r="M154" s="401" t="str">
        <f>IF(L154="","",IF(VLOOKUP(L154,'G-3 Multipliers'!$L$3:$N$6,2,FALSE)=0,"Spatial Data Missing ⚠",VLOOKUP(L154,'G-3 Multipliers'!$L$3:$N$6,2,FALSE)))</f>
        <v/>
      </c>
      <c r="N154" s="363" t="str">
        <f>IF(L154="","",IF(VLOOKUP(L154,'G-3 Multipliers'!$L$3:$N$6,3,FALSE)=0,"Spatial Data Missing ⚠",VLOOKUP(L154,'G-3 Multipliers'!$L$3:$N$6,3,FALSE)))</f>
        <v/>
      </c>
      <c r="O154" s="362" t="str">
        <f t="shared" si="12"/>
        <v/>
      </c>
      <c r="P154" s="159"/>
      <c r="Q154" s="159"/>
      <c r="R154" s="382" t="str">
        <f t="shared" si="13"/>
        <v/>
      </c>
      <c r="S154" s="404" t="str">
        <f t="shared" si="14"/>
        <v/>
      </c>
      <c r="T154" s="387" t="str">
        <f>IFERROR(IF(S154="Check Data ⚠","Check Data ⚠",VLOOKUP(S154,'G-4 Temporal multipliers'!$A$4:$C$37,3,FALSE)),"")</f>
        <v/>
      </c>
      <c r="U154" s="385" t="str">
        <f>IF(F154="","",VLOOKUP(F154,'G-3 Multipliers'!$A$2:$E$134,2,FALSE))</f>
        <v/>
      </c>
      <c r="V154" s="382" t="str">
        <f t="shared" si="17"/>
        <v/>
      </c>
      <c r="W154" s="382" t="str">
        <f>IF(E154="","",IF(AND(V154="Standard difficulty applied",O154&gt;P154),U154,IF(AND(V154="Low Difficulty - only applicable if all habitat created before losses ⚠",P154&gt;=O154),"Low",VLOOKUP(F154,'G-3 Multipliers'!$A$2:$E$134,4,FALSE))))</f>
        <v/>
      </c>
      <c r="X154" s="386" t="str">
        <f>IFERROR(IF(E154="","",VLOOKUP(W154, 'G-3 Multipliers'!$P$2:$Q$6,2,FALSE)),"")</f>
        <v/>
      </c>
      <c r="Y154" s="516"/>
      <c r="Z154" s="724" t="str">
        <f>IF(Y154="","",IF(VLOOKUP(Y154,'G-3 Multipliers'!$S$3:$T$10,2,FALSE)=0,"Spatial Data Missing ⚠",VLOOKUP(Y154,'G-3 Multipliers'!$S$3:$T$10,2,FALSE)))</f>
        <v/>
      </c>
      <c r="AA154" s="741" t="str">
        <f t="shared" si="15"/>
        <v/>
      </c>
      <c r="AB154" s="405" t="str">
        <f t="shared" si="16"/>
        <v/>
      </c>
      <c r="AC154" s="119"/>
      <c r="AD154" s="528"/>
      <c r="AE154" s="120"/>
      <c r="AF154" s="120"/>
    </row>
    <row r="155" spans="1:32" ht="15">
      <c r="A155" s="30" t="str">
        <f>IFERROR(INDEX('G-8 Condition Look up'!$I$4:$I$135,MATCH(F155,'G-8 Condition Look up'!$A$4:$A$135,0)),"")</f>
        <v/>
      </c>
      <c r="C155" s="75" t="str">
        <f>IFERROR(INDEX('G-1 All Habitats'!$AG$3:$AG$17,MATCH(D155,'G-1 All Habitats'!$AF$3:$AF$17,0)),"")</f>
        <v/>
      </c>
      <c r="D155" s="122"/>
      <c r="E155" s="165"/>
      <c r="F155" s="198" t="str">
        <f>IFERROR(INDEX('G-1 All Habitats'!$B$3:$B$135,MATCH(E155,'G-1 All Habitats'!$A$3:$A$135,0)),"")</f>
        <v/>
      </c>
      <c r="G155" s="300"/>
      <c r="H155" s="398" t="str">
        <f>IF(F155="","",VLOOKUP(F155,'G-1 All Habitats'!$B$2:$M$134,10,FALSE))</f>
        <v/>
      </c>
      <c r="I155" s="386" t="str">
        <f>IFERROR(VLOOKUP(H155,'G-1 All Habitats'!$V$3:$W$7,2,FALSE),"")</f>
        <v/>
      </c>
      <c r="J155" s="162"/>
      <c r="K155" s="386" t="str">
        <f>IFERROR(INDEX('G-8 Condition Look up'!$A$3:$H$135,MATCH(F155,'G-8 Condition Look up'!$A$3:$A$135,0),MATCH(J155,'G-8 Condition Look up'!$A$3:$H$3,0)),"")</f>
        <v/>
      </c>
      <c r="L155" s="114"/>
      <c r="M155" s="401" t="str">
        <f>IF(L155="","",IF(VLOOKUP(L155,'G-3 Multipliers'!$L$3:$N$6,2,FALSE)=0,"Spatial Data Missing ⚠",VLOOKUP(L155,'G-3 Multipliers'!$L$3:$N$6,2,FALSE)))</f>
        <v/>
      </c>
      <c r="N155" s="363" t="str">
        <f>IF(L155="","",IF(VLOOKUP(L155,'G-3 Multipliers'!$L$3:$N$6,3,FALSE)=0,"Spatial Data Missing ⚠",VLOOKUP(L155,'G-3 Multipliers'!$L$3:$N$6,3,FALSE)))</f>
        <v/>
      </c>
      <c r="O155" s="362" t="str">
        <f t="shared" si="12"/>
        <v/>
      </c>
      <c r="P155" s="159"/>
      <c r="Q155" s="159"/>
      <c r="R155" s="382" t="str">
        <f t="shared" si="13"/>
        <v/>
      </c>
      <c r="S155" s="404" t="str">
        <f t="shared" si="14"/>
        <v/>
      </c>
      <c r="T155" s="387" t="str">
        <f>IFERROR(IF(S155="Check Data ⚠","Check Data ⚠",VLOOKUP(S155,'G-4 Temporal multipliers'!$A$4:$C$37,3,FALSE)),"")</f>
        <v/>
      </c>
      <c r="U155" s="385" t="str">
        <f>IF(F155="","",VLOOKUP(F155,'G-3 Multipliers'!$A$2:$E$134,2,FALSE))</f>
        <v/>
      </c>
      <c r="V155" s="382" t="str">
        <f t="shared" si="17"/>
        <v/>
      </c>
      <c r="W155" s="382" t="str">
        <f>IF(E155="","",IF(AND(V155="Standard difficulty applied",O155&gt;P155),U155,IF(AND(V155="Low Difficulty - only applicable if all habitat created before losses ⚠",P155&gt;=O155),"Low",VLOOKUP(F155,'G-3 Multipliers'!$A$2:$E$134,4,FALSE))))</f>
        <v/>
      </c>
      <c r="X155" s="386" t="str">
        <f>IFERROR(IF(E155="","",VLOOKUP(W155, 'G-3 Multipliers'!$P$2:$Q$6,2,FALSE)),"")</f>
        <v/>
      </c>
      <c r="Y155" s="516"/>
      <c r="Z155" s="724" t="str">
        <f>IF(Y155="","",IF(VLOOKUP(Y155,'G-3 Multipliers'!$S$3:$T$10,2,FALSE)=0,"Spatial Data Missing ⚠",VLOOKUP(Y155,'G-3 Multipliers'!$S$3:$T$10,2,FALSE)))</f>
        <v/>
      </c>
      <c r="AA155" s="741" t="str">
        <f t="shared" si="15"/>
        <v/>
      </c>
      <c r="AB155" s="405" t="str">
        <f t="shared" si="16"/>
        <v/>
      </c>
      <c r="AC155" s="119"/>
      <c r="AD155" s="528"/>
      <c r="AE155" s="120"/>
      <c r="AF155" s="120"/>
    </row>
    <row r="156" spans="1:32" ht="15">
      <c r="A156" s="30" t="str">
        <f>IFERROR(INDEX('G-8 Condition Look up'!$I$4:$I$135,MATCH(F156,'G-8 Condition Look up'!$A$4:$A$135,0)),"")</f>
        <v/>
      </c>
      <c r="C156" s="75" t="str">
        <f>IFERROR(INDEX('G-1 All Habitats'!$AG$3:$AG$17,MATCH(D156,'G-1 All Habitats'!$AF$3:$AF$17,0)),"")</f>
        <v/>
      </c>
      <c r="D156" s="122"/>
      <c r="E156" s="165"/>
      <c r="F156" s="198" t="str">
        <f>IFERROR(INDEX('G-1 All Habitats'!$B$3:$B$135,MATCH(E156,'G-1 All Habitats'!$A$3:$A$135,0)),"")</f>
        <v/>
      </c>
      <c r="G156" s="300"/>
      <c r="H156" s="398" t="str">
        <f>IF(F156="","",VLOOKUP(F156,'G-1 All Habitats'!$B$2:$M$134,10,FALSE))</f>
        <v/>
      </c>
      <c r="I156" s="386" t="str">
        <f>IFERROR(VLOOKUP(H156,'G-1 All Habitats'!$V$3:$W$7,2,FALSE),"")</f>
        <v/>
      </c>
      <c r="J156" s="162"/>
      <c r="K156" s="386" t="str">
        <f>IFERROR(INDEX('G-8 Condition Look up'!$A$3:$H$135,MATCH(F156,'G-8 Condition Look up'!$A$3:$A$135,0),MATCH(J156,'G-8 Condition Look up'!$A$3:$H$3,0)),"")</f>
        <v/>
      </c>
      <c r="L156" s="114"/>
      <c r="M156" s="401" t="str">
        <f>IF(L156="","",IF(VLOOKUP(L156,'G-3 Multipliers'!$L$3:$N$6,2,FALSE)=0,"Spatial Data Missing ⚠",VLOOKUP(L156,'G-3 Multipliers'!$L$3:$N$6,2,FALSE)))</f>
        <v/>
      </c>
      <c r="N156" s="363" t="str">
        <f>IF(L156="","",IF(VLOOKUP(L156,'G-3 Multipliers'!$L$3:$N$6,3,FALSE)=0,"Spatial Data Missing ⚠",VLOOKUP(L156,'G-3 Multipliers'!$L$3:$N$6,3,FALSE)))</f>
        <v/>
      </c>
      <c r="O156" s="362" t="str">
        <f t="shared" si="12"/>
        <v/>
      </c>
      <c r="P156" s="159"/>
      <c r="Q156" s="159"/>
      <c r="R156" s="382" t="str">
        <f t="shared" si="13"/>
        <v/>
      </c>
      <c r="S156" s="404" t="str">
        <f t="shared" si="14"/>
        <v/>
      </c>
      <c r="T156" s="387" t="str">
        <f>IFERROR(IF(S156="Check Data ⚠","Check Data ⚠",VLOOKUP(S156,'G-4 Temporal multipliers'!$A$4:$C$37,3,FALSE)),"")</f>
        <v/>
      </c>
      <c r="U156" s="385" t="str">
        <f>IF(F156="","",VLOOKUP(F156,'G-3 Multipliers'!$A$2:$E$134,2,FALSE))</f>
        <v/>
      </c>
      <c r="V156" s="382" t="str">
        <f t="shared" si="17"/>
        <v/>
      </c>
      <c r="W156" s="382" t="str">
        <f>IF(E156="","",IF(AND(V156="Standard difficulty applied",O156&gt;P156),U156,IF(AND(V156="Low Difficulty - only applicable if all habitat created before losses ⚠",P156&gt;=O156),"Low",VLOOKUP(F156,'G-3 Multipliers'!$A$2:$E$134,4,FALSE))))</f>
        <v/>
      </c>
      <c r="X156" s="386" t="str">
        <f>IFERROR(IF(E156="","",VLOOKUP(W156, 'G-3 Multipliers'!$P$2:$Q$6,2,FALSE)),"")</f>
        <v/>
      </c>
      <c r="Y156" s="516"/>
      <c r="Z156" s="724" t="str">
        <f>IF(Y156="","",IF(VLOOKUP(Y156,'G-3 Multipliers'!$S$3:$T$10,2,FALSE)=0,"Spatial Data Missing ⚠",VLOOKUP(Y156,'G-3 Multipliers'!$S$3:$T$10,2,FALSE)))</f>
        <v/>
      </c>
      <c r="AA156" s="741" t="str">
        <f t="shared" si="15"/>
        <v/>
      </c>
      <c r="AB156" s="405" t="str">
        <f t="shared" si="16"/>
        <v/>
      </c>
      <c r="AC156" s="119"/>
      <c r="AD156" s="528"/>
      <c r="AE156" s="120"/>
      <c r="AF156" s="120"/>
    </row>
    <row r="157" spans="1:32" ht="15">
      <c r="A157" s="30" t="str">
        <f>IFERROR(INDEX('G-8 Condition Look up'!$I$4:$I$135,MATCH(F157,'G-8 Condition Look up'!$A$4:$A$135,0)),"")</f>
        <v/>
      </c>
      <c r="C157" s="75" t="str">
        <f>IFERROR(INDEX('G-1 All Habitats'!$AG$3:$AG$17,MATCH(D157,'G-1 All Habitats'!$AF$3:$AF$17,0)),"")</f>
        <v/>
      </c>
      <c r="D157" s="122"/>
      <c r="E157" s="165"/>
      <c r="F157" s="198" t="str">
        <f>IFERROR(INDEX('G-1 All Habitats'!$B$3:$B$135,MATCH(E157,'G-1 All Habitats'!$A$3:$A$135,0)),"")</f>
        <v/>
      </c>
      <c r="G157" s="300"/>
      <c r="H157" s="398" t="str">
        <f>IF(F157="","",VLOOKUP(F157,'G-1 All Habitats'!$B$2:$M$134,10,FALSE))</f>
        <v/>
      </c>
      <c r="I157" s="386" t="str">
        <f>IFERROR(VLOOKUP(H157,'G-1 All Habitats'!$V$3:$W$7,2,FALSE),"")</f>
        <v/>
      </c>
      <c r="J157" s="162"/>
      <c r="K157" s="386" t="str">
        <f>IFERROR(INDEX('G-8 Condition Look up'!$A$3:$H$135,MATCH(F157,'G-8 Condition Look up'!$A$3:$A$135,0),MATCH(J157,'G-8 Condition Look up'!$A$3:$H$3,0)),"")</f>
        <v/>
      </c>
      <c r="L157" s="114"/>
      <c r="M157" s="401" t="str">
        <f>IF(L157="","",IF(VLOOKUP(L157,'G-3 Multipliers'!$L$3:$N$6,2,FALSE)=0,"Spatial Data Missing ⚠",VLOOKUP(L157,'G-3 Multipliers'!$L$3:$N$6,2,FALSE)))</f>
        <v/>
      </c>
      <c r="N157" s="363" t="str">
        <f>IF(L157="","",IF(VLOOKUP(L157,'G-3 Multipliers'!$L$3:$N$6,3,FALSE)=0,"Spatial Data Missing ⚠",VLOOKUP(L157,'G-3 Multipliers'!$L$3:$N$6,3,FALSE)))</f>
        <v/>
      </c>
      <c r="O157" s="362" t="str">
        <f t="shared" si="12"/>
        <v/>
      </c>
      <c r="P157" s="159"/>
      <c r="Q157" s="159"/>
      <c r="R157" s="382" t="str">
        <f t="shared" si="13"/>
        <v/>
      </c>
      <c r="S157" s="404" t="str">
        <f t="shared" si="14"/>
        <v/>
      </c>
      <c r="T157" s="387" t="str">
        <f>IFERROR(IF(S157="Check Data ⚠","Check Data ⚠",VLOOKUP(S157,'G-4 Temporal multipliers'!$A$4:$C$37,3,FALSE)),"")</f>
        <v/>
      </c>
      <c r="U157" s="385" t="str">
        <f>IF(F157="","",VLOOKUP(F157,'G-3 Multipliers'!$A$2:$E$134,2,FALSE))</f>
        <v/>
      </c>
      <c r="V157" s="382" t="str">
        <f t="shared" si="17"/>
        <v/>
      </c>
      <c r="W157" s="382" t="str">
        <f>IF(E157="","",IF(AND(V157="Standard difficulty applied",O157&gt;P157),U157,IF(AND(V157="Low Difficulty - only applicable if all habitat created before losses ⚠",P157&gt;=O157),"Low",VLOOKUP(F157,'G-3 Multipliers'!$A$2:$E$134,4,FALSE))))</f>
        <v/>
      </c>
      <c r="X157" s="386" t="str">
        <f>IFERROR(IF(E157="","",VLOOKUP(W157, 'G-3 Multipliers'!$P$2:$Q$6,2,FALSE)),"")</f>
        <v/>
      </c>
      <c r="Y157" s="516"/>
      <c r="Z157" s="724" t="str">
        <f>IF(Y157="","",IF(VLOOKUP(Y157,'G-3 Multipliers'!$S$3:$T$10,2,FALSE)=0,"Spatial Data Missing ⚠",VLOOKUP(Y157,'G-3 Multipliers'!$S$3:$T$10,2,FALSE)))</f>
        <v/>
      </c>
      <c r="AA157" s="741" t="str">
        <f t="shared" si="15"/>
        <v/>
      </c>
      <c r="AB157" s="405" t="str">
        <f t="shared" si="16"/>
        <v/>
      </c>
      <c r="AC157" s="119"/>
      <c r="AD157" s="528"/>
      <c r="AE157" s="120"/>
      <c r="AF157" s="120"/>
    </row>
    <row r="158" spans="1:32" ht="15">
      <c r="A158" s="30" t="str">
        <f>IFERROR(INDEX('G-8 Condition Look up'!$I$4:$I$135,MATCH(F158,'G-8 Condition Look up'!$A$4:$A$135,0)),"")</f>
        <v/>
      </c>
      <c r="C158" s="75" t="str">
        <f>IFERROR(INDEX('G-1 All Habitats'!$AG$3:$AG$17,MATCH(D158,'G-1 All Habitats'!$AF$3:$AF$17,0)),"")</f>
        <v/>
      </c>
      <c r="D158" s="122"/>
      <c r="E158" s="165"/>
      <c r="F158" s="198" t="str">
        <f>IFERROR(INDEX('G-1 All Habitats'!$B$3:$B$135,MATCH(E158,'G-1 All Habitats'!$A$3:$A$135,0)),"")</f>
        <v/>
      </c>
      <c r="G158" s="300"/>
      <c r="H158" s="398" t="str">
        <f>IF(F158="","",VLOOKUP(F158,'G-1 All Habitats'!$B$2:$M$134,10,FALSE))</f>
        <v/>
      </c>
      <c r="I158" s="386" t="str">
        <f>IFERROR(VLOOKUP(H158,'G-1 All Habitats'!$V$3:$W$7,2,FALSE),"")</f>
        <v/>
      </c>
      <c r="J158" s="162"/>
      <c r="K158" s="386" t="str">
        <f>IFERROR(INDEX('G-8 Condition Look up'!$A$3:$H$135,MATCH(F158,'G-8 Condition Look up'!$A$3:$A$135,0),MATCH(J158,'G-8 Condition Look up'!$A$3:$H$3,0)),"")</f>
        <v/>
      </c>
      <c r="L158" s="114"/>
      <c r="M158" s="401" t="str">
        <f>IF(L158="","",IF(VLOOKUP(L158,'G-3 Multipliers'!$L$3:$N$6,2,FALSE)=0,"Spatial Data Missing ⚠",VLOOKUP(L158,'G-3 Multipliers'!$L$3:$N$6,2,FALSE)))</f>
        <v/>
      </c>
      <c r="N158" s="363" t="str">
        <f>IF(L158="","",IF(VLOOKUP(L158,'G-3 Multipliers'!$L$3:$N$6,3,FALSE)=0,"Spatial Data Missing ⚠",VLOOKUP(L158,'G-3 Multipliers'!$L$3:$N$6,3,FALSE)))</f>
        <v/>
      </c>
      <c r="O158" s="362" t="str">
        <f t="shared" si="12"/>
        <v/>
      </c>
      <c r="P158" s="159"/>
      <c r="Q158" s="159"/>
      <c r="R158" s="382" t="str">
        <f t="shared" si="13"/>
        <v/>
      </c>
      <c r="S158" s="404" t="str">
        <f t="shared" si="14"/>
        <v/>
      </c>
      <c r="T158" s="387" t="str">
        <f>IFERROR(IF(S158="Check Data ⚠","Check Data ⚠",VLOOKUP(S158,'G-4 Temporal multipliers'!$A$4:$C$37,3,FALSE)),"")</f>
        <v/>
      </c>
      <c r="U158" s="385" t="str">
        <f>IF(F158="","",VLOOKUP(F158,'G-3 Multipliers'!$A$2:$E$134,2,FALSE))</f>
        <v/>
      </c>
      <c r="V158" s="382" t="str">
        <f t="shared" si="17"/>
        <v/>
      </c>
      <c r="W158" s="382" t="str">
        <f>IF(E158="","",IF(AND(V158="Standard difficulty applied",O158&gt;P158),U158,IF(AND(V158="Low Difficulty - only applicable if all habitat created before losses ⚠",P158&gt;=O158),"Low",VLOOKUP(F158,'G-3 Multipliers'!$A$2:$E$134,4,FALSE))))</f>
        <v/>
      </c>
      <c r="X158" s="386" t="str">
        <f>IFERROR(IF(E158="","",VLOOKUP(W158, 'G-3 Multipliers'!$P$2:$Q$6,2,FALSE)),"")</f>
        <v/>
      </c>
      <c r="Y158" s="516"/>
      <c r="Z158" s="724" t="str">
        <f>IF(Y158="","",IF(VLOOKUP(Y158,'G-3 Multipliers'!$S$3:$T$10,2,FALSE)=0,"Spatial Data Missing ⚠",VLOOKUP(Y158,'G-3 Multipliers'!$S$3:$T$10,2,FALSE)))</f>
        <v/>
      </c>
      <c r="AA158" s="741" t="str">
        <f t="shared" si="15"/>
        <v/>
      </c>
      <c r="AB158" s="405" t="str">
        <f t="shared" si="16"/>
        <v/>
      </c>
      <c r="AC158" s="119"/>
      <c r="AD158" s="528"/>
      <c r="AE158" s="120"/>
      <c r="AF158" s="120"/>
    </row>
    <row r="159" spans="1:32" ht="15">
      <c r="A159" s="30" t="str">
        <f>IFERROR(INDEX('G-8 Condition Look up'!$I$4:$I$135,MATCH(F159,'G-8 Condition Look up'!$A$4:$A$135,0)),"")</f>
        <v/>
      </c>
      <c r="C159" s="75" t="str">
        <f>IFERROR(INDEX('G-1 All Habitats'!$AG$3:$AG$17,MATCH(D159,'G-1 All Habitats'!$AF$3:$AF$17,0)),"")</f>
        <v/>
      </c>
      <c r="D159" s="122"/>
      <c r="E159" s="165"/>
      <c r="F159" s="198" t="str">
        <f>IFERROR(INDEX('G-1 All Habitats'!$B$3:$B$135,MATCH(E159,'G-1 All Habitats'!$A$3:$A$135,0)),"")</f>
        <v/>
      </c>
      <c r="G159" s="300"/>
      <c r="H159" s="398" t="str">
        <f>IF(F159="","",VLOOKUP(F159,'G-1 All Habitats'!$B$2:$M$134,10,FALSE))</f>
        <v/>
      </c>
      <c r="I159" s="386" t="str">
        <f>IFERROR(VLOOKUP(H159,'G-1 All Habitats'!$V$3:$W$7,2,FALSE),"")</f>
        <v/>
      </c>
      <c r="J159" s="162"/>
      <c r="K159" s="386" t="str">
        <f>IFERROR(INDEX('G-8 Condition Look up'!$A$3:$H$135,MATCH(F159,'G-8 Condition Look up'!$A$3:$A$135,0),MATCH(J159,'G-8 Condition Look up'!$A$3:$H$3,0)),"")</f>
        <v/>
      </c>
      <c r="L159" s="114"/>
      <c r="M159" s="401" t="str">
        <f>IF(L159="","",IF(VLOOKUP(L159,'G-3 Multipliers'!$L$3:$N$6,2,FALSE)=0,"Spatial Data Missing ⚠",VLOOKUP(L159,'G-3 Multipliers'!$L$3:$N$6,2,FALSE)))</f>
        <v/>
      </c>
      <c r="N159" s="363" t="str">
        <f>IF(L159="","",IF(VLOOKUP(L159,'G-3 Multipliers'!$L$3:$N$6,3,FALSE)=0,"Spatial Data Missing ⚠",VLOOKUP(L159,'G-3 Multipliers'!$L$3:$N$6,3,FALSE)))</f>
        <v/>
      </c>
      <c r="O159" s="362" t="str">
        <f t="shared" si="12"/>
        <v/>
      </c>
      <c r="P159" s="159"/>
      <c r="Q159" s="159"/>
      <c r="R159" s="382" t="str">
        <f t="shared" si="13"/>
        <v/>
      </c>
      <c r="S159" s="404" t="str">
        <f t="shared" si="14"/>
        <v/>
      </c>
      <c r="T159" s="387" t="str">
        <f>IFERROR(IF(S159="Check Data ⚠","Check Data ⚠",VLOOKUP(S159,'G-4 Temporal multipliers'!$A$4:$C$37,3,FALSE)),"")</f>
        <v/>
      </c>
      <c r="U159" s="385" t="str">
        <f>IF(F159="","",VLOOKUP(F159,'G-3 Multipliers'!$A$2:$E$134,2,FALSE))</f>
        <v/>
      </c>
      <c r="V159" s="382" t="str">
        <f t="shared" si="17"/>
        <v/>
      </c>
      <c r="W159" s="382" t="str">
        <f>IF(E159="","",IF(AND(V159="Standard difficulty applied",O159&gt;P159),U159,IF(AND(V159="Low Difficulty - only applicable if all habitat created before losses ⚠",P159&gt;=O159),"Low",VLOOKUP(F159,'G-3 Multipliers'!$A$2:$E$134,4,FALSE))))</f>
        <v/>
      </c>
      <c r="X159" s="386" t="str">
        <f>IFERROR(IF(E159="","",VLOOKUP(W159, 'G-3 Multipliers'!$P$2:$Q$6,2,FALSE)),"")</f>
        <v/>
      </c>
      <c r="Y159" s="516"/>
      <c r="Z159" s="724" t="str">
        <f>IF(Y159="","",IF(VLOOKUP(Y159,'G-3 Multipliers'!$S$3:$T$10,2,FALSE)=0,"Spatial Data Missing ⚠",VLOOKUP(Y159,'G-3 Multipliers'!$S$3:$T$10,2,FALSE)))</f>
        <v/>
      </c>
      <c r="AA159" s="741" t="str">
        <f t="shared" si="15"/>
        <v/>
      </c>
      <c r="AB159" s="405" t="str">
        <f t="shared" si="16"/>
        <v/>
      </c>
      <c r="AC159" s="119"/>
      <c r="AD159" s="528"/>
      <c r="AE159" s="120"/>
      <c r="AF159" s="120"/>
    </row>
    <row r="160" spans="1:32" ht="15">
      <c r="A160" s="30" t="str">
        <f>IFERROR(INDEX('G-8 Condition Look up'!$I$4:$I$135,MATCH(F160,'G-8 Condition Look up'!$A$4:$A$135,0)),"")</f>
        <v/>
      </c>
      <c r="C160" s="75" t="str">
        <f>IFERROR(INDEX('G-1 All Habitats'!$AG$3:$AG$17,MATCH(D160,'G-1 All Habitats'!$AF$3:$AF$17,0)),"")</f>
        <v/>
      </c>
      <c r="D160" s="122"/>
      <c r="E160" s="165"/>
      <c r="F160" s="198" t="str">
        <f>IFERROR(INDEX('G-1 All Habitats'!$B$3:$B$135,MATCH(E160,'G-1 All Habitats'!$A$3:$A$135,0)),"")</f>
        <v/>
      </c>
      <c r="G160" s="300"/>
      <c r="H160" s="398" t="str">
        <f>IF(F160="","",VLOOKUP(F160,'G-1 All Habitats'!$B$2:$M$134,10,FALSE))</f>
        <v/>
      </c>
      <c r="I160" s="386" t="str">
        <f>IFERROR(VLOOKUP(H160,'G-1 All Habitats'!$V$3:$W$7,2,FALSE),"")</f>
        <v/>
      </c>
      <c r="J160" s="162"/>
      <c r="K160" s="386" t="str">
        <f>IFERROR(INDEX('G-8 Condition Look up'!$A$3:$H$135,MATCH(F160,'G-8 Condition Look up'!$A$3:$A$135,0),MATCH(J160,'G-8 Condition Look up'!$A$3:$H$3,0)),"")</f>
        <v/>
      </c>
      <c r="L160" s="114"/>
      <c r="M160" s="401" t="str">
        <f>IF(L160="","",IF(VLOOKUP(L160,'G-3 Multipliers'!$L$3:$N$6,2,FALSE)=0,"Spatial Data Missing ⚠",VLOOKUP(L160,'G-3 Multipliers'!$L$3:$N$6,2,FALSE)))</f>
        <v/>
      </c>
      <c r="N160" s="363" t="str">
        <f>IF(L160="","",IF(VLOOKUP(L160,'G-3 Multipliers'!$L$3:$N$6,3,FALSE)=0,"Spatial Data Missing ⚠",VLOOKUP(L160,'G-3 Multipliers'!$L$3:$N$6,3,FALSE)))</f>
        <v/>
      </c>
      <c r="O160" s="362" t="str">
        <f t="shared" si="12"/>
        <v/>
      </c>
      <c r="P160" s="159"/>
      <c r="Q160" s="159"/>
      <c r="R160" s="382" t="str">
        <f t="shared" si="13"/>
        <v/>
      </c>
      <c r="S160" s="404" t="str">
        <f t="shared" si="14"/>
        <v/>
      </c>
      <c r="T160" s="387" t="str">
        <f>IFERROR(IF(S160="Check Data ⚠","Check Data ⚠",VLOOKUP(S160,'G-4 Temporal multipliers'!$A$4:$C$37,3,FALSE)),"")</f>
        <v/>
      </c>
      <c r="U160" s="385" t="str">
        <f>IF(F160="","",VLOOKUP(F160,'G-3 Multipliers'!$A$2:$E$134,2,FALSE))</f>
        <v/>
      </c>
      <c r="V160" s="382" t="str">
        <f t="shared" si="17"/>
        <v/>
      </c>
      <c r="W160" s="382" t="str">
        <f>IF(E160="","",IF(AND(V160="Standard difficulty applied",O160&gt;P160),U160,IF(AND(V160="Low Difficulty - only applicable if all habitat created before losses ⚠",P160&gt;=O160),"Low",VLOOKUP(F160,'G-3 Multipliers'!$A$2:$E$134,4,FALSE))))</f>
        <v/>
      </c>
      <c r="X160" s="386" t="str">
        <f>IFERROR(IF(E160="","",VLOOKUP(W160, 'G-3 Multipliers'!$P$2:$Q$6,2,FALSE)),"")</f>
        <v/>
      </c>
      <c r="Y160" s="516"/>
      <c r="Z160" s="724" t="str">
        <f>IF(Y160="","",IF(VLOOKUP(Y160,'G-3 Multipliers'!$S$3:$T$10,2,FALSE)=0,"Spatial Data Missing ⚠",VLOOKUP(Y160,'G-3 Multipliers'!$S$3:$T$10,2,FALSE)))</f>
        <v/>
      </c>
      <c r="AA160" s="741" t="str">
        <f t="shared" si="15"/>
        <v/>
      </c>
      <c r="AB160" s="405" t="str">
        <f t="shared" si="16"/>
        <v/>
      </c>
      <c r="AC160" s="119"/>
      <c r="AD160" s="528"/>
      <c r="AE160" s="120"/>
      <c r="AF160" s="120"/>
    </row>
    <row r="161" spans="1:32" ht="15">
      <c r="A161" s="30" t="str">
        <f>IFERROR(INDEX('G-8 Condition Look up'!$I$4:$I$135,MATCH(F161,'G-8 Condition Look up'!$A$4:$A$135,0)),"")</f>
        <v/>
      </c>
      <c r="C161" s="75" t="str">
        <f>IFERROR(INDEX('G-1 All Habitats'!$AG$3:$AG$17,MATCH(D161,'G-1 All Habitats'!$AF$3:$AF$17,0)),"")</f>
        <v/>
      </c>
      <c r="D161" s="122"/>
      <c r="E161" s="165"/>
      <c r="F161" s="198" t="str">
        <f>IFERROR(INDEX('G-1 All Habitats'!$B$3:$B$135,MATCH(E161,'G-1 All Habitats'!$A$3:$A$135,0)),"")</f>
        <v/>
      </c>
      <c r="G161" s="300"/>
      <c r="H161" s="398" t="str">
        <f>IF(F161="","",VLOOKUP(F161,'G-1 All Habitats'!$B$2:$M$134,10,FALSE))</f>
        <v/>
      </c>
      <c r="I161" s="386" t="str">
        <f>IFERROR(VLOOKUP(H161,'G-1 All Habitats'!$V$3:$W$7,2,FALSE),"")</f>
        <v/>
      </c>
      <c r="J161" s="162"/>
      <c r="K161" s="386" t="str">
        <f>IFERROR(INDEX('G-8 Condition Look up'!$A$3:$H$135,MATCH(F161,'G-8 Condition Look up'!$A$3:$A$135,0),MATCH(J161,'G-8 Condition Look up'!$A$3:$H$3,0)),"")</f>
        <v/>
      </c>
      <c r="L161" s="114"/>
      <c r="M161" s="401" t="str">
        <f>IF(L161="","",IF(VLOOKUP(L161,'G-3 Multipliers'!$L$3:$N$6,2,FALSE)=0,"Spatial Data Missing ⚠",VLOOKUP(L161,'G-3 Multipliers'!$L$3:$N$6,2,FALSE)))</f>
        <v/>
      </c>
      <c r="N161" s="363" t="str">
        <f>IF(L161="","",IF(VLOOKUP(L161,'G-3 Multipliers'!$L$3:$N$6,3,FALSE)=0,"Spatial Data Missing ⚠",VLOOKUP(L161,'G-3 Multipliers'!$L$3:$N$6,3,FALSE)))</f>
        <v/>
      </c>
      <c r="O161" s="362" t="str">
        <f t="shared" si="12"/>
        <v/>
      </c>
      <c r="P161" s="159"/>
      <c r="Q161" s="159"/>
      <c r="R161" s="382" t="str">
        <f t="shared" si="13"/>
        <v/>
      </c>
      <c r="S161" s="404" t="str">
        <f t="shared" si="14"/>
        <v/>
      </c>
      <c r="T161" s="387" t="str">
        <f>IFERROR(IF(S161="Check Data ⚠","Check Data ⚠",VLOOKUP(S161,'G-4 Temporal multipliers'!$A$4:$C$37,3,FALSE)),"")</f>
        <v/>
      </c>
      <c r="U161" s="385" t="str">
        <f>IF(F161="","",VLOOKUP(F161,'G-3 Multipliers'!$A$2:$E$134,2,FALSE))</f>
        <v/>
      </c>
      <c r="V161" s="382" t="str">
        <f t="shared" si="17"/>
        <v/>
      </c>
      <c r="W161" s="382" t="str">
        <f>IF(E161="","",IF(AND(V161="Standard difficulty applied",O161&gt;P161),U161,IF(AND(V161="Low Difficulty - only applicable if all habitat created before losses ⚠",P161&gt;=O161),"Low",VLOOKUP(F161,'G-3 Multipliers'!$A$2:$E$134,4,FALSE))))</f>
        <v/>
      </c>
      <c r="X161" s="386" t="str">
        <f>IFERROR(IF(E161="","",VLOOKUP(W161, 'G-3 Multipliers'!$P$2:$Q$6,2,FALSE)),"")</f>
        <v/>
      </c>
      <c r="Y161" s="516"/>
      <c r="Z161" s="724" t="str">
        <f>IF(Y161="","",IF(VLOOKUP(Y161,'G-3 Multipliers'!$S$3:$T$10,2,FALSE)=0,"Spatial Data Missing ⚠",VLOOKUP(Y161,'G-3 Multipliers'!$S$3:$T$10,2,FALSE)))</f>
        <v/>
      </c>
      <c r="AA161" s="741" t="str">
        <f t="shared" si="15"/>
        <v/>
      </c>
      <c r="AB161" s="405" t="str">
        <f t="shared" si="16"/>
        <v/>
      </c>
      <c r="AC161" s="119"/>
      <c r="AD161" s="528"/>
      <c r="AE161" s="120"/>
      <c r="AF161" s="120"/>
    </row>
    <row r="162" spans="1:32" ht="15">
      <c r="A162" s="30" t="str">
        <f>IFERROR(INDEX('G-8 Condition Look up'!$I$4:$I$135,MATCH(F162,'G-8 Condition Look up'!$A$4:$A$135,0)),"")</f>
        <v/>
      </c>
      <c r="C162" s="75" t="str">
        <f>IFERROR(INDEX('G-1 All Habitats'!$AG$3:$AG$17,MATCH(D162,'G-1 All Habitats'!$AF$3:$AF$17,0)),"")</f>
        <v/>
      </c>
      <c r="D162" s="122"/>
      <c r="E162" s="165"/>
      <c r="F162" s="198" t="str">
        <f>IFERROR(INDEX('G-1 All Habitats'!$B$3:$B$135,MATCH(E162,'G-1 All Habitats'!$A$3:$A$135,0)),"")</f>
        <v/>
      </c>
      <c r="G162" s="300"/>
      <c r="H162" s="398" t="str">
        <f>IF(F162="","",VLOOKUP(F162,'G-1 All Habitats'!$B$2:$M$134,10,FALSE))</f>
        <v/>
      </c>
      <c r="I162" s="386" t="str">
        <f>IFERROR(VLOOKUP(H162,'G-1 All Habitats'!$V$3:$W$7,2,FALSE),"")</f>
        <v/>
      </c>
      <c r="J162" s="162"/>
      <c r="K162" s="386" t="str">
        <f>IFERROR(INDEX('G-8 Condition Look up'!$A$3:$H$135,MATCH(F162,'G-8 Condition Look up'!$A$3:$A$135,0),MATCH(J162,'G-8 Condition Look up'!$A$3:$H$3,0)),"")</f>
        <v/>
      </c>
      <c r="L162" s="114"/>
      <c r="M162" s="401" t="str">
        <f>IF(L162="","",IF(VLOOKUP(L162,'G-3 Multipliers'!$L$3:$N$6,2,FALSE)=0,"Spatial Data Missing ⚠",VLOOKUP(L162,'G-3 Multipliers'!$L$3:$N$6,2,FALSE)))</f>
        <v/>
      </c>
      <c r="N162" s="363" t="str">
        <f>IF(L162="","",IF(VLOOKUP(L162,'G-3 Multipliers'!$L$3:$N$6,3,FALSE)=0,"Spatial Data Missing ⚠",VLOOKUP(L162,'G-3 Multipliers'!$L$3:$N$6,3,FALSE)))</f>
        <v/>
      </c>
      <c r="O162" s="362" t="str">
        <f t="shared" si="12"/>
        <v/>
      </c>
      <c r="P162" s="159"/>
      <c r="Q162" s="159"/>
      <c r="R162" s="382" t="str">
        <f t="shared" si="13"/>
        <v/>
      </c>
      <c r="S162" s="404" t="str">
        <f t="shared" si="14"/>
        <v/>
      </c>
      <c r="T162" s="387" t="str">
        <f>IFERROR(IF(S162="Check Data ⚠","Check Data ⚠",VLOOKUP(S162,'G-4 Temporal multipliers'!$A$4:$C$37,3,FALSE)),"")</f>
        <v/>
      </c>
      <c r="U162" s="385" t="str">
        <f>IF(F162="","",VLOOKUP(F162,'G-3 Multipliers'!$A$2:$E$134,2,FALSE))</f>
        <v/>
      </c>
      <c r="V162" s="382" t="str">
        <f t="shared" si="17"/>
        <v/>
      </c>
      <c r="W162" s="382" t="str">
        <f>IF(E162="","",IF(AND(V162="Standard difficulty applied",O162&gt;P162),U162,IF(AND(V162="Low Difficulty - only applicable if all habitat created before losses ⚠",P162&gt;=O162),"Low",VLOOKUP(F162,'G-3 Multipliers'!$A$2:$E$134,4,FALSE))))</f>
        <v/>
      </c>
      <c r="X162" s="386" t="str">
        <f>IFERROR(IF(E162="","",VLOOKUP(W162, 'G-3 Multipliers'!$P$2:$Q$6,2,FALSE)),"")</f>
        <v/>
      </c>
      <c r="Y162" s="516"/>
      <c r="Z162" s="724" t="str">
        <f>IF(Y162="","",IF(VLOOKUP(Y162,'G-3 Multipliers'!$S$3:$T$10,2,FALSE)=0,"Spatial Data Missing ⚠",VLOOKUP(Y162,'G-3 Multipliers'!$S$3:$T$10,2,FALSE)))</f>
        <v/>
      </c>
      <c r="AA162" s="741" t="str">
        <f t="shared" si="15"/>
        <v/>
      </c>
      <c r="AB162" s="405" t="str">
        <f t="shared" si="16"/>
        <v/>
      </c>
      <c r="AC162" s="119"/>
      <c r="AD162" s="528"/>
      <c r="AE162" s="120"/>
      <c r="AF162" s="120"/>
    </row>
    <row r="163" spans="1:32" ht="15">
      <c r="A163" s="30" t="str">
        <f>IFERROR(INDEX('G-8 Condition Look up'!$I$4:$I$135,MATCH(F163,'G-8 Condition Look up'!$A$4:$A$135,0)),"")</f>
        <v/>
      </c>
      <c r="C163" s="75" t="str">
        <f>IFERROR(INDEX('G-1 All Habitats'!$AG$3:$AG$17,MATCH(D163,'G-1 All Habitats'!$AF$3:$AF$17,0)),"")</f>
        <v/>
      </c>
      <c r="D163" s="122"/>
      <c r="E163" s="165"/>
      <c r="F163" s="198" t="str">
        <f>IFERROR(INDEX('G-1 All Habitats'!$B$3:$B$135,MATCH(E163,'G-1 All Habitats'!$A$3:$A$135,0)),"")</f>
        <v/>
      </c>
      <c r="G163" s="300"/>
      <c r="H163" s="398" t="str">
        <f>IF(F163="","",VLOOKUP(F163,'G-1 All Habitats'!$B$2:$M$134,10,FALSE))</f>
        <v/>
      </c>
      <c r="I163" s="386" t="str">
        <f>IFERROR(VLOOKUP(H163,'G-1 All Habitats'!$V$3:$W$7,2,FALSE),"")</f>
        <v/>
      </c>
      <c r="J163" s="162"/>
      <c r="K163" s="386" t="str">
        <f>IFERROR(INDEX('G-8 Condition Look up'!$A$3:$H$135,MATCH(F163,'G-8 Condition Look up'!$A$3:$A$135,0),MATCH(J163,'G-8 Condition Look up'!$A$3:$H$3,0)),"")</f>
        <v/>
      </c>
      <c r="L163" s="114"/>
      <c r="M163" s="401" t="str">
        <f>IF(L163="","",IF(VLOOKUP(L163,'G-3 Multipliers'!$L$3:$N$6,2,FALSE)=0,"Spatial Data Missing ⚠",VLOOKUP(L163,'G-3 Multipliers'!$L$3:$N$6,2,FALSE)))</f>
        <v/>
      </c>
      <c r="N163" s="363" t="str">
        <f>IF(L163="","",IF(VLOOKUP(L163,'G-3 Multipliers'!$L$3:$N$6,3,FALSE)=0,"Spatial Data Missing ⚠",VLOOKUP(L163,'G-3 Multipliers'!$L$3:$N$6,3,FALSE)))</f>
        <v/>
      </c>
      <c r="O163" s="362" t="str">
        <f t="shared" si="12"/>
        <v/>
      </c>
      <c r="P163" s="159"/>
      <c r="Q163" s="159"/>
      <c r="R163" s="382" t="str">
        <f t="shared" si="13"/>
        <v/>
      </c>
      <c r="S163" s="404" t="str">
        <f t="shared" si="14"/>
        <v/>
      </c>
      <c r="T163" s="387" t="str">
        <f>IFERROR(IF(S163="Check Data ⚠","Check Data ⚠",VLOOKUP(S163,'G-4 Temporal multipliers'!$A$4:$C$37,3,FALSE)),"")</f>
        <v/>
      </c>
      <c r="U163" s="385" t="str">
        <f>IF(F163="","",VLOOKUP(F163,'G-3 Multipliers'!$A$2:$E$134,2,FALSE))</f>
        <v/>
      </c>
      <c r="V163" s="382" t="str">
        <f t="shared" si="17"/>
        <v/>
      </c>
      <c r="W163" s="382" t="str">
        <f>IF(E163="","",IF(AND(V163="Standard difficulty applied",O163&gt;P163),U163,IF(AND(V163="Low Difficulty - only applicable if all habitat created before losses ⚠",P163&gt;=O163),"Low",VLOOKUP(F163,'G-3 Multipliers'!$A$2:$E$134,4,FALSE))))</f>
        <v/>
      </c>
      <c r="X163" s="386" t="str">
        <f>IFERROR(IF(E163="","",VLOOKUP(W163, 'G-3 Multipliers'!$P$2:$Q$6,2,FALSE)),"")</f>
        <v/>
      </c>
      <c r="Y163" s="516"/>
      <c r="Z163" s="724" t="str">
        <f>IF(Y163="","",IF(VLOOKUP(Y163,'G-3 Multipliers'!$S$3:$T$10,2,FALSE)=0,"Spatial Data Missing ⚠",VLOOKUP(Y163,'G-3 Multipliers'!$S$3:$T$10,2,FALSE)))</f>
        <v/>
      </c>
      <c r="AA163" s="741" t="str">
        <f t="shared" si="15"/>
        <v/>
      </c>
      <c r="AB163" s="405" t="str">
        <f t="shared" si="16"/>
        <v/>
      </c>
      <c r="AC163" s="119"/>
      <c r="AD163" s="528"/>
      <c r="AE163" s="120"/>
      <c r="AF163" s="120"/>
    </row>
    <row r="164" spans="1:32" ht="15">
      <c r="A164" s="30" t="str">
        <f>IFERROR(INDEX('G-8 Condition Look up'!$I$4:$I$135,MATCH(F164,'G-8 Condition Look up'!$A$4:$A$135,0)),"")</f>
        <v/>
      </c>
      <c r="C164" s="75" t="str">
        <f>IFERROR(INDEX('G-1 All Habitats'!$AG$3:$AG$17,MATCH(D164,'G-1 All Habitats'!$AF$3:$AF$17,0)),"")</f>
        <v/>
      </c>
      <c r="D164" s="122"/>
      <c r="E164" s="165"/>
      <c r="F164" s="198" t="str">
        <f>IFERROR(INDEX('G-1 All Habitats'!$B$3:$B$135,MATCH(E164,'G-1 All Habitats'!$A$3:$A$135,0)),"")</f>
        <v/>
      </c>
      <c r="G164" s="300"/>
      <c r="H164" s="398" t="str">
        <f>IF(F164="","",VLOOKUP(F164,'G-1 All Habitats'!$B$2:$M$134,10,FALSE))</f>
        <v/>
      </c>
      <c r="I164" s="386" t="str">
        <f>IFERROR(VLOOKUP(H164,'G-1 All Habitats'!$V$3:$W$7,2,FALSE),"")</f>
        <v/>
      </c>
      <c r="J164" s="162"/>
      <c r="K164" s="386" t="str">
        <f>IFERROR(INDEX('G-8 Condition Look up'!$A$3:$H$135,MATCH(F164,'G-8 Condition Look up'!$A$3:$A$135,0),MATCH(J164,'G-8 Condition Look up'!$A$3:$H$3,0)),"")</f>
        <v/>
      </c>
      <c r="L164" s="114"/>
      <c r="M164" s="401" t="str">
        <f>IF(L164="","",IF(VLOOKUP(L164,'G-3 Multipliers'!$L$3:$N$6,2,FALSE)=0,"Spatial Data Missing ⚠",VLOOKUP(L164,'G-3 Multipliers'!$L$3:$N$6,2,FALSE)))</f>
        <v/>
      </c>
      <c r="N164" s="363" t="str">
        <f>IF(L164="","",IF(VLOOKUP(L164,'G-3 Multipliers'!$L$3:$N$6,3,FALSE)=0,"Spatial Data Missing ⚠",VLOOKUP(L164,'G-3 Multipliers'!$L$3:$N$6,3,FALSE)))</f>
        <v/>
      </c>
      <c r="O164" s="362" t="str">
        <f t="shared" si="12"/>
        <v/>
      </c>
      <c r="P164" s="159"/>
      <c r="Q164" s="159"/>
      <c r="R164" s="382" t="str">
        <f t="shared" si="13"/>
        <v/>
      </c>
      <c r="S164" s="404" t="str">
        <f t="shared" si="14"/>
        <v/>
      </c>
      <c r="T164" s="387" t="str">
        <f>IFERROR(IF(S164="Check Data ⚠","Check Data ⚠",VLOOKUP(S164,'G-4 Temporal multipliers'!$A$4:$C$37,3,FALSE)),"")</f>
        <v/>
      </c>
      <c r="U164" s="385" t="str">
        <f>IF(F164="","",VLOOKUP(F164,'G-3 Multipliers'!$A$2:$E$134,2,FALSE))</f>
        <v/>
      </c>
      <c r="V164" s="382" t="str">
        <f t="shared" si="17"/>
        <v/>
      </c>
      <c r="W164" s="382" t="str">
        <f>IF(E164="","",IF(AND(V164="Standard difficulty applied",O164&gt;P164),U164,IF(AND(V164="Low Difficulty - only applicable if all habitat created before losses ⚠",P164&gt;=O164),"Low",VLOOKUP(F164,'G-3 Multipliers'!$A$2:$E$134,4,FALSE))))</f>
        <v/>
      </c>
      <c r="X164" s="386" t="str">
        <f>IFERROR(IF(E164="","",VLOOKUP(W164, 'G-3 Multipliers'!$P$2:$Q$6,2,FALSE)),"")</f>
        <v/>
      </c>
      <c r="Y164" s="516"/>
      <c r="Z164" s="724" t="str">
        <f>IF(Y164="","",IF(VLOOKUP(Y164,'G-3 Multipliers'!$S$3:$T$10,2,FALSE)=0,"Spatial Data Missing ⚠",VLOOKUP(Y164,'G-3 Multipliers'!$S$3:$T$10,2,FALSE)))</f>
        <v/>
      </c>
      <c r="AA164" s="741" t="str">
        <f t="shared" si="15"/>
        <v/>
      </c>
      <c r="AB164" s="405" t="str">
        <f t="shared" si="16"/>
        <v/>
      </c>
      <c r="AC164" s="119"/>
      <c r="AD164" s="528"/>
      <c r="AE164" s="120"/>
      <c r="AF164" s="120"/>
    </row>
    <row r="165" spans="1:32" ht="15">
      <c r="A165" s="30" t="str">
        <f>IFERROR(INDEX('G-8 Condition Look up'!$I$4:$I$135,MATCH(F165,'G-8 Condition Look up'!$A$4:$A$135,0)),"")</f>
        <v/>
      </c>
      <c r="C165" s="75" t="str">
        <f>IFERROR(INDEX('G-1 All Habitats'!$AG$3:$AG$17,MATCH(D165,'G-1 All Habitats'!$AF$3:$AF$17,0)),"")</f>
        <v/>
      </c>
      <c r="D165" s="122"/>
      <c r="E165" s="165"/>
      <c r="F165" s="198" t="str">
        <f>IFERROR(INDEX('G-1 All Habitats'!$B$3:$B$135,MATCH(E165,'G-1 All Habitats'!$A$3:$A$135,0)),"")</f>
        <v/>
      </c>
      <c r="G165" s="300"/>
      <c r="H165" s="398" t="str">
        <f>IF(F165="","",VLOOKUP(F165,'G-1 All Habitats'!$B$2:$M$134,10,FALSE))</f>
        <v/>
      </c>
      <c r="I165" s="386" t="str">
        <f>IFERROR(VLOOKUP(H165,'G-1 All Habitats'!$V$3:$W$7,2,FALSE),"")</f>
        <v/>
      </c>
      <c r="J165" s="162"/>
      <c r="K165" s="386" t="str">
        <f>IFERROR(INDEX('G-8 Condition Look up'!$A$3:$H$135,MATCH(F165,'G-8 Condition Look up'!$A$3:$A$135,0),MATCH(J165,'G-8 Condition Look up'!$A$3:$H$3,0)),"")</f>
        <v/>
      </c>
      <c r="L165" s="114"/>
      <c r="M165" s="401" t="str">
        <f>IF(L165="","",IF(VLOOKUP(L165,'G-3 Multipliers'!$L$3:$N$6,2,FALSE)=0,"Spatial Data Missing ⚠",VLOOKUP(L165,'G-3 Multipliers'!$L$3:$N$6,2,FALSE)))</f>
        <v/>
      </c>
      <c r="N165" s="363" t="str">
        <f>IF(L165="","",IF(VLOOKUP(L165,'G-3 Multipliers'!$L$3:$N$6,3,FALSE)=0,"Spatial Data Missing ⚠",VLOOKUP(L165,'G-3 Multipliers'!$L$3:$N$6,3,FALSE)))</f>
        <v/>
      </c>
      <c r="O165" s="362" t="str">
        <f t="shared" si="12"/>
        <v/>
      </c>
      <c r="P165" s="159"/>
      <c r="Q165" s="159"/>
      <c r="R165" s="382" t="str">
        <f t="shared" si="13"/>
        <v/>
      </c>
      <c r="S165" s="404" t="str">
        <f t="shared" si="14"/>
        <v/>
      </c>
      <c r="T165" s="387" t="str">
        <f>IFERROR(IF(S165="Check Data ⚠","Check Data ⚠",VLOOKUP(S165,'G-4 Temporal multipliers'!$A$4:$C$37,3,FALSE)),"")</f>
        <v/>
      </c>
      <c r="U165" s="385" t="str">
        <f>IF(F165="","",VLOOKUP(F165,'G-3 Multipliers'!$A$2:$E$134,2,FALSE))</f>
        <v/>
      </c>
      <c r="V165" s="382" t="str">
        <f t="shared" si="17"/>
        <v/>
      </c>
      <c r="W165" s="382" t="str">
        <f>IF(E165="","",IF(AND(V165="Standard difficulty applied",O165&gt;P165),U165,IF(AND(V165="Low Difficulty - only applicable if all habitat created before losses ⚠",P165&gt;=O165),"Low",VLOOKUP(F165,'G-3 Multipliers'!$A$2:$E$134,4,FALSE))))</f>
        <v/>
      </c>
      <c r="X165" s="386" t="str">
        <f>IFERROR(IF(E165="","",VLOOKUP(W165, 'G-3 Multipliers'!$P$2:$Q$6,2,FALSE)),"")</f>
        <v/>
      </c>
      <c r="Y165" s="516"/>
      <c r="Z165" s="724" t="str">
        <f>IF(Y165="","",IF(VLOOKUP(Y165,'G-3 Multipliers'!$S$3:$T$10,2,FALSE)=0,"Spatial Data Missing ⚠",VLOOKUP(Y165,'G-3 Multipliers'!$S$3:$T$10,2,FALSE)))</f>
        <v/>
      </c>
      <c r="AA165" s="741" t="str">
        <f t="shared" si="15"/>
        <v/>
      </c>
      <c r="AB165" s="405" t="str">
        <f t="shared" si="16"/>
        <v/>
      </c>
      <c r="AC165" s="119"/>
      <c r="AD165" s="528"/>
      <c r="AE165" s="120"/>
      <c r="AF165" s="120"/>
    </row>
    <row r="166" spans="1:32" ht="15">
      <c r="A166" s="30" t="str">
        <f>IFERROR(INDEX('G-8 Condition Look up'!$I$4:$I$135,MATCH(F166,'G-8 Condition Look up'!$A$4:$A$135,0)),"")</f>
        <v/>
      </c>
      <c r="C166" s="75" t="str">
        <f>IFERROR(INDEX('G-1 All Habitats'!$AG$3:$AG$17,MATCH(D166,'G-1 All Habitats'!$AF$3:$AF$17,0)),"")</f>
        <v/>
      </c>
      <c r="D166" s="122"/>
      <c r="E166" s="165"/>
      <c r="F166" s="198" t="str">
        <f>IFERROR(INDEX('G-1 All Habitats'!$B$3:$B$135,MATCH(E166,'G-1 All Habitats'!$A$3:$A$135,0)),"")</f>
        <v/>
      </c>
      <c r="G166" s="300"/>
      <c r="H166" s="398" t="str">
        <f>IF(F166="","",VLOOKUP(F166,'G-1 All Habitats'!$B$2:$M$134,10,FALSE))</f>
        <v/>
      </c>
      <c r="I166" s="386" t="str">
        <f>IFERROR(VLOOKUP(H166,'G-1 All Habitats'!$V$3:$W$7,2,FALSE),"")</f>
        <v/>
      </c>
      <c r="J166" s="162"/>
      <c r="K166" s="386" t="str">
        <f>IFERROR(INDEX('G-8 Condition Look up'!$A$3:$H$135,MATCH(F166,'G-8 Condition Look up'!$A$3:$A$135,0),MATCH(J166,'G-8 Condition Look up'!$A$3:$H$3,0)),"")</f>
        <v/>
      </c>
      <c r="L166" s="114"/>
      <c r="M166" s="401" t="str">
        <f>IF(L166="","",IF(VLOOKUP(L166,'G-3 Multipliers'!$L$3:$N$6,2,FALSE)=0,"Spatial Data Missing ⚠",VLOOKUP(L166,'G-3 Multipliers'!$L$3:$N$6,2,FALSE)))</f>
        <v/>
      </c>
      <c r="N166" s="363" t="str">
        <f>IF(L166="","",IF(VLOOKUP(L166,'G-3 Multipliers'!$L$3:$N$6,3,FALSE)=0,"Spatial Data Missing ⚠",VLOOKUP(L166,'G-3 Multipliers'!$L$3:$N$6,3,FALSE)))</f>
        <v/>
      </c>
      <c r="O166" s="362" t="str">
        <f t="shared" si="12"/>
        <v/>
      </c>
      <c r="P166" s="159"/>
      <c r="Q166" s="159"/>
      <c r="R166" s="382" t="str">
        <f t="shared" si="13"/>
        <v/>
      </c>
      <c r="S166" s="404" t="str">
        <f t="shared" si="14"/>
        <v/>
      </c>
      <c r="T166" s="387" t="str">
        <f>IFERROR(IF(S166="Check Data ⚠","Check Data ⚠",VLOOKUP(S166,'G-4 Temporal multipliers'!$A$4:$C$37,3,FALSE)),"")</f>
        <v/>
      </c>
      <c r="U166" s="385" t="str">
        <f>IF(F166="","",VLOOKUP(F166,'G-3 Multipliers'!$A$2:$E$134,2,FALSE))</f>
        <v/>
      </c>
      <c r="V166" s="382" t="str">
        <f t="shared" si="17"/>
        <v/>
      </c>
      <c r="W166" s="382" t="str">
        <f>IF(E166="","",IF(AND(V166="Standard difficulty applied",O166&gt;P166),U166,IF(AND(V166="Low Difficulty - only applicable if all habitat created before losses ⚠",P166&gt;=O166),"Low",VLOOKUP(F166,'G-3 Multipliers'!$A$2:$E$134,4,FALSE))))</f>
        <v/>
      </c>
      <c r="X166" s="386" t="str">
        <f>IFERROR(IF(E166="","",VLOOKUP(W166, 'G-3 Multipliers'!$P$2:$Q$6,2,FALSE)),"")</f>
        <v/>
      </c>
      <c r="Y166" s="516"/>
      <c r="Z166" s="724" t="str">
        <f>IF(Y166="","",IF(VLOOKUP(Y166,'G-3 Multipliers'!$S$3:$T$10,2,FALSE)=0,"Spatial Data Missing ⚠",VLOOKUP(Y166,'G-3 Multipliers'!$S$3:$T$10,2,FALSE)))</f>
        <v/>
      </c>
      <c r="AA166" s="741" t="str">
        <f t="shared" si="15"/>
        <v/>
      </c>
      <c r="AB166" s="405" t="str">
        <f t="shared" si="16"/>
        <v/>
      </c>
      <c r="AC166" s="119"/>
      <c r="AD166" s="528"/>
      <c r="AE166" s="120"/>
      <c r="AF166" s="120"/>
    </row>
    <row r="167" spans="1:32" ht="15">
      <c r="A167" s="30" t="str">
        <f>IFERROR(INDEX('G-8 Condition Look up'!$I$4:$I$135,MATCH(F167,'G-8 Condition Look up'!$A$4:$A$135,0)),"")</f>
        <v/>
      </c>
      <c r="C167" s="75" t="str">
        <f>IFERROR(INDEX('G-1 All Habitats'!$AG$3:$AG$17,MATCH(D167,'G-1 All Habitats'!$AF$3:$AF$17,0)),"")</f>
        <v/>
      </c>
      <c r="D167" s="122"/>
      <c r="E167" s="165"/>
      <c r="F167" s="198" t="str">
        <f>IFERROR(INDEX('G-1 All Habitats'!$B$3:$B$135,MATCH(E167,'G-1 All Habitats'!$A$3:$A$135,0)),"")</f>
        <v/>
      </c>
      <c r="G167" s="300"/>
      <c r="H167" s="398" t="str">
        <f>IF(F167="","",VLOOKUP(F167,'G-1 All Habitats'!$B$2:$M$134,10,FALSE))</f>
        <v/>
      </c>
      <c r="I167" s="386" t="str">
        <f>IFERROR(VLOOKUP(H167,'G-1 All Habitats'!$V$3:$W$7,2,FALSE),"")</f>
        <v/>
      </c>
      <c r="J167" s="162"/>
      <c r="K167" s="386" t="str">
        <f>IFERROR(INDEX('G-8 Condition Look up'!$A$3:$H$135,MATCH(F167,'G-8 Condition Look up'!$A$3:$A$135,0),MATCH(J167,'G-8 Condition Look up'!$A$3:$H$3,0)),"")</f>
        <v/>
      </c>
      <c r="L167" s="114"/>
      <c r="M167" s="401" t="str">
        <f>IF(L167="","",IF(VLOOKUP(L167,'G-3 Multipliers'!$L$3:$N$6,2,FALSE)=0,"Spatial Data Missing ⚠",VLOOKUP(L167,'G-3 Multipliers'!$L$3:$N$6,2,FALSE)))</f>
        <v/>
      </c>
      <c r="N167" s="363" t="str">
        <f>IF(L167="","",IF(VLOOKUP(L167,'G-3 Multipliers'!$L$3:$N$6,3,FALSE)=0,"Spatial Data Missing ⚠",VLOOKUP(L167,'G-3 Multipliers'!$L$3:$N$6,3,FALSE)))</f>
        <v/>
      </c>
      <c r="O167" s="362" t="str">
        <f t="shared" si="12"/>
        <v/>
      </c>
      <c r="P167" s="159"/>
      <c r="Q167" s="159"/>
      <c r="R167" s="382" t="str">
        <f t="shared" si="13"/>
        <v/>
      </c>
      <c r="S167" s="404" t="str">
        <f t="shared" si="14"/>
        <v/>
      </c>
      <c r="T167" s="387" t="str">
        <f>IFERROR(IF(S167="Check Data ⚠","Check Data ⚠",VLOOKUP(S167,'G-4 Temporal multipliers'!$A$4:$C$37,3,FALSE)),"")</f>
        <v/>
      </c>
      <c r="U167" s="385" t="str">
        <f>IF(F167="","",VLOOKUP(F167,'G-3 Multipliers'!$A$2:$E$134,2,FALSE))</f>
        <v/>
      </c>
      <c r="V167" s="382" t="str">
        <f t="shared" si="17"/>
        <v/>
      </c>
      <c r="W167" s="382" t="str">
        <f>IF(E167="","",IF(AND(V167="Standard difficulty applied",O167&gt;P167),U167,IF(AND(V167="Low Difficulty - only applicable if all habitat created before losses ⚠",P167&gt;=O167),"Low",VLOOKUP(F167,'G-3 Multipliers'!$A$2:$E$134,4,FALSE))))</f>
        <v/>
      </c>
      <c r="X167" s="386" t="str">
        <f>IFERROR(IF(E167="","",VLOOKUP(W167, 'G-3 Multipliers'!$P$2:$Q$6,2,FALSE)),"")</f>
        <v/>
      </c>
      <c r="Y167" s="516"/>
      <c r="Z167" s="724" t="str">
        <f>IF(Y167="","",IF(VLOOKUP(Y167,'G-3 Multipliers'!$S$3:$T$10,2,FALSE)=0,"Spatial Data Missing ⚠",VLOOKUP(Y167,'G-3 Multipliers'!$S$3:$T$10,2,FALSE)))</f>
        <v/>
      </c>
      <c r="AA167" s="741" t="str">
        <f t="shared" si="15"/>
        <v/>
      </c>
      <c r="AB167" s="405" t="str">
        <f t="shared" si="16"/>
        <v/>
      </c>
      <c r="AC167" s="119"/>
      <c r="AD167" s="528"/>
      <c r="AE167" s="120"/>
      <c r="AF167" s="120"/>
    </row>
    <row r="168" spans="1:32" ht="15">
      <c r="A168" s="30" t="str">
        <f>IFERROR(INDEX('G-8 Condition Look up'!$I$4:$I$135,MATCH(F168,'G-8 Condition Look up'!$A$4:$A$135,0)),"")</f>
        <v/>
      </c>
      <c r="C168" s="75" t="str">
        <f>IFERROR(INDEX('G-1 All Habitats'!$AG$3:$AG$17,MATCH(D168,'G-1 All Habitats'!$AF$3:$AF$17,0)),"")</f>
        <v/>
      </c>
      <c r="D168" s="122"/>
      <c r="E168" s="165"/>
      <c r="F168" s="198" t="str">
        <f>IFERROR(INDEX('G-1 All Habitats'!$B$3:$B$135,MATCH(E168,'G-1 All Habitats'!$A$3:$A$135,0)),"")</f>
        <v/>
      </c>
      <c r="G168" s="300"/>
      <c r="H168" s="398" t="str">
        <f>IF(F168="","",VLOOKUP(F168,'G-1 All Habitats'!$B$2:$M$134,10,FALSE))</f>
        <v/>
      </c>
      <c r="I168" s="386" t="str">
        <f>IFERROR(VLOOKUP(H168,'G-1 All Habitats'!$V$3:$W$7,2,FALSE),"")</f>
        <v/>
      </c>
      <c r="J168" s="162"/>
      <c r="K168" s="386" t="str">
        <f>IFERROR(INDEX('G-8 Condition Look up'!$A$3:$H$135,MATCH(F168,'G-8 Condition Look up'!$A$3:$A$135,0),MATCH(J168,'G-8 Condition Look up'!$A$3:$H$3,0)),"")</f>
        <v/>
      </c>
      <c r="L168" s="114"/>
      <c r="M168" s="401" t="str">
        <f>IF(L168="","",IF(VLOOKUP(L168,'G-3 Multipliers'!$L$3:$N$6,2,FALSE)=0,"Spatial Data Missing ⚠",VLOOKUP(L168,'G-3 Multipliers'!$L$3:$N$6,2,FALSE)))</f>
        <v/>
      </c>
      <c r="N168" s="363" t="str">
        <f>IF(L168="","",IF(VLOOKUP(L168,'G-3 Multipliers'!$L$3:$N$6,3,FALSE)=0,"Spatial Data Missing ⚠",VLOOKUP(L168,'G-3 Multipliers'!$L$3:$N$6,3,FALSE)))</f>
        <v/>
      </c>
      <c r="O168" s="362" t="str">
        <f t="shared" si="12"/>
        <v/>
      </c>
      <c r="P168" s="159"/>
      <c r="Q168" s="159"/>
      <c r="R168" s="382" t="str">
        <f t="shared" si="13"/>
        <v/>
      </c>
      <c r="S168" s="404" t="str">
        <f t="shared" si="14"/>
        <v/>
      </c>
      <c r="T168" s="387" t="str">
        <f>IFERROR(IF(S168="Check Data ⚠","Check Data ⚠",VLOOKUP(S168,'G-4 Temporal multipliers'!$A$4:$C$37,3,FALSE)),"")</f>
        <v/>
      </c>
      <c r="U168" s="385" t="str">
        <f>IF(F168="","",VLOOKUP(F168,'G-3 Multipliers'!$A$2:$E$134,2,FALSE))</f>
        <v/>
      </c>
      <c r="V168" s="382" t="str">
        <f t="shared" si="17"/>
        <v/>
      </c>
      <c r="W168" s="382" t="str">
        <f>IF(E168="","",IF(AND(V168="Standard difficulty applied",O168&gt;P168),U168,IF(AND(V168="Low Difficulty - only applicable if all habitat created before losses ⚠",P168&gt;=O168),"Low",VLOOKUP(F168,'G-3 Multipliers'!$A$2:$E$134,4,FALSE))))</f>
        <v/>
      </c>
      <c r="X168" s="386" t="str">
        <f>IFERROR(IF(E168="","",VLOOKUP(W168, 'G-3 Multipliers'!$P$2:$Q$6,2,FALSE)),"")</f>
        <v/>
      </c>
      <c r="Y168" s="516"/>
      <c r="Z168" s="724" t="str">
        <f>IF(Y168="","",IF(VLOOKUP(Y168,'G-3 Multipliers'!$S$3:$T$10,2,FALSE)=0,"Spatial Data Missing ⚠",VLOOKUP(Y168,'G-3 Multipliers'!$S$3:$T$10,2,FALSE)))</f>
        <v/>
      </c>
      <c r="AA168" s="741" t="str">
        <f t="shared" si="15"/>
        <v/>
      </c>
      <c r="AB168" s="405" t="str">
        <f t="shared" si="16"/>
        <v/>
      </c>
      <c r="AC168" s="119"/>
      <c r="AD168" s="528"/>
      <c r="AE168" s="120"/>
      <c r="AF168" s="120"/>
    </row>
    <row r="169" spans="1:32" ht="15">
      <c r="A169" s="30" t="str">
        <f>IFERROR(INDEX('G-8 Condition Look up'!$I$4:$I$135,MATCH(F169,'G-8 Condition Look up'!$A$4:$A$135,0)),"")</f>
        <v/>
      </c>
      <c r="C169" s="75" t="str">
        <f>IFERROR(INDEX('G-1 All Habitats'!$AG$3:$AG$17,MATCH(D169,'G-1 All Habitats'!$AF$3:$AF$17,0)),"")</f>
        <v/>
      </c>
      <c r="D169" s="122"/>
      <c r="E169" s="165"/>
      <c r="F169" s="198" t="str">
        <f>IFERROR(INDEX('G-1 All Habitats'!$B$3:$B$135,MATCH(E169,'G-1 All Habitats'!$A$3:$A$135,0)),"")</f>
        <v/>
      </c>
      <c r="G169" s="300"/>
      <c r="H169" s="398" t="str">
        <f>IF(F169="","",VLOOKUP(F169,'G-1 All Habitats'!$B$2:$M$134,10,FALSE))</f>
        <v/>
      </c>
      <c r="I169" s="386" t="str">
        <f>IFERROR(VLOOKUP(H169,'G-1 All Habitats'!$V$3:$W$7,2,FALSE),"")</f>
        <v/>
      </c>
      <c r="J169" s="162"/>
      <c r="K169" s="386" t="str">
        <f>IFERROR(INDEX('G-8 Condition Look up'!$A$3:$H$135,MATCH(F169,'G-8 Condition Look up'!$A$3:$A$135,0),MATCH(J169,'G-8 Condition Look up'!$A$3:$H$3,0)),"")</f>
        <v/>
      </c>
      <c r="L169" s="114"/>
      <c r="M169" s="401" t="str">
        <f>IF(L169="","",IF(VLOOKUP(L169,'G-3 Multipliers'!$L$3:$N$6,2,FALSE)=0,"Spatial Data Missing ⚠",VLOOKUP(L169,'G-3 Multipliers'!$L$3:$N$6,2,FALSE)))</f>
        <v/>
      </c>
      <c r="N169" s="363" t="str">
        <f>IF(L169="","",IF(VLOOKUP(L169,'G-3 Multipliers'!$L$3:$N$6,3,FALSE)=0,"Spatial Data Missing ⚠",VLOOKUP(L169,'G-3 Multipliers'!$L$3:$N$6,3,FALSE)))</f>
        <v/>
      </c>
      <c r="O169" s="362" t="str">
        <f t="shared" si="12"/>
        <v/>
      </c>
      <c r="P169" s="159"/>
      <c r="Q169" s="159"/>
      <c r="R169" s="382" t="str">
        <f t="shared" si="13"/>
        <v/>
      </c>
      <c r="S169" s="404" t="str">
        <f t="shared" si="14"/>
        <v/>
      </c>
      <c r="T169" s="387" t="str">
        <f>IFERROR(IF(S169="Check Data ⚠","Check Data ⚠",VLOOKUP(S169,'G-4 Temporal multipliers'!$A$4:$C$37,3,FALSE)),"")</f>
        <v/>
      </c>
      <c r="U169" s="385" t="str">
        <f>IF(F169="","",VLOOKUP(F169,'G-3 Multipliers'!$A$2:$E$134,2,FALSE))</f>
        <v/>
      </c>
      <c r="V169" s="382" t="str">
        <f t="shared" si="17"/>
        <v/>
      </c>
      <c r="W169" s="382" t="str">
        <f>IF(E169="","",IF(AND(V169="Standard difficulty applied",O169&gt;P169),U169,IF(AND(V169="Low Difficulty - only applicable if all habitat created before losses ⚠",P169&gt;=O169),"Low",VLOOKUP(F169,'G-3 Multipliers'!$A$2:$E$134,4,FALSE))))</f>
        <v/>
      </c>
      <c r="X169" s="386" t="str">
        <f>IFERROR(IF(E169="","",VLOOKUP(W169, 'G-3 Multipliers'!$P$2:$Q$6,2,FALSE)),"")</f>
        <v/>
      </c>
      <c r="Y169" s="516"/>
      <c r="Z169" s="724" t="str">
        <f>IF(Y169="","",IF(VLOOKUP(Y169,'G-3 Multipliers'!$S$3:$T$10,2,FALSE)=0,"Spatial Data Missing ⚠",VLOOKUP(Y169,'G-3 Multipliers'!$S$3:$T$10,2,FALSE)))</f>
        <v/>
      </c>
      <c r="AA169" s="741" t="str">
        <f t="shared" si="15"/>
        <v/>
      </c>
      <c r="AB169" s="405" t="str">
        <f t="shared" si="16"/>
        <v/>
      </c>
      <c r="AC169" s="119"/>
      <c r="AD169" s="528"/>
      <c r="AE169" s="120"/>
      <c r="AF169" s="120"/>
    </row>
    <row r="170" spans="1:32" ht="15">
      <c r="A170" s="30" t="str">
        <f>IFERROR(INDEX('G-8 Condition Look up'!$I$4:$I$135,MATCH(F170,'G-8 Condition Look up'!$A$4:$A$135,0)),"")</f>
        <v/>
      </c>
      <c r="C170" s="75" t="str">
        <f>IFERROR(INDEX('G-1 All Habitats'!$AG$3:$AG$17,MATCH(D170,'G-1 All Habitats'!$AF$3:$AF$17,0)),"")</f>
        <v/>
      </c>
      <c r="D170" s="122"/>
      <c r="E170" s="165"/>
      <c r="F170" s="198" t="str">
        <f>IFERROR(INDEX('G-1 All Habitats'!$B$3:$B$135,MATCH(E170,'G-1 All Habitats'!$A$3:$A$135,0)),"")</f>
        <v/>
      </c>
      <c r="G170" s="300"/>
      <c r="H170" s="398" t="str">
        <f>IF(F170="","",VLOOKUP(F170,'G-1 All Habitats'!$B$2:$M$134,10,FALSE))</f>
        <v/>
      </c>
      <c r="I170" s="386" t="str">
        <f>IFERROR(VLOOKUP(H170,'G-1 All Habitats'!$V$3:$W$7,2,FALSE),"")</f>
        <v/>
      </c>
      <c r="J170" s="162"/>
      <c r="K170" s="386" t="str">
        <f>IFERROR(INDEX('G-8 Condition Look up'!$A$3:$H$135,MATCH(F170,'G-8 Condition Look up'!$A$3:$A$135,0),MATCH(J170,'G-8 Condition Look up'!$A$3:$H$3,0)),"")</f>
        <v/>
      </c>
      <c r="L170" s="114"/>
      <c r="M170" s="401" t="str">
        <f>IF(L170="","",IF(VLOOKUP(L170,'G-3 Multipliers'!$L$3:$N$6,2,FALSE)=0,"Spatial Data Missing ⚠",VLOOKUP(L170,'G-3 Multipliers'!$L$3:$N$6,2,FALSE)))</f>
        <v/>
      </c>
      <c r="N170" s="363" t="str">
        <f>IF(L170="","",IF(VLOOKUP(L170,'G-3 Multipliers'!$L$3:$N$6,3,FALSE)=0,"Spatial Data Missing ⚠",VLOOKUP(L170,'G-3 Multipliers'!$L$3:$N$6,3,FALSE)))</f>
        <v/>
      </c>
      <c r="O170" s="362" t="str">
        <f t="shared" si="12"/>
        <v/>
      </c>
      <c r="P170" s="159"/>
      <c r="Q170" s="159"/>
      <c r="R170" s="382" t="str">
        <f t="shared" si="13"/>
        <v/>
      </c>
      <c r="S170" s="404" t="str">
        <f t="shared" si="14"/>
        <v/>
      </c>
      <c r="T170" s="387" t="str">
        <f>IFERROR(IF(S170="Check Data ⚠","Check Data ⚠",VLOOKUP(S170,'G-4 Temporal multipliers'!$A$4:$C$37,3,FALSE)),"")</f>
        <v/>
      </c>
      <c r="U170" s="385" t="str">
        <f>IF(F170="","",VLOOKUP(F170,'G-3 Multipliers'!$A$2:$E$134,2,FALSE))</f>
        <v/>
      </c>
      <c r="V170" s="382" t="str">
        <f t="shared" si="17"/>
        <v/>
      </c>
      <c r="W170" s="382" t="str">
        <f>IF(E170="","",IF(AND(V170="Standard difficulty applied",O170&gt;P170),U170,IF(AND(V170="Low Difficulty - only applicable if all habitat created before losses ⚠",P170&gt;=O170),"Low",VLOOKUP(F170,'G-3 Multipliers'!$A$2:$E$134,4,FALSE))))</f>
        <v/>
      </c>
      <c r="X170" s="386" t="str">
        <f>IFERROR(IF(E170="","",VLOOKUP(W170, 'G-3 Multipliers'!$P$2:$Q$6,2,FALSE)),"")</f>
        <v/>
      </c>
      <c r="Y170" s="516"/>
      <c r="Z170" s="724" t="str">
        <f>IF(Y170="","",IF(VLOOKUP(Y170,'G-3 Multipliers'!$S$3:$T$10,2,FALSE)=0,"Spatial Data Missing ⚠",VLOOKUP(Y170,'G-3 Multipliers'!$S$3:$T$10,2,FALSE)))</f>
        <v/>
      </c>
      <c r="AA170" s="741" t="str">
        <f t="shared" si="15"/>
        <v/>
      </c>
      <c r="AB170" s="405" t="str">
        <f t="shared" si="16"/>
        <v/>
      </c>
      <c r="AC170" s="119"/>
      <c r="AD170" s="528"/>
      <c r="AE170" s="120"/>
      <c r="AF170" s="120"/>
    </row>
    <row r="171" spans="1:32" ht="15">
      <c r="A171" s="30" t="str">
        <f>IFERROR(INDEX('G-8 Condition Look up'!$I$4:$I$135,MATCH(F171,'G-8 Condition Look up'!$A$4:$A$135,0)),"")</f>
        <v/>
      </c>
      <c r="C171" s="75" t="str">
        <f>IFERROR(INDEX('G-1 All Habitats'!$AG$3:$AG$17,MATCH(D171,'G-1 All Habitats'!$AF$3:$AF$17,0)),"")</f>
        <v/>
      </c>
      <c r="D171" s="122"/>
      <c r="E171" s="165"/>
      <c r="F171" s="198" t="str">
        <f>IFERROR(INDEX('G-1 All Habitats'!$B$3:$B$135,MATCH(E171,'G-1 All Habitats'!$A$3:$A$135,0)),"")</f>
        <v/>
      </c>
      <c r="G171" s="300"/>
      <c r="H171" s="398" t="str">
        <f>IF(F171="","",VLOOKUP(F171,'G-1 All Habitats'!$B$2:$M$134,10,FALSE))</f>
        <v/>
      </c>
      <c r="I171" s="386" t="str">
        <f>IFERROR(VLOOKUP(H171,'G-1 All Habitats'!$V$3:$W$7,2,FALSE),"")</f>
        <v/>
      </c>
      <c r="J171" s="162"/>
      <c r="K171" s="386" t="str">
        <f>IFERROR(INDEX('G-8 Condition Look up'!$A$3:$H$135,MATCH(F171,'G-8 Condition Look up'!$A$3:$A$135,0),MATCH(J171,'G-8 Condition Look up'!$A$3:$H$3,0)),"")</f>
        <v/>
      </c>
      <c r="L171" s="114"/>
      <c r="M171" s="401" t="str">
        <f>IF(L171="","",IF(VLOOKUP(L171,'G-3 Multipliers'!$L$3:$N$6,2,FALSE)=0,"Spatial Data Missing ⚠",VLOOKUP(L171,'G-3 Multipliers'!$L$3:$N$6,2,FALSE)))</f>
        <v/>
      </c>
      <c r="N171" s="363" t="str">
        <f>IF(L171="","",IF(VLOOKUP(L171,'G-3 Multipliers'!$L$3:$N$6,3,FALSE)=0,"Spatial Data Missing ⚠",VLOOKUP(L171,'G-3 Multipliers'!$L$3:$N$6,3,FALSE)))</f>
        <v/>
      </c>
      <c r="O171" s="362" t="str">
        <f t="shared" si="12"/>
        <v/>
      </c>
      <c r="P171" s="159"/>
      <c r="Q171" s="159"/>
      <c r="R171" s="382" t="str">
        <f t="shared" si="13"/>
        <v/>
      </c>
      <c r="S171" s="404" t="str">
        <f t="shared" si="14"/>
        <v/>
      </c>
      <c r="T171" s="387" t="str">
        <f>IFERROR(IF(S171="Check Data ⚠","Check Data ⚠",VLOOKUP(S171,'G-4 Temporal multipliers'!$A$4:$C$37,3,FALSE)),"")</f>
        <v/>
      </c>
      <c r="U171" s="385" t="str">
        <f>IF(F171="","",VLOOKUP(F171,'G-3 Multipliers'!$A$2:$E$134,2,FALSE))</f>
        <v/>
      </c>
      <c r="V171" s="382" t="str">
        <f t="shared" si="17"/>
        <v/>
      </c>
      <c r="W171" s="382" t="str">
        <f>IF(E171="","",IF(AND(V171="Standard difficulty applied",O171&gt;P171),U171,IF(AND(V171="Low Difficulty - only applicable if all habitat created before losses ⚠",P171&gt;=O171),"Low",VLOOKUP(F171,'G-3 Multipliers'!$A$2:$E$134,4,FALSE))))</f>
        <v/>
      </c>
      <c r="X171" s="386" t="str">
        <f>IFERROR(IF(E171="","",VLOOKUP(W171, 'G-3 Multipliers'!$P$2:$Q$6,2,FALSE)),"")</f>
        <v/>
      </c>
      <c r="Y171" s="516"/>
      <c r="Z171" s="724" t="str">
        <f>IF(Y171="","",IF(VLOOKUP(Y171,'G-3 Multipliers'!$S$3:$T$10,2,FALSE)=0,"Spatial Data Missing ⚠",VLOOKUP(Y171,'G-3 Multipliers'!$S$3:$T$10,2,FALSE)))</f>
        <v/>
      </c>
      <c r="AA171" s="741" t="str">
        <f t="shared" si="15"/>
        <v/>
      </c>
      <c r="AB171" s="405" t="str">
        <f t="shared" si="16"/>
        <v/>
      </c>
      <c r="AC171" s="119"/>
      <c r="AD171" s="528"/>
      <c r="AE171" s="120"/>
      <c r="AF171" s="120"/>
    </row>
    <row r="172" spans="1:32" ht="15">
      <c r="A172" s="30" t="str">
        <f>IFERROR(INDEX('G-8 Condition Look up'!$I$4:$I$135,MATCH(F172,'G-8 Condition Look up'!$A$4:$A$135,0)),"")</f>
        <v/>
      </c>
      <c r="C172" s="75" t="str">
        <f>IFERROR(INDEX('G-1 All Habitats'!$AG$3:$AG$17,MATCH(D172,'G-1 All Habitats'!$AF$3:$AF$17,0)),"")</f>
        <v/>
      </c>
      <c r="D172" s="122"/>
      <c r="E172" s="165"/>
      <c r="F172" s="198" t="str">
        <f>IFERROR(INDEX('G-1 All Habitats'!$B$3:$B$135,MATCH(E172,'G-1 All Habitats'!$A$3:$A$135,0)),"")</f>
        <v/>
      </c>
      <c r="G172" s="300"/>
      <c r="H172" s="398" t="str">
        <f>IF(F172="","",VLOOKUP(F172,'G-1 All Habitats'!$B$2:$M$134,10,FALSE))</f>
        <v/>
      </c>
      <c r="I172" s="386" t="str">
        <f>IFERROR(VLOOKUP(H172,'G-1 All Habitats'!$V$3:$W$7,2,FALSE),"")</f>
        <v/>
      </c>
      <c r="J172" s="162"/>
      <c r="K172" s="386" t="str">
        <f>IFERROR(INDEX('G-8 Condition Look up'!$A$3:$H$135,MATCH(F172,'G-8 Condition Look up'!$A$3:$A$135,0),MATCH(J172,'G-8 Condition Look up'!$A$3:$H$3,0)),"")</f>
        <v/>
      </c>
      <c r="L172" s="114"/>
      <c r="M172" s="401" t="str">
        <f>IF(L172="","",IF(VLOOKUP(L172,'G-3 Multipliers'!$L$3:$N$6,2,FALSE)=0,"Spatial Data Missing ⚠",VLOOKUP(L172,'G-3 Multipliers'!$L$3:$N$6,2,FALSE)))</f>
        <v/>
      </c>
      <c r="N172" s="363" t="str">
        <f>IF(L172="","",IF(VLOOKUP(L172,'G-3 Multipliers'!$L$3:$N$6,3,FALSE)=0,"Spatial Data Missing ⚠",VLOOKUP(L172,'G-3 Multipliers'!$L$3:$N$6,3,FALSE)))</f>
        <v/>
      </c>
      <c r="O172" s="362" t="str">
        <f t="shared" si="12"/>
        <v/>
      </c>
      <c r="P172" s="159"/>
      <c r="Q172" s="159"/>
      <c r="R172" s="382" t="str">
        <f t="shared" si="13"/>
        <v/>
      </c>
      <c r="S172" s="404" t="str">
        <f t="shared" si="14"/>
        <v/>
      </c>
      <c r="T172" s="387" t="str">
        <f>IFERROR(IF(S172="Check Data ⚠","Check Data ⚠",VLOOKUP(S172,'G-4 Temporal multipliers'!$A$4:$C$37,3,FALSE)),"")</f>
        <v/>
      </c>
      <c r="U172" s="385" t="str">
        <f>IF(F172="","",VLOOKUP(F172,'G-3 Multipliers'!$A$2:$E$134,2,FALSE))</f>
        <v/>
      </c>
      <c r="V172" s="382" t="str">
        <f t="shared" si="17"/>
        <v/>
      </c>
      <c r="W172" s="382" t="str">
        <f>IF(E172="","",IF(AND(V172="Standard difficulty applied",O172&gt;P172),U172,IF(AND(V172="Low Difficulty - only applicable if all habitat created before losses ⚠",P172&gt;=O172),"Low",VLOOKUP(F172,'G-3 Multipliers'!$A$2:$E$134,4,FALSE))))</f>
        <v/>
      </c>
      <c r="X172" s="386" t="str">
        <f>IFERROR(IF(E172="","",VLOOKUP(W172, 'G-3 Multipliers'!$P$2:$Q$6,2,FALSE)),"")</f>
        <v/>
      </c>
      <c r="Y172" s="516"/>
      <c r="Z172" s="724" t="str">
        <f>IF(Y172="","",IF(VLOOKUP(Y172,'G-3 Multipliers'!$S$3:$T$10,2,FALSE)=0,"Spatial Data Missing ⚠",VLOOKUP(Y172,'G-3 Multipliers'!$S$3:$T$10,2,FALSE)))</f>
        <v/>
      </c>
      <c r="AA172" s="741" t="str">
        <f t="shared" si="15"/>
        <v/>
      </c>
      <c r="AB172" s="405" t="str">
        <f t="shared" si="16"/>
        <v/>
      </c>
      <c r="AC172" s="119"/>
      <c r="AD172" s="528"/>
      <c r="AE172" s="120"/>
      <c r="AF172" s="120"/>
    </row>
    <row r="173" spans="1:32" ht="15">
      <c r="A173" s="30" t="str">
        <f>IFERROR(INDEX('G-8 Condition Look up'!$I$4:$I$135,MATCH(F173,'G-8 Condition Look up'!$A$4:$A$135,0)),"")</f>
        <v/>
      </c>
      <c r="C173" s="75" t="str">
        <f>IFERROR(INDEX('G-1 All Habitats'!$AG$3:$AG$17,MATCH(D173,'G-1 All Habitats'!$AF$3:$AF$17,0)),"")</f>
        <v/>
      </c>
      <c r="D173" s="122"/>
      <c r="E173" s="165"/>
      <c r="F173" s="198" t="str">
        <f>IFERROR(INDEX('G-1 All Habitats'!$B$3:$B$135,MATCH(E173,'G-1 All Habitats'!$A$3:$A$135,0)),"")</f>
        <v/>
      </c>
      <c r="G173" s="300"/>
      <c r="H173" s="398" t="str">
        <f>IF(F173="","",VLOOKUP(F173,'G-1 All Habitats'!$B$2:$M$134,10,FALSE))</f>
        <v/>
      </c>
      <c r="I173" s="386" t="str">
        <f>IFERROR(VLOOKUP(H173,'G-1 All Habitats'!$V$3:$W$7,2,FALSE),"")</f>
        <v/>
      </c>
      <c r="J173" s="162"/>
      <c r="K173" s="386" t="str">
        <f>IFERROR(INDEX('G-8 Condition Look up'!$A$3:$H$135,MATCH(F173,'G-8 Condition Look up'!$A$3:$A$135,0),MATCH(J173,'G-8 Condition Look up'!$A$3:$H$3,0)),"")</f>
        <v/>
      </c>
      <c r="L173" s="114"/>
      <c r="M173" s="401" t="str">
        <f>IF(L173="","",IF(VLOOKUP(L173,'G-3 Multipliers'!$L$3:$N$6,2,FALSE)=0,"Spatial Data Missing ⚠",VLOOKUP(L173,'G-3 Multipliers'!$L$3:$N$6,2,FALSE)))</f>
        <v/>
      </c>
      <c r="N173" s="363" t="str">
        <f>IF(L173="","",IF(VLOOKUP(L173,'G-3 Multipliers'!$L$3:$N$6,3,FALSE)=0,"Spatial Data Missing ⚠",VLOOKUP(L173,'G-3 Multipliers'!$L$3:$N$6,3,FALSE)))</f>
        <v/>
      </c>
      <c r="O173" s="362" t="str">
        <f t="shared" si="12"/>
        <v/>
      </c>
      <c r="P173" s="159"/>
      <c r="Q173" s="159"/>
      <c r="R173" s="382" t="str">
        <f t="shared" si="13"/>
        <v/>
      </c>
      <c r="S173" s="404" t="str">
        <f t="shared" si="14"/>
        <v/>
      </c>
      <c r="T173" s="387" t="str">
        <f>IFERROR(IF(S173="Check Data ⚠","Check Data ⚠",VLOOKUP(S173,'G-4 Temporal multipliers'!$A$4:$C$37,3,FALSE)),"")</f>
        <v/>
      </c>
      <c r="U173" s="385" t="str">
        <f>IF(F173="","",VLOOKUP(F173,'G-3 Multipliers'!$A$2:$E$134,2,FALSE))</f>
        <v/>
      </c>
      <c r="V173" s="382" t="str">
        <f t="shared" si="17"/>
        <v/>
      </c>
      <c r="W173" s="382" t="str">
        <f>IF(E173="","",IF(AND(V173="Standard difficulty applied",O173&gt;P173),U173,IF(AND(V173="Low Difficulty - only applicable if all habitat created before losses ⚠",P173&gt;=O173),"Low",VLOOKUP(F173,'G-3 Multipliers'!$A$2:$E$134,4,FALSE))))</f>
        <v/>
      </c>
      <c r="X173" s="386" t="str">
        <f>IFERROR(IF(E173="","",VLOOKUP(W173, 'G-3 Multipliers'!$P$2:$Q$6,2,FALSE)),"")</f>
        <v/>
      </c>
      <c r="Y173" s="516"/>
      <c r="Z173" s="724" t="str">
        <f>IF(Y173="","",IF(VLOOKUP(Y173,'G-3 Multipliers'!$S$3:$T$10,2,FALSE)=0,"Spatial Data Missing ⚠",VLOOKUP(Y173,'G-3 Multipliers'!$S$3:$T$10,2,FALSE)))</f>
        <v/>
      </c>
      <c r="AA173" s="741" t="str">
        <f t="shared" si="15"/>
        <v/>
      </c>
      <c r="AB173" s="405" t="str">
        <f t="shared" si="16"/>
        <v/>
      </c>
      <c r="AC173" s="119"/>
      <c r="AD173" s="528"/>
      <c r="AE173" s="120"/>
      <c r="AF173" s="120"/>
    </row>
    <row r="174" spans="1:32" ht="15">
      <c r="A174" s="30" t="str">
        <f>IFERROR(INDEX('G-8 Condition Look up'!$I$4:$I$135,MATCH(F174,'G-8 Condition Look up'!$A$4:$A$135,0)),"")</f>
        <v/>
      </c>
      <c r="C174" s="75" t="str">
        <f>IFERROR(INDEX('G-1 All Habitats'!$AG$3:$AG$17,MATCH(D174,'G-1 All Habitats'!$AF$3:$AF$17,0)),"")</f>
        <v/>
      </c>
      <c r="D174" s="122"/>
      <c r="E174" s="165"/>
      <c r="F174" s="198" t="str">
        <f>IFERROR(INDEX('G-1 All Habitats'!$B$3:$B$135,MATCH(E174,'G-1 All Habitats'!$A$3:$A$135,0)),"")</f>
        <v/>
      </c>
      <c r="G174" s="300"/>
      <c r="H174" s="398" t="str">
        <f>IF(F174="","",VLOOKUP(F174,'G-1 All Habitats'!$B$2:$M$134,10,FALSE))</f>
        <v/>
      </c>
      <c r="I174" s="386" t="str">
        <f>IFERROR(VLOOKUP(H174,'G-1 All Habitats'!$V$3:$W$7,2,FALSE),"")</f>
        <v/>
      </c>
      <c r="J174" s="162"/>
      <c r="K174" s="386" t="str">
        <f>IFERROR(INDEX('G-8 Condition Look up'!$A$3:$H$135,MATCH(F174,'G-8 Condition Look up'!$A$3:$A$135,0),MATCH(J174,'G-8 Condition Look up'!$A$3:$H$3,0)),"")</f>
        <v/>
      </c>
      <c r="L174" s="114"/>
      <c r="M174" s="401" t="str">
        <f>IF(L174="","",IF(VLOOKUP(L174,'G-3 Multipliers'!$L$3:$N$6,2,FALSE)=0,"Spatial Data Missing ⚠",VLOOKUP(L174,'G-3 Multipliers'!$L$3:$N$6,2,FALSE)))</f>
        <v/>
      </c>
      <c r="N174" s="363" t="str">
        <f>IF(L174="","",IF(VLOOKUP(L174,'G-3 Multipliers'!$L$3:$N$6,3,FALSE)=0,"Spatial Data Missing ⚠",VLOOKUP(L174,'G-3 Multipliers'!$L$3:$N$6,3,FALSE)))</f>
        <v/>
      </c>
      <c r="O174" s="362" t="str">
        <f t="shared" si="12"/>
        <v/>
      </c>
      <c r="P174" s="159"/>
      <c r="Q174" s="159"/>
      <c r="R174" s="382" t="str">
        <f t="shared" si="13"/>
        <v/>
      </c>
      <c r="S174" s="404" t="str">
        <f t="shared" si="14"/>
        <v/>
      </c>
      <c r="T174" s="387" t="str">
        <f>IFERROR(IF(S174="Check Data ⚠","Check Data ⚠",VLOOKUP(S174,'G-4 Temporal multipliers'!$A$4:$C$37,3,FALSE)),"")</f>
        <v/>
      </c>
      <c r="U174" s="385" t="str">
        <f>IF(F174="","",VLOOKUP(F174,'G-3 Multipliers'!$A$2:$E$134,2,FALSE))</f>
        <v/>
      </c>
      <c r="V174" s="382" t="str">
        <f t="shared" si="17"/>
        <v/>
      </c>
      <c r="W174" s="382" t="str">
        <f>IF(E174="","",IF(AND(V174="Standard difficulty applied",O174&gt;P174),U174,IF(AND(V174="Low Difficulty - only applicable if all habitat created before losses ⚠",P174&gt;=O174),"Low",VLOOKUP(F174,'G-3 Multipliers'!$A$2:$E$134,4,FALSE))))</f>
        <v/>
      </c>
      <c r="X174" s="386" t="str">
        <f>IFERROR(IF(E174="","",VLOOKUP(W174, 'G-3 Multipliers'!$P$2:$Q$6,2,FALSE)),"")</f>
        <v/>
      </c>
      <c r="Y174" s="516"/>
      <c r="Z174" s="724" t="str">
        <f>IF(Y174="","",IF(VLOOKUP(Y174,'G-3 Multipliers'!$S$3:$T$10,2,FALSE)=0,"Spatial Data Missing ⚠",VLOOKUP(Y174,'G-3 Multipliers'!$S$3:$T$10,2,FALSE)))</f>
        <v/>
      </c>
      <c r="AA174" s="741" t="str">
        <f t="shared" si="15"/>
        <v/>
      </c>
      <c r="AB174" s="405" t="str">
        <f t="shared" si="16"/>
        <v/>
      </c>
      <c r="AC174" s="119"/>
      <c r="AD174" s="528"/>
      <c r="AE174" s="120"/>
      <c r="AF174" s="120"/>
    </row>
    <row r="175" spans="1:32" ht="15">
      <c r="A175" s="30" t="str">
        <f>IFERROR(INDEX('G-8 Condition Look up'!$I$4:$I$135,MATCH(F175,'G-8 Condition Look up'!$A$4:$A$135,0)),"")</f>
        <v/>
      </c>
      <c r="C175" s="75" t="str">
        <f>IFERROR(INDEX('G-1 All Habitats'!$AG$3:$AG$17,MATCH(D175,'G-1 All Habitats'!$AF$3:$AF$17,0)),"")</f>
        <v/>
      </c>
      <c r="D175" s="122"/>
      <c r="E175" s="165"/>
      <c r="F175" s="198" t="str">
        <f>IFERROR(INDEX('G-1 All Habitats'!$B$3:$B$135,MATCH(E175,'G-1 All Habitats'!$A$3:$A$135,0)),"")</f>
        <v/>
      </c>
      <c r="G175" s="300"/>
      <c r="H175" s="398" t="str">
        <f>IF(F175="","",VLOOKUP(F175,'G-1 All Habitats'!$B$2:$M$134,10,FALSE))</f>
        <v/>
      </c>
      <c r="I175" s="386" t="str">
        <f>IFERROR(VLOOKUP(H175,'G-1 All Habitats'!$V$3:$W$7,2,FALSE),"")</f>
        <v/>
      </c>
      <c r="J175" s="162"/>
      <c r="K175" s="386" t="str">
        <f>IFERROR(INDEX('G-8 Condition Look up'!$A$3:$H$135,MATCH(F175,'G-8 Condition Look up'!$A$3:$A$135,0),MATCH(J175,'G-8 Condition Look up'!$A$3:$H$3,0)),"")</f>
        <v/>
      </c>
      <c r="L175" s="114"/>
      <c r="M175" s="401" t="str">
        <f>IF(L175="","",IF(VLOOKUP(L175,'G-3 Multipliers'!$L$3:$N$6,2,FALSE)=0,"Spatial Data Missing ⚠",VLOOKUP(L175,'G-3 Multipliers'!$L$3:$N$6,2,FALSE)))</f>
        <v/>
      </c>
      <c r="N175" s="363" t="str">
        <f>IF(L175="","",IF(VLOOKUP(L175,'G-3 Multipliers'!$L$3:$N$6,3,FALSE)=0,"Spatial Data Missing ⚠",VLOOKUP(L175,'G-3 Multipliers'!$L$3:$N$6,3,FALSE)))</f>
        <v/>
      </c>
      <c r="O175" s="362" t="str">
        <f t="shared" si="12"/>
        <v/>
      </c>
      <c r="P175" s="159"/>
      <c r="Q175" s="159"/>
      <c r="R175" s="382" t="str">
        <f t="shared" si="13"/>
        <v/>
      </c>
      <c r="S175" s="404" t="str">
        <f t="shared" si="14"/>
        <v/>
      </c>
      <c r="T175" s="387" t="str">
        <f>IFERROR(IF(S175="Check Data ⚠","Check Data ⚠",VLOOKUP(S175,'G-4 Temporal multipliers'!$A$4:$C$37,3,FALSE)),"")</f>
        <v/>
      </c>
      <c r="U175" s="385" t="str">
        <f>IF(F175="","",VLOOKUP(F175,'G-3 Multipliers'!$A$2:$E$134,2,FALSE))</f>
        <v/>
      </c>
      <c r="V175" s="382" t="str">
        <f t="shared" si="17"/>
        <v/>
      </c>
      <c r="W175" s="382" t="str">
        <f>IF(E175="","",IF(AND(V175="Standard difficulty applied",O175&gt;P175),U175,IF(AND(V175="Low Difficulty - only applicable if all habitat created before losses ⚠",P175&gt;=O175),"Low",VLOOKUP(F175,'G-3 Multipliers'!$A$2:$E$134,4,FALSE))))</f>
        <v/>
      </c>
      <c r="X175" s="386" t="str">
        <f>IFERROR(IF(E175="","",VLOOKUP(W175, 'G-3 Multipliers'!$P$2:$Q$6,2,FALSE)),"")</f>
        <v/>
      </c>
      <c r="Y175" s="516"/>
      <c r="Z175" s="724" t="str">
        <f>IF(Y175="","",IF(VLOOKUP(Y175,'G-3 Multipliers'!$S$3:$T$10,2,FALSE)=0,"Spatial Data Missing ⚠",VLOOKUP(Y175,'G-3 Multipliers'!$S$3:$T$10,2,FALSE)))</f>
        <v/>
      </c>
      <c r="AA175" s="741" t="str">
        <f t="shared" si="15"/>
        <v/>
      </c>
      <c r="AB175" s="405" t="str">
        <f t="shared" si="16"/>
        <v/>
      </c>
      <c r="AC175" s="119"/>
      <c r="AD175" s="528"/>
      <c r="AE175" s="120"/>
      <c r="AF175" s="120"/>
    </row>
    <row r="176" spans="1:32" ht="15">
      <c r="A176" s="30" t="str">
        <f>IFERROR(INDEX('G-8 Condition Look up'!$I$4:$I$135,MATCH(F176,'G-8 Condition Look up'!$A$4:$A$135,0)),"")</f>
        <v/>
      </c>
      <c r="C176" s="75" t="str">
        <f>IFERROR(INDEX('G-1 All Habitats'!$AG$3:$AG$17,MATCH(D176,'G-1 All Habitats'!$AF$3:$AF$17,0)),"")</f>
        <v/>
      </c>
      <c r="D176" s="122"/>
      <c r="E176" s="165"/>
      <c r="F176" s="198" t="str">
        <f>IFERROR(INDEX('G-1 All Habitats'!$B$3:$B$135,MATCH(E176,'G-1 All Habitats'!$A$3:$A$135,0)),"")</f>
        <v/>
      </c>
      <c r="G176" s="300"/>
      <c r="H176" s="398" t="str">
        <f>IF(F176="","",VLOOKUP(F176,'G-1 All Habitats'!$B$2:$M$134,10,FALSE))</f>
        <v/>
      </c>
      <c r="I176" s="386" t="str">
        <f>IFERROR(VLOOKUP(H176,'G-1 All Habitats'!$V$3:$W$7,2,FALSE),"")</f>
        <v/>
      </c>
      <c r="J176" s="162"/>
      <c r="K176" s="386" t="str">
        <f>IFERROR(INDEX('G-8 Condition Look up'!$A$3:$H$135,MATCH(F176,'G-8 Condition Look up'!$A$3:$A$135,0),MATCH(J176,'G-8 Condition Look up'!$A$3:$H$3,0)),"")</f>
        <v/>
      </c>
      <c r="L176" s="114"/>
      <c r="M176" s="401" t="str">
        <f>IF(L176="","",IF(VLOOKUP(L176,'G-3 Multipliers'!$L$3:$N$6,2,FALSE)=0,"Spatial Data Missing ⚠",VLOOKUP(L176,'G-3 Multipliers'!$L$3:$N$6,2,FALSE)))</f>
        <v/>
      </c>
      <c r="N176" s="363" t="str">
        <f>IF(L176="","",IF(VLOOKUP(L176,'G-3 Multipliers'!$L$3:$N$6,3,FALSE)=0,"Spatial Data Missing ⚠",VLOOKUP(L176,'G-3 Multipliers'!$L$3:$N$6,3,FALSE)))</f>
        <v/>
      </c>
      <c r="O176" s="362" t="str">
        <f t="shared" si="12"/>
        <v/>
      </c>
      <c r="P176" s="159"/>
      <c r="Q176" s="159"/>
      <c r="R176" s="382" t="str">
        <f t="shared" si="13"/>
        <v/>
      </c>
      <c r="S176" s="404" t="str">
        <f t="shared" si="14"/>
        <v/>
      </c>
      <c r="T176" s="387" t="str">
        <f>IFERROR(IF(S176="Check Data ⚠","Check Data ⚠",VLOOKUP(S176,'G-4 Temporal multipliers'!$A$4:$C$37,3,FALSE)),"")</f>
        <v/>
      </c>
      <c r="U176" s="385" t="str">
        <f>IF(F176="","",VLOOKUP(F176,'G-3 Multipliers'!$A$2:$E$134,2,FALSE))</f>
        <v/>
      </c>
      <c r="V176" s="382" t="str">
        <f t="shared" si="17"/>
        <v/>
      </c>
      <c r="W176" s="382" t="str">
        <f>IF(E176="","",IF(AND(V176="Standard difficulty applied",O176&gt;P176),U176,IF(AND(V176="Low Difficulty - only applicable if all habitat created before losses ⚠",P176&gt;=O176),"Low",VLOOKUP(F176,'G-3 Multipliers'!$A$2:$E$134,4,FALSE))))</f>
        <v/>
      </c>
      <c r="X176" s="386" t="str">
        <f>IFERROR(IF(E176="","",VLOOKUP(W176, 'G-3 Multipliers'!$P$2:$Q$6,2,FALSE)),"")</f>
        <v/>
      </c>
      <c r="Y176" s="516"/>
      <c r="Z176" s="724" t="str">
        <f>IF(Y176="","",IF(VLOOKUP(Y176,'G-3 Multipliers'!$S$3:$T$10,2,FALSE)=0,"Spatial Data Missing ⚠",VLOOKUP(Y176,'G-3 Multipliers'!$S$3:$T$10,2,FALSE)))</f>
        <v/>
      </c>
      <c r="AA176" s="741" t="str">
        <f t="shared" si="15"/>
        <v/>
      </c>
      <c r="AB176" s="405" t="str">
        <f t="shared" si="16"/>
        <v/>
      </c>
      <c r="AC176" s="119"/>
      <c r="AD176" s="528"/>
      <c r="AE176" s="120"/>
      <c r="AF176" s="120"/>
    </row>
    <row r="177" spans="1:32" ht="15">
      <c r="A177" s="30" t="str">
        <f>IFERROR(INDEX('G-8 Condition Look up'!$I$4:$I$135,MATCH(F177,'G-8 Condition Look up'!$A$4:$A$135,0)),"")</f>
        <v/>
      </c>
      <c r="C177" s="75" t="str">
        <f>IFERROR(INDEX('G-1 All Habitats'!$AG$3:$AG$17,MATCH(D177,'G-1 All Habitats'!$AF$3:$AF$17,0)),"")</f>
        <v/>
      </c>
      <c r="D177" s="122"/>
      <c r="E177" s="165"/>
      <c r="F177" s="198" t="str">
        <f>IFERROR(INDEX('G-1 All Habitats'!$B$3:$B$135,MATCH(E177,'G-1 All Habitats'!$A$3:$A$135,0)),"")</f>
        <v/>
      </c>
      <c r="G177" s="300"/>
      <c r="H177" s="398" t="str">
        <f>IF(F177="","",VLOOKUP(F177,'G-1 All Habitats'!$B$2:$M$134,10,FALSE))</f>
        <v/>
      </c>
      <c r="I177" s="386" t="str">
        <f>IFERROR(VLOOKUP(H177,'G-1 All Habitats'!$V$3:$W$7,2,FALSE),"")</f>
        <v/>
      </c>
      <c r="J177" s="162"/>
      <c r="K177" s="386" t="str">
        <f>IFERROR(INDEX('G-8 Condition Look up'!$A$3:$H$135,MATCH(F177,'G-8 Condition Look up'!$A$3:$A$135,0),MATCH(J177,'G-8 Condition Look up'!$A$3:$H$3,0)),"")</f>
        <v/>
      </c>
      <c r="L177" s="114"/>
      <c r="M177" s="401" t="str">
        <f>IF(L177="","",IF(VLOOKUP(L177,'G-3 Multipliers'!$L$3:$N$6,2,FALSE)=0,"Spatial Data Missing ⚠",VLOOKUP(L177,'G-3 Multipliers'!$L$3:$N$6,2,FALSE)))</f>
        <v/>
      </c>
      <c r="N177" s="363" t="str">
        <f>IF(L177="","",IF(VLOOKUP(L177,'G-3 Multipliers'!$L$3:$N$6,3,FALSE)=0,"Spatial Data Missing ⚠",VLOOKUP(L177,'G-3 Multipliers'!$L$3:$N$6,3,FALSE)))</f>
        <v/>
      </c>
      <c r="O177" s="362" t="str">
        <f t="shared" si="12"/>
        <v/>
      </c>
      <c r="P177" s="159"/>
      <c r="Q177" s="159"/>
      <c r="R177" s="382" t="str">
        <f t="shared" si="13"/>
        <v/>
      </c>
      <c r="S177" s="404" t="str">
        <f t="shared" si="14"/>
        <v/>
      </c>
      <c r="T177" s="387" t="str">
        <f>IFERROR(IF(S177="Check Data ⚠","Check Data ⚠",VLOOKUP(S177,'G-4 Temporal multipliers'!$A$4:$C$37,3,FALSE)),"")</f>
        <v/>
      </c>
      <c r="U177" s="385" t="str">
        <f>IF(F177="","",VLOOKUP(F177,'G-3 Multipliers'!$A$2:$E$134,2,FALSE))</f>
        <v/>
      </c>
      <c r="V177" s="382" t="str">
        <f t="shared" si="17"/>
        <v/>
      </c>
      <c r="W177" s="382" t="str">
        <f>IF(E177="","",IF(AND(V177="Standard difficulty applied",O177&gt;P177),U177,IF(AND(V177="Low Difficulty - only applicable if all habitat created before losses ⚠",P177&gt;=O177),"Low",VLOOKUP(F177,'G-3 Multipliers'!$A$2:$E$134,4,FALSE))))</f>
        <v/>
      </c>
      <c r="X177" s="386" t="str">
        <f>IFERROR(IF(E177="","",VLOOKUP(W177, 'G-3 Multipliers'!$P$2:$Q$6,2,FALSE)),"")</f>
        <v/>
      </c>
      <c r="Y177" s="516"/>
      <c r="Z177" s="724" t="str">
        <f>IF(Y177="","",IF(VLOOKUP(Y177,'G-3 Multipliers'!$S$3:$T$10,2,FALSE)=0,"Spatial Data Missing ⚠",VLOOKUP(Y177,'G-3 Multipliers'!$S$3:$T$10,2,FALSE)))</f>
        <v/>
      </c>
      <c r="AA177" s="741" t="str">
        <f t="shared" si="15"/>
        <v/>
      </c>
      <c r="AB177" s="405" t="str">
        <f t="shared" si="16"/>
        <v/>
      </c>
      <c r="AC177" s="119"/>
      <c r="AD177" s="528"/>
      <c r="AE177" s="120"/>
      <c r="AF177" s="120"/>
    </row>
    <row r="178" spans="1:32" ht="15">
      <c r="A178" s="30" t="str">
        <f>IFERROR(INDEX('G-8 Condition Look up'!$I$4:$I$135,MATCH(F178,'G-8 Condition Look up'!$A$4:$A$135,0)),"")</f>
        <v/>
      </c>
      <c r="C178" s="75" t="str">
        <f>IFERROR(INDEX('G-1 All Habitats'!$AG$3:$AG$17,MATCH(D178,'G-1 All Habitats'!$AF$3:$AF$17,0)),"")</f>
        <v/>
      </c>
      <c r="D178" s="122"/>
      <c r="E178" s="165"/>
      <c r="F178" s="198" t="str">
        <f>IFERROR(INDEX('G-1 All Habitats'!$B$3:$B$135,MATCH(E178,'G-1 All Habitats'!$A$3:$A$135,0)),"")</f>
        <v/>
      </c>
      <c r="G178" s="300"/>
      <c r="H178" s="398" t="str">
        <f>IF(F178="","",VLOOKUP(F178,'G-1 All Habitats'!$B$2:$M$134,10,FALSE))</f>
        <v/>
      </c>
      <c r="I178" s="386" t="str">
        <f>IFERROR(VLOOKUP(H178,'G-1 All Habitats'!$V$3:$W$7,2,FALSE),"")</f>
        <v/>
      </c>
      <c r="J178" s="162"/>
      <c r="K178" s="386" t="str">
        <f>IFERROR(INDEX('G-8 Condition Look up'!$A$3:$H$135,MATCH(F178,'G-8 Condition Look up'!$A$3:$A$135,0),MATCH(J178,'G-8 Condition Look up'!$A$3:$H$3,0)),"")</f>
        <v/>
      </c>
      <c r="L178" s="114"/>
      <c r="M178" s="401" t="str">
        <f>IF(L178="","",IF(VLOOKUP(L178,'G-3 Multipliers'!$L$3:$N$6,2,FALSE)=0,"Spatial Data Missing ⚠",VLOOKUP(L178,'G-3 Multipliers'!$L$3:$N$6,2,FALSE)))</f>
        <v/>
      </c>
      <c r="N178" s="363" t="str">
        <f>IF(L178="","",IF(VLOOKUP(L178,'G-3 Multipliers'!$L$3:$N$6,3,FALSE)=0,"Spatial Data Missing ⚠",VLOOKUP(L178,'G-3 Multipliers'!$L$3:$N$6,3,FALSE)))</f>
        <v/>
      </c>
      <c r="O178" s="362" t="str">
        <f t="shared" si="12"/>
        <v/>
      </c>
      <c r="P178" s="159"/>
      <c r="Q178" s="159"/>
      <c r="R178" s="382" t="str">
        <f t="shared" si="13"/>
        <v/>
      </c>
      <c r="S178" s="404" t="str">
        <f t="shared" si="14"/>
        <v/>
      </c>
      <c r="T178" s="387" t="str">
        <f>IFERROR(IF(S178="Check Data ⚠","Check Data ⚠",VLOOKUP(S178,'G-4 Temporal multipliers'!$A$4:$C$37,3,FALSE)),"")</f>
        <v/>
      </c>
      <c r="U178" s="385" t="str">
        <f>IF(F178="","",VLOOKUP(F178,'G-3 Multipliers'!$A$2:$E$134,2,FALSE))</f>
        <v/>
      </c>
      <c r="V178" s="382" t="str">
        <f t="shared" si="17"/>
        <v/>
      </c>
      <c r="W178" s="382" t="str">
        <f>IF(E178="","",IF(AND(V178="Standard difficulty applied",O178&gt;P178),U178,IF(AND(V178="Low Difficulty - only applicable if all habitat created before losses ⚠",P178&gt;=O178),"Low",VLOOKUP(F178,'G-3 Multipliers'!$A$2:$E$134,4,FALSE))))</f>
        <v/>
      </c>
      <c r="X178" s="386" t="str">
        <f>IFERROR(IF(E178="","",VLOOKUP(W178, 'G-3 Multipliers'!$P$2:$Q$6,2,FALSE)),"")</f>
        <v/>
      </c>
      <c r="Y178" s="516"/>
      <c r="Z178" s="724" t="str">
        <f>IF(Y178="","",IF(VLOOKUP(Y178,'G-3 Multipliers'!$S$3:$T$10,2,FALSE)=0,"Spatial Data Missing ⚠",VLOOKUP(Y178,'G-3 Multipliers'!$S$3:$T$10,2,FALSE)))</f>
        <v/>
      </c>
      <c r="AA178" s="741" t="str">
        <f t="shared" si="15"/>
        <v/>
      </c>
      <c r="AB178" s="405" t="str">
        <f t="shared" si="16"/>
        <v/>
      </c>
      <c r="AC178" s="119"/>
      <c r="AD178" s="528"/>
      <c r="AE178" s="120"/>
      <c r="AF178" s="120"/>
    </row>
    <row r="179" spans="1:32" ht="15">
      <c r="A179" s="30" t="str">
        <f>IFERROR(INDEX('G-8 Condition Look up'!$I$4:$I$135,MATCH(F179,'G-8 Condition Look up'!$A$4:$A$135,0)),"")</f>
        <v/>
      </c>
      <c r="C179" s="75" t="str">
        <f>IFERROR(INDEX('G-1 All Habitats'!$AG$3:$AG$17,MATCH(D179,'G-1 All Habitats'!$AF$3:$AF$17,0)),"")</f>
        <v/>
      </c>
      <c r="D179" s="122"/>
      <c r="E179" s="165"/>
      <c r="F179" s="198" t="str">
        <f>IFERROR(INDEX('G-1 All Habitats'!$B$3:$B$135,MATCH(E179,'G-1 All Habitats'!$A$3:$A$135,0)),"")</f>
        <v/>
      </c>
      <c r="G179" s="300"/>
      <c r="H179" s="398" t="str">
        <f>IF(F179="","",VLOOKUP(F179,'G-1 All Habitats'!$B$2:$M$134,10,FALSE))</f>
        <v/>
      </c>
      <c r="I179" s="386" t="str">
        <f>IFERROR(VLOOKUP(H179,'G-1 All Habitats'!$V$3:$W$7,2,FALSE),"")</f>
        <v/>
      </c>
      <c r="J179" s="162"/>
      <c r="K179" s="386" t="str">
        <f>IFERROR(INDEX('G-8 Condition Look up'!$A$3:$H$135,MATCH(F179,'G-8 Condition Look up'!$A$3:$A$135,0),MATCH(J179,'G-8 Condition Look up'!$A$3:$H$3,0)),"")</f>
        <v/>
      </c>
      <c r="L179" s="114"/>
      <c r="M179" s="401" t="str">
        <f>IF(L179="","",IF(VLOOKUP(L179,'G-3 Multipliers'!$L$3:$N$6,2,FALSE)=0,"Spatial Data Missing ⚠",VLOOKUP(L179,'G-3 Multipliers'!$L$3:$N$6,2,FALSE)))</f>
        <v/>
      </c>
      <c r="N179" s="363" t="str">
        <f>IF(L179="","",IF(VLOOKUP(L179,'G-3 Multipliers'!$L$3:$N$6,3,FALSE)=0,"Spatial Data Missing ⚠",VLOOKUP(L179,'G-3 Multipliers'!$L$3:$N$6,3,FALSE)))</f>
        <v/>
      </c>
      <c r="O179" s="362" t="str">
        <f t="shared" si="12"/>
        <v/>
      </c>
      <c r="P179" s="159"/>
      <c r="Q179" s="159"/>
      <c r="R179" s="382" t="str">
        <f t="shared" si="13"/>
        <v/>
      </c>
      <c r="S179" s="404" t="str">
        <f t="shared" si="14"/>
        <v/>
      </c>
      <c r="T179" s="387" t="str">
        <f>IFERROR(IF(S179="Check Data ⚠","Check Data ⚠",VLOOKUP(S179,'G-4 Temporal multipliers'!$A$4:$C$37,3,FALSE)),"")</f>
        <v/>
      </c>
      <c r="U179" s="385" t="str">
        <f>IF(F179="","",VLOOKUP(F179,'G-3 Multipliers'!$A$2:$E$134,2,FALSE))</f>
        <v/>
      </c>
      <c r="V179" s="382" t="str">
        <f t="shared" si="17"/>
        <v/>
      </c>
      <c r="W179" s="382" t="str">
        <f>IF(E179="","",IF(AND(V179="Standard difficulty applied",O179&gt;P179),U179,IF(AND(V179="Low Difficulty - only applicable if all habitat created before losses ⚠",P179&gt;=O179),"Low",VLOOKUP(F179,'G-3 Multipliers'!$A$2:$E$134,4,FALSE))))</f>
        <v/>
      </c>
      <c r="X179" s="386" t="str">
        <f>IFERROR(IF(E179="","",VLOOKUP(W179, 'G-3 Multipliers'!$P$2:$Q$6,2,FALSE)),"")</f>
        <v/>
      </c>
      <c r="Y179" s="516"/>
      <c r="Z179" s="724" t="str">
        <f>IF(Y179="","",IF(VLOOKUP(Y179,'G-3 Multipliers'!$S$3:$T$10,2,FALSE)=0,"Spatial Data Missing ⚠",VLOOKUP(Y179,'G-3 Multipliers'!$S$3:$T$10,2,FALSE)))</f>
        <v/>
      </c>
      <c r="AA179" s="741" t="str">
        <f t="shared" si="15"/>
        <v/>
      </c>
      <c r="AB179" s="405" t="str">
        <f t="shared" si="16"/>
        <v/>
      </c>
      <c r="AC179" s="119"/>
      <c r="AD179" s="528"/>
      <c r="AE179" s="120"/>
      <c r="AF179" s="120"/>
    </row>
    <row r="180" spans="1:32" ht="15">
      <c r="A180" s="30" t="str">
        <f>IFERROR(INDEX('G-8 Condition Look up'!$I$4:$I$135,MATCH(F180,'G-8 Condition Look up'!$A$4:$A$135,0)),"")</f>
        <v/>
      </c>
      <c r="C180" s="75" t="str">
        <f>IFERROR(INDEX('G-1 All Habitats'!$AG$3:$AG$17,MATCH(D180,'G-1 All Habitats'!$AF$3:$AF$17,0)),"")</f>
        <v/>
      </c>
      <c r="D180" s="122"/>
      <c r="E180" s="165"/>
      <c r="F180" s="198" t="str">
        <f>IFERROR(INDEX('G-1 All Habitats'!$B$3:$B$135,MATCH(E180,'G-1 All Habitats'!$A$3:$A$135,0)),"")</f>
        <v/>
      </c>
      <c r="G180" s="300"/>
      <c r="H180" s="398" t="str">
        <f>IF(F180="","",VLOOKUP(F180,'G-1 All Habitats'!$B$2:$M$134,10,FALSE))</f>
        <v/>
      </c>
      <c r="I180" s="386" t="str">
        <f>IFERROR(VLOOKUP(H180,'G-1 All Habitats'!$V$3:$W$7,2,FALSE),"")</f>
        <v/>
      </c>
      <c r="J180" s="162"/>
      <c r="K180" s="386" t="str">
        <f>IFERROR(INDEX('G-8 Condition Look up'!$A$3:$H$135,MATCH(F180,'G-8 Condition Look up'!$A$3:$A$135,0),MATCH(J180,'G-8 Condition Look up'!$A$3:$H$3,0)),"")</f>
        <v/>
      </c>
      <c r="L180" s="114"/>
      <c r="M180" s="401" t="str">
        <f>IF(L180="","",IF(VLOOKUP(L180,'G-3 Multipliers'!$L$3:$N$6,2,FALSE)=0,"Spatial Data Missing ⚠",VLOOKUP(L180,'G-3 Multipliers'!$L$3:$N$6,2,FALSE)))</f>
        <v/>
      </c>
      <c r="N180" s="363" t="str">
        <f>IF(L180="","",IF(VLOOKUP(L180,'G-3 Multipliers'!$L$3:$N$6,3,FALSE)=0,"Spatial Data Missing ⚠",VLOOKUP(L180,'G-3 Multipliers'!$L$3:$N$6,3,FALSE)))</f>
        <v/>
      </c>
      <c r="O180" s="362" t="str">
        <f t="shared" si="12"/>
        <v/>
      </c>
      <c r="P180" s="159"/>
      <c r="Q180" s="159"/>
      <c r="R180" s="382" t="str">
        <f t="shared" si="13"/>
        <v/>
      </c>
      <c r="S180" s="404" t="str">
        <f t="shared" si="14"/>
        <v/>
      </c>
      <c r="T180" s="387" t="str">
        <f>IFERROR(IF(S180="Check Data ⚠","Check Data ⚠",VLOOKUP(S180,'G-4 Temporal multipliers'!$A$4:$C$37,3,FALSE)),"")</f>
        <v/>
      </c>
      <c r="U180" s="385" t="str">
        <f>IF(F180="","",VLOOKUP(F180,'G-3 Multipliers'!$A$2:$E$134,2,FALSE))</f>
        <v/>
      </c>
      <c r="V180" s="382" t="str">
        <f t="shared" si="17"/>
        <v/>
      </c>
      <c r="W180" s="382" t="str">
        <f>IF(E180="","",IF(AND(V180="Standard difficulty applied",O180&gt;P180),U180,IF(AND(V180="Low Difficulty - only applicable if all habitat created before losses ⚠",P180&gt;=O180),"Low",VLOOKUP(F180,'G-3 Multipliers'!$A$2:$E$134,4,FALSE))))</f>
        <v/>
      </c>
      <c r="X180" s="386" t="str">
        <f>IFERROR(IF(E180="","",VLOOKUP(W180, 'G-3 Multipliers'!$P$2:$Q$6,2,FALSE)),"")</f>
        <v/>
      </c>
      <c r="Y180" s="516"/>
      <c r="Z180" s="724" t="str">
        <f>IF(Y180="","",IF(VLOOKUP(Y180,'G-3 Multipliers'!$S$3:$T$10,2,FALSE)=0,"Spatial Data Missing ⚠",VLOOKUP(Y180,'G-3 Multipliers'!$S$3:$T$10,2,FALSE)))</f>
        <v/>
      </c>
      <c r="AA180" s="741" t="str">
        <f t="shared" si="15"/>
        <v/>
      </c>
      <c r="AB180" s="405" t="str">
        <f t="shared" si="16"/>
        <v/>
      </c>
      <c r="AC180" s="119"/>
      <c r="AD180" s="528"/>
      <c r="AE180" s="120"/>
      <c r="AF180" s="120"/>
    </row>
    <row r="181" spans="1:32" ht="15">
      <c r="A181" s="30" t="str">
        <f>IFERROR(INDEX('G-8 Condition Look up'!$I$4:$I$135,MATCH(F181,'G-8 Condition Look up'!$A$4:$A$135,0)),"")</f>
        <v/>
      </c>
      <c r="C181" s="75" t="str">
        <f>IFERROR(INDEX('G-1 All Habitats'!$AG$3:$AG$17,MATCH(D181,'G-1 All Habitats'!$AF$3:$AF$17,0)),"")</f>
        <v/>
      </c>
      <c r="D181" s="122"/>
      <c r="E181" s="165"/>
      <c r="F181" s="198" t="str">
        <f>IFERROR(INDEX('G-1 All Habitats'!$B$3:$B$135,MATCH(E181,'G-1 All Habitats'!$A$3:$A$135,0)),"")</f>
        <v/>
      </c>
      <c r="G181" s="300"/>
      <c r="H181" s="398" t="str">
        <f>IF(F181="","",VLOOKUP(F181,'G-1 All Habitats'!$B$2:$M$134,10,FALSE))</f>
        <v/>
      </c>
      <c r="I181" s="386" t="str">
        <f>IFERROR(VLOOKUP(H181,'G-1 All Habitats'!$V$3:$W$7,2,FALSE),"")</f>
        <v/>
      </c>
      <c r="J181" s="162"/>
      <c r="K181" s="386" t="str">
        <f>IFERROR(INDEX('G-8 Condition Look up'!$A$3:$H$135,MATCH(F181,'G-8 Condition Look up'!$A$3:$A$135,0),MATCH(J181,'G-8 Condition Look up'!$A$3:$H$3,0)),"")</f>
        <v/>
      </c>
      <c r="L181" s="114"/>
      <c r="M181" s="401" t="str">
        <f>IF(L181="","",IF(VLOOKUP(L181,'G-3 Multipliers'!$L$3:$N$6,2,FALSE)=0,"Spatial Data Missing ⚠",VLOOKUP(L181,'G-3 Multipliers'!$L$3:$N$6,2,FALSE)))</f>
        <v/>
      </c>
      <c r="N181" s="363" t="str">
        <f>IF(L181="","",IF(VLOOKUP(L181,'G-3 Multipliers'!$L$3:$N$6,3,FALSE)=0,"Spatial Data Missing ⚠",VLOOKUP(L181,'G-3 Multipliers'!$L$3:$N$6,3,FALSE)))</f>
        <v/>
      </c>
      <c r="O181" s="362" t="str">
        <f t="shared" si="12"/>
        <v/>
      </c>
      <c r="P181" s="159"/>
      <c r="Q181" s="159"/>
      <c r="R181" s="382" t="str">
        <f t="shared" si="13"/>
        <v/>
      </c>
      <c r="S181" s="404" t="str">
        <f t="shared" si="14"/>
        <v/>
      </c>
      <c r="T181" s="387" t="str">
        <f>IFERROR(IF(S181="Check Data ⚠","Check Data ⚠",VLOOKUP(S181,'G-4 Temporal multipliers'!$A$4:$C$37,3,FALSE)),"")</f>
        <v/>
      </c>
      <c r="U181" s="385" t="str">
        <f>IF(F181="","",VLOOKUP(F181,'G-3 Multipliers'!$A$2:$E$134,2,FALSE))</f>
        <v/>
      </c>
      <c r="V181" s="382" t="str">
        <f t="shared" si="17"/>
        <v/>
      </c>
      <c r="W181" s="382" t="str">
        <f>IF(E181="","",IF(AND(V181="Standard difficulty applied",O181&gt;P181),U181,IF(AND(V181="Low Difficulty - only applicable if all habitat created before losses ⚠",P181&gt;=O181),"Low",VLOOKUP(F181,'G-3 Multipliers'!$A$2:$E$134,4,FALSE))))</f>
        <v/>
      </c>
      <c r="X181" s="386" t="str">
        <f>IFERROR(IF(E181="","",VLOOKUP(W181, 'G-3 Multipliers'!$P$2:$Q$6,2,FALSE)),"")</f>
        <v/>
      </c>
      <c r="Y181" s="516"/>
      <c r="Z181" s="724" t="str">
        <f>IF(Y181="","",IF(VLOOKUP(Y181,'G-3 Multipliers'!$S$3:$T$10,2,FALSE)=0,"Spatial Data Missing ⚠",VLOOKUP(Y181,'G-3 Multipliers'!$S$3:$T$10,2,FALSE)))</f>
        <v/>
      </c>
      <c r="AA181" s="741" t="str">
        <f t="shared" si="15"/>
        <v/>
      </c>
      <c r="AB181" s="405" t="str">
        <f t="shared" si="16"/>
        <v/>
      </c>
      <c r="AC181" s="119"/>
      <c r="AD181" s="528"/>
      <c r="AE181" s="120"/>
      <c r="AF181" s="120"/>
    </row>
    <row r="182" spans="1:32" ht="15">
      <c r="A182" s="30" t="str">
        <f>IFERROR(INDEX('G-8 Condition Look up'!$I$4:$I$135,MATCH(F182,'G-8 Condition Look up'!$A$4:$A$135,0)),"")</f>
        <v/>
      </c>
      <c r="C182" s="75" t="str">
        <f>IFERROR(INDEX('G-1 All Habitats'!$AG$3:$AG$17,MATCH(D182,'G-1 All Habitats'!$AF$3:$AF$17,0)),"")</f>
        <v/>
      </c>
      <c r="D182" s="122"/>
      <c r="E182" s="165"/>
      <c r="F182" s="198" t="str">
        <f>IFERROR(INDEX('G-1 All Habitats'!$B$3:$B$135,MATCH(E182,'G-1 All Habitats'!$A$3:$A$135,0)),"")</f>
        <v/>
      </c>
      <c r="G182" s="300"/>
      <c r="H182" s="398" t="str">
        <f>IF(F182="","",VLOOKUP(F182,'G-1 All Habitats'!$B$2:$M$134,10,FALSE))</f>
        <v/>
      </c>
      <c r="I182" s="386" t="str">
        <f>IFERROR(VLOOKUP(H182,'G-1 All Habitats'!$V$3:$W$7,2,FALSE),"")</f>
        <v/>
      </c>
      <c r="J182" s="162"/>
      <c r="K182" s="386" t="str">
        <f>IFERROR(INDEX('G-8 Condition Look up'!$A$3:$H$135,MATCH(F182,'G-8 Condition Look up'!$A$3:$A$135,0),MATCH(J182,'G-8 Condition Look up'!$A$3:$H$3,0)),"")</f>
        <v/>
      </c>
      <c r="L182" s="114"/>
      <c r="M182" s="401" t="str">
        <f>IF(L182="","",IF(VLOOKUP(L182,'G-3 Multipliers'!$L$3:$N$6,2,FALSE)=0,"Spatial Data Missing ⚠",VLOOKUP(L182,'G-3 Multipliers'!$L$3:$N$6,2,FALSE)))</f>
        <v/>
      </c>
      <c r="N182" s="363" t="str">
        <f>IF(L182="","",IF(VLOOKUP(L182,'G-3 Multipliers'!$L$3:$N$6,3,FALSE)=0,"Spatial Data Missing ⚠",VLOOKUP(L182,'G-3 Multipliers'!$L$3:$N$6,3,FALSE)))</f>
        <v/>
      </c>
      <c r="O182" s="362" t="str">
        <f t="shared" si="12"/>
        <v/>
      </c>
      <c r="P182" s="159"/>
      <c r="Q182" s="159"/>
      <c r="R182" s="382" t="str">
        <f t="shared" si="13"/>
        <v/>
      </c>
      <c r="S182" s="404" t="str">
        <f t="shared" si="14"/>
        <v/>
      </c>
      <c r="T182" s="387" t="str">
        <f>IFERROR(IF(S182="Check Data ⚠","Check Data ⚠",VLOOKUP(S182,'G-4 Temporal multipliers'!$A$4:$C$37,3,FALSE)),"")</f>
        <v/>
      </c>
      <c r="U182" s="385" t="str">
        <f>IF(F182="","",VLOOKUP(F182,'G-3 Multipliers'!$A$2:$E$134,2,FALSE))</f>
        <v/>
      </c>
      <c r="V182" s="382" t="str">
        <f t="shared" si="17"/>
        <v/>
      </c>
      <c r="W182" s="382" t="str">
        <f>IF(E182="","",IF(AND(V182="Standard difficulty applied",O182&gt;P182),U182,IF(AND(V182="Low Difficulty - only applicable if all habitat created before losses ⚠",P182&gt;=O182),"Low",VLOOKUP(F182,'G-3 Multipliers'!$A$2:$E$134,4,FALSE))))</f>
        <v/>
      </c>
      <c r="X182" s="386" t="str">
        <f>IFERROR(IF(E182="","",VLOOKUP(W182, 'G-3 Multipliers'!$P$2:$Q$6,2,FALSE)),"")</f>
        <v/>
      </c>
      <c r="Y182" s="516"/>
      <c r="Z182" s="724" t="str">
        <f>IF(Y182="","",IF(VLOOKUP(Y182,'G-3 Multipliers'!$S$3:$T$10,2,FALSE)=0,"Spatial Data Missing ⚠",VLOOKUP(Y182,'G-3 Multipliers'!$S$3:$T$10,2,FALSE)))</f>
        <v/>
      </c>
      <c r="AA182" s="741" t="str">
        <f t="shared" si="15"/>
        <v/>
      </c>
      <c r="AB182" s="405" t="str">
        <f t="shared" si="16"/>
        <v/>
      </c>
      <c r="AC182" s="119"/>
      <c r="AD182" s="528"/>
      <c r="AE182" s="120"/>
      <c r="AF182" s="120"/>
    </row>
    <row r="183" spans="1:32" ht="15">
      <c r="A183" s="30" t="str">
        <f>IFERROR(INDEX('G-8 Condition Look up'!$I$4:$I$135,MATCH(F183,'G-8 Condition Look up'!$A$4:$A$135,0)),"")</f>
        <v/>
      </c>
      <c r="C183" s="75" t="str">
        <f>IFERROR(INDEX('G-1 All Habitats'!$AG$3:$AG$17,MATCH(D183,'G-1 All Habitats'!$AF$3:$AF$17,0)),"")</f>
        <v/>
      </c>
      <c r="D183" s="122"/>
      <c r="E183" s="165"/>
      <c r="F183" s="198" t="str">
        <f>IFERROR(INDEX('G-1 All Habitats'!$B$3:$B$135,MATCH(E183,'G-1 All Habitats'!$A$3:$A$135,0)),"")</f>
        <v/>
      </c>
      <c r="G183" s="300"/>
      <c r="H183" s="398" t="str">
        <f>IF(F183="","",VLOOKUP(F183,'G-1 All Habitats'!$B$2:$M$134,10,FALSE))</f>
        <v/>
      </c>
      <c r="I183" s="386" t="str">
        <f>IFERROR(VLOOKUP(H183,'G-1 All Habitats'!$V$3:$W$7,2,FALSE),"")</f>
        <v/>
      </c>
      <c r="J183" s="162"/>
      <c r="K183" s="386" t="str">
        <f>IFERROR(INDEX('G-8 Condition Look up'!$A$3:$H$135,MATCH(F183,'G-8 Condition Look up'!$A$3:$A$135,0),MATCH(J183,'G-8 Condition Look up'!$A$3:$H$3,0)),"")</f>
        <v/>
      </c>
      <c r="L183" s="114"/>
      <c r="M183" s="401" t="str">
        <f>IF(L183="","",IF(VLOOKUP(L183,'G-3 Multipliers'!$L$3:$N$6,2,FALSE)=0,"Spatial Data Missing ⚠",VLOOKUP(L183,'G-3 Multipliers'!$L$3:$N$6,2,FALSE)))</f>
        <v/>
      </c>
      <c r="N183" s="363" t="str">
        <f>IF(L183="","",IF(VLOOKUP(L183,'G-3 Multipliers'!$L$3:$N$6,3,FALSE)=0,"Spatial Data Missing ⚠",VLOOKUP(L183,'G-3 Multipliers'!$L$3:$N$6,3,FALSE)))</f>
        <v/>
      </c>
      <c r="O183" s="362" t="str">
        <f t="shared" si="12"/>
        <v/>
      </c>
      <c r="P183" s="159"/>
      <c r="Q183" s="159"/>
      <c r="R183" s="382" t="str">
        <f t="shared" si="13"/>
        <v/>
      </c>
      <c r="S183" s="404" t="str">
        <f t="shared" si="14"/>
        <v/>
      </c>
      <c r="T183" s="387" t="str">
        <f>IFERROR(IF(S183="Check Data ⚠","Check Data ⚠",VLOOKUP(S183,'G-4 Temporal multipliers'!$A$4:$C$37,3,FALSE)),"")</f>
        <v/>
      </c>
      <c r="U183" s="385" t="str">
        <f>IF(F183="","",VLOOKUP(F183,'G-3 Multipliers'!$A$2:$E$134,2,FALSE))</f>
        <v/>
      </c>
      <c r="V183" s="382" t="str">
        <f t="shared" si="17"/>
        <v/>
      </c>
      <c r="W183" s="382" t="str">
        <f>IF(E183="","",IF(AND(V183="Standard difficulty applied",O183&gt;P183),U183,IF(AND(V183="Low Difficulty - only applicable if all habitat created before losses ⚠",P183&gt;=O183),"Low",VLOOKUP(F183,'G-3 Multipliers'!$A$2:$E$134,4,FALSE))))</f>
        <v/>
      </c>
      <c r="X183" s="386" t="str">
        <f>IFERROR(IF(E183="","",VLOOKUP(W183, 'G-3 Multipliers'!$P$2:$Q$6,2,FALSE)),"")</f>
        <v/>
      </c>
      <c r="Y183" s="516"/>
      <c r="Z183" s="724" t="str">
        <f>IF(Y183="","",IF(VLOOKUP(Y183,'G-3 Multipliers'!$S$3:$T$10,2,FALSE)=0,"Spatial Data Missing ⚠",VLOOKUP(Y183,'G-3 Multipliers'!$S$3:$T$10,2,FALSE)))</f>
        <v/>
      </c>
      <c r="AA183" s="741" t="str">
        <f t="shared" si="15"/>
        <v/>
      </c>
      <c r="AB183" s="405" t="str">
        <f t="shared" si="16"/>
        <v/>
      </c>
      <c r="AC183" s="119"/>
      <c r="AD183" s="528"/>
      <c r="AE183" s="120"/>
      <c r="AF183" s="120"/>
    </row>
    <row r="184" spans="1:32" ht="15">
      <c r="A184" s="30" t="str">
        <f>IFERROR(INDEX('G-8 Condition Look up'!$I$4:$I$135,MATCH(F184,'G-8 Condition Look up'!$A$4:$A$135,0)),"")</f>
        <v/>
      </c>
      <c r="C184" s="75" t="str">
        <f>IFERROR(INDEX('G-1 All Habitats'!$AG$3:$AG$17,MATCH(D184,'G-1 All Habitats'!$AF$3:$AF$17,0)),"")</f>
        <v/>
      </c>
      <c r="D184" s="122"/>
      <c r="E184" s="165"/>
      <c r="F184" s="198" t="str">
        <f>IFERROR(INDEX('G-1 All Habitats'!$B$3:$B$135,MATCH(E184,'G-1 All Habitats'!$A$3:$A$135,0)),"")</f>
        <v/>
      </c>
      <c r="G184" s="300"/>
      <c r="H184" s="398" t="str">
        <f>IF(F184="","",VLOOKUP(F184,'G-1 All Habitats'!$B$2:$M$134,10,FALSE))</f>
        <v/>
      </c>
      <c r="I184" s="386" t="str">
        <f>IFERROR(VLOOKUP(H184,'G-1 All Habitats'!$V$3:$W$7,2,FALSE),"")</f>
        <v/>
      </c>
      <c r="J184" s="162"/>
      <c r="K184" s="386" t="str">
        <f>IFERROR(INDEX('G-8 Condition Look up'!$A$3:$H$135,MATCH(F184,'G-8 Condition Look up'!$A$3:$A$135,0),MATCH(J184,'G-8 Condition Look up'!$A$3:$H$3,0)),"")</f>
        <v/>
      </c>
      <c r="L184" s="114"/>
      <c r="M184" s="401" t="str">
        <f>IF(L184="","",IF(VLOOKUP(L184,'G-3 Multipliers'!$L$3:$N$6,2,FALSE)=0,"Spatial Data Missing ⚠",VLOOKUP(L184,'G-3 Multipliers'!$L$3:$N$6,2,FALSE)))</f>
        <v/>
      </c>
      <c r="N184" s="363" t="str">
        <f>IF(L184="","",IF(VLOOKUP(L184,'G-3 Multipliers'!$L$3:$N$6,3,FALSE)=0,"Spatial Data Missing ⚠",VLOOKUP(L184,'G-3 Multipliers'!$L$3:$N$6,3,FALSE)))</f>
        <v/>
      </c>
      <c r="O184" s="362" t="str">
        <f t="shared" si="12"/>
        <v/>
      </c>
      <c r="P184" s="159"/>
      <c r="Q184" s="159"/>
      <c r="R184" s="382" t="str">
        <f t="shared" si="13"/>
        <v/>
      </c>
      <c r="S184" s="404" t="str">
        <f t="shared" si="14"/>
        <v/>
      </c>
      <c r="T184" s="387" t="str">
        <f>IFERROR(IF(S184="Check Data ⚠","Check Data ⚠",VLOOKUP(S184,'G-4 Temporal multipliers'!$A$4:$C$37,3,FALSE)),"")</f>
        <v/>
      </c>
      <c r="U184" s="385" t="str">
        <f>IF(F184="","",VLOOKUP(F184,'G-3 Multipliers'!$A$2:$E$134,2,FALSE))</f>
        <v/>
      </c>
      <c r="V184" s="382" t="str">
        <f t="shared" si="17"/>
        <v/>
      </c>
      <c r="W184" s="382" t="str">
        <f>IF(E184="","",IF(AND(V184="Standard difficulty applied",O184&gt;P184),U184,IF(AND(V184="Low Difficulty - only applicable if all habitat created before losses ⚠",P184&gt;=O184),"Low",VLOOKUP(F184,'G-3 Multipliers'!$A$2:$E$134,4,FALSE))))</f>
        <v/>
      </c>
      <c r="X184" s="386" t="str">
        <f>IFERROR(IF(E184="","",VLOOKUP(W184, 'G-3 Multipliers'!$P$2:$Q$6,2,FALSE)),"")</f>
        <v/>
      </c>
      <c r="Y184" s="516"/>
      <c r="Z184" s="724" t="str">
        <f>IF(Y184="","",IF(VLOOKUP(Y184,'G-3 Multipliers'!$S$3:$T$10,2,FALSE)=0,"Spatial Data Missing ⚠",VLOOKUP(Y184,'G-3 Multipliers'!$S$3:$T$10,2,FALSE)))</f>
        <v/>
      </c>
      <c r="AA184" s="741" t="str">
        <f t="shared" si="15"/>
        <v/>
      </c>
      <c r="AB184" s="405" t="str">
        <f t="shared" si="16"/>
        <v/>
      </c>
      <c r="AC184" s="119"/>
      <c r="AD184" s="528"/>
      <c r="AE184" s="120"/>
      <c r="AF184" s="120"/>
    </row>
    <row r="185" spans="1:32" ht="15">
      <c r="A185" s="30" t="str">
        <f>IFERROR(INDEX('G-8 Condition Look up'!$I$4:$I$135,MATCH(F185,'G-8 Condition Look up'!$A$4:$A$135,0)),"")</f>
        <v/>
      </c>
      <c r="C185" s="75" t="str">
        <f>IFERROR(INDEX('G-1 All Habitats'!$AG$3:$AG$17,MATCH(D185,'G-1 All Habitats'!$AF$3:$AF$17,0)),"")</f>
        <v/>
      </c>
      <c r="D185" s="122"/>
      <c r="E185" s="165"/>
      <c r="F185" s="198" t="str">
        <f>IFERROR(INDEX('G-1 All Habitats'!$B$3:$B$135,MATCH(E185,'G-1 All Habitats'!$A$3:$A$135,0)),"")</f>
        <v/>
      </c>
      <c r="G185" s="300"/>
      <c r="H185" s="398" t="str">
        <f>IF(F185="","",VLOOKUP(F185,'G-1 All Habitats'!$B$2:$M$134,10,FALSE))</f>
        <v/>
      </c>
      <c r="I185" s="386" t="str">
        <f>IFERROR(VLOOKUP(H185,'G-1 All Habitats'!$V$3:$W$7,2,FALSE),"")</f>
        <v/>
      </c>
      <c r="J185" s="162"/>
      <c r="K185" s="386" t="str">
        <f>IFERROR(INDEX('G-8 Condition Look up'!$A$3:$H$135,MATCH(F185,'G-8 Condition Look up'!$A$3:$A$135,0),MATCH(J185,'G-8 Condition Look up'!$A$3:$H$3,0)),"")</f>
        <v/>
      </c>
      <c r="L185" s="114"/>
      <c r="M185" s="401" t="str">
        <f>IF(L185="","",IF(VLOOKUP(L185,'G-3 Multipliers'!$L$3:$N$6,2,FALSE)=0,"Spatial Data Missing ⚠",VLOOKUP(L185,'G-3 Multipliers'!$L$3:$N$6,2,FALSE)))</f>
        <v/>
      </c>
      <c r="N185" s="363" t="str">
        <f>IF(L185="","",IF(VLOOKUP(L185,'G-3 Multipliers'!$L$3:$N$6,3,FALSE)=0,"Spatial Data Missing ⚠",VLOOKUP(L185,'G-3 Multipliers'!$L$3:$N$6,3,FALSE)))</f>
        <v/>
      </c>
      <c r="O185" s="362" t="str">
        <f t="shared" si="12"/>
        <v/>
      </c>
      <c r="P185" s="159"/>
      <c r="Q185" s="159"/>
      <c r="R185" s="382" t="str">
        <f t="shared" si="13"/>
        <v/>
      </c>
      <c r="S185" s="404" t="str">
        <f t="shared" si="14"/>
        <v/>
      </c>
      <c r="T185" s="387" t="str">
        <f>IFERROR(IF(S185="Check Data ⚠","Check Data ⚠",VLOOKUP(S185,'G-4 Temporal multipliers'!$A$4:$C$37,3,FALSE)),"")</f>
        <v/>
      </c>
      <c r="U185" s="385" t="str">
        <f>IF(F185="","",VLOOKUP(F185,'G-3 Multipliers'!$A$2:$E$134,2,FALSE))</f>
        <v/>
      </c>
      <c r="V185" s="382" t="str">
        <f t="shared" si="17"/>
        <v/>
      </c>
      <c r="W185" s="382" t="str">
        <f>IF(E185="","",IF(AND(V185="Standard difficulty applied",O185&gt;P185),U185,IF(AND(V185="Low Difficulty - only applicable if all habitat created before losses ⚠",P185&gt;=O185),"Low",VLOOKUP(F185,'G-3 Multipliers'!$A$2:$E$134,4,FALSE))))</f>
        <v/>
      </c>
      <c r="X185" s="386" t="str">
        <f>IFERROR(IF(E185="","",VLOOKUP(W185, 'G-3 Multipliers'!$P$2:$Q$6,2,FALSE)),"")</f>
        <v/>
      </c>
      <c r="Y185" s="516"/>
      <c r="Z185" s="724" t="str">
        <f>IF(Y185="","",IF(VLOOKUP(Y185,'G-3 Multipliers'!$S$3:$T$10,2,FALSE)=0,"Spatial Data Missing ⚠",VLOOKUP(Y185,'G-3 Multipliers'!$S$3:$T$10,2,FALSE)))</f>
        <v/>
      </c>
      <c r="AA185" s="741" t="str">
        <f t="shared" si="15"/>
        <v/>
      </c>
      <c r="AB185" s="405" t="str">
        <f t="shared" si="16"/>
        <v/>
      </c>
      <c r="AC185" s="119"/>
      <c r="AD185" s="528"/>
      <c r="AE185" s="120"/>
      <c r="AF185" s="120"/>
    </row>
    <row r="186" spans="1:32" ht="15">
      <c r="A186" s="30" t="str">
        <f>IFERROR(INDEX('G-8 Condition Look up'!$I$4:$I$135,MATCH(F186,'G-8 Condition Look up'!$A$4:$A$135,0)),"")</f>
        <v/>
      </c>
      <c r="C186" s="75" t="str">
        <f>IFERROR(INDEX('G-1 All Habitats'!$AG$3:$AG$17,MATCH(D186,'G-1 All Habitats'!$AF$3:$AF$17,0)),"")</f>
        <v/>
      </c>
      <c r="D186" s="122"/>
      <c r="E186" s="165"/>
      <c r="F186" s="198" t="str">
        <f>IFERROR(INDEX('G-1 All Habitats'!$B$3:$B$135,MATCH(E186,'G-1 All Habitats'!$A$3:$A$135,0)),"")</f>
        <v/>
      </c>
      <c r="G186" s="300"/>
      <c r="H186" s="398" t="str">
        <f>IF(F186="","",VLOOKUP(F186,'G-1 All Habitats'!$B$2:$M$134,10,FALSE))</f>
        <v/>
      </c>
      <c r="I186" s="386" t="str">
        <f>IFERROR(VLOOKUP(H186,'G-1 All Habitats'!$V$3:$W$7,2,FALSE),"")</f>
        <v/>
      </c>
      <c r="J186" s="162"/>
      <c r="K186" s="386" t="str">
        <f>IFERROR(INDEX('G-8 Condition Look up'!$A$3:$H$135,MATCH(F186,'G-8 Condition Look up'!$A$3:$A$135,0),MATCH(J186,'G-8 Condition Look up'!$A$3:$H$3,0)),"")</f>
        <v/>
      </c>
      <c r="L186" s="114"/>
      <c r="M186" s="401" t="str">
        <f>IF(L186="","",IF(VLOOKUP(L186,'G-3 Multipliers'!$L$3:$N$6,2,FALSE)=0,"Spatial Data Missing ⚠",VLOOKUP(L186,'G-3 Multipliers'!$L$3:$N$6,2,FALSE)))</f>
        <v/>
      </c>
      <c r="N186" s="363" t="str">
        <f>IF(L186="","",IF(VLOOKUP(L186,'G-3 Multipliers'!$L$3:$N$6,3,FALSE)=0,"Spatial Data Missing ⚠",VLOOKUP(L186,'G-3 Multipliers'!$L$3:$N$6,3,FALSE)))</f>
        <v/>
      </c>
      <c r="O186" s="362" t="str">
        <f t="shared" si="12"/>
        <v/>
      </c>
      <c r="P186" s="159"/>
      <c r="Q186" s="159"/>
      <c r="R186" s="382" t="str">
        <f t="shared" si="13"/>
        <v/>
      </c>
      <c r="S186" s="404" t="str">
        <f t="shared" si="14"/>
        <v/>
      </c>
      <c r="T186" s="387" t="str">
        <f>IFERROR(IF(S186="Check Data ⚠","Check Data ⚠",VLOOKUP(S186,'G-4 Temporal multipliers'!$A$4:$C$37,3,FALSE)),"")</f>
        <v/>
      </c>
      <c r="U186" s="385" t="str">
        <f>IF(F186="","",VLOOKUP(F186,'G-3 Multipliers'!$A$2:$E$134,2,FALSE))</f>
        <v/>
      </c>
      <c r="V186" s="382" t="str">
        <f t="shared" si="17"/>
        <v/>
      </c>
      <c r="W186" s="382" t="str">
        <f>IF(E186="","",IF(AND(V186="Standard difficulty applied",O186&gt;P186),U186,IF(AND(V186="Low Difficulty - only applicable if all habitat created before losses ⚠",P186&gt;=O186),"Low",VLOOKUP(F186,'G-3 Multipliers'!$A$2:$E$134,4,FALSE))))</f>
        <v/>
      </c>
      <c r="X186" s="386" t="str">
        <f>IFERROR(IF(E186="","",VLOOKUP(W186, 'G-3 Multipliers'!$P$2:$Q$6,2,FALSE)),"")</f>
        <v/>
      </c>
      <c r="Y186" s="516"/>
      <c r="Z186" s="724" t="str">
        <f>IF(Y186="","",IF(VLOOKUP(Y186,'G-3 Multipliers'!$S$3:$T$10,2,FALSE)=0,"Spatial Data Missing ⚠",VLOOKUP(Y186,'G-3 Multipliers'!$S$3:$T$10,2,FALSE)))</f>
        <v/>
      </c>
      <c r="AA186" s="741" t="str">
        <f t="shared" si="15"/>
        <v/>
      </c>
      <c r="AB186" s="405" t="str">
        <f t="shared" si="16"/>
        <v/>
      </c>
      <c r="AC186" s="119"/>
      <c r="AD186" s="528"/>
      <c r="AE186" s="120"/>
      <c r="AF186" s="120"/>
    </row>
    <row r="187" spans="1:32" ht="15">
      <c r="A187" s="30" t="str">
        <f>IFERROR(INDEX('G-8 Condition Look up'!$I$4:$I$135,MATCH(F187,'G-8 Condition Look up'!$A$4:$A$135,0)),"")</f>
        <v/>
      </c>
      <c r="C187" s="75" t="str">
        <f>IFERROR(INDEX('G-1 All Habitats'!$AG$3:$AG$17,MATCH(D187,'G-1 All Habitats'!$AF$3:$AF$17,0)),"")</f>
        <v/>
      </c>
      <c r="D187" s="122"/>
      <c r="E187" s="165"/>
      <c r="F187" s="198" t="str">
        <f>IFERROR(INDEX('G-1 All Habitats'!$B$3:$B$135,MATCH(E187,'G-1 All Habitats'!$A$3:$A$135,0)),"")</f>
        <v/>
      </c>
      <c r="G187" s="300"/>
      <c r="H187" s="398" t="str">
        <f>IF(F187="","",VLOOKUP(F187,'G-1 All Habitats'!$B$2:$M$134,10,FALSE))</f>
        <v/>
      </c>
      <c r="I187" s="386" t="str">
        <f>IFERROR(VLOOKUP(H187,'G-1 All Habitats'!$V$3:$W$7,2,FALSE),"")</f>
        <v/>
      </c>
      <c r="J187" s="162"/>
      <c r="K187" s="386" t="str">
        <f>IFERROR(INDEX('G-8 Condition Look up'!$A$3:$H$135,MATCH(F187,'G-8 Condition Look up'!$A$3:$A$135,0),MATCH(J187,'G-8 Condition Look up'!$A$3:$H$3,0)),"")</f>
        <v/>
      </c>
      <c r="L187" s="114"/>
      <c r="M187" s="401" t="str">
        <f>IF(L187="","",IF(VLOOKUP(L187,'G-3 Multipliers'!$L$3:$N$6,2,FALSE)=0,"Spatial Data Missing ⚠",VLOOKUP(L187,'G-3 Multipliers'!$L$3:$N$6,2,FALSE)))</f>
        <v/>
      </c>
      <c r="N187" s="363" t="str">
        <f>IF(L187="","",IF(VLOOKUP(L187,'G-3 Multipliers'!$L$3:$N$6,3,FALSE)=0,"Spatial Data Missing ⚠",VLOOKUP(L187,'G-3 Multipliers'!$L$3:$N$6,3,FALSE)))</f>
        <v/>
      </c>
      <c r="O187" s="362" t="str">
        <f t="shared" si="12"/>
        <v/>
      </c>
      <c r="P187" s="159"/>
      <c r="Q187" s="159"/>
      <c r="R187" s="382" t="str">
        <f t="shared" si="13"/>
        <v/>
      </c>
      <c r="S187" s="404" t="str">
        <f t="shared" si="14"/>
        <v/>
      </c>
      <c r="T187" s="387" t="str">
        <f>IFERROR(IF(S187="Check Data ⚠","Check Data ⚠",VLOOKUP(S187,'G-4 Temporal multipliers'!$A$4:$C$37,3,FALSE)),"")</f>
        <v/>
      </c>
      <c r="U187" s="385" t="str">
        <f>IF(F187="","",VLOOKUP(F187,'G-3 Multipliers'!$A$2:$E$134,2,FALSE))</f>
        <v/>
      </c>
      <c r="V187" s="382" t="str">
        <f t="shared" si="17"/>
        <v/>
      </c>
      <c r="W187" s="382" t="str">
        <f>IF(E187="","",IF(AND(V187="Standard difficulty applied",O187&gt;P187),U187,IF(AND(V187="Low Difficulty - only applicable if all habitat created before losses ⚠",P187&gt;=O187),"Low",VLOOKUP(F187,'G-3 Multipliers'!$A$2:$E$134,4,FALSE))))</f>
        <v/>
      </c>
      <c r="X187" s="386" t="str">
        <f>IFERROR(IF(E187="","",VLOOKUP(W187, 'G-3 Multipliers'!$P$2:$Q$6,2,FALSE)),"")</f>
        <v/>
      </c>
      <c r="Y187" s="516"/>
      <c r="Z187" s="724" t="str">
        <f>IF(Y187="","",IF(VLOOKUP(Y187,'G-3 Multipliers'!$S$3:$T$10,2,FALSE)=0,"Spatial Data Missing ⚠",VLOOKUP(Y187,'G-3 Multipliers'!$S$3:$T$10,2,FALSE)))</f>
        <v/>
      </c>
      <c r="AA187" s="741" t="str">
        <f t="shared" si="15"/>
        <v/>
      </c>
      <c r="AB187" s="405" t="str">
        <f t="shared" si="16"/>
        <v/>
      </c>
      <c r="AC187" s="119"/>
      <c r="AD187" s="528"/>
      <c r="AE187" s="120"/>
      <c r="AF187" s="120"/>
    </row>
    <row r="188" spans="1:32" ht="15">
      <c r="A188" s="30" t="str">
        <f>IFERROR(INDEX('G-8 Condition Look up'!$I$4:$I$135,MATCH(F188,'G-8 Condition Look up'!$A$4:$A$135,0)),"")</f>
        <v/>
      </c>
      <c r="C188" s="75" t="str">
        <f>IFERROR(INDEX('G-1 All Habitats'!$AG$3:$AG$17,MATCH(D188,'G-1 All Habitats'!$AF$3:$AF$17,0)),"")</f>
        <v/>
      </c>
      <c r="D188" s="122"/>
      <c r="E188" s="165"/>
      <c r="F188" s="198" t="str">
        <f>IFERROR(INDEX('G-1 All Habitats'!$B$3:$B$135,MATCH(E188,'G-1 All Habitats'!$A$3:$A$135,0)),"")</f>
        <v/>
      </c>
      <c r="G188" s="300"/>
      <c r="H188" s="398" t="str">
        <f>IF(F188="","",VLOOKUP(F188,'G-1 All Habitats'!$B$2:$M$134,10,FALSE))</f>
        <v/>
      </c>
      <c r="I188" s="386" t="str">
        <f>IFERROR(VLOOKUP(H188,'G-1 All Habitats'!$V$3:$W$7,2,FALSE),"")</f>
        <v/>
      </c>
      <c r="J188" s="162"/>
      <c r="K188" s="386" t="str">
        <f>IFERROR(INDEX('G-8 Condition Look up'!$A$3:$H$135,MATCH(F188,'G-8 Condition Look up'!$A$3:$A$135,0),MATCH(J188,'G-8 Condition Look up'!$A$3:$H$3,0)),"")</f>
        <v/>
      </c>
      <c r="L188" s="114"/>
      <c r="M188" s="401" t="str">
        <f>IF(L188="","",IF(VLOOKUP(L188,'G-3 Multipliers'!$L$3:$N$6,2,FALSE)=0,"Spatial Data Missing ⚠",VLOOKUP(L188,'G-3 Multipliers'!$L$3:$N$6,2,FALSE)))</f>
        <v/>
      </c>
      <c r="N188" s="363" t="str">
        <f>IF(L188="","",IF(VLOOKUP(L188,'G-3 Multipliers'!$L$3:$N$6,3,FALSE)=0,"Spatial Data Missing ⚠",VLOOKUP(L188,'G-3 Multipliers'!$L$3:$N$6,3,FALSE)))</f>
        <v/>
      </c>
      <c r="O188" s="362" t="str">
        <f t="shared" si="12"/>
        <v/>
      </c>
      <c r="P188" s="159"/>
      <c r="Q188" s="159"/>
      <c r="R188" s="382" t="str">
        <f t="shared" si="13"/>
        <v/>
      </c>
      <c r="S188" s="404" t="str">
        <f t="shared" si="14"/>
        <v/>
      </c>
      <c r="T188" s="387" t="str">
        <f>IFERROR(IF(S188="Check Data ⚠","Check Data ⚠",VLOOKUP(S188,'G-4 Temporal multipliers'!$A$4:$C$37,3,FALSE)),"")</f>
        <v/>
      </c>
      <c r="U188" s="385" t="str">
        <f>IF(F188="","",VLOOKUP(F188,'G-3 Multipliers'!$A$2:$E$134,2,FALSE))</f>
        <v/>
      </c>
      <c r="V188" s="382" t="str">
        <f t="shared" si="17"/>
        <v/>
      </c>
      <c r="W188" s="382" t="str">
        <f>IF(E188="","",IF(AND(V188="Standard difficulty applied",O188&gt;P188),U188,IF(AND(V188="Low Difficulty - only applicable if all habitat created before losses ⚠",P188&gt;=O188),"Low",VLOOKUP(F188,'G-3 Multipliers'!$A$2:$E$134,4,FALSE))))</f>
        <v/>
      </c>
      <c r="X188" s="386" t="str">
        <f>IFERROR(IF(E188="","",VLOOKUP(W188, 'G-3 Multipliers'!$P$2:$Q$6,2,FALSE)),"")</f>
        <v/>
      </c>
      <c r="Y188" s="516"/>
      <c r="Z188" s="724" t="str">
        <f>IF(Y188="","",IF(VLOOKUP(Y188,'G-3 Multipliers'!$S$3:$T$10,2,FALSE)=0,"Spatial Data Missing ⚠",VLOOKUP(Y188,'G-3 Multipliers'!$S$3:$T$10,2,FALSE)))</f>
        <v/>
      </c>
      <c r="AA188" s="741" t="str">
        <f t="shared" si="15"/>
        <v/>
      </c>
      <c r="AB188" s="405" t="str">
        <f t="shared" si="16"/>
        <v/>
      </c>
      <c r="AC188" s="119"/>
      <c r="AD188" s="528"/>
      <c r="AE188" s="120"/>
      <c r="AF188" s="120"/>
    </row>
    <row r="189" spans="1:32" ht="15">
      <c r="A189" s="30" t="str">
        <f>IFERROR(INDEX('G-8 Condition Look up'!$I$4:$I$135,MATCH(F189,'G-8 Condition Look up'!$A$4:$A$135,0)),"")</f>
        <v/>
      </c>
      <c r="C189" s="75" t="str">
        <f>IFERROR(INDEX('G-1 All Habitats'!$AG$3:$AG$17,MATCH(D189,'G-1 All Habitats'!$AF$3:$AF$17,0)),"")</f>
        <v/>
      </c>
      <c r="D189" s="122"/>
      <c r="E189" s="165"/>
      <c r="F189" s="198" t="str">
        <f>IFERROR(INDEX('G-1 All Habitats'!$B$3:$B$135,MATCH(E189,'G-1 All Habitats'!$A$3:$A$135,0)),"")</f>
        <v/>
      </c>
      <c r="G189" s="300"/>
      <c r="H189" s="398" t="str">
        <f>IF(F189="","",VLOOKUP(F189,'G-1 All Habitats'!$B$2:$M$134,10,FALSE))</f>
        <v/>
      </c>
      <c r="I189" s="386" t="str">
        <f>IFERROR(VLOOKUP(H189,'G-1 All Habitats'!$V$3:$W$7,2,FALSE),"")</f>
        <v/>
      </c>
      <c r="J189" s="162"/>
      <c r="K189" s="386" t="str">
        <f>IFERROR(INDEX('G-8 Condition Look up'!$A$3:$H$135,MATCH(F189,'G-8 Condition Look up'!$A$3:$A$135,0),MATCH(J189,'G-8 Condition Look up'!$A$3:$H$3,0)),"")</f>
        <v/>
      </c>
      <c r="L189" s="114"/>
      <c r="M189" s="401" t="str">
        <f>IF(L189="","",IF(VLOOKUP(L189,'G-3 Multipliers'!$L$3:$N$6,2,FALSE)=0,"Spatial Data Missing ⚠",VLOOKUP(L189,'G-3 Multipliers'!$L$3:$N$6,2,FALSE)))</f>
        <v/>
      </c>
      <c r="N189" s="363" t="str">
        <f>IF(L189="","",IF(VLOOKUP(L189,'G-3 Multipliers'!$L$3:$N$6,3,FALSE)=0,"Spatial Data Missing ⚠",VLOOKUP(L189,'G-3 Multipliers'!$L$3:$N$6,3,FALSE)))</f>
        <v/>
      </c>
      <c r="O189" s="362" t="str">
        <f t="shared" si="12"/>
        <v/>
      </c>
      <c r="P189" s="159"/>
      <c r="Q189" s="159"/>
      <c r="R189" s="382" t="str">
        <f t="shared" si="13"/>
        <v/>
      </c>
      <c r="S189" s="404" t="str">
        <f t="shared" si="14"/>
        <v/>
      </c>
      <c r="T189" s="387" t="str">
        <f>IFERROR(IF(S189="Check Data ⚠","Check Data ⚠",VLOOKUP(S189,'G-4 Temporal multipliers'!$A$4:$C$37,3,FALSE)),"")</f>
        <v/>
      </c>
      <c r="U189" s="385" t="str">
        <f>IF(F189="","",VLOOKUP(F189,'G-3 Multipliers'!$A$2:$E$134,2,FALSE))</f>
        <v/>
      </c>
      <c r="V189" s="382" t="str">
        <f t="shared" si="17"/>
        <v/>
      </c>
      <c r="W189" s="382" t="str">
        <f>IF(E189="","",IF(AND(V189="Standard difficulty applied",O189&gt;P189),U189,IF(AND(V189="Low Difficulty - only applicable if all habitat created before losses ⚠",P189&gt;=O189),"Low",VLOOKUP(F189,'G-3 Multipliers'!$A$2:$E$134,4,FALSE))))</f>
        <v/>
      </c>
      <c r="X189" s="386" t="str">
        <f>IFERROR(IF(E189="","",VLOOKUP(W189, 'G-3 Multipliers'!$P$2:$Q$6,2,FALSE)),"")</f>
        <v/>
      </c>
      <c r="Y189" s="516"/>
      <c r="Z189" s="724" t="str">
        <f>IF(Y189="","",IF(VLOOKUP(Y189,'G-3 Multipliers'!$S$3:$T$10,2,FALSE)=0,"Spatial Data Missing ⚠",VLOOKUP(Y189,'G-3 Multipliers'!$S$3:$T$10,2,FALSE)))</f>
        <v/>
      </c>
      <c r="AA189" s="741" t="str">
        <f t="shared" si="15"/>
        <v/>
      </c>
      <c r="AB189" s="405" t="str">
        <f t="shared" si="16"/>
        <v/>
      </c>
      <c r="AC189" s="119"/>
      <c r="AD189" s="528"/>
      <c r="AE189" s="120"/>
      <c r="AF189" s="120"/>
    </row>
    <row r="190" spans="1:32" ht="15">
      <c r="A190" s="30" t="str">
        <f>IFERROR(INDEX('G-8 Condition Look up'!$I$4:$I$135,MATCH(F190,'G-8 Condition Look up'!$A$4:$A$135,0)),"")</f>
        <v/>
      </c>
      <c r="C190" s="75" t="str">
        <f>IFERROR(INDEX('G-1 All Habitats'!$AG$3:$AG$17,MATCH(D190,'G-1 All Habitats'!$AF$3:$AF$17,0)),"")</f>
        <v/>
      </c>
      <c r="D190" s="122"/>
      <c r="E190" s="165"/>
      <c r="F190" s="198" t="str">
        <f>IFERROR(INDEX('G-1 All Habitats'!$B$3:$B$135,MATCH(E190,'G-1 All Habitats'!$A$3:$A$135,0)),"")</f>
        <v/>
      </c>
      <c r="G190" s="300"/>
      <c r="H190" s="398" t="str">
        <f>IF(F190="","",VLOOKUP(F190,'G-1 All Habitats'!$B$2:$M$134,10,FALSE))</f>
        <v/>
      </c>
      <c r="I190" s="386" t="str">
        <f>IFERROR(VLOOKUP(H190,'G-1 All Habitats'!$V$3:$W$7,2,FALSE),"")</f>
        <v/>
      </c>
      <c r="J190" s="162"/>
      <c r="K190" s="386" t="str">
        <f>IFERROR(INDEX('G-8 Condition Look up'!$A$3:$H$135,MATCH(F190,'G-8 Condition Look up'!$A$3:$A$135,0),MATCH(J190,'G-8 Condition Look up'!$A$3:$H$3,0)),"")</f>
        <v/>
      </c>
      <c r="L190" s="114"/>
      <c r="M190" s="401" t="str">
        <f>IF(L190="","",IF(VLOOKUP(L190,'G-3 Multipliers'!$L$3:$N$6,2,FALSE)=0,"Spatial Data Missing ⚠",VLOOKUP(L190,'G-3 Multipliers'!$L$3:$N$6,2,FALSE)))</f>
        <v/>
      </c>
      <c r="N190" s="363" t="str">
        <f>IF(L190="","",IF(VLOOKUP(L190,'G-3 Multipliers'!$L$3:$N$6,3,FALSE)=0,"Spatial Data Missing ⚠",VLOOKUP(L190,'G-3 Multipliers'!$L$3:$N$6,3,FALSE)))</f>
        <v/>
      </c>
      <c r="O190" s="362" t="str">
        <f t="shared" si="12"/>
        <v/>
      </c>
      <c r="P190" s="159"/>
      <c r="Q190" s="159"/>
      <c r="R190" s="382" t="str">
        <f t="shared" si="13"/>
        <v/>
      </c>
      <c r="S190" s="404" t="str">
        <f t="shared" si="14"/>
        <v/>
      </c>
      <c r="T190" s="387" t="str">
        <f>IFERROR(IF(S190="Check Data ⚠","Check Data ⚠",VLOOKUP(S190,'G-4 Temporal multipliers'!$A$4:$C$37,3,FALSE)),"")</f>
        <v/>
      </c>
      <c r="U190" s="385" t="str">
        <f>IF(F190="","",VLOOKUP(F190,'G-3 Multipliers'!$A$2:$E$134,2,FALSE))</f>
        <v/>
      </c>
      <c r="V190" s="382" t="str">
        <f t="shared" si="17"/>
        <v/>
      </c>
      <c r="W190" s="382" t="str">
        <f>IF(E190="","",IF(AND(V190="Standard difficulty applied",O190&gt;P190),U190,IF(AND(V190="Low Difficulty - only applicable if all habitat created before losses ⚠",P190&gt;=O190),"Low",VLOOKUP(F190,'G-3 Multipliers'!$A$2:$E$134,4,FALSE))))</f>
        <v/>
      </c>
      <c r="X190" s="386" t="str">
        <f>IFERROR(IF(E190="","",VLOOKUP(W190, 'G-3 Multipliers'!$P$2:$Q$6,2,FALSE)),"")</f>
        <v/>
      </c>
      <c r="Y190" s="516"/>
      <c r="Z190" s="724" t="str">
        <f>IF(Y190="","",IF(VLOOKUP(Y190,'G-3 Multipliers'!$S$3:$T$10,2,FALSE)=0,"Spatial Data Missing ⚠",VLOOKUP(Y190,'G-3 Multipliers'!$S$3:$T$10,2,FALSE)))</f>
        <v/>
      </c>
      <c r="AA190" s="741" t="str">
        <f t="shared" si="15"/>
        <v/>
      </c>
      <c r="AB190" s="405" t="str">
        <f t="shared" si="16"/>
        <v/>
      </c>
      <c r="AC190" s="119"/>
      <c r="AD190" s="528"/>
      <c r="AE190" s="120"/>
      <c r="AF190" s="120"/>
    </row>
    <row r="191" spans="1:32" ht="15">
      <c r="A191" s="30" t="str">
        <f>IFERROR(INDEX('G-8 Condition Look up'!$I$4:$I$135,MATCH(F191,'G-8 Condition Look up'!$A$4:$A$135,0)),"")</f>
        <v/>
      </c>
      <c r="C191" s="75" t="str">
        <f>IFERROR(INDEX('G-1 All Habitats'!$AG$3:$AG$17,MATCH(D191,'G-1 All Habitats'!$AF$3:$AF$17,0)),"")</f>
        <v/>
      </c>
      <c r="D191" s="122"/>
      <c r="E191" s="165"/>
      <c r="F191" s="198" t="str">
        <f>IFERROR(INDEX('G-1 All Habitats'!$B$3:$B$135,MATCH(E191,'G-1 All Habitats'!$A$3:$A$135,0)),"")</f>
        <v/>
      </c>
      <c r="G191" s="300"/>
      <c r="H191" s="398" t="str">
        <f>IF(F191="","",VLOOKUP(F191,'G-1 All Habitats'!$B$2:$M$134,10,FALSE))</f>
        <v/>
      </c>
      <c r="I191" s="386" t="str">
        <f>IFERROR(VLOOKUP(H191,'G-1 All Habitats'!$V$3:$W$7,2,FALSE),"")</f>
        <v/>
      </c>
      <c r="J191" s="162"/>
      <c r="K191" s="386" t="str">
        <f>IFERROR(INDEX('G-8 Condition Look up'!$A$3:$H$135,MATCH(F191,'G-8 Condition Look up'!$A$3:$A$135,0),MATCH(J191,'G-8 Condition Look up'!$A$3:$H$3,0)),"")</f>
        <v/>
      </c>
      <c r="L191" s="114"/>
      <c r="M191" s="401" t="str">
        <f>IF(L191="","",IF(VLOOKUP(L191,'G-3 Multipliers'!$L$3:$N$6,2,FALSE)=0,"Spatial Data Missing ⚠",VLOOKUP(L191,'G-3 Multipliers'!$L$3:$N$6,2,FALSE)))</f>
        <v/>
      </c>
      <c r="N191" s="363" t="str">
        <f>IF(L191="","",IF(VLOOKUP(L191,'G-3 Multipliers'!$L$3:$N$6,3,FALSE)=0,"Spatial Data Missing ⚠",VLOOKUP(L191,'G-3 Multipliers'!$L$3:$N$6,3,FALSE)))</f>
        <v/>
      </c>
      <c r="O191" s="362" t="str">
        <f t="shared" si="12"/>
        <v/>
      </c>
      <c r="P191" s="159"/>
      <c r="Q191" s="159"/>
      <c r="R191" s="382" t="str">
        <f t="shared" si="13"/>
        <v/>
      </c>
      <c r="S191" s="404" t="str">
        <f t="shared" si="14"/>
        <v/>
      </c>
      <c r="T191" s="387" t="str">
        <f>IFERROR(IF(S191="Check Data ⚠","Check Data ⚠",VLOOKUP(S191,'G-4 Temporal multipliers'!$A$4:$C$37,3,FALSE)),"")</f>
        <v/>
      </c>
      <c r="U191" s="385" t="str">
        <f>IF(F191="","",VLOOKUP(F191,'G-3 Multipliers'!$A$2:$E$134,2,FALSE))</f>
        <v/>
      </c>
      <c r="V191" s="382" t="str">
        <f t="shared" si="17"/>
        <v/>
      </c>
      <c r="W191" s="382" t="str">
        <f>IF(E191="","",IF(AND(V191="Standard difficulty applied",O191&gt;P191),U191,IF(AND(V191="Low Difficulty - only applicable if all habitat created before losses ⚠",P191&gt;=O191),"Low",VLOOKUP(F191,'G-3 Multipliers'!$A$2:$E$134,4,FALSE))))</f>
        <v/>
      </c>
      <c r="X191" s="386" t="str">
        <f>IFERROR(IF(E191="","",VLOOKUP(W191, 'G-3 Multipliers'!$P$2:$Q$6,2,FALSE)),"")</f>
        <v/>
      </c>
      <c r="Y191" s="516"/>
      <c r="Z191" s="724" t="str">
        <f>IF(Y191="","",IF(VLOOKUP(Y191,'G-3 Multipliers'!$S$3:$T$10,2,FALSE)=0,"Spatial Data Missing ⚠",VLOOKUP(Y191,'G-3 Multipliers'!$S$3:$T$10,2,FALSE)))</f>
        <v/>
      </c>
      <c r="AA191" s="741" t="str">
        <f t="shared" si="15"/>
        <v/>
      </c>
      <c r="AB191" s="405" t="str">
        <f t="shared" si="16"/>
        <v/>
      </c>
      <c r="AC191" s="119"/>
      <c r="AD191" s="528"/>
      <c r="AE191" s="120"/>
      <c r="AF191" s="120"/>
    </row>
    <row r="192" spans="1:32" ht="15">
      <c r="A192" s="30" t="str">
        <f>IFERROR(INDEX('G-8 Condition Look up'!$I$4:$I$135,MATCH(F192,'G-8 Condition Look up'!$A$4:$A$135,0)),"")</f>
        <v/>
      </c>
      <c r="C192" s="75" t="str">
        <f>IFERROR(INDEX('G-1 All Habitats'!$AG$3:$AG$17,MATCH(D192,'G-1 All Habitats'!$AF$3:$AF$17,0)),"")</f>
        <v/>
      </c>
      <c r="D192" s="122"/>
      <c r="E192" s="165"/>
      <c r="F192" s="198" t="str">
        <f>IFERROR(INDEX('G-1 All Habitats'!$B$3:$B$135,MATCH(E192,'G-1 All Habitats'!$A$3:$A$135,0)),"")</f>
        <v/>
      </c>
      <c r="G192" s="300"/>
      <c r="H192" s="398" t="str">
        <f>IF(F192="","",VLOOKUP(F192,'G-1 All Habitats'!$B$2:$M$134,10,FALSE))</f>
        <v/>
      </c>
      <c r="I192" s="386" t="str">
        <f>IFERROR(VLOOKUP(H192,'G-1 All Habitats'!$V$3:$W$7,2,FALSE),"")</f>
        <v/>
      </c>
      <c r="J192" s="162"/>
      <c r="K192" s="386" t="str">
        <f>IFERROR(INDEX('G-8 Condition Look up'!$A$3:$H$135,MATCH(F192,'G-8 Condition Look up'!$A$3:$A$135,0),MATCH(J192,'G-8 Condition Look up'!$A$3:$H$3,0)),"")</f>
        <v/>
      </c>
      <c r="L192" s="114"/>
      <c r="M192" s="401" t="str">
        <f>IF(L192="","",IF(VLOOKUP(L192,'G-3 Multipliers'!$L$3:$N$6,2,FALSE)=0,"Spatial Data Missing ⚠",VLOOKUP(L192,'G-3 Multipliers'!$L$3:$N$6,2,FALSE)))</f>
        <v/>
      </c>
      <c r="N192" s="363" t="str">
        <f>IF(L192="","",IF(VLOOKUP(L192,'G-3 Multipliers'!$L$3:$N$6,3,FALSE)=0,"Spatial Data Missing ⚠",VLOOKUP(L192,'G-3 Multipliers'!$L$3:$N$6,3,FALSE)))</f>
        <v/>
      </c>
      <c r="O192" s="362" t="str">
        <f t="shared" si="12"/>
        <v/>
      </c>
      <c r="P192" s="159"/>
      <c r="Q192" s="159"/>
      <c r="R192" s="382" t="str">
        <f t="shared" si="13"/>
        <v/>
      </c>
      <c r="S192" s="404" t="str">
        <f t="shared" si="14"/>
        <v/>
      </c>
      <c r="T192" s="387" t="str">
        <f>IFERROR(IF(S192="Check Data ⚠","Check Data ⚠",VLOOKUP(S192,'G-4 Temporal multipliers'!$A$4:$C$37,3,FALSE)),"")</f>
        <v/>
      </c>
      <c r="U192" s="385" t="str">
        <f>IF(F192="","",VLOOKUP(F192,'G-3 Multipliers'!$A$2:$E$134,2,FALSE))</f>
        <v/>
      </c>
      <c r="V192" s="382" t="str">
        <f t="shared" si="17"/>
        <v/>
      </c>
      <c r="W192" s="382" t="str">
        <f>IF(E192="","",IF(AND(V192="Standard difficulty applied",O192&gt;P192),U192,IF(AND(V192="Low Difficulty - only applicable if all habitat created before losses ⚠",P192&gt;=O192),"Low",VLOOKUP(F192,'G-3 Multipliers'!$A$2:$E$134,4,FALSE))))</f>
        <v/>
      </c>
      <c r="X192" s="386" t="str">
        <f>IFERROR(IF(E192="","",VLOOKUP(W192, 'G-3 Multipliers'!$P$2:$Q$6,2,FALSE)),"")</f>
        <v/>
      </c>
      <c r="Y192" s="516"/>
      <c r="Z192" s="724" t="str">
        <f>IF(Y192="","",IF(VLOOKUP(Y192,'G-3 Multipliers'!$S$3:$T$10,2,FALSE)=0,"Spatial Data Missing ⚠",VLOOKUP(Y192,'G-3 Multipliers'!$S$3:$T$10,2,FALSE)))</f>
        <v/>
      </c>
      <c r="AA192" s="741" t="str">
        <f t="shared" si="15"/>
        <v/>
      </c>
      <c r="AB192" s="405" t="str">
        <f t="shared" si="16"/>
        <v/>
      </c>
      <c r="AC192" s="119"/>
      <c r="AD192" s="528"/>
      <c r="AE192" s="120"/>
      <c r="AF192" s="120"/>
    </row>
    <row r="193" spans="1:32" ht="15">
      <c r="A193" s="30" t="str">
        <f>IFERROR(INDEX('G-8 Condition Look up'!$I$4:$I$135,MATCH(F193,'G-8 Condition Look up'!$A$4:$A$135,0)),"")</f>
        <v/>
      </c>
      <c r="C193" s="75" t="str">
        <f>IFERROR(INDEX('G-1 All Habitats'!$AG$3:$AG$17,MATCH(D193,'G-1 All Habitats'!$AF$3:$AF$17,0)),"")</f>
        <v/>
      </c>
      <c r="D193" s="122"/>
      <c r="E193" s="165"/>
      <c r="F193" s="198" t="str">
        <f>IFERROR(INDEX('G-1 All Habitats'!$B$3:$B$135,MATCH(E193,'G-1 All Habitats'!$A$3:$A$135,0)),"")</f>
        <v/>
      </c>
      <c r="G193" s="300"/>
      <c r="H193" s="398" t="str">
        <f>IF(F193="","",VLOOKUP(F193,'G-1 All Habitats'!$B$2:$M$134,10,FALSE))</f>
        <v/>
      </c>
      <c r="I193" s="386" t="str">
        <f>IFERROR(VLOOKUP(H193,'G-1 All Habitats'!$V$3:$W$7,2,FALSE),"")</f>
        <v/>
      </c>
      <c r="J193" s="162"/>
      <c r="K193" s="386" t="str">
        <f>IFERROR(INDEX('G-8 Condition Look up'!$A$3:$H$135,MATCH(F193,'G-8 Condition Look up'!$A$3:$A$135,0),MATCH(J193,'G-8 Condition Look up'!$A$3:$H$3,0)),"")</f>
        <v/>
      </c>
      <c r="L193" s="114"/>
      <c r="M193" s="401" t="str">
        <f>IF(L193="","",IF(VLOOKUP(L193,'G-3 Multipliers'!$L$3:$N$6,2,FALSE)=0,"Spatial Data Missing ⚠",VLOOKUP(L193,'G-3 Multipliers'!$L$3:$N$6,2,FALSE)))</f>
        <v/>
      </c>
      <c r="N193" s="363" t="str">
        <f>IF(L193="","",IF(VLOOKUP(L193,'G-3 Multipliers'!$L$3:$N$6,3,FALSE)=0,"Spatial Data Missing ⚠",VLOOKUP(L193,'G-3 Multipliers'!$L$3:$N$6,3,FALSE)))</f>
        <v/>
      </c>
      <c r="O193" s="362" t="str">
        <f t="shared" si="12"/>
        <v/>
      </c>
      <c r="P193" s="159"/>
      <c r="Q193" s="159"/>
      <c r="R193" s="382" t="str">
        <f t="shared" si="13"/>
        <v/>
      </c>
      <c r="S193" s="404" t="str">
        <f t="shared" si="14"/>
        <v/>
      </c>
      <c r="T193" s="387" t="str">
        <f>IFERROR(IF(S193="Check Data ⚠","Check Data ⚠",VLOOKUP(S193,'G-4 Temporal multipliers'!$A$4:$C$37,3,FALSE)),"")</f>
        <v/>
      </c>
      <c r="U193" s="385" t="str">
        <f>IF(F193="","",VLOOKUP(F193,'G-3 Multipliers'!$A$2:$E$134,2,FALSE))</f>
        <v/>
      </c>
      <c r="V193" s="382" t="str">
        <f t="shared" si="17"/>
        <v/>
      </c>
      <c r="W193" s="382" t="str">
        <f>IF(E193="","",IF(AND(V193="Standard difficulty applied",O193&gt;P193),U193,IF(AND(V193="Low Difficulty - only applicable if all habitat created before losses ⚠",P193&gt;=O193),"Low",VLOOKUP(F193,'G-3 Multipliers'!$A$2:$E$134,4,FALSE))))</f>
        <v/>
      </c>
      <c r="X193" s="386" t="str">
        <f>IFERROR(IF(E193="","",VLOOKUP(W193, 'G-3 Multipliers'!$P$2:$Q$6,2,FALSE)),"")</f>
        <v/>
      </c>
      <c r="Y193" s="516"/>
      <c r="Z193" s="724" t="str">
        <f>IF(Y193="","",IF(VLOOKUP(Y193,'G-3 Multipliers'!$S$3:$T$10,2,FALSE)=0,"Spatial Data Missing ⚠",VLOOKUP(Y193,'G-3 Multipliers'!$S$3:$T$10,2,FALSE)))</f>
        <v/>
      </c>
      <c r="AA193" s="741" t="str">
        <f t="shared" si="15"/>
        <v/>
      </c>
      <c r="AB193" s="405" t="str">
        <f t="shared" si="16"/>
        <v/>
      </c>
      <c r="AC193" s="119"/>
      <c r="AD193" s="528"/>
      <c r="AE193" s="120"/>
      <c r="AF193" s="120"/>
    </row>
    <row r="194" spans="1:32" ht="15">
      <c r="A194" s="30" t="str">
        <f>IFERROR(INDEX('G-8 Condition Look up'!$I$4:$I$135,MATCH(F194,'G-8 Condition Look up'!$A$4:$A$135,0)),"")</f>
        <v/>
      </c>
      <c r="C194" s="75" t="str">
        <f>IFERROR(INDEX('G-1 All Habitats'!$AG$3:$AG$17,MATCH(D194,'G-1 All Habitats'!$AF$3:$AF$17,0)),"")</f>
        <v/>
      </c>
      <c r="D194" s="122"/>
      <c r="E194" s="165"/>
      <c r="F194" s="198" t="str">
        <f>IFERROR(INDEX('G-1 All Habitats'!$B$3:$B$135,MATCH(E194,'G-1 All Habitats'!$A$3:$A$135,0)),"")</f>
        <v/>
      </c>
      <c r="G194" s="300"/>
      <c r="H194" s="398" t="str">
        <f>IF(F194="","",VLOOKUP(F194,'G-1 All Habitats'!$B$2:$M$134,10,FALSE))</f>
        <v/>
      </c>
      <c r="I194" s="386" t="str">
        <f>IFERROR(VLOOKUP(H194,'G-1 All Habitats'!$V$3:$W$7,2,FALSE),"")</f>
        <v/>
      </c>
      <c r="J194" s="162"/>
      <c r="K194" s="386" t="str">
        <f>IFERROR(INDEX('G-8 Condition Look up'!$A$3:$H$135,MATCH(F194,'G-8 Condition Look up'!$A$3:$A$135,0),MATCH(J194,'G-8 Condition Look up'!$A$3:$H$3,0)),"")</f>
        <v/>
      </c>
      <c r="L194" s="114"/>
      <c r="M194" s="401" t="str">
        <f>IF(L194="","",IF(VLOOKUP(L194,'G-3 Multipliers'!$L$3:$N$6,2,FALSE)=0,"Spatial Data Missing ⚠",VLOOKUP(L194,'G-3 Multipliers'!$L$3:$N$6,2,FALSE)))</f>
        <v/>
      </c>
      <c r="N194" s="363" t="str">
        <f>IF(L194="","",IF(VLOOKUP(L194,'G-3 Multipliers'!$L$3:$N$6,3,FALSE)=0,"Spatial Data Missing ⚠",VLOOKUP(L194,'G-3 Multipliers'!$L$3:$N$6,3,FALSE)))</f>
        <v/>
      </c>
      <c r="O194" s="362" t="str">
        <f t="shared" si="12"/>
        <v/>
      </c>
      <c r="P194" s="159"/>
      <c r="Q194" s="159"/>
      <c r="R194" s="382" t="str">
        <f t="shared" si="13"/>
        <v/>
      </c>
      <c r="S194" s="404" t="str">
        <f t="shared" si="14"/>
        <v/>
      </c>
      <c r="T194" s="387" t="str">
        <f>IFERROR(IF(S194="Check Data ⚠","Check Data ⚠",VLOOKUP(S194,'G-4 Temporal multipliers'!$A$4:$C$37,3,FALSE)),"")</f>
        <v/>
      </c>
      <c r="U194" s="385" t="str">
        <f>IF(F194="","",VLOOKUP(F194,'G-3 Multipliers'!$A$2:$E$134,2,FALSE))</f>
        <v/>
      </c>
      <c r="V194" s="382" t="str">
        <f t="shared" si="17"/>
        <v/>
      </c>
      <c r="W194" s="382" t="str">
        <f>IF(E194="","",IF(AND(V194="Standard difficulty applied",O194&gt;P194),U194,IF(AND(V194="Low Difficulty - only applicable if all habitat created before losses ⚠",P194&gt;=O194),"Low",VLOOKUP(F194,'G-3 Multipliers'!$A$2:$E$134,4,FALSE))))</f>
        <v/>
      </c>
      <c r="X194" s="386" t="str">
        <f>IFERROR(IF(E194="","",VLOOKUP(W194, 'G-3 Multipliers'!$P$2:$Q$6,2,FALSE)),"")</f>
        <v/>
      </c>
      <c r="Y194" s="516"/>
      <c r="Z194" s="724" t="str">
        <f>IF(Y194="","",IF(VLOOKUP(Y194,'G-3 Multipliers'!$S$3:$T$10,2,FALSE)=0,"Spatial Data Missing ⚠",VLOOKUP(Y194,'G-3 Multipliers'!$S$3:$T$10,2,FALSE)))</f>
        <v/>
      </c>
      <c r="AA194" s="741" t="str">
        <f t="shared" si="15"/>
        <v/>
      </c>
      <c r="AB194" s="405" t="str">
        <f t="shared" si="16"/>
        <v/>
      </c>
      <c r="AC194" s="119"/>
      <c r="AD194" s="528"/>
      <c r="AE194" s="120"/>
      <c r="AF194" s="120"/>
    </row>
    <row r="195" spans="1:32" ht="15">
      <c r="A195" s="30" t="str">
        <f>IFERROR(INDEX('G-8 Condition Look up'!$I$4:$I$135,MATCH(F195,'G-8 Condition Look up'!$A$4:$A$135,0)),"")</f>
        <v/>
      </c>
      <c r="C195" s="75" t="str">
        <f>IFERROR(INDEX('G-1 All Habitats'!$AG$3:$AG$17,MATCH(D195,'G-1 All Habitats'!$AF$3:$AF$17,0)),"")</f>
        <v/>
      </c>
      <c r="D195" s="122"/>
      <c r="E195" s="165"/>
      <c r="F195" s="198" t="str">
        <f>IFERROR(INDEX('G-1 All Habitats'!$B$3:$B$135,MATCH(E195,'G-1 All Habitats'!$A$3:$A$135,0)),"")</f>
        <v/>
      </c>
      <c r="G195" s="300"/>
      <c r="H195" s="398" t="str">
        <f>IF(F195="","",VLOOKUP(F195,'G-1 All Habitats'!$B$2:$M$134,10,FALSE))</f>
        <v/>
      </c>
      <c r="I195" s="386" t="str">
        <f>IFERROR(VLOOKUP(H195,'G-1 All Habitats'!$V$3:$W$7,2,FALSE),"")</f>
        <v/>
      </c>
      <c r="J195" s="162"/>
      <c r="K195" s="386" t="str">
        <f>IFERROR(INDEX('G-8 Condition Look up'!$A$3:$H$135,MATCH(F195,'G-8 Condition Look up'!$A$3:$A$135,0),MATCH(J195,'G-8 Condition Look up'!$A$3:$H$3,0)),"")</f>
        <v/>
      </c>
      <c r="L195" s="114"/>
      <c r="M195" s="401" t="str">
        <f>IF(L195="","",IF(VLOOKUP(L195,'G-3 Multipliers'!$L$3:$N$6,2,FALSE)=0,"Spatial Data Missing ⚠",VLOOKUP(L195,'G-3 Multipliers'!$L$3:$N$6,2,FALSE)))</f>
        <v/>
      </c>
      <c r="N195" s="363" t="str">
        <f>IF(L195="","",IF(VLOOKUP(L195,'G-3 Multipliers'!$L$3:$N$6,3,FALSE)=0,"Spatial Data Missing ⚠",VLOOKUP(L195,'G-3 Multipliers'!$L$3:$N$6,3,FALSE)))</f>
        <v/>
      </c>
      <c r="O195" s="362" t="str">
        <f t="shared" si="12"/>
        <v/>
      </c>
      <c r="P195" s="159"/>
      <c r="Q195" s="159"/>
      <c r="R195" s="382" t="str">
        <f t="shared" si="13"/>
        <v/>
      </c>
      <c r="S195" s="404" t="str">
        <f t="shared" si="14"/>
        <v/>
      </c>
      <c r="T195" s="387" t="str">
        <f>IFERROR(IF(S195="Check Data ⚠","Check Data ⚠",VLOOKUP(S195,'G-4 Temporal multipliers'!$A$4:$C$37,3,FALSE)),"")</f>
        <v/>
      </c>
      <c r="U195" s="385" t="str">
        <f>IF(F195="","",VLOOKUP(F195,'G-3 Multipliers'!$A$2:$E$134,2,FALSE))</f>
        <v/>
      </c>
      <c r="V195" s="382" t="str">
        <f t="shared" si="17"/>
        <v/>
      </c>
      <c r="W195" s="382" t="str">
        <f>IF(E195="","",IF(AND(V195="Standard difficulty applied",O195&gt;P195),U195,IF(AND(V195="Low Difficulty - only applicable if all habitat created before losses ⚠",P195&gt;=O195),"Low",VLOOKUP(F195,'G-3 Multipliers'!$A$2:$E$134,4,FALSE))))</f>
        <v/>
      </c>
      <c r="X195" s="386" t="str">
        <f>IFERROR(IF(E195="","",VLOOKUP(W195, 'G-3 Multipliers'!$P$2:$Q$6,2,FALSE)),"")</f>
        <v/>
      </c>
      <c r="Y195" s="516"/>
      <c r="Z195" s="724" t="str">
        <f>IF(Y195="","",IF(VLOOKUP(Y195,'G-3 Multipliers'!$S$3:$T$10,2,FALSE)=0,"Spatial Data Missing ⚠",VLOOKUP(Y195,'G-3 Multipliers'!$S$3:$T$10,2,FALSE)))</f>
        <v/>
      </c>
      <c r="AA195" s="741" t="str">
        <f t="shared" si="15"/>
        <v/>
      </c>
      <c r="AB195" s="405" t="str">
        <f t="shared" si="16"/>
        <v/>
      </c>
      <c r="AC195" s="119"/>
      <c r="AD195" s="528"/>
      <c r="AE195" s="120"/>
      <c r="AF195" s="120"/>
    </row>
    <row r="196" spans="1:32" ht="15">
      <c r="A196" s="30" t="str">
        <f>IFERROR(INDEX('G-8 Condition Look up'!$I$4:$I$135,MATCH(F196,'G-8 Condition Look up'!$A$4:$A$135,0)),"")</f>
        <v/>
      </c>
      <c r="C196" s="75" t="str">
        <f>IFERROR(INDEX('G-1 All Habitats'!$AG$3:$AG$17,MATCH(D196,'G-1 All Habitats'!$AF$3:$AF$17,0)),"")</f>
        <v/>
      </c>
      <c r="D196" s="122"/>
      <c r="E196" s="165"/>
      <c r="F196" s="198" t="str">
        <f>IFERROR(INDEX('G-1 All Habitats'!$B$3:$B$135,MATCH(E196,'G-1 All Habitats'!$A$3:$A$135,0)),"")</f>
        <v/>
      </c>
      <c r="G196" s="300"/>
      <c r="H196" s="398" t="str">
        <f>IF(F196="","",VLOOKUP(F196,'G-1 All Habitats'!$B$2:$M$134,10,FALSE))</f>
        <v/>
      </c>
      <c r="I196" s="386" t="str">
        <f>IFERROR(VLOOKUP(H196,'G-1 All Habitats'!$V$3:$W$7,2,FALSE),"")</f>
        <v/>
      </c>
      <c r="J196" s="162"/>
      <c r="K196" s="386" t="str">
        <f>IFERROR(INDEX('G-8 Condition Look up'!$A$3:$H$135,MATCH(F196,'G-8 Condition Look up'!$A$3:$A$135,0),MATCH(J196,'G-8 Condition Look up'!$A$3:$H$3,0)),"")</f>
        <v/>
      </c>
      <c r="L196" s="114"/>
      <c r="M196" s="401" t="str">
        <f>IF(L196="","",IF(VLOOKUP(L196,'G-3 Multipliers'!$L$3:$N$6,2,FALSE)=0,"Spatial Data Missing ⚠",VLOOKUP(L196,'G-3 Multipliers'!$L$3:$N$6,2,FALSE)))</f>
        <v/>
      </c>
      <c r="N196" s="363" t="str">
        <f>IF(L196="","",IF(VLOOKUP(L196,'G-3 Multipliers'!$L$3:$N$6,3,FALSE)=0,"Spatial Data Missing ⚠",VLOOKUP(L196,'G-3 Multipliers'!$L$3:$N$6,3,FALSE)))</f>
        <v/>
      </c>
      <c r="O196" s="362" t="str">
        <f t="shared" si="12"/>
        <v/>
      </c>
      <c r="P196" s="159"/>
      <c r="Q196" s="159"/>
      <c r="R196" s="382" t="str">
        <f t="shared" si="13"/>
        <v/>
      </c>
      <c r="S196" s="404" t="str">
        <f t="shared" si="14"/>
        <v/>
      </c>
      <c r="T196" s="387" t="str">
        <f>IFERROR(IF(S196="Check Data ⚠","Check Data ⚠",VLOOKUP(S196,'G-4 Temporal multipliers'!$A$4:$C$37,3,FALSE)),"")</f>
        <v/>
      </c>
      <c r="U196" s="385" t="str">
        <f>IF(F196="","",VLOOKUP(F196,'G-3 Multipliers'!$A$2:$E$134,2,FALSE))</f>
        <v/>
      </c>
      <c r="V196" s="382" t="str">
        <f t="shared" si="17"/>
        <v/>
      </c>
      <c r="W196" s="382" t="str">
        <f>IF(E196="","",IF(AND(V196="Standard difficulty applied",O196&gt;P196),U196,IF(AND(V196="Low Difficulty - only applicable if all habitat created before losses ⚠",P196&gt;=O196),"Low",VLOOKUP(F196,'G-3 Multipliers'!$A$2:$E$134,4,FALSE))))</f>
        <v/>
      </c>
      <c r="X196" s="386" t="str">
        <f>IFERROR(IF(E196="","",VLOOKUP(W196, 'G-3 Multipliers'!$P$2:$Q$6,2,FALSE)),"")</f>
        <v/>
      </c>
      <c r="Y196" s="516"/>
      <c r="Z196" s="724" t="str">
        <f>IF(Y196="","",IF(VLOOKUP(Y196,'G-3 Multipliers'!$S$3:$T$10,2,FALSE)=0,"Spatial Data Missing ⚠",VLOOKUP(Y196,'G-3 Multipliers'!$S$3:$T$10,2,FALSE)))</f>
        <v/>
      </c>
      <c r="AA196" s="741" t="str">
        <f t="shared" si="15"/>
        <v/>
      </c>
      <c r="AB196" s="405" t="str">
        <f t="shared" si="16"/>
        <v/>
      </c>
      <c r="AC196" s="119"/>
      <c r="AD196" s="528"/>
      <c r="AE196" s="120"/>
      <c r="AF196" s="120"/>
    </row>
    <row r="197" spans="1:32" ht="15">
      <c r="A197" s="30" t="str">
        <f>IFERROR(INDEX('G-8 Condition Look up'!$I$4:$I$135,MATCH(F197,'G-8 Condition Look up'!$A$4:$A$135,0)),"")</f>
        <v/>
      </c>
      <c r="C197" s="75" t="str">
        <f>IFERROR(INDEX('G-1 All Habitats'!$AG$3:$AG$17,MATCH(D197,'G-1 All Habitats'!$AF$3:$AF$17,0)),"")</f>
        <v/>
      </c>
      <c r="D197" s="122"/>
      <c r="E197" s="165"/>
      <c r="F197" s="198" t="str">
        <f>IFERROR(INDEX('G-1 All Habitats'!$B$3:$B$135,MATCH(E197,'G-1 All Habitats'!$A$3:$A$135,0)),"")</f>
        <v/>
      </c>
      <c r="G197" s="300"/>
      <c r="H197" s="398" t="str">
        <f>IF(F197="","",VLOOKUP(F197,'G-1 All Habitats'!$B$2:$M$134,10,FALSE))</f>
        <v/>
      </c>
      <c r="I197" s="386" t="str">
        <f>IFERROR(VLOOKUP(H197,'G-1 All Habitats'!$V$3:$W$7,2,FALSE),"")</f>
        <v/>
      </c>
      <c r="J197" s="162"/>
      <c r="K197" s="386" t="str">
        <f>IFERROR(INDEX('G-8 Condition Look up'!$A$3:$H$135,MATCH(F197,'G-8 Condition Look up'!$A$3:$A$135,0),MATCH(J197,'G-8 Condition Look up'!$A$3:$H$3,0)),"")</f>
        <v/>
      </c>
      <c r="L197" s="114"/>
      <c r="M197" s="401" t="str">
        <f>IF(L197="","",IF(VLOOKUP(L197,'G-3 Multipliers'!$L$3:$N$6,2,FALSE)=0,"Spatial Data Missing ⚠",VLOOKUP(L197,'G-3 Multipliers'!$L$3:$N$6,2,FALSE)))</f>
        <v/>
      </c>
      <c r="N197" s="363" t="str">
        <f>IF(L197="","",IF(VLOOKUP(L197,'G-3 Multipliers'!$L$3:$N$6,3,FALSE)=0,"Spatial Data Missing ⚠",VLOOKUP(L197,'G-3 Multipliers'!$L$3:$N$6,3,FALSE)))</f>
        <v/>
      </c>
      <c r="O197" s="362" t="str">
        <f t="shared" si="12"/>
        <v/>
      </c>
      <c r="P197" s="159"/>
      <c r="Q197" s="159"/>
      <c r="R197" s="382" t="str">
        <f t="shared" si="13"/>
        <v/>
      </c>
      <c r="S197" s="404" t="str">
        <f t="shared" si="14"/>
        <v/>
      </c>
      <c r="T197" s="387" t="str">
        <f>IFERROR(IF(S197="Check Data ⚠","Check Data ⚠",VLOOKUP(S197,'G-4 Temporal multipliers'!$A$4:$C$37,3,FALSE)),"")</f>
        <v/>
      </c>
      <c r="U197" s="385" t="str">
        <f>IF(F197="","",VLOOKUP(F197,'G-3 Multipliers'!$A$2:$E$134,2,FALSE))</f>
        <v/>
      </c>
      <c r="V197" s="382" t="str">
        <f t="shared" si="17"/>
        <v/>
      </c>
      <c r="W197" s="382" t="str">
        <f>IF(E197="","",IF(AND(V197="Standard difficulty applied",O197&gt;P197),U197,IF(AND(V197="Low Difficulty - only applicable if all habitat created before losses ⚠",P197&gt;=O197),"Low",VLOOKUP(F197,'G-3 Multipliers'!$A$2:$E$134,4,FALSE))))</f>
        <v/>
      </c>
      <c r="X197" s="386" t="str">
        <f>IFERROR(IF(E197="","",VLOOKUP(W197, 'G-3 Multipliers'!$P$2:$Q$6,2,FALSE)),"")</f>
        <v/>
      </c>
      <c r="Y197" s="516"/>
      <c r="Z197" s="724" t="str">
        <f>IF(Y197="","",IF(VLOOKUP(Y197,'G-3 Multipliers'!$S$3:$T$10,2,FALSE)=0,"Spatial Data Missing ⚠",VLOOKUP(Y197,'G-3 Multipliers'!$S$3:$T$10,2,FALSE)))</f>
        <v/>
      </c>
      <c r="AA197" s="741" t="str">
        <f t="shared" si="15"/>
        <v/>
      </c>
      <c r="AB197" s="405" t="str">
        <f t="shared" si="16"/>
        <v/>
      </c>
      <c r="AC197" s="119"/>
      <c r="AD197" s="528"/>
      <c r="AE197" s="120"/>
      <c r="AF197" s="120"/>
    </row>
    <row r="198" spans="1:32" ht="15">
      <c r="A198" s="30" t="str">
        <f>IFERROR(INDEX('G-8 Condition Look up'!$I$4:$I$135,MATCH(F198,'G-8 Condition Look up'!$A$4:$A$135,0)),"")</f>
        <v/>
      </c>
      <c r="C198" s="75" t="str">
        <f>IFERROR(INDEX('G-1 All Habitats'!$AG$3:$AG$17,MATCH(D198,'G-1 All Habitats'!$AF$3:$AF$17,0)),"")</f>
        <v/>
      </c>
      <c r="D198" s="122"/>
      <c r="E198" s="165"/>
      <c r="F198" s="198" t="str">
        <f>IFERROR(INDEX('G-1 All Habitats'!$B$3:$B$135,MATCH(E198,'G-1 All Habitats'!$A$3:$A$135,0)),"")</f>
        <v/>
      </c>
      <c r="G198" s="300"/>
      <c r="H198" s="398" t="str">
        <f>IF(F198="","",VLOOKUP(F198,'G-1 All Habitats'!$B$2:$M$134,10,FALSE))</f>
        <v/>
      </c>
      <c r="I198" s="386" t="str">
        <f>IFERROR(VLOOKUP(H198,'G-1 All Habitats'!$V$3:$W$7,2,FALSE),"")</f>
        <v/>
      </c>
      <c r="J198" s="162"/>
      <c r="K198" s="386" t="str">
        <f>IFERROR(INDEX('G-8 Condition Look up'!$A$3:$H$135,MATCH(F198,'G-8 Condition Look up'!$A$3:$A$135,0),MATCH(J198,'G-8 Condition Look up'!$A$3:$H$3,0)),"")</f>
        <v/>
      </c>
      <c r="L198" s="114"/>
      <c r="M198" s="401" t="str">
        <f>IF(L198="","",IF(VLOOKUP(L198,'G-3 Multipliers'!$L$3:$N$6,2,FALSE)=0,"Spatial Data Missing ⚠",VLOOKUP(L198,'G-3 Multipliers'!$L$3:$N$6,2,FALSE)))</f>
        <v/>
      </c>
      <c r="N198" s="363" t="str">
        <f>IF(L198="","",IF(VLOOKUP(L198,'G-3 Multipliers'!$L$3:$N$6,3,FALSE)=0,"Spatial Data Missing ⚠",VLOOKUP(L198,'G-3 Multipliers'!$L$3:$N$6,3,FALSE)))</f>
        <v/>
      </c>
      <c r="O198" s="362" t="str">
        <f t="shared" si="12"/>
        <v/>
      </c>
      <c r="P198" s="159"/>
      <c r="Q198" s="159"/>
      <c r="R198" s="382" t="str">
        <f t="shared" si="13"/>
        <v/>
      </c>
      <c r="S198" s="404" t="str">
        <f t="shared" si="14"/>
        <v/>
      </c>
      <c r="T198" s="387" t="str">
        <f>IFERROR(IF(S198="Check Data ⚠","Check Data ⚠",VLOOKUP(S198,'G-4 Temporal multipliers'!$A$4:$C$37,3,FALSE)),"")</f>
        <v/>
      </c>
      <c r="U198" s="385" t="str">
        <f>IF(F198="","",VLOOKUP(F198,'G-3 Multipliers'!$A$2:$E$134,2,FALSE))</f>
        <v/>
      </c>
      <c r="V198" s="382" t="str">
        <f t="shared" si="17"/>
        <v/>
      </c>
      <c r="W198" s="382" t="str">
        <f>IF(E198="","",IF(AND(V198="Standard difficulty applied",O198&gt;P198),U198,IF(AND(V198="Low Difficulty - only applicable if all habitat created before losses ⚠",P198&gt;=O198),"Low",VLOOKUP(F198,'G-3 Multipliers'!$A$2:$E$134,4,FALSE))))</f>
        <v/>
      </c>
      <c r="X198" s="386" t="str">
        <f>IFERROR(IF(E198="","",VLOOKUP(W198, 'G-3 Multipliers'!$P$2:$Q$6,2,FALSE)),"")</f>
        <v/>
      </c>
      <c r="Y198" s="516"/>
      <c r="Z198" s="724" t="str">
        <f>IF(Y198="","",IF(VLOOKUP(Y198,'G-3 Multipliers'!$S$3:$T$10,2,FALSE)=0,"Spatial Data Missing ⚠",VLOOKUP(Y198,'G-3 Multipliers'!$S$3:$T$10,2,FALSE)))</f>
        <v/>
      </c>
      <c r="AA198" s="741" t="str">
        <f t="shared" si="15"/>
        <v/>
      </c>
      <c r="AB198" s="405" t="str">
        <f t="shared" si="16"/>
        <v/>
      </c>
      <c r="AC198" s="119"/>
      <c r="AD198" s="528"/>
      <c r="AE198" s="120"/>
      <c r="AF198" s="120"/>
    </row>
    <row r="199" spans="1:32" ht="15">
      <c r="A199" s="30" t="str">
        <f>IFERROR(INDEX('G-8 Condition Look up'!$I$4:$I$135,MATCH(F199,'G-8 Condition Look up'!$A$4:$A$135,0)),"")</f>
        <v/>
      </c>
      <c r="C199" s="75" t="str">
        <f>IFERROR(INDEX('G-1 All Habitats'!$AG$3:$AG$17,MATCH(D199,'G-1 All Habitats'!$AF$3:$AF$17,0)),"")</f>
        <v/>
      </c>
      <c r="D199" s="122"/>
      <c r="E199" s="165"/>
      <c r="F199" s="198" t="str">
        <f>IFERROR(INDEX('G-1 All Habitats'!$B$3:$B$135,MATCH(E199,'G-1 All Habitats'!$A$3:$A$135,0)),"")</f>
        <v/>
      </c>
      <c r="G199" s="300"/>
      <c r="H199" s="398" t="str">
        <f>IF(F199="","",VLOOKUP(F199,'G-1 All Habitats'!$B$2:$M$134,10,FALSE))</f>
        <v/>
      </c>
      <c r="I199" s="386" t="str">
        <f>IFERROR(VLOOKUP(H199,'G-1 All Habitats'!$V$3:$W$7,2,FALSE),"")</f>
        <v/>
      </c>
      <c r="J199" s="162"/>
      <c r="K199" s="386" t="str">
        <f>IFERROR(INDEX('G-8 Condition Look up'!$A$3:$H$135,MATCH(F199,'G-8 Condition Look up'!$A$3:$A$135,0),MATCH(J199,'G-8 Condition Look up'!$A$3:$H$3,0)),"")</f>
        <v/>
      </c>
      <c r="L199" s="114"/>
      <c r="M199" s="401" t="str">
        <f>IF(L199="","",IF(VLOOKUP(L199,'G-3 Multipliers'!$L$3:$N$6,2,FALSE)=0,"Spatial Data Missing ⚠",VLOOKUP(L199,'G-3 Multipliers'!$L$3:$N$6,2,FALSE)))</f>
        <v/>
      </c>
      <c r="N199" s="363" t="str">
        <f>IF(L199="","",IF(VLOOKUP(L199,'G-3 Multipliers'!$L$3:$N$6,3,FALSE)=0,"Spatial Data Missing ⚠",VLOOKUP(L199,'G-3 Multipliers'!$L$3:$N$6,3,FALSE)))</f>
        <v/>
      </c>
      <c r="O199" s="362" t="str">
        <f t="shared" si="12"/>
        <v/>
      </c>
      <c r="P199" s="159"/>
      <c r="Q199" s="159"/>
      <c r="R199" s="382" t="str">
        <f t="shared" si="13"/>
        <v/>
      </c>
      <c r="S199" s="404" t="str">
        <f t="shared" si="14"/>
        <v/>
      </c>
      <c r="T199" s="387" t="str">
        <f>IFERROR(IF(S199="Check Data ⚠","Check Data ⚠",VLOOKUP(S199,'G-4 Temporal multipliers'!$A$4:$C$37,3,FALSE)),"")</f>
        <v/>
      </c>
      <c r="U199" s="385" t="str">
        <f>IF(F199="","",VLOOKUP(F199,'G-3 Multipliers'!$A$2:$E$134,2,FALSE))</f>
        <v/>
      </c>
      <c r="V199" s="382" t="str">
        <f t="shared" si="17"/>
        <v/>
      </c>
      <c r="W199" s="382" t="str">
        <f>IF(E199="","",IF(AND(V199="Standard difficulty applied",O199&gt;P199),U199,IF(AND(V199="Low Difficulty - only applicable if all habitat created before losses ⚠",P199&gt;=O199),"Low",VLOOKUP(F199,'G-3 Multipliers'!$A$2:$E$134,4,FALSE))))</f>
        <v/>
      </c>
      <c r="X199" s="386" t="str">
        <f>IFERROR(IF(E199="","",VLOOKUP(W199, 'G-3 Multipliers'!$P$2:$Q$6,2,FALSE)),"")</f>
        <v/>
      </c>
      <c r="Y199" s="516"/>
      <c r="Z199" s="724" t="str">
        <f>IF(Y199="","",IF(VLOOKUP(Y199,'G-3 Multipliers'!$S$3:$T$10,2,FALSE)=0,"Spatial Data Missing ⚠",VLOOKUP(Y199,'G-3 Multipliers'!$S$3:$T$10,2,FALSE)))</f>
        <v/>
      </c>
      <c r="AA199" s="741" t="str">
        <f t="shared" si="15"/>
        <v/>
      </c>
      <c r="AB199" s="405" t="str">
        <f t="shared" si="16"/>
        <v/>
      </c>
      <c r="AC199" s="119"/>
      <c r="AD199" s="528"/>
      <c r="AE199" s="120"/>
      <c r="AF199" s="120"/>
    </row>
    <row r="200" spans="1:32" ht="15">
      <c r="A200" s="30" t="str">
        <f>IFERROR(INDEX('G-8 Condition Look up'!$I$4:$I$135,MATCH(F200,'G-8 Condition Look up'!$A$4:$A$135,0)),"")</f>
        <v/>
      </c>
      <c r="C200" s="75" t="str">
        <f>IFERROR(INDEX('G-1 All Habitats'!$AG$3:$AG$17,MATCH(D200,'G-1 All Habitats'!$AF$3:$AF$17,0)),"")</f>
        <v/>
      </c>
      <c r="D200" s="122"/>
      <c r="E200" s="165"/>
      <c r="F200" s="198" t="str">
        <f>IFERROR(INDEX('G-1 All Habitats'!$B$3:$B$135,MATCH(E200,'G-1 All Habitats'!$A$3:$A$135,0)),"")</f>
        <v/>
      </c>
      <c r="G200" s="300"/>
      <c r="H200" s="398" t="str">
        <f>IF(F200="","",VLOOKUP(F200,'G-1 All Habitats'!$B$2:$M$134,10,FALSE))</f>
        <v/>
      </c>
      <c r="I200" s="386" t="str">
        <f>IFERROR(VLOOKUP(H200,'G-1 All Habitats'!$V$3:$W$7,2,FALSE),"")</f>
        <v/>
      </c>
      <c r="J200" s="162"/>
      <c r="K200" s="386" t="str">
        <f>IFERROR(INDEX('G-8 Condition Look up'!$A$3:$H$135,MATCH(F200,'G-8 Condition Look up'!$A$3:$A$135,0),MATCH(J200,'G-8 Condition Look up'!$A$3:$H$3,0)),"")</f>
        <v/>
      </c>
      <c r="L200" s="114"/>
      <c r="M200" s="401" t="str">
        <f>IF(L200="","",IF(VLOOKUP(L200,'G-3 Multipliers'!$L$3:$N$6,2,FALSE)=0,"Spatial Data Missing ⚠",VLOOKUP(L200,'G-3 Multipliers'!$L$3:$N$6,2,FALSE)))</f>
        <v/>
      </c>
      <c r="N200" s="363" t="str">
        <f>IF(L200="","",IF(VLOOKUP(L200,'G-3 Multipliers'!$L$3:$N$6,3,FALSE)=0,"Spatial Data Missing ⚠",VLOOKUP(L200,'G-3 Multipliers'!$L$3:$N$6,3,FALSE)))</f>
        <v/>
      </c>
      <c r="O200" s="362" t="str">
        <f t="shared" si="12"/>
        <v/>
      </c>
      <c r="P200" s="159"/>
      <c r="Q200" s="159"/>
      <c r="R200" s="382" t="str">
        <f t="shared" si="13"/>
        <v/>
      </c>
      <c r="S200" s="404" t="str">
        <f t="shared" si="14"/>
        <v/>
      </c>
      <c r="T200" s="387" t="str">
        <f>IFERROR(IF(S200="Check Data ⚠","Check Data ⚠",VLOOKUP(S200,'G-4 Temporal multipliers'!$A$4:$C$37,3,FALSE)),"")</f>
        <v/>
      </c>
      <c r="U200" s="385" t="str">
        <f>IF(F200="","",VLOOKUP(F200,'G-3 Multipliers'!$A$2:$E$134,2,FALSE))</f>
        <v/>
      </c>
      <c r="V200" s="382" t="str">
        <f t="shared" si="17"/>
        <v/>
      </c>
      <c r="W200" s="382" t="str">
        <f>IF(E200="","",IF(AND(V200="Standard difficulty applied",O200&gt;P200),U200,IF(AND(V200="Low Difficulty - only applicable if all habitat created before losses ⚠",P200&gt;=O200),"Low",VLOOKUP(F200,'G-3 Multipliers'!$A$2:$E$134,4,FALSE))))</f>
        <v/>
      </c>
      <c r="X200" s="386" t="str">
        <f>IFERROR(IF(E200="","",VLOOKUP(W200, 'G-3 Multipliers'!$P$2:$Q$6,2,FALSE)),"")</f>
        <v/>
      </c>
      <c r="Y200" s="516"/>
      <c r="Z200" s="724" t="str">
        <f>IF(Y200="","",IF(VLOOKUP(Y200,'G-3 Multipliers'!$S$3:$T$10,2,FALSE)=0,"Spatial Data Missing ⚠",VLOOKUP(Y200,'G-3 Multipliers'!$S$3:$T$10,2,FALSE)))</f>
        <v/>
      </c>
      <c r="AA200" s="741" t="str">
        <f t="shared" si="15"/>
        <v/>
      </c>
      <c r="AB200" s="405" t="str">
        <f t="shared" si="16"/>
        <v/>
      </c>
      <c r="AC200" s="119"/>
      <c r="AD200" s="528"/>
      <c r="AE200" s="120"/>
      <c r="AF200" s="120"/>
    </row>
    <row r="201" spans="1:32" ht="15">
      <c r="A201" s="30" t="str">
        <f>IFERROR(INDEX('G-8 Condition Look up'!$I$4:$I$135,MATCH(F201,'G-8 Condition Look up'!$A$4:$A$135,0)),"")</f>
        <v/>
      </c>
      <c r="C201" s="75" t="str">
        <f>IFERROR(INDEX('G-1 All Habitats'!$AG$3:$AG$17,MATCH(D201,'G-1 All Habitats'!$AF$3:$AF$17,0)),"")</f>
        <v/>
      </c>
      <c r="D201" s="122"/>
      <c r="E201" s="165"/>
      <c r="F201" s="198" t="str">
        <f>IFERROR(INDEX('G-1 All Habitats'!$B$3:$B$135,MATCH(E201,'G-1 All Habitats'!$A$3:$A$135,0)),"")</f>
        <v/>
      </c>
      <c r="G201" s="300"/>
      <c r="H201" s="398" t="str">
        <f>IF(F201="","",VLOOKUP(F201,'G-1 All Habitats'!$B$2:$M$134,10,FALSE))</f>
        <v/>
      </c>
      <c r="I201" s="386" t="str">
        <f>IFERROR(VLOOKUP(H201,'G-1 All Habitats'!$V$3:$W$7,2,FALSE),"")</f>
        <v/>
      </c>
      <c r="J201" s="162"/>
      <c r="K201" s="386" t="str">
        <f>IFERROR(INDEX('G-8 Condition Look up'!$A$3:$H$135,MATCH(F201,'G-8 Condition Look up'!$A$3:$A$135,0),MATCH(J201,'G-8 Condition Look up'!$A$3:$H$3,0)),"")</f>
        <v/>
      </c>
      <c r="L201" s="114"/>
      <c r="M201" s="401" t="str">
        <f>IF(L201="","",IF(VLOOKUP(L201,'G-3 Multipliers'!$L$3:$N$6,2,FALSE)=0,"Spatial Data Missing ⚠",VLOOKUP(L201,'G-3 Multipliers'!$L$3:$N$6,2,FALSE)))</f>
        <v/>
      </c>
      <c r="N201" s="363" t="str">
        <f>IF(L201="","",IF(VLOOKUP(L201,'G-3 Multipliers'!$L$3:$N$6,3,FALSE)=0,"Spatial Data Missing ⚠",VLOOKUP(L201,'G-3 Multipliers'!$L$3:$N$6,3,FALSE)))</f>
        <v/>
      </c>
      <c r="O201" s="362" t="str">
        <f t="shared" si="12"/>
        <v/>
      </c>
      <c r="P201" s="159"/>
      <c r="Q201" s="159"/>
      <c r="R201" s="382" t="str">
        <f t="shared" si="13"/>
        <v/>
      </c>
      <c r="S201" s="404" t="str">
        <f t="shared" si="14"/>
        <v/>
      </c>
      <c r="T201" s="387" t="str">
        <f>IFERROR(IF(S201="Check Data ⚠","Check Data ⚠",VLOOKUP(S201,'G-4 Temporal multipliers'!$A$4:$C$37,3,FALSE)),"")</f>
        <v/>
      </c>
      <c r="U201" s="385" t="str">
        <f>IF(F201="","",VLOOKUP(F201,'G-3 Multipliers'!$A$2:$E$134,2,FALSE))</f>
        <v/>
      </c>
      <c r="V201" s="382" t="str">
        <f t="shared" si="17"/>
        <v/>
      </c>
      <c r="W201" s="382" t="str">
        <f>IF(E201="","",IF(AND(V201="Standard difficulty applied",O201&gt;P201),U201,IF(AND(V201="Low Difficulty - only applicable if all habitat created before losses ⚠",P201&gt;=O201),"Low",VLOOKUP(F201,'G-3 Multipliers'!$A$2:$E$134,4,FALSE))))</f>
        <v/>
      </c>
      <c r="X201" s="386" t="str">
        <f>IFERROR(IF(E201="","",VLOOKUP(W201, 'G-3 Multipliers'!$P$2:$Q$6,2,FALSE)),"")</f>
        <v/>
      </c>
      <c r="Y201" s="516"/>
      <c r="Z201" s="724" t="str">
        <f>IF(Y201="","",IF(VLOOKUP(Y201,'G-3 Multipliers'!$S$3:$T$10,2,FALSE)=0,"Spatial Data Missing ⚠",VLOOKUP(Y201,'G-3 Multipliers'!$S$3:$T$10,2,FALSE)))</f>
        <v/>
      </c>
      <c r="AA201" s="741" t="str">
        <f t="shared" si="15"/>
        <v/>
      </c>
      <c r="AB201" s="405" t="str">
        <f t="shared" si="16"/>
        <v/>
      </c>
      <c r="AC201" s="119"/>
      <c r="AD201" s="528"/>
      <c r="AE201" s="120"/>
      <c r="AF201" s="120"/>
    </row>
    <row r="202" spans="1:32" ht="15">
      <c r="A202" s="30" t="str">
        <f>IFERROR(INDEX('G-8 Condition Look up'!$I$4:$I$135,MATCH(F202,'G-8 Condition Look up'!$A$4:$A$135,0)),"")</f>
        <v/>
      </c>
      <c r="C202" s="75" t="str">
        <f>IFERROR(INDEX('G-1 All Habitats'!$AG$3:$AG$17,MATCH(D202,'G-1 All Habitats'!$AF$3:$AF$17,0)),"")</f>
        <v/>
      </c>
      <c r="D202" s="122"/>
      <c r="E202" s="165"/>
      <c r="F202" s="198" t="str">
        <f>IFERROR(INDEX('G-1 All Habitats'!$B$3:$B$135,MATCH(E202,'G-1 All Habitats'!$A$3:$A$135,0)),"")</f>
        <v/>
      </c>
      <c r="G202" s="300"/>
      <c r="H202" s="398" t="str">
        <f>IF(F202="","",VLOOKUP(F202,'G-1 All Habitats'!$B$2:$M$134,10,FALSE))</f>
        <v/>
      </c>
      <c r="I202" s="386" t="str">
        <f>IFERROR(VLOOKUP(H202,'G-1 All Habitats'!$V$3:$W$7,2,FALSE),"")</f>
        <v/>
      </c>
      <c r="J202" s="162"/>
      <c r="K202" s="386" t="str">
        <f>IFERROR(INDEX('G-8 Condition Look up'!$A$3:$H$135,MATCH(F202,'G-8 Condition Look up'!$A$3:$A$135,0),MATCH(J202,'G-8 Condition Look up'!$A$3:$H$3,0)),"")</f>
        <v/>
      </c>
      <c r="L202" s="114"/>
      <c r="M202" s="401" t="str">
        <f>IF(L202="","",IF(VLOOKUP(L202,'G-3 Multipliers'!$L$3:$N$6,2,FALSE)=0,"Spatial Data Missing ⚠",VLOOKUP(L202,'G-3 Multipliers'!$L$3:$N$6,2,FALSE)))</f>
        <v/>
      </c>
      <c r="N202" s="363" t="str">
        <f>IF(L202="","",IF(VLOOKUP(L202,'G-3 Multipliers'!$L$3:$N$6,3,FALSE)=0,"Spatial Data Missing ⚠",VLOOKUP(L202,'G-3 Multipliers'!$L$3:$N$6,3,FALSE)))</f>
        <v/>
      </c>
      <c r="O202" s="362" t="str">
        <f t="shared" si="12"/>
        <v/>
      </c>
      <c r="P202" s="159"/>
      <c r="Q202" s="159"/>
      <c r="R202" s="382" t="str">
        <f t="shared" si="13"/>
        <v/>
      </c>
      <c r="S202" s="404" t="str">
        <f t="shared" si="14"/>
        <v/>
      </c>
      <c r="T202" s="387" t="str">
        <f>IFERROR(IF(S202="Check Data ⚠","Check Data ⚠",VLOOKUP(S202,'G-4 Temporal multipliers'!$A$4:$C$37,3,FALSE)),"")</f>
        <v/>
      </c>
      <c r="U202" s="385" t="str">
        <f>IF(F202="","",VLOOKUP(F202,'G-3 Multipliers'!$A$2:$E$134,2,FALSE))</f>
        <v/>
      </c>
      <c r="V202" s="382" t="str">
        <f t="shared" si="17"/>
        <v/>
      </c>
      <c r="W202" s="382" t="str">
        <f>IF(E202="","",IF(AND(V202="Standard difficulty applied",O202&gt;P202),U202,IF(AND(V202="Low Difficulty - only applicable if all habitat created before losses ⚠",P202&gt;=O202),"Low",VLOOKUP(F202,'G-3 Multipliers'!$A$2:$E$134,4,FALSE))))</f>
        <v/>
      </c>
      <c r="X202" s="386" t="str">
        <f>IFERROR(IF(E202="","",VLOOKUP(W202, 'G-3 Multipliers'!$P$2:$Q$6,2,FALSE)),"")</f>
        <v/>
      </c>
      <c r="Y202" s="516"/>
      <c r="Z202" s="724" t="str">
        <f>IF(Y202="","",IF(VLOOKUP(Y202,'G-3 Multipliers'!$S$3:$T$10,2,FALSE)=0,"Spatial Data Missing ⚠",VLOOKUP(Y202,'G-3 Multipliers'!$S$3:$T$10,2,FALSE)))</f>
        <v/>
      </c>
      <c r="AA202" s="741" t="str">
        <f t="shared" si="15"/>
        <v/>
      </c>
      <c r="AB202" s="405" t="str">
        <f t="shared" si="16"/>
        <v/>
      </c>
      <c r="AC202" s="119"/>
      <c r="AD202" s="528"/>
      <c r="AE202" s="120"/>
      <c r="AF202" s="120"/>
    </row>
    <row r="203" spans="1:32" ht="15">
      <c r="A203" s="30" t="str">
        <f>IFERROR(INDEX('G-8 Condition Look up'!$I$4:$I$135,MATCH(F203,'G-8 Condition Look up'!$A$4:$A$135,0)),"")</f>
        <v/>
      </c>
      <c r="C203" s="75" t="str">
        <f>IFERROR(INDEX('G-1 All Habitats'!$AG$3:$AG$17,MATCH(D203,'G-1 All Habitats'!$AF$3:$AF$17,0)),"")</f>
        <v/>
      </c>
      <c r="D203" s="122"/>
      <c r="E203" s="165"/>
      <c r="F203" s="198" t="str">
        <f>IFERROR(INDEX('G-1 All Habitats'!$B$3:$B$135,MATCH(E203,'G-1 All Habitats'!$A$3:$A$135,0)),"")</f>
        <v/>
      </c>
      <c r="G203" s="300"/>
      <c r="H203" s="398" t="str">
        <f>IF(F203="","",VLOOKUP(F203,'G-1 All Habitats'!$B$2:$M$134,10,FALSE))</f>
        <v/>
      </c>
      <c r="I203" s="386" t="str">
        <f>IFERROR(VLOOKUP(H203,'G-1 All Habitats'!$V$3:$W$7,2,FALSE),"")</f>
        <v/>
      </c>
      <c r="J203" s="162"/>
      <c r="K203" s="386" t="str">
        <f>IFERROR(INDEX('G-8 Condition Look up'!$A$3:$H$135,MATCH(F203,'G-8 Condition Look up'!$A$3:$A$135,0),MATCH(J203,'G-8 Condition Look up'!$A$3:$H$3,0)),"")</f>
        <v/>
      </c>
      <c r="L203" s="114"/>
      <c r="M203" s="401" t="str">
        <f>IF(L203="","",IF(VLOOKUP(L203,'G-3 Multipliers'!$L$3:$N$6,2,FALSE)=0,"Spatial Data Missing ⚠",VLOOKUP(L203,'G-3 Multipliers'!$L$3:$N$6,2,FALSE)))</f>
        <v/>
      </c>
      <c r="N203" s="363" t="str">
        <f>IF(L203="","",IF(VLOOKUP(L203,'G-3 Multipliers'!$L$3:$N$6,3,FALSE)=0,"Spatial Data Missing ⚠",VLOOKUP(L203,'G-3 Multipliers'!$L$3:$N$6,3,FALSE)))</f>
        <v/>
      </c>
      <c r="O203" s="362" t="str">
        <f t="shared" ref="O203:O256" si="18">IFERROR(INDEX(TemporalData,MATCH(F203,TemporalHabitats,0),MATCH(J203,TemporalConditions,0)),"")</f>
        <v/>
      </c>
      <c r="P203" s="159"/>
      <c r="Q203" s="159"/>
      <c r="R203" s="382" t="str">
        <f t="shared" ref="R203:R256" si="19">IF(E203="","",IF(AND(P203&gt;0,Q203&gt;0),"Error -both advance and delayed habitat creation ▲",IF(AND(OR(P203="Habitat already in target condition",O203&lt;=P203),Q203=0,I203&gt;0),"Check details - Is there evidence that habitat has reached target condition? ⚠",IF(O203="","",IF(AND(P203&gt;=AF203,P203&gt;0),"Check details - Is there evidence habitat creation started and the threshold for Poor condition reached? ⚠",IF(Q203&gt;0,"Check details- Delay in starting habitat in required condition? ⚠",IF(P203&gt;0,"Check details - Is there evidence habitat creation started/in place? ⚠","Standard time to target condition applied")))))))</f>
        <v/>
      </c>
      <c r="S203" s="404" t="str">
        <f t="shared" ref="S203:S255" si="20">IF(R203="Error -both advance and delayed habitat creation ▲","Check Data ⚠",IF(O203="Not Possible","Check Data ⚠",IF(O203="","",IF(AND(O203="30+",P203=0),"30+",IF(AND(O203="30+",P203="30+"),0,IF(AND(O203="30+",P203&lt;32),30-P203,IF(O203="30+",30-P203,IF(P203&gt;O203,0,IF(Q203="30+","30+",IF(O203+Q203&gt;30,"30+",IF(O203+Q203&gt;30,"30+",IF(O203-P203&gt;30,"30+",IF(O203+Q203-P203&gt;0,O203+Q203-P203,IF(O203-P203&gt;0,O203-P203,O203+Q203-P203))))))))))))))</f>
        <v/>
      </c>
      <c r="T203" s="387" t="str">
        <f>IFERROR(IF(S203="Check Data ⚠","Check Data ⚠",VLOOKUP(S203,'G-4 Temporal multipliers'!$A$4:$C$37,3,FALSE)),"")</f>
        <v/>
      </c>
      <c r="U203" s="385" t="str">
        <f>IF(F203="","",VLOOKUP(F203,'G-3 Multipliers'!$A$2:$E$134,2,FALSE))</f>
        <v/>
      </c>
      <c r="V203" s="382" t="str">
        <f t="shared" si="17"/>
        <v/>
      </c>
      <c r="W203" s="382" t="str">
        <f>IF(E203="","",IF(AND(V203="Standard difficulty applied",O203&gt;P203),U203,IF(AND(V203="Low Difficulty - only applicable if all habitat created before losses ⚠",P203&gt;=O203),"Low",VLOOKUP(F203,'G-3 Multipliers'!$A$2:$E$134,4,FALSE))))</f>
        <v/>
      </c>
      <c r="X203" s="386" t="str">
        <f>IFERROR(IF(E203="","",VLOOKUP(W203, 'G-3 Multipliers'!$P$2:$Q$6,2,FALSE)),"")</f>
        <v/>
      </c>
      <c r="Y203" s="516"/>
      <c r="Z203" s="724" t="str">
        <f>IF(Y203="","",IF(VLOOKUP(Y203,'G-3 Multipliers'!$S$3:$T$10,2,FALSE)=0,"Spatial Data Missing ⚠",VLOOKUP(Y203,'G-3 Multipliers'!$S$3:$T$10,2,FALSE)))</f>
        <v/>
      </c>
      <c r="AA203" s="741" t="str">
        <f t="shared" ref="AA203:AA256" si="21">IFERROR(G203*I203*K203*N203*T203*X203*Z203,"")</f>
        <v/>
      </c>
      <c r="AB203" s="405" t="str">
        <f t="shared" si="16"/>
        <v/>
      </c>
      <c r="AC203" s="119"/>
      <c r="AD203" s="528"/>
      <c r="AE203" s="120"/>
      <c r="AF203" s="120"/>
    </row>
    <row r="204" spans="1:32" ht="15">
      <c r="A204" s="30" t="str">
        <f>IFERROR(INDEX('G-8 Condition Look up'!$I$4:$I$135,MATCH(F204,'G-8 Condition Look up'!$A$4:$A$135,0)),"")</f>
        <v/>
      </c>
      <c r="C204" s="75" t="str">
        <f>IFERROR(INDEX('G-1 All Habitats'!$AG$3:$AG$17,MATCH(D204,'G-1 All Habitats'!$AF$3:$AF$17,0)),"")</f>
        <v/>
      </c>
      <c r="D204" s="122"/>
      <c r="E204" s="165"/>
      <c r="F204" s="198" t="str">
        <f>IFERROR(INDEX('G-1 All Habitats'!$B$3:$B$135,MATCH(E204,'G-1 All Habitats'!$A$3:$A$135,0)),"")</f>
        <v/>
      </c>
      <c r="G204" s="300"/>
      <c r="H204" s="398" t="str">
        <f>IF(F204="","",VLOOKUP(F204,'G-1 All Habitats'!$B$2:$M$134,10,FALSE))</f>
        <v/>
      </c>
      <c r="I204" s="386" t="str">
        <f>IFERROR(VLOOKUP(H204,'G-1 All Habitats'!$V$3:$W$7,2,FALSE),"")</f>
        <v/>
      </c>
      <c r="J204" s="162"/>
      <c r="K204" s="386" t="str">
        <f>IFERROR(INDEX('G-8 Condition Look up'!$A$3:$H$135,MATCH(F204,'G-8 Condition Look up'!$A$3:$A$135,0),MATCH(J204,'G-8 Condition Look up'!$A$3:$H$3,0)),"")</f>
        <v/>
      </c>
      <c r="L204" s="114"/>
      <c r="M204" s="401" t="str">
        <f>IF(L204="","",IF(VLOOKUP(L204,'G-3 Multipliers'!$L$3:$N$6,2,FALSE)=0,"Spatial Data Missing ⚠",VLOOKUP(L204,'G-3 Multipliers'!$L$3:$N$6,2,FALSE)))</f>
        <v/>
      </c>
      <c r="N204" s="363" t="str">
        <f>IF(L204="","",IF(VLOOKUP(L204,'G-3 Multipliers'!$L$3:$N$6,3,FALSE)=0,"Spatial Data Missing ⚠",VLOOKUP(L204,'G-3 Multipliers'!$L$3:$N$6,3,FALSE)))</f>
        <v/>
      </c>
      <c r="O204" s="362" t="str">
        <f t="shared" si="18"/>
        <v/>
      </c>
      <c r="P204" s="159"/>
      <c r="Q204" s="159"/>
      <c r="R204" s="382" t="str">
        <f t="shared" si="19"/>
        <v/>
      </c>
      <c r="S204" s="404" t="str">
        <f t="shared" si="20"/>
        <v/>
      </c>
      <c r="T204" s="387" t="str">
        <f>IFERROR(IF(S204="Check Data ⚠","Check Data ⚠",VLOOKUP(S204,'G-4 Temporal multipliers'!$A$4:$C$37,3,FALSE)),"")</f>
        <v/>
      </c>
      <c r="U204" s="385" t="str">
        <f>IF(F204="","",VLOOKUP(F204,'G-3 Multipliers'!$A$2:$E$134,2,FALSE))</f>
        <v/>
      </c>
      <c r="V204" s="382" t="str">
        <f t="shared" si="17"/>
        <v/>
      </c>
      <c r="W204" s="382" t="str">
        <f>IF(E204="","",IF(AND(V204="Standard difficulty applied",O204&gt;P204),U204,IF(AND(V204="Low Difficulty - only applicable if all habitat created before losses ⚠",P204&gt;=O204),"Low",VLOOKUP(F204,'G-3 Multipliers'!$A$2:$E$134,4,FALSE))))</f>
        <v/>
      </c>
      <c r="X204" s="386" t="str">
        <f>IFERROR(IF(E204="","",VLOOKUP(W204, 'G-3 Multipliers'!$P$2:$Q$6,2,FALSE)),"")</f>
        <v/>
      </c>
      <c r="Y204" s="516"/>
      <c r="Z204" s="724" t="str">
        <f>IF(Y204="","",IF(VLOOKUP(Y204,'G-3 Multipliers'!$S$3:$T$10,2,FALSE)=0,"Spatial Data Missing ⚠",VLOOKUP(Y204,'G-3 Multipliers'!$S$3:$T$10,2,FALSE)))</f>
        <v/>
      </c>
      <c r="AA204" s="741" t="str">
        <f t="shared" si="21"/>
        <v/>
      </c>
      <c r="AB204" s="405" t="str">
        <f t="shared" ref="AB204:AB256" si="22">IFERROR(IF(Y204="","",G204*I204*K204*N204*T204*X204),"")</f>
        <v/>
      </c>
      <c r="AC204" s="119"/>
      <c r="AD204" s="528"/>
      <c r="AE204" s="120"/>
      <c r="AF204" s="120"/>
    </row>
    <row r="205" spans="1:32" ht="15">
      <c r="A205" s="30" t="str">
        <f>IFERROR(INDEX('G-8 Condition Look up'!$I$4:$I$135,MATCH(F205,'G-8 Condition Look up'!$A$4:$A$135,0)),"")</f>
        <v/>
      </c>
      <c r="C205" s="75" t="str">
        <f>IFERROR(INDEX('G-1 All Habitats'!$AG$3:$AG$17,MATCH(D205,'G-1 All Habitats'!$AF$3:$AF$17,0)),"")</f>
        <v/>
      </c>
      <c r="D205" s="122"/>
      <c r="E205" s="165"/>
      <c r="F205" s="198" t="str">
        <f>IFERROR(INDEX('G-1 All Habitats'!$B$3:$B$135,MATCH(E205,'G-1 All Habitats'!$A$3:$A$135,0)),"")</f>
        <v/>
      </c>
      <c r="G205" s="300"/>
      <c r="H205" s="398" t="str">
        <f>IF(F205="","",VLOOKUP(F205,'G-1 All Habitats'!$B$2:$M$134,10,FALSE))</f>
        <v/>
      </c>
      <c r="I205" s="386" t="str">
        <f>IFERROR(VLOOKUP(H205,'G-1 All Habitats'!$V$3:$W$7,2,FALSE),"")</f>
        <v/>
      </c>
      <c r="J205" s="162"/>
      <c r="K205" s="386" t="str">
        <f>IFERROR(INDEX('G-8 Condition Look up'!$A$3:$H$135,MATCH(F205,'G-8 Condition Look up'!$A$3:$A$135,0),MATCH(J205,'G-8 Condition Look up'!$A$3:$H$3,0)),"")</f>
        <v/>
      </c>
      <c r="L205" s="114"/>
      <c r="M205" s="401" t="str">
        <f>IF(L205="","",IF(VLOOKUP(L205,'G-3 Multipliers'!$L$3:$N$6,2,FALSE)=0,"Spatial Data Missing ⚠",VLOOKUP(L205,'G-3 Multipliers'!$L$3:$N$6,2,FALSE)))</f>
        <v/>
      </c>
      <c r="N205" s="363" t="str">
        <f>IF(L205="","",IF(VLOOKUP(L205,'G-3 Multipliers'!$L$3:$N$6,3,FALSE)=0,"Spatial Data Missing ⚠",VLOOKUP(L205,'G-3 Multipliers'!$L$3:$N$6,3,FALSE)))</f>
        <v/>
      </c>
      <c r="O205" s="362" t="str">
        <f t="shared" si="18"/>
        <v/>
      </c>
      <c r="P205" s="159"/>
      <c r="Q205" s="159"/>
      <c r="R205" s="382" t="str">
        <f t="shared" si="19"/>
        <v/>
      </c>
      <c r="S205" s="404" t="str">
        <f t="shared" si="20"/>
        <v/>
      </c>
      <c r="T205" s="387" t="str">
        <f>IFERROR(IF(S205="Check Data ⚠","Check Data ⚠",VLOOKUP(S205,'G-4 Temporal multipliers'!$A$4:$C$37,3,FALSE)),"")</f>
        <v/>
      </c>
      <c r="U205" s="385" t="str">
        <f>IF(F205="","",VLOOKUP(F205,'G-3 Multipliers'!$A$2:$E$134,2,FALSE))</f>
        <v/>
      </c>
      <c r="V205" s="382" t="str">
        <f t="shared" ref="V205:V256" si="23">IF(F205="","",IF($R205="Check details - Is there evidence that habitat has reached target condition? ⚠","Low Difficulty - only applicable if all habitat created before losses ⚠",IF($R205="Check details - Is there evidence habitat creation started and the threshold for Poor condition reached? ⚠","Enhancement difficulty applied","Standard difficulty applied")))</f>
        <v/>
      </c>
      <c r="W205" s="382" t="str">
        <f>IF(E205="","",IF(AND(V205="Standard difficulty applied",O205&gt;P205),U205,IF(AND(V205="Low Difficulty - only applicable if all habitat created before losses ⚠",P205&gt;=O205),"Low",VLOOKUP(F205,'G-3 Multipliers'!$A$2:$E$134,4,FALSE))))</f>
        <v/>
      </c>
      <c r="X205" s="386" t="str">
        <f>IFERROR(IF(E205="","",VLOOKUP(W205, 'G-3 Multipliers'!$P$2:$Q$6,2,FALSE)),"")</f>
        <v/>
      </c>
      <c r="Y205" s="516"/>
      <c r="Z205" s="724" t="str">
        <f>IF(Y205="","",IF(VLOOKUP(Y205,'G-3 Multipliers'!$S$3:$T$10,2,FALSE)=0,"Spatial Data Missing ⚠",VLOOKUP(Y205,'G-3 Multipliers'!$S$3:$T$10,2,FALSE)))</f>
        <v/>
      </c>
      <c r="AA205" s="741" t="str">
        <f t="shared" si="21"/>
        <v/>
      </c>
      <c r="AB205" s="405" t="str">
        <f t="shared" si="22"/>
        <v/>
      </c>
      <c r="AC205" s="119"/>
      <c r="AD205" s="528"/>
      <c r="AE205" s="120"/>
      <c r="AF205" s="120"/>
    </row>
    <row r="206" spans="1:32" ht="15">
      <c r="A206" s="30" t="str">
        <f>IFERROR(INDEX('G-8 Condition Look up'!$I$4:$I$135,MATCH(F206,'G-8 Condition Look up'!$A$4:$A$135,0)),"")</f>
        <v/>
      </c>
      <c r="C206" s="75" t="str">
        <f>IFERROR(INDEX('G-1 All Habitats'!$AG$3:$AG$17,MATCH(D206,'G-1 All Habitats'!$AF$3:$AF$17,0)),"")</f>
        <v/>
      </c>
      <c r="D206" s="122"/>
      <c r="E206" s="165"/>
      <c r="F206" s="198" t="str">
        <f>IFERROR(INDEX('G-1 All Habitats'!$B$3:$B$135,MATCH(E206,'G-1 All Habitats'!$A$3:$A$135,0)),"")</f>
        <v/>
      </c>
      <c r="G206" s="300"/>
      <c r="H206" s="398" t="str">
        <f>IF(F206="","",VLOOKUP(F206,'G-1 All Habitats'!$B$2:$M$134,10,FALSE))</f>
        <v/>
      </c>
      <c r="I206" s="386" t="str">
        <f>IFERROR(VLOOKUP(H206,'G-1 All Habitats'!$V$3:$W$7,2,FALSE),"")</f>
        <v/>
      </c>
      <c r="J206" s="162"/>
      <c r="K206" s="386" t="str">
        <f>IFERROR(INDEX('G-8 Condition Look up'!$A$3:$H$135,MATCH(F206,'G-8 Condition Look up'!$A$3:$A$135,0),MATCH(J206,'G-8 Condition Look up'!$A$3:$H$3,0)),"")</f>
        <v/>
      </c>
      <c r="L206" s="114"/>
      <c r="M206" s="401" t="str">
        <f>IF(L206="","",IF(VLOOKUP(L206,'G-3 Multipliers'!$L$3:$N$6,2,FALSE)=0,"Spatial Data Missing ⚠",VLOOKUP(L206,'G-3 Multipliers'!$L$3:$N$6,2,FALSE)))</f>
        <v/>
      </c>
      <c r="N206" s="363" t="str">
        <f>IF(L206="","",IF(VLOOKUP(L206,'G-3 Multipliers'!$L$3:$N$6,3,FALSE)=0,"Spatial Data Missing ⚠",VLOOKUP(L206,'G-3 Multipliers'!$L$3:$N$6,3,FALSE)))</f>
        <v/>
      </c>
      <c r="O206" s="362" t="str">
        <f t="shared" si="18"/>
        <v/>
      </c>
      <c r="P206" s="159"/>
      <c r="Q206" s="159"/>
      <c r="R206" s="382" t="str">
        <f t="shared" si="19"/>
        <v/>
      </c>
      <c r="S206" s="404" t="str">
        <f t="shared" si="20"/>
        <v/>
      </c>
      <c r="T206" s="387" t="str">
        <f>IFERROR(IF(S206="Check Data ⚠","Check Data ⚠",VLOOKUP(S206,'G-4 Temporal multipliers'!$A$4:$C$37,3,FALSE)),"")</f>
        <v/>
      </c>
      <c r="U206" s="385" t="str">
        <f>IF(F206="","",VLOOKUP(F206,'G-3 Multipliers'!$A$2:$E$134,2,FALSE))</f>
        <v/>
      </c>
      <c r="V206" s="382" t="str">
        <f t="shared" si="23"/>
        <v/>
      </c>
      <c r="W206" s="382" t="str">
        <f>IF(E206="","",IF(AND(V206="Standard difficulty applied",O206&gt;P206),U206,IF(AND(V206="Low Difficulty - only applicable if all habitat created before losses ⚠",P206&gt;=O206),"Low",VLOOKUP(F206,'G-3 Multipliers'!$A$2:$E$134,4,FALSE))))</f>
        <v/>
      </c>
      <c r="X206" s="386" t="str">
        <f>IFERROR(IF(E206="","",VLOOKUP(W206, 'G-3 Multipliers'!$P$2:$Q$6,2,FALSE)),"")</f>
        <v/>
      </c>
      <c r="Y206" s="516"/>
      <c r="Z206" s="724" t="str">
        <f>IF(Y206="","",IF(VLOOKUP(Y206,'G-3 Multipliers'!$S$3:$T$10,2,FALSE)=0,"Spatial Data Missing ⚠",VLOOKUP(Y206,'G-3 Multipliers'!$S$3:$T$10,2,FALSE)))</f>
        <v/>
      </c>
      <c r="AA206" s="741" t="str">
        <f t="shared" si="21"/>
        <v/>
      </c>
      <c r="AB206" s="405" t="str">
        <f t="shared" si="22"/>
        <v/>
      </c>
      <c r="AC206" s="119"/>
      <c r="AD206" s="528"/>
      <c r="AE206" s="120"/>
      <c r="AF206" s="120"/>
    </row>
    <row r="207" spans="1:32" ht="15">
      <c r="A207" s="30" t="str">
        <f>IFERROR(INDEX('G-8 Condition Look up'!$I$4:$I$135,MATCH(F207,'G-8 Condition Look up'!$A$4:$A$135,0)),"")</f>
        <v/>
      </c>
      <c r="C207" s="75" t="str">
        <f>IFERROR(INDEX('G-1 All Habitats'!$AG$3:$AG$17,MATCH(D207,'G-1 All Habitats'!$AF$3:$AF$17,0)),"")</f>
        <v/>
      </c>
      <c r="D207" s="122"/>
      <c r="E207" s="165"/>
      <c r="F207" s="198" t="str">
        <f>IFERROR(INDEX('G-1 All Habitats'!$B$3:$B$135,MATCH(E207,'G-1 All Habitats'!$A$3:$A$135,0)),"")</f>
        <v/>
      </c>
      <c r="G207" s="300"/>
      <c r="H207" s="398" t="str">
        <f>IF(F207="","",VLOOKUP(F207,'G-1 All Habitats'!$B$2:$M$134,10,FALSE))</f>
        <v/>
      </c>
      <c r="I207" s="386" t="str">
        <f>IFERROR(VLOOKUP(H207,'G-1 All Habitats'!$V$3:$W$7,2,FALSE),"")</f>
        <v/>
      </c>
      <c r="J207" s="162"/>
      <c r="K207" s="386" t="str">
        <f>IFERROR(INDEX('G-8 Condition Look up'!$A$3:$H$135,MATCH(F207,'G-8 Condition Look up'!$A$3:$A$135,0),MATCH(J207,'G-8 Condition Look up'!$A$3:$H$3,0)),"")</f>
        <v/>
      </c>
      <c r="L207" s="114"/>
      <c r="M207" s="401" t="str">
        <f>IF(L207="","",IF(VLOOKUP(L207,'G-3 Multipliers'!$L$3:$N$6,2,FALSE)=0,"Spatial Data Missing ⚠",VLOOKUP(L207,'G-3 Multipliers'!$L$3:$N$6,2,FALSE)))</f>
        <v/>
      </c>
      <c r="N207" s="363" t="str">
        <f>IF(L207="","",IF(VLOOKUP(L207,'G-3 Multipliers'!$L$3:$N$6,3,FALSE)=0,"Spatial Data Missing ⚠",VLOOKUP(L207,'G-3 Multipliers'!$L$3:$N$6,3,FALSE)))</f>
        <v/>
      </c>
      <c r="O207" s="362" t="str">
        <f t="shared" si="18"/>
        <v/>
      </c>
      <c r="P207" s="159"/>
      <c r="Q207" s="159"/>
      <c r="R207" s="382" t="str">
        <f t="shared" si="19"/>
        <v/>
      </c>
      <c r="S207" s="404" t="str">
        <f t="shared" si="20"/>
        <v/>
      </c>
      <c r="T207" s="387" t="str">
        <f>IFERROR(IF(S207="Check Data ⚠","Check Data ⚠",VLOOKUP(S207,'G-4 Temporal multipliers'!$A$4:$C$37,3,FALSE)),"")</f>
        <v/>
      </c>
      <c r="U207" s="385" t="str">
        <f>IF(F207="","",VLOOKUP(F207,'G-3 Multipliers'!$A$2:$E$134,2,FALSE))</f>
        <v/>
      </c>
      <c r="V207" s="382" t="str">
        <f t="shared" si="23"/>
        <v/>
      </c>
      <c r="W207" s="382" t="str">
        <f>IF(E207="","",IF(AND(V207="Standard difficulty applied",O207&gt;P207),U207,IF(AND(V207="Low Difficulty - only applicable if all habitat created before losses ⚠",P207&gt;=O207),"Low",VLOOKUP(F207,'G-3 Multipliers'!$A$2:$E$134,4,FALSE))))</f>
        <v/>
      </c>
      <c r="X207" s="386" t="str">
        <f>IFERROR(IF(E207="","",VLOOKUP(W207, 'G-3 Multipliers'!$P$2:$Q$6,2,FALSE)),"")</f>
        <v/>
      </c>
      <c r="Y207" s="516"/>
      <c r="Z207" s="724" t="str">
        <f>IF(Y207="","",IF(VLOOKUP(Y207,'G-3 Multipliers'!$S$3:$T$10,2,FALSE)=0,"Spatial Data Missing ⚠",VLOOKUP(Y207,'G-3 Multipliers'!$S$3:$T$10,2,FALSE)))</f>
        <v/>
      </c>
      <c r="AA207" s="741" t="str">
        <f t="shared" si="21"/>
        <v/>
      </c>
      <c r="AB207" s="405" t="str">
        <f t="shared" si="22"/>
        <v/>
      </c>
      <c r="AC207" s="119"/>
      <c r="AD207" s="528"/>
      <c r="AE207" s="120"/>
      <c r="AF207" s="120"/>
    </row>
    <row r="208" spans="1:32" ht="15">
      <c r="A208" s="30" t="str">
        <f>IFERROR(INDEX('G-8 Condition Look up'!$I$4:$I$135,MATCH(F208,'G-8 Condition Look up'!$A$4:$A$135,0)),"")</f>
        <v/>
      </c>
      <c r="C208" s="75" t="str">
        <f>IFERROR(INDEX('G-1 All Habitats'!$AG$3:$AG$17,MATCH(D208,'G-1 All Habitats'!$AF$3:$AF$17,0)),"")</f>
        <v/>
      </c>
      <c r="D208" s="122"/>
      <c r="E208" s="165"/>
      <c r="F208" s="198" t="str">
        <f>IFERROR(INDEX('G-1 All Habitats'!$B$3:$B$135,MATCH(E208,'G-1 All Habitats'!$A$3:$A$135,0)),"")</f>
        <v/>
      </c>
      <c r="G208" s="300"/>
      <c r="H208" s="398" t="str">
        <f>IF(F208="","",VLOOKUP(F208,'G-1 All Habitats'!$B$2:$M$134,10,FALSE))</f>
        <v/>
      </c>
      <c r="I208" s="386" t="str">
        <f>IFERROR(VLOOKUP(H208,'G-1 All Habitats'!$V$3:$W$7,2,FALSE),"")</f>
        <v/>
      </c>
      <c r="J208" s="162"/>
      <c r="K208" s="386" t="str">
        <f>IFERROR(INDEX('G-8 Condition Look up'!$A$3:$H$135,MATCH(F208,'G-8 Condition Look up'!$A$3:$A$135,0),MATCH(J208,'G-8 Condition Look up'!$A$3:$H$3,0)),"")</f>
        <v/>
      </c>
      <c r="L208" s="114"/>
      <c r="M208" s="401" t="str">
        <f>IF(L208="","",IF(VLOOKUP(L208,'G-3 Multipliers'!$L$3:$N$6,2,FALSE)=0,"Spatial Data Missing ⚠",VLOOKUP(L208,'G-3 Multipliers'!$L$3:$N$6,2,FALSE)))</f>
        <v/>
      </c>
      <c r="N208" s="363" t="str">
        <f>IF(L208="","",IF(VLOOKUP(L208,'G-3 Multipliers'!$L$3:$N$6,3,FALSE)=0,"Spatial Data Missing ⚠",VLOOKUP(L208,'G-3 Multipliers'!$L$3:$N$6,3,FALSE)))</f>
        <v/>
      </c>
      <c r="O208" s="362" t="str">
        <f t="shared" si="18"/>
        <v/>
      </c>
      <c r="P208" s="159"/>
      <c r="Q208" s="159"/>
      <c r="R208" s="382" t="str">
        <f t="shared" si="19"/>
        <v/>
      </c>
      <c r="S208" s="404" t="str">
        <f t="shared" si="20"/>
        <v/>
      </c>
      <c r="T208" s="387" t="str">
        <f>IFERROR(IF(S208="Check Data ⚠","Check Data ⚠",VLOOKUP(S208,'G-4 Temporal multipliers'!$A$4:$C$37,3,FALSE)),"")</f>
        <v/>
      </c>
      <c r="U208" s="385" t="str">
        <f>IF(F208="","",VLOOKUP(F208,'G-3 Multipliers'!$A$2:$E$134,2,FALSE))</f>
        <v/>
      </c>
      <c r="V208" s="382" t="str">
        <f t="shared" si="23"/>
        <v/>
      </c>
      <c r="W208" s="382" t="str">
        <f>IF(E208="","",IF(AND(V208="Standard difficulty applied",O208&gt;P208),U208,IF(AND(V208="Low Difficulty - only applicable if all habitat created before losses ⚠",P208&gt;=O208),"Low",VLOOKUP(F208,'G-3 Multipliers'!$A$2:$E$134,4,FALSE))))</f>
        <v/>
      </c>
      <c r="X208" s="386" t="str">
        <f>IFERROR(IF(E208="","",VLOOKUP(W208, 'G-3 Multipliers'!$P$2:$Q$6,2,FALSE)),"")</f>
        <v/>
      </c>
      <c r="Y208" s="516"/>
      <c r="Z208" s="724" t="str">
        <f>IF(Y208="","",IF(VLOOKUP(Y208,'G-3 Multipliers'!$S$3:$T$10,2,FALSE)=0,"Spatial Data Missing ⚠",VLOOKUP(Y208,'G-3 Multipliers'!$S$3:$T$10,2,FALSE)))</f>
        <v/>
      </c>
      <c r="AA208" s="741" t="str">
        <f t="shared" si="21"/>
        <v/>
      </c>
      <c r="AB208" s="405" t="str">
        <f t="shared" si="22"/>
        <v/>
      </c>
      <c r="AC208" s="119"/>
      <c r="AD208" s="528"/>
      <c r="AE208" s="120"/>
      <c r="AF208" s="120"/>
    </row>
    <row r="209" spans="1:32" ht="15">
      <c r="A209" s="30" t="str">
        <f>IFERROR(INDEX('G-8 Condition Look up'!$I$4:$I$135,MATCH(F209,'G-8 Condition Look up'!$A$4:$A$135,0)),"")</f>
        <v/>
      </c>
      <c r="C209" s="75" t="str">
        <f>IFERROR(INDEX('G-1 All Habitats'!$AG$3:$AG$17,MATCH(D209,'G-1 All Habitats'!$AF$3:$AF$17,0)),"")</f>
        <v/>
      </c>
      <c r="D209" s="122"/>
      <c r="E209" s="165"/>
      <c r="F209" s="198" t="str">
        <f>IFERROR(INDEX('G-1 All Habitats'!$B$3:$B$135,MATCH(E209,'G-1 All Habitats'!$A$3:$A$135,0)),"")</f>
        <v/>
      </c>
      <c r="G209" s="300"/>
      <c r="H209" s="398" t="str">
        <f>IF(F209="","",VLOOKUP(F209,'G-1 All Habitats'!$B$2:$M$134,10,FALSE))</f>
        <v/>
      </c>
      <c r="I209" s="386" t="str">
        <f>IFERROR(VLOOKUP(H209,'G-1 All Habitats'!$V$3:$W$7,2,FALSE),"")</f>
        <v/>
      </c>
      <c r="J209" s="162"/>
      <c r="K209" s="386" t="str">
        <f>IFERROR(INDEX('G-8 Condition Look up'!$A$3:$H$135,MATCH(F209,'G-8 Condition Look up'!$A$3:$A$135,0),MATCH(J209,'G-8 Condition Look up'!$A$3:$H$3,0)),"")</f>
        <v/>
      </c>
      <c r="L209" s="114"/>
      <c r="M209" s="401" t="str">
        <f>IF(L209="","",IF(VLOOKUP(L209,'G-3 Multipliers'!$L$3:$N$6,2,FALSE)=0,"Spatial Data Missing ⚠",VLOOKUP(L209,'G-3 Multipliers'!$L$3:$N$6,2,FALSE)))</f>
        <v/>
      </c>
      <c r="N209" s="363" t="str">
        <f>IF(L209="","",IF(VLOOKUP(L209,'G-3 Multipliers'!$L$3:$N$6,3,FALSE)=0,"Spatial Data Missing ⚠",VLOOKUP(L209,'G-3 Multipliers'!$L$3:$N$6,3,FALSE)))</f>
        <v/>
      </c>
      <c r="O209" s="362" t="str">
        <f t="shared" si="18"/>
        <v/>
      </c>
      <c r="P209" s="159"/>
      <c r="Q209" s="159"/>
      <c r="R209" s="382" t="str">
        <f t="shared" si="19"/>
        <v/>
      </c>
      <c r="S209" s="404" t="str">
        <f t="shared" si="20"/>
        <v/>
      </c>
      <c r="T209" s="387" t="str">
        <f>IFERROR(IF(S209="Check Data ⚠","Check Data ⚠",VLOOKUP(S209,'G-4 Temporal multipliers'!$A$4:$C$37,3,FALSE)),"")</f>
        <v/>
      </c>
      <c r="U209" s="385" t="str">
        <f>IF(F209="","",VLOOKUP(F209,'G-3 Multipliers'!$A$2:$E$134,2,FALSE))</f>
        <v/>
      </c>
      <c r="V209" s="382" t="str">
        <f t="shared" si="23"/>
        <v/>
      </c>
      <c r="W209" s="382" t="str">
        <f>IF(E209="","",IF(AND(V209="Standard difficulty applied",O209&gt;P209),U209,IF(AND(V209="Low Difficulty - only applicable if all habitat created before losses ⚠",P209&gt;=O209),"Low",VLOOKUP(F209,'G-3 Multipliers'!$A$2:$E$134,4,FALSE))))</f>
        <v/>
      </c>
      <c r="X209" s="386" t="str">
        <f>IFERROR(IF(E209="","",VLOOKUP(W209, 'G-3 Multipliers'!$P$2:$Q$6,2,FALSE)),"")</f>
        <v/>
      </c>
      <c r="Y209" s="516"/>
      <c r="Z209" s="724" t="str">
        <f>IF(Y209="","",IF(VLOOKUP(Y209,'G-3 Multipliers'!$S$3:$T$10,2,FALSE)=0,"Spatial Data Missing ⚠",VLOOKUP(Y209,'G-3 Multipliers'!$S$3:$T$10,2,FALSE)))</f>
        <v/>
      </c>
      <c r="AA209" s="741" t="str">
        <f t="shared" si="21"/>
        <v/>
      </c>
      <c r="AB209" s="405" t="str">
        <f t="shared" si="22"/>
        <v/>
      </c>
      <c r="AC209" s="119"/>
      <c r="AD209" s="528"/>
      <c r="AE209" s="120"/>
      <c r="AF209" s="120"/>
    </row>
    <row r="210" spans="1:32" ht="15">
      <c r="A210" s="30" t="str">
        <f>IFERROR(INDEX('G-8 Condition Look up'!$I$4:$I$135,MATCH(F210,'G-8 Condition Look up'!$A$4:$A$135,0)),"")</f>
        <v/>
      </c>
      <c r="C210" s="75" t="str">
        <f>IFERROR(INDEX('G-1 All Habitats'!$AG$3:$AG$17,MATCH(D210,'G-1 All Habitats'!$AF$3:$AF$17,0)),"")</f>
        <v/>
      </c>
      <c r="D210" s="122"/>
      <c r="E210" s="165"/>
      <c r="F210" s="198" t="str">
        <f>IFERROR(INDEX('G-1 All Habitats'!$B$3:$B$135,MATCH(E210,'G-1 All Habitats'!$A$3:$A$135,0)),"")</f>
        <v/>
      </c>
      <c r="G210" s="300"/>
      <c r="H210" s="398" t="str">
        <f>IF(F210="","",VLOOKUP(F210,'G-1 All Habitats'!$B$2:$M$134,10,FALSE))</f>
        <v/>
      </c>
      <c r="I210" s="386" t="str">
        <f>IFERROR(VLOOKUP(H210,'G-1 All Habitats'!$V$3:$W$7,2,FALSE),"")</f>
        <v/>
      </c>
      <c r="J210" s="162"/>
      <c r="K210" s="386" t="str">
        <f>IFERROR(INDEX('G-8 Condition Look up'!$A$3:$H$135,MATCH(F210,'G-8 Condition Look up'!$A$3:$A$135,0),MATCH(J210,'G-8 Condition Look up'!$A$3:$H$3,0)),"")</f>
        <v/>
      </c>
      <c r="L210" s="114"/>
      <c r="M210" s="401" t="str">
        <f>IF(L210="","",IF(VLOOKUP(L210,'G-3 Multipliers'!$L$3:$N$6,2,FALSE)=0,"Spatial Data Missing ⚠",VLOOKUP(L210,'G-3 Multipliers'!$L$3:$N$6,2,FALSE)))</f>
        <v/>
      </c>
      <c r="N210" s="363" t="str">
        <f>IF(L210="","",IF(VLOOKUP(L210,'G-3 Multipliers'!$L$3:$N$6,3,FALSE)=0,"Spatial Data Missing ⚠",VLOOKUP(L210,'G-3 Multipliers'!$L$3:$N$6,3,FALSE)))</f>
        <v/>
      </c>
      <c r="O210" s="362" t="str">
        <f t="shared" si="18"/>
        <v/>
      </c>
      <c r="P210" s="159"/>
      <c r="Q210" s="159"/>
      <c r="R210" s="382" t="str">
        <f t="shared" si="19"/>
        <v/>
      </c>
      <c r="S210" s="404" t="str">
        <f t="shared" si="20"/>
        <v/>
      </c>
      <c r="T210" s="387" t="str">
        <f>IFERROR(IF(S210="Check Data ⚠","Check Data ⚠",VLOOKUP(S210,'G-4 Temporal multipliers'!$A$4:$C$37,3,FALSE)),"")</f>
        <v/>
      </c>
      <c r="U210" s="385" t="str">
        <f>IF(F210="","",VLOOKUP(F210,'G-3 Multipliers'!$A$2:$E$134,2,FALSE))</f>
        <v/>
      </c>
      <c r="V210" s="382" t="str">
        <f t="shared" si="23"/>
        <v/>
      </c>
      <c r="W210" s="382" t="str">
        <f>IF(E210="","",IF(AND(V210="Standard difficulty applied",O210&gt;P210),U210,IF(AND(V210="Low Difficulty - only applicable if all habitat created before losses ⚠",P210&gt;=O210),"Low",VLOOKUP(F210,'G-3 Multipliers'!$A$2:$E$134,4,FALSE))))</f>
        <v/>
      </c>
      <c r="X210" s="386" t="str">
        <f>IFERROR(IF(E210="","",VLOOKUP(W210, 'G-3 Multipliers'!$P$2:$Q$6,2,FALSE)),"")</f>
        <v/>
      </c>
      <c r="Y210" s="516"/>
      <c r="Z210" s="724" t="str">
        <f>IF(Y210="","",IF(VLOOKUP(Y210,'G-3 Multipliers'!$S$3:$T$10,2,FALSE)=0,"Spatial Data Missing ⚠",VLOOKUP(Y210,'G-3 Multipliers'!$S$3:$T$10,2,FALSE)))</f>
        <v/>
      </c>
      <c r="AA210" s="741" t="str">
        <f t="shared" si="21"/>
        <v/>
      </c>
      <c r="AB210" s="405" t="str">
        <f t="shared" si="22"/>
        <v/>
      </c>
      <c r="AC210" s="119"/>
      <c r="AD210" s="528"/>
      <c r="AE210" s="120"/>
      <c r="AF210" s="120"/>
    </row>
    <row r="211" spans="1:32" ht="15">
      <c r="A211" s="30" t="str">
        <f>IFERROR(INDEX('G-8 Condition Look up'!$I$4:$I$135,MATCH(F211,'G-8 Condition Look up'!$A$4:$A$135,0)),"")</f>
        <v/>
      </c>
      <c r="C211" s="75" t="str">
        <f>IFERROR(INDEX('G-1 All Habitats'!$AG$3:$AG$17,MATCH(D211,'G-1 All Habitats'!$AF$3:$AF$17,0)),"")</f>
        <v/>
      </c>
      <c r="D211" s="122"/>
      <c r="E211" s="165"/>
      <c r="F211" s="198" t="str">
        <f>IFERROR(INDEX('G-1 All Habitats'!$B$3:$B$135,MATCH(E211,'G-1 All Habitats'!$A$3:$A$135,0)),"")</f>
        <v/>
      </c>
      <c r="G211" s="300"/>
      <c r="H211" s="398" t="str">
        <f>IF(F211="","",VLOOKUP(F211,'G-1 All Habitats'!$B$2:$M$134,10,FALSE))</f>
        <v/>
      </c>
      <c r="I211" s="386" t="str">
        <f>IFERROR(VLOOKUP(H211,'G-1 All Habitats'!$V$3:$W$7,2,FALSE),"")</f>
        <v/>
      </c>
      <c r="J211" s="162"/>
      <c r="K211" s="386" t="str">
        <f>IFERROR(INDEX('G-8 Condition Look up'!$A$3:$H$135,MATCH(F211,'G-8 Condition Look up'!$A$3:$A$135,0),MATCH(J211,'G-8 Condition Look up'!$A$3:$H$3,0)),"")</f>
        <v/>
      </c>
      <c r="L211" s="114"/>
      <c r="M211" s="401" t="str">
        <f>IF(L211="","",IF(VLOOKUP(L211,'G-3 Multipliers'!$L$3:$N$6,2,FALSE)=0,"Spatial Data Missing ⚠",VLOOKUP(L211,'G-3 Multipliers'!$L$3:$N$6,2,FALSE)))</f>
        <v/>
      </c>
      <c r="N211" s="363" t="str">
        <f>IF(L211="","",IF(VLOOKUP(L211,'G-3 Multipliers'!$L$3:$N$6,3,FALSE)=0,"Spatial Data Missing ⚠",VLOOKUP(L211,'G-3 Multipliers'!$L$3:$N$6,3,FALSE)))</f>
        <v/>
      </c>
      <c r="O211" s="362" t="str">
        <f t="shared" si="18"/>
        <v/>
      </c>
      <c r="P211" s="159"/>
      <c r="Q211" s="159"/>
      <c r="R211" s="382" t="str">
        <f t="shared" si="19"/>
        <v/>
      </c>
      <c r="S211" s="404" t="str">
        <f t="shared" si="20"/>
        <v/>
      </c>
      <c r="T211" s="387" t="str">
        <f>IFERROR(IF(S211="Check Data ⚠","Check Data ⚠",VLOOKUP(S211,'G-4 Temporal multipliers'!$A$4:$C$37,3,FALSE)),"")</f>
        <v/>
      </c>
      <c r="U211" s="385" t="str">
        <f>IF(F211="","",VLOOKUP(F211,'G-3 Multipliers'!$A$2:$E$134,2,FALSE))</f>
        <v/>
      </c>
      <c r="V211" s="382" t="str">
        <f t="shared" si="23"/>
        <v/>
      </c>
      <c r="W211" s="382" t="str">
        <f>IF(E211="","",IF(AND(V211="Standard difficulty applied",O211&gt;P211),U211,IF(AND(V211="Low Difficulty - only applicable if all habitat created before losses ⚠",P211&gt;=O211),"Low",VLOOKUP(F211,'G-3 Multipliers'!$A$2:$E$134,4,FALSE))))</f>
        <v/>
      </c>
      <c r="X211" s="386" t="str">
        <f>IFERROR(IF(E211="","",VLOOKUP(W211, 'G-3 Multipliers'!$P$2:$Q$6,2,FALSE)),"")</f>
        <v/>
      </c>
      <c r="Y211" s="516"/>
      <c r="Z211" s="724" t="str">
        <f>IF(Y211="","",IF(VLOOKUP(Y211,'G-3 Multipliers'!$S$3:$T$10,2,FALSE)=0,"Spatial Data Missing ⚠",VLOOKUP(Y211,'G-3 Multipliers'!$S$3:$T$10,2,FALSE)))</f>
        <v/>
      </c>
      <c r="AA211" s="741" t="str">
        <f t="shared" si="21"/>
        <v/>
      </c>
      <c r="AB211" s="405" t="str">
        <f t="shared" si="22"/>
        <v/>
      </c>
      <c r="AC211" s="119"/>
      <c r="AD211" s="528"/>
      <c r="AE211" s="120"/>
      <c r="AF211" s="120"/>
    </row>
    <row r="212" spans="1:32" ht="15">
      <c r="A212" s="30" t="str">
        <f>IFERROR(INDEX('G-8 Condition Look up'!$I$4:$I$135,MATCH(F212,'G-8 Condition Look up'!$A$4:$A$135,0)),"")</f>
        <v/>
      </c>
      <c r="C212" s="75" t="str">
        <f>IFERROR(INDEX('G-1 All Habitats'!$AG$3:$AG$17,MATCH(D212,'G-1 All Habitats'!$AF$3:$AF$17,0)),"")</f>
        <v/>
      </c>
      <c r="D212" s="122"/>
      <c r="E212" s="165"/>
      <c r="F212" s="198" t="str">
        <f>IFERROR(INDEX('G-1 All Habitats'!$B$3:$B$135,MATCH(E212,'G-1 All Habitats'!$A$3:$A$135,0)),"")</f>
        <v/>
      </c>
      <c r="G212" s="300"/>
      <c r="H212" s="398" t="str">
        <f>IF(F212="","",VLOOKUP(F212,'G-1 All Habitats'!$B$2:$M$134,10,FALSE))</f>
        <v/>
      </c>
      <c r="I212" s="386" t="str">
        <f>IFERROR(VLOOKUP(H212,'G-1 All Habitats'!$V$3:$W$7,2,FALSE),"")</f>
        <v/>
      </c>
      <c r="J212" s="162"/>
      <c r="K212" s="386" t="str">
        <f>IFERROR(INDEX('G-8 Condition Look up'!$A$3:$H$135,MATCH(F212,'G-8 Condition Look up'!$A$3:$A$135,0),MATCH(J212,'G-8 Condition Look up'!$A$3:$H$3,0)),"")</f>
        <v/>
      </c>
      <c r="L212" s="114"/>
      <c r="M212" s="401" t="str">
        <f>IF(L212="","",IF(VLOOKUP(L212,'G-3 Multipliers'!$L$3:$N$6,2,FALSE)=0,"Spatial Data Missing ⚠",VLOOKUP(L212,'G-3 Multipliers'!$L$3:$N$6,2,FALSE)))</f>
        <v/>
      </c>
      <c r="N212" s="363" t="str">
        <f>IF(L212="","",IF(VLOOKUP(L212,'G-3 Multipliers'!$L$3:$N$6,3,FALSE)=0,"Spatial Data Missing ⚠",VLOOKUP(L212,'G-3 Multipliers'!$L$3:$N$6,3,FALSE)))</f>
        <v/>
      </c>
      <c r="O212" s="362" t="str">
        <f t="shared" si="18"/>
        <v/>
      </c>
      <c r="P212" s="159"/>
      <c r="Q212" s="159"/>
      <c r="R212" s="382" t="str">
        <f t="shared" si="19"/>
        <v/>
      </c>
      <c r="S212" s="404" t="str">
        <f t="shared" si="20"/>
        <v/>
      </c>
      <c r="T212" s="387" t="str">
        <f>IFERROR(IF(S212="Check Data ⚠","Check Data ⚠",VLOOKUP(S212,'G-4 Temporal multipliers'!$A$4:$C$37,3,FALSE)),"")</f>
        <v/>
      </c>
      <c r="U212" s="385" t="str">
        <f>IF(F212="","",VLOOKUP(F212,'G-3 Multipliers'!$A$2:$E$134,2,FALSE))</f>
        <v/>
      </c>
      <c r="V212" s="382" t="str">
        <f t="shared" si="23"/>
        <v/>
      </c>
      <c r="W212" s="382" t="str">
        <f>IF(E212="","",IF(AND(V212="Standard difficulty applied",O212&gt;P212),U212,IF(AND(V212="Low Difficulty - only applicable if all habitat created before losses ⚠",P212&gt;=O212),"Low",VLOOKUP(F212,'G-3 Multipliers'!$A$2:$E$134,4,FALSE))))</f>
        <v/>
      </c>
      <c r="X212" s="386" t="str">
        <f>IFERROR(IF(E212="","",VLOOKUP(W212, 'G-3 Multipliers'!$P$2:$Q$6,2,FALSE)),"")</f>
        <v/>
      </c>
      <c r="Y212" s="516"/>
      <c r="Z212" s="724" t="str">
        <f>IF(Y212="","",IF(VLOOKUP(Y212,'G-3 Multipliers'!$S$3:$T$10,2,FALSE)=0,"Spatial Data Missing ⚠",VLOOKUP(Y212,'G-3 Multipliers'!$S$3:$T$10,2,FALSE)))</f>
        <v/>
      </c>
      <c r="AA212" s="741" t="str">
        <f t="shared" si="21"/>
        <v/>
      </c>
      <c r="AB212" s="405" t="str">
        <f t="shared" si="22"/>
        <v/>
      </c>
      <c r="AC212" s="119"/>
      <c r="AD212" s="528"/>
      <c r="AE212" s="120"/>
      <c r="AF212" s="120"/>
    </row>
    <row r="213" spans="1:32" ht="15">
      <c r="A213" s="30" t="str">
        <f>IFERROR(INDEX('G-8 Condition Look up'!$I$4:$I$135,MATCH(F213,'G-8 Condition Look up'!$A$4:$A$135,0)),"")</f>
        <v/>
      </c>
      <c r="C213" s="75" t="str">
        <f>IFERROR(INDEX('G-1 All Habitats'!$AG$3:$AG$17,MATCH(D213,'G-1 All Habitats'!$AF$3:$AF$17,0)),"")</f>
        <v/>
      </c>
      <c r="D213" s="122"/>
      <c r="E213" s="165"/>
      <c r="F213" s="198" t="str">
        <f>IFERROR(INDEX('G-1 All Habitats'!$B$3:$B$135,MATCH(E213,'G-1 All Habitats'!$A$3:$A$135,0)),"")</f>
        <v/>
      </c>
      <c r="G213" s="300"/>
      <c r="H213" s="398" t="str">
        <f>IF(F213="","",VLOOKUP(F213,'G-1 All Habitats'!$B$2:$M$134,10,FALSE))</f>
        <v/>
      </c>
      <c r="I213" s="386" t="str">
        <f>IFERROR(VLOOKUP(H213,'G-1 All Habitats'!$V$3:$W$7,2,FALSE),"")</f>
        <v/>
      </c>
      <c r="J213" s="162"/>
      <c r="K213" s="386" t="str">
        <f>IFERROR(INDEX('G-8 Condition Look up'!$A$3:$H$135,MATCH(F213,'G-8 Condition Look up'!$A$3:$A$135,0),MATCH(J213,'G-8 Condition Look up'!$A$3:$H$3,0)),"")</f>
        <v/>
      </c>
      <c r="L213" s="114"/>
      <c r="M213" s="401" t="str">
        <f>IF(L213="","",IF(VLOOKUP(L213,'G-3 Multipliers'!$L$3:$N$6,2,FALSE)=0,"Spatial Data Missing ⚠",VLOOKUP(L213,'G-3 Multipliers'!$L$3:$N$6,2,FALSE)))</f>
        <v/>
      </c>
      <c r="N213" s="363" t="str">
        <f>IF(L213="","",IF(VLOOKUP(L213,'G-3 Multipliers'!$L$3:$N$6,3,FALSE)=0,"Spatial Data Missing ⚠",VLOOKUP(L213,'G-3 Multipliers'!$L$3:$N$6,3,FALSE)))</f>
        <v/>
      </c>
      <c r="O213" s="362" t="str">
        <f t="shared" si="18"/>
        <v/>
      </c>
      <c r="P213" s="159"/>
      <c r="Q213" s="159"/>
      <c r="R213" s="382" t="str">
        <f t="shared" si="19"/>
        <v/>
      </c>
      <c r="S213" s="404" t="str">
        <f t="shared" si="20"/>
        <v/>
      </c>
      <c r="T213" s="387" t="str">
        <f>IFERROR(IF(S213="Check Data ⚠","Check Data ⚠",VLOOKUP(S213,'G-4 Temporal multipliers'!$A$4:$C$37,3,FALSE)),"")</f>
        <v/>
      </c>
      <c r="U213" s="385" t="str">
        <f>IF(F213="","",VLOOKUP(F213,'G-3 Multipliers'!$A$2:$E$134,2,FALSE))</f>
        <v/>
      </c>
      <c r="V213" s="382" t="str">
        <f t="shared" si="23"/>
        <v/>
      </c>
      <c r="W213" s="382" t="str">
        <f>IF(E213="","",IF(AND(V213="Standard difficulty applied",O213&gt;P213),U213,IF(AND(V213="Low Difficulty - only applicable if all habitat created before losses ⚠",P213&gt;=O213),"Low",VLOOKUP(F213,'G-3 Multipliers'!$A$2:$E$134,4,FALSE))))</f>
        <v/>
      </c>
      <c r="X213" s="386" t="str">
        <f>IFERROR(IF(E213="","",VLOOKUP(W213, 'G-3 Multipliers'!$P$2:$Q$6,2,FALSE)),"")</f>
        <v/>
      </c>
      <c r="Y213" s="516"/>
      <c r="Z213" s="724" t="str">
        <f>IF(Y213="","",IF(VLOOKUP(Y213,'G-3 Multipliers'!$S$3:$T$10,2,FALSE)=0,"Spatial Data Missing ⚠",VLOOKUP(Y213,'G-3 Multipliers'!$S$3:$T$10,2,FALSE)))</f>
        <v/>
      </c>
      <c r="AA213" s="741" t="str">
        <f t="shared" si="21"/>
        <v/>
      </c>
      <c r="AB213" s="405" t="str">
        <f t="shared" si="22"/>
        <v/>
      </c>
      <c r="AC213" s="119"/>
      <c r="AD213" s="528"/>
      <c r="AE213" s="120"/>
      <c r="AF213" s="120"/>
    </row>
    <row r="214" spans="1:32" ht="15">
      <c r="A214" s="30" t="str">
        <f>IFERROR(INDEX('G-8 Condition Look up'!$I$4:$I$135,MATCH(F214,'G-8 Condition Look up'!$A$4:$A$135,0)),"")</f>
        <v/>
      </c>
      <c r="C214" s="75" t="str">
        <f>IFERROR(INDEX('G-1 All Habitats'!$AG$3:$AG$17,MATCH(D214,'G-1 All Habitats'!$AF$3:$AF$17,0)),"")</f>
        <v/>
      </c>
      <c r="D214" s="122"/>
      <c r="E214" s="165"/>
      <c r="F214" s="198" t="str">
        <f>IFERROR(INDEX('G-1 All Habitats'!$B$3:$B$135,MATCH(E214,'G-1 All Habitats'!$A$3:$A$135,0)),"")</f>
        <v/>
      </c>
      <c r="G214" s="300"/>
      <c r="H214" s="398" t="str">
        <f>IF(F214="","",VLOOKUP(F214,'G-1 All Habitats'!$B$2:$M$134,10,FALSE))</f>
        <v/>
      </c>
      <c r="I214" s="386" t="str">
        <f>IFERROR(VLOOKUP(H214,'G-1 All Habitats'!$V$3:$W$7,2,FALSE),"")</f>
        <v/>
      </c>
      <c r="J214" s="162"/>
      <c r="K214" s="386" t="str">
        <f>IFERROR(INDEX('G-8 Condition Look up'!$A$3:$H$135,MATCH(F214,'G-8 Condition Look up'!$A$3:$A$135,0),MATCH(J214,'G-8 Condition Look up'!$A$3:$H$3,0)),"")</f>
        <v/>
      </c>
      <c r="L214" s="114"/>
      <c r="M214" s="401" t="str">
        <f>IF(L214="","",IF(VLOOKUP(L214,'G-3 Multipliers'!$L$3:$N$6,2,FALSE)=0,"Spatial Data Missing ⚠",VLOOKUP(L214,'G-3 Multipliers'!$L$3:$N$6,2,FALSE)))</f>
        <v/>
      </c>
      <c r="N214" s="363" t="str">
        <f>IF(L214="","",IF(VLOOKUP(L214,'G-3 Multipliers'!$L$3:$N$6,3,FALSE)=0,"Spatial Data Missing ⚠",VLOOKUP(L214,'G-3 Multipliers'!$L$3:$N$6,3,FALSE)))</f>
        <v/>
      </c>
      <c r="O214" s="362" t="str">
        <f t="shared" si="18"/>
        <v/>
      </c>
      <c r="P214" s="159"/>
      <c r="Q214" s="159"/>
      <c r="R214" s="382" t="str">
        <f t="shared" si="19"/>
        <v/>
      </c>
      <c r="S214" s="404" t="str">
        <f t="shared" si="20"/>
        <v/>
      </c>
      <c r="T214" s="387" t="str">
        <f>IFERROR(IF(S214="Check Data ⚠","Check Data ⚠",VLOOKUP(S214,'G-4 Temporal multipliers'!$A$4:$C$37,3,FALSE)),"")</f>
        <v/>
      </c>
      <c r="U214" s="385" t="str">
        <f>IF(F214="","",VLOOKUP(F214,'G-3 Multipliers'!$A$2:$E$134,2,FALSE))</f>
        <v/>
      </c>
      <c r="V214" s="382" t="str">
        <f t="shared" si="23"/>
        <v/>
      </c>
      <c r="W214" s="382" t="str">
        <f>IF(E214="","",IF(AND(V214="Standard difficulty applied",O214&gt;P214),U214,IF(AND(V214="Low Difficulty - only applicable if all habitat created before losses ⚠",P214&gt;=O214),"Low",VLOOKUP(F214,'G-3 Multipliers'!$A$2:$E$134,4,FALSE))))</f>
        <v/>
      </c>
      <c r="X214" s="386" t="str">
        <f>IFERROR(IF(E214="","",VLOOKUP(W214, 'G-3 Multipliers'!$P$2:$Q$6,2,FALSE)),"")</f>
        <v/>
      </c>
      <c r="Y214" s="516"/>
      <c r="Z214" s="724" t="str">
        <f>IF(Y214="","",IF(VLOOKUP(Y214,'G-3 Multipliers'!$S$3:$T$10,2,FALSE)=0,"Spatial Data Missing ⚠",VLOOKUP(Y214,'G-3 Multipliers'!$S$3:$T$10,2,FALSE)))</f>
        <v/>
      </c>
      <c r="AA214" s="741" t="str">
        <f t="shared" si="21"/>
        <v/>
      </c>
      <c r="AB214" s="405" t="str">
        <f t="shared" si="22"/>
        <v/>
      </c>
      <c r="AC214" s="119"/>
      <c r="AD214" s="528"/>
      <c r="AE214" s="120"/>
      <c r="AF214" s="120"/>
    </row>
    <row r="215" spans="1:32" ht="15">
      <c r="A215" s="30" t="str">
        <f>IFERROR(INDEX('G-8 Condition Look up'!$I$4:$I$135,MATCH(F215,'G-8 Condition Look up'!$A$4:$A$135,0)),"")</f>
        <v/>
      </c>
      <c r="C215" s="75" t="str">
        <f>IFERROR(INDEX('G-1 All Habitats'!$AG$3:$AG$17,MATCH(D215,'G-1 All Habitats'!$AF$3:$AF$17,0)),"")</f>
        <v/>
      </c>
      <c r="D215" s="122"/>
      <c r="E215" s="165"/>
      <c r="F215" s="198" t="str">
        <f>IFERROR(INDEX('G-1 All Habitats'!$B$3:$B$135,MATCH(E215,'G-1 All Habitats'!$A$3:$A$135,0)),"")</f>
        <v/>
      </c>
      <c r="G215" s="300"/>
      <c r="H215" s="398" t="str">
        <f>IF(F215="","",VLOOKUP(F215,'G-1 All Habitats'!$B$2:$M$134,10,FALSE))</f>
        <v/>
      </c>
      <c r="I215" s="386" t="str">
        <f>IFERROR(VLOOKUP(H215,'G-1 All Habitats'!$V$3:$W$7,2,FALSE),"")</f>
        <v/>
      </c>
      <c r="J215" s="162"/>
      <c r="K215" s="386" t="str">
        <f>IFERROR(INDEX('G-8 Condition Look up'!$A$3:$H$135,MATCH(F215,'G-8 Condition Look up'!$A$3:$A$135,0),MATCH(J215,'G-8 Condition Look up'!$A$3:$H$3,0)),"")</f>
        <v/>
      </c>
      <c r="L215" s="114"/>
      <c r="M215" s="401" t="str">
        <f>IF(L215="","",IF(VLOOKUP(L215,'G-3 Multipliers'!$L$3:$N$6,2,FALSE)=0,"Spatial Data Missing ⚠",VLOOKUP(L215,'G-3 Multipliers'!$L$3:$N$6,2,FALSE)))</f>
        <v/>
      </c>
      <c r="N215" s="363" t="str">
        <f>IF(L215="","",IF(VLOOKUP(L215,'G-3 Multipliers'!$L$3:$N$6,3,FALSE)=0,"Spatial Data Missing ⚠",VLOOKUP(L215,'G-3 Multipliers'!$L$3:$N$6,3,FALSE)))</f>
        <v/>
      </c>
      <c r="O215" s="362" t="str">
        <f t="shared" si="18"/>
        <v/>
      </c>
      <c r="P215" s="159"/>
      <c r="Q215" s="159"/>
      <c r="R215" s="382" t="str">
        <f t="shared" si="19"/>
        <v/>
      </c>
      <c r="S215" s="404" t="str">
        <f t="shared" si="20"/>
        <v/>
      </c>
      <c r="T215" s="387" t="str">
        <f>IFERROR(IF(S215="Check Data ⚠","Check Data ⚠",VLOOKUP(S215,'G-4 Temporal multipliers'!$A$4:$C$37,3,FALSE)),"")</f>
        <v/>
      </c>
      <c r="U215" s="385" t="str">
        <f>IF(F215="","",VLOOKUP(F215,'G-3 Multipliers'!$A$2:$E$134,2,FALSE))</f>
        <v/>
      </c>
      <c r="V215" s="382" t="str">
        <f t="shared" si="23"/>
        <v/>
      </c>
      <c r="W215" s="382" t="str">
        <f>IF(E215="","",IF(AND(V215="Standard difficulty applied",O215&gt;P215),U215,IF(AND(V215="Low Difficulty - only applicable if all habitat created before losses ⚠",P215&gt;=O215),"Low",VLOOKUP(F215,'G-3 Multipliers'!$A$2:$E$134,4,FALSE))))</f>
        <v/>
      </c>
      <c r="X215" s="386" t="str">
        <f>IFERROR(IF(E215="","",VLOOKUP(W215, 'G-3 Multipliers'!$P$2:$Q$6,2,FALSE)),"")</f>
        <v/>
      </c>
      <c r="Y215" s="516"/>
      <c r="Z215" s="724" t="str">
        <f>IF(Y215="","",IF(VLOOKUP(Y215,'G-3 Multipliers'!$S$3:$T$10,2,FALSE)=0,"Spatial Data Missing ⚠",VLOOKUP(Y215,'G-3 Multipliers'!$S$3:$T$10,2,FALSE)))</f>
        <v/>
      </c>
      <c r="AA215" s="741" t="str">
        <f t="shared" si="21"/>
        <v/>
      </c>
      <c r="AB215" s="405" t="str">
        <f t="shared" si="22"/>
        <v/>
      </c>
      <c r="AC215" s="119"/>
      <c r="AD215" s="528"/>
      <c r="AE215" s="120"/>
      <c r="AF215" s="120"/>
    </row>
    <row r="216" spans="1:32" ht="15">
      <c r="A216" s="30" t="str">
        <f>IFERROR(INDEX('G-8 Condition Look up'!$I$4:$I$135,MATCH(F216,'G-8 Condition Look up'!$A$4:$A$135,0)),"")</f>
        <v/>
      </c>
      <c r="C216" s="75" t="str">
        <f>IFERROR(INDEX('G-1 All Habitats'!$AG$3:$AG$17,MATCH(D216,'G-1 All Habitats'!$AF$3:$AF$17,0)),"")</f>
        <v/>
      </c>
      <c r="D216" s="122"/>
      <c r="E216" s="165"/>
      <c r="F216" s="198" t="str">
        <f>IFERROR(INDEX('G-1 All Habitats'!$B$3:$B$135,MATCH(E216,'G-1 All Habitats'!$A$3:$A$135,0)),"")</f>
        <v/>
      </c>
      <c r="G216" s="300"/>
      <c r="H216" s="398" t="str">
        <f>IF(F216="","",VLOOKUP(F216,'G-1 All Habitats'!$B$2:$M$134,10,FALSE))</f>
        <v/>
      </c>
      <c r="I216" s="386" t="str">
        <f>IFERROR(VLOOKUP(H216,'G-1 All Habitats'!$V$3:$W$7,2,FALSE),"")</f>
        <v/>
      </c>
      <c r="J216" s="162"/>
      <c r="K216" s="386" t="str">
        <f>IFERROR(INDEX('G-8 Condition Look up'!$A$3:$H$135,MATCH(F216,'G-8 Condition Look up'!$A$3:$A$135,0),MATCH(J216,'G-8 Condition Look up'!$A$3:$H$3,0)),"")</f>
        <v/>
      </c>
      <c r="L216" s="114"/>
      <c r="M216" s="401" t="str">
        <f>IF(L216="","",IF(VLOOKUP(L216,'G-3 Multipliers'!$L$3:$N$6,2,FALSE)=0,"Spatial Data Missing ⚠",VLOOKUP(L216,'G-3 Multipliers'!$L$3:$N$6,2,FALSE)))</f>
        <v/>
      </c>
      <c r="N216" s="363" t="str">
        <f>IF(L216="","",IF(VLOOKUP(L216,'G-3 Multipliers'!$L$3:$N$6,3,FALSE)=0,"Spatial Data Missing ⚠",VLOOKUP(L216,'G-3 Multipliers'!$L$3:$N$6,3,FALSE)))</f>
        <v/>
      </c>
      <c r="O216" s="362" t="str">
        <f t="shared" si="18"/>
        <v/>
      </c>
      <c r="P216" s="159"/>
      <c r="Q216" s="159"/>
      <c r="R216" s="382" t="str">
        <f t="shared" si="19"/>
        <v/>
      </c>
      <c r="S216" s="404" t="str">
        <f t="shared" si="20"/>
        <v/>
      </c>
      <c r="T216" s="387" t="str">
        <f>IFERROR(IF(S216="Check Data ⚠","Check Data ⚠",VLOOKUP(S216,'G-4 Temporal multipliers'!$A$4:$C$37,3,FALSE)),"")</f>
        <v/>
      </c>
      <c r="U216" s="385" t="str">
        <f>IF(F216="","",VLOOKUP(F216,'G-3 Multipliers'!$A$2:$E$134,2,FALSE))</f>
        <v/>
      </c>
      <c r="V216" s="382" t="str">
        <f t="shared" si="23"/>
        <v/>
      </c>
      <c r="W216" s="382" t="str">
        <f>IF(E216="","",IF(AND(V216="Standard difficulty applied",O216&gt;P216),U216,IF(AND(V216="Low Difficulty - only applicable if all habitat created before losses ⚠",P216&gt;=O216),"Low",VLOOKUP(F216,'G-3 Multipliers'!$A$2:$E$134,4,FALSE))))</f>
        <v/>
      </c>
      <c r="X216" s="386" t="str">
        <f>IFERROR(IF(E216="","",VLOOKUP(W216, 'G-3 Multipliers'!$P$2:$Q$6,2,FALSE)),"")</f>
        <v/>
      </c>
      <c r="Y216" s="516"/>
      <c r="Z216" s="724" t="str">
        <f>IF(Y216="","",IF(VLOOKUP(Y216,'G-3 Multipliers'!$S$3:$T$10,2,FALSE)=0,"Spatial Data Missing ⚠",VLOOKUP(Y216,'G-3 Multipliers'!$S$3:$T$10,2,FALSE)))</f>
        <v/>
      </c>
      <c r="AA216" s="741" t="str">
        <f t="shared" si="21"/>
        <v/>
      </c>
      <c r="AB216" s="405" t="str">
        <f t="shared" si="22"/>
        <v/>
      </c>
      <c r="AC216" s="119"/>
      <c r="AD216" s="528"/>
      <c r="AE216" s="120"/>
      <c r="AF216" s="120"/>
    </row>
    <row r="217" spans="1:32" ht="15">
      <c r="A217" s="30" t="str">
        <f>IFERROR(INDEX('G-8 Condition Look up'!$I$4:$I$135,MATCH(F217,'G-8 Condition Look up'!$A$4:$A$135,0)),"")</f>
        <v/>
      </c>
      <c r="C217" s="75" t="str">
        <f>IFERROR(INDEX('G-1 All Habitats'!$AG$3:$AG$17,MATCH(D217,'G-1 All Habitats'!$AF$3:$AF$17,0)),"")</f>
        <v/>
      </c>
      <c r="D217" s="122"/>
      <c r="E217" s="165"/>
      <c r="F217" s="198" t="str">
        <f>IFERROR(INDEX('G-1 All Habitats'!$B$3:$B$135,MATCH(E217,'G-1 All Habitats'!$A$3:$A$135,0)),"")</f>
        <v/>
      </c>
      <c r="G217" s="300"/>
      <c r="H217" s="398" t="str">
        <f>IF(F217="","",VLOOKUP(F217,'G-1 All Habitats'!$B$2:$M$134,10,FALSE))</f>
        <v/>
      </c>
      <c r="I217" s="386" t="str">
        <f>IFERROR(VLOOKUP(H217,'G-1 All Habitats'!$V$3:$W$7,2,FALSE),"")</f>
        <v/>
      </c>
      <c r="J217" s="162"/>
      <c r="K217" s="386" t="str">
        <f>IFERROR(INDEX('G-8 Condition Look up'!$A$3:$H$135,MATCH(F217,'G-8 Condition Look up'!$A$3:$A$135,0),MATCH(J217,'G-8 Condition Look up'!$A$3:$H$3,0)),"")</f>
        <v/>
      </c>
      <c r="L217" s="114"/>
      <c r="M217" s="401" t="str">
        <f>IF(L217="","",IF(VLOOKUP(L217,'G-3 Multipliers'!$L$3:$N$6,2,FALSE)=0,"Spatial Data Missing ⚠",VLOOKUP(L217,'G-3 Multipliers'!$L$3:$N$6,2,FALSE)))</f>
        <v/>
      </c>
      <c r="N217" s="363" t="str">
        <f>IF(L217="","",IF(VLOOKUP(L217,'G-3 Multipliers'!$L$3:$N$6,3,FALSE)=0,"Spatial Data Missing ⚠",VLOOKUP(L217,'G-3 Multipliers'!$L$3:$N$6,3,FALSE)))</f>
        <v/>
      </c>
      <c r="O217" s="362" t="str">
        <f t="shared" si="18"/>
        <v/>
      </c>
      <c r="P217" s="159"/>
      <c r="Q217" s="159"/>
      <c r="R217" s="382" t="str">
        <f t="shared" si="19"/>
        <v/>
      </c>
      <c r="S217" s="404" t="str">
        <f t="shared" si="20"/>
        <v/>
      </c>
      <c r="T217" s="387" t="str">
        <f>IFERROR(IF(S217="Check Data ⚠","Check Data ⚠",VLOOKUP(S217,'G-4 Temporal multipliers'!$A$4:$C$37,3,FALSE)),"")</f>
        <v/>
      </c>
      <c r="U217" s="385" t="str">
        <f>IF(F217="","",VLOOKUP(F217,'G-3 Multipliers'!$A$2:$E$134,2,FALSE))</f>
        <v/>
      </c>
      <c r="V217" s="382" t="str">
        <f t="shared" si="23"/>
        <v/>
      </c>
      <c r="W217" s="382" t="str">
        <f>IF(E217="","",IF(AND(V217="Standard difficulty applied",O217&gt;P217),U217,IF(AND(V217="Low Difficulty - only applicable if all habitat created before losses ⚠",P217&gt;=O217),"Low",VLOOKUP(F217,'G-3 Multipliers'!$A$2:$E$134,4,FALSE))))</f>
        <v/>
      </c>
      <c r="X217" s="386" t="str">
        <f>IFERROR(IF(E217="","",VLOOKUP(W217, 'G-3 Multipliers'!$P$2:$Q$6,2,FALSE)),"")</f>
        <v/>
      </c>
      <c r="Y217" s="516"/>
      <c r="Z217" s="724" t="str">
        <f>IF(Y217="","",IF(VLOOKUP(Y217,'G-3 Multipliers'!$S$3:$T$10,2,FALSE)=0,"Spatial Data Missing ⚠",VLOOKUP(Y217,'G-3 Multipliers'!$S$3:$T$10,2,FALSE)))</f>
        <v/>
      </c>
      <c r="AA217" s="741" t="str">
        <f t="shared" si="21"/>
        <v/>
      </c>
      <c r="AB217" s="405" t="str">
        <f t="shared" si="22"/>
        <v/>
      </c>
      <c r="AC217" s="119"/>
      <c r="AD217" s="528"/>
      <c r="AE217" s="120"/>
      <c r="AF217" s="120"/>
    </row>
    <row r="218" spans="1:32" ht="15">
      <c r="A218" s="30" t="str">
        <f>IFERROR(INDEX('G-8 Condition Look up'!$I$4:$I$135,MATCH(F218,'G-8 Condition Look up'!$A$4:$A$135,0)),"")</f>
        <v/>
      </c>
      <c r="C218" s="75" t="str">
        <f>IFERROR(INDEX('G-1 All Habitats'!$AG$3:$AG$17,MATCH(D218,'G-1 All Habitats'!$AF$3:$AF$17,0)),"")</f>
        <v/>
      </c>
      <c r="D218" s="122"/>
      <c r="E218" s="165"/>
      <c r="F218" s="198" t="str">
        <f>IFERROR(INDEX('G-1 All Habitats'!$B$3:$B$135,MATCH(E218,'G-1 All Habitats'!$A$3:$A$135,0)),"")</f>
        <v/>
      </c>
      <c r="G218" s="300"/>
      <c r="H218" s="398" t="str">
        <f>IF(F218="","",VLOOKUP(F218,'G-1 All Habitats'!$B$2:$M$134,10,FALSE))</f>
        <v/>
      </c>
      <c r="I218" s="386" t="str">
        <f>IFERROR(VLOOKUP(H218,'G-1 All Habitats'!$V$3:$W$7,2,FALSE),"")</f>
        <v/>
      </c>
      <c r="J218" s="162"/>
      <c r="K218" s="386" t="str">
        <f>IFERROR(INDEX('G-8 Condition Look up'!$A$3:$H$135,MATCH(F218,'G-8 Condition Look up'!$A$3:$A$135,0),MATCH(J218,'G-8 Condition Look up'!$A$3:$H$3,0)),"")</f>
        <v/>
      </c>
      <c r="L218" s="114"/>
      <c r="M218" s="401" t="str">
        <f>IF(L218="","",IF(VLOOKUP(L218,'G-3 Multipliers'!$L$3:$N$6,2,FALSE)=0,"Spatial Data Missing ⚠",VLOOKUP(L218,'G-3 Multipliers'!$L$3:$N$6,2,FALSE)))</f>
        <v/>
      </c>
      <c r="N218" s="363" t="str">
        <f>IF(L218="","",IF(VLOOKUP(L218,'G-3 Multipliers'!$L$3:$N$6,3,FALSE)=0,"Spatial Data Missing ⚠",VLOOKUP(L218,'G-3 Multipliers'!$L$3:$N$6,3,FALSE)))</f>
        <v/>
      </c>
      <c r="O218" s="362" t="str">
        <f t="shared" si="18"/>
        <v/>
      </c>
      <c r="P218" s="159"/>
      <c r="Q218" s="159"/>
      <c r="R218" s="382" t="str">
        <f t="shared" si="19"/>
        <v/>
      </c>
      <c r="S218" s="404" t="str">
        <f t="shared" si="20"/>
        <v/>
      </c>
      <c r="T218" s="387" t="str">
        <f>IFERROR(IF(S218="Check Data ⚠","Check Data ⚠",VLOOKUP(S218,'G-4 Temporal multipliers'!$A$4:$C$37,3,FALSE)),"")</f>
        <v/>
      </c>
      <c r="U218" s="385" t="str">
        <f>IF(F218="","",VLOOKUP(F218,'G-3 Multipliers'!$A$2:$E$134,2,FALSE))</f>
        <v/>
      </c>
      <c r="V218" s="382" t="str">
        <f t="shared" si="23"/>
        <v/>
      </c>
      <c r="W218" s="382" t="str">
        <f>IF(E218="","",IF(AND(V218="Standard difficulty applied",O218&gt;P218),U218,IF(AND(V218="Low Difficulty - only applicable if all habitat created before losses ⚠",P218&gt;=O218),"Low",VLOOKUP(F218,'G-3 Multipliers'!$A$2:$E$134,4,FALSE))))</f>
        <v/>
      </c>
      <c r="X218" s="386" t="str">
        <f>IFERROR(IF(E218="","",VLOOKUP(W218, 'G-3 Multipliers'!$P$2:$Q$6,2,FALSE)),"")</f>
        <v/>
      </c>
      <c r="Y218" s="516"/>
      <c r="Z218" s="724" t="str">
        <f>IF(Y218="","",IF(VLOOKUP(Y218,'G-3 Multipliers'!$S$3:$T$10,2,FALSE)=0,"Spatial Data Missing ⚠",VLOOKUP(Y218,'G-3 Multipliers'!$S$3:$T$10,2,FALSE)))</f>
        <v/>
      </c>
      <c r="AA218" s="741" t="str">
        <f t="shared" si="21"/>
        <v/>
      </c>
      <c r="AB218" s="405" t="str">
        <f t="shared" si="22"/>
        <v/>
      </c>
      <c r="AC218" s="119"/>
      <c r="AD218" s="528"/>
      <c r="AE218" s="120"/>
      <c r="AF218" s="120"/>
    </row>
    <row r="219" spans="1:32" ht="15">
      <c r="A219" s="30" t="str">
        <f>IFERROR(INDEX('G-8 Condition Look up'!$I$4:$I$135,MATCH(F219,'G-8 Condition Look up'!$A$4:$A$135,0)),"")</f>
        <v/>
      </c>
      <c r="C219" s="75" t="str">
        <f>IFERROR(INDEX('G-1 All Habitats'!$AG$3:$AG$17,MATCH(D219,'G-1 All Habitats'!$AF$3:$AF$17,0)),"")</f>
        <v/>
      </c>
      <c r="D219" s="122"/>
      <c r="E219" s="165"/>
      <c r="F219" s="198" t="str">
        <f>IFERROR(INDEX('G-1 All Habitats'!$B$3:$B$135,MATCH(E219,'G-1 All Habitats'!$A$3:$A$135,0)),"")</f>
        <v/>
      </c>
      <c r="G219" s="300"/>
      <c r="H219" s="398" t="str">
        <f>IF(F219="","",VLOOKUP(F219,'G-1 All Habitats'!$B$2:$M$134,10,FALSE))</f>
        <v/>
      </c>
      <c r="I219" s="386" t="str">
        <f>IFERROR(VLOOKUP(H219,'G-1 All Habitats'!$V$3:$W$7,2,FALSE),"")</f>
        <v/>
      </c>
      <c r="J219" s="162"/>
      <c r="K219" s="386" t="str">
        <f>IFERROR(INDEX('G-8 Condition Look up'!$A$3:$H$135,MATCH(F219,'G-8 Condition Look up'!$A$3:$A$135,0),MATCH(J219,'G-8 Condition Look up'!$A$3:$H$3,0)),"")</f>
        <v/>
      </c>
      <c r="L219" s="114"/>
      <c r="M219" s="401" t="str">
        <f>IF(L219="","",IF(VLOOKUP(L219,'G-3 Multipliers'!$L$3:$N$6,2,FALSE)=0,"Spatial Data Missing ⚠",VLOOKUP(L219,'G-3 Multipliers'!$L$3:$N$6,2,FALSE)))</f>
        <v/>
      </c>
      <c r="N219" s="363" t="str">
        <f>IF(L219="","",IF(VLOOKUP(L219,'G-3 Multipliers'!$L$3:$N$6,3,FALSE)=0,"Spatial Data Missing ⚠",VLOOKUP(L219,'G-3 Multipliers'!$L$3:$N$6,3,FALSE)))</f>
        <v/>
      </c>
      <c r="O219" s="362" t="str">
        <f t="shared" si="18"/>
        <v/>
      </c>
      <c r="P219" s="159"/>
      <c r="Q219" s="159"/>
      <c r="R219" s="382" t="str">
        <f t="shared" si="19"/>
        <v/>
      </c>
      <c r="S219" s="404" t="str">
        <f t="shared" si="20"/>
        <v/>
      </c>
      <c r="T219" s="387" t="str">
        <f>IFERROR(IF(S219="Check Data ⚠","Check Data ⚠",VLOOKUP(S219,'G-4 Temporal multipliers'!$A$4:$C$37,3,FALSE)),"")</f>
        <v/>
      </c>
      <c r="U219" s="385" t="str">
        <f>IF(F219="","",VLOOKUP(F219,'G-3 Multipliers'!$A$2:$E$134,2,FALSE))</f>
        <v/>
      </c>
      <c r="V219" s="382" t="str">
        <f t="shared" si="23"/>
        <v/>
      </c>
      <c r="W219" s="382" t="str">
        <f>IF(E219="","",IF(AND(V219="Standard difficulty applied",O219&gt;P219),U219,IF(AND(V219="Low Difficulty - only applicable if all habitat created before losses ⚠",P219&gt;=O219),"Low",VLOOKUP(F219,'G-3 Multipliers'!$A$2:$E$134,4,FALSE))))</f>
        <v/>
      </c>
      <c r="X219" s="386" t="str">
        <f>IFERROR(IF(E219="","",VLOOKUP(W219, 'G-3 Multipliers'!$P$2:$Q$6,2,FALSE)),"")</f>
        <v/>
      </c>
      <c r="Y219" s="516"/>
      <c r="Z219" s="724" t="str">
        <f>IF(Y219="","",IF(VLOOKUP(Y219,'G-3 Multipliers'!$S$3:$T$10,2,FALSE)=0,"Spatial Data Missing ⚠",VLOOKUP(Y219,'G-3 Multipliers'!$S$3:$T$10,2,FALSE)))</f>
        <v/>
      </c>
      <c r="AA219" s="741" t="str">
        <f t="shared" si="21"/>
        <v/>
      </c>
      <c r="AB219" s="405" t="str">
        <f t="shared" si="22"/>
        <v/>
      </c>
      <c r="AC219" s="119"/>
      <c r="AD219" s="528"/>
      <c r="AE219" s="120"/>
      <c r="AF219" s="120"/>
    </row>
    <row r="220" spans="1:32" ht="15">
      <c r="A220" s="30" t="str">
        <f>IFERROR(INDEX('G-8 Condition Look up'!$I$4:$I$135,MATCH(F220,'G-8 Condition Look up'!$A$4:$A$135,0)),"")</f>
        <v/>
      </c>
      <c r="C220" s="75" t="str">
        <f>IFERROR(INDEX('G-1 All Habitats'!$AG$3:$AG$17,MATCH(D220,'G-1 All Habitats'!$AF$3:$AF$17,0)),"")</f>
        <v/>
      </c>
      <c r="D220" s="122"/>
      <c r="E220" s="165"/>
      <c r="F220" s="198" t="str">
        <f>IFERROR(INDEX('G-1 All Habitats'!$B$3:$B$135,MATCH(E220,'G-1 All Habitats'!$A$3:$A$135,0)),"")</f>
        <v/>
      </c>
      <c r="G220" s="300"/>
      <c r="H220" s="398" t="str">
        <f>IF(F220="","",VLOOKUP(F220,'G-1 All Habitats'!$B$2:$M$134,10,FALSE))</f>
        <v/>
      </c>
      <c r="I220" s="386" t="str">
        <f>IFERROR(VLOOKUP(H220,'G-1 All Habitats'!$V$3:$W$7,2,FALSE),"")</f>
        <v/>
      </c>
      <c r="J220" s="162"/>
      <c r="K220" s="386" t="str">
        <f>IFERROR(INDEX('G-8 Condition Look up'!$A$3:$H$135,MATCH(F220,'G-8 Condition Look up'!$A$3:$A$135,0),MATCH(J220,'G-8 Condition Look up'!$A$3:$H$3,0)),"")</f>
        <v/>
      </c>
      <c r="L220" s="114"/>
      <c r="M220" s="401" t="str">
        <f>IF(L220="","",IF(VLOOKUP(L220,'G-3 Multipliers'!$L$3:$N$6,2,FALSE)=0,"Spatial Data Missing ⚠",VLOOKUP(L220,'G-3 Multipliers'!$L$3:$N$6,2,FALSE)))</f>
        <v/>
      </c>
      <c r="N220" s="363" t="str">
        <f>IF(L220="","",IF(VLOOKUP(L220,'G-3 Multipliers'!$L$3:$N$6,3,FALSE)=0,"Spatial Data Missing ⚠",VLOOKUP(L220,'G-3 Multipliers'!$L$3:$N$6,3,FALSE)))</f>
        <v/>
      </c>
      <c r="O220" s="362" t="str">
        <f t="shared" si="18"/>
        <v/>
      </c>
      <c r="P220" s="159"/>
      <c r="Q220" s="159"/>
      <c r="R220" s="382" t="str">
        <f t="shared" si="19"/>
        <v/>
      </c>
      <c r="S220" s="404" t="str">
        <f t="shared" si="20"/>
        <v/>
      </c>
      <c r="T220" s="387" t="str">
        <f>IFERROR(IF(S220="Check Data ⚠","Check Data ⚠",VLOOKUP(S220,'G-4 Temporal multipliers'!$A$4:$C$37,3,FALSE)),"")</f>
        <v/>
      </c>
      <c r="U220" s="385" t="str">
        <f>IF(F220="","",VLOOKUP(F220,'G-3 Multipliers'!$A$2:$E$134,2,FALSE))</f>
        <v/>
      </c>
      <c r="V220" s="382" t="str">
        <f t="shared" si="23"/>
        <v/>
      </c>
      <c r="W220" s="382" t="str">
        <f>IF(E220="","",IF(AND(V220="Standard difficulty applied",O220&gt;P220),U220,IF(AND(V220="Low Difficulty - only applicable if all habitat created before losses ⚠",P220&gt;=O220),"Low",VLOOKUP(F220,'G-3 Multipliers'!$A$2:$E$134,4,FALSE))))</f>
        <v/>
      </c>
      <c r="X220" s="386" t="str">
        <f>IFERROR(IF(E220="","",VLOOKUP(W220, 'G-3 Multipliers'!$P$2:$Q$6,2,FALSE)),"")</f>
        <v/>
      </c>
      <c r="Y220" s="516"/>
      <c r="Z220" s="724" t="str">
        <f>IF(Y220="","",IF(VLOOKUP(Y220,'G-3 Multipliers'!$S$3:$T$10,2,FALSE)=0,"Spatial Data Missing ⚠",VLOOKUP(Y220,'G-3 Multipliers'!$S$3:$T$10,2,FALSE)))</f>
        <v/>
      </c>
      <c r="AA220" s="741" t="str">
        <f t="shared" si="21"/>
        <v/>
      </c>
      <c r="AB220" s="405" t="str">
        <f t="shared" si="22"/>
        <v/>
      </c>
      <c r="AC220" s="119"/>
      <c r="AD220" s="528"/>
      <c r="AE220" s="120"/>
      <c r="AF220" s="120"/>
    </row>
    <row r="221" spans="1:32" ht="15">
      <c r="A221" s="30" t="str">
        <f>IFERROR(INDEX('G-8 Condition Look up'!$I$4:$I$135,MATCH(F221,'G-8 Condition Look up'!$A$4:$A$135,0)),"")</f>
        <v/>
      </c>
      <c r="C221" s="75" t="str">
        <f>IFERROR(INDEX('G-1 All Habitats'!$AG$3:$AG$17,MATCH(D221,'G-1 All Habitats'!$AF$3:$AF$17,0)),"")</f>
        <v/>
      </c>
      <c r="D221" s="122"/>
      <c r="E221" s="165"/>
      <c r="F221" s="198" t="str">
        <f>IFERROR(INDEX('G-1 All Habitats'!$B$3:$B$135,MATCH(E221,'G-1 All Habitats'!$A$3:$A$135,0)),"")</f>
        <v/>
      </c>
      <c r="G221" s="300"/>
      <c r="H221" s="398" t="str">
        <f>IF(F221="","",VLOOKUP(F221,'G-1 All Habitats'!$B$2:$M$134,10,FALSE))</f>
        <v/>
      </c>
      <c r="I221" s="386" t="str">
        <f>IFERROR(VLOOKUP(H221,'G-1 All Habitats'!$V$3:$W$7,2,FALSE),"")</f>
        <v/>
      </c>
      <c r="J221" s="162"/>
      <c r="K221" s="386" t="str">
        <f>IFERROR(INDEX('G-8 Condition Look up'!$A$3:$H$135,MATCH(F221,'G-8 Condition Look up'!$A$3:$A$135,0),MATCH(J221,'G-8 Condition Look up'!$A$3:$H$3,0)),"")</f>
        <v/>
      </c>
      <c r="L221" s="114"/>
      <c r="M221" s="401" t="str">
        <f>IF(L221="","",IF(VLOOKUP(L221,'G-3 Multipliers'!$L$3:$N$6,2,FALSE)=0,"Spatial Data Missing ⚠",VLOOKUP(L221,'G-3 Multipliers'!$L$3:$N$6,2,FALSE)))</f>
        <v/>
      </c>
      <c r="N221" s="363" t="str">
        <f>IF(L221="","",IF(VLOOKUP(L221,'G-3 Multipliers'!$L$3:$N$6,3,FALSE)=0,"Spatial Data Missing ⚠",VLOOKUP(L221,'G-3 Multipliers'!$L$3:$N$6,3,FALSE)))</f>
        <v/>
      </c>
      <c r="O221" s="362" t="str">
        <f t="shared" si="18"/>
        <v/>
      </c>
      <c r="P221" s="159"/>
      <c r="Q221" s="159"/>
      <c r="R221" s="382" t="str">
        <f t="shared" si="19"/>
        <v/>
      </c>
      <c r="S221" s="404" t="str">
        <f t="shared" si="20"/>
        <v/>
      </c>
      <c r="T221" s="387" t="str">
        <f>IFERROR(IF(S221="Check Data ⚠","Check Data ⚠",VLOOKUP(S221,'G-4 Temporal multipliers'!$A$4:$C$37,3,FALSE)),"")</f>
        <v/>
      </c>
      <c r="U221" s="385" t="str">
        <f>IF(F221="","",VLOOKUP(F221,'G-3 Multipliers'!$A$2:$E$134,2,FALSE))</f>
        <v/>
      </c>
      <c r="V221" s="382" t="str">
        <f t="shared" si="23"/>
        <v/>
      </c>
      <c r="W221" s="382" t="str">
        <f>IF(E221="","",IF(AND(V221="Standard difficulty applied",O221&gt;P221),U221,IF(AND(V221="Low Difficulty - only applicable if all habitat created before losses ⚠",P221&gt;=O221),"Low",VLOOKUP(F221,'G-3 Multipliers'!$A$2:$E$134,4,FALSE))))</f>
        <v/>
      </c>
      <c r="X221" s="386" t="str">
        <f>IFERROR(IF(E221="","",VLOOKUP(W221, 'G-3 Multipliers'!$P$2:$Q$6,2,FALSE)),"")</f>
        <v/>
      </c>
      <c r="Y221" s="516"/>
      <c r="Z221" s="724" t="str">
        <f>IF(Y221="","",IF(VLOOKUP(Y221,'G-3 Multipliers'!$S$3:$T$10,2,FALSE)=0,"Spatial Data Missing ⚠",VLOOKUP(Y221,'G-3 Multipliers'!$S$3:$T$10,2,FALSE)))</f>
        <v/>
      </c>
      <c r="AA221" s="741" t="str">
        <f t="shared" si="21"/>
        <v/>
      </c>
      <c r="AB221" s="405" t="str">
        <f t="shared" si="22"/>
        <v/>
      </c>
      <c r="AC221" s="119"/>
      <c r="AD221" s="528"/>
      <c r="AE221" s="120"/>
      <c r="AF221" s="120"/>
    </row>
    <row r="222" spans="1:32" ht="15">
      <c r="A222" s="30" t="str">
        <f>IFERROR(INDEX('G-8 Condition Look up'!$I$4:$I$135,MATCH(F222,'G-8 Condition Look up'!$A$4:$A$135,0)),"")</f>
        <v/>
      </c>
      <c r="C222" s="75" t="str">
        <f>IFERROR(INDEX('G-1 All Habitats'!$AG$3:$AG$17,MATCH(D222,'G-1 All Habitats'!$AF$3:$AF$17,0)),"")</f>
        <v/>
      </c>
      <c r="D222" s="122"/>
      <c r="E222" s="165"/>
      <c r="F222" s="198" t="str">
        <f>IFERROR(INDEX('G-1 All Habitats'!$B$3:$B$135,MATCH(E222,'G-1 All Habitats'!$A$3:$A$135,0)),"")</f>
        <v/>
      </c>
      <c r="G222" s="300"/>
      <c r="H222" s="398" t="str">
        <f>IF(F222="","",VLOOKUP(F222,'G-1 All Habitats'!$B$2:$M$134,10,FALSE))</f>
        <v/>
      </c>
      <c r="I222" s="386" t="str">
        <f>IFERROR(VLOOKUP(H222,'G-1 All Habitats'!$V$3:$W$7,2,FALSE),"")</f>
        <v/>
      </c>
      <c r="J222" s="162"/>
      <c r="K222" s="386" t="str">
        <f>IFERROR(INDEX('G-8 Condition Look up'!$A$3:$H$135,MATCH(F222,'G-8 Condition Look up'!$A$3:$A$135,0),MATCH(J222,'G-8 Condition Look up'!$A$3:$H$3,0)),"")</f>
        <v/>
      </c>
      <c r="L222" s="114"/>
      <c r="M222" s="401" t="str">
        <f>IF(L222="","",IF(VLOOKUP(L222,'G-3 Multipliers'!$L$3:$N$6,2,FALSE)=0,"Spatial Data Missing ⚠",VLOOKUP(L222,'G-3 Multipliers'!$L$3:$N$6,2,FALSE)))</f>
        <v/>
      </c>
      <c r="N222" s="363" t="str">
        <f>IF(L222="","",IF(VLOOKUP(L222,'G-3 Multipliers'!$L$3:$N$6,3,FALSE)=0,"Spatial Data Missing ⚠",VLOOKUP(L222,'G-3 Multipliers'!$L$3:$N$6,3,FALSE)))</f>
        <v/>
      </c>
      <c r="O222" s="362" t="str">
        <f t="shared" si="18"/>
        <v/>
      </c>
      <c r="P222" s="159"/>
      <c r="Q222" s="159"/>
      <c r="R222" s="382" t="str">
        <f t="shared" si="19"/>
        <v/>
      </c>
      <c r="S222" s="404" t="str">
        <f t="shared" si="20"/>
        <v/>
      </c>
      <c r="T222" s="387" t="str">
        <f>IFERROR(IF(S222="Check Data ⚠","Check Data ⚠",VLOOKUP(S222,'G-4 Temporal multipliers'!$A$4:$C$37,3,FALSE)),"")</f>
        <v/>
      </c>
      <c r="U222" s="385" t="str">
        <f>IF(F222="","",VLOOKUP(F222,'G-3 Multipliers'!$A$2:$E$134,2,FALSE))</f>
        <v/>
      </c>
      <c r="V222" s="382" t="str">
        <f t="shared" si="23"/>
        <v/>
      </c>
      <c r="W222" s="382" t="str">
        <f>IF(E222="","",IF(AND(V222="Standard difficulty applied",O222&gt;P222),U222,IF(AND(V222="Low Difficulty - only applicable if all habitat created before losses ⚠",P222&gt;=O222),"Low",VLOOKUP(F222,'G-3 Multipliers'!$A$2:$E$134,4,FALSE))))</f>
        <v/>
      </c>
      <c r="X222" s="386" t="str">
        <f>IFERROR(IF(E222="","",VLOOKUP(W222, 'G-3 Multipliers'!$P$2:$Q$6,2,FALSE)),"")</f>
        <v/>
      </c>
      <c r="Y222" s="516"/>
      <c r="Z222" s="724" t="str">
        <f>IF(Y222="","",IF(VLOOKUP(Y222,'G-3 Multipliers'!$S$3:$T$10,2,FALSE)=0,"Spatial Data Missing ⚠",VLOOKUP(Y222,'G-3 Multipliers'!$S$3:$T$10,2,FALSE)))</f>
        <v/>
      </c>
      <c r="AA222" s="741" t="str">
        <f t="shared" si="21"/>
        <v/>
      </c>
      <c r="AB222" s="405" t="str">
        <f t="shared" si="22"/>
        <v/>
      </c>
      <c r="AC222" s="119"/>
      <c r="AD222" s="528"/>
      <c r="AE222" s="120"/>
      <c r="AF222" s="120"/>
    </row>
    <row r="223" spans="1:32" ht="15">
      <c r="A223" s="30" t="str">
        <f>IFERROR(INDEX('G-8 Condition Look up'!$I$4:$I$135,MATCH(F223,'G-8 Condition Look up'!$A$4:$A$135,0)),"")</f>
        <v/>
      </c>
      <c r="C223" s="75" t="str">
        <f>IFERROR(INDEX('G-1 All Habitats'!$AG$3:$AG$17,MATCH(D223,'G-1 All Habitats'!$AF$3:$AF$17,0)),"")</f>
        <v/>
      </c>
      <c r="D223" s="122"/>
      <c r="E223" s="165"/>
      <c r="F223" s="198" t="str">
        <f>IFERROR(INDEX('G-1 All Habitats'!$B$3:$B$135,MATCH(E223,'G-1 All Habitats'!$A$3:$A$135,0)),"")</f>
        <v/>
      </c>
      <c r="G223" s="300"/>
      <c r="H223" s="398" t="str">
        <f>IF(F223="","",VLOOKUP(F223,'G-1 All Habitats'!$B$2:$M$134,10,FALSE))</f>
        <v/>
      </c>
      <c r="I223" s="386" t="str">
        <f>IFERROR(VLOOKUP(H223,'G-1 All Habitats'!$V$3:$W$7,2,FALSE),"")</f>
        <v/>
      </c>
      <c r="J223" s="162"/>
      <c r="K223" s="386" t="str">
        <f>IFERROR(INDEX('G-8 Condition Look up'!$A$3:$H$135,MATCH(F223,'G-8 Condition Look up'!$A$3:$A$135,0),MATCH(J223,'G-8 Condition Look up'!$A$3:$H$3,0)),"")</f>
        <v/>
      </c>
      <c r="L223" s="114"/>
      <c r="M223" s="401" t="str">
        <f>IF(L223="","",IF(VLOOKUP(L223,'G-3 Multipliers'!$L$3:$N$6,2,FALSE)=0,"Spatial Data Missing ⚠",VLOOKUP(L223,'G-3 Multipliers'!$L$3:$N$6,2,FALSE)))</f>
        <v/>
      </c>
      <c r="N223" s="363" t="str">
        <f>IF(L223="","",IF(VLOOKUP(L223,'G-3 Multipliers'!$L$3:$N$6,3,FALSE)=0,"Spatial Data Missing ⚠",VLOOKUP(L223,'G-3 Multipliers'!$L$3:$N$6,3,FALSE)))</f>
        <v/>
      </c>
      <c r="O223" s="362" t="str">
        <f t="shared" si="18"/>
        <v/>
      </c>
      <c r="P223" s="159"/>
      <c r="Q223" s="159"/>
      <c r="R223" s="382" t="str">
        <f t="shared" si="19"/>
        <v/>
      </c>
      <c r="S223" s="404" t="str">
        <f t="shared" si="20"/>
        <v/>
      </c>
      <c r="T223" s="387" t="str">
        <f>IFERROR(IF(S223="Check Data ⚠","Check Data ⚠",VLOOKUP(S223,'G-4 Temporal multipliers'!$A$4:$C$37,3,FALSE)),"")</f>
        <v/>
      </c>
      <c r="U223" s="385" t="str">
        <f>IF(F223="","",VLOOKUP(F223,'G-3 Multipliers'!$A$2:$E$134,2,FALSE))</f>
        <v/>
      </c>
      <c r="V223" s="382" t="str">
        <f t="shared" si="23"/>
        <v/>
      </c>
      <c r="W223" s="382" t="str">
        <f>IF(E223="","",IF(AND(V223="Standard difficulty applied",O223&gt;P223),U223,IF(AND(V223="Low Difficulty - only applicable if all habitat created before losses ⚠",P223&gt;=O223),"Low",VLOOKUP(F223,'G-3 Multipliers'!$A$2:$E$134,4,FALSE))))</f>
        <v/>
      </c>
      <c r="X223" s="386" t="str">
        <f>IFERROR(IF(E223="","",VLOOKUP(W223, 'G-3 Multipliers'!$P$2:$Q$6,2,FALSE)),"")</f>
        <v/>
      </c>
      <c r="Y223" s="516"/>
      <c r="Z223" s="724" t="str">
        <f>IF(Y223="","",IF(VLOOKUP(Y223,'G-3 Multipliers'!$S$3:$T$10,2,FALSE)=0,"Spatial Data Missing ⚠",VLOOKUP(Y223,'G-3 Multipliers'!$S$3:$T$10,2,FALSE)))</f>
        <v/>
      </c>
      <c r="AA223" s="741" t="str">
        <f t="shared" si="21"/>
        <v/>
      </c>
      <c r="AB223" s="405" t="str">
        <f t="shared" si="22"/>
        <v/>
      </c>
      <c r="AC223" s="119"/>
      <c r="AD223" s="528"/>
      <c r="AE223" s="120"/>
      <c r="AF223" s="120"/>
    </row>
    <row r="224" spans="1:32" ht="15">
      <c r="A224" s="30" t="str">
        <f>IFERROR(INDEX('G-8 Condition Look up'!$I$4:$I$135,MATCH(F224,'G-8 Condition Look up'!$A$4:$A$135,0)),"")</f>
        <v/>
      </c>
      <c r="C224" s="75" t="str">
        <f>IFERROR(INDEX('G-1 All Habitats'!$AG$3:$AG$17,MATCH(D224,'G-1 All Habitats'!$AF$3:$AF$17,0)),"")</f>
        <v/>
      </c>
      <c r="D224" s="122"/>
      <c r="E224" s="165"/>
      <c r="F224" s="198" t="str">
        <f>IFERROR(INDEX('G-1 All Habitats'!$B$3:$B$135,MATCH(E224,'G-1 All Habitats'!$A$3:$A$135,0)),"")</f>
        <v/>
      </c>
      <c r="G224" s="300"/>
      <c r="H224" s="398" t="str">
        <f>IF(F224="","",VLOOKUP(F224,'G-1 All Habitats'!$B$2:$M$134,10,FALSE))</f>
        <v/>
      </c>
      <c r="I224" s="386" t="str">
        <f>IFERROR(VLOOKUP(H224,'G-1 All Habitats'!$V$3:$W$7,2,FALSE),"")</f>
        <v/>
      </c>
      <c r="J224" s="162"/>
      <c r="K224" s="386" t="str">
        <f>IFERROR(INDEX('G-8 Condition Look up'!$A$3:$H$135,MATCH(F224,'G-8 Condition Look up'!$A$3:$A$135,0),MATCH(J224,'G-8 Condition Look up'!$A$3:$H$3,0)),"")</f>
        <v/>
      </c>
      <c r="L224" s="114"/>
      <c r="M224" s="401" t="str">
        <f>IF(L224="","",IF(VLOOKUP(L224,'G-3 Multipliers'!$L$3:$N$6,2,FALSE)=0,"Spatial Data Missing ⚠",VLOOKUP(L224,'G-3 Multipliers'!$L$3:$N$6,2,FALSE)))</f>
        <v/>
      </c>
      <c r="N224" s="363" t="str">
        <f>IF(L224="","",IF(VLOOKUP(L224,'G-3 Multipliers'!$L$3:$N$6,3,FALSE)=0,"Spatial Data Missing ⚠",VLOOKUP(L224,'G-3 Multipliers'!$L$3:$N$6,3,FALSE)))</f>
        <v/>
      </c>
      <c r="O224" s="362" t="str">
        <f t="shared" si="18"/>
        <v/>
      </c>
      <c r="P224" s="159"/>
      <c r="Q224" s="159"/>
      <c r="R224" s="382" t="str">
        <f t="shared" si="19"/>
        <v/>
      </c>
      <c r="S224" s="404" t="str">
        <f t="shared" si="20"/>
        <v/>
      </c>
      <c r="T224" s="387" t="str">
        <f>IFERROR(IF(S224="Check Data ⚠","Check Data ⚠",VLOOKUP(S224,'G-4 Temporal multipliers'!$A$4:$C$37,3,FALSE)),"")</f>
        <v/>
      </c>
      <c r="U224" s="385" t="str">
        <f>IF(F224="","",VLOOKUP(F224,'G-3 Multipliers'!$A$2:$E$134,2,FALSE))</f>
        <v/>
      </c>
      <c r="V224" s="382" t="str">
        <f t="shared" si="23"/>
        <v/>
      </c>
      <c r="W224" s="382" t="str">
        <f>IF(E224="","",IF(AND(V224="Standard difficulty applied",O224&gt;P224),U224,IF(AND(V224="Low Difficulty - only applicable if all habitat created before losses ⚠",P224&gt;=O224),"Low",VLOOKUP(F224,'G-3 Multipliers'!$A$2:$E$134,4,FALSE))))</f>
        <v/>
      </c>
      <c r="X224" s="386" t="str">
        <f>IFERROR(IF(E224="","",VLOOKUP(W224, 'G-3 Multipliers'!$P$2:$Q$6,2,FALSE)),"")</f>
        <v/>
      </c>
      <c r="Y224" s="516"/>
      <c r="Z224" s="724" t="str">
        <f>IF(Y224="","",IF(VLOOKUP(Y224,'G-3 Multipliers'!$S$3:$T$10,2,FALSE)=0,"Spatial Data Missing ⚠",VLOOKUP(Y224,'G-3 Multipliers'!$S$3:$T$10,2,FALSE)))</f>
        <v/>
      </c>
      <c r="AA224" s="741" t="str">
        <f t="shared" si="21"/>
        <v/>
      </c>
      <c r="AB224" s="405" t="str">
        <f t="shared" si="22"/>
        <v/>
      </c>
      <c r="AC224" s="119"/>
      <c r="AD224" s="528"/>
      <c r="AE224" s="120"/>
      <c r="AF224" s="120"/>
    </row>
    <row r="225" spans="1:32" ht="15">
      <c r="A225" s="30" t="str">
        <f>IFERROR(INDEX('G-8 Condition Look up'!$I$4:$I$135,MATCH(F225,'G-8 Condition Look up'!$A$4:$A$135,0)),"")</f>
        <v/>
      </c>
      <c r="C225" s="75" t="str">
        <f>IFERROR(INDEX('G-1 All Habitats'!$AG$3:$AG$17,MATCH(D225,'G-1 All Habitats'!$AF$3:$AF$17,0)),"")</f>
        <v/>
      </c>
      <c r="D225" s="122"/>
      <c r="E225" s="165"/>
      <c r="F225" s="198" t="str">
        <f>IFERROR(INDEX('G-1 All Habitats'!$B$3:$B$135,MATCH(E225,'G-1 All Habitats'!$A$3:$A$135,0)),"")</f>
        <v/>
      </c>
      <c r="G225" s="300"/>
      <c r="H225" s="398" t="str">
        <f>IF(F225="","",VLOOKUP(F225,'G-1 All Habitats'!$B$2:$M$134,10,FALSE))</f>
        <v/>
      </c>
      <c r="I225" s="386" t="str">
        <f>IFERROR(VLOOKUP(H225,'G-1 All Habitats'!$V$3:$W$7,2,FALSE),"")</f>
        <v/>
      </c>
      <c r="J225" s="162"/>
      <c r="K225" s="386" t="str">
        <f>IFERROR(INDEX('G-8 Condition Look up'!$A$3:$H$135,MATCH(F225,'G-8 Condition Look up'!$A$3:$A$135,0),MATCH(J225,'G-8 Condition Look up'!$A$3:$H$3,0)),"")</f>
        <v/>
      </c>
      <c r="L225" s="114"/>
      <c r="M225" s="401" t="str">
        <f>IF(L225="","",IF(VLOOKUP(L225,'G-3 Multipliers'!$L$3:$N$6,2,FALSE)=0,"Spatial Data Missing ⚠",VLOOKUP(L225,'G-3 Multipliers'!$L$3:$N$6,2,FALSE)))</f>
        <v/>
      </c>
      <c r="N225" s="363" t="str">
        <f>IF(L225="","",IF(VLOOKUP(L225,'G-3 Multipliers'!$L$3:$N$6,3,FALSE)=0,"Spatial Data Missing ⚠",VLOOKUP(L225,'G-3 Multipliers'!$L$3:$N$6,3,FALSE)))</f>
        <v/>
      </c>
      <c r="O225" s="362" t="str">
        <f t="shared" si="18"/>
        <v/>
      </c>
      <c r="P225" s="159"/>
      <c r="Q225" s="159"/>
      <c r="R225" s="382" t="str">
        <f t="shared" si="19"/>
        <v/>
      </c>
      <c r="S225" s="404" t="str">
        <f t="shared" si="20"/>
        <v/>
      </c>
      <c r="T225" s="387" t="str">
        <f>IFERROR(IF(S225="Check Data ⚠","Check Data ⚠",VLOOKUP(S225,'G-4 Temporal multipliers'!$A$4:$C$37,3,FALSE)),"")</f>
        <v/>
      </c>
      <c r="U225" s="385" t="str">
        <f>IF(F225="","",VLOOKUP(F225,'G-3 Multipliers'!$A$2:$E$134,2,FALSE))</f>
        <v/>
      </c>
      <c r="V225" s="382" t="str">
        <f t="shared" si="23"/>
        <v/>
      </c>
      <c r="W225" s="382" t="str">
        <f>IF(E225="","",IF(AND(V225="Standard difficulty applied",O225&gt;P225),U225,IF(AND(V225="Low Difficulty - only applicable if all habitat created before losses ⚠",P225&gt;=O225),"Low",VLOOKUP(F225,'G-3 Multipliers'!$A$2:$E$134,4,FALSE))))</f>
        <v/>
      </c>
      <c r="X225" s="386" t="str">
        <f>IFERROR(IF(E225="","",VLOOKUP(W225, 'G-3 Multipliers'!$P$2:$Q$6,2,FALSE)),"")</f>
        <v/>
      </c>
      <c r="Y225" s="516"/>
      <c r="Z225" s="724" t="str">
        <f>IF(Y225="","",IF(VLOOKUP(Y225,'G-3 Multipliers'!$S$3:$T$10,2,FALSE)=0,"Spatial Data Missing ⚠",VLOOKUP(Y225,'G-3 Multipliers'!$S$3:$T$10,2,FALSE)))</f>
        <v/>
      </c>
      <c r="AA225" s="741" t="str">
        <f t="shared" si="21"/>
        <v/>
      </c>
      <c r="AB225" s="405" t="str">
        <f t="shared" si="22"/>
        <v/>
      </c>
      <c r="AC225" s="119"/>
      <c r="AD225" s="528"/>
      <c r="AE225" s="120"/>
      <c r="AF225" s="120"/>
    </row>
    <row r="226" spans="1:32" ht="15">
      <c r="A226" s="30" t="str">
        <f>IFERROR(INDEX('G-8 Condition Look up'!$I$4:$I$135,MATCH(F226,'G-8 Condition Look up'!$A$4:$A$135,0)),"")</f>
        <v/>
      </c>
      <c r="C226" s="75" t="str">
        <f>IFERROR(INDEX('G-1 All Habitats'!$AG$3:$AG$17,MATCH(D226,'G-1 All Habitats'!$AF$3:$AF$17,0)),"")</f>
        <v/>
      </c>
      <c r="D226" s="122"/>
      <c r="E226" s="165"/>
      <c r="F226" s="198" t="str">
        <f>IFERROR(INDEX('G-1 All Habitats'!$B$3:$B$135,MATCH(E226,'G-1 All Habitats'!$A$3:$A$135,0)),"")</f>
        <v/>
      </c>
      <c r="G226" s="300"/>
      <c r="H226" s="398" t="str">
        <f>IF(F226="","",VLOOKUP(F226,'G-1 All Habitats'!$B$2:$M$134,10,FALSE))</f>
        <v/>
      </c>
      <c r="I226" s="386" t="str">
        <f>IFERROR(VLOOKUP(H226,'G-1 All Habitats'!$V$3:$W$7,2,FALSE),"")</f>
        <v/>
      </c>
      <c r="J226" s="162"/>
      <c r="K226" s="386" t="str">
        <f>IFERROR(INDEX('G-8 Condition Look up'!$A$3:$H$135,MATCH(F226,'G-8 Condition Look up'!$A$3:$A$135,0),MATCH(J226,'G-8 Condition Look up'!$A$3:$H$3,0)),"")</f>
        <v/>
      </c>
      <c r="L226" s="114"/>
      <c r="M226" s="401" t="str">
        <f>IF(L226="","",IF(VLOOKUP(L226,'G-3 Multipliers'!$L$3:$N$6,2,FALSE)=0,"Spatial Data Missing ⚠",VLOOKUP(L226,'G-3 Multipliers'!$L$3:$N$6,2,FALSE)))</f>
        <v/>
      </c>
      <c r="N226" s="363" t="str">
        <f>IF(L226="","",IF(VLOOKUP(L226,'G-3 Multipliers'!$L$3:$N$6,3,FALSE)=0,"Spatial Data Missing ⚠",VLOOKUP(L226,'G-3 Multipliers'!$L$3:$N$6,3,FALSE)))</f>
        <v/>
      </c>
      <c r="O226" s="362" t="str">
        <f t="shared" si="18"/>
        <v/>
      </c>
      <c r="P226" s="159"/>
      <c r="Q226" s="159"/>
      <c r="R226" s="382" t="str">
        <f t="shared" si="19"/>
        <v/>
      </c>
      <c r="S226" s="404" t="str">
        <f t="shared" si="20"/>
        <v/>
      </c>
      <c r="T226" s="387" t="str">
        <f>IFERROR(IF(S226="Check Data ⚠","Check Data ⚠",VLOOKUP(S226,'G-4 Temporal multipliers'!$A$4:$C$37,3,FALSE)),"")</f>
        <v/>
      </c>
      <c r="U226" s="385" t="str">
        <f>IF(F226="","",VLOOKUP(F226,'G-3 Multipliers'!$A$2:$E$134,2,FALSE))</f>
        <v/>
      </c>
      <c r="V226" s="382" t="str">
        <f t="shared" si="23"/>
        <v/>
      </c>
      <c r="W226" s="382" t="str">
        <f>IF(E226="","",IF(AND(V226="Standard difficulty applied",O226&gt;P226),U226,IF(AND(V226="Low Difficulty - only applicable if all habitat created before losses ⚠",P226&gt;=O226),"Low",VLOOKUP(F226,'G-3 Multipliers'!$A$2:$E$134,4,FALSE))))</f>
        <v/>
      </c>
      <c r="X226" s="386" t="str">
        <f>IFERROR(IF(E226="","",VLOOKUP(W226, 'G-3 Multipliers'!$P$2:$Q$6,2,FALSE)),"")</f>
        <v/>
      </c>
      <c r="Y226" s="516"/>
      <c r="Z226" s="724" t="str">
        <f>IF(Y226="","",IF(VLOOKUP(Y226,'G-3 Multipliers'!$S$3:$T$10,2,FALSE)=0,"Spatial Data Missing ⚠",VLOOKUP(Y226,'G-3 Multipliers'!$S$3:$T$10,2,FALSE)))</f>
        <v/>
      </c>
      <c r="AA226" s="741" t="str">
        <f t="shared" si="21"/>
        <v/>
      </c>
      <c r="AB226" s="405" t="str">
        <f t="shared" si="22"/>
        <v/>
      </c>
      <c r="AC226" s="119"/>
      <c r="AD226" s="528"/>
      <c r="AE226" s="120"/>
      <c r="AF226" s="120"/>
    </row>
    <row r="227" spans="1:32" ht="15">
      <c r="A227" s="30" t="str">
        <f>IFERROR(INDEX('G-8 Condition Look up'!$I$4:$I$135,MATCH(F227,'G-8 Condition Look up'!$A$4:$A$135,0)),"")</f>
        <v/>
      </c>
      <c r="C227" s="75" t="str">
        <f>IFERROR(INDEX('G-1 All Habitats'!$AG$3:$AG$17,MATCH(D227,'G-1 All Habitats'!$AF$3:$AF$17,0)),"")</f>
        <v/>
      </c>
      <c r="D227" s="122"/>
      <c r="E227" s="165"/>
      <c r="F227" s="198" t="str">
        <f>IFERROR(INDEX('G-1 All Habitats'!$B$3:$B$135,MATCH(E227,'G-1 All Habitats'!$A$3:$A$135,0)),"")</f>
        <v/>
      </c>
      <c r="G227" s="300"/>
      <c r="H227" s="398" t="str">
        <f>IF(F227="","",VLOOKUP(F227,'G-1 All Habitats'!$B$2:$M$134,10,FALSE))</f>
        <v/>
      </c>
      <c r="I227" s="386" t="str">
        <f>IFERROR(VLOOKUP(H227,'G-1 All Habitats'!$V$3:$W$7,2,FALSE),"")</f>
        <v/>
      </c>
      <c r="J227" s="162"/>
      <c r="K227" s="386" t="str">
        <f>IFERROR(INDEX('G-8 Condition Look up'!$A$3:$H$135,MATCH(F227,'G-8 Condition Look up'!$A$3:$A$135,0),MATCH(J227,'G-8 Condition Look up'!$A$3:$H$3,0)),"")</f>
        <v/>
      </c>
      <c r="L227" s="114"/>
      <c r="M227" s="401" t="str">
        <f>IF(L227="","",IF(VLOOKUP(L227,'G-3 Multipliers'!$L$3:$N$6,2,FALSE)=0,"Spatial Data Missing ⚠",VLOOKUP(L227,'G-3 Multipliers'!$L$3:$N$6,2,FALSE)))</f>
        <v/>
      </c>
      <c r="N227" s="363" t="str">
        <f>IF(L227="","",IF(VLOOKUP(L227,'G-3 Multipliers'!$L$3:$N$6,3,FALSE)=0,"Spatial Data Missing ⚠",VLOOKUP(L227,'G-3 Multipliers'!$L$3:$N$6,3,FALSE)))</f>
        <v/>
      </c>
      <c r="O227" s="362" t="str">
        <f t="shared" si="18"/>
        <v/>
      </c>
      <c r="P227" s="159"/>
      <c r="Q227" s="159"/>
      <c r="R227" s="382" t="str">
        <f t="shared" si="19"/>
        <v/>
      </c>
      <c r="S227" s="404" t="str">
        <f t="shared" si="20"/>
        <v/>
      </c>
      <c r="T227" s="387" t="str">
        <f>IFERROR(IF(S227="Check Data ⚠","Check Data ⚠",VLOOKUP(S227,'G-4 Temporal multipliers'!$A$4:$C$37,3,FALSE)),"")</f>
        <v/>
      </c>
      <c r="U227" s="385" t="str">
        <f>IF(F227="","",VLOOKUP(F227,'G-3 Multipliers'!$A$2:$E$134,2,FALSE))</f>
        <v/>
      </c>
      <c r="V227" s="382" t="str">
        <f t="shared" si="23"/>
        <v/>
      </c>
      <c r="W227" s="382" t="str">
        <f>IF(E227="","",IF(AND(V227="Standard difficulty applied",O227&gt;P227),U227,IF(AND(V227="Low Difficulty - only applicable if all habitat created before losses ⚠",P227&gt;=O227),"Low",VLOOKUP(F227,'G-3 Multipliers'!$A$2:$E$134,4,FALSE))))</f>
        <v/>
      </c>
      <c r="X227" s="386" t="str">
        <f>IFERROR(IF(E227="","",VLOOKUP(W227, 'G-3 Multipliers'!$P$2:$Q$6,2,FALSE)),"")</f>
        <v/>
      </c>
      <c r="Y227" s="516"/>
      <c r="Z227" s="724" t="str">
        <f>IF(Y227="","",IF(VLOOKUP(Y227,'G-3 Multipliers'!$S$3:$T$10,2,FALSE)=0,"Spatial Data Missing ⚠",VLOOKUP(Y227,'G-3 Multipliers'!$S$3:$T$10,2,FALSE)))</f>
        <v/>
      </c>
      <c r="AA227" s="741" t="str">
        <f t="shared" si="21"/>
        <v/>
      </c>
      <c r="AB227" s="405" t="str">
        <f t="shared" si="22"/>
        <v/>
      </c>
      <c r="AC227" s="119"/>
      <c r="AD227" s="528"/>
      <c r="AE227" s="120"/>
      <c r="AF227" s="120"/>
    </row>
    <row r="228" spans="1:32" ht="15">
      <c r="A228" s="30" t="str">
        <f>IFERROR(INDEX('G-8 Condition Look up'!$I$4:$I$135,MATCH(F228,'G-8 Condition Look up'!$A$4:$A$135,0)),"")</f>
        <v/>
      </c>
      <c r="C228" s="75" t="str">
        <f>IFERROR(INDEX('G-1 All Habitats'!$AG$3:$AG$17,MATCH(D228,'G-1 All Habitats'!$AF$3:$AF$17,0)),"")</f>
        <v/>
      </c>
      <c r="D228" s="122"/>
      <c r="E228" s="165"/>
      <c r="F228" s="198" t="str">
        <f>IFERROR(INDEX('G-1 All Habitats'!$B$3:$B$135,MATCH(E228,'G-1 All Habitats'!$A$3:$A$135,0)),"")</f>
        <v/>
      </c>
      <c r="G228" s="300"/>
      <c r="H228" s="398" t="str">
        <f>IF(F228="","",VLOOKUP(F228,'G-1 All Habitats'!$B$2:$M$134,10,FALSE))</f>
        <v/>
      </c>
      <c r="I228" s="386" t="str">
        <f>IFERROR(VLOOKUP(H228,'G-1 All Habitats'!$V$3:$W$7,2,FALSE),"")</f>
        <v/>
      </c>
      <c r="J228" s="162"/>
      <c r="K228" s="386" t="str">
        <f>IFERROR(INDEX('G-8 Condition Look up'!$A$3:$H$135,MATCH(F228,'G-8 Condition Look up'!$A$3:$A$135,0),MATCH(J228,'G-8 Condition Look up'!$A$3:$H$3,0)),"")</f>
        <v/>
      </c>
      <c r="L228" s="114"/>
      <c r="M228" s="401" t="str">
        <f>IF(L228="","",IF(VLOOKUP(L228,'G-3 Multipliers'!$L$3:$N$6,2,FALSE)=0,"Spatial Data Missing ⚠",VLOOKUP(L228,'G-3 Multipliers'!$L$3:$N$6,2,FALSE)))</f>
        <v/>
      </c>
      <c r="N228" s="363" t="str">
        <f>IF(L228="","",IF(VLOOKUP(L228,'G-3 Multipliers'!$L$3:$N$6,3,FALSE)=0,"Spatial Data Missing ⚠",VLOOKUP(L228,'G-3 Multipliers'!$L$3:$N$6,3,FALSE)))</f>
        <v/>
      </c>
      <c r="O228" s="362" t="str">
        <f t="shared" si="18"/>
        <v/>
      </c>
      <c r="P228" s="159"/>
      <c r="Q228" s="159"/>
      <c r="R228" s="382" t="str">
        <f t="shared" si="19"/>
        <v/>
      </c>
      <c r="S228" s="404" t="str">
        <f t="shared" si="20"/>
        <v/>
      </c>
      <c r="T228" s="387" t="str">
        <f>IFERROR(IF(S228="Check Data ⚠","Check Data ⚠",VLOOKUP(S228,'G-4 Temporal multipliers'!$A$4:$C$37,3,FALSE)),"")</f>
        <v/>
      </c>
      <c r="U228" s="385" t="str">
        <f>IF(F228="","",VLOOKUP(F228,'G-3 Multipliers'!$A$2:$E$134,2,FALSE))</f>
        <v/>
      </c>
      <c r="V228" s="382" t="str">
        <f t="shared" si="23"/>
        <v/>
      </c>
      <c r="W228" s="382" t="str">
        <f>IF(E228="","",IF(AND(V228="Standard difficulty applied",O228&gt;P228),U228,IF(AND(V228="Low Difficulty - only applicable if all habitat created before losses ⚠",P228&gt;=O228),"Low",VLOOKUP(F228,'G-3 Multipliers'!$A$2:$E$134,4,FALSE))))</f>
        <v/>
      </c>
      <c r="X228" s="386" t="str">
        <f>IFERROR(IF(E228="","",VLOOKUP(W228, 'G-3 Multipliers'!$P$2:$Q$6,2,FALSE)),"")</f>
        <v/>
      </c>
      <c r="Y228" s="516"/>
      <c r="Z228" s="724" t="str">
        <f>IF(Y228="","",IF(VLOOKUP(Y228,'G-3 Multipliers'!$S$3:$T$10,2,FALSE)=0,"Spatial Data Missing ⚠",VLOOKUP(Y228,'G-3 Multipliers'!$S$3:$T$10,2,FALSE)))</f>
        <v/>
      </c>
      <c r="AA228" s="741" t="str">
        <f t="shared" si="21"/>
        <v/>
      </c>
      <c r="AB228" s="405" t="str">
        <f t="shared" si="22"/>
        <v/>
      </c>
      <c r="AC228" s="119"/>
      <c r="AD228" s="528"/>
      <c r="AE228" s="120"/>
      <c r="AF228" s="120"/>
    </row>
    <row r="229" spans="1:32" ht="15">
      <c r="A229" s="30" t="str">
        <f>IFERROR(INDEX('G-8 Condition Look up'!$I$4:$I$135,MATCH(F229,'G-8 Condition Look up'!$A$4:$A$135,0)),"")</f>
        <v/>
      </c>
      <c r="C229" s="75" t="str">
        <f>IFERROR(INDEX('G-1 All Habitats'!$AG$3:$AG$17,MATCH(D229,'G-1 All Habitats'!$AF$3:$AF$17,0)),"")</f>
        <v/>
      </c>
      <c r="D229" s="122"/>
      <c r="E229" s="165"/>
      <c r="F229" s="198" t="str">
        <f>IFERROR(INDEX('G-1 All Habitats'!$B$3:$B$135,MATCH(E229,'G-1 All Habitats'!$A$3:$A$135,0)),"")</f>
        <v/>
      </c>
      <c r="G229" s="300"/>
      <c r="H229" s="398" t="str">
        <f>IF(F229="","",VLOOKUP(F229,'G-1 All Habitats'!$B$2:$M$134,10,FALSE))</f>
        <v/>
      </c>
      <c r="I229" s="386" t="str">
        <f>IFERROR(VLOOKUP(H229,'G-1 All Habitats'!$V$3:$W$7,2,FALSE),"")</f>
        <v/>
      </c>
      <c r="J229" s="162"/>
      <c r="K229" s="386" t="str">
        <f>IFERROR(INDEX('G-8 Condition Look up'!$A$3:$H$135,MATCH(F229,'G-8 Condition Look up'!$A$3:$A$135,0),MATCH(J229,'G-8 Condition Look up'!$A$3:$H$3,0)),"")</f>
        <v/>
      </c>
      <c r="L229" s="114"/>
      <c r="M229" s="401" t="str">
        <f>IF(L229="","",IF(VLOOKUP(L229,'G-3 Multipliers'!$L$3:$N$6,2,FALSE)=0,"Spatial Data Missing ⚠",VLOOKUP(L229,'G-3 Multipliers'!$L$3:$N$6,2,FALSE)))</f>
        <v/>
      </c>
      <c r="N229" s="363" t="str">
        <f>IF(L229="","",IF(VLOOKUP(L229,'G-3 Multipliers'!$L$3:$N$6,3,FALSE)=0,"Spatial Data Missing ⚠",VLOOKUP(L229,'G-3 Multipliers'!$L$3:$N$6,3,FALSE)))</f>
        <v/>
      </c>
      <c r="O229" s="362" t="str">
        <f t="shared" si="18"/>
        <v/>
      </c>
      <c r="P229" s="159"/>
      <c r="Q229" s="159"/>
      <c r="R229" s="382" t="str">
        <f t="shared" si="19"/>
        <v/>
      </c>
      <c r="S229" s="404" t="str">
        <f t="shared" si="20"/>
        <v/>
      </c>
      <c r="T229" s="387" t="str">
        <f>IFERROR(IF(S229="Check Data ⚠","Check Data ⚠",VLOOKUP(S229,'G-4 Temporal multipliers'!$A$4:$C$37,3,FALSE)),"")</f>
        <v/>
      </c>
      <c r="U229" s="385" t="str">
        <f>IF(F229="","",VLOOKUP(F229,'G-3 Multipliers'!$A$2:$E$134,2,FALSE))</f>
        <v/>
      </c>
      <c r="V229" s="382" t="str">
        <f t="shared" si="23"/>
        <v/>
      </c>
      <c r="W229" s="382" t="str">
        <f>IF(E229="","",IF(AND(V229="Standard difficulty applied",O229&gt;P229),U229,IF(AND(V229="Low Difficulty - only applicable if all habitat created before losses ⚠",P229&gt;=O229),"Low",VLOOKUP(F229,'G-3 Multipliers'!$A$2:$E$134,4,FALSE))))</f>
        <v/>
      </c>
      <c r="X229" s="386" t="str">
        <f>IFERROR(IF(E229="","",VLOOKUP(W229, 'G-3 Multipliers'!$P$2:$Q$6,2,FALSE)),"")</f>
        <v/>
      </c>
      <c r="Y229" s="516"/>
      <c r="Z229" s="724" t="str">
        <f>IF(Y229="","",IF(VLOOKUP(Y229,'G-3 Multipliers'!$S$3:$T$10,2,FALSE)=0,"Spatial Data Missing ⚠",VLOOKUP(Y229,'G-3 Multipliers'!$S$3:$T$10,2,FALSE)))</f>
        <v/>
      </c>
      <c r="AA229" s="741" t="str">
        <f t="shared" si="21"/>
        <v/>
      </c>
      <c r="AB229" s="405" t="str">
        <f t="shared" si="22"/>
        <v/>
      </c>
      <c r="AC229" s="119"/>
      <c r="AD229" s="528"/>
      <c r="AE229" s="120"/>
      <c r="AF229" s="120"/>
    </row>
    <row r="230" spans="1:32" ht="15">
      <c r="A230" s="30" t="str">
        <f>IFERROR(INDEX('G-8 Condition Look up'!$I$4:$I$135,MATCH(F230,'G-8 Condition Look up'!$A$4:$A$135,0)),"")</f>
        <v/>
      </c>
      <c r="C230" s="75" t="str">
        <f>IFERROR(INDEX('G-1 All Habitats'!$AG$3:$AG$17,MATCH(D230,'G-1 All Habitats'!$AF$3:$AF$17,0)),"")</f>
        <v/>
      </c>
      <c r="D230" s="122"/>
      <c r="E230" s="165"/>
      <c r="F230" s="198" t="str">
        <f>IFERROR(INDEX('G-1 All Habitats'!$B$3:$B$135,MATCH(E230,'G-1 All Habitats'!$A$3:$A$135,0)),"")</f>
        <v/>
      </c>
      <c r="G230" s="300"/>
      <c r="H230" s="398" t="str">
        <f>IF(F230="","",VLOOKUP(F230,'G-1 All Habitats'!$B$2:$M$134,10,FALSE))</f>
        <v/>
      </c>
      <c r="I230" s="386" t="str">
        <f>IFERROR(VLOOKUP(H230,'G-1 All Habitats'!$V$3:$W$7,2,FALSE),"")</f>
        <v/>
      </c>
      <c r="J230" s="162"/>
      <c r="K230" s="386" t="str">
        <f>IFERROR(INDEX('G-8 Condition Look up'!$A$3:$H$135,MATCH(F230,'G-8 Condition Look up'!$A$3:$A$135,0),MATCH(J230,'G-8 Condition Look up'!$A$3:$H$3,0)),"")</f>
        <v/>
      </c>
      <c r="L230" s="114"/>
      <c r="M230" s="401" t="str">
        <f>IF(L230="","",IF(VLOOKUP(L230,'G-3 Multipliers'!$L$3:$N$6,2,FALSE)=0,"Spatial Data Missing ⚠",VLOOKUP(L230,'G-3 Multipliers'!$L$3:$N$6,2,FALSE)))</f>
        <v/>
      </c>
      <c r="N230" s="363" t="str">
        <f>IF(L230="","",IF(VLOOKUP(L230,'G-3 Multipliers'!$L$3:$N$6,3,FALSE)=0,"Spatial Data Missing ⚠",VLOOKUP(L230,'G-3 Multipliers'!$L$3:$N$6,3,FALSE)))</f>
        <v/>
      </c>
      <c r="O230" s="362" t="str">
        <f t="shared" si="18"/>
        <v/>
      </c>
      <c r="P230" s="159"/>
      <c r="Q230" s="159"/>
      <c r="R230" s="382" t="str">
        <f t="shared" si="19"/>
        <v/>
      </c>
      <c r="S230" s="404" t="str">
        <f t="shared" si="20"/>
        <v/>
      </c>
      <c r="T230" s="387" t="str">
        <f>IFERROR(IF(S230="Check Data ⚠","Check Data ⚠",VLOOKUP(S230,'G-4 Temporal multipliers'!$A$4:$C$37,3,FALSE)),"")</f>
        <v/>
      </c>
      <c r="U230" s="385" t="str">
        <f>IF(F230="","",VLOOKUP(F230,'G-3 Multipliers'!$A$2:$E$134,2,FALSE))</f>
        <v/>
      </c>
      <c r="V230" s="382" t="str">
        <f t="shared" si="23"/>
        <v/>
      </c>
      <c r="W230" s="382" t="str">
        <f>IF(E230="","",IF(AND(V230="Standard difficulty applied",O230&gt;P230),U230,IF(AND(V230="Low Difficulty - only applicable if all habitat created before losses ⚠",P230&gt;=O230),"Low",VLOOKUP(F230,'G-3 Multipliers'!$A$2:$E$134,4,FALSE))))</f>
        <v/>
      </c>
      <c r="X230" s="386" t="str">
        <f>IFERROR(IF(E230="","",VLOOKUP(W230, 'G-3 Multipliers'!$P$2:$Q$6,2,FALSE)),"")</f>
        <v/>
      </c>
      <c r="Y230" s="516"/>
      <c r="Z230" s="724" t="str">
        <f>IF(Y230="","",IF(VLOOKUP(Y230,'G-3 Multipliers'!$S$3:$T$10,2,FALSE)=0,"Spatial Data Missing ⚠",VLOOKUP(Y230,'G-3 Multipliers'!$S$3:$T$10,2,FALSE)))</f>
        <v/>
      </c>
      <c r="AA230" s="741" t="str">
        <f t="shared" si="21"/>
        <v/>
      </c>
      <c r="AB230" s="405" t="str">
        <f t="shared" si="22"/>
        <v/>
      </c>
      <c r="AC230" s="119"/>
      <c r="AD230" s="528"/>
      <c r="AE230" s="120"/>
      <c r="AF230" s="120"/>
    </row>
    <row r="231" spans="1:32" ht="15">
      <c r="A231" s="30" t="str">
        <f>IFERROR(INDEX('G-8 Condition Look up'!$I$4:$I$135,MATCH(F231,'G-8 Condition Look up'!$A$4:$A$135,0)),"")</f>
        <v/>
      </c>
      <c r="C231" s="75" t="str">
        <f>IFERROR(INDEX('G-1 All Habitats'!$AG$3:$AG$17,MATCH(D231,'G-1 All Habitats'!$AF$3:$AF$17,0)),"")</f>
        <v/>
      </c>
      <c r="D231" s="122"/>
      <c r="E231" s="165"/>
      <c r="F231" s="198" t="str">
        <f>IFERROR(INDEX('G-1 All Habitats'!$B$3:$B$135,MATCH(E231,'G-1 All Habitats'!$A$3:$A$135,0)),"")</f>
        <v/>
      </c>
      <c r="G231" s="300"/>
      <c r="H231" s="398" t="str">
        <f>IF(F231="","",VLOOKUP(F231,'G-1 All Habitats'!$B$2:$M$134,10,FALSE))</f>
        <v/>
      </c>
      <c r="I231" s="386" t="str">
        <f>IFERROR(VLOOKUP(H231,'G-1 All Habitats'!$V$3:$W$7,2,FALSE),"")</f>
        <v/>
      </c>
      <c r="J231" s="162"/>
      <c r="K231" s="386" t="str">
        <f>IFERROR(INDEX('G-8 Condition Look up'!$A$3:$H$135,MATCH(F231,'G-8 Condition Look up'!$A$3:$A$135,0),MATCH(J231,'G-8 Condition Look up'!$A$3:$H$3,0)),"")</f>
        <v/>
      </c>
      <c r="L231" s="114"/>
      <c r="M231" s="401" t="str">
        <f>IF(L231="","",IF(VLOOKUP(L231,'G-3 Multipliers'!$L$3:$N$6,2,FALSE)=0,"Spatial Data Missing ⚠",VLOOKUP(L231,'G-3 Multipliers'!$L$3:$N$6,2,FALSE)))</f>
        <v/>
      </c>
      <c r="N231" s="363" t="str">
        <f>IF(L231="","",IF(VLOOKUP(L231,'G-3 Multipliers'!$L$3:$N$6,3,FALSE)=0,"Spatial Data Missing ⚠",VLOOKUP(L231,'G-3 Multipliers'!$L$3:$N$6,3,FALSE)))</f>
        <v/>
      </c>
      <c r="O231" s="362" t="str">
        <f t="shared" si="18"/>
        <v/>
      </c>
      <c r="P231" s="159"/>
      <c r="Q231" s="159"/>
      <c r="R231" s="382" t="str">
        <f t="shared" si="19"/>
        <v/>
      </c>
      <c r="S231" s="404" t="str">
        <f t="shared" si="20"/>
        <v/>
      </c>
      <c r="T231" s="387" t="str">
        <f>IFERROR(IF(S231="Check Data ⚠","Check Data ⚠",VLOOKUP(S231,'G-4 Temporal multipliers'!$A$4:$C$37,3,FALSE)),"")</f>
        <v/>
      </c>
      <c r="U231" s="385" t="str">
        <f>IF(F231="","",VLOOKUP(F231,'G-3 Multipliers'!$A$2:$E$134,2,FALSE))</f>
        <v/>
      </c>
      <c r="V231" s="382" t="str">
        <f t="shared" si="23"/>
        <v/>
      </c>
      <c r="W231" s="382" t="str">
        <f>IF(E231="","",IF(AND(V231="Standard difficulty applied",O231&gt;P231),U231,IF(AND(V231="Low Difficulty - only applicable if all habitat created before losses ⚠",P231&gt;=O231),"Low",VLOOKUP(F231,'G-3 Multipliers'!$A$2:$E$134,4,FALSE))))</f>
        <v/>
      </c>
      <c r="X231" s="386" t="str">
        <f>IFERROR(IF(E231="","",VLOOKUP(W231, 'G-3 Multipliers'!$P$2:$Q$6,2,FALSE)),"")</f>
        <v/>
      </c>
      <c r="Y231" s="516"/>
      <c r="Z231" s="724" t="str">
        <f>IF(Y231="","",IF(VLOOKUP(Y231,'G-3 Multipliers'!$S$3:$T$10,2,FALSE)=0,"Spatial Data Missing ⚠",VLOOKUP(Y231,'G-3 Multipliers'!$S$3:$T$10,2,FALSE)))</f>
        <v/>
      </c>
      <c r="AA231" s="741" t="str">
        <f t="shared" si="21"/>
        <v/>
      </c>
      <c r="AB231" s="405" t="str">
        <f t="shared" si="22"/>
        <v/>
      </c>
      <c r="AC231" s="119"/>
      <c r="AD231" s="528"/>
      <c r="AE231" s="120"/>
      <c r="AF231" s="120"/>
    </row>
    <row r="232" spans="1:32" ht="15">
      <c r="A232" s="30" t="str">
        <f>IFERROR(INDEX('G-8 Condition Look up'!$I$4:$I$135,MATCH(F232,'G-8 Condition Look up'!$A$4:$A$135,0)),"")</f>
        <v/>
      </c>
      <c r="C232" s="75" t="str">
        <f>IFERROR(INDEX('G-1 All Habitats'!$AG$3:$AG$17,MATCH(D232,'G-1 All Habitats'!$AF$3:$AF$17,0)),"")</f>
        <v/>
      </c>
      <c r="D232" s="122"/>
      <c r="E232" s="165"/>
      <c r="F232" s="198" t="str">
        <f>IFERROR(INDEX('G-1 All Habitats'!$B$3:$B$135,MATCH(E232,'G-1 All Habitats'!$A$3:$A$135,0)),"")</f>
        <v/>
      </c>
      <c r="G232" s="300"/>
      <c r="H232" s="398" t="str">
        <f>IF(F232="","",VLOOKUP(F232,'G-1 All Habitats'!$B$2:$M$134,10,FALSE))</f>
        <v/>
      </c>
      <c r="I232" s="386" t="str">
        <f>IFERROR(VLOOKUP(H232,'G-1 All Habitats'!$V$3:$W$7,2,FALSE),"")</f>
        <v/>
      </c>
      <c r="J232" s="162"/>
      <c r="K232" s="386" t="str">
        <f>IFERROR(INDEX('G-8 Condition Look up'!$A$3:$H$135,MATCH(F232,'G-8 Condition Look up'!$A$3:$A$135,0),MATCH(J232,'G-8 Condition Look up'!$A$3:$H$3,0)),"")</f>
        <v/>
      </c>
      <c r="L232" s="114"/>
      <c r="M232" s="401" t="str">
        <f>IF(L232="","",IF(VLOOKUP(L232,'G-3 Multipliers'!$L$3:$N$6,2,FALSE)=0,"Spatial Data Missing ⚠",VLOOKUP(L232,'G-3 Multipliers'!$L$3:$N$6,2,FALSE)))</f>
        <v/>
      </c>
      <c r="N232" s="363" t="str">
        <f>IF(L232="","",IF(VLOOKUP(L232,'G-3 Multipliers'!$L$3:$N$6,3,FALSE)=0,"Spatial Data Missing ⚠",VLOOKUP(L232,'G-3 Multipliers'!$L$3:$N$6,3,FALSE)))</f>
        <v/>
      </c>
      <c r="O232" s="362" t="str">
        <f t="shared" si="18"/>
        <v/>
      </c>
      <c r="P232" s="159"/>
      <c r="Q232" s="159"/>
      <c r="R232" s="382" t="str">
        <f t="shared" si="19"/>
        <v/>
      </c>
      <c r="S232" s="404" t="str">
        <f t="shared" si="20"/>
        <v/>
      </c>
      <c r="T232" s="387" t="str">
        <f>IFERROR(IF(S232="Check Data ⚠","Check Data ⚠",VLOOKUP(S232,'G-4 Temporal multipliers'!$A$4:$C$37,3,FALSE)),"")</f>
        <v/>
      </c>
      <c r="U232" s="385" t="str">
        <f>IF(F232="","",VLOOKUP(F232,'G-3 Multipliers'!$A$2:$E$134,2,FALSE))</f>
        <v/>
      </c>
      <c r="V232" s="382" t="str">
        <f t="shared" si="23"/>
        <v/>
      </c>
      <c r="W232" s="382" t="str">
        <f>IF(E232="","",IF(AND(V232="Standard difficulty applied",O232&gt;P232),U232,IF(AND(V232="Low Difficulty - only applicable if all habitat created before losses ⚠",P232&gt;=O232),"Low",VLOOKUP(F232,'G-3 Multipliers'!$A$2:$E$134,4,FALSE))))</f>
        <v/>
      </c>
      <c r="X232" s="386" t="str">
        <f>IFERROR(IF(E232="","",VLOOKUP(W232, 'G-3 Multipliers'!$P$2:$Q$6,2,FALSE)),"")</f>
        <v/>
      </c>
      <c r="Y232" s="516"/>
      <c r="Z232" s="724" t="str">
        <f>IF(Y232="","",IF(VLOOKUP(Y232,'G-3 Multipliers'!$S$3:$T$10,2,FALSE)=0,"Spatial Data Missing ⚠",VLOOKUP(Y232,'G-3 Multipliers'!$S$3:$T$10,2,FALSE)))</f>
        <v/>
      </c>
      <c r="AA232" s="741" t="str">
        <f t="shared" si="21"/>
        <v/>
      </c>
      <c r="AB232" s="405" t="str">
        <f t="shared" si="22"/>
        <v/>
      </c>
      <c r="AC232" s="119"/>
      <c r="AD232" s="528"/>
      <c r="AE232" s="120"/>
      <c r="AF232" s="120"/>
    </row>
    <row r="233" spans="1:32" ht="15">
      <c r="A233" s="30" t="str">
        <f>IFERROR(INDEX('G-8 Condition Look up'!$I$4:$I$135,MATCH(F233,'G-8 Condition Look up'!$A$4:$A$135,0)),"")</f>
        <v/>
      </c>
      <c r="C233" s="75" t="str">
        <f>IFERROR(INDEX('G-1 All Habitats'!$AG$3:$AG$17,MATCH(D233,'G-1 All Habitats'!$AF$3:$AF$17,0)),"")</f>
        <v/>
      </c>
      <c r="D233" s="122"/>
      <c r="E233" s="165"/>
      <c r="F233" s="198" t="str">
        <f>IFERROR(INDEX('G-1 All Habitats'!$B$3:$B$135,MATCH(E233,'G-1 All Habitats'!$A$3:$A$135,0)),"")</f>
        <v/>
      </c>
      <c r="G233" s="300"/>
      <c r="H233" s="398" t="str">
        <f>IF(F233="","",VLOOKUP(F233,'G-1 All Habitats'!$B$2:$M$134,10,FALSE))</f>
        <v/>
      </c>
      <c r="I233" s="386" t="str">
        <f>IFERROR(VLOOKUP(H233,'G-1 All Habitats'!$V$3:$W$7,2,FALSE),"")</f>
        <v/>
      </c>
      <c r="J233" s="162"/>
      <c r="K233" s="386" t="str">
        <f>IFERROR(INDEX('G-8 Condition Look up'!$A$3:$H$135,MATCH(F233,'G-8 Condition Look up'!$A$3:$A$135,0),MATCH(J233,'G-8 Condition Look up'!$A$3:$H$3,0)),"")</f>
        <v/>
      </c>
      <c r="L233" s="114"/>
      <c r="M233" s="401" t="str">
        <f>IF(L233="","",IF(VLOOKUP(L233,'G-3 Multipliers'!$L$3:$N$6,2,FALSE)=0,"Spatial Data Missing ⚠",VLOOKUP(L233,'G-3 Multipliers'!$L$3:$N$6,2,FALSE)))</f>
        <v/>
      </c>
      <c r="N233" s="363" t="str">
        <f>IF(L233="","",IF(VLOOKUP(L233,'G-3 Multipliers'!$L$3:$N$6,3,FALSE)=0,"Spatial Data Missing ⚠",VLOOKUP(L233,'G-3 Multipliers'!$L$3:$N$6,3,FALSE)))</f>
        <v/>
      </c>
      <c r="O233" s="362" t="str">
        <f t="shared" si="18"/>
        <v/>
      </c>
      <c r="P233" s="159"/>
      <c r="Q233" s="159"/>
      <c r="R233" s="382" t="str">
        <f t="shared" si="19"/>
        <v/>
      </c>
      <c r="S233" s="404" t="str">
        <f t="shared" si="20"/>
        <v/>
      </c>
      <c r="T233" s="387" t="str">
        <f>IFERROR(IF(S233="Check Data ⚠","Check Data ⚠",VLOOKUP(S233,'G-4 Temporal multipliers'!$A$4:$C$37,3,FALSE)),"")</f>
        <v/>
      </c>
      <c r="U233" s="385" t="str">
        <f>IF(F233="","",VLOOKUP(F233,'G-3 Multipliers'!$A$2:$E$134,2,FALSE))</f>
        <v/>
      </c>
      <c r="V233" s="382" t="str">
        <f t="shared" si="23"/>
        <v/>
      </c>
      <c r="W233" s="382" t="str">
        <f>IF(E233="","",IF(AND(V233="Standard difficulty applied",O233&gt;P233),U233,IF(AND(V233="Low Difficulty - only applicable if all habitat created before losses ⚠",P233&gt;=O233),"Low",VLOOKUP(F233,'G-3 Multipliers'!$A$2:$E$134,4,FALSE))))</f>
        <v/>
      </c>
      <c r="X233" s="386" t="str">
        <f>IFERROR(IF(E233="","",VLOOKUP(W233, 'G-3 Multipliers'!$P$2:$Q$6,2,FALSE)),"")</f>
        <v/>
      </c>
      <c r="Y233" s="516"/>
      <c r="Z233" s="724" t="str">
        <f>IF(Y233="","",IF(VLOOKUP(Y233,'G-3 Multipliers'!$S$3:$T$10,2,FALSE)=0,"Spatial Data Missing ⚠",VLOOKUP(Y233,'G-3 Multipliers'!$S$3:$T$10,2,FALSE)))</f>
        <v/>
      </c>
      <c r="AA233" s="741" t="str">
        <f t="shared" si="21"/>
        <v/>
      </c>
      <c r="AB233" s="405" t="str">
        <f t="shared" si="22"/>
        <v/>
      </c>
      <c r="AC233" s="119"/>
      <c r="AD233" s="528"/>
      <c r="AE233" s="120"/>
      <c r="AF233" s="120"/>
    </row>
    <row r="234" spans="1:32" ht="15">
      <c r="A234" s="30" t="str">
        <f>IFERROR(INDEX('G-8 Condition Look up'!$I$4:$I$135,MATCH(F234,'G-8 Condition Look up'!$A$4:$A$135,0)),"")</f>
        <v/>
      </c>
      <c r="C234" s="75" t="str">
        <f>IFERROR(INDEX('G-1 All Habitats'!$AG$3:$AG$17,MATCH(D234,'G-1 All Habitats'!$AF$3:$AF$17,0)),"")</f>
        <v/>
      </c>
      <c r="D234" s="122"/>
      <c r="E234" s="165"/>
      <c r="F234" s="198" t="str">
        <f>IFERROR(INDEX('G-1 All Habitats'!$B$3:$B$135,MATCH(E234,'G-1 All Habitats'!$A$3:$A$135,0)),"")</f>
        <v/>
      </c>
      <c r="G234" s="300"/>
      <c r="H234" s="398" t="str">
        <f>IF(F234="","",VLOOKUP(F234,'G-1 All Habitats'!$B$2:$M$134,10,FALSE))</f>
        <v/>
      </c>
      <c r="I234" s="386" t="str">
        <f>IFERROR(VLOOKUP(H234,'G-1 All Habitats'!$V$3:$W$7,2,FALSE),"")</f>
        <v/>
      </c>
      <c r="J234" s="162"/>
      <c r="K234" s="386" t="str">
        <f>IFERROR(INDEX('G-8 Condition Look up'!$A$3:$H$135,MATCH(F234,'G-8 Condition Look up'!$A$3:$A$135,0),MATCH(J234,'G-8 Condition Look up'!$A$3:$H$3,0)),"")</f>
        <v/>
      </c>
      <c r="L234" s="114"/>
      <c r="M234" s="401" t="str">
        <f>IF(L234="","",IF(VLOOKUP(L234,'G-3 Multipliers'!$L$3:$N$6,2,FALSE)=0,"Spatial Data Missing ⚠",VLOOKUP(L234,'G-3 Multipliers'!$L$3:$N$6,2,FALSE)))</f>
        <v/>
      </c>
      <c r="N234" s="363" t="str">
        <f>IF(L234="","",IF(VLOOKUP(L234,'G-3 Multipliers'!$L$3:$N$6,3,FALSE)=0,"Spatial Data Missing ⚠",VLOOKUP(L234,'G-3 Multipliers'!$L$3:$N$6,3,FALSE)))</f>
        <v/>
      </c>
      <c r="O234" s="362" t="str">
        <f t="shared" si="18"/>
        <v/>
      </c>
      <c r="P234" s="159"/>
      <c r="Q234" s="159"/>
      <c r="R234" s="382" t="str">
        <f t="shared" si="19"/>
        <v/>
      </c>
      <c r="S234" s="404" t="str">
        <f t="shared" si="20"/>
        <v/>
      </c>
      <c r="T234" s="387" t="str">
        <f>IFERROR(IF(S234="Check Data ⚠","Check Data ⚠",VLOOKUP(S234,'G-4 Temporal multipliers'!$A$4:$C$37,3,FALSE)),"")</f>
        <v/>
      </c>
      <c r="U234" s="385" t="str">
        <f>IF(F234="","",VLOOKUP(F234,'G-3 Multipliers'!$A$2:$E$134,2,FALSE))</f>
        <v/>
      </c>
      <c r="V234" s="382" t="str">
        <f t="shared" si="23"/>
        <v/>
      </c>
      <c r="W234" s="382" t="str">
        <f>IF(E234="","",IF(AND(V234="Standard difficulty applied",O234&gt;P234),U234,IF(AND(V234="Low Difficulty - only applicable if all habitat created before losses ⚠",P234&gt;=O234),"Low",VLOOKUP(F234,'G-3 Multipliers'!$A$2:$E$134,4,FALSE))))</f>
        <v/>
      </c>
      <c r="X234" s="386" t="str">
        <f>IFERROR(IF(E234="","",VLOOKUP(W234, 'G-3 Multipliers'!$P$2:$Q$6,2,FALSE)),"")</f>
        <v/>
      </c>
      <c r="Y234" s="516"/>
      <c r="Z234" s="724" t="str">
        <f>IF(Y234="","",IF(VLOOKUP(Y234,'G-3 Multipliers'!$S$3:$T$10,2,FALSE)=0,"Spatial Data Missing ⚠",VLOOKUP(Y234,'G-3 Multipliers'!$S$3:$T$10,2,FALSE)))</f>
        <v/>
      </c>
      <c r="AA234" s="741" t="str">
        <f t="shared" si="21"/>
        <v/>
      </c>
      <c r="AB234" s="405" t="str">
        <f t="shared" si="22"/>
        <v/>
      </c>
      <c r="AC234" s="119"/>
      <c r="AD234" s="528"/>
      <c r="AE234" s="120"/>
      <c r="AF234" s="120"/>
    </row>
    <row r="235" spans="1:32" ht="15">
      <c r="A235" s="30" t="str">
        <f>IFERROR(INDEX('G-8 Condition Look up'!$I$4:$I$135,MATCH(F235,'G-8 Condition Look up'!$A$4:$A$135,0)),"")</f>
        <v/>
      </c>
      <c r="C235" s="75" t="str">
        <f>IFERROR(INDEX('G-1 All Habitats'!$AG$3:$AG$17,MATCH(D235,'G-1 All Habitats'!$AF$3:$AF$17,0)),"")</f>
        <v/>
      </c>
      <c r="D235" s="122"/>
      <c r="E235" s="165"/>
      <c r="F235" s="198" t="str">
        <f>IFERROR(INDEX('G-1 All Habitats'!$B$3:$B$135,MATCH(E235,'G-1 All Habitats'!$A$3:$A$135,0)),"")</f>
        <v/>
      </c>
      <c r="G235" s="300"/>
      <c r="H235" s="398" t="str">
        <f>IF(F235="","",VLOOKUP(F235,'G-1 All Habitats'!$B$2:$M$134,10,FALSE))</f>
        <v/>
      </c>
      <c r="I235" s="386" t="str">
        <f>IFERROR(VLOOKUP(H235,'G-1 All Habitats'!$V$3:$W$7,2,FALSE),"")</f>
        <v/>
      </c>
      <c r="J235" s="162"/>
      <c r="K235" s="386" t="str">
        <f>IFERROR(INDEX('G-8 Condition Look up'!$A$3:$H$135,MATCH(F235,'G-8 Condition Look up'!$A$3:$A$135,0),MATCH(J235,'G-8 Condition Look up'!$A$3:$H$3,0)),"")</f>
        <v/>
      </c>
      <c r="L235" s="114"/>
      <c r="M235" s="401" t="str">
        <f>IF(L235="","",IF(VLOOKUP(L235,'G-3 Multipliers'!$L$3:$N$6,2,FALSE)=0,"Spatial Data Missing ⚠",VLOOKUP(L235,'G-3 Multipliers'!$L$3:$N$6,2,FALSE)))</f>
        <v/>
      </c>
      <c r="N235" s="363" t="str">
        <f>IF(L235="","",IF(VLOOKUP(L235,'G-3 Multipliers'!$L$3:$N$6,3,FALSE)=0,"Spatial Data Missing ⚠",VLOOKUP(L235,'G-3 Multipliers'!$L$3:$N$6,3,FALSE)))</f>
        <v/>
      </c>
      <c r="O235" s="362" t="str">
        <f t="shared" si="18"/>
        <v/>
      </c>
      <c r="P235" s="159"/>
      <c r="Q235" s="159"/>
      <c r="R235" s="382" t="str">
        <f t="shared" si="19"/>
        <v/>
      </c>
      <c r="S235" s="404" t="str">
        <f t="shared" si="20"/>
        <v/>
      </c>
      <c r="T235" s="387" t="str">
        <f>IFERROR(IF(S235="Check Data ⚠","Check Data ⚠",VLOOKUP(S235,'G-4 Temporal multipliers'!$A$4:$C$37,3,FALSE)),"")</f>
        <v/>
      </c>
      <c r="U235" s="385" t="str">
        <f>IF(F235="","",VLOOKUP(F235,'G-3 Multipliers'!$A$2:$E$134,2,FALSE))</f>
        <v/>
      </c>
      <c r="V235" s="382" t="str">
        <f t="shared" si="23"/>
        <v/>
      </c>
      <c r="W235" s="382" t="str">
        <f>IF(E235="","",IF(AND(V235="Standard difficulty applied",O235&gt;P235),U235,IF(AND(V235="Low Difficulty - only applicable if all habitat created before losses ⚠",P235&gt;=O235),"Low",VLOOKUP(F235,'G-3 Multipliers'!$A$2:$E$134,4,FALSE))))</f>
        <v/>
      </c>
      <c r="X235" s="386" t="str">
        <f>IFERROR(IF(E235="","",VLOOKUP(W235, 'G-3 Multipliers'!$P$2:$Q$6,2,FALSE)),"")</f>
        <v/>
      </c>
      <c r="Y235" s="516"/>
      <c r="Z235" s="724" t="str">
        <f>IF(Y235="","",IF(VLOOKUP(Y235,'G-3 Multipliers'!$S$3:$T$10,2,FALSE)=0,"Spatial Data Missing ⚠",VLOOKUP(Y235,'G-3 Multipliers'!$S$3:$T$10,2,FALSE)))</f>
        <v/>
      </c>
      <c r="AA235" s="741" t="str">
        <f t="shared" si="21"/>
        <v/>
      </c>
      <c r="AB235" s="405" t="str">
        <f t="shared" si="22"/>
        <v/>
      </c>
      <c r="AC235" s="119"/>
      <c r="AD235" s="528"/>
      <c r="AE235" s="120"/>
      <c r="AF235" s="120"/>
    </row>
    <row r="236" spans="1:32" ht="15">
      <c r="A236" s="30" t="str">
        <f>IFERROR(INDEX('G-8 Condition Look up'!$I$4:$I$135,MATCH(F236,'G-8 Condition Look up'!$A$4:$A$135,0)),"")</f>
        <v/>
      </c>
      <c r="C236" s="75" t="str">
        <f>IFERROR(INDEX('G-1 All Habitats'!$AG$3:$AG$17,MATCH(D236,'G-1 All Habitats'!$AF$3:$AF$17,0)),"")</f>
        <v/>
      </c>
      <c r="D236" s="122"/>
      <c r="E236" s="165"/>
      <c r="F236" s="198" t="str">
        <f>IFERROR(INDEX('G-1 All Habitats'!$B$3:$B$135,MATCH(E236,'G-1 All Habitats'!$A$3:$A$135,0)),"")</f>
        <v/>
      </c>
      <c r="G236" s="300"/>
      <c r="H236" s="398" t="str">
        <f>IF(F236="","",VLOOKUP(F236,'G-1 All Habitats'!$B$2:$M$134,10,FALSE))</f>
        <v/>
      </c>
      <c r="I236" s="386" t="str">
        <f>IFERROR(VLOOKUP(H236,'G-1 All Habitats'!$V$3:$W$7,2,FALSE),"")</f>
        <v/>
      </c>
      <c r="J236" s="162"/>
      <c r="K236" s="386" t="str">
        <f>IFERROR(INDEX('G-8 Condition Look up'!$A$3:$H$135,MATCH(F236,'G-8 Condition Look up'!$A$3:$A$135,0),MATCH(J236,'G-8 Condition Look up'!$A$3:$H$3,0)),"")</f>
        <v/>
      </c>
      <c r="L236" s="114"/>
      <c r="M236" s="401" t="str">
        <f>IF(L236="","",IF(VLOOKUP(L236,'G-3 Multipliers'!$L$3:$N$6,2,FALSE)=0,"Spatial Data Missing ⚠",VLOOKUP(L236,'G-3 Multipliers'!$L$3:$N$6,2,FALSE)))</f>
        <v/>
      </c>
      <c r="N236" s="363" t="str">
        <f>IF(L236="","",IF(VLOOKUP(L236,'G-3 Multipliers'!$L$3:$N$6,3,FALSE)=0,"Spatial Data Missing ⚠",VLOOKUP(L236,'G-3 Multipliers'!$L$3:$N$6,3,FALSE)))</f>
        <v/>
      </c>
      <c r="O236" s="362" t="str">
        <f t="shared" si="18"/>
        <v/>
      </c>
      <c r="P236" s="159"/>
      <c r="Q236" s="159"/>
      <c r="R236" s="382" t="str">
        <f t="shared" si="19"/>
        <v/>
      </c>
      <c r="S236" s="404" t="str">
        <f t="shared" si="20"/>
        <v/>
      </c>
      <c r="T236" s="387" t="str">
        <f>IFERROR(IF(S236="Check Data ⚠","Check Data ⚠",VLOOKUP(S236,'G-4 Temporal multipliers'!$A$4:$C$37,3,FALSE)),"")</f>
        <v/>
      </c>
      <c r="U236" s="385" t="str">
        <f>IF(F236="","",VLOOKUP(F236,'G-3 Multipliers'!$A$2:$E$134,2,FALSE))</f>
        <v/>
      </c>
      <c r="V236" s="382" t="str">
        <f t="shared" si="23"/>
        <v/>
      </c>
      <c r="W236" s="382" t="str">
        <f>IF(E236="","",IF(AND(V236="Standard difficulty applied",O236&gt;P236),U236,IF(AND(V236="Low Difficulty - only applicable if all habitat created before losses ⚠",P236&gt;=O236),"Low",VLOOKUP(F236,'G-3 Multipliers'!$A$2:$E$134,4,FALSE))))</f>
        <v/>
      </c>
      <c r="X236" s="386" t="str">
        <f>IFERROR(IF(E236="","",VLOOKUP(W236, 'G-3 Multipliers'!$P$2:$Q$6,2,FALSE)),"")</f>
        <v/>
      </c>
      <c r="Y236" s="516"/>
      <c r="Z236" s="724" t="str">
        <f>IF(Y236="","",IF(VLOOKUP(Y236,'G-3 Multipliers'!$S$3:$T$10,2,FALSE)=0,"Spatial Data Missing ⚠",VLOOKUP(Y236,'G-3 Multipliers'!$S$3:$T$10,2,FALSE)))</f>
        <v/>
      </c>
      <c r="AA236" s="741" t="str">
        <f t="shared" si="21"/>
        <v/>
      </c>
      <c r="AB236" s="405" t="str">
        <f t="shared" si="22"/>
        <v/>
      </c>
      <c r="AC236" s="119"/>
      <c r="AD236" s="528"/>
      <c r="AE236" s="120"/>
      <c r="AF236" s="120"/>
    </row>
    <row r="237" spans="1:32" ht="15">
      <c r="A237" s="30" t="str">
        <f>IFERROR(INDEX('G-8 Condition Look up'!$I$4:$I$135,MATCH(F237,'G-8 Condition Look up'!$A$4:$A$135,0)),"")</f>
        <v/>
      </c>
      <c r="C237" s="75" t="str">
        <f>IFERROR(INDEX('G-1 All Habitats'!$AG$3:$AG$17,MATCH(D237,'G-1 All Habitats'!$AF$3:$AF$17,0)),"")</f>
        <v/>
      </c>
      <c r="D237" s="122"/>
      <c r="E237" s="165"/>
      <c r="F237" s="198" t="str">
        <f>IFERROR(INDEX('G-1 All Habitats'!$B$3:$B$135,MATCH(E237,'G-1 All Habitats'!$A$3:$A$135,0)),"")</f>
        <v/>
      </c>
      <c r="G237" s="300"/>
      <c r="H237" s="398" t="str">
        <f>IF(F237="","",VLOOKUP(F237,'G-1 All Habitats'!$B$2:$M$134,10,FALSE))</f>
        <v/>
      </c>
      <c r="I237" s="386" t="str">
        <f>IFERROR(VLOOKUP(H237,'G-1 All Habitats'!$V$3:$W$7,2,FALSE),"")</f>
        <v/>
      </c>
      <c r="J237" s="162"/>
      <c r="K237" s="386" t="str">
        <f>IFERROR(INDEX('G-8 Condition Look up'!$A$3:$H$135,MATCH(F237,'G-8 Condition Look up'!$A$3:$A$135,0),MATCH(J237,'G-8 Condition Look up'!$A$3:$H$3,0)),"")</f>
        <v/>
      </c>
      <c r="L237" s="114"/>
      <c r="M237" s="401" t="str">
        <f>IF(L237="","",IF(VLOOKUP(L237,'G-3 Multipliers'!$L$3:$N$6,2,FALSE)=0,"Spatial Data Missing ⚠",VLOOKUP(L237,'G-3 Multipliers'!$L$3:$N$6,2,FALSE)))</f>
        <v/>
      </c>
      <c r="N237" s="363" t="str">
        <f>IF(L237="","",IF(VLOOKUP(L237,'G-3 Multipliers'!$L$3:$N$6,3,FALSE)=0,"Spatial Data Missing ⚠",VLOOKUP(L237,'G-3 Multipliers'!$L$3:$N$6,3,FALSE)))</f>
        <v/>
      </c>
      <c r="O237" s="362" t="str">
        <f t="shared" si="18"/>
        <v/>
      </c>
      <c r="P237" s="159"/>
      <c r="Q237" s="159"/>
      <c r="R237" s="382" t="str">
        <f t="shared" si="19"/>
        <v/>
      </c>
      <c r="S237" s="404" t="str">
        <f t="shared" si="20"/>
        <v/>
      </c>
      <c r="T237" s="387" t="str">
        <f>IFERROR(IF(S237="Check Data ⚠","Check Data ⚠",VLOOKUP(S237,'G-4 Temporal multipliers'!$A$4:$C$37,3,FALSE)),"")</f>
        <v/>
      </c>
      <c r="U237" s="385" t="str">
        <f>IF(F237="","",VLOOKUP(F237,'G-3 Multipliers'!$A$2:$E$134,2,FALSE))</f>
        <v/>
      </c>
      <c r="V237" s="382" t="str">
        <f t="shared" si="23"/>
        <v/>
      </c>
      <c r="W237" s="382" t="str">
        <f>IF(E237="","",IF(AND(V237="Standard difficulty applied",O237&gt;P237),U237,IF(AND(V237="Low Difficulty - only applicable if all habitat created before losses ⚠",P237&gt;=O237),"Low",VLOOKUP(F237,'G-3 Multipliers'!$A$2:$E$134,4,FALSE))))</f>
        <v/>
      </c>
      <c r="X237" s="386" t="str">
        <f>IFERROR(IF(E237="","",VLOOKUP(W237, 'G-3 Multipliers'!$P$2:$Q$6,2,FALSE)),"")</f>
        <v/>
      </c>
      <c r="Y237" s="516"/>
      <c r="Z237" s="724" t="str">
        <f>IF(Y237="","",IF(VLOOKUP(Y237,'G-3 Multipliers'!$S$3:$T$10,2,FALSE)=0,"Spatial Data Missing ⚠",VLOOKUP(Y237,'G-3 Multipliers'!$S$3:$T$10,2,FALSE)))</f>
        <v/>
      </c>
      <c r="AA237" s="741" t="str">
        <f t="shared" si="21"/>
        <v/>
      </c>
      <c r="AB237" s="405" t="str">
        <f t="shared" si="22"/>
        <v/>
      </c>
      <c r="AC237" s="119"/>
      <c r="AD237" s="528"/>
      <c r="AE237" s="120"/>
      <c r="AF237" s="120"/>
    </row>
    <row r="238" spans="1:32" ht="15">
      <c r="A238" s="30" t="str">
        <f>IFERROR(INDEX('G-8 Condition Look up'!$I$4:$I$135,MATCH(F238,'G-8 Condition Look up'!$A$4:$A$135,0)),"")</f>
        <v/>
      </c>
      <c r="C238" s="75" t="str">
        <f>IFERROR(INDEX('G-1 All Habitats'!$AG$3:$AG$17,MATCH(D238,'G-1 All Habitats'!$AF$3:$AF$17,0)),"")</f>
        <v/>
      </c>
      <c r="D238" s="122"/>
      <c r="E238" s="165"/>
      <c r="F238" s="198" t="str">
        <f>IFERROR(INDEX('G-1 All Habitats'!$B$3:$B$135,MATCH(E238,'G-1 All Habitats'!$A$3:$A$135,0)),"")</f>
        <v/>
      </c>
      <c r="G238" s="300"/>
      <c r="H238" s="398" t="str">
        <f>IF(F238="","",VLOOKUP(F238,'G-1 All Habitats'!$B$2:$M$134,10,FALSE))</f>
        <v/>
      </c>
      <c r="I238" s="386" t="str">
        <f>IFERROR(VLOOKUP(H238,'G-1 All Habitats'!$V$3:$W$7,2,FALSE),"")</f>
        <v/>
      </c>
      <c r="J238" s="162"/>
      <c r="K238" s="386" t="str">
        <f>IFERROR(INDEX('G-8 Condition Look up'!$A$3:$H$135,MATCH(F238,'G-8 Condition Look up'!$A$3:$A$135,0),MATCH(J238,'G-8 Condition Look up'!$A$3:$H$3,0)),"")</f>
        <v/>
      </c>
      <c r="L238" s="114"/>
      <c r="M238" s="401" t="str">
        <f>IF(L238="","",IF(VLOOKUP(L238,'G-3 Multipliers'!$L$3:$N$6,2,FALSE)=0,"Spatial Data Missing ⚠",VLOOKUP(L238,'G-3 Multipliers'!$L$3:$N$6,2,FALSE)))</f>
        <v/>
      </c>
      <c r="N238" s="363" t="str">
        <f>IF(L238="","",IF(VLOOKUP(L238,'G-3 Multipliers'!$L$3:$N$6,3,FALSE)=0,"Spatial Data Missing ⚠",VLOOKUP(L238,'G-3 Multipliers'!$L$3:$N$6,3,FALSE)))</f>
        <v/>
      </c>
      <c r="O238" s="362" t="str">
        <f t="shared" si="18"/>
        <v/>
      </c>
      <c r="P238" s="159"/>
      <c r="Q238" s="159"/>
      <c r="R238" s="382" t="str">
        <f t="shared" si="19"/>
        <v/>
      </c>
      <c r="S238" s="404" t="str">
        <f t="shared" si="20"/>
        <v/>
      </c>
      <c r="T238" s="387" t="str">
        <f>IFERROR(IF(S238="Check Data ⚠","Check Data ⚠",VLOOKUP(S238,'G-4 Temporal multipliers'!$A$4:$C$37,3,FALSE)),"")</f>
        <v/>
      </c>
      <c r="U238" s="385" t="str">
        <f>IF(F238="","",VLOOKUP(F238,'G-3 Multipliers'!$A$2:$E$134,2,FALSE))</f>
        <v/>
      </c>
      <c r="V238" s="382" t="str">
        <f t="shared" si="23"/>
        <v/>
      </c>
      <c r="W238" s="382" t="str">
        <f>IF(E238="","",IF(AND(V238="Standard difficulty applied",O238&gt;P238),U238,IF(AND(V238="Low Difficulty - only applicable if all habitat created before losses ⚠",P238&gt;=O238),"Low",VLOOKUP(F238,'G-3 Multipliers'!$A$2:$E$134,4,FALSE))))</f>
        <v/>
      </c>
      <c r="X238" s="386" t="str">
        <f>IFERROR(IF(E238="","",VLOOKUP(W238, 'G-3 Multipliers'!$P$2:$Q$6,2,FALSE)),"")</f>
        <v/>
      </c>
      <c r="Y238" s="516"/>
      <c r="Z238" s="724" t="str">
        <f>IF(Y238="","",IF(VLOOKUP(Y238,'G-3 Multipliers'!$S$3:$T$10,2,FALSE)=0,"Spatial Data Missing ⚠",VLOOKUP(Y238,'G-3 Multipliers'!$S$3:$T$10,2,FALSE)))</f>
        <v/>
      </c>
      <c r="AA238" s="741" t="str">
        <f t="shared" si="21"/>
        <v/>
      </c>
      <c r="AB238" s="405" t="str">
        <f t="shared" si="22"/>
        <v/>
      </c>
      <c r="AC238" s="119"/>
      <c r="AD238" s="528"/>
      <c r="AE238" s="120"/>
      <c r="AF238" s="120"/>
    </row>
    <row r="239" spans="1:32" ht="15">
      <c r="A239" s="30" t="str">
        <f>IFERROR(INDEX('G-8 Condition Look up'!$I$4:$I$135,MATCH(F239,'G-8 Condition Look up'!$A$4:$A$135,0)),"")</f>
        <v/>
      </c>
      <c r="C239" s="75" t="str">
        <f>IFERROR(INDEX('G-1 All Habitats'!$AG$3:$AG$17,MATCH(D239,'G-1 All Habitats'!$AF$3:$AF$17,0)),"")</f>
        <v/>
      </c>
      <c r="D239" s="122"/>
      <c r="E239" s="165"/>
      <c r="F239" s="198" t="str">
        <f>IFERROR(INDEX('G-1 All Habitats'!$B$3:$B$135,MATCH(E239,'G-1 All Habitats'!$A$3:$A$135,0)),"")</f>
        <v/>
      </c>
      <c r="G239" s="300"/>
      <c r="H239" s="398" t="str">
        <f>IF(F239="","",VLOOKUP(F239,'G-1 All Habitats'!$B$2:$M$134,10,FALSE))</f>
        <v/>
      </c>
      <c r="I239" s="386" t="str">
        <f>IFERROR(VLOOKUP(H239,'G-1 All Habitats'!$V$3:$W$7,2,FALSE),"")</f>
        <v/>
      </c>
      <c r="J239" s="162"/>
      <c r="K239" s="386" t="str">
        <f>IFERROR(INDEX('G-8 Condition Look up'!$A$3:$H$135,MATCH(F239,'G-8 Condition Look up'!$A$3:$A$135,0),MATCH(J239,'G-8 Condition Look up'!$A$3:$H$3,0)),"")</f>
        <v/>
      </c>
      <c r="L239" s="114"/>
      <c r="M239" s="401" t="str">
        <f>IF(L239="","",IF(VLOOKUP(L239,'G-3 Multipliers'!$L$3:$N$6,2,FALSE)=0,"Spatial Data Missing ⚠",VLOOKUP(L239,'G-3 Multipliers'!$L$3:$N$6,2,FALSE)))</f>
        <v/>
      </c>
      <c r="N239" s="363" t="str">
        <f>IF(L239="","",IF(VLOOKUP(L239,'G-3 Multipliers'!$L$3:$N$6,3,FALSE)=0,"Spatial Data Missing ⚠",VLOOKUP(L239,'G-3 Multipliers'!$L$3:$N$6,3,FALSE)))</f>
        <v/>
      </c>
      <c r="O239" s="362" t="str">
        <f t="shared" si="18"/>
        <v/>
      </c>
      <c r="P239" s="159"/>
      <c r="Q239" s="159"/>
      <c r="R239" s="382" t="str">
        <f t="shared" si="19"/>
        <v/>
      </c>
      <c r="S239" s="404" t="str">
        <f t="shared" si="20"/>
        <v/>
      </c>
      <c r="T239" s="387" t="str">
        <f>IFERROR(IF(S239="Check Data ⚠","Check Data ⚠",VLOOKUP(S239,'G-4 Temporal multipliers'!$A$4:$C$37,3,FALSE)),"")</f>
        <v/>
      </c>
      <c r="U239" s="385" t="str">
        <f>IF(F239="","",VLOOKUP(F239,'G-3 Multipliers'!$A$2:$E$134,2,FALSE))</f>
        <v/>
      </c>
      <c r="V239" s="382" t="str">
        <f t="shared" si="23"/>
        <v/>
      </c>
      <c r="W239" s="382" t="str">
        <f>IF(E239="","",IF(AND(V239="Standard difficulty applied",O239&gt;P239),U239,IF(AND(V239="Low Difficulty - only applicable if all habitat created before losses ⚠",P239&gt;=O239),"Low",VLOOKUP(F239,'G-3 Multipliers'!$A$2:$E$134,4,FALSE))))</f>
        <v/>
      </c>
      <c r="X239" s="386" t="str">
        <f>IFERROR(IF(E239="","",VLOOKUP(W239, 'G-3 Multipliers'!$P$2:$Q$6,2,FALSE)),"")</f>
        <v/>
      </c>
      <c r="Y239" s="516"/>
      <c r="Z239" s="724" t="str">
        <f>IF(Y239="","",IF(VLOOKUP(Y239,'G-3 Multipliers'!$S$3:$T$10,2,FALSE)=0,"Spatial Data Missing ⚠",VLOOKUP(Y239,'G-3 Multipliers'!$S$3:$T$10,2,FALSE)))</f>
        <v/>
      </c>
      <c r="AA239" s="741" t="str">
        <f t="shared" si="21"/>
        <v/>
      </c>
      <c r="AB239" s="405" t="str">
        <f t="shared" si="22"/>
        <v/>
      </c>
      <c r="AC239" s="119"/>
      <c r="AD239" s="528"/>
      <c r="AE239" s="120"/>
      <c r="AF239" s="120"/>
    </row>
    <row r="240" spans="1:32" ht="15">
      <c r="A240" s="30" t="str">
        <f>IFERROR(INDEX('G-8 Condition Look up'!$I$4:$I$135,MATCH(F240,'G-8 Condition Look up'!$A$4:$A$135,0)),"")</f>
        <v/>
      </c>
      <c r="C240" s="75" t="str">
        <f>IFERROR(INDEX('G-1 All Habitats'!$AG$3:$AG$17,MATCH(D240,'G-1 All Habitats'!$AF$3:$AF$17,0)),"")</f>
        <v/>
      </c>
      <c r="D240" s="122"/>
      <c r="E240" s="165"/>
      <c r="F240" s="198" t="str">
        <f>IFERROR(INDEX('G-1 All Habitats'!$B$3:$B$135,MATCH(E240,'G-1 All Habitats'!$A$3:$A$135,0)),"")</f>
        <v/>
      </c>
      <c r="G240" s="300"/>
      <c r="H240" s="398" t="str">
        <f>IF(F240="","",VLOOKUP(F240,'G-1 All Habitats'!$B$2:$M$134,10,FALSE))</f>
        <v/>
      </c>
      <c r="I240" s="386" t="str">
        <f>IFERROR(VLOOKUP(H240,'G-1 All Habitats'!$V$3:$W$7,2,FALSE),"")</f>
        <v/>
      </c>
      <c r="J240" s="162"/>
      <c r="K240" s="386" t="str">
        <f>IFERROR(INDEX('G-8 Condition Look up'!$A$3:$H$135,MATCH(F240,'G-8 Condition Look up'!$A$3:$A$135,0),MATCH(J240,'G-8 Condition Look up'!$A$3:$H$3,0)),"")</f>
        <v/>
      </c>
      <c r="L240" s="114"/>
      <c r="M240" s="401" t="str">
        <f>IF(L240="","",IF(VLOOKUP(L240,'G-3 Multipliers'!$L$3:$N$6,2,FALSE)=0,"Spatial Data Missing ⚠",VLOOKUP(L240,'G-3 Multipliers'!$L$3:$N$6,2,FALSE)))</f>
        <v/>
      </c>
      <c r="N240" s="363" t="str">
        <f>IF(L240="","",IF(VLOOKUP(L240,'G-3 Multipliers'!$L$3:$N$6,3,FALSE)=0,"Spatial Data Missing ⚠",VLOOKUP(L240,'G-3 Multipliers'!$L$3:$N$6,3,FALSE)))</f>
        <v/>
      </c>
      <c r="O240" s="362" t="str">
        <f t="shared" si="18"/>
        <v/>
      </c>
      <c r="P240" s="159"/>
      <c r="Q240" s="159"/>
      <c r="R240" s="382" t="str">
        <f t="shared" si="19"/>
        <v/>
      </c>
      <c r="S240" s="404" t="str">
        <f t="shared" si="20"/>
        <v/>
      </c>
      <c r="T240" s="387" t="str">
        <f>IFERROR(IF(S240="Check Data ⚠","Check Data ⚠",VLOOKUP(S240,'G-4 Temporal multipliers'!$A$4:$C$37,3,FALSE)),"")</f>
        <v/>
      </c>
      <c r="U240" s="385" t="str">
        <f>IF(F240="","",VLOOKUP(F240,'G-3 Multipliers'!$A$2:$E$134,2,FALSE))</f>
        <v/>
      </c>
      <c r="V240" s="382" t="str">
        <f t="shared" si="23"/>
        <v/>
      </c>
      <c r="W240" s="382" t="str">
        <f>IF(E240="","",IF(AND(V240="Standard difficulty applied",O240&gt;P240),U240,IF(AND(V240="Low Difficulty - only applicable if all habitat created before losses ⚠",P240&gt;=O240),"Low",VLOOKUP(F240,'G-3 Multipliers'!$A$2:$E$134,4,FALSE))))</f>
        <v/>
      </c>
      <c r="X240" s="386" t="str">
        <f>IFERROR(IF(E240="","",VLOOKUP(W240, 'G-3 Multipliers'!$P$2:$Q$6,2,FALSE)),"")</f>
        <v/>
      </c>
      <c r="Y240" s="516"/>
      <c r="Z240" s="724" t="str">
        <f>IF(Y240="","",IF(VLOOKUP(Y240,'G-3 Multipliers'!$S$3:$T$10,2,FALSE)=0,"Spatial Data Missing ⚠",VLOOKUP(Y240,'G-3 Multipliers'!$S$3:$T$10,2,FALSE)))</f>
        <v/>
      </c>
      <c r="AA240" s="741" t="str">
        <f t="shared" si="21"/>
        <v/>
      </c>
      <c r="AB240" s="405" t="str">
        <f t="shared" si="22"/>
        <v/>
      </c>
      <c r="AC240" s="119"/>
      <c r="AD240" s="528"/>
      <c r="AE240" s="120"/>
      <c r="AF240" s="120"/>
    </row>
    <row r="241" spans="1:32" ht="15">
      <c r="A241" s="30" t="str">
        <f>IFERROR(INDEX('G-8 Condition Look up'!$I$4:$I$135,MATCH(F241,'G-8 Condition Look up'!$A$4:$A$135,0)),"")</f>
        <v/>
      </c>
      <c r="C241" s="75" t="str">
        <f>IFERROR(INDEX('G-1 All Habitats'!$AG$3:$AG$17,MATCH(D241,'G-1 All Habitats'!$AF$3:$AF$17,0)),"")</f>
        <v/>
      </c>
      <c r="D241" s="122"/>
      <c r="E241" s="165"/>
      <c r="F241" s="198" t="str">
        <f>IFERROR(INDEX('G-1 All Habitats'!$B$3:$B$135,MATCH(E241,'G-1 All Habitats'!$A$3:$A$135,0)),"")</f>
        <v/>
      </c>
      <c r="G241" s="300"/>
      <c r="H241" s="398" t="str">
        <f>IF(F241="","",VLOOKUP(F241,'G-1 All Habitats'!$B$2:$M$134,10,FALSE))</f>
        <v/>
      </c>
      <c r="I241" s="386" t="str">
        <f>IFERROR(VLOOKUP(H241,'G-1 All Habitats'!$V$3:$W$7,2,FALSE),"")</f>
        <v/>
      </c>
      <c r="J241" s="162"/>
      <c r="K241" s="386" t="str">
        <f>IFERROR(INDEX('G-8 Condition Look up'!$A$3:$H$135,MATCH(F241,'G-8 Condition Look up'!$A$3:$A$135,0),MATCH(J241,'G-8 Condition Look up'!$A$3:$H$3,0)),"")</f>
        <v/>
      </c>
      <c r="L241" s="114"/>
      <c r="M241" s="401" t="str">
        <f>IF(L241="","",IF(VLOOKUP(L241,'G-3 Multipliers'!$L$3:$N$6,2,FALSE)=0,"Spatial Data Missing ⚠",VLOOKUP(L241,'G-3 Multipliers'!$L$3:$N$6,2,FALSE)))</f>
        <v/>
      </c>
      <c r="N241" s="363" t="str">
        <f>IF(L241="","",IF(VLOOKUP(L241,'G-3 Multipliers'!$L$3:$N$6,3,FALSE)=0,"Spatial Data Missing ⚠",VLOOKUP(L241,'G-3 Multipliers'!$L$3:$N$6,3,FALSE)))</f>
        <v/>
      </c>
      <c r="O241" s="362" t="str">
        <f t="shared" si="18"/>
        <v/>
      </c>
      <c r="P241" s="159"/>
      <c r="Q241" s="159"/>
      <c r="R241" s="382" t="str">
        <f t="shared" si="19"/>
        <v/>
      </c>
      <c r="S241" s="404" t="str">
        <f t="shared" si="20"/>
        <v/>
      </c>
      <c r="T241" s="387" t="str">
        <f>IFERROR(IF(S241="Check Data ⚠","Check Data ⚠",VLOOKUP(S241,'G-4 Temporal multipliers'!$A$4:$C$37,3,FALSE)),"")</f>
        <v/>
      </c>
      <c r="U241" s="385" t="str">
        <f>IF(F241="","",VLOOKUP(F241,'G-3 Multipliers'!$A$2:$E$134,2,FALSE))</f>
        <v/>
      </c>
      <c r="V241" s="382" t="str">
        <f t="shared" si="23"/>
        <v/>
      </c>
      <c r="W241" s="382" t="str">
        <f>IF(E241="","",IF(AND(V241="Standard difficulty applied",O241&gt;P241),U241,IF(AND(V241="Low Difficulty - only applicable if all habitat created before losses ⚠",P241&gt;=O241),"Low",VLOOKUP(F241,'G-3 Multipliers'!$A$2:$E$134,4,FALSE))))</f>
        <v/>
      </c>
      <c r="X241" s="386" t="str">
        <f>IFERROR(IF(E241="","",VLOOKUP(W241, 'G-3 Multipliers'!$P$2:$Q$6,2,FALSE)),"")</f>
        <v/>
      </c>
      <c r="Y241" s="516"/>
      <c r="Z241" s="724" t="str">
        <f>IF(Y241="","",IF(VLOOKUP(Y241,'G-3 Multipliers'!$S$3:$T$10,2,FALSE)=0,"Spatial Data Missing ⚠",VLOOKUP(Y241,'G-3 Multipliers'!$S$3:$T$10,2,FALSE)))</f>
        <v/>
      </c>
      <c r="AA241" s="741" t="str">
        <f t="shared" si="21"/>
        <v/>
      </c>
      <c r="AB241" s="405" t="str">
        <f t="shared" si="22"/>
        <v/>
      </c>
      <c r="AC241" s="119"/>
      <c r="AD241" s="528"/>
      <c r="AE241" s="120"/>
      <c r="AF241" s="120"/>
    </row>
    <row r="242" spans="1:32" ht="15">
      <c r="A242" s="30" t="str">
        <f>IFERROR(INDEX('G-8 Condition Look up'!$I$4:$I$135,MATCH(F242,'G-8 Condition Look up'!$A$4:$A$135,0)),"")</f>
        <v/>
      </c>
      <c r="C242" s="75" t="str">
        <f>IFERROR(INDEX('G-1 All Habitats'!$AG$3:$AG$17,MATCH(D242,'G-1 All Habitats'!$AF$3:$AF$17,0)),"")</f>
        <v/>
      </c>
      <c r="D242" s="122"/>
      <c r="E242" s="165"/>
      <c r="F242" s="198" t="str">
        <f>IFERROR(INDEX('G-1 All Habitats'!$B$3:$B$135,MATCH(E242,'G-1 All Habitats'!$A$3:$A$135,0)),"")</f>
        <v/>
      </c>
      <c r="G242" s="300"/>
      <c r="H242" s="398" t="str">
        <f>IF(F242="","",VLOOKUP(F242,'G-1 All Habitats'!$B$2:$M$134,10,FALSE))</f>
        <v/>
      </c>
      <c r="I242" s="386" t="str">
        <f>IFERROR(VLOOKUP(H242,'G-1 All Habitats'!$V$3:$W$7,2,FALSE),"")</f>
        <v/>
      </c>
      <c r="J242" s="162"/>
      <c r="K242" s="386" t="str">
        <f>IFERROR(INDEX('G-8 Condition Look up'!$A$3:$H$135,MATCH(F242,'G-8 Condition Look up'!$A$3:$A$135,0),MATCH(J242,'G-8 Condition Look up'!$A$3:$H$3,0)),"")</f>
        <v/>
      </c>
      <c r="L242" s="114"/>
      <c r="M242" s="401" t="str">
        <f>IF(L242="","",IF(VLOOKUP(L242,'G-3 Multipliers'!$L$3:$N$6,2,FALSE)=0,"Spatial Data Missing ⚠",VLOOKUP(L242,'G-3 Multipliers'!$L$3:$N$6,2,FALSE)))</f>
        <v/>
      </c>
      <c r="N242" s="363" t="str">
        <f>IF(L242="","",IF(VLOOKUP(L242,'G-3 Multipliers'!$L$3:$N$6,3,FALSE)=0,"Spatial Data Missing ⚠",VLOOKUP(L242,'G-3 Multipliers'!$L$3:$N$6,3,FALSE)))</f>
        <v/>
      </c>
      <c r="O242" s="362" t="str">
        <f t="shared" si="18"/>
        <v/>
      </c>
      <c r="P242" s="159"/>
      <c r="Q242" s="159"/>
      <c r="R242" s="382" t="str">
        <f t="shared" si="19"/>
        <v/>
      </c>
      <c r="S242" s="404" t="str">
        <f t="shared" si="20"/>
        <v/>
      </c>
      <c r="T242" s="387" t="str">
        <f>IFERROR(IF(S242="Check Data ⚠","Check Data ⚠",VLOOKUP(S242,'G-4 Temporal multipliers'!$A$4:$C$37,3,FALSE)),"")</f>
        <v/>
      </c>
      <c r="U242" s="385" t="str">
        <f>IF(F242="","",VLOOKUP(F242,'G-3 Multipliers'!$A$2:$E$134,2,FALSE))</f>
        <v/>
      </c>
      <c r="V242" s="382" t="str">
        <f t="shared" si="23"/>
        <v/>
      </c>
      <c r="W242" s="382" t="str">
        <f>IF(E242="","",IF(AND(V242="Standard difficulty applied",O242&gt;P242),U242,IF(AND(V242="Low Difficulty - only applicable if all habitat created before losses ⚠",P242&gt;=O242),"Low",VLOOKUP(F242,'G-3 Multipliers'!$A$2:$E$134,4,FALSE))))</f>
        <v/>
      </c>
      <c r="X242" s="386" t="str">
        <f>IFERROR(IF(E242="","",VLOOKUP(W242, 'G-3 Multipliers'!$P$2:$Q$6,2,FALSE)),"")</f>
        <v/>
      </c>
      <c r="Y242" s="516"/>
      <c r="Z242" s="724" t="str">
        <f>IF(Y242="","",IF(VLOOKUP(Y242,'G-3 Multipliers'!$S$3:$T$10,2,FALSE)=0,"Spatial Data Missing ⚠",VLOOKUP(Y242,'G-3 Multipliers'!$S$3:$T$10,2,FALSE)))</f>
        <v/>
      </c>
      <c r="AA242" s="741" t="str">
        <f t="shared" si="21"/>
        <v/>
      </c>
      <c r="AB242" s="405" t="str">
        <f t="shared" si="22"/>
        <v/>
      </c>
      <c r="AC242" s="119"/>
      <c r="AD242" s="528"/>
      <c r="AE242" s="120"/>
      <c r="AF242" s="120"/>
    </row>
    <row r="243" spans="1:32" ht="15">
      <c r="A243" s="30" t="str">
        <f>IFERROR(INDEX('G-8 Condition Look up'!$I$4:$I$135,MATCH(F243,'G-8 Condition Look up'!$A$4:$A$135,0)),"")</f>
        <v/>
      </c>
      <c r="C243" s="75" t="str">
        <f>IFERROR(INDEX('G-1 All Habitats'!$AG$3:$AG$17,MATCH(D243,'G-1 All Habitats'!$AF$3:$AF$17,0)),"")</f>
        <v/>
      </c>
      <c r="D243" s="122"/>
      <c r="E243" s="165"/>
      <c r="F243" s="198" t="str">
        <f>IFERROR(INDEX('G-1 All Habitats'!$B$3:$B$135,MATCH(E243,'G-1 All Habitats'!$A$3:$A$135,0)),"")</f>
        <v/>
      </c>
      <c r="G243" s="300"/>
      <c r="H243" s="398" t="str">
        <f>IF(F243="","",VLOOKUP(F243,'G-1 All Habitats'!$B$2:$M$134,10,FALSE))</f>
        <v/>
      </c>
      <c r="I243" s="386" t="str">
        <f>IFERROR(VLOOKUP(H243,'G-1 All Habitats'!$V$3:$W$7,2,FALSE),"")</f>
        <v/>
      </c>
      <c r="J243" s="162"/>
      <c r="K243" s="386" t="str">
        <f>IFERROR(INDEX('G-8 Condition Look up'!$A$3:$H$135,MATCH(F243,'G-8 Condition Look up'!$A$3:$A$135,0),MATCH(J243,'G-8 Condition Look up'!$A$3:$H$3,0)),"")</f>
        <v/>
      </c>
      <c r="L243" s="114"/>
      <c r="M243" s="401" t="str">
        <f>IF(L243="","",IF(VLOOKUP(L243,'G-3 Multipliers'!$L$3:$N$6,2,FALSE)=0,"Spatial Data Missing ⚠",VLOOKUP(L243,'G-3 Multipliers'!$L$3:$N$6,2,FALSE)))</f>
        <v/>
      </c>
      <c r="N243" s="363" t="str">
        <f>IF(L243="","",IF(VLOOKUP(L243,'G-3 Multipliers'!$L$3:$N$6,3,FALSE)=0,"Spatial Data Missing ⚠",VLOOKUP(L243,'G-3 Multipliers'!$L$3:$N$6,3,FALSE)))</f>
        <v/>
      </c>
      <c r="O243" s="362" t="str">
        <f t="shared" si="18"/>
        <v/>
      </c>
      <c r="P243" s="159"/>
      <c r="Q243" s="159"/>
      <c r="R243" s="382" t="str">
        <f t="shared" si="19"/>
        <v/>
      </c>
      <c r="S243" s="404" t="str">
        <f t="shared" si="20"/>
        <v/>
      </c>
      <c r="T243" s="387" t="str">
        <f>IFERROR(IF(S243="Check Data ⚠","Check Data ⚠",VLOOKUP(S243,'G-4 Temporal multipliers'!$A$4:$C$37,3,FALSE)),"")</f>
        <v/>
      </c>
      <c r="U243" s="385" t="str">
        <f>IF(F243="","",VLOOKUP(F243,'G-3 Multipliers'!$A$2:$E$134,2,FALSE))</f>
        <v/>
      </c>
      <c r="V243" s="382" t="str">
        <f t="shared" si="23"/>
        <v/>
      </c>
      <c r="W243" s="382" t="str">
        <f>IF(E243="","",IF(AND(V243="Standard difficulty applied",O243&gt;P243),U243,IF(AND(V243="Low Difficulty - only applicable if all habitat created before losses ⚠",P243&gt;=O243),"Low",VLOOKUP(F243,'G-3 Multipliers'!$A$2:$E$134,4,FALSE))))</f>
        <v/>
      </c>
      <c r="X243" s="386" t="str">
        <f>IFERROR(IF(E243="","",VLOOKUP(W243, 'G-3 Multipliers'!$P$2:$Q$6,2,FALSE)),"")</f>
        <v/>
      </c>
      <c r="Y243" s="516"/>
      <c r="Z243" s="724" t="str">
        <f>IF(Y243="","",IF(VLOOKUP(Y243,'G-3 Multipliers'!$S$3:$T$10,2,FALSE)=0,"Spatial Data Missing ⚠",VLOOKUP(Y243,'G-3 Multipliers'!$S$3:$T$10,2,FALSE)))</f>
        <v/>
      </c>
      <c r="AA243" s="741" t="str">
        <f t="shared" si="21"/>
        <v/>
      </c>
      <c r="AB243" s="405" t="str">
        <f t="shared" si="22"/>
        <v/>
      </c>
      <c r="AC243" s="119"/>
      <c r="AD243" s="528"/>
      <c r="AE243" s="120"/>
      <c r="AF243" s="120"/>
    </row>
    <row r="244" spans="1:32" ht="15">
      <c r="A244" s="30" t="str">
        <f>IFERROR(INDEX('G-8 Condition Look up'!$I$4:$I$135,MATCH(F244,'G-8 Condition Look up'!$A$4:$A$135,0)),"")</f>
        <v/>
      </c>
      <c r="C244" s="75" t="str">
        <f>IFERROR(INDEX('G-1 All Habitats'!$AG$3:$AG$17,MATCH(D244,'G-1 All Habitats'!$AF$3:$AF$17,0)),"")</f>
        <v/>
      </c>
      <c r="D244" s="122"/>
      <c r="E244" s="165"/>
      <c r="F244" s="198" t="str">
        <f>IFERROR(INDEX('G-1 All Habitats'!$B$3:$B$135,MATCH(E244,'G-1 All Habitats'!$A$3:$A$135,0)),"")</f>
        <v/>
      </c>
      <c r="G244" s="300"/>
      <c r="H244" s="398" t="str">
        <f>IF(F244="","",VLOOKUP(F244,'G-1 All Habitats'!$B$2:$M$134,10,FALSE))</f>
        <v/>
      </c>
      <c r="I244" s="386" t="str">
        <f>IFERROR(VLOOKUP(H244,'G-1 All Habitats'!$V$3:$W$7,2,FALSE),"")</f>
        <v/>
      </c>
      <c r="J244" s="162"/>
      <c r="K244" s="386" t="str">
        <f>IFERROR(INDEX('G-8 Condition Look up'!$A$3:$H$135,MATCH(F244,'G-8 Condition Look up'!$A$3:$A$135,0),MATCH(J244,'G-8 Condition Look up'!$A$3:$H$3,0)),"")</f>
        <v/>
      </c>
      <c r="L244" s="114"/>
      <c r="M244" s="401" t="str">
        <f>IF(L244="","",IF(VLOOKUP(L244,'G-3 Multipliers'!$L$3:$N$6,2,FALSE)=0,"Spatial Data Missing ⚠",VLOOKUP(L244,'G-3 Multipliers'!$L$3:$N$6,2,FALSE)))</f>
        <v/>
      </c>
      <c r="N244" s="363" t="str">
        <f>IF(L244="","",IF(VLOOKUP(L244,'G-3 Multipliers'!$L$3:$N$6,3,FALSE)=0,"Spatial Data Missing ⚠",VLOOKUP(L244,'G-3 Multipliers'!$L$3:$N$6,3,FALSE)))</f>
        <v/>
      </c>
      <c r="O244" s="362" t="str">
        <f t="shared" si="18"/>
        <v/>
      </c>
      <c r="P244" s="159"/>
      <c r="Q244" s="159"/>
      <c r="R244" s="382" t="str">
        <f t="shared" si="19"/>
        <v/>
      </c>
      <c r="S244" s="404" t="str">
        <f t="shared" si="20"/>
        <v/>
      </c>
      <c r="T244" s="387" t="str">
        <f>IFERROR(IF(S244="Check Data ⚠","Check Data ⚠",VLOOKUP(S244,'G-4 Temporal multipliers'!$A$4:$C$37,3,FALSE)),"")</f>
        <v/>
      </c>
      <c r="U244" s="385" t="str">
        <f>IF(F244="","",VLOOKUP(F244,'G-3 Multipliers'!$A$2:$E$134,2,FALSE))</f>
        <v/>
      </c>
      <c r="V244" s="382" t="str">
        <f t="shared" si="23"/>
        <v/>
      </c>
      <c r="W244" s="382" t="str">
        <f>IF(E244="","",IF(AND(V244="Standard difficulty applied",O244&gt;P244),U244,IF(AND(V244="Low Difficulty - only applicable if all habitat created before losses ⚠",P244&gt;=O244),"Low",VLOOKUP(F244,'G-3 Multipliers'!$A$2:$E$134,4,FALSE))))</f>
        <v/>
      </c>
      <c r="X244" s="386" t="str">
        <f>IFERROR(IF(E244="","",VLOOKUP(W244, 'G-3 Multipliers'!$P$2:$Q$6,2,FALSE)),"")</f>
        <v/>
      </c>
      <c r="Y244" s="516"/>
      <c r="Z244" s="724" t="str">
        <f>IF(Y244="","",IF(VLOOKUP(Y244,'G-3 Multipliers'!$S$3:$T$10,2,FALSE)=0,"Spatial Data Missing ⚠",VLOOKUP(Y244,'G-3 Multipliers'!$S$3:$T$10,2,FALSE)))</f>
        <v/>
      </c>
      <c r="AA244" s="741" t="str">
        <f t="shared" si="21"/>
        <v/>
      </c>
      <c r="AB244" s="405" t="str">
        <f t="shared" si="22"/>
        <v/>
      </c>
      <c r="AC244" s="119"/>
      <c r="AD244" s="528"/>
      <c r="AE244" s="120"/>
      <c r="AF244" s="120"/>
    </row>
    <row r="245" spans="1:32" ht="15">
      <c r="A245" s="30" t="str">
        <f>IFERROR(INDEX('G-8 Condition Look up'!$I$4:$I$135,MATCH(F245,'G-8 Condition Look up'!$A$4:$A$135,0)),"")</f>
        <v/>
      </c>
      <c r="C245" s="75" t="str">
        <f>IFERROR(INDEX('G-1 All Habitats'!$AG$3:$AG$17,MATCH(D245,'G-1 All Habitats'!$AF$3:$AF$17,0)),"")</f>
        <v/>
      </c>
      <c r="D245" s="122"/>
      <c r="E245" s="165"/>
      <c r="F245" s="198" t="str">
        <f>IFERROR(INDEX('G-1 All Habitats'!$B$3:$B$135,MATCH(E245,'G-1 All Habitats'!$A$3:$A$135,0)),"")</f>
        <v/>
      </c>
      <c r="G245" s="300"/>
      <c r="H245" s="398" t="str">
        <f>IF(F245="","",VLOOKUP(F245,'G-1 All Habitats'!$B$2:$M$134,10,FALSE))</f>
        <v/>
      </c>
      <c r="I245" s="386" t="str">
        <f>IFERROR(VLOOKUP(H245,'G-1 All Habitats'!$V$3:$W$7,2,FALSE),"")</f>
        <v/>
      </c>
      <c r="J245" s="162"/>
      <c r="K245" s="386" t="str">
        <f>IFERROR(INDEX('G-8 Condition Look up'!$A$3:$H$135,MATCH(F245,'G-8 Condition Look up'!$A$3:$A$135,0),MATCH(J245,'G-8 Condition Look up'!$A$3:$H$3,0)),"")</f>
        <v/>
      </c>
      <c r="L245" s="114"/>
      <c r="M245" s="401" t="str">
        <f>IF(L245="","",IF(VLOOKUP(L245,'G-3 Multipliers'!$L$3:$N$6,2,FALSE)=0,"Spatial Data Missing ⚠",VLOOKUP(L245,'G-3 Multipliers'!$L$3:$N$6,2,FALSE)))</f>
        <v/>
      </c>
      <c r="N245" s="363" t="str">
        <f>IF(L245="","",IF(VLOOKUP(L245,'G-3 Multipliers'!$L$3:$N$6,3,FALSE)=0,"Spatial Data Missing ⚠",VLOOKUP(L245,'G-3 Multipliers'!$L$3:$N$6,3,FALSE)))</f>
        <v/>
      </c>
      <c r="O245" s="362" t="str">
        <f t="shared" si="18"/>
        <v/>
      </c>
      <c r="P245" s="159"/>
      <c r="Q245" s="159"/>
      <c r="R245" s="382" t="str">
        <f t="shared" si="19"/>
        <v/>
      </c>
      <c r="S245" s="404" t="str">
        <f t="shared" si="20"/>
        <v/>
      </c>
      <c r="T245" s="387" t="str">
        <f>IFERROR(IF(S245="Check Data ⚠","Check Data ⚠",VLOOKUP(S245,'G-4 Temporal multipliers'!$A$4:$C$37,3,FALSE)),"")</f>
        <v/>
      </c>
      <c r="U245" s="385" t="str">
        <f>IF(F245="","",VLOOKUP(F245,'G-3 Multipliers'!$A$2:$E$134,2,FALSE))</f>
        <v/>
      </c>
      <c r="V245" s="382" t="str">
        <f t="shared" si="23"/>
        <v/>
      </c>
      <c r="W245" s="382" t="str">
        <f>IF(E245="","",IF(AND(V245="Standard difficulty applied",O245&gt;P245),U245,IF(AND(V245="Low Difficulty - only applicable if all habitat created before losses ⚠",P245&gt;=O245),"Low",VLOOKUP(F245,'G-3 Multipliers'!$A$2:$E$134,4,FALSE))))</f>
        <v/>
      </c>
      <c r="X245" s="386" t="str">
        <f>IFERROR(IF(E245="","",VLOOKUP(W245, 'G-3 Multipliers'!$P$2:$Q$6,2,FALSE)),"")</f>
        <v/>
      </c>
      <c r="Y245" s="516"/>
      <c r="Z245" s="724" t="str">
        <f>IF(Y245="","",IF(VLOOKUP(Y245,'G-3 Multipliers'!$S$3:$T$10,2,FALSE)=0,"Spatial Data Missing ⚠",VLOOKUP(Y245,'G-3 Multipliers'!$S$3:$T$10,2,FALSE)))</f>
        <v/>
      </c>
      <c r="AA245" s="741" t="str">
        <f t="shared" si="21"/>
        <v/>
      </c>
      <c r="AB245" s="405" t="str">
        <f t="shared" si="22"/>
        <v/>
      </c>
      <c r="AC245" s="119"/>
      <c r="AD245" s="528"/>
      <c r="AE245" s="120"/>
      <c r="AF245" s="120"/>
    </row>
    <row r="246" spans="1:32" ht="15">
      <c r="A246" s="30" t="str">
        <f>IFERROR(INDEX('G-8 Condition Look up'!$I$4:$I$135,MATCH(F246,'G-8 Condition Look up'!$A$4:$A$135,0)),"")</f>
        <v/>
      </c>
      <c r="C246" s="75" t="str">
        <f>IFERROR(INDEX('G-1 All Habitats'!$AG$3:$AG$17,MATCH(D246,'G-1 All Habitats'!$AF$3:$AF$17,0)),"")</f>
        <v/>
      </c>
      <c r="D246" s="122"/>
      <c r="E246" s="165"/>
      <c r="F246" s="198" t="str">
        <f>IFERROR(INDEX('G-1 All Habitats'!$B$3:$B$135,MATCH(E246,'G-1 All Habitats'!$A$3:$A$135,0)),"")</f>
        <v/>
      </c>
      <c r="G246" s="300"/>
      <c r="H246" s="398" t="str">
        <f>IF(F246="","",VLOOKUP(F246,'G-1 All Habitats'!$B$2:$M$134,10,FALSE))</f>
        <v/>
      </c>
      <c r="I246" s="386" t="str">
        <f>IFERROR(VLOOKUP(H246,'G-1 All Habitats'!$V$3:$W$7,2,FALSE),"")</f>
        <v/>
      </c>
      <c r="J246" s="162"/>
      <c r="K246" s="386" t="str">
        <f>IFERROR(INDEX('G-8 Condition Look up'!$A$3:$H$135,MATCH(F246,'G-8 Condition Look up'!$A$3:$A$135,0),MATCH(J246,'G-8 Condition Look up'!$A$3:$H$3,0)),"")</f>
        <v/>
      </c>
      <c r="L246" s="114"/>
      <c r="M246" s="401" t="str">
        <f>IF(L246="","",IF(VLOOKUP(L246,'G-3 Multipliers'!$L$3:$N$6,2,FALSE)=0,"Spatial Data Missing ⚠",VLOOKUP(L246,'G-3 Multipliers'!$L$3:$N$6,2,FALSE)))</f>
        <v/>
      </c>
      <c r="N246" s="363" t="str">
        <f>IF(L246="","",IF(VLOOKUP(L246,'G-3 Multipliers'!$L$3:$N$6,3,FALSE)=0,"Spatial Data Missing ⚠",VLOOKUP(L246,'G-3 Multipliers'!$L$3:$N$6,3,FALSE)))</f>
        <v/>
      </c>
      <c r="O246" s="362" t="str">
        <f t="shared" si="18"/>
        <v/>
      </c>
      <c r="P246" s="159"/>
      <c r="Q246" s="159"/>
      <c r="R246" s="382" t="str">
        <f t="shared" si="19"/>
        <v/>
      </c>
      <c r="S246" s="404" t="str">
        <f t="shared" si="20"/>
        <v/>
      </c>
      <c r="T246" s="387" t="str">
        <f>IFERROR(IF(S246="Check Data ⚠","Check Data ⚠",VLOOKUP(S246,'G-4 Temporal multipliers'!$A$4:$C$37,3,FALSE)),"")</f>
        <v/>
      </c>
      <c r="U246" s="385" t="str">
        <f>IF(F246="","",VLOOKUP(F246,'G-3 Multipliers'!$A$2:$E$134,2,FALSE))</f>
        <v/>
      </c>
      <c r="V246" s="382" t="str">
        <f t="shared" si="23"/>
        <v/>
      </c>
      <c r="W246" s="382" t="str">
        <f>IF(E246="","",IF(AND(V246="Standard difficulty applied",O246&gt;P246),U246,IF(AND(V246="Low Difficulty - only applicable if all habitat created before losses ⚠",P246&gt;=O246),"Low",VLOOKUP(F246,'G-3 Multipliers'!$A$2:$E$134,4,FALSE))))</f>
        <v/>
      </c>
      <c r="X246" s="386" t="str">
        <f>IFERROR(IF(E246="","",VLOOKUP(W246, 'G-3 Multipliers'!$P$2:$Q$6,2,FALSE)),"")</f>
        <v/>
      </c>
      <c r="Y246" s="516"/>
      <c r="Z246" s="724" t="str">
        <f>IF(Y246="","",IF(VLOOKUP(Y246,'G-3 Multipliers'!$S$3:$T$10,2,FALSE)=0,"Spatial Data Missing ⚠",VLOOKUP(Y246,'G-3 Multipliers'!$S$3:$T$10,2,FALSE)))</f>
        <v/>
      </c>
      <c r="AA246" s="741" t="str">
        <f t="shared" si="21"/>
        <v/>
      </c>
      <c r="AB246" s="405" t="str">
        <f t="shared" si="22"/>
        <v/>
      </c>
      <c r="AC246" s="119"/>
      <c r="AD246" s="528"/>
      <c r="AE246" s="120"/>
      <c r="AF246" s="120"/>
    </row>
    <row r="247" spans="1:32" ht="15">
      <c r="A247" s="30" t="str">
        <f>IFERROR(INDEX('G-8 Condition Look up'!$I$4:$I$135,MATCH(F247,'G-8 Condition Look up'!$A$4:$A$135,0)),"")</f>
        <v/>
      </c>
      <c r="C247" s="75" t="str">
        <f>IFERROR(INDEX('G-1 All Habitats'!$AG$3:$AG$17,MATCH(D247,'G-1 All Habitats'!$AF$3:$AF$17,0)),"")</f>
        <v/>
      </c>
      <c r="D247" s="122"/>
      <c r="E247" s="165"/>
      <c r="F247" s="198" t="str">
        <f>IFERROR(INDEX('G-1 All Habitats'!$B$3:$B$135,MATCH(E247,'G-1 All Habitats'!$A$3:$A$135,0)),"")</f>
        <v/>
      </c>
      <c r="G247" s="300"/>
      <c r="H247" s="398" t="str">
        <f>IF(F247="","",VLOOKUP(F247,'G-1 All Habitats'!$B$2:$M$134,10,FALSE))</f>
        <v/>
      </c>
      <c r="I247" s="386" t="str">
        <f>IFERROR(VLOOKUP(H247,'G-1 All Habitats'!$V$3:$W$7,2,FALSE),"")</f>
        <v/>
      </c>
      <c r="J247" s="162"/>
      <c r="K247" s="386" t="str">
        <f>IFERROR(INDEX('G-8 Condition Look up'!$A$3:$H$135,MATCH(F247,'G-8 Condition Look up'!$A$3:$A$135,0),MATCH(J247,'G-8 Condition Look up'!$A$3:$H$3,0)),"")</f>
        <v/>
      </c>
      <c r="L247" s="114"/>
      <c r="M247" s="401" t="str">
        <f>IF(L247="","",IF(VLOOKUP(L247,'G-3 Multipliers'!$L$3:$N$6,2,FALSE)=0,"Spatial Data Missing ⚠",VLOOKUP(L247,'G-3 Multipliers'!$L$3:$N$6,2,FALSE)))</f>
        <v/>
      </c>
      <c r="N247" s="363" t="str">
        <f>IF(L247="","",IF(VLOOKUP(L247,'G-3 Multipliers'!$L$3:$N$6,3,FALSE)=0,"Spatial Data Missing ⚠",VLOOKUP(L247,'G-3 Multipliers'!$L$3:$N$6,3,FALSE)))</f>
        <v/>
      </c>
      <c r="O247" s="362" t="str">
        <f t="shared" si="18"/>
        <v/>
      </c>
      <c r="P247" s="159"/>
      <c r="Q247" s="159"/>
      <c r="R247" s="382" t="str">
        <f t="shared" si="19"/>
        <v/>
      </c>
      <c r="S247" s="404" t="str">
        <f t="shared" si="20"/>
        <v/>
      </c>
      <c r="T247" s="387" t="str">
        <f>IFERROR(IF(S247="Check Data ⚠","Check Data ⚠",VLOOKUP(S247,'G-4 Temporal multipliers'!$A$4:$C$37,3,FALSE)),"")</f>
        <v/>
      </c>
      <c r="U247" s="385" t="str">
        <f>IF(F247="","",VLOOKUP(F247,'G-3 Multipliers'!$A$2:$E$134,2,FALSE))</f>
        <v/>
      </c>
      <c r="V247" s="382" t="str">
        <f t="shared" si="23"/>
        <v/>
      </c>
      <c r="W247" s="382" t="str">
        <f>IF(E247="","",IF(AND(V247="Standard difficulty applied",O247&gt;P247),U247,IF(AND(V247="Low Difficulty - only applicable if all habitat created before losses ⚠",P247&gt;=O247),"Low",VLOOKUP(F247,'G-3 Multipliers'!$A$2:$E$134,4,FALSE))))</f>
        <v/>
      </c>
      <c r="X247" s="386" t="str">
        <f>IFERROR(IF(E247="","",VLOOKUP(W247, 'G-3 Multipliers'!$P$2:$Q$6,2,FALSE)),"")</f>
        <v/>
      </c>
      <c r="Y247" s="516"/>
      <c r="Z247" s="724" t="str">
        <f>IF(Y247="","",IF(VLOOKUP(Y247,'G-3 Multipliers'!$S$3:$T$10,2,FALSE)=0,"Spatial Data Missing ⚠",VLOOKUP(Y247,'G-3 Multipliers'!$S$3:$T$10,2,FALSE)))</f>
        <v/>
      </c>
      <c r="AA247" s="741" t="str">
        <f t="shared" si="21"/>
        <v/>
      </c>
      <c r="AB247" s="405" t="str">
        <f t="shared" si="22"/>
        <v/>
      </c>
      <c r="AC247" s="119"/>
      <c r="AD247" s="528"/>
      <c r="AE247" s="120"/>
      <c r="AF247" s="120"/>
    </row>
    <row r="248" spans="1:32" ht="15">
      <c r="A248" s="30" t="str">
        <f>IFERROR(INDEX('G-8 Condition Look up'!$I$4:$I$135,MATCH(F248,'G-8 Condition Look up'!$A$4:$A$135,0)),"")</f>
        <v/>
      </c>
      <c r="C248" s="75" t="str">
        <f>IFERROR(INDEX('G-1 All Habitats'!$AG$3:$AG$17,MATCH(D248,'G-1 All Habitats'!$AF$3:$AF$17,0)),"")</f>
        <v/>
      </c>
      <c r="D248" s="122"/>
      <c r="E248" s="165"/>
      <c r="F248" s="198" t="str">
        <f>IFERROR(INDEX('G-1 All Habitats'!$B$3:$B$135,MATCH(E248,'G-1 All Habitats'!$A$3:$A$135,0)),"")</f>
        <v/>
      </c>
      <c r="G248" s="300"/>
      <c r="H248" s="398" t="str">
        <f>IF(F248="","",VLOOKUP(F248,'G-1 All Habitats'!$B$2:$M$134,10,FALSE))</f>
        <v/>
      </c>
      <c r="I248" s="386" t="str">
        <f>IFERROR(VLOOKUP(H248,'G-1 All Habitats'!$V$3:$W$7,2,FALSE),"")</f>
        <v/>
      </c>
      <c r="J248" s="162"/>
      <c r="K248" s="386" t="str">
        <f>IFERROR(INDEX('G-8 Condition Look up'!$A$3:$H$135,MATCH(F248,'G-8 Condition Look up'!$A$3:$A$135,0),MATCH(J248,'G-8 Condition Look up'!$A$3:$H$3,0)),"")</f>
        <v/>
      </c>
      <c r="L248" s="114"/>
      <c r="M248" s="401" t="str">
        <f>IF(L248="","",IF(VLOOKUP(L248,'G-3 Multipliers'!$L$3:$N$6,2,FALSE)=0,"Spatial Data Missing ⚠",VLOOKUP(L248,'G-3 Multipliers'!$L$3:$N$6,2,FALSE)))</f>
        <v/>
      </c>
      <c r="N248" s="363" t="str">
        <f>IF(L248="","",IF(VLOOKUP(L248,'G-3 Multipliers'!$L$3:$N$6,3,FALSE)=0,"Spatial Data Missing ⚠",VLOOKUP(L248,'G-3 Multipliers'!$L$3:$N$6,3,FALSE)))</f>
        <v/>
      </c>
      <c r="O248" s="362" t="str">
        <f t="shared" si="18"/>
        <v/>
      </c>
      <c r="P248" s="159"/>
      <c r="Q248" s="159"/>
      <c r="R248" s="382" t="str">
        <f t="shared" si="19"/>
        <v/>
      </c>
      <c r="S248" s="404" t="str">
        <f t="shared" si="20"/>
        <v/>
      </c>
      <c r="T248" s="387" t="str">
        <f>IFERROR(IF(S248="Check Data ⚠","Check Data ⚠",VLOOKUP(S248,'G-4 Temporal multipliers'!$A$4:$C$37,3,FALSE)),"")</f>
        <v/>
      </c>
      <c r="U248" s="385" t="str">
        <f>IF(F248="","",VLOOKUP(F248,'G-3 Multipliers'!$A$2:$E$134,2,FALSE))</f>
        <v/>
      </c>
      <c r="V248" s="382" t="str">
        <f t="shared" si="23"/>
        <v/>
      </c>
      <c r="W248" s="382" t="str">
        <f>IF(E248="","",IF(AND(V248="Standard difficulty applied",O248&gt;P248),U248,IF(AND(V248="Low Difficulty - only applicable if all habitat created before losses ⚠",P248&gt;=O248),"Low",VLOOKUP(F248,'G-3 Multipliers'!$A$2:$E$134,4,FALSE))))</f>
        <v/>
      </c>
      <c r="X248" s="386" t="str">
        <f>IFERROR(IF(E248="","",VLOOKUP(W248, 'G-3 Multipliers'!$P$2:$Q$6,2,FALSE)),"")</f>
        <v/>
      </c>
      <c r="Y248" s="516"/>
      <c r="Z248" s="724" t="str">
        <f>IF(Y248="","",IF(VLOOKUP(Y248,'G-3 Multipliers'!$S$3:$T$10,2,FALSE)=0,"Spatial Data Missing ⚠",VLOOKUP(Y248,'G-3 Multipliers'!$S$3:$T$10,2,FALSE)))</f>
        <v/>
      </c>
      <c r="AA248" s="741" t="str">
        <f t="shared" si="21"/>
        <v/>
      </c>
      <c r="AB248" s="405" t="str">
        <f t="shared" si="22"/>
        <v/>
      </c>
      <c r="AC248" s="119"/>
      <c r="AD248" s="528"/>
      <c r="AE248" s="120"/>
      <c r="AF248" s="120"/>
    </row>
    <row r="249" spans="1:32" ht="15">
      <c r="A249" s="30" t="str">
        <f>IFERROR(INDEX('G-8 Condition Look up'!$I$4:$I$135,MATCH(F249,'G-8 Condition Look up'!$A$4:$A$135,0)),"")</f>
        <v/>
      </c>
      <c r="C249" s="75" t="str">
        <f>IFERROR(INDEX('G-1 All Habitats'!$AG$3:$AG$17,MATCH(D249,'G-1 All Habitats'!$AF$3:$AF$17,0)),"")</f>
        <v/>
      </c>
      <c r="D249" s="122"/>
      <c r="E249" s="165"/>
      <c r="F249" s="198" t="str">
        <f>IFERROR(INDEX('G-1 All Habitats'!$B$3:$B$135,MATCH(E249,'G-1 All Habitats'!$A$3:$A$135,0)),"")</f>
        <v/>
      </c>
      <c r="G249" s="300"/>
      <c r="H249" s="398" t="str">
        <f>IF(F249="","",VLOOKUP(F249,'G-1 All Habitats'!$B$2:$M$134,10,FALSE))</f>
        <v/>
      </c>
      <c r="I249" s="386" t="str">
        <f>IFERROR(VLOOKUP(H249,'G-1 All Habitats'!$V$3:$W$7,2,FALSE),"")</f>
        <v/>
      </c>
      <c r="J249" s="162"/>
      <c r="K249" s="386" t="str">
        <f>IFERROR(INDEX('G-8 Condition Look up'!$A$3:$H$135,MATCH(F249,'G-8 Condition Look up'!$A$3:$A$135,0),MATCH(J249,'G-8 Condition Look up'!$A$3:$H$3,0)),"")</f>
        <v/>
      </c>
      <c r="L249" s="114"/>
      <c r="M249" s="401" t="str">
        <f>IF(L249="","",IF(VLOOKUP(L249,'G-3 Multipliers'!$L$3:$N$6,2,FALSE)=0,"Spatial Data Missing ⚠",VLOOKUP(L249,'G-3 Multipliers'!$L$3:$N$6,2,FALSE)))</f>
        <v/>
      </c>
      <c r="N249" s="363" t="str">
        <f>IF(L249="","",IF(VLOOKUP(L249,'G-3 Multipliers'!$L$3:$N$6,3,FALSE)=0,"Spatial Data Missing ⚠",VLOOKUP(L249,'G-3 Multipliers'!$L$3:$N$6,3,FALSE)))</f>
        <v/>
      </c>
      <c r="O249" s="362" t="str">
        <f t="shared" si="18"/>
        <v/>
      </c>
      <c r="P249" s="159"/>
      <c r="Q249" s="159"/>
      <c r="R249" s="382" t="str">
        <f t="shared" si="19"/>
        <v/>
      </c>
      <c r="S249" s="404" t="str">
        <f t="shared" si="20"/>
        <v/>
      </c>
      <c r="T249" s="387" t="str">
        <f>IFERROR(IF(S249="Check Data ⚠","Check Data ⚠",VLOOKUP(S249,'G-4 Temporal multipliers'!$A$4:$C$37,3,FALSE)),"")</f>
        <v/>
      </c>
      <c r="U249" s="385" t="str">
        <f>IF(F249="","",VLOOKUP(F249,'G-3 Multipliers'!$A$2:$E$134,2,FALSE))</f>
        <v/>
      </c>
      <c r="V249" s="382" t="str">
        <f t="shared" si="23"/>
        <v/>
      </c>
      <c r="W249" s="382" t="str">
        <f>IF(E249="","",IF(AND(V249="Standard difficulty applied",O249&gt;P249),U249,IF(AND(V249="Low Difficulty - only applicable if all habitat created before losses ⚠",P249&gt;=O249),"Low",VLOOKUP(F249,'G-3 Multipliers'!$A$2:$E$134,4,FALSE))))</f>
        <v/>
      </c>
      <c r="X249" s="386" t="str">
        <f>IFERROR(IF(E249="","",VLOOKUP(W249, 'G-3 Multipliers'!$P$2:$Q$6,2,FALSE)),"")</f>
        <v/>
      </c>
      <c r="Y249" s="516"/>
      <c r="Z249" s="724" t="str">
        <f>IF(Y249="","",IF(VLOOKUP(Y249,'G-3 Multipliers'!$S$3:$T$10,2,FALSE)=0,"Spatial Data Missing ⚠",VLOOKUP(Y249,'G-3 Multipliers'!$S$3:$T$10,2,FALSE)))</f>
        <v/>
      </c>
      <c r="AA249" s="741" t="str">
        <f t="shared" si="21"/>
        <v/>
      </c>
      <c r="AB249" s="405" t="str">
        <f t="shared" si="22"/>
        <v/>
      </c>
      <c r="AC249" s="119"/>
      <c r="AD249" s="528"/>
      <c r="AE249" s="120"/>
      <c r="AF249" s="120"/>
    </row>
    <row r="250" spans="1:32" ht="15">
      <c r="A250" s="30" t="str">
        <f>IFERROR(INDEX('G-8 Condition Look up'!$I$4:$I$135,MATCH(F250,'G-8 Condition Look up'!$A$4:$A$135,0)),"")</f>
        <v/>
      </c>
      <c r="C250" s="75" t="str">
        <f>IFERROR(INDEX('G-1 All Habitats'!$AG$3:$AG$17,MATCH(D250,'G-1 All Habitats'!$AF$3:$AF$17,0)),"")</f>
        <v/>
      </c>
      <c r="D250" s="122"/>
      <c r="E250" s="165"/>
      <c r="F250" s="198" t="str">
        <f>IFERROR(INDEX('G-1 All Habitats'!$B$3:$B$135,MATCH(E250,'G-1 All Habitats'!$A$3:$A$135,0)),"")</f>
        <v/>
      </c>
      <c r="G250" s="300"/>
      <c r="H250" s="398" t="str">
        <f>IF(F250="","",VLOOKUP(F250,'G-1 All Habitats'!$B$2:$M$134,10,FALSE))</f>
        <v/>
      </c>
      <c r="I250" s="386" t="str">
        <f>IFERROR(VLOOKUP(H250,'G-1 All Habitats'!$V$3:$W$7,2,FALSE),"")</f>
        <v/>
      </c>
      <c r="J250" s="162"/>
      <c r="K250" s="386" t="str">
        <f>IFERROR(INDEX('G-8 Condition Look up'!$A$3:$H$135,MATCH(F250,'G-8 Condition Look up'!$A$3:$A$135,0),MATCH(J250,'G-8 Condition Look up'!$A$3:$H$3,0)),"")</f>
        <v/>
      </c>
      <c r="L250" s="114"/>
      <c r="M250" s="401" t="str">
        <f>IF(L250="","",IF(VLOOKUP(L250,'G-3 Multipliers'!$L$3:$N$6,2,FALSE)=0,"Spatial Data Missing ⚠",VLOOKUP(L250,'G-3 Multipliers'!$L$3:$N$6,2,FALSE)))</f>
        <v/>
      </c>
      <c r="N250" s="363" t="str">
        <f>IF(L250="","",IF(VLOOKUP(L250,'G-3 Multipliers'!$L$3:$N$6,3,FALSE)=0,"Spatial Data Missing ⚠",VLOOKUP(L250,'G-3 Multipliers'!$L$3:$N$6,3,FALSE)))</f>
        <v/>
      </c>
      <c r="O250" s="362" t="str">
        <f t="shared" si="18"/>
        <v/>
      </c>
      <c r="P250" s="159"/>
      <c r="Q250" s="159"/>
      <c r="R250" s="382" t="str">
        <f t="shared" si="19"/>
        <v/>
      </c>
      <c r="S250" s="404" t="str">
        <f t="shared" si="20"/>
        <v/>
      </c>
      <c r="T250" s="387" t="str">
        <f>IFERROR(IF(S250="Check Data ⚠","Check Data ⚠",VLOOKUP(S250,'G-4 Temporal multipliers'!$A$4:$C$37,3,FALSE)),"")</f>
        <v/>
      </c>
      <c r="U250" s="385" t="str">
        <f>IF(F250="","",VLOOKUP(F250,'G-3 Multipliers'!$A$2:$E$134,2,FALSE))</f>
        <v/>
      </c>
      <c r="V250" s="382" t="str">
        <f t="shared" si="23"/>
        <v/>
      </c>
      <c r="W250" s="382" t="str">
        <f>IF(E250="","",IF(AND(V250="Standard difficulty applied",O250&gt;P250),U250,IF(AND(V250="Low Difficulty - only applicable if all habitat created before losses ⚠",P250&gt;=O250),"Low",VLOOKUP(F250,'G-3 Multipliers'!$A$2:$E$134,4,FALSE))))</f>
        <v/>
      </c>
      <c r="X250" s="386" t="str">
        <f>IFERROR(IF(E250="","",VLOOKUP(W250, 'G-3 Multipliers'!$P$2:$Q$6,2,FALSE)),"")</f>
        <v/>
      </c>
      <c r="Y250" s="516"/>
      <c r="Z250" s="724" t="str">
        <f>IF(Y250="","",IF(VLOOKUP(Y250,'G-3 Multipliers'!$S$3:$T$10,2,FALSE)=0,"Spatial Data Missing ⚠",VLOOKUP(Y250,'G-3 Multipliers'!$S$3:$T$10,2,FALSE)))</f>
        <v/>
      </c>
      <c r="AA250" s="741" t="str">
        <f t="shared" si="21"/>
        <v/>
      </c>
      <c r="AB250" s="405" t="str">
        <f t="shared" si="22"/>
        <v/>
      </c>
      <c r="AC250" s="119"/>
      <c r="AD250" s="528"/>
      <c r="AE250" s="120"/>
      <c r="AF250" s="120"/>
    </row>
    <row r="251" spans="1:32" ht="15">
      <c r="A251" s="30" t="str">
        <f>IFERROR(INDEX('G-8 Condition Look up'!$I$4:$I$135,MATCH(F251,'G-8 Condition Look up'!$A$4:$A$135,0)),"")</f>
        <v/>
      </c>
      <c r="C251" s="75" t="str">
        <f>IFERROR(INDEX('G-1 All Habitats'!$AG$3:$AG$17,MATCH(D251,'G-1 All Habitats'!$AF$3:$AF$17,0)),"")</f>
        <v/>
      </c>
      <c r="D251" s="122"/>
      <c r="E251" s="165"/>
      <c r="F251" s="198" t="str">
        <f>IFERROR(INDEX('G-1 All Habitats'!$B$3:$B$135,MATCH(E251,'G-1 All Habitats'!$A$3:$A$135,0)),"")</f>
        <v/>
      </c>
      <c r="G251" s="300"/>
      <c r="H251" s="398" t="str">
        <f>IF(F251="","",VLOOKUP(F251,'G-1 All Habitats'!$B$2:$M$134,10,FALSE))</f>
        <v/>
      </c>
      <c r="I251" s="386" t="str">
        <f>IFERROR(VLOOKUP(H251,'G-1 All Habitats'!$V$3:$W$7,2,FALSE),"")</f>
        <v/>
      </c>
      <c r="J251" s="162"/>
      <c r="K251" s="386" t="str">
        <f>IFERROR(INDEX('G-8 Condition Look up'!$A$3:$H$135,MATCH(F251,'G-8 Condition Look up'!$A$3:$A$135,0),MATCH(J251,'G-8 Condition Look up'!$A$3:$H$3,0)),"")</f>
        <v/>
      </c>
      <c r="L251" s="114"/>
      <c r="M251" s="401" t="str">
        <f>IF(L251="","",IF(VLOOKUP(L251,'G-3 Multipliers'!$L$3:$N$6,2,FALSE)=0,"Spatial Data Missing ⚠",VLOOKUP(L251,'G-3 Multipliers'!$L$3:$N$6,2,FALSE)))</f>
        <v/>
      </c>
      <c r="N251" s="363" t="str">
        <f>IF(L251="","",IF(VLOOKUP(L251,'G-3 Multipliers'!$L$3:$N$6,3,FALSE)=0,"Spatial Data Missing ⚠",VLOOKUP(L251,'G-3 Multipliers'!$L$3:$N$6,3,FALSE)))</f>
        <v/>
      </c>
      <c r="O251" s="362" t="str">
        <f t="shared" si="18"/>
        <v/>
      </c>
      <c r="P251" s="159"/>
      <c r="Q251" s="159"/>
      <c r="R251" s="382" t="str">
        <f t="shared" si="19"/>
        <v/>
      </c>
      <c r="S251" s="404" t="str">
        <f t="shared" si="20"/>
        <v/>
      </c>
      <c r="T251" s="387" t="str">
        <f>IFERROR(IF(S251="Check Data ⚠","Check Data ⚠",VLOOKUP(S251,'G-4 Temporal multipliers'!$A$4:$C$37,3,FALSE)),"")</f>
        <v/>
      </c>
      <c r="U251" s="385" t="str">
        <f>IF(F251="","",VLOOKUP(F251,'G-3 Multipliers'!$A$2:$E$134,2,FALSE))</f>
        <v/>
      </c>
      <c r="V251" s="382" t="str">
        <f t="shared" si="23"/>
        <v/>
      </c>
      <c r="W251" s="382" t="str">
        <f>IF(E251="","",IF(AND(V251="Standard difficulty applied",O251&gt;P251),U251,IF(AND(V251="Low Difficulty - only applicable if all habitat created before losses ⚠",P251&gt;=O251),"Low",VLOOKUP(F251,'G-3 Multipliers'!$A$2:$E$134,4,FALSE))))</f>
        <v/>
      </c>
      <c r="X251" s="386" t="str">
        <f>IFERROR(IF(E251="","",VLOOKUP(W251, 'G-3 Multipliers'!$P$2:$Q$6,2,FALSE)),"")</f>
        <v/>
      </c>
      <c r="Y251" s="516"/>
      <c r="Z251" s="724" t="str">
        <f>IF(Y251="","",IF(VLOOKUP(Y251,'G-3 Multipliers'!$S$3:$T$10,2,FALSE)=0,"Spatial Data Missing ⚠",VLOOKUP(Y251,'G-3 Multipliers'!$S$3:$T$10,2,FALSE)))</f>
        <v/>
      </c>
      <c r="AA251" s="741" t="str">
        <f t="shared" si="21"/>
        <v/>
      </c>
      <c r="AB251" s="405" t="str">
        <f t="shared" si="22"/>
        <v/>
      </c>
      <c r="AC251" s="119"/>
      <c r="AD251" s="528"/>
      <c r="AE251" s="120"/>
      <c r="AF251" s="120"/>
    </row>
    <row r="252" spans="1:32" ht="15">
      <c r="A252" s="30" t="str">
        <f>IFERROR(INDEX('G-8 Condition Look up'!$I$4:$I$135,MATCH(F252,'G-8 Condition Look up'!$A$4:$A$135,0)),"")</f>
        <v/>
      </c>
      <c r="C252" s="75" t="str">
        <f>IFERROR(INDEX('G-1 All Habitats'!$AG$3:$AG$17,MATCH(D252,'G-1 All Habitats'!$AF$3:$AF$17,0)),"")</f>
        <v/>
      </c>
      <c r="D252" s="122"/>
      <c r="E252" s="165"/>
      <c r="F252" s="198" t="str">
        <f>IFERROR(INDEX('G-1 All Habitats'!$B$3:$B$135,MATCH(E252,'G-1 All Habitats'!$A$3:$A$135,0)),"")</f>
        <v/>
      </c>
      <c r="G252" s="300"/>
      <c r="H252" s="398" t="str">
        <f>IF(F252="","",VLOOKUP(F252,'G-1 All Habitats'!$B$2:$M$134,10,FALSE))</f>
        <v/>
      </c>
      <c r="I252" s="386" t="str">
        <f>IFERROR(VLOOKUP(H252,'G-1 All Habitats'!$V$3:$W$7,2,FALSE),"")</f>
        <v/>
      </c>
      <c r="J252" s="162"/>
      <c r="K252" s="386" t="str">
        <f>IFERROR(INDEX('G-8 Condition Look up'!$A$3:$H$135,MATCH(F252,'G-8 Condition Look up'!$A$3:$A$135,0),MATCH(J252,'G-8 Condition Look up'!$A$3:$H$3,0)),"")</f>
        <v/>
      </c>
      <c r="L252" s="114"/>
      <c r="M252" s="401" t="str">
        <f>IF(L252="","",IF(VLOOKUP(L252,'G-3 Multipliers'!$L$3:$N$6,2,FALSE)=0,"Spatial Data Missing 'D-3 Off Site Habitat Enhancment'!",VLOOKUP(L252,'G-3 Multipliers'!$L$3:$N$6,2,FALSE)))</f>
        <v/>
      </c>
      <c r="N252" s="363" t="str">
        <f>IF(L252="","",IF(VLOOKUP(L252,'G-3 Multipliers'!$L$3:$N$6,3,FALSE)=0,"Spatial Data Missing ⚠",VLOOKUP(L252,'G-3 Multipliers'!$L$3:$N$6,3,FALSE)))</f>
        <v/>
      </c>
      <c r="O252" s="362" t="str">
        <f t="shared" si="18"/>
        <v/>
      </c>
      <c r="P252" s="159"/>
      <c r="Q252" s="159"/>
      <c r="R252" s="382" t="str">
        <f t="shared" si="19"/>
        <v/>
      </c>
      <c r="S252" s="404" t="str">
        <f t="shared" si="20"/>
        <v/>
      </c>
      <c r="T252" s="387" t="str">
        <f>IFERROR(IF(S252="Check Data ⚠","Check Data ⚠",VLOOKUP(S252,'G-4 Temporal multipliers'!$A$4:$C$37,3,FALSE)),"")</f>
        <v/>
      </c>
      <c r="U252" s="385" t="str">
        <f>IF(F252="","",VLOOKUP(F252,'G-3 Multipliers'!$A$2:$E$134,2,FALSE))</f>
        <v/>
      </c>
      <c r="V252" s="382" t="str">
        <f t="shared" si="23"/>
        <v/>
      </c>
      <c r="W252" s="382" t="str">
        <f>IF(E252="","",IF(AND(V252="Standard difficulty applied",O252&gt;P252),U252,IF(AND(V252="Low Difficulty - only applicable if all habitat created before losses ⚠",P252&gt;=O252),"Low",VLOOKUP(F252,'G-3 Multipliers'!$A$2:$E$134,4,FALSE))))</f>
        <v/>
      </c>
      <c r="X252" s="386" t="str">
        <f>IFERROR(IF(E252="","",VLOOKUP(W252, 'G-3 Multipliers'!$P$2:$Q$6,2,FALSE)),"")</f>
        <v/>
      </c>
      <c r="Y252" s="516"/>
      <c r="Z252" s="724" t="str">
        <f>IF(Y252="","",IF(VLOOKUP(Y252,'G-3 Multipliers'!$S$3:$T$10,2,FALSE)=0,"Spatial Data Missing ⚠",VLOOKUP(Y252,'G-3 Multipliers'!$S$3:$T$10,2,FALSE)))</f>
        <v/>
      </c>
      <c r="AA252" s="741" t="str">
        <f t="shared" si="21"/>
        <v/>
      </c>
      <c r="AB252" s="405" t="str">
        <f t="shared" si="22"/>
        <v/>
      </c>
      <c r="AC252" s="119"/>
      <c r="AD252" s="528"/>
      <c r="AE252" s="120"/>
      <c r="AF252" s="120"/>
    </row>
    <row r="253" spans="1:32" ht="15">
      <c r="A253" s="30" t="str">
        <f>IFERROR(INDEX('G-8 Condition Look up'!$I$4:$I$135,MATCH(F253,'G-8 Condition Look up'!$A$4:$A$135,0)),"")</f>
        <v/>
      </c>
      <c r="C253" s="75" t="str">
        <f>IFERROR(INDEX('G-1 All Habitats'!$AG$3:$AG$17,MATCH(D253,'G-1 All Habitats'!$AF$3:$AF$17,0)),"")</f>
        <v/>
      </c>
      <c r="D253" s="122"/>
      <c r="E253" s="165"/>
      <c r="F253" s="198" t="str">
        <f>IFERROR(INDEX('G-1 All Habitats'!$B$3:$B$135,MATCH(E253,'G-1 All Habitats'!$A$3:$A$135,0)),"")</f>
        <v/>
      </c>
      <c r="G253" s="300"/>
      <c r="H253" s="398" t="str">
        <f>IF(F253="","",VLOOKUP(F253,'G-1 All Habitats'!$B$2:$M$134,10,FALSE))</f>
        <v/>
      </c>
      <c r="I253" s="386" t="str">
        <f>IFERROR(VLOOKUP(H253,'G-1 All Habitats'!$V$3:$W$7,2,FALSE),"")</f>
        <v/>
      </c>
      <c r="J253" s="162"/>
      <c r="K253" s="386" t="str">
        <f>IFERROR(INDEX('G-8 Condition Look up'!$A$3:$H$135,MATCH(F253,'G-8 Condition Look up'!$A$3:$A$135,0),MATCH(J253,'G-8 Condition Look up'!$A$3:$H$3,0)),"")</f>
        <v/>
      </c>
      <c r="L253" s="114"/>
      <c r="M253" s="401" t="str">
        <f>IF(L253="","",IF(VLOOKUP(L253,'G-3 Multipliers'!$L$3:$N$6,2,FALSE)=0,"Spatial Data Missing ⚠",VLOOKUP(L253,'G-3 Multipliers'!$L$3:$N$6,2,FALSE)))</f>
        <v/>
      </c>
      <c r="N253" s="363" t="str">
        <f>IF(L253="","",IF(VLOOKUP(L253,'G-3 Multipliers'!$L$3:$N$6,3,FALSE)=0,"Spatial Data Missing ⚠",VLOOKUP(L253,'G-3 Multipliers'!$L$3:$N$6,3,FALSE)))</f>
        <v/>
      </c>
      <c r="O253" s="362" t="str">
        <f t="shared" si="18"/>
        <v/>
      </c>
      <c r="P253" s="159"/>
      <c r="Q253" s="159"/>
      <c r="R253" s="382" t="str">
        <f t="shared" si="19"/>
        <v/>
      </c>
      <c r="S253" s="404" t="str">
        <f t="shared" si="20"/>
        <v/>
      </c>
      <c r="T253" s="387" t="str">
        <f>IFERROR(IF(S253="Check Data ⚠","Check Data ⚠",VLOOKUP(S253,'G-4 Temporal multipliers'!$A$4:$C$37,3,FALSE)),"")</f>
        <v/>
      </c>
      <c r="U253" s="385" t="str">
        <f>IF(F253="","",VLOOKUP(F253,'G-3 Multipliers'!$A$2:$E$134,2,FALSE))</f>
        <v/>
      </c>
      <c r="V253" s="382" t="str">
        <f t="shared" si="23"/>
        <v/>
      </c>
      <c r="W253" s="382" t="str">
        <f>IF(E253="","",IF(AND(V253="Standard difficulty applied",O253&gt;P253),U253,IF(AND(V253="Low Difficulty - only applicable if all habitat created before losses ⚠",P253&gt;=O253),"Low",VLOOKUP(F253,'G-3 Multipliers'!$A$2:$E$134,4,FALSE))))</f>
        <v/>
      </c>
      <c r="X253" s="386" t="str">
        <f>IFERROR(IF(E253="","",VLOOKUP(W253, 'G-3 Multipliers'!$P$2:$Q$6,2,FALSE)),"")</f>
        <v/>
      </c>
      <c r="Y253" s="516"/>
      <c r="Z253" s="724" t="str">
        <f>IF(Y253="","",IF(VLOOKUP(Y253,'G-3 Multipliers'!$S$3:$T$10,2,FALSE)=0,"Spatial Data Missing ⚠",VLOOKUP(Y253,'G-3 Multipliers'!$S$3:$T$10,2,FALSE)))</f>
        <v/>
      </c>
      <c r="AA253" s="741" t="str">
        <f t="shared" si="21"/>
        <v/>
      </c>
      <c r="AB253" s="405" t="str">
        <f t="shared" si="22"/>
        <v/>
      </c>
      <c r="AC253" s="119"/>
      <c r="AD253" s="528"/>
      <c r="AE253" s="120"/>
      <c r="AF253" s="120"/>
    </row>
    <row r="254" spans="1:32" ht="15">
      <c r="A254" s="30" t="str">
        <f>IFERROR(INDEX('G-8 Condition Look up'!$I$4:$I$135,MATCH(F254,'G-8 Condition Look up'!$A$4:$A$135,0)),"")</f>
        <v/>
      </c>
      <c r="C254" s="75" t="str">
        <f>IFERROR(INDEX('G-1 All Habitats'!$AG$3:$AG$17,MATCH(D254,'G-1 All Habitats'!$AF$3:$AF$17,0)),"")</f>
        <v/>
      </c>
      <c r="D254" s="122"/>
      <c r="E254" s="165"/>
      <c r="F254" s="198" t="str">
        <f>IFERROR(INDEX('G-1 All Habitats'!$B$3:$B$135,MATCH(E254,'G-1 All Habitats'!$A$3:$A$135,0)),"")</f>
        <v/>
      </c>
      <c r="G254" s="300"/>
      <c r="H254" s="398" t="str">
        <f>IF(F254="","",VLOOKUP(F254,'G-1 All Habitats'!$B$2:$M$134,10,FALSE))</f>
        <v/>
      </c>
      <c r="I254" s="386" t="str">
        <f>IFERROR(VLOOKUP(H254,'G-1 All Habitats'!$V$3:$W$7,2,FALSE),"")</f>
        <v/>
      </c>
      <c r="J254" s="162"/>
      <c r="K254" s="386" t="str">
        <f>IFERROR(INDEX('G-8 Condition Look up'!$A$3:$H$135,MATCH(F254,'G-8 Condition Look up'!$A$3:$A$135,0),MATCH(J254,'G-8 Condition Look up'!$A$3:$H$3,0)),"")</f>
        <v/>
      </c>
      <c r="L254" s="114"/>
      <c r="M254" s="401" t="str">
        <f>IF(L254="","",IF(VLOOKUP(L254,'G-3 Multipliers'!$L$3:$N$6,2,FALSE)=0,"Spatial Data Missing ⚠",VLOOKUP(L254,'G-3 Multipliers'!$L$3:$N$6,2,FALSE)))</f>
        <v/>
      </c>
      <c r="N254" s="363" t="str">
        <f>IF(L254="","",IF(VLOOKUP(L254,'G-3 Multipliers'!$L$3:$N$6,3,FALSE)=0,"Spatial Data Missing ⚠",VLOOKUP(L254,'G-3 Multipliers'!$L$3:$N$6,3,FALSE)))</f>
        <v/>
      </c>
      <c r="O254" s="362" t="str">
        <f t="shared" si="18"/>
        <v/>
      </c>
      <c r="P254" s="159"/>
      <c r="Q254" s="159"/>
      <c r="R254" s="382" t="str">
        <f t="shared" si="19"/>
        <v/>
      </c>
      <c r="S254" s="404" t="str">
        <f t="shared" si="20"/>
        <v/>
      </c>
      <c r="T254" s="387" t="str">
        <f>IFERROR(IF(S254="Check Data ⚠","Check Data ⚠",VLOOKUP(S254,'G-4 Temporal multipliers'!$A$4:$C$37,3,FALSE)),"")</f>
        <v/>
      </c>
      <c r="U254" s="385" t="str">
        <f>IF(F254="","",VLOOKUP(F254,'G-3 Multipliers'!$A$2:$E$134,2,FALSE))</f>
        <v/>
      </c>
      <c r="V254" s="382" t="str">
        <f t="shared" si="23"/>
        <v/>
      </c>
      <c r="W254" s="382" t="str">
        <f>IF(E254="","",IF(AND(V254="Standard difficulty applied",O254&gt;P254),U254,IF(AND(V254="Low Difficulty - only applicable if all habitat created before losses ⚠",P254&gt;=O254),"Low",VLOOKUP(F254,'G-3 Multipliers'!$A$2:$E$134,4,FALSE))))</f>
        <v/>
      </c>
      <c r="X254" s="386" t="str">
        <f>IFERROR(IF(E254="","",VLOOKUP(W254, 'G-3 Multipliers'!$P$2:$Q$6,2,FALSE)),"")</f>
        <v/>
      </c>
      <c r="Y254" s="516"/>
      <c r="Z254" s="724" t="str">
        <f>IF(Y254="","",IF(VLOOKUP(Y254,'G-3 Multipliers'!$S$3:$T$10,2,FALSE)=0,"Spatial Data Missing ⚠",VLOOKUP(Y254,'G-3 Multipliers'!$S$3:$T$10,2,FALSE)))</f>
        <v/>
      </c>
      <c r="AA254" s="741" t="str">
        <f t="shared" si="21"/>
        <v/>
      </c>
      <c r="AB254" s="405" t="str">
        <f t="shared" si="22"/>
        <v/>
      </c>
      <c r="AC254" s="119"/>
      <c r="AD254" s="528"/>
      <c r="AE254" s="120"/>
      <c r="AF254" s="120"/>
    </row>
    <row r="255" spans="1:32" ht="15">
      <c r="A255" s="30" t="str">
        <f>IFERROR(INDEX('G-8 Condition Look up'!$I$4:$I$135,MATCH(F255,'G-8 Condition Look up'!$A$4:$A$135,0)),"")</f>
        <v/>
      </c>
      <c r="C255" s="75" t="str">
        <f>IFERROR(INDEX('G-1 All Habitats'!$AG$3:$AG$17,MATCH(D255,'G-1 All Habitats'!$AF$3:$AF$17,0)),"")</f>
        <v/>
      </c>
      <c r="D255" s="122"/>
      <c r="E255" s="165"/>
      <c r="F255" s="198" t="str">
        <f>IFERROR(INDEX('G-1 All Habitats'!$B$3:$B$135,MATCH(E255,'G-1 All Habitats'!$A$3:$A$135,0)),"")</f>
        <v/>
      </c>
      <c r="G255" s="300"/>
      <c r="H255" s="398" t="str">
        <f>IF(F255="","",VLOOKUP(F255,'G-1 All Habitats'!$B$2:$M$134,10,FALSE))</f>
        <v/>
      </c>
      <c r="I255" s="386" t="str">
        <f>IFERROR(VLOOKUP(H255,'G-1 All Habitats'!$V$3:$W$7,2,FALSE),"")</f>
        <v/>
      </c>
      <c r="J255" s="162"/>
      <c r="K255" s="386" t="str">
        <f>IFERROR(INDEX('G-8 Condition Look up'!$A$3:$H$135,MATCH(F255,'G-8 Condition Look up'!$A$3:$A$135,0),MATCH(J255,'G-8 Condition Look up'!$A$3:$H$3,0)),"")</f>
        <v/>
      </c>
      <c r="L255" s="114"/>
      <c r="M255" s="401" t="str">
        <f>IF(L255="","",IF(VLOOKUP(L255,'G-3 Multipliers'!$L$3:$N$6,2,FALSE)=0,"Spatial Data Missing ⚠",VLOOKUP(L255,'G-3 Multipliers'!$L$3:$N$6,2,FALSE)))</f>
        <v/>
      </c>
      <c r="N255" s="363" t="str">
        <f>IF(L255="","",IF(VLOOKUP(L255,'G-3 Multipliers'!$L$3:$N$6,3,FALSE)=0,"Spatial Data Missing ⚠",VLOOKUP(L255,'G-3 Multipliers'!$L$3:$N$6,3,FALSE)))</f>
        <v/>
      </c>
      <c r="O255" s="362" t="str">
        <f t="shared" si="18"/>
        <v/>
      </c>
      <c r="P255" s="159"/>
      <c r="Q255" s="159"/>
      <c r="R255" s="382" t="str">
        <f t="shared" si="19"/>
        <v/>
      </c>
      <c r="S255" s="404" t="str">
        <f t="shared" si="20"/>
        <v/>
      </c>
      <c r="T255" s="387" t="str">
        <f>IFERROR(IF(S255="Check Data ⚠","Check Data ⚠",VLOOKUP(S255,'G-4 Temporal multipliers'!$A$4:$C$37,3,FALSE)),"")</f>
        <v/>
      </c>
      <c r="U255" s="385" t="str">
        <f>IF(F255="","",VLOOKUP(F255,'G-3 Multipliers'!$A$2:$E$134,2,FALSE))</f>
        <v/>
      </c>
      <c r="V255" s="382" t="str">
        <f t="shared" si="23"/>
        <v/>
      </c>
      <c r="W255" s="382" t="str">
        <f>IF(E255="","",IF(AND(V255="Standard difficulty applied",O255&gt;P255),U255,IF(AND(V255="Low Difficulty - only applicable if all habitat created before losses ⚠",P255&gt;=O255),"Low",VLOOKUP(F255,'G-3 Multipliers'!$A$2:$E$134,4,FALSE))))</f>
        <v/>
      </c>
      <c r="X255" s="386" t="str">
        <f>IFERROR(IF(E255="","",VLOOKUP(W255, 'G-3 Multipliers'!$P$2:$Q$6,2,FALSE)),"")</f>
        <v/>
      </c>
      <c r="Y255" s="516"/>
      <c r="Z255" s="724" t="str">
        <f>IF(Y255="","",IF(VLOOKUP(Y255,'G-3 Multipliers'!$S$3:$T$10,2,FALSE)=0,"Spatial Data Missing ⚠",VLOOKUP(Y255,'G-3 Multipliers'!$S$3:$T$10,2,FALSE)))</f>
        <v/>
      </c>
      <c r="AA255" s="741" t="str">
        <f t="shared" si="21"/>
        <v/>
      </c>
      <c r="AB255" s="405" t="str">
        <f t="shared" si="22"/>
        <v/>
      </c>
      <c r="AC255" s="119"/>
      <c r="AD255" s="528"/>
      <c r="AE255" s="120"/>
      <c r="AF255" s="120"/>
    </row>
    <row r="256" spans="1:32" ht="15.75" thickBot="1">
      <c r="A256" s="30" t="str">
        <f>IFERROR(INDEX('G-8 Condition Look up'!$I$4:$I$135,MATCH(F256,'G-8 Condition Look up'!$A$4:$A$135,0)),"")</f>
        <v/>
      </c>
      <c r="C256" s="75" t="str">
        <f>IFERROR(INDEX('G-1 All Habitats'!$AG$3:$AG$17,MATCH(D256,'G-1 All Habitats'!$AF$3:$AF$17,0)),"")</f>
        <v/>
      </c>
      <c r="D256" s="129"/>
      <c r="E256" s="168"/>
      <c r="F256" s="849" t="str">
        <f>IFERROR(INDEX('G-1 All Habitats'!$B$3:$B$135,MATCH(E256,'G-1 All Habitats'!$A$3:$A$135,0)),"")</f>
        <v/>
      </c>
      <c r="G256" s="301"/>
      <c r="H256" s="364" t="str">
        <f>IF(F256="","",VLOOKUP(F256,'G-1 All Habitats'!$B$2:$M$134,10,FALSE))</f>
        <v/>
      </c>
      <c r="I256" s="365" t="str">
        <f>IFERROR(VLOOKUP(H256,'G-1 All Habitats'!$V$3:$W$7,2,FALSE),"")</f>
        <v/>
      </c>
      <c r="J256" s="218"/>
      <c r="K256" s="365" t="str">
        <f>IFERROR(INDEX('G-8 Condition Look up'!$A$3:$H$135,MATCH(F256,'G-8 Condition Look up'!$A$3:$A$135,0),MATCH(J256,'G-8 Condition Look up'!$A$3:$H$3,0)),"")</f>
        <v/>
      </c>
      <c r="L256" s="129"/>
      <c r="M256" s="850" t="str">
        <f>IF(L256="","",IF(VLOOKUP(L256,'G-3 Multipliers'!$L$3:$N$6,2,FALSE)=0,"Spatial Data Missing ⚠",VLOOKUP(L256,'G-3 Multipliers'!$L$3:$N$6,2,FALSE)))</f>
        <v/>
      </c>
      <c r="N256" s="797" t="str">
        <f>IF(L256="","",IF(VLOOKUP(L256,'G-3 Multipliers'!$L$3:$N$6,3,FALSE)=0,"Spatial Data Missing ⚠",VLOOKUP(L256,'G-3 Multipliers'!$L$3:$N$6,3,FALSE)))</f>
        <v/>
      </c>
      <c r="O256" s="796" t="str">
        <f t="shared" si="18"/>
        <v/>
      </c>
      <c r="P256" s="168"/>
      <c r="Q256" s="168"/>
      <c r="R256" s="371" t="str">
        <f t="shared" si="19"/>
        <v/>
      </c>
      <c r="S256" s="388" t="str">
        <f>IF(R256="Error -both advance and delayed habitat creation ▲","Check Data ⚠",IF(O256="Not Possible","Check Data ⚠",IF(O256="","",IF(AND(O256="30+",P256=0),"30+",IF(AND(O256="30+",P256="30+"),0,IF(AND(O256="30+",P256&lt;32),30-P256,IF(O256="30+",30-P256,IF(P256&gt;O256,0,IF(Q256="30+","30+",IF(O256+Q256&gt;30,"30+",IF(O256+Q256&gt;30,"30+",IF(O256-P256&gt;30,"30+",IF(O256+Q256-P256&gt;0,O256+Q256-P256,IF(O256-P256&gt;0,O256-P256,O256+Q256-P256))))))))))))))</f>
        <v/>
      </c>
      <c r="T256" s="851" t="str">
        <f>IFERROR(IF(S256="Check Data ⚠","Check Data ⚠",VLOOKUP(S256,'G-4 Temporal multipliers'!$A$4:$C$37,3,FALSE)),"")</f>
        <v/>
      </c>
      <c r="U256" s="389" t="str">
        <f>IF(F256="","",VLOOKUP(F256,'G-3 Multipliers'!$A$2:$E$134,2,FALSE))</f>
        <v/>
      </c>
      <c r="V256" s="371" t="str">
        <f t="shared" si="23"/>
        <v/>
      </c>
      <c r="W256" s="371" t="str">
        <f>IF(E256="","",IF(AND(V256="Standard difficulty applied",O256&gt;P256),U256,IF(AND(V256="Low Difficulty - only applicable if all habitat created before losses ⚠",P256&gt;=O256),"Low",VLOOKUP(F256,'G-3 Multipliers'!$A$2:$E$134,4,FALSE))))</f>
        <v/>
      </c>
      <c r="X256" s="365" t="str">
        <f>IFERROR(IF(E256="","",VLOOKUP(W256, 'G-3 Multipliers'!$P$2:$Q$6,2,FALSE)),"")</f>
        <v/>
      </c>
      <c r="Y256" s="579"/>
      <c r="Z256" s="832" t="str">
        <f>IF(Y256="","",IF(VLOOKUP(Y256,'G-3 Multipliers'!$S$3:$T$10,2,FALSE)=0,"Spatial Data Missing ⚠",VLOOKUP(Y256,'G-3 Multipliers'!$S$3:$T$10,2,FALSE)))</f>
        <v/>
      </c>
      <c r="AA256" s="742" t="str">
        <f t="shared" si="21"/>
        <v/>
      </c>
      <c r="AB256" s="852" t="str">
        <f t="shared" si="22"/>
        <v/>
      </c>
      <c r="AC256" s="130"/>
      <c r="AD256" s="529"/>
      <c r="AE256" s="131"/>
      <c r="AF256" s="683"/>
    </row>
    <row r="257" spans="5:28" ht="15.75" thickBot="1">
      <c r="E257" s="655" t="s">
        <v>329</v>
      </c>
      <c r="F257" s="261" t="s">
        <v>330</v>
      </c>
      <c r="G257" s="403">
        <f>SUM(G11:G256)</f>
        <v>0</v>
      </c>
      <c r="T257" s="133"/>
      <c r="U257" s="133"/>
      <c r="V257" s="133"/>
      <c r="W257" s="133"/>
      <c r="X257" s="133"/>
      <c r="Y257" s="133"/>
      <c r="Z257" s="740" t="s">
        <v>331</v>
      </c>
      <c r="AA257" s="344">
        <f>SUM(AA11:AA256)</f>
        <v>0</v>
      </c>
      <c r="AB257" s="414">
        <f>SUM(AB11:AB256)</f>
        <v>0</v>
      </c>
    </row>
    <row r="258" spans="5:28" ht="15.75" thickBot="1"/>
    <row r="259" spans="5:28" ht="15.75" thickBot="1">
      <c r="E259" s="511" t="s">
        <v>305</v>
      </c>
      <c r="F259" s="35"/>
      <c r="G259" s="381">
        <f>IF('Detailed Results'!$K$40&gt;0,"Error",SUMIFS($G$11:$G$256,$F$11:$F$256,"&lt;&gt;"&amp;'G-1 All Habitats'!B80,$F$11:$F$256,"&lt;&gt;"&amp;'G-1 All Habitats'!B81,$F$11:$F$256,"&lt;&gt;"&amp;'G-1 All Habitats'!B67,$F$11:$F$256,"&lt;&gt;"&amp;'G-1 All Habitats'!B68, $F$11:$F$256,"&lt;&gt;"&amp;'G-1 All Habitats'!B81))</f>
        <v>0</v>
      </c>
    </row>
    <row r="260" spans="5:28" ht="15.75" thickBot="1"/>
    <row r="261" spans="5:28" ht="15">
      <c r="E261" s="1465" t="s">
        <v>307</v>
      </c>
      <c r="F261" s="36"/>
      <c r="G261" s="554" t="s">
        <v>308</v>
      </c>
      <c r="H261" s="551" t="s">
        <v>309</v>
      </c>
      <c r="I261" s="1419" t="s">
        <v>310</v>
      </c>
      <c r="J261" s="1420"/>
    </row>
    <row r="262" spans="5:28" ht="15.75" thickBot="1">
      <c r="E262" s="1466"/>
      <c r="F262" s="36"/>
      <c r="G262" s="553"/>
      <c r="H262" s="552" t="str">
        <f>IF(G261="Hectares",G262,IF(G261="M²",G262/10000,""))</f>
        <v/>
      </c>
      <c r="I262" s="1421" t="str">
        <f>IF(G261="M²",G262,IF(G261="Hectares",G262*10000,""))</f>
        <v/>
      </c>
      <c r="J262" s="1422"/>
    </row>
    <row r="263" spans="5:28" ht="15"/>
    <row r="264" spans="5:28" ht="15" hidden="1">
      <c r="T264" s="30" t="s">
        <v>371</v>
      </c>
      <c r="U264" s="30" t="s">
        <v>371</v>
      </c>
      <c r="X264" s="30" t="s">
        <v>371</v>
      </c>
      <c r="AA264" s="30" t="s">
        <v>371</v>
      </c>
    </row>
    <row r="265" spans="5:28" ht="15" hidden="1">
      <c r="T265" s="30" t="s">
        <v>371</v>
      </c>
      <c r="U265" s="30" t="s">
        <v>371</v>
      </c>
      <c r="X265" s="30" t="s">
        <v>371</v>
      </c>
      <c r="AA265" s="30" t="s">
        <v>371</v>
      </c>
    </row>
    <row r="266" spans="5:28" ht="15" hidden="1"/>
    <row r="267" spans="5:28" ht="15" hidden="1"/>
    <row r="268" spans="5:28" ht="15" hidden="1"/>
    <row r="269" spans="5:28" ht="15" hidden="1"/>
    <row r="270" spans="5:28" ht="15" hidden="1"/>
  </sheetData>
  <sheetProtection algorithmName="SHA-512" hashValue="zp0KEWEQh0adOlV2BxfNpmrHnev/xxnbSPPwODTyiX11r8bXdsFk+OZ0jnWemrnA8/2+1oReVZAE+DcT+Fp/pg==" saltValue="xzORp/QJRIqx9FhDze/aLQ==" spinCount="100000" sheet="1" objects="1" scenarios="1"/>
  <customSheetViews>
    <customSheetView guid="{8BDA793C-C9C5-4FC6-A0A5-F1109F6D4F22}" topLeftCell="B1">
      <pane ySplit="10" topLeftCell="A11" activePane="bottomLeft" state="frozen"/>
      <selection pane="bottomLeft"/>
    </customSheetView>
  </customSheetViews>
  <mergeCells count="30">
    <mergeCell ref="E261:E262"/>
    <mergeCell ref="I261:J261"/>
    <mergeCell ref="I262:J262"/>
    <mergeCell ref="AA9:AA10"/>
    <mergeCell ref="U2:Y5"/>
    <mergeCell ref="H4:K4"/>
    <mergeCell ref="O2:T3"/>
    <mergeCell ref="H2:L2"/>
    <mergeCell ref="Y9:Z9"/>
    <mergeCell ref="H6:K6"/>
    <mergeCell ref="L9:N9"/>
    <mergeCell ref="O9:T9"/>
    <mergeCell ref="U9:X9"/>
    <mergeCell ref="U6:X6"/>
    <mergeCell ref="AC9:AD9"/>
    <mergeCell ref="D3:E4"/>
    <mergeCell ref="D2:E2"/>
    <mergeCell ref="H9:H10"/>
    <mergeCell ref="G9:G10"/>
    <mergeCell ref="F9:F10"/>
    <mergeCell ref="D9:D10"/>
    <mergeCell ref="E9:E10"/>
    <mergeCell ref="D8:X8"/>
    <mergeCell ref="K9:K10"/>
    <mergeCell ref="J9:J10"/>
    <mergeCell ref="I9:I10"/>
    <mergeCell ref="O5:T6"/>
    <mergeCell ref="H5:K5"/>
    <mergeCell ref="AB9:AB10"/>
    <mergeCell ref="H3:K3"/>
  </mergeCells>
  <conditionalFormatting sqref="Y11:Y256">
    <cfRule type="containsText" dxfId="577" priority="55" operator="containsText" text="Existing Value Not Required">
      <formula>NOT(ISERROR(SEARCH("Existing Value Not Required",Y11)))</formula>
    </cfRule>
    <cfRule type="containsText" dxfId="576" priority="56" operator="containsText" text="Existing Value Required">
      <formula>NOT(ISERROR(SEARCH("Existing Value Required",Y11)))</formula>
    </cfRule>
  </conditionalFormatting>
  <conditionalFormatting sqref="K11:K256">
    <cfRule type="containsText" dxfId="575" priority="54" operator="containsText" text="Not Possible">
      <formula>NOT(ISERROR(SEARCH("Not Possible",K11)))</formula>
    </cfRule>
  </conditionalFormatting>
  <conditionalFormatting sqref="Y12 Y24:Y256 Y14 Y16 Y18 Y20 Y22">
    <cfRule type="containsText" dxfId="574" priority="49" operator="containsText" text="Existing Value Not Required">
      <formula>NOT(ISERROR(SEARCH("Existing Value Not Required",Y12)))</formula>
    </cfRule>
    <cfRule type="containsText" dxfId="573" priority="50" operator="containsText" text="Existing Value Required">
      <formula>NOT(ISERROR(SEARCH("Existing Value Required",Y12)))</formula>
    </cfRule>
  </conditionalFormatting>
  <conditionalFormatting sqref="AA257:AB257 AA11:AA256">
    <cfRule type="containsText" dxfId="572" priority="45" operator="containsText" text="Existing Value Not Required">
      <formula>NOT(ISERROR(SEARCH("Existing Value Not Required",AA11)))</formula>
    </cfRule>
    <cfRule type="containsText" dxfId="571" priority="46" operator="containsText" text="Existing Value Required">
      <formula>NOT(ISERROR(SEARCH("Existing Value Required",AA11)))</formula>
    </cfRule>
  </conditionalFormatting>
  <conditionalFormatting sqref="M11:N256">
    <cfRule type="containsText" dxfId="570" priority="42" operator="containsText" text="Spatial ">
      <formula>NOT(ISERROR(SEARCH("Spatial ",M11)))</formula>
    </cfRule>
  </conditionalFormatting>
  <conditionalFormatting sqref="O11:O256">
    <cfRule type="containsText" dxfId="569" priority="41" operator="containsText" text="30+">
      <formula>NOT(ISERROR(SEARCH("30+",O11)))</formula>
    </cfRule>
  </conditionalFormatting>
  <conditionalFormatting sqref="Y11:AA11 AA257:AB257 AA11:AA256 Y12:Z256">
    <cfRule type="containsText" dxfId="568" priority="38" operator="containsText" text="Check">
      <formula>NOT(ISERROR(SEARCH("Check",Y11)))</formula>
    </cfRule>
    <cfRule type="containsText" dxfId="567" priority="39" operator="containsText" text="Error">
      <formula>NOT(ISERROR(SEARCH("Error",Y11)))</formula>
    </cfRule>
  </conditionalFormatting>
  <conditionalFormatting sqref="Z11:Z256">
    <cfRule type="containsText" dxfId="566" priority="37" operator="containsText" text="Spatial">
      <formula>NOT(ISERROR(SEARCH("Spatial",Z11)))</formula>
    </cfRule>
  </conditionalFormatting>
  <conditionalFormatting sqref="O2 O5 S4">
    <cfRule type="beginsWith" dxfId="565" priority="35" operator="beginsWith" text="Note">
      <formula>LEFT(O2,LEN("Note"))="Note"</formula>
    </cfRule>
  </conditionalFormatting>
  <conditionalFormatting sqref="O5">
    <cfRule type="containsText" dxfId="564" priority="34" operator="containsText" text="Check">
      <formula>NOT(ISERROR(SEARCH("Check",O5)))</formula>
    </cfRule>
  </conditionalFormatting>
  <conditionalFormatting sqref="S11:S256">
    <cfRule type="containsText" dxfId="563" priority="33" operator="containsText" text="30+">
      <formula>NOT(ISERROR(SEARCH("30+",S11)))</formula>
    </cfRule>
  </conditionalFormatting>
  <conditionalFormatting sqref="V11:V256">
    <cfRule type="containsText" dxfId="562" priority="31" operator="containsText" text="No - Low Difficulty">
      <formula>NOT(ISERROR(SEARCH("No - Low Difficulty",V11)))</formula>
    </cfRule>
  </conditionalFormatting>
  <conditionalFormatting sqref="R11:X11 S11:S255 R12:W256">
    <cfRule type="containsText" dxfId="561" priority="30" operator="containsText" text="Error">
      <formula>NOT(ISERROR(SEARCH("Error",R11)))</formula>
    </cfRule>
    <cfRule type="containsText" dxfId="560" priority="32" operator="containsText" text="Check">
      <formula>NOT(ISERROR(SEARCH("Check",R11)))</formula>
    </cfRule>
  </conditionalFormatting>
  <conditionalFormatting sqref="X12:X256">
    <cfRule type="containsText" dxfId="559" priority="20" operator="containsText" text="Error">
      <formula>NOT(ISERROR(SEARCH("Error",X12)))</formula>
    </cfRule>
    <cfRule type="containsText" dxfId="558" priority="21" operator="containsText" text="Check">
      <formula>NOT(ISERROR(SEARCH("Check",X12)))</formula>
    </cfRule>
  </conditionalFormatting>
  <conditionalFormatting sqref="L3">
    <cfRule type="containsText" dxfId="557" priority="18" operator="containsText" text="Error">
      <formula>NOT(ISERROR(SEARCH("Error",L3)))</formula>
    </cfRule>
    <cfRule type="containsText" dxfId="556" priority="19" operator="containsText" text="Check">
      <formula>NOT(ISERROR(SEARCH("Check",L3)))</formula>
    </cfRule>
  </conditionalFormatting>
  <conditionalFormatting sqref="L4">
    <cfRule type="containsText" dxfId="555" priority="2" operator="containsText" text="Error">
      <formula>NOT(ISERROR(SEARCH("Error",L4)))</formula>
    </cfRule>
    <cfRule type="containsText" dxfId="554" priority="3" operator="containsText" text="Check">
      <formula>NOT(ISERROR(SEARCH("Check",L4)))</formula>
    </cfRule>
    <cfRule type="cellIs" dxfId="553" priority="4" operator="equal">
      <formula>0</formula>
    </cfRule>
  </conditionalFormatting>
  <conditionalFormatting sqref="L5">
    <cfRule type="containsText" dxfId="552" priority="14" operator="containsText" text="No">
      <formula>NOT(ISERROR(SEARCH("No",L5)))</formula>
    </cfRule>
    <cfRule type="containsText" dxfId="551" priority="15" operator="containsText" text="Yes">
      <formula>NOT(ISERROR(SEARCH("Yes",L5)))</formula>
    </cfRule>
  </conditionalFormatting>
  <conditionalFormatting sqref="L6:N6">
    <cfRule type="containsText" dxfId="550" priority="12" operator="containsText" text=" 🗸">
      <formula>NOT(ISERROR(SEARCH(" 🗸",L6)))</formula>
    </cfRule>
    <cfRule type="containsText" dxfId="549" priority="13" operator="containsText" text="▲">
      <formula>NOT(ISERROR(SEARCH("▲",L6)))</formula>
    </cfRule>
  </conditionalFormatting>
  <conditionalFormatting sqref="U2:Y5">
    <cfRule type="containsText" dxfId="548" priority="11" operator="containsText" text="Check">
      <formula>NOT(ISERROR(SEARCH("Check",U2)))</formula>
    </cfRule>
  </conditionalFormatting>
  <conditionalFormatting sqref="AB11:AB256">
    <cfRule type="containsText" dxfId="547" priority="9" operator="containsText" text="Existing Value Not Required">
      <formula>NOT(ISERROR(SEARCH("Existing Value Not Required",AB11)))</formula>
    </cfRule>
    <cfRule type="containsText" dxfId="546" priority="10" operator="containsText" text="Existing Value Required">
      <formula>NOT(ISERROR(SEARCH("Existing Value Required",AB11)))</formula>
    </cfRule>
  </conditionalFormatting>
  <conditionalFormatting sqref="AB11:AB256">
    <cfRule type="containsText" dxfId="545" priority="7" operator="containsText" text="Check">
      <formula>NOT(ISERROR(SEARCH("Check",AB11)))</formula>
    </cfRule>
    <cfRule type="containsText" dxfId="544" priority="8" operator="containsText" text="Error">
      <formula>NOT(ISERROR(SEARCH("Error",AB11)))</formula>
    </cfRule>
  </conditionalFormatting>
  <conditionalFormatting sqref="U6:X6">
    <cfRule type="containsText" dxfId="543" priority="6" operator="containsText" text=" ⚠">
      <formula>NOT(ISERROR(SEARCH(" ⚠",U6)))</formula>
    </cfRule>
  </conditionalFormatting>
  <conditionalFormatting sqref="L4">
    <cfRule type="cellIs" dxfId="542" priority="429" operator="lessThan">
      <formula>0</formula>
    </cfRule>
  </conditionalFormatting>
  <conditionalFormatting sqref="L3:L6">
    <cfRule type="containsText" dxfId="541" priority="1" operator="containsText" text="N/A">
      <formula>NOT(ISERROR(SEARCH("N/A",L3)))</formula>
    </cfRule>
  </conditionalFormatting>
  <dataValidations count="4">
    <dataValidation type="list" allowBlank="1" showInputMessage="1" showErrorMessage="1" sqref="E11:E256" xr:uid="{00000000-0002-0000-0C00-000000000000}">
      <formula1>INDIRECT(C11)</formula1>
    </dataValidation>
    <dataValidation allowBlank="1" showErrorMessage="1" errorTitle="Invalid Habitat" error="Select from List" sqref="F11:F256" xr:uid="{00000000-0002-0000-0C00-000001000000}"/>
    <dataValidation type="list" allowBlank="1" showInputMessage="1" showErrorMessage="1" sqref="J11:J256" xr:uid="{00000000-0002-0000-0C00-000002000000}">
      <formula1>INDIRECT(A11)</formula1>
    </dataValidation>
    <dataValidation type="list" allowBlank="1" showInputMessage="1" showErrorMessage="1" sqref="G261" xr:uid="{22CC9972-899C-4516-9FB4-F9F5BA74E17A}">
      <formula1>"Hectares, M²"</formula1>
    </dataValidation>
  </dataValidations>
  <pageMargins left="0.7" right="0.7" top="0.75" bottom="0.75" header="0.3" footer="0.3"/>
  <pageSetup paperSize="9" orientation="portrait" horizontalDpi="90" verticalDpi="90" r:id="rId1"/>
  <drawing r:id="rId2"/>
  <extLst>
    <ext xmlns:x14="http://schemas.microsoft.com/office/spreadsheetml/2009/9/main" uri="{78C0D931-6437-407d-A8EE-F0AAD7539E65}">
      <x14:conditionalFormattings>
        <x14:conditionalFormatting xmlns:xm="http://schemas.microsoft.com/office/excel/2006/main">
          <x14:cfRule type="iconSet" priority="23" id="{097653FD-9135-4796-B0DA-41086E3436C0}">
            <x14:iconSet iconSet="3Symbols" custom="1">
              <x14:cfvo type="percent">
                <xm:f>0</xm:f>
              </x14:cfvo>
              <x14:cfvo type="num" gte="0">
                <xm:f>0</xm:f>
              </x14:cfvo>
              <x14:cfvo type="num" gte="0">
                <xm:f>30</xm:f>
              </x14:cfvo>
              <x14:cfIcon iconSet="NoIcons" iconId="0"/>
              <x14:cfIcon iconSet="NoIcons" iconId="0"/>
              <x14:cfIcon iconSet="3Symbols" iconId="1"/>
            </x14:iconSet>
          </x14:cfRule>
          <xm:sqref>O11:O256</xm:sqref>
        </x14:conditionalFormatting>
        <x14:conditionalFormatting xmlns:xm="http://schemas.microsoft.com/office/excel/2006/main">
          <x14:cfRule type="iconSet" priority="22" id="{E9B186DB-103D-4748-B01C-78DAB61D9739}">
            <x14:iconSet iconSet="3Symbols" custom="1">
              <x14:cfvo type="percent">
                <xm:f>0</xm:f>
              </x14:cfvo>
              <x14:cfvo type="num" gte="0">
                <xm:f>0</xm:f>
              </x14:cfvo>
              <x14:cfvo type="num" gte="0">
                <xm:f>30</xm:f>
              </x14:cfvo>
              <x14:cfIcon iconSet="NoIcons" iconId="0"/>
              <x14:cfIcon iconSet="NoIcons" iconId="0"/>
              <x14:cfIcon iconSet="3Symbols" iconId="1"/>
            </x14:iconSet>
          </x14:cfRule>
          <xm:sqref>S11:S256</xm:sqref>
        </x14:conditionalFormatting>
        <x14:conditionalFormatting xmlns:xm="http://schemas.microsoft.com/office/excel/2006/main">
          <x14:cfRule type="cellIs" priority="430" operator="lessThan" id="{9FB64BC4-5452-406E-BB69-69551A90F2C1}">
            <xm:f>Start!$F$22</xm:f>
            <x14:dxf>
              <font>
                <color rgb="FF383745"/>
              </font>
              <fill>
                <patternFill>
                  <bgColor rgb="FFFFC000"/>
                </patternFill>
              </fill>
            </x14:dxf>
          </x14:cfRule>
          <x14:cfRule type="cellIs" priority="431" operator="greaterThanOrEqual" id="{6A83157F-A273-479A-ACE3-D1C3CD42053F}">
            <xm:f>Start!$F$22</xm:f>
            <x14:dxf>
              <font>
                <color rgb="FF383745"/>
              </font>
              <fill>
                <patternFill>
                  <bgColor rgb="FF92D050"/>
                </patternFill>
              </fill>
            </x14:dxf>
          </x14:cfRule>
          <xm:sqref>L4</xm:sqref>
        </x14:conditionalFormatting>
      </x14:conditionalFormattings>
    </ext>
    <ext xmlns:x14="http://schemas.microsoft.com/office/spreadsheetml/2009/9/main" uri="{CCE6A557-97BC-4b89-ADB6-D9C93CAAB3DF}">
      <x14:dataValidations xmlns:xm="http://schemas.microsoft.com/office/excel/2006/main" count="5">
        <x14:dataValidation type="list" allowBlank="1" showInputMessage="1" showErrorMessage="1" xr:uid="{00000000-0002-0000-0C00-000003000000}">
          <x14:formula1>
            <xm:f>'G-3 Multipliers'!$L$4:$L$6</xm:f>
          </x14:formula1>
          <xm:sqref>L11:L256</xm:sqref>
        </x14:dataValidation>
        <x14:dataValidation type="list" allowBlank="1" showInputMessage="1" showErrorMessage="1" xr:uid="{00000000-0002-0000-0C00-000006000000}">
          <x14:formula1>
            <xm:f>'G-4 Temporal multipliers'!$A$42:$A$75</xm:f>
          </x14:formula1>
          <xm:sqref>Q11:Q256</xm:sqref>
        </x14:dataValidation>
        <x14:dataValidation type="list" allowBlank="1" showInputMessage="1" showErrorMessage="1" xr:uid="{9F42BFD8-BCC2-4474-AB7B-AD07B16F507A}">
          <x14:formula1>
            <xm:f>'G-4 Temporal multipliers'!$A$42:$A$73</xm:f>
          </x14:formula1>
          <xm:sqref>P11:P256</xm:sqref>
        </x14:dataValidation>
        <x14:dataValidation type="list" allowBlank="1" showInputMessage="1" showErrorMessage="1" xr:uid="{9E1F3AED-34B7-48A0-B915-8887F0ED9949}">
          <x14:formula1>
            <xm:f>'G-1 All Habitats'!$AF$3:$AF$17</xm:f>
          </x14:formula1>
          <xm:sqref>D11:D256</xm:sqref>
        </x14:dataValidation>
        <x14:dataValidation type="list" allowBlank="1" showInputMessage="1" showErrorMessage="1" xr:uid="{00000000-0002-0000-0C00-000004000000}">
          <x14:formula1>
            <xm:f>'G-3 Multipliers'!$S$4:$S$10</xm:f>
          </x14:formula1>
          <xm:sqref>Y11:Y256</xm:sqref>
        </x14:dataValidation>
      </x14:dataValidations>
    </ext>
  </extLs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26">
    <tabColor rgb="FF006600"/>
  </sheetPr>
  <dimension ref="A1:AU269"/>
  <sheetViews>
    <sheetView topLeftCell="E1" zoomScale="80" zoomScaleNormal="80" workbookViewId="0">
      <pane ySplit="11" topLeftCell="A12" activePane="bottomLeft" state="frozen"/>
      <selection pane="bottomLeft" activeCell="E1" sqref="E1"/>
    </sheetView>
  </sheetViews>
  <sheetFormatPr defaultColWidth="8.7109375" defaultRowHeight="15" zeroHeight="1"/>
  <cols>
    <col min="1" max="1" width="8.42578125" style="30" hidden="1" customWidth="1"/>
    <col min="2" max="2" width="7.5703125" style="30" hidden="1" customWidth="1"/>
    <col min="3" max="3" width="25.7109375" style="30" hidden="1" customWidth="1"/>
    <col min="4" max="4" width="13.42578125" style="30" hidden="1" customWidth="1"/>
    <col min="5" max="5" width="12.28515625" style="30" customWidth="1"/>
    <col min="6" max="6" width="73.42578125" style="30" customWidth="1"/>
    <col min="7" max="7" width="9.5703125" style="30" customWidth="1"/>
    <col min="8" max="8" width="18.28515625" style="30" customWidth="1"/>
    <col min="9" max="9" width="19.28515625" style="30" customWidth="1"/>
    <col min="10" max="10" width="18.28515625" style="30" customWidth="1"/>
    <col min="11" max="11" width="19.28515625" style="30" customWidth="1"/>
    <col min="12" max="12" width="22.28515625" style="30" customWidth="1"/>
    <col min="13" max="13" width="21.5703125" style="30" customWidth="1"/>
    <col min="14" max="14" width="19.28515625" style="30" customWidth="1"/>
    <col min="15" max="15" width="29.7109375" style="30" customWidth="1"/>
    <col min="16" max="16" width="25.7109375" style="30" hidden="1" customWidth="1"/>
    <col min="17" max="17" width="29.7109375" style="30" customWidth="1"/>
    <col min="18" max="18" width="71.28515625" style="30" customWidth="1"/>
    <col min="19" max="19" width="15.7109375" style="30" hidden="1" customWidth="1"/>
    <col min="20" max="20" width="34.28515625" style="30" customWidth="1"/>
    <col min="21" max="21" width="37.7109375" style="30" customWidth="1"/>
    <col min="22" max="22" width="8.28515625" style="30" customWidth="1"/>
    <col min="23" max="23" width="18.28515625" style="30" customWidth="1"/>
    <col min="24" max="24" width="13.28515625" style="30" customWidth="1"/>
    <col min="25" max="25" width="12.5703125" style="30" bestFit="1" customWidth="1"/>
    <col min="26" max="26" width="12.5703125" style="30" customWidth="1"/>
    <col min="27" max="27" width="41.7109375" style="30" customWidth="1"/>
    <col min="28" max="28" width="20.28515625" style="30" customWidth="1"/>
    <col min="29" max="29" width="12.28515625" style="30" customWidth="1"/>
    <col min="30" max="30" width="18.42578125" style="30" customWidth="1"/>
    <col min="31" max="31" width="21.28515625" style="30" customWidth="1"/>
    <col min="32" max="32" width="22.28515625" style="30" customWidth="1"/>
    <col min="33" max="33" width="33" style="30" customWidth="1"/>
    <col min="34" max="35" width="18.42578125" style="30" customWidth="1"/>
    <col min="36" max="36" width="15.28515625" style="30" customWidth="1"/>
    <col min="37" max="37" width="28.28515625" style="30" customWidth="1"/>
    <col min="38" max="38" width="20.28515625" style="30" customWidth="1"/>
    <col min="39" max="39" width="13.5703125" style="30" customWidth="1"/>
    <col min="40" max="40" width="91.42578125" style="30" customWidth="1"/>
    <col min="41" max="41" width="15.42578125" style="30" customWidth="1"/>
    <col min="42" max="42" width="12.42578125" style="30" hidden="1" customWidth="1"/>
    <col min="43" max="43" width="13.28515625" style="30" customWidth="1"/>
    <col min="44" max="44" width="45.7109375" style="30" customWidth="1"/>
    <col min="45" max="45" width="50.42578125" style="30" customWidth="1"/>
    <col min="46" max="46" width="15.5703125" style="30" customWidth="1"/>
    <col min="47" max="47" width="17.7109375" style="30" customWidth="1"/>
    <col min="48" max="48" width="8.7109375" style="30" customWidth="1"/>
    <col min="49" max="16384" width="8.7109375" style="30"/>
  </cols>
  <sheetData>
    <row r="1" spans="1:47" ht="15.75" customHeight="1" thickBot="1"/>
    <row r="2" spans="1:47" ht="19.899999999999999" customHeight="1" thickBot="1">
      <c r="E2" s="1554" t="str">
        <f>CONCATENATE("Project Name:", " ", Start!F12, "     ", "Map Reference:", " ", Start!K66)</f>
        <v xml:space="preserve">Project Name: Grove Farm Solar     Map Reference: </v>
      </c>
      <c r="F2" s="1555"/>
      <c r="G2" s="1556"/>
      <c r="R2" s="1404" t="s">
        <v>262</v>
      </c>
      <c r="S2" s="1405"/>
      <c r="T2" s="1405"/>
      <c r="U2" s="1406"/>
      <c r="V2" s="1518" t="str" cm="1">
        <f t="array" ref="V2">IF(OR(Y12:Y258 = "Fairly Good", Y12:Y258 = "Fairly Poor"),"A 'Fairly' Category has been used - check evidence to ensure this is appropriate ⚠", "")</f>
        <v/>
      </c>
      <c r="W2" s="1518"/>
      <c r="X2" s="1518"/>
      <c r="Y2" s="1518"/>
      <c r="Z2" s="1518"/>
      <c r="AA2" s="1518"/>
      <c r="AD2" s="1464" t="str">
        <f>IF(OR(COUNTIF($AD$12:AD257,"*30+*")&gt;0,COUNTIF(AH12:AH257,"*30+*")&gt;0),"Note; Habitat selected has a time to target condition greater than 30 years. Non standard agreement may be required. ⚠","")</f>
        <v/>
      </c>
      <c r="AE2" s="1464"/>
      <c r="AF2" s="1464"/>
      <c r="AG2" s="1464"/>
      <c r="AH2" s="1464"/>
      <c r="AI2" s="1464"/>
    </row>
    <row r="3" spans="1:47" ht="15.75" customHeight="1" thickBot="1">
      <c r="E3" s="1557" t="str">
        <f ca="1">MID(CELL("filename",E1),FIND("]",CELL("filename",E1))+1,256)</f>
        <v>D-3 Off-Site Habitat Enhancment</v>
      </c>
      <c r="F3" s="1558"/>
      <c r="G3" s="1559"/>
      <c r="R3" s="535" t="s">
        <v>263</v>
      </c>
      <c r="S3" s="505"/>
      <c r="T3" s="1501">
        <f>'Headline Results'!H47</f>
        <v>97.897490402123225</v>
      </c>
      <c r="U3" s="1502"/>
      <c r="V3" s="1518"/>
      <c r="W3" s="1518"/>
      <c r="X3" s="1518"/>
      <c r="Y3" s="1518"/>
      <c r="Z3" s="1518"/>
      <c r="AA3" s="1518"/>
      <c r="AD3" s="1464"/>
      <c r="AE3" s="1464"/>
      <c r="AF3" s="1464"/>
      <c r="AG3" s="1464"/>
      <c r="AH3" s="1464"/>
      <c r="AI3" s="1464"/>
    </row>
    <row r="4" spans="1:47" ht="15.75" customHeight="1" thickBot="1">
      <c r="E4" s="1557"/>
      <c r="F4" s="1558"/>
      <c r="G4" s="1559"/>
      <c r="R4" s="506" t="s">
        <v>265</v>
      </c>
      <c r="S4" s="507"/>
      <c r="T4" s="1577">
        <f>'Headline Results'!H51</f>
        <v>1.012467323068333</v>
      </c>
      <c r="U4" s="1578"/>
      <c r="V4" s="1518"/>
      <c r="W4" s="1518"/>
      <c r="X4" s="1518"/>
      <c r="Y4" s="1518"/>
      <c r="Z4" s="1518"/>
      <c r="AA4" s="1518"/>
      <c r="AB4" s="31"/>
      <c r="AC4" s="158"/>
      <c r="AD4" s="331"/>
      <c r="AE4" s="331"/>
      <c r="AF4" s="331"/>
      <c r="AG4" s="331"/>
      <c r="AH4" s="158"/>
      <c r="AI4" s="158"/>
      <c r="AJ4" s="158"/>
      <c r="AK4" s="158"/>
      <c r="AL4" s="158"/>
      <c r="AM4" s="158"/>
      <c r="AN4" s="158"/>
    </row>
    <row r="5" spans="1:47" ht="15" customHeight="1" thickBot="1">
      <c r="R5" s="536" t="s">
        <v>267</v>
      </c>
      <c r="S5" s="508"/>
      <c r="T5" s="1579" t="str" cm="1">
        <f t="array" ref="T5">IF(OR('Trading Summary Area Habitats'!G5:G8="No ▲"), "No - check trading summaries ▲", "Yes ✓")</f>
        <v>Yes ✓</v>
      </c>
      <c r="U5" s="1580"/>
      <c r="V5" s="1518"/>
      <c r="W5" s="1518"/>
      <c r="X5" s="1518"/>
      <c r="Y5" s="1518"/>
      <c r="Z5" s="1518"/>
      <c r="AA5" s="1518"/>
      <c r="AD5" s="1497" t="str">
        <f>IF(Q12&lt;&gt;A12,"Change in broad habitat type detected. Check compliance with guidance.","")</f>
        <v/>
      </c>
      <c r="AE5" s="1497"/>
      <c r="AF5" s="1497"/>
      <c r="AG5" s="1497"/>
      <c r="AH5" s="1497"/>
      <c r="AI5" s="1497"/>
    </row>
    <row r="6" spans="1:47" ht="15.75" customHeight="1">
      <c r="R6" s="1553" t="str" cm="1">
        <f t="array" ref="R6">IF(OR(E11:E258="watercourse footprint"),"Please ensure the watercourse details for any watercourse footprints recorded are included in the watercourse tabs ⚠","")</f>
        <v/>
      </c>
      <c r="S6" s="1553"/>
      <c r="T6" s="1553"/>
      <c r="AD6" s="1497"/>
      <c r="AE6" s="1497"/>
      <c r="AF6" s="1497"/>
      <c r="AG6" s="1497"/>
      <c r="AH6" s="1497"/>
      <c r="AI6" s="1497"/>
    </row>
    <row r="7" spans="1:47">
      <c r="F7" s="102"/>
      <c r="G7" s="101"/>
      <c r="R7" s="1553"/>
      <c r="S7" s="1553"/>
      <c r="T7" s="1553"/>
    </row>
    <row r="8" spans="1:47" ht="15.75" thickBot="1">
      <c r="R8" s="1581"/>
      <c r="S8" s="1581"/>
      <c r="T8" s="1581"/>
    </row>
    <row r="9" spans="1:47" ht="15.75" thickBot="1">
      <c r="F9" s="101"/>
      <c r="G9" s="101"/>
      <c r="H9" s="101"/>
      <c r="I9" s="101"/>
      <c r="J9" s="101"/>
      <c r="K9" s="101"/>
      <c r="L9" s="101"/>
      <c r="M9" s="101"/>
      <c r="N9" s="101"/>
      <c r="O9" s="101"/>
      <c r="P9" s="101"/>
      <c r="Q9" s="1542" t="s">
        <v>311</v>
      </c>
      <c r="R9" s="1543"/>
      <c r="S9" s="1543"/>
      <c r="T9" s="1543"/>
      <c r="U9" s="1543"/>
      <c r="V9" s="1543"/>
      <c r="W9" s="1543"/>
      <c r="X9" s="1543"/>
      <c r="Y9" s="1543"/>
      <c r="Z9" s="1543"/>
      <c r="AA9" s="1543"/>
      <c r="AB9" s="1543"/>
      <c r="AC9" s="1543"/>
      <c r="AD9" s="1543"/>
      <c r="AE9" s="1543"/>
      <c r="AF9" s="1543"/>
      <c r="AG9" s="1543"/>
      <c r="AH9" s="1543"/>
      <c r="AI9" s="1543"/>
      <c r="AJ9" s="1543"/>
      <c r="AK9" s="1543"/>
      <c r="AL9" s="1543"/>
      <c r="AM9" s="1543"/>
      <c r="AN9" s="1543"/>
      <c r="AO9" s="1544"/>
    </row>
    <row r="10" spans="1:47" ht="30.6" customHeight="1" thickBot="1">
      <c r="F10" s="1560" t="s">
        <v>332</v>
      </c>
      <c r="G10" s="1562"/>
      <c r="H10" s="1562"/>
      <c r="I10" s="1562"/>
      <c r="J10" s="1562"/>
      <c r="K10" s="1562"/>
      <c r="L10" s="1562"/>
      <c r="M10" s="1562"/>
      <c r="N10" s="1562"/>
      <c r="O10" s="1563"/>
      <c r="P10" s="183"/>
      <c r="Q10" s="1560" t="s">
        <v>372</v>
      </c>
      <c r="R10" s="1563"/>
      <c r="S10" s="751"/>
      <c r="T10" s="1560" t="s">
        <v>334</v>
      </c>
      <c r="U10" s="1563"/>
      <c r="V10" s="1571" t="s">
        <v>373</v>
      </c>
      <c r="W10" s="1568" t="s">
        <v>269</v>
      </c>
      <c r="X10" s="1568" t="s">
        <v>286</v>
      </c>
      <c r="Y10" s="1568" t="s">
        <v>270</v>
      </c>
      <c r="Z10" s="1566" t="s">
        <v>286</v>
      </c>
      <c r="AA10" s="1564" t="s">
        <v>271</v>
      </c>
      <c r="AB10" s="1565"/>
      <c r="AC10" s="1561"/>
      <c r="AD10" s="1573" t="s">
        <v>314</v>
      </c>
      <c r="AE10" s="1574"/>
      <c r="AF10" s="1574"/>
      <c r="AG10" s="1574"/>
      <c r="AH10" s="1574"/>
      <c r="AI10" s="1575"/>
      <c r="AJ10" s="1573" t="s">
        <v>315</v>
      </c>
      <c r="AK10" s="1574"/>
      <c r="AL10" s="1574"/>
      <c r="AM10" s="1575"/>
      <c r="AN10" s="1560" t="s">
        <v>358</v>
      </c>
      <c r="AO10" s="1561"/>
      <c r="AP10" s="1537" t="s">
        <v>374</v>
      </c>
      <c r="AQ10" s="1537" t="s">
        <v>316</v>
      </c>
      <c r="AR10" s="1542" t="s">
        <v>276</v>
      </c>
      <c r="AS10" s="1544"/>
    </row>
    <row r="11" spans="1:47" ht="65.099999999999994" customHeight="1" thickBot="1">
      <c r="A11" s="101" t="s">
        <v>282</v>
      </c>
      <c r="B11" s="101" t="s">
        <v>338</v>
      </c>
      <c r="C11" s="101" t="s">
        <v>280</v>
      </c>
      <c r="E11" s="140" t="s">
        <v>339</v>
      </c>
      <c r="F11" s="145" t="s">
        <v>340</v>
      </c>
      <c r="G11" s="145" t="s">
        <v>329</v>
      </c>
      <c r="H11" s="145" t="s">
        <v>342</v>
      </c>
      <c r="I11" s="145" t="s">
        <v>343</v>
      </c>
      <c r="J11" s="145" t="s">
        <v>344</v>
      </c>
      <c r="K11" s="145" t="s">
        <v>345</v>
      </c>
      <c r="L11" s="145" t="s">
        <v>346</v>
      </c>
      <c r="M11" s="145" t="s">
        <v>347</v>
      </c>
      <c r="N11" s="145" t="s">
        <v>348</v>
      </c>
      <c r="O11" s="144" t="s">
        <v>272</v>
      </c>
      <c r="P11" s="857" t="s">
        <v>369</v>
      </c>
      <c r="Q11" s="140" t="s">
        <v>350</v>
      </c>
      <c r="R11" s="144" t="s">
        <v>375</v>
      </c>
      <c r="S11" s="719" t="s">
        <v>376</v>
      </c>
      <c r="T11" s="140" t="s">
        <v>351</v>
      </c>
      <c r="U11" s="144" t="s">
        <v>352</v>
      </c>
      <c r="V11" s="1572"/>
      <c r="W11" s="1569"/>
      <c r="X11" s="1569"/>
      <c r="Y11" s="1569"/>
      <c r="Z11" s="1567"/>
      <c r="AA11" s="132" t="s">
        <v>271</v>
      </c>
      <c r="AB11" s="811" t="s">
        <v>271</v>
      </c>
      <c r="AC11" s="752" t="s">
        <v>317</v>
      </c>
      <c r="AD11" s="132" t="s">
        <v>318</v>
      </c>
      <c r="AE11" s="811" t="s">
        <v>377</v>
      </c>
      <c r="AF11" s="811" t="s">
        <v>354</v>
      </c>
      <c r="AG11" s="811" t="s">
        <v>321</v>
      </c>
      <c r="AH11" s="811" t="s">
        <v>322</v>
      </c>
      <c r="AI11" s="752" t="s">
        <v>323</v>
      </c>
      <c r="AJ11" s="132" t="s">
        <v>378</v>
      </c>
      <c r="AK11" s="811" t="s">
        <v>325</v>
      </c>
      <c r="AL11" s="811" t="s">
        <v>379</v>
      </c>
      <c r="AM11" s="752" t="s">
        <v>327</v>
      </c>
      <c r="AN11" s="719" t="s">
        <v>361</v>
      </c>
      <c r="AO11" s="858" t="s">
        <v>358</v>
      </c>
      <c r="AP11" s="1576"/>
      <c r="AQ11" s="1570"/>
      <c r="AR11" s="140" t="s">
        <v>295</v>
      </c>
      <c r="AS11" s="145" t="s">
        <v>296</v>
      </c>
      <c r="AT11" s="43" t="s">
        <v>297</v>
      </c>
      <c r="AU11" s="43" t="s">
        <v>363</v>
      </c>
    </row>
    <row r="12" spans="1:47">
      <c r="A12" s="30" t="str">
        <f>IF(E12="","",IF(ISNA(VLOOKUP($E12,'D-1 Off-Site Habitat Baseline'!$D$1:$O$258,2,FALSE)),"",(VLOOKUP($E12,'D-1 Off-Site Habitat Baseline'!$D$1:$O$258,2,FALSE))))</f>
        <v/>
      </c>
      <c r="B12" s="30" t="str">
        <f>IF(E12="","",IF(ISNA(VLOOKUP($E12,'D-1 Off-Site Habitat Baseline'!$D$1:$O$258,3,FALSE)),"",(VLOOKUP($E12,'D-1 Off-Site Habitat Baseline'!$D$1:$O$258,3,FALSE))))</f>
        <v/>
      </c>
      <c r="C12" s="30" t="str">
        <f>IFERROR(INDEX('G-8 Condition Look up'!$I$4:$I$135,MATCH(S12,'G-8 Condition Look up'!$A$4:$A$135,0)),"")</f>
        <v/>
      </c>
      <c r="E12" s="854" t="str">
        <f>'D-1 Off-Site Habitat Baseline'!AP11</f>
        <v/>
      </c>
      <c r="F12" s="370" t="str">
        <f>IF(E12="","",IF(ISNA(VLOOKUP($E12,'D-1 Off-Site Habitat Baseline'!$D$1:$O$258,4,FALSE)),"",(VLOOKUP($E12,'D-1 Off-Site Habitat Baseline'!$D$1:$O$258,4,FALSE))))</f>
        <v/>
      </c>
      <c r="G12" s="370" t="str">
        <f>IF(E12="","",IF(ISNA(VLOOKUP($E12,'D-1 Off-Site Habitat Baseline'!$D$1:$O$258,5,FALSE)),"",(VLOOKUP($E12,'D-1 Off-Site Habitat Baseline'!$D$1:$O$258,5,FALSE))))</f>
        <v/>
      </c>
      <c r="H12" s="370" t="str">
        <f>IF(E12="","",IF(ISNA(VLOOKUP($E12,'D-1 Off-Site Habitat Baseline'!$D$1:$O$258,6,FALSE)),"",(VLOOKUP($E12,'D-1 Off-Site Habitat Baseline'!$D$1:$O$258,6,FALSE))))</f>
        <v/>
      </c>
      <c r="I12" s="370" t="str">
        <f>IF(E12="","",IF(ISNA(VLOOKUP($E12,'D-1 Off-Site Habitat Baseline'!$D$1:$O$258,7,FALSE)),"",(VLOOKUP($E12,'D-1 Off-Site Habitat Baseline'!$D$1:$O$258,7,FALSE))))</f>
        <v/>
      </c>
      <c r="J12" s="370" t="str">
        <f>IF(E12="","",IF(ISNA(VLOOKUP($E12,'D-1 Off-Site Habitat Baseline'!$D$1:$O$258,8,FALSE)),"",(VLOOKUP($E12,'D-1 Off-Site Habitat Baseline'!$D$1:$O$258,8,FALSE))))</f>
        <v/>
      </c>
      <c r="K12" s="370" t="str">
        <f>IF(E12="","",IF(ISNA(VLOOKUP($E12,'D-1 Off-Site Habitat Baseline'!$D$1:$O$258,9,FALSE)),"",(VLOOKUP($E12,'D-1 Off-Site Habitat Baseline'!$D$1:$O$258,9,FALSE))))</f>
        <v/>
      </c>
      <c r="L12" s="370" t="str">
        <f>IF(E12="","",IF(ISNA(VLOOKUP($E12,'D-1 Off-Site Habitat Baseline'!$D$1:$O$258,11,FALSE)),"",(VLOOKUP($E12,'D-1 Off-Site Habitat Baseline'!$D$1:$O$258,11,FALSE))))</f>
        <v/>
      </c>
      <c r="M12" s="370" t="str">
        <f>IF(E12="","",IF(ISNA(VLOOKUP($E12,'D-1 Off-Site Habitat Baseline'!$D$1:$O$258,12,FALSE)),"",(VLOOKUP($E12,'D-1 Off-Site Habitat Baseline'!$D$1:$O$258,12,FALSE))))</f>
        <v/>
      </c>
      <c r="N12" s="370" t="str">
        <f>IF(E12="","",IF(ISNA(VLOOKUP($E12,'D-1 Off-Site Habitat Baseline'!$D$1:$AA$258,14,FALSE)),"",(VLOOKUP($E12,'D-1 Off-Site Habitat Baseline'!$D$1:$AA$258,14,FALSE))))</f>
        <v/>
      </c>
      <c r="O12" s="363" t="str">
        <f>IF(E12="","",IF(ISNA(VLOOKUP($E12,'D-1 Off-Site Habitat Baseline'!$D$1:$AA$258,13,FALSE)),"",(VLOOKUP($E12,'D-1 Off-Site Habitat Baseline'!$D$1:$AA$258,13,FALSE))))</f>
        <v/>
      </c>
      <c r="P12" s="184" t="str">
        <f>IFERROR(INDEX('G-1 All Habitats'!$AG$3:$AG$17,MATCH(Q12,'G-1 All Habitats'!$AF$3:$AF$17,0)),"")</f>
        <v/>
      </c>
      <c r="Q12" s="855" t="str">
        <f t="shared" ref="Q12:Q76" si="0">A12</f>
        <v/>
      </c>
      <c r="R12" s="856" t="str">
        <f t="shared" ref="R12:R76" si="1">B12</f>
        <v/>
      </c>
      <c r="S12" s="187" t="str">
        <f>IFERROR(INDEX('G-1 All Habitats'!$B$3:$B$134,MATCH(R12,'G-1 All Habitats'!$A$3:$A$134,0)),"")</f>
        <v/>
      </c>
      <c r="T12" s="370" t="str">
        <f>IF(E12="","",IF(AND(LEFT(O12,6)="Same d",I12&gt;X12),"Error - Trading rules not satisfied ▲",IF(AND(LEFT(O12,6)="Same b",AND(LEFT(F12,5)&lt;&gt;LEFT(S12,5),I12&gt;X12)),"Error - Trading rules not satisfied ▲",IF(AND(LEFT(O12,6)="Same h",F12&lt;&gt;S12),"Error - Trading rules not satisfied ▲",IF(AND(LEFT(O12,6)="Bespok",F12&lt;&gt;S12),"Error - Trading rules not satisfied ▲",IF(X12&lt;I12,"Error Trading Down ▲",H12&amp;" - "&amp;W12))))))</f>
        <v/>
      </c>
      <c r="U12" s="363" t="str">
        <f>IF(F12="","",IF(AND(LEFT(F12,55)&lt;&gt;LEFT(S12,55),T12= "High - High"),"Error - Not like for like ▲",IF(AND(I12=X12,K12&gt;Z12),"Error - Can not reduce condition ▲",IF(K12&gt;Z12, "Error - condition cannot be reduced ▲", IF(AND(I12=X12,K12=Z12),"Error - No enhancement ▲",IF(X12&lt;I12,"Error Trading Down ▲",IF(AND(F12&lt;&gt;S12,I12&lt;X12),"Lower Distinctiveness Habitat"&amp;" - "&amp;Y12,J12&amp;" - "&amp;Y12)))))))</f>
        <v/>
      </c>
      <c r="V12" s="411" t="str">
        <f>IF(S12="","",VLOOKUP(E12,BaselineHabOffsite,20,FALSE))</f>
        <v/>
      </c>
      <c r="W12" s="370" t="str">
        <f>IF(S12="","",VLOOKUP(S12,'G-1 All Habitats'!$B$2:$M$134,10,FALSE))</f>
        <v/>
      </c>
      <c r="X12" s="370" t="str">
        <f>IFERROR(VLOOKUP(W12,'G-1 All Habitats'!$V$3:$W$7,2,FALSE),"")</f>
        <v/>
      </c>
      <c r="Y12" s="159"/>
      <c r="Z12" s="363" t="str">
        <f>IFERROR(INDEX('G-8 Condition Look up'!$A$3:$H$135,MATCH(S12,'G-8 Condition Look up'!$A$3:$A$135,0),MATCH(Y12,'G-8 Condition Look up'!$A$3:$H$3,0)),"")</f>
        <v/>
      </c>
      <c r="AA12" s="114"/>
      <c r="AB12" s="401" t="str">
        <f>IF(AA12="","",IF(VLOOKUP(AA12,'G-3 Multipliers'!$L$3:$N$6,2,FALSE)=0,"Spatial Data Missing ⚠",VLOOKUP(AA12,'G-3 Multipliers'!$L$3:$N$6,2,FALSE)))</f>
        <v/>
      </c>
      <c r="AC12" s="363" t="str">
        <f>IF(AA12="","",IF(VLOOKUP(AA12,'G-3 Multipliers'!$L$3:$N$6,3,FALSE)=0,"Spatial Data Missing ⚠",VLOOKUP(AA12,'G-3 Multipliers'!$L$3:$N$6,3,FALSE)))</f>
        <v/>
      </c>
      <c r="AD12" s="362" t="str">
        <f t="shared" ref="AD12:AD75" si="2">IFERROR(IF(OR(LEFT(U12,5)="Error",LEFT(T12,5)="Error"),"Check Data ⚠",INDEX(EnhanceTemporal,MATCH(S12,EnhanceHabitat,0),MATCH(U12,EnhanceCondition,0))),"")</f>
        <v/>
      </c>
      <c r="AE12" s="159"/>
      <c r="AF12" s="159"/>
      <c r="AG12" s="370" t="str">
        <f>IF(AD12="","",IF(AD12="Check Data ⚠","Check Data ⚠",IF(R12="","",IF(AND(AE12&gt;0,AF12&gt;0),"Error -both advance and delayed habitat creation ▲",IF(AND(OR(AE12="Habitat already in target condition",AD12&lt;=AE12),AF12=0),"Check details - Is there evidence that habitat has reached target condition? ⚠",IF(O11="","",IF(AE12&gt;0,"Check details - Is there evidence habitat creation started/in place? ⚠",IF(AF12&gt;0,"Check details- Delay in starting habitat in required condition? ⚠","Standard time to target condition applied"))))))))</f>
        <v/>
      </c>
      <c r="AH12" s="383" t="str">
        <f>IF(AG12="Error -both advance and delayed habitat creation ▲","Check Data ⚠",IF(AG12="Check Data ⚠","Check Data ⚠",IF(AD12="","",IF(AD12="Not Possible","CheckData ⚠",IF(AND(AD12="30+",AE12=0),"30+",IF(AND(AD12="30+",AE12="30+"),0,IF(AND(AD12="30+",AE12&lt;30),30-AE12,IF(AD12="30+",30-AE12,IF(AF12="30+","30+",IF(AE12&gt;AD12,0,IF(AD12+AF12&gt;30,"30+",IF(AD12+AF12&gt;30,"30+",IF(AD12-AE12&gt;30,"30+",IF(AD12+AF12-AE12&gt;0,AD12+AF12-AE12,IF(AD12-AE12&gt;0,AD12-AE12,AD12+AF12-AE12)))))))))))))))</f>
        <v/>
      </c>
      <c r="AI12" s="384" t="str">
        <f>IF(AH12="Check Data ⚠","Check Data ⚠",IFERROR(VLOOKUP(AH12,'G-4 Temporal multipliers'!$A$4:$C$36,3,FALSE),""))</f>
        <v/>
      </c>
      <c r="AJ12" s="362" t="str">
        <f>IF(S12="","",VLOOKUP(S12,'G-3 Multipliers'!$A$2:$E$134,4,FALSE))</f>
        <v/>
      </c>
      <c r="AK12" s="370" t="str">
        <f>IF(E12="","",IF(AG12="Check details - Is there evidence that habitat has reached target condition? ⚠","Low Difficulty - only applicable if all habitat created before losses","Standard difficulty applied"))</f>
        <v/>
      </c>
      <c r="AL12" s="370" t="str">
        <f>(IF(AND(AK12="Standard difficulty applied",AD12&gt;AE12),AJ12,IF(AND(AK12="Low Difficulty - only applicable if all habitat created before losses",AE12&gt;=AD12),"Low", AJ12)))</f>
        <v/>
      </c>
      <c r="AM12" s="363" t="str">
        <f>IFERROR(IF(F12="","",IF(AH12="Check Data ⚠","Check Data ⚠",VLOOKUP(AL12, 'G-3 Multipliers'!$P$2:$Q$6,2,FALSE))),"")</f>
        <v/>
      </c>
      <c r="AN12" s="516"/>
      <c r="AO12" s="417" t="str">
        <f>IF(AN12="","",IF(VLOOKUP(AN12,'G-3 Multipliers'!$S$3:$T$10,2,FALSE)=0,"Spatial Data Missing ⚠",VLOOKUP(AN12,'G-3 Multipliers'!$S$3:$T$10,2,FALSE)))</f>
        <v/>
      </c>
      <c r="AP12" s="376" t="str">
        <f>IFERROR(((((V12*X12*Z12)-(V12*I12*K12))*(AM12*AI12))+(V12*I12*K12))*(AC12)*AO12,"")</f>
        <v/>
      </c>
      <c r="AQ12" s="376" t="str">
        <f>IFERROR(IF(AN12="", "",((((V12*X12*Z12)-(V12*I12*K12))*(AM12*AI12))+(V12*I12*K12))*(AC12)),"")</f>
        <v/>
      </c>
      <c r="AR12" s="117"/>
      <c r="AS12" s="530"/>
      <c r="AT12" s="118"/>
      <c r="AU12" s="118"/>
    </row>
    <row r="13" spans="1:47">
      <c r="A13" s="30" t="str">
        <f>IF(E13="","",IF(ISNA(VLOOKUP($E13,'D-1 Off-Site Habitat Baseline'!$D$1:$O$258,2,FALSE)),"",(VLOOKUP($E13,'D-1 Off-Site Habitat Baseline'!$D$1:$O$258,2,FALSE))))</f>
        <v/>
      </c>
      <c r="B13" s="30" t="str">
        <f>IF(E13="","",IF(ISNA(VLOOKUP($E13,'D-1 Off-Site Habitat Baseline'!$D$1:$O$258,3,FALSE)),"",(VLOOKUP($E13,'D-1 Off-Site Habitat Baseline'!$D$1:$O$258,3,FALSE))))</f>
        <v/>
      </c>
      <c r="C13" s="30" t="str">
        <f>IFERROR(INDEX('G-8 Condition Look up'!$I$4:$I$135,MATCH(S13,'G-8 Condition Look up'!$A$4:$A$135,0)),"")</f>
        <v/>
      </c>
      <c r="E13" s="407" t="str">
        <f>'D-1 Off-Site Habitat Baseline'!AP12</f>
        <v/>
      </c>
      <c r="F13" s="382" t="str">
        <f>IF(E13="","",IF(ISNA(VLOOKUP($E13,'D-1 Off-Site Habitat Baseline'!$D$1:$O$258,4,FALSE)),"",(VLOOKUP($E13,'D-1 Off-Site Habitat Baseline'!$D$1:$O$258,4,FALSE))))</f>
        <v/>
      </c>
      <c r="G13" s="382" t="str">
        <f>IF(E13="","",IF(ISNA(VLOOKUP($E13,'D-1 Off-Site Habitat Baseline'!$D$1:$O$258,5,FALSE)),"",(VLOOKUP($E13,'D-1 Off-Site Habitat Baseline'!$D$1:$O$258,5,FALSE))))</f>
        <v/>
      </c>
      <c r="H13" s="382" t="str">
        <f>IF(E13="","",IF(ISNA(VLOOKUP($E13,'D-1 Off-Site Habitat Baseline'!$D$1:$O$258,6,FALSE)),"",(VLOOKUP($E13,'D-1 Off-Site Habitat Baseline'!$D$1:$O$258,6,FALSE))))</f>
        <v/>
      </c>
      <c r="I13" s="382" t="str">
        <f>IF(E13="","",IF(ISNA(VLOOKUP($E13,'D-1 Off-Site Habitat Baseline'!$D$1:$O$258,7,FALSE)),"",(VLOOKUP($E13,'D-1 Off-Site Habitat Baseline'!$D$1:$O$258,7,FALSE))))</f>
        <v/>
      </c>
      <c r="J13" s="382" t="str">
        <f>IF(E13="","",IF(ISNA(VLOOKUP($E13,'D-1 Off-Site Habitat Baseline'!$D$1:$O$258,8,FALSE)),"",(VLOOKUP($E13,'D-1 Off-Site Habitat Baseline'!$D$1:$O$258,8,FALSE))))</f>
        <v/>
      </c>
      <c r="K13" s="382" t="str">
        <f>IF(E13="","",IF(ISNA(VLOOKUP($E13,'D-1 Off-Site Habitat Baseline'!$D$1:$O$258,9,FALSE)),"",(VLOOKUP($E13,'D-1 Off-Site Habitat Baseline'!$D$1:$O$258,9,FALSE))))</f>
        <v/>
      </c>
      <c r="L13" s="382" t="str">
        <f>IF(E13="","",IF(ISNA(VLOOKUP($E13,'D-1 Off-Site Habitat Baseline'!$D$1:$O$258,11,FALSE)),"",(VLOOKUP($E13,'D-1 Off-Site Habitat Baseline'!$D$1:$O$258,11,FALSE))))</f>
        <v/>
      </c>
      <c r="M13" s="382" t="str">
        <f>IF(E13="","",IF(ISNA(VLOOKUP($E13,'D-1 Off-Site Habitat Baseline'!$D$1:$O$258,12,FALSE)),"",(VLOOKUP($E13,'D-1 Off-Site Habitat Baseline'!$D$1:$O$258,12,FALSE))))</f>
        <v/>
      </c>
      <c r="N13" s="382" t="str">
        <f>IF(E13="","",IF(ISNA(VLOOKUP($E13,'D-1 Off-Site Habitat Baseline'!$D$1:$AA$258,14,FALSE)),"",(VLOOKUP($E13,'D-1 Off-Site Habitat Baseline'!$D$1:$AA$258,14,FALSE))))</f>
        <v/>
      </c>
      <c r="O13" s="386" t="str">
        <f>IF(E13="","",IF(ISNA(VLOOKUP($E13,'D-1 Off-Site Habitat Baseline'!$D$1:$AA$258,13,FALSE)),"",(VLOOKUP($E13,'D-1 Off-Site Habitat Baseline'!$D$1:$AA$258,13,FALSE))))</f>
        <v/>
      </c>
      <c r="P13" s="184" t="str">
        <f>IFERROR(INDEX('G-1 All Habitats'!$AG$3:$AG$17,MATCH(Q13,'G-1 All Habitats'!$AF$3:$AF$17,0)),"")</f>
        <v/>
      </c>
      <c r="Q13" s="185" t="str">
        <f t="shared" si="0"/>
        <v/>
      </c>
      <c r="R13" s="186" t="str">
        <f t="shared" si="1"/>
        <v/>
      </c>
      <c r="S13" s="187" t="str">
        <f>IFERROR(INDEX('G-1 All Habitats'!$B$3:$B$134,MATCH(R13,'G-1 All Habitats'!$A$3:$A$134,0)),"")</f>
        <v/>
      </c>
      <c r="T13" s="370" t="str">
        <f t="shared" ref="T13:T76" si="3">IF(E13="","",IF(AND(LEFT(O13,6)="Same d",I13&gt;X13),"Error - Trading rules not satisfied ▲",IF(AND(LEFT(O13,6)="Same b",AND(LEFT(F13,5)&lt;&gt;LEFT(S13,5),I13&gt;X13)),"Error - Trading rules not satisfied ▲",IF(AND(LEFT(O13,6)="Same h",F13&lt;&gt;S13),"Error - Trading rules not satisfied ▲",IF(AND(LEFT(O13,6)="Bespok",F13&lt;&gt;S13),"Error - Trading rules not satisfied ▲",IF(X13&lt;I13,"Error Trading Down ▲",H13&amp;" - "&amp;W13))))))</f>
        <v/>
      </c>
      <c r="U13" s="386" t="str">
        <f t="shared" ref="U13:U76" si="4">IF(F13="","",IF(AND(LEFT(F13,55)&lt;&gt;LEFT(S13,55),T13= "High - High"),"Error - Not like for like ▲",IF(AND(I13=X13,K13&gt;Z13),"Error - Can not reduce condition ▲",IF(K13&gt;Z13, "Error - condition cannot be reduced ▲", IF(AND(I13=X13,K13=Z13),"Error - No enhancement ▲",IF(X13&lt;I13,"Error Trading Down ▲",IF(AND(F13&lt;&gt;S13,I13&lt;X13),"Lower Distinctiveness Habitat"&amp;" - "&amp;Y13,J13&amp;" - "&amp;Y13)))))))</f>
        <v/>
      </c>
      <c r="V13" s="385" t="str">
        <f t="shared" ref="V13:V75" si="5">IF(S13="","",VLOOKUP(E13,BaselineHabOffsite,20,FALSE))</f>
        <v/>
      </c>
      <c r="W13" s="382" t="str">
        <f>IF(S13="","",VLOOKUP(S13,'G-1 All Habitats'!$B$2:$M$134,10,FALSE))</f>
        <v/>
      </c>
      <c r="X13" s="382" t="str">
        <f>IFERROR(VLOOKUP(W13,'G-1 All Habitats'!$V$3:$W$7,2,FALSE),"")</f>
        <v/>
      </c>
      <c r="Y13" s="165"/>
      <c r="Z13" s="386" t="str">
        <f>IFERROR(INDEX('G-8 Condition Look up'!$A$3:$H$135,MATCH(S13,'G-8 Condition Look up'!$A$3:$A$135,0),MATCH(Y13,'G-8 Condition Look up'!$A$3:$H$3,0)),"")</f>
        <v/>
      </c>
      <c r="AA13" s="114"/>
      <c r="AB13" s="401" t="str">
        <f>IF(AA13="","",IF(VLOOKUP(AA13,'G-3 Multipliers'!$L$3:$N$6,2,FALSE)=0,"Spatial Data Missing ⚠",VLOOKUP(AA13,'G-3 Multipliers'!$L$3:$N$6,2,FALSE)))</f>
        <v/>
      </c>
      <c r="AC13" s="386" t="str">
        <f>IF(AA13="","",IF(VLOOKUP(AA13,'G-3 Multipliers'!$L$3:$N$6,3,FALSE)=0,"Spatial Data Missing ⚠",VLOOKUP(AA13,'G-3 Multipliers'!$L$3:$N$6,3,FALSE)))</f>
        <v/>
      </c>
      <c r="AD13" s="398" t="str">
        <f t="shared" si="2"/>
        <v/>
      </c>
      <c r="AE13" s="165"/>
      <c r="AF13" s="165"/>
      <c r="AG13" s="382" t="str">
        <f t="shared" ref="AG13:AG76" si="6">IF(AD13="","",IF(AD13="Check Data ⚠","Check Data ⚠",IF(R13="","",IF(AND(AE13&gt;0,AF13&gt;0),"Error -both advance and delayed habitat creation ▲",IF(AND(OR(AE13="Habitat already in target condition",AD13&lt;=AE13),AF13=0),"Check details - Is there evidence that habitat has reached target condition? ⚠",IF(O12="","",IF(AE13&gt;0,"Check details - Is there evidence habitat creation started/in place? ⚠",IF(AF13&gt;0,"Check details- Delay in starting habitat in required condition? ⚠","Standard time to target condition applied"))))))))</f>
        <v/>
      </c>
      <c r="AH13" s="404" t="str">
        <f t="shared" ref="AH13:AH76" si="7">IF(AG13="Error -both advance and delayed habitat creation ▲","Check Data ⚠",IF(AG13="Check Data ⚠","Check Data ⚠",IF(AD13="","",IF(AD13="Not Possible","CheckData ⚠",IF(AND(AD13="30+",AE13=0),"30+",IF(AND(AD13="30+",AE13="30+"),0,IF(AND(AD13="30+",AE13&lt;30),30-AE13,IF(AD13="30+",30-AE13,IF(AF13="30+","30+",IF(AE13&gt;AD13,0,IF(AD13+AF13&gt;30,"30+",IF(AD13+AF13&gt;30,"30+",IF(AD13-AE13&gt;30,"30+",IF(AD13+AF13-AE13&gt;0,AD13+AF13-AE13,IF(AD13-AE13&gt;0,AD13-AE13,AD13+AF13-AE13)))))))))))))))</f>
        <v/>
      </c>
      <c r="AI13" s="387" t="str">
        <f>IF(AH13="Check Data ⚠","Check Data ⚠",IFERROR(VLOOKUP(AH13,'G-4 Temporal multipliers'!$A$4:$C$36,3,FALSE),""))</f>
        <v/>
      </c>
      <c r="AJ13" s="398" t="str">
        <f>IF(S13="","",VLOOKUP(S13,'G-3 Multipliers'!$A$2:$E$134,4,FALSE))</f>
        <v/>
      </c>
      <c r="AK13" s="382" t="str">
        <f t="shared" ref="AK13:AK76" si="8">IF(E13="","",IF(AG13="Check details - Is there evidence that habitat has reached target condition? ⚠","Low Difficulty - only applicable if all habitat created before losses","Standard difficulty applied"))</f>
        <v/>
      </c>
      <c r="AL13" s="382" t="str">
        <f t="shared" ref="AL13:AL76" si="9">(IF(AND(AK13="Standard difficulty applied",AD13&gt;AE13),AJ13,IF(AND(AK13="Low Difficulty - only applicable if all habitat created before losses",AE13&gt;=AD13),"Low", AJ13)))</f>
        <v/>
      </c>
      <c r="AM13" s="386" t="str">
        <f>IFERROR(IF(F13="","",IF(AH13="Check Data ⚠","Check Data ⚠",VLOOKUP(AL13, 'G-3 Multipliers'!$P$2:$Q$6,2,FALSE))),"")</f>
        <v/>
      </c>
      <c r="AN13" s="516"/>
      <c r="AO13" s="417" t="str">
        <f>IF(AN13="","",IF(VLOOKUP(AN13,'G-3 Multipliers'!$S$3:$T$10,2,FALSE)=0,"Spatial Data Missing ⚠",VLOOKUP(AN13,'G-3 Multipliers'!$S$3:$T$10,2,FALSE)))</f>
        <v/>
      </c>
      <c r="AP13" s="376" t="str">
        <f t="shared" ref="AP13:AP76" si="10">IFERROR(((((V13*X13*Z13)-(V13*I13*K13))*(AM13*AI13))+(V13*I13*K13))*(AC13)*AO13,"")</f>
        <v/>
      </c>
      <c r="AQ13" s="376" t="str">
        <f t="shared" ref="AQ13:AQ76" si="11">IFERROR(IF(AN13="", "",((((V13*X13*Z13)-(V13*I13*K13))*(AM13*AI13))+(V13*I13*K13))*(AC13)),"")</f>
        <v/>
      </c>
      <c r="AR13" s="119"/>
      <c r="AS13" s="528"/>
      <c r="AT13" s="120"/>
      <c r="AU13" s="120"/>
    </row>
    <row r="14" spans="1:47">
      <c r="A14" s="30" t="str">
        <f>IF(E14="","",IF(ISNA(VLOOKUP($E14,'D-1 Off-Site Habitat Baseline'!$D$1:$O$258,2,FALSE)),"",(VLOOKUP($E14,'D-1 Off-Site Habitat Baseline'!$D$1:$O$258,2,FALSE))))</f>
        <v/>
      </c>
      <c r="B14" s="30" t="str">
        <f>IF(E14="","",IF(ISNA(VLOOKUP($E14,'D-1 Off-Site Habitat Baseline'!$D$1:$O$258,3,FALSE)),"",(VLOOKUP($E14,'D-1 Off-Site Habitat Baseline'!$D$1:$O$258,3,FALSE))))</f>
        <v/>
      </c>
      <c r="C14" s="30" t="str">
        <f>IFERROR(INDEX('G-8 Condition Look up'!$I$4:$I$135,MATCH(S14,'G-8 Condition Look up'!$A$4:$A$135,0)),"")</f>
        <v/>
      </c>
      <c r="E14" s="407" t="str">
        <f>'D-1 Off-Site Habitat Baseline'!AP13</f>
        <v/>
      </c>
      <c r="F14" s="382" t="str">
        <f>IF(E14="","",IF(ISNA(VLOOKUP($E14,'D-1 Off-Site Habitat Baseline'!$D$1:$O$258,4,FALSE)),"",(VLOOKUP($E14,'D-1 Off-Site Habitat Baseline'!$D$1:$O$258,4,FALSE))))</f>
        <v/>
      </c>
      <c r="G14" s="382" t="str">
        <f>IF(E14="","",IF(ISNA(VLOOKUP($E14,'D-1 Off-Site Habitat Baseline'!$D$1:$O$258,5,FALSE)),"",(VLOOKUP($E14,'D-1 Off-Site Habitat Baseline'!$D$1:$O$258,5,FALSE))))</f>
        <v/>
      </c>
      <c r="H14" s="382" t="str">
        <f>IF(E14="","",IF(ISNA(VLOOKUP($E14,'D-1 Off-Site Habitat Baseline'!$D$1:$O$258,6,FALSE)),"",(VLOOKUP($E14,'D-1 Off-Site Habitat Baseline'!$D$1:$O$258,6,FALSE))))</f>
        <v/>
      </c>
      <c r="I14" s="382" t="str">
        <f>IF(E14="","",IF(ISNA(VLOOKUP($E14,'D-1 Off-Site Habitat Baseline'!$D$1:$O$258,7,FALSE)),"",(VLOOKUP($E14,'D-1 Off-Site Habitat Baseline'!$D$1:$O$258,7,FALSE))))</f>
        <v/>
      </c>
      <c r="J14" s="382" t="str">
        <f>IF(E14="","",IF(ISNA(VLOOKUP($E14,'D-1 Off-Site Habitat Baseline'!$D$1:$O$258,8,FALSE)),"",(VLOOKUP($E14,'D-1 Off-Site Habitat Baseline'!$D$1:$O$258,8,FALSE))))</f>
        <v/>
      </c>
      <c r="K14" s="382" t="str">
        <f>IF(E14="","",IF(ISNA(VLOOKUP($E14,'D-1 Off-Site Habitat Baseline'!$D$1:$O$258,9,FALSE)),"",(VLOOKUP($E14,'D-1 Off-Site Habitat Baseline'!$D$1:$O$258,9,FALSE))))</f>
        <v/>
      </c>
      <c r="L14" s="382" t="str">
        <f>IF(E14="","",IF(ISNA(VLOOKUP($E14,'D-1 Off-Site Habitat Baseline'!$D$1:$O$258,11,FALSE)),"",(VLOOKUP($E14,'D-1 Off-Site Habitat Baseline'!$D$1:$O$258,11,FALSE))))</f>
        <v/>
      </c>
      <c r="M14" s="382" t="str">
        <f>IF(E14="","",IF(ISNA(VLOOKUP($E14,'D-1 Off-Site Habitat Baseline'!$D$1:$O$258,12,FALSE)),"",(VLOOKUP($E14,'D-1 Off-Site Habitat Baseline'!$D$1:$O$258,12,FALSE))))</f>
        <v/>
      </c>
      <c r="N14" s="382" t="str">
        <f>IF(E14="","",IF(ISNA(VLOOKUP($E14,'D-1 Off-Site Habitat Baseline'!$D$1:$AA$258,14,FALSE)),"",(VLOOKUP($E14,'D-1 Off-Site Habitat Baseline'!$D$1:$AA$258,14,FALSE))))</f>
        <v/>
      </c>
      <c r="O14" s="386" t="str">
        <f>IF(E14="","",IF(ISNA(VLOOKUP($E14,'D-1 Off-Site Habitat Baseline'!$D$1:$AA$258,13,FALSE)),"",(VLOOKUP($E14,'D-1 Off-Site Habitat Baseline'!$D$1:$AA$258,13,FALSE))))</f>
        <v/>
      </c>
      <c r="P14" s="184" t="str">
        <f>IFERROR(INDEX('G-1 All Habitats'!$AG$3:$AG$17,MATCH(Q14,'G-1 All Habitats'!$AF$3:$AF$17,0)),"")</f>
        <v/>
      </c>
      <c r="Q14" s="185" t="str">
        <f t="shared" si="0"/>
        <v/>
      </c>
      <c r="R14" s="186" t="str">
        <f t="shared" si="1"/>
        <v/>
      </c>
      <c r="S14" s="187" t="str">
        <f>IFERROR(INDEX('G-1 All Habitats'!$B$3:$B$134,MATCH(R14,'G-1 All Habitats'!$A$3:$A$134,0)),"")</f>
        <v/>
      </c>
      <c r="T14" s="370" t="str">
        <f t="shared" si="3"/>
        <v/>
      </c>
      <c r="U14" s="386" t="str">
        <f t="shared" si="4"/>
        <v/>
      </c>
      <c r="V14" s="385" t="str">
        <f t="shared" si="5"/>
        <v/>
      </c>
      <c r="W14" s="382" t="str">
        <f>IF(S14="","",VLOOKUP(S14,'G-1 All Habitats'!$B$2:$M$134,10,FALSE))</f>
        <v/>
      </c>
      <c r="X14" s="382" t="str">
        <f>IFERROR(VLOOKUP(W14,'G-1 All Habitats'!$V$3:$W$7,2,FALSE),"")</f>
        <v/>
      </c>
      <c r="Y14" s="165"/>
      <c r="Z14" s="386" t="str">
        <f>IFERROR(INDEX('G-8 Condition Look up'!$A$3:$H$135,MATCH(S14,'G-8 Condition Look up'!$A$3:$A$135,0),MATCH(Y14,'G-8 Condition Look up'!$A$3:$H$3,0)),"")</f>
        <v/>
      </c>
      <c r="AA14" s="114"/>
      <c r="AB14" s="401" t="str">
        <f>IF(AA14="","",IF(VLOOKUP(AA14,'G-3 Multipliers'!$L$3:$N$6,2,FALSE)=0,"Spatial Data Missing ⚠",VLOOKUP(AA14,'G-3 Multipliers'!$L$3:$N$6,2,FALSE)))</f>
        <v/>
      </c>
      <c r="AC14" s="386" t="str">
        <f>IF(AA14="","",IF(VLOOKUP(AA14,'G-3 Multipliers'!$L$3:$N$6,3,FALSE)=0,"Spatial Data Missing ⚠",VLOOKUP(AA14,'G-3 Multipliers'!$L$3:$N$6,3,FALSE)))</f>
        <v/>
      </c>
      <c r="AD14" s="398" t="str">
        <f t="shared" si="2"/>
        <v/>
      </c>
      <c r="AE14" s="165"/>
      <c r="AF14" s="165"/>
      <c r="AG14" s="382" t="str">
        <f t="shared" si="6"/>
        <v/>
      </c>
      <c r="AH14" s="404" t="str">
        <f t="shared" si="7"/>
        <v/>
      </c>
      <c r="AI14" s="387" t="str">
        <f>IF(AH14="Check Data ⚠","Check Data ⚠",IFERROR(VLOOKUP(AH14,'G-4 Temporal multipliers'!$A$4:$C$36,3,FALSE),""))</f>
        <v/>
      </c>
      <c r="AJ14" s="398" t="str">
        <f>IF(S14="","",VLOOKUP(S14,'G-3 Multipliers'!$A$2:$E$134,4,FALSE))</f>
        <v/>
      </c>
      <c r="AK14" s="382" t="str">
        <f t="shared" si="8"/>
        <v/>
      </c>
      <c r="AL14" s="382" t="str">
        <f t="shared" si="9"/>
        <v/>
      </c>
      <c r="AM14" s="386" t="str">
        <f>IFERROR(IF(F14="","",IF(AH14="Check Data ⚠","Check Data ⚠",VLOOKUP(AL14, 'G-3 Multipliers'!$P$2:$Q$6,2,FALSE))),"")</f>
        <v/>
      </c>
      <c r="AN14" s="516"/>
      <c r="AO14" s="417" t="str">
        <f>IF(AN14="","",IF(VLOOKUP(AN14,'G-3 Multipliers'!$S$3:$T$10,2,FALSE)=0,"Spatial Data Missing ⚠",VLOOKUP(AN14,'G-3 Multipliers'!$S$3:$T$10,2,FALSE)))</f>
        <v/>
      </c>
      <c r="AP14" s="376" t="str">
        <f t="shared" si="10"/>
        <v/>
      </c>
      <c r="AQ14" s="376" t="str">
        <f t="shared" si="11"/>
        <v/>
      </c>
      <c r="AR14" s="119"/>
      <c r="AS14" s="528"/>
      <c r="AT14" s="120"/>
      <c r="AU14" s="120"/>
    </row>
    <row r="15" spans="1:47">
      <c r="A15" s="30" t="str">
        <f>IF(E15="","",IF(ISNA(VLOOKUP($E15,'D-1 Off-Site Habitat Baseline'!$D$1:$O$258,2,FALSE)),"",(VLOOKUP($E15,'D-1 Off-Site Habitat Baseline'!$D$1:$O$258,2,FALSE))))</f>
        <v/>
      </c>
      <c r="B15" s="30" t="str">
        <f>IF(E15="","",IF(ISNA(VLOOKUP($E15,'D-1 Off-Site Habitat Baseline'!$D$1:$O$258,3,FALSE)),"",(VLOOKUP($E15,'D-1 Off-Site Habitat Baseline'!$D$1:$O$258,3,FALSE))))</f>
        <v/>
      </c>
      <c r="C15" s="30" t="str">
        <f>IFERROR(INDEX('G-8 Condition Look up'!$I$4:$I$135,MATCH(S15,'G-8 Condition Look up'!$A$4:$A$135,0)),"")</f>
        <v/>
      </c>
      <c r="E15" s="407" t="str">
        <f>'D-1 Off-Site Habitat Baseline'!AP14</f>
        <v/>
      </c>
      <c r="F15" s="382" t="str">
        <f>IF(E15="","",IF(ISNA(VLOOKUP($E15,'D-1 Off-Site Habitat Baseline'!$D$1:$O$258,4,FALSE)),"",(VLOOKUP($E15,'D-1 Off-Site Habitat Baseline'!$D$1:$O$258,4,FALSE))))</f>
        <v/>
      </c>
      <c r="G15" s="382" t="str">
        <f>IF(E15="","",IF(ISNA(VLOOKUP($E15,'D-1 Off-Site Habitat Baseline'!$D$1:$O$258,5,FALSE)),"",(VLOOKUP($E15,'D-1 Off-Site Habitat Baseline'!$D$1:$O$258,5,FALSE))))</f>
        <v/>
      </c>
      <c r="H15" s="382" t="str">
        <f>IF(E15="","",IF(ISNA(VLOOKUP($E15,'D-1 Off-Site Habitat Baseline'!$D$1:$O$258,6,FALSE)),"",(VLOOKUP($E15,'D-1 Off-Site Habitat Baseline'!$D$1:$O$258,6,FALSE))))</f>
        <v/>
      </c>
      <c r="I15" s="382" t="str">
        <f>IF(E15="","",IF(ISNA(VLOOKUP($E15,'D-1 Off-Site Habitat Baseline'!$D$1:$O$258,7,FALSE)),"",(VLOOKUP($E15,'D-1 Off-Site Habitat Baseline'!$D$1:$O$258,7,FALSE))))</f>
        <v/>
      </c>
      <c r="J15" s="382" t="str">
        <f>IF(E15="","",IF(ISNA(VLOOKUP($E15,'D-1 Off-Site Habitat Baseline'!$D$1:$O$258,8,FALSE)),"",(VLOOKUP($E15,'D-1 Off-Site Habitat Baseline'!$D$1:$O$258,8,FALSE))))</f>
        <v/>
      </c>
      <c r="K15" s="382" t="str">
        <f>IF(E15="","",IF(ISNA(VLOOKUP($E15,'D-1 Off-Site Habitat Baseline'!$D$1:$O$258,9,FALSE)),"",(VLOOKUP($E15,'D-1 Off-Site Habitat Baseline'!$D$1:$O$258,9,FALSE))))</f>
        <v/>
      </c>
      <c r="L15" s="382" t="str">
        <f>IF(E15="","",IF(ISNA(VLOOKUP($E15,'D-1 Off-Site Habitat Baseline'!$D$1:$O$258,11,FALSE)),"",(VLOOKUP($E15,'D-1 Off-Site Habitat Baseline'!$D$1:$O$258,11,FALSE))))</f>
        <v/>
      </c>
      <c r="M15" s="382" t="str">
        <f>IF(E15="","",IF(ISNA(VLOOKUP($E15,'D-1 Off-Site Habitat Baseline'!$D$1:$O$258,12,FALSE)),"",(VLOOKUP($E15,'D-1 Off-Site Habitat Baseline'!$D$1:$O$258,12,FALSE))))</f>
        <v/>
      </c>
      <c r="N15" s="382" t="str">
        <f>IF(E15="","",IF(ISNA(VLOOKUP($E15,'D-1 Off-Site Habitat Baseline'!$D$1:$AA$258,14,FALSE)),"",(VLOOKUP($E15,'D-1 Off-Site Habitat Baseline'!$D$1:$AA$258,14,FALSE))))</f>
        <v/>
      </c>
      <c r="O15" s="386" t="str">
        <f>IF(E15="","",IF(ISNA(VLOOKUP($E15,'D-1 Off-Site Habitat Baseline'!$D$1:$AA$258,13,FALSE)),"",(VLOOKUP($E15,'D-1 Off-Site Habitat Baseline'!$D$1:$AA$258,13,FALSE))))</f>
        <v/>
      </c>
      <c r="P15" s="184" t="str">
        <f>IFERROR(INDEX('G-1 All Habitats'!$AG$3:$AG$17,MATCH(Q15,'G-1 All Habitats'!$AF$3:$AF$17,0)),"")</f>
        <v/>
      </c>
      <c r="Q15" s="185" t="str">
        <f t="shared" si="0"/>
        <v/>
      </c>
      <c r="R15" s="186" t="str">
        <f t="shared" si="1"/>
        <v/>
      </c>
      <c r="S15" s="187" t="str">
        <f>IFERROR(INDEX('G-1 All Habitats'!$B$3:$B$134,MATCH(R15,'G-1 All Habitats'!$A$3:$A$134,0)),"")</f>
        <v/>
      </c>
      <c r="T15" s="370" t="str">
        <f t="shared" si="3"/>
        <v/>
      </c>
      <c r="U15" s="386" t="str">
        <f t="shared" si="4"/>
        <v/>
      </c>
      <c r="V15" s="385" t="str">
        <f t="shared" si="5"/>
        <v/>
      </c>
      <c r="W15" s="382" t="str">
        <f>IF(S15="","",VLOOKUP(S15,'G-1 All Habitats'!$B$2:$M$134,10,FALSE))</f>
        <v/>
      </c>
      <c r="X15" s="382" t="str">
        <f>IFERROR(VLOOKUP(W15,'G-1 All Habitats'!$V$3:$W$7,2,FALSE),"")</f>
        <v/>
      </c>
      <c r="Y15" s="165"/>
      <c r="Z15" s="386" t="str">
        <f>IFERROR(INDEX('G-8 Condition Look up'!$A$3:$H$135,MATCH(S15,'G-8 Condition Look up'!$A$3:$A$135,0),MATCH(Y15,'G-8 Condition Look up'!$A$3:$H$3,0)),"")</f>
        <v/>
      </c>
      <c r="AA15" s="114"/>
      <c r="AB15" s="401" t="str">
        <f>IF(AA15="","",IF(VLOOKUP(AA15,'G-3 Multipliers'!$L$3:$N$6,2,FALSE)=0,"Spatial Data Missing ⚠",VLOOKUP(AA15,'G-3 Multipliers'!$L$3:$N$6,2,FALSE)))</f>
        <v/>
      </c>
      <c r="AC15" s="386" t="str">
        <f>IF(AA15="","",IF(VLOOKUP(AA15,'G-3 Multipliers'!$L$3:$N$6,3,FALSE)=0,"Spatial Data Missing ⚠",VLOOKUP(AA15,'G-3 Multipliers'!$L$3:$N$6,3,FALSE)))</f>
        <v/>
      </c>
      <c r="AD15" s="398" t="str">
        <f t="shared" si="2"/>
        <v/>
      </c>
      <c r="AE15" s="165"/>
      <c r="AF15" s="165"/>
      <c r="AG15" s="382" t="str">
        <f t="shared" si="6"/>
        <v/>
      </c>
      <c r="AH15" s="404" t="str">
        <f t="shared" si="7"/>
        <v/>
      </c>
      <c r="AI15" s="387" t="str">
        <f>IF(AH15="Check Data ⚠","Check Data ⚠",IFERROR(VLOOKUP(AH15,'G-4 Temporal multipliers'!$A$4:$C$36,3,FALSE),""))</f>
        <v/>
      </c>
      <c r="AJ15" s="398" t="str">
        <f>IF(S15="","",VLOOKUP(S15,'G-3 Multipliers'!$A$2:$E$134,4,FALSE))</f>
        <v/>
      </c>
      <c r="AK15" s="382" t="str">
        <f t="shared" si="8"/>
        <v/>
      </c>
      <c r="AL15" s="382" t="str">
        <f t="shared" si="9"/>
        <v/>
      </c>
      <c r="AM15" s="386" t="str">
        <f>IFERROR(IF(F15="","",IF(AH15="Check Data ⚠","Check Data ⚠",VLOOKUP(AL15, 'G-3 Multipliers'!$P$2:$Q$6,2,FALSE))),"")</f>
        <v/>
      </c>
      <c r="AN15" s="516"/>
      <c r="AO15" s="417" t="str">
        <f>IF(AN15="","",IF(VLOOKUP(AN15,'G-3 Multipliers'!$S$3:$T$10,2,FALSE)=0,"Spatial Data Missing ⚠",VLOOKUP(AN15,'G-3 Multipliers'!$S$3:$T$10,2,FALSE)))</f>
        <v/>
      </c>
      <c r="AP15" s="376" t="str">
        <f t="shared" si="10"/>
        <v/>
      </c>
      <c r="AQ15" s="376" t="str">
        <f t="shared" si="11"/>
        <v/>
      </c>
      <c r="AR15" s="119"/>
      <c r="AS15" s="528"/>
      <c r="AT15" s="120"/>
      <c r="AU15" s="120"/>
    </row>
    <row r="16" spans="1:47">
      <c r="A16" s="30" t="str">
        <f>IF(E16="","",IF(ISNA(VLOOKUP($E16,'D-1 Off-Site Habitat Baseline'!$D$1:$O$258,2,FALSE)),"",(VLOOKUP($E16,'D-1 Off-Site Habitat Baseline'!$D$1:$O$258,2,FALSE))))</f>
        <v/>
      </c>
      <c r="B16" s="30" t="str">
        <f>IF(E16="","",IF(ISNA(VLOOKUP($E16,'D-1 Off-Site Habitat Baseline'!$D$1:$O$258,3,FALSE)),"",(VLOOKUP($E16,'D-1 Off-Site Habitat Baseline'!$D$1:$O$258,3,FALSE))))</f>
        <v/>
      </c>
      <c r="C16" s="30" t="str">
        <f>IFERROR(INDEX('G-8 Condition Look up'!$I$4:$I$135,MATCH(S16,'G-8 Condition Look up'!$A$4:$A$135,0)),"")</f>
        <v/>
      </c>
      <c r="E16" s="407" t="str">
        <f>'D-1 Off-Site Habitat Baseline'!AP15</f>
        <v/>
      </c>
      <c r="F16" s="382" t="str">
        <f>IF(E16="","",IF(ISNA(VLOOKUP($E16,'D-1 Off-Site Habitat Baseline'!$D$1:$O$258,4,FALSE)),"",(VLOOKUP($E16,'D-1 Off-Site Habitat Baseline'!$D$1:$O$258,4,FALSE))))</f>
        <v/>
      </c>
      <c r="G16" s="382" t="str">
        <f>IF(E16="","",IF(ISNA(VLOOKUP($E16,'D-1 Off-Site Habitat Baseline'!$D$1:$O$258,5,FALSE)),"",(VLOOKUP($E16,'D-1 Off-Site Habitat Baseline'!$D$1:$O$258,5,FALSE))))</f>
        <v/>
      </c>
      <c r="H16" s="382" t="str">
        <f>IF(E16="","",IF(ISNA(VLOOKUP($E16,'D-1 Off-Site Habitat Baseline'!$D$1:$O$258,6,FALSE)),"",(VLOOKUP($E16,'D-1 Off-Site Habitat Baseline'!$D$1:$O$258,6,FALSE))))</f>
        <v/>
      </c>
      <c r="I16" s="382" t="str">
        <f>IF(E16="","",IF(ISNA(VLOOKUP($E16,'D-1 Off-Site Habitat Baseline'!$D$1:$O$258,7,FALSE)),"",(VLOOKUP($E16,'D-1 Off-Site Habitat Baseline'!$D$1:$O$258,7,FALSE))))</f>
        <v/>
      </c>
      <c r="J16" s="382" t="str">
        <f>IF(E16="","",IF(ISNA(VLOOKUP($E16,'D-1 Off-Site Habitat Baseline'!$D$1:$O$258,8,FALSE)),"",(VLOOKUP($E16,'D-1 Off-Site Habitat Baseline'!$D$1:$O$258,8,FALSE))))</f>
        <v/>
      </c>
      <c r="K16" s="382" t="str">
        <f>IF(E16="","",IF(ISNA(VLOOKUP($E16,'D-1 Off-Site Habitat Baseline'!$D$1:$O$258,9,FALSE)),"",(VLOOKUP($E16,'D-1 Off-Site Habitat Baseline'!$D$1:$O$258,9,FALSE))))</f>
        <v/>
      </c>
      <c r="L16" s="382" t="str">
        <f>IF(E16="","",IF(ISNA(VLOOKUP($E16,'D-1 Off-Site Habitat Baseline'!$D$1:$O$258,11,FALSE)),"",(VLOOKUP($E16,'D-1 Off-Site Habitat Baseline'!$D$1:$O$258,11,FALSE))))</f>
        <v/>
      </c>
      <c r="M16" s="382" t="str">
        <f>IF(E16="","",IF(ISNA(VLOOKUP($E16,'D-1 Off-Site Habitat Baseline'!$D$1:$O$258,12,FALSE)),"",(VLOOKUP($E16,'D-1 Off-Site Habitat Baseline'!$D$1:$O$258,12,FALSE))))</f>
        <v/>
      </c>
      <c r="N16" s="382" t="str">
        <f>IF(E16="","",IF(ISNA(VLOOKUP($E16,'D-1 Off-Site Habitat Baseline'!$D$1:$AA$258,14,FALSE)),"",(VLOOKUP($E16,'D-1 Off-Site Habitat Baseline'!$D$1:$AA$258,14,FALSE))))</f>
        <v/>
      </c>
      <c r="O16" s="386" t="str">
        <f>IF(E16="","",IF(ISNA(VLOOKUP($E16,'D-1 Off-Site Habitat Baseline'!$D$1:$AA$258,13,FALSE)),"",(VLOOKUP($E16,'D-1 Off-Site Habitat Baseline'!$D$1:$AA$258,13,FALSE))))</f>
        <v/>
      </c>
      <c r="P16" s="184" t="str">
        <f>IFERROR(INDEX('G-1 All Habitats'!$AG$3:$AG$17,MATCH(Q16,'G-1 All Habitats'!$AF$3:$AF$17,0)),"")</f>
        <v/>
      </c>
      <c r="Q16" s="185" t="str">
        <f t="shared" si="0"/>
        <v/>
      </c>
      <c r="R16" s="186" t="str">
        <f t="shared" si="1"/>
        <v/>
      </c>
      <c r="S16" s="187" t="str">
        <f>IFERROR(INDEX('G-1 All Habitats'!$B$3:$B$134,MATCH(R16,'G-1 All Habitats'!$A$3:$A$134,0)),"")</f>
        <v/>
      </c>
      <c r="T16" s="370" t="str">
        <f t="shared" si="3"/>
        <v/>
      </c>
      <c r="U16" s="386" t="str">
        <f t="shared" si="4"/>
        <v/>
      </c>
      <c r="V16" s="385" t="str">
        <f t="shared" si="5"/>
        <v/>
      </c>
      <c r="W16" s="382" t="str">
        <f>IF(S16="","",VLOOKUP(S16,'G-1 All Habitats'!$B$2:$M$134,10,FALSE))</f>
        <v/>
      </c>
      <c r="X16" s="382" t="str">
        <f>IFERROR(VLOOKUP(W16,'G-1 All Habitats'!$V$3:$W$7,2,FALSE),"")</f>
        <v/>
      </c>
      <c r="Y16" s="165"/>
      <c r="Z16" s="386" t="str">
        <f>IFERROR(INDEX('G-8 Condition Look up'!$A$3:$H$135,MATCH(S16,'G-8 Condition Look up'!$A$3:$A$135,0),MATCH(Y16,'G-8 Condition Look up'!$A$3:$H$3,0)),"")</f>
        <v/>
      </c>
      <c r="AA16" s="114"/>
      <c r="AB16" s="401" t="str">
        <f>IF(AA16="","",IF(VLOOKUP(AA16,'G-3 Multipliers'!$L$3:$N$6,2,FALSE)=0,"Spatial Data Missing ⚠",VLOOKUP(AA16,'G-3 Multipliers'!$L$3:$N$6,2,FALSE)))</f>
        <v/>
      </c>
      <c r="AC16" s="386" t="str">
        <f>IF(AA16="","",IF(VLOOKUP(AA16,'G-3 Multipliers'!$L$3:$N$6,3,FALSE)=0,"Spatial Data Missing ⚠",VLOOKUP(AA16,'G-3 Multipliers'!$L$3:$N$6,3,FALSE)))</f>
        <v/>
      </c>
      <c r="AD16" s="398" t="str">
        <f t="shared" si="2"/>
        <v/>
      </c>
      <c r="AE16" s="165"/>
      <c r="AF16" s="165"/>
      <c r="AG16" s="382" t="str">
        <f t="shared" si="6"/>
        <v/>
      </c>
      <c r="AH16" s="404" t="str">
        <f t="shared" si="7"/>
        <v/>
      </c>
      <c r="AI16" s="387" t="str">
        <f>IF(AH16="Check Data ⚠","Check Data ⚠",IFERROR(VLOOKUP(AH16,'G-4 Temporal multipliers'!$A$4:$C$36,3,FALSE),""))</f>
        <v/>
      </c>
      <c r="AJ16" s="398" t="str">
        <f>IF(S16="","",VLOOKUP(S16,'G-3 Multipliers'!$A$2:$E$134,4,FALSE))</f>
        <v/>
      </c>
      <c r="AK16" s="382" t="str">
        <f t="shared" si="8"/>
        <v/>
      </c>
      <c r="AL16" s="382" t="str">
        <f t="shared" si="9"/>
        <v/>
      </c>
      <c r="AM16" s="386" t="str">
        <f>IFERROR(IF(F16="","",IF(AH16="Check Data ⚠","Check Data ⚠",VLOOKUP(AL16, 'G-3 Multipliers'!$P$2:$Q$6,2,FALSE))),"")</f>
        <v/>
      </c>
      <c r="AN16" s="516"/>
      <c r="AO16" s="417" t="str">
        <f>IF(AN16="","",IF(VLOOKUP(AN16,'G-3 Multipliers'!$S$3:$T$10,2,FALSE)=0,"Spatial Data Missing ⚠",VLOOKUP(AN16,'G-3 Multipliers'!$S$3:$T$10,2,FALSE)))</f>
        <v/>
      </c>
      <c r="AP16" s="376" t="str">
        <f t="shared" si="10"/>
        <v/>
      </c>
      <c r="AQ16" s="376" t="str">
        <f t="shared" si="11"/>
        <v/>
      </c>
      <c r="AR16" s="119"/>
      <c r="AS16" s="528"/>
      <c r="AT16" s="120"/>
      <c r="AU16" s="120"/>
    </row>
    <row r="17" spans="1:47">
      <c r="A17" s="30" t="str">
        <f>IF(E17="","",IF(ISNA(VLOOKUP($E17,'D-1 Off-Site Habitat Baseline'!$D$1:$O$258,2,FALSE)),"",(VLOOKUP($E17,'D-1 Off-Site Habitat Baseline'!$D$1:$O$258,2,FALSE))))</f>
        <v/>
      </c>
      <c r="B17" s="30" t="str">
        <f>IF(E17="","",IF(ISNA(VLOOKUP($E17,'D-1 Off-Site Habitat Baseline'!$D$1:$O$258,3,FALSE)),"",(VLOOKUP($E17,'D-1 Off-Site Habitat Baseline'!$D$1:$O$258,3,FALSE))))</f>
        <v/>
      </c>
      <c r="C17" s="30" t="str">
        <f>IFERROR(INDEX('G-8 Condition Look up'!$I$4:$I$135,MATCH(S17,'G-8 Condition Look up'!$A$4:$A$135,0)),"")</f>
        <v/>
      </c>
      <c r="E17" s="407" t="str">
        <f>'D-1 Off-Site Habitat Baseline'!AP16</f>
        <v/>
      </c>
      <c r="F17" s="382" t="str">
        <f>IF(E17="","",IF(ISNA(VLOOKUP($E17,'D-1 Off-Site Habitat Baseline'!$D$1:$O$258,4,FALSE)),"",(VLOOKUP($E17,'D-1 Off-Site Habitat Baseline'!$D$1:$O$258,4,FALSE))))</f>
        <v/>
      </c>
      <c r="G17" s="382" t="str">
        <f>IF(E17="","",IF(ISNA(VLOOKUP($E17,'D-1 Off-Site Habitat Baseline'!$D$1:$O$258,5,FALSE)),"",(VLOOKUP($E17,'D-1 Off-Site Habitat Baseline'!$D$1:$O$258,5,FALSE))))</f>
        <v/>
      </c>
      <c r="H17" s="382" t="str">
        <f>IF(E17="","",IF(ISNA(VLOOKUP($E17,'D-1 Off-Site Habitat Baseline'!$D$1:$O$258,6,FALSE)),"",(VLOOKUP($E17,'D-1 Off-Site Habitat Baseline'!$D$1:$O$258,6,FALSE))))</f>
        <v/>
      </c>
      <c r="I17" s="382" t="str">
        <f>IF(E17="","",IF(ISNA(VLOOKUP($E17,'D-1 Off-Site Habitat Baseline'!$D$1:$O$258,7,FALSE)),"",(VLOOKUP($E17,'D-1 Off-Site Habitat Baseline'!$D$1:$O$258,7,FALSE))))</f>
        <v/>
      </c>
      <c r="J17" s="382" t="str">
        <f>IF(E17="","",IF(ISNA(VLOOKUP($E17,'D-1 Off-Site Habitat Baseline'!$D$1:$O$258,8,FALSE)),"",(VLOOKUP($E17,'D-1 Off-Site Habitat Baseline'!$D$1:$O$258,8,FALSE))))</f>
        <v/>
      </c>
      <c r="K17" s="382" t="str">
        <f>IF(E17="","",IF(ISNA(VLOOKUP($E17,'D-1 Off-Site Habitat Baseline'!$D$1:$O$258,9,FALSE)),"",(VLOOKUP($E17,'D-1 Off-Site Habitat Baseline'!$D$1:$O$258,9,FALSE))))</f>
        <v/>
      </c>
      <c r="L17" s="382" t="str">
        <f>IF(E17="","",IF(ISNA(VLOOKUP($E17,'D-1 Off-Site Habitat Baseline'!$D$1:$O$258,11,FALSE)),"",(VLOOKUP($E17,'D-1 Off-Site Habitat Baseline'!$D$1:$O$258,11,FALSE))))</f>
        <v/>
      </c>
      <c r="M17" s="382" t="str">
        <f>IF(E17="","",IF(ISNA(VLOOKUP($E17,'D-1 Off-Site Habitat Baseline'!$D$1:$O$258,12,FALSE)),"",(VLOOKUP($E17,'D-1 Off-Site Habitat Baseline'!$D$1:$O$258,12,FALSE))))</f>
        <v/>
      </c>
      <c r="N17" s="382" t="str">
        <f>IF(E17="","",IF(ISNA(VLOOKUP($E17,'D-1 Off-Site Habitat Baseline'!$D$1:$AA$258,14,FALSE)),"",(VLOOKUP($E17,'D-1 Off-Site Habitat Baseline'!$D$1:$AA$258,14,FALSE))))</f>
        <v/>
      </c>
      <c r="O17" s="386" t="str">
        <f>IF(E17="","",IF(ISNA(VLOOKUP($E17,'D-1 Off-Site Habitat Baseline'!$D$1:$AA$258,13,FALSE)),"",(VLOOKUP($E17,'D-1 Off-Site Habitat Baseline'!$D$1:$AA$258,13,FALSE))))</f>
        <v/>
      </c>
      <c r="P17" s="184" t="str">
        <f>IFERROR(INDEX('G-1 All Habitats'!$AG$3:$AG$17,MATCH(Q17,'G-1 All Habitats'!$AF$3:$AF$17,0)),"")</f>
        <v/>
      </c>
      <c r="Q17" s="185" t="str">
        <f t="shared" si="0"/>
        <v/>
      </c>
      <c r="R17" s="186" t="str">
        <f t="shared" si="1"/>
        <v/>
      </c>
      <c r="S17" s="187" t="str">
        <f>IFERROR(INDEX('G-1 All Habitats'!$B$3:$B$134,MATCH(R17,'G-1 All Habitats'!$A$3:$A$134,0)),"")</f>
        <v/>
      </c>
      <c r="T17" s="370" t="str">
        <f t="shared" si="3"/>
        <v/>
      </c>
      <c r="U17" s="386" t="str">
        <f t="shared" si="4"/>
        <v/>
      </c>
      <c r="V17" s="385" t="str">
        <f t="shared" si="5"/>
        <v/>
      </c>
      <c r="W17" s="382" t="str">
        <f>IF(S17="","",VLOOKUP(S17,'G-1 All Habitats'!$B$2:$M$134,10,FALSE))</f>
        <v/>
      </c>
      <c r="X17" s="382" t="str">
        <f>IFERROR(VLOOKUP(W17,'G-1 All Habitats'!$V$3:$W$7,2,FALSE),"")</f>
        <v/>
      </c>
      <c r="Y17" s="165"/>
      <c r="Z17" s="386" t="str">
        <f>IFERROR(INDEX('G-8 Condition Look up'!$A$3:$H$135,MATCH(S17,'G-8 Condition Look up'!$A$3:$A$135,0),MATCH(Y17,'G-8 Condition Look up'!$A$3:$H$3,0)),"")</f>
        <v/>
      </c>
      <c r="AA17" s="114"/>
      <c r="AB17" s="401" t="str">
        <f>IF(AA17="","",IF(VLOOKUP(AA17,'G-3 Multipliers'!$L$3:$N$6,2,FALSE)=0,"Spatial Data Missing ⚠",VLOOKUP(AA17,'G-3 Multipliers'!$L$3:$N$6,2,FALSE)))</f>
        <v/>
      </c>
      <c r="AC17" s="386" t="str">
        <f>IF(AA17="","",IF(VLOOKUP(AA17,'G-3 Multipliers'!$L$3:$N$6,3,FALSE)=0,"Spatial Data Missing ⚠",VLOOKUP(AA17,'G-3 Multipliers'!$L$3:$N$6,3,FALSE)))</f>
        <v/>
      </c>
      <c r="AD17" s="398" t="str">
        <f t="shared" si="2"/>
        <v/>
      </c>
      <c r="AE17" s="165"/>
      <c r="AF17" s="165"/>
      <c r="AG17" s="382" t="str">
        <f t="shared" si="6"/>
        <v/>
      </c>
      <c r="AH17" s="404" t="str">
        <f t="shared" si="7"/>
        <v/>
      </c>
      <c r="AI17" s="387" t="str">
        <f>IF(AH17="Check Data ⚠","Check Data ⚠",IFERROR(VLOOKUP(AH17,'G-4 Temporal multipliers'!$A$4:$C$36,3,FALSE),""))</f>
        <v/>
      </c>
      <c r="AJ17" s="398" t="str">
        <f>IF(S17="","",VLOOKUP(S17,'G-3 Multipliers'!$A$2:$E$134,4,FALSE))</f>
        <v/>
      </c>
      <c r="AK17" s="382" t="str">
        <f t="shared" si="8"/>
        <v/>
      </c>
      <c r="AL17" s="382" t="str">
        <f t="shared" si="9"/>
        <v/>
      </c>
      <c r="AM17" s="386" t="str">
        <f>IFERROR(IF(F17="","",IF(AH17="Check Data ⚠","Check Data ⚠",VLOOKUP(AL17, 'G-3 Multipliers'!$P$2:$Q$6,2,FALSE))),"")</f>
        <v/>
      </c>
      <c r="AN17" s="516"/>
      <c r="AO17" s="417" t="str">
        <f>IF(AN17="","",IF(VLOOKUP(AN17,'G-3 Multipliers'!$S$3:$T$10,2,FALSE)=0,"Spatial Data Missing ⚠",VLOOKUP(AN17,'G-3 Multipliers'!$S$3:$T$10,2,FALSE)))</f>
        <v/>
      </c>
      <c r="AP17" s="376" t="str">
        <f t="shared" si="10"/>
        <v/>
      </c>
      <c r="AQ17" s="376" t="str">
        <f t="shared" si="11"/>
        <v/>
      </c>
      <c r="AR17" s="119"/>
      <c r="AS17" s="528"/>
      <c r="AT17" s="120"/>
      <c r="AU17" s="120"/>
    </row>
    <row r="18" spans="1:47">
      <c r="A18" s="30" t="str">
        <f>IF(E18="","",IF(ISNA(VLOOKUP($E18,'D-1 Off-Site Habitat Baseline'!$D$1:$O$258,2,FALSE)),"",(VLOOKUP($E18,'D-1 Off-Site Habitat Baseline'!$D$1:$O$258,2,FALSE))))</f>
        <v/>
      </c>
      <c r="B18" s="30" t="str">
        <f>IF(E18="","",IF(ISNA(VLOOKUP($E18,'D-1 Off-Site Habitat Baseline'!$D$1:$O$258,3,FALSE)),"",(VLOOKUP($E18,'D-1 Off-Site Habitat Baseline'!$D$1:$O$258,3,FALSE))))</f>
        <v/>
      </c>
      <c r="C18" s="30" t="str">
        <f>IFERROR(INDEX('G-8 Condition Look up'!$I$4:$I$135,MATCH(S18,'G-8 Condition Look up'!$A$4:$A$135,0)),"")</f>
        <v/>
      </c>
      <c r="E18" s="407" t="str">
        <f>'D-1 Off-Site Habitat Baseline'!AP17</f>
        <v/>
      </c>
      <c r="F18" s="382" t="str">
        <f>IF(E18="","",IF(ISNA(VLOOKUP($E18,'D-1 Off-Site Habitat Baseline'!$D$1:$O$258,4,FALSE)),"",(VLOOKUP($E18,'D-1 Off-Site Habitat Baseline'!$D$1:$O$258,4,FALSE))))</f>
        <v/>
      </c>
      <c r="G18" s="382" t="str">
        <f>IF(E18="","",IF(ISNA(VLOOKUP($E18,'D-1 Off-Site Habitat Baseline'!$D$1:$O$258,5,FALSE)),"",(VLOOKUP($E18,'D-1 Off-Site Habitat Baseline'!$D$1:$O$258,5,FALSE))))</f>
        <v/>
      </c>
      <c r="H18" s="382" t="str">
        <f>IF(E18="","",IF(ISNA(VLOOKUP($E18,'D-1 Off-Site Habitat Baseline'!$D$1:$O$258,6,FALSE)),"",(VLOOKUP($E18,'D-1 Off-Site Habitat Baseline'!$D$1:$O$258,6,FALSE))))</f>
        <v/>
      </c>
      <c r="I18" s="382" t="str">
        <f>IF(E18="","",IF(ISNA(VLOOKUP($E18,'D-1 Off-Site Habitat Baseline'!$D$1:$O$258,7,FALSE)),"",(VLOOKUP($E18,'D-1 Off-Site Habitat Baseline'!$D$1:$O$258,7,FALSE))))</f>
        <v/>
      </c>
      <c r="J18" s="382" t="str">
        <f>IF(E18="","",IF(ISNA(VLOOKUP($E18,'D-1 Off-Site Habitat Baseline'!$D$1:$O$258,8,FALSE)),"",(VLOOKUP($E18,'D-1 Off-Site Habitat Baseline'!$D$1:$O$258,8,FALSE))))</f>
        <v/>
      </c>
      <c r="K18" s="382" t="str">
        <f>IF(E18="","",IF(ISNA(VLOOKUP($E18,'D-1 Off-Site Habitat Baseline'!$D$1:$O$258,9,FALSE)),"",(VLOOKUP($E18,'D-1 Off-Site Habitat Baseline'!$D$1:$O$258,9,FALSE))))</f>
        <v/>
      </c>
      <c r="L18" s="382" t="str">
        <f>IF(E18="","",IF(ISNA(VLOOKUP($E18,'D-1 Off-Site Habitat Baseline'!$D$1:$O$258,11,FALSE)),"",(VLOOKUP($E18,'D-1 Off-Site Habitat Baseline'!$D$1:$O$258,11,FALSE))))</f>
        <v/>
      </c>
      <c r="M18" s="382" t="str">
        <f>IF(E18="","",IF(ISNA(VLOOKUP($E18,'D-1 Off-Site Habitat Baseline'!$D$1:$O$258,12,FALSE)),"",(VLOOKUP($E18,'D-1 Off-Site Habitat Baseline'!$D$1:$O$258,12,FALSE))))</f>
        <v/>
      </c>
      <c r="N18" s="382" t="str">
        <f>IF(E18="","",IF(ISNA(VLOOKUP($E18,'D-1 Off-Site Habitat Baseline'!$D$1:$AA$258,14,FALSE)),"",(VLOOKUP($E18,'D-1 Off-Site Habitat Baseline'!$D$1:$AA$258,14,FALSE))))</f>
        <v/>
      </c>
      <c r="O18" s="386" t="str">
        <f>IF(E18="","",IF(ISNA(VLOOKUP($E18,'D-1 Off-Site Habitat Baseline'!$D$1:$AA$258,13,FALSE)),"",(VLOOKUP($E18,'D-1 Off-Site Habitat Baseline'!$D$1:$AA$258,13,FALSE))))</f>
        <v/>
      </c>
      <c r="P18" s="184" t="str">
        <f>IFERROR(INDEX('G-1 All Habitats'!$AG$3:$AG$17,MATCH(Q18,'G-1 All Habitats'!$AF$3:$AF$17,0)),"")</f>
        <v/>
      </c>
      <c r="Q18" s="185" t="str">
        <f t="shared" si="0"/>
        <v/>
      </c>
      <c r="R18" s="186" t="str">
        <f t="shared" si="1"/>
        <v/>
      </c>
      <c r="S18" s="187" t="str">
        <f>IFERROR(INDEX('G-1 All Habitats'!$B$3:$B$134,MATCH(R18,'G-1 All Habitats'!$A$3:$A$134,0)),"")</f>
        <v/>
      </c>
      <c r="T18" s="370" t="str">
        <f t="shared" si="3"/>
        <v/>
      </c>
      <c r="U18" s="386" t="str">
        <f t="shared" si="4"/>
        <v/>
      </c>
      <c r="V18" s="385" t="str">
        <f t="shared" si="5"/>
        <v/>
      </c>
      <c r="W18" s="382" t="str">
        <f>IF(S18="","",VLOOKUP(S18,'G-1 All Habitats'!$B$2:$M$134,10,FALSE))</f>
        <v/>
      </c>
      <c r="X18" s="382" t="str">
        <f>IFERROR(VLOOKUP(W18,'G-1 All Habitats'!$V$3:$W$7,2,FALSE),"")</f>
        <v/>
      </c>
      <c r="Y18" s="165"/>
      <c r="Z18" s="386" t="str">
        <f>IFERROR(INDEX('G-8 Condition Look up'!$A$3:$H$135,MATCH(S18,'G-8 Condition Look up'!$A$3:$A$135,0),MATCH(Y18,'G-8 Condition Look up'!$A$3:$H$3,0)),"")</f>
        <v/>
      </c>
      <c r="AA18" s="114"/>
      <c r="AB18" s="401" t="str">
        <f>IF(AA18="","",IF(VLOOKUP(AA18,'G-3 Multipliers'!$L$3:$N$6,2,FALSE)=0,"Spatial Data Missing ⚠",VLOOKUP(AA18,'G-3 Multipliers'!$L$3:$N$6,2,FALSE)))</f>
        <v/>
      </c>
      <c r="AC18" s="386" t="str">
        <f>IF(AA18="","",IF(VLOOKUP(AA18,'G-3 Multipliers'!$L$3:$N$6,3,FALSE)=0,"Spatial Data Missing ⚠",VLOOKUP(AA18,'G-3 Multipliers'!$L$3:$N$6,3,FALSE)))</f>
        <v/>
      </c>
      <c r="AD18" s="398" t="str">
        <f t="shared" si="2"/>
        <v/>
      </c>
      <c r="AE18" s="165"/>
      <c r="AF18" s="165"/>
      <c r="AG18" s="382" t="str">
        <f t="shared" si="6"/>
        <v/>
      </c>
      <c r="AH18" s="404" t="str">
        <f t="shared" si="7"/>
        <v/>
      </c>
      <c r="AI18" s="387" t="str">
        <f>IF(AH18="Check Data ⚠","Check Data ⚠",IFERROR(VLOOKUP(AH18,'G-4 Temporal multipliers'!$A$4:$C$36,3,FALSE),""))</f>
        <v/>
      </c>
      <c r="AJ18" s="398" t="str">
        <f>IF(S18="","",VLOOKUP(S18,'G-3 Multipliers'!$A$2:$E$134,4,FALSE))</f>
        <v/>
      </c>
      <c r="AK18" s="382" t="str">
        <f t="shared" si="8"/>
        <v/>
      </c>
      <c r="AL18" s="382" t="str">
        <f t="shared" si="9"/>
        <v/>
      </c>
      <c r="AM18" s="386" t="str">
        <f>IFERROR(IF(F18="","",IF(AH18="Check Data ⚠","Check Data ⚠",VLOOKUP(AL18, 'G-3 Multipliers'!$P$2:$Q$6,2,FALSE))),"")</f>
        <v/>
      </c>
      <c r="AN18" s="516"/>
      <c r="AO18" s="417" t="str">
        <f>IF(AN18="","",IF(VLOOKUP(AN18,'G-3 Multipliers'!$S$3:$T$10,2,FALSE)=0,"Spatial Data Missing ⚠",VLOOKUP(AN18,'G-3 Multipliers'!$S$3:$T$10,2,FALSE)))</f>
        <v/>
      </c>
      <c r="AP18" s="376" t="str">
        <f t="shared" si="10"/>
        <v/>
      </c>
      <c r="AQ18" s="376" t="str">
        <f t="shared" si="11"/>
        <v/>
      </c>
      <c r="AR18" s="119"/>
      <c r="AS18" s="528"/>
      <c r="AT18" s="120"/>
      <c r="AU18" s="120"/>
    </row>
    <row r="19" spans="1:47">
      <c r="A19" s="30" t="str">
        <f>IF(E19="","",IF(ISNA(VLOOKUP($E19,'D-1 Off-Site Habitat Baseline'!$D$1:$O$258,2,FALSE)),"",(VLOOKUP($E19,'D-1 Off-Site Habitat Baseline'!$D$1:$O$258,2,FALSE))))</f>
        <v/>
      </c>
      <c r="B19" s="30" t="str">
        <f>IF(E19="","",IF(ISNA(VLOOKUP($E19,'D-1 Off-Site Habitat Baseline'!$D$1:$O$258,3,FALSE)),"",(VLOOKUP($E19,'D-1 Off-Site Habitat Baseline'!$D$1:$O$258,3,FALSE))))</f>
        <v/>
      </c>
      <c r="C19" s="30" t="str">
        <f>IFERROR(INDEX('G-8 Condition Look up'!$I$4:$I$135,MATCH(S19,'G-8 Condition Look up'!$A$4:$A$135,0)),"")</f>
        <v/>
      </c>
      <c r="E19" s="407" t="str">
        <f>'D-1 Off-Site Habitat Baseline'!AP18</f>
        <v/>
      </c>
      <c r="F19" s="382" t="str">
        <f>IF(E19="","",IF(ISNA(VLOOKUP($E19,'D-1 Off-Site Habitat Baseline'!$D$1:$O$258,4,FALSE)),"",(VLOOKUP($E19,'D-1 Off-Site Habitat Baseline'!$D$1:$O$258,4,FALSE))))</f>
        <v/>
      </c>
      <c r="G19" s="382" t="str">
        <f>IF(E19="","",IF(ISNA(VLOOKUP($E19,'D-1 Off-Site Habitat Baseline'!$D$1:$O$258,5,FALSE)),"",(VLOOKUP($E19,'D-1 Off-Site Habitat Baseline'!$D$1:$O$258,5,FALSE))))</f>
        <v/>
      </c>
      <c r="H19" s="382" t="str">
        <f>IF(E19="","",IF(ISNA(VLOOKUP($E19,'D-1 Off-Site Habitat Baseline'!$D$1:$O$258,6,FALSE)),"",(VLOOKUP($E19,'D-1 Off-Site Habitat Baseline'!$D$1:$O$258,6,FALSE))))</f>
        <v/>
      </c>
      <c r="I19" s="382" t="str">
        <f>IF(E19="","",IF(ISNA(VLOOKUP($E19,'D-1 Off-Site Habitat Baseline'!$D$1:$O$258,7,FALSE)),"",(VLOOKUP($E19,'D-1 Off-Site Habitat Baseline'!$D$1:$O$258,7,FALSE))))</f>
        <v/>
      </c>
      <c r="J19" s="382" t="str">
        <f>IF(E19="","",IF(ISNA(VLOOKUP($E19,'D-1 Off-Site Habitat Baseline'!$D$1:$O$258,8,FALSE)),"",(VLOOKUP($E19,'D-1 Off-Site Habitat Baseline'!$D$1:$O$258,8,FALSE))))</f>
        <v/>
      </c>
      <c r="K19" s="382" t="str">
        <f>IF(E19="","",IF(ISNA(VLOOKUP($E19,'D-1 Off-Site Habitat Baseline'!$D$1:$O$258,9,FALSE)),"",(VLOOKUP($E19,'D-1 Off-Site Habitat Baseline'!$D$1:$O$258,9,FALSE))))</f>
        <v/>
      </c>
      <c r="L19" s="382" t="str">
        <f>IF(E19="","",IF(ISNA(VLOOKUP($E19,'D-1 Off-Site Habitat Baseline'!$D$1:$O$258,11,FALSE)),"",(VLOOKUP($E19,'D-1 Off-Site Habitat Baseline'!$D$1:$O$258,11,FALSE))))</f>
        <v/>
      </c>
      <c r="M19" s="382" t="str">
        <f>IF(E19="","",IF(ISNA(VLOOKUP($E19,'D-1 Off-Site Habitat Baseline'!$D$1:$O$258,12,FALSE)),"",(VLOOKUP($E19,'D-1 Off-Site Habitat Baseline'!$D$1:$O$258,12,FALSE))))</f>
        <v/>
      </c>
      <c r="N19" s="382" t="str">
        <f>IF(E19="","",IF(ISNA(VLOOKUP($E19,'D-1 Off-Site Habitat Baseline'!$D$1:$AA$258,14,FALSE)),"",(VLOOKUP($E19,'D-1 Off-Site Habitat Baseline'!$D$1:$AA$258,14,FALSE))))</f>
        <v/>
      </c>
      <c r="O19" s="386" t="str">
        <f>IF(E19="","",IF(ISNA(VLOOKUP($E19,'D-1 Off-Site Habitat Baseline'!$D$1:$AA$258,13,FALSE)),"",(VLOOKUP($E19,'D-1 Off-Site Habitat Baseline'!$D$1:$AA$258,13,FALSE))))</f>
        <v/>
      </c>
      <c r="P19" s="184" t="str">
        <f>IFERROR(INDEX('G-1 All Habitats'!$AG$3:$AG$17,MATCH(Q19,'G-1 All Habitats'!$AF$3:$AF$17,0)),"")</f>
        <v/>
      </c>
      <c r="Q19" s="185" t="str">
        <f t="shared" si="0"/>
        <v/>
      </c>
      <c r="R19" s="186" t="str">
        <f t="shared" si="1"/>
        <v/>
      </c>
      <c r="S19" s="187" t="str">
        <f>IFERROR(INDEX('G-1 All Habitats'!$B$3:$B$134,MATCH(R19,'G-1 All Habitats'!$A$3:$A$134,0)),"")</f>
        <v/>
      </c>
      <c r="T19" s="370" t="str">
        <f t="shared" si="3"/>
        <v/>
      </c>
      <c r="U19" s="386" t="str">
        <f t="shared" si="4"/>
        <v/>
      </c>
      <c r="V19" s="385" t="str">
        <f t="shared" si="5"/>
        <v/>
      </c>
      <c r="W19" s="382" t="str">
        <f>IF(S19="","",VLOOKUP(S19,'G-1 All Habitats'!$B$2:$M$134,10,FALSE))</f>
        <v/>
      </c>
      <c r="X19" s="382" t="str">
        <f>IFERROR(VLOOKUP(W19,'G-1 All Habitats'!$V$3:$W$7,2,FALSE),"")</f>
        <v/>
      </c>
      <c r="Y19" s="165"/>
      <c r="Z19" s="386" t="str">
        <f>IFERROR(INDEX('G-8 Condition Look up'!$A$3:$H$135,MATCH(S19,'G-8 Condition Look up'!$A$3:$A$135,0),MATCH(Y19,'G-8 Condition Look up'!$A$3:$H$3,0)),"")</f>
        <v/>
      </c>
      <c r="AA19" s="114"/>
      <c r="AB19" s="401" t="str">
        <f>IF(AA19="","",IF(VLOOKUP(AA19,'G-3 Multipliers'!$L$3:$N$6,2,FALSE)=0,"Spatial Data Missing ⚠",VLOOKUP(AA19,'G-3 Multipliers'!$L$3:$N$6,2,FALSE)))</f>
        <v/>
      </c>
      <c r="AC19" s="386" t="str">
        <f>IF(AA19="","",IF(VLOOKUP(AA19,'G-3 Multipliers'!$L$3:$N$6,3,FALSE)=0,"Spatial Data Missing ⚠",VLOOKUP(AA19,'G-3 Multipliers'!$L$3:$N$6,3,FALSE)))</f>
        <v/>
      </c>
      <c r="AD19" s="398" t="str">
        <f t="shared" si="2"/>
        <v/>
      </c>
      <c r="AE19" s="165"/>
      <c r="AF19" s="165"/>
      <c r="AG19" s="382" t="str">
        <f t="shared" si="6"/>
        <v/>
      </c>
      <c r="AH19" s="404" t="str">
        <f t="shared" si="7"/>
        <v/>
      </c>
      <c r="AI19" s="387" t="str">
        <f>IF(AH19="Check Data ⚠","Check Data ⚠",IFERROR(VLOOKUP(AH19,'G-4 Temporal multipliers'!$A$4:$C$36,3,FALSE),""))</f>
        <v/>
      </c>
      <c r="AJ19" s="398" t="str">
        <f>IF(S19="","",VLOOKUP(S19,'G-3 Multipliers'!$A$2:$E$134,4,FALSE))</f>
        <v/>
      </c>
      <c r="AK19" s="382" t="str">
        <f t="shared" si="8"/>
        <v/>
      </c>
      <c r="AL19" s="382" t="str">
        <f t="shared" si="9"/>
        <v/>
      </c>
      <c r="AM19" s="386" t="str">
        <f>IFERROR(IF(F19="","",IF(AH19="Check Data ⚠","Check Data ⚠",VLOOKUP(AL19, 'G-3 Multipliers'!$P$2:$Q$6,2,FALSE))),"")</f>
        <v/>
      </c>
      <c r="AN19" s="516"/>
      <c r="AO19" s="417" t="str">
        <f>IF(AN19="","",IF(VLOOKUP(AN19,'G-3 Multipliers'!$S$3:$T$10,2,FALSE)=0,"Spatial Data Missing ⚠",VLOOKUP(AN19,'G-3 Multipliers'!$S$3:$T$10,2,FALSE)))</f>
        <v/>
      </c>
      <c r="AP19" s="376" t="str">
        <f t="shared" si="10"/>
        <v/>
      </c>
      <c r="AQ19" s="376" t="str">
        <f t="shared" si="11"/>
        <v/>
      </c>
      <c r="AR19" s="119"/>
      <c r="AS19" s="528"/>
      <c r="AT19" s="120"/>
      <c r="AU19" s="120"/>
    </row>
    <row r="20" spans="1:47">
      <c r="A20" s="30" t="str">
        <f>IF(E20="","",IF(ISNA(VLOOKUP($E20,'D-1 Off-Site Habitat Baseline'!$D$1:$O$258,2,FALSE)),"",(VLOOKUP($E20,'D-1 Off-Site Habitat Baseline'!$D$1:$O$258,2,FALSE))))</f>
        <v/>
      </c>
      <c r="B20" s="30" t="str">
        <f>IF(E20="","",IF(ISNA(VLOOKUP($E20,'D-1 Off-Site Habitat Baseline'!$D$1:$O$258,3,FALSE)),"",(VLOOKUP($E20,'D-1 Off-Site Habitat Baseline'!$D$1:$O$258,3,FALSE))))</f>
        <v/>
      </c>
      <c r="C20" s="30" t="str">
        <f>IFERROR(INDEX('G-8 Condition Look up'!$I$4:$I$135,MATCH(S20,'G-8 Condition Look up'!$A$4:$A$135,0)),"")</f>
        <v/>
      </c>
      <c r="E20" s="407" t="str">
        <f>'D-1 Off-Site Habitat Baseline'!AP19</f>
        <v/>
      </c>
      <c r="F20" s="382" t="str">
        <f>IF(E20="","",IF(ISNA(VLOOKUP($E20,'D-1 Off-Site Habitat Baseline'!$D$1:$O$258,4,FALSE)),"",(VLOOKUP($E20,'D-1 Off-Site Habitat Baseline'!$D$1:$O$258,4,FALSE))))</f>
        <v/>
      </c>
      <c r="G20" s="382" t="str">
        <f>IF(E20="","",IF(ISNA(VLOOKUP($E20,'D-1 Off-Site Habitat Baseline'!$D$1:$O$258,5,FALSE)),"",(VLOOKUP($E20,'D-1 Off-Site Habitat Baseline'!$D$1:$O$258,5,FALSE))))</f>
        <v/>
      </c>
      <c r="H20" s="382" t="str">
        <f>IF(E20="","",IF(ISNA(VLOOKUP($E20,'D-1 Off-Site Habitat Baseline'!$D$1:$O$258,6,FALSE)),"",(VLOOKUP($E20,'D-1 Off-Site Habitat Baseline'!$D$1:$O$258,6,FALSE))))</f>
        <v/>
      </c>
      <c r="I20" s="382" t="str">
        <f>IF(E20="","",IF(ISNA(VLOOKUP($E20,'D-1 Off-Site Habitat Baseline'!$D$1:$O$258,7,FALSE)),"",(VLOOKUP($E20,'D-1 Off-Site Habitat Baseline'!$D$1:$O$258,7,FALSE))))</f>
        <v/>
      </c>
      <c r="J20" s="382" t="str">
        <f>IF(E20="","",IF(ISNA(VLOOKUP($E20,'D-1 Off-Site Habitat Baseline'!$D$1:$O$258,8,FALSE)),"",(VLOOKUP($E20,'D-1 Off-Site Habitat Baseline'!$D$1:$O$258,8,FALSE))))</f>
        <v/>
      </c>
      <c r="K20" s="382" t="str">
        <f>IF(E20="","",IF(ISNA(VLOOKUP($E20,'D-1 Off-Site Habitat Baseline'!$D$1:$O$258,9,FALSE)),"",(VLOOKUP($E20,'D-1 Off-Site Habitat Baseline'!$D$1:$O$258,9,FALSE))))</f>
        <v/>
      </c>
      <c r="L20" s="382" t="str">
        <f>IF(E20="","",IF(ISNA(VLOOKUP($E20,'D-1 Off-Site Habitat Baseline'!$D$1:$O$258,11,FALSE)),"",(VLOOKUP($E20,'D-1 Off-Site Habitat Baseline'!$D$1:$O$258,11,FALSE))))</f>
        <v/>
      </c>
      <c r="M20" s="382" t="str">
        <f>IF(E20="","",IF(ISNA(VLOOKUP($E20,'D-1 Off-Site Habitat Baseline'!$D$1:$O$258,12,FALSE)),"",(VLOOKUP($E20,'D-1 Off-Site Habitat Baseline'!$D$1:$O$258,12,FALSE))))</f>
        <v/>
      </c>
      <c r="N20" s="382" t="str">
        <f>IF(E20="","",IF(ISNA(VLOOKUP($E20,'D-1 Off-Site Habitat Baseline'!$D$1:$AA$258,14,FALSE)),"",(VLOOKUP($E20,'D-1 Off-Site Habitat Baseline'!$D$1:$AA$258,14,FALSE))))</f>
        <v/>
      </c>
      <c r="O20" s="386" t="str">
        <f>IF(E20="","",IF(ISNA(VLOOKUP($E20,'D-1 Off-Site Habitat Baseline'!$D$1:$AA$258,13,FALSE)),"",(VLOOKUP($E20,'D-1 Off-Site Habitat Baseline'!$D$1:$AA$258,13,FALSE))))</f>
        <v/>
      </c>
      <c r="P20" s="184" t="str">
        <f>IFERROR(INDEX('G-1 All Habitats'!$AG$3:$AG$17,MATCH(Q20,'G-1 All Habitats'!$AF$3:$AF$17,0)),"")</f>
        <v/>
      </c>
      <c r="Q20" s="185" t="str">
        <f t="shared" si="0"/>
        <v/>
      </c>
      <c r="R20" s="186" t="str">
        <f t="shared" si="1"/>
        <v/>
      </c>
      <c r="S20" s="187" t="str">
        <f>IFERROR(INDEX('G-1 All Habitats'!$B$3:$B$134,MATCH(R20,'G-1 All Habitats'!$A$3:$A$134,0)),"")</f>
        <v/>
      </c>
      <c r="T20" s="370" t="str">
        <f t="shared" si="3"/>
        <v/>
      </c>
      <c r="U20" s="386" t="str">
        <f t="shared" si="4"/>
        <v/>
      </c>
      <c r="V20" s="385" t="str">
        <f t="shared" si="5"/>
        <v/>
      </c>
      <c r="W20" s="382" t="str">
        <f>IF(S20="","",VLOOKUP(S20,'G-1 All Habitats'!$B$2:$M$134,10,FALSE))</f>
        <v/>
      </c>
      <c r="X20" s="382" t="str">
        <f>IFERROR(VLOOKUP(W20,'G-1 All Habitats'!$V$3:$W$7,2,FALSE),"")</f>
        <v/>
      </c>
      <c r="Y20" s="165"/>
      <c r="Z20" s="386" t="str">
        <f>IFERROR(INDEX('G-8 Condition Look up'!$A$3:$H$135,MATCH(S20,'G-8 Condition Look up'!$A$3:$A$135,0),MATCH(Y20,'G-8 Condition Look up'!$A$3:$H$3,0)),"")</f>
        <v/>
      </c>
      <c r="AA20" s="114"/>
      <c r="AB20" s="401" t="str">
        <f>IF(AA20="","",IF(VLOOKUP(AA20,'G-3 Multipliers'!$L$3:$N$6,2,FALSE)=0,"Spatial Data Missing ⚠",VLOOKUP(AA20,'G-3 Multipliers'!$L$3:$N$6,2,FALSE)))</f>
        <v/>
      </c>
      <c r="AC20" s="386" t="str">
        <f>IF(AA20="","",IF(VLOOKUP(AA20,'G-3 Multipliers'!$L$3:$N$6,3,FALSE)=0,"Spatial Data Missing ⚠",VLOOKUP(AA20,'G-3 Multipliers'!$L$3:$N$6,3,FALSE)))</f>
        <v/>
      </c>
      <c r="AD20" s="398" t="str">
        <f t="shared" si="2"/>
        <v/>
      </c>
      <c r="AE20" s="165"/>
      <c r="AF20" s="165"/>
      <c r="AG20" s="382" t="str">
        <f t="shared" si="6"/>
        <v/>
      </c>
      <c r="AH20" s="404" t="str">
        <f t="shared" si="7"/>
        <v/>
      </c>
      <c r="AI20" s="387" t="str">
        <f>IF(AH20="Check Data ⚠","Check Data ⚠",IFERROR(VLOOKUP(AH20,'G-4 Temporal multipliers'!$A$4:$C$36,3,FALSE),""))</f>
        <v/>
      </c>
      <c r="AJ20" s="398" t="str">
        <f>IF(S20="","",VLOOKUP(S20,'G-3 Multipliers'!$A$2:$E$134,4,FALSE))</f>
        <v/>
      </c>
      <c r="AK20" s="382" t="str">
        <f t="shared" si="8"/>
        <v/>
      </c>
      <c r="AL20" s="382" t="str">
        <f t="shared" si="9"/>
        <v/>
      </c>
      <c r="AM20" s="386" t="str">
        <f>IFERROR(IF(F20="","",IF(AH20="Check Data ⚠","Check Data ⚠",VLOOKUP(AL20, 'G-3 Multipliers'!$P$2:$Q$6,2,FALSE))),"")</f>
        <v/>
      </c>
      <c r="AN20" s="516"/>
      <c r="AO20" s="417" t="str">
        <f>IF(AN20="","",IF(VLOOKUP(AN20,'G-3 Multipliers'!$S$3:$T$10,2,FALSE)=0,"Spatial Data Missing ⚠",VLOOKUP(AN20,'G-3 Multipliers'!$S$3:$T$10,2,FALSE)))</f>
        <v/>
      </c>
      <c r="AP20" s="376" t="str">
        <f t="shared" si="10"/>
        <v/>
      </c>
      <c r="AQ20" s="376" t="str">
        <f t="shared" si="11"/>
        <v/>
      </c>
      <c r="AR20" s="119"/>
      <c r="AS20" s="528"/>
      <c r="AT20" s="120"/>
      <c r="AU20" s="120"/>
    </row>
    <row r="21" spans="1:47">
      <c r="A21" s="30" t="str">
        <f>IF(E21="","",IF(ISNA(VLOOKUP($E21,'D-1 Off-Site Habitat Baseline'!$D$1:$O$258,2,FALSE)),"",(VLOOKUP($E21,'D-1 Off-Site Habitat Baseline'!$D$1:$O$258,2,FALSE))))</f>
        <v/>
      </c>
      <c r="B21" s="30" t="str">
        <f>IF(E21="","",IF(ISNA(VLOOKUP($E21,'D-1 Off-Site Habitat Baseline'!$D$1:$O$258,3,FALSE)),"",(VLOOKUP($E21,'D-1 Off-Site Habitat Baseline'!$D$1:$O$258,3,FALSE))))</f>
        <v/>
      </c>
      <c r="C21" s="30" t="str">
        <f>IFERROR(INDEX('G-8 Condition Look up'!$I$4:$I$135,MATCH(S21,'G-8 Condition Look up'!$A$4:$A$135,0)),"")</f>
        <v/>
      </c>
      <c r="E21" s="407" t="str">
        <f>'D-1 Off-Site Habitat Baseline'!AP20</f>
        <v/>
      </c>
      <c r="F21" s="382" t="str">
        <f>IF(E21="","",IF(ISNA(VLOOKUP($E21,'D-1 Off-Site Habitat Baseline'!$D$1:$O$258,4,FALSE)),"",(VLOOKUP($E21,'D-1 Off-Site Habitat Baseline'!$D$1:$O$258,4,FALSE))))</f>
        <v/>
      </c>
      <c r="G21" s="382" t="str">
        <f>IF(E21="","",IF(ISNA(VLOOKUP($E21,'D-1 Off-Site Habitat Baseline'!$D$1:$O$258,5,FALSE)),"",(VLOOKUP($E21,'D-1 Off-Site Habitat Baseline'!$D$1:$O$258,5,FALSE))))</f>
        <v/>
      </c>
      <c r="H21" s="382" t="str">
        <f>IF(E21="","",IF(ISNA(VLOOKUP($E21,'D-1 Off-Site Habitat Baseline'!$D$1:$O$258,6,FALSE)),"",(VLOOKUP($E21,'D-1 Off-Site Habitat Baseline'!$D$1:$O$258,6,FALSE))))</f>
        <v/>
      </c>
      <c r="I21" s="382" t="str">
        <f>IF(E21="","",IF(ISNA(VLOOKUP($E21,'D-1 Off-Site Habitat Baseline'!$D$1:$O$258,7,FALSE)),"",(VLOOKUP($E21,'D-1 Off-Site Habitat Baseline'!$D$1:$O$258,7,FALSE))))</f>
        <v/>
      </c>
      <c r="J21" s="382" t="str">
        <f>IF(E21="","",IF(ISNA(VLOOKUP($E21,'D-1 Off-Site Habitat Baseline'!$D$1:$O$258,8,FALSE)),"",(VLOOKUP($E21,'D-1 Off-Site Habitat Baseline'!$D$1:$O$258,8,FALSE))))</f>
        <v/>
      </c>
      <c r="K21" s="382" t="str">
        <f>IF(E21="","",IF(ISNA(VLOOKUP($E21,'D-1 Off-Site Habitat Baseline'!$D$1:$O$258,9,FALSE)),"",(VLOOKUP($E21,'D-1 Off-Site Habitat Baseline'!$D$1:$O$258,9,FALSE))))</f>
        <v/>
      </c>
      <c r="L21" s="382" t="str">
        <f>IF(E21="","",IF(ISNA(VLOOKUP($E21,'D-1 Off-Site Habitat Baseline'!$D$1:$O$258,11,FALSE)),"",(VLOOKUP($E21,'D-1 Off-Site Habitat Baseline'!$D$1:$O$258,11,FALSE))))</f>
        <v/>
      </c>
      <c r="M21" s="382" t="str">
        <f>IF(E21="","",IF(ISNA(VLOOKUP($E21,'D-1 Off-Site Habitat Baseline'!$D$1:$O$258,12,FALSE)),"",(VLOOKUP($E21,'D-1 Off-Site Habitat Baseline'!$D$1:$O$258,12,FALSE))))</f>
        <v/>
      </c>
      <c r="N21" s="382" t="str">
        <f>IF(E21="","",IF(ISNA(VLOOKUP($E21,'D-1 Off-Site Habitat Baseline'!$D$1:$AA$258,14,FALSE)),"",(VLOOKUP($E21,'D-1 Off-Site Habitat Baseline'!$D$1:$AA$258,14,FALSE))))</f>
        <v/>
      </c>
      <c r="O21" s="386" t="str">
        <f>IF(E21="","",IF(ISNA(VLOOKUP($E21,'D-1 Off-Site Habitat Baseline'!$D$1:$AA$258,13,FALSE)),"",(VLOOKUP($E21,'D-1 Off-Site Habitat Baseline'!$D$1:$AA$258,13,FALSE))))</f>
        <v/>
      </c>
      <c r="P21" s="184" t="str">
        <f>IFERROR(INDEX('G-1 All Habitats'!$AG$3:$AG$17,MATCH(Q21,'G-1 All Habitats'!$AF$3:$AF$17,0)),"")</f>
        <v/>
      </c>
      <c r="Q21" s="185" t="str">
        <f t="shared" si="0"/>
        <v/>
      </c>
      <c r="R21" s="186" t="str">
        <f t="shared" si="1"/>
        <v/>
      </c>
      <c r="S21" s="187" t="str">
        <f>IFERROR(INDEX('G-1 All Habitats'!$B$3:$B$134,MATCH(R21,'G-1 All Habitats'!$A$3:$A$134,0)),"")</f>
        <v/>
      </c>
      <c r="T21" s="370" t="str">
        <f t="shared" si="3"/>
        <v/>
      </c>
      <c r="U21" s="386" t="str">
        <f t="shared" si="4"/>
        <v/>
      </c>
      <c r="V21" s="385" t="str">
        <f t="shared" si="5"/>
        <v/>
      </c>
      <c r="W21" s="382" t="str">
        <f>IF(S21="","",VLOOKUP(S21,'G-1 All Habitats'!$B$2:$M$134,10,FALSE))</f>
        <v/>
      </c>
      <c r="X21" s="382" t="str">
        <f>IFERROR(VLOOKUP(W21,'G-1 All Habitats'!$V$3:$W$7,2,FALSE),"")</f>
        <v/>
      </c>
      <c r="Y21" s="165"/>
      <c r="Z21" s="386" t="str">
        <f>IFERROR(INDEX('G-8 Condition Look up'!$A$3:$H$135,MATCH(S21,'G-8 Condition Look up'!$A$3:$A$135,0),MATCH(Y21,'G-8 Condition Look up'!$A$3:$H$3,0)),"")</f>
        <v/>
      </c>
      <c r="AA21" s="114"/>
      <c r="AB21" s="401" t="str">
        <f>IF(AA21="","",IF(VLOOKUP(AA21,'G-3 Multipliers'!$L$3:$N$6,2,FALSE)=0,"Spatial Data Missing ⚠",VLOOKUP(AA21,'G-3 Multipliers'!$L$3:$N$6,2,FALSE)))</f>
        <v/>
      </c>
      <c r="AC21" s="386" t="str">
        <f>IF(AA21="","",IF(VLOOKUP(AA21,'G-3 Multipliers'!$L$3:$N$6,3,FALSE)=0,"Spatial Data Missing ⚠",VLOOKUP(AA21,'G-3 Multipliers'!$L$3:$N$6,3,FALSE)))</f>
        <v/>
      </c>
      <c r="AD21" s="398" t="str">
        <f t="shared" si="2"/>
        <v/>
      </c>
      <c r="AE21" s="165"/>
      <c r="AF21" s="165"/>
      <c r="AG21" s="382" t="str">
        <f t="shared" si="6"/>
        <v/>
      </c>
      <c r="AH21" s="404" t="str">
        <f t="shared" si="7"/>
        <v/>
      </c>
      <c r="AI21" s="387" t="str">
        <f>IF(AH21="Check Data ⚠","Check Data ⚠",IFERROR(VLOOKUP(AH21,'G-4 Temporal multipliers'!$A$4:$C$36,3,FALSE),""))</f>
        <v/>
      </c>
      <c r="AJ21" s="398" t="str">
        <f>IF(S21="","",VLOOKUP(S21,'G-3 Multipliers'!$A$2:$E$134,4,FALSE))</f>
        <v/>
      </c>
      <c r="AK21" s="382" t="str">
        <f t="shared" si="8"/>
        <v/>
      </c>
      <c r="AL21" s="382" t="str">
        <f t="shared" si="9"/>
        <v/>
      </c>
      <c r="AM21" s="386" t="str">
        <f>IFERROR(IF(F21="","",IF(AH21="Check Data ⚠","Check Data ⚠",VLOOKUP(AL21, 'G-3 Multipliers'!$P$2:$Q$6,2,FALSE))),"")</f>
        <v/>
      </c>
      <c r="AN21" s="516"/>
      <c r="AO21" s="417" t="str">
        <f>IF(AN21="","",IF(VLOOKUP(AN21,'G-3 Multipliers'!$S$3:$T$10,2,FALSE)=0,"Spatial Data Missing ⚠",VLOOKUP(AN21,'G-3 Multipliers'!$S$3:$T$10,2,FALSE)))</f>
        <v/>
      </c>
      <c r="AP21" s="376" t="str">
        <f t="shared" si="10"/>
        <v/>
      </c>
      <c r="AQ21" s="376" t="str">
        <f t="shared" si="11"/>
        <v/>
      </c>
      <c r="AR21" s="119"/>
      <c r="AS21" s="528"/>
      <c r="AT21" s="120"/>
      <c r="AU21" s="120"/>
    </row>
    <row r="22" spans="1:47">
      <c r="A22" s="30" t="str">
        <f>IF(E22="","",IF(ISNA(VLOOKUP($E22,'D-1 Off-Site Habitat Baseline'!$D$1:$O$258,2,FALSE)),"",(VLOOKUP($E22,'D-1 Off-Site Habitat Baseline'!$D$1:$O$258,2,FALSE))))</f>
        <v/>
      </c>
      <c r="B22" s="30" t="str">
        <f>IF(E22="","",IF(ISNA(VLOOKUP($E22,'D-1 Off-Site Habitat Baseline'!$D$1:$O$258,3,FALSE)),"",(VLOOKUP($E22,'D-1 Off-Site Habitat Baseline'!$D$1:$O$258,3,FALSE))))</f>
        <v/>
      </c>
      <c r="C22" s="30" t="str">
        <f>IFERROR(INDEX('G-8 Condition Look up'!$I$4:$I$135,MATCH(S22,'G-8 Condition Look up'!$A$4:$A$135,0)),"")</f>
        <v/>
      </c>
      <c r="E22" s="407" t="str">
        <f>'D-1 Off-Site Habitat Baseline'!AP21</f>
        <v/>
      </c>
      <c r="F22" s="382" t="str">
        <f>IF(E22="","",IF(ISNA(VLOOKUP($E22,'D-1 Off-Site Habitat Baseline'!$D$1:$O$258,4,FALSE)),"",(VLOOKUP($E22,'D-1 Off-Site Habitat Baseline'!$D$1:$O$258,4,FALSE))))</f>
        <v/>
      </c>
      <c r="G22" s="382" t="str">
        <f>IF(E22="","",IF(ISNA(VLOOKUP($E22,'D-1 Off-Site Habitat Baseline'!$D$1:$O$258,5,FALSE)),"",(VLOOKUP($E22,'D-1 Off-Site Habitat Baseline'!$D$1:$O$258,5,FALSE))))</f>
        <v/>
      </c>
      <c r="H22" s="382" t="str">
        <f>IF(E22="","",IF(ISNA(VLOOKUP($E22,'D-1 Off-Site Habitat Baseline'!$D$1:$O$258,6,FALSE)),"",(VLOOKUP($E22,'D-1 Off-Site Habitat Baseline'!$D$1:$O$258,6,FALSE))))</f>
        <v/>
      </c>
      <c r="I22" s="382" t="str">
        <f>IF(E22="","",IF(ISNA(VLOOKUP($E22,'D-1 Off-Site Habitat Baseline'!$D$1:$O$258,7,FALSE)),"",(VLOOKUP($E22,'D-1 Off-Site Habitat Baseline'!$D$1:$O$258,7,FALSE))))</f>
        <v/>
      </c>
      <c r="J22" s="382" t="str">
        <f>IF(E22="","",IF(ISNA(VLOOKUP($E22,'D-1 Off-Site Habitat Baseline'!$D$1:$O$258,8,FALSE)),"",(VLOOKUP($E22,'D-1 Off-Site Habitat Baseline'!$D$1:$O$258,8,FALSE))))</f>
        <v/>
      </c>
      <c r="K22" s="382" t="str">
        <f>IF(E22="","",IF(ISNA(VLOOKUP($E22,'D-1 Off-Site Habitat Baseline'!$D$1:$O$258,9,FALSE)),"",(VLOOKUP($E22,'D-1 Off-Site Habitat Baseline'!$D$1:$O$258,9,FALSE))))</f>
        <v/>
      </c>
      <c r="L22" s="382" t="str">
        <f>IF(E22="","",IF(ISNA(VLOOKUP($E22,'D-1 Off-Site Habitat Baseline'!$D$1:$O$258,11,FALSE)),"",(VLOOKUP($E22,'D-1 Off-Site Habitat Baseline'!$D$1:$O$258,11,FALSE))))</f>
        <v/>
      </c>
      <c r="M22" s="382" t="str">
        <f>IF(E22="","",IF(ISNA(VLOOKUP($E22,'D-1 Off-Site Habitat Baseline'!$D$1:$O$258,12,FALSE)),"",(VLOOKUP($E22,'D-1 Off-Site Habitat Baseline'!$D$1:$O$258,12,FALSE))))</f>
        <v/>
      </c>
      <c r="N22" s="382" t="str">
        <f>IF(E22="","",IF(ISNA(VLOOKUP($E22,'D-1 Off-Site Habitat Baseline'!$D$1:$AA$258,14,FALSE)),"",(VLOOKUP($E22,'D-1 Off-Site Habitat Baseline'!$D$1:$AA$258,14,FALSE))))</f>
        <v/>
      </c>
      <c r="O22" s="386" t="str">
        <f>IF(E22="","",IF(ISNA(VLOOKUP($E22,'D-1 Off-Site Habitat Baseline'!$D$1:$AA$258,13,FALSE)),"",(VLOOKUP($E22,'D-1 Off-Site Habitat Baseline'!$D$1:$AA$258,13,FALSE))))</f>
        <v/>
      </c>
      <c r="P22" s="184" t="str">
        <f>IFERROR(INDEX('G-1 All Habitats'!$AG$3:$AG$17,MATCH(Q22,'G-1 All Habitats'!$AF$3:$AF$17,0)),"")</f>
        <v/>
      </c>
      <c r="Q22" s="185" t="str">
        <f t="shared" si="0"/>
        <v/>
      </c>
      <c r="R22" s="186" t="str">
        <f t="shared" si="1"/>
        <v/>
      </c>
      <c r="S22" s="187" t="str">
        <f>IFERROR(INDEX('G-1 All Habitats'!$B$3:$B$134,MATCH(R22,'G-1 All Habitats'!$A$3:$A$134,0)),"")</f>
        <v/>
      </c>
      <c r="T22" s="370" t="str">
        <f t="shared" si="3"/>
        <v/>
      </c>
      <c r="U22" s="386" t="str">
        <f t="shared" si="4"/>
        <v/>
      </c>
      <c r="V22" s="385" t="str">
        <f t="shared" si="5"/>
        <v/>
      </c>
      <c r="W22" s="382" t="str">
        <f>IF(S22="","",VLOOKUP(S22,'G-1 All Habitats'!$B$2:$M$134,10,FALSE))</f>
        <v/>
      </c>
      <c r="X22" s="382" t="str">
        <f>IFERROR(VLOOKUP(W22,'G-1 All Habitats'!$V$3:$W$7,2,FALSE),"")</f>
        <v/>
      </c>
      <c r="Y22" s="165"/>
      <c r="Z22" s="386" t="str">
        <f>IFERROR(INDEX('G-8 Condition Look up'!$A$3:$H$135,MATCH(S22,'G-8 Condition Look up'!$A$3:$A$135,0),MATCH(Y22,'G-8 Condition Look up'!$A$3:$H$3,0)),"")</f>
        <v/>
      </c>
      <c r="AA22" s="114"/>
      <c r="AB22" s="401" t="str">
        <f>IF(AA22="","",IF(VLOOKUP(AA22,'G-3 Multipliers'!$L$3:$N$6,2,FALSE)=0,"Spatial Data Missing ⚠",VLOOKUP(AA22,'G-3 Multipliers'!$L$3:$N$6,2,FALSE)))</f>
        <v/>
      </c>
      <c r="AC22" s="386" t="str">
        <f>IF(AA22="","",IF(VLOOKUP(AA22,'G-3 Multipliers'!$L$3:$N$6,3,FALSE)=0,"Spatial Data Missing ⚠",VLOOKUP(AA22,'G-3 Multipliers'!$L$3:$N$6,3,FALSE)))</f>
        <v/>
      </c>
      <c r="AD22" s="398" t="str">
        <f t="shared" si="2"/>
        <v/>
      </c>
      <c r="AE22" s="165"/>
      <c r="AF22" s="165"/>
      <c r="AG22" s="382" t="str">
        <f t="shared" si="6"/>
        <v/>
      </c>
      <c r="AH22" s="404" t="str">
        <f t="shared" si="7"/>
        <v/>
      </c>
      <c r="AI22" s="387" t="str">
        <f>IF(AH22="Check Data ⚠","Check Data ⚠",IFERROR(VLOOKUP(AH22,'G-4 Temporal multipliers'!$A$4:$C$36,3,FALSE),""))</f>
        <v/>
      </c>
      <c r="AJ22" s="398" t="str">
        <f>IF(S22="","",VLOOKUP(S22,'G-3 Multipliers'!$A$2:$E$134,4,FALSE))</f>
        <v/>
      </c>
      <c r="AK22" s="382" t="str">
        <f t="shared" si="8"/>
        <v/>
      </c>
      <c r="AL22" s="382" t="str">
        <f t="shared" si="9"/>
        <v/>
      </c>
      <c r="AM22" s="386" t="str">
        <f>IFERROR(IF(F22="","",IF(AH22="Check Data ⚠","Check Data ⚠",VLOOKUP(AL22, 'G-3 Multipliers'!$P$2:$Q$6,2,FALSE))),"")</f>
        <v/>
      </c>
      <c r="AN22" s="516"/>
      <c r="AO22" s="417" t="str">
        <f>IF(AN22="","",IF(VLOOKUP(AN22,'G-3 Multipliers'!$S$3:$T$10,2,FALSE)=0,"Spatial Data Missing ⚠",VLOOKUP(AN22,'G-3 Multipliers'!$S$3:$T$10,2,FALSE)))</f>
        <v/>
      </c>
      <c r="AP22" s="376" t="str">
        <f t="shared" si="10"/>
        <v/>
      </c>
      <c r="AQ22" s="376" t="str">
        <f t="shared" si="11"/>
        <v/>
      </c>
      <c r="AR22" s="119"/>
      <c r="AS22" s="528"/>
      <c r="AT22" s="120"/>
      <c r="AU22" s="120"/>
    </row>
    <row r="23" spans="1:47">
      <c r="A23" s="30" t="str">
        <f>IF(E23="","",IF(ISNA(VLOOKUP($E23,'D-1 Off-Site Habitat Baseline'!$D$1:$O$258,2,FALSE)),"",(VLOOKUP($E23,'D-1 Off-Site Habitat Baseline'!$D$1:$O$258,2,FALSE))))</f>
        <v/>
      </c>
      <c r="B23" s="30" t="str">
        <f>IF(E23="","",IF(ISNA(VLOOKUP($E23,'D-1 Off-Site Habitat Baseline'!$D$1:$O$258,3,FALSE)),"",(VLOOKUP($E23,'D-1 Off-Site Habitat Baseline'!$D$1:$O$258,3,FALSE))))</f>
        <v/>
      </c>
      <c r="C23" s="30" t="str">
        <f>IFERROR(INDEX('G-8 Condition Look up'!$I$4:$I$135,MATCH(S23,'G-8 Condition Look up'!$A$4:$A$135,0)),"")</f>
        <v/>
      </c>
      <c r="E23" s="407" t="str">
        <f>'D-1 Off-Site Habitat Baseline'!AP22</f>
        <v/>
      </c>
      <c r="F23" s="382" t="str">
        <f>IF(E23="","",IF(ISNA(VLOOKUP($E23,'D-1 Off-Site Habitat Baseline'!$D$1:$O$258,4,FALSE)),"",(VLOOKUP($E23,'D-1 Off-Site Habitat Baseline'!$D$1:$O$258,4,FALSE))))</f>
        <v/>
      </c>
      <c r="G23" s="382" t="str">
        <f>IF(E23="","",IF(ISNA(VLOOKUP($E23,'D-1 Off-Site Habitat Baseline'!$D$1:$O$258,5,FALSE)),"",(VLOOKUP($E23,'D-1 Off-Site Habitat Baseline'!$D$1:$O$258,5,FALSE))))</f>
        <v/>
      </c>
      <c r="H23" s="382" t="str">
        <f>IF(E23="","",IF(ISNA(VLOOKUP($E23,'D-1 Off-Site Habitat Baseline'!$D$1:$O$258,6,FALSE)),"",(VLOOKUP($E23,'D-1 Off-Site Habitat Baseline'!$D$1:$O$258,6,FALSE))))</f>
        <v/>
      </c>
      <c r="I23" s="382" t="str">
        <f>IF(E23="","",IF(ISNA(VLOOKUP($E23,'D-1 Off-Site Habitat Baseline'!$D$1:$O$258,7,FALSE)),"",(VLOOKUP($E23,'D-1 Off-Site Habitat Baseline'!$D$1:$O$258,7,FALSE))))</f>
        <v/>
      </c>
      <c r="J23" s="382" t="str">
        <f>IF(E23="","",IF(ISNA(VLOOKUP($E23,'D-1 Off-Site Habitat Baseline'!$D$1:$O$258,8,FALSE)),"",(VLOOKUP($E23,'D-1 Off-Site Habitat Baseline'!$D$1:$O$258,8,FALSE))))</f>
        <v/>
      </c>
      <c r="K23" s="382" t="str">
        <f>IF(E23="","",IF(ISNA(VLOOKUP($E23,'D-1 Off-Site Habitat Baseline'!$D$1:$O$258,9,FALSE)),"",(VLOOKUP($E23,'D-1 Off-Site Habitat Baseline'!$D$1:$O$258,9,FALSE))))</f>
        <v/>
      </c>
      <c r="L23" s="382" t="str">
        <f>IF(E23="","",IF(ISNA(VLOOKUP($E23,'D-1 Off-Site Habitat Baseline'!$D$1:$O$258,11,FALSE)),"",(VLOOKUP($E23,'D-1 Off-Site Habitat Baseline'!$D$1:$O$258,11,FALSE))))</f>
        <v/>
      </c>
      <c r="M23" s="382" t="str">
        <f>IF(E23="","",IF(ISNA(VLOOKUP($E23,'D-1 Off-Site Habitat Baseline'!$D$1:$O$258,12,FALSE)),"",(VLOOKUP($E23,'D-1 Off-Site Habitat Baseline'!$D$1:$O$258,12,FALSE))))</f>
        <v/>
      </c>
      <c r="N23" s="382" t="str">
        <f>IF(E23="","",IF(ISNA(VLOOKUP($E23,'D-1 Off-Site Habitat Baseline'!$D$1:$AA$258,14,FALSE)),"",(VLOOKUP($E23,'D-1 Off-Site Habitat Baseline'!$D$1:$AA$258,14,FALSE))))</f>
        <v/>
      </c>
      <c r="O23" s="386" t="str">
        <f>IF(E23="","",IF(ISNA(VLOOKUP($E23,'D-1 Off-Site Habitat Baseline'!$D$1:$AA$258,13,FALSE)),"",(VLOOKUP($E23,'D-1 Off-Site Habitat Baseline'!$D$1:$AA$258,13,FALSE))))</f>
        <v/>
      </c>
      <c r="P23" s="184" t="str">
        <f>IFERROR(INDEX('G-1 All Habitats'!$AG$3:$AG$17,MATCH(Q23,'G-1 All Habitats'!$AF$3:$AF$17,0)),"")</f>
        <v/>
      </c>
      <c r="Q23" s="185" t="str">
        <f t="shared" si="0"/>
        <v/>
      </c>
      <c r="R23" s="186" t="str">
        <f t="shared" si="1"/>
        <v/>
      </c>
      <c r="S23" s="187" t="str">
        <f>IFERROR(INDEX('G-1 All Habitats'!$B$3:$B$134,MATCH(R23,'G-1 All Habitats'!$A$3:$A$134,0)),"")</f>
        <v/>
      </c>
      <c r="T23" s="370" t="str">
        <f t="shared" si="3"/>
        <v/>
      </c>
      <c r="U23" s="386" t="str">
        <f t="shared" si="4"/>
        <v/>
      </c>
      <c r="V23" s="385" t="str">
        <f t="shared" si="5"/>
        <v/>
      </c>
      <c r="W23" s="382" t="str">
        <f>IF(S23="","",VLOOKUP(S23,'G-1 All Habitats'!$B$2:$M$134,10,FALSE))</f>
        <v/>
      </c>
      <c r="X23" s="382" t="str">
        <f>IFERROR(VLOOKUP(W23,'G-1 All Habitats'!$V$3:$W$7,2,FALSE),"")</f>
        <v/>
      </c>
      <c r="Y23" s="165"/>
      <c r="Z23" s="386" t="str">
        <f>IFERROR(INDEX('G-8 Condition Look up'!$A$3:$H$135,MATCH(S23,'G-8 Condition Look up'!$A$3:$A$135,0),MATCH(Y23,'G-8 Condition Look up'!$A$3:$H$3,0)),"")</f>
        <v/>
      </c>
      <c r="AA23" s="114"/>
      <c r="AB23" s="401" t="str">
        <f>IF(AA23="","",IF(VLOOKUP(AA23,'G-3 Multipliers'!$L$3:$N$6,2,FALSE)=0,"Spatial Data Missing ⚠",VLOOKUP(AA23,'G-3 Multipliers'!$L$3:$N$6,2,FALSE)))</f>
        <v/>
      </c>
      <c r="AC23" s="386" t="str">
        <f>IF(AA23="","",IF(VLOOKUP(AA23,'G-3 Multipliers'!$L$3:$N$6,3,FALSE)=0,"Spatial Data Missing ⚠",VLOOKUP(AA23,'G-3 Multipliers'!$L$3:$N$6,3,FALSE)))</f>
        <v/>
      </c>
      <c r="AD23" s="398" t="str">
        <f t="shared" si="2"/>
        <v/>
      </c>
      <c r="AE23" s="165"/>
      <c r="AF23" s="165"/>
      <c r="AG23" s="382" t="str">
        <f t="shared" si="6"/>
        <v/>
      </c>
      <c r="AH23" s="404" t="str">
        <f t="shared" si="7"/>
        <v/>
      </c>
      <c r="AI23" s="387" t="str">
        <f>IF(AH23="Check Data ⚠","Check Data ⚠",IFERROR(VLOOKUP(AH23,'G-4 Temporal multipliers'!$A$4:$C$36,3,FALSE),""))</f>
        <v/>
      </c>
      <c r="AJ23" s="398" t="str">
        <f>IF(S23="","",VLOOKUP(S23,'G-3 Multipliers'!$A$2:$E$134,4,FALSE))</f>
        <v/>
      </c>
      <c r="AK23" s="382" t="str">
        <f t="shared" si="8"/>
        <v/>
      </c>
      <c r="AL23" s="382" t="str">
        <f t="shared" si="9"/>
        <v/>
      </c>
      <c r="AM23" s="386" t="str">
        <f>IFERROR(IF(F23="","",IF(AH23="Check Data ⚠","Check Data ⚠",VLOOKUP(AL23, 'G-3 Multipliers'!$P$2:$Q$6,2,FALSE))),"")</f>
        <v/>
      </c>
      <c r="AN23" s="516"/>
      <c r="AO23" s="417" t="str">
        <f>IF(AN23="","",IF(VLOOKUP(AN23,'G-3 Multipliers'!$S$3:$T$10,2,FALSE)=0,"Spatial Data Missing ⚠",VLOOKUP(AN23,'G-3 Multipliers'!$S$3:$T$10,2,FALSE)))</f>
        <v/>
      </c>
      <c r="AP23" s="376" t="str">
        <f t="shared" si="10"/>
        <v/>
      </c>
      <c r="AQ23" s="376" t="str">
        <f t="shared" si="11"/>
        <v/>
      </c>
      <c r="AR23" s="119"/>
      <c r="AS23" s="528"/>
      <c r="AT23" s="120"/>
      <c r="AU23" s="120"/>
    </row>
    <row r="24" spans="1:47">
      <c r="A24" s="30" t="str">
        <f>IF(E24="","",IF(ISNA(VLOOKUP($E24,'D-1 Off-Site Habitat Baseline'!$D$1:$O$258,2,FALSE)),"",(VLOOKUP($E24,'D-1 Off-Site Habitat Baseline'!$D$1:$O$258,2,FALSE))))</f>
        <v/>
      </c>
      <c r="B24" s="30" t="str">
        <f>IF(E24="","",IF(ISNA(VLOOKUP($E24,'D-1 Off-Site Habitat Baseline'!$D$1:$O$258,3,FALSE)),"",(VLOOKUP($E24,'D-1 Off-Site Habitat Baseline'!$D$1:$O$258,3,FALSE))))</f>
        <v/>
      </c>
      <c r="C24" s="30" t="str">
        <f>IFERROR(INDEX('G-8 Condition Look up'!$I$4:$I$135,MATCH(S24,'G-8 Condition Look up'!$A$4:$A$135,0)),"")</f>
        <v/>
      </c>
      <c r="E24" s="407" t="str">
        <f>'D-1 Off-Site Habitat Baseline'!AP23</f>
        <v/>
      </c>
      <c r="F24" s="382" t="str">
        <f>IF(E24="","",IF(ISNA(VLOOKUP($E24,'D-1 Off-Site Habitat Baseline'!$D$1:$O$258,4,FALSE)),"",(VLOOKUP($E24,'D-1 Off-Site Habitat Baseline'!$D$1:$O$258,4,FALSE))))</f>
        <v/>
      </c>
      <c r="G24" s="382" t="str">
        <f>IF(E24="","",IF(ISNA(VLOOKUP($E24,'D-1 Off-Site Habitat Baseline'!$D$1:$O$258,5,FALSE)),"",(VLOOKUP($E24,'D-1 Off-Site Habitat Baseline'!$D$1:$O$258,5,FALSE))))</f>
        <v/>
      </c>
      <c r="H24" s="382" t="str">
        <f>IF(E24="","",IF(ISNA(VLOOKUP($E24,'D-1 Off-Site Habitat Baseline'!$D$1:$O$258,6,FALSE)),"",(VLOOKUP($E24,'D-1 Off-Site Habitat Baseline'!$D$1:$O$258,6,FALSE))))</f>
        <v/>
      </c>
      <c r="I24" s="382" t="str">
        <f>IF(E24="","",IF(ISNA(VLOOKUP($E24,'D-1 Off-Site Habitat Baseline'!$D$1:$O$258,7,FALSE)),"",(VLOOKUP($E24,'D-1 Off-Site Habitat Baseline'!$D$1:$O$258,7,FALSE))))</f>
        <v/>
      </c>
      <c r="J24" s="382" t="str">
        <f>IF(E24="","",IF(ISNA(VLOOKUP($E24,'D-1 Off-Site Habitat Baseline'!$D$1:$O$258,8,FALSE)),"",(VLOOKUP($E24,'D-1 Off-Site Habitat Baseline'!$D$1:$O$258,8,FALSE))))</f>
        <v/>
      </c>
      <c r="K24" s="382" t="str">
        <f>IF(E24="","",IF(ISNA(VLOOKUP($E24,'D-1 Off-Site Habitat Baseline'!$D$1:$O$258,9,FALSE)),"",(VLOOKUP($E24,'D-1 Off-Site Habitat Baseline'!$D$1:$O$258,9,FALSE))))</f>
        <v/>
      </c>
      <c r="L24" s="382" t="str">
        <f>IF(E24="","",IF(ISNA(VLOOKUP($E24,'D-1 Off-Site Habitat Baseline'!$D$1:$O$258,11,FALSE)),"",(VLOOKUP($E24,'D-1 Off-Site Habitat Baseline'!$D$1:$O$258,11,FALSE))))</f>
        <v/>
      </c>
      <c r="M24" s="382" t="str">
        <f>IF(E24="","",IF(ISNA(VLOOKUP($E24,'D-1 Off-Site Habitat Baseline'!$D$1:$O$258,12,FALSE)),"",(VLOOKUP($E24,'D-1 Off-Site Habitat Baseline'!$D$1:$O$258,12,FALSE))))</f>
        <v/>
      </c>
      <c r="N24" s="382" t="str">
        <f>IF(E24="","",IF(ISNA(VLOOKUP($E24,'D-1 Off-Site Habitat Baseline'!$D$1:$AA$258,14,FALSE)),"",(VLOOKUP($E24,'D-1 Off-Site Habitat Baseline'!$D$1:$AA$258,14,FALSE))))</f>
        <v/>
      </c>
      <c r="O24" s="386" t="str">
        <f>IF(E24="","",IF(ISNA(VLOOKUP($E24,'D-1 Off-Site Habitat Baseline'!$D$1:$AA$258,13,FALSE)),"",(VLOOKUP($E24,'D-1 Off-Site Habitat Baseline'!$D$1:$AA$258,13,FALSE))))</f>
        <v/>
      </c>
      <c r="P24" s="184" t="str">
        <f>IFERROR(INDEX('G-1 All Habitats'!$AG$3:$AG$17,MATCH(Q24,'G-1 All Habitats'!$AF$3:$AF$17,0)),"")</f>
        <v/>
      </c>
      <c r="Q24" s="185" t="str">
        <f t="shared" si="0"/>
        <v/>
      </c>
      <c r="R24" s="186" t="str">
        <f t="shared" si="1"/>
        <v/>
      </c>
      <c r="S24" s="187" t="str">
        <f>IFERROR(INDEX('G-1 All Habitats'!$B$3:$B$134,MATCH(R24,'G-1 All Habitats'!$A$3:$A$134,0)),"")</f>
        <v/>
      </c>
      <c r="T24" s="370" t="str">
        <f t="shared" si="3"/>
        <v/>
      </c>
      <c r="U24" s="386" t="str">
        <f t="shared" si="4"/>
        <v/>
      </c>
      <c r="V24" s="385" t="str">
        <f t="shared" si="5"/>
        <v/>
      </c>
      <c r="W24" s="382" t="str">
        <f>IF(S24="","",VLOOKUP(S24,'G-1 All Habitats'!$B$2:$M$134,10,FALSE))</f>
        <v/>
      </c>
      <c r="X24" s="382" t="str">
        <f>IFERROR(VLOOKUP(W24,'G-1 All Habitats'!$V$3:$W$7,2,FALSE),"")</f>
        <v/>
      </c>
      <c r="Y24" s="165"/>
      <c r="Z24" s="386" t="str">
        <f>IFERROR(INDEX('G-8 Condition Look up'!$A$3:$H$135,MATCH(S24,'G-8 Condition Look up'!$A$3:$A$135,0),MATCH(Y24,'G-8 Condition Look up'!$A$3:$H$3,0)),"")</f>
        <v/>
      </c>
      <c r="AA24" s="114"/>
      <c r="AB24" s="401" t="str">
        <f>IF(AA24="","",IF(VLOOKUP(AA24,'G-3 Multipliers'!$L$3:$N$6,2,FALSE)=0,"Spatial Data Missing ⚠",VLOOKUP(AA24,'G-3 Multipliers'!$L$3:$N$6,2,FALSE)))</f>
        <v/>
      </c>
      <c r="AC24" s="386" t="str">
        <f>IF(AA24="","",IF(VLOOKUP(AA24,'G-3 Multipliers'!$L$3:$N$6,3,FALSE)=0,"Spatial Data Missing ⚠",VLOOKUP(AA24,'G-3 Multipliers'!$L$3:$N$6,3,FALSE)))</f>
        <v/>
      </c>
      <c r="AD24" s="398" t="str">
        <f t="shared" si="2"/>
        <v/>
      </c>
      <c r="AE24" s="165"/>
      <c r="AF24" s="165"/>
      <c r="AG24" s="382" t="str">
        <f t="shared" si="6"/>
        <v/>
      </c>
      <c r="AH24" s="404" t="str">
        <f t="shared" si="7"/>
        <v/>
      </c>
      <c r="AI24" s="387" t="str">
        <f>IF(AH24="Check Data ⚠","Check Data ⚠",IFERROR(VLOOKUP(AH24,'G-4 Temporal multipliers'!$A$4:$C$36,3,FALSE),""))</f>
        <v/>
      </c>
      <c r="AJ24" s="398" t="str">
        <f>IF(S24="","",VLOOKUP(S24,'G-3 Multipliers'!$A$2:$E$134,4,FALSE))</f>
        <v/>
      </c>
      <c r="AK24" s="382" t="str">
        <f t="shared" si="8"/>
        <v/>
      </c>
      <c r="AL24" s="382" t="str">
        <f t="shared" si="9"/>
        <v/>
      </c>
      <c r="AM24" s="386" t="str">
        <f>IFERROR(IF(F24="","",IF(AH24="Check Data ⚠","Check Data ⚠",VLOOKUP(AL24, 'G-3 Multipliers'!$P$2:$Q$6,2,FALSE))),"")</f>
        <v/>
      </c>
      <c r="AN24" s="516"/>
      <c r="AO24" s="417" t="str">
        <f>IF(AN24="","",IF(VLOOKUP(AN24,'G-3 Multipliers'!$S$3:$T$10,2,FALSE)=0,"Spatial Data Missing ⚠",VLOOKUP(AN24,'G-3 Multipliers'!$S$3:$T$10,2,FALSE)))</f>
        <v/>
      </c>
      <c r="AP24" s="376" t="str">
        <f t="shared" si="10"/>
        <v/>
      </c>
      <c r="AQ24" s="376" t="str">
        <f t="shared" si="11"/>
        <v/>
      </c>
      <c r="AR24" s="119"/>
      <c r="AS24" s="528"/>
      <c r="AT24" s="120"/>
      <c r="AU24" s="120"/>
    </row>
    <row r="25" spans="1:47">
      <c r="A25" s="30" t="str">
        <f>IF(E25="","",IF(ISNA(VLOOKUP($E25,'D-1 Off-Site Habitat Baseline'!$D$1:$O$258,2,FALSE)),"",(VLOOKUP($E25,'D-1 Off-Site Habitat Baseline'!$D$1:$O$258,2,FALSE))))</f>
        <v/>
      </c>
      <c r="B25" s="30" t="str">
        <f>IF(E25="","",IF(ISNA(VLOOKUP($E25,'D-1 Off-Site Habitat Baseline'!$D$1:$O$258,3,FALSE)),"",(VLOOKUP($E25,'D-1 Off-Site Habitat Baseline'!$D$1:$O$258,3,FALSE))))</f>
        <v/>
      </c>
      <c r="C25" s="30" t="str">
        <f>IFERROR(INDEX('G-8 Condition Look up'!$I$4:$I$135,MATCH(S25,'G-8 Condition Look up'!$A$4:$A$135,0)),"")</f>
        <v/>
      </c>
      <c r="E25" s="407" t="str">
        <f>'D-1 Off-Site Habitat Baseline'!AP24</f>
        <v/>
      </c>
      <c r="F25" s="382" t="str">
        <f>IF(E25="","",IF(ISNA(VLOOKUP($E25,'D-1 Off-Site Habitat Baseline'!$D$1:$O$258,4,FALSE)),"",(VLOOKUP($E25,'D-1 Off-Site Habitat Baseline'!$D$1:$O$258,4,FALSE))))</f>
        <v/>
      </c>
      <c r="G25" s="382" t="str">
        <f>IF(E25="","",IF(ISNA(VLOOKUP($E25,'D-1 Off-Site Habitat Baseline'!$D$1:$O$258,5,FALSE)),"",(VLOOKUP($E25,'D-1 Off-Site Habitat Baseline'!$D$1:$O$258,5,FALSE))))</f>
        <v/>
      </c>
      <c r="H25" s="382" t="str">
        <f>IF(E25="","",IF(ISNA(VLOOKUP($E25,'D-1 Off-Site Habitat Baseline'!$D$1:$O$258,6,FALSE)),"",(VLOOKUP($E25,'D-1 Off-Site Habitat Baseline'!$D$1:$O$258,6,FALSE))))</f>
        <v/>
      </c>
      <c r="I25" s="382" t="str">
        <f>IF(E25="","",IF(ISNA(VLOOKUP($E25,'D-1 Off-Site Habitat Baseline'!$D$1:$O$258,7,FALSE)),"",(VLOOKUP($E25,'D-1 Off-Site Habitat Baseline'!$D$1:$O$258,7,FALSE))))</f>
        <v/>
      </c>
      <c r="J25" s="382" t="str">
        <f>IF(E25="","",IF(ISNA(VLOOKUP($E25,'D-1 Off-Site Habitat Baseline'!$D$1:$O$258,8,FALSE)),"",(VLOOKUP($E25,'D-1 Off-Site Habitat Baseline'!$D$1:$O$258,8,FALSE))))</f>
        <v/>
      </c>
      <c r="K25" s="382" t="str">
        <f>IF(E25="","",IF(ISNA(VLOOKUP($E25,'D-1 Off-Site Habitat Baseline'!$D$1:$O$258,9,FALSE)),"",(VLOOKUP($E25,'D-1 Off-Site Habitat Baseline'!$D$1:$O$258,9,FALSE))))</f>
        <v/>
      </c>
      <c r="L25" s="382" t="str">
        <f>IF(E25="","",IF(ISNA(VLOOKUP($E25,'D-1 Off-Site Habitat Baseline'!$D$1:$O$258,11,FALSE)),"",(VLOOKUP($E25,'D-1 Off-Site Habitat Baseline'!$D$1:$O$258,11,FALSE))))</f>
        <v/>
      </c>
      <c r="M25" s="382" t="str">
        <f>IF(E25="","",IF(ISNA(VLOOKUP($E25,'D-1 Off-Site Habitat Baseline'!$D$1:$O$258,12,FALSE)),"",(VLOOKUP($E25,'D-1 Off-Site Habitat Baseline'!$D$1:$O$258,12,FALSE))))</f>
        <v/>
      </c>
      <c r="N25" s="382" t="str">
        <f>IF(E25="","",IF(ISNA(VLOOKUP($E25,'D-1 Off-Site Habitat Baseline'!$D$1:$AA$258,14,FALSE)),"",(VLOOKUP($E25,'D-1 Off-Site Habitat Baseline'!$D$1:$AA$258,14,FALSE))))</f>
        <v/>
      </c>
      <c r="O25" s="386" t="str">
        <f>IF(E25="","",IF(ISNA(VLOOKUP($E25,'D-1 Off-Site Habitat Baseline'!$D$1:$AA$258,13,FALSE)),"",(VLOOKUP($E25,'D-1 Off-Site Habitat Baseline'!$D$1:$AA$258,13,FALSE))))</f>
        <v/>
      </c>
      <c r="P25" s="184" t="str">
        <f>IFERROR(INDEX('G-1 All Habitats'!$AG$3:$AG$17,MATCH(Q25,'G-1 All Habitats'!$AF$3:$AF$17,0)),"")</f>
        <v/>
      </c>
      <c r="Q25" s="185" t="str">
        <f t="shared" si="0"/>
        <v/>
      </c>
      <c r="R25" s="186" t="str">
        <f t="shared" si="1"/>
        <v/>
      </c>
      <c r="S25" s="187" t="str">
        <f>IFERROR(INDEX('G-1 All Habitats'!$B$3:$B$134,MATCH(R25,'G-1 All Habitats'!$A$3:$A$134,0)),"")</f>
        <v/>
      </c>
      <c r="T25" s="370" t="str">
        <f t="shared" si="3"/>
        <v/>
      </c>
      <c r="U25" s="386" t="str">
        <f t="shared" si="4"/>
        <v/>
      </c>
      <c r="V25" s="385" t="str">
        <f t="shared" si="5"/>
        <v/>
      </c>
      <c r="W25" s="382" t="str">
        <f>IF(S25="","",VLOOKUP(S25,'G-1 All Habitats'!$B$2:$M$134,10,FALSE))</f>
        <v/>
      </c>
      <c r="X25" s="382" t="str">
        <f>IFERROR(VLOOKUP(W25,'G-1 All Habitats'!$V$3:$W$7,2,FALSE),"")</f>
        <v/>
      </c>
      <c r="Y25" s="165"/>
      <c r="Z25" s="386" t="str">
        <f>IFERROR(INDEX('G-8 Condition Look up'!$A$3:$H$135,MATCH(S25,'G-8 Condition Look up'!$A$3:$A$135,0),MATCH(Y25,'G-8 Condition Look up'!$A$3:$H$3,0)),"")</f>
        <v/>
      </c>
      <c r="AA25" s="114"/>
      <c r="AB25" s="401" t="str">
        <f>IF(AA25="","",IF(VLOOKUP(AA25,'G-3 Multipliers'!$L$3:$N$6,2,FALSE)=0,"Spatial Data Missing ⚠",VLOOKUP(AA25,'G-3 Multipliers'!$L$3:$N$6,2,FALSE)))</f>
        <v/>
      </c>
      <c r="AC25" s="386" t="str">
        <f>IF(AA25="","",IF(VLOOKUP(AA25,'G-3 Multipliers'!$L$3:$N$6,3,FALSE)=0,"Spatial Data Missing ⚠",VLOOKUP(AA25,'G-3 Multipliers'!$L$3:$N$6,3,FALSE)))</f>
        <v/>
      </c>
      <c r="AD25" s="398" t="str">
        <f t="shared" si="2"/>
        <v/>
      </c>
      <c r="AE25" s="165"/>
      <c r="AF25" s="165"/>
      <c r="AG25" s="382" t="str">
        <f t="shared" si="6"/>
        <v/>
      </c>
      <c r="AH25" s="404" t="str">
        <f t="shared" si="7"/>
        <v/>
      </c>
      <c r="AI25" s="387" t="str">
        <f>IF(AH25="Check Data ⚠","Check Data ⚠",IFERROR(VLOOKUP(AH25,'G-4 Temporal multipliers'!$A$4:$C$36,3,FALSE),""))</f>
        <v/>
      </c>
      <c r="AJ25" s="398" t="str">
        <f>IF(S25="","",VLOOKUP(S25,'G-3 Multipliers'!$A$2:$E$134,4,FALSE))</f>
        <v/>
      </c>
      <c r="AK25" s="382" t="str">
        <f t="shared" si="8"/>
        <v/>
      </c>
      <c r="AL25" s="382" t="str">
        <f t="shared" si="9"/>
        <v/>
      </c>
      <c r="AM25" s="386" t="str">
        <f>IFERROR(IF(F25="","",IF(AH25="Check Data ⚠","Check Data ⚠",VLOOKUP(AL25, 'G-3 Multipliers'!$P$2:$Q$6,2,FALSE))),"")</f>
        <v/>
      </c>
      <c r="AN25" s="516"/>
      <c r="AO25" s="417" t="str">
        <f>IF(AN25="","",IF(VLOOKUP(AN25,'G-3 Multipliers'!$S$3:$T$10,2,FALSE)=0,"Spatial Data Missing ⚠",VLOOKUP(AN25,'G-3 Multipliers'!$S$3:$T$10,2,FALSE)))</f>
        <v/>
      </c>
      <c r="AP25" s="376" t="str">
        <f t="shared" si="10"/>
        <v/>
      </c>
      <c r="AQ25" s="376" t="str">
        <f t="shared" si="11"/>
        <v/>
      </c>
      <c r="AR25" s="119"/>
      <c r="AS25" s="528"/>
      <c r="AT25" s="120"/>
      <c r="AU25" s="120"/>
    </row>
    <row r="26" spans="1:47">
      <c r="A26" s="30" t="str">
        <f>IF(E26="","",IF(ISNA(VLOOKUP($E26,'D-1 Off-Site Habitat Baseline'!$D$1:$O$258,2,FALSE)),"",(VLOOKUP($E26,'D-1 Off-Site Habitat Baseline'!$D$1:$O$258,2,FALSE))))</f>
        <v/>
      </c>
      <c r="B26" s="30" t="str">
        <f>IF(E26="","",IF(ISNA(VLOOKUP($E26,'D-1 Off-Site Habitat Baseline'!$D$1:$O$258,3,FALSE)),"",(VLOOKUP($E26,'D-1 Off-Site Habitat Baseline'!$D$1:$O$258,3,FALSE))))</f>
        <v/>
      </c>
      <c r="C26" s="30" t="str">
        <f>IFERROR(INDEX('G-8 Condition Look up'!$I$4:$I$135,MATCH(S26,'G-8 Condition Look up'!$A$4:$A$135,0)),"")</f>
        <v/>
      </c>
      <c r="E26" s="407" t="str">
        <f>'D-1 Off-Site Habitat Baseline'!AP25</f>
        <v/>
      </c>
      <c r="F26" s="382" t="str">
        <f>IF(E26="","",IF(ISNA(VLOOKUP($E26,'D-1 Off-Site Habitat Baseline'!$D$1:$O$258,4,FALSE)),"",(VLOOKUP($E26,'D-1 Off-Site Habitat Baseline'!$D$1:$O$258,4,FALSE))))</f>
        <v/>
      </c>
      <c r="G26" s="382" t="str">
        <f>IF(E26="","",IF(ISNA(VLOOKUP($E26,'D-1 Off-Site Habitat Baseline'!$D$1:$O$258,5,FALSE)),"",(VLOOKUP($E26,'D-1 Off-Site Habitat Baseline'!$D$1:$O$258,5,FALSE))))</f>
        <v/>
      </c>
      <c r="H26" s="382" t="str">
        <f>IF(E26="","",IF(ISNA(VLOOKUP($E26,'D-1 Off-Site Habitat Baseline'!$D$1:$O$258,6,FALSE)),"",(VLOOKUP($E26,'D-1 Off-Site Habitat Baseline'!$D$1:$O$258,6,FALSE))))</f>
        <v/>
      </c>
      <c r="I26" s="382" t="str">
        <f>IF(E26="","",IF(ISNA(VLOOKUP($E26,'D-1 Off-Site Habitat Baseline'!$D$1:$O$258,7,FALSE)),"",(VLOOKUP($E26,'D-1 Off-Site Habitat Baseline'!$D$1:$O$258,7,FALSE))))</f>
        <v/>
      </c>
      <c r="J26" s="382" t="str">
        <f>IF(E26="","",IF(ISNA(VLOOKUP($E26,'D-1 Off-Site Habitat Baseline'!$D$1:$O$258,8,FALSE)),"",(VLOOKUP($E26,'D-1 Off-Site Habitat Baseline'!$D$1:$O$258,8,FALSE))))</f>
        <v/>
      </c>
      <c r="K26" s="382" t="str">
        <f>IF(E26="","",IF(ISNA(VLOOKUP($E26,'D-1 Off-Site Habitat Baseline'!$D$1:$O$258,9,FALSE)),"",(VLOOKUP($E26,'D-1 Off-Site Habitat Baseline'!$D$1:$O$258,9,FALSE))))</f>
        <v/>
      </c>
      <c r="L26" s="382" t="str">
        <f>IF(E26="","",IF(ISNA(VLOOKUP($E26,'D-1 Off-Site Habitat Baseline'!$D$1:$O$258,11,FALSE)),"",(VLOOKUP($E26,'D-1 Off-Site Habitat Baseline'!$D$1:$O$258,11,FALSE))))</f>
        <v/>
      </c>
      <c r="M26" s="382" t="str">
        <f>IF(E26="","",IF(ISNA(VLOOKUP($E26,'D-1 Off-Site Habitat Baseline'!$D$1:$O$258,12,FALSE)),"",(VLOOKUP($E26,'D-1 Off-Site Habitat Baseline'!$D$1:$O$258,12,FALSE))))</f>
        <v/>
      </c>
      <c r="N26" s="382" t="str">
        <f>IF(E26="","",IF(ISNA(VLOOKUP($E26,'D-1 Off-Site Habitat Baseline'!$D$1:$AA$258,14,FALSE)),"",(VLOOKUP($E26,'D-1 Off-Site Habitat Baseline'!$D$1:$AA$258,14,FALSE))))</f>
        <v/>
      </c>
      <c r="O26" s="386" t="str">
        <f>IF(E26="","",IF(ISNA(VLOOKUP($E26,'D-1 Off-Site Habitat Baseline'!$D$1:$AA$258,13,FALSE)),"",(VLOOKUP($E26,'D-1 Off-Site Habitat Baseline'!$D$1:$AA$258,13,FALSE))))</f>
        <v/>
      </c>
      <c r="P26" s="184" t="str">
        <f>IFERROR(INDEX('G-1 All Habitats'!$AG$3:$AG$17,MATCH(Q26,'G-1 All Habitats'!$AF$3:$AF$17,0)),"")</f>
        <v/>
      </c>
      <c r="Q26" s="185" t="str">
        <f t="shared" si="0"/>
        <v/>
      </c>
      <c r="R26" s="186" t="str">
        <f t="shared" si="1"/>
        <v/>
      </c>
      <c r="S26" s="187" t="str">
        <f>IFERROR(INDEX('G-1 All Habitats'!$B$3:$B$134,MATCH(R26,'G-1 All Habitats'!$A$3:$A$134,0)),"")</f>
        <v/>
      </c>
      <c r="T26" s="370" t="str">
        <f t="shared" si="3"/>
        <v/>
      </c>
      <c r="U26" s="386" t="str">
        <f t="shared" si="4"/>
        <v/>
      </c>
      <c r="V26" s="385" t="str">
        <f t="shared" si="5"/>
        <v/>
      </c>
      <c r="W26" s="382" t="str">
        <f>IF(S26="","",VLOOKUP(S26,'G-1 All Habitats'!$B$2:$M$134,10,FALSE))</f>
        <v/>
      </c>
      <c r="X26" s="382" t="str">
        <f>IFERROR(VLOOKUP(W26,'G-1 All Habitats'!$V$3:$W$7,2,FALSE),"")</f>
        <v/>
      </c>
      <c r="Y26" s="165"/>
      <c r="Z26" s="386" t="str">
        <f>IFERROR(INDEX('G-8 Condition Look up'!$A$3:$H$135,MATCH(S26,'G-8 Condition Look up'!$A$3:$A$135,0),MATCH(Y26,'G-8 Condition Look up'!$A$3:$H$3,0)),"")</f>
        <v/>
      </c>
      <c r="AA26" s="114"/>
      <c r="AB26" s="401" t="str">
        <f>IF(AA26="","",IF(VLOOKUP(AA26,'G-3 Multipliers'!$L$3:$N$6,2,FALSE)=0,"Spatial Data Missing ⚠",VLOOKUP(AA26,'G-3 Multipliers'!$L$3:$N$6,2,FALSE)))</f>
        <v/>
      </c>
      <c r="AC26" s="386" t="str">
        <f>IF(AA26="","",IF(VLOOKUP(AA26,'G-3 Multipliers'!$L$3:$N$6,3,FALSE)=0,"Spatial Data Missing ⚠",VLOOKUP(AA26,'G-3 Multipliers'!$L$3:$N$6,3,FALSE)))</f>
        <v/>
      </c>
      <c r="AD26" s="398" t="str">
        <f t="shared" si="2"/>
        <v/>
      </c>
      <c r="AE26" s="165"/>
      <c r="AF26" s="165"/>
      <c r="AG26" s="382" t="str">
        <f t="shared" si="6"/>
        <v/>
      </c>
      <c r="AH26" s="404" t="str">
        <f t="shared" si="7"/>
        <v/>
      </c>
      <c r="AI26" s="387" t="str">
        <f>IF(AH26="Check Data ⚠","Check Data ⚠",IFERROR(VLOOKUP(AH26,'G-4 Temporal multipliers'!$A$4:$C$36,3,FALSE),""))</f>
        <v/>
      </c>
      <c r="AJ26" s="398" t="str">
        <f>IF(S26="","",VLOOKUP(S26,'G-3 Multipliers'!$A$2:$E$134,4,FALSE))</f>
        <v/>
      </c>
      <c r="AK26" s="382" t="str">
        <f t="shared" si="8"/>
        <v/>
      </c>
      <c r="AL26" s="382" t="str">
        <f t="shared" si="9"/>
        <v/>
      </c>
      <c r="AM26" s="386" t="str">
        <f>IFERROR(IF(F26="","",IF(AH26="Check Data ⚠","Check Data ⚠",VLOOKUP(AL26, 'G-3 Multipliers'!$P$2:$Q$6,2,FALSE))),"")</f>
        <v/>
      </c>
      <c r="AN26" s="516"/>
      <c r="AO26" s="417" t="str">
        <f>IF(AN26="","",IF(VLOOKUP(AN26,'G-3 Multipliers'!$S$3:$T$10,2,FALSE)=0,"Spatial Data Missing ⚠",VLOOKUP(AN26,'G-3 Multipliers'!$S$3:$T$10,2,FALSE)))</f>
        <v/>
      </c>
      <c r="AP26" s="376" t="str">
        <f t="shared" si="10"/>
        <v/>
      </c>
      <c r="AQ26" s="376" t="str">
        <f t="shared" si="11"/>
        <v/>
      </c>
      <c r="AR26" s="119"/>
      <c r="AS26" s="528"/>
      <c r="AT26" s="120"/>
      <c r="AU26" s="120"/>
    </row>
    <row r="27" spans="1:47">
      <c r="A27" s="30" t="str">
        <f>IF(E27="","",IF(ISNA(VLOOKUP($E27,'D-1 Off-Site Habitat Baseline'!$D$1:$O$258,2,FALSE)),"",(VLOOKUP($E27,'D-1 Off-Site Habitat Baseline'!$D$1:$O$258,2,FALSE))))</f>
        <v/>
      </c>
      <c r="B27" s="30" t="str">
        <f>IF(E27="","",IF(ISNA(VLOOKUP($E27,'D-1 Off-Site Habitat Baseline'!$D$1:$O$258,3,FALSE)),"",(VLOOKUP($E27,'D-1 Off-Site Habitat Baseline'!$D$1:$O$258,3,FALSE))))</f>
        <v/>
      </c>
      <c r="C27" s="30" t="str">
        <f>IFERROR(INDEX('G-8 Condition Look up'!$I$4:$I$135,MATCH(S27,'G-8 Condition Look up'!$A$4:$A$135,0)),"")</f>
        <v/>
      </c>
      <c r="E27" s="407" t="str">
        <f>'D-1 Off-Site Habitat Baseline'!AP26</f>
        <v/>
      </c>
      <c r="F27" s="382" t="str">
        <f>IF(E27="","",IF(ISNA(VLOOKUP($E27,'D-1 Off-Site Habitat Baseline'!$D$1:$O$258,4,FALSE)),"",(VLOOKUP($E27,'D-1 Off-Site Habitat Baseline'!$D$1:$O$258,4,FALSE))))</f>
        <v/>
      </c>
      <c r="G27" s="382" t="str">
        <f>IF(E27="","",IF(ISNA(VLOOKUP($E27,'D-1 Off-Site Habitat Baseline'!$D$1:$O$258,5,FALSE)),"",(VLOOKUP($E27,'D-1 Off-Site Habitat Baseline'!$D$1:$O$258,5,FALSE))))</f>
        <v/>
      </c>
      <c r="H27" s="382" t="str">
        <f>IF(E27="","",IF(ISNA(VLOOKUP($E27,'D-1 Off-Site Habitat Baseline'!$D$1:$O$258,6,FALSE)),"",(VLOOKUP($E27,'D-1 Off-Site Habitat Baseline'!$D$1:$O$258,6,FALSE))))</f>
        <v/>
      </c>
      <c r="I27" s="382" t="str">
        <f>IF(E27="","",IF(ISNA(VLOOKUP($E27,'D-1 Off-Site Habitat Baseline'!$D$1:$O$258,7,FALSE)),"",(VLOOKUP($E27,'D-1 Off-Site Habitat Baseline'!$D$1:$O$258,7,FALSE))))</f>
        <v/>
      </c>
      <c r="J27" s="382" t="str">
        <f>IF(E27="","",IF(ISNA(VLOOKUP($E27,'D-1 Off-Site Habitat Baseline'!$D$1:$O$258,8,FALSE)),"",(VLOOKUP($E27,'D-1 Off-Site Habitat Baseline'!$D$1:$O$258,8,FALSE))))</f>
        <v/>
      </c>
      <c r="K27" s="382" t="str">
        <f>IF(E27="","",IF(ISNA(VLOOKUP($E27,'D-1 Off-Site Habitat Baseline'!$D$1:$O$258,9,FALSE)),"",(VLOOKUP($E27,'D-1 Off-Site Habitat Baseline'!$D$1:$O$258,9,FALSE))))</f>
        <v/>
      </c>
      <c r="L27" s="382" t="str">
        <f>IF(E27="","",IF(ISNA(VLOOKUP($E27,'D-1 Off-Site Habitat Baseline'!$D$1:$O$258,11,FALSE)),"",(VLOOKUP($E27,'D-1 Off-Site Habitat Baseline'!$D$1:$O$258,11,FALSE))))</f>
        <v/>
      </c>
      <c r="M27" s="382" t="str">
        <f>IF(E27="","",IF(ISNA(VLOOKUP($E27,'D-1 Off-Site Habitat Baseline'!$D$1:$O$258,12,FALSE)),"",(VLOOKUP($E27,'D-1 Off-Site Habitat Baseline'!$D$1:$O$258,12,FALSE))))</f>
        <v/>
      </c>
      <c r="N27" s="382" t="str">
        <f>IF(E27="","",IF(ISNA(VLOOKUP($E27,'D-1 Off-Site Habitat Baseline'!$D$1:$AA$258,14,FALSE)),"",(VLOOKUP($E27,'D-1 Off-Site Habitat Baseline'!$D$1:$AA$258,14,FALSE))))</f>
        <v/>
      </c>
      <c r="O27" s="386" t="str">
        <f>IF(E27="","",IF(ISNA(VLOOKUP($E27,'D-1 Off-Site Habitat Baseline'!$D$1:$AA$258,13,FALSE)),"",(VLOOKUP($E27,'D-1 Off-Site Habitat Baseline'!$D$1:$AA$258,13,FALSE))))</f>
        <v/>
      </c>
      <c r="P27" s="184" t="str">
        <f>IFERROR(INDEX('G-1 All Habitats'!$AG$3:$AG$17,MATCH(Q27,'G-1 All Habitats'!$AF$3:$AF$17,0)),"")</f>
        <v/>
      </c>
      <c r="Q27" s="185" t="str">
        <f t="shared" si="0"/>
        <v/>
      </c>
      <c r="R27" s="186" t="str">
        <f t="shared" si="1"/>
        <v/>
      </c>
      <c r="S27" s="187" t="str">
        <f>IFERROR(INDEX('G-1 All Habitats'!$B$3:$B$134,MATCH(R27,'G-1 All Habitats'!$A$3:$A$134,0)),"")</f>
        <v/>
      </c>
      <c r="T27" s="370" t="str">
        <f t="shared" si="3"/>
        <v/>
      </c>
      <c r="U27" s="386" t="str">
        <f t="shared" si="4"/>
        <v/>
      </c>
      <c r="V27" s="385" t="str">
        <f t="shared" si="5"/>
        <v/>
      </c>
      <c r="W27" s="382" t="str">
        <f>IF(S27="","",VLOOKUP(S27,'G-1 All Habitats'!$B$2:$M$134,10,FALSE))</f>
        <v/>
      </c>
      <c r="X27" s="382" t="str">
        <f>IFERROR(VLOOKUP(W27,'G-1 All Habitats'!$V$3:$W$7,2,FALSE),"")</f>
        <v/>
      </c>
      <c r="Y27" s="165"/>
      <c r="Z27" s="386" t="str">
        <f>IFERROR(INDEX('G-8 Condition Look up'!$A$3:$H$135,MATCH(S27,'G-8 Condition Look up'!$A$3:$A$135,0),MATCH(Y27,'G-8 Condition Look up'!$A$3:$H$3,0)),"")</f>
        <v/>
      </c>
      <c r="AA27" s="114"/>
      <c r="AB27" s="401" t="str">
        <f>IF(AA27="","",IF(VLOOKUP(AA27,'G-3 Multipliers'!$L$3:$N$6,2,FALSE)=0,"Spatial Data Missing ⚠",VLOOKUP(AA27,'G-3 Multipliers'!$L$3:$N$6,2,FALSE)))</f>
        <v/>
      </c>
      <c r="AC27" s="386" t="str">
        <f>IF(AA27="","",IF(VLOOKUP(AA27,'G-3 Multipliers'!$L$3:$N$6,3,FALSE)=0,"Spatial Data Missing ⚠",VLOOKUP(AA27,'G-3 Multipliers'!$L$3:$N$6,3,FALSE)))</f>
        <v/>
      </c>
      <c r="AD27" s="398" t="str">
        <f t="shared" si="2"/>
        <v/>
      </c>
      <c r="AE27" s="165"/>
      <c r="AF27" s="165"/>
      <c r="AG27" s="382" t="str">
        <f t="shared" si="6"/>
        <v/>
      </c>
      <c r="AH27" s="404" t="str">
        <f t="shared" si="7"/>
        <v/>
      </c>
      <c r="AI27" s="387" t="str">
        <f>IF(AH27="Check Data ⚠","Check Data ⚠",IFERROR(VLOOKUP(AH27,'G-4 Temporal multipliers'!$A$4:$C$36,3,FALSE),""))</f>
        <v/>
      </c>
      <c r="AJ27" s="398" t="str">
        <f>IF(S27="","",VLOOKUP(S27,'G-3 Multipliers'!$A$2:$E$134,4,FALSE))</f>
        <v/>
      </c>
      <c r="AK27" s="382" t="str">
        <f t="shared" si="8"/>
        <v/>
      </c>
      <c r="AL27" s="382" t="str">
        <f t="shared" si="9"/>
        <v/>
      </c>
      <c r="AM27" s="386" t="str">
        <f>IFERROR(IF(F27="","",IF(AH27="Check Data ⚠","Check Data ⚠",VLOOKUP(AL27, 'G-3 Multipliers'!$P$2:$Q$6,2,FALSE))),"")</f>
        <v/>
      </c>
      <c r="AN27" s="516"/>
      <c r="AO27" s="417" t="str">
        <f>IF(AN27="","",IF(VLOOKUP(AN27,'G-3 Multipliers'!$S$3:$T$10,2,FALSE)=0,"Spatial Data Missing ⚠",VLOOKUP(AN27,'G-3 Multipliers'!$S$3:$T$10,2,FALSE)))</f>
        <v/>
      </c>
      <c r="AP27" s="376" t="str">
        <f t="shared" si="10"/>
        <v/>
      </c>
      <c r="AQ27" s="376" t="str">
        <f t="shared" si="11"/>
        <v/>
      </c>
      <c r="AR27" s="119"/>
      <c r="AS27" s="528"/>
      <c r="AT27" s="120"/>
      <c r="AU27" s="120"/>
    </row>
    <row r="28" spans="1:47">
      <c r="A28" s="30" t="str">
        <f>IF(E28="","",IF(ISNA(VLOOKUP($E28,'D-1 Off-Site Habitat Baseline'!$D$1:$O$258,2,FALSE)),"",(VLOOKUP($E28,'D-1 Off-Site Habitat Baseline'!$D$1:$O$258,2,FALSE))))</f>
        <v/>
      </c>
      <c r="B28" s="30" t="str">
        <f>IF(E28="","",IF(ISNA(VLOOKUP($E28,'D-1 Off-Site Habitat Baseline'!$D$1:$O$258,3,FALSE)),"",(VLOOKUP($E28,'D-1 Off-Site Habitat Baseline'!$D$1:$O$258,3,FALSE))))</f>
        <v/>
      </c>
      <c r="C28" s="30" t="str">
        <f>IFERROR(INDEX('G-8 Condition Look up'!$I$4:$I$135,MATCH(S28,'G-8 Condition Look up'!$A$4:$A$135,0)),"")</f>
        <v/>
      </c>
      <c r="E28" s="407" t="str">
        <f>'D-1 Off-Site Habitat Baseline'!AP27</f>
        <v/>
      </c>
      <c r="F28" s="382" t="str">
        <f>IF(E28="","",IF(ISNA(VLOOKUP($E28,'D-1 Off-Site Habitat Baseline'!$D$1:$O$258,4,FALSE)),"",(VLOOKUP($E28,'D-1 Off-Site Habitat Baseline'!$D$1:$O$258,4,FALSE))))</f>
        <v/>
      </c>
      <c r="G28" s="382" t="str">
        <f>IF(E28="","",IF(ISNA(VLOOKUP($E28,'D-1 Off-Site Habitat Baseline'!$D$1:$O$258,5,FALSE)),"",(VLOOKUP($E28,'D-1 Off-Site Habitat Baseline'!$D$1:$O$258,5,FALSE))))</f>
        <v/>
      </c>
      <c r="H28" s="382" t="str">
        <f>IF(E28="","",IF(ISNA(VLOOKUP($E28,'D-1 Off-Site Habitat Baseline'!$D$1:$O$258,6,FALSE)),"",(VLOOKUP($E28,'D-1 Off-Site Habitat Baseline'!$D$1:$O$258,6,FALSE))))</f>
        <v/>
      </c>
      <c r="I28" s="382" t="str">
        <f>IF(E28="","",IF(ISNA(VLOOKUP($E28,'D-1 Off-Site Habitat Baseline'!$D$1:$O$258,7,FALSE)),"",(VLOOKUP($E28,'D-1 Off-Site Habitat Baseline'!$D$1:$O$258,7,FALSE))))</f>
        <v/>
      </c>
      <c r="J28" s="382" t="str">
        <f>IF(E28="","",IF(ISNA(VLOOKUP($E28,'D-1 Off-Site Habitat Baseline'!$D$1:$O$258,8,FALSE)),"",(VLOOKUP($E28,'D-1 Off-Site Habitat Baseline'!$D$1:$O$258,8,FALSE))))</f>
        <v/>
      </c>
      <c r="K28" s="382" t="str">
        <f>IF(E28="","",IF(ISNA(VLOOKUP($E28,'D-1 Off-Site Habitat Baseline'!$D$1:$O$258,9,FALSE)),"",(VLOOKUP($E28,'D-1 Off-Site Habitat Baseline'!$D$1:$O$258,9,FALSE))))</f>
        <v/>
      </c>
      <c r="L28" s="382" t="str">
        <f>IF(E28="","",IF(ISNA(VLOOKUP($E28,'D-1 Off-Site Habitat Baseline'!$D$1:$O$258,11,FALSE)),"",(VLOOKUP($E28,'D-1 Off-Site Habitat Baseline'!$D$1:$O$258,11,FALSE))))</f>
        <v/>
      </c>
      <c r="M28" s="382" t="str">
        <f>IF(E28="","",IF(ISNA(VLOOKUP($E28,'D-1 Off-Site Habitat Baseline'!$D$1:$O$258,12,FALSE)),"",(VLOOKUP($E28,'D-1 Off-Site Habitat Baseline'!$D$1:$O$258,12,FALSE))))</f>
        <v/>
      </c>
      <c r="N28" s="382" t="str">
        <f>IF(E28="","",IF(ISNA(VLOOKUP($E28,'D-1 Off-Site Habitat Baseline'!$D$1:$AA$258,14,FALSE)),"",(VLOOKUP($E28,'D-1 Off-Site Habitat Baseline'!$D$1:$AA$258,14,FALSE))))</f>
        <v/>
      </c>
      <c r="O28" s="386" t="str">
        <f>IF(E28="","",IF(ISNA(VLOOKUP($E28,'D-1 Off-Site Habitat Baseline'!$D$1:$AA$258,13,FALSE)),"",(VLOOKUP($E28,'D-1 Off-Site Habitat Baseline'!$D$1:$AA$258,13,FALSE))))</f>
        <v/>
      </c>
      <c r="P28" s="184" t="str">
        <f>IFERROR(INDEX('G-1 All Habitats'!$AG$3:$AG$17,MATCH(Q28,'G-1 All Habitats'!$AF$3:$AF$17,0)),"")</f>
        <v/>
      </c>
      <c r="Q28" s="185" t="str">
        <f t="shared" si="0"/>
        <v/>
      </c>
      <c r="R28" s="186" t="str">
        <f t="shared" si="1"/>
        <v/>
      </c>
      <c r="S28" s="187" t="str">
        <f>IFERROR(INDEX('G-1 All Habitats'!$B$3:$B$134,MATCH(R28,'G-1 All Habitats'!$A$3:$A$134,0)),"")</f>
        <v/>
      </c>
      <c r="T28" s="370" t="str">
        <f t="shared" si="3"/>
        <v/>
      </c>
      <c r="U28" s="386" t="str">
        <f t="shared" si="4"/>
        <v/>
      </c>
      <c r="V28" s="385" t="str">
        <f t="shared" si="5"/>
        <v/>
      </c>
      <c r="W28" s="382" t="str">
        <f>IF(S28="","",VLOOKUP(S28,'G-1 All Habitats'!$B$2:$M$134,10,FALSE))</f>
        <v/>
      </c>
      <c r="X28" s="382" t="str">
        <f>IFERROR(VLOOKUP(W28,'G-1 All Habitats'!$V$3:$W$7,2,FALSE),"")</f>
        <v/>
      </c>
      <c r="Y28" s="165"/>
      <c r="Z28" s="386" t="str">
        <f>IFERROR(INDEX('G-8 Condition Look up'!$A$3:$H$135,MATCH(S28,'G-8 Condition Look up'!$A$3:$A$135,0),MATCH(Y28,'G-8 Condition Look up'!$A$3:$H$3,0)),"")</f>
        <v/>
      </c>
      <c r="AA28" s="114"/>
      <c r="AB28" s="401" t="str">
        <f>IF(AA28="","",IF(VLOOKUP(AA28,'G-3 Multipliers'!$L$3:$N$6,2,FALSE)=0,"Spatial Data Missing ⚠",VLOOKUP(AA28,'G-3 Multipliers'!$L$3:$N$6,2,FALSE)))</f>
        <v/>
      </c>
      <c r="AC28" s="386" t="str">
        <f>IF(AA28="","",IF(VLOOKUP(AA28,'G-3 Multipliers'!$L$3:$N$6,3,FALSE)=0,"Spatial Data Missing ⚠",VLOOKUP(AA28,'G-3 Multipliers'!$L$3:$N$6,3,FALSE)))</f>
        <v/>
      </c>
      <c r="AD28" s="398" t="str">
        <f t="shared" si="2"/>
        <v/>
      </c>
      <c r="AE28" s="165"/>
      <c r="AF28" s="165"/>
      <c r="AG28" s="382" t="str">
        <f t="shared" si="6"/>
        <v/>
      </c>
      <c r="AH28" s="404" t="str">
        <f t="shared" si="7"/>
        <v/>
      </c>
      <c r="AI28" s="387" t="str">
        <f>IF(AH28="Check Data ⚠","Check Data ⚠",IFERROR(VLOOKUP(AH28,'G-4 Temporal multipliers'!$A$4:$C$36,3,FALSE),""))</f>
        <v/>
      </c>
      <c r="AJ28" s="398" t="str">
        <f>IF(S28="","",VLOOKUP(S28,'G-3 Multipliers'!$A$2:$E$134,4,FALSE))</f>
        <v/>
      </c>
      <c r="AK28" s="382" t="str">
        <f t="shared" si="8"/>
        <v/>
      </c>
      <c r="AL28" s="382" t="str">
        <f t="shared" si="9"/>
        <v/>
      </c>
      <c r="AM28" s="386" t="str">
        <f>IFERROR(IF(F28="","",IF(AH28="Check Data ⚠","Check Data ⚠",VLOOKUP(AL28, 'G-3 Multipliers'!$P$2:$Q$6,2,FALSE))),"")</f>
        <v/>
      </c>
      <c r="AN28" s="516"/>
      <c r="AO28" s="417" t="str">
        <f>IF(AN28="","",IF(VLOOKUP(AN28,'G-3 Multipliers'!$S$3:$T$10,2,FALSE)=0,"Spatial Data Missing ⚠",VLOOKUP(AN28,'G-3 Multipliers'!$S$3:$T$10,2,FALSE)))</f>
        <v/>
      </c>
      <c r="AP28" s="376" t="str">
        <f t="shared" si="10"/>
        <v/>
      </c>
      <c r="AQ28" s="376" t="str">
        <f t="shared" si="11"/>
        <v/>
      </c>
      <c r="AR28" s="119"/>
      <c r="AS28" s="528"/>
      <c r="AT28" s="120"/>
      <c r="AU28" s="120"/>
    </row>
    <row r="29" spans="1:47">
      <c r="A29" s="30" t="str">
        <f>IF(E29="","",IF(ISNA(VLOOKUP($E29,'D-1 Off-Site Habitat Baseline'!$D$1:$O$258,2,FALSE)),"",(VLOOKUP($E29,'D-1 Off-Site Habitat Baseline'!$D$1:$O$258,2,FALSE))))</f>
        <v/>
      </c>
      <c r="B29" s="30" t="str">
        <f>IF(E29="","",IF(ISNA(VLOOKUP($E29,'D-1 Off-Site Habitat Baseline'!$D$1:$O$258,3,FALSE)),"",(VLOOKUP($E29,'D-1 Off-Site Habitat Baseline'!$D$1:$O$258,3,FALSE))))</f>
        <v/>
      </c>
      <c r="C29" s="30" t="str">
        <f>IFERROR(INDEX('G-8 Condition Look up'!$I$4:$I$135,MATCH(S29,'G-8 Condition Look up'!$A$4:$A$135,0)),"")</f>
        <v/>
      </c>
      <c r="E29" s="407" t="str">
        <f>'D-1 Off-Site Habitat Baseline'!AP28</f>
        <v/>
      </c>
      <c r="F29" s="382" t="str">
        <f>IF(E29="","",IF(ISNA(VLOOKUP($E29,'D-1 Off-Site Habitat Baseline'!$D$1:$O$258,4,FALSE)),"",(VLOOKUP($E29,'D-1 Off-Site Habitat Baseline'!$D$1:$O$258,4,FALSE))))</f>
        <v/>
      </c>
      <c r="G29" s="382" t="str">
        <f>IF(E29="","",IF(ISNA(VLOOKUP($E29,'D-1 Off-Site Habitat Baseline'!$D$1:$O$258,5,FALSE)),"",(VLOOKUP($E29,'D-1 Off-Site Habitat Baseline'!$D$1:$O$258,5,FALSE))))</f>
        <v/>
      </c>
      <c r="H29" s="382" t="str">
        <f>IF(E29="","",IF(ISNA(VLOOKUP($E29,'D-1 Off-Site Habitat Baseline'!$D$1:$O$258,6,FALSE)),"",(VLOOKUP($E29,'D-1 Off-Site Habitat Baseline'!$D$1:$O$258,6,FALSE))))</f>
        <v/>
      </c>
      <c r="I29" s="382" t="str">
        <f>IF(E29="","",IF(ISNA(VLOOKUP($E29,'D-1 Off-Site Habitat Baseline'!$D$1:$O$258,7,FALSE)),"",(VLOOKUP($E29,'D-1 Off-Site Habitat Baseline'!$D$1:$O$258,7,FALSE))))</f>
        <v/>
      </c>
      <c r="J29" s="382" t="str">
        <f>IF(E29="","",IF(ISNA(VLOOKUP($E29,'D-1 Off-Site Habitat Baseline'!$D$1:$O$258,8,FALSE)),"",(VLOOKUP($E29,'D-1 Off-Site Habitat Baseline'!$D$1:$O$258,8,FALSE))))</f>
        <v/>
      </c>
      <c r="K29" s="382" t="str">
        <f>IF(E29="","",IF(ISNA(VLOOKUP($E29,'D-1 Off-Site Habitat Baseline'!$D$1:$O$258,9,FALSE)),"",(VLOOKUP($E29,'D-1 Off-Site Habitat Baseline'!$D$1:$O$258,9,FALSE))))</f>
        <v/>
      </c>
      <c r="L29" s="382" t="str">
        <f>IF(E29="","",IF(ISNA(VLOOKUP($E29,'D-1 Off-Site Habitat Baseline'!$D$1:$O$258,11,FALSE)),"",(VLOOKUP($E29,'D-1 Off-Site Habitat Baseline'!$D$1:$O$258,11,FALSE))))</f>
        <v/>
      </c>
      <c r="M29" s="382" t="str">
        <f>IF(E29="","",IF(ISNA(VLOOKUP($E29,'D-1 Off-Site Habitat Baseline'!$D$1:$O$258,12,FALSE)),"",(VLOOKUP($E29,'D-1 Off-Site Habitat Baseline'!$D$1:$O$258,12,FALSE))))</f>
        <v/>
      </c>
      <c r="N29" s="382" t="str">
        <f>IF(E29="","",IF(ISNA(VLOOKUP($E29,'D-1 Off-Site Habitat Baseline'!$D$1:$AA$258,14,FALSE)),"",(VLOOKUP($E29,'D-1 Off-Site Habitat Baseline'!$D$1:$AA$258,14,FALSE))))</f>
        <v/>
      </c>
      <c r="O29" s="386" t="str">
        <f>IF(E29="","",IF(ISNA(VLOOKUP($E29,'D-1 Off-Site Habitat Baseline'!$D$1:$AA$258,13,FALSE)),"",(VLOOKUP($E29,'D-1 Off-Site Habitat Baseline'!$D$1:$AA$258,13,FALSE))))</f>
        <v/>
      </c>
      <c r="P29" s="184" t="str">
        <f>IFERROR(INDEX('G-1 All Habitats'!$AG$3:$AG$17,MATCH(Q29,'G-1 All Habitats'!$AF$3:$AF$17,0)),"")</f>
        <v/>
      </c>
      <c r="Q29" s="185" t="str">
        <f t="shared" si="0"/>
        <v/>
      </c>
      <c r="R29" s="186" t="str">
        <f t="shared" si="1"/>
        <v/>
      </c>
      <c r="S29" s="187" t="str">
        <f>IFERROR(INDEX('G-1 All Habitats'!$B$3:$B$134,MATCH(R29,'G-1 All Habitats'!$A$3:$A$134,0)),"")</f>
        <v/>
      </c>
      <c r="T29" s="370" t="str">
        <f t="shared" si="3"/>
        <v/>
      </c>
      <c r="U29" s="386" t="str">
        <f t="shared" si="4"/>
        <v/>
      </c>
      <c r="V29" s="385" t="str">
        <f t="shared" si="5"/>
        <v/>
      </c>
      <c r="W29" s="382" t="str">
        <f>IF(S29="","",VLOOKUP(S29,'G-1 All Habitats'!$B$2:$M$134,10,FALSE))</f>
        <v/>
      </c>
      <c r="X29" s="382" t="str">
        <f>IFERROR(VLOOKUP(W29,'G-1 All Habitats'!$V$3:$W$7,2,FALSE),"")</f>
        <v/>
      </c>
      <c r="Y29" s="165"/>
      <c r="Z29" s="386" t="str">
        <f>IFERROR(INDEX('G-8 Condition Look up'!$A$3:$H$135,MATCH(S29,'G-8 Condition Look up'!$A$3:$A$135,0),MATCH(Y29,'G-8 Condition Look up'!$A$3:$H$3,0)),"")</f>
        <v/>
      </c>
      <c r="AA29" s="114"/>
      <c r="AB29" s="401" t="str">
        <f>IF(AA29="","",IF(VLOOKUP(AA29,'G-3 Multipliers'!$L$3:$N$6,2,FALSE)=0,"Spatial Data Missing ⚠",VLOOKUP(AA29,'G-3 Multipliers'!$L$3:$N$6,2,FALSE)))</f>
        <v/>
      </c>
      <c r="AC29" s="386" t="str">
        <f>IF(AA29="","",IF(VLOOKUP(AA29,'G-3 Multipliers'!$L$3:$N$6,3,FALSE)=0,"Spatial Data Missing ⚠",VLOOKUP(AA29,'G-3 Multipliers'!$L$3:$N$6,3,FALSE)))</f>
        <v/>
      </c>
      <c r="AD29" s="398" t="str">
        <f t="shared" si="2"/>
        <v/>
      </c>
      <c r="AE29" s="165"/>
      <c r="AF29" s="165"/>
      <c r="AG29" s="382" t="str">
        <f t="shared" si="6"/>
        <v/>
      </c>
      <c r="AH29" s="404" t="str">
        <f t="shared" si="7"/>
        <v/>
      </c>
      <c r="AI29" s="387" t="str">
        <f>IF(AH29="Check Data ⚠","Check Data ⚠",IFERROR(VLOOKUP(AH29,'G-4 Temporal multipliers'!$A$4:$C$36,3,FALSE),""))</f>
        <v/>
      </c>
      <c r="AJ29" s="398" t="str">
        <f>IF(S29="","",VLOOKUP(S29,'G-3 Multipliers'!$A$2:$E$134,4,FALSE))</f>
        <v/>
      </c>
      <c r="AK29" s="382" t="str">
        <f t="shared" si="8"/>
        <v/>
      </c>
      <c r="AL29" s="382" t="str">
        <f t="shared" si="9"/>
        <v/>
      </c>
      <c r="AM29" s="386" t="str">
        <f>IFERROR(IF(F29="","",IF(AH29="Check Data ⚠","Check Data ⚠",VLOOKUP(AL29, 'G-3 Multipliers'!$P$2:$Q$6,2,FALSE))),"")</f>
        <v/>
      </c>
      <c r="AN29" s="516"/>
      <c r="AO29" s="417" t="str">
        <f>IF(AN29="","",IF(VLOOKUP(AN29,'G-3 Multipliers'!$S$3:$T$10,2,FALSE)=0,"Spatial Data Missing ⚠",VLOOKUP(AN29,'G-3 Multipliers'!$S$3:$T$10,2,FALSE)))</f>
        <v/>
      </c>
      <c r="AP29" s="376" t="str">
        <f t="shared" si="10"/>
        <v/>
      </c>
      <c r="AQ29" s="376" t="str">
        <f t="shared" si="11"/>
        <v/>
      </c>
      <c r="AR29" s="119"/>
      <c r="AS29" s="528"/>
      <c r="AT29" s="120"/>
      <c r="AU29" s="120"/>
    </row>
    <row r="30" spans="1:47">
      <c r="A30" s="30" t="str">
        <f>IF(E30="","",IF(ISNA(VLOOKUP($E30,'D-1 Off-Site Habitat Baseline'!$D$1:$O$258,2,FALSE)),"",(VLOOKUP($E30,'D-1 Off-Site Habitat Baseline'!$D$1:$O$258,2,FALSE))))</f>
        <v/>
      </c>
      <c r="B30" s="30" t="str">
        <f>IF(E30="","",IF(ISNA(VLOOKUP($E30,'D-1 Off-Site Habitat Baseline'!$D$1:$O$258,3,FALSE)),"",(VLOOKUP($E30,'D-1 Off-Site Habitat Baseline'!$D$1:$O$258,3,FALSE))))</f>
        <v/>
      </c>
      <c r="C30" s="30" t="str">
        <f>IFERROR(INDEX('G-8 Condition Look up'!$I$4:$I$135,MATCH(S30,'G-8 Condition Look up'!$A$4:$A$135,0)),"")</f>
        <v/>
      </c>
      <c r="E30" s="407" t="str">
        <f>'D-1 Off-Site Habitat Baseline'!AP29</f>
        <v/>
      </c>
      <c r="F30" s="382" t="str">
        <f>IF(E30="","",IF(ISNA(VLOOKUP($E30,'D-1 Off-Site Habitat Baseline'!$D$1:$O$258,4,FALSE)),"",(VLOOKUP($E30,'D-1 Off-Site Habitat Baseline'!$D$1:$O$258,4,FALSE))))</f>
        <v/>
      </c>
      <c r="G30" s="382" t="str">
        <f>IF(E30="","",IF(ISNA(VLOOKUP($E30,'D-1 Off-Site Habitat Baseline'!$D$1:$O$258,5,FALSE)),"",(VLOOKUP($E30,'D-1 Off-Site Habitat Baseline'!$D$1:$O$258,5,FALSE))))</f>
        <v/>
      </c>
      <c r="H30" s="382" t="str">
        <f>IF(E30="","",IF(ISNA(VLOOKUP($E30,'D-1 Off-Site Habitat Baseline'!$D$1:$O$258,6,FALSE)),"",(VLOOKUP($E30,'D-1 Off-Site Habitat Baseline'!$D$1:$O$258,6,FALSE))))</f>
        <v/>
      </c>
      <c r="I30" s="382" t="str">
        <f>IF(E30="","",IF(ISNA(VLOOKUP($E30,'D-1 Off-Site Habitat Baseline'!$D$1:$O$258,7,FALSE)),"",(VLOOKUP($E30,'D-1 Off-Site Habitat Baseline'!$D$1:$O$258,7,FALSE))))</f>
        <v/>
      </c>
      <c r="J30" s="382" t="str">
        <f>IF(E30="","",IF(ISNA(VLOOKUP($E30,'D-1 Off-Site Habitat Baseline'!$D$1:$O$258,8,FALSE)),"",(VLOOKUP($E30,'D-1 Off-Site Habitat Baseline'!$D$1:$O$258,8,FALSE))))</f>
        <v/>
      </c>
      <c r="K30" s="382" t="str">
        <f>IF(E30="","",IF(ISNA(VLOOKUP($E30,'D-1 Off-Site Habitat Baseline'!$D$1:$O$258,9,FALSE)),"",(VLOOKUP($E30,'D-1 Off-Site Habitat Baseline'!$D$1:$O$258,9,FALSE))))</f>
        <v/>
      </c>
      <c r="L30" s="382" t="str">
        <f>IF(E30="","",IF(ISNA(VLOOKUP($E30,'D-1 Off-Site Habitat Baseline'!$D$1:$O$258,11,FALSE)),"",(VLOOKUP($E30,'D-1 Off-Site Habitat Baseline'!$D$1:$O$258,11,FALSE))))</f>
        <v/>
      </c>
      <c r="M30" s="382" t="str">
        <f>IF(E30="","",IF(ISNA(VLOOKUP($E30,'D-1 Off-Site Habitat Baseline'!$D$1:$O$258,12,FALSE)),"",(VLOOKUP($E30,'D-1 Off-Site Habitat Baseline'!$D$1:$O$258,12,FALSE))))</f>
        <v/>
      </c>
      <c r="N30" s="382" t="str">
        <f>IF(E30="","",IF(ISNA(VLOOKUP($E30,'D-1 Off-Site Habitat Baseline'!$D$1:$AA$258,14,FALSE)),"",(VLOOKUP($E30,'D-1 Off-Site Habitat Baseline'!$D$1:$AA$258,14,FALSE))))</f>
        <v/>
      </c>
      <c r="O30" s="386" t="str">
        <f>IF(E30="","",IF(ISNA(VLOOKUP($E30,'D-1 Off-Site Habitat Baseline'!$D$1:$AA$258,13,FALSE)),"",(VLOOKUP($E30,'D-1 Off-Site Habitat Baseline'!$D$1:$AA$258,13,FALSE))))</f>
        <v/>
      </c>
      <c r="P30" s="184" t="str">
        <f>IFERROR(INDEX('G-1 All Habitats'!$AG$3:$AG$17,MATCH(Q30,'G-1 All Habitats'!$AF$3:$AF$17,0)),"")</f>
        <v/>
      </c>
      <c r="Q30" s="185" t="str">
        <f t="shared" si="0"/>
        <v/>
      </c>
      <c r="R30" s="186" t="str">
        <f t="shared" si="1"/>
        <v/>
      </c>
      <c r="S30" s="187" t="str">
        <f>IFERROR(INDEX('G-1 All Habitats'!$B$3:$B$134,MATCH(R30,'G-1 All Habitats'!$A$3:$A$134,0)),"")</f>
        <v/>
      </c>
      <c r="T30" s="370" t="str">
        <f t="shared" si="3"/>
        <v/>
      </c>
      <c r="U30" s="386" t="str">
        <f t="shared" si="4"/>
        <v/>
      </c>
      <c r="V30" s="385" t="str">
        <f t="shared" si="5"/>
        <v/>
      </c>
      <c r="W30" s="382" t="str">
        <f>IF(S30="","",VLOOKUP(S30,'G-1 All Habitats'!$B$2:$M$134,10,FALSE))</f>
        <v/>
      </c>
      <c r="X30" s="382" t="str">
        <f>IFERROR(VLOOKUP(W30,'G-1 All Habitats'!$V$3:$W$7,2,FALSE),"")</f>
        <v/>
      </c>
      <c r="Y30" s="165"/>
      <c r="Z30" s="386" t="str">
        <f>IFERROR(INDEX('G-8 Condition Look up'!$A$3:$H$135,MATCH(S30,'G-8 Condition Look up'!$A$3:$A$135,0),MATCH(Y30,'G-8 Condition Look up'!$A$3:$H$3,0)),"")</f>
        <v/>
      </c>
      <c r="AA30" s="114"/>
      <c r="AB30" s="401" t="str">
        <f>IF(AA30="","",IF(VLOOKUP(AA30,'G-3 Multipliers'!$L$3:$N$6,2,FALSE)=0,"Spatial Data Missing ⚠",VLOOKUP(AA30,'G-3 Multipliers'!$L$3:$N$6,2,FALSE)))</f>
        <v/>
      </c>
      <c r="AC30" s="386" t="str">
        <f>IF(AA30="","",IF(VLOOKUP(AA30,'G-3 Multipliers'!$L$3:$N$6,3,FALSE)=0,"Spatial Data Missing ⚠",VLOOKUP(AA30,'G-3 Multipliers'!$L$3:$N$6,3,FALSE)))</f>
        <v/>
      </c>
      <c r="AD30" s="398" t="str">
        <f t="shared" si="2"/>
        <v/>
      </c>
      <c r="AE30" s="165"/>
      <c r="AF30" s="165"/>
      <c r="AG30" s="382" t="str">
        <f t="shared" si="6"/>
        <v/>
      </c>
      <c r="AH30" s="404" t="str">
        <f t="shared" si="7"/>
        <v/>
      </c>
      <c r="AI30" s="387" t="str">
        <f>IF(AH30="Check Data ⚠","Check Data ⚠",IFERROR(VLOOKUP(AH30,'G-4 Temporal multipliers'!$A$4:$C$36,3,FALSE),""))</f>
        <v/>
      </c>
      <c r="AJ30" s="398" t="str">
        <f>IF(S30="","",VLOOKUP(S30,'G-3 Multipliers'!$A$2:$E$134,4,FALSE))</f>
        <v/>
      </c>
      <c r="AK30" s="382" t="str">
        <f t="shared" si="8"/>
        <v/>
      </c>
      <c r="AL30" s="382" t="str">
        <f t="shared" si="9"/>
        <v/>
      </c>
      <c r="AM30" s="386" t="str">
        <f>IFERROR(IF(F30="","",IF(AH30="Check Data ⚠","Check Data ⚠",VLOOKUP(AL30, 'G-3 Multipliers'!$P$2:$Q$6,2,FALSE))),"")</f>
        <v/>
      </c>
      <c r="AN30" s="516"/>
      <c r="AO30" s="417" t="str">
        <f>IF(AN30="","",IF(VLOOKUP(AN30,'G-3 Multipliers'!$S$3:$T$10,2,FALSE)=0,"Spatial Data Missing ⚠",VLOOKUP(AN30,'G-3 Multipliers'!$S$3:$T$10,2,FALSE)))</f>
        <v/>
      </c>
      <c r="AP30" s="376" t="str">
        <f t="shared" si="10"/>
        <v/>
      </c>
      <c r="AQ30" s="376" t="str">
        <f t="shared" si="11"/>
        <v/>
      </c>
      <c r="AR30" s="119"/>
      <c r="AS30" s="528"/>
      <c r="AT30" s="120"/>
      <c r="AU30" s="120"/>
    </row>
    <row r="31" spans="1:47">
      <c r="A31" s="30" t="str">
        <f>IF(E31="","",IF(ISNA(VLOOKUP($E31,'D-1 Off-Site Habitat Baseline'!$D$1:$O$258,2,FALSE)),"",(VLOOKUP($E31,'D-1 Off-Site Habitat Baseline'!$D$1:$O$258,2,FALSE))))</f>
        <v/>
      </c>
      <c r="B31" s="30" t="str">
        <f>IF(E31="","",IF(ISNA(VLOOKUP($E31,'D-1 Off-Site Habitat Baseline'!$D$1:$O$258,3,FALSE)),"",(VLOOKUP($E31,'D-1 Off-Site Habitat Baseline'!$D$1:$O$258,3,FALSE))))</f>
        <v/>
      </c>
      <c r="C31" s="30" t="str">
        <f>IFERROR(INDEX('G-8 Condition Look up'!$I$4:$I$135,MATCH(S31,'G-8 Condition Look up'!$A$4:$A$135,0)),"")</f>
        <v/>
      </c>
      <c r="E31" s="407" t="str">
        <f>'D-1 Off-Site Habitat Baseline'!AP30</f>
        <v/>
      </c>
      <c r="F31" s="382" t="str">
        <f>IF(E31="","",IF(ISNA(VLOOKUP($E31,'D-1 Off-Site Habitat Baseline'!$D$1:$O$258,4,FALSE)),"",(VLOOKUP($E31,'D-1 Off-Site Habitat Baseline'!$D$1:$O$258,4,FALSE))))</f>
        <v/>
      </c>
      <c r="G31" s="382" t="str">
        <f>IF(E31="","",IF(ISNA(VLOOKUP($E31,'D-1 Off-Site Habitat Baseline'!$D$1:$O$258,5,FALSE)),"",(VLOOKUP($E31,'D-1 Off-Site Habitat Baseline'!$D$1:$O$258,5,FALSE))))</f>
        <v/>
      </c>
      <c r="H31" s="382" t="str">
        <f>IF(E31="","",IF(ISNA(VLOOKUP($E31,'D-1 Off-Site Habitat Baseline'!$D$1:$O$258,6,FALSE)),"",(VLOOKUP($E31,'D-1 Off-Site Habitat Baseline'!$D$1:$O$258,6,FALSE))))</f>
        <v/>
      </c>
      <c r="I31" s="382" t="str">
        <f>IF(E31="","",IF(ISNA(VLOOKUP($E31,'D-1 Off-Site Habitat Baseline'!$D$1:$O$258,7,FALSE)),"",(VLOOKUP($E31,'D-1 Off-Site Habitat Baseline'!$D$1:$O$258,7,FALSE))))</f>
        <v/>
      </c>
      <c r="J31" s="382" t="str">
        <f>IF(E31="","",IF(ISNA(VLOOKUP($E31,'D-1 Off-Site Habitat Baseline'!$D$1:$O$258,8,FALSE)),"",(VLOOKUP($E31,'D-1 Off-Site Habitat Baseline'!$D$1:$O$258,8,FALSE))))</f>
        <v/>
      </c>
      <c r="K31" s="382" t="str">
        <f>IF(E31="","",IF(ISNA(VLOOKUP($E31,'D-1 Off-Site Habitat Baseline'!$D$1:$O$258,9,FALSE)),"",(VLOOKUP($E31,'D-1 Off-Site Habitat Baseline'!$D$1:$O$258,9,FALSE))))</f>
        <v/>
      </c>
      <c r="L31" s="382" t="str">
        <f>IF(E31="","",IF(ISNA(VLOOKUP($E31,'D-1 Off-Site Habitat Baseline'!$D$1:$O$258,11,FALSE)),"",(VLOOKUP($E31,'D-1 Off-Site Habitat Baseline'!$D$1:$O$258,11,FALSE))))</f>
        <v/>
      </c>
      <c r="M31" s="382" t="str">
        <f>IF(E31="","",IF(ISNA(VLOOKUP($E31,'D-1 Off-Site Habitat Baseline'!$D$1:$O$258,12,FALSE)),"",(VLOOKUP($E31,'D-1 Off-Site Habitat Baseline'!$D$1:$O$258,12,FALSE))))</f>
        <v/>
      </c>
      <c r="N31" s="382" t="str">
        <f>IF(E31="","",IF(ISNA(VLOOKUP($E31,'D-1 Off-Site Habitat Baseline'!$D$1:$AA$258,14,FALSE)),"",(VLOOKUP($E31,'D-1 Off-Site Habitat Baseline'!$D$1:$AA$258,14,FALSE))))</f>
        <v/>
      </c>
      <c r="O31" s="386" t="str">
        <f>IF(E31="","",IF(ISNA(VLOOKUP($E31,'D-1 Off-Site Habitat Baseline'!$D$1:$AA$258,13,FALSE)),"",(VLOOKUP($E31,'D-1 Off-Site Habitat Baseline'!$D$1:$AA$258,13,FALSE))))</f>
        <v/>
      </c>
      <c r="P31" s="184" t="str">
        <f>IFERROR(INDEX('G-1 All Habitats'!$AG$3:$AG$17,MATCH(Q31,'G-1 All Habitats'!$AF$3:$AF$17,0)),"")</f>
        <v/>
      </c>
      <c r="Q31" s="185" t="str">
        <f t="shared" si="0"/>
        <v/>
      </c>
      <c r="R31" s="186" t="str">
        <f t="shared" si="1"/>
        <v/>
      </c>
      <c r="S31" s="187" t="str">
        <f>IFERROR(INDEX('G-1 All Habitats'!$B$3:$B$134,MATCH(R31,'G-1 All Habitats'!$A$3:$A$134,0)),"")</f>
        <v/>
      </c>
      <c r="T31" s="370" t="str">
        <f t="shared" si="3"/>
        <v/>
      </c>
      <c r="U31" s="386" t="str">
        <f t="shared" si="4"/>
        <v/>
      </c>
      <c r="V31" s="385" t="str">
        <f t="shared" si="5"/>
        <v/>
      </c>
      <c r="W31" s="382" t="str">
        <f>IF(S31="","",VLOOKUP(S31,'G-1 All Habitats'!$B$2:$M$134,10,FALSE))</f>
        <v/>
      </c>
      <c r="X31" s="382" t="str">
        <f>IFERROR(VLOOKUP(W31,'G-1 All Habitats'!$V$3:$W$7,2,FALSE),"")</f>
        <v/>
      </c>
      <c r="Y31" s="165"/>
      <c r="Z31" s="386" t="str">
        <f>IFERROR(INDEX('G-8 Condition Look up'!$A$3:$H$135,MATCH(S31,'G-8 Condition Look up'!$A$3:$A$135,0),MATCH(Y31,'G-8 Condition Look up'!$A$3:$H$3,0)),"")</f>
        <v/>
      </c>
      <c r="AA31" s="114"/>
      <c r="AB31" s="401" t="str">
        <f>IF(AA31="","",IF(VLOOKUP(AA31,'G-3 Multipliers'!$L$3:$N$6,2,FALSE)=0,"Spatial Data Missing ⚠",VLOOKUP(AA31,'G-3 Multipliers'!$L$3:$N$6,2,FALSE)))</f>
        <v/>
      </c>
      <c r="AC31" s="386" t="str">
        <f>IF(AA31="","",IF(VLOOKUP(AA31,'G-3 Multipliers'!$L$3:$N$6,3,FALSE)=0,"Spatial Data Missing ⚠",VLOOKUP(AA31,'G-3 Multipliers'!$L$3:$N$6,3,FALSE)))</f>
        <v/>
      </c>
      <c r="AD31" s="398" t="str">
        <f t="shared" si="2"/>
        <v/>
      </c>
      <c r="AE31" s="165"/>
      <c r="AF31" s="165"/>
      <c r="AG31" s="382" t="str">
        <f t="shared" si="6"/>
        <v/>
      </c>
      <c r="AH31" s="404" t="str">
        <f t="shared" si="7"/>
        <v/>
      </c>
      <c r="AI31" s="387" t="str">
        <f>IF(AH31="Check Data ⚠","Check Data ⚠",IFERROR(VLOOKUP(AH31,'G-4 Temporal multipliers'!$A$4:$C$36,3,FALSE),""))</f>
        <v/>
      </c>
      <c r="AJ31" s="398" t="str">
        <f>IF(S31="","",VLOOKUP(S31,'G-3 Multipliers'!$A$2:$E$134,4,FALSE))</f>
        <v/>
      </c>
      <c r="AK31" s="382" t="str">
        <f t="shared" si="8"/>
        <v/>
      </c>
      <c r="AL31" s="382" t="str">
        <f t="shared" si="9"/>
        <v/>
      </c>
      <c r="AM31" s="386" t="str">
        <f>IFERROR(IF(F31="","",IF(AH31="Check Data ⚠","Check Data ⚠",VLOOKUP(AL31, 'G-3 Multipliers'!$P$2:$Q$6,2,FALSE))),"")</f>
        <v/>
      </c>
      <c r="AN31" s="516"/>
      <c r="AO31" s="417" t="str">
        <f>IF(AN31="","",IF(VLOOKUP(AN31,'G-3 Multipliers'!$S$3:$T$10,2,FALSE)=0,"Spatial Data Missing ⚠",VLOOKUP(AN31,'G-3 Multipliers'!$S$3:$T$10,2,FALSE)))</f>
        <v/>
      </c>
      <c r="AP31" s="376" t="str">
        <f t="shared" si="10"/>
        <v/>
      </c>
      <c r="AQ31" s="376" t="str">
        <f t="shared" si="11"/>
        <v/>
      </c>
      <c r="AR31" s="119"/>
      <c r="AS31" s="528"/>
      <c r="AT31" s="120"/>
      <c r="AU31" s="120"/>
    </row>
    <row r="32" spans="1:47">
      <c r="A32" s="30" t="str">
        <f>IF(E32="","",IF(ISNA(VLOOKUP($E32,'D-1 Off-Site Habitat Baseline'!$D$1:$O$258,2,FALSE)),"",(VLOOKUP($E32,'D-1 Off-Site Habitat Baseline'!$D$1:$O$258,2,FALSE))))</f>
        <v/>
      </c>
      <c r="B32" s="30" t="str">
        <f>IF(E32="","",IF(ISNA(VLOOKUP($E32,'D-1 Off-Site Habitat Baseline'!$D$1:$O$258,3,FALSE)),"",(VLOOKUP($E32,'D-1 Off-Site Habitat Baseline'!$D$1:$O$258,3,FALSE))))</f>
        <v/>
      </c>
      <c r="C32" s="30" t="str">
        <f>IFERROR(INDEX('G-8 Condition Look up'!$I$4:$I$135,MATCH(S32,'G-8 Condition Look up'!$A$4:$A$135,0)),"")</f>
        <v/>
      </c>
      <c r="E32" s="407" t="str">
        <f>'D-1 Off-Site Habitat Baseline'!AP31</f>
        <v/>
      </c>
      <c r="F32" s="382" t="str">
        <f>IF(E32="","",IF(ISNA(VLOOKUP($E32,'D-1 Off-Site Habitat Baseline'!$D$1:$O$258,4,FALSE)),"",(VLOOKUP($E32,'D-1 Off-Site Habitat Baseline'!$D$1:$O$258,4,FALSE))))</f>
        <v/>
      </c>
      <c r="G32" s="382" t="str">
        <f>IF(E32="","",IF(ISNA(VLOOKUP($E32,'D-1 Off-Site Habitat Baseline'!$D$1:$O$258,5,FALSE)),"",(VLOOKUP($E32,'D-1 Off-Site Habitat Baseline'!$D$1:$O$258,5,FALSE))))</f>
        <v/>
      </c>
      <c r="H32" s="382" t="str">
        <f>IF(E32="","",IF(ISNA(VLOOKUP($E32,'D-1 Off-Site Habitat Baseline'!$D$1:$O$258,6,FALSE)),"",(VLOOKUP($E32,'D-1 Off-Site Habitat Baseline'!$D$1:$O$258,6,FALSE))))</f>
        <v/>
      </c>
      <c r="I32" s="382" t="str">
        <f>IF(E32="","",IF(ISNA(VLOOKUP($E32,'D-1 Off-Site Habitat Baseline'!$D$1:$O$258,7,FALSE)),"",(VLOOKUP($E32,'D-1 Off-Site Habitat Baseline'!$D$1:$O$258,7,FALSE))))</f>
        <v/>
      </c>
      <c r="J32" s="382" t="str">
        <f>IF(E32="","",IF(ISNA(VLOOKUP($E32,'D-1 Off-Site Habitat Baseline'!$D$1:$O$258,8,FALSE)),"",(VLOOKUP($E32,'D-1 Off-Site Habitat Baseline'!$D$1:$O$258,8,FALSE))))</f>
        <v/>
      </c>
      <c r="K32" s="382" t="str">
        <f>IF(E32="","",IF(ISNA(VLOOKUP($E32,'D-1 Off-Site Habitat Baseline'!$D$1:$O$258,9,FALSE)),"",(VLOOKUP($E32,'D-1 Off-Site Habitat Baseline'!$D$1:$O$258,9,FALSE))))</f>
        <v/>
      </c>
      <c r="L32" s="382" t="str">
        <f>IF(E32="","",IF(ISNA(VLOOKUP($E32,'D-1 Off-Site Habitat Baseline'!$D$1:$O$258,11,FALSE)),"",(VLOOKUP($E32,'D-1 Off-Site Habitat Baseline'!$D$1:$O$258,11,FALSE))))</f>
        <v/>
      </c>
      <c r="M32" s="382" t="str">
        <f>IF(E32="","",IF(ISNA(VLOOKUP($E32,'D-1 Off-Site Habitat Baseline'!$D$1:$O$258,12,FALSE)),"",(VLOOKUP($E32,'D-1 Off-Site Habitat Baseline'!$D$1:$O$258,12,FALSE))))</f>
        <v/>
      </c>
      <c r="N32" s="382" t="str">
        <f>IF(E32="","",IF(ISNA(VLOOKUP($E32,'D-1 Off-Site Habitat Baseline'!$D$1:$AA$258,14,FALSE)),"",(VLOOKUP($E32,'D-1 Off-Site Habitat Baseline'!$D$1:$AA$258,14,FALSE))))</f>
        <v/>
      </c>
      <c r="O32" s="386" t="str">
        <f>IF(E32="","",IF(ISNA(VLOOKUP($E32,'D-1 Off-Site Habitat Baseline'!$D$1:$AA$258,13,FALSE)),"",(VLOOKUP($E32,'D-1 Off-Site Habitat Baseline'!$D$1:$AA$258,13,FALSE))))</f>
        <v/>
      </c>
      <c r="P32" s="184" t="str">
        <f>IFERROR(INDEX('G-1 All Habitats'!$AG$3:$AG$17,MATCH(Q32,'G-1 All Habitats'!$AF$3:$AF$17,0)),"")</f>
        <v/>
      </c>
      <c r="Q32" s="185" t="str">
        <f t="shared" si="0"/>
        <v/>
      </c>
      <c r="R32" s="186" t="str">
        <f t="shared" si="1"/>
        <v/>
      </c>
      <c r="S32" s="187" t="str">
        <f>IFERROR(INDEX('G-1 All Habitats'!$B$3:$B$134,MATCH(R32,'G-1 All Habitats'!$A$3:$A$134,0)),"")</f>
        <v/>
      </c>
      <c r="T32" s="370" t="str">
        <f t="shared" si="3"/>
        <v/>
      </c>
      <c r="U32" s="386" t="str">
        <f t="shared" si="4"/>
        <v/>
      </c>
      <c r="V32" s="385" t="str">
        <f t="shared" si="5"/>
        <v/>
      </c>
      <c r="W32" s="382" t="str">
        <f>IF(S32="","",VLOOKUP(S32,'G-1 All Habitats'!$B$2:$M$134,10,FALSE))</f>
        <v/>
      </c>
      <c r="X32" s="382" t="str">
        <f>IFERROR(VLOOKUP(W32,'G-1 All Habitats'!$V$3:$W$7,2,FALSE),"")</f>
        <v/>
      </c>
      <c r="Y32" s="165"/>
      <c r="Z32" s="386" t="str">
        <f>IFERROR(INDEX('G-8 Condition Look up'!$A$3:$H$135,MATCH(S32,'G-8 Condition Look up'!$A$3:$A$135,0),MATCH(Y32,'G-8 Condition Look up'!$A$3:$H$3,0)),"")</f>
        <v/>
      </c>
      <c r="AA32" s="114"/>
      <c r="AB32" s="401" t="str">
        <f>IF(AA32="","",IF(VLOOKUP(AA32,'G-3 Multipliers'!$L$3:$N$6,2,FALSE)=0,"Spatial Data Missing ⚠",VLOOKUP(AA32,'G-3 Multipliers'!$L$3:$N$6,2,FALSE)))</f>
        <v/>
      </c>
      <c r="AC32" s="386" t="str">
        <f>IF(AA32="","",IF(VLOOKUP(AA32,'G-3 Multipliers'!$L$3:$N$6,3,FALSE)=0,"Spatial Data Missing ⚠",VLOOKUP(AA32,'G-3 Multipliers'!$L$3:$N$6,3,FALSE)))</f>
        <v/>
      </c>
      <c r="AD32" s="398" t="str">
        <f t="shared" si="2"/>
        <v/>
      </c>
      <c r="AE32" s="165"/>
      <c r="AF32" s="165"/>
      <c r="AG32" s="382" t="str">
        <f t="shared" si="6"/>
        <v/>
      </c>
      <c r="AH32" s="404" t="str">
        <f t="shared" si="7"/>
        <v/>
      </c>
      <c r="AI32" s="387" t="str">
        <f>IF(AH32="Check Data ⚠","Check Data ⚠",IFERROR(VLOOKUP(AH32,'G-4 Temporal multipliers'!$A$4:$C$36,3,FALSE),""))</f>
        <v/>
      </c>
      <c r="AJ32" s="398" t="str">
        <f>IF(S32="","",VLOOKUP(S32,'G-3 Multipliers'!$A$2:$E$134,4,FALSE))</f>
        <v/>
      </c>
      <c r="AK32" s="382" t="str">
        <f t="shared" si="8"/>
        <v/>
      </c>
      <c r="AL32" s="382" t="str">
        <f t="shared" si="9"/>
        <v/>
      </c>
      <c r="AM32" s="386" t="str">
        <f>IFERROR(IF(F32="","",IF(AH32="Check Data ⚠","Check Data ⚠",VLOOKUP(AL32, 'G-3 Multipliers'!$P$2:$Q$6,2,FALSE))),"")</f>
        <v/>
      </c>
      <c r="AN32" s="516"/>
      <c r="AO32" s="417" t="str">
        <f>IF(AN32="","",IF(VLOOKUP(AN32,'G-3 Multipliers'!$S$3:$T$10,2,FALSE)=0,"Spatial Data Missing ⚠",VLOOKUP(AN32,'G-3 Multipliers'!$S$3:$T$10,2,FALSE)))</f>
        <v/>
      </c>
      <c r="AP32" s="376" t="str">
        <f t="shared" si="10"/>
        <v/>
      </c>
      <c r="AQ32" s="376" t="str">
        <f t="shared" si="11"/>
        <v/>
      </c>
      <c r="AR32" s="119"/>
      <c r="AS32" s="528"/>
      <c r="AT32" s="120"/>
      <c r="AU32" s="120"/>
    </row>
    <row r="33" spans="1:47">
      <c r="A33" s="30" t="str">
        <f>IF(E33="","",IF(ISNA(VLOOKUP($E33,'D-1 Off-Site Habitat Baseline'!$D$1:$O$258,2,FALSE)),"",(VLOOKUP($E33,'D-1 Off-Site Habitat Baseline'!$D$1:$O$258,2,FALSE))))</f>
        <v/>
      </c>
      <c r="B33" s="30" t="str">
        <f>IF(E33="","",IF(ISNA(VLOOKUP($E33,'D-1 Off-Site Habitat Baseline'!$D$1:$O$258,3,FALSE)),"",(VLOOKUP($E33,'D-1 Off-Site Habitat Baseline'!$D$1:$O$258,3,FALSE))))</f>
        <v/>
      </c>
      <c r="C33" s="30" t="str">
        <f>IFERROR(INDEX('G-8 Condition Look up'!$I$4:$I$135,MATCH(S33,'G-8 Condition Look up'!$A$4:$A$135,0)),"")</f>
        <v/>
      </c>
      <c r="E33" s="407" t="str">
        <f>'D-1 Off-Site Habitat Baseline'!AP32</f>
        <v/>
      </c>
      <c r="F33" s="382" t="str">
        <f>IF(E33="","",IF(ISNA(VLOOKUP($E33,'D-1 Off-Site Habitat Baseline'!$D$1:$O$258,4,FALSE)),"",(VLOOKUP($E33,'D-1 Off-Site Habitat Baseline'!$D$1:$O$258,4,FALSE))))</f>
        <v/>
      </c>
      <c r="G33" s="382" t="str">
        <f>IF(E33="","",IF(ISNA(VLOOKUP($E33,'D-1 Off-Site Habitat Baseline'!$D$1:$O$258,5,FALSE)),"",(VLOOKUP($E33,'D-1 Off-Site Habitat Baseline'!$D$1:$O$258,5,FALSE))))</f>
        <v/>
      </c>
      <c r="H33" s="382" t="str">
        <f>IF(E33="","",IF(ISNA(VLOOKUP($E33,'D-1 Off-Site Habitat Baseline'!$D$1:$O$258,6,FALSE)),"",(VLOOKUP($E33,'D-1 Off-Site Habitat Baseline'!$D$1:$O$258,6,FALSE))))</f>
        <v/>
      </c>
      <c r="I33" s="382" t="str">
        <f>IF(E33="","",IF(ISNA(VLOOKUP($E33,'D-1 Off-Site Habitat Baseline'!$D$1:$O$258,7,FALSE)),"",(VLOOKUP($E33,'D-1 Off-Site Habitat Baseline'!$D$1:$O$258,7,FALSE))))</f>
        <v/>
      </c>
      <c r="J33" s="382" t="str">
        <f>IF(E33="","",IF(ISNA(VLOOKUP($E33,'D-1 Off-Site Habitat Baseline'!$D$1:$O$258,8,FALSE)),"",(VLOOKUP($E33,'D-1 Off-Site Habitat Baseline'!$D$1:$O$258,8,FALSE))))</f>
        <v/>
      </c>
      <c r="K33" s="382" t="str">
        <f>IF(E33="","",IF(ISNA(VLOOKUP($E33,'D-1 Off-Site Habitat Baseline'!$D$1:$O$258,9,FALSE)),"",(VLOOKUP($E33,'D-1 Off-Site Habitat Baseline'!$D$1:$O$258,9,FALSE))))</f>
        <v/>
      </c>
      <c r="L33" s="382" t="str">
        <f>IF(E33="","",IF(ISNA(VLOOKUP($E33,'D-1 Off-Site Habitat Baseline'!$D$1:$O$258,11,FALSE)),"",(VLOOKUP($E33,'D-1 Off-Site Habitat Baseline'!$D$1:$O$258,11,FALSE))))</f>
        <v/>
      </c>
      <c r="M33" s="382" t="str">
        <f>IF(E33="","",IF(ISNA(VLOOKUP($E33,'D-1 Off-Site Habitat Baseline'!$D$1:$O$258,12,FALSE)),"",(VLOOKUP($E33,'D-1 Off-Site Habitat Baseline'!$D$1:$O$258,12,FALSE))))</f>
        <v/>
      </c>
      <c r="N33" s="382" t="str">
        <f>IF(E33="","",IF(ISNA(VLOOKUP($E33,'D-1 Off-Site Habitat Baseline'!$D$1:$AA$258,14,FALSE)),"",(VLOOKUP($E33,'D-1 Off-Site Habitat Baseline'!$D$1:$AA$258,14,FALSE))))</f>
        <v/>
      </c>
      <c r="O33" s="386" t="str">
        <f>IF(E33="","",IF(ISNA(VLOOKUP($E33,'D-1 Off-Site Habitat Baseline'!$D$1:$AA$258,13,FALSE)),"",(VLOOKUP($E33,'D-1 Off-Site Habitat Baseline'!$D$1:$AA$258,13,FALSE))))</f>
        <v/>
      </c>
      <c r="P33" s="184" t="str">
        <f>IFERROR(INDEX('G-1 All Habitats'!$AG$3:$AG$17,MATCH(Q33,'G-1 All Habitats'!$AF$3:$AF$17,0)),"")</f>
        <v/>
      </c>
      <c r="Q33" s="185" t="str">
        <f t="shared" si="0"/>
        <v/>
      </c>
      <c r="R33" s="186" t="str">
        <f t="shared" si="1"/>
        <v/>
      </c>
      <c r="S33" s="187" t="str">
        <f>IFERROR(INDEX('G-1 All Habitats'!$B$3:$B$134,MATCH(R33,'G-1 All Habitats'!$A$3:$A$134,0)),"")</f>
        <v/>
      </c>
      <c r="T33" s="370" t="str">
        <f t="shared" si="3"/>
        <v/>
      </c>
      <c r="U33" s="386" t="str">
        <f t="shared" si="4"/>
        <v/>
      </c>
      <c r="V33" s="385" t="str">
        <f t="shared" si="5"/>
        <v/>
      </c>
      <c r="W33" s="382" t="str">
        <f>IF(S33="","",VLOOKUP(S33,'G-1 All Habitats'!$B$2:$M$134,10,FALSE))</f>
        <v/>
      </c>
      <c r="X33" s="382" t="str">
        <f>IFERROR(VLOOKUP(W33,'G-1 All Habitats'!$V$3:$W$7,2,FALSE),"")</f>
        <v/>
      </c>
      <c r="Y33" s="165"/>
      <c r="Z33" s="386" t="str">
        <f>IFERROR(INDEX('G-8 Condition Look up'!$A$3:$H$135,MATCH(S33,'G-8 Condition Look up'!$A$3:$A$135,0),MATCH(Y33,'G-8 Condition Look up'!$A$3:$H$3,0)),"")</f>
        <v/>
      </c>
      <c r="AA33" s="114"/>
      <c r="AB33" s="401" t="str">
        <f>IF(AA33="","",IF(VLOOKUP(AA33,'G-3 Multipliers'!$L$3:$N$6,2,FALSE)=0,"Spatial Data Missing ⚠",VLOOKUP(AA33,'G-3 Multipliers'!$L$3:$N$6,2,FALSE)))</f>
        <v/>
      </c>
      <c r="AC33" s="386" t="str">
        <f>IF(AA33="","",IF(VLOOKUP(AA33,'G-3 Multipliers'!$L$3:$N$6,3,FALSE)=0,"Spatial Data Missing ⚠",VLOOKUP(AA33,'G-3 Multipliers'!$L$3:$N$6,3,FALSE)))</f>
        <v/>
      </c>
      <c r="AD33" s="398" t="str">
        <f t="shared" si="2"/>
        <v/>
      </c>
      <c r="AE33" s="165"/>
      <c r="AF33" s="165"/>
      <c r="AG33" s="382" t="str">
        <f t="shared" si="6"/>
        <v/>
      </c>
      <c r="AH33" s="404" t="str">
        <f t="shared" si="7"/>
        <v/>
      </c>
      <c r="AI33" s="387" t="str">
        <f>IF(AH33="Check Data ⚠","Check Data ⚠",IFERROR(VLOOKUP(AH33,'G-4 Temporal multipliers'!$A$4:$C$36,3,FALSE),""))</f>
        <v/>
      </c>
      <c r="AJ33" s="398" t="str">
        <f>IF(S33="","",VLOOKUP(S33,'G-3 Multipliers'!$A$2:$E$134,4,FALSE))</f>
        <v/>
      </c>
      <c r="AK33" s="382" t="str">
        <f t="shared" si="8"/>
        <v/>
      </c>
      <c r="AL33" s="382" t="str">
        <f t="shared" si="9"/>
        <v/>
      </c>
      <c r="AM33" s="386" t="str">
        <f>IFERROR(IF(F33="","",IF(AH33="Check Data ⚠","Check Data ⚠",VLOOKUP(AL33, 'G-3 Multipliers'!$P$2:$Q$6,2,FALSE))),"")</f>
        <v/>
      </c>
      <c r="AN33" s="516"/>
      <c r="AO33" s="417" t="str">
        <f>IF(AN33="","",IF(VLOOKUP(AN33,'G-3 Multipliers'!$S$3:$T$10,2,FALSE)=0,"Spatial Data Missing ⚠",VLOOKUP(AN33,'G-3 Multipliers'!$S$3:$T$10,2,FALSE)))</f>
        <v/>
      </c>
      <c r="AP33" s="376" t="str">
        <f t="shared" si="10"/>
        <v/>
      </c>
      <c r="AQ33" s="376" t="str">
        <f t="shared" si="11"/>
        <v/>
      </c>
      <c r="AR33" s="119"/>
      <c r="AS33" s="528"/>
      <c r="AT33" s="120"/>
      <c r="AU33" s="120"/>
    </row>
    <row r="34" spans="1:47">
      <c r="A34" s="30" t="str">
        <f>IF(E34="","",IF(ISNA(VLOOKUP($E34,'D-1 Off-Site Habitat Baseline'!$D$1:$O$258,2,FALSE)),"",(VLOOKUP($E34,'D-1 Off-Site Habitat Baseline'!$D$1:$O$258,2,FALSE))))</f>
        <v/>
      </c>
      <c r="B34" s="30" t="str">
        <f>IF(E34="","",IF(ISNA(VLOOKUP($E34,'D-1 Off-Site Habitat Baseline'!$D$1:$O$258,3,FALSE)),"",(VLOOKUP($E34,'D-1 Off-Site Habitat Baseline'!$D$1:$O$258,3,FALSE))))</f>
        <v/>
      </c>
      <c r="C34" s="30" t="str">
        <f>IFERROR(INDEX('G-8 Condition Look up'!$I$4:$I$135,MATCH(S34,'G-8 Condition Look up'!$A$4:$A$135,0)),"")</f>
        <v/>
      </c>
      <c r="E34" s="407" t="str">
        <f>'D-1 Off-Site Habitat Baseline'!AP33</f>
        <v/>
      </c>
      <c r="F34" s="382" t="str">
        <f>IF(E34="","",IF(ISNA(VLOOKUP($E34,'D-1 Off-Site Habitat Baseline'!$D$1:$O$258,4,FALSE)),"",(VLOOKUP($E34,'D-1 Off-Site Habitat Baseline'!$D$1:$O$258,4,FALSE))))</f>
        <v/>
      </c>
      <c r="G34" s="382" t="str">
        <f>IF(E34="","",IF(ISNA(VLOOKUP($E34,'D-1 Off-Site Habitat Baseline'!$D$1:$O$258,5,FALSE)),"",(VLOOKUP($E34,'D-1 Off-Site Habitat Baseline'!$D$1:$O$258,5,FALSE))))</f>
        <v/>
      </c>
      <c r="H34" s="382" t="str">
        <f>IF(E34="","",IF(ISNA(VLOOKUP($E34,'D-1 Off-Site Habitat Baseline'!$D$1:$O$258,6,FALSE)),"",(VLOOKUP($E34,'D-1 Off-Site Habitat Baseline'!$D$1:$O$258,6,FALSE))))</f>
        <v/>
      </c>
      <c r="I34" s="382" t="str">
        <f>IF(E34="","",IF(ISNA(VLOOKUP($E34,'D-1 Off-Site Habitat Baseline'!$D$1:$O$258,7,FALSE)),"",(VLOOKUP($E34,'D-1 Off-Site Habitat Baseline'!$D$1:$O$258,7,FALSE))))</f>
        <v/>
      </c>
      <c r="J34" s="382" t="str">
        <f>IF(E34="","",IF(ISNA(VLOOKUP($E34,'D-1 Off-Site Habitat Baseline'!$D$1:$O$258,8,FALSE)),"",(VLOOKUP($E34,'D-1 Off-Site Habitat Baseline'!$D$1:$O$258,8,FALSE))))</f>
        <v/>
      </c>
      <c r="K34" s="382" t="str">
        <f>IF(E34="","",IF(ISNA(VLOOKUP($E34,'D-1 Off-Site Habitat Baseline'!$D$1:$O$258,9,FALSE)),"",(VLOOKUP($E34,'D-1 Off-Site Habitat Baseline'!$D$1:$O$258,9,FALSE))))</f>
        <v/>
      </c>
      <c r="L34" s="382" t="str">
        <f>IF(E34="","",IF(ISNA(VLOOKUP($E34,'D-1 Off-Site Habitat Baseline'!$D$1:$O$258,11,FALSE)),"",(VLOOKUP($E34,'D-1 Off-Site Habitat Baseline'!$D$1:$O$258,11,FALSE))))</f>
        <v/>
      </c>
      <c r="M34" s="382" t="str">
        <f>IF(E34="","",IF(ISNA(VLOOKUP($E34,'D-1 Off-Site Habitat Baseline'!$D$1:$O$258,12,FALSE)),"",(VLOOKUP($E34,'D-1 Off-Site Habitat Baseline'!$D$1:$O$258,12,FALSE))))</f>
        <v/>
      </c>
      <c r="N34" s="382" t="str">
        <f>IF(E34="","",IF(ISNA(VLOOKUP($E34,'D-1 Off-Site Habitat Baseline'!$D$1:$AA$258,14,FALSE)),"",(VLOOKUP($E34,'D-1 Off-Site Habitat Baseline'!$D$1:$AA$258,14,FALSE))))</f>
        <v/>
      </c>
      <c r="O34" s="386" t="str">
        <f>IF(E34="","",IF(ISNA(VLOOKUP($E34,'D-1 Off-Site Habitat Baseline'!$D$1:$AA$258,13,FALSE)),"",(VLOOKUP($E34,'D-1 Off-Site Habitat Baseline'!$D$1:$AA$258,13,FALSE))))</f>
        <v/>
      </c>
      <c r="P34" s="184" t="str">
        <f>IFERROR(INDEX('G-1 All Habitats'!$AG$3:$AG$17,MATCH(Q34,'G-1 All Habitats'!$AF$3:$AF$17,0)),"")</f>
        <v/>
      </c>
      <c r="Q34" s="185" t="str">
        <f t="shared" si="0"/>
        <v/>
      </c>
      <c r="R34" s="186" t="str">
        <f t="shared" si="1"/>
        <v/>
      </c>
      <c r="S34" s="187" t="str">
        <f>IFERROR(INDEX('G-1 All Habitats'!$B$3:$B$134,MATCH(R34,'G-1 All Habitats'!$A$3:$A$134,0)),"")</f>
        <v/>
      </c>
      <c r="T34" s="370" t="str">
        <f t="shared" si="3"/>
        <v/>
      </c>
      <c r="U34" s="386" t="str">
        <f t="shared" si="4"/>
        <v/>
      </c>
      <c r="V34" s="385" t="str">
        <f t="shared" si="5"/>
        <v/>
      </c>
      <c r="W34" s="382" t="str">
        <f>IF(S34="","",VLOOKUP(S34,'G-1 All Habitats'!$B$2:$M$134,10,FALSE))</f>
        <v/>
      </c>
      <c r="X34" s="382" t="str">
        <f>IFERROR(VLOOKUP(W34,'G-1 All Habitats'!$V$3:$W$7,2,FALSE),"")</f>
        <v/>
      </c>
      <c r="Y34" s="165"/>
      <c r="Z34" s="386" t="str">
        <f>IFERROR(INDEX('G-8 Condition Look up'!$A$3:$H$135,MATCH(S34,'G-8 Condition Look up'!$A$3:$A$135,0),MATCH(Y34,'G-8 Condition Look up'!$A$3:$H$3,0)),"")</f>
        <v/>
      </c>
      <c r="AA34" s="114"/>
      <c r="AB34" s="401" t="str">
        <f>IF(AA34="","",IF(VLOOKUP(AA34,'G-3 Multipliers'!$L$3:$N$6,2,FALSE)=0,"Spatial Data Missing ⚠",VLOOKUP(AA34,'G-3 Multipliers'!$L$3:$N$6,2,FALSE)))</f>
        <v/>
      </c>
      <c r="AC34" s="386" t="str">
        <f>IF(AA34="","",IF(VLOOKUP(AA34,'G-3 Multipliers'!$L$3:$N$6,3,FALSE)=0,"Spatial Data Missing ⚠",VLOOKUP(AA34,'G-3 Multipliers'!$L$3:$N$6,3,FALSE)))</f>
        <v/>
      </c>
      <c r="AD34" s="398" t="str">
        <f t="shared" si="2"/>
        <v/>
      </c>
      <c r="AE34" s="165"/>
      <c r="AF34" s="165"/>
      <c r="AG34" s="382" t="str">
        <f t="shared" si="6"/>
        <v/>
      </c>
      <c r="AH34" s="404" t="str">
        <f t="shared" si="7"/>
        <v/>
      </c>
      <c r="AI34" s="387" t="str">
        <f>IF(AH34="Check Data ⚠","Check Data ⚠",IFERROR(VLOOKUP(AH34,'G-4 Temporal multipliers'!$A$4:$C$36,3,FALSE),""))</f>
        <v/>
      </c>
      <c r="AJ34" s="398" t="str">
        <f>IF(S34="","",VLOOKUP(S34,'G-3 Multipliers'!$A$2:$E$134,4,FALSE))</f>
        <v/>
      </c>
      <c r="AK34" s="382" t="str">
        <f t="shared" si="8"/>
        <v/>
      </c>
      <c r="AL34" s="382" t="str">
        <f t="shared" si="9"/>
        <v/>
      </c>
      <c r="AM34" s="386" t="str">
        <f>IFERROR(IF(F34="","",IF(AH34="Check Data ⚠","Check Data ⚠",VLOOKUP(AL34, 'G-3 Multipliers'!$P$2:$Q$6,2,FALSE))),"")</f>
        <v/>
      </c>
      <c r="AN34" s="516"/>
      <c r="AO34" s="417" t="str">
        <f>IF(AN34="","",IF(VLOOKUP(AN34,'G-3 Multipliers'!$S$3:$T$10,2,FALSE)=0,"Spatial Data Missing ⚠",VLOOKUP(AN34,'G-3 Multipliers'!$S$3:$T$10,2,FALSE)))</f>
        <v/>
      </c>
      <c r="AP34" s="376" t="str">
        <f t="shared" si="10"/>
        <v/>
      </c>
      <c r="AQ34" s="376" t="str">
        <f t="shared" si="11"/>
        <v/>
      </c>
      <c r="AR34" s="119"/>
      <c r="AS34" s="528"/>
      <c r="AT34" s="120"/>
      <c r="AU34" s="120"/>
    </row>
    <row r="35" spans="1:47">
      <c r="A35" s="30" t="str">
        <f>IF(E35="","",IF(ISNA(VLOOKUP($E35,'D-1 Off-Site Habitat Baseline'!$D$1:$O$258,2,FALSE)),"",(VLOOKUP($E35,'D-1 Off-Site Habitat Baseline'!$D$1:$O$258,2,FALSE))))</f>
        <v/>
      </c>
      <c r="B35" s="30" t="str">
        <f>IF(E35="","",IF(ISNA(VLOOKUP($E35,'D-1 Off-Site Habitat Baseline'!$D$1:$O$258,3,FALSE)),"",(VLOOKUP($E35,'D-1 Off-Site Habitat Baseline'!$D$1:$O$258,3,FALSE))))</f>
        <v/>
      </c>
      <c r="C35" s="30" t="str">
        <f>IFERROR(INDEX('G-8 Condition Look up'!$I$4:$I$135,MATCH(S35,'G-8 Condition Look up'!$A$4:$A$135,0)),"")</f>
        <v/>
      </c>
      <c r="E35" s="407" t="str">
        <f>'D-1 Off-Site Habitat Baseline'!AP34</f>
        <v/>
      </c>
      <c r="F35" s="382" t="str">
        <f>IF(E35="","",IF(ISNA(VLOOKUP($E35,'D-1 Off-Site Habitat Baseline'!$D$1:$O$258,4,FALSE)),"",(VLOOKUP($E35,'D-1 Off-Site Habitat Baseline'!$D$1:$O$258,4,FALSE))))</f>
        <v/>
      </c>
      <c r="G35" s="382" t="str">
        <f>IF(E35="","",IF(ISNA(VLOOKUP($E35,'D-1 Off-Site Habitat Baseline'!$D$1:$O$258,5,FALSE)),"",(VLOOKUP($E35,'D-1 Off-Site Habitat Baseline'!$D$1:$O$258,5,FALSE))))</f>
        <v/>
      </c>
      <c r="H35" s="382" t="str">
        <f>IF(E35="","",IF(ISNA(VLOOKUP($E35,'D-1 Off-Site Habitat Baseline'!$D$1:$O$258,6,FALSE)),"",(VLOOKUP($E35,'D-1 Off-Site Habitat Baseline'!$D$1:$O$258,6,FALSE))))</f>
        <v/>
      </c>
      <c r="I35" s="382" t="str">
        <f>IF(E35="","",IF(ISNA(VLOOKUP($E35,'D-1 Off-Site Habitat Baseline'!$D$1:$O$258,7,FALSE)),"",(VLOOKUP($E35,'D-1 Off-Site Habitat Baseline'!$D$1:$O$258,7,FALSE))))</f>
        <v/>
      </c>
      <c r="J35" s="382" t="str">
        <f>IF(E35="","",IF(ISNA(VLOOKUP($E35,'D-1 Off-Site Habitat Baseline'!$D$1:$O$258,8,FALSE)),"",(VLOOKUP($E35,'D-1 Off-Site Habitat Baseline'!$D$1:$O$258,8,FALSE))))</f>
        <v/>
      </c>
      <c r="K35" s="382" t="str">
        <f>IF(E35="","",IF(ISNA(VLOOKUP($E35,'D-1 Off-Site Habitat Baseline'!$D$1:$O$258,9,FALSE)),"",(VLOOKUP($E35,'D-1 Off-Site Habitat Baseline'!$D$1:$O$258,9,FALSE))))</f>
        <v/>
      </c>
      <c r="L35" s="382" t="str">
        <f>IF(E35="","",IF(ISNA(VLOOKUP($E35,'D-1 Off-Site Habitat Baseline'!$D$1:$O$258,11,FALSE)),"",(VLOOKUP($E35,'D-1 Off-Site Habitat Baseline'!$D$1:$O$258,11,FALSE))))</f>
        <v/>
      </c>
      <c r="M35" s="382" t="str">
        <f>IF(E35="","",IF(ISNA(VLOOKUP($E35,'D-1 Off-Site Habitat Baseline'!$D$1:$O$258,12,FALSE)),"",(VLOOKUP($E35,'D-1 Off-Site Habitat Baseline'!$D$1:$O$258,12,FALSE))))</f>
        <v/>
      </c>
      <c r="N35" s="382" t="str">
        <f>IF(E35="","",IF(ISNA(VLOOKUP($E35,'D-1 Off-Site Habitat Baseline'!$D$1:$AA$258,14,FALSE)),"",(VLOOKUP($E35,'D-1 Off-Site Habitat Baseline'!$D$1:$AA$258,14,FALSE))))</f>
        <v/>
      </c>
      <c r="O35" s="386" t="str">
        <f>IF(E35="","",IF(ISNA(VLOOKUP($E35,'D-1 Off-Site Habitat Baseline'!$D$1:$AA$258,13,FALSE)),"",(VLOOKUP($E35,'D-1 Off-Site Habitat Baseline'!$D$1:$AA$258,13,FALSE))))</f>
        <v/>
      </c>
      <c r="P35" s="184" t="str">
        <f>IFERROR(INDEX('G-1 All Habitats'!$AG$3:$AG$17,MATCH(Q35,'G-1 All Habitats'!$AF$3:$AF$17,0)),"")</f>
        <v/>
      </c>
      <c r="Q35" s="185" t="str">
        <f t="shared" si="0"/>
        <v/>
      </c>
      <c r="R35" s="186" t="str">
        <f t="shared" si="1"/>
        <v/>
      </c>
      <c r="S35" s="187" t="str">
        <f>IFERROR(INDEX('G-1 All Habitats'!$B$3:$B$134,MATCH(R35,'G-1 All Habitats'!$A$3:$A$134,0)),"")</f>
        <v/>
      </c>
      <c r="T35" s="370" t="str">
        <f t="shared" si="3"/>
        <v/>
      </c>
      <c r="U35" s="386" t="str">
        <f t="shared" si="4"/>
        <v/>
      </c>
      <c r="V35" s="385" t="str">
        <f t="shared" si="5"/>
        <v/>
      </c>
      <c r="W35" s="382" t="str">
        <f>IF(S35="","",VLOOKUP(S35,'G-1 All Habitats'!$B$2:$M$134,10,FALSE))</f>
        <v/>
      </c>
      <c r="X35" s="382" t="str">
        <f>IFERROR(VLOOKUP(W35,'G-1 All Habitats'!$V$3:$W$7,2,FALSE),"")</f>
        <v/>
      </c>
      <c r="Y35" s="165"/>
      <c r="Z35" s="386" t="str">
        <f>IFERROR(INDEX('G-8 Condition Look up'!$A$3:$H$135,MATCH(S35,'G-8 Condition Look up'!$A$3:$A$135,0),MATCH(Y35,'G-8 Condition Look up'!$A$3:$H$3,0)),"")</f>
        <v/>
      </c>
      <c r="AA35" s="114"/>
      <c r="AB35" s="401" t="str">
        <f>IF(AA35="","",IF(VLOOKUP(AA35,'G-3 Multipliers'!$L$3:$N$6,2,FALSE)=0,"Spatial Data Missing ⚠",VLOOKUP(AA35,'G-3 Multipliers'!$L$3:$N$6,2,FALSE)))</f>
        <v/>
      </c>
      <c r="AC35" s="386" t="str">
        <f>IF(AA35="","",IF(VLOOKUP(AA35,'G-3 Multipliers'!$L$3:$N$6,3,FALSE)=0,"Spatial Data Missing ⚠",VLOOKUP(AA35,'G-3 Multipliers'!$L$3:$N$6,3,FALSE)))</f>
        <v/>
      </c>
      <c r="AD35" s="398" t="str">
        <f t="shared" si="2"/>
        <v/>
      </c>
      <c r="AE35" s="165"/>
      <c r="AF35" s="165"/>
      <c r="AG35" s="382" t="str">
        <f t="shared" si="6"/>
        <v/>
      </c>
      <c r="AH35" s="404" t="str">
        <f t="shared" si="7"/>
        <v/>
      </c>
      <c r="AI35" s="387" t="str">
        <f>IF(AH35="Check Data ⚠","Check Data ⚠",IFERROR(VLOOKUP(AH35,'G-4 Temporal multipliers'!$A$4:$C$36,3,FALSE),""))</f>
        <v/>
      </c>
      <c r="AJ35" s="398" t="str">
        <f>IF(S35="","",VLOOKUP(S35,'G-3 Multipliers'!$A$2:$E$134,4,FALSE))</f>
        <v/>
      </c>
      <c r="AK35" s="382" t="str">
        <f t="shared" si="8"/>
        <v/>
      </c>
      <c r="AL35" s="382" t="str">
        <f t="shared" si="9"/>
        <v/>
      </c>
      <c r="AM35" s="386" t="str">
        <f>IFERROR(IF(F35="","",IF(AH35="Check Data ⚠","Check Data ⚠",VLOOKUP(AL35, 'G-3 Multipliers'!$P$2:$Q$6,2,FALSE))),"")</f>
        <v/>
      </c>
      <c r="AN35" s="516"/>
      <c r="AO35" s="417" t="str">
        <f>IF(AN35="","",IF(VLOOKUP(AN35,'G-3 Multipliers'!$S$3:$T$10,2,FALSE)=0,"Spatial Data Missing ⚠",VLOOKUP(AN35,'G-3 Multipliers'!$S$3:$T$10,2,FALSE)))</f>
        <v/>
      </c>
      <c r="AP35" s="376" t="str">
        <f t="shared" si="10"/>
        <v/>
      </c>
      <c r="AQ35" s="376" t="str">
        <f t="shared" si="11"/>
        <v/>
      </c>
      <c r="AR35" s="119"/>
      <c r="AS35" s="528"/>
      <c r="AT35" s="120"/>
      <c r="AU35" s="120"/>
    </row>
    <row r="36" spans="1:47">
      <c r="A36" s="30" t="str">
        <f>IF(E36="","",IF(ISNA(VLOOKUP($E36,'D-1 Off-Site Habitat Baseline'!$D$1:$O$258,2,FALSE)),"",(VLOOKUP($E36,'D-1 Off-Site Habitat Baseline'!$D$1:$O$258,2,FALSE))))</f>
        <v/>
      </c>
      <c r="B36" s="30" t="str">
        <f>IF(E36="","",IF(ISNA(VLOOKUP($E36,'D-1 Off-Site Habitat Baseline'!$D$1:$O$258,3,FALSE)),"",(VLOOKUP($E36,'D-1 Off-Site Habitat Baseline'!$D$1:$O$258,3,FALSE))))</f>
        <v/>
      </c>
      <c r="C36" s="30" t="str">
        <f>IFERROR(INDEX('G-8 Condition Look up'!$I$4:$I$135,MATCH(S36,'G-8 Condition Look up'!$A$4:$A$135,0)),"")</f>
        <v/>
      </c>
      <c r="E36" s="407" t="str">
        <f>'D-1 Off-Site Habitat Baseline'!AP35</f>
        <v/>
      </c>
      <c r="F36" s="382" t="str">
        <f>IF(E36="","",IF(ISNA(VLOOKUP($E36,'D-1 Off-Site Habitat Baseline'!$D$1:$O$258,4,FALSE)),"",(VLOOKUP($E36,'D-1 Off-Site Habitat Baseline'!$D$1:$O$258,4,FALSE))))</f>
        <v/>
      </c>
      <c r="G36" s="382" t="str">
        <f>IF(E36="","",IF(ISNA(VLOOKUP($E36,'D-1 Off-Site Habitat Baseline'!$D$1:$O$258,5,FALSE)),"",(VLOOKUP($E36,'D-1 Off-Site Habitat Baseline'!$D$1:$O$258,5,FALSE))))</f>
        <v/>
      </c>
      <c r="H36" s="382" t="str">
        <f>IF(E36="","",IF(ISNA(VLOOKUP($E36,'D-1 Off-Site Habitat Baseline'!$D$1:$O$258,6,FALSE)),"",(VLOOKUP($E36,'D-1 Off-Site Habitat Baseline'!$D$1:$O$258,6,FALSE))))</f>
        <v/>
      </c>
      <c r="I36" s="382" t="str">
        <f>IF(E36="","",IF(ISNA(VLOOKUP($E36,'D-1 Off-Site Habitat Baseline'!$D$1:$O$258,7,FALSE)),"",(VLOOKUP($E36,'D-1 Off-Site Habitat Baseline'!$D$1:$O$258,7,FALSE))))</f>
        <v/>
      </c>
      <c r="J36" s="382" t="str">
        <f>IF(E36="","",IF(ISNA(VLOOKUP($E36,'D-1 Off-Site Habitat Baseline'!$D$1:$O$258,8,FALSE)),"",(VLOOKUP($E36,'D-1 Off-Site Habitat Baseline'!$D$1:$O$258,8,FALSE))))</f>
        <v/>
      </c>
      <c r="K36" s="382" t="str">
        <f>IF(E36="","",IF(ISNA(VLOOKUP($E36,'D-1 Off-Site Habitat Baseline'!$D$1:$O$258,9,FALSE)),"",(VLOOKUP($E36,'D-1 Off-Site Habitat Baseline'!$D$1:$O$258,9,FALSE))))</f>
        <v/>
      </c>
      <c r="L36" s="382" t="str">
        <f>IF(E36="","",IF(ISNA(VLOOKUP($E36,'D-1 Off-Site Habitat Baseline'!$D$1:$O$258,11,FALSE)),"",(VLOOKUP($E36,'D-1 Off-Site Habitat Baseline'!$D$1:$O$258,11,FALSE))))</f>
        <v/>
      </c>
      <c r="M36" s="382" t="str">
        <f>IF(E36="","",IF(ISNA(VLOOKUP($E36,'D-1 Off-Site Habitat Baseline'!$D$1:$O$258,12,FALSE)),"",(VLOOKUP($E36,'D-1 Off-Site Habitat Baseline'!$D$1:$O$258,12,FALSE))))</f>
        <v/>
      </c>
      <c r="N36" s="382" t="str">
        <f>IF(E36="","",IF(ISNA(VLOOKUP($E36,'D-1 Off-Site Habitat Baseline'!$D$1:$AA$258,14,FALSE)),"",(VLOOKUP($E36,'D-1 Off-Site Habitat Baseline'!$D$1:$AA$258,14,FALSE))))</f>
        <v/>
      </c>
      <c r="O36" s="386" t="str">
        <f>IF(E36="","",IF(ISNA(VLOOKUP($E36,'D-1 Off-Site Habitat Baseline'!$D$1:$AA$258,13,FALSE)),"",(VLOOKUP($E36,'D-1 Off-Site Habitat Baseline'!$D$1:$AA$258,13,FALSE))))</f>
        <v/>
      </c>
      <c r="P36" s="184" t="str">
        <f>IFERROR(INDEX('G-1 All Habitats'!$AG$3:$AG$17,MATCH(Q36,'G-1 All Habitats'!$AF$3:$AF$17,0)),"")</f>
        <v/>
      </c>
      <c r="Q36" s="185" t="str">
        <f t="shared" si="0"/>
        <v/>
      </c>
      <c r="R36" s="186" t="str">
        <f t="shared" si="1"/>
        <v/>
      </c>
      <c r="S36" s="187" t="str">
        <f>IFERROR(INDEX('G-1 All Habitats'!$B$3:$B$134,MATCH(R36,'G-1 All Habitats'!$A$3:$A$134,0)),"")</f>
        <v/>
      </c>
      <c r="T36" s="370" t="str">
        <f t="shared" si="3"/>
        <v/>
      </c>
      <c r="U36" s="386" t="str">
        <f t="shared" si="4"/>
        <v/>
      </c>
      <c r="V36" s="385" t="str">
        <f t="shared" si="5"/>
        <v/>
      </c>
      <c r="W36" s="382" t="str">
        <f>IF(S36="","",VLOOKUP(S36,'G-1 All Habitats'!$B$2:$M$134,10,FALSE))</f>
        <v/>
      </c>
      <c r="X36" s="382" t="str">
        <f>IFERROR(VLOOKUP(W36,'G-1 All Habitats'!$V$3:$W$7,2,FALSE),"")</f>
        <v/>
      </c>
      <c r="Y36" s="165"/>
      <c r="Z36" s="386" t="str">
        <f>IFERROR(INDEX('G-8 Condition Look up'!$A$3:$H$135,MATCH(S36,'G-8 Condition Look up'!$A$3:$A$135,0),MATCH(Y36,'G-8 Condition Look up'!$A$3:$H$3,0)),"")</f>
        <v/>
      </c>
      <c r="AA36" s="114"/>
      <c r="AB36" s="401" t="str">
        <f>IF(AA36="","",IF(VLOOKUP(AA36,'G-3 Multipliers'!$L$3:$N$6,2,FALSE)=0,"Spatial Data Missing ⚠",VLOOKUP(AA36,'G-3 Multipliers'!$L$3:$N$6,2,FALSE)))</f>
        <v/>
      </c>
      <c r="AC36" s="386" t="str">
        <f>IF(AA36="","",IF(VLOOKUP(AA36,'G-3 Multipliers'!$L$3:$N$6,3,FALSE)=0,"Spatial Data Missing ⚠",VLOOKUP(AA36,'G-3 Multipliers'!$L$3:$N$6,3,FALSE)))</f>
        <v/>
      </c>
      <c r="AD36" s="398" t="str">
        <f t="shared" si="2"/>
        <v/>
      </c>
      <c r="AE36" s="165"/>
      <c r="AF36" s="165"/>
      <c r="AG36" s="382" t="str">
        <f t="shared" si="6"/>
        <v/>
      </c>
      <c r="AH36" s="404" t="str">
        <f t="shared" si="7"/>
        <v/>
      </c>
      <c r="AI36" s="387" t="str">
        <f>IF(AH36="Check Data ⚠","Check Data ⚠",IFERROR(VLOOKUP(AH36,'G-4 Temporal multipliers'!$A$4:$C$36,3,FALSE),""))</f>
        <v/>
      </c>
      <c r="AJ36" s="398" t="str">
        <f>IF(S36="","",VLOOKUP(S36,'G-3 Multipliers'!$A$2:$E$134,4,FALSE))</f>
        <v/>
      </c>
      <c r="AK36" s="382" t="str">
        <f t="shared" si="8"/>
        <v/>
      </c>
      <c r="AL36" s="382" t="str">
        <f t="shared" si="9"/>
        <v/>
      </c>
      <c r="AM36" s="386" t="str">
        <f>IFERROR(IF(F36="","",IF(AH36="Check Data ⚠","Check Data ⚠",VLOOKUP(AL36, 'G-3 Multipliers'!$P$2:$Q$6,2,FALSE))),"")</f>
        <v/>
      </c>
      <c r="AN36" s="516"/>
      <c r="AO36" s="417" t="str">
        <f>IF(AN36="","",IF(VLOOKUP(AN36,'G-3 Multipliers'!$S$3:$T$10,2,FALSE)=0,"Spatial Data Missing ⚠",VLOOKUP(AN36,'G-3 Multipliers'!$S$3:$T$10,2,FALSE)))</f>
        <v/>
      </c>
      <c r="AP36" s="376" t="str">
        <f t="shared" si="10"/>
        <v/>
      </c>
      <c r="AQ36" s="376" t="str">
        <f t="shared" si="11"/>
        <v/>
      </c>
      <c r="AR36" s="119"/>
      <c r="AS36" s="528"/>
      <c r="AT36" s="120"/>
      <c r="AU36" s="120"/>
    </row>
    <row r="37" spans="1:47">
      <c r="A37" s="30" t="str">
        <f>IF(E37="","",IF(ISNA(VLOOKUP($E37,'D-1 Off-Site Habitat Baseline'!$D$1:$O$258,2,FALSE)),"",(VLOOKUP($E37,'D-1 Off-Site Habitat Baseline'!$D$1:$O$258,2,FALSE))))</f>
        <v/>
      </c>
      <c r="B37" s="30" t="str">
        <f>IF(E37="","",IF(ISNA(VLOOKUP($E37,'D-1 Off-Site Habitat Baseline'!$D$1:$O$258,3,FALSE)),"",(VLOOKUP($E37,'D-1 Off-Site Habitat Baseline'!$D$1:$O$258,3,FALSE))))</f>
        <v/>
      </c>
      <c r="C37" s="30" t="str">
        <f>IFERROR(INDEX('G-8 Condition Look up'!$I$4:$I$135,MATCH(S37,'G-8 Condition Look up'!$A$4:$A$135,0)),"")</f>
        <v/>
      </c>
      <c r="E37" s="407" t="str">
        <f>'D-1 Off-Site Habitat Baseline'!AP36</f>
        <v/>
      </c>
      <c r="F37" s="382" t="str">
        <f>IF(E37="","",IF(ISNA(VLOOKUP($E37,'D-1 Off-Site Habitat Baseline'!$D$1:$O$258,4,FALSE)),"",(VLOOKUP($E37,'D-1 Off-Site Habitat Baseline'!$D$1:$O$258,4,FALSE))))</f>
        <v/>
      </c>
      <c r="G37" s="382" t="str">
        <f>IF(E37="","",IF(ISNA(VLOOKUP($E37,'D-1 Off-Site Habitat Baseline'!$D$1:$O$258,5,FALSE)),"",(VLOOKUP($E37,'D-1 Off-Site Habitat Baseline'!$D$1:$O$258,5,FALSE))))</f>
        <v/>
      </c>
      <c r="H37" s="382" t="str">
        <f>IF(E37="","",IF(ISNA(VLOOKUP($E37,'D-1 Off-Site Habitat Baseline'!$D$1:$O$258,6,FALSE)),"",(VLOOKUP($E37,'D-1 Off-Site Habitat Baseline'!$D$1:$O$258,6,FALSE))))</f>
        <v/>
      </c>
      <c r="I37" s="382" t="str">
        <f>IF(E37="","",IF(ISNA(VLOOKUP($E37,'D-1 Off-Site Habitat Baseline'!$D$1:$O$258,7,FALSE)),"",(VLOOKUP($E37,'D-1 Off-Site Habitat Baseline'!$D$1:$O$258,7,FALSE))))</f>
        <v/>
      </c>
      <c r="J37" s="382" t="str">
        <f>IF(E37="","",IF(ISNA(VLOOKUP($E37,'D-1 Off-Site Habitat Baseline'!$D$1:$O$258,8,FALSE)),"",(VLOOKUP($E37,'D-1 Off-Site Habitat Baseline'!$D$1:$O$258,8,FALSE))))</f>
        <v/>
      </c>
      <c r="K37" s="382" t="str">
        <f>IF(E37="","",IF(ISNA(VLOOKUP($E37,'D-1 Off-Site Habitat Baseline'!$D$1:$O$258,9,FALSE)),"",(VLOOKUP($E37,'D-1 Off-Site Habitat Baseline'!$D$1:$O$258,9,FALSE))))</f>
        <v/>
      </c>
      <c r="L37" s="382" t="str">
        <f>IF(E37="","",IF(ISNA(VLOOKUP($E37,'D-1 Off-Site Habitat Baseline'!$D$1:$O$258,11,FALSE)),"",(VLOOKUP($E37,'D-1 Off-Site Habitat Baseline'!$D$1:$O$258,11,FALSE))))</f>
        <v/>
      </c>
      <c r="M37" s="382" t="str">
        <f>IF(E37="","",IF(ISNA(VLOOKUP($E37,'D-1 Off-Site Habitat Baseline'!$D$1:$O$258,12,FALSE)),"",(VLOOKUP($E37,'D-1 Off-Site Habitat Baseline'!$D$1:$O$258,12,FALSE))))</f>
        <v/>
      </c>
      <c r="N37" s="382" t="str">
        <f>IF(E37="","",IF(ISNA(VLOOKUP($E37,'D-1 Off-Site Habitat Baseline'!$D$1:$AA$258,14,FALSE)),"",(VLOOKUP($E37,'D-1 Off-Site Habitat Baseline'!$D$1:$AA$258,14,FALSE))))</f>
        <v/>
      </c>
      <c r="O37" s="386" t="str">
        <f>IF(E37="","",IF(ISNA(VLOOKUP($E37,'D-1 Off-Site Habitat Baseline'!$D$1:$AA$258,13,FALSE)),"",(VLOOKUP($E37,'D-1 Off-Site Habitat Baseline'!$D$1:$AA$258,13,FALSE))))</f>
        <v/>
      </c>
      <c r="P37" s="184" t="str">
        <f>IFERROR(INDEX('G-1 All Habitats'!$AG$3:$AG$17,MATCH(Q37,'G-1 All Habitats'!$AF$3:$AF$17,0)),"")</f>
        <v/>
      </c>
      <c r="Q37" s="185" t="str">
        <f t="shared" si="0"/>
        <v/>
      </c>
      <c r="R37" s="186" t="str">
        <f t="shared" si="1"/>
        <v/>
      </c>
      <c r="S37" s="187" t="str">
        <f>IFERROR(INDEX('G-1 All Habitats'!$B$3:$B$134,MATCH(R37,'G-1 All Habitats'!$A$3:$A$134,0)),"")</f>
        <v/>
      </c>
      <c r="T37" s="370" t="str">
        <f t="shared" si="3"/>
        <v/>
      </c>
      <c r="U37" s="386" t="str">
        <f t="shared" si="4"/>
        <v/>
      </c>
      <c r="V37" s="385" t="str">
        <f t="shared" si="5"/>
        <v/>
      </c>
      <c r="W37" s="382" t="str">
        <f>IF(S37="","",VLOOKUP(S37,'G-1 All Habitats'!$B$2:$M$134,10,FALSE))</f>
        <v/>
      </c>
      <c r="X37" s="382" t="str">
        <f>IFERROR(VLOOKUP(W37,'G-1 All Habitats'!$V$3:$W$7,2,FALSE),"")</f>
        <v/>
      </c>
      <c r="Y37" s="165"/>
      <c r="Z37" s="386" t="str">
        <f>IFERROR(INDEX('G-8 Condition Look up'!$A$3:$H$135,MATCH(S37,'G-8 Condition Look up'!$A$3:$A$135,0),MATCH(Y37,'G-8 Condition Look up'!$A$3:$H$3,0)),"")</f>
        <v/>
      </c>
      <c r="AA37" s="114"/>
      <c r="AB37" s="401" t="str">
        <f>IF(AA37="","",IF(VLOOKUP(AA37,'G-3 Multipliers'!$L$3:$N$6,2,FALSE)=0,"Spatial Data Missing ⚠",VLOOKUP(AA37,'G-3 Multipliers'!$L$3:$N$6,2,FALSE)))</f>
        <v/>
      </c>
      <c r="AC37" s="386" t="str">
        <f>IF(AA37="","",IF(VLOOKUP(AA37,'G-3 Multipliers'!$L$3:$N$6,3,FALSE)=0,"Spatial Data Missing ⚠",VLOOKUP(AA37,'G-3 Multipliers'!$L$3:$N$6,3,FALSE)))</f>
        <v/>
      </c>
      <c r="AD37" s="398" t="str">
        <f t="shared" si="2"/>
        <v/>
      </c>
      <c r="AE37" s="165"/>
      <c r="AF37" s="165"/>
      <c r="AG37" s="382" t="str">
        <f t="shared" si="6"/>
        <v/>
      </c>
      <c r="AH37" s="404" t="str">
        <f t="shared" si="7"/>
        <v/>
      </c>
      <c r="AI37" s="387" t="str">
        <f>IF(AH37="Check Data ⚠","Check Data ⚠",IFERROR(VLOOKUP(AH37,'G-4 Temporal multipliers'!$A$4:$C$36,3,FALSE),""))</f>
        <v/>
      </c>
      <c r="AJ37" s="398" t="str">
        <f>IF(S37="","",VLOOKUP(S37,'G-3 Multipliers'!$A$2:$E$134,4,FALSE))</f>
        <v/>
      </c>
      <c r="AK37" s="382" t="str">
        <f t="shared" si="8"/>
        <v/>
      </c>
      <c r="AL37" s="382" t="str">
        <f t="shared" si="9"/>
        <v/>
      </c>
      <c r="AM37" s="386" t="str">
        <f>IFERROR(IF(F37="","",IF(AH37="Check Data ⚠","Check Data ⚠",VLOOKUP(AL37, 'G-3 Multipliers'!$P$2:$Q$6,2,FALSE))),"")</f>
        <v/>
      </c>
      <c r="AN37" s="516"/>
      <c r="AO37" s="417" t="str">
        <f>IF(AN37="","",IF(VLOOKUP(AN37,'G-3 Multipliers'!$S$3:$T$10,2,FALSE)=0,"Spatial Data Missing ⚠",VLOOKUP(AN37,'G-3 Multipliers'!$S$3:$T$10,2,FALSE)))</f>
        <v/>
      </c>
      <c r="AP37" s="376" t="str">
        <f t="shared" si="10"/>
        <v/>
      </c>
      <c r="AQ37" s="376" t="str">
        <f t="shared" si="11"/>
        <v/>
      </c>
      <c r="AR37" s="119"/>
      <c r="AS37" s="528"/>
      <c r="AT37" s="120"/>
      <c r="AU37" s="120"/>
    </row>
    <row r="38" spans="1:47">
      <c r="A38" s="30" t="str">
        <f>IF(E38="","",IF(ISNA(VLOOKUP($E38,'D-1 Off-Site Habitat Baseline'!$D$1:$O$258,2,FALSE)),"",(VLOOKUP($E38,'D-1 Off-Site Habitat Baseline'!$D$1:$O$258,2,FALSE))))</f>
        <v/>
      </c>
      <c r="B38" s="30" t="str">
        <f>IF(E38="","",IF(ISNA(VLOOKUP($E38,'D-1 Off-Site Habitat Baseline'!$D$1:$O$258,3,FALSE)),"",(VLOOKUP($E38,'D-1 Off-Site Habitat Baseline'!$D$1:$O$258,3,FALSE))))</f>
        <v/>
      </c>
      <c r="C38" s="30" t="str">
        <f>IFERROR(INDEX('G-8 Condition Look up'!$I$4:$I$135,MATCH(S38,'G-8 Condition Look up'!$A$4:$A$135,0)),"")</f>
        <v/>
      </c>
      <c r="E38" s="407" t="str">
        <f>'D-1 Off-Site Habitat Baseline'!AP37</f>
        <v/>
      </c>
      <c r="F38" s="382" t="str">
        <f>IF(E38="","",IF(ISNA(VLOOKUP($E38,'D-1 Off-Site Habitat Baseline'!$D$1:$O$258,4,FALSE)),"",(VLOOKUP($E38,'D-1 Off-Site Habitat Baseline'!$D$1:$O$258,4,FALSE))))</f>
        <v/>
      </c>
      <c r="G38" s="382" t="str">
        <f>IF(E38="","",IF(ISNA(VLOOKUP($E38,'D-1 Off-Site Habitat Baseline'!$D$1:$O$258,5,FALSE)),"",(VLOOKUP($E38,'D-1 Off-Site Habitat Baseline'!$D$1:$O$258,5,FALSE))))</f>
        <v/>
      </c>
      <c r="H38" s="382" t="str">
        <f>IF(E38="","",IF(ISNA(VLOOKUP($E38,'D-1 Off-Site Habitat Baseline'!$D$1:$O$258,6,FALSE)),"",(VLOOKUP($E38,'D-1 Off-Site Habitat Baseline'!$D$1:$O$258,6,FALSE))))</f>
        <v/>
      </c>
      <c r="I38" s="382" t="str">
        <f>IF(E38="","",IF(ISNA(VLOOKUP($E38,'D-1 Off-Site Habitat Baseline'!$D$1:$O$258,7,FALSE)),"",(VLOOKUP($E38,'D-1 Off-Site Habitat Baseline'!$D$1:$O$258,7,FALSE))))</f>
        <v/>
      </c>
      <c r="J38" s="382" t="str">
        <f>IF(E38="","",IF(ISNA(VLOOKUP($E38,'D-1 Off-Site Habitat Baseline'!$D$1:$O$258,8,FALSE)),"",(VLOOKUP($E38,'D-1 Off-Site Habitat Baseline'!$D$1:$O$258,8,FALSE))))</f>
        <v/>
      </c>
      <c r="K38" s="382" t="str">
        <f>IF(E38="","",IF(ISNA(VLOOKUP($E38,'D-1 Off-Site Habitat Baseline'!$D$1:$O$258,9,FALSE)),"",(VLOOKUP($E38,'D-1 Off-Site Habitat Baseline'!$D$1:$O$258,9,FALSE))))</f>
        <v/>
      </c>
      <c r="L38" s="382" t="str">
        <f>IF(E38="","",IF(ISNA(VLOOKUP($E38,'D-1 Off-Site Habitat Baseline'!$D$1:$O$258,11,FALSE)),"",(VLOOKUP($E38,'D-1 Off-Site Habitat Baseline'!$D$1:$O$258,11,FALSE))))</f>
        <v/>
      </c>
      <c r="M38" s="382" t="str">
        <f>IF(E38="","",IF(ISNA(VLOOKUP($E38,'D-1 Off-Site Habitat Baseline'!$D$1:$O$258,12,FALSE)),"",(VLOOKUP($E38,'D-1 Off-Site Habitat Baseline'!$D$1:$O$258,12,FALSE))))</f>
        <v/>
      </c>
      <c r="N38" s="382" t="str">
        <f>IF(E38="","",IF(ISNA(VLOOKUP($E38,'D-1 Off-Site Habitat Baseline'!$D$1:$AA$258,14,FALSE)),"",(VLOOKUP($E38,'D-1 Off-Site Habitat Baseline'!$D$1:$AA$258,14,FALSE))))</f>
        <v/>
      </c>
      <c r="O38" s="386" t="str">
        <f>IF(E38="","",IF(ISNA(VLOOKUP($E38,'D-1 Off-Site Habitat Baseline'!$D$1:$AA$258,13,FALSE)),"",(VLOOKUP($E38,'D-1 Off-Site Habitat Baseline'!$D$1:$AA$258,13,FALSE))))</f>
        <v/>
      </c>
      <c r="P38" s="184" t="str">
        <f>IFERROR(INDEX('G-1 All Habitats'!$AG$3:$AG$17,MATCH(Q38,'G-1 All Habitats'!$AF$3:$AF$17,0)),"")</f>
        <v/>
      </c>
      <c r="Q38" s="185" t="str">
        <f t="shared" si="0"/>
        <v/>
      </c>
      <c r="R38" s="186" t="str">
        <f t="shared" si="1"/>
        <v/>
      </c>
      <c r="S38" s="187" t="str">
        <f>IFERROR(INDEX('G-1 All Habitats'!$B$3:$B$134,MATCH(R38,'G-1 All Habitats'!$A$3:$A$134,0)),"")</f>
        <v/>
      </c>
      <c r="T38" s="370" t="str">
        <f t="shared" si="3"/>
        <v/>
      </c>
      <c r="U38" s="386" t="str">
        <f t="shared" si="4"/>
        <v/>
      </c>
      <c r="V38" s="385" t="str">
        <f t="shared" si="5"/>
        <v/>
      </c>
      <c r="W38" s="382" t="str">
        <f>IF(S38="","",VLOOKUP(S38,'G-1 All Habitats'!$B$2:$M$134,10,FALSE))</f>
        <v/>
      </c>
      <c r="X38" s="382" t="str">
        <f>IFERROR(VLOOKUP(W38,'G-1 All Habitats'!$V$3:$W$7,2,FALSE),"")</f>
        <v/>
      </c>
      <c r="Y38" s="165"/>
      <c r="Z38" s="386" t="str">
        <f>IFERROR(INDEX('G-8 Condition Look up'!$A$3:$H$135,MATCH(S38,'G-8 Condition Look up'!$A$3:$A$135,0),MATCH(Y38,'G-8 Condition Look up'!$A$3:$H$3,0)),"")</f>
        <v/>
      </c>
      <c r="AA38" s="114"/>
      <c r="AB38" s="401" t="str">
        <f>IF(AA38="","",IF(VLOOKUP(AA38,'G-3 Multipliers'!$L$3:$N$6,2,FALSE)=0,"Spatial Data Missing ⚠",VLOOKUP(AA38,'G-3 Multipliers'!$L$3:$N$6,2,FALSE)))</f>
        <v/>
      </c>
      <c r="AC38" s="386" t="str">
        <f>IF(AA38="","",IF(VLOOKUP(AA38,'G-3 Multipliers'!$L$3:$N$6,3,FALSE)=0,"Spatial Data Missing ⚠",VLOOKUP(AA38,'G-3 Multipliers'!$L$3:$N$6,3,FALSE)))</f>
        <v/>
      </c>
      <c r="AD38" s="398" t="str">
        <f t="shared" si="2"/>
        <v/>
      </c>
      <c r="AE38" s="165"/>
      <c r="AF38" s="165"/>
      <c r="AG38" s="382" t="str">
        <f t="shared" si="6"/>
        <v/>
      </c>
      <c r="AH38" s="404" t="str">
        <f t="shared" si="7"/>
        <v/>
      </c>
      <c r="AI38" s="387" t="str">
        <f>IF(AH38="Check Data ⚠","Check Data ⚠",IFERROR(VLOOKUP(AH38,'G-4 Temporal multipliers'!$A$4:$C$36,3,FALSE),""))</f>
        <v/>
      </c>
      <c r="AJ38" s="398" t="str">
        <f>IF(S38="","",VLOOKUP(S38,'G-3 Multipliers'!$A$2:$E$134,4,FALSE))</f>
        <v/>
      </c>
      <c r="AK38" s="382" t="str">
        <f t="shared" si="8"/>
        <v/>
      </c>
      <c r="AL38" s="382" t="str">
        <f t="shared" si="9"/>
        <v/>
      </c>
      <c r="AM38" s="386" t="str">
        <f>IFERROR(IF(F38="","",IF(AH38="Check Data ⚠","Check Data ⚠",VLOOKUP(AL38, 'G-3 Multipliers'!$P$2:$Q$6,2,FALSE))),"")</f>
        <v/>
      </c>
      <c r="AN38" s="516"/>
      <c r="AO38" s="417" t="str">
        <f>IF(AN38="","",IF(VLOOKUP(AN38,'G-3 Multipliers'!$S$3:$T$10,2,FALSE)=0,"Spatial Data Missing ⚠",VLOOKUP(AN38,'G-3 Multipliers'!$S$3:$T$10,2,FALSE)))</f>
        <v/>
      </c>
      <c r="AP38" s="376" t="str">
        <f t="shared" si="10"/>
        <v/>
      </c>
      <c r="AQ38" s="376" t="str">
        <f t="shared" si="11"/>
        <v/>
      </c>
      <c r="AR38" s="119"/>
      <c r="AS38" s="528"/>
      <c r="AT38" s="120"/>
      <c r="AU38" s="120"/>
    </row>
    <row r="39" spans="1:47">
      <c r="A39" s="30" t="str">
        <f>IF(E39="","",IF(ISNA(VLOOKUP($E39,'D-1 Off-Site Habitat Baseline'!$D$1:$O$258,2,FALSE)),"",(VLOOKUP($E39,'D-1 Off-Site Habitat Baseline'!$D$1:$O$258,2,FALSE))))</f>
        <v/>
      </c>
      <c r="B39" s="30" t="str">
        <f>IF(E39="","",IF(ISNA(VLOOKUP($E39,'D-1 Off-Site Habitat Baseline'!$D$1:$O$258,3,FALSE)),"",(VLOOKUP($E39,'D-1 Off-Site Habitat Baseline'!$D$1:$O$258,3,FALSE))))</f>
        <v/>
      </c>
      <c r="C39" s="30" t="str">
        <f>IFERROR(INDEX('G-8 Condition Look up'!$I$4:$I$135,MATCH(S39,'G-8 Condition Look up'!$A$4:$A$135,0)),"")</f>
        <v/>
      </c>
      <c r="E39" s="407" t="str">
        <f>'D-1 Off-Site Habitat Baseline'!AP38</f>
        <v/>
      </c>
      <c r="F39" s="382" t="str">
        <f>IF(E39="","",IF(ISNA(VLOOKUP($E39,'D-1 Off-Site Habitat Baseline'!$D$1:$O$258,4,FALSE)),"",(VLOOKUP($E39,'D-1 Off-Site Habitat Baseline'!$D$1:$O$258,4,FALSE))))</f>
        <v/>
      </c>
      <c r="G39" s="382" t="str">
        <f>IF(E39="","",IF(ISNA(VLOOKUP($E39,'D-1 Off-Site Habitat Baseline'!$D$1:$O$258,5,FALSE)),"",(VLOOKUP($E39,'D-1 Off-Site Habitat Baseline'!$D$1:$O$258,5,FALSE))))</f>
        <v/>
      </c>
      <c r="H39" s="382" t="str">
        <f>IF(E39="","",IF(ISNA(VLOOKUP($E39,'D-1 Off-Site Habitat Baseline'!$D$1:$O$258,6,FALSE)),"",(VLOOKUP($E39,'D-1 Off-Site Habitat Baseline'!$D$1:$O$258,6,FALSE))))</f>
        <v/>
      </c>
      <c r="I39" s="382" t="str">
        <f>IF(E39="","",IF(ISNA(VLOOKUP($E39,'D-1 Off-Site Habitat Baseline'!$D$1:$O$258,7,FALSE)),"",(VLOOKUP($E39,'D-1 Off-Site Habitat Baseline'!$D$1:$O$258,7,FALSE))))</f>
        <v/>
      </c>
      <c r="J39" s="382" t="str">
        <f>IF(E39="","",IF(ISNA(VLOOKUP($E39,'D-1 Off-Site Habitat Baseline'!$D$1:$O$258,8,FALSE)),"",(VLOOKUP($E39,'D-1 Off-Site Habitat Baseline'!$D$1:$O$258,8,FALSE))))</f>
        <v/>
      </c>
      <c r="K39" s="382" t="str">
        <f>IF(E39="","",IF(ISNA(VLOOKUP($E39,'D-1 Off-Site Habitat Baseline'!$D$1:$O$258,9,FALSE)),"",(VLOOKUP($E39,'D-1 Off-Site Habitat Baseline'!$D$1:$O$258,9,FALSE))))</f>
        <v/>
      </c>
      <c r="L39" s="382" t="str">
        <f>IF(E39="","",IF(ISNA(VLOOKUP($E39,'D-1 Off-Site Habitat Baseline'!$D$1:$O$258,11,FALSE)),"",(VLOOKUP($E39,'D-1 Off-Site Habitat Baseline'!$D$1:$O$258,11,FALSE))))</f>
        <v/>
      </c>
      <c r="M39" s="382" t="str">
        <f>IF(E39="","",IF(ISNA(VLOOKUP($E39,'D-1 Off-Site Habitat Baseline'!$D$1:$O$258,12,FALSE)),"",(VLOOKUP($E39,'D-1 Off-Site Habitat Baseline'!$D$1:$O$258,12,FALSE))))</f>
        <v/>
      </c>
      <c r="N39" s="382" t="str">
        <f>IF(E39="","",IF(ISNA(VLOOKUP($E39,'D-1 Off-Site Habitat Baseline'!$D$1:$AA$258,14,FALSE)),"",(VLOOKUP($E39,'D-1 Off-Site Habitat Baseline'!$D$1:$AA$258,14,FALSE))))</f>
        <v/>
      </c>
      <c r="O39" s="386" t="str">
        <f>IF(E39="","",IF(ISNA(VLOOKUP($E39,'D-1 Off-Site Habitat Baseline'!$D$1:$AA$258,13,FALSE)),"",(VLOOKUP($E39,'D-1 Off-Site Habitat Baseline'!$D$1:$AA$258,13,FALSE))))</f>
        <v/>
      </c>
      <c r="P39" s="184" t="str">
        <f>IFERROR(INDEX('G-1 All Habitats'!$AG$3:$AG$17,MATCH(Q39,'G-1 All Habitats'!$AF$3:$AF$17,0)),"")</f>
        <v/>
      </c>
      <c r="Q39" s="185" t="str">
        <f t="shared" si="0"/>
        <v/>
      </c>
      <c r="R39" s="186" t="str">
        <f t="shared" si="1"/>
        <v/>
      </c>
      <c r="S39" s="187" t="str">
        <f>IFERROR(INDEX('G-1 All Habitats'!$B$3:$B$134,MATCH(R39,'G-1 All Habitats'!$A$3:$A$134,0)),"")</f>
        <v/>
      </c>
      <c r="T39" s="370" t="str">
        <f t="shared" si="3"/>
        <v/>
      </c>
      <c r="U39" s="386" t="str">
        <f t="shared" si="4"/>
        <v/>
      </c>
      <c r="V39" s="385" t="str">
        <f t="shared" si="5"/>
        <v/>
      </c>
      <c r="W39" s="382" t="str">
        <f>IF(S39="","",VLOOKUP(S39,'G-1 All Habitats'!$B$2:$M$134,10,FALSE))</f>
        <v/>
      </c>
      <c r="X39" s="382" t="str">
        <f>IFERROR(VLOOKUP(W39,'G-1 All Habitats'!$V$3:$W$7,2,FALSE),"")</f>
        <v/>
      </c>
      <c r="Y39" s="165"/>
      <c r="Z39" s="386" t="str">
        <f>IFERROR(INDEX('G-8 Condition Look up'!$A$3:$H$135,MATCH(S39,'G-8 Condition Look up'!$A$3:$A$135,0),MATCH(Y39,'G-8 Condition Look up'!$A$3:$H$3,0)),"")</f>
        <v/>
      </c>
      <c r="AA39" s="114"/>
      <c r="AB39" s="401" t="str">
        <f>IF(AA39="","",IF(VLOOKUP(AA39,'G-3 Multipliers'!$L$3:$N$6,2,FALSE)=0,"Spatial Data Missing ⚠",VLOOKUP(AA39,'G-3 Multipliers'!$L$3:$N$6,2,FALSE)))</f>
        <v/>
      </c>
      <c r="AC39" s="386" t="str">
        <f>IF(AA39="","",IF(VLOOKUP(AA39,'G-3 Multipliers'!$L$3:$N$6,3,FALSE)=0,"Spatial Data Missing ⚠",VLOOKUP(AA39,'G-3 Multipliers'!$L$3:$N$6,3,FALSE)))</f>
        <v/>
      </c>
      <c r="AD39" s="398" t="str">
        <f t="shared" si="2"/>
        <v/>
      </c>
      <c r="AE39" s="165"/>
      <c r="AF39" s="165"/>
      <c r="AG39" s="382" t="str">
        <f t="shared" si="6"/>
        <v/>
      </c>
      <c r="AH39" s="404" t="str">
        <f t="shared" si="7"/>
        <v/>
      </c>
      <c r="AI39" s="387" t="str">
        <f>IF(AH39="Check Data ⚠","Check Data ⚠",IFERROR(VLOOKUP(AH39,'G-4 Temporal multipliers'!$A$4:$C$36,3,FALSE),""))</f>
        <v/>
      </c>
      <c r="AJ39" s="398" t="str">
        <f>IF(S39="","",VLOOKUP(S39,'G-3 Multipliers'!$A$2:$E$134,4,FALSE))</f>
        <v/>
      </c>
      <c r="AK39" s="382" t="str">
        <f t="shared" si="8"/>
        <v/>
      </c>
      <c r="AL39" s="382" t="str">
        <f t="shared" si="9"/>
        <v/>
      </c>
      <c r="AM39" s="386" t="str">
        <f>IFERROR(IF(F39="","",IF(AH39="Check Data ⚠","Check Data ⚠",VLOOKUP(AL39, 'G-3 Multipliers'!$P$2:$Q$6,2,FALSE))),"")</f>
        <v/>
      </c>
      <c r="AN39" s="516"/>
      <c r="AO39" s="417" t="str">
        <f>IF(AN39="","",IF(VLOOKUP(AN39,'G-3 Multipliers'!$S$3:$T$10,2,FALSE)=0,"Spatial Data Missing ⚠",VLOOKUP(AN39,'G-3 Multipliers'!$S$3:$T$10,2,FALSE)))</f>
        <v/>
      </c>
      <c r="AP39" s="376" t="str">
        <f t="shared" si="10"/>
        <v/>
      </c>
      <c r="AQ39" s="376" t="str">
        <f t="shared" si="11"/>
        <v/>
      </c>
      <c r="AR39" s="119"/>
      <c r="AS39" s="528"/>
      <c r="AT39" s="120"/>
      <c r="AU39" s="120"/>
    </row>
    <row r="40" spans="1:47">
      <c r="A40" s="30" t="str">
        <f>IF(E40="","",IF(ISNA(VLOOKUP($E40,'D-1 Off-Site Habitat Baseline'!$D$1:$O$258,2,FALSE)),"",(VLOOKUP($E40,'D-1 Off-Site Habitat Baseline'!$D$1:$O$258,2,FALSE))))</f>
        <v/>
      </c>
      <c r="B40" s="30" t="str">
        <f>IF(E40="","",IF(ISNA(VLOOKUP($E40,'D-1 Off-Site Habitat Baseline'!$D$1:$O$258,3,FALSE)),"",(VLOOKUP($E40,'D-1 Off-Site Habitat Baseline'!$D$1:$O$258,3,FALSE))))</f>
        <v/>
      </c>
      <c r="C40" s="30" t="str">
        <f>IFERROR(INDEX('G-8 Condition Look up'!$I$4:$I$135,MATCH(S40,'G-8 Condition Look up'!$A$4:$A$135,0)),"")</f>
        <v/>
      </c>
      <c r="E40" s="407" t="str">
        <f>'D-1 Off-Site Habitat Baseline'!AP39</f>
        <v/>
      </c>
      <c r="F40" s="382" t="str">
        <f>IF(E40="","",IF(ISNA(VLOOKUP($E40,'D-1 Off-Site Habitat Baseline'!$D$1:$O$258,4,FALSE)),"",(VLOOKUP($E40,'D-1 Off-Site Habitat Baseline'!$D$1:$O$258,4,FALSE))))</f>
        <v/>
      </c>
      <c r="G40" s="382" t="str">
        <f>IF(E40="","",IF(ISNA(VLOOKUP($E40,'D-1 Off-Site Habitat Baseline'!$D$1:$O$258,5,FALSE)),"",(VLOOKUP($E40,'D-1 Off-Site Habitat Baseline'!$D$1:$O$258,5,FALSE))))</f>
        <v/>
      </c>
      <c r="H40" s="382" t="str">
        <f>IF(E40="","",IF(ISNA(VLOOKUP($E40,'D-1 Off-Site Habitat Baseline'!$D$1:$O$258,6,FALSE)),"",(VLOOKUP($E40,'D-1 Off-Site Habitat Baseline'!$D$1:$O$258,6,FALSE))))</f>
        <v/>
      </c>
      <c r="I40" s="382" t="str">
        <f>IF(E40="","",IF(ISNA(VLOOKUP($E40,'D-1 Off-Site Habitat Baseline'!$D$1:$O$258,7,FALSE)),"",(VLOOKUP($E40,'D-1 Off-Site Habitat Baseline'!$D$1:$O$258,7,FALSE))))</f>
        <v/>
      </c>
      <c r="J40" s="382" t="str">
        <f>IF(E40="","",IF(ISNA(VLOOKUP($E40,'D-1 Off-Site Habitat Baseline'!$D$1:$O$258,8,FALSE)),"",(VLOOKUP($E40,'D-1 Off-Site Habitat Baseline'!$D$1:$O$258,8,FALSE))))</f>
        <v/>
      </c>
      <c r="K40" s="382" t="str">
        <f>IF(E40="","",IF(ISNA(VLOOKUP($E40,'D-1 Off-Site Habitat Baseline'!$D$1:$O$258,9,FALSE)),"",(VLOOKUP($E40,'D-1 Off-Site Habitat Baseline'!$D$1:$O$258,9,FALSE))))</f>
        <v/>
      </c>
      <c r="L40" s="382" t="str">
        <f>IF(E40="","",IF(ISNA(VLOOKUP($E40,'D-1 Off-Site Habitat Baseline'!$D$1:$O$258,11,FALSE)),"",(VLOOKUP($E40,'D-1 Off-Site Habitat Baseline'!$D$1:$O$258,11,FALSE))))</f>
        <v/>
      </c>
      <c r="M40" s="382" t="str">
        <f>IF(E40="","",IF(ISNA(VLOOKUP($E40,'D-1 Off-Site Habitat Baseline'!$D$1:$O$258,12,FALSE)),"",(VLOOKUP($E40,'D-1 Off-Site Habitat Baseline'!$D$1:$O$258,12,FALSE))))</f>
        <v/>
      </c>
      <c r="N40" s="382" t="str">
        <f>IF(E40="","",IF(ISNA(VLOOKUP($E40,'D-1 Off-Site Habitat Baseline'!$D$1:$AA$258,14,FALSE)),"",(VLOOKUP($E40,'D-1 Off-Site Habitat Baseline'!$D$1:$AA$258,14,FALSE))))</f>
        <v/>
      </c>
      <c r="O40" s="386" t="str">
        <f>IF(E40="","",IF(ISNA(VLOOKUP($E40,'D-1 Off-Site Habitat Baseline'!$D$1:$AA$258,13,FALSE)),"",(VLOOKUP($E40,'D-1 Off-Site Habitat Baseline'!$D$1:$AA$258,13,FALSE))))</f>
        <v/>
      </c>
      <c r="P40" s="184" t="str">
        <f>IFERROR(INDEX('G-1 All Habitats'!$AG$3:$AG$17,MATCH(Q40,'G-1 All Habitats'!$AF$3:$AF$17,0)),"")</f>
        <v/>
      </c>
      <c r="Q40" s="185" t="str">
        <f t="shared" si="0"/>
        <v/>
      </c>
      <c r="R40" s="186" t="str">
        <f t="shared" si="1"/>
        <v/>
      </c>
      <c r="S40" s="187" t="str">
        <f>IFERROR(INDEX('G-1 All Habitats'!$B$3:$B$134,MATCH(R40,'G-1 All Habitats'!$A$3:$A$134,0)),"")</f>
        <v/>
      </c>
      <c r="T40" s="370" t="str">
        <f t="shared" si="3"/>
        <v/>
      </c>
      <c r="U40" s="386" t="str">
        <f t="shared" si="4"/>
        <v/>
      </c>
      <c r="V40" s="385" t="str">
        <f t="shared" si="5"/>
        <v/>
      </c>
      <c r="W40" s="382" t="str">
        <f>IF(S40="","",VLOOKUP(S40,'G-1 All Habitats'!$B$2:$M$134,10,FALSE))</f>
        <v/>
      </c>
      <c r="X40" s="382" t="str">
        <f>IFERROR(VLOOKUP(W40,'G-1 All Habitats'!$V$3:$W$7,2,FALSE),"")</f>
        <v/>
      </c>
      <c r="Y40" s="165"/>
      <c r="Z40" s="386" t="str">
        <f>IFERROR(INDEX('G-8 Condition Look up'!$A$3:$H$135,MATCH(S40,'G-8 Condition Look up'!$A$3:$A$135,0),MATCH(Y40,'G-8 Condition Look up'!$A$3:$H$3,0)),"")</f>
        <v/>
      </c>
      <c r="AA40" s="114"/>
      <c r="AB40" s="401" t="str">
        <f>IF(AA40="","",IF(VLOOKUP(AA40,'G-3 Multipliers'!$L$3:$N$6,2,FALSE)=0,"Spatial Data Missing ⚠",VLOOKUP(AA40,'G-3 Multipliers'!$L$3:$N$6,2,FALSE)))</f>
        <v/>
      </c>
      <c r="AC40" s="386" t="str">
        <f>IF(AA40="","",IF(VLOOKUP(AA40,'G-3 Multipliers'!$L$3:$N$6,3,FALSE)=0,"Spatial Data Missing ⚠",VLOOKUP(AA40,'G-3 Multipliers'!$L$3:$N$6,3,FALSE)))</f>
        <v/>
      </c>
      <c r="AD40" s="398" t="str">
        <f t="shared" si="2"/>
        <v/>
      </c>
      <c r="AE40" s="165"/>
      <c r="AF40" s="165"/>
      <c r="AG40" s="382" t="str">
        <f t="shared" si="6"/>
        <v/>
      </c>
      <c r="AH40" s="404" t="str">
        <f t="shared" si="7"/>
        <v/>
      </c>
      <c r="AI40" s="387" t="str">
        <f>IF(AH40="Check Data ⚠","Check Data ⚠",IFERROR(VLOOKUP(AH40,'G-4 Temporal multipliers'!$A$4:$C$36,3,FALSE),""))</f>
        <v/>
      </c>
      <c r="AJ40" s="398" t="str">
        <f>IF(S40="","",VLOOKUP(S40,'G-3 Multipliers'!$A$2:$E$134,4,FALSE))</f>
        <v/>
      </c>
      <c r="AK40" s="382" t="str">
        <f t="shared" si="8"/>
        <v/>
      </c>
      <c r="AL40" s="382" t="str">
        <f t="shared" si="9"/>
        <v/>
      </c>
      <c r="AM40" s="386" t="str">
        <f>IFERROR(IF(F40="","",IF(AH40="Check Data ⚠","Check Data ⚠",VLOOKUP(AL40, 'G-3 Multipliers'!$P$2:$Q$6,2,FALSE))),"")</f>
        <v/>
      </c>
      <c r="AN40" s="516"/>
      <c r="AO40" s="417" t="str">
        <f>IF(AN40="","",IF(VLOOKUP(AN40,'G-3 Multipliers'!$S$3:$T$10,2,FALSE)=0,"Spatial Data Missing ⚠",VLOOKUP(AN40,'G-3 Multipliers'!$S$3:$T$10,2,FALSE)))</f>
        <v/>
      </c>
      <c r="AP40" s="376" t="str">
        <f t="shared" si="10"/>
        <v/>
      </c>
      <c r="AQ40" s="376" t="str">
        <f t="shared" si="11"/>
        <v/>
      </c>
      <c r="AR40" s="119"/>
      <c r="AS40" s="528"/>
      <c r="AT40" s="120"/>
      <c r="AU40" s="120"/>
    </row>
    <row r="41" spans="1:47">
      <c r="A41" s="30" t="str">
        <f>IF(E41="","",IF(ISNA(VLOOKUP($E41,'D-1 Off-Site Habitat Baseline'!$D$1:$O$258,2,FALSE)),"",(VLOOKUP($E41,'D-1 Off-Site Habitat Baseline'!$D$1:$O$258,2,FALSE))))</f>
        <v/>
      </c>
      <c r="B41" s="30" t="str">
        <f>IF(E41="","",IF(ISNA(VLOOKUP($E41,'D-1 Off-Site Habitat Baseline'!$D$1:$O$258,3,FALSE)),"",(VLOOKUP($E41,'D-1 Off-Site Habitat Baseline'!$D$1:$O$258,3,FALSE))))</f>
        <v/>
      </c>
      <c r="C41" s="30" t="str">
        <f>IFERROR(INDEX('G-8 Condition Look up'!$I$4:$I$135,MATCH(S41,'G-8 Condition Look up'!$A$4:$A$135,0)),"")</f>
        <v/>
      </c>
      <c r="E41" s="407" t="str">
        <f>'D-1 Off-Site Habitat Baseline'!AP40</f>
        <v/>
      </c>
      <c r="F41" s="382" t="str">
        <f>IF(E41="","",IF(ISNA(VLOOKUP($E41,'D-1 Off-Site Habitat Baseline'!$D$1:$O$258,4,FALSE)),"",(VLOOKUP($E41,'D-1 Off-Site Habitat Baseline'!$D$1:$O$258,4,FALSE))))</f>
        <v/>
      </c>
      <c r="G41" s="382" t="str">
        <f>IF(E41="","",IF(ISNA(VLOOKUP($E41,'D-1 Off-Site Habitat Baseline'!$D$1:$O$258,5,FALSE)),"",(VLOOKUP($E41,'D-1 Off-Site Habitat Baseline'!$D$1:$O$258,5,FALSE))))</f>
        <v/>
      </c>
      <c r="H41" s="382" t="str">
        <f>IF(E41="","",IF(ISNA(VLOOKUP($E41,'D-1 Off-Site Habitat Baseline'!$D$1:$O$258,6,FALSE)),"",(VLOOKUP($E41,'D-1 Off-Site Habitat Baseline'!$D$1:$O$258,6,FALSE))))</f>
        <v/>
      </c>
      <c r="I41" s="382" t="str">
        <f>IF(E41="","",IF(ISNA(VLOOKUP($E41,'D-1 Off-Site Habitat Baseline'!$D$1:$O$258,7,FALSE)),"",(VLOOKUP($E41,'D-1 Off-Site Habitat Baseline'!$D$1:$O$258,7,FALSE))))</f>
        <v/>
      </c>
      <c r="J41" s="382" t="str">
        <f>IF(E41="","",IF(ISNA(VLOOKUP($E41,'D-1 Off-Site Habitat Baseline'!$D$1:$O$258,8,FALSE)),"",(VLOOKUP($E41,'D-1 Off-Site Habitat Baseline'!$D$1:$O$258,8,FALSE))))</f>
        <v/>
      </c>
      <c r="K41" s="382" t="str">
        <f>IF(E41="","",IF(ISNA(VLOOKUP($E41,'D-1 Off-Site Habitat Baseline'!$D$1:$O$258,9,FALSE)),"",(VLOOKUP($E41,'D-1 Off-Site Habitat Baseline'!$D$1:$O$258,9,FALSE))))</f>
        <v/>
      </c>
      <c r="L41" s="382" t="str">
        <f>IF(E41="","",IF(ISNA(VLOOKUP($E41,'D-1 Off-Site Habitat Baseline'!$D$1:$O$258,11,FALSE)),"",(VLOOKUP($E41,'D-1 Off-Site Habitat Baseline'!$D$1:$O$258,11,FALSE))))</f>
        <v/>
      </c>
      <c r="M41" s="382" t="str">
        <f>IF(E41="","",IF(ISNA(VLOOKUP($E41,'D-1 Off-Site Habitat Baseline'!$D$1:$O$258,12,FALSE)),"",(VLOOKUP($E41,'D-1 Off-Site Habitat Baseline'!$D$1:$O$258,12,FALSE))))</f>
        <v/>
      </c>
      <c r="N41" s="382" t="str">
        <f>IF(E41="","",IF(ISNA(VLOOKUP($E41,'D-1 Off-Site Habitat Baseline'!$D$1:$AA$258,14,FALSE)),"",(VLOOKUP($E41,'D-1 Off-Site Habitat Baseline'!$D$1:$AA$258,14,FALSE))))</f>
        <v/>
      </c>
      <c r="O41" s="386" t="str">
        <f>IF(E41="","",IF(ISNA(VLOOKUP($E41,'D-1 Off-Site Habitat Baseline'!$D$1:$AA$258,13,FALSE)),"",(VLOOKUP($E41,'D-1 Off-Site Habitat Baseline'!$D$1:$AA$258,13,FALSE))))</f>
        <v/>
      </c>
      <c r="P41" s="184" t="str">
        <f>IFERROR(INDEX('G-1 All Habitats'!$AG$3:$AG$17,MATCH(Q41,'G-1 All Habitats'!$AF$3:$AF$17,0)),"")</f>
        <v/>
      </c>
      <c r="Q41" s="185" t="str">
        <f t="shared" si="0"/>
        <v/>
      </c>
      <c r="R41" s="186" t="str">
        <f t="shared" si="1"/>
        <v/>
      </c>
      <c r="S41" s="187" t="str">
        <f>IFERROR(INDEX('G-1 All Habitats'!$B$3:$B$134,MATCH(R41,'G-1 All Habitats'!$A$3:$A$134,0)),"")</f>
        <v/>
      </c>
      <c r="T41" s="370" t="str">
        <f t="shared" si="3"/>
        <v/>
      </c>
      <c r="U41" s="386" t="str">
        <f t="shared" si="4"/>
        <v/>
      </c>
      <c r="V41" s="385" t="str">
        <f t="shared" si="5"/>
        <v/>
      </c>
      <c r="W41" s="382" t="str">
        <f>IF(S41="","",VLOOKUP(S41,'G-1 All Habitats'!$B$2:$M$134,10,FALSE))</f>
        <v/>
      </c>
      <c r="X41" s="382" t="str">
        <f>IFERROR(VLOOKUP(W41,'G-1 All Habitats'!$V$3:$W$7,2,FALSE),"")</f>
        <v/>
      </c>
      <c r="Y41" s="165"/>
      <c r="Z41" s="386" t="str">
        <f>IFERROR(INDEX('G-8 Condition Look up'!$A$3:$H$135,MATCH(S41,'G-8 Condition Look up'!$A$3:$A$135,0),MATCH(Y41,'G-8 Condition Look up'!$A$3:$H$3,0)),"")</f>
        <v/>
      </c>
      <c r="AA41" s="114"/>
      <c r="AB41" s="401" t="str">
        <f>IF(AA41="","",IF(VLOOKUP(AA41,'G-3 Multipliers'!$L$3:$N$6,2,FALSE)=0,"Spatial Data Missing ⚠",VLOOKUP(AA41,'G-3 Multipliers'!$L$3:$N$6,2,FALSE)))</f>
        <v/>
      </c>
      <c r="AC41" s="386" t="str">
        <f>IF(AA41="","",IF(VLOOKUP(AA41,'G-3 Multipliers'!$L$3:$N$6,3,FALSE)=0,"Spatial Data Missing ⚠",VLOOKUP(AA41,'G-3 Multipliers'!$L$3:$N$6,3,FALSE)))</f>
        <v/>
      </c>
      <c r="AD41" s="398" t="str">
        <f t="shared" si="2"/>
        <v/>
      </c>
      <c r="AE41" s="165"/>
      <c r="AF41" s="165"/>
      <c r="AG41" s="382" t="str">
        <f t="shared" si="6"/>
        <v/>
      </c>
      <c r="AH41" s="404" t="str">
        <f t="shared" si="7"/>
        <v/>
      </c>
      <c r="AI41" s="387" t="str">
        <f>IF(AH41="Check Data ⚠","Check Data ⚠",IFERROR(VLOOKUP(AH41,'G-4 Temporal multipliers'!$A$4:$C$36,3,FALSE),""))</f>
        <v/>
      </c>
      <c r="AJ41" s="398" t="str">
        <f>IF(S41="","",VLOOKUP(S41,'G-3 Multipliers'!$A$2:$E$134,4,FALSE))</f>
        <v/>
      </c>
      <c r="AK41" s="382" t="str">
        <f t="shared" si="8"/>
        <v/>
      </c>
      <c r="AL41" s="382" t="str">
        <f t="shared" si="9"/>
        <v/>
      </c>
      <c r="AM41" s="386" t="str">
        <f>IFERROR(IF(F41="","",IF(AH41="Check Data ⚠","Check Data ⚠",VLOOKUP(AL41, 'G-3 Multipliers'!$P$2:$Q$6,2,FALSE))),"")</f>
        <v/>
      </c>
      <c r="AN41" s="516"/>
      <c r="AO41" s="417" t="str">
        <f>IF(AN41="","",IF(VLOOKUP(AN41,'G-3 Multipliers'!$S$3:$T$10,2,FALSE)=0,"Spatial Data Missing ⚠",VLOOKUP(AN41,'G-3 Multipliers'!$S$3:$T$10,2,FALSE)))</f>
        <v/>
      </c>
      <c r="AP41" s="376" t="str">
        <f t="shared" si="10"/>
        <v/>
      </c>
      <c r="AQ41" s="376" t="str">
        <f t="shared" si="11"/>
        <v/>
      </c>
      <c r="AR41" s="119"/>
      <c r="AS41" s="528"/>
      <c r="AT41" s="120"/>
      <c r="AU41" s="120"/>
    </row>
    <row r="42" spans="1:47">
      <c r="A42" s="30" t="str">
        <f>IF(E42="","",IF(ISNA(VLOOKUP($E42,'D-1 Off-Site Habitat Baseline'!$D$1:$O$258,2,FALSE)),"",(VLOOKUP($E42,'D-1 Off-Site Habitat Baseline'!$D$1:$O$258,2,FALSE))))</f>
        <v/>
      </c>
      <c r="B42" s="30" t="str">
        <f>IF(E42="","",IF(ISNA(VLOOKUP($E42,'D-1 Off-Site Habitat Baseline'!$D$1:$O$258,3,FALSE)),"",(VLOOKUP($E42,'D-1 Off-Site Habitat Baseline'!$D$1:$O$258,3,FALSE))))</f>
        <v/>
      </c>
      <c r="C42" s="30" t="str">
        <f>IFERROR(INDEX('G-8 Condition Look up'!$I$4:$I$135,MATCH(S42,'G-8 Condition Look up'!$A$4:$A$135,0)),"")</f>
        <v/>
      </c>
      <c r="E42" s="407" t="str">
        <f>'D-1 Off-Site Habitat Baseline'!AP41</f>
        <v/>
      </c>
      <c r="F42" s="382" t="str">
        <f>IF(E42="","",IF(ISNA(VLOOKUP($E42,'D-1 Off-Site Habitat Baseline'!$D$1:$O$258,4,FALSE)),"",(VLOOKUP($E42,'D-1 Off-Site Habitat Baseline'!$D$1:$O$258,4,FALSE))))</f>
        <v/>
      </c>
      <c r="G42" s="382" t="str">
        <f>IF(E42="","",IF(ISNA(VLOOKUP($E42,'D-1 Off-Site Habitat Baseline'!$D$1:$O$258,5,FALSE)),"",(VLOOKUP($E42,'D-1 Off-Site Habitat Baseline'!$D$1:$O$258,5,FALSE))))</f>
        <v/>
      </c>
      <c r="H42" s="382" t="str">
        <f>IF(E42="","",IF(ISNA(VLOOKUP($E42,'D-1 Off-Site Habitat Baseline'!$D$1:$O$258,6,FALSE)),"",(VLOOKUP($E42,'D-1 Off-Site Habitat Baseline'!$D$1:$O$258,6,FALSE))))</f>
        <v/>
      </c>
      <c r="I42" s="382" t="str">
        <f>IF(E42="","",IF(ISNA(VLOOKUP($E42,'D-1 Off-Site Habitat Baseline'!$D$1:$O$258,7,FALSE)),"",(VLOOKUP($E42,'D-1 Off-Site Habitat Baseline'!$D$1:$O$258,7,FALSE))))</f>
        <v/>
      </c>
      <c r="J42" s="382" t="str">
        <f>IF(E42="","",IF(ISNA(VLOOKUP($E42,'D-1 Off-Site Habitat Baseline'!$D$1:$O$258,8,FALSE)),"",(VLOOKUP($E42,'D-1 Off-Site Habitat Baseline'!$D$1:$O$258,8,FALSE))))</f>
        <v/>
      </c>
      <c r="K42" s="382" t="str">
        <f>IF(E42="","",IF(ISNA(VLOOKUP($E42,'D-1 Off-Site Habitat Baseline'!$D$1:$O$258,9,FALSE)),"",(VLOOKUP($E42,'D-1 Off-Site Habitat Baseline'!$D$1:$O$258,9,FALSE))))</f>
        <v/>
      </c>
      <c r="L42" s="382" t="str">
        <f>IF(E42="","",IF(ISNA(VLOOKUP($E42,'D-1 Off-Site Habitat Baseline'!$D$1:$O$258,11,FALSE)),"",(VLOOKUP($E42,'D-1 Off-Site Habitat Baseline'!$D$1:$O$258,11,FALSE))))</f>
        <v/>
      </c>
      <c r="M42" s="382" t="str">
        <f>IF(E42="","",IF(ISNA(VLOOKUP($E42,'D-1 Off-Site Habitat Baseline'!$D$1:$O$258,12,FALSE)),"",(VLOOKUP($E42,'D-1 Off-Site Habitat Baseline'!$D$1:$O$258,12,FALSE))))</f>
        <v/>
      </c>
      <c r="N42" s="382" t="str">
        <f>IF(E42="","",IF(ISNA(VLOOKUP($E42,'D-1 Off-Site Habitat Baseline'!$D$1:$AA$258,14,FALSE)),"",(VLOOKUP($E42,'D-1 Off-Site Habitat Baseline'!$D$1:$AA$258,14,FALSE))))</f>
        <v/>
      </c>
      <c r="O42" s="386" t="str">
        <f>IF(E42="","",IF(ISNA(VLOOKUP($E42,'D-1 Off-Site Habitat Baseline'!$D$1:$AA$258,13,FALSE)),"",(VLOOKUP($E42,'D-1 Off-Site Habitat Baseline'!$D$1:$AA$258,13,FALSE))))</f>
        <v/>
      </c>
      <c r="P42" s="184" t="str">
        <f>IFERROR(INDEX('G-1 All Habitats'!$AG$3:$AG$17,MATCH(Q42,'G-1 All Habitats'!$AF$3:$AF$17,0)),"")</f>
        <v/>
      </c>
      <c r="Q42" s="185" t="str">
        <f t="shared" si="0"/>
        <v/>
      </c>
      <c r="R42" s="186" t="str">
        <f t="shared" si="1"/>
        <v/>
      </c>
      <c r="S42" s="187" t="str">
        <f>IFERROR(INDEX('G-1 All Habitats'!$B$3:$B$134,MATCH(R42,'G-1 All Habitats'!$A$3:$A$134,0)),"")</f>
        <v/>
      </c>
      <c r="T42" s="370" t="str">
        <f t="shared" si="3"/>
        <v/>
      </c>
      <c r="U42" s="386" t="str">
        <f t="shared" si="4"/>
        <v/>
      </c>
      <c r="V42" s="385" t="str">
        <f t="shared" si="5"/>
        <v/>
      </c>
      <c r="W42" s="382" t="str">
        <f>IF(S42="","",VLOOKUP(S42,'G-1 All Habitats'!$B$2:$M$134,10,FALSE))</f>
        <v/>
      </c>
      <c r="X42" s="382" t="str">
        <f>IFERROR(VLOOKUP(W42,'G-1 All Habitats'!$V$3:$W$7,2,FALSE),"")</f>
        <v/>
      </c>
      <c r="Y42" s="165"/>
      <c r="Z42" s="386" t="str">
        <f>IFERROR(INDEX('G-8 Condition Look up'!$A$3:$H$135,MATCH(S42,'G-8 Condition Look up'!$A$3:$A$135,0),MATCH(Y42,'G-8 Condition Look up'!$A$3:$H$3,0)),"")</f>
        <v/>
      </c>
      <c r="AA42" s="114"/>
      <c r="AB42" s="401" t="str">
        <f>IF(AA42="","",IF(VLOOKUP(AA42,'G-3 Multipliers'!$L$3:$N$6,2,FALSE)=0,"Spatial Data Missing ⚠",VLOOKUP(AA42,'G-3 Multipliers'!$L$3:$N$6,2,FALSE)))</f>
        <v/>
      </c>
      <c r="AC42" s="386" t="str">
        <f>IF(AA42="","",IF(VLOOKUP(AA42,'G-3 Multipliers'!$L$3:$N$6,3,FALSE)=0,"Spatial Data Missing ⚠",VLOOKUP(AA42,'G-3 Multipliers'!$L$3:$N$6,3,FALSE)))</f>
        <v/>
      </c>
      <c r="AD42" s="398" t="str">
        <f t="shared" si="2"/>
        <v/>
      </c>
      <c r="AE42" s="165"/>
      <c r="AF42" s="165"/>
      <c r="AG42" s="382" t="str">
        <f t="shared" si="6"/>
        <v/>
      </c>
      <c r="AH42" s="404" t="str">
        <f t="shared" si="7"/>
        <v/>
      </c>
      <c r="AI42" s="387" t="str">
        <f>IF(AH42="Check Data ⚠","Check Data ⚠",IFERROR(VLOOKUP(AH42,'G-4 Temporal multipliers'!$A$4:$C$36,3,FALSE),""))</f>
        <v/>
      </c>
      <c r="AJ42" s="398" t="str">
        <f>IF(S42="","",VLOOKUP(S42,'G-3 Multipliers'!$A$2:$E$134,4,FALSE))</f>
        <v/>
      </c>
      <c r="AK42" s="382" t="str">
        <f t="shared" si="8"/>
        <v/>
      </c>
      <c r="AL42" s="382" t="str">
        <f t="shared" si="9"/>
        <v/>
      </c>
      <c r="AM42" s="386" t="str">
        <f>IFERROR(IF(F42="","",IF(AH42="Check Data ⚠","Check Data ⚠",VLOOKUP(AL42, 'G-3 Multipliers'!$P$2:$Q$6,2,FALSE))),"")</f>
        <v/>
      </c>
      <c r="AN42" s="516"/>
      <c r="AO42" s="417" t="str">
        <f>IF(AN42="","",IF(VLOOKUP(AN42,'G-3 Multipliers'!$S$3:$T$10,2,FALSE)=0,"Spatial Data Missing ⚠",VLOOKUP(AN42,'G-3 Multipliers'!$S$3:$T$10,2,FALSE)))</f>
        <v/>
      </c>
      <c r="AP42" s="376" t="str">
        <f t="shared" si="10"/>
        <v/>
      </c>
      <c r="AQ42" s="376" t="str">
        <f t="shared" si="11"/>
        <v/>
      </c>
      <c r="AR42" s="119"/>
      <c r="AS42" s="528"/>
      <c r="AT42" s="120"/>
      <c r="AU42" s="120"/>
    </row>
    <row r="43" spans="1:47">
      <c r="A43" s="30" t="str">
        <f>IF(E43="","",IF(ISNA(VLOOKUP($E43,'D-1 Off-Site Habitat Baseline'!$D$1:$O$258,2,FALSE)),"",(VLOOKUP($E43,'D-1 Off-Site Habitat Baseline'!$D$1:$O$258,2,FALSE))))</f>
        <v/>
      </c>
      <c r="B43" s="30" t="str">
        <f>IF(E43="","",IF(ISNA(VLOOKUP($E43,'D-1 Off-Site Habitat Baseline'!$D$1:$O$258,3,FALSE)),"",(VLOOKUP($E43,'D-1 Off-Site Habitat Baseline'!$D$1:$O$258,3,FALSE))))</f>
        <v/>
      </c>
      <c r="C43" s="30" t="str">
        <f>IFERROR(INDEX('G-8 Condition Look up'!$I$4:$I$135,MATCH(S43,'G-8 Condition Look up'!$A$4:$A$135,0)),"")</f>
        <v/>
      </c>
      <c r="E43" s="407" t="str">
        <f>'D-1 Off-Site Habitat Baseline'!AP42</f>
        <v/>
      </c>
      <c r="F43" s="382" t="str">
        <f>IF(E43="","",IF(ISNA(VLOOKUP($E43,'D-1 Off-Site Habitat Baseline'!$D$1:$O$258,4,FALSE)),"",(VLOOKUP($E43,'D-1 Off-Site Habitat Baseline'!$D$1:$O$258,4,FALSE))))</f>
        <v/>
      </c>
      <c r="G43" s="382" t="str">
        <f>IF(E43="","",IF(ISNA(VLOOKUP($E43,'D-1 Off-Site Habitat Baseline'!$D$1:$O$258,5,FALSE)),"",(VLOOKUP($E43,'D-1 Off-Site Habitat Baseline'!$D$1:$O$258,5,FALSE))))</f>
        <v/>
      </c>
      <c r="H43" s="382" t="str">
        <f>IF(E43="","",IF(ISNA(VLOOKUP($E43,'D-1 Off-Site Habitat Baseline'!$D$1:$O$258,6,FALSE)),"",(VLOOKUP($E43,'D-1 Off-Site Habitat Baseline'!$D$1:$O$258,6,FALSE))))</f>
        <v/>
      </c>
      <c r="I43" s="382" t="str">
        <f>IF(E43="","",IF(ISNA(VLOOKUP($E43,'D-1 Off-Site Habitat Baseline'!$D$1:$O$258,7,FALSE)),"",(VLOOKUP($E43,'D-1 Off-Site Habitat Baseline'!$D$1:$O$258,7,FALSE))))</f>
        <v/>
      </c>
      <c r="J43" s="382" t="str">
        <f>IF(E43="","",IF(ISNA(VLOOKUP($E43,'D-1 Off-Site Habitat Baseline'!$D$1:$O$258,8,FALSE)),"",(VLOOKUP($E43,'D-1 Off-Site Habitat Baseline'!$D$1:$O$258,8,FALSE))))</f>
        <v/>
      </c>
      <c r="K43" s="382" t="str">
        <f>IF(E43="","",IF(ISNA(VLOOKUP($E43,'D-1 Off-Site Habitat Baseline'!$D$1:$O$258,9,FALSE)),"",(VLOOKUP($E43,'D-1 Off-Site Habitat Baseline'!$D$1:$O$258,9,FALSE))))</f>
        <v/>
      </c>
      <c r="L43" s="382" t="str">
        <f>IF(E43="","",IF(ISNA(VLOOKUP($E43,'D-1 Off-Site Habitat Baseline'!$D$1:$O$258,11,FALSE)),"",(VLOOKUP($E43,'D-1 Off-Site Habitat Baseline'!$D$1:$O$258,11,FALSE))))</f>
        <v/>
      </c>
      <c r="M43" s="382" t="str">
        <f>IF(E43="","",IF(ISNA(VLOOKUP($E43,'D-1 Off-Site Habitat Baseline'!$D$1:$O$258,12,FALSE)),"",(VLOOKUP($E43,'D-1 Off-Site Habitat Baseline'!$D$1:$O$258,12,FALSE))))</f>
        <v/>
      </c>
      <c r="N43" s="382" t="str">
        <f>IF(E43="","",IF(ISNA(VLOOKUP($E43,'D-1 Off-Site Habitat Baseline'!$D$1:$AA$258,14,FALSE)),"",(VLOOKUP($E43,'D-1 Off-Site Habitat Baseline'!$D$1:$AA$258,14,FALSE))))</f>
        <v/>
      </c>
      <c r="O43" s="386" t="str">
        <f>IF(E43="","",IF(ISNA(VLOOKUP($E43,'D-1 Off-Site Habitat Baseline'!$D$1:$AA$258,13,FALSE)),"",(VLOOKUP($E43,'D-1 Off-Site Habitat Baseline'!$D$1:$AA$258,13,FALSE))))</f>
        <v/>
      </c>
      <c r="P43" s="184" t="str">
        <f>IFERROR(INDEX('G-1 All Habitats'!$AG$3:$AG$17,MATCH(Q43,'G-1 All Habitats'!$AF$3:$AF$17,0)),"")</f>
        <v/>
      </c>
      <c r="Q43" s="185" t="str">
        <f t="shared" si="0"/>
        <v/>
      </c>
      <c r="R43" s="186" t="str">
        <f t="shared" si="1"/>
        <v/>
      </c>
      <c r="S43" s="187" t="str">
        <f>IFERROR(INDEX('G-1 All Habitats'!$B$3:$B$134,MATCH(R43,'G-1 All Habitats'!$A$3:$A$134,0)),"")</f>
        <v/>
      </c>
      <c r="T43" s="370" t="str">
        <f t="shared" si="3"/>
        <v/>
      </c>
      <c r="U43" s="386" t="str">
        <f t="shared" si="4"/>
        <v/>
      </c>
      <c r="V43" s="385" t="str">
        <f t="shared" si="5"/>
        <v/>
      </c>
      <c r="W43" s="382" t="str">
        <f>IF(S43="","",VLOOKUP(S43,'G-1 All Habitats'!$B$2:$M$134,10,FALSE))</f>
        <v/>
      </c>
      <c r="X43" s="382" t="str">
        <f>IFERROR(VLOOKUP(W43,'G-1 All Habitats'!$V$3:$W$7,2,FALSE),"")</f>
        <v/>
      </c>
      <c r="Y43" s="165"/>
      <c r="Z43" s="386" t="str">
        <f>IFERROR(INDEX('G-8 Condition Look up'!$A$3:$H$135,MATCH(S43,'G-8 Condition Look up'!$A$3:$A$135,0),MATCH(Y43,'G-8 Condition Look up'!$A$3:$H$3,0)),"")</f>
        <v/>
      </c>
      <c r="AA43" s="114"/>
      <c r="AB43" s="401" t="str">
        <f>IF(AA43="","",IF(VLOOKUP(AA43,'G-3 Multipliers'!$L$3:$N$6,2,FALSE)=0,"Spatial Data Missing ⚠",VLOOKUP(AA43,'G-3 Multipliers'!$L$3:$N$6,2,FALSE)))</f>
        <v/>
      </c>
      <c r="AC43" s="386" t="str">
        <f>IF(AA43="","",IF(VLOOKUP(AA43,'G-3 Multipliers'!$L$3:$N$6,3,FALSE)=0,"Spatial Data Missing ⚠",VLOOKUP(AA43,'G-3 Multipliers'!$L$3:$N$6,3,FALSE)))</f>
        <v/>
      </c>
      <c r="AD43" s="398" t="str">
        <f t="shared" si="2"/>
        <v/>
      </c>
      <c r="AE43" s="165"/>
      <c r="AF43" s="165"/>
      <c r="AG43" s="382" t="str">
        <f t="shared" si="6"/>
        <v/>
      </c>
      <c r="AH43" s="404" t="str">
        <f t="shared" si="7"/>
        <v/>
      </c>
      <c r="AI43" s="387" t="str">
        <f>IF(AH43="Check Data ⚠","Check Data ⚠",IFERROR(VLOOKUP(AH43,'G-4 Temporal multipliers'!$A$4:$C$36,3,FALSE),""))</f>
        <v/>
      </c>
      <c r="AJ43" s="398" t="str">
        <f>IF(S43="","",VLOOKUP(S43,'G-3 Multipliers'!$A$2:$E$134,4,FALSE))</f>
        <v/>
      </c>
      <c r="AK43" s="382" t="str">
        <f t="shared" si="8"/>
        <v/>
      </c>
      <c r="AL43" s="382" t="str">
        <f t="shared" si="9"/>
        <v/>
      </c>
      <c r="AM43" s="386" t="str">
        <f>IFERROR(IF(F43="","",IF(AH43="Check Data ⚠","Check Data ⚠",VLOOKUP(AL43, 'G-3 Multipliers'!$P$2:$Q$6,2,FALSE))),"")</f>
        <v/>
      </c>
      <c r="AN43" s="516"/>
      <c r="AO43" s="417" t="str">
        <f>IF(AN43="","",IF(VLOOKUP(AN43,'G-3 Multipliers'!$S$3:$T$10,2,FALSE)=0,"Spatial Data Missing ⚠",VLOOKUP(AN43,'G-3 Multipliers'!$S$3:$T$10,2,FALSE)))</f>
        <v/>
      </c>
      <c r="AP43" s="376" t="str">
        <f t="shared" si="10"/>
        <v/>
      </c>
      <c r="AQ43" s="376" t="str">
        <f t="shared" si="11"/>
        <v/>
      </c>
      <c r="AR43" s="119"/>
      <c r="AS43" s="528"/>
      <c r="AT43" s="120"/>
      <c r="AU43" s="120"/>
    </row>
    <row r="44" spans="1:47">
      <c r="A44" s="30" t="str">
        <f>IF(E44="","",IF(ISNA(VLOOKUP($E44,'D-1 Off-Site Habitat Baseline'!$D$1:$O$258,2,FALSE)),"",(VLOOKUP($E44,'D-1 Off-Site Habitat Baseline'!$D$1:$O$258,2,FALSE))))</f>
        <v/>
      </c>
      <c r="B44" s="30" t="str">
        <f>IF(E44="","",IF(ISNA(VLOOKUP($E44,'D-1 Off-Site Habitat Baseline'!$D$1:$O$258,3,FALSE)),"",(VLOOKUP($E44,'D-1 Off-Site Habitat Baseline'!$D$1:$O$258,3,FALSE))))</f>
        <v/>
      </c>
      <c r="C44" s="30" t="str">
        <f>IFERROR(INDEX('G-8 Condition Look up'!$I$4:$I$135,MATCH(S44,'G-8 Condition Look up'!$A$4:$A$135,0)),"")</f>
        <v/>
      </c>
      <c r="E44" s="407" t="str">
        <f>'D-1 Off-Site Habitat Baseline'!AP43</f>
        <v/>
      </c>
      <c r="F44" s="382" t="str">
        <f>IF(E44="","",IF(ISNA(VLOOKUP($E44,'D-1 Off-Site Habitat Baseline'!$D$1:$O$258,4,FALSE)),"",(VLOOKUP($E44,'D-1 Off-Site Habitat Baseline'!$D$1:$O$258,4,FALSE))))</f>
        <v/>
      </c>
      <c r="G44" s="382" t="str">
        <f>IF(E44="","",IF(ISNA(VLOOKUP($E44,'D-1 Off-Site Habitat Baseline'!$D$1:$O$258,5,FALSE)),"",(VLOOKUP($E44,'D-1 Off-Site Habitat Baseline'!$D$1:$O$258,5,FALSE))))</f>
        <v/>
      </c>
      <c r="H44" s="382" t="str">
        <f>IF(E44="","",IF(ISNA(VLOOKUP($E44,'D-1 Off-Site Habitat Baseline'!$D$1:$O$258,6,FALSE)),"",(VLOOKUP($E44,'D-1 Off-Site Habitat Baseline'!$D$1:$O$258,6,FALSE))))</f>
        <v/>
      </c>
      <c r="I44" s="382" t="str">
        <f>IF(E44="","",IF(ISNA(VLOOKUP($E44,'D-1 Off-Site Habitat Baseline'!$D$1:$O$258,7,FALSE)),"",(VLOOKUP($E44,'D-1 Off-Site Habitat Baseline'!$D$1:$O$258,7,FALSE))))</f>
        <v/>
      </c>
      <c r="J44" s="382" t="str">
        <f>IF(E44="","",IF(ISNA(VLOOKUP($E44,'D-1 Off-Site Habitat Baseline'!$D$1:$O$258,8,FALSE)),"",(VLOOKUP($E44,'D-1 Off-Site Habitat Baseline'!$D$1:$O$258,8,FALSE))))</f>
        <v/>
      </c>
      <c r="K44" s="382" t="str">
        <f>IF(E44="","",IF(ISNA(VLOOKUP($E44,'D-1 Off-Site Habitat Baseline'!$D$1:$O$258,9,FALSE)),"",(VLOOKUP($E44,'D-1 Off-Site Habitat Baseline'!$D$1:$O$258,9,FALSE))))</f>
        <v/>
      </c>
      <c r="L44" s="382" t="str">
        <f>IF(E44="","",IF(ISNA(VLOOKUP($E44,'D-1 Off-Site Habitat Baseline'!$D$1:$O$258,11,FALSE)),"",(VLOOKUP($E44,'D-1 Off-Site Habitat Baseline'!$D$1:$O$258,11,FALSE))))</f>
        <v/>
      </c>
      <c r="M44" s="382" t="str">
        <f>IF(E44="","",IF(ISNA(VLOOKUP($E44,'D-1 Off-Site Habitat Baseline'!$D$1:$O$258,12,FALSE)),"",(VLOOKUP($E44,'D-1 Off-Site Habitat Baseline'!$D$1:$O$258,12,FALSE))))</f>
        <v/>
      </c>
      <c r="N44" s="382" t="str">
        <f>IF(E44="","",IF(ISNA(VLOOKUP($E44,'D-1 Off-Site Habitat Baseline'!$D$1:$AA$258,14,FALSE)),"",(VLOOKUP($E44,'D-1 Off-Site Habitat Baseline'!$D$1:$AA$258,14,FALSE))))</f>
        <v/>
      </c>
      <c r="O44" s="386" t="str">
        <f>IF(E44="","",IF(ISNA(VLOOKUP($E44,'D-1 Off-Site Habitat Baseline'!$D$1:$AA$258,13,FALSE)),"",(VLOOKUP($E44,'D-1 Off-Site Habitat Baseline'!$D$1:$AA$258,13,FALSE))))</f>
        <v/>
      </c>
      <c r="P44" s="184" t="str">
        <f>IFERROR(INDEX('G-1 All Habitats'!$AG$3:$AG$17,MATCH(Q44,'G-1 All Habitats'!$AF$3:$AF$17,0)),"")</f>
        <v/>
      </c>
      <c r="Q44" s="185" t="str">
        <f t="shared" si="0"/>
        <v/>
      </c>
      <c r="R44" s="186" t="str">
        <f t="shared" si="1"/>
        <v/>
      </c>
      <c r="S44" s="187" t="str">
        <f>IFERROR(INDEX('G-1 All Habitats'!$B$3:$B$134,MATCH(R44,'G-1 All Habitats'!$A$3:$A$134,0)),"")</f>
        <v/>
      </c>
      <c r="T44" s="370" t="str">
        <f t="shared" si="3"/>
        <v/>
      </c>
      <c r="U44" s="386" t="str">
        <f t="shared" si="4"/>
        <v/>
      </c>
      <c r="V44" s="385" t="str">
        <f t="shared" si="5"/>
        <v/>
      </c>
      <c r="W44" s="382" t="str">
        <f>IF(S44="","",VLOOKUP(S44,'G-1 All Habitats'!$B$2:$M$134,10,FALSE))</f>
        <v/>
      </c>
      <c r="X44" s="382" t="str">
        <f>IFERROR(VLOOKUP(W44,'G-1 All Habitats'!$V$3:$W$7,2,FALSE),"")</f>
        <v/>
      </c>
      <c r="Y44" s="165"/>
      <c r="Z44" s="386" t="str">
        <f>IFERROR(INDEX('G-8 Condition Look up'!$A$3:$H$135,MATCH(S44,'G-8 Condition Look up'!$A$3:$A$135,0),MATCH(Y44,'G-8 Condition Look up'!$A$3:$H$3,0)),"")</f>
        <v/>
      </c>
      <c r="AA44" s="114"/>
      <c r="AB44" s="401" t="str">
        <f>IF(AA44="","",IF(VLOOKUP(AA44,'G-3 Multipliers'!$L$3:$N$6,2,FALSE)=0,"Spatial Data Missing ⚠",VLOOKUP(AA44,'G-3 Multipliers'!$L$3:$N$6,2,FALSE)))</f>
        <v/>
      </c>
      <c r="AC44" s="386" t="str">
        <f>IF(AA44="","",IF(VLOOKUP(AA44,'G-3 Multipliers'!$L$3:$N$6,3,FALSE)=0,"Spatial Data Missing ⚠",VLOOKUP(AA44,'G-3 Multipliers'!$L$3:$N$6,3,FALSE)))</f>
        <v/>
      </c>
      <c r="AD44" s="398" t="str">
        <f t="shared" si="2"/>
        <v/>
      </c>
      <c r="AE44" s="165"/>
      <c r="AF44" s="165"/>
      <c r="AG44" s="382" t="str">
        <f t="shared" si="6"/>
        <v/>
      </c>
      <c r="AH44" s="404" t="str">
        <f t="shared" si="7"/>
        <v/>
      </c>
      <c r="AI44" s="387" t="str">
        <f>IF(AH44="Check Data ⚠","Check Data ⚠",IFERROR(VLOOKUP(AH44,'G-4 Temporal multipliers'!$A$4:$C$36,3,FALSE),""))</f>
        <v/>
      </c>
      <c r="AJ44" s="398" t="str">
        <f>IF(S44="","",VLOOKUP(S44,'G-3 Multipliers'!$A$2:$E$134,4,FALSE))</f>
        <v/>
      </c>
      <c r="AK44" s="382" t="str">
        <f t="shared" si="8"/>
        <v/>
      </c>
      <c r="AL44" s="382" t="str">
        <f t="shared" si="9"/>
        <v/>
      </c>
      <c r="AM44" s="386" t="str">
        <f>IFERROR(IF(F44="","",IF(AH44="Check Data ⚠","Check Data ⚠",VLOOKUP(AL44, 'G-3 Multipliers'!$P$2:$Q$6,2,FALSE))),"")</f>
        <v/>
      </c>
      <c r="AN44" s="516"/>
      <c r="AO44" s="417" t="str">
        <f>IF(AN44="","",IF(VLOOKUP(AN44,'G-3 Multipliers'!$S$3:$T$10,2,FALSE)=0,"Spatial Data Missing ⚠",VLOOKUP(AN44,'G-3 Multipliers'!$S$3:$T$10,2,FALSE)))</f>
        <v/>
      </c>
      <c r="AP44" s="376" t="str">
        <f t="shared" si="10"/>
        <v/>
      </c>
      <c r="AQ44" s="376" t="str">
        <f t="shared" si="11"/>
        <v/>
      </c>
      <c r="AR44" s="119"/>
      <c r="AS44" s="528"/>
      <c r="AT44" s="120"/>
      <c r="AU44" s="120"/>
    </row>
    <row r="45" spans="1:47">
      <c r="A45" s="30" t="str">
        <f>IF(E45="","",IF(ISNA(VLOOKUP($E45,'D-1 Off-Site Habitat Baseline'!$D$1:$O$258,2,FALSE)),"",(VLOOKUP($E45,'D-1 Off-Site Habitat Baseline'!$D$1:$O$258,2,FALSE))))</f>
        <v/>
      </c>
      <c r="B45" s="30" t="str">
        <f>IF(E45="","",IF(ISNA(VLOOKUP($E45,'D-1 Off-Site Habitat Baseline'!$D$1:$O$258,3,FALSE)),"",(VLOOKUP($E45,'D-1 Off-Site Habitat Baseline'!$D$1:$O$258,3,FALSE))))</f>
        <v/>
      </c>
      <c r="C45" s="30" t="str">
        <f>IFERROR(INDEX('G-8 Condition Look up'!$I$4:$I$135,MATCH(S45,'G-8 Condition Look up'!$A$4:$A$135,0)),"")</f>
        <v/>
      </c>
      <c r="E45" s="407" t="str">
        <f>'D-1 Off-Site Habitat Baseline'!AP44</f>
        <v/>
      </c>
      <c r="F45" s="382" t="str">
        <f>IF(E45="","",IF(ISNA(VLOOKUP($E45,'D-1 Off-Site Habitat Baseline'!$D$1:$O$258,4,FALSE)),"",(VLOOKUP($E45,'D-1 Off-Site Habitat Baseline'!$D$1:$O$258,4,FALSE))))</f>
        <v/>
      </c>
      <c r="G45" s="382" t="str">
        <f>IF(E45="","",IF(ISNA(VLOOKUP($E45,'D-1 Off-Site Habitat Baseline'!$D$1:$O$258,5,FALSE)),"",(VLOOKUP($E45,'D-1 Off-Site Habitat Baseline'!$D$1:$O$258,5,FALSE))))</f>
        <v/>
      </c>
      <c r="H45" s="382" t="str">
        <f>IF(E45="","",IF(ISNA(VLOOKUP($E45,'D-1 Off-Site Habitat Baseline'!$D$1:$O$258,6,FALSE)),"",(VLOOKUP($E45,'D-1 Off-Site Habitat Baseline'!$D$1:$O$258,6,FALSE))))</f>
        <v/>
      </c>
      <c r="I45" s="382" t="str">
        <f>IF(E45="","",IF(ISNA(VLOOKUP($E45,'D-1 Off-Site Habitat Baseline'!$D$1:$O$258,7,FALSE)),"",(VLOOKUP($E45,'D-1 Off-Site Habitat Baseline'!$D$1:$O$258,7,FALSE))))</f>
        <v/>
      </c>
      <c r="J45" s="382" t="str">
        <f>IF(E45="","",IF(ISNA(VLOOKUP($E45,'D-1 Off-Site Habitat Baseline'!$D$1:$O$258,8,FALSE)),"",(VLOOKUP($E45,'D-1 Off-Site Habitat Baseline'!$D$1:$O$258,8,FALSE))))</f>
        <v/>
      </c>
      <c r="K45" s="382" t="str">
        <f>IF(E45="","",IF(ISNA(VLOOKUP($E45,'D-1 Off-Site Habitat Baseline'!$D$1:$O$258,9,FALSE)),"",(VLOOKUP($E45,'D-1 Off-Site Habitat Baseline'!$D$1:$O$258,9,FALSE))))</f>
        <v/>
      </c>
      <c r="L45" s="382" t="str">
        <f>IF(E45="","",IF(ISNA(VLOOKUP($E45,'D-1 Off-Site Habitat Baseline'!$D$1:$O$258,11,FALSE)),"",(VLOOKUP($E45,'D-1 Off-Site Habitat Baseline'!$D$1:$O$258,11,FALSE))))</f>
        <v/>
      </c>
      <c r="M45" s="382" t="str">
        <f>IF(E45="","",IF(ISNA(VLOOKUP($E45,'D-1 Off-Site Habitat Baseline'!$D$1:$O$258,12,FALSE)),"",(VLOOKUP($E45,'D-1 Off-Site Habitat Baseline'!$D$1:$O$258,12,FALSE))))</f>
        <v/>
      </c>
      <c r="N45" s="382" t="str">
        <f>IF(E45="","",IF(ISNA(VLOOKUP($E45,'D-1 Off-Site Habitat Baseline'!$D$1:$AA$258,14,FALSE)),"",(VLOOKUP($E45,'D-1 Off-Site Habitat Baseline'!$D$1:$AA$258,14,FALSE))))</f>
        <v/>
      </c>
      <c r="O45" s="386" t="str">
        <f>IF(E45="","",IF(ISNA(VLOOKUP($E45,'D-1 Off-Site Habitat Baseline'!$D$1:$AA$258,13,FALSE)),"",(VLOOKUP($E45,'D-1 Off-Site Habitat Baseline'!$D$1:$AA$258,13,FALSE))))</f>
        <v/>
      </c>
      <c r="P45" s="184" t="str">
        <f>IFERROR(INDEX('G-1 All Habitats'!$AG$3:$AG$17,MATCH(Q45,'G-1 All Habitats'!$AF$3:$AF$17,0)),"")</f>
        <v/>
      </c>
      <c r="Q45" s="185" t="str">
        <f t="shared" si="0"/>
        <v/>
      </c>
      <c r="R45" s="186" t="str">
        <f t="shared" si="1"/>
        <v/>
      </c>
      <c r="S45" s="187" t="str">
        <f>IFERROR(INDEX('G-1 All Habitats'!$B$3:$B$134,MATCH(R45,'G-1 All Habitats'!$A$3:$A$134,0)),"")</f>
        <v/>
      </c>
      <c r="T45" s="370" t="str">
        <f t="shared" si="3"/>
        <v/>
      </c>
      <c r="U45" s="386" t="str">
        <f t="shared" si="4"/>
        <v/>
      </c>
      <c r="V45" s="385" t="str">
        <f t="shared" si="5"/>
        <v/>
      </c>
      <c r="W45" s="382" t="str">
        <f>IF(S45="","",VLOOKUP(S45,'G-1 All Habitats'!$B$2:$M$134,10,FALSE))</f>
        <v/>
      </c>
      <c r="X45" s="382" t="str">
        <f>IFERROR(VLOOKUP(W45,'G-1 All Habitats'!$V$3:$W$7,2,FALSE),"")</f>
        <v/>
      </c>
      <c r="Y45" s="165"/>
      <c r="Z45" s="386" t="str">
        <f>IFERROR(INDEX('G-8 Condition Look up'!$A$3:$H$135,MATCH(S45,'G-8 Condition Look up'!$A$3:$A$135,0),MATCH(Y45,'G-8 Condition Look up'!$A$3:$H$3,0)),"")</f>
        <v/>
      </c>
      <c r="AA45" s="114"/>
      <c r="AB45" s="401" t="str">
        <f>IF(AA45="","",IF(VLOOKUP(AA45,'G-3 Multipliers'!$L$3:$N$6,2,FALSE)=0,"Spatial Data Missing ⚠",VLOOKUP(AA45,'G-3 Multipliers'!$L$3:$N$6,2,FALSE)))</f>
        <v/>
      </c>
      <c r="AC45" s="386" t="str">
        <f>IF(AA45="","",IF(VLOOKUP(AA45,'G-3 Multipliers'!$L$3:$N$6,3,FALSE)=0,"Spatial Data Missing ⚠",VLOOKUP(AA45,'G-3 Multipliers'!$L$3:$N$6,3,FALSE)))</f>
        <v/>
      </c>
      <c r="AD45" s="398" t="str">
        <f t="shared" si="2"/>
        <v/>
      </c>
      <c r="AE45" s="165"/>
      <c r="AF45" s="165"/>
      <c r="AG45" s="382" t="str">
        <f t="shared" si="6"/>
        <v/>
      </c>
      <c r="AH45" s="404" t="str">
        <f t="shared" si="7"/>
        <v/>
      </c>
      <c r="AI45" s="387" t="str">
        <f>IF(AH45="Check Data ⚠","Check Data ⚠",IFERROR(VLOOKUP(AH45,'G-4 Temporal multipliers'!$A$4:$C$36,3,FALSE),""))</f>
        <v/>
      </c>
      <c r="AJ45" s="398" t="str">
        <f>IF(S45="","",VLOOKUP(S45,'G-3 Multipliers'!$A$2:$E$134,4,FALSE))</f>
        <v/>
      </c>
      <c r="AK45" s="382" t="str">
        <f t="shared" si="8"/>
        <v/>
      </c>
      <c r="AL45" s="382" t="str">
        <f t="shared" si="9"/>
        <v/>
      </c>
      <c r="AM45" s="386" t="str">
        <f>IFERROR(IF(F45="","",IF(AH45="Check Data ⚠","Check Data ⚠",VLOOKUP(AL45, 'G-3 Multipliers'!$P$2:$Q$6,2,FALSE))),"")</f>
        <v/>
      </c>
      <c r="AN45" s="516"/>
      <c r="AO45" s="417" t="str">
        <f>IF(AN45="","",IF(VLOOKUP(AN45,'G-3 Multipliers'!$S$3:$T$10,2,FALSE)=0,"Spatial Data Missing ⚠",VLOOKUP(AN45,'G-3 Multipliers'!$S$3:$T$10,2,FALSE)))</f>
        <v/>
      </c>
      <c r="AP45" s="376" t="str">
        <f t="shared" si="10"/>
        <v/>
      </c>
      <c r="AQ45" s="376" t="str">
        <f t="shared" si="11"/>
        <v/>
      </c>
      <c r="AR45" s="119"/>
      <c r="AS45" s="528"/>
      <c r="AT45" s="120"/>
      <c r="AU45" s="120"/>
    </row>
    <row r="46" spans="1:47">
      <c r="A46" s="30" t="str">
        <f>IF(E46="","",IF(ISNA(VLOOKUP($E46,'D-1 Off-Site Habitat Baseline'!$D$1:$O$258,2,FALSE)),"",(VLOOKUP($E46,'D-1 Off-Site Habitat Baseline'!$D$1:$O$258,2,FALSE))))</f>
        <v/>
      </c>
      <c r="B46" s="30" t="str">
        <f>IF(E46="","",IF(ISNA(VLOOKUP($E46,'D-1 Off-Site Habitat Baseline'!$D$1:$O$258,3,FALSE)),"",(VLOOKUP($E46,'D-1 Off-Site Habitat Baseline'!$D$1:$O$258,3,FALSE))))</f>
        <v/>
      </c>
      <c r="C46" s="30" t="str">
        <f>IFERROR(INDEX('G-8 Condition Look up'!$I$4:$I$135,MATCH(S46,'G-8 Condition Look up'!$A$4:$A$135,0)),"")</f>
        <v/>
      </c>
      <c r="E46" s="407" t="str">
        <f>'D-1 Off-Site Habitat Baseline'!AP45</f>
        <v/>
      </c>
      <c r="F46" s="382" t="str">
        <f>IF(E46="","",IF(ISNA(VLOOKUP($E46,'D-1 Off-Site Habitat Baseline'!$D$1:$O$258,4,FALSE)),"",(VLOOKUP($E46,'D-1 Off-Site Habitat Baseline'!$D$1:$O$258,4,FALSE))))</f>
        <v/>
      </c>
      <c r="G46" s="382" t="str">
        <f>IF(E46="","",IF(ISNA(VLOOKUP($E46,'D-1 Off-Site Habitat Baseline'!$D$1:$O$258,5,FALSE)),"",(VLOOKUP($E46,'D-1 Off-Site Habitat Baseline'!$D$1:$O$258,5,FALSE))))</f>
        <v/>
      </c>
      <c r="H46" s="382" t="str">
        <f>IF(E46="","",IF(ISNA(VLOOKUP($E46,'D-1 Off-Site Habitat Baseline'!$D$1:$O$258,6,FALSE)),"",(VLOOKUP($E46,'D-1 Off-Site Habitat Baseline'!$D$1:$O$258,6,FALSE))))</f>
        <v/>
      </c>
      <c r="I46" s="382" t="str">
        <f>IF(E46="","",IF(ISNA(VLOOKUP($E46,'D-1 Off-Site Habitat Baseline'!$D$1:$O$258,7,FALSE)),"",(VLOOKUP($E46,'D-1 Off-Site Habitat Baseline'!$D$1:$O$258,7,FALSE))))</f>
        <v/>
      </c>
      <c r="J46" s="382" t="str">
        <f>IF(E46="","",IF(ISNA(VLOOKUP($E46,'D-1 Off-Site Habitat Baseline'!$D$1:$O$258,8,FALSE)),"",(VLOOKUP($E46,'D-1 Off-Site Habitat Baseline'!$D$1:$O$258,8,FALSE))))</f>
        <v/>
      </c>
      <c r="K46" s="382" t="str">
        <f>IF(E46="","",IF(ISNA(VLOOKUP($E46,'D-1 Off-Site Habitat Baseline'!$D$1:$O$258,9,FALSE)),"",(VLOOKUP($E46,'D-1 Off-Site Habitat Baseline'!$D$1:$O$258,9,FALSE))))</f>
        <v/>
      </c>
      <c r="L46" s="382" t="str">
        <f>IF(E46="","",IF(ISNA(VLOOKUP($E46,'D-1 Off-Site Habitat Baseline'!$D$1:$O$258,11,FALSE)),"",(VLOOKUP($E46,'D-1 Off-Site Habitat Baseline'!$D$1:$O$258,11,FALSE))))</f>
        <v/>
      </c>
      <c r="M46" s="382" t="str">
        <f>IF(E46="","",IF(ISNA(VLOOKUP($E46,'D-1 Off-Site Habitat Baseline'!$D$1:$O$258,12,FALSE)),"",(VLOOKUP($E46,'D-1 Off-Site Habitat Baseline'!$D$1:$O$258,12,FALSE))))</f>
        <v/>
      </c>
      <c r="N46" s="382" t="str">
        <f>IF(E46="","",IF(ISNA(VLOOKUP($E46,'D-1 Off-Site Habitat Baseline'!$D$1:$AA$258,14,FALSE)),"",(VLOOKUP($E46,'D-1 Off-Site Habitat Baseline'!$D$1:$AA$258,14,FALSE))))</f>
        <v/>
      </c>
      <c r="O46" s="386" t="str">
        <f>IF(E46="","",IF(ISNA(VLOOKUP($E46,'D-1 Off-Site Habitat Baseline'!$D$1:$AA$258,13,FALSE)),"",(VLOOKUP($E46,'D-1 Off-Site Habitat Baseline'!$D$1:$AA$258,13,FALSE))))</f>
        <v/>
      </c>
      <c r="P46" s="184" t="str">
        <f>IFERROR(INDEX('G-1 All Habitats'!$AG$3:$AG$17,MATCH(Q46,'G-1 All Habitats'!$AF$3:$AF$17,0)),"")</f>
        <v/>
      </c>
      <c r="Q46" s="185" t="str">
        <f t="shared" si="0"/>
        <v/>
      </c>
      <c r="R46" s="186" t="str">
        <f t="shared" si="1"/>
        <v/>
      </c>
      <c r="S46" s="187" t="str">
        <f>IFERROR(INDEX('G-1 All Habitats'!$B$3:$B$134,MATCH(R46,'G-1 All Habitats'!$A$3:$A$134,0)),"")</f>
        <v/>
      </c>
      <c r="T46" s="370" t="str">
        <f t="shared" si="3"/>
        <v/>
      </c>
      <c r="U46" s="386" t="str">
        <f t="shared" si="4"/>
        <v/>
      </c>
      <c r="V46" s="385" t="str">
        <f t="shared" si="5"/>
        <v/>
      </c>
      <c r="W46" s="382" t="str">
        <f>IF(S46="","",VLOOKUP(S46,'G-1 All Habitats'!$B$2:$M$134,10,FALSE))</f>
        <v/>
      </c>
      <c r="X46" s="382" t="str">
        <f>IFERROR(VLOOKUP(W46,'G-1 All Habitats'!$V$3:$W$7,2,FALSE),"")</f>
        <v/>
      </c>
      <c r="Y46" s="165"/>
      <c r="Z46" s="386" t="str">
        <f>IFERROR(INDEX('G-8 Condition Look up'!$A$3:$H$135,MATCH(S46,'G-8 Condition Look up'!$A$3:$A$135,0),MATCH(Y46,'G-8 Condition Look up'!$A$3:$H$3,0)),"")</f>
        <v/>
      </c>
      <c r="AA46" s="114"/>
      <c r="AB46" s="401" t="str">
        <f>IF(AA46="","",IF(VLOOKUP(AA46,'G-3 Multipliers'!$L$3:$N$6,2,FALSE)=0,"Spatial Data Missing ⚠",VLOOKUP(AA46,'G-3 Multipliers'!$L$3:$N$6,2,FALSE)))</f>
        <v/>
      </c>
      <c r="AC46" s="386" t="str">
        <f>IF(AA46="","",IF(VLOOKUP(AA46,'G-3 Multipliers'!$L$3:$N$6,3,FALSE)=0,"Spatial Data Missing ⚠",VLOOKUP(AA46,'G-3 Multipliers'!$L$3:$N$6,3,FALSE)))</f>
        <v/>
      </c>
      <c r="AD46" s="398" t="str">
        <f t="shared" si="2"/>
        <v/>
      </c>
      <c r="AE46" s="165"/>
      <c r="AF46" s="165"/>
      <c r="AG46" s="382" t="str">
        <f t="shared" si="6"/>
        <v/>
      </c>
      <c r="AH46" s="404" t="str">
        <f t="shared" si="7"/>
        <v/>
      </c>
      <c r="AI46" s="387" t="str">
        <f>IF(AH46="Check Data ⚠","Check Data ⚠",IFERROR(VLOOKUP(AH46,'G-4 Temporal multipliers'!$A$4:$C$36,3,FALSE),""))</f>
        <v/>
      </c>
      <c r="AJ46" s="398" t="str">
        <f>IF(S46="","",VLOOKUP(S46,'G-3 Multipliers'!$A$2:$E$134,4,FALSE))</f>
        <v/>
      </c>
      <c r="AK46" s="382" t="str">
        <f t="shared" si="8"/>
        <v/>
      </c>
      <c r="AL46" s="382" t="str">
        <f t="shared" si="9"/>
        <v/>
      </c>
      <c r="AM46" s="386" t="str">
        <f>IFERROR(IF(F46="","",IF(AH46="Check Data ⚠","Check Data ⚠",VLOOKUP(AL46, 'G-3 Multipliers'!$P$2:$Q$6,2,FALSE))),"")</f>
        <v/>
      </c>
      <c r="AN46" s="516"/>
      <c r="AO46" s="417" t="str">
        <f>IF(AN46="","",IF(VLOOKUP(AN46,'G-3 Multipliers'!$S$3:$T$10,2,FALSE)=0,"Spatial Data Missing ⚠",VLOOKUP(AN46,'G-3 Multipliers'!$S$3:$T$10,2,FALSE)))</f>
        <v/>
      </c>
      <c r="AP46" s="376" t="str">
        <f t="shared" si="10"/>
        <v/>
      </c>
      <c r="AQ46" s="376" t="str">
        <f t="shared" si="11"/>
        <v/>
      </c>
      <c r="AR46" s="119"/>
      <c r="AS46" s="528"/>
      <c r="AT46" s="120"/>
      <c r="AU46" s="120"/>
    </row>
    <row r="47" spans="1:47">
      <c r="A47" s="30" t="str">
        <f>IF(E47="","",IF(ISNA(VLOOKUP($E47,'D-1 Off-Site Habitat Baseline'!$D$1:$O$258,2,FALSE)),"",(VLOOKUP($E47,'D-1 Off-Site Habitat Baseline'!$D$1:$O$258,2,FALSE))))</f>
        <v/>
      </c>
      <c r="B47" s="30" t="str">
        <f>IF(E47="","",IF(ISNA(VLOOKUP($E47,'D-1 Off-Site Habitat Baseline'!$D$1:$O$258,3,FALSE)),"",(VLOOKUP($E47,'D-1 Off-Site Habitat Baseline'!$D$1:$O$258,3,FALSE))))</f>
        <v/>
      </c>
      <c r="C47" s="30" t="str">
        <f>IFERROR(INDEX('G-8 Condition Look up'!$I$4:$I$135,MATCH(S47,'G-8 Condition Look up'!$A$4:$A$135,0)),"")</f>
        <v/>
      </c>
      <c r="E47" s="407" t="str">
        <f>'D-1 Off-Site Habitat Baseline'!AP46</f>
        <v/>
      </c>
      <c r="F47" s="382" t="str">
        <f>IF(E47="","",IF(ISNA(VLOOKUP($E47,'D-1 Off-Site Habitat Baseline'!$D$1:$O$258,4,FALSE)),"",(VLOOKUP($E47,'D-1 Off-Site Habitat Baseline'!$D$1:$O$258,4,FALSE))))</f>
        <v/>
      </c>
      <c r="G47" s="382" t="str">
        <f>IF(E47="","",IF(ISNA(VLOOKUP($E47,'D-1 Off-Site Habitat Baseline'!$D$1:$O$258,5,FALSE)),"",(VLOOKUP($E47,'D-1 Off-Site Habitat Baseline'!$D$1:$O$258,5,FALSE))))</f>
        <v/>
      </c>
      <c r="H47" s="382" t="str">
        <f>IF(E47="","",IF(ISNA(VLOOKUP($E47,'D-1 Off-Site Habitat Baseline'!$D$1:$O$258,6,FALSE)),"",(VLOOKUP($E47,'D-1 Off-Site Habitat Baseline'!$D$1:$O$258,6,FALSE))))</f>
        <v/>
      </c>
      <c r="I47" s="382" t="str">
        <f>IF(E47="","",IF(ISNA(VLOOKUP($E47,'D-1 Off-Site Habitat Baseline'!$D$1:$O$258,7,FALSE)),"",(VLOOKUP($E47,'D-1 Off-Site Habitat Baseline'!$D$1:$O$258,7,FALSE))))</f>
        <v/>
      </c>
      <c r="J47" s="382" t="str">
        <f>IF(E47="","",IF(ISNA(VLOOKUP($E47,'D-1 Off-Site Habitat Baseline'!$D$1:$O$258,8,FALSE)),"",(VLOOKUP($E47,'D-1 Off-Site Habitat Baseline'!$D$1:$O$258,8,FALSE))))</f>
        <v/>
      </c>
      <c r="K47" s="382" t="str">
        <f>IF(E47="","",IF(ISNA(VLOOKUP($E47,'D-1 Off-Site Habitat Baseline'!$D$1:$O$258,9,FALSE)),"",(VLOOKUP($E47,'D-1 Off-Site Habitat Baseline'!$D$1:$O$258,9,FALSE))))</f>
        <v/>
      </c>
      <c r="L47" s="382" t="str">
        <f>IF(E47="","",IF(ISNA(VLOOKUP($E47,'D-1 Off-Site Habitat Baseline'!$D$1:$O$258,11,FALSE)),"",(VLOOKUP($E47,'D-1 Off-Site Habitat Baseline'!$D$1:$O$258,11,FALSE))))</f>
        <v/>
      </c>
      <c r="M47" s="382" t="str">
        <f>IF(E47="","",IF(ISNA(VLOOKUP($E47,'D-1 Off-Site Habitat Baseline'!$D$1:$O$258,12,FALSE)),"",(VLOOKUP($E47,'D-1 Off-Site Habitat Baseline'!$D$1:$O$258,12,FALSE))))</f>
        <v/>
      </c>
      <c r="N47" s="382" t="str">
        <f>IF(E47="","",IF(ISNA(VLOOKUP($E47,'D-1 Off-Site Habitat Baseline'!$D$1:$AA$258,14,FALSE)),"",(VLOOKUP($E47,'D-1 Off-Site Habitat Baseline'!$D$1:$AA$258,14,FALSE))))</f>
        <v/>
      </c>
      <c r="O47" s="386" t="str">
        <f>IF(E47="","",IF(ISNA(VLOOKUP($E47,'D-1 Off-Site Habitat Baseline'!$D$1:$AA$258,13,FALSE)),"",(VLOOKUP($E47,'D-1 Off-Site Habitat Baseline'!$D$1:$AA$258,13,FALSE))))</f>
        <v/>
      </c>
      <c r="P47" s="184" t="str">
        <f>IFERROR(INDEX('G-1 All Habitats'!$AG$3:$AG$17,MATCH(Q47,'G-1 All Habitats'!$AF$3:$AF$17,0)),"")</f>
        <v/>
      </c>
      <c r="Q47" s="185" t="str">
        <f t="shared" si="0"/>
        <v/>
      </c>
      <c r="R47" s="186" t="str">
        <f t="shared" si="1"/>
        <v/>
      </c>
      <c r="S47" s="187" t="str">
        <f>IFERROR(INDEX('G-1 All Habitats'!$B$3:$B$134,MATCH(R47,'G-1 All Habitats'!$A$3:$A$134,0)),"")</f>
        <v/>
      </c>
      <c r="T47" s="370" t="str">
        <f t="shared" si="3"/>
        <v/>
      </c>
      <c r="U47" s="386" t="str">
        <f t="shared" si="4"/>
        <v/>
      </c>
      <c r="V47" s="385" t="str">
        <f t="shared" si="5"/>
        <v/>
      </c>
      <c r="W47" s="382" t="str">
        <f>IF(S47="","",VLOOKUP(S47,'G-1 All Habitats'!$B$2:$M$134,10,FALSE))</f>
        <v/>
      </c>
      <c r="X47" s="382" t="str">
        <f>IFERROR(VLOOKUP(W47,'G-1 All Habitats'!$V$3:$W$7,2,FALSE),"")</f>
        <v/>
      </c>
      <c r="Y47" s="165"/>
      <c r="Z47" s="386" t="str">
        <f>IFERROR(INDEX('G-8 Condition Look up'!$A$3:$H$135,MATCH(S47,'G-8 Condition Look up'!$A$3:$A$135,0),MATCH(Y47,'G-8 Condition Look up'!$A$3:$H$3,0)),"")</f>
        <v/>
      </c>
      <c r="AA47" s="114"/>
      <c r="AB47" s="401" t="str">
        <f>IF(AA47="","",IF(VLOOKUP(AA47,'G-3 Multipliers'!$L$3:$N$6,2,FALSE)=0,"Spatial Data Missing ⚠",VLOOKUP(AA47,'G-3 Multipliers'!$L$3:$N$6,2,FALSE)))</f>
        <v/>
      </c>
      <c r="AC47" s="386" t="str">
        <f>IF(AA47="","",IF(VLOOKUP(AA47,'G-3 Multipliers'!$L$3:$N$6,3,FALSE)=0,"Spatial Data Missing ⚠",VLOOKUP(AA47,'G-3 Multipliers'!$L$3:$N$6,3,FALSE)))</f>
        <v/>
      </c>
      <c r="AD47" s="398" t="str">
        <f t="shared" si="2"/>
        <v/>
      </c>
      <c r="AE47" s="165"/>
      <c r="AF47" s="165"/>
      <c r="AG47" s="382" t="str">
        <f t="shared" si="6"/>
        <v/>
      </c>
      <c r="AH47" s="404" t="str">
        <f t="shared" si="7"/>
        <v/>
      </c>
      <c r="AI47" s="387" t="str">
        <f>IF(AH47="Check Data ⚠","Check Data ⚠",IFERROR(VLOOKUP(AH47,'G-4 Temporal multipliers'!$A$4:$C$36,3,FALSE),""))</f>
        <v/>
      </c>
      <c r="AJ47" s="398" t="str">
        <f>IF(S47="","",VLOOKUP(S47,'G-3 Multipliers'!$A$2:$E$134,4,FALSE))</f>
        <v/>
      </c>
      <c r="AK47" s="382" t="str">
        <f t="shared" si="8"/>
        <v/>
      </c>
      <c r="AL47" s="382" t="str">
        <f t="shared" si="9"/>
        <v/>
      </c>
      <c r="AM47" s="386" t="str">
        <f>IFERROR(IF(F47="","",IF(AH47="Check Data ⚠","Check Data ⚠",VLOOKUP(AL47, 'G-3 Multipliers'!$P$2:$Q$6,2,FALSE))),"")</f>
        <v/>
      </c>
      <c r="AN47" s="516"/>
      <c r="AO47" s="417" t="str">
        <f>IF(AN47="","",IF(VLOOKUP(AN47,'G-3 Multipliers'!$S$3:$T$10,2,FALSE)=0,"Spatial Data Missing ⚠",VLOOKUP(AN47,'G-3 Multipliers'!$S$3:$T$10,2,FALSE)))</f>
        <v/>
      </c>
      <c r="AP47" s="376" t="str">
        <f t="shared" si="10"/>
        <v/>
      </c>
      <c r="AQ47" s="376" t="str">
        <f t="shared" si="11"/>
        <v/>
      </c>
      <c r="AR47" s="119"/>
      <c r="AS47" s="528"/>
      <c r="AT47" s="120"/>
      <c r="AU47" s="120"/>
    </row>
    <row r="48" spans="1:47">
      <c r="A48" s="30" t="str">
        <f>IF(E48="","",IF(ISNA(VLOOKUP($E48,'D-1 Off-Site Habitat Baseline'!$D$1:$O$258,2,FALSE)),"",(VLOOKUP($E48,'D-1 Off-Site Habitat Baseline'!$D$1:$O$258,2,FALSE))))</f>
        <v/>
      </c>
      <c r="B48" s="30" t="str">
        <f>IF(E48="","",IF(ISNA(VLOOKUP($E48,'D-1 Off-Site Habitat Baseline'!$D$1:$O$258,3,FALSE)),"",(VLOOKUP($E48,'D-1 Off-Site Habitat Baseline'!$D$1:$O$258,3,FALSE))))</f>
        <v/>
      </c>
      <c r="C48" s="30" t="str">
        <f>IFERROR(INDEX('G-8 Condition Look up'!$I$4:$I$135,MATCH(S48,'G-8 Condition Look up'!$A$4:$A$135,0)),"")</f>
        <v/>
      </c>
      <c r="E48" s="407" t="str">
        <f>'D-1 Off-Site Habitat Baseline'!AP47</f>
        <v/>
      </c>
      <c r="F48" s="382" t="str">
        <f>IF(E48="","",IF(ISNA(VLOOKUP($E48,'D-1 Off-Site Habitat Baseline'!$D$1:$O$258,4,FALSE)),"",(VLOOKUP($E48,'D-1 Off-Site Habitat Baseline'!$D$1:$O$258,4,FALSE))))</f>
        <v/>
      </c>
      <c r="G48" s="382" t="str">
        <f>IF(E48="","",IF(ISNA(VLOOKUP($E48,'D-1 Off-Site Habitat Baseline'!$D$1:$O$258,5,FALSE)),"",(VLOOKUP($E48,'D-1 Off-Site Habitat Baseline'!$D$1:$O$258,5,FALSE))))</f>
        <v/>
      </c>
      <c r="H48" s="382" t="str">
        <f>IF(E48="","",IF(ISNA(VLOOKUP($E48,'D-1 Off-Site Habitat Baseline'!$D$1:$O$258,6,FALSE)),"",(VLOOKUP($E48,'D-1 Off-Site Habitat Baseline'!$D$1:$O$258,6,FALSE))))</f>
        <v/>
      </c>
      <c r="I48" s="382" t="str">
        <f>IF(E48="","",IF(ISNA(VLOOKUP($E48,'D-1 Off-Site Habitat Baseline'!$D$1:$O$258,7,FALSE)),"",(VLOOKUP($E48,'D-1 Off-Site Habitat Baseline'!$D$1:$O$258,7,FALSE))))</f>
        <v/>
      </c>
      <c r="J48" s="382" t="str">
        <f>IF(E48="","",IF(ISNA(VLOOKUP($E48,'D-1 Off-Site Habitat Baseline'!$D$1:$O$258,8,FALSE)),"",(VLOOKUP($E48,'D-1 Off-Site Habitat Baseline'!$D$1:$O$258,8,FALSE))))</f>
        <v/>
      </c>
      <c r="K48" s="382" t="str">
        <f>IF(E48="","",IF(ISNA(VLOOKUP($E48,'D-1 Off-Site Habitat Baseline'!$D$1:$O$258,9,FALSE)),"",(VLOOKUP($E48,'D-1 Off-Site Habitat Baseline'!$D$1:$O$258,9,FALSE))))</f>
        <v/>
      </c>
      <c r="L48" s="382" t="str">
        <f>IF(E48="","",IF(ISNA(VLOOKUP($E48,'D-1 Off-Site Habitat Baseline'!$D$1:$O$258,11,FALSE)),"",(VLOOKUP($E48,'D-1 Off-Site Habitat Baseline'!$D$1:$O$258,11,FALSE))))</f>
        <v/>
      </c>
      <c r="M48" s="382" t="str">
        <f>IF(E48="","",IF(ISNA(VLOOKUP($E48,'D-1 Off-Site Habitat Baseline'!$D$1:$O$258,12,FALSE)),"",(VLOOKUP($E48,'D-1 Off-Site Habitat Baseline'!$D$1:$O$258,12,FALSE))))</f>
        <v/>
      </c>
      <c r="N48" s="382" t="str">
        <f>IF(E48="","",IF(ISNA(VLOOKUP($E48,'D-1 Off-Site Habitat Baseline'!$D$1:$AA$258,14,FALSE)),"",(VLOOKUP($E48,'D-1 Off-Site Habitat Baseline'!$D$1:$AA$258,14,FALSE))))</f>
        <v/>
      </c>
      <c r="O48" s="386" t="str">
        <f>IF(E48="","",IF(ISNA(VLOOKUP($E48,'D-1 Off-Site Habitat Baseline'!$D$1:$AA$258,13,FALSE)),"",(VLOOKUP($E48,'D-1 Off-Site Habitat Baseline'!$D$1:$AA$258,13,FALSE))))</f>
        <v/>
      </c>
      <c r="P48" s="184" t="str">
        <f>IFERROR(INDEX('G-1 All Habitats'!$AG$3:$AG$17,MATCH(Q48,'G-1 All Habitats'!$AF$3:$AF$17,0)),"")</f>
        <v/>
      </c>
      <c r="Q48" s="185" t="str">
        <f t="shared" si="0"/>
        <v/>
      </c>
      <c r="R48" s="186" t="str">
        <f t="shared" si="1"/>
        <v/>
      </c>
      <c r="S48" s="187" t="str">
        <f>IFERROR(INDEX('G-1 All Habitats'!$B$3:$B$134,MATCH(R48,'G-1 All Habitats'!$A$3:$A$134,0)),"")</f>
        <v/>
      </c>
      <c r="T48" s="370" t="str">
        <f t="shared" si="3"/>
        <v/>
      </c>
      <c r="U48" s="386" t="str">
        <f t="shared" si="4"/>
        <v/>
      </c>
      <c r="V48" s="385" t="str">
        <f t="shared" si="5"/>
        <v/>
      </c>
      <c r="W48" s="382" t="str">
        <f>IF(S48="","",VLOOKUP(S48,'G-1 All Habitats'!$B$2:$M$134,10,FALSE))</f>
        <v/>
      </c>
      <c r="X48" s="382" t="str">
        <f>IFERROR(VLOOKUP(W48,'G-1 All Habitats'!$V$3:$W$7,2,FALSE),"")</f>
        <v/>
      </c>
      <c r="Y48" s="165"/>
      <c r="Z48" s="386" t="str">
        <f>IFERROR(INDEX('G-8 Condition Look up'!$A$3:$H$135,MATCH(S48,'G-8 Condition Look up'!$A$3:$A$135,0),MATCH(Y48,'G-8 Condition Look up'!$A$3:$H$3,0)),"")</f>
        <v/>
      </c>
      <c r="AA48" s="114"/>
      <c r="AB48" s="401" t="str">
        <f>IF(AA48="","",IF(VLOOKUP(AA48,'G-3 Multipliers'!$L$3:$N$6,2,FALSE)=0,"Spatial Data Missing ⚠",VLOOKUP(AA48,'G-3 Multipliers'!$L$3:$N$6,2,FALSE)))</f>
        <v/>
      </c>
      <c r="AC48" s="386" t="str">
        <f>IF(AA48="","",IF(VLOOKUP(AA48,'G-3 Multipliers'!$L$3:$N$6,3,FALSE)=0,"Spatial Data Missing ⚠",VLOOKUP(AA48,'G-3 Multipliers'!$L$3:$N$6,3,FALSE)))</f>
        <v/>
      </c>
      <c r="AD48" s="398" t="str">
        <f t="shared" si="2"/>
        <v/>
      </c>
      <c r="AE48" s="165"/>
      <c r="AF48" s="165"/>
      <c r="AG48" s="382" t="str">
        <f t="shared" si="6"/>
        <v/>
      </c>
      <c r="AH48" s="404" t="str">
        <f t="shared" si="7"/>
        <v/>
      </c>
      <c r="AI48" s="387" t="str">
        <f>IF(AH48="Check Data ⚠","Check Data ⚠",IFERROR(VLOOKUP(AH48,'G-4 Temporal multipliers'!$A$4:$C$36,3,FALSE),""))</f>
        <v/>
      </c>
      <c r="AJ48" s="398" t="str">
        <f>IF(S48="","",VLOOKUP(S48,'G-3 Multipliers'!$A$2:$E$134,4,FALSE))</f>
        <v/>
      </c>
      <c r="AK48" s="382" t="str">
        <f t="shared" si="8"/>
        <v/>
      </c>
      <c r="AL48" s="382" t="str">
        <f t="shared" si="9"/>
        <v/>
      </c>
      <c r="AM48" s="386" t="str">
        <f>IFERROR(IF(F48="","",IF(AH48="Check Data ⚠","Check Data ⚠",VLOOKUP(AL48, 'G-3 Multipliers'!$P$2:$Q$6,2,FALSE))),"")</f>
        <v/>
      </c>
      <c r="AN48" s="516"/>
      <c r="AO48" s="417" t="str">
        <f>IF(AN48="","",IF(VLOOKUP(AN48,'G-3 Multipliers'!$S$3:$T$10,2,FALSE)=0,"Spatial Data Missing ⚠",VLOOKUP(AN48,'G-3 Multipliers'!$S$3:$T$10,2,FALSE)))</f>
        <v/>
      </c>
      <c r="AP48" s="376" t="str">
        <f t="shared" si="10"/>
        <v/>
      </c>
      <c r="AQ48" s="376" t="str">
        <f t="shared" si="11"/>
        <v/>
      </c>
      <c r="AR48" s="119"/>
      <c r="AS48" s="528"/>
      <c r="AT48" s="120"/>
      <c r="AU48" s="120"/>
    </row>
    <row r="49" spans="1:47">
      <c r="A49" s="30" t="str">
        <f>IF(E49="","",IF(ISNA(VLOOKUP($E49,'D-1 Off-Site Habitat Baseline'!$D$1:$O$258,2,FALSE)),"",(VLOOKUP($E49,'D-1 Off-Site Habitat Baseline'!$D$1:$O$258,2,FALSE))))</f>
        <v/>
      </c>
      <c r="B49" s="30" t="str">
        <f>IF(E49="","",IF(ISNA(VLOOKUP($E49,'D-1 Off-Site Habitat Baseline'!$D$1:$O$258,3,FALSE)),"",(VLOOKUP($E49,'D-1 Off-Site Habitat Baseline'!$D$1:$O$258,3,FALSE))))</f>
        <v/>
      </c>
      <c r="C49" s="30" t="str">
        <f>IFERROR(INDEX('G-8 Condition Look up'!$I$4:$I$135,MATCH(S49,'G-8 Condition Look up'!$A$4:$A$135,0)),"")</f>
        <v/>
      </c>
      <c r="E49" s="407" t="str">
        <f>'D-1 Off-Site Habitat Baseline'!AP48</f>
        <v/>
      </c>
      <c r="F49" s="382" t="str">
        <f>IF(E49="","",IF(ISNA(VLOOKUP($E49,'D-1 Off-Site Habitat Baseline'!$D$1:$O$258,4,FALSE)),"",(VLOOKUP($E49,'D-1 Off-Site Habitat Baseline'!$D$1:$O$258,4,FALSE))))</f>
        <v/>
      </c>
      <c r="G49" s="382" t="str">
        <f>IF(E49="","",IF(ISNA(VLOOKUP($E49,'D-1 Off-Site Habitat Baseline'!$D$1:$O$258,5,FALSE)),"",(VLOOKUP($E49,'D-1 Off-Site Habitat Baseline'!$D$1:$O$258,5,FALSE))))</f>
        <v/>
      </c>
      <c r="H49" s="382" t="str">
        <f>IF(E49="","",IF(ISNA(VLOOKUP($E49,'D-1 Off-Site Habitat Baseline'!$D$1:$O$258,6,FALSE)),"",(VLOOKUP($E49,'D-1 Off-Site Habitat Baseline'!$D$1:$O$258,6,FALSE))))</f>
        <v/>
      </c>
      <c r="I49" s="382" t="str">
        <f>IF(E49="","",IF(ISNA(VLOOKUP($E49,'D-1 Off-Site Habitat Baseline'!$D$1:$O$258,7,FALSE)),"",(VLOOKUP($E49,'D-1 Off-Site Habitat Baseline'!$D$1:$O$258,7,FALSE))))</f>
        <v/>
      </c>
      <c r="J49" s="382" t="str">
        <f>IF(E49="","",IF(ISNA(VLOOKUP($E49,'D-1 Off-Site Habitat Baseline'!$D$1:$O$258,8,FALSE)),"",(VLOOKUP($E49,'D-1 Off-Site Habitat Baseline'!$D$1:$O$258,8,FALSE))))</f>
        <v/>
      </c>
      <c r="K49" s="382" t="str">
        <f>IF(E49="","",IF(ISNA(VLOOKUP($E49,'D-1 Off-Site Habitat Baseline'!$D$1:$O$258,9,FALSE)),"",(VLOOKUP($E49,'D-1 Off-Site Habitat Baseline'!$D$1:$O$258,9,FALSE))))</f>
        <v/>
      </c>
      <c r="L49" s="382" t="str">
        <f>IF(E49="","",IF(ISNA(VLOOKUP($E49,'D-1 Off-Site Habitat Baseline'!$D$1:$O$258,11,FALSE)),"",(VLOOKUP($E49,'D-1 Off-Site Habitat Baseline'!$D$1:$O$258,11,FALSE))))</f>
        <v/>
      </c>
      <c r="M49" s="382" t="str">
        <f>IF(E49="","",IF(ISNA(VLOOKUP($E49,'D-1 Off-Site Habitat Baseline'!$D$1:$O$258,12,FALSE)),"",(VLOOKUP($E49,'D-1 Off-Site Habitat Baseline'!$D$1:$O$258,12,FALSE))))</f>
        <v/>
      </c>
      <c r="N49" s="382" t="str">
        <f>IF(E49="","",IF(ISNA(VLOOKUP($E49,'D-1 Off-Site Habitat Baseline'!$D$1:$AA$258,14,FALSE)),"",(VLOOKUP($E49,'D-1 Off-Site Habitat Baseline'!$D$1:$AA$258,14,FALSE))))</f>
        <v/>
      </c>
      <c r="O49" s="386" t="str">
        <f>IF(E49="","",IF(ISNA(VLOOKUP($E49,'D-1 Off-Site Habitat Baseline'!$D$1:$AA$258,13,FALSE)),"",(VLOOKUP($E49,'D-1 Off-Site Habitat Baseline'!$D$1:$AA$258,13,FALSE))))</f>
        <v/>
      </c>
      <c r="P49" s="184" t="str">
        <f>IFERROR(INDEX('G-1 All Habitats'!$AG$3:$AG$17,MATCH(Q49,'G-1 All Habitats'!$AF$3:$AF$17,0)),"")</f>
        <v/>
      </c>
      <c r="Q49" s="185" t="str">
        <f t="shared" si="0"/>
        <v/>
      </c>
      <c r="R49" s="186" t="str">
        <f t="shared" si="1"/>
        <v/>
      </c>
      <c r="S49" s="187" t="str">
        <f>IFERROR(INDEX('G-1 All Habitats'!$B$3:$B$134,MATCH(R49,'G-1 All Habitats'!$A$3:$A$134,0)),"")</f>
        <v/>
      </c>
      <c r="T49" s="370" t="str">
        <f t="shared" si="3"/>
        <v/>
      </c>
      <c r="U49" s="386" t="str">
        <f t="shared" si="4"/>
        <v/>
      </c>
      <c r="V49" s="385" t="str">
        <f t="shared" si="5"/>
        <v/>
      </c>
      <c r="W49" s="382" t="str">
        <f>IF(S49="","",VLOOKUP(S49,'G-1 All Habitats'!$B$2:$M$134,10,FALSE))</f>
        <v/>
      </c>
      <c r="X49" s="382" t="str">
        <f>IFERROR(VLOOKUP(W49,'G-1 All Habitats'!$V$3:$W$7,2,FALSE),"")</f>
        <v/>
      </c>
      <c r="Y49" s="165"/>
      <c r="Z49" s="386" t="str">
        <f>IFERROR(INDEX('G-8 Condition Look up'!$A$3:$H$135,MATCH(S49,'G-8 Condition Look up'!$A$3:$A$135,0),MATCH(Y49,'G-8 Condition Look up'!$A$3:$H$3,0)),"")</f>
        <v/>
      </c>
      <c r="AA49" s="114"/>
      <c r="AB49" s="401" t="str">
        <f>IF(AA49="","",IF(VLOOKUP(AA49,'G-3 Multipliers'!$L$3:$N$6,2,FALSE)=0,"Spatial Data Missing ⚠",VLOOKUP(AA49,'G-3 Multipliers'!$L$3:$N$6,2,FALSE)))</f>
        <v/>
      </c>
      <c r="AC49" s="386" t="str">
        <f>IF(AA49="","",IF(VLOOKUP(AA49,'G-3 Multipliers'!$L$3:$N$6,3,FALSE)=0,"Spatial Data Missing ⚠",VLOOKUP(AA49,'G-3 Multipliers'!$L$3:$N$6,3,FALSE)))</f>
        <v/>
      </c>
      <c r="AD49" s="398" t="str">
        <f t="shared" si="2"/>
        <v/>
      </c>
      <c r="AE49" s="165"/>
      <c r="AF49" s="165"/>
      <c r="AG49" s="382" t="str">
        <f t="shared" si="6"/>
        <v/>
      </c>
      <c r="AH49" s="404" t="str">
        <f t="shared" si="7"/>
        <v/>
      </c>
      <c r="AI49" s="387" t="str">
        <f>IF(AH49="Check Data ⚠","Check Data ⚠",IFERROR(VLOOKUP(AH49,'G-4 Temporal multipliers'!$A$4:$C$36,3,FALSE),""))</f>
        <v/>
      </c>
      <c r="AJ49" s="398" t="str">
        <f>IF(S49="","",VLOOKUP(S49,'G-3 Multipliers'!$A$2:$E$134,4,FALSE))</f>
        <v/>
      </c>
      <c r="AK49" s="382" t="str">
        <f t="shared" si="8"/>
        <v/>
      </c>
      <c r="AL49" s="382" t="str">
        <f t="shared" si="9"/>
        <v/>
      </c>
      <c r="AM49" s="386" t="str">
        <f>IFERROR(IF(F49="","",IF(AH49="Check Data ⚠","Check Data ⚠",VLOOKUP(AL49, 'G-3 Multipliers'!$P$2:$Q$6,2,FALSE))),"")</f>
        <v/>
      </c>
      <c r="AN49" s="516"/>
      <c r="AO49" s="417" t="str">
        <f>IF(AN49="","",IF(VLOOKUP(AN49,'G-3 Multipliers'!$S$3:$T$10,2,FALSE)=0,"Spatial Data Missing ⚠",VLOOKUP(AN49,'G-3 Multipliers'!$S$3:$T$10,2,FALSE)))</f>
        <v/>
      </c>
      <c r="AP49" s="376" t="str">
        <f t="shared" si="10"/>
        <v/>
      </c>
      <c r="AQ49" s="376" t="str">
        <f t="shared" si="11"/>
        <v/>
      </c>
      <c r="AR49" s="119"/>
      <c r="AS49" s="528"/>
      <c r="AT49" s="120"/>
      <c r="AU49" s="120"/>
    </row>
    <row r="50" spans="1:47">
      <c r="A50" s="30" t="str">
        <f>IF(E50="","",IF(ISNA(VLOOKUP($E50,'D-1 Off-Site Habitat Baseline'!$D$1:$O$258,2,FALSE)),"",(VLOOKUP($E50,'D-1 Off-Site Habitat Baseline'!$D$1:$O$258,2,FALSE))))</f>
        <v/>
      </c>
      <c r="B50" s="30" t="str">
        <f>IF(E50="","",IF(ISNA(VLOOKUP($E50,'D-1 Off-Site Habitat Baseline'!$D$1:$O$258,3,FALSE)),"",(VLOOKUP($E50,'D-1 Off-Site Habitat Baseline'!$D$1:$O$258,3,FALSE))))</f>
        <v/>
      </c>
      <c r="C50" s="30" t="str">
        <f>IFERROR(INDEX('G-8 Condition Look up'!$I$4:$I$135,MATCH(S50,'G-8 Condition Look up'!$A$4:$A$135,0)),"")</f>
        <v/>
      </c>
      <c r="E50" s="407" t="str">
        <f>'D-1 Off-Site Habitat Baseline'!AP49</f>
        <v/>
      </c>
      <c r="F50" s="382" t="str">
        <f>IF(E50="","",IF(ISNA(VLOOKUP($E50,'D-1 Off-Site Habitat Baseline'!$D$1:$O$258,4,FALSE)),"",(VLOOKUP($E50,'D-1 Off-Site Habitat Baseline'!$D$1:$O$258,4,FALSE))))</f>
        <v/>
      </c>
      <c r="G50" s="382" t="str">
        <f>IF(E50="","",IF(ISNA(VLOOKUP($E50,'D-1 Off-Site Habitat Baseline'!$D$1:$O$258,5,FALSE)),"",(VLOOKUP($E50,'D-1 Off-Site Habitat Baseline'!$D$1:$O$258,5,FALSE))))</f>
        <v/>
      </c>
      <c r="H50" s="382" t="str">
        <f>IF(E50="","",IF(ISNA(VLOOKUP($E50,'D-1 Off-Site Habitat Baseline'!$D$1:$O$258,6,FALSE)),"",(VLOOKUP($E50,'D-1 Off-Site Habitat Baseline'!$D$1:$O$258,6,FALSE))))</f>
        <v/>
      </c>
      <c r="I50" s="382" t="str">
        <f>IF(E50="","",IF(ISNA(VLOOKUP($E50,'D-1 Off-Site Habitat Baseline'!$D$1:$O$258,7,FALSE)),"",(VLOOKUP($E50,'D-1 Off-Site Habitat Baseline'!$D$1:$O$258,7,FALSE))))</f>
        <v/>
      </c>
      <c r="J50" s="382" t="str">
        <f>IF(E50="","",IF(ISNA(VLOOKUP($E50,'D-1 Off-Site Habitat Baseline'!$D$1:$O$258,8,FALSE)),"",(VLOOKUP($E50,'D-1 Off-Site Habitat Baseline'!$D$1:$O$258,8,FALSE))))</f>
        <v/>
      </c>
      <c r="K50" s="382" t="str">
        <f>IF(E50="","",IF(ISNA(VLOOKUP($E50,'D-1 Off-Site Habitat Baseline'!$D$1:$O$258,9,FALSE)),"",(VLOOKUP($E50,'D-1 Off-Site Habitat Baseline'!$D$1:$O$258,9,FALSE))))</f>
        <v/>
      </c>
      <c r="L50" s="382" t="str">
        <f>IF(E50="","",IF(ISNA(VLOOKUP($E50,'D-1 Off-Site Habitat Baseline'!$D$1:$O$258,11,FALSE)),"",(VLOOKUP($E50,'D-1 Off-Site Habitat Baseline'!$D$1:$O$258,11,FALSE))))</f>
        <v/>
      </c>
      <c r="M50" s="382" t="str">
        <f>IF(E50="","",IF(ISNA(VLOOKUP($E50,'D-1 Off-Site Habitat Baseline'!$D$1:$O$258,12,FALSE)),"",(VLOOKUP($E50,'D-1 Off-Site Habitat Baseline'!$D$1:$O$258,12,FALSE))))</f>
        <v/>
      </c>
      <c r="N50" s="382" t="str">
        <f>IF(E50="","",IF(ISNA(VLOOKUP($E50,'D-1 Off-Site Habitat Baseline'!$D$1:$AA$258,14,FALSE)),"",(VLOOKUP($E50,'D-1 Off-Site Habitat Baseline'!$D$1:$AA$258,14,FALSE))))</f>
        <v/>
      </c>
      <c r="O50" s="386" t="str">
        <f>IF(E50="","",IF(ISNA(VLOOKUP($E50,'D-1 Off-Site Habitat Baseline'!$D$1:$AA$258,13,FALSE)),"",(VLOOKUP($E50,'D-1 Off-Site Habitat Baseline'!$D$1:$AA$258,13,FALSE))))</f>
        <v/>
      </c>
      <c r="P50" s="184" t="str">
        <f>IFERROR(INDEX('G-1 All Habitats'!$AG$3:$AG$17,MATCH(Q50,'G-1 All Habitats'!$AF$3:$AF$17,0)),"")</f>
        <v/>
      </c>
      <c r="Q50" s="185" t="str">
        <f t="shared" si="0"/>
        <v/>
      </c>
      <c r="R50" s="186" t="str">
        <f t="shared" si="1"/>
        <v/>
      </c>
      <c r="S50" s="187" t="str">
        <f>IFERROR(INDEX('G-1 All Habitats'!$B$3:$B$134,MATCH(R50,'G-1 All Habitats'!$A$3:$A$134,0)),"")</f>
        <v/>
      </c>
      <c r="T50" s="370" t="str">
        <f t="shared" si="3"/>
        <v/>
      </c>
      <c r="U50" s="386" t="str">
        <f t="shared" si="4"/>
        <v/>
      </c>
      <c r="V50" s="385" t="str">
        <f t="shared" si="5"/>
        <v/>
      </c>
      <c r="W50" s="382" t="str">
        <f>IF(S50="","",VLOOKUP(S50,'G-1 All Habitats'!$B$2:$M$134,10,FALSE))</f>
        <v/>
      </c>
      <c r="X50" s="382" t="str">
        <f>IFERROR(VLOOKUP(W50,'G-1 All Habitats'!$V$3:$W$7,2,FALSE),"")</f>
        <v/>
      </c>
      <c r="Y50" s="165"/>
      <c r="Z50" s="386" t="str">
        <f>IFERROR(INDEX('G-8 Condition Look up'!$A$3:$H$135,MATCH(S50,'G-8 Condition Look up'!$A$3:$A$135,0),MATCH(Y50,'G-8 Condition Look up'!$A$3:$H$3,0)),"")</f>
        <v/>
      </c>
      <c r="AA50" s="114"/>
      <c r="AB50" s="401" t="str">
        <f>IF(AA50="","",IF(VLOOKUP(AA50,'G-3 Multipliers'!$L$3:$N$6,2,FALSE)=0,"Spatial Data Missing ⚠",VLOOKUP(AA50,'G-3 Multipliers'!$L$3:$N$6,2,FALSE)))</f>
        <v/>
      </c>
      <c r="AC50" s="386" t="str">
        <f>IF(AA50="","",IF(VLOOKUP(AA50,'G-3 Multipliers'!$L$3:$N$6,3,FALSE)=0,"Spatial Data Missing ⚠",VLOOKUP(AA50,'G-3 Multipliers'!$L$3:$N$6,3,FALSE)))</f>
        <v/>
      </c>
      <c r="AD50" s="398" t="str">
        <f t="shared" si="2"/>
        <v/>
      </c>
      <c r="AE50" s="165"/>
      <c r="AF50" s="165"/>
      <c r="AG50" s="382" t="str">
        <f t="shared" si="6"/>
        <v/>
      </c>
      <c r="AH50" s="404" t="str">
        <f t="shared" si="7"/>
        <v/>
      </c>
      <c r="AI50" s="387" t="str">
        <f>IF(AH50="Check Data ⚠","Check Data ⚠",IFERROR(VLOOKUP(AH50,'G-4 Temporal multipliers'!$A$4:$C$36,3,FALSE),""))</f>
        <v/>
      </c>
      <c r="AJ50" s="398" t="str">
        <f>IF(S50="","",VLOOKUP(S50,'G-3 Multipliers'!$A$2:$E$134,4,FALSE))</f>
        <v/>
      </c>
      <c r="AK50" s="382" t="str">
        <f t="shared" si="8"/>
        <v/>
      </c>
      <c r="AL50" s="382" t="str">
        <f t="shared" si="9"/>
        <v/>
      </c>
      <c r="AM50" s="386" t="str">
        <f>IFERROR(IF(F50="","",IF(AH50="Check Data ⚠","Check Data ⚠",VLOOKUP(AL50, 'G-3 Multipliers'!$P$2:$Q$6,2,FALSE))),"")</f>
        <v/>
      </c>
      <c r="AN50" s="516"/>
      <c r="AO50" s="417" t="str">
        <f>IF(AN50="","",IF(VLOOKUP(AN50,'G-3 Multipliers'!$S$3:$T$10,2,FALSE)=0,"Spatial Data Missing ⚠",VLOOKUP(AN50,'G-3 Multipliers'!$S$3:$T$10,2,FALSE)))</f>
        <v/>
      </c>
      <c r="AP50" s="376" t="str">
        <f t="shared" si="10"/>
        <v/>
      </c>
      <c r="AQ50" s="376" t="str">
        <f t="shared" si="11"/>
        <v/>
      </c>
      <c r="AR50" s="119"/>
      <c r="AS50" s="528"/>
      <c r="AT50" s="120"/>
      <c r="AU50" s="120"/>
    </row>
    <row r="51" spans="1:47">
      <c r="A51" s="30" t="str">
        <f>IF(E51="","",IF(ISNA(VLOOKUP($E51,'D-1 Off-Site Habitat Baseline'!$D$1:$O$258,2,FALSE)),"",(VLOOKUP($E51,'D-1 Off-Site Habitat Baseline'!$D$1:$O$258,2,FALSE))))</f>
        <v/>
      </c>
      <c r="B51" s="30" t="str">
        <f>IF(E51="","",IF(ISNA(VLOOKUP($E51,'D-1 Off-Site Habitat Baseline'!$D$1:$O$258,3,FALSE)),"",(VLOOKUP($E51,'D-1 Off-Site Habitat Baseline'!$D$1:$O$258,3,FALSE))))</f>
        <v/>
      </c>
      <c r="C51" s="30" t="str">
        <f>IFERROR(INDEX('G-8 Condition Look up'!$I$4:$I$135,MATCH(S51,'G-8 Condition Look up'!$A$4:$A$135,0)),"")</f>
        <v/>
      </c>
      <c r="E51" s="407" t="str">
        <f>'D-1 Off-Site Habitat Baseline'!AP50</f>
        <v/>
      </c>
      <c r="F51" s="382" t="str">
        <f>IF(E51="","",IF(ISNA(VLOOKUP($E51,'D-1 Off-Site Habitat Baseline'!$D$1:$O$258,4,FALSE)),"",(VLOOKUP($E51,'D-1 Off-Site Habitat Baseline'!$D$1:$O$258,4,FALSE))))</f>
        <v/>
      </c>
      <c r="G51" s="382" t="str">
        <f>IF(E51="","",IF(ISNA(VLOOKUP($E51,'D-1 Off-Site Habitat Baseline'!$D$1:$O$258,5,FALSE)),"",(VLOOKUP($E51,'D-1 Off-Site Habitat Baseline'!$D$1:$O$258,5,FALSE))))</f>
        <v/>
      </c>
      <c r="H51" s="382" t="str">
        <f>IF(E51="","",IF(ISNA(VLOOKUP($E51,'D-1 Off-Site Habitat Baseline'!$D$1:$O$258,6,FALSE)),"",(VLOOKUP($E51,'D-1 Off-Site Habitat Baseline'!$D$1:$O$258,6,FALSE))))</f>
        <v/>
      </c>
      <c r="I51" s="382" t="str">
        <f>IF(E51="","",IF(ISNA(VLOOKUP($E51,'D-1 Off-Site Habitat Baseline'!$D$1:$O$258,7,FALSE)),"",(VLOOKUP($E51,'D-1 Off-Site Habitat Baseline'!$D$1:$O$258,7,FALSE))))</f>
        <v/>
      </c>
      <c r="J51" s="382" t="str">
        <f>IF(E51="","",IF(ISNA(VLOOKUP($E51,'D-1 Off-Site Habitat Baseline'!$D$1:$O$258,8,FALSE)),"",(VLOOKUP($E51,'D-1 Off-Site Habitat Baseline'!$D$1:$O$258,8,FALSE))))</f>
        <v/>
      </c>
      <c r="K51" s="382" t="str">
        <f>IF(E51="","",IF(ISNA(VLOOKUP($E51,'D-1 Off-Site Habitat Baseline'!$D$1:$O$258,9,FALSE)),"",(VLOOKUP($E51,'D-1 Off-Site Habitat Baseline'!$D$1:$O$258,9,FALSE))))</f>
        <v/>
      </c>
      <c r="L51" s="382" t="str">
        <f>IF(E51="","",IF(ISNA(VLOOKUP($E51,'D-1 Off-Site Habitat Baseline'!$D$1:$O$258,11,FALSE)),"",(VLOOKUP($E51,'D-1 Off-Site Habitat Baseline'!$D$1:$O$258,11,FALSE))))</f>
        <v/>
      </c>
      <c r="M51" s="382" t="str">
        <f>IF(E51="","",IF(ISNA(VLOOKUP($E51,'D-1 Off-Site Habitat Baseline'!$D$1:$O$258,12,FALSE)),"",(VLOOKUP($E51,'D-1 Off-Site Habitat Baseline'!$D$1:$O$258,12,FALSE))))</f>
        <v/>
      </c>
      <c r="N51" s="382" t="str">
        <f>IF(E51="","",IF(ISNA(VLOOKUP($E51,'D-1 Off-Site Habitat Baseline'!$D$1:$AA$258,14,FALSE)),"",(VLOOKUP($E51,'D-1 Off-Site Habitat Baseline'!$D$1:$AA$258,14,FALSE))))</f>
        <v/>
      </c>
      <c r="O51" s="386" t="str">
        <f>IF(E51="","",IF(ISNA(VLOOKUP($E51,'D-1 Off-Site Habitat Baseline'!$D$1:$AA$258,13,FALSE)),"",(VLOOKUP($E51,'D-1 Off-Site Habitat Baseline'!$D$1:$AA$258,13,FALSE))))</f>
        <v/>
      </c>
      <c r="P51" s="184" t="str">
        <f>IFERROR(INDEX('G-1 All Habitats'!$AG$3:$AG$17,MATCH(Q51,'G-1 All Habitats'!$AF$3:$AF$17,0)),"")</f>
        <v/>
      </c>
      <c r="Q51" s="185" t="str">
        <f t="shared" si="0"/>
        <v/>
      </c>
      <c r="R51" s="186" t="str">
        <f t="shared" si="1"/>
        <v/>
      </c>
      <c r="S51" s="187" t="str">
        <f>IFERROR(INDEX('G-1 All Habitats'!$B$3:$B$134,MATCH(R51,'G-1 All Habitats'!$A$3:$A$134,0)),"")</f>
        <v/>
      </c>
      <c r="T51" s="370" t="str">
        <f t="shared" si="3"/>
        <v/>
      </c>
      <c r="U51" s="386" t="str">
        <f t="shared" si="4"/>
        <v/>
      </c>
      <c r="V51" s="385" t="str">
        <f t="shared" si="5"/>
        <v/>
      </c>
      <c r="W51" s="382" t="str">
        <f>IF(S51="","",VLOOKUP(S51,'G-1 All Habitats'!$B$2:$M$134,10,FALSE))</f>
        <v/>
      </c>
      <c r="X51" s="382" t="str">
        <f>IFERROR(VLOOKUP(W51,'G-1 All Habitats'!$V$3:$W$7,2,FALSE),"")</f>
        <v/>
      </c>
      <c r="Y51" s="165"/>
      <c r="Z51" s="386" t="str">
        <f>IFERROR(INDEX('G-8 Condition Look up'!$A$3:$H$135,MATCH(S51,'G-8 Condition Look up'!$A$3:$A$135,0),MATCH(Y51,'G-8 Condition Look up'!$A$3:$H$3,0)),"")</f>
        <v/>
      </c>
      <c r="AA51" s="114"/>
      <c r="AB51" s="401" t="str">
        <f>IF(AA51="","",IF(VLOOKUP(AA51,'G-3 Multipliers'!$L$3:$N$6,2,FALSE)=0,"Spatial Data Missing ⚠",VLOOKUP(AA51,'G-3 Multipliers'!$L$3:$N$6,2,FALSE)))</f>
        <v/>
      </c>
      <c r="AC51" s="386" t="str">
        <f>IF(AA51="","",IF(VLOOKUP(AA51,'G-3 Multipliers'!$L$3:$N$6,3,FALSE)=0,"Spatial Data Missing ⚠",VLOOKUP(AA51,'G-3 Multipliers'!$L$3:$N$6,3,FALSE)))</f>
        <v/>
      </c>
      <c r="AD51" s="398" t="str">
        <f t="shared" si="2"/>
        <v/>
      </c>
      <c r="AE51" s="165"/>
      <c r="AF51" s="165"/>
      <c r="AG51" s="382" t="str">
        <f t="shared" si="6"/>
        <v/>
      </c>
      <c r="AH51" s="404" t="str">
        <f t="shared" si="7"/>
        <v/>
      </c>
      <c r="AI51" s="387" t="str">
        <f>IF(AH51="Check Data ⚠","Check Data ⚠",IFERROR(VLOOKUP(AH51,'G-4 Temporal multipliers'!$A$4:$C$36,3,FALSE),""))</f>
        <v/>
      </c>
      <c r="AJ51" s="398" t="str">
        <f>IF(S51="","",VLOOKUP(S51,'G-3 Multipliers'!$A$2:$E$134,4,FALSE))</f>
        <v/>
      </c>
      <c r="AK51" s="382" t="str">
        <f t="shared" si="8"/>
        <v/>
      </c>
      <c r="AL51" s="382" t="str">
        <f t="shared" si="9"/>
        <v/>
      </c>
      <c r="AM51" s="386" t="str">
        <f>IFERROR(IF(F51="","",IF(AH51="Check Data ⚠","Check Data ⚠",VLOOKUP(AL51, 'G-3 Multipliers'!$P$2:$Q$6,2,FALSE))),"")</f>
        <v/>
      </c>
      <c r="AN51" s="516"/>
      <c r="AO51" s="417" t="str">
        <f>IF(AN51="","",IF(VLOOKUP(AN51,'G-3 Multipliers'!$S$3:$T$10,2,FALSE)=0,"Spatial Data Missing ⚠",VLOOKUP(AN51,'G-3 Multipliers'!$S$3:$T$10,2,FALSE)))</f>
        <v/>
      </c>
      <c r="AP51" s="376" t="str">
        <f t="shared" si="10"/>
        <v/>
      </c>
      <c r="AQ51" s="376" t="str">
        <f t="shared" si="11"/>
        <v/>
      </c>
      <c r="AR51" s="119"/>
      <c r="AS51" s="528"/>
      <c r="AT51" s="120"/>
      <c r="AU51" s="120"/>
    </row>
    <row r="52" spans="1:47">
      <c r="A52" s="30" t="str">
        <f>IF(E52="","",IF(ISNA(VLOOKUP($E52,'D-1 Off-Site Habitat Baseline'!$D$1:$O$258,2,FALSE)),"",(VLOOKUP($E52,'D-1 Off-Site Habitat Baseline'!$D$1:$O$258,2,FALSE))))</f>
        <v/>
      </c>
      <c r="B52" s="30" t="str">
        <f>IF(E52="","",IF(ISNA(VLOOKUP($E52,'D-1 Off-Site Habitat Baseline'!$D$1:$O$258,3,FALSE)),"",(VLOOKUP($E52,'D-1 Off-Site Habitat Baseline'!$D$1:$O$258,3,FALSE))))</f>
        <v/>
      </c>
      <c r="C52" s="30" t="str">
        <f>IFERROR(INDEX('G-8 Condition Look up'!$I$4:$I$135,MATCH(S52,'G-8 Condition Look up'!$A$4:$A$135,0)),"")</f>
        <v/>
      </c>
      <c r="E52" s="407" t="str">
        <f>'D-1 Off-Site Habitat Baseline'!AP51</f>
        <v/>
      </c>
      <c r="F52" s="382" t="str">
        <f>IF(E52="","",IF(ISNA(VLOOKUP($E52,'D-1 Off-Site Habitat Baseline'!$D$1:$O$258,4,FALSE)),"",(VLOOKUP($E52,'D-1 Off-Site Habitat Baseline'!$D$1:$O$258,4,FALSE))))</f>
        <v/>
      </c>
      <c r="G52" s="382" t="str">
        <f>IF(E52="","",IF(ISNA(VLOOKUP($E52,'D-1 Off-Site Habitat Baseline'!$D$1:$O$258,5,FALSE)),"",(VLOOKUP($E52,'D-1 Off-Site Habitat Baseline'!$D$1:$O$258,5,FALSE))))</f>
        <v/>
      </c>
      <c r="H52" s="382" t="str">
        <f>IF(E52="","",IF(ISNA(VLOOKUP($E52,'D-1 Off-Site Habitat Baseline'!$D$1:$O$258,6,FALSE)),"",(VLOOKUP($E52,'D-1 Off-Site Habitat Baseline'!$D$1:$O$258,6,FALSE))))</f>
        <v/>
      </c>
      <c r="I52" s="382" t="str">
        <f>IF(E52="","",IF(ISNA(VLOOKUP($E52,'D-1 Off-Site Habitat Baseline'!$D$1:$O$258,7,FALSE)),"",(VLOOKUP($E52,'D-1 Off-Site Habitat Baseline'!$D$1:$O$258,7,FALSE))))</f>
        <v/>
      </c>
      <c r="J52" s="382" t="str">
        <f>IF(E52="","",IF(ISNA(VLOOKUP($E52,'D-1 Off-Site Habitat Baseline'!$D$1:$O$258,8,FALSE)),"",(VLOOKUP($E52,'D-1 Off-Site Habitat Baseline'!$D$1:$O$258,8,FALSE))))</f>
        <v/>
      </c>
      <c r="K52" s="382" t="str">
        <f>IF(E52="","",IF(ISNA(VLOOKUP($E52,'D-1 Off-Site Habitat Baseline'!$D$1:$O$258,9,FALSE)),"",(VLOOKUP($E52,'D-1 Off-Site Habitat Baseline'!$D$1:$O$258,9,FALSE))))</f>
        <v/>
      </c>
      <c r="L52" s="382" t="str">
        <f>IF(E52="","",IF(ISNA(VLOOKUP($E52,'D-1 Off-Site Habitat Baseline'!$D$1:$O$258,11,FALSE)),"",(VLOOKUP($E52,'D-1 Off-Site Habitat Baseline'!$D$1:$O$258,11,FALSE))))</f>
        <v/>
      </c>
      <c r="M52" s="382" t="str">
        <f>IF(E52="","",IF(ISNA(VLOOKUP($E52,'D-1 Off-Site Habitat Baseline'!$D$1:$O$258,12,FALSE)),"",(VLOOKUP($E52,'D-1 Off-Site Habitat Baseline'!$D$1:$O$258,12,FALSE))))</f>
        <v/>
      </c>
      <c r="N52" s="382" t="str">
        <f>IF(E52="","",IF(ISNA(VLOOKUP($E52,'D-1 Off-Site Habitat Baseline'!$D$1:$AA$258,14,FALSE)),"",(VLOOKUP($E52,'D-1 Off-Site Habitat Baseline'!$D$1:$AA$258,14,FALSE))))</f>
        <v/>
      </c>
      <c r="O52" s="386" t="str">
        <f>IF(E52="","",IF(ISNA(VLOOKUP($E52,'D-1 Off-Site Habitat Baseline'!$D$1:$AA$258,13,FALSE)),"",(VLOOKUP($E52,'D-1 Off-Site Habitat Baseline'!$D$1:$AA$258,13,FALSE))))</f>
        <v/>
      </c>
      <c r="P52" s="184" t="str">
        <f>IFERROR(INDEX('G-1 All Habitats'!$AG$3:$AG$17,MATCH(Q52,'G-1 All Habitats'!$AF$3:$AF$17,0)),"")</f>
        <v/>
      </c>
      <c r="Q52" s="185" t="str">
        <f t="shared" si="0"/>
        <v/>
      </c>
      <c r="R52" s="186" t="str">
        <f t="shared" si="1"/>
        <v/>
      </c>
      <c r="S52" s="187" t="str">
        <f>IFERROR(INDEX('G-1 All Habitats'!$B$3:$B$134,MATCH(R52,'G-1 All Habitats'!$A$3:$A$134,0)),"")</f>
        <v/>
      </c>
      <c r="T52" s="370" t="str">
        <f t="shared" si="3"/>
        <v/>
      </c>
      <c r="U52" s="386" t="str">
        <f t="shared" si="4"/>
        <v/>
      </c>
      <c r="V52" s="385" t="str">
        <f t="shared" si="5"/>
        <v/>
      </c>
      <c r="W52" s="382" t="str">
        <f>IF(S52="","",VLOOKUP(S52,'G-1 All Habitats'!$B$2:$M$134,10,FALSE))</f>
        <v/>
      </c>
      <c r="X52" s="382" t="str">
        <f>IFERROR(VLOOKUP(W52,'G-1 All Habitats'!$V$3:$W$7,2,FALSE),"")</f>
        <v/>
      </c>
      <c r="Y52" s="165"/>
      <c r="Z52" s="386" t="str">
        <f>IFERROR(INDEX('G-8 Condition Look up'!$A$3:$H$135,MATCH(S52,'G-8 Condition Look up'!$A$3:$A$135,0),MATCH(Y52,'G-8 Condition Look up'!$A$3:$H$3,0)),"")</f>
        <v/>
      </c>
      <c r="AA52" s="114"/>
      <c r="AB52" s="401" t="str">
        <f>IF(AA52="","",IF(VLOOKUP(AA52,'G-3 Multipliers'!$L$3:$N$6,2,FALSE)=0,"Spatial Data Missing ⚠",VLOOKUP(AA52,'G-3 Multipliers'!$L$3:$N$6,2,FALSE)))</f>
        <v/>
      </c>
      <c r="AC52" s="386" t="str">
        <f>IF(AA52="","",IF(VLOOKUP(AA52,'G-3 Multipliers'!$L$3:$N$6,3,FALSE)=0,"Spatial Data Missing ⚠",VLOOKUP(AA52,'G-3 Multipliers'!$L$3:$N$6,3,FALSE)))</f>
        <v/>
      </c>
      <c r="AD52" s="398" t="str">
        <f t="shared" si="2"/>
        <v/>
      </c>
      <c r="AE52" s="165"/>
      <c r="AF52" s="165"/>
      <c r="AG52" s="382" t="str">
        <f t="shared" si="6"/>
        <v/>
      </c>
      <c r="AH52" s="404" t="str">
        <f t="shared" si="7"/>
        <v/>
      </c>
      <c r="AI52" s="387" t="str">
        <f>IF(AH52="Check Data ⚠","Check Data ⚠",IFERROR(VLOOKUP(AH52,'G-4 Temporal multipliers'!$A$4:$C$36,3,FALSE),""))</f>
        <v/>
      </c>
      <c r="AJ52" s="398" t="str">
        <f>IF(S52="","",VLOOKUP(S52,'G-3 Multipliers'!$A$2:$E$134,4,FALSE))</f>
        <v/>
      </c>
      <c r="AK52" s="382" t="str">
        <f t="shared" si="8"/>
        <v/>
      </c>
      <c r="AL52" s="382" t="str">
        <f t="shared" si="9"/>
        <v/>
      </c>
      <c r="AM52" s="386" t="str">
        <f>IFERROR(IF(F52="","",IF(AH52="Check Data ⚠","Check Data ⚠",VLOOKUP(AL52, 'G-3 Multipliers'!$P$2:$Q$6,2,FALSE))),"")</f>
        <v/>
      </c>
      <c r="AN52" s="516"/>
      <c r="AO52" s="417" t="str">
        <f>IF(AN52="","",IF(VLOOKUP(AN52,'G-3 Multipliers'!$S$3:$T$10,2,FALSE)=0,"Spatial Data Missing ⚠",VLOOKUP(AN52,'G-3 Multipliers'!$S$3:$T$10,2,FALSE)))</f>
        <v/>
      </c>
      <c r="AP52" s="376" t="str">
        <f t="shared" si="10"/>
        <v/>
      </c>
      <c r="AQ52" s="376" t="str">
        <f t="shared" si="11"/>
        <v/>
      </c>
      <c r="AR52" s="119"/>
      <c r="AS52" s="528"/>
      <c r="AT52" s="120"/>
      <c r="AU52" s="120"/>
    </row>
    <row r="53" spans="1:47">
      <c r="A53" s="30" t="str">
        <f>IF(E53="","",IF(ISNA(VLOOKUP($E53,'D-1 Off-Site Habitat Baseline'!$D$1:$O$258,2,FALSE)),"",(VLOOKUP($E53,'D-1 Off-Site Habitat Baseline'!$D$1:$O$258,2,FALSE))))</f>
        <v/>
      </c>
      <c r="B53" s="30" t="str">
        <f>IF(E53="","",IF(ISNA(VLOOKUP($E53,'D-1 Off-Site Habitat Baseline'!$D$1:$O$258,3,FALSE)),"",(VLOOKUP($E53,'D-1 Off-Site Habitat Baseline'!$D$1:$O$258,3,FALSE))))</f>
        <v/>
      </c>
      <c r="C53" s="30" t="str">
        <f>IFERROR(INDEX('G-8 Condition Look up'!$I$4:$I$135,MATCH(S53,'G-8 Condition Look up'!$A$4:$A$135,0)),"")</f>
        <v/>
      </c>
      <c r="E53" s="407" t="str">
        <f>'D-1 Off-Site Habitat Baseline'!AP52</f>
        <v/>
      </c>
      <c r="F53" s="382" t="str">
        <f>IF(E53="","",IF(ISNA(VLOOKUP($E53,'D-1 Off-Site Habitat Baseline'!$D$1:$O$258,4,FALSE)),"",(VLOOKUP($E53,'D-1 Off-Site Habitat Baseline'!$D$1:$O$258,4,FALSE))))</f>
        <v/>
      </c>
      <c r="G53" s="382" t="str">
        <f>IF(E53="","",IF(ISNA(VLOOKUP($E53,'D-1 Off-Site Habitat Baseline'!$D$1:$O$258,5,FALSE)),"",(VLOOKUP($E53,'D-1 Off-Site Habitat Baseline'!$D$1:$O$258,5,FALSE))))</f>
        <v/>
      </c>
      <c r="H53" s="382" t="str">
        <f>IF(E53="","",IF(ISNA(VLOOKUP($E53,'D-1 Off-Site Habitat Baseline'!$D$1:$O$258,6,FALSE)),"",(VLOOKUP($E53,'D-1 Off-Site Habitat Baseline'!$D$1:$O$258,6,FALSE))))</f>
        <v/>
      </c>
      <c r="I53" s="382" t="str">
        <f>IF(E53="","",IF(ISNA(VLOOKUP($E53,'D-1 Off-Site Habitat Baseline'!$D$1:$O$258,7,FALSE)),"",(VLOOKUP($E53,'D-1 Off-Site Habitat Baseline'!$D$1:$O$258,7,FALSE))))</f>
        <v/>
      </c>
      <c r="J53" s="382" t="str">
        <f>IF(E53="","",IF(ISNA(VLOOKUP($E53,'D-1 Off-Site Habitat Baseline'!$D$1:$O$258,8,FALSE)),"",(VLOOKUP($E53,'D-1 Off-Site Habitat Baseline'!$D$1:$O$258,8,FALSE))))</f>
        <v/>
      </c>
      <c r="K53" s="382" t="str">
        <f>IF(E53="","",IF(ISNA(VLOOKUP($E53,'D-1 Off-Site Habitat Baseline'!$D$1:$O$258,9,FALSE)),"",(VLOOKUP($E53,'D-1 Off-Site Habitat Baseline'!$D$1:$O$258,9,FALSE))))</f>
        <v/>
      </c>
      <c r="L53" s="382" t="str">
        <f>IF(E53="","",IF(ISNA(VLOOKUP($E53,'D-1 Off-Site Habitat Baseline'!$D$1:$O$258,11,FALSE)),"",(VLOOKUP($E53,'D-1 Off-Site Habitat Baseline'!$D$1:$O$258,11,FALSE))))</f>
        <v/>
      </c>
      <c r="M53" s="382" t="str">
        <f>IF(E53="","",IF(ISNA(VLOOKUP($E53,'D-1 Off-Site Habitat Baseline'!$D$1:$O$258,12,FALSE)),"",(VLOOKUP($E53,'D-1 Off-Site Habitat Baseline'!$D$1:$O$258,12,FALSE))))</f>
        <v/>
      </c>
      <c r="N53" s="382" t="str">
        <f>IF(E53="","",IF(ISNA(VLOOKUP($E53,'D-1 Off-Site Habitat Baseline'!$D$1:$AA$258,14,FALSE)),"",(VLOOKUP($E53,'D-1 Off-Site Habitat Baseline'!$D$1:$AA$258,14,FALSE))))</f>
        <v/>
      </c>
      <c r="O53" s="386" t="str">
        <f>IF(E53="","",IF(ISNA(VLOOKUP($E53,'D-1 Off-Site Habitat Baseline'!$D$1:$AA$258,13,FALSE)),"",(VLOOKUP($E53,'D-1 Off-Site Habitat Baseline'!$D$1:$AA$258,13,FALSE))))</f>
        <v/>
      </c>
      <c r="P53" s="184" t="str">
        <f>IFERROR(INDEX('G-1 All Habitats'!$AG$3:$AG$17,MATCH(Q53,'G-1 All Habitats'!$AF$3:$AF$17,0)),"")</f>
        <v/>
      </c>
      <c r="Q53" s="185" t="str">
        <f t="shared" si="0"/>
        <v/>
      </c>
      <c r="R53" s="186" t="str">
        <f t="shared" si="1"/>
        <v/>
      </c>
      <c r="S53" s="187" t="str">
        <f>IFERROR(INDEX('G-1 All Habitats'!$B$3:$B$134,MATCH(R53,'G-1 All Habitats'!$A$3:$A$134,0)),"")</f>
        <v/>
      </c>
      <c r="T53" s="370" t="str">
        <f t="shared" si="3"/>
        <v/>
      </c>
      <c r="U53" s="386" t="str">
        <f t="shared" si="4"/>
        <v/>
      </c>
      <c r="V53" s="385" t="str">
        <f t="shared" si="5"/>
        <v/>
      </c>
      <c r="W53" s="382" t="str">
        <f>IF(S53="","",VLOOKUP(S53,'G-1 All Habitats'!$B$2:$M$134,10,FALSE))</f>
        <v/>
      </c>
      <c r="X53" s="382" t="str">
        <f>IFERROR(VLOOKUP(W53,'G-1 All Habitats'!$V$3:$W$7,2,FALSE),"")</f>
        <v/>
      </c>
      <c r="Y53" s="165"/>
      <c r="Z53" s="386" t="str">
        <f>IFERROR(INDEX('G-8 Condition Look up'!$A$3:$H$135,MATCH(S53,'G-8 Condition Look up'!$A$3:$A$135,0),MATCH(Y53,'G-8 Condition Look up'!$A$3:$H$3,0)),"")</f>
        <v/>
      </c>
      <c r="AA53" s="114"/>
      <c r="AB53" s="401" t="str">
        <f>IF(AA53="","",IF(VLOOKUP(AA53,'G-3 Multipliers'!$L$3:$N$6,2,FALSE)=0,"Spatial Data Missing ⚠",VLOOKUP(AA53,'G-3 Multipliers'!$L$3:$N$6,2,FALSE)))</f>
        <v/>
      </c>
      <c r="AC53" s="386" t="str">
        <f>IF(AA53="","",IF(VLOOKUP(AA53,'G-3 Multipliers'!$L$3:$N$6,3,FALSE)=0,"Spatial Data Missing ⚠",VLOOKUP(AA53,'G-3 Multipliers'!$L$3:$N$6,3,FALSE)))</f>
        <v/>
      </c>
      <c r="AD53" s="398" t="str">
        <f t="shared" si="2"/>
        <v/>
      </c>
      <c r="AE53" s="165"/>
      <c r="AF53" s="165"/>
      <c r="AG53" s="382" t="str">
        <f t="shared" si="6"/>
        <v/>
      </c>
      <c r="AH53" s="404" t="str">
        <f t="shared" si="7"/>
        <v/>
      </c>
      <c r="AI53" s="387" t="str">
        <f>IF(AH53="Check Data ⚠","Check Data ⚠",IFERROR(VLOOKUP(AH53,'G-4 Temporal multipliers'!$A$4:$C$36,3,FALSE),""))</f>
        <v/>
      </c>
      <c r="AJ53" s="398" t="str">
        <f>IF(S53="","",VLOOKUP(S53,'G-3 Multipliers'!$A$2:$E$134,4,FALSE))</f>
        <v/>
      </c>
      <c r="AK53" s="382" t="str">
        <f t="shared" si="8"/>
        <v/>
      </c>
      <c r="AL53" s="382" t="str">
        <f t="shared" si="9"/>
        <v/>
      </c>
      <c r="AM53" s="386" t="str">
        <f>IFERROR(IF(F53="","",IF(AH53="Check Data ⚠","Check Data ⚠",VLOOKUP(AL53, 'G-3 Multipliers'!$P$2:$Q$6,2,FALSE))),"")</f>
        <v/>
      </c>
      <c r="AN53" s="516"/>
      <c r="AO53" s="417" t="str">
        <f>IF(AN53="","",IF(VLOOKUP(AN53,'G-3 Multipliers'!$S$3:$T$10,2,FALSE)=0,"Spatial Data Missing ⚠",VLOOKUP(AN53,'G-3 Multipliers'!$S$3:$T$10,2,FALSE)))</f>
        <v/>
      </c>
      <c r="AP53" s="376" t="str">
        <f t="shared" si="10"/>
        <v/>
      </c>
      <c r="AQ53" s="376" t="str">
        <f t="shared" si="11"/>
        <v/>
      </c>
      <c r="AR53" s="119"/>
      <c r="AS53" s="528"/>
      <c r="AT53" s="120"/>
      <c r="AU53" s="120"/>
    </row>
    <row r="54" spans="1:47">
      <c r="A54" s="30" t="str">
        <f>IF(E54="","",IF(ISNA(VLOOKUP($E54,'D-1 Off-Site Habitat Baseline'!$D$1:$O$258,2,FALSE)),"",(VLOOKUP($E54,'D-1 Off-Site Habitat Baseline'!$D$1:$O$258,2,FALSE))))</f>
        <v/>
      </c>
      <c r="B54" s="30" t="str">
        <f>IF(E54="","",IF(ISNA(VLOOKUP($E54,'D-1 Off-Site Habitat Baseline'!$D$1:$O$258,3,FALSE)),"",(VLOOKUP($E54,'D-1 Off-Site Habitat Baseline'!$D$1:$O$258,3,FALSE))))</f>
        <v/>
      </c>
      <c r="C54" s="30" t="str">
        <f>IFERROR(INDEX('G-8 Condition Look up'!$I$4:$I$135,MATCH(S54,'G-8 Condition Look up'!$A$4:$A$135,0)),"")</f>
        <v/>
      </c>
      <c r="E54" s="407" t="str">
        <f>'D-1 Off-Site Habitat Baseline'!AP53</f>
        <v/>
      </c>
      <c r="F54" s="382" t="str">
        <f>IF(E54="","",IF(ISNA(VLOOKUP($E54,'D-1 Off-Site Habitat Baseline'!$D$1:$O$258,4,FALSE)),"",(VLOOKUP($E54,'D-1 Off-Site Habitat Baseline'!$D$1:$O$258,4,FALSE))))</f>
        <v/>
      </c>
      <c r="G54" s="382" t="str">
        <f>IF(E54="","",IF(ISNA(VLOOKUP($E54,'D-1 Off-Site Habitat Baseline'!$D$1:$O$258,5,FALSE)),"",(VLOOKUP($E54,'D-1 Off-Site Habitat Baseline'!$D$1:$O$258,5,FALSE))))</f>
        <v/>
      </c>
      <c r="H54" s="382" t="str">
        <f>IF(E54="","",IF(ISNA(VLOOKUP($E54,'D-1 Off-Site Habitat Baseline'!$D$1:$O$258,6,FALSE)),"",(VLOOKUP($E54,'D-1 Off-Site Habitat Baseline'!$D$1:$O$258,6,FALSE))))</f>
        <v/>
      </c>
      <c r="I54" s="382" t="str">
        <f>IF(E54="","",IF(ISNA(VLOOKUP($E54,'D-1 Off-Site Habitat Baseline'!$D$1:$O$258,7,FALSE)),"",(VLOOKUP($E54,'D-1 Off-Site Habitat Baseline'!$D$1:$O$258,7,FALSE))))</f>
        <v/>
      </c>
      <c r="J54" s="382" t="str">
        <f>IF(E54="","",IF(ISNA(VLOOKUP($E54,'D-1 Off-Site Habitat Baseline'!$D$1:$O$258,8,FALSE)),"",(VLOOKUP($E54,'D-1 Off-Site Habitat Baseline'!$D$1:$O$258,8,FALSE))))</f>
        <v/>
      </c>
      <c r="K54" s="382" t="str">
        <f>IF(E54="","",IF(ISNA(VLOOKUP($E54,'D-1 Off-Site Habitat Baseline'!$D$1:$O$258,9,FALSE)),"",(VLOOKUP($E54,'D-1 Off-Site Habitat Baseline'!$D$1:$O$258,9,FALSE))))</f>
        <v/>
      </c>
      <c r="L54" s="382" t="str">
        <f>IF(E54="","",IF(ISNA(VLOOKUP($E54,'D-1 Off-Site Habitat Baseline'!$D$1:$O$258,11,FALSE)),"",(VLOOKUP($E54,'D-1 Off-Site Habitat Baseline'!$D$1:$O$258,11,FALSE))))</f>
        <v/>
      </c>
      <c r="M54" s="382" t="str">
        <f>IF(E54="","",IF(ISNA(VLOOKUP($E54,'D-1 Off-Site Habitat Baseline'!$D$1:$O$258,12,FALSE)),"",(VLOOKUP($E54,'D-1 Off-Site Habitat Baseline'!$D$1:$O$258,12,FALSE))))</f>
        <v/>
      </c>
      <c r="N54" s="382" t="str">
        <f>IF(E54="","",IF(ISNA(VLOOKUP($E54,'D-1 Off-Site Habitat Baseline'!$D$1:$AA$258,14,FALSE)),"",(VLOOKUP($E54,'D-1 Off-Site Habitat Baseline'!$D$1:$AA$258,14,FALSE))))</f>
        <v/>
      </c>
      <c r="O54" s="386" t="str">
        <f>IF(E54="","",IF(ISNA(VLOOKUP($E54,'D-1 Off-Site Habitat Baseline'!$D$1:$AA$258,13,FALSE)),"",(VLOOKUP($E54,'D-1 Off-Site Habitat Baseline'!$D$1:$AA$258,13,FALSE))))</f>
        <v/>
      </c>
      <c r="P54" s="184" t="str">
        <f>IFERROR(INDEX('G-1 All Habitats'!$AG$3:$AG$17,MATCH(Q54,'G-1 All Habitats'!$AF$3:$AF$17,0)),"")</f>
        <v/>
      </c>
      <c r="Q54" s="185" t="str">
        <f t="shared" si="0"/>
        <v/>
      </c>
      <c r="R54" s="186" t="str">
        <f t="shared" si="1"/>
        <v/>
      </c>
      <c r="S54" s="187" t="str">
        <f>IFERROR(INDEX('G-1 All Habitats'!$B$3:$B$134,MATCH(R54,'G-1 All Habitats'!$A$3:$A$134,0)),"")</f>
        <v/>
      </c>
      <c r="T54" s="370" t="str">
        <f t="shared" si="3"/>
        <v/>
      </c>
      <c r="U54" s="386" t="str">
        <f t="shared" si="4"/>
        <v/>
      </c>
      <c r="V54" s="385" t="str">
        <f t="shared" si="5"/>
        <v/>
      </c>
      <c r="W54" s="382" t="str">
        <f>IF(S54="","",VLOOKUP(S54,'G-1 All Habitats'!$B$2:$M$134,10,FALSE))</f>
        <v/>
      </c>
      <c r="X54" s="382" t="str">
        <f>IFERROR(VLOOKUP(W54,'G-1 All Habitats'!$V$3:$W$7,2,FALSE),"")</f>
        <v/>
      </c>
      <c r="Y54" s="165"/>
      <c r="Z54" s="386" t="str">
        <f>IFERROR(INDEX('G-8 Condition Look up'!$A$3:$H$135,MATCH(S54,'G-8 Condition Look up'!$A$3:$A$135,0),MATCH(Y54,'G-8 Condition Look up'!$A$3:$H$3,0)),"")</f>
        <v/>
      </c>
      <c r="AA54" s="114"/>
      <c r="AB54" s="401" t="str">
        <f>IF(AA54="","",IF(VLOOKUP(AA54,'G-3 Multipliers'!$L$3:$N$6,2,FALSE)=0,"Spatial Data Missing ⚠",VLOOKUP(AA54,'G-3 Multipliers'!$L$3:$N$6,2,FALSE)))</f>
        <v/>
      </c>
      <c r="AC54" s="386" t="str">
        <f>IF(AA54="","",IF(VLOOKUP(AA54,'G-3 Multipliers'!$L$3:$N$6,3,FALSE)=0,"Spatial Data Missing ⚠",VLOOKUP(AA54,'G-3 Multipliers'!$L$3:$N$6,3,FALSE)))</f>
        <v/>
      </c>
      <c r="AD54" s="398" t="str">
        <f t="shared" si="2"/>
        <v/>
      </c>
      <c r="AE54" s="165"/>
      <c r="AF54" s="165"/>
      <c r="AG54" s="382" t="str">
        <f t="shared" si="6"/>
        <v/>
      </c>
      <c r="AH54" s="404" t="str">
        <f t="shared" si="7"/>
        <v/>
      </c>
      <c r="AI54" s="387" t="str">
        <f>IF(AH54="Check Data ⚠","Check Data ⚠",IFERROR(VLOOKUP(AH54,'G-4 Temporal multipliers'!$A$4:$C$36,3,FALSE),""))</f>
        <v/>
      </c>
      <c r="AJ54" s="398" t="str">
        <f>IF(S54="","",VLOOKUP(S54,'G-3 Multipliers'!$A$2:$E$134,4,FALSE))</f>
        <v/>
      </c>
      <c r="AK54" s="382" t="str">
        <f t="shared" si="8"/>
        <v/>
      </c>
      <c r="AL54" s="382" t="str">
        <f t="shared" si="9"/>
        <v/>
      </c>
      <c r="AM54" s="386" t="str">
        <f>IFERROR(IF(F54="","",IF(AH54="Check Data ⚠","Check Data ⚠",VLOOKUP(AL54, 'G-3 Multipliers'!$P$2:$Q$6,2,FALSE))),"")</f>
        <v/>
      </c>
      <c r="AN54" s="516"/>
      <c r="AO54" s="417" t="str">
        <f>IF(AN54="","",IF(VLOOKUP(AN54,'G-3 Multipliers'!$S$3:$T$10,2,FALSE)=0,"Spatial Data Missing ⚠",VLOOKUP(AN54,'G-3 Multipliers'!$S$3:$T$10,2,FALSE)))</f>
        <v/>
      </c>
      <c r="AP54" s="376" t="str">
        <f t="shared" si="10"/>
        <v/>
      </c>
      <c r="AQ54" s="376" t="str">
        <f t="shared" si="11"/>
        <v/>
      </c>
      <c r="AR54" s="119"/>
      <c r="AS54" s="528"/>
      <c r="AT54" s="120"/>
      <c r="AU54" s="120"/>
    </row>
    <row r="55" spans="1:47">
      <c r="A55" s="30" t="str">
        <f>IF(E55="","",IF(ISNA(VLOOKUP($E55,'D-1 Off-Site Habitat Baseline'!$D$1:$O$258,2,FALSE)),"",(VLOOKUP($E55,'D-1 Off-Site Habitat Baseline'!$D$1:$O$258,2,FALSE))))</f>
        <v/>
      </c>
      <c r="B55" s="30" t="str">
        <f>IF(E55="","",IF(ISNA(VLOOKUP($E55,'D-1 Off-Site Habitat Baseline'!$D$1:$O$258,3,FALSE)),"",(VLOOKUP($E55,'D-1 Off-Site Habitat Baseline'!$D$1:$O$258,3,FALSE))))</f>
        <v/>
      </c>
      <c r="C55" s="30" t="str">
        <f>IFERROR(INDEX('G-8 Condition Look up'!$I$4:$I$135,MATCH(S55,'G-8 Condition Look up'!$A$4:$A$135,0)),"")</f>
        <v/>
      </c>
      <c r="E55" s="407" t="str">
        <f>'D-1 Off-Site Habitat Baseline'!AP54</f>
        <v/>
      </c>
      <c r="F55" s="382" t="str">
        <f>IF(E55="","",IF(ISNA(VLOOKUP($E55,'D-1 Off-Site Habitat Baseline'!$D$1:$O$258,4,FALSE)),"",(VLOOKUP($E55,'D-1 Off-Site Habitat Baseline'!$D$1:$O$258,4,FALSE))))</f>
        <v/>
      </c>
      <c r="G55" s="382" t="str">
        <f>IF(E55="","",IF(ISNA(VLOOKUP($E55,'D-1 Off-Site Habitat Baseline'!$D$1:$O$258,5,FALSE)),"",(VLOOKUP($E55,'D-1 Off-Site Habitat Baseline'!$D$1:$O$258,5,FALSE))))</f>
        <v/>
      </c>
      <c r="H55" s="382" t="str">
        <f>IF(E55="","",IF(ISNA(VLOOKUP($E55,'D-1 Off-Site Habitat Baseline'!$D$1:$O$258,6,FALSE)),"",(VLOOKUP($E55,'D-1 Off-Site Habitat Baseline'!$D$1:$O$258,6,FALSE))))</f>
        <v/>
      </c>
      <c r="I55" s="382" t="str">
        <f>IF(E55="","",IF(ISNA(VLOOKUP($E55,'D-1 Off-Site Habitat Baseline'!$D$1:$O$258,7,FALSE)),"",(VLOOKUP($E55,'D-1 Off-Site Habitat Baseline'!$D$1:$O$258,7,FALSE))))</f>
        <v/>
      </c>
      <c r="J55" s="382" t="str">
        <f>IF(E55="","",IF(ISNA(VLOOKUP($E55,'D-1 Off-Site Habitat Baseline'!$D$1:$O$258,8,FALSE)),"",(VLOOKUP($E55,'D-1 Off-Site Habitat Baseline'!$D$1:$O$258,8,FALSE))))</f>
        <v/>
      </c>
      <c r="K55" s="382" t="str">
        <f>IF(E55="","",IF(ISNA(VLOOKUP($E55,'D-1 Off-Site Habitat Baseline'!$D$1:$O$258,9,FALSE)),"",(VLOOKUP($E55,'D-1 Off-Site Habitat Baseline'!$D$1:$O$258,9,FALSE))))</f>
        <v/>
      </c>
      <c r="L55" s="382" t="str">
        <f>IF(E55="","",IF(ISNA(VLOOKUP($E55,'D-1 Off-Site Habitat Baseline'!$D$1:$O$258,11,FALSE)),"",(VLOOKUP($E55,'D-1 Off-Site Habitat Baseline'!$D$1:$O$258,11,FALSE))))</f>
        <v/>
      </c>
      <c r="M55" s="382" t="str">
        <f>IF(E55="","",IF(ISNA(VLOOKUP($E55,'D-1 Off-Site Habitat Baseline'!$D$1:$O$258,12,FALSE)),"",(VLOOKUP($E55,'D-1 Off-Site Habitat Baseline'!$D$1:$O$258,12,FALSE))))</f>
        <v/>
      </c>
      <c r="N55" s="382" t="str">
        <f>IF(E55="","",IF(ISNA(VLOOKUP($E55,'D-1 Off-Site Habitat Baseline'!$D$1:$AA$258,14,FALSE)),"",(VLOOKUP($E55,'D-1 Off-Site Habitat Baseline'!$D$1:$AA$258,14,FALSE))))</f>
        <v/>
      </c>
      <c r="O55" s="386" t="str">
        <f>IF(E55="","",IF(ISNA(VLOOKUP($E55,'D-1 Off-Site Habitat Baseline'!$D$1:$AA$258,13,FALSE)),"",(VLOOKUP($E55,'D-1 Off-Site Habitat Baseline'!$D$1:$AA$258,13,FALSE))))</f>
        <v/>
      </c>
      <c r="P55" s="184" t="str">
        <f>IFERROR(INDEX('G-1 All Habitats'!$AG$3:$AG$17,MATCH(Q55,'G-1 All Habitats'!$AF$3:$AF$17,0)),"")</f>
        <v/>
      </c>
      <c r="Q55" s="185" t="str">
        <f t="shared" si="0"/>
        <v/>
      </c>
      <c r="R55" s="186" t="str">
        <f t="shared" si="1"/>
        <v/>
      </c>
      <c r="S55" s="187" t="str">
        <f>IFERROR(INDEX('G-1 All Habitats'!$B$3:$B$134,MATCH(R55,'G-1 All Habitats'!$A$3:$A$134,0)),"")</f>
        <v/>
      </c>
      <c r="T55" s="370" t="str">
        <f t="shared" si="3"/>
        <v/>
      </c>
      <c r="U55" s="386" t="str">
        <f t="shared" si="4"/>
        <v/>
      </c>
      <c r="V55" s="385" t="str">
        <f t="shared" si="5"/>
        <v/>
      </c>
      <c r="W55" s="382" t="str">
        <f>IF(S55="","",VLOOKUP(S55,'G-1 All Habitats'!$B$2:$M$134,10,FALSE))</f>
        <v/>
      </c>
      <c r="X55" s="382" t="str">
        <f>IFERROR(VLOOKUP(W55,'G-1 All Habitats'!$V$3:$W$7,2,FALSE),"")</f>
        <v/>
      </c>
      <c r="Y55" s="165"/>
      <c r="Z55" s="386" t="str">
        <f>IFERROR(INDEX('G-8 Condition Look up'!$A$3:$H$135,MATCH(S55,'G-8 Condition Look up'!$A$3:$A$135,0),MATCH(Y55,'G-8 Condition Look up'!$A$3:$H$3,0)),"")</f>
        <v/>
      </c>
      <c r="AA55" s="114"/>
      <c r="AB55" s="401" t="str">
        <f>IF(AA55="","",IF(VLOOKUP(AA55,'G-3 Multipliers'!$L$3:$N$6,2,FALSE)=0,"Spatial Data Missing ⚠",VLOOKUP(AA55,'G-3 Multipliers'!$L$3:$N$6,2,FALSE)))</f>
        <v/>
      </c>
      <c r="AC55" s="386" t="str">
        <f>IF(AA55="","",IF(VLOOKUP(AA55,'G-3 Multipliers'!$L$3:$N$6,3,FALSE)=0,"Spatial Data Missing ⚠",VLOOKUP(AA55,'G-3 Multipliers'!$L$3:$N$6,3,FALSE)))</f>
        <v/>
      </c>
      <c r="AD55" s="398" t="str">
        <f t="shared" si="2"/>
        <v/>
      </c>
      <c r="AE55" s="165"/>
      <c r="AF55" s="165"/>
      <c r="AG55" s="382" t="str">
        <f t="shared" si="6"/>
        <v/>
      </c>
      <c r="AH55" s="404" t="str">
        <f t="shared" si="7"/>
        <v/>
      </c>
      <c r="AI55" s="387" t="str">
        <f>IF(AH55="Check Data ⚠","Check Data ⚠",IFERROR(VLOOKUP(AH55,'G-4 Temporal multipliers'!$A$4:$C$36,3,FALSE),""))</f>
        <v/>
      </c>
      <c r="AJ55" s="398" t="str">
        <f>IF(S55="","",VLOOKUP(S55,'G-3 Multipliers'!$A$2:$E$134,4,FALSE))</f>
        <v/>
      </c>
      <c r="AK55" s="382" t="str">
        <f t="shared" si="8"/>
        <v/>
      </c>
      <c r="AL55" s="382" t="str">
        <f t="shared" si="9"/>
        <v/>
      </c>
      <c r="AM55" s="386" t="str">
        <f>IFERROR(IF(F55="","",IF(AH55="Check Data ⚠","Check Data ⚠",VLOOKUP(AL55, 'G-3 Multipliers'!$P$2:$Q$6,2,FALSE))),"")</f>
        <v/>
      </c>
      <c r="AN55" s="516"/>
      <c r="AO55" s="417" t="str">
        <f>IF(AN55="","",IF(VLOOKUP(AN55,'G-3 Multipliers'!$S$3:$T$10,2,FALSE)=0,"Spatial Data Missing ⚠",VLOOKUP(AN55,'G-3 Multipliers'!$S$3:$T$10,2,FALSE)))</f>
        <v/>
      </c>
      <c r="AP55" s="376" t="str">
        <f t="shared" si="10"/>
        <v/>
      </c>
      <c r="AQ55" s="376" t="str">
        <f t="shared" si="11"/>
        <v/>
      </c>
      <c r="AR55" s="119"/>
      <c r="AS55" s="528"/>
      <c r="AT55" s="120"/>
      <c r="AU55" s="120"/>
    </row>
    <row r="56" spans="1:47">
      <c r="A56" s="30" t="str">
        <f>IF(E56="","",IF(ISNA(VLOOKUP($E56,'D-1 Off-Site Habitat Baseline'!$D$1:$O$258,2,FALSE)),"",(VLOOKUP($E56,'D-1 Off-Site Habitat Baseline'!$D$1:$O$258,2,FALSE))))</f>
        <v/>
      </c>
      <c r="B56" s="30" t="str">
        <f>IF(E56="","",IF(ISNA(VLOOKUP($E56,'D-1 Off-Site Habitat Baseline'!$D$1:$O$258,3,FALSE)),"",(VLOOKUP($E56,'D-1 Off-Site Habitat Baseline'!$D$1:$O$258,3,FALSE))))</f>
        <v/>
      </c>
      <c r="C56" s="30" t="str">
        <f>IFERROR(INDEX('G-8 Condition Look up'!$I$4:$I$135,MATCH(S56,'G-8 Condition Look up'!$A$4:$A$135,0)),"")</f>
        <v/>
      </c>
      <c r="E56" s="407" t="str">
        <f>'D-1 Off-Site Habitat Baseline'!AP55</f>
        <v/>
      </c>
      <c r="F56" s="382" t="str">
        <f>IF(E56="","",IF(ISNA(VLOOKUP($E56,'D-1 Off-Site Habitat Baseline'!$D$1:$O$258,4,FALSE)),"",(VLOOKUP($E56,'D-1 Off-Site Habitat Baseline'!$D$1:$O$258,4,FALSE))))</f>
        <v/>
      </c>
      <c r="G56" s="382" t="str">
        <f>IF(E56="","",IF(ISNA(VLOOKUP($E56,'D-1 Off-Site Habitat Baseline'!$D$1:$O$258,5,FALSE)),"",(VLOOKUP($E56,'D-1 Off-Site Habitat Baseline'!$D$1:$O$258,5,FALSE))))</f>
        <v/>
      </c>
      <c r="H56" s="382" t="str">
        <f>IF(E56="","",IF(ISNA(VLOOKUP($E56,'D-1 Off-Site Habitat Baseline'!$D$1:$O$258,6,FALSE)),"",(VLOOKUP($E56,'D-1 Off-Site Habitat Baseline'!$D$1:$O$258,6,FALSE))))</f>
        <v/>
      </c>
      <c r="I56" s="382" t="str">
        <f>IF(E56="","",IF(ISNA(VLOOKUP($E56,'D-1 Off-Site Habitat Baseline'!$D$1:$O$258,7,FALSE)),"",(VLOOKUP($E56,'D-1 Off-Site Habitat Baseline'!$D$1:$O$258,7,FALSE))))</f>
        <v/>
      </c>
      <c r="J56" s="382" t="str">
        <f>IF(E56="","",IF(ISNA(VLOOKUP($E56,'D-1 Off-Site Habitat Baseline'!$D$1:$O$258,8,FALSE)),"",(VLOOKUP($E56,'D-1 Off-Site Habitat Baseline'!$D$1:$O$258,8,FALSE))))</f>
        <v/>
      </c>
      <c r="K56" s="382" t="str">
        <f>IF(E56="","",IF(ISNA(VLOOKUP($E56,'D-1 Off-Site Habitat Baseline'!$D$1:$O$258,9,FALSE)),"",(VLOOKUP($E56,'D-1 Off-Site Habitat Baseline'!$D$1:$O$258,9,FALSE))))</f>
        <v/>
      </c>
      <c r="L56" s="382" t="str">
        <f>IF(E56="","",IF(ISNA(VLOOKUP($E56,'D-1 Off-Site Habitat Baseline'!$D$1:$O$258,11,FALSE)),"",(VLOOKUP($E56,'D-1 Off-Site Habitat Baseline'!$D$1:$O$258,11,FALSE))))</f>
        <v/>
      </c>
      <c r="M56" s="382" t="str">
        <f>IF(E56="","",IF(ISNA(VLOOKUP($E56,'D-1 Off-Site Habitat Baseline'!$D$1:$O$258,12,FALSE)),"",(VLOOKUP($E56,'D-1 Off-Site Habitat Baseline'!$D$1:$O$258,12,FALSE))))</f>
        <v/>
      </c>
      <c r="N56" s="382" t="str">
        <f>IF(E56="","",IF(ISNA(VLOOKUP($E56,'D-1 Off-Site Habitat Baseline'!$D$1:$AA$258,14,FALSE)),"",(VLOOKUP($E56,'D-1 Off-Site Habitat Baseline'!$D$1:$AA$258,14,FALSE))))</f>
        <v/>
      </c>
      <c r="O56" s="386" t="str">
        <f>IF(E56="","",IF(ISNA(VLOOKUP($E56,'D-1 Off-Site Habitat Baseline'!$D$1:$AA$258,13,FALSE)),"",(VLOOKUP($E56,'D-1 Off-Site Habitat Baseline'!$D$1:$AA$258,13,FALSE))))</f>
        <v/>
      </c>
      <c r="P56" s="184" t="str">
        <f>IFERROR(INDEX('G-1 All Habitats'!$AG$3:$AG$17,MATCH(Q56,'G-1 All Habitats'!$AF$3:$AF$17,0)),"")</f>
        <v/>
      </c>
      <c r="Q56" s="185" t="str">
        <f t="shared" si="0"/>
        <v/>
      </c>
      <c r="R56" s="186" t="str">
        <f t="shared" si="1"/>
        <v/>
      </c>
      <c r="S56" s="187" t="str">
        <f>IFERROR(INDEX('G-1 All Habitats'!$B$3:$B$134,MATCH(R56,'G-1 All Habitats'!$A$3:$A$134,0)),"")</f>
        <v/>
      </c>
      <c r="T56" s="370" t="str">
        <f t="shared" si="3"/>
        <v/>
      </c>
      <c r="U56" s="386" t="str">
        <f t="shared" si="4"/>
        <v/>
      </c>
      <c r="V56" s="385" t="str">
        <f t="shared" si="5"/>
        <v/>
      </c>
      <c r="W56" s="382" t="str">
        <f>IF(S56="","",VLOOKUP(S56,'G-1 All Habitats'!$B$2:$M$134,10,FALSE))</f>
        <v/>
      </c>
      <c r="X56" s="382" t="str">
        <f>IFERROR(VLOOKUP(W56,'G-1 All Habitats'!$V$3:$W$7,2,FALSE),"")</f>
        <v/>
      </c>
      <c r="Y56" s="165"/>
      <c r="Z56" s="386" t="str">
        <f>IFERROR(INDEX('G-8 Condition Look up'!$A$3:$H$135,MATCH(S56,'G-8 Condition Look up'!$A$3:$A$135,0),MATCH(Y56,'G-8 Condition Look up'!$A$3:$H$3,0)),"")</f>
        <v/>
      </c>
      <c r="AA56" s="114"/>
      <c r="AB56" s="401" t="str">
        <f>IF(AA56="","",IF(VLOOKUP(AA56,'G-3 Multipliers'!$L$3:$N$6,2,FALSE)=0,"Spatial Data Missing ⚠",VLOOKUP(AA56,'G-3 Multipliers'!$L$3:$N$6,2,FALSE)))</f>
        <v/>
      </c>
      <c r="AC56" s="386" t="str">
        <f>IF(AA56="","",IF(VLOOKUP(AA56,'G-3 Multipliers'!$L$3:$N$6,3,FALSE)=0,"Spatial Data Missing ⚠",VLOOKUP(AA56,'G-3 Multipliers'!$L$3:$N$6,3,FALSE)))</f>
        <v/>
      </c>
      <c r="AD56" s="398" t="str">
        <f t="shared" si="2"/>
        <v/>
      </c>
      <c r="AE56" s="165"/>
      <c r="AF56" s="165"/>
      <c r="AG56" s="382" t="str">
        <f t="shared" si="6"/>
        <v/>
      </c>
      <c r="AH56" s="404" t="str">
        <f t="shared" si="7"/>
        <v/>
      </c>
      <c r="AI56" s="387" t="str">
        <f>IF(AH56="Check Data ⚠","Check Data ⚠",IFERROR(VLOOKUP(AH56,'G-4 Temporal multipliers'!$A$4:$C$36,3,FALSE),""))</f>
        <v/>
      </c>
      <c r="AJ56" s="398" t="str">
        <f>IF(S56="","",VLOOKUP(S56,'G-3 Multipliers'!$A$2:$E$134,4,FALSE))</f>
        <v/>
      </c>
      <c r="AK56" s="382" t="str">
        <f t="shared" si="8"/>
        <v/>
      </c>
      <c r="AL56" s="382" t="str">
        <f t="shared" si="9"/>
        <v/>
      </c>
      <c r="AM56" s="386" t="str">
        <f>IFERROR(IF(F56="","",IF(AH56="Check Data ⚠","Check Data ⚠",VLOOKUP(AL56, 'G-3 Multipliers'!$P$2:$Q$6,2,FALSE))),"")</f>
        <v/>
      </c>
      <c r="AN56" s="516"/>
      <c r="AO56" s="417" t="str">
        <f>IF(AN56="","",IF(VLOOKUP(AN56,'G-3 Multipliers'!$S$3:$T$10,2,FALSE)=0,"Spatial Data Missing ⚠",VLOOKUP(AN56,'G-3 Multipliers'!$S$3:$T$10,2,FALSE)))</f>
        <v/>
      </c>
      <c r="AP56" s="376" t="str">
        <f t="shared" si="10"/>
        <v/>
      </c>
      <c r="AQ56" s="376" t="str">
        <f t="shared" si="11"/>
        <v/>
      </c>
      <c r="AR56" s="119"/>
      <c r="AS56" s="528"/>
      <c r="AT56" s="120"/>
      <c r="AU56" s="120"/>
    </row>
    <row r="57" spans="1:47">
      <c r="A57" s="30" t="str">
        <f>IF(E57="","",IF(ISNA(VLOOKUP($E57,'D-1 Off-Site Habitat Baseline'!$D$1:$O$258,2,FALSE)),"",(VLOOKUP($E57,'D-1 Off-Site Habitat Baseline'!$D$1:$O$258,2,FALSE))))</f>
        <v/>
      </c>
      <c r="B57" s="30" t="str">
        <f>IF(E57="","",IF(ISNA(VLOOKUP($E57,'D-1 Off-Site Habitat Baseline'!$D$1:$O$258,3,FALSE)),"",(VLOOKUP($E57,'D-1 Off-Site Habitat Baseline'!$D$1:$O$258,3,FALSE))))</f>
        <v/>
      </c>
      <c r="C57" s="30" t="str">
        <f>IFERROR(INDEX('G-8 Condition Look up'!$I$4:$I$135,MATCH(S57,'G-8 Condition Look up'!$A$4:$A$135,0)),"")</f>
        <v/>
      </c>
      <c r="E57" s="407" t="str">
        <f>'D-1 Off-Site Habitat Baseline'!AP56</f>
        <v/>
      </c>
      <c r="F57" s="382" t="str">
        <f>IF(E57="","",IF(ISNA(VLOOKUP($E57,'D-1 Off-Site Habitat Baseline'!$D$1:$O$258,4,FALSE)),"",(VLOOKUP($E57,'D-1 Off-Site Habitat Baseline'!$D$1:$O$258,4,FALSE))))</f>
        <v/>
      </c>
      <c r="G57" s="382" t="str">
        <f>IF(E57="","",IF(ISNA(VLOOKUP($E57,'D-1 Off-Site Habitat Baseline'!$D$1:$O$258,5,FALSE)),"",(VLOOKUP($E57,'D-1 Off-Site Habitat Baseline'!$D$1:$O$258,5,FALSE))))</f>
        <v/>
      </c>
      <c r="H57" s="382" t="str">
        <f>IF(E57="","",IF(ISNA(VLOOKUP($E57,'D-1 Off-Site Habitat Baseline'!$D$1:$O$258,6,FALSE)),"",(VLOOKUP($E57,'D-1 Off-Site Habitat Baseline'!$D$1:$O$258,6,FALSE))))</f>
        <v/>
      </c>
      <c r="I57" s="382" t="str">
        <f>IF(E57="","",IF(ISNA(VLOOKUP($E57,'D-1 Off-Site Habitat Baseline'!$D$1:$O$258,7,FALSE)),"",(VLOOKUP($E57,'D-1 Off-Site Habitat Baseline'!$D$1:$O$258,7,FALSE))))</f>
        <v/>
      </c>
      <c r="J57" s="382" t="str">
        <f>IF(E57="","",IF(ISNA(VLOOKUP($E57,'D-1 Off-Site Habitat Baseline'!$D$1:$O$258,8,FALSE)),"",(VLOOKUP($E57,'D-1 Off-Site Habitat Baseline'!$D$1:$O$258,8,FALSE))))</f>
        <v/>
      </c>
      <c r="K57" s="382" t="str">
        <f>IF(E57="","",IF(ISNA(VLOOKUP($E57,'D-1 Off-Site Habitat Baseline'!$D$1:$O$258,9,FALSE)),"",(VLOOKUP($E57,'D-1 Off-Site Habitat Baseline'!$D$1:$O$258,9,FALSE))))</f>
        <v/>
      </c>
      <c r="L57" s="382" t="str">
        <f>IF(E57="","",IF(ISNA(VLOOKUP($E57,'D-1 Off-Site Habitat Baseline'!$D$1:$O$258,11,FALSE)),"",(VLOOKUP($E57,'D-1 Off-Site Habitat Baseline'!$D$1:$O$258,11,FALSE))))</f>
        <v/>
      </c>
      <c r="M57" s="382" t="str">
        <f>IF(E57="","",IF(ISNA(VLOOKUP($E57,'D-1 Off-Site Habitat Baseline'!$D$1:$O$258,12,FALSE)),"",(VLOOKUP($E57,'D-1 Off-Site Habitat Baseline'!$D$1:$O$258,12,FALSE))))</f>
        <v/>
      </c>
      <c r="N57" s="382" t="str">
        <f>IF(E57="","",IF(ISNA(VLOOKUP($E57,'D-1 Off-Site Habitat Baseline'!$D$1:$AA$258,14,FALSE)),"",(VLOOKUP($E57,'D-1 Off-Site Habitat Baseline'!$D$1:$AA$258,14,FALSE))))</f>
        <v/>
      </c>
      <c r="O57" s="386" t="str">
        <f>IF(E57="","",IF(ISNA(VLOOKUP($E57,'D-1 Off-Site Habitat Baseline'!$D$1:$AA$258,13,FALSE)),"",(VLOOKUP($E57,'D-1 Off-Site Habitat Baseline'!$D$1:$AA$258,13,FALSE))))</f>
        <v/>
      </c>
      <c r="P57" s="184" t="str">
        <f>IFERROR(INDEX('G-1 All Habitats'!$AG$3:$AG$17,MATCH(Q57,'G-1 All Habitats'!$AF$3:$AF$17,0)),"")</f>
        <v/>
      </c>
      <c r="Q57" s="185" t="str">
        <f t="shared" si="0"/>
        <v/>
      </c>
      <c r="R57" s="186" t="str">
        <f t="shared" si="1"/>
        <v/>
      </c>
      <c r="S57" s="187" t="str">
        <f>IFERROR(INDEX('G-1 All Habitats'!$B$3:$B$134,MATCH(R57,'G-1 All Habitats'!$A$3:$A$134,0)),"")</f>
        <v/>
      </c>
      <c r="T57" s="370" t="str">
        <f t="shared" si="3"/>
        <v/>
      </c>
      <c r="U57" s="386" t="str">
        <f t="shared" si="4"/>
        <v/>
      </c>
      <c r="V57" s="385" t="str">
        <f t="shared" si="5"/>
        <v/>
      </c>
      <c r="W57" s="382" t="str">
        <f>IF(S57="","",VLOOKUP(S57,'G-1 All Habitats'!$B$2:$M$134,10,FALSE))</f>
        <v/>
      </c>
      <c r="X57" s="382" t="str">
        <f>IFERROR(VLOOKUP(W57,'G-1 All Habitats'!$V$3:$W$7,2,FALSE),"")</f>
        <v/>
      </c>
      <c r="Y57" s="165"/>
      <c r="Z57" s="386" t="str">
        <f>IFERROR(INDEX('G-8 Condition Look up'!$A$3:$H$135,MATCH(S57,'G-8 Condition Look up'!$A$3:$A$135,0),MATCH(Y57,'G-8 Condition Look up'!$A$3:$H$3,0)),"")</f>
        <v/>
      </c>
      <c r="AA57" s="114"/>
      <c r="AB57" s="401" t="str">
        <f>IF(AA57="","",IF(VLOOKUP(AA57,'G-3 Multipliers'!$L$3:$N$6,2,FALSE)=0,"Spatial Data Missing ⚠",VLOOKUP(AA57,'G-3 Multipliers'!$L$3:$N$6,2,FALSE)))</f>
        <v/>
      </c>
      <c r="AC57" s="386" t="str">
        <f>IF(AA57="","",IF(VLOOKUP(AA57,'G-3 Multipliers'!$L$3:$N$6,3,FALSE)=0,"Spatial Data Missing ⚠",VLOOKUP(AA57,'G-3 Multipliers'!$L$3:$N$6,3,FALSE)))</f>
        <v/>
      </c>
      <c r="AD57" s="398" t="str">
        <f t="shared" si="2"/>
        <v/>
      </c>
      <c r="AE57" s="165"/>
      <c r="AF57" s="165"/>
      <c r="AG57" s="382" t="str">
        <f t="shared" si="6"/>
        <v/>
      </c>
      <c r="AH57" s="404" t="str">
        <f t="shared" si="7"/>
        <v/>
      </c>
      <c r="AI57" s="387" t="str">
        <f>IF(AH57="Check Data ⚠","Check Data ⚠",IFERROR(VLOOKUP(AH57,'G-4 Temporal multipliers'!$A$4:$C$36,3,FALSE),""))</f>
        <v/>
      </c>
      <c r="AJ57" s="398" t="str">
        <f>IF(S57="","",VLOOKUP(S57,'G-3 Multipliers'!$A$2:$E$134,4,FALSE))</f>
        <v/>
      </c>
      <c r="AK57" s="382" t="str">
        <f t="shared" si="8"/>
        <v/>
      </c>
      <c r="AL57" s="382" t="str">
        <f t="shared" si="9"/>
        <v/>
      </c>
      <c r="AM57" s="386" t="str">
        <f>IFERROR(IF(F57="","",IF(AH57="Check Data ⚠","Check Data ⚠",VLOOKUP(AL57, 'G-3 Multipliers'!$P$2:$Q$6,2,FALSE))),"")</f>
        <v/>
      </c>
      <c r="AN57" s="516"/>
      <c r="AO57" s="417" t="str">
        <f>IF(AN57="","",IF(VLOOKUP(AN57,'G-3 Multipliers'!$S$3:$T$10,2,FALSE)=0,"Spatial Data Missing ⚠",VLOOKUP(AN57,'G-3 Multipliers'!$S$3:$T$10,2,FALSE)))</f>
        <v/>
      </c>
      <c r="AP57" s="376" t="str">
        <f t="shared" si="10"/>
        <v/>
      </c>
      <c r="AQ57" s="376" t="str">
        <f t="shared" si="11"/>
        <v/>
      </c>
      <c r="AR57" s="119"/>
      <c r="AS57" s="528"/>
      <c r="AT57" s="120"/>
      <c r="AU57" s="120"/>
    </row>
    <row r="58" spans="1:47">
      <c r="A58" s="30" t="str">
        <f>IF(E58="","",IF(ISNA(VLOOKUP($E58,'D-1 Off-Site Habitat Baseline'!$D$1:$O$258,2,FALSE)),"",(VLOOKUP($E58,'D-1 Off-Site Habitat Baseline'!$D$1:$O$258,2,FALSE))))</f>
        <v/>
      </c>
      <c r="B58" s="30" t="str">
        <f>IF(E58="","",IF(ISNA(VLOOKUP($E58,'D-1 Off-Site Habitat Baseline'!$D$1:$O$258,3,FALSE)),"",(VLOOKUP($E58,'D-1 Off-Site Habitat Baseline'!$D$1:$O$258,3,FALSE))))</f>
        <v/>
      </c>
      <c r="C58" s="30" t="str">
        <f>IFERROR(INDEX('G-8 Condition Look up'!$I$4:$I$135,MATCH(S58,'G-8 Condition Look up'!$A$4:$A$135,0)),"")</f>
        <v/>
      </c>
      <c r="E58" s="407" t="str">
        <f>'D-1 Off-Site Habitat Baseline'!AP57</f>
        <v/>
      </c>
      <c r="F58" s="382" t="str">
        <f>IF(E58="","",IF(ISNA(VLOOKUP($E58,'D-1 Off-Site Habitat Baseline'!$D$1:$O$258,4,FALSE)),"",(VLOOKUP($E58,'D-1 Off-Site Habitat Baseline'!$D$1:$O$258,4,FALSE))))</f>
        <v/>
      </c>
      <c r="G58" s="382" t="str">
        <f>IF(E58="","",IF(ISNA(VLOOKUP($E58,'D-1 Off-Site Habitat Baseline'!$D$1:$O$258,5,FALSE)),"",(VLOOKUP($E58,'D-1 Off-Site Habitat Baseline'!$D$1:$O$258,5,FALSE))))</f>
        <v/>
      </c>
      <c r="H58" s="382" t="str">
        <f>IF(E58="","",IF(ISNA(VLOOKUP($E58,'D-1 Off-Site Habitat Baseline'!$D$1:$O$258,6,FALSE)),"",(VLOOKUP($E58,'D-1 Off-Site Habitat Baseline'!$D$1:$O$258,6,FALSE))))</f>
        <v/>
      </c>
      <c r="I58" s="382" t="str">
        <f>IF(E58="","",IF(ISNA(VLOOKUP($E58,'D-1 Off-Site Habitat Baseline'!$D$1:$O$258,7,FALSE)),"",(VLOOKUP($E58,'D-1 Off-Site Habitat Baseline'!$D$1:$O$258,7,FALSE))))</f>
        <v/>
      </c>
      <c r="J58" s="382" t="str">
        <f>IF(E58="","",IF(ISNA(VLOOKUP($E58,'D-1 Off-Site Habitat Baseline'!$D$1:$O$258,8,FALSE)),"",(VLOOKUP($E58,'D-1 Off-Site Habitat Baseline'!$D$1:$O$258,8,FALSE))))</f>
        <v/>
      </c>
      <c r="K58" s="382" t="str">
        <f>IF(E58="","",IF(ISNA(VLOOKUP($E58,'D-1 Off-Site Habitat Baseline'!$D$1:$O$258,9,FALSE)),"",(VLOOKUP($E58,'D-1 Off-Site Habitat Baseline'!$D$1:$O$258,9,FALSE))))</f>
        <v/>
      </c>
      <c r="L58" s="382" t="str">
        <f>IF(E58="","",IF(ISNA(VLOOKUP($E58,'D-1 Off-Site Habitat Baseline'!$D$1:$O$258,11,FALSE)),"",(VLOOKUP($E58,'D-1 Off-Site Habitat Baseline'!$D$1:$O$258,11,FALSE))))</f>
        <v/>
      </c>
      <c r="M58" s="382" t="str">
        <f>IF(E58="","",IF(ISNA(VLOOKUP($E58,'D-1 Off-Site Habitat Baseline'!$D$1:$O$258,12,FALSE)),"",(VLOOKUP($E58,'D-1 Off-Site Habitat Baseline'!$D$1:$O$258,12,FALSE))))</f>
        <v/>
      </c>
      <c r="N58" s="382" t="str">
        <f>IF(E58="","",IF(ISNA(VLOOKUP($E58,'D-1 Off-Site Habitat Baseline'!$D$1:$AA$258,14,FALSE)),"",(VLOOKUP($E58,'D-1 Off-Site Habitat Baseline'!$D$1:$AA$258,14,FALSE))))</f>
        <v/>
      </c>
      <c r="O58" s="386" t="str">
        <f>IF(E58="","",IF(ISNA(VLOOKUP($E58,'D-1 Off-Site Habitat Baseline'!$D$1:$AA$258,13,FALSE)),"",(VLOOKUP($E58,'D-1 Off-Site Habitat Baseline'!$D$1:$AA$258,13,FALSE))))</f>
        <v/>
      </c>
      <c r="P58" s="184" t="str">
        <f>IFERROR(INDEX('G-1 All Habitats'!$AG$3:$AG$17,MATCH(Q58,'G-1 All Habitats'!$AF$3:$AF$17,0)),"")</f>
        <v/>
      </c>
      <c r="Q58" s="185" t="str">
        <f t="shared" si="0"/>
        <v/>
      </c>
      <c r="R58" s="186" t="str">
        <f t="shared" si="1"/>
        <v/>
      </c>
      <c r="S58" s="187" t="str">
        <f>IFERROR(INDEX('G-1 All Habitats'!$B$3:$B$134,MATCH(R58,'G-1 All Habitats'!$A$3:$A$134,0)),"")</f>
        <v/>
      </c>
      <c r="T58" s="370" t="str">
        <f t="shared" si="3"/>
        <v/>
      </c>
      <c r="U58" s="386" t="str">
        <f t="shared" si="4"/>
        <v/>
      </c>
      <c r="V58" s="385" t="str">
        <f t="shared" si="5"/>
        <v/>
      </c>
      <c r="W58" s="382" t="str">
        <f>IF(S58="","",VLOOKUP(S58,'G-1 All Habitats'!$B$2:$M$134,10,FALSE))</f>
        <v/>
      </c>
      <c r="X58" s="382" t="str">
        <f>IFERROR(VLOOKUP(W58,'G-1 All Habitats'!$V$3:$W$7,2,FALSE),"")</f>
        <v/>
      </c>
      <c r="Y58" s="165"/>
      <c r="Z58" s="386" t="str">
        <f>IFERROR(INDEX('G-8 Condition Look up'!$A$3:$H$135,MATCH(S58,'G-8 Condition Look up'!$A$3:$A$135,0),MATCH(Y58,'G-8 Condition Look up'!$A$3:$H$3,0)),"")</f>
        <v/>
      </c>
      <c r="AA58" s="114"/>
      <c r="AB58" s="401" t="str">
        <f>IF(AA58="","",IF(VLOOKUP(AA58,'G-3 Multipliers'!$L$3:$N$6,2,FALSE)=0,"Spatial Data Missing ⚠",VLOOKUP(AA58,'G-3 Multipliers'!$L$3:$N$6,2,FALSE)))</f>
        <v/>
      </c>
      <c r="AC58" s="386" t="str">
        <f>IF(AA58="","",IF(VLOOKUP(AA58,'G-3 Multipliers'!$L$3:$N$6,3,FALSE)=0,"Spatial Data Missing ⚠",VLOOKUP(AA58,'G-3 Multipliers'!$L$3:$N$6,3,FALSE)))</f>
        <v/>
      </c>
      <c r="AD58" s="398" t="str">
        <f t="shared" si="2"/>
        <v/>
      </c>
      <c r="AE58" s="165"/>
      <c r="AF58" s="165"/>
      <c r="AG58" s="382" t="str">
        <f t="shared" si="6"/>
        <v/>
      </c>
      <c r="AH58" s="404" t="str">
        <f t="shared" si="7"/>
        <v/>
      </c>
      <c r="AI58" s="387" t="str">
        <f>IF(AH58="Check Data ⚠","Check Data ⚠",IFERROR(VLOOKUP(AH58,'G-4 Temporal multipliers'!$A$4:$C$36,3,FALSE),""))</f>
        <v/>
      </c>
      <c r="AJ58" s="398" t="str">
        <f>IF(S58="","",VLOOKUP(S58,'G-3 Multipliers'!$A$2:$E$134,4,FALSE))</f>
        <v/>
      </c>
      <c r="AK58" s="382" t="str">
        <f t="shared" si="8"/>
        <v/>
      </c>
      <c r="AL58" s="382" t="str">
        <f t="shared" si="9"/>
        <v/>
      </c>
      <c r="AM58" s="386" t="str">
        <f>IFERROR(IF(F58="","",IF(AH58="Check Data ⚠","Check Data ⚠",VLOOKUP(AL58, 'G-3 Multipliers'!$P$2:$Q$6,2,FALSE))),"")</f>
        <v/>
      </c>
      <c r="AN58" s="516"/>
      <c r="AO58" s="417" t="str">
        <f>IF(AN58="","",IF(VLOOKUP(AN58,'G-3 Multipliers'!$S$3:$T$10,2,FALSE)=0,"Spatial Data Missing ⚠",VLOOKUP(AN58,'G-3 Multipliers'!$S$3:$T$10,2,FALSE)))</f>
        <v/>
      </c>
      <c r="AP58" s="376" t="str">
        <f t="shared" si="10"/>
        <v/>
      </c>
      <c r="AQ58" s="376" t="str">
        <f t="shared" si="11"/>
        <v/>
      </c>
      <c r="AR58" s="119"/>
      <c r="AS58" s="528"/>
      <c r="AT58" s="120"/>
      <c r="AU58" s="120"/>
    </row>
    <row r="59" spans="1:47">
      <c r="A59" s="30" t="str">
        <f>IF(E59="","",IF(ISNA(VLOOKUP($E59,'D-1 Off-Site Habitat Baseline'!$D$1:$O$258,2,FALSE)),"",(VLOOKUP($E59,'D-1 Off-Site Habitat Baseline'!$D$1:$O$258,2,FALSE))))</f>
        <v/>
      </c>
      <c r="B59" s="30" t="str">
        <f>IF(E59="","",IF(ISNA(VLOOKUP($E59,'D-1 Off-Site Habitat Baseline'!$D$1:$O$258,3,FALSE)),"",(VLOOKUP($E59,'D-1 Off-Site Habitat Baseline'!$D$1:$O$258,3,FALSE))))</f>
        <v/>
      </c>
      <c r="C59" s="30" t="str">
        <f>IFERROR(INDEX('G-8 Condition Look up'!$I$4:$I$135,MATCH(S59,'G-8 Condition Look up'!$A$4:$A$135,0)),"")</f>
        <v/>
      </c>
      <c r="E59" s="407" t="str">
        <f>'D-1 Off-Site Habitat Baseline'!AP58</f>
        <v/>
      </c>
      <c r="F59" s="382" t="str">
        <f>IF(E59="","",IF(ISNA(VLOOKUP($E59,'D-1 Off-Site Habitat Baseline'!$D$1:$O$258,4,FALSE)),"",(VLOOKUP($E59,'D-1 Off-Site Habitat Baseline'!$D$1:$O$258,4,FALSE))))</f>
        <v/>
      </c>
      <c r="G59" s="382" t="str">
        <f>IF(E59="","",IF(ISNA(VLOOKUP($E59,'D-1 Off-Site Habitat Baseline'!$D$1:$O$258,5,FALSE)),"",(VLOOKUP($E59,'D-1 Off-Site Habitat Baseline'!$D$1:$O$258,5,FALSE))))</f>
        <v/>
      </c>
      <c r="H59" s="382" t="str">
        <f>IF(E59="","",IF(ISNA(VLOOKUP($E59,'D-1 Off-Site Habitat Baseline'!$D$1:$O$258,6,FALSE)),"",(VLOOKUP($E59,'D-1 Off-Site Habitat Baseline'!$D$1:$O$258,6,FALSE))))</f>
        <v/>
      </c>
      <c r="I59" s="382" t="str">
        <f>IF(E59="","",IF(ISNA(VLOOKUP($E59,'D-1 Off-Site Habitat Baseline'!$D$1:$O$258,7,FALSE)),"",(VLOOKUP($E59,'D-1 Off-Site Habitat Baseline'!$D$1:$O$258,7,FALSE))))</f>
        <v/>
      </c>
      <c r="J59" s="382" t="str">
        <f>IF(E59="","",IF(ISNA(VLOOKUP($E59,'D-1 Off-Site Habitat Baseline'!$D$1:$O$258,8,FALSE)),"",(VLOOKUP($E59,'D-1 Off-Site Habitat Baseline'!$D$1:$O$258,8,FALSE))))</f>
        <v/>
      </c>
      <c r="K59" s="382" t="str">
        <f>IF(E59="","",IF(ISNA(VLOOKUP($E59,'D-1 Off-Site Habitat Baseline'!$D$1:$O$258,9,FALSE)),"",(VLOOKUP($E59,'D-1 Off-Site Habitat Baseline'!$D$1:$O$258,9,FALSE))))</f>
        <v/>
      </c>
      <c r="L59" s="382" t="str">
        <f>IF(E59="","",IF(ISNA(VLOOKUP($E59,'D-1 Off-Site Habitat Baseline'!$D$1:$O$258,11,FALSE)),"",(VLOOKUP($E59,'D-1 Off-Site Habitat Baseline'!$D$1:$O$258,11,FALSE))))</f>
        <v/>
      </c>
      <c r="M59" s="382" t="str">
        <f>IF(E59="","",IF(ISNA(VLOOKUP($E59,'D-1 Off-Site Habitat Baseline'!$D$1:$O$258,12,FALSE)),"",(VLOOKUP($E59,'D-1 Off-Site Habitat Baseline'!$D$1:$O$258,12,FALSE))))</f>
        <v/>
      </c>
      <c r="N59" s="382" t="str">
        <f>IF(E59="","",IF(ISNA(VLOOKUP($E59,'D-1 Off-Site Habitat Baseline'!$D$1:$AA$258,14,FALSE)),"",(VLOOKUP($E59,'D-1 Off-Site Habitat Baseline'!$D$1:$AA$258,14,FALSE))))</f>
        <v/>
      </c>
      <c r="O59" s="386" t="str">
        <f>IF(E59="","",IF(ISNA(VLOOKUP($E59,'D-1 Off-Site Habitat Baseline'!$D$1:$AA$258,13,FALSE)),"",(VLOOKUP($E59,'D-1 Off-Site Habitat Baseline'!$D$1:$AA$258,13,FALSE))))</f>
        <v/>
      </c>
      <c r="P59" s="184" t="str">
        <f>IFERROR(INDEX('G-1 All Habitats'!$AG$3:$AG$17,MATCH(Q59,'G-1 All Habitats'!$AF$3:$AF$17,0)),"")</f>
        <v/>
      </c>
      <c r="Q59" s="185" t="str">
        <f t="shared" si="0"/>
        <v/>
      </c>
      <c r="R59" s="186" t="str">
        <f t="shared" si="1"/>
        <v/>
      </c>
      <c r="S59" s="187" t="str">
        <f>IFERROR(INDEX('G-1 All Habitats'!$B$3:$B$134,MATCH(R59,'G-1 All Habitats'!$A$3:$A$134,0)),"")</f>
        <v/>
      </c>
      <c r="T59" s="370" t="str">
        <f t="shared" si="3"/>
        <v/>
      </c>
      <c r="U59" s="386" t="str">
        <f t="shared" si="4"/>
        <v/>
      </c>
      <c r="V59" s="385" t="str">
        <f t="shared" si="5"/>
        <v/>
      </c>
      <c r="W59" s="382" t="str">
        <f>IF(S59="","",VLOOKUP(S59,'G-1 All Habitats'!$B$2:$M$134,10,FALSE))</f>
        <v/>
      </c>
      <c r="X59" s="382" t="str">
        <f>IFERROR(VLOOKUP(W59,'G-1 All Habitats'!$V$3:$W$7,2,FALSE),"")</f>
        <v/>
      </c>
      <c r="Y59" s="165"/>
      <c r="Z59" s="386" t="str">
        <f>IFERROR(INDEX('G-8 Condition Look up'!$A$3:$H$135,MATCH(S59,'G-8 Condition Look up'!$A$3:$A$135,0),MATCH(Y59,'G-8 Condition Look up'!$A$3:$H$3,0)),"")</f>
        <v/>
      </c>
      <c r="AA59" s="114"/>
      <c r="AB59" s="401" t="str">
        <f>IF(AA59="","",IF(VLOOKUP(AA59,'G-3 Multipliers'!$L$3:$N$6,2,FALSE)=0,"Spatial Data Missing ⚠",VLOOKUP(AA59,'G-3 Multipliers'!$L$3:$N$6,2,FALSE)))</f>
        <v/>
      </c>
      <c r="AC59" s="386" t="str">
        <f>IF(AA59="","",IF(VLOOKUP(AA59,'G-3 Multipliers'!$L$3:$N$6,3,FALSE)=0,"Spatial Data Missing ⚠",VLOOKUP(AA59,'G-3 Multipliers'!$L$3:$N$6,3,FALSE)))</f>
        <v/>
      </c>
      <c r="AD59" s="398" t="str">
        <f t="shared" si="2"/>
        <v/>
      </c>
      <c r="AE59" s="165"/>
      <c r="AF59" s="165"/>
      <c r="AG59" s="382" t="str">
        <f t="shared" si="6"/>
        <v/>
      </c>
      <c r="AH59" s="404" t="str">
        <f t="shared" si="7"/>
        <v/>
      </c>
      <c r="AI59" s="387" t="str">
        <f>IF(AH59="Check Data ⚠","Check Data ⚠",IFERROR(VLOOKUP(AH59,'G-4 Temporal multipliers'!$A$4:$C$36,3,FALSE),""))</f>
        <v/>
      </c>
      <c r="AJ59" s="398" t="str">
        <f>IF(S59="","",VLOOKUP(S59,'G-3 Multipliers'!$A$2:$E$134,4,FALSE))</f>
        <v/>
      </c>
      <c r="AK59" s="382" t="str">
        <f t="shared" si="8"/>
        <v/>
      </c>
      <c r="AL59" s="382" t="str">
        <f t="shared" si="9"/>
        <v/>
      </c>
      <c r="AM59" s="386" t="str">
        <f>IFERROR(IF(F59="","",IF(AH59="Check Data ⚠","Check Data ⚠",VLOOKUP(AL59, 'G-3 Multipliers'!$P$2:$Q$6,2,FALSE))),"")</f>
        <v/>
      </c>
      <c r="AN59" s="516"/>
      <c r="AO59" s="417" t="str">
        <f>IF(AN59="","",IF(VLOOKUP(AN59,'G-3 Multipliers'!$S$3:$T$10,2,FALSE)=0,"Spatial Data Missing ⚠",VLOOKUP(AN59,'G-3 Multipliers'!$S$3:$T$10,2,FALSE)))</f>
        <v/>
      </c>
      <c r="AP59" s="376" t="str">
        <f t="shared" si="10"/>
        <v/>
      </c>
      <c r="AQ59" s="376" t="str">
        <f t="shared" si="11"/>
        <v/>
      </c>
      <c r="AR59" s="119"/>
      <c r="AS59" s="528"/>
      <c r="AT59" s="120"/>
      <c r="AU59" s="120"/>
    </row>
    <row r="60" spans="1:47">
      <c r="A60" s="30" t="str">
        <f>IF(E60="","",IF(ISNA(VLOOKUP($E60,'D-1 Off-Site Habitat Baseline'!$D$1:$O$258,2,FALSE)),"",(VLOOKUP($E60,'D-1 Off-Site Habitat Baseline'!$D$1:$O$258,2,FALSE))))</f>
        <v/>
      </c>
      <c r="B60" s="30" t="str">
        <f>IF(E60="","",IF(ISNA(VLOOKUP($E60,'D-1 Off-Site Habitat Baseline'!$D$1:$O$258,3,FALSE)),"",(VLOOKUP($E60,'D-1 Off-Site Habitat Baseline'!$D$1:$O$258,3,FALSE))))</f>
        <v/>
      </c>
      <c r="C60" s="30" t="str">
        <f>IFERROR(INDEX('G-8 Condition Look up'!$I$4:$I$135,MATCH(S60,'G-8 Condition Look up'!$A$4:$A$135,0)),"")</f>
        <v/>
      </c>
      <c r="E60" s="407" t="str">
        <f>'D-1 Off-Site Habitat Baseline'!AP59</f>
        <v/>
      </c>
      <c r="F60" s="382" t="str">
        <f>IF(E60="","",IF(ISNA(VLOOKUP($E60,'D-1 Off-Site Habitat Baseline'!$D$1:$O$258,4,FALSE)),"",(VLOOKUP($E60,'D-1 Off-Site Habitat Baseline'!$D$1:$O$258,4,FALSE))))</f>
        <v/>
      </c>
      <c r="G60" s="382" t="str">
        <f>IF(E60="","",IF(ISNA(VLOOKUP($E60,'D-1 Off-Site Habitat Baseline'!$D$1:$O$258,5,FALSE)),"",(VLOOKUP($E60,'D-1 Off-Site Habitat Baseline'!$D$1:$O$258,5,FALSE))))</f>
        <v/>
      </c>
      <c r="H60" s="382" t="str">
        <f>IF(E60="","",IF(ISNA(VLOOKUP($E60,'D-1 Off-Site Habitat Baseline'!$D$1:$O$258,6,FALSE)),"",(VLOOKUP($E60,'D-1 Off-Site Habitat Baseline'!$D$1:$O$258,6,FALSE))))</f>
        <v/>
      </c>
      <c r="I60" s="382" t="str">
        <f>IF(E60="","",IF(ISNA(VLOOKUP($E60,'D-1 Off-Site Habitat Baseline'!$D$1:$O$258,7,FALSE)),"",(VLOOKUP($E60,'D-1 Off-Site Habitat Baseline'!$D$1:$O$258,7,FALSE))))</f>
        <v/>
      </c>
      <c r="J60" s="382" t="str">
        <f>IF(E60="","",IF(ISNA(VLOOKUP($E60,'D-1 Off-Site Habitat Baseline'!$D$1:$O$258,8,FALSE)),"",(VLOOKUP($E60,'D-1 Off-Site Habitat Baseline'!$D$1:$O$258,8,FALSE))))</f>
        <v/>
      </c>
      <c r="K60" s="382" t="str">
        <f>IF(E60="","",IF(ISNA(VLOOKUP($E60,'D-1 Off-Site Habitat Baseline'!$D$1:$O$258,9,FALSE)),"",(VLOOKUP($E60,'D-1 Off-Site Habitat Baseline'!$D$1:$O$258,9,FALSE))))</f>
        <v/>
      </c>
      <c r="L60" s="382" t="str">
        <f>IF(E60="","",IF(ISNA(VLOOKUP($E60,'D-1 Off-Site Habitat Baseline'!$D$1:$O$258,11,FALSE)),"",(VLOOKUP($E60,'D-1 Off-Site Habitat Baseline'!$D$1:$O$258,11,FALSE))))</f>
        <v/>
      </c>
      <c r="M60" s="382" t="str">
        <f>IF(E60="","",IF(ISNA(VLOOKUP($E60,'D-1 Off-Site Habitat Baseline'!$D$1:$O$258,12,FALSE)),"",(VLOOKUP($E60,'D-1 Off-Site Habitat Baseline'!$D$1:$O$258,12,FALSE))))</f>
        <v/>
      </c>
      <c r="N60" s="382" t="str">
        <f>IF(E60="","",IF(ISNA(VLOOKUP($E60,'D-1 Off-Site Habitat Baseline'!$D$1:$AA$258,14,FALSE)),"",(VLOOKUP($E60,'D-1 Off-Site Habitat Baseline'!$D$1:$AA$258,14,FALSE))))</f>
        <v/>
      </c>
      <c r="O60" s="386" t="str">
        <f>IF(E60="","",IF(ISNA(VLOOKUP($E60,'D-1 Off-Site Habitat Baseline'!$D$1:$AA$258,13,FALSE)),"",(VLOOKUP($E60,'D-1 Off-Site Habitat Baseline'!$D$1:$AA$258,13,FALSE))))</f>
        <v/>
      </c>
      <c r="P60" s="184" t="str">
        <f>IFERROR(INDEX('G-1 All Habitats'!$AG$3:$AG$17,MATCH(Q60,'G-1 All Habitats'!$AF$3:$AF$17,0)),"")</f>
        <v/>
      </c>
      <c r="Q60" s="185" t="str">
        <f t="shared" si="0"/>
        <v/>
      </c>
      <c r="R60" s="186" t="str">
        <f t="shared" si="1"/>
        <v/>
      </c>
      <c r="S60" s="187" t="str">
        <f>IFERROR(INDEX('G-1 All Habitats'!$B$3:$B$134,MATCH(R60,'G-1 All Habitats'!$A$3:$A$134,0)),"")</f>
        <v/>
      </c>
      <c r="T60" s="370" t="str">
        <f t="shared" si="3"/>
        <v/>
      </c>
      <c r="U60" s="386" t="str">
        <f t="shared" si="4"/>
        <v/>
      </c>
      <c r="V60" s="385" t="str">
        <f t="shared" si="5"/>
        <v/>
      </c>
      <c r="W60" s="382" t="str">
        <f>IF(S60="","",VLOOKUP(S60,'G-1 All Habitats'!$B$2:$M$134,10,FALSE))</f>
        <v/>
      </c>
      <c r="X60" s="382" t="str">
        <f>IFERROR(VLOOKUP(W60,'G-1 All Habitats'!$V$3:$W$7,2,FALSE),"")</f>
        <v/>
      </c>
      <c r="Y60" s="165"/>
      <c r="Z60" s="386" t="str">
        <f>IFERROR(INDEX('G-8 Condition Look up'!$A$3:$H$135,MATCH(S60,'G-8 Condition Look up'!$A$3:$A$135,0),MATCH(Y60,'G-8 Condition Look up'!$A$3:$H$3,0)),"")</f>
        <v/>
      </c>
      <c r="AA60" s="114"/>
      <c r="AB60" s="401" t="str">
        <f>IF(AA60="","",IF(VLOOKUP(AA60,'G-3 Multipliers'!$L$3:$N$6,2,FALSE)=0,"Spatial Data Missing ⚠",VLOOKUP(AA60,'G-3 Multipliers'!$L$3:$N$6,2,FALSE)))</f>
        <v/>
      </c>
      <c r="AC60" s="386" t="str">
        <f>IF(AA60="","",IF(VLOOKUP(AA60,'G-3 Multipliers'!$L$3:$N$6,3,FALSE)=0,"Spatial Data Missing ⚠",VLOOKUP(AA60,'G-3 Multipliers'!$L$3:$N$6,3,FALSE)))</f>
        <v/>
      </c>
      <c r="AD60" s="398" t="str">
        <f t="shared" si="2"/>
        <v/>
      </c>
      <c r="AE60" s="165"/>
      <c r="AF60" s="165"/>
      <c r="AG60" s="382" t="str">
        <f t="shared" si="6"/>
        <v/>
      </c>
      <c r="AH60" s="404" t="str">
        <f t="shared" si="7"/>
        <v/>
      </c>
      <c r="AI60" s="387" t="str">
        <f>IF(AH60="Check Data ⚠","Check Data ⚠",IFERROR(VLOOKUP(AH60,'G-4 Temporal multipliers'!$A$4:$C$36,3,FALSE),""))</f>
        <v/>
      </c>
      <c r="AJ60" s="398" t="str">
        <f>IF(S60="","",VLOOKUP(S60,'G-3 Multipliers'!$A$2:$E$134,4,FALSE))</f>
        <v/>
      </c>
      <c r="AK60" s="382" t="str">
        <f t="shared" si="8"/>
        <v/>
      </c>
      <c r="AL60" s="382" t="str">
        <f t="shared" si="9"/>
        <v/>
      </c>
      <c r="AM60" s="386" t="str">
        <f>IFERROR(IF(F60="","",IF(AH60="Check Data ⚠","Check Data ⚠",VLOOKUP(AL60, 'G-3 Multipliers'!$P$2:$Q$6,2,FALSE))),"")</f>
        <v/>
      </c>
      <c r="AN60" s="516"/>
      <c r="AO60" s="417" t="str">
        <f>IF(AN60="","",IF(VLOOKUP(AN60,'G-3 Multipliers'!$S$3:$T$10,2,FALSE)=0,"Spatial Data Missing ⚠",VLOOKUP(AN60,'G-3 Multipliers'!$S$3:$T$10,2,FALSE)))</f>
        <v/>
      </c>
      <c r="AP60" s="376" t="str">
        <f t="shared" si="10"/>
        <v/>
      </c>
      <c r="AQ60" s="376" t="str">
        <f t="shared" si="11"/>
        <v/>
      </c>
      <c r="AR60" s="119"/>
      <c r="AS60" s="528"/>
      <c r="AT60" s="120"/>
      <c r="AU60" s="120"/>
    </row>
    <row r="61" spans="1:47">
      <c r="A61" s="30" t="str">
        <f>IF(E61="","",IF(ISNA(VLOOKUP($E61,'D-1 Off-Site Habitat Baseline'!$D$1:$O$258,2,FALSE)),"",(VLOOKUP($E61,'D-1 Off-Site Habitat Baseline'!$D$1:$O$258,2,FALSE))))</f>
        <v/>
      </c>
      <c r="B61" s="30" t="str">
        <f>IF(E61="","",IF(ISNA(VLOOKUP($E61,'D-1 Off-Site Habitat Baseline'!$D$1:$O$258,3,FALSE)),"",(VLOOKUP($E61,'D-1 Off-Site Habitat Baseline'!$D$1:$O$258,3,FALSE))))</f>
        <v/>
      </c>
      <c r="C61" s="30" t="str">
        <f>IFERROR(INDEX('G-8 Condition Look up'!$I$4:$I$135,MATCH(S61,'G-8 Condition Look up'!$A$4:$A$135,0)),"")</f>
        <v/>
      </c>
      <c r="E61" s="407" t="str">
        <f>'D-1 Off-Site Habitat Baseline'!AP60</f>
        <v/>
      </c>
      <c r="F61" s="382" t="str">
        <f>IF(E61="","",IF(ISNA(VLOOKUP($E61,'D-1 Off-Site Habitat Baseline'!$D$1:$O$258,4,FALSE)),"",(VLOOKUP($E61,'D-1 Off-Site Habitat Baseline'!$D$1:$O$258,4,FALSE))))</f>
        <v/>
      </c>
      <c r="G61" s="382" t="str">
        <f>IF(E61="","",IF(ISNA(VLOOKUP($E61,'D-1 Off-Site Habitat Baseline'!$D$1:$O$258,5,FALSE)),"",(VLOOKUP($E61,'D-1 Off-Site Habitat Baseline'!$D$1:$O$258,5,FALSE))))</f>
        <v/>
      </c>
      <c r="H61" s="382" t="str">
        <f>IF(E61="","",IF(ISNA(VLOOKUP($E61,'D-1 Off-Site Habitat Baseline'!$D$1:$O$258,6,FALSE)),"",(VLOOKUP($E61,'D-1 Off-Site Habitat Baseline'!$D$1:$O$258,6,FALSE))))</f>
        <v/>
      </c>
      <c r="I61" s="382" t="str">
        <f>IF(E61="","",IF(ISNA(VLOOKUP($E61,'D-1 Off-Site Habitat Baseline'!$D$1:$O$258,7,FALSE)),"",(VLOOKUP($E61,'D-1 Off-Site Habitat Baseline'!$D$1:$O$258,7,FALSE))))</f>
        <v/>
      </c>
      <c r="J61" s="382" t="str">
        <f>IF(E61="","",IF(ISNA(VLOOKUP($E61,'D-1 Off-Site Habitat Baseline'!$D$1:$O$258,8,FALSE)),"",(VLOOKUP($E61,'D-1 Off-Site Habitat Baseline'!$D$1:$O$258,8,FALSE))))</f>
        <v/>
      </c>
      <c r="K61" s="382" t="str">
        <f>IF(E61="","",IF(ISNA(VLOOKUP($E61,'D-1 Off-Site Habitat Baseline'!$D$1:$O$258,9,FALSE)),"",(VLOOKUP($E61,'D-1 Off-Site Habitat Baseline'!$D$1:$O$258,9,FALSE))))</f>
        <v/>
      </c>
      <c r="L61" s="382" t="str">
        <f>IF(E61="","",IF(ISNA(VLOOKUP($E61,'D-1 Off-Site Habitat Baseline'!$D$1:$O$258,11,FALSE)),"",(VLOOKUP($E61,'D-1 Off-Site Habitat Baseline'!$D$1:$O$258,11,FALSE))))</f>
        <v/>
      </c>
      <c r="M61" s="382" t="str">
        <f>IF(E61="","",IF(ISNA(VLOOKUP($E61,'D-1 Off-Site Habitat Baseline'!$D$1:$O$258,12,FALSE)),"",(VLOOKUP($E61,'D-1 Off-Site Habitat Baseline'!$D$1:$O$258,12,FALSE))))</f>
        <v/>
      </c>
      <c r="N61" s="382" t="str">
        <f>IF(E61="","",IF(ISNA(VLOOKUP($E61,'D-1 Off-Site Habitat Baseline'!$D$1:$AA$258,14,FALSE)),"",(VLOOKUP($E61,'D-1 Off-Site Habitat Baseline'!$D$1:$AA$258,14,FALSE))))</f>
        <v/>
      </c>
      <c r="O61" s="386" t="str">
        <f>IF(E61="","",IF(ISNA(VLOOKUP($E61,'D-1 Off-Site Habitat Baseline'!$D$1:$AA$258,13,FALSE)),"",(VLOOKUP($E61,'D-1 Off-Site Habitat Baseline'!$D$1:$AA$258,13,FALSE))))</f>
        <v/>
      </c>
      <c r="P61" s="184" t="str">
        <f>IFERROR(INDEX('G-1 All Habitats'!$AG$3:$AG$17,MATCH(Q61,'G-1 All Habitats'!$AF$3:$AF$17,0)),"")</f>
        <v/>
      </c>
      <c r="Q61" s="185" t="str">
        <f t="shared" si="0"/>
        <v/>
      </c>
      <c r="R61" s="186" t="str">
        <f t="shared" si="1"/>
        <v/>
      </c>
      <c r="S61" s="187" t="str">
        <f>IFERROR(INDEX('G-1 All Habitats'!$B$3:$B$134,MATCH(R61,'G-1 All Habitats'!$A$3:$A$134,0)),"")</f>
        <v/>
      </c>
      <c r="T61" s="370" t="str">
        <f t="shared" si="3"/>
        <v/>
      </c>
      <c r="U61" s="386" t="str">
        <f t="shared" si="4"/>
        <v/>
      </c>
      <c r="V61" s="385" t="str">
        <f t="shared" si="5"/>
        <v/>
      </c>
      <c r="W61" s="382" t="str">
        <f>IF(S61="","",VLOOKUP(S61,'G-1 All Habitats'!$B$2:$M$134,10,FALSE))</f>
        <v/>
      </c>
      <c r="X61" s="382" t="str">
        <f>IFERROR(VLOOKUP(W61,'G-1 All Habitats'!$V$3:$W$7,2,FALSE),"")</f>
        <v/>
      </c>
      <c r="Y61" s="165"/>
      <c r="Z61" s="386" t="str">
        <f>IFERROR(INDEX('G-8 Condition Look up'!$A$3:$H$135,MATCH(S61,'G-8 Condition Look up'!$A$3:$A$135,0),MATCH(Y61,'G-8 Condition Look up'!$A$3:$H$3,0)),"")</f>
        <v/>
      </c>
      <c r="AA61" s="114"/>
      <c r="AB61" s="401" t="str">
        <f>IF(AA61="","",IF(VLOOKUP(AA61,'G-3 Multipliers'!$L$3:$N$6,2,FALSE)=0,"Spatial Data Missing ⚠",VLOOKUP(AA61,'G-3 Multipliers'!$L$3:$N$6,2,FALSE)))</f>
        <v/>
      </c>
      <c r="AC61" s="386" t="str">
        <f>IF(AA61="","",IF(VLOOKUP(AA61,'G-3 Multipliers'!$L$3:$N$6,3,FALSE)=0,"Spatial Data Missing ⚠",VLOOKUP(AA61,'G-3 Multipliers'!$L$3:$N$6,3,FALSE)))</f>
        <v/>
      </c>
      <c r="AD61" s="398" t="str">
        <f t="shared" si="2"/>
        <v/>
      </c>
      <c r="AE61" s="165"/>
      <c r="AF61" s="165"/>
      <c r="AG61" s="382" t="str">
        <f t="shared" si="6"/>
        <v/>
      </c>
      <c r="AH61" s="404" t="str">
        <f t="shared" si="7"/>
        <v/>
      </c>
      <c r="AI61" s="387" t="str">
        <f>IF(AH61="Check Data ⚠","Check Data ⚠",IFERROR(VLOOKUP(AH61,'G-4 Temporal multipliers'!$A$4:$C$36,3,FALSE),""))</f>
        <v/>
      </c>
      <c r="AJ61" s="398" t="str">
        <f>IF(S61="","",VLOOKUP(S61,'G-3 Multipliers'!$A$2:$E$134,4,FALSE))</f>
        <v/>
      </c>
      <c r="AK61" s="382" t="str">
        <f t="shared" si="8"/>
        <v/>
      </c>
      <c r="AL61" s="382" t="str">
        <f t="shared" si="9"/>
        <v/>
      </c>
      <c r="AM61" s="386" t="str">
        <f>IFERROR(IF(F61="","",IF(AH61="Check Data ⚠","Check Data ⚠",VLOOKUP(AL61, 'G-3 Multipliers'!$P$2:$Q$6,2,FALSE))),"")</f>
        <v/>
      </c>
      <c r="AN61" s="516"/>
      <c r="AO61" s="417" t="str">
        <f>IF(AN61="","",IF(VLOOKUP(AN61,'G-3 Multipliers'!$S$3:$T$10,2,FALSE)=0,"Spatial Data Missing ⚠",VLOOKUP(AN61,'G-3 Multipliers'!$S$3:$T$10,2,FALSE)))</f>
        <v/>
      </c>
      <c r="AP61" s="376" t="str">
        <f t="shared" si="10"/>
        <v/>
      </c>
      <c r="AQ61" s="376" t="str">
        <f t="shared" si="11"/>
        <v/>
      </c>
      <c r="AR61" s="119"/>
      <c r="AS61" s="528"/>
      <c r="AT61" s="120"/>
      <c r="AU61" s="120"/>
    </row>
    <row r="62" spans="1:47">
      <c r="A62" s="30" t="str">
        <f>IF(E62="","",IF(ISNA(VLOOKUP($E62,'D-1 Off-Site Habitat Baseline'!$D$1:$O$258,2,FALSE)),"",(VLOOKUP($E62,'D-1 Off-Site Habitat Baseline'!$D$1:$O$258,2,FALSE))))</f>
        <v/>
      </c>
      <c r="B62" s="30" t="str">
        <f>IF(E62="","",IF(ISNA(VLOOKUP($E62,'D-1 Off-Site Habitat Baseline'!$D$1:$O$258,3,FALSE)),"",(VLOOKUP($E62,'D-1 Off-Site Habitat Baseline'!$D$1:$O$258,3,FALSE))))</f>
        <v/>
      </c>
      <c r="C62" s="30" t="str">
        <f>IFERROR(INDEX('G-8 Condition Look up'!$I$4:$I$135,MATCH(S62,'G-8 Condition Look up'!$A$4:$A$135,0)),"")</f>
        <v/>
      </c>
      <c r="E62" s="407" t="str">
        <f>'D-1 Off-Site Habitat Baseline'!AP61</f>
        <v/>
      </c>
      <c r="F62" s="382" t="str">
        <f>IF(E62="","",IF(ISNA(VLOOKUP($E62,'D-1 Off-Site Habitat Baseline'!$D$1:$O$258,4,FALSE)),"",(VLOOKUP($E62,'D-1 Off-Site Habitat Baseline'!$D$1:$O$258,4,FALSE))))</f>
        <v/>
      </c>
      <c r="G62" s="382" t="str">
        <f>IF(E62="","",IF(ISNA(VLOOKUP($E62,'D-1 Off-Site Habitat Baseline'!$D$1:$O$258,5,FALSE)),"",(VLOOKUP($E62,'D-1 Off-Site Habitat Baseline'!$D$1:$O$258,5,FALSE))))</f>
        <v/>
      </c>
      <c r="H62" s="382" t="str">
        <f>IF(E62="","",IF(ISNA(VLOOKUP($E62,'D-1 Off-Site Habitat Baseline'!$D$1:$O$258,6,FALSE)),"",(VLOOKUP($E62,'D-1 Off-Site Habitat Baseline'!$D$1:$O$258,6,FALSE))))</f>
        <v/>
      </c>
      <c r="I62" s="382" t="str">
        <f>IF(E62="","",IF(ISNA(VLOOKUP($E62,'D-1 Off-Site Habitat Baseline'!$D$1:$O$258,7,FALSE)),"",(VLOOKUP($E62,'D-1 Off-Site Habitat Baseline'!$D$1:$O$258,7,FALSE))))</f>
        <v/>
      </c>
      <c r="J62" s="382" t="str">
        <f>IF(E62="","",IF(ISNA(VLOOKUP($E62,'D-1 Off-Site Habitat Baseline'!$D$1:$O$258,8,FALSE)),"",(VLOOKUP($E62,'D-1 Off-Site Habitat Baseline'!$D$1:$O$258,8,FALSE))))</f>
        <v/>
      </c>
      <c r="K62" s="382" t="str">
        <f>IF(E62="","",IF(ISNA(VLOOKUP($E62,'D-1 Off-Site Habitat Baseline'!$D$1:$O$258,9,FALSE)),"",(VLOOKUP($E62,'D-1 Off-Site Habitat Baseline'!$D$1:$O$258,9,FALSE))))</f>
        <v/>
      </c>
      <c r="L62" s="382" t="str">
        <f>IF(E62="","",IF(ISNA(VLOOKUP($E62,'D-1 Off-Site Habitat Baseline'!$D$1:$O$258,11,FALSE)),"",(VLOOKUP($E62,'D-1 Off-Site Habitat Baseline'!$D$1:$O$258,11,FALSE))))</f>
        <v/>
      </c>
      <c r="M62" s="382" t="str">
        <f>IF(E62="","",IF(ISNA(VLOOKUP($E62,'D-1 Off-Site Habitat Baseline'!$D$1:$O$258,12,FALSE)),"",(VLOOKUP($E62,'D-1 Off-Site Habitat Baseline'!$D$1:$O$258,12,FALSE))))</f>
        <v/>
      </c>
      <c r="N62" s="382" t="str">
        <f>IF(E62="","",IF(ISNA(VLOOKUP($E62,'D-1 Off-Site Habitat Baseline'!$D$1:$AA$258,14,FALSE)),"",(VLOOKUP($E62,'D-1 Off-Site Habitat Baseline'!$D$1:$AA$258,14,FALSE))))</f>
        <v/>
      </c>
      <c r="O62" s="386" t="str">
        <f>IF(E62="","",IF(ISNA(VLOOKUP($E62,'D-1 Off-Site Habitat Baseline'!$D$1:$AA$258,13,FALSE)),"",(VLOOKUP($E62,'D-1 Off-Site Habitat Baseline'!$D$1:$AA$258,13,FALSE))))</f>
        <v/>
      </c>
      <c r="P62" s="184" t="str">
        <f>IFERROR(INDEX('G-1 All Habitats'!$AG$3:$AG$17,MATCH(Q62,'G-1 All Habitats'!$AF$3:$AF$17,0)),"")</f>
        <v/>
      </c>
      <c r="Q62" s="185" t="str">
        <f t="shared" si="0"/>
        <v/>
      </c>
      <c r="R62" s="186" t="str">
        <f t="shared" si="1"/>
        <v/>
      </c>
      <c r="S62" s="187" t="str">
        <f>IFERROR(INDEX('G-1 All Habitats'!$B$3:$B$134,MATCH(R62,'G-1 All Habitats'!$A$3:$A$134,0)),"")</f>
        <v/>
      </c>
      <c r="T62" s="370" t="str">
        <f t="shared" si="3"/>
        <v/>
      </c>
      <c r="U62" s="386" t="str">
        <f t="shared" si="4"/>
        <v/>
      </c>
      <c r="V62" s="385" t="str">
        <f t="shared" si="5"/>
        <v/>
      </c>
      <c r="W62" s="382" t="str">
        <f>IF(S62="","",VLOOKUP(S62,'G-1 All Habitats'!$B$2:$M$134,10,FALSE))</f>
        <v/>
      </c>
      <c r="X62" s="382" t="str">
        <f>IFERROR(VLOOKUP(W62,'G-1 All Habitats'!$V$3:$W$7,2,FALSE),"")</f>
        <v/>
      </c>
      <c r="Y62" s="165"/>
      <c r="Z62" s="386" t="str">
        <f>IFERROR(INDEX('G-8 Condition Look up'!$A$3:$H$135,MATCH(S62,'G-8 Condition Look up'!$A$3:$A$135,0),MATCH(Y62,'G-8 Condition Look up'!$A$3:$H$3,0)),"")</f>
        <v/>
      </c>
      <c r="AA62" s="114"/>
      <c r="AB62" s="401" t="str">
        <f>IF(AA62="","",IF(VLOOKUP(AA62,'G-3 Multipliers'!$L$3:$N$6,2,FALSE)=0,"Spatial Data Missing ⚠",VLOOKUP(AA62,'G-3 Multipliers'!$L$3:$N$6,2,FALSE)))</f>
        <v/>
      </c>
      <c r="AC62" s="386" t="str">
        <f>IF(AA62="","",IF(VLOOKUP(AA62,'G-3 Multipliers'!$L$3:$N$6,3,FALSE)=0,"Spatial Data Missing ⚠",VLOOKUP(AA62,'G-3 Multipliers'!$L$3:$N$6,3,FALSE)))</f>
        <v/>
      </c>
      <c r="AD62" s="398" t="str">
        <f t="shared" si="2"/>
        <v/>
      </c>
      <c r="AE62" s="165"/>
      <c r="AF62" s="165"/>
      <c r="AG62" s="382" t="str">
        <f t="shared" si="6"/>
        <v/>
      </c>
      <c r="AH62" s="404" t="str">
        <f t="shared" si="7"/>
        <v/>
      </c>
      <c r="AI62" s="387" t="str">
        <f>IF(AH62="Check Data ⚠","Check Data ⚠",IFERROR(VLOOKUP(AH62,'G-4 Temporal multipliers'!$A$4:$C$36,3,FALSE),""))</f>
        <v/>
      </c>
      <c r="AJ62" s="398" t="str">
        <f>IF(S62="","",VLOOKUP(S62,'G-3 Multipliers'!$A$2:$E$134,4,FALSE))</f>
        <v/>
      </c>
      <c r="AK62" s="382" t="str">
        <f t="shared" si="8"/>
        <v/>
      </c>
      <c r="AL62" s="382" t="str">
        <f t="shared" si="9"/>
        <v/>
      </c>
      <c r="AM62" s="386" t="str">
        <f>IFERROR(IF(F62="","",IF(AH62="Check Data ⚠","Check Data ⚠",VLOOKUP(AL62, 'G-3 Multipliers'!$P$2:$Q$6,2,FALSE))),"")</f>
        <v/>
      </c>
      <c r="AN62" s="516"/>
      <c r="AO62" s="417" t="str">
        <f>IF(AN62="","",IF(VLOOKUP(AN62,'G-3 Multipliers'!$S$3:$T$10,2,FALSE)=0,"Spatial Data Missing ⚠",VLOOKUP(AN62,'G-3 Multipliers'!$S$3:$T$10,2,FALSE)))</f>
        <v/>
      </c>
      <c r="AP62" s="376" t="str">
        <f t="shared" si="10"/>
        <v/>
      </c>
      <c r="AQ62" s="376" t="str">
        <f t="shared" si="11"/>
        <v/>
      </c>
      <c r="AR62" s="119"/>
      <c r="AS62" s="528"/>
      <c r="AT62" s="120"/>
      <c r="AU62" s="120"/>
    </row>
    <row r="63" spans="1:47">
      <c r="A63" s="30" t="str">
        <f>IF(E63="","",IF(ISNA(VLOOKUP($E63,'D-1 Off-Site Habitat Baseline'!$D$1:$O$258,2,FALSE)),"",(VLOOKUP($E63,'D-1 Off-Site Habitat Baseline'!$D$1:$O$258,2,FALSE))))</f>
        <v/>
      </c>
      <c r="B63" s="30" t="str">
        <f>IF(E63="","",IF(ISNA(VLOOKUP($E63,'D-1 Off-Site Habitat Baseline'!$D$1:$O$258,3,FALSE)),"",(VLOOKUP($E63,'D-1 Off-Site Habitat Baseline'!$D$1:$O$258,3,FALSE))))</f>
        <v/>
      </c>
      <c r="C63" s="30" t="str">
        <f>IFERROR(INDEX('G-8 Condition Look up'!$I$4:$I$135,MATCH(S63,'G-8 Condition Look up'!$A$4:$A$135,0)),"")</f>
        <v/>
      </c>
      <c r="E63" s="407" t="str">
        <f>'D-1 Off-Site Habitat Baseline'!AP62</f>
        <v/>
      </c>
      <c r="F63" s="382" t="str">
        <f>IF(E63="","",IF(ISNA(VLOOKUP($E63,'D-1 Off-Site Habitat Baseline'!$D$1:$O$258,4,FALSE)),"",(VLOOKUP($E63,'D-1 Off-Site Habitat Baseline'!$D$1:$O$258,4,FALSE))))</f>
        <v/>
      </c>
      <c r="G63" s="382" t="str">
        <f>IF(E63="","",IF(ISNA(VLOOKUP($E63,'D-1 Off-Site Habitat Baseline'!$D$1:$O$258,5,FALSE)),"",(VLOOKUP($E63,'D-1 Off-Site Habitat Baseline'!$D$1:$O$258,5,FALSE))))</f>
        <v/>
      </c>
      <c r="H63" s="382" t="str">
        <f>IF(E63="","",IF(ISNA(VLOOKUP($E63,'D-1 Off-Site Habitat Baseline'!$D$1:$O$258,6,FALSE)),"",(VLOOKUP($E63,'D-1 Off-Site Habitat Baseline'!$D$1:$O$258,6,FALSE))))</f>
        <v/>
      </c>
      <c r="I63" s="382" t="str">
        <f>IF(E63="","",IF(ISNA(VLOOKUP($E63,'D-1 Off-Site Habitat Baseline'!$D$1:$O$258,7,FALSE)),"",(VLOOKUP($E63,'D-1 Off-Site Habitat Baseline'!$D$1:$O$258,7,FALSE))))</f>
        <v/>
      </c>
      <c r="J63" s="382" t="str">
        <f>IF(E63="","",IF(ISNA(VLOOKUP($E63,'D-1 Off-Site Habitat Baseline'!$D$1:$O$258,8,FALSE)),"",(VLOOKUP($E63,'D-1 Off-Site Habitat Baseline'!$D$1:$O$258,8,FALSE))))</f>
        <v/>
      </c>
      <c r="K63" s="382" t="str">
        <f>IF(E63="","",IF(ISNA(VLOOKUP($E63,'D-1 Off-Site Habitat Baseline'!$D$1:$O$258,9,FALSE)),"",(VLOOKUP($E63,'D-1 Off-Site Habitat Baseline'!$D$1:$O$258,9,FALSE))))</f>
        <v/>
      </c>
      <c r="L63" s="382" t="str">
        <f>IF(E63="","",IF(ISNA(VLOOKUP($E63,'D-1 Off-Site Habitat Baseline'!$D$1:$O$258,11,FALSE)),"",(VLOOKUP($E63,'D-1 Off-Site Habitat Baseline'!$D$1:$O$258,11,FALSE))))</f>
        <v/>
      </c>
      <c r="M63" s="382" t="str">
        <f>IF(E63="","",IF(ISNA(VLOOKUP($E63,'D-1 Off-Site Habitat Baseline'!$D$1:$O$258,12,FALSE)),"",(VLOOKUP($E63,'D-1 Off-Site Habitat Baseline'!$D$1:$O$258,12,FALSE))))</f>
        <v/>
      </c>
      <c r="N63" s="382" t="str">
        <f>IF(E63="","",IF(ISNA(VLOOKUP($E63,'D-1 Off-Site Habitat Baseline'!$D$1:$AA$258,14,FALSE)),"",(VLOOKUP($E63,'D-1 Off-Site Habitat Baseline'!$D$1:$AA$258,14,FALSE))))</f>
        <v/>
      </c>
      <c r="O63" s="386" t="str">
        <f>IF(E63="","",IF(ISNA(VLOOKUP($E63,'D-1 Off-Site Habitat Baseline'!$D$1:$AA$258,13,FALSE)),"",(VLOOKUP($E63,'D-1 Off-Site Habitat Baseline'!$D$1:$AA$258,13,FALSE))))</f>
        <v/>
      </c>
      <c r="P63" s="184" t="str">
        <f>IFERROR(INDEX('G-1 All Habitats'!$AG$3:$AG$17,MATCH(Q63,'G-1 All Habitats'!$AF$3:$AF$17,0)),"")</f>
        <v/>
      </c>
      <c r="Q63" s="185" t="str">
        <f t="shared" si="0"/>
        <v/>
      </c>
      <c r="R63" s="186" t="str">
        <f t="shared" si="1"/>
        <v/>
      </c>
      <c r="S63" s="187" t="str">
        <f>IFERROR(INDEX('G-1 All Habitats'!$B$3:$B$134,MATCH(R63,'G-1 All Habitats'!$A$3:$A$134,0)),"")</f>
        <v/>
      </c>
      <c r="T63" s="370" t="str">
        <f t="shared" si="3"/>
        <v/>
      </c>
      <c r="U63" s="386" t="str">
        <f t="shared" si="4"/>
        <v/>
      </c>
      <c r="V63" s="385" t="str">
        <f t="shared" si="5"/>
        <v/>
      </c>
      <c r="W63" s="382" t="str">
        <f>IF(S63="","",VLOOKUP(S63,'G-1 All Habitats'!$B$2:$M$134,10,FALSE))</f>
        <v/>
      </c>
      <c r="X63" s="382" t="str">
        <f>IFERROR(VLOOKUP(W63,'G-1 All Habitats'!$V$3:$W$7,2,FALSE),"")</f>
        <v/>
      </c>
      <c r="Y63" s="165"/>
      <c r="Z63" s="386" t="str">
        <f>IFERROR(INDEX('G-8 Condition Look up'!$A$3:$H$135,MATCH(S63,'G-8 Condition Look up'!$A$3:$A$135,0),MATCH(Y63,'G-8 Condition Look up'!$A$3:$H$3,0)),"")</f>
        <v/>
      </c>
      <c r="AA63" s="114"/>
      <c r="AB63" s="401" t="str">
        <f>IF(AA63="","",IF(VLOOKUP(AA63,'G-3 Multipliers'!$L$3:$N$6,2,FALSE)=0,"Spatial Data Missing ⚠",VLOOKUP(AA63,'G-3 Multipliers'!$L$3:$N$6,2,FALSE)))</f>
        <v/>
      </c>
      <c r="AC63" s="386" t="str">
        <f>IF(AA63="","",IF(VLOOKUP(AA63,'G-3 Multipliers'!$L$3:$N$6,3,FALSE)=0,"Spatial Data Missing ⚠",VLOOKUP(AA63,'G-3 Multipliers'!$L$3:$N$6,3,FALSE)))</f>
        <v/>
      </c>
      <c r="AD63" s="398" t="str">
        <f t="shared" si="2"/>
        <v/>
      </c>
      <c r="AE63" s="165"/>
      <c r="AF63" s="165"/>
      <c r="AG63" s="382" t="str">
        <f t="shared" si="6"/>
        <v/>
      </c>
      <c r="AH63" s="404" t="str">
        <f t="shared" si="7"/>
        <v/>
      </c>
      <c r="AI63" s="387" t="str">
        <f>IF(AH63="Check Data ⚠","Check Data ⚠",IFERROR(VLOOKUP(AH63,'G-4 Temporal multipliers'!$A$4:$C$36,3,FALSE),""))</f>
        <v/>
      </c>
      <c r="AJ63" s="398" t="str">
        <f>IF(S63="","",VLOOKUP(S63,'G-3 Multipliers'!$A$2:$E$134,4,FALSE))</f>
        <v/>
      </c>
      <c r="AK63" s="382" t="str">
        <f t="shared" si="8"/>
        <v/>
      </c>
      <c r="AL63" s="382" t="str">
        <f t="shared" si="9"/>
        <v/>
      </c>
      <c r="AM63" s="386" t="str">
        <f>IFERROR(IF(F63="","",IF(AH63="Check Data ⚠","Check Data ⚠",VLOOKUP(AL63, 'G-3 Multipliers'!$P$2:$Q$6,2,FALSE))),"")</f>
        <v/>
      </c>
      <c r="AN63" s="516"/>
      <c r="AO63" s="417" t="str">
        <f>IF(AN63="","",IF(VLOOKUP(AN63,'G-3 Multipliers'!$S$3:$T$10,2,FALSE)=0,"Spatial Data Missing ⚠",VLOOKUP(AN63,'G-3 Multipliers'!$S$3:$T$10,2,FALSE)))</f>
        <v/>
      </c>
      <c r="AP63" s="376" t="str">
        <f t="shared" si="10"/>
        <v/>
      </c>
      <c r="AQ63" s="376" t="str">
        <f t="shared" si="11"/>
        <v/>
      </c>
      <c r="AR63" s="119"/>
      <c r="AS63" s="528"/>
      <c r="AT63" s="120"/>
      <c r="AU63" s="120"/>
    </row>
    <row r="64" spans="1:47">
      <c r="A64" s="30" t="str">
        <f>IF(E64="","",IF(ISNA(VLOOKUP($E64,'D-1 Off-Site Habitat Baseline'!$D$1:$O$258,2,FALSE)),"",(VLOOKUP($E64,'D-1 Off-Site Habitat Baseline'!$D$1:$O$258,2,FALSE))))</f>
        <v/>
      </c>
      <c r="B64" s="30" t="str">
        <f>IF(E64="","",IF(ISNA(VLOOKUP($E64,'D-1 Off-Site Habitat Baseline'!$D$1:$O$258,3,FALSE)),"",(VLOOKUP($E64,'D-1 Off-Site Habitat Baseline'!$D$1:$O$258,3,FALSE))))</f>
        <v/>
      </c>
      <c r="C64" s="30" t="str">
        <f>IFERROR(INDEX('G-8 Condition Look up'!$I$4:$I$135,MATCH(S64,'G-8 Condition Look up'!$A$4:$A$135,0)),"")</f>
        <v/>
      </c>
      <c r="E64" s="407" t="str">
        <f>'D-1 Off-Site Habitat Baseline'!AP63</f>
        <v/>
      </c>
      <c r="F64" s="382" t="str">
        <f>IF(E64="","",IF(ISNA(VLOOKUP($E64,'D-1 Off-Site Habitat Baseline'!$D$1:$O$258,4,FALSE)),"",(VLOOKUP($E64,'D-1 Off-Site Habitat Baseline'!$D$1:$O$258,4,FALSE))))</f>
        <v/>
      </c>
      <c r="G64" s="382" t="str">
        <f>IF(E64="","",IF(ISNA(VLOOKUP($E64,'D-1 Off-Site Habitat Baseline'!$D$1:$O$258,5,FALSE)),"",(VLOOKUP($E64,'D-1 Off-Site Habitat Baseline'!$D$1:$O$258,5,FALSE))))</f>
        <v/>
      </c>
      <c r="H64" s="382" t="str">
        <f>IF(E64="","",IF(ISNA(VLOOKUP($E64,'D-1 Off-Site Habitat Baseline'!$D$1:$O$258,6,FALSE)),"",(VLOOKUP($E64,'D-1 Off-Site Habitat Baseline'!$D$1:$O$258,6,FALSE))))</f>
        <v/>
      </c>
      <c r="I64" s="382" t="str">
        <f>IF(E64="","",IF(ISNA(VLOOKUP($E64,'D-1 Off-Site Habitat Baseline'!$D$1:$O$258,7,FALSE)),"",(VLOOKUP($E64,'D-1 Off-Site Habitat Baseline'!$D$1:$O$258,7,FALSE))))</f>
        <v/>
      </c>
      <c r="J64" s="382" t="str">
        <f>IF(E64="","",IF(ISNA(VLOOKUP($E64,'D-1 Off-Site Habitat Baseline'!$D$1:$O$258,8,FALSE)),"",(VLOOKUP($E64,'D-1 Off-Site Habitat Baseline'!$D$1:$O$258,8,FALSE))))</f>
        <v/>
      </c>
      <c r="K64" s="382" t="str">
        <f>IF(E64="","",IF(ISNA(VLOOKUP($E64,'D-1 Off-Site Habitat Baseline'!$D$1:$O$258,9,FALSE)),"",(VLOOKUP($E64,'D-1 Off-Site Habitat Baseline'!$D$1:$O$258,9,FALSE))))</f>
        <v/>
      </c>
      <c r="L64" s="382" t="str">
        <f>IF(E64="","",IF(ISNA(VLOOKUP($E64,'D-1 Off-Site Habitat Baseline'!$D$1:$O$258,11,FALSE)),"",(VLOOKUP($E64,'D-1 Off-Site Habitat Baseline'!$D$1:$O$258,11,FALSE))))</f>
        <v/>
      </c>
      <c r="M64" s="382" t="str">
        <f>IF(E64="","",IF(ISNA(VLOOKUP($E64,'D-1 Off-Site Habitat Baseline'!$D$1:$O$258,12,FALSE)),"",(VLOOKUP($E64,'D-1 Off-Site Habitat Baseline'!$D$1:$O$258,12,FALSE))))</f>
        <v/>
      </c>
      <c r="N64" s="382" t="str">
        <f>IF(E64="","",IF(ISNA(VLOOKUP($E64,'D-1 Off-Site Habitat Baseline'!$D$1:$AA$258,14,FALSE)),"",(VLOOKUP($E64,'D-1 Off-Site Habitat Baseline'!$D$1:$AA$258,14,FALSE))))</f>
        <v/>
      </c>
      <c r="O64" s="386" t="str">
        <f>IF(E64="","",IF(ISNA(VLOOKUP($E64,'D-1 Off-Site Habitat Baseline'!$D$1:$AA$258,13,FALSE)),"",(VLOOKUP($E64,'D-1 Off-Site Habitat Baseline'!$D$1:$AA$258,13,FALSE))))</f>
        <v/>
      </c>
      <c r="P64" s="184" t="str">
        <f>IFERROR(INDEX('G-1 All Habitats'!$AG$3:$AG$17,MATCH(Q64,'G-1 All Habitats'!$AF$3:$AF$17,0)),"")</f>
        <v/>
      </c>
      <c r="Q64" s="185" t="str">
        <f t="shared" si="0"/>
        <v/>
      </c>
      <c r="R64" s="186" t="str">
        <f t="shared" si="1"/>
        <v/>
      </c>
      <c r="S64" s="187" t="str">
        <f>IFERROR(INDEX('G-1 All Habitats'!$B$3:$B$134,MATCH(R64,'G-1 All Habitats'!$A$3:$A$134,0)),"")</f>
        <v/>
      </c>
      <c r="T64" s="370" t="str">
        <f t="shared" si="3"/>
        <v/>
      </c>
      <c r="U64" s="386" t="str">
        <f t="shared" si="4"/>
        <v/>
      </c>
      <c r="V64" s="385" t="str">
        <f t="shared" si="5"/>
        <v/>
      </c>
      <c r="W64" s="382" t="str">
        <f>IF(S64="","",VLOOKUP(S64,'G-1 All Habitats'!$B$2:$M$134,10,FALSE))</f>
        <v/>
      </c>
      <c r="X64" s="382" t="str">
        <f>IFERROR(VLOOKUP(W64,'G-1 All Habitats'!$V$3:$W$7,2,FALSE),"")</f>
        <v/>
      </c>
      <c r="Y64" s="165"/>
      <c r="Z64" s="386" t="str">
        <f>IFERROR(INDEX('G-8 Condition Look up'!$A$3:$H$135,MATCH(S64,'G-8 Condition Look up'!$A$3:$A$135,0),MATCH(Y64,'G-8 Condition Look up'!$A$3:$H$3,0)),"")</f>
        <v/>
      </c>
      <c r="AA64" s="114"/>
      <c r="AB64" s="401" t="str">
        <f>IF(AA64="","",IF(VLOOKUP(AA64,'G-3 Multipliers'!$L$3:$N$6,2,FALSE)=0,"Spatial Data Missing ⚠",VLOOKUP(AA64,'G-3 Multipliers'!$L$3:$N$6,2,FALSE)))</f>
        <v/>
      </c>
      <c r="AC64" s="386" t="str">
        <f>IF(AA64="","",IF(VLOOKUP(AA64,'G-3 Multipliers'!$L$3:$N$6,3,FALSE)=0,"Spatial Data Missing ⚠",VLOOKUP(AA64,'G-3 Multipliers'!$L$3:$N$6,3,FALSE)))</f>
        <v/>
      </c>
      <c r="AD64" s="398" t="str">
        <f t="shared" si="2"/>
        <v/>
      </c>
      <c r="AE64" s="165"/>
      <c r="AF64" s="165"/>
      <c r="AG64" s="382" t="str">
        <f t="shared" si="6"/>
        <v/>
      </c>
      <c r="AH64" s="404" t="str">
        <f t="shared" si="7"/>
        <v/>
      </c>
      <c r="AI64" s="387" t="str">
        <f>IF(AH64="Check Data ⚠","Check Data ⚠",IFERROR(VLOOKUP(AH64,'G-4 Temporal multipliers'!$A$4:$C$36,3,FALSE),""))</f>
        <v/>
      </c>
      <c r="AJ64" s="398" t="str">
        <f>IF(S64="","",VLOOKUP(S64,'G-3 Multipliers'!$A$2:$E$134,4,FALSE))</f>
        <v/>
      </c>
      <c r="AK64" s="382" t="str">
        <f t="shared" si="8"/>
        <v/>
      </c>
      <c r="AL64" s="382" t="str">
        <f t="shared" si="9"/>
        <v/>
      </c>
      <c r="AM64" s="386" t="str">
        <f>IFERROR(IF(F64="","",IF(AH64="Check Data ⚠","Check Data ⚠",VLOOKUP(AL64, 'G-3 Multipliers'!$P$2:$Q$6,2,FALSE))),"")</f>
        <v/>
      </c>
      <c r="AN64" s="516"/>
      <c r="AO64" s="417" t="str">
        <f>IF(AN64="","",IF(VLOOKUP(AN64,'G-3 Multipliers'!$S$3:$T$10,2,FALSE)=0,"Spatial Data Missing ⚠",VLOOKUP(AN64,'G-3 Multipliers'!$S$3:$T$10,2,FALSE)))</f>
        <v/>
      </c>
      <c r="AP64" s="376" t="str">
        <f t="shared" si="10"/>
        <v/>
      </c>
      <c r="AQ64" s="376" t="str">
        <f t="shared" si="11"/>
        <v/>
      </c>
      <c r="AR64" s="119"/>
      <c r="AS64" s="528"/>
      <c r="AT64" s="120"/>
      <c r="AU64" s="120"/>
    </row>
    <row r="65" spans="1:47">
      <c r="A65" s="30" t="str">
        <f>IF(E65="","",IF(ISNA(VLOOKUP($E65,'D-1 Off-Site Habitat Baseline'!$D$1:$O$258,2,FALSE)),"",(VLOOKUP($E65,'D-1 Off-Site Habitat Baseline'!$D$1:$O$258,2,FALSE))))</f>
        <v/>
      </c>
      <c r="B65" s="30" t="str">
        <f>IF(E65="","",IF(ISNA(VLOOKUP($E65,'D-1 Off-Site Habitat Baseline'!$D$1:$O$258,3,FALSE)),"",(VLOOKUP($E65,'D-1 Off-Site Habitat Baseline'!$D$1:$O$258,3,FALSE))))</f>
        <v/>
      </c>
      <c r="C65" s="30" t="str">
        <f>IFERROR(INDEX('G-8 Condition Look up'!$I$4:$I$135,MATCH(S65,'G-8 Condition Look up'!$A$4:$A$135,0)),"")</f>
        <v/>
      </c>
      <c r="E65" s="407" t="str">
        <f>'D-1 Off-Site Habitat Baseline'!AP64</f>
        <v/>
      </c>
      <c r="F65" s="382" t="str">
        <f>IF(E65="","",IF(ISNA(VLOOKUP($E65,'D-1 Off-Site Habitat Baseline'!$D$1:$O$258,4,FALSE)),"",(VLOOKUP($E65,'D-1 Off-Site Habitat Baseline'!$D$1:$O$258,4,FALSE))))</f>
        <v/>
      </c>
      <c r="G65" s="382" t="str">
        <f>IF(E65="","",IF(ISNA(VLOOKUP($E65,'D-1 Off-Site Habitat Baseline'!$D$1:$O$258,5,FALSE)),"",(VLOOKUP($E65,'D-1 Off-Site Habitat Baseline'!$D$1:$O$258,5,FALSE))))</f>
        <v/>
      </c>
      <c r="H65" s="382" t="str">
        <f>IF(E65="","",IF(ISNA(VLOOKUP($E65,'D-1 Off-Site Habitat Baseline'!$D$1:$O$258,6,FALSE)),"",(VLOOKUP($E65,'D-1 Off-Site Habitat Baseline'!$D$1:$O$258,6,FALSE))))</f>
        <v/>
      </c>
      <c r="I65" s="382" t="str">
        <f>IF(E65="","",IF(ISNA(VLOOKUP($E65,'D-1 Off-Site Habitat Baseline'!$D$1:$O$258,7,FALSE)),"",(VLOOKUP($E65,'D-1 Off-Site Habitat Baseline'!$D$1:$O$258,7,FALSE))))</f>
        <v/>
      </c>
      <c r="J65" s="382" t="str">
        <f>IF(E65="","",IF(ISNA(VLOOKUP($E65,'D-1 Off-Site Habitat Baseline'!$D$1:$O$258,8,FALSE)),"",(VLOOKUP($E65,'D-1 Off-Site Habitat Baseline'!$D$1:$O$258,8,FALSE))))</f>
        <v/>
      </c>
      <c r="K65" s="382" t="str">
        <f>IF(E65="","",IF(ISNA(VLOOKUP($E65,'D-1 Off-Site Habitat Baseline'!$D$1:$O$258,9,FALSE)),"",(VLOOKUP($E65,'D-1 Off-Site Habitat Baseline'!$D$1:$O$258,9,FALSE))))</f>
        <v/>
      </c>
      <c r="L65" s="382" t="str">
        <f>IF(E65="","",IF(ISNA(VLOOKUP($E65,'D-1 Off-Site Habitat Baseline'!$D$1:$O$258,11,FALSE)),"",(VLOOKUP($E65,'D-1 Off-Site Habitat Baseline'!$D$1:$O$258,11,FALSE))))</f>
        <v/>
      </c>
      <c r="M65" s="382" t="str">
        <f>IF(E65="","",IF(ISNA(VLOOKUP($E65,'D-1 Off-Site Habitat Baseline'!$D$1:$O$258,12,FALSE)),"",(VLOOKUP($E65,'D-1 Off-Site Habitat Baseline'!$D$1:$O$258,12,FALSE))))</f>
        <v/>
      </c>
      <c r="N65" s="382" t="str">
        <f>IF(E65="","",IF(ISNA(VLOOKUP($E65,'D-1 Off-Site Habitat Baseline'!$D$1:$AA$258,14,FALSE)),"",(VLOOKUP($E65,'D-1 Off-Site Habitat Baseline'!$D$1:$AA$258,14,FALSE))))</f>
        <v/>
      </c>
      <c r="O65" s="386" t="str">
        <f>IF(E65="","",IF(ISNA(VLOOKUP($E65,'D-1 Off-Site Habitat Baseline'!$D$1:$AA$258,13,FALSE)),"",(VLOOKUP($E65,'D-1 Off-Site Habitat Baseline'!$D$1:$AA$258,13,FALSE))))</f>
        <v/>
      </c>
      <c r="P65" s="184" t="str">
        <f>IFERROR(INDEX('G-1 All Habitats'!$AG$3:$AG$17,MATCH(Q65,'G-1 All Habitats'!$AF$3:$AF$17,0)),"")</f>
        <v/>
      </c>
      <c r="Q65" s="185" t="str">
        <f t="shared" si="0"/>
        <v/>
      </c>
      <c r="R65" s="186" t="str">
        <f t="shared" si="1"/>
        <v/>
      </c>
      <c r="S65" s="187" t="str">
        <f>IFERROR(INDEX('G-1 All Habitats'!$B$3:$B$134,MATCH(R65,'G-1 All Habitats'!$A$3:$A$134,0)),"")</f>
        <v/>
      </c>
      <c r="T65" s="370" t="str">
        <f t="shared" si="3"/>
        <v/>
      </c>
      <c r="U65" s="386" t="str">
        <f t="shared" si="4"/>
        <v/>
      </c>
      <c r="V65" s="385" t="str">
        <f t="shared" si="5"/>
        <v/>
      </c>
      <c r="W65" s="382" t="str">
        <f>IF(S65="","",VLOOKUP(S65,'G-1 All Habitats'!$B$2:$M$134,10,FALSE))</f>
        <v/>
      </c>
      <c r="X65" s="382" t="str">
        <f>IFERROR(VLOOKUP(W65,'G-1 All Habitats'!$V$3:$W$7,2,FALSE),"")</f>
        <v/>
      </c>
      <c r="Y65" s="165"/>
      <c r="Z65" s="386" t="str">
        <f>IFERROR(INDEX('G-8 Condition Look up'!$A$3:$H$135,MATCH(S65,'G-8 Condition Look up'!$A$3:$A$135,0),MATCH(Y65,'G-8 Condition Look up'!$A$3:$H$3,0)),"")</f>
        <v/>
      </c>
      <c r="AA65" s="114"/>
      <c r="AB65" s="401" t="str">
        <f>IF(AA65="","",IF(VLOOKUP(AA65,'G-3 Multipliers'!$L$3:$N$6,2,FALSE)=0,"Spatial Data Missing ⚠",VLOOKUP(AA65,'G-3 Multipliers'!$L$3:$N$6,2,FALSE)))</f>
        <v/>
      </c>
      <c r="AC65" s="386" t="str">
        <f>IF(AA65="","",IF(VLOOKUP(AA65,'G-3 Multipliers'!$L$3:$N$6,3,FALSE)=0,"Spatial Data Missing ⚠",VLOOKUP(AA65,'G-3 Multipliers'!$L$3:$N$6,3,FALSE)))</f>
        <v/>
      </c>
      <c r="AD65" s="398" t="str">
        <f t="shared" si="2"/>
        <v/>
      </c>
      <c r="AE65" s="165"/>
      <c r="AF65" s="165"/>
      <c r="AG65" s="382" t="str">
        <f t="shared" si="6"/>
        <v/>
      </c>
      <c r="AH65" s="404" t="str">
        <f t="shared" si="7"/>
        <v/>
      </c>
      <c r="AI65" s="387" t="str">
        <f>IF(AH65="Check Data ⚠","Check Data ⚠",IFERROR(VLOOKUP(AH65,'G-4 Temporal multipliers'!$A$4:$C$36,3,FALSE),""))</f>
        <v/>
      </c>
      <c r="AJ65" s="398" t="str">
        <f>IF(S65="","",VLOOKUP(S65,'G-3 Multipliers'!$A$2:$E$134,4,FALSE))</f>
        <v/>
      </c>
      <c r="AK65" s="382" t="str">
        <f t="shared" si="8"/>
        <v/>
      </c>
      <c r="AL65" s="382" t="str">
        <f t="shared" si="9"/>
        <v/>
      </c>
      <c r="AM65" s="386" t="str">
        <f>IFERROR(IF(F65="","",IF(AH65="Check Data ⚠","Check Data ⚠",VLOOKUP(AL65, 'G-3 Multipliers'!$P$2:$Q$6,2,FALSE))),"")</f>
        <v/>
      </c>
      <c r="AN65" s="516"/>
      <c r="AO65" s="417" t="str">
        <f>IF(AN65="","",IF(VLOOKUP(AN65,'G-3 Multipliers'!$S$3:$T$10,2,FALSE)=0,"Spatial Data Missing ⚠",VLOOKUP(AN65,'G-3 Multipliers'!$S$3:$T$10,2,FALSE)))</f>
        <v/>
      </c>
      <c r="AP65" s="376" t="str">
        <f t="shared" si="10"/>
        <v/>
      </c>
      <c r="AQ65" s="376" t="str">
        <f t="shared" si="11"/>
        <v/>
      </c>
      <c r="AR65" s="119"/>
      <c r="AS65" s="528"/>
      <c r="AT65" s="120"/>
      <c r="AU65" s="120"/>
    </row>
    <row r="66" spans="1:47">
      <c r="A66" s="30" t="str">
        <f>IF(E66="","",IF(ISNA(VLOOKUP($E66,'D-1 Off-Site Habitat Baseline'!$D$1:$O$258,2,FALSE)),"",(VLOOKUP($E66,'D-1 Off-Site Habitat Baseline'!$D$1:$O$258,2,FALSE))))</f>
        <v/>
      </c>
      <c r="B66" s="30" t="str">
        <f>IF(E66="","",IF(ISNA(VLOOKUP($E66,'D-1 Off-Site Habitat Baseline'!$D$1:$O$258,3,FALSE)),"",(VLOOKUP($E66,'D-1 Off-Site Habitat Baseline'!$D$1:$O$258,3,FALSE))))</f>
        <v/>
      </c>
      <c r="C66" s="30" t="str">
        <f>IFERROR(INDEX('G-8 Condition Look up'!$I$4:$I$135,MATCH(S66,'G-8 Condition Look up'!$A$4:$A$135,0)),"")</f>
        <v/>
      </c>
      <c r="E66" s="407" t="str">
        <f>'D-1 Off-Site Habitat Baseline'!AP65</f>
        <v/>
      </c>
      <c r="F66" s="382" t="str">
        <f>IF(E66="","",IF(ISNA(VLOOKUP($E66,'D-1 Off-Site Habitat Baseline'!$D$1:$O$258,4,FALSE)),"",(VLOOKUP($E66,'D-1 Off-Site Habitat Baseline'!$D$1:$O$258,4,FALSE))))</f>
        <v/>
      </c>
      <c r="G66" s="382" t="str">
        <f>IF(E66="","",IF(ISNA(VLOOKUP($E66,'D-1 Off-Site Habitat Baseline'!$D$1:$O$258,5,FALSE)),"",(VLOOKUP($E66,'D-1 Off-Site Habitat Baseline'!$D$1:$O$258,5,FALSE))))</f>
        <v/>
      </c>
      <c r="H66" s="382" t="str">
        <f>IF(E66="","",IF(ISNA(VLOOKUP($E66,'D-1 Off-Site Habitat Baseline'!$D$1:$O$258,6,FALSE)),"",(VLOOKUP($E66,'D-1 Off-Site Habitat Baseline'!$D$1:$O$258,6,FALSE))))</f>
        <v/>
      </c>
      <c r="I66" s="382" t="str">
        <f>IF(E66="","",IF(ISNA(VLOOKUP($E66,'D-1 Off-Site Habitat Baseline'!$D$1:$O$258,7,FALSE)),"",(VLOOKUP($E66,'D-1 Off-Site Habitat Baseline'!$D$1:$O$258,7,FALSE))))</f>
        <v/>
      </c>
      <c r="J66" s="382" t="str">
        <f>IF(E66="","",IF(ISNA(VLOOKUP($E66,'D-1 Off-Site Habitat Baseline'!$D$1:$O$258,8,FALSE)),"",(VLOOKUP($E66,'D-1 Off-Site Habitat Baseline'!$D$1:$O$258,8,FALSE))))</f>
        <v/>
      </c>
      <c r="K66" s="382" t="str">
        <f>IF(E66="","",IF(ISNA(VLOOKUP($E66,'D-1 Off-Site Habitat Baseline'!$D$1:$O$258,9,FALSE)),"",(VLOOKUP($E66,'D-1 Off-Site Habitat Baseline'!$D$1:$O$258,9,FALSE))))</f>
        <v/>
      </c>
      <c r="L66" s="382" t="str">
        <f>IF(E66="","",IF(ISNA(VLOOKUP($E66,'D-1 Off-Site Habitat Baseline'!$D$1:$O$258,11,FALSE)),"",(VLOOKUP($E66,'D-1 Off-Site Habitat Baseline'!$D$1:$O$258,11,FALSE))))</f>
        <v/>
      </c>
      <c r="M66" s="382" t="str">
        <f>IF(E66="","",IF(ISNA(VLOOKUP($E66,'D-1 Off-Site Habitat Baseline'!$D$1:$O$258,12,FALSE)),"",(VLOOKUP($E66,'D-1 Off-Site Habitat Baseline'!$D$1:$O$258,12,FALSE))))</f>
        <v/>
      </c>
      <c r="N66" s="382" t="str">
        <f>IF(E66="","",IF(ISNA(VLOOKUP($E66,'D-1 Off-Site Habitat Baseline'!$D$1:$AA$258,14,FALSE)),"",(VLOOKUP($E66,'D-1 Off-Site Habitat Baseline'!$D$1:$AA$258,14,FALSE))))</f>
        <v/>
      </c>
      <c r="O66" s="386" t="str">
        <f>IF(E66="","",IF(ISNA(VLOOKUP($E66,'D-1 Off-Site Habitat Baseline'!$D$1:$AA$258,13,FALSE)),"",(VLOOKUP($E66,'D-1 Off-Site Habitat Baseline'!$D$1:$AA$258,13,FALSE))))</f>
        <v/>
      </c>
      <c r="P66" s="184" t="str">
        <f>IFERROR(INDEX('G-1 All Habitats'!$AG$3:$AG$17,MATCH(Q66,'G-1 All Habitats'!$AF$3:$AF$17,0)),"")</f>
        <v/>
      </c>
      <c r="Q66" s="185" t="str">
        <f t="shared" si="0"/>
        <v/>
      </c>
      <c r="R66" s="186" t="str">
        <f t="shared" si="1"/>
        <v/>
      </c>
      <c r="S66" s="187" t="str">
        <f>IFERROR(INDEX('G-1 All Habitats'!$B$3:$B$134,MATCH(R66,'G-1 All Habitats'!$A$3:$A$134,0)),"")</f>
        <v/>
      </c>
      <c r="T66" s="370" t="str">
        <f t="shared" si="3"/>
        <v/>
      </c>
      <c r="U66" s="386" t="str">
        <f t="shared" si="4"/>
        <v/>
      </c>
      <c r="V66" s="385" t="str">
        <f t="shared" si="5"/>
        <v/>
      </c>
      <c r="W66" s="382" t="str">
        <f>IF(S66="","",VLOOKUP(S66,'G-1 All Habitats'!$B$2:$M$134,10,FALSE))</f>
        <v/>
      </c>
      <c r="X66" s="382" t="str">
        <f>IFERROR(VLOOKUP(W66,'G-1 All Habitats'!$V$3:$W$7,2,FALSE),"")</f>
        <v/>
      </c>
      <c r="Y66" s="165"/>
      <c r="Z66" s="386" t="str">
        <f>IFERROR(INDEX('G-8 Condition Look up'!$A$3:$H$135,MATCH(S66,'G-8 Condition Look up'!$A$3:$A$135,0),MATCH(Y66,'G-8 Condition Look up'!$A$3:$H$3,0)),"")</f>
        <v/>
      </c>
      <c r="AA66" s="114"/>
      <c r="AB66" s="401" t="str">
        <f>IF(AA66="","",IF(VLOOKUP(AA66,'G-3 Multipliers'!$L$3:$N$6,2,FALSE)=0,"Spatial Data Missing ⚠",VLOOKUP(AA66,'G-3 Multipliers'!$L$3:$N$6,2,FALSE)))</f>
        <v/>
      </c>
      <c r="AC66" s="386" t="str">
        <f>IF(AA66="","",IF(VLOOKUP(AA66,'G-3 Multipliers'!$L$3:$N$6,3,FALSE)=0,"Spatial Data Missing ⚠",VLOOKUP(AA66,'G-3 Multipliers'!$L$3:$N$6,3,FALSE)))</f>
        <v/>
      </c>
      <c r="AD66" s="398" t="str">
        <f t="shared" si="2"/>
        <v/>
      </c>
      <c r="AE66" s="165"/>
      <c r="AF66" s="165"/>
      <c r="AG66" s="382" t="str">
        <f t="shared" si="6"/>
        <v/>
      </c>
      <c r="AH66" s="404" t="str">
        <f t="shared" si="7"/>
        <v/>
      </c>
      <c r="AI66" s="387" t="str">
        <f>IF(AH66="Check Data ⚠","Check Data ⚠",IFERROR(VLOOKUP(AH66,'G-4 Temporal multipliers'!$A$4:$C$36,3,FALSE),""))</f>
        <v/>
      </c>
      <c r="AJ66" s="398" t="str">
        <f>IF(S66="","",VLOOKUP(S66,'G-3 Multipliers'!$A$2:$E$134,4,FALSE))</f>
        <v/>
      </c>
      <c r="AK66" s="382" t="str">
        <f t="shared" si="8"/>
        <v/>
      </c>
      <c r="AL66" s="382" t="str">
        <f t="shared" si="9"/>
        <v/>
      </c>
      <c r="AM66" s="386" t="str">
        <f>IFERROR(IF(F66="","",IF(AH66="Check Data ⚠","Check Data ⚠",VLOOKUP(AL66, 'G-3 Multipliers'!$P$2:$Q$6,2,FALSE))),"")</f>
        <v/>
      </c>
      <c r="AN66" s="516"/>
      <c r="AO66" s="417" t="str">
        <f>IF(AN66="","",IF(VLOOKUP(AN66,'G-3 Multipliers'!$S$3:$T$10,2,FALSE)=0,"Spatial Data Missing ⚠",VLOOKUP(AN66,'G-3 Multipliers'!$S$3:$T$10,2,FALSE)))</f>
        <v/>
      </c>
      <c r="AP66" s="376" t="str">
        <f t="shared" si="10"/>
        <v/>
      </c>
      <c r="AQ66" s="376" t="str">
        <f t="shared" si="11"/>
        <v/>
      </c>
      <c r="AR66" s="119"/>
      <c r="AS66" s="528"/>
      <c r="AT66" s="120"/>
      <c r="AU66" s="120"/>
    </row>
    <row r="67" spans="1:47">
      <c r="A67" s="30" t="str">
        <f>IF(E67="","",IF(ISNA(VLOOKUP($E67,'D-1 Off-Site Habitat Baseline'!$D$1:$O$258,2,FALSE)),"",(VLOOKUP($E67,'D-1 Off-Site Habitat Baseline'!$D$1:$O$258,2,FALSE))))</f>
        <v/>
      </c>
      <c r="B67" s="30" t="str">
        <f>IF(E67="","",IF(ISNA(VLOOKUP($E67,'D-1 Off-Site Habitat Baseline'!$D$1:$O$258,3,FALSE)),"",(VLOOKUP($E67,'D-1 Off-Site Habitat Baseline'!$D$1:$O$258,3,FALSE))))</f>
        <v/>
      </c>
      <c r="C67" s="30" t="str">
        <f>IFERROR(INDEX('G-8 Condition Look up'!$I$4:$I$135,MATCH(S67,'G-8 Condition Look up'!$A$4:$A$135,0)),"")</f>
        <v/>
      </c>
      <c r="E67" s="407" t="str">
        <f>'D-1 Off-Site Habitat Baseline'!AP66</f>
        <v/>
      </c>
      <c r="F67" s="382" t="str">
        <f>IF(E67="","",IF(ISNA(VLOOKUP($E67,'D-1 Off-Site Habitat Baseline'!$D$1:$O$258,4,FALSE)),"",(VLOOKUP($E67,'D-1 Off-Site Habitat Baseline'!$D$1:$O$258,4,FALSE))))</f>
        <v/>
      </c>
      <c r="G67" s="382" t="str">
        <f>IF(E67="","",IF(ISNA(VLOOKUP($E67,'D-1 Off-Site Habitat Baseline'!$D$1:$O$258,5,FALSE)),"",(VLOOKUP($E67,'D-1 Off-Site Habitat Baseline'!$D$1:$O$258,5,FALSE))))</f>
        <v/>
      </c>
      <c r="H67" s="382" t="str">
        <f>IF(E67="","",IF(ISNA(VLOOKUP($E67,'D-1 Off-Site Habitat Baseline'!$D$1:$O$258,6,FALSE)),"",(VLOOKUP($E67,'D-1 Off-Site Habitat Baseline'!$D$1:$O$258,6,FALSE))))</f>
        <v/>
      </c>
      <c r="I67" s="382" t="str">
        <f>IF(E67="","",IF(ISNA(VLOOKUP($E67,'D-1 Off-Site Habitat Baseline'!$D$1:$O$258,7,FALSE)),"",(VLOOKUP($E67,'D-1 Off-Site Habitat Baseline'!$D$1:$O$258,7,FALSE))))</f>
        <v/>
      </c>
      <c r="J67" s="382" t="str">
        <f>IF(E67="","",IF(ISNA(VLOOKUP($E67,'D-1 Off-Site Habitat Baseline'!$D$1:$O$258,8,FALSE)),"",(VLOOKUP($E67,'D-1 Off-Site Habitat Baseline'!$D$1:$O$258,8,FALSE))))</f>
        <v/>
      </c>
      <c r="K67" s="382" t="str">
        <f>IF(E67="","",IF(ISNA(VLOOKUP($E67,'D-1 Off-Site Habitat Baseline'!$D$1:$O$258,9,FALSE)),"",(VLOOKUP($E67,'D-1 Off-Site Habitat Baseline'!$D$1:$O$258,9,FALSE))))</f>
        <v/>
      </c>
      <c r="L67" s="382" t="str">
        <f>IF(E67="","",IF(ISNA(VLOOKUP($E67,'D-1 Off-Site Habitat Baseline'!$D$1:$O$258,11,FALSE)),"",(VLOOKUP($E67,'D-1 Off-Site Habitat Baseline'!$D$1:$O$258,11,FALSE))))</f>
        <v/>
      </c>
      <c r="M67" s="382" t="str">
        <f>IF(E67="","",IF(ISNA(VLOOKUP($E67,'D-1 Off-Site Habitat Baseline'!$D$1:$O$258,12,FALSE)),"",(VLOOKUP($E67,'D-1 Off-Site Habitat Baseline'!$D$1:$O$258,12,FALSE))))</f>
        <v/>
      </c>
      <c r="N67" s="382" t="str">
        <f>IF(E67="","",IF(ISNA(VLOOKUP($E67,'D-1 Off-Site Habitat Baseline'!$D$1:$AA$258,14,FALSE)),"",(VLOOKUP($E67,'D-1 Off-Site Habitat Baseline'!$D$1:$AA$258,14,FALSE))))</f>
        <v/>
      </c>
      <c r="O67" s="386" t="str">
        <f>IF(E67="","",IF(ISNA(VLOOKUP($E67,'D-1 Off-Site Habitat Baseline'!$D$1:$AA$258,13,FALSE)),"",(VLOOKUP($E67,'D-1 Off-Site Habitat Baseline'!$D$1:$AA$258,13,FALSE))))</f>
        <v/>
      </c>
      <c r="P67" s="184" t="str">
        <f>IFERROR(INDEX('G-1 All Habitats'!$AG$3:$AG$17,MATCH(Q67,'G-1 All Habitats'!$AF$3:$AF$17,0)),"")</f>
        <v/>
      </c>
      <c r="Q67" s="185" t="str">
        <f t="shared" si="0"/>
        <v/>
      </c>
      <c r="R67" s="186" t="str">
        <f t="shared" si="1"/>
        <v/>
      </c>
      <c r="S67" s="187" t="str">
        <f>IFERROR(INDEX('G-1 All Habitats'!$B$3:$B$134,MATCH(R67,'G-1 All Habitats'!$A$3:$A$134,0)),"")</f>
        <v/>
      </c>
      <c r="T67" s="370" t="str">
        <f t="shared" si="3"/>
        <v/>
      </c>
      <c r="U67" s="386" t="str">
        <f t="shared" si="4"/>
        <v/>
      </c>
      <c r="V67" s="385" t="str">
        <f t="shared" si="5"/>
        <v/>
      </c>
      <c r="W67" s="382" t="str">
        <f>IF(S67="","",VLOOKUP(S67,'G-1 All Habitats'!$B$2:$M$134,10,FALSE))</f>
        <v/>
      </c>
      <c r="X67" s="382" t="str">
        <f>IFERROR(VLOOKUP(W67,'G-1 All Habitats'!$V$3:$W$7,2,FALSE),"")</f>
        <v/>
      </c>
      <c r="Y67" s="165"/>
      <c r="Z67" s="386" t="str">
        <f>IFERROR(INDEX('G-8 Condition Look up'!$A$3:$H$135,MATCH(S67,'G-8 Condition Look up'!$A$3:$A$135,0),MATCH(Y67,'G-8 Condition Look up'!$A$3:$H$3,0)),"")</f>
        <v/>
      </c>
      <c r="AA67" s="114"/>
      <c r="AB67" s="401" t="str">
        <f>IF(AA67="","",IF(VLOOKUP(AA67,'G-3 Multipliers'!$L$3:$N$6,2,FALSE)=0,"Spatial Data Missing ⚠",VLOOKUP(AA67,'G-3 Multipliers'!$L$3:$N$6,2,FALSE)))</f>
        <v/>
      </c>
      <c r="AC67" s="386" t="str">
        <f>IF(AA67="","",IF(VLOOKUP(AA67,'G-3 Multipliers'!$L$3:$N$6,3,FALSE)=0,"Spatial Data Missing ⚠",VLOOKUP(AA67,'G-3 Multipliers'!$L$3:$N$6,3,FALSE)))</f>
        <v/>
      </c>
      <c r="AD67" s="398" t="str">
        <f t="shared" si="2"/>
        <v/>
      </c>
      <c r="AE67" s="165"/>
      <c r="AF67" s="165"/>
      <c r="AG67" s="382" t="str">
        <f t="shared" si="6"/>
        <v/>
      </c>
      <c r="AH67" s="404" t="str">
        <f t="shared" si="7"/>
        <v/>
      </c>
      <c r="AI67" s="387" t="str">
        <f>IF(AH67="Check Data ⚠","Check Data ⚠",IFERROR(VLOOKUP(AH67,'G-4 Temporal multipliers'!$A$4:$C$36,3,FALSE),""))</f>
        <v/>
      </c>
      <c r="AJ67" s="398" t="str">
        <f>IF(S67="","",VLOOKUP(S67,'G-3 Multipliers'!$A$2:$E$134,4,FALSE))</f>
        <v/>
      </c>
      <c r="AK67" s="382" t="str">
        <f t="shared" si="8"/>
        <v/>
      </c>
      <c r="AL67" s="382" t="str">
        <f t="shared" si="9"/>
        <v/>
      </c>
      <c r="AM67" s="386" t="str">
        <f>IFERROR(IF(F67="","",IF(AH67="Check Data ⚠","Check Data ⚠",VLOOKUP(AL67, 'G-3 Multipliers'!$P$2:$Q$6,2,FALSE))),"")</f>
        <v/>
      </c>
      <c r="AN67" s="516"/>
      <c r="AO67" s="417" t="str">
        <f>IF(AN67="","",IF(VLOOKUP(AN67,'G-3 Multipliers'!$S$3:$T$10,2,FALSE)=0,"Spatial Data Missing ⚠",VLOOKUP(AN67,'G-3 Multipliers'!$S$3:$T$10,2,FALSE)))</f>
        <v/>
      </c>
      <c r="AP67" s="376" t="str">
        <f t="shared" si="10"/>
        <v/>
      </c>
      <c r="AQ67" s="376" t="str">
        <f t="shared" si="11"/>
        <v/>
      </c>
      <c r="AR67" s="119"/>
      <c r="AS67" s="528"/>
      <c r="AT67" s="120"/>
      <c r="AU67" s="120"/>
    </row>
    <row r="68" spans="1:47">
      <c r="A68" s="30" t="str">
        <f>IF(E68="","",IF(ISNA(VLOOKUP($E68,'D-1 Off-Site Habitat Baseline'!$D$1:$O$258,2,FALSE)),"",(VLOOKUP($E68,'D-1 Off-Site Habitat Baseline'!$D$1:$O$258,2,FALSE))))</f>
        <v/>
      </c>
      <c r="B68" s="30" t="str">
        <f>IF(E68="","",IF(ISNA(VLOOKUP($E68,'D-1 Off-Site Habitat Baseline'!$D$1:$O$258,3,FALSE)),"",(VLOOKUP($E68,'D-1 Off-Site Habitat Baseline'!$D$1:$O$258,3,FALSE))))</f>
        <v/>
      </c>
      <c r="C68" s="30" t="str">
        <f>IFERROR(INDEX('G-8 Condition Look up'!$I$4:$I$135,MATCH(S68,'G-8 Condition Look up'!$A$4:$A$135,0)),"")</f>
        <v/>
      </c>
      <c r="E68" s="407" t="str">
        <f>'D-1 Off-Site Habitat Baseline'!AP67</f>
        <v/>
      </c>
      <c r="F68" s="382" t="str">
        <f>IF(E68="","",IF(ISNA(VLOOKUP($E68,'D-1 Off-Site Habitat Baseline'!$D$1:$O$258,4,FALSE)),"",(VLOOKUP($E68,'D-1 Off-Site Habitat Baseline'!$D$1:$O$258,4,FALSE))))</f>
        <v/>
      </c>
      <c r="G68" s="382" t="str">
        <f>IF(E68="","",IF(ISNA(VLOOKUP($E68,'D-1 Off-Site Habitat Baseline'!$D$1:$O$258,5,FALSE)),"",(VLOOKUP($E68,'D-1 Off-Site Habitat Baseline'!$D$1:$O$258,5,FALSE))))</f>
        <v/>
      </c>
      <c r="H68" s="382" t="str">
        <f>IF(E68="","",IF(ISNA(VLOOKUP($E68,'D-1 Off-Site Habitat Baseline'!$D$1:$O$258,6,FALSE)),"",(VLOOKUP($E68,'D-1 Off-Site Habitat Baseline'!$D$1:$O$258,6,FALSE))))</f>
        <v/>
      </c>
      <c r="I68" s="382" t="str">
        <f>IF(E68="","",IF(ISNA(VLOOKUP($E68,'D-1 Off-Site Habitat Baseline'!$D$1:$O$258,7,FALSE)),"",(VLOOKUP($E68,'D-1 Off-Site Habitat Baseline'!$D$1:$O$258,7,FALSE))))</f>
        <v/>
      </c>
      <c r="J68" s="382" t="str">
        <f>IF(E68="","",IF(ISNA(VLOOKUP($E68,'D-1 Off-Site Habitat Baseline'!$D$1:$O$258,8,FALSE)),"",(VLOOKUP($E68,'D-1 Off-Site Habitat Baseline'!$D$1:$O$258,8,FALSE))))</f>
        <v/>
      </c>
      <c r="K68" s="382" t="str">
        <f>IF(E68="","",IF(ISNA(VLOOKUP($E68,'D-1 Off-Site Habitat Baseline'!$D$1:$O$258,9,FALSE)),"",(VLOOKUP($E68,'D-1 Off-Site Habitat Baseline'!$D$1:$O$258,9,FALSE))))</f>
        <v/>
      </c>
      <c r="L68" s="382" t="str">
        <f>IF(E68="","",IF(ISNA(VLOOKUP($E68,'D-1 Off-Site Habitat Baseline'!$D$1:$O$258,11,FALSE)),"",(VLOOKUP($E68,'D-1 Off-Site Habitat Baseline'!$D$1:$O$258,11,FALSE))))</f>
        <v/>
      </c>
      <c r="M68" s="382" t="str">
        <f>IF(E68="","",IF(ISNA(VLOOKUP($E68,'D-1 Off-Site Habitat Baseline'!$D$1:$O$258,12,FALSE)),"",(VLOOKUP($E68,'D-1 Off-Site Habitat Baseline'!$D$1:$O$258,12,FALSE))))</f>
        <v/>
      </c>
      <c r="N68" s="382" t="str">
        <f>IF(E68="","",IF(ISNA(VLOOKUP($E68,'D-1 Off-Site Habitat Baseline'!$D$1:$AA$258,14,FALSE)),"",(VLOOKUP($E68,'D-1 Off-Site Habitat Baseline'!$D$1:$AA$258,14,FALSE))))</f>
        <v/>
      </c>
      <c r="O68" s="386" t="str">
        <f>IF(E68="","",IF(ISNA(VLOOKUP($E68,'D-1 Off-Site Habitat Baseline'!$D$1:$AA$258,13,FALSE)),"",(VLOOKUP($E68,'D-1 Off-Site Habitat Baseline'!$D$1:$AA$258,13,FALSE))))</f>
        <v/>
      </c>
      <c r="P68" s="184" t="str">
        <f>IFERROR(INDEX('G-1 All Habitats'!$AG$3:$AG$17,MATCH(Q68,'G-1 All Habitats'!$AF$3:$AF$17,0)),"")</f>
        <v/>
      </c>
      <c r="Q68" s="185" t="str">
        <f t="shared" si="0"/>
        <v/>
      </c>
      <c r="R68" s="186" t="str">
        <f t="shared" si="1"/>
        <v/>
      </c>
      <c r="S68" s="187" t="str">
        <f>IFERROR(INDEX('G-1 All Habitats'!$B$3:$B$134,MATCH(R68,'G-1 All Habitats'!$A$3:$A$134,0)),"")</f>
        <v/>
      </c>
      <c r="T68" s="370" t="str">
        <f t="shared" si="3"/>
        <v/>
      </c>
      <c r="U68" s="386" t="str">
        <f t="shared" si="4"/>
        <v/>
      </c>
      <c r="V68" s="385" t="str">
        <f t="shared" si="5"/>
        <v/>
      </c>
      <c r="W68" s="382" t="str">
        <f>IF(S68="","",VLOOKUP(S68,'G-1 All Habitats'!$B$2:$M$134,10,FALSE))</f>
        <v/>
      </c>
      <c r="X68" s="382" t="str">
        <f>IFERROR(VLOOKUP(W68,'G-1 All Habitats'!$V$3:$W$7,2,FALSE),"")</f>
        <v/>
      </c>
      <c r="Y68" s="165"/>
      <c r="Z68" s="386" t="str">
        <f>IFERROR(INDEX('G-8 Condition Look up'!$A$3:$H$135,MATCH(S68,'G-8 Condition Look up'!$A$3:$A$135,0),MATCH(Y68,'G-8 Condition Look up'!$A$3:$H$3,0)),"")</f>
        <v/>
      </c>
      <c r="AA68" s="114"/>
      <c r="AB68" s="401" t="str">
        <f>IF(AA68="","",IF(VLOOKUP(AA68,'G-3 Multipliers'!$L$3:$N$6,2,FALSE)=0,"Spatial Data Missing ⚠",VLOOKUP(AA68,'G-3 Multipliers'!$L$3:$N$6,2,FALSE)))</f>
        <v/>
      </c>
      <c r="AC68" s="386" t="str">
        <f>IF(AA68="","",IF(VLOOKUP(AA68,'G-3 Multipliers'!$L$3:$N$6,3,FALSE)=0,"Spatial Data Missing ⚠",VLOOKUP(AA68,'G-3 Multipliers'!$L$3:$N$6,3,FALSE)))</f>
        <v/>
      </c>
      <c r="AD68" s="398" t="str">
        <f t="shared" si="2"/>
        <v/>
      </c>
      <c r="AE68" s="165"/>
      <c r="AF68" s="165"/>
      <c r="AG68" s="382" t="str">
        <f t="shared" si="6"/>
        <v/>
      </c>
      <c r="AH68" s="404" t="str">
        <f t="shared" si="7"/>
        <v/>
      </c>
      <c r="AI68" s="387" t="str">
        <f>IF(AH68="Check Data ⚠","Check Data ⚠",IFERROR(VLOOKUP(AH68,'G-4 Temporal multipliers'!$A$4:$C$36,3,FALSE),""))</f>
        <v/>
      </c>
      <c r="AJ68" s="398" t="str">
        <f>IF(S68="","",VLOOKUP(S68,'G-3 Multipliers'!$A$2:$E$134,4,FALSE))</f>
        <v/>
      </c>
      <c r="AK68" s="382" t="str">
        <f t="shared" si="8"/>
        <v/>
      </c>
      <c r="AL68" s="382" t="str">
        <f t="shared" si="9"/>
        <v/>
      </c>
      <c r="AM68" s="386" t="str">
        <f>IFERROR(IF(F68="","",IF(AH68="Check Data ⚠","Check Data ⚠",VLOOKUP(AL68, 'G-3 Multipliers'!$P$2:$Q$6,2,FALSE))),"")</f>
        <v/>
      </c>
      <c r="AN68" s="516"/>
      <c r="AO68" s="417" t="str">
        <f>IF(AN68="","",IF(VLOOKUP(AN68,'G-3 Multipliers'!$S$3:$T$10,2,FALSE)=0,"Spatial Data Missing ⚠",VLOOKUP(AN68,'G-3 Multipliers'!$S$3:$T$10,2,FALSE)))</f>
        <v/>
      </c>
      <c r="AP68" s="376" t="str">
        <f t="shared" si="10"/>
        <v/>
      </c>
      <c r="AQ68" s="376" t="str">
        <f t="shared" si="11"/>
        <v/>
      </c>
      <c r="AR68" s="119"/>
      <c r="AS68" s="528"/>
      <c r="AT68" s="120"/>
      <c r="AU68" s="120"/>
    </row>
    <row r="69" spans="1:47">
      <c r="A69" s="30" t="str">
        <f>IF(E69="","",IF(ISNA(VLOOKUP($E69,'D-1 Off-Site Habitat Baseline'!$D$1:$O$258,2,FALSE)),"",(VLOOKUP($E69,'D-1 Off-Site Habitat Baseline'!$D$1:$O$258,2,FALSE))))</f>
        <v/>
      </c>
      <c r="B69" s="30" t="str">
        <f>IF(E69="","",IF(ISNA(VLOOKUP($E69,'D-1 Off-Site Habitat Baseline'!$D$1:$O$258,3,FALSE)),"",(VLOOKUP($E69,'D-1 Off-Site Habitat Baseline'!$D$1:$O$258,3,FALSE))))</f>
        <v/>
      </c>
      <c r="C69" s="30" t="str">
        <f>IFERROR(INDEX('G-8 Condition Look up'!$I$4:$I$135,MATCH(S69,'G-8 Condition Look up'!$A$4:$A$135,0)),"")</f>
        <v/>
      </c>
      <c r="E69" s="407" t="str">
        <f>'D-1 Off-Site Habitat Baseline'!AP68</f>
        <v/>
      </c>
      <c r="F69" s="382" t="str">
        <f>IF(E69="","",IF(ISNA(VLOOKUP($E69,'D-1 Off-Site Habitat Baseline'!$D$1:$O$258,4,FALSE)),"",(VLOOKUP($E69,'D-1 Off-Site Habitat Baseline'!$D$1:$O$258,4,FALSE))))</f>
        <v/>
      </c>
      <c r="G69" s="382" t="str">
        <f>IF(E69="","",IF(ISNA(VLOOKUP($E69,'D-1 Off-Site Habitat Baseline'!$D$1:$O$258,5,FALSE)),"",(VLOOKUP($E69,'D-1 Off-Site Habitat Baseline'!$D$1:$O$258,5,FALSE))))</f>
        <v/>
      </c>
      <c r="H69" s="382" t="str">
        <f>IF(E69="","",IF(ISNA(VLOOKUP($E69,'D-1 Off-Site Habitat Baseline'!$D$1:$O$258,6,FALSE)),"",(VLOOKUP($E69,'D-1 Off-Site Habitat Baseline'!$D$1:$O$258,6,FALSE))))</f>
        <v/>
      </c>
      <c r="I69" s="382" t="str">
        <f>IF(E69="","",IF(ISNA(VLOOKUP($E69,'D-1 Off-Site Habitat Baseline'!$D$1:$O$258,7,FALSE)),"",(VLOOKUP($E69,'D-1 Off-Site Habitat Baseline'!$D$1:$O$258,7,FALSE))))</f>
        <v/>
      </c>
      <c r="J69" s="382" t="str">
        <f>IF(E69="","",IF(ISNA(VLOOKUP($E69,'D-1 Off-Site Habitat Baseline'!$D$1:$O$258,8,FALSE)),"",(VLOOKUP($E69,'D-1 Off-Site Habitat Baseline'!$D$1:$O$258,8,FALSE))))</f>
        <v/>
      </c>
      <c r="K69" s="382" t="str">
        <f>IF(E69="","",IF(ISNA(VLOOKUP($E69,'D-1 Off-Site Habitat Baseline'!$D$1:$O$258,9,FALSE)),"",(VLOOKUP($E69,'D-1 Off-Site Habitat Baseline'!$D$1:$O$258,9,FALSE))))</f>
        <v/>
      </c>
      <c r="L69" s="382" t="str">
        <f>IF(E69="","",IF(ISNA(VLOOKUP($E69,'D-1 Off-Site Habitat Baseline'!$D$1:$O$258,11,FALSE)),"",(VLOOKUP($E69,'D-1 Off-Site Habitat Baseline'!$D$1:$O$258,11,FALSE))))</f>
        <v/>
      </c>
      <c r="M69" s="382" t="str">
        <f>IF(E69="","",IF(ISNA(VLOOKUP($E69,'D-1 Off-Site Habitat Baseline'!$D$1:$O$258,12,FALSE)),"",(VLOOKUP($E69,'D-1 Off-Site Habitat Baseline'!$D$1:$O$258,12,FALSE))))</f>
        <v/>
      </c>
      <c r="N69" s="382" t="str">
        <f>IF(E69="","",IF(ISNA(VLOOKUP($E69,'D-1 Off-Site Habitat Baseline'!$D$1:$AA$258,14,FALSE)),"",(VLOOKUP($E69,'D-1 Off-Site Habitat Baseline'!$D$1:$AA$258,14,FALSE))))</f>
        <v/>
      </c>
      <c r="O69" s="386" t="str">
        <f>IF(E69="","",IF(ISNA(VLOOKUP($E69,'D-1 Off-Site Habitat Baseline'!$D$1:$AA$258,13,FALSE)),"",(VLOOKUP($E69,'D-1 Off-Site Habitat Baseline'!$D$1:$AA$258,13,FALSE))))</f>
        <v/>
      </c>
      <c r="P69" s="184" t="str">
        <f>IFERROR(INDEX('G-1 All Habitats'!$AG$3:$AG$17,MATCH(Q69,'G-1 All Habitats'!$AF$3:$AF$17,0)),"")</f>
        <v/>
      </c>
      <c r="Q69" s="185" t="str">
        <f t="shared" si="0"/>
        <v/>
      </c>
      <c r="R69" s="186" t="str">
        <f t="shared" si="1"/>
        <v/>
      </c>
      <c r="S69" s="187" t="str">
        <f>IFERROR(INDEX('G-1 All Habitats'!$B$3:$B$134,MATCH(R69,'G-1 All Habitats'!$A$3:$A$134,0)),"")</f>
        <v/>
      </c>
      <c r="T69" s="370" t="str">
        <f t="shared" si="3"/>
        <v/>
      </c>
      <c r="U69" s="386" t="str">
        <f t="shared" si="4"/>
        <v/>
      </c>
      <c r="V69" s="385" t="str">
        <f t="shared" si="5"/>
        <v/>
      </c>
      <c r="W69" s="382" t="str">
        <f>IF(S69="","",VLOOKUP(S69,'G-1 All Habitats'!$B$2:$M$134,10,FALSE))</f>
        <v/>
      </c>
      <c r="X69" s="382" t="str">
        <f>IFERROR(VLOOKUP(W69,'G-1 All Habitats'!$V$3:$W$7,2,FALSE),"")</f>
        <v/>
      </c>
      <c r="Y69" s="165"/>
      <c r="Z69" s="386" t="str">
        <f>IFERROR(INDEX('G-8 Condition Look up'!$A$3:$H$135,MATCH(S69,'G-8 Condition Look up'!$A$3:$A$135,0),MATCH(Y69,'G-8 Condition Look up'!$A$3:$H$3,0)),"")</f>
        <v/>
      </c>
      <c r="AA69" s="114"/>
      <c r="AB69" s="401" t="str">
        <f>IF(AA69="","",IF(VLOOKUP(AA69,'G-3 Multipliers'!$L$3:$N$6,2,FALSE)=0,"Spatial Data Missing ⚠",VLOOKUP(AA69,'G-3 Multipliers'!$L$3:$N$6,2,FALSE)))</f>
        <v/>
      </c>
      <c r="AC69" s="386" t="str">
        <f>IF(AA69="","",IF(VLOOKUP(AA69,'G-3 Multipliers'!$L$3:$N$6,3,FALSE)=0,"Spatial Data Missing ⚠",VLOOKUP(AA69,'G-3 Multipliers'!$L$3:$N$6,3,FALSE)))</f>
        <v/>
      </c>
      <c r="AD69" s="398" t="str">
        <f t="shared" si="2"/>
        <v/>
      </c>
      <c r="AE69" s="165"/>
      <c r="AF69" s="165"/>
      <c r="AG69" s="382" t="str">
        <f t="shared" si="6"/>
        <v/>
      </c>
      <c r="AH69" s="404" t="str">
        <f t="shared" si="7"/>
        <v/>
      </c>
      <c r="AI69" s="387" t="str">
        <f>IF(AH69="Check Data ⚠","Check Data ⚠",IFERROR(VLOOKUP(AH69,'G-4 Temporal multipliers'!$A$4:$C$36,3,FALSE),""))</f>
        <v/>
      </c>
      <c r="AJ69" s="398" t="str">
        <f>IF(S69="","",VLOOKUP(S69,'G-3 Multipliers'!$A$2:$E$134,4,FALSE))</f>
        <v/>
      </c>
      <c r="AK69" s="382" t="str">
        <f t="shared" si="8"/>
        <v/>
      </c>
      <c r="AL69" s="382" t="str">
        <f t="shared" si="9"/>
        <v/>
      </c>
      <c r="AM69" s="386" t="str">
        <f>IFERROR(IF(F69="","",IF(AH69="Check Data ⚠","Check Data ⚠",VLOOKUP(AL69, 'G-3 Multipliers'!$P$2:$Q$6,2,FALSE))),"")</f>
        <v/>
      </c>
      <c r="AN69" s="516"/>
      <c r="AO69" s="417" t="str">
        <f>IF(AN69="","",IF(VLOOKUP(AN69,'G-3 Multipliers'!$S$3:$T$10,2,FALSE)=0,"Spatial Data Missing ⚠",VLOOKUP(AN69,'G-3 Multipliers'!$S$3:$T$10,2,FALSE)))</f>
        <v/>
      </c>
      <c r="AP69" s="376" t="str">
        <f t="shared" si="10"/>
        <v/>
      </c>
      <c r="AQ69" s="376" t="str">
        <f t="shared" si="11"/>
        <v/>
      </c>
      <c r="AR69" s="119"/>
      <c r="AS69" s="528"/>
      <c r="AT69" s="120"/>
      <c r="AU69" s="120"/>
    </row>
    <row r="70" spans="1:47">
      <c r="A70" s="30" t="str">
        <f>IF(E70="","",IF(ISNA(VLOOKUP($E70,'D-1 Off-Site Habitat Baseline'!$D$1:$O$258,2,FALSE)),"",(VLOOKUP($E70,'D-1 Off-Site Habitat Baseline'!$D$1:$O$258,2,FALSE))))</f>
        <v/>
      </c>
      <c r="B70" s="30" t="str">
        <f>IF(E70="","",IF(ISNA(VLOOKUP($E70,'D-1 Off-Site Habitat Baseline'!$D$1:$O$258,3,FALSE)),"",(VLOOKUP($E70,'D-1 Off-Site Habitat Baseline'!$D$1:$O$258,3,FALSE))))</f>
        <v/>
      </c>
      <c r="C70" s="30" t="str">
        <f>IFERROR(INDEX('G-8 Condition Look up'!$I$4:$I$135,MATCH(S70,'G-8 Condition Look up'!$A$4:$A$135,0)),"")</f>
        <v/>
      </c>
      <c r="E70" s="407" t="str">
        <f>'D-1 Off-Site Habitat Baseline'!AP69</f>
        <v/>
      </c>
      <c r="F70" s="382" t="str">
        <f>IF(E70="","",IF(ISNA(VLOOKUP($E70,'D-1 Off-Site Habitat Baseline'!$D$1:$O$258,4,FALSE)),"",(VLOOKUP($E70,'D-1 Off-Site Habitat Baseline'!$D$1:$O$258,4,FALSE))))</f>
        <v/>
      </c>
      <c r="G70" s="382" t="str">
        <f>IF(E70="","",IF(ISNA(VLOOKUP($E70,'D-1 Off-Site Habitat Baseline'!$D$1:$O$258,5,FALSE)),"",(VLOOKUP($E70,'D-1 Off-Site Habitat Baseline'!$D$1:$O$258,5,FALSE))))</f>
        <v/>
      </c>
      <c r="H70" s="382" t="str">
        <f>IF(E70="","",IF(ISNA(VLOOKUP($E70,'D-1 Off-Site Habitat Baseline'!$D$1:$O$258,6,FALSE)),"",(VLOOKUP($E70,'D-1 Off-Site Habitat Baseline'!$D$1:$O$258,6,FALSE))))</f>
        <v/>
      </c>
      <c r="I70" s="382" t="str">
        <f>IF(E70="","",IF(ISNA(VLOOKUP($E70,'D-1 Off-Site Habitat Baseline'!$D$1:$O$258,7,FALSE)),"",(VLOOKUP($E70,'D-1 Off-Site Habitat Baseline'!$D$1:$O$258,7,FALSE))))</f>
        <v/>
      </c>
      <c r="J70" s="382" t="str">
        <f>IF(E70="","",IF(ISNA(VLOOKUP($E70,'D-1 Off-Site Habitat Baseline'!$D$1:$O$258,8,FALSE)),"",(VLOOKUP($E70,'D-1 Off-Site Habitat Baseline'!$D$1:$O$258,8,FALSE))))</f>
        <v/>
      </c>
      <c r="K70" s="382" t="str">
        <f>IF(E70="","",IF(ISNA(VLOOKUP($E70,'D-1 Off-Site Habitat Baseline'!$D$1:$O$258,9,FALSE)),"",(VLOOKUP($E70,'D-1 Off-Site Habitat Baseline'!$D$1:$O$258,9,FALSE))))</f>
        <v/>
      </c>
      <c r="L70" s="382" t="str">
        <f>IF(E70="","",IF(ISNA(VLOOKUP($E70,'D-1 Off-Site Habitat Baseline'!$D$1:$O$258,11,FALSE)),"",(VLOOKUP($E70,'D-1 Off-Site Habitat Baseline'!$D$1:$O$258,11,FALSE))))</f>
        <v/>
      </c>
      <c r="M70" s="382" t="str">
        <f>IF(E70="","",IF(ISNA(VLOOKUP($E70,'D-1 Off-Site Habitat Baseline'!$D$1:$O$258,12,FALSE)),"",(VLOOKUP($E70,'D-1 Off-Site Habitat Baseline'!$D$1:$O$258,12,FALSE))))</f>
        <v/>
      </c>
      <c r="N70" s="382" t="str">
        <f>IF(E70="","",IF(ISNA(VLOOKUP($E70,'D-1 Off-Site Habitat Baseline'!$D$1:$AA$258,14,FALSE)),"",(VLOOKUP($E70,'D-1 Off-Site Habitat Baseline'!$D$1:$AA$258,14,FALSE))))</f>
        <v/>
      </c>
      <c r="O70" s="386" t="str">
        <f>IF(E70="","",IF(ISNA(VLOOKUP($E70,'D-1 Off-Site Habitat Baseline'!$D$1:$AA$258,13,FALSE)),"",(VLOOKUP($E70,'D-1 Off-Site Habitat Baseline'!$D$1:$AA$258,13,FALSE))))</f>
        <v/>
      </c>
      <c r="P70" s="184" t="str">
        <f>IFERROR(INDEX('G-1 All Habitats'!$AG$3:$AG$17,MATCH(Q70,'G-1 All Habitats'!$AF$3:$AF$17,0)),"")</f>
        <v/>
      </c>
      <c r="Q70" s="185" t="str">
        <f t="shared" si="0"/>
        <v/>
      </c>
      <c r="R70" s="186" t="str">
        <f t="shared" si="1"/>
        <v/>
      </c>
      <c r="S70" s="187" t="str">
        <f>IFERROR(INDEX('G-1 All Habitats'!$B$3:$B$134,MATCH(R70,'G-1 All Habitats'!$A$3:$A$134,0)),"")</f>
        <v/>
      </c>
      <c r="T70" s="370" t="str">
        <f t="shared" si="3"/>
        <v/>
      </c>
      <c r="U70" s="386" t="str">
        <f t="shared" si="4"/>
        <v/>
      </c>
      <c r="V70" s="385" t="str">
        <f t="shared" si="5"/>
        <v/>
      </c>
      <c r="W70" s="382" t="str">
        <f>IF(S70="","",VLOOKUP(S70,'G-1 All Habitats'!$B$2:$M$134,10,FALSE))</f>
        <v/>
      </c>
      <c r="X70" s="382" t="str">
        <f>IFERROR(VLOOKUP(W70,'G-1 All Habitats'!$V$3:$W$7,2,FALSE),"")</f>
        <v/>
      </c>
      <c r="Y70" s="165"/>
      <c r="Z70" s="386" t="str">
        <f>IFERROR(INDEX('G-8 Condition Look up'!$A$3:$H$135,MATCH(S70,'G-8 Condition Look up'!$A$3:$A$135,0),MATCH(Y70,'G-8 Condition Look up'!$A$3:$H$3,0)),"")</f>
        <v/>
      </c>
      <c r="AA70" s="114"/>
      <c r="AB70" s="401" t="str">
        <f>IF(AA70="","",IF(VLOOKUP(AA70,'G-3 Multipliers'!$L$3:$N$6,2,FALSE)=0,"Spatial Data Missing ⚠",VLOOKUP(AA70,'G-3 Multipliers'!$L$3:$N$6,2,FALSE)))</f>
        <v/>
      </c>
      <c r="AC70" s="386" t="str">
        <f>IF(AA70="","",IF(VLOOKUP(AA70,'G-3 Multipliers'!$L$3:$N$6,3,FALSE)=0,"Spatial Data Missing ⚠",VLOOKUP(AA70,'G-3 Multipliers'!$L$3:$N$6,3,FALSE)))</f>
        <v/>
      </c>
      <c r="AD70" s="398" t="str">
        <f t="shared" si="2"/>
        <v/>
      </c>
      <c r="AE70" s="165"/>
      <c r="AF70" s="165"/>
      <c r="AG70" s="382" t="str">
        <f t="shared" si="6"/>
        <v/>
      </c>
      <c r="AH70" s="404" t="str">
        <f t="shared" si="7"/>
        <v/>
      </c>
      <c r="AI70" s="387" t="str">
        <f>IF(AH70="Check Data ⚠","Check Data ⚠",IFERROR(VLOOKUP(AH70,'G-4 Temporal multipliers'!$A$4:$C$36,3,FALSE),""))</f>
        <v/>
      </c>
      <c r="AJ70" s="398" t="str">
        <f>IF(S70="","",VLOOKUP(S70,'G-3 Multipliers'!$A$2:$E$134,4,FALSE))</f>
        <v/>
      </c>
      <c r="AK70" s="382" t="str">
        <f t="shared" si="8"/>
        <v/>
      </c>
      <c r="AL70" s="382" t="str">
        <f t="shared" si="9"/>
        <v/>
      </c>
      <c r="AM70" s="386" t="str">
        <f>IFERROR(IF(F70="","",IF(AH70="Check Data ⚠","Check Data ⚠",VLOOKUP(AL70, 'G-3 Multipliers'!$P$2:$Q$6,2,FALSE))),"")</f>
        <v/>
      </c>
      <c r="AN70" s="516"/>
      <c r="AO70" s="417" t="str">
        <f>IF(AN70="","",IF(VLOOKUP(AN70,'G-3 Multipliers'!$S$3:$T$10,2,FALSE)=0,"Spatial Data Missing ⚠",VLOOKUP(AN70,'G-3 Multipliers'!$S$3:$T$10,2,FALSE)))</f>
        <v/>
      </c>
      <c r="AP70" s="376" t="str">
        <f t="shared" si="10"/>
        <v/>
      </c>
      <c r="AQ70" s="376" t="str">
        <f t="shared" si="11"/>
        <v/>
      </c>
      <c r="AR70" s="119"/>
      <c r="AS70" s="528"/>
      <c r="AT70" s="120"/>
      <c r="AU70" s="120"/>
    </row>
    <row r="71" spans="1:47">
      <c r="A71" s="30" t="str">
        <f>IF(E71="","",IF(ISNA(VLOOKUP($E71,'D-1 Off-Site Habitat Baseline'!$D$1:$O$258,2,FALSE)),"",(VLOOKUP($E71,'D-1 Off-Site Habitat Baseline'!$D$1:$O$258,2,FALSE))))</f>
        <v/>
      </c>
      <c r="B71" s="30" t="str">
        <f>IF(E71="","",IF(ISNA(VLOOKUP($E71,'D-1 Off-Site Habitat Baseline'!$D$1:$O$258,3,FALSE)),"",(VLOOKUP($E71,'D-1 Off-Site Habitat Baseline'!$D$1:$O$258,3,FALSE))))</f>
        <v/>
      </c>
      <c r="C71" s="30" t="str">
        <f>IFERROR(INDEX('G-8 Condition Look up'!$I$4:$I$135,MATCH(S71,'G-8 Condition Look up'!$A$4:$A$135,0)),"")</f>
        <v/>
      </c>
      <c r="E71" s="407" t="str">
        <f>'D-1 Off-Site Habitat Baseline'!AP70</f>
        <v/>
      </c>
      <c r="F71" s="382" t="str">
        <f>IF(E71="","",IF(ISNA(VLOOKUP($E71,'D-1 Off-Site Habitat Baseline'!$D$1:$O$258,4,FALSE)),"",(VLOOKUP($E71,'D-1 Off-Site Habitat Baseline'!$D$1:$O$258,4,FALSE))))</f>
        <v/>
      </c>
      <c r="G71" s="382" t="str">
        <f>IF(E71="","",IF(ISNA(VLOOKUP($E71,'D-1 Off-Site Habitat Baseline'!$D$1:$O$258,5,FALSE)),"",(VLOOKUP($E71,'D-1 Off-Site Habitat Baseline'!$D$1:$O$258,5,FALSE))))</f>
        <v/>
      </c>
      <c r="H71" s="382" t="str">
        <f>IF(E71="","",IF(ISNA(VLOOKUP($E71,'D-1 Off-Site Habitat Baseline'!$D$1:$O$258,6,FALSE)),"",(VLOOKUP($E71,'D-1 Off-Site Habitat Baseline'!$D$1:$O$258,6,FALSE))))</f>
        <v/>
      </c>
      <c r="I71" s="382" t="str">
        <f>IF(E71="","",IF(ISNA(VLOOKUP($E71,'D-1 Off-Site Habitat Baseline'!$D$1:$O$258,7,FALSE)),"",(VLOOKUP($E71,'D-1 Off-Site Habitat Baseline'!$D$1:$O$258,7,FALSE))))</f>
        <v/>
      </c>
      <c r="J71" s="382" t="str">
        <f>IF(E71="","",IF(ISNA(VLOOKUP($E71,'D-1 Off-Site Habitat Baseline'!$D$1:$O$258,8,FALSE)),"",(VLOOKUP($E71,'D-1 Off-Site Habitat Baseline'!$D$1:$O$258,8,FALSE))))</f>
        <v/>
      </c>
      <c r="K71" s="382" t="str">
        <f>IF(E71="","",IF(ISNA(VLOOKUP($E71,'D-1 Off-Site Habitat Baseline'!$D$1:$O$258,9,FALSE)),"",(VLOOKUP($E71,'D-1 Off-Site Habitat Baseline'!$D$1:$O$258,9,FALSE))))</f>
        <v/>
      </c>
      <c r="L71" s="382" t="str">
        <f>IF(E71="","",IF(ISNA(VLOOKUP($E71,'D-1 Off-Site Habitat Baseline'!$D$1:$O$258,11,FALSE)),"",(VLOOKUP($E71,'D-1 Off-Site Habitat Baseline'!$D$1:$O$258,11,FALSE))))</f>
        <v/>
      </c>
      <c r="M71" s="382" t="str">
        <f>IF(E71="","",IF(ISNA(VLOOKUP($E71,'D-1 Off-Site Habitat Baseline'!$D$1:$O$258,12,FALSE)),"",(VLOOKUP($E71,'D-1 Off-Site Habitat Baseline'!$D$1:$O$258,12,FALSE))))</f>
        <v/>
      </c>
      <c r="N71" s="382" t="str">
        <f>IF(E71="","",IF(ISNA(VLOOKUP($E71,'D-1 Off-Site Habitat Baseline'!$D$1:$AA$258,14,FALSE)),"",(VLOOKUP($E71,'D-1 Off-Site Habitat Baseline'!$D$1:$AA$258,14,FALSE))))</f>
        <v/>
      </c>
      <c r="O71" s="386" t="str">
        <f>IF(E71="","",IF(ISNA(VLOOKUP($E71,'D-1 Off-Site Habitat Baseline'!$D$1:$AA$258,13,FALSE)),"",(VLOOKUP($E71,'D-1 Off-Site Habitat Baseline'!$D$1:$AA$258,13,FALSE))))</f>
        <v/>
      </c>
      <c r="P71" s="184" t="str">
        <f>IFERROR(INDEX('G-1 All Habitats'!$AG$3:$AG$17,MATCH(Q71,'G-1 All Habitats'!$AF$3:$AF$17,0)),"")</f>
        <v/>
      </c>
      <c r="Q71" s="185" t="str">
        <f t="shared" si="0"/>
        <v/>
      </c>
      <c r="R71" s="186" t="str">
        <f t="shared" si="1"/>
        <v/>
      </c>
      <c r="S71" s="187" t="str">
        <f>IFERROR(INDEX('G-1 All Habitats'!$B$3:$B$134,MATCH(R71,'G-1 All Habitats'!$A$3:$A$134,0)),"")</f>
        <v/>
      </c>
      <c r="T71" s="370" t="str">
        <f t="shared" si="3"/>
        <v/>
      </c>
      <c r="U71" s="386" t="str">
        <f t="shared" si="4"/>
        <v/>
      </c>
      <c r="V71" s="385" t="str">
        <f t="shared" si="5"/>
        <v/>
      </c>
      <c r="W71" s="382" t="str">
        <f>IF(S71="","",VLOOKUP(S71,'G-1 All Habitats'!$B$2:$M$134,10,FALSE))</f>
        <v/>
      </c>
      <c r="X71" s="382" t="str">
        <f>IFERROR(VLOOKUP(W71,'G-1 All Habitats'!$V$3:$W$7,2,FALSE),"")</f>
        <v/>
      </c>
      <c r="Y71" s="165"/>
      <c r="Z71" s="386" t="str">
        <f>IFERROR(INDEX('G-8 Condition Look up'!$A$3:$H$135,MATCH(S71,'G-8 Condition Look up'!$A$3:$A$135,0),MATCH(Y71,'G-8 Condition Look up'!$A$3:$H$3,0)),"")</f>
        <v/>
      </c>
      <c r="AA71" s="114"/>
      <c r="AB71" s="401" t="str">
        <f>IF(AA71="","",IF(VLOOKUP(AA71,'G-3 Multipliers'!$L$3:$N$6,2,FALSE)=0,"Spatial Data Missing ⚠",VLOOKUP(AA71,'G-3 Multipliers'!$L$3:$N$6,2,FALSE)))</f>
        <v/>
      </c>
      <c r="AC71" s="386" t="str">
        <f>IF(AA71="","",IF(VLOOKUP(AA71,'G-3 Multipliers'!$L$3:$N$6,3,FALSE)=0,"Spatial Data Missing ⚠",VLOOKUP(AA71,'G-3 Multipliers'!$L$3:$N$6,3,FALSE)))</f>
        <v/>
      </c>
      <c r="AD71" s="398" t="str">
        <f t="shared" si="2"/>
        <v/>
      </c>
      <c r="AE71" s="165"/>
      <c r="AF71" s="165"/>
      <c r="AG71" s="382" t="str">
        <f t="shared" si="6"/>
        <v/>
      </c>
      <c r="AH71" s="404" t="str">
        <f t="shared" si="7"/>
        <v/>
      </c>
      <c r="AI71" s="387" t="str">
        <f>IF(AH71="Check Data ⚠","Check Data ⚠",IFERROR(VLOOKUP(AH71,'G-4 Temporal multipliers'!$A$4:$C$36,3,FALSE),""))</f>
        <v/>
      </c>
      <c r="AJ71" s="398" t="str">
        <f>IF(S71="","",VLOOKUP(S71,'G-3 Multipliers'!$A$2:$E$134,4,FALSE))</f>
        <v/>
      </c>
      <c r="AK71" s="382" t="str">
        <f t="shared" si="8"/>
        <v/>
      </c>
      <c r="AL71" s="382" t="str">
        <f t="shared" si="9"/>
        <v/>
      </c>
      <c r="AM71" s="386" t="str">
        <f>IFERROR(IF(F71="","",IF(AH71="Check Data ⚠","Check Data ⚠",VLOOKUP(AL71, 'G-3 Multipliers'!$P$2:$Q$6,2,FALSE))),"")</f>
        <v/>
      </c>
      <c r="AN71" s="516"/>
      <c r="AO71" s="417" t="str">
        <f>IF(AN71="","",IF(VLOOKUP(AN71,'G-3 Multipliers'!$S$3:$T$10,2,FALSE)=0,"Spatial Data Missing ⚠",VLOOKUP(AN71,'G-3 Multipliers'!$S$3:$T$10,2,FALSE)))</f>
        <v/>
      </c>
      <c r="AP71" s="376" t="str">
        <f t="shared" si="10"/>
        <v/>
      </c>
      <c r="AQ71" s="376" t="str">
        <f t="shared" si="11"/>
        <v/>
      </c>
      <c r="AR71" s="119"/>
      <c r="AS71" s="528"/>
      <c r="AT71" s="120"/>
      <c r="AU71" s="120"/>
    </row>
    <row r="72" spans="1:47">
      <c r="A72" s="30" t="str">
        <f>IF(E72="","",IF(ISNA(VLOOKUP($E72,'D-1 Off-Site Habitat Baseline'!$D$1:$O$258,2,FALSE)),"",(VLOOKUP($E72,'D-1 Off-Site Habitat Baseline'!$D$1:$O$258,2,FALSE))))</f>
        <v/>
      </c>
      <c r="B72" s="30" t="str">
        <f>IF(E72="","",IF(ISNA(VLOOKUP($E72,'D-1 Off-Site Habitat Baseline'!$D$1:$O$258,3,FALSE)),"",(VLOOKUP($E72,'D-1 Off-Site Habitat Baseline'!$D$1:$O$258,3,FALSE))))</f>
        <v/>
      </c>
      <c r="C72" s="30" t="str">
        <f>IFERROR(INDEX('G-8 Condition Look up'!$I$4:$I$135,MATCH(S72,'G-8 Condition Look up'!$A$4:$A$135,0)),"")</f>
        <v/>
      </c>
      <c r="E72" s="407" t="str">
        <f>'D-1 Off-Site Habitat Baseline'!AP71</f>
        <v/>
      </c>
      <c r="F72" s="382" t="str">
        <f>IF(E72="","",IF(ISNA(VLOOKUP($E72,'D-1 Off-Site Habitat Baseline'!$D$1:$O$258,4,FALSE)),"",(VLOOKUP($E72,'D-1 Off-Site Habitat Baseline'!$D$1:$O$258,4,FALSE))))</f>
        <v/>
      </c>
      <c r="G72" s="382" t="str">
        <f>IF(E72="","",IF(ISNA(VLOOKUP($E72,'D-1 Off-Site Habitat Baseline'!$D$1:$O$258,5,FALSE)),"",(VLOOKUP($E72,'D-1 Off-Site Habitat Baseline'!$D$1:$O$258,5,FALSE))))</f>
        <v/>
      </c>
      <c r="H72" s="382" t="str">
        <f>IF(E72="","",IF(ISNA(VLOOKUP($E72,'D-1 Off-Site Habitat Baseline'!$D$1:$O$258,6,FALSE)),"",(VLOOKUP($E72,'D-1 Off-Site Habitat Baseline'!$D$1:$O$258,6,FALSE))))</f>
        <v/>
      </c>
      <c r="I72" s="382" t="str">
        <f>IF(E72="","",IF(ISNA(VLOOKUP($E72,'D-1 Off-Site Habitat Baseline'!$D$1:$O$258,7,FALSE)),"",(VLOOKUP($E72,'D-1 Off-Site Habitat Baseline'!$D$1:$O$258,7,FALSE))))</f>
        <v/>
      </c>
      <c r="J72" s="382" t="str">
        <f>IF(E72="","",IF(ISNA(VLOOKUP($E72,'D-1 Off-Site Habitat Baseline'!$D$1:$O$258,8,FALSE)),"",(VLOOKUP($E72,'D-1 Off-Site Habitat Baseline'!$D$1:$O$258,8,FALSE))))</f>
        <v/>
      </c>
      <c r="K72" s="382" t="str">
        <f>IF(E72="","",IF(ISNA(VLOOKUP($E72,'D-1 Off-Site Habitat Baseline'!$D$1:$O$258,9,FALSE)),"",(VLOOKUP($E72,'D-1 Off-Site Habitat Baseline'!$D$1:$O$258,9,FALSE))))</f>
        <v/>
      </c>
      <c r="L72" s="382" t="str">
        <f>IF(E72="","",IF(ISNA(VLOOKUP($E72,'D-1 Off-Site Habitat Baseline'!$D$1:$O$258,11,FALSE)),"",(VLOOKUP($E72,'D-1 Off-Site Habitat Baseline'!$D$1:$O$258,11,FALSE))))</f>
        <v/>
      </c>
      <c r="M72" s="382" t="str">
        <f>IF(E72="","",IF(ISNA(VLOOKUP($E72,'D-1 Off-Site Habitat Baseline'!$D$1:$O$258,12,FALSE)),"",(VLOOKUP($E72,'D-1 Off-Site Habitat Baseline'!$D$1:$O$258,12,FALSE))))</f>
        <v/>
      </c>
      <c r="N72" s="382" t="str">
        <f>IF(E72="","",IF(ISNA(VLOOKUP($E72,'D-1 Off-Site Habitat Baseline'!$D$1:$AA$258,14,FALSE)),"",(VLOOKUP($E72,'D-1 Off-Site Habitat Baseline'!$D$1:$AA$258,14,FALSE))))</f>
        <v/>
      </c>
      <c r="O72" s="386" t="str">
        <f>IF(E72="","",IF(ISNA(VLOOKUP($E72,'D-1 Off-Site Habitat Baseline'!$D$1:$AA$258,13,FALSE)),"",(VLOOKUP($E72,'D-1 Off-Site Habitat Baseline'!$D$1:$AA$258,13,FALSE))))</f>
        <v/>
      </c>
      <c r="P72" s="184" t="str">
        <f>IFERROR(INDEX('G-1 All Habitats'!$AG$3:$AG$17,MATCH(Q72,'G-1 All Habitats'!$AF$3:$AF$17,0)),"")</f>
        <v/>
      </c>
      <c r="Q72" s="185" t="str">
        <f t="shared" si="0"/>
        <v/>
      </c>
      <c r="R72" s="186" t="str">
        <f t="shared" si="1"/>
        <v/>
      </c>
      <c r="S72" s="187" t="str">
        <f>IFERROR(INDEX('G-1 All Habitats'!$B$3:$B$134,MATCH(R72,'G-1 All Habitats'!$A$3:$A$134,0)),"")</f>
        <v/>
      </c>
      <c r="T72" s="370" t="str">
        <f t="shared" si="3"/>
        <v/>
      </c>
      <c r="U72" s="386" t="str">
        <f t="shared" si="4"/>
        <v/>
      </c>
      <c r="V72" s="385" t="str">
        <f t="shared" si="5"/>
        <v/>
      </c>
      <c r="W72" s="382" t="str">
        <f>IF(S72="","",VLOOKUP(S72,'G-1 All Habitats'!$B$2:$M$134,10,FALSE))</f>
        <v/>
      </c>
      <c r="X72" s="382" t="str">
        <f>IFERROR(VLOOKUP(W72,'G-1 All Habitats'!$V$3:$W$7,2,FALSE),"")</f>
        <v/>
      </c>
      <c r="Y72" s="165"/>
      <c r="Z72" s="386" t="str">
        <f>IFERROR(INDEX('G-8 Condition Look up'!$A$3:$H$135,MATCH(S72,'G-8 Condition Look up'!$A$3:$A$135,0),MATCH(Y72,'G-8 Condition Look up'!$A$3:$H$3,0)),"")</f>
        <v/>
      </c>
      <c r="AA72" s="114"/>
      <c r="AB72" s="401" t="str">
        <f>IF(AA72="","",IF(VLOOKUP(AA72,'G-3 Multipliers'!$L$3:$N$6,2,FALSE)=0,"Spatial Data Missing ⚠",VLOOKUP(AA72,'G-3 Multipliers'!$L$3:$N$6,2,FALSE)))</f>
        <v/>
      </c>
      <c r="AC72" s="386" t="str">
        <f>IF(AA72="","",IF(VLOOKUP(AA72,'G-3 Multipliers'!$L$3:$N$6,3,FALSE)=0,"Spatial Data Missing ⚠",VLOOKUP(AA72,'G-3 Multipliers'!$L$3:$N$6,3,FALSE)))</f>
        <v/>
      </c>
      <c r="AD72" s="398" t="str">
        <f t="shared" si="2"/>
        <v/>
      </c>
      <c r="AE72" s="165"/>
      <c r="AF72" s="165"/>
      <c r="AG72" s="382" t="str">
        <f t="shared" si="6"/>
        <v/>
      </c>
      <c r="AH72" s="404" t="str">
        <f t="shared" si="7"/>
        <v/>
      </c>
      <c r="AI72" s="387" t="str">
        <f>IF(AH72="Check Data ⚠","Check Data ⚠",IFERROR(VLOOKUP(AH72,'G-4 Temporal multipliers'!$A$4:$C$36,3,FALSE),""))</f>
        <v/>
      </c>
      <c r="AJ72" s="398" t="str">
        <f>IF(S72="","",VLOOKUP(S72,'G-3 Multipliers'!$A$2:$E$134,4,FALSE))</f>
        <v/>
      </c>
      <c r="AK72" s="382" t="str">
        <f t="shared" si="8"/>
        <v/>
      </c>
      <c r="AL72" s="382" t="str">
        <f t="shared" si="9"/>
        <v/>
      </c>
      <c r="AM72" s="386" t="str">
        <f>IFERROR(IF(F72="","",IF(AH72="Check Data ⚠","Check Data ⚠",VLOOKUP(AL72, 'G-3 Multipliers'!$P$2:$Q$6,2,FALSE))),"")</f>
        <v/>
      </c>
      <c r="AN72" s="516"/>
      <c r="AO72" s="417" t="str">
        <f>IF(AN72="","",IF(VLOOKUP(AN72,'G-3 Multipliers'!$S$3:$T$10,2,FALSE)=0,"Spatial Data Missing ⚠",VLOOKUP(AN72,'G-3 Multipliers'!$S$3:$T$10,2,FALSE)))</f>
        <v/>
      </c>
      <c r="AP72" s="376" t="str">
        <f t="shared" si="10"/>
        <v/>
      </c>
      <c r="AQ72" s="376" t="str">
        <f t="shared" si="11"/>
        <v/>
      </c>
      <c r="AR72" s="119"/>
      <c r="AS72" s="528"/>
      <c r="AT72" s="120"/>
      <c r="AU72" s="120"/>
    </row>
    <row r="73" spans="1:47">
      <c r="A73" s="30" t="str">
        <f>IF(E73="","",IF(ISNA(VLOOKUP($E73,'D-1 Off-Site Habitat Baseline'!$D$1:$O$258,2,FALSE)),"",(VLOOKUP($E73,'D-1 Off-Site Habitat Baseline'!$D$1:$O$258,2,FALSE))))</f>
        <v/>
      </c>
      <c r="B73" s="30" t="str">
        <f>IF(E73="","",IF(ISNA(VLOOKUP($E73,'D-1 Off-Site Habitat Baseline'!$D$1:$O$258,3,FALSE)),"",(VLOOKUP($E73,'D-1 Off-Site Habitat Baseline'!$D$1:$O$258,3,FALSE))))</f>
        <v/>
      </c>
      <c r="C73" s="30" t="str">
        <f>IFERROR(INDEX('G-8 Condition Look up'!$I$4:$I$135,MATCH(S73,'G-8 Condition Look up'!$A$4:$A$135,0)),"")</f>
        <v/>
      </c>
      <c r="E73" s="407" t="str">
        <f>'D-1 Off-Site Habitat Baseline'!AP72</f>
        <v/>
      </c>
      <c r="F73" s="382" t="str">
        <f>IF(E73="","",IF(ISNA(VLOOKUP($E73,'D-1 Off-Site Habitat Baseline'!$D$1:$O$258,4,FALSE)),"",(VLOOKUP($E73,'D-1 Off-Site Habitat Baseline'!$D$1:$O$258,4,FALSE))))</f>
        <v/>
      </c>
      <c r="G73" s="382" t="str">
        <f>IF(E73="","",IF(ISNA(VLOOKUP($E73,'D-1 Off-Site Habitat Baseline'!$D$1:$O$258,5,FALSE)),"",(VLOOKUP($E73,'D-1 Off-Site Habitat Baseline'!$D$1:$O$258,5,FALSE))))</f>
        <v/>
      </c>
      <c r="H73" s="382" t="str">
        <f>IF(E73="","",IF(ISNA(VLOOKUP($E73,'D-1 Off-Site Habitat Baseline'!$D$1:$O$258,6,FALSE)),"",(VLOOKUP($E73,'D-1 Off-Site Habitat Baseline'!$D$1:$O$258,6,FALSE))))</f>
        <v/>
      </c>
      <c r="I73" s="382" t="str">
        <f>IF(E73="","",IF(ISNA(VLOOKUP($E73,'D-1 Off-Site Habitat Baseline'!$D$1:$O$258,7,FALSE)),"",(VLOOKUP($E73,'D-1 Off-Site Habitat Baseline'!$D$1:$O$258,7,FALSE))))</f>
        <v/>
      </c>
      <c r="J73" s="382" t="str">
        <f>IF(E73="","",IF(ISNA(VLOOKUP($E73,'D-1 Off-Site Habitat Baseline'!$D$1:$O$258,8,FALSE)),"",(VLOOKUP($E73,'D-1 Off-Site Habitat Baseline'!$D$1:$O$258,8,FALSE))))</f>
        <v/>
      </c>
      <c r="K73" s="382" t="str">
        <f>IF(E73="","",IF(ISNA(VLOOKUP($E73,'D-1 Off-Site Habitat Baseline'!$D$1:$O$258,9,FALSE)),"",(VLOOKUP($E73,'D-1 Off-Site Habitat Baseline'!$D$1:$O$258,9,FALSE))))</f>
        <v/>
      </c>
      <c r="L73" s="382" t="str">
        <f>IF(E73="","",IF(ISNA(VLOOKUP($E73,'D-1 Off-Site Habitat Baseline'!$D$1:$O$258,11,FALSE)),"",(VLOOKUP($E73,'D-1 Off-Site Habitat Baseline'!$D$1:$O$258,11,FALSE))))</f>
        <v/>
      </c>
      <c r="M73" s="382" t="str">
        <f>IF(E73="","",IF(ISNA(VLOOKUP($E73,'D-1 Off-Site Habitat Baseline'!$D$1:$O$258,12,FALSE)),"",(VLOOKUP($E73,'D-1 Off-Site Habitat Baseline'!$D$1:$O$258,12,FALSE))))</f>
        <v/>
      </c>
      <c r="N73" s="382" t="str">
        <f>IF(E73="","",IF(ISNA(VLOOKUP($E73,'D-1 Off-Site Habitat Baseline'!$D$1:$AA$258,14,FALSE)),"",(VLOOKUP($E73,'D-1 Off-Site Habitat Baseline'!$D$1:$AA$258,14,FALSE))))</f>
        <v/>
      </c>
      <c r="O73" s="386" t="str">
        <f>IF(E73="","",IF(ISNA(VLOOKUP($E73,'D-1 Off-Site Habitat Baseline'!$D$1:$AA$258,13,FALSE)),"",(VLOOKUP($E73,'D-1 Off-Site Habitat Baseline'!$D$1:$AA$258,13,FALSE))))</f>
        <v/>
      </c>
      <c r="P73" s="184" t="str">
        <f>IFERROR(INDEX('G-1 All Habitats'!$AG$3:$AG$17,MATCH(Q73,'G-1 All Habitats'!$AF$3:$AF$17,0)),"")</f>
        <v/>
      </c>
      <c r="Q73" s="185" t="str">
        <f t="shared" si="0"/>
        <v/>
      </c>
      <c r="R73" s="186" t="str">
        <f t="shared" si="1"/>
        <v/>
      </c>
      <c r="S73" s="187" t="str">
        <f>IFERROR(INDEX('G-1 All Habitats'!$B$3:$B$134,MATCH(R73,'G-1 All Habitats'!$A$3:$A$134,0)),"")</f>
        <v/>
      </c>
      <c r="T73" s="370" t="str">
        <f t="shared" si="3"/>
        <v/>
      </c>
      <c r="U73" s="386" t="str">
        <f t="shared" si="4"/>
        <v/>
      </c>
      <c r="V73" s="385" t="str">
        <f t="shared" si="5"/>
        <v/>
      </c>
      <c r="W73" s="382" t="str">
        <f>IF(S73="","",VLOOKUP(S73,'G-1 All Habitats'!$B$2:$M$134,10,FALSE))</f>
        <v/>
      </c>
      <c r="X73" s="382" t="str">
        <f>IFERROR(VLOOKUP(W73,'G-1 All Habitats'!$V$3:$W$7,2,FALSE),"")</f>
        <v/>
      </c>
      <c r="Y73" s="165"/>
      <c r="Z73" s="386" t="str">
        <f>IFERROR(INDEX('G-8 Condition Look up'!$A$3:$H$135,MATCH(S73,'G-8 Condition Look up'!$A$3:$A$135,0),MATCH(Y73,'G-8 Condition Look up'!$A$3:$H$3,0)),"")</f>
        <v/>
      </c>
      <c r="AA73" s="114"/>
      <c r="AB73" s="401" t="str">
        <f>IF(AA73="","",IF(VLOOKUP(AA73,'G-3 Multipliers'!$L$3:$N$6,2,FALSE)=0,"Spatial Data Missing ⚠",VLOOKUP(AA73,'G-3 Multipliers'!$L$3:$N$6,2,FALSE)))</f>
        <v/>
      </c>
      <c r="AC73" s="386" t="str">
        <f>IF(AA73="","",IF(VLOOKUP(AA73,'G-3 Multipliers'!$L$3:$N$6,3,FALSE)=0,"Spatial Data Missing ⚠",VLOOKUP(AA73,'G-3 Multipliers'!$L$3:$N$6,3,FALSE)))</f>
        <v/>
      </c>
      <c r="AD73" s="398" t="str">
        <f t="shared" si="2"/>
        <v/>
      </c>
      <c r="AE73" s="165"/>
      <c r="AF73" s="165"/>
      <c r="AG73" s="382" t="str">
        <f t="shared" si="6"/>
        <v/>
      </c>
      <c r="AH73" s="404" t="str">
        <f t="shared" si="7"/>
        <v/>
      </c>
      <c r="AI73" s="387" t="str">
        <f>IF(AH73="Check Data ⚠","Check Data ⚠",IFERROR(VLOOKUP(AH73,'G-4 Temporal multipliers'!$A$4:$C$36,3,FALSE),""))</f>
        <v/>
      </c>
      <c r="AJ73" s="398" t="str">
        <f>IF(S73="","",VLOOKUP(S73,'G-3 Multipliers'!$A$2:$E$134,4,FALSE))</f>
        <v/>
      </c>
      <c r="AK73" s="382" t="str">
        <f t="shared" si="8"/>
        <v/>
      </c>
      <c r="AL73" s="382" t="str">
        <f t="shared" si="9"/>
        <v/>
      </c>
      <c r="AM73" s="386" t="str">
        <f>IFERROR(IF(F73="","",IF(AH73="Check Data ⚠","Check Data ⚠",VLOOKUP(AL73, 'G-3 Multipliers'!$P$2:$Q$6,2,FALSE))),"")</f>
        <v/>
      </c>
      <c r="AN73" s="516"/>
      <c r="AO73" s="417" t="str">
        <f>IF(AN73="","",IF(VLOOKUP(AN73,'G-3 Multipliers'!$S$3:$T$10,2,FALSE)=0,"Spatial Data Missing ⚠",VLOOKUP(AN73,'G-3 Multipliers'!$S$3:$T$10,2,FALSE)))</f>
        <v/>
      </c>
      <c r="AP73" s="376" t="str">
        <f t="shared" si="10"/>
        <v/>
      </c>
      <c r="AQ73" s="376" t="str">
        <f t="shared" si="11"/>
        <v/>
      </c>
      <c r="AR73" s="119"/>
      <c r="AS73" s="528"/>
      <c r="AT73" s="120"/>
      <c r="AU73" s="120"/>
    </row>
    <row r="74" spans="1:47">
      <c r="A74" s="30" t="str">
        <f>IF(E74="","",IF(ISNA(VLOOKUP($E74,'D-1 Off-Site Habitat Baseline'!$D$1:$O$258,2,FALSE)),"",(VLOOKUP($E74,'D-1 Off-Site Habitat Baseline'!$D$1:$O$258,2,FALSE))))</f>
        <v/>
      </c>
      <c r="B74" s="30" t="str">
        <f>IF(E74="","",IF(ISNA(VLOOKUP($E74,'D-1 Off-Site Habitat Baseline'!$D$1:$O$258,3,FALSE)),"",(VLOOKUP($E74,'D-1 Off-Site Habitat Baseline'!$D$1:$O$258,3,FALSE))))</f>
        <v/>
      </c>
      <c r="C74" s="30" t="str">
        <f>IFERROR(INDEX('G-8 Condition Look up'!$I$4:$I$135,MATCH(S74,'G-8 Condition Look up'!$A$4:$A$135,0)),"")</f>
        <v/>
      </c>
      <c r="E74" s="407" t="str">
        <f>'D-1 Off-Site Habitat Baseline'!AP73</f>
        <v/>
      </c>
      <c r="F74" s="382" t="str">
        <f>IF(E74="","",IF(ISNA(VLOOKUP($E74,'D-1 Off-Site Habitat Baseline'!$D$1:$O$258,4,FALSE)),"",(VLOOKUP($E74,'D-1 Off-Site Habitat Baseline'!$D$1:$O$258,4,FALSE))))</f>
        <v/>
      </c>
      <c r="G74" s="382" t="str">
        <f>IF(E74="","",IF(ISNA(VLOOKUP($E74,'D-1 Off-Site Habitat Baseline'!$D$1:$O$258,5,FALSE)),"",(VLOOKUP($E74,'D-1 Off-Site Habitat Baseline'!$D$1:$O$258,5,FALSE))))</f>
        <v/>
      </c>
      <c r="H74" s="382" t="str">
        <f>IF(E74="","",IF(ISNA(VLOOKUP($E74,'D-1 Off-Site Habitat Baseline'!$D$1:$O$258,6,FALSE)),"",(VLOOKUP($E74,'D-1 Off-Site Habitat Baseline'!$D$1:$O$258,6,FALSE))))</f>
        <v/>
      </c>
      <c r="I74" s="382" t="str">
        <f>IF(E74="","",IF(ISNA(VLOOKUP($E74,'D-1 Off-Site Habitat Baseline'!$D$1:$O$258,7,FALSE)),"",(VLOOKUP($E74,'D-1 Off-Site Habitat Baseline'!$D$1:$O$258,7,FALSE))))</f>
        <v/>
      </c>
      <c r="J74" s="382" t="str">
        <f>IF(E74="","",IF(ISNA(VLOOKUP($E74,'D-1 Off-Site Habitat Baseline'!$D$1:$O$258,8,FALSE)),"",(VLOOKUP($E74,'D-1 Off-Site Habitat Baseline'!$D$1:$O$258,8,FALSE))))</f>
        <v/>
      </c>
      <c r="K74" s="382" t="str">
        <f>IF(E74="","",IF(ISNA(VLOOKUP($E74,'D-1 Off-Site Habitat Baseline'!$D$1:$O$258,9,FALSE)),"",(VLOOKUP($E74,'D-1 Off-Site Habitat Baseline'!$D$1:$O$258,9,FALSE))))</f>
        <v/>
      </c>
      <c r="L74" s="382" t="str">
        <f>IF(E74="","",IF(ISNA(VLOOKUP($E74,'D-1 Off-Site Habitat Baseline'!$D$1:$O$258,11,FALSE)),"",(VLOOKUP($E74,'D-1 Off-Site Habitat Baseline'!$D$1:$O$258,11,FALSE))))</f>
        <v/>
      </c>
      <c r="M74" s="382" t="str">
        <f>IF(E74="","",IF(ISNA(VLOOKUP($E74,'D-1 Off-Site Habitat Baseline'!$D$1:$O$258,12,FALSE)),"",(VLOOKUP($E74,'D-1 Off-Site Habitat Baseline'!$D$1:$O$258,12,FALSE))))</f>
        <v/>
      </c>
      <c r="N74" s="382" t="str">
        <f>IF(E74="","",IF(ISNA(VLOOKUP($E74,'D-1 Off-Site Habitat Baseline'!$D$1:$AA$258,14,FALSE)),"",(VLOOKUP($E74,'D-1 Off-Site Habitat Baseline'!$D$1:$AA$258,14,FALSE))))</f>
        <v/>
      </c>
      <c r="O74" s="386" t="str">
        <f>IF(E74="","",IF(ISNA(VLOOKUP($E74,'D-1 Off-Site Habitat Baseline'!$D$1:$AA$258,13,FALSE)),"",(VLOOKUP($E74,'D-1 Off-Site Habitat Baseline'!$D$1:$AA$258,13,FALSE))))</f>
        <v/>
      </c>
      <c r="P74" s="184" t="str">
        <f>IFERROR(INDEX('G-1 All Habitats'!$AG$3:$AG$17,MATCH(Q74,'G-1 All Habitats'!$AF$3:$AF$17,0)),"")</f>
        <v/>
      </c>
      <c r="Q74" s="185" t="str">
        <f t="shared" si="0"/>
        <v/>
      </c>
      <c r="R74" s="186" t="str">
        <f t="shared" si="1"/>
        <v/>
      </c>
      <c r="S74" s="187" t="str">
        <f>IFERROR(INDEX('G-1 All Habitats'!$B$3:$B$134,MATCH(R74,'G-1 All Habitats'!$A$3:$A$134,0)),"")</f>
        <v/>
      </c>
      <c r="T74" s="370" t="str">
        <f t="shared" si="3"/>
        <v/>
      </c>
      <c r="U74" s="386" t="str">
        <f t="shared" si="4"/>
        <v/>
      </c>
      <c r="V74" s="385" t="str">
        <f t="shared" si="5"/>
        <v/>
      </c>
      <c r="W74" s="382" t="str">
        <f>IF(S74="","",VLOOKUP(S74,'G-1 All Habitats'!$B$2:$M$134,10,FALSE))</f>
        <v/>
      </c>
      <c r="X74" s="382" t="str">
        <f>IFERROR(VLOOKUP(W74,'G-1 All Habitats'!$V$3:$W$7,2,FALSE),"")</f>
        <v/>
      </c>
      <c r="Y74" s="165"/>
      <c r="Z74" s="386" t="str">
        <f>IFERROR(INDEX('G-8 Condition Look up'!$A$3:$H$135,MATCH(S74,'G-8 Condition Look up'!$A$3:$A$135,0),MATCH(Y74,'G-8 Condition Look up'!$A$3:$H$3,0)),"")</f>
        <v/>
      </c>
      <c r="AA74" s="114"/>
      <c r="AB74" s="401" t="str">
        <f>IF(AA74="","",IF(VLOOKUP(AA74,'G-3 Multipliers'!$L$3:$N$6,2,FALSE)=0,"Spatial Data Missing ⚠",VLOOKUP(AA74,'G-3 Multipliers'!$L$3:$N$6,2,FALSE)))</f>
        <v/>
      </c>
      <c r="AC74" s="386" t="str">
        <f>IF(AA74="","",IF(VLOOKUP(AA74,'G-3 Multipliers'!$L$3:$N$6,3,FALSE)=0,"Spatial Data Missing ⚠",VLOOKUP(AA74,'G-3 Multipliers'!$L$3:$N$6,3,FALSE)))</f>
        <v/>
      </c>
      <c r="AD74" s="398" t="str">
        <f t="shared" si="2"/>
        <v/>
      </c>
      <c r="AE74" s="165"/>
      <c r="AF74" s="165"/>
      <c r="AG74" s="382" t="str">
        <f t="shared" si="6"/>
        <v/>
      </c>
      <c r="AH74" s="404" t="str">
        <f t="shared" si="7"/>
        <v/>
      </c>
      <c r="AI74" s="387" t="str">
        <f>IF(AH74="Check Data ⚠","Check Data ⚠",IFERROR(VLOOKUP(AH74,'G-4 Temporal multipliers'!$A$4:$C$36,3,FALSE),""))</f>
        <v/>
      </c>
      <c r="AJ74" s="398" t="str">
        <f>IF(S74="","",VLOOKUP(S74,'G-3 Multipliers'!$A$2:$E$134,4,FALSE))</f>
        <v/>
      </c>
      <c r="AK74" s="382" t="str">
        <f t="shared" si="8"/>
        <v/>
      </c>
      <c r="AL74" s="382" t="str">
        <f t="shared" si="9"/>
        <v/>
      </c>
      <c r="AM74" s="386" t="str">
        <f>IFERROR(IF(F74="","",IF(AH74="Check Data ⚠","Check Data ⚠",VLOOKUP(AL74, 'G-3 Multipliers'!$P$2:$Q$6,2,FALSE))),"")</f>
        <v/>
      </c>
      <c r="AN74" s="516"/>
      <c r="AO74" s="417" t="str">
        <f>IF(AN74="","",IF(VLOOKUP(AN74,'G-3 Multipliers'!$S$3:$T$10,2,FALSE)=0,"Spatial Data Missing ⚠",VLOOKUP(AN74,'G-3 Multipliers'!$S$3:$T$10,2,FALSE)))</f>
        <v/>
      </c>
      <c r="AP74" s="376" t="str">
        <f t="shared" si="10"/>
        <v/>
      </c>
      <c r="AQ74" s="376" t="str">
        <f t="shared" si="11"/>
        <v/>
      </c>
      <c r="AR74" s="119"/>
      <c r="AS74" s="528"/>
      <c r="AT74" s="120"/>
      <c r="AU74" s="120"/>
    </row>
    <row r="75" spans="1:47">
      <c r="A75" s="30" t="str">
        <f>IF(E75="","",IF(ISNA(VLOOKUP($E75,'D-1 Off-Site Habitat Baseline'!$D$1:$O$258,2,FALSE)),"",(VLOOKUP($E75,'D-1 Off-Site Habitat Baseline'!$D$1:$O$258,2,FALSE))))</f>
        <v/>
      </c>
      <c r="B75" s="30" t="str">
        <f>IF(E75="","",IF(ISNA(VLOOKUP($E75,'D-1 Off-Site Habitat Baseline'!$D$1:$O$258,3,FALSE)),"",(VLOOKUP($E75,'D-1 Off-Site Habitat Baseline'!$D$1:$O$258,3,FALSE))))</f>
        <v/>
      </c>
      <c r="C75" s="30" t="str">
        <f>IFERROR(INDEX('G-8 Condition Look up'!$I$4:$I$135,MATCH(S75,'G-8 Condition Look up'!$A$4:$A$135,0)),"")</f>
        <v/>
      </c>
      <c r="E75" s="407" t="str">
        <f>'D-1 Off-Site Habitat Baseline'!AP74</f>
        <v/>
      </c>
      <c r="F75" s="382" t="str">
        <f>IF(E75="","",IF(ISNA(VLOOKUP($E75,'D-1 Off-Site Habitat Baseline'!$D$1:$O$258,4,FALSE)),"",(VLOOKUP($E75,'D-1 Off-Site Habitat Baseline'!$D$1:$O$258,4,FALSE))))</f>
        <v/>
      </c>
      <c r="G75" s="382" t="str">
        <f>IF(E75="","",IF(ISNA(VLOOKUP($E75,'D-1 Off-Site Habitat Baseline'!$D$1:$O$258,5,FALSE)),"",(VLOOKUP($E75,'D-1 Off-Site Habitat Baseline'!$D$1:$O$258,5,FALSE))))</f>
        <v/>
      </c>
      <c r="H75" s="382" t="str">
        <f>IF(E75="","",IF(ISNA(VLOOKUP($E75,'D-1 Off-Site Habitat Baseline'!$D$1:$O$258,6,FALSE)),"",(VLOOKUP($E75,'D-1 Off-Site Habitat Baseline'!$D$1:$O$258,6,FALSE))))</f>
        <v/>
      </c>
      <c r="I75" s="382" t="str">
        <f>IF(E75="","",IF(ISNA(VLOOKUP($E75,'D-1 Off-Site Habitat Baseline'!$D$1:$O$258,7,FALSE)),"",(VLOOKUP($E75,'D-1 Off-Site Habitat Baseline'!$D$1:$O$258,7,FALSE))))</f>
        <v/>
      </c>
      <c r="J75" s="382" t="str">
        <f>IF(E75="","",IF(ISNA(VLOOKUP($E75,'D-1 Off-Site Habitat Baseline'!$D$1:$O$258,8,FALSE)),"",(VLOOKUP($E75,'D-1 Off-Site Habitat Baseline'!$D$1:$O$258,8,FALSE))))</f>
        <v/>
      </c>
      <c r="K75" s="382" t="str">
        <f>IF(E75="","",IF(ISNA(VLOOKUP($E75,'D-1 Off-Site Habitat Baseline'!$D$1:$O$258,9,FALSE)),"",(VLOOKUP($E75,'D-1 Off-Site Habitat Baseline'!$D$1:$O$258,9,FALSE))))</f>
        <v/>
      </c>
      <c r="L75" s="382" t="str">
        <f>IF(E75="","",IF(ISNA(VLOOKUP($E75,'D-1 Off-Site Habitat Baseline'!$D$1:$O$258,11,FALSE)),"",(VLOOKUP($E75,'D-1 Off-Site Habitat Baseline'!$D$1:$O$258,11,FALSE))))</f>
        <v/>
      </c>
      <c r="M75" s="382" t="str">
        <f>IF(E75="","",IF(ISNA(VLOOKUP($E75,'D-1 Off-Site Habitat Baseline'!$D$1:$O$258,12,FALSE)),"",(VLOOKUP($E75,'D-1 Off-Site Habitat Baseline'!$D$1:$O$258,12,FALSE))))</f>
        <v/>
      </c>
      <c r="N75" s="382" t="str">
        <f>IF(E75="","",IF(ISNA(VLOOKUP($E75,'D-1 Off-Site Habitat Baseline'!$D$1:$AA$258,14,FALSE)),"",(VLOOKUP($E75,'D-1 Off-Site Habitat Baseline'!$D$1:$AA$258,14,FALSE))))</f>
        <v/>
      </c>
      <c r="O75" s="386" t="str">
        <f>IF(E75="","",IF(ISNA(VLOOKUP($E75,'D-1 Off-Site Habitat Baseline'!$D$1:$AA$258,13,FALSE)),"",(VLOOKUP($E75,'D-1 Off-Site Habitat Baseline'!$D$1:$AA$258,13,FALSE))))</f>
        <v/>
      </c>
      <c r="P75" s="184" t="str">
        <f>IFERROR(INDEX('G-1 All Habitats'!$AG$3:$AG$17,MATCH(Q75,'G-1 All Habitats'!$AF$3:$AF$17,0)),"")</f>
        <v/>
      </c>
      <c r="Q75" s="185" t="str">
        <f t="shared" si="0"/>
        <v/>
      </c>
      <c r="R75" s="186" t="str">
        <f t="shared" si="1"/>
        <v/>
      </c>
      <c r="S75" s="187" t="str">
        <f>IFERROR(INDEX('G-1 All Habitats'!$B$3:$B$134,MATCH(R75,'G-1 All Habitats'!$A$3:$A$134,0)),"")</f>
        <v/>
      </c>
      <c r="T75" s="370" t="str">
        <f t="shared" si="3"/>
        <v/>
      </c>
      <c r="U75" s="386" t="str">
        <f t="shared" si="4"/>
        <v/>
      </c>
      <c r="V75" s="385" t="str">
        <f t="shared" si="5"/>
        <v/>
      </c>
      <c r="W75" s="382" t="str">
        <f>IF(S75="","",VLOOKUP(S75,'G-1 All Habitats'!$B$2:$M$134,10,FALSE))</f>
        <v/>
      </c>
      <c r="X75" s="382" t="str">
        <f>IFERROR(VLOOKUP(W75,'G-1 All Habitats'!$V$3:$W$7,2,FALSE),"")</f>
        <v/>
      </c>
      <c r="Y75" s="165"/>
      <c r="Z75" s="386" t="str">
        <f>IFERROR(INDEX('G-8 Condition Look up'!$A$3:$H$135,MATCH(S75,'G-8 Condition Look up'!$A$3:$A$135,0),MATCH(Y75,'G-8 Condition Look up'!$A$3:$H$3,0)),"")</f>
        <v/>
      </c>
      <c r="AA75" s="114"/>
      <c r="AB75" s="401" t="str">
        <f>IF(AA75="","",IF(VLOOKUP(AA75,'G-3 Multipliers'!$L$3:$N$6,2,FALSE)=0,"Spatial Data Missing ⚠",VLOOKUP(AA75,'G-3 Multipliers'!$L$3:$N$6,2,FALSE)))</f>
        <v/>
      </c>
      <c r="AC75" s="386" t="str">
        <f>IF(AA75="","",IF(VLOOKUP(AA75,'G-3 Multipliers'!$L$3:$N$6,3,FALSE)=0,"Spatial Data Missing ⚠",VLOOKUP(AA75,'G-3 Multipliers'!$L$3:$N$6,3,FALSE)))</f>
        <v/>
      </c>
      <c r="AD75" s="398" t="str">
        <f t="shared" si="2"/>
        <v/>
      </c>
      <c r="AE75" s="165"/>
      <c r="AF75" s="165"/>
      <c r="AG75" s="382" t="str">
        <f t="shared" si="6"/>
        <v/>
      </c>
      <c r="AH75" s="404" t="str">
        <f t="shared" si="7"/>
        <v/>
      </c>
      <c r="AI75" s="387" t="str">
        <f>IF(AH75="Check Data ⚠","Check Data ⚠",IFERROR(VLOOKUP(AH75,'G-4 Temporal multipliers'!$A$4:$C$36,3,FALSE),""))</f>
        <v/>
      </c>
      <c r="AJ75" s="398" t="str">
        <f>IF(S75="","",VLOOKUP(S75,'G-3 Multipliers'!$A$2:$E$134,4,FALSE))</f>
        <v/>
      </c>
      <c r="AK75" s="382" t="str">
        <f t="shared" si="8"/>
        <v/>
      </c>
      <c r="AL75" s="382" t="str">
        <f t="shared" si="9"/>
        <v/>
      </c>
      <c r="AM75" s="386" t="str">
        <f>IFERROR(IF(F75="","",IF(AH75="Check Data ⚠","Check Data ⚠",VLOOKUP(AL75, 'G-3 Multipliers'!$P$2:$Q$6,2,FALSE))),"")</f>
        <v/>
      </c>
      <c r="AN75" s="516"/>
      <c r="AO75" s="417" t="str">
        <f>IF(AN75="","",IF(VLOOKUP(AN75,'G-3 Multipliers'!$S$3:$T$10,2,FALSE)=0,"Spatial Data Missing ⚠",VLOOKUP(AN75,'G-3 Multipliers'!$S$3:$T$10,2,FALSE)))</f>
        <v/>
      </c>
      <c r="AP75" s="376" t="str">
        <f t="shared" si="10"/>
        <v/>
      </c>
      <c r="AQ75" s="376" t="str">
        <f t="shared" si="11"/>
        <v/>
      </c>
      <c r="AR75" s="119"/>
      <c r="AS75" s="528"/>
      <c r="AT75" s="120"/>
      <c r="AU75" s="120"/>
    </row>
    <row r="76" spans="1:47">
      <c r="A76" s="30" t="str">
        <f>IF(E76="","",IF(ISNA(VLOOKUP($E76,'D-1 Off-Site Habitat Baseline'!$D$1:$O$258,2,FALSE)),"",(VLOOKUP($E76,'D-1 Off-Site Habitat Baseline'!$D$1:$O$258,2,FALSE))))</f>
        <v/>
      </c>
      <c r="B76" s="30" t="str">
        <f>IF(E76="","",IF(ISNA(VLOOKUP($E76,'D-1 Off-Site Habitat Baseline'!$D$1:$O$258,3,FALSE)),"",(VLOOKUP($E76,'D-1 Off-Site Habitat Baseline'!$D$1:$O$258,3,FALSE))))</f>
        <v/>
      </c>
      <c r="C76" s="30" t="str">
        <f>IFERROR(INDEX('G-8 Condition Look up'!$I$4:$I$135,MATCH(S76,'G-8 Condition Look up'!$A$4:$A$135,0)),"")</f>
        <v/>
      </c>
      <c r="E76" s="407" t="str">
        <f>'D-1 Off-Site Habitat Baseline'!AP75</f>
        <v/>
      </c>
      <c r="F76" s="382" t="str">
        <f>IF(E76="","",IF(ISNA(VLOOKUP($E76,'D-1 Off-Site Habitat Baseline'!$D$1:$O$258,4,FALSE)),"",(VLOOKUP($E76,'D-1 Off-Site Habitat Baseline'!$D$1:$O$258,4,FALSE))))</f>
        <v/>
      </c>
      <c r="G76" s="382" t="str">
        <f>IF(E76="","",IF(ISNA(VLOOKUP($E76,'D-1 Off-Site Habitat Baseline'!$D$1:$O$258,5,FALSE)),"",(VLOOKUP($E76,'D-1 Off-Site Habitat Baseline'!$D$1:$O$258,5,FALSE))))</f>
        <v/>
      </c>
      <c r="H76" s="382" t="str">
        <f>IF(E76="","",IF(ISNA(VLOOKUP($E76,'D-1 Off-Site Habitat Baseline'!$D$1:$O$258,6,FALSE)),"",(VLOOKUP($E76,'D-1 Off-Site Habitat Baseline'!$D$1:$O$258,6,FALSE))))</f>
        <v/>
      </c>
      <c r="I76" s="382" t="str">
        <f>IF(E76="","",IF(ISNA(VLOOKUP($E76,'D-1 Off-Site Habitat Baseline'!$D$1:$O$258,7,FALSE)),"",(VLOOKUP($E76,'D-1 Off-Site Habitat Baseline'!$D$1:$O$258,7,FALSE))))</f>
        <v/>
      </c>
      <c r="J76" s="382" t="str">
        <f>IF(E76="","",IF(ISNA(VLOOKUP($E76,'D-1 Off-Site Habitat Baseline'!$D$1:$O$258,8,FALSE)),"",(VLOOKUP($E76,'D-1 Off-Site Habitat Baseline'!$D$1:$O$258,8,FALSE))))</f>
        <v/>
      </c>
      <c r="K76" s="382" t="str">
        <f>IF(E76="","",IF(ISNA(VLOOKUP($E76,'D-1 Off-Site Habitat Baseline'!$D$1:$O$258,9,FALSE)),"",(VLOOKUP($E76,'D-1 Off-Site Habitat Baseline'!$D$1:$O$258,9,FALSE))))</f>
        <v/>
      </c>
      <c r="L76" s="382" t="str">
        <f>IF(E76="","",IF(ISNA(VLOOKUP($E76,'D-1 Off-Site Habitat Baseline'!$D$1:$O$258,11,FALSE)),"",(VLOOKUP($E76,'D-1 Off-Site Habitat Baseline'!$D$1:$O$258,11,FALSE))))</f>
        <v/>
      </c>
      <c r="M76" s="382" t="str">
        <f>IF(E76="","",IF(ISNA(VLOOKUP($E76,'D-1 Off-Site Habitat Baseline'!$D$1:$O$258,12,FALSE)),"",(VLOOKUP($E76,'D-1 Off-Site Habitat Baseline'!$D$1:$O$258,12,FALSE))))</f>
        <v/>
      </c>
      <c r="N76" s="382" t="str">
        <f>IF(E76="","",IF(ISNA(VLOOKUP($E76,'D-1 Off-Site Habitat Baseline'!$D$1:$AA$258,14,FALSE)),"",(VLOOKUP($E76,'D-1 Off-Site Habitat Baseline'!$D$1:$AA$258,14,FALSE))))</f>
        <v/>
      </c>
      <c r="O76" s="386" t="str">
        <f>IF(E76="","",IF(ISNA(VLOOKUP($E76,'D-1 Off-Site Habitat Baseline'!$D$1:$AA$258,13,FALSE)),"",(VLOOKUP($E76,'D-1 Off-Site Habitat Baseline'!$D$1:$AA$258,13,FALSE))))</f>
        <v/>
      </c>
      <c r="P76" s="184" t="str">
        <f>IFERROR(INDEX('G-1 All Habitats'!$AG$3:$AG$17,MATCH(Q76,'G-1 All Habitats'!$AF$3:$AF$17,0)),"")</f>
        <v/>
      </c>
      <c r="Q76" s="185" t="str">
        <f t="shared" si="0"/>
        <v/>
      </c>
      <c r="R76" s="186" t="str">
        <f t="shared" si="1"/>
        <v/>
      </c>
      <c r="S76" s="187" t="str">
        <f>IFERROR(INDEX('G-1 All Habitats'!$B$3:$B$134,MATCH(R76,'G-1 All Habitats'!$A$3:$A$134,0)),"")</f>
        <v/>
      </c>
      <c r="T76" s="370" t="str">
        <f t="shared" si="3"/>
        <v/>
      </c>
      <c r="U76" s="386" t="str">
        <f t="shared" si="4"/>
        <v/>
      </c>
      <c r="V76" s="385" t="str">
        <f t="shared" ref="V76:V139" si="12">IF(S76="","",VLOOKUP(E76,BaselineHabOffsite,20,FALSE))</f>
        <v/>
      </c>
      <c r="W76" s="382" t="str">
        <f>IF(S76="","",VLOOKUP(S76,'G-1 All Habitats'!$B$2:$M$134,10,FALSE))</f>
        <v/>
      </c>
      <c r="X76" s="382" t="str">
        <f>IFERROR(VLOOKUP(W76,'G-1 All Habitats'!$V$3:$W$7,2,FALSE),"")</f>
        <v/>
      </c>
      <c r="Y76" s="165"/>
      <c r="Z76" s="386" t="str">
        <f>IFERROR(INDEX('G-8 Condition Look up'!$A$3:$H$135,MATCH(S76,'G-8 Condition Look up'!$A$3:$A$135,0),MATCH(Y76,'G-8 Condition Look up'!$A$3:$H$3,0)),"")</f>
        <v/>
      </c>
      <c r="AA76" s="114"/>
      <c r="AB76" s="401" t="str">
        <f>IF(AA76="","",IF(VLOOKUP(AA76,'G-3 Multipliers'!$L$3:$N$6,2,FALSE)=0,"Spatial Data Missing ⚠",VLOOKUP(AA76,'G-3 Multipliers'!$L$3:$N$6,2,FALSE)))</f>
        <v/>
      </c>
      <c r="AC76" s="386" t="str">
        <f>IF(AA76="","",IF(VLOOKUP(AA76,'G-3 Multipliers'!$L$3:$N$6,3,FALSE)=0,"Spatial Data Missing ⚠",VLOOKUP(AA76,'G-3 Multipliers'!$L$3:$N$6,3,FALSE)))</f>
        <v/>
      </c>
      <c r="AD76" s="398" t="str">
        <f t="shared" ref="AD76:AD139" si="13">IFERROR(IF(OR(LEFT(U76,5)="Error",LEFT(T76,5)="Error"),"Check Data ⚠",INDEX(EnhanceTemporal,MATCH(S76,EnhanceHabitat,0),MATCH(U76,EnhanceCondition,0))),"")</f>
        <v/>
      </c>
      <c r="AE76" s="165"/>
      <c r="AF76" s="165"/>
      <c r="AG76" s="382" t="str">
        <f t="shared" si="6"/>
        <v/>
      </c>
      <c r="AH76" s="404" t="str">
        <f t="shared" si="7"/>
        <v/>
      </c>
      <c r="AI76" s="387" t="str">
        <f>IF(AH76="Check Data ⚠","Check Data ⚠",IFERROR(VLOOKUP(AH76,'G-4 Temporal multipliers'!$A$4:$C$36,3,FALSE),""))</f>
        <v/>
      </c>
      <c r="AJ76" s="398" t="str">
        <f>IF(S76="","",VLOOKUP(S76,'G-3 Multipliers'!$A$2:$E$134,4,FALSE))</f>
        <v/>
      </c>
      <c r="AK76" s="382" t="str">
        <f t="shared" si="8"/>
        <v/>
      </c>
      <c r="AL76" s="382" t="str">
        <f t="shared" si="9"/>
        <v/>
      </c>
      <c r="AM76" s="386" t="str">
        <f>IFERROR(IF(F76="","",IF(AH76="Check Data ⚠","Check Data ⚠",VLOOKUP(AL76, 'G-3 Multipliers'!$P$2:$Q$6,2,FALSE))),"")</f>
        <v/>
      </c>
      <c r="AN76" s="516"/>
      <c r="AO76" s="417" t="str">
        <f>IF(AN76="","",IF(VLOOKUP(AN76,'G-3 Multipliers'!$S$3:$T$10,2,FALSE)=0,"Spatial Data Missing ⚠",VLOOKUP(AN76,'G-3 Multipliers'!$S$3:$T$10,2,FALSE)))</f>
        <v/>
      </c>
      <c r="AP76" s="376" t="str">
        <f t="shared" si="10"/>
        <v/>
      </c>
      <c r="AQ76" s="376" t="str">
        <f t="shared" si="11"/>
        <v/>
      </c>
      <c r="AR76" s="119"/>
      <c r="AS76" s="528"/>
      <c r="AT76" s="120"/>
      <c r="AU76" s="120"/>
    </row>
    <row r="77" spans="1:47">
      <c r="A77" s="30" t="str">
        <f>IF(E77="","",IF(ISNA(VLOOKUP($E77,'D-1 Off-Site Habitat Baseline'!$D$1:$O$258,2,FALSE)),"",(VLOOKUP($E77,'D-1 Off-Site Habitat Baseline'!$D$1:$O$258,2,FALSE))))</f>
        <v/>
      </c>
      <c r="B77" s="30" t="str">
        <f>IF(E77="","",IF(ISNA(VLOOKUP($E77,'D-1 Off-Site Habitat Baseline'!$D$1:$O$258,3,FALSE)),"",(VLOOKUP($E77,'D-1 Off-Site Habitat Baseline'!$D$1:$O$258,3,FALSE))))</f>
        <v/>
      </c>
      <c r="C77" s="30" t="str">
        <f>IFERROR(INDEX('G-8 Condition Look up'!$I$4:$I$135,MATCH(S77,'G-8 Condition Look up'!$A$4:$A$135,0)),"")</f>
        <v/>
      </c>
      <c r="E77" s="407" t="str">
        <f>'D-1 Off-Site Habitat Baseline'!AP76</f>
        <v/>
      </c>
      <c r="F77" s="382" t="str">
        <f>IF(E77="","",IF(ISNA(VLOOKUP($E77,'D-1 Off-Site Habitat Baseline'!$D$1:$O$258,4,FALSE)),"",(VLOOKUP($E77,'D-1 Off-Site Habitat Baseline'!$D$1:$O$258,4,FALSE))))</f>
        <v/>
      </c>
      <c r="G77" s="382" t="str">
        <f>IF(E77="","",IF(ISNA(VLOOKUP($E77,'D-1 Off-Site Habitat Baseline'!$D$1:$O$258,5,FALSE)),"",(VLOOKUP($E77,'D-1 Off-Site Habitat Baseline'!$D$1:$O$258,5,FALSE))))</f>
        <v/>
      </c>
      <c r="H77" s="382" t="str">
        <f>IF(E77="","",IF(ISNA(VLOOKUP($E77,'D-1 Off-Site Habitat Baseline'!$D$1:$O$258,6,FALSE)),"",(VLOOKUP($E77,'D-1 Off-Site Habitat Baseline'!$D$1:$O$258,6,FALSE))))</f>
        <v/>
      </c>
      <c r="I77" s="382" t="str">
        <f>IF(E77="","",IF(ISNA(VLOOKUP($E77,'D-1 Off-Site Habitat Baseline'!$D$1:$O$258,7,FALSE)),"",(VLOOKUP($E77,'D-1 Off-Site Habitat Baseline'!$D$1:$O$258,7,FALSE))))</f>
        <v/>
      </c>
      <c r="J77" s="382" t="str">
        <f>IF(E77="","",IF(ISNA(VLOOKUP($E77,'D-1 Off-Site Habitat Baseline'!$D$1:$O$258,8,FALSE)),"",(VLOOKUP($E77,'D-1 Off-Site Habitat Baseline'!$D$1:$O$258,8,FALSE))))</f>
        <v/>
      </c>
      <c r="K77" s="382" t="str">
        <f>IF(E77="","",IF(ISNA(VLOOKUP($E77,'D-1 Off-Site Habitat Baseline'!$D$1:$O$258,9,FALSE)),"",(VLOOKUP($E77,'D-1 Off-Site Habitat Baseline'!$D$1:$O$258,9,FALSE))))</f>
        <v/>
      </c>
      <c r="L77" s="382" t="str">
        <f>IF(E77="","",IF(ISNA(VLOOKUP($E77,'D-1 Off-Site Habitat Baseline'!$D$1:$O$258,11,FALSE)),"",(VLOOKUP($E77,'D-1 Off-Site Habitat Baseline'!$D$1:$O$258,11,FALSE))))</f>
        <v/>
      </c>
      <c r="M77" s="382" t="str">
        <f>IF(E77="","",IF(ISNA(VLOOKUP($E77,'D-1 Off-Site Habitat Baseline'!$D$1:$O$258,12,FALSE)),"",(VLOOKUP($E77,'D-1 Off-Site Habitat Baseline'!$D$1:$O$258,12,FALSE))))</f>
        <v/>
      </c>
      <c r="N77" s="382" t="str">
        <f>IF(E77="","",IF(ISNA(VLOOKUP($E77,'D-1 Off-Site Habitat Baseline'!$D$1:$AA$258,14,FALSE)),"",(VLOOKUP($E77,'D-1 Off-Site Habitat Baseline'!$D$1:$AA$258,14,FALSE))))</f>
        <v/>
      </c>
      <c r="O77" s="386" t="str">
        <f>IF(E77="","",IF(ISNA(VLOOKUP($E77,'D-1 Off-Site Habitat Baseline'!$D$1:$AA$258,13,FALSE)),"",(VLOOKUP($E77,'D-1 Off-Site Habitat Baseline'!$D$1:$AA$258,13,FALSE))))</f>
        <v/>
      </c>
      <c r="P77" s="184" t="str">
        <f>IFERROR(INDEX('G-1 All Habitats'!$AG$3:$AG$17,MATCH(Q77,'G-1 All Habitats'!$AF$3:$AF$17,0)),"")</f>
        <v/>
      </c>
      <c r="Q77" s="185" t="str">
        <f t="shared" ref="Q77:R140" si="14">A77</f>
        <v/>
      </c>
      <c r="R77" s="186" t="str">
        <f t="shared" si="14"/>
        <v/>
      </c>
      <c r="S77" s="187" t="str">
        <f>IFERROR(INDEX('G-1 All Habitats'!$B$3:$B$134,MATCH(R77,'G-1 All Habitats'!$A$3:$A$134,0)),"")</f>
        <v/>
      </c>
      <c r="T77" s="370" t="str">
        <f t="shared" ref="T77:T140" si="15">IF(E77="","",IF(AND(LEFT(O77,6)="Same d",I77&gt;X77),"Error - Trading rules not satisfied ▲",IF(AND(LEFT(O77,6)="Same b",AND(LEFT(F77,5)&lt;&gt;LEFT(S77,5),I77&gt;X77)),"Error - Trading rules not satisfied ▲",IF(AND(LEFT(O77,6)="Same h",F77&lt;&gt;S77),"Error - Trading rules not satisfied ▲",IF(AND(LEFT(O77,6)="Bespok",F77&lt;&gt;S77),"Error - Trading rules not satisfied ▲",IF(X77&lt;I77,"Error Trading Down ▲",H77&amp;" - "&amp;W77))))))</f>
        <v/>
      </c>
      <c r="U77" s="386" t="str">
        <f t="shared" ref="U77:U140" si="16">IF(F77="","",IF(AND(LEFT(F77,55)&lt;&gt;LEFT(S77,55),T77= "High - High"),"Error - Not like for like ▲",IF(AND(I77=X77,K77&gt;Z77),"Error - Can not reduce condition ▲",IF(K77&gt;Z77, "Error - condition cannot be reduced ▲", IF(AND(I77=X77,K77=Z77),"Error - No enhancement ▲",IF(X77&lt;I77,"Error Trading Down ▲",IF(AND(F77&lt;&gt;S77,I77&lt;X77),"Lower Distinctiveness Habitat"&amp;" - "&amp;Y77,J77&amp;" - "&amp;Y77)))))))</f>
        <v/>
      </c>
      <c r="V77" s="385" t="str">
        <f t="shared" si="12"/>
        <v/>
      </c>
      <c r="W77" s="382" t="str">
        <f>IF(S77="","",VLOOKUP(S77,'G-1 All Habitats'!$B$2:$M$134,10,FALSE))</f>
        <v/>
      </c>
      <c r="X77" s="382" t="str">
        <f>IFERROR(VLOOKUP(W77,'G-1 All Habitats'!$V$3:$W$7,2,FALSE),"")</f>
        <v/>
      </c>
      <c r="Y77" s="165"/>
      <c r="Z77" s="386" t="str">
        <f>IFERROR(INDEX('G-8 Condition Look up'!$A$3:$H$135,MATCH(S77,'G-8 Condition Look up'!$A$3:$A$135,0),MATCH(Y77,'G-8 Condition Look up'!$A$3:$H$3,0)),"")</f>
        <v/>
      </c>
      <c r="AA77" s="114"/>
      <c r="AB77" s="401" t="str">
        <f>IF(AA77="","",IF(VLOOKUP(AA77,'G-3 Multipliers'!$L$3:$N$6,2,FALSE)=0,"Spatial Data Missing ⚠",VLOOKUP(AA77,'G-3 Multipliers'!$L$3:$N$6,2,FALSE)))</f>
        <v/>
      </c>
      <c r="AC77" s="386" t="str">
        <f>IF(AA77="","",IF(VLOOKUP(AA77,'G-3 Multipliers'!$L$3:$N$6,3,FALSE)=0,"Spatial Data Missing ⚠",VLOOKUP(AA77,'G-3 Multipliers'!$L$3:$N$6,3,FALSE)))</f>
        <v/>
      </c>
      <c r="AD77" s="398" t="str">
        <f t="shared" si="13"/>
        <v/>
      </c>
      <c r="AE77" s="165"/>
      <c r="AF77" s="165"/>
      <c r="AG77" s="382" t="str">
        <f t="shared" ref="AG77:AG140" si="17">IF(AD77="","",IF(AD77="Check Data ⚠","Check Data ⚠",IF(R77="","",IF(AND(AE77&gt;0,AF77&gt;0),"Error -both advance and delayed habitat creation ▲",IF(AND(OR(AE77="Habitat already in target condition",AD77&lt;=AE77),AF77=0),"Check details - Is there evidence that habitat has reached target condition? ⚠",IF(O76="","",IF(AE77&gt;0,"Check details - Is there evidence habitat creation started/in place? ⚠",IF(AF77&gt;0,"Check details- Delay in starting habitat in required condition? ⚠","Standard time to target condition applied"))))))))</f>
        <v/>
      </c>
      <c r="AH77" s="404" t="str">
        <f t="shared" ref="AH77:AH140" si="18">IF(AG77="Error -both advance and delayed habitat creation ▲","Check Data ⚠",IF(AG77="Check Data ⚠","Check Data ⚠",IF(AD77="","",IF(AD77="Not Possible","CheckData ⚠",IF(AND(AD77="30+",AE77=0),"30+",IF(AND(AD77="30+",AE77="30+"),0,IF(AND(AD77="30+",AE77&lt;30),30-AE77,IF(AD77="30+",30-AE77,IF(AF77="30+","30+",IF(AE77&gt;AD77,0,IF(AD77+AF77&gt;30,"30+",IF(AD77+AF77&gt;30,"30+",IF(AD77-AE77&gt;30,"30+",IF(AD77+AF77-AE77&gt;0,AD77+AF77-AE77,IF(AD77-AE77&gt;0,AD77-AE77,AD77+AF77-AE77)))))))))))))))</f>
        <v/>
      </c>
      <c r="AI77" s="387" t="str">
        <f>IF(AH77="Check Data ⚠","Check Data ⚠",IFERROR(VLOOKUP(AH77,'G-4 Temporal multipliers'!$A$4:$C$36,3,FALSE),""))</f>
        <v/>
      </c>
      <c r="AJ77" s="398" t="str">
        <f>IF(S77="","",VLOOKUP(S77,'G-3 Multipliers'!$A$2:$E$134,4,FALSE))</f>
        <v/>
      </c>
      <c r="AK77" s="382" t="str">
        <f t="shared" ref="AK77:AK140" si="19">IF(E77="","",IF(AG77="Check details - Is there evidence that habitat has reached target condition? ⚠","Low Difficulty - only applicable if all habitat created before losses","Standard difficulty applied"))</f>
        <v/>
      </c>
      <c r="AL77" s="382" t="str">
        <f t="shared" ref="AL77:AL140" si="20">(IF(AND(AK77="Standard difficulty applied",AD77&gt;AE77),AJ77,IF(AND(AK77="Low Difficulty - only applicable if all habitat created before losses",AE77&gt;=AD77),"Low", AJ77)))</f>
        <v/>
      </c>
      <c r="AM77" s="386" t="str">
        <f>IFERROR(IF(F77="","",IF(AH77="Check Data ⚠","Check Data ⚠",VLOOKUP(AL77, 'G-3 Multipliers'!$P$2:$Q$6,2,FALSE))),"")</f>
        <v/>
      </c>
      <c r="AN77" s="516"/>
      <c r="AO77" s="417" t="str">
        <f>IF(AN77="","",IF(VLOOKUP(AN77,'G-3 Multipliers'!$S$3:$T$10,2,FALSE)=0,"Spatial Data Missing ⚠",VLOOKUP(AN77,'G-3 Multipliers'!$S$3:$T$10,2,FALSE)))</f>
        <v/>
      </c>
      <c r="AP77" s="376" t="str">
        <f t="shared" ref="AP77:AP140" si="21">IFERROR(((((V77*X77*Z77)-(V77*I77*K77))*(AM77*AI77))+(V77*I77*K77))*(AC77)*AO77,"")</f>
        <v/>
      </c>
      <c r="AQ77" s="376" t="str">
        <f t="shared" ref="AQ77:AQ140" si="22">IFERROR(IF(AN77="", "",((((V77*X77*Z77)-(V77*I77*K77))*(AM77*AI77))+(V77*I77*K77))*(AC77)),"")</f>
        <v/>
      </c>
      <c r="AR77" s="119"/>
      <c r="AS77" s="528"/>
      <c r="AT77" s="120"/>
      <c r="AU77" s="120"/>
    </row>
    <row r="78" spans="1:47">
      <c r="A78" s="30" t="str">
        <f>IF(E78="","",IF(ISNA(VLOOKUP($E78,'D-1 Off-Site Habitat Baseline'!$D$1:$O$258,2,FALSE)),"",(VLOOKUP($E78,'D-1 Off-Site Habitat Baseline'!$D$1:$O$258,2,FALSE))))</f>
        <v/>
      </c>
      <c r="B78" s="30" t="str">
        <f>IF(E78="","",IF(ISNA(VLOOKUP($E78,'D-1 Off-Site Habitat Baseline'!$D$1:$O$258,3,FALSE)),"",(VLOOKUP($E78,'D-1 Off-Site Habitat Baseline'!$D$1:$O$258,3,FALSE))))</f>
        <v/>
      </c>
      <c r="C78" s="30" t="str">
        <f>IFERROR(INDEX('G-8 Condition Look up'!$I$4:$I$135,MATCH(S78,'G-8 Condition Look up'!$A$4:$A$135,0)),"")</f>
        <v/>
      </c>
      <c r="E78" s="407" t="str">
        <f>'D-1 Off-Site Habitat Baseline'!AP77</f>
        <v/>
      </c>
      <c r="F78" s="382" t="str">
        <f>IF(E78="","",IF(ISNA(VLOOKUP($E78,'D-1 Off-Site Habitat Baseline'!$D$1:$O$258,4,FALSE)),"",(VLOOKUP($E78,'D-1 Off-Site Habitat Baseline'!$D$1:$O$258,4,FALSE))))</f>
        <v/>
      </c>
      <c r="G78" s="382" t="str">
        <f>IF(E78="","",IF(ISNA(VLOOKUP($E78,'D-1 Off-Site Habitat Baseline'!$D$1:$O$258,5,FALSE)),"",(VLOOKUP($E78,'D-1 Off-Site Habitat Baseline'!$D$1:$O$258,5,FALSE))))</f>
        <v/>
      </c>
      <c r="H78" s="382" t="str">
        <f>IF(E78="","",IF(ISNA(VLOOKUP($E78,'D-1 Off-Site Habitat Baseline'!$D$1:$O$258,6,FALSE)),"",(VLOOKUP($E78,'D-1 Off-Site Habitat Baseline'!$D$1:$O$258,6,FALSE))))</f>
        <v/>
      </c>
      <c r="I78" s="382" t="str">
        <f>IF(E78="","",IF(ISNA(VLOOKUP($E78,'D-1 Off-Site Habitat Baseline'!$D$1:$O$258,7,FALSE)),"",(VLOOKUP($E78,'D-1 Off-Site Habitat Baseline'!$D$1:$O$258,7,FALSE))))</f>
        <v/>
      </c>
      <c r="J78" s="382" t="str">
        <f>IF(E78="","",IF(ISNA(VLOOKUP($E78,'D-1 Off-Site Habitat Baseline'!$D$1:$O$258,8,FALSE)),"",(VLOOKUP($E78,'D-1 Off-Site Habitat Baseline'!$D$1:$O$258,8,FALSE))))</f>
        <v/>
      </c>
      <c r="K78" s="382" t="str">
        <f>IF(E78="","",IF(ISNA(VLOOKUP($E78,'D-1 Off-Site Habitat Baseline'!$D$1:$O$258,9,FALSE)),"",(VLOOKUP($E78,'D-1 Off-Site Habitat Baseline'!$D$1:$O$258,9,FALSE))))</f>
        <v/>
      </c>
      <c r="L78" s="382" t="str">
        <f>IF(E78="","",IF(ISNA(VLOOKUP($E78,'D-1 Off-Site Habitat Baseline'!$D$1:$O$258,11,FALSE)),"",(VLOOKUP($E78,'D-1 Off-Site Habitat Baseline'!$D$1:$O$258,11,FALSE))))</f>
        <v/>
      </c>
      <c r="M78" s="382" t="str">
        <f>IF(E78="","",IF(ISNA(VLOOKUP($E78,'D-1 Off-Site Habitat Baseline'!$D$1:$O$258,12,FALSE)),"",(VLOOKUP($E78,'D-1 Off-Site Habitat Baseline'!$D$1:$O$258,12,FALSE))))</f>
        <v/>
      </c>
      <c r="N78" s="382" t="str">
        <f>IF(E78="","",IF(ISNA(VLOOKUP($E78,'D-1 Off-Site Habitat Baseline'!$D$1:$AA$258,14,FALSE)),"",(VLOOKUP($E78,'D-1 Off-Site Habitat Baseline'!$D$1:$AA$258,14,FALSE))))</f>
        <v/>
      </c>
      <c r="O78" s="386" t="str">
        <f>IF(E78="","",IF(ISNA(VLOOKUP($E78,'D-1 Off-Site Habitat Baseline'!$D$1:$AA$258,13,FALSE)),"",(VLOOKUP($E78,'D-1 Off-Site Habitat Baseline'!$D$1:$AA$258,13,FALSE))))</f>
        <v/>
      </c>
      <c r="P78" s="184" t="str">
        <f>IFERROR(INDEX('G-1 All Habitats'!$AG$3:$AG$17,MATCH(Q78,'G-1 All Habitats'!$AF$3:$AF$17,0)),"")</f>
        <v/>
      </c>
      <c r="Q78" s="185" t="str">
        <f t="shared" si="14"/>
        <v/>
      </c>
      <c r="R78" s="186" t="str">
        <f t="shared" si="14"/>
        <v/>
      </c>
      <c r="S78" s="187" t="str">
        <f>IFERROR(INDEX('G-1 All Habitats'!$B$3:$B$134,MATCH(R78,'G-1 All Habitats'!$A$3:$A$134,0)),"")</f>
        <v/>
      </c>
      <c r="T78" s="370" t="str">
        <f t="shared" si="15"/>
        <v/>
      </c>
      <c r="U78" s="386" t="str">
        <f t="shared" si="16"/>
        <v/>
      </c>
      <c r="V78" s="385" t="str">
        <f t="shared" si="12"/>
        <v/>
      </c>
      <c r="W78" s="382" t="str">
        <f>IF(S78="","",VLOOKUP(S78,'G-1 All Habitats'!$B$2:$M$134,10,FALSE))</f>
        <v/>
      </c>
      <c r="X78" s="382" t="str">
        <f>IFERROR(VLOOKUP(W78,'G-1 All Habitats'!$V$3:$W$7,2,FALSE),"")</f>
        <v/>
      </c>
      <c r="Y78" s="165"/>
      <c r="Z78" s="386" t="str">
        <f>IFERROR(INDEX('G-8 Condition Look up'!$A$3:$H$135,MATCH(S78,'G-8 Condition Look up'!$A$3:$A$135,0),MATCH(Y78,'G-8 Condition Look up'!$A$3:$H$3,0)),"")</f>
        <v/>
      </c>
      <c r="AA78" s="114"/>
      <c r="AB78" s="401" t="str">
        <f>IF(AA78="","",IF(VLOOKUP(AA78,'G-3 Multipliers'!$L$3:$N$6,2,FALSE)=0,"Spatial Data Missing ⚠",VLOOKUP(AA78,'G-3 Multipliers'!$L$3:$N$6,2,FALSE)))</f>
        <v/>
      </c>
      <c r="AC78" s="386" t="str">
        <f>IF(AA78="","",IF(VLOOKUP(AA78,'G-3 Multipliers'!$L$3:$N$6,3,FALSE)=0,"Spatial Data Missing ⚠",VLOOKUP(AA78,'G-3 Multipliers'!$L$3:$N$6,3,FALSE)))</f>
        <v/>
      </c>
      <c r="AD78" s="398" t="str">
        <f t="shared" si="13"/>
        <v/>
      </c>
      <c r="AE78" s="165"/>
      <c r="AF78" s="165"/>
      <c r="AG78" s="382" t="str">
        <f t="shared" si="17"/>
        <v/>
      </c>
      <c r="AH78" s="404" t="str">
        <f t="shared" si="18"/>
        <v/>
      </c>
      <c r="AI78" s="387" t="str">
        <f>IF(AH78="Check Data ⚠","Check Data ⚠",IFERROR(VLOOKUP(AH78,'G-4 Temporal multipliers'!$A$4:$C$36,3,FALSE),""))</f>
        <v/>
      </c>
      <c r="AJ78" s="398" t="str">
        <f>IF(S78="","",VLOOKUP(S78,'G-3 Multipliers'!$A$2:$E$134,4,FALSE))</f>
        <v/>
      </c>
      <c r="AK78" s="382" t="str">
        <f t="shared" si="19"/>
        <v/>
      </c>
      <c r="AL78" s="382" t="str">
        <f t="shared" si="20"/>
        <v/>
      </c>
      <c r="AM78" s="386" t="str">
        <f>IFERROR(IF(F78="","",IF(AH78="Check Data ⚠","Check Data ⚠",VLOOKUP(AL78, 'G-3 Multipliers'!$P$2:$Q$6,2,FALSE))),"")</f>
        <v/>
      </c>
      <c r="AN78" s="516"/>
      <c r="AO78" s="417" t="str">
        <f>IF(AN78="","",IF(VLOOKUP(AN78,'G-3 Multipliers'!$S$3:$T$10,2,FALSE)=0,"Spatial Data Missing ⚠",VLOOKUP(AN78,'G-3 Multipliers'!$S$3:$T$10,2,FALSE)))</f>
        <v/>
      </c>
      <c r="AP78" s="376" t="str">
        <f t="shared" si="21"/>
        <v/>
      </c>
      <c r="AQ78" s="376" t="str">
        <f t="shared" si="22"/>
        <v/>
      </c>
      <c r="AR78" s="119"/>
      <c r="AS78" s="528"/>
      <c r="AT78" s="120"/>
      <c r="AU78" s="120"/>
    </row>
    <row r="79" spans="1:47">
      <c r="A79" s="30" t="str">
        <f>IF(E79="","",IF(ISNA(VLOOKUP($E79,'D-1 Off-Site Habitat Baseline'!$D$1:$O$258,2,FALSE)),"",(VLOOKUP($E79,'D-1 Off-Site Habitat Baseline'!$D$1:$O$258,2,FALSE))))</f>
        <v/>
      </c>
      <c r="B79" s="30" t="str">
        <f>IF(E79="","",IF(ISNA(VLOOKUP($E79,'D-1 Off-Site Habitat Baseline'!$D$1:$O$258,3,FALSE)),"",(VLOOKUP($E79,'D-1 Off-Site Habitat Baseline'!$D$1:$O$258,3,FALSE))))</f>
        <v/>
      </c>
      <c r="C79" s="30" t="str">
        <f>IFERROR(INDEX('G-8 Condition Look up'!$I$4:$I$135,MATCH(S79,'G-8 Condition Look up'!$A$4:$A$135,0)),"")</f>
        <v/>
      </c>
      <c r="E79" s="407" t="str">
        <f>'D-1 Off-Site Habitat Baseline'!AP78</f>
        <v/>
      </c>
      <c r="F79" s="382" t="str">
        <f>IF(E79="","",IF(ISNA(VLOOKUP($E79,'D-1 Off-Site Habitat Baseline'!$D$1:$O$258,4,FALSE)),"",(VLOOKUP($E79,'D-1 Off-Site Habitat Baseline'!$D$1:$O$258,4,FALSE))))</f>
        <v/>
      </c>
      <c r="G79" s="382" t="str">
        <f>IF(E79="","",IF(ISNA(VLOOKUP($E79,'D-1 Off-Site Habitat Baseline'!$D$1:$O$258,5,FALSE)),"",(VLOOKUP($E79,'D-1 Off-Site Habitat Baseline'!$D$1:$O$258,5,FALSE))))</f>
        <v/>
      </c>
      <c r="H79" s="382" t="str">
        <f>IF(E79="","",IF(ISNA(VLOOKUP($E79,'D-1 Off-Site Habitat Baseline'!$D$1:$O$258,6,FALSE)),"",(VLOOKUP($E79,'D-1 Off-Site Habitat Baseline'!$D$1:$O$258,6,FALSE))))</f>
        <v/>
      </c>
      <c r="I79" s="382" t="str">
        <f>IF(E79="","",IF(ISNA(VLOOKUP($E79,'D-1 Off-Site Habitat Baseline'!$D$1:$O$258,7,FALSE)),"",(VLOOKUP($E79,'D-1 Off-Site Habitat Baseline'!$D$1:$O$258,7,FALSE))))</f>
        <v/>
      </c>
      <c r="J79" s="382" t="str">
        <f>IF(E79="","",IF(ISNA(VLOOKUP($E79,'D-1 Off-Site Habitat Baseline'!$D$1:$O$258,8,FALSE)),"",(VLOOKUP($E79,'D-1 Off-Site Habitat Baseline'!$D$1:$O$258,8,FALSE))))</f>
        <v/>
      </c>
      <c r="K79" s="382" t="str">
        <f>IF(E79="","",IF(ISNA(VLOOKUP($E79,'D-1 Off-Site Habitat Baseline'!$D$1:$O$258,9,FALSE)),"",(VLOOKUP($E79,'D-1 Off-Site Habitat Baseline'!$D$1:$O$258,9,FALSE))))</f>
        <v/>
      </c>
      <c r="L79" s="382" t="str">
        <f>IF(E79="","",IF(ISNA(VLOOKUP($E79,'D-1 Off-Site Habitat Baseline'!$D$1:$O$258,11,FALSE)),"",(VLOOKUP($E79,'D-1 Off-Site Habitat Baseline'!$D$1:$O$258,11,FALSE))))</f>
        <v/>
      </c>
      <c r="M79" s="382" t="str">
        <f>IF(E79="","",IF(ISNA(VLOOKUP($E79,'D-1 Off-Site Habitat Baseline'!$D$1:$O$258,12,FALSE)),"",(VLOOKUP($E79,'D-1 Off-Site Habitat Baseline'!$D$1:$O$258,12,FALSE))))</f>
        <v/>
      </c>
      <c r="N79" s="382" t="str">
        <f>IF(E79="","",IF(ISNA(VLOOKUP($E79,'D-1 Off-Site Habitat Baseline'!$D$1:$AA$258,14,FALSE)),"",(VLOOKUP($E79,'D-1 Off-Site Habitat Baseline'!$D$1:$AA$258,14,FALSE))))</f>
        <v/>
      </c>
      <c r="O79" s="386" t="str">
        <f>IF(E79="","",IF(ISNA(VLOOKUP($E79,'D-1 Off-Site Habitat Baseline'!$D$1:$AA$258,13,FALSE)),"",(VLOOKUP($E79,'D-1 Off-Site Habitat Baseline'!$D$1:$AA$258,13,FALSE))))</f>
        <v/>
      </c>
      <c r="P79" s="184" t="str">
        <f>IFERROR(INDEX('G-1 All Habitats'!$AG$3:$AG$17,MATCH(Q79,'G-1 All Habitats'!$AF$3:$AF$17,0)),"")</f>
        <v/>
      </c>
      <c r="Q79" s="185" t="str">
        <f t="shared" si="14"/>
        <v/>
      </c>
      <c r="R79" s="186" t="str">
        <f t="shared" si="14"/>
        <v/>
      </c>
      <c r="S79" s="187" t="str">
        <f>IFERROR(INDEX('G-1 All Habitats'!$B$3:$B$134,MATCH(R79,'G-1 All Habitats'!$A$3:$A$134,0)),"")</f>
        <v/>
      </c>
      <c r="T79" s="370" t="str">
        <f t="shared" si="15"/>
        <v/>
      </c>
      <c r="U79" s="386" t="str">
        <f t="shared" si="16"/>
        <v/>
      </c>
      <c r="V79" s="385" t="str">
        <f t="shared" si="12"/>
        <v/>
      </c>
      <c r="W79" s="382" t="str">
        <f>IF(S79="","",VLOOKUP(S79,'G-1 All Habitats'!$B$2:$M$134,10,FALSE))</f>
        <v/>
      </c>
      <c r="X79" s="382" t="str">
        <f>IFERROR(VLOOKUP(W79,'G-1 All Habitats'!$V$3:$W$7,2,FALSE),"")</f>
        <v/>
      </c>
      <c r="Y79" s="165"/>
      <c r="Z79" s="386" t="str">
        <f>IFERROR(INDEX('G-8 Condition Look up'!$A$3:$H$135,MATCH(S79,'G-8 Condition Look up'!$A$3:$A$135,0),MATCH(Y79,'G-8 Condition Look up'!$A$3:$H$3,0)),"")</f>
        <v/>
      </c>
      <c r="AA79" s="114"/>
      <c r="AB79" s="401" t="str">
        <f>IF(AA79="","",IF(VLOOKUP(AA79,'G-3 Multipliers'!$L$3:$N$6,2,FALSE)=0,"Spatial Data Missing ⚠",VLOOKUP(AA79,'G-3 Multipliers'!$L$3:$N$6,2,FALSE)))</f>
        <v/>
      </c>
      <c r="AC79" s="386" t="str">
        <f>IF(AA79="","",IF(VLOOKUP(AA79,'G-3 Multipliers'!$L$3:$N$6,3,FALSE)=0,"Spatial Data Missing ⚠",VLOOKUP(AA79,'G-3 Multipliers'!$L$3:$N$6,3,FALSE)))</f>
        <v/>
      </c>
      <c r="AD79" s="398" t="str">
        <f t="shared" si="13"/>
        <v/>
      </c>
      <c r="AE79" s="165"/>
      <c r="AF79" s="165"/>
      <c r="AG79" s="382" t="str">
        <f t="shared" si="17"/>
        <v/>
      </c>
      <c r="AH79" s="404" t="str">
        <f t="shared" si="18"/>
        <v/>
      </c>
      <c r="AI79" s="387" t="str">
        <f>IF(AH79="Check Data ⚠","Check Data ⚠",IFERROR(VLOOKUP(AH79,'G-4 Temporal multipliers'!$A$4:$C$36,3,FALSE),""))</f>
        <v/>
      </c>
      <c r="AJ79" s="398" t="str">
        <f>IF(S79="","",VLOOKUP(S79,'G-3 Multipliers'!$A$2:$E$134,4,FALSE))</f>
        <v/>
      </c>
      <c r="AK79" s="382" t="str">
        <f t="shared" si="19"/>
        <v/>
      </c>
      <c r="AL79" s="382" t="str">
        <f t="shared" si="20"/>
        <v/>
      </c>
      <c r="AM79" s="386" t="str">
        <f>IFERROR(IF(F79="","",IF(AH79="Check Data ⚠","Check Data ⚠",VLOOKUP(AL79, 'G-3 Multipliers'!$P$2:$Q$6,2,FALSE))),"")</f>
        <v/>
      </c>
      <c r="AN79" s="516"/>
      <c r="AO79" s="417" t="str">
        <f>IF(AN79="","",IF(VLOOKUP(AN79,'G-3 Multipliers'!$S$3:$T$10,2,FALSE)=0,"Spatial Data Missing ⚠",VLOOKUP(AN79,'G-3 Multipliers'!$S$3:$T$10,2,FALSE)))</f>
        <v/>
      </c>
      <c r="AP79" s="376" t="str">
        <f t="shared" si="21"/>
        <v/>
      </c>
      <c r="AQ79" s="376" t="str">
        <f t="shared" si="22"/>
        <v/>
      </c>
      <c r="AR79" s="119"/>
      <c r="AS79" s="528"/>
      <c r="AT79" s="120"/>
      <c r="AU79" s="120"/>
    </row>
    <row r="80" spans="1:47">
      <c r="A80" s="30" t="str">
        <f>IF(E80="","",IF(ISNA(VLOOKUP($E80,'D-1 Off-Site Habitat Baseline'!$D$1:$O$258,2,FALSE)),"",(VLOOKUP($E80,'D-1 Off-Site Habitat Baseline'!$D$1:$O$258,2,FALSE))))</f>
        <v/>
      </c>
      <c r="B80" s="30" t="str">
        <f>IF(E80="","",IF(ISNA(VLOOKUP($E80,'D-1 Off-Site Habitat Baseline'!$D$1:$O$258,3,FALSE)),"",(VLOOKUP($E80,'D-1 Off-Site Habitat Baseline'!$D$1:$O$258,3,FALSE))))</f>
        <v/>
      </c>
      <c r="C80" s="30" t="str">
        <f>IFERROR(INDEX('G-8 Condition Look up'!$I$4:$I$135,MATCH(S80,'G-8 Condition Look up'!$A$4:$A$135,0)),"")</f>
        <v/>
      </c>
      <c r="E80" s="407" t="str">
        <f>'D-1 Off-Site Habitat Baseline'!AP79</f>
        <v/>
      </c>
      <c r="F80" s="382" t="str">
        <f>IF(E80="","",IF(ISNA(VLOOKUP($E80,'D-1 Off-Site Habitat Baseline'!$D$1:$O$258,4,FALSE)),"",(VLOOKUP($E80,'D-1 Off-Site Habitat Baseline'!$D$1:$O$258,4,FALSE))))</f>
        <v/>
      </c>
      <c r="G80" s="382" t="str">
        <f>IF(E80="","",IF(ISNA(VLOOKUP($E80,'D-1 Off-Site Habitat Baseline'!$D$1:$O$258,5,FALSE)),"",(VLOOKUP($E80,'D-1 Off-Site Habitat Baseline'!$D$1:$O$258,5,FALSE))))</f>
        <v/>
      </c>
      <c r="H80" s="382" t="str">
        <f>IF(E80="","",IF(ISNA(VLOOKUP($E80,'D-1 Off-Site Habitat Baseline'!$D$1:$O$258,6,FALSE)),"",(VLOOKUP($E80,'D-1 Off-Site Habitat Baseline'!$D$1:$O$258,6,FALSE))))</f>
        <v/>
      </c>
      <c r="I80" s="382" t="str">
        <f>IF(E80="","",IF(ISNA(VLOOKUP($E80,'D-1 Off-Site Habitat Baseline'!$D$1:$O$258,7,FALSE)),"",(VLOOKUP($E80,'D-1 Off-Site Habitat Baseline'!$D$1:$O$258,7,FALSE))))</f>
        <v/>
      </c>
      <c r="J80" s="382" t="str">
        <f>IF(E80="","",IF(ISNA(VLOOKUP($E80,'D-1 Off-Site Habitat Baseline'!$D$1:$O$258,8,FALSE)),"",(VLOOKUP($E80,'D-1 Off-Site Habitat Baseline'!$D$1:$O$258,8,FALSE))))</f>
        <v/>
      </c>
      <c r="K80" s="382" t="str">
        <f>IF(E80="","",IF(ISNA(VLOOKUP($E80,'D-1 Off-Site Habitat Baseline'!$D$1:$O$258,9,FALSE)),"",(VLOOKUP($E80,'D-1 Off-Site Habitat Baseline'!$D$1:$O$258,9,FALSE))))</f>
        <v/>
      </c>
      <c r="L80" s="382" t="str">
        <f>IF(E80="","",IF(ISNA(VLOOKUP($E80,'D-1 Off-Site Habitat Baseline'!$D$1:$O$258,11,FALSE)),"",(VLOOKUP($E80,'D-1 Off-Site Habitat Baseline'!$D$1:$O$258,11,FALSE))))</f>
        <v/>
      </c>
      <c r="M80" s="382" t="str">
        <f>IF(E80="","",IF(ISNA(VLOOKUP($E80,'D-1 Off-Site Habitat Baseline'!$D$1:$O$258,12,FALSE)),"",(VLOOKUP($E80,'D-1 Off-Site Habitat Baseline'!$D$1:$O$258,12,FALSE))))</f>
        <v/>
      </c>
      <c r="N80" s="382" t="str">
        <f>IF(E80="","",IF(ISNA(VLOOKUP($E80,'D-1 Off-Site Habitat Baseline'!$D$1:$AA$258,14,FALSE)),"",(VLOOKUP($E80,'D-1 Off-Site Habitat Baseline'!$D$1:$AA$258,14,FALSE))))</f>
        <v/>
      </c>
      <c r="O80" s="386" t="str">
        <f>IF(E80="","",IF(ISNA(VLOOKUP($E80,'D-1 Off-Site Habitat Baseline'!$D$1:$AA$258,13,FALSE)),"",(VLOOKUP($E80,'D-1 Off-Site Habitat Baseline'!$D$1:$AA$258,13,FALSE))))</f>
        <v/>
      </c>
      <c r="P80" s="184" t="str">
        <f>IFERROR(INDEX('G-1 All Habitats'!$AG$3:$AG$17,MATCH(Q80,'G-1 All Habitats'!$AF$3:$AF$17,0)),"")</f>
        <v/>
      </c>
      <c r="Q80" s="185" t="str">
        <f t="shared" si="14"/>
        <v/>
      </c>
      <c r="R80" s="186" t="str">
        <f t="shared" si="14"/>
        <v/>
      </c>
      <c r="S80" s="187" t="str">
        <f>IFERROR(INDEX('G-1 All Habitats'!$B$3:$B$134,MATCH(R80,'G-1 All Habitats'!$A$3:$A$134,0)),"")</f>
        <v/>
      </c>
      <c r="T80" s="370" t="str">
        <f t="shared" si="15"/>
        <v/>
      </c>
      <c r="U80" s="386" t="str">
        <f t="shared" si="16"/>
        <v/>
      </c>
      <c r="V80" s="385" t="str">
        <f t="shared" si="12"/>
        <v/>
      </c>
      <c r="W80" s="382" t="str">
        <f>IF(S80="","",VLOOKUP(S80,'G-1 All Habitats'!$B$2:$M$134,10,FALSE))</f>
        <v/>
      </c>
      <c r="X80" s="382" t="str">
        <f>IFERROR(VLOOKUP(W80,'G-1 All Habitats'!$V$3:$W$7,2,FALSE),"")</f>
        <v/>
      </c>
      <c r="Y80" s="165"/>
      <c r="Z80" s="386" t="str">
        <f>IFERROR(INDEX('G-8 Condition Look up'!$A$3:$H$135,MATCH(S80,'G-8 Condition Look up'!$A$3:$A$135,0),MATCH(Y80,'G-8 Condition Look up'!$A$3:$H$3,0)),"")</f>
        <v/>
      </c>
      <c r="AA80" s="114"/>
      <c r="AB80" s="401" t="str">
        <f>IF(AA80="","",IF(VLOOKUP(AA80,'G-3 Multipliers'!$L$3:$N$6,2,FALSE)=0,"Spatial Data Missing ⚠",VLOOKUP(AA80,'G-3 Multipliers'!$L$3:$N$6,2,FALSE)))</f>
        <v/>
      </c>
      <c r="AC80" s="386" t="str">
        <f>IF(AA80="","",IF(VLOOKUP(AA80,'G-3 Multipliers'!$L$3:$N$6,3,FALSE)=0,"Spatial Data Missing ⚠",VLOOKUP(AA80,'G-3 Multipliers'!$L$3:$N$6,3,FALSE)))</f>
        <v/>
      </c>
      <c r="AD80" s="398" t="str">
        <f t="shared" si="13"/>
        <v/>
      </c>
      <c r="AE80" s="165"/>
      <c r="AF80" s="165"/>
      <c r="AG80" s="382" t="str">
        <f t="shared" si="17"/>
        <v/>
      </c>
      <c r="AH80" s="404" t="str">
        <f t="shared" si="18"/>
        <v/>
      </c>
      <c r="AI80" s="387" t="str">
        <f>IF(AH80="Check Data ⚠","Check Data ⚠",IFERROR(VLOOKUP(AH80,'G-4 Temporal multipliers'!$A$4:$C$36,3,FALSE),""))</f>
        <v/>
      </c>
      <c r="AJ80" s="398" t="str">
        <f>IF(S80="","",VLOOKUP(S80,'G-3 Multipliers'!$A$2:$E$134,4,FALSE))</f>
        <v/>
      </c>
      <c r="AK80" s="382" t="str">
        <f t="shared" si="19"/>
        <v/>
      </c>
      <c r="AL80" s="382" t="str">
        <f t="shared" si="20"/>
        <v/>
      </c>
      <c r="AM80" s="386" t="str">
        <f>IFERROR(IF(F80="","",IF(AH80="Check Data ⚠","Check Data ⚠",VLOOKUP(AL80, 'G-3 Multipliers'!$P$2:$Q$6,2,FALSE))),"")</f>
        <v/>
      </c>
      <c r="AN80" s="516"/>
      <c r="AO80" s="417" t="str">
        <f>IF(AN80="","",IF(VLOOKUP(AN80,'G-3 Multipliers'!$S$3:$T$10,2,FALSE)=0,"Spatial Data Missing ⚠",VLOOKUP(AN80,'G-3 Multipliers'!$S$3:$T$10,2,FALSE)))</f>
        <v/>
      </c>
      <c r="AP80" s="376" t="str">
        <f t="shared" si="21"/>
        <v/>
      </c>
      <c r="AQ80" s="376" t="str">
        <f t="shared" si="22"/>
        <v/>
      </c>
      <c r="AR80" s="119"/>
      <c r="AS80" s="528"/>
      <c r="AT80" s="120"/>
      <c r="AU80" s="120"/>
    </row>
    <row r="81" spans="1:47">
      <c r="A81" s="30" t="str">
        <f>IF(E81="","",IF(ISNA(VLOOKUP($E81,'D-1 Off-Site Habitat Baseline'!$D$1:$O$258,2,FALSE)),"",(VLOOKUP($E81,'D-1 Off-Site Habitat Baseline'!$D$1:$O$258,2,FALSE))))</f>
        <v/>
      </c>
      <c r="B81" s="30" t="str">
        <f>IF(E81="","",IF(ISNA(VLOOKUP($E81,'D-1 Off-Site Habitat Baseline'!$D$1:$O$258,3,FALSE)),"",(VLOOKUP($E81,'D-1 Off-Site Habitat Baseline'!$D$1:$O$258,3,FALSE))))</f>
        <v/>
      </c>
      <c r="C81" s="30" t="str">
        <f>IFERROR(INDEX('G-8 Condition Look up'!$I$4:$I$135,MATCH(S81,'G-8 Condition Look up'!$A$4:$A$135,0)),"")</f>
        <v/>
      </c>
      <c r="E81" s="407" t="str">
        <f>'D-1 Off-Site Habitat Baseline'!AP80</f>
        <v/>
      </c>
      <c r="F81" s="382" t="str">
        <f>IF(E81="","",IF(ISNA(VLOOKUP($E81,'D-1 Off-Site Habitat Baseline'!$D$1:$O$258,4,FALSE)),"",(VLOOKUP($E81,'D-1 Off-Site Habitat Baseline'!$D$1:$O$258,4,FALSE))))</f>
        <v/>
      </c>
      <c r="G81" s="382" t="str">
        <f>IF(E81="","",IF(ISNA(VLOOKUP($E81,'D-1 Off-Site Habitat Baseline'!$D$1:$O$258,5,FALSE)),"",(VLOOKUP($E81,'D-1 Off-Site Habitat Baseline'!$D$1:$O$258,5,FALSE))))</f>
        <v/>
      </c>
      <c r="H81" s="382" t="str">
        <f>IF(E81="","",IF(ISNA(VLOOKUP($E81,'D-1 Off-Site Habitat Baseline'!$D$1:$O$258,6,FALSE)),"",(VLOOKUP($E81,'D-1 Off-Site Habitat Baseline'!$D$1:$O$258,6,FALSE))))</f>
        <v/>
      </c>
      <c r="I81" s="382" t="str">
        <f>IF(E81="","",IF(ISNA(VLOOKUP($E81,'D-1 Off-Site Habitat Baseline'!$D$1:$O$258,7,FALSE)),"",(VLOOKUP($E81,'D-1 Off-Site Habitat Baseline'!$D$1:$O$258,7,FALSE))))</f>
        <v/>
      </c>
      <c r="J81" s="382" t="str">
        <f>IF(E81="","",IF(ISNA(VLOOKUP($E81,'D-1 Off-Site Habitat Baseline'!$D$1:$O$258,8,FALSE)),"",(VLOOKUP($E81,'D-1 Off-Site Habitat Baseline'!$D$1:$O$258,8,FALSE))))</f>
        <v/>
      </c>
      <c r="K81" s="382" t="str">
        <f>IF(E81="","",IF(ISNA(VLOOKUP($E81,'D-1 Off-Site Habitat Baseline'!$D$1:$O$258,9,FALSE)),"",(VLOOKUP($E81,'D-1 Off-Site Habitat Baseline'!$D$1:$O$258,9,FALSE))))</f>
        <v/>
      </c>
      <c r="L81" s="382" t="str">
        <f>IF(E81="","",IF(ISNA(VLOOKUP($E81,'D-1 Off-Site Habitat Baseline'!$D$1:$O$258,11,FALSE)),"",(VLOOKUP($E81,'D-1 Off-Site Habitat Baseline'!$D$1:$O$258,11,FALSE))))</f>
        <v/>
      </c>
      <c r="M81" s="382" t="str">
        <f>IF(E81="","",IF(ISNA(VLOOKUP($E81,'D-1 Off-Site Habitat Baseline'!$D$1:$O$258,12,FALSE)),"",(VLOOKUP($E81,'D-1 Off-Site Habitat Baseline'!$D$1:$O$258,12,FALSE))))</f>
        <v/>
      </c>
      <c r="N81" s="382" t="str">
        <f>IF(E81="","",IF(ISNA(VLOOKUP($E81,'D-1 Off-Site Habitat Baseline'!$D$1:$AA$258,14,FALSE)),"",(VLOOKUP($E81,'D-1 Off-Site Habitat Baseline'!$D$1:$AA$258,14,FALSE))))</f>
        <v/>
      </c>
      <c r="O81" s="386" t="str">
        <f>IF(E81="","",IF(ISNA(VLOOKUP($E81,'D-1 Off-Site Habitat Baseline'!$D$1:$AA$258,13,FALSE)),"",(VLOOKUP($E81,'D-1 Off-Site Habitat Baseline'!$D$1:$AA$258,13,FALSE))))</f>
        <v/>
      </c>
      <c r="P81" s="184" t="str">
        <f>IFERROR(INDEX('G-1 All Habitats'!$AG$3:$AG$17,MATCH(Q81,'G-1 All Habitats'!$AF$3:$AF$17,0)),"")</f>
        <v/>
      </c>
      <c r="Q81" s="185" t="str">
        <f t="shared" si="14"/>
        <v/>
      </c>
      <c r="R81" s="186" t="str">
        <f t="shared" si="14"/>
        <v/>
      </c>
      <c r="S81" s="187" t="str">
        <f>IFERROR(INDEX('G-1 All Habitats'!$B$3:$B$134,MATCH(R81,'G-1 All Habitats'!$A$3:$A$134,0)),"")</f>
        <v/>
      </c>
      <c r="T81" s="370" t="str">
        <f t="shared" si="15"/>
        <v/>
      </c>
      <c r="U81" s="386" t="str">
        <f t="shared" si="16"/>
        <v/>
      </c>
      <c r="V81" s="385" t="str">
        <f t="shared" si="12"/>
        <v/>
      </c>
      <c r="W81" s="382" t="str">
        <f>IF(S81="","",VLOOKUP(S81,'G-1 All Habitats'!$B$2:$M$134,10,FALSE))</f>
        <v/>
      </c>
      <c r="X81" s="382" t="str">
        <f>IFERROR(VLOOKUP(W81,'G-1 All Habitats'!$V$3:$W$7,2,FALSE),"")</f>
        <v/>
      </c>
      <c r="Y81" s="165"/>
      <c r="Z81" s="386" t="str">
        <f>IFERROR(INDEX('G-8 Condition Look up'!$A$3:$H$135,MATCH(S81,'G-8 Condition Look up'!$A$3:$A$135,0),MATCH(Y81,'G-8 Condition Look up'!$A$3:$H$3,0)),"")</f>
        <v/>
      </c>
      <c r="AA81" s="114"/>
      <c r="AB81" s="401" t="str">
        <f>IF(AA81="","",IF(VLOOKUP(AA81,'G-3 Multipliers'!$L$3:$N$6,2,FALSE)=0,"Spatial Data Missing ⚠",VLOOKUP(AA81,'G-3 Multipliers'!$L$3:$N$6,2,FALSE)))</f>
        <v/>
      </c>
      <c r="AC81" s="386" t="str">
        <f>IF(AA81="","",IF(VLOOKUP(AA81,'G-3 Multipliers'!$L$3:$N$6,3,FALSE)=0,"Spatial Data Missing ⚠",VLOOKUP(AA81,'G-3 Multipliers'!$L$3:$N$6,3,FALSE)))</f>
        <v/>
      </c>
      <c r="AD81" s="398" t="str">
        <f t="shared" si="13"/>
        <v/>
      </c>
      <c r="AE81" s="165"/>
      <c r="AF81" s="165"/>
      <c r="AG81" s="382" t="str">
        <f t="shared" si="17"/>
        <v/>
      </c>
      <c r="AH81" s="404" t="str">
        <f t="shared" si="18"/>
        <v/>
      </c>
      <c r="AI81" s="387" t="str">
        <f>IF(AH81="Check Data ⚠","Check Data ⚠",IFERROR(VLOOKUP(AH81,'G-4 Temporal multipliers'!$A$4:$C$36,3,FALSE),""))</f>
        <v/>
      </c>
      <c r="AJ81" s="398" t="str">
        <f>IF(S81="","",VLOOKUP(S81,'G-3 Multipliers'!$A$2:$E$134,4,FALSE))</f>
        <v/>
      </c>
      <c r="AK81" s="382" t="str">
        <f t="shared" si="19"/>
        <v/>
      </c>
      <c r="AL81" s="382" t="str">
        <f t="shared" si="20"/>
        <v/>
      </c>
      <c r="AM81" s="386" t="str">
        <f>IFERROR(IF(F81="","",IF(AH81="Check Data ⚠","Check Data ⚠",VLOOKUP(AL81, 'G-3 Multipliers'!$P$2:$Q$6,2,FALSE))),"")</f>
        <v/>
      </c>
      <c r="AN81" s="516"/>
      <c r="AO81" s="417" t="str">
        <f>IF(AN81="","",IF(VLOOKUP(AN81,'G-3 Multipliers'!$S$3:$T$10,2,FALSE)=0,"Spatial Data Missing ⚠",VLOOKUP(AN81,'G-3 Multipliers'!$S$3:$T$10,2,FALSE)))</f>
        <v/>
      </c>
      <c r="AP81" s="376" t="str">
        <f t="shared" si="21"/>
        <v/>
      </c>
      <c r="AQ81" s="376" t="str">
        <f t="shared" si="22"/>
        <v/>
      </c>
      <c r="AR81" s="119"/>
      <c r="AS81" s="528"/>
      <c r="AT81" s="120"/>
      <c r="AU81" s="120"/>
    </row>
    <row r="82" spans="1:47">
      <c r="A82" s="30" t="str">
        <f>IF(E82="","",IF(ISNA(VLOOKUP($E82,'D-1 Off-Site Habitat Baseline'!$D$1:$O$258,2,FALSE)),"",(VLOOKUP($E82,'D-1 Off-Site Habitat Baseline'!$D$1:$O$258,2,FALSE))))</f>
        <v/>
      </c>
      <c r="B82" s="30" t="str">
        <f>IF(E82="","",IF(ISNA(VLOOKUP($E82,'D-1 Off-Site Habitat Baseline'!$D$1:$O$258,3,FALSE)),"",(VLOOKUP($E82,'D-1 Off-Site Habitat Baseline'!$D$1:$O$258,3,FALSE))))</f>
        <v/>
      </c>
      <c r="C82" s="30" t="str">
        <f>IFERROR(INDEX('G-8 Condition Look up'!$I$4:$I$135,MATCH(S82,'G-8 Condition Look up'!$A$4:$A$135,0)),"")</f>
        <v/>
      </c>
      <c r="E82" s="407" t="str">
        <f>'D-1 Off-Site Habitat Baseline'!AP81</f>
        <v/>
      </c>
      <c r="F82" s="382" t="str">
        <f>IF(E82="","",IF(ISNA(VLOOKUP($E82,'D-1 Off-Site Habitat Baseline'!$D$1:$O$258,4,FALSE)),"",(VLOOKUP($E82,'D-1 Off-Site Habitat Baseline'!$D$1:$O$258,4,FALSE))))</f>
        <v/>
      </c>
      <c r="G82" s="382" t="str">
        <f>IF(E82="","",IF(ISNA(VLOOKUP($E82,'D-1 Off-Site Habitat Baseline'!$D$1:$O$258,5,FALSE)),"",(VLOOKUP($E82,'D-1 Off-Site Habitat Baseline'!$D$1:$O$258,5,FALSE))))</f>
        <v/>
      </c>
      <c r="H82" s="382" t="str">
        <f>IF(E82="","",IF(ISNA(VLOOKUP($E82,'D-1 Off-Site Habitat Baseline'!$D$1:$O$258,6,FALSE)),"",(VLOOKUP($E82,'D-1 Off-Site Habitat Baseline'!$D$1:$O$258,6,FALSE))))</f>
        <v/>
      </c>
      <c r="I82" s="382" t="str">
        <f>IF(E82="","",IF(ISNA(VLOOKUP($E82,'D-1 Off-Site Habitat Baseline'!$D$1:$O$258,7,FALSE)),"",(VLOOKUP($E82,'D-1 Off-Site Habitat Baseline'!$D$1:$O$258,7,FALSE))))</f>
        <v/>
      </c>
      <c r="J82" s="382" t="str">
        <f>IF(E82="","",IF(ISNA(VLOOKUP($E82,'D-1 Off-Site Habitat Baseline'!$D$1:$O$258,8,FALSE)),"",(VLOOKUP($E82,'D-1 Off-Site Habitat Baseline'!$D$1:$O$258,8,FALSE))))</f>
        <v/>
      </c>
      <c r="K82" s="382" t="str">
        <f>IF(E82="","",IF(ISNA(VLOOKUP($E82,'D-1 Off-Site Habitat Baseline'!$D$1:$O$258,9,FALSE)),"",(VLOOKUP($E82,'D-1 Off-Site Habitat Baseline'!$D$1:$O$258,9,FALSE))))</f>
        <v/>
      </c>
      <c r="L82" s="382" t="str">
        <f>IF(E82="","",IF(ISNA(VLOOKUP($E82,'D-1 Off-Site Habitat Baseline'!$D$1:$O$258,11,FALSE)),"",(VLOOKUP($E82,'D-1 Off-Site Habitat Baseline'!$D$1:$O$258,11,FALSE))))</f>
        <v/>
      </c>
      <c r="M82" s="382" t="str">
        <f>IF(E82="","",IF(ISNA(VLOOKUP($E82,'D-1 Off-Site Habitat Baseline'!$D$1:$O$258,12,FALSE)),"",(VLOOKUP($E82,'D-1 Off-Site Habitat Baseline'!$D$1:$O$258,12,FALSE))))</f>
        <v/>
      </c>
      <c r="N82" s="382" t="str">
        <f>IF(E82="","",IF(ISNA(VLOOKUP($E82,'D-1 Off-Site Habitat Baseline'!$D$1:$AA$258,14,FALSE)),"",(VLOOKUP($E82,'D-1 Off-Site Habitat Baseline'!$D$1:$AA$258,14,FALSE))))</f>
        <v/>
      </c>
      <c r="O82" s="386" t="str">
        <f>IF(E82="","",IF(ISNA(VLOOKUP($E82,'D-1 Off-Site Habitat Baseline'!$D$1:$AA$258,13,FALSE)),"",(VLOOKUP($E82,'D-1 Off-Site Habitat Baseline'!$D$1:$AA$258,13,FALSE))))</f>
        <v/>
      </c>
      <c r="P82" s="184" t="str">
        <f>IFERROR(INDEX('G-1 All Habitats'!$AG$3:$AG$17,MATCH(Q82,'G-1 All Habitats'!$AF$3:$AF$17,0)),"")</f>
        <v/>
      </c>
      <c r="Q82" s="185" t="str">
        <f t="shared" si="14"/>
        <v/>
      </c>
      <c r="R82" s="186" t="str">
        <f t="shared" si="14"/>
        <v/>
      </c>
      <c r="S82" s="187" t="str">
        <f>IFERROR(INDEX('G-1 All Habitats'!$B$3:$B$134,MATCH(R82,'G-1 All Habitats'!$A$3:$A$134,0)),"")</f>
        <v/>
      </c>
      <c r="T82" s="370" t="str">
        <f t="shared" si="15"/>
        <v/>
      </c>
      <c r="U82" s="386" t="str">
        <f t="shared" si="16"/>
        <v/>
      </c>
      <c r="V82" s="385" t="str">
        <f t="shared" si="12"/>
        <v/>
      </c>
      <c r="W82" s="382" t="str">
        <f>IF(S82="","",VLOOKUP(S82,'G-1 All Habitats'!$B$2:$M$134,10,FALSE))</f>
        <v/>
      </c>
      <c r="X82" s="382" t="str">
        <f>IFERROR(VLOOKUP(W82,'G-1 All Habitats'!$V$3:$W$7,2,FALSE),"")</f>
        <v/>
      </c>
      <c r="Y82" s="165"/>
      <c r="Z82" s="386" t="str">
        <f>IFERROR(INDEX('G-8 Condition Look up'!$A$3:$H$135,MATCH(S82,'G-8 Condition Look up'!$A$3:$A$135,0),MATCH(Y82,'G-8 Condition Look up'!$A$3:$H$3,0)),"")</f>
        <v/>
      </c>
      <c r="AA82" s="114"/>
      <c r="AB82" s="401" t="str">
        <f>IF(AA82="","",IF(VLOOKUP(AA82,'G-3 Multipliers'!$L$3:$N$6,2,FALSE)=0,"Spatial Data Missing ⚠",VLOOKUP(AA82,'G-3 Multipliers'!$L$3:$N$6,2,FALSE)))</f>
        <v/>
      </c>
      <c r="AC82" s="386" t="str">
        <f>IF(AA82="","",IF(VLOOKUP(AA82,'G-3 Multipliers'!$L$3:$N$6,3,FALSE)=0,"Spatial Data Missing ⚠",VLOOKUP(AA82,'G-3 Multipliers'!$L$3:$N$6,3,FALSE)))</f>
        <v/>
      </c>
      <c r="AD82" s="398" t="str">
        <f t="shared" si="13"/>
        <v/>
      </c>
      <c r="AE82" s="165"/>
      <c r="AF82" s="165"/>
      <c r="AG82" s="382" t="str">
        <f t="shared" si="17"/>
        <v/>
      </c>
      <c r="AH82" s="404" t="str">
        <f t="shared" si="18"/>
        <v/>
      </c>
      <c r="AI82" s="387" t="str">
        <f>IF(AH82="Check Data ⚠","Check Data ⚠",IFERROR(VLOOKUP(AH82,'G-4 Temporal multipliers'!$A$4:$C$36,3,FALSE),""))</f>
        <v/>
      </c>
      <c r="AJ82" s="398" t="str">
        <f>IF(S82="","",VLOOKUP(S82,'G-3 Multipliers'!$A$2:$E$134,4,FALSE))</f>
        <v/>
      </c>
      <c r="AK82" s="382" t="str">
        <f t="shared" si="19"/>
        <v/>
      </c>
      <c r="AL82" s="382" t="str">
        <f t="shared" si="20"/>
        <v/>
      </c>
      <c r="AM82" s="386" t="str">
        <f>IFERROR(IF(F82="","",IF(AH82="Check Data ⚠","Check Data ⚠",VLOOKUP(AL82, 'G-3 Multipliers'!$P$2:$Q$6,2,FALSE))),"")</f>
        <v/>
      </c>
      <c r="AN82" s="516"/>
      <c r="AO82" s="417" t="str">
        <f>IF(AN82="","",IF(VLOOKUP(AN82,'G-3 Multipliers'!$S$3:$T$10,2,FALSE)=0,"Spatial Data Missing ⚠",VLOOKUP(AN82,'G-3 Multipliers'!$S$3:$T$10,2,FALSE)))</f>
        <v/>
      </c>
      <c r="AP82" s="376" t="str">
        <f t="shared" si="21"/>
        <v/>
      </c>
      <c r="AQ82" s="376" t="str">
        <f t="shared" si="22"/>
        <v/>
      </c>
      <c r="AR82" s="119"/>
      <c r="AS82" s="528"/>
      <c r="AT82" s="120"/>
      <c r="AU82" s="120"/>
    </row>
    <row r="83" spans="1:47">
      <c r="A83" s="30" t="str">
        <f>IF(E83="","",IF(ISNA(VLOOKUP($E83,'D-1 Off-Site Habitat Baseline'!$D$1:$O$258,2,FALSE)),"",(VLOOKUP($E83,'D-1 Off-Site Habitat Baseline'!$D$1:$O$258,2,FALSE))))</f>
        <v/>
      </c>
      <c r="B83" s="30" t="str">
        <f>IF(E83="","",IF(ISNA(VLOOKUP($E83,'D-1 Off-Site Habitat Baseline'!$D$1:$O$258,3,FALSE)),"",(VLOOKUP($E83,'D-1 Off-Site Habitat Baseline'!$D$1:$O$258,3,FALSE))))</f>
        <v/>
      </c>
      <c r="C83" s="30" t="str">
        <f>IFERROR(INDEX('G-8 Condition Look up'!$I$4:$I$135,MATCH(S83,'G-8 Condition Look up'!$A$4:$A$135,0)),"")</f>
        <v/>
      </c>
      <c r="E83" s="407" t="str">
        <f>'D-1 Off-Site Habitat Baseline'!AP82</f>
        <v/>
      </c>
      <c r="F83" s="382" t="str">
        <f>IF(E83="","",IF(ISNA(VLOOKUP($E83,'D-1 Off-Site Habitat Baseline'!$D$1:$O$258,4,FALSE)),"",(VLOOKUP($E83,'D-1 Off-Site Habitat Baseline'!$D$1:$O$258,4,FALSE))))</f>
        <v/>
      </c>
      <c r="G83" s="382" t="str">
        <f>IF(E83="","",IF(ISNA(VLOOKUP($E83,'D-1 Off-Site Habitat Baseline'!$D$1:$O$258,5,FALSE)),"",(VLOOKUP($E83,'D-1 Off-Site Habitat Baseline'!$D$1:$O$258,5,FALSE))))</f>
        <v/>
      </c>
      <c r="H83" s="382" t="str">
        <f>IF(E83="","",IF(ISNA(VLOOKUP($E83,'D-1 Off-Site Habitat Baseline'!$D$1:$O$258,6,FALSE)),"",(VLOOKUP($E83,'D-1 Off-Site Habitat Baseline'!$D$1:$O$258,6,FALSE))))</f>
        <v/>
      </c>
      <c r="I83" s="382" t="str">
        <f>IF(E83="","",IF(ISNA(VLOOKUP($E83,'D-1 Off-Site Habitat Baseline'!$D$1:$O$258,7,FALSE)),"",(VLOOKUP($E83,'D-1 Off-Site Habitat Baseline'!$D$1:$O$258,7,FALSE))))</f>
        <v/>
      </c>
      <c r="J83" s="382" t="str">
        <f>IF(E83="","",IF(ISNA(VLOOKUP($E83,'D-1 Off-Site Habitat Baseline'!$D$1:$O$258,8,FALSE)),"",(VLOOKUP($E83,'D-1 Off-Site Habitat Baseline'!$D$1:$O$258,8,FALSE))))</f>
        <v/>
      </c>
      <c r="K83" s="382" t="str">
        <f>IF(E83="","",IF(ISNA(VLOOKUP($E83,'D-1 Off-Site Habitat Baseline'!$D$1:$O$258,9,FALSE)),"",(VLOOKUP($E83,'D-1 Off-Site Habitat Baseline'!$D$1:$O$258,9,FALSE))))</f>
        <v/>
      </c>
      <c r="L83" s="382" t="str">
        <f>IF(E83="","",IF(ISNA(VLOOKUP($E83,'D-1 Off-Site Habitat Baseline'!$D$1:$O$258,11,FALSE)),"",(VLOOKUP($E83,'D-1 Off-Site Habitat Baseline'!$D$1:$O$258,11,FALSE))))</f>
        <v/>
      </c>
      <c r="M83" s="382" t="str">
        <f>IF(E83="","",IF(ISNA(VLOOKUP($E83,'D-1 Off-Site Habitat Baseline'!$D$1:$O$258,12,FALSE)),"",(VLOOKUP($E83,'D-1 Off-Site Habitat Baseline'!$D$1:$O$258,12,FALSE))))</f>
        <v/>
      </c>
      <c r="N83" s="382" t="str">
        <f>IF(E83="","",IF(ISNA(VLOOKUP($E83,'D-1 Off-Site Habitat Baseline'!$D$1:$AA$258,14,FALSE)),"",(VLOOKUP($E83,'D-1 Off-Site Habitat Baseline'!$D$1:$AA$258,14,FALSE))))</f>
        <v/>
      </c>
      <c r="O83" s="386" t="str">
        <f>IF(E83="","",IF(ISNA(VLOOKUP($E83,'D-1 Off-Site Habitat Baseline'!$D$1:$AA$258,13,FALSE)),"",(VLOOKUP($E83,'D-1 Off-Site Habitat Baseline'!$D$1:$AA$258,13,FALSE))))</f>
        <v/>
      </c>
      <c r="P83" s="184" t="str">
        <f>IFERROR(INDEX('G-1 All Habitats'!$AG$3:$AG$17,MATCH(Q83,'G-1 All Habitats'!$AF$3:$AF$17,0)),"")</f>
        <v/>
      </c>
      <c r="Q83" s="185" t="str">
        <f t="shared" si="14"/>
        <v/>
      </c>
      <c r="R83" s="186" t="str">
        <f t="shared" si="14"/>
        <v/>
      </c>
      <c r="S83" s="187" t="str">
        <f>IFERROR(INDEX('G-1 All Habitats'!$B$3:$B$134,MATCH(R83,'G-1 All Habitats'!$A$3:$A$134,0)),"")</f>
        <v/>
      </c>
      <c r="T83" s="370" t="str">
        <f t="shared" si="15"/>
        <v/>
      </c>
      <c r="U83" s="386" t="str">
        <f t="shared" si="16"/>
        <v/>
      </c>
      <c r="V83" s="385" t="str">
        <f t="shared" si="12"/>
        <v/>
      </c>
      <c r="W83" s="382" t="str">
        <f>IF(S83="","",VLOOKUP(S83,'G-1 All Habitats'!$B$2:$M$134,10,FALSE))</f>
        <v/>
      </c>
      <c r="X83" s="382" t="str">
        <f>IFERROR(VLOOKUP(W83,'G-1 All Habitats'!$V$3:$W$7,2,FALSE),"")</f>
        <v/>
      </c>
      <c r="Y83" s="165"/>
      <c r="Z83" s="386" t="str">
        <f>IFERROR(INDEX('G-8 Condition Look up'!$A$3:$H$135,MATCH(S83,'G-8 Condition Look up'!$A$3:$A$135,0),MATCH(Y83,'G-8 Condition Look up'!$A$3:$H$3,0)),"")</f>
        <v/>
      </c>
      <c r="AA83" s="114"/>
      <c r="AB83" s="401" t="str">
        <f>IF(AA83="","",IF(VLOOKUP(AA83,'G-3 Multipliers'!$L$3:$N$6,2,FALSE)=0,"Spatial Data Missing ⚠",VLOOKUP(AA83,'G-3 Multipliers'!$L$3:$N$6,2,FALSE)))</f>
        <v/>
      </c>
      <c r="AC83" s="386" t="str">
        <f>IF(AA83="","",IF(VLOOKUP(AA83,'G-3 Multipliers'!$L$3:$N$6,3,FALSE)=0,"Spatial Data Missing ⚠",VLOOKUP(AA83,'G-3 Multipliers'!$L$3:$N$6,3,FALSE)))</f>
        <v/>
      </c>
      <c r="AD83" s="398" t="str">
        <f t="shared" si="13"/>
        <v/>
      </c>
      <c r="AE83" s="165"/>
      <c r="AF83" s="165"/>
      <c r="AG83" s="382" t="str">
        <f t="shared" si="17"/>
        <v/>
      </c>
      <c r="AH83" s="404" t="str">
        <f t="shared" si="18"/>
        <v/>
      </c>
      <c r="AI83" s="387" t="str">
        <f>IF(AH83="Check Data ⚠","Check Data ⚠",IFERROR(VLOOKUP(AH83,'G-4 Temporal multipliers'!$A$4:$C$36,3,FALSE),""))</f>
        <v/>
      </c>
      <c r="AJ83" s="398" t="str">
        <f>IF(S83="","",VLOOKUP(S83,'G-3 Multipliers'!$A$2:$E$134,4,FALSE))</f>
        <v/>
      </c>
      <c r="AK83" s="382" t="str">
        <f t="shared" si="19"/>
        <v/>
      </c>
      <c r="AL83" s="382" t="str">
        <f t="shared" si="20"/>
        <v/>
      </c>
      <c r="AM83" s="386" t="str">
        <f>IFERROR(IF(F83="","",IF(AH83="Check Data ⚠","Check Data ⚠",VLOOKUP(AL83, 'G-3 Multipliers'!$P$2:$Q$6,2,FALSE))),"")</f>
        <v/>
      </c>
      <c r="AN83" s="516"/>
      <c r="AO83" s="417" t="str">
        <f>IF(AN83="","",IF(VLOOKUP(AN83,'G-3 Multipliers'!$S$3:$T$10,2,FALSE)=0,"Spatial Data Missing ⚠",VLOOKUP(AN83,'G-3 Multipliers'!$S$3:$T$10,2,FALSE)))</f>
        <v/>
      </c>
      <c r="AP83" s="376" t="str">
        <f t="shared" si="21"/>
        <v/>
      </c>
      <c r="AQ83" s="376" t="str">
        <f t="shared" si="22"/>
        <v/>
      </c>
      <c r="AR83" s="119"/>
      <c r="AS83" s="528"/>
      <c r="AT83" s="120"/>
      <c r="AU83" s="120"/>
    </row>
    <row r="84" spans="1:47">
      <c r="A84" s="30" t="str">
        <f>IF(E84="","",IF(ISNA(VLOOKUP($E84,'D-1 Off-Site Habitat Baseline'!$D$1:$O$258,2,FALSE)),"",(VLOOKUP($E84,'D-1 Off-Site Habitat Baseline'!$D$1:$O$258,2,FALSE))))</f>
        <v/>
      </c>
      <c r="B84" s="30" t="str">
        <f>IF(E84="","",IF(ISNA(VLOOKUP($E84,'D-1 Off-Site Habitat Baseline'!$D$1:$O$258,3,FALSE)),"",(VLOOKUP($E84,'D-1 Off-Site Habitat Baseline'!$D$1:$O$258,3,FALSE))))</f>
        <v/>
      </c>
      <c r="C84" s="30" t="str">
        <f>IFERROR(INDEX('G-8 Condition Look up'!$I$4:$I$135,MATCH(S84,'G-8 Condition Look up'!$A$4:$A$135,0)),"")</f>
        <v/>
      </c>
      <c r="E84" s="407" t="str">
        <f>'D-1 Off-Site Habitat Baseline'!AP83</f>
        <v/>
      </c>
      <c r="F84" s="382" t="str">
        <f>IF(E84="","",IF(ISNA(VLOOKUP($E84,'D-1 Off-Site Habitat Baseline'!$D$1:$O$258,4,FALSE)),"",(VLOOKUP($E84,'D-1 Off-Site Habitat Baseline'!$D$1:$O$258,4,FALSE))))</f>
        <v/>
      </c>
      <c r="G84" s="382" t="str">
        <f>IF(E84="","",IF(ISNA(VLOOKUP($E84,'D-1 Off-Site Habitat Baseline'!$D$1:$O$258,5,FALSE)),"",(VLOOKUP($E84,'D-1 Off-Site Habitat Baseline'!$D$1:$O$258,5,FALSE))))</f>
        <v/>
      </c>
      <c r="H84" s="382" t="str">
        <f>IF(E84="","",IF(ISNA(VLOOKUP($E84,'D-1 Off-Site Habitat Baseline'!$D$1:$O$258,6,FALSE)),"",(VLOOKUP($E84,'D-1 Off-Site Habitat Baseline'!$D$1:$O$258,6,FALSE))))</f>
        <v/>
      </c>
      <c r="I84" s="382" t="str">
        <f>IF(E84="","",IF(ISNA(VLOOKUP($E84,'D-1 Off-Site Habitat Baseline'!$D$1:$O$258,7,FALSE)),"",(VLOOKUP($E84,'D-1 Off-Site Habitat Baseline'!$D$1:$O$258,7,FALSE))))</f>
        <v/>
      </c>
      <c r="J84" s="382" t="str">
        <f>IF(E84="","",IF(ISNA(VLOOKUP($E84,'D-1 Off-Site Habitat Baseline'!$D$1:$O$258,8,FALSE)),"",(VLOOKUP($E84,'D-1 Off-Site Habitat Baseline'!$D$1:$O$258,8,FALSE))))</f>
        <v/>
      </c>
      <c r="K84" s="382" t="str">
        <f>IF(E84="","",IF(ISNA(VLOOKUP($E84,'D-1 Off-Site Habitat Baseline'!$D$1:$O$258,9,FALSE)),"",(VLOOKUP($E84,'D-1 Off-Site Habitat Baseline'!$D$1:$O$258,9,FALSE))))</f>
        <v/>
      </c>
      <c r="L84" s="382" t="str">
        <f>IF(E84="","",IF(ISNA(VLOOKUP($E84,'D-1 Off-Site Habitat Baseline'!$D$1:$O$258,11,FALSE)),"",(VLOOKUP($E84,'D-1 Off-Site Habitat Baseline'!$D$1:$O$258,11,FALSE))))</f>
        <v/>
      </c>
      <c r="M84" s="382" t="str">
        <f>IF(E84="","",IF(ISNA(VLOOKUP($E84,'D-1 Off-Site Habitat Baseline'!$D$1:$O$258,12,FALSE)),"",(VLOOKUP($E84,'D-1 Off-Site Habitat Baseline'!$D$1:$O$258,12,FALSE))))</f>
        <v/>
      </c>
      <c r="N84" s="382" t="str">
        <f>IF(E84="","",IF(ISNA(VLOOKUP($E84,'D-1 Off-Site Habitat Baseline'!$D$1:$AA$258,14,FALSE)),"",(VLOOKUP($E84,'D-1 Off-Site Habitat Baseline'!$D$1:$AA$258,14,FALSE))))</f>
        <v/>
      </c>
      <c r="O84" s="386" t="str">
        <f>IF(E84="","",IF(ISNA(VLOOKUP($E84,'D-1 Off-Site Habitat Baseline'!$D$1:$AA$258,13,FALSE)),"",(VLOOKUP($E84,'D-1 Off-Site Habitat Baseline'!$D$1:$AA$258,13,FALSE))))</f>
        <v/>
      </c>
      <c r="P84" s="184" t="str">
        <f>IFERROR(INDEX('G-1 All Habitats'!$AG$3:$AG$17,MATCH(Q84,'G-1 All Habitats'!$AF$3:$AF$17,0)),"")</f>
        <v/>
      </c>
      <c r="Q84" s="185" t="str">
        <f t="shared" si="14"/>
        <v/>
      </c>
      <c r="R84" s="186" t="str">
        <f t="shared" si="14"/>
        <v/>
      </c>
      <c r="S84" s="187" t="str">
        <f>IFERROR(INDEX('G-1 All Habitats'!$B$3:$B$134,MATCH(R84,'G-1 All Habitats'!$A$3:$A$134,0)),"")</f>
        <v/>
      </c>
      <c r="T84" s="370" t="str">
        <f t="shared" si="15"/>
        <v/>
      </c>
      <c r="U84" s="386" t="str">
        <f t="shared" si="16"/>
        <v/>
      </c>
      <c r="V84" s="385" t="str">
        <f t="shared" si="12"/>
        <v/>
      </c>
      <c r="W84" s="382" t="str">
        <f>IF(S84="","",VLOOKUP(S84,'G-1 All Habitats'!$B$2:$M$134,10,FALSE))</f>
        <v/>
      </c>
      <c r="X84" s="382" t="str">
        <f>IFERROR(VLOOKUP(W84,'G-1 All Habitats'!$V$3:$W$7,2,FALSE),"")</f>
        <v/>
      </c>
      <c r="Y84" s="165"/>
      <c r="Z84" s="386" t="str">
        <f>IFERROR(INDEX('G-8 Condition Look up'!$A$3:$H$135,MATCH(S84,'G-8 Condition Look up'!$A$3:$A$135,0),MATCH(Y84,'G-8 Condition Look up'!$A$3:$H$3,0)),"")</f>
        <v/>
      </c>
      <c r="AA84" s="114"/>
      <c r="AB84" s="401" t="str">
        <f>IF(AA84="","",IF(VLOOKUP(AA84,'G-3 Multipliers'!$L$3:$N$6,2,FALSE)=0,"Spatial Data Missing ⚠",VLOOKUP(AA84,'G-3 Multipliers'!$L$3:$N$6,2,FALSE)))</f>
        <v/>
      </c>
      <c r="AC84" s="386" t="str">
        <f>IF(AA84="","",IF(VLOOKUP(AA84,'G-3 Multipliers'!$L$3:$N$6,3,FALSE)=0,"Spatial Data Missing ⚠",VLOOKUP(AA84,'G-3 Multipliers'!$L$3:$N$6,3,FALSE)))</f>
        <v/>
      </c>
      <c r="AD84" s="398" t="str">
        <f t="shared" si="13"/>
        <v/>
      </c>
      <c r="AE84" s="165"/>
      <c r="AF84" s="165"/>
      <c r="AG84" s="382" t="str">
        <f t="shared" si="17"/>
        <v/>
      </c>
      <c r="AH84" s="404" t="str">
        <f t="shared" si="18"/>
        <v/>
      </c>
      <c r="AI84" s="387" t="str">
        <f>IF(AH84="Check Data ⚠","Check Data ⚠",IFERROR(VLOOKUP(AH84,'G-4 Temporal multipliers'!$A$4:$C$36,3,FALSE),""))</f>
        <v/>
      </c>
      <c r="AJ84" s="398" t="str">
        <f>IF(S84="","",VLOOKUP(S84,'G-3 Multipliers'!$A$2:$E$134,4,FALSE))</f>
        <v/>
      </c>
      <c r="AK84" s="382" t="str">
        <f t="shared" si="19"/>
        <v/>
      </c>
      <c r="AL84" s="382" t="str">
        <f t="shared" si="20"/>
        <v/>
      </c>
      <c r="AM84" s="386" t="str">
        <f>IFERROR(IF(F84="","",IF(AH84="Check Data ⚠","Check Data ⚠",VLOOKUP(AL84, 'G-3 Multipliers'!$P$2:$Q$6,2,FALSE))),"")</f>
        <v/>
      </c>
      <c r="AN84" s="516"/>
      <c r="AO84" s="417" t="str">
        <f>IF(AN84="","",IF(VLOOKUP(AN84,'G-3 Multipliers'!$S$3:$T$10,2,FALSE)=0,"Spatial Data Missing ⚠",VLOOKUP(AN84,'G-3 Multipliers'!$S$3:$T$10,2,FALSE)))</f>
        <v/>
      </c>
      <c r="AP84" s="376" t="str">
        <f t="shared" si="21"/>
        <v/>
      </c>
      <c r="AQ84" s="376" t="str">
        <f t="shared" si="22"/>
        <v/>
      </c>
      <c r="AR84" s="119"/>
      <c r="AS84" s="528"/>
      <c r="AT84" s="120"/>
      <c r="AU84" s="120"/>
    </row>
    <row r="85" spans="1:47">
      <c r="A85" s="30" t="str">
        <f>IF(E85="","",IF(ISNA(VLOOKUP($E85,'D-1 Off-Site Habitat Baseline'!$D$1:$O$258,2,FALSE)),"",(VLOOKUP($E85,'D-1 Off-Site Habitat Baseline'!$D$1:$O$258,2,FALSE))))</f>
        <v/>
      </c>
      <c r="B85" s="30" t="str">
        <f>IF(E85="","",IF(ISNA(VLOOKUP($E85,'D-1 Off-Site Habitat Baseline'!$D$1:$O$258,3,FALSE)),"",(VLOOKUP($E85,'D-1 Off-Site Habitat Baseline'!$D$1:$O$258,3,FALSE))))</f>
        <v/>
      </c>
      <c r="C85" s="30" t="str">
        <f>IFERROR(INDEX('G-8 Condition Look up'!$I$4:$I$135,MATCH(S85,'G-8 Condition Look up'!$A$4:$A$135,0)),"")</f>
        <v/>
      </c>
      <c r="E85" s="407" t="str">
        <f>'D-1 Off-Site Habitat Baseline'!AP84</f>
        <v/>
      </c>
      <c r="F85" s="382" t="str">
        <f>IF(E85="","",IF(ISNA(VLOOKUP($E85,'D-1 Off-Site Habitat Baseline'!$D$1:$O$258,4,FALSE)),"",(VLOOKUP($E85,'D-1 Off-Site Habitat Baseline'!$D$1:$O$258,4,FALSE))))</f>
        <v/>
      </c>
      <c r="G85" s="382" t="str">
        <f>IF(E85="","",IF(ISNA(VLOOKUP($E85,'D-1 Off-Site Habitat Baseline'!$D$1:$O$258,5,FALSE)),"",(VLOOKUP($E85,'D-1 Off-Site Habitat Baseline'!$D$1:$O$258,5,FALSE))))</f>
        <v/>
      </c>
      <c r="H85" s="382" t="str">
        <f>IF(E85="","",IF(ISNA(VLOOKUP($E85,'D-1 Off-Site Habitat Baseline'!$D$1:$O$258,6,FALSE)),"",(VLOOKUP($E85,'D-1 Off-Site Habitat Baseline'!$D$1:$O$258,6,FALSE))))</f>
        <v/>
      </c>
      <c r="I85" s="382" t="str">
        <f>IF(E85="","",IF(ISNA(VLOOKUP($E85,'D-1 Off-Site Habitat Baseline'!$D$1:$O$258,7,FALSE)),"",(VLOOKUP($E85,'D-1 Off-Site Habitat Baseline'!$D$1:$O$258,7,FALSE))))</f>
        <v/>
      </c>
      <c r="J85" s="382" t="str">
        <f>IF(E85="","",IF(ISNA(VLOOKUP($E85,'D-1 Off-Site Habitat Baseline'!$D$1:$O$258,8,FALSE)),"",(VLOOKUP($E85,'D-1 Off-Site Habitat Baseline'!$D$1:$O$258,8,FALSE))))</f>
        <v/>
      </c>
      <c r="K85" s="382" t="str">
        <f>IF(E85="","",IF(ISNA(VLOOKUP($E85,'D-1 Off-Site Habitat Baseline'!$D$1:$O$258,9,FALSE)),"",(VLOOKUP($E85,'D-1 Off-Site Habitat Baseline'!$D$1:$O$258,9,FALSE))))</f>
        <v/>
      </c>
      <c r="L85" s="382" t="str">
        <f>IF(E85="","",IF(ISNA(VLOOKUP($E85,'D-1 Off-Site Habitat Baseline'!$D$1:$O$258,11,FALSE)),"",(VLOOKUP($E85,'D-1 Off-Site Habitat Baseline'!$D$1:$O$258,11,FALSE))))</f>
        <v/>
      </c>
      <c r="M85" s="382" t="str">
        <f>IF(E85="","",IF(ISNA(VLOOKUP($E85,'D-1 Off-Site Habitat Baseline'!$D$1:$O$258,12,FALSE)),"",(VLOOKUP($E85,'D-1 Off-Site Habitat Baseline'!$D$1:$O$258,12,FALSE))))</f>
        <v/>
      </c>
      <c r="N85" s="382" t="str">
        <f>IF(E85="","",IF(ISNA(VLOOKUP($E85,'D-1 Off-Site Habitat Baseline'!$D$1:$AA$258,14,FALSE)),"",(VLOOKUP($E85,'D-1 Off-Site Habitat Baseline'!$D$1:$AA$258,14,FALSE))))</f>
        <v/>
      </c>
      <c r="O85" s="386" t="str">
        <f>IF(E85="","",IF(ISNA(VLOOKUP($E85,'D-1 Off-Site Habitat Baseline'!$D$1:$AA$258,13,FALSE)),"",(VLOOKUP($E85,'D-1 Off-Site Habitat Baseline'!$D$1:$AA$258,13,FALSE))))</f>
        <v/>
      </c>
      <c r="P85" s="184" t="str">
        <f>IFERROR(INDEX('G-1 All Habitats'!$AG$3:$AG$17,MATCH(Q85,'G-1 All Habitats'!$AF$3:$AF$17,0)),"")</f>
        <v/>
      </c>
      <c r="Q85" s="185" t="str">
        <f t="shared" si="14"/>
        <v/>
      </c>
      <c r="R85" s="186" t="str">
        <f t="shared" si="14"/>
        <v/>
      </c>
      <c r="S85" s="187" t="str">
        <f>IFERROR(INDEX('G-1 All Habitats'!$B$3:$B$134,MATCH(R85,'G-1 All Habitats'!$A$3:$A$134,0)),"")</f>
        <v/>
      </c>
      <c r="T85" s="370" t="str">
        <f t="shared" si="15"/>
        <v/>
      </c>
      <c r="U85" s="386" t="str">
        <f t="shared" si="16"/>
        <v/>
      </c>
      <c r="V85" s="385" t="str">
        <f t="shared" si="12"/>
        <v/>
      </c>
      <c r="W85" s="382" t="str">
        <f>IF(S85="","",VLOOKUP(S85,'G-1 All Habitats'!$B$2:$M$134,10,FALSE))</f>
        <v/>
      </c>
      <c r="X85" s="382" t="str">
        <f>IFERROR(VLOOKUP(W85,'G-1 All Habitats'!$V$3:$W$7,2,FALSE),"")</f>
        <v/>
      </c>
      <c r="Y85" s="165"/>
      <c r="Z85" s="386" t="str">
        <f>IFERROR(INDEX('G-8 Condition Look up'!$A$3:$H$135,MATCH(S85,'G-8 Condition Look up'!$A$3:$A$135,0),MATCH(Y85,'G-8 Condition Look up'!$A$3:$H$3,0)),"")</f>
        <v/>
      </c>
      <c r="AA85" s="114"/>
      <c r="AB85" s="401" t="str">
        <f>IF(AA85="","",IF(VLOOKUP(AA85,'G-3 Multipliers'!$L$3:$N$6,2,FALSE)=0,"Spatial Data Missing ⚠",VLOOKUP(AA85,'G-3 Multipliers'!$L$3:$N$6,2,FALSE)))</f>
        <v/>
      </c>
      <c r="AC85" s="386" t="str">
        <f>IF(AA85="","",IF(VLOOKUP(AA85,'G-3 Multipliers'!$L$3:$N$6,3,FALSE)=0,"Spatial Data Missing ⚠",VLOOKUP(AA85,'G-3 Multipliers'!$L$3:$N$6,3,FALSE)))</f>
        <v/>
      </c>
      <c r="AD85" s="398" t="str">
        <f t="shared" si="13"/>
        <v/>
      </c>
      <c r="AE85" s="165"/>
      <c r="AF85" s="165"/>
      <c r="AG85" s="382" t="str">
        <f t="shared" si="17"/>
        <v/>
      </c>
      <c r="AH85" s="404" t="str">
        <f t="shared" si="18"/>
        <v/>
      </c>
      <c r="AI85" s="387" t="str">
        <f>IF(AH85="Check Data ⚠","Check Data ⚠",IFERROR(VLOOKUP(AH85,'G-4 Temporal multipliers'!$A$4:$C$36,3,FALSE),""))</f>
        <v/>
      </c>
      <c r="AJ85" s="398" t="str">
        <f>IF(S85="","",VLOOKUP(S85,'G-3 Multipliers'!$A$2:$E$134,4,FALSE))</f>
        <v/>
      </c>
      <c r="AK85" s="382" t="str">
        <f t="shared" si="19"/>
        <v/>
      </c>
      <c r="AL85" s="382" t="str">
        <f t="shared" si="20"/>
        <v/>
      </c>
      <c r="AM85" s="386" t="str">
        <f>IFERROR(IF(F85="","",IF(AH85="Check Data ⚠","Check Data ⚠",VLOOKUP(AL85, 'G-3 Multipliers'!$P$2:$Q$6,2,FALSE))),"")</f>
        <v/>
      </c>
      <c r="AN85" s="516"/>
      <c r="AO85" s="417" t="str">
        <f>IF(AN85="","",IF(VLOOKUP(AN85,'G-3 Multipliers'!$S$3:$T$10,2,FALSE)=0,"Spatial Data Missing ⚠",VLOOKUP(AN85,'G-3 Multipliers'!$S$3:$T$10,2,FALSE)))</f>
        <v/>
      </c>
      <c r="AP85" s="376" t="str">
        <f t="shared" si="21"/>
        <v/>
      </c>
      <c r="AQ85" s="376" t="str">
        <f t="shared" si="22"/>
        <v/>
      </c>
      <c r="AR85" s="119"/>
      <c r="AS85" s="528"/>
      <c r="AT85" s="120"/>
      <c r="AU85" s="120"/>
    </row>
    <row r="86" spans="1:47">
      <c r="A86" s="30" t="str">
        <f>IF(E86="","",IF(ISNA(VLOOKUP($E86,'D-1 Off-Site Habitat Baseline'!$D$1:$O$258,2,FALSE)),"",(VLOOKUP($E86,'D-1 Off-Site Habitat Baseline'!$D$1:$O$258,2,FALSE))))</f>
        <v/>
      </c>
      <c r="B86" s="30" t="str">
        <f>IF(E86="","",IF(ISNA(VLOOKUP($E86,'D-1 Off-Site Habitat Baseline'!$D$1:$O$258,3,FALSE)),"",(VLOOKUP($E86,'D-1 Off-Site Habitat Baseline'!$D$1:$O$258,3,FALSE))))</f>
        <v/>
      </c>
      <c r="C86" s="30" t="str">
        <f>IFERROR(INDEX('G-8 Condition Look up'!$I$4:$I$135,MATCH(S86,'G-8 Condition Look up'!$A$4:$A$135,0)),"")</f>
        <v/>
      </c>
      <c r="E86" s="407" t="str">
        <f>'D-1 Off-Site Habitat Baseline'!AP85</f>
        <v/>
      </c>
      <c r="F86" s="382" t="str">
        <f>IF(E86="","",IF(ISNA(VLOOKUP($E86,'D-1 Off-Site Habitat Baseline'!$D$1:$O$258,4,FALSE)),"",(VLOOKUP($E86,'D-1 Off-Site Habitat Baseline'!$D$1:$O$258,4,FALSE))))</f>
        <v/>
      </c>
      <c r="G86" s="382" t="str">
        <f>IF(E86="","",IF(ISNA(VLOOKUP($E86,'D-1 Off-Site Habitat Baseline'!$D$1:$O$258,5,FALSE)),"",(VLOOKUP($E86,'D-1 Off-Site Habitat Baseline'!$D$1:$O$258,5,FALSE))))</f>
        <v/>
      </c>
      <c r="H86" s="382" t="str">
        <f>IF(E86="","",IF(ISNA(VLOOKUP($E86,'D-1 Off-Site Habitat Baseline'!$D$1:$O$258,6,FALSE)),"",(VLOOKUP($E86,'D-1 Off-Site Habitat Baseline'!$D$1:$O$258,6,FALSE))))</f>
        <v/>
      </c>
      <c r="I86" s="382" t="str">
        <f>IF(E86="","",IF(ISNA(VLOOKUP($E86,'D-1 Off-Site Habitat Baseline'!$D$1:$O$258,7,FALSE)),"",(VLOOKUP($E86,'D-1 Off-Site Habitat Baseline'!$D$1:$O$258,7,FALSE))))</f>
        <v/>
      </c>
      <c r="J86" s="382" t="str">
        <f>IF(E86="","",IF(ISNA(VLOOKUP($E86,'D-1 Off-Site Habitat Baseline'!$D$1:$O$258,8,FALSE)),"",(VLOOKUP($E86,'D-1 Off-Site Habitat Baseline'!$D$1:$O$258,8,FALSE))))</f>
        <v/>
      </c>
      <c r="K86" s="382" t="str">
        <f>IF(E86="","",IF(ISNA(VLOOKUP($E86,'D-1 Off-Site Habitat Baseline'!$D$1:$O$258,9,FALSE)),"",(VLOOKUP($E86,'D-1 Off-Site Habitat Baseline'!$D$1:$O$258,9,FALSE))))</f>
        <v/>
      </c>
      <c r="L86" s="382" t="str">
        <f>IF(E86="","",IF(ISNA(VLOOKUP($E86,'D-1 Off-Site Habitat Baseline'!$D$1:$O$258,11,FALSE)),"",(VLOOKUP($E86,'D-1 Off-Site Habitat Baseline'!$D$1:$O$258,11,FALSE))))</f>
        <v/>
      </c>
      <c r="M86" s="382" t="str">
        <f>IF(E86="","",IF(ISNA(VLOOKUP($E86,'D-1 Off-Site Habitat Baseline'!$D$1:$O$258,12,FALSE)),"",(VLOOKUP($E86,'D-1 Off-Site Habitat Baseline'!$D$1:$O$258,12,FALSE))))</f>
        <v/>
      </c>
      <c r="N86" s="382" t="str">
        <f>IF(E86="","",IF(ISNA(VLOOKUP($E86,'D-1 Off-Site Habitat Baseline'!$D$1:$AA$258,14,FALSE)),"",(VLOOKUP($E86,'D-1 Off-Site Habitat Baseline'!$D$1:$AA$258,14,FALSE))))</f>
        <v/>
      </c>
      <c r="O86" s="386" t="str">
        <f>IF(E86="","",IF(ISNA(VLOOKUP($E86,'D-1 Off-Site Habitat Baseline'!$D$1:$AA$258,13,FALSE)),"",(VLOOKUP($E86,'D-1 Off-Site Habitat Baseline'!$D$1:$AA$258,13,FALSE))))</f>
        <v/>
      </c>
      <c r="P86" s="184" t="str">
        <f>IFERROR(INDEX('G-1 All Habitats'!$AG$3:$AG$17,MATCH(Q86,'G-1 All Habitats'!$AF$3:$AF$17,0)),"")</f>
        <v/>
      </c>
      <c r="Q86" s="185" t="str">
        <f t="shared" si="14"/>
        <v/>
      </c>
      <c r="R86" s="186" t="str">
        <f t="shared" si="14"/>
        <v/>
      </c>
      <c r="S86" s="187" t="str">
        <f>IFERROR(INDEX('G-1 All Habitats'!$B$3:$B$134,MATCH(R86,'G-1 All Habitats'!$A$3:$A$134,0)),"")</f>
        <v/>
      </c>
      <c r="T86" s="370" t="str">
        <f t="shared" si="15"/>
        <v/>
      </c>
      <c r="U86" s="386" t="str">
        <f t="shared" si="16"/>
        <v/>
      </c>
      <c r="V86" s="385" t="str">
        <f t="shared" si="12"/>
        <v/>
      </c>
      <c r="W86" s="382" t="str">
        <f>IF(S86="","",VLOOKUP(S86,'G-1 All Habitats'!$B$2:$M$134,10,FALSE))</f>
        <v/>
      </c>
      <c r="X86" s="382" t="str">
        <f>IFERROR(VLOOKUP(W86,'G-1 All Habitats'!$V$3:$W$7,2,FALSE),"")</f>
        <v/>
      </c>
      <c r="Y86" s="165"/>
      <c r="Z86" s="386" t="str">
        <f>IFERROR(INDEX('G-8 Condition Look up'!$A$3:$H$135,MATCH(S86,'G-8 Condition Look up'!$A$3:$A$135,0),MATCH(Y86,'G-8 Condition Look up'!$A$3:$H$3,0)),"")</f>
        <v/>
      </c>
      <c r="AA86" s="114"/>
      <c r="AB86" s="401" t="str">
        <f>IF(AA86="","",IF(VLOOKUP(AA86,'G-3 Multipliers'!$L$3:$N$6,2,FALSE)=0,"Spatial Data Missing ⚠",VLOOKUP(AA86,'G-3 Multipliers'!$L$3:$N$6,2,FALSE)))</f>
        <v/>
      </c>
      <c r="AC86" s="386" t="str">
        <f>IF(AA86="","",IF(VLOOKUP(AA86,'G-3 Multipliers'!$L$3:$N$6,3,FALSE)=0,"Spatial Data Missing ⚠",VLOOKUP(AA86,'G-3 Multipliers'!$L$3:$N$6,3,FALSE)))</f>
        <v/>
      </c>
      <c r="AD86" s="398" t="str">
        <f t="shared" si="13"/>
        <v/>
      </c>
      <c r="AE86" s="165"/>
      <c r="AF86" s="165"/>
      <c r="AG86" s="382" t="str">
        <f t="shared" si="17"/>
        <v/>
      </c>
      <c r="AH86" s="404" t="str">
        <f t="shared" si="18"/>
        <v/>
      </c>
      <c r="AI86" s="387" t="str">
        <f>IF(AH86="Check Data ⚠","Check Data ⚠",IFERROR(VLOOKUP(AH86,'G-4 Temporal multipliers'!$A$4:$C$36,3,FALSE),""))</f>
        <v/>
      </c>
      <c r="AJ86" s="398" t="str">
        <f>IF(S86="","",VLOOKUP(S86,'G-3 Multipliers'!$A$2:$E$134,4,FALSE))</f>
        <v/>
      </c>
      <c r="AK86" s="382" t="str">
        <f t="shared" si="19"/>
        <v/>
      </c>
      <c r="AL86" s="382" t="str">
        <f t="shared" si="20"/>
        <v/>
      </c>
      <c r="AM86" s="386" t="str">
        <f>IFERROR(IF(F86="","",IF(AH86="Check Data ⚠","Check Data ⚠",VLOOKUP(AL86, 'G-3 Multipliers'!$P$2:$Q$6,2,FALSE))),"")</f>
        <v/>
      </c>
      <c r="AN86" s="516"/>
      <c r="AO86" s="417" t="str">
        <f>IF(AN86="","",IF(VLOOKUP(AN86,'G-3 Multipliers'!$S$3:$T$10,2,FALSE)=0,"Spatial Data Missing ⚠",VLOOKUP(AN86,'G-3 Multipliers'!$S$3:$T$10,2,FALSE)))</f>
        <v/>
      </c>
      <c r="AP86" s="376" t="str">
        <f t="shared" si="21"/>
        <v/>
      </c>
      <c r="AQ86" s="376" t="str">
        <f t="shared" si="22"/>
        <v/>
      </c>
      <c r="AR86" s="119"/>
      <c r="AS86" s="528"/>
      <c r="AT86" s="120"/>
      <c r="AU86" s="120"/>
    </row>
    <row r="87" spans="1:47">
      <c r="A87" s="30" t="str">
        <f>IF(E87="","",IF(ISNA(VLOOKUP($E87,'D-1 Off-Site Habitat Baseline'!$D$1:$O$258,2,FALSE)),"",(VLOOKUP($E87,'D-1 Off-Site Habitat Baseline'!$D$1:$O$258,2,FALSE))))</f>
        <v/>
      </c>
      <c r="B87" s="30" t="str">
        <f>IF(E87="","",IF(ISNA(VLOOKUP($E87,'D-1 Off-Site Habitat Baseline'!$D$1:$O$258,3,FALSE)),"",(VLOOKUP($E87,'D-1 Off-Site Habitat Baseline'!$D$1:$O$258,3,FALSE))))</f>
        <v/>
      </c>
      <c r="C87" s="30" t="str">
        <f>IFERROR(INDEX('G-8 Condition Look up'!$I$4:$I$135,MATCH(S87,'G-8 Condition Look up'!$A$4:$A$135,0)),"")</f>
        <v/>
      </c>
      <c r="E87" s="407" t="str">
        <f>'D-1 Off-Site Habitat Baseline'!AP86</f>
        <v/>
      </c>
      <c r="F87" s="382" t="str">
        <f>IF(E87="","",IF(ISNA(VLOOKUP($E87,'D-1 Off-Site Habitat Baseline'!$D$1:$O$258,4,FALSE)),"",(VLOOKUP($E87,'D-1 Off-Site Habitat Baseline'!$D$1:$O$258,4,FALSE))))</f>
        <v/>
      </c>
      <c r="G87" s="382" t="str">
        <f>IF(E87="","",IF(ISNA(VLOOKUP($E87,'D-1 Off-Site Habitat Baseline'!$D$1:$O$258,5,FALSE)),"",(VLOOKUP($E87,'D-1 Off-Site Habitat Baseline'!$D$1:$O$258,5,FALSE))))</f>
        <v/>
      </c>
      <c r="H87" s="382" t="str">
        <f>IF(E87="","",IF(ISNA(VLOOKUP($E87,'D-1 Off-Site Habitat Baseline'!$D$1:$O$258,6,FALSE)),"",(VLOOKUP($E87,'D-1 Off-Site Habitat Baseline'!$D$1:$O$258,6,FALSE))))</f>
        <v/>
      </c>
      <c r="I87" s="382" t="str">
        <f>IF(E87="","",IF(ISNA(VLOOKUP($E87,'D-1 Off-Site Habitat Baseline'!$D$1:$O$258,7,FALSE)),"",(VLOOKUP($E87,'D-1 Off-Site Habitat Baseline'!$D$1:$O$258,7,FALSE))))</f>
        <v/>
      </c>
      <c r="J87" s="382" t="str">
        <f>IF(E87="","",IF(ISNA(VLOOKUP($E87,'D-1 Off-Site Habitat Baseline'!$D$1:$O$258,8,FALSE)),"",(VLOOKUP($E87,'D-1 Off-Site Habitat Baseline'!$D$1:$O$258,8,FALSE))))</f>
        <v/>
      </c>
      <c r="K87" s="382" t="str">
        <f>IF(E87="","",IF(ISNA(VLOOKUP($E87,'D-1 Off-Site Habitat Baseline'!$D$1:$O$258,9,FALSE)),"",(VLOOKUP($E87,'D-1 Off-Site Habitat Baseline'!$D$1:$O$258,9,FALSE))))</f>
        <v/>
      </c>
      <c r="L87" s="382" t="str">
        <f>IF(E87="","",IF(ISNA(VLOOKUP($E87,'D-1 Off-Site Habitat Baseline'!$D$1:$O$258,11,FALSE)),"",(VLOOKUP($E87,'D-1 Off-Site Habitat Baseline'!$D$1:$O$258,11,FALSE))))</f>
        <v/>
      </c>
      <c r="M87" s="382" t="str">
        <f>IF(E87="","",IF(ISNA(VLOOKUP($E87,'D-1 Off-Site Habitat Baseline'!$D$1:$O$258,12,FALSE)),"",(VLOOKUP($E87,'D-1 Off-Site Habitat Baseline'!$D$1:$O$258,12,FALSE))))</f>
        <v/>
      </c>
      <c r="N87" s="382" t="str">
        <f>IF(E87="","",IF(ISNA(VLOOKUP($E87,'D-1 Off-Site Habitat Baseline'!$D$1:$AA$258,14,FALSE)),"",(VLOOKUP($E87,'D-1 Off-Site Habitat Baseline'!$D$1:$AA$258,14,FALSE))))</f>
        <v/>
      </c>
      <c r="O87" s="386" t="str">
        <f>IF(E87="","",IF(ISNA(VLOOKUP($E87,'D-1 Off-Site Habitat Baseline'!$D$1:$AA$258,13,FALSE)),"",(VLOOKUP($E87,'D-1 Off-Site Habitat Baseline'!$D$1:$AA$258,13,FALSE))))</f>
        <v/>
      </c>
      <c r="P87" s="184" t="str">
        <f>IFERROR(INDEX('G-1 All Habitats'!$AG$3:$AG$17,MATCH(Q87,'G-1 All Habitats'!$AF$3:$AF$17,0)),"")</f>
        <v/>
      </c>
      <c r="Q87" s="185" t="str">
        <f t="shared" si="14"/>
        <v/>
      </c>
      <c r="R87" s="186" t="str">
        <f t="shared" si="14"/>
        <v/>
      </c>
      <c r="S87" s="187" t="str">
        <f>IFERROR(INDEX('G-1 All Habitats'!$B$3:$B$134,MATCH(R87,'G-1 All Habitats'!$A$3:$A$134,0)),"")</f>
        <v/>
      </c>
      <c r="T87" s="370" t="str">
        <f t="shared" si="15"/>
        <v/>
      </c>
      <c r="U87" s="386" t="str">
        <f t="shared" si="16"/>
        <v/>
      </c>
      <c r="V87" s="385" t="str">
        <f t="shared" si="12"/>
        <v/>
      </c>
      <c r="W87" s="382" t="str">
        <f>IF(S87="","",VLOOKUP(S87,'G-1 All Habitats'!$B$2:$M$134,10,FALSE))</f>
        <v/>
      </c>
      <c r="X87" s="382" t="str">
        <f>IFERROR(VLOOKUP(W87,'G-1 All Habitats'!$V$3:$W$7,2,FALSE),"")</f>
        <v/>
      </c>
      <c r="Y87" s="165"/>
      <c r="Z87" s="386" t="str">
        <f>IFERROR(INDEX('G-8 Condition Look up'!$A$3:$H$135,MATCH(S87,'G-8 Condition Look up'!$A$3:$A$135,0),MATCH(Y87,'G-8 Condition Look up'!$A$3:$H$3,0)),"")</f>
        <v/>
      </c>
      <c r="AA87" s="114"/>
      <c r="AB87" s="401" t="str">
        <f>IF(AA87="","",IF(VLOOKUP(AA87,'G-3 Multipliers'!$L$3:$N$6,2,FALSE)=0,"Spatial Data Missing ⚠",VLOOKUP(AA87,'G-3 Multipliers'!$L$3:$N$6,2,FALSE)))</f>
        <v/>
      </c>
      <c r="AC87" s="386" t="str">
        <f>IF(AA87="","",IF(VLOOKUP(AA87,'G-3 Multipliers'!$L$3:$N$6,3,FALSE)=0,"Spatial Data Missing ⚠",VLOOKUP(AA87,'G-3 Multipliers'!$L$3:$N$6,3,FALSE)))</f>
        <v/>
      </c>
      <c r="AD87" s="398" t="str">
        <f t="shared" si="13"/>
        <v/>
      </c>
      <c r="AE87" s="165"/>
      <c r="AF87" s="165"/>
      <c r="AG87" s="382" t="str">
        <f t="shared" si="17"/>
        <v/>
      </c>
      <c r="AH87" s="404" t="str">
        <f t="shared" si="18"/>
        <v/>
      </c>
      <c r="AI87" s="387" t="str">
        <f>IF(AH87="Check Data ⚠","Check Data ⚠",IFERROR(VLOOKUP(AH87,'G-4 Temporal multipliers'!$A$4:$C$36,3,FALSE),""))</f>
        <v/>
      </c>
      <c r="AJ87" s="398" t="str">
        <f>IF(S87="","",VLOOKUP(S87,'G-3 Multipliers'!$A$2:$E$134,4,FALSE))</f>
        <v/>
      </c>
      <c r="AK87" s="382" t="str">
        <f t="shared" si="19"/>
        <v/>
      </c>
      <c r="AL87" s="382" t="str">
        <f t="shared" si="20"/>
        <v/>
      </c>
      <c r="AM87" s="386" t="str">
        <f>IFERROR(IF(F87="","",IF(AH87="Check Data ⚠","Check Data ⚠",VLOOKUP(AL87, 'G-3 Multipliers'!$P$2:$Q$6,2,FALSE))),"")</f>
        <v/>
      </c>
      <c r="AN87" s="516"/>
      <c r="AO87" s="417" t="str">
        <f>IF(AN87="","",IF(VLOOKUP(AN87,'G-3 Multipliers'!$S$3:$T$10,2,FALSE)=0,"Spatial Data Missing ⚠",VLOOKUP(AN87,'G-3 Multipliers'!$S$3:$T$10,2,FALSE)))</f>
        <v/>
      </c>
      <c r="AP87" s="376" t="str">
        <f t="shared" si="21"/>
        <v/>
      </c>
      <c r="AQ87" s="376" t="str">
        <f t="shared" si="22"/>
        <v/>
      </c>
      <c r="AR87" s="119"/>
      <c r="AS87" s="528"/>
      <c r="AT87" s="120"/>
      <c r="AU87" s="120"/>
    </row>
    <row r="88" spans="1:47">
      <c r="A88" s="30" t="str">
        <f>IF(E88="","",IF(ISNA(VLOOKUP($E88,'D-1 Off-Site Habitat Baseline'!$D$1:$O$258,2,FALSE)),"",(VLOOKUP($E88,'D-1 Off-Site Habitat Baseline'!$D$1:$O$258,2,FALSE))))</f>
        <v/>
      </c>
      <c r="B88" s="30" t="str">
        <f>IF(E88="","",IF(ISNA(VLOOKUP($E88,'D-1 Off-Site Habitat Baseline'!$D$1:$O$258,3,FALSE)),"",(VLOOKUP($E88,'D-1 Off-Site Habitat Baseline'!$D$1:$O$258,3,FALSE))))</f>
        <v/>
      </c>
      <c r="C88" s="30" t="str">
        <f>IFERROR(INDEX('G-8 Condition Look up'!$I$4:$I$135,MATCH(S88,'G-8 Condition Look up'!$A$4:$A$135,0)),"")</f>
        <v/>
      </c>
      <c r="E88" s="407" t="str">
        <f>'D-1 Off-Site Habitat Baseline'!AP87</f>
        <v/>
      </c>
      <c r="F88" s="382" t="str">
        <f>IF(E88="","",IF(ISNA(VLOOKUP($E88,'D-1 Off-Site Habitat Baseline'!$D$1:$O$258,4,FALSE)),"",(VLOOKUP($E88,'D-1 Off-Site Habitat Baseline'!$D$1:$O$258,4,FALSE))))</f>
        <v/>
      </c>
      <c r="G88" s="382" t="str">
        <f>IF(E88="","",IF(ISNA(VLOOKUP($E88,'D-1 Off-Site Habitat Baseline'!$D$1:$O$258,5,FALSE)),"",(VLOOKUP($E88,'D-1 Off-Site Habitat Baseline'!$D$1:$O$258,5,FALSE))))</f>
        <v/>
      </c>
      <c r="H88" s="382" t="str">
        <f>IF(E88="","",IF(ISNA(VLOOKUP($E88,'D-1 Off-Site Habitat Baseline'!$D$1:$O$258,6,FALSE)),"",(VLOOKUP($E88,'D-1 Off-Site Habitat Baseline'!$D$1:$O$258,6,FALSE))))</f>
        <v/>
      </c>
      <c r="I88" s="382" t="str">
        <f>IF(E88="","",IF(ISNA(VLOOKUP($E88,'D-1 Off-Site Habitat Baseline'!$D$1:$O$258,7,FALSE)),"",(VLOOKUP($E88,'D-1 Off-Site Habitat Baseline'!$D$1:$O$258,7,FALSE))))</f>
        <v/>
      </c>
      <c r="J88" s="382" t="str">
        <f>IF(E88="","",IF(ISNA(VLOOKUP($E88,'D-1 Off-Site Habitat Baseline'!$D$1:$O$258,8,FALSE)),"",(VLOOKUP($E88,'D-1 Off-Site Habitat Baseline'!$D$1:$O$258,8,FALSE))))</f>
        <v/>
      </c>
      <c r="K88" s="382" t="str">
        <f>IF(E88="","",IF(ISNA(VLOOKUP($E88,'D-1 Off-Site Habitat Baseline'!$D$1:$O$258,9,FALSE)),"",(VLOOKUP($E88,'D-1 Off-Site Habitat Baseline'!$D$1:$O$258,9,FALSE))))</f>
        <v/>
      </c>
      <c r="L88" s="382" t="str">
        <f>IF(E88="","",IF(ISNA(VLOOKUP($E88,'D-1 Off-Site Habitat Baseline'!$D$1:$O$258,11,FALSE)),"",(VLOOKUP($E88,'D-1 Off-Site Habitat Baseline'!$D$1:$O$258,11,FALSE))))</f>
        <v/>
      </c>
      <c r="M88" s="382" t="str">
        <f>IF(E88="","",IF(ISNA(VLOOKUP($E88,'D-1 Off-Site Habitat Baseline'!$D$1:$O$258,12,FALSE)),"",(VLOOKUP($E88,'D-1 Off-Site Habitat Baseline'!$D$1:$O$258,12,FALSE))))</f>
        <v/>
      </c>
      <c r="N88" s="382" t="str">
        <f>IF(E88="","",IF(ISNA(VLOOKUP($E88,'D-1 Off-Site Habitat Baseline'!$D$1:$AA$258,14,FALSE)),"",(VLOOKUP($E88,'D-1 Off-Site Habitat Baseline'!$D$1:$AA$258,14,FALSE))))</f>
        <v/>
      </c>
      <c r="O88" s="386" t="str">
        <f>IF(E88="","",IF(ISNA(VLOOKUP($E88,'D-1 Off-Site Habitat Baseline'!$D$1:$AA$258,13,FALSE)),"",(VLOOKUP($E88,'D-1 Off-Site Habitat Baseline'!$D$1:$AA$258,13,FALSE))))</f>
        <v/>
      </c>
      <c r="P88" s="184" t="str">
        <f>IFERROR(INDEX('G-1 All Habitats'!$AG$3:$AG$17,MATCH(Q88,'G-1 All Habitats'!$AF$3:$AF$17,0)),"")</f>
        <v/>
      </c>
      <c r="Q88" s="185" t="str">
        <f t="shared" si="14"/>
        <v/>
      </c>
      <c r="R88" s="186" t="str">
        <f t="shared" si="14"/>
        <v/>
      </c>
      <c r="S88" s="187" t="str">
        <f>IFERROR(INDEX('G-1 All Habitats'!$B$3:$B$134,MATCH(R88,'G-1 All Habitats'!$A$3:$A$134,0)),"")</f>
        <v/>
      </c>
      <c r="T88" s="370" t="str">
        <f t="shared" si="15"/>
        <v/>
      </c>
      <c r="U88" s="386" t="str">
        <f t="shared" si="16"/>
        <v/>
      </c>
      <c r="V88" s="385" t="str">
        <f t="shared" si="12"/>
        <v/>
      </c>
      <c r="W88" s="382" t="str">
        <f>IF(S88="","",VLOOKUP(S88,'G-1 All Habitats'!$B$2:$M$134,10,FALSE))</f>
        <v/>
      </c>
      <c r="X88" s="382" t="str">
        <f>IFERROR(VLOOKUP(W88,'G-1 All Habitats'!$V$3:$W$7,2,FALSE),"")</f>
        <v/>
      </c>
      <c r="Y88" s="165"/>
      <c r="Z88" s="386" t="str">
        <f>IFERROR(INDEX('G-8 Condition Look up'!$A$3:$H$135,MATCH(S88,'G-8 Condition Look up'!$A$3:$A$135,0),MATCH(Y88,'G-8 Condition Look up'!$A$3:$H$3,0)),"")</f>
        <v/>
      </c>
      <c r="AA88" s="114"/>
      <c r="AB88" s="401" t="str">
        <f>IF(AA88="","",IF(VLOOKUP(AA88,'G-3 Multipliers'!$L$3:$N$6,2,FALSE)=0,"Spatial Data Missing ⚠",VLOOKUP(AA88,'G-3 Multipliers'!$L$3:$N$6,2,FALSE)))</f>
        <v/>
      </c>
      <c r="AC88" s="386" t="str">
        <f>IF(AA88="","",IF(VLOOKUP(AA88,'G-3 Multipliers'!$L$3:$N$6,3,FALSE)=0,"Spatial Data Missing ⚠",VLOOKUP(AA88,'G-3 Multipliers'!$L$3:$N$6,3,FALSE)))</f>
        <v/>
      </c>
      <c r="AD88" s="398" t="str">
        <f t="shared" si="13"/>
        <v/>
      </c>
      <c r="AE88" s="165"/>
      <c r="AF88" s="165"/>
      <c r="AG88" s="382" t="str">
        <f t="shared" si="17"/>
        <v/>
      </c>
      <c r="AH88" s="404" t="str">
        <f t="shared" si="18"/>
        <v/>
      </c>
      <c r="AI88" s="387" t="str">
        <f>IF(AH88="Check Data ⚠","Check Data ⚠",IFERROR(VLOOKUP(AH88,'G-4 Temporal multipliers'!$A$4:$C$36,3,FALSE),""))</f>
        <v/>
      </c>
      <c r="AJ88" s="398" t="str">
        <f>IF(S88="","",VLOOKUP(S88,'G-3 Multipliers'!$A$2:$E$134,4,FALSE))</f>
        <v/>
      </c>
      <c r="AK88" s="382" t="str">
        <f t="shared" si="19"/>
        <v/>
      </c>
      <c r="AL88" s="382" t="str">
        <f t="shared" si="20"/>
        <v/>
      </c>
      <c r="AM88" s="386" t="str">
        <f>IFERROR(IF(F88="","",IF(AH88="Check Data ⚠","Check Data ⚠",VLOOKUP(AL88, 'G-3 Multipliers'!$P$2:$Q$6,2,FALSE))),"")</f>
        <v/>
      </c>
      <c r="AN88" s="516"/>
      <c r="AO88" s="417" t="str">
        <f>IF(AN88="","",IF(VLOOKUP(AN88,'G-3 Multipliers'!$S$3:$T$10,2,FALSE)=0,"Spatial Data Missing ⚠",VLOOKUP(AN88,'G-3 Multipliers'!$S$3:$T$10,2,FALSE)))</f>
        <v/>
      </c>
      <c r="AP88" s="376" t="str">
        <f t="shared" si="21"/>
        <v/>
      </c>
      <c r="AQ88" s="376" t="str">
        <f t="shared" si="22"/>
        <v/>
      </c>
      <c r="AR88" s="119"/>
      <c r="AS88" s="528"/>
      <c r="AT88" s="120"/>
      <c r="AU88" s="120"/>
    </row>
    <row r="89" spans="1:47">
      <c r="A89" s="30" t="str">
        <f>IF(E89="","",IF(ISNA(VLOOKUP($E89,'D-1 Off-Site Habitat Baseline'!$D$1:$O$258,2,FALSE)),"",(VLOOKUP($E89,'D-1 Off-Site Habitat Baseline'!$D$1:$O$258,2,FALSE))))</f>
        <v/>
      </c>
      <c r="B89" s="30" t="str">
        <f>IF(E89="","",IF(ISNA(VLOOKUP($E89,'D-1 Off-Site Habitat Baseline'!$D$1:$O$258,3,FALSE)),"",(VLOOKUP($E89,'D-1 Off-Site Habitat Baseline'!$D$1:$O$258,3,FALSE))))</f>
        <v/>
      </c>
      <c r="C89" s="30" t="str">
        <f>IFERROR(INDEX('G-8 Condition Look up'!$I$4:$I$135,MATCH(S89,'G-8 Condition Look up'!$A$4:$A$135,0)),"")</f>
        <v/>
      </c>
      <c r="E89" s="407" t="str">
        <f>'D-1 Off-Site Habitat Baseline'!AP88</f>
        <v/>
      </c>
      <c r="F89" s="382" t="str">
        <f>IF(E89="","",IF(ISNA(VLOOKUP($E89,'D-1 Off-Site Habitat Baseline'!$D$1:$O$258,4,FALSE)),"",(VLOOKUP($E89,'D-1 Off-Site Habitat Baseline'!$D$1:$O$258,4,FALSE))))</f>
        <v/>
      </c>
      <c r="G89" s="382" t="str">
        <f>IF(E89="","",IF(ISNA(VLOOKUP($E89,'D-1 Off-Site Habitat Baseline'!$D$1:$O$258,5,FALSE)),"",(VLOOKUP($E89,'D-1 Off-Site Habitat Baseline'!$D$1:$O$258,5,FALSE))))</f>
        <v/>
      </c>
      <c r="H89" s="382" t="str">
        <f>IF(E89="","",IF(ISNA(VLOOKUP($E89,'D-1 Off-Site Habitat Baseline'!$D$1:$O$258,6,FALSE)),"",(VLOOKUP($E89,'D-1 Off-Site Habitat Baseline'!$D$1:$O$258,6,FALSE))))</f>
        <v/>
      </c>
      <c r="I89" s="382" t="str">
        <f>IF(E89="","",IF(ISNA(VLOOKUP($E89,'D-1 Off-Site Habitat Baseline'!$D$1:$O$258,7,FALSE)),"",(VLOOKUP($E89,'D-1 Off-Site Habitat Baseline'!$D$1:$O$258,7,FALSE))))</f>
        <v/>
      </c>
      <c r="J89" s="382" t="str">
        <f>IF(E89="","",IF(ISNA(VLOOKUP($E89,'D-1 Off-Site Habitat Baseline'!$D$1:$O$258,8,FALSE)),"",(VLOOKUP($E89,'D-1 Off-Site Habitat Baseline'!$D$1:$O$258,8,FALSE))))</f>
        <v/>
      </c>
      <c r="K89" s="382" t="str">
        <f>IF(E89="","",IF(ISNA(VLOOKUP($E89,'D-1 Off-Site Habitat Baseline'!$D$1:$O$258,9,FALSE)),"",(VLOOKUP($E89,'D-1 Off-Site Habitat Baseline'!$D$1:$O$258,9,FALSE))))</f>
        <v/>
      </c>
      <c r="L89" s="382" t="str">
        <f>IF(E89="","",IF(ISNA(VLOOKUP($E89,'D-1 Off-Site Habitat Baseline'!$D$1:$O$258,11,FALSE)),"",(VLOOKUP($E89,'D-1 Off-Site Habitat Baseline'!$D$1:$O$258,11,FALSE))))</f>
        <v/>
      </c>
      <c r="M89" s="382" t="str">
        <f>IF(E89="","",IF(ISNA(VLOOKUP($E89,'D-1 Off-Site Habitat Baseline'!$D$1:$O$258,12,FALSE)),"",(VLOOKUP($E89,'D-1 Off-Site Habitat Baseline'!$D$1:$O$258,12,FALSE))))</f>
        <v/>
      </c>
      <c r="N89" s="382" t="str">
        <f>IF(E89="","",IF(ISNA(VLOOKUP($E89,'D-1 Off-Site Habitat Baseline'!$D$1:$AA$258,14,FALSE)),"",(VLOOKUP($E89,'D-1 Off-Site Habitat Baseline'!$D$1:$AA$258,14,FALSE))))</f>
        <v/>
      </c>
      <c r="O89" s="386" t="str">
        <f>IF(E89="","",IF(ISNA(VLOOKUP($E89,'D-1 Off-Site Habitat Baseline'!$D$1:$AA$258,13,FALSE)),"",(VLOOKUP($E89,'D-1 Off-Site Habitat Baseline'!$D$1:$AA$258,13,FALSE))))</f>
        <v/>
      </c>
      <c r="P89" s="184" t="str">
        <f>IFERROR(INDEX('G-1 All Habitats'!$AG$3:$AG$17,MATCH(Q89,'G-1 All Habitats'!$AF$3:$AF$17,0)),"")</f>
        <v/>
      </c>
      <c r="Q89" s="185" t="str">
        <f t="shared" si="14"/>
        <v/>
      </c>
      <c r="R89" s="186" t="str">
        <f t="shared" si="14"/>
        <v/>
      </c>
      <c r="S89" s="187" t="str">
        <f>IFERROR(INDEX('G-1 All Habitats'!$B$3:$B$134,MATCH(R89,'G-1 All Habitats'!$A$3:$A$134,0)),"")</f>
        <v/>
      </c>
      <c r="T89" s="370" t="str">
        <f t="shared" si="15"/>
        <v/>
      </c>
      <c r="U89" s="386" t="str">
        <f t="shared" si="16"/>
        <v/>
      </c>
      <c r="V89" s="385" t="str">
        <f t="shared" si="12"/>
        <v/>
      </c>
      <c r="W89" s="382" t="str">
        <f>IF(S89="","",VLOOKUP(S89,'G-1 All Habitats'!$B$2:$M$134,10,FALSE))</f>
        <v/>
      </c>
      <c r="X89" s="382" t="str">
        <f>IFERROR(VLOOKUP(W89,'G-1 All Habitats'!$V$3:$W$7,2,FALSE),"")</f>
        <v/>
      </c>
      <c r="Y89" s="165"/>
      <c r="Z89" s="386" t="str">
        <f>IFERROR(INDEX('G-8 Condition Look up'!$A$3:$H$135,MATCH(S89,'G-8 Condition Look up'!$A$3:$A$135,0),MATCH(Y89,'G-8 Condition Look up'!$A$3:$H$3,0)),"")</f>
        <v/>
      </c>
      <c r="AA89" s="114"/>
      <c r="AB89" s="401" t="str">
        <f>IF(AA89="","",IF(VLOOKUP(AA89,'G-3 Multipliers'!$L$3:$N$6,2,FALSE)=0,"Spatial Data Missing ⚠",VLOOKUP(AA89,'G-3 Multipliers'!$L$3:$N$6,2,FALSE)))</f>
        <v/>
      </c>
      <c r="AC89" s="386" t="str">
        <f>IF(AA89="","",IF(VLOOKUP(AA89,'G-3 Multipliers'!$L$3:$N$6,3,FALSE)=0,"Spatial Data Missing ⚠",VLOOKUP(AA89,'G-3 Multipliers'!$L$3:$N$6,3,FALSE)))</f>
        <v/>
      </c>
      <c r="AD89" s="398" t="str">
        <f t="shared" si="13"/>
        <v/>
      </c>
      <c r="AE89" s="165"/>
      <c r="AF89" s="165"/>
      <c r="AG89" s="382" t="str">
        <f t="shared" si="17"/>
        <v/>
      </c>
      <c r="AH89" s="404" t="str">
        <f t="shared" si="18"/>
        <v/>
      </c>
      <c r="AI89" s="387" t="str">
        <f>IF(AH89="Check Data ⚠","Check Data ⚠",IFERROR(VLOOKUP(AH89,'G-4 Temporal multipliers'!$A$4:$C$36,3,FALSE),""))</f>
        <v/>
      </c>
      <c r="AJ89" s="398" t="str">
        <f>IF(S89="","",VLOOKUP(S89,'G-3 Multipliers'!$A$2:$E$134,4,FALSE))</f>
        <v/>
      </c>
      <c r="AK89" s="382" t="str">
        <f t="shared" si="19"/>
        <v/>
      </c>
      <c r="AL89" s="382" t="str">
        <f t="shared" si="20"/>
        <v/>
      </c>
      <c r="AM89" s="386" t="str">
        <f>IFERROR(IF(F89="","",IF(AH89="Check Data ⚠","Check Data ⚠",VLOOKUP(AL89, 'G-3 Multipliers'!$P$2:$Q$6,2,FALSE))),"")</f>
        <v/>
      </c>
      <c r="AN89" s="516"/>
      <c r="AO89" s="417" t="str">
        <f>IF(AN89="","",IF(VLOOKUP(AN89,'G-3 Multipliers'!$S$3:$T$10,2,FALSE)=0,"Spatial Data Missing ⚠",VLOOKUP(AN89,'G-3 Multipliers'!$S$3:$T$10,2,FALSE)))</f>
        <v/>
      </c>
      <c r="AP89" s="376" t="str">
        <f t="shared" si="21"/>
        <v/>
      </c>
      <c r="AQ89" s="376" t="str">
        <f t="shared" si="22"/>
        <v/>
      </c>
      <c r="AR89" s="119"/>
      <c r="AS89" s="528"/>
      <c r="AT89" s="120"/>
      <c r="AU89" s="120"/>
    </row>
    <row r="90" spans="1:47">
      <c r="A90" s="30" t="str">
        <f>IF(E90="","",IF(ISNA(VLOOKUP($E90,'D-1 Off-Site Habitat Baseline'!$D$1:$O$258,2,FALSE)),"",(VLOOKUP($E90,'D-1 Off-Site Habitat Baseline'!$D$1:$O$258,2,FALSE))))</f>
        <v/>
      </c>
      <c r="B90" s="30" t="str">
        <f>IF(E90="","",IF(ISNA(VLOOKUP($E90,'D-1 Off-Site Habitat Baseline'!$D$1:$O$258,3,FALSE)),"",(VLOOKUP($E90,'D-1 Off-Site Habitat Baseline'!$D$1:$O$258,3,FALSE))))</f>
        <v/>
      </c>
      <c r="C90" s="30" t="str">
        <f>IFERROR(INDEX('G-8 Condition Look up'!$I$4:$I$135,MATCH(S90,'G-8 Condition Look up'!$A$4:$A$135,0)),"")</f>
        <v/>
      </c>
      <c r="E90" s="407" t="str">
        <f>'D-1 Off-Site Habitat Baseline'!AP89</f>
        <v/>
      </c>
      <c r="F90" s="382" t="str">
        <f>IF(E90="","",IF(ISNA(VLOOKUP($E90,'D-1 Off-Site Habitat Baseline'!$D$1:$O$258,4,FALSE)),"",(VLOOKUP($E90,'D-1 Off-Site Habitat Baseline'!$D$1:$O$258,4,FALSE))))</f>
        <v/>
      </c>
      <c r="G90" s="382" t="str">
        <f>IF(E90="","",IF(ISNA(VLOOKUP($E90,'D-1 Off-Site Habitat Baseline'!$D$1:$O$258,5,FALSE)),"",(VLOOKUP($E90,'D-1 Off-Site Habitat Baseline'!$D$1:$O$258,5,FALSE))))</f>
        <v/>
      </c>
      <c r="H90" s="382" t="str">
        <f>IF(E90="","",IF(ISNA(VLOOKUP($E90,'D-1 Off-Site Habitat Baseline'!$D$1:$O$258,6,FALSE)),"",(VLOOKUP($E90,'D-1 Off-Site Habitat Baseline'!$D$1:$O$258,6,FALSE))))</f>
        <v/>
      </c>
      <c r="I90" s="382" t="str">
        <f>IF(E90="","",IF(ISNA(VLOOKUP($E90,'D-1 Off-Site Habitat Baseline'!$D$1:$O$258,7,FALSE)),"",(VLOOKUP($E90,'D-1 Off-Site Habitat Baseline'!$D$1:$O$258,7,FALSE))))</f>
        <v/>
      </c>
      <c r="J90" s="382" t="str">
        <f>IF(E90="","",IF(ISNA(VLOOKUP($E90,'D-1 Off-Site Habitat Baseline'!$D$1:$O$258,8,FALSE)),"",(VLOOKUP($E90,'D-1 Off-Site Habitat Baseline'!$D$1:$O$258,8,FALSE))))</f>
        <v/>
      </c>
      <c r="K90" s="382" t="str">
        <f>IF(E90="","",IF(ISNA(VLOOKUP($E90,'D-1 Off-Site Habitat Baseline'!$D$1:$O$258,9,FALSE)),"",(VLOOKUP($E90,'D-1 Off-Site Habitat Baseline'!$D$1:$O$258,9,FALSE))))</f>
        <v/>
      </c>
      <c r="L90" s="382" t="str">
        <f>IF(E90="","",IF(ISNA(VLOOKUP($E90,'D-1 Off-Site Habitat Baseline'!$D$1:$O$258,11,FALSE)),"",(VLOOKUP($E90,'D-1 Off-Site Habitat Baseline'!$D$1:$O$258,11,FALSE))))</f>
        <v/>
      </c>
      <c r="M90" s="382" t="str">
        <f>IF(E90="","",IF(ISNA(VLOOKUP($E90,'D-1 Off-Site Habitat Baseline'!$D$1:$O$258,12,FALSE)),"",(VLOOKUP($E90,'D-1 Off-Site Habitat Baseline'!$D$1:$O$258,12,FALSE))))</f>
        <v/>
      </c>
      <c r="N90" s="382" t="str">
        <f>IF(E90="","",IF(ISNA(VLOOKUP($E90,'D-1 Off-Site Habitat Baseline'!$D$1:$AA$258,14,FALSE)),"",(VLOOKUP($E90,'D-1 Off-Site Habitat Baseline'!$D$1:$AA$258,14,FALSE))))</f>
        <v/>
      </c>
      <c r="O90" s="386" t="str">
        <f>IF(E90="","",IF(ISNA(VLOOKUP($E90,'D-1 Off-Site Habitat Baseline'!$D$1:$AA$258,13,FALSE)),"",(VLOOKUP($E90,'D-1 Off-Site Habitat Baseline'!$D$1:$AA$258,13,FALSE))))</f>
        <v/>
      </c>
      <c r="P90" s="184" t="str">
        <f>IFERROR(INDEX('G-1 All Habitats'!$AG$3:$AG$17,MATCH(Q90,'G-1 All Habitats'!$AF$3:$AF$17,0)),"")</f>
        <v/>
      </c>
      <c r="Q90" s="185" t="str">
        <f t="shared" si="14"/>
        <v/>
      </c>
      <c r="R90" s="186" t="str">
        <f t="shared" si="14"/>
        <v/>
      </c>
      <c r="S90" s="187" t="str">
        <f>IFERROR(INDEX('G-1 All Habitats'!$B$3:$B$134,MATCH(R90,'G-1 All Habitats'!$A$3:$A$134,0)),"")</f>
        <v/>
      </c>
      <c r="T90" s="370" t="str">
        <f t="shared" si="15"/>
        <v/>
      </c>
      <c r="U90" s="386" t="str">
        <f t="shared" si="16"/>
        <v/>
      </c>
      <c r="V90" s="385" t="str">
        <f t="shared" si="12"/>
        <v/>
      </c>
      <c r="W90" s="382" t="str">
        <f>IF(S90="","",VLOOKUP(S90,'G-1 All Habitats'!$B$2:$M$134,10,FALSE))</f>
        <v/>
      </c>
      <c r="X90" s="382" t="str">
        <f>IFERROR(VLOOKUP(W90,'G-1 All Habitats'!$V$3:$W$7,2,FALSE),"")</f>
        <v/>
      </c>
      <c r="Y90" s="165"/>
      <c r="Z90" s="386" t="str">
        <f>IFERROR(INDEX('G-8 Condition Look up'!$A$3:$H$135,MATCH(S90,'G-8 Condition Look up'!$A$3:$A$135,0),MATCH(Y90,'G-8 Condition Look up'!$A$3:$H$3,0)),"")</f>
        <v/>
      </c>
      <c r="AA90" s="114"/>
      <c r="AB90" s="401" t="str">
        <f>IF(AA90="","",IF(VLOOKUP(AA90,'G-3 Multipliers'!$L$3:$N$6,2,FALSE)=0,"Spatial Data Missing ⚠",VLOOKUP(AA90,'G-3 Multipliers'!$L$3:$N$6,2,FALSE)))</f>
        <v/>
      </c>
      <c r="AC90" s="386" t="str">
        <f>IF(AA90="","",IF(VLOOKUP(AA90,'G-3 Multipliers'!$L$3:$N$6,3,FALSE)=0,"Spatial Data Missing ⚠",VLOOKUP(AA90,'G-3 Multipliers'!$L$3:$N$6,3,FALSE)))</f>
        <v/>
      </c>
      <c r="AD90" s="398" t="str">
        <f t="shared" si="13"/>
        <v/>
      </c>
      <c r="AE90" s="165"/>
      <c r="AF90" s="165"/>
      <c r="AG90" s="382" t="str">
        <f t="shared" si="17"/>
        <v/>
      </c>
      <c r="AH90" s="404" t="str">
        <f t="shared" si="18"/>
        <v/>
      </c>
      <c r="AI90" s="387" t="str">
        <f>IF(AH90="Check Data ⚠","Check Data ⚠",IFERROR(VLOOKUP(AH90,'G-4 Temporal multipliers'!$A$4:$C$36,3,FALSE),""))</f>
        <v/>
      </c>
      <c r="AJ90" s="398" t="str">
        <f>IF(S90="","",VLOOKUP(S90,'G-3 Multipliers'!$A$2:$E$134,4,FALSE))</f>
        <v/>
      </c>
      <c r="AK90" s="382" t="str">
        <f t="shared" si="19"/>
        <v/>
      </c>
      <c r="AL90" s="382" t="str">
        <f t="shared" si="20"/>
        <v/>
      </c>
      <c r="AM90" s="386" t="str">
        <f>IFERROR(IF(F90="","",IF(AH90="Check Data ⚠","Check Data ⚠",VLOOKUP(AL90, 'G-3 Multipliers'!$P$2:$Q$6,2,FALSE))),"")</f>
        <v/>
      </c>
      <c r="AN90" s="516"/>
      <c r="AO90" s="417" t="str">
        <f>IF(AN90="","",IF(VLOOKUP(AN90,'G-3 Multipliers'!$S$3:$T$10,2,FALSE)=0,"Spatial Data Missing ⚠",VLOOKUP(AN90,'G-3 Multipliers'!$S$3:$T$10,2,FALSE)))</f>
        <v/>
      </c>
      <c r="AP90" s="376" t="str">
        <f t="shared" si="21"/>
        <v/>
      </c>
      <c r="AQ90" s="376" t="str">
        <f t="shared" si="22"/>
        <v/>
      </c>
      <c r="AR90" s="119"/>
      <c r="AS90" s="528"/>
      <c r="AT90" s="120"/>
      <c r="AU90" s="120"/>
    </row>
    <row r="91" spans="1:47">
      <c r="A91" s="30" t="str">
        <f>IF(E91="","",IF(ISNA(VLOOKUP($E91,'D-1 Off-Site Habitat Baseline'!$D$1:$O$258,2,FALSE)),"",(VLOOKUP($E91,'D-1 Off-Site Habitat Baseline'!$D$1:$O$258,2,FALSE))))</f>
        <v/>
      </c>
      <c r="B91" s="30" t="str">
        <f>IF(E91="","",IF(ISNA(VLOOKUP($E91,'D-1 Off-Site Habitat Baseline'!$D$1:$O$258,3,FALSE)),"",(VLOOKUP($E91,'D-1 Off-Site Habitat Baseline'!$D$1:$O$258,3,FALSE))))</f>
        <v/>
      </c>
      <c r="C91" s="30" t="str">
        <f>IFERROR(INDEX('G-8 Condition Look up'!$I$4:$I$135,MATCH(S91,'G-8 Condition Look up'!$A$4:$A$135,0)),"")</f>
        <v/>
      </c>
      <c r="E91" s="407" t="str">
        <f>'D-1 Off-Site Habitat Baseline'!AP90</f>
        <v/>
      </c>
      <c r="F91" s="382" t="str">
        <f>IF(E91="","",IF(ISNA(VLOOKUP($E91,'D-1 Off-Site Habitat Baseline'!$D$1:$O$258,4,FALSE)),"",(VLOOKUP($E91,'D-1 Off-Site Habitat Baseline'!$D$1:$O$258,4,FALSE))))</f>
        <v/>
      </c>
      <c r="G91" s="382" t="str">
        <f>IF(E91="","",IF(ISNA(VLOOKUP($E91,'D-1 Off-Site Habitat Baseline'!$D$1:$O$258,5,FALSE)),"",(VLOOKUP($E91,'D-1 Off-Site Habitat Baseline'!$D$1:$O$258,5,FALSE))))</f>
        <v/>
      </c>
      <c r="H91" s="382" t="str">
        <f>IF(E91="","",IF(ISNA(VLOOKUP($E91,'D-1 Off-Site Habitat Baseline'!$D$1:$O$258,6,FALSE)),"",(VLOOKUP($E91,'D-1 Off-Site Habitat Baseline'!$D$1:$O$258,6,FALSE))))</f>
        <v/>
      </c>
      <c r="I91" s="382" t="str">
        <f>IF(E91="","",IF(ISNA(VLOOKUP($E91,'D-1 Off-Site Habitat Baseline'!$D$1:$O$258,7,FALSE)),"",(VLOOKUP($E91,'D-1 Off-Site Habitat Baseline'!$D$1:$O$258,7,FALSE))))</f>
        <v/>
      </c>
      <c r="J91" s="382" t="str">
        <f>IF(E91="","",IF(ISNA(VLOOKUP($E91,'D-1 Off-Site Habitat Baseline'!$D$1:$O$258,8,FALSE)),"",(VLOOKUP($E91,'D-1 Off-Site Habitat Baseline'!$D$1:$O$258,8,FALSE))))</f>
        <v/>
      </c>
      <c r="K91" s="382" t="str">
        <f>IF(E91="","",IF(ISNA(VLOOKUP($E91,'D-1 Off-Site Habitat Baseline'!$D$1:$O$258,9,FALSE)),"",(VLOOKUP($E91,'D-1 Off-Site Habitat Baseline'!$D$1:$O$258,9,FALSE))))</f>
        <v/>
      </c>
      <c r="L91" s="382" t="str">
        <f>IF(E91="","",IF(ISNA(VLOOKUP($E91,'D-1 Off-Site Habitat Baseline'!$D$1:$O$258,11,FALSE)),"",(VLOOKUP($E91,'D-1 Off-Site Habitat Baseline'!$D$1:$O$258,11,FALSE))))</f>
        <v/>
      </c>
      <c r="M91" s="382" t="str">
        <f>IF(E91="","",IF(ISNA(VLOOKUP($E91,'D-1 Off-Site Habitat Baseline'!$D$1:$O$258,12,FALSE)),"",(VLOOKUP($E91,'D-1 Off-Site Habitat Baseline'!$D$1:$O$258,12,FALSE))))</f>
        <v/>
      </c>
      <c r="N91" s="382" t="str">
        <f>IF(E91="","",IF(ISNA(VLOOKUP($E91,'D-1 Off-Site Habitat Baseline'!$D$1:$AA$258,14,FALSE)),"",(VLOOKUP($E91,'D-1 Off-Site Habitat Baseline'!$D$1:$AA$258,14,FALSE))))</f>
        <v/>
      </c>
      <c r="O91" s="386" t="str">
        <f>IF(E91="","",IF(ISNA(VLOOKUP($E91,'D-1 Off-Site Habitat Baseline'!$D$1:$AA$258,13,FALSE)),"",(VLOOKUP($E91,'D-1 Off-Site Habitat Baseline'!$D$1:$AA$258,13,FALSE))))</f>
        <v/>
      </c>
      <c r="P91" s="184" t="str">
        <f>IFERROR(INDEX('G-1 All Habitats'!$AG$3:$AG$17,MATCH(Q91,'G-1 All Habitats'!$AF$3:$AF$17,0)),"")</f>
        <v/>
      </c>
      <c r="Q91" s="185" t="str">
        <f t="shared" si="14"/>
        <v/>
      </c>
      <c r="R91" s="186" t="str">
        <f t="shared" si="14"/>
        <v/>
      </c>
      <c r="S91" s="187" t="str">
        <f>IFERROR(INDEX('G-1 All Habitats'!$B$3:$B$134,MATCH(R91,'G-1 All Habitats'!$A$3:$A$134,0)),"")</f>
        <v/>
      </c>
      <c r="T91" s="370" t="str">
        <f t="shared" si="15"/>
        <v/>
      </c>
      <c r="U91" s="386" t="str">
        <f t="shared" si="16"/>
        <v/>
      </c>
      <c r="V91" s="385" t="str">
        <f t="shared" si="12"/>
        <v/>
      </c>
      <c r="W91" s="382" t="str">
        <f>IF(S91="","",VLOOKUP(S91,'G-1 All Habitats'!$B$2:$M$134,10,FALSE))</f>
        <v/>
      </c>
      <c r="X91" s="382" t="str">
        <f>IFERROR(VLOOKUP(W91,'G-1 All Habitats'!$V$3:$W$7,2,FALSE),"")</f>
        <v/>
      </c>
      <c r="Y91" s="165"/>
      <c r="Z91" s="386" t="str">
        <f>IFERROR(INDEX('G-8 Condition Look up'!$A$3:$H$135,MATCH(S91,'G-8 Condition Look up'!$A$3:$A$135,0),MATCH(Y91,'G-8 Condition Look up'!$A$3:$H$3,0)),"")</f>
        <v/>
      </c>
      <c r="AA91" s="114"/>
      <c r="AB91" s="401" t="str">
        <f>IF(AA91="","",IF(VLOOKUP(AA91,'G-3 Multipliers'!$L$3:$N$6,2,FALSE)=0,"Spatial Data Missing ⚠",VLOOKUP(AA91,'G-3 Multipliers'!$L$3:$N$6,2,FALSE)))</f>
        <v/>
      </c>
      <c r="AC91" s="386" t="str">
        <f>IF(AA91="","",IF(VLOOKUP(AA91,'G-3 Multipliers'!$L$3:$N$6,3,FALSE)=0,"Spatial Data Missing ⚠",VLOOKUP(AA91,'G-3 Multipliers'!$L$3:$N$6,3,FALSE)))</f>
        <v/>
      </c>
      <c r="AD91" s="398" t="str">
        <f t="shared" si="13"/>
        <v/>
      </c>
      <c r="AE91" s="165"/>
      <c r="AF91" s="165"/>
      <c r="AG91" s="382" t="str">
        <f t="shared" si="17"/>
        <v/>
      </c>
      <c r="AH91" s="404" t="str">
        <f t="shared" si="18"/>
        <v/>
      </c>
      <c r="AI91" s="387" t="str">
        <f>IF(AH91="Check Data ⚠","Check Data ⚠",IFERROR(VLOOKUP(AH91,'G-4 Temporal multipliers'!$A$4:$C$36,3,FALSE),""))</f>
        <v/>
      </c>
      <c r="AJ91" s="398" t="str">
        <f>IF(S91="","",VLOOKUP(S91,'G-3 Multipliers'!$A$2:$E$134,4,FALSE))</f>
        <v/>
      </c>
      <c r="AK91" s="382" t="str">
        <f t="shared" si="19"/>
        <v/>
      </c>
      <c r="AL91" s="382" t="str">
        <f t="shared" si="20"/>
        <v/>
      </c>
      <c r="AM91" s="386" t="str">
        <f>IFERROR(IF(F91="","",IF(AH91="Check Data ⚠","Check Data ⚠",VLOOKUP(AL91, 'G-3 Multipliers'!$P$2:$Q$6,2,FALSE))),"")</f>
        <v/>
      </c>
      <c r="AN91" s="516"/>
      <c r="AO91" s="417" t="str">
        <f>IF(AN91="","",IF(VLOOKUP(AN91,'G-3 Multipliers'!$S$3:$T$10,2,FALSE)=0,"Spatial Data Missing ⚠",VLOOKUP(AN91,'G-3 Multipliers'!$S$3:$T$10,2,FALSE)))</f>
        <v/>
      </c>
      <c r="AP91" s="376" t="str">
        <f t="shared" si="21"/>
        <v/>
      </c>
      <c r="AQ91" s="376" t="str">
        <f t="shared" si="22"/>
        <v/>
      </c>
      <c r="AR91" s="119"/>
      <c r="AS91" s="528"/>
      <c r="AT91" s="120"/>
      <c r="AU91" s="120"/>
    </row>
    <row r="92" spans="1:47">
      <c r="A92" s="30" t="str">
        <f>IF(E92="","",IF(ISNA(VLOOKUP($E92,'D-1 Off-Site Habitat Baseline'!$D$1:$O$258,2,FALSE)),"",(VLOOKUP($E92,'D-1 Off-Site Habitat Baseline'!$D$1:$O$258,2,FALSE))))</f>
        <v/>
      </c>
      <c r="B92" s="30" t="str">
        <f>IF(E92="","",IF(ISNA(VLOOKUP($E92,'D-1 Off-Site Habitat Baseline'!$D$1:$O$258,3,FALSE)),"",(VLOOKUP($E92,'D-1 Off-Site Habitat Baseline'!$D$1:$O$258,3,FALSE))))</f>
        <v/>
      </c>
      <c r="C92" s="30" t="str">
        <f>IFERROR(INDEX('G-8 Condition Look up'!$I$4:$I$135,MATCH(S92,'G-8 Condition Look up'!$A$4:$A$135,0)),"")</f>
        <v/>
      </c>
      <c r="E92" s="407" t="str">
        <f>'D-1 Off-Site Habitat Baseline'!AP91</f>
        <v/>
      </c>
      <c r="F92" s="382" t="str">
        <f>IF(E92="","",IF(ISNA(VLOOKUP($E92,'D-1 Off-Site Habitat Baseline'!$D$1:$O$258,4,FALSE)),"",(VLOOKUP($E92,'D-1 Off-Site Habitat Baseline'!$D$1:$O$258,4,FALSE))))</f>
        <v/>
      </c>
      <c r="G92" s="382" t="str">
        <f>IF(E92="","",IF(ISNA(VLOOKUP($E92,'D-1 Off-Site Habitat Baseline'!$D$1:$O$258,5,FALSE)),"",(VLOOKUP($E92,'D-1 Off-Site Habitat Baseline'!$D$1:$O$258,5,FALSE))))</f>
        <v/>
      </c>
      <c r="H92" s="382" t="str">
        <f>IF(E92="","",IF(ISNA(VLOOKUP($E92,'D-1 Off-Site Habitat Baseline'!$D$1:$O$258,6,FALSE)),"",(VLOOKUP($E92,'D-1 Off-Site Habitat Baseline'!$D$1:$O$258,6,FALSE))))</f>
        <v/>
      </c>
      <c r="I92" s="382" t="str">
        <f>IF(E92="","",IF(ISNA(VLOOKUP($E92,'D-1 Off-Site Habitat Baseline'!$D$1:$O$258,7,FALSE)),"",(VLOOKUP($E92,'D-1 Off-Site Habitat Baseline'!$D$1:$O$258,7,FALSE))))</f>
        <v/>
      </c>
      <c r="J92" s="382" t="str">
        <f>IF(E92="","",IF(ISNA(VLOOKUP($E92,'D-1 Off-Site Habitat Baseline'!$D$1:$O$258,8,FALSE)),"",(VLOOKUP($E92,'D-1 Off-Site Habitat Baseline'!$D$1:$O$258,8,FALSE))))</f>
        <v/>
      </c>
      <c r="K92" s="382" t="str">
        <f>IF(E92="","",IF(ISNA(VLOOKUP($E92,'D-1 Off-Site Habitat Baseline'!$D$1:$O$258,9,FALSE)),"",(VLOOKUP($E92,'D-1 Off-Site Habitat Baseline'!$D$1:$O$258,9,FALSE))))</f>
        <v/>
      </c>
      <c r="L92" s="382" t="str">
        <f>IF(E92="","",IF(ISNA(VLOOKUP($E92,'D-1 Off-Site Habitat Baseline'!$D$1:$O$258,11,FALSE)),"",(VLOOKUP($E92,'D-1 Off-Site Habitat Baseline'!$D$1:$O$258,11,FALSE))))</f>
        <v/>
      </c>
      <c r="M92" s="382" t="str">
        <f>IF(E92="","",IF(ISNA(VLOOKUP($E92,'D-1 Off-Site Habitat Baseline'!$D$1:$O$258,12,FALSE)),"",(VLOOKUP($E92,'D-1 Off-Site Habitat Baseline'!$D$1:$O$258,12,FALSE))))</f>
        <v/>
      </c>
      <c r="N92" s="382" t="str">
        <f>IF(E92="","",IF(ISNA(VLOOKUP($E92,'D-1 Off-Site Habitat Baseline'!$D$1:$AA$258,14,FALSE)),"",(VLOOKUP($E92,'D-1 Off-Site Habitat Baseline'!$D$1:$AA$258,14,FALSE))))</f>
        <v/>
      </c>
      <c r="O92" s="386" t="str">
        <f>IF(E92="","",IF(ISNA(VLOOKUP($E92,'D-1 Off-Site Habitat Baseline'!$D$1:$AA$258,13,FALSE)),"",(VLOOKUP($E92,'D-1 Off-Site Habitat Baseline'!$D$1:$AA$258,13,FALSE))))</f>
        <v/>
      </c>
      <c r="P92" s="184" t="str">
        <f>IFERROR(INDEX('G-1 All Habitats'!$AG$3:$AG$17,MATCH(Q92,'G-1 All Habitats'!$AF$3:$AF$17,0)),"")</f>
        <v/>
      </c>
      <c r="Q92" s="185" t="str">
        <f t="shared" si="14"/>
        <v/>
      </c>
      <c r="R92" s="186" t="str">
        <f t="shared" si="14"/>
        <v/>
      </c>
      <c r="S92" s="187" t="str">
        <f>IFERROR(INDEX('G-1 All Habitats'!$B$3:$B$134,MATCH(R92,'G-1 All Habitats'!$A$3:$A$134,0)),"")</f>
        <v/>
      </c>
      <c r="T92" s="370" t="str">
        <f t="shared" si="15"/>
        <v/>
      </c>
      <c r="U92" s="386" t="str">
        <f t="shared" si="16"/>
        <v/>
      </c>
      <c r="V92" s="385" t="str">
        <f t="shared" si="12"/>
        <v/>
      </c>
      <c r="W92" s="382" t="str">
        <f>IF(S92="","",VLOOKUP(S92,'G-1 All Habitats'!$B$2:$M$134,10,FALSE))</f>
        <v/>
      </c>
      <c r="X92" s="382" t="str">
        <f>IFERROR(VLOOKUP(W92,'G-1 All Habitats'!$V$3:$W$7,2,FALSE),"")</f>
        <v/>
      </c>
      <c r="Y92" s="165"/>
      <c r="Z92" s="386" t="str">
        <f>IFERROR(INDEX('G-8 Condition Look up'!$A$3:$H$135,MATCH(S92,'G-8 Condition Look up'!$A$3:$A$135,0),MATCH(Y92,'G-8 Condition Look up'!$A$3:$H$3,0)),"")</f>
        <v/>
      </c>
      <c r="AA92" s="114"/>
      <c r="AB92" s="401" t="str">
        <f>IF(AA92="","",IF(VLOOKUP(AA92,'G-3 Multipliers'!$L$3:$N$6,2,FALSE)=0,"Spatial Data Missing ⚠",VLOOKUP(AA92,'G-3 Multipliers'!$L$3:$N$6,2,FALSE)))</f>
        <v/>
      </c>
      <c r="AC92" s="386" t="str">
        <f>IF(AA92="","",IF(VLOOKUP(AA92,'G-3 Multipliers'!$L$3:$N$6,3,FALSE)=0,"Spatial Data Missing ⚠",VLOOKUP(AA92,'G-3 Multipliers'!$L$3:$N$6,3,FALSE)))</f>
        <v/>
      </c>
      <c r="AD92" s="398" t="str">
        <f t="shared" si="13"/>
        <v/>
      </c>
      <c r="AE92" s="165"/>
      <c r="AF92" s="165"/>
      <c r="AG92" s="382" t="str">
        <f t="shared" si="17"/>
        <v/>
      </c>
      <c r="AH92" s="404" t="str">
        <f t="shared" si="18"/>
        <v/>
      </c>
      <c r="AI92" s="387" t="str">
        <f>IF(AH92="Check Data ⚠","Check Data ⚠",IFERROR(VLOOKUP(AH92,'G-4 Temporal multipliers'!$A$4:$C$36,3,FALSE),""))</f>
        <v/>
      </c>
      <c r="AJ92" s="398" t="str">
        <f>IF(S92="","",VLOOKUP(S92,'G-3 Multipliers'!$A$2:$E$134,4,FALSE))</f>
        <v/>
      </c>
      <c r="AK92" s="382" t="str">
        <f t="shared" si="19"/>
        <v/>
      </c>
      <c r="AL92" s="382" t="str">
        <f t="shared" si="20"/>
        <v/>
      </c>
      <c r="AM92" s="386" t="str">
        <f>IFERROR(IF(F92="","",IF(AH92="Check Data ⚠","Check Data ⚠",VLOOKUP(AL92, 'G-3 Multipliers'!$P$2:$Q$6,2,FALSE))),"")</f>
        <v/>
      </c>
      <c r="AN92" s="516"/>
      <c r="AO92" s="417" t="str">
        <f>IF(AN92="","",IF(VLOOKUP(AN92,'G-3 Multipliers'!$S$3:$T$10,2,FALSE)=0,"Spatial Data Missing ⚠",VLOOKUP(AN92,'G-3 Multipliers'!$S$3:$T$10,2,FALSE)))</f>
        <v/>
      </c>
      <c r="AP92" s="376" t="str">
        <f t="shared" si="21"/>
        <v/>
      </c>
      <c r="AQ92" s="376" t="str">
        <f t="shared" si="22"/>
        <v/>
      </c>
      <c r="AR92" s="119"/>
      <c r="AS92" s="528"/>
      <c r="AT92" s="120"/>
      <c r="AU92" s="120"/>
    </row>
    <row r="93" spans="1:47">
      <c r="A93" s="30" t="str">
        <f>IF(E93="","",IF(ISNA(VLOOKUP($E93,'D-1 Off-Site Habitat Baseline'!$D$1:$O$258,2,FALSE)),"",(VLOOKUP($E93,'D-1 Off-Site Habitat Baseline'!$D$1:$O$258,2,FALSE))))</f>
        <v/>
      </c>
      <c r="B93" s="30" t="str">
        <f>IF(E93="","",IF(ISNA(VLOOKUP($E93,'D-1 Off-Site Habitat Baseline'!$D$1:$O$258,3,FALSE)),"",(VLOOKUP($E93,'D-1 Off-Site Habitat Baseline'!$D$1:$O$258,3,FALSE))))</f>
        <v/>
      </c>
      <c r="C93" s="30" t="str">
        <f>IFERROR(INDEX('G-8 Condition Look up'!$I$4:$I$135,MATCH(S93,'G-8 Condition Look up'!$A$4:$A$135,0)),"")</f>
        <v/>
      </c>
      <c r="E93" s="407" t="str">
        <f>'D-1 Off-Site Habitat Baseline'!AP92</f>
        <v/>
      </c>
      <c r="F93" s="382" t="str">
        <f>IF(E93="","",IF(ISNA(VLOOKUP($E93,'D-1 Off-Site Habitat Baseline'!$D$1:$O$258,4,FALSE)),"",(VLOOKUP($E93,'D-1 Off-Site Habitat Baseline'!$D$1:$O$258,4,FALSE))))</f>
        <v/>
      </c>
      <c r="G93" s="382" t="str">
        <f>IF(E93="","",IF(ISNA(VLOOKUP($E93,'D-1 Off-Site Habitat Baseline'!$D$1:$O$258,5,FALSE)),"",(VLOOKUP($E93,'D-1 Off-Site Habitat Baseline'!$D$1:$O$258,5,FALSE))))</f>
        <v/>
      </c>
      <c r="H93" s="382" t="str">
        <f>IF(E93="","",IF(ISNA(VLOOKUP($E93,'D-1 Off-Site Habitat Baseline'!$D$1:$O$258,6,FALSE)),"",(VLOOKUP($E93,'D-1 Off-Site Habitat Baseline'!$D$1:$O$258,6,FALSE))))</f>
        <v/>
      </c>
      <c r="I93" s="382" t="str">
        <f>IF(E93="","",IF(ISNA(VLOOKUP($E93,'D-1 Off-Site Habitat Baseline'!$D$1:$O$258,7,FALSE)),"",(VLOOKUP($E93,'D-1 Off-Site Habitat Baseline'!$D$1:$O$258,7,FALSE))))</f>
        <v/>
      </c>
      <c r="J93" s="382" t="str">
        <f>IF(E93="","",IF(ISNA(VLOOKUP($E93,'D-1 Off-Site Habitat Baseline'!$D$1:$O$258,8,FALSE)),"",(VLOOKUP($E93,'D-1 Off-Site Habitat Baseline'!$D$1:$O$258,8,FALSE))))</f>
        <v/>
      </c>
      <c r="K93" s="382" t="str">
        <f>IF(E93="","",IF(ISNA(VLOOKUP($E93,'D-1 Off-Site Habitat Baseline'!$D$1:$O$258,9,FALSE)),"",(VLOOKUP($E93,'D-1 Off-Site Habitat Baseline'!$D$1:$O$258,9,FALSE))))</f>
        <v/>
      </c>
      <c r="L93" s="382" t="str">
        <f>IF(E93="","",IF(ISNA(VLOOKUP($E93,'D-1 Off-Site Habitat Baseline'!$D$1:$O$258,11,FALSE)),"",(VLOOKUP($E93,'D-1 Off-Site Habitat Baseline'!$D$1:$O$258,11,FALSE))))</f>
        <v/>
      </c>
      <c r="M93" s="382" t="str">
        <f>IF(E93="","",IF(ISNA(VLOOKUP($E93,'D-1 Off-Site Habitat Baseline'!$D$1:$O$258,12,FALSE)),"",(VLOOKUP($E93,'D-1 Off-Site Habitat Baseline'!$D$1:$O$258,12,FALSE))))</f>
        <v/>
      </c>
      <c r="N93" s="382" t="str">
        <f>IF(E93="","",IF(ISNA(VLOOKUP($E93,'D-1 Off-Site Habitat Baseline'!$D$1:$AA$258,14,FALSE)),"",(VLOOKUP($E93,'D-1 Off-Site Habitat Baseline'!$D$1:$AA$258,14,FALSE))))</f>
        <v/>
      </c>
      <c r="O93" s="386" t="str">
        <f>IF(E93="","",IF(ISNA(VLOOKUP($E93,'D-1 Off-Site Habitat Baseline'!$D$1:$AA$258,13,FALSE)),"",(VLOOKUP($E93,'D-1 Off-Site Habitat Baseline'!$D$1:$AA$258,13,FALSE))))</f>
        <v/>
      </c>
      <c r="P93" s="184" t="str">
        <f>IFERROR(INDEX('G-1 All Habitats'!$AG$3:$AG$17,MATCH(Q93,'G-1 All Habitats'!$AF$3:$AF$17,0)),"")</f>
        <v/>
      </c>
      <c r="Q93" s="185" t="str">
        <f t="shared" si="14"/>
        <v/>
      </c>
      <c r="R93" s="186" t="str">
        <f t="shared" si="14"/>
        <v/>
      </c>
      <c r="S93" s="187" t="str">
        <f>IFERROR(INDEX('G-1 All Habitats'!$B$3:$B$134,MATCH(R93,'G-1 All Habitats'!$A$3:$A$134,0)),"")</f>
        <v/>
      </c>
      <c r="T93" s="370" t="str">
        <f t="shared" si="15"/>
        <v/>
      </c>
      <c r="U93" s="386" t="str">
        <f t="shared" si="16"/>
        <v/>
      </c>
      <c r="V93" s="385" t="str">
        <f t="shared" si="12"/>
        <v/>
      </c>
      <c r="W93" s="382" t="str">
        <f>IF(S93="","",VLOOKUP(S93,'G-1 All Habitats'!$B$2:$M$134,10,FALSE))</f>
        <v/>
      </c>
      <c r="X93" s="382" t="str">
        <f>IFERROR(VLOOKUP(W93,'G-1 All Habitats'!$V$3:$W$7,2,FALSE),"")</f>
        <v/>
      </c>
      <c r="Y93" s="165"/>
      <c r="Z93" s="386" t="str">
        <f>IFERROR(INDEX('G-8 Condition Look up'!$A$3:$H$135,MATCH(S93,'G-8 Condition Look up'!$A$3:$A$135,0),MATCH(Y93,'G-8 Condition Look up'!$A$3:$H$3,0)),"")</f>
        <v/>
      </c>
      <c r="AA93" s="114"/>
      <c r="AB93" s="401" t="str">
        <f>IF(AA93="","",IF(VLOOKUP(AA93,'G-3 Multipliers'!$L$3:$N$6,2,FALSE)=0,"Spatial Data Missing ⚠",VLOOKUP(AA93,'G-3 Multipliers'!$L$3:$N$6,2,FALSE)))</f>
        <v/>
      </c>
      <c r="AC93" s="386" t="str">
        <f>IF(AA93="","",IF(VLOOKUP(AA93,'G-3 Multipliers'!$L$3:$N$6,3,FALSE)=0,"Spatial Data Missing ⚠",VLOOKUP(AA93,'G-3 Multipliers'!$L$3:$N$6,3,FALSE)))</f>
        <v/>
      </c>
      <c r="AD93" s="398" t="str">
        <f t="shared" si="13"/>
        <v/>
      </c>
      <c r="AE93" s="165"/>
      <c r="AF93" s="165"/>
      <c r="AG93" s="382" t="str">
        <f t="shared" si="17"/>
        <v/>
      </c>
      <c r="AH93" s="404" t="str">
        <f t="shared" si="18"/>
        <v/>
      </c>
      <c r="AI93" s="387" t="str">
        <f>IF(AH93="Check Data ⚠","Check Data ⚠",IFERROR(VLOOKUP(AH93,'G-4 Temporal multipliers'!$A$4:$C$36,3,FALSE),""))</f>
        <v/>
      </c>
      <c r="AJ93" s="398" t="str">
        <f>IF(S93="","",VLOOKUP(S93,'G-3 Multipliers'!$A$2:$E$134,4,FALSE))</f>
        <v/>
      </c>
      <c r="AK93" s="382" t="str">
        <f t="shared" si="19"/>
        <v/>
      </c>
      <c r="AL93" s="382" t="str">
        <f t="shared" si="20"/>
        <v/>
      </c>
      <c r="AM93" s="386" t="str">
        <f>IFERROR(IF(F93="","",IF(AH93="Check Data ⚠","Check Data ⚠",VLOOKUP(AL93, 'G-3 Multipliers'!$P$2:$Q$6,2,FALSE))),"")</f>
        <v/>
      </c>
      <c r="AN93" s="516"/>
      <c r="AO93" s="417" t="str">
        <f>IF(AN93="","",IF(VLOOKUP(AN93,'G-3 Multipliers'!$S$3:$T$10,2,FALSE)=0,"Spatial Data Missing ⚠",VLOOKUP(AN93,'G-3 Multipliers'!$S$3:$T$10,2,FALSE)))</f>
        <v/>
      </c>
      <c r="AP93" s="376" t="str">
        <f t="shared" si="21"/>
        <v/>
      </c>
      <c r="AQ93" s="376" t="str">
        <f t="shared" si="22"/>
        <v/>
      </c>
      <c r="AR93" s="119"/>
      <c r="AS93" s="528"/>
      <c r="AT93" s="120"/>
      <c r="AU93" s="120"/>
    </row>
    <row r="94" spans="1:47">
      <c r="A94" s="30" t="str">
        <f>IF(E94="","",IF(ISNA(VLOOKUP($E94,'D-1 Off-Site Habitat Baseline'!$D$1:$O$258,2,FALSE)),"",(VLOOKUP($E94,'D-1 Off-Site Habitat Baseline'!$D$1:$O$258,2,FALSE))))</f>
        <v/>
      </c>
      <c r="B94" s="30" t="str">
        <f>IF(E94="","",IF(ISNA(VLOOKUP($E94,'D-1 Off-Site Habitat Baseline'!$D$1:$O$258,3,FALSE)),"",(VLOOKUP($E94,'D-1 Off-Site Habitat Baseline'!$D$1:$O$258,3,FALSE))))</f>
        <v/>
      </c>
      <c r="C94" s="30" t="str">
        <f>IFERROR(INDEX('G-8 Condition Look up'!$I$4:$I$135,MATCH(S94,'G-8 Condition Look up'!$A$4:$A$135,0)),"")</f>
        <v/>
      </c>
      <c r="E94" s="407" t="str">
        <f>'D-1 Off-Site Habitat Baseline'!AP93</f>
        <v/>
      </c>
      <c r="F94" s="382" t="str">
        <f>IF(E94="","",IF(ISNA(VLOOKUP($E94,'D-1 Off-Site Habitat Baseline'!$D$1:$O$258,4,FALSE)),"",(VLOOKUP($E94,'D-1 Off-Site Habitat Baseline'!$D$1:$O$258,4,FALSE))))</f>
        <v/>
      </c>
      <c r="G94" s="382" t="str">
        <f>IF(E94="","",IF(ISNA(VLOOKUP($E94,'D-1 Off-Site Habitat Baseline'!$D$1:$O$258,5,FALSE)),"",(VLOOKUP($E94,'D-1 Off-Site Habitat Baseline'!$D$1:$O$258,5,FALSE))))</f>
        <v/>
      </c>
      <c r="H94" s="382" t="str">
        <f>IF(E94="","",IF(ISNA(VLOOKUP($E94,'D-1 Off-Site Habitat Baseline'!$D$1:$O$258,6,FALSE)),"",(VLOOKUP($E94,'D-1 Off-Site Habitat Baseline'!$D$1:$O$258,6,FALSE))))</f>
        <v/>
      </c>
      <c r="I94" s="382" t="str">
        <f>IF(E94="","",IF(ISNA(VLOOKUP($E94,'D-1 Off-Site Habitat Baseline'!$D$1:$O$258,7,FALSE)),"",(VLOOKUP($E94,'D-1 Off-Site Habitat Baseline'!$D$1:$O$258,7,FALSE))))</f>
        <v/>
      </c>
      <c r="J94" s="382" t="str">
        <f>IF(E94="","",IF(ISNA(VLOOKUP($E94,'D-1 Off-Site Habitat Baseline'!$D$1:$O$258,8,FALSE)),"",(VLOOKUP($E94,'D-1 Off-Site Habitat Baseline'!$D$1:$O$258,8,FALSE))))</f>
        <v/>
      </c>
      <c r="K94" s="382" t="str">
        <f>IF(E94="","",IF(ISNA(VLOOKUP($E94,'D-1 Off-Site Habitat Baseline'!$D$1:$O$258,9,FALSE)),"",(VLOOKUP($E94,'D-1 Off-Site Habitat Baseline'!$D$1:$O$258,9,FALSE))))</f>
        <v/>
      </c>
      <c r="L94" s="382" t="str">
        <f>IF(E94="","",IF(ISNA(VLOOKUP($E94,'D-1 Off-Site Habitat Baseline'!$D$1:$O$258,11,FALSE)),"",(VLOOKUP($E94,'D-1 Off-Site Habitat Baseline'!$D$1:$O$258,11,FALSE))))</f>
        <v/>
      </c>
      <c r="M94" s="382" t="str">
        <f>IF(E94="","",IF(ISNA(VLOOKUP($E94,'D-1 Off-Site Habitat Baseline'!$D$1:$O$258,12,FALSE)),"",(VLOOKUP($E94,'D-1 Off-Site Habitat Baseline'!$D$1:$O$258,12,FALSE))))</f>
        <v/>
      </c>
      <c r="N94" s="382" t="str">
        <f>IF(E94="","",IF(ISNA(VLOOKUP($E94,'D-1 Off-Site Habitat Baseline'!$D$1:$AA$258,14,FALSE)),"",(VLOOKUP($E94,'D-1 Off-Site Habitat Baseline'!$D$1:$AA$258,14,FALSE))))</f>
        <v/>
      </c>
      <c r="O94" s="386" t="str">
        <f>IF(E94="","",IF(ISNA(VLOOKUP($E94,'D-1 Off-Site Habitat Baseline'!$D$1:$AA$258,13,FALSE)),"",(VLOOKUP($E94,'D-1 Off-Site Habitat Baseline'!$D$1:$AA$258,13,FALSE))))</f>
        <v/>
      </c>
      <c r="P94" s="184" t="str">
        <f>IFERROR(INDEX('G-1 All Habitats'!$AG$3:$AG$17,MATCH(Q94,'G-1 All Habitats'!$AF$3:$AF$17,0)),"")</f>
        <v/>
      </c>
      <c r="Q94" s="185" t="str">
        <f t="shared" si="14"/>
        <v/>
      </c>
      <c r="R94" s="186" t="str">
        <f t="shared" si="14"/>
        <v/>
      </c>
      <c r="S94" s="187" t="str">
        <f>IFERROR(INDEX('G-1 All Habitats'!$B$3:$B$134,MATCH(R94,'G-1 All Habitats'!$A$3:$A$134,0)),"")</f>
        <v/>
      </c>
      <c r="T94" s="370" t="str">
        <f t="shared" si="15"/>
        <v/>
      </c>
      <c r="U94" s="386" t="str">
        <f t="shared" si="16"/>
        <v/>
      </c>
      <c r="V94" s="385" t="str">
        <f t="shared" si="12"/>
        <v/>
      </c>
      <c r="W94" s="382" t="str">
        <f>IF(S94="","",VLOOKUP(S94,'G-1 All Habitats'!$B$2:$M$134,10,FALSE))</f>
        <v/>
      </c>
      <c r="X94" s="382" t="str">
        <f>IFERROR(VLOOKUP(W94,'G-1 All Habitats'!$V$3:$W$7,2,FALSE),"")</f>
        <v/>
      </c>
      <c r="Y94" s="165"/>
      <c r="Z94" s="386" t="str">
        <f>IFERROR(INDEX('G-8 Condition Look up'!$A$3:$H$135,MATCH(S94,'G-8 Condition Look up'!$A$3:$A$135,0),MATCH(Y94,'G-8 Condition Look up'!$A$3:$H$3,0)),"")</f>
        <v/>
      </c>
      <c r="AA94" s="114"/>
      <c r="AB94" s="401" t="str">
        <f>IF(AA94="","",IF(VLOOKUP(AA94,'G-3 Multipliers'!$L$3:$N$6,2,FALSE)=0,"Spatial Data Missing ⚠",VLOOKUP(AA94,'G-3 Multipliers'!$L$3:$N$6,2,FALSE)))</f>
        <v/>
      </c>
      <c r="AC94" s="386" t="str">
        <f>IF(AA94="","",IF(VLOOKUP(AA94,'G-3 Multipliers'!$L$3:$N$6,3,FALSE)=0,"Spatial Data Missing ⚠",VLOOKUP(AA94,'G-3 Multipliers'!$L$3:$N$6,3,FALSE)))</f>
        <v/>
      </c>
      <c r="AD94" s="398" t="str">
        <f t="shared" si="13"/>
        <v/>
      </c>
      <c r="AE94" s="165"/>
      <c r="AF94" s="165"/>
      <c r="AG94" s="382" t="str">
        <f t="shared" si="17"/>
        <v/>
      </c>
      <c r="AH94" s="404" t="str">
        <f t="shared" si="18"/>
        <v/>
      </c>
      <c r="AI94" s="387" t="str">
        <f>IF(AH94="Check Data ⚠","Check Data ⚠",IFERROR(VLOOKUP(AH94,'G-4 Temporal multipliers'!$A$4:$C$36,3,FALSE),""))</f>
        <v/>
      </c>
      <c r="AJ94" s="398" t="str">
        <f>IF(S94="","",VLOOKUP(S94,'G-3 Multipliers'!$A$2:$E$134,4,FALSE))</f>
        <v/>
      </c>
      <c r="AK94" s="382" t="str">
        <f t="shared" si="19"/>
        <v/>
      </c>
      <c r="AL94" s="382" t="str">
        <f t="shared" si="20"/>
        <v/>
      </c>
      <c r="AM94" s="386" t="str">
        <f>IFERROR(IF(F94="","",IF(AH94="Check Data ⚠","Check Data ⚠",VLOOKUP(AL94, 'G-3 Multipliers'!$P$2:$Q$6,2,FALSE))),"")</f>
        <v/>
      </c>
      <c r="AN94" s="516"/>
      <c r="AO94" s="417" t="str">
        <f>IF(AN94="","",IF(VLOOKUP(AN94,'G-3 Multipliers'!$S$3:$T$10,2,FALSE)=0,"Spatial Data Missing ⚠",VLOOKUP(AN94,'G-3 Multipliers'!$S$3:$T$10,2,FALSE)))</f>
        <v/>
      </c>
      <c r="AP94" s="376" t="str">
        <f t="shared" si="21"/>
        <v/>
      </c>
      <c r="AQ94" s="376" t="str">
        <f t="shared" si="22"/>
        <v/>
      </c>
      <c r="AR94" s="119"/>
      <c r="AS94" s="528"/>
      <c r="AT94" s="120"/>
      <c r="AU94" s="120"/>
    </row>
    <row r="95" spans="1:47">
      <c r="A95" s="30" t="str">
        <f>IF(E95="","",IF(ISNA(VLOOKUP($E95,'D-1 Off-Site Habitat Baseline'!$D$1:$O$258,2,FALSE)),"",(VLOOKUP($E95,'D-1 Off-Site Habitat Baseline'!$D$1:$O$258,2,FALSE))))</f>
        <v/>
      </c>
      <c r="B95" s="30" t="str">
        <f>IF(E95="","",IF(ISNA(VLOOKUP($E95,'D-1 Off-Site Habitat Baseline'!$D$1:$O$258,3,FALSE)),"",(VLOOKUP($E95,'D-1 Off-Site Habitat Baseline'!$D$1:$O$258,3,FALSE))))</f>
        <v/>
      </c>
      <c r="C95" s="30" t="str">
        <f>IFERROR(INDEX('G-8 Condition Look up'!$I$4:$I$135,MATCH(S95,'G-8 Condition Look up'!$A$4:$A$135,0)),"")</f>
        <v/>
      </c>
      <c r="E95" s="407" t="str">
        <f>'D-1 Off-Site Habitat Baseline'!AP94</f>
        <v/>
      </c>
      <c r="F95" s="382" t="str">
        <f>IF(E95="","",IF(ISNA(VLOOKUP($E95,'D-1 Off-Site Habitat Baseline'!$D$1:$O$258,4,FALSE)),"",(VLOOKUP($E95,'D-1 Off-Site Habitat Baseline'!$D$1:$O$258,4,FALSE))))</f>
        <v/>
      </c>
      <c r="G95" s="382" t="str">
        <f>IF(E95="","",IF(ISNA(VLOOKUP($E95,'D-1 Off-Site Habitat Baseline'!$D$1:$O$258,5,FALSE)),"",(VLOOKUP($E95,'D-1 Off-Site Habitat Baseline'!$D$1:$O$258,5,FALSE))))</f>
        <v/>
      </c>
      <c r="H95" s="382" t="str">
        <f>IF(E95="","",IF(ISNA(VLOOKUP($E95,'D-1 Off-Site Habitat Baseline'!$D$1:$O$258,6,FALSE)),"",(VLOOKUP($E95,'D-1 Off-Site Habitat Baseline'!$D$1:$O$258,6,FALSE))))</f>
        <v/>
      </c>
      <c r="I95" s="382" t="str">
        <f>IF(E95="","",IF(ISNA(VLOOKUP($E95,'D-1 Off-Site Habitat Baseline'!$D$1:$O$258,7,FALSE)),"",(VLOOKUP($E95,'D-1 Off-Site Habitat Baseline'!$D$1:$O$258,7,FALSE))))</f>
        <v/>
      </c>
      <c r="J95" s="382" t="str">
        <f>IF(E95="","",IF(ISNA(VLOOKUP($E95,'D-1 Off-Site Habitat Baseline'!$D$1:$O$258,8,FALSE)),"",(VLOOKUP($E95,'D-1 Off-Site Habitat Baseline'!$D$1:$O$258,8,FALSE))))</f>
        <v/>
      </c>
      <c r="K95" s="382" t="str">
        <f>IF(E95="","",IF(ISNA(VLOOKUP($E95,'D-1 Off-Site Habitat Baseline'!$D$1:$O$258,9,FALSE)),"",(VLOOKUP($E95,'D-1 Off-Site Habitat Baseline'!$D$1:$O$258,9,FALSE))))</f>
        <v/>
      </c>
      <c r="L95" s="382" t="str">
        <f>IF(E95="","",IF(ISNA(VLOOKUP($E95,'D-1 Off-Site Habitat Baseline'!$D$1:$O$258,11,FALSE)),"",(VLOOKUP($E95,'D-1 Off-Site Habitat Baseline'!$D$1:$O$258,11,FALSE))))</f>
        <v/>
      </c>
      <c r="M95" s="382" t="str">
        <f>IF(E95="","",IF(ISNA(VLOOKUP($E95,'D-1 Off-Site Habitat Baseline'!$D$1:$O$258,12,FALSE)),"",(VLOOKUP($E95,'D-1 Off-Site Habitat Baseline'!$D$1:$O$258,12,FALSE))))</f>
        <v/>
      </c>
      <c r="N95" s="382" t="str">
        <f>IF(E95="","",IF(ISNA(VLOOKUP($E95,'D-1 Off-Site Habitat Baseline'!$D$1:$AA$258,14,FALSE)),"",(VLOOKUP($E95,'D-1 Off-Site Habitat Baseline'!$D$1:$AA$258,14,FALSE))))</f>
        <v/>
      </c>
      <c r="O95" s="386" t="str">
        <f>IF(E95="","",IF(ISNA(VLOOKUP($E95,'D-1 Off-Site Habitat Baseline'!$D$1:$AA$258,13,FALSE)),"",(VLOOKUP($E95,'D-1 Off-Site Habitat Baseline'!$D$1:$AA$258,13,FALSE))))</f>
        <v/>
      </c>
      <c r="P95" s="184" t="str">
        <f>IFERROR(INDEX('G-1 All Habitats'!$AG$3:$AG$17,MATCH(Q95,'G-1 All Habitats'!$AF$3:$AF$17,0)),"")</f>
        <v/>
      </c>
      <c r="Q95" s="185" t="str">
        <f t="shared" si="14"/>
        <v/>
      </c>
      <c r="R95" s="186" t="str">
        <f t="shared" si="14"/>
        <v/>
      </c>
      <c r="S95" s="187" t="str">
        <f>IFERROR(INDEX('G-1 All Habitats'!$B$3:$B$134,MATCH(R95,'G-1 All Habitats'!$A$3:$A$134,0)),"")</f>
        <v/>
      </c>
      <c r="T95" s="370" t="str">
        <f t="shared" si="15"/>
        <v/>
      </c>
      <c r="U95" s="386" t="str">
        <f t="shared" si="16"/>
        <v/>
      </c>
      <c r="V95" s="385" t="str">
        <f t="shared" si="12"/>
        <v/>
      </c>
      <c r="W95" s="382" t="str">
        <f>IF(S95="","",VLOOKUP(S95,'G-1 All Habitats'!$B$2:$M$134,10,FALSE))</f>
        <v/>
      </c>
      <c r="X95" s="382" t="str">
        <f>IFERROR(VLOOKUP(W95,'G-1 All Habitats'!$V$3:$W$7,2,FALSE),"")</f>
        <v/>
      </c>
      <c r="Y95" s="165"/>
      <c r="Z95" s="386" t="str">
        <f>IFERROR(INDEX('G-8 Condition Look up'!$A$3:$H$135,MATCH(S95,'G-8 Condition Look up'!$A$3:$A$135,0),MATCH(Y95,'G-8 Condition Look up'!$A$3:$H$3,0)),"")</f>
        <v/>
      </c>
      <c r="AA95" s="114"/>
      <c r="AB95" s="401" t="str">
        <f>IF(AA95="","",IF(VLOOKUP(AA95,'G-3 Multipliers'!$L$3:$N$6,2,FALSE)=0,"Spatial Data Missing ⚠",VLOOKUP(AA95,'G-3 Multipliers'!$L$3:$N$6,2,FALSE)))</f>
        <v/>
      </c>
      <c r="AC95" s="386" t="str">
        <f>IF(AA95="","",IF(VLOOKUP(AA95,'G-3 Multipliers'!$L$3:$N$6,3,FALSE)=0,"Spatial Data Missing ⚠",VLOOKUP(AA95,'G-3 Multipliers'!$L$3:$N$6,3,FALSE)))</f>
        <v/>
      </c>
      <c r="AD95" s="398" t="str">
        <f t="shared" si="13"/>
        <v/>
      </c>
      <c r="AE95" s="165"/>
      <c r="AF95" s="165"/>
      <c r="AG95" s="382" t="str">
        <f t="shared" si="17"/>
        <v/>
      </c>
      <c r="AH95" s="404" t="str">
        <f t="shared" si="18"/>
        <v/>
      </c>
      <c r="AI95" s="387" t="str">
        <f>IF(AH95="Check Data ⚠","Check Data ⚠",IFERROR(VLOOKUP(AH95,'G-4 Temporal multipliers'!$A$4:$C$36,3,FALSE),""))</f>
        <v/>
      </c>
      <c r="AJ95" s="398" t="str">
        <f>IF(S95="","",VLOOKUP(S95,'G-3 Multipliers'!$A$2:$E$134,4,FALSE))</f>
        <v/>
      </c>
      <c r="AK95" s="382" t="str">
        <f t="shared" si="19"/>
        <v/>
      </c>
      <c r="AL95" s="382" t="str">
        <f t="shared" si="20"/>
        <v/>
      </c>
      <c r="AM95" s="386" t="str">
        <f>IFERROR(IF(F95="","",IF(AH95="Check Data ⚠","Check Data ⚠",VLOOKUP(AL95, 'G-3 Multipliers'!$P$2:$Q$6,2,FALSE))),"")</f>
        <v/>
      </c>
      <c r="AN95" s="516"/>
      <c r="AO95" s="417" t="str">
        <f>IF(AN95="","",IF(VLOOKUP(AN95,'G-3 Multipliers'!$S$3:$T$10,2,FALSE)=0,"Spatial Data Missing ⚠",VLOOKUP(AN95,'G-3 Multipliers'!$S$3:$T$10,2,FALSE)))</f>
        <v/>
      </c>
      <c r="AP95" s="376" t="str">
        <f t="shared" si="21"/>
        <v/>
      </c>
      <c r="AQ95" s="376" t="str">
        <f t="shared" si="22"/>
        <v/>
      </c>
      <c r="AR95" s="119"/>
      <c r="AS95" s="528"/>
      <c r="AT95" s="120"/>
      <c r="AU95" s="120"/>
    </row>
    <row r="96" spans="1:47">
      <c r="A96" s="30" t="str">
        <f>IF(E96="","",IF(ISNA(VLOOKUP($E96,'D-1 Off-Site Habitat Baseline'!$D$1:$O$258,2,FALSE)),"",(VLOOKUP($E96,'D-1 Off-Site Habitat Baseline'!$D$1:$O$258,2,FALSE))))</f>
        <v/>
      </c>
      <c r="B96" s="30" t="str">
        <f>IF(E96="","",IF(ISNA(VLOOKUP($E96,'D-1 Off-Site Habitat Baseline'!$D$1:$O$258,3,FALSE)),"",(VLOOKUP($E96,'D-1 Off-Site Habitat Baseline'!$D$1:$O$258,3,FALSE))))</f>
        <v/>
      </c>
      <c r="C96" s="30" t="str">
        <f>IFERROR(INDEX('G-8 Condition Look up'!$I$4:$I$135,MATCH(S96,'G-8 Condition Look up'!$A$4:$A$135,0)),"")</f>
        <v/>
      </c>
      <c r="E96" s="407" t="str">
        <f>'D-1 Off-Site Habitat Baseline'!AP95</f>
        <v/>
      </c>
      <c r="F96" s="382" t="str">
        <f>IF(E96="","",IF(ISNA(VLOOKUP($E96,'D-1 Off-Site Habitat Baseline'!$D$1:$O$258,4,FALSE)),"",(VLOOKUP($E96,'D-1 Off-Site Habitat Baseline'!$D$1:$O$258,4,FALSE))))</f>
        <v/>
      </c>
      <c r="G96" s="382" t="str">
        <f>IF(E96="","",IF(ISNA(VLOOKUP($E96,'D-1 Off-Site Habitat Baseline'!$D$1:$O$258,5,FALSE)),"",(VLOOKUP($E96,'D-1 Off-Site Habitat Baseline'!$D$1:$O$258,5,FALSE))))</f>
        <v/>
      </c>
      <c r="H96" s="382" t="str">
        <f>IF(E96="","",IF(ISNA(VLOOKUP($E96,'D-1 Off-Site Habitat Baseline'!$D$1:$O$258,6,FALSE)),"",(VLOOKUP($E96,'D-1 Off-Site Habitat Baseline'!$D$1:$O$258,6,FALSE))))</f>
        <v/>
      </c>
      <c r="I96" s="382" t="str">
        <f>IF(E96="","",IF(ISNA(VLOOKUP($E96,'D-1 Off-Site Habitat Baseline'!$D$1:$O$258,7,FALSE)),"",(VLOOKUP($E96,'D-1 Off-Site Habitat Baseline'!$D$1:$O$258,7,FALSE))))</f>
        <v/>
      </c>
      <c r="J96" s="382" t="str">
        <f>IF(E96="","",IF(ISNA(VLOOKUP($E96,'D-1 Off-Site Habitat Baseline'!$D$1:$O$258,8,FALSE)),"",(VLOOKUP($E96,'D-1 Off-Site Habitat Baseline'!$D$1:$O$258,8,FALSE))))</f>
        <v/>
      </c>
      <c r="K96" s="382" t="str">
        <f>IF(E96="","",IF(ISNA(VLOOKUP($E96,'D-1 Off-Site Habitat Baseline'!$D$1:$O$258,9,FALSE)),"",(VLOOKUP($E96,'D-1 Off-Site Habitat Baseline'!$D$1:$O$258,9,FALSE))))</f>
        <v/>
      </c>
      <c r="L96" s="382" t="str">
        <f>IF(E96="","",IF(ISNA(VLOOKUP($E96,'D-1 Off-Site Habitat Baseline'!$D$1:$O$258,11,FALSE)),"",(VLOOKUP($E96,'D-1 Off-Site Habitat Baseline'!$D$1:$O$258,11,FALSE))))</f>
        <v/>
      </c>
      <c r="M96" s="382" t="str">
        <f>IF(E96="","",IF(ISNA(VLOOKUP($E96,'D-1 Off-Site Habitat Baseline'!$D$1:$O$258,12,FALSE)),"",(VLOOKUP($E96,'D-1 Off-Site Habitat Baseline'!$D$1:$O$258,12,FALSE))))</f>
        <v/>
      </c>
      <c r="N96" s="382" t="str">
        <f>IF(E96="","",IF(ISNA(VLOOKUP($E96,'D-1 Off-Site Habitat Baseline'!$D$1:$AA$258,14,FALSE)),"",(VLOOKUP($E96,'D-1 Off-Site Habitat Baseline'!$D$1:$AA$258,14,FALSE))))</f>
        <v/>
      </c>
      <c r="O96" s="386" t="str">
        <f>IF(E96="","",IF(ISNA(VLOOKUP($E96,'D-1 Off-Site Habitat Baseline'!$D$1:$AA$258,13,FALSE)),"",(VLOOKUP($E96,'D-1 Off-Site Habitat Baseline'!$D$1:$AA$258,13,FALSE))))</f>
        <v/>
      </c>
      <c r="P96" s="184" t="str">
        <f>IFERROR(INDEX('G-1 All Habitats'!$AG$3:$AG$17,MATCH(Q96,'G-1 All Habitats'!$AF$3:$AF$17,0)),"")</f>
        <v/>
      </c>
      <c r="Q96" s="185" t="str">
        <f t="shared" si="14"/>
        <v/>
      </c>
      <c r="R96" s="186" t="str">
        <f t="shared" si="14"/>
        <v/>
      </c>
      <c r="S96" s="187" t="str">
        <f>IFERROR(INDEX('G-1 All Habitats'!$B$3:$B$134,MATCH(R96,'G-1 All Habitats'!$A$3:$A$134,0)),"")</f>
        <v/>
      </c>
      <c r="T96" s="370" t="str">
        <f t="shared" si="15"/>
        <v/>
      </c>
      <c r="U96" s="386" t="str">
        <f t="shared" si="16"/>
        <v/>
      </c>
      <c r="V96" s="385" t="str">
        <f t="shared" si="12"/>
        <v/>
      </c>
      <c r="W96" s="382" t="str">
        <f>IF(S96="","",VLOOKUP(S96,'G-1 All Habitats'!$B$2:$M$134,10,FALSE))</f>
        <v/>
      </c>
      <c r="X96" s="382" t="str">
        <f>IFERROR(VLOOKUP(W96,'G-1 All Habitats'!$V$3:$W$7,2,FALSE),"")</f>
        <v/>
      </c>
      <c r="Y96" s="165"/>
      <c r="Z96" s="386" t="str">
        <f>IFERROR(INDEX('G-8 Condition Look up'!$A$3:$H$135,MATCH(S96,'G-8 Condition Look up'!$A$3:$A$135,0),MATCH(Y96,'G-8 Condition Look up'!$A$3:$H$3,0)),"")</f>
        <v/>
      </c>
      <c r="AA96" s="114"/>
      <c r="AB96" s="401" t="str">
        <f>IF(AA96="","",IF(VLOOKUP(AA96,'G-3 Multipliers'!$L$3:$N$6,2,FALSE)=0,"Spatial Data Missing ⚠",VLOOKUP(AA96,'G-3 Multipliers'!$L$3:$N$6,2,FALSE)))</f>
        <v/>
      </c>
      <c r="AC96" s="386" t="str">
        <f>IF(AA96="","",IF(VLOOKUP(AA96,'G-3 Multipliers'!$L$3:$N$6,3,FALSE)=0,"Spatial Data Missing ⚠",VLOOKUP(AA96,'G-3 Multipliers'!$L$3:$N$6,3,FALSE)))</f>
        <v/>
      </c>
      <c r="AD96" s="398" t="str">
        <f t="shared" si="13"/>
        <v/>
      </c>
      <c r="AE96" s="165"/>
      <c r="AF96" s="165"/>
      <c r="AG96" s="382" t="str">
        <f t="shared" si="17"/>
        <v/>
      </c>
      <c r="AH96" s="404" t="str">
        <f t="shared" si="18"/>
        <v/>
      </c>
      <c r="AI96" s="387" t="str">
        <f>IF(AH96="Check Data ⚠","Check Data ⚠",IFERROR(VLOOKUP(AH96,'G-4 Temporal multipliers'!$A$4:$C$36,3,FALSE),""))</f>
        <v/>
      </c>
      <c r="AJ96" s="398" t="str">
        <f>IF(S96="","",VLOOKUP(S96,'G-3 Multipliers'!$A$2:$E$134,4,FALSE))</f>
        <v/>
      </c>
      <c r="AK96" s="382" t="str">
        <f t="shared" si="19"/>
        <v/>
      </c>
      <c r="AL96" s="382" t="str">
        <f t="shared" si="20"/>
        <v/>
      </c>
      <c r="AM96" s="386" t="str">
        <f>IFERROR(IF(F96="","",IF(AH96="Check Data ⚠","Check Data ⚠",VLOOKUP(AL96, 'G-3 Multipliers'!$P$2:$Q$6,2,FALSE))),"")</f>
        <v/>
      </c>
      <c r="AN96" s="516"/>
      <c r="AO96" s="417" t="str">
        <f>IF(AN96="","",IF(VLOOKUP(AN96,'G-3 Multipliers'!$S$3:$T$10,2,FALSE)=0,"Spatial Data Missing ⚠",VLOOKUP(AN96,'G-3 Multipliers'!$S$3:$T$10,2,FALSE)))</f>
        <v/>
      </c>
      <c r="AP96" s="376" t="str">
        <f t="shared" si="21"/>
        <v/>
      </c>
      <c r="AQ96" s="376" t="str">
        <f t="shared" si="22"/>
        <v/>
      </c>
      <c r="AR96" s="119"/>
      <c r="AS96" s="528"/>
      <c r="AT96" s="120"/>
      <c r="AU96" s="120"/>
    </row>
    <row r="97" spans="1:47">
      <c r="A97" s="30" t="str">
        <f>IF(E97="","",IF(ISNA(VLOOKUP($E97,'D-1 Off-Site Habitat Baseline'!$D$1:$O$258,2,FALSE)),"",(VLOOKUP($E97,'D-1 Off-Site Habitat Baseline'!$D$1:$O$258,2,FALSE))))</f>
        <v/>
      </c>
      <c r="B97" s="30" t="str">
        <f>IF(E97="","",IF(ISNA(VLOOKUP($E97,'D-1 Off-Site Habitat Baseline'!$D$1:$O$258,3,FALSE)),"",(VLOOKUP($E97,'D-1 Off-Site Habitat Baseline'!$D$1:$O$258,3,FALSE))))</f>
        <v/>
      </c>
      <c r="C97" s="30" t="str">
        <f>IFERROR(INDEX('G-8 Condition Look up'!$I$4:$I$135,MATCH(S97,'G-8 Condition Look up'!$A$4:$A$135,0)),"")</f>
        <v/>
      </c>
      <c r="E97" s="407" t="str">
        <f>'D-1 Off-Site Habitat Baseline'!AP96</f>
        <v/>
      </c>
      <c r="F97" s="382" t="str">
        <f>IF(E97="","",IF(ISNA(VLOOKUP($E97,'D-1 Off-Site Habitat Baseline'!$D$1:$O$258,4,FALSE)),"",(VLOOKUP($E97,'D-1 Off-Site Habitat Baseline'!$D$1:$O$258,4,FALSE))))</f>
        <v/>
      </c>
      <c r="G97" s="382" t="str">
        <f>IF(E97="","",IF(ISNA(VLOOKUP($E97,'D-1 Off-Site Habitat Baseline'!$D$1:$O$258,5,FALSE)),"",(VLOOKUP($E97,'D-1 Off-Site Habitat Baseline'!$D$1:$O$258,5,FALSE))))</f>
        <v/>
      </c>
      <c r="H97" s="382" t="str">
        <f>IF(E97="","",IF(ISNA(VLOOKUP($E97,'D-1 Off-Site Habitat Baseline'!$D$1:$O$258,6,FALSE)),"",(VLOOKUP($E97,'D-1 Off-Site Habitat Baseline'!$D$1:$O$258,6,FALSE))))</f>
        <v/>
      </c>
      <c r="I97" s="382" t="str">
        <f>IF(E97="","",IF(ISNA(VLOOKUP($E97,'D-1 Off-Site Habitat Baseline'!$D$1:$O$258,7,FALSE)),"",(VLOOKUP($E97,'D-1 Off-Site Habitat Baseline'!$D$1:$O$258,7,FALSE))))</f>
        <v/>
      </c>
      <c r="J97" s="382" t="str">
        <f>IF(E97="","",IF(ISNA(VLOOKUP($E97,'D-1 Off-Site Habitat Baseline'!$D$1:$O$258,8,FALSE)),"",(VLOOKUP($E97,'D-1 Off-Site Habitat Baseline'!$D$1:$O$258,8,FALSE))))</f>
        <v/>
      </c>
      <c r="K97" s="382" t="str">
        <f>IF(E97="","",IF(ISNA(VLOOKUP($E97,'D-1 Off-Site Habitat Baseline'!$D$1:$O$258,9,FALSE)),"",(VLOOKUP($E97,'D-1 Off-Site Habitat Baseline'!$D$1:$O$258,9,FALSE))))</f>
        <v/>
      </c>
      <c r="L97" s="382" t="str">
        <f>IF(E97="","",IF(ISNA(VLOOKUP($E97,'D-1 Off-Site Habitat Baseline'!$D$1:$O$258,11,FALSE)),"",(VLOOKUP($E97,'D-1 Off-Site Habitat Baseline'!$D$1:$O$258,11,FALSE))))</f>
        <v/>
      </c>
      <c r="M97" s="382" t="str">
        <f>IF(E97="","",IF(ISNA(VLOOKUP($E97,'D-1 Off-Site Habitat Baseline'!$D$1:$O$258,12,FALSE)),"",(VLOOKUP($E97,'D-1 Off-Site Habitat Baseline'!$D$1:$O$258,12,FALSE))))</f>
        <v/>
      </c>
      <c r="N97" s="382" t="str">
        <f>IF(E97="","",IF(ISNA(VLOOKUP($E97,'D-1 Off-Site Habitat Baseline'!$D$1:$AA$258,14,FALSE)),"",(VLOOKUP($E97,'D-1 Off-Site Habitat Baseline'!$D$1:$AA$258,14,FALSE))))</f>
        <v/>
      </c>
      <c r="O97" s="386" t="str">
        <f>IF(E97="","",IF(ISNA(VLOOKUP($E97,'D-1 Off-Site Habitat Baseline'!$D$1:$AA$258,13,FALSE)),"",(VLOOKUP($E97,'D-1 Off-Site Habitat Baseline'!$D$1:$AA$258,13,FALSE))))</f>
        <v/>
      </c>
      <c r="P97" s="184" t="str">
        <f>IFERROR(INDEX('G-1 All Habitats'!$AG$3:$AG$17,MATCH(Q97,'G-1 All Habitats'!$AF$3:$AF$17,0)),"")</f>
        <v/>
      </c>
      <c r="Q97" s="185" t="str">
        <f t="shared" si="14"/>
        <v/>
      </c>
      <c r="R97" s="186" t="str">
        <f t="shared" si="14"/>
        <v/>
      </c>
      <c r="S97" s="187" t="str">
        <f>IFERROR(INDEX('G-1 All Habitats'!$B$3:$B$134,MATCH(R97,'G-1 All Habitats'!$A$3:$A$134,0)),"")</f>
        <v/>
      </c>
      <c r="T97" s="370" t="str">
        <f t="shared" si="15"/>
        <v/>
      </c>
      <c r="U97" s="386" t="str">
        <f t="shared" si="16"/>
        <v/>
      </c>
      <c r="V97" s="385" t="str">
        <f t="shared" si="12"/>
        <v/>
      </c>
      <c r="W97" s="382" t="str">
        <f>IF(S97="","",VLOOKUP(S97,'G-1 All Habitats'!$B$2:$M$134,10,FALSE))</f>
        <v/>
      </c>
      <c r="X97" s="382" t="str">
        <f>IFERROR(VLOOKUP(W97,'G-1 All Habitats'!$V$3:$W$7,2,FALSE),"")</f>
        <v/>
      </c>
      <c r="Y97" s="165"/>
      <c r="Z97" s="386" t="str">
        <f>IFERROR(INDEX('G-8 Condition Look up'!$A$3:$H$135,MATCH(S97,'G-8 Condition Look up'!$A$3:$A$135,0),MATCH(Y97,'G-8 Condition Look up'!$A$3:$H$3,0)),"")</f>
        <v/>
      </c>
      <c r="AA97" s="114"/>
      <c r="AB97" s="401" t="str">
        <f>IF(AA97="","",IF(VLOOKUP(AA97,'G-3 Multipliers'!$L$3:$N$6,2,FALSE)=0,"Spatial Data Missing ⚠",VLOOKUP(AA97,'G-3 Multipliers'!$L$3:$N$6,2,FALSE)))</f>
        <v/>
      </c>
      <c r="AC97" s="386" t="str">
        <f>IF(AA97="","",IF(VLOOKUP(AA97,'G-3 Multipliers'!$L$3:$N$6,3,FALSE)=0,"Spatial Data Missing ⚠",VLOOKUP(AA97,'G-3 Multipliers'!$L$3:$N$6,3,FALSE)))</f>
        <v/>
      </c>
      <c r="AD97" s="398" t="str">
        <f t="shared" si="13"/>
        <v/>
      </c>
      <c r="AE97" s="165"/>
      <c r="AF97" s="165"/>
      <c r="AG97" s="382" t="str">
        <f t="shared" si="17"/>
        <v/>
      </c>
      <c r="AH97" s="404" t="str">
        <f t="shared" si="18"/>
        <v/>
      </c>
      <c r="AI97" s="387" t="str">
        <f>IF(AH97="Check Data ⚠","Check Data ⚠",IFERROR(VLOOKUP(AH97,'G-4 Temporal multipliers'!$A$4:$C$36,3,FALSE),""))</f>
        <v/>
      </c>
      <c r="AJ97" s="398" t="str">
        <f>IF(S97="","",VLOOKUP(S97,'G-3 Multipliers'!$A$2:$E$134,4,FALSE))</f>
        <v/>
      </c>
      <c r="AK97" s="382" t="str">
        <f t="shared" si="19"/>
        <v/>
      </c>
      <c r="AL97" s="382" t="str">
        <f t="shared" si="20"/>
        <v/>
      </c>
      <c r="AM97" s="386" t="str">
        <f>IFERROR(IF(F97="","",IF(AH97="Check Data ⚠","Check Data ⚠",VLOOKUP(AL97, 'G-3 Multipliers'!$P$2:$Q$6,2,FALSE))),"")</f>
        <v/>
      </c>
      <c r="AN97" s="516"/>
      <c r="AO97" s="417" t="str">
        <f>IF(AN97="","",IF(VLOOKUP(AN97,'G-3 Multipliers'!$S$3:$T$10,2,FALSE)=0,"Spatial Data Missing ⚠",VLOOKUP(AN97,'G-3 Multipliers'!$S$3:$T$10,2,FALSE)))</f>
        <v/>
      </c>
      <c r="AP97" s="376" t="str">
        <f t="shared" si="21"/>
        <v/>
      </c>
      <c r="AQ97" s="376" t="str">
        <f t="shared" si="22"/>
        <v/>
      </c>
      <c r="AR97" s="119"/>
      <c r="AS97" s="528"/>
      <c r="AT97" s="120"/>
      <c r="AU97" s="120"/>
    </row>
    <row r="98" spans="1:47">
      <c r="A98" s="30" t="str">
        <f>IF(E98="","",IF(ISNA(VLOOKUP($E98,'D-1 Off-Site Habitat Baseline'!$D$1:$O$258,2,FALSE)),"",(VLOOKUP($E98,'D-1 Off-Site Habitat Baseline'!$D$1:$O$258,2,FALSE))))</f>
        <v/>
      </c>
      <c r="B98" s="30" t="str">
        <f>IF(E98="","",IF(ISNA(VLOOKUP($E98,'D-1 Off-Site Habitat Baseline'!$D$1:$O$258,3,FALSE)),"",(VLOOKUP($E98,'D-1 Off-Site Habitat Baseline'!$D$1:$O$258,3,FALSE))))</f>
        <v/>
      </c>
      <c r="C98" s="30" t="str">
        <f>IFERROR(INDEX('G-8 Condition Look up'!$I$4:$I$135,MATCH(S98,'G-8 Condition Look up'!$A$4:$A$135,0)),"")</f>
        <v/>
      </c>
      <c r="E98" s="407" t="str">
        <f>'D-1 Off-Site Habitat Baseline'!AP97</f>
        <v/>
      </c>
      <c r="F98" s="382" t="str">
        <f>IF(E98="","",IF(ISNA(VLOOKUP($E98,'D-1 Off-Site Habitat Baseline'!$D$1:$O$258,4,FALSE)),"",(VLOOKUP($E98,'D-1 Off-Site Habitat Baseline'!$D$1:$O$258,4,FALSE))))</f>
        <v/>
      </c>
      <c r="G98" s="382" t="str">
        <f>IF(E98="","",IF(ISNA(VLOOKUP($E98,'D-1 Off-Site Habitat Baseline'!$D$1:$O$258,5,FALSE)),"",(VLOOKUP($E98,'D-1 Off-Site Habitat Baseline'!$D$1:$O$258,5,FALSE))))</f>
        <v/>
      </c>
      <c r="H98" s="382" t="str">
        <f>IF(E98="","",IF(ISNA(VLOOKUP($E98,'D-1 Off-Site Habitat Baseline'!$D$1:$O$258,6,FALSE)),"",(VLOOKUP($E98,'D-1 Off-Site Habitat Baseline'!$D$1:$O$258,6,FALSE))))</f>
        <v/>
      </c>
      <c r="I98" s="382" t="str">
        <f>IF(E98="","",IF(ISNA(VLOOKUP($E98,'D-1 Off-Site Habitat Baseline'!$D$1:$O$258,7,FALSE)),"",(VLOOKUP($E98,'D-1 Off-Site Habitat Baseline'!$D$1:$O$258,7,FALSE))))</f>
        <v/>
      </c>
      <c r="J98" s="382" t="str">
        <f>IF(E98="","",IF(ISNA(VLOOKUP($E98,'D-1 Off-Site Habitat Baseline'!$D$1:$O$258,8,FALSE)),"",(VLOOKUP($E98,'D-1 Off-Site Habitat Baseline'!$D$1:$O$258,8,FALSE))))</f>
        <v/>
      </c>
      <c r="K98" s="382" t="str">
        <f>IF(E98="","",IF(ISNA(VLOOKUP($E98,'D-1 Off-Site Habitat Baseline'!$D$1:$O$258,9,FALSE)),"",(VLOOKUP($E98,'D-1 Off-Site Habitat Baseline'!$D$1:$O$258,9,FALSE))))</f>
        <v/>
      </c>
      <c r="L98" s="382" t="str">
        <f>IF(E98="","",IF(ISNA(VLOOKUP($E98,'D-1 Off-Site Habitat Baseline'!$D$1:$O$258,11,FALSE)),"",(VLOOKUP($E98,'D-1 Off-Site Habitat Baseline'!$D$1:$O$258,11,FALSE))))</f>
        <v/>
      </c>
      <c r="M98" s="382" t="str">
        <f>IF(E98="","",IF(ISNA(VLOOKUP($E98,'D-1 Off-Site Habitat Baseline'!$D$1:$O$258,12,FALSE)),"",(VLOOKUP($E98,'D-1 Off-Site Habitat Baseline'!$D$1:$O$258,12,FALSE))))</f>
        <v/>
      </c>
      <c r="N98" s="382" t="str">
        <f>IF(E98="","",IF(ISNA(VLOOKUP($E98,'D-1 Off-Site Habitat Baseline'!$D$1:$AA$258,14,FALSE)),"",(VLOOKUP($E98,'D-1 Off-Site Habitat Baseline'!$D$1:$AA$258,14,FALSE))))</f>
        <v/>
      </c>
      <c r="O98" s="386" t="str">
        <f>IF(E98="","",IF(ISNA(VLOOKUP($E98,'D-1 Off-Site Habitat Baseline'!$D$1:$AA$258,13,FALSE)),"",(VLOOKUP($E98,'D-1 Off-Site Habitat Baseline'!$D$1:$AA$258,13,FALSE))))</f>
        <v/>
      </c>
      <c r="P98" s="184" t="str">
        <f>IFERROR(INDEX('G-1 All Habitats'!$AG$3:$AG$17,MATCH(Q98,'G-1 All Habitats'!$AF$3:$AF$17,0)),"")</f>
        <v/>
      </c>
      <c r="Q98" s="185" t="str">
        <f t="shared" si="14"/>
        <v/>
      </c>
      <c r="R98" s="186" t="str">
        <f t="shared" si="14"/>
        <v/>
      </c>
      <c r="S98" s="187" t="str">
        <f>IFERROR(INDEX('G-1 All Habitats'!$B$3:$B$134,MATCH(R98,'G-1 All Habitats'!$A$3:$A$134,0)),"")</f>
        <v/>
      </c>
      <c r="T98" s="370" t="str">
        <f t="shared" si="15"/>
        <v/>
      </c>
      <c r="U98" s="386" t="str">
        <f t="shared" si="16"/>
        <v/>
      </c>
      <c r="V98" s="385" t="str">
        <f t="shared" si="12"/>
        <v/>
      </c>
      <c r="W98" s="382" t="str">
        <f>IF(S98="","",VLOOKUP(S98,'G-1 All Habitats'!$B$2:$M$134,10,FALSE))</f>
        <v/>
      </c>
      <c r="X98" s="382" t="str">
        <f>IFERROR(VLOOKUP(W98,'G-1 All Habitats'!$V$3:$W$7,2,FALSE),"")</f>
        <v/>
      </c>
      <c r="Y98" s="165"/>
      <c r="Z98" s="386" t="str">
        <f>IFERROR(INDEX('G-8 Condition Look up'!$A$3:$H$135,MATCH(S98,'G-8 Condition Look up'!$A$3:$A$135,0),MATCH(Y98,'G-8 Condition Look up'!$A$3:$H$3,0)),"")</f>
        <v/>
      </c>
      <c r="AA98" s="114"/>
      <c r="AB98" s="401" t="str">
        <f>IF(AA98="","",IF(VLOOKUP(AA98,'G-3 Multipliers'!$L$3:$N$6,2,FALSE)=0,"Spatial Data Missing ⚠",VLOOKUP(AA98,'G-3 Multipliers'!$L$3:$N$6,2,FALSE)))</f>
        <v/>
      </c>
      <c r="AC98" s="386" t="str">
        <f>IF(AA98="","",IF(VLOOKUP(AA98,'G-3 Multipliers'!$L$3:$N$6,3,FALSE)=0,"Spatial Data Missing ⚠",VLOOKUP(AA98,'G-3 Multipliers'!$L$3:$N$6,3,FALSE)))</f>
        <v/>
      </c>
      <c r="AD98" s="398" t="str">
        <f t="shared" si="13"/>
        <v/>
      </c>
      <c r="AE98" s="165"/>
      <c r="AF98" s="165"/>
      <c r="AG98" s="382" t="str">
        <f t="shared" si="17"/>
        <v/>
      </c>
      <c r="AH98" s="404" t="str">
        <f t="shared" si="18"/>
        <v/>
      </c>
      <c r="AI98" s="387" t="str">
        <f>IF(AH98="Check Data ⚠","Check Data ⚠",IFERROR(VLOOKUP(AH98,'G-4 Temporal multipliers'!$A$4:$C$36,3,FALSE),""))</f>
        <v/>
      </c>
      <c r="AJ98" s="398" t="str">
        <f>IF(S98="","",VLOOKUP(S98,'G-3 Multipliers'!$A$2:$E$134,4,FALSE))</f>
        <v/>
      </c>
      <c r="AK98" s="382" t="str">
        <f t="shared" si="19"/>
        <v/>
      </c>
      <c r="AL98" s="382" t="str">
        <f t="shared" si="20"/>
        <v/>
      </c>
      <c r="AM98" s="386" t="str">
        <f>IFERROR(IF(F98="","",IF(AH98="Check Data ⚠","Check Data ⚠",VLOOKUP(AL98, 'G-3 Multipliers'!$P$2:$Q$6,2,FALSE))),"")</f>
        <v/>
      </c>
      <c r="AN98" s="516"/>
      <c r="AO98" s="417" t="str">
        <f>IF(AN98="","",IF(VLOOKUP(AN98,'G-3 Multipliers'!$S$3:$T$10,2,FALSE)=0,"Spatial Data Missing ⚠",VLOOKUP(AN98,'G-3 Multipliers'!$S$3:$T$10,2,FALSE)))</f>
        <v/>
      </c>
      <c r="AP98" s="376" t="str">
        <f t="shared" si="21"/>
        <v/>
      </c>
      <c r="AQ98" s="376" t="str">
        <f t="shared" si="22"/>
        <v/>
      </c>
      <c r="AR98" s="119"/>
      <c r="AS98" s="528"/>
      <c r="AT98" s="120"/>
      <c r="AU98" s="120"/>
    </row>
    <row r="99" spans="1:47">
      <c r="A99" s="30" t="str">
        <f>IF(E99="","",IF(ISNA(VLOOKUP($E99,'D-1 Off-Site Habitat Baseline'!$D$1:$O$258,2,FALSE)),"",(VLOOKUP($E99,'D-1 Off-Site Habitat Baseline'!$D$1:$O$258,2,FALSE))))</f>
        <v/>
      </c>
      <c r="B99" s="30" t="str">
        <f>IF(E99="","",IF(ISNA(VLOOKUP($E99,'D-1 Off-Site Habitat Baseline'!$D$1:$O$258,3,FALSE)),"",(VLOOKUP($E99,'D-1 Off-Site Habitat Baseline'!$D$1:$O$258,3,FALSE))))</f>
        <v/>
      </c>
      <c r="C99" s="30" t="str">
        <f>IFERROR(INDEX('G-8 Condition Look up'!$I$4:$I$135,MATCH(S99,'G-8 Condition Look up'!$A$4:$A$135,0)),"")</f>
        <v/>
      </c>
      <c r="E99" s="407" t="str">
        <f>'D-1 Off-Site Habitat Baseline'!AP98</f>
        <v/>
      </c>
      <c r="F99" s="382" t="str">
        <f>IF(E99="","",IF(ISNA(VLOOKUP($E99,'D-1 Off-Site Habitat Baseline'!$D$1:$O$258,4,FALSE)),"",(VLOOKUP($E99,'D-1 Off-Site Habitat Baseline'!$D$1:$O$258,4,FALSE))))</f>
        <v/>
      </c>
      <c r="G99" s="382" t="str">
        <f>IF(E99="","",IF(ISNA(VLOOKUP($E99,'D-1 Off-Site Habitat Baseline'!$D$1:$O$258,5,FALSE)),"",(VLOOKUP($E99,'D-1 Off-Site Habitat Baseline'!$D$1:$O$258,5,FALSE))))</f>
        <v/>
      </c>
      <c r="H99" s="382" t="str">
        <f>IF(E99="","",IF(ISNA(VLOOKUP($E99,'D-1 Off-Site Habitat Baseline'!$D$1:$O$258,6,FALSE)),"",(VLOOKUP($E99,'D-1 Off-Site Habitat Baseline'!$D$1:$O$258,6,FALSE))))</f>
        <v/>
      </c>
      <c r="I99" s="382" t="str">
        <f>IF(E99="","",IF(ISNA(VLOOKUP($E99,'D-1 Off-Site Habitat Baseline'!$D$1:$O$258,7,FALSE)),"",(VLOOKUP($E99,'D-1 Off-Site Habitat Baseline'!$D$1:$O$258,7,FALSE))))</f>
        <v/>
      </c>
      <c r="J99" s="382" t="str">
        <f>IF(E99="","",IF(ISNA(VLOOKUP($E99,'D-1 Off-Site Habitat Baseline'!$D$1:$O$258,8,FALSE)),"",(VLOOKUP($E99,'D-1 Off-Site Habitat Baseline'!$D$1:$O$258,8,FALSE))))</f>
        <v/>
      </c>
      <c r="K99" s="382" t="str">
        <f>IF(E99="","",IF(ISNA(VLOOKUP($E99,'D-1 Off-Site Habitat Baseline'!$D$1:$O$258,9,FALSE)),"",(VLOOKUP($E99,'D-1 Off-Site Habitat Baseline'!$D$1:$O$258,9,FALSE))))</f>
        <v/>
      </c>
      <c r="L99" s="382" t="str">
        <f>IF(E99="","",IF(ISNA(VLOOKUP($E99,'D-1 Off-Site Habitat Baseline'!$D$1:$O$258,11,FALSE)),"",(VLOOKUP($E99,'D-1 Off-Site Habitat Baseline'!$D$1:$O$258,11,FALSE))))</f>
        <v/>
      </c>
      <c r="M99" s="382" t="str">
        <f>IF(E99="","",IF(ISNA(VLOOKUP($E99,'D-1 Off-Site Habitat Baseline'!$D$1:$O$258,12,FALSE)),"",(VLOOKUP($E99,'D-1 Off-Site Habitat Baseline'!$D$1:$O$258,12,FALSE))))</f>
        <v/>
      </c>
      <c r="N99" s="382" t="str">
        <f>IF(E99="","",IF(ISNA(VLOOKUP($E99,'D-1 Off-Site Habitat Baseline'!$D$1:$AA$258,14,FALSE)),"",(VLOOKUP($E99,'D-1 Off-Site Habitat Baseline'!$D$1:$AA$258,14,FALSE))))</f>
        <v/>
      </c>
      <c r="O99" s="386" t="str">
        <f>IF(E99="","",IF(ISNA(VLOOKUP($E99,'D-1 Off-Site Habitat Baseline'!$D$1:$AA$258,13,FALSE)),"",(VLOOKUP($E99,'D-1 Off-Site Habitat Baseline'!$D$1:$AA$258,13,FALSE))))</f>
        <v/>
      </c>
      <c r="P99" s="184" t="str">
        <f>IFERROR(INDEX('G-1 All Habitats'!$AG$3:$AG$17,MATCH(Q99,'G-1 All Habitats'!$AF$3:$AF$17,0)),"")</f>
        <v/>
      </c>
      <c r="Q99" s="185" t="str">
        <f t="shared" si="14"/>
        <v/>
      </c>
      <c r="R99" s="186" t="str">
        <f t="shared" si="14"/>
        <v/>
      </c>
      <c r="S99" s="187" t="str">
        <f>IFERROR(INDEX('G-1 All Habitats'!$B$3:$B$134,MATCH(R99,'G-1 All Habitats'!$A$3:$A$134,0)),"")</f>
        <v/>
      </c>
      <c r="T99" s="370" t="str">
        <f t="shared" si="15"/>
        <v/>
      </c>
      <c r="U99" s="386" t="str">
        <f t="shared" si="16"/>
        <v/>
      </c>
      <c r="V99" s="385" t="str">
        <f t="shared" si="12"/>
        <v/>
      </c>
      <c r="W99" s="382" t="str">
        <f>IF(S99="","",VLOOKUP(S99,'G-1 All Habitats'!$B$2:$M$134,10,FALSE))</f>
        <v/>
      </c>
      <c r="X99" s="382" t="str">
        <f>IFERROR(VLOOKUP(W99,'G-1 All Habitats'!$V$3:$W$7,2,FALSE),"")</f>
        <v/>
      </c>
      <c r="Y99" s="165"/>
      <c r="Z99" s="386" t="str">
        <f>IFERROR(INDEX('G-8 Condition Look up'!$A$3:$H$135,MATCH(S99,'G-8 Condition Look up'!$A$3:$A$135,0),MATCH(Y99,'G-8 Condition Look up'!$A$3:$H$3,0)),"")</f>
        <v/>
      </c>
      <c r="AA99" s="114"/>
      <c r="AB99" s="401" t="str">
        <f>IF(AA99="","",IF(VLOOKUP(AA99,'G-3 Multipliers'!$L$3:$N$6,2,FALSE)=0,"Spatial Data Missing ⚠",VLOOKUP(AA99,'G-3 Multipliers'!$L$3:$N$6,2,FALSE)))</f>
        <v/>
      </c>
      <c r="AC99" s="386" t="str">
        <f>IF(AA99="","",IF(VLOOKUP(AA99,'G-3 Multipliers'!$L$3:$N$6,3,FALSE)=0,"Spatial Data Missing ⚠",VLOOKUP(AA99,'G-3 Multipliers'!$L$3:$N$6,3,FALSE)))</f>
        <v/>
      </c>
      <c r="AD99" s="398" t="str">
        <f t="shared" si="13"/>
        <v/>
      </c>
      <c r="AE99" s="165"/>
      <c r="AF99" s="165"/>
      <c r="AG99" s="382" t="str">
        <f t="shared" si="17"/>
        <v/>
      </c>
      <c r="AH99" s="404" t="str">
        <f t="shared" si="18"/>
        <v/>
      </c>
      <c r="AI99" s="387" t="str">
        <f>IF(AH99="Check Data ⚠","Check Data ⚠",IFERROR(VLOOKUP(AH99,'G-4 Temporal multipliers'!$A$4:$C$36,3,FALSE),""))</f>
        <v/>
      </c>
      <c r="AJ99" s="398" t="str">
        <f>IF(S99="","",VLOOKUP(S99,'G-3 Multipliers'!$A$2:$E$134,4,FALSE))</f>
        <v/>
      </c>
      <c r="AK99" s="382" t="str">
        <f t="shared" si="19"/>
        <v/>
      </c>
      <c r="AL99" s="382" t="str">
        <f t="shared" si="20"/>
        <v/>
      </c>
      <c r="AM99" s="386" t="str">
        <f>IFERROR(IF(F99="","",IF(AH99="Check Data ⚠","Check Data ⚠",VLOOKUP(AL99, 'G-3 Multipliers'!$P$2:$Q$6,2,FALSE))),"")</f>
        <v/>
      </c>
      <c r="AN99" s="516"/>
      <c r="AO99" s="417" t="str">
        <f>IF(AN99="","",IF(VLOOKUP(AN99,'G-3 Multipliers'!$S$3:$T$10,2,FALSE)=0,"Spatial Data Missing ⚠",VLOOKUP(AN99,'G-3 Multipliers'!$S$3:$T$10,2,FALSE)))</f>
        <v/>
      </c>
      <c r="AP99" s="376" t="str">
        <f t="shared" si="21"/>
        <v/>
      </c>
      <c r="AQ99" s="376" t="str">
        <f t="shared" si="22"/>
        <v/>
      </c>
      <c r="AR99" s="119"/>
      <c r="AS99" s="528"/>
      <c r="AT99" s="120"/>
      <c r="AU99" s="120"/>
    </row>
    <row r="100" spans="1:47">
      <c r="A100" s="30" t="str">
        <f>IF(E100="","",IF(ISNA(VLOOKUP($E100,'D-1 Off-Site Habitat Baseline'!$D$1:$O$258,2,FALSE)),"",(VLOOKUP($E100,'D-1 Off-Site Habitat Baseline'!$D$1:$O$258,2,FALSE))))</f>
        <v/>
      </c>
      <c r="B100" s="30" t="str">
        <f>IF(E100="","",IF(ISNA(VLOOKUP($E100,'D-1 Off-Site Habitat Baseline'!$D$1:$O$258,3,FALSE)),"",(VLOOKUP($E100,'D-1 Off-Site Habitat Baseline'!$D$1:$O$258,3,FALSE))))</f>
        <v/>
      </c>
      <c r="C100" s="30" t="str">
        <f>IFERROR(INDEX('G-8 Condition Look up'!$I$4:$I$135,MATCH(S100,'G-8 Condition Look up'!$A$4:$A$135,0)),"")</f>
        <v/>
      </c>
      <c r="E100" s="407" t="str">
        <f>'D-1 Off-Site Habitat Baseline'!AP99</f>
        <v/>
      </c>
      <c r="F100" s="382" t="str">
        <f>IF(E100="","",IF(ISNA(VLOOKUP($E100,'D-1 Off-Site Habitat Baseline'!$D$1:$O$258,4,FALSE)),"",(VLOOKUP($E100,'D-1 Off-Site Habitat Baseline'!$D$1:$O$258,4,FALSE))))</f>
        <v/>
      </c>
      <c r="G100" s="382" t="str">
        <f>IF(E100="","",IF(ISNA(VLOOKUP($E100,'D-1 Off-Site Habitat Baseline'!$D$1:$O$258,5,FALSE)),"",(VLOOKUP($E100,'D-1 Off-Site Habitat Baseline'!$D$1:$O$258,5,FALSE))))</f>
        <v/>
      </c>
      <c r="H100" s="382" t="str">
        <f>IF(E100="","",IF(ISNA(VLOOKUP($E100,'D-1 Off-Site Habitat Baseline'!$D$1:$O$258,6,FALSE)),"",(VLOOKUP($E100,'D-1 Off-Site Habitat Baseline'!$D$1:$O$258,6,FALSE))))</f>
        <v/>
      </c>
      <c r="I100" s="382" t="str">
        <f>IF(E100="","",IF(ISNA(VLOOKUP($E100,'D-1 Off-Site Habitat Baseline'!$D$1:$O$258,7,FALSE)),"",(VLOOKUP($E100,'D-1 Off-Site Habitat Baseline'!$D$1:$O$258,7,FALSE))))</f>
        <v/>
      </c>
      <c r="J100" s="382" t="str">
        <f>IF(E100="","",IF(ISNA(VLOOKUP($E100,'D-1 Off-Site Habitat Baseline'!$D$1:$O$258,8,FALSE)),"",(VLOOKUP($E100,'D-1 Off-Site Habitat Baseline'!$D$1:$O$258,8,FALSE))))</f>
        <v/>
      </c>
      <c r="K100" s="382" t="str">
        <f>IF(E100="","",IF(ISNA(VLOOKUP($E100,'D-1 Off-Site Habitat Baseline'!$D$1:$O$258,9,FALSE)),"",(VLOOKUP($E100,'D-1 Off-Site Habitat Baseline'!$D$1:$O$258,9,FALSE))))</f>
        <v/>
      </c>
      <c r="L100" s="382" t="str">
        <f>IF(E100="","",IF(ISNA(VLOOKUP($E100,'D-1 Off-Site Habitat Baseline'!$D$1:$O$258,11,FALSE)),"",(VLOOKUP($E100,'D-1 Off-Site Habitat Baseline'!$D$1:$O$258,11,FALSE))))</f>
        <v/>
      </c>
      <c r="M100" s="382" t="str">
        <f>IF(E100="","",IF(ISNA(VLOOKUP($E100,'D-1 Off-Site Habitat Baseline'!$D$1:$O$258,12,FALSE)),"",(VLOOKUP($E100,'D-1 Off-Site Habitat Baseline'!$D$1:$O$258,12,FALSE))))</f>
        <v/>
      </c>
      <c r="N100" s="382" t="str">
        <f>IF(E100="","",IF(ISNA(VLOOKUP($E100,'D-1 Off-Site Habitat Baseline'!$D$1:$AA$258,14,FALSE)),"",(VLOOKUP($E100,'D-1 Off-Site Habitat Baseline'!$D$1:$AA$258,14,FALSE))))</f>
        <v/>
      </c>
      <c r="O100" s="386" t="str">
        <f>IF(E100="","",IF(ISNA(VLOOKUP($E100,'D-1 Off-Site Habitat Baseline'!$D$1:$AA$258,13,FALSE)),"",(VLOOKUP($E100,'D-1 Off-Site Habitat Baseline'!$D$1:$AA$258,13,FALSE))))</f>
        <v/>
      </c>
      <c r="P100" s="184" t="str">
        <f>IFERROR(INDEX('G-1 All Habitats'!$AG$3:$AG$17,MATCH(Q100,'G-1 All Habitats'!$AF$3:$AF$17,0)),"")</f>
        <v/>
      </c>
      <c r="Q100" s="185" t="str">
        <f t="shared" si="14"/>
        <v/>
      </c>
      <c r="R100" s="186" t="str">
        <f t="shared" si="14"/>
        <v/>
      </c>
      <c r="S100" s="187" t="str">
        <f>IFERROR(INDEX('G-1 All Habitats'!$B$3:$B$134,MATCH(R100,'G-1 All Habitats'!$A$3:$A$134,0)),"")</f>
        <v/>
      </c>
      <c r="T100" s="370" t="str">
        <f t="shared" si="15"/>
        <v/>
      </c>
      <c r="U100" s="386" t="str">
        <f t="shared" si="16"/>
        <v/>
      </c>
      <c r="V100" s="385" t="str">
        <f t="shared" si="12"/>
        <v/>
      </c>
      <c r="W100" s="382" t="str">
        <f>IF(S100="","",VLOOKUP(S100,'G-1 All Habitats'!$B$2:$M$134,10,FALSE))</f>
        <v/>
      </c>
      <c r="X100" s="382" t="str">
        <f>IFERROR(VLOOKUP(W100,'G-1 All Habitats'!$V$3:$W$7,2,FALSE),"")</f>
        <v/>
      </c>
      <c r="Y100" s="165"/>
      <c r="Z100" s="386" t="str">
        <f>IFERROR(INDEX('G-8 Condition Look up'!$A$3:$H$135,MATCH(S100,'G-8 Condition Look up'!$A$3:$A$135,0),MATCH(Y100,'G-8 Condition Look up'!$A$3:$H$3,0)),"")</f>
        <v/>
      </c>
      <c r="AA100" s="114"/>
      <c r="AB100" s="401" t="str">
        <f>IF(AA100="","",IF(VLOOKUP(AA100,'G-3 Multipliers'!$L$3:$N$6,2,FALSE)=0,"Spatial Data Missing ⚠",VLOOKUP(AA100,'G-3 Multipliers'!$L$3:$N$6,2,FALSE)))</f>
        <v/>
      </c>
      <c r="AC100" s="386" t="str">
        <f>IF(AA100="","",IF(VLOOKUP(AA100,'G-3 Multipliers'!$L$3:$N$6,3,FALSE)=0,"Spatial Data Missing ⚠",VLOOKUP(AA100,'G-3 Multipliers'!$L$3:$N$6,3,FALSE)))</f>
        <v/>
      </c>
      <c r="AD100" s="398" t="str">
        <f t="shared" si="13"/>
        <v/>
      </c>
      <c r="AE100" s="165"/>
      <c r="AF100" s="165"/>
      <c r="AG100" s="382" t="str">
        <f t="shared" si="17"/>
        <v/>
      </c>
      <c r="AH100" s="404" t="str">
        <f t="shared" si="18"/>
        <v/>
      </c>
      <c r="AI100" s="387" t="str">
        <f>IF(AH100="Check Data ⚠","Check Data ⚠",IFERROR(VLOOKUP(AH100,'G-4 Temporal multipliers'!$A$4:$C$36,3,FALSE),""))</f>
        <v/>
      </c>
      <c r="AJ100" s="398" t="str">
        <f>IF(S100="","",VLOOKUP(S100,'G-3 Multipliers'!$A$2:$E$134,4,FALSE))</f>
        <v/>
      </c>
      <c r="AK100" s="382" t="str">
        <f t="shared" si="19"/>
        <v/>
      </c>
      <c r="AL100" s="382" t="str">
        <f t="shared" si="20"/>
        <v/>
      </c>
      <c r="AM100" s="386" t="str">
        <f>IFERROR(IF(F100="","",IF(AH100="Check Data ⚠","Check Data ⚠",VLOOKUP(AL100, 'G-3 Multipliers'!$P$2:$Q$6,2,FALSE))),"")</f>
        <v/>
      </c>
      <c r="AN100" s="516"/>
      <c r="AO100" s="417" t="str">
        <f>IF(AN100="","",IF(VLOOKUP(AN100,'G-3 Multipliers'!$S$3:$T$10,2,FALSE)=0,"Spatial Data Missing ⚠",VLOOKUP(AN100,'G-3 Multipliers'!$S$3:$T$10,2,FALSE)))</f>
        <v/>
      </c>
      <c r="AP100" s="376" t="str">
        <f t="shared" si="21"/>
        <v/>
      </c>
      <c r="AQ100" s="376" t="str">
        <f t="shared" si="22"/>
        <v/>
      </c>
      <c r="AR100" s="119"/>
      <c r="AS100" s="528"/>
      <c r="AT100" s="120"/>
      <c r="AU100" s="120"/>
    </row>
    <row r="101" spans="1:47">
      <c r="A101" s="30" t="str">
        <f>IF(E101="","",IF(ISNA(VLOOKUP($E101,'D-1 Off-Site Habitat Baseline'!$D$1:$O$258,2,FALSE)),"",(VLOOKUP($E101,'D-1 Off-Site Habitat Baseline'!$D$1:$O$258,2,FALSE))))</f>
        <v/>
      </c>
      <c r="B101" s="30" t="str">
        <f>IF(E101="","",IF(ISNA(VLOOKUP($E101,'D-1 Off-Site Habitat Baseline'!$D$1:$O$258,3,FALSE)),"",(VLOOKUP($E101,'D-1 Off-Site Habitat Baseline'!$D$1:$O$258,3,FALSE))))</f>
        <v/>
      </c>
      <c r="C101" s="30" t="str">
        <f>IFERROR(INDEX('G-8 Condition Look up'!$I$4:$I$135,MATCH(S101,'G-8 Condition Look up'!$A$4:$A$135,0)),"")</f>
        <v/>
      </c>
      <c r="E101" s="407" t="str">
        <f>'D-1 Off-Site Habitat Baseline'!AP100</f>
        <v/>
      </c>
      <c r="F101" s="382" t="str">
        <f>IF(E101="","",IF(ISNA(VLOOKUP($E101,'D-1 Off-Site Habitat Baseline'!$D$1:$O$258,4,FALSE)),"",(VLOOKUP($E101,'D-1 Off-Site Habitat Baseline'!$D$1:$O$258,4,FALSE))))</f>
        <v/>
      </c>
      <c r="G101" s="382" t="str">
        <f>IF(E101="","",IF(ISNA(VLOOKUP($E101,'D-1 Off-Site Habitat Baseline'!$D$1:$O$258,5,FALSE)),"",(VLOOKUP($E101,'D-1 Off-Site Habitat Baseline'!$D$1:$O$258,5,FALSE))))</f>
        <v/>
      </c>
      <c r="H101" s="382" t="str">
        <f>IF(E101="","",IF(ISNA(VLOOKUP($E101,'D-1 Off-Site Habitat Baseline'!$D$1:$O$258,6,FALSE)),"",(VLOOKUP($E101,'D-1 Off-Site Habitat Baseline'!$D$1:$O$258,6,FALSE))))</f>
        <v/>
      </c>
      <c r="I101" s="382" t="str">
        <f>IF(E101="","",IF(ISNA(VLOOKUP($E101,'D-1 Off-Site Habitat Baseline'!$D$1:$O$258,7,FALSE)),"",(VLOOKUP($E101,'D-1 Off-Site Habitat Baseline'!$D$1:$O$258,7,FALSE))))</f>
        <v/>
      </c>
      <c r="J101" s="382" t="str">
        <f>IF(E101="","",IF(ISNA(VLOOKUP($E101,'D-1 Off-Site Habitat Baseline'!$D$1:$O$258,8,FALSE)),"",(VLOOKUP($E101,'D-1 Off-Site Habitat Baseline'!$D$1:$O$258,8,FALSE))))</f>
        <v/>
      </c>
      <c r="K101" s="382" t="str">
        <f>IF(E101="","",IF(ISNA(VLOOKUP($E101,'D-1 Off-Site Habitat Baseline'!$D$1:$O$258,9,FALSE)),"",(VLOOKUP($E101,'D-1 Off-Site Habitat Baseline'!$D$1:$O$258,9,FALSE))))</f>
        <v/>
      </c>
      <c r="L101" s="382" t="str">
        <f>IF(E101="","",IF(ISNA(VLOOKUP($E101,'D-1 Off-Site Habitat Baseline'!$D$1:$O$258,11,FALSE)),"",(VLOOKUP($E101,'D-1 Off-Site Habitat Baseline'!$D$1:$O$258,11,FALSE))))</f>
        <v/>
      </c>
      <c r="M101" s="382" t="str">
        <f>IF(E101="","",IF(ISNA(VLOOKUP($E101,'D-1 Off-Site Habitat Baseline'!$D$1:$O$258,12,FALSE)),"",(VLOOKUP($E101,'D-1 Off-Site Habitat Baseline'!$D$1:$O$258,12,FALSE))))</f>
        <v/>
      </c>
      <c r="N101" s="382" t="str">
        <f>IF(E101="","",IF(ISNA(VLOOKUP($E101,'D-1 Off-Site Habitat Baseline'!$D$1:$AA$258,14,FALSE)),"",(VLOOKUP($E101,'D-1 Off-Site Habitat Baseline'!$D$1:$AA$258,14,FALSE))))</f>
        <v/>
      </c>
      <c r="O101" s="386" t="str">
        <f>IF(E101="","",IF(ISNA(VLOOKUP($E101,'D-1 Off-Site Habitat Baseline'!$D$1:$AA$258,13,FALSE)),"",(VLOOKUP($E101,'D-1 Off-Site Habitat Baseline'!$D$1:$AA$258,13,FALSE))))</f>
        <v/>
      </c>
      <c r="P101" s="184" t="str">
        <f>IFERROR(INDEX('G-1 All Habitats'!$AG$3:$AG$17,MATCH(Q101,'G-1 All Habitats'!$AF$3:$AF$17,0)),"")</f>
        <v/>
      </c>
      <c r="Q101" s="185" t="str">
        <f t="shared" si="14"/>
        <v/>
      </c>
      <c r="R101" s="186" t="str">
        <f t="shared" si="14"/>
        <v/>
      </c>
      <c r="S101" s="187" t="str">
        <f>IFERROR(INDEX('G-1 All Habitats'!$B$3:$B$134,MATCH(R101,'G-1 All Habitats'!$A$3:$A$134,0)),"")</f>
        <v/>
      </c>
      <c r="T101" s="370" t="str">
        <f t="shared" si="15"/>
        <v/>
      </c>
      <c r="U101" s="386" t="str">
        <f t="shared" si="16"/>
        <v/>
      </c>
      <c r="V101" s="385" t="str">
        <f t="shared" si="12"/>
        <v/>
      </c>
      <c r="W101" s="382" t="str">
        <f>IF(S101="","",VLOOKUP(S101,'G-1 All Habitats'!$B$2:$M$134,10,FALSE))</f>
        <v/>
      </c>
      <c r="X101" s="382" t="str">
        <f>IFERROR(VLOOKUP(W101,'G-1 All Habitats'!$V$3:$W$7,2,FALSE),"")</f>
        <v/>
      </c>
      <c r="Y101" s="165"/>
      <c r="Z101" s="386" t="str">
        <f>IFERROR(INDEX('G-8 Condition Look up'!$A$3:$H$135,MATCH(S101,'G-8 Condition Look up'!$A$3:$A$135,0),MATCH(Y101,'G-8 Condition Look up'!$A$3:$H$3,0)),"")</f>
        <v/>
      </c>
      <c r="AA101" s="114"/>
      <c r="AB101" s="401" t="str">
        <f>IF(AA101="","",IF(VLOOKUP(AA101,'G-3 Multipliers'!$L$3:$N$6,2,FALSE)=0,"Spatial Data Missing ⚠",VLOOKUP(AA101,'G-3 Multipliers'!$L$3:$N$6,2,FALSE)))</f>
        <v/>
      </c>
      <c r="AC101" s="386" t="str">
        <f>IF(AA101="","",IF(VLOOKUP(AA101,'G-3 Multipliers'!$L$3:$N$6,3,FALSE)=0,"Spatial Data Missing ⚠",VLOOKUP(AA101,'G-3 Multipliers'!$L$3:$N$6,3,FALSE)))</f>
        <v/>
      </c>
      <c r="AD101" s="398" t="str">
        <f t="shared" si="13"/>
        <v/>
      </c>
      <c r="AE101" s="165"/>
      <c r="AF101" s="165"/>
      <c r="AG101" s="382" t="str">
        <f t="shared" si="17"/>
        <v/>
      </c>
      <c r="AH101" s="404" t="str">
        <f t="shared" si="18"/>
        <v/>
      </c>
      <c r="AI101" s="387" t="str">
        <f>IF(AH101="Check Data ⚠","Check Data ⚠",IFERROR(VLOOKUP(AH101,'G-4 Temporal multipliers'!$A$4:$C$36,3,FALSE),""))</f>
        <v/>
      </c>
      <c r="AJ101" s="398" t="str">
        <f>IF(S101="","",VLOOKUP(S101,'G-3 Multipliers'!$A$2:$E$134,4,FALSE))</f>
        <v/>
      </c>
      <c r="AK101" s="382" t="str">
        <f t="shared" si="19"/>
        <v/>
      </c>
      <c r="AL101" s="382" t="str">
        <f t="shared" si="20"/>
        <v/>
      </c>
      <c r="AM101" s="386" t="str">
        <f>IFERROR(IF(F101="","",IF(AH101="Check Data ⚠","Check Data ⚠",VLOOKUP(AL101, 'G-3 Multipliers'!$P$2:$Q$6,2,FALSE))),"")</f>
        <v/>
      </c>
      <c r="AN101" s="516"/>
      <c r="AO101" s="417" t="str">
        <f>IF(AN101="","",IF(VLOOKUP(AN101,'G-3 Multipliers'!$S$3:$T$10,2,FALSE)=0,"Spatial Data Missing ⚠",VLOOKUP(AN101,'G-3 Multipliers'!$S$3:$T$10,2,FALSE)))</f>
        <v/>
      </c>
      <c r="AP101" s="376" t="str">
        <f t="shared" si="21"/>
        <v/>
      </c>
      <c r="AQ101" s="376" t="str">
        <f t="shared" si="22"/>
        <v/>
      </c>
      <c r="AR101" s="119"/>
      <c r="AS101" s="528"/>
      <c r="AT101" s="120"/>
      <c r="AU101" s="120"/>
    </row>
    <row r="102" spans="1:47">
      <c r="A102" s="30" t="str">
        <f>IF(E102="","",IF(ISNA(VLOOKUP($E102,'D-1 Off-Site Habitat Baseline'!$D$1:$O$258,2,FALSE)),"",(VLOOKUP($E102,'D-1 Off-Site Habitat Baseline'!$D$1:$O$258,2,FALSE))))</f>
        <v/>
      </c>
      <c r="B102" s="30" t="str">
        <f>IF(E102="","",IF(ISNA(VLOOKUP($E102,'D-1 Off-Site Habitat Baseline'!$D$1:$O$258,3,FALSE)),"",(VLOOKUP($E102,'D-1 Off-Site Habitat Baseline'!$D$1:$O$258,3,FALSE))))</f>
        <v/>
      </c>
      <c r="C102" s="30" t="str">
        <f>IFERROR(INDEX('G-8 Condition Look up'!$I$4:$I$135,MATCH(S102,'G-8 Condition Look up'!$A$4:$A$135,0)),"")</f>
        <v/>
      </c>
      <c r="E102" s="407" t="str">
        <f>'D-1 Off-Site Habitat Baseline'!AP101</f>
        <v/>
      </c>
      <c r="F102" s="382" t="str">
        <f>IF(E102="","",IF(ISNA(VLOOKUP($E102,'D-1 Off-Site Habitat Baseline'!$D$1:$O$258,4,FALSE)),"",(VLOOKUP($E102,'D-1 Off-Site Habitat Baseline'!$D$1:$O$258,4,FALSE))))</f>
        <v/>
      </c>
      <c r="G102" s="382" t="str">
        <f>IF(E102="","",IF(ISNA(VLOOKUP($E102,'D-1 Off-Site Habitat Baseline'!$D$1:$O$258,5,FALSE)),"",(VLOOKUP($E102,'D-1 Off-Site Habitat Baseline'!$D$1:$O$258,5,FALSE))))</f>
        <v/>
      </c>
      <c r="H102" s="382" t="str">
        <f>IF(E102="","",IF(ISNA(VLOOKUP($E102,'D-1 Off-Site Habitat Baseline'!$D$1:$O$258,6,FALSE)),"",(VLOOKUP($E102,'D-1 Off-Site Habitat Baseline'!$D$1:$O$258,6,FALSE))))</f>
        <v/>
      </c>
      <c r="I102" s="382" t="str">
        <f>IF(E102="","",IF(ISNA(VLOOKUP($E102,'D-1 Off-Site Habitat Baseline'!$D$1:$O$258,7,FALSE)),"",(VLOOKUP($E102,'D-1 Off-Site Habitat Baseline'!$D$1:$O$258,7,FALSE))))</f>
        <v/>
      </c>
      <c r="J102" s="382" t="str">
        <f>IF(E102="","",IF(ISNA(VLOOKUP($E102,'D-1 Off-Site Habitat Baseline'!$D$1:$O$258,8,FALSE)),"",(VLOOKUP($E102,'D-1 Off-Site Habitat Baseline'!$D$1:$O$258,8,FALSE))))</f>
        <v/>
      </c>
      <c r="K102" s="382" t="str">
        <f>IF(E102="","",IF(ISNA(VLOOKUP($E102,'D-1 Off-Site Habitat Baseline'!$D$1:$O$258,9,FALSE)),"",(VLOOKUP($E102,'D-1 Off-Site Habitat Baseline'!$D$1:$O$258,9,FALSE))))</f>
        <v/>
      </c>
      <c r="L102" s="382" t="str">
        <f>IF(E102="","",IF(ISNA(VLOOKUP($E102,'D-1 Off-Site Habitat Baseline'!$D$1:$O$258,11,FALSE)),"",(VLOOKUP($E102,'D-1 Off-Site Habitat Baseline'!$D$1:$O$258,11,FALSE))))</f>
        <v/>
      </c>
      <c r="M102" s="382" t="str">
        <f>IF(E102="","",IF(ISNA(VLOOKUP($E102,'D-1 Off-Site Habitat Baseline'!$D$1:$O$258,12,FALSE)),"",(VLOOKUP($E102,'D-1 Off-Site Habitat Baseline'!$D$1:$O$258,12,FALSE))))</f>
        <v/>
      </c>
      <c r="N102" s="382" t="str">
        <f>IF(E102="","",IF(ISNA(VLOOKUP($E102,'D-1 Off-Site Habitat Baseline'!$D$1:$AA$258,14,FALSE)),"",(VLOOKUP($E102,'D-1 Off-Site Habitat Baseline'!$D$1:$AA$258,14,FALSE))))</f>
        <v/>
      </c>
      <c r="O102" s="386" t="str">
        <f>IF(E102="","",IF(ISNA(VLOOKUP($E102,'D-1 Off-Site Habitat Baseline'!$D$1:$AA$258,13,FALSE)),"",(VLOOKUP($E102,'D-1 Off-Site Habitat Baseline'!$D$1:$AA$258,13,FALSE))))</f>
        <v/>
      </c>
      <c r="P102" s="184" t="str">
        <f>IFERROR(INDEX('G-1 All Habitats'!$AG$3:$AG$17,MATCH(Q102,'G-1 All Habitats'!$AF$3:$AF$17,0)),"")</f>
        <v/>
      </c>
      <c r="Q102" s="185" t="str">
        <f t="shared" si="14"/>
        <v/>
      </c>
      <c r="R102" s="186" t="str">
        <f t="shared" si="14"/>
        <v/>
      </c>
      <c r="S102" s="187" t="str">
        <f>IFERROR(INDEX('G-1 All Habitats'!$B$3:$B$134,MATCH(R102,'G-1 All Habitats'!$A$3:$A$134,0)),"")</f>
        <v/>
      </c>
      <c r="T102" s="370" t="str">
        <f t="shared" si="15"/>
        <v/>
      </c>
      <c r="U102" s="386" t="str">
        <f t="shared" si="16"/>
        <v/>
      </c>
      <c r="V102" s="385" t="str">
        <f t="shared" si="12"/>
        <v/>
      </c>
      <c r="W102" s="382" t="str">
        <f>IF(S102="","",VLOOKUP(S102,'G-1 All Habitats'!$B$2:$M$134,10,FALSE))</f>
        <v/>
      </c>
      <c r="X102" s="382" t="str">
        <f>IFERROR(VLOOKUP(W102,'G-1 All Habitats'!$V$3:$W$7,2,FALSE),"")</f>
        <v/>
      </c>
      <c r="Y102" s="165"/>
      <c r="Z102" s="386" t="str">
        <f>IFERROR(INDEX('G-8 Condition Look up'!$A$3:$H$135,MATCH(S102,'G-8 Condition Look up'!$A$3:$A$135,0),MATCH(Y102,'G-8 Condition Look up'!$A$3:$H$3,0)),"")</f>
        <v/>
      </c>
      <c r="AA102" s="114"/>
      <c r="AB102" s="401" t="str">
        <f>IF(AA102="","",IF(VLOOKUP(AA102,'G-3 Multipliers'!$L$3:$N$6,2,FALSE)=0,"Spatial Data Missing ⚠",VLOOKUP(AA102,'G-3 Multipliers'!$L$3:$N$6,2,FALSE)))</f>
        <v/>
      </c>
      <c r="AC102" s="386" t="str">
        <f>IF(AA102="","",IF(VLOOKUP(AA102,'G-3 Multipliers'!$L$3:$N$6,3,FALSE)=0,"Spatial Data Missing ⚠",VLOOKUP(AA102,'G-3 Multipliers'!$L$3:$N$6,3,FALSE)))</f>
        <v/>
      </c>
      <c r="AD102" s="398" t="str">
        <f t="shared" si="13"/>
        <v/>
      </c>
      <c r="AE102" s="165"/>
      <c r="AF102" s="165"/>
      <c r="AG102" s="382" t="str">
        <f t="shared" si="17"/>
        <v/>
      </c>
      <c r="AH102" s="404" t="str">
        <f t="shared" si="18"/>
        <v/>
      </c>
      <c r="AI102" s="387" t="str">
        <f>IF(AH102="Check Data ⚠","Check Data ⚠",IFERROR(VLOOKUP(AH102,'G-4 Temporal multipliers'!$A$4:$C$36,3,FALSE),""))</f>
        <v/>
      </c>
      <c r="AJ102" s="398" t="str">
        <f>IF(S102="","",VLOOKUP(S102,'G-3 Multipliers'!$A$2:$E$134,4,FALSE))</f>
        <v/>
      </c>
      <c r="AK102" s="382" t="str">
        <f t="shared" si="19"/>
        <v/>
      </c>
      <c r="AL102" s="382" t="str">
        <f t="shared" si="20"/>
        <v/>
      </c>
      <c r="AM102" s="386" t="str">
        <f>IFERROR(IF(F102="","",IF(AH102="Check Data ⚠","Check Data ⚠",VLOOKUP(AL102, 'G-3 Multipliers'!$P$2:$Q$6,2,FALSE))),"")</f>
        <v/>
      </c>
      <c r="AN102" s="516"/>
      <c r="AO102" s="417" t="str">
        <f>IF(AN102="","",IF(VLOOKUP(AN102,'G-3 Multipliers'!$S$3:$T$10,2,FALSE)=0,"Spatial Data Missing ⚠",VLOOKUP(AN102,'G-3 Multipliers'!$S$3:$T$10,2,FALSE)))</f>
        <v/>
      </c>
      <c r="AP102" s="376" t="str">
        <f t="shared" si="21"/>
        <v/>
      </c>
      <c r="AQ102" s="376" t="str">
        <f t="shared" si="22"/>
        <v/>
      </c>
      <c r="AR102" s="119"/>
      <c r="AS102" s="528"/>
      <c r="AT102" s="120"/>
      <c r="AU102" s="120"/>
    </row>
    <row r="103" spans="1:47">
      <c r="A103" s="30" t="str">
        <f>IF(E103="","",IF(ISNA(VLOOKUP($E103,'D-1 Off-Site Habitat Baseline'!$D$1:$O$258,2,FALSE)),"",(VLOOKUP($E103,'D-1 Off-Site Habitat Baseline'!$D$1:$O$258,2,FALSE))))</f>
        <v/>
      </c>
      <c r="B103" s="30" t="str">
        <f>IF(E103="","",IF(ISNA(VLOOKUP($E103,'D-1 Off-Site Habitat Baseline'!$D$1:$O$258,3,FALSE)),"",(VLOOKUP($E103,'D-1 Off-Site Habitat Baseline'!$D$1:$O$258,3,FALSE))))</f>
        <v/>
      </c>
      <c r="C103" s="30" t="str">
        <f>IFERROR(INDEX('G-8 Condition Look up'!$I$4:$I$135,MATCH(S103,'G-8 Condition Look up'!$A$4:$A$135,0)),"")</f>
        <v/>
      </c>
      <c r="E103" s="407" t="str">
        <f>'D-1 Off-Site Habitat Baseline'!AP102</f>
        <v/>
      </c>
      <c r="F103" s="382" t="str">
        <f>IF(E103="","",IF(ISNA(VLOOKUP($E103,'D-1 Off-Site Habitat Baseline'!$D$1:$O$258,4,FALSE)),"",(VLOOKUP($E103,'D-1 Off-Site Habitat Baseline'!$D$1:$O$258,4,FALSE))))</f>
        <v/>
      </c>
      <c r="G103" s="382" t="str">
        <f>IF(E103="","",IF(ISNA(VLOOKUP($E103,'D-1 Off-Site Habitat Baseline'!$D$1:$O$258,5,FALSE)),"",(VLOOKUP($E103,'D-1 Off-Site Habitat Baseline'!$D$1:$O$258,5,FALSE))))</f>
        <v/>
      </c>
      <c r="H103" s="382" t="str">
        <f>IF(E103="","",IF(ISNA(VLOOKUP($E103,'D-1 Off-Site Habitat Baseline'!$D$1:$O$258,6,FALSE)),"",(VLOOKUP($E103,'D-1 Off-Site Habitat Baseline'!$D$1:$O$258,6,FALSE))))</f>
        <v/>
      </c>
      <c r="I103" s="382" t="str">
        <f>IF(E103="","",IF(ISNA(VLOOKUP($E103,'D-1 Off-Site Habitat Baseline'!$D$1:$O$258,7,FALSE)),"",(VLOOKUP($E103,'D-1 Off-Site Habitat Baseline'!$D$1:$O$258,7,FALSE))))</f>
        <v/>
      </c>
      <c r="J103" s="382" t="str">
        <f>IF(E103="","",IF(ISNA(VLOOKUP($E103,'D-1 Off-Site Habitat Baseline'!$D$1:$O$258,8,FALSE)),"",(VLOOKUP($E103,'D-1 Off-Site Habitat Baseline'!$D$1:$O$258,8,FALSE))))</f>
        <v/>
      </c>
      <c r="K103" s="382" t="str">
        <f>IF(E103="","",IF(ISNA(VLOOKUP($E103,'D-1 Off-Site Habitat Baseline'!$D$1:$O$258,9,FALSE)),"",(VLOOKUP($E103,'D-1 Off-Site Habitat Baseline'!$D$1:$O$258,9,FALSE))))</f>
        <v/>
      </c>
      <c r="L103" s="382" t="str">
        <f>IF(E103="","",IF(ISNA(VLOOKUP($E103,'D-1 Off-Site Habitat Baseline'!$D$1:$O$258,11,FALSE)),"",(VLOOKUP($E103,'D-1 Off-Site Habitat Baseline'!$D$1:$O$258,11,FALSE))))</f>
        <v/>
      </c>
      <c r="M103" s="382" t="str">
        <f>IF(E103="","",IF(ISNA(VLOOKUP($E103,'D-1 Off-Site Habitat Baseline'!$D$1:$O$258,12,FALSE)),"",(VLOOKUP($E103,'D-1 Off-Site Habitat Baseline'!$D$1:$O$258,12,FALSE))))</f>
        <v/>
      </c>
      <c r="N103" s="382" t="str">
        <f>IF(E103="","",IF(ISNA(VLOOKUP($E103,'D-1 Off-Site Habitat Baseline'!$D$1:$AA$258,14,FALSE)),"",(VLOOKUP($E103,'D-1 Off-Site Habitat Baseline'!$D$1:$AA$258,14,FALSE))))</f>
        <v/>
      </c>
      <c r="O103" s="386" t="str">
        <f>IF(E103="","",IF(ISNA(VLOOKUP($E103,'D-1 Off-Site Habitat Baseline'!$D$1:$AA$258,13,FALSE)),"",(VLOOKUP($E103,'D-1 Off-Site Habitat Baseline'!$D$1:$AA$258,13,FALSE))))</f>
        <v/>
      </c>
      <c r="P103" s="184" t="str">
        <f>IFERROR(INDEX('G-1 All Habitats'!$AG$3:$AG$17,MATCH(Q103,'G-1 All Habitats'!$AF$3:$AF$17,0)),"")</f>
        <v/>
      </c>
      <c r="Q103" s="185" t="str">
        <f t="shared" si="14"/>
        <v/>
      </c>
      <c r="R103" s="186" t="str">
        <f t="shared" si="14"/>
        <v/>
      </c>
      <c r="S103" s="187" t="str">
        <f>IFERROR(INDEX('G-1 All Habitats'!$B$3:$B$134,MATCH(R103,'G-1 All Habitats'!$A$3:$A$134,0)),"")</f>
        <v/>
      </c>
      <c r="T103" s="370" t="str">
        <f t="shared" si="15"/>
        <v/>
      </c>
      <c r="U103" s="386" t="str">
        <f t="shared" si="16"/>
        <v/>
      </c>
      <c r="V103" s="385" t="str">
        <f t="shared" si="12"/>
        <v/>
      </c>
      <c r="W103" s="382" t="str">
        <f>IF(S103="","",VLOOKUP(S103,'G-1 All Habitats'!$B$2:$M$134,10,FALSE))</f>
        <v/>
      </c>
      <c r="X103" s="382" t="str">
        <f>IFERROR(VLOOKUP(W103,'G-1 All Habitats'!$V$3:$W$7,2,FALSE),"")</f>
        <v/>
      </c>
      <c r="Y103" s="165"/>
      <c r="Z103" s="386" t="str">
        <f>IFERROR(INDEX('G-8 Condition Look up'!$A$3:$H$135,MATCH(S103,'G-8 Condition Look up'!$A$3:$A$135,0),MATCH(Y103,'G-8 Condition Look up'!$A$3:$H$3,0)),"")</f>
        <v/>
      </c>
      <c r="AA103" s="114"/>
      <c r="AB103" s="401" t="str">
        <f>IF(AA103="","",IF(VLOOKUP(AA103,'G-3 Multipliers'!$L$3:$N$6,2,FALSE)=0,"Spatial Data Missing ⚠",VLOOKUP(AA103,'G-3 Multipliers'!$L$3:$N$6,2,FALSE)))</f>
        <v/>
      </c>
      <c r="AC103" s="386" t="str">
        <f>IF(AA103="","",IF(VLOOKUP(AA103,'G-3 Multipliers'!$L$3:$N$6,3,FALSE)=0,"Spatial Data Missing ⚠",VLOOKUP(AA103,'G-3 Multipliers'!$L$3:$N$6,3,FALSE)))</f>
        <v/>
      </c>
      <c r="AD103" s="398" t="str">
        <f t="shared" si="13"/>
        <v/>
      </c>
      <c r="AE103" s="165"/>
      <c r="AF103" s="165"/>
      <c r="AG103" s="382" t="str">
        <f t="shared" si="17"/>
        <v/>
      </c>
      <c r="AH103" s="404" t="str">
        <f t="shared" si="18"/>
        <v/>
      </c>
      <c r="AI103" s="387" t="str">
        <f>IF(AH103="Check Data ⚠","Check Data ⚠",IFERROR(VLOOKUP(AH103,'G-4 Temporal multipliers'!$A$4:$C$36,3,FALSE),""))</f>
        <v/>
      </c>
      <c r="AJ103" s="398" t="str">
        <f>IF(S103="","",VLOOKUP(S103,'G-3 Multipliers'!$A$2:$E$134,4,FALSE))</f>
        <v/>
      </c>
      <c r="AK103" s="382" t="str">
        <f t="shared" si="19"/>
        <v/>
      </c>
      <c r="AL103" s="382" t="str">
        <f t="shared" si="20"/>
        <v/>
      </c>
      <c r="AM103" s="386" t="str">
        <f>IFERROR(IF(F103="","",IF(AH103="Check Data ⚠","Check Data ⚠",VLOOKUP(AL103, 'G-3 Multipliers'!$P$2:$Q$6,2,FALSE))),"")</f>
        <v/>
      </c>
      <c r="AN103" s="516"/>
      <c r="AO103" s="417" t="str">
        <f>IF(AN103="","",IF(VLOOKUP(AN103,'G-3 Multipliers'!$S$3:$T$10,2,FALSE)=0,"Spatial Data Missing ⚠",VLOOKUP(AN103,'G-3 Multipliers'!$S$3:$T$10,2,FALSE)))</f>
        <v/>
      </c>
      <c r="AP103" s="376" t="str">
        <f t="shared" si="21"/>
        <v/>
      </c>
      <c r="AQ103" s="376" t="str">
        <f t="shared" si="22"/>
        <v/>
      </c>
      <c r="AR103" s="119"/>
      <c r="AS103" s="528"/>
      <c r="AT103" s="120"/>
      <c r="AU103" s="120"/>
    </row>
    <row r="104" spans="1:47">
      <c r="A104" s="30" t="str">
        <f>IF(E104="","",IF(ISNA(VLOOKUP($E104,'D-1 Off-Site Habitat Baseline'!$D$1:$O$258,2,FALSE)),"",(VLOOKUP($E104,'D-1 Off-Site Habitat Baseline'!$D$1:$O$258,2,FALSE))))</f>
        <v/>
      </c>
      <c r="B104" s="30" t="str">
        <f>IF(E104="","",IF(ISNA(VLOOKUP($E104,'D-1 Off-Site Habitat Baseline'!$D$1:$O$258,3,FALSE)),"",(VLOOKUP($E104,'D-1 Off-Site Habitat Baseline'!$D$1:$O$258,3,FALSE))))</f>
        <v/>
      </c>
      <c r="C104" s="30" t="str">
        <f>IFERROR(INDEX('G-8 Condition Look up'!$I$4:$I$135,MATCH(S104,'G-8 Condition Look up'!$A$4:$A$135,0)),"")</f>
        <v/>
      </c>
      <c r="E104" s="407" t="str">
        <f>'D-1 Off-Site Habitat Baseline'!AP103</f>
        <v/>
      </c>
      <c r="F104" s="382" t="str">
        <f>IF(E104="","",IF(ISNA(VLOOKUP($E104,'D-1 Off-Site Habitat Baseline'!$D$1:$O$258,4,FALSE)),"",(VLOOKUP($E104,'D-1 Off-Site Habitat Baseline'!$D$1:$O$258,4,FALSE))))</f>
        <v/>
      </c>
      <c r="G104" s="382" t="str">
        <f>IF(E104="","",IF(ISNA(VLOOKUP($E104,'D-1 Off-Site Habitat Baseline'!$D$1:$O$258,5,FALSE)),"",(VLOOKUP($E104,'D-1 Off-Site Habitat Baseline'!$D$1:$O$258,5,FALSE))))</f>
        <v/>
      </c>
      <c r="H104" s="382" t="str">
        <f>IF(E104="","",IF(ISNA(VLOOKUP($E104,'D-1 Off-Site Habitat Baseline'!$D$1:$O$258,6,FALSE)),"",(VLOOKUP($E104,'D-1 Off-Site Habitat Baseline'!$D$1:$O$258,6,FALSE))))</f>
        <v/>
      </c>
      <c r="I104" s="382" t="str">
        <f>IF(E104="","",IF(ISNA(VLOOKUP($E104,'D-1 Off-Site Habitat Baseline'!$D$1:$O$258,7,FALSE)),"",(VLOOKUP($E104,'D-1 Off-Site Habitat Baseline'!$D$1:$O$258,7,FALSE))))</f>
        <v/>
      </c>
      <c r="J104" s="382" t="str">
        <f>IF(E104="","",IF(ISNA(VLOOKUP($E104,'D-1 Off-Site Habitat Baseline'!$D$1:$O$258,8,FALSE)),"",(VLOOKUP($E104,'D-1 Off-Site Habitat Baseline'!$D$1:$O$258,8,FALSE))))</f>
        <v/>
      </c>
      <c r="K104" s="382" t="str">
        <f>IF(E104="","",IF(ISNA(VLOOKUP($E104,'D-1 Off-Site Habitat Baseline'!$D$1:$O$258,9,FALSE)),"",(VLOOKUP($E104,'D-1 Off-Site Habitat Baseline'!$D$1:$O$258,9,FALSE))))</f>
        <v/>
      </c>
      <c r="L104" s="382" t="str">
        <f>IF(E104="","",IF(ISNA(VLOOKUP($E104,'D-1 Off-Site Habitat Baseline'!$D$1:$O$258,11,FALSE)),"",(VLOOKUP($E104,'D-1 Off-Site Habitat Baseline'!$D$1:$O$258,11,FALSE))))</f>
        <v/>
      </c>
      <c r="M104" s="382" t="str">
        <f>IF(E104="","",IF(ISNA(VLOOKUP($E104,'D-1 Off-Site Habitat Baseline'!$D$1:$O$258,12,FALSE)),"",(VLOOKUP($E104,'D-1 Off-Site Habitat Baseline'!$D$1:$O$258,12,FALSE))))</f>
        <v/>
      </c>
      <c r="N104" s="382" t="str">
        <f>IF(E104="","",IF(ISNA(VLOOKUP($E104,'D-1 Off-Site Habitat Baseline'!$D$1:$AA$258,14,FALSE)),"",(VLOOKUP($E104,'D-1 Off-Site Habitat Baseline'!$D$1:$AA$258,14,FALSE))))</f>
        <v/>
      </c>
      <c r="O104" s="386" t="str">
        <f>IF(E104="","",IF(ISNA(VLOOKUP($E104,'D-1 Off-Site Habitat Baseline'!$D$1:$AA$258,13,FALSE)),"",(VLOOKUP($E104,'D-1 Off-Site Habitat Baseline'!$D$1:$AA$258,13,FALSE))))</f>
        <v/>
      </c>
      <c r="P104" s="184" t="str">
        <f>IFERROR(INDEX('G-1 All Habitats'!$AG$3:$AG$17,MATCH(Q104,'G-1 All Habitats'!$AF$3:$AF$17,0)),"")</f>
        <v/>
      </c>
      <c r="Q104" s="185" t="str">
        <f t="shared" si="14"/>
        <v/>
      </c>
      <c r="R104" s="186" t="str">
        <f t="shared" si="14"/>
        <v/>
      </c>
      <c r="S104" s="187" t="str">
        <f>IFERROR(INDEX('G-1 All Habitats'!$B$3:$B$134,MATCH(R104,'G-1 All Habitats'!$A$3:$A$134,0)),"")</f>
        <v/>
      </c>
      <c r="T104" s="370" t="str">
        <f t="shared" si="15"/>
        <v/>
      </c>
      <c r="U104" s="386" t="str">
        <f t="shared" si="16"/>
        <v/>
      </c>
      <c r="V104" s="385" t="str">
        <f t="shared" si="12"/>
        <v/>
      </c>
      <c r="W104" s="382" t="str">
        <f>IF(S104="","",VLOOKUP(S104,'G-1 All Habitats'!$B$2:$M$134,10,FALSE))</f>
        <v/>
      </c>
      <c r="X104" s="382" t="str">
        <f>IFERROR(VLOOKUP(W104,'G-1 All Habitats'!$V$3:$W$7,2,FALSE),"")</f>
        <v/>
      </c>
      <c r="Y104" s="165"/>
      <c r="Z104" s="386" t="str">
        <f>IFERROR(INDEX('G-8 Condition Look up'!$A$3:$H$135,MATCH(S104,'G-8 Condition Look up'!$A$3:$A$135,0),MATCH(Y104,'G-8 Condition Look up'!$A$3:$H$3,0)),"")</f>
        <v/>
      </c>
      <c r="AA104" s="114"/>
      <c r="AB104" s="401" t="str">
        <f>IF(AA104="","",IF(VLOOKUP(AA104,'G-3 Multipliers'!$L$3:$N$6,2,FALSE)=0,"Spatial Data Missing ⚠",VLOOKUP(AA104,'G-3 Multipliers'!$L$3:$N$6,2,FALSE)))</f>
        <v/>
      </c>
      <c r="AC104" s="386" t="str">
        <f>IF(AA104="","",IF(VLOOKUP(AA104,'G-3 Multipliers'!$L$3:$N$6,3,FALSE)=0,"Spatial Data Missing ⚠",VLOOKUP(AA104,'G-3 Multipliers'!$L$3:$N$6,3,FALSE)))</f>
        <v/>
      </c>
      <c r="AD104" s="398" t="str">
        <f t="shared" si="13"/>
        <v/>
      </c>
      <c r="AE104" s="165"/>
      <c r="AF104" s="165"/>
      <c r="AG104" s="382" t="str">
        <f t="shared" si="17"/>
        <v/>
      </c>
      <c r="AH104" s="404" t="str">
        <f t="shared" si="18"/>
        <v/>
      </c>
      <c r="AI104" s="387" t="str">
        <f>IF(AH104="Check Data ⚠","Check Data ⚠",IFERROR(VLOOKUP(AH104,'G-4 Temporal multipliers'!$A$4:$C$36,3,FALSE),""))</f>
        <v/>
      </c>
      <c r="AJ104" s="398" t="str">
        <f>IF(S104="","",VLOOKUP(S104,'G-3 Multipliers'!$A$2:$E$134,4,FALSE))</f>
        <v/>
      </c>
      <c r="AK104" s="382" t="str">
        <f t="shared" si="19"/>
        <v/>
      </c>
      <c r="AL104" s="382" t="str">
        <f t="shared" si="20"/>
        <v/>
      </c>
      <c r="AM104" s="386" t="str">
        <f>IFERROR(IF(F104="","",IF(AH104="Check Data ⚠","Check Data ⚠",VLOOKUP(AL104, 'G-3 Multipliers'!$P$2:$Q$6,2,FALSE))),"")</f>
        <v/>
      </c>
      <c r="AN104" s="516"/>
      <c r="AO104" s="417" t="str">
        <f>IF(AN104="","",IF(VLOOKUP(AN104,'G-3 Multipliers'!$S$3:$T$10,2,FALSE)=0,"Spatial Data Missing ⚠",VLOOKUP(AN104,'G-3 Multipliers'!$S$3:$T$10,2,FALSE)))</f>
        <v/>
      </c>
      <c r="AP104" s="376" t="str">
        <f t="shared" si="21"/>
        <v/>
      </c>
      <c r="AQ104" s="376" t="str">
        <f t="shared" si="22"/>
        <v/>
      </c>
      <c r="AR104" s="119"/>
      <c r="AS104" s="528"/>
      <c r="AT104" s="120"/>
      <c r="AU104" s="120"/>
    </row>
    <row r="105" spans="1:47">
      <c r="A105" s="30" t="str">
        <f>IF(E105="","",IF(ISNA(VLOOKUP($E105,'D-1 Off-Site Habitat Baseline'!$D$1:$O$258,2,FALSE)),"",(VLOOKUP($E105,'D-1 Off-Site Habitat Baseline'!$D$1:$O$258,2,FALSE))))</f>
        <v/>
      </c>
      <c r="B105" s="30" t="str">
        <f>IF(E105="","",IF(ISNA(VLOOKUP($E105,'D-1 Off-Site Habitat Baseline'!$D$1:$O$258,3,FALSE)),"",(VLOOKUP($E105,'D-1 Off-Site Habitat Baseline'!$D$1:$O$258,3,FALSE))))</f>
        <v/>
      </c>
      <c r="C105" s="30" t="str">
        <f>IFERROR(INDEX('G-8 Condition Look up'!$I$4:$I$135,MATCH(S105,'G-8 Condition Look up'!$A$4:$A$135,0)),"")</f>
        <v/>
      </c>
      <c r="E105" s="407" t="str">
        <f>'D-1 Off-Site Habitat Baseline'!AP104</f>
        <v/>
      </c>
      <c r="F105" s="382" t="str">
        <f>IF(E105="","",IF(ISNA(VLOOKUP($E105,'D-1 Off-Site Habitat Baseline'!$D$1:$O$258,4,FALSE)),"",(VLOOKUP($E105,'D-1 Off-Site Habitat Baseline'!$D$1:$O$258,4,FALSE))))</f>
        <v/>
      </c>
      <c r="G105" s="382" t="str">
        <f>IF(E105="","",IF(ISNA(VLOOKUP($E105,'D-1 Off-Site Habitat Baseline'!$D$1:$O$258,5,FALSE)),"",(VLOOKUP($E105,'D-1 Off-Site Habitat Baseline'!$D$1:$O$258,5,FALSE))))</f>
        <v/>
      </c>
      <c r="H105" s="382" t="str">
        <f>IF(E105="","",IF(ISNA(VLOOKUP($E105,'D-1 Off-Site Habitat Baseline'!$D$1:$O$258,6,FALSE)),"",(VLOOKUP($E105,'D-1 Off-Site Habitat Baseline'!$D$1:$O$258,6,FALSE))))</f>
        <v/>
      </c>
      <c r="I105" s="382" t="str">
        <f>IF(E105="","",IF(ISNA(VLOOKUP($E105,'D-1 Off-Site Habitat Baseline'!$D$1:$O$258,7,FALSE)),"",(VLOOKUP($E105,'D-1 Off-Site Habitat Baseline'!$D$1:$O$258,7,FALSE))))</f>
        <v/>
      </c>
      <c r="J105" s="382" t="str">
        <f>IF(E105="","",IF(ISNA(VLOOKUP($E105,'D-1 Off-Site Habitat Baseline'!$D$1:$O$258,8,FALSE)),"",(VLOOKUP($E105,'D-1 Off-Site Habitat Baseline'!$D$1:$O$258,8,FALSE))))</f>
        <v/>
      </c>
      <c r="K105" s="382" t="str">
        <f>IF(E105="","",IF(ISNA(VLOOKUP($E105,'D-1 Off-Site Habitat Baseline'!$D$1:$O$258,9,FALSE)),"",(VLOOKUP($E105,'D-1 Off-Site Habitat Baseline'!$D$1:$O$258,9,FALSE))))</f>
        <v/>
      </c>
      <c r="L105" s="382" t="str">
        <f>IF(E105="","",IF(ISNA(VLOOKUP($E105,'D-1 Off-Site Habitat Baseline'!$D$1:$O$258,11,FALSE)),"",(VLOOKUP($E105,'D-1 Off-Site Habitat Baseline'!$D$1:$O$258,11,FALSE))))</f>
        <v/>
      </c>
      <c r="M105" s="382" t="str">
        <f>IF(E105="","",IF(ISNA(VLOOKUP($E105,'D-1 Off-Site Habitat Baseline'!$D$1:$O$258,12,FALSE)),"",(VLOOKUP($E105,'D-1 Off-Site Habitat Baseline'!$D$1:$O$258,12,FALSE))))</f>
        <v/>
      </c>
      <c r="N105" s="382" t="str">
        <f>IF(E105="","",IF(ISNA(VLOOKUP($E105,'D-1 Off-Site Habitat Baseline'!$D$1:$AA$258,14,FALSE)),"",(VLOOKUP($E105,'D-1 Off-Site Habitat Baseline'!$D$1:$AA$258,14,FALSE))))</f>
        <v/>
      </c>
      <c r="O105" s="386" t="str">
        <f>IF(E105="","",IF(ISNA(VLOOKUP($E105,'D-1 Off-Site Habitat Baseline'!$D$1:$AA$258,13,FALSE)),"",(VLOOKUP($E105,'D-1 Off-Site Habitat Baseline'!$D$1:$AA$258,13,FALSE))))</f>
        <v/>
      </c>
      <c r="P105" s="184" t="str">
        <f>IFERROR(INDEX('G-1 All Habitats'!$AG$3:$AG$17,MATCH(Q105,'G-1 All Habitats'!$AF$3:$AF$17,0)),"")</f>
        <v/>
      </c>
      <c r="Q105" s="185" t="str">
        <f t="shared" si="14"/>
        <v/>
      </c>
      <c r="R105" s="186" t="str">
        <f t="shared" si="14"/>
        <v/>
      </c>
      <c r="S105" s="187" t="str">
        <f>IFERROR(INDEX('G-1 All Habitats'!$B$3:$B$134,MATCH(R105,'G-1 All Habitats'!$A$3:$A$134,0)),"")</f>
        <v/>
      </c>
      <c r="T105" s="370" t="str">
        <f t="shared" si="15"/>
        <v/>
      </c>
      <c r="U105" s="386" t="str">
        <f t="shared" si="16"/>
        <v/>
      </c>
      <c r="V105" s="385" t="str">
        <f t="shared" si="12"/>
        <v/>
      </c>
      <c r="W105" s="382" t="str">
        <f>IF(S105="","",VLOOKUP(S105,'G-1 All Habitats'!$B$2:$M$134,10,FALSE))</f>
        <v/>
      </c>
      <c r="X105" s="382" t="str">
        <f>IFERROR(VLOOKUP(W105,'G-1 All Habitats'!$V$3:$W$7,2,FALSE),"")</f>
        <v/>
      </c>
      <c r="Y105" s="165"/>
      <c r="Z105" s="386" t="str">
        <f>IFERROR(INDEX('G-8 Condition Look up'!$A$3:$H$135,MATCH(S105,'G-8 Condition Look up'!$A$3:$A$135,0),MATCH(Y105,'G-8 Condition Look up'!$A$3:$H$3,0)),"")</f>
        <v/>
      </c>
      <c r="AA105" s="114"/>
      <c r="AB105" s="401" t="str">
        <f>IF(AA105="","",IF(VLOOKUP(AA105,'G-3 Multipliers'!$L$3:$N$6,2,FALSE)=0,"Spatial Data Missing ⚠",VLOOKUP(AA105,'G-3 Multipliers'!$L$3:$N$6,2,FALSE)))</f>
        <v/>
      </c>
      <c r="AC105" s="386" t="str">
        <f>IF(AA105="","",IF(VLOOKUP(AA105,'G-3 Multipliers'!$L$3:$N$6,3,FALSE)=0,"Spatial Data Missing ⚠",VLOOKUP(AA105,'G-3 Multipliers'!$L$3:$N$6,3,FALSE)))</f>
        <v/>
      </c>
      <c r="AD105" s="398" t="str">
        <f t="shared" si="13"/>
        <v/>
      </c>
      <c r="AE105" s="165"/>
      <c r="AF105" s="165"/>
      <c r="AG105" s="382" t="str">
        <f t="shared" si="17"/>
        <v/>
      </c>
      <c r="AH105" s="404" t="str">
        <f t="shared" si="18"/>
        <v/>
      </c>
      <c r="AI105" s="387" t="str">
        <f>IF(AH105="Check Data ⚠","Check Data ⚠",IFERROR(VLOOKUP(AH105,'G-4 Temporal multipliers'!$A$4:$C$36,3,FALSE),""))</f>
        <v/>
      </c>
      <c r="AJ105" s="398" t="str">
        <f>IF(S105="","",VLOOKUP(S105,'G-3 Multipliers'!$A$2:$E$134,4,FALSE))</f>
        <v/>
      </c>
      <c r="AK105" s="382" t="str">
        <f t="shared" si="19"/>
        <v/>
      </c>
      <c r="AL105" s="382" t="str">
        <f t="shared" si="20"/>
        <v/>
      </c>
      <c r="AM105" s="386" t="str">
        <f>IFERROR(IF(F105="","",IF(AH105="Check Data ⚠","Check Data ⚠",VLOOKUP(AL105, 'G-3 Multipliers'!$P$2:$Q$6,2,FALSE))),"")</f>
        <v/>
      </c>
      <c r="AN105" s="516"/>
      <c r="AO105" s="417" t="str">
        <f>IF(AN105="","",IF(VLOOKUP(AN105,'G-3 Multipliers'!$S$3:$T$10,2,FALSE)=0,"Spatial Data Missing ⚠",VLOOKUP(AN105,'G-3 Multipliers'!$S$3:$T$10,2,FALSE)))</f>
        <v/>
      </c>
      <c r="AP105" s="376" t="str">
        <f t="shared" si="21"/>
        <v/>
      </c>
      <c r="AQ105" s="376" t="str">
        <f t="shared" si="22"/>
        <v/>
      </c>
      <c r="AR105" s="119"/>
      <c r="AS105" s="528"/>
      <c r="AT105" s="120"/>
      <c r="AU105" s="120"/>
    </row>
    <row r="106" spans="1:47">
      <c r="A106" s="30" t="str">
        <f>IF(E106="","",IF(ISNA(VLOOKUP($E106,'D-1 Off-Site Habitat Baseline'!$D$1:$O$258,2,FALSE)),"",(VLOOKUP($E106,'D-1 Off-Site Habitat Baseline'!$D$1:$O$258,2,FALSE))))</f>
        <v/>
      </c>
      <c r="B106" s="30" t="str">
        <f>IF(E106="","",IF(ISNA(VLOOKUP($E106,'D-1 Off-Site Habitat Baseline'!$D$1:$O$258,3,FALSE)),"",(VLOOKUP($E106,'D-1 Off-Site Habitat Baseline'!$D$1:$O$258,3,FALSE))))</f>
        <v/>
      </c>
      <c r="C106" s="30" t="str">
        <f>IFERROR(INDEX('G-8 Condition Look up'!$I$4:$I$135,MATCH(S106,'G-8 Condition Look up'!$A$4:$A$135,0)),"")</f>
        <v/>
      </c>
      <c r="E106" s="407" t="str">
        <f>'D-1 Off-Site Habitat Baseline'!AP105</f>
        <v/>
      </c>
      <c r="F106" s="382" t="str">
        <f>IF(E106="","",IF(ISNA(VLOOKUP($E106,'D-1 Off-Site Habitat Baseline'!$D$1:$O$258,4,FALSE)),"",(VLOOKUP($E106,'D-1 Off-Site Habitat Baseline'!$D$1:$O$258,4,FALSE))))</f>
        <v/>
      </c>
      <c r="G106" s="382" t="str">
        <f>IF(E106="","",IF(ISNA(VLOOKUP($E106,'D-1 Off-Site Habitat Baseline'!$D$1:$O$258,5,FALSE)),"",(VLOOKUP($E106,'D-1 Off-Site Habitat Baseline'!$D$1:$O$258,5,FALSE))))</f>
        <v/>
      </c>
      <c r="H106" s="382" t="str">
        <f>IF(E106="","",IF(ISNA(VLOOKUP($E106,'D-1 Off-Site Habitat Baseline'!$D$1:$O$258,6,FALSE)),"",(VLOOKUP($E106,'D-1 Off-Site Habitat Baseline'!$D$1:$O$258,6,FALSE))))</f>
        <v/>
      </c>
      <c r="I106" s="382" t="str">
        <f>IF(E106="","",IF(ISNA(VLOOKUP($E106,'D-1 Off-Site Habitat Baseline'!$D$1:$O$258,7,FALSE)),"",(VLOOKUP($E106,'D-1 Off-Site Habitat Baseline'!$D$1:$O$258,7,FALSE))))</f>
        <v/>
      </c>
      <c r="J106" s="382" t="str">
        <f>IF(E106="","",IF(ISNA(VLOOKUP($E106,'D-1 Off-Site Habitat Baseline'!$D$1:$O$258,8,FALSE)),"",(VLOOKUP($E106,'D-1 Off-Site Habitat Baseline'!$D$1:$O$258,8,FALSE))))</f>
        <v/>
      </c>
      <c r="K106" s="382" t="str">
        <f>IF(E106="","",IF(ISNA(VLOOKUP($E106,'D-1 Off-Site Habitat Baseline'!$D$1:$O$258,9,FALSE)),"",(VLOOKUP($E106,'D-1 Off-Site Habitat Baseline'!$D$1:$O$258,9,FALSE))))</f>
        <v/>
      </c>
      <c r="L106" s="382" t="str">
        <f>IF(E106="","",IF(ISNA(VLOOKUP($E106,'D-1 Off-Site Habitat Baseline'!$D$1:$O$258,11,FALSE)),"",(VLOOKUP($E106,'D-1 Off-Site Habitat Baseline'!$D$1:$O$258,11,FALSE))))</f>
        <v/>
      </c>
      <c r="M106" s="382" t="str">
        <f>IF(E106="","",IF(ISNA(VLOOKUP($E106,'D-1 Off-Site Habitat Baseline'!$D$1:$O$258,12,FALSE)),"",(VLOOKUP($E106,'D-1 Off-Site Habitat Baseline'!$D$1:$O$258,12,FALSE))))</f>
        <v/>
      </c>
      <c r="N106" s="382" t="str">
        <f>IF(E106="","",IF(ISNA(VLOOKUP($E106,'D-1 Off-Site Habitat Baseline'!$D$1:$AA$258,14,FALSE)),"",(VLOOKUP($E106,'D-1 Off-Site Habitat Baseline'!$D$1:$AA$258,14,FALSE))))</f>
        <v/>
      </c>
      <c r="O106" s="386" t="str">
        <f>IF(E106="","",IF(ISNA(VLOOKUP($E106,'D-1 Off-Site Habitat Baseline'!$D$1:$AA$258,13,FALSE)),"",(VLOOKUP($E106,'D-1 Off-Site Habitat Baseline'!$D$1:$AA$258,13,FALSE))))</f>
        <v/>
      </c>
      <c r="P106" s="184" t="str">
        <f>IFERROR(INDEX('G-1 All Habitats'!$AG$3:$AG$17,MATCH(Q106,'G-1 All Habitats'!$AF$3:$AF$17,0)),"")</f>
        <v/>
      </c>
      <c r="Q106" s="185" t="str">
        <f t="shared" si="14"/>
        <v/>
      </c>
      <c r="R106" s="186" t="str">
        <f t="shared" si="14"/>
        <v/>
      </c>
      <c r="S106" s="187" t="str">
        <f>IFERROR(INDEX('G-1 All Habitats'!$B$3:$B$134,MATCH(R106,'G-1 All Habitats'!$A$3:$A$134,0)),"")</f>
        <v/>
      </c>
      <c r="T106" s="370" t="str">
        <f t="shared" si="15"/>
        <v/>
      </c>
      <c r="U106" s="386" t="str">
        <f t="shared" si="16"/>
        <v/>
      </c>
      <c r="V106" s="385" t="str">
        <f t="shared" si="12"/>
        <v/>
      </c>
      <c r="W106" s="382" t="str">
        <f>IF(S106="","",VLOOKUP(S106,'G-1 All Habitats'!$B$2:$M$134,10,FALSE))</f>
        <v/>
      </c>
      <c r="X106" s="382" t="str">
        <f>IFERROR(VLOOKUP(W106,'G-1 All Habitats'!$V$3:$W$7,2,FALSE),"")</f>
        <v/>
      </c>
      <c r="Y106" s="165"/>
      <c r="Z106" s="386" t="str">
        <f>IFERROR(INDEX('G-8 Condition Look up'!$A$3:$H$135,MATCH(S106,'G-8 Condition Look up'!$A$3:$A$135,0),MATCH(Y106,'G-8 Condition Look up'!$A$3:$H$3,0)),"")</f>
        <v/>
      </c>
      <c r="AA106" s="114"/>
      <c r="AB106" s="401" t="str">
        <f>IF(AA106="","",IF(VLOOKUP(AA106,'G-3 Multipliers'!$L$3:$N$6,2,FALSE)=0,"Spatial Data Missing ⚠",VLOOKUP(AA106,'G-3 Multipliers'!$L$3:$N$6,2,FALSE)))</f>
        <v/>
      </c>
      <c r="AC106" s="386" t="str">
        <f>IF(AA106="","",IF(VLOOKUP(AA106,'G-3 Multipliers'!$L$3:$N$6,3,FALSE)=0,"Spatial Data Missing ⚠",VLOOKUP(AA106,'G-3 Multipliers'!$L$3:$N$6,3,FALSE)))</f>
        <v/>
      </c>
      <c r="AD106" s="398" t="str">
        <f t="shared" si="13"/>
        <v/>
      </c>
      <c r="AE106" s="165"/>
      <c r="AF106" s="165"/>
      <c r="AG106" s="382" t="str">
        <f t="shared" si="17"/>
        <v/>
      </c>
      <c r="AH106" s="404" t="str">
        <f t="shared" si="18"/>
        <v/>
      </c>
      <c r="AI106" s="387" t="str">
        <f>IF(AH106="Check Data ⚠","Check Data ⚠",IFERROR(VLOOKUP(AH106,'G-4 Temporal multipliers'!$A$4:$C$36,3,FALSE),""))</f>
        <v/>
      </c>
      <c r="AJ106" s="398" t="str">
        <f>IF(S106="","",VLOOKUP(S106,'G-3 Multipliers'!$A$2:$E$134,4,FALSE))</f>
        <v/>
      </c>
      <c r="AK106" s="382" t="str">
        <f t="shared" si="19"/>
        <v/>
      </c>
      <c r="AL106" s="382" t="str">
        <f t="shared" si="20"/>
        <v/>
      </c>
      <c r="AM106" s="386" t="str">
        <f>IFERROR(IF(F106="","",IF(AH106="Check Data ⚠","Check Data ⚠",VLOOKUP(AL106, 'G-3 Multipliers'!$P$2:$Q$6,2,FALSE))),"")</f>
        <v/>
      </c>
      <c r="AN106" s="516"/>
      <c r="AO106" s="417" t="str">
        <f>IF(AN106="","",IF(VLOOKUP(AN106,'G-3 Multipliers'!$S$3:$T$10,2,FALSE)=0,"Spatial Data Missing ⚠",VLOOKUP(AN106,'G-3 Multipliers'!$S$3:$T$10,2,FALSE)))</f>
        <v/>
      </c>
      <c r="AP106" s="376" t="str">
        <f t="shared" si="21"/>
        <v/>
      </c>
      <c r="AQ106" s="376" t="str">
        <f t="shared" si="22"/>
        <v/>
      </c>
      <c r="AR106" s="119"/>
      <c r="AS106" s="528"/>
      <c r="AT106" s="120"/>
      <c r="AU106" s="120"/>
    </row>
    <row r="107" spans="1:47">
      <c r="A107" s="30" t="str">
        <f>IF(E107="","",IF(ISNA(VLOOKUP($E107,'D-1 Off-Site Habitat Baseline'!$D$1:$O$258,2,FALSE)),"",(VLOOKUP($E107,'D-1 Off-Site Habitat Baseline'!$D$1:$O$258,2,FALSE))))</f>
        <v/>
      </c>
      <c r="B107" s="30" t="str">
        <f>IF(E107="","",IF(ISNA(VLOOKUP($E107,'D-1 Off-Site Habitat Baseline'!$D$1:$O$258,3,FALSE)),"",(VLOOKUP($E107,'D-1 Off-Site Habitat Baseline'!$D$1:$O$258,3,FALSE))))</f>
        <v/>
      </c>
      <c r="C107" s="30" t="str">
        <f>IFERROR(INDEX('G-8 Condition Look up'!$I$4:$I$135,MATCH(S107,'G-8 Condition Look up'!$A$4:$A$135,0)),"")</f>
        <v/>
      </c>
      <c r="E107" s="407" t="str">
        <f>'D-1 Off-Site Habitat Baseline'!AP106</f>
        <v/>
      </c>
      <c r="F107" s="382" t="str">
        <f>IF(E107="","",IF(ISNA(VLOOKUP($E107,'D-1 Off-Site Habitat Baseline'!$D$1:$O$258,4,FALSE)),"",(VLOOKUP($E107,'D-1 Off-Site Habitat Baseline'!$D$1:$O$258,4,FALSE))))</f>
        <v/>
      </c>
      <c r="G107" s="382" t="str">
        <f>IF(E107="","",IF(ISNA(VLOOKUP($E107,'D-1 Off-Site Habitat Baseline'!$D$1:$O$258,5,FALSE)),"",(VLOOKUP($E107,'D-1 Off-Site Habitat Baseline'!$D$1:$O$258,5,FALSE))))</f>
        <v/>
      </c>
      <c r="H107" s="382" t="str">
        <f>IF(E107="","",IF(ISNA(VLOOKUP($E107,'D-1 Off-Site Habitat Baseline'!$D$1:$O$258,6,FALSE)),"",(VLOOKUP($E107,'D-1 Off-Site Habitat Baseline'!$D$1:$O$258,6,FALSE))))</f>
        <v/>
      </c>
      <c r="I107" s="382" t="str">
        <f>IF(E107="","",IF(ISNA(VLOOKUP($E107,'D-1 Off-Site Habitat Baseline'!$D$1:$O$258,7,FALSE)),"",(VLOOKUP($E107,'D-1 Off-Site Habitat Baseline'!$D$1:$O$258,7,FALSE))))</f>
        <v/>
      </c>
      <c r="J107" s="382" t="str">
        <f>IF(E107="","",IF(ISNA(VLOOKUP($E107,'D-1 Off-Site Habitat Baseline'!$D$1:$O$258,8,FALSE)),"",(VLOOKUP($E107,'D-1 Off-Site Habitat Baseline'!$D$1:$O$258,8,FALSE))))</f>
        <v/>
      </c>
      <c r="K107" s="382" t="str">
        <f>IF(E107="","",IF(ISNA(VLOOKUP($E107,'D-1 Off-Site Habitat Baseline'!$D$1:$O$258,9,FALSE)),"",(VLOOKUP($E107,'D-1 Off-Site Habitat Baseline'!$D$1:$O$258,9,FALSE))))</f>
        <v/>
      </c>
      <c r="L107" s="382" t="str">
        <f>IF(E107="","",IF(ISNA(VLOOKUP($E107,'D-1 Off-Site Habitat Baseline'!$D$1:$O$258,11,FALSE)),"",(VLOOKUP($E107,'D-1 Off-Site Habitat Baseline'!$D$1:$O$258,11,FALSE))))</f>
        <v/>
      </c>
      <c r="M107" s="382" t="str">
        <f>IF(E107="","",IF(ISNA(VLOOKUP($E107,'D-1 Off-Site Habitat Baseline'!$D$1:$O$258,12,FALSE)),"",(VLOOKUP($E107,'D-1 Off-Site Habitat Baseline'!$D$1:$O$258,12,FALSE))))</f>
        <v/>
      </c>
      <c r="N107" s="382" t="str">
        <f>IF(E107="","",IF(ISNA(VLOOKUP($E107,'D-1 Off-Site Habitat Baseline'!$D$1:$AA$258,14,FALSE)),"",(VLOOKUP($E107,'D-1 Off-Site Habitat Baseline'!$D$1:$AA$258,14,FALSE))))</f>
        <v/>
      </c>
      <c r="O107" s="386" t="str">
        <f>IF(E107="","",IF(ISNA(VLOOKUP($E107,'D-1 Off-Site Habitat Baseline'!$D$1:$AA$258,13,FALSE)),"",(VLOOKUP($E107,'D-1 Off-Site Habitat Baseline'!$D$1:$AA$258,13,FALSE))))</f>
        <v/>
      </c>
      <c r="P107" s="184" t="str">
        <f>IFERROR(INDEX('G-1 All Habitats'!$AG$3:$AG$17,MATCH(Q107,'G-1 All Habitats'!$AF$3:$AF$17,0)),"")</f>
        <v/>
      </c>
      <c r="Q107" s="185" t="str">
        <f t="shared" si="14"/>
        <v/>
      </c>
      <c r="R107" s="186" t="str">
        <f t="shared" si="14"/>
        <v/>
      </c>
      <c r="S107" s="187" t="str">
        <f>IFERROR(INDEX('G-1 All Habitats'!$B$3:$B$134,MATCH(R107,'G-1 All Habitats'!$A$3:$A$134,0)),"")</f>
        <v/>
      </c>
      <c r="T107" s="370" t="str">
        <f t="shared" si="15"/>
        <v/>
      </c>
      <c r="U107" s="386" t="str">
        <f t="shared" si="16"/>
        <v/>
      </c>
      <c r="V107" s="385" t="str">
        <f t="shared" si="12"/>
        <v/>
      </c>
      <c r="W107" s="382" t="str">
        <f>IF(S107="","",VLOOKUP(S107,'G-1 All Habitats'!$B$2:$M$134,10,FALSE))</f>
        <v/>
      </c>
      <c r="X107" s="382" t="str">
        <f>IFERROR(VLOOKUP(W107,'G-1 All Habitats'!$V$3:$W$7,2,FALSE),"")</f>
        <v/>
      </c>
      <c r="Y107" s="165"/>
      <c r="Z107" s="386" t="str">
        <f>IFERROR(INDEX('G-8 Condition Look up'!$A$3:$H$135,MATCH(S107,'G-8 Condition Look up'!$A$3:$A$135,0),MATCH(Y107,'G-8 Condition Look up'!$A$3:$H$3,0)),"")</f>
        <v/>
      </c>
      <c r="AA107" s="114"/>
      <c r="AB107" s="401" t="str">
        <f>IF(AA107="","",IF(VLOOKUP(AA107,'G-3 Multipliers'!$L$3:$N$6,2,FALSE)=0,"Spatial Data Missing ⚠",VLOOKUP(AA107,'G-3 Multipliers'!$L$3:$N$6,2,FALSE)))</f>
        <v/>
      </c>
      <c r="AC107" s="386" t="str">
        <f>IF(AA107="","",IF(VLOOKUP(AA107,'G-3 Multipliers'!$L$3:$N$6,3,FALSE)=0,"Spatial Data Missing ⚠",VLOOKUP(AA107,'G-3 Multipliers'!$L$3:$N$6,3,FALSE)))</f>
        <v/>
      </c>
      <c r="AD107" s="398" t="str">
        <f t="shared" si="13"/>
        <v/>
      </c>
      <c r="AE107" s="165"/>
      <c r="AF107" s="165"/>
      <c r="AG107" s="382" t="str">
        <f t="shared" si="17"/>
        <v/>
      </c>
      <c r="AH107" s="404" t="str">
        <f t="shared" si="18"/>
        <v/>
      </c>
      <c r="AI107" s="387" t="str">
        <f>IF(AH107="Check Data ⚠","Check Data ⚠",IFERROR(VLOOKUP(AH107,'G-4 Temporal multipliers'!$A$4:$C$36,3,FALSE),""))</f>
        <v/>
      </c>
      <c r="AJ107" s="398" t="str">
        <f>IF(S107="","",VLOOKUP(S107,'G-3 Multipliers'!$A$2:$E$134,4,FALSE))</f>
        <v/>
      </c>
      <c r="AK107" s="382" t="str">
        <f t="shared" si="19"/>
        <v/>
      </c>
      <c r="AL107" s="382" t="str">
        <f t="shared" si="20"/>
        <v/>
      </c>
      <c r="AM107" s="386" t="str">
        <f>IFERROR(IF(F107="","",IF(AH107="Check Data ⚠","Check Data ⚠",VLOOKUP(AL107, 'G-3 Multipliers'!$P$2:$Q$6,2,FALSE))),"")</f>
        <v/>
      </c>
      <c r="AN107" s="516"/>
      <c r="AO107" s="417" t="str">
        <f>IF(AN107="","",IF(VLOOKUP(AN107,'G-3 Multipliers'!$S$3:$T$10,2,FALSE)=0,"Spatial Data Missing ⚠",VLOOKUP(AN107,'G-3 Multipliers'!$S$3:$T$10,2,FALSE)))</f>
        <v/>
      </c>
      <c r="AP107" s="376" t="str">
        <f t="shared" si="21"/>
        <v/>
      </c>
      <c r="AQ107" s="376" t="str">
        <f t="shared" si="22"/>
        <v/>
      </c>
      <c r="AR107" s="119"/>
      <c r="AS107" s="528"/>
      <c r="AT107" s="120"/>
      <c r="AU107" s="120"/>
    </row>
    <row r="108" spans="1:47">
      <c r="A108" s="30" t="str">
        <f>IF(E108="","",IF(ISNA(VLOOKUP($E108,'D-1 Off-Site Habitat Baseline'!$D$1:$O$258,2,FALSE)),"",(VLOOKUP($E108,'D-1 Off-Site Habitat Baseline'!$D$1:$O$258,2,FALSE))))</f>
        <v/>
      </c>
      <c r="B108" s="30" t="str">
        <f>IF(E108="","",IF(ISNA(VLOOKUP($E108,'D-1 Off-Site Habitat Baseline'!$D$1:$O$258,3,FALSE)),"",(VLOOKUP($E108,'D-1 Off-Site Habitat Baseline'!$D$1:$O$258,3,FALSE))))</f>
        <v/>
      </c>
      <c r="C108" s="30" t="str">
        <f>IFERROR(INDEX('G-8 Condition Look up'!$I$4:$I$135,MATCH(S108,'G-8 Condition Look up'!$A$4:$A$135,0)),"")</f>
        <v/>
      </c>
      <c r="E108" s="407" t="str">
        <f>'D-1 Off-Site Habitat Baseline'!AP107</f>
        <v/>
      </c>
      <c r="F108" s="382" t="str">
        <f>IF(E108="","",IF(ISNA(VLOOKUP($E108,'D-1 Off-Site Habitat Baseline'!$D$1:$O$258,4,FALSE)),"",(VLOOKUP($E108,'D-1 Off-Site Habitat Baseline'!$D$1:$O$258,4,FALSE))))</f>
        <v/>
      </c>
      <c r="G108" s="382" t="str">
        <f>IF(E108="","",IF(ISNA(VLOOKUP($E108,'D-1 Off-Site Habitat Baseline'!$D$1:$O$258,5,FALSE)),"",(VLOOKUP($E108,'D-1 Off-Site Habitat Baseline'!$D$1:$O$258,5,FALSE))))</f>
        <v/>
      </c>
      <c r="H108" s="382" t="str">
        <f>IF(E108="","",IF(ISNA(VLOOKUP($E108,'D-1 Off-Site Habitat Baseline'!$D$1:$O$258,6,FALSE)),"",(VLOOKUP($E108,'D-1 Off-Site Habitat Baseline'!$D$1:$O$258,6,FALSE))))</f>
        <v/>
      </c>
      <c r="I108" s="382" t="str">
        <f>IF(E108="","",IF(ISNA(VLOOKUP($E108,'D-1 Off-Site Habitat Baseline'!$D$1:$O$258,7,FALSE)),"",(VLOOKUP($E108,'D-1 Off-Site Habitat Baseline'!$D$1:$O$258,7,FALSE))))</f>
        <v/>
      </c>
      <c r="J108" s="382" t="str">
        <f>IF(E108="","",IF(ISNA(VLOOKUP($E108,'D-1 Off-Site Habitat Baseline'!$D$1:$O$258,8,FALSE)),"",(VLOOKUP($E108,'D-1 Off-Site Habitat Baseline'!$D$1:$O$258,8,FALSE))))</f>
        <v/>
      </c>
      <c r="K108" s="382" t="str">
        <f>IF(E108="","",IF(ISNA(VLOOKUP($E108,'D-1 Off-Site Habitat Baseline'!$D$1:$O$258,9,FALSE)),"",(VLOOKUP($E108,'D-1 Off-Site Habitat Baseline'!$D$1:$O$258,9,FALSE))))</f>
        <v/>
      </c>
      <c r="L108" s="382" t="str">
        <f>IF(E108="","",IF(ISNA(VLOOKUP($E108,'D-1 Off-Site Habitat Baseline'!$D$1:$O$258,11,FALSE)),"",(VLOOKUP($E108,'D-1 Off-Site Habitat Baseline'!$D$1:$O$258,11,FALSE))))</f>
        <v/>
      </c>
      <c r="M108" s="382" t="str">
        <f>IF(E108="","",IF(ISNA(VLOOKUP($E108,'D-1 Off-Site Habitat Baseline'!$D$1:$O$258,12,FALSE)),"",(VLOOKUP($E108,'D-1 Off-Site Habitat Baseline'!$D$1:$O$258,12,FALSE))))</f>
        <v/>
      </c>
      <c r="N108" s="382" t="str">
        <f>IF(E108="","",IF(ISNA(VLOOKUP($E108,'D-1 Off-Site Habitat Baseline'!$D$1:$AA$258,14,FALSE)),"",(VLOOKUP($E108,'D-1 Off-Site Habitat Baseline'!$D$1:$AA$258,14,FALSE))))</f>
        <v/>
      </c>
      <c r="O108" s="386" t="str">
        <f>IF(E108="","",IF(ISNA(VLOOKUP($E108,'D-1 Off-Site Habitat Baseline'!$D$1:$AA$258,13,FALSE)),"",(VLOOKUP($E108,'D-1 Off-Site Habitat Baseline'!$D$1:$AA$258,13,FALSE))))</f>
        <v/>
      </c>
      <c r="P108" s="184" t="str">
        <f>IFERROR(INDEX('G-1 All Habitats'!$AG$3:$AG$17,MATCH(Q108,'G-1 All Habitats'!$AF$3:$AF$17,0)),"")</f>
        <v/>
      </c>
      <c r="Q108" s="185" t="str">
        <f t="shared" si="14"/>
        <v/>
      </c>
      <c r="R108" s="186" t="str">
        <f t="shared" si="14"/>
        <v/>
      </c>
      <c r="S108" s="187" t="str">
        <f>IFERROR(INDEX('G-1 All Habitats'!$B$3:$B$134,MATCH(R108,'G-1 All Habitats'!$A$3:$A$134,0)),"")</f>
        <v/>
      </c>
      <c r="T108" s="370" t="str">
        <f t="shared" si="15"/>
        <v/>
      </c>
      <c r="U108" s="386" t="str">
        <f t="shared" si="16"/>
        <v/>
      </c>
      <c r="V108" s="385" t="str">
        <f t="shared" si="12"/>
        <v/>
      </c>
      <c r="W108" s="382" t="str">
        <f>IF(S108="","",VLOOKUP(S108,'G-1 All Habitats'!$B$2:$M$134,10,FALSE))</f>
        <v/>
      </c>
      <c r="X108" s="382" t="str">
        <f>IFERROR(VLOOKUP(W108,'G-1 All Habitats'!$V$3:$W$7,2,FALSE),"")</f>
        <v/>
      </c>
      <c r="Y108" s="165"/>
      <c r="Z108" s="386" t="str">
        <f>IFERROR(INDEX('G-8 Condition Look up'!$A$3:$H$135,MATCH(S108,'G-8 Condition Look up'!$A$3:$A$135,0),MATCH(Y108,'G-8 Condition Look up'!$A$3:$H$3,0)),"")</f>
        <v/>
      </c>
      <c r="AA108" s="114"/>
      <c r="AB108" s="401" t="str">
        <f>IF(AA108="","",IF(VLOOKUP(AA108,'G-3 Multipliers'!$L$3:$N$6,2,FALSE)=0,"Spatial Data Missing ⚠",VLOOKUP(AA108,'G-3 Multipliers'!$L$3:$N$6,2,FALSE)))</f>
        <v/>
      </c>
      <c r="AC108" s="386" t="str">
        <f>IF(AA108="","",IF(VLOOKUP(AA108,'G-3 Multipliers'!$L$3:$N$6,3,FALSE)=0,"Spatial Data Missing ⚠",VLOOKUP(AA108,'G-3 Multipliers'!$L$3:$N$6,3,FALSE)))</f>
        <v/>
      </c>
      <c r="AD108" s="398" t="str">
        <f t="shared" si="13"/>
        <v/>
      </c>
      <c r="AE108" s="165"/>
      <c r="AF108" s="165"/>
      <c r="AG108" s="382" t="str">
        <f t="shared" si="17"/>
        <v/>
      </c>
      <c r="AH108" s="404" t="str">
        <f t="shared" si="18"/>
        <v/>
      </c>
      <c r="AI108" s="387" t="str">
        <f>IF(AH108="Check Data ⚠","Check Data ⚠",IFERROR(VLOOKUP(AH108,'G-4 Temporal multipliers'!$A$4:$C$36,3,FALSE),""))</f>
        <v/>
      </c>
      <c r="AJ108" s="398" t="str">
        <f>IF(S108="","",VLOOKUP(S108,'G-3 Multipliers'!$A$2:$E$134,4,FALSE))</f>
        <v/>
      </c>
      <c r="AK108" s="382" t="str">
        <f t="shared" si="19"/>
        <v/>
      </c>
      <c r="AL108" s="382" t="str">
        <f t="shared" si="20"/>
        <v/>
      </c>
      <c r="AM108" s="386" t="str">
        <f>IFERROR(IF(F108="","",IF(AH108="Check Data ⚠","Check Data ⚠",VLOOKUP(AL108, 'G-3 Multipliers'!$P$2:$Q$6,2,FALSE))),"")</f>
        <v/>
      </c>
      <c r="AN108" s="516"/>
      <c r="AO108" s="417" t="str">
        <f>IF(AN108="","",IF(VLOOKUP(AN108,'G-3 Multipliers'!$S$3:$T$10,2,FALSE)=0,"Spatial Data Missing ⚠",VLOOKUP(AN108,'G-3 Multipliers'!$S$3:$T$10,2,FALSE)))</f>
        <v/>
      </c>
      <c r="AP108" s="376" t="str">
        <f t="shared" si="21"/>
        <v/>
      </c>
      <c r="AQ108" s="376" t="str">
        <f t="shared" si="22"/>
        <v/>
      </c>
      <c r="AR108" s="119"/>
      <c r="AS108" s="528"/>
      <c r="AT108" s="120"/>
      <c r="AU108" s="120"/>
    </row>
    <row r="109" spans="1:47">
      <c r="A109" s="30" t="str">
        <f>IF(E109="","",IF(ISNA(VLOOKUP($E109,'D-1 Off-Site Habitat Baseline'!$D$1:$O$258,2,FALSE)),"",(VLOOKUP($E109,'D-1 Off-Site Habitat Baseline'!$D$1:$O$258,2,FALSE))))</f>
        <v/>
      </c>
      <c r="B109" s="30" t="str">
        <f>IF(E109="","",IF(ISNA(VLOOKUP($E109,'D-1 Off-Site Habitat Baseline'!$D$1:$O$258,3,FALSE)),"",(VLOOKUP($E109,'D-1 Off-Site Habitat Baseline'!$D$1:$O$258,3,FALSE))))</f>
        <v/>
      </c>
      <c r="C109" s="30" t="str">
        <f>IFERROR(INDEX('G-8 Condition Look up'!$I$4:$I$135,MATCH(S109,'G-8 Condition Look up'!$A$4:$A$135,0)),"")</f>
        <v/>
      </c>
      <c r="E109" s="407" t="str">
        <f>'D-1 Off-Site Habitat Baseline'!AP108</f>
        <v/>
      </c>
      <c r="F109" s="382" t="str">
        <f>IF(E109="","",IF(ISNA(VLOOKUP($E109,'D-1 Off-Site Habitat Baseline'!$D$1:$O$258,4,FALSE)),"",(VLOOKUP($E109,'D-1 Off-Site Habitat Baseline'!$D$1:$O$258,4,FALSE))))</f>
        <v/>
      </c>
      <c r="G109" s="382" t="str">
        <f>IF(E109="","",IF(ISNA(VLOOKUP($E109,'D-1 Off-Site Habitat Baseline'!$D$1:$O$258,5,FALSE)),"",(VLOOKUP($E109,'D-1 Off-Site Habitat Baseline'!$D$1:$O$258,5,FALSE))))</f>
        <v/>
      </c>
      <c r="H109" s="382" t="str">
        <f>IF(E109="","",IF(ISNA(VLOOKUP($E109,'D-1 Off-Site Habitat Baseline'!$D$1:$O$258,6,FALSE)),"",(VLOOKUP($E109,'D-1 Off-Site Habitat Baseline'!$D$1:$O$258,6,FALSE))))</f>
        <v/>
      </c>
      <c r="I109" s="382" t="str">
        <f>IF(E109="","",IF(ISNA(VLOOKUP($E109,'D-1 Off-Site Habitat Baseline'!$D$1:$O$258,7,FALSE)),"",(VLOOKUP($E109,'D-1 Off-Site Habitat Baseline'!$D$1:$O$258,7,FALSE))))</f>
        <v/>
      </c>
      <c r="J109" s="382" t="str">
        <f>IF(E109="","",IF(ISNA(VLOOKUP($E109,'D-1 Off-Site Habitat Baseline'!$D$1:$O$258,8,FALSE)),"",(VLOOKUP($E109,'D-1 Off-Site Habitat Baseline'!$D$1:$O$258,8,FALSE))))</f>
        <v/>
      </c>
      <c r="K109" s="382" t="str">
        <f>IF(E109="","",IF(ISNA(VLOOKUP($E109,'D-1 Off-Site Habitat Baseline'!$D$1:$O$258,9,FALSE)),"",(VLOOKUP($E109,'D-1 Off-Site Habitat Baseline'!$D$1:$O$258,9,FALSE))))</f>
        <v/>
      </c>
      <c r="L109" s="382" t="str">
        <f>IF(E109="","",IF(ISNA(VLOOKUP($E109,'D-1 Off-Site Habitat Baseline'!$D$1:$O$258,11,FALSE)),"",(VLOOKUP($E109,'D-1 Off-Site Habitat Baseline'!$D$1:$O$258,11,FALSE))))</f>
        <v/>
      </c>
      <c r="M109" s="382" t="str">
        <f>IF(E109="","",IF(ISNA(VLOOKUP($E109,'D-1 Off-Site Habitat Baseline'!$D$1:$O$258,12,FALSE)),"",(VLOOKUP($E109,'D-1 Off-Site Habitat Baseline'!$D$1:$O$258,12,FALSE))))</f>
        <v/>
      </c>
      <c r="N109" s="382" t="str">
        <f>IF(E109="","",IF(ISNA(VLOOKUP($E109,'D-1 Off-Site Habitat Baseline'!$D$1:$AA$258,14,FALSE)),"",(VLOOKUP($E109,'D-1 Off-Site Habitat Baseline'!$D$1:$AA$258,14,FALSE))))</f>
        <v/>
      </c>
      <c r="O109" s="386" t="str">
        <f>IF(E109="","",IF(ISNA(VLOOKUP($E109,'D-1 Off-Site Habitat Baseline'!$D$1:$AA$258,13,FALSE)),"",(VLOOKUP($E109,'D-1 Off-Site Habitat Baseline'!$D$1:$AA$258,13,FALSE))))</f>
        <v/>
      </c>
      <c r="P109" s="184" t="str">
        <f>IFERROR(INDEX('G-1 All Habitats'!$AG$3:$AG$17,MATCH(Q109,'G-1 All Habitats'!$AF$3:$AF$17,0)),"")</f>
        <v/>
      </c>
      <c r="Q109" s="185" t="str">
        <f t="shared" si="14"/>
        <v/>
      </c>
      <c r="R109" s="186" t="str">
        <f t="shared" si="14"/>
        <v/>
      </c>
      <c r="S109" s="187" t="str">
        <f>IFERROR(INDEX('G-1 All Habitats'!$B$3:$B$134,MATCH(R109,'G-1 All Habitats'!$A$3:$A$134,0)),"")</f>
        <v/>
      </c>
      <c r="T109" s="370" t="str">
        <f t="shared" si="15"/>
        <v/>
      </c>
      <c r="U109" s="386" t="str">
        <f t="shared" si="16"/>
        <v/>
      </c>
      <c r="V109" s="385" t="str">
        <f t="shared" si="12"/>
        <v/>
      </c>
      <c r="W109" s="382" t="str">
        <f>IF(S109="","",VLOOKUP(S109,'G-1 All Habitats'!$B$2:$M$134,10,FALSE))</f>
        <v/>
      </c>
      <c r="X109" s="382" t="str">
        <f>IFERROR(VLOOKUP(W109,'G-1 All Habitats'!$V$3:$W$7,2,FALSE),"")</f>
        <v/>
      </c>
      <c r="Y109" s="165"/>
      <c r="Z109" s="386" t="str">
        <f>IFERROR(INDEX('G-8 Condition Look up'!$A$3:$H$135,MATCH(S109,'G-8 Condition Look up'!$A$3:$A$135,0),MATCH(Y109,'G-8 Condition Look up'!$A$3:$H$3,0)),"")</f>
        <v/>
      </c>
      <c r="AA109" s="114"/>
      <c r="AB109" s="401" t="str">
        <f>IF(AA109="","",IF(VLOOKUP(AA109,'G-3 Multipliers'!$L$3:$N$6,2,FALSE)=0,"Spatial Data Missing ⚠",VLOOKUP(AA109,'G-3 Multipliers'!$L$3:$N$6,2,FALSE)))</f>
        <v/>
      </c>
      <c r="AC109" s="386" t="str">
        <f>IF(AA109="","",IF(VLOOKUP(AA109,'G-3 Multipliers'!$L$3:$N$6,3,FALSE)=0,"Spatial Data Missing ⚠",VLOOKUP(AA109,'G-3 Multipliers'!$L$3:$N$6,3,FALSE)))</f>
        <v/>
      </c>
      <c r="AD109" s="398" t="str">
        <f t="shared" si="13"/>
        <v/>
      </c>
      <c r="AE109" s="165"/>
      <c r="AF109" s="165"/>
      <c r="AG109" s="382" t="str">
        <f t="shared" si="17"/>
        <v/>
      </c>
      <c r="AH109" s="404" t="str">
        <f t="shared" si="18"/>
        <v/>
      </c>
      <c r="AI109" s="387" t="str">
        <f>IF(AH109="Check Data ⚠","Check Data ⚠",IFERROR(VLOOKUP(AH109,'G-4 Temporal multipliers'!$A$4:$C$36,3,FALSE),""))</f>
        <v/>
      </c>
      <c r="AJ109" s="398" t="str">
        <f>IF(S109="","",VLOOKUP(S109,'G-3 Multipliers'!$A$2:$E$134,4,FALSE))</f>
        <v/>
      </c>
      <c r="AK109" s="382" t="str">
        <f t="shared" si="19"/>
        <v/>
      </c>
      <c r="AL109" s="382" t="str">
        <f t="shared" si="20"/>
        <v/>
      </c>
      <c r="AM109" s="386" t="str">
        <f>IFERROR(IF(F109="","",IF(AH109="Check Data ⚠","Check Data ⚠",VLOOKUP(AL109, 'G-3 Multipliers'!$P$2:$Q$6,2,FALSE))),"")</f>
        <v/>
      </c>
      <c r="AN109" s="516"/>
      <c r="AO109" s="417" t="str">
        <f>IF(AN109="","",IF(VLOOKUP(AN109,'G-3 Multipliers'!$S$3:$T$10,2,FALSE)=0,"Spatial Data Missing ⚠",VLOOKUP(AN109,'G-3 Multipliers'!$S$3:$T$10,2,FALSE)))</f>
        <v/>
      </c>
      <c r="AP109" s="376" t="str">
        <f t="shared" si="21"/>
        <v/>
      </c>
      <c r="AQ109" s="376" t="str">
        <f t="shared" si="22"/>
        <v/>
      </c>
      <c r="AR109" s="119"/>
      <c r="AS109" s="528"/>
      <c r="AT109" s="120"/>
      <c r="AU109" s="120"/>
    </row>
    <row r="110" spans="1:47">
      <c r="A110" s="30" t="str">
        <f>IF(E110="","",IF(ISNA(VLOOKUP($E110,'D-1 Off-Site Habitat Baseline'!$D$1:$O$258,2,FALSE)),"",(VLOOKUP($E110,'D-1 Off-Site Habitat Baseline'!$D$1:$O$258,2,FALSE))))</f>
        <v/>
      </c>
      <c r="B110" s="30" t="str">
        <f>IF(E110="","",IF(ISNA(VLOOKUP($E110,'D-1 Off-Site Habitat Baseline'!$D$1:$O$258,3,FALSE)),"",(VLOOKUP($E110,'D-1 Off-Site Habitat Baseline'!$D$1:$O$258,3,FALSE))))</f>
        <v/>
      </c>
      <c r="C110" s="30" t="str">
        <f>IFERROR(INDEX('G-8 Condition Look up'!$I$4:$I$135,MATCH(S110,'G-8 Condition Look up'!$A$4:$A$135,0)),"")</f>
        <v/>
      </c>
      <c r="E110" s="407" t="str">
        <f>'D-1 Off-Site Habitat Baseline'!AP109</f>
        <v/>
      </c>
      <c r="F110" s="382" t="str">
        <f>IF(E110="","",IF(ISNA(VLOOKUP($E110,'D-1 Off-Site Habitat Baseline'!$D$1:$O$258,4,FALSE)),"",(VLOOKUP($E110,'D-1 Off-Site Habitat Baseline'!$D$1:$O$258,4,FALSE))))</f>
        <v/>
      </c>
      <c r="G110" s="382" t="str">
        <f>IF(E110="","",IF(ISNA(VLOOKUP($E110,'D-1 Off-Site Habitat Baseline'!$D$1:$O$258,5,FALSE)),"",(VLOOKUP($E110,'D-1 Off-Site Habitat Baseline'!$D$1:$O$258,5,FALSE))))</f>
        <v/>
      </c>
      <c r="H110" s="382" t="str">
        <f>IF(E110="","",IF(ISNA(VLOOKUP($E110,'D-1 Off-Site Habitat Baseline'!$D$1:$O$258,6,FALSE)),"",(VLOOKUP($E110,'D-1 Off-Site Habitat Baseline'!$D$1:$O$258,6,FALSE))))</f>
        <v/>
      </c>
      <c r="I110" s="382" t="str">
        <f>IF(E110="","",IF(ISNA(VLOOKUP($E110,'D-1 Off-Site Habitat Baseline'!$D$1:$O$258,7,FALSE)),"",(VLOOKUP($E110,'D-1 Off-Site Habitat Baseline'!$D$1:$O$258,7,FALSE))))</f>
        <v/>
      </c>
      <c r="J110" s="382" t="str">
        <f>IF(E110="","",IF(ISNA(VLOOKUP($E110,'D-1 Off-Site Habitat Baseline'!$D$1:$O$258,8,FALSE)),"",(VLOOKUP($E110,'D-1 Off-Site Habitat Baseline'!$D$1:$O$258,8,FALSE))))</f>
        <v/>
      </c>
      <c r="K110" s="382" t="str">
        <f>IF(E110="","",IF(ISNA(VLOOKUP($E110,'D-1 Off-Site Habitat Baseline'!$D$1:$O$258,9,FALSE)),"",(VLOOKUP($E110,'D-1 Off-Site Habitat Baseline'!$D$1:$O$258,9,FALSE))))</f>
        <v/>
      </c>
      <c r="L110" s="382" t="str">
        <f>IF(E110="","",IF(ISNA(VLOOKUP($E110,'D-1 Off-Site Habitat Baseline'!$D$1:$O$258,11,FALSE)),"",(VLOOKUP($E110,'D-1 Off-Site Habitat Baseline'!$D$1:$O$258,11,FALSE))))</f>
        <v/>
      </c>
      <c r="M110" s="382" t="str">
        <f>IF(E110="","",IF(ISNA(VLOOKUP($E110,'D-1 Off-Site Habitat Baseline'!$D$1:$O$258,12,FALSE)),"",(VLOOKUP($E110,'D-1 Off-Site Habitat Baseline'!$D$1:$O$258,12,FALSE))))</f>
        <v/>
      </c>
      <c r="N110" s="382" t="str">
        <f>IF(E110="","",IF(ISNA(VLOOKUP($E110,'D-1 Off-Site Habitat Baseline'!$D$1:$AA$258,14,FALSE)),"",(VLOOKUP($E110,'D-1 Off-Site Habitat Baseline'!$D$1:$AA$258,14,FALSE))))</f>
        <v/>
      </c>
      <c r="O110" s="386" t="str">
        <f>IF(E110="","",IF(ISNA(VLOOKUP($E110,'D-1 Off-Site Habitat Baseline'!$D$1:$AA$258,13,FALSE)),"",(VLOOKUP($E110,'D-1 Off-Site Habitat Baseline'!$D$1:$AA$258,13,FALSE))))</f>
        <v/>
      </c>
      <c r="P110" s="184" t="str">
        <f>IFERROR(INDEX('G-1 All Habitats'!$AG$3:$AG$17,MATCH(Q110,'G-1 All Habitats'!$AF$3:$AF$17,0)),"")</f>
        <v/>
      </c>
      <c r="Q110" s="185" t="str">
        <f t="shared" si="14"/>
        <v/>
      </c>
      <c r="R110" s="186" t="str">
        <f t="shared" si="14"/>
        <v/>
      </c>
      <c r="S110" s="187" t="str">
        <f>IFERROR(INDEX('G-1 All Habitats'!$B$3:$B$134,MATCH(R110,'G-1 All Habitats'!$A$3:$A$134,0)),"")</f>
        <v/>
      </c>
      <c r="T110" s="370" t="str">
        <f t="shared" si="15"/>
        <v/>
      </c>
      <c r="U110" s="386" t="str">
        <f t="shared" si="16"/>
        <v/>
      </c>
      <c r="V110" s="385" t="str">
        <f t="shared" si="12"/>
        <v/>
      </c>
      <c r="W110" s="382" t="str">
        <f>IF(S110="","",VLOOKUP(S110,'G-1 All Habitats'!$B$2:$M$134,10,FALSE))</f>
        <v/>
      </c>
      <c r="X110" s="382" t="str">
        <f>IFERROR(VLOOKUP(W110,'G-1 All Habitats'!$V$3:$W$7,2,FALSE),"")</f>
        <v/>
      </c>
      <c r="Y110" s="165"/>
      <c r="Z110" s="386" t="str">
        <f>IFERROR(INDEX('G-8 Condition Look up'!$A$3:$H$135,MATCH(S110,'G-8 Condition Look up'!$A$3:$A$135,0),MATCH(Y110,'G-8 Condition Look up'!$A$3:$H$3,0)),"")</f>
        <v/>
      </c>
      <c r="AA110" s="114"/>
      <c r="AB110" s="401" t="str">
        <f>IF(AA110="","",IF(VLOOKUP(AA110,'G-3 Multipliers'!$L$3:$N$6,2,FALSE)=0,"Spatial Data Missing ⚠",VLOOKUP(AA110,'G-3 Multipliers'!$L$3:$N$6,2,FALSE)))</f>
        <v/>
      </c>
      <c r="AC110" s="386" t="str">
        <f>IF(AA110="","",IF(VLOOKUP(AA110,'G-3 Multipliers'!$L$3:$N$6,3,FALSE)=0,"Spatial Data Missing ⚠",VLOOKUP(AA110,'G-3 Multipliers'!$L$3:$N$6,3,FALSE)))</f>
        <v/>
      </c>
      <c r="AD110" s="398" t="str">
        <f t="shared" si="13"/>
        <v/>
      </c>
      <c r="AE110" s="165"/>
      <c r="AF110" s="165"/>
      <c r="AG110" s="382" t="str">
        <f t="shared" si="17"/>
        <v/>
      </c>
      <c r="AH110" s="404" t="str">
        <f t="shared" si="18"/>
        <v/>
      </c>
      <c r="AI110" s="387" t="str">
        <f>IF(AH110="Check Data ⚠","Check Data ⚠",IFERROR(VLOOKUP(AH110,'G-4 Temporal multipliers'!$A$4:$C$36,3,FALSE),""))</f>
        <v/>
      </c>
      <c r="AJ110" s="398" t="str">
        <f>IF(S110="","",VLOOKUP(S110,'G-3 Multipliers'!$A$2:$E$134,4,FALSE))</f>
        <v/>
      </c>
      <c r="AK110" s="382" t="str">
        <f t="shared" si="19"/>
        <v/>
      </c>
      <c r="AL110" s="382" t="str">
        <f t="shared" si="20"/>
        <v/>
      </c>
      <c r="AM110" s="386" t="str">
        <f>IFERROR(IF(F110="","",IF(AH110="Check Data ⚠","Check Data ⚠",VLOOKUP(AL110, 'G-3 Multipliers'!$P$2:$Q$6,2,FALSE))),"")</f>
        <v/>
      </c>
      <c r="AN110" s="516"/>
      <c r="AO110" s="417" t="str">
        <f>IF(AN110="","",IF(VLOOKUP(AN110,'G-3 Multipliers'!$S$3:$T$10,2,FALSE)=0,"Spatial Data Missing ⚠",VLOOKUP(AN110,'G-3 Multipliers'!$S$3:$T$10,2,FALSE)))</f>
        <v/>
      </c>
      <c r="AP110" s="376" t="str">
        <f t="shared" si="21"/>
        <v/>
      </c>
      <c r="AQ110" s="376" t="str">
        <f t="shared" si="22"/>
        <v/>
      </c>
      <c r="AR110" s="119"/>
      <c r="AS110" s="528"/>
      <c r="AT110" s="120"/>
      <c r="AU110" s="120"/>
    </row>
    <row r="111" spans="1:47">
      <c r="A111" s="30" t="str">
        <f>IF(E111="","",IF(ISNA(VLOOKUP($E111,'D-1 Off-Site Habitat Baseline'!$D$1:$O$258,2,FALSE)),"",(VLOOKUP($E111,'D-1 Off-Site Habitat Baseline'!$D$1:$O$258,2,FALSE))))</f>
        <v/>
      </c>
      <c r="B111" s="30" t="str">
        <f>IF(E111="","",IF(ISNA(VLOOKUP($E111,'D-1 Off-Site Habitat Baseline'!$D$1:$O$258,3,FALSE)),"",(VLOOKUP($E111,'D-1 Off-Site Habitat Baseline'!$D$1:$O$258,3,FALSE))))</f>
        <v/>
      </c>
      <c r="C111" s="30" t="str">
        <f>IFERROR(INDEX('G-8 Condition Look up'!$I$4:$I$135,MATCH(S111,'G-8 Condition Look up'!$A$4:$A$135,0)),"")</f>
        <v/>
      </c>
      <c r="E111" s="407" t="str">
        <f>'D-1 Off-Site Habitat Baseline'!AP110</f>
        <v/>
      </c>
      <c r="F111" s="382" t="str">
        <f>IF(E111="","",IF(ISNA(VLOOKUP($E111,'D-1 Off-Site Habitat Baseline'!$D$1:$O$258,4,FALSE)),"",(VLOOKUP($E111,'D-1 Off-Site Habitat Baseline'!$D$1:$O$258,4,FALSE))))</f>
        <v/>
      </c>
      <c r="G111" s="382" t="str">
        <f>IF(E111="","",IF(ISNA(VLOOKUP($E111,'D-1 Off-Site Habitat Baseline'!$D$1:$O$258,5,FALSE)),"",(VLOOKUP($E111,'D-1 Off-Site Habitat Baseline'!$D$1:$O$258,5,FALSE))))</f>
        <v/>
      </c>
      <c r="H111" s="382" t="str">
        <f>IF(E111="","",IF(ISNA(VLOOKUP($E111,'D-1 Off-Site Habitat Baseline'!$D$1:$O$258,6,FALSE)),"",(VLOOKUP($E111,'D-1 Off-Site Habitat Baseline'!$D$1:$O$258,6,FALSE))))</f>
        <v/>
      </c>
      <c r="I111" s="382" t="str">
        <f>IF(E111="","",IF(ISNA(VLOOKUP($E111,'D-1 Off-Site Habitat Baseline'!$D$1:$O$258,7,FALSE)),"",(VLOOKUP($E111,'D-1 Off-Site Habitat Baseline'!$D$1:$O$258,7,FALSE))))</f>
        <v/>
      </c>
      <c r="J111" s="382" t="str">
        <f>IF(E111="","",IF(ISNA(VLOOKUP($E111,'D-1 Off-Site Habitat Baseline'!$D$1:$O$258,8,FALSE)),"",(VLOOKUP($E111,'D-1 Off-Site Habitat Baseline'!$D$1:$O$258,8,FALSE))))</f>
        <v/>
      </c>
      <c r="K111" s="382" t="str">
        <f>IF(E111="","",IF(ISNA(VLOOKUP($E111,'D-1 Off-Site Habitat Baseline'!$D$1:$O$258,9,FALSE)),"",(VLOOKUP($E111,'D-1 Off-Site Habitat Baseline'!$D$1:$O$258,9,FALSE))))</f>
        <v/>
      </c>
      <c r="L111" s="382" t="str">
        <f>IF(E111="","",IF(ISNA(VLOOKUP($E111,'D-1 Off-Site Habitat Baseline'!$D$1:$O$258,11,FALSE)),"",(VLOOKUP($E111,'D-1 Off-Site Habitat Baseline'!$D$1:$O$258,11,FALSE))))</f>
        <v/>
      </c>
      <c r="M111" s="382" t="str">
        <f>IF(E111="","",IF(ISNA(VLOOKUP($E111,'D-1 Off-Site Habitat Baseline'!$D$1:$O$258,12,FALSE)),"",(VLOOKUP($E111,'D-1 Off-Site Habitat Baseline'!$D$1:$O$258,12,FALSE))))</f>
        <v/>
      </c>
      <c r="N111" s="382" t="str">
        <f>IF(E111="","",IF(ISNA(VLOOKUP($E111,'D-1 Off-Site Habitat Baseline'!$D$1:$AA$258,14,FALSE)),"",(VLOOKUP($E111,'D-1 Off-Site Habitat Baseline'!$D$1:$AA$258,14,FALSE))))</f>
        <v/>
      </c>
      <c r="O111" s="386" t="str">
        <f>IF(E111="","",IF(ISNA(VLOOKUP($E111,'D-1 Off-Site Habitat Baseline'!$D$1:$AA$258,13,FALSE)),"",(VLOOKUP($E111,'D-1 Off-Site Habitat Baseline'!$D$1:$AA$258,13,FALSE))))</f>
        <v/>
      </c>
      <c r="P111" s="184" t="str">
        <f>IFERROR(INDEX('G-1 All Habitats'!$AG$3:$AG$17,MATCH(Q111,'G-1 All Habitats'!$AF$3:$AF$17,0)),"")</f>
        <v/>
      </c>
      <c r="Q111" s="185" t="str">
        <f t="shared" si="14"/>
        <v/>
      </c>
      <c r="R111" s="186" t="str">
        <f t="shared" si="14"/>
        <v/>
      </c>
      <c r="S111" s="187" t="str">
        <f>IFERROR(INDEX('G-1 All Habitats'!$B$3:$B$134,MATCH(R111,'G-1 All Habitats'!$A$3:$A$134,0)),"")</f>
        <v/>
      </c>
      <c r="T111" s="370" t="str">
        <f t="shared" si="15"/>
        <v/>
      </c>
      <c r="U111" s="386" t="str">
        <f t="shared" si="16"/>
        <v/>
      </c>
      <c r="V111" s="385" t="str">
        <f t="shared" si="12"/>
        <v/>
      </c>
      <c r="W111" s="382" t="str">
        <f>IF(S111="","",VLOOKUP(S111,'G-1 All Habitats'!$B$2:$M$134,10,FALSE))</f>
        <v/>
      </c>
      <c r="X111" s="382" t="str">
        <f>IFERROR(VLOOKUP(W111,'G-1 All Habitats'!$V$3:$W$7,2,FALSE),"")</f>
        <v/>
      </c>
      <c r="Y111" s="165"/>
      <c r="Z111" s="386" t="str">
        <f>IFERROR(INDEX('G-8 Condition Look up'!$A$3:$H$135,MATCH(S111,'G-8 Condition Look up'!$A$3:$A$135,0),MATCH(Y111,'G-8 Condition Look up'!$A$3:$H$3,0)),"")</f>
        <v/>
      </c>
      <c r="AA111" s="114"/>
      <c r="AB111" s="401" t="str">
        <f>IF(AA111="","",IF(VLOOKUP(AA111,'G-3 Multipliers'!$L$3:$N$6,2,FALSE)=0,"Spatial Data Missing ⚠",VLOOKUP(AA111,'G-3 Multipliers'!$L$3:$N$6,2,FALSE)))</f>
        <v/>
      </c>
      <c r="AC111" s="386" t="str">
        <f>IF(AA111="","",IF(VLOOKUP(AA111,'G-3 Multipliers'!$L$3:$N$6,3,FALSE)=0,"Spatial Data Missing ⚠",VLOOKUP(AA111,'G-3 Multipliers'!$L$3:$N$6,3,FALSE)))</f>
        <v/>
      </c>
      <c r="AD111" s="398" t="str">
        <f t="shared" si="13"/>
        <v/>
      </c>
      <c r="AE111" s="165"/>
      <c r="AF111" s="165"/>
      <c r="AG111" s="382" t="str">
        <f t="shared" si="17"/>
        <v/>
      </c>
      <c r="AH111" s="404" t="str">
        <f t="shared" si="18"/>
        <v/>
      </c>
      <c r="AI111" s="387" t="str">
        <f>IF(AH111="Check Data ⚠","Check Data ⚠",IFERROR(VLOOKUP(AH111,'G-4 Temporal multipliers'!$A$4:$C$36,3,FALSE),""))</f>
        <v/>
      </c>
      <c r="AJ111" s="398" t="str">
        <f>IF(S111="","",VLOOKUP(S111,'G-3 Multipliers'!$A$2:$E$134,4,FALSE))</f>
        <v/>
      </c>
      <c r="AK111" s="382" t="str">
        <f t="shared" si="19"/>
        <v/>
      </c>
      <c r="AL111" s="382" t="str">
        <f t="shared" si="20"/>
        <v/>
      </c>
      <c r="AM111" s="386" t="str">
        <f>IFERROR(IF(F111="","",IF(AH111="Check Data ⚠","Check Data ⚠",VLOOKUP(AL111, 'G-3 Multipliers'!$P$2:$Q$6,2,FALSE))),"")</f>
        <v/>
      </c>
      <c r="AN111" s="516"/>
      <c r="AO111" s="417" t="str">
        <f>IF(AN111="","",IF(VLOOKUP(AN111,'G-3 Multipliers'!$S$3:$T$10,2,FALSE)=0,"Spatial Data Missing ⚠",VLOOKUP(AN111,'G-3 Multipliers'!$S$3:$T$10,2,FALSE)))</f>
        <v/>
      </c>
      <c r="AP111" s="376" t="str">
        <f t="shared" si="21"/>
        <v/>
      </c>
      <c r="AQ111" s="376" t="str">
        <f t="shared" si="22"/>
        <v/>
      </c>
      <c r="AR111" s="119"/>
      <c r="AS111" s="528"/>
      <c r="AT111" s="120"/>
      <c r="AU111" s="120"/>
    </row>
    <row r="112" spans="1:47">
      <c r="A112" s="30" t="str">
        <f>IF(E112="","",IF(ISNA(VLOOKUP($E112,'D-1 Off-Site Habitat Baseline'!$D$1:$O$258,2,FALSE)),"",(VLOOKUP($E112,'D-1 Off-Site Habitat Baseline'!$D$1:$O$258,2,FALSE))))</f>
        <v/>
      </c>
      <c r="B112" s="30" t="str">
        <f>IF(E112="","",IF(ISNA(VLOOKUP($E112,'D-1 Off-Site Habitat Baseline'!$D$1:$O$258,3,FALSE)),"",(VLOOKUP($E112,'D-1 Off-Site Habitat Baseline'!$D$1:$O$258,3,FALSE))))</f>
        <v/>
      </c>
      <c r="C112" s="30" t="str">
        <f>IFERROR(INDEX('G-8 Condition Look up'!$I$4:$I$135,MATCH(S112,'G-8 Condition Look up'!$A$4:$A$135,0)),"")</f>
        <v/>
      </c>
      <c r="E112" s="407" t="str">
        <f>'D-1 Off-Site Habitat Baseline'!AP111</f>
        <v/>
      </c>
      <c r="F112" s="382" t="str">
        <f>IF(E112="","",IF(ISNA(VLOOKUP($E112,'D-1 Off-Site Habitat Baseline'!$D$1:$O$258,4,FALSE)),"",(VLOOKUP($E112,'D-1 Off-Site Habitat Baseline'!$D$1:$O$258,4,FALSE))))</f>
        <v/>
      </c>
      <c r="G112" s="382" t="str">
        <f>IF(E112="","",IF(ISNA(VLOOKUP($E112,'D-1 Off-Site Habitat Baseline'!$D$1:$O$258,5,FALSE)),"",(VLOOKUP($E112,'D-1 Off-Site Habitat Baseline'!$D$1:$O$258,5,FALSE))))</f>
        <v/>
      </c>
      <c r="H112" s="382" t="str">
        <f>IF(E112="","",IF(ISNA(VLOOKUP($E112,'D-1 Off-Site Habitat Baseline'!$D$1:$O$258,6,FALSE)),"",(VLOOKUP($E112,'D-1 Off-Site Habitat Baseline'!$D$1:$O$258,6,FALSE))))</f>
        <v/>
      </c>
      <c r="I112" s="382" t="str">
        <f>IF(E112="","",IF(ISNA(VLOOKUP($E112,'D-1 Off-Site Habitat Baseline'!$D$1:$O$258,7,FALSE)),"",(VLOOKUP($E112,'D-1 Off-Site Habitat Baseline'!$D$1:$O$258,7,FALSE))))</f>
        <v/>
      </c>
      <c r="J112" s="382" t="str">
        <f>IF(E112="","",IF(ISNA(VLOOKUP($E112,'D-1 Off-Site Habitat Baseline'!$D$1:$O$258,8,FALSE)),"",(VLOOKUP($E112,'D-1 Off-Site Habitat Baseline'!$D$1:$O$258,8,FALSE))))</f>
        <v/>
      </c>
      <c r="K112" s="382" t="str">
        <f>IF(E112="","",IF(ISNA(VLOOKUP($E112,'D-1 Off-Site Habitat Baseline'!$D$1:$O$258,9,FALSE)),"",(VLOOKUP($E112,'D-1 Off-Site Habitat Baseline'!$D$1:$O$258,9,FALSE))))</f>
        <v/>
      </c>
      <c r="L112" s="382" t="str">
        <f>IF(E112="","",IF(ISNA(VLOOKUP($E112,'D-1 Off-Site Habitat Baseline'!$D$1:$O$258,11,FALSE)),"",(VLOOKUP($E112,'D-1 Off-Site Habitat Baseline'!$D$1:$O$258,11,FALSE))))</f>
        <v/>
      </c>
      <c r="M112" s="382" t="str">
        <f>IF(E112="","",IF(ISNA(VLOOKUP($E112,'D-1 Off-Site Habitat Baseline'!$D$1:$O$258,12,FALSE)),"",(VLOOKUP($E112,'D-1 Off-Site Habitat Baseline'!$D$1:$O$258,12,FALSE))))</f>
        <v/>
      </c>
      <c r="N112" s="382" t="str">
        <f>IF(E112="","",IF(ISNA(VLOOKUP($E112,'D-1 Off-Site Habitat Baseline'!$D$1:$AA$258,14,FALSE)),"",(VLOOKUP($E112,'D-1 Off-Site Habitat Baseline'!$D$1:$AA$258,14,FALSE))))</f>
        <v/>
      </c>
      <c r="O112" s="386" t="str">
        <f>IF(E112="","",IF(ISNA(VLOOKUP($E112,'D-1 Off-Site Habitat Baseline'!$D$1:$AA$258,13,FALSE)),"",(VLOOKUP($E112,'D-1 Off-Site Habitat Baseline'!$D$1:$AA$258,13,FALSE))))</f>
        <v/>
      </c>
      <c r="P112" s="184" t="str">
        <f>IFERROR(INDEX('G-1 All Habitats'!$AG$3:$AG$17,MATCH(Q112,'G-1 All Habitats'!$AF$3:$AF$17,0)),"")</f>
        <v/>
      </c>
      <c r="Q112" s="185" t="str">
        <f t="shared" si="14"/>
        <v/>
      </c>
      <c r="R112" s="186" t="str">
        <f t="shared" si="14"/>
        <v/>
      </c>
      <c r="S112" s="187" t="str">
        <f>IFERROR(INDEX('G-1 All Habitats'!$B$3:$B$134,MATCH(R112,'G-1 All Habitats'!$A$3:$A$134,0)),"")</f>
        <v/>
      </c>
      <c r="T112" s="370" t="str">
        <f t="shared" si="15"/>
        <v/>
      </c>
      <c r="U112" s="386" t="str">
        <f t="shared" si="16"/>
        <v/>
      </c>
      <c r="V112" s="385" t="str">
        <f t="shared" si="12"/>
        <v/>
      </c>
      <c r="W112" s="382" t="str">
        <f>IF(S112="","",VLOOKUP(S112,'G-1 All Habitats'!$B$2:$M$134,10,FALSE))</f>
        <v/>
      </c>
      <c r="X112" s="382" t="str">
        <f>IFERROR(VLOOKUP(W112,'G-1 All Habitats'!$V$3:$W$7,2,FALSE),"")</f>
        <v/>
      </c>
      <c r="Y112" s="165"/>
      <c r="Z112" s="386" t="str">
        <f>IFERROR(INDEX('G-8 Condition Look up'!$A$3:$H$135,MATCH(S112,'G-8 Condition Look up'!$A$3:$A$135,0),MATCH(Y112,'G-8 Condition Look up'!$A$3:$H$3,0)),"")</f>
        <v/>
      </c>
      <c r="AA112" s="114"/>
      <c r="AB112" s="401" t="str">
        <f>IF(AA112="","",IF(VLOOKUP(AA112,'G-3 Multipliers'!$L$3:$N$6,2,FALSE)=0,"Spatial Data Missing ⚠",VLOOKUP(AA112,'G-3 Multipliers'!$L$3:$N$6,2,FALSE)))</f>
        <v/>
      </c>
      <c r="AC112" s="386" t="str">
        <f>IF(AA112="","",IF(VLOOKUP(AA112,'G-3 Multipliers'!$L$3:$N$6,3,FALSE)=0,"Spatial Data Missing ⚠",VLOOKUP(AA112,'G-3 Multipliers'!$L$3:$N$6,3,FALSE)))</f>
        <v/>
      </c>
      <c r="AD112" s="398" t="str">
        <f t="shared" si="13"/>
        <v/>
      </c>
      <c r="AE112" s="165"/>
      <c r="AF112" s="165"/>
      <c r="AG112" s="382" t="str">
        <f t="shared" si="17"/>
        <v/>
      </c>
      <c r="AH112" s="404" t="str">
        <f t="shared" si="18"/>
        <v/>
      </c>
      <c r="AI112" s="387" t="str">
        <f>IF(AH112="Check Data ⚠","Check Data ⚠",IFERROR(VLOOKUP(AH112,'G-4 Temporal multipliers'!$A$4:$C$36,3,FALSE),""))</f>
        <v/>
      </c>
      <c r="AJ112" s="398" t="str">
        <f>IF(S112="","",VLOOKUP(S112,'G-3 Multipliers'!$A$2:$E$134,4,FALSE))</f>
        <v/>
      </c>
      <c r="AK112" s="382" t="str">
        <f t="shared" si="19"/>
        <v/>
      </c>
      <c r="AL112" s="382" t="str">
        <f t="shared" si="20"/>
        <v/>
      </c>
      <c r="AM112" s="386" t="str">
        <f>IFERROR(IF(F112="","",IF(AH112="Check Data ⚠","Check Data ⚠",VLOOKUP(AL112, 'G-3 Multipliers'!$P$2:$Q$6,2,FALSE))),"")</f>
        <v/>
      </c>
      <c r="AN112" s="516"/>
      <c r="AO112" s="417" t="str">
        <f>IF(AN112="","",IF(VLOOKUP(AN112,'G-3 Multipliers'!$S$3:$T$10,2,FALSE)=0,"Spatial Data Missing ⚠",VLOOKUP(AN112,'G-3 Multipliers'!$S$3:$T$10,2,FALSE)))</f>
        <v/>
      </c>
      <c r="AP112" s="376" t="str">
        <f t="shared" si="21"/>
        <v/>
      </c>
      <c r="AQ112" s="376" t="str">
        <f t="shared" si="22"/>
        <v/>
      </c>
      <c r="AR112" s="119"/>
      <c r="AS112" s="528"/>
      <c r="AT112" s="120"/>
      <c r="AU112" s="120"/>
    </row>
    <row r="113" spans="1:47">
      <c r="A113" s="30" t="str">
        <f>IF(E113="","",IF(ISNA(VLOOKUP($E113,'D-1 Off-Site Habitat Baseline'!$D$1:$O$258,2,FALSE)),"",(VLOOKUP($E113,'D-1 Off-Site Habitat Baseline'!$D$1:$O$258,2,FALSE))))</f>
        <v/>
      </c>
      <c r="B113" s="30" t="str">
        <f>IF(E113="","",IF(ISNA(VLOOKUP($E113,'D-1 Off-Site Habitat Baseline'!$D$1:$O$258,3,FALSE)),"",(VLOOKUP($E113,'D-1 Off-Site Habitat Baseline'!$D$1:$O$258,3,FALSE))))</f>
        <v/>
      </c>
      <c r="C113" s="30" t="str">
        <f>IFERROR(INDEX('G-8 Condition Look up'!$I$4:$I$135,MATCH(S113,'G-8 Condition Look up'!$A$4:$A$135,0)),"")</f>
        <v/>
      </c>
      <c r="E113" s="407" t="str">
        <f>'D-1 Off-Site Habitat Baseline'!AP112</f>
        <v/>
      </c>
      <c r="F113" s="382" t="str">
        <f>IF(E113="","",IF(ISNA(VLOOKUP($E113,'D-1 Off-Site Habitat Baseline'!$D$1:$O$258,4,FALSE)),"",(VLOOKUP($E113,'D-1 Off-Site Habitat Baseline'!$D$1:$O$258,4,FALSE))))</f>
        <v/>
      </c>
      <c r="G113" s="382" t="str">
        <f>IF(E113="","",IF(ISNA(VLOOKUP($E113,'D-1 Off-Site Habitat Baseline'!$D$1:$O$258,5,FALSE)),"",(VLOOKUP($E113,'D-1 Off-Site Habitat Baseline'!$D$1:$O$258,5,FALSE))))</f>
        <v/>
      </c>
      <c r="H113" s="382" t="str">
        <f>IF(E113="","",IF(ISNA(VLOOKUP($E113,'D-1 Off-Site Habitat Baseline'!$D$1:$O$258,6,FALSE)),"",(VLOOKUP($E113,'D-1 Off-Site Habitat Baseline'!$D$1:$O$258,6,FALSE))))</f>
        <v/>
      </c>
      <c r="I113" s="382" t="str">
        <f>IF(E113="","",IF(ISNA(VLOOKUP($E113,'D-1 Off-Site Habitat Baseline'!$D$1:$O$258,7,FALSE)),"",(VLOOKUP($E113,'D-1 Off-Site Habitat Baseline'!$D$1:$O$258,7,FALSE))))</f>
        <v/>
      </c>
      <c r="J113" s="382" t="str">
        <f>IF(E113="","",IF(ISNA(VLOOKUP($E113,'D-1 Off-Site Habitat Baseline'!$D$1:$O$258,8,FALSE)),"",(VLOOKUP($E113,'D-1 Off-Site Habitat Baseline'!$D$1:$O$258,8,FALSE))))</f>
        <v/>
      </c>
      <c r="K113" s="382" t="str">
        <f>IF(E113="","",IF(ISNA(VLOOKUP($E113,'D-1 Off-Site Habitat Baseline'!$D$1:$O$258,9,FALSE)),"",(VLOOKUP($E113,'D-1 Off-Site Habitat Baseline'!$D$1:$O$258,9,FALSE))))</f>
        <v/>
      </c>
      <c r="L113" s="382" t="str">
        <f>IF(E113="","",IF(ISNA(VLOOKUP($E113,'D-1 Off-Site Habitat Baseline'!$D$1:$O$258,11,FALSE)),"",(VLOOKUP($E113,'D-1 Off-Site Habitat Baseline'!$D$1:$O$258,11,FALSE))))</f>
        <v/>
      </c>
      <c r="M113" s="382" t="str">
        <f>IF(E113="","",IF(ISNA(VLOOKUP($E113,'D-1 Off-Site Habitat Baseline'!$D$1:$O$258,12,FALSE)),"",(VLOOKUP($E113,'D-1 Off-Site Habitat Baseline'!$D$1:$O$258,12,FALSE))))</f>
        <v/>
      </c>
      <c r="N113" s="382" t="str">
        <f>IF(E113="","",IF(ISNA(VLOOKUP($E113,'D-1 Off-Site Habitat Baseline'!$D$1:$AA$258,14,FALSE)),"",(VLOOKUP($E113,'D-1 Off-Site Habitat Baseline'!$D$1:$AA$258,14,FALSE))))</f>
        <v/>
      </c>
      <c r="O113" s="386" t="str">
        <f>IF(E113="","",IF(ISNA(VLOOKUP($E113,'D-1 Off-Site Habitat Baseline'!$D$1:$AA$258,13,FALSE)),"",(VLOOKUP($E113,'D-1 Off-Site Habitat Baseline'!$D$1:$AA$258,13,FALSE))))</f>
        <v/>
      </c>
      <c r="P113" s="184" t="str">
        <f>IFERROR(INDEX('G-1 All Habitats'!$AG$3:$AG$17,MATCH(Q113,'G-1 All Habitats'!$AF$3:$AF$17,0)),"")</f>
        <v/>
      </c>
      <c r="Q113" s="185" t="str">
        <f t="shared" si="14"/>
        <v/>
      </c>
      <c r="R113" s="186" t="str">
        <f t="shared" si="14"/>
        <v/>
      </c>
      <c r="S113" s="187" t="str">
        <f>IFERROR(INDEX('G-1 All Habitats'!$B$3:$B$134,MATCH(R113,'G-1 All Habitats'!$A$3:$A$134,0)),"")</f>
        <v/>
      </c>
      <c r="T113" s="370" t="str">
        <f t="shared" si="15"/>
        <v/>
      </c>
      <c r="U113" s="386" t="str">
        <f t="shared" si="16"/>
        <v/>
      </c>
      <c r="V113" s="385" t="str">
        <f t="shared" si="12"/>
        <v/>
      </c>
      <c r="W113" s="382" t="str">
        <f>IF(S113="","",VLOOKUP(S113,'G-1 All Habitats'!$B$2:$M$134,10,FALSE))</f>
        <v/>
      </c>
      <c r="X113" s="382" t="str">
        <f>IFERROR(VLOOKUP(W113,'G-1 All Habitats'!$V$3:$W$7,2,FALSE),"")</f>
        <v/>
      </c>
      <c r="Y113" s="165"/>
      <c r="Z113" s="386" t="str">
        <f>IFERROR(INDEX('G-8 Condition Look up'!$A$3:$H$135,MATCH(S113,'G-8 Condition Look up'!$A$3:$A$135,0),MATCH(Y113,'G-8 Condition Look up'!$A$3:$H$3,0)),"")</f>
        <v/>
      </c>
      <c r="AA113" s="114"/>
      <c r="AB113" s="401" t="str">
        <f>IF(AA113="","",IF(VLOOKUP(AA113,'G-3 Multipliers'!$L$3:$N$6,2,FALSE)=0,"Spatial Data Missing ⚠",VLOOKUP(AA113,'G-3 Multipliers'!$L$3:$N$6,2,FALSE)))</f>
        <v/>
      </c>
      <c r="AC113" s="386" t="str">
        <f>IF(AA113="","",IF(VLOOKUP(AA113,'G-3 Multipliers'!$L$3:$N$6,3,FALSE)=0,"Spatial Data Missing ⚠",VLOOKUP(AA113,'G-3 Multipliers'!$L$3:$N$6,3,FALSE)))</f>
        <v/>
      </c>
      <c r="AD113" s="398" t="str">
        <f t="shared" si="13"/>
        <v/>
      </c>
      <c r="AE113" s="165"/>
      <c r="AF113" s="165"/>
      <c r="AG113" s="382" t="str">
        <f t="shared" si="17"/>
        <v/>
      </c>
      <c r="AH113" s="404" t="str">
        <f t="shared" si="18"/>
        <v/>
      </c>
      <c r="AI113" s="387" t="str">
        <f>IF(AH113="Check Data ⚠","Check Data ⚠",IFERROR(VLOOKUP(AH113,'G-4 Temporal multipliers'!$A$4:$C$36,3,FALSE),""))</f>
        <v/>
      </c>
      <c r="AJ113" s="398" t="str">
        <f>IF(S113="","",VLOOKUP(S113,'G-3 Multipliers'!$A$2:$E$134,4,FALSE))</f>
        <v/>
      </c>
      <c r="AK113" s="382" t="str">
        <f t="shared" si="19"/>
        <v/>
      </c>
      <c r="AL113" s="382" t="str">
        <f t="shared" si="20"/>
        <v/>
      </c>
      <c r="AM113" s="386" t="str">
        <f>IFERROR(IF(F113="","",IF(AH113="Check Data ⚠","Check Data ⚠",VLOOKUP(AL113, 'G-3 Multipliers'!$P$2:$Q$6,2,FALSE))),"")</f>
        <v/>
      </c>
      <c r="AN113" s="516"/>
      <c r="AO113" s="417" t="str">
        <f>IF(AN113="","",IF(VLOOKUP(AN113,'G-3 Multipliers'!$S$3:$T$10,2,FALSE)=0,"Spatial Data Missing ⚠",VLOOKUP(AN113,'G-3 Multipliers'!$S$3:$T$10,2,FALSE)))</f>
        <v/>
      </c>
      <c r="AP113" s="376" t="str">
        <f t="shared" si="21"/>
        <v/>
      </c>
      <c r="AQ113" s="376" t="str">
        <f t="shared" si="22"/>
        <v/>
      </c>
      <c r="AR113" s="119"/>
      <c r="AS113" s="528"/>
      <c r="AT113" s="120"/>
      <c r="AU113" s="120"/>
    </row>
    <row r="114" spans="1:47">
      <c r="A114" s="30" t="str">
        <f>IF(E114="","",IF(ISNA(VLOOKUP($E114,'D-1 Off-Site Habitat Baseline'!$D$1:$O$258,2,FALSE)),"",(VLOOKUP($E114,'D-1 Off-Site Habitat Baseline'!$D$1:$O$258,2,FALSE))))</f>
        <v/>
      </c>
      <c r="B114" s="30" t="str">
        <f>IF(E114="","",IF(ISNA(VLOOKUP($E114,'D-1 Off-Site Habitat Baseline'!$D$1:$O$258,3,FALSE)),"",(VLOOKUP($E114,'D-1 Off-Site Habitat Baseline'!$D$1:$O$258,3,FALSE))))</f>
        <v/>
      </c>
      <c r="C114" s="30" t="str">
        <f>IFERROR(INDEX('G-8 Condition Look up'!$I$4:$I$135,MATCH(S114,'G-8 Condition Look up'!$A$4:$A$135,0)),"")</f>
        <v/>
      </c>
      <c r="E114" s="407" t="str">
        <f>'D-1 Off-Site Habitat Baseline'!AP113</f>
        <v/>
      </c>
      <c r="F114" s="382" t="str">
        <f>IF(E114="","",IF(ISNA(VLOOKUP($E114,'D-1 Off-Site Habitat Baseline'!$D$1:$O$258,4,FALSE)),"",(VLOOKUP($E114,'D-1 Off-Site Habitat Baseline'!$D$1:$O$258,4,FALSE))))</f>
        <v/>
      </c>
      <c r="G114" s="382" t="str">
        <f>IF(E114="","",IF(ISNA(VLOOKUP($E114,'D-1 Off-Site Habitat Baseline'!$D$1:$O$258,5,FALSE)),"",(VLOOKUP($E114,'D-1 Off-Site Habitat Baseline'!$D$1:$O$258,5,FALSE))))</f>
        <v/>
      </c>
      <c r="H114" s="382" t="str">
        <f>IF(E114="","",IF(ISNA(VLOOKUP($E114,'D-1 Off-Site Habitat Baseline'!$D$1:$O$258,6,FALSE)),"",(VLOOKUP($E114,'D-1 Off-Site Habitat Baseline'!$D$1:$O$258,6,FALSE))))</f>
        <v/>
      </c>
      <c r="I114" s="382" t="str">
        <f>IF(E114="","",IF(ISNA(VLOOKUP($E114,'D-1 Off-Site Habitat Baseline'!$D$1:$O$258,7,FALSE)),"",(VLOOKUP($E114,'D-1 Off-Site Habitat Baseline'!$D$1:$O$258,7,FALSE))))</f>
        <v/>
      </c>
      <c r="J114" s="382" t="str">
        <f>IF(E114="","",IF(ISNA(VLOOKUP($E114,'D-1 Off-Site Habitat Baseline'!$D$1:$O$258,8,FALSE)),"",(VLOOKUP($E114,'D-1 Off-Site Habitat Baseline'!$D$1:$O$258,8,FALSE))))</f>
        <v/>
      </c>
      <c r="K114" s="382" t="str">
        <f>IF(E114="","",IF(ISNA(VLOOKUP($E114,'D-1 Off-Site Habitat Baseline'!$D$1:$O$258,9,FALSE)),"",(VLOOKUP($E114,'D-1 Off-Site Habitat Baseline'!$D$1:$O$258,9,FALSE))))</f>
        <v/>
      </c>
      <c r="L114" s="382" t="str">
        <f>IF(E114="","",IF(ISNA(VLOOKUP($E114,'D-1 Off-Site Habitat Baseline'!$D$1:$O$258,11,FALSE)),"",(VLOOKUP($E114,'D-1 Off-Site Habitat Baseline'!$D$1:$O$258,11,FALSE))))</f>
        <v/>
      </c>
      <c r="M114" s="382" t="str">
        <f>IF(E114="","",IF(ISNA(VLOOKUP($E114,'D-1 Off-Site Habitat Baseline'!$D$1:$O$258,12,FALSE)),"",(VLOOKUP($E114,'D-1 Off-Site Habitat Baseline'!$D$1:$O$258,12,FALSE))))</f>
        <v/>
      </c>
      <c r="N114" s="382" t="str">
        <f>IF(E114="","",IF(ISNA(VLOOKUP($E114,'D-1 Off-Site Habitat Baseline'!$D$1:$AA$258,14,FALSE)),"",(VLOOKUP($E114,'D-1 Off-Site Habitat Baseline'!$D$1:$AA$258,14,FALSE))))</f>
        <v/>
      </c>
      <c r="O114" s="386" t="str">
        <f>IF(E114="","",IF(ISNA(VLOOKUP($E114,'D-1 Off-Site Habitat Baseline'!$D$1:$AA$258,13,FALSE)),"",(VLOOKUP($E114,'D-1 Off-Site Habitat Baseline'!$D$1:$AA$258,13,FALSE))))</f>
        <v/>
      </c>
      <c r="P114" s="184" t="str">
        <f>IFERROR(INDEX('G-1 All Habitats'!$AG$3:$AG$17,MATCH(Q114,'G-1 All Habitats'!$AF$3:$AF$17,0)),"")</f>
        <v/>
      </c>
      <c r="Q114" s="185" t="str">
        <f t="shared" si="14"/>
        <v/>
      </c>
      <c r="R114" s="186" t="str">
        <f t="shared" si="14"/>
        <v/>
      </c>
      <c r="S114" s="187" t="str">
        <f>IFERROR(INDEX('G-1 All Habitats'!$B$3:$B$134,MATCH(R114,'G-1 All Habitats'!$A$3:$A$134,0)),"")</f>
        <v/>
      </c>
      <c r="T114" s="370" t="str">
        <f t="shared" si="15"/>
        <v/>
      </c>
      <c r="U114" s="386" t="str">
        <f t="shared" si="16"/>
        <v/>
      </c>
      <c r="V114" s="385" t="str">
        <f t="shared" si="12"/>
        <v/>
      </c>
      <c r="W114" s="382" t="str">
        <f>IF(S114="","",VLOOKUP(S114,'G-1 All Habitats'!$B$2:$M$134,10,FALSE))</f>
        <v/>
      </c>
      <c r="X114" s="382" t="str">
        <f>IFERROR(VLOOKUP(W114,'G-1 All Habitats'!$V$3:$W$7,2,FALSE),"")</f>
        <v/>
      </c>
      <c r="Y114" s="165"/>
      <c r="Z114" s="386" t="str">
        <f>IFERROR(INDEX('G-8 Condition Look up'!$A$3:$H$135,MATCH(S114,'G-8 Condition Look up'!$A$3:$A$135,0),MATCH(Y114,'G-8 Condition Look up'!$A$3:$H$3,0)),"")</f>
        <v/>
      </c>
      <c r="AA114" s="114"/>
      <c r="AB114" s="401" t="str">
        <f>IF(AA114="","",IF(VLOOKUP(AA114,'G-3 Multipliers'!$L$3:$N$6,2,FALSE)=0,"Spatial Data Missing ⚠",VLOOKUP(AA114,'G-3 Multipliers'!$L$3:$N$6,2,FALSE)))</f>
        <v/>
      </c>
      <c r="AC114" s="386" t="str">
        <f>IF(AA114="","",IF(VLOOKUP(AA114,'G-3 Multipliers'!$L$3:$N$6,3,FALSE)=0,"Spatial Data Missing ⚠",VLOOKUP(AA114,'G-3 Multipliers'!$L$3:$N$6,3,FALSE)))</f>
        <v/>
      </c>
      <c r="AD114" s="398" t="str">
        <f t="shared" si="13"/>
        <v/>
      </c>
      <c r="AE114" s="165"/>
      <c r="AF114" s="165"/>
      <c r="AG114" s="382" t="str">
        <f t="shared" si="17"/>
        <v/>
      </c>
      <c r="AH114" s="404" t="str">
        <f t="shared" si="18"/>
        <v/>
      </c>
      <c r="AI114" s="387" t="str">
        <f>IF(AH114="Check Data ⚠","Check Data ⚠",IFERROR(VLOOKUP(AH114,'G-4 Temporal multipliers'!$A$4:$C$36,3,FALSE),""))</f>
        <v/>
      </c>
      <c r="AJ114" s="398" t="str">
        <f>IF(S114="","",VLOOKUP(S114,'G-3 Multipliers'!$A$2:$E$134,4,FALSE))</f>
        <v/>
      </c>
      <c r="AK114" s="382" t="str">
        <f t="shared" si="19"/>
        <v/>
      </c>
      <c r="AL114" s="382" t="str">
        <f t="shared" si="20"/>
        <v/>
      </c>
      <c r="AM114" s="386" t="str">
        <f>IFERROR(IF(F114="","",IF(AH114="Check Data ⚠","Check Data ⚠",VLOOKUP(AL114, 'G-3 Multipliers'!$P$2:$Q$6,2,FALSE))),"")</f>
        <v/>
      </c>
      <c r="AN114" s="516"/>
      <c r="AO114" s="417" t="str">
        <f>IF(AN114="","",IF(VLOOKUP(AN114,'G-3 Multipliers'!$S$3:$T$10,2,FALSE)=0,"Spatial Data Missing ⚠",VLOOKUP(AN114,'G-3 Multipliers'!$S$3:$T$10,2,FALSE)))</f>
        <v/>
      </c>
      <c r="AP114" s="376" t="str">
        <f t="shared" si="21"/>
        <v/>
      </c>
      <c r="AQ114" s="376" t="str">
        <f t="shared" si="22"/>
        <v/>
      </c>
      <c r="AR114" s="119"/>
      <c r="AS114" s="528"/>
      <c r="AT114" s="120"/>
      <c r="AU114" s="120"/>
    </row>
    <row r="115" spans="1:47">
      <c r="A115" s="30" t="str">
        <f>IF(E115="","",IF(ISNA(VLOOKUP($E115,'D-1 Off-Site Habitat Baseline'!$D$1:$O$258,2,FALSE)),"",(VLOOKUP($E115,'D-1 Off-Site Habitat Baseline'!$D$1:$O$258,2,FALSE))))</f>
        <v/>
      </c>
      <c r="B115" s="30" t="str">
        <f>IF(E115="","",IF(ISNA(VLOOKUP($E115,'D-1 Off-Site Habitat Baseline'!$D$1:$O$258,3,FALSE)),"",(VLOOKUP($E115,'D-1 Off-Site Habitat Baseline'!$D$1:$O$258,3,FALSE))))</f>
        <v/>
      </c>
      <c r="C115" s="30" t="str">
        <f>IFERROR(INDEX('G-8 Condition Look up'!$I$4:$I$135,MATCH(S115,'G-8 Condition Look up'!$A$4:$A$135,0)),"")</f>
        <v/>
      </c>
      <c r="E115" s="407" t="str">
        <f>'D-1 Off-Site Habitat Baseline'!AP114</f>
        <v/>
      </c>
      <c r="F115" s="382" t="str">
        <f>IF(E115="","",IF(ISNA(VLOOKUP($E115,'D-1 Off-Site Habitat Baseline'!$D$1:$O$258,4,FALSE)),"",(VLOOKUP($E115,'D-1 Off-Site Habitat Baseline'!$D$1:$O$258,4,FALSE))))</f>
        <v/>
      </c>
      <c r="G115" s="382" t="str">
        <f>IF(E115="","",IF(ISNA(VLOOKUP($E115,'D-1 Off-Site Habitat Baseline'!$D$1:$O$258,5,FALSE)),"",(VLOOKUP($E115,'D-1 Off-Site Habitat Baseline'!$D$1:$O$258,5,FALSE))))</f>
        <v/>
      </c>
      <c r="H115" s="382" t="str">
        <f>IF(E115="","",IF(ISNA(VLOOKUP($E115,'D-1 Off-Site Habitat Baseline'!$D$1:$O$258,6,FALSE)),"",(VLOOKUP($E115,'D-1 Off-Site Habitat Baseline'!$D$1:$O$258,6,FALSE))))</f>
        <v/>
      </c>
      <c r="I115" s="382" t="str">
        <f>IF(E115="","",IF(ISNA(VLOOKUP($E115,'D-1 Off-Site Habitat Baseline'!$D$1:$O$258,7,FALSE)),"",(VLOOKUP($E115,'D-1 Off-Site Habitat Baseline'!$D$1:$O$258,7,FALSE))))</f>
        <v/>
      </c>
      <c r="J115" s="382" t="str">
        <f>IF(E115="","",IF(ISNA(VLOOKUP($E115,'D-1 Off-Site Habitat Baseline'!$D$1:$O$258,8,FALSE)),"",(VLOOKUP($E115,'D-1 Off-Site Habitat Baseline'!$D$1:$O$258,8,FALSE))))</f>
        <v/>
      </c>
      <c r="K115" s="382" t="str">
        <f>IF(E115="","",IF(ISNA(VLOOKUP($E115,'D-1 Off-Site Habitat Baseline'!$D$1:$O$258,9,FALSE)),"",(VLOOKUP($E115,'D-1 Off-Site Habitat Baseline'!$D$1:$O$258,9,FALSE))))</f>
        <v/>
      </c>
      <c r="L115" s="382" t="str">
        <f>IF(E115="","",IF(ISNA(VLOOKUP($E115,'D-1 Off-Site Habitat Baseline'!$D$1:$O$258,11,FALSE)),"",(VLOOKUP($E115,'D-1 Off-Site Habitat Baseline'!$D$1:$O$258,11,FALSE))))</f>
        <v/>
      </c>
      <c r="M115" s="382" t="str">
        <f>IF(E115="","",IF(ISNA(VLOOKUP($E115,'D-1 Off-Site Habitat Baseline'!$D$1:$O$258,12,FALSE)),"",(VLOOKUP($E115,'D-1 Off-Site Habitat Baseline'!$D$1:$O$258,12,FALSE))))</f>
        <v/>
      </c>
      <c r="N115" s="382" t="str">
        <f>IF(E115="","",IF(ISNA(VLOOKUP($E115,'D-1 Off-Site Habitat Baseline'!$D$1:$AA$258,14,FALSE)),"",(VLOOKUP($E115,'D-1 Off-Site Habitat Baseline'!$D$1:$AA$258,14,FALSE))))</f>
        <v/>
      </c>
      <c r="O115" s="386" t="str">
        <f>IF(E115="","",IF(ISNA(VLOOKUP($E115,'D-1 Off-Site Habitat Baseline'!$D$1:$AA$258,13,FALSE)),"",(VLOOKUP($E115,'D-1 Off-Site Habitat Baseline'!$D$1:$AA$258,13,FALSE))))</f>
        <v/>
      </c>
      <c r="P115" s="184" t="str">
        <f>IFERROR(INDEX('G-1 All Habitats'!$AG$3:$AG$17,MATCH(Q115,'G-1 All Habitats'!$AF$3:$AF$17,0)),"")</f>
        <v/>
      </c>
      <c r="Q115" s="185" t="str">
        <f t="shared" si="14"/>
        <v/>
      </c>
      <c r="R115" s="186" t="str">
        <f t="shared" si="14"/>
        <v/>
      </c>
      <c r="S115" s="187" t="str">
        <f>IFERROR(INDEX('G-1 All Habitats'!$B$3:$B$134,MATCH(R115,'G-1 All Habitats'!$A$3:$A$134,0)),"")</f>
        <v/>
      </c>
      <c r="T115" s="370" t="str">
        <f t="shared" si="15"/>
        <v/>
      </c>
      <c r="U115" s="386" t="str">
        <f t="shared" si="16"/>
        <v/>
      </c>
      <c r="V115" s="385" t="str">
        <f t="shared" si="12"/>
        <v/>
      </c>
      <c r="W115" s="382" t="str">
        <f>IF(S115="","",VLOOKUP(S115,'G-1 All Habitats'!$B$2:$M$134,10,FALSE))</f>
        <v/>
      </c>
      <c r="X115" s="382" t="str">
        <f>IFERROR(VLOOKUP(W115,'G-1 All Habitats'!$V$3:$W$7,2,FALSE),"")</f>
        <v/>
      </c>
      <c r="Y115" s="165"/>
      <c r="Z115" s="386" t="str">
        <f>IFERROR(INDEX('G-8 Condition Look up'!$A$3:$H$135,MATCH(S115,'G-8 Condition Look up'!$A$3:$A$135,0),MATCH(Y115,'G-8 Condition Look up'!$A$3:$H$3,0)),"")</f>
        <v/>
      </c>
      <c r="AA115" s="114"/>
      <c r="AB115" s="401" t="str">
        <f>IF(AA115="","",IF(VLOOKUP(AA115,'G-3 Multipliers'!$L$3:$N$6,2,FALSE)=0,"Spatial Data Missing ⚠",VLOOKUP(AA115,'G-3 Multipliers'!$L$3:$N$6,2,FALSE)))</f>
        <v/>
      </c>
      <c r="AC115" s="386" t="str">
        <f>IF(AA115="","",IF(VLOOKUP(AA115,'G-3 Multipliers'!$L$3:$N$6,3,FALSE)=0,"Spatial Data Missing ⚠",VLOOKUP(AA115,'G-3 Multipliers'!$L$3:$N$6,3,FALSE)))</f>
        <v/>
      </c>
      <c r="AD115" s="398" t="str">
        <f t="shared" si="13"/>
        <v/>
      </c>
      <c r="AE115" s="165"/>
      <c r="AF115" s="165"/>
      <c r="AG115" s="382" t="str">
        <f t="shared" si="17"/>
        <v/>
      </c>
      <c r="AH115" s="404" t="str">
        <f t="shared" si="18"/>
        <v/>
      </c>
      <c r="AI115" s="387" t="str">
        <f>IF(AH115="Check Data ⚠","Check Data ⚠",IFERROR(VLOOKUP(AH115,'G-4 Temporal multipliers'!$A$4:$C$36,3,FALSE),""))</f>
        <v/>
      </c>
      <c r="AJ115" s="398" t="str">
        <f>IF(S115="","",VLOOKUP(S115,'G-3 Multipliers'!$A$2:$E$134,4,FALSE))</f>
        <v/>
      </c>
      <c r="AK115" s="382" t="str">
        <f t="shared" si="19"/>
        <v/>
      </c>
      <c r="AL115" s="382" t="str">
        <f t="shared" si="20"/>
        <v/>
      </c>
      <c r="AM115" s="386" t="str">
        <f>IFERROR(IF(F115="","",IF(AH115="Check Data ⚠","Check Data ⚠",VLOOKUP(AL115, 'G-3 Multipliers'!$P$2:$Q$6,2,FALSE))),"")</f>
        <v/>
      </c>
      <c r="AN115" s="516"/>
      <c r="AO115" s="417" t="str">
        <f>IF(AN115="","",IF(VLOOKUP(AN115,'G-3 Multipliers'!$S$3:$T$10,2,FALSE)=0,"Spatial Data Missing ⚠",VLOOKUP(AN115,'G-3 Multipliers'!$S$3:$T$10,2,FALSE)))</f>
        <v/>
      </c>
      <c r="AP115" s="376" t="str">
        <f t="shared" si="21"/>
        <v/>
      </c>
      <c r="AQ115" s="376" t="str">
        <f t="shared" si="22"/>
        <v/>
      </c>
      <c r="AR115" s="119"/>
      <c r="AS115" s="528"/>
      <c r="AT115" s="120"/>
      <c r="AU115" s="120"/>
    </row>
    <row r="116" spans="1:47">
      <c r="A116" s="30" t="str">
        <f>IF(E116="","",IF(ISNA(VLOOKUP($E116,'D-1 Off-Site Habitat Baseline'!$D$1:$O$258,2,FALSE)),"",(VLOOKUP($E116,'D-1 Off-Site Habitat Baseline'!$D$1:$O$258,2,FALSE))))</f>
        <v/>
      </c>
      <c r="B116" s="30" t="str">
        <f>IF(E116="","",IF(ISNA(VLOOKUP($E116,'D-1 Off-Site Habitat Baseline'!$D$1:$O$258,3,FALSE)),"",(VLOOKUP($E116,'D-1 Off-Site Habitat Baseline'!$D$1:$O$258,3,FALSE))))</f>
        <v/>
      </c>
      <c r="C116" s="30" t="str">
        <f>IFERROR(INDEX('G-8 Condition Look up'!$I$4:$I$135,MATCH(S116,'G-8 Condition Look up'!$A$4:$A$135,0)),"")</f>
        <v/>
      </c>
      <c r="E116" s="407" t="str">
        <f>'D-1 Off-Site Habitat Baseline'!AP115</f>
        <v/>
      </c>
      <c r="F116" s="382" t="str">
        <f>IF(E116="","",IF(ISNA(VLOOKUP($E116,'D-1 Off-Site Habitat Baseline'!$D$1:$O$258,4,FALSE)),"",(VLOOKUP($E116,'D-1 Off-Site Habitat Baseline'!$D$1:$O$258,4,FALSE))))</f>
        <v/>
      </c>
      <c r="G116" s="382" t="str">
        <f>IF(E116="","",IF(ISNA(VLOOKUP($E116,'D-1 Off-Site Habitat Baseline'!$D$1:$O$258,5,FALSE)),"",(VLOOKUP($E116,'D-1 Off-Site Habitat Baseline'!$D$1:$O$258,5,FALSE))))</f>
        <v/>
      </c>
      <c r="H116" s="382" t="str">
        <f>IF(E116="","",IF(ISNA(VLOOKUP($E116,'D-1 Off-Site Habitat Baseline'!$D$1:$O$258,6,FALSE)),"",(VLOOKUP($E116,'D-1 Off-Site Habitat Baseline'!$D$1:$O$258,6,FALSE))))</f>
        <v/>
      </c>
      <c r="I116" s="382" t="str">
        <f>IF(E116="","",IF(ISNA(VLOOKUP($E116,'D-1 Off-Site Habitat Baseline'!$D$1:$O$258,7,FALSE)),"",(VLOOKUP($E116,'D-1 Off-Site Habitat Baseline'!$D$1:$O$258,7,FALSE))))</f>
        <v/>
      </c>
      <c r="J116" s="382" t="str">
        <f>IF(E116="","",IF(ISNA(VLOOKUP($E116,'D-1 Off-Site Habitat Baseline'!$D$1:$O$258,8,FALSE)),"",(VLOOKUP($E116,'D-1 Off-Site Habitat Baseline'!$D$1:$O$258,8,FALSE))))</f>
        <v/>
      </c>
      <c r="K116" s="382" t="str">
        <f>IF(E116="","",IF(ISNA(VLOOKUP($E116,'D-1 Off-Site Habitat Baseline'!$D$1:$O$258,9,FALSE)),"",(VLOOKUP($E116,'D-1 Off-Site Habitat Baseline'!$D$1:$O$258,9,FALSE))))</f>
        <v/>
      </c>
      <c r="L116" s="382" t="str">
        <f>IF(E116="","",IF(ISNA(VLOOKUP($E116,'D-1 Off-Site Habitat Baseline'!$D$1:$O$258,11,FALSE)),"",(VLOOKUP($E116,'D-1 Off-Site Habitat Baseline'!$D$1:$O$258,11,FALSE))))</f>
        <v/>
      </c>
      <c r="M116" s="382" t="str">
        <f>IF(E116="","",IF(ISNA(VLOOKUP($E116,'D-1 Off-Site Habitat Baseline'!$D$1:$O$258,12,FALSE)),"",(VLOOKUP($E116,'D-1 Off-Site Habitat Baseline'!$D$1:$O$258,12,FALSE))))</f>
        <v/>
      </c>
      <c r="N116" s="382" t="str">
        <f>IF(E116="","",IF(ISNA(VLOOKUP($E116,'D-1 Off-Site Habitat Baseline'!$D$1:$AA$258,14,FALSE)),"",(VLOOKUP($E116,'D-1 Off-Site Habitat Baseline'!$D$1:$AA$258,14,FALSE))))</f>
        <v/>
      </c>
      <c r="O116" s="386" t="str">
        <f>IF(E116="","",IF(ISNA(VLOOKUP($E116,'D-1 Off-Site Habitat Baseline'!$D$1:$AA$258,13,FALSE)),"",(VLOOKUP($E116,'D-1 Off-Site Habitat Baseline'!$D$1:$AA$258,13,FALSE))))</f>
        <v/>
      </c>
      <c r="P116" s="184" t="str">
        <f>IFERROR(INDEX('G-1 All Habitats'!$AG$3:$AG$17,MATCH(Q116,'G-1 All Habitats'!$AF$3:$AF$17,0)),"")</f>
        <v/>
      </c>
      <c r="Q116" s="185" t="str">
        <f t="shared" si="14"/>
        <v/>
      </c>
      <c r="R116" s="186" t="str">
        <f t="shared" si="14"/>
        <v/>
      </c>
      <c r="S116" s="187" t="str">
        <f>IFERROR(INDEX('G-1 All Habitats'!$B$3:$B$134,MATCH(R116,'G-1 All Habitats'!$A$3:$A$134,0)),"")</f>
        <v/>
      </c>
      <c r="T116" s="370" t="str">
        <f t="shared" si="15"/>
        <v/>
      </c>
      <c r="U116" s="386" t="str">
        <f t="shared" si="16"/>
        <v/>
      </c>
      <c r="V116" s="385" t="str">
        <f t="shared" si="12"/>
        <v/>
      </c>
      <c r="W116" s="382" t="str">
        <f>IF(S116="","",VLOOKUP(S116,'G-1 All Habitats'!$B$2:$M$134,10,FALSE))</f>
        <v/>
      </c>
      <c r="X116" s="382" t="str">
        <f>IFERROR(VLOOKUP(W116,'G-1 All Habitats'!$V$3:$W$7,2,FALSE),"")</f>
        <v/>
      </c>
      <c r="Y116" s="165"/>
      <c r="Z116" s="386" t="str">
        <f>IFERROR(INDEX('G-8 Condition Look up'!$A$3:$H$135,MATCH(S116,'G-8 Condition Look up'!$A$3:$A$135,0),MATCH(Y116,'G-8 Condition Look up'!$A$3:$H$3,0)),"")</f>
        <v/>
      </c>
      <c r="AA116" s="114"/>
      <c r="AB116" s="401" t="str">
        <f>IF(AA116="","",IF(VLOOKUP(AA116,'G-3 Multipliers'!$L$3:$N$6,2,FALSE)=0,"Spatial Data Missing ⚠",VLOOKUP(AA116,'G-3 Multipliers'!$L$3:$N$6,2,FALSE)))</f>
        <v/>
      </c>
      <c r="AC116" s="386" t="str">
        <f>IF(AA116="","",IF(VLOOKUP(AA116,'G-3 Multipliers'!$L$3:$N$6,3,FALSE)=0,"Spatial Data Missing ⚠",VLOOKUP(AA116,'G-3 Multipliers'!$L$3:$N$6,3,FALSE)))</f>
        <v/>
      </c>
      <c r="AD116" s="398" t="str">
        <f t="shared" si="13"/>
        <v/>
      </c>
      <c r="AE116" s="165"/>
      <c r="AF116" s="165"/>
      <c r="AG116" s="382" t="str">
        <f t="shared" si="17"/>
        <v/>
      </c>
      <c r="AH116" s="404" t="str">
        <f t="shared" si="18"/>
        <v/>
      </c>
      <c r="AI116" s="387" t="str">
        <f>IF(AH116="Check Data ⚠","Check Data ⚠",IFERROR(VLOOKUP(AH116,'G-4 Temporal multipliers'!$A$4:$C$36,3,FALSE),""))</f>
        <v/>
      </c>
      <c r="AJ116" s="398" t="str">
        <f>IF(S116="","",VLOOKUP(S116,'G-3 Multipliers'!$A$2:$E$134,4,FALSE))</f>
        <v/>
      </c>
      <c r="AK116" s="382" t="str">
        <f t="shared" si="19"/>
        <v/>
      </c>
      <c r="AL116" s="382" t="str">
        <f t="shared" si="20"/>
        <v/>
      </c>
      <c r="AM116" s="386" t="str">
        <f>IFERROR(IF(F116="","",IF(AH116="Check Data ⚠","Check Data ⚠",VLOOKUP(AL116, 'G-3 Multipliers'!$P$2:$Q$6,2,FALSE))),"")</f>
        <v/>
      </c>
      <c r="AN116" s="516"/>
      <c r="AO116" s="417" t="str">
        <f>IF(AN116="","",IF(VLOOKUP(AN116,'G-3 Multipliers'!$S$3:$T$10,2,FALSE)=0,"Spatial Data Missing ⚠",VLOOKUP(AN116,'G-3 Multipliers'!$S$3:$T$10,2,FALSE)))</f>
        <v/>
      </c>
      <c r="AP116" s="376" t="str">
        <f t="shared" si="21"/>
        <v/>
      </c>
      <c r="AQ116" s="376" t="str">
        <f t="shared" si="22"/>
        <v/>
      </c>
      <c r="AR116" s="119"/>
      <c r="AS116" s="528"/>
      <c r="AT116" s="120"/>
      <c r="AU116" s="120"/>
    </row>
    <row r="117" spans="1:47">
      <c r="A117" s="30" t="str">
        <f>IF(E117="","",IF(ISNA(VLOOKUP($E117,'D-1 Off-Site Habitat Baseline'!$D$1:$O$258,2,FALSE)),"",(VLOOKUP($E117,'D-1 Off-Site Habitat Baseline'!$D$1:$O$258,2,FALSE))))</f>
        <v/>
      </c>
      <c r="B117" s="30" t="str">
        <f>IF(E117="","",IF(ISNA(VLOOKUP($E117,'D-1 Off-Site Habitat Baseline'!$D$1:$O$258,3,FALSE)),"",(VLOOKUP($E117,'D-1 Off-Site Habitat Baseline'!$D$1:$O$258,3,FALSE))))</f>
        <v/>
      </c>
      <c r="C117" s="30" t="str">
        <f>IFERROR(INDEX('G-8 Condition Look up'!$I$4:$I$135,MATCH(S117,'G-8 Condition Look up'!$A$4:$A$135,0)),"")</f>
        <v/>
      </c>
      <c r="E117" s="407" t="str">
        <f>'D-1 Off-Site Habitat Baseline'!AP116</f>
        <v/>
      </c>
      <c r="F117" s="382" t="str">
        <f>IF(E117="","",IF(ISNA(VLOOKUP($E117,'D-1 Off-Site Habitat Baseline'!$D$1:$O$258,4,FALSE)),"",(VLOOKUP($E117,'D-1 Off-Site Habitat Baseline'!$D$1:$O$258,4,FALSE))))</f>
        <v/>
      </c>
      <c r="G117" s="382" t="str">
        <f>IF(E117="","",IF(ISNA(VLOOKUP($E117,'D-1 Off-Site Habitat Baseline'!$D$1:$O$258,5,FALSE)),"",(VLOOKUP($E117,'D-1 Off-Site Habitat Baseline'!$D$1:$O$258,5,FALSE))))</f>
        <v/>
      </c>
      <c r="H117" s="382" t="str">
        <f>IF(E117="","",IF(ISNA(VLOOKUP($E117,'D-1 Off-Site Habitat Baseline'!$D$1:$O$258,6,FALSE)),"",(VLOOKUP($E117,'D-1 Off-Site Habitat Baseline'!$D$1:$O$258,6,FALSE))))</f>
        <v/>
      </c>
      <c r="I117" s="382" t="str">
        <f>IF(E117="","",IF(ISNA(VLOOKUP($E117,'D-1 Off-Site Habitat Baseline'!$D$1:$O$258,7,FALSE)),"",(VLOOKUP($E117,'D-1 Off-Site Habitat Baseline'!$D$1:$O$258,7,FALSE))))</f>
        <v/>
      </c>
      <c r="J117" s="382" t="str">
        <f>IF(E117="","",IF(ISNA(VLOOKUP($E117,'D-1 Off-Site Habitat Baseline'!$D$1:$O$258,8,FALSE)),"",(VLOOKUP($E117,'D-1 Off-Site Habitat Baseline'!$D$1:$O$258,8,FALSE))))</f>
        <v/>
      </c>
      <c r="K117" s="382" t="str">
        <f>IF(E117="","",IF(ISNA(VLOOKUP($E117,'D-1 Off-Site Habitat Baseline'!$D$1:$O$258,9,FALSE)),"",(VLOOKUP($E117,'D-1 Off-Site Habitat Baseline'!$D$1:$O$258,9,FALSE))))</f>
        <v/>
      </c>
      <c r="L117" s="382" t="str">
        <f>IF(E117="","",IF(ISNA(VLOOKUP($E117,'D-1 Off-Site Habitat Baseline'!$D$1:$O$258,11,FALSE)),"",(VLOOKUP($E117,'D-1 Off-Site Habitat Baseline'!$D$1:$O$258,11,FALSE))))</f>
        <v/>
      </c>
      <c r="M117" s="382" t="str">
        <f>IF(E117="","",IF(ISNA(VLOOKUP($E117,'D-1 Off-Site Habitat Baseline'!$D$1:$O$258,12,FALSE)),"",(VLOOKUP($E117,'D-1 Off-Site Habitat Baseline'!$D$1:$O$258,12,FALSE))))</f>
        <v/>
      </c>
      <c r="N117" s="382" t="str">
        <f>IF(E117="","",IF(ISNA(VLOOKUP($E117,'D-1 Off-Site Habitat Baseline'!$D$1:$AA$258,14,FALSE)),"",(VLOOKUP($E117,'D-1 Off-Site Habitat Baseline'!$D$1:$AA$258,14,FALSE))))</f>
        <v/>
      </c>
      <c r="O117" s="386" t="str">
        <f>IF(E117="","",IF(ISNA(VLOOKUP($E117,'D-1 Off-Site Habitat Baseline'!$D$1:$AA$258,13,FALSE)),"",(VLOOKUP($E117,'D-1 Off-Site Habitat Baseline'!$D$1:$AA$258,13,FALSE))))</f>
        <v/>
      </c>
      <c r="P117" s="184" t="str">
        <f>IFERROR(INDEX('G-1 All Habitats'!$AG$3:$AG$17,MATCH(Q117,'G-1 All Habitats'!$AF$3:$AF$17,0)),"")</f>
        <v/>
      </c>
      <c r="Q117" s="185" t="str">
        <f t="shared" si="14"/>
        <v/>
      </c>
      <c r="R117" s="186" t="str">
        <f t="shared" si="14"/>
        <v/>
      </c>
      <c r="S117" s="187" t="str">
        <f>IFERROR(INDEX('G-1 All Habitats'!$B$3:$B$134,MATCH(R117,'G-1 All Habitats'!$A$3:$A$134,0)),"")</f>
        <v/>
      </c>
      <c r="T117" s="370" t="str">
        <f t="shared" si="15"/>
        <v/>
      </c>
      <c r="U117" s="386" t="str">
        <f t="shared" si="16"/>
        <v/>
      </c>
      <c r="V117" s="385" t="str">
        <f t="shared" si="12"/>
        <v/>
      </c>
      <c r="W117" s="382" t="str">
        <f>IF(S117="","",VLOOKUP(S117,'G-1 All Habitats'!$B$2:$M$134,10,FALSE))</f>
        <v/>
      </c>
      <c r="X117" s="382" t="str">
        <f>IFERROR(VLOOKUP(W117,'G-1 All Habitats'!$V$3:$W$7,2,FALSE),"")</f>
        <v/>
      </c>
      <c r="Y117" s="165"/>
      <c r="Z117" s="386" t="str">
        <f>IFERROR(INDEX('G-8 Condition Look up'!$A$3:$H$135,MATCH(S117,'G-8 Condition Look up'!$A$3:$A$135,0),MATCH(Y117,'G-8 Condition Look up'!$A$3:$H$3,0)),"")</f>
        <v/>
      </c>
      <c r="AA117" s="114"/>
      <c r="AB117" s="401" t="str">
        <f>IF(AA117="","",IF(VLOOKUP(AA117,'G-3 Multipliers'!$L$3:$N$6,2,FALSE)=0,"Spatial Data Missing ⚠",VLOOKUP(AA117,'G-3 Multipliers'!$L$3:$N$6,2,FALSE)))</f>
        <v/>
      </c>
      <c r="AC117" s="386" t="str">
        <f>IF(AA117="","",IF(VLOOKUP(AA117,'G-3 Multipliers'!$L$3:$N$6,3,FALSE)=0,"Spatial Data Missing ⚠",VLOOKUP(AA117,'G-3 Multipliers'!$L$3:$N$6,3,FALSE)))</f>
        <v/>
      </c>
      <c r="AD117" s="398" t="str">
        <f t="shared" si="13"/>
        <v/>
      </c>
      <c r="AE117" s="165"/>
      <c r="AF117" s="165"/>
      <c r="AG117" s="382" t="str">
        <f t="shared" si="17"/>
        <v/>
      </c>
      <c r="AH117" s="404" t="str">
        <f t="shared" si="18"/>
        <v/>
      </c>
      <c r="AI117" s="387" t="str">
        <f>IF(AH117="Check Data ⚠","Check Data ⚠",IFERROR(VLOOKUP(AH117,'G-4 Temporal multipliers'!$A$4:$C$36,3,FALSE),""))</f>
        <v/>
      </c>
      <c r="AJ117" s="398" t="str">
        <f>IF(S117="","",VLOOKUP(S117,'G-3 Multipliers'!$A$2:$E$134,4,FALSE))</f>
        <v/>
      </c>
      <c r="AK117" s="382" t="str">
        <f t="shared" si="19"/>
        <v/>
      </c>
      <c r="AL117" s="382" t="str">
        <f t="shared" si="20"/>
        <v/>
      </c>
      <c r="AM117" s="386" t="str">
        <f>IFERROR(IF(F117="","",IF(AH117="Check Data ⚠","Check Data ⚠",VLOOKUP(AL117, 'G-3 Multipliers'!$P$2:$Q$6,2,FALSE))),"")</f>
        <v/>
      </c>
      <c r="AN117" s="516"/>
      <c r="AO117" s="417" t="str">
        <f>IF(AN117="","",IF(VLOOKUP(AN117,'G-3 Multipliers'!$S$3:$T$10,2,FALSE)=0,"Spatial Data Missing ⚠",VLOOKUP(AN117,'G-3 Multipliers'!$S$3:$T$10,2,FALSE)))</f>
        <v/>
      </c>
      <c r="AP117" s="376" t="str">
        <f t="shared" si="21"/>
        <v/>
      </c>
      <c r="AQ117" s="376" t="str">
        <f t="shared" si="22"/>
        <v/>
      </c>
      <c r="AR117" s="119"/>
      <c r="AS117" s="528"/>
      <c r="AT117" s="120"/>
      <c r="AU117" s="120"/>
    </row>
    <row r="118" spans="1:47">
      <c r="A118" s="30" t="str">
        <f>IF(E118="","",IF(ISNA(VLOOKUP($E118,'D-1 Off-Site Habitat Baseline'!$D$1:$O$258,2,FALSE)),"",(VLOOKUP($E118,'D-1 Off-Site Habitat Baseline'!$D$1:$O$258,2,FALSE))))</f>
        <v/>
      </c>
      <c r="B118" s="30" t="str">
        <f>IF(E118="","",IF(ISNA(VLOOKUP($E118,'D-1 Off-Site Habitat Baseline'!$D$1:$O$258,3,FALSE)),"",(VLOOKUP($E118,'D-1 Off-Site Habitat Baseline'!$D$1:$O$258,3,FALSE))))</f>
        <v/>
      </c>
      <c r="C118" s="30" t="str">
        <f>IFERROR(INDEX('G-8 Condition Look up'!$I$4:$I$135,MATCH(S118,'G-8 Condition Look up'!$A$4:$A$135,0)),"")</f>
        <v/>
      </c>
      <c r="E118" s="407" t="str">
        <f>'D-1 Off-Site Habitat Baseline'!AP117</f>
        <v/>
      </c>
      <c r="F118" s="382" t="str">
        <f>IF(E118="","",IF(ISNA(VLOOKUP($E118,'D-1 Off-Site Habitat Baseline'!$D$1:$O$258,4,FALSE)),"",(VLOOKUP($E118,'D-1 Off-Site Habitat Baseline'!$D$1:$O$258,4,FALSE))))</f>
        <v/>
      </c>
      <c r="G118" s="382" t="str">
        <f>IF(E118="","",IF(ISNA(VLOOKUP($E118,'D-1 Off-Site Habitat Baseline'!$D$1:$O$258,5,FALSE)),"",(VLOOKUP($E118,'D-1 Off-Site Habitat Baseline'!$D$1:$O$258,5,FALSE))))</f>
        <v/>
      </c>
      <c r="H118" s="382" t="str">
        <f>IF(E118="","",IF(ISNA(VLOOKUP($E118,'D-1 Off-Site Habitat Baseline'!$D$1:$O$258,6,FALSE)),"",(VLOOKUP($E118,'D-1 Off-Site Habitat Baseline'!$D$1:$O$258,6,FALSE))))</f>
        <v/>
      </c>
      <c r="I118" s="382" t="str">
        <f>IF(E118="","",IF(ISNA(VLOOKUP($E118,'D-1 Off-Site Habitat Baseline'!$D$1:$O$258,7,FALSE)),"",(VLOOKUP($E118,'D-1 Off-Site Habitat Baseline'!$D$1:$O$258,7,FALSE))))</f>
        <v/>
      </c>
      <c r="J118" s="382" t="str">
        <f>IF(E118="","",IF(ISNA(VLOOKUP($E118,'D-1 Off-Site Habitat Baseline'!$D$1:$O$258,8,FALSE)),"",(VLOOKUP($E118,'D-1 Off-Site Habitat Baseline'!$D$1:$O$258,8,FALSE))))</f>
        <v/>
      </c>
      <c r="K118" s="382" t="str">
        <f>IF(E118="","",IF(ISNA(VLOOKUP($E118,'D-1 Off-Site Habitat Baseline'!$D$1:$O$258,9,FALSE)),"",(VLOOKUP($E118,'D-1 Off-Site Habitat Baseline'!$D$1:$O$258,9,FALSE))))</f>
        <v/>
      </c>
      <c r="L118" s="382" t="str">
        <f>IF(E118="","",IF(ISNA(VLOOKUP($E118,'D-1 Off-Site Habitat Baseline'!$D$1:$O$258,11,FALSE)),"",(VLOOKUP($E118,'D-1 Off-Site Habitat Baseline'!$D$1:$O$258,11,FALSE))))</f>
        <v/>
      </c>
      <c r="M118" s="382" t="str">
        <f>IF(E118="","",IF(ISNA(VLOOKUP($E118,'D-1 Off-Site Habitat Baseline'!$D$1:$O$258,12,FALSE)),"",(VLOOKUP($E118,'D-1 Off-Site Habitat Baseline'!$D$1:$O$258,12,FALSE))))</f>
        <v/>
      </c>
      <c r="N118" s="382" t="str">
        <f>IF(E118="","",IF(ISNA(VLOOKUP($E118,'D-1 Off-Site Habitat Baseline'!$D$1:$AA$258,14,FALSE)),"",(VLOOKUP($E118,'D-1 Off-Site Habitat Baseline'!$D$1:$AA$258,14,FALSE))))</f>
        <v/>
      </c>
      <c r="O118" s="386" t="str">
        <f>IF(E118="","",IF(ISNA(VLOOKUP($E118,'D-1 Off-Site Habitat Baseline'!$D$1:$AA$258,13,FALSE)),"",(VLOOKUP($E118,'D-1 Off-Site Habitat Baseline'!$D$1:$AA$258,13,FALSE))))</f>
        <v/>
      </c>
      <c r="P118" s="184" t="str">
        <f>IFERROR(INDEX('G-1 All Habitats'!$AG$3:$AG$17,MATCH(Q118,'G-1 All Habitats'!$AF$3:$AF$17,0)),"")</f>
        <v/>
      </c>
      <c r="Q118" s="185" t="str">
        <f t="shared" si="14"/>
        <v/>
      </c>
      <c r="R118" s="186" t="str">
        <f t="shared" si="14"/>
        <v/>
      </c>
      <c r="S118" s="187" t="str">
        <f>IFERROR(INDEX('G-1 All Habitats'!$B$3:$B$134,MATCH(R118,'G-1 All Habitats'!$A$3:$A$134,0)),"")</f>
        <v/>
      </c>
      <c r="T118" s="370" t="str">
        <f t="shared" si="15"/>
        <v/>
      </c>
      <c r="U118" s="386" t="str">
        <f t="shared" si="16"/>
        <v/>
      </c>
      <c r="V118" s="385" t="str">
        <f t="shared" si="12"/>
        <v/>
      </c>
      <c r="W118" s="382" t="str">
        <f>IF(S118="","",VLOOKUP(S118,'G-1 All Habitats'!$B$2:$M$134,10,FALSE))</f>
        <v/>
      </c>
      <c r="X118" s="382" t="str">
        <f>IFERROR(VLOOKUP(W118,'G-1 All Habitats'!$V$3:$W$7,2,FALSE),"")</f>
        <v/>
      </c>
      <c r="Y118" s="165"/>
      <c r="Z118" s="386" t="str">
        <f>IFERROR(INDEX('G-8 Condition Look up'!$A$3:$H$135,MATCH(S118,'G-8 Condition Look up'!$A$3:$A$135,0),MATCH(Y118,'G-8 Condition Look up'!$A$3:$H$3,0)),"")</f>
        <v/>
      </c>
      <c r="AA118" s="114"/>
      <c r="AB118" s="401" t="str">
        <f>IF(AA118="","",IF(VLOOKUP(AA118,'G-3 Multipliers'!$L$3:$N$6,2,FALSE)=0,"Spatial Data Missing ⚠",VLOOKUP(AA118,'G-3 Multipliers'!$L$3:$N$6,2,FALSE)))</f>
        <v/>
      </c>
      <c r="AC118" s="386" t="str">
        <f>IF(AA118="","",IF(VLOOKUP(AA118,'G-3 Multipliers'!$L$3:$N$6,3,FALSE)=0,"Spatial Data Missing ⚠",VLOOKUP(AA118,'G-3 Multipliers'!$L$3:$N$6,3,FALSE)))</f>
        <v/>
      </c>
      <c r="AD118" s="398" t="str">
        <f t="shared" si="13"/>
        <v/>
      </c>
      <c r="AE118" s="165"/>
      <c r="AF118" s="165"/>
      <c r="AG118" s="382" t="str">
        <f t="shared" si="17"/>
        <v/>
      </c>
      <c r="AH118" s="404" t="str">
        <f t="shared" si="18"/>
        <v/>
      </c>
      <c r="AI118" s="387" t="str">
        <f>IF(AH118="Check Data ⚠","Check Data ⚠",IFERROR(VLOOKUP(AH118,'G-4 Temporal multipliers'!$A$4:$C$36,3,FALSE),""))</f>
        <v/>
      </c>
      <c r="AJ118" s="398" t="str">
        <f>IF(S118="","",VLOOKUP(S118,'G-3 Multipliers'!$A$2:$E$134,4,FALSE))</f>
        <v/>
      </c>
      <c r="AK118" s="382" t="str">
        <f t="shared" si="19"/>
        <v/>
      </c>
      <c r="AL118" s="382" t="str">
        <f t="shared" si="20"/>
        <v/>
      </c>
      <c r="AM118" s="386" t="str">
        <f>IFERROR(IF(F118="","",IF(AH118="Check Data ⚠","Check Data ⚠",VLOOKUP(AL118, 'G-3 Multipliers'!$P$2:$Q$6,2,FALSE))),"")</f>
        <v/>
      </c>
      <c r="AN118" s="516"/>
      <c r="AO118" s="417" t="str">
        <f>IF(AN118="","",IF(VLOOKUP(AN118,'G-3 Multipliers'!$S$3:$T$10,2,FALSE)=0,"Spatial Data Missing ⚠",VLOOKUP(AN118,'G-3 Multipliers'!$S$3:$T$10,2,FALSE)))</f>
        <v/>
      </c>
      <c r="AP118" s="376" t="str">
        <f t="shared" si="21"/>
        <v/>
      </c>
      <c r="AQ118" s="376" t="str">
        <f t="shared" si="22"/>
        <v/>
      </c>
      <c r="AR118" s="119"/>
      <c r="AS118" s="528"/>
      <c r="AT118" s="120"/>
      <c r="AU118" s="120"/>
    </row>
    <row r="119" spans="1:47">
      <c r="A119" s="30" t="str">
        <f>IF(E119="","",IF(ISNA(VLOOKUP($E119,'D-1 Off-Site Habitat Baseline'!$D$1:$O$258,2,FALSE)),"",(VLOOKUP($E119,'D-1 Off-Site Habitat Baseline'!$D$1:$O$258,2,FALSE))))</f>
        <v/>
      </c>
      <c r="B119" s="30" t="str">
        <f>IF(E119="","",IF(ISNA(VLOOKUP($E119,'D-1 Off-Site Habitat Baseline'!$D$1:$O$258,3,FALSE)),"",(VLOOKUP($E119,'D-1 Off-Site Habitat Baseline'!$D$1:$O$258,3,FALSE))))</f>
        <v/>
      </c>
      <c r="C119" s="30" t="str">
        <f>IFERROR(INDEX('G-8 Condition Look up'!$I$4:$I$135,MATCH(S119,'G-8 Condition Look up'!$A$4:$A$135,0)),"")</f>
        <v/>
      </c>
      <c r="E119" s="407" t="str">
        <f>'D-1 Off-Site Habitat Baseline'!AP118</f>
        <v/>
      </c>
      <c r="F119" s="382" t="str">
        <f>IF(E119="","",IF(ISNA(VLOOKUP($E119,'D-1 Off-Site Habitat Baseline'!$D$1:$O$258,4,FALSE)),"",(VLOOKUP($E119,'D-1 Off-Site Habitat Baseline'!$D$1:$O$258,4,FALSE))))</f>
        <v/>
      </c>
      <c r="G119" s="382" t="str">
        <f>IF(E119="","",IF(ISNA(VLOOKUP($E119,'D-1 Off-Site Habitat Baseline'!$D$1:$O$258,5,FALSE)),"",(VLOOKUP($E119,'D-1 Off-Site Habitat Baseline'!$D$1:$O$258,5,FALSE))))</f>
        <v/>
      </c>
      <c r="H119" s="382" t="str">
        <f>IF(E119="","",IF(ISNA(VLOOKUP($E119,'D-1 Off-Site Habitat Baseline'!$D$1:$O$258,6,FALSE)),"",(VLOOKUP($E119,'D-1 Off-Site Habitat Baseline'!$D$1:$O$258,6,FALSE))))</f>
        <v/>
      </c>
      <c r="I119" s="382" t="str">
        <f>IF(E119="","",IF(ISNA(VLOOKUP($E119,'D-1 Off-Site Habitat Baseline'!$D$1:$O$258,7,FALSE)),"",(VLOOKUP($E119,'D-1 Off-Site Habitat Baseline'!$D$1:$O$258,7,FALSE))))</f>
        <v/>
      </c>
      <c r="J119" s="382" t="str">
        <f>IF(E119="","",IF(ISNA(VLOOKUP($E119,'D-1 Off-Site Habitat Baseline'!$D$1:$O$258,8,FALSE)),"",(VLOOKUP($E119,'D-1 Off-Site Habitat Baseline'!$D$1:$O$258,8,FALSE))))</f>
        <v/>
      </c>
      <c r="K119" s="382" t="str">
        <f>IF(E119="","",IF(ISNA(VLOOKUP($E119,'D-1 Off-Site Habitat Baseline'!$D$1:$O$258,9,FALSE)),"",(VLOOKUP($E119,'D-1 Off-Site Habitat Baseline'!$D$1:$O$258,9,FALSE))))</f>
        <v/>
      </c>
      <c r="L119" s="382" t="str">
        <f>IF(E119="","",IF(ISNA(VLOOKUP($E119,'D-1 Off-Site Habitat Baseline'!$D$1:$O$258,11,FALSE)),"",(VLOOKUP($E119,'D-1 Off-Site Habitat Baseline'!$D$1:$O$258,11,FALSE))))</f>
        <v/>
      </c>
      <c r="M119" s="382" t="str">
        <f>IF(E119="","",IF(ISNA(VLOOKUP($E119,'D-1 Off-Site Habitat Baseline'!$D$1:$O$258,12,FALSE)),"",(VLOOKUP($E119,'D-1 Off-Site Habitat Baseline'!$D$1:$O$258,12,FALSE))))</f>
        <v/>
      </c>
      <c r="N119" s="382" t="str">
        <f>IF(E119="","",IF(ISNA(VLOOKUP($E119,'D-1 Off-Site Habitat Baseline'!$D$1:$AA$258,14,FALSE)),"",(VLOOKUP($E119,'D-1 Off-Site Habitat Baseline'!$D$1:$AA$258,14,FALSE))))</f>
        <v/>
      </c>
      <c r="O119" s="386" t="str">
        <f>IF(E119="","",IF(ISNA(VLOOKUP($E119,'D-1 Off-Site Habitat Baseline'!$D$1:$AA$258,13,FALSE)),"",(VLOOKUP($E119,'D-1 Off-Site Habitat Baseline'!$D$1:$AA$258,13,FALSE))))</f>
        <v/>
      </c>
      <c r="P119" s="184" t="str">
        <f>IFERROR(INDEX('G-1 All Habitats'!$AG$3:$AG$17,MATCH(Q119,'G-1 All Habitats'!$AF$3:$AF$17,0)),"")</f>
        <v/>
      </c>
      <c r="Q119" s="185" t="str">
        <f t="shared" si="14"/>
        <v/>
      </c>
      <c r="R119" s="186" t="str">
        <f t="shared" si="14"/>
        <v/>
      </c>
      <c r="S119" s="187" t="str">
        <f>IFERROR(INDEX('G-1 All Habitats'!$B$3:$B$134,MATCH(R119,'G-1 All Habitats'!$A$3:$A$134,0)),"")</f>
        <v/>
      </c>
      <c r="T119" s="370" t="str">
        <f t="shared" si="15"/>
        <v/>
      </c>
      <c r="U119" s="386" t="str">
        <f t="shared" si="16"/>
        <v/>
      </c>
      <c r="V119" s="385" t="str">
        <f t="shared" si="12"/>
        <v/>
      </c>
      <c r="W119" s="382" t="str">
        <f>IF(S119="","",VLOOKUP(S119,'G-1 All Habitats'!$B$2:$M$134,10,FALSE))</f>
        <v/>
      </c>
      <c r="X119" s="382" t="str">
        <f>IFERROR(VLOOKUP(W119,'G-1 All Habitats'!$V$3:$W$7,2,FALSE),"")</f>
        <v/>
      </c>
      <c r="Y119" s="165"/>
      <c r="Z119" s="386" t="str">
        <f>IFERROR(INDEX('G-8 Condition Look up'!$A$3:$H$135,MATCH(S119,'G-8 Condition Look up'!$A$3:$A$135,0),MATCH(Y119,'G-8 Condition Look up'!$A$3:$H$3,0)),"")</f>
        <v/>
      </c>
      <c r="AA119" s="114"/>
      <c r="AB119" s="401" t="str">
        <f>IF(AA119="","",IF(VLOOKUP(AA119,'G-3 Multipliers'!$L$3:$N$6,2,FALSE)=0,"Spatial Data Missing ⚠",VLOOKUP(AA119,'G-3 Multipliers'!$L$3:$N$6,2,FALSE)))</f>
        <v/>
      </c>
      <c r="AC119" s="386" t="str">
        <f>IF(AA119="","",IF(VLOOKUP(AA119,'G-3 Multipliers'!$L$3:$N$6,3,FALSE)=0,"Spatial Data Missing ⚠",VLOOKUP(AA119,'G-3 Multipliers'!$L$3:$N$6,3,FALSE)))</f>
        <v/>
      </c>
      <c r="AD119" s="398" t="str">
        <f t="shared" si="13"/>
        <v/>
      </c>
      <c r="AE119" s="165"/>
      <c r="AF119" s="165"/>
      <c r="AG119" s="382" t="str">
        <f t="shared" si="17"/>
        <v/>
      </c>
      <c r="AH119" s="404" t="str">
        <f t="shared" si="18"/>
        <v/>
      </c>
      <c r="AI119" s="387" t="str">
        <f>IF(AH119="Check Data ⚠","Check Data ⚠",IFERROR(VLOOKUP(AH119,'G-4 Temporal multipliers'!$A$4:$C$36,3,FALSE),""))</f>
        <v/>
      </c>
      <c r="AJ119" s="398" t="str">
        <f>IF(S119="","",VLOOKUP(S119,'G-3 Multipliers'!$A$2:$E$134,4,FALSE))</f>
        <v/>
      </c>
      <c r="AK119" s="382" t="str">
        <f t="shared" si="19"/>
        <v/>
      </c>
      <c r="AL119" s="382" t="str">
        <f t="shared" si="20"/>
        <v/>
      </c>
      <c r="AM119" s="386" t="str">
        <f>IFERROR(IF(F119="","",IF(AH119="Check Data ⚠","Check Data ⚠",VLOOKUP(AL119, 'G-3 Multipliers'!$P$2:$Q$6,2,FALSE))),"")</f>
        <v/>
      </c>
      <c r="AN119" s="516"/>
      <c r="AO119" s="417" t="str">
        <f>IF(AN119="","",IF(VLOOKUP(AN119,'G-3 Multipliers'!$S$3:$T$10,2,FALSE)=0,"Spatial Data Missing ⚠",VLOOKUP(AN119,'G-3 Multipliers'!$S$3:$T$10,2,FALSE)))</f>
        <v/>
      </c>
      <c r="AP119" s="376" t="str">
        <f t="shared" si="21"/>
        <v/>
      </c>
      <c r="AQ119" s="376" t="str">
        <f t="shared" si="22"/>
        <v/>
      </c>
      <c r="AR119" s="119"/>
      <c r="AS119" s="528"/>
      <c r="AT119" s="120"/>
      <c r="AU119" s="120"/>
    </row>
    <row r="120" spans="1:47">
      <c r="A120" s="30" t="str">
        <f>IF(E120="","",IF(ISNA(VLOOKUP($E120,'D-1 Off-Site Habitat Baseline'!$D$1:$O$258,2,FALSE)),"",(VLOOKUP($E120,'D-1 Off-Site Habitat Baseline'!$D$1:$O$258,2,FALSE))))</f>
        <v/>
      </c>
      <c r="B120" s="30" t="str">
        <f>IF(E120="","",IF(ISNA(VLOOKUP($E120,'D-1 Off-Site Habitat Baseline'!$D$1:$O$258,3,FALSE)),"",(VLOOKUP($E120,'D-1 Off-Site Habitat Baseline'!$D$1:$O$258,3,FALSE))))</f>
        <v/>
      </c>
      <c r="C120" s="30" t="str">
        <f>IFERROR(INDEX('G-8 Condition Look up'!$I$4:$I$135,MATCH(S120,'G-8 Condition Look up'!$A$4:$A$135,0)),"")</f>
        <v/>
      </c>
      <c r="E120" s="407" t="str">
        <f>'D-1 Off-Site Habitat Baseline'!AP119</f>
        <v/>
      </c>
      <c r="F120" s="382" t="str">
        <f>IF(E120="","",IF(ISNA(VLOOKUP($E120,'D-1 Off-Site Habitat Baseline'!$D$1:$O$258,4,FALSE)),"",(VLOOKUP($E120,'D-1 Off-Site Habitat Baseline'!$D$1:$O$258,4,FALSE))))</f>
        <v/>
      </c>
      <c r="G120" s="382" t="str">
        <f>IF(E120="","",IF(ISNA(VLOOKUP($E120,'D-1 Off-Site Habitat Baseline'!$D$1:$O$258,5,FALSE)),"",(VLOOKUP($E120,'D-1 Off-Site Habitat Baseline'!$D$1:$O$258,5,FALSE))))</f>
        <v/>
      </c>
      <c r="H120" s="382" t="str">
        <f>IF(E120="","",IF(ISNA(VLOOKUP($E120,'D-1 Off-Site Habitat Baseline'!$D$1:$O$258,6,FALSE)),"",(VLOOKUP($E120,'D-1 Off-Site Habitat Baseline'!$D$1:$O$258,6,FALSE))))</f>
        <v/>
      </c>
      <c r="I120" s="382" t="str">
        <f>IF(E120="","",IF(ISNA(VLOOKUP($E120,'D-1 Off-Site Habitat Baseline'!$D$1:$O$258,7,FALSE)),"",(VLOOKUP($E120,'D-1 Off-Site Habitat Baseline'!$D$1:$O$258,7,FALSE))))</f>
        <v/>
      </c>
      <c r="J120" s="382" t="str">
        <f>IF(E120="","",IF(ISNA(VLOOKUP($E120,'D-1 Off-Site Habitat Baseline'!$D$1:$O$258,8,FALSE)),"",(VLOOKUP($E120,'D-1 Off-Site Habitat Baseline'!$D$1:$O$258,8,FALSE))))</f>
        <v/>
      </c>
      <c r="K120" s="382" t="str">
        <f>IF(E120="","",IF(ISNA(VLOOKUP($E120,'D-1 Off-Site Habitat Baseline'!$D$1:$O$258,9,FALSE)),"",(VLOOKUP($E120,'D-1 Off-Site Habitat Baseline'!$D$1:$O$258,9,FALSE))))</f>
        <v/>
      </c>
      <c r="L120" s="382" t="str">
        <f>IF(E120="","",IF(ISNA(VLOOKUP($E120,'D-1 Off-Site Habitat Baseline'!$D$1:$O$258,11,FALSE)),"",(VLOOKUP($E120,'D-1 Off-Site Habitat Baseline'!$D$1:$O$258,11,FALSE))))</f>
        <v/>
      </c>
      <c r="M120" s="382" t="str">
        <f>IF(E120="","",IF(ISNA(VLOOKUP($E120,'D-1 Off-Site Habitat Baseline'!$D$1:$O$258,12,FALSE)),"",(VLOOKUP($E120,'D-1 Off-Site Habitat Baseline'!$D$1:$O$258,12,FALSE))))</f>
        <v/>
      </c>
      <c r="N120" s="382" t="str">
        <f>IF(E120="","",IF(ISNA(VLOOKUP($E120,'D-1 Off-Site Habitat Baseline'!$D$1:$AA$258,14,FALSE)),"",(VLOOKUP($E120,'D-1 Off-Site Habitat Baseline'!$D$1:$AA$258,14,FALSE))))</f>
        <v/>
      </c>
      <c r="O120" s="386" t="str">
        <f>IF(E120="","",IF(ISNA(VLOOKUP($E120,'D-1 Off-Site Habitat Baseline'!$D$1:$AA$258,13,FALSE)),"",(VLOOKUP($E120,'D-1 Off-Site Habitat Baseline'!$D$1:$AA$258,13,FALSE))))</f>
        <v/>
      </c>
      <c r="P120" s="184" t="str">
        <f>IFERROR(INDEX('G-1 All Habitats'!$AG$3:$AG$17,MATCH(Q120,'G-1 All Habitats'!$AF$3:$AF$17,0)),"")</f>
        <v/>
      </c>
      <c r="Q120" s="185" t="str">
        <f t="shared" si="14"/>
        <v/>
      </c>
      <c r="R120" s="186" t="str">
        <f t="shared" si="14"/>
        <v/>
      </c>
      <c r="S120" s="187" t="str">
        <f>IFERROR(INDEX('G-1 All Habitats'!$B$3:$B$134,MATCH(R120,'G-1 All Habitats'!$A$3:$A$134,0)),"")</f>
        <v/>
      </c>
      <c r="T120" s="370" t="str">
        <f t="shared" si="15"/>
        <v/>
      </c>
      <c r="U120" s="386" t="str">
        <f t="shared" si="16"/>
        <v/>
      </c>
      <c r="V120" s="385" t="str">
        <f t="shared" si="12"/>
        <v/>
      </c>
      <c r="W120" s="382" t="str">
        <f>IF(S120="","",VLOOKUP(S120,'G-1 All Habitats'!$B$2:$M$134,10,FALSE))</f>
        <v/>
      </c>
      <c r="X120" s="382" t="str">
        <f>IFERROR(VLOOKUP(W120,'G-1 All Habitats'!$V$3:$W$7,2,FALSE),"")</f>
        <v/>
      </c>
      <c r="Y120" s="165"/>
      <c r="Z120" s="386" t="str">
        <f>IFERROR(INDEX('G-8 Condition Look up'!$A$3:$H$135,MATCH(S120,'G-8 Condition Look up'!$A$3:$A$135,0),MATCH(Y120,'G-8 Condition Look up'!$A$3:$H$3,0)),"")</f>
        <v/>
      </c>
      <c r="AA120" s="114"/>
      <c r="AB120" s="401" t="str">
        <f>IF(AA120="","",IF(VLOOKUP(AA120,'G-3 Multipliers'!$L$3:$N$6,2,FALSE)=0,"Spatial Data Missing ⚠",VLOOKUP(AA120,'G-3 Multipliers'!$L$3:$N$6,2,FALSE)))</f>
        <v/>
      </c>
      <c r="AC120" s="386" t="str">
        <f>IF(AA120="","",IF(VLOOKUP(AA120,'G-3 Multipliers'!$L$3:$N$6,3,FALSE)=0,"Spatial Data Missing ⚠",VLOOKUP(AA120,'G-3 Multipliers'!$L$3:$N$6,3,FALSE)))</f>
        <v/>
      </c>
      <c r="AD120" s="398" t="str">
        <f t="shared" si="13"/>
        <v/>
      </c>
      <c r="AE120" s="165"/>
      <c r="AF120" s="165"/>
      <c r="AG120" s="382" t="str">
        <f t="shared" si="17"/>
        <v/>
      </c>
      <c r="AH120" s="404" t="str">
        <f t="shared" si="18"/>
        <v/>
      </c>
      <c r="AI120" s="387" t="str">
        <f>IF(AH120="Check Data ⚠","Check Data ⚠",IFERROR(VLOOKUP(AH120,'G-4 Temporal multipliers'!$A$4:$C$36,3,FALSE),""))</f>
        <v/>
      </c>
      <c r="AJ120" s="398" t="str">
        <f>IF(S120="","",VLOOKUP(S120,'G-3 Multipliers'!$A$2:$E$134,4,FALSE))</f>
        <v/>
      </c>
      <c r="AK120" s="382" t="str">
        <f t="shared" si="19"/>
        <v/>
      </c>
      <c r="AL120" s="382" t="str">
        <f t="shared" si="20"/>
        <v/>
      </c>
      <c r="AM120" s="386" t="str">
        <f>IFERROR(IF(F120="","",IF(AH120="Check Data ⚠","Check Data ⚠",VLOOKUP(AL120, 'G-3 Multipliers'!$P$2:$Q$6,2,FALSE))),"")</f>
        <v/>
      </c>
      <c r="AN120" s="516"/>
      <c r="AO120" s="417" t="str">
        <f>IF(AN120="","",IF(VLOOKUP(AN120,'G-3 Multipliers'!$S$3:$T$10,2,FALSE)=0,"Spatial Data Missing ⚠",VLOOKUP(AN120,'G-3 Multipliers'!$S$3:$T$10,2,FALSE)))</f>
        <v/>
      </c>
      <c r="AP120" s="376" t="str">
        <f t="shared" si="21"/>
        <v/>
      </c>
      <c r="AQ120" s="376" t="str">
        <f t="shared" si="22"/>
        <v/>
      </c>
      <c r="AR120" s="119"/>
      <c r="AS120" s="528"/>
      <c r="AT120" s="120"/>
      <c r="AU120" s="120"/>
    </row>
    <row r="121" spans="1:47">
      <c r="A121" s="30" t="str">
        <f>IF(E121="","",IF(ISNA(VLOOKUP($E121,'D-1 Off-Site Habitat Baseline'!$D$1:$O$258,2,FALSE)),"",(VLOOKUP($E121,'D-1 Off-Site Habitat Baseline'!$D$1:$O$258,2,FALSE))))</f>
        <v/>
      </c>
      <c r="B121" s="30" t="str">
        <f>IF(E121="","",IF(ISNA(VLOOKUP($E121,'D-1 Off-Site Habitat Baseline'!$D$1:$O$258,3,FALSE)),"",(VLOOKUP($E121,'D-1 Off-Site Habitat Baseline'!$D$1:$O$258,3,FALSE))))</f>
        <v/>
      </c>
      <c r="C121" s="30" t="str">
        <f>IFERROR(INDEX('G-8 Condition Look up'!$I$4:$I$135,MATCH(S121,'G-8 Condition Look up'!$A$4:$A$135,0)),"")</f>
        <v/>
      </c>
      <c r="E121" s="407" t="str">
        <f>'D-1 Off-Site Habitat Baseline'!AP120</f>
        <v/>
      </c>
      <c r="F121" s="382" t="str">
        <f>IF(E121="","",IF(ISNA(VLOOKUP($E121,'D-1 Off-Site Habitat Baseline'!$D$1:$O$258,4,FALSE)),"",(VLOOKUP($E121,'D-1 Off-Site Habitat Baseline'!$D$1:$O$258,4,FALSE))))</f>
        <v/>
      </c>
      <c r="G121" s="382" t="str">
        <f>IF(E121="","",IF(ISNA(VLOOKUP($E121,'D-1 Off-Site Habitat Baseline'!$D$1:$O$258,5,FALSE)),"",(VLOOKUP($E121,'D-1 Off-Site Habitat Baseline'!$D$1:$O$258,5,FALSE))))</f>
        <v/>
      </c>
      <c r="H121" s="382" t="str">
        <f>IF(E121="","",IF(ISNA(VLOOKUP($E121,'D-1 Off-Site Habitat Baseline'!$D$1:$O$258,6,FALSE)),"",(VLOOKUP($E121,'D-1 Off-Site Habitat Baseline'!$D$1:$O$258,6,FALSE))))</f>
        <v/>
      </c>
      <c r="I121" s="382" t="str">
        <f>IF(E121="","",IF(ISNA(VLOOKUP($E121,'D-1 Off-Site Habitat Baseline'!$D$1:$O$258,7,FALSE)),"",(VLOOKUP($E121,'D-1 Off-Site Habitat Baseline'!$D$1:$O$258,7,FALSE))))</f>
        <v/>
      </c>
      <c r="J121" s="382" t="str">
        <f>IF(E121="","",IF(ISNA(VLOOKUP($E121,'D-1 Off-Site Habitat Baseline'!$D$1:$O$258,8,FALSE)),"",(VLOOKUP($E121,'D-1 Off-Site Habitat Baseline'!$D$1:$O$258,8,FALSE))))</f>
        <v/>
      </c>
      <c r="K121" s="382" t="str">
        <f>IF(E121="","",IF(ISNA(VLOOKUP($E121,'D-1 Off-Site Habitat Baseline'!$D$1:$O$258,9,FALSE)),"",(VLOOKUP($E121,'D-1 Off-Site Habitat Baseline'!$D$1:$O$258,9,FALSE))))</f>
        <v/>
      </c>
      <c r="L121" s="382" t="str">
        <f>IF(E121="","",IF(ISNA(VLOOKUP($E121,'D-1 Off-Site Habitat Baseline'!$D$1:$O$258,11,FALSE)),"",(VLOOKUP($E121,'D-1 Off-Site Habitat Baseline'!$D$1:$O$258,11,FALSE))))</f>
        <v/>
      </c>
      <c r="M121" s="382" t="str">
        <f>IF(E121="","",IF(ISNA(VLOOKUP($E121,'D-1 Off-Site Habitat Baseline'!$D$1:$O$258,12,FALSE)),"",(VLOOKUP($E121,'D-1 Off-Site Habitat Baseline'!$D$1:$O$258,12,FALSE))))</f>
        <v/>
      </c>
      <c r="N121" s="382" t="str">
        <f>IF(E121="","",IF(ISNA(VLOOKUP($E121,'D-1 Off-Site Habitat Baseline'!$D$1:$AA$258,14,FALSE)),"",(VLOOKUP($E121,'D-1 Off-Site Habitat Baseline'!$D$1:$AA$258,14,FALSE))))</f>
        <v/>
      </c>
      <c r="O121" s="386" t="str">
        <f>IF(E121="","",IF(ISNA(VLOOKUP($E121,'D-1 Off-Site Habitat Baseline'!$D$1:$AA$258,13,FALSE)),"",(VLOOKUP($E121,'D-1 Off-Site Habitat Baseline'!$D$1:$AA$258,13,FALSE))))</f>
        <v/>
      </c>
      <c r="P121" s="184" t="str">
        <f>IFERROR(INDEX('G-1 All Habitats'!$AG$3:$AG$17,MATCH(Q121,'G-1 All Habitats'!$AF$3:$AF$17,0)),"")</f>
        <v/>
      </c>
      <c r="Q121" s="185" t="str">
        <f t="shared" si="14"/>
        <v/>
      </c>
      <c r="R121" s="186" t="str">
        <f t="shared" si="14"/>
        <v/>
      </c>
      <c r="S121" s="187" t="str">
        <f>IFERROR(INDEX('G-1 All Habitats'!$B$3:$B$134,MATCH(R121,'G-1 All Habitats'!$A$3:$A$134,0)),"")</f>
        <v/>
      </c>
      <c r="T121" s="370" t="str">
        <f t="shared" si="15"/>
        <v/>
      </c>
      <c r="U121" s="386" t="str">
        <f t="shared" si="16"/>
        <v/>
      </c>
      <c r="V121" s="385" t="str">
        <f t="shared" si="12"/>
        <v/>
      </c>
      <c r="W121" s="382" t="str">
        <f>IF(S121="","",VLOOKUP(S121,'G-1 All Habitats'!$B$2:$M$134,10,FALSE))</f>
        <v/>
      </c>
      <c r="X121" s="382" t="str">
        <f>IFERROR(VLOOKUP(W121,'G-1 All Habitats'!$V$3:$W$7,2,FALSE),"")</f>
        <v/>
      </c>
      <c r="Y121" s="165"/>
      <c r="Z121" s="386" t="str">
        <f>IFERROR(INDEX('G-8 Condition Look up'!$A$3:$H$135,MATCH(S121,'G-8 Condition Look up'!$A$3:$A$135,0),MATCH(Y121,'G-8 Condition Look up'!$A$3:$H$3,0)),"")</f>
        <v/>
      </c>
      <c r="AA121" s="114"/>
      <c r="AB121" s="401" t="str">
        <f>IF(AA121="","",IF(VLOOKUP(AA121,'G-3 Multipliers'!$L$3:$N$6,2,FALSE)=0,"Spatial Data Missing ⚠",VLOOKUP(AA121,'G-3 Multipliers'!$L$3:$N$6,2,FALSE)))</f>
        <v/>
      </c>
      <c r="AC121" s="386" t="str">
        <f>IF(AA121="","",IF(VLOOKUP(AA121,'G-3 Multipliers'!$L$3:$N$6,3,FALSE)=0,"Spatial Data Missing ⚠",VLOOKUP(AA121,'G-3 Multipliers'!$L$3:$N$6,3,FALSE)))</f>
        <v/>
      </c>
      <c r="AD121" s="398" t="str">
        <f t="shared" si="13"/>
        <v/>
      </c>
      <c r="AE121" s="165"/>
      <c r="AF121" s="165"/>
      <c r="AG121" s="382" t="str">
        <f t="shared" si="17"/>
        <v/>
      </c>
      <c r="AH121" s="404" t="str">
        <f t="shared" si="18"/>
        <v/>
      </c>
      <c r="AI121" s="387" t="str">
        <f>IF(AH121="Check Data ⚠","Check Data ⚠",IFERROR(VLOOKUP(AH121,'G-4 Temporal multipliers'!$A$4:$C$36,3,FALSE),""))</f>
        <v/>
      </c>
      <c r="AJ121" s="398" t="str">
        <f>IF(S121="","",VLOOKUP(S121,'G-3 Multipliers'!$A$2:$E$134,4,FALSE))</f>
        <v/>
      </c>
      <c r="AK121" s="382" t="str">
        <f t="shared" si="19"/>
        <v/>
      </c>
      <c r="AL121" s="382" t="str">
        <f t="shared" si="20"/>
        <v/>
      </c>
      <c r="AM121" s="386" t="str">
        <f>IFERROR(IF(F121="","",IF(AH121="Check Data ⚠","Check Data ⚠",VLOOKUP(AL121, 'G-3 Multipliers'!$P$2:$Q$6,2,FALSE))),"")</f>
        <v/>
      </c>
      <c r="AN121" s="516"/>
      <c r="AO121" s="417" t="str">
        <f>IF(AN121="","",IF(VLOOKUP(AN121,'G-3 Multipliers'!$S$3:$T$10,2,FALSE)=0,"Spatial Data Missing ⚠",VLOOKUP(AN121,'G-3 Multipliers'!$S$3:$T$10,2,FALSE)))</f>
        <v/>
      </c>
      <c r="AP121" s="376" t="str">
        <f t="shared" si="21"/>
        <v/>
      </c>
      <c r="AQ121" s="376" t="str">
        <f t="shared" si="22"/>
        <v/>
      </c>
      <c r="AR121" s="119"/>
      <c r="AS121" s="528"/>
      <c r="AT121" s="120"/>
      <c r="AU121" s="120"/>
    </row>
    <row r="122" spans="1:47">
      <c r="A122" s="30" t="str">
        <f>IF(E122="","",IF(ISNA(VLOOKUP($E122,'D-1 Off-Site Habitat Baseline'!$D$1:$O$258,2,FALSE)),"",(VLOOKUP($E122,'D-1 Off-Site Habitat Baseline'!$D$1:$O$258,2,FALSE))))</f>
        <v/>
      </c>
      <c r="B122" s="30" t="str">
        <f>IF(E122="","",IF(ISNA(VLOOKUP($E122,'D-1 Off-Site Habitat Baseline'!$D$1:$O$258,3,FALSE)),"",(VLOOKUP($E122,'D-1 Off-Site Habitat Baseline'!$D$1:$O$258,3,FALSE))))</f>
        <v/>
      </c>
      <c r="C122" s="30" t="str">
        <f>IFERROR(INDEX('G-8 Condition Look up'!$I$4:$I$135,MATCH(S122,'G-8 Condition Look up'!$A$4:$A$135,0)),"")</f>
        <v/>
      </c>
      <c r="E122" s="407" t="str">
        <f>'D-1 Off-Site Habitat Baseline'!AP121</f>
        <v/>
      </c>
      <c r="F122" s="382" t="str">
        <f>IF(E122="","",IF(ISNA(VLOOKUP($E122,'D-1 Off-Site Habitat Baseline'!$D$1:$O$258,4,FALSE)),"",(VLOOKUP($E122,'D-1 Off-Site Habitat Baseline'!$D$1:$O$258,4,FALSE))))</f>
        <v/>
      </c>
      <c r="G122" s="382" t="str">
        <f>IF(E122="","",IF(ISNA(VLOOKUP($E122,'D-1 Off-Site Habitat Baseline'!$D$1:$O$258,5,FALSE)),"",(VLOOKUP($E122,'D-1 Off-Site Habitat Baseline'!$D$1:$O$258,5,FALSE))))</f>
        <v/>
      </c>
      <c r="H122" s="382" t="str">
        <f>IF(E122="","",IF(ISNA(VLOOKUP($E122,'D-1 Off-Site Habitat Baseline'!$D$1:$O$258,6,FALSE)),"",(VLOOKUP($E122,'D-1 Off-Site Habitat Baseline'!$D$1:$O$258,6,FALSE))))</f>
        <v/>
      </c>
      <c r="I122" s="382" t="str">
        <f>IF(E122="","",IF(ISNA(VLOOKUP($E122,'D-1 Off-Site Habitat Baseline'!$D$1:$O$258,7,FALSE)),"",(VLOOKUP($E122,'D-1 Off-Site Habitat Baseline'!$D$1:$O$258,7,FALSE))))</f>
        <v/>
      </c>
      <c r="J122" s="382" t="str">
        <f>IF(E122="","",IF(ISNA(VLOOKUP($E122,'D-1 Off-Site Habitat Baseline'!$D$1:$O$258,8,FALSE)),"",(VLOOKUP($E122,'D-1 Off-Site Habitat Baseline'!$D$1:$O$258,8,FALSE))))</f>
        <v/>
      </c>
      <c r="K122" s="382" t="str">
        <f>IF(E122="","",IF(ISNA(VLOOKUP($E122,'D-1 Off-Site Habitat Baseline'!$D$1:$O$258,9,FALSE)),"",(VLOOKUP($E122,'D-1 Off-Site Habitat Baseline'!$D$1:$O$258,9,FALSE))))</f>
        <v/>
      </c>
      <c r="L122" s="382" t="str">
        <f>IF(E122="","",IF(ISNA(VLOOKUP($E122,'D-1 Off-Site Habitat Baseline'!$D$1:$O$258,11,FALSE)),"",(VLOOKUP($E122,'D-1 Off-Site Habitat Baseline'!$D$1:$O$258,11,FALSE))))</f>
        <v/>
      </c>
      <c r="M122" s="382" t="str">
        <f>IF(E122="","",IF(ISNA(VLOOKUP($E122,'D-1 Off-Site Habitat Baseline'!$D$1:$O$258,12,FALSE)),"",(VLOOKUP($E122,'D-1 Off-Site Habitat Baseline'!$D$1:$O$258,12,FALSE))))</f>
        <v/>
      </c>
      <c r="N122" s="382" t="str">
        <f>IF(E122="","",IF(ISNA(VLOOKUP($E122,'D-1 Off-Site Habitat Baseline'!$D$1:$AA$258,14,FALSE)),"",(VLOOKUP($E122,'D-1 Off-Site Habitat Baseline'!$D$1:$AA$258,14,FALSE))))</f>
        <v/>
      </c>
      <c r="O122" s="386" t="str">
        <f>IF(E122="","",IF(ISNA(VLOOKUP($E122,'D-1 Off-Site Habitat Baseline'!$D$1:$AA$258,13,FALSE)),"",(VLOOKUP($E122,'D-1 Off-Site Habitat Baseline'!$D$1:$AA$258,13,FALSE))))</f>
        <v/>
      </c>
      <c r="P122" s="184" t="str">
        <f>IFERROR(INDEX('G-1 All Habitats'!$AG$3:$AG$17,MATCH(Q122,'G-1 All Habitats'!$AF$3:$AF$17,0)),"")</f>
        <v/>
      </c>
      <c r="Q122" s="185" t="str">
        <f t="shared" si="14"/>
        <v/>
      </c>
      <c r="R122" s="186" t="str">
        <f t="shared" si="14"/>
        <v/>
      </c>
      <c r="S122" s="187" t="str">
        <f>IFERROR(INDEX('G-1 All Habitats'!$B$3:$B$134,MATCH(R122,'G-1 All Habitats'!$A$3:$A$134,0)),"")</f>
        <v/>
      </c>
      <c r="T122" s="370" t="str">
        <f t="shared" si="15"/>
        <v/>
      </c>
      <c r="U122" s="386" t="str">
        <f t="shared" si="16"/>
        <v/>
      </c>
      <c r="V122" s="385" t="str">
        <f t="shared" si="12"/>
        <v/>
      </c>
      <c r="W122" s="382" t="str">
        <f>IF(S122="","",VLOOKUP(S122,'G-1 All Habitats'!$B$2:$M$134,10,FALSE))</f>
        <v/>
      </c>
      <c r="X122" s="382" t="str">
        <f>IFERROR(VLOOKUP(W122,'G-1 All Habitats'!$V$3:$W$7,2,FALSE),"")</f>
        <v/>
      </c>
      <c r="Y122" s="165"/>
      <c r="Z122" s="386" t="str">
        <f>IFERROR(INDEX('G-8 Condition Look up'!$A$3:$H$135,MATCH(S122,'G-8 Condition Look up'!$A$3:$A$135,0),MATCH(Y122,'G-8 Condition Look up'!$A$3:$H$3,0)),"")</f>
        <v/>
      </c>
      <c r="AA122" s="114"/>
      <c r="AB122" s="401" t="str">
        <f>IF(AA122="","",IF(VLOOKUP(AA122,'G-3 Multipliers'!$L$3:$N$6,2,FALSE)=0,"Spatial Data Missing ⚠",VLOOKUP(AA122,'G-3 Multipliers'!$L$3:$N$6,2,FALSE)))</f>
        <v/>
      </c>
      <c r="AC122" s="386" t="str">
        <f>IF(AA122="","",IF(VLOOKUP(AA122,'G-3 Multipliers'!$L$3:$N$6,3,FALSE)=0,"Spatial Data Missing ⚠",VLOOKUP(AA122,'G-3 Multipliers'!$L$3:$N$6,3,FALSE)))</f>
        <v/>
      </c>
      <c r="AD122" s="398" t="str">
        <f t="shared" si="13"/>
        <v/>
      </c>
      <c r="AE122" s="165"/>
      <c r="AF122" s="165"/>
      <c r="AG122" s="382" t="str">
        <f t="shared" si="17"/>
        <v/>
      </c>
      <c r="AH122" s="404" t="str">
        <f t="shared" si="18"/>
        <v/>
      </c>
      <c r="AI122" s="387" t="str">
        <f>IF(AH122="Check Data ⚠","Check Data ⚠",IFERROR(VLOOKUP(AH122,'G-4 Temporal multipliers'!$A$4:$C$36,3,FALSE),""))</f>
        <v/>
      </c>
      <c r="AJ122" s="398" t="str">
        <f>IF(S122="","",VLOOKUP(S122,'G-3 Multipliers'!$A$2:$E$134,4,FALSE))</f>
        <v/>
      </c>
      <c r="AK122" s="382" t="str">
        <f t="shared" si="19"/>
        <v/>
      </c>
      <c r="AL122" s="382" t="str">
        <f t="shared" si="20"/>
        <v/>
      </c>
      <c r="AM122" s="386" t="str">
        <f>IFERROR(IF(F122="","",IF(AH122="Check Data ⚠","Check Data ⚠",VLOOKUP(AL122, 'G-3 Multipliers'!$P$2:$Q$6,2,FALSE))),"")</f>
        <v/>
      </c>
      <c r="AN122" s="516"/>
      <c r="AO122" s="417" t="str">
        <f>IF(AN122="","",IF(VLOOKUP(AN122,'G-3 Multipliers'!$S$3:$T$10,2,FALSE)=0,"Spatial Data Missing ⚠",VLOOKUP(AN122,'G-3 Multipliers'!$S$3:$T$10,2,FALSE)))</f>
        <v/>
      </c>
      <c r="AP122" s="376" t="str">
        <f t="shared" si="21"/>
        <v/>
      </c>
      <c r="AQ122" s="376" t="str">
        <f t="shared" si="22"/>
        <v/>
      </c>
      <c r="AR122" s="119"/>
      <c r="AS122" s="528"/>
      <c r="AT122" s="120"/>
      <c r="AU122" s="120"/>
    </row>
    <row r="123" spans="1:47">
      <c r="A123" s="30" t="str">
        <f>IF(E123="","",IF(ISNA(VLOOKUP($E123,'D-1 Off-Site Habitat Baseline'!$D$1:$O$258,2,FALSE)),"",(VLOOKUP($E123,'D-1 Off-Site Habitat Baseline'!$D$1:$O$258,2,FALSE))))</f>
        <v/>
      </c>
      <c r="B123" s="30" t="str">
        <f>IF(E123="","",IF(ISNA(VLOOKUP($E123,'D-1 Off-Site Habitat Baseline'!$D$1:$O$258,3,FALSE)),"",(VLOOKUP($E123,'D-1 Off-Site Habitat Baseline'!$D$1:$O$258,3,FALSE))))</f>
        <v/>
      </c>
      <c r="C123" s="30" t="str">
        <f>IFERROR(INDEX('G-8 Condition Look up'!$I$4:$I$135,MATCH(S123,'G-8 Condition Look up'!$A$4:$A$135,0)),"")</f>
        <v/>
      </c>
      <c r="E123" s="407" t="str">
        <f>'D-1 Off-Site Habitat Baseline'!AP122</f>
        <v/>
      </c>
      <c r="F123" s="382" t="str">
        <f>IF(E123="","",IF(ISNA(VLOOKUP($E123,'D-1 Off-Site Habitat Baseline'!$D$1:$O$258,4,FALSE)),"",(VLOOKUP($E123,'D-1 Off-Site Habitat Baseline'!$D$1:$O$258,4,FALSE))))</f>
        <v/>
      </c>
      <c r="G123" s="382" t="str">
        <f>IF(E123="","",IF(ISNA(VLOOKUP($E123,'D-1 Off-Site Habitat Baseline'!$D$1:$O$258,5,FALSE)),"",(VLOOKUP($E123,'D-1 Off-Site Habitat Baseline'!$D$1:$O$258,5,FALSE))))</f>
        <v/>
      </c>
      <c r="H123" s="382" t="str">
        <f>IF(E123="","",IF(ISNA(VLOOKUP($E123,'D-1 Off-Site Habitat Baseline'!$D$1:$O$258,6,FALSE)),"",(VLOOKUP($E123,'D-1 Off-Site Habitat Baseline'!$D$1:$O$258,6,FALSE))))</f>
        <v/>
      </c>
      <c r="I123" s="382" t="str">
        <f>IF(E123="","",IF(ISNA(VLOOKUP($E123,'D-1 Off-Site Habitat Baseline'!$D$1:$O$258,7,FALSE)),"",(VLOOKUP($E123,'D-1 Off-Site Habitat Baseline'!$D$1:$O$258,7,FALSE))))</f>
        <v/>
      </c>
      <c r="J123" s="382" t="str">
        <f>IF(E123="","",IF(ISNA(VLOOKUP($E123,'D-1 Off-Site Habitat Baseline'!$D$1:$O$258,8,FALSE)),"",(VLOOKUP($E123,'D-1 Off-Site Habitat Baseline'!$D$1:$O$258,8,FALSE))))</f>
        <v/>
      </c>
      <c r="K123" s="382" t="str">
        <f>IF(E123="","",IF(ISNA(VLOOKUP($E123,'D-1 Off-Site Habitat Baseline'!$D$1:$O$258,9,FALSE)),"",(VLOOKUP($E123,'D-1 Off-Site Habitat Baseline'!$D$1:$O$258,9,FALSE))))</f>
        <v/>
      </c>
      <c r="L123" s="382" t="str">
        <f>IF(E123="","",IF(ISNA(VLOOKUP($E123,'D-1 Off-Site Habitat Baseline'!$D$1:$O$258,11,FALSE)),"",(VLOOKUP($E123,'D-1 Off-Site Habitat Baseline'!$D$1:$O$258,11,FALSE))))</f>
        <v/>
      </c>
      <c r="M123" s="382" t="str">
        <f>IF(E123="","",IF(ISNA(VLOOKUP($E123,'D-1 Off-Site Habitat Baseline'!$D$1:$O$258,12,FALSE)),"",(VLOOKUP($E123,'D-1 Off-Site Habitat Baseline'!$D$1:$O$258,12,FALSE))))</f>
        <v/>
      </c>
      <c r="N123" s="382" t="str">
        <f>IF(E123="","",IF(ISNA(VLOOKUP($E123,'D-1 Off-Site Habitat Baseline'!$D$1:$AA$258,14,FALSE)),"",(VLOOKUP($E123,'D-1 Off-Site Habitat Baseline'!$D$1:$AA$258,14,FALSE))))</f>
        <v/>
      </c>
      <c r="O123" s="386" t="str">
        <f>IF(E123="","",IF(ISNA(VLOOKUP($E123,'D-1 Off-Site Habitat Baseline'!$D$1:$AA$258,13,FALSE)),"",(VLOOKUP($E123,'D-1 Off-Site Habitat Baseline'!$D$1:$AA$258,13,FALSE))))</f>
        <v/>
      </c>
      <c r="P123" s="184" t="str">
        <f>IFERROR(INDEX('G-1 All Habitats'!$AG$3:$AG$17,MATCH(Q123,'G-1 All Habitats'!$AF$3:$AF$17,0)),"")</f>
        <v/>
      </c>
      <c r="Q123" s="185" t="str">
        <f t="shared" si="14"/>
        <v/>
      </c>
      <c r="R123" s="186" t="str">
        <f t="shared" si="14"/>
        <v/>
      </c>
      <c r="S123" s="187" t="str">
        <f>IFERROR(INDEX('G-1 All Habitats'!$B$3:$B$134,MATCH(R123,'G-1 All Habitats'!$A$3:$A$134,0)),"")</f>
        <v/>
      </c>
      <c r="T123" s="370" t="str">
        <f t="shared" si="15"/>
        <v/>
      </c>
      <c r="U123" s="386" t="str">
        <f t="shared" si="16"/>
        <v/>
      </c>
      <c r="V123" s="385" t="str">
        <f t="shared" si="12"/>
        <v/>
      </c>
      <c r="W123" s="382" t="str">
        <f>IF(S123="","",VLOOKUP(S123,'G-1 All Habitats'!$B$2:$M$134,10,FALSE))</f>
        <v/>
      </c>
      <c r="X123" s="382" t="str">
        <f>IFERROR(VLOOKUP(W123,'G-1 All Habitats'!$V$3:$W$7,2,FALSE),"")</f>
        <v/>
      </c>
      <c r="Y123" s="165"/>
      <c r="Z123" s="386" t="str">
        <f>IFERROR(INDEX('G-8 Condition Look up'!$A$3:$H$135,MATCH(S123,'G-8 Condition Look up'!$A$3:$A$135,0),MATCH(Y123,'G-8 Condition Look up'!$A$3:$H$3,0)),"")</f>
        <v/>
      </c>
      <c r="AA123" s="114"/>
      <c r="AB123" s="401" t="str">
        <f>IF(AA123="","",IF(VLOOKUP(AA123,'G-3 Multipliers'!$L$3:$N$6,2,FALSE)=0,"Spatial Data Missing ⚠",VLOOKUP(AA123,'G-3 Multipliers'!$L$3:$N$6,2,FALSE)))</f>
        <v/>
      </c>
      <c r="AC123" s="386" t="str">
        <f>IF(AA123="","",IF(VLOOKUP(AA123,'G-3 Multipliers'!$L$3:$N$6,3,FALSE)=0,"Spatial Data Missing ⚠",VLOOKUP(AA123,'G-3 Multipliers'!$L$3:$N$6,3,FALSE)))</f>
        <v/>
      </c>
      <c r="AD123" s="398" t="str">
        <f t="shared" si="13"/>
        <v/>
      </c>
      <c r="AE123" s="165"/>
      <c r="AF123" s="165"/>
      <c r="AG123" s="382" t="str">
        <f t="shared" si="17"/>
        <v/>
      </c>
      <c r="AH123" s="404" t="str">
        <f t="shared" si="18"/>
        <v/>
      </c>
      <c r="AI123" s="387" t="str">
        <f>IF(AH123="Check Data ⚠","Check Data ⚠",IFERROR(VLOOKUP(AH123,'G-4 Temporal multipliers'!$A$4:$C$36,3,FALSE),""))</f>
        <v/>
      </c>
      <c r="AJ123" s="398" t="str">
        <f>IF(S123="","",VLOOKUP(S123,'G-3 Multipliers'!$A$2:$E$134,4,FALSE))</f>
        <v/>
      </c>
      <c r="AK123" s="382" t="str">
        <f t="shared" si="19"/>
        <v/>
      </c>
      <c r="AL123" s="382" t="str">
        <f t="shared" si="20"/>
        <v/>
      </c>
      <c r="AM123" s="386" t="str">
        <f>IFERROR(IF(F123="","",IF(AH123="Check Data ⚠","Check Data ⚠",VLOOKUP(AL123, 'G-3 Multipliers'!$P$2:$Q$6,2,FALSE))),"")</f>
        <v/>
      </c>
      <c r="AN123" s="516"/>
      <c r="AO123" s="417" t="str">
        <f>IF(AN123="","",IF(VLOOKUP(AN123,'G-3 Multipliers'!$S$3:$T$10,2,FALSE)=0,"Spatial Data Missing ⚠",VLOOKUP(AN123,'G-3 Multipliers'!$S$3:$T$10,2,FALSE)))</f>
        <v/>
      </c>
      <c r="AP123" s="376" t="str">
        <f t="shared" si="21"/>
        <v/>
      </c>
      <c r="AQ123" s="376" t="str">
        <f t="shared" si="22"/>
        <v/>
      </c>
      <c r="AR123" s="119"/>
      <c r="AS123" s="528"/>
      <c r="AT123" s="120"/>
      <c r="AU123" s="120"/>
    </row>
    <row r="124" spans="1:47">
      <c r="A124" s="30" t="str">
        <f>IF(E124="","",IF(ISNA(VLOOKUP($E124,'D-1 Off-Site Habitat Baseline'!$D$1:$O$258,2,FALSE)),"",(VLOOKUP($E124,'D-1 Off-Site Habitat Baseline'!$D$1:$O$258,2,FALSE))))</f>
        <v/>
      </c>
      <c r="B124" s="30" t="str">
        <f>IF(E124="","",IF(ISNA(VLOOKUP($E124,'D-1 Off-Site Habitat Baseline'!$D$1:$O$258,3,FALSE)),"",(VLOOKUP($E124,'D-1 Off-Site Habitat Baseline'!$D$1:$O$258,3,FALSE))))</f>
        <v/>
      </c>
      <c r="C124" s="30" t="str">
        <f>IFERROR(INDEX('G-8 Condition Look up'!$I$4:$I$135,MATCH(S124,'G-8 Condition Look up'!$A$4:$A$135,0)),"")</f>
        <v/>
      </c>
      <c r="E124" s="407" t="str">
        <f>'D-1 Off-Site Habitat Baseline'!AP123</f>
        <v/>
      </c>
      <c r="F124" s="382" t="str">
        <f>IF(E124="","",IF(ISNA(VLOOKUP($E124,'D-1 Off-Site Habitat Baseline'!$D$1:$O$258,4,FALSE)),"",(VLOOKUP($E124,'D-1 Off-Site Habitat Baseline'!$D$1:$O$258,4,FALSE))))</f>
        <v/>
      </c>
      <c r="G124" s="382" t="str">
        <f>IF(E124="","",IF(ISNA(VLOOKUP($E124,'D-1 Off-Site Habitat Baseline'!$D$1:$O$258,5,FALSE)),"",(VLOOKUP($E124,'D-1 Off-Site Habitat Baseline'!$D$1:$O$258,5,FALSE))))</f>
        <v/>
      </c>
      <c r="H124" s="382" t="str">
        <f>IF(E124="","",IF(ISNA(VLOOKUP($E124,'D-1 Off-Site Habitat Baseline'!$D$1:$O$258,6,FALSE)),"",(VLOOKUP($E124,'D-1 Off-Site Habitat Baseline'!$D$1:$O$258,6,FALSE))))</f>
        <v/>
      </c>
      <c r="I124" s="382" t="str">
        <f>IF(E124="","",IF(ISNA(VLOOKUP($E124,'D-1 Off-Site Habitat Baseline'!$D$1:$O$258,7,FALSE)),"",(VLOOKUP($E124,'D-1 Off-Site Habitat Baseline'!$D$1:$O$258,7,FALSE))))</f>
        <v/>
      </c>
      <c r="J124" s="382" t="str">
        <f>IF(E124="","",IF(ISNA(VLOOKUP($E124,'D-1 Off-Site Habitat Baseline'!$D$1:$O$258,8,FALSE)),"",(VLOOKUP($E124,'D-1 Off-Site Habitat Baseline'!$D$1:$O$258,8,FALSE))))</f>
        <v/>
      </c>
      <c r="K124" s="382" t="str">
        <f>IF(E124="","",IF(ISNA(VLOOKUP($E124,'D-1 Off-Site Habitat Baseline'!$D$1:$O$258,9,FALSE)),"",(VLOOKUP($E124,'D-1 Off-Site Habitat Baseline'!$D$1:$O$258,9,FALSE))))</f>
        <v/>
      </c>
      <c r="L124" s="382" t="str">
        <f>IF(E124="","",IF(ISNA(VLOOKUP($E124,'D-1 Off-Site Habitat Baseline'!$D$1:$O$258,11,FALSE)),"",(VLOOKUP($E124,'D-1 Off-Site Habitat Baseline'!$D$1:$O$258,11,FALSE))))</f>
        <v/>
      </c>
      <c r="M124" s="382" t="str">
        <f>IF(E124="","",IF(ISNA(VLOOKUP($E124,'D-1 Off-Site Habitat Baseline'!$D$1:$O$258,12,FALSE)),"",(VLOOKUP($E124,'D-1 Off-Site Habitat Baseline'!$D$1:$O$258,12,FALSE))))</f>
        <v/>
      </c>
      <c r="N124" s="382" t="str">
        <f>IF(E124="","",IF(ISNA(VLOOKUP($E124,'D-1 Off-Site Habitat Baseline'!$D$1:$AA$258,14,FALSE)),"",(VLOOKUP($E124,'D-1 Off-Site Habitat Baseline'!$D$1:$AA$258,14,FALSE))))</f>
        <v/>
      </c>
      <c r="O124" s="386" t="str">
        <f>IF(E124="","",IF(ISNA(VLOOKUP($E124,'D-1 Off-Site Habitat Baseline'!$D$1:$AA$258,13,FALSE)),"",(VLOOKUP($E124,'D-1 Off-Site Habitat Baseline'!$D$1:$AA$258,13,FALSE))))</f>
        <v/>
      </c>
      <c r="P124" s="184" t="str">
        <f>IFERROR(INDEX('G-1 All Habitats'!$AG$3:$AG$17,MATCH(Q124,'G-1 All Habitats'!$AF$3:$AF$17,0)),"")</f>
        <v/>
      </c>
      <c r="Q124" s="185" t="str">
        <f t="shared" si="14"/>
        <v/>
      </c>
      <c r="R124" s="186" t="str">
        <f t="shared" si="14"/>
        <v/>
      </c>
      <c r="S124" s="187" t="str">
        <f>IFERROR(INDEX('G-1 All Habitats'!$B$3:$B$134,MATCH(R124,'G-1 All Habitats'!$A$3:$A$134,0)),"")</f>
        <v/>
      </c>
      <c r="T124" s="370" t="str">
        <f t="shared" si="15"/>
        <v/>
      </c>
      <c r="U124" s="386" t="str">
        <f t="shared" si="16"/>
        <v/>
      </c>
      <c r="V124" s="385" t="str">
        <f t="shared" si="12"/>
        <v/>
      </c>
      <c r="W124" s="382" t="str">
        <f>IF(S124="","",VLOOKUP(S124,'G-1 All Habitats'!$B$2:$M$134,10,FALSE))</f>
        <v/>
      </c>
      <c r="X124" s="382" t="str">
        <f>IFERROR(VLOOKUP(W124,'G-1 All Habitats'!$V$3:$W$7,2,FALSE),"")</f>
        <v/>
      </c>
      <c r="Y124" s="165"/>
      <c r="Z124" s="386" t="str">
        <f>IFERROR(INDEX('G-8 Condition Look up'!$A$3:$H$135,MATCH(S124,'G-8 Condition Look up'!$A$3:$A$135,0),MATCH(Y124,'G-8 Condition Look up'!$A$3:$H$3,0)),"")</f>
        <v/>
      </c>
      <c r="AA124" s="114"/>
      <c r="AB124" s="401" t="str">
        <f>IF(AA124="","",IF(VLOOKUP(AA124,'G-3 Multipliers'!$L$3:$N$6,2,FALSE)=0,"Spatial Data Missing ⚠",VLOOKUP(AA124,'G-3 Multipliers'!$L$3:$N$6,2,FALSE)))</f>
        <v/>
      </c>
      <c r="AC124" s="386" t="str">
        <f>IF(AA124="","",IF(VLOOKUP(AA124,'G-3 Multipliers'!$L$3:$N$6,3,FALSE)=0,"Spatial Data Missing ⚠",VLOOKUP(AA124,'G-3 Multipliers'!$L$3:$N$6,3,FALSE)))</f>
        <v/>
      </c>
      <c r="AD124" s="398" t="str">
        <f t="shared" si="13"/>
        <v/>
      </c>
      <c r="AE124" s="165"/>
      <c r="AF124" s="165"/>
      <c r="AG124" s="382" t="str">
        <f t="shared" si="17"/>
        <v/>
      </c>
      <c r="AH124" s="404" t="str">
        <f t="shared" si="18"/>
        <v/>
      </c>
      <c r="AI124" s="387" t="str">
        <f>IF(AH124="Check Data ⚠","Check Data ⚠",IFERROR(VLOOKUP(AH124,'G-4 Temporal multipliers'!$A$4:$C$36,3,FALSE),""))</f>
        <v/>
      </c>
      <c r="AJ124" s="398" t="str">
        <f>IF(S124="","",VLOOKUP(S124,'G-3 Multipliers'!$A$2:$E$134,4,FALSE))</f>
        <v/>
      </c>
      <c r="AK124" s="382" t="str">
        <f t="shared" si="19"/>
        <v/>
      </c>
      <c r="AL124" s="382" t="str">
        <f t="shared" si="20"/>
        <v/>
      </c>
      <c r="AM124" s="386" t="str">
        <f>IFERROR(IF(F124="","",IF(AH124="Check Data ⚠","Check Data ⚠",VLOOKUP(AL124, 'G-3 Multipliers'!$P$2:$Q$6,2,FALSE))),"")</f>
        <v/>
      </c>
      <c r="AN124" s="516"/>
      <c r="AO124" s="417" t="str">
        <f>IF(AN124="","",IF(VLOOKUP(AN124,'G-3 Multipliers'!$S$3:$T$10,2,FALSE)=0,"Spatial Data Missing ⚠",VLOOKUP(AN124,'G-3 Multipliers'!$S$3:$T$10,2,FALSE)))</f>
        <v/>
      </c>
      <c r="AP124" s="376" t="str">
        <f t="shared" si="21"/>
        <v/>
      </c>
      <c r="AQ124" s="376" t="str">
        <f t="shared" si="22"/>
        <v/>
      </c>
      <c r="AR124" s="119"/>
      <c r="AS124" s="528"/>
      <c r="AT124" s="120"/>
      <c r="AU124" s="120"/>
    </row>
    <row r="125" spans="1:47">
      <c r="A125" s="30" t="str">
        <f>IF(E125="","",IF(ISNA(VLOOKUP($E125,'D-1 Off-Site Habitat Baseline'!$D$1:$O$258,2,FALSE)),"",(VLOOKUP($E125,'D-1 Off-Site Habitat Baseline'!$D$1:$O$258,2,FALSE))))</f>
        <v/>
      </c>
      <c r="B125" s="30" t="str">
        <f>IF(E125="","",IF(ISNA(VLOOKUP($E125,'D-1 Off-Site Habitat Baseline'!$D$1:$O$258,3,FALSE)),"",(VLOOKUP($E125,'D-1 Off-Site Habitat Baseline'!$D$1:$O$258,3,FALSE))))</f>
        <v/>
      </c>
      <c r="C125" s="30" t="str">
        <f>IFERROR(INDEX('G-8 Condition Look up'!$I$4:$I$135,MATCH(S125,'G-8 Condition Look up'!$A$4:$A$135,0)),"")</f>
        <v/>
      </c>
      <c r="E125" s="407" t="str">
        <f>'D-1 Off-Site Habitat Baseline'!AP124</f>
        <v/>
      </c>
      <c r="F125" s="382" t="str">
        <f>IF(E125="","",IF(ISNA(VLOOKUP($E125,'D-1 Off-Site Habitat Baseline'!$D$1:$O$258,4,FALSE)),"",(VLOOKUP($E125,'D-1 Off-Site Habitat Baseline'!$D$1:$O$258,4,FALSE))))</f>
        <v/>
      </c>
      <c r="G125" s="382" t="str">
        <f>IF(E125="","",IF(ISNA(VLOOKUP($E125,'D-1 Off-Site Habitat Baseline'!$D$1:$O$258,5,FALSE)),"",(VLOOKUP($E125,'D-1 Off-Site Habitat Baseline'!$D$1:$O$258,5,FALSE))))</f>
        <v/>
      </c>
      <c r="H125" s="382" t="str">
        <f>IF(E125="","",IF(ISNA(VLOOKUP($E125,'D-1 Off-Site Habitat Baseline'!$D$1:$O$258,6,FALSE)),"",(VLOOKUP($E125,'D-1 Off-Site Habitat Baseline'!$D$1:$O$258,6,FALSE))))</f>
        <v/>
      </c>
      <c r="I125" s="382" t="str">
        <f>IF(E125="","",IF(ISNA(VLOOKUP($E125,'D-1 Off-Site Habitat Baseline'!$D$1:$O$258,7,FALSE)),"",(VLOOKUP($E125,'D-1 Off-Site Habitat Baseline'!$D$1:$O$258,7,FALSE))))</f>
        <v/>
      </c>
      <c r="J125" s="382" t="str">
        <f>IF(E125="","",IF(ISNA(VLOOKUP($E125,'D-1 Off-Site Habitat Baseline'!$D$1:$O$258,8,FALSE)),"",(VLOOKUP($E125,'D-1 Off-Site Habitat Baseline'!$D$1:$O$258,8,FALSE))))</f>
        <v/>
      </c>
      <c r="K125" s="382" t="str">
        <f>IF(E125="","",IF(ISNA(VLOOKUP($E125,'D-1 Off-Site Habitat Baseline'!$D$1:$O$258,9,FALSE)),"",(VLOOKUP($E125,'D-1 Off-Site Habitat Baseline'!$D$1:$O$258,9,FALSE))))</f>
        <v/>
      </c>
      <c r="L125" s="382" t="str">
        <f>IF(E125="","",IF(ISNA(VLOOKUP($E125,'D-1 Off-Site Habitat Baseline'!$D$1:$O$258,11,FALSE)),"",(VLOOKUP($E125,'D-1 Off-Site Habitat Baseline'!$D$1:$O$258,11,FALSE))))</f>
        <v/>
      </c>
      <c r="M125" s="382" t="str">
        <f>IF(E125="","",IF(ISNA(VLOOKUP($E125,'D-1 Off-Site Habitat Baseline'!$D$1:$O$258,12,FALSE)),"",(VLOOKUP($E125,'D-1 Off-Site Habitat Baseline'!$D$1:$O$258,12,FALSE))))</f>
        <v/>
      </c>
      <c r="N125" s="382" t="str">
        <f>IF(E125="","",IF(ISNA(VLOOKUP($E125,'D-1 Off-Site Habitat Baseline'!$D$1:$AA$258,14,FALSE)),"",(VLOOKUP($E125,'D-1 Off-Site Habitat Baseline'!$D$1:$AA$258,14,FALSE))))</f>
        <v/>
      </c>
      <c r="O125" s="386" t="str">
        <f>IF(E125="","",IF(ISNA(VLOOKUP($E125,'D-1 Off-Site Habitat Baseline'!$D$1:$AA$258,13,FALSE)),"",(VLOOKUP($E125,'D-1 Off-Site Habitat Baseline'!$D$1:$AA$258,13,FALSE))))</f>
        <v/>
      </c>
      <c r="P125" s="184" t="str">
        <f>IFERROR(INDEX('G-1 All Habitats'!$AG$3:$AG$17,MATCH(Q125,'G-1 All Habitats'!$AF$3:$AF$17,0)),"")</f>
        <v/>
      </c>
      <c r="Q125" s="185" t="str">
        <f t="shared" si="14"/>
        <v/>
      </c>
      <c r="R125" s="186" t="str">
        <f t="shared" si="14"/>
        <v/>
      </c>
      <c r="S125" s="187" t="str">
        <f>IFERROR(INDEX('G-1 All Habitats'!$B$3:$B$134,MATCH(R125,'G-1 All Habitats'!$A$3:$A$134,0)),"")</f>
        <v/>
      </c>
      <c r="T125" s="370" t="str">
        <f t="shared" si="15"/>
        <v/>
      </c>
      <c r="U125" s="386" t="str">
        <f t="shared" si="16"/>
        <v/>
      </c>
      <c r="V125" s="385" t="str">
        <f t="shared" si="12"/>
        <v/>
      </c>
      <c r="W125" s="382" t="str">
        <f>IF(S125="","",VLOOKUP(S125,'G-1 All Habitats'!$B$2:$M$134,10,FALSE))</f>
        <v/>
      </c>
      <c r="X125" s="382" t="str">
        <f>IFERROR(VLOOKUP(W125,'G-1 All Habitats'!$V$3:$W$7,2,FALSE),"")</f>
        <v/>
      </c>
      <c r="Y125" s="165"/>
      <c r="Z125" s="386" t="str">
        <f>IFERROR(INDEX('G-8 Condition Look up'!$A$3:$H$135,MATCH(S125,'G-8 Condition Look up'!$A$3:$A$135,0),MATCH(Y125,'G-8 Condition Look up'!$A$3:$H$3,0)),"")</f>
        <v/>
      </c>
      <c r="AA125" s="114"/>
      <c r="AB125" s="401" t="str">
        <f>IF(AA125="","",IF(VLOOKUP(AA125,'G-3 Multipliers'!$L$3:$N$6,2,FALSE)=0,"Spatial Data Missing ⚠",VLOOKUP(AA125,'G-3 Multipliers'!$L$3:$N$6,2,FALSE)))</f>
        <v/>
      </c>
      <c r="AC125" s="386" t="str">
        <f>IF(AA125="","",IF(VLOOKUP(AA125,'G-3 Multipliers'!$L$3:$N$6,3,FALSE)=0,"Spatial Data Missing ⚠",VLOOKUP(AA125,'G-3 Multipliers'!$L$3:$N$6,3,FALSE)))</f>
        <v/>
      </c>
      <c r="AD125" s="398" t="str">
        <f t="shared" si="13"/>
        <v/>
      </c>
      <c r="AE125" s="165"/>
      <c r="AF125" s="165"/>
      <c r="AG125" s="382" t="str">
        <f t="shared" si="17"/>
        <v/>
      </c>
      <c r="AH125" s="404" t="str">
        <f t="shared" si="18"/>
        <v/>
      </c>
      <c r="AI125" s="387" t="str">
        <f>IF(AH125="Check Data ⚠","Check Data ⚠",IFERROR(VLOOKUP(AH125,'G-4 Temporal multipliers'!$A$4:$C$36,3,FALSE),""))</f>
        <v/>
      </c>
      <c r="AJ125" s="398" t="str">
        <f>IF(S125="","",VLOOKUP(S125,'G-3 Multipliers'!$A$2:$E$134,4,FALSE))</f>
        <v/>
      </c>
      <c r="AK125" s="382" t="str">
        <f t="shared" si="19"/>
        <v/>
      </c>
      <c r="AL125" s="382" t="str">
        <f t="shared" si="20"/>
        <v/>
      </c>
      <c r="AM125" s="386" t="str">
        <f>IFERROR(IF(F125="","",IF(AH125="Check Data ⚠","Check Data ⚠",VLOOKUP(AL125, 'G-3 Multipliers'!$P$2:$Q$6,2,FALSE))),"")</f>
        <v/>
      </c>
      <c r="AN125" s="516"/>
      <c r="AO125" s="417" t="str">
        <f>IF(AN125="","",IF(VLOOKUP(AN125,'G-3 Multipliers'!$S$3:$T$10,2,FALSE)=0,"Spatial Data Missing ⚠",VLOOKUP(AN125,'G-3 Multipliers'!$S$3:$T$10,2,FALSE)))</f>
        <v/>
      </c>
      <c r="AP125" s="376" t="str">
        <f t="shared" si="21"/>
        <v/>
      </c>
      <c r="AQ125" s="376" t="str">
        <f t="shared" si="22"/>
        <v/>
      </c>
      <c r="AR125" s="119"/>
      <c r="AS125" s="528"/>
      <c r="AT125" s="120"/>
      <c r="AU125" s="120"/>
    </row>
    <row r="126" spans="1:47">
      <c r="A126" s="30" t="str">
        <f>IF(E126="","",IF(ISNA(VLOOKUP($E126,'D-1 Off-Site Habitat Baseline'!$D$1:$O$258,2,FALSE)),"",(VLOOKUP($E126,'D-1 Off-Site Habitat Baseline'!$D$1:$O$258,2,FALSE))))</f>
        <v/>
      </c>
      <c r="B126" s="30" t="str">
        <f>IF(E126="","",IF(ISNA(VLOOKUP($E126,'D-1 Off-Site Habitat Baseline'!$D$1:$O$258,3,FALSE)),"",(VLOOKUP($E126,'D-1 Off-Site Habitat Baseline'!$D$1:$O$258,3,FALSE))))</f>
        <v/>
      </c>
      <c r="C126" s="30" t="str">
        <f>IFERROR(INDEX('G-8 Condition Look up'!$I$4:$I$135,MATCH(S126,'G-8 Condition Look up'!$A$4:$A$135,0)),"")</f>
        <v/>
      </c>
      <c r="E126" s="407" t="str">
        <f>'D-1 Off-Site Habitat Baseline'!AP125</f>
        <v/>
      </c>
      <c r="F126" s="382" t="str">
        <f>IF(E126="","",IF(ISNA(VLOOKUP($E126,'D-1 Off-Site Habitat Baseline'!$D$1:$O$258,4,FALSE)),"",(VLOOKUP($E126,'D-1 Off-Site Habitat Baseline'!$D$1:$O$258,4,FALSE))))</f>
        <v/>
      </c>
      <c r="G126" s="382" t="str">
        <f>IF(E126="","",IF(ISNA(VLOOKUP($E126,'D-1 Off-Site Habitat Baseline'!$D$1:$O$258,5,FALSE)),"",(VLOOKUP($E126,'D-1 Off-Site Habitat Baseline'!$D$1:$O$258,5,FALSE))))</f>
        <v/>
      </c>
      <c r="H126" s="382" t="str">
        <f>IF(E126="","",IF(ISNA(VLOOKUP($E126,'D-1 Off-Site Habitat Baseline'!$D$1:$O$258,6,FALSE)),"",(VLOOKUP($E126,'D-1 Off-Site Habitat Baseline'!$D$1:$O$258,6,FALSE))))</f>
        <v/>
      </c>
      <c r="I126" s="382" t="str">
        <f>IF(E126="","",IF(ISNA(VLOOKUP($E126,'D-1 Off-Site Habitat Baseline'!$D$1:$O$258,7,FALSE)),"",(VLOOKUP($E126,'D-1 Off-Site Habitat Baseline'!$D$1:$O$258,7,FALSE))))</f>
        <v/>
      </c>
      <c r="J126" s="382" t="str">
        <f>IF(E126="","",IF(ISNA(VLOOKUP($E126,'D-1 Off-Site Habitat Baseline'!$D$1:$O$258,8,FALSE)),"",(VLOOKUP($E126,'D-1 Off-Site Habitat Baseline'!$D$1:$O$258,8,FALSE))))</f>
        <v/>
      </c>
      <c r="K126" s="382" t="str">
        <f>IF(E126="","",IF(ISNA(VLOOKUP($E126,'D-1 Off-Site Habitat Baseline'!$D$1:$O$258,9,FALSE)),"",(VLOOKUP($E126,'D-1 Off-Site Habitat Baseline'!$D$1:$O$258,9,FALSE))))</f>
        <v/>
      </c>
      <c r="L126" s="382" t="str">
        <f>IF(E126="","",IF(ISNA(VLOOKUP($E126,'D-1 Off-Site Habitat Baseline'!$D$1:$O$258,11,FALSE)),"",(VLOOKUP($E126,'D-1 Off-Site Habitat Baseline'!$D$1:$O$258,11,FALSE))))</f>
        <v/>
      </c>
      <c r="M126" s="382" t="str">
        <f>IF(E126="","",IF(ISNA(VLOOKUP($E126,'D-1 Off-Site Habitat Baseline'!$D$1:$O$258,12,FALSE)),"",(VLOOKUP($E126,'D-1 Off-Site Habitat Baseline'!$D$1:$O$258,12,FALSE))))</f>
        <v/>
      </c>
      <c r="N126" s="382" t="str">
        <f>IF(E126="","",IF(ISNA(VLOOKUP($E126,'D-1 Off-Site Habitat Baseline'!$D$1:$AA$258,14,FALSE)),"",(VLOOKUP($E126,'D-1 Off-Site Habitat Baseline'!$D$1:$AA$258,14,FALSE))))</f>
        <v/>
      </c>
      <c r="O126" s="386" t="str">
        <f>IF(E126="","",IF(ISNA(VLOOKUP($E126,'D-1 Off-Site Habitat Baseline'!$D$1:$AA$258,13,FALSE)),"",(VLOOKUP($E126,'D-1 Off-Site Habitat Baseline'!$D$1:$AA$258,13,FALSE))))</f>
        <v/>
      </c>
      <c r="P126" s="184" t="str">
        <f>IFERROR(INDEX('G-1 All Habitats'!$AG$3:$AG$17,MATCH(Q126,'G-1 All Habitats'!$AF$3:$AF$17,0)),"")</f>
        <v/>
      </c>
      <c r="Q126" s="185" t="str">
        <f t="shared" si="14"/>
        <v/>
      </c>
      <c r="R126" s="186" t="str">
        <f t="shared" si="14"/>
        <v/>
      </c>
      <c r="S126" s="187" t="str">
        <f>IFERROR(INDEX('G-1 All Habitats'!$B$3:$B$134,MATCH(R126,'G-1 All Habitats'!$A$3:$A$134,0)),"")</f>
        <v/>
      </c>
      <c r="T126" s="370" t="str">
        <f t="shared" si="15"/>
        <v/>
      </c>
      <c r="U126" s="386" t="str">
        <f t="shared" si="16"/>
        <v/>
      </c>
      <c r="V126" s="385" t="str">
        <f t="shared" si="12"/>
        <v/>
      </c>
      <c r="W126" s="382" t="str">
        <f>IF(S126="","",VLOOKUP(S126,'G-1 All Habitats'!$B$2:$M$134,10,FALSE))</f>
        <v/>
      </c>
      <c r="X126" s="382" t="str">
        <f>IFERROR(VLOOKUP(W126,'G-1 All Habitats'!$V$3:$W$7,2,FALSE),"")</f>
        <v/>
      </c>
      <c r="Y126" s="165"/>
      <c r="Z126" s="386" t="str">
        <f>IFERROR(INDEX('G-8 Condition Look up'!$A$3:$H$135,MATCH(S126,'G-8 Condition Look up'!$A$3:$A$135,0),MATCH(Y126,'G-8 Condition Look up'!$A$3:$H$3,0)),"")</f>
        <v/>
      </c>
      <c r="AA126" s="114"/>
      <c r="AB126" s="401" t="str">
        <f>IF(AA126="","",IF(VLOOKUP(AA126,'G-3 Multipliers'!$L$3:$N$6,2,FALSE)=0,"Spatial Data Missing ⚠",VLOOKUP(AA126,'G-3 Multipliers'!$L$3:$N$6,2,FALSE)))</f>
        <v/>
      </c>
      <c r="AC126" s="386" t="str">
        <f>IF(AA126="","",IF(VLOOKUP(AA126,'G-3 Multipliers'!$L$3:$N$6,3,FALSE)=0,"Spatial Data Missing ⚠",VLOOKUP(AA126,'G-3 Multipliers'!$L$3:$N$6,3,FALSE)))</f>
        <v/>
      </c>
      <c r="AD126" s="398" t="str">
        <f t="shared" si="13"/>
        <v/>
      </c>
      <c r="AE126" s="165"/>
      <c r="AF126" s="165"/>
      <c r="AG126" s="382" t="str">
        <f t="shared" si="17"/>
        <v/>
      </c>
      <c r="AH126" s="404" t="str">
        <f t="shared" si="18"/>
        <v/>
      </c>
      <c r="AI126" s="387" t="str">
        <f>IF(AH126="Check Data ⚠","Check Data ⚠",IFERROR(VLOOKUP(AH126,'G-4 Temporal multipliers'!$A$4:$C$36,3,FALSE),""))</f>
        <v/>
      </c>
      <c r="AJ126" s="398" t="str">
        <f>IF(S126="","",VLOOKUP(S126,'G-3 Multipliers'!$A$2:$E$134,4,FALSE))</f>
        <v/>
      </c>
      <c r="AK126" s="382" t="str">
        <f t="shared" si="19"/>
        <v/>
      </c>
      <c r="AL126" s="382" t="str">
        <f t="shared" si="20"/>
        <v/>
      </c>
      <c r="AM126" s="386" t="str">
        <f>IFERROR(IF(F126="","",IF(AH126="Check Data ⚠","Check Data ⚠",VLOOKUP(AL126, 'G-3 Multipliers'!$P$2:$Q$6,2,FALSE))),"")</f>
        <v/>
      </c>
      <c r="AN126" s="516"/>
      <c r="AO126" s="417" t="str">
        <f>IF(AN126="","",IF(VLOOKUP(AN126,'G-3 Multipliers'!$S$3:$T$10,2,FALSE)=0,"Spatial Data Missing ⚠",VLOOKUP(AN126,'G-3 Multipliers'!$S$3:$T$10,2,FALSE)))</f>
        <v/>
      </c>
      <c r="AP126" s="376" t="str">
        <f t="shared" si="21"/>
        <v/>
      </c>
      <c r="AQ126" s="376" t="str">
        <f t="shared" si="22"/>
        <v/>
      </c>
      <c r="AR126" s="119"/>
      <c r="AS126" s="528"/>
      <c r="AT126" s="120"/>
      <c r="AU126" s="120"/>
    </row>
    <row r="127" spans="1:47">
      <c r="A127" s="30" t="str">
        <f>IF(E127="","",IF(ISNA(VLOOKUP($E127,'D-1 Off-Site Habitat Baseline'!$D$1:$O$258,2,FALSE)),"",(VLOOKUP($E127,'D-1 Off-Site Habitat Baseline'!$D$1:$O$258,2,FALSE))))</f>
        <v/>
      </c>
      <c r="B127" s="30" t="str">
        <f>IF(E127="","",IF(ISNA(VLOOKUP($E127,'D-1 Off-Site Habitat Baseline'!$D$1:$O$258,3,FALSE)),"",(VLOOKUP($E127,'D-1 Off-Site Habitat Baseline'!$D$1:$O$258,3,FALSE))))</f>
        <v/>
      </c>
      <c r="C127" s="30" t="str">
        <f>IFERROR(INDEX('G-8 Condition Look up'!$I$4:$I$135,MATCH(S127,'G-8 Condition Look up'!$A$4:$A$135,0)),"")</f>
        <v/>
      </c>
      <c r="E127" s="407" t="str">
        <f>'D-1 Off-Site Habitat Baseline'!AP126</f>
        <v/>
      </c>
      <c r="F127" s="382" t="str">
        <f>IF(E127="","",IF(ISNA(VLOOKUP($E127,'D-1 Off-Site Habitat Baseline'!$D$1:$O$258,4,FALSE)),"",(VLOOKUP($E127,'D-1 Off-Site Habitat Baseline'!$D$1:$O$258,4,FALSE))))</f>
        <v/>
      </c>
      <c r="G127" s="382" t="str">
        <f>IF(E127="","",IF(ISNA(VLOOKUP($E127,'D-1 Off-Site Habitat Baseline'!$D$1:$O$258,5,FALSE)),"",(VLOOKUP($E127,'D-1 Off-Site Habitat Baseline'!$D$1:$O$258,5,FALSE))))</f>
        <v/>
      </c>
      <c r="H127" s="382" t="str">
        <f>IF(E127="","",IF(ISNA(VLOOKUP($E127,'D-1 Off-Site Habitat Baseline'!$D$1:$O$258,6,FALSE)),"",(VLOOKUP($E127,'D-1 Off-Site Habitat Baseline'!$D$1:$O$258,6,FALSE))))</f>
        <v/>
      </c>
      <c r="I127" s="382" t="str">
        <f>IF(E127="","",IF(ISNA(VLOOKUP($E127,'D-1 Off-Site Habitat Baseline'!$D$1:$O$258,7,FALSE)),"",(VLOOKUP($E127,'D-1 Off-Site Habitat Baseline'!$D$1:$O$258,7,FALSE))))</f>
        <v/>
      </c>
      <c r="J127" s="382" t="str">
        <f>IF(E127="","",IF(ISNA(VLOOKUP($E127,'D-1 Off-Site Habitat Baseline'!$D$1:$O$258,8,FALSE)),"",(VLOOKUP($E127,'D-1 Off-Site Habitat Baseline'!$D$1:$O$258,8,FALSE))))</f>
        <v/>
      </c>
      <c r="K127" s="382" t="str">
        <f>IF(E127="","",IF(ISNA(VLOOKUP($E127,'D-1 Off-Site Habitat Baseline'!$D$1:$O$258,9,FALSE)),"",(VLOOKUP($E127,'D-1 Off-Site Habitat Baseline'!$D$1:$O$258,9,FALSE))))</f>
        <v/>
      </c>
      <c r="L127" s="382" t="str">
        <f>IF(E127="","",IF(ISNA(VLOOKUP($E127,'D-1 Off-Site Habitat Baseline'!$D$1:$O$258,11,FALSE)),"",(VLOOKUP($E127,'D-1 Off-Site Habitat Baseline'!$D$1:$O$258,11,FALSE))))</f>
        <v/>
      </c>
      <c r="M127" s="382" t="str">
        <f>IF(E127="","",IF(ISNA(VLOOKUP($E127,'D-1 Off-Site Habitat Baseline'!$D$1:$O$258,12,FALSE)),"",(VLOOKUP($E127,'D-1 Off-Site Habitat Baseline'!$D$1:$O$258,12,FALSE))))</f>
        <v/>
      </c>
      <c r="N127" s="382" t="str">
        <f>IF(E127="","",IF(ISNA(VLOOKUP($E127,'D-1 Off-Site Habitat Baseline'!$D$1:$AA$258,14,FALSE)),"",(VLOOKUP($E127,'D-1 Off-Site Habitat Baseline'!$D$1:$AA$258,14,FALSE))))</f>
        <v/>
      </c>
      <c r="O127" s="386" t="str">
        <f>IF(E127="","",IF(ISNA(VLOOKUP($E127,'D-1 Off-Site Habitat Baseline'!$D$1:$AA$258,13,FALSE)),"",(VLOOKUP($E127,'D-1 Off-Site Habitat Baseline'!$D$1:$AA$258,13,FALSE))))</f>
        <v/>
      </c>
      <c r="P127" s="184" t="str">
        <f>IFERROR(INDEX('G-1 All Habitats'!$AG$3:$AG$17,MATCH(Q127,'G-1 All Habitats'!$AF$3:$AF$17,0)),"")</f>
        <v/>
      </c>
      <c r="Q127" s="185" t="str">
        <f t="shared" si="14"/>
        <v/>
      </c>
      <c r="R127" s="186" t="str">
        <f t="shared" si="14"/>
        <v/>
      </c>
      <c r="S127" s="187" t="str">
        <f>IFERROR(INDEX('G-1 All Habitats'!$B$3:$B$134,MATCH(R127,'G-1 All Habitats'!$A$3:$A$134,0)),"")</f>
        <v/>
      </c>
      <c r="T127" s="370" t="str">
        <f t="shared" si="15"/>
        <v/>
      </c>
      <c r="U127" s="386" t="str">
        <f t="shared" si="16"/>
        <v/>
      </c>
      <c r="V127" s="385" t="str">
        <f t="shared" si="12"/>
        <v/>
      </c>
      <c r="W127" s="382" t="str">
        <f>IF(S127="","",VLOOKUP(S127,'G-1 All Habitats'!$B$2:$M$134,10,FALSE))</f>
        <v/>
      </c>
      <c r="X127" s="382" t="str">
        <f>IFERROR(VLOOKUP(W127,'G-1 All Habitats'!$V$3:$W$7,2,FALSE),"")</f>
        <v/>
      </c>
      <c r="Y127" s="165"/>
      <c r="Z127" s="386" t="str">
        <f>IFERROR(INDEX('G-8 Condition Look up'!$A$3:$H$135,MATCH(S127,'G-8 Condition Look up'!$A$3:$A$135,0),MATCH(Y127,'G-8 Condition Look up'!$A$3:$H$3,0)),"")</f>
        <v/>
      </c>
      <c r="AA127" s="114"/>
      <c r="AB127" s="401" t="str">
        <f>IF(AA127="","",IF(VLOOKUP(AA127,'G-3 Multipliers'!$L$3:$N$6,2,FALSE)=0,"Spatial Data Missing ⚠",VLOOKUP(AA127,'G-3 Multipliers'!$L$3:$N$6,2,FALSE)))</f>
        <v/>
      </c>
      <c r="AC127" s="386" t="str">
        <f>IF(AA127="","",IF(VLOOKUP(AA127,'G-3 Multipliers'!$L$3:$N$6,3,FALSE)=0,"Spatial Data Missing ⚠",VLOOKUP(AA127,'G-3 Multipliers'!$L$3:$N$6,3,FALSE)))</f>
        <v/>
      </c>
      <c r="AD127" s="398" t="str">
        <f t="shared" si="13"/>
        <v/>
      </c>
      <c r="AE127" s="165"/>
      <c r="AF127" s="165"/>
      <c r="AG127" s="382" t="str">
        <f t="shared" si="17"/>
        <v/>
      </c>
      <c r="AH127" s="404" t="str">
        <f t="shared" si="18"/>
        <v/>
      </c>
      <c r="AI127" s="387" t="str">
        <f>IF(AH127="Check Data ⚠","Check Data ⚠",IFERROR(VLOOKUP(AH127,'G-4 Temporal multipliers'!$A$4:$C$36,3,FALSE),""))</f>
        <v/>
      </c>
      <c r="AJ127" s="398" t="str">
        <f>IF(S127="","",VLOOKUP(S127,'G-3 Multipliers'!$A$2:$E$134,4,FALSE))</f>
        <v/>
      </c>
      <c r="AK127" s="382" t="str">
        <f t="shared" si="19"/>
        <v/>
      </c>
      <c r="AL127" s="382" t="str">
        <f t="shared" si="20"/>
        <v/>
      </c>
      <c r="AM127" s="386" t="str">
        <f>IFERROR(IF(F127="","",IF(AH127="Check Data ⚠","Check Data ⚠",VLOOKUP(AL127, 'G-3 Multipliers'!$P$2:$Q$6,2,FALSE))),"")</f>
        <v/>
      </c>
      <c r="AN127" s="516"/>
      <c r="AO127" s="417" t="str">
        <f>IF(AN127="","",IF(VLOOKUP(AN127,'G-3 Multipliers'!$S$3:$T$10,2,FALSE)=0,"Spatial Data Missing ⚠",VLOOKUP(AN127,'G-3 Multipliers'!$S$3:$T$10,2,FALSE)))</f>
        <v/>
      </c>
      <c r="AP127" s="376" t="str">
        <f t="shared" si="21"/>
        <v/>
      </c>
      <c r="AQ127" s="376" t="str">
        <f t="shared" si="22"/>
        <v/>
      </c>
      <c r="AR127" s="119"/>
      <c r="AS127" s="528"/>
      <c r="AT127" s="120"/>
      <c r="AU127" s="120"/>
    </row>
    <row r="128" spans="1:47">
      <c r="A128" s="30" t="str">
        <f>IF(E128="","",IF(ISNA(VLOOKUP($E128,'D-1 Off-Site Habitat Baseline'!$D$1:$O$258,2,FALSE)),"",(VLOOKUP($E128,'D-1 Off-Site Habitat Baseline'!$D$1:$O$258,2,FALSE))))</f>
        <v/>
      </c>
      <c r="B128" s="30" t="str">
        <f>IF(E128="","",IF(ISNA(VLOOKUP($E128,'D-1 Off-Site Habitat Baseline'!$D$1:$O$258,3,FALSE)),"",(VLOOKUP($E128,'D-1 Off-Site Habitat Baseline'!$D$1:$O$258,3,FALSE))))</f>
        <v/>
      </c>
      <c r="C128" s="30" t="str">
        <f>IFERROR(INDEX('G-8 Condition Look up'!$I$4:$I$135,MATCH(S128,'G-8 Condition Look up'!$A$4:$A$135,0)),"")</f>
        <v/>
      </c>
      <c r="E128" s="407" t="str">
        <f>'D-1 Off-Site Habitat Baseline'!AP127</f>
        <v/>
      </c>
      <c r="F128" s="382" t="str">
        <f>IF(E128="","",IF(ISNA(VLOOKUP($E128,'D-1 Off-Site Habitat Baseline'!$D$1:$O$258,4,FALSE)),"",(VLOOKUP($E128,'D-1 Off-Site Habitat Baseline'!$D$1:$O$258,4,FALSE))))</f>
        <v/>
      </c>
      <c r="G128" s="382" t="str">
        <f>IF(E128="","",IF(ISNA(VLOOKUP($E128,'D-1 Off-Site Habitat Baseline'!$D$1:$O$258,5,FALSE)),"",(VLOOKUP($E128,'D-1 Off-Site Habitat Baseline'!$D$1:$O$258,5,FALSE))))</f>
        <v/>
      </c>
      <c r="H128" s="382" t="str">
        <f>IF(E128="","",IF(ISNA(VLOOKUP($E128,'D-1 Off-Site Habitat Baseline'!$D$1:$O$258,6,FALSE)),"",(VLOOKUP($E128,'D-1 Off-Site Habitat Baseline'!$D$1:$O$258,6,FALSE))))</f>
        <v/>
      </c>
      <c r="I128" s="382" t="str">
        <f>IF(E128="","",IF(ISNA(VLOOKUP($E128,'D-1 Off-Site Habitat Baseline'!$D$1:$O$258,7,FALSE)),"",(VLOOKUP($E128,'D-1 Off-Site Habitat Baseline'!$D$1:$O$258,7,FALSE))))</f>
        <v/>
      </c>
      <c r="J128" s="382" t="str">
        <f>IF(E128="","",IF(ISNA(VLOOKUP($E128,'D-1 Off-Site Habitat Baseline'!$D$1:$O$258,8,FALSE)),"",(VLOOKUP($E128,'D-1 Off-Site Habitat Baseline'!$D$1:$O$258,8,FALSE))))</f>
        <v/>
      </c>
      <c r="K128" s="382" t="str">
        <f>IF(E128="","",IF(ISNA(VLOOKUP($E128,'D-1 Off-Site Habitat Baseline'!$D$1:$O$258,9,FALSE)),"",(VLOOKUP($E128,'D-1 Off-Site Habitat Baseline'!$D$1:$O$258,9,FALSE))))</f>
        <v/>
      </c>
      <c r="L128" s="382" t="str">
        <f>IF(E128="","",IF(ISNA(VLOOKUP($E128,'D-1 Off-Site Habitat Baseline'!$D$1:$O$258,11,FALSE)),"",(VLOOKUP($E128,'D-1 Off-Site Habitat Baseline'!$D$1:$O$258,11,FALSE))))</f>
        <v/>
      </c>
      <c r="M128" s="382" t="str">
        <f>IF(E128="","",IF(ISNA(VLOOKUP($E128,'D-1 Off-Site Habitat Baseline'!$D$1:$O$258,12,FALSE)),"",(VLOOKUP($E128,'D-1 Off-Site Habitat Baseline'!$D$1:$O$258,12,FALSE))))</f>
        <v/>
      </c>
      <c r="N128" s="382" t="str">
        <f>IF(E128="","",IF(ISNA(VLOOKUP($E128,'D-1 Off-Site Habitat Baseline'!$D$1:$AA$258,14,FALSE)),"",(VLOOKUP($E128,'D-1 Off-Site Habitat Baseline'!$D$1:$AA$258,14,FALSE))))</f>
        <v/>
      </c>
      <c r="O128" s="386" t="str">
        <f>IF(E128="","",IF(ISNA(VLOOKUP($E128,'D-1 Off-Site Habitat Baseline'!$D$1:$AA$258,13,FALSE)),"",(VLOOKUP($E128,'D-1 Off-Site Habitat Baseline'!$D$1:$AA$258,13,FALSE))))</f>
        <v/>
      </c>
      <c r="P128" s="184" t="str">
        <f>IFERROR(INDEX('G-1 All Habitats'!$AG$3:$AG$17,MATCH(Q128,'G-1 All Habitats'!$AF$3:$AF$17,0)),"")</f>
        <v/>
      </c>
      <c r="Q128" s="185" t="str">
        <f t="shared" si="14"/>
        <v/>
      </c>
      <c r="R128" s="186" t="str">
        <f t="shared" si="14"/>
        <v/>
      </c>
      <c r="S128" s="187" t="str">
        <f>IFERROR(INDEX('G-1 All Habitats'!$B$3:$B$134,MATCH(R128,'G-1 All Habitats'!$A$3:$A$134,0)),"")</f>
        <v/>
      </c>
      <c r="T128" s="370" t="str">
        <f t="shared" si="15"/>
        <v/>
      </c>
      <c r="U128" s="386" t="str">
        <f t="shared" si="16"/>
        <v/>
      </c>
      <c r="V128" s="385" t="str">
        <f t="shared" si="12"/>
        <v/>
      </c>
      <c r="W128" s="382" t="str">
        <f>IF(S128="","",VLOOKUP(S128,'G-1 All Habitats'!$B$2:$M$134,10,FALSE))</f>
        <v/>
      </c>
      <c r="X128" s="382" t="str">
        <f>IFERROR(VLOOKUP(W128,'G-1 All Habitats'!$V$3:$W$7,2,FALSE),"")</f>
        <v/>
      </c>
      <c r="Y128" s="165"/>
      <c r="Z128" s="386" t="str">
        <f>IFERROR(INDEX('G-8 Condition Look up'!$A$3:$H$135,MATCH(S128,'G-8 Condition Look up'!$A$3:$A$135,0),MATCH(Y128,'G-8 Condition Look up'!$A$3:$H$3,0)),"")</f>
        <v/>
      </c>
      <c r="AA128" s="114"/>
      <c r="AB128" s="401" t="str">
        <f>IF(AA128="","",IF(VLOOKUP(AA128,'G-3 Multipliers'!$L$3:$N$6,2,FALSE)=0,"Spatial Data Missing ⚠",VLOOKUP(AA128,'G-3 Multipliers'!$L$3:$N$6,2,FALSE)))</f>
        <v/>
      </c>
      <c r="AC128" s="386" t="str">
        <f>IF(AA128="","",IF(VLOOKUP(AA128,'G-3 Multipliers'!$L$3:$N$6,3,FALSE)=0,"Spatial Data Missing ⚠",VLOOKUP(AA128,'G-3 Multipliers'!$L$3:$N$6,3,FALSE)))</f>
        <v/>
      </c>
      <c r="AD128" s="398" t="str">
        <f t="shared" si="13"/>
        <v/>
      </c>
      <c r="AE128" s="165"/>
      <c r="AF128" s="165"/>
      <c r="AG128" s="382" t="str">
        <f t="shared" si="17"/>
        <v/>
      </c>
      <c r="AH128" s="404" t="str">
        <f t="shared" si="18"/>
        <v/>
      </c>
      <c r="AI128" s="387" t="str">
        <f>IF(AH128="Check Data ⚠","Check Data ⚠",IFERROR(VLOOKUP(AH128,'G-4 Temporal multipliers'!$A$4:$C$36,3,FALSE),""))</f>
        <v/>
      </c>
      <c r="AJ128" s="398" t="str">
        <f>IF(S128="","",VLOOKUP(S128,'G-3 Multipliers'!$A$2:$E$134,4,FALSE))</f>
        <v/>
      </c>
      <c r="AK128" s="382" t="str">
        <f t="shared" si="19"/>
        <v/>
      </c>
      <c r="AL128" s="382" t="str">
        <f t="shared" si="20"/>
        <v/>
      </c>
      <c r="AM128" s="386" t="str">
        <f>IFERROR(IF(F128="","",IF(AH128="Check Data ⚠","Check Data ⚠",VLOOKUP(AL128, 'G-3 Multipliers'!$P$2:$Q$6,2,FALSE))),"")</f>
        <v/>
      </c>
      <c r="AN128" s="516"/>
      <c r="AO128" s="417" t="str">
        <f>IF(AN128="","",IF(VLOOKUP(AN128,'G-3 Multipliers'!$S$3:$T$10,2,FALSE)=0,"Spatial Data Missing ⚠",VLOOKUP(AN128,'G-3 Multipliers'!$S$3:$T$10,2,FALSE)))</f>
        <v/>
      </c>
      <c r="AP128" s="376" t="str">
        <f t="shared" si="21"/>
        <v/>
      </c>
      <c r="AQ128" s="376" t="str">
        <f t="shared" si="22"/>
        <v/>
      </c>
      <c r="AR128" s="119"/>
      <c r="AS128" s="528"/>
      <c r="AT128" s="120"/>
      <c r="AU128" s="120"/>
    </row>
    <row r="129" spans="1:47">
      <c r="A129" s="30" t="str">
        <f>IF(E129="","",IF(ISNA(VLOOKUP($E129,'D-1 Off-Site Habitat Baseline'!$D$1:$O$258,2,FALSE)),"",(VLOOKUP($E129,'D-1 Off-Site Habitat Baseline'!$D$1:$O$258,2,FALSE))))</f>
        <v/>
      </c>
      <c r="B129" s="30" t="str">
        <f>IF(E129="","",IF(ISNA(VLOOKUP($E129,'D-1 Off-Site Habitat Baseline'!$D$1:$O$258,3,FALSE)),"",(VLOOKUP($E129,'D-1 Off-Site Habitat Baseline'!$D$1:$O$258,3,FALSE))))</f>
        <v/>
      </c>
      <c r="C129" s="30" t="str">
        <f>IFERROR(INDEX('G-8 Condition Look up'!$I$4:$I$135,MATCH(S129,'G-8 Condition Look up'!$A$4:$A$135,0)),"")</f>
        <v/>
      </c>
      <c r="E129" s="407" t="str">
        <f>'D-1 Off-Site Habitat Baseline'!AP128</f>
        <v/>
      </c>
      <c r="F129" s="382" t="str">
        <f>IF(E129="","",IF(ISNA(VLOOKUP($E129,'D-1 Off-Site Habitat Baseline'!$D$1:$O$258,4,FALSE)),"",(VLOOKUP($E129,'D-1 Off-Site Habitat Baseline'!$D$1:$O$258,4,FALSE))))</f>
        <v/>
      </c>
      <c r="G129" s="382" t="str">
        <f>IF(E129="","",IF(ISNA(VLOOKUP($E129,'D-1 Off-Site Habitat Baseline'!$D$1:$O$258,5,FALSE)),"",(VLOOKUP($E129,'D-1 Off-Site Habitat Baseline'!$D$1:$O$258,5,FALSE))))</f>
        <v/>
      </c>
      <c r="H129" s="382" t="str">
        <f>IF(E129="","",IF(ISNA(VLOOKUP($E129,'D-1 Off-Site Habitat Baseline'!$D$1:$O$258,6,FALSE)),"",(VLOOKUP($E129,'D-1 Off-Site Habitat Baseline'!$D$1:$O$258,6,FALSE))))</f>
        <v/>
      </c>
      <c r="I129" s="382" t="str">
        <f>IF(E129="","",IF(ISNA(VLOOKUP($E129,'D-1 Off-Site Habitat Baseline'!$D$1:$O$258,7,FALSE)),"",(VLOOKUP($E129,'D-1 Off-Site Habitat Baseline'!$D$1:$O$258,7,FALSE))))</f>
        <v/>
      </c>
      <c r="J129" s="382" t="str">
        <f>IF(E129="","",IF(ISNA(VLOOKUP($E129,'D-1 Off-Site Habitat Baseline'!$D$1:$O$258,8,FALSE)),"",(VLOOKUP($E129,'D-1 Off-Site Habitat Baseline'!$D$1:$O$258,8,FALSE))))</f>
        <v/>
      </c>
      <c r="K129" s="382" t="str">
        <f>IF(E129="","",IF(ISNA(VLOOKUP($E129,'D-1 Off-Site Habitat Baseline'!$D$1:$O$258,9,FALSE)),"",(VLOOKUP($E129,'D-1 Off-Site Habitat Baseline'!$D$1:$O$258,9,FALSE))))</f>
        <v/>
      </c>
      <c r="L129" s="382" t="str">
        <f>IF(E129="","",IF(ISNA(VLOOKUP($E129,'D-1 Off-Site Habitat Baseline'!$D$1:$O$258,11,FALSE)),"",(VLOOKUP($E129,'D-1 Off-Site Habitat Baseline'!$D$1:$O$258,11,FALSE))))</f>
        <v/>
      </c>
      <c r="M129" s="382" t="str">
        <f>IF(E129="","",IF(ISNA(VLOOKUP($E129,'D-1 Off-Site Habitat Baseline'!$D$1:$O$258,12,FALSE)),"",(VLOOKUP($E129,'D-1 Off-Site Habitat Baseline'!$D$1:$O$258,12,FALSE))))</f>
        <v/>
      </c>
      <c r="N129" s="382" t="str">
        <f>IF(E129="","",IF(ISNA(VLOOKUP($E129,'D-1 Off-Site Habitat Baseline'!$D$1:$AA$258,14,FALSE)),"",(VLOOKUP($E129,'D-1 Off-Site Habitat Baseline'!$D$1:$AA$258,14,FALSE))))</f>
        <v/>
      </c>
      <c r="O129" s="386" t="str">
        <f>IF(E129="","",IF(ISNA(VLOOKUP($E129,'D-1 Off-Site Habitat Baseline'!$D$1:$AA$258,13,FALSE)),"",(VLOOKUP($E129,'D-1 Off-Site Habitat Baseline'!$D$1:$AA$258,13,FALSE))))</f>
        <v/>
      </c>
      <c r="P129" s="184" t="str">
        <f>IFERROR(INDEX('G-1 All Habitats'!$AG$3:$AG$17,MATCH(Q129,'G-1 All Habitats'!$AF$3:$AF$17,0)),"")</f>
        <v/>
      </c>
      <c r="Q129" s="185" t="str">
        <f t="shared" si="14"/>
        <v/>
      </c>
      <c r="R129" s="186" t="str">
        <f t="shared" si="14"/>
        <v/>
      </c>
      <c r="S129" s="187" t="str">
        <f>IFERROR(INDEX('G-1 All Habitats'!$B$3:$B$134,MATCH(R129,'G-1 All Habitats'!$A$3:$A$134,0)),"")</f>
        <v/>
      </c>
      <c r="T129" s="370" t="str">
        <f t="shared" si="15"/>
        <v/>
      </c>
      <c r="U129" s="386" t="str">
        <f t="shared" si="16"/>
        <v/>
      </c>
      <c r="V129" s="385" t="str">
        <f t="shared" si="12"/>
        <v/>
      </c>
      <c r="W129" s="382" t="str">
        <f>IF(S129="","",VLOOKUP(S129,'G-1 All Habitats'!$B$2:$M$134,10,FALSE))</f>
        <v/>
      </c>
      <c r="X129" s="382" t="str">
        <f>IFERROR(VLOOKUP(W129,'G-1 All Habitats'!$V$3:$W$7,2,FALSE),"")</f>
        <v/>
      </c>
      <c r="Y129" s="165"/>
      <c r="Z129" s="386" t="str">
        <f>IFERROR(INDEX('G-8 Condition Look up'!$A$3:$H$135,MATCH(S129,'G-8 Condition Look up'!$A$3:$A$135,0),MATCH(Y129,'G-8 Condition Look up'!$A$3:$H$3,0)),"")</f>
        <v/>
      </c>
      <c r="AA129" s="114"/>
      <c r="AB129" s="401" t="str">
        <f>IF(AA129="","",IF(VLOOKUP(AA129,'G-3 Multipliers'!$L$3:$N$6,2,FALSE)=0,"Spatial Data Missing ⚠",VLOOKUP(AA129,'G-3 Multipliers'!$L$3:$N$6,2,FALSE)))</f>
        <v/>
      </c>
      <c r="AC129" s="386" t="str">
        <f>IF(AA129="","",IF(VLOOKUP(AA129,'G-3 Multipliers'!$L$3:$N$6,3,FALSE)=0,"Spatial Data Missing ⚠",VLOOKUP(AA129,'G-3 Multipliers'!$L$3:$N$6,3,FALSE)))</f>
        <v/>
      </c>
      <c r="AD129" s="398" t="str">
        <f t="shared" si="13"/>
        <v/>
      </c>
      <c r="AE129" s="165"/>
      <c r="AF129" s="165"/>
      <c r="AG129" s="382" t="str">
        <f t="shared" si="17"/>
        <v/>
      </c>
      <c r="AH129" s="404" t="str">
        <f t="shared" si="18"/>
        <v/>
      </c>
      <c r="AI129" s="387" t="str">
        <f>IF(AH129="Check Data ⚠","Check Data ⚠",IFERROR(VLOOKUP(AH129,'G-4 Temporal multipliers'!$A$4:$C$36,3,FALSE),""))</f>
        <v/>
      </c>
      <c r="AJ129" s="398" t="str">
        <f>IF(S129="","",VLOOKUP(S129,'G-3 Multipliers'!$A$2:$E$134,4,FALSE))</f>
        <v/>
      </c>
      <c r="AK129" s="382" t="str">
        <f t="shared" si="19"/>
        <v/>
      </c>
      <c r="AL129" s="382" t="str">
        <f t="shared" si="20"/>
        <v/>
      </c>
      <c r="AM129" s="386" t="str">
        <f>IFERROR(IF(F129="","",IF(AH129="Check Data ⚠","Check Data ⚠",VLOOKUP(AL129, 'G-3 Multipliers'!$P$2:$Q$6,2,FALSE))),"")</f>
        <v/>
      </c>
      <c r="AN129" s="516"/>
      <c r="AO129" s="417" t="str">
        <f>IF(AN129="","",IF(VLOOKUP(AN129,'G-3 Multipliers'!$S$3:$T$10,2,FALSE)=0,"Spatial Data Missing ⚠",VLOOKUP(AN129,'G-3 Multipliers'!$S$3:$T$10,2,FALSE)))</f>
        <v/>
      </c>
      <c r="AP129" s="376" t="str">
        <f t="shared" si="21"/>
        <v/>
      </c>
      <c r="AQ129" s="376" t="str">
        <f t="shared" si="22"/>
        <v/>
      </c>
      <c r="AR129" s="119"/>
      <c r="AS129" s="528"/>
      <c r="AT129" s="120"/>
      <c r="AU129" s="120"/>
    </row>
    <row r="130" spans="1:47">
      <c r="A130" s="30" t="str">
        <f>IF(E130="","",IF(ISNA(VLOOKUP($E130,'D-1 Off-Site Habitat Baseline'!$D$1:$O$258,2,FALSE)),"",(VLOOKUP($E130,'D-1 Off-Site Habitat Baseline'!$D$1:$O$258,2,FALSE))))</f>
        <v/>
      </c>
      <c r="B130" s="30" t="str">
        <f>IF(E130="","",IF(ISNA(VLOOKUP($E130,'D-1 Off-Site Habitat Baseline'!$D$1:$O$258,3,FALSE)),"",(VLOOKUP($E130,'D-1 Off-Site Habitat Baseline'!$D$1:$O$258,3,FALSE))))</f>
        <v/>
      </c>
      <c r="C130" s="30" t="str">
        <f>IFERROR(INDEX('G-8 Condition Look up'!$I$4:$I$135,MATCH(S130,'G-8 Condition Look up'!$A$4:$A$135,0)),"")</f>
        <v/>
      </c>
      <c r="E130" s="407" t="str">
        <f>'D-1 Off-Site Habitat Baseline'!AP129</f>
        <v/>
      </c>
      <c r="F130" s="382" t="str">
        <f>IF(E130="","",IF(ISNA(VLOOKUP($E130,'D-1 Off-Site Habitat Baseline'!$D$1:$O$258,4,FALSE)),"",(VLOOKUP($E130,'D-1 Off-Site Habitat Baseline'!$D$1:$O$258,4,FALSE))))</f>
        <v/>
      </c>
      <c r="G130" s="382" t="str">
        <f>IF(E130="","",IF(ISNA(VLOOKUP($E130,'D-1 Off-Site Habitat Baseline'!$D$1:$O$258,5,FALSE)),"",(VLOOKUP($E130,'D-1 Off-Site Habitat Baseline'!$D$1:$O$258,5,FALSE))))</f>
        <v/>
      </c>
      <c r="H130" s="382" t="str">
        <f>IF(E130="","",IF(ISNA(VLOOKUP($E130,'D-1 Off-Site Habitat Baseline'!$D$1:$O$258,6,FALSE)),"",(VLOOKUP($E130,'D-1 Off-Site Habitat Baseline'!$D$1:$O$258,6,FALSE))))</f>
        <v/>
      </c>
      <c r="I130" s="382" t="str">
        <f>IF(E130="","",IF(ISNA(VLOOKUP($E130,'D-1 Off-Site Habitat Baseline'!$D$1:$O$258,7,FALSE)),"",(VLOOKUP($E130,'D-1 Off-Site Habitat Baseline'!$D$1:$O$258,7,FALSE))))</f>
        <v/>
      </c>
      <c r="J130" s="382" t="str">
        <f>IF(E130="","",IF(ISNA(VLOOKUP($E130,'D-1 Off-Site Habitat Baseline'!$D$1:$O$258,8,FALSE)),"",(VLOOKUP($E130,'D-1 Off-Site Habitat Baseline'!$D$1:$O$258,8,FALSE))))</f>
        <v/>
      </c>
      <c r="K130" s="382" t="str">
        <f>IF(E130="","",IF(ISNA(VLOOKUP($E130,'D-1 Off-Site Habitat Baseline'!$D$1:$O$258,9,FALSE)),"",(VLOOKUP($E130,'D-1 Off-Site Habitat Baseline'!$D$1:$O$258,9,FALSE))))</f>
        <v/>
      </c>
      <c r="L130" s="382" t="str">
        <f>IF(E130="","",IF(ISNA(VLOOKUP($E130,'D-1 Off-Site Habitat Baseline'!$D$1:$O$258,11,FALSE)),"",(VLOOKUP($E130,'D-1 Off-Site Habitat Baseline'!$D$1:$O$258,11,FALSE))))</f>
        <v/>
      </c>
      <c r="M130" s="382" t="str">
        <f>IF(E130="","",IF(ISNA(VLOOKUP($E130,'D-1 Off-Site Habitat Baseline'!$D$1:$O$258,12,FALSE)),"",(VLOOKUP($E130,'D-1 Off-Site Habitat Baseline'!$D$1:$O$258,12,FALSE))))</f>
        <v/>
      </c>
      <c r="N130" s="382" t="str">
        <f>IF(E130="","",IF(ISNA(VLOOKUP($E130,'D-1 Off-Site Habitat Baseline'!$D$1:$AA$258,14,FALSE)),"",(VLOOKUP($E130,'D-1 Off-Site Habitat Baseline'!$D$1:$AA$258,14,FALSE))))</f>
        <v/>
      </c>
      <c r="O130" s="386" t="str">
        <f>IF(E130="","",IF(ISNA(VLOOKUP($E130,'D-1 Off-Site Habitat Baseline'!$D$1:$AA$258,13,FALSE)),"",(VLOOKUP($E130,'D-1 Off-Site Habitat Baseline'!$D$1:$AA$258,13,FALSE))))</f>
        <v/>
      </c>
      <c r="P130" s="184" t="str">
        <f>IFERROR(INDEX('G-1 All Habitats'!$AG$3:$AG$17,MATCH(Q130,'G-1 All Habitats'!$AF$3:$AF$17,0)),"")</f>
        <v/>
      </c>
      <c r="Q130" s="185" t="str">
        <f t="shared" si="14"/>
        <v/>
      </c>
      <c r="R130" s="186" t="str">
        <f t="shared" si="14"/>
        <v/>
      </c>
      <c r="S130" s="187" t="str">
        <f>IFERROR(INDEX('G-1 All Habitats'!$B$3:$B$134,MATCH(R130,'G-1 All Habitats'!$A$3:$A$134,0)),"")</f>
        <v/>
      </c>
      <c r="T130" s="370" t="str">
        <f t="shared" si="15"/>
        <v/>
      </c>
      <c r="U130" s="386" t="str">
        <f t="shared" si="16"/>
        <v/>
      </c>
      <c r="V130" s="385" t="str">
        <f t="shared" si="12"/>
        <v/>
      </c>
      <c r="W130" s="382" t="str">
        <f>IF(S130="","",VLOOKUP(S130,'G-1 All Habitats'!$B$2:$M$134,10,FALSE))</f>
        <v/>
      </c>
      <c r="X130" s="382" t="str">
        <f>IFERROR(VLOOKUP(W130,'G-1 All Habitats'!$V$3:$W$7,2,FALSE),"")</f>
        <v/>
      </c>
      <c r="Y130" s="165"/>
      <c r="Z130" s="386" t="str">
        <f>IFERROR(INDEX('G-8 Condition Look up'!$A$3:$H$135,MATCH(S130,'G-8 Condition Look up'!$A$3:$A$135,0),MATCH(Y130,'G-8 Condition Look up'!$A$3:$H$3,0)),"")</f>
        <v/>
      </c>
      <c r="AA130" s="114"/>
      <c r="AB130" s="401" t="str">
        <f>IF(AA130="","",IF(VLOOKUP(AA130,'G-3 Multipliers'!$L$3:$N$6,2,FALSE)=0,"Spatial Data Missing ⚠",VLOOKUP(AA130,'G-3 Multipliers'!$L$3:$N$6,2,FALSE)))</f>
        <v/>
      </c>
      <c r="AC130" s="386" t="str">
        <f>IF(AA130="","",IF(VLOOKUP(AA130,'G-3 Multipliers'!$L$3:$N$6,3,FALSE)=0,"Spatial Data Missing ⚠",VLOOKUP(AA130,'G-3 Multipliers'!$L$3:$N$6,3,FALSE)))</f>
        <v/>
      </c>
      <c r="AD130" s="398" t="str">
        <f t="shared" si="13"/>
        <v/>
      </c>
      <c r="AE130" s="165"/>
      <c r="AF130" s="165"/>
      <c r="AG130" s="382" t="str">
        <f t="shared" si="17"/>
        <v/>
      </c>
      <c r="AH130" s="404" t="str">
        <f t="shared" si="18"/>
        <v/>
      </c>
      <c r="AI130" s="387" t="str">
        <f>IF(AH130="Check Data ⚠","Check Data ⚠",IFERROR(VLOOKUP(AH130,'G-4 Temporal multipliers'!$A$4:$C$36,3,FALSE),""))</f>
        <v/>
      </c>
      <c r="AJ130" s="398" t="str">
        <f>IF(S130="","",VLOOKUP(S130,'G-3 Multipliers'!$A$2:$E$134,4,FALSE))</f>
        <v/>
      </c>
      <c r="AK130" s="382" t="str">
        <f t="shared" si="19"/>
        <v/>
      </c>
      <c r="AL130" s="382" t="str">
        <f t="shared" si="20"/>
        <v/>
      </c>
      <c r="AM130" s="386" t="str">
        <f>IFERROR(IF(F130="","",IF(AH130="Check Data ⚠","Check Data ⚠",VLOOKUP(AL130, 'G-3 Multipliers'!$P$2:$Q$6,2,FALSE))),"")</f>
        <v/>
      </c>
      <c r="AN130" s="516"/>
      <c r="AO130" s="417" t="str">
        <f>IF(AN130="","",IF(VLOOKUP(AN130,'G-3 Multipliers'!$S$3:$T$10,2,FALSE)=0,"Spatial Data Missing ⚠",VLOOKUP(AN130,'G-3 Multipliers'!$S$3:$T$10,2,FALSE)))</f>
        <v/>
      </c>
      <c r="AP130" s="376" t="str">
        <f t="shared" si="21"/>
        <v/>
      </c>
      <c r="AQ130" s="376" t="str">
        <f t="shared" si="22"/>
        <v/>
      </c>
      <c r="AR130" s="119"/>
      <c r="AS130" s="528"/>
      <c r="AT130" s="120"/>
      <c r="AU130" s="120"/>
    </row>
    <row r="131" spans="1:47">
      <c r="A131" s="30" t="str">
        <f>IF(E131="","",IF(ISNA(VLOOKUP($E131,'D-1 Off-Site Habitat Baseline'!$D$1:$O$258,2,FALSE)),"",(VLOOKUP($E131,'D-1 Off-Site Habitat Baseline'!$D$1:$O$258,2,FALSE))))</f>
        <v/>
      </c>
      <c r="B131" s="30" t="str">
        <f>IF(E131="","",IF(ISNA(VLOOKUP($E131,'D-1 Off-Site Habitat Baseline'!$D$1:$O$258,3,FALSE)),"",(VLOOKUP($E131,'D-1 Off-Site Habitat Baseline'!$D$1:$O$258,3,FALSE))))</f>
        <v/>
      </c>
      <c r="C131" s="30" t="str">
        <f>IFERROR(INDEX('G-8 Condition Look up'!$I$4:$I$135,MATCH(S131,'G-8 Condition Look up'!$A$4:$A$135,0)),"")</f>
        <v/>
      </c>
      <c r="E131" s="407" t="str">
        <f>'D-1 Off-Site Habitat Baseline'!AP130</f>
        <v/>
      </c>
      <c r="F131" s="382" t="str">
        <f>IF(E131="","",IF(ISNA(VLOOKUP($E131,'D-1 Off-Site Habitat Baseline'!$D$1:$O$258,4,FALSE)),"",(VLOOKUP($E131,'D-1 Off-Site Habitat Baseline'!$D$1:$O$258,4,FALSE))))</f>
        <v/>
      </c>
      <c r="G131" s="382" t="str">
        <f>IF(E131="","",IF(ISNA(VLOOKUP($E131,'D-1 Off-Site Habitat Baseline'!$D$1:$O$258,5,FALSE)),"",(VLOOKUP($E131,'D-1 Off-Site Habitat Baseline'!$D$1:$O$258,5,FALSE))))</f>
        <v/>
      </c>
      <c r="H131" s="382" t="str">
        <f>IF(E131="","",IF(ISNA(VLOOKUP($E131,'D-1 Off-Site Habitat Baseline'!$D$1:$O$258,6,FALSE)),"",(VLOOKUP($E131,'D-1 Off-Site Habitat Baseline'!$D$1:$O$258,6,FALSE))))</f>
        <v/>
      </c>
      <c r="I131" s="382" t="str">
        <f>IF(E131="","",IF(ISNA(VLOOKUP($E131,'D-1 Off-Site Habitat Baseline'!$D$1:$O$258,7,FALSE)),"",(VLOOKUP($E131,'D-1 Off-Site Habitat Baseline'!$D$1:$O$258,7,FALSE))))</f>
        <v/>
      </c>
      <c r="J131" s="382" t="str">
        <f>IF(E131="","",IF(ISNA(VLOOKUP($E131,'D-1 Off-Site Habitat Baseline'!$D$1:$O$258,8,FALSE)),"",(VLOOKUP($E131,'D-1 Off-Site Habitat Baseline'!$D$1:$O$258,8,FALSE))))</f>
        <v/>
      </c>
      <c r="K131" s="382" t="str">
        <f>IF(E131="","",IF(ISNA(VLOOKUP($E131,'D-1 Off-Site Habitat Baseline'!$D$1:$O$258,9,FALSE)),"",(VLOOKUP($E131,'D-1 Off-Site Habitat Baseline'!$D$1:$O$258,9,FALSE))))</f>
        <v/>
      </c>
      <c r="L131" s="382" t="str">
        <f>IF(E131="","",IF(ISNA(VLOOKUP($E131,'D-1 Off-Site Habitat Baseline'!$D$1:$O$258,11,FALSE)),"",(VLOOKUP($E131,'D-1 Off-Site Habitat Baseline'!$D$1:$O$258,11,FALSE))))</f>
        <v/>
      </c>
      <c r="M131" s="382" t="str">
        <f>IF(E131="","",IF(ISNA(VLOOKUP($E131,'D-1 Off-Site Habitat Baseline'!$D$1:$O$258,12,FALSE)),"",(VLOOKUP($E131,'D-1 Off-Site Habitat Baseline'!$D$1:$O$258,12,FALSE))))</f>
        <v/>
      </c>
      <c r="N131" s="382" t="str">
        <f>IF(E131="","",IF(ISNA(VLOOKUP($E131,'D-1 Off-Site Habitat Baseline'!$D$1:$AA$258,14,FALSE)),"",(VLOOKUP($E131,'D-1 Off-Site Habitat Baseline'!$D$1:$AA$258,14,FALSE))))</f>
        <v/>
      </c>
      <c r="O131" s="386" t="str">
        <f>IF(E131="","",IF(ISNA(VLOOKUP($E131,'D-1 Off-Site Habitat Baseline'!$D$1:$AA$258,13,FALSE)),"",(VLOOKUP($E131,'D-1 Off-Site Habitat Baseline'!$D$1:$AA$258,13,FALSE))))</f>
        <v/>
      </c>
      <c r="P131" s="184" t="str">
        <f>IFERROR(INDEX('G-1 All Habitats'!$AG$3:$AG$17,MATCH(Q131,'G-1 All Habitats'!$AF$3:$AF$17,0)),"")</f>
        <v/>
      </c>
      <c r="Q131" s="185" t="str">
        <f t="shared" si="14"/>
        <v/>
      </c>
      <c r="R131" s="186" t="str">
        <f t="shared" si="14"/>
        <v/>
      </c>
      <c r="S131" s="187" t="str">
        <f>IFERROR(INDEX('G-1 All Habitats'!$B$3:$B$134,MATCH(R131,'G-1 All Habitats'!$A$3:$A$134,0)),"")</f>
        <v/>
      </c>
      <c r="T131" s="370" t="str">
        <f t="shared" si="15"/>
        <v/>
      </c>
      <c r="U131" s="386" t="str">
        <f t="shared" si="16"/>
        <v/>
      </c>
      <c r="V131" s="385" t="str">
        <f t="shared" si="12"/>
        <v/>
      </c>
      <c r="W131" s="382" t="str">
        <f>IF(S131="","",VLOOKUP(S131,'G-1 All Habitats'!$B$2:$M$134,10,FALSE))</f>
        <v/>
      </c>
      <c r="X131" s="382" t="str">
        <f>IFERROR(VLOOKUP(W131,'G-1 All Habitats'!$V$3:$W$7,2,FALSE),"")</f>
        <v/>
      </c>
      <c r="Y131" s="165"/>
      <c r="Z131" s="386" t="str">
        <f>IFERROR(INDEX('G-8 Condition Look up'!$A$3:$H$135,MATCH(S131,'G-8 Condition Look up'!$A$3:$A$135,0),MATCH(Y131,'G-8 Condition Look up'!$A$3:$H$3,0)),"")</f>
        <v/>
      </c>
      <c r="AA131" s="114"/>
      <c r="AB131" s="401" t="str">
        <f>IF(AA131="","",IF(VLOOKUP(AA131,'G-3 Multipliers'!$L$3:$N$6,2,FALSE)=0,"Spatial Data Missing ⚠",VLOOKUP(AA131,'G-3 Multipliers'!$L$3:$N$6,2,FALSE)))</f>
        <v/>
      </c>
      <c r="AC131" s="386" t="str">
        <f>IF(AA131="","",IF(VLOOKUP(AA131,'G-3 Multipliers'!$L$3:$N$6,3,FALSE)=0,"Spatial Data Missing ⚠",VLOOKUP(AA131,'G-3 Multipliers'!$L$3:$N$6,3,FALSE)))</f>
        <v/>
      </c>
      <c r="AD131" s="398" t="str">
        <f t="shared" si="13"/>
        <v/>
      </c>
      <c r="AE131" s="165"/>
      <c r="AF131" s="165"/>
      <c r="AG131" s="382" t="str">
        <f t="shared" si="17"/>
        <v/>
      </c>
      <c r="AH131" s="404" t="str">
        <f t="shared" si="18"/>
        <v/>
      </c>
      <c r="AI131" s="387" t="str">
        <f>IF(AH131="Check Data ⚠","Check Data ⚠",IFERROR(VLOOKUP(AH131,'G-4 Temporal multipliers'!$A$4:$C$36,3,FALSE),""))</f>
        <v/>
      </c>
      <c r="AJ131" s="398" t="str">
        <f>IF(S131="","",VLOOKUP(S131,'G-3 Multipliers'!$A$2:$E$134,4,FALSE))</f>
        <v/>
      </c>
      <c r="AK131" s="382" t="str">
        <f t="shared" si="19"/>
        <v/>
      </c>
      <c r="AL131" s="382" t="str">
        <f t="shared" si="20"/>
        <v/>
      </c>
      <c r="AM131" s="386" t="str">
        <f>IFERROR(IF(F131="","",IF(AH131="Check Data ⚠","Check Data ⚠",VLOOKUP(AL131, 'G-3 Multipliers'!$P$2:$Q$6,2,FALSE))),"")</f>
        <v/>
      </c>
      <c r="AN131" s="516"/>
      <c r="AO131" s="417" t="str">
        <f>IF(AN131="","",IF(VLOOKUP(AN131,'G-3 Multipliers'!$S$3:$T$10,2,FALSE)=0,"Spatial Data Missing ⚠",VLOOKUP(AN131,'G-3 Multipliers'!$S$3:$T$10,2,FALSE)))</f>
        <v/>
      </c>
      <c r="AP131" s="376" t="str">
        <f t="shared" si="21"/>
        <v/>
      </c>
      <c r="AQ131" s="376" t="str">
        <f t="shared" si="22"/>
        <v/>
      </c>
      <c r="AR131" s="119"/>
      <c r="AS131" s="528"/>
      <c r="AT131" s="120"/>
      <c r="AU131" s="120"/>
    </row>
    <row r="132" spans="1:47">
      <c r="A132" s="30" t="str">
        <f>IF(E132="","",IF(ISNA(VLOOKUP($E132,'D-1 Off-Site Habitat Baseline'!$D$1:$O$258,2,FALSE)),"",(VLOOKUP($E132,'D-1 Off-Site Habitat Baseline'!$D$1:$O$258,2,FALSE))))</f>
        <v/>
      </c>
      <c r="B132" s="30" t="str">
        <f>IF(E132="","",IF(ISNA(VLOOKUP($E132,'D-1 Off-Site Habitat Baseline'!$D$1:$O$258,3,FALSE)),"",(VLOOKUP($E132,'D-1 Off-Site Habitat Baseline'!$D$1:$O$258,3,FALSE))))</f>
        <v/>
      </c>
      <c r="C132" s="30" t="str">
        <f>IFERROR(INDEX('G-8 Condition Look up'!$I$4:$I$135,MATCH(S132,'G-8 Condition Look up'!$A$4:$A$135,0)),"")</f>
        <v/>
      </c>
      <c r="E132" s="407" t="str">
        <f>'D-1 Off-Site Habitat Baseline'!AP131</f>
        <v/>
      </c>
      <c r="F132" s="382" t="str">
        <f>IF(E132="","",IF(ISNA(VLOOKUP($E132,'D-1 Off-Site Habitat Baseline'!$D$1:$O$258,4,FALSE)),"",(VLOOKUP($E132,'D-1 Off-Site Habitat Baseline'!$D$1:$O$258,4,FALSE))))</f>
        <v/>
      </c>
      <c r="G132" s="382" t="str">
        <f>IF(E132="","",IF(ISNA(VLOOKUP($E132,'D-1 Off-Site Habitat Baseline'!$D$1:$O$258,5,FALSE)),"",(VLOOKUP($E132,'D-1 Off-Site Habitat Baseline'!$D$1:$O$258,5,FALSE))))</f>
        <v/>
      </c>
      <c r="H132" s="382" t="str">
        <f>IF(E132="","",IF(ISNA(VLOOKUP($E132,'D-1 Off-Site Habitat Baseline'!$D$1:$O$258,6,FALSE)),"",(VLOOKUP($E132,'D-1 Off-Site Habitat Baseline'!$D$1:$O$258,6,FALSE))))</f>
        <v/>
      </c>
      <c r="I132" s="382" t="str">
        <f>IF(E132="","",IF(ISNA(VLOOKUP($E132,'D-1 Off-Site Habitat Baseline'!$D$1:$O$258,7,FALSE)),"",(VLOOKUP($E132,'D-1 Off-Site Habitat Baseline'!$D$1:$O$258,7,FALSE))))</f>
        <v/>
      </c>
      <c r="J132" s="382" t="str">
        <f>IF(E132="","",IF(ISNA(VLOOKUP($E132,'D-1 Off-Site Habitat Baseline'!$D$1:$O$258,8,FALSE)),"",(VLOOKUP($E132,'D-1 Off-Site Habitat Baseline'!$D$1:$O$258,8,FALSE))))</f>
        <v/>
      </c>
      <c r="K132" s="382" t="str">
        <f>IF(E132="","",IF(ISNA(VLOOKUP($E132,'D-1 Off-Site Habitat Baseline'!$D$1:$O$258,9,FALSE)),"",(VLOOKUP($E132,'D-1 Off-Site Habitat Baseline'!$D$1:$O$258,9,FALSE))))</f>
        <v/>
      </c>
      <c r="L132" s="382" t="str">
        <f>IF(E132="","",IF(ISNA(VLOOKUP($E132,'D-1 Off-Site Habitat Baseline'!$D$1:$O$258,11,FALSE)),"",(VLOOKUP($E132,'D-1 Off-Site Habitat Baseline'!$D$1:$O$258,11,FALSE))))</f>
        <v/>
      </c>
      <c r="M132" s="382" t="str">
        <f>IF(E132="","",IF(ISNA(VLOOKUP($E132,'D-1 Off-Site Habitat Baseline'!$D$1:$O$258,12,FALSE)),"",(VLOOKUP($E132,'D-1 Off-Site Habitat Baseline'!$D$1:$O$258,12,FALSE))))</f>
        <v/>
      </c>
      <c r="N132" s="382" t="str">
        <f>IF(E132="","",IF(ISNA(VLOOKUP($E132,'D-1 Off-Site Habitat Baseline'!$D$1:$AA$258,14,FALSE)),"",(VLOOKUP($E132,'D-1 Off-Site Habitat Baseline'!$D$1:$AA$258,14,FALSE))))</f>
        <v/>
      </c>
      <c r="O132" s="386" t="str">
        <f>IF(E132="","",IF(ISNA(VLOOKUP($E132,'D-1 Off-Site Habitat Baseline'!$D$1:$AA$258,13,FALSE)),"",(VLOOKUP($E132,'D-1 Off-Site Habitat Baseline'!$D$1:$AA$258,13,FALSE))))</f>
        <v/>
      </c>
      <c r="P132" s="184" t="str">
        <f>IFERROR(INDEX('G-1 All Habitats'!$AG$3:$AG$17,MATCH(Q132,'G-1 All Habitats'!$AF$3:$AF$17,0)),"")</f>
        <v/>
      </c>
      <c r="Q132" s="185" t="str">
        <f t="shared" si="14"/>
        <v/>
      </c>
      <c r="R132" s="186" t="str">
        <f t="shared" si="14"/>
        <v/>
      </c>
      <c r="S132" s="187" t="str">
        <f>IFERROR(INDEX('G-1 All Habitats'!$B$3:$B$134,MATCH(R132,'G-1 All Habitats'!$A$3:$A$134,0)),"")</f>
        <v/>
      </c>
      <c r="T132" s="370" t="str">
        <f t="shared" si="15"/>
        <v/>
      </c>
      <c r="U132" s="386" t="str">
        <f t="shared" si="16"/>
        <v/>
      </c>
      <c r="V132" s="385" t="str">
        <f t="shared" si="12"/>
        <v/>
      </c>
      <c r="W132" s="382" t="str">
        <f>IF(S132="","",VLOOKUP(S132,'G-1 All Habitats'!$B$2:$M$134,10,FALSE))</f>
        <v/>
      </c>
      <c r="X132" s="382" t="str">
        <f>IFERROR(VLOOKUP(W132,'G-1 All Habitats'!$V$3:$W$7,2,FALSE),"")</f>
        <v/>
      </c>
      <c r="Y132" s="165"/>
      <c r="Z132" s="386" t="str">
        <f>IFERROR(INDEX('G-8 Condition Look up'!$A$3:$H$135,MATCH(S132,'G-8 Condition Look up'!$A$3:$A$135,0),MATCH(Y132,'G-8 Condition Look up'!$A$3:$H$3,0)),"")</f>
        <v/>
      </c>
      <c r="AA132" s="114"/>
      <c r="AB132" s="401" t="str">
        <f>IF(AA132="","",IF(VLOOKUP(AA132,'G-3 Multipliers'!$L$3:$N$6,2,FALSE)=0,"Spatial Data Missing ⚠",VLOOKUP(AA132,'G-3 Multipliers'!$L$3:$N$6,2,FALSE)))</f>
        <v/>
      </c>
      <c r="AC132" s="386" t="str">
        <f>IF(AA132="","",IF(VLOOKUP(AA132,'G-3 Multipliers'!$L$3:$N$6,3,FALSE)=0,"Spatial Data Missing ⚠",VLOOKUP(AA132,'G-3 Multipliers'!$L$3:$N$6,3,FALSE)))</f>
        <v/>
      </c>
      <c r="AD132" s="398" t="str">
        <f t="shared" si="13"/>
        <v/>
      </c>
      <c r="AE132" s="165"/>
      <c r="AF132" s="165"/>
      <c r="AG132" s="382" t="str">
        <f t="shared" si="17"/>
        <v/>
      </c>
      <c r="AH132" s="404" t="str">
        <f t="shared" si="18"/>
        <v/>
      </c>
      <c r="AI132" s="387" t="str">
        <f>IF(AH132="Check Data ⚠","Check Data ⚠",IFERROR(VLOOKUP(AH132,'G-4 Temporal multipliers'!$A$4:$C$36,3,FALSE),""))</f>
        <v/>
      </c>
      <c r="AJ132" s="398" t="str">
        <f>IF(S132="","",VLOOKUP(S132,'G-3 Multipliers'!$A$2:$E$134,4,FALSE))</f>
        <v/>
      </c>
      <c r="AK132" s="382" t="str">
        <f t="shared" si="19"/>
        <v/>
      </c>
      <c r="AL132" s="382" t="str">
        <f t="shared" si="20"/>
        <v/>
      </c>
      <c r="AM132" s="386" t="str">
        <f>IFERROR(IF(F132="","",IF(AH132="Check Data ⚠","Check Data ⚠",VLOOKUP(AL132, 'G-3 Multipliers'!$P$2:$Q$6,2,FALSE))),"")</f>
        <v/>
      </c>
      <c r="AN132" s="516"/>
      <c r="AO132" s="417" t="str">
        <f>IF(AN132="","",IF(VLOOKUP(AN132,'G-3 Multipliers'!$S$3:$T$10,2,FALSE)=0,"Spatial Data Missing ⚠",VLOOKUP(AN132,'G-3 Multipliers'!$S$3:$T$10,2,FALSE)))</f>
        <v/>
      </c>
      <c r="AP132" s="376" t="str">
        <f t="shared" si="21"/>
        <v/>
      </c>
      <c r="AQ132" s="376" t="str">
        <f t="shared" si="22"/>
        <v/>
      </c>
      <c r="AR132" s="119"/>
      <c r="AS132" s="528"/>
      <c r="AT132" s="120"/>
      <c r="AU132" s="120"/>
    </row>
    <row r="133" spans="1:47">
      <c r="A133" s="30" t="str">
        <f>IF(E133="","",IF(ISNA(VLOOKUP($E133,'D-1 Off-Site Habitat Baseline'!$D$1:$O$258,2,FALSE)),"",(VLOOKUP($E133,'D-1 Off-Site Habitat Baseline'!$D$1:$O$258,2,FALSE))))</f>
        <v/>
      </c>
      <c r="B133" s="30" t="str">
        <f>IF(E133="","",IF(ISNA(VLOOKUP($E133,'D-1 Off-Site Habitat Baseline'!$D$1:$O$258,3,FALSE)),"",(VLOOKUP($E133,'D-1 Off-Site Habitat Baseline'!$D$1:$O$258,3,FALSE))))</f>
        <v/>
      </c>
      <c r="C133" s="30" t="str">
        <f>IFERROR(INDEX('G-8 Condition Look up'!$I$4:$I$135,MATCH(S133,'G-8 Condition Look up'!$A$4:$A$135,0)),"")</f>
        <v/>
      </c>
      <c r="E133" s="407" t="str">
        <f>'D-1 Off-Site Habitat Baseline'!AP132</f>
        <v/>
      </c>
      <c r="F133" s="382" t="str">
        <f>IF(E133="","",IF(ISNA(VLOOKUP($E133,'D-1 Off-Site Habitat Baseline'!$D$1:$O$258,4,FALSE)),"",(VLOOKUP($E133,'D-1 Off-Site Habitat Baseline'!$D$1:$O$258,4,FALSE))))</f>
        <v/>
      </c>
      <c r="G133" s="382" t="str">
        <f>IF(E133="","",IF(ISNA(VLOOKUP($E133,'D-1 Off-Site Habitat Baseline'!$D$1:$O$258,5,FALSE)),"",(VLOOKUP($E133,'D-1 Off-Site Habitat Baseline'!$D$1:$O$258,5,FALSE))))</f>
        <v/>
      </c>
      <c r="H133" s="382" t="str">
        <f>IF(E133="","",IF(ISNA(VLOOKUP($E133,'D-1 Off-Site Habitat Baseline'!$D$1:$O$258,6,FALSE)),"",(VLOOKUP($E133,'D-1 Off-Site Habitat Baseline'!$D$1:$O$258,6,FALSE))))</f>
        <v/>
      </c>
      <c r="I133" s="382" t="str">
        <f>IF(E133="","",IF(ISNA(VLOOKUP($E133,'D-1 Off-Site Habitat Baseline'!$D$1:$O$258,7,FALSE)),"",(VLOOKUP($E133,'D-1 Off-Site Habitat Baseline'!$D$1:$O$258,7,FALSE))))</f>
        <v/>
      </c>
      <c r="J133" s="382" t="str">
        <f>IF(E133="","",IF(ISNA(VLOOKUP($E133,'D-1 Off-Site Habitat Baseline'!$D$1:$O$258,8,FALSE)),"",(VLOOKUP($E133,'D-1 Off-Site Habitat Baseline'!$D$1:$O$258,8,FALSE))))</f>
        <v/>
      </c>
      <c r="K133" s="382" t="str">
        <f>IF(E133="","",IF(ISNA(VLOOKUP($E133,'D-1 Off-Site Habitat Baseline'!$D$1:$O$258,9,FALSE)),"",(VLOOKUP($E133,'D-1 Off-Site Habitat Baseline'!$D$1:$O$258,9,FALSE))))</f>
        <v/>
      </c>
      <c r="L133" s="382" t="str">
        <f>IF(E133="","",IF(ISNA(VLOOKUP($E133,'D-1 Off-Site Habitat Baseline'!$D$1:$O$258,11,FALSE)),"",(VLOOKUP($E133,'D-1 Off-Site Habitat Baseline'!$D$1:$O$258,11,FALSE))))</f>
        <v/>
      </c>
      <c r="M133" s="382" t="str">
        <f>IF(E133="","",IF(ISNA(VLOOKUP($E133,'D-1 Off-Site Habitat Baseline'!$D$1:$O$258,12,FALSE)),"",(VLOOKUP($E133,'D-1 Off-Site Habitat Baseline'!$D$1:$O$258,12,FALSE))))</f>
        <v/>
      </c>
      <c r="N133" s="382" t="str">
        <f>IF(E133="","",IF(ISNA(VLOOKUP($E133,'D-1 Off-Site Habitat Baseline'!$D$1:$AA$258,14,FALSE)),"",(VLOOKUP($E133,'D-1 Off-Site Habitat Baseline'!$D$1:$AA$258,14,FALSE))))</f>
        <v/>
      </c>
      <c r="O133" s="386" t="str">
        <f>IF(E133="","",IF(ISNA(VLOOKUP($E133,'D-1 Off-Site Habitat Baseline'!$D$1:$AA$258,13,FALSE)),"",(VLOOKUP($E133,'D-1 Off-Site Habitat Baseline'!$D$1:$AA$258,13,FALSE))))</f>
        <v/>
      </c>
      <c r="P133" s="184" t="str">
        <f>IFERROR(INDEX('G-1 All Habitats'!$AG$3:$AG$17,MATCH(Q133,'G-1 All Habitats'!$AF$3:$AF$17,0)),"")</f>
        <v/>
      </c>
      <c r="Q133" s="185" t="str">
        <f t="shared" si="14"/>
        <v/>
      </c>
      <c r="R133" s="186" t="str">
        <f t="shared" si="14"/>
        <v/>
      </c>
      <c r="S133" s="187" t="str">
        <f>IFERROR(INDEX('G-1 All Habitats'!$B$3:$B$134,MATCH(R133,'G-1 All Habitats'!$A$3:$A$134,0)),"")</f>
        <v/>
      </c>
      <c r="T133" s="370" t="str">
        <f t="shared" si="15"/>
        <v/>
      </c>
      <c r="U133" s="386" t="str">
        <f t="shared" si="16"/>
        <v/>
      </c>
      <c r="V133" s="385" t="str">
        <f t="shared" si="12"/>
        <v/>
      </c>
      <c r="W133" s="382" t="str">
        <f>IF(S133="","",VLOOKUP(S133,'G-1 All Habitats'!$B$2:$M$134,10,FALSE))</f>
        <v/>
      </c>
      <c r="X133" s="382" t="str">
        <f>IFERROR(VLOOKUP(W133,'G-1 All Habitats'!$V$3:$W$7,2,FALSE),"")</f>
        <v/>
      </c>
      <c r="Y133" s="165"/>
      <c r="Z133" s="386" t="str">
        <f>IFERROR(INDEX('G-8 Condition Look up'!$A$3:$H$135,MATCH(S133,'G-8 Condition Look up'!$A$3:$A$135,0),MATCH(Y133,'G-8 Condition Look up'!$A$3:$H$3,0)),"")</f>
        <v/>
      </c>
      <c r="AA133" s="114"/>
      <c r="AB133" s="401" t="str">
        <f>IF(AA133="","",IF(VLOOKUP(AA133,'G-3 Multipliers'!$L$3:$N$6,2,FALSE)=0,"Spatial Data Missing ⚠",VLOOKUP(AA133,'G-3 Multipliers'!$L$3:$N$6,2,FALSE)))</f>
        <v/>
      </c>
      <c r="AC133" s="386" t="str">
        <f>IF(AA133="","",IF(VLOOKUP(AA133,'G-3 Multipliers'!$L$3:$N$6,3,FALSE)=0,"Spatial Data Missing ⚠",VLOOKUP(AA133,'G-3 Multipliers'!$L$3:$N$6,3,FALSE)))</f>
        <v/>
      </c>
      <c r="AD133" s="398" t="str">
        <f t="shared" si="13"/>
        <v/>
      </c>
      <c r="AE133" s="165"/>
      <c r="AF133" s="165"/>
      <c r="AG133" s="382" t="str">
        <f t="shared" si="17"/>
        <v/>
      </c>
      <c r="AH133" s="404" t="str">
        <f t="shared" si="18"/>
        <v/>
      </c>
      <c r="AI133" s="387" t="str">
        <f>IF(AH133="Check Data ⚠","Check Data ⚠",IFERROR(VLOOKUP(AH133,'G-4 Temporal multipliers'!$A$4:$C$36,3,FALSE),""))</f>
        <v/>
      </c>
      <c r="AJ133" s="398" t="str">
        <f>IF(S133="","",VLOOKUP(S133,'G-3 Multipliers'!$A$2:$E$134,4,FALSE))</f>
        <v/>
      </c>
      <c r="AK133" s="382" t="str">
        <f t="shared" si="19"/>
        <v/>
      </c>
      <c r="AL133" s="382" t="str">
        <f t="shared" si="20"/>
        <v/>
      </c>
      <c r="AM133" s="386" t="str">
        <f>IFERROR(IF(F133="","",IF(AH133="Check Data ⚠","Check Data ⚠",VLOOKUP(AL133, 'G-3 Multipliers'!$P$2:$Q$6,2,FALSE))),"")</f>
        <v/>
      </c>
      <c r="AN133" s="516"/>
      <c r="AO133" s="417" t="str">
        <f>IF(AN133="","",IF(VLOOKUP(AN133,'G-3 Multipliers'!$S$3:$T$10,2,FALSE)=0,"Spatial Data Missing ⚠",VLOOKUP(AN133,'G-3 Multipliers'!$S$3:$T$10,2,FALSE)))</f>
        <v/>
      </c>
      <c r="AP133" s="376" t="str">
        <f t="shared" si="21"/>
        <v/>
      </c>
      <c r="AQ133" s="376" t="str">
        <f t="shared" si="22"/>
        <v/>
      </c>
      <c r="AR133" s="119"/>
      <c r="AS133" s="528"/>
      <c r="AT133" s="120"/>
      <c r="AU133" s="120"/>
    </row>
    <row r="134" spans="1:47">
      <c r="A134" s="30" t="str">
        <f>IF(E134="","",IF(ISNA(VLOOKUP($E134,'D-1 Off-Site Habitat Baseline'!$D$1:$O$258,2,FALSE)),"",(VLOOKUP($E134,'D-1 Off-Site Habitat Baseline'!$D$1:$O$258,2,FALSE))))</f>
        <v/>
      </c>
      <c r="B134" s="30" t="str">
        <f>IF(E134="","",IF(ISNA(VLOOKUP($E134,'D-1 Off-Site Habitat Baseline'!$D$1:$O$258,3,FALSE)),"",(VLOOKUP($E134,'D-1 Off-Site Habitat Baseline'!$D$1:$O$258,3,FALSE))))</f>
        <v/>
      </c>
      <c r="C134" s="30" t="str">
        <f>IFERROR(INDEX('G-8 Condition Look up'!$I$4:$I$135,MATCH(S134,'G-8 Condition Look up'!$A$4:$A$135,0)),"")</f>
        <v/>
      </c>
      <c r="E134" s="407" t="str">
        <f>'D-1 Off-Site Habitat Baseline'!AP133</f>
        <v/>
      </c>
      <c r="F134" s="382" t="str">
        <f>IF(E134="","",IF(ISNA(VLOOKUP($E134,'D-1 Off-Site Habitat Baseline'!$D$1:$O$258,4,FALSE)),"",(VLOOKUP($E134,'D-1 Off-Site Habitat Baseline'!$D$1:$O$258,4,FALSE))))</f>
        <v/>
      </c>
      <c r="G134" s="382" t="str">
        <f>IF(E134="","",IF(ISNA(VLOOKUP($E134,'D-1 Off-Site Habitat Baseline'!$D$1:$O$258,5,FALSE)),"",(VLOOKUP($E134,'D-1 Off-Site Habitat Baseline'!$D$1:$O$258,5,FALSE))))</f>
        <v/>
      </c>
      <c r="H134" s="382" t="str">
        <f>IF(E134="","",IF(ISNA(VLOOKUP($E134,'D-1 Off-Site Habitat Baseline'!$D$1:$O$258,6,FALSE)),"",(VLOOKUP($E134,'D-1 Off-Site Habitat Baseline'!$D$1:$O$258,6,FALSE))))</f>
        <v/>
      </c>
      <c r="I134" s="382" t="str">
        <f>IF(E134="","",IF(ISNA(VLOOKUP($E134,'D-1 Off-Site Habitat Baseline'!$D$1:$O$258,7,FALSE)),"",(VLOOKUP($E134,'D-1 Off-Site Habitat Baseline'!$D$1:$O$258,7,FALSE))))</f>
        <v/>
      </c>
      <c r="J134" s="382" t="str">
        <f>IF(E134="","",IF(ISNA(VLOOKUP($E134,'D-1 Off-Site Habitat Baseline'!$D$1:$O$258,8,FALSE)),"",(VLOOKUP($E134,'D-1 Off-Site Habitat Baseline'!$D$1:$O$258,8,FALSE))))</f>
        <v/>
      </c>
      <c r="K134" s="382" t="str">
        <f>IF(E134="","",IF(ISNA(VLOOKUP($E134,'D-1 Off-Site Habitat Baseline'!$D$1:$O$258,9,FALSE)),"",(VLOOKUP($E134,'D-1 Off-Site Habitat Baseline'!$D$1:$O$258,9,FALSE))))</f>
        <v/>
      </c>
      <c r="L134" s="382" t="str">
        <f>IF(E134="","",IF(ISNA(VLOOKUP($E134,'D-1 Off-Site Habitat Baseline'!$D$1:$O$258,11,FALSE)),"",(VLOOKUP($E134,'D-1 Off-Site Habitat Baseline'!$D$1:$O$258,11,FALSE))))</f>
        <v/>
      </c>
      <c r="M134" s="382" t="str">
        <f>IF(E134="","",IF(ISNA(VLOOKUP($E134,'D-1 Off-Site Habitat Baseline'!$D$1:$O$258,12,FALSE)),"",(VLOOKUP($E134,'D-1 Off-Site Habitat Baseline'!$D$1:$O$258,12,FALSE))))</f>
        <v/>
      </c>
      <c r="N134" s="382" t="str">
        <f>IF(E134="","",IF(ISNA(VLOOKUP($E134,'D-1 Off-Site Habitat Baseline'!$D$1:$AA$258,14,FALSE)),"",(VLOOKUP($E134,'D-1 Off-Site Habitat Baseline'!$D$1:$AA$258,14,FALSE))))</f>
        <v/>
      </c>
      <c r="O134" s="386" t="str">
        <f>IF(E134="","",IF(ISNA(VLOOKUP($E134,'D-1 Off-Site Habitat Baseline'!$D$1:$AA$258,13,FALSE)),"",(VLOOKUP($E134,'D-1 Off-Site Habitat Baseline'!$D$1:$AA$258,13,FALSE))))</f>
        <v/>
      </c>
      <c r="P134" s="184" t="str">
        <f>IFERROR(INDEX('G-1 All Habitats'!$AG$3:$AG$17,MATCH(Q134,'G-1 All Habitats'!$AF$3:$AF$17,0)),"")</f>
        <v/>
      </c>
      <c r="Q134" s="185" t="str">
        <f t="shared" si="14"/>
        <v/>
      </c>
      <c r="R134" s="186" t="str">
        <f t="shared" si="14"/>
        <v/>
      </c>
      <c r="S134" s="187" t="str">
        <f>IFERROR(INDEX('G-1 All Habitats'!$B$3:$B$134,MATCH(R134,'G-1 All Habitats'!$A$3:$A$134,0)),"")</f>
        <v/>
      </c>
      <c r="T134" s="370" t="str">
        <f t="shared" si="15"/>
        <v/>
      </c>
      <c r="U134" s="386" t="str">
        <f t="shared" si="16"/>
        <v/>
      </c>
      <c r="V134" s="385" t="str">
        <f t="shared" si="12"/>
        <v/>
      </c>
      <c r="W134" s="382" t="str">
        <f>IF(S134="","",VLOOKUP(S134,'G-1 All Habitats'!$B$2:$M$134,10,FALSE))</f>
        <v/>
      </c>
      <c r="X134" s="382" t="str">
        <f>IFERROR(VLOOKUP(W134,'G-1 All Habitats'!$V$3:$W$7,2,FALSE),"")</f>
        <v/>
      </c>
      <c r="Y134" s="165"/>
      <c r="Z134" s="386" t="str">
        <f>IFERROR(INDEX('G-8 Condition Look up'!$A$3:$H$135,MATCH(S134,'G-8 Condition Look up'!$A$3:$A$135,0),MATCH(Y134,'G-8 Condition Look up'!$A$3:$H$3,0)),"")</f>
        <v/>
      </c>
      <c r="AA134" s="114"/>
      <c r="AB134" s="401" t="str">
        <f>IF(AA134="","",IF(VLOOKUP(AA134,'G-3 Multipliers'!$L$3:$N$6,2,FALSE)=0,"Spatial Data Missing ⚠",VLOOKUP(AA134,'G-3 Multipliers'!$L$3:$N$6,2,FALSE)))</f>
        <v/>
      </c>
      <c r="AC134" s="386" t="str">
        <f>IF(AA134="","",IF(VLOOKUP(AA134,'G-3 Multipliers'!$L$3:$N$6,3,FALSE)=0,"Spatial Data Missing ⚠",VLOOKUP(AA134,'G-3 Multipliers'!$L$3:$N$6,3,FALSE)))</f>
        <v/>
      </c>
      <c r="AD134" s="398" t="str">
        <f t="shared" si="13"/>
        <v/>
      </c>
      <c r="AE134" s="165"/>
      <c r="AF134" s="165"/>
      <c r="AG134" s="382" t="str">
        <f t="shared" si="17"/>
        <v/>
      </c>
      <c r="AH134" s="404" t="str">
        <f t="shared" si="18"/>
        <v/>
      </c>
      <c r="AI134" s="387" t="str">
        <f>IF(AH134="Check Data ⚠","Check Data ⚠",IFERROR(VLOOKUP(AH134,'G-4 Temporal multipliers'!$A$4:$C$36,3,FALSE),""))</f>
        <v/>
      </c>
      <c r="AJ134" s="398" t="str">
        <f>IF(S134="","",VLOOKUP(S134,'G-3 Multipliers'!$A$2:$E$134,4,FALSE))</f>
        <v/>
      </c>
      <c r="AK134" s="382" t="str">
        <f t="shared" si="19"/>
        <v/>
      </c>
      <c r="AL134" s="382" t="str">
        <f t="shared" si="20"/>
        <v/>
      </c>
      <c r="AM134" s="386" t="str">
        <f>IFERROR(IF(F134="","",IF(AH134="Check Data ⚠","Check Data ⚠",VLOOKUP(AL134, 'G-3 Multipliers'!$P$2:$Q$6,2,FALSE))),"")</f>
        <v/>
      </c>
      <c r="AN134" s="516"/>
      <c r="AO134" s="417" t="str">
        <f>IF(AN134="","",IF(VLOOKUP(AN134,'G-3 Multipliers'!$S$3:$T$10,2,FALSE)=0,"Spatial Data Missing ⚠",VLOOKUP(AN134,'G-3 Multipliers'!$S$3:$T$10,2,FALSE)))</f>
        <v/>
      </c>
      <c r="AP134" s="376" t="str">
        <f t="shared" si="21"/>
        <v/>
      </c>
      <c r="AQ134" s="376" t="str">
        <f t="shared" si="22"/>
        <v/>
      </c>
      <c r="AR134" s="119"/>
      <c r="AS134" s="528"/>
      <c r="AT134" s="120"/>
      <c r="AU134" s="120"/>
    </row>
    <row r="135" spans="1:47">
      <c r="A135" s="30" t="str">
        <f>IF(E135="","",IF(ISNA(VLOOKUP($E135,'D-1 Off-Site Habitat Baseline'!$D$1:$O$258,2,FALSE)),"",(VLOOKUP($E135,'D-1 Off-Site Habitat Baseline'!$D$1:$O$258,2,FALSE))))</f>
        <v/>
      </c>
      <c r="B135" s="30" t="str">
        <f>IF(E135="","",IF(ISNA(VLOOKUP($E135,'D-1 Off-Site Habitat Baseline'!$D$1:$O$258,3,FALSE)),"",(VLOOKUP($E135,'D-1 Off-Site Habitat Baseline'!$D$1:$O$258,3,FALSE))))</f>
        <v/>
      </c>
      <c r="C135" s="30" t="str">
        <f>IFERROR(INDEX('G-8 Condition Look up'!$I$4:$I$135,MATCH(S135,'G-8 Condition Look up'!$A$4:$A$135,0)),"")</f>
        <v/>
      </c>
      <c r="E135" s="407" t="str">
        <f>'D-1 Off-Site Habitat Baseline'!AP134</f>
        <v/>
      </c>
      <c r="F135" s="382" t="str">
        <f>IF(E135="","",IF(ISNA(VLOOKUP($E135,'D-1 Off-Site Habitat Baseline'!$D$1:$O$258,4,FALSE)),"",(VLOOKUP($E135,'D-1 Off-Site Habitat Baseline'!$D$1:$O$258,4,FALSE))))</f>
        <v/>
      </c>
      <c r="G135" s="382" t="str">
        <f>IF(E135="","",IF(ISNA(VLOOKUP($E135,'D-1 Off-Site Habitat Baseline'!$D$1:$O$258,5,FALSE)),"",(VLOOKUP($E135,'D-1 Off-Site Habitat Baseline'!$D$1:$O$258,5,FALSE))))</f>
        <v/>
      </c>
      <c r="H135" s="382" t="str">
        <f>IF(E135="","",IF(ISNA(VLOOKUP($E135,'D-1 Off-Site Habitat Baseline'!$D$1:$O$258,6,FALSE)),"",(VLOOKUP($E135,'D-1 Off-Site Habitat Baseline'!$D$1:$O$258,6,FALSE))))</f>
        <v/>
      </c>
      <c r="I135" s="382" t="str">
        <f>IF(E135="","",IF(ISNA(VLOOKUP($E135,'D-1 Off-Site Habitat Baseline'!$D$1:$O$258,7,FALSE)),"",(VLOOKUP($E135,'D-1 Off-Site Habitat Baseline'!$D$1:$O$258,7,FALSE))))</f>
        <v/>
      </c>
      <c r="J135" s="382" t="str">
        <f>IF(E135="","",IF(ISNA(VLOOKUP($E135,'D-1 Off-Site Habitat Baseline'!$D$1:$O$258,8,FALSE)),"",(VLOOKUP($E135,'D-1 Off-Site Habitat Baseline'!$D$1:$O$258,8,FALSE))))</f>
        <v/>
      </c>
      <c r="K135" s="382" t="str">
        <f>IF(E135="","",IF(ISNA(VLOOKUP($E135,'D-1 Off-Site Habitat Baseline'!$D$1:$O$258,9,FALSE)),"",(VLOOKUP($E135,'D-1 Off-Site Habitat Baseline'!$D$1:$O$258,9,FALSE))))</f>
        <v/>
      </c>
      <c r="L135" s="382" t="str">
        <f>IF(E135="","",IF(ISNA(VLOOKUP($E135,'D-1 Off-Site Habitat Baseline'!$D$1:$O$258,11,FALSE)),"",(VLOOKUP($E135,'D-1 Off-Site Habitat Baseline'!$D$1:$O$258,11,FALSE))))</f>
        <v/>
      </c>
      <c r="M135" s="382" t="str">
        <f>IF(E135="","",IF(ISNA(VLOOKUP($E135,'D-1 Off-Site Habitat Baseline'!$D$1:$O$258,12,FALSE)),"",(VLOOKUP($E135,'D-1 Off-Site Habitat Baseline'!$D$1:$O$258,12,FALSE))))</f>
        <v/>
      </c>
      <c r="N135" s="382" t="str">
        <f>IF(E135="","",IF(ISNA(VLOOKUP($E135,'D-1 Off-Site Habitat Baseline'!$D$1:$AA$258,14,FALSE)),"",(VLOOKUP($E135,'D-1 Off-Site Habitat Baseline'!$D$1:$AA$258,14,FALSE))))</f>
        <v/>
      </c>
      <c r="O135" s="386" t="str">
        <f>IF(E135="","",IF(ISNA(VLOOKUP($E135,'D-1 Off-Site Habitat Baseline'!$D$1:$AA$258,13,FALSE)),"",(VLOOKUP($E135,'D-1 Off-Site Habitat Baseline'!$D$1:$AA$258,13,FALSE))))</f>
        <v/>
      </c>
      <c r="P135" s="184" t="str">
        <f>IFERROR(INDEX('G-1 All Habitats'!$AG$3:$AG$17,MATCH(Q135,'G-1 All Habitats'!$AF$3:$AF$17,0)),"")</f>
        <v/>
      </c>
      <c r="Q135" s="185" t="str">
        <f t="shared" si="14"/>
        <v/>
      </c>
      <c r="R135" s="186" t="str">
        <f t="shared" si="14"/>
        <v/>
      </c>
      <c r="S135" s="187" t="str">
        <f>IFERROR(INDEX('G-1 All Habitats'!$B$3:$B$134,MATCH(R135,'G-1 All Habitats'!$A$3:$A$134,0)),"")</f>
        <v/>
      </c>
      <c r="T135" s="370" t="str">
        <f t="shared" si="15"/>
        <v/>
      </c>
      <c r="U135" s="386" t="str">
        <f t="shared" si="16"/>
        <v/>
      </c>
      <c r="V135" s="385" t="str">
        <f t="shared" si="12"/>
        <v/>
      </c>
      <c r="W135" s="382" t="str">
        <f>IF(S135="","",VLOOKUP(S135,'G-1 All Habitats'!$B$2:$M$134,10,FALSE))</f>
        <v/>
      </c>
      <c r="X135" s="382" t="str">
        <f>IFERROR(VLOOKUP(W135,'G-1 All Habitats'!$V$3:$W$7,2,FALSE),"")</f>
        <v/>
      </c>
      <c r="Y135" s="165"/>
      <c r="Z135" s="386" t="str">
        <f>IFERROR(INDEX('G-8 Condition Look up'!$A$3:$H$135,MATCH(S135,'G-8 Condition Look up'!$A$3:$A$135,0),MATCH(Y135,'G-8 Condition Look up'!$A$3:$H$3,0)),"")</f>
        <v/>
      </c>
      <c r="AA135" s="114"/>
      <c r="AB135" s="401" t="str">
        <f>IF(AA135="","",IF(VLOOKUP(AA135,'G-3 Multipliers'!$L$3:$N$6,2,FALSE)=0,"Spatial Data Missing ⚠",VLOOKUP(AA135,'G-3 Multipliers'!$L$3:$N$6,2,FALSE)))</f>
        <v/>
      </c>
      <c r="AC135" s="386" t="str">
        <f>IF(AA135="","",IF(VLOOKUP(AA135,'G-3 Multipliers'!$L$3:$N$6,3,FALSE)=0,"Spatial Data Missing ⚠",VLOOKUP(AA135,'G-3 Multipliers'!$L$3:$N$6,3,FALSE)))</f>
        <v/>
      </c>
      <c r="AD135" s="398" t="str">
        <f t="shared" si="13"/>
        <v/>
      </c>
      <c r="AE135" s="165"/>
      <c r="AF135" s="165"/>
      <c r="AG135" s="382" t="str">
        <f t="shared" si="17"/>
        <v/>
      </c>
      <c r="AH135" s="404" t="str">
        <f t="shared" si="18"/>
        <v/>
      </c>
      <c r="AI135" s="387" t="str">
        <f>IF(AH135="Check Data ⚠","Check Data ⚠",IFERROR(VLOOKUP(AH135,'G-4 Temporal multipliers'!$A$4:$C$36,3,FALSE),""))</f>
        <v/>
      </c>
      <c r="AJ135" s="398" t="str">
        <f>IF(S135="","",VLOOKUP(S135,'G-3 Multipliers'!$A$2:$E$134,4,FALSE))</f>
        <v/>
      </c>
      <c r="AK135" s="382" t="str">
        <f t="shared" si="19"/>
        <v/>
      </c>
      <c r="AL135" s="382" t="str">
        <f t="shared" si="20"/>
        <v/>
      </c>
      <c r="AM135" s="386" t="str">
        <f>IFERROR(IF(F135="","",IF(AH135="Check Data ⚠","Check Data ⚠",VLOOKUP(AL135, 'G-3 Multipliers'!$P$2:$Q$6,2,FALSE))),"")</f>
        <v/>
      </c>
      <c r="AN135" s="516"/>
      <c r="AO135" s="417" t="str">
        <f>IF(AN135="","",IF(VLOOKUP(AN135,'G-3 Multipliers'!$S$3:$T$10,2,FALSE)=0,"Spatial Data Missing ⚠",VLOOKUP(AN135,'G-3 Multipliers'!$S$3:$T$10,2,FALSE)))</f>
        <v/>
      </c>
      <c r="AP135" s="376" t="str">
        <f t="shared" si="21"/>
        <v/>
      </c>
      <c r="AQ135" s="376" t="str">
        <f t="shared" si="22"/>
        <v/>
      </c>
      <c r="AR135" s="119"/>
      <c r="AS135" s="528"/>
      <c r="AT135" s="120"/>
      <c r="AU135" s="120"/>
    </row>
    <row r="136" spans="1:47">
      <c r="A136" s="30" t="str">
        <f>IF(E136="","",IF(ISNA(VLOOKUP($E136,'D-1 Off-Site Habitat Baseline'!$D$1:$O$258,2,FALSE)),"",(VLOOKUP($E136,'D-1 Off-Site Habitat Baseline'!$D$1:$O$258,2,FALSE))))</f>
        <v/>
      </c>
      <c r="B136" s="30" t="str">
        <f>IF(E136="","",IF(ISNA(VLOOKUP($E136,'D-1 Off-Site Habitat Baseline'!$D$1:$O$258,3,FALSE)),"",(VLOOKUP($E136,'D-1 Off-Site Habitat Baseline'!$D$1:$O$258,3,FALSE))))</f>
        <v/>
      </c>
      <c r="C136" s="30" t="str">
        <f>IFERROR(INDEX('G-8 Condition Look up'!$I$4:$I$135,MATCH(S136,'G-8 Condition Look up'!$A$4:$A$135,0)),"")</f>
        <v/>
      </c>
      <c r="E136" s="407" t="str">
        <f>'D-1 Off-Site Habitat Baseline'!AP135</f>
        <v/>
      </c>
      <c r="F136" s="382" t="str">
        <f>IF(E136="","",IF(ISNA(VLOOKUP($E136,'D-1 Off-Site Habitat Baseline'!$D$1:$O$258,4,FALSE)),"",(VLOOKUP($E136,'D-1 Off-Site Habitat Baseline'!$D$1:$O$258,4,FALSE))))</f>
        <v/>
      </c>
      <c r="G136" s="382" t="str">
        <f>IF(E136="","",IF(ISNA(VLOOKUP($E136,'D-1 Off-Site Habitat Baseline'!$D$1:$O$258,5,FALSE)),"",(VLOOKUP($E136,'D-1 Off-Site Habitat Baseline'!$D$1:$O$258,5,FALSE))))</f>
        <v/>
      </c>
      <c r="H136" s="382" t="str">
        <f>IF(E136="","",IF(ISNA(VLOOKUP($E136,'D-1 Off-Site Habitat Baseline'!$D$1:$O$258,6,FALSE)),"",(VLOOKUP($E136,'D-1 Off-Site Habitat Baseline'!$D$1:$O$258,6,FALSE))))</f>
        <v/>
      </c>
      <c r="I136" s="382" t="str">
        <f>IF(E136="","",IF(ISNA(VLOOKUP($E136,'D-1 Off-Site Habitat Baseline'!$D$1:$O$258,7,FALSE)),"",(VLOOKUP($E136,'D-1 Off-Site Habitat Baseline'!$D$1:$O$258,7,FALSE))))</f>
        <v/>
      </c>
      <c r="J136" s="382" t="str">
        <f>IF(E136="","",IF(ISNA(VLOOKUP($E136,'D-1 Off-Site Habitat Baseline'!$D$1:$O$258,8,FALSE)),"",(VLOOKUP($E136,'D-1 Off-Site Habitat Baseline'!$D$1:$O$258,8,FALSE))))</f>
        <v/>
      </c>
      <c r="K136" s="382" t="str">
        <f>IF(E136="","",IF(ISNA(VLOOKUP($E136,'D-1 Off-Site Habitat Baseline'!$D$1:$O$258,9,FALSE)),"",(VLOOKUP($E136,'D-1 Off-Site Habitat Baseline'!$D$1:$O$258,9,FALSE))))</f>
        <v/>
      </c>
      <c r="L136" s="382" t="str">
        <f>IF(E136="","",IF(ISNA(VLOOKUP($E136,'D-1 Off-Site Habitat Baseline'!$D$1:$O$258,11,FALSE)),"",(VLOOKUP($E136,'D-1 Off-Site Habitat Baseline'!$D$1:$O$258,11,FALSE))))</f>
        <v/>
      </c>
      <c r="M136" s="382" t="str">
        <f>IF(E136="","",IF(ISNA(VLOOKUP($E136,'D-1 Off-Site Habitat Baseline'!$D$1:$O$258,12,FALSE)),"",(VLOOKUP($E136,'D-1 Off-Site Habitat Baseline'!$D$1:$O$258,12,FALSE))))</f>
        <v/>
      </c>
      <c r="N136" s="382" t="str">
        <f>IF(E136="","",IF(ISNA(VLOOKUP($E136,'D-1 Off-Site Habitat Baseline'!$D$1:$AA$258,14,FALSE)),"",(VLOOKUP($E136,'D-1 Off-Site Habitat Baseline'!$D$1:$AA$258,14,FALSE))))</f>
        <v/>
      </c>
      <c r="O136" s="386" t="str">
        <f>IF(E136="","",IF(ISNA(VLOOKUP($E136,'D-1 Off-Site Habitat Baseline'!$D$1:$AA$258,13,FALSE)),"",(VLOOKUP($E136,'D-1 Off-Site Habitat Baseline'!$D$1:$AA$258,13,FALSE))))</f>
        <v/>
      </c>
      <c r="P136" s="184" t="str">
        <f>IFERROR(INDEX('G-1 All Habitats'!$AG$3:$AG$17,MATCH(Q136,'G-1 All Habitats'!$AF$3:$AF$17,0)),"")</f>
        <v/>
      </c>
      <c r="Q136" s="185" t="str">
        <f t="shared" si="14"/>
        <v/>
      </c>
      <c r="R136" s="186" t="str">
        <f t="shared" si="14"/>
        <v/>
      </c>
      <c r="S136" s="187" t="str">
        <f>IFERROR(INDEX('G-1 All Habitats'!$B$3:$B$134,MATCH(R136,'G-1 All Habitats'!$A$3:$A$134,0)),"")</f>
        <v/>
      </c>
      <c r="T136" s="370" t="str">
        <f t="shared" si="15"/>
        <v/>
      </c>
      <c r="U136" s="386" t="str">
        <f t="shared" si="16"/>
        <v/>
      </c>
      <c r="V136" s="385" t="str">
        <f t="shared" si="12"/>
        <v/>
      </c>
      <c r="W136" s="382" t="str">
        <f>IF(S136="","",VLOOKUP(S136,'G-1 All Habitats'!$B$2:$M$134,10,FALSE))</f>
        <v/>
      </c>
      <c r="X136" s="382" t="str">
        <f>IFERROR(VLOOKUP(W136,'G-1 All Habitats'!$V$3:$W$7,2,FALSE),"")</f>
        <v/>
      </c>
      <c r="Y136" s="165"/>
      <c r="Z136" s="386" t="str">
        <f>IFERROR(INDEX('G-8 Condition Look up'!$A$3:$H$135,MATCH(S136,'G-8 Condition Look up'!$A$3:$A$135,0),MATCH(Y136,'G-8 Condition Look up'!$A$3:$H$3,0)),"")</f>
        <v/>
      </c>
      <c r="AA136" s="114"/>
      <c r="AB136" s="401" t="str">
        <f>IF(AA136="","",IF(VLOOKUP(AA136,'G-3 Multipliers'!$L$3:$N$6,2,FALSE)=0,"Spatial Data Missing ⚠",VLOOKUP(AA136,'G-3 Multipliers'!$L$3:$N$6,2,FALSE)))</f>
        <v/>
      </c>
      <c r="AC136" s="386" t="str">
        <f>IF(AA136="","",IF(VLOOKUP(AA136,'G-3 Multipliers'!$L$3:$N$6,3,FALSE)=0,"Spatial Data Missing ⚠",VLOOKUP(AA136,'G-3 Multipliers'!$L$3:$N$6,3,FALSE)))</f>
        <v/>
      </c>
      <c r="AD136" s="398" t="str">
        <f t="shared" si="13"/>
        <v/>
      </c>
      <c r="AE136" s="165"/>
      <c r="AF136" s="165"/>
      <c r="AG136" s="382" t="str">
        <f t="shared" si="17"/>
        <v/>
      </c>
      <c r="AH136" s="404" t="str">
        <f t="shared" si="18"/>
        <v/>
      </c>
      <c r="AI136" s="387" t="str">
        <f>IF(AH136="Check Data ⚠","Check Data ⚠",IFERROR(VLOOKUP(AH136,'G-4 Temporal multipliers'!$A$4:$C$36,3,FALSE),""))</f>
        <v/>
      </c>
      <c r="AJ136" s="398" t="str">
        <f>IF(S136="","",VLOOKUP(S136,'G-3 Multipliers'!$A$2:$E$134,4,FALSE))</f>
        <v/>
      </c>
      <c r="AK136" s="382" t="str">
        <f t="shared" si="19"/>
        <v/>
      </c>
      <c r="AL136" s="382" t="str">
        <f t="shared" si="20"/>
        <v/>
      </c>
      <c r="AM136" s="386" t="str">
        <f>IFERROR(IF(F136="","",IF(AH136="Check Data ⚠","Check Data ⚠",VLOOKUP(AL136, 'G-3 Multipliers'!$P$2:$Q$6,2,FALSE))),"")</f>
        <v/>
      </c>
      <c r="AN136" s="516"/>
      <c r="AO136" s="417" t="str">
        <f>IF(AN136="","",IF(VLOOKUP(AN136,'G-3 Multipliers'!$S$3:$T$10,2,FALSE)=0,"Spatial Data Missing ⚠",VLOOKUP(AN136,'G-3 Multipliers'!$S$3:$T$10,2,FALSE)))</f>
        <v/>
      </c>
      <c r="AP136" s="376" t="str">
        <f t="shared" si="21"/>
        <v/>
      </c>
      <c r="AQ136" s="376" t="str">
        <f t="shared" si="22"/>
        <v/>
      </c>
      <c r="AR136" s="119"/>
      <c r="AS136" s="528"/>
      <c r="AT136" s="120"/>
      <c r="AU136" s="120"/>
    </row>
    <row r="137" spans="1:47">
      <c r="A137" s="30" t="str">
        <f>IF(E137="","",IF(ISNA(VLOOKUP($E137,'D-1 Off-Site Habitat Baseline'!$D$1:$O$258,2,FALSE)),"",(VLOOKUP($E137,'D-1 Off-Site Habitat Baseline'!$D$1:$O$258,2,FALSE))))</f>
        <v/>
      </c>
      <c r="B137" s="30" t="str">
        <f>IF(E137="","",IF(ISNA(VLOOKUP($E137,'D-1 Off-Site Habitat Baseline'!$D$1:$O$258,3,FALSE)),"",(VLOOKUP($E137,'D-1 Off-Site Habitat Baseline'!$D$1:$O$258,3,FALSE))))</f>
        <v/>
      </c>
      <c r="C137" s="30" t="str">
        <f>IFERROR(INDEX('G-8 Condition Look up'!$I$4:$I$135,MATCH(S137,'G-8 Condition Look up'!$A$4:$A$135,0)),"")</f>
        <v/>
      </c>
      <c r="E137" s="407" t="str">
        <f>'D-1 Off-Site Habitat Baseline'!AP136</f>
        <v/>
      </c>
      <c r="F137" s="382" t="str">
        <f>IF(E137="","",IF(ISNA(VLOOKUP($E137,'D-1 Off-Site Habitat Baseline'!$D$1:$O$258,4,FALSE)),"",(VLOOKUP($E137,'D-1 Off-Site Habitat Baseline'!$D$1:$O$258,4,FALSE))))</f>
        <v/>
      </c>
      <c r="G137" s="382" t="str">
        <f>IF(E137="","",IF(ISNA(VLOOKUP($E137,'D-1 Off-Site Habitat Baseline'!$D$1:$O$258,5,FALSE)),"",(VLOOKUP($E137,'D-1 Off-Site Habitat Baseline'!$D$1:$O$258,5,FALSE))))</f>
        <v/>
      </c>
      <c r="H137" s="382" t="str">
        <f>IF(E137="","",IF(ISNA(VLOOKUP($E137,'D-1 Off-Site Habitat Baseline'!$D$1:$O$258,6,FALSE)),"",(VLOOKUP($E137,'D-1 Off-Site Habitat Baseline'!$D$1:$O$258,6,FALSE))))</f>
        <v/>
      </c>
      <c r="I137" s="382" t="str">
        <f>IF(E137="","",IF(ISNA(VLOOKUP($E137,'D-1 Off-Site Habitat Baseline'!$D$1:$O$258,7,FALSE)),"",(VLOOKUP($E137,'D-1 Off-Site Habitat Baseline'!$D$1:$O$258,7,FALSE))))</f>
        <v/>
      </c>
      <c r="J137" s="382" t="str">
        <f>IF(E137="","",IF(ISNA(VLOOKUP($E137,'D-1 Off-Site Habitat Baseline'!$D$1:$O$258,8,FALSE)),"",(VLOOKUP($E137,'D-1 Off-Site Habitat Baseline'!$D$1:$O$258,8,FALSE))))</f>
        <v/>
      </c>
      <c r="K137" s="382" t="str">
        <f>IF(E137="","",IF(ISNA(VLOOKUP($E137,'D-1 Off-Site Habitat Baseline'!$D$1:$O$258,9,FALSE)),"",(VLOOKUP($E137,'D-1 Off-Site Habitat Baseline'!$D$1:$O$258,9,FALSE))))</f>
        <v/>
      </c>
      <c r="L137" s="382" t="str">
        <f>IF(E137="","",IF(ISNA(VLOOKUP($E137,'D-1 Off-Site Habitat Baseline'!$D$1:$O$258,11,FALSE)),"",(VLOOKUP($E137,'D-1 Off-Site Habitat Baseline'!$D$1:$O$258,11,FALSE))))</f>
        <v/>
      </c>
      <c r="M137" s="382" t="str">
        <f>IF(E137="","",IF(ISNA(VLOOKUP($E137,'D-1 Off-Site Habitat Baseline'!$D$1:$O$258,12,FALSE)),"",(VLOOKUP($E137,'D-1 Off-Site Habitat Baseline'!$D$1:$O$258,12,FALSE))))</f>
        <v/>
      </c>
      <c r="N137" s="382" t="str">
        <f>IF(E137="","",IF(ISNA(VLOOKUP($E137,'D-1 Off-Site Habitat Baseline'!$D$1:$AA$258,14,FALSE)),"",(VLOOKUP($E137,'D-1 Off-Site Habitat Baseline'!$D$1:$AA$258,14,FALSE))))</f>
        <v/>
      </c>
      <c r="O137" s="386" t="str">
        <f>IF(E137="","",IF(ISNA(VLOOKUP($E137,'D-1 Off-Site Habitat Baseline'!$D$1:$AA$258,13,FALSE)),"",(VLOOKUP($E137,'D-1 Off-Site Habitat Baseline'!$D$1:$AA$258,13,FALSE))))</f>
        <v/>
      </c>
      <c r="P137" s="184" t="str">
        <f>IFERROR(INDEX('G-1 All Habitats'!$AG$3:$AG$17,MATCH(Q137,'G-1 All Habitats'!$AF$3:$AF$17,0)),"")</f>
        <v/>
      </c>
      <c r="Q137" s="185" t="str">
        <f t="shared" si="14"/>
        <v/>
      </c>
      <c r="R137" s="186" t="str">
        <f t="shared" si="14"/>
        <v/>
      </c>
      <c r="S137" s="187" t="str">
        <f>IFERROR(INDEX('G-1 All Habitats'!$B$3:$B$134,MATCH(R137,'G-1 All Habitats'!$A$3:$A$134,0)),"")</f>
        <v/>
      </c>
      <c r="T137" s="370" t="str">
        <f t="shared" si="15"/>
        <v/>
      </c>
      <c r="U137" s="386" t="str">
        <f t="shared" si="16"/>
        <v/>
      </c>
      <c r="V137" s="385" t="str">
        <f t="shared" si="12"/>
        <v/>
      </c>
      <c r="W137" s="382" t="str">
        <f>IF(S137="","",VLOOKUP(S137,'G-1 All Habitats'!$B$2:$M$134,10,FALSE))</f>
        <v/>
      </c>
      <c r="X137" s="382" t="str">
        <f>IFERROR(VLOOKUP(W137,'G-1 All Habitats'!$V$3:$W$7,2,FALSE),"")</f>
        <v/>
      </c>
      <c r="Y137" s="165"/>
      <c r="Z137" s="386" t="str">
        <f>IFERROR(INDEX('G-8 Condition Look up'!$A$3:$H$135,MATCH(S137,'G-8 Condition Look up'!$A$3:$A$135,0),MATCH(Y137,'G-8 Condition Look up'!$A$3:$H$3,0)),"")</f>
        <v/>
      </c>
      <c r="AA137" s="114"/>
      <c r="AB137" s="401" t="str">
        <f>IF(AA137="","",IF(VLOOKUP(AA137,'G-3 Multipliers'!$L$3:$N$6,2,FALSE)=0,"Spatial Data Missing ⚠",VLOOKUP(AA137,'G-3 Multipliers'!$L$3:$N$6,2,FALSE)))</f>
        <v/>
      </c>
      <c r="AC137" s="386" t="str">
        <f>IF(AA137="","",IF(VLOOKUP(AA137,'G-3 Multipliers'!$L$3:$N$6,3,FALSE)=0,"Spatial Data Missing ⚠",VLOOKUP(AA137,'G-3 Multipliers'!$L$3:$N$6,3,FALSE)))</f>
        <v/>
      </c>
      <c r="AD137" s="398" t="str">
        <f t="shared" si="13"/>
        <v/>
      </c>
      <c r="AE137" s="165"/>
      <c r="AF137" s="165"/>
      <c r="AG137" s="382" t="str">
        <f t="shared" si="17"/>
        <v/>
      </c>
      <c r="AH137" s="404" t="str">
        <f t="shared" si="18"/>
        <v/>
      </c>
      <c r="AI137" s="387" t="str">
        <f>IF(AH137="Check Data ⚠","Check Data ⚠",IFERROR(VLOOKUP(AH137,'G-4 Temporal multipliers'!$A$4:$C$36,3,FALSE),""))</f>
        <v/>
      </c>
      <c r="AJ137" s="398" t="str">
        <f>IF(S137="","",VLOOKUP(S137,'G-3 Multipliers'!$A$2:$E$134,4,FALSE))</f>
        <v/>
      </c>
      <c r="AK137" s="382" t="str">
        <f t="shared" si="19"/>
        <v/>
      </c>
      <c r="AL137" s="382" t="str">
        <f t="shared" si="20"/>
        <v/>
      </c>
      <c r="AM137" s="386" t="str">
        <f>IFERROR(IF(F137="","",IF(AH137="Check Data ⚠","Check Data ⚠",VLOOKUP(AL137, 'G-3 Multipliers'!$P$2:$Q$6,2,FALSE))),"")</f>
        <v/>
      </c>
      <c r="AN137" s="516"/>
      <c r="AO137" s="417" t="str">
        <f>IF(AN137="","",IF(VLOOKUP(AN137,'G-3 Multipliers'!$S$3:$T$10,2,FALSE)=0,"Spatial Data Missing ⚠",VLOOKUP(AN137,'G-3 Multipliers'!$S$3:$T$10,2,FALSE)))</f>
        <v/>
      </c>
      <c r="AP137" s="376" t="str">
        <f t="shared" si="21"/>
        <v/>
      </c>
      <c r="AQ137" s="376" t="str">
        <f t="shared" si="22"/>
        <v/>
      </c>
      <c r="AR137" s="119"/>
      <c r="AS137" s="528"/>
      <c r="AT137" s="120"/>
      <c r="AU137" s="120"/>
    </row>
    <row r="138" spans="1:47">
      <c r="A138" s="30" t="str">
        <f>IF(E138="","",IF(ISNA(VLOOKUP($E138,'D-1 Off-Site Habitat Baseline'!$D$1:$O$258,2,FALSE)),"",(VLOOKUP($E138,'D-1 Off-Site Habitat Baseline'!$D$1:$O$258,2,FALSE))))</f>
        <v/>
      </c>
      <c r="B138" s="30" t="str">
        <f>IF(E138="","",IF(ISNA(VLOOKUP($E138,'D-1 Off-Site Habitat Baseline'!$D$1:$O$258,3,FALSE)),"",(VLOOKUP($E138,'D-1 Off-Site Habitat Baseline'!$D$1:$O$258,3,FALSE))))</f>
        <v/>
      </c>
      <c r="C138" s="30" t="str">
        <f>IFERROR(INDEX('G-8 Condition Look up'!$I$4:$I$135,MATCH(S138,'G-8 Condition Look up'!$A$4:$A$135,0)),"")</f>
        <v/>
      </c>
      <c r="E138" s="407" t="str">
        <f>'D-1 Off-Site Habitat Baseline'!AP137</f>
        <v/>
      </c>
      <c r="F138" s="382" t="str">
        <f>IF(E138="","",IF(ISNA(VLOOKUP($E138,'D-1 Off-Site Habitat Baseline'!$D$1:$O$258,4,FALSE)),"",(VLOOKUP($E138,'D-1 Off-Site Habitat Baseline'!$D$1:$O$258,4,FALSE))))</f>
        <v/>
      </c>
      <c r="G138" s="382" t="str">
        <f>IF(E138="","",IF(ISNA(VLOOKUP($E138,'D-1 Off-Site Habitat Baseline'!$D$1:$O$258,5,FALSE)),"",(VLOOKUP($E138,'D-1 Off-Site Habitat Baseline'!$D$1:$O$258,5,FALSE))))</f>
        <v/>
      </c>
      <c r="H138" s="382" t="str">
        <f>IF(E138="","",IF(ISNA(VLOOKUP($E138,'D-1 Off-Site Habitat Baseline'!$D$1:$O$258,6,FALSE)),"",(VLOOKUP($E138,'D-1 Off-Site Habitat Baseline'!$D$1:$O$258,6,FALSE))))</f>
        <v/>
      </c>
      <c r="I138" s="382" t="str">
        <f>IF(E138="","",IF(ISNA(VLOOKUP($E138,'D-1 Off-Site Habitat Baseline'!$D$1:$O$258,7,FALSE)),"",(VLOOKUP($E138,'D-1 Off-Site Habitat Baseline'!$D$1:$O$258,7,FALSE))))</f>
        <v/>
      </c>
      <c r="J138" s="382" t="str">
        <f>IF(E138="","",IF(ISNA(VLOOKUP($E138,'D-1 Off-Site Habitat Baseline'!$D$1:$O$258,8,FALSE)),"",(VLOOKUP($E138,'D-1 Off-Site Habitat Baseline'!$D$1:$O$258,8,FALSE))))</f>
        <v/>
      </c>
      <c r="K138" s="382" t="str">
        <f>IF(E138="","",IF(ISNA(VLOOKUP($E138,'D-1 Off-Site Habitat Baseline'!$D$1:$O$258,9,FALSE)),"",(VLOOKUP($E138,'D-1 Off-Site Habitat Baseline'!$D$1:$O$258,9,FALSE))))</f>
        <v/>
      </c>
      <c r="L138" s="382" t="str">
        <f>IF(E138="","",IF(ISNA(VLOOKUP($E138,'D-1 Off-Site Habitat Baseline'!$D$1:$O$258,11,FALSE)),"",(VLOOKUP($E138,'D-1 Off-Site Habitat Baseline'!$D$1:$O$258,11,FALSE))))</f>
        <v/>
      </c>
      <c r="M138" s="382" t="str">
        <f>IF(E138="","",IF(ISNA(VLOOKUP($E138,'D-1 Off-Site Habitat Baseline'!$D$1:$O$258,12,FALSE)),"",(VLOOKUP($E138,'D-1 Off-Site Habitat Baseline'!$D$1:$O$258,12,FALSE))))</f>
        <v/>
      </c>
      <c r="N138" s="382" t="str">
        <f>IF(E138="","",IF(ISNA(VLOOKUP($E138,'D-1 Off-Site Habitat Baseline'!$D$1:$AA$258,14,FALSE)),"",(VLOOKUP($E138,'D-1 Off-Site Habitat Baseline'!$D$1:$AA$258,14,FALSE))))</f>
        <v/>
      </c>
      <c r="O138" s="386" t="str">
        <f>IF(E138="","",IF(ISNA(VLOOKUP($E138,'D-1 Off-Site Habitat Baseline'!$D$1:$AA$258,13,FALSE)),"",(VLOOKUP($E138,'D-1 Off-Site Habitat Baseline'!$D$1:$AA$258,13,FALSE))))</f>
        <v/>
      </c>
      <c r="P138" s="184" t="str">
        <f>IFERROR(INDEX('G-1 All Habitats'!$AG$3:$AG$17,MATCH(Q138,'G-1 All Habitats'!$AF$3:$AF$17,0)),"")</f>
        <v/>
      </c>
      <c r="Q138" s="185" t="str">
        <f t="shared" si="14"/>
        <v/>
      </c>
      <c r="R138" s="186" t="str">
        <f t="shared" si="14"/>
        <v/>
      </c>
      <c r="S138" s="187" t="str">
        <f>IFERROR(INDEX('G-1 All Habitats'!$B$3:$B$134,MATCH(R138,'G-1 All Habitats'!$A$3:$A$134,0)),"")</f>
        <v/>
      </c>
      <c r="T138" s="370" t="str">
        <f t="shared" si="15"/>
        <v/>
      </c>
      <c r="U138" s="386" t="str">
        <f t="shared" si="16"/>
        <v/>
      </c>
      <c r="V138" s="385" t="str">
        <f t="shared" si="12"/>
        <v/>
      </c>
      <c r="W138" s="382" t="str">
        <f>IF(S138="","",VLOOKUP(S138,'G-1 All Habitats'!$B$2:$M$134,10,FALSE))</f>
        <v/>
      </c>
      <c r="X138" s="382" t="str">
        <f>IFERROR(VLOOKUP(W138,'G-1 All Habitats'!$V$3:$W$7,2,FALSE),"")</f>
        <v/>
      </c>
      <c r="Y138" s="165"/>
      <c r="Z138" s="386" t="str">
        <f>IFERROR(INDEX('G-8 Condition Look up'!$A$3:$H$135,MATCH(S138,'G-8 Condition Look up'!$A$3:$A$135,0),MATCH(Y138,'G-8 Condition Look up'!$A$3:$H$3,0)),"")</f>
        <v/>
      </c>
      <c r="AA138" s="114"/>
      <c r="AB138" s="401" t="str">
        <f>IF(AA138="","",IF(VLOOKUP(AA138,'G-3 Multipliers'!$L$3:$N$6,2,FALSE)=0,"Spatial Data Missing ⚠",VLOOKUP(AA138,'G-3 Multipliers'!$L$3:$N$6,2,FALSE)))</f>
        <v/>
      </c>
      <c r="AC138" s="386" t="str">
        <f>IF(AA138="","",IF(VLOOKUP(AA138,'G-3 Multipliers'!$L$3:$N$6,3,FALSE)=0,"Spatial Data Missing ⚠",VLOOKUP(AA138,'G-3 Multipliers'!$L$3:$N$6,3,FALSE)))</f>
        <v/>
      </c>
      <c r="AD138" s="398" t="str">
        <f t="shared" si="13"/>
        <v/>
      </c>
      <c r="AE138" s="165"/>
      <c r="AF138" s="165"/>
      <c r="AG138" s="382" t="str">
        <f t="shared" si="17"/>
        <v/>
      </c>
      <c r="AH138" s="404" t="str">
        <f t="shared" si="18"/>
        <v/>
      </c>
      <c r="AI138" s="387" t="str">
        <f>IF(AH138="Check Data ⚠","Check Data ⚠",IFERROR(VLOOKUP(AH138,'G-4 Temporal multipliers'!$A$4:$C$36,3,FALSE),""))</f>
        <v/>
      </c>
      <c r="AJ138" s="398" t="str">
        <f>IF(S138="","",VLOOKUP(S138,'G-3 Multipliers'!$A$2:$E$134,4,FALSE))</f>
        <v/>
      </c>
      <c r="AK138" s="382" t="str">
        <f t="shared" si="19"/>
        <v/>
      </c>
      <c r="AL138" s="382" t="str">
        <f t="shared" si="20"/>
        <v/>
      </c>
      <c r="AM138" s="386" t="str">
        <f>IFERROR(IF(F138="","",IF(AH138="Check Data ⚠","Check Data ⚠",VLOOKUP(AL138, 'G-3 Multipliers'!$P$2:$Q$6,2,FALSE))),"")</f>
        <v/>
      </c>
      <c r="AN138" s="516"/>
      <c r="AO138" s="417" t="str">
        <f>IF(AN138="","",IF(VLOOKUP(AN138,'G-3 Multipliers'!$S$3:$T$10,2,FALSE)=0,"Spatial Data Missing ⚠",VLOOKUP(AN138,'G-3 Multipliers'!$S$3:$T$10,2,FALSE)))</f>
        <v/>
      </c>
      <c r="AP138" s="376" t="str">
        <f t="shared" si="21"/>
        <v/>
      </c>
      <c r="AQ138" s="376" t="str">
        <f t="shared" si="22"/>
        <v/>
      </c>
      <c r="AR138" s="119"/>
      <c r="AS138" s="528"/>
      <c r="AT138" s="120"/>
      <c r="AU138" s="120"/>
    </row>
    <row r="139" spans="1:47">
      <c r="A139" s="30" t="str">
        <f>IF(E139="","",IF(ISNA(VLOOKUP($E139,'D-1 Off-Site Habitat Baseline'!$D$1:$O$258,2,FALSE)),"",(VLOOKUP($E139,'D-1 Off-Site Habitat Baseline'!$D$1:$O$258,2,FALSE))))</f>
        <v/>
      </c>
      <c r="B139" s="30" t="str">
        <f>IF(E139="","",IF(ISNA(VLOOKUP($E139,'D-1 Off-Site Habitat Baseline'!$D$1:$O$258,3,FALSE)),"",(VLOOKUP($E139,'D-1 Off-Site Habitat Baseline'!$D$1:$O$258,3,FALSE))))</f>
        <v/>
      </c>
      <c r="C139" s="30" t="str">
        <f>IFERROR(INDEX('G-8 Condition Look up'!$I$4:$I$135,MATCH(S139,'G-8 Condition Look up'!$A$4:$A$135,0)),"")</f>
        <v/>
      </c>
      <c r="E139" s="407" t="str">
        <f>'D-1 Off-Site Habitat Baseline'!AP138</f>
        <v/>
      </c>
      <c r="F139" s="382" t="str">
        <f>IF(E139="","",IF(ISNA(VLOOKUP($E139,'D-1 Off-Site Habitat Baseline'!$D$1:$O$258,4,FALSE)),"",(VLOOKUP($E139,'D-1 Off-Site Habitat Baseline'!$D$1:$O$258,4,FALSE))))</f>
        <v/>
      </c>
      <c r="G139" s="382" t="str">
        <f>IF(E139="","",IF(ISNA(VLOOKUP($E139,'D-1 Off-Site Habitat Baseline'!$D$1:$O$258,5,FALSE)),"",(VLOOKUP($E139,'D-1 Off-Site Habitat Baseline'!$D$1:$O$258,5,FALSE))))</f>
        <v/>
      </c>
      <c r="H139" s="382" t="str">
        <f>IF(E139="","",IF(ISNA(VLOOKUP($E139,'D-1 Off-Site Habitat Baseline'!$D$1:$O$258,6,FALSE)),"",(VLOOKUP($E139,'D-1 Off-Site Habitat Baseline'!$D$1:$O$258,6,FALSE))))</f>
        <v/>
      </c>
      <c r="I139" s="382" t="str">
        <f>IF(E139="","",IF(ISNA(VLOOKUP($E139,'D-1 Off-Site Habitat Baseline'!$D$1:$O$258,7,FALSE)),"",(VLOOKUP($E139,'D-1 Off-Site Habitat Baseline'!$D$1:$O$258,7,FALSE))))</f>
        <v/>
      </c>
      <c r="J139" s="382" t="str">
        <f>IF(E139="","",IF(ISNA(VLOOKUP($E139,'D-1 Off-Site Habitat Baseline'!$D$1:$O$258,8,FALSE)),"",(VLOOKUP($E139,'D-1 Off-Site Habitat Baseline'!$D$1:$O$258,8,FALSE))))</f>
        <v/>
      </c>
      <c r="K139" s="382" t="str">
        <f>IF(E139="","",IF(ISNA(VLOOKUP($E139,'D-1 Off-Site Habitat Baseline'!$D$1:$O$258,9,FALSE)),"",(VLOOKUP($E139,'D-1 Off-Site Habitat Baseline'!$D$1:$O$258,9,FALSE))))</f>
        <v/>
      </c>
      <c r="L139" s="382" t="str">
        <f>IF(E139="","",IF(ISNA(VLOOKUP($E139,'D-1 Off-Site Habitat Baseline'!$D$1:$O$258,11,FALSE)),"",(VLOOKUP($E139,'D-1 Off-Site Habitat Baseline'!$D$1:$O$258,11,FALSE))))</f>
        <v/>
      </c>
      <c r="M139" s="382" t="str">
        <f>IF(E139="","",IF(ISNA(VLOOKUP($E139,'D-1 Off-Site Habitat Baseline'!$D$1:$O$258,12,FALSE)),"",(VLOOKUP($E139,'D-1 Off-Site Habitat Baseline'!$D$1:$O$258,12,FALSE))))</f>
        <v/>
      </c>
      <c r="N139" s="382" t="str">
        <f>IF(E139="","",IF(ISNA(VLOOKUP($E139,'D-1 Off-Site Habitat Baseline'!$D$1:$AA$258,14,FALSE)),"",(VLOOKUP($E139,'D-1 Off-Site Habitat Baseline'!$D$1:$AA$258,14,FALSE))))</f>
        <v/>
      </c>
      <c r="O139" s="386" t="str">
        <f>IF(E139="","",IF(ISNA(VLOOKUP($E139,'D-1 Off-Site Habitat Baseline'!$D$1:$AA$258,13,FALSE)),"",(VLOOKUP($E139,'D-1 Off-Site Habitat Baseline'!$D$1:$AA$258,13,FALSE))))</f>
        <v/>
      </c>
      <c r="P139" s="184" t="str">
        <f>IFERROR(INDEX('G-1 All Habitats'!$AG$3:$AG$17,MATCH(Q139,'G-1 All Habitats'!$AF$3:$AF$17,0)),"")</f>
        <v/>
      </c>
      <c r="Q139" s="185" t="str">
        <f t="shared" si="14"/>
        <v/>
      </c>
      <c r="R139" s="186" t="str">
        <f t="shared" si="14"/>
        <v/>
      </c>
      <c r="S139" s="187" t="str">
        <f>IFERROR(INDEX('G-1 All Habitats'!$B$3:$B$134,MATCH(R139,'G-1 All Habitats'!$A$3:$A$134,0)),"")</f>
        <v/>
      </c>
      <c r="T139" s="370" t="str">
        <f t="shared" si="15"/>
        <v/>
      </c>
      <c r="U139" s="386" t="str">
        <f t="shared" si="16"/>
        <v/>
      </c>
      <c r="V139" s="385" t="str">
        <f t="shared" si="12"/>
        <v/>
      </c>
      <c r="W139" s="382" t="str">
        <f>IF(S139="","",VLOOKUP(S139,'G-1 All Habitats'!$B$2:$M$134,10,FALSE))</f>
        <v/>
      </c>
      <c r="X139" s="382" t="str">
        <f>IFERROR(VLOOKUP(W139,'G-1 All Habitats'!$V$3:$W$7,2,FALSE),"")</f>
        <v/>
      </c>
      <c r="Y139" s="165"/>
      <c r="Z139" s="386" t="str">
        <f>IFERROR(INDEX('G-8 Condition Look up'!$A$3:$H$135,MATCH(S139,'G-8 Condition Look up'!$A$3:$A$135,0),MATCH(Y139,'G-8 Condition Look up'!$A$3:$H$3,0)),"")</f>
        <v/>
      </c>
      <c r="AA139" s="114"/>
      <c r="AB139" s="401" t="str">
        <f>IF(AA139="","",IF(VLOOKUP(AA139,'G-3 Multipliers'!$L$3:$N$6,2,FALSE)=0,"Spatial Data Missing ⚠",VLOOKUP(AA139,'G-3 Multipliers'!$L$3:$N$6,2,FALSE)))</f>
        <v/>
      </c>
      <c r="AC139" s="386" t="str">
        <f>IF(AA139="","",IF(VLOOKUP(AA139,'G-3 Multipliers'!$L$3:$N$6,3,FALSE)=0,"Spatial Data Missing ⚠",VLOOKUP(AA139,'G-3 Multipliers'!$L$3:$N$6,3,FALSE)))</f>
        <v/>
      </c>
      <c r="AD139" s="398" t="str">
        <f t="shared" si="13"/>
        <v/>
      </c>
      <c r="AE139" s="165"/>
      <c r="AF139" s="165"/>
      <c r="AG139" s="382" t="str">
        <f t="shared" si="17"/>
        <v/>
      </c>
      <c r="AH139" s="404" t="str">
        <f t="shared" si="18"/>
        <v/>
      </c>
      <c r="AI139" s="387" t="str">
        <f>IF(AH139="Check Data ⚠","Check Data ⚠",IFERROR(VLOOKUP(AH139,'G-4 Temporal multipliers'!$A$4:$C$36,3,FALSE),""))</f>
        <v/>
      </c>
      <c r="AJ139" s="398" t="str">
        <f>IF(S139="","",VLOOKUP(S139,'G-3 Multipliers'!$A$2:$E$134,4,FALSE))</f>
        <v/>
      </c>
      <c r="AK139" s="382" t="str">
        <f t="shared" si="19"/>
        <v/>
      </c>
      <c r="AL139" s="382" t="str">
        <f t="shared" si="20"/>
        <v/>
      </c>
      <c r="AM139" s="386" t="str">
        <f>IFERROR(IF(F139="","",IF(AH139="Check Data ⚠","Check Data ⚠",VLOOKUP(AL139, 'G-3 Multipliers'!$P$2:$Q$6,2,FALSE))),"")</f>
        <v/>
      </c>
      <c r="AN139" s="516"/>
      <c r="AO139" s="417" t="str">
        <f>IF(AN139="","",IF(VLOOKUP(AN139,'G-3 Multipliers'!$S$3:$T$10,2,FALSE)=0,"Spatial Data Missing ⚠",VLOOKUP(AN139,'G-3 Multipliers'!$S$3:$T$10,2,FALSE)))</f>
        <v/>
      </c>
      <c r="AP139" s="376" t="str">
        <f t="shared" si="21"/>
        <v/>
      </c>
      <c r="AQ139" s="376" t="str">
        <f t="shared" si="22"/>
        <v/>
      </c>
      <c r="AR139" s="119"/>
      <c r="AS139" s="528"/>
      <c r="AT139" s="120"/>
      <c r="AU139" s="120"/>
    </row>
    <row r="140" spans="1:47">
      <c r="A140" s="30" t="str">
        <f>IF(E140="","",IF(ISNA(VLOOKUP($E140,'D-1 Off-Site Habitat Baseline'!$D$1:$O$258,2,FALSE)),"",(VLOOKUP($E140,'D-1 Off-Site Habitat Baseline'!$D$1:$O$258,2,FALSE))))</f>
        <v/>
      </c>
      <c r="B140" s="30" t="str">
        <f>IF(E140="","",IF(ISNA(VLOOKUP($E140,'D-1 Off-Site Habitat Baseline'!$D$1:$O$258,3,FALSE)),"",(VLOOKUP($E140,'D-1 Off-Site Habitat Baseline'!$D$1:$O$258,3,FALSE))))</f>
        <v/>
      </c>
      <c r="C140" s="30" t="str">
        <f>IFERROR(INDEX('G-8 Condition Look up'!$I$4:$I$135,MATCH(S140,'G-8 Condition Look up'!$A$4:$A$135,0)),"")</f>
        <v/>
      </c>
      <c r="E140" s="407" t="str">
        <f>'D-1 Off-Site Habitat Baseline'!AP139</f>
        <v/>
      </c>
      <c r="F140" s="382" t="str">
        <f>IF(E140="","",IF(ISNA(VLOOKUP($E140,'D-1 Off-Site Habitat Baseline'!$D$1:$O$258,4,FALSE)),"",(VLOOKUP($E140,'D-1 Off-Site Habitat Baseline'!$D$1:$O$258,4,FALSE))))</f>
        <v/>
      </c>
      <c r="G140" s="382" t="str">
        <f>IF(E140="","",IF(ISNA(VLOOKUP($E140,'D-1 Off-Site Habitat Baseline'!$D$1:$O$258,5,FALSE)),"",(VLOOKUP($E140,'D-1 Off-Site Habitat Baseline'!$D$1:$O$258,5,FALSE))))</f>
        <v/>
      </c>
      <c r="H140" s="382" t="str">
        <f>IF(E140="","",IF(ISNA(VLOOKUP($E140,'D-1 Off-Site Habitat Baseline'!$D$1:$O$258,6,FALSE)),"",(VLOOKUP($E140,'D-1 Off-Site Habitat Baseline'!$D$1:$O$258,6,FALSE))))</f>
        <v/>
      </c>
      <c r="I140" s="382" t="str">
        <f>IF(E140="","",IF(ISNA(VLOOKUP($E140,'D-1 Off-Site Habitat Baseline'!$D$1:$O$258,7,FALSE)),"",(VLOOKUP($E140,'D-1 Off-Site Habitat Baseline'!$D$1:$O$258,7,FALSE))))</f>
        <v/>
      </c>
      <c r="J140" s="382" t="str">
        <f>IF(E140="","",IF(ISNA(VLOOKUP($E140,'D-1 Off-Site Habitat Baseline'!$D$1:$O$258,8,FALSE)),"",(VLOOKUP($E140,'D-1 Off-Site Habitat Baseline'!$D$1:$O$258,8,FALSE))))</f>
        <v/>
      </c>
      <c r="K140" s="382" t="str">
        <f>IF(E140="","",IF(ISNA(VLOOKUP($E140,'D-1 Off-Site Habitat Baseline'!$D$1:$O$258,9,FALSE)),"",(VLOOKUP($E140,'D-1 Off-Site Habitat Baseline'!$D$1:$O$258,9,FALSE))))</f>
        <v/>
      </c>
      <c r="L140" s="382" t="str">
        <f>IF(E140="","",IF(ISNA(VLOOKUP($E140,'D-1 Off-Site Habitat Baseline'!$D$1:$O$258,11,FALSE)),"",(VLOOKUP($E140,'D-1 Off-Site Habitat Baseline'!$D$1:$O$258,11,FALSE))))</f>
        <v/>
      </c>
      <c r="M140" s="382" t="str">
        <f>IF(E140="","",IF(ISNA(VLOOKUP($E140,'D-1 Off-Site Habitat Baseline'!$D$1:$O$258,12,FALSE)),"",(VLOOKUP($E140,'D-1 Off-Site Habitat Baseline'!$D$1:$O$258,12,FALSE))))</f>
        <v/>
      </c>
      <c r="N140" s="382" t="str">
        <f>IF(E140="","",IF(ISNA(VLOOKUP($E140,'D-1 Off-Site Habitat Baseline'!$D$1:$AA$258,14,FALSE)),"",(VLOOKUP($E140,'D-1 Off-Site Habitat Baseline'!$D$1:$AA$258,14,FALSE))))</f>
        <v/>
      </c>
      <c r="O140" s="386" t="str">
        <f>IF(E140="","",IF(ISNA(VLOOKUP($E140,'D-1 Off-Site Habitat Baseline'!$D$1:$AA$258,13,FALSE)),"",(VLOOKUP($E140,'D-1 Off-Site Habitat Baseline'!$D$1:$AA$258,13,FALSE))))</f>
        <v/>
      </c>
      <c r="P140" s="184" t="str">
        <f>IFERROR(INDEX('G-1 All Habitats'!$AG$3:$AG$17,MATCH(Q140,'G-1 All Habitats'!$AF$3:$AF$17,0)),"")</f>
        <v/>
      </c>
      <c r="Q140" s="185" t="str">
        <f t="shared" si="14"/>
        <v/>
      </c>
      <c r="R140" s="186" t="str">
        <f t="shared" si="14"/>
        <v/>
      </c>
      <c r="S140" s="187" t="str">
        <f>IFERROR(INDEX('G-1 All Habitats'!$B$3:$B$134,MATCH(R140,'G-1 All Habitats'!$A$3:$A$134,0)),"")</f>
        <v/>
      </c>
      <c r="T140" s="370" t="str">
        <f t="shared" si="15"/>
        <v/>
      </c>
      <c r="U140" s="386" t="str">
        <f t="shared" si="16"/>
        <v/>
      </c>
      <c r="V140" s="385" t="str">
        <f t="shared" ref="V140:V203" si="23">IF(S140="","",VLOOKUP(E140,BaselineHabOffsite,20,FALSE))</f>
        <v/>
      </c>
      <c r="W140" s="382" t="str">
        <f>IF(S140="","",VLOOKUP(S140,'G-1 All Habitats'!$B$2:$M$134,10,FALSE))</f>
        <v/>
      </c>
      <c r="X140" s="382" t="str">
        <f>IFERROR(VLOOKUP(W140,'G-1 All Habitats'!$V$3:$W$7,2,FALSE),"")</f>
        <v/>
      </c>
      <c r="Y140" s="165"/>
      <c r="Z140" s="386" t="str">
        <f>IFERROR(INDEX('G-8 Condition Look up'!$A$3:$H$135,MATCH(S140,'G-8 Condition Look up'!$A$3:$A$135,0),MATCH(Y140,'G-8 Condition Look up'!$A$3:$H$3,0)),"")</f>
        <v/>
      </c>
      <c r="AA140" s="114"/>
      <c r="AB140" s="401" t="str">
        <f>IF(AA140="","",IF(VLOOKUP(AA140,'G-3 Multipliers'!$L$3:$N$6,2,FALSE)=0,"Spatial Data Missing ⚠",VLOOKUP(AA140,'G-3 Multipliers'!$L$3:$N$6,2,FALSE)))</f>
        <v/>
      </c>
      <c r="AC140" s="386" t="str">
        <f>IF(AA140="","",IF(VLOOKUP(AA140,'G-3 Multipliers'!$L$3:$N$6,3,FALSE)=0,"Spatial Data Missing ⚠",VLOOKUP(AA140,'G-3 Multipliers'!$L$3:$N$6,3,FALSE)))</f>
        <v/>
      </c>
      <c r="AD140" s="398" t="str">
        <f t="shared" ref="AD140:AD203" si="24">IFERROR(IF(OR(LEFT(U140,5)="Error",LEFT(T140,5)="Error"),"Check Data ⚠",INDEX(EnhanceTemporal,MATCH(S140,EnhanceHabitat,0),MATCH(U140,EnhanceCondition,0))),"")</f>
        <v/>
      </c>
      <c r="AE140" s="165"/>
      <c r="AF140" s="165"/>
      <c r="AG140" s="382" t="str">
        <f t="shared" si="17"/>
        <v/>
      </c>
      <c r="AH140" s="404" t="str">
        <f t="shared" si="18"/>
        <v/>
      </c>
      <c r="AI140" s="387" t="str">
        <f>IF(AH140="Check Data ⚠","Check Data ⚠",IFERROR(VLOOKUP(AH140,'G-4 Temporal multipliers'!$A$4:$C$36,3,FALSE),""))</f>
        <v/>
      </c>
      <c r="AJ140" s="398" t="str">
        <f>IF(S140="","",VLOOKUP(S140,'G-3 Multipliers'!$A$2:$E$134,4,FALSE))</f>
        <v/>
      </c>
      <c r="AK140" s="382" t="str">
        <f t="shared" si="19"/>
        <v/>
      </c>
      <c r="AL140" s="382" t="str">
        <f t="shared" si="20"/>
        <v/>
      </c>
      <c r="AM140" s="386" t="str">
        <f>IFERROR(IF(F140="","",IF(AH140="Check Data ⚠","Check Data ⚠",VLOOKUP(AL140, 'G-3 Multipliers'!$P$2:$Q$6,2,FALSE))),"")</f>
        <v/>
      </c>
      <c r="AN140" s="516"/>
      <c r="AO140" s="417" t="str">
        <f>IF(AN140="","",IF(VLOOKUP(AN140,'G-3 Multipliers'!$S$3:$T$10,2,FALSE)=0,"Spatial Data Missing ⚠",VLOOKUP(AN140,'G-3 Multipliers'!$S$3:$T$10,2,FALSE)))</f>
        <v/>
      </c>
      <c r="AP140" s="376" t="str">
        <f t="shared" si="21"/>
        <v/>
      </c>
      <c r="AQ140" s="376" t="str">
        <f t="shared" si="22"/>
        <v/>
      </c>
      <c r="AR140" s="119"/>
      <c r="AS140" s="528"/>
      <c r="AT140" s="120"/>
      <c r="AU140" s="120"/>
    </row>
    <row r="141" spans="1:47">
      <c r="A141" s="30" t="str">
        <f>IF(E141="","",IF(ISNA(VLOOKUP($E141,'D-1 Off-Site Habitat Baseline'!$D$1:$O$258,2,FALSE)),"",(VLOOKUP($E141,'D-1 Off-Site Habitat Baseline'!$D$1:$O$258,2,FALSE))))</f>
        <v/>
      </c>
      <c r="B141" s="30" t="str">
        <f>IF(E141="","",IF(ISNA(VLOOKUP($E141,'D-1 Off-Site Habitat Baseline'!$D$1:$O$258,3,FALSE)),"",(VLOOKUP($E141,'D-1 Off-Site Habitat Baseline'!$D$1:$O$258,3,FALSE))))</f>
        <v/>
      </c>
      <c r="C141" s="30" t="str">
        <f>IFERROR(INDEX('G-8 Condition Look up'!$I$4:$I$135,MATCH(S141,'G-8 Condition Look up'!$A$4:$A$135,0)),"")</f>
        <v/>
      </c>
      <c r="E141" s="407" t="str">
        <f>'D-1 Off-Site Habitat Baseline'!AP140</f>
        <v/>
      </c>
      <c r="F141" s="382" t="str">
        <f>IF(E141="","",IF(ISNA(VLOOKUP($E141,'D-1 Off-Site Habitat Baseline'!$D$1:$O$258,4,FALSE)),"",(VLOOKUP($E141,'D-1 Off-Site Habitat Baseline'!$D$1:$O$258,4,FALSE))))</f>
        <v/>
      </c>
      <c r="G141" s="382" t="str">
        <f>IF(E141="","",IF(ISNA(VLOOKUP($E141,'D-1 Off-Site Habitat Baseline'!$D$1:$O$258,5,FALSE)),"",(VLOOKUP($E141,'D-1 Off-Site Habitat Baseline'!$D$1:$O$258,5,FALSE))))</f>
        <v/>
      </c>
      <c r="H141" s="382" t="str">
        <f>IF(E141="","",IF(ISNA(VLOOKUP($E141,'D-1 Off-Site Habitat Baseline'!$D$1:$O$258,6,FALSE)),"",(VLOOKUP($E141,'D-1 Off-Site Habitat Baseline'!$D$1:$O$258,6,FALSE))))</f>
        <v/>
      </c>
      <c r="I141" s="382" t="str">
        <f>IF(E141="","",IF(ISNA(VLOOKUP($E141,'D-1 Off-Site Habitat Baseline'!$D$1:$O$258,7,FALSE)),"",(VLOOKUP($E141,'D-1 Off-Site Habitat Baseline'!$D$1:$O$258,7,FALSE))))</f>
        <v/>
      </c>
      <c r="J141" s="382" t="str">
        <f>IF(E141="","",IF(ISNA(VLOOKUP($E141,'D-1 Off-Site Habitat Baseline'!$D$1:$O$258,8,FALSE)),"",(VLOOKUP($E141,'D-1 Off-Site Habitat Baseline'!$D$1:$O$258,8,FALSE))))</f>
        <v/>
      </c>
      <c r="K141" s="382" t="str">
        <f>IF(E141="","",IF(ISNA(VLOOKUP($E141,'D-1 Off-Site Habitat Baseline'!$D$1:$O$258,9,FALSE)),"",(VLOOKUP($E141,'D-1 Off-Site Habitat Baseline'!$D$1:$O$258,9,FALSE))))</f>
        <v/>
      </c>
      <c r="L141" s="382" t="str">
        <f>IF(E141="","",IF(ISNA(VLOOKUP($E141,'D-1 Off-Site Habitat Baseline'!$D$1:$O$258,11,FALSE)),"",(VLOOKUP($E141,'D-1 Off-Site Habitat Baseline'!$D$1:$O$258,11,FALSE))))</f>
        <v/>
      </c>
      <c r="M141" s="382" t="str">
        <f>IF(E141="","",IF(ISNA(VLOOKUP($E141,'D-1 Off-Site Habitat Baseline'!$D$1:$O$258,12,FALSE)),"",(VLOOKUP($E141,'D-1 Off-Site Habitat Baseline'!$D$1:$O$258,12,FALSE))))</f>
        <v/>
      </c>
      <c r="N141" s="382" t="str">
        <f>IF(E141="","",IF(ISNA(VLOOKUP($E141,'D-1 Off-Site Habitat Baseline'!$D$1:$AA$258,14,FALSE)),"",(VLOOKUP($E141,'D-1 Off-Site Habitat Baseline'!$D$1:$AA$258,14,FALSE))))</f>
        <v/>
      </c>
      <c r="O141" s="386" t="str">
        <f>IF(E141="","",IF(ISNA(VLOOKUP($E141,'D-1 Off-Site Habitat Baseline'!$D$1:$AA$258,13,FALSE)),"",(VLOOKUP($E141,'D-1 Off-Site Habitat Baseline'!$D$1:$AA$258,13,FALSE))))</f>
        <v/>
      </c>
      <c r="P141" s="184" t="str">
        <f>IFERROR(INDEX('G-1 All Habitats'!$AG$3:$AG$17,MATCH(Q141,'G-1 All Habitats'!$AF$3:$AF$17,0)),"")</f>
        <v/>
      </c>
      <c r="Q141" s="185" t="str">
        <f t="shared" ref="Q141:R204" si="25">A141</f>
        <v/>
      </c>
      <c r="R141" s="186" t="str">
        <f t="shared" si="25"/>
        <v/>
      </c>
      <c r="S141" s="187" t="str">
        <f>IFERROR(INDEX('G-1 All Habitats'!$B$3:$B$134,MATCH(R141,'G-1 All Habitats'!$A$3:$A$134,0)),"")</f>
        <v/>
      </c>
      <c r="T141" s="370" t="str">
        <f t="shared" ref="T141:T204" si="26">IF(E141="","",IF(AND(LEFT(O141,6)="Same d",I141&gt;X141),"Error - Trading rules not satisfied ▲",IF(AND(LEFT(O141,6)="Same b",AND(LEFT(F141,5)&lt;&gt;LEFT(S141,5),I141&gt;X141)),"Error - Trading rules not satisfied ▲",IF(AND(LEFT(O141,6)="Same h",F141&lt;&gt;S141),"Error - Trading rules not satisfied ▲",IF(AND(LEFT(O141,6)="Bespok",F141&lt;&gt;S141),"Error - Trading rules not satisfied ▲",IF(X141&lt;I141,"Error Trading Down ▲",H141&amp;" - "&amp;W141))))))</f>
        <v/>
      </c>
      <c r="U141" s="386" t="str">
        <f t="shared" ref="U141:U204" si="27">IF(F141="","",IF(AND(LEFT(F141,55)&lt;&gt;LEFT(S141,55),T141= "High - High"),"Error - Not like for like ▲",IF(AND(I141=X141,K141&gt;Z141),"Error - Can not reduce condition ▲",IF(K141&gt;Z141, "Error - condition cannot be reduced ▲", IF(AND(I141=X141,K141=Z141),"Error - No enhancement ▲",IF(X141&lt;I141,"Error Trading Down ▲",IF(AND(F141&lt;&gt;S141,I141&lt;X141),"Lower Distinctiveness Habitat"&amp;" - "&amp;Y141,J141&amp;" - "&amp;Y141)))))))</f>
        <v/>
      </c>
      <c r="V141" s="385" t="str">
        <f t="shared" si="23"/>
        <v/>
      </c>
      <c r="W141" s="382" t="str">
        <f>IF(S141="","",VLOOKUP(S141,'G-1 All Habitats'!$B$2:$M$134,10,FALSE))</f>
        <v/>
      </c>
      <c r="X141" s="382" t="str">
        <f>IFERROR(VLOOKUP(W141,'G-1 All Habitats'!$V$3:$W$7,2,FALSE),"")</f>
        <v/>
      </c>
      <c r="Y141" s="165"/>
      <c r="Z141" s="386" t="str">
        <f>IFERROR(INDEX('G-8 Condition Look up'!$A$3:$H$135,MATCH(S141,'G-8 Condition Look up'!$A$3:$A$135,0),MATCH(Y141,'G-8 Condition Look up'!$A$3:$H$3,0)),"")</f>
        <v/>
      </c>
      <c r="AA141" s="114"/>
      <c r="AB141" s="401" t="str">
        <f>IF(AA141="","",IF(VLOOKUP(AA141,'G-3 Multipliers'!$L$3:$N$6,2,FALSE)=0,"Spatial Data Missing ⚠",VLOOKUP(AA141,'G-3 Multipliers'!$L$3:$N$6,2,FALSE)))</f>
        <v/>
      </c>
      <c r="AC141" s="386" t="str">
        <f>IF(AA141="","",IF(VLOOKUP(AA141,'G-3 Multipliers'!$L$3:$N$6,3,FALSE)=0,"Spatial Data Missing ⚠",VLOOKUP(AA141,'G-3 Multipliers'!$L$3:$N$6,3,FALSE)))</f>
        <v/>
      </c>
      <c r="AD141" s="398" t="str">
        <f t="shared" si="24"/>
        <v/>
      </c>
      <c r="AE141" s="165"/>
      <c r="AF141" s="165"/>
      <c r="AG141" s="382" t="str">
        <f t="shared" ref="AG141:AG204" si="28">IF(AD141="","",IF(AD141="Check Data ⚠","Check Data ⚠",IF(R141="","",IF(AND(AE141&gt;0,AF141&gt;0),"Error -both advance and delayed habitat creation ▲",IF(AND(OR(AE141="Habitat already in target condition",AD141&lt;=AE141),AF141=0),"Check details - Is there evidence that habitat has reached target condition? ⚠",IF(O140="","",IF(AE141&gt;0,"Check details - Is there evidence habitat creation started/in place? ⚠",IF(AF141&gt;0,"Check details- Delay in starting habitat in required condition? ⚠","Standard time to target condition applied"))))))))</f>
        <v/>
      </c>
      <c r="AH141" s="404" t="str">
        <f t="shared" ref="AH141:AH204" si="29">IF(AG141="Error -both advance and delayed habitat creation ▲","Check Data ⚠",IF(AG141="Check Data ⚠","Check Data ⚠",IF(AD141="","",IF(AD141="Not Possible","CheckData ⚠",IF(AND(AD141="30+",AE141=0),"30+",IF(AND(AD141="30+",AE141="30+"),0,IF(AND(AD141="30+",AE141&lt;30),30-AE141,IF(AD141="30+",30-AE141,IF(AF141="30+","30+",IF(AE141&gt;AD141,0,IF(AD141+AF141&gt;30,"30+",IF(AD141+AF141&gt;30,"30+",IF(AD141-AE141&gt;30,"30+",IF(AD141+AF141-AE141&gt;0,AD141+AF141-AE141,IF(AD141-AE141&gt;0,AD141-AE141,AD141+AF141-AE141)))))))))))))))</f>
        <v/>
      </c>
      <c r="AI141" s="387" t="str">
        <f>IF(AH141="Check Data ⚠","Check Data ⚠",IFERROR(VLOOKUP(AH141,'G-4 Temporal multipliers'!$A$4:$C$36,3,FALSE),""))</f>
        <v/>
      </c>
      <c r="AJ141" s="398" t="str">
        <f>IF(S141="","",VLOOKUP(S141,'G-3 Multipliers'!$A$2:$E$134,4,FALSE))</f>
        <v/>
      </c>
      <c r="AK141" s="382" t="str">
        <f t="shared" ref="AK141:AK204" si="30">IF(E141="","",IF(AG141="Check details - Is there evidence that habitat has reached target condition? ⚠","Low Difficulty - only applicable if all habitat created before losses","Standard difficulty applied"))</f>
        <v/>
      </c>
      <c r="AL141" s="382" t="str">
        <f t="shared" ref="AL141:AL204" si="31">(IF(AND(AK141="Standard difficulty applied",AD141&gt;AE141),AJ141,IF(AND(AK141="Low Difficulty - only applicable if all habitat created before losses",AE141&gt;=AD141),"Low", AJ141)))</f>
        <v/>
      </c>
      <c r="AM141" s="386" t="str">
        <f>IFERROR(IF(F141="","",IF(AH141="Check Data ⚠","Check Data ⚠",VLOOKUP(AL141, 'G-3 Multipliers'!$P$2:$Q$6,2,FALSE))),"")</f>
        <v/>
      </c>
      <c r="AN141" s="516"/>
      <c r="AO141" s="417" t="str">
        <f>IF(AN141="","",IF(VLOOKUP(AN141,'G-3 Multipliers'!$S$3:$T$10,2,FALSE)=0,"Spatial Data Missing ⚠",VLOOKUP(AN141,'G-3 Multipliers'!$S$3:$T$10,2,FALSE)))</f>
        <v/>
      </c>
      <c r="AP141" s="376" t="str">
        <f t="shared" ref="AP141:AP204" si="32">IFERROR(((((V141*X141*Z141)-(V141*I141*K141))*(AM141*AI141))+(V141*I141*K141))*(AC141)*AO141,"")</f>
        <v/>
      </c>
      <c r="AQ141" s="376" t="str">
        <f t="shared" ref="AQ141:AQ204" si="33">IFERROR(IF(AN141="", "",((((V141*X141*Z141)-(V141*I141*K141))*(AM141*AI141))+(V141*I141*K141))*(AC141)),"")</f>
        <v/>
      </c>
      <c r="AR141" s="119"/>
      <c r="AS141" s="528"/>
      <c r="AT141" s="120"/>
      <c r="AU141" s="120"/>
    </row>
    <row r="142" spans="1:47">
      <c r="A142" s="30" t="str">
        <f>IF(E142="","",IF(ISNA(VLOOKUP($E142,'D-1 Off-Site Habitat Baseline'!$D$1:$O$258,2,FALSE)),"",(VLOOKUP($E142,'D-1 Off-Site Habitat Baseline'!$D$1:$O$258,2,FALSE))))</f>
        <v/>
      </c>
      <c r="B142" s="30" t="str">
        <f>IF(E142="","",IF(ISNA(VLOOKUP($E142,'D-1 Off-Site Habitat Baseline'!$D$1:$O$258,3,FALSE)),"",(VLOOKUP($E142,'D-1 Off-Site Habitat Baseline'!$D$1:$O$258,3,FALSE))))</f>
        <v/>
      </c>
      <c r="C142" s="30" t="str">
        <f>IFERROR(INDEX('G-8 Condition Look up'!$I$4:$I$135,MATCH(S142,'G-8 Condition Look up'!$A$4:$A$135,0)),"")</f>
        <v/>
      </c>
      <c r="E142" s="407" t="str">
        <f>'D-1 Off-Site Habitat Baseline'!AP141</f>
        <v/>
      </c>
      <c r="F142" s="382" t="str">
        <f>IF(E142="","",IF(ISNA(VLOOKUP($E142,'D-1 Off-Site Habitat Baseline'!$D$1:$O$258,4,FALSE)),"",(VLOOKUP($E142,'D-1 Off-Site Habitat Baseline'!$D$1:$O$258,4,FALSE))))</f>
        <v/>
      </c>
      <c r="G142" s="382" t="str">
        <f>IF(E142="","",IF(ISNA(VLOOKUP($E142,'D-1 Off-Site Habitat Baseline'!$D$1:$O$258,5,FALSE)),"",(VLOOKUP($E142,'D-1 Off-Site Habitat Baseline'!$D$1:$O$258,5,FALSE))))</f>
        <v/>
      </c>
      <c r="H142" s="382" t="str">
        <f>IF(E142="","",IF(ISNA(VLOOKUP($E142,'D-1 Off-Site Habitat Baseline'!$D$1:$O$258,6,FALSE)),"",(VLOOKUP($E142,'D-1 Off-Site Habitat Baseline'!$D$1:$O$258,6,FALSE))))</f>
        <v/>
      </c>
      <c r="I142" s="382" t="str">
        <f>IF(E142="","",IF(ISNA(VLOOKUP($E142,'D-1 Off-Site Habitat Baseline'!$D$1:$O$258,7,FALSE)),"",(VLOOKUP($E142,'D-1 Off-Site Habitat Baseline'!$D$1:$O$258,7,FALSE))))</f>
        <v/>
      </c>
      <c r="J142" s="382" t="str">
        <f>IF(E142="","",IF(ISNA(VLOOKUP($E142,'D-1 Off-Site Habitat Baseline'!$D$1:$O$258,8,FALSE)),"",(VLOOKUP($E142,'D-1 Off-Site Habitat Baseline'!$D$1:$O$258,8,FALSE))))</f>
        <v/>
      </c>
      <c r="K142" s="382" t="str">
        <f>IF(E142="","",IF(ISNA(VLOOKUP($E142,'D-1 Off-Site Habitat Baseline'!$D$1:$O$258,9,FALSE)),"",(VLOOKUP($E142,'D-1 Off-Site Habitat Baseline'!$D$1:$O$258,9,FALSE))))</f>
        <v/>
      </c>
      <c r="L142" s="382" t="str">
        <f>IF(E142="","",IF(ISNA(VLOOKUP($E142,'D-1 Off-Site Habitat Baseline'!$D$1:$O$258,11,FALSE)),"",(VLOOKUP($E142,'D-1 Off-Site Habitat Baseline'!$D$1:$O$258,11,FALSE))))</f>
        <v/>
      </c>
      <c r="M142" s="382" t="str">
        <f>IF(E142="","",IF(ISNA(VLOOKUP($E142,'D-1 Off-Site Habitat Baseline'!$D$1:$O$258,12,FALSE)),"",(VLOOKUP($E142,'D-1 Off-Site Habitat Baseline'!$D$1:$O$258,12,FALSE))))</f>
        <v/>
      </c>
      <c r="N142" s="382" t="str">
        <f>IF(E142="","",IF(ISNA(VLOOKUP($E142,'D-1 Off-Site Habitat Baseline'!$D$1:$AA$258,14,FALSE)),"",(VLOOKUP($E142,'D-1 Off-Site Habitat Baseline'!$D$1:$AA$258,14,FALSE))))</f>
        <v/>
      </c>
      <c r="O142" s="386" t="str">
        <f>IF(E142="","",IF(ISNA(VLOOKUP($E142,'D-1 Off-Site Habitat Baseline'!$D$1:$AA$258,13,FALSE)),"",(VLOOKUP($E142,'D-1 Off-Site Habitat Baseline'!$D$1:$AA$258,13,FALSE))))</f>
        <v/>
      </c>
      <c r="P142" s="184" t="str">
        <f>IFERROR(INDEX('G-1 All Habitats'!$AG$3:$AG$17,MATCH(Q142,'G-1 All Habitats'!$AF$3:$AF$17,0)),"")</f>
        <v/>
      </c>
      <c r="Q142" s="185" t="str">
        <f t="shared" si="25"/>
        <v/>
      </c>
      <c r="R142" s="186" t="str">
        <f t="shared" si="25"/>
        <v/>
      </c>
      <c r="S142" s="187" t="str">
        <f>IFERROR(INDEX('G-1 All Habitats'!$B$3:$B$134,MATCH(R142,'G-1 All Habitats'!$A$3:$A$134,0)),"")</f>
        <v/>
      </c>
      <c r="T142" s="370" t="str">
        <f t="shared" si="26"/>
        <v/>
      </c>
      <c r="U142" s="386" t="str">
        <f t="shared" si="27"/>
        <v/>
      </c>
      <c r="V142" s="385" t="str">
        <f t="shared" si="23"/>
        <v/>
      </c>
      <c r="W142" s="382" t="str">
        <f>IF(S142="","",VLOOKUP(S142,'G-1 All Habitats'!$B$2:$M$134,10,FALSE))</f>
        <v/>
      </c>
      <c r="X142" s="382" t="str">
        <f>IFERROR(VLOOKUP(W142,'G-1 All Habitats'!$V$3:$W$7,2,FALSE),"")</f>
        <v/>
      </c>
      <c r="Y142" s="165"/>
      <c r="Z142" s="386" t="str">
        <f>IFERROR(INDEX('G-8 Condition Look up'!$A$3:$H$135,MATCH(S142,'G-8 Condition Look up'!$A$3:$A$135,0),MATCH(Y142,'G-8 Condition Look up'!$A$3:$H$3,0)),"")</f>
        <v/>
      </c>
      <c r="AA142" s="114"/>
      <c r="AB142" s="401" t="str">
        <f>IF(AA142="","",IF(VLOOKUP(AA142,'G-3 Multipliers'!$L$3:$N$6,2,FALSE)=0,"Spatial Data Missing ⚠",VLOOKUP(AA142,'G-3 Multipliers'!$L$3:$N$6,2,FALSE)))</f>
        <v/>
      </c>
      <c r="AC142" s="386" t="str">
        <f>IF(AA142="","",IF(VLOOKUP(AA142,'G-3 Multipliers'!$L$3:$N$6,3,FALSE)=0,"Spatial Data Missing ⚠",VLOOKUP(AA142,'G-3 Multipliers'!$L$3:$N$6,3,FALSE)))</f>
        <v/>
      </c>
      <c r="AD142" s="398" t="str">
        <f t="shared" si="24"/>
        <v/>
      </c>
      <c r="AE142" s="165"/>
      <c r="AF142" s="165"/>
      <c r="AG142" s="382" t="str">
        <f t="shared" si="28"/>
        <v/>
      </c>
      <c r="AH142" s="404" t="str">
        <f t="shared" si="29"/>
        <v/>
      </c>
      <c r="AI142" s="387" t="str">
        <f>IF(AH142="Check Data ⚠","Check Data ⚠",IFERROR(VLOOKUP(AH142,'G-4 Temporal multipliers'!$A$4:$C$36,3,FALSE),""))</f>
        <v/>
      </c>
      <c r="AJ142" s="398" t="str">
        <f>IF(S142="","",VLOOKUP(S142,'G-3 Multipliers'!$A$2:$E$134,4,FALSE))</f>
        <v/>
      </c>
      <c r="AK142" s="382" t="str">
        <f t="shared" si="30"/>
        <v/>
      </c>
      <c r="AL142" s="382" t="str">
        <f t="shared" si="31"/>
        <v/>
      </c>
      <c r="AM142" s="386" t="str">
        <f>IFERROR(IF(F142="","",IF(AH142="Check Data ⚠","Check Data ⚠",VLOOKUP(AL142, 'G-3 Multipliers'!$P$2:$Q$6,2,FALSE))),"")</f>
        <v/>
      </c>
      <c r="AN142" s="516"/>
      <c r="AO142" s="417" t="str">
        <f>IF(AN142="","",IF(VLOOKUP(AN142,'G-3 Multipliers'!$S$3:$T$10,2,FALSE)=0,"Spatial Data Missing ⚠",VLOOKUP(AN142,'G-3 Multipliers'!$S$3:$T$10,2,FALSE)))</f>
        <v/>
      </c>
      <c r="AP142" s="376" t="str">
        <f t="shared" si="32"/>
        <v/>
      </c>
      <c r="AQ142" s="376" t="str">
        <f t="shared" si="33"/>
        <v/>
      </c>
      <c r="AR142" s="119"/>
      <c r="AS142" s="528"/>
      <c r="AT142" s="120"/>
      <c r="AU142" s="120"/>
    </row>
    <row r="143" spans="1:47">
      <c r="A143" s="30" t="str">
        <f>IF(E143="","",IF(ISNA(VLOOKUP($E143,'D-1 Off-Site Habitat Baseline'!$D$1:$O$258,2,FALSE)),"",(VLOOKUP($E143,'D-1 Off-Site Habitat Baseline'!$D$1:$O$258,2,FALSE))))</f>
        <v/>
      </c>
      <c r="B143" s="30" t="str">
        <f>IF(E143="","",IF(ISNA(VLOOKUP($E143,'D-1 Off-Site Habitat Baseline'!$D$1:$O$258,3,FALSE)),"",(VLOOKUP($E143,'D-1 Off-Site Habitat Baseline'!$D$1:$O$258,3,FALSE))))</f>
        <v/>
      </c>
      <c r="C143" s="30" t="str">
        <f>IFERROR(INDEX('G-8 Condition Look up'!$I$4:$I$135,MATCH(S143,'G-8 Condition Look up'!$A$4:$A$135,0)),"")</f>
        <v/>
      </c>
      <c r="E143" s="407" t="str">
        <f>'D-1 Off-Site Habitat Baseline'!AP142</f>
        <v/>
      </c>
      <c r="F143" s="382" t="str">
        <f>IF(E143="","",IF(ISNA(VLOOKUP($E143,'D-1 Off-Site Habitat Baseline'!$D$1:$O$258,4,FALSE)),"",(VLOOKUP($E143,'D-1 Off-Site Habitat Baseline'!$D$1:$O$258,4,FALSE))))</f>
        <v/>
      </c>
      <c r="G143" s="382" t="str">
        <f>IF(E143="","",IF(ISNA(VLOOKUP($E143,'D-1 Off-Site Habitat Baseline'!$D$1:$O$258,5,FALSE)),"",(VLOOKUP($E143,'D-1 Off-Site Habitat Baseline'!$D$1:$O$258,5,FALSE))))</f>
        <v/>
      </c>
      <c r="H143" s="382" t="str">
        <f>IF(E143="","",IF(ISNA(VLOOKUP($E143,'D-1 Off-Site Habitat Baseline'!$D$1:$O$258,6,FALSE)),"",(VLOOKUP($E143,'D-1 Off-Site Habitat Baseline'!$D$1:$O$258,6,FALSE))))</f>
        <v/>
      </c>
      <c r="I143" s="382" t="str">
        <f>IF(E143="","",IF(ISNA(VLOOKUP($E143,'D-1 Off-Site Habitat Baseline'!$D$1:$O$258,7,FALSE)),"",(VLOOKUP($E143,'D-1 Off-Site Habitat Baseline'!$D$1:$O$258,7,FALSE))))</f>
        <v/>
      </c>
      <c r="J143" s="382" t="str">
        <f>IF(E143="","",IF(ISNA(VLOOKUP($E143,'D-1 Off-Site Habitat Baseline'!$D$1:$O$258,8,FALSE)),"",(VLOOKUP($E143,'D-1 Off-Site Habitat Baseline'!$D$1:$O$258,8,FALSE))))</f>
        <v/>
      </c>
      <c r="K143" s="382" t="str">
        <f>IF(E143="","",IF(ISNA(VLOOKUP($E143,'D-1 Off-Site Habitat Baseline'!$D$1:$O$258,9,FALSE)),"",(VLOOKUP($E143,'D-1 Off-Site Habitat Baseline'!$D$1:$O$258,9,FALSE))))</f>
        <v/>
      </c>
      <c r="L143" s="382" t="str">
        <f>IF(E143="","",IF(ISNA(VLOOKUP($E143,'D-1 Off-Site Habitat Baseline'!$D$1:$O$258,11,FALSE)),"",(VLOOKUP($E143,'D-1 Off-Site Habitat Baseline'!$D$1:$O$258,11,FALSE))))</f>
        <v/>
      </c>
      <c r="M143" s="382" t="str">
        <f>IF(E143="","",IF(ISNA(VLOOKUP($E143,'D-1 Off-Site Habitat Baseline'!$D$1:$O$258,12,FALSE)),"",(VLOOKUP($E143,'D-1 Off-Site Habitat Baseline'!$D$1:$O$258,12,FALSE))))</f>
        <v/>
      </c>
      <c r="N143" s="382" t="str">
        <f>IF(E143="","",IF(ISNA(VLOOKUP($E143,'D-1 Off-Site Habitat Baseline'!$D$1:$AA$258,14,FALSE)),"",(VLOOKUP($E143,'D-1 Off-Site Habitat Baseline'!$D$1:$AA$258,14,FALSE))))</f>
        <v/>
      </c>
      <c r="O143" s="386" t="str">
        <f>IF(E143="","",IF(ISNA(VLOOKUP($E143,'D-1 Off-Site Habitat Baseline'!$D$1:$AA$258,13,FALSE)),"",(VLOOKUP($E143,'D-1 Off-Site Habitat Baseline'!$D$1:$AA$258,13,FALSE))))</f>
        <v/>
      </c>
      <c r="P143" s="184" t="str">
        <f>IFERROR(INDEX('G-1 All Habitats'!$AG$3:$AG$17,MATCH(Q143,'G-1 All Habitats'!$AF$3:$AF$17,0)),"")</f>
        <v/>
      </c>
      <c r="Q143" s="185" t="str">
        <f t="shared" si="25"/>
        <v/>
      </c>
      <c r="R143" s="186" t="str">
        <f t="shared" si="25"/>
        <v/>
      </c>
      <c r="S143" s="187" t="str">
        <f>IFERROR(INDEX('G-1 All Habitats'!$B$3:$B$134,MATCH(R143,'G-1 All Habitats'!$A$3:$A$134,0)),"")</f>
        <v/>
      </c>
      <c r="T143" s="370" t="str">
        <f t="shared" si="26"/>
        <v/>
      </c>
      <c r="U143" s="386" t="str">
        <f t="shared" si="27"/>
        <v/>
      </c>
      <c r="V143" s="385" t="str">
        <f t="shared" si="23"/>
        <v/>
      </c>
      <c r="W143" s="382" t="str">
        <f>IF(S143="","",VLOOKUP(S143,'G-1 All Habitats'!$B$2:$M$134,10,FALSE))</f>
        <v/>
      </c>
      <c r="X143" s="382" t="str">
        <f>IFERROR(VLOOKUP(W143,'G-1 All Habitats'!$V$3:$W$7,2,FALSE),"")</f>
        <v/>
      </c>
      <c r="Y143" s="165"/>
      <c r="Z143" s="386" t="str">
        <f>IFERROR(INDEX('G-8 Condition Look up'!$A$3:$H$135,MATCH(S143,'G-8 Condition Look up'!$A$3:$A$135,0),MATCH(Y143,'G-8 Condition Look up'!$A$3:$H$3,0)),"")</f>
        <v/>
      </c>
      <c r="AA143" s="114"/>
      <c r="AB143" s="401" t="str">
        <f>IF(AA143="","",IF(VLOOKUP(AA143,'G-3 Multipliers'!$L$3:$N$6,2,FALSE)=0,"Spatial Data Missing ⚠",VLOOKUP(AA143,'G-3 Multipliers'!$L$3:$N$6,2,FALSE)))</f>
        <v/>
      </c>
      <c r="AC143" s="386" t="str">
        <f>IF(AA143="","",IF(VLOOKUP(AA143,'G-3 Multipliers'!$L$3:$N$6,3,FALSE)=0,"Spatial Data Missing ⚠",VLOOKUP(AA143,'G-3 Multipliers'!$L$3:$N$6,3,FALSE)))</f>
        <v/>
      </c>
      <c r="AD143" s="398" t="str">
        <f t="shared" si="24"/>
        <v/>
      </c>
      <c r="AE143" s="165"/>
      <c r="AF143" s="165"/>
      <c r="AG143" s="382" t="str">
        <f t="shared" si="28"/>
        <v/>
      </c>
      <c r="AH143" s="404" t="str">
        <f t="shared" si="29"/>
        <v/>
      </c>
      <c r="AI143" s="387" t="str">
        <f>IF(AH143="Check Data ⚠","Check Data ⚠",IFERROR(VLOOKUP(AH143,'G-4 Temporal multipliers'!$A$4:$C$36,3,FALSE),""))</f>
        <v/>
      </c>
      <c r="AJ143" s="398" t="str">
        <f>IF(S143="","",VLOOKUP(S143,'G-3 Multipliers'!$A$2:$E$134,4,FALSE))</f>
        <v/>
      </c>
      <c r="AK143" s="382" t="str">
        <f t="shared" si="30"/>
        <v/>
      </c>
      <c r="AL143" s="382" t="str">
        <f t="shared" si="31"/>
        <v/>
      </c>
      <c r="AM143" s="386" t="str">
        <f>IFERROR(IF(F143="","",IF(AH143="Check Data ⚠","Check Data ⚠",VLOOKUP(AL143, 'G-3 Multipliers'!$P$2:$Q$6,2,FALSE))),"")</f>
        <v/>
      </c>
      <c r="AN143" s="516"/>
      <c r="AO143" s="417" t="str">
        <f>IF(AN143="","",IF(VLOOKUP(AN143,'G-3 Multipliers'!$S$3:$T$10,2,FALSE)=0,"Spatial Data Missing ⚠",VLOOKUP(AN143,'G-3 Multipliers'!$S$3:$T$10,2,FALSE)))</f>
        <v/>
      </c>
      <c r="AP143" s="376" t="str">
        <f t="shared" si="32"/>
        <v/>
      </c>
      <c r="AQ143" s="376" t="str">
        <f t="shared" si="33"/>
        <v/>
      </c>
      <c r="AR143" s="119"/>
      <c r="AS143" s="528"/>
      <c r="AT143" s="120"/>
      <c r="AU143" s="120"/>
    </row>
    <row r="144" spans="1:47">
      <c r="A144" s="30" t="str">
        <f>IF(E144="","",IF(ISNA(VLOOKUP($E144,'D-1 Off-Site Habitat Baseline'!$D$1:$O$258,2,FALSE)),"",(VLOOKUP($E144,'D-1 Off-Site Habitat Baseline'!$D$1:$O$258,2,FALSE))))</f>
        <v/>
      </c>
      <c r="B144" s="30" t="str">
        <f>IF(E144="","",IF(ISNA(VLOOKUP($E144,'D-1 Off-Site Habitat Baseline'!$D$1:$O$258,3,FALSE)),"",(VLOOKUP($E144,'D-1 Off-Site Habitat Baseline'!$D$1:$O$258,3,FALSE))))</f>
        <v/>
      </c>
      <c r="C144" s="30" t="str">
        <f>IFERROR(INDEX('G-8 Condition Look up'!$I$4:$I$135,MATCH(S144,'G-8 Condition Look up'!$A$4:$A$135,0)),"")</f>
        <v/>
      </c>
      <c r="E144" s="407" t="str">
        <f>'D-1 Off-Site Habitat Baseline'!AP143</f>
        <v/>
      </c>
      <c r="F144" s="382" t="str">
        <f>IF(E144="","",IF(ISNA(VLOOKUP($E144,'D-1 Off-Site Habitat Baseline'!$D$1:$O$258,4,FALSE)),"",(VLOOKUP($E144,'D-1 Off-Site Habitat Baseline'!$D$1:$O$258,4,FALSE))))</f>
        <v/>
      </c>
      <c r="G144" s="382" t="str">
        <f>IF(E144="","",IF(ISNA(VLOOKUP($E144,'D-1 Off-Site Habitat Baseline'!$D$1:$O$258,5,FALSE)),"",(VLOOKUP($E144,'D-1 Off-Site Habitat Baseline'!$D$1:$O$258,5,FALSE))))</f>
        <v/>
      </c>
      <c r="H144" s="382" t="str">
        <f>IF(E144="","",IF(ISNA(VLOOKUP($E144,'D-1 Off-Site Habitat Baseline'!$D$1:$O$258,6,FALSE)),"",(VLOOKUP($E144,'D-1 Off-Site Habitat Baseline'!$D$1:$O$258,6,FALSE))))</f>
        <v/>
      </c>
      <c r="I144" s="382" t="str">
        <f>IF(E144="","",IF(ISNA(VLOOKUP($E144,'D-1 Off-Site Habitat Baseline'!$D$1:$O$258,7,FALSE)),"",(VLOOKUP($E144,'D-1 Off-Site Habitat Baseline'!$D$1:$O$258,7,FALSE))))</f>
        <v/>
      </c>
      <c r="J144" s="382" t="str">
        <f>IF(E144="","",IF(ISNA(VLOOKUP($E144,'D-1 Off-Site Habitat Baseline'!$D$1:$O$258,8,FALSE)),"",(VLOOKUP($E144,'D-1 Off-Site Habitat Baseline'!$D$1:$O$258,8,FALSE))))</f>
        <v/>
      </c>
      <c r="K144" s="382" t="str">
        <f>IF(E144="","",IF(ISNA(VLOOKUP($E144,'D-1 Off-Site Habitat Baseline'!$D$1:$O$258,9,FALSE)),"",(VLOOKUP($E144,'D-1 Off-Site Habitat Baseline'!$D$1:$O$258,9,FALSE))))</f>
        <v/>
      </c>
      <c r="L144" s="382" t="str">
        <f>IF(E144="","",IF(ISNA(VLOOKUP($E144,'D-1 Off-Site Habitat Baseline'!$D$1:$O$258,11,FALSE)),"",(VLOOKUP($E144,'D-1 Off-Site Habitat Baseline'!$D$1:$O$258,11,FALSE))))</f>
        <v/>
      </c>
      <c r="M144" s="382" t="str">
        <f>IF(E144="","",IF(ISNA(VLOOKUP($E144,'D-1 Off-Site Habitat Baseline'!$D$1:$O$258,12,FALSE)),"",(VLOOKUP($E144,'D-1 Off-Site Habitat Baseline'!$D$1:$O$258,12,FALSE))))</f>
        <v/>
      </c>
      <c r="N144" s="382" t="str">
        <f>IF(E144="","",IF(ISNA(VLOOKUP($E144,'D-1 Off-Site Habitat Baseline'!$D$1:$AA$258,14,FALSE)),"",(VLOOKUP($E144,'D-1 Off-Site Habitat Baseline'!$D$1:$AA$258,14,FALSE))))</f>
        <v/>
      </c>
      <c r="O144" s="386" t="str">
        <f>IF(E144="","",IF(ISNA(VLOOKUP($E144,'D-1 Off-Site Habitat Baseline'!$D$1:$AA$258,13,FALSE)),"",(VLOOKUP($E144,'D-1 Off-Site Habitat Baseline'!$D$1:$AA$258,13,FALSE))))</f>
        <v/>
      </c>
      <c r="P144" s="184" t="str">
        <f>IFERROR(INDEX('G-1 All Habitats'!$AG$3:$AG$17,MATCH(Q144,'G-1 All Habitats'!$AF$3:$AF$17,0)),"")</f>
        <v/>
      </c>
      <c r="Q144" s="185" t="str">
        <f t="shared" si="25"/>
        <v/>
      </c>
      <c r="R144" s="186" t="str">
        <f t="shared" si="25"/>
        <v/>
      </c>
      <c r="S144" s="187" t="str">
        <f>IFERROR(INDEX('G-1 All Habitats'!$B$3:$B$134,MATCH(R144,'G-1 All Habitats'!$A$3:$A$134,0)),"")</f>
        <v/>
      </c>
      <c r="T144" s="370" t="str">
        <f t="shared" si="26"/>
        <v/>
      </c>
      <c r="U144" s="386" t="str">
        <f t="shared" si="27"/>
        <v/>
      </c>
      <c r="V144" s="385" t="str">
        <f t="shared" si="23"/>
        <v/>
      </c>
      <c r="W144" s="382" t="str">
        <f>IF(S144="","",VLOOKUP(S144,'G-1 All Habitats'!$B$2:$M$134,10,FALSE))</f>
        <v/>
      </c>
      <c r="X144" s="382" t="str">
        <f>IFERROR(VLOOKUP(W144,'G-1 All Habitats'!$V$3:$W$7,2,FALSE),"")</f>
        <v/>
      </c>
      <c r="Y144" s="165"/>
      <c r="Z144" s="386" t="str">
        <f>IFERROR(INDEX('G-8 Condition Look up'!$A$3:$H$135,MATCH(S144,'G-8 Condition Look up'!$A$3:$A$135,0),MATCH(Y144,'G-8 Condition Look up'!$A$3:$H$3,0)),"")</f>
        <v/>
      </c>
      <c r="AA144" s="114"/>
      <c r="AB144" s="401" t="str">
        <f>IF(AA144="","",IF(VLOOKUP(AA144,'G-3 Multipliers'!$L$3:$N$6,2,FALSE)=0,"Spatial Data Missing ⚠",VLOOKUP(AA144,'G-3 Multipliers'!$L$3:$N$6,2,FALSE)))</f>
        <v/>
      </c>
      <c r="AC144" s="386" t="str">
        <f>IF(AA144="","",IF(VLOOKUP(AA144,'G-3 Multipliers'!$L$3:$N$6,3,FALSE)=0,"Spatial Data Missing ⚠",VLOOKUP(AA144,'G-3 Multipliers'!$L$3:$N$6,3,FALSE)))</f>
        <v/>
      </c>
      <c r="AD144" s="398" t="str">
        <f t="shared" si="24"/>
        <v/>
      </c>
      <c r="AE144" s="165"/>
      <c r="AF144" s="165"/>
      <c r="AG144" s="382" t="str">
        <f t="shared" si="28"/>
        <v/>
      </c>
      <c r="AH144" s="404" t="str">
        <f t="shared" si="29"/>
        <v/>
      </c>
      <c r="AI144" s="387" t="str">
        <f>IF(AH144="Check Data ⚠","Check Data ⚠",IFERROR(VLOOKUP(AH144,'G-4 Temporal multipliers'!$A$4:$C$36,3,FALSE),""))</f>
        <v/>
      </c>
      <c r="AJ144" s="398" t="str">
        <f>IF(S144="","",VLOOKUP(S144,'G-3 Multipliers'!$A$2:$E$134,4,FALSE))</f>
        <v/>
      </c>
      <c r="AK144" s="382" t="str">
        <f t="shared" si="30"/>
        <v/>
      </c>
      <c r="AL144" s="382" t="str">
        <f t="shared" si="31"/>
        <v/>
      </c>
      <c r="AM144" s="386" t="str">
        <f>IFERROR(IF(F144="","",IF(AH144="Check Data ⚠","Check Data ⚠",VLOOKUP(AL144, 'G-3 Multipliers'!$P$2:$Q$6,2,FALSE))),"")</f>
        <v/>
      </c>
      <c r="AN144" s="516"/>
      <c r="AO144" s="417" t="str">
        <f>IF(AN144="","",IF(VLOOKUP(AN144,'G-3 Multipliers'!$S$3:$T$10,2,FALSE)=0,"Spatial Data Missing ⚠",VLOOKUP(AN144,'G-3 Multipliers'!$S$3:$T$10,2,FALSE)))</f>
        <v/>
      </c>
      <c r="AP144" s="376" t="str">
        <f t="shared" si="32"/>
        <v/>
      </c>
      <c r="AQ144" s="376" t="str">
        <f t="shared" si="33"/>
        <v/>
      </c>
      <c r="AR144" s="119"/>
      <c r="AS144" s="528"/>
      <c r="AT144" s="120"/>
      <c r="AU144" s="120"/>
    </row>
    <row r="145" spans="1:47">
      <c r="A145" s="30" t="str">
        <f>IF(E145="","",IF(ISNA(VLOOKUP($E145,'D-1 Off-Site Habitat Baseline'!$D$1:$O$258,2,FALSE)),"",(VLOOKUP($E145,'D-1 Off-Site Habitat Baseline'!$D$1:$O$258,2,FALSE))))</f>
        <v/>
      </c>
      <c r="B145" s="30" t="str">
        <f>IF(E145="","",IF(ISNA(VLOOKUP($E145,'D-1 Off-Site Habitat Baseline'!$D$1:$O$258,3,FALSE)),"",(VLOOKUP($E145,'D-1 Off-Site Habitat Baseline'!$D$1:$O$258,3,FALSE))))</f>
        <v/>
      </c>
      <c r="C145" s="30" t="str">
        <f>IFERROR(INDEX('G-8 Condition Look up'!$I$4:$I$135,MATCH(S145,'G-8 Condition Look up'!$A$4:$A$135,0)),"")</f>
        <v/>
      </c>
      <c r="E145" s="407" t="str">
        <f>'D-1 Off-Site Habitat Baseline'!AP144</f>
        <v/>
      </c>
      <c r="F145" s="382" t="str">
        <f>IF(E145="","",IF(ISNA(VLOOKUP($E145,'D-1 Off-Site Habitat Baseline'!$D$1:$O$258,4,FALSE)),"",(VLOOKUP($E145,'D-1 Off-Site Habitat Baseline'!$D$1:$O$258,4,FALSE))))</f>
        <v/>
      </c>
      <c r="G145" s="382" t="str">
        <f>IF(E145="","",IF(ISNA(VLOOKUP($E145,'D-1 Off-Site Habitat Baseline'!$D$1:$O$258,5,FALSE)),"",(VLOOKUP($E145,'D-1 Off-Site Habitat Baseline'!$D$1:$O$258,5,FALSE))))</f>
        <v/>
      </c>
      <c r="H145" s="382" t="str">
        <f>IF(E145="","",IF(ISNA(VLOOKUP($E145,'D-1 Off-Site Habitat Baseline'!$D$1:$O$258,6,FALSE)),"",(VLOOKUP($E145,'D-1 Off-Site Habitat Baseline'!$D$1:$O$258,6,FALSE))))</f>
        <v/>
      </c>
      <c r="I145" s="382" t="str">
        <f>IF(E145="","",IF(ISNA(VLOOKUP($E145,'D-1 Off-Site Habitat Baseline'!$D$1:$O$258,7,FALSE)),"",(VLOOKUP($E145,'D-1 Off-Site Habitat Baseline'!$D$1:$O$258,7,FALSE))))</f>
        <v/>
      </c>
      <c r="J145" s="382" t="str">
        <f>IF(E145="","",IF(ISNA(VLOOKUP($E145,'D-1 Off-Site Habitat Baseline'!$D$1:$O$258,8,FALSE)),"",(VLOOKUP($E145,'D-1 Off-Site Habitat Baseline'!$D$1:$O$258,8,FALSE))))</f>
        <v/>
      </c>
      <c r="K145" s="382" t="str">
        <f>IF(E145="","",IF(ISNA(VLOOKUP($E145,'D-1 Off-Site Habitat Baseline'!$D$1:$O$258,9,FALSE)),"",(VLOOKUP($E145,'D-1 Off-Site Habitat Baseline'!$D$1:$O$258,9,FALSE))))</f>
        <v/>
      </c>
      <c r="L145" s="382" t="str">
        <f>IF(E145="","",IF(ISNA(VLOOKUP($E145,'D-1 Off-Site Habitat Baseline'!$D$1:$O$258,11,FALSE)),"",(VLOOKUP($E145,'D-1 Off-Site Habitat Baseline'!$D$1:$O$258,11,FALSE))))</f>
        <v/>
      </c>
      <c r="M145" s="382" t="str">
        <f>IF(E145="","",IF(ISNA(VLOOKUP($E145,'D-1 Off-Site Habitat Baseline'!$D$1:$O$258,12,FALSE)),"",(VLOOKUP($E145,'D-1 Off-Site Habitat Baseline'!$D$1:$O$258,12,FALSE))))</f>
        <v/>
      </c>
      <c r="N145" s="382" t="str">
        <f>IF(E145="","",IF(ISNA(VLOOKUP($E145,'D-1 Off-Site Habitat Baseline'!$D$1:$AA$258,14,FALSE)),"",(VLOOKUP($E145,'D-1 Off-Site Habitat Baseline'!$D$1:$AA$258,14,FALSE))))</f>
        <v/>
      </c>
      <c r="O145" s="386" t="str">
        <f>IF(E145="","",IF(ISNA(VLOOKUP($E145,'D-1 Off-Site Habitat Baseline'!$D$1:$AA$258,13,FALSE)),"",(VLOOKUP($E145,'D-1 Off-Site Habitat Baseline'!$D$1:$AA$258,13,FALSE))))</f>
        <v/>
      </c>
      <c r="P145" s="184" t="str">
        <f>IFERROR(INDEX('G-1 All Habitats'!$AG$3:$AG$17,MATCH(Q145,'G-1 All Habitats'!$AF$3:$AF$17,0)),"")</f>
        <v/>
      </c>
      <c r="Q145" s="185" t="str">
        <f t="shared" si="25"/>
        <v/>
      </c>
      <c r="R145" s="186" t="str">
        <f t="shared" si="25"/>
        <v/>
      </c>
      <c r="S145" s="187" t="str">
        <f>IFERROR(INDEX('G-1 All Habitats'!$B$3:$B$134,MATCH(R145,'G-1 All Habitats'!$A$3:$A$134,0)),"")</f>
        <v/>
      </c>
      <c r="T145" s="370" t="str">
        <f t="shared" si="26"/>
        <v/>
      </c>
      <c r="U145" s="386" t="str">
        <f t="shared" si="27"/>
        <v/>
      </c>
      <c r="V145" s="385" t="str">
        <f t="shared" si="23"/>
        <v/>
      </c>
      <c r="W145" s="382" t="str">
        <f>IF(S145="","",VLOOKUP(S145,'G-1 All Habitats'!$B$2:$M$134,10,FALSE))</f>
        <v/>
      </c>
      <c r="X145" s="382" t="str">
        <f>IFERROR(VLOOKUP(W145,'G-1 All Habitats'!$V$3:$W$7,2,FALSE),"")</f>
        <v/>
      </c>
      <c r="Y145" s="165"/>
      <c r="Z145" s="386" t="str">
        <f>IFERROR(INDEX('G-8 Condition Look up'!$A$3:$H$135,MATCH(S145,'G-8 Condition Look up'!$A$3:$A$135,0),MATCH(Y145,'G-8 Condition Look up'!$A$3:$H$3,0)),"")</f>
        <v/>
      </c>
      <c r="AA145" s="114"/>
      <c r="AB145" s="401" t="str">
        <f>IF(AA145="","",IF(VLOOKUP(AA145,'G-3 Multipliers'!$L$3:$N$6,2,FALSE)=0,"Spatial Data Missing ⚠",VLOOKUP(AA145,'G-3 Multipliers'!$L$3:$N$6,2,FALSE)))</f>
        <v/>
      </c>
      <c r="AC145" s="386" t="str">
        <f>IF(AA145="","",IF(VLOOKUP(AA145,'G-3 Multipliers'!$L$3:$N$6,3,FALSE)=0,"Spatial Data Missing ⚠",VLOOKUP(AA145,'G-3 Multipliers'!$L$3:$N$6,3,FALSE)))</f>
        <v/>
      </c>
      <c r="AD145" s="398" t="str">
        <f t="shared" si="24"/>
        <v/>
      </c>
      <c r="AE145" s="165"/>
      <c r="AF145" s="165"/>
      <c r="AG145" s="382" t="str">
        <f t="shared" si="28"/>
        <v/>
      </c>
      <c r="AH145" s="404" t="str">
        <f t="shared" si="29"/>
        <v/>
      </c>
      <c r="AI145" s="387" t="str">
        <f>IF(AH145="Check Data ⚠","Check Data ⚠",IFERROR(VLOOKUP(AH145,'G-4 Temporal multipliers'!$A$4:$C$36,3,FALSE),""))</f>
        <v/>
      </c>
      <c r="AJ145" s="398" t="str">
        <f>IF(S145="","",VLOOKUP(S145,'G-3 Multipliers'!$A$2:$E$134,4,FALSE))</f>
        <v/>
      </c>
      <c r="AK145" s="382" t="str">
        <f t="shared" si="30"/>
        <v/>
      </c>
      <c r="AL145" s="382" t="str">
        <f t="shared" si="31"/>
        <v/>
      </c>
      <c r="AM145" s="386" t="str">
        <f>IFERROR(IF(F145="","",IF(AH145="Check Data ⚠","Check Data ⚠",VLOOKUP(AL145, 'G-3 Multipliers'!$P$2:$Q$6,2,FALSE))),"")</f>
        <v/>
      </c>
      <c r="AN145" s="516"/>
      <c r="AO145" s="417" t="str">
        <f>IF(AN145="","",IF(VLOOKUP(AN145,'G-3 Multipliers'!$S$3:$T$10,2,FALSE)=0,"Spatial Data Missing ⚠",VLOOKUP(AN145,'G-3 Multipliers'!$S$3:$T$10,2,FALSE)))</f>
        <v/>
      </c>
      <c r="AP145" s="376" t="str">
        <f t="shared" si="32"/>
        <v/>
      </c>
      <c r="AQ145" s="376" t="str">
        <f t="shared" si="33"/>
        <v/>
      </c>
      <c r="AR145" s="119"/>
      <c r="AS145" s="528"/>
      <c r="AT145" s="120"/>
      <c r="AU145" s="120"/>
    </row>
    <row r="146" spans="1:47">
      <c r="A146" s="30" t="str">
        <f>IF(E146="","",IF(ISNA(VLOOKUP($E146,'D-1 Off-Site Habitat Baseline'!$D$1:$O$258,2,FALSE)),"",(VLOOKUP($E146,'D-1 Off-Site Habitat Baseline'!$D$1:$O$258,2,FALSE))))</f>
        <v/>
      </c>
      <c r="B146" s="30" t="str">
        <f>IF(E146="","",IF(ISNA(VLOOKUP($E146,'D-1 Off-Site Habitat Baseline'!$D$1:$O$258,3,FALSE)),"",(VLOOKUP($E146,'D-1 Off-Site Habitat Baseline'!$D$1:$O$258,3,FALSE))))</f>
        <v/>
      </c>
      <c r="C146" s="30" t="str">
        <f>IFERROR(INDEX('G-8 Condition Look up'!$I$4:$I$135,MATCH(S146,'G-8 Condition Look up'!$A$4:$A$135,0)),"")</f>
        <v/>
      </c>
      <c r="E146" s="407" t="str">
        <f>'D-1 Off-Site Habitat Baseline'!AP145</f>
        <v/>
      </c>
      <c r="F146" s="382" t="str">
        <f>IF(E146="","",IF(ISNA(VLOOKUP($E146,'D-1 Off-Site Habitat Baseline'!$D$1:$O$258,4,FALSE)),"",(VLOOKUP($E146,'D-1 Off-Site Habitat Baseline'!$D$1:$O$258,4,FALSE))))</f>
        <v/>
      </c>
      <c r="G146" s="382" t="str">
        <f>IF(E146="","",IF(ISNA(VLOOKUP($E146,'D-1 Off-Site Habitat Baseline'!$D$1:$O$258,5,FALSE)),"",(VLOOKUP($E146,'D-1 Off-Site Habitat Baseline'!$D$1:$O$258,5,FALSE))))</f>
        <v/>
      </c>
      <c r="H146" s="382" t="str">
        <f>IF(E146="","",IF(ISNA(VLOOKUP($E146,'D-1 Off-Site Habitat Baseline'!$D$1:$O$258,6,FALSE)),"",(VLOOKUP($E146,'D-1 Off-Site Habitat Baseline'!$D$1:$O$258,6,FALSE))))</f>
        <v/>
      </c>
      <c r="I146" s="382" t="str">
        <f>IF(E146="","",IF(ISNA(VLOOKUP($E146,'D-1 Off-Site Habitat Baseline'!$D$1:$O$258,7,FALSE)),"",(VLOOKUP($E146,'D-1 Off-Site Habitat Baseline'!$D$1:$O$258,7,FALSE))))</f>
        <v/>
      </c>
      <c r="J146" s="382" t="str">
        <f>IF(E146="","",IF(ISNA(VLOOKUP($E146,'D-1 Off-Site Habitat Baseline'!$D$1:$O$258,8,FALSE)),"",(VLOOKUP($E146,'D-1 Off-Site Habitat Baseline'!$D$1:$O$258,8,FALSE))))</f>
        <v/>
      </c>
      <c r="K146" s="382" t="str">
        <f>IF(E146="","",IF(ISNA(VLOOKUP($E146,'D-1 Off-Site Habitat Baseline'!$D$1:$O$258,9,FALSE)),"",(VLOOKUP($E146,'D-1 Off-Site Habitat Baseline'!$D$1:$O$258,9,FALSE))))</f>
        <v/>
      </c>
      <c r="L146" s="382" t="str">
        <f>IF(E146="","",IF(ISNA(VLOOKUP($E146,'D-1 Off-Site Habitat Baseline'!$D$1:$O$258,11,FALSE)),"",(VLOOKUP($E146,'D-1 Off-Site Habitat Baseline'!$D$1:$O$258,11,FALSE))))</f>
        <v/>
      </c>
      <c r="M146" s="382" t="str">
        <f>IF(E146="","",IF(ISNA(VLOOKUP($E146,'D-1 Off-Site Habitat Baseline'!$D$1:$O$258,12,FALSE)),"",(VLOOKUP($E146,'D-1 Off-Site Habitat Baseline'!$D$1:$O$258,12,FALSE))))</f>
        <v/>
      </c>
      <c r="N146" s="382" t="str">
        <f>IF(E146="","",IF(ISNA(VLOOKUP($E146,'D-1 Off-Site Habitat Baseline'!$D$1:$AA$258,14,FALSE)),"",(VLOOKUP($E146,'D-1 Off-Site Habitat Baseline'!$D$1:$AA$258,14,FALSE))))</f>
        <v/>
      </c>
      <c r="O146" s="386" t="str">
        <f>IF(E146="","",IF(ISNA(VLOOKUP($E146,'D-1 Off-Site Habitat Baseline'!$D$1:$AA$258,13,FALSE)),"",(VLOOKUP($E146,'D-1 Off-Site Habitat Baseline'!$D$1:$AA$258,13,FALSE))))</f>
        <v/>
      </c>
      <c r="P146" s="184" t="str">
        <f>IFERROR(INDEX('G-1 All Habitats'!$AG$3:$AG$17,MATCH(Q146,'G-1 All Habitats'!$AF$3:$AF$17,0)),"")</f>
        <v/>
      </c>
      <c r="Q146" s="185" t="str">
        <f t="shared" si="25"/>
        <v/>
      </c>
      <c r="R146" s="186" t="str">
        <f t="shared" si="25"/>
        <v/>
      </c>
      <c r="S146" s="187" t="str">
        <f>IFERROR(INDEX('G-1 All Habitats'!$B$3:$B$134,MATCH(R146,'G-1 All Habitats'!$A$3:$A$134,0)),"")</f>
        <v/>
      </c>
      <c r="T146" s="370" t="str">
        <f t="shared" si="26"/>
        <v/>
      </c>
      <c r="U146" s="386" t="str">
        <f t="shared" si="27"/>
        <v/>
      </c>
      <c r="V146" s="385" t="str">
        <f t="shared" si="23"/>
        <v/>
      </c>
      <c r="W146" s="382" t="str">
        <f>IF(S146="","",VLOOKUP(S146,'G-1 All Habitats'!$B$2:$M$134,10,FALSE))</f>
        <v/>
      </c>
      <c r="X146" s="382" t="str">
        <f>IFERROR(VLOOKUP(W146,'G-1 All Habitats'!$V$3:$W$7,2,FALSE),"")</f>
        <v/>
      </c>
      <c r="Y146" s="165"/>
      <c r="Z146" s="386" t="str">
        <f>IFERROR(INDEX('G-8 Condition Look up'!$A$3:$H$135,MATCH(S146,'G-8 Condition Look up'!$A$3:$A$135,0),MATCH(Y146,'G-8 Condition Look up'!$A$3:$H$3,0)),"")</f>
        <v/>
      </c>
      <c r="AA146" s="114"/>
      <c r="AB146" s="401" t="str">
        <f>IF(AA146="","",IF(VLOOKUP(AA146,'G-3 Multipliers'!$L$3:$N$6,2,FALSE)=0,"Spatial Data Missing ⚠",VLOOKUP(AA146,'G-3 Multipliers'!$L$3:$N$6,2,FALSE)))</f>
        <v/>
      </c>
      <c r="AC146" s="386" t="str">
        <f>IF(AA146="","",IF(VLOOKUP(AA146,'G-3 Multipliers'!$L$3:$N$6,3,FALSE)=0,"Spatial Data Missing ⚠",VLOOKUP(AA146,'G-3 Multipliers'!$L$3:$N$6,3,FALSE)))</f>
        <v/>
      </c>
      <c r="AD146" s="398" t="str">
        <f t="shared" si="24"/>
        <v/>
      </c>
      <c r="AE146" s="165"/>
      <c r="AF146" s="165"/>
      <c r="AG146" s="382" t="str">
        <f t="shared" si="28"/>
        <v/>
      </c>
      <c r="AH146" s="404" t="str">
        <f t="shared" si="29"/>
        <v/>
      </c>
      <c r="AI146" s="387" t="str">
        <f>IF(AH146="Check Data ⚠","Check Data ⚠",IFERROR(VLOOKUP(AH146,'G-4 Temporal multipliers'!$A$4:$C$36,3,FALSE),""))</f>
        <v/>
      </c>
      <c r="AJ146" s="398" t="str">
        <f>IF(S146="","",VLOOKUP(S146,'G-3 Multipliers'!$A$2:$E$134,4,FALSE))</f>
        <v/>
      </c>
      <c r="AK146" s="382" t="str">
        <f t="shared" si="30"/>
        <v/>
      </c>
      <c r="AL146" s="382" t="str">
        <f t="shared" si="31"/>
        <v/>
      </c>
      <c r="AM146" s="386" t="str">
        <f>IFERROR(IF(F146="","",IF(AH146="Check Data ⚠","Check Data ⚠",VLOOKUP(AL146, 'G-3 Multipliers'!$P$2:$Q$6,2,FALSE))),"")</f>
        <v/>
      </c>
      <c r="AN146" s="516"/>
      <c r="AO146" s="417" t="str">
        <f>IF(AN146="","",IF(VLOOKUP(AN146,'G-3 Multipliers'!$S$3:$T$10,2,FALSE)=0,"Spatial Data Missing ⚠",VLOOKUP(AN146,'G-3 Multipliers'!$S$3:$T$10,2,FALSE)))</f>
        <v/>
      </c>
      <c r="AP146" s="376" t="str">
        <f t="shared" si="32"/>
        <v/>
      </c>
      <c r="AQ146" s="376" t="str">
        <f t="shared" si="33"/>
        <v/>
      </c>
      <c r="AR146" s="119"/>
      <c r="AS146" s="528"/>
      <c r="AT146" s="120"/>
      <c r="AU146" s="120"/>
    </row>
    <row r="147" spans="1:47">
      <c r="A147" s="30" t="str">
        <f>IF(E147="","",IF(ISNA(VLOOKUP($E147,'D-1 Off-Site Habitat Baseline'!$D$1:$O$258,2,FALSE)),"",(VLOOKUP($E147,'D-1 Off-Site Habitat Baseline'!$D$1:$O$258,2,FALSE))))</f>
        <v/>
      </c>
      <c r="B147" s="30" t="str">
        <f>IF(E147="","",IF(ISNA(VLOOKUP($E147,'D-1 Off-Site Habitat Baseline'!$D$1:$O$258,3,FALSE)),"",(VLOOKUP($E147,'D-1 Off-Site Habitat Baseline'!$D$1:$O$258,3,FALSE))))</f>
        <v/>
      </c>
      <c r="C147" s="30" t="str">
        <f>IFERROR(INDEX('G-8 Condition Look up'!$I$4:$I$135,MATCH(S147,'G-8 Condition Look up'!$A$4:$A$135,0)),"")</f>
        <v/>
      </c>
      <c r="E147" s="407" t="str">
        <f>'D-1 Off-Site Habitat Baseline'!AP146</f>
        <v/>
      </c>
      <c r="F147" s="382" t="str">
        <f>IF(E147="","",IF(ISNA(VLOOKUP($E147,'D-1 Off-Site Habitat Baseline'!$D$1:$O$258,4,FALSE)),"",(VLOOKUP($E147,'D-1 Off-Site Habitat Baseline'!$D$1:$O$258,4,FALSE))))</f>
        <v/>
      </c>
      <c r="G147" s="382" t="str">
        <f>IF(E147="","",IF(ISNA(VLOOKUP($E147,'D-1 Off-Site Habitat Baseline'!$D$1:$O$258,5,FALSE)),"",(VLOOKUP($E147,'D-1 Off-Site Habitat Baseline'!$D$1:$O$258,5,FALSE))))</f>
        <v/>
      </c>
      <c r="H147" s="382" t="str">
        <f>IF(E147="","",IF(ISNA(VLOOKUP($E147,'D-1 Off-Site Habitat Baseline'!$D$1:$O$258,6,FALSE)),"",(VLOOKUP($E147,'D-1 Off-Site Habitat Baseline'!$D$1:$O$258,6,FALSE))))</f>
        <v/>
      </c>
      <c r="I147" s="382" t="str">
        <f>IF(E147="","",IF(ISNA(VLOOKUP($E147,'D-1 Off-Site Habitat Baseline'!$D$1:$O$258,7,FALSE)),"",(VLOOKUP($E147,'D-1 Off-Site Habitat Baseline'!$D$1:$O$258,7,FALSE))))</f>
        <v/>
      </c>
      <c r="J147" s="382" t="str">
        <f>IF(E147="","",IF(ISNA(VLOOKUP($E147,'D-1 Off-Site Habitat Baseline'!$D$1:$O$258,8,FALSE)),"",(VLOOKUP($E147,'D-1 Off-Site Habitat Baseline'!$D$1:$O$258,8,FALSE))))</f>
        <v/>
      </c>
      <c r="K147" s="382" t="str">
        <f>IF(E147="","",IF(ISNA(VLOOKUP($E147,'D-1 Off-Site Habitat Baseline'!$D$1:$O$258,9,FALSE)),"",(VLOOKUP($E147,'D-1 Off-Site Habitat Baseline'!$D$1:$O$258,9,FALSE))))</f>
        <v/>
      </c>
      <c r="L147" s="382" t="str">
        <f>IF(E147="","",IF(ISNA(VLOOKUP($E147,'D-1 Off-Site Habitat Baseline'!$D$1:$O$258,11,FALSE)),"",(VLOOKUP($E147,'D-1 Off-Site Habitat Baseline'!$D$1:$O$258,11,FALSE))))</f>
        <v/>
      </c>
      <c r="M147" s="382" t="str">
        <f>IF(E147="","",IF(ISNA(VLOOKUP($E147,'D-1 Off-Site Habitat Baseline'!$D$1:$O$258,12,FALSE)),"",(VLOOKUP($E147,'D-1 Off-Site Habitat Baseline'!$D$1:$O$258,12,FALSE))))</f>
        <v/>
      </c>
      <c r="N147" s="382" t="str">
        <f>IF(E147="","",IF(ISNA(VLOOKUP($E147,'D-1 Off-Site Habitat Baseline'!$D$1:$AA$258,14,FALSE)),"",(VLOOKUP($E147,'D-1 Off-Site Habitat Baseline'!$D$1:$AA$258,14,FALSE))))</f>
        <v/>
      </c>
      <c r="O147" s="386" t="str">
        <f>IF(E147="","",IF(ISNA(VLOOKUP($E147,'D-1 Off-Site Habitat Baseline'!$D$1:$AA$258,13,FALSE)),"",(VLOOKUP($E147,'D-1 Off-Site Habitat Baseline'!$D$1:$AA$258,13,FALSE))))</f>
        <v/>
      </c>
      <c r="P147" s="184" t="str">
        <f>IFERROR(INDEX('G-1 All Habitats'!$AG$3:$AG$17,MATCH(Q147,'G-1 All Habitats'!$AF$3:$AF$17,0)),"")</f>
        <v/>
      </c>
      <c r="Q147" s="185" t="str">
        <f t="shared" si="25"/>
        <v/>
      </c>
      <c r="R147" s="186" t="str">
        <f t="shared" si="25"/>
        <v/>
      </c>
      <c r="S147" s="187" t="str">
        <f>IFERROR(INDEX('G-1 All Habitats'!$B$3:$B$134,MATCH(R147,'G-1 All Habitats'!$A$3:$A$134,0)),"")</f>
        <v/>
      </c>
      <c r="T147" s="370" t="str">
        <f t="shared" si="26"/>
        <v/>
      </c>
      <c r="U147" s="386" t="str">
        <f t="shared" si="27"/>
        <v/>
      </c>
      <c r="V147" s="385" t="str">
        <f t="shared" si="23"/>
        <v/>
      </c>
      <c r="W147" s="382" t="str">
        <f>IF(S147="","",VLOOKUP(S147,'G-1 All Habitats'!$B$2:$M$134,10,FALSE))</f>
        <v/>
      </c>
      <c r="X147" s="382" t="str">
        <f>IFERROR(VLOOKUP(W147,'G-1 All Habitats'!$V$3:$W$7,2,FALSE),"")</f>
        <v/>
      </c>
      <c r="Y147" s="165"/>
      <c r="Z147" s="386" t="str">
        <f>IFERROR(INDEX('G-8 Condition Look up'!$A$3:$H$135,MATCH(S147,'G-8 Condition Look up'!$A$3:$A$135,0),MATCH(Y147,'G-8 Condition Look up'!$A$3:$H$3,0)),"")</f>
        <v/>
      </c>
      <c r="AA147" s="114"/>
      <c r="AB147" s="401" t="str">
        <f>IF(AA147="","",IF(VLOOKUP(AA147,'G-3 Multipliers'!$L$3:$N$6,2,FALSE)=0,"Spatial Data Missing ⚠",VLOOKUP(AA147,'G-3 Multipliers'!$L$3:$N$6,2,FALSE)))</f>
        <v/>
      </c>
      <c r="AC147" s="386" t="str">
        <f>IF(AA147="","",IF(VLOOKUP(AA147,'G-3 Multipliers'!$L$3:$N$6,3,FALSE)=0,"Spatial Data Missing ⚠",VLOOKUP(AA147,'G-3 Multipliers'!$L$3:$N$6,3,FALSE)))</f>
        <v/>
      </c>
      <c r="AD147" s="398" t="str">
        <f t="shared" si="24"/>
        <v/>
      </c>
      <c r="AE147" s="165"/>
      <c r="AF147" s="165"/>
      <c r="AG147" s="382" t="str">
        <f t="shared" si="28"/>
        <v/>
      </c>
      <c r="AH147" s="404" t="str">
        <f t="shared" si="29"/>
        <v/>
      </c>
      <c r="AI147" s="387" t="str">
        <f>IF(AH147="Check Data ⚠","Check Data ⚠",IFERROR(VLOOKUP(AH147,'G-4 Temporal multipliers'!$A$4:$C$36,3,FALSE),""))</f>
        <v/>
      </c>
      <c r="AJ147" s="398" t="str">
        <f>IF(S147="","",VLOOKUP(S147,'G-3 Multipliers'!$A$2:$E$134,4,FALSE))</f>
        <v/>
      </c>
      <c r="AK147" s="382" t="str">
        <f t="shared" si="30"/>
        <v/>
      </c>
      <c r="AL147" s="382" t="str">
        <f t="shared" si="31"/>
        <v/>
      </c>
      <c r="AM147" s="386" t="str">
        <f>IFERROR(IF(F147="","",IF(AH147="Check Data ⚠","Check Data ⚠",VLOOKUP(AL147, 'G-3 Multipliers'!$P$2:$Q$6,2,FALSE))),"")</f>
        <v/>
      </c>
      <c r="AN147" s="516"/>
      <c r="AO147" s="417" t="str">
        <f>IF(AN147="","",IF(VLOOKUP(AN147,'G-3 Multipliers'!$S$3:$T$10,2,FALSE)=0,"Spatial Data Missing ⚠",VLOOKUP(AN147,'G-3 Multipliers'!$S$3:$T$10,2,FALSE)))</f>
        <v/>
      </c>
      <c r="AP147" s="376" t="str">
        <f t="shared" si="32"/>
        <v/>
      </c>
      <c r="AQ147" s="376" t="str">
        <f t="shared" si="33"/>
        <v/>
      </c>
      <c r="AR147" s="119"/>
      <c r="AS147" s="528"/>
      <c r="AT147" s="120"/>
      <c r="AU147" s="120"/>
    </row>
    <row r="148" spans="1:47">
      <c r="A148" s="30" t="str">
        <f>IF(E148="","",IF(ISNA(VLOOKUP($E148,'D-1 Off-Site Habitat Baseline'!$D$1:$O$258,2,FALSE)),"",(VLOOKUP($E148,'D-1 Off-Site Habitat Baseline'!$D$1:$O$258,2,FALSE))))</f>
        <v/>
      </c>
      <c r="B148" s="30" t="str">
        <f>IF(E148="","",IF(ISNA(VLOOKUP($E148,'D-1 Off-Site Habitat Baseline'!$D$1:$O$258,3,FALSE)),"",(VLOOKUP($E148,'D-1 Off-Site Habitat Baseline'!$D$1:$O$258,3,FALSE))))</f>
        <v/>
      </c>
      <c r="C148" s="30" t="str">
        <f>IFERROR(INDEX('G-8 Condition Look up'!$I$4:$I$135,MATCH(S148,'G-8 Condition Look up'!$A$4:$A$135,0)),"")</f>
        <v/>
      </c>
      <c r="E148" s="407" t="str">
        <f>'D-1 Off-Site Habitat Baseline'!AP147</f>
        <v/>
      </c>
      <c r="F148" s="382" t="str">
        <f>IF(E148="","",IF(ISNA(VLOOKUP($E148,'D-1 Off-Site Habitat Baseline'!$D$1:$O$258,4,FALSE)),"",(VLOOKUP($E148,'D-1 Off-Site Habitat Baseline'!$D$1:$O$258,4,FALSE))))</f>
        <v/>
      </c>
      <c r="G148" s="382" t="str">
        <f>IF(E148="","",IF(ISNA(VLOOKUP($E148,'D-1 Off-Site Habitat Baseline'!$D$1:$O$258,5,FALSE)),"",(VLOOKUP($E148,'D-1 Off-Site Habitat Baseline'!$D$1:$O$258,5,FALSE))))</f>
        <v/>
      </c>
      <c r="H148" s="382" t="str">
        <f>IF(E148="","",IF(ISNA(VLOOKUP($E148,'D-1 Off-Site Habitat Baseline'!$D$1:$O$258,6,FALSE)),"",(VLOOKUP($E148,'D-1 Off-Site Habitat Baseline'!$D$1:$O$258,6,FALSE))))</f>
        <v/>
      </c>
      <c r="I148" s="382" t="str">
        <f>IF(E148="","",IF(ISNA(VLOOKUP($E148,'D-1 Off-Site Habitat Baseline'!$D$1:$O$258,7,FALSE)),"",(VLOOKUP($E148,'D-1 Off-Site Habitat Baseline'!$D$1:$O$258,7,FALSE))))</f>
        <v/>
      </c>
      <c r="J148" s="382" t="str">
        <f>IF(E148="","",IF(ISNA(VLOOKUP($E148,'D-1 Off-Site Habitat Baseline'!$D$1:$O$258,8,FALSE)),"",(VLOOKUP($E148,'D-1 Off-Site Habitat Baseline'!$D$1:$O$258,8,FALSE))))</f>
        <v/>
      </c>
      <c r="K148" s="382" t="str">
        <f>IF(E148="","",IF(ISNA(VLOOKUP($E148,'D-1 Off-Site Habitat Baseline'!$D$1:$O$258,9,FALSE)),"",(VLOOKUP($E148,'D-1 Off-Site Habitat Baseline'!$D$1:$O$258,9,FALSE))))</f>
        <v/>
      </c>
      <c r="L148" s="382" t="str">
        <f>IF(E148="","",IF(ISNA(VLOOKUP($E148,'D-1 Off-Site Habitat Baseline'!$D$1:$O$258,11,FALSE)),"",(VLOOKUP($E148,'D-1 Off-Site Habitat Baseline'!$D$1:$O$258,11,FALSE))))</f>
        <v/>
      </c>
      <c r="M148" s="382" t="str">
        <f>IF(E148="","",IF(ISNA(VLOOKUP($E148,'D-1 Off-Site Habitat Baseline'!$D$1:$O$258,12,FALSE)),"",(VLOOKUP($E148,'D-1 Off-Site Habitat Baseline'!$D$1:$O$258,12,FALSE))))</f>
        <v/>
      </c>
      <c r="N148" s="382" t="str">
        <f>IF(E148="","",IF(ISNA(VLOOKUP($E148,'D-1 Off-Site Habitat Baseline'!$D$1:$AA$258,14,FALSE)),"",(VLOOKUP($E148,'D-1 Off-Site Habitat Baseline'!$D$1:$AA$258,14,FALSE))))</f>
        <v/>
      </c>
      <c r="O148" s="386" t="str">
        <f>IF(E148="","",IF(ISNA(VLOOKUP($E148,'D-1 Off-Site Habitat Baseline'!$D$1:$AA$258,13,FALSE)),"",(VLOOKUP($E148,'D-1 Off-Site Habitat Baseline'!$D$1:$AA$258,13,FALSE))))</f>
        <v/>
      </c>
      <c r="P148" s="184" t="str">
        <f>IFERROR(INDEX('G-1 All Habitats'!$AG$3:$AG$17,MATCH(Q148,'G-1 All Habitats'!$AF$3:$AF$17,0)),"")</f>
        <v/>
      </c>
      <c r="Q148" s="185" t="str">
        <f t="shared" si="25"/>
        <v/>
      </c>
      <c r="R148" s="186" t="str">
        <f t="shared" si="25"/>
        <v/>
      </c>
      <c r="S148" s="187" t="str">
        <f>IFERROR(INDEX('G-1 All Habitats'!$B$3:$B$134,MATCH(R148,'G-1 All Habitats'!$A$3:$A$134,0)),"")</f>
        <v/>
      </c>
      <c r="T148" s="370" t="str">
        <f t="shared" si="26"/>
        <v/>
      </c>
      <c r="U148" s="386" t="str">
        <f t="shared" si="27"/>
        <v/>
      </c>
      <c r="V148" s="385" t="str">
        <f t="shared" si="23"/>
        <v/>
      </c>
      <c r="W148" s="382" t="str">
        <f>IF(S148="","",VLOOKUP(S148,'G-1 All Habitats'!$B$2:$M$134,10,FALSE))</f>
        <v/>
      </c>
      <c r="X148" s="382" t="str">
        <f>IFERROR(VLOOKUP(W148,'G-1 All Habitats'!$V$3:$W$7,2,FALSE),"")</f>
        <v/>
      </c>
      <c r="Y148" s="165"/>
      <c r="Z148" s="386" t="str">
        <f>IFERROR(INDEX('G-8 Condition Look up'!$A$3:$H$135,MATCH(S148,'G-8 Condition Look up'!$A$3:$A$135,0),MATCH(Y148,'G-8 Condition Look up'!$A$3:$H$3,0)),"")</f>
        <v/>
      </c>
      <c r="AA148" s="114"/>
      <c r="AB148" s="401" t="str">
        <f>IF(AA148="","",IF(VLOOKUP(AA148,'G-3 Multipliers'!$L$3:$N$6,2,FALSE)=0,"Spatial Data Missing ⚠",VLOOKUP(AA148,'G-3 Multipliers'!$L$3:$N$6,2,FALSE)))</f>
        <v/>
      </c>
      <c r="AC148" s="386" t="str">
        <f>IF(AA148="","",IF(VLOOKUP(AA148,'G-3 Multipliers'!$L$3:$N$6,3,FALSE)=0,"Spatial Data Missing ⚠",VLOOKUP(AA148,'G-3 Multipliers'!$L$3:$N$6,3,FALSE)))</f>
        <v/>
      </c>
      <c r="AD148" s="398" t="str">
        <f t="shared" si="24"/>
        <v/>
      </c>
      <c r="AE148" s="165"/>
      <c r="AF148" s="165"/>
      <c r="AG148" s="382" t="str">
        <f t="shared" si="28"/>
        <v/>
      </c>
      <c r="AH148" s="404" t="str">
        <f t="shared" si="29"/>
        <v/>
      </c>
      <c r="AI148" s="387" t="str">
        <f>IF(AH148="Check Data ⚠","Check Data ⚠",IFERROR(VLOOKUP(AH148,'G-4 Temporal multipliers'!$A$4:$C$36,3,FALSE),""))</f>
        <v/>
      </c>
      <c r="AJ148" s="398" t="str">
        <f>IF(S148="","",VLOOKUP(S148,'G-3 Multipliers'!$A$2:$E$134,4,FALSE))</f>
        <v/>
      </c>
      <c r="AK148" s="382" t="str">
        <f t="shared" si="30"/>
        <v/>
      </c>
      <c r="AL148" s="382" t="str">
        <f t="shared" si="31"/>
        <v/>
      </c>
      <c r="AM148" s="386" t="str">
        <f>IFERROR(IF(F148="","",IF(AH148="Check Data ⚠","Check Data ⚠",VLOOKUP(AL148, 'G-3 Multipliers'!$P$2:$Q$6,2,FALSE))),"")</f>
        <v/>
      </c>
      <c r="AN148" s="516"/>
      <c r="AO148" s="417" t="str">
        <f>IF(AN148="","",IF(VLOOKUP(AN148,'G-3 Multipliers'!$S$3:$T$10,2,FALSE)=0,"Spatial Data Missing ⚠",VLOOKUP(AN148,'G-3 Multipliers'!$S$3:$T$10,2,FALSE)))</f>
        <v/>
      </c>
      <c r="AP148" s="376" t="str">
        <f t="shared" si="32"/>
        <v/>
      </c>
      <c r="AQ148" s="376" t="str">
        <f t="shared" si="33"/>
        <v/>
      </c>
      <c r="AR148" s="119"/>
      <c r="AS148" s="528"/>
      <c r="AT148" s="120"/>
      <c r="AU148" s="120"/>
    </row>
    <row r="149" spans="1:47">
      <c r="A149" s="30" t="str">
        <f>IF(E149="","",IF(ISNA(VLOOKUP($E149,'D-1 Off-Site Habitat Baseline'!$D$1:$O$258,2,FALSE)),"",(VLOOKUP($E149,'D-1 Off-Site Habitat Baseline'!$D$1:$O$258,2,FALSE))))</f>
        <v/>
      </c>
      <c r="B149" s="30" t="str">
        <f>IF(E149="","",IF(ISNA(VLOOKUP($E149,'D-1 Off-Site Habitat Baseline'!$D$1:$O$258,3,FALSE)),"",(VLOOKUP($E149,'D-1 Off-Site Habitat Baseline'!$D$1:$O$258,3,FALSE))))</f>
        <v/>
      </c>
      <c r="C149" s="30" t="str">
        <f>IFERROR(INDEX('G-8 Condition Look up'!$I$4:$I$135,MATCH(S149,'G-8 Condition Look up'!$A$4:$A$135,0)),"")</f>
        <v/>
      </c>
      <c r="E149" s="407" t="str">
        <f>'D-1 Off-Site Habitat Baseline'!AP148</f>
        <v/>
      </c>
      <c r="F149" s="382" t="str">
        <f>IF(E149="","",IF(ISNA(VLOOKUP($E149,'D-1 Off-Site Habitat Baseline'!$D$1:$O$258,4,FALSE)),"",(VLOOKUP($E149,'D-1 Off-Site Habitat Baseline'!$D$1:$O$258,4,FALSE))))</f>
        <v/>
      </c>
      <c r="G149" s="382" t="str">
        <f>IF(E149="","",IF(ISNA(VLOOKUP($E149,'D-1 Off-Site Habitat Baseline'!$D$1:$O$258,5,FALSE)),"",(VLOOKUP($E149,'D-1 Off-Site Habitat Baseline'!$D$1:$O$258,5,FALSE))))</f>
        <v/>
      </c>
      <c r="H149" s="382" t="str">
        <f>IF(E149="","",IF(ISNA(VLOOKUP($E149,'D-1 Off-Site Habitat Baseline'!$D$1:$O$258,6,FALSE)),"",(VLOOKUP($E149,'D-1 Off-Site Habitat Baseline'!$D$1:$O$258,6,FALSE))))</f>
        <v/>
      </c>
      <c r="I149" s="382" t="str">
        <f>IF(E149="","",IF(ISNA(VLOOKUP($E149,'D-1 Off-Site Habitat Baseline'!$D$1:$O$258,7,FALSE)),"",(VLOOKUP($E149,'D-1 Off-Site Habitat Baseline'!$D$1:$O$258,7,FALSE))))</f>
        <v/>
      </c>
      <c r="J149" s="382" t="str">
        <f>IF(E149="","",IF(ISNA(VLOOKUP($E149,'D-1 Off-Site Habitat Baseline'!$D$1:$O$258,8,FALSE)),"",(VLOOKUP($E149,'D-1 Off-Site Habitat Baseline'!$D$1:$O$258,8,FALSE))))</f>
        <v/>
      </c>
      <c r="K149" s="382" t="str">
        <f>IF(E149="","",IF(ISNA(VLOOKUP($E149,'D-1 Off-Site Habitat Baseline'!$D$1:$O$258,9,FALSE)),"",(VLOOKUP($E149,'D-1 Off-Site Habitat Baseline'!$D$1:$O$258,9,FALSE))))</f>
        <v/>
      </c>
      <c r="L149" s="382" t="str">
        <f>IF(E149="","",IF(ISNA(VLOOKUP($E149,'D-1 Off-Site Habitat Baseline'!$D$1:$O$258,11,FALSE)),"",(VLOOKUP($E149,'D-1 Off-Site Habitat Baseline'!$D$1:$O$258,11,FALSE))))</f>
        <v/>
      </c>
      <c r="M149" s="382" t="str">
        <f>IF(E149="","",IF(ISNA(VLOOKUP($E149,'D-1 Off-Site Habitat Baseline'!$D$1:$O$258,12,FALSE)),"",(VLOOKUP($E149,'D-1 Off-Site Habitat Baseline'!$D$1:$O$258,12,FALSE))))</f>
        <v/>
      </c>
      <c r="N149" s="382" t="str">
        <f>IF(E149="","",IF(ISNA(VLOOKUP($E149,'D-1 Off-Site Habitat Baseline'!$D$1:$AA$258,14,FALSE)),"",(VLOOKUP($E149,'D-1 Off-Site Habitat Baseline'!$D$1:$AA$258,14,FALSE))))</f>
        <v/>
      </c>
      <c r="O149" s="386" t="str">
        <f>IF(E149="","",IF(ISNA(VLOOKUP($E149,'D-1 Off-Site Habitat Baseline'!$D$1:$AA$258,13,FALSE)),"",(VLOOKUP($E149,'D-1 Off-Site Habitat Baseline'!$D$1:$AA$258,13,FALSE))))</f>
        <v/>
      </c>
      <c r="P149" s="184" t="str">
        <f>IFERROR(INDEX('G-1 All Habitats'!$AG$3:$AG$17,MATCH(Q149,'G-1 All Habitats'!$AF$3:$AF$17,0)),"")</f>
        <v/>
      </c>
      <c r="Q149" s="185" t="str">
        <f t="shared" si="25"/>
        <v/>
      </c>
      <c r="R149" s="186" t="str">
        <f t="shared" si="25"/>
        <v/>
      </c>
      <c r="S149" s="187" t="str">
        <f>IFERROR(INDEX('G-1 All Habitats'!$B$3:$B$134,MATCH(R149,'G-1 All Habitats'!$A$3:$A$134,0)),"")</f>
        <v/>
      </c>
      <c r="T149" s="370" t="str">
        <f t="shared" si="26"/>
        <v/>
      </c>
      <c r="U149" s="386" t="str">
        <f t="shared" si="27"/>
        <v/>
      </c>
      <c r="V149" s="385" t="str">
        <f t="shared" si="23"/>
        <v/>
      </c>
      <c r="W149" s="382" t="str">
        <f>IF(S149="","",VLOOKUP(S149,'G-1 All Habitats'!$B$2:$M$134,10,FALSE))</f>
        <v/>
      </c>
      <c r="X149" s="382" t="str">
        <f>IFERROR(VLOOKUP(W149,'G-1 All Habitats'!$V$3:$W$7,2,FALSE),"")</f>
        <v/>
      </c>
      <c r="Y149" s="165"/>
      <c r="Z149" s="386" t="str">
        <f>IFERROR(INDEX('G-8 Condition Look up'!$A$3:$H$135,MATCH(S149,'G-8 Condition Look up'!$A$3:$A$135,0),MATCH(Y149,'G-8 Condition Look up'!$A$3:$H$3,0)),"")</f>
        <v/>
      </c>
      <c r="AA149" s="114"/>
      <c r="AB149" s="401" t="str">
        <f>IF(AA149="","",IF(VLOOKUP(AA149,'G-3 Multipliers'!$L$3:$N$6,2,FALSE)=0,"Spatial Data Missing ⚠",VLOOKUP(AA149,'G-3 Multipliers'!$L$3:$N$6,2,FALSE)))</f>
        <v/>
      </c>
      <c r="AC149" s="386" t="str">
        <f>IF(AA149="","",IF(VLOOKUP(AA149,'G-3 Multipliers'!$L$3:$N$6,3,FALSE)=0,"Spatial Data Missing ⚠",VLOOKUP(AA149,'G-3 Multipliers'!$L$3:$N$6,3,FALSE)))</f>
        <v/>
      </c>
      <c r="AD149" s="398" t="str">
        <f t="shared" si="24"/>
        <v/>
      </c>
      <c r="AE149" s="165"/>
      <c r="AF149" s="165"/>
      <c r="AG149" s="382" t="str">
        <f t="shared" si="28"/>
        <v/>
      </c>
      <c r="AH149" s="404" t="str">
        <f t="shared" si="29"/>
        <v/>
      </c>
      <c r="AI149" s="387" t="str">
        <f>IF(AH149="Check Data ⚠","Check Data ⚠",IFERROR(VLOOKUP(AH149,'G-4 Temporal multipliers'!$A$4:$C$36,3,FALSE),""))</f>
        <v/>
      </c>
      <c r="AJ149" s="398" t="str">
        <f>IF(S149="","",VLOOKUP(S149,'G-3 Multipliers'!$A$2:$E$134,4,FALSE))</f>
        <v/>
      </c>
      <c r="AK149" s="382" t="str">
        <f t="shared" si="30"/>
        <v/>
      </c>
      <c r="AL149" s="382" t="str">
        <f t="shared" si="31"/>
        <v/>
      </c>
      <c r="AM149" s="386" t="str">
        <f>IFERROR(IF(F149="","",IF(AH149="Check Data ⚠","Check Data ⚠",VLOOKUP(AL149, 'G-3 Multipliers'!$P$2:$Q$6,2,FALSE))),"")</f>
        <v/>
      </c>
      <c r="AN149" s="516"/>
      <c r="AO149" s="417" t="str">
        <f>IF(AN149="","",IF(VLOOKUP(AN149,'G-3 Multipliers'!$S$3:$T$10,2,FALSE)=0,"Spatial Data Missing ⚠",VLOOKUP(AN149,'G-3 Multipliers'!$S$3:$T$10,2,FALSE)))</f>
        <v/>
      </c>
      <c r="AP149" s="376" t="str">
        <f t="shared" si="32"/>
        <v/>
      </c>
      <c r="AQ149" s="376" t="str">
        <f t="shared" si="33"/>
        <v/>
      </c>
      <c r="AR149" s="119"/>
      <c r="AS149" s="528"/>
      <c r="AT149" s="120"/>
      <c r="AU149" s="120"/>
    </row>
    <row r="150" spans="1:47">
      <c r="A150" s="30" t="str">
        <f>IF(E150="","",IF(ISNA(VLOOKUP($E150,'D-1 Off-Site Habitat Baseline'!$D$1:$O$258,2,FALSE)),"",(VLOOKUP($E150,'D-1 Off-Site Habitat Baseline'!$D$1:$O$258,2,FALSE))))</f>
        <v/>
      </c>
      <c r="B150" s="30" t="str">
        <f>IF(E150="","",IF(ISNA(VLOOKUP($E150,'D-1 Off-Site Habitat Baseline'!$D$1:$O$258,3,FALSE)),"",(VLOOKUP($E150,'D-1 Off-Site Habitat Baseline'!$D$1:$O$258,3,FALSE))))</f>
        <v/>
      </c>
      <c r="C150" s="30" t="str">
        <f>IFERROR(INDEX('G-8 Condition Look up'!$I$4:$I$135,MATCH(S150,'G-8 Condition Look up'!$A$4:$A$135,0)),"")</f>
        <v/>
      </c>
      <c r="E150" s="407" t="str">
        <f>'D-1 Off-Site Habitat Baseline'!AP149</f>
        <v/>
      </c>
      <c r="F150" s="382" t="str">
        <f>IF(E150="","",IF(ISNA(VLOOKUP($E150,'D-1 Off-Site Habitat Baseline'!$D$1:$O$258,4,FALSE)),"",(VLOOKUP($E150,'D-1 Off-Site Habitat Baseline'!$D$1:$O$258,4,FALSE))))</f>
        <v/>
      </c>
      <c r="G150" s="382" t="str">
        <f>IF(E150="","",IF(ISNA(VLOOKUP($E150,'D-1 Off-Site Habitat Baseline'!$D$1:$O$258,5,FALSE)),"",(VLOOKUP($E150,'D-1 Off-Site Habitat Baseline'!$D$1:$O$258,5,FALSE))))</f>
        <v/>
      </c>
      <c r="H150" s="382" t="str">
        <f>IF(E150="","",IF(ISNA(VLOOKUP($E150,'D-1 Off-Site Habitat Baseline'!$D$1:$O$258,6,FALSE)),"",(VLOOKUP($E150,'D-1 Off-Site Habitat Baseline'!$D$1:$O$258,6,FALSE))))</f>
        <v/>
      </c>
      <c r="I150" s="382" t="str">
        <f>IF(E150="","",IF(ISNA(VLOOKUP($E150,'D-1 Off-Site Habitat Baseline'!$D$1:$O$258,7,FALSE)),"",(VLOOKUP($E150,'D-1 Off-Site Habitat Baseline'!$D$1:$O$258,7,FALSE))))</f>
        <v/>
      </c>
      <c r="J150" s="382" t="str">
        <f>IF(E150="","",IF(ISNA(VLOOKUP($E150,'D-1 Off-Site Habitat Baseline'!$D$1:$O$258,8,FALSE)),"",(VLOOKUP($E150,'D-1 Off-Site Habitat Baseline'!$D$1:$O$258,8,FALSE))))</f>
        <v/>
      </c>
      <c r="K150" s="382" t="str">
        <f>IF(E150="","",IF(ISNA(VLOOKUP($E150,'D-1 Off-Site Habitat Baseline'!$D$1:$O$258,9,FALSE)),"",(VLOOKUP($E150,'D-1 Off-Site Habitat Baseline'!$D$1:$O$258,9,FALSE))))</f>
        <v/>
      </c>
      <c r="L150" s="382" t="str">
        <f>IF(E150="","",IF(ISNA(VLOOKUP($E150,'D-1 Off-Site Habitat Baseline'!$D$1:$O$258,11,FALSE)),"",(VLOOKUP($E150,'D-1 Off-Site Habitat Baseline'!$D$1:$O$258,11,FALSE))))</f>
        <v/>
      </c>
      <c r="M150" s="382" t="str">
        <f>IF(E150="","",IF(ISNA(VLOOKUP($E150,'D-1 Off-Site Habitat Baseline'!$D$1:$O$258,12,FALSE)),"",(VLOOKUP($E150,'D-1 Off-Site Habitat Baseline'!$D$1:$O$258,12,FALSE))))</f>
        <v/>
      </c>
      <c r="N150" s="382" t="str">
        <f>IF(E150="","",IF(ISNA(VLOOKUP($E150,'D-1 Off-Site Habitat Baseline'!$D$1:$AA$258,14,FALSE)),"",(VLOOKUP($E150,'D-1 Off-Site Habitat Baseline'!$D$1:$AA$258,14,FALSE))))</f>
        <v/>
      </c>
      <c r="O150" s="386" t="str">
        <f>IF(E150="","",IF(ISNA(VLOOKUP($E150,'D-1 Off-Site Habitat Baseline'!$D$1:$AA$258,13,FALSE)),"",(VLOOKUP($E150,'D-1 Off-Site Habitat Baseline'!$D$1:$AA$258,13,FALSE))))</f>
        <v/>
      </c>
      <c r="P150" s="184" t="str">
        <f>IFERROR(INDEX('G-1 All Habitats'!$AG$3:$AG$17,MATCH(Q150,'G-1 All Habitats'!$AF$3:$AF$17,0)),"")</f>
        <v/>
      </c>
      <c r="Q150" s="185" t="str">
        <f t="shared" si="25"/>
        <v/>
      </c>
      <c r="R150" s="186" t="str">
        <f t="shared" si="25"/>
        <v/>
      </c>
      <c r="S150" s="187" t="str">
        <f>IFERROR(INDEX('G-1 All Habitats'!$B$3:$B$134,MATCH(R150,'G-1 All Habitats'!$A$3:$A$134,0)),"")</f>
        <v/>
      </c>
      <c r="T150" s="370" t="str">
        <f t="shared" si="26"/>
        <v/>
      </c>
      <c r="U150" s="386" t="str">
        <f t="shared" si="27"/>
        <v/>
      </c>
      <c r="V150" s="385" t="str">
        <f t="shared" si="23"/>
        <v/>
      </c>
      <c r="W150" s="382" t="str">
        <f>IF(S150="","",VLOOKUP(S150,'G-1 All Habitats'!$B$2:$M$134,10,FALSE))</f>
        <v/>
      </c>
      <c r="X150" s="382" t="str">
        <f>IFERROR(VLOOKUP(W150,'G-1 All Habitats'!$V$3:$W$7,2,FALSE),"")</f>
        <v/>
      </c>
      <c r="Y150" s="165"/>
      <c r="Z150" s="386" t="str">
        <f>IFERROR(INDEX('G-8 Condition Look up'!$A$3:$H$135,MATCH(S150,'G-8 Condition Look up'!$A$3:$A$135,0),MATCH(Y150,'G-8 Condition Look up'!$A$3:$H$3,0)),"")</f>
        <v/>
      </c>
      <c r="AA150" s="114"/>
      <c r="AB150" s="401" t="str">
        <f>IF(AA150="","",IF(VLOOKUP(AA150,'G-3 Multipliers'!$L$3:$N$6,2,FALSE)=0,"Spatial Data Missing ⚠",VLOOKUP(AA150,'G-3 Multipliers'!$L$3:$N$6,2,FALSE)))</f>
        <v/>
      </c>
      <c r="AC150" s="386" t="str">
        <f>IF(AA150="","",IF(VLOOKUP(AA150,'G-3 Multipliers'!$L$3:$N$6,3,FALSE)=0,"Spatial Data Missing ⚠",VLOOKUP(AA150,'G-3 Multipliers'!$L$3:$N$6,3,FALSE)))</f>
        <v/>
      </c>
      <c r="AD150" s="398" t="str">
        <f t="shared" si="24"/>
        <v/>
      </c>
      <c r="AE150" s="165"/>
      <c r="AF150" s="165"/>
      <c r="AG150" s="382" t="str">
        <f t="shared" si="28"/>
        <v/>
      </c>
      <c r="AH150" s="404" t="str">
        <f t="shared" si="29"/>
        <v/>
      </c>
      <c r="AI150" s="387" t="str">
        <f>IF(AH150="Check Data ⚠","Check Data ⚠",IFERROR(VLOOKUP(AH150,'G-4 Temporal multipliers'!$A$4:$C$36,3,FALSE),""))</f>
        <v/>
      </c>
      <c r="AJ150" s="398" t="str">
        <f>IF(S150="","",VLOOKUP(S150,'G-3 Multipliers'!$A$2:$E$134,4,FALSE))</f>
        <v/>
      </c>
      <c r="AK150" s="382" t="str">
        <f t="shared" si="30"/>
        <v/>
      </c>
      <c r="AL150" s="382" t="str">
        <f t="shared" si="31"/>
        <v/>
      </c>
      <c r="AM150" s="386" t="str">
        <f>IFERROR(IF(F150="","",IF(AH150="Check Data ⚠","Check Data ⚠",VLOOKUP(AL150, 'G-3 Multipliers'!$P$2:$Q$6,2,FALSE))),"")</f>
        <v/>
      </c>
      <c r="AN150" s="516"/>
      <c r="AO150" s="417" t="str">
        <f>IF(AN150="","",IF(VLOOKUP(AN150,'G-3 Multipliers'!$S$3:$T$10,2,FALSE)=0,"Spatial Data Missing ⚠",VLOOKUP(AN150,'G-3 Multipliers'!$S$3:$T$10,2,FALSE)))</f>
        <v/>
      </c>
      <c r="AP150" s="376" t="str">
        <f t="shared" si="32"/>
        <v/>
      </c>
      <c r="AQ150" s="376" t="str">
        <f t="shared" si="33"/>
        <v/>
      </c>
      <c r="AR150" s="119"/>
      <c r="AS150" s="528"/>
      <c r="AT150" s="120"/>
      <c r="AU150" s="120"/>
    </row>
    <row r="151" spans="1:47">
      <c r="A151" s="30" t="str">
        <f>IF(E151="","",IF(ISNA(VLOOKUP($E151,'D-1 Off-Site Habitat Baseline'!$D$1:$O$258,2,FALSE)),"",(VLOOKUP($E151,'D-1 Off-Site Habitat Baseline'!$D$1:$O$258,2,FALSE))))</f>
        <v/>
      </c>
      <c r="B151" s="30" t="str">
        <f>IF(E151="","",IF(ISNA(VLOOKUP($E151,'D-1 Off-Site Habitat Baseline'!$D$1:$O$258,3,FALSE)),"",(VLOOKUP($E151,'D-1 Off-Site Habitat Baseline'!$D$1:$O$258,3,FALSE))))</f>
        <v/>
      </c>
      <c r="C151" s="30" t="str">
        <f>IFERROR(INDEX('G-8 Condition Look up'!$I$4:$I$135,MATCH(S151,'G-8 Condition Look up'!$A$4:$A$135,0)),"")</f>
        <v/>
      </c>
      <c r="E151" s="407" t="str">
        <f>'D-1 Off-Site Habitat Baseline'!AP150</f>
        <v/>
      </c>
      <c r="F151" s="382" t="str">
        <f>IF(E151="","",IF(ISNA(VLOOKUP($E151,'D-1 Off-Site Habitat Baseline'!$D$1:$O$258,4,FALSE)),"",(VLOOKUP($E151,'D-1 Off-Site Habitat Baseline'!$D$1:$O$258,4,FALSE))))</f>
        <v/>
      </c>
      <c r="G151" s="382" t="str">
        <f>IF(E151="","",IF(ISNA(VLOOKUP($E151,'D-1 Off-Site Habitat Baseline'!$D$1:$O$258,5,FALSE)),"",(VLOOKUP($E151,'D-1 Off-Site Habitat Baseline'!$D$1:$O$258,5,FALSE))))</f>
        <v/>
      </c>
      <c r="H151" s="382" t="str">
        <f>IF(E151="","",IF(ISNA(VLOOKUP($E151,'D-1 Off-Site Habitat Baseline'!$D$1:$O$258,6,FALSE)),"",(VLOOKUP($E151,'D-1 Off-Site Habitat Baseline'!$D$1:$O$258,6,FALSE))))</f>
        <v/>
      </c>
      <c r="I151" s="382" t="str">
        <f>IF(E151="","",IF(ISNA(VLOOKUP($E151,'D-1 Off-Site Habitat Baseline'!$D$1:$O$258,7,FALSE)),"",(VLOOKUP($E151,'D-1 Off-Site Habitat Baseline'!$D$1:$O$258,7,FALSE))))</f>
        <v/>
      </c>
      <c r="J151" s="382" t="str">
        <f>IF(E151="","",IF(ISNA(VLOOKUP($E151,'D-1 Off-Site Habitat Baseline'!$D$1:$O$258,8,FALSE)),"",(VLOOKUP($E151,'D-1 Off-Site Habitat Baseline'!$D$1:$O$258,8,FALSE))))</f>
        <v/>
      </c>
      <c r="K151" s="382" t="str">
        <f>IF(E151="","",IF(ISNA(VLOOKUP($E151,'D-1 Off-Site Habitat Baseline'!$D$1:$O$258,9,FALSE)),"",(VLOOKUP($E151,'D-1 Off-Site Habitat Baseline'!$D$1:$O$258,9,FALSE))))</f>
        <v/>
      </c>
      <c r="L151" s="382" t="str">
        <f>IF(E151="","",IF(ISNA(VLOOKUP($E151,'D-1 Off-Site Habitat Baseline'!$D$1:$O$258,11,FALSE)),"",(VLOOKUP($E151,'D-1 Off-Site Habitat Baseline'!$D$1:$O$258,11,FALSE))))</f>
        <v/>
      </c>
      <c r="M151" s="382" t="str">
        <f>IF(E151="","",IF(ISNA(VLOOKUP($E151,'D-1 Off-Site Habitat Baseline'!$D$1:$O$258,12,FALSE)),"",(VLOOKUP($E151,'D-1 Off-Site Habitat Baseline'!$D$1:$O$258,12,FALSE))))</f>
        <v/>
      </c>
      <c r="N151" s="382" t="str">
        <f>IF(E151="","",IF(ISNA(VLOOKUP($E151,'D-1 Off-Site Habitat Baseline'!$D$1:$AA$258,14,FALSE)),"",(VLOOKUP($E151,'D-1 Off-Site Habitat Baseline'!$D$1:$AA$258,14,FALSE))))</f>
        <v/>
      </c>
      <c r="O151" s="386" t="str">
        <f>IF(E151="","",IF(ISNA(VLOOKUP($E151,'D-1 Off-Site Habitat Baseline'!$D$1:$AA$258,13,FALSE)),"",(VLOOKUP($E151,'D-1 Off-Site Habitat Baseline'!$D$1:$AA$258,13,FALSE))))</f>
        <v/>
      </c>
      <c r="P151" s="184" t="str">
        <f>IFERROR(INDEX('G-1 All Habitats'!$AG$3:$AG$17,MATCH(Q151,'G-1 All Habitats'!$AF$3:$AF$17,0)),"")</f>
        <v/>
      </c>
      <c r="Q151" s="185" t="str">
        <f t="shared" si="25"/>
        <v/>
      </c>
      <c r="R151" s="186" t="str">
        <f t="shared" si="25"/>
        <v/>
      </c>
      <c r="S151" s="187" t="str">
        <f>IFERROR(INDEX('G-1 All Habitats'!$B$3:$B$134,MATCH(R151,'G-1 All Habitats'!$A$3:$A$134,0)),"")</f>
        <v/>
      </c>
      <c r="T151" s="370" t="str">
        <f t="shared" si="26"/>
        <v/>
      </c>
      <c r="U151" s="386" t="str">
        <f t="shared" si="27"/>
        <v/>
      </c>
      <c r="V151" s="385" t="str">
        <f t="shared" si="23"/>
        <v/>
      </c>
      <c r="W151" s="382" t="str">
        <f>IF(S151="","",VLOOKUP(S151,'G-1 All Habitats'!$B$2:$M$134,10,FALSE))</f>
        <v/>
      </c>
      <c r="X151" s="382" t="str">
        <f>IFERROR(VLOOKUP(W151,'G-1 All Habitats'!$V$3:$W$7,2,FALSE),"")</f>
        <v/>
      </c>
      <c r="Y151" s="165"/>
      <c r="Z151" s="386" t="str">
        <f>IFERROR(INDEX('G-8 Condition Look up'!$A$3:$H$135,MATCH(S151,'G-8 Condition Look up'!$A$3:$A$135,0),MATCH(Y151,'G-8 Condition Look up'!$A$3:$H$3,0)),"")</f>
        <v/>
      </c>
      <c r="AA151" s="114"/>
      <c r="AB151" s="401" t="str">
        <f>IF(AA151="","",IF(VLOOKUP(AA151,'G-3 Multipliers'!$L$3:$N$6,2,FALSE)=0,"Spatial Data Missing ⚠",VLOOKUP(AA151,'G-3 Multipliers'!$L$3:$N$6,2,FALSE)))</f>
        <v/>
      </c>
      <c r="AC151" s="386" t="str">
        <f>IF(AA151="","",IF(VLOOKUP(AA151,'G-3 Multipliers'!$L$3:$N$6,3,FALSE)=0,"Spatial Data Missing ⚠",VLOOKUP(AA151,'G-3 Multipliers'!$L$3:$N$6,3,FALSE)))</f>
        <v/>
      </c>
      <c r="AD151" s="398" t="str">
        <f t="shared" si="24"/>
        <v/>
      </c>
      <c r="AE151" s="165"/>
      <c r="AF151" s="165"/>
      <c r="AG151" s="382" t="str">
        <f t="shared" si="28"/>
        <v/>
      </c>
      <c r="AH151" s="404" t="str">
        <f t="shared" si="29"/>
        <v/>
      </c>
      <c r="AI151" s="387" t="str">
        <f>IF(AH151="Check Data ⚠","Check Data ⚠",IFERROR(VLOOKUP(AH151,'G-4 Temporal multipliers'!$A$4:$C$36,3,FALSE),""))</f>
        <v/>
      </c>
      <c r="AJ151" s="398" t="str">
        <f>IF(S151="","",VLOOKUP(S151,'G-3 Multipliers'!$A$2:$E$134,4,FALSE))</f>
        <v/>
      </c>
      <c r="AK151" s="382" t="str">
        <f t="shared" si="30"/>
        <v/>
      </c>
      <c r="AL151" s="382" t="str">
        <f t="shared" si="31"/>
        <v/>
      </c>
      <c r="AM151" s="386" t="str">
        <f>IFERROR(IF(F151="","",IF(AH151="Check Data ⚠","Check Data ⚠",VLOOKUP(AL151, 'G-3 Multipliers'!$P$2:$Q$6,2,FALSE))),"")</f>
        <v/>
      </c>
      <c r="AN151" s="516"/>
      <c r="AO151" s="417" t="str">
        <f>IF(AN151="","",IF(VLOOKUP(AN151,'G-3 Multipliers'!$S$3:$T$10,2,FALSE)=0,"Spatial Data Missing ⚠",VLOOKUP(AN151,'G-3 Multipliers'!$S$3:$T$10,2,FALSE)))</f>
        <v/>
      </c>
      <c r="AP151" s="376" t="str">
        <f t="shared" si="32"/>
        <v/>
      </c>
      <c r="AQ151" s="376" t="str">
        <f t="shared" si="33"/>
        <v/>
      </c>
      <c r="AR151" s="119"/>
      <c r="AS151" s="528"/>
      <c r="AT151" s="120"/>
      <c r="AU151" s="120"/>
    </row>
    <row r="152" spans="1:47">
      <c r="A152" s="30" t="str">
        <f>IF(E152="","",IF(ISNA(VLOOKUP($E152,'D-1 Off-Site Habitat Baseline'!$D$1:$O$258,2,FALSE)),"",(VLOOKUP($E152,'D-1 Off-Site Habitat Baseline'!$D$1:$O$258,2,FALSE))))</f>
        <v/>
      </c>
      <c r="B152" s="30" t="str">
        <f>IF(E152="","",IF(ISNA(VLOOKUP($E152,'D-1 Off-Site Habitat Baseline'!$D$1:$O$258,3,FALSE)),"",(VLOOKUP($E152,'D-1 Off-Site Habitat Baseline'!$D$1:$O$258,3,FALSE))))</f>
        <v/>
      </c>
      <c r="C152" s="30" t="str">
        <f>IFERROR(INDEX('G-8 Condition Look up'!$I$4:$I$135,MATCH(S152,'G-8 Condition Look up'!$A$4:$A$135,0)),"")</f>
        <v/>
      </c>
      <c r="E152" s="407" t="str">
        <f>'D-1 Off-Site Habitat Baseline'!AP151</f>
        <v/>
      </c>
      <c r="F152" s="382" t="str">
        <f>IF(E152="","",IF(ISNA(VLOOKUP($E152,'D-1 Off-Site Habitat Baseline'!$D$1:$O$258,4,FALSE)),"",(VLOOKUP($E152,'D-1 Off-Site Habitat Baseline'!$D$1:$O$258,4,FALSE))))</f>
        <v/>
      </c>
      <c r="G152" s="382" t="str">
        <f>IF(E152="","",IF(ISNA(VLOOKUP($E152,'D-1 Off-Site Habitat Baseline'!$D$1:$O$258,5,FALSE)),"",(VLOOKUP($E152,'D-1 Off-Site Habitat Baseline'!$D$1:$O$258,5,FALSE))))</f>
        <v/>
      </c>
      <c r="H152" s="382" t="str">
        <f>IF(E152="","",IF(ISNA(VLOOKUP($E152,'D-1 Off-Site Habitat Baseline'!$D$1:$O$258,6,FALSE)),"",(VLOOKUP($E152,'D-1 Off-Site Habitat Baseline'!$D$1:$O$258,6,FALSE))))</f>
        <v/>
      </c>
      <c r="I152" s="382" t="str">
        <f>IF(E152="","",IF(ISNA(VLOOKUP($E152,'D-1 Off-Site Habitat Baseline'!$D$1:$O$258,7,FALSE)),"",(VLOOKUP($E152,'D-1 Off-Site Habitat Baseline'!$D$1:$O$258,7,FALSE))))</f>
        <v/>
      </c>
      <c r="J152" s="382" t="str">
        <f>IF(E152="","",IF(ISNA(VLOOKUP($E152,'D-1 Off-Site Habitat Baseline'!$D$1:$O$258,8,FALSE)),"",(VLOOKUP($E152,'D-1 Off-Site Habitat Baseline'!$D$1:$O$258,8,FALSE))))</f>
        <v/>
      </c>
      <c r="K152" s="382" t="str">
        <f>IF(E152="","",IF(ISNA(VLOOKUP($E152,'D-1 Off-Site Habitat Baseline'!$D$1:$O$258,9,FALSE)),"",(VLOOKUP($E152,'D-1 Off-Site Habitat Baseline'!$D$1:$O$258,9,FALSE))))</f>
        <v/>
      </c>
      <c r="L152" s="382" t="str">
        <f>IF(E152="","",IF(ISNA(VLOOKUP($E152,'D-1 Off-Site Habitat Baseline'!$D$1:$O$258,11,FALSE)),"",(VLOOKUP($E152,'D-1 Off-Site Habitat Baseline'!$D$1:$O$258,11,FALSE))))</f>
        <v/>
      </c>
      <c r="M152" s="382" t="str">
        <f>IF(E152="","",IF(ISNA(VLOOKUP($E152,'D-1 Off-Site Habitat Baseline'!$D$1:$O$258,12,FALSE)),"",(VLOOKUP($E152,'D-1 Off-Site Habitat Baseline'!$D$1:$O$258,12,FALSE))))</f>
        <v/>
      </c>
      <c r="N152" s="382" t="str">
        <f>IF(E152="","",IF(ISNA(VLOOKUP($E152,'D-1 Off-Site Habitat Baseline'!$D$1:$AA$258,14,FALSE)),"",(VLOOKUP($E152,'D-1 Off-Site Habitat Baseline'!$D$1:$AA$258,14,FALSE))))</f>
        <v/>
      </c>
      <c r="O152" s="386" t="str">
        <f>IF(E152="","",IF(ISNA(VLOOKUP($E152,'D-1 Off-Site Habitat Baseline'!$D$1:$AA$258,13,FALSE)),"",(VLOOKUP($E152,'D-1 Off-Site Habitat Baseline'!$D$1:$AA$258,13,FALSE))))</f>
        <v/>
      </c>
      <c r="P152" s="184" t="str">
        <f>IFERROR(INDEX('G-1 All Habitats'!$AG$3:$AG$17,MATCH(Q152,'G-1 All Habitats'!$AF$3:$AF$17,0)),"")</f>
        <v/>
      </c>
      <c r="Q152" s="185" t="str">
        <f t="shared" si="25"/>
        <v/>
      </c>
      <c r="R152" s="186" t="str">
        <f t="shared" si="25"/>
        <v/>
      </c>
      <c r="S152" s="187" t="str">
        <f>IFERROR(INDEX('G-1 All Habitats'!$B$3:$B$134,MATCH(R152,'G-1 All Habitats'!$A$3:$A$134,0)),"")</f>
        <v/>
      </c>
      <c r="T152" s="370" t="str">
        <f t="shared" si="26"/>
        <v/>
      </c>
      <c r="U152" s="386" t="str">
        <f t="shared" si="27"/>
        <v/>
      </c>
      <c r="V152" s="385" t="str">
        <f t="shared" si="23"/>
        <v/>
      </c>
      <c r="W152" s="382" t="str">
        <f>IF(S152="","",VLOOKUP(S152,'G-1 All Habitats'!$B$2:$M$134,10,FALSE))</f>
        <v/>
      </c>
      <c r="X152" s="382" t="str">
        <f>IFERROR(VLOOKUP(W152,'G-1 All Habitats'!$V$3:$W$7,2,FALSE),"")</f>
        <v/>
      </c>
      <c r="Y152" s="165"/>
      <c r="Z152" s="386" t="str">
        <f>IFERROR(INDEX('G-8 Condition Look up'!$A$3:$H$135,MATCH(S152,'G-8 Condition Look up'!$A$3:$A$135,0),MATCH(Y152,'G-8 Condition Look up'!$A$3:$H$3,0)),"")</f>
        <v/>
      </c>
      <c r="AA152" s="114"/>
      <c r="AB152" s="401" t="str">
        <f>IF(AA152="","",IF(VLOOKUP(AA152,'G-3 Multipliers'!$L$3:$N$6,2,FALSE)=0,"Spatial Data Missing ⚠",VLOOKUP(AA152,'G-3 Multipliers'!$L$3:$N$6,2,FALSE)))</f>
        <v/>
      </c>
      <c r="AC152" s="386" t="str">
        <f>IF(AA152="","",IF(VLOOKUP(AA152,'G-3 Multipliers'!$L$3:$N$6,3,FALSE)=0,"Spatial Data Missing ⚠",VLOOKUP(AA152,'G-3 Multipliers'!$L$3:$N$6,3,FALSE)))</f>
        <v/>
      </c>
      <c r="AD152" s="398" t="str">
        <f t="shared" si="24"/>
        <v/>
      </c>
      <c r="AE152" s="165"/>
      <c r="AF152" s="165"/>
      <c r="AG152" s="382" t="str">
        <f t="shared" si="28"/>
        <v/>
      </c>
      <c r="AH152" s="404" t="str">
        <f t="shared" si="29"/>
        <v/>
      </c>
      <c r="AI152" s="387" t="str">
        <f>IF(AH152="Check Data ⚠","Check Data ⚠",IFERROR(VLOOKUP(AH152,'G-4 Temporal multipliers'!$A$4:$C$36,3,FALSE),""))</f>
        <v/>
      </c>
      <c r="AJ152" s="398" t="str">
        <f>IF(S152="","",VLOOKUP(S152,'G-3 Multipliers'!$A$2:$E$134,4,FALSE))</f>
        <v/>
      </c>
      <c r="AK152" s="382" t="str">
        <f t="shared" si="30"/>
        <v/>
      </c>
      <c r="AL152" s="382" t="str">
        <f t="shared" si="31"/>
        <v/>
      </c>
      <c r="AM152" s="386" t="str">
        <f>IFERROR(IF(F152="","",IF(AH152="Check Data ⚠","Check Data ⚠",VLOOKUP(AL152, 'G-3 Multipliers'!$P$2:$Q$6,2,FALSE))),"")</f>
        <v/>
      </c>
      <c r="AN152" s="516"/>
      <c r="AO152" s="417" t="str">
        <f>IF(AN152="","",IF(VLOOKUP(AN152,'G-3 Multipliers'!$S$3:$T$10,2,FALSE)=0,"Spatial Data Missing ⚠",VLOOKUP(AN152,'G-3 Multipliers'!$S$3:$T$10,2,FALSE)))</f>
        <v/>
      </c>
      <c r="AP152" s="376" t="str">
        <f t="shared" si="32"/>
        <v/>
      </c>
      <c r="AQ152" s="376" t="str">
        <f t="shared" si="33"/>
        <v/>
      </c>
      <c r="AR152" s="119"/>
      <c r="AS152" s="528"/>
      <c r="AT152" s="120"/>
      <c r="AU152" s="120"/>
    </row>
    <row r="153" spans="1:47">
      <c r="A153" s="30" t="str">
        <f>IF(E153="","",IF(ISNA(VLOOKUP($E153,'D-1 Off-Site Habitat Baseline'!$D$1:$O$258,2,FALSE)),"",(VLOOKUP($E153,'D-1 Off-Site Habitat Baseline'!$D$1:$O$258,2,FALSE))))</f>
        <v/>
      </c>
      <c r="B153" s="30" t="str">
        <f>IF(E153="","",IF(ISNA(VLOOKUP($E153,'D-1 Off-Site Habitat Baseline'!$D$1:$O$258,3,FALSE)),"",(VLOOKUP($E153,'D-1 Off-Site Habitat Baseline'!$D$1:$O$258,3,FALSE))))</f>
        <v/>
      </c>
      <c r="C153" s="30" t="str">
        <f>IFERROR(INDEX('G-8 Condition Look up'!$I$4:$I$135,MATCH(S153,'G-8 Condition Look up'!$A$4:$A$135,0)),"")</f>
        <v/>
      </c>
      <c r="E153" s="407" t="str">
        <f>'D-1 Off-Site Habitat Baseline'!AP152</f>
        <v/>
      </c>
      <c r="F153" s="382" t="str">
        <f>IF(E153="","",IF(ISNA(VLOOKUP($E153,'D-1 Off-Site Habitat Baseline'!$D$1:$O$258,4,FALSE)),"",(VLOOKUP($E153,'D-1 Off-Site Habitat Baseline'!$D$1:$O$258,4,FALSE))))</f>
        <v/>
      </c>
      <c r="G153" s="382" t="str">
        <f>IF(E153="","",IF(ISNA(VLOOKUP($E153,'D-1 Off-Site Habitat Baseline'!$D$1:$O$258,5,FALSE)),"",(VLOOKUP($E153,'D-1 Off-Site Habitat Baseline'!$D$1:$O$258,5,FALSE))))</f>
        <v/>
      </c>
      <c r="H153" s="382" t="str">
        <f>IF(E153="","",IF(ISNA(VLOOKUP($E153,'D-1 Off-Site Habitat Baseline'!$D$1:$O$258,6,FALSE)),"",(VLOOKUP($E153,'D-1 Off-Site Habitat Baseline'!$D$1:$O$258,6,FALSE))))</f>
        <v/>
      </c>
      <c r="I153" s="382" t="str">
        <f>IF(E153="","",IF(ISNA(VLOOKUP($E153,'D-1 Off-Site Habitat Baseline'!$D$1:$O$258,7,FALSE)),"",(VLOOKUP($E153,'D-1 Off-Site Habitat Baseline'!$D$1:$O$258,7,FALSE))))</f>
        <v/>
      </c>
      <c r="J153" s="382" t="str">
        <f>IF(E153="","",IF(ISNA(VLOOKUP($E153,'D-1 Off-Site Habitat Baseline'!$D$1:$O$258,8,FALSE)),"",(VLOOKUP($E153,'D-1 Off-Site Habitat Baseline'!$D$1:$O$258,8,FALSE))))</f>
        <v/>
      </c>
      <c r="K153" s="382" t="str">
        <f>IF(E153="","",IF(ISNA(VLOOKUP($E153,'D-1 Off-Site Habitat Baseline'!$D$1:$O$258,9,FALSE)),"",(VLOOKUP($E153,'D-1 Off-Site Habitat Baseline'!$D$1:$O$258,9,FALSE))))</f>
        <v/>
      </c>
      <c r="L153" s="382" t="str">
        <f>IF(E153="","",IF(ISNA(VLOOKUP($E153,'D-1 Off-Site Habitat Baseline'!$D$1:$O$258,11,FALSE)),"",(VLOOKUP($E153,'D-1 Off-Site Habitat Baseline'!$D$1:$O$258,11,FALSE))))</f>
        <v/>
      </c>
      <c r="M153" s="382" t="str">
        <f>IF(E153="","",IF(ISNA(VLOOKUP($E153,'D-1 Off-Site Habitat Baseline'!$D$1:$O$258,12,FALSE)),"",(VLOOKUP($E153,'D-1 Off-Site Habitat Baseline'!$D$1:$O$258,12,FALSE))))</f>
        <v/>
      </c>
      <c r="N153" s="382" t="str">
        <f>IF(E153="","",IF(ISNA(VLOOKUP($E153,'D-1 Off-Site Habitat Baseline'!$D$1:$AA$258,14,FALSE)),"",(VLOOKUP($E153,'D-1 Off-Site Habitat Baseline'!$D$1:$AA$258,14,FALSE))))</f>
        <v/>
      </c>
      <c r="O153" s="386" t="str">
        <f>IF(E153="","",IF(ISNA(VLOOKUP($E153,'D-1 Off-Site Habitat Baseline'!$D$1:$AA$258,13,FALSE)),"",(VLOOKUP($E153,'D-1 Off-Site Habitat Baseline'!$D$1:$AA$258,13,FALSE))))</f>
        <v/>
      </c>
      <c r="P153" s="184" t="str">
        <f>IFERROR(INDEX('G-1 All Habitats'!$AG$3:$AG$17,MATCH(Q153,'G-1 All Habitats'!$AF$3:$AF$17,0)),"")</f>
        <v/>
      </c>
      <c r="Q153" s="185" t="str">
        <f t="shared" si="25"/>
        <v/>
      </c>
      <c r="R153" s="186" t="str">
        <f t="shared" si="25"/>
        <v/>
      </c>
      <c r="S153" s="187" t="str">
        <f>IFERROR(INDEX('G-1 All Habitats'!$B$3:$B$134,MATCH(R153,'G-1 All Habitats'!$A$3:$A$134,0)),"")</f>
        <v/>
      </c>
      <c r="T153" s="370" t="str">
        <f t="shared" si="26"/>
        <v/>
      </c>
      <c r="U153" s="386" t="str">
        <f t="shared" si="27"/>
        <v/>
      </c>
      <c r="V153" s="385" t="str">
        <f t="shared" si="23"/>
        <v/>
      </c>
      <c r="W153" s="382" t="str">
        <f>IF(S153="","",VLOOKUP(S153,'G-1 All Habitats'!$B$2:$M$134,10,FALSE))</f>
        <v/>
      </c>
      <c r="X153" s="382" t="str">
        <f>IFERROR(VLOOKUP(W153,'G-1 All Habitats'!$V$3:$W$7,2,FALSE),"")</f>
        <v/>
      </c>
      <c r="Y153" s="165"/>
      <c r="Z153" s="386" t="str">
        <f>IFERROR(INDEX('G-8 Condition Look up'!$A$3:$H$135,MATCH(S153,'G-8 Condition Look up'!$A$3:$A$135,0),MATCH(Y153,'G-8 Condition Look up'!$A$3:$H$3,0)),"")</f>
        <v/>
      </c>
      <c r="AA153" s="114"/>
      <c r="AB153" s="401" t="str">
        <f>IF(AA153="","",IF(VLOOKUP(AA153,'G-3 Multipliers'!$L$3:$N$6,2,FALSE)=0,"Spatial Data Missing ⚠",VLOOKUP(AA153,'G-3 Multipliers'!$L$3:$N$6,2,FALSE)))</f>
        <v/>
      </c>
      <c r="AC153" s="386" t="str">
        <f>IF(AA153="","",IF(VLOOKUP(AA153,'G-3 Multipliers'!$L$3:$N$6,3,FALSE)=0,"Spatial Data Missing ⚠",VLOOKUP(AA153,'G-3 Multipliers'!$L$3:$N$6,3,FALSE)))</f>
        <v/>
      </c>
      <c r="AD153" s="398" t="str">
        <f t="shared" si="24"/>
        <v/>
      </c>
      <c r="AE153" s="165"/>
      <c r="AF153" s="165"/>
      <c r="AG153" s="382" t="str">
        <f t="shared" si="28"/>
        <v/>
      </c>
      <c r="AH153" s="404" t="str">
        <f t="shared" si="29"/>
        <v/>
      </c>
      <c r="AI153" s="387" t="str">
        <f>IF(AH153="Check Data ⚠","Check Data ⚠",IFERROR(VLOOKUP(AH153,'G-4 Temporal multipliers'!$A$4:$C$36,3,FALSE),""))</f>
        <v/>
      </c>
      <c r="AJ153" s="398" t="str">
        <f>IF(S153="","",VLOOKUP(S153,'G-3 Multipliers'!$A$2:$E$134,4,FALSE))</f>
        <v/>
      </c>
      <c r="AK153" s="382" t="str">
        <f t="shared" si="30"/>
        <v/>
      </c>
      <c r="AL153" s="382" t="str">
        <f t="shared" si="31"/>
        <v/>
      </c>
      <c r="AM153" s="386" t="str">
        <f>IFERROR(IF(F153="","",IF(AH153="Check Data ⚠","Check Data ⚠",VLOOKUP(AL153, 'G-3 Multipliers'!$P$2:$Q$6,2,FALSE))),"")</f>
        <v/>
      </c>
      <c r="AN153" s="516"/>
      <c r="AO153" s="417" t="str">
        <f>IF(AN153="","",IF(VLOOKUP(AN153,'G-3 Multipliers'!$S$3:$T$10,2,FALSE)=0,"Spatial Data Missing ⚠",VLOOKUP(AN153,'G-3 Multipliers'!$S$3:$T$10,2,FALSE)))</f>
        <v/>
      </c>
      <c r="AP153" s="376" t="str">
        <f t="shared" si="32"/>
        <v/>
      </c>
      <c r="AQ153" s="376" t="str">
        <f t="shared" si="33"/>
        <v/>
      </c>
      <c r="AR153" s="119"/>
      <c r="AS153" s="528"/>
      <c r="AT153" s="120"/>
      <c r="AU153" s="120"/>
    </row>
    <row r="154" spans="1:47">
      <c r="A154" s="30" t="str">
        <f>IF(E154="","",IF(ISNA(VLOOKUP($E154,'D-1 Off-Site Habitat Baseline'!$D$1:$O$258,2,FALSE)),"",(VLOOKUP($E154,'D-1 Off-Site Habitat Baseline'!$D$1:$O$258,2,FALSE))))</f>
        <v/>
      </c>
      <c r="B154" s="30" t="str">
        <f>IF(E154="","",IF(ISNA(VLOOKUP($E154,'D-1 Off-Site Habitat Baseline'!$D$1:$O$258,3,FALSE)),"",(VLOOKUP($E154,'D-1 Off-Site Habitat Baseline'!$D$1:$O$258,3,FALSE))))</f>
        <v/>
      </c>
      <c r="C154" s="30" t="str">
        <f>IFERROR(INDEX('G-8 Condition Look up'!$I$4:$I$135,MATCH(S154,'G-8 Condition Look up'!$A$4:$A$135,0)),"")</f>
        <v/>
      </c>
      <c r="E154" s="407" t="str">
        <f>'D-1 Off-Site Habitat Baseline'!AP153</f>
        <v/>
      </c>
      <c r="F154" s="382" t="str">
        <f>IF(E154="","",IF(ISNA(VLOOKUP($E154,'D-1 Off-Site Habitat Baseline'!$D$1:$O$258,4,FALSE)),"",(VLOOKUP($E154,'D-1 Off-Site Habitat Baseline'!$D$1:$O$258,4,FALSE))))</f>
        <v/>
      </c>
      <c r="G154" s="382" t="str">
        <f>IF(E154="","",IF(ISNA(VLOOKUP($E154,'D-1 Off-Site Habitat Baseline'!$D$1:$O$258,5,FALSE)),"",(VLOOKUP($E154,'D-1 Off-Site Habitat Baseline'!$D$1:$O$258,5,FALSE))))</f>
        <v/>
      </c>
      <c r="H154" s="382" t="str">
        <f>IF(E154="","",IF(ISNA(VLOOKUP($E154,'D-1 Off-Site Habitat Baseline'!$D$1:$O$258,6,FALSE)),"",(VLOOKUP($E154,'D-1 Off-Site Habitat Baseline'!$D$1:$O$258,6,FALSE))))</f>
        <v/>
      </c>
      <c r="I154" s="382" t="str">
        <f>IF(E154="","",IF(ISNA(VLOOKUP($E154,'D-1 Off-Site Habitat Baseline'!$D$1:$O$258,7,FALSE)),"",(VLOOKUP($E154,'D-1 Off-Site Habitat Baseline'!$D$1:$O$258,7,FALSE))))</f>
        <v/>
      </c>
      <c r="J154" s="382" t="str">
        <f>IF(E154="","",IF(ISNA(VLOOKUP($E154,'D-1 Off-Site Habitat Baseline'!$D$1:$O$258,8,FALSE)),"",(VLOOKUP($E154,'D-1 Off-Site Habitat Baseline'!$D$1:$O$258,8,FALSE))))</f>
        <v/>
      </c>
      <c r="K154" s="382" t="str">
        <f>IF(E154="","",IF(ISNA(VLOOKUP($E154,'D-1 Off-Site Habitat Baseline'!$D$1:$O$258,9,FALSE)),"",(VLOOKUP($E154,'D-1 Off-Site Habitat Baseline'!$D$1:$O$258,9,FALSE))))</f>
        <v/>
      </c>
      <c r="L154" s="382" t="str">
        <f>IF(E154="","",IF(ISNA(VLOOKUP($E154,'D-1 Off-Site Habitat Baseline'!$D$1:$O$258,11,FALSE)),"",(VLOOKUP($E154,'D-1 Off-Site Habitat Baseline'!$D$1:$O$258,11,FALSE))))</f>
        <v/>
      </c>
      <c r="M154" s="382" t="str">
        <f>IF(E154="","",IF(ISNA(VLOOKUP($E154,'D-1 Off-Site Habitat Baseline'!$D$1:$O$258,12,FALSE)),"",(VLOOKUP($E154,'D-1 Off-Site Habitat Baseline'!$D$1:$O$258,12,FALSE))))</f>
        <v/>
      </c>
      <c r="N154" s="382" t="str">
        <f>IF(E154="","",IF(ISNA(VLOOKUP($E154,'D-1 Off-Site Habitat Baseline'!$D$1:$AA$258,14,FALSE)),"",(VLOOKUP($E154,'D-1 Off-Site Habitat Baseline'!$D$1:$AA$258,14,FALSE))))</f>
        <v/>
      </c>
      <c r="O154" s="386" t="str">
        <f>IF(E154="","",IF(ISNA(VLOOKUP($E154,'D-1 Off-Site Habitat Baseline'!$D$1:$AA$258,13,FALSE)),"",(VLOOKUP($E154,'D-1 Off-Site Habitat Baseline'!$D$1:$AA$258,13,FALSE))))</f>
        <v/>
      </c>
      <c r="P154" s="184" t="str">
        <f>IFERROR(INDEX('G-1 All Habitats'!$AG$3:$AG$17,MATCH(Q154,'G-1 All Habitats'!$AF$3:$AF$17,0)),"")</f>
        <v/>
      </c>
      <c r="Q154" s="185" t="str">
        <f t="shared" si="25"/>
        <v/>
      </c>
      <c r="R154" s="186" t="str">
        <f t="shared" si="25"/>
        <v/>
      </c>
      <c r="S154" s="187" t="str">
        <f>IFERROR(INDEX('G-1 All Habitats'!$B$3:$B$134,MATCH(R154,'G-1 All Habitats'!$A$3:$A$134,0)),"")</f>
        <v/>
      </c>
      <c r="T154" s="370" t="str">
        <f t="shared" si="26"/>
        <v/>
      </c>
      <c r="U154" s="386" t="str">
        <f t="shared" si="27"/>
        <v/>
      </c>
      <c r="V154" s="385" t="str">
        <f t="shared" si="23"/>
        <v/>
      </c>
      <c r="W154" s="382" t="str">
        <f>IF(S154="","",VLOOKUP(S154,'G-1 All Habitats'!$B$2:$M$134,10,FALSE))</f>
        <v/>
      </c>
      <c r="X154" s="382" t="str">
        <f>IFERROR(VLOOKUP(W154,'G-1 All Habitats'!$V$3:$W$7,2,FALSE),"")</f>
        <v/>
      </c>
      <c r="Y154" s="165"/>
      <c r="Z154" s="386" t="str">
        <f>IFERROR(INDEX('G-8 Condition Look up'!$A$3:$H$135,MATCH(S154,'G-8 Condition Look up'!$A$3:$A$135,0),MATCH(Y154,'G-8 Condition Look up'!$A$3:$H$3,0)),"")</f>
        <v/>
      </c>
      <c r="AA154" s="114"/>
      <c r="AB154" s="401" t="str">
        <f>IF(AA154="","",IF(VLOOKUP(AA154,'G-3 Multipliers'!$L$3:$N$6,2,FALSE)=0,"Spatial Data Missing ⚠",VLOOKUP(AA154,'G-3 Multipliers'!$L$3:$N$6,2,FALSE)))</f>
        <v/>
      </c>
      <c r="AC154" s="386" t="str">
        <f>IF(AA154="","",IF(VLOOKUP(AA154,'G-3 Multipliers'!$L$3:$N$6,3,FALSE)=0,"Spatial Data Missing ⚠",VLOOKUP(AA154,'G-3 Multipliers'!$L$3:$N$6,3,FALSE)))</f>
        <v/>
      </c>
      <c r="AD154" s="398" t="str">
        <f t="shared" si="24"/>
        <v/>
      </c>
      <c r="AE154" s="165"/>
      <c r="AF154" s="165"/>
      <c r="AG154" s="382" t="str">
        <f t="shared" si="28"/>
        <v/>
      </c>
      <c r="AH154" s="404" t="str">
        <f t="shared" si="29"/>
        <v/>
      </c>
      <c r="AI154" s="387" t="str">
        <f>IF(AH154="Check Data ⚠","Check Data ⚠",IFERROR(VLOOKUP(AH154,'G-4 Temporal multipliers'!$A$4:$C$36,3,FALSE),""))</f>
        <v/>
      </c>
      <c r="AJ154" s="398" t="str">
        <f>IF(S154="","",VLOOKUP(S154,'G-3 Multipliers'!$A$2:$E$134,4,FALSE))</f>
        <v/>
      </c>
      <c r="AK154" s="382" t="str">
        <f t="shared" si="30"/>
        <v/>
      </c>
      <c r="AL154" s="382" t="str">
        <f t="shared" si="31"/>
        <v/>
      </c>
      <c r="AM154" s="386" t="str">
        <f>IFERROR(IF(F154="","",IF(AH154="Check Data ⚠","Check Data ⚠",VLOOKUP(AL154, 'G-3 Multipliers'!$P$2:$Q$6,2,FALSE))),"")</f>
        <v/>
      </c>
      <c r="AN154" s="516"/>
      <c r="AO154" s="417" t="str">
        <f>IF(AN154="","",IF(VLOOKUP(AN154,'G-3 Multipliers'!$S$3:$T$10,2,FALSE)=0,"Spatial Data Missing ⚠",VLOOKUP(AN154,'G-3 Multipliers'!$S$3:$T$10,2,FALSE)))</f>
        <v/>
      </c>
      <c r="AP154" s="376" t="str">
        <f t="shared" si="32"/>
        <v/>
      </c>
      <c r="AQ154" s="376" t="str">
        <f t="shared" si="33"/>
        <v/>
      </c>
      <c r="AR154" s="119"/>
      <c r="AS154" s="528"/>
      <c r="AT154" s="120"/>
      <c r="AU154" s="120"/>
    </row>
    <row r="155" spans="1:47">
      <c r="A155" s="30" t="str">
        <f>IF(E155="","",IF(ISNA(VLOOKUP($E155,'D-1 Off-Site Habitat Baseline'!$D$1:$O$258,2,FALSE)),"",(VLOOKUP($E155,'D-1 Off-Site Habitat Baseline'!$D$1:$O$258,2,FALSE))))</f>
        <v/>
      </c>
      <c r="B155" s="30" t="str">
        <f>IF(E155="","",IF(ISNA(VLOOKUP($E155,'D-1 Off-Site Habitat Baseline'!$D$1:$O$258,3,FALSE)),"",(VLOOKUP($E155,'D-1 Off-Site Habitat Baseline'!$D$1:$O$258,3,FALSE))))</f>
        <v/>
      </c>
      <c r="C155" s="30" t="str">
        <f>IFERROR(INDEX('G-8 Condition Look up'!$I$4:$I$135,MATCH(S155,'G-8 Condition Look up'!$A$4:$A$135,0)),"")</f>
        <v/>
      </c>
      <c r="E155" s="407" t="str">
        <f>'D-1 Off-Site Habitat Baseline'!AP154</f>
        <v/>
      </c>
      <c r="F155" s="382" t="str">
        <f>IF(E155="","",IF(ISNA(VLOOKUP($E155,'D-1 Off-Site Habitat Baseline'!$D$1:$O$258,4,FALSE)),"",(VLOOKUP($E155,'D-1 Off-Site Habitat Baseline'!$D$1:$O$258,4,FALSE))))</f>
        <v/>
      </c>
      <c r="G155" s="382" t="str">
        <f>IF(E155="","",IF(ISNA(VLOOKUP($E155,'D-1 Off-Site Habitat Baseline'!$D$1:$O$258,5,FALSE)),"",(VLOOKUP($E155,'D-1 Off-Site Habitat Baseline'!$D$1:$O$258,5,FALSE))))</f>
        <v/>
      </c>
      <c r="H155" s="382" t="str">
        <f>IF(E155="","",IF(ISNA(VLOOKUP($E155,'D-1 Off-Site Habitat Baseline'!$D$1:$O$258,6,FALSE)),"",(VLOOKUP($E155,'D-1 Off-Site Habitat Baseline'!$D$1:$O$258,6,FALSE))))</f>
        <v/>
      </c>
      <c r="I155" s="382" t="str">
        <f>IF(E155="","",IF(ISNA(VLOOKUP($E155,'D-1 Off-Site Habitat Baseline'!$D$1:$O$258,7,FALSE)),"",(VLOOKUP($E155,'D-1 Off-Site Habitat Baseline'!$D$1:$O$258,7,FALSE))))</f>
        <v/>
      </c>
      <c r="J155" s="382" t="str">
        <f>IF(E155="","",IF(ISNA(VLOOKUP($E155,'D-1 Off-Site Habitat Baseline'!$D$1:$O$258,8,FALSE)),"",(VLOOKUP($E155,'D-1 Off-Site Habitat Baseline'!$D$1:$O$258,8,FALSE))))</f>
        <v/>
      </c>
      <c r="K155" s="382" t="str">
        <f>IF(E155="","",IF(ISNA(VLOOKUP($E155,'D-1 Off-Site Habitat Baseline'!$D$1:$O$258,9,FALSE)),"",(VLOOKUP($E155,'D-1 Off-Site Habitat Baseline'!$D$1:$O$258,9,FALSE))))</f>
        <v/>
      </c>
      <c r="L155" s="382" t="str">
        <f>IF(E155="","",IF(ISNA(VLOOKUP($E155,'D-1 Off-Site Habitat Baseline'!$D$1:$O$258,11,FALSE)),"",(VLOOKUP($E155,'D-1 Off-Site Habitat Baseline'!$D$1:$O$258,11,FALSE))))</f>
        <v/>
      </c>
      <c r="M155" s="382" t="str">
        <f>IF(E155="","",IF(ISNA(VLOOKUP($E155,'D-1 Off-Site Habitat Baseline'!$D$1:$O$258,12,FALSE)),"",(VLOOKUP($E155,'D-1 Off-Site Habitat Baseline'!$D$1:$O$258,12,FALSE))))</f>
        <v/>
      </c>
      <c r="N155" s="382" t="str">
        <f>IF(E155="","",IF(ISNA(VLOOKUP($E155,'D-1 Off-Site Habitat Baseline'!$D$1:$AA$258,14,FALSE)),"",(VLOOKUP($E155,'D-1 Off-Site Habitat Baseline'!$D$1:$AA$258,14,FALSE))))</f>
        <v/>
      </c>
      <c r="O155" s="386" t="str">
        <f>IF(E155="","",IF(ISNA(VLOOKUP($E155,'D-1 Off-Site Habitat Baseline'!$D$1:$AA$258,13,FALSE)),"",(VLOOKUP($E155,'D-1 Off-Site Habitat Baseline'!$D$1:$AA$258,13,FALSE))))</f>
        <v/>
      </c>
      <c r="P155" s="184" t="str">
        <f>IFERROR(INDEX('G-1 All Habitats'!$AG$3:$AG$17,MATCH(Q155,'G-1 All Habitats'!$AF$3:$AF$17,0)),"")</f>
        <v/>
      </c>
      <c r="Q155" s="185" t="str">
        <f t="shared" si="25"/>
        <v/>
      </c>
      <c r="R155" s="186" t="str">
        <f t="shared" si="25"/>
        <v/>
      </c>
      <c r="S155" s="187" t="str">
        <f>IFERROR(INDEX('G-1 All Habitats'!$B$3:$B$134,MATCH(R155,'G-1 All Habitats'!$A$3:$A$134,0)),"")</f>
        <v/>
      </c>
      <c r="T155" s="370" t="str">
        <f t="shared" si="26"/>
        <v/>
      </c>
      <c r="U155" s="386" t="str">
        <f t="shared" si="27"/>
        <v/>
      </c>
      <c r="V155" s="385" t="str">
        <f t="shared" si="23"/>
        <v/>
      </c>
      <c r="W155" s="382" t="str">
        <f>IF(S155="","",VLOOKUP(S155,'G-1 All Habitats'!$B$2:$M$134,10,FALSE))</f>
        <v/>
      </c>
      <c r="X155" s="382" t="str">
        <f>IFERROR(VLOOKUP(W155,'G-1 All Habitats'!$V$3:$W$7,2,FALSE),"")</f>
        <v/>
      </c>
      <c r="Y155" s="165"/>
      <c r="Z155" s="386" t="str">
        <f>IFERROR(INDEX('G-8 Condition Look up'!$A$3:$H$135,MATCH(S155,'G-8 Condition Look up'!$A$3:$A$135,0),MATCH(Y155,'G-8 Condition Look up'!$A$3:$H$3,0)),"")</f>
        <v/>
      </c>
      <c r="AA155" s="114"/>
      <c r="AB155" s="401" t="str">
        <f>IF(AA155="","",IF(VLOOKUP(AA155,'G-3 Multipliers'!$L$3:$N$6,2,FALSE)=0,"Spatial Data Missing ⚠",VLOOKUP(AA155,'G-3 Multipliers'!$L$3:$N$6,2,FALSE)))</f>
        <v/>
      </c>
      <c r="AC155" s="386" t="str">
        <f>IF(AA155="","",IF(VLOOKUP(AA155,'G-3 Multipliers'!$L$3:$N$6,3,FALSE)=0,"Spatial Data Missing ⚠",VLOOKUP(AA155,'G-3 Multipliers'!$L$3:$N$6,3,FALSE)))</f>
        <v/>
      </c>
      <c r="AD155" s="398" t="str">
        <f t="shared" si="24"/>
        <v/>
      </c>
      <c r="AE155" s="165"/>
      <c r="AF155" s="165"/>
      <c r="AG155" s="382" t="str">
        <f t="shared" si="28"/>
        <v/>
      </c>
      <c r="AH155" s="404" t="str">
        <f t="shared" si="29"/>
        <v/>
      </c>
      <c r="AI155" s="387" t="str">
        <f>IF(AH155="Check Data ⚠","Check Data ⚠",IFERROR(VLOOKUP(AH155,'G-4 Temporal multipliers'!$A$4:$C$36,3,FALSE),""))</f>
        <v/>
      </c>
      <c r="AJ155" s="398" t="str">
        <f>IF(S155="","",VLOOKUP(S155,'G-3 Multipliers'!$A$2:$E$134,4,FALSE))</f>
        <v/>
      </c>
      <c r="AK155" s="382" t="str">
        <f t="shared" si="30"/>
        <v/>
      </c>
      <c r="AL155" s="382" t="str">
        <f t="shared" si="31"/>
        <v/>
      </c>
      <c r="AM155" s="386" t="str">
        <f>IFERROR(IF(F155="","",IF(AH155="Check Data ⚠","Check Data ⚠",VLOOKUP(AL155, 'G-3 Multipliers'!$P$2:$Q$6,2,FALSE))),"")</f>
        <v/>
      </c>
      <c r="AN155" s="516"/>
      <c r="AO155" s="417" t="str">
        <f>IF(AN155="","",IF(VLOOKUP(AN155,'G-3 Multipliers'!$S$3:$T$10,2,FALSE)=0,"Spatial Data Missing ⚠",VLOOKUP(AN155,'G-3 Multipliers'!$S$3:$T$10,2,FALSE)))</f>
        <v/>
      </c>
      <c r="AP155" s="376" t="str">
        <f t="shared" si="32"/>
        <v/>
      </c>
      <c r="AQ155" s="376" t="str">
        <f t="shared" si="33"/>
        <v/>
      </c>
      <c r="AR155" s="119"/>
      <c r="AS155" s="528"/>
      <c r="AT155" s="120"/>
      <c r="AU155" s="120"/>
    </row>
    <row r="156" spans="1:47">
      <c r="A156" s="30" t="str">
        <f>IF(E156="","",IF(ISNA(VLOOKUP($E156,'D-1 Off-Site Habitat Baseline'!$D$1:$O$258,2,FALSE)),"",(VLOOKUP($E156,'D-1 Off-Site Habitat Baseline'!$D$1:$O$258,2,FALSE))))</f>
        <v/>
      </c>
      <c r="B156" s="30" t="str">
        <f>IF(E156="","",IF(ISNA(VLOOKUP($E156,'D-1 Off-Site Habitat Baseline'!$D$1:$O$258,3,FALSE)),"",(VLOOKUP($E156,'D-1 Off-Site Habitat Baseline'!$D$1:$O$258,3,FALSE))))</f>
        <v/>
      </c>
      <c r="C156" s="30" t="str">
        <f>IFERROR(INDEX('G-8 Condition Look up'!$I$4:$I$135,MATCH(S156,'G-8 Condition Look up'!$A$4:$A$135,0)),"")</f>
        <v/>
      </c>
      <c r="E156" s="407" t="str">
        <f>'D-1 Off-Site Habitat Baseline'!AP155</f>
        <v/>
      </c>
      <c r="F156" s="382" t="str">
        <f>IF(E156="","",IF(ISNA(VLOOKUP($E156,'D-1 Off-Site Habitat Baseline'!$D$1:$O$258,4,FALSE)),"",(VLOOKUP($E156,'D-1 Off-Site Habitat Baseline'!$D$1:$O$258,4,FALSE))))</f>
        <v/>
      </c>
      <c r="G156" s="382" t="str">
        <f>IF(E156="","",IF(ISNA(VLOOKUP($E156,'D-1 Off-Site Habitat Baseline'!$D$1:$O$258,5,FALSE)),"",(VLOOKUP($E156,'D-1 Off-Site Habitat Baseline'!$D$1:$O$258,5,FALSE))))</f>
        <v/>
      </c>
      <c r="H156" s="382" t="str">
        <f>IF(E156="","",IF(ISNA(VLOOKUP($E156,'D-1 Off-Site Habitat Baseline'!$D$1:$O$258,6,FALSE)),"",(VLOOKUP($E156,'D-1 Off-Site Habitat Baseline'!$D$1:$O$258,6,FALSE))))</f>
        <v/>
      </c>
      <c r="I156" s="382" t="str">
        <f>IF(E156="","",IF(ISNA(VLOOKUP($E156,'D-1 Off-Site Habitat Baseline'!$D$1:$O$258,7,FALSE)),"",(VLOOKUP($E156,'D-1 Off-Site Habitat Baseline'!$D$1:$O$258,7,FALSE))))</f>
        <v/>
      </c>
      <c r="J156" s="382" t="str">
        <f>IF(E156="","",IF(ISNA(VLOOKUP($E156,'D-1 Off-Site Habitat Baseline'!$D$1:$O$258,8,FALSE)),"",(VLOOKUP($E156,'D-1 Off-Site Habitat Baseline'!$D$1:$O$258,8,FALSE))))</f>
        <v/>
      </c>
      <c r="K156" s="382" t="str">
        <f>IF(E156="","",IF(ISNA(VLOOKUP($E156,'D-1 Off-Site Habitat Baseline'!$D$1:$O$258,9,FALSE)),"",(VLOOKUP($E156,'D-1 Off-Site Habitat Baseline'!$D$1:$O$258,9,FALSE))))</f>
        <v/>
      </c>
      <c r="L156" s="382" t="str">
        <f>IF(E156="","",IF(ISNA(VLOOKUP($E156,'D-1 Off-Site Habitat Baseline'!$D$1:$O$258,11,FALSE)),"",(VLOOKUP($E156,'D-1 Off-Site Habitat Baseline'!$D$1:$O$258,11,FALSE))))</f>
        <v/>
      </c>
      <c r="M156" s="382" t="str">
        <f>IF(E156="","",IF(ISNA(VLOOKUP($E156,'D-1 Off-Site Habitat Baseline'!$D$1:$O$258,12,FALSE)),"",(VLOOKUP($E156,'D-1 Off-Site Habitat Baseline'!$D$1:$O$258,12,FALSE))))</f>
        <v/>
      </c>
      <c r="N156" s="382" t="str">
        <f>IF(E156="","",IF(ISNA(VLOOKUP($E156,'D-1 Off-Site Habitat Baseline'!$D$1:$AA$258,14,FALSE)),"",(VLOOKUP($E156,'D-1 Off-Site Habitat Baseline'!$D$1:$AA$258,14,FALSE))))</f>
        <v/>
      </c>
      <c r="O156" s="386" t="str">
        <f>IF(E156="","",IF(ISNA(VLOOKUP($E156,'D-1 Off-Site Habitat Baseline'!$D$1:$AA$258,13,FALSE)),"",(VLOOKUP($E156,'D-1 Off-Site Habitat Baseline'!$D$1:$AA$258,13,FALSE))))</f>
        <v/>
      </c>
      <c r="P156" s="184" t="str">
        <f>IFERROR(INDEX('G-1 All Habitats'!$AG$3:$AG$17,MATCH(Q156,'G-1 All Habitats'!$AF$3:$AF$17,0)),"")</f>
        <v/>
      </c>
      <c r="Q156" s="185" t="str">
        <f t="shared" si="25"/>
        <v/>
      </c>
      <c r="R156" s="186" t="str">
        <f t="shared" si="25"/>
        <v/>
      </c>
      <c r="S156" s="187" t="str">
        <f>IFERROR(INDEX('G-1 All Habitats'!$B$3:$B$134,MATCH(R156,'G-1 All Habitats'!$A$3:$A$134,0)),"")</f>
        <v/>
      </c>
      <c r="T156" s="370" t="str">
        <f t="shared" si="26"/>
        <v/>
      </c>
      <c r="U156" s="386" t="str">
        <f t="shared" si="27"/>
        <v/>
      </c>
      <c r="V156" s="385" t="str">
        <f t="shared" si="23"/>
        <v/>
      </c>
      <c r="W156" s="382" t="str">
        <f>IF(S156="","",VLOOKUP(S156,'G-1 All Habitats'!$B$2:$M$134,10,FALSE))</f>
        <v/>
      </c>
      <c r="X156" s="382" t="str">
        <f>IFERROR(VLOOKUP(W156,'G-1 All Habitats'!$V$3:$W$7,2,FALSE),"")</f>
        <v/>
      </c>
      <c r="Y156" s="165"/>
      <c r="Z156" s="386" t="str">
        <f>IFERROR(INDEX('G-8 Condition Look up'!$A$3:$H$135,MATCH(S156,'G-8 Condition Look up'!$A$3:$A$135,0),MATCH(Y156,'G-8 Condition Look up'!$A$3:$H$3,0)),"")</f>
        <v/>
      </c>
      <c r="AA156" s="114"/>
      <c r="AB156" s="401" t="str">
        <f>IF(AA156="","",IF(VLOOKUP(AA156,'G-3 Multipliers'!$L$3:$N$6,2,FALSE)=0,"Spatial Data Missing ⚠",VLOOKUP(AA156,'G-3 Multipliers'!$L$3:$N$6,2,FALSE)))</f>
        <v/>
      </c>
      <c r="AC156" s="386" t="str">
        <f>IF(AA156="","",IF(VLOOKUP(AA156,'G-3 Multipliers'!$L$3:$N$6,3,FALSE)=0,"Spatial Data Missing ⚠",VLOOKUP(AA156,'G-3 Multipliers'!$L$3:$N$6,3,FALSE)))</f>
        <v/>
      </c>
      <c r="AD156" s="398" t="str">
        <f t="shared" si="24"/>
        <v/>
      </c>
      <c r="AE156" s="165"/>
      <c r="AF156" s="165"/>
      <c r="AG156" s="382" t="str">
        <f t="shared" si="28"/>
        <v/>
      </c>
      <c r="AH156" s="404" t="str">
        <f t="shared" si="29"/>
        <v/>
      </c>
      <c r="AI156" s="387" t="str">
        <f>IF(AH156="Check Data ⚠","Check Data ⚠",IFERROR(VLOOKUP(AH156,'G-4 Temporal multipliers'!$A$4:$C$36,3,FALSE),""))</f>
        <v/>
      </c>
      <c r="AJ156" s="398" t="str">
        <f>IF(S156="","",VLOOKUP(S156,'G-3 Multipliers'!$A$2:$E$134,4,FALSE))</f>
        <v/>
      </c>
      <c r="AK156" s="382" t="str">
        <f t="shared" si="30"/>
        <v/>
      </c>
      <c r="AL156" s="382" t="str">
        <f t="shared" si="31"/>
        <v/>
      </c>
      <c r="AM156" s="386" t="str">
        <f>IFERROR(IF(F156="","",IF(AH156="Check Data ⚠","Check Data ⚠",VLOOKUP(AL156, 'G-3 Multipliers'!$P$2:$Q$6,2,FALSE))),"")</f>
        <v/>
      </c>
      <c r="AN156" s="516"/>
      <c r="AO156" s="417" t="str">
        <f>IF(AN156="","",IF(VLOOKUP(AN156,'G-3 Multipliers'!$S$3:$T$10,2,FALSE)=0,"Spatial Data Missing ⚠",VLOOKUP(AN156,'G-3 Multipliers'!$S$3:$T$10,2,FALSE)))</f>
        <v/>
      </c>
      <c r="AP156" s="376" t="str">
        <f t="shared" si="32"/>
        <v/>
      </c>
      <c r="AQ156" s="376" t="str">
        <f t="shared" si="33"/>
        <v/>
      </c>
      <c r="AR156" s="119"/>
      <c r="AS156" s="528"/>
      <c r="AT156" s="120"/>
      <c r="AU156" s="120"/>
    </row>
    <row r="157" spans="1:47">
      <c r="A157" s="30" t="str">
        <f>IF(E157="","",IF(ISNA(VLOOKUP($E157,'D-1 Off-Site Habitat Baseline'!$D$1:$O$258,2,FALSE)),"",(VLOOKUP($E157,'D-1 Off-Site Habitat Baseline'!$D$1:$O$258,2,FALSE))))</f>
        <v/>
      </c>
      <c r="B157" s="30" t="str">
        <f>IF(E157="","",IF(ISNA(VLOOKUP($E157,'D-1 Off-Site Habitat Baseline'!$D$1:$O$258,3,FALSE)),"",(VLOOKUP($E157,'D-1 Off-Site Habitat Baseline'!$D$1:$O$258,3,FALSE))))</f>
        <v/>
      </c>
      <c r="C157" s="30" t="str">
        <f>IFERROR(INDEX('G-8 Condition Look up'!$I$4:$I$135,MATCH(S157,'G-8 Condition Look up'!$A$4:$A$135,0)),"")</f>
        <v/>
      </c>
      <c r="E157" s="407" t="str">
        <f>'D-1 Off-Site Habitat Baseline'!AP156</f>
        <v/>
      </c>
      <c r="F157" s="382" t="str">
        <f>IF(E157="","",IF(ISNA(VLOOKUP($E157,'D-1 Off-Site Habitat Baseline'!$D$1:$O$258,4,FALSE)),"",(VLOOKUP($E157,'D-1 Off-Site Habitat Baseline'!$D$1:$O$258,4,FALSE))))</f>
        <v/>
      </c>
      <c r="G157" s="382" t="str">
        <f>IF(E157="","",IF(ISNA(VLOOKUP($E157,'D-1 Off-Site Habitat Baseline'!$D$1:$O$258,5,FALSE)),"",(VLOOKUP($E157,'D-1 Off-Site Habitat Baseline'!$D$1:$O$258,5,FALSE))))</f>
        <v/>
      </c>
      <c r="H157" s="382" t="str">
        <f>IF(E157="","",IF(ISNA(VLOOKUP($E157,'D-1 Off-Site Habitat Baseline'!$D$1:$O$258,6,FALSE)),"",(VLOOKUP($E157,'D-1 Off-Site Habitat Baseline'!$D$1:$O$258,6,FALSE))))</f>
        <v/>
      </c>
      <c r="I157" s="382" t="str">
        <f>IF(E157="","",IF(ISNA(VLOOKUP($E157,'D-1 Off-Site Habitat Baseline'!$D$1:$O$258,7,FALSE)),"",(VLOOKUP($E157,'D-1 Off-Site Habitat Baseline'!$D$1:$O$258,7,FALSE))))</f>
        <v/>
      </c>
      <c r="J157" s="382" t="str">
        <f>IF(E157="","",IF(ISNA(VLOOKUP($E157,'D-1 Off-Site Habitat Baseline'!$D$1:$O$258,8,FALSE)),"",(VLOOKUP($E157,'D-1 Off-Site Habitat Baseline'!$D$1:$O$258,8,FALSE))))</f>
        <v/>
      </c>
      <c r="K157" s="382" t="str">
        <f>IF(E157="","",IF(ISNA(VLOOKUP($E157,'D-1 Off-Site Habitat Baseline'!$D$1:$O$258,9,FALSE)),"",(VLOOKUP($E157,'D-1 Off-Site Habitat Baseline'!$D$1:$O$258,9,FALSE))))</f>
        <v/>
      </c>
      <c r="L157" s="382" t="str">
        <f>IF(E157="","",IF(ISNA(VLOOKUP($E157,'D-1 Off-Site Habitat Baseline'!$D$1:$O$258,11,FALSE)),"",(VLOOKUP($E157,'D-1 Off-Site Habitat Baseline'!$D$1:$O$258,11,FALSE))))</f>
        <v/>
      </c>
      <c r="M157" s="382" t="str">
        <f>IF(E157="","",IF(ISNA(VLOOKUP($E157,'D-1 Off-Site Habitat Baseline'!$D$1:$O$258,12,FALSE)),"",(VLOOKUP($E157,'D-1 Off-Site Habitat Baseline'!$D$1:$O$258,12,FALSE))))</f>
        <v/>
      </c>
      <c r="N157" s="382" t="str">
        <f>IF(E157="","",IF(ISNA(VLOOKUP($E157,'D-1 Off-Site Habitat Baseline'!$D$1:$AA$258,14,FALSE)),"",(VLOOKUP($E157,'D-1 Off-Site Habitat Baseline'!$D$1:$AA$258,14,FALSE))))</f>
        <v/>
      </c>
      <c r="O157" s="386" t="str">
        <f>IF(E157="","",IF(ISNA(VLOOKUP($E157,'D-1 Off-Site Habitat Baseline'!$D$1:$AA$258,13,FALSE)),"",(VLOOKUP($E157,'D-1 Off-Site Habitat Baseline'!$D$1:$AA$258,13,FALSE))))</f>
        <v/>
      </c>
      <c r="P157" s="184" t="str">
        <f>IFERROR(INDEX('G-1 All Habitats'!$AG$3:$AG$17,MATCH(Q157,'G-1 All Habitats'!$AF$3:$AF$17,0)),"")</f>
        <v/>
      </c>
      <c r="Q157" s="185" t="str">
        <f t="shared" si="25"/>
        <v/>
      </c>
      <c r="R157" s="186" t="str">
        <f t="shared" si="25"/>
        <v/>
      </c>
      <c r="S157" s="187" t="str">
        <f>IFERROR(INDEX('G-1 All Habitats'!$B$3:$B$134,MATCH(R157,'G-1 All Habitats'!$A$3:$A$134,0)),"")</f>
        <v/>
      </c>
      <c r="T157" s="370" t="str">
        <f t="shared" si="26"/>
        <v/>
      </c>
      <c r="U157" s="386" t="str">
        <f t="shared" si="27"/>
        <v/>
      </c>
      <c r="V157" s="385" t="str">
        <f t="shared" si="23"/>
        <v/>
      </c>
      <c r="W157" s="382" t="str">
        <f>IF(S157="","",VLOOKUP(S157,'G-1 All Habitats'!$B$2:$M$134,10,FALSE))</f>
        <v/>
      </c>
      <c r="X157" s="382" t="str">
        <f>IFERROR(VLOOKUP(W157,'G-1 All Habitats'!$V$3:$W$7,2,FALSE),"")</f>
        <v/>
      </c>
      <c r="Y157" s="165"/>
      <c r="Z157" s="386" t="str">
        <f>IFERROR(INDEX('G-8 Condition Look up'!$A$3:$H$135,MATCH(S157,'G-8 Condition Look up'!$A$3:$A$135,0),MATCH(Y157,'G-8 Condition Look up'!$A$3:$H$3,0)),"")</f>
        <v/>
      </c>
      <c r="AA157" s="114"/>
      <c r="AB157" s="401" t="str">
        <f>IF(AA157="","",IF(VLOOKUP(AA157,'G-3 Multipliers'!$L$3:$N$6,2,FALSE)=0,"Spatial Data Missing ⚠",VLOOKUP(AA157,'G-3 Multipliers'!$L$3:$N$6,2,FALSE)))</f>
        <v/>
      </c>
      <c r="AC157" s="386" t="str">
        <f>IF(AA157="","",IF(VLOOKUP(AA157,'G-3 Multipliers'!$L$3:$N$6,3,FALSE)=0,"Spatial Data Missing ⚠",VLOOKUP(AA157,'G-3 Multipliers'!$L$3:$N$6,3,FALSE)))</f>
        <v/>
      </c>
      <c r="AD157" s="398" t="str">
        <f t="shared" si="24"/>
        <v/>
      </c>
      <c r="AE157" s="165"/>
      <c r="AF157" s="165"/>
      <c r="AG157" s="382" t="str">
        <f t="shared" si="28"/>
        <v/>
      </c>
      <c r="AH157" s="404" t="str">
        <f t="shared" si="29"/>
        <v/>
      </c>
      <c r="AI157" s="387" t="str">
        <f>IF(AH157="Check Data ⚠","Check Data ⚠",IFERROR(VLOOKUP(AH157,'G-4 Temporal multipliers'!$A$4:$C$36,3,FALSE),""))</f>
        <v/>
      </c>
      <c r="AJ157" s="398" t="str">
        <f>IF(S157="","",VLOOKUP(S157,'G-3 Multipliers'!$A$2:$E$134,4,FALSE))</f>
        <v/>
      </c>
      <c r="AK157" s="382" t="str">
        <f t="shared" si="30"/>
        <v/>
      </c>
      <c r="AL157" s="382" t="str">
        <f t="shared" si="31"/>
        <v/>
      </c>
      <c r="AM157" s="386" t="str">
        <f>IFERROR(IF(F157="","",IF(AH157="Check Data ⚠","Check Data ⚠",VLOOKUP(AL157, 'G-3 Multipliers'!$P$2:$Q$6,2,FALSE))),"")</f>
        <v/>
      </c>
      <c r="AN157" s="516"/>
      <c r="AO157" s="417" t="str">
        <f>IF(AN157="","",IF(VLOOKUP(AN157,'G-3 Multipliers'!$S$3:$T$10,2,FALSE)=0,"Spatial Data Missing ⚠",VLOOKUP(AN157,'G-3 Multipliers'!$S$3:$T$10,2,FALSE)))</f>
        <v/>
      </c>
      <c r="AP157" s="376" t="str">
        <f t="shared" si="32"/>
        <v/>
      </c>
      <c r="AQ157" s="376" t="str">
        <f t="shared" si="33"/>
        <v/>
      </c>
      <c r="AR157" s="119"/>
      <c r="AS157" s="528"/>
      <c r="AT157" s="120"/>
      <c r="AU157" s="120"/>
    </row>
    <row r="158" spans="1:47">
      <c r="A158" s="30" t="str">
        <f>IF(E158="","",IF(ISNA(VLOOKUP($E158,'D-1 Off-Site Habitat Baseline'!$D$1:$O$258,2,FALSE)),"",(VLOOKUP($E158,'D-1 Off-Site Habitat Baseline'!$D$1:$O$258,2,FALSE))))</f>
        <v/>
      </c>
      <c r="B158" s="30" t="str">
        <f>IF(E158="","",IF(ISNA(VLOOKUP($E158,'D-1 Off-Site Habitat Baseline'!$D$1:$O$258,3,FALSE)),"",(VLOOKUP($E158,'D-1 Off-Site Habitat Baseline'!$D$1:$O$258,3,FALSE))))</f>
        <v/>
      </c>
      <c r="C158" s="30" t="str">
        <f>IFERROR(INDEX('G-8 Condition Look up'!$I$4:$I$135,MATCH(S158,'G-8 Condition Look up'!$A$4:$A$135,0)),"")</f>
        <v/>
      </c>
      <c r="E158" s="407" t="str">
        <f>'D-1 Off-Site Habitat Baseline'!AP157</f>
        <v/>
      </c>
      <c r="F158" s="382" t="str">
        <f>IF(E158="","",IF(ISNA(VLOOKUP($E158,'D-1 Off-Site Habitat Baseline'!$D$1:$O$258,4,FALSE)),"",(VLOOKUP($E158,'D-1 Off-Site Habitat Baseline'!$D$1:$O$258,4,FALSE))))</f>
        <v/>
      </c>
      <c r="G158" s="382" t="str">
        <f>IF(E158="","",IF(ISNA(VLOOKUP($E158,'D-1 Off-Site Habitat Baseline'!$D$1:$O$258,5,FALSE)),"",(VLOOKUP($E158,'D-1 Off-Site Habitat Baseline'!$D$1:$O$258,5,FALSE))))</f>
        <v/>
      </c>
      <c r="H158" s="382" t="str">
        <f>IF(E158="","",IF(ISNA(VLOOKUP($E158,'D-1 Off-Site Habitat Baseline'!$D$1:$O$258,6,FALSE)),"",(VLOOKUP($E158,'D-1 Off-Site Habitat Baseline'!$D$1:$O$258,6,FALSE))))</f>
        <v/>
      </c>
      <c r="I158" s="382" t="str">
        <f>IF(E158="","",IF(ISNA(VLOOKUP($E158,'D-1 Off-Site Habitat Baseline'!$D$1:$O$258,7,FALSE)),"",(VLOOKUP($E158,'D-1 Off-Site Habitat Baseline'!$D$1:$O$258,7,FALSE))))</f>
        <v/>
      </c>
      <c r="J158" s="382" t="str">
        <f>IF(E158="","",IF(ISNA(VLOOKUP($E158,'D-1 Off-Site Habitat Baseline'!$D$1:$O$258,8,FALSE)),"",(VLOOKUP($E158,'D-1 Off-Site Habitat Baseline'!$D$1:$O$258,8,FALSE))))</f>
        <v/>
      </c>
      <c r="K158" s="382" t="str">
        <f>IF(E158="","",IF(ISNA(VLOOKUP($E158,'D-1 Off-Site Habitat Baseline'!$D$1:$O$258,9,FALSE)),"",(VLOOKUP($E158,'D-1 Off-Site Habitat Baseline'!$D$1:$O$258,9,FALSE))))</f>
        <v/>
      </c>
      <c r="L158" s="382" t="str">
        <f>IF(E158="","",IF(ISNA(VLOOKUP($E158,'D-1 Off-Site Habitat Baseline'!$D$1:$O$258,11,FALSE)),"",(VLOOKUP($E158,'D-1 Off-Site Habitat Baseline'!$D$1:$O$258,11,FALSE))))</f>
        <v/>
      </c>
      <c r="M158" s="382" t="str">
        <f>IF(E158="","",IF(ISNA(VLOOKUP($E158,'D-1 Off-Site Habitat Baseline'!$D$1:$O$258,12,FALSE)),"",(VLOOKUP($E158,'D-1 Off-Site Habitat Baseline'!$D$1:$O$258,12,FALSE))))</f>
        <v/>
      </c>
      <c r="N158" s="382" t="str">
        <f>IF(E158="","",IF(ISNA(VLOOKUP($E158,'D-1 Off-Site Habitat Baseline'!$D$1:$AA$258,14,FALSE)),"",(VLOOKUP($E158,'D-1 Off-Site Habitat Baseline'!$D$1:$AA$258,14,FALSE))))</f>
        <v/>
      </c>
      <c r="O158" s="386" t="str">
        <f>IF(E158="","",IF(ISNA(VLOOKUP($E158,'D-1 Off-Site Habitat Baseline'!$D$1:$AA$258,13,FALSE)),"",(VLOOKUP($E158,'D-1 Off-Site Habitat Baseline'!$D$1:$AA$258,13,FALSE))))</f>
        <v/>
      </c>
      <c r="P158" s="184" t="str">
        <f>IFERROR(INDEX('G-1 All Habitats'!$AG$3:$AG$17,MATCH(Q158,'G-1 All Habitats'!$AF$3:$AF$17,0)),"")</f>
        <v/>
      </c>
      <c r="Q158" s="185" t="str">
        <f t="shared" si="25"/>
        <v/>
      </c>
      <c r="R158" s="186" t="str">
        <f t="shared" si="25"/>
        <v/>
      </c>
      <c r="S158" s="187" t="str">
        <f>IFERROR(INDEX('G-1 All Habitats'!$B$3:$B$134,MATCH(R158,'G-1 All Habitats'!$A$3:$A$134,0)),"")</f>
        <v/>
      </c>
      <c r="T158" s="370" t="str">
        <f t="shared" si="26"/>
        <v/>
      </c>
      <c r="U158" s="386" t="str">
        <f t="shared" si="27"/>
        <v/>
      </c>
      <c r="V158" s="385" t="str">
        <f t="shared" si="23"/>
        <v/>
      </c>
      <c r="W158" s="382" t="str">
        <f>IF(S158="","",VLOOKUP(S158,'G-1 All Habitats'!$B$2:$M$134,10,FALSE))</f>
        <v/>
      </c>
      <c r="X158" s="382" t="str">
        <f>IFERROR(VLOOKUP(W158,'G-1 All Habitats'!$V$3:$W$7,2,FALSE),"")</f>
        <v/>
      </c>
      <c r="Y158" s="165"/>
      <c r="Z158" s="386" t="str">
        <f>IFERROR(INDEX('G-8 Condition Look up'!$A$3:$H$135,MATCH(S158,'G-8 Condition Look up'!$A$3:$A$135,0),MATCH(Y158,'G-8 Condition Look up'!$A$3:$H$3,0)),"")</f>
        <v/>
      </c>
      <c r="AA158" s="114"/>
      <c r="AB158" s="401" t="str">
        <f>IF(AA158="","",IF(VLOOKUP(AA158,'G-3 Multipliers'!$L$3:$N$6,2,FALSE)=0,"Spatial Data Missing ⚠",VLOOKUP(AA158,'G-3 Multipliers'!$L$3:$N$6,2,FALSE)))</f>
        <v/>
      </c>
      <c r="AC158" s="386" t="str">
        <f>IF(AA158="","",IF(VLOOKUP(AA158,'G-3 Multipliers'!$L$3:$N$6,3,FALSE)=0,"Spatial Data Missing ⚠",VLOOKUP(AA158,'G-3 Multipliers'!$L$3:$N$6,3,FALSE)))</f>
        <v/>
      </c>
      <c r="AD158" s="398" t="str">
        <f t="shared" si="24"/>
        <v/>
      </c>
      <c r="AE158" s="165"/>
      <c r="AF158" s="165"/>
      <c r="AG158" s="382" t="str">
        <f t="shared" si="28"/>
        <v/>
      </c>
      <c r="AH158" s="404" t="str">
        <f t="shared" si="29"/>
        <v/>
      </c>
      <c r="AI158" s="387" t="str">
        <f>IF(AH158="Check Data ⚠","Check Data ⚠",IFERROR(VLOOKUP(AH158,'G-4 Temporal multipliers'!$A$4:$C$36,3,FALSE),""))</f>
        <v/>
      </c>
      <c r="AJ158" s="398" t="str">
        <f>IF(S158="","",VLOOKUP(S158,'G-3 Multipliers'!$A$2:$E$134,4,FALSE))</f>
        <v/>
      </c>
      <c r="AK158" s="382" t="str">
        <f t="shared" si="30"/>
        <v/>
      </c>
      <c r="AL158" s="382" t="str">
        <f t="shared" si="31"/>
        <v/>
      </c>
      <c r="AM158" s="386" t="str">
        <f>IFERROR(IF(F158="","",IF(AH158="Check Data ⚠","Check Data ⚠",VLOOKUP(AL158, 'G-3 Multipliers'!$P$2:$Q$6,2,FALSE))),"")</f>
        <v/>
      </c>
      <c r="AN158" s="516"/>
      <c r="AO158" s="417" t="str">
        <f>IF(AN158="","",IF(VLOOKUP(AN158,'G-3 Multipliers'!$S$3:$T$10,2,FALSE)=0,"Spatial Data Missing ⚠",VLOOKUP(AN158,'G-3 Multipliers'!$S$3:$T$10,2,FALSE)))</f>
        <v/>
      </c>
      <c r="AP158" s="376" t="str">
        <f t="shared" si="32"/>
        <v/>
      </c>
      <c r="AQ158" s="376" t="str">
        <f t="shared" si="33"/>
        <v/>
      </c>
      <c r="AR158" s="119"/>
      <c r="AS158" s="528"/>
      <c r="AT158" s="120"/>
      <c r="AU158" s="120"/>
    </row>
    <row r="159" spans="1:47">
      <c r="A159" s="30" t="str">
        <f>IF(E159="","",IF(ISNA(VLOOKUP($E159,'D-1 Off-Site Habitat Baseline'!$D$1:$O$258,2,FALSE)),"",(VLOOKUP($E159,'D-1 Off-Site Habitat Baseline'!$D$1:$O$258,2,FALSE))))</f>
        <v/>
      </c>
      <c r="B159" s="30" t="str">
        <f>IF(E159="","",IF(ISNA(VLOOKUP($E159,'D-1 Off-Site Habitat Baseline'!$D$1:$O$258,3,FALSE)),"",(VLOOKUP($E159,'D-1 Off-Site Habitat Baseline'!$D$1:$O$258,3,FALSE))))</f>
        <v/>
      </c>
      <c r="C159" s="30" t="str">
        <f>IFERROR(INDEX('G-8 Condition Look up'!$I$4:$I$135,MATCH(S159,'G-8 Condition Look up'!$A$4:$A$135,0)),"")</f>
        <v/>
      </c>
      <c r="E159" s="407" t="str">
        <f>'D-1 Off-Site Habitat Baseline'!AP158</f>
        <v/>
      </c>
      <c r="F159" s="382" t="str">
        <f>IF(E159="","",IF(ISNA(VLOOKUP($E159,'D-1 Off-Site Habitat Baseline'!$D$1:$O$258,4,FALSE)),"",(VLOOKUP($E159,'D-1 Off-Site Habitat Baseline'!$D$1:$O$258,4,FALSE))))</f>
        <v/>
      </c>
      <c r="G159" s="382" t="str">
        <f>IF(E159="","",IF(ISNA(VLOOKUP($E159,'D-1 Off-Site Habitat Baseline'!$D$1:$O$258,5,FALSE)),"",(VLOOKUP($E159,'D-1 Off-Site Habitat Baseline'!$D$1:$O$258,5,FALSE))))</f>
        <v/>
      </c>
      <c r="H159" s="382" t="str">
        <f>IF(E159="","",IF(ISNA(VLOOKUP($E159,'D-1 Off-Site Habitat Baseline'!$D$1:$O$258,6,FALSE)),"",(VLOOKUP($E159,'D-1 Off-Site Habitat Baseline'!$D$1:$O$258,6,FALSE))))</f>
        <v/>
      </c>
      <c r="I159" s="382" t="str">
        <f>IF(E159="","",IF(ISNA(VLOOKUP($E159,'D-1 Off-Site Habitat Baseline'!$D$1:$O$258,7,FALSE)),"",(VLOOKUP($E159,'D-1 Off-Site Habitat Baseline'!$D$1:$O$258,7,FALSE))))</f>
        <v/>
      </c>
      <c r="J159" s="382" t="str">
        <f>IF(E159="","",IF(ISNA(VLOOKUP($E159,'D-1 Off-Site Habitat Baseline'!$D$1:$O$258,8,FALSE)),"",(VLOOKUP($E159,'D-1 Off-Site Habitat Baseline'!$D$1:$O$258,8,FALSE))))</f>
        <v/>
      </c>
      <c r="K159" s="382" t="str">
        <f>IF(E159="","",IF(ISNA(VLOOKUP($E159,'D-1 Off-Site Habitat Baseline'!$D$1:$O$258,9,FALSE)),"",(VLOOKUP($E159,'D-1 Off-Site Habitat Baseline'!$D$1:$O$258,9,FALSE))))</f>
        <v/>
      </c>
      <c r="L159" s="382" t="str">
        <f>IF(E159="","",IF(ISNA(VLOOKUP($E159,'D-1 Off-Site Habitat Baseline'!$D$1:$O$258,11,FALSE)),"",(VLOOKUP($E159,'D-1 Off-Site Habitat Baseline'!$D$1:$O$258,11,FALSE))))</f>
        <v/>
      </c>
      <c r="M159" s="382" t="str">
        <f>IF(E159="","",IF(ISNA(VLOOKUP($E159,'D-1 Off-Site Habitat Baseline'!$D$1:$O$258,12,FALSE)),"",(VLOOKUP($E159,'D-1 Off-Site Habitat Baseline'!$D$1:$O$258,12,FALSE))))</f>
        <v/>
      </c>
      <c r="N159" s="382" t="str">
        <f>IF(E159="","",IF(ISNA(VLOOKUP($E159,'D-1 Off-Site Habitat Baseline'!$D$1:$AA$258,14,FALSE)),"",(VLOOKUP($E159,'D-1 Off-Site Habitat Baseline'!$D$1:$AA$258,14,FALSE))))</f>
        <v/>
      </c>
      <c r="O159" s="386" t="str">
        <f>IF(E159="","",IF(ISNA(VLOOKUP($E159,'D-1 Off-Site Habitat Baseline'!$D$1:$AA$258,13,FALSE)),"",(VLOOKUP($E159,'D-1 Off-Site Habitat Baseline'!$D$1:$AA$258,13,FALSE))))</f>
        <v/>
      </c>
      <c r="P159" s="184" t="str">
        <f>IFERROR(INDEX('G-1 All Habitats'!$AG$3:$AG$17,MATCH(Q159,'G-1 All Habitats'!$AF$3:$AF$17,0)),"")</f>
        <v/>
      </c>
      <c r="Q159" s="185" t="str">
        <f t="shared" si="25"/>
        <v/>
      </c>
      <c r="R159" s="186" t="str">
        <f t="shared" si="25"/>
        <v/>
      </c>
      <c r="S159" s="187" t="str">
        <f>IFERROR(INDEX('G-1 All Habitats'!$B$3:$B$134,MATCH(R159,'G-1 All Habitats'!$A$3:$A$134,0)),"")</f>
        <v/>
      </c>
      <c r="T159" s="370" t="str">
        <f t="shared" si="26"/>
        <v/>
      </c>
      <c r="U159" s="386" t="str">
        <f t="shared" si="27"/>
        <v/>
      </c>
      <c r="V159" s="385" t="str">
        <f t="shared" si="23"/>
        <v/>
      </c>
      <c r="W159" s="382" t="str">
        <f>IF(S159="","",VLOOKUP(S159,'G-1 All Habitats'!$B$2:$M$134,10,FALSE))</f>
        <v/>
      </c>
      <c r="X159" s="382" t="str">
        <f>IFERROR(VLOOKUP(W159,'G-1 All Habitats'!$V$3:$W$7,2,FALSE),"")</f>
        <v/>
      </c>
      <c r="Y159" s="165"/>
      <c r="Z159" s="386" t="str">
        <f>IFERROR(INDEX('G-8 Condition Look up'!$A$3:$H$135,MATCH(S159,'G-8 Condition Look up'!$A$3:$A$135,0),MATCH(Y159,'G-8 Condition Look up'!$A$3:$H$3,0)),"")</f>
        <v/>
      </c>
      <c r="AA159" s="114"/>
      <c r="AB159" s="401" t="str">
        <f>IF(AA159="","",IF(VLOOKUP(AA159,'G-3 Multipliers'!$L$3:$N$6,2,FALSE)=0,"Spatial Data Missing ⚠",VLOOKUP(AA159,'G-3 Multipliers'!$L$3:$N$6,2,FALSE)))</f>
        <v/>
      </c>
      <c r="AC159" s="386" t="str">
        <f>IF(AA159="","",IF(VLOOKUP(AA159,'G-3 Multipliers'!$L$3:$N$6,3,FALSE)=0,"Spatial Data Missing ⚠",VLOOKUP(AA159,'G-3 Multipliers'!$L$3:$N$6,3,FALSE)))</f>
        <v/>
      </c>
      <c r="AD159" s="398" t="str">
        <f t="shared" si="24"/>
        <v/>
      </c>
      <c r="AE159" s="165"/>
      <c r="AF159" s="165"/>
      <c r="AG159" s="382" t="str">
        <f t="shared" si="28"/>
        <v/>
      </c>
      <c r="AH159" s="404" t="str">
        <f t="shared" si="29"/>
        <v/>
      </c>
      <c r="AI159" s="387" t="str">
        <f>IF(AH159="Check Data ⚠","Check Data ⚠",IFERROR(VLOOKUP(AH159,'G-4 Temporal multipliers'!$A$4:$C$36,3,FALSE),""))</f>
        <v/>
      </c>
      <c r="AJ159" s="398" t="str">
        <f>IF(S159="","",VLOOKUP(S159,'G-3 Multipliers'!$A$2:$E$134,4,FALSE))</f>
        <v/>
      </c>
      <c r="AK159" s="382" t="str">
        <f t="shared" si="30"/>
        <v/>
      </c>
      <c r="AL159" s="382" t="str">
        <f t="shared" si="31"/>
        <v/>
      </c>
      <c r="AM159" s="386" t="str">
        <f>IFERROR(IF(F159="","",IF(AH159="Check Data ⚠","Check Data ⚠",VLOOKUP(AL159, 'G-3 Multipliers'!$P$2:$Q$6,2,FALSE))),"")</f>
        <v/>
      </c>
      <c r="AN159" s="516"/>
      <c r="AO159" s="417" t="str">
        <f>IF(AN159="","",IF(VLOOKUP(AN159,'G-3 Multipliers'!$S$3:$T$10,2,FALSE)=0,"Spatial Data Missing ⚠",VLOOKUP(AN159,'G-3 Multipliers'!$S$3:$T$10,2,FALSE)))</f>
        <v/>
      </c>
      <c r="AP159" s="376" t="str">
        <f t="shared" si="32"/>
        <v/>
      </c>
      <c r="AQ159" s="376" t="str">
        <f t="shared" si="33"/>
        <v/>
      </c>
      <c r="AR159" s="119"/>
      <c r="AS159" s="528"/>
      <c r="AT159" s="120"/>
      <c r="AU159" s="120"/>
    </row>
    <row r="160" spans="1:47">
      <c r="A160" s="30" t="str">
        <f>IF(E160="","",IF(ISNA(VLOOKUP($E160,'D-1 Off-Site Habitat Baseline'!$D$1:$O$258,2,FALSE)),"",(VLOOKUP($E160,'D-1 Off-Site Habitat Baseline'!$D$1:$O$258,2,FALSE))))</f>
        <v/>
      </c>
      <c r="B160" s="30" t="str">
        <f>IF(E160="","",IF(ISNA(VLOOKUP($E160,'D-1 Off-Site Habitat Baseline'!$D$1:$O$258,3,FALSE)),"",(VLOOKUP($E160,'D-1 Off-Site Habitat Baseline'!$D$1:$O$258,3,FALSE))))</f>
        <v/>
      </c>
      <c r="C160" s="30" t="str">
        <f>IFERROR(INDEX('G-8 Condition Look up'!$I$4:$I$135,MATCH(S160,'G-8 Condition Look up'!$A$4:$A$135,0)),"")</f>
        <v/>
      </c>
      <c r="E160" s="407" t="str">
        <f>'D-1 Off-Site Habitat Baseline'!AP159</f>
        <v/>
      </c>
      <c r="F160" s="382" t="str">
        <f>IF(E160="","",IF(ISNA(VLOOKUP($E160,'D-1 Off-Site Habitat Baseline'!$D$1:$O$258,4,FALSE)),"",(VLOOKUP($E160,'D-1 Off-Site Habitat Baseline'!$D$1:$O$258,4,FALSE))))</f>
        <v/>
      </c>
      <c r="G160" s="382" t="str">
        <f>IF(E160="","",IF(ISNA(VLOOKUP($E160,'D-1 Off-Site Habitat Baseline'!$D$1:$O$258,5,FALSE)),"",(VLOOKUP($E160,'D-1 Off-Site Habitat Baseline'!$D$1:$O$258,5,FALSE))))</f>
        <v/>
      </c>
      <c r="H160" s="382" t="str">
        <f>IF(E160="","",IF(ISNA(VLOOKUP($E160,'D-1 Off-Site Habitat Baseline'!$D$1:$O$258,6,FALSE)),"",(VLOOKUP($E160,'D-1 Off-Site Habitat Baseline'!$D$1:$O$258,6,FALSE))))</f>
        <v/>
      </c>
      <c r="I160" s="382" t="str">
        <f>IF(E160="","",IF(ISNA(VLOOKUP($E160,'D-1 Off-Site Habitat Baseline'!$D$1:$O$258,7,FALSE)),"",(VLOOKUP($E160,'D-1 Off-Site Habitat Baseline'!$D$1:$O$258,7,FALSE))))</f>
        <v/>
      </c>
      <c r="J160" s="382" t="str">
        <f>IF(E160="","",IF(ISNA(VLOOKUP($E160,'D-1 Off-Site Habitat Baseline'!$D$1:$O$258,8,FALSE)),"",(VLOOKUP($E160,'D-1 Off-Site Habitat Baseline'!$D$1:$O$258,8,FALSE))))</f>
        <v/>
      </c>
      <c r="K160" s="382" t="str">
        <f>IF(E160="","",IF(ISNA(VLOOKUP($E160,'D-1 Off-Site Habitat Baseline'!$D$1:$O$258,9,FALSE)),"",(VLOOKUP($E160,'D-1 Off-Site Habitat Baseline'!$D$1:$O$258,9,FALSE))))</f>
        <v/>
      </c>
      <c r="L160" s="382" t="str">
        <f>IF(E160="","",IF(ISNA(VLOOKUP($E160,'D-1 Off-Site Habitat Baseline'!$D$1:$O$258,11,FALSE)),"",(VLOOKUP($E160,'D-1 Off-Site Habitat Baseline'!$D$1:$O$258,11,FALSE))))</f>
        <v/>
      </c>
      <c r="M160" s="382" t="str">
        <f>IF(E160="","",IF(ISNA(VLOOKUP($E160,'D-1 Off-Site Habitat Baseline'!$D$1:$O$258,12,FALSE)),"",(VLOOKUP($E160,'D-1 Off-Site Habitat Baseline'!$D$1:$O$258,12,FALSE))))</f>
        <v/>
      </c>
      <c r="N160" s="382" t="str">
        <f>IF(E160="","",IF(ISNA(VLOOKUP($E160,'D-1 Off-Site Habitat Baseline'!$D$1:$AA$258,14,FALSE)),"",(VLOOKUP($E160,'D-1 Off-Site Habitat Baseline'!$D$1:$AA$258,14,FALSE))))</f>
        <v/>
      </c>
      <c r="O160" s="386" t="str">
        <f>IF(E160="","",IF(ISNA(VLOOKUP($E160,'D-1 Off-Site Habitat Baseline'!$D$1:$AA$258,13,FALSE)),"",(VLOOKUP($E160,'D-1 Off-Site Habitat Baseline'!$D$1:$AA$258,13,FALSE))))</f>
        <v/>
      </c>
      <c r="P160" s="184" t="str">
        <f>IFERROR(INDEX('G-1 All Habitats'!$AG$3:$AG$17,MATCH(Q160,'G-1 All Habitats'!$AF$3:$AF$17,0)),"")</f>
        <v/>
      </c>
      <c r="Q160" s="185" t="str">
        <f t="shared" si="25"/>
        <v/>
      </c>
      <c r="R160" s="186" t="str">
        <f t="shared" si="25"/>
        <v/>
      </c>
      <c r="S160" s="187" t="str">
        <f>IFERROR(INDEX('G-1 All Habitats'!$B$3:$B$134,MATCH(R160,'G-1 All Habitats'!$A$3:$A$134,0)),"")</f>
        <v/>
      </c>
      <c r="T160" s="370" t="str">
        <f t="shared" si="26"/>
        <v/>
      </c>
      <c r="U160" s="386" t="str">
        <f t="shared" si="27"/>
        <v/>
      </c>
      <c r="V160" s="385" t="str">
        <f t="shared" si="23"/>
        <v/>
      </c>
      <c r="W160" s="382" t="str">
        <f>IF(S160="","",VLOOKUP(S160,'G-1 All Habitats'!$B$2:$M$134,10,FALSE))</f>
        <v/>
      </c>
      <c r="X160" s="382" t="str">
        <f>IFERROR(VLOOKUP(W160,'G-1 All Habitats'!$V$3:$W$7,2,FALSE),"")</f>
        <v/>
      </c>
      <c r="Y160" s="165"/>
      <c r="Z160" s="386" t="str">
        <f>IFERROR(INDEX('G-8 Condition Look up'!$A$3:$H$135,MATCH(S160,'G-8 Condition Look up'!$A$3:$A$135,0),MATCH(Y160,'G-8 Condition Look up'!$A$3:$H$3,0)),"")</f>
        <v/>
      </c>
      <c r="AA160" s="114"/>
      <c r="AB160" s="401" t="str">
        <f>IF(AA160="","",IF(VLOOKUP(AA160,'G-3 Multipliers'!$L$3:$N$6,2,FALSE)=0,"Spatial Data Missing ⚠",VLOOKUP(AA160,'G-3 Multipliers'!$L$3:$N$6,2,FALSE)))</f>
        <v/>
      </c>
      <c r="AC160" s="386" t="str">
        <f>IF(AA160="","",IF(VLOOKUP(AA160,'G-3 Multipliers'!$L$3:$N$6,3,FALSE)=0,"Spatial Data Missing ⚠",VLOOKUP(AA160,'G-3 Multipliers'!$L$3:$N$6,3,FALSE)))</f>
        <v/>
      </c>
      <c r="AD160" s="398" t="str">
        <f t="shared" si="24"/>
        <v/>
      </c>
      <c r="AE160" s="165"/>
      <c r="AF160" s="165"/>
      <c r="AG160" s="382" t="str">
        <f t="shared" si="28"/>
        <v/>
      </c>
      <c r="AH160" s="404" t="str">
        <f t="shared" si="29"/>
        <v/>
      </c>
      <c r="AI160" s="387" t="str">
        <f>IF(AH160="Check Data ⚠","Check Data ⚠",IFERROR(VLOOKUP(AH160,'G-4 Temporal multipliers'!$A$4:$C$36,3,FALSE),""))</f>
        <v/>
      </c>
      <c r="AJ160" s="398" t="str">
        <f>IF(S160="","",VLOOKUP(S160,'G-3 Multipliers'!$A$2:$E$134,4,FALSE))</f>
        <v/>
      </c>
      <c r="AK160" s="382" t="str">
        <f t="shared" si="30"/>
        <v/>
      </c>
      <c r="AL160" s="382" t="str">
        <f t="shared" si="31"/>
        <v/>
      </c>
      <c r="AM160" s="386" t="str">
        <f>IFERROR(IF(F160="","",IF(AH160="Check Data ⚠","Check Data ⚠",VLOOKUP(AL160, 'G-3 Multipliers'!$P$2:$Q$6,2,FALSE))),"")</f>
        <v/>
      </c>
      <c r="AN160" s="516"/>
      <c r="AO160" s="417" t="str">
        <f>IF(AN160="","",IF(VLOOKUP(AN160,'G-3 Multipliers'!$S$3:$T$10,2,FALSE)=0,"Spatial Data Missing ⚠",VLOOKUP(AN160,'G-3 Multipliers'!$S$3:$T$10,2,FALSE)))</f>
        <v/>
      </c>
      <c r="AP160" s="376" t="str">
        <f t="shared" si="32"/>
        <v/>
      </c>
      <c r="AQ160" s="376" t="str">
        <f t="shared" si="33"/>
        <v/>
      </c>
      <c r="AR160" s="119"/>
      <c r="AS160" s="528"/>
      <c r="AT160" s="120"/>
      <c r="AU160" s="120"/>
    </row>
    <row r="161" spans="1:47">
      <c r="A161" s="30" t="str">
        <f>IF(E161="","",IF(ISNA(VLOOKUP($E161,'D-1 Off-Site Habitat Baseline'!$D$1:$O$258,2,FALSE)),"",(VLOOKUP($E161,'D-1 Off-Site Habitat Baseline'!$D$1:$O$258,2,FALSE))))</f>
        <v/>
      </c>
      <c r="B161" s="30" t="str">
        <f>IF(E161="","",IF(ISNA(VLOOKUP($E161,'D-1 Off-Site Habitat Baseline'!$D$1:$O$258,3,FALSE)),"",(VLOOKUP($E161,'D-1 Off-Site Habitat Baseline'!$D$1:$O$258,3,FALSE))))</f>
        <v/>
      </c>
      <c r="C161" s="30" t="str">
        <f>IFERROR(INDEX('G-8 Condition Look up'!$I$4:$I$135,MATCH(S161,'G-8 Condition Look up'!$A$4:$A$135,0)),"")</f>
        <v/>
      </c>
      <c r="E161" s="407" t="str">
        <f>'D-1 Off-Site Habitat Baseline'!AP160</f>
        <v/>
      </c>
      <c r="F161" s="382" t="str">
        <f>IF(E161="","",IF(ISNA(VLOOKUP($E161,'D-1 Off-Site Habitat Baseline'!$D$1:$O$258,4,FALSE)),"",(VLOOKUP($E161,'D-1 Off-Site Habitat Baseline'!$D$1:$O$258,4,FALSE))))</f>
        <v/>
      </c>
      <c r="G161" s="382" t="str">
        <f>IF(E161="","",IF(ISNA(VLOOKUP($E161,'D-1 Off-Site Habitat Baseline'!$D$1:$O$258,5,FALSE)),"",(VLOOKUP($E161,'D-1 Off-Site Habitat Baseline'!$D$1:$O$258,5,FALSE))))</f>
        <v/>
      </c>
      <c r="H161" s="382" t="str">
        <f>IF(E161="","",IF(ISNA(VLOOKUP($E161,'D-1 Off-Site Habitat Baseline'!$D$1:$O$258,6,FALSE)),"",(VLOOKUP($E161,'D-1 Off-Site Habitat Baseline'!$D$1:$O$258,6,FALSE))))</f>
        <v/>
      </c>
      <c r="I161" s="382" t="str">
        <f>IF(E161="","",IF(ISNA(VLOOKUP($E161,'D-1 Off-Site Habitat Baseline'!$D$1:$O$258,7,FALSE)),"",(VLOOKUP($E161,'D-1 Off-Site Habitat Baseline'!$D$1:$O$258,7,FALSE))))</f>
        <v/>
      </c>
      <c r="J161" s="382" t="str">
        <f>IF(E161="","",IF(ISNA(VLOOKUP($E161,'D-1 Off-Site Habitat Baseline'!$D$1:$O$258,8,FALSE)),"",(VLOOKUP($E161,'D-1 Off-Site Habitat Baseline'!$D$1:$O$258,8,FALSE))))</f>
        <v/>
      </c>
      <c r="K161" s="382" t="str">
        <f>IF(E161="","",IF(ISNA(VLOOKUP($E161,'D-1 Off-Site Habitat Baseline'!$D$1:$O$258,9,FALSE)),"",(VLOOKUP($E161,'D-1 Off-Site Habitat Baseline'!$D$1:$O$258,9,FALSE))))</f>
        <v/>
      </c>
      <c r="L161" s="382" t="str">
        <f>IF(E161="","",IF(ISNA(VLOOKUP($E161,'D-1 Off-Site Habitat Baseline'!$D$1:$O$258,11,FALSE)),"",(VLOOKUP($E161,'D-1 Off-Site Habitat Baseline'!$D$1:$O$258,11,FALSE))))</f>
        <v/>
      </c>
      <c r="M161" s="382" t="str">
        <f>IF(E161="","",IF(ISNA(VLOOKUP($E161,'D-1 Off-Site Habitat Baseline'!$D$1:$O$258,12,FALSE)),"",(VLOOKUP($E161,'D-1 Off-Site Habitat Baseline'!$D$1:$O$258,12,FALSE))))</f>
        <v/>
      </c>
      <c r="N161" s="382" t="str">
        <f>IF(E161="","",IF(ISNA(VLOOKUP($E161,'D-1 Off-Site Habitat Baseline'!$D$1:$AA$258,14,FALSE)),"",(VLOOKUP($E161,'D-1 Off-Site Habitat Baseline'!$D$1:$AA$258,14,FALSE))))</f>
        <v/>
      </c>
      <c r="O161" s="386" t="str">
        <f>IF(E161="","",IF(ISNA(VLOOKUP($E161,'D-1 Off-Site Habitat Baseline'!$D$1:$AA$258,13,FALSE)),"",(VLOOKUP($E161,'D-1 Off-Site Habitat Baseline'!$D$1:$AA$258,13,FALSE))))</f>
        <v/>
      </c>
      <c r="P161" s="184" t="str">
        <f>IFERROR(INDEX('G-1 All Habitats'!$AG$3:$AG$17,MATCH(Q161,'G-1 All Habitats'!$AF$3:$AF$17,0)),"")</f>
        <v/>
      </c>
      <c r="Q161" s="185" t="str">
        <f t="shared" si="25"/>
        <v/>
      </c>
      <c r="R161" s="186" t="str">
        <f t="shared" si="25"/>
        <v/>
      </c>
      <c r="S161" s="187" t="str">
        <f>IFERROR(INDEX('G-1 All Habitats'!$B$3:$B$134,MATCH(R161,'G-1 All Habitats'!$A$3:$A$134,0)),"")</f>
        <v/>
      </c>
      <c r="T161" s="370" t="str">
        <f t="shared" si="26"/>
        <v/>
      </c>
      <c r="U161" s="386" t="str">
        <f t="shared" si="27"/>
        <v/>
      </c>
      <c r="V161" s="385" t="str">
        <f t="shared" si="23"/>
        <v/>
      </c>
      <c r="W161" s="382" t="str">
        <f>IF(S161="","",VLOOKUP(S161,'G-1 All Habitats'!$B$2:$M$134,10,FALSE))</f>
        <v/>
      </c>
      <c r="X161" s="382" t="str">
        <f>IFERROR(VLOOKUP(W161,'G-1 All Habitats'!$V$3:$W$7,2,FALSE),"")</f>
        <v/>
      </c>
      <c r="Y161" s="165"/>
      <c r="Z161" s="386" t="str">
        <f>IFERROR(INDEX('G-8 Condition Look up'!$A$3:$H$135,MATCH(S161,'G-8 Condition Look up'!$A$3:$A$135,0),MATCH(Y161,'G-8 Condition Look up'!$A$3:$H$3,0)),"")</f>
        <v/>
      </c>
      <c r="AA161" s="114"/>
      <c r="AB161" s="401" t="str">
        <f>IF(AA161="","",IF(VLOOKUP(AA161,'G-3 Multipliers'!$L$3:$N$6,2,FALSE)=0,"Spatial Data Missing ⚠",VLOOKUP(AA161,'G-3 Multipliers'!$L$3:$N$6,2,FALSE)))</f>
        <v/>
      </c>
      <c r="AC161" s="386" t="str">
        <f>IF(AA161="","",IF(VLOOKUP(AA161,'G-3 Multipliers'!$L$3:$N$6,3,FALSE)=0,"Spatial Data Missing ⚠",VLOOKUP(AA161,'G-3 Multipliers'!$L$3:$N$6,3,FALSE)))</f>
        <v/>
      </c>
      <c r="AD161" s="398" t="str">
        <f t="shared" si="24"/>
        <v/>
      </c>
      <c r="AE161" s="165"/>
      <c r="AF161" s="165"/>
      <c r="AG161" s="382" t="str">
        <f t="shared" si="28"/>
        <v/>
      </c>
      <c r="AH161" s="404" t="str">
        <f t="shared" si="29"/>
        <v/>
      </c>
      <c r="AI161" s="387" t="str">
        <f>IF(AH161="Check Data ⚠","Check Data ⚠",IFERROR(VLOOKUP(AH161,'G-4 Temporal multipliers'!$A$4:$C$36,3,FALSE),""))</f>
        <v/>
      </c>
      <c r="AJ161" s="398" t="str">
        <f>IF(S161="","",VLOOKUP(S161,'G-3 Multipliers'!$A$2:$E$134,4,FALSE))</f>
        <v/>
      </c>
      <c r="AK161" s="382" t="str">
        <f t="shared" si="30"/>
        <v/>
      </c>
      <c r="AL161" s="382" t="str">
        <f t="shared" si="31"/>
        <v/>
      </c>
      <c r="AM161" s="386" t="str">
        <f>IFERROR(IF(F161="","",IF(AH161="Check Data ⚠","Check Data ⚠",VLOOKUP(AL161, 'G-3 Multipliers'!$P$2:$Q$6,2,FALSE))),"")</f>
        <v/>
      </c>
      <c r="AN161" s="516"/>
      <c r="AO161" s="417" t="str">
        <f>IF(AN161="","",IF(VLOOKUP(AN161,'G-3 Multipliers'!$S$3:$T$10,2,FALSE)=0,"Spatial Data Missing ⚠",VLOOKUP(AN161,'G-3 Multipliers'!$S$3:$T$10,2,FALSE)))</f>
        <v/>
      </c>
      <c r="AP161" s="376" t="str">
        <f t="shared" si="32"/>
        <v/>
      </c>
      <c r="AQ161" s="376" t="str">
        <f t="shared" si="33"/>
        <v/>
      </c>
      <c r="AR161" s="119"/>
      <c r="AS161" s="528"/>
      <c r="AT161" s="120"/>
      <c r="AU161" s="120"/>
    </row>
    <row r="162" spans="1:47">
      <c r="A162" s="30" t="str">
        <f>IF(E162="","",IF(ISNA(VLOOKUP($E162,'D-1 Off-Site Habitat Baseline'!$D$1:$O$258,2,FALSE)),"",(VLOOKUP($E162,'D-1 Off-Site Habitat Baseline'!$D$1:$O$258,2,FALSE))))</f>
        <v/>
      </c>
      <c r="B162" s="30" t="str">
        <f>IF(E162="","",IF(ISNA(VLOOKUP($E162,'D-1 Off-Site Habitat Baseline'!$D$1:$O$258,3,FALSE)),"",(VLOOKUP($E162,'D-1 Off-Site Habitat Baseline'!$D$1:$O$258,3,FALSE))))</f>
        <v/>
      </c>
      <c r="C162" s="30" t="str">
        <f>IFERROR(INDEX('G-8 Condition Look up'!$I$4:$I$135,MATCH(S162,'G-8 Condition Look up'!$A$4:$A$135,0)),"")</f>
        <v/>
      </c>
      <c r="E162" s="407" t="str">
        <f>'D-1 Off-Site Habitat Baseline'!AP161</f>
        <v/>
      </c>
      <c r="F162" s="382" t="str">
        <f>IF(E162="","",IF(ISNA(VLOOKUP($E162,'D-1 Off-Site Habitat Baseline'!$D$1:$O$258,4,FALSE)),"",(VLOOKUP($E162,'D-1 Off-Site Habitat Baseline'!$D$1:$O$258,4,FALSE))))</f>
        <v/>
      </c>
      <c r="G162" s="382" t="str">
        <f>IF(E162="","",IF(ISNA(VLOOKUP($E162,'D-1 Off-Site Habitat Baseline'!$D$1:$O$258,5,FALSE)),"",(VLOOKUP($E162,'D-1 Off-Site Habitat Baseline'!$D$1:$O$258,5,FALSE))))</f>
        <v/>
      </c>
      <c r="H162" s="382" t="str">
        <f>IF(E162="","",IF(ISNA(VLOOKUP($E162,'D-1 Off-Site Habitat Baseline'!$D$1:$O$258,6,FALSE)),"",(VLOOKUP($E162,'D-1 Off-Site Habitat Baseline'!$D$1:$O$258,6,FALSE))))</f>
        <v/>
      </c>
      <c r="I162" s="382" t="str">
        <f>IF(E162="","",IF(ISNA(VLOOKUP($E162,'D-1 Off-Site Habitat Baseline'!$D$1:$O$258,7,FALSE)),"",(VLOOKUP($E162,'D-1 Off-Site Habitat Baseline'!$D$1:$O$258,7,FALSE))))</f>
        <v/>
      </c>
      <c r="J162" s="382" t="str">
        <f>IF(E162="","",IF(ISNA(VLOOKUP($E162,'D-1 Off-Site Habitat Baseline'!$D$1:$O$258,8,FALSE)),"",(VLOOKUP($E162,'D-1 Off-Site Habitat Baseline'!$D$1:$O$258,8,FALSE))))</f>
        <v/>
      </c>
      <c r="K162" s="382" t="str">
        <f>IF(E162="","",IF(ISNA(VLOOKUP($E162,'D-1 Off-Site Habitat Baseline'!$D$1:$O$258,9,FALSE)),"",(VLOOKUP($E162,'D-1 Off-Site Habitat Baseline'!$D$1:$O$258,9,FALSE))))</f>
        <v/>
      </c>
      <c r="L162" s="382" t="str">
        <f>IF(E162="","",IF(ISNA(VLOOKUP($E162,'D-1 Off-Site Habitat Baseline'!$D$1:$O$258,11,FALSE)),"",(VLOOKUP($E162,'D-1 Off-Site Habitat Baseline'!$D$1:$O$258,11,FALSE))))</f>
        <v/>
      </c>
      <c r="M162" s="382" t="str">
        <f>IF(E162="","",IF(ISNA(VLOOKUP($E162,'D-1 Off-Site Habitat Baseline'!$D$1:$O$258,12,FALSE)),"",(VLOOKUP($E162,'D-1 Off-Site Habitat Baseline'!$D$1:$O$258,12,FALSE))))</f>
        <v/>
      </c>
      <c r="N162" s="382" t="str">
        <f>IF(E162="","",IF(ISNA(VLOOKUP($E162,'D-1 Off-Site Habitat Baseline'!$D$1:$AA$258,14,FALSE)),"",(VLOOKUP($E162,'D-1 Off-Site Habitat Baseline'!$D$1:$AA$258,14,FALSE))))</f>
        <v/>
      </c>
      <c r="O162" s="386" t="str">
        <f>IF(E162="","",IF(ISNA(VLOOKUP($E162,'D-1 Off-Site Habitat Baseline'!$D$1:$AA$258,13,FALSE)),"",(VLOOKUP($E162,'D-1 Off-Site Habitat Baseline'!$D$1:$AA$258,13,FALSE))))</f>
        <v/>
      </c>
      <c r="P162" s="184" t="str">
        <f>IFERROR(INDEX('G-1 All Habitats'!$AG$3:$AG$17,MATCH(Q162,'G-1 All Habitats'!$AF$3:$AF$17,0)),"")</f>
        <v/>
      </c>
      <c r="Q162" s="185" t="str">
        <f t="shared" si="25"/>
        <v/>
      </c>
      <c r="R162" s="186" t="str">
        <f t="shared" si="25"/>
        <v/>
      </c>
      <c r="S162" s="187" t="str">
        <f>IFERROR(INDEX('G-1 All Habitats'!$B$3:$B$134,MATCH(R162,'G-1 All Habitats'!$A$3:$A$134,0)),"")</f>
        <v/>
      </c>
      <c r="T162" s="370" t="str">
        <f t="shared" si="26"/>
        <v/>
      </c>
      <c r="U162" s="386" t="str">
        <f t="shared" si="27"/>
        <v/>
      </c>
      <c r="V162" s="385" t="str">
        <f t="shared" si="23"/>
        <v/>
      </c>
      <c r="W162" s="382" t="str">
        <f>IF(S162="","",VLOOKUP(S162,'G-1 All Habitats'!$B$2:$M$134,10,FALSE))</f>
        <v/>
      </c>
      <c r="X162" s="382" t="str">
        <f>IFERROR(VLOOKUP(W162,'G-1 All Habitats'!$V$3:$W$7,2,FALSE),"")</f>
        <v/>
      </c>
      <c r="Y162" s="165"/>
      <c r="Z162" s="386" t="str">
        <f>IFERROR(INDEX('G-8 Condition Look up'!$A$3:$H$135,MATCH(S162,'G-8 Condition Look up'!$A$3:$A$135,0),MATCH(Y162,'G-8 Condition Look up'!$A$3:$H$3,0)),"")</f>
        <v/>
      </c>
      <c r="AA162" s="114"/>
      <c r="AB162" s="401" t="str">
        <f>IF(AA162="","",IF(VLOOKUP(AA162,'G-3 Multipliers'!$L$3:$N$6,2,FALSE)=0,"Spatial Data Missing ⚠",VLOOKUP(AA162,'G-3 Multipliers'!$L$3:$N$6,2,FALSE)))</f>
        <v/>
      </c>
      <c r="AC162" s="386" t="str">
        <f>IF(AA162="","",IF(VLOOKUP(AA162,'G-3 Multipliers'!$L$3:$N$6,3,FALSE)=0,"Spatial Data Missing ⚠",VLOOKUP(AA162,'G-3 Multipliers'!$L$3:$N$6,3,FALSE)))</f>
        <v/>
      </c>
      <c r="AD162" s="398" t="str">
        <f t="shared" si="24"/>
        <v/>
      </c>
      <c r="AE162" s="165"/>
      <c r="AF162" s="165"/>
      <c r="AG162" s="382" t="str">
        <f t="shared" si="28"/>
        <v/>
      </c>
      <c r="AH162" s="404" t="str">
        <f t="shared" si="29"/>
        <v/>
      </c>
      <c r="AI162" s="387" t="str">
        <f>IF(AH162="Check Data ⚠","Check Data ⚠",IFERROR(VLOOKUP(AH162,'G-4 Temporal multipliers'!$A$4:$C$36,3,FALSE),""))</f>
        <v/>
      </c>
      <c r="AJ162" s="398" t="str">
        <f>IF(S162="","",VLOOKUP(S162,'G-3 Multipliers'!$A$2:$E$134,4,FALSE))</f>
        <v/>
      </c>
      <c r="AK162" s="382" t="str">
        <f t="shared" si="30"/>
        <v/>
      </c>
      <c r="AL162" s="382" t="str">
        <f t="shared" si="31"/>
        <v/>
      </c>
      <c r="AM162" s="386" t="str">
        <f>IFERROR(IF(F162="","",IF(AH162="Check Data ⚠","Check Data ⚠",VLOOKUP(AL162, 'G-3 Multipliers'!$P$2:$Q$6,2,FALSE))),"")</f>
        <v/>
      </c>
      <c r="AN162" s="516"/>
      <c r="AO162" s="417" t="str">
        <f>IF(AN162="","",IF(VLOOKUP(AN162,'G-3 Multipliers'!$S$3:$T$10,2,FALSE)=0,"Spatial Data Missing ⚠",VLOOKUP(AN162,'G-3 Multipliers'!$S$3:$T$10,2,FALSE)))</f>
        <v/>
      </c>
      <c r="AP162" s="376" t="str">
        <f t="shared" si="32"/>
        <v/>
      </c>
      <c r="AQ162" s="376" t="str">
        <f t="shared" si="33"/>
        <v/>
      </c>
      <c r="AR162" s="119"/>
      <c r="AS162" s="528"/>
      <c r="AT162" s="120"/>
      <c r="AU162" s="120"/>
    </row>
    <row r="163" spans="1:47">
      <c r="A163" s="30" t="str">
        <f>IF(E163="","",IF(ISNA(VLOOKUP($E163,'D-1 Off-Site Habitat Baseline'!$D$1:$O$258,2,FALSE)),"",(VLOOKUP($E163,'D-1 Off-Site Habitat Baseline'!$D$1:$O$258,2,FALSE))))</f>
        <v/>
      </c>
      <c r="B163" s="30" t="str">
        <f>IF(E163="","",IF(ISNA(VLOOKUP($E163,'D-1 Off-Site Habitat Baseline'!$D$1:$O$258,3,FALSE)),"",(VLOOKUP($E163,'D-1 Off-Site Habitat Baseline'!$D$1:$O$258,3,FALSE))))</f>
        <v/>
      </c>
      <c r="C163" s="30" t="str">
        <f>IFERROR(INDEX('G-8 Condition Look up'!$I$4:$I$135,MATCH(S163,'G-8 Condition Look up'!$A$4:$A$135,0)),"")</f>
        <v/>
      </c>
      <c r="E163" s="407" t="str">
        <f>'D-1 Off-Site Habitat Baseline'!AP162</f>
        <v/>
      </c>
      <c r="F163" s="382" t="str">
        <f>IF(E163="","",IF(ISNA(VLOOKUP($E163,'D-1 Off-Site Habitat Baseline'!$D$1:$O$258,4,FALSE)),"",(VLOOKUP($E163,'D-1 Off-Site Habitat Baseline'!$D$1:$O$258,4,FALSE))))</f>
        <v/>
      </c>
      <c r="G163" s="382" t="str">
        <f>IF(E163="","",IF(ISNA(VLOOKUP($E163,'D-1 Off-Site Habitat Baseline'!$D$1:$O$258,5,FALSE)),"",(VLOOKUP($E163,'D-1 Off-Site Habitat Baseline'!$D$1:$O$258,5,FALSE))))</f>
        <v/>
      </c>
      <c r="H163" s="382" t="str">
        <f>IF(E163="","",IF(ISNA(VLOOKUP($E163,'D-1 Off-Site Habitat Baseline'!$D$1:$O$258,6,FALSE)),"",(VLOOKUP($E163,'D-1 Off-Site Habitat Baseline'!$D$1:$O$258,6,FALSE))))</f>
        <v/>
      </c>
      <c r="I163" s="382" t="str">
        <f>IF(E163="","",IF(ISNA(VLOOKUP($E163,'D-1 Off-Site Habitat Baseline'!$D$1:$O$258,7,FALSE)),"",(VLOOKUP($E163,'D-1 Off-Site Habitat Baseline'!$D$1:$O$258,7,FALSE))))</f>
        <v/>
      </c>
      <c r="J163" s="382" t="str">
        <f>IF(E163="","",IF(ISNA(VLOOKUP($E163,'D-1 Off-Site Habitat Baseline'!$D$1:$O$258,8,FALSE)),"",(VLOOKUP($E163,'D-1 Off-Site Habitat Baseline'!$D$1:$O$258,8,FALSE))))</f>
        <v/>
      </c>
      <c r="K163" s="382" t="str">
        <f>IF(E163="","",IF(ISNA(VLOOKUP($E163,'D-1 Off-Site Habitat Baseline'!$D$1:$O$258,9,FALSE)),"",(VLOOKUP($E163,'D-1 Off-Site Habitat Baseline'!$D$1:$O$258,9,FALSE))))</f>
        <v/>
      </c>
      <c r="L163" s="382" t="str">
        <f>IF(E163="","",IF(ISNA(VLOOKUP($E163,'D-1 Off-Site Habitat Baseline'!$D$1:$O$258,11,FALSE)),"",(VLOOKUP($E163,'D-1 Off-Site Habitat Baseline'!$D$1:$O$258,11,FALSE))))</f>
        <v/>
      </c>
      <c r="M163" s="382" t="str">
        <f>IF(E163="","",IF(ISNA(VLOOKUP($E163,'D-1 Off-Site Habitat Baseline'!$D$1:$O$258,12,FALSE)),"",(VLOOKUP($E163,'D-1 Off-Site Habitat Baseline'!$D$1:$O$258,12,FALSE))))</f>
        <v/>
      </c>
      <c r="N163" s="382" t="str">
        <f>IF(E163="","",IF(ISNA(VLOOKUP($E163,'D-1 Off-Site Habitat Baseline'!$D$1:$AA$258,14,FALSE)),"",(VLOOKUP($E163,'D-1 Off-Site Habitat Baseline'!$D$1:$AA$258,14,FALSE))))</f>
        <v/>
      </c>
      <c r="O163" s="386" t="str">
        <f>IF(E163="","",IF(ISNA(VLOOKUP($E163,'D-1 Off-Site Habitat Baseline'!$D$1:$AA$258,13,FALSE)),"",(VLOOKUP($E163,'D-1 Off-Site Habitat Baseline'!$D$1:$AA$258,13,FALSE))))</f>
        <v/>
      </c>
      <c r="P163" s="184" t="str">
        <f>IFERROR(INDEX('G-1 All Habitats'!$AG$3:$AG$17,MATCH(Q163,'G-1 All Habitats'!$AF$3:$AF$17,0)),"")</f>
        <v/>
      </c>
      <c r="Q163" s="185" t="str">
        <f t="shared" si="25"/>
        <v/>
      </c>
      <c r="R163" s="186" t="str">
        <f t="shared" si="25"/>
        <v/>
      </c>
      <c r="S163" s="187" t="str">
        <f>IFERROR(INDEX('G-1 All Habitats'!$B$3:$B$134,MATCH(R163,'G-1 All Habitats'!$A$3:$A$134,0)),"")</f>
        <v/>
      </c>
      <c r="T163" s="370" t="str">
        <f t="shared" si="26"/>
        <v/>
      </c>
      <c r="U163" s="386" t="str">
        <f t="shared" si="27"/>
        <v/>
      </c>
      <c r="V163" s="385" t="str">
        <f t="shared" si="23"/>
        <v/>
      </c>
      <c r="W163" s="382" t="str">
        <f>IF(S163="","",VLOOKUP(S163,'G-1 All Habitats'!$B$2:$M$134,10,FALSE))</f>
        <v/>
      </c>
      <c r="X163" s="382" t="str">
        <f>IFERROR(VLOOKUP(W163,'G-1 All Habitats'!$V$3:$W$7,2,FALSE),"")</f>
        <v/>
      </c>
      <c r="Y163" s="165"/>
      <c r="Z163" s="386" t="str">
        <f>IFERROR(INDEX('G-8 Condition Look up'!$A$3:$H$135,MATCH(S163,'G-8 Condition Look up'!$A$3:$A$135,0),MATCH(Y163,'G-8 Condition Look up'!$A$3:$H$3,0)),"")</f>
        <v/>
      </c>
      <c r="AA163" s="114"/>
      <c r="AB163" s="401" t="str">
        <f>IF(AA163="","",IF(VLOOKUP(AA163,'G-3 Multipliers'!$L$3:$N$6,2,FALSE)=0,"Spatial Data Missing ⚠",VLOOKUP(AA163,'G-3 Multipliers'!$L$3:$N$6,2,FALSE)))</f>
        <v/>
      </c>
      <c r="AC163" s="386" t="str">
        <f>IF(AA163="","",IF(VLOOKUP(AA163,'G-3 Multipliers'!$L$3:$N$6,3,FALSE)=0,"Spatial Data Missing ⚠",VLOOKUP(AA163,'G-3 Multipliers'!$L$3:$N$6,3,FALSE)))</f>
        <v/>
      </c>
      <c r="AD163" s="398" t="str">
        <f t="shared" si="24"/>
        <v/>
      </c>
      <c r="AE163" s="165"/>
      <c r="AF163" s="165"/>
      <c r="AG163" s="382" t="str">
        <f t="shared" si="28"/>
        <v/>
      </c>
      <c r="AH163" s="404" t="str">
        <f t="shared" si="29"/>
        <v/>
      </c>
      <c r="AI163" s="387" t="str">
        <f>IF(AH163="Check Data ⚠","Check Data ⚠",IFERROR(VLOOKUP(AH163,'G-4 Temporal multipliers'!$A$4:$C$36,3,FALSE),""))</f>
        <v/>
      </c>
      <c r="AJ163" s="398" t="str">
        <f>IF(S163="","",VLOOKUP(S163,'G-3 Multipliers'!$A$2:$E$134,4,FALSE))</f>
        <v/>
      </c>
      <c r="AK163" s="382" t="str">
        <f t="shared" si="30"/>
        <v/>
      </c>
      <c r="AL163" s="382" t="str">
        <f t="shared" si="31"/>
        <v/>
      </c>
      <c r="AM163" s="386" t="str">
        <f>IFERROR(IF(F163="","",IF(AH163="Check Data ⚠","Check Data ⚠",VLOOKUP(AL163, 'G-3 Multipliers'!$P$2:$Q$6,2,FALSE))),"")</f>
        <v/>
      </c>
      <c r="AN163" s="516"/>
      <c r="AO163" s="417" t="str">
        <f>IF(AN163="","",IF(VLOOKUP(AN163,'G-3 Multipliers'!$S$3:$T$10,2,FALSE)=0,"Spatial Data Missing ⚠",VLOOKUP(AN163,'G-3 Multipliers'!$S$3:$T$10,2,FALSE)))</f>
        <v/>
      </c>
      <c r="AP163" s="376" t="str">
        <f t="shared" si="32"/>
        <v/>
      </c>
      <c r="AQ163" s="376" t="str">
        <f t="shared" si="33"/>
        <v/>
      </c>
      <c r="AR163" s="119"/>
      <c r="AS163" s="528"/>
      <c r="AT163" s="120"/>
      <c r="AU163" s="120"/>
    </row>
    <row r="164" spans="1:47">
      <c r="A164" s="30" t="str">
        <f>IF(E164="","",IF(ISNA(VLOOKUP($E164,'D-1 Off-Site Habitat Baseline'!$D$1:$O$258,2,FALSE)),"",(VLOOKUP($E164,'D-1 Off-Site Habitat Baseline'!$D$1:$O$258,2,FALSE))))</f>
        <v/>
      </c>
      <c r="B164" s="30" t="str">
        <f>IF(E164="","",IF(ISNA(VLOOKUP($E164,'D-1 Off-Site Habitat Baseline'!$D$1:$O$258,3,FALSE)),"",(VLOOKUP($E164,'D-1 Off-Site Habitat Baseline'!$D$1:$O$258,3,FALSE))))</f>
        <v/>
      </c>
      <c r="C164" s="30" t="str">
        <f>IFERROR(INDEX('G-8 Condition Look up'!$I$4:$I$135,MATCH(S164,'G-8 Condition Look up'!$A$4:$A$135,0)),"")</f>
        <v/>
      </c>
      <c r="E164" s="407" t="str">
        <f>'D-1 Off-Site Habitat Baseline'!AP163</f>
        <v/>
      </c>
      <c r="F164" s="382" t="str">
        <f>IF(E164="","",IF(ISNA(VLOOKUP($E164,'D-1 Off-Site Habitat Baseline'!$D$1:$O$258,4,FALSE)),"",(VLOOKUP($E164,'D-1 Off-Site Habitat Baseline'!$D$1:$O$258,4,FALSE))))</f>
        <v/>
      </c>
      <c r="G164" s="382" t="str">
        <f>IF(E164="","",IF(ISNA(VLOOKUP($E164,'D-1 Off-Site Habitat Baseline'!$D$1:$O$258,5,FALSE)),"",(VLOOKUP($E164,'D-1 Off-Site Habitat Baseline'!$D$1:$O$258,5,FALSE))))</f>
        <v/>
      </c>
      <c r="H164" s="382" t="str">
        <f>IF(E164="","",IF(ISNA(VLOOKUP($E164,'D-1 Off-Site Habitat Baseline'!$D$1:$O$258,6,FALSE)),"",(VLOOKUP($E164,'D-1 Off-Site Habitat Baseline'!$D$1:$O$258,6,FALSE))))</f>
        <v/>
      </c>
      <c r="I164" s="382" t="str">
        <f>IF(E164="","",IF(ISNA(VLOOKUP($E164,'D-1 Off-Site Habitat Baseline'!$D$1:$O$258,7,FALSE)),"",(VLOOKUP($E164,'D-1 Off-Site Habitat Baseline'!$D$1:$O$258,7,FALSE))))</f>
        <v/>
      </c>
      <c r="J164" s="382" t="str">
        <f>IF(E164="","",IF(ISNA(VLOOKUP($E164,'D-1 Off-Site Habitat Baseline'!$D$1:$O$258,8,FALSE)),"",(VLOOKUP($E164,'D-1 Off-Site Habitat Baseline'!$D$1:$O$258,8,FALSE))))</f>
        <v/>
      </c>
      <c r="K164" s="382" t="str">
        <f>IF(E164="","",IF(ISNA(VLOOKUP($E164,'D-1 Off-Site Habitat Baseline'!$D$1:$O$258,9,FALSE)),"",(VLOOKUP($E164,'D-1 Off-Site Habitat Baseline'!$D$1:$O$258,9,FALSE))))</f>
        <v/>
      </c>
      <c r="L164" s="382" t="str">
        <f>IF(E164="","",IF(ISNA(VLOOKUP($E164,'D-1 Off-Site Habitat Baseline'!$D$1:$O$258,11,FALSE)),"",(VLOOKUP($E164,'D-1 Off-Site Habitat Baseline'!$D$1:$O$258,11,FALSE))))</f>
        <v/>
      </c>
      <c r="M164" s="382" t="str">
        <f>IF(E164="","",IF(ISNA(VLOOKUP($E164,'D-1 Off-Site Habitat Baseline'!$D$1:$O$258,12,FALSE)),"",(VLOOKUP($E164,'D-1 Off-Site Habitat Baseline'!$D$1:$O$258,12,FALSE))))</f>
        <v/>
      </c>
      <c r="N164" s="382" t="str">
        <f>IF(E164="","",IF(ISNA(VLOOKUP($E164,'D-1 Off-Site Habitat Baseline'!$D$1:$AA$258,14,FALSE)),"",(VLOOKUP($E164,'D-1 Off-Site Habitat Baseline'!$D$1:$AA$258,14,FALSE))))</f>
        <v/>
      </c>
      <c r="O164" s="386" t="str">
        <f>IF(E164="","",IF(ISNA(VLOOKUP($E164,'D-1 Off-Site Habitat Baseline'!$D$1:$AA$258,13,FALSE)),"",(VLOOKUP($E164,'D-1 Off-Site Habitat Baseline'!$D$1:$AA$258,13,FALSE))))</f>
        <v/>
      </c>
      <c r="P164" s="184" t="str">
        <f>IFERROR(INDEX('G-1 All Habitats'!$AG$3:$AG$17,MATCH(Q164,'G-1 All Habitats'!$AF$3:$AF$17,0)),"")</f>
        <v/>
      </c>
      <c r="Q164" s="185" t="str">
        <f t="shared" si="25"/>
        <v/>
      </c>
      <c r="R164" s="186" t="str">
        <f t="shared" si="25"/>
        <v/>
      </c>
      <c r="S164" s="187" t="str">
        <f>IFERROR(INDEX('G-1 All Habitats'!$B$3:$B$134,MATCH(R164,'G-1 All Habitats'!$A$3:$A$134,0)),"")</f>
        <v/>
      </c>
      <c r="T164" s="370" t="str">
        <f t="shared" si="26"/>
        <v/>
      </c>
      <c r="U164" s="386" t="str">
        <f t="shared" si="27"/>
        <v/>
      </c>
      <c r="V164" s="385" t="str">
        <f t="shared" si="23"/>
        <v/>
      </c>
      <c r="W164" s="382" t="str">
        <f>IF(S164="","",VLOOKUP(S164,'G-1 All Habitats'!$B$2:$M$134,10,FALSE))</f>
        <v/>
      </c>
      <c r="X164" s="382" t="str">
        <f>IFERROR(VLOOKUP(W164,'G-1 All Habitats'!$V$3:$W$7,2,FALSE),"")</f>
        <v/>
      </c>
      <c r="Y164" s="165"/>
      <c r="Z164" s="386" t="str">
        <f>IFERROR(INDEX('G-8 Condition Look up'!$A$3:$H$135,MATCH(S164,'G-8 Condition Look up'!$A$3:$A$135,0),MATCH(Y164,'G-8 Condition Look up'!$A$3:$H$3,0)),"")</f>
        <v/>
      </c>
      <c r="AA164" s="114"/>
      <c r="AB164" s="401" t="str">
        <f>IF(AA164="","",IF(VLOOKUP(AA164,'G-3 Multipliers'!$L$3:$N$6,2,FALSE)=0,"Spatial Data Missing ⚠",VLOOKUP(AA164,'G-3 Multipliers'!$L$3:$N$6,2,FALSE)))</f>
        <v/>
      </c>
      <c r="AC164" s="386" t="str">
        <f>IF(AA164="","",IF(VLOOKUP(AA164,'G-3 Multipliers'!$L$3:$N$6,3,FALSE)=0,"Spatial Data Missing ⚠",VLOOKUP(AA164,'G-3 Multipliers'!$L$3:$N$6,3,FALSE)))</f>
        <v/>
      </c>
      <c r="AD164" s="398" t="str">
        <f t="shared" si="24"/>
        <v/>
      </c>
      <c r="AE164" s="165"/>
      <c r="AF164" s="165"/>
      <c r="AG164" s="382" t="str">
        <f t="shared" si="28"/>
        <v/>
      </c>
      <c r="AH164" s="404" t="str">
        <f t="shared" si="29"/>
        <v/>
      </c>
      <c r="AI164" s="387" t="str">
        <f>IF(AH164="Check Data ⚠","Check Data ⚠",IFERROR(VLOOKUP(AH164,'G-4 Temporal multipliers'!$A$4:$C$36,3,FALSE),""))</f>
        <v/>
      </c>
      <c r="AJ164" s="398" t="str">
        <f>IF(S164="","",VLOOKUP(S164,'G-3 Multipliers'!$A$2:$E$134,4,FALSE))</f>
        <v/>
      </c>
      <c r="AK164" s="382" t="str">
        <f t="shared" si="30"/>
        <v/>
      </c>
      <c r="AL164" s="382" t="str">
        <f t="shared" si="31"/>
        <v/>
      </c>
      <c r="AM164" s="386" t="str">
        <f>IFERROR(IF(F164="","",IF(AH164="Check Data ⚠","Check Data ⚠",VLOOKUP(AL164, 'G-3 Multipliers'!$P$2:$Q$6,2,FALSE))),"")</f>
        <v/>
      </c>
      <c r="AN164" s="516"/>
      <c r="AO164" s="417" t="str">
        <f>IF(AN164="","",IF(VLOOKUP(AN164,'G-3 Multipliers'!$S$3:$T$10,2,FALSE)=0,"Spatial Data Missing ⚠",VLOOKUP(AN164,'G-3 Multipliers'!$S$3:$T$10,2,FALSE)))</f>
        <v/>
      </c>
      <c r="AP164" s="376" t="str">
        <f t="shared" si="32"/>
        <v/>
      </c>
      <c r="AQ164" s="376" t="str">
        <f t="shared" si="33"/>
        <v/>
      </c>
      <c r="AR164" s="119"/>
      <c r="AS164" s="528"/>
      <c r="AT164" s="120"/>
      <c r="AU164" s="120"/>
    </row>
    <row r="165" spans="1:47">
      <c r="A165" s="30" t="str">
        <f>IF(E165="","",IF(ISNA(VLOOKUP($E165,'D-1 Off-Site Habitat Baseline'!$D$1:$O$258,2,FALSE)),"",(VLOOKUP($E165,'D-1 Off-Site Habitat Baseline'!$D$1:$O$258,2,FALSE))))</f>
        <v/>
      </c>
      <c r="B165" s="30" t="str">
        <f>IF(E165="","",IF(ISNA(VLOOKUP($E165,'D-1 Off-Site Habitat Baseline'!$D$1:$O$258,3,FALSE)),"",(VLOOKUP($E165,'D-1 Off-Site Habitat Baseline'!$D$1:$O$258,3,FALSE))))</f>
        <v/>
      </c>
      <c r="C165" s="30" t="str">
        <f>IFERROR(INDEX('G-8 Condition Look up'!$I$4:$I$135,MATCH(S165,'G-8 Condition Look up'!$A$4:$A$135,0)),"")</f>
        <v/>
      </c>
      <c r="E165" s="407" t="str">
        <f>'D-1 Off-Site Habitat Baseline'!AP164</f>
        <v/>
      </c>
      <c r="F165" s="382" t="str">
        <f>IF(E165="","",IF(ISNA(VLOOKUP($E165,'D-1 Off-Site Habitat Baseline'!$D$1:$O$258,4,FALSE)),"",(VLOOKUP($E165,'D-1 Off-Site Habitat Baseline'!$D$1:$O$258,4,FALSE))))</f>
        <v/>
      </c>
      <c r="G165" s="382" t="str">
        <f>IF(E165="","",IF(ISNA(VLOOKUP($E165,'D-1 Off-Site Habitat Baseline'!$D$1:$O$258,5,FALSE)),"",(VLOOKUP($E165,'D-1 Off-Site Habitat Baseline'!$D$1:$O$258,5,FALSE))))</f>
        <v/>
      </c>
      <c r="H165" s="382" t="str">
        <f>IF(E165="","",IF(ISNA(VLOOKUP($E165,'D-1 Off-Site Habitat Baseline'!$D$1:$O$258,6,FALSE)),"",(VLOOKUP($E165,'D-1 Off-Site Habitat Baseline'!$D$1:$O$258,6,FALSE))))</f>
        <v/>
      </c>
      <c r="I165" s="382" t="str">
        <f>IF(E165="","",IF(ISNA(VLOOKUP($E165,'D-1 Off-Site Habitat Baseline'!$D$1:$O$258,7,FALSE)),"",(VLOOKUP($E165,'D-1 Off-Site Habitat Baseline'!$D$1:$O$258,7,FALSE))))</f>
        <v/>
      </c>
      <c r="J165" s="382" t="str">
        <f>IF(E165="","",IF(ISNA(VLOOKUP($E165,'D-1 Off-Site Habitat Baseline'!$D$1:$O$258,8,FALSE)),"",(VLOOKUP($E165,'D-1 Off-Site Habitat Baseline'!$D$1:$O$258,8,FALSE))))</f>
        <v/>
      </c>
      <c r="K165" s="382" t="str">
        <f>IF(E165="","",IF(ISNA(VLOOKUP($E165,'D-1 Off-Site Habitat Baseline'!$D$1:$O$258,9,FALSE)),"",(VLOOKUP($E165,'D-1 Off-Site Habitat Baseline'!$D$1:$O$258,9,FALSE))))</f>
        <v/>
      </c>
      <c r="L165" s="382" t="str">
        <f>IF(E165="","",IF(ISNA(VLOOKUP($E165,'D-1 Off-Site Habitat Baseline'!$D$1:$O$258,11,FALSE)),"",(VLOOKUP($E165,'D-1 Off-Site Habitat Baseline'!$D$1:$O$258,11,FALSE))))</f>
        <v/>
      </c>
      <c r="M165" s="382" t="str">
        <f>IF(E165="","",IF(ISNA(VLOOKUP($E165,'D-1 Off-Site Habitat Baseline'!$D$1:$O$258,12,FALSE)),"",(VLOOKUP($E165,'D-1 Off-Site Habitat Baseline'!$D$1:$O$258,12,FALSE))))</f>
        <v/>
      </c>
      <c r="N165" s="382" t="str">
        <f>IF(E165="","",IF(ISNA(VLOOKUP($E165,'D-1 Off-Site Habitat Baseline'!$D$1:$AA$258,14,FALSE)),"",(VLOOKUP($E165,'D-1 Off-Site Habitat Baseline'!$D$1:$AA$258,14,FALSE))))</f>
        <v/>
      </c>
      <c r="O165" s="386" t="str">
        <f>IF(E165="","",IF(ISNA(VLOOKUP($E165,'D-1 Off-Site Habitat Baseline'!$D$1:$AA$258,13,FALSE)),"",(VLOOKUP($E165,'D-1 Off-Site Habitat Baseline'!$D$1:$AA$258,13,FALSE))))</f>
        <v/>
      </c>
      <c r="P165" s="184" t="str">
        <f>IFERROR(INDEX('G-1 All Habitats'!$AG$3:$AG$17,MATCH(Q165,'G-1 All Habitats'!$AF$3:$AF$17,0)),"")</f>
        <v/>
      </c>
      <c r="Q165" s="185" t="str">
        <f t="shared" si="25"/>
        <v/>
      </c>
      <c r="R165" s="186" t="str">
        <f t="shared" si="25"/>
        <v/>
      </c>
      <c r="S165" s="187" t="str">
        <f>IFERROR(INDEX('G-1 All Habitats'!$B$3:$B$134,MATCH(R165,'G-1 All Habitats'!$A$3:$A$134,0)),"")</f>
        <v/>
      </c>
      <c r="T165" s="370" t="str">
        <f t="shared" si="26"/>
        <v/>
      </c>
      <c r="U165" s="386" t="str">
        <f t="shared" si="27"/>
        <v/>
      </c>
      <c r="V165" s="385" t="str">
        <f t="shared" si="23"/>
        <v/>
      </c>
      <c r="W165" s="382" t="str">
        <f>IF(S165="","",VLOOKUP(S165,'G-1 All Habitats'!$B$2:$M$134,10,FALSE))</f>
        <v/>
      </c>
      <c r="X165" s="382" t="str">
        <f>IFERROR(VLOOKUP(W165,'G-1 All Habitats'!$V$3:$W$7,2,FALSE),"")</f>
        <v/>
      </c>
      <c r="Y165" s="165"/>
      <c r="Z165" s="386" t="str">
        <f>IFERROR(INDEX('G-8 Condition Look up'!$A$3:$H$135,MATCH(S165,'G-8 Condition Look up'!$A$3:$A$135,0),MATCH(Y165,'G-8 Condition Look up'!$A$3:$H$3,0)),"")</f>
        <v/>
      </c>
      <c r="AA165" s="114"/>
      <c r="AB165" s="401" t="str">
        <f>IF(AA165="","",IF(VLOOKUP(AA165,'G-3 Multipliers'!$L$3:$N$6,2,FALSE)=0,"Spatial Data Missing ⚠",VLOOKUP(AA165,'G-3 Multipliers'!$L$3:$N$6,2,FALSE)))</f>
        <v/>
      </c>
      <c r="AC165" s="386" t="str">
        <f>IF(AA165="","",IF(VLOOKUP(AA165,'G-3 Multipliers'!$L$3:$N$6,3,FALSE)=0,"Spatial Data Missing ⚠",VLOOKUP(AA165,'G-3 Multipliers'!$L$3:$N$6,3,FALSE)))</f>
        <v/>
      </c>
      <c r="AD165" s="398" t="str">
        <f t="shared" si="24"/>
        <v/>
      </c>
      <c r="AE165" s="165"/>
      <c r="AF165" s="165"/>
      <c r="AG165" s="382" t="str">
        <f t="shared" si="28"/>
        <v/>
      </c>
      <c r="AH165" s="404" t="str">
        <f t="shared" si="29"/>
        <v/>
      </c>
      <c r="AI165" s="387" t="str">
        <f>IF(AH165="Check Data ⚠","Check Data ⚠",IFERROR(VLOOKUP(AH165,'G-4 Temporal multipliers'!$A$4:$C$36,3,FALSE),""))</f>
        <v/>
      </c>
      <c r="AJ165" s="398" t="str">
        <f>IF(S165="","",VLOOKUP(S165,'G-3 Multipliers'!$A$2:$E$134,4,FALSE))</f>
        <v/>
      </c>
      <c r="AK165" s="382" t="str">
        <f t="shared" si="30"/>
        <v/>
      </c>
      <c r="AL165" s="382" t="str">
        <f t="shared" si="31"/>
        <v/>
      </c>
      <c r="AM165" s="386" t="str">
        <f>IFERROR(IF(F165="","",IF(AH165="Check Data ⚠","Check Data ⚠",VLOOKUP(AL165, 'G-3 Multipliers'!$P$2:$Q$6,2,FALSE))),"")</f>
        <v/>
      </c>
      <c r="AN165" s="516"/>
      <c r="AO165" s="417" t="str">
        <f>IF(AN165="","",IF(VLOOKUP(AN165,'G-3 Multipliers'!$S$3:$T$10,2,FALSE)=0,"Spatial Data Missing ⚠",VLOOKUP(AN165,'G-3 Multipliers'!$S$3:$T$10,2,FALSE)))</f>
        <v/>
      </c>
      <c r="AP165" s="376" t="str">
        <f t="shared" si="32"/>
        <v/>
      </c>
      <c r="AQ165" s="376" t="str">
        <f t="shared" si="33"/>
        <v/>
      </c>
      <c r="AR165" s="119"/>
      <c r="AS165" s="528"/>
      <c r="AT165" s="120"/>
      <c r="AU165" s="120"/>
    </row>
    <row r="166" spans="1:47">
      <c r="A166" s="30" t="str">
        <f>IF(E166="","",IF(ISNA(VLOOKUP($E166,'D-1 Off-Site Habitat Baseline'!$D$1:$O$258,2,FALSE)),"",(VLOOKUP($E166,'D-1 Off-Site Habitat Baseline'!$D$1:$O$258,2,FALSE))))</f>
        <v/>
      </c>
      <c r="B166" s="30" t="str">
        <f>IF(E166="","",IF(ISNA(VLOOKUP($E166,'D-1 Off-Site Habitat Baseline'!$D$1:$O$258,3,FALSE)),"",(VLOOKUP($E166,'D-1 Off-Site Habitat Baseline'!$D$1:$O$258,3,FALSE))))</f>
        <v/>
      </c>
      <c r="C166" s="30" t="str">
        <f>IFERROR(INDEX('G-8 Condition Look up'!$I$4:$I$135,MATCH(S166,'G-8 Condition Look up'!$A$4:$A$135,0)),"")</f>
        <v/>
      </c>
      <c r="E166" s="407" t="str">
        <f>'D-1 Off-Site Habitat Baseline'!AP165</f>
        <v/>
      </c>
      <c r="F166" s="382" t="str">
        <f>IF(E166="","",IF(ISNA(VLOOKUP($E166,'D-1 Off-Site Habitat Baseline'!$D$1:$O$258,4,FALSE)),"",(VLOOKUP($E166,'D-1 Off-Site Habitat Baseline'!$D$1:$O$258,4,FALSE))))</f>
        <v/>
      </c>
      <c r="G166" s="382" t="str">
        <f>IF(E166="","",IF(ISNA(VLOOKUP($E166,'D-1 Off-Site Habitat Baseline'!$D$1:$O$258,5,FALSE)),"",(VLOOKUP($E166,'D-1 Off-Site Habitat Baseline'!$D$1:$O$258,5,FALSE))))</f>
        <v/>
      </c>
      <c r="H166" s="382" t="str">
        <f>IF(E166="","",IF(ISNA(VLOOKUP($E166,'D-1 Off-Site Habitat Baseline'!$D$1:$O$258,6,FALSE)),"",(VLOOKUP($E166,'D-1 Off-Site Habitat Baseline'!$D$1:$O$258,6,FALSE))))</f>
        <v/>
      </c>
      <c r="I166" s="382" t="str">
        <f>IF(E166="","",IF(ISNA(VLOOKUP($E166,'D-1 Off-Site Habitat Baseline'!$D$1:$O$258,7,FALSE)),"",(VLOOKUP($E166,'D-1 Off-Site Habitat Baseline'!$D$1:$O$258,7,FALSE))))</f>
        <v/>
      </c>
      <c r="J166" s="382" t="str">
        <f>IF(E166="","",IF(ISNA(VLOOKUP($E166,'D-1 Off-Site Habitat Baseline'!$D$1:$O$258,8,FALSE)),"",(VLOOKUP($E166,'D-1 Off-Site Habitat Baseline'!$D$1:$O$258,8,FALSE))))</f>
        <v/>
      </c>
      <c r="K166" s="382" t="str">
        <f>IF(E166="","",IF(ISNA(VLOOKUP($E166,'D-1 Off-Site Habitat Baseline'!$D$1:$O$258,9,FALSE)),"",(VLOOKUP($E166,'D-1 Off-Site Habitat Baseline'!$D$1:$O$258,9,FALSE))))</f>
        <v/>
      </c>
      <c r="L166" s="382" t="str">
        <f>IF(E166="","",IF(ISNA(VLOOKUP($E166,'D-1 Off-Site Habitat Baseline'!$D$1:$O$258,11,FALSE)),"",(VLOOKUP($E166,'D-1 Off-Site Habitat Baseline'!$D$1:$O$258,11,FALSE))))</f>
        <v/>
      </c>
      <c r="M166" s="382" t="str">
        <f>IF(E166="","",IF(ISNA(VLOOKUP($E166,'D-1 Off-Site Habitat Baseline'!$D$1:$O$258,12,FALSE)),"",(VLOOKUP($E166,'D-1 Off-Site Habitat Baseline'!$D$1:$O$258,12,FALSE))))</f>
        <v/>
      </c>
      <c r="N166" s="382" t="str">
        <f>IF(E166="","",IF(ISNA(VLOOKUP($E166,'D-1 Off-Site Habitat Baseline'!$D$1:$AA$258,14,FALSE)),"",(VLOOKUP($E166,'D-1 Off-Site Habitat Baseline'!$D$1:$AA$258,14,FALSE))))</f>
        <v/>
      </c>
      <c r="O166" s="386" t="str">
        <f>IF(E166="","",IF(ISNA(VLOOKUP($E166,'D-1 Off-Site Habitat Baseline'!$D$1:$AA$258,13,FALSE)),"",(VLOOKUP($E166,'D-1 Off-Site Habitat Baseline'!$D$1:$AA$258,13,FALSE))))</f>
        <v/>
      </c>
      <c r="P166" s="184" t="str">
        <f>IFERROR(INDEX('G-1 All Habitats'!$AG$3:$AG$17,MATCH(Q166,'G-1 All Habitats'!$AF$3:$AF$17,0)),"")</f>
        <v/>
      </c>
      <c r="Q166" s="185" t="str">
        <f t="shared" si="25"/>
        <v/>
      </c>
      <c r="R166" s="186" t="str">
        <f t="shared" si="25"/>
        <v/>
      </c>
      <c r="S166" s="187" t="str">
        <f>IFERROR(INDEX('G-1 All Habitats'!$B$3:$B$134,MATCH(R166,'G-1 All Habitats'!$A$3:$A$134,0)),"")</f>
        <v/>
      </c>
      <c r="T166" s="370" t="str">
        <f t="shared" si="26"/>
        <v/>
      </c>
      <c r="U166" s="386" t="str">
        <f t="shared" si="27"/>
        <v/>
      </c>
      <c r="V166" s="385" t="str">
        <f t="shared" si="23"/>
        <v/>
      </c>
      <c r="W166" s="382" t="str">
        <f>IF(S166="","",VLOOKUP(S166,'G-1 All Habitats'!$B$2:$M$134,10,FALSE))</f>
        <v/>
      </c>
      <c r="X166" s="382" t="str">
        <f>IFERROR(VLOOKUP(W166,'G-1 All Habitats'!$V$3:$W$7,2,FALSE),"")</f>
        <v/>
      </c>
      <c r="Y166" s="165"/>
      <c r="Z166" s="386" t="str">
        <f>IFERROR(INDEX('G-8 Condition Look up'!$A$3:$H$135,MATCH(S166,'G-8 Condition Look up'!$A$3:$A$135,0),MATCH(Y166,'G-8 Condition Look up'!$A$3:$H$3,0)),"")</f>
        <v/>
      </c>
      <c r="AA166" s="114"/>
      <c r="AB166" s="401" t="str">
        <f>IF(AA166="","",IF(VLOOKUP(AA166,'G-3 Multipliers'!$L$3:$N$6,2,FALSE)=0,"Spatial Data Missing ⚠",VLOOKUP(AA166,'G-3 Multipliers'!$L$3:$N$6,2,FALSE)))</f>
        <v/>
      </c>
      <c r="AC166" s="386" t="str">
        <f>IF(AA166="","",IF(VLOOKUP(AA166,'G-3 Multipliers'!$L$3:$N$6,3,FALSE)=0,"Spatial Data Missing ⚠",VLOOKUP(AA166,'G-3 Multipliers'!$L$3:$N$6,3,FALSE)))</f>
        <v/>
      </c>
      <c r="AD166" s="398" t="str">
        <f t="shared" si="24"/>
        <v/>
      </c>
      <c r="AE166" s="165"/>
      <c r="AF166" s="165"/>
      <c r="AG166" s="382" t="str">
        <f t="shared" si="28"/>
        <v/>
      </c>
      <c r="AH166" s="404" t="str">
        <f t="shared" si="29"/>
        <v/>
      </c>
      <c r="AI166" s="387" t="str">
        <f>IF(AH166="Check Data ⚠","Check Data ⚠",IFERROR(VLOOKUP(AH166,'G-4 Temporal multipliers'!$A$4:$C$36,3,FALSE),""))</f>
        <v/>
      </c>
      <c r="AJ166" s="398" t="str">
        <f>IF(S166="","",VLOOKUP(S166,'G-3 Multipliers'!$A$2:$E$134,4,FALSE))</f>
        <v/>
      </c>
      <c r="AK166" s="382" t="str">
        <f t="shared" si="30"/>
        <v/>
      </c>
      <c r="AL166" s="382" t="str">
        <f t="shared" si="31"/>
        <v/>
      </c>
      <c r="AM166" s="386" t="str">
        <f>IFERROR(IF(F166="","",IF(AH166="Check Data ⚠","Check Data ⚠",VLOOKUP(AL166, 'G-3 Multipliers'!$P$2:$Q$6,2,FALSE))),"")</f>
        <v/>
      </c>
      <c r="AN166" s="516"/>
      <c r="AO166" s="417" t="str">
        <f>IF(AN166="","",IF(VLOOKUP(AN166,'G-3 Multipliers'!$S$3:$T$10,2,FALSE)=0,"Spatial Data Missing ⚠",VLOOKUP(AN166,'G-3 Multipliers'!$S$3:$T$10,2,FALSE)))</f>
        <v/>
      </c>
      <c r="AP166" s="376" t="str">
        <f t="shared" si="32"/>
        <v/>
      </c>
      <c r="AQ166" s="376" t="str">
        <f t="shared" si="33"/>
        <v/>
      </c>
      <c r="AR166" s="119"/>
      <c r="AS166" s="528"/>
      <c r="AT166" s="120"/>
      <c r="AU166" s="120"/>
    </row>
    <row r="167" spans="1:47">
      <c r="A167" s="30" t="str">
        <f>IF(E167="","",IF(ISNA(VLOOKUP($E167,'D-1 Off-Site Habitat Baseline'!$D$1:$O$258,2,FALSE)),"",(VLOOKUP($E167,'D-1 Off-Site Habitat Baseline'!$D$1:$O$258,2,FALSE))))</f>
        <v/>
      </c>
      <c r="B167" s="30" t="str">
        <f>IF(E167="","",IF(ISNA(VLOOKUP($E167,'D-1 Off-Site Habitat Baseline'!$D$1:$O$258,3,FALSE)),"",(VLOOKUP($E167,'D-1 Off-Site Habitat Baseline'!$D$1:$O$258,3,FALSE))))</f>
        <v/>
      </c>
      <c r="C167" s="30" t="str">
        <f>IFERROR(INDEX('G-8 Condition Look up'!$I$4:$I$135,MATCH(S167,'G-8 Condition Look up'!$A$4:$A$135,0)),"")</f>
        <v/>
      </c>
      <c r="E167" s="407" t="str">
        <f>'D-1 Off-Site Habitat Baseline'!AP166</f>
        <v/>
      </c>
      <c r="F167" s="382" t="str">
        <f>IF(E167="","",IF(ISNA(VLOOKUP($E167,'D-1 Off-Site Habitat Baseline'!$D$1:$O$258,4,FALSE)),"",(VLOOKUP($E167,'D-1 Off-Site Habitat Baseline'!$D$1:$O$258,4,FALSE))))</f>
        <v/>
      </c>
      <c r="G167" s="382" t="str">
        <f>IF(E167="","",IF(ISNA(VLOOKUP($E167,'D-1 Off-Site Habitat Baseline'!$D$1:$O$258,5,FALSE)),"",(VLOOKUP($E167,'D-1 Off-Site Habitat Baseline'!$D$1:$O$258,5,FALSE))))</f>
        <v/>
      </c>
      <c r="H167" s="382" t="str">
        <f>IF(E167="","",IF(ISNA(VLOOKUP($E167,'D-1 Off-Site Habitat Baseline'!$D$1:$O$258,6,FALSE)),"",(VLOOKUP($E167,'D-1 Off-Site Habitat Baseline'!$D$1:$O$258,6,FALSE))))</f>
        <v/>
      </c>
      <c r="I167" s="382" t="str">
        <f>IF(E167="","",IF(ISNA(VLOOKUP($E167,'D-1 Off-Site Habitat Baseline'!$D$1:$O$258,7,FALSE)),"",(VLOOKUP($E167,'D-1 Off-Site Habitat Baseline'!$D$1:$O$258,7,FALSE))))</f>
        <v/>
      </c>
      <c r="J167" s="382" t="str">
        <f>IF(E167="","",IF(ISNA(VLOOKUP($E167,'D-1 Off-Site Habitat Baseline'!$D$1:$O$258,8,FALSE)),"",(VLOOKUP($E167,'D-1 Off-Site Habitat Baseline'!$D$1:$O$258,8,FALSE))))</f>
        <v/>
      </c>
      <c r="K167" s="382" t="str">
        <f>IF(E167="","",IF(ISNA(VLOOKUP($E167,'D-1 Off-Site Habitat Baseline'!$D$1:$O$258,9,FALSE)),"",(VLOOKUP($E167,'D-1 Off-Site Habitat Baseline'!$D$1:$O$258,9,FALSE))))</f>
        <v/>
      </c>
      <c r="L167" s="382" t="str">
        <f>IF(E167="","",IF(ISNA(VLOOKUP($E167,'D-1 Off-Site Habitat Baseline'!$D$1:$O$258,11,FALSE)),"",(VLOOKUP($E167,'D-1 Off-Site Habitat Baseline'!$D$1:$O$258,11,FALSE))))</f>
        <v/>
      </c>
      <c r="M167" s="382" t="str">
        <f>IF(E167="","",IF(ISNA(VLOOKUP($E167,'D-1 Off-Site Habitat Baseline'!$D$1:$O$258,12,FALSE)),"",(VLOOKUP($E167,'D-1 Off-Site Habitat Baseline'!$D$1:$O$258,12,FALSE))))</f>
        <v/>
      </c>
      <c r="N167" s="382" t="str">
        <f>IF(E167="","",IF(ISNA(VLOOKUP($E167,'D-1 Off-Site Habitat Baseline'!$D$1:$AA$258,14,FALSE)),"",(VLOOKUP($E167,'D-1 Off-Site Habitat Baseline'!$D$1:$AA$258,14,FALSE))))</f>
        <v/>
      </c>
      <c r="O167" s="386" t="str">
        <f>IF(E167="","",IF(ISNA(VLOOKUP($E167,'D-1 Off-Site Habitat Baseline'!$D$1:$AA$258,13,FALSE)),"",(VLOOKUP($E167,'D-1 Off-Site Habitat Baseline'!$D$1:$AA$258,13,FALSE))))</f>
        <v/>
      </c>
      <c r="P167" s="184" t="str">
        <f>IFERROR(INDEX('G-1 All Habitats'!$AG$3:$AG$17,MATCH(Q167,'G-1 All Habitats'!$AF$3:$AF$17,0)),"")</f>
        <v/>
      </c>
      <c r="Q167" s="185" t="str">
        <f t="shared" si="25"/>
        <v/>
      </c>
      <c r="R167" s="186" t="str">
        <f t="shared" si="25"/>
        <v/>
      </c>
      <c r="S167" s="187" t="str">
        <f>IFERROR(INDEX('G-1 All Habitats'!$B$3:$B$134,MATCH(R167,'G-1 All Habitats'!$A$3:$A$134,0)),"")</f>
        <v/>
      </c>
      <c r="T167" s="370" t="str">
        <f t="shared" si="26"/>
        <v/>
      </c>
      <c r="U167" s="386" t="str">
        <f t="shared" si="27"/>
        <v/>
      </c>
      <c r="V167" s="385" t="str">
        <f t="shared" si="23"/>
        <v/>
      </c>
      <c r="W167" s="382" t="str">
        <f>IF(S167="","",VLOOKUP(S167,'G-1 All Habitats'!$B$2:$M$134,10,FALSE))</f>
        <v/>
      </c>
      <c r="X167" s="382" t="str">
        <f>IFERROR(VLOOKUP(W167,'G-1 All Habitats'!$V$3:$W$7,2,FALSE),"")</f>
        <v/>
      </c>
      <c r="Y167" s="165"/>
      <c r="Z167" s="386" t="str">
        <f>IFERROR(INDEX('G-8 Condition Look up'!$A$3:$H$135,MATCH(S167,'G-8 Condition Look up'!$A$3:$A$135,0),MATCH(Y167,'G-8 Condition Look up'!$A$3:$H$3,0)),"")</f>
        <v/>
      </c>
      <c r="AA167" s="114"/>
      <c r="AB167" s="401" t="str">
        <f>IF(AA167="","",IF(VLOOKUP(AA167,'G-3 Multipliers'!$L$3:$N$6,2,FALSE)=0,"Spatial Data Missing ⚠",VLOOKUP(AA167,'G-3 Multipliers'!$L$3:$N$6,2,FALSE)))</f>
        <v/>
      </c>
      <c r="AC167" s="386" t="str">
        <f>IF(AA167="","",IF(VLOOKUP(AA167,'G-3 Multipliers'!$L$3:$N$6,3,FALSE)=0,"Spatial Data Missing ⚠",VLOOKUP(AA167,'G-3 Multipliers'!$L$3:$N$6,3,FALSE)))</f>
        <v/>
      </c>
      <c r="AD167" s="398" t="str">
        <f t="shared" si="24"/>
        <v/>
      </c>
      <c r="AE167" s="165"/>
      <c r="AF167" s="165"/>
      <c r="AG167" s="382" t="str">
        <f t="shared" si="28"/>
        <v/>
      </c>
      <c r="AH167" s="404" t="str">
        <f t="shared" si="29"/>
        <v/>
      </c>
      <c r="AI167" s="387" t="str">
        <f>IF(AH167="Check Data ⚠","Check Data ⚠",IFERROR(VLOOKUP(AH167,'G-4 Temporal multipliers'!$A$4:$C$36,3,FALSE),""))</f>
        <v/>
      </c>
      <c r="AJ167" s="398" t="str">
        <f>IF(S167="","",VLOOKUP(S167,'G-3 Multipliers'!$A$2:$E$134,4,FALSE))</f>
        <v/>
      </c>
      <c r="AK167" s="382" t="str">
        <f t="shared" si="30"/>
        <v/>
      </c>
      <c r="AL167" s="382" t="str">
        <f t="shared" si="31"/>
        <v/>
      </c>
      <c r="AM167" s="386" t="str">
        <f>IFERROR(IF(F167="","",IF(AH167="Check Data ⚠","Check Data ⚠",VLOOKUP(AL167, 'G-3 Multipliers'!$P$2:$Q$6,2,FALSE))),"")</f>
        <v/>
      </c>
      <c r="AN167" s="516"/>
      <c r="AO167" s="417" t="str">
        <f>IF(AN167="","",IF(VLOOKUP(AN167,'G-3 Multipliers'!$S$3:$T$10,2,FALSE)=0,"Spatial Data Missing ⚠",VLOOKUP(AN167,'G-3 Multipliers'!$S$3:$T$10,2,FALSE)))</f>
        <v/>
      </c>
      <c r="AP167" s="376" t="str">
        <f t="shared" si="32"/>
        <v/>
      </c>
      <c r="AQ167" s="376" t="str">
        <f t="shared" si="33"/>
        <v/>
      </c>
      <c r="AR167" s="119"/>
      <c r="AS167" s="528"/>
      <c r="AT167" s="120"/>
      <c r="AU167" s="120"/>
    </row>
    <row r="168" spans="1:47">
      <c r="A168" s="30" t="str">
        <f>IF(E168="","",IF(ISNA(VLOOKUP($E168,'D-1 Off-Site Habitat Baseline'!$D$1:$O$258,2,FALSE)),"",(VLOOKUP($E168,'D-1 Off-Site Habitat Baseline'!$D$1:$O$258,2,FALSE))))</f>
        <v/>
      </c>
      <c r="B168" s="30" t="str">
        <f>IF(E168="","",IF(ISNA(VLOOKUP($E168,'D-1 Off-Site Habitat Baseline'!$D$1:$O$258,3,FALSE)),"",(VLOOKUP($E168,'D-1 Off-Site Habitat Baseline'!$D$1:$O$258,3,FALSE))))</f>
        <v/>
      </c>
      <c r="C168" s="30" t="str">
        <f>IFERROR(INDEX('G-8 Condition Look up'!$I$4:$I$135,MATCH(S168,'G-8 Condition Look up'!$A$4:$A$135,0)),"")</f>
        <v/>
      </c>
      <c r="E168" s="407" t="str">
        <f>'D-1 Off-Site Habitat Baseline'!AP167</f>
        <v/>
      </c>
      <c r="F168" s="382" t="str">
        <f>IF(E168="","",IF(ISNA(VLOOKUP($E168,'D-1 Off-Site Habitat Baseline'!$D$1:$O$258,4,FALSE)),"",(VLOOKUP($E168,'D-1 Off-Site Habitat Baseline'!$D$1:$O$258,4,FALSE))))</f>
        <v/>
      </c>
      <c r="G168" s="382" t="str">
        <f>IF(E168="","",IF(ISNA(VLOOKUP($E168,'D-1 Off-Site Habitat Baseline'!$D$1:$O$258,5,FALSE)),"",(VLOOKUP($E168,'D-1 Off-Site Habitat Baseline'!$D$1:$O$258,5,FALSE))))</f>
        <v/>
      </c>
      <c r="H168" s="382" t="str">
        <f>IF(E168="","",IF(ISNA(VLOOKUP($E168,'D-1 Off-Site Habitat Baseline'!$D$1:$O$258,6,FALSE)),"",(VLOOKUP($E168,'D-1 Off-Site Habitat Baseline'!$D$1:$O$258,6,FALSE))))</f>
        <v/>
      </c>
      <c r="I168" s="382" t="str">
        <f>IF(E168="","",IF(ISNA(VLOOKUP($E168,'D-1 Off-Site Habitat Baseline'!$D$1:$O$258,7,FALSE)),"",(VLOOKUP($E168,'D-1 Off-Site Habitat Baseline'!$D$1:$O$258,7,FALSE))))</f>
        <v/>
      </c>
      <c r="J168" s="382" t="str">
        <f>IF(E168="","",IF(ISNA(VLOOKUP($E168,'D-1 Off-Site Habitat Baseline'!$D$1:$O$258,8,FALSE)),"",(VLOOKUP($E168,'D-1 Off-Site Habitat Baseline'!$D$1:$O$258,8,FALSE))))</f>
        <v/>
      </c>
      <c r="K168" s="382" t="str">
        <f>IF(E168="","",IF(ISNA(VLOOKUP($E168,'D-1 Off-Site Habitat Baseline'!$D$1:$O$258,9,FALSE)),"",(VLOOKUP($E168,'D-1 Off-Site Habitat Baseline'!$D$1:$O$258,9,FALSE))))</f>
        <v/>
      </c>
      <c r="L168" s="382" t="str">
        <f>IF(E168="","",IF(ISNA(VLOOKUP($E168,'D-1 Off-Site Habitat Baseline'!$D$1:$O$258,11,FALSE)),"",(VLOOKUP($E168,'D-1 Off-Site Habitat Baseline'!$D$1:$O$258,11,FALSE))))</f>
        <v/>
      </c>
      <c r="M168" s="382" t="str">
        <f>IF(E168="","",IF(ISNA(VLOOKUP($E168,'D-1 Off-Site Habitat Baseline'!$D$1:$O$258,12,FALSE)),"",(VLOOKUP($E168,'D-1 Off-Site Habitat Baseline'!$D$1:$O$258,12,FALSE))))</f>
        <v/>
      </c>
      <c r="N168" s="382" t="str">
        <f>IF(E168="","",IF(ISNA(VLOOKUP($E168,'D-1 Off-Site Habitat Baseline'!$D$1:$AA$258,14,FALSE)),"",(VLOOKUP($E168,'D-1 Off-Site Habitat Baseline'!$D$1:$AA$258,14,FALSE))))</f>
        <v/>
      </c>
      <c r="O168" s="386" t="str">
        <f>IF(E168="","",IF(ISNA(VLOOKUP($E168,'D-1 Off-Site Habitat Baseline'!$D$1:$AA$258,13,FALSE)),"",(VLOOKUP($E168,'D-1 Off-Site Habitat Baseline'!$D$1:$AA$258,13,FALSE))))</f>
        <v/>
      </c>
      <c r="P168" s="184" t="str">
        <f>IFERROR(INDEX('G-1 All Habitats'!$AG$3:$AG$17,MATCH(Q168,'G-1 All Habitats'!$AF$3:$AF$17,0)),"")</f>
        <v/>
      </c>
      <c r="Q168" s="185" t="str">
        <f t="shared" si="25"/>
        <v/>
      </c>
      <c r="R168" s="186" t="str">
        <f t="shared" si="25"/>
        <v/>
      </c>
      <c r="S168" s="187" t="str">
        <f>IFERROR(INDEX('G-1 All Habitats'!$B$3:$B$134,MATCH(R168,'G-1 All Habitats'!$A$3:$A$134,0)),"")</f>
        <v/>
      </c>
      <c r="T168" s="370" t="str">
        <f t="shared" si="26"/>
        <v/>
      </c>
      <c r="U168" s="386" t="str">
        <f t="shared" si="27"/>
        <v/>
      </c>
      <c r="V168" s="385" t="str">
        <f t="shared" si="23"/>
        <v/>
      </c>
      <c r="W168" s="382" t="str">
        <f>IF(S168="","",VLOOKUP(S168,'G-1 All Habitats'!$B$2:$M$134,10,FALSE))</f>
        <v/>
      </c>
      <c r="X168" s="382" t="str">
        <f>IFERROR(VLOOKUP(W168,'G-1 All Habitats'!$V$3:$W$7,2,FALSE),"")</f>
        <v/>
      </c>
      <c r="Y168" s="165"/>
      <c r="Z168" s="386" t="str">
        <f>IFERROR(INDEX('G-8 Condition Look up'!$A$3:$H$135,MATCH(S168,'G-8 Condition Look up'!$A$3:$A$135,0),MATCH(Y168,'G-8 Condition Look up'!$A$3:$H$3,0)),"")</f>
        <v/>
      </c>
      <c r="AA168" s="114"/>
      <c r="AB168" s="401" t="str">
        <f>IF(AA168="","",IF(VLOOKUP(AA168,'G-3 Multipliers'!$L$3:$N$6,2,FALSE)=0,"Spatial Data Missing ⚠",VLOOKUP(AA168,'G-3 Multipliers'!$L$3:$N$6,2,FALSE)))</f>
        <v/>
      </c>
      <c r="AC168" s="386" t="str">
        <f>IF(AA168="","",IF(VLOOKUP(AA168,'G-3 Multipliers'!$L$3:$N$6,3,FALSE)=0,"Spatial Data Missing ⚠",VLOOKUP(AA168,'G-3 Multipliers'!$L$3:$N$6,3,FALSE)))</f>
        <v/>
      </c>
      <c r="AD168" s="398" t="str">
        <f t="shared" si="24"/>
        <v/>
      </c>
      <c r="AE168" s="165"/>
      <c r="AF168" s="165"/>
      <c r="AG168" s="382" t="str">
        <f t="shared" si="28"/>
        <v/>
      </c>
      <c r="AH168" s="404" t="str">
        <f t="shared" si="29"/>
        <v/>
      </c>
      <c r="AI168" s="387" t="str">
        <f>IF(AH168="Check Data ⚠","Check Data ⚠",IFERROR(VLOOKUP(AH168,'G-4 Temporal multipliers'!$A$4:$C$36,3,FALSE),""))</f>
        <v/>
      </c>
      <c r="AJ168" s="398" t="str">
        <f>IF(S168="","",VLOOKUP(S168,'G-3 Multipliers'!$A$2:$E$134,4,FALSE))</f>
        <v/>
      </c>
      <c r="AK168" s="382" t="str">
        <f t="shared" si="30"/>
        <v/>
      </c>
      <c r="AL168" s="382" t="str">
        <f t="shared" si="31"/>
        <v/>
      </c>
      <c r="AM168" s="386" t="str">
        <f>IFERROR(IF(F168="","",IF(AH168="Check Data ⚠","Check Data ⚠",VLOOKUP(AL168, 'G-3 Multipliers'!$P$2:$Q$6,2,FALSE))),"")</f>
        <v/>
      </c>
      <c r="AN168" s="516"/>
      <c r="AO168" s="417" t="str">
        <f>IF(AN168="","",IF(VLOOKUP(AN168,'G-3 Multipliers'!$S$3:$T$10,2,FALSE)=0,"Spatial Data Missing ⚠",VLOOKUP(AN168,'G-3 Multipliers'!$S$3:$T$10,2,FALSE)))</f>
        <v/>
      </c>
      <c r="AP168" s="376" t="str">
        <f t="shared" si="32"/>
        <v/>
      </c>
      <c r="AQ168" s="376" t="str">
        <f t="shared" si="33"/>
        <v/>
      </c>
      <c r="AR168" s="119"/>
      <c r="AS168" s="528"/>
      <c r="AT168" s="120"/>
      <c r="AU168" s="120"/>
    </row>
    <row r="169" spans="1:47">
      <c r="A169" s="30" t="str">
        <f>IF(E169="","",IF(ISNA(VLOOKUP($E169,'D-1 Off-Site Habitat Baseline'!$D$1:$O$258,2,FALSE)),"",(VLOOKUP($E169,'D-1 Off-Site Habitat Baseline'!$D$1:$O$258,2,FALSE))))</f>
        <v/>
      </c>
      <c r="B169" s="30" t="str">
        <f>IF(E169="","",IF(ISNA(VLOOKUP($E169,'D-1 Off-Site Habitat Baseline'!$D$1:$O$258,3,FALSE)),"",(VLOOKUP($E169,'D-1 Off-Site Habitat Baseline'!$D$1:$O$258,3,FALSE))))</f>
        <v/>
      </c>
      <c r="C169" s="30" t="str">
        <f>IFERROR(INDEX('G-8 Condition Look up'!$I$4:$I$135,MATCH(S169,'G-8 Condition Look up'!$A$4:$A$135,0)),"")</f>
        <v/>
      </c>
      <c r="E169" s="407" t="str">
        <f>'D-1 Off-Site Habitat Baseline'!AP168</f>
        <v/>
      </c>
      <c r="F169" s="382" t="str">
        <f>IF(E169="","",IF(ISNA(VLOOKUP($E169,'D-1 Off-Site Habitat Baseline'!$D$1:$O$258,4,FALSE)),"",(VLOOKUP($E169,'D-1 Off-Site Habitat Baseline'!$D$1:$O$258,4,FALSE))))</f>
        <v/>
      </c>
      <c r="G169" s="382" t="str">
        <f>IF(E169="","",IF(ISNA(VLOOKUP($E169,'D-1 Off-Site Habitat Baseline'!$D$1:$O$258,5,FALSE)),"",(VLOOKUP($E169,'D-1 Off-Site Habitat Baseline'!$D$1:$O$258,5,FALSE))))</f>
        <v/>
      </c>
      <c r="H169" s="382" t="str">
        <f>IF(E169="","",IF(ISNA(VLOOKUP($E169,'D-1 Off-Site Habitat Baseline'!$D$1:$O$258,6,FALSE)),"",(VLOOKUP($E169,'D-1 Off-Site Habitat Baseline'!$D$1:$O$258,6,FALSE))))</f>
        <v/>
      </c>
      <c r="I169" s="382" t="str">
        <f>IF(E169="","",IF(ISNA(VLOOKUP($E169,'D-1 Off-Site Habitat Baseline'!$D$1:$O$258,7,FALSE)),"",(VLOOKUP($E169,'D-1 Off-Site Habitat Baseline'!$D$1:$O$258,7,FALSE))))</f>
        <v/>
      </c>
      <c r="J169" s="382" t="str">
        <f>IF(E169="","",IF(ISNA(VLOOKUP($E169,'D-1 Off-Site Habitat Baseline'!$D$1:$O$258,8,FALSE)),"",(VLOOKUP($E169,'D-1 Off-Site Habitat Baseline'!$D$1:$O$258,8,FALSE))))</f>
        <v/>
      </c>
      <c r="K169" s="382" t="str">
        <f>IF(E169="","",IF(ISNA(VLOOKUP($E169,'D-1 Off-Site Habitat Baseline'!$D$1:$O$258,9,FALSE)),"",(VLOOKUP($E169,'D-1 Off-Site Habitat Baseline'!$D$1:$O$258,9,FALSE))))</f>
        <v/>
      </c>
      <c r="L169" s="382" t="str">
        <f>IF(E169="","",IF(ISNA(VLOOKUP($E169,'D-1 Off-Site Habitat Baseline'!$D$1:$O$258,11,FALSE)),"",(VLOOKUP($E169,'D-1 Off-Site Habitat Baseline'!$D$1:$O$258,11,FALSE))))</f>
        <v/>
      </c>
      <c r="M169" s="382" t="str">
        <f>IF(E169="","",IF(ISNA(VLOOKUP($E169,'D-1 Off-Site Habitat Baseline'!$D$1:$O$258,12,FALSE)),"",(VLOOKUP($E169,'D-1 Off-Site Habitat Baseline'!$D$1:$O$258,12,FALSE))))</f>
        <v/>
      </c>
      <c r="N169" s="382" t="str">
        <f>IF(E169="","",IF(ISNA(VLOOKUP($E169,'D-1 Off-Site Habitat Baseline'!$D$1:$AA$258,14,FALSE)),"",(VLOOKUP($E169,'D-1 Off-Site Habitat Baseline'!$D$1:$AA$258,14,FALSE))))</f>
        <v/>
      </c>
      <c r="O169" s="386" t="str">
        <f>IF(E169="","",IF(ISNA(VLOOKUP($E169,'D-1 Off-Site Habitat Baseline'!$D$1:$AA$258,13,FALSE)),"",(VLOOKUP($E169,'D-1 Off-Site Habitat Baseline'!$D$1:$AA$258,13,FALSE))))</f>
        <v/>
      </c>
      <c r="P169" s="184" t="str">
        <f>IFERROR(INDEX('G-1 All Habitats'!$AG$3:$AG$17,MATCH(Q169,'G-1 All Habitats'!$AF$3:$AF$17,0)),"")</f>
        <v/>
      </c>
      <c r="Q169" s="185" t="str">
        <f t="shared" si="25"/>
        <v/>
      </c>
      <c r="R169" s="186" t="str">
        <f t="shared" si="25"/>
        <v/>
      </c>
      <c r="S169" s="187" t="str">
        <f>IFERROR(INDEX('G-1 All Habitats'!$B$3:$B$134,MATCH(R169,'G-1 All Habitats'!$A$3:$A$134,0)),"")</f>
        <v/>
      </c>
      <c r="T169" s="370" t="str">
        <f t="shared" si="26"/>
        <v/>
      </c>
      <c r="U169" s="386" t="str">
        <f t="shared" si="27"/>
        <v/>
      </c>
      <c r="V169" s="385" t="str">
        <f t="shared" si="23"/>
        <v/>
      </c>
      <c r="W169" s="382" t="str">
        <f>IF(S169="","",VLOOKUP(S169,'G-1 All Habitats'!$B$2:$M$134,10,FALSE))</f>
        <v/>
      </c>
      <c r="X169" s="382" t="str">
        <f>IFERROR(VLOOKUP(W169,'G-1 All Habitats'!$V$3:$W$7,2,FALSE),"")</f>
        <v/>
      </c>
      <c r="Y169" s="165"/>
      <c r="Z169" s="386" t="str">
        <f>IFERROR(INDEX('G-8 Condition Look up'!$A$3:$H$135,MATCH(S169,'G-8 Condition Look up'!$A$3:$A$135,0),MATCH(Y169,'G-8 Condition Look up'!$A$3:$H$3,0)),"")</f>
        <v/>
      </c>
      <c r="AA169" s="114"/>
      <c r="AB169" s="401" t="str">
        <f>IF(AA169="","",IF(VLOOKUP(AA169,'G-3 Multipliers'!$L$3:$N$6,2,FALSE)=0,"Spatial Data Missing ⚠",VLOOKUP(AA169,'G-3 Multipliers'!$L$3:$N$6,2,FALSE)))</f>
        <v/>
      </c>
      <c r="AC169" s="386" t="str">
        <f>IF(AA169="","",IF(VLOOKUP(AA169,'G-3 Multipliers'!$L$3:$N$6,3,FALSE)=0,"Spatial Data Missing ⚠",VLOOKUP(AA169,'G-3 Multipliers'!$L$3:$N$6,3,FALSE)))</f>
        <v/>
      </c>
      <c r="AD169" s="398" t="str">
        <f t="shared" si="24"/>
        <v/>
      </c>
      <c r="AE169" s="165"/>
      <c r="AF169" s="165"/>
      <c r="AG169" s="382" t="str">
        <f t="shared" si="28"/>
        <v/>
      </c>
      <c r="AH169" s="404" t="str">
        <f t="shared" si="29"/>
        <v/>
      </c>
      <c r="AI169" s="387" t="str">
        <f>IF(AH169="Check Data ⚠","Check Data ⚠",IFERROR(VLOOKUP(AH169,'G-4 Temporal multipliers'!$A$4:$C$36,3,FALSE),""))</f>
        <v/>
      </c>
      <c r="AJ169" s="398" t="str">
        <f>IF(S169="","",VLOOKUP(S169,'G-3 Multipliers'!$A$2:$E$134,4,FALSE))</f>
        <v/>
      </c>
      <c r="AK169" s="382" t="str">
        <f t="shared" si="30"/>
        <v/>
      </c>
      <c r="AL169" s="382" t="str">
        <f t="shared" si="31"/>
        <v/>
      </c>
      <c r="AM169" s="386" t="str">
        <f>IFERROR(IF(F169="","",IF(AH169="Check Data ⚠","Check Data ⚠",VLOOKUP(AL169, 'G-3 Multipliers'!$P$2:$Q$6,2,FALSE))),"")</f>
        <v/>
      </c>
      <c r="AN169" s="516"/>
      <c r="AO169" s="417" t="str">
        <f>IF(AN169="","",IF(VLOOKUP(AN169,'G-3 Multipliers'!$S$3:$T$10,2,FALSE)=0,"Spatial Data Missing ⚠",VLOOKUP(AN169,'G-3 Multipliers'!$S$3:$T$10,2,FALSE)))</f>
        <v/>
      </c>
      <c r="AP169" s="376" t="str">
        <f t="shared" si="32"/>
        <v/>
      </c>
      <c r="AQ169" s="376" t="str">
        <f t="shared" si="33"/>
        <v/>
      </c>
      <c r="AR169" s="119"/>
      <c r="AS169" s="528"/>
      <c r="AT169" s="120"/>
      <c r="AU169" s="120"/>
    </row>
    <row r="170" spans="1:47">
      <c r="A170" s="30" t="str">
        <f>IF(E170="","",IF(ISNA(VLOOKUP($E170,'D-1 Off-Site Habitat Baseline'!$D$1:$O$258,2,FALSE)),"",(VLOOKUP($E170,'D-1 Off-Site Habitat Baseline'!$D$1:$O$258,2,FALSE))))</f>
        <v/>
      </c>
      <c r="B170" s="30" t="str">
        <f>IF(E170="","",IF(ISNA(VLOOKUP($E170,'D-1 Off-Site Habitat Baseline'!$D$1:$O$258,3,FALSE)),"",(VLOOKUP($E170,'D-1 Off-Site Habitat Baseline'!$D$1:$O$258,3,FALSE))))</f>
        <v/>
      </c>
      <c r="C170" s="30" t="str">
        <f>IFERROR(INDEX('G-8 Condition Look up'!$I$4:$I$135,MATCH(S170,'G-8 Condition Look up'!$A$4:$A$135,0)),"")</f>
        <v/>
      </c>
      <c r="E170" s="407" t="str">
        <f>'D-1 Off-Site Habitat Baseline'!AP169</f>
        <v/>
      </c>
      <c r="F170" s="382" t="str">
        <f>IF(E170="","",IF(ISNA(VLOOKUP($E170,'D-1 Off-Site Habitat Baseline'!$D$1:$O$258,4,FALSE)),"",(VLOOKUP($E170,'D-1 Off-Site Habitat Baseline'!$D$1:$O$258,4,FALSE))))</f>
        <v/>
      </c>
      <c r="G170" s="382" t="str">
        <f>IF(E170="","",IF(ISNA(VLOOKUP($E170,'D-1 Off-Site Habitat Baseline'!$D$1:$O$258,5,FALSE)),"",(VLOOKUP($E170,'D-1 Off-Site Habitat Baseline'!$D$1:$O$258,5,FALSE))))</f>
        <v/>
      </c>
      <c r="H170" s="382" t="str">
        <f>IF(E170="","",IF(ISNA(VLOOKUP($E170,'D-1 Off-Site Habitat Baseline'!$D$1:$O$258,6,FALSE)),"",(VLOOKUP($E170,'D-1 Off-Site Habitat Baseline'!$D$1:$O$258,6,FALSE))))</f>
        <v/>
      </c>
      <c r="I170" s="382" t="str">
        <f>IF(E170="","",IF(ISNA(VLOOKUP($E170,'D-1 Off-Site Habitat Baseline'!$D$1:$O$258,7,FALSE)),"",(VLOOKUP($E170,'D-1 Off-Site Habitat Baseline'!$D$1:$O$258,7,FALSE))))</f>
        <v/>
      </c>
      <c r="J170" s="382" t="str">
        <f>IF(E170="","",IF(ISNA(VLOOKUP($E170,'D-1 Off-Site Habitat Baseline'!$D$1:$O$258,8,FALSE)),"",(VLOOKUP($E170,'D-1 Off-Site Habitat Baseline'!$D$1:$O$258,8,FALSE))))</f>
        <v/>
      </c>
      <c r="K170" s="382" t="str">
        <f>IF(E170="","",IF(ISNA(VLOOKUP($E170,'D-1 Off-Site Habitat Baseline'!$D$1:$O$258,9,FALSE)),"",(VLOOKUP($E170,'D-1 Off-Site Habitat Baseline'!$D$1:$O$258,9,FALSE))))</f>
        <v/>
      </c>
      <c r="L170" s="382" t="str">
        <f>IF(E170="","",IF(ISNA(VLOOKUP($E170,'D-1 Off-Site Habitat Baseline'!$D$1:$O$258,11,FALSE)),"",(VLOOKUP($E170,'D-1 Off-Site Habitat Baseline'!$D$1:$O$258,11,FALSE))))</f>
        <v/>
      </c>
      <c r="M170" s="382" t="str">
        <f>IF(E170="","",IF(ISNA(VLOOKUP($E170,'D-1 Off-Site Habitat Baseline'!$D$1:$O$258,12,FALSE)),"",(VLOOKUP($E170,'D-1 Off-Site Habitat Baseline'!$D$1:$O$258,12,FALSE))))</f>
        <v/>
      </c>
      <c r="N170" s="382" t="str">
        <f>IF(E170="","",IF(ISNA(VLOOKUP($E170,'D-1 Off-Site Habitat Baseline'!$D$1:$AA$258,14,FALSE)),"",(VLOOKUP($E170,'D-1 Off-Site Habitat Baseline'!$D$1:$AA$258,14,FALSE))))</f>
        <v/>
      </c>
      <c r="O170" s="386" t="str">
        <f>IF(E170="","",IF(ISNA(VLOOKUP($E170,'D-1 Off-Site Habitat Baseline'!$D$1:$AA$258,13,FALSE)),"",(VLOOKUP($E170,'D-1 Off-Site Habitat Baseline'!$D$1:$AA$258,13,FALSE))))</f>
        <v/>
      </c>
      <c r="P170" s="184" t="str">
        <f>IFERROR(INDEX('G-1 All Habitats'!$AG$3:$AG$17,MATCH(Q170,'G-1 All Habitats'!$AF$3:$AF$17,0)),"")</f>
        <v/>
      </c>
      <c r="Q170" s="185" t="str">
        <f t="shared" si="25"/>
        <v/>
      </c>
      <c r="R170" s="186" t="str">
        <f t="shared" si="25"/>
        <v/>
      </c>
      <c r="S170" s="187" t="str">
        <f>IFERROR(INDEX('G-1 All Habitats'!$B$3:$B$134,MATCH(R170,'G-1 All Habitats'!$A$3:$A$134,0)),"")</f>
        <v/>
      </c>
      <c r="T170" s="370" t="str">
        <f t="shared" si="26"/>
        <v/>
      </c>
      <c r="U170" s="386" t="str">
        <f t="shared" si="27"/>
        <v/>
      </c>
      <c r="V170" s="385" t="str">
        <f t="shared" si="23"/>
        <v/>
      </c>
      <c r="W170" s="382" t="str">
        <f>IF(S170="","",VLOOKUP(S170,'G-1 All Habitats'!$B$2:$M$134,10,FALSE))</f>
        <v/>
      </c>
      <c r="X170" s="382" t="str">
        <f>IFERROR(VLOOKUP(W170,'G-1 All Habitats'!$V$3:$W$7,2,FALSE),"")</f>
        <v/>
      </c>
      <c r="Y170" s="165"/>
      <c r="Z170" s="386" t="str">
        <f>IFERROR(INDEX('G-8 Condition Look up'!$A$3:$H$135,MATCH(S170,'G-8 Condition Look up'!$A$3:$A$135,0),MATCH(Y170,'G-8 Condition Look up'!$A$3:$H$3,0)),"")</f>
        <v/>
      </c>
      <c r="AA170" s="114"/>
      <c r="AB170" s="401" t="str">
        <f>IF(AA170="","",IF(VLOOKUP(AA170,'G-3 Multipliers'!$L$3:$N$6,2,FALSE)=0,"Spatial Data Missing ⚠",VLOOKUP(AA170,'G-3 Multipliers'!$L$3:$N$6,2,FALSE)))</f>
        <v/>
      </c>
      <c r="AC170" s="386" t="str">
        <f>IF(AA170="","",IF(VLOOKUP(AA170,'G-3 Multipliers'!$L$3:$N$6,3,FALSE)=0,"Spatial Data Missing ⚠",VLOOKUP(AA170,'G-3 Multipliers'!$L$3:$N$6,3,FALSE)))</f>
        <v/>
      </c>
      <c r="AD170" s="398" t="str">
        <f t="shared" si="24"/>
        <v/>
      </c>
      <c r="AE170" s="165"/>
      <c r="AF170" s="165"/>
      <c r="AG170" s="382" t="str">
        <f t="shared" si="28"/>
        <v/>
      </c>
      <c r="AH170" s="404" t="str">
        <f t="shared" si="29"/>
        <v/>
      </c>
      <c r="AI170" s="387" t="str">
        <f>IF(AH170="Check Data ⚠","Check Data ⚠",IFERROR(VLOOKUP(AH170,'G-4 Temporal multipliers'!$A$4:$C$36,3,FALSE),""))</f>
        <v/>
      </c>
      <c r="AJ170" s="398" t="str">
        <f>IF(S170="","",VLOOKUP(S170,'G-3 Multipliers'!$A$2:$E$134,4,FALSE))</f>
        <v/>
      </c>
      <c r="AK170" s="382" t="str">
        <f t="shared" si="30"/>
        <v/>
      </c>
      <c r="AL170" s="382" t="str">
        <f t="shared" si="31"/>
        <v/>
      </c>
      <c r="AM170" s="386" t="str">
        <f>IFERROR(IF(F170="","",IF(AH170="Check Data ⚠","Check Data ⚠",VLOOKUP(AL170, 'G-3 Multipliers'!$P$2:$Q$6,2,FALSE))),"")</f>
        <v/>
      </c>
      <c r="AN170" s="516"/>
      <c r="AO170" s="417" t="str">
        <f>IF(AN170="","",IF(VLOOKUP(AN170,'G-3 Multipliers'!$S$3:$T$10,2,FALSE)=0,"Spatial Data Missing ⚠",VLOOKUP(AN170,'G-3 Multipliers'!$S$3:$T$10,2,FALSE)))</f>
        <v/>
      </c>
      <c r="AP170" s="376" t="str">
        <f t="shared" si="32"/>
        <v/>
      </c>
      <c r="AQ170" s="376" t="str">
        <f t="shared" si="33"/>
        <v/>
      </c>
      <c r="AR170" s="119"/>
      <c r="AS170" s="528"/>
      <c r="AT170" s="120"/>
      <c r="AU170" s="120"/>
    </row>
    <row r="171" spans="1:47">
      <c r="A171" s="30" t="str">
        <f>IF(E171="","",IF(ISNA(VLOOKUP($E171,'D-1 Off-Site Habitat Baseline'!$D$1:$O$258,2,FALSE)),"",(VLOOKUP($E171,'D-1 Off-Site Habitat Baseline'!$D$1:$O$258,2,FALSE))))</f>
        <v/>
      </c>
      <c r="B171" s="30" t="str">
        <f>IF(E171="","",IF(ISNA(VLOOKUP($E171,'D-1 Off-Site Habitat Baseline'!$D$1:$O$258,3,FALSE)),"",(VLOOKUP($E171,'D-1 Off-Site Habitat Baseline'!$D$1:$O$258,3,FALSE))))</f>
        <v/>
      </c>
      <c r="C171" s="30" t="str">
        <f>IFERROR(INDEX('G-8 Condition Look up'!$I$4:$I$135,MATCH(S171,'G-8 Condition Look up'!$A$4:$A$135,0)),"")</f>
        <v/>
      </c>
      <c r="E171" s="407" t="str">
        <f>'D-1 Off-Site Habitat Baseline'!AP170</f>
        <v/>
      </c>
      <c r="F171" s="382" t="str">
        <f>IF(E171="","",IF(ISNA(VLOOKUP($E171,'D-1 Off-Site Habitat Baseline'!$D$1:$O$258,4,FALSE)),"",(VLOOKUP($E171,'D-1 Off-Site Habitat Baseline'!$D$1:$O$258,4,FALSE))))</f>
        <v/>
      </c>
      <c r="G171" s="382" t="str">
        <f>IF(E171="","",IF(ISNA(VLOOKUP($E171,'D-1 Off-Site Habitat Baseline'!$D$1:$O$258,5,FALSE)),"",(VLOOKUP($E171,'D-1 Off-Site Habitat Baseline'!$D$1:$O$258,5,FALSE))))</f>
        <v/>
      </c>
      <c r="H171" s="382" t="str">
        <f>IF(E171="","",IF(ISNA(VLOOKUP($E171,'D-1 Off-Site Habitat Baseline'!$D$1:$O$258,6,FALSE)),"",(VLOOKUP($E171,'D-1 Off-Site Habitat Baseline'!$D$1:$O$258,6,FALSE))))</f>
        <v/>
      </c>
      <c r="I171" s="382" t="str">
        <f>IF(E171="","",IF(ISNA(VLOOKUP($E171,'D-1 Off-Site Habitat Baseline'!$D$1:$O$258,7,FALSE)),"",(VLOOKUP($E171,'D-1 Off-Site Habitat Baseline'!$D$1:$O$258,7,FALSE))))</f>
        <v/>
      </c>
      <c r="J171" s="382" t="str">
        <f>IF(E171="","",IF(ISNA(VLOOKUP($E171,'D-1 Off-Site Habitat Baseline'!$D$1:$O$258,8,FALSE)),"",(VLOOKUP($E171,'D-1 Off-Site Habitat Baseline'!$D$1:$O$258,8,FALSE))))</f>
        <v/>
      </c>
      <c r="K171" s="382" t="str">
        <f>IF(E171="","",IF(ISNA(VLOOKUP($E171,'D-1 Off-Site Habitat Baseline'!$D$1:$O$258,9,FALSE)),"",(VLOOKUP($E171,'D-1 Off-Site Habitat Baseline'!$D$1:$O$258,9,FALSE))))</f>
        <v/>
      </c>
      <c r="L171" s="382" t="str">
        <f>IF(E171="","",IF(ISNA(VLOOKUP($E171,'D-1 Off-Site Habitat Baseline'!$D$1:$O$258,11,FALSE)),"",(VLOOKUP($E171,'D-1 Off-Site Habitat Baseline'!$D$1:$O$258,11,FALSE))))</f>
        <v/>
      </c>
      <c r="M171" s="382" t="str">
        <f>IF(E171="","",IF(ISNA(VLOOKUP($E171,'D-1 Off-Site Habitat Baseline'!$D$1:$O$258,12,FALSE)),"",(VLOOKUP($E171,'D-1 Off-Site Habitat Baseline'!$D$1:$O$258,12,FALSE))))</f>
        <v/>
      </c>
      <c r="N171" s="382" t="str">
        <f>IF(E171="","",IF(ISNA(VLOOKUP($E171,'D-1 Off-Site Habitat Baseline'!$D$1:$AA$258,14,FALSE)),"",(VLOOKUP($E171,'D-1 Off-Site Habitat Baseline'!$D$1:$AA$258,14,FALSE))))</f>
        <v/>
      </c>
      <c r="O171" s="386" t="str">
        <f>IF(E171="","",IF(ISNA(VLOOKUP($E171,'D-1 Off-Site Habitat Baseline'!$D$1:$AA$258,13,FALSE)),"",(VLOOKUP($E171,'D-1 Off-Site Habitat Baseline'!$D$1:$AA$258,13,FALSE))))</f>
        <v/>
      </c>
      <c r="P171" s="184" t="str">
        <f>IFERROR(INDEX('G-1 All Habitats'!$AG$3:$AG$17,MATCH(Q171,'G-1 All Habitats'!$AF$3:$AF$17,0)),"")</f>
        <v/>
      </c>
      <c r="Q171" s="185" t="str">
        <f t="shared" si="25"/>
        <v/>
      </c>
      <c r="R171" s="186" t="str">
        <f t="shared" si="25"/>
        <v/>
      </c>
      <c r="S171" s="187" t="str">
        <f>IFERROR(INDEX('G-1 All Habitats'!$B$3:$B$134,MATCH(R171,'G-1 All Habitats'!$A$3:$A$134,0)),"")</f>
        <v/>
      </c>
      <c r="T171" s="370" t="str">
        <f t="shared" si="26"/>
        <v/>
      </c>
      <c r="U171" s="386" t="str">
        <f t="shared" si="27"/>
        <v/>
      </c>
      <c r="V171" s="385" t="str">
        <f t="shared" si="23"/>
        <v/>
      </c>
      <c r="W171" s="382" t="str">
        <f>IF(S171="","",VLOOKUP(S171,'G-1 All Habitats'!$B$2:$M$134,10,FALSE))</f>
        <v/>
      </c>
      <c r="X171" s="382" t="str">
        <f>IFERROR(VLOOKUP(W171,'G-1 All Habitats'!$V$3:$W$7,2,FALSE),"")</f>
        <v/>
      </c>
      <c r="Y171" s="165"/>
      <c r="Z171" s="386" t="str">
        <f>IFERROR(INDEX('G-8 Condition Look up'!$A$3:$H$135,MATCH(S171,'G-8 Condition Look up'!$A$3:$A$135,0),MATCH(Y171,'G-8 Condition Look up'!$A$3:$H$3,0)),"")</f>
        <v/>
      </c>
      <c r="AA171" s="114"/>
      <c r="AB171" s="401" t="str">
        <f>IF(AA171="","",IF(VLOOKUP(AA171,'G-3 Multipliers'!$L$3:$N$6,2,FALSE)=0,"Spatial Data Missing ⚠",VLOOKUP(AA171,'G-3 Multipliers'!$L$3:$N$6,2,FALSE)))</f>
        <v/>
      </c>
      <c r="AC171" s="386" t="str">
        <f>IF(AA171="","",IF(VLOOKUP(AA171,'G-3 Multipliers'!$L$3:$N$6,3,FALSE)=0,"Spatial Data Missing ⚠",VLOOKUP(AA171,'G-3 Multipliers'!$L$3:$N$6,3,FALSE)))</f>
        <v/>
      </c>
      <c r="AD171" s="398" t="str">
        <f t="shared" si="24"/>
        <v/>
      </c>
      <c r="AE171" s="165"/>
      <c r="AF171" s="165"/>
      <c r="AG171" s="382" t="str">
        <f t="shared" si="28"/>
        <v/>
      </c>
      <c r="AH171" s="404" t="str">
        <f t="shared" si="29"/>
        <v/>
      </c>
      <c r="AI171" s="387" t="str">
        <f>IF(AH171="Check Data ⚠","Check Data ⚠",IFERROR(VLOOKUP(AH171,'G-4 Temporal multipliers'!$A$4:$C$36,3,FALSE),""))</f>
        <v/>
      </c>
      <c r="AJ171" s="398" t="str">
        <f>IF(S171="","",VLOOKUP(S171,'G-3 Multipliers'!$A$2:$E$134,4,FALSE))</f>
        <v/>
      </c>
      <c r="AK171" s="382" t="str">
        <f t="shared" si="30"/>
        <v/>
      </c>
      <c r="AL171" s="382" t="str">
        <f t="shared" si="31"/>
        <v/>
      </c>
      <c r="AM171" s="386" t="str">
        <f>IFERROR(IF(F171="","",IF(AH171="Check Data ⚠","Check Data ⚠",VLOOKUP(AL171, 'G-3 Multipliers'!$P$2:$Q$6,2,FALSE))),"")</f>
        <v/>
      </c>
      <c r="AN171" s="516"/>
      <c r="AO171" s="417" t="str">
        <f>IF(AN171="","",IF(VLOOKUP(AN171,'G-3 Multipliers'!$S$3:$T$10,2,FALSE)=0,"Spatial Data Missing ⚠",VLOOKUP(AN171,'G-3 Multipliers'!$S$3:$T$10,2,FALSE)))</f>
        <v/>
      </c>
      <c r="AP171" s="376" t="str">
        <f t="shared" si="32"/>
        <v/>
      </c>
      <c r="AQ171" s="376" t="str">
        <f t="shared" si="33"/>
        <v/>
      </c>
      <c r="AR171" s="119"/>
      <c r="AS171" s="528"/>
      <c r="AT171" s="120"/>
      <c r="AU171" s="120"/>
    </row>
    <row r="172" spans="1:47">
      <c r="A172" s="30" t="str">
        <f>IF(E172="","",IF(ISNA(VLOOKUP($E172,'D-1 Off-Site Habitat Baseline'!$D$1:$O$258,2,FALSE)),"",(VLOOKUP($E172,'D-1 Off-Site Habitat Baseline'!$D$1:$O$258,2,FALSE))))</f>
        <v/>
      </c>
      <c r="B172" s="30" t="str">
        <f>IF(E172="","",IF(ISNA(VLOOKUP($E172,'D-1 Off-Site Habitat Baseline'!$D$1:$O$258,3,FALSE)),"",(VLOOKUP($E172,'D-1 Off-Site Habitat Baseline'!$D$1:$O$258,3,FALSE))))</f>
        <v/>
      </c>
      <c r="C172" s="30" t="str">
        <f>IFERROR(INDEX('G-8 Condition Look up'!$I$4:$I$135,MATCH(S172,'G-8 Condition Look up'!$A$4:$A$135,0)),"")</f>
        <v/>
      </c>
      <c r="E172" s="407" t="str">
        <f>'D-1 Off-Site Habitat Baseline'!AP171</f>
        <v/>
      </c>
      <c r="F172" s="382" t="str">
        <f>IF(E172="","",IF(ISNA(VLOOKUP($E172,'D-1 Off-Site Habitat Baseline'!$D$1:$O$258,4,FALSE)),"",(VLOOKUP($E172,'D-1 Off-Site Habitat Baseline'!$D$1:$O$258,4,FALSE))))</f>
        <v/>
      </c>
      <c r="G172" s="382" t="str">
        <f>IF(E172="","",IF(ISNA(VLOOKUP($E172,'D-1 Off-Site Habitat Baseline'!$D$1:$O$258,5,FALSE)),"",(VLOOKUP($E172,'D-1 Off-Site Habitat Baseline'!$D$1:$O$258,5,FALSE))))</f>
        <v/>
      </c>
      <c r="H172" s="382" t="str">
        <f>IF(E172="","",IF(ISNA(VLOOKUP($E172,'D-1 Off-Site Habitat Baseline'!$D$1:$O$258,6,FALSE)),"",(VLOOKUP($E172,'D-1 Off-Site Habitat Baseline'!$D$1:$O$258,6,FALSE))))</f>
        <v/>
      </c>
      <c r="I172" s="382" t="str">
        <f>IF(E172="","",IF(ISNA(VLOOKUP($E172,'D-1 Off-Site Habitat Baseline'!$D$1:$O$258,7,FALSE)),"",(VLOOKUP($E172,'D-1 Off-Site Habitat Baseline'!$D$1:$O$258,7,FALSE))))</f>
        <v/>
      </c>
      <c r="J172" s="382" t="str">
        <f>IF(E172="","",IF(ISNA(VLOOKUP($E172,'D-1 Off-Site Habitat Baseline'!$D$1:$O$258,8,FALSE)),"",(VLOOKUP($E172,'D-1 Off-Site Habitat Baseline'!$D$1:$O$258,8,FALSE))))</f>
        <v/>
      </c>
      <c r="K172" s="382" t="str">
        <f>IF(E172="","",IF(ISNA(VLOOKUP($E172,'D-1 Off-Site Habitat Baseline'!$D$1:$O$258,9,FALSE)),"",(VLOOKUP($E172,'D-1 Off-Site Habitat Baseline'!$D$1:$O$258,9,FALSE))))</f>
        <v/>
      </c>
      <c r="L172" s="382" t="str">
        <f>IF(E172="","",IF(ISNA(VLOOKUP($E172,'D-1 Off-Site Habitat Baseline'!$D$1:$O$258,11,FALSE)),"",(VLOOKUP($E172,'D-1 Off-Site Habitat Baseline'!$D$1:$O$258,11,FALSE))))</f>
        <v/>
      </c>
      <c r="M172" s="382" t="str">
        <f>IF(E172="","",IF(ISNA(VLOOKUP($E172,'D-1 Off-Site Habitat Baseline'!$D$1:$O$258,12,FALSE)),"",(VLOOKUP($E172,'D-1 Off-Site Habitat Baseline'!$D$1:$O$258,12,FALSE))))</f>
        <v/>
      </c>
      <c r="N172" s="382" t="str">
        <f>IF(E172="","",IF(ISNA(VLOOKUP($E172,'D-1 Off-Site Habitat Baseline'!$D$1:$AA$258,14,FALSE)),"",(VLOOKUP($E172,'D-1 Off-Site Habitat Baseline'!$D$1:$AA$258,14,FALSE))))</f>
        <v/>
      </c>
      <c r="O172" s="386" t="str">
        <f>IF(E172="","",IF(ISNA(VLOOKUP($E172,'D-1 Off-Site Habitat Baseline'!$D$1:$AA$258,13,FALSE)),"",(VLOOKUP($E172,'D-1 Off-Site Habitat Baseline'!$D$1:$AA$258,13,FALSE))))</f>
        <v/>
      </c>
      <c r="P172" s="184" t="str">
        <f>IFERROR(INDEX('G-1 All Habitats'!$AG$3:$AG$17,MATCH(Q172,'G-1 All Habitats'!$AF$3:$AF$17,0)),"")</f>
        <v/>
      </c>
      <c r="Q172" s="185" t="str">
        <f t="shared" si="25"/>
        <v/>
      </c>
      <c r="R172" s="186" t="str">
        <f t="shared" si="25"/>
        <v/>
      </c>
      <c r="S172" s="187" t="str">
        <f>IFERROR(INDEX('G-1 All Habitats'!$B$3:$B$134,MATCH(R172,'G-1 All Habitats'!$A$3:$A$134,0)),"")</f>
        <v/>
      </c>
      <c r="T172" s="370" t="str">
        <f t="shared" si="26"/>
        <v/>
      </c>
      <c r="U172" s="386" t="str">
        <f t="shared" si="27"/>
        <v/>
      </c>
      <c r="V172" s="385" t="str">
        <f t="shared" si="23"/>
        <v/>
      </c>
      <c r="W172" s="382" t="str">
        <f>IF(S172="","",VLOOKUP(S172,'G-1 All Habitats'!$B$2:$M$134,10,FALSE))</f>
        <v/>
      </c>
      <c r="X172" s="382" t="str">
        <f>IFERROR(VLOOKUP(W172,'G-1 All Habitats'!$V$3:$W$7,2,FALSE),"")</f>
        <v/>
      </c>
      <c r="Y172" s="165"/>
      <c r="Z172" s="386" t="str">
        <f>IFERROR(INDEX('G-8 Condition Look up'!$A$3:$H$135,MATCH(S172,'G-8 Condition Look up'!$A$3:$A$135,0),MATCH(Y172,'G-8 Condition Look up'!$A$3:$H$3,0)),"")</f>
        <v/>
      </c>
      <c r="AA172" s="114"/>
      <c r="AB172" s="401" t="str">
        <f>IF(AA172="","",IF(VLOOKUP(AA172,'G-3 Multipliers'!$L$3:$N$6,2,FALSE)=0,"Spatial Data Missing ⚠",VLOOKUP(AA172,'G-3 Multipliers'!$L$3:$N$6,2,FALSE)))</f>
        <v/>
      </c>
      <c r="AC172" s="386" t="str">
        <f>IF(AA172="","",IF(VLOOKUP(AA172,'G-3 Multipliers'!$L$3:$N$6,3,FALSE)=0,"Spatial Data Missing ⚠",VLOOKUP(AA172,'G-3 Multipliers'!$L$3:$N$6,3,FALSE)))</f>
        <v/>
      </c>
      <c r="AD172" s="398" t="str">
        <f t="shared" si="24"/>
        <v/>
      </c>
      <c r="AE172" s="165"/>
      <c r="AF172" s="165"/>
      <c r="AG172" s="382" t="str">
        <f t="shared" si="28"/>
        <v/>
      </c>
      <c r="AH172" s="404" t="str">
        <f t="shared" si="29"/>
        <v/>
      </c>
      <c r="AI172" s="387" t="str">
        <f>IF(AH172="Check Data ⚠","Check Data ⚠",IFERROR(VLOOKUP(AH172,'G-4 Temporal multipliers'!$A$4:$C$36,3,FALSE),""))</f>
        <v/>
      </c>
      <c r="AJ172" s="398" t="str">
        <f>IF(S172="","",VLOOKUP(S172,'G-3 Multipliers'!$A$2:$E$134,4,FALSE))</f>
        <v/>
      </c>
      <c r="AK172" s="382" t="str">
        <f t="shared" si="30"/>
        <v/>
      </c>
      <c r="AL172" s="382" t="str">
        <f t="shared" si="31"/>
        <v/>
      </c>
      <c r="AM172" s="386" t="str">
        <f>IFERROR(IF(F172="","",IF(AH172="Check Data ⚠","Check Data ⚠",VLOOKUP(AL172, 'G-3 Multipliers'!$P$2:$Q$6,2,FALSE))),"")</f>
        <v/>
      </c>
      <c r="AN172" s="516"/>
      <c r="AO172" s="417" t="str">
        <f>IF(AN172="","",IF(VLOOKUP(AN172,'G-3 Multipliers'!$S$3:$T$10,2,FALSE)=0,"Spatial Data Missing ⚠",VLOOKUP(AN172,'G-3 Multipliers'!$S$3:$T$10,2,FALSE)))</f>
        <v/>
      </c>
      <c r="AP172" s="376" t="str">
        <f t="shared" si="32"/>
        <v/>
      </c>
      <c r="AQ172" s="376" t="str">
        <f t="shared" si="33"/>
        <v/>
      </c>
      <c r="AR172" s="119"/>
      <c r="AS172" s="528"/>
      <c r="AT172" s="120"/>
      <c r="AU172" s="120"/>
    </row>
    <row r="173" spans="1:47">
      <c r="A173" s="30" t="str">
        <f>IF(E173="","",IF(ISNA(VLOOKUP($E173,'D-1 Off-Site Habitat Baseline'!$D$1:$O$258,2,FALSE)),"",(VLOOKUP($E173,'D-1 Off-Site Habitat Baseline'!$D$1:$O$258,2,FALSE))))</f>
        <v/>
      </c>
      <c r="B173" s="30" t="str">
        <f>IF(E173="","",IF(ISNA(VLOOKUP($E173,'D-1 Off-Site Habitat Baseline'!$D$1:$O$258,3,FALSE)),"",(VLOOKUP($E173,'D-1 Off-Site Habitat Baseline'!$D$1:$O$258,3,FALSE))))</f>
        <v/>
      </c>
      <c r="C173" s="30" t="str">
        <f>IFERROR(INDEX('G-8 Condition Look up'!$I$4:$I$135,MATCH(S173,'G-8 Condition Look up'!$A$4:$A$135,0)),"")</f>
        <v/>
      </c>
      <c r="E173" s="407" t="str">
        <f>'D-1 Off-Site Habitat Baseline'!AP172</f>
        <v/>
      </c>
      <c r="F173" s="382" t="str">
        <f>IF(E173="","",IF(ISNA(VLOOKUP($E173,'D-1 Off-Site Habitat Baseline'!$D$1:$O$258,4,FALSE)),"",(VLOOKUP($E173,'D-1 Off-Site Habitat Baseline'!$D$1:$O$258,4,FALSE))))</f>
        <v/>
      </c>
      <c r="G173" s="382" t="str">
        <f>IF(E173="","",IF(ISNA(VLOOKUP($E173,'D-1 Off-Site Habitat Baseline'!$D$1:$O$258,5,FALSE)),"",(VLOOKUP($E173,'D-1 Off-Site Habitat Baseline'!$D$1:$O$258,5,FALSE))))</f>
        <v/>
      </c>
      <c r="H173" s="382" t="str">
        <f>IF(E173="","",IF(ISNA(VLOOKUP($E173,'D-1 Off-Site Habitat Baseline'!$D$1:$O$258,6,FALSE)),"",(VLOOKUP($E173,'D-1 Off-Site Habitat Baseline'!$D$1:$O$258,6,FALSE))))</f>
        <v/>
      </c>
      <c r="I173" s="382" t="str">
        <f>IF(E173="","",IF(ISNA(VLOOKUP($E173,'D-1 Off-Site Habitat Baseline'!$D$1:$O$258,7,FALSE)),"",(VLOOKUP($E173,'D-1 Off-Site Habitat Baseline'!$D$1:$O$258,7,FALSE))))</f>
        <v/>
      </c>
      <c r="J173" s="382" t="str">
        <f>IF(E173="","",IF(ISNA(VLOOKUP($E173,'D-1 Off-Site Habitat Baseline'!$D$1:$O$258,8,FALSE)),"",(VLOOKUP($E173,'D-1 Off-Site Habitat Baseline'!$D$1:$O$258,8,FALSE))))</f>
        <v/>
      </c>
      <c r="K173" s="382" t="str">
        <f>IF(E173="","",IF(ISNA(VLOOKUP($E173,'D-1 Off-Site Habitat Baseline'!$D$1:$O$258,9,FALSE)),"",(VLOOKUP($E173,'D-1 Off-Site Habitat Baseline'!$D$1:$O$258,9,FALSE))))</f>
        <v/>
      </c>
      <c r="L173" s="382" t="str">
        <f>IF(E173="","",IF(ISNA(VLOOKUP($E173,'D-1 Off-Site Habitat Baseline'!$D$1:$O$258,11,FALSE)),"",(VLOOKUP($E173,'D-1 Off-Site Habitat Baseline'!$D$1:$O$258,11,FALSE))))</f>
        <v/>
      </c>
      <c r="M173" s="382" t="str">
        <f>IF(E173="","",IF(ISNA(VLOOKUP($E173,'D-1 Off-Site Habitat Baseline'!$D$1:$O$258,12,FALSE)),"",(VLOOKUP($E173,'D-1 Off-Site Habitat Baseline'!$D$1:$O$258,12,FALSE))))</f>
        <v/>
      </c>
      <c r="N173" s="382" t="str">
        <f>IF(E173="","",IF(ISNA(VLOOKUP($E173,'D-1 Off-Site Habitat Baseline'!$D$1:$AA$258,14,FALSE)),"",(VLOOKUP($E173,'D-1 Off-Site Habitat Baseline'!$D$1:$AA$258,14,FALSE))))</f>
        <v/>
      </c>
      <c r="O173" s="386" t="str">
        <f>IF(E173="","",IF(ISNA(VLOOKUP($E173,'D-1 Off-Site Habitat Baseline'!$D$1:$AA$258,13,FALSE)),"",(VLOOKUP($E173,'D-1 Off-Site Habitat Baseline'!$D$1:$AA$258,13,FALSE))))</f>
        <v/>
      </c>
      <c r="P173" s="184" t="str">
        <f>IFERROR(INDEX('G-1 All Habitats'!$AG$3:$AG$17,MATCH(Q173,'G-1 All Habitats'!$AF$3:$AF$17,0)),"")</f>
        <v/>
      </c>
      <c r="Q173" s="185" t="str">
        <f t="shared" si="25"/>
        <v/>
      </c>
      <c r="R173" s="186" t="str">
        <f t="shared" si="25"/>
        <v/>
      </c>
      <c r="S173" s="187" t="str">
        <f>IFERROR(INDEX('G-1 All Habitats'!$B$3:$B$134,MATCH(R173,'G-1 All Habitats'!$A$3:$A$134,0)),"")</f>
        <v/>
      </c>
      <c r="T173" s="370" t="str">
        <f t="shared" si="26"/>
        <v/>
      </c>
      <c r="U173" s="386" t="str">
        <f t="shared" si="27"/>
        <v/>
      </c>
      <c r="V173" s="385" t="str">
        <f t="shared" si="23"/>
        <v/>
      </c>
      <c r="W173" s="382" t="str">
        <f>IF(S173="","",VLOOKUP(S173,'G-1 All Habitats'!$B$2:$M$134,10,FALSE))</f>
        <v/>
      </c>
      <c r="X173" s="382" t="str">
        <f>IFERROR(VLOOKUP(W173,'G-1 All Habitats'!$V$3:$W$7,2,FALSE),"")</f>
        <v/>
      </c>
      <c r="Y173" s="165"/>
      <c r="Z173" s="386" t="str">
        <f>IFERROR(INDEX('G-8 Condition Look up'!$A$3:$H$135,MATCH(S173,'G-8 Condition Look up'!$A$3:$A$135,0),MATCH(Y173,'G-8 Condition Look up'!$A$3:$H$3,0)),"")</f>
        <v/>
      </c>
      <c r="AA173" s="114"/>
      <c r="AB173" s="401" t="str">
        <f>IF(AA173="","",IF(VLOOKUP(AA173,'G-3 Multipliers'!$L$3:$N$6,2,FALSE)=0,"Spatial Data Missing ⚠",VLOOKUP(AA173,'G-3 Multipliers'!$L$3:$N$6,2,FALSE)))</f>
        <v/>
      </c>
      <c r="AC173" s="386" t="str">
        <f>IF(AA173="","",IF(VLOOKUP(AA173,'G-3 Multipliers'!$L$3:$N$6,3,FALSE)=0,"Spatial Data Missing ⚠",VLOOKUP(AA173,'G-3 Multipliers'!$L$3:$N$6,3,FALSE)))</f>
        <v/>
      </c>
      <c r="AD173" s="398" t="str">
        <f t="shared" si="24"/>
        <v/>
      </c>
      <c r="AE173" s="165"/>
      <c r="AF173" s="165"/>
      <c r="AG173" s="382" t="str">
        <f t="shared" si="28"/>
        <v/>
      </c>
      <c r="AH173" s="404" t="str">
        <f t="shared" si="29"/>
        <v/>
      </c>
      <c r="AI173" s="387" t="str">
        <f>IF(AH173="Check Data ⚠","Check Data ⚠",IFERROR(VLOOKUP(AH173,'G-4 Temporal multipliers'!$A$4:$C$36,3,FALSE),""))</f>
        <v/>
      </c>
      <c r="AJ173" s="398" t="str">
        <f>IF(S173="","",VLOOKUP(S173,'G-3 Multipliers'!$A$2:$E$134,4,FALSE))</f>
        <v/>
      </c>
      <c r="AK173" s="382" t="str">
        <f t="shared" si="30"/>
        <v/>
      </c>
      <c r="AL173" s="382" t="str">
        <f t="shared" si="31"/>
        <v/>
      </c>
      <c r="AM173" s="386" t="str">
        <f>IFERROR(IF(F173="","",IF(AH173="Check Data ⚠","Check Data ⚠",VLOOKUP(AL173, 'G-3 Multipliers'!$P$2:$Q$6,2,FALSE))),"")</f>
        <v/>
      </c>
      <c r="AN173" s="516"/>
      <c r="AO173" s="417" t="str">
        <f>IF(AN173="","",IF(VLOOKUP(AN173,'G-3 Multipliers'!$S$3:$T$10,2,FALSE)=0,"Spatial Data Missing ⚠",VLOOKUP(AN173,'G-3 Multipliers'!$S$3:$T$10,2,FALSE)))</f>
        <v/>
      </c>
      <c r="AP173" s="376" t="str">
        <f t="shared" si="32"/>
        <v/>
      </c>
      <c r="AQ173" s="376" t="str">
        <f t="shared" si="33"/>
        <v/>
      </c>
      <c r="AR173" s="119"/>
      <c r="AS173" s="528"/>
      <c r="AT173" s="120"/>
      <c r="AU173" s="120"/>
    </row>
    <row r="174" spans="1:47">
      <c r="A174" s="30" t="str">
        <f>IF(E174="","",IF(ISNA(VLOOKUP($E174,'D-1 Off-Site Habitat Baseline'!$D$1:$O$258,2,FALSE)),"",(VLOOKUP($E174,'D-1 Off-Site Habitat Baseline'!$D$1:$O$258,2,FALSE))))</f>
        <v/>
      </c>
      <c r="B174" s="30" t="str">
        <f>IF(E174="","",IF(ISNA(VLOOKUP($E174,'D-1 Off-Site Habitat Baseline'!$D$1:$O$258,3,FALSE)),"",(VLOOKUP($E174,'D-1 Off-Site Habitat Baseline'!$D$1:$O$258,3,FALSE))))</f>
        <v/>
      </c>
      <c r="C174" s="30" t="str">
        <f>IFERROR(INDEX('G-8 Condition Look up'!$I$4:$I$135,MATCH(S174,'G-8 Condition Look up'!$A$4:$A$135,0)),"")</f>
        <v/>
      </c>
      <c r="E174" s="407" t="str">
        <f>'D-1 Off-Site Habitat Baseline'!AP173</f>
        <v/>
      </c>
      <c r="F174" s="382" t="str">
        <f>IF(E174="","",IF(ISNA(VLOOKUP($E174,'D-1 Off-Site Habitat Baseline'!$D$1:$O$258,4,FALSE)),"",(VLOOKUP($E174,'D-1 Off-Site Habitat Baseline'!$D$1:$O$258,4,FALSE))))</f>
        <v/>
      </c>
      <c r="G174" s="382" t="str">
        <f>IF(E174="","",IF(ISNA(VLOOKUP($E174,'D-1 Off-Site Habitat Baseline'!$D$1:$O$258,5,FALSE)),"",(VLOOKUP($E174,'D-1 Off-Site Habitat Baseline'!$D$1:$O$258,5,FALSE))))</f>
        <v/>
      </c>
      <c r="H174" s="382" t="str">
        <f>IF(E174="","",IF(ISNA(VLOOKUP($E174,'D-1 Off-Site Habitat Baseline'!$D$1:$O$258,6,FALSE)),"",(VLOOKUP($E174,'D-1 Off-Site Habitat Baseline'!$D$1:$O$258,6,FALSE))))</f>
        <v/>
      </c>
      <c r="I174" s="382" t="str">
        <f>IF(E174="","",IF(ISNA(VLOOKUP($E174,'D-1 Off-Site Habitat Baseline'!$D$1:$O$258,7,FALSE)),"",(VLOOKUP($E174,'D-1 Off-Site Habitat Baseline'!$D$1:$O$258,7,FALSE))))</f>
        <v/>
      </c>
      <c r="J174" s="382" t="str">
        <f>IF(E174="","",IF(ISNA(VLOOKUP($E174,'D-1 Off-Site Habitat Baseline'!$D$1:$O$258,8,FALSE)),"",(VLOOKUP($E174,'D-1 Off-Site Habitat Baseline'!$D$1:$O$258,8,FALSE))))</f>
        <v/>
      </c>
      <c r="K174" s="382" t="str">
        <f>IF(E174="","",IF(ISNA(VLOOKUP($E174,'D-1 Off-Site Habitat Baseline'!$D$1:$O$258,9,FALSE)),"",(VLOOKUP($E174,'D-1 Off-Site Habitat Baseline'!$D$1:$O$258,9,FALSE))))</f>
        <v/>
      </c>
      <c r="L174" s="382" t="str">
        <f>IF(E174="","",IF(ISNA(VLOOKUP($E174,'D-1 Off-Site Habitat Baseline'!$D$1:$O$258,11,FALSE)),"",(VLOOKUP($E174,'D-1 Off-Site Habitat Baseline'!$D$1:$O$258,11,FALSE))))</f>
        <v/>
      </c>
      <c r="M174" s="382" t="str">
        <f>IF(E174="","",IF(ISNA(VLOOKUP($E174,'D-1 Off-Site Habitat Baseline'!$D$1:$O$258,12,FALSE)),"",(VLOOKUP($E174,'D-1 Off-Site Habitat Baseline'!$D$1:$O$258,12,FALSE))))</f>
        <v/>
      </c>
      <c r="N174" s="382" t="str">
        <f>IF(E174="","",IF(ISNA(VLOOKUP($E174,'D-1 Off-Site Habitat Baseline'!$D$1:$AA$258,14,FALSE)),"",(VLOOKUP($E174,'D-1 Off-Site Habitat Baseline'!$D$1:$AA$258,14,FALSE))))</f>
        <v/>
      </c>
      <c r="O174" s="386" t="str">
        <f>IF(E174="","",IF(ISNA(VLOOKUP($E174,'D-1 Off-Site Habitat Baseline'!$D$1:$AA$258,13,FALSE)),"",(VLOOKUP($E174,'D-1 Off-Site Habitat Baseline'!$D$1:$AA$258,13,FALSE))))</f>
        <v/>
      </c>
      <c r="P174" s="184" t="str">
        <f>IFERROR(INDEX('G-1 All Habitats'!$AG$3:$AG$17,MATCH(Q174,'G-1 All Habitats'!$AF$3:$AF$17,0)),"")</f>
        <v/>
      </c>
      <c r="Q174" s="185" t="str">
        <f t="shared" si="25"/>
        <v/>
      </c>
      <c r="R174" s="186" t="str">
        <f t="shared" si="25"/>
        <v/>
      </c>
      <c r="S174" s="187" t="str">
        <f>IFERROR(INDEX('G-1 All Habitats'!$B$3:$B$134,MATCH(R174,'G-1 All Habitats'!$A$3:$A$134,0)),"")</f>
        <v/>
      </c>
      <c r="T174" s="370" t="str">
        <f t="shared" si="26"/>
        <v/>
      </c>
      <c r="U174" s="386" t="str">
        <f t="shared" si="27"/>
        <v/>
      </c>
      <c r="V174" s="385" t="str">
        <f t="shared" si="23"/>
        <v/>
      </c>
      <c r="W174" s="382" t="str">
        <f>IF(S174="","",VLOOKUP(S174,'G-1 All Habitats'!$B$2:$M$134,10,FALSE))</f>
        <v/>
      </c>
      <c r="X174" s="382" t="str">
        <f>IFERROR(VLOOKUP(W174,'G-1 All Habitats'!$V$3:$W$7,2,FALSE),"")</f>
        <v/>
      </c>
      <c r="Y174" s="165"/>
      <c r="Z174" s="386" t="str">
        <f>IFERROR(INDEX('G-8 Condition Look up'!$A$3:$H$135,MATCH(S174,'G-8 Condition Look up'!$A$3:$A$135,0),MATCH(Y174,'G-8 Condition Look up'!$A$3:$H$3,0)),"")</f>
        <v/>
      </c>
      <c r="AA174" s="114"/>
      <c r="AB174" s="401" t="str">
        <f>IF(AA174="","",IF(VLOOKUP(AA174,'G-3 Multipliers'!$L$3:$N$6,2,FALSE)=0,"Spatial Data Missing ⚠",VLOOKUP(AA174,'G-3 Multipliers'!$L$3:$N$6,2,FALSE)))</f>
        <v/>
      </c>
      <c r="AC174" s="386" t="str">
        <f>IF(AA174="","",IF(VLOOKUP(AA174,'G-3 Multipliers'!$L$3:$N$6,3,FALSE)=0,"Spatial Data Missing ⚠",VLOOKUP(AA174,'G-3 Multipliers'!$L$3:$N$6,3,FALSE)))</f>
        <v/>
      </c>
      <c r="AD174" s="398" t="str">
        <f t="shared" si="24"/>
        <v/>
      </c>
      <c r="AE174" s="165"/>
      <c r="AF174" s="165"/>
      <c r="AG174" s="382" t="str">
        <f t="shared" si="28"/>
        <v/>
      </c>
      <c r="AH174" s="404" t="str">
        <f t="shared" si="29"/>
        <v/>
      </c>
      <c r="AI174" s="387" t="str">
        <f>IF(AH174="Check Data ⚠","Check Data ⚠",IFERROR(VLOOKUP(AH174,'G-4 Temporal multipliers'!$A$4:$C$36,3,FALSE),""))</f>
        <v/>
      </c>
      <c r="AJ174" s="398" t="str">
        <f>IF(S174="","",VLOOKUP(S174,'G-3 Multipliers'!$A$2:$E$134,4,FALSE))</f>
        <v/>
      </c>
      <c r="AK174" s="382" t="str">
        <f t="shared" si="30"/>
        <v/>
      </c>
      <c r="AL174" s="382" t="str">
        <f t="shared" si="31"/>
        <v/>
      </c>
      <c r="AM174" s="386" t="str">
        <f>IFERROR(IF(F174="","",IF(AH174="Check Data ⚠","Check Data ⚠",VLOOKUP(AL174, 'G-3 Multipliers'!$P$2:$Q$6,2,FALSE))),"")</f>
        <v/>
      </c>
      <c r="AN174" s="516"/>
      <c r="AO174" s="417" t="str">
        <f>IF(AN174="","",IF(VLOOKUP(AN174,'G-3 Multipliers'!$S$3:$T$10,2,FALSE)=0,"Spatial Data Missing ⚠",VLOOKUP(AN174,'G-3 Multipliers'!$S$3:$T$10,2,FALSE)))</f>
        <v/>
      </c>
      <c r="AP174" s="376" t="str">
        <f t="shared" si="32"/>
        <v/>
      </c>
      <c r="AQ174" s="376" t="str">
        <f t="shared" si="33"/>
        <v/>
      </c>
      <c r="AR174" s="119"/>
      <c r="AS174" s="528"/>
      <c r="AT174" s="120"/>
      <c r="AU174" s="120"/>
    </row>
    <row r="175" spans="1:47">
      <c r="A175" s="30" t="str">
        <f>IF(E175="","",IF(ISNA(VLOOKUP($E175,'D-1 Off-Site Habitat Baseline'!$D$1:$O$258,2,FALSE)),"",(VLOOKUP($E175,'D-1 Off-Site Habitat Baseline'!$D$1:$O$258,2,FALSE))))</f>
        <v/>
      </c>
      <c r="B175" s="30" t="str">
        <f>IF(E175="","",IF(ISNA(VLOOKUP($E175,'D-1 Off-Site Habitat Baseline'!$D$1:$O$258,3,FALSE)),"",(VLOOKUP($E175,'D-1 Off-Site Habitat Baseline'!$D$1:$O$258,3,FALSE))))</f>
        <v/>
      </c>
      <c r="C175" s="30" t="str">
        <f>IFERROR(INDEX('G-8 Condition Look up'!$I$4:$I$135,MATCH(S175,'G-8 Condition Look up'!$A$4:$A$135,0)),"")</f>
        <v/>
      </c>
      <c r="E175" s="407" t="str">
        <f>'D-1 Off-Site Habitat Baseline'!AP174</f>
        <v/>
      </c>
      <c r="F175" s="382" t="str">
        <f>IF(E175="","",IF(ISNA(VLOOKUP($E175,'D-1 Off-Site Habitat Baseline'!$D$1:$O$258,4,FALSE)),"",(VLOOKUP($E175,'D-1 Off-Site Habitat Baseline'!$D$1:$O$258,4,FALSE))))</f>
        <v/>
      </c>
      <c r="G175" s="382" t="str">
        <f>IF(E175="","",IF(ISNA(VLOOKUP($E175,'D-1 Off-Site Habitat Baseline'!$D$1:$O$258,5,FALSE)),"",(VLOOKUP($E175,'D-1 Off-Site Habitat Baseline'!$D$1:$O$258,5,FALSE))))</f>
        <v/>
      </c>
      <c r="H175" s="382" t="str">
        <f>IF(E175="","",IF(ISNA(VLOOKUP($E175,'D-1 Off-Site Habitat Baseline'!$D$1:$O$258,6,FALSE)),"",(VLOOKUP($E175,'D-1 Off-Site Habitat Baseline'!$D$1:$O$258,6,FALSE))))</f>
        <v/>
      </c>
      <c r="I175" s="382" t="str">
        <f>IF(E175="","",IF(ISNA(VLOOKUP($E175,'D-1 Off-Site Habitat Baseline'!$D$1:$O$258,7,FALSE)),"",(VLOOKUP($E175,'D-1 Off-Site Habitat Baseline'!$D$1:$O$258,7,FALSE))))</f>
        <v/>
      </c>
      <c r="J175" s="382" t="str">
        <f>IF(E175="","",IF(ISNA(VLOOKUP($E175,'D-1 Off-Site Habitat Baseline'!$D$1:$O$258,8,FALSE)),"",(VLOOKUP($E175,'D-1 Off-Site Habitat Baseline'!$D$1:$O$258,8,FALSE))))</f>
        <v/>
      </c>
      <c r="K175" s="382" t="str">
        <f>IF(E175="","",IF(ISNA(VLOOKUP($E175,'D-1 Off-Site Habitat Baseline'!$D$1:$O$258,9,FALSE)),"",(VLOOKUP($E175,'D-1 Off-Site Habitat Baseline'!$D$1:$O$258,9,FALSE))))</f>
        <v/>
      </c>
      <c r="L175" s="382" t="str">
        <f>IF(E175="","",IF(ISNA(VLOOKUP($E175,'D-1 Off-Site Habitat Baseline'!$D$1:$O$258,11,FALSE)),"",(VLOOKUP($E175,'D-1 Off-Site Habitat Baseline'!$D$1:$O$258,11,FALSE))))</f>
        <v/>
      </c>
      <c r="M175" s="382" t="str">
        <f>IF(E175="","",IF(ISNA(VLOOKUP($E175,'D-1 Off-Site Habitat Baseline'!$D$1:$O$258,12,FALSE)),"",(VLOOKUP($E175,'D-1 Off-Site Habitat Baseline'!$D$1:$O$258,12,FALSE))))</f>
        <v/>
      </c>
      <c r="N175" s="382" t="str">
        <f>IF(E175="","",IF(ISNA(VLOOKUP($E175,'D-1 Off-Site Habitat Baseline'!$D$1:$AA$258,14,FALSE)),"",(VLOOKUP($E175,'D-1 Off-Site Habitat Baseline'!$D$1:$AA$258,14,FALSE))))</f>
        <v/>
      </c>
      <c r="O175" s="386" t="str">
        <f>IF(E175="","",IF(ISNA(VLOOKUP($E175,'D-1 Off-Site Habitat Baseline'!$D$1:$AA$258,13,FALSE)),"",(VLOOKUP($E175,'D-1 Off-Site Habitat Baseline'!$D$1:$AA$258,13,FALSE))))</f>
        <v/>
      </c>
      <c r="P175" s="184" t="str">
        <f>IFERROR(INDEX('G-1 All Habitats'!$AG$3:$AG$17,MATCH(Q175,'G-1 All Habitats'!$AF$3:$AF$17,0)),"")</f>
        <v/>
      </c>
      <c r="Q175" s="185" t="str">
        <f t="shared" si="25"/>
        <v/>
      </c>
      <c r="R175" s="186" t="str">
        <f t="shared" si="25"/>
        <v/>
      </c>
      <c r="S175" s="187" t="str">
        <f>IFERROR(INDEX('G-1 All Habitats'!$B$3:$B$134,MATCH(R175,'G-1 All Habitats'!$A$3:$A$134,0)),"")</f>
        <v/>
      </c>
      <c r="T175" s="370" t="str">
        <f t="shared" si="26"/>
        <v/>
      </c>
      <c r="U175" s="386" t="str">
        <f t="shared" si="27"/>
        <v/>
      </c>
      <c r="V175" s="385" t="str">
        <f t="shared" si="23"/>
        <v/>
      </c>
      <c r="W175" s="382" t="str">
        <f>IF(S175="","",VLOOKUP(S175,'G-1 All Habitats'!$B$2:$M$134,10,FALSE))</f>
        <v/>
      </c>
      <c r="X175" s="382" t="str">
        <f>IFERROR(VLOOKUP(W175,'G-1 All Habitats'!$V$3:$W$7,2,FALSE),"")</f>
        <v/>
      </c>
      <c r="Y175" s="165"/>
      <c r="Z175" s="386" t="str">
        <f>IFERROR(INDEX('G-8 Condition Look up'!$A$3:$H$135,MATCH(S175,'G-8 Condition Look up'!$A$3:$A$135,0),MATCH(Y175,'G-8 Condition Look up'!$A$3:$H$3,0)),"")</f>
        <v/>
      </c>
      <c r="AA175" s="114"/>
      <c r="AB175" s="401" t="str">
        <f>IF(AA175="","",IF(VLOOKUP(AA175,'G-3 Multipliers'!$L$3:$N$6,2,FALSE)=0,"Spatial Data Missing ⚠",VLOOKUP(AA175,'G-3 Multipliers'!$L$3:$N$6,2,FALSE)))</f>
        <v/>
      </c>
      <c r="AC175" s="386" t="str">
        <f>IF(AA175="","",IF(VLOOKUP(AA175,'G-3 Multipliers'!$L$3:$N$6,3,FALSE)=0,"Spatial Data Missing ⚠",VLOOKUP(AA175,'G-3 Multipliers'!$L$3:$N$6,3,FALSE)))</f>
        <v/>
      </c>
      <c r="AD175" s="398" t="str">
        <f t="shared" si="24"/>
        <v/>
      </c>
      <c r="AE175" s="165"/>
      <c r="AF175" s="165"/>
      <c r="AG175" s="382" t="str">
        <f t="shared" si="28"/>
        <v/>
      </c>
      <c r="AH175" s="404" t="str">
        <f t="shared" si="29"/>
        <v/>
      </c>
      <c r="AI175" s="387" t="str">
        <f>IF(AH175="Check Data ⚠","Check Data ⚠",IFERROR(VLOOKUP(AH175,'G-4 Temporal multipliers'!$A$4:$C$36,3,FALSE),""))</f>
        <v/>
      </c>
      <c r="AJ175" s="398" t="str">
        <f>IF(S175="","",VLOOKUP(S175,'G-3 Multipliers'!$A$2:$E$134,4,FALSE))</f>
        <v/>
      </c>
      <c r="AK175" s="382" t="str">
        <f t="shared" si="30"/>
        <v/>
      </c>
      <c r="AL175" s="382" t="str">
        <f t="shared" si="31"/>
        <v/>
      </c>
      <c r="AM175" s="386" t="str">
        <f>IFERROR(IF(F175="","",IF(AH175="Check Data ⚠","Check Data ⚠",VLOOKUP(AL175, 'G-3 Multipliers'!$P$2:$Q$6,2,FALSE))),"")</f>
        <v/>
      </c>
      <c r="AN175" s="516"/>
      <c r="AO175" s="417" t="str">
        <f>IF(AN175="","",IF(VLOOKUP(AN175,'G-3 Multipliers'!$S$3:$T$10,2,FALSE)=0,"Spatial Data Missing ⚠",VLOOKUP(AN175,'G-3 Multipliers'!$S$3:$T$10,2,FALSE)))</f>
        <v/>
      </c>
      <c r="AP175" s="376" t="str">
        <f t="shared" si="32"/>
        <v/>
      </c>
      <c r="AQ175" s="376" t="str">
        <f t="shared" si="33"/>
        <v/>
      </c>
      <c r="AR175" s="119"/>
      <c r="AS175" s="528"/>
      <c r="AT175" s="120"/>
      <c r="AU175" s="120"/>
    </row>
    <row r="176" spans="1:47">
      <c r="A176" s="30" t="str">
        <f>IF(E176="","",IF(ISNA(VLOOKUP($E176,'D-1 Off-Site Habitat Baseline'!$D$1:$O$258,2,FALSE)),"",(VLOOKUP($E176,'D-1 Off-Site Habitat Baseline'!$D$1:$O$258,2,FALSE))))</f>
        <v/>
      </c>
      <c r="B176" s="30" t="str">
        <f>IF(E176="","",IF(ISNA(VLOOKUP($E176,'D-1 Off-Site Habitat Baseline'!$D$1:$O$258,3,FALSE)),"",(VLOOKUP($E176,'D-1 Off-Site Habitat Baseline'!$D$1:$O$258,3,FALSE))))</f>
        <v/>
      </c>
      <c r="C176" s="30" t="str">
        <f>IFERROR(INDEX('G-8 Condition Look up'!$I$4:$I$135,MATCH(S176,'G-8 Condition Look up'!$A$4:$A$135,0)),"")</f>
        <v/>
      </c>
      <c r="E176" s="407" t="str">
        <f>'D-1 Off-Site Habitat Baseline'!AP175</f>
        <v/>
      </c>
      <c r="F176" s="382" t="str">
        <f>IF(E176="","",IF(ISNA(VLOOKUP($E176,'D-1 Off-Site Habitat Baseline'!$D$1:$O$258,4,FALSE)),"",(VLOOKUP($E176,'D-1 Off-Site Habitat Baseline'!$D$1:$O$258,4,FALSE))))</f>
        <v/>
      </c>
      <c r="G176" s="382" t="str">
        <f>IF(E176="","",IF(ISNA(VLOOKUP($E176,'D-1 Off-Site Habitat Baseline'!$D$1:$O$258,5,FALSE)),"",(VLOOKUP($E176,'D-1 Off-Site Habitat Baseline'!$D$1:$O$258,5,FALSE))))</f>
        <v/>
      </c>
      <c r="H176" s="382" t="str">
        <f>IF(E176="","",IF(ISNA(VLOOKUP($E176,'D-1 Off-Site Habitat Baseline'!$D$1:$O$258,6,FALSE)),"",(VLOOKUP($E176,'D-1 Off-Site Habitat Baseline'!$D$1:$O$258,6,FALSE))))</f>
        <v/>
      </c>
      <c r="I176" s="382" t="str">
        <f>IF(E176="","",IF(ISNA(VLOOKUP($E176,'D-1 Off-Site Habitat Baseline'!$D$1:$O$258,7,FALSE)),"",(VLOOKUP($E176,'D-1 Off-Site Habitat Baseline'!$D$1:$O$258,7,FALSE))))</f>
        <v/>
      </c>
      <c r="J176" s="382" t="str">
        <f>IF(E176="","",IF(ISNA(VLOOKUP($E176,'D-1 Off-Site Habitat Baseline'!$D$1:$O$258,8,FALSE)),"",(VLOOKUP($E176,'D-1 Off-Site Habitat Baseline'!$D$1:$O$258,8,FALSE))))</f>
        <v/>
      </c>
      <c r="K176" s="382" t="str">
        <f>IF(E176="","",IF(ISNA(VLOOKUP($E176,'D-1 Off-Site Habitat Baseline'!$D$1:$O$258,9,FALSE)),"",(VLOOKUP($E176,'D-1 Off-Site Habitat Baseline'!$D$1:$O$258,9,FALSE))))</f>
        <v/>
      </c>
      <c r="L176" s="382" t="str">
        <f>IF(E176="","",IF(ISNA(VLOOKUP($E176,'D-1 Off-Site Habitat Baseline'!$D$1:$O$258,11,FALSE)),"",(VLOOKUP($E176,'D-1 Off-Site Habitat Baseline'!$D$1:$O$258,11,FALSE))))</f>
        <v/>
      </c>
      <c r="M176" s="382" t="str">
        <f>IF(E176="","",IF(ISNA(VLOOKUP($E176,'D-1 Off-Site Habitat Baseline'!$D$1:$O$258,12,FALSE)),"",(VLOOKUP($E176,'D-1 Off-Site Habitat Baseline'!$D$1:$O$258,12,FALSE))))</f>
        <v/>
      </c>
      <c r="N176" s="382" t="str">
        <f>IF(E176="","",IF(ISNA(VLOOKUP($E176,'D-1 Off-Site Habitat Baseline'!$D$1:$AA$258,14,FALSE)),"",(VLOOKUP($E176,'D-1 Off-Site Habitat Baseline'!$D$1:$AA$258,14,FALSE))))</f>
        <v/>
      </c>
      <c r="O176" s="386" t="str">
        <f>IF(E176="","",IF(ISNA(VLOOKUP($E176,'D-1 Off-Site Habitat Baseline'!$D$1:$AA$258,13,FALSE)),"",(VLOOKUP($E176,'D-1 Off-Site Habitat Baseline'!$D$1:$AA$258,13,FALSE))))</f>
        <v/>
      </c>
      <c r="P176" s="184" t="str">
        <f>IFERROR(INDEX('G-1 All Habitats'!$AG$3:$AG$17,MATCH(Q176,'G-1 All Habitats'!$AF$3:$AF$17,0)),"")</f>
        <v/>
      </c>
      <c r="Q176" s="185" t="str">
        <f t="shared" si="25"/>
        <v/>
      </c>
      <c r="R176" s="186" t="str">
        <f t="shared" si="25"/>
        <v/>
      </c>
      <c r="S176" s="187" t="str">
        <f>IFERROR(INDEX('G-1 All Habitats'!$B$3:$B$134,MATCH(R176,'G-1 All Habitats'!$A$3:$A$134,0)),"")</f>
        <v/>
      </c>
      <c r="T176" s="370" t="str">
        <f t="shared" si="26"/>
        <v/>
      </c>
      <c r="U176" s="386" t="str">
        <f t="shared" si="27"/>
        <v/>
      </c>
      <c r="V176" s="385" t="str">
        <f t="shared" si="23"/>
        <v/>
      </c>
      <c r="W176" s="382" t="str">
        <f>IF(S176="","",VLOOKUP(S176,'G-1 All Habitats'!$B$2:$M$134,10,FALSE))</f>
        <v/>
      </c>
      <c r="X176" s="382" t="str">
        <f>IFERROR(VLOOKUP(W176,'G-1 All Habitats'!$V$3:$W$7,2,FALSE),"")</f>
        <v/>
      </c>
      <c r="Y176" s="165"/>
      <c r="Z176" s="386" t="str">
        <f>IFERROR(INDEX('G-8 Condition Look up'!$A$3:$H$135,MATCH(S176,'G-8 Condition Look up'!$A$3:$A$135,0),MATCH(Y176,'G-8 Condition Look up'!$A$3:$H$3,0)),"")</f>
        <v/>
      </c>
      <c r="AA176" s="114"/>
      <c r="AB176" s="401" t="str">
        <f>IF(AA176="","",IF(VLOOKUP(AA176,'G-3 Multipliers'!$L$3:$N$6,2,FALSE)=0,"Spatial Data Missing ⚠",VLOOKUP(AA176,'G-3 Multipliers'!$L$3:$N$6,2,FALSE)))</f>
        <v/>
      </c>
      <c r="AC176" s="386" t="str">
        <f>IF(AA176="","",IF(VLOOKUP(AA176,'G-3 Multipliers'!$L$3:$N$6,3,FALSE)=0,"Spatial Data Missing ⚠",VLOOKUP(AA176,'G-3 Multipliers'!$L$3:$N$6,3,FALSE)))</f>
        <v/>
      </c>
      <c r="AD176" s="398" t="str">
        <f t="shared" si="24"/>
        <v/>
      </c>
      <c r="AE176" s="165"/>
      <c r="AF176" s="165"/>
      <c r="AG176" s="382" t="str">
        <f t="shared" si="28"/>
        <v/>
      </c>
      <c r="AH176" s="404" t="str">
        <f t="shared" si="29"/>
        <v/>
      </c>
      <c r="AI176" s="387" t="str">
        <f>IF(AH176="Check Data ⚠","Check Data ⚠",IFERROR(VLOOKUP(AH176,'G-4 Temporal multipliers'!$A$4:$C$36,3,FALSE),""))</f>
        <v/>
      </c>
      <c r="AJ176" s="398" t="str">
        <f>IF(S176="","",VLOOKUP(S176,'G-3 Multipliers'!$A$2:$E$134,4,FALSE))</f>
        <v/>
      </c>
      <c r="AK176" s="382" t="str">
        <f t="shared" si="30"/>
        <v/>
      </c>
      <c r="AL176" s="382" t="str">
        <f t="shared" si="31"/>
        <v/>
      </c>
      <c r="AM176" s="386" t="str">
        <f>IFERROR(IF(F176="","",IF(AH176="Check Data ⚠","Check Data ⚠",VLOOKUP(AL176, 'G-3 Multipliers'!$P$2:$Q$6,2,FALSE))),"")</f>
        <v/>
      </c>
      <c r="AN176" s="516"/>
      <c r="AO176" s="417" t="str">
        <f>IF(AN176="","",IF(VLOOKUP(AN176,'G-3 Multipliers'!$S$3:$T$10,2,FALSE)=0,"Spatial Data Missing ⚠",VLOOKUP(AN176,'G-3 Multipliers'!$S$3:$T$10,2,FALSE)))</f>
        <v/>
      </c>
      <c r="AP176" s="376" t="str">
        <f t="shared" si="32"/>
        <v/>
      </c>
      <c r="AQ176" s="376" t="str">
        <f t="shared" si="33"/>
        <v/>
      </c>
      <c r="AR176" s="119"/>
      <c r="AS176" s="528"/>
      <c r="AT176" s="120"/>
      <c r="AU176" s="120"/>
    </row>
    <row r="177" spans="1:47">
      <c r="A177" s="30" t="str">
        <f>IF(E177="","",IF(ISNA(VLOOKUP($E177,'D-1 Off-Site Habitat Baseline'!$D$1:$O$258,2,FALSE)),"",(VLOOKUP($E177,'D-1 Off-Site Habitat Baseline'!$D$1:$O$258,2,FALSE))))</f>
        <v/>
      </c>
      <c r="B177" s="30" t="str">
        <f>IF(E177="","",IF(ISNA(VLOOKUP($E177,'D-1 Off-Site Habitat Baseline'!$D$1:$O$258,3,FALSE)),"",(VLOOKUP($E177,'D-1 Off-Site Habitat Baseline'!$D$1:$O$258,3,FALSE))))</f>
        <v/>
      </c>
      <c r="C177" s="30" t="str">
        <f>IFERROR(INDEX('G-8 Condition Look up'!$I$4:$I$135,MATCH(S177,'G-8 Condition Look up'!$A$4:$A$135,0)),"")</f>
        <v/>
      </c>
      <c r="E177" s="407" t="str">
        <f>'D-1 Off-Site Habitat Baseline'!AP176</f>
        <v/>
      </c>
      <c r="F177" s="382" t="str">
        <f>IF(E177="","",IF(ISNA(VLOOKUP($E177,'D-1 Off-Site Habitat Baseline'!$D$1:$O$258,4,FALSE)),"",(VLOOKUP($E177,'D-1 Off-Site Habitat Baseline'!$D$1:$O$258,4,FALSE))))</f>
        <v/>
      </c>
      <c r="G177" s="382" t="str">
        <f>IF(E177="","",IF(ISNA(VLOOKUP($E177,'D-1 Off-Site Habitat Baseline'!$D$1:$O$258,5,FALSE)),"",(VLOOKUP($E177,'D-1 Off-Site Habitat Baseline'!$D$1:$O$258,5,FALSE))))</f>
        <v/>
      </c>
      <c r="H177" s="382" t="str">
        <f>IF(E177="","",IF(ISNA(VLOOKUP($E177,'D-1 Off-Site Habitat Baseline'!$D$1:$O$258,6,FALSE)),"",(VLOOKUP($E177,'D-1 Off-Site Habitat Baseline'!$D$1:$O$258,6,FALSE))))</f>
        <v/>
      </c>
      <c r="I177" s="382" t="str">
        <f>IF(E177="","",IF(ISNA(VLOOKUP($E177,'D-1 Off-Site Habitat Baseline'!$D$1:$O$258,7,FALSE)),"",(VLOOKUP($E177,'D-1 Off-Site Habitat Baseline'!$D$1:$O$258,7,FALSE))))</f>
        <v/>
      </c>
      <c r="J177" s="382" t="str">
        <f>IF(E177="","",IF(ISNA(VLOOKUP($E177,'D-1 Off-Site Habitat Baseline'!$D$1:$O$258,8,FALSE)),"",(VLOOKUP($E177,'D-1 Off-Site Habitat Baseline'!$D$1:$O$258,8,FALSE))))</f>
        <v/>
      </c>
      <c r="K177" s="382" t="str">
        <f>IF(E177="","",IF(ISNA(VLOOKUP($E177,'D-1 Off-Site Habitat Baseline'!$D$1:$O$258,9,FALSE)),"",(VLOOKUP($E177,'D-1 Off-Site Habitat Baseline'!$D$1:$O$258,9,FALSE))))</f>
        <v/>
      </c>
      <c r="L177" s="382" t="str">
        <f>IF(E177="","",IF(ISNA(VLOOKUP($E177,'D-1 Off-Site Habitat Baseline'!$D$1:$O$258,11,FALSE)),"",(VLOOKUP($E177,'D-1 Off-Site Habitat Baseline'!$D$1:$O$258,11,FALSE))))</f>
        <v/>
      </c>
      <c r="M177" s="382" t="str">
        <f>IF(E177="","",IF(ISNA(VLOOKUP($E177,'D-1 Off-Site Habitat Baseline'!$D$1:$O$258,12,FALSE)),"",(VLOOKUP($E177,'D-1 Off-Site Habitat Baseline'!$D$1:$O$258,12,FALSE))))</f>
        <v/>
      </c>
      <c r="N177" s="382" t="str">
        <f>IF(E177="","",IF(ISNA(VLOOKUP($E177,'D-1 Off-Site Habitat Baseline'!$D$1:$AA$258,14,FALSE)),"",(VLOOKUP($E177,'D-1 Off-Site Habitat Baseline'!$D$1:$AA$258,14,FALSE))))</f>
        <v/>
      </c>
      <c r="O177" s="386" t="str">
        <f>IF(E177="","",IF(ISNA(VLOOKUP($E177,'D-1 Off-Site Habitat Baseline'!$D$1:$AA$258,13,FALSE)),"",(VLOOKUP($E177,'D-1 Off-Site Habitat Baseline'!$D$1:$AA$258,13,FALSE))))</f>
        <v/>
      </c>
      <c r="P177" s="184" t="str">
        <f>IFERROR(INDEX('G-1 All Habitats'!$AG$3:$AG$17,MATCH(Q177,'G-1 All Habitats'!$AF$3:$AF$17,0)),"")</f>
        <v/>
      </c>
      <c r="Q177" s="185" t="str">
        <f t="shared" si="25"/>
        <v/>
      </c>
      <c r="R177" s="186" t="str">
        <f t="shared" si="25"/>
        <v/>
      </c>
      <c r="S177" s="187" t="str">
        <f>IFERROR(INDEX('G-1 All Habitats'!$B$3:$B$134,MATCH(R177,'G-1 All Habitats'!$A$3:$A$134,0)),"")</f>
        <v/>
      </c>
      <c r="T177" s="370" t="str">
        <f t="shared" si="26"/>
        <v/>
      </c>
      <c r="U177" s="386" t="str">
        <f t="shared" si="27"/>
        <v/>
      </c>
      <c r="V177" s="385" t="str">
        <f t="shared" si="23"/>
        <v/>
      </c>
      <c r="W177" s="382" t="str">
        <f>IF(S177="","",VLOOKUP(S177,'G-1 All Habitats'!$B$2:$M$134,10,FALSE))</f>
        <v/>
      </c>
      <c r="X177" s="382" t="str">
        <f>IFERROR(VLOOKUP(W177,'G-1 All Habitats'!$V$3:$W$7,2,FALSE),"")</f>
        <v/>
      </c>
      <c r="Y177" s="165"/>
      <c r="Z177" s="386" t="str">
        <f>IFERROR(INDEX('G-8 Condition Look up'!$A$3:$H$135,MATCH(S177,'G-8 Condition Look up'!$A$3:$A$135,0),MATCH(Y177,'G-8 Condition Look up'!$A$3:$H$3,0)),"")</f>
        <v/>
      </c>
      <c r="AA177" s="114"/>
      <c r="AB177" s="401" t="str">
        <f>IF(AA177="","",IF(VLOOKUP(AA177,'G-3 Multipliers'!$L$3:$N$6,2,FALSE)=0,"Spatial Data Missing ⚠",VLOOKUP(AA177,'G-3 Multipliers'!$L$3:$N$6,2,FALSE)))</f>
        <v/>
      </c>
      <c r="AC177" s="386" t="str">
        <f>IF(AA177="","",IF(VLOOKUP(AA177,'G-3 Multipliers'!$L$3:$N$6,3,FALSE)=0,"Spatial Data Missing ⚠",VLOOKUP(AA177,'G-3 Multipliers'!$L$3:$N$6,3,FALSE)))</f>
        <v/>
      </c>
      <c r="AD177" s="398" t="str">
        <f t="shared" si="24"/>
        <v/>
      </c>
      <c r="AE177" s="165"/>
      <c r="AF177" s="165"/>
      <c r="AG177" s="382" t="str">
        <f t="shared" si="28"/>
        <v/>
      </c>
      <c r="AH177" s="404" t="str">
        <f t="shared" si="29"/>
        <v/>
      </c>
      <c r="AI177" s="387" t="str">
        <f>IF(AH177="Check Data ⚠","Check Data ⚠",IFERROR(VLOOKUP(AH177,'G-4 Temporal multipliers'!$A$4:$C$36,3,FALSE),""))</f>
        <v/>
      </c>
      <c r="AJ177" s="398" t="str">
        <f>IF(S177="","",VLOOKUP(S177,'G-3 Multipliers'!$A$2:$E$134,4,FALSE))</f>
        <v/>
      </c>
      <c r="AK177" s="382" t="str">
        <f t="shared" si="30"/>
        <v/>
      </c>
      <c r="AL177" s="382" t="str">
        <f t="shared" si="31"/>
        <v/>
      </c>
      <c r="AM177" s="386" t="str">
        <f>IFERROR(IF(F177="","",IF(AH177="Check Data ⚠","Check Data ⚠",VLOOKUP(AL177, 'G-3 Multipliers'!$P$2:$Q$6,2,FALSE))),"")</f>
        <v/>
      </c>
      <c r="AN177" s="516"/>
      <c r="AO177" s="417" t="str">
        <f>IF(AN177="","",IF(VLOOKUP(AN177,'G-3 Multipliers'!$S$3:$T$10,2,FALSE)=0,"Spatial Data Missing ⚠",VLOOKUP(AN177,'G-3 Multipliers'!$S$3:$T$10,2,FALSE)))</f>
        <v/>
      </c>
      <c r="AP177" s="376" t="str">
        <f t="shared" si="32"/>
        <v/>
      </c>
      <c r="AQ177" s="376" t="str">
        <f t="shared" si="33"/>
        <v/>
      </c>
      <c r="AR177" s="119"/>
      <c r="AS177" s="528"/>
      <c r="AT177" s="120"/>
      <c r="AU177" s="120"/>
    </row>
    <row r="178" spans="1:47">
      <c r="A178" s="30" t="str">
        <f>IF(E178="","",IF(ISNA(VLOOKUP($E178,'D-1 Off-Site Habitat Baseline'!$D$1:$O$258,2,FALSE)),"",(VLOOKUP($E178,'D-1 Off-Site Habitat Baseline'!$D$1:$O$258,2,FALSE))))</f>
        <v/>
      </c>
      <c r="B178" s="30" t="str">
        <f>IF(E178="","",IF(ISNA(VLOOKUP($E178,'D-1 Off-Site Habitat Baseline'!$D$1:$O$258,3,FALSE)),"",(VLOOKUP($E178,'D-1 Off-Site Habitat Baseline'!$D$1:$O$258,3,FALSE))))</f>
        <v/>
      </c>
      <c r="C178" s="30" t="str">
        <f>IFERROR(INDEX('G-8 Condition Look up'!$I$4:$I$135,MATCH(S178,'G-8 Condition Look up'!$A$4:$A$135,0)),"")</f>
        <v/>
      </c>
      <c r="E178" s="407" t="str">
        <f>'D-1 Off-Site Habitat Baseline'!AP177</f>
        <v/>
      </c>
      <c r="F178" s="382" t="str">
        <f>IF(E178="","",IF(ISNA(VLOOKUP($E178,'D-1 Off-Site Habitat Baseline'!$D$1:$O$258,4,FALSE)),"",(VLOOKUP($E178,'D-1 Off-Site Habitat Baseline'!$D$1:$O$258,4,FALSE))))</f>
        <v/>
      </c>
      <c r="G178" s="382" t="str">
        <f>IF(E178="","",IF(ISNA(VLOOKUP($E178,'D-1 Off-Site Habitat Baseline'!$D$1:$O$258,5,FALSE)),"",(VLOOKUP($E178,'D-1 Off-Site Habitat Baseline'!$D$1:$O$258,5,FALSE))))</f>
        <v/>
      </c>
      <c r="H178" s="382" t="str">
        <f>IF(E178="","",IF(ISNA(VLOOKUP($E178,'D-1 Off-Site Habitat Baseline'!$D$1:$O$258,6,FALSE)),"",(VLOOKUP($E178,'D-1 Off-Site Habitat Baseline'!$D$1:$O$258,6,FALSE))))</f>
        <v/>
      </c>
      <c r="I178" s="382" t="str">
        <f>IF(E178="","",IF(ISNA(VLOOKUP($E178,'D-1 Off-Site Habitat Baseline'!$D$1:$O$258,7,FALSE)),"",(VLOOKUP($E178,'D-1 Off-Site Habitat Baseline'!$D$1:$O$258,7,FALSE))))</f>
        <v/>
      </c>
      <c r="J178" s="382" t="str">
        <f>IF(E178="","",IF(ISNA(VLOOKUP($E178,'D-1 Off-Site Habitat Baseline'!$D$1:$O$258,8,FALSE)),"",(VLOOKUP($E178,'D-1 Off-Site Habitat Baseline'!$D$1:$O$258,8,FALSE))))</f>
        <v/>
      </c>
      <c r="K178" s="382" t="str">
        <f>IF(E178="","",IF(ISNA(VLOOKUP($E178,'D-1 Off-Site Habitat Baseline'!$D$1:$O$258,9,FALSE)),"",(VLOOKUP($E178,'D-1 Off-Site Habitat Baseline'!$D$1:$O$258,9,FALSE))))</f>
        <v/>
      </c>
      <c r="L178" s="382" t="str">
        <f>IF(E178="","",IF(ISNA(VLOOKUP($E178,'D-1 Off-Site Habitat Baseline'!$D$1:$O$258,11,FALSE)),"",(VLOOKUP($E178,'D-1 Off-Site Habitat Baseline'!$D$1:$O$258,11,FALSE))))</f>
        <v/>
      </c>
      <c r="M178" s="382" t="str">
        <f>IF(E178="","",IF(ISNA(VLOOKUP($E178,'D-1 Off-Site Habitat Baseline'!$D$1:$O$258,12,FALSE)),"",(VLOOKUP($E178,'D-1 Off-Site Habitat Baseline'!$D$1:$O$258,12,FALSE))))</f>
        <v/>
      </c>
      <c r="N178" s="382" t="str">
        <f>IF(E178="","",IF(ISNA(VLOOKUP($E178,'D-1 Off-Site Habitat Baseline'!$D$1:$AA$258,14,FALSE)),"",(VLOOKUP($E178,'D-1 Off-Site Habitat Baseline'!$D$1:$AA$258,14,FALSE))))</f>
        <v/>
      </c>
      <c r="O178" s="386" t="str">
        <f>IF(E178="","",IF(ISNA(VLOOKUP($E178,'D-1 Off-Site Habitat Baseline'!$D$1:$AA$258,13,FALSE)),"",(VLOOKUP($E178,'D-1 Off-Site Habitat Baseline'!$D$1:$AA$258,13,FALSE))))</f>
        <v/>
      </c>
      <c r="P178" s="184" t="str">
        <f>IFERROR(INDEX('G-1 All Habitats'!$AG$3:$AG$17,MATCH(Q178,'G-1 All Habitats'!$AF$3:$AF$17,0)),"")</f>
        <v/>
      </c>
      <c r="Q178" s="185" t="str">
        <f t="shared" si="25"/>
        <v/>
      </c>
      <c r="R178" s="186" t="str">
        <f t="shared" si="25"/>
        <v/>
      </c>
      <c r="S178" s="187" t="str">
        <f>IFERROR(INDEX('G-1 All Habitats'!$B$3:$B$134,MATCH(R178,'G-1 All Habitats'!$A$3:$A$134,0)),"")</f>
        <v/>
      </c>
      <c r="T178" s="370" t="str">
        <f t="shared" si="26"/>
        <v/>
      </c>
      <c r="U178" s="386" t="str">
        <f t="shared" si="27"/>
        <v/>
      </c>
      <c r="V178" s="385" t="str">
        <f t="shared" si="23"/>
        <v/>
      </c>
      <c r="W178" s="382" t="str">
        <f>IF(S178="","",VLOOKUP(S178,'G-1 All Habitats'!$B$2:$M$134,10,FALSE))</f>
        <v/>
      </c>
      <c r="X178" s="382" t="str">
        <f>IFERROR(VLOOKUP(W178,'G-1 All Habitats'!$V$3:$W$7,2,FALSE),"")</f>
        <v/>
      </c>
      <c r="Y178" s="165"/>
      <c r="Z178" s="386" t="str">
        <f>IFERROR(INDEX('G-8 Condition Look up'!$A$3:$H$135,MATCH(S178,'G-8 Condition Look up'!$A$3:$A$135,0),MATCH(Y178,'G-8 Condition Look up'!$A$3:$H$3,0)),"")</f>
        <v/>
      </c>
      <c r="AA178" s="114"/>
      <c r="AB178" s="401" t="str">
        <f>IF(AA178="","",IF(VLOOKUP(AA178,'G-3 Multipliers'!$L$3:$N$6,2,FALSE)=0,"Spatial Data Missing ⚠",VLOOKUP(AA178,'G-3 Multipliers'!$L$3:$N$6,2,FALSE)))</f>
        <v/>
      </c>
      <c r="AC178" s="386" t="str">
        <f>IF(AA178="","",IF(VLOOKUP(AA178,'G-3 Multipliers'!$L$3:$N$6,3,FALSE)=0,"Spatial Data Missing ⚠",VLOOKUP(AA178,'G-3 Multipliers'!$L$3:$N$6,3,FALSE)))</f>
        <v/>
      </c>
      <c r="AD178" s="398" t="str">
        <f t="shared" si="24"/>
        <v/>
      </c>
      <c r="AE178" s="165"/>
      <c r="AF178" s="165"/>
      <c r="AG178" s="382" t="str">
        <f t="shared" si="28"/>
        <v/>
      </c>
      <c r="AH178" s="404" t="str">
        <f t="shared" si="29"/>
        <v/>
      </c>
      <c r="AI178" s="387" t="str">
        <f>IF(AH178="Check Data ⚠","Check Data ⚠",IFERROR(VLOOKUP(AH178,'G-4 Temporal multipliers'!$A$4:$C$36,3,FALSE),""))</f>
        <v/>
      </c>
      <c r="AJ178" s="398" t="str">
        <f>IF(S178="","",VLOOKUP(S178,'G-3 Multipliers'!$A$2:$E$134,4,FALSE))</f>
        <v/>
      </c>
      <c r="AK178" s="382" t="str">
        <f t="shared" si="30"/>
        <v/>
      </c>
      <c r="AL178" s="382" t="str">
        <f t="shared" si="31"/>
        <v/>
      </c>
      <c r="AM178" s="386" t="str">
        <f>IFERROR(IF(F178="","",IF(AH178="Check Data ⚠","Check Data ⚠",VLOOKUP(AL178, 'G-3 Multipliers'!$P$2:$Q$6,2,FALSE))),"")</f>
        <v/>
      </c>
      <c r="AN178" s="516"/>
      <c r="AO178" s="417" t="str">
        <f>IF(AN178="","",IF(VLOOKUP(AN178,'G-3 Multipliers'!$S$3:$T$10,2,FALSE)=0,"Spatial Data Missing ⚠",VLOOKUP(AN178,'G-3 Multipliers'!$S$3:$T$10,2,FALSE)))</f>
        <v/>
      </c>
      <c r="AP178" s="376" t="str">
        <f t="shared" si="32"/>
        <v/>
      </c>
      <c r="AQ178" s="376" t="str">
        <f t="shared" si="33"/>
        <v/>
      </c>
      <c r="AR178" s="119"/>
      <c r="AS178" s="528"/>
      <c r="AT178" s="120"/>
      <c r="AU178" s="120"/>
    </row>
    <row r="179" spans="1:47">
      <c r="A179" s="30" t="str">
        <f>IF(E179="","",IF(ISNA(VLOOKUP($E179,'D-1 Off-Site Habitat Baseline'!$D$1:$O$258,2,FALSE)),"",(VLOOKUP($E179,'D-1 Off-Site Habitat Baseline'!$D$1:$O$258,2,FALSE))))</f>
        <v/>
      </c>
      <c r="B179" s="30" t="str">
        <f>IF(E179="","",IF(ISNA(VLOOKUP($E179,'D-1 Off-Site Habitat Baseline'!$D$1:$O$258,3,FALSE)),"",(VLOOKUP($E179,'D-1 Off-Site Habitat Baseline'!$D$1:$O$258,3,FALSE))))</f>
        <v/>
      </c>
      <c r="C179" s="30" t="str">
        <f>IFERROR(INDEX('G-8 Condition Look up'!$I$4:$I$135,MATCH(S179,'G-8 Condition Look up'!$A$4:$A$135,0)),"")</f>
        <v/>
      </c>
      <c r="E179" s="407" t="str">
        <f>'D-1 Off-Site Habitat Baseline'!AP178</f>
        <v/>
      </c>
      <c r="F179" s="382" t="str">
        <f>IF(E179="","",IF(ISNA(VLOOKUP($E179,'D-1 Off-Site Habitat Baseline'!$D$1:$O$258,4,FALSE)),"",(VLOOKUP($E179,'D-1 Off-Site Habitat Baseline'!$D$1:$O$258,4,FALSE))))</f>
        <v/>
      </c>
      <c r="G179" s="382" t="str">
        <f>IF(E179="","",IF(ISNA(VLOOKUP($E179,'D-1 Off-Site Habitat Baseline'!$D$1:$O$258,5,FALSE)),"",(VLOOKUP($E179,'D-1 Off-Site Habitat Baseline'!$D$1:$O$258,5,FALSE))))</f>
        <v/>
      </c>
      <c r="H179" s="382" t="str">
        <f>IF(E179="","",IF(ISNA(VLOOKUP($E179,'D-1 Off-Site Habitat Baseline'!$D$1:$O$258,6,FALSE)),"",(VLOOKUP($E179,'D-1 Off-Site Habitat Baseline'!$D$1:$O$258,6,FALSE))))</f>
        <v/>
      </c>
      <c r="I179" s="382" t="str">
        <f>IF(E179="","",IF(ISNA(VLOOKUP($E179,'D-1 Off-Site Habitat Baseline'!$D$1:$O$258,7,FALSE)),"",(VLOOKUP($E179,'D-1 Off-Site Habitat Baseline'!$D$1:$O$258,7,FALSE))))</f>
        <v/>
      </c>
      <c r="J179" s="382" t="str">
        <f>IF(E179="","",IF(ISNA(VLOOKUP($E179,'D-1 Off-Site Habitat Baseline'!$D$1:$O$258,8,FALSE)),"",(VLOOKUP($E179,'D-1 Off-Site Habitat Baseline'!$D$1:$O$258,8,FALSE))))</f>
        <v/>
      </c>
      <c r="K179" s="382" t="str">
        <f>IF(E179="","",IF(ISNA(VLOOKUP($E179,'D-1 Off-Site Habitat Baseline'!$D$1:$O$258,9,FALSE)),"",(VLOOKUP($E179,'D-1 Off-Site Habitat Baseline'!$D$1:$O$258,9,FALSE))))</f>
        <v/>
      </c>
      <c r="L179" s="382" t="str">
        <f>IF(E179="","",IF(ISNA(VLOOKUP($E179,'D-1 Off-Site Habitat Baseline'!$D$1:$O$258,11,FALSE)),"",(VLOOKUP($E179,'D-1 Off-Site Habitat Baseline'!$D$1:$O$258,11,FALSE))))</f>
        <v/>
      </c>
      <c r="M179" s="382" t="str">
        <f>IF(E179="","",IF(ISNA(VLOOKUP($E179,'D-1 Off-Site Habitat Baseline'!$D$1:$O$258,12,FALSE)),"",(VLOOKUP($E179,'D-1 Off-Site Habitat Baseline'!$D$1:$O$258,12,FALSE))))</f>
        <v/>
      </c>
      <c r="N179" s="382" t="str">
        <f>IF(E179="","",IF(ISNA(VLOOKUP($E179,'D-1 Off-Site Habitat Baseline'!$D$1:$AA$258,14,FALSE)),"",(VLOOKUP($E179,'D-1 Off-Site Habitat Baseline'!$D$1:$AA$258,14,FALSE))))</f>
        <v/>
      </c>
      <c r="O179" s="386" t="str">
        <f>IF(E179="","",IF(ISNA(VLOOKUP($E179,'D-1 Off-Site Habitat Baseline'!$D$1:$AA$258,13,FALSE)),"",(VLOOKUP($E179,'D-1 Off-Site Habitat Baseline'!$D$1:$AA$258,13,FALSE))))</f>
        <v/>
      </c>
      <c r="P179" s="184" t="str">
        <f>IFERROR(INDEX('G-1 All Habitats'!$AG$3:$AG$17,MATCH(Q179,'G-1 All Habitats'!$AF$3:$AF$17,0)),"")</f>
        <v/>
      </c>
      <c r="Q179" s="185" t="str">
        <f t="shared" si="25"/>
        <v/>
      </c>
      <c r="R179" s="186" t="str">
        <f t="shared" si="25"/>
        <v/>
      </c>
      <c r="S179" s="187" t="str">
        <f>IFERROR(INDEX('G-1 All Habitats'!$B$3:$B$134,MATCH(R179,'G-1 All Habitats'!$A$3:$A$134,0)),"")</f>
        <v/>
      </c>
      <c r="T179" s="370" t="str">
        <f t="shared" si="26"/>
        <v/>
      </c>
      <c r="U179" s="386" t="str">
        <f t="shared" si="27"/>
        <v/>
      </c>
      <c r="V179" s="385" t="str">
        <f t="shared" si="23"/>
        <v/>
      </c>
      <c r="W179" s="382" t="str">
        <f>IF(S179="","",VLOOKUP(S179,'G-1 All Habitats'!$B$2:$M$134,10,FALSE))</f>
        <v/>
      </c>
      <c r="X179" s="382" t="str">
        <f>IFERROR(VLOOKUP(W179,'G-1 All Habitats'!$V$3:$W$7,2,FALSE),"")</f>
        <v/>
      </c>
      <c r="Y179" s="165"/>
      <c r="Z179" s="386" t="str">
        <f>IFERROR(INDEX('G-8 Condition Look up'!$A$3:$H$135,MATCH(S179,'G-8 Condition Look up'!$A$3:$A$135,0),MATCH(Y179,'G-8 Condition Look up'!$A$3:$H$3,0)),"")</f>
        <v/>
      </c>
      <c r="AA179" s="114"/>
      <c r="AB179" s="401" t="str">
        <f>IF(AA179="","",IF(VLOOKUP(AA179,'G-3 Multipliers'!$L$3:$N$6,2,FALSE)=0,"Spatial Data Missing ⚠",VLOOKUP(AA179,'G-3 Multipliers'!$L$3:$N$6,2,FALSE)))</f>
        <v/>
      </c>
      <c r="AC179" s="386" t="str">
        <f>IF(AA179="","",IF(VLOOKUP(AA179,'G-3 Multipliers'!$L$3:$N$6,3,FALSE)=0,"Spatial Data Missing ⚠",VLOOKUP(AA179,'G-3 Multipliers'!$L$3:$N$6,3,FALSE)))</f>
        <v/>
      </c>
      <c r="AD179" s="398" t="str">
        <f t="shared" si="24"/>
        <v/>
      </c>
      <c r="AE179" s="165"/>
      <c r="AF179" s="165"/>
      <c r="AG179" s="382" t="str">
        <f t="shared" si="28"/>
        <v/>
      </c>
      <c r="AH179" s="404" t="str">
        <f t="shared" si="29"/>
        <v/>
      </c>
      <c r="AI179" s="387" t="str">
        <f>IF(AH179="Check Data ⚠","Check Data ⚠",IFERROR(VLOOKUP(AH179,'G-4 Temporal multipliers'!$A$4:$C$36,3,FALSE),""))</f>
        <v/>
      </c>
      <c r="AJ179" s="398" t="str">
        <f>IF(S179="","",VLOOKUP(S179,'G-3 Multipliers'!$A$2:$E$134,4,FALSE))</f>
        <v/>
      </c>
      <c r="AK179" s="382" t="str">
        <f t="shared" si="30"/>
        <v/>
      </c>
      <c r="AL179" s="382" t="str">
        <f t="shared" si="31"/>
        <v/>
      </c>
      <c r="AM179" s="386" t="str">
        <f>IFERROR(IF(F179="","",IF(AH179="Check Data ⚠","Check Data ⚠",VLOOKUP(AL179, 'G-3 Multipliers'!$P$2:$Q$6,2,FALSE))),"")</f>
        <v/>
      </c>
      <c r="AN179" s="516"/>
      <c r="AO179" s="417" t="str">
        <f>IF(AN179="","",IF(VLOOKUP(AN179,'G-3 Multipliers'!$S$3:$T$10,2,FALSE)=0,"Spatial Data Missing ⚠",VLOOKUP(AN179,'G-3 Multipliers'!$S$3:$T$10,2,FALSE)))</f>
        <v/>
      </c>
      <c r="AP179" s="376" t="str">
        <f t="shared" si="32"/>
        <v/>
      </c>
      <c r="AQ179" s="376" t="str">
        <f t="shared" si="33"/>
        <v/>
      </c>
      <c r="AR179" s="119"/>
      <c r="AS179" s="528"/>
      <c r="AT179" s="120"/>
      <c r="AU179" s="120"/>
    </row>
    <row r="180" spans="1:47">
      <c r="A180" s="30" t="str">
        <f>IF(E180="","",IF(ISNA(VLOOKUP($E180,'D-1 Off-Site Habitat Baseline'!$D$1:$O$258,2,FALSE)),"",(VLOOKUP($E180,'D-1 Off-Site Habitat Baseline'!$D$1:$O$258,2,FALSE))))</f>
        <v/>
      </c>
      <c r="B180" s="30" t="str">
        <f>IF(E180="","",IF(ISNA(VLOOKUP($E180,'D-1 Off-Site Habitat Baseline'!$D$1:$O$258,3,FALSE)),"",(VLOOKUP($E180,'D-1 Off-Site Habitat Baseline'!$D$1:$O$258,3,FALSE))))</f>
        <v/>
      </c>
      <c r="C180" s="30" t="str">
        <f>IFERROR(INDEX('G-8 Condition Look up'!$I$4:$I$135,MATCH(S180,'G-8 Condition Look up'!$A$4:$A$135,0)),"")</f>
        <v/>
      </c>
      <c r="E180" s="407" t="str">
        <f>'D-1 Off-Site Habitat Baseline'!AP179</f>
        <v/>
      </c>
      <c r="F180" s="382" t="str">
        <f>IF(E180="","",IF(ISNA(VLOOKUP($E180,'D-1 Off-Site Habitat Baseline'!$D$1:$O$258,4,FALSE)),"",(VLOOKUP($E180,'D-1 Off-Site Habitat Baseline'!$D$1:$O$258,4,FALSE))))</f>
        <v/>
      </c>
      <c r="G180" s="382" t="str">
        <f>IF(E180="","",IF(ISNA(VLOOKUP($E180,'D-1 Off-Site Habitat Baseline'!$D$1:$O$258,5,FALSE)),"",(VLOOKUP($E180,'D-1 Off-Site Habitat Baseline'!$D$1:$O$258,5,FALSE))))</f>
        <v/>
      </c>
      <c r="H180" s="382" t="str">
        <f>IF(E180="","",IF(ISNA(VLOOKUP($E180,'D-1 Off-Site Habitat Baseline'!$D$1:$O$258,6,FALSE)),"",(VLOOKUP($E180,'D-1 Off-Site Habitat Baseline'!$D$1:$O$258,6,FALSE))))</f>
        <v/>
      </c>
      <c r="I180" s="382" t="str">
        <f>IF(E180="","",IF(ISNA(VLOOKUP($E180,'D-1 Off-Site Habitat Baseline'!$D$1:$O$258,7,FALSE)),"",(VLOOKUP($E180,'D-1 Off-Site Habitat Baseline'!$D$1:$O$258,7,FALSE))))</f>
        <v/>
      </c>
      <c r="J180" s="382" t="str">
        <f>IF(E180="","",IF(ISNA(VLOOKUP($E180,'D-1 Off-Site Habitat Baseline'!$D$1:$O$258,8,FALSE)),"",(VLOOKUP($E180,'D-1 Off-Site Habitat Baseline'!$D$1:$O$258,8,FALSE))))</f>
        <v/>
      </c>
      <c r="K180" s="382" t="str">
        <f>IF(E180="","",IF(ISNA(VLOOKUP($E180,'D-1 Off-Site Habitat Baseline'!$D$1:$O$258,9,FALSE)),"",(VLOOKUP($E180,'D-1 Off-Site Habitat Baseline'!$D$1:$O$258,9,FALSE))))</f>
        <v/>
      </c>
      <c r="L180" s="382" t="str">
        <f>IF(E180="","",IF(ISNA(VLOOKUP($E180,'D-1 Off-Site Habitat Baseline'!$D$1:$O$258,11,FALSE)),"",(VLOOKUP($E180,'D-1 Off-Site Habitat Baseline'!$D$1:$O$258,11,FALSE))))</f>
        <v/>
      </c>
      <c r="M180" s="382" t="str">
        <f>IF(E180="","",IF(ISNA(VLOOKUP($E180,'D-1 Off-Site Habitat Baseline'!$D$1:$O$258,12,FALSE)),"",(VLOOKUP($E180,'D-1 Off-Site Habitat Baseline'!$D$1:$O$258,12,FALSE))))</f>
        <v/>
      </c>
      <c r="N180" s="382" t="str">
        <f>IF(E180="","",IF(ISNA(VLOOKUP($E180,'D-1 Off-Site Habitat Baseline'!$D$1:$AA$258,14,FALSE)),"",(VLOOKUP($E180,'D-1 Off-Site Habitat Baseline'!$D$1:$AA$258,14,FALSE))))</f>
        <v/>
      </c>
      <c r="O180" s="386" t="str">
        <f>IF(E180="","",IF(ISNA(VLOOKUP($E180,'D-1 Off-Site Habitat Baseline'!$D$1:$AA$258,13,FALSE)),"",(VLOOKUP($E180,'D-1 Off-Site Habitat Baseline'!$D$1:$AA$258,13,FALSE))))</f>
        <v/>
      </c>
      <c r="P180" s="184" t="str">
        <f>IFERROR(INDEX('G-1 All Habitats'!$AG$3:$AG$17,MATCH(Q180,'G-1 All Habitats'!$AF$3:$AF$17,0)),"")</f>
        <v/>
      </c>
      <c r="Q180" s="185" t="str">
        <f t="shared" si="25"/>
        <v/>
      </c>
      <c r="R180" s="186" t="str">
        <f t="shared" si="25"/>
        <v/>
      </c>
      <c r="S180" s="187" t="str">
        <f>IFERROR(INDEX('G-1 All Habitats'!$B$3:$B$134,MATCH(R180,'G-1 All Habitats'!$A$3:$A$134,0)),"")</f>
        <v/>
      </c>
      <c r="T180" s="370" t="str">
        <f t="shared" si="26"/>
        <v/>
      </c>
      <c r="U180" s="386" t="str">
        <f t="shared" si="27"/>
        <v/>
      </c>
      <c r="V180" s="385" t="str">
        <f t="shared" si="23"/>
        <v/>
      </c>
      <c r="W180" s="382" t="str">
        <f>IF(S180="","",VLOOKUP(S180,'G-1 All Habitats'!$B$2:$M$134,10,FALSE))</f>
        <v/>
      </c>
      <c r="X180" s="382" t="str">
        <f>IFERROR(VLOOKUP(W180,'G-1 All Habitats'!$V$3:$W$7,2,FALSE),"")</f>
        <v/>
      </c>
      <c r="Y180" s="165"/>
      <c r="Z180" s="386" t="str">
        <f>IFERROR(INDEX('G-8 Condition Look up'!$A$3:$H$135,MATCH(S180,'G-8 Condition Look up'!$A$3:$A$135,0),MATCH(Y180,'G-8 Condition Look up'!$A$3:$H$3,0)),"")</f>
        <v/>
      </c>
      <c r="AA180" s="114"/>
      <c r="AB180" s="401" t="str">
        <f>IF(AA180="","",IF(VLOOKUP(AA180,'G-3 Multipliers'!$L$3:$N$6,2,FALSE)=0,"Spatial Data Missing ⚠",VLOOKUP(AA180,'G-3 Multipliers'!$L$3:$N$6,2,FALSE)))</f>
        <v/>
      </c>
      <c r="AC180" s="386" t="str">
        <f>IF(AA180="","",IF(VLOOKUP(AA180,'G-3 Multipliers'!$L$3:$N$6,3,FALSE)=0,"Spatial Data Missing ⚠",VLOOKUP(AA180,'G-3 Multipliers'!$L$3:$N$6,3,FALSE)))</f>
        <v/>
      </c>
      <c r="AD180" s="398" t="str">
        <f t="shared" si="24"/>
        <v/>
      </c>
      <c r="AE180" s="165"/>
      <c r="AF180" s="165"/>
      <c r="AG180" s="382" t="str">
        <f t="shared" si="28"/>
        <v/>
      </c>
      <c r="AH180" s="404" t="str">
        <f t="shared" si="29"/>
        <v/>
      </c>
      <c r="AI180" s="387" t="str">
        <f>IF(AH180="Check Data ⚠","Check Data ⚠",IFERROR(VLOOKUP(AH180,'G-4 Temporal multipliers'!$A$4:$C$36,3,FALSE),""))</f>
        <v/>
      </c>
      <c r="AJ180" s="398" t="str">
        <f>IF(S180="","",VLOOKUP(S180,'G-3 Multipliers'!$A$2:$E$134,4,FALSE))</f>
        <v/>
      </c>
      <c r="AK180" s="382" t="str">
        <f t="shared" si="30"/>
        <v/>
      </c>
      <c r="AL180" s="382" t="str">
        <f t="shared" si="31"/>
        <v/>
      </c>
      <c r="AM180" s="386" t="str">
        <f>IFERROR(IF(F180="","",IF(AH180="Check Data ⚠","Check Data ⚠",VLOOKUP(AL180, 'G-3 Multipliers'!$P$2:$Q$6,2,FALSE))),"")</f>
        <v/>
      </c>
      <c r="AN180" s="516"/>
      <c r="AO180" s="417" t="str">
        <f>IF(AN180="","",IF(VLOOKUP(AN180,'G-3 Multipliers'!$S$3:$T$10,2,FALSE)=0,"Spatial Data Missing ⚠",VLOOKUP(AN180,'G-3 Multipliers'!$S$3:$T$10,2,FALSE)))</f>
        <v/>
      </c>
      <c r="AP180" s="376" t="str">
        <f t="shared" si="32"/>
        <v/>
      </c>
      <c r="AQ180" s="376" t="str">
        <f t="shared" si="33"/>
        <v/>
      </c>
      <c r="AR180" s="119"/>
      <c r="AS180" s="528"/>
      <c r="AT180" s="120"/>
      <c r="AU180" s="120"/>
    </row>
    <row r="181" spans="1:47">
      <c r="A181" s="30" t="str">
        <f>IF(E181="","",IF(ISNA(VLOOKUP($E181,'D-1 Off-Site Habitat Baseline'!$D$1:$O$258,2,FALSE)),"",(VLOOKUP($E181,'D-1 Off-Site Habitat Baseline'!$D$1:$O$258,2,FALSE))))</f>
        <v/>
      </c>
      <c r="B181" s="30" t="str">
        <f>IF(E181="","",IF(ISNA(VLOOKUP($E181,'D-1 Off-Site Habitat Baseline'!$D$1:$O$258,3,FALSE)),"",(VLOOKUP($E181,'D-1 Off-Site Habitat Baseline'!$D$1:$O$258,3,FALSE))))</f>
        <v/>
      </c>
      <c r="C181" s="30" t="str">
        <f>IFERROR(INDEX('G-8 Condition Look up'!$I$4:$I$135,MATCH(S181,'G-8 Condition Look up'!$A$4:$A$135,0)),"")</f>
        <v/>
      </c>
      <c r="E181" s="407" t="str">
        <f>'D-1 Off-Site Habitat Baseline'!AP180</f>
        <v/>
      </c>
      <c r="F181" s="382" t="str">
        <f>IF(E181="","",IF(ISNA(VLOOKUP($E181,'D-1 Off-Site Habitat Baseline'!$D$1:$O$258,4,FALSE)),"",(VLOOKUP($E181,'D-1 Off-Site Habitat Baseline'!$D$1:$O$258,4,FALSE))))</f>
        <v/>
      </c>
      <c r="G181" s="382" t="str">
        <f>IF(E181="","",IF(ISNA(VLOOKUP($E181,'D-1 Off-Site Habitat Baseline'!$D$1:$O$258,5,FALSE)),"",(VLOOKUP($E181,'D-1 Off-Site Habitat Baseline'!$D$1:$O$258,5,FALSE))))</f>
        <v/>
      </c>
      <c r="H181" s="382" t="str">
        <f>IF(E181="","",IF(ISNA(VLOOKUP($E181,'D-1 Off-Site Habitat Baseline'!$D$1:$O$258,6,FALSE)),"",(VLOOKUP($E181,'D-1 Off-Site Habitat Baseline'!$D$1:$O$258,6,FALSE))))</f>
        <v/>
      </c>
      <c r="I181" s="382" t="str">
        <f>IF(E181="","",IF(ISNA(VLOOKUP($E181,'D-1 Off-Site Habitat Baseline'!$D$1:$O$258,7,FALSE)),"",(VLOOKUP($E181,'D-1 Off-Site Habitat Baseline'!$D$1:$O$258,7,FALSE))))</f>
        <v/>
      </c>
      <c r="J181" s="382" t="str">
        <f>IF(E181="","",IF(ISNA(VLOOKUP($E181,'D-1 Off-Site Habitat Baseline'!$D$1:$O$258,8,FALSE)),"",(VLOOKUP($E181,'D-1 Off-Site Habitat Baseline'!$D$1:$O$258,8,FALSE))))</f>
        <v/>
      </c>
      <c r="K181" s="382" t="str">
        <f>IF(E181="","",IF(ISNA(VLOOKUP($E181,'D-1 Off-Site Habitat Baseline'!$D$1:$O$258,9,FALSE)),"",(VLOOKUP($E181,'D-1 Off-Site Habitat Baseline'!$D$1:$O$258,9,FALSE))))</f>
        <v/>
      </c>
      <c r="L181" s="382" t="str">
        <f>IF(E181="","",IF(ISNA(VLOOKUP($E181,'D-1 Off-Site Habitat Baseline'!$D$1:$O$258,11,FALSE)),"",(VLOOKUP($E181,'D-1 Off-Site Habitat Baseline'!$D$1:$O$258,11,FALSE))))</f>
        <v/>
      </c>
      <c r="M181" s="382" t="str">
        <f>IF(E181="","",IF(ISNA(VLOOKUP($E181,'D-1 Off-Site Habitat Baseline'!$D$1:$O$258,12,FALSE)),"",(VLOOKUP($E181,'D-1 Off-Site Habitat Baseline'!$D$1:$O$258,12,FALSE))))</f>
        <v/>
      </c>
      <c r="N181" s="382" t="str">
        <f>IF(E181="","",IF(ISNA(VLOOKUP($E181,'D-1 Off-Site Habitat Baseline'!$D$1:$AA$258,14,FALSE)),"",(VLOOKUP($E181,'D-1 Off-Site Habitat Baseline'!$D$1:$AA$258,14,FALSE))))</f>
        <v/>
      </c>
      <c r="O181" s="386" t="str">
        <f>IF(E181="","",IF(ISNA(VLOOKUP($E181,'D-1 Off-Site Habitat Baseline'!$D$1:$AA$258,13,FALSE)),"",(VLOOKUP($E181,'D-1 Off-Site Habitat Baseline'!$D$1:$AA$258,13,FALSE))))</f>
        <v/>
      </c>
      <c r="P181" s="184" t="str">
        <f>IFERROR(INDEX('G-1 All Habitats'!$AG$3:$AG$17,MATCH(Q181,'G-1 All Habitats'!$AF$3:$AF$17,0)),"")</f>
        <v/>
      </c>
      <c r="Q181" s="185" t="str">
        <f t="shared" si="25"/>
        <v/>
      </c>
      <c r="R181" s="186" t="str">
        <f t="shared" si="25"/>
        <v/>
      </c>
      <c r="S181" s="187" t="str">
        <f>IFERROR(INDEX('G-1 All Habitats'!$B$3:$B$134,MATCH(R181,'G-1 All Habitats'!$A$3:$A$134,0)),"")</f>
        <v/>
      </c>
      <c r="T181" s="370" t="str">
        <f t="shared" si="26"/>
        <v/>
      </c>
      <c r="U181" s="386" t="str">
        <f t="shared" si="27"/>
        <v/>
      </c>
      <c r="V181" s="385" t="str">
        <f t="shared" si="23"/>
        <v/>
      </c>
      <c r="W181" s="382" t="str">
        <f>IF(S181="","",VLOOKUP(S181,'G-1 All Habitats'!$B$2:$M$134,10,FALSE))</f>
        <v/>
      </c>
      <c r="X181" s="382" t="str">
        <f>IFERROR(VLOOKUP(W181,'G-1 All Habitats'!$V$3:$W$7,2,FALSE),"")</f>
        <v/>
      </c>
      <c r="Y181" s="165"/>
      <c r="Z181" s="386" t="str">
        <f>IFERROR(INDEX('G-8 Condition Look up'!$A$3:$H$135,MATCH(S181,'G-8 Condition Look up'!$A$3:$A$135,0),MATCH(Y181,'G-8 Condition Look up'!$A$3:$H$3,0)),"")</f>
        <v/>
      </c>
      <c r="AA181" s="114"/>
      <c r="AB181" s="401" t="str">
        <f>IF(AA181="","",IF(VLOOKUP(AA181,'G-3 Multipliers'!$L$3:$N$6,2,FALSE)=0,"Spatial Data Missing ⚠",VLOOKUP(AA181,'G-3 Multipliers'!$L$3:$N$6,2,FALSE)))</f>
        <v/>
      </c>
      <c r="AC181" s="386" t="str">
        <f>IF(AA181="","",IF(VLOOKUP(AA181,'G-3 Multipliers'!$L$3:$N$6,3,FALSE)=0,"Spatial Data Missing ⚠",VLOOKUP(AA181,'G-3 Multipliers'!$L$3:$N$6,3,FALSE)))</f>
        <v/>
      </c>
      <c r="AD181" s="398" t="str">
        <f t="shared" si="24"/>
        <v/>
      </c>
      <c r="AE181" s="165"/>
      <c r="AF181" s="165"/>
      <c r="AG181" s="382" t="str">
        <f t="shared" si="28"/>
        <v/>
      </c>
      <c r="AH181" s="404" t="str">
        <f t="shared" si="29"/>
        <v/>
      </c>
      <c r="AI181" s="387" t="str">
        <f>IF(AH181="Check Data ⚠","Check Data ⚠",IFERROR(VLOOKUP(AH181,'G-4 Temporal multipliers'!$A$4:$C$36,3,FALSE),""))</f>
        <v/>
      </c>
      <c r="AJ181" s="398" t="str">
        <f>IF(S181="","",VLOOKUP(S181,'G-3 Multipliers'!$A$2:$E$134,4,FALSE))</f>
        <v/>
      </c>
      <c r="AK181" s="382" t="str">
        <f t="shared" si="30"/>
        <v/>
      </c>
      <c r="AL181" s="382" t="str">
        <f t="shared" si="31"/>
        <v/>
      </c>
      <c r="AM181" s="386" t="str">
        <f>IFERROR(IF(F181="","",IF(AH181="Check Data ⚠","Check Data ⚠",VLOOKUP(AL181, 'G-3 Multipliers'!$P$2:$Q$6,2,FALSE))),"")</f>
        <v/>
      </c>
      <c r="AN181" s="516"/>
      <c r="AO181" s="417" t="str">
        <f>IF(AN181="","",IF(VLOOKUP(AN181,'G-3 Multipliers'!$S$3:$T$10,2,FALSE)=0,"Spatial Data Missing ⚠",VLOOKUP(AN181,'G-3 Multipliers'!$S$3:$T$10,2,FALSE)))</f>
        <v/>
      </c>
      <c r="AP181" s="376" t="str">
        <f t="shared" si="32"/>
        <v/>
      </c>
      <c r="AQ181" s="376" t="str">
        <f t="shared" si="33"/>
        <v/>
      </c>
      <c r="AR181" s="119"/>
      <c r="AS181" s="528"/>
      <c r="AT181" s="120"/>
      <c r="AU181" s="120"/>
    </row>
    <row r="182" spans="1:47">
      <c r="A182" s="30" t="str">
        <f>IF(E182="","",IF(ISNA(VLOOKUP($E182,'D-1 Off-Site Habitat Baseline'!$D$1:$O$258,2,FALSE)),"",(VLOOKUP($E182,'D-1 Off-Site Habitat Baseline'!$D$1:$O$258,2,FALSE))))</f>
        <v/>
      </c>
      <c r="B182" s="30" t="str">
        <f>IF(E182="","",IF(ISNA(VLOOKUP($E182,'D-1 Off-Site Habitat Baseline'!$D$1:$O$258,3,FALSE)),"",(VLOOKUP($E182,'D-1 Off-Site Habitat Baseline'!$D$1:$O$258,3,FALSE))))</f>
        <v/>
      </c>
      <c r="C182" s="30" t="str">
        <f>IFERROR(INDEX('G-8 Condition Look up'!$I$4:$I$135,MATCH(S182,'G-8 Condition Look up'!$A$4:$A$135,0)),"")</f>
        <v/>
      </c>
      <c r="E182" s="407" t="str">
        <f>'D-1 Off-Site Habitat Baseline'!AP181</f>
        <v/>
      </c>
      <c r="F182" s="382" t="str">
        <f>IF(E182="","",IF(ISNA(VLOOKUP($E182,'D-1 Off-Site Habitat Baseline'!$D$1:$O$258,4,FALSE)),"",(VLOOKUP($E182,'D-1 Off-Site Habitat Baseline'!$D$1:$O$258,4,FALSE))))</f>
        <v/>
      </c>
      <c r="G182" s="382" t="str">
        <f>IF(E182="","",IF(ISNA(VLOOKUP($E182,'D-1 Off-Site Habitat Baseline'!$D$1:$O$258,5,FALSE)),"",(VLOOKUP($E182,'D-1 Off-Site Habitat Baseline'!$D$1:$O$258,5,FALSE))))</f>
        <v/>
      </c>
      <c r="H182" s="382" t="str">
        <f>IF(E182="","",IF(ISNA(VLOOKUP($E182,'D-1 Off-Site Habitat Baseline'!$D$1:$O$258,6,FALSE)),"",(VLOOKUP($E182,'D-1 Off-Site Habitat Baseline'!$D$1:$O$258,6,FALSE))))</f>
        <v/>
      </c>
      <c r="I182" s="382" t="str">
        <f>IF(E182="","",IF(ISNA(VLOOKUP($E182,'D-1 Off-Site Habitat Baseline'!$D$1:$O$258,7,FALSE)),"",(VLOOKUP($E182,'D-1 Off-Site Habitat Baseline'!$D$1:$O$258,7,FALSE))))</f>
        <v/>
      </c>
      <c r="J182" s="382" t="str">
        <f>IF(E182="","",IF(ISNA(VLOOKUP($E182,'D-1 Off-Site Habitat Baseline'!$D$1:$O$258,8,FALSE)),"",(VLOOKUP($E182,'D-1 Off-Site Habitat Baseline'!$D$1:$O$258,8,FALSE))))</f>
        <v/>
      </c>
      <c r="K182" s="382" t="str">
        <f>IF(E182="","",IF(ISNA(VLOOKUP($E182,'D-1 Off-Site Habitat Baseline'!$D$1:$O$258,9,FALSE)),"",(VLOOKUP($E182,'D-1 Off-Site Habitat Baseline'!$D$1:$O$258,9,FALSE))))</f>
        <v/>
      </c>
      <c r="L182" s="382" t="str">
        <f>IF(E182="","",IF(ISNA(VLOOKUP($E182,'D-1 Off-Site Habitat Baseline'!$D$1:$O$258,11,FALSE)),"",(VLOOKUP($E182,'D-1 Off-Site Habitat Baseline'!$D$1:$O$258,11,FALSE))))</f>
        <v/>
      </c>
      <c r="M182" s="382" t="str">
        <f>IF(E182="","",IF(ISNA(VLOOKUP($E182,'D-1 Off-Site Habitat Baseline'!$D$1:$O$258,12,FALSE)),"",(VLOOKUP($E182,'D-1 Off-Site Habitat Baseline'!$D$1:$O$258,12,FALSE))))</f>
        <v/>
      </c>
      <c r="N182" s="382" t="str">
        <f>IF(E182="","",IF(ISNA(VLOOKUP($E182,'D-1 Off-Site Habitat Baseline'!$D$1:$AA$258,14,FALSE)),"",(VLOOKUP($E182,'D-1 Off-Site Habitat Baseline'!$D$1:$AA$258,14,FALSE))))</f>
        <v/>
      </c>
      <c r="O182" s="386" t="str">
        <f>IF(E182="","",IF(ISNA(VLOOKUP($E182,'D-1 Off-Site Habitat Baseline'!$D$1:$AA$258,13,FALSE)),"",(VLOOKUP($E182,'D-1 Off-Site Habitat Baseline'!$D$1:$AA$258,13,FALSE))))</f>
        <v/>
      </c>
      <c r="P182" s="184" t="str">
        <f>IFERROR(INDEX('G-1 All Habitats'!$AG$3:$AG$17,MATCH(Q182,'G-1 All Habitats'!$AF$3:$AF$17,0)),"")</f>
        <v/>
      </c>
      <c r="Q182" s="185" t="str">
        <f t="shared" si="25"/>
        <v/>
      </c>
      <c r="R182" s="186" t="str">
        <f t="shared" si="25"/>
        <v/>
      </c>
      <c r="S182" s="187" t="str">
        <f>IFERROR(INDEX('G-1 All Habitats'!$B$3:$B$134,MATCH(R182,'G-1 All Habitats'!$A$3:$A$134,0)),"")</f>
        <v/>
      </c>
      <c r="T182" s="370" t="str">
        <f t="shared" si="26"/>
        <v/>
      </c>
      <c r="U182" s="386" t="str">
        <f t="shared" si="27"/>
        <v/>
      </c>
      <c r="V182" s="385" t="str">
        <f t="shared" si="23"/>
        <v/>
      </c>
      <c r="W182" s="382" t="str">
        <f>IF(S182="","",VLOOKUP(S182,'G-1 All Habitats'!$B$2:$M$134,10,FALSE))</f>
        <v/>
      </c>
      <c r="X182" s="382" t="str">
        <f>IFERROR(VLOOKUP(W182,'G-1 All Habitats'!$V$3:$W$7,2,FALSE),"")</f>
        <v/>
      </c>
      <c r="Y182" s="165"/>
      <c r="Z182" s="386" t="str">
        <f>IFERROR(INDEX('G-8 Condition Look up'!$A$3:$H$135,MATCH(S182,'G-8 Condition Look up'!$A$3:$A$135,0),MATCH(Y182,'G-8 Condition Look up'!$A$3:$H$3,0)),"")</f>
        <v/>
      </c>
      <c r="AA182" s="114"/>
      <c r="AB182" s="401" t="str">
        <f>IF(AA182="","",IF(VLOOKUP(AA182,'G-3 Multipliers'!$L$3:$N$6,2,FALSE)=0,"Spatial Data Missing ⚠",VLOOKUP(AA182,'G-3 Multipliers'!$L$3:$N$6,2,FALSE)))</f>
        <v/>
      </c>
      <c r="AC182" s="386" t="str">
        <f>IF(AA182="","",IF(VLOOKUP(AA182,'G-3 Multipliers'!$L$3:$N$6,3,FALSE)=0,"Spatial Data Missing ⚠",VLOOKUP(AA182,'G-3 Multipliers'!$L$3:$N$6,3,FALSE)))</f>
        <v/>
      </c>
      <c r="AD182" s="398" t="str">
        <f t="shared" si="24"/>
        <v/>
      </c>
      <c r="AE182" s="165"/>
      <c r="AF182" s="165"/>
      <c r="AG182" s="382" t="str">
        <f t="shared" si="28"/>
        <v/>
      </c>
      <c r="AH182" s="404" t="str">
        <f t="shared" si="29"/>
        <v/>
      </c>
      <c r="AI182" s="387" t="str">
        <f>IF(AH182="Check Data ⚠","Check Data ⚠",IFERROR(VLOOKUP(AH182,'G-4 Temporal multipliers'!$A$4:$C$36,3,FALSE),""))</f>
        <v/>
      </c>
      <c r="AJ182" s="398" t="str">
        <f>IF(S182="","",VLOOKUP(S182,'G-3 Multipliers'!$A$2:$E$134,4,FALSE))</f>
        <v/>
      </c>
      <c r="AK182" s="382" t="str">
        <f t="shared" si="30"/>
        <v/>
      </c>
      <c r="AL182" s="382" t="str">
        <f t="shared" si="31"/>
        <v/>
      </c>
      <c r="AM182" s="386" t="str">
        <f>IFERROR(IF(F182="","",IF(AH182="Check Data ⚠","Check Data ⚠",VLOOKUP(AL182, 'G-3 Multipliers'!$P$2:$Q$6,2,FALSE))),"")</f>
        <v/>
      </c>
      <c r="AN182" s="516"/>
      <c r="AO182" s="417" t="str">
        <f>IF(AN182="","",IF(VLOOKUP(AN182,'G-3 Multipliers'!$S$3:$T$10,2,FALSE)=0,"Spatial Data Missing ⚠",VLOOKUP(AN182,'G-3 Multipliers'!$S$3:$T$10,2,FALSE)))</f>
        <v/>
      </c>
      <c r="AP182" s="376" t="str">
        <f t="shared" si="32"/>
        <v/>
      </c>
      <c r="AQ182" s="376" t="str">
        <f t="shared" si="33"/>
        <v/>
      </c>
      <c r="AR182" s="119"/>
      <c r="AS182" s="528"/>
      <c r="AT182" s="120"/>
      <c r="AU182" s="120"/>
    </row>
    <row r="183" spans="1:47">
      <c r="A183" s="30" t="str">
        <f>IF(E183="","",IF(ISNA(VLOOKUP($E183,'D-1 Off-Site Habitat Baseline'!$D$1:$O$258,2,FALSE)),"",(VLOOKUP($E183,'D-1 Off-Site Habitat Baseline'!$D$1:$O$258,2,FALSE))))</f>
        <v/>
      </c>
      <c r="B183" s="30" t="str">
        <f>IF(E183="","",IF(ISNA(VLOOKUP($E183,'D-1 Off-Site Habitat Baseline'!$D$1:$O$258,3,FALSE)),"",(VLOOKUP($E183,'D-1 Off-Site Habitat Baseline'!$D$1:$O$258,3,FALSE))))</f>
        <v/>
      </c>
      <c r="C183" s="30" t="str">
        <f>IFERROR(INDEX('G-8 Condition Look up'!$I$4:$I$135,MATCH(S183,'G-8 Condition Look up'!$A$4:$A$135,0)),"")</f>
        <v/>
      </c>
      <c r="E183" s="407" t="str">
        <f>'D-1 Off-Site Habitat Baseline'!AP182</f>
        <v/>
      </c>
      <c r="F183" s="382" t="str">
        <f>IF(E183="","",IF(ISNA(VLOOKUP($E183,'D-1 Off-Site Habitat Baseline'!$D$1:$O$258,4,FALSE)),"",(VLOOKUP($E183,'D-1 Off-Site Habitat Baseline'!$D$1:$O$258,4,FALSE))))</f>
        <v/>
      </c>
      <c r="G183" s="382" t="str">
        <f>IF(E183="","",IF(ISNA(VLOOKUP($E183,'D-1 Off-Site Habitat Baseline'!$D$1:$O$258,5,FALSE)),"",(VLOOKUP($E183,'D-1 Off-Site Habitat Baseline'!$D$1:$O$258,5,FALSE))))</f>
        <v/>
      </c>
      <c r="H183" s="382" t="str">
        <f>IF(E183="","",IF(ISNA(VLOOKUP($E183,'D-1 Off-Site Habitat Baseline'!$D$1:$O$258,6,FALSE)),"",(VLOOKUP($E183,'D-1 Off-Site Habitat Baseline'!$D$1:$O$258,6,FALSE))))</f>
        <v/>
      </c>
      <c r="I183" s="382" t="str">
        <f>IF(E183="","",IF(ISNA(VLOOKUP($E183,'D-1 Off-Site Habitat Baseline'!$D$1:$O$258,7,FALSE)),"",(VLOOKUP($E183,'D-1 Off-Site Habitat Baseline'!$D$1:$O$258,7,FALSE))))</f>
        <v/>
      </c>
      <c r="J183" s="382" t="str">
        <f>IF(E183="","",IF(ISNA(VLOOKUP($E183,'D-1 Off-Site Habitat Baseline'!$D$1:$O$258,8,FALSE)),"",(VLOOKUP($E183,'D-1 Off-Site Habitat Baseline'!$D$1:$O$258,8,FALSE))))</f>
        <v/>
      </c>
      <c r="K183" s="382" t="str">
        <f>IF(E183="","",IF(ISNA(VLOOKUP($E183,'D-1 Off-Site Habitat Baseline'!$D$1:$O$258,9,FALSE)),"",(VLOOKUP($E183,'D-1 Off-Site Habitat Baseline'!$D$1:$O$258,9,FALSE))))</f>
        <v/>
      </c>
      <c r="L183" s="382" t="str">
        <f>IF(E183="","",IF(ISNA(VLOOKUP($E183,'D-1 Off-Site Habitat Baseline'!$D$1:$O$258,11,FALSE)),"",(VLOOKUP($E183,'D-1 Off-Site Habitat Baseline'!$D$1:$O$258,11,FALSE))))</f>
        <v/>
      </c>
      <c r="M183" s="382" t="str">
        <f>IF(E183="","",IF(ISNA(VLOOKUP($E183,'D-1 Off-Site Habitat Baseline'!$D$1:$O$258,12,FALSE)),"",(VLOOKUP($E183,'D-1 Off-Site Habitat Baseline'!$D$1:$O$258,12,FALSE))))</f>
        <v/>
      </c>
      <c r="N183" s="382" t="str">
        <f>IF(E183="","",IF(ISNA(VLOOKUP($E183,'D-1 Off-Site Habitat Baseline'!$D$1:$AA$258,14,FALSE)),"",(VLOOKUP($E183,'D-1 Off-Site Habitat Baseline'!$D$1:$AA$258,14,FALSE))))</f>
        <v/>
      </c>
      <c r="O183" s="386" t="str">
        <f>IF(E183="","",IF(ISNA(VLOOKUP($E183,'D-1 Off-Site Habitat Baseline'!$D$1:$AA$258,13,FALSE)),"",(VLOOKUP($E183,'D-1 Off-Site Habitat Baseline'!$D$1:$AA$258,13,FALSE))))</f>
        <v/>
      </c>
      <c r="P183" s="184" t="str">
        <f>IFERROR(INDEX('G-1 All Habitats'!$AG$3:$AG$17,MATCH(Q183,'G-1 All Habitats'!$AF$3:$AF$17,0)),"")</f>
        <v/>
      </c>
      <c r="Q183" s="185" t="str">
        <f t="shared" si="25"/>
        <v/>
      </c>
      <c r="R183" s="186" t="str">
        <f t="shared" si="25"/>
        <v/>
      </c>
      <c r="S183" s="187" t="str">
        <f>IFERROR(INDEX('G-1 All Habitats'!$B$3:$B$134,MATCH(R183,'G-1 All Habitats'!$A$3:$A$134,0)),"")</f>
        <v/>
      </c>
      <c r="T183" s="370" t="str">
        <f t="shared" si="26"/>
        <v/>
      </c>
      <c r="U183" s="386" t="str">
        <f t="shared" si="27"/>
        <v/>
      </c>
      <c r="V183" s="385" t="str">
        <f t="shared" si="23"/>
        <v/>
      </c>
      <c r="W183" s="382" t="str">
        <f>IF(S183="","",VLOOKUP(S183,'G-1 All Habitats'!$B$2:$M$134,10,FALSE))</f>
        <v/>
      </c>
      <c r="X183" s="382" t="str">
        <f>IFERROR(VLOOKUP(W183,'G-1 All Habitats'!$V$3:$W$7,2,FALSE),"")</f>
        <v/>
      </c>
      <c r="Y183" s="165"/>
      <c r="Z183" s="386" t="str">
        <f>IFERROR(INDEX('G-8 Condition Look up'!$A$3:$H$135,MATCH(S183,'G-8 Condition Look up'!$A$3:$A$135,0),MATCH(Y183,'G-8 Condition Look up'!$A$3:$H$3,0)),"")</f>
        <v/>
      </c>
      <c r="AA183" s="114"/>
      <c r="AB183" s="401" t="str">
        <f>IF(AA183="","",IF(VLOOKUP(AA183,'G-3 Multipliers'!$L$3:$N$6,2,FALSE)=0,"Spatial Data Missing ⚠",VLOOKUP(AA183,'G-3 Multipliers'!$L$3:$N$6,2,FALSE)))</f>
        <v/>
      </c>
      <c r="AC183" s="386" t="str">
        <f>IF(AA183="","",IF(VLOOKUP(AA183,'G-3 Multipliers'!$L$3:$N$6,3,FALSE)=0,"Spatial Data Missing ⚠",VLOOKUP(AA183,'G-3 Multipliers'!$L$3:$N$6,3,FALSE)))</f>
        <v/>
      </c>
      <c r="AD183" s="398" t="str">
        <f t="shared" si="24"/>
        <v/>
      </c>
      <c r="AE183" s="165"/>
      <c r="AF183" s="165"/>
      <c r="AG183" s="382" t="str">
        <f t="shared" si="28"/>
        <v/>
      </c>
      <c r="AH183" s="404" t="str">
        <f t="shared" si="29"/>
        <v/>
      </c>
      <c r="AI183" s="387" t="str">
        <f>IF(AH183="Check Data ⚠","Check Data ⚠",IFERROR(VLOOKUP(AH183,'G-4 Temporal multipliers'!$A$4:$C$36,3,FALSE),""))</f>
        <v/>
      </c>
      <c r="AJ183" s="398" t="str">
        <f>IF(S183="","",VLOOKUP(S183,'G-3 Multipliers'!$A$2:$E$134,4,FALSE))</f>
        <v/>
      </c>
      <c r="AK183" s="382" t="str">
        <f t="shared" si="30"/>
        <v/>
      </c>
      <c r="AL183" s="382" t="str">
        <f t="shared" si="31"/>
        <v/>
      </c>
      <c r="AM183" s="386" t="str">
        <f>IFERROR(IF(F183="","",IF(AH183="Check Data ⚠","Check Data ⚠",VLOOKUP(AL183, 'G-3 Multipliers'!$P$2:$Q$6,2,FALSE))),"")</f>
        <v/>
      </c>
      <c r="AN183" s="516"/>
      <c r="AO183" s="417" t="str">
        <f>IF(AN183="","",IF(VLOOKUP(AN183,'G-3 Multipliers'!$S$3:$T$10,2,FALSE)=0,"Spatial Data Missing ⚠",VLOOKUP(AN183,'G-3 Multipliers'!$S$3:$T$10,2,FALSE)))</f>
        <v/>
      </c>
      <c r="AP183" s="376" t="str">
        <f t="shared" si="32"/>
        <v/>
      </c>
      <c r="AQ183" s="376" t="str">
        <f t="shared" si="33"/>
        <v/>
      </c>
      <c r="AR183" s="119"/>
      <c r="AS183" s="528"/>
      <c r="AT183" s="120"/>
      <c r="AU183" s="120"/>
    </row>
    <row r="184" spans="1:47">
      <c r="A184" s="30" t="str">
        <f>IF(E184="","",IF(ISNA(VLOOKUP($E184,'D-1 Off-Site Habitat Baseline'!$D$1:$O$258,2,FALSE)),"",(VLOOKUP($E184,'D-1 Off-Site Habitat Baseline'!$D$1:$O$258,2,FALSE))))</f>
        <v/>
      </c>
      <c r="B184" s="30" t="str">
        <f>IF(E184="","",IF(ISNA(VLOOKUP($E184,'D-1 Off-Site Habitat Baseline'!$D$1:$O$258,3,FALSE)),"",(VLOOKUP($E184,'D-1 Off-Site Habitat Baseline'!$D$1:$O$258,3,FALSE))))</f>
        <v/>
      </c>
      <c r="C184" s="30" t="str">
        <f>IFERROR(INDEX('G-8 Condition Look up'!$I$4:$I$135,MATCH(S184,'G-8 Condition Look up'!$A$4:$A$135,0)),"")</f>
        <v/>
      </c>
      <c r="E184" s="407" t="str">
        <f>'D-1 Off-Site Habitat Baseline'!AP183</f>
        <v/>
      </c>
      <c r="F184" s="382" t="str">
        <f>IF(E184="","",IF(ISNA(VLOOKUP($E184,'D-1 Off-Site Habitat Baseline'!$D$1:$O$258,4,FALSE)),"",(VLOOKUP($E184,'D-1 Off-Site Habitat Baseline'!$D$1:$O$258,4,FALSE))))</f>
        <v/>
      </c>
      <c r="G184" s="382" t="str">
        <f>IF(E184="","",IF(ISNA(VLOOKUP($E184,'D-1 Off-Site Habitat Baseline'!$D$1:$O$258,5,FALSE)),"",(VLOOKUP($E184,'D-1 Off-Site Habitat Baseline'!$D$1:$O$258,5,FALSE))))</f>
        <v/>
      </c>
      <c r="H184" s="382" t="str">
        <f>IF(E184="","",IF(ISNA(VLOOKUP($E184,'D-1 Off-Site Habitat Baseline'!$D$1:$O$258,6,FALSE)),"",(VLOOKUP($E184,'D-1 Off-Site Habitat Baseline'!$D$1:$O$258,6,FALSE))))</f>
        <v/>
      </c>
      <c r="I184" s="382" t="str">
        <f>IF(E184="","",IF(ISNA(VLOOKUP($E184,'D-1 Off-Site Habitat Baseline'!$D$1:$O$258,7,FALSE)),"",(VLOOKUP($E184,'D-1 Off-Site Habitat Baseline'!$D$1:$O$258,7,FALSE))))</f>
        <v/>
      </c>
      <c r="J184" s="382" t="str">
        <f>IF(E184="","",IF(ISNA(VLOOKUP($E184,'D-1 Off-Site Habitat Baseline'!$D$1:$O$258,8,FALSE)),"",(VLOOKUP($E184,'D-1 Off-Site Habitat Baseline'!$D$1:$O$258,8,FALSE))))</f>
        <v/>
      </c>
      <c r="K184" s="382" t="str">
        <f>IF(E184="","",IF(ISNA(VLOOKUP($E184,'D-1 Off-Site Habitat Baseline'!$D$1:$O$258,9,FALSE)),"",(VLOOKUP($E184,'D-1 Off-Site Habitat Baseline'!$D$1:$O$258,9,FALSE))))</f>
        <v/>
      </c>
      <c r="L184" s="382" t="str">
        <f>IF(E184="","",IF(ISNA(VLOOKUP($E184,'D-1 Off-Site Habitat Baseline'!$D$1:$O$258,11,FALSE)),"",(VLOOKUP($E184,'D-1 Off-Site Habitat Baseline'!$D$1:$O$258,11,FALSE))))</f>
        <v/>
      </c>
      <c r="M184" s="382" t="str">
        <f>IF(E184="","",IF(ISNA(VLOOKUP($E184,'D-1 Off-Site Habitat Baseline'!$D$1:$O$258,12,FALSE)),"",(VLOOKUP($E184,'D-1 Off-Site Habitat Baseline'!$D$1:$O$258,12,FALSE))))</f>
        <v/>
      </c>
      <c r="N184" s="382" t="str">
        <f>IF(E184="","",IF(ISNA(VLOOKUP($E184,'D-1 Off-Site Habitat Baseline'!$D$1:$AA$258,14,FALSE)),"",(VLOOKUP($E184,'D-1 Off-Site Habitat Baseline'!$D$1:$AA$258,14,FALSE))))</f>
        <v/>
      </c>
      <c r="O184" s="386" t="str">
        <f>IF(E184="","",IF(ISNA(VLOOKUP($E184,'D-1 Off-Site Habitat Baseline'!$D$1:$AA$258,13,FALSE)),"",(VLOOKUP($E184,'D-1 Off-Site Habitat Baseline'!$D$1:$AA$258,13,FALSE))))</f>
        <v/>
      </c>
      <c r="P184" s="184" t="str">
        <f>IFERROR(INDEX('G-1 All Habitats'!$AG$3:$AG$17,MATCH(Q184,'G-1 All Habitats'!$AF$3:$AF$17,0)),"")</f>
        <v/>
      </c>
      <c r="Q184" s="185" t="str">
        <f t="shared" si="25"/>
        <v/>
      </c>
      <c r="R184" s="186" t="str">
        <f t="shared" si="25"/>
        <v/>
      </c>
      <c r="S184" s="187" t="str">
        <f>IFERROR(INDEX('G-1 All Habitats'!$B$3:$B$134,MATCH(R184,'G-1 All Habitats'!$A$3:$A$134,0)),"")</f>
        <v/>
      </c>
      <c r="T184" s="370" t="str">
        <f t="shared" si="26"/>
        <v/>
      </c>
      <c r="U184" s="386" t="str">
        <f t="shared" si="27"/>
        <v/>
      </c>
      <c r="V184" s="385" t="str">
        <f t="shared" si="23"/>
        <v/>
      </c>
      <c r="W184" s="382" t="str">
        <f>IF(S184="","",VLOOKUP(S184,'G-1 All Habitats'!$B$2:$M$134,10,FALSE))</f>
        <v/>
      </c>
      <c r="X184" s="382" t="str">
        <f>IFERROR(VLOOKUP(W184,'G-1 All Habitats'!$V$3:$W$7,2,FALSE),"")</f>
        <v/>
      </c>
      <c r="Y184" s="165"/>
      <c r="Z184" s="386" t="str">
        <f>IFERROR(INDEX('G-8 Condition Look up'!$A$3:$H$135,MATCH(S184,'G-8 Condition Look up'!$A$3:$A$135,0),MATCH(Y184,'G-8 Condition Look up'!$A$3:$H$3,0)),"")</f>
        <v/>
      </c>
      <c r="AA184" s="114"/>
      <c r="AB184" s="401" t="str">
        <f>IF(AA184="","",IF(VLOOKUP(AA184,'G-3 Multipliers'!$L$3:$N$6,2,FALSE)=0,"Spatial Data Missing ⚠",VLOOKUP(AA184,'G-3 Multipliers'!$L$3:$N$6,2,FALSE)))</f>
        <v/>
      </c>
      <c r="AC184" s="386" t="str">
        <f>IF(AA184="","",IF(VLOOKUP(AA184,'G-3 Multipliers'!$L$3:$N$6,3,FALSE)=0,"Spatial Data Missing ⚠",VLOOKUP(AA184,'G-3 Multipliers'!$L$3:$N$6,3,FALSE)))</f>
        <v/>
      </c>
      <c r="AD184" s="398" t="str">
        <f t="shared" si="24"/>
        <v/>
      </c>
      <c r="AE184" s="165"/>
      <c r="AF184" s="165"/>
      <c r="AG184" s="382" t="str">
        <f t="shared" si="28"/>
        <v/>
      </c>
      <c r="AH184" s="404" t="str">
        <f t="shared" si="29"/>
        <v/>
      </c>
      <c r="AI184" s="387" t="str">
        <f>IF(AH184="Check Data ⚠","Check Data ⚠",IFERROR(VLOOKUP(AH184,'G-4 Temporal multipliers'!$A$4:$C$36,3,FALSE),""))</f>
        <v/>
      </c>
      <c r="AJ184" s="398" t="str">
        <f>IF(S184="","",VLOOKUP(S184,'G-3 Multipliers'!$A$2:$E$134,4,FALSE))</f>
        <v/>
      </c>
      <c r="AK184" s="382" t="str">
        <f t="shared" si="30"/>
        <v/>
      </c>
      <c r="AL184" s="382" t="str">
        <f t="shared" si="31"/>
        <v/>
      </c>
      <c r="AM184" s="386" t="str">
        <f>IFERROR(IF(F184="","",IF(AH184="Check Data ⚠","Check Data ⚠",VLOOKUP(AL184, 'G-3 Multipliers'!$P$2:$Q$6,2,FALSE))),"")</f>
        <v/>
      </c>
      <c r="AN184" s="516"/>
      <c r="AO184" s="417" t="str">
        <f>IF(AN184="","",IF(VLOOKUP(AN184,'G-3 Multipliers'!$S$3:$T$10,2,FALSE)=0,"Spatial Data Missing ⚠",VLOOKUP(AN184,'G-3 Multipliers'!$S$3:$T$10,2,FALSE)))</f>
        <v/>
      </c>
      <c r="AP184" s="376" t="str">
        <f t="shared" si="32"/>
        <v/>
      </c>
      <c r="AQ184" s="376" t="str">
        <f t="shared" si="33"/>
        <v/>
      </c>
      <c r="AR184" s="119"/>
      <c r="AS184" s="528"/>
      <c r="AT184" s="120"/>
      <c r="AU184" s="120"/>
    </row>
    <row r="185" spans="1:47">
      <c r="A185" s="30" t="str">
        <f>IF(E185="","",IF(ISNA(VLOOKUP($E185,'D-1 Off-Site Habitat Baseline'!$D$1:$O$258,2,FALSE)),"",(VLOOKUP($E185,'D-1 Off-Site Habitat Baseline'!$D$1:$O$258,2,FALSE))))</f>
        <v/>
      </c>
      <c r="B185" s="30" t="str">
        <f>IF(E185="","",IF(ISNA(VLOOKUP($E185,'D-1 Off-Site Habitat Baseline'!$D$1:$O$258,3,FALSE)),"",(VLOOKUP($E185,'D-1 Off-Site Habitat Baseline'!$D$1:$O$258,3,FALSE))))</f>
        <v/>
      </c>
      <c r="C185" s="30" t="str">
        <f>IFERROR(INDEX('G-8 Condition Look up'!$I$4:$I$135,MATCH(S185,'G-8 Condition Look up'!$A$4:$A$135,0)),"")</f>
        <v/>
      </c>
      <c r="E185" s="407" t="str">
        <f>'D-1 Off-Site Habitat Baseline'!AP184</f>
        <v/>
      </c>
      <c r="F185" s="382" t="str">
        <f>IF(E185="","",IF(ISNA(VLOOKUP($E185,'D-1 Off-Site Habitat Baseline'!$D$1:$O$258,4,FALSE)),"",(VLOOKUP($E185,'D-1 Off-Site Habitat Baseline'!$D$1:$O$258,4,FALSE))))</f>
        <v/>
      </c>
      <c r="G185" s="382" t="str">
        <f>IF(E185="","",IF(ISNA(VLOOKUP($E185,'D-1 Off-Site Habitat Baseline'!$D$1:$O$258,5,FALSE)),"",(VLOOKUP($E185,'D-1 Off-Site Habitat Baseline'!$D$1:$O$258,5,FALSE))))</f>
        <v/>
      </c>
      <c r="H185" s="382" t="str">
        <f>IF(E185="","",IF(ISNA(VLOOKUP($E185,'D-1 Off-Site Habitat Baseline'!$D$1:$O$258,6,FALSE)),"",(VLOOKUP($E185,'D-1 Off-Site Habitat Baseline'!$D$1:$O$258,6,FALSE))))</f>
        <v/>
      </c>
      <c r="I185" s="382" t="str">
        <f>IF(E185="","",IF(ISNA(VLOOKUP($E185,'D-1 Off-Site Habitat Baseline'!$D$1:$O$258,7,FALSE)),"",(VLOOKUP($E185,'D-1 Off-Site Habitat Baseline'!$D$1:$O$258,7,FALSE))))</f>
        <v/>
      </c>
      <c r="J185" s="382" t="str">
        <f>IF(E185="","",IF(ISNA(VLOOKUP($E185,'D-1 Off-Site Habitat Baseline'!$D$1:$O$258,8,FALSE)),"",(VLOOKUP($E185,'D-1 Off-Site Habitat Baseline'!$D$1:$O$258,8,FALSE))))</f>
        <v/>
      </c>
      <c r="K185" s="382" t="str">
        <f>IF(E185="","",IF(ISNA(VLOOKUP($E185,'D-1 Off-Site Habitat Baseline'!$D$1:$O$258,9,FALSE)),"",(VLOOKUP($E185,'D-1 Off-Site Habitat Baseline'!$D$1:$O$258,9,FALSE))))</f>
        <v/>
      </c>
      <c r="L185" s="382" t="str">
        <f>IF(E185="","",IF(ISNA(VLOOKUP($E185,'D-1 Off-Site Habitat Baseline'!$D$1:$O$258,11,FALSE)),"",(VLOOKUP($E185,'D-1 Off-Site Habitat Baseline'!$D$1:$O$258,11,FALSE))))</f>
        <v/>
      </c>
      <c r="M185" s="382" t="str">
        <f>IF(E185="","",IF(ISNA(VLOOKUP($E185,'D-1 Off-Site Habitat Baseline'!$D$1:$O$258,12,FALSE)),"",(VLOOKUP($E185,'D-1 Off-Site Habitat Baseline'!$D$1:$O$258,12,FALSE))))</f>
        <v/>
      </c>
      <c r="N185" s="382" t="str">
        <f>IF(E185="","",IF(ISNA(VLOOKUP($E185,'D-1 Off-Site Habitat Baseline'!$D$1:$AA$258,14,FALSE)),"",(VLOOKUP($E185,'D-1 Off-Site Habitat Baseline'!$D$1:$AA$258,14,FALSE))))</f>
        <v/>
      </c>
      <c r="O185" s="386" t="str">
        <f>IF(E185="","",IF(ISNA(VLOOKUP($E185,'D-1 Off-Site Habitat Baseline'!$D$1:$AA$258,13,FALSE)),"",(VLOOKUP($E185,'D-1 Off-Site Habitat Baseline'!$D$1:$AA$258,13,FALSE))))</f>
        <v/>
      </c>
      <c r="P185" s="184" t="str">
        <f>IFERROR(INDEX('G-1 All Habitats'!$AG$3:$AG$17,MATCH(Q185,'G-1 All Habitats'!$AF$3:$AF$17,0)),"")</f>
        <v/>
      </c>
      <c r="Q185" s="185" t="str">
        <f t="shared" si="25"/>
        <v/>
      </c>
      <c r="R185" s="186" t="str">
        <f t="shared" si="25"/>
        <v/>
      </c>
      <c r="S185" s="187" t="str">
        <f>IFERROR(INDEX('G-1 All Habitats'!$B$3:$B$134,MATCH(R185,'G-1 All Habitats'!$A$3:$A$134,0)),"")</f>
        <v/>
      </c>
      <c r="T185" s="370" t="str">
        <f t="shared" si="26"/>
        <v/>
      </c>
      <c r="U185" s="386" t="str">
        <f t="shared" si="27"/>
        <v/>
      </c>
      <c r="V185" s="385" t="str">
        <f t="shared" si="23"/>
        <v/>
      </c>
      <c r="W185" s="382" t="str">
        <f>IF(S185="","",VLOOKUP(S185,'G-1 All Habitats'!$B$2:$M$134,10,FALSE))</f>
        <v/>
      </c>
      <c r="X185" s="382" t="str">
        <f>IFERROR(VLOOKUP(W185,'G-1 All Habitats'!$V$3:$W$7,2,FALSE),"")</f>
        <v/>
      </c>
      <c r="Y185" s="165"/>
      <c r="Z185" s="386" t="str">
        <f>IFERROR(INDEX('G-8 Condition Look up'!$A$3:$H$135,MATCH(S185,'G-8 Condition Look up'!$A$3:$A$135,0),MATCH(Y185,'G-8 Condition Look up'!$A$3:$H$3,0)),"")</f>
        <v/>
      </c>
      <c r="AA185" s="114"/>
      <c r="AB185" s="401" t="str">
        <f>IF(AA185="","",IF(VLOOKUP(AA185,'G-3 Multipliers'!$L$3:$N$6,2,FALSE)=0,"Spatial Data Missing ⚠",VLOOKUP(AA185,'G-3 Multipliers'!$L$3:$N$6,2,FALSE)))</f>
        <v/>
      </c>
      <c r="AC185" s="386" t="str">
        <f>IF(AA185="","",IF(VLOOKUP(AA185,'G-3 Multipliers'!$L$3:$N$6,3,FALSE)=0,"Spatial Data Missing ⚠",VLOOKUP(AA185,'G-3 Multipliers'!$L$3:$N$6,3,FALSE)))</f>
        <v/>
      </c>
      <c r="AD185" s="398" t="str">
        <f t="shared" si="24"/>
        <v/>
      </c>
      <c r="AE185" s="165"/>
      <c r="AF185" s="165"/>
      <c r="AG185" s="382" t="str">
        <f t="shared" si="28"/>
        <v/>
      </c>
      <c r="AH185" s="404" t="str">
        <f t="shared" si="29"/>
        <v/>
      </c>
      <c r="AI185" s="387" t="str">
        <f>IF(AH185="Check Data ⚠","Check Data ⚠",IFERROR(VLOOKUP(AH185,'G-4 Temporal multipliers'!$A$4:$C$36,3,FALSE),""))</f>
        <v/>
      </c>
      <c r="AJ185" s="398" t="str">
        <f>IF(S185="","",VLOOKUP(S185,'G-3 Multipliers'!$A$2:$E$134,4,FALSE))</f>
        <v/>
      </c>
      <c r="AK185" s="382" t="str">
        <f t="shared" si="30"/>
        <v/>
      </c>
      <c r="AL185" s="382" t="str">
        <f t="shared" si="31"/>
        <v/>
      </c>
      <c r="AM185" s="386" t="str">
        <f>IFERROR(IF(F185="","",IF(AH185="Check Data ⚠","Check Data ⚠",VLOOKUP(AL185, 'G-3 Multipliers'!$P$2:$Q$6,2,FALSE))),"")</f>
        <v/>
      </c>
      <c r="AN185" s="516"/>
      <c r="AO185" s="417" t="str">
        <f>IF(AN185="","",IF(VLOOKUP(AN185,'G-3 Multipliers'!$S$3:$T$10,2,FALSE)=0,"Spatial Data Missing ⚠",VLOOKUP(AN185,'G-3 Multipliers'!$S$3:$T$10,2,FALSE)))</f>
        <v/>
      </c>
      <c r="AP185" s="376" t="str">
        <f t="shared" si="32"/>
        <v/>
      </c>
      <c r="AQ185" s="376" t="str">
        <f t="shared" si="33"/>
        <v/>
      </c>
      <c r="AR185" s="119"/>
      <c r="AS185" s="528"/>
      <c r="AT185" s="120"/>
      <c r="AU185" s="120"/>
    </row>
    <row r="186" spans="1:47">
      <c r="A186" s="30" t="str">
        <f>IF(E186="","",IF(ISNA(VLOOKUP($E186,'D-1 Off-Site Habitat Baseline'!$D$1:$O$258,2,FALSE)),"",(VLOOKUP($E186,'D-1 Off-Site Habitat Baseline'!$D$1:$O$258,2,FALSE))))</f>
        <v/>
      </c>
      <c r="B186" s="30" t="str">
        <f>IF(E186="","",IF(ISNA(VLOOKUP($E186,'D-1 Off-Site Habitat Baseline'!$D$1:$O$258,3,FALSE)),"",(VLOOKUP($E186,'D-1 Off-Site Habitat Baseline'!$D$1:$O$258,3,FALSE))))</f>
        <v/>
      </c>
      <c r="C186" s="30" t="str">
        <f>IFERROR(INDEX('G-8 Condition Look up'!$I$4:$I$135,MATCH(S186,'G-8 Condition Look up'!$A$4:$A$135,0)),"")</f>
        <v/>
      </c>
      <c r="E186" s="407" t="str">
        <f>'D-1 Off-Site Habitat Baseline'!AP185</f>
        <v/>
      </c>
      <c r="F186" s="382" t="str">
        <f>IF(E186="","",IF(ISNA(VLOOKUP($E186,'D-1 Off-Site Habitat Baseline'!$D$1:$O$258,4,FALSE)),"",(VLOOKUP($E186,'D-1 Off-Site Habitat Baseline'!$D$1:$O$258,4,FALSE))))</f>
        <v/>
      </c>
      <c r="G186" s="382" t="str">
        <f>IF(E186="","",IF(ISNA(VLOOKUP($E186,'D-1 Off-Site Habitat Baseline'!$D$1:$O$258,5,FALSE)),"",(VLOOKUP($E186,'D-1 Off-Site Habitat Baseline'!$D$1:$O$258,5,FALSE))))</f>
        <v/>
      </c>
      <c r="H186" s="382" t="str">
        <f>IF(E186="","",IF(ISNA(VLOOKUP($E186,'D-1 Off-Site Habitat Baseline'!$D$1:$O$258,6,FALSE)),"",(VLOOKUP($E186,'D-1 Off-Site Habitat Baseline'!$D$1:$O$258,6,FALSE))))</f>
        <v/>
      </c>
      <c r="I186" s="382" t="str">
        <f>IF(E186="","",IF(ISNA(VLOOKUP($E186,'D-1 Off-Site Habitat Baseline'!$D$1:$O$258,7,FALSE)),"",(VLOOKUP($E186,'D-1 Off-Site Habitat Baseline'!$D$1:$O$258,7,FALSE))))</f>
        <v/>
      </c>
      <c r="J186" s="382" t="str">
        <f>IF(E186="","",IF(ISNA(VLOOKUP($E186,'D-1 Off-Site Habitat Baseline'!$D$1:$O$258,8,FALSE)),"",(VLOOKUP($E186,'D-1 Off-Site Habitat Baseline'!$D$1:$O$258,8,FALSE))))</f>
        <v/>
      </c>
      <c r="K186" s="382" t="str">
        <f>IF(E186="","",IF(ISNA(VLOOKUP($E186,'D-1 Off-Site Habitat Baseline'!$D$1:$O$258,9,FALSE)),"",(VLOOKUP($E186,'D-1 Off-Site Habitat Baseline'!$D$1:$O$258,9,FALSE))))</f>
        <v/>
      </c>
      <c r="L186" s="382" t="str">
        <f>IF(E186="","",IF(ISNA(VLOOKUP($E186,'D-1 Off-Site Habitat Baseline'!$D$1:$O$258,11,FALSE)),"",(VLOOKUP($E186,'D-1 Off-Site Habitat Baseline'!$D$1:$O$258,11,FALSE))))</f>
        <v/>
      </c>
      <c r="M186" s="382" t="str">
        <f>IF(E186="","",IF(ISNA(VLOOKUP($E186,'D-1 Off-Site Habitat Baseline'!$D$1:$O$258,12,FALSE)),"",(VLOOKUP($E186,'D-1 Off-Site Habitat Baseline'!$D$1:$O$258,12,FALSE))))</f>
        <v/>
      </c>
      <c r="N186" s="382" t="str">
        <f>IF(E186="","",IF(ISNA(VLOOKUP($E186,'D-1 Off-Site Habitat Baseline'!$D$1:$AA$258,14,FALSE)),"",(VLOOKUP($E186,'D-1 Off-Site Habitat Baseline'!$D$1:$AA$258,14,FALSE))))</f>
        <v/>
      </c>
      <c r="O186" s="386" t="str">
        <f>IF(E186="","",IF(ISNA(VLOOKUP($E186,'D-1 Off-Site Habitat Baseline'!$D$1:$AA$258,13,FALSE)),"",(VLOOKUP($E186,'D-1 Off-Site Habitat Baseline'!$D$1:$AA$258,13,FALSE))))</f>
        <v/>
      </c>
      <c r="P186" s="184" t="str">
        <f>IFERROR(INDEX('G-1 All Habitats'!$AG$3:$AG$17,MATCH(Q186,'G-1 All Habitats'!$AF$3:$AF$17,0)),"")</f>
        <v/>
      </c>
      <c r="Q186" s="185" t="str">
        <f t="shared" si="25"/>
        <v/>
      </c>
      <c r="R186" s="186" t="str">
        <f t="shared" si="25"/>
        <v/>
      </c>
      <c r="S186" s="187" t="str">
        <f>IFERROR(INDEX('G-1 All Habitats'!$B$3:$B$134,MATCH(R186,'G-1 All Habitats'!$A$3:$A$134,0)),"")</f>
        <v/>
      </c>
      <c r="T186" s="370" t="str">
        <f t="shared" si="26"/>
        <v/>
      </c>
      <c r="U186" s="386" t="str">
        <f t="shared" si="27"/>
        <v/>
      </c>
      <c r="V186" s="385" t="str">
        <f t="shared" si="23"/>
        <v/>
      </c>
      <c r="W186" s="382" t="str">
        <f>IF(S186="","",VLOOKUP(S186,'G-1 All Habitats'!$B$2:$M$134,10,FALSE))</f>
        <v/>
      </c>
      <c r="X186" s="382" t="str">
        <f>IFERROR(VLOOKUP(W186,'G-1 All Habitats'!$V$3:$W$7,2,FALSE),"")</f>
        <v/>
      </c>
      <c r="Y186" s="165"/>
      <c r="Z186" s="386" t="str">
        <f>IFERROR(INDEX('G-8 Condition Look up'!$A$3:$H$135,MATCH(S186,'G-8 Condition Look up'!$A$3:$A$135,0),MATCH(Y186,'G-8 Condition Look up'!$A$3:$H$3,0)),"")</f>
        <v/>
      </c>
      <c r="AA186" s="114"/>
      <c r="AB186" s="401" t="str">
        <f>IF(AA186="","",IF(VLOOKUP(AA186,'G-3 Multipliers'!$L$3:$N$6,2,FALSE)=0,"Spatial Data Missing ⚠",VLOOKUP(AA186,'G-3 Multipliers'!$L$3:$N$6,2,FALSE)))</f>
        <v/>
      </c>
      <c r="AC186" s="386" t="str">
        <f>IF(AA186="","",IF(VLOOKUP(AA186,'G-3 Multipliers'!$L$3:$N$6,3,FALSE)=0,"Spatial Data Missing ⚠",VLOOKUP(AA186,'G-3 Multipliers'!$L$3:$N$6,3,FALSE)))</f>
        <v/>
      </c>
      <c r="AD186" s="398" t="str">
        <f t="shared" si="24"/>
        <v/>
      </c>
      <c r="AE186" s="165"/>
      <c r="AF186" s="165"/>
      <c r="AG186" s="382" t="str">
        <f t="shared" si="28"/>
        <v/>
      </c>
      <c r="AH186" s="404" t="str">
        <f t="shared" si="29"/>
        <v/>
      </c>
      <c r="AI186" s="387" t="str">
        <f>IF(AH186="Check Data ⚠","Check Data ⚠",IFERROR(VLOOKUP(AH186,'G-4 Temporal multipliers'!$A$4:$C$36,3,FALSE),""))</f>
        <v/>
      </c>
      <c r="AJ186" s="398" t="str">
        <f>IF(S186="","",VLOOKUP(S186,'G-3 Multipliers'!$A$2:$E$134,4,FALSE))</f>
        <v/>
      </c>
      <c r="AK186" s="382" t="str">
        <f t="shared" si="30"/>
        <v/>
      </c>
      <c r="AL186" s="382" t="str">
        <f t="shared" si="31"/>
        <v/>
      </c>
      <c r="AM186" s="386" t="str">
        <f>IFERROR(IF(F186="","",IF(AH186="Check Data ⚠","Check Data ⚠",VLOOKUP(AL186, 'G-3 Multipliers'!$P$2:$Q$6,2,FALSE))),"")</f>
        <v/>
      </c>
      <c r="AN186" s="516"/>
      <c r="AO186" s="417" t="str">
        <f>IF(AN186="","",IF(VLOOKUP(AN186,'G-3 Multipliers'!$S$3:$T$10,2,FALSE)=0,"Spatial Data Missing ⚠",VLOOKUP(AN186,'G-3 Multipliers'!$S$3:$T$10,2,FALSE)))</f>
        <v/>
      </c>
      <c r="AP186" s="376" t="str">
        <f t="shared" si="32"/>
        <v/>
      </c>
      <c r="AQ186" s="376" t="str">
        <f t="shared" si="33"/>
        <v/>
      </c>
      <c r="AR186" s="119"/>
      <c r="AS186" s="528"/>
      <c r="AT186" s="120"/>
      <c r="AU186" s="120"/>
    </row>
    <row r="187" spans="1:47">
      <c r="A187" s="30" t="str">
        <f>IF(E187="","",IF(ISNA(VLOOKUP($E187,'D-1 Off-Site Habitat Baseline'!$D$1:$O$258,2,FALSE)),"",(VLOOKUP($E187,'D-1 Off-Site Habitat Baseline'!$D$1:$O$258,2,FALSE))))</f>
        <v/>
      </c>
      <c r="B187" s="30" t="str">
        <f>IF(E187="","",IF(ISNA(VLOOKUP($E187,'D-1 Off-Site Habitat Baseline'!$D$1:$O$258,3,FALSE)),"",(VLOOKUP($E187,'D-1 Off-Site Habitat Baseline'!$D$1:$O$258,3,FALSE))))</f>
        <v/>
      </c>
      <c r="C187" s="30" t="str">
        <f>IFERROR(INDEX('G-8 Condition Look up'!$I$4:$I$135,MATCH(S187,'G-8 Condition Look up'!$A$4:$A$135,0)),"")</f>
        <v/>
      </c>
      <c r="E187" s="407" t="str">
        <f>'D-1 Off-Site Habitat Baseline'!AP186</f>
        <v/>
      </c>
      <c r="F187" s="382" t="str">
        <f>IF(E187="","",IF(ISNA(VLOOKUP($E187,'D-1 Off-Site Habitat Baseline'!$D$1:$O$258,4,FALSE)),"",(VLOOKUP($E187,'D-1 Off-Site Habitat Baseline'!$D$1:$O$258,4,FALSE))))</f>
        <v/>
      </c>
      <c r="G187" s="382" t="str">
        <f>IF(E187="","",IF(ISNA(VLOOKUP($E187,'D-1 Off-Site Habitat Baseline'!$D$1:$O$258,5,FALSE)),"",(VLOOKUP($E187,'D-1 Off-Site Habitat Baseline'!$D$1:$O$258,5,FALSE))))</f>
        <v/>
      </c>
      <c r="H187" s="382" t="str">
        <f>IF(E187="","",IF(ISNA(VLOOKUP($E187,'D-1 Off-Site Habitat Baseline'!$D$1:$O$258,6,FALSE)),"",(VLOOKUP($E187,'D-1 Off-Site Habitat Baseline'!$D$1:$O$258,6,FALSE))))</f>
        <v/>
      </c>
      <c r="I187" s="382" t="str">
        <f>IF(E187="","",IF(ISNA(VLOOKUP($E187,'D-1 Off-Site Habitat Baseline'!$D$1:$O$258,7,FALSE)),"",(VLOOKUP($E187,'D-1 Off-Site Habitat Baseline'!$D$1:$O$258,7,FALSE))))</f>
        <v/>
      </c>
      <c r="J187" s="382" t="str">
        <f>IF(E187="","",IF(ISNA(VLOOKUP($E187,'D-1 Off-Site Habitat Baseline'!$D$1:$O$258,8,FALSE)),"",(VLOOKUP($E187,'D-1 Off-Site Habitat Baseline'!$D$1:$O$258,8,FALSE))))</f>
        <v/>
      </c>
      <c r="K187" s="382" t="str">
        <f>IF(E187="","",IF(ISNA(VLOOKUP($E187,'D-1 Off-Site Habitat Baseline'!$D$1:$O$258,9,FALSE)),"",(VLOOKUP($E187,'D-1 Off-Site Habitat Baseline'!$D$1:$O$258,9,FALSE))))</f>
        <v/>
      </c>
      <c r="L187" s="382" t="str">
        <f>IF(E187="","",IF(ISNA(VLOOKUP($E187,'D-1 Off-Site Habitat Baseline'!$D$1:$O$258,11,FALSE)),"",(VLOOKUP($E187,'D-1 Off-Site Habitat Baseline'!$D$1:$O$258,11,FALSE))))</f>
        <v/>
      </c>
      <c r="M187" s="382" t="str">
        <f>IF(E187="","",IF(ISNA(VLOOKUP($E187,'D-1 Off-Site Habitat Baseline'!$D$1:$O$258,12,FALSE)),"",(VLOOKUP($E187,'D-1 Off-Site Habitat Baseline'!$D$1:$O$258,12,FALSE))))</f>
        <v/>
      </c>
      <c r="N187" s="382" t="str">
        <f>IF(E187="","",IF(ISNA(VLOOKUP($E187,'D-1 Off-Site Habitat Baseline'!$D$1:$AA$258,14,FALSE)),"",(VLOOKUP($E187,'D-1 Off-Site Habitat Baseline'!$D$1:$AA$258,14,FALSE))))</f>
        <v/>
      </c>
      <c r="O187" s="386" t="str">
        <f>IF(E187="","",IF(ISNA(VLOOKUP($E187,'D-1 Off-Site Habitat Baseline'!$D$1:$AA$258,13,FALSE)),"",(VLOOKUP($E187,'D-1 Off-Site Habitat Baseline'!$D$1:$AA$258,13,FALSE))))</f>
        <v/>
      </c>
      <c r="P187" s="184" t="str">
        <f>IFERROR(INDEX('G-1 All Habitats'!$AG$3:$AG$17,MATCH(Q187,'G-1 All Habitats'!$AF$3:$AF$17,0)),"")</f>
        <v/>
      </c>
      <c r="Q187" s="185" t="str">
        <f t="shared" si="25"/>
        <v/>
      </c>
      <c r="R187" s="186" t="str">
        <f t="shared" si="25"/>
        <v/>
      </c>
      <c r="S187" s="187" t="str">
        <f>IFERROR(INDEX('G-1 All Habitats'!$B$3:$B$134,MATCH(R187,'G-1 All Habitats'!$A$3:$A$134,0)),"")</f>
        <v/>
      </c>
      <c r="T187" s="370" t="str">
        <f t="shared" si="26"/>
        <v/>
      </c>
      <c r="U187" s="386" t="str">
        <f t="shared" si="27"/>
        <v/>
      </c>
      <c r="V187" s="385" t="str">
        <f t="shared" si="23"/>
        <v/>
      </c>
      <c r="W187" s="382" t="str">
        <f>IF(S187="","",VLOOKUP(S187,'G-1 All Habitats'!$B$2:$M$134,10,FALSE))</f>
        <v/>
      </c>
      <c r="X187" s="382" t="str">
        <f>IFERROR(VLOOKUP(W187,'G-1 All Habitats'!$V$3:$W$7,2,FALSE),"")</f>
        <v/>
      </c>
      <c r="Y187" s="165"/>
      <c r="Z187" s="386" t="str">
        <f>IFERROR(INDEX('G-8 Condition Look up'!$A$3:$H$135,MATCH(S187,'G-8 Condition Look up'!$A$3:$A$135,0),MATCH(Y187,'G-8 Condition Look up'!$A$3:$H$3,0)),"")</f>
        <v/>
      </c>
      <c r="AA187" s="114"/>
      <c r="AB187" s="401" t="str">
        <f>IF(AA187="","",IF(VLOOKUP(AA187,'G-3 Multipliers'!$L$3:$N$6,2,FALSE)=0,"Spatial Data Missing ⚠",VLOOKUP(AA187,'G-3 Multipliers'!$L$3:$N$6,2,FALSE)))</f>
        <v/>
      </c>
      <c r="AC187" s="386" t="str">
        <f>IF(AA187="","",IF(VLOOKUP(AA187,'G-3 Multipliers'!$L$3:$N$6,3,FALSE)=0,"Spatial Data Missing ⚠",VLOOKUP(AA187,'G-3 Multipliers'!$L$3:$N$6,3,FALSE)))</f>
        <v/>
      </c>
      <c r="AD187" s="398" t="str">
        <f t="shared" si="24"/>
        <v/>
      </c>
      <c r="AE187" s="165"/>
      <c r="AF187" s="165"/>
      <c r="AG187" s="382" t="str">
        <f t="shared" si="28"/>
        <v/>
      </c>
      <c r="AH187" s="404" t="str">
        <f t="shared" si="29"/>
        <v/>
      </c>
      <c r="AI187" s="387" t="str">
        <f>IF(AH187="Check Data ⚠","Check Data ⚠",IFERROR(VLOOKUP(AH187,'G-4 Temporal multipliers'!$A$4:$C$36,3,FALSE),""))</f>
        <v/>
      </c>
      <c r="AJ187" s="398" t="str">
        <f>IF(S187="","",VLOOKUP(S187,'G-3 Multipliers'!$A$2:$E$134,4,FALSE))</f>
        <v/>
      </c>
      <c r="AK187" s="382" t="str">
        <f t="shared" si="30"/>
        <v/>
      </c>
      <c r="AL187" s="382" t="str">
        <f t="shared" si="31"/>
        <v/>
      </c>
      <c r="AM187" s="386" t="str">
        <f>IFERROR(IF(F187="","",IF(AH187="Check Data ⚠","Check Data ⚠",VLOOKUP(AL187, 'G-3 Multipliers'!$P$2:$Q$6,2,FALSE))),"")</f>
        <v/>
      </c>
      <c r="AN187" s="516"/>
      <c r="AO187" s="417" t="str">
        <f>IF(AN187="","",IF(VLOOKUP(AN187,'G-3 Multipliers'!$S$3:$T$10,2,FALSE)=0,"Spatial Data Missing ⚠",VLOOKUP(AN187,'G-3 Multipliers'!$S$3:$T$10,2,FALSE)))</f>
        <v/>
      </c>
      <c r="AP187" s="376" t="str">
        <f t="shared" si="32"/>
        <v/>
      </c>
      <c r="AQ187" s="376" t="str">
        <f t="shared" si="33"/>
        <v/>
      </c>
      <c r="AR187" s="119"/>
      <c r="AS187" s="528"/>
      <c r="AT187" s="120"/>
      <c r="AU187" s="120"/>
    </row>
    <row r="188" spans="1:47">
      <c r="A188" s="30" t="str">
        <f>IF(E188="","",IF(ISNA(VLOOKUP($E188,'D-1 Off-Site Habitat Baseline'!$D$1:$O$258,2,FALSE)),"",(VLOOKUP($E188,'D-1 Off-Site Habitat Baseline'!$D$1:$O$258,2,FALSE))))</f>
        <v/>
      </c>
      <c r="B188" s="30" t="str">
        <f>IF(E188="","",IF(ISNA(VLOOKUP($E188,'D-1 Off-Site Habitat Baseline'!$D$1:$O$258,3,FALSE)),"",(VLOOKUP($E188,'D-1 Off-Site Habitat Baseline'!$D$1:$O$258,3,FALSE))))</f>
        <v/>
      </c>
      <c r="C188" s="30" t="str">
        <f>IFERROR(INDEX('G-8 Condition Look up'!$I$4:$I$135,MATCH(S188,'G-8 Condition Look up'!$A$4:$A$135,0)),"")</f>
        <v/>
      </c>
      <c r="E188" s="407" t="str">
        <f>'D-1 Off-Site Habitat Baseline'!AP187</f>
        <v/>
      </c>
      <c r="F188" s="382" t="str">
        <f>IF(E188="","",IF(ISNA(VLOOKUP($E188,'D-1 Off-Site Habitat Baseline'!$D$1:$O$258,4,FALSE)),"",(VLOOKUP($E188,'D-1 Off-Site Habitat Baseline'!$D$1:$O$258,4,FALSE))))</f>
        <v/>
      </c>
      <c r="G188" s="382" t="str">
        <f>IF(E188="","",IF(ISNA(VLOOKUP($E188,'D-1 Off-Site Habitat Baseline'!$D$1:$O$258,5,FALSE)),"",(VLOOKUP($E188,'D-1 Off-Site Habitat Baseline'!$D$1:$O$258,5,FALSE))))</f>
        <v/>
      </c>
      <c r="H188" s="382" t="str">
        <f>IF(E188="","",IF(ISNA(VLOOKUP($E188,'D-1 Off-Site Habitat Baseline'!$D$1:$O$258,6,FALSE)),"",(VLOOKUP($E188,'D-1 Off-Site Habitat Baseline'!$D$1:$O$258,6,FALSE))))</f>
        <v/>
      </c>
      <c r="I188" s="382" t="str">
        <f>IF(E188="","",IF(ISNA(VLOOKUP($E188,'D-1 Off-Site Habitat Baseline'!$D$1:$O$258,7,FALSE)),"",(VLOOKUP($E188,'D-1 Off-Site Habitat Baseline'!$D$1:$O$258,7,FALSE))))</f>
        <v/>
      </c>
      <c r="J188" s="382" t="str">
        <f>IF(E188="","",IF(ISNA(VLOOKUP($E188,'D-1 Off-Site Habitat Baseline'!$D$1:$O$258,8,FALSE)),"",(VLOOKUP($E188,'D-1 Off-Site Habitat Baseline'!$D$1:$O$258,8,FALSE))))</f>
        <v/>
      </c>
      <c r="K188" s="382" t="str">
        <f>IF(E188="","",IF(ISNA(VLOOKUP($E188,'D-1 Off-Site Habitat Baseline'!$D$1:$O$258,9,FALSE)),"",(VLOOKUP($E188,'D-1 Off-Site Habitat Baseline'!$D$1:$O$258,9,FALSE))))</f>
        <v/>
      </c>
      <c r="L188" s="382" t="str">
        <f>IF(E188="","",IF(ISNA(VLOOKUP($E188,'D-1 Off-Site Habitat Baseline'!$D$1:$O$258,11,FALSE)),"",(VLOOKUP($E188,'D-1 Off-Site Habitat Baseline'!$D$1:$O$258,11,FALSE))))</f>
        <v/>
      </c>
      <c r="M188" s="382" t="str">
        <f>IF(E188="","",IF(ISNA(VLOOKUP($E188,'D-1 Off-Site Habitat Baseline'!$D$1:$O$258,12,FALSE)),"",(VLOOKUP($E188,'D-1 Off-Site Habitat Baseline'!$D$1:$O$258,12,FALSE))))</f>
        <v/>
      </c>
      <c r="N188" s="382" t="str">
        <f>IF(E188="","",IF(ISNA(VLOOKUP($E188,'D-1 Off-Site Habitat Baseline'!$D$1:$AA$258,14,FALSE)),"",(VLOOKUP($E188,'D-1 Off-Site Habitat Baseline'!$D$1:$AA$258,14,FALSE))))</f>
        <v/>
      </c>
      <c r="O188" s="386" t="str">
        <f>IF(E188="","",IF(ISNA(VLOOKUP($E188,'D-1 Off-Site Habitat Baseline'!$D$1:$AA$258,13,FALSE)),"",(VLOOKUP($E188,'D-1 Off-Site Habitat Baseline'!$D$1:$AA$258,13,FALSE))))</f>
        <v/>
      </c>
      <c r="P188" s="184" t="str">
        <f>IFERROR(INDEX('G-1 All Habitats'!$AG$3:$AG$17,MATCH(Q188,'G-1 All Habitats'!$AF$3:$AF$17,0)),"")</f>
        <v/>
      </c>
      <c r="Q188" s="185" t="str">
        <f t="shared" si="25"/>
        <v/>
      </c>
      <c r="R188" s="186" t="str">
        <f t="shared" si="25"/>
        <v/>
      </c>
      <c r="S188" s="187" t="str">
        <f>IFERROR(INDEX('G-1 All Habitats'!$B$3:$B$134,MATCH(R188,'G-1 All Habitats'!$A$3:$A$134,0)),"")</f>
        <v/>
      </c>
      <c r="T188" s="370" t="str">
        <f t="shared" si="26"/>
        <v/>
      </c>
      <c r="U188" s="386" t="str">
        <f t="shared" si="27"/>
        <v/>
      </c>
      <c r="V188" s="385" t="str">
        <f t="shared" si="23"/>
        <v/>
      </c>
      <c r="W188" s="382" t="str">
        <f>IF(S188="","",VLOOKUP(S188,'G-1 All Habitats'!$B$2:$M$134,10,FALSE))</f>
        <v/>
      </c>
      <c r="X188" s="382" t="str">
        <f>IFERROR(VLOOKUP(W188,'G-1 All Habitats'!$V$3:$W$7,2,FALSE),"")</f>
        <v/>
      </c>
      <c r="Y188" s="165"/>
      <c r="Z188" s="386" t="str">
        <f>IFERROR(INDEX('G-8 Condition Look up'!$A$3:$H$135,MATCH(S188,'G-8 Condition Look up'!$A$3:$A$135,0),MATCH(Y188,'G-8 Condition Look up'!$A$3:$H$3,0)),"")</f>
        <v/>
      </c>
      <c r="AA188" s="114"/>
      <c r="AB188" s="401" t="str">
        <f>IF(AA188="","",IF(VLOOKUP(AA188,'G-3 Multipliers'!$L$3:$N$6,2,FALSE)=0,"Spatial Data Missing ⚠",VLOOKUP(AA188,'G-3 Multipliers'!$L$3:$N$6,2,FALSE)))</f>
        <v/>
      </c>
      <c r="AC188" s="386" t="str">
        <f>IF(AA188="","",IF(VLOOKUP(AA188,'G-3 Multipliers'!$L$3:$N$6,3,FALSE)=0,"Spatial Data Missing ⚠",VLOOKUP(AA188,'G-3 Multipliers'!$L$3:$N$6,3,FALSE)))</f>
        <v/>
      </c>
      <c r="AD188" s="398" t="str">
        <f t="shared" si="24"/>
        <v/>
      </c>
      <c r="AE188" s="165"/>
      <c r="AF188" s="165"/>
      <c r="AG188" s="382" t="str">
        <f t="shared" si="28"/>
        <v/>
      </c>
      <c r="AH188" s="404" t="str">
        <f t="shared" si="29"/>
        <v/>
      </c>
      <c r="AI188" s="387" t="str">
        <f>IF(AH188="Check Data ⚠","Check Data ⚠",IFERROR(VLOOKUP(AH188,'G-4 Temporal multipliers'!$A$4:$C$36,3,FALSE),""))</f>
        <v/>
      </c>
      <c r="AJ188" s="398" t="str">
        <f>IF(S188="","",VLOOKUP(S188,'G-3 Multipliers'!$A$2:$E$134,4,FALSE))</f>
        <v/>
      </c>
      <c r="AK188" s="382" t="str">
        <f t="shared" si="30"/>
        <v/>
      </c>
      <c r="AL188" s="382" t="str">
        <f t="shared" si="31"/>
        <v/>
      </c>
      <c r="AM188" s="386" t="str">
        <f>IFERROR(IF(F188="","",IF(AH188="Check Data ⚠","Check Data ⚠",VLOOKUP(AL188, 'G-3 Multipliers'!$P$2:$Q$6,2,FALSE))),"")</f>
        <v/>
      </c>
      <c r="AN188" s="516"/>
      <c r="AO188" s="417" t="str">
        <f>IF(AN188="","",IF(VLOOKUP(AN188,'G-3 Multipliers'!$S$3:$T$10,2,FALSE)=0,"Spatial Data Missing ⚠",VLOOKUP(AN188,'G-3 Multipliers'!$S$3:$T$10,2,FALSE)))</f>
        <v/>
      </c>
      <c r="AP188" s="376" t="str">
        <f t="shared" si="32"/>
        <v/>
      </c>
      <c r="AQ188" s="376" t="str">
        <f t="shared" si="33"/>
        <v/>
      </c>
      <c r="AR188" s="119"/>
      <c r="AS188" s="528"/>
      <c r="AT188" s="120"/>
      <c r="AU188" s="120"/>
    </row>
    <row r="189" spans="1:47">
      <c r="A189" s="30" t="str">
        <f>IF(E189="","",IF(ISNA(VLOOKUP($E189,'D-1 Off-Site Habitat Baseline'!$D$1:$O$258,2,FALSE)),"",(VLOOKUP($E189,'D-1 Off-Site Habitat Baseline'!$D$1:$O$258,2,FALSE))))</f>
        <v/>
      </c>
      <c r="B189" s="30" t="str">
        <f>IF(E189="","",IF(ISNA(VLOOKUP($E189,'D-1 Off-Site Habitat Baseline'!$D$1:$O$258,3,FALSE)),"",(VLOOKUP($E189,'D-1 Off-Site Habitat Baseline'!$D$1:$O$258,3,FALSE))))</f>
        <v/>
      </c>
      <c r="C189" s="30" t="str">
        <f>IFERROR(INDEX('G-8 Condition Look up'!$I$4:$I$135,MATCH(S189,'G-8 Condition Look up'!$A$4:$A$135,0)),"")</f>
        <v/>
      </c>
      <c r="E189" s="407" t="str">
        <f>'D-1 Off-Site Habitat Baseline'!AP188</f>
        <v/>
      </c>
      <c r="F189" s="382" t="str">
        <f>IF(E189="","",IF(ISNA(VLOOKUP($E189,'D-1 Off-Site Habitat Baseline'!$D$1:$O$258,4,FALSE)),"",(VLOOKUP($E189,'D-1 Off-Site Habitat Baseline'!$D$1:$O$258,4,FALSE))))</f>
        <v/>
      </c>
      <c r="G189" s="382" t="str">
        <f>IF(E189="","",IF(ISNA(VLOOKUP($E189,'D-1 Off-Site Habitat Baseline'!$D$1:$O$258,5,FALSE)),"",(VLOOKUP($E189,'D-1 Off-Site Habitat Baseline'!$D$1:$O$258,5,FALSE))))</f>
        <v/>
      </c>
      <c r="H189" s="382" t="str">
        <f>IF(E189="","",IF(ISNA(VLOOKUP($E189,'D-1 Off-Site Habitat Baseline'!$D$1:$O$258,6,FALSE)),"",(VLOOKUP($E189,'D-1 Off-Site Habitat Baseline'!$D$1:$O$258,6,FALSE))))</f>
        <v/>
      </c>
      <c r="I189" s="382" t="str">
        <f>IF(E189="","",IF(ISNA(VLOOKUP($E189,'D-1 Off-Site Habitat Baseline'!$D$1:$O$258,7,FALSE)),"",(VLOOKUP($E189,'D-1 Off-Site Habitat Baseline'!$D$1:$O$258,7,FALSE))))</f>
        <v/>
      </c>
      <c r="J189" s="382" t="str">
        <f>IF(E189="","",IF(ISNA(VLOOKUP($E189,'D-1 Off-Site Habitat Baseline'!$D$1:$O$258,8,FALSE)),"",(VLOOKUP($E189,'D-1 Off-Site Habitat Baseline'!$D$1:$O$258,8,FALSE))))</f>
        <v/>
      </c>
      <c r="K189" s="382" t="str">
        <f>IF(E189="","",IF(ISNA(VLOOKUP($E189,'D-1 Off-Site Habitat Baseline'!$D$1:$O$258,9,FALSE)),"",(VLOOKUP($E189,'D-1 Off-Site Habitat Baseline'!$D$1:$O$258,9,FALSE))))</f>
        <v/>
      </c>
      <c r="L189" s="382" t="str">
        <f>IF(E189="","",IF(ISNA(VLOOKUP($E189,'D-1 Off-Site Habitat Baseline'!$D$1:$O$258,11,FALSE)),"",(VLOOKUP($E189,'D-1 Off-Site Habitat Baseline'!$D$1:$O$258,11,FALSE))))</f>
        <v/>
      </c>
      <c r="M189" s="382" t="str">
        <f>IF(E189="","",IF(ISNA(VLOOKUP($E189,'D-1 Off-Site Habitat Baseline'!$D$1:$O$258,12,FALSE)),"",(VLOOKUP($E189,'D-1 Off-Site Habitat Baseline'!$D$1:$O$258,12,FALSE))))</f>
        <v/>
      </c>
      <c r="N189" s="382" t="str">
        <f>IF(E189="","",IF(ISNA(VLOOKUP($E189,'D-1 Off-Site Habitat Baseline'!$D$1:$AA$258,14,FALSE)),"",(VLOOKUP($E189,'D-1 Off-Site Habitat Baseline'!$D$1:$AA$258,14,FALSE))))</f>
        <v/>
      </c>
      <c r="O189" s="386" t="str">
        <f>IF(E189="","",IF(ISNA(VLOOKUP($E189,'D-1 Off-Site Habitat Baseline'!$D$1:$AA$258,13,FALSE)),"",(VLOOKUP($E189,'D-1 Off-Site Habitat Baseline'!$D$1:$AA$258,13,FALSE))))</f>
        <v/>
      </c>
      <c r="P189" s="184" t="str">
        <f>IFERROR(INDEX('G-1 All Habitats'!$AG$3:$AG$17,MATCH(Q189,'G-1 All Habitats'!$AF$3:$AF$17,0)),"")</f>
        <v/>
      </c>
      <c r="Q189" s="185" t="str">
        <f t="shared" si="25"/>
        <v/>
      </c>
      <c r="R189" s="186" t="str">
        <f t="shared" si="25"/>
        <v/>
      </c>
      <c r="S189" s="187" t="str">
        <f>IFERROR(INDEX('G-1 All Habitats'!$B$3:$B$134,MATCH(R189,'G-1 All Habitats'!$A$3:$A$134,0)),"")</f>
        <v/>
      </c>
      <c r="T189" s="370" t="str">
        <f t="shared" si="26"/>
        <v/>
      </c>
      <c r="U189" s="386" t="str">
        <f t="shared" si="27"/>
        <v/>
      </c>
      <c r="V189" s="385" t="str">
        <f t="shared" si="23"/>
        <v/>
      </c>
      <c r="W189" s="382" t="str">
        <f>IF(S189="","",VLOOKUP(S189,'G-1 All Habitats'!$B$2:$M$134,10,FALSE))</f>
        <v/>
      </c>
      <c r="X189" s="382" t="str">
        <f>IFERROR(VLOOKUP(W189,'G-1 All Habitats'!$V$3:$W$7,2,FALSE),"")</f>
        <v/>
      </c>
      <c r="Y189" s="165"/>
      <c r="Z189" s="386" t="str">
        <f>IFERROR(INDEX('G-8 Condition Look up'!$A$3:$H$135,MATCH(S189,'G-8 Condition Look up'!$A$3:$A$135,0),MATCH(Y189,'G-8 Condition Look up'!$A$3:$H$3,0)),"")</f>
        <v/>
      </c>
      <c r="AA189" s="114"/>
      <c r="AB189" s="401" t="str">
        <f>IF(AA189="","",IF(VLOOKUP(AA189,'G-3 Multipliers'!$L$3:$N$6,2,FALSE)=0,"Spatial Data Missing ⚠",VLOOKUP(AA189,'G-3 Multipliers'!$L$3:$N$6,2,FALSE)))</f>
        <v/>
      </c>
      <c r="AC189" s="386" t="str">
        <f>IF(AA189="","",IF(VLOOKUP(AA189,'G-3 Multipliers'!$L$3:$N$6,3,FALSE)=0,"Spatial Data Missing ⚠",VLOOKUP(AA189,'G-3 Multipliers'!$L$3:$N$6,3,FALSE)))</f>
        <v/>
      </c>
      <c r="AD189" s="398" t="str">
        <f t="shared" si="24"/>
        <v/>
      </c>
      <c r="AE189" s="165"/>
      <c r="AF189" s="165"/>
      <c r="AG189" s="382" t="str">
        <f t="shared" si="28"/>
        <v/>
      </c>
      <c r="AH189" s="404" t="str">
        <f t="shared" si="29"/>
        <v/>
      </c>
      <c r="AI189" s="387" t="str">
        <f>IF(AH189="Check Data ⚠","Check Data ⚠",IFERROR(VLOOKUP(AH189,'G-4 Temporal multipliers'!$A$4:$C$36,3,FALSE),""))</f>
        <v/>
      </c>
      <c r="AJ189" s="398" t="str">
        <f>IF(S189="","",VLOOKUP(S189,'G-3 Multipliers'!$A$2:$E$134,4,FALSE))</f>
        <v/>
      </c>
      <c r="AK189" s="382" t="str">
        <f t="shared" si="30"/>
        <v/>
      </c>
      <c r="AL189" s="382" t="str">
        <f t="shared" si="31"/>
        <v/>
      </c>
      <c r="AM189" s="386" t="str">
        <f>IFERROR(IF(F189="","",IF(AH189="Check Data ⚠","Check Data ⚠",VLOOKUP(AL189, 'G-3 Multipliers'!$P$2:$Q$6,2,FALSE))),"")</f>
        <v/>
      </c>
      <c r="AN189" s="516"/>
      <c r="AO189" s="417" t="str">
        <f>IF(AN189="","",IF(VLOOKUP(AN189,'G-3 Multipliers'!$S$3:$T$10,2,FALSE)=0,"Spatial Data Missing ⚠",VLOOKUP(AN189,'G-3 Multipliers'!$S$3:$T$10,2,FALSE)))</f>
        <v/>
      </c>
      <c r="AP189" s="376" t="str">
        <f t="shared" si="32"/>
        <v/>
      </c>
      <c r="AQ189" s="376" t="str">
        <f t="shared" si="33"/>
        <v/>
      </c>
      <c r="AR189" s="119"/>
      <c r="AS189" s="528"/>
      <c r="AT189" s="120"/>
      <c r="AU189" s="120"/>
    </row>
    <row r="190" spans="1:47">
      <c r="A190" s="30" t="str">
        <f>IF(E190="","",IF(ISNA(VLOOKUP($E190,'D-1 Off-Site Habitat Baseline'!$D$1:$O$258,2,FALSE)),"",(VLOOKUP($E190,'D-1 Off-Site Habitat Baseline'!$D$1:$O$258,2,FALSE))))</f>
        <v/>
      </c>
      <c r="B190" s="30" t="str">
        <f>IF(E190="","",IF(ISNA(VLOOKUP($E190,'D-1 Off-Site Habitat Baseline'!$D$1:$O$258,3,FALSE)),"",(VLOOKUP($E190,'D-1 Off-Site Habitat Baseline'!$D$1:$O$258,3,FALSE))))</f>
        <v/>
      </c>
      <c r="C190" s="30" t="str">
        <f>IFERROR(INDEX('G-8 Condition Look up'!$I$4:$I$135,MATCH(S190,'G-8 Condition Look up'!$A$4:$A$135,0)),"")</f>
        <v/>
      </c>
      <c r="E190" s="407" t="str">
        <f>'D-1 Off-Site Habitat Baseline'!AP189</f>
        <v/>
      </c>
      <c r="F190" s="382" t="str">
        <f>IF(E190="","",IF(ISNA(VLOOKUP($E190,'D-1 Off-Site Habitat Baseline'!$D$1:$O$258,4,FALSE)),"",(VLOOKUP($E190,'D-1 Off-Site Habitat Baseline'!$D$1:$O$258,4,FALSE))))</f>
        <v/>
      </c>
      <c r="G190" s="382" t="str">
        <f>IF(E190="","",IF(ISNA(VLOOKUP($E190,'D-1 Off-Site Habitat Baseline'!$D$1:$O$258,5,FALSE)),"",(VLOOKUP($E190,'D-1 Off-Site Habitat Baseline'!$D$1:$O$258,5,FALSE))))</f>
        <v/>
      </c>
      <c r="H190" s="382" t="str">
        <f>IF(E190="","",IF(ISNA(VLOOKUP($E190,'D-1 Off-Site Habitat Baseline'!$D$1:$O$258,6,FALSE)),"",(VLOOKUP($E190,'D-1 Off-Site Habitat Baseline'!$D$1:$O$258,6,FALSE))))</f>
        <v/>
      </c>
      <c r="I190" s="382" t="str">
        <f>IF(E190="","",IF(ISNA(VLOOKUP($E190,'D-1 Off-Site Habitat Baseline'!$D$1:$O$258,7,FALSE)),"",(VLOOKUP($E190,'D-1 Off-Site Habitat Baseline'!$D$1:$O$258,7,FALSE))))</f>
        <v/>
      </c>
      <c r="J190" s="382" t="str">
        <f>IF(E190="","",IF(ISNA(VLOOKUP($E190,'D-1 Off-Site Habitat Baseline'!$D$1:$O$258,8,FALSE)),"",(VLOOKUP($E190,'D-1 Off-Site Habitat Baseline'!$D$1:$O$258,8,FALSE))))</f>
        <v/>
      </c>
      <c r="K190" s="382" t="str">
        <f>IF(E190="","",IF(ISNA(VLOOKUP($E190,'D-1 Off-Site Habitat Baseline'!$D$1:$O$258,9,FALSE)),"",(VLOOKUP($E190,'D-1 Off-Site Habitat Baseline'!$D$1:$O$258,9,FALSE))))</f>
        <v/>
      </c>
      <c r="L190" s="382" t="str">
        <f>IF(E190="","",IF(ISNA(VLOOKUP($E190,'D-1 Off-Site Habitat Baseline'!$D$1:$O$258,11,FALSE)),"",(VLOOKUP($E190,'D-1 Off-Site Habitat Baseline'!$D$1:$O$258,11,FALSE))))</f>
        <v/>
      </c>
      <c r="M190" s="382" t="str">
        <f>IF(E190="","",IF(ISNA(VLOOKUP($E190,'D-1 Off-Site Habitat Baseline'!$D$1:$O$258,12,FALSE)),"",(VLOOKUP($E190,'D-1 Off-Site Habitat Baseline'!$D$1:$O$258,12,FALSE))))</f>
        <v/>
      </c>
      <c r="N190" s="382" t="str">
        <f>IF(E190="","",IF(ISNA(VLOOKUP($E190,'D-1 Off-Site Habitat Baseline'!$D$1:$AA$258,14,FALSE)),"",(VLOOKUP($E190,'D-1 Off-Site Habitat Baseline'!$D$1:$AA$258,14,FALSE))))</f>
        <v/>
      </c>
      <c r="O190" s="386" t="str">
        <f>IF(E190="","",IF(ISNA(VLOOKUP($E190,'D-1 Off-Site Habitat Baseline'!$D$1:$AA$258,13,FALSE)),"",(VLOOKUP($E190,'D-1 Off-Site Habitat Baseline'!$D$1:$AA$258,13,FALSE))))</f>
        <v/>
      </c>
      <c r="P190" s="184" t="str">
        <f>IFERROR(INDEX('G-1 All Habitats'!$AG$3:$AG$17,MATCH(Q190,'G-1 All Habitats'!$AF$3:$AF$17,0)),"")</f>
        <v/>
      </c>
      <c r="Q190" s="185" t="str">
        <f t="shared" si="25"/>
        <v/>
      </c>
      <c r="R190" s="186" t="str">
        <f t="shared" si="25"/>
        <v/>
      </c>
      <c r="S190" s="187" t="str">
        <f>IFERROR(INDEX('G-1 All Habitats'!$B$3:$B$134,MATCH(R190,'G-1 All Habitats'!$A$3:$A$134,0)),"")</f>
        <v/>
      </c>
      <c r="T190" s="370" t="str">
        <f t="shared" si="26"/>
        <v/>
      </c>
      <c r="U190" s="386" t="str">
        <f t="shared" si="27"/>
        <v/>
      </c>
      <c r="V190" s="385" t="str">
        <f t="shared" si="23"/>
        <v/>
      </c>
      <c r="W190" s="382" t="str">
        <f>IF(S190="","",VLOOKUP(S190,'G-1 All Habitats'!$B$2:$M$134,10,FALSE))</f>
        <v/>
      </c>
      <c r="X190" s="382" t="str">
        <f>IFERROR(VLOOKUP(W190,'G-1 All Habitats'!$V$3:$W$7,2,FALSE),"")</f>
        <v/>
      </c>
      <c r="Y190" s="165"/>
      <c r="Z190" s="386" t="str">
        <f>IFERROR(INDEX('G-8 Condition Look up'!$A$3:$H$135,MATCH(S190,'G-8 Condition Look up'!$A$3:$A$135,0),MATCH(Y190,'G-8 Condition Look up'!$A$3:$H$3,0)),"")</f>
        <v/>
      </c>
      <c r="AA190" s="114"/>
      <c r="AB190" s="401" t="str">
        <f>IF(AA190="","",IF(VLOOKUP(AA190,'G-3 Multipliers'!$L$3:$N$6,2,FALSE)=0,"Spatial Data Missing ⚠",VLOOKUP(AA190,'G-3 Multipliers'!$L$3:$N$6,2,FALSE)))</f>
        <v/>
      </c>
      <c r="AC190" s="386" t="str">
        <f>IF(AA190="","",IF(VLOOKUP(AA190,'G-3 Multipliers'!$L$3:$N$6,3,FALSE)=0,"Spatial Data Missing ⚠",VLOOKUP(AA190,'G-3 Multipliers'!$L$3:$N$6,3,FALSE)))</f>
        <v/>
      </c>
      <c r="AD190" s="398" t="str">
        <f t="shared" si="24"/>
        <v/>
      </c>
      <c r="AE190" s="165"/>
      <c r="AF190" s="165"/>
      <c r="AG190" s="382" t="str">
        <f t="shared" si="28"/>
        <v/>
      </c>
      <c r="AH190" s="404" t="str">
        <f t="shared" si="29"/>
        <v/>
      </c>
      <c r="AI190" s="387" t="str">
        <f>IF(AH190="Check Data ⚠","Check Data ⚠",IFERROR(VLOOKUP(AH190,'G-4 Temporal multipliers'!$A$4:$C$36,3,FALSE),""))</f>
        <v/>
      </c>
      <c r="AJ190" s="398" t="str">
        <f>IF(S190="","",VLOOKUP(S190,'G-3 Multipliers'!$A$2:$E$134,4,FALSE))</f>
        <v/>
      </c>
      <c r="AK190" s="382" t="str">
        <f t="shared" si="30"/>
        <v/>
      </c>
      <c r="AL190" s="382" t="str">
        <f t="shared" si="31"/>
        <v/>
      </c>
      <c r="AM190" s="386" t="str">
        <f>IFERROR(IF(F190="","",IF(AH190="Check Data ⚠","Check Data ⚠",VLOOKUP(AL190, 'G-3 Multipliers'!$P$2:$Q$6,2,FALSE))),"")</f>
        <v/>
      </c>
      <c r="AN190" s="516"/>
      <c r="AO190" s="417" t="str">
        <f>IF(AN190="","",IF(VLOOKUP(AN190,'G-3 Multipliers'!$S$3:$T$10,2,FALSE)=0,"Spatial Data Missing ⚠",VLOOKUP(AN190,'G-3 Multipliers'!$S$3:$T$10,2,FALSE)))</f>
        <v/>
      </c>
      <c r="AP190" s="376" t="str">
        <f t="shared" si="32"/>
        <v/>
      </c>
      <c r="AQ190" s="376" t="str">
        <f t="shared" si="33"/>
        <v/>
      </c>
      <c r="AR190" s="119"/>
      <c r="AS190" s="528"/>
      <c r="AT190" s="120"/>
      <c r="AU190" s="120"/>
    </row>
    <row r="191" spans="1:47">
      <c r="A191" s="30" t="str">
        <f>IF(E191="","",IF(ISNA(VLOOKUP($E191,'D-1 Off-Site Habitat Baseline'!$D$1:$O$258,2,FALSE)),"",(VLOOKUP($E191,'D-1 Off-Site Habitat Baseline'!$D$1:$O$258,2,FALSE))))</f>
        <v/>
      </c>
      <c r="B191" s="30" t="str">
        <f>IF(E191="","",IF(ISNA(VLOOKUP($E191,'D-1 Off-Site Habitat Baseline'!$D$1:$O$258,3,FALSE)),"",(VLOOKUP($E191,'D-1 Off-Site Habitat Baseline'!$D$1:$O$258,3,FALSE))))</f>
        <v/>
      </c>
      <c r="C191" s="30" t="str">
        <f>IFERROR(INDEX('G-8 Condition Look up'!$I$4:$I$135,MATCH(S191,'G-8 Condition Look up'!$A$4:$A$135,0)),"")</f>
        <v/>
      </c>
      <c r="E191" s="407" t="str">
        <f>'D-1 Off-Site Habitat Baseline'!AP190</f>
        <v/>
      </c>
      <c r="F191" s="382" t="str">
        <f>IF(E191="","",IF(ISNA(VLOOKUP($E191,'D-1 Off-Site Habitat Baseline'!$D$1:$O$258,4,FALSE)),"",(VLOOKUP($E191,'D-1 Off-Site Habitat Baseline'!$D$1:$O$258,4,FALSE))))</f>
        <v/>
      </c>
      <c r="G191" s="382" t="str">
        <f>IF(E191="","",IF(ISNA(VLOOKUP($E191,'D-1 Off-Site Habitat Baseline'!$D$1:$O$258,5,FALSE)),"",(VLOOKUP($E191,'D-1 Off-Site Habitat Baseline'!$D$1:$O$258,5,FALSE))))</f>
        <v/>
      </c>
      <c r="H191" s="382" t="str">
        <f>IF(E191="","",IF(ISNA(VLOOKUP($E191,'D-1 Off-Site Habitat Baseline'!$D$1:$O$258,6,FALSE)),"",(VLOOKUP($E191,'D-1 Off-Site Habitat Baseline'!$D$1:$O$258,6,FALSE))))</f>
        <v/>
      </c>
      <c r="I191" s="382" t="str">
        <f>IF(E191="","",IF(ISNA(VLOOKUP($E191,'D-1 Off-Site Habitat Baseline'!$D$1:$O$258,7,FALSE)),"",(VLOOKUP($E191,'D-1 Off-Site Habitat Baseline'!$D$1:$O$258,7,FALSE))))</f>
        <v/>
      </c>
      <c r="J191" s="382" t="str">
        <f>IF(E191="","",IF(ISNA(VLOOKUP($E191,'D-1 Off-Site Habitat Baseline'!$D$1:$O$258,8,FALSE)),"",(VLOOKUP($E191,'D-1 Off-Site Habitat Baseline'!$D$1:$O$258,8,FALSE))))</f>
        <v/>
      </c>
      <c r="K191" s="382" t="str">
        <f>IF(E191="","",IF(ISNA(VLOOKUP($E191,'D-1 Off-Site Habitat Baseline'!$D$1:$O$258,9,FALSE)),"",(VLOOKUP($E191,'D-1 Off-Site Habitat Baseline'!$D$1:$O$258,9,FALSE))))</f>
        <v/>
      </c>
      <c r="L191" s="382" t="str">
        <f>IF(E191="","",IF(ISNA(VLOOKUP($E191,'D-1 Off-Site Habitat Baseline'!$D$1:$O$258,11,FALSE)),"",(VLOOKUP($E191,'D-1 Off-Site Habitat Baseline'!$D$1:$O$258,11,FALSE))))</f>
        <v/>
      </c>
      <c r="M191" s="382" t="str">
        <f>IF(E191="","",IF(ISNA(VLOOKUP($E191,'D-1 Off-Site Habitat Baseline'!$D$1:$O$258,12,FALSE)),"",(VLOOKUP($E191,'D-1 Off-Site Habitat Baseline'!$D$1:$O$258,12,FALSE))))</f>
        <v/>
      </c>
      <c r="N191" s="382" t="str">
        <f>IF(E191="","",IF(ISNA(VLOOKUP($E191,'D-1 Off-Site Habitat Baseline'!$D$1:$AA$258,14,FALSE)),"",(VLOOKUP($E191,'D-1 Off-Site Habitat Baseline'!$D$1:$AA$258,14,FALSE))))</f>
        <v/>
      </c>
      <c r="O191" s="386" t="str">
        <f>IF(E191="","",IF(ISNA(VLOOKUP($E191,'D-1 Off-Site Habitat Baseline'!$D$1:$AA$258,13,FALSE)),"",(VLOOKUP($E191,'D-1 Off-Site Habitat Baseline'!$D$1:$AA$258,13,FALSE))))</f>
        <v/>
      </c>
      <c r="P191" s="184" t="str">
        <f>IFERROR(INDEX('G-1 All Habitats'!$AG$3:$AG$17,MATCH(Q191,'G-1 All Habitats'!$AF$3:$AF$17,0)),"")</f>
        <v/>
      </c>
      <c r="Q191" s="185" t="str">
        <f t="shared" si="25"/>
        <v/>
      </c>
      <c r="R191" s="186" t="str">
        <f t="shared" si="25"/>
        <v/>
      </c>
      <c r="S191" s="187" t="str">
        <f>IFERROR(INDEX('G-1 All Habitats'!$B$3:$B$134,MATCH(R191,'G-1 All Habitats'!$A$3:$A$134,0)),"")</f>
        <v/>
      </c>
      <c r="T191" s="370" t="str">
        <f t="shared" si="26"/>
        <v/>
      </c>
      <c r="U191" s="386" t="str">
        <f t="shared" si="27"/>
        <v/>
      </c>
      <c r="V191" s="385" t="str">
        <f t="shared" si="23"/>
        <v/>
      </c>
      <c r="W191" s="382" t="str">
        <f>IF(S191="","",VLOOKUP(S191,'G-1 All Habitats'!$B$2:$M$134,10,FALSE))</f>
        <v/>
      </c>
      <c r="X191" s="382" t="str">
        <f>IFERROR(VLOOKUP(W191,'G-1 All Habitats'!$V$3:$W$7,2,FALSE),"")</f>
        <v/>
      </c>
      <c r="Y191" s="165"/>
      <c r="Z191" s="386" t="str">
        <f>IFERROR(INDEX('G-8 Condition Look up'!$A$3:$H$135,MATCH(S191,'G-8 Condition Look up'!$A$3:$A$135,0),MATCH(Y191,'G-8 Condition Look up'!$A$3:$H$3,0)),"")</f>
        <v/>
      </c>
      <c r="AA191" s="114"/>
      <c r="AB191" s="401" t="str">
        <f>IF(AA191="","",IF(VLOOKUP(AA191,'G-3 Multipliers'!$L$3:$N$6,2,FALSE)=0,"Spatial Data Missing ⚠",VLOOKUP(AA191,'G-3 Multipliers'!$L$3:$N$6,2,FALSE)))</f>
        <v/>
      </c>
      <c r="AC191" s="386" t="str">
        <f>IF(AA191="","",IF(VLOOKUP(AA191,'G-3 Multipliers'!$L$3:$N$6,3,FALSE)=0,"Spatial Data Missing ⚠",VLOOKUP(AA191,'G-3 Multipliers'!$L$3:$N$6,3,FALSE)))</f>
        <v/>
      </c>
      <c r="AD191" s="398" t="str">
        <f t="shared" si="24"/>
        <v/>
      </c>
      <c r="AE191" s="165"/>
      <c r="AF191" s="165"/>
      <c r="AG191" s="382" t="str">
        <f t="shared" si="28"/>
        <v/>
      </c>
      <c r="AH191" s="404" t="str">
        <f t="shared" si="29"/>
        <v/>
      </c>
      <c r="AI191" s="387" t="str">
        <f>IF(AH191="Check Data ⚠","Check Data ⚠",IFERROR(VLOOKUP(AH191,'G-4 Temporal multipliers'!$A$4:$C$36,3,FALSE),""))</f>
        <v/>
      </c>
      <c r="AJ191" s="398" t="str">
        <f>IF(S191="","",VLOOKUP(S191,'G-3 Multipliers'!$A$2:$E$134,4,FALSE))</f>
        <v/>
      </c>
      <c r="AK191" s="382" t="str">
        <f t="shared" si="30"/>
        <v/>
      </c>
      <c r="AL191" s="382" t="str">
        <f t="shared" si="31"/>
        <v/>
      </c>
      <c r="AM191" s="386" t="str">
        <f>IFERROR(IF(F191="","",IF(AH191="Check Data ⚠","Check Data ⚠",VLOOKUP(AL191, 'G-3 Multipliers'!$P$2:$Q$6,2,FALSE))),"")</f>
        <v/>
      </c>
      <c r="AN191" s="516"/>
      <c r="AO191" s="417" t="str">
        <f>IF(AN191="","",IF(VLOOKUP(AN191,'G-3 Multipliers'!$S$3:$T$10,2,FALSE)=0,"Spatial Data Missing ⚠",VLOOKUP(AN191,'G-3 Multipliers'!$S$3:$T$10,2,FALSE)))</f>
        <v/>
      </c>
      <c r="AP191" s="376" t="str">
        <f t="shared" si="32"/>
        <v/>
      </c>
      <c r="AQ191" s="376" t="str">
        <f t="shared" si="33"/>
        <v/>
      </c>
      <c r="AR191" s="119"/>
      <c r="AS191" s="528"/>
      <c r="AT191" s="120"/>
      <c r="AU191" s="120"/>
    </row>
    <row r="192" spans="1:47">
      <c r="A192" s="30" t="str">
        <f>IF(E192="","",IF(ISNA(VLOOKUP($E192,'D-1 Off-Site Habitat Baseline'!$D$1:$O$258,2,FALSE)),"",(VLOOKUP($E192,'D-1 Off-Site Habitat Baseline'!$D$1:$O$258,2,FALSE))))</f>
        <v/>
      </c>
      <c r="B192" s="30" t="str">
        <f>IF(E192="","",IF(ISNA(VLOOKUP($E192,'D-1 Off-Site Habitat Baseline'!$D$1:$O$258,3,FALSE)),"",(VLOOKUP($E192,'D-1 Off-Site Habitat Baseline'!$D$1:$O$258,3,FALSE))))</f>
        <v/>
      </c>
      <c r="C192" s="30" t="str">
        <f>IFERROR(INDEX('G-8 Condition Look up'!$I$4:$I$135,MATCH(S192,'G-8 Condition Look up'!$A$4:$A$135,0)),"")</f>
        <v/>
      </c>
      <c r="E192" s="407" t="str">
        <f>'D-1 Off-Site Habitat Baseline'!AP191</f>
        <v/>
      </c>
      <c r="F192" s="382" t="str">
        <f>IF(E192="","",IF(ISNA(VLOOKUP($E192,'D-1 Off-Site Habitat Baseline'!$D$1:$O$258,4,FALSE)),"",(VLOOKUP($E192,'D-1 Off-Site Habitat Baseline'!$D$1:$O$258,4,FALSE))))</f>
        <v/>
      </c>
      <c r="G192" s="382" t="str">
        <f>IF(E192="","",IF(ISNA(VLOOKUP($E192,'D-1 Off-Site Habitat Baseline'!$D$1:$O$258,5,FALSE)),"",(VLOOKUP($E192,'D-1 Off-Site Habitat Baseline'!$D$1:$O$258,5,FALSE))))</f>
        <v/>
      </c>
      <c r="H192" s="382" t="str">
        <f>IF(E192="","",IF(ISNA(VLOOKUP($E192,'D-1 Off-Site Habitat Baseline'!$D$1:$O$258,6,FALSE)),"",(VLOOKUP($E192,'D-1 Off-Site Habitat Baseline'!$D$1:$O$258,6,FALSE))))</f>
        <v/>
      </c>
      <c r="I192" s="382" t="str">
        <f>IF(E192="","",IF(ISNA(VLOOKUP($E192,'D-1 Off-Site Habitat Baseline'!$D$1:$O$258,7,FALSE)),"",(VLOOKUP($E192,'D-1 Off-Site Habitat Baseline'!$D$1:$O$258,7,FALSE))))</f>
        <v/>
      </c>
      <c r="J192" s="382" t="str">
        <f>IF(E192="","",IF(ISNA(VLOOKUP($E192,'D-1 Off-Site Habitat Baseline'!$D$1:$O$258,8,FALSE)),"",(VLOOKUP($E192,'D-1 Off-Site Habitat Baseline'!$D$1:$O$258,8,FALSE))))</f>
        <v/>
      </c>
      <c r="K192" s="382" t="str">
        <f>IF(E192="","",IF(ISNA(VLOOKUP($E192,'D-1 Off-Site Habitat Baseline'!$D$1:$O$258,9,FALSE)),"",(VLOOKUP($E192,'D-1 Off-Site Habitat Baseline'!$D$1:$O$258,9,FALSE))))</f>
        <v/>
      </c>
      <c r="L192" s="382" t="str">
        <f>IF(E192="","",IF(ISNA(VLOOKUP($E192,'D-1 Off-Site Habitat Baseline'!$D$1:$O$258,11,FALSE)),"",(VLOOKUP($E192,'D-1 Off-Site Habitat Baseline'!$D$1:$O$258,11,FALSE))))</f>
        <v/>
      </c>
      <c r="M192" s="382" t="str">
        <f>IF(E192="","",IF(ISNA(VLOOKUP($E192,'D-1 Off-Site Habitat Baseline'!$D$1:$O$258,12,FALSE)),"",(VLOOKUP($E192,'D-1 Off-Site Habitat Baseline'!$D$1:$O$258,12,FALSE))))</f>
        <v/>
      </c>
      <c r="N192" s="382" t="str">
        <f>IF(E192="","",IF(ISNA(VLOOKUP($E192,'D-1 Off-Site Habitat Baseline'!$D$1:$AA$258,14,FALSE)),"",(VLOOKUP($E192,'D-1 Off-Site Habitat Baseline'!$D$1:$AA$258,14,FALSE))))</f>
        <v/>
      </c>
      <c r="O192" s="386" t="str">
        <f>IF(E192="","",IF(ISNA(VLOOKUP($E192,'D-1 Off-Site Habitat Baseline'!$D$1:$AA$258,13,FALSE)),"",(VLOOKUP($E192,'D-1 Off-Site Habitat Baseline'!$D$1:$AA$258,13,FALSE))))</f>
        <v/>
      </c>
      <c r="P192" s="184" t="str">
        <f>IFERROR(INDEX('G-1 All Habitats'!$AG$3:$AG$17,MATCH(Q192,'G-1 All Habitats'!$AF$3:$AF$17,0)),"")</f>
        <v/>
      </c>
      <c r="Q192" s="185" t="str">
        <f t="shared" si="25"/>
        <v/>
      </c>
      <c r="R192" s="186" t="str">
        <f t="shared" si="25"/>
        <v/>
      </c>
      <c r="S192" s="187" t="str">
        <f>IFERROR(INDEX('G-1 All Habitats'!$B$3:$B$134,MATCH(R192,'G-1 All Habitats'!$A$3:$A$134,0)),"")</f>
        <v/>
      </c>
      <c r="T192" s="370" t="str">
        <f t="shared" si="26"/>
        <v/>
      </c>
      <c r="U192" s="386" t="str">
        <f t="shared" si="27"/>
        <v/>
      </c>
      <c r="V192" s="385" t="str">
        <f t="shared" si="23"/>
        <v/>
      </c>
      <c r="W192" s="382" t="str">
        <f>IF(S192="","",VLOOKUP(S192,'G-1 All Habitats'!$B$2:$M$134,10,FALSE))</f>
        <v/>
      </c>
      <c r="X192" s="382" t="str">
        <f>IFERROR(VLOOKUP(W192,'G-1 All Habitats'!$V$3:$W$7,2,FALSE),"")</f>
        <v/>
      </c>
      <c r="Y192" s="165"/>
      <c r="Z192" s="386" t="str">
        <f>IFERROR(INDEX('G-8 Condition Look up'!$A$3:$H$135,MATCH(S192,'G-8 Condition Look up'!$A$3:$A$135,0),MATCH(Y192,'G-8 Condition Look up'!$A$3:$H$3,0)),"")</f>
        <v/>
      </c>
      <c r="AA192" s="114"/>
      <c r="AB192" s="401" t="str">
        <f>IF(AA192="","",IF(VLOOKUP(AA192,'G-3 Multipliers'!$L$3:$N$6,2,FALSE)=0,"Spatial Data Missing ⚠",VLOOKUP(AA192,'G-3 Multipliers'!$L$3:$N$6,2,FALSE)))</f>
        <v/>
      </c>
      <c r="AC192" s="386" t="str">
        <f>IF(AA192="","",IF(VLOOKUP(AA192,'G-3 Multipliers'!$L$3:$N$6,3,FALSE)=0,"Spatial Data Missing ⚠",VLOOKUP(AA192,'G-3 Multipliers'!$L$3:$N$6,3,FALSE)))</f>
        <v/>
      </c>
      <c r="AD192" s="398" t="str">
        <f t="shared" si="24"/>
        <v/>
      </c>
      <c r="AE192" s="165"/>
      <c r="AF192" s="165"/>
      <c r="AG192" s="382" t="str">
        <f t="shared" si="28"/>
        <v/>
      </c>
      <c r="AH192" s="404" t="str">
        <f t="shared" si="29"/>
        <v/>
      </c>
      <c r="AI192" s="387" t="str">
        <f>IF(AH192="Check Data ⚠","Check Data ⚠",IFERROR(VLOOKUP(AH192,'G-4 Temporal multipliers'!$A$4:$C$36,3,FALSE),""))</f>
        <v/>
      </c>
      <c r="AJ192" s="398" t="str">
        <f>IF(S192="","",VLOOKUP(S192,'G-3 Multipliers'!$A$2:$E$134,4,FALSE))</f>
        <v/>
      </c>
      <c r="AK192" s="382" t="str">
        <f t="shared" si="30"/>
        <v/>
      </c>
      <c r="AL192" s="382" t="str">
        <f t="shared" si="31"/>
        <v/>
      </c>
      <c r="AM192" s="386" t="str">
        <f>IFERROR(IF(F192="","",IF(AH192="Check Data ⚠","Check Data ⚠",VLOOKUP(AL192, 'G-3 Multipliers'!$P$2:$Q$6,2,FALSE))),"")</f>
        <v/>
      </c>
      <c r="AN192" s="516"/>
      <c r="AO192" s="417" t="str">
        <f>IF(AN192="","",IF(VLOOKUP(AN192,'G-3 Multipliers'!$S$3:$T$10,2,FALSE)=0,"Spatial Data Missing ⚠",VLOOKUP(AN192,'G-3 Multipliers'!$S$3:$T$10,2,FALSE)))</f>
        <v/>
      </c>
      <c r="AP192" s="376" t="str">
        <f t="shared" si="32"/>
        <v/>
      </c>
      <c r="AQ192" s="376" t="str">
        <f t="shared" si="33"/>
        <v/>
      </c>
      <c r="AR192" s="119"/>
      <c r="AS192" s="528"/>
      <c r="AT192" s="120"/>
      <c r="AU192" s="120"/>
    </row>
    <row r="193" spans="1:47">
      <c r="A193" s="30" t="str">
        <f>IF(E193="","",IF(ISNA(VLOOKUP($E193,'D-1 Off-Site Habitat Baseline'!$D$1:$O$258,2,FALSE)),"",(VLOOKUP($E193,'D-1 Off-Site Habitat Baseline'!$D$1:$O$258,2,FALSE))))</f>
        <v/>
      </c>
      <c r="B193" s="30" t="str">
        <f>IF(E193="","",IF(ISNA(VLOOKUP($E193,'D-1 Off-Site Habitat Baseline'!$D$1:$O$258,3,FALSE)),"",(VLOOKUP($E193,'D-1 Off-Site Habitat Baseline'!$D$1:$O$258,3,FALSE))))</f>
        <v/>
      </c>
      <c r="C193" s="30" t="str">
        <f>IFERROR(INDEX('G-8 Condition Look up'!$I$4:$I$135,MATCH(S193,'G-8 Condition Look up'!$A$4:$A$135,0)),"")</f>
        <v/>
      </c>
      <c r="E193" s="407" t="str">
        <f>'D-1 Off-Site Habitat Baseline'!AP192</f>
        <v/>
      </c>
      <c r="F193" s="382" t="str">
        <f>IF(E193="","",IF(ISNA(VLOOKUP($E193,'D-1 Off-Site Habitat Baseline'!$D$1:$O$258,4,FALSE)),"",(VLOOKUP($E193,'D-1 Off-Site Habitat Baseline'!$D$1:$O$258,4,FALSE))))</f>
        <v/>
      </c>
      <c r="G193" s="382" t="str">
        <f>IF(E193="","",IF(ISNA(VLOOKUP($E193,'D-1 Off-Site Habitat Baseline'!$D$1:$O$258,5,FALSE)),"",(VLOOKUP($E193,'D-1 Off-Site Habitat Baseline'!$D$1:$O$258,5,FALSE))))</f>
        <v/>
      </c>
      <c r="H193" s="382" t="str">
        <f>IF(E193="","",IF(ISNA(VLOOKUP($E193,'D-1 Off-Site Habitat Baseline'!$D$1:$O$258,6,FALSE)),"",(VLOOKUP($E193,'D-1 Off-Site Habitat Baseline'!$D$1:$O$258,6,FALSE))))</f>
        <v/>
      </c>
      <c r="I193" s="382" t="str">
        <f>IF(E193="","",IF(ISNA(VLOOKUP($E193,'D-1 Off-Site Habitat Baseline'!$D$1:$O$258,7,FALSE)),"",(VLOOKUP($E193,'D-1 Off-Site Habitat Baseline'!$D$1:$O$258,7,FALSE))))</f>
        <v/>
      </c>
      <c r="J193" s="382" t="str">
        <f>IF(E193="","",IF(ISNA(VLOOKUP($E193,'D-1 Off-Site Habitat Baseline'!$D$1:$O$258,8,FALSE)),"",(VLOOKUP($E193,'D-1 Off-Site Habitat Baseline'!$D$1:$O$258,8,FALSE))))</f>
        <v/>
      </c>
      <c r="K193" s="382" t="str">
        <f>IF(E193="","",IF(ISNA(VLOOKUP($E193,'D-1 Off-Site Habitat Baseline'!$D$1:$O$258,9,FALSE)),"",(VLOOKUP($E193,'D-1 Off-Site Habitat Baseline'!$D$1:$O$258,9,FALSE))))</f>
        <v/>
      </c>
      <c r="L193" s="382" t="str">
        <f>IF(E193="","",IF(ISNA(VLOOKUP($E193,'D-1 Off-Site Habitat Baseline'!$D$1:$O$258,11,FALSE)),"",(VLOOKUP($E193,'D-1 Off-Site Habitat Baseline'!$D$1:$O$258,11,FALSE))))</f>
        <v/>
      </c>
      <c r="M193" s="382" t="str">
        <f>IF(E193="","",IF(ISNA(VLOOKUP($E193,'D-1 Off-Site Habitat Baseline'!$D$1:$O$258,12,FALSE)),"",(VLOOKUP($E193,'D-1 Off-Site Habitat Baseline'!$D$1:$O$258,12,FALSE))))</f>
        <v/>
      </c>
      <c r="N193" s="382" t="str">
        <f>IF(E193="","",IF(ISNA(VLOOKUP($E193,'D-1 Off-Site Habitat Baseline'!$D$1:$AA$258,14,FALSE)),"",(VLOOKUP($E193,'D-1 Off-Site Habitat Baseline'!$D$1:$AA$258,14,FALSE))))</f>
        <v/>
      </c>
      <c r="O193" s="386" t="str">
        <f>IF(E193="","",IF(ISNA(VLOOKUP($E193,'D-1 Off-Site Habitat Baseline'!$D$1:$AA$258,13,FALSE)),"",(VLOOKUP($E193,'D-1 Off-Site Habitat Baseline'!$D$1:$AA$258,13,FALSE))))</f>
        <v/>
      </c>
      <c r="P193" s="184" t="str">
        <f>IFERROR(INDEX('G-1 All Habitats'!$AG$3:$AG$17,MATCH(Q193,'G-1 All Habitats'!$AF$3:$AF$17,0)),"")</f>
        <v/>
      </c>
      <c r="Q193" s="185" t="str">
        <f t="shared" si="25"/>
        <v/>
      </c>
      <c r="R193" s="186" t="str">
        <f t="shared" si="25"/>
        <v/>
      </c>
      <c r="S193" s="187" t="str">
        <f>IFERROR(INDEX('G-1 All Habitats'!$B$3:$B$134,MATCH(R193,'G-1 All Habitats'!$A$3:$A$134,0)),"")</f>
        <v/>
      </c>
      <c r="T193" s="370" t="str">
        <f t="shared" si="26"/>
        <v/>
      </c>
      <c r="U193" s="386" t="str">
        <f t="shared" si="27"/>
        <v/>
      </c>
      <c r="V193" s="385" t="str">
        <f t="shared" si="23"/>
        <v/>
      </c>
      <c r="W193" s="382" t="str">
        <f>IF(S193="","",VLOOKUP(S193,'G-1 All Habitats'!$B$2:$M$134,10,FALSE))</f>
        <v/>
      </c>
      <c r="X193" s="382" t="str">
        <f>IFERROR(VLOOKUP(W193,'G-1 All Habitats'!$V$3:$W$7,2,FALSE),"")</f>
        <v/>
      </c>
      <c r="Y193" s="165"/>
      <c r="Z193" s="386" t="str">
        <f>IFERROR(INDEX('G-8 Condition Look up'!$A$3:$H$135,MATCH(S193,'G-8 Condition Look up'!$A$3:$A$135,0),MATCH(Y193,'G-8 Condition Look up'!$A$3:$H$3,0)),"")</f>
        <v/>
      </c>
      <c r="AA193" s="114"/>
      <c r="AB193" s="401" t="str">
        <f>IF(AA193="","",IF(VLOOKUP(AA193,'G-3 Multipliers'!$L$3:$N$6,2,FALSE)=0,"Spatial Data Missing ⚠",VLOOKUP(AA193,'G-3 Multipliers'!$L$3:$N$6,2,FALSE)))</f>
        <v/>
      </c>
      <c r="AC193" s="386" t="str">
        <f>IF(AA193="","",IF(VLOOKUP(AA193,'G-3 Multipliers'!$L$3:$N$6,3,FALSE)=0,"Spatial Data Missing ⚠",VLOOKUP(AA193,'G-3 Multipliers'!$L$3:$N$6,3,FALSE)))</f>
        <v/>
      </c>
      <c r="AD193" s="398" t="str">
        <f t="shared" si="24"/>
        <v/>
      </c>
      <c r="AE193" s="165"/>
      <c r="AF193" s="165"/>
      <c r="AG193" s="382" t="str">
        <f t="shared" si="28"/>
        <v/>
      </c>
      <c r="AH193" s="404" t="str">
        <f t="shared" si="29"/>
        <v/>
      </c>
      <c r="AI193" s="387" t="str">
        <f>IF(AH193="Check Data ⚠","Check Data ⚠",IFERROR(VLOOKUP(AH193,'G-4 Temporal multipliers'!$A$4:$C$36,3,FALSE),""))</f>
        <v/>
      </c>
      <c r="AJ193" s="398" t="str">
        <f>IF(S193="","",VLOOKUP(S193,'G-3 Multipliers'!$A$2:$E$134,4,FALSE))</f>
        <v/>
      </c>
      <c r="AK193" s="382" t="str">
        <f t="shared" si="30"/>
        <v/>
      </c>
      <c r="AL193" s="382" t="str">
        <f t="shared" si="31"/>
        <v/>
      </c>
      <c r="AM193" s="386" t="str">
        <f>IFERROR(IF(F193="","",IF(AH193="Check Data ⚠","Check Data ⚠",VLOOKUP(AL193, 'G-3 Multipliers'!$P$2:$Q$6,2,FALSE))),"")</f>
        <v/>
      </c>
      <c r="AN193" s="516"/>
      <c r="AO193" s="417" t="str">
        <f>IF(AN193="","",IF(VLOOKUP(AN193,'G-3 Multipliers'!$S$3:$T$10,2,FALSE)=0,"Spatial Data Missing ⚠",VLOOKUP(AN193,'G-3 Multipliers'!$S$3:$T$10,2,FALSE)))</f>
        <v/>
      </c>
      <c r="AP193" s="376" t="str">
        <f t="shared" si="32"/>
        <v/>
      </c>
      <c r="AQ193" s="376" t="str">
        <f t="shared" si="33"/>
        <v/>
      </c>
      <c r="AR193" s="119"/>
      <c r="AS193" s="528"/>
      <c r="AT193" s="120"/>
      <c r="AU193" s="120"/>
    </row>
    <row r="194" spans="1:47">
      <c r="A194" s="30" t="str">
        <f>IF(E194="","",IF(ISNA(VLOOKUP($E194,'D-1 Off-Site Habitat Baseline'!$D$1:$O$258,2,FALSE)),"",(VLOOKUP($E194,'D-1 Off-Site Habitat Baseline'!$D$1:$O$258,2,FALSE))))</f>
        <v/>
      </c>
      <c r="B194" s="30" t="str">
        <f>IF(E194="","",IF(ISNA(VLOOKUP($E194,'D-1 Off-Site Habitat Baseline'!$D$1:$O$258,3,FALSE)),"",(VLOOKUP($E194,'D-1 Off-Site Habitat Baseline'!$D$1:$O$258,3,FALSE))))</f>
        <v/>
      </c>
      <c r="C194" s="30" t="str">
        <f>IFERROR(INDEX('G-8 Condition Look up'!$I$4:$I$135,MATCH(S194,'G-8 Condition Look up'!$A$4:$A$135,0)),"")</f>
        <v/>
      </c>
      <c r="E194" s="407" t="str">
        <f>'D-1 Off-Site Habitat Baseline'!AP193</f>
        <v/>
      </c>
      <c r="F194" s="382" t="str">
        <f>IF(E194="","",IF(ISNA(VLOOKUP($E194,'D-1 Off-Site Habitat Baseline'!$D$1:$O$258,4,FALSE)),"",(VLOOKUP($E194,'D-1 Off-Site Habitat Baseline'!$D$1:$O$258,4,FALSE))))</f>
        <v/>
      </c>
      <c r="G194" s="382" t="str">
        <f>IF(E194="","",IF(ISNA(VLOOKUP($E194,'D-1 Off-Site Habitat Baseline'!$D$1:$O$258,5,FALSE)),"",(VLOOKUP($E194,'D-1 Off-Site Habitat Baseline'!$D$1:$O$258,5,FALSE))))</f>
        <v/>
      </c>
      <c r="H194" s="382" t="str">
        <f>IF(E194="","",IF(ISNA(VLOOKUP($E194,'D-1 Off-Site Habitat Baseline'!$D$1:$O$258,6,FALSE)),"",(VLOOKUP($E194,'D-1 Off-Site Habitat Baseline'!$D$1:$O$258,6,FALSE))))</f>
        <v/>
      </c>
      <c r="I194" s="382" t="str">
        <f>IF(E194="","",IF(ISNA(VLOOKUP($E194,'D-1 Off-Site Habitat Baseline'!$D$1:$O$258,7,FALSE)),"",(VLOOKUP($E194,'D-1 Off-Site Habitat Baseline'!$D$1:$O$258,7,FALSE))))</f>
        <v/>
      </c>
      <c r="J194" s="382" t="str">
        <f>IF(E194="","",IF(ISNA(VLOOKUP($E194,'D-1 Off-Site Habitat Baseline'!$D$1:$O$258,8,FALSE)),"",(VLOOKUP($E194,'D-1 Off-Site Habitat Baseline'!$D$1:$O$258,8,FALSE))))</f>
        <v/>
      </c>
      <c r="K194" s="382" t="str">
        <f>IF(E194="","",IF(ISNA(VLOOKUP($E194,'D-1 Off-Site Habitat Baseline'!$D$1:$O$258,9,FALSE)),"",(VLOOKUP($E194,'D-1 Off-Site Habitat Baseline'!$D$1:$O$258,9,FALSE))))</f>
        <v/>
      </c>
      <c r="L194" s="382" t="str">
        <f>IF(E194="","",IF(ISNA(VLOOKUP($E194,'D-1 Off-Site Habitat Baseline'!$D$1:$O$258,11,FALSE)),"",(VLOOKUP($E194,'D-1 Off-Site Habitat Baseline'!$D$1:$O$258,11,FALSE))))</f>
        <v/>
      </c>
      <c r="M194" s="382" t="str">
        <f>IF(E194="","",IF(ISNA(VLOOKUP($E194,'D-1 Off-Site Habitat Baseline'!$D$1:$O$258,12,FALSE)),"",(VLOOKUP($E194,'D-1 Off-Site Habitat Baseline'!$D$1:$O$258,12,FALSE))))</f>
        <v/>
      </c>
      <c r="N194" s="382" t="str">
        <f>IF(E194="","",IF(ISNA(VLOOKUP($E194,'D-1 Off-Site Habitat Baseline'!$D$1:$AA$258,14,FALSE)),"",(VLOOKUP($E194,'D-1 Off-Site Habitat Baseline'!$D$1:$AA$258,14,FALSE))))</f>
        <v/>
      </c>
      <c r="O194" s="386" t="str">
        <f>IF(E194="","",IF(ISNA(VLOOKUP($E194,'D-1 Off-Site Habitat Baseline'!$D$1:$AA$258,13,FALSE)),"",(VLOOKUP($E194,'D-1 Off-Site Habitat Baseline'!$D$1:$AA$258,13,FALSE))))</f>
        <v/>
      </c>
      <c r="P194" s="184" t="str">
        <f>IFERROR(INDEX('G-1 All Habitats'!$AG$3:$AG$17,MATCH(Q194,'G-1 All Habitats'!$AF$3:$AF$17,0)),"")</f>
        <v/>
      </c>
      <c r="Q194" s="185" t="str">
        <f t="shared" si="25"/>
        <v/>
      </c>
      <c r="R194" s="186" t="str">
        <f t="shared" si="25"/>
        <v/>
      </c>
      <c r="S194" s="187" t="str">
        <f>IFERROR(INDEX('G-1 All Habitats'!$B$3:$B$134,MATCH(R194,'G-1 All Habitats'!$A$3:$A$134,0)),"")</f>
        <v/>
      </c>
      <c r="T194" s="370" t="str">
        <f t="shared" si="26"/>
        <v/>
      </c>
      <c r="U194" s="386" t="str">
        <f t="shared" si="27"/>
        <v/>
      </c>
      <c r="V194" s="385" t="str">
        <f t="shared" si="23"/>
        <v/>
      </c>
      <c r="W194" s="382" t="str">
        <f>IF(S194="","",VLOOKUP(S194,'G-1 All Habitats'!$B$2:$M$134,10,FALSE))</f>
        <v/>
      </c>
      <c r="X194" s="382" t="str">
        <f>IFERROR(VLOOKUP(W194,'G-1 All Habitats'!$V$3:$W$7,2,FALSE),"")</f>
        <v/>
      </c>
      <c r="Y194" s="165"/>
      <c r="Z194" s="386" t="str">
        <f>IFERROR(INDEX('G-8 Condition Look up'!$A$3:$H$135,MATCH(S194,'G-8 Condition Look up'!$A$3:$A$135,0),MATCH(Y194,'G-8 Condition Look up'!$A$3:$H$3,0)),"")</f>
        <v/>
      </c>
      <c r="AA194" s="114"/>
      <c r="AB194" s="401" t="str">
        <f>IF(AA194="","",IF(VLOOKUP(AA194,'G-3 Multipliers'!$L$3:$N$6,2,FALSE)=0,"Spatial Data Missing ⚠",VLOOKUP(AA194,'G-3 Multipliers'!$L$3:$N$6,2,FALSE)))</f>
        <v/>
      </c>
      <c r="AC194" s="386" t="str">
        <f>IF(AA194="","",IF(VLOOKUP(AA194,'G-3 Multipliers'!$L$3:$N$6,3,FALSE)=0,"Spatial Data Missing ⚠",VLOOKUP(AA194,'G-3 Multipliers'!$L$3:$N$6,3,FALSE)))</f>
        <v/>
      </c>
      <c r="AD194" s="398" t="str">
        <f t="shared" si="24"/>
        <v/>
      </c>
      <c r="AE194" s="165"/>
      <c r="AF194" s="165"/>
      <c r="AG194" s="382" t="str">
        <f t="shared" si="28"/>
        <v/>
      </c>
      <c r="AH194" s="404" t="str">
        <f t="shared" si="29"/>
        <v/>
      </c>
      <c r="AI194" s="387" t="str">
        <f>IF(AH194="Check Data ⚠","Check Data ⚠",IFERROR(VLOOKUP(AH194,'G-4 Temporal multipliers'!$A$4:$C$36,3,FALSE),""))</f>
        <v/>
      </c>
      <c r="AJ194" s="398" t="str">
        <f>IF(S194="","",VLOOKUP(S194,'G-3 Multipliers'!$A$2:$E$134,4,FALSE))</f>
        <v/>
      </c>
      <c r="AK194" s="382" t="str">
        <f t="shared" si="30"/>
        <v/>
      </c>
      <c r="AL194" s="382" t="str">
        <f t="shared" si="31"/>
        <v/>
      </c>
      <c r="AM194" s="386" t="str">
        <f>IFERROR(IF(F194="","",IF(AH194="Check Data ⚠","Check Data ⚠",VLOOKUP(AL194, 'G-3 Multipliers'!$P$2:$Q$6,2,FALSE))),"")</f>
        <v/>
      </c>
      <c r="AN194" s="516"/>
      <c r="AO194" s="417" t="str">
        <f>IF(AN194="","",IF(VLOOKUP(AN194,'G-3 Multipliers'!$S$3:$T$10,2,FALSE)=0,"Spatial Data Missing ⚠",VLOOKUP(AN194,'G-3 Multipliers'!$S$3:$T$10,2,FALSE)))</f>
        <v/>
      </c>
      <c r="AP194" s="376" t="str">
        <f t="shared" si="32"/>
        <v/>
      </c>
      <c r="AQ194" s="376" t="str">
        <f t="shared" si="33"/>
        <v/>
      </c>
      <c r="AR194" s="119"/>
      <c r="AS194" s="528"/>
      <c r="AT194" s="120"/>
      <c r="AU194" s="120"/>
    </row>
    <row r="195" spans="1:47">
      <c r="A195" s="30" t="str">
        <f>IF(E195="","",IF(ISNA(VLOOKUP($E195,'D-1 Off-Site Habitat Baseline'!$D$1:$O$258,2,FALSE)),"",(VLOOKUP($E195,'D-1 Off-Site Habitat Baseline'!$D$1:$O$258,2,FALSE))))</f>
        <v/>
      </c>
      <c r="B195" s="30" t="str">
        <f>IF(E195="","",IF(ISNA(VLOOKUP($E195,'D-1 Off-Site Habitat Baseline'!$D$1:$O$258,3,FALSE)),"",(VLOOKUP($E195,'D-1 Off-Site Habitat Baseline'!$D$1:$O$258,3,FALSE))))</f>
        <v/>
      </c>
      <c r="C195" s="30" t="str">
        <f>IFERROR(INDEX('G-8 Condition Look up'!$I$4:$I$135,MATCH(S195,'G-8 Condition Look up'!$A$4:$A$135,0)),"")</f>
        <v/>
      </c>
      <c r="E195" s="407" t="str">
        <f>'D-1 Off-Site Habitat Baseline'!AP194</f>
        <v/>
      </c>
      <c r="F195" s="382" t="str">
        <f>IF(E195="","",IF(ISNA(VLOOKUP($E195,'D-1 Off-Site Habitat Baseline'!$D$1:$O$258,4,FALSE)),"",(VLOOKUP($E195,'D-1 Off-Site Habitat Baseline'!$D$1:$O$258,4,FALSE))))</f>
        <v/>
      </c>
      <c r="G195" s="382" t="str">
        <f>IF(E195="","",IF(ISNA(VLOOKUP($E195,'D-1 Off-Site Habitat Baseline'!$D$1:$O$258,5,FALSE)),"",(VLOOKUP($E195,'D-1 Off-Site Habitat Baseline'!$D$1:$O$258,5,FALSE))))</f>
        <v/>
      </c>
      <c r="H195" s="382" t="str">
        <f>IF(E195="","",IF(ISNA(VLOOKUP($E195,'D-1 Off-Site Habitat Baseline'!$D$1:$O$258,6,FALSE)),"",(VLOOKUP($E195,'D-1 Off-Site Habitat Baseline'!$D$1:$O$258,6,FALSE))))</f>
        <v/>
      </c>
      <c r="I195" s="382" t="str">
        <f>IF(E195="","",IF(ISNA(VLOOKUP($E195,'D-1 Off-Site Habitat Baseline'!$D$1:$O$258,7,FALSE)),"",(VLOOKUP($E195,'D-1 Off-Site Habitat Baseline'!$D$1:$O$258,7,FALSE))))</f>
        <v/>
      </c>
      <c r="J195" s="382" t="str">
        <f>IF(E195="","",IF(ISNA(VLOOKUP($E195,'D-1 Off-Site Habitat Baseline'!$D$1:$O$258,8,FALSE)),"",(VLOOKUP($E195,'D-1 Off-Site Habitat Baseline'!$D$1:$O$258,8,FALSE))))</f>
        <v/>
      </c>
      <c r="K195" s="382" t="str">
        <f>IF(E195="","",IF(ISNA(VLOOKUP($E195,'D-1 Off-Site Habitat Baseline'!$D$1:$O$258,9,FALSE)),"",(VLOOKUP($E195,'D-1 Off-Site Habitat Baseline'!$D$1:$O$258,9,FALSE))))</f>
        <v/>
      </c>
      <c r="L195" s="382" t="str">
        <f>IF(E195="","",IF(ISNA(VLOOKUP($E195,'D-1 Off-Site Habitat Baseline'!$D$1:$O$258,11,FALSE)),"",(VLOOKUP($E195,'D-1 Off-Site Habitat Baseline'!$D$1:$O$258,11,FALSE))))</f>
        <v/>
      </c>
      <c r="M195" s="382" t="str">
        <f>IF(E195="","",IF(ISNA(VLOOKUP($E195,'D-1 Off-Site Habitat Baseline'!$D$1:$O$258,12,FALSE)),"",(VLOOKUP($E195,'D-1 Off-Site Habitat Baseline'!$D$1:$O$258,12,FALSE))))</f>
        <v/>
      </c>
      <c r="N195" s="382" t="str">
        <f>IF(E195="","",IF(ISNA(VLOOKUP($E195,'D-1 Off-Site Habitat Baseline'!$D$1:$AA$258,14,FALSE)),"",(VLOOKUP($E195,'D-1 Off-Site Habitat Baseline'!$D$1:$AA$258,14,FALSE))))</f>
        <v/>
      </c>
      <c r="O195" s="386" t="str">
        <f>IF(E195="","",IF(ISNA(VLOOKUP($E195,'D-1 Off-Site Habitat Baseline'!$D$1:$AA$258,13,FALSE)),"",(VLOOKUP($E195,'D-1 Off-Site Habitat Baseline'!$D$1:$AA$258,13,FALSE))))</f>
        <v/>
      </c>
      <c r="P195" s="184" t="str">
        <f>IFERROR(INDEX('G-1 All Habitats'!$AG$3:$AG$17,MATCH(Q195,'G-1 All Habitats'!$AF$3:$AF$17,0)),"")</f>
        <v/>
      </c>
      <c r="Q195" s="185" t="str">
        <f t="shared" si="25"/>
        <v/>
      </c>
      <c r="R195" s="186" t="str">
        <f t="shared" si="25"/>
        <v/>
      </c>
      <c r="S195" s="187" t="str">
        <f>IFERROR(INDEX('G-1 All Habitats'!$B$3:$B$134,MATCH(R195,'G-1 All Habitats'!$A$3:$A$134,0)),"")</f>
        <v/>
      </c>
      <c r="T195" s="370" t="str">
        <f t="shared" si="26"/>
        <v/>
      </c>
      <c r="U195" s="386" t="str">
        <f t="shared" si="27"/>
        <v/>
      </c>
      <c r="V195" s="385" t="str">
        <f t="shared" si="23"/>
        <v/>
      </c>
      <c r="W195" s="382" t="str">
        <f>IF(S195="","",VLOOKUP(S195,'G-1 All Habitats'!$B$2:$M$134,10,FALSE))</f>
        <v/>
      </c>
      <c r="X195" s="382" t="str">
        <f>IFERROR(VLOOKUP(W195,'G-1 All Habitats'!$V$3:$W$7,2,FALSE),"")</f>
        <v/>
      </c>
      <c r="Y195" s="165"/>
      <c r="Z195" s="386" t="str">
        <f>IFERROR(INDEX('G-8 Condition Look up'!$A$3:$H$135,MATCH(S195,'G-8 Condition Look up'!$A$3:$A$135,0),MATCH(Y195,'G-8 Condition Look up'!$A$3:$H$3,0)),"")</f>
        <v/>
      </c>
      <c r="AA195" s="114"/>
      <c r="AB195" s="401" t="str">
        <f>IF(AA195="","",IF(VLOOKUP(AA195,'G-3 Multipliers'!$L$3:$N$6,2,FALSE)=0,"Spatial Data Missing ⚠",VLOOKUP(AA195,'G-3 Multipliers'!$L$3:$N$6,2,FALSE)))</f>
        <v/>
      </c>
      <c r="AC195" s="386" t="str">
        <f>IF(AA195="","",IF(VLOOKUP(AA195,'G-3 Multipliers'!$L$3:$N$6,3,FALSE)=0,"Spatial Data Missing ⚠",VLOOKUP(AA195,'G-3 Multipliers'!$L$3:$N$6,3,FALSE)))</f>
        <v/>
      </c>
      <c r="AD195" s="398" t="str">
        <f t="shared" si="24"/>
        <v/>
      </c>
      <c r="AE195" s="165"/>
      <c r="AF195" s="165"/>
      <c r="AG195" s="382" t="str">
        <f t="shared" si="28"/>
        <v/>
      </c>
      <c r="AH195" s="404" t="str">
        <f t="shared" si="29"/>
        <v/>
      </c>
      <c r="AI195" s="387" t="str">
        <f>IF(AH195="Check Data ⚠","Check Data ⚠",IFERROR(VLOOKUP(AH195,'G-4 Temporal multipliers'!$A$4:$C$36,3,FALSE),""))</f>
        <v/>
      </c>
      <c r="AJ195" s="398" t="str">
        <f>IF(S195="","",VLOOKUP(S195,'G-3 Multipliers'!$A$2:$E$134,4,FALSE))</f>
        <v/>
      </c>
      <c r="AK195" s="382" t="str">
        <f t="shared" si="30"/>
        <v/>
      </c>
      <c r="AL195" s="382" t="str">
        <f t="shared" si="31"/>
        <v/>
      </c>
      <c r="AM195" s="386" t="str">
        <f>IFERROR(IF(F195="","",IF(AH195="Check Data ⚠","Check Data ⚠",VLOOKUP(AL195, 'G-3 Multipliers'!$P$2:$Q$6,2,FALSE))),"")</f>
        <v/>
      </c>
      <c r="AN195" s="516"/>
      <c r="AO195" s="417" t="str">
        <f>IF(AN195="","",IF(VLOOKUP(AN195,'G-3 Multipliers'!$S$3:$T$10,2,FALSE)=0,"Spatial Data Missing ⚠",VLOOKUP(AN195,'G-3 Multipliers'!$S$3:$T$10,2,FALSE)))</f>
        <v/>
      </c>
      <c r="AP195" s="376" t="str">
        <f t="shared" si="32"/>
        <v/>
      </c>
      <c r="AQ195" s="376" t="str">
        <f t="shared" si="33"/>
        <v/>
      </c>
      <c r="AR195" s="119"/>
      <c r="AS195" s="528"/>
      <c r="AT195" s="120"/>
      <c r="AU195" s="120"/>
    </row>
    <row r="196" spans="1:47">
      <c r="A196" s="30" t="str">
        <f>IF(E196="","",IF(ISNA(VLOOKUP($E196,'D-1 Off-Site Habitat Baseline'!$D$1:$O$258,2,FALSE)),"",(VLOOKUP($E196,'D-1 Off-Site Habitat Baseline'!$D$1:$O$258,2,FALSE))))</f>
        <v/>
      </c>
      <c r="B196" s="30" t="str">
        <f>IF(E196="","",IF(ISNA(VLOOKUP($E196,'D-1 Off-Site Habitat Baseline'!$D$1:$O$258,3,FALSE)),"",(VLOOKUP($E196,'D-1 Off-Site Habitat Baseline'!$D$1:$O$258,3,FALSE))))</f>
        <v/>
      </c>
      <c r="C196" s="30" t="str">
        <f>IFERROR(INDEX('G-8 Condition Look up'!$I$4:$I$135,MATCH(S196,'G-8 Condition Look up'!$A$4:$A$135,0)),"")</f>
        <v/>
      </c>
      <c r="E196" s="407" t="str">
        <f>'D-1 Off-Site Habitat Baseline'!AP195</f>
        <v/>
      </c>
      <c r="F196" s="382" t="str">
        <f>IF(E196="","",IF(ISNA(VLOOKUP($E196,'D-1 Off-Site Habitat Baseline'!$D$1:$O$258,4,FALSE)),"",(VLOOKUP($E196,'D-1 Off-Site Habitat Baseline'!$D$1:$O$258,4,FALSE))))</f>
        <v/>
      </c>
      <c r="G196" s="382" t="str">
        <f>IF(E196="","",IF(ISNA(VLOOKUP($E196,'D-1 Off-Site Habitat Baseline'!$D$1:$O$258,5,FALSE)),"",(VLOOKUP($E196,'D-1 Off-Site Habitat Baseline'!$D$1:$O$258,5,FALSE))))</f>
        <v/>
      </c>
      <c r="H196" s="382" t="str">
        <f>IF(E196="","",IF(ISNA(VLOOKUP($E196,'D-1 Off-Site Habitat Baseline'!$D$1:$O$258,6,FALSE)),"",(VLOOKUP($E196,'D-1 Off-Site Habitat Baseline'!$D$1:$O$258,6,FALSE))))</f>
        <v/>
      </c>
      <c r="I196" s="382" t="str">
        <f>IF(E196="","",IF(ISNA(VLOOKUP($E196,'D-1 Off-Site Habitat Baseline'!$D$1:$O$258,7,FALSE)),"",(VLOOKUP($E196,'D-1 Off-Site Habitat Baseline'!$D$1:$O$258,7,FALSE))))</f>
        <v/>
      </c>
      <c r="J196" s="382" t="str">
        <f>IF(E196="","",IF(ISNA(VLOOKUP($E196,'D-1 Off-Site Habitat Baseline'!$D$1:$O$258,8,FALSE)),"",(VLOOKUP($E196,'D-1 Off-Site Habitat Baseline'!$D$1:$O$258,8,FALSE))))</f>
        <v/>
      </c>
      <c r="K196" s="382" t="str">
        <f>IF(E196="","",IF(ISNA(VLOOKUP($E196,'D-1 Off-Site Habitat Baseline'!$D$1:$O$258,9,FALSE)),"",(VLOOKUP($E196,'D-1 Off-Site Habitat Baseline'!$D$1:$O$258,9,FALSE))))</f>
        <v/>
      </c>
      <c r="L196" s="382" t="str">
        <f>IF(E196="","",IF(ISNA(VLOOKUP($E196,'D-1 Off-Site Habitat Baseline'!$D$1:$O$258,11,FALSE)),"",(VLOOKUP($E196,'D-1 Off-Site Habitat Baseline'!$D$1:$O$258,11,FALSE))))</f>
        <v/>
      </c>
      <c r="M196" s="382" t="str">
        <f>IF(E196="","",IF(ISNA(VLOOKUP($E196,'D-1 Off-Site Habitat Baseline'!$D$1:$O$258,12,FALSE)),"",(VLOOKUP($E196,'D-1 Off-Site Habitat Baseline'!$D$1:$O$258,12,FALSE))))</f>
        <v/>
      </c>
      <c r="N196" s="382" t="str">
        <f>IF(E196="","",IF(ISNA(VLOOKUP($E196,'D-1 Off-Site Habitat Baseline'!$D$1:$AA$258,14,FALSE)),"",(VLOOKUP($E196,'D-1 Off-Site Habitat Baseline'!$D$1:$AA$258,14,FALSE))))</f>
        <v/>
      </c>
      <c r="O196" s="386" t="str">
        <f>IF(E196="","",IF(ISNA(VLOOKUP($E196,'D-1 Off-Site Habitat Baseline'!$D$1:$AA$258,13,FALSE)),"",(VLOOKUP($E196,'D-1 Off-Site Habitat Baseline'!$D$1:$AA$258,13,FALSE))))</f>
        <v/>
      </c>
      <c r="P196" s="184" t="str">
        <f>IFERROR(INDEX('G-1 All Habitats'!$AG$3:$AG$17,MATCH(Q196,'G-1 All Habitats'!$AF$3:$AF$17,0)),"")</f>
        <v/>
      </c>
      <c r="Q196" s="185" t="str">
        <f t="shared" si="25"/>
        <v/>
      </c>
      <c r="R196" s="186" t="str">
        <f t="shared" si="25"/>
        <v/>
      </c>
      <c r="S196" s="187" t="str">
        <f>IFERROR(INDEX('G-1 All Habitats'!$B$3:$B$134,MATCH(R196,'G-1 All Habitats'!$A$3:$A$134,0)),"")</f>
        <v/>
      </c>
      <c r="T196" s="370" t="str">
        <f t="shared" si="26"/>
        <v/>
      </c>
      <c r="U196" s="386" t="str">
        <f t="shared" si="27"/>
        <v/>
      </c>
      <c r="V196" s="385" t="str">
        <f t="shared" si="23"/>
        <v/>
      </c>
      <c r="W196" s="382" t="str">
        <f>IF(S196="","",VLOOKUP(S196,'G-1 All Habitats'!$B$2:$M$134,10,FALSE))</f>
        <v/>
      </c>
      <c r="X196" s="382" t="str">
        <f>IFERROR(VLOOKUP(W196,'G-1 All Habitats'!$V$3:$W$7,2,FALSE),"")</f>
        <v/>
      </c>
      <c r="Y196" s="165"/>
      <c r="Z196" s="386" t="str">
        <f>IFERROR(INDEX('G-8 Condition Look up'!$A$3:$H$135,MATCH(S196,'G-8 Condition Look up'!$A$3:$A$135,0),MATCH(Y196,'G-8 Condition Look up'!$A$3:$H$3,0)),"")</f>
        <v/>
      </c>
      <c r="AA196" s="114"/>
      <c r="AB196" s="401" t="str">
        <f>IF(AA196="","",IF(VLOOKUP(AA196,'G-3 Multipliers'!$L$3:$N$6,2,FALSE)=0,"Spatial Data Missing ⚠",VLOOKUP(AA196,'G-3 Multipliers'!$L$3:$N$6,2,FALSE)))</f>
        <v/>
      </c>
      <c r="AC196" s="386" t="str">
        <f>IF(AA196="","",IF(VLOOKUP(AA196,'G-3 Multipliers'!$L$3:$N$6,3,FALSE)=0,"Spatial Data Missing ⚠",VLOOKUP(AA196,'G-3 Multipliers'!$L$3:$N$6,3,FALSE)))</f>
        <v/>
      </c>
      <c r="AD196" s="398" t="str">
        <f t="shared" si="24"/>
        <v/>
      </c>
      <c r="AE196" s="165"/>
      <c r="AF196" s="165"/>
      <c r="AG196" s="382" t="str">
        <f t="shared" si="28"/>
        <v/>
      </c>
      <c r="AH196" s="404" t="str">
        <f t="shared" si="29"/>
        <v/>
      </c>
      <c r="AI196" s="387" t="str">
        <f>IF(AH196="Check Data ⚠","Check Data ⚠",IFERROR(VLOOKUP(AH196,'G-4 Temporal multipliers'!$A$4:$C$36,3,FALSE),""))</f>
        <v/>
      </c>
      <c r="AJ196" s="398" t="str">
        <f>IF(S196="","",VLOOKUP(S196,'G-3 Multipliers'!$A$2:$E$134,4,FALSE))</f>
        <v/>
      </c>
      <c r="AK196" s="382" t="str">
        <f t="shared" si="30"/>
        <v/>
      </c>
      <c r="AL196" s="382" t="str">
        <f t="shared" si="31"/>
        <v/>
      </c>
      <c r="AM196" s="386" t="str">
        <f>IFERROR(IF(F196="","",IF(AH196="Check Data ⚠","Check Data ⚠",VLOOKUP(AL196, 'G-3 Multipliers'!$P$2:$Q$6,2,FALSE))),"")</f>
        <v/>
      </c>
      <c r="AN196" s="516"/>
      <c r="AO196" s="417" t="str">
        <f>IF(AN196="","",IF(VLOOKUP(AN196,'G-3 Multipliers'!$S$3:$T$10,2,FALSE)=0,"Spatial Data Missing ⚠",VLOOKUP(AN196,'G-3 Multipliers'!$S$3:$T$10,2,FALSE)))</f>
        <v/>
      </c>
      <c r="AP196" s="376" t="str">
        <f t="shared" si="32"/>
        <v/>
      </c>
      <c r="AQ196" s="376" t="str">
        <f t="shared" si="33"/>
        <v/>
      </c>
      <c r="AR196" s="119"/>
      <c r="AS196" s="528"/>
      <c r="AT196" s="120"/>
      <c r="AU196" s="120"/>
    </row>
    <row r="197" spans="1:47">
      <c r="A197" s="30" t="str">
        <f>IF(E197="","",IF(ISNA(VLOOKUP($E197,'D-1 Off-Site Habitat Baseline'!$D$1:$O$258,2,FALSE)),"",(VLOOKUP($E197,'D-1 Off-Site Habitat Baseline'!$D$1:$O$258,2,FALSE))))</f>
        <v/>
      </c>
      <c r="B197" s="30" t="str">
        <f>IF(E197="","",IF(ISNA(VLOOKUP($E197,'D-1 Off-Site Habitat Baseline'!$D$1:$O$258,3,FALSE)),"",(VLOOKUP($E197,'D-1 Off-Site Habitat Baseline'!$D$1:$O$258,3,FALSE))))</f>
        <v/>
      </c>
      <c r="C197" s="30" t="str">
        <f>IFERROR(INDEX('G-8 Condition Look up'!$I$4:$I$135,MATCH(S197,'G-8 Condition Look up'!$A$4:$A$135,0)),"")</f>
        <v/>
      </c>
      <c r="E197" s="407" t="str">
        <f>'D-1 Off-Site Habitat Baseline'!AP196</f>
        <v/>
      </c>
      <c r="F197" s="382" t="str">
        <f>IF(E197="","",IF(ISNA(VLOOKUP($E197,'D-1 Off-Site Habitat Baseline'!$D$1:$O$258,4,FALSE)),"",(VLOOKUP($E197,'D-1 Off-Site Habitat Baseline'!$D$1:$O$258,4,FALSE))))</f>
        <v/>
      </c>
      <c r="G197" s="382" t="str">
        <f>IF(E197="","",IF(ISNA(VLOOKUP($E197,'D-1 Off-Site Habitat Baseline'!$D$1:$O$258,5,FALSE)),"",(VLOOKUP($E197,'D-1 Off-Site Habitat Baseline'!$D$1:$O$258,5,FALSE))))</f>
        <v/>
      </c>
      <c r="H197" s="382" t="str">
        <f>IF(E197="","",IF(ISNA(VLOOKUP($E197,'D-1 Off-Site Habitat Baseline'!$D$1:$O$258,6,FALSE)),"",(VLOOKUP($E197,'D-1 Off-Site Habitat Baseline'!$D$1:$O$258,6,FALSE))))</f>
        <v/>
      </c>
      <c r="I197" s="382" t="str">
        <f>IF(E197="","",IF(ISNA(VLOOKUP($E197,'D-1 Off-Site Habitat Baseline'!$D$1:$O$258,7,FALSE)),"",(VLOOKUP($E197,'D-1 Off-Site Habitat Baseline'!$D$1:$O$258,7,FALSE))))</f>
        <v/>
      </c>
      <c r="J197" s="382" t="str">
        <f>IF(E197="","",IF(ISNA(VLOOKUP($E197,'D-1 Off-Site Habitat Baseline'!$D$1:$O$258,8,FALSE)),"",(VLOOKUP($E197,'D-1 Off-Site Habitat Baseline'!$D$1:$O$258,8,FALSE))))</f>
        <v/>
      </c>
      <c r="K197" s="382" t="str">
        <f>IF(E197="","",IF(ISNA(VLOOKUP($E197,'D-1 Off-Site Habitat Baseline'!$D$1:$O$258,9,FALSE)),"",(VLOOKUP($E197,'D-1 Off-Site Habitat Baseline'!$D$1:$O$258,9,FALSE))))</f>
        <v/>
      </c>
      <c r="L197" s="382" t="str">
        <f>IF(E197="","",IF(ISNA(VLOOKUP($E197,'D-1 Off-Site Habitat Baseline'!$D$1:$O$258,11,FALSE)),"",(VLOOKUP($E197,'D-1 Off-Site Habitat Baseline'!$D$1:$O$258,11,FALSE))))</f>
        <v/>
      </c>
      <c r="M197" s="382" t="str">
        <f>IF(E197="","",IF(ISNA(VLOOKUP($E197,'D-1 Off-Site Habitat Baseline'!$D$1:$O$258,12,FALSE)),"",(VLOOKUP($E197,'D-1 Off-Site Habitat Baseline'!$D$1:$O$258,12,FALSE))))</f>
        <v/>
      </c>
      <c r="N197" s="382" t="str">
        <f>IF(E197="","",IF(ISNA(VLOOKUP($E197,'D-1 Off-Site Habitat Baseline'!$D$1:$AA$258,14,FALSE)),"",(VLOOKUP($E197,'D-1 Off-Site Habitat Baseline'!$D$1:$AA$258,14,FALSE))))</f>
        <v/>
      </c>
      <c r="O197" s="386" t="str">
        <f>IF(E197="","",IF(ISNA(VLOOKUP($E197,'D-1 Off-Site Habitat Baseline'!$D$1:$AA$258,13,FALSE)),"",(VLOOKUP($E197,'D-1 Off-Site Habitat Baseline'!$D$1:$AA$258,13,FALSE))))</f>
        <v/>
      </c>
      <c r="P197" s="184" t="str">
        <f>IFERROR(INDEX('G-1 All Habitats'!$AG$3:$AG$17,MATCH(Q197,'G-1 All Habitats'!$AF$3:$AF$17,0)),"")</f>
        <v/>
      </c>
      <c r="Q197" s="185" t="str">
        <f t="shared" si="25"/>
        <v/>
      </c>
      <c r="R197" s="186" t="str">
        <f t="shared" si="25"/>
        <v/>
      </c>
      <c r="S197" s="187" t="str">
        <f>IFERROR(INDEX('G-1 All Habitats'!$B$3:$B$134,MATCH(R197,'G-1 All Habitats'!$A$3:$A$134,0)),"")</f>
        <v/>
      </c>
      <c r="T197" s="370" t="str">
        <f t="shared" si="26"/>
        <v/>
      </c>
      <c r="U197" s="386" t="str">
        <f t="shared" si="27"/>
        <v/>
      </c>
      <c r="V197" s="385" t="str">
        <f t="shared" si="23"/>
        <v/>
      </c>
      <c r="W197" s="382" t="str">
        <f>IF(S197="","",VLOOKUP(S197,'G-1 All Habitats'!$B$2:$M$134,10,FALSE))</f>
        <v/>
      </c>
      <c r="X197" s="382" t="str">
        <f>IFERROR(VLOOKUP(W197,'G-1 All Habitats'!$V$3:$W$7,2,FALSE),"")</f>
        <v/>
      </c>
      <c r="Y197" s="165"/>
      <c r="Z197" s="386" t="str">
        <f>IFERROR(INDEX('G-8 Condition Look up'!$A$3:$H$135,MATCH(S197,'G-8 Condition Look up'!$A$3:$A$135,0),MATCH(Y197,'G-8 Condition Look up'!$A$3:$H$3,0)),"")</f>
        <v/>
      </c>
      <c r="AA197" s="114"/>
      <c r="AB197" s="401" t="str">
        <f>IF(AA197="","",IF(VLOOKUP(AA197,'G-3 Multipliers'!$L$3:$N$6,2,FALSE)=0,"Spatial Data Missing ⚠",VLOOKUP(AA197,'G-3 Multipliers'!$L$3:$N$6,2,FALSE)))</f>
        <v/>
      </c>
      <c r="AC197" s="386" t="str">
        <f>IF(AA197="","",IF(VLOOKUP(AA197,'G-3 Multipliers'!$L$3:$N$6,3,FALSE)=0,"Spatial Data Missing ⚠",VLOOKUP(AA197,'G-3 Multipliers'!$L$3:$N$6,3,FALSE)))</f>
        <v/>
      </c>
      <c r="AD197" s="398" t="str">
        <f t="shared" si="24"/>
        <v/>
      </c>
      <c r="AE197" s="165"/>
      <c r="AF197" s="165"/>
      <c r="AG197" s="382" t="str">
        <f t="shared" si="28"/>
        <v/>
      </c>
      <c r="AH197" s="404" t="str">
        <f t="shared" si="29"/>
        <v/>
      </c>
      <c r="AI197" s="387" t="str">
        <f>IF(AH197="Check Data ⚠","Check Data ⚠",IFERROR(VLOOKUP(AH197,'G-4 Temporal multipliers'!$A$4:$C$36,3,FALSE),""))</f>
        <v/>
      </c>
      <c r="AJ197" s="398" t="str">
        <f>IF(S197="","",VLOOKUP(S197,'G-3 Multipliers'!$A$2:$E$134,4,FALSE))</f>
        <v/>
      </c>
      <c r="AK197" s="382" t="str">
        <f t="shared" si="30"/>
        <v/>
      </c>
      <c r="AL197" s="382" t="str">
        <f t="shared" si="31"/>
        <v/>
      </c>
      <c r="AM197" s="386" t="str">
        <f>IFERROR(IF(F197="","",IF(AH197="Check Data ⚠","Check Data ⚠",VLOOKUP(AL197, 'G-3 Multipliers'!$P$2:$Q$6,2,FALSE))),"")</f>
        <v/>
      </c>
      <c r="AN197" s="516"/>
      <c r="AO197" s="417" t="str">
        <f>IF(AN197="","",IF(VLOOKUP(AN197,'G-3 Multipliers'!$S$3:$T$10,2,FALSE)=0,"Spatial Data Missing ⚠",VLOOKUP(AN197,'G-3 Multipliers'!$S$3:$T$10,2,FALSE)))</f>
        <v/>
      </c>
      <c r="AP197" s="376" t="str">
        <f t="shared" si="32"/>
        <v/>
      </c>
      <c r="AQ197" s="376" t="str">
        <f t="shared" si="33"/>
        <v/>
      </c>
      <c r="AR197" s="119"/>
      <c r="AS197" s="528"/>
      <c r="AT197" s="120"/>
      <c r="AU197" s="120"/>
    </row>
    <row r="198" spans="1:47">
      <c r="A198" s="30" t="str">
        <f>IF(E198="","",IF(ISNA(VLOOKUP($E198,'D-1 Off-Site Habitat Baseline'!$D$1:$O$258,2,FALSE)),"",(VLOOKUP($E198,'D-1 Off-Site Habitat Baseline'!$D$1:$O$258,2,FALSE))))</f>
        <v/>
      </c>
      <c r="B198" s="30" t="str">
        <f>IF(E198="","",IF(ISNA(VLOOKUP($E198,'D-1 Off-Site Habitat Baseline'!$D$1:$O$258,3,FALSE)),"",(VLOOKUP($E198,'D-1 Off-Site Habitat Baseline'!$D$1:$O$258,3,FALSE))))</f>
        <v/>
      </c>
      <c r="C198" s="30" t="str">
        <f>IFERROR(INDEX('G-8 Condition Look up'!$I$4:$I$135,MATCH(S198,'G-8 Condition Look up'!$A$4:$A$135,0)),"")</f>
        <v/>
      </c>
      <c r="E198" s="407" t="str">
        <f>'D-1 Off-Site Habitat Baseline'!AP197</f>
        <v/>
      </c>
      <c r="F198" s="382" t="str">
        <f>IF(E198="","",IF(ISNA(VLOOKUP($E198,'D-1 Off-Site Habitat Baseline'!$D$1:$O$258,4,FALSE)),"",(VLOOKUP($E198,'D-1 Off-Site Habitat Baseline'!$D$1:$O$258,4,FALSE))))</f>
        <v/>
      </c>
      <c r="G198" s="382" t="str">
        <f>IF(E198="","",IF(ISNA(VLOOKUP($E198,'D-1 Off-Site Habitat Baseline'!$D$1:$O$258,5,FALSE)),"",(VLOOKUP($E198,'D-1 Off-Site Habitat Baseline'!$D$1:$O$258,5,FALSE))))</f>
        <v/>
      </c>
      <c r="H198" s="382" t="str">
        <f>IF(E198="","",IF(ISNA(VLOOKUP($E198,'D-1 Off-Site Habitat Baseline'!$D$1:$O$258,6,FALSE)),"",(VLOOKUP($E198,'D-1 Off-Site Habitat Baseline'!$D$1:$O$258,6,FALSE))))</f>
        <v/>
      </c>
      <c r="I198" s="382" t="str">
        <f>IF(E198="","",IF(ISNA(VLOOKUP($E198,'D-1 Off-Site Habitat Baseline'!$D$1:$O$258,7,FALSE)),"",(VLOOKUP($E198,'D-1 Off-Site Habitat Baseline'!$D$1:$O$258,7,FALSE))))</f>
        <v/>
      </c>
      <c r="J198" s="382" t="str">
        <f>IF(E198="","",IF(ISNA(VLOOKUP($E198,'D-1 Off-Site Habitat Baseline'!$D$1:$O$258,8,FALSE)),"",(VLOOKUP($E198,'D-1 Off-Site Habitat Baseline'!$D$1:$O$258,8,FALSE))))</f>
        <v/>
      </c>
      <c r="K198" s="382" t="str">
        <f>IF(E198="","",IF(ISNA(VLOOKUP($E198,'D-1 Off-Site Habitat Baseline'!$D$1:$O$258,9,FALSE)),"",(VLOOKUP($E198,'D-1 Off-Site Habitat Baseline'!$D$1:$O$258,9,FALSE))))</f>
        <v/>
      </c>
      <c r="L198" s="382" t="str">
        <f>IF(E198="","",IF(ISNA(VLOOKUP($E198,'D-1 Off-Site Habitat Baseline'!$D$1:$O$258,11,FALSE)),"",(VLOOKUP($E198,'D-1 Off-Site Habitat Baseline'!$D$1:$O$258,11,FALSE))))</f>
        <v/>
      </c>
      <c r="M198" s="382" t="str">
        <f>IF(E198="","",IF(ISNA(VLOOKUP($E198,'D-1 Off-Site Habitat Baseline'!$D$1:$O$258,12,FALSE)),"",(VLOOKUP($E198,'D-1 Off-Site Habitat Baseline'!$D$1:$O$258,12,FALSE))))</f>
        <v/>
      </c>
      <c r="N198" s="382" t="str">
        <f>IF(E198="","",IF(ISNA(VLOOKUP($E198,'D-1 Off-Site Habitat Baseline'!$D$1:$AA$258,14,FALSE)),"",(VLOOKUP($E198,'D-1 Off-Site Habitat Baseline'!$D$1:$AA$258,14,FALSE))))</f>
        <v/>
      </c>
      <c r="O198" s="386" t="str">
        <f>IF(E198="","",IF(ISNA(VLOOKUP($E198,'D-1 Off-Site Habitat Baseline'!$D$1:$AA$258,13,FALSE)),"",(VLOOKUP($E198,'D-1 Off-Site Habitat Baseline'!$D$1:$AA$258,13,FALSE))))</f>
        <v/>
      </c>
      <c r="P198" s="184" t="str">
        <f>IFERROR(INDEX('G-1 All Habitats'!$AG$3:$AG$17,MATCH(Q198,'G-1 All Habitats'!$AF$3:$AF$17,0)),"")</f>
        <v/>
      </c>
      <c r="Q198" s="185" t="str">
        <f t="shared" si="25"/>
        <v/>
      </c>
      <c r="R198" s="186" t="str">
        <f t="shared" si="25"/>
        <v/>
      </c>
      <c r="S198" s="187" t="str">
        <f>IFERROR(INDEX('G-1 All Habitats'!$B$3:$B$134,MATCH(R198,'G-1 All Habitats'!$A$3:$A$134,0)),"")</f>
        <v/>
      </c>
      <c r="T198" s="370" t="str">
        <f t="shared" si="26"/>
        <v/>
      </c>
      <c r="U198" s="386" t="str">
        <f t="shared" si="27"/>
        <v/>
      </c>
      <c r="V198" s="385" t="str">
        <f t="shared" si="23"/>
        <v/>
      </c>
      <c r="W198" s="382" t="str">
        <f>IF(S198="","",VLOOKUP(S198,'G-1 All Habitats'!$B$2:$M$134,10,FALSE))</f>
        <v/>
      </c>
      <c r="X198" s="382" t="str">
        <f>IFERROR(VLOOKUP(W198,'G-1 All Habitats'!$V$3:$W$7,2,FALSE),"")</f>
        <v/>
      </c>
      <c r="Y198" s="165"/>
      <c r="Z198" s="386" t="str">
        <f>IFERROR(INDEX('G-8 Condition Look up'!$A$3:$H$135,MATCH(S198,'G-8 Condition Look up'!$A$3:$A$135,0),MATCH(Y198,'G-8 Condition Look up'!$A$3:$H$3,0)),"")</f>
        <v/>
      </c>
      <c r="AA198" s="114"/>
      <c r="AB198" s="401" t="str">
        <f>IF(AA198="","",IF(VLOOKUP(AA198,'G-3 Multipliers'!$L$3:$N$6,2,FALSE)=0,"Spatial Data Missing ⚠",VLOOKUP(AA198,'G-3 Multipliers'!$L$3:$N$6,2,FALSE)))</f>
        <v/>
      </c>
      <c r="AC198" s="386" t="str">
        <f>IF(AA198="","",IF(VLOOKUP(AA198,'G-3 Multipliers'!$L$3:$N$6,3,FALSE)=0,"Spatial Data Missing ⚠",VLOOKUP(AA198,'G-3 Multipliers'!$L$3:$N$6,3,FALSE)))</f>
        <v/>
      </c>
      <c r="AD198" s="398" t="str">
        <f t="shared" si="24"/>
        <v/>
      </c>
      <c r="AE198" s="165"/>
      <c r="AF198" s="165"/>
      <c r="AG198" s="382" t="str">
        <f t="shared" si="28"/>
        <v/>
      </c>
      <c r="AH198" s="404" t="str">
        <f t="shared" si="29"/>
        <v/>
      </c>
      <c r="AI198" s="387" t="str">
        <f>IF(AH198="Check Data ⚠","Check Data ⚠",IFERROR(VLOOKUP(AH198,'G-4 Temporal multipliers'!$A$4:$C$36,3,FALSE),""))</f>
        <v/>
      </c>
      <c r="AJ198" s="398" t="str">
        <f>IF(S198="","",VLOOKUP(S198,'G-3 Multipliers'!$A$2:$E$134,4,FALSE))</f>
        <v/>
      </c>
      <c r="AK198" s="382" t="str">
        <f t="shared" si="30"/>
        <v/>
      </c>
      <c r="AL198" s="382" t="str">
        <f t="shared" si="31"/>
        <v/>
      </c>
      <c r="AM198" s="386" t="str">
        <f>IFERROR(IF(F198="","",IF(AH198="Check Data ⚠","Check Data ⚠",VLOOKUP(AL198, 'G-3 Multipliers'!$P$2:$Q$6,2,FALSE))),"")</f>
        <v/>
      </c>
      <c r="AN198" s="516"/>
      <c r="AO198" s="417" t="str">
        <f>IF(AN198="","",IF(VLOOKUP(AN198,'G-3 Multipliers'!$S$3:$T$10,2,FALSE)=0,"Spatial Data Missing ⚠",VLOOKUP(AN198,'G-3 Multipliers'!$S$3:$T$10,2,FALSE)))</f>
        <v/>
      </c>
      <c r="AP198" s="376" t="str">
        <f t="shared" si="32"/>
        <v/>
      </c>
      <c r="AQ198" s="376" t="str">
        <f t="shared" si="33"/>
        <v/>
      </c>
      <c r="AR198" s="119"/>
      <c r="AS198" s="528"/>
      <c r="AT198" s="120"/>
      <c r="AU198" s="120"/>
    </row>
    <row r="199" spans="1:47">
      <c r="A199" s="30" t="str">
        <f>IF(E199="","",IF(ISNA(VLOOKUP($E199,'D-1 Off-Site Habitat Baseline'!$D$1:$O$258,2,FALSE)),"",(VLOOKUP($E199,'D-1 Off-Site Habitat Baseline'!$D$1:$O$258,2,FALSE))))</f>
        <v/>
      </c>
      <c r="B199" s="30" t="str">
        <f>IF(E199="","",IF(ISNA(VLOOKUP($E199,'D-1 Off-Site Habitat Baseline'!$D$1:$O$258,3,FALSE)),"",(VLOOKUP($E199,'D-1 Off-Site Habitat Baseline'!$D$1:$O$258,3,FALSE))))</f>
        <v/>
      </c>
      <c r="C199" s="30" t="str">
        <f>IFERROR(INDEX('G-8 Condition Look up'!$I$4:$I$135,MATCH(S199,'G-8 Condition Look up'!$A$4:$A$135,0)),"")</f>
        <v/>
      </c>
      <c r="E199" s="407" t="str">
        <f>'D-1 Off-Site Habitat Baseline'!AP198</f>
        <v/>
      </c>
      <c r="F199" s="382" t="str">
        <f>IF(E199="","",IF(ISNA(VLOOKUP($E199,'D-1 Off-Site Habitat Baseline'!$D$1:$O$258,4,FALSE)),"",(VLOOKUP($E199,'D-1 Off-Site Habitat Baseline'!$D$1:$O$258,4,FALSE))))</f>
        <v/>
      </c>
      <c r="G199" s="382" t="str">
        <f>IF(E199="","",IF(ISNA(VLOOKUP($E199,'D-1 Off-Site Habitat Baseline'!$D$1:$O$258,5,FALSE)),"",(VLOOKUP($E199,'D-1 Off-Site Habitat Baseline'!$D$1:$O$258,5,FALSE))))</f>
        <v/>
      </c>
      <c r="H199" s="382" t="str">
        <f>IF(E199="","",IF(ISNA(VLOOKUP($E199,'D-1 Off-Site Habitat Baseline'!$D$1:$O$258,6,FALSE)),"",(VLOOKUP($E199,'D-1 Off-Site Habitat Baseline'!$D$1:$O$258,6,FALSE))))</f>
        <v/>
      </c>
      <c r="I199" s="382" t="str">
        <f>IF(E199="","",IF(ISNA(VLOOKUP($E199,'D-1 Off-Site Habitat Baseline'!$D$1:$O$258,7,FALSE)),"",(VLOOKUP($E199,'D-1 Off-Site Habitat Baseline'!$D$1:$O$258,7,FALSE))))</f>
        <v/>
      </c>
      <c r="J199" s="382" t="str">
        <f>IF(E199="","",IF(ISNA(VLOOKUP($E199,'D-1 Off-Site Habitat Baseline'!$D$1:$O$258,8,FALSE)),"",(VLOOKUP($E199,'D-1 Off-Site Habitat Baseline'!$D$1:$O$258,8,FALSE))))</f>
        <v/>
      </c>
      <c r="K199" s="382" t="str">
        <f>IF(E199="","",IF(ISNA(VLOOKUP($E199,'D-1 Off-Site Habitat Baseline'!$D$1:$O$258,9,FALSE)),"",(VLOOKUP($E199,'D-1 Off-Site Habitat Baseline'!$D$1:$O$258,9,FALSE))))</f>
        <v/>
      </c>
      <c r="L199" s="382" t="str">
        <f>IF(E199="","",IF(ISNA(VLOOKUP($E199,'D-1 Off-Site Habitat Baseline'!$D$1:$O$258,11,FALSE)),"",(VLOOKUP($E199,'D-1 Off-Site Habitat Baseline'!$D$1:$O$258,11,FALSE))))</f>
        <v/>
      </c>
      <c r="M199" s="382" t="str">
        <f>IF(E199="","",IF(ISNA(VLOOKUP($E199,'D-1 Off-Site Habitat Baseline'!$D$1:$O$258,12,FALSE)),"",(VLOOKUP($E199,'D-1 Off-Site Habitat Baseline'!$D$1:$O$258,12,FALSE))))</f>
        <v/>
      </c>
      <c r="N199" s="382" t="str">
        <f>IF(E199="","",IF(ISNA(VLOOKUP($E199,'D-1 Off-Site Habitat Baseline'!$D$1:$AA$258,14,FALSE)),"",(VLOOKUP($E199,'D-1 Off-Site Habitat Baseline'!$D$1:$AA$258,14,FALSE))))</f>
        <v/>
      </c>
      <c r="O199" s="386" t="str">
        <f>IF(E199="","",IF(ISNA(VLOOKUP($E199,'D-1 Off-Site Habitat Baseline'!$D$1:$AA$258,13,FALSE)),"",(VLOOKUP($E199,'D-1 Off-Site Habitat Baseline'!$D$1:$AA$258,13,FALSE))))</f>
        <v/>
      </c>
      <c r="P199" s="184" t="str">
        <f>IFERROR(INDEX('G-1 All Habitats'!$AG$3:$AG$17,MATCH(Q199,'G-1 All Habitats'!$AF$3:$AF$17,0)),"")</f>
        <v/>
      </c>
      <c r="Q199" s="185" t="str">
        <f t="shared" si="25"/>
        <v/>
      </c>
      <c r="R199" s="186" t="str">
        <f t="shared" si="25"/>
        <v/>
      </c>
      <c r="S199" s="187" t="str">
        <f>IFERROR(INDEX('G-1 All Habitats'!$B$3:$B$134,MATCH(R199,'G-1 All Habitats'!$A$3:$A$134,0)),"")</f>
        <v/>
      </c>
      <c r="T199" s="370" t="str">
        <f t="shared" si="26"/>
        <v/>
      </c>
      <c r="U199" s="386" t="str">
        <f t="shared" si="27"/>
        <v/>
      </c>
      <c r="V199" s="385" t="str">
        <f t="shared" si="23"/>
        <v/>
      </c>
      <c r="W199" s="382" t="str">
        <f>IF(S199="","",VLOOKUP(S199,'G-1 All Habitats'!$B$2:$M$134,10,FALSE))</f>
        <v/>
      </c>
      <c r="X199" s="382" t="str">
        <f>IFERROR(VLOOKUP(W199,'G-1 All Habitats'!$V$3:$W$7,2,FALSE),"")</f>
        <v/>
      </c>
      <c r="Y199" s="165"/>
      <c r="Z199" s="386" t="str">
        <f>IFERROR(INDEX('G-8 Condition Look up'!$A$3:$H$135,MATCH(S199,'G-8 Condition Look up'!$A$3:$A$135,0),MATCH(Y199,'G-8 Condition Look up'!$A$3:$H$3,0)),"")</f>
        <v/>
      </c>
      <c r="AA199" s="114"/>
      <c r="AB199" s="401" t="str">
        <f>IF(AA199="","",IF(VLOOKUP(AA199,'G-3 Multipliers'!$L$3:$N$6,2,FALSE)=0,"Spatial Data Missing ⚠",VLOOKUP(AA199,'G-3 Multipliers'!$L$3:$N$6,2,FALSE)))</f>
        <v/>
      </c>
      <c r="AC199" s="386" t="str">
        <f>IF(AA199="","",IF(VLOOKUP(AA199,'G-3 Multipliers'!$L$3:$N$6,3,FALSE)=0,"Spatial Data Missing ⚠",VLOOKUP(AA199,'G-3 Multipliers'!$L$3:$N$6,3,FALSE)))</f>
        <v/>
      </c>
      <c r="AD199" s="398" t="str">
        <f t="shared" si="24"/>
        <v/>
      </c>
      <c r="AE199" s="165"/>
      <c r="AF199" s="165"/>
      <c r="AG199" s="382" t="str">
        <f t="shared" si="28"/>
        <v/>
      </c>
      <c r="AH199" s="404" t="str">
        <f t="shared" si="29"/>
        <v/>
      </c>
      <c r="AI199" s="387" t="str">
        <f>IF(AH199="Check Data ⚠","Check Data ⚠",IFERROR(VLOOKUP(AH199,'G-4 Temporal multipliers'!$A$4:$C$36,3,FALSE),""))</f>
        <v/>
      </c>
      <c r="AJ199" s="398" t="str">
        <f>IF(S199="","",VLOOKUP(S199,'G-3 Multipliers'!$A$2:$E$134,4,FALSE))</f>
        <v/>
      </c>
      <c r="AK199" s="382" t="str">
        <f t="shared" si="30"/>
        <v/>
      </c>
      <c r="AL199" s="382" t="str">
        <f t="shared" si="31"/>
        <v/>
      </c>
      <c r="AM199" s="386" t="str">
        <f>IFERROR(IF(F199="","",IF(AH199="Check Data ⚠","Check Data ⚠",VLOOKUP(AL199, 'G-3 Multipliers'!$P$2:$Q$6,2,FALSE))),"")</f>
        <v/>
      </c>
      <c r="AN199" s="516"/>
      <c r="AO199" s="417" t="str">
        <f>IF(AN199="","",IF(VLOOKUP(AN199,'G-3 Multipliers'!$S$3:$T$10,2,FALSE)=0,"Spatial Data Missing ⚠",VLOOKUP(AN199,'G-3 Multipliers'!$S$3:$T$10,2,FALSE)))</f>
        <v/>
      </c>
      <c r="AP199" s="376" t="str">
        <f t="shared" si="32"/>
        <v/>
      </c>
      <c r="AQ199" s="376" t="str">
        <f t="shared" si="33"/>
        <v/>
      </c>
      <c r="AR199" s="119"/>
      <c r="AS199" s="528"/>
      <c r="AT199" s="120"/>
      <c r="AU199" s="120"/>
    </row>
    <row r="200" spans="1:47">
      <c r="A200" s="30" t="str">
        <f>IF(E200="","",IF(ISNA(VLOOKUP($E200,'D-1 Off-Site Habitat Baseline'!$D$1:$O$258,2,FALSE)),"",(VLOOKUP($E200,'D-1 Off-Site Habitat Baseline'!$D$1:$O$258,2,FALSE))))</f>
        <v/>
      </c>
      <c r="B200" s="30" t="str">
        <f>IF(E200="","",IF(ISNA(VLOOKUP($E200,'D-1 Off-Site Habitat Baseline'!$D$1:$O$258,3,FALSE)),"",(VLOOKUP($E200,'D-1 Off-Site Habitat Baseline'!$D$1:$O$258,3,FALSE))))</f>
        <v/>
      </c>
      <c r="C200" s="30" t="str">
        <f>IFERROR(INDEX('G-8 Condition Look up'!$I$4:$I$135,MATCH(S200,'G-8 Condition Look up'!$A$4:$A$135,0)),"")</f>
        <v/>
      </c>
      <c r="E200" s="407" t="str">
        <f>'D-1 Off-Site Habitat Baseline'!AP199</f>
        <v/>
      </c>
      <c r="F200" s="382" t="str">
        <f>IF(E200="","",IF(ISNA(VLOOKUP($E200,'D-1 Off-Site Habitat Baseline'!$D$1:$O$258,4,FALSE)),"",(VLOOKUP($E200,'D-1 Off-Site Habitat Baseline'!$D$1:$O$258,4,FALSE))))</f>
        <v/>
      </c>
      <c r="G200" s="382" t="str">
        <f>IF(E200="","",IF(ISNA(VLOOKUP($E200,'D-1 Off-Site Habitat Baseline'!$D$1:$O$258,5,FALSE)),"",(VLOOKUP($E200,'D-1 Off-Site Habitat Baseline'!$D$1:$O$258,5,FALSE))))</f>
        <v/>
      </c>
      <c r="H200" s="382" t="str">
        <f>IF(E200="","",IF(ISNA(VLOOKUP($E200,'D-1 Off-Site Habitat Baseline'!$D$1:$O$258,6,FALSE)),"",(VLOOKUP($E200,'D-1 Off-Site Habitat Baseline'!$D$1:$O$258,6,FALSE))))</f>
        <v/>
      </c>
      <c r="I200" s="382" t="str">
        <f>IF(E200="","",IF(ISNA(VLOOKUP($E200,'D-1 Off-Site Habitat Baseline'!$D$1:$O$258,7,FALSE)),"",(VLOOKUP($E200,'D-1 Off-Site Habitat Baseline'!$D$1:$O$258,7,FALSE))))</f>
        <v/>
      </c>
      <c r="J200" s="382" t="str">
        <f>IF(E200="","",IF(ISNA(VLOOKUP($E200,'D-1 Off-Site Habitat Baseline'!$D$1:$O$258,8,FALSE)),"",(VLOOKUP($E200,'D-1 Off-Site Habitat Baseline'!$D$1:$O$258,8,FALSE))))</f>
        <v/>
      </c>
      <c r="K200" s="382" t="str">
        <f>IF(E200="","",IF(ISNA(VLOOKUP($E200,'D-1 Off-Site Habitat Baseline'!$D$1:$O$258,9,FALSE)),"",(VLOOKUP($E200,'D-1 Off-Site Habitat Baseline'!$D$1:$O$258,9,FALSE))))</f>
        <v/>
      </c>
      <c r="L200" s="382" t="str">
        <f>IF(E200="","",IF(ISNA(VLOOKUP($E200,'D-1 Off-Site Habitat Baseline'!$D$1:$O$258,11,FALSE)),"",(VLOOKUP($E200,'D-1 Off-Site Habitat Baseline'!$D$1:$O$258,11,FALSE))))</f>
        <v/>
      </c>
      <c r="M200" s="382" t="str">
        <f>IF(E200="","",IF(ISNA(VLOOKUP($E200,'D-1 Off-Site Habitat Baseline'!$D$1:$O$258,12,FALSE)),"",(VLOOKUP($E200,'D-1 Off-Site Habitat Baseline'!$D$1:$O$258,12,FALSE))))</f>
        <v/>
      </c>
      <c r="N200" s="382" t="str">
        <f>IF(E200="","",IF(ISNA(VLOOKUP($E200,'D-1 Off-Site Habitat Baseline'!$D$1:$AA$258,14,FALSE)),"",(VLOOKUP($E200,'D-1 Off-Site Habitat Baseline'!$D$1:$AA$258,14,FALSE))))</f>
        <v/>
      </c>
      <c r="O200" s="386" t="str">
        <f>IF(E200="","",IF(ISNA(VLOOKUP($E200,'D-1 Off-Site Habitat Baseline'!$D$1:$AA$258,13,FALSE)),"",(VLOOKUP($E200,'D-1 Off-Site Habitat Baseline'!$D$1:$AA$258,13,FALSE))))</f>
        <v/>
      </c>
      <c r="P200" s="184" t="str">
        <f>IFERROR(INDEX('G-1 All Habitats'!$AG$3:$AG$17,MATCH(Q200,'G-1 All Habitats'!$AF$3:$AF$17,0)),"")</f>
        <v/>
      </c>
      <c r="Q200" s="185" t="str">
        <f t="shared" si="25"/>
        <v/>
      </c>
      <c r="R200" s="186" t="str">
        <f t="shared" si="25"/>
        <v/>
      </c>
      <c r="S200" s="187" t="str">
        <f>IFERROR(INDEX('G-1 All Habitats'!$B$3:$B$134,MATCH(R200,'G-1 All Habitats'!$A$3:$A$134,0)),"")</f>
        <v/>
      </c>
      <c r="T200" s="370" t="str">
        <f t="shared" si="26"/>
        <v/>
      </c>
      <c r="U200" s="386" t="str">
        <f t="shared" si="27"/>
        <v/>
      </c>
      <c r="V200" s="385" t="str">
        <f t="shared" si="23"/>
        <v/>
      </c>
      <c r="W200" s="382" t="str">
        <f>IF(S200="","",VLOOKUP(S200,'G-1 All Habitats'!$B$2:$M$134,10,FALSE))</f>
        <v/>
      </c>
      <c r="X200" s="382" t="str">
        <f>IFERROR(VLOOKUP(W200,'G-1 All Habitats'!$V$3:$W$7,2,FALSE),"")</f>
        <v/>
      </c>
      <c r="Y200" s="165"/>
      <c r="Z200" s="386" t="str">
        <f>IFERROR(INDEX('G-8 Condition Look up'!$A$3:$H$135,MATCH(S200,'G-8 Condition Look up'!$A$3:$A$135,0),MATCH(Y200,'G-8 Condition Look up'!$A$3:$H$3,0)),"")</f>
        <v/>
      </c>
      <c r="AA200" s="114"/>
      <c r="AB200" s="401" t="str">
        <f>IF(AA200="","",IF(VLOOKUP(AA200,'G-3 Multipliers'!$L$3:$N$6,2,FALSE)=0,"Spatial Data Missing ⚠",VLOOKUP(AA200,'G-3 Multipliers'!$L$3:$N$6,2,FALSE)))</f>
        <v/>
      </c>
      <c r="AC200" s="386" t="str">
        <f>IF(AA200="","",IF(VLOOKUP(AA200,'G-3 Multipliers'!$L$3:$N$6,3,FALSE)=0,"Spatial Data Missing ⚠",VLOOKUP(AA200,'G-3 Multipliers'!$L$3:$N$6,3,FALSE)))</f>
        <v/>
      </c>
      <c r="AD200" s="398" t="str">
        <f t="shared" si="24"/>
        <v/>
      </c>
      <c r="AE200" s="165"/>
      <c r="AF200" s="165"/>
      <c r="AG200" s="382" t="str">
        <f t="shared" si="28"/>
        <v/>
      </c>
      <c r="AH200" s="404" t="str">
        <f t="shared" si="29"/>
        <v/>
      </c>
      <c r="AI200" s="387" t="str">
        <f>IF(AH200="Check Data ⚠","Check Data ⚠",IFERROR(VLOOKUP(AH200,'G-4 Temporal multipliers'!$A$4:$C$36,3,FALSE),""))</f>
        <v/>
      </c>
      <c r="AJ200" s="398" t="str">
        <f>IF(S200="","",VLOOKUP(S200,'G-3 Multipliers'!$A$2:$E$134,4,FALSE))</f>
        <v/>
      </c>
      <c r="AK200" s="382" t="str">
        <f t="shared" si="30"/>
        <v/>
      </c>
      <c r="AL200" s="382" t="str">
        <f t="shared" si="31"/>
        <v/>
      </c>
      <c r="AM200" s="386" t="str">
        <f>IFERROR(IF(F200="","",IF(AH200="Check Data ⚠","Check Data ⚠",VLOOKUP(AL200, 'G-3 Multipliers'!$P$2:$Q$6,2,FALSE))),"")</f>
        <v/>
      </c>
      <c r="AN200" s="516"/>
      <c r="AO200" s="417" t="str">
        <f>IF(AN200="","",IF(VLOOKUP(AN200,'G-3 Multipliers'!$S$3:$T$10,2,FALSE)=0,"Spatial Data Missing ⚠",VLOOKUP(AN200,'G-3 Multipliers'!$S$3:$T$10,2,FALSE)))</f>
        <v/>
      </c>
      <c r="AP200" s="376" t="str">
        <f t="shared" si="32"/>
        <v/>
      </c>
      <c r="AQ200" s="376" t="str">
        <f t="shared" si="33"/>
        <v/>
      </c>
      <c r="AR200" s="119"/>
      <c r="AS200" s="528"/>
      <c r="AT200" s="120"/>
      <c r="AU200" s="120"/>
    </row>
    <row r="201" spans="1:47">
      <c r="A201" s="30" t="str">
        <f>IF(E201="","",IF(ISNA(VLOOKUP($E201,'D-1 Off-Site Habitat Baseline'!$D$1:$O$258,2,FALSE)),"",(VLOOKUP($E201,'D-1 Off-Site Habitat Baseline'!$D$1:$O$258,2,FALSE))))</f>
        <v/>
      </c>
      <c r="B201" s="30" t="str">
        <f>IF(E201="","",IF(ISNA(VLOOKUP($E201,'D-1 Off-Site Habitat Baseline'!$D$1:$O$258,3,FALSE)),"",(VLOOKUP($E201,'D-1 Off-Site Habitat Baseline'!$D$1:$O$258,3,FALSE))))</f>
        <v/>
      </c>
      <c r="C201" s="30" t="str">
        <f>IFERROR(INDEX('G-8 Condition Look up'!$I$4:$I$135,MATCH(S201,'G-8 Condition Look up'!$A$4:$A$135,0)),"")</f>
        <v/>
      </c>
      <c r="E201" s="407" t="str">
        <f>'D-1 Off-Site Habitat Baseline'!AP200</f>
        <v/>
      </c>
      <c r="F201" s="382" t="str">
        <f>IF(E201="","",IF(ISNA(VLOOKUP($E201,'D-1 Off-Site Habitat Baseline'!$D$1:$O$258,4,FALSE)),"",(VLOOKUP($E201,'D-1 Off-Site Habitat Baseline'!$D$1:$O$258,4,FALSE))))</f>
        <v/>
      </c>
      <c r="G201" s="382" t="str">
        <f>IF(E201="","",IF(ISNA(VLOOKUP($E201,'D-1 Off-Site Habitat Baseline'!$D$1:$O$258,5,FALSE)),"",(VLOOKUP($E201,'D-1 Off-Site Habitat Baseline'!$D$1:$O$258,5,FALSE))))</f>
        <v/>
      </c>
      <c r="H201" s="382" t="str">
        <f>IF(E201="","",IF(ISNA(VLOOKUP($E201,'D-1 Off-Site Habitat Baseline'!$D$1:$O$258,6,FALSE)),"",(VLOOKUP($E201,'D-1 Off-Site Habitat Baseline'!$D$1:$O$258,6,FALSE))))</f>
        <v/>
      </c>
      <c r="I201" s="382" t="str">
        <f>IF(E201="","",IF(ISNA(VLOOKUP($E201,'D-1 Off-Site Habitat Baseline'!$D$1:$O$258,7,FALSE)),"",(VLOOKUP($E201,'D-1 Off-Site Habitat Baseline'!$D$1:$O$258,7,FALSE))))</f>
        <v/>
      </c>
      <c r="J201" s="382" t="str">
        <f>IF(E201="","",IF(ISNA(VLOOKUP($E201,'D-1 Off-Site Habitat Baseline'!$D$1:$O$258,8,FALSE)),"",(VLOOKUP($E201,'D-1 Off-Site Habitat Baseline'!$D$1:$O$258,8,FALSE))))</f>
        <v/>
      </c>
      <c r="K201" s="382" t="str">
        <f>IF(E201="","",IF(ISNA(VLOOKUP($E201,'D-1 Off-Site Habitat Baseline'!$D$1:$O$258,9,FALSE)),"",(VLOOKUP($E201,'D-1 Off-Site Habitat Baseline'!$D$1:$O$258,9,FALSE))))</f>
        <v/>
      </c>
      <c r="L201" s="382" t="str">
        <f>IF(E201="","",IF(ISNA(VLOOKUP($E201,'D-1 Off-Site Habitat Baseline'!$D$1:$O$258,11,FALSE)),"",(VLOOKUP($E201,'D-1 Off-Site Habitat Baseline'!$D$1:$O$258,11,FALSE))))</f>
        <v/>
      </c>
      <c r="M201" s="382" t="str">
        <f>IF(E201="","",IF(ISNA(VLOOKUP($E201,'D-1 Off-Site Habitat Baseline'!$D$1:$O$258,12,FALSE)),"",(VLOOKUP($E201,'D-1 Off-Site Habitat Baseline'!$D$1:$O$258,12,FALSE))))</f>
        <v/>
      </c>
      <c r="N201" s="382" t="str">
        <f>IF(E201="","",IF(ISNA(VLOOKUP($E201,'D-1 Off-Site Habitat Baseline'!$D$1:$AA$258,14,FALSE)),"",(VLOOKUP($E201,'D-1 Off-Site Habitat Baseline'!$D$1:$AA$258,14,FALSE))))</f>
        <v/>
      </c>
      <c r="O201" s="386" t="str">
        <f>IF(E201="","",IF(ISNA(VLOOKUP($E201,'D-1 Off-Site Habitat Baseline'!$D$1:$AA$258,13,FALSE)),"",(VLOOKUP($E201,'D-1 Off-Site Habitat Baseline'!$D$1:$AA$258,13,FALSE))))</f>
        <v/>
      </c>
      <c r="P201" s="184" t="str">
        <f>IFERROR(INDEX('G-1 All Habitats'!$AG$3:$AG$17,MATCH(Q201,'G-1 All Habitats'!$AF$3:$AF$17,0)),"")</f>
        <v/>
      </c>
      <c r="Q201" s="185" t="str">
        <f t="shared" si="25"/>
        <v/>
      </c>
      <c r="R201" s="186" t="str">
        <f t="shared" si="25"/>
        <v/>
      </c>
      <c r="S201" s="187" t="str">
        <f>IFERROR(INDEX('G-1 All Habitats'!$B$3:$B$134,MATCH(R201,'G-1 All Habitats'!$A$3:$A$134,0)),"")</f>
        <v/>
      </c>
      <c r="T201" s="370" t="str">
        <f t="shared" si="26"/>
        <v/>
      </c>
      <c r="U201" s="386" t="str">
        <f t="shared" si="27"/>
        <v/>
      </c>
      <c r="V201" s="385" t="str">
        <f t="shared" si="23"/>
        <v/>
      </c>
      <c r="W201" s="382" t="str">
        <f>IF(S201="","",VLOOKUP(S201,'G-1 All Habitats'!$B$2:$M$134,10,FALSE))</f>
        <v/>
      </c>
      <c r="X201" s="382" t="str">
        <f>IFERROR(VLOOKUP(W201,'G-1 All Habitats'!$V$3:$W$7,2,FALSE),"")</f>
        <v/>
      </c>
      <c r="Y201" s="165"/>
      <c r="Z201" s="386" t="str">
        <f>IFERROR(INDEX('G-8 Condition Look up'!$A$3:$H$135,MATCH(S201,'G-8 Condition Look up'!$A$3:$A$135,0),MATCH(Y201,'G-8 Condition Look up'!$A$3:$H$3,0)),"")</f>
        <v/>
      </c>
      <c r="AA201" s="114"/>
      <c r="AB201" s="401" t="str">
        <f>IF(AA201="","",IF(VLOOKUP(AA201,'G-3 Multipliers'!$L$3:$N$6,2,FALSE)=0,"Spatial Data Missing ⚠",VLOOKUP(AA201,'G-3 Multipliers'!$L$3:$N$6,2,FALSE)))</f>
        <v/>
      </c>
      <c r="AC201" s="386" t="str">
        <f>IF(AA201="","",IF(VLOOKUP(AA201,'G-3 Multipliers'!$L$3:$N$6,3,FALSE)=0,"Spatial Data Missing ⚠",VLOOKUP(AA201,'G-3 Multipliers'!$L$3:$N$6,3,FALSE)))</f>
        <v/>
      </c>
      <c r="AD201" s="398" t="str">
        <f t="shared" si="24"/>
        <v/>
      </c>
      <c r="AE201" s="165"/>
      <c r="AF201" s="165"/>
      <c r="AG201" s="382" t="str">
        <f t="shared" si="28"/>
        <v/>
      </c>
      <c r="AH201" s="404" t="str">
        <f t="shared" si="29"/>
        <v/>
      </c>
      <c r="AI201" s="387" t="str">
        <f>IF(AH201="Check Data ⚠","Check Data ⚠",IFERROR(VLOOKUP(AH201,'G-4 Temporal multipliers'!$A$4:$C$36,3,FALSE),""))</f>
        <v/>
      </c>
      <c r="AJ201" s="398" t="str">
        <f>IF(S201="","",VLOOKUP(S201,'G-3 Multipliers'!$A$2:$E$134,4,FALSE))</f>
        <v/>
      </c>
      <c r="AK201" s="382" t="str">
        <f t="shared" si="30"/>
        <v/>
      </c>
      <c r="AL201" s="382" t="str">
        <f t="shared" si="31"/>
        <v/>
      </c>
      <c r="AM201" s="386" t="str">
        <f>IFERROR(IF(F201="","",IF(AH201="Check Data ⚠","Check Data ⚠",VLOOKUP(AL201, 'G-3 Multipliers'!$P$2:$Q$6,2,FALSE))),"")</f>
        <v/>
      </c>
      <c r="AN201" s="516"/>
      <c r="AO201" s="417" t="str">
        <f>IF(AN201="","",IF(VLOOKUP(AN201,'G-3 Multipliers'!$S$3:$T$10,2,FALSE)=0,"Spatial Data Missing ⚠",VLOOKUP(AN201,'G-3 Multipliers'!$S$3:$T$10,2,FALSE)))</f>
        <v/>
      </c>
      <c r="AP201" s="376" t="str">
        <f t="shared" si="32"/>
        <v/>
      </c>
      <c r="AQ201" s="376" t="str">
        <f t="shared" si="33"/>
        <v/>
      </c>
      <c r="AR201" s="119"/>
      <c r="AS201" s="528"/>
      <c r="AT201" s="120"/>
      <c r="AU201" s="120"/>
    </row>
    <row r="202" spans="1:47">
      <c r="A202" s="30" t="str">
        <f>IF(E202="","",IF(ISNA(VLOOKUP($E202,'D-1 Off-Site Habitat Baseline'!$D$1:$O$258,2,FALSE)),"",(VLOOKUP($E202,'D-1 Off-Site Habitat Baseline'!$D$1:$O$258,2,FALSE))))</f>
        <v/>
      </c>
      <c r="B202" s="30" t="str">
        <f>IF(E202="","",IF(ISNA(VLOOKUP($E202,'D-1 Off-Site Habitat Baseline'!$D$1:$O$258,3,FALSE)),"",(VLOOKUP($E202,'D-1 Off-Site Habitat Baseline'!$D$1:$O$258,3,FALSE))))</f>
        <v/>
      </c>
      <c r="C202" s="30" t="str">
        <f>IFERROR(INDEX('G-8 Condition Look up'!$I$4:$I$135,MATCH(S202,'G-8 Condition Look up'!$A$4:$A$135,0)),"")</f>
        <v/>
      </c>
      <c r="E202" s="407" t="str">
        <f>'D-1 Off-Site Habitat Baseline'!AP201</f>
        <v/>
      </c>
      <c r="F202" s="382" t="str">
        <f>IF(E202="","",IF(ISNA(VLOOKUP($E202,'D-1 Off-Site Habitat Baseline'!$D$1:$O$258,4,FALSE)),"",(VLOOKUP($E202,'D-1 Off-Site Habitat Baseline'!$D$1:$O$258,4,FALSE))))</f>
        <v/>
      </c>
      <c r="G202" s="382" t="str">
        <f>IF(E202="","",IF(ISNA(VLOOKUP($E202,'D-1 Off-Site Habitat Baseline'!$D$1:$O$258,5,FALSE)),"",(VLOOKUP($E202,'D-1 Off-Site Habitat Baseline'!$D$1:$O$258,5,FALSE))))</f>
        <v/>
      </c>
      <c r="H202" s="382" t="str">
        <f>IF(E202="","",IF(ISNA(VLOOKUP($E202,'D-1 Off-Site Habitat Baseline'!$D$1:$O$258,6,FALSE)),"",(VLOOKUP($E202,'D-1 Off-Site Habitat Baseline'!$D$1:$O$258,6,FALSE))))</f>
        <v/>
      </c>
      <c r="I202" s="382" t="str">
        <f>IF(E202="","",IF(ISNA(VLOOKUP($E202,'D-1 Off-Site Habitat Baseline'!$D$1:$O$258,7,FALSE)),"",(VLOOKUP($E202,'D-1 Off-Site Habitat Baseline'!$D$1:$O$258,7,FALSE))))</f>
        <v/>
      </c>
      <c r="J202" s="382" t="str">
        <f>IF(E202="","",IF(ISNA(VLOOKUP($E202,'D-1 Off-Site Habitat Baseline'!$D$1:$O$258,8,FALSE)),"",(VLOOKUP($E202,'D-1 Off-Site Habitat Baseline'!$D$1:$O$258,8,FALSE))))</f>
        <v/>
      </c>
      <c r="K202" s="382" t="str">
        <f>IF(E202="","",IF(ISNA(VLOOKUP($E202,'D-1 Off-Site Habitat Baseline'!$D$1:$O$258,9,FALSE)),"",(VLOOKUP($E202,'D-1 Off-Site Habitat Baseline'!$D$1:$O$258,9,FALSE))))</f>
        <v/>
      </c>
      <c r="L202" s="382" t="str">
        <f>IF(E202="","",IF(ISNA(VLOOKUP($E202,'D-1 Off-Site Habitat Baseline'!$D$1:$O$258,11,FALSE)),"",(VLOOKUP($E202,'D-1 Off-Site Habitat Baseline'!$D$1:$O$258,11,FALSE))))</f>
        <v/>
      </c>
      <c r="M202" s="382" t="str">
        <f>IF(E202="","",IF(ISNA(VLOOKUP($E202,'D-1 Off-Site Habitat Baseline'!$D$1:$O$258,12,FALSE)),"",(VLOOKUP($E202,'D-1 Off-Site Habitat Baseline'!$D$1:$O$258,12,FALSE))))</f>
        <v/>
      </c>
      <c r="N202" s="382" t="str">
        <f>IF(E202="","",IF(ISNA(VLOOKUP($E202,'D-1 Off-Site Habitat Baseline'!$D$1:$AA$258,14,FALSE)),"",(VLOOKUP($E202,'D-1 Off-Site Habitat Baseline'!$D$1:$AA$258,14,FALSE))))</f>
        <v/>
      </c>
      <c r="O202" s="386" t="str">
        <f>IF(E202="","",IF(ISNA(VLOOKUP($E202,'D-1 Off-Site Habitat Baseline'!$D$1:$AA$258,13,FALSE)),"",(VLOOKUP($E202,'D-1 Off-Site Habitat Baseline'!$D$1:$AA$258,13,FALSE))))</f>
        <v/>
      </c>
      <c r="P202" s="184" t="str">
        <f>IFERROR(INDEX('G-1 All Habitats'!$AG$3:$AG$17,MATCH(Q202,'G-1 All Habitats'!$AF$3:$AF$17,0)),"")</f>
        <v/>
      </c>
      <c r="Q202" s="185" t="str">
        <f t="shared" si="25"/>
        <v/>
      </c>
      <c r="R202" s="186" t="str">
        <f t="shared" si="25"/>
        <v/>
      </c>
      <c r="S202" s="187" t="str">
        <f>IFERROR(INDEX('G-1 All Habitats'!$B$3:$B$134,MATCH(R202,'G-1 All Habitats'!$A$3:$A$134,0)),"")</f>
        <v/>
      </c>
      <c r="T202" s="370" t="str">
        <f t="shared" si="26"/>
        <v/>
      </c>
      <c r="U202" s="386" t="str">
        <f t="shared" si="27"/>
        <v/>
      </c>
      <c r="V202" s="385" t="str">
        <f t="shared" si="23"/>
        <v/>
      </c>
      <c r="W202" s="382" t="str">
        <f>IF(S202="","",VLOOKUP(S202,'G-1 All Habitats'!$B$2:$M$134,10,FALSE))</f>
        <v/>
      </c>
      <c r="X202" s="382" t="str">
        <f>IFERROR(VLOOKUP(W202,'G-1 All Habitats'!$V$3:$W$7,2,FALSE),"")</f>
        <v/>
      </c>
      <c r="Y202" s="165"/>
      <c r="Z202" s="386" t="str">
        <f>IFERROR(INDEX('G-8 Condition Look up'!$A$3:$H$135,MATCH(S202,'G-8 Condition Look up'!$A$3:$A$135,0),MATCH(Y202,'G-8 Condition Look up'!$A$3:$H$3,0)),"")</f>
        <v/>
      </c>
      <c r="AA202" s="114"/>
      <c r="AB202" s="401" t="str">
        <f>IF(AA202="","",IF(VLOOKUP(AA202,'G-3 Multipliers'!$L$3:$N$6,2,FALSE)=0,"Spatial Data Missing ⚠",VLOOKUP(AA202,'G-3 Multipliers'!$L$3:$N$6,2,FALSE)))</f>
        <v/>
      </c>
      <c r="AC202" s="386" t="str">
        <f>IF(AA202="","",IF(VLOOKUP(AA202,'G-3 Multipliers'!$L$3:$N$6,3,FALSE)=0,"Spatial Data Missing ⚠",VLOOKUP(AA202,'G-3 Multipliers'!$L$3:$N$6,3,FALSE)))</f>
        <v/>
      </c>
      <c r="AD202" s="398" t="str">
        <f t="shared" si="24"/>
        <v/>
      </c>
      <c r="AE202" s="165"/>
      <c r="AF202" s="165"/>
      <c r="AG202" s="382" t="str">
        <f t="shared" si="28"/>
        <v/>
      </c>
      <c r="AH202" s="404" t="str">
        <f t="shared" si="29"/>
        <v/>
      </c>
      <c r="AI202" s="387" t="str">
        <f>IF(AH202="Check Data ⚠","Check Data ⚠",IFERROR(VLOOKUP(AH202,'G-4 Temporal multipliers'!$A$4:$C$36,3,FALSE),""))</f>
        <v/>
      </c>
      <c r="AJ202" s="398" t="str">
        <f>IF(S202="","",VLOOKUP(S202,'G-3 Multipliers'!$A$2:$E$134,4,FALSE))</f>
        <v/>
      </c>
      <c r="AK202" s="382" t="str">
        <f t="shared" si="30"/>
        <v/>
      </c>
      <c r="AL202" s="382" t="str">
        <f t="shared" si="31"/>
        <v/>
      </c>
      <c r="AM202" s="386" t="str">
        <f>IFERROR(IF(F202="","",IF(AH202="Check Data ⚠","Check Data ⚠",VLOOKUP(AL202, 'G-3 Multipliers'!$P$2:$Q$6,2,FALSE))),"")</f>
        <v/>
      </c>
      <c r="AN202" s="516"/>
      <c r="AO202" s="417" t="str">
        <f>IF(AN202="","",IF(VLOOKUP(AN202,'G-3 Multipliers'!$S$3:$T$10,2,FALSE)=0,"Spatial Data Missing ⚠",VLOOKUP(AN202,'G-3 Multipliers'!$S$3:$T$10,2,FALSE)))</f>
        <v/>
      </c>
      <c r="AP202" s="376" t="str">
        <f t="shared" si="32"/>
        <v/>
      </c>
      <c r="AQ202" s="376" t="str">
        <f t="shared" si="33"/>
        <v/>
      </c>
      <c r="AR202" s="119"/>
      <c r="AS202" s="528"/>
      <c r="AT202" s="120"/>
      <c r="AU202" s="120"/>
    </row>
    <row r="203" spans="1:47">
      <c r="A203" s="30" t="str">
        <f>IF(E203="","",IF(ISNA(VLOOKUP($E203,'D-1 Off-Site Habitat Baseline'!$D$1:$O$258,2,FALSE)),"",(VLOOKUP($E203,'D-1 Off-Site Habitat Baseline'!$D$1:$O$258,2,FALSE))))</f>
        <v/>
      </c>
      <c r="B203" s="30" t="str">
        <f>IF(E203="","",IF(ISNA(VLOOKUP($E203,'D-1 Off-Site Habitat Baseline'!$D$1:$O$258,3,FALSE)),"",(VLOOKUP($E203,'D-1 Off-Site Habitat Baseline'!$D$1:$O$258,3,FALSE))))</f>
        <v/>
      </c>
      <c r="C203" s="30" t="str">
        <f>IFERROR(INDEX('G-8 Condition Look up'!$I$4:$I$135,MATCH(S203,'G-8 Condition Look up'!$A$4:$A$135,0)),"")</f>
        <v/>
      </c>
      <c r="E203" s="407" t="str">
        <f>'D-1 Off-Site Habitat Baseline'!AP202</f>
        <v/>
      </c>
      <c r="F203" s="382" t="str">
        <f>IF(E203="","",IF(ISNA(VLOOKUP($E203,'D-1 Off-Site Habitat Baseline'!$D$1:$O$258,4,FALSE)),"",(VLOOKUP($E203,'D-1 Off-Site Habitat Baseline'!$D$1:$O$258,4,FALSE))))</f>
        <v/>
      </c>
      <c r="G203" s="382" t="str">
        <f>IF(E203="","",IF(ISNA(VLOOKUP($E203,'D-1 Off-Site Habitat Baseline'!$D$1:$O$258,5,FALSE)),"",(VLOOKUP($E203,'D-1 Off-Site Habitat Baseline'!$D$1:$O$258,5,FALSE))))</f>
        <v/>
      </c>
      <c r="H203" s="382" t="str">
        <f>IF(E203="","",IF(ISNA(VLOOKUP($E203,'D-1 Off-Site Habitat Baseline'!$D$1:$O$258,6,FALSE)),"",(VLOOKUP($E203,'D-1 Off-Site Habitat Baseline'!$D$1:$O$258,6,FALSE))))</f>
        <v/>
      </c>
      <c r="I203" s="382" t="str">
        <f>IF(E203="","",IF(ISNA(VLOOKUP($E203,'D-1 Off-Site Habitat Baseline'!$D$1:$O$258,7,FALSE)),"",(VLOOKUP($E203,'D-1 Off-Site Habitat Baseline'!$D$1:$O$258,7,FALSE))))</f>
        <v/>
      </c>
      <c r="J203" s="382" t="str">
        <f>IF(E203="","",IF(ISNA(VLOOKUP($E203,'D-1 Off-Site Habitat Baseline'!$D$1:$O$258,8,FALSE)),"",(VLOOKUP($E203,'D-1 Off-Site Habitat Baseline'!$D$1:$O$258,8,FALSE))))</f>
        <v/>
      </c>
      <c r="K203" s="382" t="str">
        <f>IF(E203="","",IF(ISNA(VLOOKUP($E203,'D-1 Off-Site Habitat Baseline'!$D$1:$O$258,9,FALSE)),"",(VLOOKUP($E203,'D-1 Off-Site Habitat Baseline'!$D$1:$O$258,9,FALSE))))</f>
        <v/>
      </c>
      <c r="L203" s="382" t="str">
        <f>IF(E203="","",IF(ISNA(VLOOKUP($E203,'D-1 Off-Site Habitat Baseline'!$D$1:$O$258,11,FALSE)),"",(VLOOKUP($E203,'D-1 Off-Site Habitat Baseline'!$D$1:$O$258,11,FALSE))))</f>
        <v/>
      </c>
      <c r="M203" s="382" t="str">
        <f>IF(E203="","",IF(ISNA(VLOOKUP($E203,'D-1 Off-Site Habitat Baseline'!$D$1:$O$258,12,FALSE)),"",(VLOOKUP($E203,'D-1 Off-Site Habitat Baseline'!$D$1:$O$258,12,FALSE))))</f>
        <v/>
      </c>
      <c r="N203" s="382" t="str">
        <f>IF(E203="","",IF(ISNA(VLOOKUP($E203,'D-1 Off-Site Habitat Baseline'!$D$1:$AA$258,14,FALSE)),"",(VLOOKUP($E203,'D-1 Off-Site Habitat Baseline'!$D$1:$AA$258,14,FALSE))))</f>
        <v/>
      </c>
      <c r="O203" s="386" t="str">
        <f>IF(E203="","",IF(ISNA(VLOOKUP($E203,'D-1 Off-Site Habitat Baseline'!$D$1:$AA$258,13,FALSE)),"",(VLOOKUP($E203,'D-1 Off-Site Habitat Baseline'!$D$1:$AA$258,13,FALSE))))</f>
        <v/>
      </c>
      <c r="P203" s="184" t="str">
        <f>IFERROR(INDEX('G-1 All Habitats'!$AG$3:$AG$17,MATCH(Q203,'G-1 All Habitats'!$AF$3:$AF$17,0)),"")</f>
        <v/>
      </c>
      <c r="Q203" s="185" t="str">
        <f t="shared" si="25"/>
        <v/>
      </c>
      <c r="R203" s="186" t="str">
        <f t="shared" si="25"/>
        <v/>
      </c>
      <c r="S203" s="187" t="str">
        <f>IFERROR(INDEX('G-1 All Habitats'!$B$3:$B$134,MATCH(R203,'G-1 All Habitats'!$A$3:$A$134,0)),"")</f>
        <v/>
      </c>
      <c r="T203" s="370" t="str">
        <f t="shared" si="26"/>
        <v/>
      </c>
      <c r="U203" s="386" t="str">
        <f t="shared" si="27"/>
        <v/>
      </c>
      <c r="V203" s="385" t="str">
        <f t="shared" si="23"/>
        <v/>
      </c>
      <c r="W203" s="382" t="str">
        <f>IF(S203="","",VLOOKUP(S203,'G-1 All Habitats'!$B$2:$M$134,10,FALSE))</f>
        <v/>
      </c>
      <c r="X203" s="382" t="str">
        <f>IFERROR(VLOOKUP(W203,'G-1 All Habitats'!$V$3:$W$7,2,FALSE),"")</f>
        <v/>
      </c>
      <c r="Y203" s="165"/>
      <c r="Z203" s="386" t="str">
        <f>IFERROR(INDEX('G-8 Condition Look up'!$A$3:$H$135,MATCH(S203,'G-8 Condition Look up'!$A$3:$A$135,0),MATCH(Y203,'G-8 Condition Look up'!$A$3:$H$3,0)),"")</f>
        <v/>
      </c>
      <c r="AA203" s="114"/>
      <c r="AB203" s="401" t="str">
        <f>IF(AA203="","",IF(VLOOKUP(AA203,'G-3 Multipliers'!$L$3:$N$6,2,FALSE)=0,"Spatial Data Missing ⚠",VLOOKUP(AA203,'G-3 Multipliers'!$L$3:$N$6,2,FALSE)))</f>
        <v/>
      </c>
      <c r="AC203" s="386" t="str">
        <f>IF(AA203="","",IF(VLOOKUP(AA203,'G-3 Multipliers'!$L$3:$N$6,3,FALSE)=0,"Spatial Data Missing ⚠",VLOOKUP(AA203,'G-3 Multipliers'!$L$3:$N$6,3,FALSE)))</f>
        <v/>
      </c>
      <c r="AD203" s="398" t="str">
        <f t="shared" si="24"/>
        <v/>
      </c>
      <c r="AE203" s="165"/>
      <c r="AF203" s="165"/>
      <c r="AG203" s="382" t="str">
        <f t="shared" si="28"/>
        <v/>
      </c>
      <c r="AH203" s="404" t="str">
        <f t="shared" si="29"/>
        <v/>
      </c>
      <c r="AI203" s="387" t="str">
        <f>IF(AH203="Check Data ⚠","Check Data ⚠",IFERROR(VLOOKUP(AH203,'G-4 Temporal multipliers'!$A$4:$C$36,3,FALSE),""))</f>
        <v/>
      </c>
      <c r="AJ203" s="398" t="str">
        <f>IF(S203="","",VLOOKUP(S203,'G-3 Multipliers'!$A$2:$E$134,4,FALSE))</f>
        <v/>
      </c>
      <c r="AK203" s="382" t="str">
        <f t="shared" si="30"/>
        <v/>
      </c>
      <c r="AL203" s="382" t="str">
        <f t="shared" si="31"/>
        <v/>
      </c>
      <c r="AM203" s="386" t="str">
        <f>IFERROR(IF(F203="","",IF(AH203="Check Data ⚠","Check Data ⚠",VLOOKUP(AL203, 'G-3 Multipliers'!$P$2:$Q$6,2,FALSE))),"")</f>
        <v/>
      </c>
      <c r="AN203" s="516"/>
      <c r="AO203" s="417" t="str">
        <f>IF(AN203="","",IF(VLOOKUP(AN203,'G-3 Multipliers'!$S$3:$T$10,2,FALSE)=0,"Spatial Data Missing ⚠",VLOOKUP(AN203,'G-3 Multipliers'!$S$3:$T$10,2,FALSE)))</f>
        <v/>
      </c>
      <c r="AP203" s="376" t="str">
        <f t="shared" si="32"/>
        <v/>
      </c>
      <c r="AQ203" s="376" t="str">
        <f t="shared" si="33"/>
        <v/>
      </c>
      <c r="AR203" s="119"/>
      <c r="AS203" s="528"/>
      <c r="AT203" s="120"/>
      <c r="AU203" s="120"/>
    </row>
    <row r="204" spans="1:47">
      <c r="A204" s="30" t="str">
        <f>IF(E204="","",IF(ISNA(VLOOKUP($E204,'D-1 Off-Site Habitat Baseline'!$D$1:$O$258,2,FALSE)),"",(VLOOKUP($E204,'D-1 Off-Site Habitat Baseline'!$D$1:$O$258,2,FALSE))))</f>
        <v/>
      </c>
      <c r="B204" s="30" t="str">
        <f>IF(E204="","",IF(ISNA(VLOOKUP($E204,'D-1 Off-Site Habitat Baseline'!$D$1:$O$258,3,FALSE)),"",(VLOOKUP($E204,'D-1 Off-Site Habitat Baseline'!$D$1:$O$258,3,FALSE))))</f>
        <v/>
      </c>
      <c r="C204" s="30" t="str">
        <f>IFERROR(INDEX('G-8 Condition Look up'!$I$4:$I$135,MATCH(S204,'G-8 Condition Look up'!$A$4:$A$135,0)),"")</f>
        <v/>
      </c>
      <c r="E204" s="407" t="str">
        <f>'D-1 Off-Site Habitat Baseline'!AP203</f>
        <v/>
      </c>
      <c r="F204" s="382" t="str">
        <f>IF(E204="","",IF(ISNA(VLOOKUP($E204,'D-1 Off-Site Habitat Baseline'!$D$1:$O$258,4,FALSE)),"",(VLOOKUP($E204,'D-1 Off-Site Habitat Baseline'!$D$1:$O$258,4,FALSE))))</f>
        <v/>
      </c>
      <c r="G204" s="382" t="str">
        <f>IF(E204="","",IF(ISNA(VLOOKUP($E204,'D-1 Off-Site Habitat Baseline'!$D$1:$O$258,5,FALSE)),"",(VLOOKUP($E204,'D-1 Off-Site Habitat Baseline'!$D$1:$O$258,5,FALSE))))</f>
        <v/>
      </c>
      <c r="H204" s="382" t="str">
        <f>IF(E204="","",IF(ISNA(VLOOKUP($E204,'D-1 Off-Site Habitat Baseline'!$D$1:$O$258,6,FALSE)),"",(VLOOKUP($E204,'D-1 Off-Site Habitat Baseline'!$D$1:$O$258,6,FALSE))))</f>
        <v/>
      </c>
      <c r="I204" s="382" t="str">
        <f>IF(E204="","",IF(ISNA(VLOOKUP($E204,'D-1 Off-Site Habitat Baseline'!$D$1:$O$258,7,FALSE)),"",(VLOOKUP($E204,'D-1 Off-Site Habitat Baseline'!$D$1:$O$258,7,FALSE))))</f>
        <v/>
      </c>
      <c r="J204" s="382" t="str">
        <f>IF(E204="","",IF(ISNA(VLOOKUP($E204,'D-1 Off-Site Habitat Baseline'!$D$1:$O$258,8,FALSE)),"",(VLOOKUP($E204,'D-1 Off-Site Habitat Baseline'!$D$1:$O$258,8,FALSE))))</f>
        <v/>
      </c>
      <c r="K204" s="382" t="str">
        <f>IF(E204="","",IF(ISNA(VLOOKUP($E204,'D-1 Off-Site Habitat Baseline'!$D$1:$O$258,9,FALSE)),"",(VLOOKUP($E204,'D-1 Off-Site Habitat Baseline'!$D$1:$O$258,9,FALSE))))</f>
        <v/>
      </c>
      <c r="L204" s="382" t="str">
        <f>IF(E204="","",IF(ISNA(VLOOKUP($E204,'D-1 Off-Site Habitat Baseline'!$D$1:$O$258,11,FALSE)),"",(VLOOKUP($E204,'D-1 Off-Site Habitat Baseline'!$D$1:$O$258,11,FALSE))))</f>
        <v/>
      </c>
      <c r="M204" s="382" t="str">
        <f>IF(E204="","",IF(ISNA(VLOOKUP($E204,'D-1 Off-Site Habitat Baseline'!$D$1:$O$258,12,FALSE)),"",(VLOOKUP($E204,'D-1 Off-Site Habitat Baseline'!$D$1:$O$258,12,FALSE))))</f>
        <v/>
      </c>
      <c r="N204" s="382" t="str">
        <f>IF(E204="","",IF(ISNA(VLOOKUP($E204,'D-1 Off-Site Habitat Baseline'!$D$1:$AA$258,14,FALSE)),"",(VLOOKUP($E204,'D-1 Off-Site Habitat Baseline'!$D$1:$AA$258,14,FALSE))))</f>
        <v/>
      </c>
      <c r="O204" s="386" t="str">
        <f>IF(E204="","",IF(ISNA(VLOOKUP($E204,'D-1 Off-Site Habitat Baseline'!$D$1:$AA$258,13,FALSE)),"",(VLOOKUP($E204,'D-1 Off-Site Habitat Baseline'!$D$1:$AA$258,13,FALSE))))</f>
        <v/>
      </c>
      <c r="P204" s="184" t="str">
        <f>IFERROR(INDEX('G-1 All Habitats'!$AG$3:$AG$17,MATCH(Q204,'G-1 All Habitats'!$AF$3:$AF$17,0)),"")</f>
        <v/>
      </c>
      <c r="Q204" s="185" t="str">
        <f t="shared" si="25"/>
        <v/>
      </c>
      <c r="R204" s="186" t="str">
        <f t="shared" si="25"/>
        <v/>
      </c>
      <c r="S204" s="187" t="str">
        <f>IFERROR(INDEX('G-1 All Habitats'!$B$3:$B$134,MATCH(R204,'G-1 All Habitats'!$A$3:$A$134,0)),"")</f>
        <v/>
      </c>
      <c r="T204" s="370" t="str">
        <f t="shared" si="26"/>
        <v/>
      </c>
      <c r="U204" s="386" t="str">
        <f t="shared" si="27"/>
        <v/>
      </c>
      <c r="V204" s="385" t="str">
        <f t="shared" ref="V204:V258" si="34">IF(S204="","",VLOOKUP(E204,BaselineHabOffsite,20,FALSE))</f>
        <v/>
      </c>
      <c r="W204" s="382" t="str">
        <f>IF(S204="","",VLOOKUP(S204,'G-1 All Habitats'!$B$2:$M$134,10,FALSE))</f>
        <v/>
      </c>
      <c r="X204" s="382" t="str">
        <f>IFERROR(VLOOKUP(W204,'G-1 All Habitats'!$V$3:$W$7,2,FALSE),"")</f>
        <v/>
      </c>
      <c r="Y204" s="165"/>
      <c r="Z204" s="386" t="str">
        <f>IFERROR(INDEX('G-8 Condition Look up'!$A$3:$H$135,MATCH(S204,'G-8 Condition Look up'!$A$3:$A$135,0),MATCH(Y204,'G-8 Condition Look up'!$A$3:$H$3,0)),"")</f>
        <v/>
      </c>
      <c r="AA204" s="114"/>
      <c r="AB204" s="401" t="str">
        <f>IF(AA204="","",IF(VLOOKUP(AA204,'G-3 Multipliers'!$L$3:$N$6,2,FALSE)=0,"Spatial Data Missing ⚠",VLOOKUP(AA204,'G-3 Multipliers'!$L$3:$N$6,2,FALSE)))</f>
        <v/>
      </c>
      <c r="AC204" s="386" t="str">
        <f>IF(AA204="","",IF(VLOOKUP(AA204,'G-3 Multipliers'!$L$3:$N$6,3,FALSE)=0,"Spatial Data Missing ⚠",VLOOKUP(AA204,'G-3 Multipliers'!$L$3:$N$6,3,FALSE)))</f>
        <v/>
      </c>
      <c r="AD204" s="398" t="str">
        <f t="shared" ref="AD204:AD258" si="35">IFERROR(IF(OR(LEFT(U204,5)="Error",LEFT(T204,5)="Error"),"Check Data ⚠",INDEX(EnhanceTemporal,MATCH(S204,EnhanceHabitat,0),MATCH(U204,EnhanceCondition,0))),"")</f>
        <v/>
      </c>
      <c r="AE204" s="165"/>
      <c r="AF204" s="165"/>
      <c r="AG204" s="382" t="str">
        <f t="shared" si="28"/>
        <v/>
      </c>
      <c r="AH204" s="404" t="str">
        <f t="shared" si="29"/>
        <v/>
      </c>
      <c r="AI204" s="387" t="str">
        <f>IF(AH204="Check Data ⚠","Check Data ⚠",IFERROR(VLOOKUP(AH204,'G-4 Temporal multipliers'!$A$4:$C$36,3,FALSE),""))</f>
        <v/>
      </c>
      <c r="AJ204" s="398" t="str">
        <f>IF(S204="","",VLOOKUP(S204,'G-3 Multipliers'!$A$2:$E$134,4,FALSE))</f>
        <v/>
      </c>
      <c r="AK204" s="382" t="str">
        <f t="shared" si="30"/>
        <v/>
      </c>
      <c r="AL204" s="382" t="str">
        <f t="shared" si="31"/>
        <v/>
      </c>
      <c r="AM204" s="386" t="str">
        <f>IFERROR(IF(F204="","",IF(AH204="Check Data ⚠","Check Data ⚠",VLOOKUP(AL204, 'G-3 Multipliers'!$P$2:$Q$6,2,FALSE))),"")</f>
        <v/>
      </c>
      <c r="AN204" s="516"/>
      <c r="AO204" s="417" t="str">
        <f>IF(AN204="","",IF(VLOOKUP(AN204,'G-3 Multipliers'!$S$3:$T$10,2,FALSE)=0,"Spatial Data Missing ⚠",VLOOKUP(AN204,'G-3 Multipliers'!$S$3:$T$10,2,FALSE)))</f>
        <v/>
      </c>
      <c r="AP204" s="376" t="str">
        <f t="shared" si="32"/>
        <v/>
      </c>
      <c r="AQ204" s="376" t="str">
        <f t="shared" si="33"/>
        <v/>
      </c>
      <c r="AR204" s="119"/>
      <c r="AS204" s="528"/>
      <c r="AT204" s="120"/>
      <c r="AU204" s="120"/>
    </row>
    <row r="205" spans="1:47">
      <c r="A205" s="30" t="str">
        <f>IF(E205="","",IF(ISNA(VLOOKUP($E205,'D-1 Off-Site Habitat Baseline'!$D$1:$O$258,2,FALSE)),"",(VLOOKUP($E205,'D-1 Off-Site Habitat Baseline'!$D$1:$O$258,2,FALSE))))</f>
        <v/>
      </c>
      <c r="B205" s="30" t="str">
        <f>IF(E205="","",IF(ISNA(VLOOKUP($E205,'D-1 Off-Site Habitat Baseline'!$D$1:$O$258,3,FALSE)),"",(VLOOKUP($E205,'D-1 Off-Site Habitat Baseline'!$D$1:$O$258,3,FALSE))))</f>
        <v/>
      </c>
      <c r="C205" s="30" t="str">
        <f>IFERROR(INDEX('G-8 Condition Look up'!$I$4:$I$135,MATCH(S205,'G-8 Condition Look up'!$A$4:$A$135,0)),"")</f>
        <v/>
      </c>
      <c r="E205" s="407" t="str">
        <f>'D-1 Off-Site Habitat Baseline'!AP204</f>
        <v/>
      </c>
      <c r="F205" s="382" t="str">
        <f>IF(E205="","",IF(ISNA(VLOOKUP($E205,'D-1 Off-Site Habitat Baseline'!$D$1:$O$258,4,FALSE)),"",(VLOOKUP($E205,'D-1 Off-Site Habitat Baseline'!$D$1:$O$258,4,FALSE))))</f>
        <v/>
      </c>
      <c r="G205" s="382" t="str">
        <f>IF(E205="","",IF(ISNA(VLOOKUP($E205,'D-1 Off-Site Habitat Baseline'!$D$1:$O$258,5,FALSE)),"",(VLOOKUP($E205,'D-1 Off-Site Habitat Baseline'!$D$1:$O$258,5,FALSE))))</f>
        <v/>
      </c>
      <c r="H205" s="382" t="str">
        <f>IF(E205="","",IF(ISNA(VLOOKUP($E205,'D-1 Off-Site Habitat Baseline'!$D$1:$O$258,6,FALSE)),"",(VLOOKUP($E205,'D-1 Off-Site Habitat Baseline'!$D$1:$O$258,6,FALSE))))</f>
        <v/>
      </c>
      <c r="I205" s="382" t="str">
        <f>IF(E205="","",IF(ISNA(VLOOKUP($E205,'D-1 Off-Site Habitat Baseline'!$D$1:$O$258,7,FALSE)),"",(VLOOKUP($E205,'D-1 Off-Site Habitat Baseline'!$D$1:$O$258,7,FALSE))))</f>
        <v/>
      </c>
      <c r="J205" s="382" t="str">
        <f>IF(E205="","",IF(ISNA(VLOOKUP($E205,'D-1 Off-Site Habitat Baseline'!$D$1:$O$258,8,FALSE)),"",(VLOOKUP($E205,'D-1 Off-Site Habitat Baseline'!$D$1:$O$258,8,FALSE))))</f>
        <v/>
      </c>
      <c r="K205" s="382" t="str">
        <f>IF(E205="","",IF(ISNA(VLOOKUP($E205,'D-1 Off-Site Habitat Baseline'!$D$1:$O$258,9,FALSE)),"",(VLOOKUP($E205,'D-1 Off-Site Habitat Baseline'!$D$1:$O$258,9,FALSE))))</f>
        <v/>
      </c>
      <c r="L205" s="382" t="str">
        <f>IF(E205="","",IF(ISNA(VLOOKUP($E205,'D-1 Off-Site Habitat Baseline'!$D$1:$O$258,11,FALSE)),"",(VLOOKUP($E205,'D-1 Off-Site Habitat Baseline'!$D$1:$O$258,11,FALSE))))</f>
        <v/>
      </c>
      <c r="M205" s="382" t="str">
        <f>IF(E205="","",IF(ISNA(VLOOKUP($E205,'D-1 Off-Site Habitat Baseline'!$D$1:$O$258,12,FALSE)),"",(VLOOKUP($E205,'D-1 Off-Site Habitat Baseline'!$D$1:$O$258,12,FALSE))))</f>
        <v/>
      </c>
      <c r="N205" s="382" t="str">
        <f>IF(E205="","",IF(ISNA(VLOOKUP($E205,'D-1 Off-Site Habitat Baseline'!$D$1:$AA$258,14,FALSE)),"",(VLOOKUP($E205,'D-1 Off-Site Habitat Baseline'!$D$1:$AA$258,14,FALSE))))</f>
        <v/>
      </c>
      <c r="O205" s="386" t="str">
        <f>IF(E205="","",IF(ISNA(VLOOKUP($E205,'D-1 Off-Site Habitat Baseline'!$D$1:$AA$258,13,FALSE)),"",(VLOOKUP($E205,'D-1 Off-Site Habitat Baseline'!$D$1:$AA$258,13,FALSE))))</f>
        <v/>
      </c>
      <c r="P205" s="184" t="str">
        <f>IFERROR(INDEX('G-1 All Habitats'!$AG$3:$AG$17,MATCH(Q205,'G-1 All Habitats'!$AF$3:$AF$17,0)),"")</f>
        <v/>
      </c>
      <c r="Q205" s="185" t="str">
        <f t="shared" ref="Q205:R258" si="36">A205</f>
        <v/>
      </c>
      <c r="R205" s="186" t="str">
        <f t="shared" si="36"/>
        <v/>
      </c>
      <c r="S205" s="187" t="str">
        <f>IFERROR(INDEX('G-1 All Habitats'!$B$3:$B$134,MATCH(R205,'G-1 All Habitats'!$A$3:$A$134,0)),"")</f>
        <v/>
      </c>
      <c r="T205" s="370" t="str">
        <f t="shared" ref="T205:T258" si="37">IF(E205="","",IF(AND(LEFT(O205,6)="Same d",I205&gt;X205),"Error - Trading rules not satisfied ▲",IF(AND(LEFT(O205,6)="Same b",AND(LEFT(F205,5)&lt;&gt;LEFT(S205,5),I205&gt;X205)),"Error - Trading rules not satisfied ▲",IF(AND(LEFT(O205,6)="Same h",F205&lt;&gt;S205),"Error - Trading rules not satisfied ▲",IF(AND(LEFT(O205,6)="Bespok",F205&lt;&gt;S205),"Error - Trading rules not satisfied ▲",IF(X205&lt;I205,"Error Trading Down ▲",H205&amp;" - "&amp;W205))))))</f>
        <v/>
      </c>
      <c r="U205" s="386" t="str">
        <f t="shared" ref="U205:U257" si="38">IF(F205="","",IF(AND(LEFT(F205,55)&lt;&gt;LEFT(S205,55),T205= "High - High"),"Error - Not like for like ▲",IF(AND(I205=X205,K205&gt;Z205),"Error - Can not reduce condition ▲",IF(K205&gt;Z205, "Error - condition cannot be reduced ▲", IF(AND(I205=X205,K205=Z205),"Error - No enhancement ▲",IF(X205&lt;I205,"Error Trading Down ▲",IF(AND(F205&lt;&gt;S205,I205&lt;X205),"Lower Distinctiveness Habitat"&amp;" - "&amp;Y205,J205&amp;" - "&amp;Y205)))))))</f>
        <v/>
      </c>
      <c r="V205" s="385" t="str">
        <f t="shared" si="34"/>
        <v/>
      </c>
      <c r="W205" s="382" t="str">
        <f>IF(S205="","",VLOOKUP(S205,'G-1 All Habitats'!$B$2:$M$134,10,FALSE))</f>
        <v/>
      </c>
      <c r="X205" s="382" t="str">
        <f>IFERROR(VLOOKUP(W205,'G-1 All Habitats'!$V$3:$W$7,2,FALSE),"")</f>
        <v/>
      </c>
      <c r="Y205" s="165"/>
      <c r="Z205" s="386" t="str">
        <f>IFERROR(INDEX('G-8 Condition Look up'!$A$3:$H$135,MATCH(S205,'G-8 Condition Look up'!$A$3:$A$135,0),MATCH(Y205,'G-8 Condition Look up'!$A$3:$H$3,0)),"")</f>
        <v/>
      </c>
      <c r="AA205" s="114"/>
      <c r="AB205" s="401" t="str">
        <f>IF(AA205="","",IF(VLOOKUP(AA205,'G-3 Multipliers'!$L$3:$N$6,2,FALSE)=0,"Spatial Data Missing ⚠",VLOOKUP(AA205,'G-3 Multipliers'!$L$3:$N$6,2,FALSE)))</f>
        <v/>
      </c>
      <c r="AC205" s="386" t="str">
        <f>IF(AA205="","",IF(VLOOKUP(AA205,'G-3 Multipliers'!$L$3:$N$6,3,FALSE)=0,"Spatial Data Missing ⚠",VLOOKUP(AA205,'G-3 Multipliers'!$L$3:$N$6,3,FALSE)))</f>
        <v/>
      </c>
      <c r="AD205" s="398" t="str">
        <f t="shared" si="35"/>
        <v/>
      </c>
      <c r="AE205" s="165"/>
      <c r="AF205" s="165"/>
      <c r="AG205" s="382" t="str">
        <f t="shared" ref="AG205:AG258" si="39">IF(AD205="","",IF(AD205="Check Data ⚠","Check Data ⚠",IF(R205="","",IF(AND(AE205&gt;0,AF205&gt;0),"Error -both advance and delayed habitat creation ▲",IF(AND(OR(AE205="Habitat already in target condition",AD205&lt;=AE205),AF205=0),"Check details - Is there evidence that habitat has reached target condition? ⚠",IF(O204="","",IF(AE205&gt;0,"Check details - Is there evidence habitat creation started/in place? ⚠",IF(AF205&gt;0,"Check details- Delay in starting habitat in required condition? ⚠","Standard time to target condition applied"))))))))</f>
        <v/>
      </c>
      <c r="AH205" s="404" t="str">
        <f t="shared" ref="AH205:AH258" si="40">IF(AG205="Error -both advance and delayed habitat creation ▲","Check Data ⚠",IF(AG205="Check Data ⚠","Check Data ⚠",IF(AD205="","",IF(AD205="Not Possible","CheckData ⚠",IF(AND(AD205="30+",AE205=0),"30+",IF(AND(AD205="30+",AE205="30+"),0,IF(AND(AD205="30+",AE205&lt;30),30-AE205,IF(AD205="30+",30-AE205,IF(AF205="30+","30+",IF(AE205&gt;AD205,0,IF(AD205+AF205&gt;30,"30+",IF(AD205+AF205&gt;30,"30+",IF(AD205-AE205&gt;30,"30+",IF(AD205+AF205-AE205&gt;0,AD205+AF205-AE205,IF(AD205-AE205&gt;0,AD205-AE205,AD205+AF205-AE205)))))))))))))))</f>
        <v/>
      </c>
      <c r="AI205" s="387" t="str">
        <f>IF(AH205="Check Data ⚠","Check Data ⚠",IFERROR(VLOOKUP(AH205,'G-4 Temporal multipliers'!$A$4:$C$36,3,FALSE),""))</f>
        <v/>
      </c>
      <c r="AJ205" s="398" t="str">
        <f>IF(S205="","",VLOOKUP(S205,'G-3 Multipliers'!$A$2:$E$134,4,FALSE))</f>
        <v/>
      </c>
      <c r="AK205" s="382" t="str">
        <f t="shared" ref="AK205:AK258" si="41">IF(E205="","",IF(AG205="Check details - Is there evidence that habitat has reached target condition? ⚠","Low Difficulty - only applicable if all habitat created before losses","Standard difficulty applied"))</f>
        <v/>
      </c>
      <c r="AL205" s="382" t="str">
        <f t="shared" ref="AL205:AL258" si="42">(IF(AND(AK205="Standard difficulty applied",AD205&gt;AE205),AJ205,IF(AND(AK205="Low Difficulty - only applicable if all habitat created before losses",AE205&gt;=AD205),"Low", AJ205)))</f>
        <v/>
      </c>
      <c r="AM205" s="386" t="str">
        <f>IFERROR(IF(F205="","",IF(AH205="Check Data ⚠","Check Data ⚠",VLOOKUP(AL205, 'G-3 Multipliers'!$P$2:$Q$6,2,FALSE))),"")</f>
        <v/>
      </c>
      <c r="AN205" s="516"/>
      <c r="AO205" s="417" t="str">
        <f>IF(AN205="","",IF(VLOOKUP(AN205,'G-3 Multipliers'!$S$3:$T$10,2,FALSE)=0,"Spatial Data Missing ⚠",VLOOKUP(AN205,'G-3 Multipliers'!$S$3:$T$10,2,FALSE)))</f>
        <v/>
      </c>
      <c r="AP205" s="376" t="str">
        <f t="shared" ref="AP205:AP258" si="43">IFERROR(((((V205*X205*Z205)-(V205*I205*K205))*(AM205*AI205))+(V205*I205*K205))*(AC205)*AO205,"")</f>
        <v/>
      </c>
      <c r="AQ205" s="376" t="str">
        <f t="shared" ref="AQ205:AQ258" si="44">IFERROR(IF(AN205="", "",((((V205*X205*Z205)-(V205*I205*K205))*(AM205*AI205))+(V205*I205*K205))*(AC205)),"")</f>
        <v/>
      </c>
      <c r="AR205" s="119"/>
      <c r="AS205" s="528"/>
      <c r="AT205" s="120"/>
      <c r="AU205" s="120"/>
    </row>
    <row r="206" spans="1:47">
      <c r="A206" s="30" t="str">
        <f>IF(E206="","",IF(ISNA(VLOOKUP($E206,'D-1 Off-Site Habitat Baseline'!$D$1:$O$258,2,FALSE)),"",(VLOOKUP($E206,'D-1 Off-Site Habitat Baseline'!$D$1:$O$258,2,FALSE))))</f>
        <v/>
      </c>
      <c r="B206" s="30" t="str">
        <f>IF(E206="","",IF(ISNA(VLOOKUP($E206,'D-1 Off-Site Habitat Baseline'!$D$1:$O$258,3,FALSE)),"",(VLOOKUP($E206,'D-1 Off-Site Habitat Baseline'!$D$1:$O$258,3,FALSE))))</f>
        <v/>
      </c>
      <c r="C206" s="30" t="str">
        <f>IFERROR(INDEX('G-8 Condition Look up'!$I$4:$I$135,MATCH(S206,'G-8 Condition Look up'!$A$4:$A$135,0)),"")</f>
        <v/>
      </c>
      <c r="E206" s="407" t="str">
        <f>'D-1 Off-Site Habitat Baseline'!AP205</f>
        <v/>
      </c>
      <c r="F206" s="382" t="str">
        <f>IF(E206="","",IF(ISNA(VLOOKUP($E206,'D-1 Off-Site Habitat Baseline'!$D$1:$O$258,4,FALSE)),"",(VLOOKUP($E206,'D-1 Off-Site Habitat Baseline'!$D$1:$O$258,4,FALSE))))</f>
        <v/>
      </c>
      <c r="G206" s="382" t="str">
        <f>IF(E206="","",IF(ISNA(VLOOKUP($E206,'D-1 Off-Site Habitat Baseline'!$D$1:$O$258,5,FALSE)),"",(VLOOKUP($E206,'D-1 Off-Site Habitat Baseline'!$D$1:$O$258,5,FALSE))))</f>
        <v/>
      </c>
      <c r="H206" s="382" t="str">
        <f>IF(E206="","",IF(ISNA(VLOOKUP($E206,'D-1 Off-Site Habitat Baseline'!$D$1:$O$258,6,FALSE)),"",(VLOOKUP($E206,'D-1 Off-Site Habitat Baseline'!$D$1:$O$258,6,FALSE))))</f>
        <v/>
      </c>
      <c r="I206" s="382" t="str">
        <f>IF(E206="","",IF(ISNA(VLOOKUP($E206,'D-1 Off-Site Habitat Baseline'!$D$1:$O$258,7,FALSE)),"",(VLOOKUP($E206,'D-1 Off-Site Habitat Baseline'!$D$1:$O$258,7,FALSE))))</f>
        <v/>
      </c>
      <c r="J206" s="382" t="str">
        <f>IF(E206="","",IF(ISNA(VLOOKUP($E206,'D-1 Off-Site Habitat Baseline'!$D$1:$O$258,8,FALSE)),"",(VLOOKUP($E206,'D-1 Off-Site Habitat Baseline'!$D$1:$O$258,8,FALSE))))</f>
        <v/>
      </c>
      <c r="K206" s="382" t="str">
        <f>IF(E206="","",IF(ISNA(VLOOKUP($E206,'D-1 Off-Site Habitat Baseline'!$D$1:$O$258,9,FALSE)),"",(VLOOKUP($E206,'D-1 Off-Site Habitat Baseline'!$D$1:$O$258,9,FALSE))))</f>
        <v/>
      </c>
      <c r="L206" s="382" t="str">
        <f>IF(E206="","",IF(ISNA(VLOOKUP($E206,'D-1 Off-Site Habitat Baseline'!$D$1:$O$258,11,FALSE)),"",(VLOOKUP($E206,'D-1 Off-Site Habitat Baseline'!$D$1:$O$258,11,FALSE))))</f>
        <v/>
      </c>
      <c r="M206" s="382" t="str">
        <f>IF(E206="","",IF(ISNA(VLOOKUP($E206,'D-1 Off-Site Habitat Baseline'!$D$1:$O$258,12,FALSE)),"",(VLOOKUP($E206,'D-1 Off-Site Habitat Baseline'!$D$1:$O$258,12,FALSE))))</f>
        <v/>
      </c>
      <c r="N206" s="382" t="str">
        <f>IF(E206="","",IF(ISNA(VLOOKUP($E206,'D-1 Off-Site Habitat Baseline'!$D$1:$AA$258,14,FALSE)),"",(VLOOKUP($E206,'D-1 Off-Site Habitat Baseline'!$D$1:$AA$258,14,FALSE))))</f>
        <v/>
      </c>
      <c r="O206" s="386" t="str">
        <f>IF(E206="","",IF(ISNA(VLOOKUP($E206,'D-1 Off-Site Habitat Baseline'!$D$1:$AA$258,13,FALSE)),"",(VLOOKUP($E206,'D-1 Off-Site Habitat Baseline'!$D$1:$AA$258,13,FALSE))))</f>
        <v/>
      </c>
      <c r="P206" s="184" t="str">
        <f>IFERROR(INDEX('G-1 All Habitats'!$AG$3:$AG$17,MATCH(Q206,'G-1 All Habitats'!$AF$3:$AF$17,0)),"")</f>
        <v/>
      </c>
      <c r="Q206" s="185" t="str">
        <f t="shared" si="36"/>
        <v/>
      </c>
      <c r="R206" s="186" t="str">
        <f t="shared" si="36"/>
        <v/>
      </c>
      <c r="S206" s="187" t="str">
        <f>IFERROR(INDEX('G-1 All Habitats'!$B$3:$B$134,MATCH(R206,'G-1 All Habitats'!$A$3:$A$134,0)),"")</f>
        <v/>
      </c>
      <c r="T206" s="370" t="str">
        <f t="shared" si="37"/>
        <v/>
      </c>
      <c r="U206" s="386" t="str">
        <f t="shared" si="38"/>
        <v/>
      </c>
      <c r="V206" s="385" t="str">
        <f t="shared" si="34"/>
        <v/>
      </c>
      <c r="W206" s="382" t="str">
        <f>IF(S206="","",VLOOKUP(S206,'G-1 All Habitats'!$B$2:$M$134,10,FALSE))</f>
        <v/>
      </c>
      <c r="X206" s="382" t="str">
        <f>IFERROR(VLOOKUP(W206,'G-1 All Habitats'!$V$3:$W$7,2,FALSE),"")</f>
        <v/>
      </c>
      <c r="Y206" s="165"/>
      <c r="Z206" s="386" t="str">
        <f>IFERROR(INDEX('G-8 Condition Look up'!$A$3:$H$135,MATCH(S206,'G-8 Condition Look up'!$A$3:$A$135,0),MATCH(Y206,'G-8 Condition Look up'!$A$3:$H$3,0)),"")</f>
        <v/>
      </c>
      <c r="AA206" s="114"/>
      <c r="AB206" s="401" t="str">
        <f>IF(AA206="","",IF(VLOOKUP(AA206,'G-3 Multipliers'!$L$3:$N$6,2,FALSE)=0,"Spatial Data Missing ⚠",VLOOKUP(AA206,'G-3 Multipliers'!$L$3:$N$6,2,FALSE)))</f>
        <v/>
      </c>
      <c r="AC206" s="386" t="str">
        <f>IF(AA206="","",IF(VLOOKUP(AA206,'G-3 Multipliers'!$L$3:$N$6,3,FALSE)=0,"Spatial Data Missing ⚠",VLOOKUP(AA206,'G-3 Multipliers'!$L$3:$N$6,3,FALSE)))</f>
        <v/>
      </c>
      <c r="AD206" s="398" t="str">
        <f t="shared" si="35"/>
        <v/>
      </c>
      <c r="AE206" s="165"/>
      <c r="AF206" s="165"/>
      <c r="AG206" s="382" t="str">
        <f t="shared" si="39"/>
        <v/>
      </c>
      <c r="AH206" s="404" t="str">
        <f t="shared" si="40"/>
        <v/>
      </c>
      <c r="AI206" s="387" t="str">
        <f>IF(AH206="Check Data ⚠","Check Data ⚠",IFERROR(VLOOKUP(AH206,'G-4 Temporal multipliers'!$A$4:$C$36,3,FALSE),""))</f>
        <v/>
      </c>
      <c r="AJ206" s="398" t="str">
        <f>IF(S206="","",VLOOKUP(S206,'G-3 Multipliers'!$A$2:$E$134,4,FALSE))</f>
        <v/>
      </c>
      <c r="AK206" s="382" t="str">
        <f t="shared" si="41"/>
        <v/>
      </c>
      <c r="AL206" s="382" t="str">
        <f t="shared" si="42"/>
        <v/>
      </c>
      <c r="AM206" s="386" t="str">
        <f>IFERROR(IF(F206="","",IF(AH206="Check Data ⚠","Check Data ⚠",VLOOKUP(AL206, 'G-3 Multipliers'!$P$2:$Q$6,2,FALSE))),"")</f>
        <v/>
      </c>
      <c r="AN206" s="516"/>
      <c r="AO206" s="417" t="str">
        <f>IF(AN206="","",IF(VLOOKUP(AN206,'G-3 Multipliers'!$S$3:$T$10,2,FALSE)=0,"Spatial Data Missing ⚠",VLOOKUP(AN206,'G-3 Multipliers'!$S$3:$T$10,2,FALSE)))</f>
        <v/>
      </c>
      <c r="AP206" s="376" t="str">
        <f t="shared" si="43"/>
        <v/>
      </c>
      <c r="AQ206" s="376" t="str">
        <f t="shared" si="44"/>
        <v/>
      </c>
      <c r="AR206" s="119"/>
      <c r="AS206" s="528"/>
      <c r="AT206" s="120"/>
      <c r="AU206" s="120"/>
    </row>
    <row r="207" spans="1:47">
      <c r="A207" s="30" t="str">
        <f>IF(E207="","",IF(ISNA(VLOOKUP($E207,'D-1 Off-Site Habitat Baseline'!$D$1:$O$258,2,FALSE)),"",(VLOOKUP($E207,'D-1 Off-Site Habitat Baseline'!$D$1:$O$258,2,FALSE))))</f>
        <v/>
      </c>
      <c r="B207" s="30" t="str">
        <f>IF(E207="","",IF(ISNA(VLOOKUP($E207,'D-1 Off-Site Habitat Baseline'!$D$1:$O$258,3,FALSE)),"",(VLOOKUP($E207,'D-1 Off-Site Habitat Baseline'!$D$1:$O$258,3,FALSE))))</f>
        <v/>
      </c>
      <c r="C207" s="30" t="str">
        <f>IFERROR(INDEX('G-8 Condition Look up'!$I$4:$I$135,MATCH(S207,'G-8 Condition Look up'!$A$4:$A$135,0)),"")</f>
        <v/>
      </c>
      <c r="E207" s="407" t="str">
        <f>'D-1 Off-Site Habitat Baseline'!AP206</f>
        <v/>
      </c>
      <c r="F207" s="382" t="str">
        <f>IF(E207="","",IF(ISNA(VLOOKUP($E207,'D-1 Off-Site Habitat Baseline'!$D$1:$O$258,4,FALSE)),"",(VLOOKUP($E207,'D-1 Off-Site Habitat Baseline'!$D$1:$O$258,4,FALSE))))</f>
        <v/>
      </c>
      <c r="G207" s="382" t="str">
        <f>IF(E207="","",IF(ISNA(VLOOKUP($E207,'D-1 Off-Site Habitat Baseline'!$D$1:$O$258,5,FALSE)),"",(VLOOKUP($E207,'D-1 Off-Site Habitat Baseline'!$D$1:$O$258,5,FALSE))))</f>
        <v/>
      </c>
      <c r="H207" s="382" t="str">
        <f>IF(E207="","",IF(ISNA(VLOOKUP($E207,'D-1 Off-Site Habitat Baseline'!$D$1:$O$258,6,FALSE)),"",(VLOOKUP($E207,'D-1 Off-Site Habitat Baseline'!$D$1:$O$258,6,FALSE))))</f>
        <v/>
      </c>
      <c r="I207" s="382" t="str">
        <f>IF(E207="","",IF(ISNA(VLOOKUP($E207,'D-1 Off-Site Habitat Baseline'!$D$1:$O$258,7,FALSE)),"",(VLOOKUP($E207,'D-1 Off-Site Habitat Baseline'!$D$1:$O$258,7,FALSE))))</f>
        <v/>
      </c>
      <c r="J207" s="382" t="str">
        <f>IF(E207="","",IF(ISNA(VLOOKUP($E207,'D-1 Off-Site Habitat Baseline'!$D$1:$O$258,8,FALSE)),"",(VLOOKUP($E207,'D-1 Off-Site Habitat Baseline'!$D$1:$O$258,8,FALSE))))</f>
        <v/>
      </c>
      <c r="K207" s="382" t="str">
        <f>IF(E207="","",IF(ISNA(VLOOKUP($E207,'D-1 Off-Site Habitat Baseline'!$D$1:$O$258,9,FALSE)),"",(VLOOKUP($E207,'D-1 Off-Site Habitat Baseline'!$D$1:$O$258,9,FALSE))))</f>
        <v/>
      </c>
      <c r="L207" s="382" t="str">
        <f>IF(E207="","",IF(ISNA(VLOOKUP($E207,'D-1 Off-Site Habitat Baseline'!$D$1:$O$258,11,FALSE)),"",(VLOOKUP($E207,'D-1 Off-Site Habitat Baseline'!$D$1:$O$258,11,FALSE))))</f>
        <v/>
      </c>
      <c r="M207" s="382" t="str">
        <f>IF(E207="","",IF(ISNA(VLOOKUP($E207,'D-1 Off-Site Habitat Baseline'!$D$1:$O$258,12,FALSE)),"",(VLOOKUP($E207,'D-1 Off-Site Habitat Baseline'!$D$1:$O$258,12,FALSE))))</f>
        <v/>
      </c>
      <c r="N207" s="382" t="str">
        <f>IF(E207="","",IF(ISNA(VLOOKUP($E207,'D-1 Off-Site Habitat Baseline'!$D$1:$AA$258,14,FALSE)),"",(VLOOKUP($E207,'D-1 Off-Site Habitat Baseline'!$D$1:$AA$258,14,FALSE))))</f>
        <v/>
      </c>
      <c r="O207" s="386" t="str">
        <f>IF(E207="","",IF(ISNA(VLOOKUP($E207,'D-1 Off-Site Habitat Baseline'!$D$1:$AA$258,13,FALSE)),"",(VLOOKUP($E207,'D-1 Off-Site Habitat Baseline'!$D$1:$AA$258,13,FALSE))))</f>
        <v/>
      </c>
      <c r="P207" s="184" t="str">
        <f>IFERROR(INDEX('G-1 All Habitats'!$AG$3:$AG$17,MATCH(Q207,'G-1 All Habitats'!$AF$3:$AF$17,0)),"")</f>
        <v/>
      </c>
      <c r="Q207" s="185" t="str">
        <f t="shared" si="36"/>
        <v/>
      </c>
      <c r="R207" s="186" t="str">
        <f t="shared" si="36"/>
        <v/>
      </c>
      <c r="S207" s="187" t="str">
        <f>IFERROR(INDEX('G-1 All Habitats'!$B$3:$B$134,MATCH(R207,'G-1 All Habitats'!$A$3:$A$134,0)),"")</f>
        <v/>
      </c>
      <c r="T207" s="370" t="str">
        <f t="shared" si="37"/>
        <v/>
      </c>
      <c r="U207" s="386" t="str">
        <f t="shared" si="38"/>
        <v/>
      </c>
      <c r="V207" s="385" t="str">
        <f t="shared" si="34"/>
        <v/>
      </c>
      <c r="W207" s="382" t="str">
        <f>IF(S207="","",VLOOKUP(S207,'G-1 All Habitats'!$B$2:$M$134,10,FALSE))</f>
        <v/>
      </c>
      <c r="X207" s="382" t="str">
        <f>IFERROR(VLOOKUP(W207,'G-1 All Habitats'!$V$3:$W$7,2,FALSE),"")</f>
        <v/>
      </c>
      <c r="Y207" s="165"/>
      <c r="Z207" s="386" t="str">
        <f>IFERROR(INDEX('G-8 Condition Look up'!$A$3:$H$135,MATCH(S207,'G-8 Condition Look up'!$A$3:$A$135,0),MATCH(Y207,'G-8 Condition Look up'!$A$3:$H$3,0)),"")</f>
        <v/>
      </c>
      <c r="AA207" s="114"/>
      <c r="AB207" s="401" t="str">
        <f>IF(AA207="","",IF(VLOOKUP(AA207,'G-3 Multipliers'!$L$3:$N$6,2,FALSE)=0,"Spatial Data Missing ⚠",VLOOKUP(AA207,'G-3 Multipliers'!$L$3:$N$6,2,FALSE)))</f>
        <v/>
      </c>
      <c r="AC207" s="386" t="str">
        <f>IF(AA207="","",IF(VLOOKUP(AA207,'G-3 Multipliers'!$L$3:$N$6,3,FALSE)=0,"Spatial Data Missing ⚠",VLOOKUP(AA207,'G-3 Multipliers'!$L$3:$N$6,3,FALSE)))</f>
        <v/>
      </c>
      <c r="AD207" s="398" t="str">
        <f t="shared" si="35"/>
        <v/>
      </c>
      <c r="AE207" s="165"/>
      <c r="AF207" s="165"/>
      <c r="AG207" s="382" t="str">
        <f t="shared" si="39"/>
        <v/>
      </c>
      <c r="AH207" s="404" t="str">
        <f t="shared" si="40"/>
        <v/>
      </c>
      <c r="AI207" s="387" t="str">
        <f>IF(AH207="Check Data ⚠","Check Data ⚠",IFERROR(VLOOKUP(AH207,'G-4 Temporal multipliers'!$A$4:$C$36,3,FALSE),""))</f>
        <v/>
      </c>
      <c r="AJ207" s="398" t="str">
        <f>IF(S207="","",VLOOKUP(S207,'G-3 Multipliers'!$A$2:$E$134,4,FALSE))</f>
        <v/>
      </c>
      <c r="AK207" s="382" t="str">
        <f t="shared" si="41"/>
        <v/>
      </c>
      <c r="AL207" s="382" t="str">
        <f t="shared" si="42"/>
        <v/>
      </c>
      <c r="AM207" s="386" t="str">
        <f>IFERROR(IF(F207="","",IF(AH207="Check Data ⚠","Check Data ⚠",VLOOKUP(AL207, 'G-3 Multipliers'!$P$2:$Q$6,2,FALSE))),"")</f>
        <v/>
      </c>
      <c r="AN207" s="516"/>
      <c r="AO207" s="417" t="str">
        <f>IF(AN207="","",IF(VLOOKUP(AN207,'G-3 Multipliers'!$S$3:$T$10,2,FALSE)=0,"Spatial Data Missing ⚠",VLOOKUP(AN207,'G-3 Multipliers'!$S$3:$T$10,2,FALSE)))</f>
        <v/>
      </c>
      <c r="AP207" s="376" t="str">
        <f t="shared" si="43"/>
        <v/>
      </c>
      <c r="AQ207" s="376" t="str">
        <f t="shared" si="44"/>
        <v/>
      </c>
      <c r="AR207" s="119"/>
      <c r="AS207" s="528"/>
      <c r="AT207" s="120"/>
      <c r="AU207" s="120"/>
    </row>
    <row r="208" spans="1:47">
      <c r="A208" s="30" t="str">
        <f>IF(E208="","",IF(ISNA(VLOOKUP($E208,'D-1 Off-Site Habitat Baseline'!$D$1:$O$258,2,FALSE)),"",(VLOOKUP($E208,'D-1 Off-Site Habitat Baseline'!$D$1:$O$258,2,FALSE))))</f>
        <v/>
      </c>
      <c r="B208" s="30" t="str">
        <f>IF(E208="","",IF(ISNA(VLOOKUP($E208,'D-1 Off-Site Habitat Baseline'!$D$1:$O$258,3,FALSE)),"",(VLOOKUP($E208,'D-1 Off-Site Habitat Baseline'!$D$1:$O$258,3,FALSE))))</f>
        <v/>
      </c>
      <c r="C208" s="30" t="str">
        <f>IFERROR(INDEX('G-8 Condition Look up'!$I$4:$I$135,MATCH(S208,'G-8 Condition Look up'!$A$4:$A$135,0)),"")</f>
        <v/>
      </c>
      <c r="E208" s="407" t="str">
        <f>'D-1 Off-Site Habitat Baseline'!AP207</f>
        <v/>
      </c>
      <c r="F208" s="382" t="str">
        <f>IF(E208="","",IF(ISNA(VLOOKUP($E208,'D-1 Off-Site Habitat Baseline'!$D$1:$O$258,4,FALSE)),"",(VLOOKUP($E208,'D-1 Off-Site Habitat Baseline'!$D$1:$O$258,4,FALSE))))</f>
        <v/>
      </c>
      <c r="G208" s="382" t="str">
        <f>IF(E208="","",IF(ISNA(VLOOKUP($E208,'D-1 Off-Site Habitat Baseline'!$D$1:$O$258,5,FALSE)),"",(VLOOKUP($E208,'D-1 Off-Site Habitat Baseline'!$D$1:$O$258,5,FALSE))))</f>
        <v/>
      </c>
      <c r="H208" s="382" t="str">
        <f>IF(E208="","",IF(ISNA(VLOOKUP($E208,'D-1 Off-Site Habitat Baseline'!$D$1:$O$258,6,FALSE)),"",(VLOOKUP($E208,'D-1 Off-Site Habitat Baseline'!$D$1:$O$258,6,FALSE))))</f>
        <v/>
      </c>
      <c r="I208" s="382" t="str">
        <f>IF(E208="","",IF(ISNA(VLOOKUP($E208,'D-1 Off-Site Habitat Baseline'!$D$1:$O$258,7,FALSE)),"",(VLOOKUP($E208,'D-1 Off-Site Habitat Baseline'!$D$1:$O$258,7,FALSE))))</f>
        <v/>
      </c>
      <c r="J208" s="382" t="str">
        <f>IF(E208="","",IF(ISNA(VLOOKUP($E208,'D-1 Off-Site Habitat Baseline'!$D$1:$O$258,8,FALSE)),"",(VLOOKUP($E208,'D-1 Off-Site Habitat Baseline'!$D$1:$O$258,8,FALSE))))</f>
        <v/>
      </c>
      <c r="K208" s="382" t="str">
        <f>IF(E208="","",IF(ISNA(VLOOKUP($E208,'D-1 Off-Site Habitat Baseline'!$D$1:$O$258,9,FALSE)),"",(VLOOKUP($E208,'D-1 Off-Site Habitat Baseline'!$D$1:$O$258,9,FALSE))))</f>
        <v/>
      </c>
      <c r="L208" s="382" t="str">
        <f>IF(E208="","",IF(ISNA(VLOOKUP($E208,'D-1 Off-Site Habitat Baseline'!$D$1:$O$258,11,FALSE)),"",(VLOOKUP($E208,'D-1 Off-Site Habitat Baseline'!$D$1:$O$258,11,FALSE))))</f>
        <v/>
      </c>
      <c r="M208" s="382" t="str">
        <f>IF(E208="","",IF(ISNA(VLOOKUP($E208,'D-1 Off-Site Habitat Baseline'!$D$1:$O$258,12,FALSE)),"",(VLOOKUP($E208,'D-1 Off-Site Habitat Baseline'!$D$1:$O$258,12,FALSE))))</f>
        <v/>
      </c>
      <c r="N208" s="382" t="str">
        <f>IF(E208="","",IF(ISNA(VLOOKUP($E208,'D-1 Off-Site Habitat Baseline'!$D$1:$AA$258,14,FALSE)),"",(VLOOKUP($E208,'D-1 Off-Site Habitat Baseline'!$D$1:$AA$258,14,FALSE))))</f>
        <v/>
      </c>
      <c r="O208" s="386" t="str">
        <f>IF(E208="","",IF(ISNA(VLOOKUP($E208,'D-1 Off-Site Habitat Baseline'!$D$1:$AA$258,13,FALSE)),"",(VLOOKUP($E208,'D-1 Off-Site Habitat Baseline'!$D$1:$AA$258,13,FALSE))))</f>
        <v/>
      </c>
      <c r="P208" s="184" t="str">
        <f>IFERROR(INDEX('G-1 All Habitats'!$AG$3:$AG$17,MATCH(Q208,'G-1 All Habitats'!$AF$3:$AF$17,0)),"")</f>
        <v/>
      </c>
      <c r="Q208" s="185" t="str">
        <f t="shared" si="36"/>
        <v/>
      </c>
      <c r="R208" s="186" t="str">
        <f t="shared" si="36"/>
        <v/>
      </c>
      <c r="S208" s="187" t="str">
        <f>IFERROR(INDEX('G-1 All Habitats'!$B$3:$B$134,MATCH(R208,'G-1 All Habitats'!$A$3:$A$134,0)),"")</f>
        <v/>
      </c>
      <c r="T208" s="370" t="str">
        <f t="shared" si="37"/>
        <v/>
      </c>
      <c r="U208" s="386" t="str">
        <f t="shared" si="38"/>
        <v/>
      </c>
      <c r="V208" s="385" t="str">
        <f t="shared" si="34"/>
        <v/>
      </c>
      <c r="W208" s="382" t="str">
        <f>IF(S208="","",VLOOKUP(S208,'G-1 All Habitats'!$B$2:$M$134,10,FALSE))</f>
        <v/>
      </c>
      <c r="X208" s="382" t="str">
        <f>IFERROR(VLOOKUP(W208,'G-1 All Habitats'!$V$3:$W$7,2,FALSE),"")</f>
        <v/>
      </c>
      <c r="Y208" s="165"/>
      <c r="Z208" s="386" t="str">
        <f>IFERROR(INDEX('G-8 Condition Look up'!$A$3:$H$135,MATCH(S208,'G-8 Condition Look up'!$A$3:$A$135,0),MATCH(Y208,'G-8 Condition Look up'!$A$3:$H$3,0)),"")</f>
        <v/>
      </c>
      <c r="AA208" s="114"/>
      <c r="AB208" s="401" t="str">
        <f>IF(AA208="","",IF(VLOOKUP(AA208,'G-3 Multipliers'!$L$3:$N$6,2,FALSE)=0,"Spatial Data Missing ⚠",VLOOKUP(AA208,'G-3 Multipliers'!$L$3:$N$6,2,FALSE)))</f>
        <v/>
      </c>
      <c r="AC208" s="386" t="str">
        <f>IF(AA208="","",IF(VLOOKUP(AA208,'G-3 Multipliers'!$L$3:$N$6,3,FALSE)=0,"Spatial Data Missing ⚠",VLOOKUP(AA208,'G-3 Multipliers'!$L$3:$N$6,3,FALSE)))</f>
        <v/>
      </c>
      <c r="AD208" s="398" t="str">
        <f t="shared" si="35"/>
        <v/>
      </c>
      <c r="AE208" s="165"/>
      <c r="AF208" s="165"/>
      <c r="AG208" s="382" t="str">
        <f t="shared" si="39"/>
        <v/>
      </c>
      <c r="AH208" s="404" t="str">
        <f t="shared" si="40"/>
        <v/>
      </c>
      <c r="AI208" s="387" t="str">
        <f>IF(AH208="Check Data ⚠","Check Data ⚠",IFERROR(VLOOKUP(AH208,'G-4 Temporal multipliers'!$A$4:$C$36,3,FALSE),""))</f>
        <v/>
      </c>
      <c r="AJ208" s="398" t="str">
        <f>IF(S208="","",VLOOKUP(S208,'G-3 Multipliers'!$A$2:$E$134,4,FALSE))</f>
        <v/>
      </c>
      <c r="AK208" s="382" t="str">
        <f t="shared" si="41"/>
        <v/>
      </c>
      <c r="AL208" s="382" t="str">
        <f t="shared" si="42"/>
        <v/>
      </c>
      <c r="AM208" s="386" t="str">
        <f>IFERROR(IF(F208="","",IF(AH208="Check Data ⚠","Check Data ⚠",VLOOKUP(AL208, 'G-3 Multipliers'!$P$2:$Q$6,2,FALSE))),"")</f>
        <v/>
      </c>
      <c r="AN208" s="516"/>
      <c r="AO208" s="417" t="str">
        <f>IF(AN208="","",IF(VLOOKUP(AN208,'G-3 Multipliers'!$S$3:$T$10,2,FALSE)=0,"Spatial Data Missing ⚠",VLOOKUP(AN208,'G-3 Multipliers'!$S$3:$T$10,2,FALSE)))</f>
        <v/>
      </c>
      <c r="AP208" s="376" t="str">
        <f t="shared" si="43"/>
        <v/>
      </c>
      <c r="AQ208" s="376" t="str">
        <f t="shared" si="44"/>
        <v/>
      </c>
      <c r="AR208" s="119"/>
      <c r="AS208" s="528"/>
      <c r="AT208" s="120"/>
      <c r="AU208" s="120"/>
    </row>
    <row r="209" spans="1:47">
      <c r="A209" s="30" t="str">
        <f>IF(E209="","",IF(ISNA(VLOOKUP($E209,'D-1 Off-Site Habitat Baseline'!$D$1:$O$258,2,FALSE)),"",(VLOOKUP($E209,'D-1 Off-Site Habitat Baseline'!$D$1:$O$258,2,FALSE))))</f>
        <v/>
      </c>
      <c r="B209" s="30" t="str">
        <f>IF(E209="","",IF(ISNA(VLOOKUP($E209,'D-1 Off-Site Habitat Baseline'!$D$1:$O$258,3,FALSE)),"",(VLOOKUP($E209,'D-1 Off-Site Habitat Baseline'!$D$1:$O$258,3,FALSE))))</f>
        <v/>
      </c>
      <c r="C209" s="30" t="str">
        <f>IFERROR(INDEX('G-8 Condition Look up'!$I$4:$I$135,MATCH(S209,'G-8 Condition Look up'!$A$4:$A$135,0)),"")</f>
        <v/>
      </c>
      <c r="E209" s="407" t="str">
        <f>'D-1 Off-Site Habitat Baseline'!AP208</f>
        <v/>
      </c>
      <c r="F209" s="382" t="str">
        <f>IF(E209="","",IF(ISNA(VLOOKUP($E209,'D-1 Off-Site Habitat Baseline'!$D$1:$O$258,4,FALSE)),"",(VLOOKUP($E209,'D-1 Off-Site Habitat Baseline'!$D$1:$O$258,4,FALSE))))</f>
        <v/>
      </c>
      <c r="G209" s="382" t="str">
        <f>IF(E209="","",IF(ISNA(VLOOKUP($E209,'D-1 Off-Site Habitat Baseline'!$D$1:$O$258,5,FALSE)),"",(VLOOKUP($E209,'D-1 Off-Site Habitat Baseline'!$D$1:$O$258,5,FALSE))))</f>
        <v/>
      </c>
      <c r="H209" s="382" t="str">
        <f>IF(E209="","",IF(ISNA(VLOOKUP($E209,'D-1 Off-Site Habitat Baseline'!$D$1:$O$258,6,FALSE)),"",(VLOOKUP($E209,'D-1 Off-Site Habitat Baseline'!$D$1:$O$258,6,FALSE))))</f>
        <v/>
      </c>
      <c r="I209" s="382" t="str">
        <f>IF(E209="","",IF(ISNA(VLOOKUP($E209,'D-1 Off-Site Habitat Baseline'!$D$1:$O$258,7,FALSE)),"",(VLOOKUP($E209,'D-1 Off-Site Habitat Baseline'!$D$1:$O$258,7,FALSE))))</f>
        <v/>
      </c>
      <c r="J209" s="382" t="str">
        <f>IF(E209="","",IF(ISNA(VLOOKUP($E209,'D-1 Off-Site Habitat Baseline'!$D$1:$O$258,8,FALSE)),"",(VLOOKUP($E209,'D-1 Off-Site Habitat Baseline'!$D$1:$O$258,8,FALSE))))</f>
        <v/>
      </c>
      <c r="K209" s="382" t="str">
        <f>IF(E209="","",IF(ISNA(VLOOKUP($E209,'D-1 Off-Site Habitat Baseline'!$D$1:$O$258,9,FALSE)),"",(VLOOKUP($E209,'D-1 Off-Site Habitat Baseline'!$D$1:$O$258,9,FALSE))))</f>
        <v/>
      </c>
      <c r="L209" s="382" t="str">
        <f>IF(E209="","",IF(ISNA(VLOOKUP($E209,'D-1 Off-Site Habitat Baseline'!$D$1:$O$258,11,FALSE)),"",(VLOOKUP($E209,'D-1 Off-Site Habitat Baseline'!$D$1:$O$258,11,FALSE))))</f>
        <v/>
      </c>
      <c r="M209" s="382" t="str">
        <f>IF(E209="","",IF(ISNA(VLOOKUP($E209,'D-1 Off-Site Habitat Baseline'!$D$1:$O$258,12,FALSE)),"",(VLOOKUP($E209,'D-1 Off-Site Habitat Baseline'!$D$1:$O$258,12,FALSE))))</f>
        <v/>
      </c>
      <c r="N209" s="382" t="str">
        <f>IF(E209="","",IF(ISNA(VLOOKUP($E209,'D-1 Off-Site Habitat Baseline'!$D$1:$AA$258,14,FALSE)),"",(VLOOKUP($E209,'D-1 Off-Site Habitat Baseline'!$D$1:$AA$258,14,FALSE))))</f>
        <v/>
      </c>
      <c r="O209" s="386" t="str">
        <f>IF(E209="","",IF(ISNA(VLOOKUP($E209,'D-1 Off-Site Habitat Baseline'!$D$1:$AA$258,13,FALSE)),"",(VLOOKUP($E209,'D-1 Off-Site Habitat Baseline'!$D$1:$AA$258,13,FALSE))))</f>
        <v/>
      </c>
      <c r="P209" s="184" t="str">
        <f>IFERROR(INDEX('G-1 All Habitats'!$AG$3:$AG$17,MATCH(Q209,'G-1 All Habitats'!$AF$3:$AF$17,0)),"")</f>
        <v/>
      </c>
      <c r="Q209" s="185" t="str">
        <f t="shared" si="36"/>
        <v/>
      </c>
      <c r="R209" s="186" t="str">
        <f t="shared" si="36"/>
        <v/>
      </c>
      <c r="S209" s="187" t="str">
        <f>IFERROR(INDEX('G-1 All Habitats'!$B$3:$B$134,MATCH(R209,'G-1 All Habitats'!$A$3:$A$134,0)),"")</f>
        <v/>
      </c>
      <c r="T209" s="370" t="str">
        <f t="shared" si="37"/>
        <v/>
      </c>
      <c r="U209" s="386" t="str">
        <f t="shared" si="38"/>
        <v/>
      </c>
      <c r="V209" s="385" t="str">
        <f t="shared" si="34"/>
        <v/>
      </c>
      <c r="W209" s="382" t="str">
        <f>IF(S209="","",VLOOKUP(S209,'G-1 All Habitats'!$B$2:$M$134,10,FALSE))</f>
        <v/>
      </c>
      <c r="X209" s="382" t="str">
        <f>IFERROR(VLOOKUP(W209,'G-1 All Habitats'!$V$3:$W$7,2,FALSE),"")</f>
        <v/>
      </c>
      <c r="Y209" s="165"/>
      <c r="Z209" s="386" t="str">
        <f>IFERROR(INDEX('G-8 Condition Look up'!$A$3:$H$135,MATCH(S209,'G-8 Condition Look up'!$A$3:$A$135,0),MATCH(Y209,'G-8 Condition Look up'!$A$3:$H$3,0)),"")</f>
        <v/>
      </c>
      <c r="AA209" s="114"/>
      <c r="AB209" s="401" t="str">
        <f>IF(AA209="","",IF(VLOOKUP(AA209,'G-3 Multipliers'!$L$3:$N$6,2,FALSE)=0,"Spatial Data Missing ⚠",VLOOKUP(AA209,'G-3 Multipliers'!$L$3:$N$6,2,FALSE)))</f>
        <v/>
      </c>
      <c r="AC209" s="386" t="str">
        <f>IF(AA209="","",IF(VLOOKUP(AA209,'G-3 Multipliers'!$L$3:$N$6,3,FALSE)=0,"Spatial Data Missing ⚠",VLOOKUP(AA209,'G-3 Multipliers'!$L$3:$N$6,3,FALSE)))</f>
        <v/>
      </c>
      <c r="AD209" s="398" t="str">
        <f t="shared" si="35"/>
        <v/>
      </c>
      <c r="AE209" s="165"/>
      <c r="AF209" s="165"/>
      <c r="AG209" s="382" t="str">
        <f t="shared" si="39"/>
        <v/>
      </c>
      <c r="AH209" s="404" t="str">
        <f t="shared" si="40"/>
        <v/>
      </c>
      <c r="AI209" s="387" t="str">
        <f>IF(AH209="Check Data ⚠","Check Data ⚠",IFERROR(VLOOKUP(AH209,'G-4 Temporal multipliers'!$A$4:$C$36,3,FALSE),""))</f>
        <v/>
      </c>
      <c r="AJ209" s="398" t="str">
        <f>IF(S209="","",VLOOKUP(S209,'G-3 Multipliers'!$A$2:$E$134,4,FALSE))</f>
        <v/>
      </c>
      <c r="AK209" s="382" t="str">
        <f t="shared" si="41"/>
        <v/>
      </c>
      <c r="AL209" s="382" t="str">
        <f t="shared" si="42"/>
        <v/>
      </c>
      <c r="AM209" s="386" t="str">
        <f>IFERROR(IF(F209="","",IF(AH209="Check Data ⚠","Check Data ⚠",VLOOKUP(AL209, 'G-3 Multipliers'!$P$2:$Q$6,2,FALSE))),"")</f>
        <v/>
      </c>
      <c r="AN209" s="516"/>
      <c r="AO209" s="417" t="str">
        <f>IF(AN209="","",IF(VLOOKUP(AN209,'G-3 Multipliers'!$S$3:$T$10,2,FALSE)=0,"Spatial Data Missing ⚠",VLOOKUP(AN209,'G-3 Multipliers'!$S$3:$T$10,2,FALSE)))</f>
        <v/>
      </c>
      <c r="AP209" s="376" t="str">
        <f t="shared" si="43"/>
        <v/>
      </c>
      <c r="AQ209" s="376" t="str">
        <f t="shared" si="44"/>
        <v/>
      </c>
      <c r="AR209" s="119"/>
      <c r="AS209" s="528"/>
      <c r="AT209" s="120"/>
      <c r="AU209" s="120"/>
    </row>
    <row r="210" spans="1:47">
      <c r="A210" s="30" t="str">
        <f>IF(E210="","",IF(ISNA(VLOOKUP($E210,'D-1 Off-Site Habitat Baseline'!$D$1:$O$258,2,FALSE)),"",(VLOOKUP($E210,'D-1 Off-Site Habitat Baseline'!$D$1:$O$258,2,FALSE))))</f>
        <v/>
      </c>
      <c r="B210" s="30" t="str">
        <f>IF(E210="","",IF(ISNA(VLOOKUP($E210,'D-1 Off-Site Habitat Baseline'!$D$1:$O$258,3,FALSE)),"",(VLOOKUP($E210,'D-1 Off-Site Habitat Baseline'!$D$1:$O$258,3,FALSE))))</f>
        <v/>
      </c>
      <c r="C210" s="30" t="str">
        <f>IFERROR(INDEX('G-8 Condition Look up'!$I$4:$I$135,MATCH(S210,'G-8 Condition Look up'!$A$4:$A$135,0)),"")</f>
        <v/>
      </c>
      <c r="E210" s="407" t="str">
        <f>'D-1 Off-Site Habitat Baseline'!AP209</f>
        <v/>
      </c>
      <c r="F210" s="382" t="str">
        <f>IF(E210="","",IF(ISNA(VLOOKUP($E210,'D-1 Off-Site Habitat Baseline'!$D$1:$O$258,4,FALSE)),"",(VLOOKUP($E210,'D-1 Off-Site Habitat Baseline'!$D$1:$O$258,4,FALSE))))</f>
        <v/>
      </c>
      <c r="G210" s="382" t="str">
        <f>IF(E210="","",IF(ISNA(VLOOKUP($E210,'D-1 Off-Site Habitat Baseline'!$D$1:$O$258,5,FALSE)),"",(VLOOKUP($E210,'D-1 Off-Site Habitat Baseline'!$D$1:$O$258,5,FALSE))))</f>
        <v/>
      </c>
      <c r="H210" s="382" t="str">
        <f>IF(E210="","",IF(ISNA(VLOOKUP($E210,'D-1 Off-Site Habitat Baseline'!$D$1:$O$258,6,FALSE)),"",(VLOOKUP($E210,'D-1 Off-Site Habitat Baseline'!$D$1:$O$258,6,FALSE))))</f>
        <v/>
      </c>
      <c r="I210" s="382" t="str">
        <f>IF(E210="","",IF(ISNA(VLOOKUP($E210,'D-1 Off-Site Habitat Baseline'!$D$1:$O$258,7,FALSE)),"",(VLOOKUP($E210,'D-1 Off-Site Habitat Baseline'!$D$1:$O$258,7,FALSE))))</f>
        <v/>
      </c>
      <c r="J210" s="382" t="str">
        <f>IF(E210="","",IF(ISNA(VLOOKUP($E210,'D-1 Off-Site Habitat Baseline'!$D$1:$O$258,8,FALSE)),"",(VLOOKUP($E210,'D-1 Off-Site Habitat Baseline'!$D$1:$O$258,8,FALSE))))</f>
        <v/>
      </c>
      <c r="K210" s="382" t="str">
        <f>IF(E210="","",IF(ISNA(VLOOKUP($E210,'D-1 Off-Site Habitat Baseline'!$D$1:$O$258,9,FALSE)),"",(VLOOKUP($E210,'D-1 Off-Site Habitat Baseline'!$D$1:$O$258,9,FALSE))))</f>
        <v/>
      </c>
      <c r="L210" s="382" t="str">
        <f>IF(E210="","",IF(ISNA(VLOOKUP($E210,'D-1 Off-Site Habitat Baseline'!$D$1:$O$258,11,FALSE)),"",(VLOOKUP($E210,'D-1 Off-Site Habitat Baseline'!$D$1:$O$258,11,FALSE))))</f>
        <v/>
      </c>
      <c r="M210" s="382" t="str">
        <f>IF(E210="","",IF(ISNA(VLOOKUP($E210,'D-1 Off-Site Habitat Baseline'!$D$1:$O$258,12,FALSE)),"",(VLOOKUP($E210,'D-1 Off-Site Habitat Baseline'!$D$1:$O$258,12,FALSE))))</f>
        <v/>
      </c>
      <c r="N210" s="382" t="str">
        <f>IF(E210="","",IF(ISNA(VLOOKUP($E210,'D-1 Off-Site Habitat Baseline'!$D$1:$AA$258,14,FALSE)),"",(VLOOKUP($E210,'D-1 Off-Site Habitat Baseline'!$D$1:$AA$258,14,FALSE))))</f>
        <v/>
      </c>
      <c r="O210" s="386" t="str">
        <f>IF(E210="","",IF(ISNA(VLOOKUP($E210,'D-1 Off-Site Habitat Baseline'!$D$1:$AA$258,13,FALSE)),"",(VLOOKUP($E210,'D-1 Off-Site Habitat Baseline'!$D$1:$AA$258,13,FALSE))))</f>
        <v/>
      </c>
      <c r="P210" s="184" t="str">
        <f>IFERROR(INDEX('G-1 All Habitats'!$AG$3:$AG$17,MATCH(Q210,'G-1 All Habitats'!$AF$3:$AF$17,0)),"")</f>
        <v/>
      </c>
      <c r="Q210" s="185" t="str">
        <f t="shared" si="36"/>
        <v/>
      </c>
      <c r="R210" s="186" t="str">
        <f t="shared" si="36"/>
        <v/>
      </c>
      <c r="S210" s="187" t="str">
        <f>IFERROR(INDEX('G-1 All Habitats'!$B$3:$B$134,MATCH(R210,'G-1 All Habitats'!$A$3:$A$134,0)),"")</f>
        <v/>
      </c>
      <c r="T210" s="370" t="str">
        <f t="shared" si="37"/>
        <v/>
      </c>
      <c r="U210" s="386" t="str">
        <f t="shared" si="38"/>
        <v/>
      </c>
      <c r="V210" s="385" t="str">
        <f t="shared" si="34"/>
        <v/>
      </c>
      <c r="W210" s="382" t="str">
        <f>IF(S210="","",VLOOKUP(S210,'G-1 All Habitats'!$B$2:$M$134,10,FALSE))</f>
        <v/>
      </c>
      <c r="X210" s="382" t="str">
        <f>IFERROR(VLOOKUP(W210,'G-1 All Habitats'!$V$3:$W$7,2,FALSE),"")</f>
        <v/>
      </c>
      <c r="Y210" s="165"/>
      <c r="Z210" s="386" t="str">
        <f>IFERROR(INDEX('G-8 Condition Look up'!$A$3:$H$135,MATCH(S210,'G-8 Condition Look up'!$A$3:$A$135,0),MATCH(Y210,'G-8 Condition Look up'!$A$3:$H$3,0)),"")</f>
        <v/>
      </c>
      <c r="AA210" s="114"/>
      <c r="AB210" s="401" t="str">
        <f>IF(AA210="","",IF(VLOOKUP(AA210,'G-3 Multipliers'!$L$3:$N$6,2,FALSE)=0,"Spatial Data Missing ⚠",VLOOKUP(AA210,'G-3 Multipliers'!$L$3:$N$6,2,FALSE)))</f>
        <v/>
      </c>
      <c r="AC210" s="386" t="str">
        <f>IF(AA210="","",IF(VLOOKUP(AA210,'G-3 Multipliers'!$L$3:$N$6,3,FALSE)=0,"Spatial Data Missing ⚠",VLOOKUP(AA210,'G-3 Multipliers'!$L$3:$N$6,3,FALSE)))</f>
        <v/>
      </c>
      <c r="AD210" s="398" t="str">
        <f t="shared" si="35"/>
        <v/>
      </c>
      <c r="AE210" s="165"/>
      <c r="AF210" s="165"/>
      <c r="AG210" s="382" t="str">
        <f t="shared" si="39"/>
        <v/>
      </c>
      <c r="AH210" s="404" t="str">
        <f t="shared" si="40"/>
        <v/>
      </c>
      <c r="AI210" s="387" t="str">
        <f>IF(AH210="Check Data ⚠","Check Data ⚠",IFERROR(VLOOKUP(AH210,'G-4 Temporal multipliers'!$A$4:$C$36,3,FALSE),""))</f>
        <v/>
      </c>
      <c r="AJ210" s="398" t="str">
        <f>IF(S210="","",VLOOKUP(S210,'G-3 Multipliers'!$A$2:$E$134,4,FALSE))</f>
        <v/>
      </c>
      <c r="AK210" s="382" t="str">
        <f t="shared" si="41"/>
        <v/>
      </c>
      <c r="AL210" s="382" t="str">
        <f t="shared" si="42"/>
        <v/>
      </c>
      <c r="AM210" s="386" t="str">
        <f>IFERROR(IF(F210="","",IF(AH210="Check Data ⚠","Check Data ⚠",VLOOKUP(AL210, 'G-3 Multipliers'!$P$2:$Q$6,2,FALSE))),"")</f>
        <v/>
      </c>
      <c r="AN210" s="516"/>
      <c r="AO210" s="417" t="str">
        <f>IF(AN210="","",IF(VLOOKUP(AN210,'G-3 Multipliers'!$S$3:$T$10,2,FALSE)=0,"Spatial Data Missing ⚠",VLOOKUP(AN210,'G-3 Multipliers'!$S$3:$T$10,2,FALSE)))</f>
        <v/>
      </c>
      <c r="AP210" s="376" t="str">
        <f t="shared" si="43"/>
        <v/>
      </c>
      <c r="AQ210" s="376" t="str">
        <f t="shared" si="44"/>
        <v/>
      </c>
      <c r="AR210" s="119"/>
      <c r="AS210" s="528"/>
      <c r="AT210" s="120"/>
      <c r="AU210" s="120"/>
    </row>
    <row r="211" spans="1:47">
      <c r="A211" s="30" t="str">
        <f>IF(E211="","",IF(ISNA(VLOOKUP($E211,'D-1 Off-Site Habitat Baseline'!$D$1:$O$258,2,FALSE)),"",(VLOOKUP($E211,'D-1 Off-Site Habitat Baseline'!$D$1:$O$258,2,FALSE))))</f>
        <v/>
      </c>
      <c r="B211" s="30" t="str">
        <f>IF(E211="","",IF(ISNA(VLOOKUP($E211,'D-1 Off-Site Habitat Baseline'!$D$1:$O$258,3,FALSE)),"",(VLOOKUP($E211,'D-1 Off-Site Habitat Baseline'!$D$1:$O$258,3,FALSE))))</f>
        <v/>
      </c>
      <c r="C211" s="30" t="str">
        <f>IFERROR(INDEX('G-8 Condition Look up'!$I$4:$I$135,MATCH(S211,'G-8 Condition Look up'!$A$4:$A$135,0)),"")</f>
        <v/>
      </c>
      <c r="E211" s="407" t="str">
        <f>'D-1 Off-Site Habitat Baseline'!AP210</f>
        <v/>
      </c>
      <c r="F211" s="382" t="str">
        <f>IF(E211="","",IF(ISNA(VLOOKUP($E211,'D-1 Off-Site Habitat Baseline'!$D$1:$O$258,4,FALSE)),"",(VLOOKUP($E211,'D-1 Off-Site Habitat Baseline'!$D$1:$O$258,4,FALSE))))</f>
        <v/>
      </c>
      <c r="G211" s="382" t="str">
        <f>IF(E211="","",IF(ISNA(VLOOKUP($E211,'D-1 Off-Site Habitat Baseline'!$D$1:$O$258,5,FALSE)),"",(VLOOKUP($E211,'D-1 Off-Site Habitat Baseline'!$D$1:$O$258,5,FALSE))))</f>
        <v/>
      </c>
      <c r="H211" s="382" t="str">
        <f>IF(E211="","",IF(ISNA(VLOOKUP($E211,'D-1 Off-Site Habitat Baseline'!$D$1:$O$258,6,FALSE)),"",(VLOOKUP($E211,'D-1 Off-Site Habitat Baseline'!$D$1:$O$258,6,FALSE))))</f>
        <v/>
      </c>
      <c r="I211" s="382" t="str">
        <f>IF(E211="","",IF(ISNA(VLOOKUP($E211,'D-1 Off-Site Habitat Baseline'!$D$1:$O$258,7,FALSE)),"",(VLOOKUP($E211,'D-1 Off-Site Habitat Baseline'!$D$1:$O$258,7,FALSE))))</f>
        <v/>
      </c>
      <c r="J211" s="382" t="str">
        <f>IF(E211="","",IF(ISNA(VLOOKUP($E211,'D-1 Off-Site Habitat Baseline'!$D$1:$O$258,8,FALSE)),"",(VLOOKUP($E211,'D-1 Off-Site Habitat Baseline'!$D$1:$O$258,8,FALSE))))</f>
        <v/>
      </c>
      <c r="K211" s="382" t="str">
        <f>IF(E211="","",IF(ISNA(VLOOKUP($E211,'D-1 Off-Site Habitat Baseline'!$D$1:$O$258,9,FALSE)),"",(VLOOKUP($E211,'D-1 Off-Site Habitat Baseline'!$D$1:$O$258,9,FALSE))))</f>
        <v/>
      </c>
      <c r="L211" s="382" t="str">
        <f>IF(E211="","",IF(ISNA(VLOOKUP($E211,'D-1 Off-Site Habitat Baseline'!$D$1:$O$258,11,FALSE)),"",(VLOOKUP($E211,'D-1 Off-Site Habitat Baseline'!$D$1:$O$258,11,FALSE))))</f>
        <v/>
      </c>
      <c r="M211" s="382" t="str">
        <f>IF(E211="","",IF(ISNA(VLOOKUP($E211,'D-1 Off-Site Habitat Baseline'!$D$1:$O$258,12,FALSE)),"",(VLOOKUP($E211,'D-1 Off-Site Habitat Baseline'!$D$1:$O$258,12,FALSE))))</f>
        <v/>
      </c>
      <c r="N211" s="382" t="str">
        <f>IF(E211="","",IF(ISNA(VLOOKUP($E211,'D-1 Off-Site Habitat Baseline'!$D$1:$AA$258,14,FALSE)),"",(VLOOKUP($E211,'D-1 Off-Site Habitat Baseline'!$D$1:$AA$258,14,FALSE))))</f>
        <v/>
      </c>
      <c r="O211" s="386" t="str">
        <f>IF(E211="","",IF(ISNA(VLOOKUP($E211,'D-1 Off-Site Habitat Baseline'!$D$1:$AA$258,13,FALSE)),"",(VLOOKUP($E211,'D-1 Off-Site Habitat Baseline'!$D$1:$AA$258,13,FALSE))))</f>
        <v/>
      </c>
      <c r="P211" s="184" t="str">
        <f>IFERROR(INDEX('G-1 All Habitats'!$AG$3:$AG$17,MATCH(Q211,'G-1 All Habitats'!$AF$3:$AF$17,0)),"")</f>
        <v/>
      </c>
      <c r="Q211" s="185" t="str">
        <f t="shared" si="36"/>
        <v/>
      </c>
      <c r="R211" s="186" t="str">
        <f t="shared" si="36"/>
        <v/>
      </c>
      <c r="S211" s="187" t="str">
        <f>IFERROR(INDEX('G-1 All Habitats'!$B$3:$B$134,MATCH(R211,'G-1 All Habitats'!$A$3:$A$134,0)),"")</f>
        <v/>
      </c>
      <c r="T211" s="370" t="str">
        <f t="shared" si="37"/>
        <v/>
      </c>
      <c r="U211" s="386" t="str">
        <f t="shared" si="38"/>
        <v/>
      </c>
      <c r="V211" s="385" t="str">
        <f t="shared" si="34"/>
        <v/>
      </c>
      <c r="W211" s="382" t="str">
        <f>IF(S211="","",VLOOKUP(S211,'G-1 All Habitats'!$B$2:$M$134,10,FALSE))</f>
        <v/>
      </c>
      <c r="X211" s="382" t="str">
        <f>IFERROR(VLOOKUP(W211,'G-1 All Habitats'!$V$3:$W$7,2,FALSE),"")</f>
        <v/>
      </c>
      <c r="Y211" s="165"/>
      <c r="Z211" s="386" t="str">
        <f>IFERROR(INDEX('G-8 Condition Look up'!$A$3:$H$135,MATCH(S211,'G-8 Condition Look up'!$A$3:$A$135,0),MATCH(Y211,'G-8 Condition Look up'!$A$3:$H$3,0)),"")</f>
        <v/>
      </c>
      <c r="AA211" s="114"/>
      <c r="AB211" s="401" t="str">
        <f>IF(AA211="","",IF(VLOOKUP(AA211,'G-3 Multipliers'!$L$3:$N$6,2,FALSE)=0,"Spatial Data Missing ⚠",VLOOKUP(AA211,'G-3 Multipliers'!$L$3:$N$6,2,FALSE)))</f>
        <v/>
      </c>
      <c r="AC211" s="386" t="str">
        <f>IF(AA211="","",IF(VLOOKUP(AA211,'G-3 Multipliers'!$L$3:$N$6,3,FALSE)=0,"Spatial Data Missing ⚠",VLOOKUP(AA211,'G-3 Multipliers'!$L$3:$N$6,3,FALSE)))</f>
        <v/>
      </c>
      <c r="AD211" s="398" t="str">
        <f t="shared" si="35"/>
        <v/>
      </c>
      <c r="AE211" s="165"/>
      <c r="AF211" s="165"/>
      <c r="AG211" s="382" t="str">
        <f t="shared" si="39"/>
        <v/>
      </c>
      <c r="AH211" s="404" t="str">
        <f t="shared" si="40"/>
        <v/>
      </c>
      <c r="AI211" s="387" t="str">
        <f>IF(AH211="Check Data ⚠","Check Data ⚠",IFERROR(VLOOKUP(AH211,'G-4 Temporal multipliers'!$A$4:$C$36,3,FALSE),""))</f>
        <v/>
      </c>
      <c r="AJ211" s="398" t="str">
        <f>IF(S211="","",VLOOKUP(S211,'G-3 Multipliers'!$A$2:$E$134,4,FALSE))</f>
        <v/>
      </c>
      <c r="AK211" s="382" t="str">
        <f t="shared" si="41"/>
        <v/>
      </c>
      <c r="AL211" s="382" t="str">
        <f t="shared" si="42"/>
        <v/>
      </c>
      <c r="AM211" s="386" t="str">
        <f>IFERROR(IF(F211="","",IF(AH211="Check Data ⚠","Check Data ⚠",VLOOKUP(AL211, 'G-3 Multipliers'!$P$2:$Q$6,2,FALSE))),"")</f>
        <v/>
      </c>
      <c r="AN211" s="516"/>
      <c r="AO211" s="417" t="str">
        <f>IF(AN211="","",IF(VLOOKUP(AN211,'G-3 Multipliers'!$S$3:$T$10,2,FALSE)=0,"Spatial Data Missing ⚠",VLOOKUP(AN211,'G-3 Multipliers'!$S$3:$T$10,2,FALSE)))</f>
        <v/>
      </c>
      <c r="AP211" s="376" t="str">
        <f t="shared" si="43"/>
        <v/>
      </c>
      <c r="AQ211" s="376" t="str">
        <f t="shared" si="44"/>
        <v/>
      </c>
      <c r="AR211" s="119"/>
      <c r="AS211" s="528"/>
      <c r="AT211" s="120"/>
      <c r="AU211" s="120"/>
    </row>
    <row r="212" spans="1:47">
      <c r="A212" s="30" t="str">
        <f>IF(E212="","",IF(ISNA(VLOOKUP($E212,'D-1 Off-Site Habitat Baseline'!$D$1:$O$258,2,FALSE)),"",(VLOOKUP($E212,'D-1 Off-Site Habitat Baseline'!$D$1:$O$258,2,FALSE))))</f>
        <v/>
      </c>
      <c r="B212" s="30" t="str">
        <f>IF(E212="","",IF(ISNA(VLOOKUP($E212,'D-1 Off-Site Habitat Baseline'!$D$1:$O$258,3,FALSE)),"",(VLOOKUP($E212,'D-1 Off-Site Habitat Baseline'!$D$1:$O$258,3,FALSE))))</f>
        <v/>
      </c>
      <c r="C212" s="30" t="str">
        <f>IFERROR(INDEX('G-8 Condition Look up'!$I$4:$I$135,MATCH(S212,'G-8 Condition Look up'!$A$4:$A$135,0)),"")</f>
        <v/>
      </c>
      <c r="E212" s="407" t="str">
        <f>'D-1 Off-Site Habitat Baseline'!AP211</f>
        <v/>
      </c>
      <c r="F212" s="382" t="str">
        <f>IF(E212="","",IF(ISNA(VLOOKUP($E212,'D-1 Off-Site Habitat Baseline'!$D$1:$O$258,4,FALSE)),"",(VLOOKUP($E212,'D-1 Off-Site Habitat Baseline'!$D$1:$O$258,4,FALSE))))</f>
        <v/>
      </c>
      <c r="G212" s="382" t="str">
        <f>IF(E212="","",IF(ISNA(VLOOKUP($E212,'D-1 Off-Site Habitat Baseline'!$D$1:$O$258,5,FALSE)),"",(VLOOKUP($E212,'D-1 Off-Site Habitat Baseline'!$D$1:$O$258,5,FALSE))))</f>
        <v/>
      </c>
      <c r="H212" s="382" t="str">
        <f>IF(E212="","",IF(ISNA(VLOOKUP($E212,'D-1 Off-Site Habitat Baseline'!$D$1:$O$258,6,FALSE)),"",(VLOOKUP($E212,'D-1 Off-Site Habitat Baseline'!$D$1:$O$258,6,FALSE))))</f>
        <v/>
      </c>
      <c r="I212" s="382" t="str">
        <f>IF(E212="","",IF(ISNA(VLOOKUP($E212,'D-1 Off-Site Habitat Baseline'!$D$1:$O$258,7,FALSE)),"",(VLOOKUP($E212,'D-1 Off-Site Habitat Baseline'!$D$1:$O$258,7,FALSE))))</f>
        <v/>
      </c>
      <c r="J212" s="382" t="str">
        <f>IF(E212="","",IF(ISNA(VLOOKUP($E212,'D-1 Off-Site Habitat Baseline'!$D$1:$O$258,8,FALSE)),"",(VLOOKUP($E212,'D-1 Off-Site Habitat Baseline'!$D$1:$O$258,8,FALSE))))</f>
        <v/>
      </c>
      <c r="K212" s="382" t="str">
        <f>IF(E212="","",IF(ISNA(VLOOKUP($E212,'D-1 Off-Site Habitat Baseline'!$D$1:$O$258,9,FALSE)),"",(VLOOKUP($E212,'D-1 Off-Site Habitat Baseline'!$D$1:$O$258,9,FALSE))))</f>
        <v/>
      </c>
      <c r="L212" s="382" t="str">
        <f>IF(E212="","",IF(ISNA(VLOOKUP($E212,'D-1 Off-Site Habitat Baseline'!$D$1:$O$258,11,FALSE)),"",(VLOOKUP($E212,'D-1 Off-Site Habitat Baseline'!$D$1:$O$258,11,FALSE))))</f>
        <v/>
      </c>
      <c r="M212" s="382" t="str">
        <f>IF(E212="","",IF(ISNA(VLOOKUP($E212,'D-1 Off-Site Habitat Baseline'!$D$1:$O$258,12,FALSE)),"",(VLOOKUP($E212,'D-1 Off-Site Habitat Baseline'!$D$1:$O$258,12,FALSE))))</f>
        <v/>
      </c>
      <c r="N212" s="382" t="str">
        <f>IF(E212="","",IF(ISNA(VLOOKUP($E212,'D-1 Off-Site Habitat Baseline'!$D$1:$AA$258,14,FALSE)),"",(VLOOKUP($E212,'D-1 Off-Site Habitat Baseline'!$D$1:$AA$258,14,FALSE))))</f>
        <v/>
      </c>
      <c r="O212" s="386" t="str">
        <f>IF(E212="","",IF(ISNA(VLOOKUP($E212,'D-1 Off-Site Habitat Baseline'!$D$1:$AA$258,13,FALSE)),"",(VLOOKUP($E212,'D-1 Off-Site Habitat Baseline'!$D$1:$AA$258,13,FALSE))))</f>
        <v/>
      </c>
      <c r="P212" s="184" t="str">
        <f>IFERROR(INDEX('G-1 All Habitats'!$AG$3:$AG$17,MATCH(Q212,'G-1 All Habitats'!$AF$3:$AF$17,0)),"")</f>
        <v/>
      </c>
      <c r="Q212" s="185" t="str">
        <f t="shared" si="36"/>
        <v/>
      </c>
      <c r="R212" s="186" t="str">
        <f t="shared" si="36"/>
        <v/>
      </c>
      <c r="S212" s="187" t="str">
        <f>IFERROR(INDEX('G-1 All Habitats'!$B$3:$B$134,MATCH(R212,'G-1 All Habitats'!$A$3:$A$134,0)),"")</f>
        <v/>
      </c>
      <c r="T212" s="370" t="str">
        <f t="shared" si="37"/>
        <v/>
      </c>
      <c r="U212" s="386" t="str">
        <f t="shared" si="38"/>
        <v/>
      </c>
      <c r="V212" s="385" t="str">
        <f t="shared" si="34"/>
        <v/>
      </c>
      <c r="W212" s="382" t="str">
        <f>IF(S212="","",VLOOKUP(S212,'G-1 All Habitats'!$B$2:$M$134,10,FALSE))</f>
        <v/>
      </c>
      <c r="X212" s="382" t="str">
        <f>IFERROR(VLOOKUP(W212,'G-1 All Habitats'!$V$3:$W$7,2,FALSE),"")</f>
        <v/>
      </c>
      <c r="Y212" s="165"/>
      <c r="Z212" s="386" t="str">
        <f>IFERROR(INDEX('G-8 Condition Look up'!$A$3:$H$135,MATCH(S212,'G-8 Condition Look up'!$A$3:$A$135,0),MATCH(Y212,'G-8 Condition Look up'!$A$3:$H$3,0)),"")</f>
        <v/>
      </c>
      <c r="AA212" s="114"/>
      <c r="AB212" s="401" t="str">
        <f>IF(AA212="","",IF(VLOOKUP(AA212,'G-3 Multipliers'!$L$3:$N$6,2,FALSE)=0,"Spatial Data Missing ⚠",VLOOKUP(AA212,'G-3 Multipliers'!$L$3:$N$6,2,FALSE)))</f>
        <v/>
      </c>
      <c r="AC212" s="386" t="str">
        <f>IF(AA212="","",IF(VLOOKUP(AA212,'G-3 Multipliers'!$L$3:$N$6,3,FALSE)=0,"Spatial Data Missing ⚠",VLOOKUP(AA212,'G-3 Multipliers'!$L$3:$N$6,3,FALSE)))</f>
        <v/>
      </c>
      <c r="AD212" s="398" t="str">
        <f t="shared" si="35"/>
        <v/>
      </c>
      <c r="AE212" s="165"/>
      <c r="AF212" s="165"/>
      <c r="AG212" s="382" t="str">
        <f t="shared" si="39"/>
        <v/>
      </c>
      <c r="AH212" s="404" t="str">
        <f t="shared" si="40"/>
        <v/>
      </c>
      <c r="AI212" s="387" t="str">
        <f>IF(AH212="Check Data ⚠","Check Data ⚠",IFERROR(VLOOKUP(AH212,'G-4 Temporal multipliers'!$A$4:$C$36,3,FALSE),""))</f>
        <v/>
      </c>
      <c r="AJ212" s="398" t="str">
        <f>IF(S212="","",VLOOKUP(S212,'G-3 Multipliers'!$A$2:$E$134,4,FALSE))</f>
        <v/>
      </c>
      <c r="AK212" s="382" t="str">
        <f t="shared" si="41"/>
        <v/>
      </c>
      <c r="AL212" s="382" t="str">
        <f t="shared" si="42"/>
        <v/>
      </c>
      <c r="AM212" s="386" t="str">
        <f>IFERROR(IF(F212="","",IF(AH212="Check Data ⚠","Check Data ⚠",VLOOKUP(AL212, 'G-3 Multipliers'!$P$2:$Q$6,2,FALSE))),"")</f>
        <v/>
      </c>
      <c r="AN212" s="516"/>
      <c r="AO212" s="417" t="str">
        <f>IF(AN212="","",IF(VLOOKUP(AN212,'G-3 Multipliers'!$S$3:$T$10,2,FALSE)=0,"Spatial Data Missing ⚠",VLOOKUP(AN212,'G-3 Multipliers'!$S$3:$T$10,2,FALSE)))</f>
        <v/>
      </c>
      <c r="AP212" s="376" t="str">
        <f t="shared" si="43"/>
        <v/>
      </c>
      <c r="AQ212" s="376" t="str">
        <f t="shared" si="44"/>
        <v/>
      </c>
      <c r="AR212" s="119"/>
      <c r="AS212" s="528"/>
      <c r="AT212" s="120"/>
      <c r="AU212" s="120"/>
    </row>
    <row r="213" spans="1:47">
      <c r="A213" s="30" t="str">
        <f>IF(E213="","",IF(ISNA(VLOOKUP($E213,'D-1 Off-Site Habitat Baseline'!$D$1:$O$258,2,FALSE)),"",(VLOOKUP($E213,'D-1 Off-Site Habitat Baseline'!$D$1:$O$258,2,FALSE))))</f>
        <v/>
      </c>
      <c r="B213" s="30" t="str">
        <f>IF(E213="","",IF(ISNA(VLOOKUP($E213,'D-1 Off-Site Habitat Baseline'!$D$1:$O$258,3,FALSE)),"",(VLOOKUP($E213,'D-1 Off-Site Habitat Baseline'!$D$1:$O$258,3,FALSE))))</f>
        <v/>
      </c>
      <c r="C213" s="30" t="str">
        <f>IFERROR(INDEX('G-8 Condition Look up'!$I$4:$I$135,MATCH(S213,'G-8 Condition Look up'!$A$4:$A$135,0)),"")</f>
        <v/>
      </c>
      <c r="E213" s="407" t="str">
        <f>'D-1 Off-Site Habitat Baseline'!AP212</f>
        <v/>
      </c>
      <c r="F213" s="382" t="str">
        <f>IF(E213="","",IF(ISNA(VLOOKUP($E213,'D-1 Off-Site Habitat Baseline'!$D$1:$O$258,4,FALSE)),"",(VLOOKUP($E213,'D-1 Off-Site Habitat Baseline'!$D$1:$O$258,4,FALSE))))</f>
        <v/>
      </c>
      <c r="G213" s="382" t="str">
        <f>IF(E213="","",IF(ISNA(VLOOKUP($E213,'D-1 Off-Site Habitat Baseline'!$D$1:$O$258,5,FALSE)),"",(VLOOKUP($E213,'D-1 Off-Site Habitat Baseline'!$D$1:$O$258,5,FALSE))))</f>
        <v/>
      </c>
      <c r="H213" s="382" t="str">
        <f>IF(E213="","",IF(ISNA(VLOOKUP($E213,'D-1 Off-Site Habitat Baseline'!$D$1:$O$258,6,FALSE)),"",(VLOOKUP($E213,'D-1 Off-Site Habitat Baseline'!$D$1:$O$258,6,FALSE))))</f>
        <v/>
      </c>
      <c r="I213" s="382" t="str">
        <f>IF(E213="","",IF(ISNA(VLOOKUP($E213,'D-1 Off-Site Habitat Baseline'!$D$1:$O$258,7,FALSE)),"",(VLOOKUP($E213,'D-1 Off-Site Habitat Baseline'!$D$1:$O$258,7,FALSE))))</f>
        <v/>
      </c>
      <c r="J213" s="382" t="str">
        <f>IF(E213="","",IF(ISNA(VLOOKUP($E213,'D-1 Off-Site Habitat Baseline'!$D$1:$O$258,8,FALSE)),"",(VLOOKUP($E213,'D-1 Off-Site Habitat Baseline'!$D$1:$O$258,8,FALSE))))</f>
        <v/>
      </c>
      <c r="K213" s="382" t="str">
        <f>IF(E213="","",IF(ISNA(VLOOKUP($E213,'D-1 Off-Site Habitat Baseline'!$D$1:$O$258,9,FALSE)),"",(VLOOKUP($E213,'D-1 Off-Site Habitat Baseline'!$D$1:$O$258,9,FALSE))))</f>
        <v/>
      </c>
      <c r="L213" s="382" t="str">
        <f>IF(E213="","",IF(ISNA(VLOOKUP($E213,'D-1 Off-Site Habitat Baseline'!$D$1:$O$258,11,FALSE)),"",(VLOOKUP($E213,'D-1 Off-Site Habitat Baseline'!$D$1:$O$258,11,FALSE))))</f>
        <v/>
      </c>
      <c r="M213" s="382" t="str">
        <f>IF(E213="","",IF(ISNA(VLOOKUP($E213,'D-1 Off-Site Habitat Baseline'!$D$1:$O$258,12,FALSE)),"",(VLOOKUP($E213,'D-1 Off-Site Habitat Baseline'!$D$1:$O$258,12,FALSE))))</f>
        <v/>
      </c>
      <c r="N213" s="382" t="str">
        <f>IF(E213="","",IF(ISNA(VLOOKUP($E213,'D-1 Off-Site Habitat Baseline'!$D$1:$AA$258,14,FALSE)),"",(VLOOKUP($E213,'D-1 Off-Site Habitat Baseline'!$D$1:$AA$258,14,FALSE))))</f>
        <v/>
      </c>
      <c r="O213" s="386" t="str">
        <f>IF(E213="","",IF(ISNA(VLOOKUP($E213,'D-1 Off-Site Habitat Baseline'!$D$1:$AA$258,13,FALSE)),"",(VLOOKUP($E213,'D-1 Off-Site Habitat Baseline'!$D$1:$AA$258,13,FALSE))))</f>
        <v/>
      </c>
      <c r="P213" s="184" t="str">
        <f>IFERROR(INDEX('G-1 All Habitats'!$AG$3:$AG$17,MATCH(Q213,'G-1 All Habitats'!$AF$3:$AF$17,0)),"")</f>
        <v/>
      </c>
      <c r="Q213" s="185" t="str">
        <f t="shared" si="36"/>
        <v/>
      </c>
      <c r="R213" s="186" t="str">
        <f t="shared" si="36"/>
        <v/>
      </c>
      <c r="S213" s="187" t="str">
        <f>IFERROR(INDEX('G-1 All Habitats'!$B$3:$B$134,MATCH(R213,'G-1 All Habitats'!$A$3:$A$134,0)),"")</f>
        <v/>
      </c>
      <c r="T213" s="370" t="str">
        <f t="shared" si="37"/>
        <v/>
      </c>
      <c r="U213" s="386" t="str">
        <f t="shared" si="38"/>
        <v/>
      </c>
      <c r="V213" s="385" t="str">
        <f t="shared" si="34"/>
        <v/>
      </c>
      <c r="W213" s="382" t="str">
        <f>IF(S213="","",VLOOKUP(S213,'G-1 All Habitats'!$B$2:$M$134,10,FALSE))</f>
        <v/>
      </c>
      <c r="X213" s="382" t="str">
        <f>IFERROR(VLOOKUP(W213,'G-1 All Habitats'!$V$3:$W$7,2,FALSE),"")</f>
        <v/>
      </c>
      <c r="Y213" s="165"/>
      <c r="Z213" s="386" t="str">
        <f>IFERROR(INDEX('G-8 Condition Look up'!$A$3:$H$135,MATCH(S213,'G-8 Condition Look up'!$A$3:$A$135,0),MATCH(Y213,'G-8 Condition Look up'!$A$3:$H$3,0)),"")</f>
        <v/>
      </c>
      <c r="AA213" s="114"/>
      <c r="AB213" s="401" t="str">
        <f>IF(AA213="","",IF(VLOOKUP(AA213,'G-3 Multipliers'!$L$3:$N$6,2,FALSE)=0,"Spatial Data Missing ⚠",VLOOKUP(AA213,'G-3 Multipliers'!$L$3:$N$6,2,FALSE)))</f>
        <v/>
      </c>
      <c r="AC213" s="386" t="str">
        <f>IF(AA213="","",IF(VLOOKUP(AA213,'G-3 Multipliers'!$L$3:$N$6,3,FALSE)=0,"Spatial Data Missing ⚠",VLOOKUP(AA213,'G-3 Multipliers'!$L$3:$N$6,3,FALSE)))</f>
        <v/>
      </c>
      <c r="AD213" s="398" t="str">
        <f t="shared" si="35"/>
        <v/>
      </c>
      <c r="AE213" s="165"/>
      <c r="AF213" s="165"/>
      <c r="AG213" s="382" t="str">
        <f t="shared" si="39"/>
        <v/>
      </c>
      <c r="AH213" s="404" t="str">
        <f t="shared" si="40"/>
        <v/>
      </c>
      <c r="AI213" s="387" t="str">
        <f>IF(AH213="Check Data ⚠","Check Data ⚠",IFERROR(VLOOKUP(AH213,'G-4 Temporal multipliers'!$A$4:$C$36,3,FALSE),""))</f>
        <v/>
      </c>
      <c r="AJ213" s="398" t="str">
        <f>IF(S213="","",VLOOKUP(S213,'G-3 Multipliers'!$A$2:$E$134,4,FALSE))</f>
        <v/>
      </c>
      <c r="AK213" s="382" t="str">
        <f t="shared" si="41"/>
        <v/>
      </c>
      <c r="AL213" s="382" t="str">
        <f t="shared" si="42"/>
        <v/>
      </c>
      <c r="AM213" s="386" t="str">
        <f>IFERROR(IF(F213="","",IF(AH213="Check Data ⚠","Check Data ⚠",VLOOKUP(AL213, 'G-3 Multipliers'!$P$2:$Q$6,2,FALSE))),"")</f>
        <v/>
      </c>
      <c r="AN213" s="516"/>
      <c r="AO213" s="417" t="str">
        <f>IF(AN213="","",IF(VLOOKUP(AN213,'G-3 Multipliers'!$S$3:$T$10,2,FALSE)=0,"Spatial Data Missing ⚠",VLOOKUP(AN213,'G-3 Multipliers'!$S$3:$T$10,2,FALSE)))</f>
        <v/>
      </c>
      <c r="AP213" s="376" t="str">
        <f t="shared" si="43"/>
        <v/>
      </c>
      <c r="AQ213" s="376" t="str">
        <f t="shared" si="44"/>
        <v/>
      </c>
      <c r="AR213" s="119"/>
      <c r="AS213" s="528"/>
      <c r="AT213" s="120"/>
      <c r="AU213" s="120"/>
    </row>
    <row r="214" spans="1:47">
      <c r="A214" s="30" t="str">
        <f>IF(E214="","",IF(ISNA(VLOOKUP($E214,'D-1 Off-Site Habitat Baseline'!$D$1:$O$258,2,FALSE)),"",(VLOOKUP($E214,'D-1 Off-Site Habitat Baseline'!$D$1:$O$258,2,FALSE))))</f>
        <v/>
      </c>
      <c r="B214" s="30" t="str">
        <f>IF(E214="","",IF(ISNA(VLOOKUP($E214,'D-1 Off-Site Habitat Baseline'!$D$1:$O$258,3,FALSE)),"",(VLOOKUP($E214,'D-1 Off-Site Habitat Baseline'!$D$1:$O$258,3,FALSE))))</f>
        <v/>
      </c>
      <c r="C214" s="30" t="str">
        <f>IFERROR(INDEX('G-8 Condition Look up'!$I$4:$I$135,MATCH(S214,'G-8 Condition Look up'!$A$4:$A$135,0)),"")</f>
        <v/>
      </c>
      <c r="E214" s="407" t="str">
        <f>'D-1 Off-Site Habitat Baseline'!AP213</f>
        <v/>
      </c>
      <c r="F214" s="382" t="str">
        <f>IF(E214="","",IF(ISNA(VLOOKUP($E214,'D-1 Off-Site Habitat Baseline'!$D$1:$O$258,4,FALSE)),"",(VLOOKUP($E214,'D-1 Off-Site Habitat Baseline'!$D$1:$O$258,4,FALSE))))</f>
        <v/>
      </c>
      <c r="G214" s="382" t="str">
        <f>IF(E214="","",IF(ISNA(VLOOKUP($E214,'D-1 Off-Site Habitat Baseline'!$D$1:$O$258,5,FALSE)),"",(VLOOKUP($E214,'D-1 Off-Site Habitat Baseline'!$D$1:$O$258,5,FALSE))))</f>
        <v/>
      </c>
      <c r="H214" s="382" t="str">
        <f>IF(E214="","",IF(ISNA(VLOOKUP($E214,'D-1 Off-Site Habitat Baseline'!$D$1:$O$258,6,FALSE)),"",(VLOOKUP($E214,'D-1 Off-Site Habitat Baseline'!$D$1:$O$258,6,FALSE))))</f>
        <v/>
      </c>
      <c r="I214" s="382" t="str">
        <f>IF(E214="","",IF(ISNA(VLOOKUP($E214,'D-1 Off-Site Habitat Baseline'!$D$1:$O$258,7,FALSE)),"",(VLOOKUP($E214,'D-1 Off-Site Habitat Baseline'!$D$1:$O$258,7,FALSE))))</f>
        <v/>
      </c>
      <c r="J214" s="382" t="str">
        <f>IF(E214="","",IF(ISNA(VLOOKUP($E214,'D-1 Off-Site Habitat Baseline'!$D$1:$O$258,8,FALSE)),"",(VLOOKUP($E214,'D-1 Off-Site Habitat Baseline'!$D$1:$O$258,8,FALSE))))</f>
        <v/>
      </c>
      <c r="K214" s="382" t="str">
        <f>IF(E214="","",IF(ISNA(VLOOKUP($E214,'D-1 Off-Site Habitat Baseline'!$D$1:$O$258,9,FALSE)),"",(VLOOKUP($E214,'D-1 Off-Site Habitat Baseline'!$D$1:$O$258,9,FALSE))))</f>
        <v/>
      </c>
      <c r="L214" s="382" t="str">
        <f>IF(E214="","",IF(ISNA(VLOOKUP($E214,'D-1 Off-Site Habitat Baseline'!$D$1:$O$258,11,FALSE)),"",(VLOOKUP($E214,'D-1 Off-Site Habitat Baseline'!$D$1:$O$258,11,FALSE))))</f>
        <v/>
      </c>
      <c r="M214" s="382" t="str">
        <f>IF(E214="","",IF(ISNA(VLOOKUP($E214,'D-1 Off-Site Habitat Baseline'!$D$1:$O$258,12,FALSE)),"",(VLOOKUP($E214,'D-1 Off-Site Habitat Baseline'!$D$1:$O$258,12,FALSE))))</f>
        <v/>
      </c>
      <c r="N214" s="382" t="str">
        <f>IF(E214="","",IF(ISNA(VLOOKUP($E214,'D-1 Off-Site Habitat Baseline'!$D$1:$AA$258,14,FALSE)),"",(VLOOKUP($E214,'D-1 Off-Site Habitat Baseline'!$D$1:$AA$258,14,FALSE))))</f>
        <v/>
      </c>
      <c r="O214" s="386" t="str">
        <f>IF(E214="","",IF(ISNA(VLOOKUP($E214,'D-1 Off-Site Habitat Baseline'!$D$1:$AA$258,13,FALSE)),"",(VLOOKUP($E214,'D-1 Off-Site Habitat Baseline'!$D$1:$AA$258,13,FALSE))))</f>
        <v/>
      </c>
      <c r="P214" s="184" t="str">
        <f>IFERROR(INDEX('G-1 All Habitats'!$AG$3:$AG$17,MATCH(Q214,'G-1 All Habitats'!$AF$3:$AF$17,0)),"")</f>
        <v/>
      </c>
      <c r="Q214" s="185" t="str">
        <f t="shared" si="36"/>
        <v/>
      </c>
      <c r="R214" s="186" t="str">
        <f t="shared" si="36"/>
        <v/>
      </c>
      <c r="S214" s="187" t="str">
        <f>IFERROR(INDEX('G-1 All Habitats'!$B$3:$B$134,MATCH(R214,'G-1 All Habitats'!$A$3:$A$134,0)),"")</f>
        <v/>
      </c>
      <c r="T214" s="370" t="str">
        <f t="shared" si="37"/>
        <v/>
      </c>
      <c r="U214" s="386" t="str">
        <f t="shared" si="38"/>
        <v/>
      </c>
      <c r="V214" s="385" t="str">
        <f t="shared" si="34"/>
        <v/>
      </c>
      <c r="W214" s="382" t="str">
        <f>IF(S214="","",VLOOKUP(S214,'G-1 All Habitats'!$B$2:$M$134,10,FALSE))</f>
        <v/>
      </c>
      <c r="X214" s="382" t="str">
        <f>IFERROR(VLOOKUP(W214,'G-1 All Habitats'!$V$3:$W$7,2,FALSE),"")</f>
        <v/>
      </c>
      <c r="Y214" s="165"/>
      <c r="Z214" s="386" t="str">
        <f>IFERROR(INDEX('G-8 Condition Look up'!$A$3:$H$135,MATCH(S214,'G-8 Condition Look up'!$A$3:$A$135,0),MATCH(Y214,'G-8 Condition Look up'!$A$3:$H$3,0)),"")</f>
        <v/>
      </c>
      <c r="AA214" s="114"/>
      <c r="AB214" s="401" t="str">
        <f>IF(AA214="","",IF(VLOOKUP(AA214,'G-3 Multipliers'!$L$3:$N$6,2,FALSE)=0,"Spatial Data Missing ⚠",VLOOKUP(AA214,'G-3 Multipliers'!$L$3:$N$6,2,FALSE)))</f>
        <v/>
      </c>
      <c r="AC214" s="386" t="str">
        <f>IF(AA214="","",IF(VLOOKUP(AA214,'G-3 Multipliers'!$L$3:$N$6,3,FALSE)=0,"Spatial Data Missing ⚠",VLOOKUP(AA214,'G-3 Multipliers'!$L$3:$N$6,3,FALSE)))</f>
        <v/>
      </c>
      <c r="AD214" s="398" t="str">
        <f t="shared" si="35"/>
        <v/>
      </c>
      <c r="AE214" s="165"/>
      <c r="AF214" s="165"/>
      <c r="AG214" s="382" t="str">
        <f t="shared" si="39"/>
        <v/>
      </c>
      <c r="AH214" s="404" t="str">
        <f t="shared" si="40"/>
        <v/>
      </c>
      <c r="AI214" s="387" t="str">
        <f>IF(AH214="Check Data ⚠","Check Data ⚠",IFERROR(VLOOKUP(AH214,'G-4 Temporal multipliers'!$A$4:$C$36,3,FALSE),""))</f>
        <v/>
      </c>
      <c r="AJ214" s="398" t="str">
        <f>IF(S214="","",VLOOKUP(S214,'G-3 Multipliers'!$A$2:$E$134,4,FALSE))</f>
        <v/>
      </c>
      <c r="AK214" s="382" t="str">
        <f t="shared" si="41"/>
        <v/>
      </c>
      <c r="AL214" s="382" t="str">
        <f t="shared" si="42"/>
        <v/>
      </c>
      <c r="AM214" s="386" t="str">
        <f>IFERROR(IF(F214="","",IF(AH214="Check Data ⚠","Check Data ⚠",VLOOKUP(AL214, 'G-3 Multipliers'!$P$2:$Q$6,2,FALSE))),"")</f>
        <v/>
      </c>
      <c r="AN214" s="516"/>
      <c r="AO214" s="417" t="str">
        <f>IF(AN214="","",IF(VLOOKUP(AN214,'G-3 Multipliers'!$S$3:$T$10,2,FALSE)=0,"Spatial Data Missing ⚠",VLOOKUP(AN214,'G-3 Multipliers'!$S$3:$T$10,2,FALSE)))</f>
        <v/>
      </c>
      <c r="AP214" s="376" t="str">
        <f t="shared" si="43"/>
        <v/>
      </c>
      <c r="AQ214" s="376" t="str">
        <f t="shared" si="44"/>
        <v/>
      </c>
      <c r="AR214" s="119"/>
      <c r="AS214" s="528"/>
      <c r="AT214" s="120"/>
      <c r="AU214" s="120"/>
    </row>
    <row r="215" spans="1:47">
      <c r="A215" s="30" t="str">
        <f>IF(E215="","",IF(ISNA(VLOOKUP($E215,'D-1 Off-Site Habitat Baseline'!$D$1:$O$258,2,FALSE)),"",(VLOOKUP($E215,'D-1 Off-Site Habitat Baseline'!$D$1:$O$258,2,FALSE))))</f>
        <v/>
      </c>
      <c r="B215" s="30" t="str">
        <f>IF(E215="","",IF(ISNA(VLOOKUP($E215,'D-1 Off-Site Habitat Baseline'!$D$1:$O$258,3,FALSE)),"",(VLOOKUP($E215,'D-1 Off-Site Habitat Baseline'!$D$1:$O$258,3,FALSE))))</f>
        <v/>
      </c>
      <c r="C215" s="30" t="str">
        <f>IFERROR(INDEX('G-8 Condition Look up'!$I$4:$I$135,MATCH(S215,'G-8 Condition Look up'!$A$4:$A$135,0)),"")</f>
        <v/>
      </c>
      <c r="E215" s="407" t="str">
        <f>'D-1 Off-Site Habitat Baseline'!AP214</f>
        <v/>
      </c>
      <c r="F215" s="382" t="str">
        <f>IF(E215="","",IF(ISNA(VLOOKUP($E215,'D-1 Off-Site Habitat Baseline'!$D$1:$O$258,4,FALSE)),"",(VLOOKUP($E215,'D-1 Off-Site Habitat Baseline'!$D$1:$O$258,4,FALSE))))</f>
        <v/>
      </c>
      <c r="G215" s="382" t="str">
        <f>IF(E215="","",IF(ISNA(VLOOKUP($E215,'D-1 Off-Site Habitat Baseline'!$D$1:$O$258,5,FALSE)),"",(VLOOKUP($E215,'D-1 Off-Site Habitat Baseline'!$D$1:$O$258,5,FALSE))))</f>
        <v/>
      </c>
      <c r="H215" s="382" t="str">
        <f>IF(E215="","",IF(ISNA(VLOOKUP($E215,'D-1 Off-Site Habitat Baseline'!$D$1:$O$258,6,FALSE)),"",(VLOOKUP($E215,'D-1 Off-Site Habitat Baseline'!$D$1:$O$258,6,FALSE))))</f>
        <v/>
      </c>
      <c r="I215" s="382" t="str">
        <f>IF(E215="","",IF(ISNA(VLOOKUP($E215,'D-1 Off-Site Habitat Baseline'!$D$1:$O$258,7,FALSE)),"",(VLOOKUP($E215,'D-1 Off-Site Habitat Baseline'!$D$1:$O$258,7,FALSE))))</f>
        <v/>
      </c>
      <c r="J215" s="382" t="str">
        <f>IF(E215="","",IF(ISNA(VLOOKUP($E215,'D-1 Off-Site Habitat Baseline'!$D$1:$O$258,8,FALSE)),"",(VLOOKUP($E215,'D-1 Off-Site Habitat Baseline'!$D$1:$O$258,8,FALSE))))</f>
        <v/>
      </c>
      <c r="K215" s="382" t="str">
        <f>IF(E215="","",IF(ISNA(VLOOKUP($E215,'D-1 Off-Site Habitat Baseline'!$D$1:$O$258,9,FALSE)),"",(VLOOKUP($E215,'D-1 Off-Site Habitat Baseline'!$D$1:$O$258,9,FALSE))))</f>
        <v/>
      </c>
      <c r="L215" s="382" t="str">
        <f>IF(E215="","",IF(ISNA(VLOOKUP($E215,'D-1 Off-Site Habitat Baseline'!$D$1:$O$258,11,FALSE)),"",(VLOOKUP($E215,'D-1 Off-Site Habitat Baseline'!$D$1:$O$258,11,FALSE))))</f>
        <v/>
      </c>
      <c r="M215" s="382" t="str">
        <f>IF(E215="","",IF(ISNA(VLOOKUP($E215,'D-1 Off-Site Habitat Baseline'!$D$1:$O$258,12,FALSE)),"",(VLOOKUP($E215,'D-1 Off-Site Habitat Baseline'!$D$1:$O$258,12,FALSE))))</f>
        <v/>
      </c>
      <c r="N215" s="382" t="str">
        <f>IF(E215="","",IF(ISNA(VLOOKUP($E215,'D-1 Off-Site Habitat Baseline'!$D$1:$AA$258,14,FALSE)),"",(VLOOKUP($E215,'D-1 Off-Site Habitat Baseline'!$D$1:$AA$258,14,FALSE))))</f>
        <v/>
      </c>
      <c r="O215" s="386" t="str">
        <f>IF(E215="","",IF(ISNA(VLOOKUP($E215,'D-1 Off-Site Habitat Baseline'!$D$1:$AA$258,13,FALSE)),"",(VLOOKUP($E215,'D-1 Off-Site Habitat Baseline'!$D$1:$AA$258,13,FALSE))))</f>
        <v/>
      </c>
      <c r="P215" s="184" t="str">
        <f>IFERROR(INDEX('G-1 All Habitats'!$AG$3:$AG$17,MATCH(Q215,'G-1 All Habitats'!$AF$3:$AF$17,0)),"")</f>
        <v/>
      </c>
      <c r="Q215" s="185" t="str">
        <f t="shared" si="36"/>
        <v/>
      </c>
      <c r="R215" s="186" t="str">
        <f t="shared" si="36"/>
        <v/>
      </c>
      <c r="S215" s="187" t="str">
        <f>IFERROR(INDEX('G-1 All Habitats'!$B$3:$B$134,MATCH(R215,'G-1 All Habitats'!$A$3:$A$134,0)),"")</f>
        <v/>
      </c>
      <c r="T215" s="370" t="str">
        <f t="shared" si="37"/>
        <v/>
      </c>
      <c r="U215" s="386" t="str">
        <f t="shared" si="38"/>
        <v/>
      </c>
      <c r="V215" s="385" t="str">
        <f t="shared" si="34"/>
        <v/>
      </c>
      <c r="W215" s="382" t="str">
        <f>IF(S215="","",VLOOKUP(S215,'G-1 All Habitats'!$B$2:$M$134,10,FALSE))</f>
        <v/>
      </c>
      <c r="X215" s="382" t="str">
        <f>IFERROR(VLOOKUP(W215,'G-1 All Habitats'!$V$3:$W$7,2,FALSE),"")</f>
        <v/>
      </c>
      <c r="Y215" s="165"/>
      <c r="Z215" s="386" t="str">
        <f>IFERROR(INDEX('G-8 Condition Look up'!$A$3:$H$135,MATCH(S215,'G-8 Condition Look up'!$A$3:$A$135,0),MATCH(Y215,'G-8 Condition Look up'!$A$3:$H$3,0)),"")</f>
        <v/>
      </c>
      <c r="AA215" s="114"/>
      <c r="AB215" s="401" t="str">
        <f>IF(AA215="","",IF(VLOOKUP(AA215,'G-3 Multipliers'!$L$3:$N$6,2,FALSE)=0,"Spatial Data Missing ⚠",VLOOKUP(AA215,'G-3 Multipliers'!$L$3:$N$6,2,FALSE)))</f>
        <v/>
      </c>
      <c r="AC215" s="386" t="str">
        <f>IF(AA215="","",IF(VLOOKUP(AA215,'G-3 Multipliers'!$L$3:$N$6,3,FALSE)=0,"Spatial Data Missing ⚠",VLOOKUP(AA215,'G-3 Multipliers'!$L$3:$N$6,3,FALSE)))</f>
        <v/>
      </c>
      <c r="AD215" s="398" t="str">
        <f t="shared" si="35"/>
        <v/>
      </c>
      <c r="AE215" s="165"/>
      <c r="AF215" s="165"/>
      <c r="AG215" s="382" t="str">
        <f t="shared" si="39"/>
        <v/>
      </c>
      <c r="AH215" s="404" t="str">
        <f t="shared" si="40"/>
        <v/>
      </c>
      <c r="AI215" s="387" t="str">
        <f>IF(AH215="Check Data ⚠","Check Data ⚠",IFERROR(VLOOKUP(AH215,'G-4 Temporal multipliers'!$A$4:$C$36,3,FALSE),""))</f>
        <v/>
      </c>
      <c r="AJ215" s="398" t="str">
        <f>IF(S215="","",VLOOKUP(S215,'G-3 Multipliers'!$A$2:$E$134,4,FALSE))</f>
        <v/>
      </c>
      <c r="AK215" s="382" t="str">
        <f t="shared" si="41"/>
        <v/>
      </c>
      <c r="AL215" s="382" t="str">
        <f t="shared" si="42"/>
        <v/>
      </c>
      <c r="AM215" s="386" t="str">
        <f>IFERROR(IF(F215="","",IF(AH215="Check Data ⚠","Check Data ⚠",VLOOKUP(AL215, 'G-3 Multipliers'!$P$2:$Q$6,2,FALSE))),"")</f>
        <v/>
      </c>
      <c r="AN215" s="516"/>
      <c r="AO215" s="417" t="str">
        <f>IF(AN215="","",IF(VLOOKUP(AN215,'G-3 Multipliers'!$S$3:$T$10,2,FALSE)=0,"Spatial Data Missing ⚠",VLOOKUP(AN215,'G-3 Multipliers'!$S$3:$T$10,2,FALSE)))</f>
        <v/>
      </c>
      <c r="AP215" s="376" t="str">
        <f t="shared" si="43"/>
        <v/>
      </c>
      <c r="AQ215" s="376" t="str">
        <f t="shared" si="44"/>
        <v/>
      </c>
      <c r="AR215" s="119"/>
      <c r="AS215" s="528"/>
      <c r="AT215" s="120"/>
      <c r="AU215" s="120"/>
    </row>
    <row r="216" spans="1:47">
      <c r="A216" s="30" t="str">
        <f>IF(E216="","",IF(ISNA(VLOOKUP($E216,'D-1 Off-Site Habitat Baseline'!$D$1:$O$258,2,FALSE)),"",(VLOOKUP($E216,'D-1 Off-Site Habitat Baseline'!$D$1:$O$258,2,FALSE))))</f>
        <v/>
      </c>
      <c r="B216" s="30" t="str">
        <f>IF(E216="","",IF(ISNA(VLOOKUP($E216,'D-1 Off-Site Habitat Baseline'!$D$1:$O$258,3,FALSE)),"",(VLOOKUP($E216,'D-1 Off-Site Habitat Baseline'!$D$1:$O$258,3,FALSE))))</f>
        <v/>
      </c>
      <c r="C216" s="30" t="str">
        <f>IFERROR(INDEX('G-8 Condition Look up'!$I$4:$I$135,MATCH(S216,'G-8 Condition Look up'!$A$4:$A$135,0)),"")</f>
        <v/>
      </c>
      <c r="E216" s="407" t="str">
        <f>'D-1 Off-Site Habitat Baseline'!AP215</f>
        <v/>
      </c>
      <c r="F216" s="382" t="str">
        <f>IF(E216="","",IF(ISNA(VLOOKUP($E216,'D-1 Off-Site Habitat Baseline'!$D$1:$O$258,4,FALSE)),"",(VLOOKUP($E216,'D-1 Off-Site Habitat Baseline'!$D$1:$O$258,4,FALSE))))</f>
        <v/>
      </c>
      <c r="G216" s="382" t="str">
        <f>IF(E216="","",IF(ISNA(VLOOKUP($E216,'D-1 Off-Site Habitat Baseline'!$D$1:$O$258,5,FALSE)),"",(VLOOKUP($E216,'D-1 Off-Site Habitat Baseline'!$D$1:$O$258,5,FALSE))))</f>
        <v/>
      </c>
      <c r="H216" s="382" t="str">
        <f>IF(E216="","",IF(ISNA(VLOOKUP($E216,'D-1 Off-Site Habitat Baseline'!$D$1:$O$258,6,FALSE)),"",(VLOOKUP($E216,'D-1 Off-Site Habitat Baseline'!$D$1:$O$258,6,FALSE))))</f>
        <v/>
      </c>
      <c r="I216" s="382" t="str">
        <f>IF(E216="","",IF(ISNA(VLOOKUP($E216,'D-1 Off-Site Habitat Baseline'!$D$1:$O$258,7,FALSE)),"",(VLOOKUP($E216,'D-1 Off-Site Habitat Baseline'!$D$1:$O$258,7,FALSE))))</f>
        <v/>
      </c>
      <c r="J216" s="382" t="str">
        <f>IF(E216="","",IF(ISNA(VLOOKUP($E216,'D-1 Off-Site Habitat Baseline'!$D$1:$O$258,8,FALSE)),"",(VLOOKUP($E216,'D-1 Off-Site Habitat Baseline'!$D$1:$O$258,8,FALSE))))</f>
        <v/>
      </c>
      <c r="K216" s="382" t="str">
        <f>IF(E216="","",IF(ISNA(VLOOKUP($E216,'D-1 Off-Site Habitat Baseline'!$D$1:$O$258,9,FALSE)),"",(VLOOKUP($E216,'D-1 Off-Site Habitat Baseline'!$D$1:$O$258,9,FALSE))))</f>
        <v/>
      </c>
      <c r="L216" s="382" t="str">
        <f>IF(E216="","",IF(ISNA(VLOOKUP($E216,'D-1 Off-Site Habitat Baseline'!$D$1:$O$258,11,FALSE)),"",(VLOOKUP($E216,'D-1 Off-Site Habitat Baseline'!$D$1:$O$258,11,FALSE))))</f>
        <v/>
      </c>
      <c r="M216" s="382" t="str">
        <f>IF(E216="","",IF(ISNA(VLOOKUP($E216,'D-1 Off-Site Habitat Baseline'!$D$1:$O$258,12,FALSE)),"",(VLOOKUP($E216,'D-1 Off-Site Habitat Baseline'!$D$1:$O$258,12,FALSE))))</f>
        <v/>
      </c>
      <c r="N216" s="382" t="str">
        <f>IF(E216="","",IF(ISNA(VLOOKUP($E216,'D-1 Off-Site Habitat Baseline'!$D$1:$AA$258,14,FALSE)),"",(VLOOKUP($E216,'D-1 Off-Site Habitat Baseline'!$D$1:$AA$258,14,FALSE))))</f>
        <v/>
      </c>
      <c r="O216" s="386" t="str">
        <f>IF(E216="","",IF(ISNA(VLOOKUP($E216,'D-1 Off-Site Habitat Baseline'!$D$1:$AA$258,13,FALSE)),"",(VLOOKUP($E216,'D-1 Off-Site Habitat Baseline'!$D$1:$AA$258,13,FALSE))))</f>
        <v/>
      </c>
      <c r="P216" s="184" t="str">
        <f>IFERROR(INDEX('G-1 All Habitats'!$AG$3:$AG$17,MATCH(Q216,'G-1 All Habitats'!$AF$3:$AF$17,0)),"")</f>
        <v/>
      </c>
      <c r="Q216" s="185" t="str">
        <f t="shared" si="36"/>
        <v/>
      </c>
      <c r="R216" s="186" t="str">
        <f t="shared" si="36"/>
        <v/>
      </c>
      <c r="S216" s="187" t="str">
        <f>IFERROR(INDEX('G-1 All Habitats'!$B$3:$B$134,MATCH(R216,'G-1 All Habitats'!$A$3:$A$134,0)),"")</f>
        <v/>
      </c>
      <c r="T216" s="370" t="str">
        <f t="shared" si="37"/>
        <v/>
      </c>
      <c r="U216" s="386" t="str">
        <f t="shared" si="38"/>
        <v/>
      </c>
      <c r="V216" s="385" t="str">
        <f t="shared" si="34"/>
        <v/>
      </c>
      <c r="W216" s="382" t="str">
        <f>IF(S216="","",VLOOKUP(S216,'G-1 All Habitats'!$B$2:$M$134,10,FALSE))</f>
        <v/>
      </c>
      <c r="X216" s="382" t="str">
        <f>IFERROR(VLOOKUP(W216,'G-1 All Habitats'!$V$3:$W$7,2,FALSE),"")</f>
        <v/>
      </c>
      <c r="Y216" s="165"/>
      <c r="Z216" s="386" t="str">
        <f>IFERROR(INDEX('G-8 Condition Look up'!$A$3:$H$135,MATCH(S216,'G-8 Condition Look up'!$A$3:$A$135,0),MATCH(Y216,'G-8 Condition Look up'!$A$3:$H$3,0)),"")</f>
        <v/>
      </c>
      <c r="AA216" s="114"/>
      <c r="AB216" s="401" t="str">
        <f>IF(AA216="","",IF(VLOOKUP(AA216,'G-3 Multipliers'!$L$3:$N$6,2,FALSE)=0,"Spatial Data Missing ⚠",VLOOKUP(AA216,'G-3 Multipliers'!$L$3:$N$6,2,FALSE)))</f>
        <v/>
      </c>
      <c r="AC216" s="386" t="str">
        <f>IF(AA216="","",IF(VLOOKUP(AA216,'G-3 Multipliers'!$L$3:$N$6,3,FALSE)=0,"Spatial Data Missing ⚠",VLOOKUP(AA216,'G-3 Multipliers'!$L$3:$N$6,3,FALSE)))</f>
        <v/>
      </c>
      <c r="AD216" s="398" t="str">
        <f t="shared" si="35"/>
        <v/>
      </c>
      <c r="AE216" s="165"/>
      <c r="AF216" s="165"/>
      <c r="AG216" s="382" t="str">
        <f t="shared" si="39"/>
        <v/>
      </c>
      <c r="AH216" s="404" t="str">
        <f t="shared" si="40"/>
        <v/>
      </c>
      <c r="AI216" s="387" t="str">
        <f>IF(AH216="Check Data ⚠","Check Data ⚠",IFERROR(VLOOKUP(AH216,'G-4 Temporal multipliers'!$A$4:$C$36,3,FALSE),""))</f>
        <v/>
      </c>
      <c r="AJ216" s="398" t="str">
        <f>IF(S216="","",VLOOKUP(S216,'G-3 Multipliers'!$A$2:$E$134,4,FALSE))</f>
        <v/>
      </c>
      <c r="AK216" s="382" t="str">
        <f t="shared" si="41"/>
        <v/>
      </c>
      <c r="AL216" s="382" t="str">
        <f t="shared" si="42"/>
        <v/>
      </c>
      <c r="AM216" s="386" t="str">
        <f>IFERROR(IF(F216="","",IF(AH216="Check Data ⚠","Check Data ⚠",VLOOKUP(AL216, 'G-3 Multipliers'!$P$2:$Q$6,2,FALSE))),"")</f>
        <v/>
      </c>
      <c r="AN216" s="516"/>
      <c r="AO216" s="417" t="str">
        <f>IF(AN216="","",IF(VLOOKUP(AN216,'G-3 Multipliers'!$S$3:$T$10,2,FALSE)=0,"Spatial Data Missing ⚠",VLOOKUP(AN216,'G-3 Multipliers'!$S$3:$T$10,2,FALSE)))</f>
        <v/>
      </c>
      <c r="AP216" s="376" t="str">
        <f t="shared" si="43"/>
        <v/>
      </c>
      <c r="AQ216" s="376" t="str">
        <f t="shared" si="44"/>
        <v/>
      </c>
      <c r="AR216" s="119"/>
      <c r="AS216" s="528"/>
      <c r="AT216" s="120"/>
      <c r="AU216" s="120"/>
    </row>
    <row r="217" spans="1:47">
      <c r="A217" s="30" t="str">
        <f>IF(E217="","",IF(ISNA(VLOOKUP($E217,'D-1 Off-Site Habitat Baseline'!$D$1:$O$258,2,FALSE)),"",(VLOOKUP($E217,'D-1 Off-Site Habitat Baseline'!$D$1:$O$258,2,FALSE))))</f>
        <v/>
      </c>
      <c r="B217" s="30" t="str">
        <f>IF(E217="","",IF(ISNA(VLOOKUP($E217,'D-1 Off-Site Habitat Baseline'!$D$1:$O$258,3,FALSE)),"",(VLOOKUP($E217,'D-1 Off-Site Habitat Baseline'!$D$1:$O$258,3,FALSE))))</f>
        <v/>
      </c>
      <c r="C217" s="30" t="str">
        <f>IFERROR(INDEX('G-8 Condition Look up'!$I$4:$I$135,MATCH(S217,'G-8 Condition Look up'!$A$4:$A$135,0)),"")</f>
        <v/>
      </c>
      <c r="E217" s="407" t="str">
        <f>'D-1 Off-Site Habitat Baseline'!AP216</f>
        <v/>
      </c>
      <c r="F217" s="382" t="str">
        <f>IF(E217="","",IF(ISNA(VLOOKUP($E217,'D-1 Off-Site Habitat Baseline'!$D$1:$O$258,4,FALSE)),"",(VLOOKUP($E217,'D-1 Off-Site Habitat Baseline'!$D$1:$O$258,4,FALSE))))</f>
        <v/>
      </c>
      <c r="G217" s="382" t="str">
        <f>IF(E217="","",IF(ISNA(VLOOKUP($E217,'D-1 Off-Site Habitat Baseline'!$D$1:$O$258,5,FALSE)),"",(VLOOKUP($E217,'D-1 Off-Site Habitat Baseline'!$D$1:$O$258,5,FALSE))))</f>
        <v/>
      </c>
      <c r="H217" s="382" t="str">
        <f>IF(E217="","",IF(ISNA(VLOOKUP($E217,'D-1 Off-Site Habitat Baseline'!$D$1:$O$258,6,FALSE)),"",(VLOOKUP($E217,'D-1 Off-Site Habitat Baseline'!$D$1:$O$258,6,FALSE))))</f>
        <v/>
      </c>
      <c r="I217" s="382" t="str">
        <f>IF(E217="","",IF(ISNA(VLOOKUP($E217,'D-1 Off-Site Habitat Baseline'!$D$1:$O$258,7,FALSE)),"",(VLOOKUP($E217,'D-1 Off-Site Habitat Baseline'!$D$1:$O$258,7,FALSE))))</f>
        <v/>
      </c>
      <c r="J217" s="382" t="str">
        <f>IF(E217="","",IF(ISNA(VLOOKUP($E217,'D-1 Off-Site Habitat Baseline'!$D$1:$O$258,8,FALSE)),"",(VLOOKUP($E217,'D-1 Off-Site Habitat Baseline'!$D$1:$O$258,8,FALSE))))</f>
        <v/>
      </c>
      <c r="K217" s="382" t="str">
        <f>IF(E217="","",IF(ISNA(VLOOKUP($E217,'D-1 Off-Site Habitat Baseline'!$D$1:$O$258,9,FALSE)),"",(VLOOKUP($E217,'D-1 Off-Site Habitat Baseline'!$D$1:$O$258,9,FALSE))))</f>
        <v/>
      </c>
      <c r="L217" s="382" t="str">
        <f>IF(E217="","",IF(ISNA(VLOOKUP($E217,'D-1 Off-Site Habitat Baseline'!$D$1:$O$258,11,FALSE)),"",(VLOOKUP($E217,'D-1 Off-Site Habitat Baseline'!$D$1:$O$258,11,FALSE))))</f>
        <v/>
      </c>
      <c r="M217" s="382" t="str">
        <f>IF(E217="","",IF(ISNA(VLOOKUP($E217,'D-1 Off-Site Habitat Baseline'!$D$1:$O$258,12,FALSE)),"",(VLOOKUP($E217,'D-1 Off-Site Habitat Baseline'!$D$1:$O$258,12,FALSE))))</f>
        <v/>
      </c>
      <c r="N217" s="382" t="str">
        <f>IF(E217="","",IF(ISNA(VLOOKUP($E217,'D-1 Off-Site Habitat Baseline'!$D$1:$AA$258,14,FALSE)),"",(VLOOKUP($E217,'D-1 Off-Site Habitat Baseline'!$D$1:$AA$258,14,FALSE))))</f>
        <v/>
      </c>
      <c r="O217" s="386" t="str">
        <f>IF(E217="","",IF(ISNA(VLOOKUP($E217,'D-1 Off-Site Habitat Baseline'!$D$1:$AA$258,13,FALSE)),"",(VLOOKUP($E217,'D-1 Off-Site Habitat Baseline'!$D$1:$AA$258,13,FALSE))))</f>
        <v/>
      </c>
      <c r="P217" s="184" t="str">
        <f>IFERROR(INDEX('G-1 All Habitats'!$AG$3:$AG$17,MATCH(Q217,'G-1 All Habitats'!$AF$3:$AF$17,0)),"")</f>
        <v/>
      </c>
      <c r="Q217" s="185" t="str">
        <f t="shared" si="36"/>
        <v/>
      </c>
      <c r="R217" s="186" t="str">
        <f t="shared" si="36"/>
        <v/>
      </c>
      <c r="S217" s="187" t="str">
        <f>IFERROR(INDEX('G-1 All Habitats'!$B$3:$B$134,MATCH(R217,'G-1 All Habitats'!$A$3:$A$134,0)),"")</f>
        <v/>
      </c>
      <c r="T217" s="370" t="str">
        <f t="shared" si="37"/>
        <v/>
      </c>
      <c r="U217" s="386" t="str">
        <f t="shared" si="38"/>
        <v/>
      </c>
      <c r="V217" s="385" t="str">
        <f t="shared" si="34"/>
        <v/>
      </c>
      <c r="W217" s="382" t="str">
        <f>IF(S217="","",VLOOKUP(S217,'G-1 All Habitats'!$B$2:$M$134,10,FALSE))</f>
        <v/>
      </c>
      <c r="X217" s="382" t="str">
        <f>IFERROR(VLOOKUP(W217,'G-1 All Habitats'!$V$3:$W$7,2,FALSE),"")</f>
        <v/>
      </c>
      <c r="Y217" s="165"/>
      <c r="Z217" s="386" t="str">
        <f>IFERROR(INDEX('G-8 Condition Look up'!$A$3:$H$135,MATCH(S217,'G-8 Condition Look up'!$A$3:$A$135,0),MATCH(Y217,'G-8 Condition Look up'!$A$3:$H$3,0)),"")</f>
        <v/>
      </c>
      <c r="AA217" s="114"/>
      <c r="AB217" s="401" t="str">
        <f>IF(AA217="","",IF(VLOOKUP(AA217,'G-3 Multipliers'!$L$3:$N$6,2,FALSE)=0,"Spatial Data Missing ⚠",VLOOKUP(AA217,'G-3 Multipliers'!$L$3:$N$6,2,FALSE)))</f>
        <v/>
      </c>
      <c r="AC217" s="386" t="str">
        <f>IF(AA217="","",IF(VLOOKUP(AA217,'G-3 Multipliers'!$L$3:$N$6,3,FALSE)=0,"Spatial Data Missing ⚠",VLOOKUP(AA217,'G-3 Multipliers'!$L$3:$N$6,3,FALSE)))</f>
        <v/>
      </c>
      <c r="AD217" s="398" t="str">
        <f t="shared" si="35"/>
        <v/>
      </c>
      <c r="AE217" s="165"/>
      <c r="AF217" s="165"/>
      <c r="AG217" s="382" t="str">
        <f t="shared" si="39"/>
        <v/>
      </c>
      <c r="AH217" s="404" t="str">
        <f t="shared" si="40"/>
        <v/>
      </c>
      <c r="AI217" s="387" t="str">
        <f>IF(AH217="Check Data ⚠","Check Data ⚠",IFERROR(VLOOKUP(AH217,'G-4 Temporal multipliers'!$A$4:$C$36,3,FALSE),""))</f>
        <v/>
      </c>
      <c r="AJ217" s="398" t="str">
        <f>IF(S217="","",VLOOKUP(S217,'G-3 Multipliers'!$A$2:$E$134,4,FALSE))</f>
        <v/>
      </c>
      <c r="AK217" s="382" t="str">
        <f t="shared" si="41"/>
        <v/>
      </c>
      <c r="AL217" s="382" t="str">
        <f t="shared" si="42"/>
        <v/>
      </c>
      <c r="AM217" s="386" t="str">
        <f>IFERROR(IF(F217="","",IF(AH217="Check Data ⚠","Check Data ⚠",VLOOKUP(AL217, 'G-3 Multipliers'!$P$2:$Q$6,2,FALSE))),"")</f>
        <v/>
      </c>
      <c r="AN217" s="516"/>
      <c r="AO217" s="417" t="str">
        <f>IF(AN217="","",IF(VLOOKUP(AN217,'G-3 Multipliers'!$S$3:$T$10,2,FALSE)=0,"Spatial Data Missing ⚠",VLOOKUP(AN217,'G-3 Multipliers'!$S$3:$T$10,2,FALSE)))</f>
        <v/>
      </c>
      <c r="AP217" s="376" t="str">
        <f t="shared" si="43"/>
        <v/>
      </c>
      <c r="AQ217" s="376" t="str">
        <f t="shared" si="44"/>
        <v/>
      </c>
      <c r="AR217" s="119"/>
      <c r="AS217" s="528"/>
      <c r="AT217" s="120"/>
      <c r="AU217" s="120"/>
    </row>
    <row r="218" spans="1:47">
      <c r="A218" s="30" t="str">
        <f>IF(E218="","",IF(ISNA(VLOOKUP($E218,'D-1 Off-Site Habitat Baseline'!$D$1:$O$258,2,FALSE)),"",(VLOOKUP($E218,'D-1 Off-Site Habitat Baseline'!$D$1:$O$258,2,FALSE))))</f>
        <v/>
      </c>
      <c r="B218" s="30" t="str">
        <f>IF(E218="","",IF(ISNA(VLOOKUP($E218,'D-1 Off-Site Habitat Baseline'!$D$1:$O$258,3,FALSE)),"",(VLOOKUP($E218,'D-1 Off-Site Habitat Baseline'!$D$1:$O$258,3,FALSE))))</f>
        <v/>
      </c>
      <c r="C218" s="30" t="str">
        <f>IFERROR(INDEX('G-8 Condition Look up'!$I$4:$I$135,MATCH(S218,'G-8 Condition Look up'!$A$4:$A$135,0)),"")</f>
        <v/>
      </c>
      <c r="E218" s="407" t="str">
        <f>'D-1 Off-Site Habitat Baseline'!AP217</f>
        <v/>
      </c>
      <c r="F218" s="382" t="str">
        <f>IF(E218="","",IF(ISNA(VLOOKUP($E218,'D-1 Off-Site Habitat Baseline'!$D$1:$O$258,4,FALSE)),"",(VLOOKUP($E218,'D-1 Off-Site Habitat Baseline'!$D$1:$O$258,4,FALSE))))</f>
        <v/>
      </c>
      <c r="G218" s="382" t="str">
        <f>IF(E218="","",IF(ISNA(VLOOKUP($E218,'D-1 Off-Site Habitat Baseline'!$D$1:$O$258,5,FALSE)),"",(VLOOKUP($E218,'D-1 Off-Site Habitat Baseline'!$D$1:$O$258,5,FALSE))))</f>
        <v/>
      </c>
      <c r="H218" s="382" t="str">
        <f>IF(E218="","",IF(ISNA(VLOOKUP($E218,'D-1 Off-Site Habitat Baseline'!$D$1:$O$258,6,FALSE)),"",(VLOOKUP($E218,'D-1 Off-Site Habitat Baseline'!$D$1:$O$258,6,FALSE))))</f>
        <v/>
      </c>
      <c r="I218" s="382" t="str">
        <f>IF(E218="","",IF(ISNA(VLOOKUP($E218,'D-1 Off-Site Habitat Baseline'!$D$1:$O$258,7,FALSE)),"",(VLOOKUP($E218,'D-1 Off-Site Habitat Baseline'!$D$1:$O$258,7,FALSE))))</f>
        <v/>
      </c>
      <c r="J218" s="382" t="str">
        <f>IF(E218="","",IF(ISNA(VLOOKUP($E218,'D-1 Off-Site Habitat Baseline'!$D$1:$O$258,8,FALSE)),"",(VLOOKUP($E218,'D-1 Off-Site Habitat Baseline'!$D$1:$O$258,8,FALSE))))</f>
        <v/>
      </c>
      <c r="K218" s="382" t="str">
        <f>IF(E218="","",IF(ISNA(VLOOKUP($E218,'D-1 Off-Site Habitat Baseline'!$D$1:$O$258,9,FALSE)),"",(VLOOKUP($E218,'D-1 Off-Site Habitat Baseline'!$D$1:$O$258,9,FALSE))))</f>
        <v/>
      </c>
      <c r="L218" s="382" t="str">
        <f>IF(E218="","",IF(ISNA(VLOOKUP($E218,'D-1 Off-Site Habitat Baseline'!$D$1:$O$258,11,FALSE)),"",(VLOOKUP($E218,'D-1 Off-Site Habitat Baseline'!$D$1:$O$258,11,FALSE))))</f>
        <v/>
      </c>
      <c r="M218" s="382" t="str">
        <f>IF(E218="","",IF(ISNA(VLOOKUP($E218,'D-1 Off-Site Habitat Baseline'!$D$1:$O$258,12,FALSE)),"",(VLOOKUP($E218,'D-1 Off-Site Habitat Baseline'!$D$1:$O$258,12,FALSE))))</f>
        <v/>
      </c>
      <c r="N218" s="382" t="str">
        <f>IF(E218="","",IF(ISNA(VLOOKUP($E218,'D-1 Off-Site Habitat Baseline'!$D$1:$AA$258,14,FALSE)),"",(VLOOKUP($E218,'D-1 Off-Site Habitat Baseline'!$D$1:$AA$258,14,FALSE))))</f>
        <v/>
      </c>
      <c r="O218" s="386" t="str">
        <f>IF(E218="","",IF(ISNA(VLOOKUP($E218,'D-1 Off-Site Habitat Baseline'!$D$1:$AA$258,13,FALSE)),"",(VLOOKUP($E218,'D-1 Off-Site Habitat Baseline'!$D$1:$AA$258,13,FALSE))))</f>
        <v/>
      </c>
      <c r="P218" s="184" t="str">
        <f>IFERROR(INDEX('G-1 All Habitats'!$AG$3:$AG$17,MATCH(Q218,'G-1 All Habitats'!$AF$3:$AF$17,0)),"")</f>
        <v/>
      </c>
      <c r="Q218" s="185" t="str">
        <f t="shared" si="36"/>
        <v/>
      </c>
      <c r="R218" s="186" t="str">
        <f t="shared" si="36"/>
        <v/>
      </c>
      <c r="S218" s="187" t="str">
        <f>IFERROR(INDEX('G-1 All Habitats'!$B$3:$B$134,MATCH(R218,'G-1 All Habitats'!$A$3:$A$134,0)),"")</f>
        <v/>
      </c>
      <c r="T218" s="370" t="str">
        <f t="shared" si="37"/>
        <v/>
      </c>
      <c r="U218" s="386" t="str">
        <f t="shared" si="38"/>
        <v/>
      </c>
      <c r="V218" s="385" t="str">
        <f t="shared" si="34"/>
        <v/>
      </c>
      <c r="W218" s="382" t="str">
        <f>IF(S218="","",VLOOKUP(S218,'G-1 All Habitats'!$B$2:$M$134,10,FALSE))</f>
        <v/>
      </c>
      <c r="X218" s="382" t="str">
        <f>IFERROR(VLOOKUP(W218,'G-1 All Habitats'!$V$3:$W$7,2,FALSE),"")</f>
        <v/>
      </c>
      <c r="Y218" s="165"/>
      <c r="Z218" s="386" t="str">
        <f>IFERROR(INDEX('G-8 Condition Look up'!$A$3:$H$135,MATCH(S218,'G-8 Condition Look up'!$A$3:$A$135,0),MATCH(Y218,'G-8 Condition Look up'!$A$3:$H$3,0)),"")</f>
        <v/>
      </c>
      <c r="AA218" s="114"/>
      <c r="AB218" s="401" t="str">
        <f>IF(AA218="","",IF(VLOOKUP(AA218,'G-3 Multipliers'!$L$3:$N$6,2,FALSE)=0,"Spatial Data Missing ⚠",VLOOKUP(AA218,'G-3 Multipliers'!$L$3:$N$6,2,FALSE)))</f>
        <v/>
      </c>
      <c r="AC218" s="386" t="str">
        <f>IF(AA218="","",IF(VLOOKUP(AA218,'G-3 Multipliers'!$L$3:$N$6,3,FALSE)=0,"Spatial Data Missing ⚠",VLOOKUP(AA218,'G-3 Multipliers'!$L$3:$N$6,3,FALSE)))</f>
        <v/>
      </c>
      <c r="AD218" s="398" t="str">
        <f t="shared" si="35"/>
        <v/>
      </c>
      <c r="AE218" s="165"/>
      <c r="AF218" s="165"/>
      <c r="AG218" s="382" t="str">
        <f t="shared" si="39"/>
        <v/>
      </c>
      <c r="AH218" s="404" t="str">
        <f t="shared" si="40"/>
        <v/>
      </c>
      <c r="AI218" s="387" t="str">
        <f>IF(AH218="Check Data ⚠","Check Data ⚠",IFERROR(VLOOKUP(AH218,'G-4 Temporal multipliers'!$A$4:$C$36,3,FALSE),""))</f>
        <v/>
      </c>
      <c r="AJ218" s="398" t="str">
        <f>IF(S218="","",VLOOKUP(S218,'G-3 Multipliers'!$A$2:$E$134,4,FALSE))</f>
        <v/>
      </c>
      <c r="AK218" s="382" t="str">
        <f t="shared" si="41"/>
        <v/>
      </c>
      <c r="AL218" s="382" t="str">
        <f t="shared" si="42"/>
        <v/>
      </c>
      <c r="AM218" s="386" t="str">
        <f>IFERROR(IF(F218="","",IF(AH218="Check Data ⚠","Check Data ⚠",VLOOKUP(AL218, 'G-3 Multipliers'!$P$2:$Q$6,2,FALSE))),"")</f>
        <v/>
      </c>
      <c r="AN218" s="516"/>
      <c r="AO218" s="417" t="str">
        <f>IF(AN218="","",IF(VLOOKUP(AN218,'G-3 Multipliers'!$S$3:$T$10,2,FALSE)=0,"Spatial Data Missing ⚠",VLOOKUP(AN218,'G-3 Multipliers'!$S$3:$T$10,2,FALSE)))</f>
        <v/>
      </c>
      <c r="AP218" s="376" t="str">
        <f t="shared" si="43"/>
        <v/>
      </c>
      <c r="AQ218" s="376" t="str">
        <f t="shared" si="44"/>
        <v/>
      </c>
      <c r="AR218" s="119"/>
      <c r="AS218" s="528"/>
      <c r="AT218" s="120"/>
      <c r="AU218" s="120"/>
    </row>
    <row r="219" spans="1:47">
      <c r="A219" s="30" t="str">
        <f>IF(E219="","",IF(ISNA(VLOOKUP($E219,'D-1 Off-Site Habitat Baseline'!$D$1:$O$258,2,FALSE)),"",(VLOOKUP($E219,'D-1 Off-Site Habitat Baseline'!$D$1:$O$258,2,FALSE))))</f>
        <v/>
      </c>
      <c r="B219" s="30" t="str">
        <f>IF(E219="","",IF(ISNA(VLOOKUP($E219,'D-1 Off-Site Habitat Baseline'!$D$1:$O$258,3,FALSE)),"",(VLOOKUP($E219,'D-1 Off-Site Habitat Baseline'!$D$1:$O$258,3,FALSE))))</f>
        <v/>
      </c>
      <c r="C219" s="30" t="str">
        <f>IFERROR(INDEX('G-8 Condition Look up'!$I$4:$I$135,MATCH(S219,'G-8 Condition Look up'!$A$4:$A$135,0)),"")</f>
        <v/>
      </c>
      <c r="E219" s="407" t="str">
        <f>'D-1 Off-Site Habitat Baseline'!AP218</f>
        <v/>
      </c>
      <c r="F219" s="382" t="str">
        <f>IF(E219="","",IF(ISNA(VLOOKUP($E219,'D-1 Off-Site Habitat Baseline'!$D$1:$O$258,4,FALSE)),"",(VLOOKUP($E219,'D-1 Off-Site Habitat Baseline'!$D$1:$O$258,4,FALSE))))</f>
        <v/>
      </c>
      <c r="G219" s="382" t="str">
        <f>IF(E219="","",IF(ISNA(VLOOKUP($E219,'D-1 Off-Site Habitat Baseline'!$D$1:$O$258,5,FALSE)),"",(VLOOKUP($E219,'D-1 Off-Site Habitat Baseline'!$D$1:$O$258,5,FALSE))))</f>
        <v/>
      </c>
      <c r="H219" s="382" t="str">
        <f>IF(E219="","",IF(ISNA(VLOOKUP($E219,'D-1 Off-Site Habitat Baseline'!$D$1:$O$258,6,FALSE)),"",(VLOOKUP($E219,'D-1 Off-Site Habitat Baseline'!$D$1:$O$258,6,FALSE))))</f>
        <v/>
      </c>
      <c r="I219" s="382" t="str">
        <f>IF(E219="","",IF(ISNA(VLOOKUP($E219,'D-1 Off-Site Habitat Baseline'!$D$1:$O$258,7,FALSE)),"",(VLOOKUP($E219,'D-1 Off-Site Habitat Baseline'!$D$1:$O$258,7,FALSE))))</f>
        <v/>
      </c>
      <c r="J219" s="382" t="str">
        <f>IF(E219="","",IF(ISNA(VLOOKUP($E219,'D-1 Off-Site Habitat Baseline'!$D$1:$O$258,8,FALSE)),"",(VLOOKUP($E219,'D-1 Off-Site Habitat Baseline'!$D$1:$O$258,8,FALSE))))</f>
        <v/>
      </c>
      <c r="K219" s="382" t="str">
        <f>IF(E219="","",IF(ISNA(VLOOKUP($E219,'D-1 Off-Site Habitat Baseline'!$D$1:$O$258,9,FALSE)),"",(VLOOKUP($E219,'D-1 Off-Site Habitat Baseline'!$D$1:$O$258,9,FALSE))))</f>
        <v/>
      </c>
      <c r="L219" s="382" t="str">
        <f>IF(E219="","",IF(ISNA(VLOOKUP($E219,'D-1 Off-Site Habitat Baseline'!$D$1:$O$258,11,FALSE)),"",(VLOOKUP($E219,'D-1 Off-Site Habitat Baseline'!$D$1:$O$258,11,FALSE))))</f>
        <v/>
      </c>
      <c r="M219" s="382" t="str">
        <f>IF(E219="","",IF(ISNA(VLOOKUP($E219,'D-1 Off-Site Habitat Baseline'!$D$1:$O$258,12,FALSE)),"",(VLOOKUP($E219,'D-1 Off-Site Habitat Baseline'!$D$1:$O$258,12,FALSE))))</f>
        <v/>
      </c>
      <c r="N219" s="382" t="str">
        <f>IF(E219="","",IF(ISNA(VLOOKUP($E219,'D-1 Off-Site Habitat Baseline'!$D$1:$AA$258,14,FALSE)),"",(VLOOKUP($E219,'D-1 Off-Site Habitat Baseline'!$D$1:$AA$258,14,FALSE))))</f>
        <v/>
      </c>
      <c r="O219" s="386" t="str">
        <f>IF(E219="","",IF(ISNA(VLOOKUP($E219,'D-1 Off-Site Habitat Baseline'!$D$1:$AA$258,13,FALSE)),"",(VLOOKUP($E219,'D-1 Off-Site Habitat Baseline'!$D$1:$AA$258,13,FALSE))))</f>
        <v/>
      </c>
      <c r="P219" s="184" t="str">
        <f>IFERROR(INDEX('G-1 All Habitats'!$AG$3:$AG$17,MATCH(Q219,'G-1 All Habitats'!$AF$3:$AF$17,0)),"")</f>
        <v/>
      </c>
      <c r="Q219" s="185" t="str">
        <f t="shared" si="36"/>
        <v/>
      </c>
      <c r="R219" s="186" t="str">
        <f t="shared" si="36"/>
        <v/>
      </c>
      <c r="S219" s="187" t="str">
        <f>IFERROR(INDEX('G-1 All Habitats'!$B$3:$B$134,MATCH(R219,'G-1 All Habitats'!$A$3:$A$134,0)),"")</f>
        <v/>
      </c>
      <c r="T219" s="370" t="str">
        <f t="shared" si="37"/>
        <v/>
      </c>
      <c r="U219" s="386" t="str">
        <f t="shared" si="38"/>
        <v/>
      </c>
      <c r="V219" s="385" t="str">
        <f t="shared" si="34"/>
        <v/>
      </c>
      <c r="W219" s="382" t="str">
        <f>IF(S219="","",VLOOKUP(S219,'G-1 All Habitats'!$B$2:$M$134,10,FALSE))</f>
        <v/>
      </c>
      <c r="X219" s="382" t="str">
        <f>IFERROR(VLOOKUP(W219,'G-1 All Habitats'!$V$3:$W$7,2,FALSE),"")</f>
        <v/>
      </c>
      <c r="Y219" s="165"/>
      <c r="Z219" s="386" t="str">
        <f>IFERROR(INDEX('G-8 Condition Look up'!$A$3:$H$135,MATCH(S219,'G-8 Condition Look up'!$A$3:$A$135,0),MATCH(Y219,'G-8 Condition Look up'!$A$3:$H$3,0)),"")</f>
        <v/>
      </c>
      <c r="AA219" s="114"/>
      <c r="AB219" s="401" t="str">
        <f>IF(AA219="","",IF(VLOOKUP(AA219,'G-3 Multipliers'!$L$3:$N$6,2,FALSE)=0,"Spatial Data Missing ⚠",VLOOKUP(AA219,'G-3 Multipliers'!$L$3:$N$6,2,FALSE)))</f>
        <v/>
      </c>
      <c r="AC219" s="386" t="str">
        <f>IF(AA219="","",IF(VLOOKUP(AA219,'G-3 Multipliers'!$L$3:$N$6,3,FALSE)=0,"Spatial Data Missing ⚠",VLOOKUP(AA219,'G-3 Multipliers'!$L$3:$N$6,3,FALSE)))</f>
        <v/>
      </c>
      <c r="AD219" s="398" t="str">
        <f t="shared" si="35"/>
        <v/>
      </c>
      <c r="AE219" s="165"/>
      <c r="AF219" s="165"/>
      <c r="AG219" s="382" t="str">
        <f t="shared" si="39"/>
        <v/>
      </c>
      <c r="AH219" s="404" t="str">
        <f t="shared" si="40"/>
        <v/>
      </c>
      <c r="AI219" s="387" t="str">
        <f>IF(AH219="Check Data ⚠","Check Data ⚠",IFERROR(VLOOKUP(AH219,'G-4 Temporal multipliers'!$A$4:$C$36,3,FALSE),""))</f>
        <v/>
      </c>
      <c r="AJ219" s="398" t="str">
        <f>IF(S219="","",VLOOKUP(S219,'G-3 Multipliers'!$A$2:$E$134,4,FALSE))</f>
        <v/>
      </c>
      <c r="AK219" s="382" t="str">
        <f t="shared" si="41"/>
        <v/>
      </c>
      <c r="AL219" s="382" t="str">
        <f t="shared" si="42"/>
        <v/>
      </c>
      <c r="AM219" s="386" t="str">
        <f>IFERROR(IF(F219="","",IF(AH219="Check Data ⚠","Check Data ⚠",VLOOKUP(AL219, 'G-3 Multipliers'!$P$2:$Q$6,2,FALSE))),"")</f>
        <v/>
      </c>
      <c r="AN219" s="516"/>
      <c r="AO219" s="417" t="str">
        <f>IF(AN219="","",IF(VLOOKUP(AN219,'G-3 Multipliers'!$S$3:$T$10,2,FALSE)=0,"Spatial Data Missing ⚠",VLOOKUP(AN219,'G-3 Multipliers'!$S$3:$T$10,2,FALSE)))</f>
        <v/>
      </c>
      <c r="AP219" s="376" t="str">
        <f t="shared" si="43"/>
        <v/>
      </c>
      <c r="AQ219" s="376" t="str">
        <f t="shared" si="44"/>
        <v/>
      </c>
      <c r="AR219" s="119"/>
      <c r="AS219" s="528"/>
      <c r="AT219" s="120"/>
      <c r="AU219" s="120"/>
    </row>
    <row r="220" spans="1:47">
      <c r="A220" s="30" t="str">
        <f>IF(E220="","",IF(ISNA(VLOOKUP($E220,'D-1 Off-Site Habitat Baseline'!$D$1:$O$258,2,FALSE)),"",(VLOOKUP($E220,'D-1 Off-Site Habitat Baseline'!$D$1:$O$258,2,FALSE))))</f>
        <v/>
      </c>
      <c r="B220" s="30" t="str">
        <f>IF(E220="","",IF(ISNA(VLOOKUP($E220,'D-1 Off-Site Habitat Baseline'!$D$1:$O$258,3,FALSE)),"",(VLOOKUP($E220,'D-1 Off-Site Habitat Baseline'!$D$1:$O$258,3,FALSE))))</f>
        <v/>
      </c>
      <c r="C220" s="30" t="str">
        <f>IFERROR(INDEX('G-8 Condition Look up'!$I$4:$I$135,MATCH(S220,'G-8 Condition Look up'!$A$4:$A$135,0)),"")</f>
        <v/>
      </c>
      <c r="E220" s="407" t="str">
        <f>'D-1 Off-Site Habitat Baseline'!AP219</f>
        <v/>
      </c>
      <c r="F220" s="382" t="str">
        <f>IF(E220="","",IF(ISNA(VLOOKUP($E220,'D-1 Off-Site Habitat Baseline'!$D$1:$O$258,4,FALSE)),"",(VLOOKUP($E220,'D-1 Off-Site Habitat Baseline'!$D$1:$O$258,4,FALSE))))</f>
        <v/>
      </c>
      <c r="G220" s="382" t="str">
        <f>IF(E220="","",IF(ISNA(VLOOKUP($E220,'D-1 Off-Site Habitat Baseline'!$D$1:$O$258,5,FALSE)),"",(VLOOKUP($E220,'D-1 Off-Site Habitat Baseline'!$D$1:$O$258,5,FALSE))))</f>
        <v/>
      </c>
      <c r="H220" s="382" t="str">
        <f>IF(E220="","",IF(ISNA(VLOOKUP($E220,'D-1 Off-Site Habitat Baseline'!$D$1:$O$258,6,FALSE)),"",(VLOOKUP($E220,'D-1 Off-Site Habitat Baseline'!$D$1:$O$258,6,FALSE))))</f>
        <v/>
      </c>
      <c r="I220" s="382" t="str">
        <f>IF(E220="","",IF(ISNA(VLOOKUP($E220,'D-1 Off-Site Habitat Baseline'!$D$1:$O$258,7,FALSE)),"",(VLOOKUP($E220,'D-1 Off-Site Habitat Baseline'!$D$1:$O$258,7,FALSE))))</f>
        <v/>
      </c>
      <c r="J220" s="382" t="str">
        <f>IF(E220="","",IF(ISNA(VLOOKUP($E220,'D-1 Off-Site Habitat Baseline'!$D$1:$O$258,8,FALSE)),"",(VLOOKUP($E220,'D-1 Off-Site Habitat Baseline'!$D$1:$O$258,8,FALSE))))</f>
        <v/>
      </c>
      <c r="K220" s="382" t="str">
        <f>IF(E220="","",IF(ISNA(VLOOKUP($E220,'D-1 Off-Site Habitat Baseline'!$D$1:$O$258,9,FALSE)),"",(VLOOKUP($E220,'D-1 Off-Site Habitat Baseline'!$D$1:$O$258,9,FALSE))))</f>
        <v/>
      </c>
      <c r="L220" s="382" t="str">
        <f>IF(E220="","",IF(ISNA(VLOOKUP($E220,'D-1 Off-Site Habitat Baseline'!$D$1:$O$258,11,FALSE)),"",(VLOOKUP($E220,'D-1 Off-Site Habitat Baseline'!$D$1:$O$258,11,FALSE))))</f>
        <v/>
      </c>
      <c r="M220" s="382" t="str">
        <f>IF(E220="","",IF(ISNA(VLOOKUP($E220,'D-1 Off-Site Habitat Baseline'!$D$1:$O$258,12,FALSE)),"",(VLOOKUP($E220,'D-1 Off-Site Habitat Baseline'!$D$1:$O$258,12,FALSE))))</f>
        <v/>
      </c>
      <c r="N220" s="382" t="str">
        <f>IF(E220="","",IF(ISNA(VLOOKUP($E220,'D-1 Off-Site Habitat Baseline'!$D$1:$AA$258,14,FALSE)),"",(VLOOKUP($E220,'D-1 Off-Site Habitat Baseline'!$D$1:$AA$258,14,FALSE))))</f>
        <v/>
      </c>
      <c r="O220" s="386" t="str">
        <f>IF(E220="","",IF(ISNA(VLOOKUP($E220,'D-1 Off-Site Habitat Baseline'!$D$1:$AA$258,13,FALSE)),"",(VLOOKUP($E220,'D-1 Off-Site Habitat Baseline'!$D$1:$AA$258,13,FALSE))))</f>
        <v/>
      </c>
      <c r="P220" s="184" t="str">
        <f>IFERROR(INDEX('G-1 All Habitats'!$AG$3:$AG$17,MATCH(Q220,'G-1 All Habitats'!$AF$3:$AF$17,0)),"")</f>
        <v/>
      </c>
      <c r="Q220" s="185" t="str">
        <f t="shared" si="36"/>
        <v/>
      </c>
      <c r="R220" s="186" t="str">
        <f t="shared" si="36"/>
        <v/>
      </c>
      <c r="S220" s="187" t="str">
        <f>IFERROR(INDEX('G-1 All Habitats'!$B$3:$B$134,MATCH(R220,'G-1 All Habitats'!$A$3:$A$134,0)),"")</f>
        <v/>
      </c>
      <c r="T220" s="370" t="str">
        <f t="shared" si="37"/>
        <v/>
      </c>
      <c r="U220" s="386" t="str">
        <f t="shared" si="38"/>
        <v/>
      </c>
      <c r="V220" s="385" t="str">
        <f t="shared" si="34"/>
        <v/>
      </c>
      <c r="W220" s="382" t="str">
        <f>IF(S220="","",VLOOKUP(S220,'G-1 All Habitats'!$B$2:$M$134,10,FALSE))</f>
        <v/>
      </c>
      <c r="X220" s="382" t="str">
        <f>IFERROR(VLOOKUP(W220,'G-1 All Habitats'!$V$3:$W$7,2,FALSE),"")</f>
        <v/>
      </c>
      <c r="Y220" s="165"/>
      <c r="Z220" s="386" t="str">
        <f>IFERROR(INDEX('G-8 Condition Look up'!$A$3:$H$135,MATCH(S220,'G-8 Condition Look up'!$A$3:$A$135,0),MATCH(Y220,'G-8 Condition Look up'!$A$3:$H$3,0)),"")</f>
        <v/>
      </c>
      <c r="AA220" s="114"/>
      <c r="AB220" s="401" t="str">
        <f>IF(AA220="","",IF(VLOOKUP(AA220,'G-3 Multipliers'!$L$3:$N$6,2,FALSE)=0,"Spatial Data Missing ⚠",VLOOKUP(AA220,'G-3 Multipliers'!$L$3:$N$6,2,FALSE)))</f>
        <v/>
      </c>
      <c r="AC220" s="386" t="str">
        <f>IF(AA220="","",IF(VLOOKUP(AA220,'G-3 Multipliers'!$L$3:$N$6,3,FALSE)=0,"Spatial Data Missing ⚠",VLOOKUP(AA220,'G-3 Multipliers'!$L$3:$N$6,3,FALSE)))</f>
        <v/>
      </c>
      <c r="AD220" s="398" t="str">
        <f t="shared" si="35"/>
        <v/>
      </c>
      <c r="AE220" s="165"/>
      <c r="AF220" s="165"/>
      <c r="AG220" s="382" t="str">
        <f t="shared" si="39"/>
        <v/>
      </c>
      <c r="AH220" s="404" t="str">
        <f t="shared" si="40"/>
        <v/>
      </c>
      <c r="AI220" s="387" t="str">
        <f>IF(AH220="Check Data ⚠","Check Data ⚠",IFERROR(VLOOKUP(AH220,'G-4 Temporal multipliers'!$A$4:$C$36,3,FALSE),""))</f>
        <v/>
      </c>
      <c r="AJ220" s="398" t="str">
        <f>IF(S220="","",VLOOKUP(S220,'G-3 Multipliers'!$A$2:$E$134,4,FALSE))</f>
        <v/>
      </c>
      <c r="AK220" s="382" t="str">
        <f t="shared" si="41"/>
        <v/>
      </c>
      <c r="AL220" s="382" t="str">
        <f t="shared" si="42"/>
        <v/>
      </c>
      <c r="AM220" s="386" t="str">
        <f>IFERROR(IF(F220="","",IF(AH220="Check Data ⚠","Check Data ⚠",VLOOKUP(AL220, 'G-3 Multipliers'!$P$2:$Q$6,2,FALSE))),"")</f>
        <v/>
      </c>
      <c r="AN220" s="516"/>
      <c r="AO220" s="417" t="str">
        <f>IF(AN220="","",IF(VLOOKUP(AN220,'G-3 Multipliers'!$S$3:$T$10,2,FALSE)=0,"Spatial Data Missing ⚠",VLOOKUP(AN220,'G-3 Multipliers'!$S$3:$T$10,2,FALSE)))</f>
        <v/>
      </c>
      <c r="AP220" s="376" t="str">
        <f t="shared" si="43"/>
        <v/>
      </c>
      <c r="AQ220" s="376" t="str">
        <f t="shared" si="44"/>
        <v/>
      </c>
      <c r="AR220" s="119"/>
      <c r="AS220" s="528"/>
      <c r="AT220" s="120"/>
      <c r="AU220" s="120"/>
    </row>
    <row r="221" spans="1:47">
      <c r="A221" s="30" t="str">
        <f>IF(E221="","",IF(ISNA(VLOOKUP($E221,'D-1 Off-Site Habitat Baseline'!$D$1:$O$258,2,FALSE)),"",(VLOOKUP($E221,'D-1 Off-Site Habitat Baseline'!$D$1:$O$258,2,FALSE))))</f>
        <v/>
      </c>
      <c r="B221" s="30" t="str">
        <f>IF(E221="","",IF(ISNA(VLOOKUP($E221,'D-1 Off-Site Habitat Baseline'!$D$1:$O$258,3,FALSE)),"",(VLOOKUP($E221,'D-1 Off-Site Habitat Baseline'!$D$1:$O$258,3,FALSE))))</f>
        <v/>
      </c>
      <c r="C221" s="30" t="str">
        <f>IFERROR(INDEX('G-8 Condition Look up'!$I$4:$I$135,MATCH(S221,'G-8 Condition Look up'!$A$4:$A$135,0)),"")</f>
        <v/>
      </c>
      <c r="E221" s="407" t="str">
        <f>'D-1 Off-Site Habitat Baseline'!AP220</f>
        <v/>
      </c>
      <c r="F221" s="382" t="str">
        <f>IF(E221="","",IF(ISNA(VLOOKUP($E221,'D-1 Off-Site Habitat Baseline'!$D$1:$O$258,4,FALSE)),"",(VLOOKUP($E221,'D-1 Off-Site Habitat Baseline'!$D$1:$O$258,4,FALSE))))</f>
        <v/>
      </c>
      <c r="G221" s="382" t="str">
        <f>IF(E221="","",IF(ISNA(VLOOKUP($E221,'D-1 Off-Site Habitat Baseline'!$D$1:$O$258,5,FALSE)),"",(VLOOKUP($E221,'D-1 Off-Site Habitat Baseline'!$D$1:$O$258,5,FALSE))))</f>
        <v/>
      </c>
      <c r="H221" s="382" t="str">
        <f>IF(E221="","",IF(ISNA(VLOOKUP($E221,'D-1 Off-Site Habitat Baseline'!$D$1:$O$258,6,FALSE)),"",(VLOOKUP($E221,'D-1 Off-Site Habitat Baseline'!$D$1:$O$258,6,FALSE))))</f>
        <v/>
      </c>
      <c r="I221" s="382" t="str">
        <f>IF(E221="","",IF(ISNA(VLOOKUP($E221,'D-1 Off-Site Habitat Baseline'!$D$1:$O$258,7,FALSE)),"",(VLOOKUP($E221,'D-1 Off-Site Habitat Baseline'!$D$1:$O$258,7,FALSE))))</f>
        <v/>
      </c>
      <c r="J221" s="382" t="str">
        <f>IF(E221="","",IF(ISNA(VLOOKUP($E221,'D-1 Off-Site Habitat Baseline'!$D$1:$O$258,8,FALSE)),"",(VLOOKUP($E221,'D-1 Off-Site Habitat Baseline'!$D$1:$O$258,8,FALSE))))</f>
        <v/>
      </c>
      <c r="K221" s="382" t="str">
        <f>IF(E221="","",IF(ISNA(VLOOKUP($E221,'D-1 Off-Site Habitat Baseline'!$D$1:$O$258,9,FALSE)),"",(VLOOKUP($E221,'D-1 Off-Site Habitat Baseline'!$D$1:$O$258,9,FALSE))))</f>
        <v/>
      </c>
      <c r="L221" s="382" t="str">
        <f>IF(E221="","",IF(ISNA(VLOOKUP($E221,'D-1 Off-Site Habitat Baseline'!$D$1:$O$258,11,FALSE)),"",(VLOOKUP($E221,'D-1 Off-Site Habitat Baseline'!$D$1:$O$258,11,FALSE))))</f>
        <v/>
      </c>
      <c r="M221" s="382" t="str">
        <f>IF(E221="","",IF(ISNA(VLOOKUP($E221,'D-1 Off-Site Habitat Baseline'!$D$1:$O$258,12,FALSE)),"",(VLOOKUP($E221,'D-1 Off-Site Habitat Baseline'!$D$1:$O$258,12,FALSE))))</f>
        <v/>
      </c>
      <c r="N221" s="382" t="str">
        <f>IF(E221="","",IF(ISNA(VLOOKUP($E221,'D-1 Off-Site Habitat Baseline'!$D$1:$AA$258,14,FALSE)),"",(VLOOKUP($E221,'D-1 Off-Site Habitat Baseline'!$D$1:$AA$258,14,FALSE))))</f>
        <v/>
      </c>
      <c r="O221" s="386" t="str">
        <f>IF(E221="","",IF(ISNA(VLOOKUP($E221,'D-1 Off-Site Habitat Baseline'!$D$1:$AA$258,13,FALSE)),"",(VLOOKUP($E221,'D-1 Off-Site Habitat Baseline'!$D$1:$AA$258,13,FALSE))))</f>
        <v/>
      </c>
      <c r="P221" s="184" t="str">
        <f>IFERROR(INDEX('G-1 All Habitats'!$AG$3:$AG$17,MATCH(Q221,'G-1 All Habitats'!$AF$3:$AF$17,0)),"")</f>
        <v/>
      </c>
      <c r="Q221" s="185" t="str">
        <f t="shared" si="36"/>
        <v/>
      </c>
      <c r="R221" s="186" t="str">
        <f t="shared" si="36"/>
        <v/>
      </c>
      <c r="S221" s="187" t="str">
        <f>IFERROR(INDEX('G-1 All Habitats'!$B$3:$B$134,MATCH(R221,'G-1 All Habitats'!$A$3:$A$134,0)),"")</f>
        <v/>
      </c>
      <c r="T221" s="370" t="str">
        <f t="shared" si="37"/>
        <v/>
      </c>
      <c r="U221" s="386" t="str">
        <f t="shared" si="38"/>
        <v/>
      </c>
      <c r="V221" s="385" t="str">
        <f t="shared" si="34"/>
        <v/>
      </c>
      <c r="W221" s="382" t="str">
        <f>IF(S221="","",VLOOKUP(S221,'G-1 All Habitats'!$B$2:$M$134,10,FALSE))</f>
        <v/>
      </c>
      <c r="X221" s="382" t="str">
        <f>IFERROR(VLOOKUP(W221,'G-1 All Habitats'!$V$3:$W$7,2,FALSE),"")</f>
        <v/>
      </c>
      <c r="Y221" s="165"/>
      <c r="Z221" s="386" t="str">
        <f>IFERROR(INDEX('G-8 Condition Look up'!$A$3:$H$135,MATCH(S221,'G-8 Condition Look up'!$A$3:$A$135,0),MATCH(Y221,'G-8 Condition Look up'!$A$3:$H$3,0)),"")</f>
        <v/>
      </c>
      <c r="AA221" s="114"/>
      <c r="AB221" s="401" t="str">
        <f>IF(AA221="","",IF(VLOOKUP(AA221,'G-3 Multipliers'!$L$3:$N$6,2,FALSE)=0,"Spatial Data Missing ⚠",VLOOKUP(AA221,'G-3 Multipliers'!$L$3:$N$6,2,FALSE)))</f>
        <v/>
      </c>
      <c r="AC221" s="386" t="str">
        <f>IF(AA221="","",IF(VLOOKUP(AA221,'G-3 Multipliers'!$L$3:$N$6,3,FALSE)=0,"Spatial Data Missing ⚠",VLOOKUP(AA221,'G-3 Multipliers'!$L$3:$N$6,3,FALSE)))</f>
        <v/>
      </c>
      <c r="AD221" s="398" t="str">
        <f t="shared" si="35"/>
        <v/>
      </c>
      <c r="AE221" s="165"/>
      <c r="AF221" s="165"/>
      <c r="AG221" s="382" t="str">
        <f t="shared" si="39"/>
        <v/>
      </c>
      <c r="AH221" s="404" t="str">
        <f t="shared" si="40"/>
        <v/>
      </c>
      <c r="AI221" s="387" t="str">
        <f>IF(AH221="Check Data ⚠","Check Data ⚠",IFERROR(VLOOKUP(AH221,'G-4 Temporal multipliers'!$A$4:$C$36,3,FALSE),""))</f>
        <v/>
      </c>
      <c r="AJ221" s="398" t="str">
        <f>IF(S221="","",VLOOKUP(S221,'G-3 Multipliers'!$A$2:$E$134,4,FALSE))</f>
        <v/>
      </c>
      <c r="AK221" s="382" t="str">
        <f t="shared" si="41"/>
        <v/>
      </c>
      <c r="AL221" s="382" t="str">
        <f t="shared" si="42"/>
        <v/>
      </c>
      <c r="AM221" s="386" t="str">
        <f>IFERROR(IF(F221="","",IF(AH221="Check Data ⚠","Check Data ⚠",VLOOKUP(AL221, 'G-3 Multipliers'!$P$2:$Q$6,2,FALSE))),"")</f>
        <v/>
      </c>
      <c r="AN221" s="516"/>
      <c r="AO221" s="417" t="str">
        <f>IF(AN221="","",IF(VLOOKUP(AN221,'G-3 Multipliers'!$S$3:$T$10,2,FALSE)=0,"Spatial Data Missing ⚠",VLOOKUP(AN221,'G-3 Multipliers'!$S$3:$T$10,2,FALSE)))</f>
        <v/>
      </c>
      <c r="AP221" s="376" t="str">
        <f t="shared" si="43"/>
        <v/>
      </c>
      <c r="AQ221" s="376" t="str">
        <f t="shared" si="44"/>
        <v/>
      </c>
      <c r="AR221" s="119"/>
      <c r="AS221" s="528"/>
      <c r="AT221" s="120"/>
      <c r="AU221" s="120"/>
    </row>
    <row r="222" spans="1:47">
      <c r="A222" s="30" t="str">
        <f>IF(E222="","",IF(ISNA(VLOOKUP($E222,'D-1 Off-Site Habitat Baseline'!$D$1:$O$258,2,FALSE)),"",(VLOOKUP($E222,'D-1 Off-Site Habitat Baseline'!$D$1:$O$258,2,FALSE))))</f>
        <v/>
      </c>
      <c r="B222" s="30" t="str">
        <f>IF(E222="","",IF(ISNA(VLOOKUP($E222,'D-1 Off-Site Habitat Baseline'!$D$1:$O$258,3,FALSE)),"",(VLOOKUP($E222,'D-1 Off-Site Habitat Baseline'!$D$1:$O$258,3,FALSE))))</f>
        <v/>
      </c>
      <c r="C222" s="30" t="str">
        <f>IFERROR(INDEX('G-8 Condition Look up'!$I$4:$I$135,MATCH(S222,'G-8 Condition Look up'!$A$4:$A$135,0)),"")</f>
        <v/>
      </c>
      <c r="E222" s="407" t="str">
        <f>'D-1 Off-Site Habitat Baseline'!AP221</f>
        <v/>
      </c>
      <c r="F222" s="382" t="str">
        <f>IF(E222="","",IF(ISNA(VLOOKUP($E222,'D-1 Off-Site Habitat Baseline'!$D$1:$O$258,4,FALSE)),"",(VLOOKUP($E222,'D-1 Off-Site Habitat Baseline'!$D$1:$O$258,4,FALSE))))</f>
        <v/>
      </c>
      <c r="G222" s="382" t="str">
        <f>IF(E222="","",IF(ISNA(VLOOKUP($E222,'D-1 Off-Site Habitat Baseline'!$D$1:$O$258,5,FALSE)),"",(VLOOKUP($E222,'D-1 Off-Site Habitat Baseline'!$D$1:$O$258,5,FALSE))))</f>
        <v/>
      </c>
      <c r="H222" s="382" t="str">
        <f>IF(E222="","",IF(ISNA(VLOOKUP($E222,'D-1 Off-Site Habitat Baseline'!$D$1:$O$258,6,FALSE)),"",(VLOOKUP($E222,'D-1 Off-Site Habitat Baseline'!$D$1:$O$258,6,FALSE))))</f>
        <v/>
      </c>
      <c r="I222" s="382" t="str">
        <f>IF(E222="","",IF(ISNA(VLOOKUP($E222,'D-1 Off-Site Habitat Baseline'!$D$1:$O$258,7,FALSE)),"",(VLOOKUP($E222,'D-1 Off-Site Habitat Baseline'!$D$1:$O$258,7,FALSE))))</f>
        <v/>
      </c>
      <c r="J222" s="382" t="str">
        <f>IF(E222="","",IF(ISNA(VLOOKUP($E222,'D-1 Off-Site Habitat Baseline'!$D$1:$O$258,8,FALSE)),"",(VLOOKUP($E222,'D-1 Off-Site Habitat Baseline'!$D$1:$O$258,8,FALSE))))</f>
        <v/>
      </c>
      <c r="K222" s="382" t="str">
        <f>IF(E222="","",IF(ISNA(VLOOKUP($E222,'D-1 Off-Site Habitat Baseline'!$D$1:$O$258,9,FALSE)),"",(VLOOKUP($E222,'D-1 Off-Site Habitat Baseline'!$D$1:$O$258,9,FALSE))))</f>
        <v/>
      </c>
      <c r="L222" s="382" t="str">
        <f>IF(E222="","",IF(ISNA(VLOOKUP($E222,'D-1 Off-Site Habitat Baseline'!$D$1:$O$258,11,FALSE)),"",(VLOOKUP($E222,'D-1 Off-Site Habitat Baseline'!$D$1:$O$258,11,FALSE))))</f>
        <v/>
      </c>
      <c r="M222" s="382" t="str">
        <f>IF(E222="","",IF(ISNA(VLOOKUP($E222,'D-1 Off-Site Habitat Baseline'!$D$1:$O$258,12,FALSE)),"",(VLOOKUP($E222,'D-1 Off-Site Habitat Baseline'!$D$1:$O$258,12,FALSE))))</f>
        <v/>
      </c>
      <c r="N222" s="382" t="str">
        <f>IF(E222="","",IF(ISNA(VLOOKUP($E222,'D-1 Off-Site Habitat Baseline'!$D$1:$AA$258,14,FALSE)),"",(VLOOKUP($E222,'D-1 Off-Site Habitat Baseline'!$D$1:$AA$258,14,FALSE))))</f>
        <v/>
      </c>
      <c r="O222" s="386" t="str">
        <f>IF(E222="","",IF(ISNA(VLOOKUP($E222,'D-1 Off-Site Habitat Baseline'!$D$1:$AA$258,13,FALSE)),"",(VLOOKUP($E222,'D-1 Off-Site Habitat Baseline'!$D$1:$AA$258,13,FALSE))))</f>
        <v/>
      </c>
      <c r="P222" s="184" t="str">
        <f>IFERROR(INDEX('G-1 All Habitats'!$AG$3:$AG$17,MATCH(Q222,'G-1 All Habitats'!$AF$3:$AF$17,0)),"")</f>
        <v/>
      </c>
      <c r="Q222" s="185" t="str">
        <f t="shared" si="36"/>
        <v/>
      </c>
      <c r="R222" s="186" t="str">
        <f t="shared" si="36"/>
        <v/>
      </c>
      <c r="S222" s="187" t="str">
        <f>IFERROR(INDEX('G-1 All Habitats'!$B$3:$B$134,MATCH(R222,'G-1 All Habitats'!$A$3:$A$134,0)),"")</f>
        <v/>
      </c>
      <c r="T222" s="370" t="str">
        <f t="shared" si="37"/>
        <v/>
      </c>
      <c r="U222" s="386" t="str">
        <f t="shared" si="38"/>
        <v/>
      </c>
      <c r="V222" s="385" t="str">
        <f t="shared" si="34"/>
        <v/>
      </c>
      <c r="W222" s="382" t="str">
        <f>IF(S222="","",VLOOKUP(S222,'G-1 All Habitats'!$B$2:$M$134,10,FALSE))</f>
        <v/>
      </c>
      <c r="X222" s="382" t="str">
        <f>IFERROR(VLOOKUP(W222,'G-1 All Habitats'!$V$3:$W$7,2,FALSE),"")</f>
        <v/>
      </c>
      <c r="Y222" s="165"/>
      <c r="Z222" s="386" t="str">
        <f>IFERROR(INDEX('G-8 Condition Look up'!$A$3:$H$135,MATCH(S222,'G-8 Condition Look up'!$A$3:$A$135,0),MATCH(Y222,'G-8 Condition Look up'!$A$3:$H$3,0)),"")</f>
        <v/>
      </c>
      <c r="AA222" s="114"/>
      <c r="AB222" s="401" t="str">
        <f>IF(AA222="","",IF(VLOOKUP(AA222,'G-3 Multipliers'!$L$3:$N$6,2,FALSE)=0,"Spatial Data Missing ⚠",VLOOKUP(AA222,'G-3 Multipliers'!$L$3:$N$6,2,FALSE)))</f>
        <v/>
      </c>
      <c r="AC222" s="386" t="str">
        <f>IF(AA222="","",IF(VLOOKUP(AA222,'G-3 Multipliers'!$L$3:$N$6,3,FALSE)=0,"Spatial Data Missing ⚠",VLOOKUP(AA222,'G-3 Multipliers'!$L$3:$N$6,3,FALSE)))</f>
        <v/>
      </c>
      <c r="AD222" s="398" t="str">
        <f t="shared" si="35"/>
        <v/>
      </c>
      <c r="AE222" s="165"/>
      <c r="AF222" s="165"/>
      <c r="AG222" s="382" t="str">
        <f t="shared" si="39"/>
        <v/>
      </c>
      <c r="AH222" s="404" t="str">
        <f t="shared" si="40"/>
        <v/>
      </c>
      <c r="AI222" s="387" t="str">
        <f>IF(AH222="Check Data ⚠","Check Data ⚠",IFERROR(VLOOKUP(AH222,'G-4 Temporal multipliers'!$A$4:$C$36,3,FALSE),""))</f>
        <v/>
      </c>
      <c r="AJ222" s="398" t="str">
        <f>IF(S222="","",VLOOKUP(S222,'G-3 Multipliers'!$A$2:$E$134,4,FALSE))</f>
        <v/>
      </c>
      <c r="AK222" s="382" t="str">
        <f t="shared" si="41"/>
        <v/>
      </c>
      <c r="AL222" s="382" t="str">
        <f t="shared" si="42"/>
        <v/>
      </c>
      <c r="AM222" s="386" t="str">
        <f>IFERROR(IF(F222="","",IF(AH222="Check Data ⚠","Check Data ⚠",VLOOKUP(AL222, 'G-3 Multipliers'!$P$2:$Q$6,2,FALSE))),"")</f>
        <v/>
      </c>
      <c r="AN222" s="516"/>
      <c r="AO222" s="417" t="str">
        <f>IF(AN222="","",IF(VLOOKUP(AN222,'G-3 Multipliers'!$S$3:$T$10,2,FALSE)=0,"Spatial Data Missing ⚠",VLOOKUP(AN222,'G-3 Multipliers'!$S$3:$T$10,2,FALSE)))</f>
        <v/>
      </c>
      <c r="AP222" s="376" t="str">
        <f t="shared" si="43"/>
        <v/>
      </c>
      <c r="AQ222" s="376" t="str">
        <f t="shared" si="44"/>
        <v/>
      </c>
      <c r="AR222" s="119"/>
      <c r="AS222" s="528"/>
      <c r="AT222" s="120"/>
      <c r="AU222" s="120"/>
    </row>
    <row r="223" spans="1:47">
      <c r="A223" s="30" t="str">
        <f>IF(E223="","",IF(ISNA(VLOOKUP($E223,'D-1 Off-Site Habitat Baseline'!$D$1:$O$258,2,FALSE)),"",(VLOOKUP($E223,'D-1 Off-Site Habitat Baseline'!$D$1:$O$258,2,FALSE))))</f>
        <v/>
      </c>
      <c r="B223" s="30" t="str">
        <f>IF(E223="","",IF(ISNA(VLOOKUP($E223,'D-1 Off-Site Habitat Baseline'!$D$1:$O$258,3,FALSE)),"",(VLOOKUP($E223,'D-1 Off-Site Habitat Baseline'!$D$1:$O$258,3,FALSE))))</f>
        <v/>
      </c>
      <c r="C223" s="30" t="str">
        <f>IFERROR(INDEX('G-8 Condition Look up'!$I$4:$I$135,MATCH(S223,'G-8 Condition Look up'!$A$4:$A$135,0)),"")</f>
        <v/>
      </c>
      <c r="E223" s="407" t="str">
        <f>'D-1 Off-Site Habitat Baseline'!AP222</f>
        <v/>
      </c>
      <c r="F223" s="382" t="str">
        <f>IF(E223="","",IF(ISNA(VLOOKUP($E223,'D-1 Off-Site Habitat Baseline'!$D$1:$O$258,4,FALSE)),"",(VLOOKUP($E223,'D-1 Off-Site Habitat Baseline'!$D$1:$O$258,4,FALSE))))</f>
        <v/>
      </c>
      <c r="G223" s="382" t="str">
        <f>IF(E223="","",IF(ISNA(VLOOKUP($E223,'D-1 Off-Site Habitat Baseline'!$D$1:$O$258,5,FALSE)),"",(VLOOKUP($E223,'D-1 Off-Site Habitat Baseline'!$D$1:$O$258,5,FALSE))))</f>
        <v/>
      </c>
      <c r="H223" s="382" t="str">
        <f>IF(E223="","",IF(ISNA(VLOOKUP($E223,'D-1 Off-Site Habitat Baseline'!$D$1:$O$258,6,FALSE)),"",(VLOOKUP($E223,'D-1 Off-Site Habitat Baseline'!$D$1:$O$258,6,FALSE))))</f>
        <v/>
      </c>
      <c r="I223" s="382" t="str">
        <f>IF(E223="","",IF(ISNA(VLOOKUP($E223,'D-1 Off-Site Habitat Baseline'!$D$1:$O$258,7,FALSE)),"",(VLOOKUP($E223,'D-1 Off-Site Habitat Baseline'!$D$1:$O$258,7,FALSE))))</f>
        <v/>
      </c>
      <c r="J223" s="382" t="str">
        <f>IF(E223="","",IF(ISNA(VLOOKUP($E223,'D-1 Off-Site Habitat Baseline'!$D$1:$O$258,8,FALSE)),"",(VLOOKUP($E223,'D-1 Off-Site Habitat Baseline'!$D$1:$O$258,8,FALSE))))</f>
        <v/>
      </c>
      <c r="K223" s="382" t="str">
        <f>IF(E223="","",IF(ISNA(VLOOKUP($E223,'D-1 Off-Site Habitat Baseline'!$D$1:$O$258,9,FALSE)),"",(VLOOKUP($E223,'D-1 Off-Site Habitat Baseline'!$D$1:$O$258,9,FALSE))))</f>
        <v/>
      </c>
      <c r="L223" s="382" t="str">
        <f>IF(E223="","",IF(ISNA(VLOOKUP($E223,'D-1 Off-Site Habitat Baseline'!$D$1:$O$258,11,FALSE)),"",(VLOOKUP($E223,'D-1 Off-Site Habitat Baseline'!$D$1:$O$258,11,FALSE))))</f>
        <v/>
      </c>
      <c r="M223" s="382" t="str">
        <f>IF(E223="","",IF(ISNA(VLOOKUP($E223,'D-1 Off-Site Habitat Baseline'!$D$1:$O$258,12,FALSE)),"",(VLOOKUP($E223,'D-1 Off-Site Habitat Baseline'!$D$1:$O$258,12,FALSE))))</f>
        <v/>
      </c>
      <c r="N223" s="382" t="str">
        <f>IF(E223="","",IF(ISNA(VLOOKUP($E223,'D-1 Off-Site Habitat Baseline'!$D$1:$AA$258,14,FALSE)),"",(VLOOKUP($E223,'D-1 Off-Site Habitat Baseline'!$D$1:$AA$258,14,FALSE))))</f>
        <v/>
      </c>
      <c r="O223" s="386" t="str">
        <f>IF(E223="","",IF(ISNA(VLOOKUP($E223,'D-1 Off-Site Habitat Baseline'!$D$1:$AA$258,13,FALSE)),"",(VLOOKUP($E223,'D-1 Off-Site Habitat Baseline'!$D$1:$AA$258,13,FALSE))))</f>
        <v/>
      </c>
      <c r="P223" s="184" t="str">
        <f>IFERROR(INDEX('G-1 All Habitats'!$AG$3:$AG$17,MATCH(Q223,'G-1 All Habitats'!$AF$3:$AF$17,0)),"")</f>
        <v/>
      </c>
      <c r="Q223" s="185" t="str">
        <f t="shared" si="36"/>
        <v/>
      </c>
      <c r="R223" s="186" t="str">
        <f t="shared" si="36"/>
        <v/>
      </c>
      <c r="S223" s="187" t="str">
        <f>IFERROR(INDEX('G-1 All Habitats'!$B$3:$B$134,MATCH(R223,'G-1 All Habitats'!$A$3:$A$134,0)),"")</f>
        <v/>
      </c>
      <c r="T223" s="370" t="str">
        <f t="shared" si="37"/>
        <v/>
      </c>
      <c r="U223" s="386" t="str">
        <f t="shared" si="38"/>
        <v/>
      </c>
      <c r="V223" s="385" t="str">
        <f t="shared" si="34"/>
        <v/>
      </c>
      <c r="W223" s="382" t="str">
        <f>IF(S223="","",VLOOKUP(S223,'G-1 All Habitats'!$B$2:$M$134,10,FALSE))</f>
        <v/>
      </c>
      <c r="X223" s="382" t="str">
        <f>IFERROR(VLOOKUP(W223,'G-1 All Habitats'!$V$3:$W$7,2,FALSE),"")</f>
        <v/>
      </c>
      <c r="Y223" s="165"/>
      <c r="Z223" s="386" t="str">
        <f>IFERROR(INDEX('G-8 Condition Look up'!$A$3:$H$135,MATCH(S223,'G-8 Condition Look up'!$A$3:$A$135,0),MATCH(Y223,'G-8 Condition Look up'!$A$3:$H$3,0)),"")</f>
        <v/>
      </c>
      <c r="AA223" s="114"/>
      <c r="AB223" s="401" t="str">
        <f>IF(AA223="","",IF(VLOOKUP(AA223,'G-3 Multipliers'!$L$3:$N$6,2,FALSE)=0,"Spatial Data Missing ⚠",VLOOKUP(AA223,'G-3 Multipliers'!$L$3:$N$6,2,FALSE)))</f>
        <v/>
      </c>
      <c r="AC223" s="386" t="str">
        <f>IF(AA223="","",IF(VLOOKUP(AA223,'G-3 Multipliers'!$L$3:$N$6,3,FALSE)=0,"Spatial Data Missing ⚠",VLOOKUP(AA223,'G-3 Multipliers'!$L$3:$N$6,3,FALSE)))</f>
        <v/>
      </c>
      <c r="AD223" s="398" t="str">
        <f t="shared" si="35"/>
        <v/>
      </c>
      <c r="AE223" s="165"/>
      <c r="AF223" s="165"/>
      <c r="AG223" s="382" t="str">
        <f t="shared" si="39"/>
        <v/>
      </c>
      <c r="AH223" s="404" t="str">
        <f t="shared" si="40"/>
        <v/>
      </c>
      <c r="AI223" s="387" t="str">
        <f>IF(AH223="Check Data ⚠","Check Data ⚠",IFERROR(VLOOKUP(AH223,'G-4 Temporal multipliers'!$A$4:$C$36,3,FALSE),""))</f>
        <v/>
      </c>
      <c r="AJ223" s="398" t="str">
        <f>IF(S223="","",VLOOKUP(S223,'G-3 Multipliers'!$A$2:$E$134,4,FALSE))</f>
        <v/>
      </c>
      <c r="AK223" s="382" t="str">
        <f t="shared" si="41"/>
        <v/>
      </c>
      <c r="AL223" s="382" t="str">
        <f t="shared" si="42"/>
        <v/>
      </c>
      <c r="AM223" s="386" t="str">
        <f>IFERROR(IF(F223="","",IF(AH223="Check Data ⚠","Check Data ⚠",VLOOKUP(AL223, 'G-3 Multipliers'!$P$2:$Q$6,2,FALSE))),"")</f>
        <v/>
      </c>
      <c r="AN223" s="516"/>
      <c r="AO223" s="417" t="str">
        <f>IF(AN223="","",IF(VLOOKUP(AN223,'G-3 Multipliers'!$S$3:$T$10,2,FALSE)=0,"Spatial Data Missing ⚠",VLOOKUP(AN223,'G-3 Multipliers'!$S$3:$T$10,2,FALSE)))</f>
        <v/>
      </c>
      <c r="AP223" s="376" t="str">
        <f t="shared" si="43"/>
        <v/>
      </c>
      <c r="AQ223" s="376" t="str">
        <f t="shared" si="44"/>
        <v/>
      </c>
      <c r="AR223" s="119"/>
      <c r="AS223" s="528"/>
      <c r="AT223" s="120"/>
      <c r="AU223" s="120"/>
    </row>
    <row r="224" spans="1:47">
      <c r="A224" s="30" t="str">
        <f>IF(E224="","",IF(ISNA(VLOOKUP($E224,'D-1 Off-Site Habitat Baseline'!$D$1:$O$258,2,FALSE)),"",(VLOOKUP($E224,'D-1 Off-Site Habitat Baseline'!$D$1:$O$258,2,FALSE))))</f>
        <v/>
      </c>
      <c r="B224" s="30" t="str">
        <f>IF(E224="","",IF(ISNA(VLOOKUP($E224,'D-1 Off-Site Habitat Baseline'!$D$1:$O$258,3,FALSE)),"",(VLOOKUP($E224,'D-1 Off-Site Habitat Baseline'!$D$1:$O$258,3,FALSE))))</f>
        <v/>
      </c>
      <c r="C224" s="30" t="str">
        <f>IFERROR(INDEX('G-8 Condition Look up'!$I$4:$I$135,MATCH(S224,'G-8 Condition Look up'!$A$4:$A$135,0)),"")</f>
        <v/>
      </c>
      <c r="E224" s="407" t="str">
        <f>'D-1 Off-Site Habitat Baseline'!AP223</f>
        <v/>
      </c>
      <c r="F224" s="382" t="str">
        <f>IF(E224="","",IF(ISNA(VLOOKUP($E224,'D-1 Off-Site Habitat Baseline'!$D$1:$O$258,4,FALSE)),"",(VLOOKUP($E224,'D-1 Off-Site Habitat Baseline'!$D$1:$O$258,4,FALSE))))</f>
        <v/>
      </c>
      <c r="G224" s="382" t="str">
        <f>IF(E224="","",IF(ISNA(VLOOKUP($E224,'D-1 Off-Site Habitat Baseline'!$D$1:$O$258,5,FALSE)),"",(VLOOKUP($E224,'D-1 Off-Site Habitat Baseline'!$D$1:$O$258,5,FALSE))))</f>
        <v/>
      </c>
      <c r="H224" s="382" t="str">
        <f>IF(E224="","",IF(ISNA(VLOOKUP($E224,'D-1 Off-Site Habitat Baseline'!$D$1:$O$258,6,FALSE)),"",(VLOOKUP($E224,'D-1 Off-Site Habitat Baseline'!$D$1:$O$258,6,FALSE))))</f>
        <v/>
      </c>
      <c r="I224" s="382" t="str">
        <f>IF(E224="","",IF(ISNA(VLOOKUP($E224,'D-1 Off-Site Habitat Baseline'!$D$1:$O$258,7,FALSE)),"",(VLOOKUP($E224,'D-1 Off-Site Habitat Baseline'!$D$1:$O$258,7,FALSE))))</f>
        <v/>
      </c>
      <c r="J224" s="382" t="str">
        <f>IF(E224="","",IF(ISNA(VLOOKUP($E224,'D-1 Off-Site Habitat Baseline'!$D$1:$O$258,8,FALSE)),"",(VLOOKUP($E224,'D-1 Off-Site Habitat Baseline'!$D$1:$O$258,8,FALSE))))</f>
        <v/>
      </c>
      <c r="K224" s="382" t="str">
        <f>IF(E224="","",IF(ISNA(VLOOKUP($E224,'D-1 Off-Site Habitat Baseline'!$D$1:$O$258,9,FALSE)),"",(VLOOKUP($E224,'D-1 Off-Site Habitat Baseline'!$D$1:$O$258,9,FALSE))))</f>
        <v/>
      </c>
      <c r="L224" s="382" t="str">
        <f>IF(E224="","",IF(ISNA(VLOOKUP($E224,'D-1 Off-Site Habitat Baseline'!$D$1:$O$258,11,FALSE)),"",(VLOOKUP($E224,'D-1 Off-Site Habitat Baseline'!$D$1:$O$258,11,FALSE))))</f>
        <v/>
      </c>
      <c r="M224" s="382" t="str">
        <f>IF(E224="","",IF(ISNA(VLOOKUP($E224,'D-1 Off-Site Habitat Baseline'!$D$1:$O$258,12,FALSE)),"",(VLOOKUP($E224,'D-1 Off-Site Habitat Baseline'!$D$1:$O$258,12,FALSE))))</f>
        <v/>
      </c>
      <c r="N224" s="382" t="str">
        <f>IF(E224="","",IF(ISNA(VLOOKUP($E224,'D-1 Off-Site Habitat Baseline'!$D$1:$AA$258,14,FALSE)),"",(VLOOKUP($E224,'D-1 Off-Site Habitat Baseline'!$D$1:$AA$258,14,FALSE))))</f>
        <v/>
      </c>
      <c r="O224" s="386" t="str">
        <f>IF(E224="","",IF(ISNA(VLOOKUP($E224,'D-1 Off-Site Habitat Baseline'!$D$1:$AA$258,13,FALSE)),"",(VLOOKUP($E224,'D-1 Off-Site Habitat Baseline'!$D$1:$AA$258,13,FALSE))))</f>
        <v/>
      </c>
      <c r="P224" s="184" t="str">
        <f>IFERROR(INDEX('G-1 All Habitats'!$AG$3:$AG$17,MATCH(Q224,'G-1 All Habitats'!$AF$3:$AF$17,0)),"")</f>
        <v/>
      </c>
      <c r="Q224" s="185" t="str">
        <f t="shared" si="36"/>
        <v/>
      </c>
      <c r="R224" s="186" t="str">
        <f t="shared" si="36"/>
        <v/>
      </c>
      <c r="S224" s="187" t="str">
        <f>IFERROR(INDEX('G-1 All Habitats'!$B$3:$B$134,MATCH(R224,'G-1 All Habitats'!$A$3:$A$134,0)),"")</f>
        <v/>
      </c>
      <c r="T224" s="370" t="str">
        <f t="shared" si="37"/>
        <v/>
      </c>
      <c r="U224" s="386" t="str">
        <f t="shared" si="38"/>
        <v/>
      </c>
      <c r="V224" s="385" t="str">
        <f t="shared" si="34"/>
        <v/>
      </c>
      <c r="W224" s="382" t="str">
        <f>IF(S224="","",VLOOKUP(S224,'G-1 All Habitats'!$B$2:$M$134,10,FALSE))</f>
        <v/>
      </c>
      <c r="X224" s="382" t="str">
        <f>IFERROR(VLOOKUP(W224,'G-1 All Habitats'!$V$3:$W$7,2,FALSE),"")</f>
        <v/>
      </c>
      <c r="Y224" s="165"/>
      <c r="Z224" s="386" t="str">
        <f>IFERROR(INDEX('G-8 Condition Look up'!$A$3:$H$135,MATCH(S224,'G-8 Condition Look up'!$A$3:$A$135,0),MATCH(Y224,'G-8 Condition Look up'!$A$3:$H$3,0)),"")</f>
        <v/>
      </c>
      <c r="AA224" s="114"/>
      <c r="AB224" s="401" t="str">
        <f>IF(AA224="","",IF(VLOOKUP(AA224,'G-3 Multipliers'!$L$3:$N$6,2,FALSE)=0,"Spatial Data Missing ⚠",VLOOKUP(AA224,'G-3 Multipliers'!$L$3:$N$6,2,FALSE)))</f>
        <v/>
      </c>
      <c r="AC224" s="386" t="str">
        <f>IF(AA224="","",IF(VLOOKUP(AA224,'G-3 Multipliers'!$L$3:$N$6,3,FALSE)=0,"Spatial Data Missing ⚠",VLOOKUP(AA224,'G-3 Multipliers'!$L$3:$N$6,3,FALSE)))</f>
        <v/>
      </c>
      <c r="AD224" s="398" t="str">
        <f t="shared" si="35"/>
        <v/>
      </c>
      <c r="AE224" s="165"/>
      <c r="AF224" s="165"/>
      <c r="AG224" s="382" t="str">
        <f t="shared" si="39"/>
        <v/>
      </c>
      <c r="AH224" s="404" t="str">
        <f t="shared" si="40"/>
        <v/>
      </c>
      <c r="AI224" s="387" t="str">
        <f>IF(AH224="Check Data ⚠","Check Data ⚠",IFERROR(VLOOKUP(AH224,'G-4 Temporal multipliers'!$A$4:$C$36,3,FALSE),""))</f>
        <v/>
      </c>
      <c r="AJ224" s="398" t="str">
        <f>IF(S224="","",VLOOKUP(S224,'G-3 Multipliers'!$A$2:$E$134,4,FALSE))</f>
        <v/>
      </c>
      <c r="AK224" s="382" t="str">
        <f t="shared" si="41"/>
        <v/>
      </c>
      <c r="AL224" s="382" t="str">
        <f t="shared" si="42"/>
        <v/>
      </c>
      <c r="AM224" s="386" t="str">
        <f>IFERROR(IF(F224="","",IF(AH224="Check Data ⚠","Check Data ⚠",VLOOKUP(AL224, 'G-3 Multipliers'!$P$2:$Q$6,2,FALSE))),"")</f>
        <v/>
      </c>
      <c r="AN224" s="516"/>
      <c r="AO224" s="417" t="str">
        <f>IF(AN224="","",IF(VLOOKUP(AN224,'G-3 Multipliers'!$S$3:$T$10,2,FALSE)=0,"Spatial Data Missing ⚠",VLOOKUP(AN224,'G-3 Multipliers'!$S$3:$T$10,2,FALSE)))</f>
        <v/>
      </c>
      <c r="AP224" s="376" t="str">
        <f t="shared" si="43"/>
        <v/>
      </c>
      <c r="AQ224" s="376" t="str">
        <f t="shared" si="44"/>
        <v/>
      </c>
      <c r="AR224" s="119"/>
      <c r="AS224" s="528"/>
      <c r="AT224" s="120"/>
      <c r="AU224" s="120"/>
    </row>
    <row r="225" spans="1:47">
      <c r="A225" s="30" t="str">
        <f>IF(E225="","",IF(ISNA(VLOOKUP($E225,'D-1 Off-Site Habitat Baseline'!$D$1:$O$258,2,FALSE)),"",(VLOOKUP($E225,'D-1 Off-Site Habitat Baseline'!$D$1:$O$258,2,FALSE))))</f>
        <v/>
      </c>
      <c r="B225" s="30" t="str">
        <f>IF(E225="","",IF(ISNA(VLOOKUP($E225,'D-1 Off-Site Habitat Baseline'!$D$1:$O$258,3,FALSE)),"",(VLOOKUP($E225,'D-1 Off-Site Habitat Baseline'!$D$1:$O$258,3,FALSE))))</f>
        <v/>
      </c>
      <c r="C225" s="30" t="str">
        <f>IFERROR(INDEX('G-8 Condition Look up'!$I$4:$I$135,MATCH(S225,'G-8 Condition Look up'!$A$4:$A$135,0)),"")</f>
        <v/>
      </c>
      <c r="E225" s="407" t="str">
        <f>'D-1 Off-Site Habitat Baseline'!AP224</f>
        <v/>
      </c>
      <c r="F225" s="382" t="str">
        <f>IF(E225="","",IF(ISNA(VLOOKUP($E225,'D-1 Off-Site Habitat Baseline'!$D$1:$O$258,4,FALSE)),"",(VLOOKUP($E225,'D-1 Off-Site Habitat Baseline'!$D$1:$O$258,4,FALSE))))</f>
        <v/>
      </c>
      <c r="G225" s="382" t="str">
        <f>IF(E225="","",IF(ISNA(VLOOKUP($E225,'D-1 Off-Site Habitat Baseline'!$D$1:$O$258,5,FALSE)),"",(VLOOKUP($E225,'D-1 Off-Site Habitat Baseline'!$D$1:$O$258,5,FALSE))))</f>
        <v/>
      </c>
      <c r="H225" s="382" t="str">
        <f>IF(E225="","",IF(ISNA(VLOOKUP($E225,'D-1 Off-Site Habitat Baseline'!$D$1:$O$258,6,FALSE)),"",(VLOOKUP($E225,'D-1 Off-Site Habitat Baseline'!$D$1:$O$258,6,FALSE))))</f>
        <v/>
      </c>
      <c r="I225" s="382" t="str">
        <f>IF(E225="","",IF(ISNA(VLOOKUP($E225,'D-1 Off-Site Habitat Baseline'!$D$1:$O$258,7,FALSE)),"",(VLOOKUP($E225,'D-1 Off-Site Habitat Baseline'!$D$1:$O$258,7,FALSE))))</f>
        <v/>
      </c>
      <c r="J225" s="382" t="str">
        <f>IF(E225="","",IF(ISNA(VLOOKUP($E225,'D-1 Off-Site Habitat Baseline'!$D$1:$O$258,8,FALSE)),"",(VLOOKUP($E225,'D-1 Off-Site Habitat Baseline'!$D$1:$O$258,8,FALSE))))</f>
        <v/>
      </c>
      <c r="K225" s="382" t="str">
        <f>IF(E225="","",IF(ISNA(VLOOKUP($E225,'D-1 Off-Site Habitat Baseline'!$D$1:$O$258,9,FALSE)),"",(VLOOKUP($E225,'D-1 Off-Site Habitat Baseline'!$D$1:$O$258,9,FALSE))))</f>
        <v/>
      </c>
      <c r="L225" s="382" t="str">
        <f>IF(E225="","",IF(ISNA(VLOOKUP($E225,'D-1 Off-Site Habitat Baseline'!$D$1:$O$258,11,FALSE)),"",(VLOOKUP($E225,'D-1 Off-Site Habitat Baseline'!$D$1:$O$258,11,FALSE))))</f>
        <v/>
      </c>
      <c r="M225" s="382" t="str">
        <f>IF(E225="","",IF(ISNA(VLOOKUP($E225,'D-1 Off-Site Habitat Baseline'!$D$1:$O$258,12,FALSE)),"",(VLOOKUP($E225,'D-1 Off-Site Habitat Baseline'!$D$1:$O$258,12,FALSE))))</f>
        <v/>
      </c>
      <c r="N225" s="382" t="str">
        <f>IF(E225="","",IF(ISNA(VLOOKUP($E225,'D-1 Off-Site Habitat Baseline'!$D$1:$AA$258,14,FALSE)),"",(VLOOKUP($E225,'D-1 Off-Site Habitat Baseline'!$D$1:$AA$258,14,FALSE))))</f>
        <v/>
      </c>
      <c r="O225" s="386" t="str">
        <f>IF(E225="","",IF(ISNA(VLOOKUP($E225,'D-1 Off-Site Habitat Baseline'!$D$1:$AA$258,13,FALSE)),"",(VLOOKUP($E225,'D-1 Off-Site Habitat Baseline'!$D$1:$AA$258,13,FALSE))))</f>
        <v/>
      </c>
      <c r="P225" s="184" t="str">
        <f>IFERROR(INDEX('G-1 All Habitats'!$AG$3:$AG$17,MATCH(Q225,'G-1 All Habitats'!$AF$3:$AF$17,0)),"")</f>
        <v/>
      </c>
      <c r="Q225" s="185" t="str">
        <f t="shared" si="36"/>
        <v/>
      </c>
      <c r="R225" s="186" t="str">
        <f t="shared" si="36"/>
        <v/>
      </c>
      <c r="S225" s="187" t="str">
        <f>IFERROR(INDEX('G-1 All Habitats'!$B$3:$B$134,MATCH(R225,'G-1 All Habitats'!$A$3:$A$134,0)),"")</f>
        <v/>
      </c>
      <c r="T225" s="370" t="str">
        <f t="shared" si="37"/>
        <v/>
      </c>
      <c r="U225" s="386" t="str">
        <f t="shared" si="38"/>
        <v/>
      </c>
      <c r="V225" s="385" t="str">
        <f t="shared" si="34"/>
        <v/>
      </c>
      <c r="W225" s="382" t="str">
        <f>IF(S225="","",VLOOKUP(S225,'G-1 All Habitats'!$B$2:$M$134,10,FALSE))</f>
        <v/>
      </c>
      <c r="X225" s="382" t="str">
        <f>IFERROR(VLOOKUP(W225,'G-1 All Habitats'!$V$3:$W$7,2,FALSE),"")</f>
        <v/>
      </c>
      <c r="Y225" s="165"/>
      <c r="Z225" s="386" t="str">
        <f>IFERROR(INDEX('G-8 Condition Look up'!$A$3:$H$135,MATCH(S225,'G-8 Condition Look up'!$A$3:$A$135,0),MATCH(Y225,'G-8 Condition Look up'!$A$3:$H$3,0)),"")</f>
        <v/>
      </c>
      <c r="AA225" s="114"/>
      <c r="AB225" s="401" t="str">
        <f>IF(AA225="","",IF(VLOOKUP(AA225,'G-3 Multipliers'!$L$3:$N$6,2,FALSE)=0,"Spatial Data Missing ⚠",VLOOKUP(AA225,'G-3 Multipliers'!$L$3:$N$6,2,FALSE)))</f>
        <v/>
      </c>
      <c r="AC225" s="386" t="str">
        <f>IF(AA225="","",IF(VLOOKUP(AA225,'G-3 Multipliers'!$L$3:$N$6,3,FALSE)=0,"Spatial Data Missing ⚠",VLOOKUP(AA225,'G-3 Multipliers'!$L$3:$N$6,3,FALSE)))</f>
        <v/>
      </c>
      <c r="AD225" s="398" t="str">
        <f t="shared" si="35"/>
        <v/>
      </c>
      <c r="AE225" s="165"/>
      <c r="AF225" s="165"/>
      <c r="AG225" s="382" t="str">
        <f t="shared" si="39"/>
        <v/>
      </c>
      <c r="AH225" s="404" t="str">
        <f t="shared" si="40"/>
        <v/>
      </c>
      <c r="AI225" s="387" t="str">
        <f>IF(AH225="Check Data ⚠","Check Data ⚠",IFERROR(VLOOKUP(AH225,'G-4 Temporal multipliers'!$A$4:$C$36,3,FALSE),""))</f>
        <v/>
      </c>
      <c r="AJ225" s="398" t="str">
        <f>IF(S225="","",VLOOKUP(S225,'G-3 Multipliers'!$A$2:$E$134,4,FALSE))</f>
        <v/>
      </c>
      <c r="AK225" s="382" t="str">
        <f t="shared" si="41"/>
        <v/>
      </c>
      <c r="AL225" s="382" t="str">
        <f t="shared" si="42"/>
        <v/>
      </c>
      <c r="AM225" s="386" t="str">
        <f>IFERROR(IF(F225="","",IF(AH225="Check Data ⚠","Check Data ⚠",VLOOKUP(AL225, 'G-3 Multipliers'!$P$2:$Q$6,2,FALSE))),"")</f>
        <v/>
      </c>
      <c r="AN225" s="516"/>
      <c r="AO225" s="417" t="str">
        <f>IF(AN225="","",IF(VLOOKUP(AN225,'G-3 Multipliers'!$S$3:$T$10,2,FALSE)=0,"Spatial Data Missing ⚠",VLOOKUP(AN225,'G-3 Multipliers'!$S$3:$T$10,2,FALSE)))</f>
        <v/>
      </c>
      <c r="AP225" s="376" t="str">
        <f t="shared" si="43"/>
        <v/>
      </c>
      <c r="AQ225" s="376" t="str">
        <f t="shared" si="44"/>
        <v/>
      </c>
      <c r="AR225" s="119"/>
      <c r="AS225" s="528"/>
      <c r="AT225" s="120"/>
      <c r="AU225" s="120"/>
    </row>
    <row r="226" spans="1:47">
      <c r="A226" s="30" t="str">
        <f>IF(E226="","",IF(ISNA(VLOOKUP($E226,'D-1 Off-Site Habitat Baseline'!$D$1:$O$258,2,FALSE)),"",(VLOOKUP($E226,'D-1 Off-Site Habitat Baseline'!$D$1:$O$258,2,FALSE))))</f>
        <v/>
      </c>
      <c r="B226" s="30" t="str">
        <f>IF(E226="","",IF(ISNA(VLOOKUP($E226,'D-1 Off-Site Habitat Baseline'!$D$1:$O$258,3,FALSE)),"",(VLOOKUP($E226,'D-1 Off-Site Habitat Baseline'!$D$1:$O$258,3,FALSE))))</f>
        <v/>
      </c>
      <c r="C226" s="30" t="str">
        <f>IFERROR(INDEX('G-8 Condition Look up'!$I$4:$I$135,MATCH(S226,'G-8 Condition Look up'!$A$4:$A$135,0)),"")</f>
        <v/>
      </c>
      <c r="E226" s="407" t="str">
        <f>'D-1 Off-Site Habitat Baseline'!AP225</f>
        <v/>
      </c>
      <c r="F226" s="382" t="str">
        <f>IF(E226="","",IF(ISNA(VLOOKUP($E226,'D-1 Off-Site Habitat Baseline'!$D$1:$O$258,4,FALSE)),"",(VLOOKUP($E226,'D-1 Off-Site Habitat Baseline'!$D$1:$O$258,4,FALSE))))</f>
        <v/>
      </c>
      <c r="G226" s="382" t="str">
        <f>IF(E226="","",IF(ISNA(VLOOKUP($E226,'D-1 Off-Site Habitat Baseline'!$D$1:$O$258,5,FALSE)),"",(VLOOKUP($E226,'D-1 Off-Site Habitat Baseline'!$D$1:$O$258,5,FALSE))))</f>
        <v/>
      </c>
      <c r="H226" s="382" t="str">
        <f>IF(E226="","",IF(ISNA(VLOOKUP($E226,'D-1 Off-Site Habitat Baseline'!$D$1:$O$258,6,FALSE)),"",(VLOOKUP($E226,'D-1 Off-Site Habitat Baseline'!$D$1:$O$258,6,FALSE))))</f>
        <v/>
      </c>
      <c r="I226" s="382" t="str">
        <f>IF(E226="","",IF(ISNA(VLOOKUP($E226,'D-1 Off-Site Habitat Baseline'!$D$1:$O$258,7,FALSE)),"",(VLOOKUP($E226,'D-1 Off-Site Habitat Baseline'!$D$1:$O$258,7,FALSE))))</f>
        <v/>
      </c>
      <c r="J226" s="382" t="str">
        <f>IF(E226="","",IF(ISNA(VLOOKUP($E226,'D-1 Off-Site Habitat Baseline'!$D$1:$O$258,8,FALSE)),"",(VLOOKUP($E226,'D-1 Off-Site Habitat Baseline'!$D$1:$O$258,8,FALSE))))</f>
        <v/>
      </c>
      <c r="K226" s="382" t="str">
        <f>IF(E226="","",IF(ISNA(VLOOKUP($E226,'D-1 Off-Site Habitat Baseline'!$D$1:$O$258,9,FALSE)),"",(VLOOKUP($E226,'D-1 Off-Site Habitat Baseline'!$D$1:$O$258,9,FALSE))))</f>
        <v/>
      </c>
      <c r="L226" s="382" t="str">
        <f>IF(E226="","",IF(ISNA(VLOOKUP($E226,'D-1 Off-Site Habitat Baseline'!$D$1:$O$258,11,FALSE)),"",(VLOOKUP($E226,'D-1 Off-Site Habitat Baseline'!$D$1:$O$258,11,FALSE))))</f>
        <v/>
      </c>
      <c r="M226" s="382" t="str">
        <f>IF(E226="","",IF(ISNA(VLOOKUP($E226,'D-1 Off-Site Habitat Baseline'!$D$1:$O$258,12,FALSE)),"",(VLOOKUP($E226,'D-1 Off-Site Habitat Baseline'!$D$1:$O$258,12,FALSE))))</f>
        <v/>
      </c>
      <c r="N226" s="382" t="str">
        <f>IF(E226="","",IF(ISNA(VLOOKUP($E226,'D-1 Off-Site Habitat Baseline'!$D$1:$AA$258,14,FALSE)),"",(VLOOKUP($E226,'D-1 Off-Site Habitat Baseline'!$D$1:$AA$258,14,FALSE))))</f>
        <v/>
      </c>
      <c r="O226" s="386" t="str">
        <f>IF(E226="","",IF(ISNA(VLOOKUP($E226,'D-1 Off-Site Habitat Baseline'!$D$1:$AA$258,13,FALSE)),"",(VLOOKUP($E226,'D-1 Off-Site Habitat Baseline'!$D$1:$AA$258,13,FALSE))))</f>
        <v/>
      </c>
      <c r="P226" s="184" t="str">
        <f>IFERROR(INDEX('G-1 All Habitats'!$AG$3:$AG$17,MATCH(Q226,'G-1 All Habitats'!$AF$3:$AF$17,0)),"")</f>
        <v/>
      </c>
      <c r="Q226" s="185" t="str">
        <f t="shared" si="36"/>
        <v/>
      </c>
      <c r="R226" s="186" t="str">
        <f t="shared" si="36"/>
        <v/>
      </c>
      <c r="S226" s="187" t="str">
        <f>IFERROR(INDEX('G-1 All Habitats'!$B$3:$B$134,MATCH(R226,'G-1 All Habitats'!$A$3:$A$134,0)),"")</f>
        <v/>
      </c>
      <c r="T226" s="370" t="str">
        <f t="shared" si="37"/>
        <v/>
      </c>
      <c r="U226" s="386" t="str">
        <f t="shared" si="38"/>
        <v/>
      </c>
      <c r="V226" s="385" t="str">
        <f t="shared" si="34"/>
        <v/>
      </c>
      <c r="W226" s="382" t="str">
        <f>IF(S226="","",VLOOKUP(S226,'G-1 All Habitats'!$B$2:$M$134,10,FALSE))</f>
        <v/>
      </c>
      <c r="X226" s="382" t="str">
        <f>IFERROR(VLOOKUP(W226,'G-1 All Habitats'!$V$3:$W$7,2,FALSE),"")</f>
        <v/>
      </c>
      <c r="Y226" s="165"/>
      <c r="Z226" s="386" t="str">
        <f>IFERROR(INDEX('G-8 Condition Look up'!$A$3:$H$135,MATCH(S226,'G-8 Condition Look up'!$A$3:$A$135,0),MATCH(Y226,'G-8 Condition Look up'!$A$3:$H$3,0)),"")</f>
        <v/>
      </c>
      <c r="AA226" s="114"/>
      <c r="AB226" s="401" t="str">
        <f>IF(AA226="","",IF(VLOOKUP(AA226,'G-3 Multipliers'!$L$3:$N$6,2,FALSE)=0,"Spatial Data Missing ⚠",VLOOKUP(AA226,'G-3 Multipliers'!$L$3:$N$6,2,FALSE)))</f>
        <v/>
      </c>
      <c r="AC226" s="386" t="str">
        <f>IF(AA226="","",IF(VLOOKUP(AA226,'G-3 Multipliers'!$L$3:$N$6,3,FALSE)=0,"Spatial Data Missing ⚠",VLOOKUP(AA226,'G-3 Multipliers'!$L$3:$N$6,3,FALSE)))</f>
        <v/>
      </c>
      <c r="AD226" s="398" t="str">
        <f t="shared" si="35"/>
        <v/>
      </c>
      <c r="AE226" s="165"/>
      <c r="AF226" s="165"/>
      <c r="AG226" s="382" t="str">
        <f t="shared" si="39"/>
        <v/>
      </c>
      <c r="AH226" s="404" t="str">
        <f t="shared" si="40"/>
        <v/>
      </c>
      <c r="AI226" s="387" t="str">
        <f>IF(AH226="Check Data ⚠","Check Data ⚠",IFERROR(VLOOKUP(AH226,'G-4 Temporal multipliers'!$A$4:$C$36,3,FALSE),""))</f>
        <v/>
      </c>
      <c r="AJ226" s="398" t="str">
        <f>IF(S226="","",VLOOKUP(S226,'G-3 Multipliers'!$A$2:$E$134,4,FALSE))</f>
        <v/>
      </c>
      <c r="AK226" s="382" t="str">
        <f t="shared" si="41"/>
        <v/>
      </c>
      <c r="AL226" s="382" t="str">
        <f t="shared" si="42"/>
        <v/>
      </c>
      <c r="AM226" s="386" t="str">
        <f>IFERROR(IF(F226="","",IF(AH226="Check Data ⚠","Check Data ⚠",VLOOKUP(AL226, 'G-3 Multipliers'!$P$2:$Q$6,2,FALSE))),"")</f>
        <v/>
      </c>
      <c r="AN226" s="516"/>
      <c r="AO226" s="417" t="str">
        <f>IF(AN226="","",IF(VLOOKUP(AN226,'G-3 Multipliers'!$S$3:$T$10,2,FALSE)=0,"Spatial Data Missing ⚠",VLOOKUP(AN226,'G-3 Multipliers'!$S$3:$T$10,2,FALSE)))</f>
        <v/>
      </c>
      <c r="AP226" s="376" t="str">
        <f t="shared" si="43"/>
        <v/>
      </c>
      <c r="AQ226" s="376" t="str">
        <f t="shared" si="44"/>
        <v/>
      </c>
      <c r="AR226" s="119"/>
      <c r="AS226" s="528"/>
      <c r="AT226" s="120"/>
      <c r="AU226" s="120"/>
    </row>
    <row r="227" spans="1:47">
      <c r="A227" s="30" t="str">
        <f>IF(E227="","",IF(ISNA(VLOOKUP($E227,'D-1 Off-Site Habitat Baseline'!$D$1:$O$258,2,FALSE)),"",(VLOOKUP($E227,'D-1 Off-Site Habitat Baseline'!$D$1:$O$258,2,FALSE))))</f>
        <v/>
      </c>
      <c r="B227" s="30" t="str">
        <f>IF(E227="","",IF(ISNA(VLOOKUP($E227,'D-1 Off-Site Habitat Baseline'!$D$1:$O$258,3,FALSE)),"",(VLOOKUP($E227,'D-1 Off-Site Habitat Baseline'!$D$1:$O$258,3,FALSE))))</f>
        <v/>
      </c>
      <c r="C227" s="30" t="str">
        <f>IFERROR(INDEX('G-8 Condition Look up'!$I$4:$I$135,MATCH(S227,'G-8 Condition Look up'!$A$4:$A$135,0)),"")</f>
        <v/>
      </c>
      <c r="E227" s="407" t="str">
        <f>'D-1 Off-Site Habitat Baseline'!AP226</f>
        <v/>
      </c>
      <c r="F227" s="382" t="str">
        <f>IF(E227="","",IF(ISNA(VLOOKUP($E227,'D-1 Off-Site Habitat Baseline'!$D$1:$O$258,4,FALSE)),"",(VLOOKUP($E227,'D-1 Off-Site Habitat Baseline'!$D$1:$O$258,4,FALSE))))</f>
        <v/>
      </c>
      <c r="G227" s="382" t="str">
        <f>IF(E227="","",IF(ISNA(VLOOKUP($E227,'D-1 Off-Site Habitat Baseline'!$D$1:$O$258,5,FALSE)),"",(VLOOKUP($E227,'D-1 Off-Site Habitat Baseline'!$D$1:$O$258,5,FALSE))))</f>
        <v/>
      </c>
      <c r="H227" s="382" t="str">
        <f>IF(E227="","",IF(ISNA(VLOOKUP($E227,'D-1 Off-Site Habitat Baseline'!$D$1:$O$258,6,FALSE)),"",(VLOOKUP($E227,'D-1 Off-Site Habitat Baseline'!$D$1:$O$258,6,FALSE))))</f>
        <v/>
      </c>
      <c r="I227" s="382" t="str">
        <f>IF(E227="","",IF(ISNA(VLOOKUP($E227,'D-1 Off-Site Habitat Baseline'!$D$1:$O$258,7,FALSE)),"",(VLOOKUP($E227,'D-1 Off-Site Habitat Baseline'!$D$1:$O$258,7,FALSE))))</f>
        <v/>
      </c>
      <c r="J227" s="382" t="str">
        <f>IF(E227="","",IF(ISNA(VLOOKUP($E227,'D-1 Off-Site Habitat Baseline'!$D$1:$O$258,8,FALSE)),"",(VLOOKUP($E227,'D-1 Off-Site Habitat Baseline'!$D$1:$O$258,8,FALSE))))</f>
        <v/>
      </c>
      <c r="K227" s="382" t="str">
        <f>IF(E227="","",IF(ISNA(VLOOKUP($E227,'D-1 Off-Site Habitat Baseline'!$D$1:$O$258,9,FALSE)),"",(VLOOKUP($E227,'D-1 Off-Site Habitat Baseline'!$D$1:$O$258,9,FALSE))))</f>
        <v/>
      </c>
      <c r="L227" s="382" t="str">
        <f>IF(E227="","",IF(ISNA(VLOOKUP($E227,'D-1 Off-Site Habitat Baseline'!$D$1:$O$258,11,FALSE)),"",(VLOOKUP($E227,'D-1 Off-Site Habitat Baseline'!$D$1:$O$258,11,FALSE))))</f>
        <v/>
      </c>
      <c r="M227" s="382" t="str">
        <f>IF(E227="","",IF(ISNA(VLOOKUP($E227,'D-1 Off-Site Habitat Baseline'!$D$1:$O$258,12,FALSE)),"",(VLOOKUP($E227,'D-1 Off-Site Habitat Baseline'!$D$1:$O$258,12,FALSE))))</f>
        <v/>
      </c>
      <c r="N227" s="382" t="str">
        <f>IF(E227="","",IF(ISNA(VLOOKUP($E227,'D-1 Off-Site Habitat Baseline'!$D$1:$AA$258,14,FALSE)),"",(VLOOKUP($E227,'D-1 Off-Site Habitat Baseline'!$D$1:$AA$258,14,FALSE))))</f>
        <v/>
      </c>
      <c r="O227" s="386" t="str">
        <f>IF(E227="","",IF(ISNA(VLOOKUP($E227,'D-1 Off-Site Habitat Baseline'!$D$1:$AA$258,13,FALSE)),"",(VLOOKUP($E227,'D-1 Off-Site Habitat Baseline'!$D$1:$AA$258,13,FALSE))))</f>
        <v/>
      </c>
      <c r="P227" s="184" t="str">
        <f>IFERROR(INDEX('G-1 All Habitats'!$AG$3:$AG$17,MATCH(Q227,'G-1 All Habitats'!$AF$3:$AF$17,0)),"")</f>
        <v/>
      </c>
      <c r="Q227" s="185" t="str">
        <f t="shared" si="36"/>
        <v/>
      </c>
      <c r="R227" s="186" t="str">
        <f t="shared" si="36"/>
        <v/>
      </c>
      <c r="S227" s="187" t="str">
        <f>IFERROR(INDEX('G-1 All Habitats'!$B$3:$B$134,MATCH(R227,'G-1 All Habitats'!$A$3:$A$134,0)),"")</f>
        <v/>
      </c>
      <c r="T227" s="370" t="str">
        <f t="shared" si="37"/>
        <v/>
      </c>
      <c r="U227" s="386" t="str">
        <f t="shared" si="38"/>
        <v/>
      </c>
      <c r="V227" s="385" t="str">
        <f t="shared" si="34"/>
        <v/>
      </c>
      <c r="W227" s="382" t="str">
        <f>IF(S227="","",VLOOKUP(S227,'G-1 All Habitats'!$B$2:$M$134,10,FALSE))</f>
        <v/>
      </c>
      <c r="X227" s="382" t="str">
        <f>IFERROR(VLOOKUP(W227,'G-1 All Habitats'!$V$3:$W$7,2,FALSE),"")</f>
        <v/>
      </c>
      <c r="Y227" s="165"/>
      <c r="Z227" s="386" t="str">
        <f>IFERROR(INDEX('G-8 Condition Look up'!$A$3:$H$135,MATCH(S227,'G-8 Condition Look up'!$A$3:$A$135,0),MATCH(Y227,'G-8 Condition Look up'!$A$3:$H$3,0)),"")</f>
        <v/>
      </c>
      <c r="AA227" s="114"/>
      <c r="AB227" s="401" t="str">
        <f>IF(AA227="","",IF(VLOOKUP(AA227,'G-3 Multipliers'!$L$3:$N$6,2,FALSE)=0,"Spatial Data Missing ⚠",VLOOKUP(AA227,'G-3 Multipliers'!$L$3:$N$6,2,FALSE)))</f>
        <v/>
      </c>
      <c r="AC227" s="386" t="str">
        <f>IF(AA227="","",IF(VLOOKUP(AA227,'G-3 Multipliers'!$L$3:$N$6,3,FALSE)=0,"Spatial Data Missing ⚠",VLOOKUP(AA227,'G-3 Multipliers'!$L$3:$N$6,3,FALSE)))</f>
        <v/>
      </c>
      <c r="AD227" s="398" t="str">
        <f t="shared" si="35"/>
        <v/>
      </c>
      <c r="AE227" s="165"/>
      <c r="AF227" s="165"/>
      <c r="AG227" s="382" t="str">
        <f t="shared" si="39"/>
        <v/>
      </c>
      <c r="AH227" s="404" t="str">
        <f t="shared" si="40"/>
        <v/>
      </c>
      <c r="AI227" s="387" t="str">
        <f>IF(AH227="Check Data ⚠","Check Data ⚠",IFERROR(VLOOKUP(AH227,'G-4 Temporal multipliers'!$A$4:$C$36,3,FALSE),""))</f>
        <v/>
      </c>
      <c r="AJ227" s="398" t="str">
        <f>IF(S227="","",VLOOKUP(S227,'G-3 Multipliers'!$A$2:$E$134,4,FALSE))</f>
        <v/>
      </c>
      <c r="AK227" s="382" t="str">
        <f t="shared" si="41"/>
        <v/>
      </c>
      <c r="AL227" s="382" t="str">
        <f t="shared" si="42"/>
        <v/>
      </c>
      <c r="AM227" s="386" t="str">
        <f>IFERROR(IF(F227="","",IF(AH227="Check Data ⚠","Check Data ⚠",VLOOKUP(AL227, 'G-3 Multipliers'!$P$2:$Q$6,2,FALSE))),"")</f>
        <v/>
      </c>
      <c r="AN227" s="516"/>
      <c r="AO227" s="417" t="str">
        <f>IF(AN227="","",IF(VLOOKUP(AN227,'G-3 Multipliers'!$S$3:$T$10,2,FALSE)=0,"Spatial Data Missing ⚠",VLOOKUP(AN227,'G-3 Multipliers'!$S$3:$T$10,2,FALSE)))</f>
        <v/>
      </c>
      <c r="AP227" s="376" t="str">
        <f t="shared" si="43"/>
        <v/>
      </c>
      <c r="AQ227" s="376" t="str">
        <f t="shared" si="44"/>
        <v/>
      </c>
      <c r="AR227" s="119"/>
      <c r="AS227" s="528"/>
      <c r="AT227" s="120"/>
      <c r="AU227" s="120"/>
    </row>
    <row r="228" spans="1:47">
      <c r="A228" s="30" t="str">
        <f>IF(E228="","",IF(ISNA(VLOOKUP($E228,'D-1 Off-Site Habitat Baseline'!$D$1:$O$258,2,FALSE)),"",(VLOOKUP($E228,'D-1 Off-Site Habitat Baseline'!$D$1:$O$258,2,FALSE))))</f>
        <v/>
      </c>
      <c r="B228" s="30" t="str">
        <f>IF(E228="","",IF(ISNA(VLOOKUP($E228,'D-1 Off-Site Habitat Baseline'!$D$1:$O$258,3,FALSE)),"",(VLOOKUP($E228,'D-1 Off-Site Habitat Baseline'!$D$1:$O$258,3,FALSE))))</f>
        <v/>
      </c>
      <c r="C228" s="30" t="str">
        <f>IFERROR(INDEX('G-8 Condition Look up'!$I$4:$I$135,MATCH(S228,'G-8 Condition Look up'!$A$4:$A$135,0)),"")</f>
        <v/>
      </c>
      <c r="E228" s="407" t="str">
        <f>'D-1 Off-Site Habitat Baseline'!AP227</f>
        <v/>
      </c>
      <c r="F228" s="382" t="str">
        <f>IF(E228="","",IF(ISNA(VLOOKUP($E228,'D-1 Off-Site Habitat Baseline'!$D$1:$O$258,4,FALSE)),"",(VLOOKUP($E228,'D-1 Off-Site Habitat Baseline'!$D$1:$O$258,4,FALSE))))</f>
        <v/>
      </c>
      <c r="G228" s="382" t="str">
        <f>IF(E228="","",IF(ISNA(VLOOKUP($E228,'D-1 Off-Site Habitat Baseline'!$D$1:$O$258,5,FALSE)),"",(VLOOKUP($E228,'D-1 Off-Site Habitat Baseline'!$D$1:$O$258,5,FALSE))))</f>
        <v/>
      </c>
      <c r="H228" s="382" t="str">
        <f>IF(E228="","",IF(ISNA(VLOOKUP($E228,'D-1 Off-Site Habitat Baseline'!$D$1:$O$258,6,FALSE)),"",(VLOOKUP($E228,'D-1 Off-Site Habitat Baseline'!$D$1:$O$258,6,FALSE))))</f>
        <v/>
      </c>
      <c r="I228" s="382" t="str">
        <f>IF(E228="","",IF(ISNA(VLOOKUP($E228,'D-1 Off-Site Habitat Baseline'!$D$1:$O$258,7,FALSE)),"",(VLOOKUP($E228,'D-1 Off-Site Habitat Baseline'!$D$1:$O$258,7,FALSE))))</f>
        <v/>
      </c>
      <c r="J228" s="382" t="str">
        <f>IF(E228="","",IF(ISNA(VLOOKUP($E228,'D-1 Off-Site Habitat Baseline'!$D$1:$O$258,8,FALSE)),"",(VLOOKUP($E228,'D-1 Off-Site Habitat Baseline'!$D$1:$O$258,8,FALSE))))</f>
        <v/>
      </c>
      <c r="K228" s="382" t="str">
        <f>IF(E228="","",IF(ISNA(VLOOKUP($E228,'D-1 Off-Site Habitat Baseline'!$D$1:$O$258,9,FALSE)),"",(VLOOKUP($E228,'D-1 Off-Site Habitat Baseline'!$D$1:$O$258,9,FALSE))))</f>
        <v/>
      </c>
      <c r="L228" s="382" t="str">
        <f>IF(E228="","",IF(ISNA(VLOOKUP($E228,'D-1 Off-Site Habitat Baseline'!$D$1:$O$258,11,FALSE)),"",(VLOOKUP($E228,'D-1 Off-Site Habitat Baseline'!$D$1:$O$258,11,FALSE))))</f>
        <v/>
      </c>
      <c r="M228" s="382" t="str">
        <f>IF(E228="","",IF(ISNA(VLOOKUP($E228,'D-1 Off-Site Habitat Baseline'!$D$1:$O$258,12,FALSE)),"",(VLOOKUP($E228,'D-1 Off-Site Habitat Baseline'!$D$1:$O$258,12,FALSE))))</f>
        <v/>
      </c>
      <c r="N228" s="382" t="str">
        <f>IF(E228="","",IF(ISNA(VLOOKUP($E228,'D-1 Off-Site Habitat Baseline'!$D$1:$AA$258,14,FALSE)),"",(VLOOKUP($E228,'D-1 Off-Site Habitat Baseline'!$D$1:$AA$258,14,FALSE))))</f>
        <v/>
      </c>
      <c r="O228" s="386" t="str">
        <f>IF(E228="","",IF(ISNA(VLOOKUP($E228,'D-1 Off-Site Habitat Baseline'!$D$1:$AA$258,13,FALSE)),"",(VLOOKUP($E228,'D-1 Off-Site Habitat Baseline'!$D$1:$AA$258,13,FALSE))))</f>
        <v/>
      </c>
      <c r="P228" s="184" t="str">
        <f>IFERROR(INDEX('G-1 All Habitats'!$AG$3:$AG$17,MATCH(Q228,'G-1 All Habitats'!$AF$3:$AF$17,0)),"")</f>
        <v/>
      </c>
      <c r="Q228" s="185" t="str">
        <f t="shared" si="36"/>
        <v/>
      </c>
      <c r="R228" s="186" t="str">
        <f t="shared" si="36"/>
        <v/>
      </c>
      <c r="S228" s="187" t="str">
        <f>IFERROR(INDEX('G-1 All Habitats'!$B$3:$B$134,MATCH(R228,'G-1 All Habitats'!$A$3:$A$134,0)),"")</f>
        <v/>
      </c>
      <c r="T228" s="370" t="str">
        <f t="shared" si="37"/>
        <v/>
      </c>
      <c r="U228" s="386" t="str">
        <f t="shared" si="38"/>
        <v/>
      </c>
      <c r="V228" s="385" t="str">
        <f t="shared" si="34"/>
        <v/>
      </c>
      <c r="W228" s="382" t="str">
        <f>IF(S228="","",VLOOKUP(S228,'G-1 All Habitats'!$B$2:$M$134,10,FALSE))</f>
        <v/>
      </c>
      <c r="X228" s="382" t="str">
        <f>IFERROR(VLOOKUP(W228,'G-1 All Habitats'!$V$3:$W$7,2,FALSE),"")</f>
        <v/>
      </c>
      <c r="Y228" s="165"/>
      <c r="Z228" s="386" t="str">
        <f>IFERROR(INDEX('G-8 Condition Look up'!$A$3:$H$135,MATCH(S228,'G-8 Condition Look up'!$A$3:$A$135,0),MATCH(Y228,'G-8 Condition Look up'!$A$3:$H$3,0)),"")</f>
        <v/>
      </c>
      <c r="AA228" s="114"/>
      <c r="AB228" s="401" t="str">
        <f>IF(AA228="","",IF(VLOOKUP(AA228,'G-3 Multipliers'!$L$3:$N$6,2,FALSE)=0,"Spatial Data Missing ⚠",VLOOKUP(AA228,'G-3 Multipliers'!$L$3:$N$6,2,FALSE)))</f>
        <v/>
      </c>
      <c r="AC228" s="386" t="str">
        <f>IF(AA228="","",IF(VLOOKUP(AA228,'G-3 Multipliers'!$L$3:$N$6,3,FALSE)=0,"Spatial Data Missing ⚠",VLOOKUP(AA228,'G-3 Multipliers'!$L$3:$N$6,3,FALSE)))</f>
        <v/>
      </c>
      <c r="AD228" s="398" t="str">
        <f t="shared" si="35"/>
        <v/>
      </c>
      <c r="AE228" s="165"/>
      <c r="AF228" s="165"/>
      <c r="AG228" s="382" t="str">
        <f t="shared" si="39"/>
        <v/>
      </c>
      <c r="AH228" s="404" t="str">
        <f t="shared" si="40"/>
        <v/>
      </c>
      <c r="AI228" s="387" t="str">
        <f>IF(AH228="Check Data ⚠","Check Data ⚠",IFERROR(VLOOKUP(AH228,'G-4 Temporal multipliers'!$A$4:$C$36,3,FALSE),""))</f>
        <v/>
      </c>
      <c r="AJ228" s="398" t="str">
        <f>IF(S228="","",VLOOKUP(S228,'G-3 Multipliers'!$A$2:$E$134,4,FALSE))</f>
        <v/>
      </c>
      <c r="AK228" s="382" t="str">
        <f t="shared" si="41"/>
        <v/>
      </c>
      <c r="AL228" s="382" t="str">
        <f t="shared" si="42"/>
        <v/>
      </c>
      <c r="AM228" s="386" t="str">
        <f>IFERROR(IF(F228="","",IF(AH228="Check Data ⚠","Check Data ⚠",VLOOKUP(AL228, 'G-3 Multipliers'!$P$2:$Q$6,2,FALSE))),"")</f>
        <v/>
      </c>
      <c r="AN228" s="516"/>
      <c r="AO228" s="417" t="str">
        <f>IF(AN228="","",IF(VLOOKUP(AN228,'G-3 Multipliers'!$S$3:$T$10,2,FALSE)=0,"Spatial Data Missing ⚠",VLOOKUP(AN228,'G-3 Multipliers'!$S$3:$T$10,2,FALSE)))</f>
        <v/>
      </c>
      <c r="AP228" s="376" t="str">
        <f t="shared" si="43"/>
        <v/>
      </c>
      <c r="AQ228" s="376" t="str">
        <f t="shared" si="44"/>
        <v/>
      </c>
      <c r="AR228" s="119"/>
      <c r="AS228" s="528"/>
      <c r="AT228" s="120"/>
      <c r="AU228" s="120"/>
    </row>
    <row r="229" spans="1:47">
      <c r="A229" s="30" t="str">
        <f>IF(E229="","",IF(ISNA(VLOOKUP($E229,'D-1 Off-Site Habitat Baseline'!$D$1:$O$258,2,FALSE)),"",(VLOOKUP($E229,'D-1 Off-Site Habitat Baseline'!$D$1:$O$258,2,FALSE))))</f>
        <v/>
      </c>
      <c r="B229" s="30" t="str">
        <f>IF(E229="","",IF(ISNA(VLOOKUP($E229,'D-1 Off-Site Habitat Baseline'!$D$1:$O$258,3,FALSE)),"",(VLOOKUP($E229,'D-1 Off-Site Habitat Baseline'!$D$1:$O$258,3,FALSE))))</f>
        <v/>
      </c>
      <c r="C229" s="30" t="str">
        <f>IFERROR(INDEX('G-8 Condition Look up'!$I$4:$I$135,MATCH(S229,'G-8 Condition Look up'!$A$4:$A$135,0)),"")</f>
        <v/>
      </c>
      <c r="E229" s="407" t="str">
        <f>'D-1 Off-Site Habitat Baseline'!AP228</f>
        <v/>
      </c>
      <c r="F229" s="382" t="str">
        <f>IF(E229="","",IF(ISNA(VLOOKUP($E229,'D-1 Off-Site Habitat Baseline'!$D$1:$O$258,4,FALSE)),"",(VLOOKUP($E229,'D-1 Off-Site Habitat Baseline'!$D$1:$O$258,4,FALSE))))</f>
        <v/>
      </c>
      <c r="G229" s="382" t="str">
        <f>IF(E229="","",IF(ISNA(VLOOKUP($E229,'D-1 Off-Site Habitat Baseline'!$D$1:$O$258,5,FALSE)),"",(VLOOKUP($E229,'D-1 Off-Site Habitat Baseline'!$D$1:$O$258,5,FALSE))))</f>
        <v/>
      </c>
      <c r="H229" s="382" t="str">
        <f>IF(E229="","",IF(ISNA(VLOOKUP($E229,'D-1 Off-Site Habitat Baseline'!$D$1:$O$258,6,FALSE)),"",(VLOOKUP($E229,'D-1 Off-Site Habitat Baseline'!$D$1:$O$258,6,FALSE))))</f>
        <v/>
      </c>
      <c r="I229" s="382" t="str">
        <f>IF(E229="","",IF(ISNA(VLOOKUP($E229,'D-1 Off-Site Habitat Baseline'!$D$1:$O$258,7,FALSE)),"",(VLOOKUP($E229,'D-1 Off-Site Habitat Baseline'!$D$1:$O$258,7,FALSE))))</f>
        <v/>
      </c>
      <c r="J229" s="382" t="str">
        <f>IF(E229="","",IF(ISNA(VLOOKUP($E229,'D-1 Off-Site Habitat Baseline'!$D$1:$O$258,8,FALSE)),"",(VLOOKUP($E229,'D-1 Off-Site Habitat Baseline'!$D$1:$O$258,8,FALSE))))</f>
        <v/>
      </c>
      <c r="K229" s="382" t="str">
        <f>IF(E229="","",IF(ISNA(VLOOKUP($E229,'D-1 Off-Site Habitat Baseline'!$D$1:$O$258,9,FALSE)),"",(VLOOKUP($E229,'D-1 Off-Site Habitat Baseline'!$D$1:$O$258,9,FALSE))))</f>
        <v/>
      </c>
      <c r="L229" s="382" t="str">
        <f>IF(E229="","",IF(ISNA(VLOOKUP($E229,'D-1 Off-Site Habitat Baseline'!$D$1:$O$258,11,FALSE)),"",(VLOOKUP($E229,'D-1 Off-Site Habitat Baseline'!$D$1:$O$258,11,FALSE))))</f>
        <v/>
      </c>
      <c r="M229" s="382" t="str">
        <f>IF(E229="","",IF(ISNA(VLOOKUP($E229,'D-1 Off-Site Habitat Baseline'!$D$1:$O$258,12,FALSE)),"",(VLOOKUP($E229,'D-1 Off-Site Habitat Baseline'!$D$1:$O$258,12,FALSE))))</f>
        <v/>
      </c>
      <c r="N229" s="382" t="str">
        <f>IF(E229="","",IF(ISNA(VLOOKUP($E229,'D-1 Off-Site Habitat Baseline'!$D$1:$AA$258,14,FALSE)),"",(VLOOKUP($E229,'D-1 Off-Site Habitat Baseline'!$D$1:$AA$258,14,FALSE))))</f>
        <v/>
      </c>
      <c r="O229" s="386" t="str">
        <f>IF(E229="","",IF(ISNA(VLOOKUP($E229,'D-1 Off-Site Habitat Baseline'!$D$1:$AA$258,13,FALSE)),"",(VLOOKUP($E229,'D-1 Off-Site Habitat Baseline'!$D$1:$AA$258,13,FALSE))))</f>
        <v/>
      </c>
      <c r="P229" s="184" t="str">
        <f>IFERROR(INDEX('G-1 All Habitats'!$AG$3:$AG$17,MATCH(Q229,'G-1 All Habitats'!$AF$3:$AF$17,0)),"")</f>
        <v/>
      </c>
      <c r="Q229" s="185" t="str">
        <f t="shared" si="36"/>
        <v/>
      </c>
      <c r="R229" s="186" t="str">
        <f t="shared" si="36"/>
        <v/>
      </c>
      <c r="S229" s="187" t="str">
        <f>IFERROR(INDEX('G-1 All Habitats'!$B$3:$B$134,MATCH(R229,'G-1 All Habitats'!$A$3:$A$134,0)),"")</f>
        <v/>
      </c>
      <c r="T229" s="370" t="str">
        <f t="shared" si="37"/>
        <v/>
      </c>
      <c r="U229" s="386" t="str">
        <f t="shared" si="38"/>
        <v/>
      </c>
      <c r="V229" s="385" t="str">
        <f t="shared" si="34"/>
        <v/>
      </c>
      <c r="W229" s="382" t="str">
        <f>IF(S229="","",VLOOKUP(S229,'G-1 All Habitats'!$B$2:$M$134,10,FALSE))</f>
        <v/>
      </c>
      <c r="X229" s="382" t="str">
        <f>IFERROR(VLOOKUP(W229,'G-1 All Habitats'!$V$3:$W$7,2,FALSE),"")</f>
        <v/>
      </c>
      <c r="Y229" s="165"/>
      <c r="Z229" s="386" t="str">
        <f>IFERROR(INDEX('G-8 Condition Look up'!$A$3:$H$135,MATCH(S229,'G-8 Condition Look up'!$A$3:$A$135,0),MATCH(Y229,'G-8 Condition Look up'!$A$3:$H$3,0)),"")</f>
        <v/>
      </c>
      <c r="AA229" s="114"/>
      <c r="AB229" s="401" t="str">
        <f>IF(AA229="","",IF(VLOOKUP(AA229,'G-3 Multipliers'!$L$3:$N$6,2,FALSE)=0,"Spatial Data Missing ⚠",VLOOKUP(AA229,'G-3 Multipliers'!$L$3:$N$6,2,FALSE)))</f>
        <v/>
      </c>
      <c r="AC229" s="386" t="str">
        <f>IF(AA229="","",IF(VLOOKUP(AA229,'G-3 Multipliers'!$L$3:$N$6,3,FALSE)=0,"Spatial Data Missing ⚠",VLOOKUP(AA229,'G-3 Multipliers'!$L$3:$N$6,3,FALSE)))</f>
        <v/>
      </c>
      <c r="AD229" s="398" t="str">
        <f t="shared" si="35"/>
        <v/>
      </c>
      <c r="AE229" s="165"/>
      <c r="AF229" s="165"/>
      <c r="AG229" s="382" t="str">
        <f t="shared" si="39"/>
        <v/>
      </c>
      <c r="AH229" s="404" t="str">
        <f t="shared" si="40"/>
        <v/>
      </c>
      <c r="AI229" s="387" t="str">
        <f>IF(AH229="Check Data ⚠","Check Data ⚠",IFERROR(VLOOKUP(AH229,'G-4 Temporal multipliers'!$A$4:$C$36,3,FALSE),""))</f>
        <v/>
      </c>
      <c r="AJ229" s="398" t="str">
        <f>IF(S229="","",VLOOKUP(S229,'G-3 Multipliers'!$A$2:$E$134,4,FALSE))</f>
        <v/>
      </c>
      <c r="AK229" s="382" t="str">
        <f t="shared" si="41"/>
        <v/>
      </c>
      <c r="AL229" s="382" t="str">
        <f t="shared" si="42"/>
        <v/>
      </c>
      <c r="AM229" s="386" t="str">
        <f>IFERROR(IF(F229="","",IF(AH229="Check Data ⚠","Check Data ⚠",VLOOKUP(AL229, 'G-3 Multipliers'!$P$2:$Q$6,2,FALSE))),"")</f>
        <v/>
      </c>
      <c r="AN229" s="516"/>
      <c r="AO229" s="417" t="str">
        <f>IF(AN229="","",IF(VLOOKUP(AN229,'G-3 Multipliers'!$S$3:$T$10,2,FALSE)=0,"Spatial Data Missing ⚠",VLOOKUP(AN229,'G-3 Multipliers'!$S$3:$T$10,2,FALSE)))</f>
        <v/>
      </c>
      <c r="AP229" s="376" t="str">
        <f t="shared" si="43"/>
        <v/>
      </c>
      <c r="AQ229" s="376" t="str">
        <f t="shared" si="44"/>
        <v/>
      </c>
      <c r="AR229" s="119"/>
      <c r="AS229" s="528"/>
      <c r="AT229" s="120"/>
      <c r="AU229" s="120"/>
    </row>
    <row r="230" spans="1:47">
      <c r="A230" s="30" t="str">
        <f>IF(E230="","",IF(ISNA(VLOOKUP($E230,'D-1 Off-Site Habitat Baseline'!$D$1:$O$258,2,FALSE)),"",(VLOOKUP($E230,'D-1 Off-Site Habitat Baseline'!$D$1:$O$258,2,FALSE))))</f>
        <v/>
      </c>
      <c r="B230" s="30" t="str">
        <f>IF(E230="","",IF(ISNA(VLOOKUP($E230,'D-1 Off-Site Habitat Baseline'!$D$1:$O$258,3,FALSE)),"",(VLOOKUP($E230,'D-1 Off-Site Habitat Baseline'!$D$1:$O$258,3,FALSE))))</f>
        <v/>
      </c>
      <c r="C230" s="30" t="str">
        <f>IFERROR(INDEX('G-8 Condition Look up'!$I$4:$I$135,MATCH(S230,'G-8 Condition Look up'!$A$4:$A$135,0)),"")</f>
        <v/>
      </c>
      <c r="E230" s="407" t="str">
        <f>'D-1 Off-Site Habitat Baseline'!AP229</f>
        <v/>
      </c>
      <c r="F230" s="382" t="str">
        <f>IF(E230="","",IF(ISNA(VLOOKUP($E230,'D-1 Off-Site Habitat Baseline'!$D$1:$O$258,4,FALSE)),"",(VLOOKUP($E230,'D-1 Off-Site Habitat Baseline'!$D$1:$O$258,4,FALSE))))</f>
        <v/>
      </c>
      <c r="G230" s="382" t="str">
        <f>IF(E230="","",IF(ISNA(VLOOKUP($E230,'D-1 Off-Site Habitat Baseline'!$D$1:$O$258,5,FALSE)),"",(VLOOKUP($E230,'D-1 Off-Site Habitat Baseline'!$D$1:$O$258,5,FALSE))))</f>
        <v/>
      </c>
      <c r="H230" s="382" t="str">
        <f>IF(E230="","",IF(ISNA(VLOOKUP($E230,'D-1 Off-Site Habitat Baseline'!$D$1:$O$258,6,FALSE)),"",(VLOOKUP($E230,'D-1 Off-Site Habitat Baseline'!$D$1:$O$258,6,FALSE))))</f>
        <v/>
      </c>
      <c r="I230" s="382" t="str">
        <f>IF(E230="","",IF(ISNA(VLOOKUP($E230,'D-1 Off-Site Habitat Baseline'!$D$1:$O$258,7,FALSE)),"",(VLOOKUP($E230,'D-1 Off-Site Habitat Baseline'!$D$1:$O$258,7,FALSE))))</f>
        <v/>
      </c>
      <c r="J230" s="382" t="str">
        <f>IF(E230="","",IF(ISNA(VLOOKUP($E230,'D-1 Off-Site Habitat Baseline'!$D$1:$O$258,8,FALSE)),"",(VLOOKUP($E230,'D-1 Off-Site Habitat Baseline'!$D$1:$O$258,8,FALSE))))</f>
        <v/>
      </c>
      <c r="K230" s="382" t="str">
        <f>IF(E230="","",IF(ISNA(VLOOKUP($E230,'D-1 Off-Site Habitat Baseline'!$D$1:$O$258,9,FALSE)),"",(VLOOKUP($E230,'D-1 Off-Site Habitat Baseline'!$D$1:$O$258,9,FALSE))))</f>
        <v/>
      </c>
      <c r="L230" s="382" t="str">
        <f>IF(E230="","",IF(ISNA(VLOOKUP($E230,'D-1 Off-Site Habitat Baseline'!$D$1:$O$258,11,FALSE)),"",(VLOOKUP($E230,'D-1 Off-Site Habitat Baseline'!$D$1:$O$258,11,FALSE))))</f>
        <v/>
      </c>
      <c r="M230" s="382" t="str">
        <f>IF(E230="","",IF(ISNA(VLOOKUP($E230,'D-1 Off-Site Habitat Baseline'!$D$1:$O$258,12,FALSE)),"",(VLOOKUP($E230,'D-1 Off-Site Habitat Baseline'!$D$1:$O$258,12,FALSE))))</f>
        <v/>
      </c>
      <c r="N230" s="382" t="str">
        <f>IF(E230="","",IF(ISNA(VLOOKUP($E230,'D-1 Off-Site Habitat Baseline'!$D$1:$AA$258,14,FALSE)),"",(VLOOKUP($E230,'D-1 Off-Site Habitat Baseline'!$D$1:$AA$258,14,FALSE))))</f>
        <v/>
      </c>
      <c r="O230" s="386" t="str">
        <f>IF(E230="","",IF(ISNA(VLOOKUP($E230,'D-1 Off-Site Habitat Baseline'!$D$1:$AA$258,13,FALSE)),"",(VLOOKUP($E230,'D-1 Off-Site Habitat Baseline'!$D$1:$AA$258,13,FALSE))))</f>
        <v/>
      </c>
      <c r="P230" s="184" t="str">
        <f>IFERROR(INDEX('G-1 All Habitats'!$AG$3:$AG$17,MATCH(Q230,'G-1 All Habitats'!$AF$3:$AF$17,0)),"")</f>
        <v/>
      </c>
      <c r="Q230" s="185" t="str">
        <f t="shared" si="36"/>
        <v/>
      </c>
      <c r="R230" s="186" t="str">
        <f t="shared" si="36"/>
        <v/>
      </c>
      <c r="S230" s="187" t="str">
        <f>IFERROR(INDEX('G-1 All Habitats'!$B$3:$B$134,MATCH(R230,'G-1 All Habitats'!$A$3:$A$134,0)),"")</f>
        <v/>
      </c>
      <c r="T230" s="370" t="str">
        <f t="shared" si="37"/>
        <v/>
      </c>
      <c r="U230" s="386" t="str">
        <f t="shared" si="38"/>
        <v/>
      </c>
      <c r="V230" s="385" t="str">
        <f t="shared" si="34"/>
        <v/>
      </c>
      <c r="W230" s="382" t="str">
        <f>IF(S230="","",VLOOKUP(S230,'G-1 All Habitats'!$B$2:$M$134,10,FALSE))</f>
        <v/>
      </c>
      <c r="X230" s="382" t="str">
        <f>IFERROR(VLOOKUP(W230,'G-1 All Habitats'!$V$3:$W$7,2,FALSE),"")</f>
        <v/>
      </c>
      <c r="Y230" s="165"/>
      <c r="Z230" s="386" t="str">
        <f>IFERROR(INDEX('G-8 Condition Look up'!$A$3:$H$135,MATCH(S230,'G-8 Condition Look up'!$A$3:$A$135,0),MATCH(Y230,'G-8 Condition Look up'!$A$3:$H$3,0)),"")</f>
        <v/>
      </c>
      <c r="AA230" s="114"/>
      <c r="AB230" s="401" t="str">
        <f>IF(AA230="","",IF(VLOOKUP(AA230,'G-3 Multipliers'!$L$3:$N$6,2,FALSE)=0,"Spatial Data Missing ⚠",VLOOKUP(AA230,'G-3 Multipliers'!$L$3:$N$6,2,FALSE)))</f>
        <v/>
      </c>
      <c r="AC230" s="386" t="str">
        <f>IF(AA230="","",IF(VLOOKUP(AA230,'G-3 Multipliers'!$L$3:$N$6,3,FALSE)=0,"Spatial Data Missing ⚠",VLOOKUP(AA230,'G-3 Multipliers'!$L$3:$N$6,3,FALSE)))</f>
        <v/>
      </c>
      <c r="AD230" s="398" t="str">
        <f t="shared" si="35"/>
        <v/>
      </c>
      <c r="AE230" s="165"/>
      <c r="AF230" s="165"/>
      <c r="AG230" s="382" t="str">
        <f t="shared" si="39"/>
        <v/>
      </c>
      <c r="AH230" s="404" t="str">
        <f t="shared" si="40"/>
        <v/>
      </c>
      <c r="AI230" s="387" t="str">
        <f>IF(AH230="Check Data ⚠","Check Data ⚠",IFERROR(VLOOKUP(AH230,'G-4 Temporal multipliers'!$A$4:$C$36,3,FALSE),""))</f>
        <v/>
      </c>
      <c r="AJ230" s="398" t="str">
        <f>IF(S230="","",VLOOKUP(S230,'G-3 Multipliers'!$A$2:$E$134,4,FALSE))</f>
        <v/>
      </c>
      <c r="AK230" s="382" t="str">
        <f t="shared" si="41"/>
        <v/>
      </c>
      <c r="AL230" s="382" t="str">
        <f t="shared" si="42"/>
        <v/>
      </c>
      <c r="AM230" s="386" t="str">
        <f>IFERROR(IF(F230="","",IF(AH230="Check Data ⚠","Check Data ⚠",VLOOKUP(AL230, 'G-3 Multipliers'!$P$2:$Q$6,2,FALSE))),"")</f>
        <v/>
      </c>
      <c r="AN230" s="516"/>
      <c r="AO230" s="417" t="str">
        <f>IF(AN230="","",IF(VLOOKUP(AN230,'G-3 Multipliers'!$S$3:$T$10,2,FALSE)=0,"Spatial Data Missing ⚠",VLOOKUP(AN230,'G-3 Multipliers'!$S$3:$T$10,2,FALSE)))</f>
        <v/>
      </c>
      <c r="AP230" s="376" t="str">
        <f t="shared" si="43"/>
        <v/>
      </c>
      <c r="AQ230" s="376" t="str">
        <f t="shared" si="44"/>
        <v/>
      </c>
      <c r="AR230" s="119"/>
      <c r="AS230" s="528"/>
      <c r="AT230" s="120"/>
      <c r="AU230" s="120"/>
    </row>
    <row r="231" spans="1:47">
      <c r="A231" s="30" t="str">
        <f>IF(E231="","",IF(ISNA(VLOOKUP($E231,'D-1 Off-Site Habitat Baseline'!$D$1:$O$258,2,FALSE)),"",(VLOOKUP($E231,'D-1 Off-Site Habitat Baseline'!$D$1:$O$258,2,FALSE))))</f>
        <v/>
      </c>
      <c r="B231" s="30" t="str">
        <f>IF(E231="","",IF(ISNA(VLOOKUP($E231,'D-1 Off-Site Habitat Baseline'!$D$1:$O$258,3,FALSE)),"",(VLOOKUP($E231,'D-1 Off-Site Habitat Baseline'!$D$1:$O$258,3,FALSE))))</f>
        <v/>
      </c>
      <c r="C231" s="30" t="str">
        <f>IFERROR(INDEX('G-8 Condition Look up'!$I$4:$I$135,MATCH(S231,'G-8 Condition Look up'!$A$4:$A$135,0)),"")</f>
        <v/>
      </c>
      <c r="E231" s="407" t="str">
        <f>'D-1 Off-Site Habitat Baseline'!AP230</f>
        <v/>
      </c>
      <c r="F231" s="382" t="str">
        <f>IF(E231="","",IF(ISNA(VLOOKUP($E231,'D-1 Off-Site Habitat Baseline'!$D$1:$O$258,4,FALSE)),"",(VLOOKUP($E231,'D-1 Off-Site Habitat Baseline'!$D$1:$O$258,4,FALSE))))</f>
        <v/>
      </c>
      <c r="G231" s="382" t="str">
        <f>IF(E231="","",IF(ISNA(VLOOKUP($E231,'D-1 Off-Site Habitat Baseline'!$D$1:$O$258,5,FALSE)),"",(VLOOKUP($E231,'D-1 Off-Site Habitat Baseline'!$D$1:$O$258,5,FALSE))))</f>
        <v/>
      </c>
      <c r="H231" s="382" t="str">
        <f>IF(E231="","",IF(ISNA(VLOOKUP($E231,'D-1 Off-Site Habitat Baseline'!$D$1:$O$258,6,FALSE)),"",(VLOOKUP($E231,'D-1 Off-Site Habitat Baseline'!$D$1:$O$258,6,FALSE))))</f>
        <v/>
      </c>
      <c r="I231" s="382" t="str">
        <f>IF(E231="","",IF(ISNA(VLOOKUP($E231,'D-1 Off-Site Habitat Baseline'!$D$1:$O$258,7,FALSE)),"",(VLOOKUP($E231,'D-1 Off-Site Habitat Baseline'!$D$1:$O$258,7,FALSE))))</f>
        <v/>
      </c>
      <c r="J231" s="382" t="str">
        <f>IF(E231="","",IF(ISNA(VLOOKUP($E231,'D-1 Off-Site Habitat Baseline'!$D$1:$O$258,8,FALSE)),"",(VLOOKUP($E231,'D-1 Off-Site Habitat Baseline'!$D$1:$O$258,8,FALSE))))</f>
        <v/>
      </c>
      <c r="K231" s="382" t="str">
        <f>IF(E231="","",IF(ISNA(VLOOKUP($E231,'D-1 Off-Site Habitat Baseline'!$D$1:$O$258,9,FALSE)),"",(VLOOKUP($E231,'D-1 Off-Site Habitat Baseline'!$D$1:$O$258,9,FALSE))))</f>
        <v/>
      </c>
      <c r="L231" s="382" t="str">
        <f>IF(E231="","",IF(ISNA(VLOOKUP($E231,'D-1 Off-Site Habitat Baseline'!$D$1:$O$258,11,FALSE)),"",(VLOOKUP($E231,'D-1 Off-Site Habitat Baseline'!$D$1:$O$258,11,FALSE))))</f>
        <v/>
      </c>
      <c r="M231" s="382" t="str">
        <f>IF(E231="","",IF(ISNA(VLOOKUP($E231,'D-1 Off-Site Habitat Baseline'!$D$1:$O$258,12,FALSE)),"",(VLOOKUP($E231,'D-1 Off-Site Habitat Baseline'!$D$1:$O$258,12,FALSE))))</f>
        <v/>
      </c>
      <c r="N231" s="382" t="str">
        <f>IF(E231="","",IF(ISNA(VLOOKUP($E231,'D-1 Off-Site Habitat Baseline'!$D$1:$AA$258,14,FALSE)),"",(VLOOKUP($E231,'D-1 Off-Site Habitat Baseline'!$D$1:$AA$258,14,FALSE))))</f>
        <v/>
      </c>
      <c r="O231" s="386" t="str">
        <f>IF(E231="","",IF(ISNA(VLOOKUP($E231,'D-1 Off-Site Habitat Baseline'!$D$1:$AA$258,13,FALSE)),"",(VLOOKUP($E231,'D-1 Off-Site Habitat Baseline'!$D$1:$AA$258,13,FALSE))))</f>
        <v/>
      </c>
      <c r="P231" s="184" t="str">
        <f>IFERROR(INDEX('G-1 All Habitats'!$AG$3:$AG$17,MATCH(Q231,'G-1 All Habitats'!$AF$3:$AF$17,0)),"")</f>
        <v/>
      </c>
      <c r="Q231" s="185" t="str">
        <f t="shared" si="36"/>
        <v/>
      </c>
      <c r="R231" s="186" t="str">
        <f t="shared" si="36"/>
        <v/>
      </c>
      <c r="S231" s="187" t="str">
        <f>IFERROR(INDEX('G-1 All Habitats'!$B$3:$B$134,MATCH(R231,'G-1 All Habitats'!$A$3:$A$134,0)),"")</f>
        <v/>
      </c>
      <c r="T231" s="370" t="str">
        <f t="shared" si="37"/>
        <v/>
      </c>
      <c r="U231" s="386" t="str">
        <f t="shared" si="38"/>
        <v/>
      </c>
      <c r="V231" s="385" t="str">
        <f t="shared" si="34"/>
        <v/>
      </c>
      <c r="W231" s="382" t="str">
        <f>IF(S231="","",VLOOKUP(S231,'G-1 All Habitats'!$B$2:$M$134,10,FALSE))</f>
        <v/>
      </c>
      <c r="X231" s="382" t="str">
        <f>IFERROR(VLOOKUP(W231,'G-1 All Habitats'!$V$3:$W$7,2,FALSE),"")</f>
        <v/>
      </c>
      <c r="Y231" s="165"/>
      <c r="Z231" s="386" t="str">
        <f>IFERROR(INDEX('G-8 Condition Look up'!$A$3:$H$135,MATCH(S231,'G-8 Condition Look up'!$A$3:$A$135,0),MATCH(Y231,'G-8 Condition Look up'!$A$3:$H$3,0)),"")</f>
        <v/>
      </c>
      <c r="AA231" s="114"/>
      <c r="AB231" s="401" t="str">
        <f>IF(AA231="","",IF(VLOOKUP(AA231,'G-3 Multipliers'!$L$3:$N$6,2,FALSE)=0,"Spatial Data Missing ⚠",VLOOKUP(AA231,'G-3 Multipliers'!$L$3:$N$6,2,FALSE)))</f>
        <v/>
      </c>
      <c r="AC231" s="386" t="str">
        <f>IF(AA231="","",IF(VLOOKUP(AA231,'G-3 Multipliers'!$L$3:$N$6,3,FALSE)=0,"Spatial Data Missing ⚠",VLOOKUP(AA231,'G-3 Multipliers'!$L$3:$N$6,3,FALSE)))</f>
        <v/>
      </c>
      <c r="AD231" s="398" t="str">
        <f t="shared" si="35"/>
        <v/>
      </c>
      <c r="AE231" s="165"/>
      <c r="AF231" s="165"/>
      <c r="AG231" s="382" t="str">
        <f t="shared" si="39"/>
        <v/>
      </c>
      <c r="AH231" s="404" t="str">
        <f t="shared" si="40"/>
        <v/>
      </c>
      <c r="AI231" s="387" t="str">
        <f>IF(AH231="Check Data ⚠","Check Data ⚠",IFERROR(VLOOKUP(AH231,'G-4 Temporal multipliers'!$A$4:$C$36,3,FALSE),""))</f>
        <v/>
      </c>
      <c r="AJ231" s="398" t="str">
        <f>IF(S231="","",VLOOKUP(S231,'G-3 Multipliers'!$A$2:$E$134,4,FALSE))</f>
        <v/>
      </c>
      <c r="AK231" s="382" t="str">
        <f t="shared" si="41"/>
        <v/>
      </c>
      <c r="AL231" s="382" t="str">
        <f t="shared" si="42"/>
        <v/>
      </c>
      <c r="AM231" s="386" t="str">
        <f>IFERROR(IF(F231="","",IF(AH231="Check Data ⚠","Check Data ⚠",VLOOKUP(AL231, 'G-3 Multipliers'!$P$2:$Q$6,2,FALSE))),"")</f>
        <v/>
      </c>
      <c r="AN231" s="516"/>
      <c r="AO231" s="417" t="str">
        <f>IF(AN231="","",IF(VLOOKUP(AN231,'G-3 Multipliers'!$S$3:$T$10,2,FALSE)=0,"Spatial Data Missing ⚠",VLOOKUP(AN231,'G-3 Multipliers'!$S$3:$T$10,2,FALSE)))</f>
        <v/>
      </c>
      <c r="AP231" s="376" t="str">
        <f t="shared" si="43"/>
        <v/>
      </c>
      <c r="AQ231" s="376" t="str">
        <f t="shared" si="44"/>
        <v/>
      </c>
      <c r="AR231" s="119"/>
      <c r="AS231" s="528"/>
      <c r="AT231" s="120"/>
      <c r="AU231" s="120"/>
    </row>
    <row r="232" spans="1:47">
      <c r="A232" s="30" t="str">
        <f>IF(E232="","",IF(ISNA(VLOOKUP($E232,'D-1 Off-Site Habitat Baseline'!$D$1:$O$258,2,FALSE)),"",(VLOOKUP($E232,'D-1 Off-Site Habitat Baseline'!$D$1:$O$258,2,FALSE))))</f>
        <v/>
      </c>
      <c r="B232" s="30" t="str">
        <f>IF(E232="","",IF(ISNA(VLOOKUP($E232,'D-1 Off-Site Habitat Baseline'!$D$1:$O$258,3,FALSE)),"",(VLOOKUP($E232,'D-1 Off-Site Habitat Baseline'!$D$1:$O$258,3,FALSE))))</f>
        <v/>
      </c>
      <c r="C232" s="30" t="str">
        <f>IFERROR(INDEX('G-8 Condition Look up'!$I$4:$I$135,MATCH(S232,'G-8 Condition Look up'!$A$4:$A$135,0)),"")</f>
        <v/>
      </c>
      <c r="E232" s="407" t="str">
        <f>'D-1 Off-Site Habitat Baseline'!AP231</f>
        <v/>
      </c>
      <c r="F232" s="382" t="str">
        <f>IF(E232="","",IF(ISNA(VLOOKUP($E232,'D-1 Off-Site Habitat Baseline'!$D$1:$O$258,4,FALSE)),"",(VLOOKUP($E232,'D-1 Off-Site Habitat Baseline'!$D$1:$O$258,4,FALSE))))</f>
        <v/>
      </c>
      <c r="G232" s="382" t="str">
        <f>IF(E232="","",IF(ISNA(VLOOKUP($E232,'D-1 Off-Site Habitat Baseline'!$D$1:$O$258,5,FALSE)),"",(VLOOKUP($E232,'D-1 Off-Site Habitat Baseline'!$D$1:$O$258,5,FALSE))))</f>
        <v/>
      </c>
      <c r="H232" s="382" t="str">
        <f>IF(E232="","",IF(ISNA(VLOOKUP($E232,'D-1 Off-Site Habitat Baseline'!$D$1:$O$258,6,FALSE)),"",(VLOOKUP($E232,'D-1 Off-Site Habitat Baseline'!$D$1:$O$258,6,FALSE))))</f>
        <v/>
      </c>
      <c r="I232" s="382" t="str">
        <f>IF(E232="","",IF(ISNA(VLOOKUP($E232,'D-1 Off-Site Habitat Baseline'!$D$1:$O$258,7,FALSE)),"",(VLOOKUP($E232,'D-1 Off-Site Habitat Baseline'!$D$1:$O$258,7,FALSE))))</f>
        <v/>
      </c>
      <c r="J232" s="382" t="str">
        <f>IF(E232="","",IF(ISNA(VLOOKUP($E232,'D-1 Off-Site Habitat Baseline'!$D$1:$O$258,8,FALSE)),"",(VLOOKUP($E232,'D-1 Off-Site Habitat Baseline'!$D$1:$O$258,8,FALSE))))</f>
        <v/>
      </c>
      <c r="K232" s="382" t="str">
        <f>IF(E232="","",IF(ISNA(VLOOKUP($E232,'D-1 Off-Site Habitat Baseline'!$D$1:$O$258,9,FALSE)),"",(VLOOKUP($E232,'D-1 Off-Site Habitat Baseline'!$D$1:$O$258,9,FALSE))))</f>
        <v/>
      </c>
      <c r="L232" s="382" t="str">
        <f>IF(E232="","",IF(ISNA(VLOOKUP($E232,'D-1 Off-Site Habitat Baseline'!$D$1:$O$258,11,FALSE)),"",(VLOOKUP($E232,'D-1 Off-Site Habitat Baseline'!$D$1:$O$258,11,FALSE))))</f>
        <v/>
      </c>
      <c r="M232" s="382" t="str">
        <f>IF(E232="","",IF(ISNA(VLOOKUP($E232,'D-1 Off-Site Habitat Baseline'!$D$1:$O$258,12,FALSE)),"",(VLOOKUP($E232,'D-1 Off-Site Habitat Baseline'!$D$1:$O$258,12,FALSE))))</f>
        <v/>
      </c>
      <c r="N232" s="382" t="str">
        <f>IF(E232="","",IF(ISNA(VLOOKUP($E232,'D-1 Off-Site Habitat Baseline'!$D$1:$AA$258,14,FALSE)),"",(VLOOKUP($E232,'D-1 Off-Site Habitat Baseline'!$D$1:$AA$258,14,FALSE))))</f>
        <v/>
      </c>
      <c r="O232" s="386" t="str">
        <f>IF(E232="","",IF(ISNA(VLOOKUP($E232,'D-1 Off-Site Habitat Baseline'!$D$1:$AA$258,13,FALSE)),"",(VLOOKUP($E232,'D-1 Off-Site Habitat Baseline'!$D$1:$AA$258,13,FALSE))))</f>
        <v/>
      </c>
      <c r="P232" s="184" t="str">
        <f>IFERROR(INDEX('G-1 All Habitats'!$AG$3:$AG$17,MATCH(Q232,'G-1 All Habitats'!$AF$3:$AF$17,0)),"")</f>
        <v/>
      </c>
      <c r="Q232" s="185" t="str">
        <f t="shared" si="36"/>
        <v/>
      </c>
      <c r="R232" s="186" t="str">
        <f t="shared" si="36"/>
        <v/>
      </c>
      <c r="S232" s="187" t="str">
        <f>IFERROR(INDEX('G-1 All Habitats'!$B$3:$B$134,MATCH(R232,'G-1 All Habitats'!$A$3:$A$134,0)),"")</f>
        <v/>
      </c>
      <c r="T232" s="370" t="str">
        <f t="shared" si="37"/>
        <v/>
      </c>
      <c r="U232" s="386" t="str">
        <f t="shared" si="38"/>
        <v/>
      </c>
      <c r="V232" s="385" t="str">
        <f t="shared" si="34"/>
        <v/>
      </c>
      <c r="W232" s="382" t="str">
        <f>IF(S232="","",VLOOKUP(S232,'G-1 All Habitats'!$B$2:$M$134,10,FALSE))</f>
        <v/>
      </c>
      <c r="X232" s="382" t="str">
        <f>IFERROR(VLOOKUP(W232,'G-1 All Habitats'!$V$3:$W$7,2,FALSE),"")</f>
        <v/>
      </c>
      <c r="Y232" s="165"/>
      <c r="Z232" s="386" t="str">
        <f>IFERROR(INDEX('G-8 Condition Look up'!$A$3:$H$135,MATCH(S232,'G-8 Condition Look up'!$A$3:$A$135,0),MATCH(Y232,'G-8 Condition Look up'!$A$3:$H$3,0)),"")</f>
        <v/>
      </c>
      <c r="AA232" s="114"/>
      <c r="AB232" s="401" t="str">
        <f>IF(AA232="","",IF(VLOOKUP(AA232,'G-3 Multipliers'!$L$3:$N$6,2,FALSE)=0,"Spatial Data Missing ⚠",VLOOKUP(AA232,'G-3 Multipliers'!$L$3:$N$6,2,FALSE)))</f>
        <v/>
      </c>
      <c r="AC232" s="386" t="str">
        <f>IF(AA232="","",IF(VLOOKUP(AA232,'G-3 Multipliers'!$L$3:$N$6,3,FALSE)=0,"Spatial Data Missing ⚠",VLOOKUP(AA232,'G-3 Multipliers'!$L$3:$N$6,3,FALSE)))</f>
        <v/>
      </c>
      <c r="AD232" s="398" t="str">
        <f t="shared" si="35"/>
        <v/>
      </c>
      <c r="AE232" s="165"/>
      <c r="AF232" s="165"/>
      <c r="AG232" s="382" t="str">
        <f t="shared" si="39"/>
        <v/>
      </c>
      <c r="AH232" s="404" t="str">
        <f t="shared" si="40"/>
        <v/>
      </c>
      <c r="AI232" s="387" t="str">
        <f>IF(AH232="Check Data ⚠","Check Data ⚠",IFERROR(VLOOKUP(AH232,'G-4 Temporal multipliers'!$A$4:$C$36,3,FALSE),""))</f>
        <v/>
      </c>
      <c r="AJ232" s="398" t="str">
        <f>IF(S232="","",VLOOKUP(S232,'G-3 Multipliers'!$A$2:$E$134,4,FALSE))</f>
        <v/>
      </c>
      <c r="AK232" s="382" t="str">
        <f t="shared" si="41"/>
        <v/>
      </c>
      <c r="AL232" s="382" t="str">
        <f t="shared" si="42"/>
        <v/>
      </c>
      <c r="AM232" s="386" t="str">
        <f>IFERROR(IF(F232="","",IF(AH232="Check Data ⚠","Check Data ⚠",VLOOKUP(AL232, 'G-3 Multipliers'!$P$2:$Q$6,2,FALSE))),"")</f>
        <v/>
      </c>
      <c r="AN232" s="516"/>
      <c r="AO232" s="417" t="str">
        <f>IF(AN232="","",IF(VLOOKUP(AN232,'G-3 Multipliers'!$S$3:$T$10,2,FALSE)=0,"Spatial Data Missing ⚠",VLOOKUP(AN232,'G-3 Multipliers'!$S$3:$T$10,2,FALSE)))</f>
        <v/>
      </c>
      <c r="AP232" s="376" t="str">
        <f t="shared" si="43"/>
        <v/>
      </c>
      <c r="AQ232" s="376" t="str">
        <f t="shared" si="44"/>
        <v/>
      </c>
      <c r="AR232" s="119"/>
      <c r="AS232" s="528"/>
      <c r="AT232" s="120"/>
      <c r="AU232" s="120"/>
    </row>
    <row r="233" spans="1:47">
      <c r="A233" s="30" t="str">
        <f>IF(E233="","",IF(ISNA(VLOOKUP($E233,'D-1 Off-Site Habitat Baseline'!$D$1:$O$258,2,FALSE)),"",(VLOOKUP($E233,'D-1 Off-Site Habitat Baseline'!$D$1:$O$258,2,FALSE))))</f>
        <v/>
      </c>
      <c r="B233" s="30" t="str">
        <f>IF(E233="","",IF(ISNA(VLOOKUP($E233,'D-1 Off-Site Habitat Baseline'!$D$1:$O$258,3,FALSE)),"",(VLOOKUP($E233,'D-1 Off-Site Habitat Baseline'!$D$1:$O$258,3,FALSE))))</f>
        <v/>
      </c>
      <c r="C233" s="30" t="str">
        <f>IFERROR(INDEX('G-8 Condition Look up'!$I$4:$I$135,MATCH(S233,'G-8 Condition Look up'!$A$4:$A$135,0)),"")</f>
        <v/>
      </c>
      <c r="E233" s="407" t="str">
        <f>'D-1 Off-Site Habitat Baseline'!AP232</f>
        <v/>
      </c>
      <c r="F233" s="382" t="str">
        <f>IF(E233="","",IF(ISNA(VLOOKUP($E233,'D-1 Off-Site Habitat Baseline'!$D$1:$O$258,4,FALSE)),"",(VLOOKUP($E233,'D-1 Off-Site Habitat Baseline'!$D$1:$O$258,4,FALSE))))</f>
        <v/>
      </c>
      <c r="G233" s="382" t="str">
        <f>IF(E233="","",IF(ISNA(VLOOKUP($E233,'D-1 Off-Site Habitat Baseline'!$D$1:$O$258,5,FALSE)),"",(VLOOKUP($E233,'D-1 Off-Site Habitat Baseline'!$D$1:$O$258,5,FALSE))))</f>
        <v/>
      </c>
      <c r="H233" s="382" t="str">
        <f>IF(E233="","",IF(ISNA(VLOOKUP($E233,'D-1 Off-Site Habitat Baseline'!$D$1:$O$258,6,FALSE)),"",(VLOOKUP($E233,'D-1 Off-Site Habitat Baseline'!$D$1:$O$258,6,FALSE))))</f>
        <v/>
      </c>
      <c r="I233" s="382" t="str">
        <f>IF(E233="","",IF(ISNA(VLOOKUP($E233,'D-1 Off-Site Habitat Baseline'!$D$1:$O$258,7,FALSE)),"",(VLOOKUP($E233,'D-1 Off-Site Habitat Baseline'!$D$1:$O$258,7,FALSE))))</f>
        <v/>
      </c>
      <c r="J233" s="382" t="str">
        <f>IF(E233="","",IF(ISNA(VLOOKUP($E233,'D-1 Off-Site Habitat Baseline'!$D$1:$O$258,8,FALSE)),"",(VLOOKUP($E233,'D-1 Off-Site Habitat Baseline'!$D$1:$O$258,8,FALSE))))</f>
        <v/>
      </c>
      <c r="K233" s="382" t="str">
        <f>IF(E233="","",IF(ISNA(VLOOKUP($E233,'D-1 Off-Site Habitat Baseline'!$D$1:$O$258,9,FALSE)),"",(VLOOKUP($E233,'D-1 Off-Site Habitat Baseline'!$D$1:$O$258,9,FALSE))))</f>
        <v/>
      </c>
      <c r="L233" s="382" t="str">
        <f>IF(E233="","",IF(ISNA(VLOOKUP($E233,'D-1 Off-Site Habitat Baseline'!$D$1:$O$258,11,FALSE)),"",(VLOOKUP($E233,'D-1 Off-Site Habitat Baseline'!$D$1:$O$258,11,FALSE))))</f>
        <v/>
      </c>
      <c r="M233" s="382" t="str">
        <f>IF(E233="","",IF(ISNA(VLOOKUP($E233,'D-1 Off-Site Habitat Baseline'!$D$1:$O$258,12,FALSE)),"",(VLOOKUP($E233,'D-1 Off-Site Habitat Baseline'!$D$1:$O$258,12,FALSE))))</f>
        <v/>
      </c>
      <c r="N233" s="382" t="str">
        <f>IF(E233="","",IF(ISNA(VLOOKUP($E233,'D-1 Off-Site Habitat Baseline'!$D$1:$AA$258,14,FALSE)),"",(VLOOKUP($E233,'D-1 Off-Site Habitat Baseline'!$D$1:$AA$258,14,FALSE))))</f>
        <v/>
      </c>
      <c r="O233" s="386" t="str">
        <f>IF(E233="","",IF(ISNA(VLOOKUP($E233,'D-1 Off-Site Habitat Baseline'!$D$1:$AA$258,13,FALSE)),"",(VLOOKUP($E233,'D-1 Off-Site Habitat Baseline'!$D$1:$AA$258,13,FALSE))))</f>
        <v/>
      </c>
      <c r="P233" s="184" t="str">
        <f>IFERROR(INDEX('G-1 All Habitats'!$AG$3:$AG$17,MATCH(Q233,'G-1 All Habitats'!$AF$3:$AF$17,0)),"")</f>
        <v/>
      </c>
      <c r="Q233" s="185" t="str">
        <f t="shared" si="36"/>
        <v/>
      </c>
      <c r="R233" s="186" t="str">
        <f t="shared" si="36"/>
        <v/>
      </c>
      <c r="S233" s="187" t="str">
        <f>IFERROR(INDEX('G-1 All Habitats'!$B$3:$B$134,MATCH(R233,'G-1 All Habitats'!$A$3:$A$134,0)),"")</f>
        <v/>
      </c>
      <c r="T233" s="370" t="str">
        <f t="shared" si="37"/>
        <v/>
      </c>
      <c r="U233" s="386" t="str">
        <f t="shared" si="38"/>
        <v/>
      </c>
      <c r="V233" s="385" t="str">
        <f t="shared" si="34"/>
        <v/>
      </c>
      <c r="W233" s="382" t="str">
        <f>IF(S233="","",VLOOKUP(S233,'G-1 All Habitats'!$B$2:$M$134,10,FALSE))</f>
        <v/>
      </c>
      <c r="X233" s="382" t="str">
        <f>IFERROR(VLOOKUP(W233,'G-1 All Habitats'!$V$3:$W$7,2,FALSE),"")</f>
        <v/>
      </c>
      <c r="Y233" s="165"/>
      <c r="Z233" s="386" t="str">
        <f>IFERROR(INDEX('G-8 Condition Look up'!$A$3:$H$135,MATCH(S233,'G-8 Condition Look up'!$A$3:$A$135,0),MATCH(Y233,'G-8 Condition Look up'!$A$3:$H$3,0)),"")</f>
        <v/>
      </c>
      <c r="AA233" s="114"/>
      <c r="AB233" s="401" t="str">
        <f>IF(AA233="","",IF(VLOOKUP(AA233,'G-3 Multipliers'!$L$3:$N$6,2,FALSE)=0,"Spatial Data Missing ⚠",VLOOKUP(AA233,'G-3 Multipliers'!$L$3:$N$6,2,FALSE)))</f>
        <v/>
      </c>
      <c r="AC233" s="386" t="str">
        <f>IF(AA233="","",IF(VLOOKUP(AA233,'G-3 Multipliers'!$L$3:$N$6,3,FALSE)=0,"Spatial Data Missing ⚠",VLOOKUP(AA233,'G-3 Multipliers'!$L$3:$N$6,3,FALSE)))</f>
        <v/>
      </c>
      <c r="AD233" s="398" t="str">
        <f t="shared" si="35"/>
        <v/>
      </c>
      <c r="AE233" s="165"/>
      <c r="AF233" s="165"/>
      <c r="AG233" s="382" t="str">
        <f t="shared" si="39"/>
        <v/>
      </c>
      <c r="AH233" s="404" t="str">
        <f t="shared" si="40"/>
        <v/>
      </c>
      <c r="AI233" s="387" t="str">
        <f>IF(AH233="Check Data ⚠","Check Data ⚠",IFERROR(VLOOKUP(AH233,'G-4 Temporal multipliers'!$A$4:$C$36,3,FALSE),""))</f>
        <v/>
      </c>
      <c r="AJ233" s="398" t="str">
        <f>IF(S233="","",VLOOKUP(S233,'G-3 Multipliers'!$A$2:$E$134,4,FALSE))</f>
        <v/>
      </c>
      <c r="AK233" s="382" t="str">
        <f t="shared" si="41"/>
        <v/>
      </c>
      <c r="AL233" s="382" t="str">
        <f t="shared" si="42"/>
        <v/>
      </c>
      <c r="AM233" s="386" t="str">
        <f>IFERROR(IF(F233="","",IF(AH233="Check Data ⚠","Check Data ⚠",VLOOKUP(AL233, 'G-3 Multipliers'!$P$2:$Q$6,2,FALSE))),"")</f>
        <v/>
      </c>
      <c r="AN233" s="516"/>
      <c r="AO233" s="417" t="str">
        <f>IF(AN233="","",IF(VLOOKUP(AN233,'G-3 Multipliers'!$S$3:$T$10,2,FALSE)=0,"Spatial Data Missing ⚠",VLOOKUP(AN233,'G-3 Multipliers'!$S$3:$T$10,2,FALSE)))</f>
        <v/>
      </c>
      <c r="AP233" s="376" t="str">
        <f t="shared" si="43"/>
        <v/>
      </c>
      <c r="AQ233" s="376" t="str">
        <f t="shared" si="44"/>
        <v/>
      </c>
      <c r="AR233" s="119"/>
      <c r="AS233" s="528"/>
      <c r="AT233" s="120"/>
      <c r="AU233" s="120"/>
    </row>
    <row r="234" spans="1:47">
      <c r="A234" s="30" t="str">
        <f>IF(E234="","",IF(ISNA(VLOOKUP($E234,'D-1 Off-Site Habitat Baseline'!$D$1:$O$258,2,FALSE)),"",(VLOOKUP($E234,'D-1 Off-Site Habitat Baseline'!$D$1:$O$258,2,FALSE))))</f>
        <v/>
      </c>
      <c r="B234" s="30" t="str">
        <f>IF(E234="","",IF(ISNA(VLOOKUP($E234,'D-1 Off-Site Habitat Baseline'!$D$1:$O$258,3,FALSE)),"",(VLOOKUP($E234,'D-1 Off-Site Habitat Baseline'!$D$1:$O$258,3,FALSE))))</f>
        <v/>
      </c>
      <c r="C234" s="30" t="str">
        <f>IFERROR(INDEX('G-8 Condition Look up'!$I$4:$I$135,MATCH(S234,'G-8 Condition Look up'!$A$4:$A$135,0)),"")</f>
        <v/>
      </c>
      <c r="E234" s="407" t="str">
        <f>'D-1 Off-Site Habitat Baseline'!AP233</f>
        <v/>
      </c>
      <c r="F234" s="382" t="str">
        <f>IF(E234="","",IF(ISNA(VLOOKUP($E234,'D-1 Off-Site Habitat Baseline'!$D$1:$O$258,4,FALSE)),"",(VLOOKUP($E234,'D-1 Off-Site Habitat Baseline'!$D$1:$O$258,4,FALSE))))</f>
        <v/>
      </c>
      <c r="G234" s="382" t="str">
        <f>IF(E234="","",IF(ISNA(VLOOKUP($E234,'D-1 Off-Site Habitat Baseline'!$D$1:$O$258,5,FALSE)),"",(VLOOKUP($E234,'D-1 Off-Site Habitat Baseline'!$D$1:$O$258,5,FALSE))))</f>
        <v/>
      </c>
      <c r="H234" s="382" t="str">
        <f>IF(E234="","",IF(ISNA(VLOOKUP($E234,'D-1 Off-Site Habitat Baseline'!$D$1:$O$258,6,FALSE)),"",(VLOOKUP($E234,'D-1 Off-Site Habitat Baseline'!$D$1:$O$258,6,FALSE))))</f>
        <v/>
      </c>
      <c r="I234" s="382" t="str">
        <f>IF(E234="","",IF(ISNA(VLOOKUP($E234,'D-1 Off-Site Habitat Baseline'!$D$1:$O$258,7,FALSE)),"",(VLOOKUP($E234,'D-1 Off-Site Habitat Baseline'!$D$1:$O$258,7,FALSE))))</f>
        <v/>
      </c>
      <c r="J234" s="382" t="str">
        <f>IF(E234="","",IF(ISNA(VLOOKUP($E234,'D-1 Off-Site Habitat Baseline'!$D$1:$O$258,8,FALSE)),"",(VLOOKUP($E234,'D-1 Off-Site Habitat Baseline'!$D$1:$O$258,8,FALSE))))</f>
        <v/>
      </c>
      <c r="K234" s="382" t="str">
        <f>IF(E234="","",IF(ISNA(VLOOKUP($E234,'D-1 Off-Site Habitat Baseline'!$D$1:$O$258,9,FALSE)),"",(VLOOKUP($E234,'D-1 Off-Site Habitat Baseline'!$D$1:$O$258,9,FALSE))))</f>
        <v/>
      </c>
      <c r="L234" s="382" t="str">
        <f>IF(E234="","",IF(ISNA(VLOOKUP($E234,'D-1 Off-Site Habitat Baseline'!$D$1:$O$258,11,FALSE)),"",(VLOOKUP($E234,'D-1 Off-Site Habitat Baseline'!$D$1:$O$258,11,FALSE))))</f>
        <v/>
      </c>
      <c r="M234" s="382" t="str">
        <f>IF(E234="","",IF(ISNA(VLOOKUP($E234,'D-1 Off-Site Habitat Baseline'!$D$1:$O$258,12,FALSE)),"",(VLOOKUP($E234,'D-1 Off-Site Habitat Baseline'!$D$1:$O$258,12,FALSE))))</f>
        <v/>
      </c>
      <c r="N234" s="382" t="str">
        <f>IF(E234="","",IF(ISNA(VLOOKUP($E234,'D-1 Off-Site Habitat Baseline'!$D$1:$AA$258,14,FALSE)),"",(VLOOKUP($E234,'D-1 Off-Site Habitat Baseline'!$D$1:$AA$258,14,FALSE))))</f>
        <v/>
      </c>
      <c r="O234" s="386" t="str">
        <f>IF(E234="","",IF(ISNA(VLOOKUP($E234,'D-1 Off-Site Habitat Baseline'!$D$1:$AA$258,13,FALSE)),"",(VLOOKUP($E234,'D-1 Off-Site Habitat Baseline'!$D$1:$AA$258,13,FALSE))))</f>
        <v/>
      </c>
      <c r="P234" s="184" t="str">
        <f>IFERROR(INDEX('G-1 All Habitats'!$AG$3:$AG$17,MATCH(Q234,'G-1 All Habitats'!$AF$3:$AF$17,0)),"")</f>
        <v/>
      </c>
      <c r="Q234" s="185" t="str">
        <f t="shared" si="36"/>
        <v/>
      </c>
      <c r="R234" s="186" t="str">
        <f t="shared" si="36"/>
        <v/>
      </c>
      <c r="S234" s="187" t="str">
        <f>IFERROR(INDEX('G-1 All Habitats'!$B$3:$B$134,MATCH(R234,'G-1 All Habitats'!$A$3:$A$134,0)),"")</f>
        <v/>
      </c>
      <c r="T234" s="370" t="str">
        <f t="shared" si="37"/>
        <v/>
      </c>
      <c r="U234" s="386" t="str">
        <f t="shared" si="38"/>
        <v/>
      </c>
      <c r="V234" s="385" t="str">
        <f t="shared" si="34"/>
        <v/>
      </c>
      <c r="W234" s="382" t="str">
        <f>IF(S234="","",VLOOKUP(S234,'G-1 All Habitats'!$B$2:$M$134,10,FALSE))</f>
        <v/>
      </c>
      <c r="X234" s="382" t="str">
        <f>IFERROR(VLOOKUP(W234,'G-1 All Habitats'!$V$3:$W$7,2,FALSE),"")</f>
        <v/>
      </c>
      <c r="Y234" s="165"/>
      <c r="Z234" s="386" t="str">
        <f>IFERROR(INDEX('G-8 Condition Look up'!$A$3:$H$135,MATCH(S234,'G-8 Condition Look up'!$A$3:$A$135,0),MATCH(Y234,'G-8 Condition Look up'!$A$3:$H$3,0)),"")</f>
        <v/>
      </c>
      <c r="AA234" s="114"/>
      <c r="AB234" s="401" t="str">
        <f>IF(AA234="","",IF(VLOOKUP(AA234,'G-3 Multipliers'!$L$3:$N$6,2,FALSE)=0,"Spatial Data Missing ⚠",VLOOKUP(AA234,'G-3 Multipliers'!$L$3:$N$6,2,FALSE)))</f>
        <v/>
      </c>
      <c r="AC234" s="386" t="str">
        <f>IF(AA234="","",IF(VLOOKUP(AA234,'G-3 Multipliers'!$L$3:$N$6,3,FALSE)=0,"Spatial Data Missing ⚠",VLOOKUP(AA234,'G-3 Multipliers'!$L$3:$N$6,3,FALSE)))</f>
        <v/>
      </c>
      <c r="AD234" s="398" t="str">
        <f t="shared" si="35"/>
        <v/>
      </c>
      <c r="AE234" s="165"/>
      <c r="AF234" s="165"/>
      <c r="AG234" s="382" t="str">
        <f t="shared" si="39"/>
        <v/>
      </c>
      <c r="AH234" s="404" t="str">
        <f t="shared" si="40"/>
        <v/>
      </c>
      <c r="AI234" s="387" t="str">
        <f>IF(AH234="Check Data ⚠","Check Data ⚠",IFERROR(VLOOKUP(AH234,'G-4 Temporal multipliers'!$A$4:$C$36,3,FALSE),""))</f>
        <v/>
      </c>
      <c r="AJ234" s="398" t="str">
        <f>IF(S234="","",VLOOKUP(S234,'G-3 Multipliers'!$A$2:$E$134,4,FALSE))</f>
        <v/>
      </c>
      <c r="AK234" s="382" t="str">
        <f t="shared" si="41"/>
        <v/>
      </c>
      <c r="AL234" s="382" t="str">
        <f t="shared" si="42"/>
        <v/>
      </c>
      <c r="AM234" s="386" t="str">
        <f>IFERROR(IF(F234="","",IF(AH234="Check Data ⚠","Check Data ⚠",VLOOKUP(AL234, 'G-3 Multipliers'!$P$2:$Q$6,2,FALSE))),"")</f>
        <v/>
      </c>
      <c r="AN234" s="516"/>
      <c r="AO234" s="417" t="str">
        <f>IF(AN234="","",IF(VLOOKUP(AN234,'G-3 Multipliers'!$S$3:$T$10,2,FALSE)=0,"Spatial Data Missing ⚠",VLOOKUP(AN234,'G-3 Multipliers'!$S$3:$T$10,2,FALSE)))</f>
        <v/>
      </c>
      <c r="AP234" s="376" t="str">
        <f t="shared" si="43"/>
        <v/>
      </c>
      <c r="AQ234" s="376" t="str">
        <f t="shared" si="44"/>
        <v/>
      </c>
      <c r="AR234" s="119"/>
      <c r="AS234" s="528"/>
      <c r="AT234" s="120"/>
      <c r="AU234" s="120"/>
    </row>
    <row r="235" spans="1:47">
      <c r="A235" s="30" t="str">
        <f>IF(E235="","",IF(ISNA(VLOOKUP($E235,'D-1 Off-Site Habitat Baseline'!$D$1:$O$258,2,FALSE)),"",(VLOOKUP($E235,'D-1 Off-Site Habitat Baseline'!$D$1:$O$258,2,FALSE))))</f>
        <v/>
      </c>
      <c r="B235" s="30" t="str">
        <f>IF(E235="","",IF(ISNA(VLOOKUP($E235,'D-1 Off-Site Habitat Baseline'!$D$1:$O$258,3,FALSE)),"",(VLOOKUP($E235,'D-1 Off-Site Habitat Baseline'!$D$1:$O$258,3,FALSE))))</f>
        <v/>
      </c>
      <c r="C235" s="30" t="str">
        <f>IFERROR(INDEX('G-8 Condition Look up'!$I$4:$I$135,MATCH(S235,'G-8 Condition Look up'!$A$4:$A$135,0)),"")</f>
        <v/>
      </c>
      <c r="E235" s="407" t="str">
        <f>'D-1 Off-Site Habitat Baseline'!AP234</f>
        <v/>
      </c>
      <c r="F235" s="382" t="str">
        <f>IF(E235="","",IF(ISNA(VLOOKUP($E235,'D-1 Off-Site Habitat Baseline'!$D$1:$O$258,4,FALSE)),"",(VLOOKUP($E235,'D-1 Off-Site Habitat Baseline'!$D$1:$O$258,4,FALSE))))</f>
        <v/>
      </c>
      <c r="G235" s="382" t="str">
        <f>IF(E235="","",IF(ISNA(VLOOKUP($E235,'D-1 Off-Site Habitat Baseline'!$D$1:$O$258,5,FALSE)),"",(VLOOKUP($E235,'D-1 Off-Site Habitat Baseline'!$D$1:$O$258,5,FALSE))))</f>
        <v/>
      </c>
      <c r="H235" s="382" t="str">
        <f>IF(E235="","",IF(ISNA(VLOOKUP($E235,'D-1 Off-Site Habitat Baseline'!$D$1:$O$258,6,FALSE)),"",(VLOOKUP($E235,'D-1 Off-Site Habitat Baseline'!$D$1:$O$258,6,FALSE))))</f>
        <v/>
      </c>
      <c r="I235" s="382" t="str">
        <f>IF(E235="","",IF(ISNA(VLOOKUP($E235,'D-1 Off-Site Habitat Baseline'!$D$1:$O$258,7,FALSE)),"",(VLOOKUP($E235,'D-1 Off-Site Habitat Baseline'!$D$1:$O$258,7,FALSE))))</f>
        <v/>
      </c>
      <c r="J235" s="382" t="str">
        <f>IF(E235="","",IF(ISNA(VLOOKUP($E235,'D-1 Off-Site Habitat Baseline'!$D$1:$O$258,8,FALSE)),"",(VLOOKUP($E235,'D-1 Off-Site Habitat Baseline'!$D$1:$O$258,8,FALSE))))</f>
        <v/>
      </c>
      <c r="K235" s="382" t="str">
        <f>IF(E235="","",IF(ISNA(VLOOKUP($E235,'D-1 Off-Site Habitat Baseline'!$D$1:$O$258,9,FALSE)),"",(VLOOKUP($E235,'D-1 Off-Site Habitat Baseline'!$D$1:$O$258,9,FALSE))))</f>
        <v/>
      </c>
      <c r="L235" s="382" t="str">
        <f>IF(E235="","",IF(ISNA(VLOOKUP($E235,'D-1 Off-Site Habitat Baseline'!$D$1:$O$258,11,FALSE)),"",(VLOOKUP($E235,'D-1 Off-Site Habitat Baseline'!$D$1:$O$258,11,FALSE))))</f>
        <v/>
      </c>
      <c r="M235" s="382" t="str">
        <f>IF(E235="","",IF(ISNA(VLOOKUP($E235,'D-1 Off-Site Habitat Baseline'!$D$1:$O$258,12,FALSE)),"",(VLOOKUP($E235,'D-1 Off-Site Habitat Baseline'!$D$1:$O$258,12,FALSE))))</f>
        <v/>
      </c>
      <c r="N235" s="382" t="str">
        <f>IF(E235="","",IF(ISNA(VLOOKUP($E235,'D-1 Off-Site Habitat Baseline'!$D$1:$AA$258,14,FALSE)),"",(VLOOKUP($E235,'D-1 Off-Site Habitat Baseline'!$D$1:$AA$258,14,FALSE))))</f>
        <v/>
      </c>
      <c r="O235" s="386" t="str">
        <f>IF(E235="","",IF(ISNA(VLOOKUP($E235,'D-1 Off-Site Habitat Baseline'!$D$1:$AA$258,13,FALSE)),"",(VLOOKUP($E235,'D-1 Off-Site Habitat Baseline'!$D$1:$AA$258,13,FALSE))))</f>
        <v/>
      </c>
      <c r="P235" s="184" t="str">
        <f>IFERROR(INDEX('G-1 All Habitats'!$AG$3:$AG$17,MATCH(Q235,'G-1 All Habitats'!$AF$3:$AF$17,0)),"")</f>
        <v/>
      </c>
      <c r="Q235" s="185" t="str">
        <f t="shared" si="36"/>
        <v/>
      </c>
      <c r="R235" s="186" t="str">
        <f t="shared" si="36"/>
        <v/>
      </c>
      <c r="S235" s="187" t="str">
        <f>IFERROR(INDEX('G-1 All Habitats'!$B$3:$B$134,MATCH(R235,'G-1 All Habitats'!$A$3:$A$134,0)),"")</f>
        <v/>
      </c>
      <c r="T235" s="370" t="str">
        <f t="shared" si="37"/>
        <v/>
      </c>
      <c r="U235" s="386" t="str">
        <f t="shared" si="38"/>
        <v/>
      </c>
      <c r="V235" s="385" t="str">
        <f t="shared" si="34"/>
        <v/>
      </c>
      <c r="W235" s="382" t="str">
        <f>IF(S235="","",VLOOKUP(S235,'G-1 All Habitats'!$B$2:$M$134,10,FALSE))</f>
        <v/>
      </c>
      <c r="X235" s="382" t="str">
        <f>IFERROR(VLOOKUP(W235,'G-1 All Habitats'!$V$3:$W$7,2,FALSE),"")</f>
        <v/>
      </c>
      <c r="Y235" s="165"/>
      <c r="Z235" s="386" t="str">
        <f>IFERROR(INDEX('G-8 Condition Look up'!$A$3:$H$135,MATCH(S235,'G-8 Condition Look up'!$A$3:$A$135,0),MATCH(Y235,'G-8 Condition Look up'!$A$3:$H$3,0)),"")</f>
        <v/>
      </c>
      <c r="AA235" s="114"/>
      <c r="AB235" s="401" t="str">
        <f>IF(AA235="","",IF(VLOOKUP(AA235,'G-3 Multipliers'!$L$3:$N$6,2,FALSE)=0,"Spatial Data Missing ⚠",VLOOKUP(AA235,'G-3 Multipliers'!$L$3:$N$6,2,FALSE)))</f>
        <v/>
      </c>
      <c r="AC235" s="386" t="str">
        <f>IF(AA235="","",IF(VLOOKUP(AA235,'G-3 Multipliers'!$L$3:$N$6,3,FALSE)=0,"Spatial Data Missing ⚠",VLOOKUP(AA235,'G-3 Multipliers'!$L$3:$N$6,3,FALSE)))</f>
        <v/>
      </c>
      <c r="AD235" s="398" t="str">
        <f t="shared" si="35"/>
        <v/>
      </c>
      <c r="AE235" s="165"/>
      <c r="AF235" s="165"/>
      <c r="AG235" s="382" t="str">
        <f t="shared" si="39"/>
        <v/>
      </c>
      <c r="AH235" s="404" t="str">
        <f t="shared" si="40"/>
        <v/>
      </c>
      <c r="AI235" s="387" t="str">
        <f>IF(AH235="Check Data ⚠","Check Data ⚠",IFERROR(VLOOKUP(AH235,'G-4 Temporal multipliers'!$A$4:$C$36,3,FALSE),""))</f>
        <v/>
      </c>
      <c r="AJ235" s="398" t="str">
        <f>IF(S235="","",VLOOKUP(S235,'G-3 Multipliers'!$A$2:$E$134,4,FALSE))</f>
        <v/>
      </c>
      <c r="AK235" s="382" t="str">
        <f t="shared" si="41"/>
        <v/>
      </c>
      <c r="AL235" s="382" t="str">
        <f t="shared" si="42"/>
        <v/>
      </c>
      <c r="AM235" s="386" t="str">
        <f>IFERROR(IF(F235="","",IF(AH235="Check Data ⚠","Check Data ⚠",VLOOKUP(AL235, 'G-3 Multipliers'!$P$2:$Q$6,2,FALSE))),"")</f>
        <v/>
      </c>
      <c r="AN235" s="516"/>
      <c r="AO235" s="417" t="str">
        <f>IF(AN235="","",IF(VLOOKUP(AN235,'G-3 Multipliers'!$S$3:$T$10,2,FALSE)=0,"Spatial Data Missing ⚠",VLOOKUP(AN235,'G-3 Multipliers'!$S$3:$T$10,2,FALSE)))</f>
        <v/>
      </c>
      <c r="AP235" s="376" t="str">
        <f t="shared" si="43"/>
        <v/>
      </c>
      <c r="AQ235" s="376" t="str">
        <f t="shared" si="44"/>
        <v/>
      </c>
      <c r="AR235" s="119"/>
      <c r="AS235" s="528"/>
      <c r="AT235" s="120"/>
      <c r="AU235" s="120"/>
    </row>
    <row r="236" spans="1:47">
      <c r="A236" s="30" t="str">
        <f>IF(E236="","",IF(ISNA(VLOOKUP($E236,'D-1 Off-Site Habitat Baseline'!$D$1:$O$258,2,FALSE)),"",(VLOOKUP($E236,'D-1 Off-Site Habitat Baseline'!$D$1:$O$258,2,FALSE))))</f>
        <v/>
      </c>
      <c r="B236" s="30" t="str">
        <f>IF(E236="","",IF(ISNA(VLOOKUP($E236,'D-1 Off-Site Habitat Baseline'!$D$1:$O$258,3,FALSE)),"",(VLOOKUP($E236,'D-1 Off-Site Habitat Baseline'!$D$1:$O$258,3,FALSE))))</f>
        <v/>
      </c>
      <c r="C236" s="30" t="str">
        <f>IFERROR(INDEX('G-8 Condition Look up'!$I$4:$I$135,MATCH(S236,'G-8 Condition Look up'!$A$4:$A$135,0)),"")</f>
        <v/>
      </c>
      <c r="E236" s="407" t="str">
        <f>'D-1 Off-Site Habitat Baseline'!AP235</f>
        <v/>
      </c>
      <c r="F236" s="382" t="str">
        <f>IF(E236="","",IF(ISNA(VLOOKUP($E236,'D-1 Off-Site Habitat Baseline'!$D$1:$O$258,4,FALSE)),"",(VLOOKUP($E236,'D-1 Off-Site Habitat Baseline'!$D$1:$O$258,4,FALSE))))</f>
        <v/>
      </c>
      <c r="G236" s="382" t="str">
        <f>IF(E236="","",IF(ISNA(VLOOKUP($E236,'D-1 Off-Site Habitat Baseline'!$D$1:$O$258,5,FALSE)),"",(VLOOKUP($E236,'D-1 Off-Site Habitat Baseline'!$D$1:$O$258,5,FALSE))))</f>
        <v/>
      </c>
      <c r="H236" s="382" t="str">
        <f>IF(E236="","",IF(ISNA(VLOOKUP($E236,'D-1 Off-Site Habitat Baseline'!$D$1:$O$258,6,FALSE)),"",(VLOOKUP($E236,'D-1 Off-Site Habitat Baseline'!$D$1:$O$258,6,FALSE))))</f>
        <v/>
      </c>
      <c r="I236" s="382" t="str">
        <f>IF(E236="","",IF(ISNA(VLOOKUP($E236,'D-1 Off-Site Habitat Baseline'!$D$1:$O$258,7,FALSE)),"",(VLOOKUP($E236,'D-1 Off-Site Habitat Baseline'!$D$1:$O$258,7,FALSE))))</f>
        <v/>
      </c>
      <c r="J236" s="382" t="str">
        <f>IF(E236="","",IF(ISNA(VLOOKUP($E236,'D-1 Off-Site Habitat Baseline'!$D$1:$O$258,8,FALSE)),"",(VLOOKUP($E236,'D-1 Off-Site Habitat Baseline'!$D$1:$O$258,8,FALSE))))</f>
        <v/>
      </c>
      <c r="K236" s="382" t="str">
        <f>IF(E236="","",IF(ISNA(VLOOKUP($E236,'D-1 Off-Site Habitat Baseline'!$D$1:$O$258,9,FALSE)),"",(VLOOKUP($E236,'D-1 Off-Site Habitat Baseline'!$D$1:$O$258,9,FALSE))))</f>
        <v/>
      </c>
      <c r="L236" s="382" t="str">
        <f>IF(E236="","",IF(ISNA(VLOOKUP($E236,'D-1 Off-Site Habitat Baseline'!$D$1:$O$258,11,FALSE)),"",(VLOOKUP($E236,'D-1 Off-Site Habitat Baseline'!$D$1:$O$258,11,FALSE))))</f>
        <v/>
      </c>
      <c r="M236" s="382" t="str">
        <f>IF(E236="","",IF(ISNA(VLOOKUP($E236,'D-1 Off-Site Habitat Baseline'!$D$1:$O$258,12,FALSE)),"",(VLOOKUP($E236,'D-1 Off-Site Habitat Baseline'!$D$1:$O$258,12,FALSE))))</f>
        <v/>
      </c>
      <c r="N236" s="382" t="str">
        <f>IF(E236="","",IF(ISNA(VLOOKUP($E236,'D-1 Off-Site Habitat Baseline'!$D$1:$AA$258,14,FALSE)),"",(VLOOKUP($E236,'D-1 Off-Site Habitat Baseline'!$D$1:$AA$258,14,FALSE))))</f>
        <v/>
      </c>
      <c r="O236" s="386" t="str">
        <f>IF(E236="","",IF(ISNA(VLOOKUP($E236,'D-1 Off-Site Habitat Baseline'!$D$1:$AA$258,13,FALSE)),"",(VLOOKUP($E236,'D-1 Off-Site Habitat Baseline'!$D$1:$AA$258,13,FALSE))))</f>
        <v/>
      </c>
      <c r="P236" s="184" t="str">
        <f>IFERROR(INDEX('G-1 All Habitats'!$AG$3:$AG$17,MATCH(Q236,'G-1 All Habitats'!$AF$3:$AF$17,0)),"")</f>
        <v/>
      </c>
      <c r="Q236" s="185" t="str">
        <f t="shared" si="36"/>
        <v/>
      </c>
      <c r="R236" s="186" t="str">
        <f t="shared" si="36"/>
        <v/>
      </c>
      <c r="S236" s="187" t="str">
        <f>IFERROR(INDEX('G-1 All Habitats'!$B$3:$B$134,MATCH(R236,'G-1 All Habitats'!$A$3:$A$134,0)),"")</f>
        <v/>
      </c>
      <c r="T236" s="370" t="str">
        <f t="shared" si="37"/>
        <v/>
      </c>
      <c r="U236" s="386" t="str">
        <f t="shared" si="38"/>
        <v/>
      </c>
      <c r="V236" s="385" t="str">
        <f t="shared" si="34"/>
        <v/>
      </c>
      <c r="W236" s="382" t="str">
        <f>IF(S236="","",VLOOKUP(S236,'G-1 All Habitats'!$B$2:$M$134,10,FALSE))</f>
        <v/>
      </c>
      <c r="X236" s="382" t="str">
        <f>IFERROR(VLOOKUP(W236,'G-1 All Habitats'!$V$3:$W$7,2,FALSE),"")</f>
        <v/>
      </c>
      <c r="Y236" s="165"/>
      <c r="Z236" s="386" t="str">
        <f>IFERROR(INDEX('G-8 Condition Look up'!$A$3:$H$135,MATCH(S236,'G-8 Condition Look up'!$A$3:$A$135,0),MATCH(Y236,'G-8 Condition Look up'!$A$3:$H$3,0)),"")</f>
        <v/>
      </c>
      <c r="AA236" s="114"/>
      <c r="AB236" s="401" t="str">
        <f>IF(AA236="","",IF(VLOOKUP(AA236,'G-3 Multipliers'!$L$3:$N$6,2,FALSE)=0,"Spatial Data Missing ⚠",VLOOKUP(AA236,'G-3 Multipliers'!$L$3:$N$6,2,FALSE)))</f>
        <v/>
      </c>
      <c r="AC236" s="386" t="str">
        <f>IF(AA236="","",IF(VLOOKUP(AA236,'G-3 Multipliers'!$L$3:$N$6,3,FALSE)=0,"Spatial Data Missing ⚠",VLOOKUP(AA236,'G-3 Multipliers'!$L$3:$N$6,3,FALSE)))</f>
        <v/>
      </c>
      <c r="AD236" s="398" t="str">
        <f t="shared" si="35"/>
        <v/>
      </c>
      <c r="AE236" s="165"/>
      <c r="AF236" s="165"/>
      <c r="AG236" s="382" t="str">
        <f t="shared" si="39"/>
        <v/>
      </c>
      <c r="AH236" s="404" t="str">
        <f t="shared" si="40"/>
        <v/>
      </c>
      <c r="AI236" s="387" t="str">
        <f>IF(AH236="Check Data ⚠","Check Data ⚠",IFERROR(VLOOKUP(AH236,'G-4 Temporal multipliers'!$A$4:$C$36,3,FALSE),""))</f>
        <v/>
      </c>
      <c r="AJ236" s="398" t="str">
        <f>IF(S236="","",VLOOKUP(S236,'G-3 Multipliers'!$A$2:$E$134,4,FALSE))</f>
        <v/>
      </c>
      <c r="AK236" s="382" t="str">
        <f t="shared" si="41"/>
        <v/>
      </c>
      <c r="AL236" s="382" t="str">
        <f t="shared" si="42"/>
        <v/>
      </c>
      <c r="AM236" s="386" t="str">
        <f>IFERROR(IF(F236="","",IF(AH236="Check Data ⚠","Check Data ⚠",VLOOKUP(AL236, 'G-3 Multipliers'!$P$2:$Q$6,2,FALSE))),"")</f>
        <v/>
      </c>
      <c r="AN236" s="516"/>
      <c r="AO236" s="417" t="str">
        <f>IF(AN236="","",IF(VLOOKUP(AN236,'G-3 Multipliers'!$S$3:$T$10,2,FALSE)=0,"Spatial Data Missing ⚠",VLOOKUP(AN236,'G-3 Multipliers'!$S$3:$T$10,2,FALSE)))</f>
        <v/>
      </c>
      <c r="AP236" s="376" t="str">
        <f t="shared" si="43"/>
        <v/>
      </c>
      <c r="AQ236" s="376" t="str">
        <f t="shared" si="44"/>
        <v/>
      </c>
      <c r="AR236" s="119"/>
      <c r="AS236" s="528"/>
      <c r="AT236" s="120"/>
      <c r="AU236" s="120"/>
    </row>
    <row r="237" spans="1:47">
      <c r="A237" s="30" t="str">
        <f>IF(E237="","",IF(ISNA(VLOOKUP($E237,'D-1 Off-Site Habitat Baseline'!$D$1:$O$258,2,FALSE)),"",(VLOOKUP($E237,'D-1 Off-Site Habitat Baseline'!$D$1:$O$258,2,FALSE))))</f>
        <v/>
      </c>
      <c r="B237" s="30" t="str">
        <f>IF(E237="","",IF(ISNA(VLOOKUP($E237,'D-1 Off-Site Habitat Baseline'!$D$1:$O$258,3,FALSE)),"",(VLOOKUP($E237,'D-1 Off-Site Habitat Baseline'!$D$1:$O$258,3,FALSE))))</f>
        <v/>
      </c>
      <c r="C237" s="30" t="str">
        <f>IFERROR(INDEX('G-8 Condition Look up'!$I$4:$I$135,MATCH(S237,'G-8 Condition Look up'!$A$4:$A$135,0)),"")</f>
        <v/>
      </c>
      <c r="E237" s="407" t="str">
        <f>'D-1 Off-Site Habitat Baseline'!AP236</f>
        <v/>
      </c>
      <c r="F237" s="382" t="str">
        <f>IF(E237="","",IF(ISNA(VLOOKUP($E237,'D-1 Off-Site Habitat Baseline'!$D$1:$O$258,4,FALSE)),"",(VLOOKUP($E237,'D-1 Off-Site Habitat Baseline'!$D$1:$O$258,4,FALSE))))</f>
        <v/>
      </c>
      <c r="G237" s="382" t="str">
        <f>IF(E237="","",IF(ISNA(VLOOKUP($E237,'D-1 Off-Site Habitat Baseline'!$D$1:$O$258,5,FALSE)),"",(VLOOKUP($E237,'D-1 Off-Site Habitat Baseline'!$D$1:$O$258,5,FALSE))))</f>
        <v/>
      </c>
      <c r="H237" s="382" t="str">
        <f>IF(E237="","",IF(ISNA(VLOOKUP($E237,'D-1 Off-Site Habitat Baseline'!$D$1:$O$258,6,FALSE)),"",(VLOOKUP($E237,'D-1 Off-Site Habitat Baseline'!$D$1:$O$258,6,FALSE))))</f>
        <v/>
      </c>
      <c r="I237" s="382" t="str">
        <f>IF(E237="","",IF(ISNA(VLOOKUP($E237,'D-1 Off-Site Habitat Baseline'!$D$1:$O$258,7,FALSE)),"",(VLOOKUP($E237,'D-1 Off-Site Habitat Baseline'!$D$1:$O$258,7,FALSE))))</f>
        <v/>
      </c>
      <c r="J237" s="382" t="str">
        <f>IF(E237="","",IF(ISNA(VLOOKUP($E237,'D-1 Off-Site Habitat Baseline'!$D$1:$O$258,8,FALSE)),"",(VLOOKUP($E237,'D-1 Off-Site Habitat Baseline'!$D$1:$O$258,8,FALSE))))</f>
        <v/>
      </c>
      <c r="K237" s="382" t="str">
        <f>IF(E237="","",IF(ISNA(VLOOKUP($E237,'D-1 Off-Site Habitat Baseline'!$D$1:$O$258,9,FALSE)),"",(VLOOKUP($E237,'D-1 Off-Site Habitat Baseline'!$D$1:$O$258,9,FALSE))))</f>
        <v/>
      </c>
      <c r="L237" s="382" t="str">
        <f>IF(E237="","",IF(ISNA(VLOOKUP($E237,'D-1 Off-Site Habitat Baseline'!$D$1:$O$258,11,FALSE)),"",(VLOOKUP($E237,'D-1 Off-Site Habitat Baseline'!$D$1:$O$258,11,FALSE))))</f>
        <v/>
      </c>
      <c r="M237" s="382" t="str">
        <f>IF(E237="","",IF(ISNA(VLOOKUP($E237,'D-1 Off-Site Habitat Baseline'!$D$1:$O$258,12,FALSE)),"",(VLOOKUP($E237,'D-1 Off-Site Habitat Baseline'!$D$1:$O$258,12,FALSE))))</f>
        <v/>
      </c>
      <c r="N237" s="382" t="str">
        <f>IF(E237="","",IF(ISNA(VLOOKUP($E237,'D-1 Off-Site Habitat Baseline'!$D$1:$AA$258,14,FALSE)),"",(VLOOKUP($E237,'D-1 Off-Site Habitat Baseline'!$D$1:$AA$258,14,FALSE))))</f>
        <v/>
      </c>
      <c r="O237" s="386" t="str">
        <f>IF(E237="","",IF(ISNA(VLOOKUP($E237,'D-1 Off-Site Habitat Baseline'!$D$1:$AA$258,13,FALSE)),"",(VLOOKUP($E237,'D-1 Off-Site Habitat Baseline'!$D$1:$AA$258,13,FALSE))))</f>
        <v/>
      </c>
      <c r="P237" s="184" t="str">
        <f>IFERROR(INDEX('G-1 All Habitats'!$AG$3:$AG$17,MATCH(Q237,'G-1 All Habitats'!$AF$3:$AF$17,0)),"")</f>
        <v/>
      </c>
      <c r="Q237" s="185" t="str">
        <f t="shared" si="36"/>
        <v/>
      </c>
      <c r="R237" s="186" t="str">
        <f t="shared" si="36"/>
        <v/>
      </c>
      <c r="S237" s="187" t="str">
        <f>IFERROR(INDEX('G-1 All Habitats'!$B$3:$B$134,MATCH(R237,'G-1 All Habitats'!$A$3:$A$134,0)),"")</f>
        <v/>
      </c>
      <c r="T237" s="370" t="str">
        <f t="shared" si="37"/>
        <v/>
      </c>
      <c r="U237" s="386" t="str">
        <f t="shared" si="38"/>
        <v/>
      </c>
      <c r="V237" s="385" t="str">
        <f t="shared" si="34"/>
        <v/>
      </c>
      <c r="W237" s="382" t="str">
        <f>IF(S237="","",VLOOKUP(S237,'G-1 All Habitats'!$B$2:$M$134,10,FALSE))</f>
        <v/>
      </c>
      <c r="X237" s="382" t="str">
        <f>IFERROR(VLOOKUP(W237,'G-1 All Habitats'!$V$3:$W$7,2,FALSE),"")</f>
        <v/>
      </c>
      <c r="Y237" s="165"/>
      <c r="Z237" s="386" t="str">
        <f>IFERROR(INDEX('G-8 Condition Look up'!$A$3:$H$135,MATCH(S237,'G-8 Condition Look up'!$A$3:$A$135,0),MATCH(Y237,'G-8 Condition Look up'!$A$3:$H$3,0)),"")</f>
        <v/>
      </c>
      <c r="AA237" s="114"/>
      <c r="AB237" s="401" t="str">
        <f>IF(AA237="","",IF(VLOOKUP(AA237,'G-3 Multipliers'!$L$3:$N$6,2,FALSE)=0,"Spatial Data Missing ⚠",VLOOKUP(AA237,'G-3 Multipliers'!$L$3:$N$6,2,FALSE)))</f>
        <v/>
      </c>
      <c r="AC237" s="386" t="str">
        <f>IF(AA237="","",IF(VLOOKUP(AA237,'G-3 Multipliers'!$L$3:$N$6,3,FALSE)=0,"Spatial Data Missing ⚠",VLOOKUP(AA237,'G-3 Multipliers'!$L$3:$N$6,3,FALSE)))</f>
        <v/>
      </c>
      <c r="AD237" s="398" t="str">
        <f t="shared" si="35"/>
        <v/>
      </c>
      <c r="AE237" s="165"/>
      <c r="AF237" s="165"/>
      <c r="AG237" s="382" t="str">
        <f t="shared" si="39"/>
        <v/>
      </c>
      <c r="AH237" s="404" t="str">
        <f t="shared" si="40"/>
        <v/>
      </c>
      <c r="AI237" s="387" t="str">
        <f>IF(AH237="Check Data ⚠","Check Data ⚠",IFERROR(VLOOKUP(AH237,'G-4 Temporal multipliers'!$A$4:$C$36,3,FALSE),""))</f>
        <v/>
      </c>
      <c r="AJ237" s="398" t="str">
        <f>IF(S237="","",VLOOKUP(S237,'G-3 Multipliers'!$A$2:$E$134,4,FALSE))</f>
        <v/>
      </c>
      <c r="AK237" s="382" t="str">
        <f t="shared" si="41"/>
        <v/>
      </c>
      <c r="AL237" s="382" t="str">
        <f t="shared" si="42"/>
        <v/>
      </c>
      <c r="AM237" s="386" t="str">
        <f>IFERROR(IF(F237="","",IF(AH237="Check Data ⚠","Check Data ⚠",VLOOKUP(AL237, 'G-3 Multipliers'!$P$2:$Q$6,2,FALSE))),"")</f>
        <v/>
      </c>
      <c r="AN237" s="516"/>
      <c r="AO237" s="417" t="str">
        <f>IF(AN237="","",IF(VLOOKUP(AN237,'G-3 Multipliers'!$S$3:$T$10,2,FALSE)=0,"Spatial Data Missing ⚠",VLOOKUP(AN237,'G-3 Multipliers'!$S$3:$T$10,2,FALSE)))</f>
        <v/>
      </c>
      <c r="AP237" s="376" t="str">
        <f t="shared" si="43"/>
        <v/>
      </c>
      <c r="AQ237" s="376" t="str">
        <f t="shared" si="44"/>
        <v/>
      </c>
      <c r="AR237" s="119"/>
      <c r="AS237" s="528"/>
      <c r="AT237" s="120"/>
      <c r="AU237" s="120"/>
    </row>
    <row r="238" spans="1:47">
      <c r="A238" s="30" t="str">
        <f>IF(E238="","",IF(ISNA(VLOOKUP($E238,'D-1 Off-Site Habitat Baseline'!$D$1:$O$258,2,FALSE)),"",(VLOOKUP($E238,'D-1 Off-Site Habitat Baseline'!$D$1:$O$258,2,FALSE))))</f>
        <v/>
      </c>
      <c r="B238" s="30" t="str">
        <f>IF(E238="","",IF(ISNA(VLOOKUP($E238,'D-1 Off-Site Habitat Baseline'!$D$1:$O$258,3,FALSE)),"",(VLOOKUP($E238,'D-1 Off-Site Habitat Baseline'!$D$1:$O$258,3,FALSE))))</f>
        <v/>
      </c>
      <c r="C238" s="30" t="str">
        <f>IFERROR(INDEX('G-8 Condition Look up'!$I$4:$I$135,MATCH(S238,'G-8 Condition Look up'!$A$4:$A$135,0)),"")</f>
        <v/>
      </c>
      <c r="E238" s="407" t="str">
        <f>'D-1 Off-Site Habitat Baseline'!AP237</f>
        <v/>
      </c>
      <c r="F238" s="382" t="str">
        <f>IF(E238="","",IF(ISNA(VLOOKUP($E238,'D-1 Off-Site Habitat Baseline'!$D$1:$O$258,4,FALSE)),"",(VLOOKUP($E238,'D-1 Off-Site Habitat Baseline'!$D$1:$O$258,4,FALSE))))</f>
        <v/>
      </c>
      <c r="G238" s="382" t="str">
        <f>IF(E238="","",IF(ISNA(VLOOKUP($E238,'D-1 Off-Site Habitat Baseline'!$D$1:$O$258,5,FALSE)),"",(VLOOKUP($E238,'D-1 Off-Site Habitat Baseline'!$D$1:$O$258,5,FALSE))))</f>
        <v/>
      </c>
      <c r="H238" s="382" t="str">
        <f>IF(E238="","",IF(ISNA(VLOOKUP($E238,'D-1 Off-Site Habitat Baseline'!$D$1:$O$258,6,FALSE)),"",(VLOOKUP($E238,'D-1 Off-Site Habitat Baseline'!$D$1:$O$258,6,FALSE))))</f>
        <v/>
      </c>
      <c r="I238" s="382" t="str">
        <f>IF(E238="","",IF(ISNA(VLOOKUP($E238,'D-1 Off-Site Habitat Baseline'!$D$1:$O$258,7,FALSE)),"",(VLOOKUP($E238,'D-1 Off-Site Habitat Baseline'!$D$1:$O$258,7,FALSE))))</f>
        <v/>
      </c>
      <c r="J238" s="382" t="str">
        <f>IF(E238="","",IF(ISNA(VLOOKUP($E238,'D-1 Off-Site Habitat Baseline'!$D$1:$O$258,8,FALSE)),"",(VLOOKUP($E238,'D-1 Off-Site Habitat Baseline'!$D$1:$O$258,8,FALSE))))</f>
        <v/>
      </c>
      <c r="K238" s="382" t="str">
        <f>IF(E238="","",IF(ISNA(VLOOKUP($E238,'D-1 Off-Site Habitat Baseline'!$D$1:$O$258,9,FALSE)),"",(VLOOKUP($E238,'D-1 Off-Site Habitat Baseline'!$D$1:$O$258,9,FALSE))))</f>
        <v/>
      </c>
      <c r="L238" s="382" t="str">
        <f>IF(E238="","",IF(ISNA(VLOOKUP($E238,'D-1 Off-Site Habitat Baseline'!$D$1:$O$258,11,FALSE)),"",(VLOOKUP($E238,'D-1 Off-Site Habitat Baseline'!$D$1:$O$258,11,FALSE))))</f>
        <v/>
      </c>
      <c r="M238" s="382" t="str">
        <f>IF(E238="","",IF(ISNA(VLOOKUP($E238,'D-1 Off-Site Habitat Baseline'!$D$1:$O$258,12,FALSE)),"",(VLOOKUP($E238,'D-1 Off-Site Habitat Baseline'!$D$1:$O$258,12,FALSE))))</f>
        <v/>
      </c>
      <c r="N238" s="382" t="str">
        <f>IF(E238="","",IF(ISNA(VLOOKUP($E238,'D-1 Off-Site Habitat Baseline'!$D$1:$AA$258,14,FALSE)),"",(VLOOKUP($E238,'D-1 Off-Site Habitat Baseline'!$D$1:$AA$258,14,FALSE))))</f>
        <v/>
      </c>
      <c r="O238" s="386" t="str">
        <f>IF(E238="","",IF(ISNA(VLOOKUP($E238,'D-1 Off-Site Habitat Baseline'!$D$1:$AA$258,13,FALSE)),"",(VLOOKUP($E238,'D-1 Off-Site Habitat Baseline'!$D$1:$AA$258,13,FALSE))))</f>
        <v/>
      </c>
      <c r="P238" s="184" t="str">
        <f>IFERROR(INDEX('G-1 All Habitats'!$AG$3:$AG$17,MATCH(Q238,'G-1 All Habitats'!$AF$3:$AF$17,0)),"")</f>
        <v/>
      </c>
      <c r="Q238" s="185" t="str">
        <f t="shared" si="36"/>
        <v/>
      </c>
      <c r="R238" s="186" t="str">
        <f t="shared" si="36"/>
        <v/>
      </c>
      <c r="S238" s="187" t="str">
        <f>IFERROR(INDEX('G-1 All Habitats'!$B$3:$B$134,MATCH(R238,'G-1 All Habitats'!$A$3:$A$134,0)),"")</f>
        <v/>
      </c>
      <c r="T238" s="370" t="str">
        <f t="shared" si="37"/>
        <v/>
      </c>
      <c r="U238" s="386" t="str">
        <f t="shared" si="38"/>
        <v/>
      </c>
      <c r="V238" s="385" t="str">
        <f t="shared" si="34"/>
        <v/>
      </c>
      <c r="W238" s="382" t="str">
        <f>IF(S238="","",VLOOKUP(S238,'G-1 All Habitats'!$B$2:$M$134,10,FALSE))</f>
        <v/>
      </c>
      <c r="X238" s="382" t="str">
        <f>IFERROR(VLOOKUP(W238,'G-1 All Habitats'!$V$3:$W$7,2,FALSE),"")</f>
        <v/>
      </c>
      <c r="Y238" s="165"/>
      <c r="Z238" s="386" t="str">
        <f>IFERROR(INDEX('G-8 Condition Look up'!$A$3:$H$135,MATCH(S238,'G-8 Condition Look up'!$A$3:$A$135,0),MATCH(Y238,'G-8 Condition Look up'!$A$3:$H$3,0)),"")</f>
        <v/>
      </c>
      <c r="AA238" s="114"/>
      <c r="AB238" s="401" t="str">
        <f>IF(AA238="","",IF(VLOOKUP(AA238,'G-3 Multipliers'!$L$3:$N$6,2,FALSE)=0,"Spatial Data Missing ⚠",VLOOKUP(AA238,'G-3 Multipliers'!$L$3:$N$6,2,FALSE)))</f>
        <v/>
      </c>
      <c r="AC238" s="386" t="str">
        <f>IF(AA238="","",IF(VLOOKUP(AA238,'G-3 Multipliers'!$L$3:$N$6,3,FALSE)=0,"Spatial Data Missing ⚠",VLOOKUP(AA238,'G-3 Multipliers'!$L$3:$N$6,3,FALSE)))</f>
        <v/>
      </c>
      <c r="AD238" s="398" t="str">
        <f t="shared" si="35"/>
        <v/>
      </c>
      <c r="AE238" s="165"/>
      <c r="AF238" s="165"/>
      <c r="AG238" s="382" t="str">
        <f t="shared" si="39"/>
        <v/>
      </c>
      <c r="AH238" s="404" t="str">
        <f t="shared" si="40"/>
        <v/>
      </c>
      <c r="AI238" s="387" t="str">
        <f>IF(AH238="Check Data ⚠","Check Data ⚠",IFERROR(VLOOKUP(AH238,'G-4 Temporal multipliers'!$A$4:$C$36,3,FALSE),""))</f>
        <v/>
      </c>
      <c r="AJ238" s="398" t="str">
        <f>IF(S238="","",VLOOKUP(S238,'G-3 Multipliers'!$A$2:$E$134,4,FALSE))</f>
        <v/>
      </c>
      <c r="AK238" s="382" t="str">
        <f t="shared" si="41"/>
        <v/>
      </c>
      <c r="AL238" s="382" t="str">
        <f t="shared" si="42"/>
        <v/>
      </c>
      <c r="AM238" s="386" t="str">
        <f>IFERROR(IF(F238="","",IF(AH238="Check Data ⚠","Check Data ⚠",VLOOKUP(AL238, 'G-3 Multipliers'!$P$2:$Q$6,2,FALSE))),"")</f>
        <v/>
      </c>
      <c r="AN238" s="516"/>
      <c r="AO238" s="417" t="str">
        <f>IF(AN238="","",IF(VLOOKUP(AN238,'G-3 Multipliers'!$S$3:$T$10,2,FALSE)=0,"Spatial Data Missing ⚠",VLOOKUP(AN238,'G-3 Multipliers'!$S$3:$T$10,2,FALSE)))</f>
        <v/>
      </c>
      <c r="AP238" s="376" t="str">
        <f t="shared" si="43"/>
        <v/>
      </c>
      <c r="AQ238" s="376" t="str">
        <f t="shared" si="44"/>
        <v/>
      </c>
      <c r="AR238" s="119"/>
      <c r="AS238" s="528"/>
      <c r="AT238" s="120"/>
      <c r="AU238" s="120"/>
    </row>
    <row r="239" spans="1:47">
      <c r="A239" s="30" t="str">
        <f>IF(E239="","",IF(ISNA(VLOOKUP($E239,'D-1 Off-Site Habitat Baseline'!$D$1:$O$258,2,FALSE)),"",(VLOOKUP($E239,'D-1 Off-Site Habitat Baseline'!$D$1:$O$258,2,FALSE))))</f>
        <v/>
      </c>
      <c r="B239" s="30" t="str">
        <f>IF(E239="","",IF(ISNA(VLOOKUP($E239,'D-1 Off-Site Habitat Baseline'!$D$1:$O$258,3,FALSE)),"",(VLOOKUP($E239,'D-1 Off-Site Habitat Baseline'!$D$1:$O$258,3,FALSE))))</f>
        <v/>
      </c>
      <c r="C239" s="30" t="str">
        <f>IFERROR(INDEX('G-8 Condition Look up'!$I$4:$I$135,MATCH(S239,'G-8 Condition Look up'!$A$4:$A$135,0)),"")</f>
        <v/>
      </c>
      <c r="E239" s="407" t="str">
        <f>'D-1 Off-Site Habitat Baseline'!AP238</f>
        <v/>
      </c>
      <c r="F239" s="382" t="str">
        <f>IF(E239="","",IF(ISNA(VLOOKUP($E239,'D-1 Off-Site Habitat Baseline'!$D$1:$O$258,4,FALSE)),"",(VLOOKUP($E239,'D-1 Off-Site Habitat Baseline'!$D$1:$O$258,4,FALSE))))</f>
        <v/>
      </c>
      <c r="G239" s="382" t="str">
        <f>IF(E239="","",IF(ISNA(VLOOKUP($E239,'D-1 Off-Site Habitat Baseline'!$D$1:$O$258,5,FALSE)),"",(VLOOKUP($E239,'D-1 Off-Site Habitat Baseline'!$D$1:$O$258,5,FALSE))))</f>
        <v/>
      </c>
      <c r="H239" s="382" t="str">
        <f>IF(E239="","",IF(ISNA(VLOOKUP($E239,'D-1 Off-Site Habitat Baseline'!$D$1:$O$258,6,FALSE)),"",(VLOOKUP($E239,'D-1 Off-Site Habitat Baseline'!$D$1:$O$258,6,FALSE))))</f>
        <v/>
      </c>
      <c r="I239" s="382" t="str">
        <f>IF(E239="","",IF(ISNA(VLOOKUP($E239,'D-1 Off-Site Habitat Baseline'!$D$1:$O$258,7,FALSE)),"",(VLOOKUP($E239,'D-1 Off-Site Habitat Baseline'!$D$1:$O$258,7,FALSE))))</f>
        <v/>
      </c>
      <c r="J239" s="382" t="str">
        <f>IF(E239="","",IF(ISNA(VLOOKUP($E239,'D-1 Off-Site Habitat Baseline'!$D$1:$O$258,8,FALSE)),"",(VLOOKUP($E239,'D-1 Off-Site Habitat Baseline'!$D$1:$O$258,8,FALSE))))</f>
        <v/>
      </c>
      <c r="K239" s="382" t="str">
        <f>IF(E239="","",IF(ISNA(VLOOKUP($E239,'D-1 Off-Site Habitat Baseline'!$D$1:$O$258,9,FALSE)),"",(VLOOKUP($E239,'D-1 Off-Site Habitat Baseline'!$D$1:$O$258,9,FALSE))))</f>
        <v/>
      </c>
      <c r="L239" s="382" t="str">
        <f>IF(E239="","",IF(ISNA(VLOOKUP($E239,'D-1 Off-Site Habitat Baseline'!$D$1:$O$258,11,FALSE)),"",(VLOOKUP($E239,'D-1 Off-Site Habitat Baseline'!$D$1:$O$258,11,FALSE))))</f>
        <v/>
      </c>
      <c r="M239" s="382" t="str">
        <f>IF(E239="","",IF(ISNA(VLOOKUP($E239,'D-1 Off-Site Habitat Baseline'!$D$1:$O$258,12,FALSE)),"",(VLOOKUP($E239,'D-1 Off-Site Habitat Baseline'!$D$1:$O$258,12,FALSE))))</f>
        <v/>
      </c>
      <c r="N239" s="382" t="str">
        <f>IF(E239="","",IF(ISNA(VLOOKUP($E239,'D-1 Off-Site Habitat Baseline'!$D$1:$AA$258,14,FALSE)),"",(VLOOKUP($E239,'D-1 Off-Site Habitat Baseline'!$D$1:$AA$258,14,FALSE))))</f>
        <v/>
      </c>
      <c r="O239" s="386" t="str">
        <f>IF(E239="","",IF(ISNA(VLOOKUP($E239,'D-1 Off-Site Habitat Baseline'!$D$1:$AA$258,13,FALSE)),"",(VLOOKUP($E239,'D-1 Off-Site Habitat Baseline'!$D$1:$AA$258,13,FALSE))))</f>
        <v/>
      </c>
      <c r="P239" s="184" t="str">
        <f>IFERROR(INDEX('G-1 All Habitats'!$AG$3:$AG$17,MATCH(Q239,'G-1 All Habitats'!$AF$3:$AF$17,0)),"")</f>
        <v/>
      </c>
      <c r="Q239" s="185" t="str">
        <f t="shared" si="36"/>
        <v/>
      </c>
      <c r="R239" s="186" t="str">
        <f t="shared" si="36"/>
        <v/>
      </c>
      <c r="S239" s="187" t="str">
        <f>IFERROR(INDEX('G-1 All Habitats'!$B$3:$B$134,MATCH(R239,'G-1 All Habitats'!$A$3:$A$134,0)),"")</f>
        <v/>
      </c>
      <c r="T239" s="370" t="str">
        <f t="shared" si="37"/>
        <v/>
      </c>
      <c r="U239" s="386" t="str">
        <f t="shared" si="38"/>
        <v/>
      </c>
      <c r="V239" s="385" t="str">
        <f t="shared" si="34"/>
        <v/>
      </c>
      <c r="W239" s="382" t="str">
        <f>IF(S239="","",VLOOKUP(S239,'G-1 All Habitats'!$B$2:$M$134,10,FALSE))</f>
        <v/>
      </c>
      <c r="X239" s="382" t="str">
        <f>IFERROR(VLOOKUP(W239,'G-1 All Habitats'!$V$3:$W$7,2,FALSE),"")</f>
        <v/>
      </c>
      <c r="Y239" s="165"/>
      <c r="Z239" s="386" t="str">
        <f>IFERROR(INDEX('G-8 Condition Look up'!$A$3:$H$135,MATCH(S239,'G-8 Condition Look up'!$A$3:$A$135,0),MATCH(Y239,'G-8 Condition Look up'!$A$3:$H$3,0)),"")</f>
        <v/>
      </c>
      <c r="AA239" s="114"/>
      <c r="AB239" s="401" t="str">
        <f>IF(AA239="","",IF(VLOOKUP(AA239,'G-3 Multipliers'!$L$3:$N$6,2,FALSE)=0,"Spatial Data Missing ⚠",VLOOKUP(AA239,'G-3 Multipliers'!$L$3:$N$6,2,FALSE)))</f>
        <v/>
      </c>
      <c r="AC239" s="386" t="str">
        <f>IF(AA239="","",IF(VLOOKUP(AA239,'G-3 Multipliers'!$L$3:$N$6,3,FALSE)=0,"Spatial Data Missing ⚠",VLOOKUP(AA239,'G-3 Multipliers'!$L$3:$N$6,3,FALSE)))</f>
        <v/>
      </c>
      <c r="AD239" s="398" t="str">
        <f t="shared" si="35"/>
        <v/>
      </c>
      <c r="AE239" s="165"/>
      <c r="AF239" s="165"/>
      <c r="AG239" s="382" t="str">
        <f t="shared" si="39"/>
        <v/>
      </c>
      <c r="AH239" s="404" t="str">
        <f t="shared" si="40"/>
        <v/>
      </c>
      <c r="AI239" s="387" t="str">
        <f>IF(AH239="Check Data ⚠","Check Data ⚠",IFERROR(VLOOKUP(AH239,'G-4 Temporal multipliers'!$A$4:$C$36,3,FALSE),""))</f>
        <v/>
      </c>
      <c r="AJ239" s="398" t="str">
        <f>IF(S239="","",VLOOKUP(S239,'G-3 Multipliers'!$A$2:$E$134,4,FALSE))</f>
        <v/>
      </c>
      <c r="AK239" s="382" t="str">
        <f t="shared" si="41"/>
        <v/>
      </c>
      <c r="AL239" s="382" t="str">
        <f t="shared" si="42"/>
        <v/>
      </c>
      <c r="AM239" s="386" t="str">
        <f>IFERROR(IF(F239="","",IF(AH239="Check Data ⚠","Check Data ⚠",VLOOKUP(AL239, 'G-3 Multipliers'!$P$2:$Q$6,2,FALSE))),"")</f>
        <v/>
      </c>
      <c r="AN239" s="516"/>
      <c r="AO239" s="417" t="str">
        <f>IF(AN239="","",IF(VLOOKUP(AN239,'G-3 Multipliers'!$S$3:$T$10,2,FALSE)=0,"Spatial Data Missing ⚠",VLOOKUP(AN239,'G-3 Multipliers'!$S$3:$T$10,2,FALSE)))</f>
        <v/>
      </c>
      <c r="AP239" s="376" t="str">
        <f t="shared" si="43"/>
        <v/>
      </c>
      <c r="AQ239" s="376" t="str">
        <f t="shared" si="44"/>
        <v/>
      </c>
      <c r="AR239" s="119"/>
      <c r="AS239" s="528"/>
      <c r="AT239" s="120"/>
      <c r="AU239" s="120"/>
    </row>
    <row r="240" spans="1:47">
      <c r="A240" s="30" t="str">
        <f>IF(E240="","",IF(ISNA(VLOOKUP($E240,'D-1 Off-Site Habitat Baseline'!$D$1:$O$258,2,FALSE)),"",(VLOOKUP($E240,'D-1 Off-Site Habitat Baseline'!$D$1:$O$258,2,FALSE))))</f>
        <v/>
      </c>
      <c r="B240" s="30" t="str">
        <f>IF(E240="","",IF(ISNA(VLOOKUP($E240,'D-1 Off-Site Habitat Baseline'!$D$1:$O$258,3,FALSE)),"",(VLOOKUP($E240,'D-1 Off-Site Habitat Baseline'!$D$1:$O$258,3,FALSE))))</f>
        <v/>
      </c>
      <c r="C240" s="30" t="str">
        <f>IFERROR(INDEX('G-8 Condition Look up'!$I$4:$I$135,MATCH(S240,'G-8 Condition Look up'!$A$4:$A$135,0)),"")</f>
        <v/>
      </c>
      <c r="E240" s="407" t="str">
        <f>'D-1 Off-Site Habitat Baseline'!AP239</f>
        <v/>
      </c>
      <c r="F240" s="382" t="str">
        <f>IF(E240="","",IF(ISNA(VLOOKUP($E240,'D-1 Off-Site Habitat Baseline'!$D$1:$O$258,4,FALSE)),"",(VLOOKUP($E240,'D-1 Off-Site Habitat Baseline'!$D$1:$O$258,4,FALSE))))</f>
        <v/>
      </c>
      <c r="G240" s="382" t="str">
        <f>IF(E240="","",IF(ISNA(VLOOKUP($E240,'D-1 Off-Site Habitat Baseline'!$D$1:$O$258,5,FALSE)),"",(VLOOKUP($E240,'D-1 Off-Site Habitat Baseline'!$D$1:$O$258,5,FALSE))))</f>
        <v/>
      </c>
      <c r="H240" s="382" t="str">
        <f>IF(E240="","",IF(ISNA(VLOOKUP($E240,'D-1 Off-Site Habitat Baseline'!$D$1:$O$258,6,FALSE)),"",(VLOOKUP($E240,'D-1 Off-Site Habitat Baseline'!$D$1:$O$258,6,FALSE))))</f>
        <v/>
      </c>
      <c r="I240" s="382" t="str">
        <f>IF(E240="","",IF(ISNA(VLOOKUP($E240,'D-1 Off-Site Habitat Baseline'!$D$1:$O$258,7,FALSE)),"",(VLOOKUP($E240,'D-1 Off-Site Habitat Baseline'!$D$1:$O$258,7,FALSE))))</f>
        <v/>
      </c>
      <c r="J240" s="382" t="str">
        <f>IF(E240="","",IF(ISNA(VLOOKUP($E240,'D-1 Off-Site Habitat Baseline'!$D$1:$O$258,8,FALSE)),"",(VLOOKUP($E240,'D-1 Off-Site Habitat Baseline'!$D$1:$O$258,8,FALSE))))</f>
        <v/>
      </c>
      <c r="K240" s="382" t="str">
        <f>IF(E240="","",IF(ISNA(VLOOKUP($E240,'D-1 Off-Site Habitat Baseline'!$D$1:$O$258,9,FALSE)),"",(VLOOKUP($E240,'D-1 Off-Site Habitat Baseline'!$D$1:$O$258,9,FALSE))))</f>
        <v/>
      </c>
      <c r="L240" s="382" t="str">
        <f>IF(E240="","",IF(ISNA(VLOOKUP($E240,'D-1 Off-Site Habitat Baseline'!$D$1:$O$258,11,FALSE)),"",(VLOOKUP($E240,'D-1 Off-Site Habitat Baseline'!$D$1:$O$258,11,FALSE))))</f>
        <v/>
      </c>
      <c r="M240" s="382" t="str">
        <f>IF(E240="","",IF(ISNA(VLOOKUP($E240,'D-1 Off-Site Habitat Baseline'!$D$1:$O$258,12,FALSE)),"",(VLOOKUP($E240,'D-1 Off-Site Habitat Baseline'!$D$1:$O$258,12,FALSE))))</f>
        <v/>
      </c>
      <c r="N240" s="382" t="str">
        <f>IF(E240="","",IF(ISNA(VLOOKUP($E240,'D-1 Off-Site Habitat Baseline'!$D$1:$AA$258,14,FALSE)),"",(VLOOKUP($E240,'D-1 Off-Site Habitat Baseline'!$D$1:$AA$258,14,FALSE))))</f>
        <v/>
      </c>
      <c r="O240" s="386" t="str">
        <f>IF(E240="","",IF(ISNA(VLOOKUP($E240,'D-1 Off-Site Habitat Baseline'!$D$1:$AA$258,13,FALSE)),"",(VLOOKUP($E240,'D-1 Off-Site Habitat Baseline'!$D$1:$AA$258,13,FALSE))))</f>
        <v/>
      </c>
      <c r="P240" s="184" t="str">
        <f>IFERROR(INDEX('G-1 All Habitats'!$AG$3:$AG$17,MATCH(Q240,'G-1 All Habitats'!$AF$3:$AF$17,0)),"")</f>
        <v/>
      </c>
      <c r="Q240" s="185" t="str">
        <f t="shared" si="36"/>
        <v/>
      </c>
      <c r="R240" s="186" t="str">
        <f t="shared" si="36"/>
        <v/>
      </c>
      <c r="S240" s="187" t="str">
        <f>IFERROR(INDEX('G-1 All Habitats'!$B$3:$B$134,MATCH(R240,'G-1 All Habitats'!$A$3:$A$134,0)),"")</f>
        <v/>
      </c>
      <c r="T240" s="370" t="str">
        <f t="shared" si="37"/>
        <v/>
      </c>
      <c r="U240" s="386" t="str">
        <f t="shared" si="38"/>
        <v/>
      </c>
      <c r="V240" s="385" t="str">
        <f t="shared" si="34"/>
        <v/>
      </c>
      <c r="W240" s="382" t="str">
        <f>IF(S240="","",VLOOKUP(S240,'G-1 All Habitats'!$B$2:$M$134,10,FALSE))</f>
        <v/>
      </c>
      <c r="X240" s="382" t="str">
        <f>IFERROR(VLOOKUP(W240,'G-1 All Habitats'!$V$3:$W$7,2,FALSE),"")</f>
        <v/>
      </c>
      <c r="Y240" s="165"/>
      <c r="Z240" s="386" t="str">
        <f>IFERROR(INDEX('G-8 Condition Look up'!$A$3:$H$135,MATCH(S240,'G-8 Condition Look up'!$A$3:$A$135,0),MATCH(Y240,'G-8 Condition Look up'!$A$3:$H$3,0)),"")</f>
        <v/>
      </c>
      <c r="AA240" s="114"/>
      <c r="AB240" s="401" t="str">
        <f>IF(AA240="","",IF(VLOOKUP(AA240,'G-3 Multipliers'!$L$3:$N$6,2,FALSE)=0,"Spatial Data Missing ⚠",VLOOKUP(AA240,'G-3 Multipliers'!$L$3:$N$6,2,FALSE)))</f>
        <v/>
      </c>
      <c r="AC240" s="386" t="str">
        <f>IF(AA240="","",IF(VLOOKUP(AA240,'G-3 Multipliers'!$L$3:$N$6,3,FALSE)=0,"Spatial Data Missing ⚠",VLOOKUP(AA240,'G-3 Multipliers'!$L$3:$N$6,3,FALSE)))</f>
        <v/>
      </c>
      <c r="AD240" s="398" t="str">
        <f t="shared" si="35"/>
        <v/>
      </c>
      <c r="AE240" s="165"/>
      <c r="AF240" s="165"/>
      <c r="AG240" s="382" t="str">
        <f t="shared" si="39"/>
        <v/>
      </c>
      <c r="AH240" s="404" t="str">
        <f t="shared" si="40"/>
        <v/>
      </c>
      <c r="AI240" s="387" t="str">
        <f>IF(AH240="Check Data ⚠","Check Data ⚠",IFERROR(VLOOKUP(AH240,'G-4 Temporal multipliers'!$A$4:$C$36,3,FALSE),""))</f>
        <v/>
      </c>
      <c r="AJ240" s="398" t="str">
        <f>IF(S240="","",VLOOKUP(S240,'G-3 Multipliers'!$A$2:$E$134,4,FALSE))</f>
        <v/>
      </c>
      <c r="AK240" s="382" t="str">
        <f t="shared" si="41"/>
        <v/>
      </c>
      <c r="AL240" s="382" t="str">
        <f t="shared" si="42"/>
        <v/>
      </c>
      <c r="AM240" s="386" t="str">
        <f>IFERROR(IF(F240="","",IF(AH240="Check Data ⚠","Check Data ⚠",VLOOKUP(AL240, 'G-3 Multipliers'!$P$2:$Q$6,2,FALSE))),"")</f>
        <v/>
      </c>
      <c r="AN240" s="516"/>
      <c r="AO240" s="417" t="str">
        <f>IF(AN240="","",IF(VLOOKUP(AN240,'G-3 Multipliers'!$S$3:$T$10,2,FALSE)=0,"Spatial Data Missing ⚠",VLOOKUP(AN240,'G-3 Multipliers'!$S$3:$T$10,2,FALSE)))</f>
        <v/>
      </c>
      <c r="AP240" s="376" t="str">
        <f t="shared" si="43"/>
        <v/>
      </c>
      <c r="AQ240" s="376" t="str">
        <f t="shared" si="44"/>
        <v/>
      </c>
      <c r="AR240" s="119"/>
      <c r="AS240" s="528"/>
      <c r="AT240" s="120"/>
      <c r="AU240" s="120"/>
    </row>
    <row r="241" spans="1:47">
      <c r="A241" s="30" t="str">
        <f>IF(E241="","",IF(ISNA(VLOOKUP($E241,'D-1 Off-Site Habitat Baseline'!$D$1:$O$258,2,FALSE)),"",(VLOOKUP($E241,'D-1 Off-Site Habitat Baseline'!$D$1:$O$258,2,FALSE))))</f>
        <v/>
      </c>
      <c r="B241" s="30" t="str">
        <f>IF(E241="","",IF(ISNA(VLOOKUP($E241,'D-1 Off-Site Habitat Baseline'!$D$1:$O$258,3,FALSE)),"",(VLOOKUP($E241,'D-1 Off-Site Habitat Baseline'!$D$1:$O$258,3,FALSE))))</f>
        <v/>
      </c>
      <c r="C241" s="30" t="str">
        <f>IFERROR(INDEX('G-8 Condition Look up'!$I$4:$I$135,MATCH(S241,'G-8 Condition Look up'!$A$4:$A$135,0)),"")</f>
        <v/>
      </c>
      <c r="E241" s="407" t="str">
        <f>'D-1 Off-Site Habitat Baseline'!AP240</f>
        <v/>
      </c>
      <c r="F241" s="382" t="str">
        <f>IF(E241="","",IF(ISNA(VLOOKUP($E241,'D-1 Off-Site Habitat Baseline'!$D$1:$O$258,4,FALSE)),"",(VLOOKUP($E241,'D-1 Off-Site Habitat Baseline'!$D$1:$O$258,4,FALSE))))</f>
        <v/>
      </c>
      <c r="G241" s="382" t="str">
        <f>IF(E241="","",IF(ISNA(VLOOKUP($E241,'D-1 Off-Site Habitat Baseline'!$D$1:$O$258,5,FALSE)),"",(VLOOKUP($E241,'D-1 Off-Site Habitat Baseline'!$D$1:$O$258,5,FALSE))))</f>
        <v/>
      </c>
      <c r="H241" s="382" t="str">
        <f>IF(E241="","",IF(ISNA(VLOOKUP($E241,'D-1 Off-Site Habitat Baseline'!$D$1:$O$258,6,FALSE)),"",(VLOOKUP($E241,'D-1 Off-Site Habitat Baseline'!$D$1:$O$258,6,FALSE))))</f>
        <v/>
      </c>
      <c r="I241" s="382" t="str">
        <f>IF(E241="","",IF(ISNA(VLOOKUP($E241,'D-1 Off-Site Habitat Baseline'!$D$1:$O$258,7,FALSE)),"",(VLOOKUP($E241,'D-1 Off-Site Habitat Baseline'!$D$1:$O$258,7,FALSE))))</f>
        <v/>
      </c>
      <c r="J241" s="382" t="str">
        <f>IF(E241="","",IF(ISNA(VLOOKUP($E241,'D-1 Off-Site Habitat Baseline'!$D$1:$O$258,8,FALSE)),"",(VLOOKUP($E241,'D-1 Off-Site Habitat Baseline'!$D$1:$O$258,8,FALSE))))</f>
        <v/>
      </c>
      <c r="K241" s="382" t="str">
        <f>IF(E241="","",IF(ISNA(VLOOKUP($E241,'D-1 Off-Site Habitat Baseline'!$D$1:$O$258,9,FALSE)),"",(VLOOKUP($E241,'D-1 Off-Site Habitat Baseline'!$D$1:$O$258,9,FALSE))))</f>
        <v/>
      </c>
      <c r="L241" s="382" t="str">
        <f>IF(E241="","",IF(ISNA(VLOOKUP($E241,'D-1 Off-Site Habitat Baseline'!$D$1:$O$258,11,FALSE)),"",(VLOOKUP($E241,'D-1 Off-Site Habitat Baseline'!$D$1:$O$258,11,FALSE))))</f>
        <v/>
      </c>
      <c r="M241" s="382" t="str">
        <f>IF(E241="","",IF(ISNA(VLOOKUP($E241,'D-1 Off-Site Habitat Baseline'!$D$1:$O$258,12,FALSE)),"",(VLOOKUP($E241,'D-1 Off-Site Habitat Baseline'!$D$1:$O$258,12,FALSE))))</f>
        <v/>
      </c>
      <c r="N241" s="382" t="str">
        <f>IF(E241="","",IF(ISNA(VLOOKUP($E241,'D-1 Off-Site Habitat Baseline'!$D$1:$AA$258,14,FALSE)),"",(VLOOKUP($E241,'D-1 Off-Site Habitat Baseline'!$D$1:$AA$258,14,FALSE))))</f>
        <v/>
      </c>
      <c r="O241" s="386" t="str">
        <f>IF(E241="","",IF(ISNA(VLOOKUP($E241,'D-1 Off-Site Habitat Baseline'!$D$1:$AA$258,13,FALSE)),"",(VLOOKUP($E241,'D-1 Off-Site Habitat Baseline'!$D$1:$AA$258,13,FALSE))))</f>
        <v/>
      </c>
      <c r="P241" s="184" t="str">
        <f>IFERROR(INDEX('G-1 All Habitats'!$AG$3:$AG$17,MATCH(Q241,'G-1 All Habitats'!$AF$3:$AF$17,0)),"")</f>
        <v/>
      </c>
      <c r="Q241" s="185" t="str">
        <f t="shared" si="36"/>
        <v/>
      </c>
      <c r="R241" s="186" t="str">
        <f t="shared" si="36"/>
        <v/>
      </c>
      <c r="S241" s="187" t="str">
        <f>IFERROR(INDEX('G-1 All Habitats'!$B$3:$B$134,MATCH(R241,'G-1 All Habitats'!$A$3:$A$134,0)),"")</f>
        <v/>
      </c>
      <c r="T241" s="370" t="str">
        <f t="shared" si="37"/>
        <v/>
      </c>
      <c r="U241" s="386" t="str">
        <f t="shared" si="38"/>
        <v/>
      </c>
      <c r="V241" s="385" t="str">
        <f t="shared" si="34"/>
        <v/>
      </c>
      <c r="W241" s="382" t="str">
        <f>IF(S241="","",VLOOKUP(S241,'G-1 All Habitats'!$B$2:$M$134,10,FALSE))</f>
        <v/>
      </c>
      <c r="X241" s="382" t="str">
        <f>IFERROR(VLOOKUP(W241,'G-1 All Habitats'!$V$3:$W$7,2,FALSE),"")</f>
        <v/>
      </c>
      <c r="Y241" s="165"/>
      <c r="Z241" s="386" t="str">
        <f>IFERROR(INDEX('G-8 Condition Look up'!$A$3:$H$135,MATCH(S241,'G-8 Condition Look up'!$A$3:$A$135,0),MATCH(Y241,'G-8 Condition Look up'!$A$3:$H$3,0)),"")</f>
        <v/>
      </c>
      <c r="AA241" s="114"/>
      <c r="AB241" s="401" t="str">
        <f>IF(AA241="","",IF(VLOOKUP(AA241,'G-3 Multipliers'!$L$3:$N$6,2,FALSE)=0,"Spatial Data Missing ⚠",VLOOKUP(AA241,'G-3 Multipliers'!$L$3:$N$6,2,FALSE)))</f>
        <v/>
      </c>
      <c r="AC241" s="386" t="str">
        <f>IF(AA241="","",IF(VLOOKUP(AA241,'G-3 Multipliers'!$L$3:$N$6,3,FALSE)=0,"Spatial Data Missing ⚠",VLOOKUP(AA241,'G-3 Multipliers'!$L$3:$N$6,3,FALSE)))</f>
        <v/>
      </c>
      <c r="AD241" s="398" t="str">
        <f t="shared" si="35"/>
        <v/>
      </c>
      <c r="AE241" s="165"/>
      <c r="AF241" s="165"/>
      <c r="AG241" s="382" t="str">
        <f t="shared" si="39"/>
        <v/>
      </c>
      <c r="AH241" s="404" t="str">
        <f t="shared" si="40"/>
        <v/>
      </c>
      <c r="AI241" s="387" t="str">
        <f>IF(AH241="Check Data ⚠","Check Data ⚠",IFERROR(VLOOKUP(AH241,'G-4 Temporal multipliers'!$A$4:$C$36,3,FALSE),""))</f>
        <v/>
      </c>
      <c r="AJ241" s="398" t="str">
        <f>IF(S241="","",VLOOKUP(S241,'G-3 Multipliers'!$A$2:$E$134,4,FALSE))</f>
        <v/>
      </c>
      <c r="AK241" s="382" t="str">
        <f t="shared" si="41"/>
        <v/>
      </c>
      <c r="AL241" s="382" t="str">
        <f t="shared" si="42"/>
        <v/>
      </c>
      <c r="AM241" s="386" t="str">
        <f>IFERROR(IF(F241="","",IF(AH241="Check Data ⚠","Check Data ⚠",VLOOKUP(AL241, 'G-3 Multipliers'!$P$2:$Q$6,2,FALSE))),"")</f>
        <v/>
      </c>
      <c r="AN241" s="516"/>
      <c r="AO241" s="417" t="str">
        <f>IF(AN241="","",IF(VLOOKUP(AN241,'G-3 Multipliers'!$S$3:$T$10,2,FALSE)=0,"Spatial Data Missing ⚠",VLOOKUP(AN241,'G-3 Multipliers'!$S$3:$T$10,2,FALSE)))</f>
        <v/>
      </c>
      <c r="AP241" s="376" t="str">
        <f t="shared" si="43"/>
        <v/>
      </c>
      <c r="AQ241" s="376" t="str">
        <f t="shared" si="44"/>
        <v/>
      </c>
      <c r="AR241" s="119"/>
      <c r="AS241" s="528"/>
      <c r="AT241" s="120"/>
      <c r="AU241" s="120"/>
    </row>
    <row r="242" spans="1:47">
      <c r="A242" s="30" t="str">
        <f>IF(E242="","",IF(ISNA(VLOOKUP($E242,'D-1 Off-Site Habitat Baseline'!$D$1:$O$258,2,FALSE)),"",(VLOOKUP($E242,'D-1 Off-Site Habitat Baseline'!$D$1:$O$258,2,FALSE))))</f>
        <v/>
      </c>
      <c r="B242" s="30" t="str">
        <f>IF(E242="","",IF(ISNA(VLOOKUP($E242,'D-1 Off-Site Habitat Baseline'!$D$1:$O$258,3,FALSE)),"",(VLOOKUP($E242,'D-1 Off-Site Habitat Baseline'!$D$1:$O$258,3,FALSE))))</f>
        <v/>
      </c>
      <c r="C242" s="30" t="str">
        <f>IFERROR(INDEX('G-8 Condition Look up'!$I$4:$I$135,MATCH(S242,'G-8 Condition Look up'!$A$4:$A$135,0)),"")</f>
        <v/>
      </c>
      <c r="E242" s="407" t="str">
        <f>'D-1 Off-Site Habitat Baseline'!AP241</f>
        <v/>
      </c>
      <c r="F242" s="382" t="str">
        <f>IF(E242="","",IF(ISNA(VLOOKUP($E242,'D-1 Off-Site Habitat Baseline'!$D$1:$O$258,4,FALSE)),"",(VLOOKUP($E242,'D-1 Off-Site Habitat Baseline'!$D$1:$O$258,4,FALSE))))</f>
        <v/>
      </c>
      <c r="G242" s="382" t="str">
        <f>IF(E242="","",IF(ISNA(VLOOKUP($E242,'D-1 Off-Site Habitat Baseline'!$D$1:$O$258,5,FALSE)),"",(VLOOKUP($E242,'D-1 Off-Site Habitat Baseline'!$D$1:$O$258,5,FALSE))))</f>
        <v/>
      </c>
      <c r="H242" s="382" t="str">
        <f>IF(E242="","",IF(ISNA(VLOOKUP($E242,'D-1 Off-Site Habitat Baseline'!$D$1:$O$258,6,FALSE)),"",(VLOOKUP($E242,'D-1 Off-Site Habitat Baseline'!$D$1:$O$258,6,FALSE))))</f>
        <v/>
      </c>
      <c r="I242" s="382" t="str">
        <f>IF(E242="","",IF(ISNA(VLOOKUP($E242,'D-1 Off-Site Habitat Baseline'!$D$1:$O$258,7,FALSE)),"",(VLOOKUP($E242,'D-1 Off-Site Habitat Baseline'!$D$1:$O$258,7,FALSE))))</f>
        <v/>
      </c>
      <c r="J242" s="382" t="str">
        <f>IF(E242="","",IF(ISNA(VLOOKUP($E242,'D-1 Off-Site Habitat Baseline'!$D$1:$O$258,8,FALSE)),"",(VLOOKUP($E242,'D-1 Off-Site Habitat Baseline'!$D$1:$O$258,8,FALSE))))</f>
        <v/>
      </c>
      <c r="K242" s="382" t="str">
        <f>IF(E242="","",IF(ISNA(VLOOKUP($E242,'D-1 Off-Site Habitat Baseline'!$D$1:$O$258,9,FALSE)),"",(VLOOKUP($E242,'D-1 Off-Site Habitat Baseline'!$D$1:$O$258,9,FALSE))))</f>
        <v/>
      </c>
      <c r="L242" s="382" t="str">
        <f>IF(E242="","",IF(ISNA(VLOOKUP($E242,'D-1 Off-Site Habitat Baseline'!$D$1:$O$258,11,FALSE)),"",(VLOOKUP($E242,'D-1 Off-Site Habitat Baseline'!$D$1:$O$258,11,FALSE))))</f>
        <v/>
      </c>
      <c r="M242" s="382" t="str">
        <f>IF(E242="","",IF(ISNA(VLOOKUP($E242,'D-1 Off-Site Habitat Baseline'!$D$1:$O$258,12,FALSE)),"",(VLOOKUP($E242,'D-1 Off-Site Habitat Baseline'!$D$1:$O$258,12,FALSE))))</f>
        <v/>
      </c>
      <c r="N242" s="382" t="str">
        <f>IF(E242="","",IF(ISNA(VLOOKUP($E242,'D-1 Off-Site Habitat Baseline'!$D$1:$AA$258,14,FALSE)),"",(VLOOKUP($E242,'D-1 Off-Site Habitat Baseline'!$D$1:$AA$258,14,FALSE))))</f>
        <v/>
      </c>
      <c r="O242" s="386" t="str">
        <f>IF(E242="","",IF(ISNA(VLOOKUP($E242,'D-1 Off-Site Habitat Baseline'!$D$1:$AA$258,13,FALSE)),"",(VLOOKUP($E242,'D-1 Off-Site Habitat Baseline'!$D$1:$AA$258,13,FALSE))))</f>
        <v/>
      </c>
      <c r="P242" s="184" t="str">
        <f>IFERROR(INDEX('G-1 All Habitats'!$AG$3:$AG$17,MATCH(Q242,'G-1 All Habitats'!$AF$3:$AF$17,0)),"")</f>
        <v/>
      </c>
      <c r="Q242" s="185" t="str">
        <f t="shared" si="36"/>
        <v/>
      </c>
      <c r="R242" s="186" t="str">
        <f t="shared" si="36"/>
        <v/>
      </c>
      <c r="S242" s="187" t="str">
        <f>IFERROR(INDEX('G-1 All Habitats'!$B$3:$B$134,MATCH(R242,'G-1 All Habitats'!$A$3:$A$134,0)),"")</f>
        <v/>
      </c>
      <c r="T242" s="370" t="str">
        <f t="shared" si="37"/>
        <v/>
      </c>
      <c r="U242" s="386" t="str">
        <f t="shared" si="38"/>
        <v/>
      </c>
      <c r="V242" s="385" t="str">
        <f t="shared" si="34"/>
        <v/>
      </c>
      <c r="W242" s="382" t="str">
        <f>IF(S242="","",VLOOKUP(S242,'G-1 All Habitats'!$B$2:$M$134,10,FALSE))</f>
        <v/>
      </c>
      <c r="X242" s="382" t="str">
        <f>IFERROR(VLOOKUP(W242,'G-1 All Habitats'!$V$3:$W$7,2,FALSE),"")</f>
        <v/>
      </c>
      <c r="Y242" s="165"/>
      <c r="Z242" s="386" t="str">
        <f>IFERROR(INDEX('G-8 Condition Look up'!$A$3:$H$135,MATCH(S242,'G-8 Condition Look up'!$A$3:$A$135,0),MATCH(Y242,'G-8 Condition Look up'!$A$3:$H$3,0)),"")</f>
        <v/>
      </c>
      <c r="AA242" s="114"/>
      <c r="AB242" s="401" t="str">
        <f>IF(AA242="","",IF(VLOOKUP(AA242,'G-3 Multipliers'!$L$3:$N$6,2,FALSE)=0,"Spatial Data Missing ⚠",VLOOKUP(AA242,'G-3 Multipliers'!$L$3:$N$6,2,FALSE)))</f>
        <v/>
      </c>
      <c r="AC242" s="386" t="str">
        <f>IF(AA242="","",IF(VLOOKUP(AA242,'G-3 Multipliers'!$L$3:$N$6,3,FALSE)=0,"Spatial Data Missing ⚠",VLOOKUP(AA242,'G-3 Multipliers'!$L$3:$N$6,3,FALSE)))</f>
        <v/>
      </c>
      <c r="AD242" s="398" t="str">
        <f t="shared" si="35"/>
        <v/>
      </c>
      <c r="AE242" s="165"/>
      <c r="AF242" s="165"/>
      <c r="AG242" s="382" t="str">
        <f t="shared" si="39"/>
        <v/>
      </c>
      <c r="AH242" s="404" t="str">
        <f t="shared" si="40"/>
        <v/>
      </c>
      <c r="AI242" s="387" t="str">
        <f>IF(AH242="Check Data ⚠","Check Data ⚠",IFERROR(VLOOKUP(AH242,'G-4 Temporal multipliers'!$A$4:$C$36,3,FALSE),""))</f>
        <v/>
      </c>
      <c r="AJ242" s="398" t="str">
        <f>IF(S242="","",VLOOKUP(S242,'G-3 Multipliers'!$A$2:$E$134,4,FALSE))</f>
        <v/>
      </c>
      <c r="AK242" s="382" t="str">
        <f t="shared" si="41"/>
        <v/>
      </c>
      <c r="AL242" s="382" t="str">
        <f t="shared" si="42"/>
        <v/>
      </c>
      <c r="AM242" s="386" t="str">
        <f>IFERROR(IF(F242="","",IF(AH242="Check Data ⚠","Check Data ⚠",VLOOKUP(AL242, 'G-3 Multipliers'!$P$2:$Q$6,2,FALSE))),"")</f>
        <v/>
      </c>
      <c r="AN242" s="516"/>
      <c r="AO242" s="417" t="str">
        <f>IF(AN242="","",IF(VLOOKUP(AN242,'G-3 Multipliers'!$S$3:$T$10,2,FALSE)=0,"Spatial Data Missing ⚠",VLOOKUP(AN242,'G-3 Multipliers'!$S$3:$T$10,2,FALSE)))</f>
        <v/>
      </c>
      <c r="AP242" s="376" t="str">
        <f t="shared" si="43"/>
        <v/>
      </c>
      <c r="AQ242" s="376" t="str">
        <f t="shared" si="44"/>
        <v/>
      </c>
      <c r="AR242" s="119"/>
      <c r="AS242" s="528"/>
      <c r="AT242" s="120"/>
      <c r="AU242" s="120"/>
    </row>
    <row r="243" spans="1:47">
      <c r="A243" s="30" t="str">
        <f>IF(E243="","",IF(ISNA(VLOOKUP($E243,'D-1 Off-Site Habitat Baseline'!$D$1:$O$258,2,FALSE)),"",(VLOOKUP($E243,'D-1 Off-Site Habitat Baseline'!$D$1:$O$258,2,FALSE))))</f>
        <v/>
      </c>
      <c r="B243" s="30" t="str">
        <f>IF(E243="","",IF(ISNA(VLOOKUP($E243,'D-1 Off-Site Habitat Baseline'!$D$1:$O$258,3,FALSE)),"",(VLOOKUP($E243,'D-1 Off-Site Habitat Baseline'!$D$1:$O$258,3,FALSE))))</f>
        <v/>
      </c>
      <c r="C243" s="30" t="str">
        <f>IFERROR(INDEX('G-8 Condition Look up'!$I$4:$I$135,MATCH(S243,'G-8 Condition Look up'!$A$4:$A$135,0)),"")</f>
        <v/>
      </c>
      <c r="E243" s="407" t="str">
        <f>'D-1 Off-Site Habitat Baseline'!AP242</f>
        <v/>
      </c>
      <c r="F243" s="382" t="str">
        <f>IF(E243="","",IF(ISNA(VLOOKUP($E243,'D-1 Off-Site Habitat Baseline'!$D$1:$O$258,4,FALSE)),"",(VLOOKUP($E243,'D-1 Off-Site Habitat Baseline'!$D$1:$O$258,4,FALSE))))</f>
        <v/>
      </c>
      <c r="G243" s="382" t="str">
        <f>IF(E243="","",IF(ISNA(VLOOKUP($E243,'D-1 Off-Site Habitat Baseline'!$D$1:$O$258,5,FALSE)),"",(VLOOKUP($E243,'D-1 Off-Site Habitat Baseline'!$D$1:$O$258,5,FALSE))))</f>
        <v/>
      </c>
      <c r="H243" s="382" t="str">
        <f>IF(E243="","",IF(ISNA(VLOOKUP($E243,'D-1 Off-Site Habitat Baseline'!$D$1:$O$258,6,FALSE)),"",(VLOOKUP($E243,'D-1 Off-Site Habitat Baseline'!$D$1:$O$258,6,FALSE))))</f>
        <v/>
      </c>
      <c r="I243" s="382" t="str">
        <f>IF(E243="","",IF(ISNA(VLOOKUP($E243,'D-1 Off-Site Habitat Baseline'!$D$1:$O$258,7,FALSE)),"",(VLOOKUP($E243,'D-1 Off-Site Habitat Baseline'!$D$1:$O$258,7,FALSE))))</f>
        <v/>
      </c>
      <c r="J243" s="382" t="str">
        <f>IF(E243="","",IF(ISNA(VLOOKUP($E243,'D-1 Off-Site Habitat Baseline'!$D$1:$O$258,8,FALSE)),"",(VLOOKUP($E243,'D-1 Off-Site Habitat Baseline'!$D$1:$O$258,8,FALSE))))</f>
        <v/>
      </c>
      <c r="K243" s="382" t="str">
        <f>IF(E243="","",IF(ISNA(VLOOKUP($E243,'D-1 Off-Site Habitat Baseline'!$D$1:$O$258,9,FALSE)),"",(VLOOKUP($E243,'D-1 Off-Site Habitat Baseline'!$D$1:$O$258,9,FALSE))))</f>
        <v/>
      </c>
      <c r="L243" s="382" t="str">
        <f>IF(E243="","",IF(ISNA(VLOOKUP($E243,'D-1 Off-Site Habitat Baseline'!$D$1:$O$258,11,FALSE)),"",(VLOOKUP($E243,'D-1 Off-Site Habitat Baseline'!$D$1:$O$258,11,FALSE))))</f>
        <v/>
      </c>
      <c r="M243" s="382" t="str">
        <f>IF(E243="","",IF(ISNA(VLOOKUP($E243,'D-1 Off-Site Habitat Baseline'!$D$1:$O$258,12,FALSE)),"",(VLOOKUP($E243,'D-1 Off-Site Habitat Baseline'!$D$1:$O$258,12,FALSE))))</f>
        <v/>
      </c>
      <c r="N243" s="382" t="str">
        <f>IF(E243="","",IF(ISNA(VLOOKUP($E243,'D-1 Off-Site Habitat Baseline'!$D$1:$AA$258,14,FALSE)),"",(VLOOKUP($E243,'D-1 Off-Site Habitat Baseline'!$D$1:$AA$258,14,FALSE))))</f>
        <v/>
      </c>
      <c r="O243" s="386" t="str">
        <f>IF(E243="","",IF(ISNA(VLOOKUP($E243,'D-1 Off-Site Habitat Baseline'!$D$1:$AA$258,13,FALSE)),"",(VLOOKUP($E243,'D-1 Off-Site Habitat Baseline'!$D$1:$AA$258,13,FALSE))))</f>
        <v/>
      </c>
      <c r="P243" s="184" t="str">
        <f>IFERROR(INDEX('G-1 All Habitats'!$AG$3:$AG$17,MATCH(Q243,'G-1 All Habitats'!$AF$3:$AF$17,0)),"")</f>
        <v/>
      </c>
      <c r="Q243" s="185" t="str">
        <f t="shared" si="36"/>
        <v/>
      </c>
      <c r="R243" s="186" t="str">
        <f t="shared" si="36"/>
        <v/>
      </c>
      <c r="S243" s="187" t="str">
        <f>IFERROR(INDEX('G-1 All Habitats'!$B$3:$B$134,MATCH(R243,'G-1 All Habitats'!$A$3:$A$134,0)),"")</f>
        <v/>
      </c>
      <c r="T243" s="370" t="str">
        <f t="shared" si="37"/>
        <v/>
      </c>
      <c r="U243" s="386" t="str">
        <f t="shared" si="38"/>
        <v/>
      </c>
      <c r="V243" s="385" t="str">
        <f t="shared" si="34"/>
        <v/>
      </c>
      <c r="W243" s="382" t="str">
        <f>IF(S243="","",VLOOKUP(S243,'G-1 All Habitats'!$B$2:$M$134,10,FALSE))</f>
        <v/>
      </c>
      <c r="X243" s="382" t="str">
        <f>IFERROR(VLOOKUP(W243,'G-1 All Habitats'!$V$3:$W$7,2,FALSE),"")</f>
        <v/>
      </c>
      <c r="Y243" s="165"/>
      <c r="Z243" s="386" t="str">
        <f>IFERROR(INDEX('G-8 Condition Look up'!$A$3:$H$135,MATCH(S243,'G-8 Condition Look up'!$A$3:$A$135,0),MATCH(Y243,'G-8 Condition Look up'!$A$3:$H$3,0)),"")</f>
        <v/>
      </c>
      <c r="AA243" s="114"/>
      <c r="AB243" s="401" t="str">
        <f>IF(AA243="","",IF(VLOOKUP(AA243,'G-3 Multipliers'!$L$3:$N$6,2,FALSE)=0,"Spatial Data Missing ⚠",VLOOKUP(AA243,'G-3 Multipliers'!$L$3:$N$6,2,FALSE)))</f>
        <v/>
      </c>
      <c r="AC243" s="386" t="str">
        <f>IF(AA243="","",IF(VLOOKUP(AA243,'G-3 Multipliers'!$L$3:$N$6,3,FALSE)=0,"Spatial Data Missing ⚠",VLOOKUP(AA243,'G-3 Multipliers'!$L$3:$N$6,3,FALSE)))</f>
        <v/>
      </c>
      <c r="AD243" s="398" t="str">
        <f t="shared" si="35"/>
        <v/>
      </c>
      <c r="AE243" s="165"/>
      <c r="AF243" s="165"/>
      <c r="AG243" s="382" t="str">
        <f t="shared" si="39"/>
        <v/>
      </c>
      <c r="AH243" s="404" t="str">
        <f t="shared" si="40"/>
        <v/>
      </c>
      <c r="AI243" s="387" t="str">
        <f>IF(AH243="Check Data ⚠","Check Data ⚠",IFERROR(VLOOKUP(AH243,'G-4 Temporal multipliers'!$A$4:$C$36,3,FALSE),""))</f>
        <v/>
      </c>
      <c r="AJ243" s="398" t="str">
        <f>IF(S243="","",VLOOKUP(S243,'G-3 Multipliers'!$A$2:$E$134,4,FALSE))</f>
        <v/>
      </c>
      <c r="AK243" s="382" t="str">
        <f t="shared" si="41"/>
        <v/>
      </c>
      <c r="AL243" s="382" t="str">
        <f t="shared" si="42"/>
        <v/>
      </c>
      <c r="AM243" s="386" t="str">
        <f>IFERROR(IF(F243="","",IF(AH243="Check Data ⚠","Check Data ⚠",VLOOKUP(AL243, 'G-3 Multipliers'!$P$2:$Q$6,2,FALSE))),"")</f>
        <v/>
      </c>
      <c r="AN243" s="516"/>
      <c r="AO243" s="417" t="str">
        <f>IF(AN243="","",IF(VLOOKUP(AN243,'G-3 Multipliers'!$S$3:$T$10,2,FALSE)=0,"Spatial Data Missing ⚠",VLOOKUP(AN243,'G-3 Multipliers'!$S$3:$T$10,2,FALSE)))</f>
        <v/>
      </c>
      <c r="AP243" s="376" t="str">
        <f t="shared" si="43"/>
        <v/>
      </c>
      <c r="AQ243" s="376" t="str">
        <f t="shared" si="44"/>
        <v/>
      </c>
      <c r="AR243" s="119"/>
      <c r="AS243" s="528"/>
      <c r="AT243" s="120"/>
      <c r="AU243" s="120"/>
    </row>
    <row r="244" spans="1:47">
      <c r="A244" s="30" t="str">
        <f>IF(E244="","",IF(ISNA(VLOOKUP($E244,'D-1 Off-Site Habitat Baseline'!$D$1:$O$258,2,FALSE)),"",(VLOOKUP($E244,'D-1 Off-Site Habitat Baseline'!$D$1:$O$258,2,FALSE))))</f>
        <v/>
      </c>
      <c r="B244" s="30" t="str">
        <f>IF(E244="","",IF(ISNA(VLOOKUP($E244,'D-1 Off-Site Habitat Baseline'!$D$1:$O$258,3,FALSE)),"",(VLOOKUP($E244,'D-1 Off-Site Habitat Baseline'!$D$1:$O$258,3,FALSE))))</f>
        <v/>
      </c>
      <c r="C244" s="30" t="str">
        <f>IFERROR(INDEX('G-8 Condition Look up'!$I$4:$I$135,MATCH(S244,'G-8 Condition Look up'!$A$4:$A$135,0)),"")</f>
        <v/>
      </c>
      <c r="E244" s="407" t="str">
        <f>'D-1 Off-Site Habitat Baseline'!AP243</f>
        <v/>
      </c>
      <c r="F244" s="382" t="str">
        <f>IF(E244="","",IF(ISNA(VLOOKUP($E244,'D-1 Off-Site Habitat Baseline'!$D$1:$O$258,4,FALSE)),"",(VLOOKUP($E244,'D-1 Off-Site Habitat Baseline'!$D$1:$O$258,4,FALSE))))</f>
        <v/>
      </c>
      <c r="G244" s="382" t="str">
        <f>IF(E244="","",IF(ISNA(VLOOKUP($E244,'D-1 Off-Site Habitat Baseline'!$D$1:$O$258,5,FALSE)),"",(VLOOKUP($E244,'D-1 Off-Site Habitat Baseline'!$D$1:$O$258,5,FALSE))))</f>
        <v/>
      </c>
      <c r="H244" s="382" t="str">
        <f>IF(E244="","",IF(ISNA(VLOOKUP($E244,'D-1 Off-Site Habitat Baseline'!$D$1:$O$258,6,FALSE)),"",(VLOOKUP($E244,'D-1 Off-Site Habitat Baseline'!$D$1:$O$258,6,FALSE))))</f>
        <v/>
      </c>
      <c r="I244" s="382" t="str">
        <f>IF(E244="","",IF(ISNA(VLOOKUP($E244,'D-1 Off-Site Habitat Baseline'!$D$1:$O$258,7,FALSE)),"",(VLOOKUP($E244,'D-1 Off-Site Habitat Baseline'!$D$1:$O$258,7,FALSE))))</f>
        <v/>
      </c>
      <c r="J244" s="382" t="str">
        <f>IF(E244="","",IF(ISNA(VLOOKUP($E244,'D-1 Off-Site Habitat Baseline'!$D$1:$O$258,8,FALSE)),"",(VLOOKUP($E244,'D-1 Off-Site Habitat Baseline'!$D$1:$O$258,8,FALSE))))</f>
        <v/>
      </c>
      <c r="K244" s="382" t="str">
        <f>IF(E244="","",IF(ISNA(VLOOKUP($E244,'D-1 Off-Site Habitat Baseline'!$D$1:$O$258,9,FALSE)),"",(VLOOKUP($E244,'D-1 Off-Site Habitat Baseline'!$D$1:$O$258,9,FALSE))))</f>
        <v/>
      </c>
      <c r="L244" s="382" t="str">
        <f>IF(E244="","",IF(ISNA(VLOOKUP($E244,'D-1 Off-Site Habitat Baseline'!$D$1:$O$258,11,FALSE)),"",(VLOOKUP($E244,'D-1 Off-Site Habitat Baseline'!$D$1:$O$258,11,FALSE))))</f>
        <v/>
      </c>
      <c r="M244" s="382" t="str">
        <f>IF(E244="","",IF(ISNA(VLOOKUP($E244,'D-1 Off-Site Habitat Baseline'!$D$1:$O$258,12,FALSE)),"",(VLOOKUP($E244,'D-1 Off-Site Habitat Baseline'!$D$1:$O$258,12,FALSE))))</f>
        <v/>
      </c>
      <c r="N244" s="382" t="str">
        <f>IF(E244="","",IF(ISNA(VLOOKUP($E244,'D-1 Off-Site Habitat Baseline'!$D$1:$AA$258,14,FALSE)),"",(VLOOKUP($E244,'D-1 Off-Site Habitat Baseline'!$D$1:$AA$258,14,FALSE))))</f>
        <v/>
      </c>
      <c r="O244" s="386" t="str">
        <f>IF(E244="","",IF(ISNA(VLOOKUP($E244,'D-1 Off-Site Habitat Baseline'!$D$1:$AA$258,13,FALSE)),"",(VLOOKUP($E244,'D-1 Off-Site Habitat Baseline'!$D$1:$AA$258,13,FALSE))))</f>
        <v/>
      </c>
      <c r="P244" s="184" t="str">
        <f>IFERROR(INDEX('G-1 All Habitats'!$AG$3:$AG$17,MATCH(Q244,'G-1 All Habitats'!$AF$3:$AF$17,0)),"")</f>
        <v/>
      </c>
      <c r="Q244" s="185" t="str">
        <f t="shared" si="36"/>
        <v/>
      </c>
      <c r="R244" s="186" t="str">
        <f t="shared" si="36"/>
        <v/>
      </c>
      <c r="S244" s="187" t="str">
        <f>IFERROR(INDEX('G-1 All Habitats'!$B$3:$B$134,MATCH(R244,'G-1 All Habitats'!$A$3:$A$134,0)),"")</f>
        <v/>
      </c>
      <c r="T244" s="370" t="str">
        <f t="shared" si="37"/>
        <v/>
      </c>
      <c r="U244" s="386" t="str">
        <f t="shared" si="38"/>
        <v/>
      </c>
      <c r="V244" s="385" t="str">
        <f t="shared" si="34"/>
        <v/>
      </c>
      <c r="W244" s="382" t="str">
        <f>IF(S244="","",VLOOKUP(S244,'G-1 All Habitats'!$B$2:$M$134,10,FALSE))</f>
        <v/>
      </c>
      <c r="X244" s="382" t="str">
        <f>IFERROR(VLOOKUP(W244,'G-1 All Habitats'!$V$3:$W$7,2,FALSE),"")</f>
        <v/>
      </c>
      <c r="Y244" s="165"/>
      <c r="Z244" s="386" t="str">
        <f>IFERROR(INDEX('G-8 Condition Look up'!$A$3:$H$135,MATCH(S244,'G-8 Condition Look up'!$A$3:$A$135,0),MATCH(Y244,'G-8 Condition Look up'!$A$3:$H$3,0)),"")</f>
        <v/>
      </c>
      <c r="AA244" s="114"/>
      <c r="AB244" s="401" t="str">
        <f>IF(AA244="","",IF(VLOOKUP(AA244,'G-3 Multipliers'!$L$3:$N$6,2,FALSE)=0,"Spatial Data Missing ⚠",VLOOKUP(AA244,'G-3 Multipliers'!$L$3:$N$6,2,FALSE)))</f>
        <v/>
      </c>
      <c r="AC244" s="386" t="str">
        <f>IF(AA244="","",IF(VLOOKUP(AA244,'G-3 Multipliers'!$L$3:$N$6,3,FALSE)=0,"Spatial Data Missing ⚠",VLOOKUP(AA244,'G-3 Multipliers'!$L$3:$N$6,3,FALSE)))</f>
        <v/>
      </c>
      <c r="AD244" s="398" t="str">
        <f t="shared" si="35"/>
        <v/>
      </c>
      <c r="AE244" s="165"/>
      <c r="AF244" s="165"/>
      <c r="AG244" s="382" t="str">
        <f t="shared" si="39"/>
        <v/>
      </c>
      <c r="AH244" s="404" t="str">
        <f t="shared" si="40"/>
        <v/>
      </c>
      <c r="AI244" s="387" t="str">
        <f>IF(AH244="Check Data ⚠","Check Data ⚠",IFERROR(VLOOKUP(AH244,'G-4 Temporal multipliers'!$A$4:$C$36,3,FALSE),""))</f>
        <v/>
      </c>
      <c r="AJ244" s="398" t="str">
        <f>IF(S244="","",VLOOKUP(S244,'G-3 Multipliers'!$A$2:$E$134,4,FALSE))</f>
        <v/>
      </c>
      <c r="AK244" s="382" t="str">
        <f t="shared" si="41"/>
        <v/>
      </c>
      <c r="AL244" s="382" t="str">
        <f t="shared" si="42"/>
        <v/>
      </c>
      <c r="AM244" s="386" t="str">
        <f>IFERROR(IF(F244="","",IF(AH244="Check Data ⚠","Check Data ⚠",VLOOKUP(AL244, 'G-3 Multipliers'!$P$2:$Q$6,2,FALSE))),"")</f>
        <v/>
      </c>
      <c r="AN244" s="516"/>
      <c r="AO244" s="417" t="str">
        <f>IF(AN244="","",IF(VLOOKUP(AN244,'G-3 Multipliers'!$S$3:$T$10,2,FALSE)=0,"Spatial Data Missing ⚠",VLOOKUP(AN244,'G-3 Multipliers'!$S$3:$T$10,2,FALSE)))</f>
        <v/>
      </c>
      <c r="AP244" s="376" t="str">
        <f t="shared" si="43"/>
        <v/>
      </c>
      <c r="AQ244" s="376" t="str">
        <f t="shared" si="44"/>
        <v/>
      </c>
      <c r="AR244" s="119"/>
      <c r="AS244" s="528"/>
      <c r="AT244" s="120"/>
      <c r="AU244" s="120"/>
    </row>
    <row r="245" spans="1:47">
      <c r="A245" s="30" t="str">
        <f>IF(E245="","",IF(ISNA(VLOOKUP($E245,'D-1 Off-Site Habitat Baseline'!$D$1:$O$258,2,FALSE)),"",(VLOOKUP($E245,'D-1 Off-Site Habitat Baseline'!$D$1:$O$258,2,FALSE))))</f>
        <v/>
      </c>
      <c r="B245" s="30" t="str">
        <f>IF(E245="","",IF(ISNA(VLOOKUP($E245,'D-1 Off-Site Habitat Baseline'!$D$1:$O$258,3,FALSE)),"",(VLOOKUP($E245,'D-1 Off-Site Habitat Baseline'!$D$1:$O$258,3,FALSE))))</f>
        <v/>
      </c>
      <c r="C245" s="30" t="str">
        <f>IFERROR(INDEX('G-8 Condition Look up'!$I$4:$I$135,MATCH(S245,'G-8 Condition Look up'!$A$4:$A$135,0)),"")</f>
        <v/>
      </c>
      <c r="E245" s="407" t="str">
        <f>'D-1 Off-Site Habitat Baseline'!AP244</f>
        <v/>
      </c>
      <c r="F245" s="382" t="str">
        <f>IF(E245="","",IF(ISNA(VLOOKUP($E245,'D-1 Off-Site Habitat Baseline'!$D$1:$O$258,4,FALSE)),"",(VLOOKUP($E245,'D-1 Off-Site Habitat Baseline'!$D$1:$O$258,4,FALSE))))</f>
        <v/>
      </c>
      <c r="G245" s="382" t="str">
        <f>IF(E245="","",IF(ISNA(VLOOKUP($E245,'D-1 Off-Site Habitat Baseline'!$D$1:$O$258,5,FALSE)),"",(VLOOKUP($E245,'D-1 Off-Site Habitat Baseline'!$D$1:$O$258,5,FALSE))))</f>
        <v/>
      </c>
      <c r="H245" s="382" t="str">
        <f>IF(E245="","",IF(ISNA(VLOOKUP($E245,'D-1 Off-Site Habitat Baseline'!$D$1:$O$258,6,FALSE)),"",(VLOOKUP($E245,'D-1 Off-Site Habitat Baseline'!$D$1:$O$258,6,FALSE))))</f>
        <v/>
      </c>
      <c r="I245" s="382" t="str">
        <f>IF(E245="","",IF(ISNA(VLOOKUP($E245,'D-1 Off-Site Habitat Baseline'!$D$1:$O$258,7,FALSE)),"",(VLOOKUP($E245,'D-1 Off-Site Habitat Baseline'!$D$1:$O$258,7,FALSE))))</f>
        <v/>
      </c>
      <c r="J245" s="382" t="str">
        <f>IF(E245="","",IF(ISNA(VLOOKUP($E245,'D-1 Off-Site Habitat Baseline'!$D$1:$O$258,8,FALSE)),"",(VLOOKUP($E245,'D-1 Off-Site Habitat Baseline'!$D$1:$O$258,8,FALSE))))</f>
        <v/>
      </c>
      <c r="K245" s="382" t="str">
        <f>IF(E245="","",IF(ISNA(VLOOKUP($E245,'D-1 Off-Site Habitat Baseline'!$D$1:$O$258,9,FALSE)),"",(VLOOKUP($E245,'D-1 Off-Site Habitat Baseline'!$D$1:$O$258,9,FALSE))))</f>
        <v/>
      </c>
      <c r="L245" s="382" t="str">
        <f>IF(E245="","",IF(ISNA(VLOOKUP($E245,'D-1 Off-Site Habitat Baseline'!$D$1:$O$258,11,FALSE)),"",(VLOOKUP($E245,'D-1 Off-Site Habitat Baseline'!$D$1:$O$258,11,FALSE))))</f>
        <v/>
      </c>
      <c r="M245" s="382" t="str">
        <f>IF(E245="","",IF(ISNA(VLOOKUP($E245,'D-1 Off-Site Habitat Baseline'!$D$1:$O$258,12,FALSE)),"",(VLOOKUP($E245,'D-1 Off-Site Habitat Baseline'!$D$1:$O$258,12,FALSE))))</f>
        <v/>
      </c>
      <c r="N245" s="382" t="str">
        <f>IF(E245="","",IF(ISNA(VLOOKUP($E245,'D-1 Off-Site Habitat Baseline'!$D$1:$AA$258,14,FALSE)),"",(VLOOKUP($E245,'D-1 Off-Site Habitat Baseline'!$D$1:$AA$258,14,FALSE))))</f>
        <v/>
      </c>
      <c r="O245" s="386" t="str">
        <f>IF(E245="","",IF(ISNA(VLOOKUP($E245,'D-1 Off-Site Habitat Baseline'!$D$1:$AA$258,13,FALSE)),"",(VLOOKUP($E245,'D-1 Off-Site Habitat Baseline'!$D$1:$AA$258,13,FALSE))))</f>
        <v/>
      </c>
      <c r="P245" s="184" t="str">
        <f>IFERROR(INDEX('G-1 All Habitats'!$AG$3:$AG$17,MATCH(Q245,'G-1 All Habitats'!$AF$3:$AF$17,0)),"")</f>
        <v/>
      </c>
      <c r="Q245" s="185" t="str">
        <f t="shared" si="36"/>
        <v/>
      </c>
      <c r="R245" s="186" t="str">
        <f t="shared" si="36"/>
        <v/>
      </c>
      <c r="S245" s="187" t="str">
        <f>IFERROR(INDEX('G-1 All Habitats'!$B$3:$B$134,MATCH(R245,'G-1 All Habitats'!$A$3:$A$134,0)),"")</f>
        <v/>
      </c>
      <c r="T245" s="370" t="str">
        <f t="shared" si="37"/>
        <v/>
      </c>
      <c r="U245" s="386" t="str">
        <f t="shared" si="38"/>
        <v/>
      </c>
      <c r="V245" s="385" t="str">
        <f t="shared" si="34"/>
        <v/>
      </c>
      <c r="W245" s="382" t="str">
        <f>IF(S245="","",VLOOKUP(S245,'G-1 All Habitats'!$B$2:$M$134,10,FALSE))</f>
        <v/>
      </c>
      <c r="X245" s="382" t="str">
        <f>IFERROR(VLOOKUP(W245,'G-1 All Habitats'!$V$3:$W$7,2,FALSE),"")</f>
        <v/>
      </c>
      <c r="Y245" s="165"/>
      <c r="Z245" s="386" t="str">
        <f>IFERROR(INDEX('G-8 Condition Look up'!$A$3:$H$135,MATCH(S245,'G-8 Condition Look up'!$A$3:$A$135,0),MATCH(Y245,'G-8 Condition Look up'!$A$3:$H$3,0)),"")</f>
        <v/>
      </c>
      <c r="AA245" s="114"/>
      <c r="AB245" s="401" t="str">
        <f>IF(AA245="","",IF(VLOOKUP(AA245,'G-3 Multipliers'!$L$3:$N$6,2,FALSE)=0,"Spatial Data Missing ⚠",VLOOKUP(AA245,'G-3 Multipliers'!$L$3:$N$6,2,FALSE)))</f>
        <v/>
      </c>
      <c r="AC245" s="386" t="str">
        <f>IF(AA245="","",IF(VLOOKUP(AA245,'G-3 Multipliers'!$L$3:$N$6,3,FALSE)=0,"Spatial Data Missing ⚠",VLOOKUP(AA245,'G-3 Multipliers'!$L$3:$N$6,3,FALSE)))</f>
        <v/>
      </c>
      <c r="AD245" s="398" t="str">
        <f t="shared" si="35"/>
        <v/>
      </c>
      <c r="AE245" s="165"/>
      <c r="AF245" s="165"/>
      <c r="AG245" s="382" t="str">
        <f t="shared" si="39"/>
        <v/>
      </c>
      <c r="AH245" s="404" t="str">
        <f t="shared" si="40"/>
        <v/>
      </c>
      <c r="AI245" s="387" t="str">
        <f>IF(AH245="Check Data ⚠","Check Data ⚠",IFERROR(VLOOKUP(AH245,'G-4 Temporal multipliers'!$A$4:$C$36,3,FALSE),""))</f>
        <v/>
      </c>
      <c r="AJ245" s="398" t="str">
        <f>IF(S245="","",VLOOKUP(S245,'G-3 Multipliers'!$A$2:$E$134,4,FALSE))</f>
        <v/>
      </c>
      <c r="AK245" s="382" t="str">
        <f t="shared" si="41"/>
        <v/>
      </c>
      <c r="AL245" s="382" t="str">
        <f t="shared" si="42"/>
        <v/>
      </c>
      <c r="AM245" s="386" t="str">
        <f>IFERROR(IF(F245="","",IF(AH245="Check Data ⚠","Check Data ⚠",VLOOKUP(AL245, 'G-3 Multipliers'!$P$2:$Q$6,2,FALSE))),"")</f>
        <v/>
      </c>
      <c r="AN245" s="516"/>
      <c r="AO245" s="417" t="str">
        <f>IF(AN245="","",IF(VLOOKUP(AN245,'G-3 Multipliers'!$S$3:$T$10,2,FALSE)=0,"Spatial Data Missing ⚠",VLOOKUP(AN245,'G-3 Multipliers'!$S$3:$T$10,2,FALSE)))</f>
        <v/>
      </c>
      <c r="AP245" s="376" t="str">
        <f t="shared" si="43"/>
        <v/>
      </c>
      <c r="AQ245" s="376" t="str">
        <f t="shared" si="44"/>
        <v/>
      </c>
      <c r="AR245" s="119"/>
      <c r="AS245" s="528"/>
      <c r="AT245" s="120"/>
      <c r="AU245" s="120"/>
    </row>
    <row r="246" spans="1:47">
      <c r="A246" s="30" t="str">
        <f>IF(E246="","",IF(ISNA(VLOOKUP($E246,'D-1 Off-Site Habitat Baseline'!$D$1:$O$258,2,FALSE)),"",(VLOOKUP($E246,'D-1 Off-Site Habitat Baseline'!$D$1:$O$258,2,FALSE))))</f>
        <v/>
      </c>
      <c r="B246" s="30" t="str">
        <f>IF(E246="","",IF(ISNA(VLOOKUP($E246,'D-1 Off-Site Habitat Baseline'!$D$1:$O$258,3,FALSE)),"",(VLOOKUP($E246,'D-1 Off-Site Habitat Baseline'!$D$1:$O$258,3,FALSE))))</f>
        <v/>
      </c>
      <c r="C246" s="30" t="str">
        <f>IFERROR(INDEX('G-8 Condition Look up'!$I$4:$I$135,MATCH(S246,'G-8 Condition Look up'!$A$4:$A$135,0)),"")</f>
        <v/>
      </c>
      <c r="E246" s="407" t="str">
        <f>'D-1 Off-Site Habitat Baseline'!AP245</f>
        <v/>
      </c>
      <c r="F246" s="382" t="str">
        <f>IF(E246="","",IF(ISNA(VLOOKUP($E246,'D-1 Off-Site Habitat Baseline'!$D$1:$O$258,4,FALSE)),"",(VLOOKUP($E246,'D-1 Off-Site Habitat Baseline'!$D$1:$O$258,4,FALSE))))</f>
        <v/>
      </c>
      <c r="G246" s="382" t="str">
        <f>IF(E246="","",IF(ISNA(VLOOKUP($E246,'D-1 Off-Site Habitat Baseline'!$D$1:$O$258,5,FALSE)),"",(VLOOKUP($E246,'D-1 Off-Site Habitat Baseline'!$D$1:$O$258,5,FALSE))))</f>
        <v/>
      </c>
      <c r="H246" s="382" t="str">
        <f>IF(E246="","",IF(ISNA(VLOOKUP($E246,'D-1 Off-Site Habitat Baseline'!$D$1:$O$258,6,FALSE)),"",(VLOOKUP($E246,'D-1 Off-Site Habitat Baseline'!$D$1:$O$258,6,FALSE))))</f>
        <v/>
      </c>
      <c r="I246" s="382" t="str">
        <f>IF(E246="","",IF(ISNA(VLOOKUP($E246,'D-1 Off-Site Habitat Baseline'!$D$1:$O$258,7,FALSE)),"",(VLOOKUP($E246,'D-1 Off-Site Habitat Baseline'!$D$1:$O$258,7,FALSE))))</f>
        <v/>
      </c>
      <c r="J246" s="382" t="str">
        <f>IF(E246="","",IF(ISNA(VLOOKUP($E246,'D-1 Off-Site Habitat Baseline'!$D$1:$O$258,8,FALSE)),"",(VLOOKUP($E246,'D-1 Off-Site Habitat Baseline'!$D$1:$O$258,8,FALSE))))</f>
        <v/>
      </c>
      <c r="K246" s="382" t="str">
        <f>IF(E246="","",IF(ISNA(VLOOKUP($E246,'D-1 Off-Site Habitat Baseline'!$D$1:$O$258,9,FALSE)),"",(VLOOKUP($E246,'D-1 Off-Site Habitat Baseline'!$D$1:$O$258,9,FALSE))))</f>
        <v/>
      </c>
      <c r="L246" s="382" t="str">
        <f>IF(E246="","",IF(ISNA(VLOOKUP($E246,'D-1 Off-Site Habitat Baseline'!$D$1:$O$258,11,FALSE)),"",(VLOOKUP($E246,'D-1 Off-Site Habitat Baseline'!$D$1:$O$258,11,FALSE))))</f>
        <v/>
      </c>
      <c r="M246" s="382" t="str">
        <f>IF(E246="","",IF(ISNA(VLOOKUP($E246,'D-1 Off-Site Habitat Baseline'!$D$1:$O$258,12,FALSE)),"",(VLOOKUP($E246,'D-1 Off-Site Habitat Baseline'!$D$1:$O$258,12,FALSE))))</f>
        <v/>
      </c>
      <c r="N246" s="382" t="str">
        <f>IF(E246="","",IF(ISNA(VLOOKUP($E246,'D-1 Off-Site Habitat Baseline'!$D$1:$AA$258,14,FALSE)),"",(VLOOKUP($E246,'D-1 Off-Site Habitat Baseline'!$D$1:$AA$258,14,FALSE))))</f>
        <v/>
      </c>
      <c r="O246" s="386" t="str">
        <f>IF(E246="","",IF(ISNA(VLOOKUP($E246,'D-1 Off-Site Habitat Baseline'!$D$1:$AA$258,13,FALSE)),"",(VLOOKUP($E246,'D-1 Off-Site Habitat Baseline'!$D$1:$AA$258,13,FALSE))))</f>
        <v/>
      </c>
      <c r="P246" s="184" t="str">
        <f>IFERROR(INDEX('G-1 All Habitats'!$AG$3:$AG$17,MATCH(Q246,'G-1 All Habitats'!$AF$3:$AF$17,0)),"")</f>
        <v/>
      </c>
      <c r="Q246" s="185" t="str">
        <f t="shared" si="36"/>
        <v/>
      </c>
      <c r="R246" s="186" t="str">
        <f t="shared" si="36"/>
        <v/>
      </c>
      <c r="S246" s="187" t="str">
        <f>IFERROR(INDEX('G-1 All Habitats'!$B$3:$B$134,MATCH(R246,'G-1 All Habitats'!$A$3:$A$134,0)),"")</f>
        <v/>
      </c>
      <c r="T246" s="370" t="str">
        <f t="shared" si="37"/>
        <v/>
      </c>
      <c r="U246" s="386" t="str">
        <f t="shared" si="38"/>
        <v/>
      </c>
      <c r="V246" s="385" t="str">
        <f t="shared" si="34"/>
        <v/>
      </c>
      <c r="W246" s="382" t="str">
        <f>IF(S246="","",VLOOKUP(S246,'G-1 All Habitats'!$B$2:$M$134,10,FALSE))</f>
        <v/>
      </c>
      <c r="X246" s="382" t="str">
        <f>IFERROR(VLOOKUP(W246,'G-1 All Habitats'!$V$3:$W$7,2,FALSE),"")</f>
        <v/>
      </c>
      <c r="Y246" s="165"/>
      <c r="Z246" s="386" t="str">
        <f>IFERROR(INDEX('G-8 Condition Look up'!$A$3:$H$135,MATCH(S246,'G-8 Condition Look up'!$A$3:$A$135,0),MATCH(Y246,'G-8 Condition Look up'!$A$3:$H$3,0)),"")</f>
        <v/>
      </c>
      <c r="AA246" s="114"/>
      <c r="AB246" s="401" t="str">
        <f>IF(AA246="","",IF(VLOOKUP(AA246,'G-3 Multipliers'!$L$3:$N$6,2,FALSE)=0,"Spatial Data Missing ⚠",VLOOKUP(AA246,'G-3 Multipliers'!$L$3:$N$6,2,FALSE)))</f>
        <v/>
      </c>
      <c r="AC246" s="386" t="str">
        <f>IF(AA246="","",IF(VLOOKUP(AA246,'G-3 Multipliers'!$L$3:$N$6,3,FALSE)=0,"Spatial Data Missing ⚠",VLOOKUP(AA246,'G-3 Multipliers'!$L$3:$N$6,3,FALSE)))</f>
        <v/>
      </c>
      <c r="AD246" s="398" t="str">
        <f t="shared" si="35"/>
        <v/>
      </c>
      <c r="AE246" s="165"/>
      <c r="AF246" s="165"/>
      <c r="AG246" s="382" t="str">
        <f t="shared" si="39"/>
        <v/>
      </c>
      <c r="AH246" s="404" t="str">
        <f t="shared" si="40"/>
        <v/>
      </c>
      <c r="AI246" s="387" t="str">
        <f>IF(AH246="Check Data ⚠","Check Data ⚠",IFERROR(VLOOKUP(AH246,'G-4 Temporal multipliers'!$A$4:$C$36,3,FALSE),""))</f>
        <v/>
      </c>
      <c r="AJ246" s="398" t="str">
        <f>IF(S246="","",VLOOKUP(S246,'G-3 Multipliers'!$A$2:$E$134,4,FALSE))</f>
        <v/>
      </c>
      <c r="AK246" s="382" t="str">
        <f t="shared" si="41"/>
        <v/>
      </c>
      <c r="AL246" s="382" t="str">
        <f t="shared" si="42"/>
        <v/>
      </c>
      <c r="AM246" s="386" t="str">
        <f>IFERROR(IF(F246="","",IF(AH246="Check Data ⚠","Check Data ⚠",VLOOKUP(AL246, 'G-3 Multipliers'!$P$2:$Q$6,2,FALSE))),"")</f>
        <v/>
      </c>
      <c r="AN246" s="516"/>
      <c r="AO246" s="417" t="str">
        <f>IF(AN246="","",IF(VLOOKUP(AN246,'G-3 Multipliers'!$S$3:$T$10,2,FALSE)=0,"Spatial Data Missing ⚠",VLOOKUP(AN246,'G-3 Multipliers'!$S$3:$T$10,2,FALSE)))</f>
        <v/>
      </c>
      <c r="AP246" s="376" t="str">
        <f t="shared" si="43"/>
        <v/>
      </c>
      <c r="AQ246" s="376" t="str">
        <f t="shared" si="44"/>
        <v/>
      </c>
      <c r="AR246" s="119"/>
      <c r="AS246" s="528"/>
      <c r="AT246" s="120"/>
      <c r="AU246" s="120"/>
    </row>
    <row r="247" spans="1:47">
      <c r="A247" s="30" t="str">
        <f>IF(E247="","",IF(ISNA(VLOOKUP($E247,'D-1 Off-Site Habitat Baseline'!$D$1:$O$258,2,FALSE)),"",(VLOOKUP($E247,'D-1 Off-Site Habitat Baseline'!$D$1:$O$258,2,FALSE))))</f>
        <v/>
      </c>
      <c r="B247" s="30" t="str">
        <f>IF(E247="","",IF(ISNA(VLOOKUP($E247,'D-1 Off-Site Habitat Baseline'!$D$1:$O$258,3,FALSE)),"",(VLOOKUP($E247,'D-1 Off-Site Habitat Baseline'!$D$1:$O$258,3,FALSE))))</f>
        <v/>
      </c>
      <c r="C247" s="30" t="str">
        <f>IFERROR(INDEX('G-8 Condition Look up'!$I$4:$I$135,MATCH(S247,'G-8 Condition Look up'!$A$4:$A$135,0)),"")</f>
        <v/>
      </c>
      <c r="E247" s="407" t="str">
        <f>'D-1 Off-Site Habitat Baseline'!AP246</f>
        <v/>
      </c>
      <c r="F247" s="382" t="str">
        <f>IF(E247="","",IF(ISNA(VLOOKUP($E247,'D-1 Off-Site Habitat Baseline'!$D$1:$O$258,4,FALSE)),"",(VLOOKUP($E247,'D-1 Off-Site Habitat Baseline'!$D$1:$O$258,4,FALSE))))</f>
        <v/>
      </c>
      <c r="G247" s="382" t="str">
        <f>IF(E247="","",IF(ISNA(VLOOKUP($E247,'D-1 Off-Site Habitat Baseline'!$D$1:$O$258,5,FALSE)),"",(VLOOKUP($E247,'D-1 Off-Site Habitat Baseline'!$D$1:$O$258,5,FALSE))))</f>
        <v/>
      </c>
      <c r="H247" s="382" t="str">
        <f>IF(E247="","",IF(ISNA(VLOOKUP($E247,'D-1 Off-Site Habitat Baseline'!$D$1:$O$258,6,FALSE)),"",(VLOOKUP($E247,'D-1 Off-Site Habitat Baseline'!$D$1:$O$258,6,FALSE))))</f>
        <v/>
      </c>
      <c r="I247" s="382" t="str">
        <f>IF(E247="","",IF(ISNA(VLOOKUP($E247,'D-1 Off-Site Habitat Baseline'!$D$1:$O$258,7,FALSE)),"",(VLOOKUP($E247,'D-1 Off-Site Habitat Baseline'!$D$1:$O$258,7,FALSE))))</f>
        <v/>
      </c>
      <c r="J247" s="382" t="str">
        <f>IF(E247="","",IF(ISNA(VLOOKUP($E247,'D-1 Off-Site Habitat Baseline'!$D$1:$O$258,8,FALSE)),"",(VLOOKUP($E247,'D-1 Off-Site Habitat Baseline'!$D$1:$O$258,8,FALSE))))</f>
        <v/>
      </c>
      <c r="K247" s="382" t="str">
        <f>IF(E247="","",IF(ISNA(VLOOKUP($E247,'D-1 Off-Site Habitat Baseline'!$D$1:$O$258,9,FALSE)),"",(VLOOKUP($E247,'D-1 Off-Site Habitat Baseline'!$D$1:$O$258,9,FALSE))))</f>
        <v/>
      </c>
      <c r="L247" s="382" t="str">
        <f>IF(E247="","",IF(ISNA(VLOOKUP($E247,'D-1 Off-Site Habitat Baseline'!$D$1:$O$258,11,FALSE)),"",(VLOOKUP($E247,'D-1 Off-Site Habitat Baseline'!$D$1:$O$258,11,FALSE))))</f>
        <v/>
      </c>
      <c r="M247" s="382" t="str">
        <f>IF(E247="","",IF(ISNA(VLOOKUP($E247,'D-1 Off-Site Habitat Baseline'!$D$1:$O$258,12,FALSE)),"",(VLOOKUP($E247,'D-1 Off-Site Habitat Baseline'!$D$1:$O$258,12,FALSE))))</f>
        <v/>
      </c>
      <c r="N247" s="382" t="str">
        <f>IF(E247="","",IF(ISNA(VLOOKUP($E247,'D-1 Off-Site Habitat Baseline'!$D$1:$AA$258,14,FALSE)),"",(VLOOKUP($E247,'D-1 Off-Site Habitat Baseline'!$D$1:$AA$258,14,FALSE))))</f>
        <v/>
      </c>
      <c r="O247" s="386" t="str">
        <f>IF(E247="","",IF(ISNA(VLOOKUP($E247,'D-1 Off-Site Habitat Baseline'!$D$1:$AA$258,13,FALSE)),"",(VLOOKUP($E247,'D-1 Off-Site Habitat Baseline'!$D$1:$AA$258,13,FALSE))))</f>
        <v/>
      </c>
      <c r="P247" s="184" t="str">
        <f>IFERROR(INDEX('G-1 All Habitats'!$AG$3:$AG$17,MATCH(Q247,'G-1 All Habitats'!$AF$3:$AF$17,0)),"")</f>
        <v/>
      </c>
      <c r="Q247" s="185" t="str">
        <f t="shared" si="36"/>
        <v/>
      </c>
      <c r="R247" s="186" t="str">
        <f t="shared" si="36"/>
        <v/>
      </c>
      <c r="S247" s="187" t="str">
        <f>IFERROR(INDEX('G-1 All Habitats'!$B$3:$B$134,MATCH(R247,'G-1 All Habitats'!$A$3:$A$134,0)),"")</f>
        <v/>
      </c>
      <c r="T247" s="370" t="str">
        <f t="shared" si="37"/>
        <v/>
      </c>
      <c r="U247" s="386" t="str">
        <f t="shared" si="38"/>
        <v/>
      </c>
      <c r="V247" s="385" t="str">
        <f t="shared" si="34"/>
        <v/>
      </c>
      <c r="W247" s="382" t="str">
        <f>IF(S247="","",VLOOKUP(S247,'G-1 All Habitats'!$B$2:$M$134,10,FALSE))</f>
        <v/>
      </c>
      <c r="X247" s="382" t="str">
        <f>IFERROR(VLOOKUP(W247,'G-1 All Habitats'!$V$3:$W$7,2,FALSE),"")</f>
        <v/>
      </c>
      <c r="Y247" s="165"/>
      <c r="Z247" s="386" t="str">
        <f>IFERROR(INDEX('G-8 Condition Look up'!$A$3:$H$135,MATCH(S247,'G-8 Condition Look up'!$A$3:$A$135,0),MATCH(Y247,'G-8 Condition Look up'!$A$3:$H$3,0)),"")</f>
        <v/>
      </c>
      <c r="AA247" s="114"/>
      <c r="AB247" s="401" t="str">
        <f>IF(AA247="","",IF(VLOOKUP(AA247,'G-3 Multipliers'!$L$3:$N$6,2,FALSE)=0,"Spatial Data Missing ⚠",VLOOKUP(AA247,'G-3 Multipliers'!$L$3:$N$6,2,FALSE)))</f>
        <v/>
      </c>
      <c r="AC247" s="386" t="str">
        <f>IF(AA247="","",IF(VLOOKUP(AA247,'G-3 Multipliers'!$L$3:$N$6,3,FALSE)=0,"Spatial Data Missing ⚠",VLOOKUP(AA247,'G-3 Multipliers'!$L$3:$N$6,3,FALSE)))</f>
        <v/>
      </c>
      <c r="AD247" s="398" t="str">
        <f t="shared" si="35"/>
        <v/>
      </c>
      <c r="AE247" s="165"/>
      <c r="AF247" s="165"/>
      <c r="AG247" s="382" t="str">
        <f t="shared" si="39"/>
        <v/>
      </c>
      <c r="AH247" s="404" t="str">
        <f t="shared" si="40"/>
        <v/>
      </c>
      <c r="AI247" s="387" t="str">
        <f>IF(AH247="Check Data ⚠","Check Data ⚠",IFERROR(VLOOKUP(AH247,'G-4 Temporal multipliers'!$A$4:$C$36,3,FALSE),""))</f>
        <v/>
      </c>
      <c r="AJ247" s="398" t="str">
        <f>IF(S247="","",VLOOKUP(S247,'G-3 Multipliers'!$A$2:$E$134,4,FALSE))</f>
        <v/>
      </c>
      <c r="AK247" s="382" t="str">
        <f t="shared" si="41"/>
        <v/>
      </c>
      <c r="AL247" s="382" t="str">
        <f t="shared" si="42"/>
        <v/>
      </c>
      <c r="AM247" s="386" t="str">
        <f>IFERROR(IF(F247="","",IF(AH247="Check Data ⚠","Check Data ⚠",VLOOKUP(AL247, 'G-3 Multipliers'!$P$2:$Q$6,2,FALSE))),"")</f>
        <v/>
      </c>
      <c r="AN247" s="516"/>
      <c r="AO247" s="417" t="str">
        <f>IF(AN247="","",IF(VLOOKUP(AN247,'G-3 Multipliers'!$S$3:$T$10,2,FALSE)=0,"Spatial Data Missing ⚠",VLOOKUP(AN247,'G-3 Multipliers'!$S$3:$T$10,2,FALSE)))</f>
        <v/>
      </c>
      <c r="AP247" s="376" t="str">
        <f t="shared" si="43"/>
        <v/>
      </c>
      <c r="AQ247" s="376" t="str">
        <f t="shared" si="44"/>
        <v/>
      </c>
      <c r="AR247" s="119"/>
      <c r="AS247" s="528"/>
      <c r="AT247" s="120"/>
      <c r="AU247" s="120"/>
    </row>
    <row r="248" spans="1:47">
      <c r="A248" s="30" t="str">
        <f>IF(E248="","",IF(ISNA(VLOOKUP($E248,'D-1 Off-Site Habitat Baseline'!$D$1:$O$258,2,FALSE)),"",(VLOOKUP($E248,'D-1 Off-Site Habitat Baseline'!$D$1:$O$258,2,FALSE))))</f>
        <v/>
      </c>
      <c r="B248" s="30" t="str">
        <f>IF(E248="","",IF(ISNA(VLOOKUP($E248,'D-1 Off-Site Habitat Baseline'!$D$1:$O$258,3,FALSE)),"",(VLOOKUP($E248,'D-1 Off-Site Habitat Baseline'!$D$1:$O$258,3,FALSE))))</f>
        <v/>
      </c>
      <c r="C248" s="30" t="str">
        <f>IFERROR(INDEX('G-8 Condition Look up'!$I$4:$I$135,MATCH(S248,'G-8 Condition Look up'!$A$4:$A$135,0)),"")</f>
        <v/>
      </c>
      <c r="E248" s="407" t="str">
        <f>'D-1 Off-Site Habitat Baseline'!AP247</f>
        <v/>
      </c>
      <c r="F248" s="382" t="str">
        <f>IF(E248="","",IF(ISNA(VLOOKUP($E248,'D-1 Off-Site Habitat Baseline'!$D$1:$O$258,4,FALSE)),"",(VLOOKUP($E248,'D-1 Off-Site Habitat Baseline'!$D$1:$O$258,4,FALSE))))</f>
        <v/>
      </c>
      <c r="G248" s="382" t="str">
        <f>IF(E248="","",IF(ISNA(VLOOKUP($E248,'D-1 Off-Site Habitat Baseline'!$D$1:$O$258,5,FALSE)),"",(VLOOKUP($E248,'D-1 Off-Site Habitat Baseline'!$D$1:$O$258,5,FALSE))))</f>
        <v/>
      </c>
      <c r="H248" s="382" t="str">
        <f>IF(E248="","",IF(ISNA(VLOOKUP($E248,'D-1 Off-Site Habitat Baseline'!$D$1:$O$258,6,FALSE)),"",(VLOOKUP($E248,'D-1 Off-Site Habitat Baseline'!$D$1:$O$258,6,FALSE))))</f>
        <v/>
      </c>
      <c r="I248" s="382" t="str">
        <f>IF(E248="","",IF(ISNA(VLOOKUP($E248,'D-1 Off-Site Habitat Baseline'!$D$1:$O$258,7,FALSE)),"",(VLOOKUP($E248,'D-1 Off-Site Habitat Baseline'!$D$1:$O$258,7,FALSE))))</f>
        <v/>
      </c>
      <c r="J248" s="382" t="str">
        <f>IF(E248="","",IF(ISNA(VLOOKUP($E248,'D-1 Off-Site Habitat Baseline'!$D$1:$O$258,8,FALSE)),"",(VLOOKUP($E248,'D-1 Off-Site Habitat Baseline'!$D$1:$O$258,8,FALSE))))</f>
        <v/>
      </c>
      <c r="K248" s="382" t="str">
        <f>IF(E248="","",IF(ISNA(VLOOKUP($E248,'D-1 Off-Site Habitat Baseline'!$D$1:$O$258,9,FALSE)),"",(VLOOKUP($E248,'D-1 Off-Site Habitat Baseline'!$D$1:$O$258,9,FALSE))))</f>
        <v/>
      </c>
      <c r="L248" s="382" t="str">
        <f>IF(E248="","",IF(ISNA(VLOOKUP($E248,'D-1 Off-Site Habitat Baseline'!$D$1:$O$258,11,FALSE)),"",(VLOOKUP($E248,'D-1 Off-Site Habitat Baseline'!$D$1:$O$258,11,FALSE))))</f>
        <v/>
      </c>
      <c r="M248" s="382" t="str">
        <f>IF(E248="","",IF(ISNA(VLOOKUP($E248,'D-1 Off-Site Habitat Baseline'!$D$1:$O$258,12,FALSE)),"",(VLOOKUP($E248,'D-1 Off-Site Habitat Baseline'!$D$1:$O$258,12,FALSE))))</f>
        <v/>
      </c>
      <c r="N248" s="382" t="str">
        <f>IF(E248="","",IF(ISNA(VLOOKUP($E248,'D-1 Off-Site Habitat Baseline'!$D$1:$AA$258,14,FALSE)),"",(VLOOKUP($E248,'D-1 Off-Site Habitat Baseline'!$D$1:$AA$258,14,FALSE))))</f>
        <v/>
      </c>
      <c r="O248" s="386" t="str">
        <f>IF(E248="","",IF(ISNA(VLOOKUP($E248,'D-1 Off-Site Habitat Baseline'!$D$1:$AA$258,13,FALSE)),"",(VLOOKUP($E248,'D-1 Off-Site Habitat Baseline'!$D$1:$AA$258,13,FALSE))))</f>
        <v/>
      </c>
      <c r="P248" s="184" t="str">
        <f>IFERROR(INDEX('G-1 All Habitats'!$AG$3:$AG$17,MATCH(Q248,'G-1 All Habitats'!$AF$3:$AF$17,0)),"")</f>
        <v/>
      </c>
      <c r="Q248" s="185" t="str">
        <f t="shared" si="36"/>
        <v/>
      </c>
      <c r="R248" s="186" t="str">
        <f t="shared" si="36"/>
        <v/>
      </c>
      <c r="S248" s="187" t="str">
        <f>IFERROR(INDEX('G-1 All Habitats'!$B$3:$B$134,MATCH(R248,'G-1 All Habitats'!$A$3:$A$134,0)),"")</f>
        <v/>
      </c>
      <c r="T248" s="370" t="str">
        <f t="shared" si="37"/>
        <v/>
      </c>
      <c r="U248" s="386" t="str">
        <f t="shared" si="38"/>
        <v/>
      </c>
      <c r="V248" s="385" t="str">
        <f t="shared" si="34"/>
        <v/>
      </c>
      <c r="W248" s="382" t="str">
        <f>IF(S248="","",VLOOKUP(S248,'G-1 All Habitats'!$B$2:$M$134,10,FALSE))</f>
        <v/>
      </c>
      <c r="X248" s="382" t="str">
        <f>IFERROR(VLOOKUP(W248,'G-1 All Habitats'!$V$3:$W$7,2,FALSE),"")</f>
        <v/>
      </c>
      <c r="Y248" s="165"/>
      <c r="Z248" s="386" t="str">
        <f>IFERROR(INDEX('G-8 Condition Look up'!$A$3:$H$135,MATCH(S248,'G-8 Condition Look up'!$A$3:$A$135,0),MATCH(Y248,'G-8 Condition Look up'!$A$3:$H$3,0)),"")</f>
        <v/>
      </c>
      <c r="AA248" s="114"/>
      <c r="AB248" s="401" t="str">
        <f>IF(AA248="","",IF(VLOOKUP(AA248,'G-3 Multipliers'!$L$3:$N$6,2,FALSE)=0,"Spatial Data Missing ⚠",VLOOKUP(AA248,'G-3 Multipliers'!$L$3:$N$6,2,FALSE)))</f>
        <v/>
      </c>
      <c r="AC248" s="386" t="str">
        <f>IF(AA248="","",IF(VLOOKUP(AA248,'G-3 Multipliers'!$L$3:$N$6,3,FALSE)=0,"Spatial Data Missing ⚠",VLOOKUP(AA248,'G-3 Multipliers'!$L$3:$N$6,3,FALSE)))</f>
        <v/>
      </c>
      <c r="AD248" s="398" t="str">
        <f t="shared" si="35"/>
        <v/>
      </c>
      <c r="AE248" s="165"/>
      <c r="AF248" s="165"/>
      <c r="AG248" s="382" t="str">
        <f t="shared" si="39"/>
        <v/>
      </c>
      <c r="AH248" s="404" t="str">
        <f t="shared" si="40"/>
        <v/>
      </c>
      <c r="AI248" s="387" t="str">
        <f>IF(AH248="Check Data ⚠","Check Data ⚠",IFERROR(VLOOKUP(AH248,'G-4 Temporal multipliers'!$A$4:$C$36,3,FALSE),""))</f>
        <v/>
      </c>
      <c r="AJ248" s="398" t="str">
        <f>IF(S248="","",VLOOKUP(S248,'G-3 Multipliers'!$A$2:$E$134,4,FALSE))</f>
        <v/>
      </c>
      <c r="AK248" s="382" t="str">
        <f t="shared" si="41"/>
        <v/>
      </c>
      <c r="AL248" s="382" t="str">
        <f t="shared" si="42"/>
        <v/>
      </c>
      <c r="AM248" s="386" t="str">
        <f>IFERROR(IF(F248="","",IF(AH248="Check Data ⚠","Check Data ⚠",VLOOKUP(AL248, 'G-3 Multipliers'!$P$2:$Q$6,2,FALSE))),"")</f>
        <v/>
      </c>
      <c r="AN248" s="516"/>
      <c r="AO248" s="417" t="str">
        <f>IF(AN248="","",IF(VLOOKUP(AN248,'G-3 Multipliers'!$S$3:$T$10,2,FALSE)=0,"Spatial Data Missing ⚠",VLOOKUP(AN248,'G-3 Multipliers'!$S$3:$T$10,2,FALSE)))</f>
        <v/>
      </c>
      <c r="AP248" s="376" t="str">
        <f t="shared" si="43"/>
        <v/>
      </c>
      <c r="AQ248" s="376" t="str">
        <f t="shared" si="44"/>
        <v/>
      </c>
      <c r="AR248" s="119"/>
      <c r="AS248" s="528"/>
      <c r="AT248" s="120"/>
      <c r="AU248" s="120"/>
    </row>
    <row r="249" spans="1:47">
      <c r="A249" s="30" t="str">
        <f>IF(E249="","",IF(ISNA(VLOOKUP($E249,'D-1 Off-Site Habitat Baseline'!$D$1:$O$258,2,FALSE)),"",(VLOOKUP($E249,'D-1 Off-Site Habitat Baseline'!$D$1:$O$258,2,FALSE))))</f>
        <v/>
      </c>
      <c r="B249" s="30" t="str">
        <f>IF(E249="","",IF(ISNA(VLOOKUP($E249,'D-1 Off-Site Habitat Baseline'!$D$1:$O$258,3,FALSE)),"",(VLOOKUP($E249,'D-1 Off-Site Habitat Baseline'!$D$1:$O$258,3,FALSE))))</f>
        <v/>
      </c>
      <c r="C249" s="30" t="str">
        <f>IFERROR(INDEX('G-8 Condition Look up'!$I$4:$I$135,MATCH(S249,'G-8 Condition Look up'!$A$4:$A$135,0)),"")</f>
        <v/>
      </c>
      <c r="E249" s="407" t="str">
        <f>'D-1 Off-Site Habitat Baseline'!AP248</f>
        <v/>
      </c>
      <c r="F249" s="382" t="str">
        <f>IF(E249="","",IF(ISNA(VLOOKUP($E249,'D-1 Off-Site Habitat Baseline'!$D$1:$O$258,4,FALSE)),"",(VLOOKUP($E249,'D-1 Off-Site Habitat Baseline'!$D$1:$O$258,4,FALSE))))</f>
        <v/>
      </c>
      <c r="G249" s="382" t="str">
        <f>IF(E249="","",IF(ISNA(VLOOKUP($E249,'D-1 Off-Site Habitat Baseline'!$D$1:$O$258,5,FALSE)),"",(VLOOKUP($E249,'D-1 Off-Site Habitat Baseline'!$D$1:$O$258,5,FALSE))))</f>
        <v/>
      </c>
      <c r="H249" s="382" t="str">
        <f>IF(E249="","",IF(ISNA(VLOOKUP($E249,'D-1 Off-Site Habitat Baseline'!$D$1:$O$258,6,FALSE)),"",(VLOOKUP($E249,'D-1 Off-Site Habitat Baseline'!$D$1:$O$258,6,FALSE))))</f>
        <v/>
      </c>
      <c r="I249" s="382" t="str">
        <f>IF(E249="","",IF(ISNA(VLOOKUP($E249,'D-1 Off-Site Habitat Baseline'!$D$1:$O$258,7,FALSE)),"",(VLOOKUP($E249,'D-1 Off-Site Habitat Baseline'!$D$1:$O$258,7,FALSE))))</f>
        <v/>
      </c>
      <c r="J249" s="382" t="str">
        <f>IF(E249="","",IF(ISNA(VLOOKUP($E249,'D-1 Off-Site Habitat Baseline'!$D$1:$O$258,8,FALSE)),"",(VLOOKUP($E249,'D-1 Off-Site Habitat Baseline'!$D$1:$O$258,8,FALSE))))</f>
        <v/>
      </c>
      <c r="K249" s="382" t="str">
        <f>IF(E249="","",IF(ISNA(VLOOKUP($E249,'D-1 Off-Site Habitat Baseline'!$D$1:$O$258,9,FALSE)),"",(VLOOKUP($E249,'D-1 Off-Site Habitat Baseline'!$D$1:$O$258,9,FALSE))))</f>
        <v/>
      </c>
      <c r="L249" s="382" t="str">
        <f>IF(E249="","",IF(ISNA(VLOOKUP($E249,'D-1 Off-Site Habitat Baseline'!$D$1:$O$258,11,FALSE)),"",(VLOOKUP($E249,'D-1 Off-Site Habitat Baseline'!$D$1:$O$258,11,FALSE))))</f>
        <v/>
      </c>
      <c r="M249" s="382" t="str">
        <f>IF(E249="","",IF(ISNA(VLOOKUP($E249,'D-1 Off-Site Habitat Baseline'!$D$1:$O$258,12,FALSE)),"",(VLOOKUP($E249,'D-1 Off-Site Habitat Baseline'!$D$1:$O$258,12,FALSE))))</f>
        <v/>
      </c>
      <c r="N249" s="382" t="str">
        <f>IF(E249="","",IF(ISNA(VLOOKUP($E249,'D-1 Off-Site Habitat Baseline'!$D$1:$AA$258,14,FALSE)),"",(VLOOKUP($E249,'D-1 Off-Site Habitat Baseline'!$D$1:$AA$258,14,FALSE))))</f>
        <v/>
      </c>
      <c r="O249" s="386" t="str">
        <f>IF(E249="","",IF(ISNA(VLOOKUP($E249,'D-1 Off-Site Habitat Baseline'!$D$1:$AA$258,13,FALSE)),"",(VLOOKUP($E249,'D-1 Off-Site Habitat Baseline'!$D$1:$AA$258,13,FALSE))))</f>
        <v/>
      </c>
      <c r="P249" s="184" t="str">
        <f>IFERROR(INDEX('G-1 All Habitats'!$AG$3:$AG$17,MATCH(Q249,'G-1 All Habitats'!$AF$3:$AF$17,0)),"")</f>
        <v/>
      </c>
      <c r="Q249" s="185" t="str">
        <f t="shared" si="36"/>
        <v/>
      </c>
      <c r="R249" s="186" t="str">
        <f t="shared" si="36"/>
        <v/>
      </c>
      <c r="S249" s="187" t="str">
        <f>IFERROR(INDEX('G-1 All Habitats'!$B$3:$B$134,MATCH(R249,'G-1 All Habitats'!$A$3:$A$134,0)),"")</f>
        <v/>
      </c>
      <c r="T249" s="370" t="str">
        <f t="shared" si="37"/>
        <v/>
      </c>
      <c r="U249" s="386" t="str">
        <f t="shared" si="38"/>
        <v/>
      </c>
      <c r="V249" s="385" t="str">
        <f t="shared" si="34"/>
        <v/>
      </c>
      <c r="W249" s="382" t="str">
        <f>IF(S249="","",VLOOKUP(S249,'G-1 All Habitats'!$B$2:$M$134,10,FALSE))</f>
        <v/>
      </c>
      <c r="X249" s="382" t="str">
        <f>IFERROR(VLOOKUP(W249,'G-1 All Habitats'!$V$3:$W$7,2,FALSE),"")</f>
        <v/>
      </c>
      <c r="Y249" s="165"/>
      <c r="Z249" s="386" t="str">
        <f>IFERROR(INDEX('G-8 Condition Look up'!$A$3:$H$135,MATCH(S249,'G-8 Condition Look up'!$A$3:$A$135,0),MATCH(Y249,'G-8 Condition Look up'!$A$3:$H$3,0)),"")</f>
        <v/>
      </c>
      <c r="AA249" s="114"/>
      <c r="AB249" s="401" t="str">
        <f>IF(AA249="","",IF(VLOOKUP(AA249,'G-3 Multipliers'!$L$3:$N$6,2,FALSE)=0,"Spatial Data Missing ⚠",VLOOKUP(AA249,'G-3 Multipliers'!$L$3:$N$6,2,FALSE)))</f>
        <v/>
      </c>
      <c r="AC249" s="386" t="str">
        <f>IF(AA249="","",IF(VLOOKUP(AA249,'G-3 Multipliers'!$L$3:$N$6,3,FALSE)=0,"Spatial Data Missing ⚠",VLOOKUP(AA249,'G-3 Multipliers'!$L$3:$N$6,3,FALSE)))</f>
        <v/>
      </c>
      <c r="AD249" s="398" t="str">
        <f t="shared" si="35"/>
        <v/>
      </c>
      <c r="AE249" s="165"/>
      <c r="AF249" s="165"/>
      <c r="AG249" s="382" t="str">
        <f t="shared" si="39"/>
        <v/>
      </c>
      <c r="AH249" s="404" t="str">
        <f t="shared" si="40"/>
        <v/>
      </c>
      <c r="AI249" s="387" t="str">
        <f>IF(AH249="Check Data ⚠","Check Data ⚠",IFERROR(VLOOKUP(AH249,'G-4 Temporal multipliers'!$A$4:$C$36,3,FALSE),""))</f>
        <v/>
      </c>
      <c r="AJ249" s="398" t="str">
        <f>IF(S249="","",VLOOKUP(S249,'G-3 Multipliers'!$A$2:$E$134,4,FALSE))</f>
        <v/>
      </c>
      <c r="AK249" s="382" t="str">
        <f t="shared" si="41"/>
        <v/>
      </c>
      <c r="AL249" s="382" t="str">
        <f t="shared" si="42"/>
        <v/>
      </c>
      <c r="AM249" s="386" t="str">
        <f>IFERROR(IF(F249="","",IF(AH249="Check Data ⚠","Check Data ⚠",VLOOKUP(AL249, 'G-3 Multipliers'!$P$2:$Q$6,2,FALSE))),"")</f>
        <v/>
      </c>
      <c r="AN249" s="516"/>
      <c r="AO249" s="417" t="str">
        <f>IF(AN249="","",IF(VLOOKUP(AN249,'G-3 Multipliers'!$S$3:$T$10,2,FALSE)=0,"Spatial Data Missing ⚠",VLOOKUP(AN249,'G-3 Multipliers'!$S$3:$T$10,2,FALSE)))</f>
        <v/>
      </c>
      <c r="AP249" s="376" t="str">
        <f t="shared" si="43"/>
        <v/>
      </c>
      <c r="AQ249" s="376" t="str">
        <f t="shared" si="44"/>
        <v/>
      </c>
      <c r="AR249" s="119"/>
      <c r="AS249" s="528"/>
      <c r="AT249" s="120"/>
      <c r="AU249" s="120"/>
    </row>
    <row r="250" spans="1:47">
      <c r="A250" s="30" t="str">
        <f>IF(E250="","",IF(ISNA(VLOOKUP($E250,'D-1 Off-Site Habitat Baseline'!$D$1:$O$258,2,FALSE)),"",(VLOOKUP($E250,'D-1 Off-Site Habitat Baseline'!$D$1:$O$258,2,FALSE))))</f>
        <v/>
      </c>
      <c r="B250" s="30" t="str">
        <f>IF(E250="","",IF(ISNA(VLOOKUP($E250,'D-1 Off-Site Habitat Baseline'!$D$1:$O$258,3,FALSE)),"",(VLOOKUP($E250,'D-1 Off-Site Habitat Baseline'!$D$1:$O$258,3,FALSE))))</f>
        <v/>
      </c>
      <c r="C250" s="30" t="str">
        <f>IFERROR(INDEX('G-8 Condition Look up'!$I$4:$I$135,MATCH(S250,'G-8 Condition Look up'!$A$4:$A$135,0)),"")</f>
        <v/>
      </c>
      <c r="E250" s="407" t="str">
        <f>'D-1 Off-Site Habitat Baseline'!AP249</f>
        <v/>
      </c>
      <c r="F250" s="382" t="str">
        <f>IF(E250="","",IF(ISNA(VLOOKUP($E250,'D-1 Off-Site Habitat Baseline'!$D$1:$O$258,4,FALSE)),"",(VLOOKUP($E250,'D-1 Off-Site Habitat Baseline'!$D$1:$O$258,4,FALSE))))</f>
        <v/>
      </c>
      <c r="G250" s="382" t="str">
        <f>IF(E250="","",IF(ISNA(VLOOKUP($E250,'D-1 Off-Site Habitat Baseline'!$D$1:$O$258,5,FALSE)),"",(VLOOKUP($E250,'D-1 Off-Site Habitat Baseline'!$D$1:$O$258,5,FALSE))))</f>
        <v/>
      </c>
      <c r="H250" s="382" t="str">
        <f>IF(E250="","",IF(ISNA(VLOOKUP($E250,'D-1 Off-Site Habitat Baseline'!$D$1:$O$258,6,FALSE)),"",(VLOOKUP($E250,'D-1 Off-Site Habitat Baseline'!$D$1:$O$258,6,FALSE))))</f>
        <v/>
      </c>
      <c r="I250" s="382" t="str">
        <f>IF(E250="","",IF(ISNA(VLOOKUP($E250,'D-1 Off-Site Habitat Baseline'!$D$1:$O$258,7,FALSE)),"",(VLOOKUP($E250,'D-1 Off-Site Habitat Baseline'!$D$1:$O$258,7,FALSE))))</f>
        <v/>
      </c>
      <c r="J250" s="382" t="str">
        <f>IF(E250="","",IF(ISNA(VLOOKUP($E250,'D-1 Off-Site Habitat Baseline'!$D$1:$O$258,8,FALSE)),"",(VLOOKUP($E250,'D-1 Off-Site Habitat Baseline'!$D$1:$O$258,8,FALSE))))</f>
        <v/>
      </c>
      <c r="K250" s="382" t="str">
        <f>IF(E250="","",IF(ISNA(VLOOKUP($E250,'D-1 Off-Site Habitat Baseline'!$D$1:$O$258,9,FALSE)),"",(VLOOKUP($E250,'D-1 Off-Site Habitat Baseline'!$D$1:$O$258,9,FALSE))))</f>
        <v/>
      </c>
      <c r="L250" s="382" t="str">
        <f>IF(E250="","",IF(ISNA(VLOOKUP($E250,'D-1 Off-Site Habitat Baseline'!$D$1:$O$258,11,FALSE)),"",(VLOOKUP($E250,'D-1 Off-Site Habitat Baseline'!$D$1:$O$258,11,FALSE))))</f>
        <v/>
      </c>
      <c r="M250" s="382" t="str">
        <f>IF(E250="","",IF(ISNA(VLOOKUP($E250,'D-1 Off-Site Habitat Baseline'!$D$1:$O$258,12,FALSE)),"",(VLOOKUP($E250,'D-1 Off-Site Habitat Baseline'!$D$1:$O$258,12,FALSE))))</f>
        <v/>
      </c>
      <c r="N250" s="382" t="str">
        <f>IF(E250="","",IF(ISNA(VLOOKUP($E250,'D-1 Off-Site Habitat Baseline'!$D$1:$AA$258,14,FALSE)),"",(VLOOKUP($E250,'D-1 Off-Site Habitat Baseline'!$D$1:$AA$258,14,FALSE))))</f>
        <v/>
      </c>
      <c r="O250" s="386" t="str">
        <f>IF(E250="","",IF(ISNA(VLOOKUP($E250,'D-1 Off-Site Habitat Baseline'!$D$1:$AA$258,13,FALSE)),"",(VLOOKUP($E250,'D-1 Off-Site Habitat Baseline'!$D$1:$AA$258,13,FALSE))))</f>
        <v/>
      </c>
      <c r="P250" s="184" t="str">
        <f>IFERROR(INDEX('G-1 All Habitats'!$AG$3:$AG$17,MATCH(Q250,'G-1 All Habitats'!$AF$3:$AF$17,0)),"")</f>
        <v/>
      </c>
      <c r="Q250" s="185" t="str">
        <f t="shared" si="36"/>
        <v/>
      </c>
      <c r="R250" s="186" t="str">
        <f t="shared" si="36"/>
        <v/>
      </c>
      <c r="S250" s="187" t="str">
        <f>IFERROR(INDEX('G-1 All Habitats'!$B$3:$B$134,MATCH(R250,'G-1 All Habitats'!$A$3:$A$134,0)),"")</f>
        <v/>
      </c>
      <c r="T250" s="370" t="str">
        <f t="shared" si="37"/>
        <v/>
      </c>
      <c r="U250" s="386" t="str">
        <f t="shared" si="38"/>
        <v/>
      </c>
      <c r="V250" s="385" t="str">
        <f t="shared" si="34"/>
        <v/>
      </c>
      <c r="W250" s="382" t="str">
        <f>IF(S250="","",VLOOKUP(S250,'G-1 All Habitats'!$B$2:$M$134,10,FALSE))</f>
        <v/>
      </c>
      <c r="X250" s="382" t="str">
        <f>IFERROR(VLOOKUP(W250,'G-1 All Habitats'!$V$3:$W$7,2,FALSE),"")</f>
        <v/>
      </c>
      <c r="Y250" s="165"/>
      <c r="Z250" s="386" t="str">
        <f>IFERROR(INDEX('G-8 Condition Look up'!$A$3:$H$135,MATCH(S250,'G-8 Condition Look up'!$A$3:$A$135,0),MATCH(Y250,'G-8 Condition Look up'!$A$3:$H$3,0)),"")</f>
        <v/>
      </c>
      <c r="AA250" s="114"/>
      <c r="AB250" s="401" t="str">
        <f>IF(AA250="","",IF(VLOOKUP(AA250,'G-3 Multipliers'!$L$3:$N$6,2,FALSE)=0,"Spatial Data Missing ⚠",VLOOKUP(AA250,'G-3 Multipliers'!$L$3:$N$6,2,FALSE)))</f>
        <v/>
      </c>
      <c r="AC250" s="386" t="str">
        <f>IF(AA250="","",IF(VLOOKUP(AA250,'G-3 Multipliers'!$L$3:$N$6,3,FALSE)=0,"Spatial Data Missing ⚠",VLOOKUP(AA250,'G-3 Multipliers'!$L$3:$N$6,3,FALSE)))</f>
        <v/>
      </c>
      <c r="AD250" s="398" t="str">
        <f t="shared" si="35"/>
        <v/>
      </c>
      <c r="AE250" s="165"/>
      <c r="AF250" s="165"/>
      <c r="AG250" s="382" t="str">
        <f t="shared" si="39"/>
        <v/>
      </c>
      <c r="AH250" s="404" t="str">
        <f t="shared" si="40"/>
        <v/>
      </c>
      <c r="AI250" s="387" t="str">
        <f>IF(AH250="Check Data ⚠","Check Data ⚠",IFERROR(VLOOKUP(AH250,'G-4 Temporal multipliers'!$A$4:$C$36,3,FALSE),""))</f>
        <v/>
      </c>
      <c r="AJ250" s="398" t="str">
        <f>IF(S250="","",VLOOKUP(S250,'G-3 Multipliers'!$A$2:$E$134,4,FALSE))</f>
        <v/>
      </c>
      <c r="AK250" s="382" t="str">
        <f t="shared" si="41"/>
        <v/>
      </c>
      <c r="AL250" s="382" t="str">
        <f t="shared" si="42"/>
        <v/>
      </c>
      <c r="AM250" s="386" t="str">
        <f>IFERROR(IF(F250="","",IF(AH250="Check Data ⚠","Check Data ⚠",VLOOKUP(AL250, 'G-3 Multipliers'!$P$2:$Q$6,2,FALSE))),"")</f>
        <v/>
      </c>
      <c r="AN250" s="516"/>
      <c r="AO250" s="417" t="str">
        <f>IF(AN250="","",IF(VLOOKUP(AN250,'G-3 Multipliers'!$S$3:$T$10,2,FALSE)=0,"Spatial Data Missing ⚠",VLOOKUP(AN250,'G-3 Multipliers'!$S$3:$T$10,2,FALSE)))</f>
        <v/>
      </c>
      <c r="AP250" s="376" t="str">
        <f t="shared" si="43"/>
        <v/>
      </c>
      <c r="AQ250" s="376" t="str">
        <f t="shared" si="44"/>
        <v/>
      </c>
      <c r="AR250" s="119"/>
      <c r="AS250" s="528"/>
      <c r="AT250" s="120"/>
      <c r="AU250" s="120"/>
    </row>
    <row r="251" spans="1:47">
      <c r="A251" s="30" t="str">
        <f>IF(E251="","",IF(ISNA(VLOOKUP($E251,'D-1 Off-Site Habitat Baseline'!$D$1:$O$258,2,FALSE)),"",(VLOOKUP($E251,'D-1 Off-Site Habitat Baseline'!$D$1:$O$258,2,FALSE))))</f>
        <v/>
      </c>
      <c r="B251" s="30" t="str">
        <f>IF(E251="","",IF(ISNA(VLOOKUP($E251,'D-1 Off-Site Habitat Baseline'!$D$1:$O$258,3,FALSE)),"",(VLOOKUP($E251,'D-1 Off-Site Habitat Baseline'!$D$1:$O$258,3,FALSE))))</f>
        <v/>
      </c>
      <c r="C251" s="30" t="str">
        <f>IFERROR(INDEX('G-8 Condition Look up'!$I$4:$I$135,MATCH(S251,'G-8 Condition Look up'!$A$4:$A$135,0)),"")</f>
        <v/>
      </c>
      <c r="E251" s="407" t="str">
        <f>'D-1 Off-Site Habitat Baseline'!AP250</f>
        <v/>
      </c>
      <c r="F251" s="382" t="str">
        <f>IF(E251="","",IF(ISNA(VLOOKUP($E251,'D-1 Off-Site Habitat Baseline'!$D$1:$O$258,4,FALSE)),"",(VLOOKUP($E251,'D-1 Off-Site Habitat Baseline'!$D$1:$O$258,4,FALSE))))</f>
        <v/>
      </c>
      <c r="G251" s="382" t="str">
        <f>IF(E251="","",IF(ISNA(VLOOKUP($E251,'D-1 Off-Site Habitat Baseline'!$D$1:$O$258,5,FALSE)),"",(VLOOKUP($E251,'D-1 Off-Site Habitat Baseline'!$D$1:$O$258,5,FALSE))))</f>
        <v/>
      </c>
      <c r="H251" s="382" t="str">
        <f>IF(E251="","",IF(ISNA(VLOOKUP($E251,'D-1 Off-Site Habitat Baseline'!$D$1:$O$258,6,FALSE)),"",(VLOOKUP($E251,'D-1 Off-Site Habitat Baseline'!$D$1:$O$258,6,FALSE))))</f>
        <v/>
      </c>
      <c r="I251" s="382" t="str">
        <f>IF(E251="","",IF(ISNA(VLOOKUP($E251,'D-1 Off-Site Habitat Baseline'!$D$1:$O$258,7,FALSE)),"",(VLOOKUP($E251,'D-1 Off-Site Habitat Baseline'!$D$1:$O$258,7,FALSE))))</f>
        <v/>
      </c>
      <c r="J251" s="382" t="str">
        <f>IF(E251="","",IF(ISNA(VLOOKUP($E251,'D-1 Off-Site Habitat Baseline'!$D$1:$O$258,8,FALSE)),"",(VLOOKUP($E251,'D-1 Off-Site Habitat Baseline'!$D$1:$O$258,8,FALSE))))</f>
        <v/>
      </c>
      <c r="K251" s="382" t="str">
        <f>IF(E251="","",IF(ISNA(VLOOKUP($E251,'D-1 Off-Site Habitat Baseline'!$D$1:$O$258,9,FALSE)),"",(VLOOKUP($E251,'D-1 Off-Site Habitat Baseline'!$D$1:$O$258,9,FALSE))))</f>
        <v/>
      </c>
      <c r="L251" s="382" t="str">
        <f>IF(E251="","",IF(ISNA(VLOOKUP($E251,'D-1 Off-Site Habitat Baseline'!$D$1:$O$258,11,FALSE)),"",(VLOOKUP($E251,'D-1 Off-Site Habitat Baseline'!$D$1:$O$258,11,FALSE))))</f>
        <v/>
      </c>
      <c r="M251" s="382" t="str">
        <f>IF(E251="","",IF(ISNA(VLOOKUP($E251,'D-1 Off-Site Habitat Baseline'!$D$1:$O$258,12,FALSE)),"",(VLOOKUP($E251,'D-1 Off-Site Habitat Baseline'!$D$1:$O$258,12,FALSE))))</f>
        <v/>
      </c>
      <c r="N251" s="382" t="str">
        <f>IF(E251="","",IF(ISNA(VLOOKUP($E251,'D-1 Off-Site Habitat Baseline'!$D$1:$AA$258,14,FALSE)),"",(VLOOKUP($E251,'D-1 Off-Site Habitat Baseline'!$D$1:$AA$258,14,FALSE))))</f>
        <v/>
      </c>
      <c r="O251" s="386" t="str">
        <f>IF(E251="","",IF(ISNA(VLOOKUP($E251,'D-1 Off-Site Habitat Baseline'!$D$1:$AA$258,13,FALSE)),"",(VLOOKUP($E251,'D-1 Off-Site Habitat Baseline'!$D$1:$AA$258,13,FALSE))))</f>
        <v/>
      </c>
      <c r="P251" s="184" t="str">
        <f>IFERROR(INDEX('G-1 All Habitats'!$AG$3:$AG$17,MATCH(Q251,'G-1 All Habitats'!$AF$3:$AF$17,0)),"")</f>
        <v/>
      </c>
      <c r="Q251" s="185" t="str">
        <f t="shared" si="36"/>
        <v/>
      </c>
      <c r="R251" s="186" t="str">
        <f t="shared" si="36"/>
        <v/>
      </c>
      <c r="S251" s="187" t="str">
        <f>IFERROR(INDEX('G-1 All Habitats'!$B$3:$B$134,MATCH(R251,'G-1 All Habitats'!$A$3:$A$134,0)),"")</f>
        <v/>
      </c>
      <c r="T251" s="370" t="str">
        <f t="shared" si="37"/>
        <v/>
      </c>
      <c r="U251" s="386" t="str">
        <f t="shared" si="38"/>
        <v/>
      </c>
      <c r="V251" s="385" t="str">
        <f t="shared" si="34"/>
        <v/>
      </c>
      <c r="W251" s="382" t="str">
        <f>IF(S251="","",VLOOKUP(S251,'G-1 All Habitats'!$B$2:$M$134,10,FALSE))</f>
        <v/>
      </c>
      <c r="X251" s="382" t="str">
        <f>IFERROR(VLOOKUP(W251,'G-1 All Habitats'!$V$3:$W$7,2,FALSE),"")</f>
        <v/>
      </c>
      <c r="Y251" s="165"/>
      <c r="Z251" s="386" t="str">
        <f>IFERROR(INDEX('G-8 Condition Look up'!$A$3:$H$135,MATCH(S251,'G-8 Condition Look up'!$A$3:$A$135,0),MATCH(Y251,'G-8 Condition Look up'!$A$3:$H$3,0)),"")</f>
        <v/>
      </c>
      <c r="AA251" s="114"/>
      <c r="AB251" s="401" t="str">
        <f>IF(AA251="","",IF(VLOOKUP(AA251,'G-3 Multipliers'!$L$3:$N$6,2,FALSE)=0,"Spatial Data Missing ⚠",VLOOKUP(AA251,'G-3 Multipliers'!$L$3:$N$6,2,FALSE)))</f>
        <v/>
      </c>
      <c r="AC251" s="386" t="str">
        <f>IF(AA251="","",IF(VLOOKUP(AA251,'G-3 Multipliers'!$L$3:$N$6,3,FALSE)=0,"Spatial Data Missing ⚠",VLOOKUP(AA251,'G-3 Multipliers'!$L$3:$N$6,3,FALSE)))</f>
        <v/>
      </c>
      <c r="AD251" s="398" t="str">
        <f t="shared" si="35"/>
        <v/>
      </c>
      <c r="AE251" s="165"/>
      <c r="AF251" s="165"/>
      <c r="AG251" s="382" t="str">
        <f t="shared" si="39"/>
        <v/>
      </c>
      <c r="AH251" s="404" t="str">
        <f t="shared" si="40"/>
        <v/>
      </c>
      <c r="AI251" s="387" t="str">
        <f>IF(AH251="Check Data ⚠","Check Data ⚠",IFERROR(VLOOKUP(AH251,'G-4 Temporal multipliers'!$A$4:$C$36,3,FALSE),""))</f>
        <v/>
      </c>
      <c r="AJ251" s="398" t="str">
        <f>IF(S251="","",VLOOKUP(S251,'G-3 Multipliers'!$A$2:$E$134,4,FALSE))</f>
        <v/>
      </c>
      <c r="AK251" s="382" t="str">
        <f t="shared" si="41"/>
        <v/>
      </c>
      <c r="AL251" s="382" t="str">
        <f t="shared" si="42"/>
        <v/>
      </c>
      <c r="AM251" s="386" t="str">
        <f>IFERROR(IF(F251="","",IF(AH251="Check Data ⚠","Check Data ⚠",VLOOKUP(AL251, 'G-3 Multipliers'!$P$2:$Q$6,2,FALSE))),"")</f>
        <v/>
      </c>
      <c r="AN251" s="516"/>
      <c r="AO251" s="417" t="str">
        <f>IF(AN251="","",IF(VLOOKUP(AN251,'G-3 Multipliers'!$S$3:$T$10,2,FALSE)=0,"Spatial Data Missing ⚠",VLOOKUP(AN251,'G-3 Multipliers'!$S$3:$T$10,2,FALSE)))</f>
        <v/>
      </c>
      <c r="AP251" s="376" t="str">
        <f t="shared" si="43"/>
        <v/>
      </c>
      <c r="AQ251" s="376" t="str">
        <f t="shared" si="44"/>
        <v/>
      </c>
      <c r="AR251" s="119"/>
      <c r="AS251" s="528"/>
      <c r="AT251" s="120"/>
      <c r="AU251" s="120"/>
    </row>
    <row r="252" spans="1:47">
      <c r="A252" s="30" t="str">
        <f>IF(E252="","",IF(ISNA(VLOOKUP($E252,'D-1 Off-Site Habitat Baseline'!$D$1:$O$258,2,FALSE)),"",(VLOOKUP($E252,'D-1 Off-Site Habitat Baseline'!$D$1:$O$258,2,FALSE))))</f>
        <v/>
      </c>
      <c r="B252" s="30" t="str">
        <f>IF(E252="","",IF(ISNA(VLOOKUP($E252,'D-1 Off-Site Habitat Baseline'!$D$1:$O$258,3,FALSE)),"",(VLOOKUP($E252,'D-1 Off-Site Habitat Baseline'!$D$1:$O$258,3,FALSE))))</f>
        <v/>
      </c>
      <c r="C252" s="30" t="str">
        <f>IFERROR(INDEX('G-8 Condition Look up'!$I$4:$I$135,MATCH(S252,'G-8 Condition Look up'!$A$4:$A$135,0)),"")</f>
        <v/>
      </c>
      <c r="E252" s="407" t="str">
        <f>'D-1 Off-Site Habitat Baseline'!AP251</f>
        <v/>
      </c>
      <c r="F252" s="382" t="str">
        <f>IF(E252="","",IF(ISNA(VLOOKUP($E252,'D-1 Off-Site Habitat Baseline'!$D$1:$O$258,4,FALSE)),"",(VLOOKUP($E252,'D-1 Off-Site Habitat Baseline'!$D$1:$O$258,4,FALSE))))</f>
        <v/>
      </c>
      <c r="G252" s="382" t="str">
        <f>IF(E252="","",IF(ISNA(VLOOKUP($E252,'D-1 Off-Site Habitat Baseline'!$D$1:$O$258,5,FALSE)),"",(VLOOKUP($E252,'D-1 Off-Site Habitat Baseline'!$D$1:$O$258,5,FALSE))))</f>
        <v/>
      </c>
      <c r="H252" s="382" t="str">
        <f>IF(E252="","",IF(ISNA(VLOOKUP($E252,'D-1 Off-Site Habitat Baseline'!$D$1:$O$258,6,FALSE)),"",(VLOOKUP($E252,'D-1 Off-Site Habitat Baseline'!$D$1:$O$258,6,FALSE))))</f>
        <v/>
      </c>
      <c r="I252" s="382" t="str">
        <f>IF(E252="","",IF(ISNA(VLOOKUP($E252,'D-1 Off-Site Habitat Baseline'!$D$1:$O$258,7,FALSE)),"",(VLOOKUP($E252,'D-1 Off-Site Habitat Baseline'!$D$1:$O$258,7,FALSE))))</f>
        <v/>
      </c>
      <c r="J252" s="382" t="str">
        <f>IF(E252="","",IF(ISNA(VLOOKUP($E252,'D-1 Off-Site Habitat Baseline'!$D$1:$O$258,8,FALSE)),"",(VLOOKUP($E252,'D-1 Off-Site Habitat Baseline'!$D$1:$O$258,8,FALSE))))</f>
        <v/>
      </c>
      <c r="K252" s="382" t="str">
        <f>IF(E252="","",IF(ISNA(VLOOKUP($E252,'D-1 Off-Site Habitat Baseline'!$D$1:$O$258,9,FALSE)),"",(VLOOKUP($E252,'D-1 Off-Site Habitat Baseline'!$D$1:$O$258,9,FALSE))))</f>
        <v/>
      </c>
      <c r="L252" s="382" t="str">
        <f>IF(E252="","",IF(ISNA(VLOOKUP($E252,'D-1 Off-Site Habitat Baseline'!$D$1:$O$258,11,FALSE)),"",(VLOOKUP($E252,'D-1 Off-Site Habitat Baseline'!$D$1:$O$258,11,FALSE))))</f>
        <v/>
      </c>
      <c r="M252" s="382" t="str">
        <f>IF(E252="","",IF(ISNA(VLOOKUP($E252,'D-1 Off-Site Habitat Baseline'!$D$1:$O$258,12,FALSE)),"",(VLOOKUP($E252,'D-1 Off-Site Habitat Baseline'!$D$1:$O$258,12,FALSE))))</f>
        <v/>
      </c>
      <c r="N252" s="382" t="str">
        <f>IF(E252="","",IF(ISNA(VLOOKUP($E252,'D-1 Off-Site Habitat Baseline'!$D$1:$AA$258,14,FALSE)),"",(VLOOKUP($E252,'D-1 Off-Site Habitat Baseline'!$D$1:$AA$258,14,FALSE))))</f>
        <v/>
      </c>
      <c r="O252" s="386" t="str">
        <f>IF(E252="","",IF(ISNA(VLOOKUP($E252,'D-1 Off-Site Habitat Baseline'!$D$1:$AA$258,13,FALSE)),"",(VLOOKUP($E252,'D-1 Off-Site Habitat Baseline'!$D$1:$AA$258,13,FALSE))))</f>
        <v/>
      </c>
      <c r="P252" s="184" t="str">
        <f>IFERROR(INDEX('G-1 All Habitats'!$AG$3:$AG$17,MATCH(Q252,'G-1 All Habitats'!$AF$3:$AF$17,0)),"")</f>
        <v/>
      </c>
      <c r="Q252" s="185" t="str">
        <f t="shared" si="36"/>
        <v/>
      </c>
      <c r="R252" s="186" t="str">
        <f t="shared" si="36"/>
        <v/>
      </c>
      <c r="S252" s="187" t="str">
        <f>IFERROR(INDEX('G-1 All Habitats'!$B$3:$B$134,MATCH(R252,'G-1 All Habitats'!$A$3:$A$134,0)),"")</f>
        <v/>
      </c>
      <c r="T252" s="370" t="str">
        <f t="shared" si="37"/>
        <v/>
      </c>
      <c r="U252" s="386" t="str">
        <f t="shared" si="38"/>
        <v/>
      </c>
      <c r="V252" s="385" t="str">
        <f t="shared" si="34"/>
        <v/>
      </c>
      <c r="W252" s="382" t="str">
        <f>IF(S252="","",VLOOKUP(S252,'G-1 All Habitats'!$B$2:$M$134,10,FALSE))</f>
        <v/>
      </c>
      <c r="X252" s="382" t="str">
        <f>IFERROR(VLOOKUP(W252,'G-1 All Habitats'!$V$3:$W$7,2,FALSE),"")</f>
        <v/>
      </c>
      <c r="Y252" s="165"/>
      <c r="Z252" s="386" t="str">
        <f>IFERROR(INDEX('G-8 Condition Look up'!$A$3:$H$135,MATCH(S252,'G-8 Condition Look up'!$A$3:$A$135,0),MATCH(Y252,'G-8 Condition Look up'!$A$3:$H$3,0)),"")</f>
        <v/>
      </c>
      <c r="AA252" s="114"/>
      <c r="AB252" s="401" t="str">
        <f>IF(AA252="","",IF(VLOOKUP(AA252,'G-3 Multipliers'!$L$3:$N$6,2,FALSE)=0,"Spatial Data Missing ⚠",VLOOKUP(AA252,'G-3 Multipliers'!$L$3:$N$6,2,FALSE)))</f>
        <v/>
      </c>
      <c r="AC252" s="386" t="str">
        <f>IF(AA252="","",IF(VLOOKUP(AA252,'G-3 Multipliers'!$L$3:$N$6,3,FALSE)=0,"Spatial Data Missing ⚠",VLOOKUP(AA252,'G-3 Multipliers'!$L$3:$N$6,3,FALSE)))</f>
        <v/>
      </c>
      <c r="AD252" s="398" t="str">
        <f t="shared" si="35"/>
        <v/>
      </c>
      <c r="AE252" s="165"/>
      <c r="AF252" s="165"/>
      <c r="AG252" s="382" t="str">
        <f t="shared" si="39"/>
        <v/>
      </c>
      <c r="AH252" s="404" t="str">
        <f t="shared" si="40"/>
        <v/>
      </c>
      <c r="AI252" s="387" t="str">
        <f>IF(AH252="Check Data ⚠","Check Data ⚠",IFERROR(VLOOKUP(AH252,'G-4 Temporal multipliers'!$A$4:$C$36,3,FALSE),""))</f>
        <v/>
      </c>
      <c r="AJ252" s="398" t="str">
        <f>IF(S252="","",VLOOKUP(S252,'G-3 Multipliers'!$A$2:$E$134,4,FALSE))</f>
        <v/>
      </c>
      <c r="AK252" s="382" t="str">
        <f t="shared" si="41"/>
        <v/>
      </c>
      <c r="AL252" s="382" t="str">
        <f t="shared" si="42"/>
        <v/>
      </c>
      <c r="AM252" s="386" t="str">
        <f>IFERROR(IF(F252="","",IF(AH252="Check Data ⚠","Check Data ⚠",VLOOKUP(AL252, 'G-3 Multipliers'!$P$2:$Q$6,2,FALSE))),"")</f>
        <v/>
      </c>
      <c r="AN252" s="516"/>
      <c r="AO252" s="417" t="str">
        <f>IF(AN252="","",IF(VLOOKUP(AN252,'G-3 Multipliers'!$S$3:$T$10,2,FALSE)=0,"Spatial Data Missing ⚠",VLOOKUP(AN252,'G-3 Multipliers'!$S$3:$T$10,2,FALSE)))</f>
        <v/>
      </c>
      <c r="AP252" s="376" t="str">
        <f t="shared" si="43"/>
        <v/>
      </c>
      <c r="AQ252" s="376" t="str">
        <f t="shared" si="44"/>
        <v/>
      </c>
      <c r="AR252" s="119"/>
      <c r="AS252" s="528"/>
      <c r="AT252" s="120"/>
      <c r="AU252" s="120"/>
    </row>
    <row r="253" spans="1:47">
      <c r="A253" s="30" t="str">
        <f>IF(E253="","",IF(ISNA(VLOOKUP($E253,'D-1 Off-Site Habitat Baseline'!$D$1:$O$258,2,FALSE)),"",(VLOOKUP($E253,'D-1 Off-Site Habitat Baseline'!$D$1:$O$258,2,FALSE))))</f>
        <v/>
      </c>
      <c r="B253" s="30" t="str">
        <f>IF(E253="","",IF(ISNA(VLOOKUP($E253,'D-1 Off-Site Habitat Baseline'!$D$1:$O$258,3,FALSE)),"",(VLOOKUP($E253,'D-1 Off-Site Habitat Baseline'!$D$1:$O$258,3,FALSE))))</f>
        <v/>
      </c>
      <c r="C253" s="30" t="str">
        <f>IFERROR(INDEX('G-8 Condition Look up'!$I$4:$I$135,MATCH(S253,'G-8 Condition Look up'!$A$4:$A$135,0)),"")</f>
        <v/>
      </c>
      <c r="E253" s="407" t="str">
        <f>'D-1 Off-Site Habitat Baseline'!AP252</f>
        <v/>
      </c>
      <c r="F253" s="382" t="str">
        <f>IF(E253="","",IF(ISNA(VLOOKUP($E253,'D-1 Off-Site Habitat Baseline'!$D$1:$O$258,4,FALSE)),"",(VLOOKUP($E253,'D-1 Off-Site Habitat Baseline'!$D$1:$O$258,4,FALSE))))</f>
        <v/>
      </c>
      <c r="G253" s="382" t="str">
        <f>IF(E253="","",IF(ISNA(VLOOKUP($E253,'D-1 Off-Site Habitat Baseline'!$D$1:$O$258,5,FALSE)),"",(VLOOKUP($E253,'D-1 Off-Site Habitat Baseline'!$D$1:$O$258,5,FALSE))))</f>
        <v/>
      </c>
      <c r="H253" s="382" t="str">
        <f>IF(E253="","",IF(ISNA(VLOOKUP($E253,'D-1 Off-Site Habitat Baseline'!$D$1:$O$258,6,FALSE)),"",(VLOOKUP($E253,'D-1 Off-Site Habitat Baseline'!$D$1:$O$258,6,FALSE))))</f>
        <v/>
      </c>
      <c r="I253" s="382" t="str">
        <f>IF(E253="","",IF(ISNA(VLOOKUP($E253,'D-1 Off-Site Habitat Baseline'!$D$1:$O$258,7,FALSE)),"",(VLOOKUP($E253,'D-1 Off-Site Habitat Baseline'!$D$1:$O$258,7,FALSE))))</f>
        <v/>
      </c>
      <c r="J253" s="382" t="str">
        <f>IF(E253="","",IF(ISNA(VLOOKUP($E253,'D-1 Off-Site Habitat Baseline'!$D$1:$O$258,8,FALSE)),"",(VLOOKUP($E253,'D-1 Off-Site Habitat Baseline'!$D$1:$O$258,8,FALSE))))</f>
        <v/>
      </c>
      <c r="K253" s="382" t="str">
        <f>IF(E253="","",IF(ISNA(VLOOKUP($E253,'D-1 Off-Site Habitat Baseline'!$D$1:$O$258,9,FALSE)),"",(VLOOKUP($E253,'D-1 Off-Site Habitat Baseline'!$D$1:$O$258,9,FALSE))))</f>
        <v/>
      </c>
      <c r="L253" s="382" t="str">
        <f>IF(E253="","",IF(ISNA(VLOOKUP($E253,'D-1 Off-Site Habitat Baseline'!$D$1:$O$258,11,FALSE)),"",(VLOOKUP($E253,'D-1 Off-Site Habitat Baseline'!$D$1:$O$258,11,FALSE))))</f>
        <v/>
      </c>
      <c r="M253" s="382" t="str">
        <f>IF(E253="","",IF(ISNA(VLOOKUP($E253,'D-1 Off-Site Habitat Baseline'!$D$1:$O$258,12,FALSE)),"",(VLOOKUP($E253,'D-1 Off-Site Habitat Baseline'!$D$1:$O$258,12,FALSE))))</f>
        <v/>
      </c>
      <c r="N253" s="382" t="str">
        <f>IF(E253="","",IF(ISNA(VLOOKUP($E253,'D-1 Off-Site Habitat Baseline'!$D$1:$AA$258,14,FALSE)),"",(VLOOKUP($E253,'D-1 Off-Site Habitat Baseline'!$D$1:$AA$258,14,FALSE))))</f>
        <v/>
      </c>
      <c r="O253" s="386" t="str">
        <f>IF(E253="","",IF(ISNA(VLOOKUP($E253,'D-1 Off-Site Habitat Baseline'!$D$1:$AA$258,13,FALSE)),"",(VLOOKUP($E253,'D-1 Off-Site Habitat Baseline'!$D$1:$AA$258,13,FALSE))))</f>
        <v/>
      </c>
      <c r="P253" s="184" t="str">
        <f>IFERROR(INDEX('G-1 All Habitats'!$AG$3:$AG$17,MATCH(Q253,'G-1 All Habitats'!$AF$3:$AF$17,0)),"")</f>
        <v/>
      </c>
      <c r="Q253" s="185" t="str">
        <f t="shared" si="36"/>
        <v/>
      </c>
      <c r="R253" s="186" t="str">
        <f t="shared" si="36"/>
        <v/>
      </c>
      <c r="S253" s="187" t="str">
        <f>IFERROR(INDEX('G-1 All Habitats'!$B$3:$B$134,MATCH(R253,'G-1 All Habitats'!$A$3:$A$134,0)),"")</f>
        <v/>
      </c>
      <c r="T253" s="370" t="str">
        <f t="shared" si="37"/>
        <v/>
      </c>
      <c r="U253" s="386" t="str">
        <f t="shared" si="38"/>
        <v/>
      </c>
      <c r="V253" s="385" t="str">
        <f t="shared" si="34"/>
        <v/>
      </c>
      <c r="W253" s="382" t="str">
        <f>IF(S253="","",VLOOKUP(S253,'G-1 All Habitats'!$B$2:$M$134,10,FALSE))</f>
        <v/>
      </c>
      <c r="X253" s="382" t="str">
        <f>IFERROR(VLOOKUP(W253,'G-1 All Habitats'!$V$3:$W$7,2,FALSE),"")</f>
        <v/>
      </c>
      <c r="Y253" s="165"/>
      <c r="Z253" s="386" t="str">
        <f>IFERROR(INDEX('G-8 Condition Look up'!$A$3:$H$135,MATCH(S253,'G-8 Condition Look up'!$A$3:$A$135,0),MATCH(Y253,'G-8 Condition Look up'!$A$3:$H$3,0)),"")</f>
        <v/>
      </c>
      <c r="AA253" s="114"/>
      <c r="AB253" s="401" t="str">
        <f>IF(AA253="","",IF(VLOOKUP(AA253,'G-3 Multipliers'!$L$3:$N$6,2,FALSE)=0,"Spatial Data Missing ⚠",VLOOKUP(AA253,'G-3 Multipliers'!$L$3:$N$6,2,FALSE)))</f>
        <v/>
      </c>
      <c r="AC253" s="386" t="str">
        <f>IF(AA253="","",IF(VLOOKUP(AA253,'G-3 Multipliers'!$L$3:$N$6,3,FALSE)=0,"Spatial Data Missing ⚠",VLOOKUP(AA253,'G-3 Multipliers'!$L$3:$N$6,3,FALSE)))</f>
        <v/>
      </c>
      <c r="AD253" s="398" t="str">
        <f t="shared" si="35"/>
        <v/>
      </c>
      <c r="AE253" s="165"/>
      <c r="AF253" s="165"/>
      <c r="AG253" s="382" t="str">
        <f t="shared" si="39"/>
        <v/>
      </c>
      <c r="AH253" s="404" t="str">
        <f t="shared" si="40"/>
        <v/>
      </c>
      <c r="AI253" s="387" t="str">
        <f>IF(AH253="Check Data ⚠","Check Data ⚠",IFERROR(VLOOKUP(AH253,'G-4 Temporal multipliers'!$A$4:$C$36,3,FALSE),""))</f>
        <v/>
      </c>
      <c r="AJ253" s="398" t="str">
        <f>IF(S253="","",VLOOKUP(S253,'G-3 Multipliers'!$A$2:$E$134,4,FALSE))</f>
        <v/>
      </c>
      <c r="AK253" s="382" t="str">
        <f t="shared" si="41"/>
        <v/>
      </c>
      <c r="AL253" s="382" t="str">
        <f t="shared" si="42"/>
        <v/>
      </c>
      <c r="AM253" s="386" t="str">
        <f>IFERROR(IF(F253="","",IF(AH253="Check Data ⚠","Check Data ⚠",VLOOKUP(AL253, 'G-3 Multipliers'!$P$2:$Q$6,2,FALSE))),"")</f>
        <v/>
      </c>
      <c r="AN253" s="516"/>
      <c r="AO253" s="417" t="str">
        <f>IF(AN253="","",IF(VLOOKUP(AN253,'G-3 Multipliers'!$S$3:$T$10,2,FALSE)=0,"Spatial Data Missing ⚠",VLOOKUP(AN253,'G-3 Multipliers'!$S$3:$T$10,2,FALSE)))</f>
        <v/>
      </c>
      <c r="AP253" s="376" t="str">
        <f t="shared" si="43"/>
        <v/>
      </c>
      <c r="AQ253" s="376" t="str">
        <f t="shared" si="44"/>
        <v/>
      </c>
      <c r="AR253" s="119"/>
      <c r="AS253" s="528"/>
      <c r="AT253" s="120"/>
      <c r="AU253" s="120"/>
    </row>
    <row r="254" spans="1:47">
      <c r="A254" s="30" t="str">
        <f>IF(E254="","",IF(ISNA(VLOOKUP($E254,'D-1 Off-Site Habitat Baseline'!$D$1:$O$258,2,FALSE)),"",(VLOOKUP($E254,'D-1 Off-Site Habitat Baseline'!$D$1:$O$258,2,FALSE))))</f>
        <v/>
      </c>
      <c r="B254" s="30" t="str">
        <f>IF(E254="","",IF(ISNA(VLOOKUP($E254,'D-1 Off-Site Habitat Baseline'!$D$1:$O$258,3,FALSE)),"",(VLOOKUP($E254,'D-1 Off-Site Habitat Baseline'!$D$1:$O$258,3,FALSE))))</f>
        <v/>
      </c>
      <c r="C254" s="30" t="str">
        <f>IFERROR(INDEX('G-8 Condition Look up'!$I$4:$I$135,MATCH(S254,'G-8 Condition Look up'!$A$4:$A$135,0)),"")</f>
        <v/>
      </c>
      <c r="E254" s="407" t="str">
        <f>'D-1 Off-Site Habitat Baseline'!AP253</f>
        <v/>
      </c>
      <c r="F254" s="382" t="str">
        <f>IF(E254="","",IF(ISNA(VLOOKUP($E254,'D-1 Off-Site Habitat Baseline'!$D$1:$O$258,4,FALSE)),"",(VLOOKUP($E254,'D-1 Off-Site Habitat Baseline'!$D$1:$O$258,4,FALSE))))</f>
        <v/>
      </c>
      <c r="G254" s="382" t="str">
        <f>IF(E254="","",IF(ISNA(VLOOKUP($E254,'D-1 Off-Site Habitat Baseline'!$D$1:$O$258,5,FALSE)),"",(VLOOKUP($E254,'D-1 Off-Site Habitat Baseline'!$D$1:$O$258,5,FALSE))))</f>
        <v/>
      </c>
      <c r="H254" s="382" t="str">
        <f>IF(E254="","",IF(ISNA(VLOOKUP($E254,'D-1 Off-Site Habitat Baseline'!$D$1:$O$258,6,FALSE)),"",(VLOOKUP($E254,'D-1 Off-Site Habitat Baseline'!$D$1:$O$258,6,FALSE))))</f>
        <v/>
      </c>
      <c r="I254" s="382" t="str">
        <f>IF(E254="","",IF(ISNA(VLOOKUP($E254,'D-1 Off-Site Habitat Baseline'!$D$1:$O$258,7,FALSE)),"",(VLOOKUP($E254,'D-1 Off-Site Habitat Baseline'!$D$1:$O$258,7,FALSE))))</f>
        <v/>
      </c>
      <c r="J254" s="382" t="str">
        <f>IF(E254="","",IF(ISNA(VLOOKUP($E254,'D-1 Off-Site Habitat Baseline'!$D$1:$O$258,8,FALSE)),"",(VLOOKUP($E254,'D-1 Off-Site Habitat Baseline'!$D$1:$O$258,8,FALSE))))</f>
        <v/>
      </c>
      <c r="K254" s="382" t="str">
        <f>IF(E254="","",IF(ISNA(VLOOKUP($E254,'D-1 Off-Site Habitat Baseline'!$D$1:$O$258,9,FALSE)),"",(VLOOKUP($E254,'D-1 Off-Site Habitat Baseline'!$D$1:$O$258,9,FALSE))))</f>
        <v/>
      </c>
      <c r="L254" s="382" t="str">
        <f>IF(E254="","",IF(ISNA(VLOOKUP($E254,'D-1 Off-Site Habitat Baseline'!$D$1:$O$258,11,FALSE)),"",(VLOOKUP($E254,'D-1 Off-Site Habitat Baseline'!$D$1:$O$258,11,FALSE))))</f>
        <v/>
      </c>
      <c r="M254" s="382" t="str">
        <f>IF(E254="","",IF(ISNA(VLOOKUP($E254,'D-1 Off-Site Habitat Baseline'!$D$1:$O$258,12,FALSE)),"",(VLOOKUP($E254,'D-1 Off-Site Habitat Baseline'!$D$1:$O$258,12,FALSE))))</f>
        <v/>
      </c>
      <c r="N254" s="382" t="str">
        <f>IF(E254="","",IF(ISNA(VLOOKUP($E254,'D-1 Off-Site Habitat Baseline'!$D$1:$AA$258,14,FALSE)),"",(VLOOKUP($E254,'D-1 Off-Site Habitat Baseline'!$D$1:$AA$258,14,FALSE))))</f>
        <v/>
      </c>
      <c r="O254" s="386" t="str">
        <f>IF(E254="","",IF(ISNA(VLOOKUP($E254,'D-1 Off-Site Habitat Baseline'!$D$1:$AA$258,13,FALSE)),"",(VLOOKUP($E254,'D-1 Off-Site Habitat Baseline'!$D$1:$AA$258,13,FALSE))))</f>
        <v/>
      </c>
      <c r="P254" s="184" t="str">
        <f>IFERROR(INDEX('G-1 All Habitats'!$AG$3:$AG$17,MATCH(Q254,'G-1 All Habitats'!$AF$3:$AF$17,0)),"")</f>
        <v/>
      </c>
      <c r="Q254" s="185" t="str">
        <f t="shared" si="36"/>
        <v/>
      </c>
      <c r="R254" s="186" t="str">
        <f t="shared" si="36"/>
        <v/>
      </c>
      <c r="S254" s="187" t="str">
        <f>IFERROR(INDEX('G-1 All Habitats'!$B$3:$B$134,MATCH(R254,'G-1 All Habitats'!$A$3:$A$134,0)),"")</f>
        <v/>
      </c>
      <c r="T254" s="370" t="str">
        <f t="shared" si="37"/>
        <v/>
      </c>
      <c r="U254" s="386" t="str">
        <f t="shared" si="38"/>
        <v/>
      </c>
      <c r="V254" s="385" t="str">
        <f t="shared" si="34"/>
        <v/>
      </c>
      <c r="W254" s="382" t="str">
        <f>IF(S254="","",VLOOKUP(S254,'G-1 All Habitats'!$B$2:$M$134,10,FALSE))</f>
        <v/>
      </c>
      <c r="X254" s="382" t="str">
        <f>IFERROR(VLOOKUP(W254,'G-1 All Habitats'!$V$3:$W$7,2,FALSE),"")</f>
        <v/>
      </c>
      <c r="Y254" s="165"/>
      <c r="Z254" s="386" t="str">
        <f>IFERROR(INDEX('G-8 Condition Look up'!$A$3:$H$135,MATCH(S254,'G-8 Condition Look up'!$A$3:$A$135,0),MATCH(Y254,'G-8 Condition Look up'!$A$3:$H$3,0)),"")</f>
        <v/>
      </c>
      <c r="AA254" s="114"/>
      <c r="AB254" s="401" t="str">
        <f>IF(AA254="","",IF(VLOOKUP(AA254,'G-3 Multipliers'!$L$3:$N$6,2,FALSE)=0,"Spatial Data Missing ⚠",VLOOKUP(AA254,'G-3 Multipliers'!$L$3:$N$6,2,FALSE)))</f>
        <v/>
      </c>
      <c r="AC254" s="386" t="str">
        <f>IF(AA254="","",IF(VLOOKUP(AA254,'G-3 Multipliers'!$L$3:$N$6,3,FALSE)=0,"Spatial Data Missing ⚠",VLOOKUP(AA254,'G-3 Multipliers'!$L$3:$N$6,3,FALSE)))</f>
        <v/>
      </c>
      <c r="AD254" s="398" t="str">
        <f t="shared" si="35"/>
        <v/>
      </c>
      <c r="AE254" s="165"/>
      <c r="AF254" s="165"/>
      <c r="AG254" s="382" t="str">
        <f t="shared" si="39"/>
        <v/>
      </c>
      <c r="AH254" s="404" t="str">
        <f t="shared" si="40"/>
        <v/>
      </c>
      <c r="AI254" s="387" t="str">
        <f>IF(AH254="Check Data ⚠","Check Data ⚠",IFERROR(VLOOKUP(AH254,'G-4 Temporal multipliers'!$A$4:$C$36,3,FALSE),""))</f>
        <v/>
      </c>
      <c r="AJ254" s="398" t="str">
        <f>IF(S254="","",VLOOKUP(S254,'G-3 Multipliers'!$A$2:$E$134,4,FALSE))</f>
        <v/>
      </c>
      <c r="AK254" s="382" t="str">
        <f t="shared" si="41"/>
        <v/>
      </c>
      <c r="AL254" s="382" t="str">
        <f t="shared" si="42"/>
        <v/>
      </c>
      <c r="AM254" s="386" t="str">
        <f>IFERROR(IF(F254="","",IF(AH254="Check Data ⚠","Check Data ⚠",VLOOKUP(AL254, 'G-3 Multipliers'!$P$2:$Q$6,2,FALSE))),"")</f>
        <v/>
      </c>
      <c r="AN254" s="516"/>
      <c r="AO254" s="417" t="str">
        <f>IF(AN254="","",IF(VLOOKUP(AN254,'G-3 Multipliers'!$S$3:$T$10,2,FALSE)=0,"Spatial Data Missing ⚠",VLOOKUP(AN254,'G-3 Multipliers'!$S$3:$T$10,2,FALSE)))</f>
        <v/>
      </c>
      <c r="AP254" s="376" t="str">
        <f t="shared" si="43"/>
        <v/>
      </c>
      <c r="AQ254" s="376" t="str">
        <f t="shared" si="44"/>
        <v/>
      </c>
      <c r="AR254" s="119"/>
      <c r="AS254" s="528"/>
      <c r="AT254" s="120"/>
      <c r="AU254" s="120"/>
    </row>
    <row r="255" spans="1:47">
      <c r="A255" s="30" t="str">
        <f>IF(E255="","",IF(ISNA(VLOOKUP($E255,'D-1 Off-Site Habitat Baseline'!$D$1:$O$258,2,FALSE)),"",(VLOOKUP($E255,'D-1 Off-Site Habitat Baseline'!$D$1:$O$258,2,FALSE))))</f>
        <v/>
      </c>
      <c r="B255" s="30" t="str">
        <f>IF(E255="","",IF(ISNA(VLOOKUP($E255,'D-1 Off-Site Habitat Baseline'!$D$1:$O$258,3,FALSE)),"",(VLOOKUP($E255,'D-1 Off-Site Habitat Baseline'!$D$1:$O$258,3,FALSE))))</f>
        <v/>
      </c>
      <c r="C255" s="30" t="str">
        <f>IFERROR(INDEX('G-8 Condition Look up'!$I$4:$I$135,MATCH(S255,'G-8 Condition Look up'!$A$4:$A$135,0)),"")</f>
        <v/>
      </c>
      <c r="E255" s="407" t="str">
        <f>'D-1 Off-Site Habitat Baseline'!AP254</f>
        <v/>
      </c>
      <c r="F255" s="382" t="str">
        <f>IF(E255="","",IF(ISNA(VLOOKUP($E255,'D-1 Off-Site Habitat Baseline'!$D$1:$O$258,4,FALSE)),"",(VLOOKUP($E255,'D-1 Off-Site Habitat Baseline'!$D$1:$O$258,4,FALSE))))</f>
        <v/>
      </c>
      <c r="G255" s="382" t="str">
        <f>IF(E255="","",IF(ISNA(VLOOKUP($E255,'D-1 Off-Site Habitat Baseline'!$D$1:$O$258,5,FALSE)),"",(VLOOKUP($E255,'D-1 Off-Site Habitat Baseline'!$D$1:$O$258,5,FALSE))))</f>
        <v/>
      </c>
      <c r="H255" s="382" t="str">
        <f>IF(E255="","",IF(ISNA(VLOOKUP($E255,'D-1 Off-Site Habitat Baseline'!$D$1:$O$258,6,FALSE)),"",(VLOOKUP($E255,'D-1 Off-Site Habitat Baseline'!$D$1:$O$258,6,FALSE))))</f>
        <v/>
      </c>
      <c r="I255" s="382" t="str">
        <f>IF(E255="","",IF(ISNA(VLOOKUP($E255,'D-1 Off-Site Habitat Baseline'!$D$1:$O$258,7,FALSE)),"",(VLOOKUP($E255,'D-1 Off-Site Habitat Baseline'!$D$1:$O$258,7,FALSE))))</f>
        <v/>
      </c>
      <c r="J255" s="382" t="str">
        <f>IF(E255="","",IF(ISNA(VLOOKUP($E255,'D-1 Off-Site Habitat Baseline'!$D$1:$O$258,8,FALSE)),"",(VLOOKUP($E255,'D-1 Off-Site Habitat Baseline'!$D$1:$O$258,8,FALSE))))</f>
        <v/>
      </c>
      <c r="K255" s="382" t="str">
        <f>IF(E255="","",IF(ISNA(VLOOKUP($E255,'D-1 Off-Site Habitat Baseline'!$D$1:$O$258,9,FALSE)),"",(VLOOKUP($E255,'D-1 Off-Site Habitat Baseline'!$D$1:$O$258,9,FALSE))))</f>
        <v/>
      </c>
      <c r="L255" s="382" t="str">
        <f>IF(E255="","",IF(ISNA(VLOOKUP($E255,'D-1 Off-Site Habitat Baseline'!$D$1:$O$258,11,FALSE)),"",(VLOOKUP($E255,'D-1 Off-Site Habitat Baseline'!$D$1:$O$258,11,FALSE))))</f>
        <v/>
      </c>
      <c r="M255" s="382" t="str">
        <f>IF(E255="","",IF(ISNA(VLOOKUP($E255,'D-1 Off-Site Habitat Baseline'!$D$1:$O$258,12,FALSE)),"",(VLOOKUP($E255,'D-1 Off-Site Habitat Baseline'!$D$1:$O$258,12,FALSE))))</f>
        <v/>
      </c>
      <c r="N255" s="382" t="str">
        <f>IF(E255="","",IF(ISNA(VLOOKUP($E255,'D-1 Off-Site Habitat Baseline'!$D$1:$AA$258,14,FALSE)),"",(VLOOKUP($E255,'D-1 Off-Site Habitat Baseline'!$D$1:$AA$258,14,FALSE))))</f>
        <v/>
      </c>
      <c r="O255" s="386" t="str">
        <f>IF(E255="","",IF(ISNA(VLOOKUP($E255,'D-1 Off-Site Habitat Baseline'!$D$1:$AA$258,13,FALSE)),"",(VLOOKUP($E255,'D-1 Off-Site Habitat Baseline'!$D$1:$AA$258,13,FALSE))))</f>
        <v/>
      </c>
      <c r="P255" s="184" t="str">
        <f>IFERROR(INDEX('G-1 All Habitats'!$AG$3:$AG$17,MATCH(Q255,'G-1 All Habitats'!$AF$3:$AF$17,0)),"")</f>
        <v/>
      </c>
      <c r="Q255" s="185" t="str">
        <f t="shared" si="36"/>
        <v/>
      </c>
      <c r="R255" s="186" t="str">
        <f t="shared" si="36"/>
        <v/>
      </c>
      <c r="S255" s="187" t="str">
        <f>IFERROR(INDEX('G-1 All Habitats'!$B$3:$B$134,MATCH(R255,'G-1 All Habitats'!$A$3:$A$134,0)),"")</f>
        <v/>
      </c>
      <c r="T255" s="370" t="str">
        <f t="shared" si="37"/>
        <v/>
      </c>
      <c r="U255" s="386" t="str">
        <f t="shared" si="38"/>
        <v/>
      </c>
      <c r="V255" s="385" t="str">
        <f t="shared" si="34"/>
        <v/>
      </c>
      <c r="W255" s="382" t="str">
        <f>IF(S255="","",VLOOKUP(S255,'G-1 All Habitats'!$B$2:$M$134,10,FALSE))</f>
        <v/>
      </c>
      <c r="X255" s="382" t="str">
        <f>IFERROR(VLOOKUP(W255,'G-1 All Habitats'!$V$3:$W$7,2,FALSE),"")</f>
        <v/>
      </c>
      <c r="Y255" s="165"/>
      <c r="Z255" s="386" t="str">
        <f>IFERROR(INDEX('G-8 Condition Look up'!$A$3:$H$135,MATCH(S255,'G-8 Condition Look up'!$A$3:$A$135,0),MATCH(Y255,'G-8 Condition Look up'!$A$3:$H$3,0)),"")</f>
        <v/>
      </c>
      <c r="AA255" s="114"/>
      <c r="AB255" s="401" t="str">
        <f>IF(AA255="","",IF(VLOOKUP(AA255,'G-3 Multipliers'!$L$3:$N$6,2,FALSE)=0,"Spatial Data Missing ⚠",VLOOKUP(AA255,'G-3 Multipliers'!$L$3:$N$6,2,FALSE)))</f>
        <v/>
      </c>
      <c r="AC255" s="386" t="str">
        <f>IF(AA255="","",IF(VLOOKUP(AA255,'G-3 Multipliers'!$L$3:$N$6,3,FALSE)=0,"Spatial Data Missing ⚠",VLOOKUP(AA255,'G-3 Multipliers'!$L$3:$N$6,3,FALSE)))</f>
        <v/>
      </c>
      <c r="AD255" s="398" t="str">
        <f t="shared" si="35"/>
        <v/>
      </c>
      <c r="AE255" s="165"/>
      <c r="AF255" s="165"/>
      <c r="AG255" s="382" t="str">
        <f t="shared" si="39"/>
        <v/>
      </c>
      <c r="AH255" s="404" t="str">
        <f t="shared" si="40"/>
        <v/>
      </c>
      <c r="AI255" s="387" t="str">
        <f>IF(AH255="Check Data ⚠","Check Data ⚠",IFERROR(VLOOKUP(AH255,'G-4 Temporal multipliers'!$A$4:$C$36,3,FALSE),""))</f>
        <v/>
      </c>
      <c r="AJ255" s="398" t="str">
        <f>IF(S255="","",VLOOKUP(S255,'G-3 Multipliers'!$A$2:$E$134,4,FALSE))</f>
        <v/>
      </c>
      <c r="AK255" s="382" t="str">
        <f t="shared" si="41"/>
        <v/>
      </c>
      <c r="AL255" s="382" t="str">
        <f t="shared" si="42"/>
        <v/>
      </c>
      <c r="AM255" s="386" t="str">
        <f>IFERROR(IF(F255="","",IF(AH255="Check Data ⚠","Check Data ⚠",VLOOKUP(AL255, 'G-3 Multipliers'!$P$2:$Q$6,2,FALSE))),"")</f>
        <v/>
      </c>
      <c r="AN255" s="516"/>
      <c r="AO255" s="417" t="str">
        <f>IF(AN255="","",IF(VLOOKUP(AN255,'G-3 Multipliers'!$S$3:$T$10,2,FALSE)=0,"Spatial Data Missing ⚠",VLOOKUP(AN255,'G-3 Multipliers'!$S$3:$T$10,2,FALSE)))</f>
        <v/>
      </c>
      <c r="AP255" s="376" t="str">
        <f t="shared" si="43"/>
        <v/>
      </c>
      <c r="AQ255" s="376" t="str">
        <f t="shared" si="44"/>
        <v/>
      </c>
      <c r="AR255" s="119"/>
      <c r="AS255" s="528"/>
      <c r="AT255" s="120"/>
      <c r="AU255" s="120"/>
    </row>
    <row r="256" spans="1:47">
      <c r="A256" s="30" t="str">
        <f>IF(E256="","",IF(ISNA(VLOOKUP($E256,'D-1 Off-Site Habitat Baseline'!$D$1:$O$258,2,FALSE)),"",(VLOOKUP($E256,'D-1 Off-Site Habitat Baseline'!$D$1:$O$258,2,FALSE))))</f>
        <v/>
      </c>
      <c r="B256" s="30" t="str">
        <f>IF(E256="","",IF(ISNA(VLOOKUP($E256,'D-1 Off-Site Habitat Baseline'!$D$1:$O$258,3,FALSE)),"",(VLOOKUP($E256,'D-1 Off-Site Habitat Baseline'!$D$1:$O$258,3,FALSE))))</f>
        <v/>
      </c>
      <c r="C256" s="30" t="str">
        <f>IFERROR(INDEX('G-8 Condition Look up'!$I$4:$I$135,MATCH(S256,'G-8 Condition Look up'!$A$4:$A$135,0)),"")</f>
        <v/>
      </c>
      <c r="E256" s="407" t="str">
        <f>'D-1 Off-Site Habitat Baseline'!AP255</f>
        <v/>
      </c>
      <c r="F256" s="382" t="str">
        <f>IF(E256="","",IF(ISNA(VLOOKUP($E256,'D-1 Off-Site Habitat Baseline'!$D$1:$O$258,4,FALSE)),"",(VLOOKUP($E256,'D-1 Off-Site Habitat Baseline'!$D$1:$O$258,4,FALSE))))</f>
        <v/>
      </c>
      <c r="G256" s="382" t="str">
        <f>IF(E256="","",IF(ISNA(VLOOKUP($E256,'D-1 Off-Site Habitat Baseline'!$D$1:$O$258,5,FALSE)),"",(VLOOKUP($E256,'D-1 Off-Site Habitat Baseline'!$D$1:$O$258,5,FALSE))))</f>
        <v/>
      </c>
      <c r="H256" s="382" t="str">
        <f>IF(E256="","",IF(ISNA(VLOOKUP($E256,'D-1 Off-Site Habitat Baseline'!$D$1:$O$258,6,FALSE)),"",(VLOOKUP($E256,'D-1 Off-Site Habitat Baseline'!$D$1:$O$258,6,FALSE))))</f>
        <v/>
      </c>
      <c r="I256" s="382" t="str">
        <f>IF(E256="","",IF(ISNA(VLOOKUP($E256,'D-1 Off-Site Habitat Baseline'!$D$1:$O$258,7,FALSE)),"",(VLOOKUP($E256,'D-1 Off-Site Habitat Baseline'!$D$1:$O$258,7,FALSE))))</f>
        <v/>
      </c>
      <c r="J256" s="382" t="str">
        <f>IF(E256="","",IF(ISNA(VLOOKUP($E256,'D-1 Off-Site Habitat Baseline'!$D$1:$O$258,8,FALSE)),"",(VLOOKUP($E256,'D-1 Off-Site Habitat Baseline'!$D$1:$O$258,8,FALSE))))</f>
        <v/>
      </c>
      <c r="K256" s="382" t="str">
        <f>IF(E256="","",IF(ISNA(VLOOKUP($E256,'D-1 Off-Site Habitat Baseline'!$D$1:$O$258,9,FALSE)),"",(VLOOKUP($E256,'D-1 Off-Site Habitat Baseline'!$D$1:$O$258,9,FALSE))))</f>
        <v/>
      </c>
      <c r="L256" s="382" t="str">
        <f>IF(E256="","",IF(ISNA(VLOOKUP($E256,'D-1 Off-Site Habitat Baseline'!$D$1:$O$258,11,FALSE)),"",(VLOOKUP($E256,'D-1 Off-Site Habitat Baseline'!$D$1:$O$258,11,FALSE))))</f>
        <v/>
      </c>
      <c r="M256" s="382" t="str">
        <f>IF(E256="","",IF(ISNA(VLOOKUP($E256,'D-1 Off-Site Habitat Baseline'!$D$1:$O$258,12,FALSE)),"",(VLOOKUP($E256,'D-1 Off-Site Habitat Baseline'!$D$1:$O$258,12,FALSE))))</f>
        <v/>
      </c>
      <c r="N256" s="382" t="str">
        <f>IF(E256="","",IF(ISNA(VLOOKUP($E256,'D-1 Off-Site Habitat Baseline'!$D$1:$AA$258,14,FALSE)),"",(VLOOKUP($E256,'D-1 Off-Site Habitat Baseline'!$D$1:$AA$258,14,FALSE))))</f>
        <v/>
      </c>
      <c r="O256" s="386" t="str">
        <f>IF(E256="","",IF(ISNA(VLOOKUP($E256,'D-1 Off-Site Habitat Baseline'!$D$1:$AA$258,13,FALSE)),"",(VLOOKUP($E256,'D-1 Off-Site Habitat Baseline'!$D$1:$AA$258,13,FALSE))))</f>
        <v/>
      </c>
      <c r="P256" s="184" t="str">
        <f>IFERROR(INDEX('G-1 All Habitats'!$AG$3:$AG$17,MATCH(Q256,'G-1 All Habitats'!$AF$3:$AF$17,0)),"")</f>
        <v/>
      </c>
      <c r="Q256" s="185" t="str">
        <f t="shared" si="36"/>
        <v/>
      </c>
      <c r="R256" s="186" t="str">
        <f t="shared" si="36"/>
        <v/>
      </c>
      <c r="S256" s="187" t="str">
        <f>IFERROR(INDEX('G-1 All Habitats'!$B$3:$B$134,MATCH(R256,'G-1 All Habitats'!$A$3:$A$134,0)),"")</f>
        <v/>
      </c>
      <c r="T256" s="370" t="str">
        <f t="shared" si="37"/>
        <v/>
      </c>
      <c r="U256" s="386" t="str">
        <f t="shared" si="38"/>
        <v/>
      </c>
      <c r="V256" s="385" t="str">
        <f t="shared" si="34"/>
        <v/>
      </c>
      <c r="W256" s="382" t="str">
        <f>IF(S256="","",VLOOKUP(S256,'G-1 All Habitats'!$B$2:$M$134,10,FALSE))</f>
        <v/>
      </c>
      <c r="X256" s="382" t="str">
        <f>IFERROR(VLOOKUP(W256,'G-1 All Habitats'!$V$3:$W$7,2,FALSE),"")</f>
        <v/>
      </c>
      <c r="Y256" s="165"/>
      <c r="Z256" s="386" t="str">
        <f>IFERROR(INDEX('G-8 Condition Look up'!$A$3:$H$135,MATCH(S256,'G-8 Condition Look up'!$A$3:$A$135,0),MATCH(Y256,'G-8 Condition Look up'!$A$3:$H$3,0)),"")</f>
        <v/>
      </c>
      <c r="AA256" s="114"/>
      <c r="AB256" s="401" t="str">
        <f>IF(AA256="","",IF(VLOOKUP(AA256,'G-3 Multipliers'!$L$3:$N$6,2,FALSE)=0,"Spatial Data Missing ⚠",VLOOKUP(AA256,'G-3 Multipliers'!$L$3:$N$6,2,FALSE)))</f>
        <v/>
      </c>
      <c r="AC256" s="386" t="str">
        <f>IF(AA256="","",IF(VLOOKUP(AA256,'G-3 Multipliers'!$L$3:$N$6,3,FALSE)=0,"Spatial Data Missing ⚠",VLOOKUP(AA256,'G-3 Multipliers'!$L$3:$N$6,3,FALSE)))</f>
        <v/>
      </c>
      <c r="AD256" s="398" t="str">
        <f t="shared" si="35"/>
        <v/>
      </c>
      <c r="AE256" s="165"/>
      <c r="AF256" s="165"/>
      <c r="AG256" s="382" t="str">
        <f t="shared" si="39"/>
        <v/>
      </c>
      <c r="AH256" s="404" t="str">
        <f t="shared" si="40"/>
        <v/>
      </c>
      <c r="AI256" s="387" t="str">
        <f>IF(AH256="Check Data ⚠","Check Data ⚠",IFERROR(VLOOKUP(AH256,'G-4 Temporal multipliers'!$A$4:$C$36,3,FALSE),""))</f>
        <v/>
      </c>
      <c r="AJ256" s="398" t="str">
        <f>IF(S256="","",VLOOKUP(S256,'G-3 Multipliers'!$A$2:$E$134,4,FALSE))</f>
        <v/>
      </c>
      <c r="AK256" s="382" t="str">
        <f t="shared" si="41"/>
        <v/>
      </c>
      <c r="AL256" s="382" t="str">
        <f t="shared" si="42"/>
        <v/>
      </c>
      <c r="AM256" s="386" t="str">
        <f>IFERROR(IF(F256="","",IF(AH256="Check Data ⚠","Check Data ⚠",VLOOKUP(AL256, 'G-3 Multipliers'!$P$2:$Q$6,2,FALSE))),"")</f>
        <v/>
      </c>
      <c r="AN256" s="516"/>
      <c r="AO256" s="417" t="str">
        <f>IF(AN256="","",IF(VLOOKUP(AN256,'G-3 Multipliers'!$S$3:$T$10,2,FALSE)=0,"Spatial Data Missing ⚠",VLOOKUP(AN256,'G-3 Multipliers'!$S$3:$T$10,2,FALSE)))</f>
        <v/>
      </c>
      <c r="AP256" s="376" t="str">
        <f t="shared" si="43"/>
        <v/>
      </c>
      <c r="AQ256" s="376" t="str">
        <f t="shared" si="44"/>
        <v/>
      </c>
      <c r="AR256" s="119"/>
      <c r="AS256" s="528"/>
      <c r="AT256" s="120"/>
      <c r="AU256" s="120"/>
    </row>
    <row r="257" spans="1:47">
      <c r="A257" s="30" t="str">
        <f>IF(E257="","",IF(ISNA(VLOOKUP($E257,'D-1 Off-Site Habitat Baseline'!$D$1:$O$258,2,FALSE)),"",(VLOOKUP($E257,'D-1 Off-Site Habitat Baseline'!$D$1:$O$258,2,FALSE))))</f>
        <v/>
      </c>
      <c r="B257" s="30" t="str">
        <f>IF(E257="","",IF(ISNA(VLOOKUP($E257,'D-1 Off-Site Habitat Baseline'!$D$1:$O$258,3,FALSE)),"",(VLOOKUP($E257,'D-1 Off-Site Habitat Baseline'!$D$1:$O$258,3,FALSE))))</f>
        <v/>
      </c>
      <c r="C257" s="30" t="str">
        <f>IFERROR(INDEX('G-8 Condition Look up'!$I$4:$I$135,MATCH(S257,'G-8 Condition Look up'!$A$4:$A$135,0)),"")</f>
        <v/>
      </c>
      <c r="E257" s="407" t="str">
        <f>'D-1 Off-Site Habitat Baseline'!AP256</f>
        <v/>
      </c>
      <c r="F257" s="382" t="str">
        <f>IF(E257="","",IF(ISNA(VLOOKUP($E257,'D-1 Off-Site Habitat Baseline'!$D$1:$O$258,4,FALSE)),"",(VLOOKUP($E257,'D-1 Off-Site Habitat Baseline'!$D$1:$O$258,4,FALSE))))</f>
        <v/>
      </c>
      <c r="G257" s="382" t="str">
        <f>IF(E257="","",IF(ISNA(VLOOKUP($E257,'D-1 Off-Site Habitat Baseline'!$D$1:$O$258,5,FALSE)),"",(VLOOKUP($E257,'D-1 Off-Site Habitat Baseline'!$D$1:$O$258,5,FALSE))))</f>
        <v/>
      </c>
      <c r="H257" s="382" t="str">
        <f>IF(E257="","",IF(ISNA(VLOOKUP($E257,'D-1 Off-Site Habitat Baseline'!$D$1:$O$258,6,FALSE)),"",(VLOOKUP($E257,'D-1 Off-Site Habitat Baseline'!$D$1:$O$258,6,FALSE))))</f>
        <v/>
      </c>
      <c r="I257" s="382" t="str">
        <f>IF(E257="","",IF(ISNA(VLOOKUP($E257,'D-1 Off-Site Habitat Baseline'!$D$1:$O$258,7,FALSE)),"",(VLOOKUP($E257,'D-1 Off-Site Habitat Baseline'!$D$1:$O$258,7,FALSE))))</f>
        <v/>
      </c>
      <c r="J257" s="382" t="str">
        <f>IF(E257="","",IF(ISNA(VLOOKUP($E257,'D-1 Off-Site Habitat Baseline'!$D$1:$O$258,8,FALSE)),"",(VLOOKUP($E257,'D-1 Off-Site Habitat Baseline'!$D$1:$O$258,8,FALSE))))</f>
        <v/>
      </c>
      <c r="K257" s="382" t="str">
        <f>IF(E257="","",IF(ISNA(VLOOKUP($E257,'D-1 Off-Site Habitat Baseline'!$D$1:$O$258,9,FALSE)),"",(VLOOKUP($E257,'D-1 Off-Site Habitat Baseline'!$D$1:$O$258,9,FALSE))))</f>
        <v/>
      </c>
      <c r="L257" s="382" t="str">
        <f>IF(E257="","",IF(ISNA(VLOOKUP($E257,'D-1 Off-Site Habitat Baseline'!$D$1:$O$258,11,FALSE)),"",(VLOOKUP($E257,'D-1 Off-Site Habitat Baseline'!$D$1:$O$258,11,FALSE))))</f>
        <v/>
      </c>
      <c r="M257" s="382" t="str">
        <f>IF(E257="","",IF(ISNA(VLOOKUP($E257,'D-1 Off-Site Habitat Baseline'!$D$1:$O$258,12,FALSE)),"",(VLOOKUP($E257,'D-1 Off-Site Habitat Baseline'!$D$1:$O$258,12,FALSE))))</f>
        <v/>
      </c>
      <c r="N257" s="382" t="str">
        <f>IF(E257="","",IF(ISNA(VLOOKUP($E257,'D-1 Off-Site Habitat Baseline'!$D$1:$AA$258,14,FALSE)),"",(VLOOKUP($E257,'D-1 Off-Site Habitat Baseline'!$D$1:$AA$258,14,FALSE))))</f>
        <v/>
      </c>
      <c r="O257" s="386" t="str">
        <f>IF(E257="","",IF(ISNA(VLOOKUP($E257,'D-1 Off-Site Habitat Baseline'!$D$1:$AA$258,13,FALSE)),"",(VLOOKUP($E257,'D-1 Off-Site Habitat Baseline'!$D$1:$AA$258,13,FALSE))))</f>
        <v/>
      </c>
      <c r="P257" s="184" t="str">
        <f>IFERROR(INDEX('G-1 All Habitats'!$AG$3:$AG$17,MATCH(Q257,'G-1 All Habitats'!$AF$3:$AF$17,0)),"")</f>
        <v/>
      </c>
      <c r="Q257" s="185" t="str">
        <f t="shared" si="36"/>
        <v/>
      </c>
      <c r="R257" s="186" t="str">
        <f t="shared" si="36"/>
        <v/>
      </c>
      <c r="S257" s="187" t="str">
        <f>IFERROR(INDEX('G-1 All Habitats'!$B$3:$B$134,MATCH(R257,'G-1 All Habitats'!$A$3:$A$134,0)),"")</f>
        <v/>
      </c>
      <c r="T257" s="370" t="str">
        <f t="shared" si="37"/>
        <v/>
      </c>
      <c r="U257" s="386" t="str">
        <f t="shared" si="38"/>
        <v/>
      </c>
      <c r="V257" s="385" t="str">
        <f t="shared" si="34"/>
        <v/>
      </c>
      <c r="W257" s="382" t="str">
        <f>IF(S257="","",VLOOKUP(S257,'G-1 All Habitats'!$B$2:$M$134,10,FALSE))</f>
        <v/>
      </c>
      <c r="X257" s="382" t="str">
        <f>IFERROR(VLOOKUP(W257,'G-1 All Habitats'!$V$3:$W$7,2,FALSE),"")</f>
        <v/>
      </c>
      <c r="Y257" s="165"/>
      <c r="Z257" s="386" t="str">
        <f>IFERROR(INDEX('G-8 Condition Look up'!$A$3:$H$135,MATCH(S257,'G-8 Condition Look up'!$A$3:$A$135,0),MATCH(Y257,'G-8 Condition Look up'!$A$3:$H$3,0)),"")</f>
        <v/>
      </c>
      <c r="AA257" s="114"/>
      <c r="AB257" s="401" t="str">
        <f>IF(AA257="","",IF(VLOOKUP(AA257,'G-3 Multipliers'!$L$3:$N$6,2,FALSE)=0,"Spatial Data Missing ⚠",VLOOKUP(AA257,'G-3 Multipliers'!$L$3:$N$6,2,FALSE)))</f>
        <v/>
      </c>
      <c r="AC257" s="386" t="str">
        <f>IF(AA257="","",IF(VLOOKUP(AA257,'G-3 Multipliers'!$L$3:$N$6,3,FALSE)=0,"Spatial Data Missing ⚠",VLOOKUP(AA257,'G-3 Multipliers'!$L$3:$N$6,3,FALSE)))</f>
        <v/>
      </c>
      <c r="AD257" s="398" t="str">
        <f t="shared" si="35"/>
        <v/>
      </c>
      <c r="AE257" s="165"/>
      <c r="AF257" s="165"/>
      <c r="AG257" s="382" t="str">
        <f t="shared" si="39"/>
        <v/>
      </c>
      <c r="AH257" s="404" t="str">
        <f t="shared" si="40"/>
        <v/>
      </c>
      <c r="AI257" s="387" t="str">
        <f>IF(AH257="Check Data ⚠","Check Data ⚠",IFERROR(VLOOKUP(AH257,'G-4 Temporal multipliers'!$A$4:$C$36,3,FALSE),""))</f>
        <v/>
      </c>
      <c r="AJ257" s="398" t="str">
        <f>IF(S257="","",VLOOKUP(S257,'G-3 Multipliers'!$A$2:$E$134,4,FALSE))</f>
        <v/>
      </c>
      <c r="AK257" s="382" t="str">
        <f t="shared" si="41"/>
        <v/>
      </c>
      <c r="AL257" s="382" t="str">
        <f t="shared" si="42"/>
        <v/>
      </c>
      <c r="AM257" s="386" t="str">
        <f>IFERROR(IF(F257="","",IF(AH257="Check Data ⚠","Check Data ⚠",VLOOKUP(AL257, 'G-3 Multipliers'!$P$2:$Q$6,2,FALSE))),"")</f>
        <v/>
      </c>
      <c r="AN257" s="516"/>
      <c r="AO257" s="417" t="str">
        <f>IF(AN257="","",IF(VLOOKUP(AN257,'G-3 Multipliers'!$S$3:$T$10,2,FALSE)=0,"Spatial Data Missing ⚠",VLOOKUP(AN257,'G-3 Multipliers'!$S$3:$T$10,2,FALSE)))</f>
        <v/>
      </c>
      <c r="AP257" s="376" t="str">
        <f t="shared" si="43"/>
        <v/>
      </c>
      <c r="AQ257" s="376" t="str">
        <f t="shared" si="44"/>
        <v/>
      </c>
      <c r="AR257" s="119"/>
      <c r="AS257" s="528"/>
      <c r="AT257" s="120"/>
      <c r="AU257" s="120"/>
    </row>
    <row r="258" spans="1:47" ht="15.75" thickBot="1">
      <c r="A258" s="30" t="str">
        <f>IF(E258="","",IF(ISNA(VLOOKUP($E258,'D-1 Off-Site Habitat Baseline'!$D$1:$O$258,2,FALSE)),"",(VLOOKUP($E258,'D-1 Off-Site Habitat Baseline'!$D$1:$O$258,2,FALSE))))</f>
        <v/>
      </c>
      <c r="B258" s="30" t="str">
        <f>IF(E258="","",IF(ISNA(VLOOKUP($E258,'D-1 Off-Site Habitat Baseline'!$D$1:$O$258,3,FALSE)),"",(VLOOKUP($E258,'D-1 Off-Site Habitat Baseline'!$D$1:$O$258,3,FALSE))))</f>
        <v/>
      </c>
      <c r="C258" s="30" t="str">
        <f>IFERROR(INDEX('G-8 Condition Look up'!$I$4:$I$135,MATCH(S258,'G-8 Condition Look up'!$A$4:$A$135,0)),"")</f>
        <v/>
      </c>
      <c r="E258" s="408" t="str">
        <f>'D-1 Off-Site Habitat Baseline'!AP257</f>
        <v/>
      </c>
      <c r="F258" s="395" t="str">
        <f>IF(E258="","",IF(ISNA(VLOOKUP($E258,'D-1 Off-Site Habitat Baseline'!$D$1:$O$258,4,FALSE)),"",(VLOOKUP($E258,'D-1 Off-Site Habitat Baseline'!$D$1:$O$258,4,FALSE))))</f>
        <v/>
      </c>
      <c r="G258" s="395" t="str">
        <f>IF(E258="","",IF(ISNA(VLOOKUP($E258,'D-1 Off-Site Habitat Baseline'!$D$1:$O$258,5,FALSE)),"",(VLOOKUP($E258,'D-1 Off-Site Habitat Baseline'!$D$1:$O$258,5,FALSE))))</f>
        <v/>
      </c>
      <c r="H258" s="395" t="str">
        <f>IF(E258="","",IF(ISNA(VLOOKUP($E258,'D-1 Off-Site Habitat Baseline'!$D$1:$O$258,6,FALSE)),"",(VLOOKUP($E258,'D-1 Off-Site Habitat Baseline'!$D$1:$O$258,6,FALSE))))</f>
        <v/>
      </c>
      <c r="I258" s="395" t="str">
        <f>IF(E258="","",IF(ISNA(VLOOKUP($E258,'D-1 Off-Site Habitat Baseline'!$D$1:$O$258,7,FALSE)),"",(VLOOKUP($E258,'D-1 Off-Site Habitat Baseline'!$D$1:$O$258,7,FALSE))))</f>
        <v/>
      </c>
      <c r="J258" s="395" t="str">
        <f>IF(E258="","",IF(ISNA(VLOOKUP($E258,'D-1 Off-Site Habitat Baseline'!$D$1:$O$258,8,FALSE)),"",(VLOOKUP($E258,'D-1 Off-Site Habitat Baseline'!$D$1:$O$258,8,FALSE))))</f>
        <v/>
      </c>
      <c r="K258" s="395" t="str">
        <f>IF(E258="","",IF(ISNA(VLOOKUP($E258,'D-1 Off-Site Habitat Baseline'!$D$1:$O$258,9,FALSE)),"",(VLOOKUP($E258,'D-1 Off-Site Habitat Baseline'!$D$1:$O$258,9,FALSE))))</f>
        <v/>
      </c>
      <c r="L258" s="395" t="str">
        <f>IF(E258="","",IF(ISNA(VLOOKUP($E258,'D-1 Off-Site Habitat Baseline'!$D$1:$O$258,11,FALSE)),"",(VLOOKUP($E258,'D-1 Off-Site Habitat Baseline'!$D$1:$O$258,11,FALSE))))</f>
        <v/>
      </c>
      <c r="M258" s="395" t="str">
        <f>IF(E258="","",IF(ISNA(VLOOKUP($E258,'D-1 Off-Site Habitat Baseline'!$D$1:$O$258,12,FALSE)),"",(VLOOKUP($E258,'D-1 Off-Site Habitat Baseline'!$D$1:$O$258,12,FALSE))))</f>
        <v/>
      </c>
      <c r="N258" s="395" t="str">
        <f>IF(E258="","",IF(ISNA(VLOOKUP($E258,'D-1 Off-Site Habitat Baseline'!$D$1:$AA$258,14,FALSE)),"",(VLOOKUP($E258,'D-1 Off-Site Habitat Baseline'!$D$1:$AA$258,14,FALSE))))</f>
        <v/>
      </c>
      <c r="O258" s="386" t="str">
        <f>IF(E258="","",IF(ISNA(VLOOKUP($E258,'D-1 Off-Site Habitat Baseline'!$D$1:$AA$258,13,FALSE)),"",(VLOOKUP($E258,'D-1 Off-Site Habitat Baseline'!$D$1:$AA$258,13,FALSE))))</f>
        <v/>
      </c>
      <c r="P258" s="184" t="str">
        <f>IFERROR(INDEX('G-1 All Habitats'!$AG$3:$AG$17,MATCH(Q258,'G-1 All Habitats'!$AF$3:$AF$17,0)),"")</f>
        <v/>
      </c>
      <c r="Q258" s="185" t="str">
        <f t="shared" si="36"/>
        <v/>
      </c>
      <c r="R258" s="186" t="str">
        <f t="shared" si="36"/>
        <v/>
      </c>
      <c r="S258" s="187" t="str">
        <f>IFERROR(INDEX('G-1 All Habitats'!$B$3:$B$134,MATCH(R258,'G-1 All Habitats'!$A$3:$A$134,0)),"")</f>
        <v/>
      </c>
      <c r="T258" s="370" t="str">
        <f t="shared" si="37"/>
        <v/>
      </c>
      <c r="U258" s="397" t="str">
        <f>IF(F258="","",IF(AND(LEFT(F258,55)&lt;&gt;LEFT(S258,55),T258= "High - High"),"Error - Not like for like ▲",IF(AND(I258=X258,K258&gt;Z258),"Error - Can not reduce condition ▲",IF(K258&gt;Z258, "Error - condition cannot be reduced ▲", IF(AND(I258=X258,K258=Z258),"Error - No enhancement ▲",IF(X258&lt;I258,"Error Trading Down ▲",IF(AND(F258&lt;&gt;S258,I258&lt;X258),"Lower Distinctiveness Habitat"&amp;" - "&amp;Y258,J258&amp;" - "&amp;Y258)))))))</f>
        <v/>
      </c>
      <c r="V258" s="385" t="str">
        <f t="shared" si="34"/>
        <v/>
      </c>
      <c r="W258" s="382" t="str">
        <f>IF(S258="","",VLOOKUP(S258,'G-1 All Habitats'!$B$2:$M$134,10,FALSE))</f>
        <v/>
      </c>
      <c r="X258" s="395" t="str">
        <f>IFERROR(VLOOKUP(W258,'G-1 All Habitats'!$V$3:$W$7,2,FALSE),"")</f>
        <v/>
      </c>
      <c r="Y258" s="173"/>
      <c r="Z258" s="386" t="str">
        <f>IFERROR(INDEX('G-8 Condition Look up'!$A$3:$H$135,MATCH(S258,'G-8 Condition Look up'!$A$3:$A$135,0),MATCH(Y258,'G-8 Condition Look up'!$A$3:$H$3,0)),"")</f>
        <v/>
      </c>
      <c r="AA258" s="172"/>
      <c r="AB258" s="401" t="str">
        <f>IF(AA258="","",IF(VLOOKUP(AA258,'G-3 Multipliers'!$L$3:$N$6,2,FALSE)=0,"Spatial Data Missing ⚠",VLOOKUP(AA258,'G-3 Multipliers'!$L$3:$N$6,2,FALSE)))</f>
        <v/>
      </c>
      <c r="AC258" s="386" t="str">
        <f>IF(AA258="","",IF(VLOOKUP(AA258,'G-3 Multipliers'!$L$3:$N$6,3,FALSE)=0,"Spatial Data Missing ⚠",VLOOKUP(AA258,'G-3 Multipliers'!$L$3:$N$6,3,FALSE)))</f>
        <v/>
      </c>
      <c r="AD258" s="398" t="str">
        <f t="shared" si="35"/>
        <v/>
      </c>
      <c r="AE258" s="173"/>
      <c r="AF258" s="173"/>
      <c r="AG258" s="382" t="str">
        <f t="shared" si="39"/>
        <v/>
      </c>
      <c r="AH258" s="404" t="str">
        <f t="shared" si="40"/>
        <v/>
      </c>
      <c r="AI258" s="387" t="str">
        <f>IF(AH258="Check Data ⚠","Check Data ⚠",IFERROR(VLOOKUP(AH258,'G-4 Temporal multipliers'!$A$4:$C$36,3,FALSE),""))</f>
        <v/>
      </c>
      <c r="AJ258" s="398" t="str">
        <f>IF(S258="","",VLOOKUP(S258,'G-3 Multipliers'!$A$2:$E$134,4,FALSE))</f>
        <v/>
      </c>
      <c r="AK258" s="382" t="str">
        <f t="shared" si="41"/>
        <v/>
      </c>
      <c r="AL258" s="395" t="str">
        <f t="shared" si="42"/>
        <v/>
      </c>
      <c r="AM258" s="386" t="str">
        <f>IFERROR(IF(F258="","",IF(AH258="Check Data ⚠","Check Data ⚠",VLOOKUP(AL258, 'G-3 Multipliers'!$P$2:$Q$6,2,FALSE))),"")</f>
        <v/>
      </c>
      <c r="AN258" s="516"/>
      <c r="AO258" s="417" t="str">
        <f>IF(AN258="","",IF(VLOOKUP(AN258,'G-3 Multipliers'!$S$3:$T$10,2,FALSE)=0,"Spatial Data Missing ⚠",VLOOKUP(AN258,'G-3 Multipliers'!$S$3:$T$10,2,FALSE)))</f>
        <v/>
      </c>
      <c r="AP258" s="376" t="str">
        <f t="shared" si="43"/>
        <v/>
      </c>
      <c r="AQ258" s="376" t="str">
        <f t="shared" si="44"/>
        <v/>
      </c>
      <c r="AR258" s="130"/>
      <c r="AS258" s="529"/>
      <c r="AT258" s="131"/>
      <c r="AU258" s="131"/>
    </row>
    <row r="259" spans="1:47" ht="21.6" customHeight="1" thickBot="1">
      <c r="E259" s="34"/>
      <c r="F259" s="34"/>
      <c r="G259" s="34"/>
      <c r="H259" s="34"/>
      <c r="I259" s="34"/>
      <c r="J259" s="34"/>
      <c r="K259" s="34"/>
      <c r="L259" s="34"/>
      <c r="M259" s="34"/>
      <c r="N259" s="34"/>
      <c r="O259" s="34"/>
      <c r="P259" s="34"/>
      <c r="Q259" s="34"/>
      <c r="R259" s="34"/>
      <c r="S259" s="34"/>
      <c r="T259" s="34"/>
      <c r="U259" s="891" t="s">
        <v>329</v>
      </c>
      <c r="V259" s="409">
        <f>SUM(V12:V258)</f>
        <v>0</v>
      </c>
      <c r="W259" s="34"/>
      <c r="X259" s="34"/>
      <c r="Y259" s="34"/>
      <c r="Z259" s="34"/>
      <c r="AA259" s="34"/>
      <c r="AB259" s="34"/>
      <c r="AC259" s="34"/>
      <c r="AD259" s="34"/>
      <c r="AE259" s="34"/>
      <c r="AF259" s="34"/>
      <c r="AG259" s="34"/>
      <c r="AH259" s="34"/>
      <c r="AI259" s="34"/>
      <c r="AJ259" s="34"/>
      <c r="AK259" s="34"/>
      <c r="AL259" s="34"/>
      <c r="AM259" s="34"/>
      <c r="AN259" s="327"/>
      <c r="AO259" s="327"/>
      <c r="AP259" s="410">
        <f>SUM(AP12:AP258)</f>
        <v>0</v>
      </c>
      <c r="AQ259" s="410">
        <f>SUM(AQ12:AQ258)</f>
        <v>0</v>
      </c>
    </row>
    <row r="260" spans="1:47">
      <c r="V260" s="30" t="str">
        <f>IF(V259&lt;&gt;'D-1 Off-Site Habitat Baseline'!W259,"Error - Area of habitat enhancement must match the area from sheet D1 ▲","")</f>
        <v/>
      </c>
    </row>
    <row r="261" spans="1:47"/>
    <row r="262" spans="1:47"/>
    <row r="263" spans="1:47"/>
    <row r="264" spans="1:47"/>
    <row r="265" spans="1:47"/>
    <row r="266" spans="1:47"/>
    <row r="267" spans="1:47"/>
    <row r="268" spans="1:47"/>
    <row r="269" spans="1:47"/>
  </sheetData>
  <sheetProtection algorithmName="SHA-512" hashValue="/Gf1/wgfqzR3gn9nfwteV4SWHJFEejL4cT1R59qwX/gKjybdcLqMu+ZrFlWaFqNuVccQcZy01fRtFxEGnAv/IQ==" saltValue="NAgMbNX6RVTyNOixTtPqvQ==" spinCount="100000" sheet="1" objects="1" scenarios="1"/>
  <customSheetViews>
    <customSheetView guid="{8BDA793C-C9C5-4FC6-A0A5-F1109F6D4F22}" topLeftCell="D1">
      <pane ySplit="11" topLeftCell="A12" activePane="bottomLeft" state="frozen"/>
      <selection pane="bottomLeft"/>
    </customSheetView>
  </customSheetViews>
  <mergeCells count="26">
    <mergeCell ref="T3:U3"/>
    <mergeCell ref="T4:U4"/>
    <mergeCell ref="T5:U5"/>
    <mergeCell ref="R2:U2"/>
    <mergeCell ref="R6:T8"/>
    <mergeCell ref="V10:V11"/>
    <mergeCell ref="AD10:AI10"/>
    <mergeCell ref="AJ10:AM10"/>
    <mergeCell ref="AP10:AP11"/>
    <mergeCell ref="W10:W11"/>
    <mergeCell ref="V2:AA5"/>
    <mergeCell ref="AR10:AS10"/>
    <mergeCell ref="E2:G2"/>
    <mergeCell ref="E3:G4"/>
    <mergeCell ref="AN10:AO10"/>
    <mergeCell ref="F10:O10"/>
    <mergeCell ref="Q9:AO9"/>
    <mergeCell ref="Q10:R10"/>
    <mergeCell ref="AD5:AI6"/>
    <mergeCell ref="AD2:AI3"/>
    <mergeCell ref="T10:U10"/>
    <mergeCell ref="AA10:AC10"/>
    <mergeCell ref="Z10:Z11"/>
    <mergeCell ref="Y10:Y11"/>
    <mergeCell ref="X10:X11"/>
    <mergeCell ref="AQ10:AQ11"/>
  </mergeCells>
  <conditionalFormatting sqref="Z12:Z258">
    <cfRule type="containsText" dxfId="538" priority="57" operator="containsText" text="Not Possible">
      <formula>NOT(ISERROR(SEARCH("Not Possible",Z12)))</formula>
    </cfRule>
  </conditionalFormatting>
  <conditionalFormatting sqref="AN12:AN258">
    <cfRule type="containsText" dxfId="537" priority="54" operator="containsText" text="Existing Value Not Required">
      <formula>NOT(ISERROR(SEARCH("Existing Value Not Required",AN12)))</formula>
    </cfRule>
    <cfRule type="containsText" dxfId="536" priority="55" operator="containsText" text="Existing Value Required">
      <formula>NOT(ISERROR(SEARCH("Existing Value Required",AN12)))</formula>
    </cfRule>
  </conditionalFormatting>
  <conditionalFormatting sqref="Z13">
    <cfRule type="containsText" dxfId="535" priority="36" operator="containsText" text="Not Possible">
      <formula>NOT(ISERROR(SEARCH("Not Possible",Z13)))</formula>
    </cfRule>
  </conditionalFormatting>
  <conditionalFormatting sqref="AN13">
    <cfRule type="containsText" dxfId="534" priority="34" operator="containsText" text="Existing Value Not Required">
      <formula>NOT(ISERROR(SEARCH("Existing Value Not Required",AN13)))</formula>
    </cfRule>
    <cfRule type="containsText" dxfId="533" priority="35" operator="containsText" text="Existing Value Required">
      <formula>NOT(ISERROR(SEARCH("Existing Value Required",AN13)))</formula>
    </cfRule>
  </conditionalFormatting>
  <conditionalFormatting sqref="AN14:AN258">
    <cfRule type="containsText" dxfId="532" priority="31" operator="containsText" text="Existing Value Not Required">
      <formula>NOT(ISERROR(SEARCH("Existing Value Not Required",AN14)))</formula>
    </cfRule>
    <cfRule type="containsText" dxfId="531" priority="32" operator="containsText" text="Existing Value Required">
      <formula>NOT(ISERROR(SEARCH("Existing Value Required",AN14)))</formula>
    </cfRule>
  </conditionalFormatting>
  <conditionalFormatting sqref="Z14:Z258">
    <cfRule type="containsText" dxfId="530" priority="33" operator="containsText" text="Not Possible">
      <formula>NOT(ISERROR(SEARCH("Not Possible",Z14)))</formula>
    </cfRule>
  </conditionalFormatting>
  <conditionalFormatting sqref="AP12:AP258">
    <cfRule type="containsText" dxfId="529" priority="29" operator="containsText" text="Existing Value Not Required">
      <formula>NOT(ISERROR(SEARCH("Existing Value Not Required",AP12)))</formula>
    </cfRule>
    <cfRule type="containsText" dxfId="528" priority="30" operator="containsText" text="Existing Value Required">
      <formula>NOT(ISERROR(SEARCH("Existing Value Required",AP12)))</formula>
    </cfRule>
  </conditionalFormatting>
  <conditionalFormatting sqref="O12:O258">
    <cfRule type="beginsWith" dxfId="527" priority="25" operator="beginsWith" text="Bespoke">
      <formula>LEFT(O12,LEN("Bespoke"))="Bespoke"</formula>
    </cfRule>
    <cfRule type="beginsWith" dxfId="526" priority="26" operator="beginsWith" text="Same distinctiveness">
      <formula>LEFT(O12,LEN("Same distinctiveness"))="Same distinctiveness"</formula>
    </cfRule>
    <cfRule type="beginsWith" dxfId="525" priority="27" operator="beginsWith" text="Same broad">
      <formula>LEFT(O12,LEN("Same broad"))="Same broad"</formula>
    </cfRule>
    <cfRule type="beginsWith" dxfId="524" priority="28" operator="beginsWith" text="Same Habitat">
      <formula>LEFT(O12,LEN("Same Habitat"))="Same Habitat"</formula>
    </cfRule>
  </conditionalFormatting>
  <conditionalFormatting sqref="T12:AP258">
    <cfRule type="containsText" dxfId="523" priority="24" operator="containsText" text="Error">
      <formula>NOT(ISERROR(SEARCH("Error",T12)))</formula>
    </cfRule>
  </conditionalFormatting>
  <conditionalFormatting sqref="AB12:AC258">
    <cfRule type="containsText" dxfId="522" priority="23" operator="containsText" text="Spatial">
      <formula>NOT(ISERROR(SEARCH("Spatial",AB12)))</formula>
    </cfRule>
  </conditionalFormatting>
  <conditionalFormatting sqref="AD2">
    <cfRule type="containsText" dxfId="521" priority="22" operator="containsText" text="Note">
      <formula>NOT(ISERROR(SEARCH("Note",AD2)))</formula>
    </cfRule>
  </conditionalFormatting>
  <conditionalFormatting sqref="AD12:AP258">
    <cfRule type="containsText" dxfId="520" priority="21" operator="containsText" text="Check">
      <formula>NOT(ISERROR(SEARCH("Check",AD12)))</formula>
    </cfRule>
  </conditionalFormatting>
  <conditionalFormatting sqref="AO12:AO258">
    <cfRule type="containsText" dxfId="519" priority="20" operator="containsText" text="Spatial">
      <formula>NOT(ISERROR(SEARCH("Spatial",AO12)))</formula>
    </cfRule>
  </conditionalFormatting>
  <conditionalFormatting sqref="V260">
    <cfRule type="containsText" dxfId="518" priority="19" operator="containsText" text="Error">
      <formula>NOT(ISERROR(SEARCH("Error",V260)))</formula>
    </cfRule>
  </conditionalFormatting>
  <conditionalFormatting sqref="AD5">
    <cfRule type="containsText" dxfId="517" priority="18" operator="containsText" text="Change">
      <formula>NOT(ISERROR(SEARCH("Change",AD5)))</formula>
    </cfRule>
  </conditionalFormatting>
  <conditionalFormatting sqref="T3">
    <cfRule type="containsText" dxfId="516" priority="16" operator="containsText" text="Error">
      <formula>NOT(ISERROR(SEARCH("Error",T3)))</formula>
    </cfRule>
    <cfRule type="containsText" dxfId="515" priority="17" operator="containsText" text="Check">
      <formula>NOT(ISERROR(SEARCH("Check",T3)))</formula>
    </cfRule>
  </conditionalFormatting>
  <conditionalFormatting sqref="T4">
    <cfRule type="containsText" dxfId="514" priority="2" operator="containsText" text="Error">
      <formula>NOT(ISERROR(SEARCH("Error",T4)))</formula>
    </cfRule>
    <cfRule type="containsText" dxfId="513" priority="3" operator="containsText" text="Check">
      <formula>NOT(ISERROR(SEARCH("Check",T4)))</formula>
    </cfRule>
  </conditionalFormatting>
  <conditionalFormatting sqref="T5">
    <cfRule type="containsText" dxfId="512" priority="12" operator="containsText" text="No">
      <formula>NOT(ISERROR(SEARCH("No",T5)))</formula>
    </cfRule>
    <cfRule type="containsText" dxfId="511" priority="13" operator="containsText" text="Yes">
      <formula>NOT(ISERROR(SEARCH("Yes",T5)))</formula>
    </cfRule>
  </conditionalFormatting>
  <conditionalFormatting sqref="V2:AA5">
    <cfRule type="containsText" dxfId="510" priority="11" operator="containsText" text="Check">
      <formula>NOT(ISERROR(SEARCH("Check",V2)))</formula>
    </cfRule>
  </conditionalFormatting>
  <conditionalFormatting sqref="AQ12:AQ258">
    <cfRule type="containsText" dxfId="509" priority="9" operator="containsText" text="Existing Value Not Required">
      <formula>NOT(ISERROR(SEARCH("Existing Value Not Required",AQ12)))</formula>
    </cfRule>
    <cfRule type="containsText" dxfId="508" priority="10" operator="containsText" text="Existing Value Required">
      <formula>NOT(ISERROR(SEARCH("Existing Value Required",AQ12)))</formula>
    </cfRule>
  </conditionalFormatting>
  <conditionalFormatting sqref="AQ12:AQ258">
    <cfRule type="containsText" dxfId="507" priority="8" operator="containsText" text="Error">
      <formula>NOT(ISERROR(SEARCH("Error",AQ12)))</formula>
    </cfRule>
  </conditionalFormatting>
  <conditionalFormatting sqref="AQ12:AQ258">
    <cfRule type="containsText" dxfId="506" priority="7" operator="containsText" text="Check">
      <formula>NOT(ISERROR(SEARCH("Check",AQ12)))</formula>
    </cfRule>
  </conditionalFormatting>
  <conditionalFormatting sqref="R6:T8">
    <cfRule type="containsText" dxfId="505" priority="6" operator="containsText" text="⚠">
      <formula>NOT(ISERROR(SEARCH("⚠",R6)))</formula>
    </cfRule>
  </conditionalFormatting>
  <conditionalFormatting sqref="T4:U4">
    <cfRule type="cellIs" dxfId="504" priority="4" operator="equal">
      <formula>0</formula>
    </cfRule>
    <cfRule type="cellIs" dxfId="503" priority="5" operator="lessThan">
      <formula>0</formula>
    </cfRule>
  </conditionalFormatting>
  <conditionalFormatting sqref="T3:U5">
    <cfRule type="containsText" dxfId="502" priority="1" operator="containsText" text="N/A">
      <formula>NOT(ISERROR(SEARCH("N/A",T3)))</formula>
    </cfRule>
  </conditionalFormatting>
  <dataValidations count="3">
    <dataValidation allowBlank="1" showErrorMessage="1" errorTitle="Invalid Habitat" error="Select from List" sqref="S12:S258" xr:uid="{00000000-0002-0000-0E00-000001000000}"/>
    <dataValidation type="list" allowBlank="1" showInputMessage="1" showErrorMessage="1" sqref="Y12:Y258" xr:uid="{00000000-0002-0000-0E00-000002000000}">
      <formula1>INDIRECT(C12)</formula1>
    </dataValidation>
    <dataValidation type="list" allowBlank="1" showInputMessage="1" showErrorMessage="1" sqref="R12:R258" xr:uid="{0C3C67F0-C9FA-40C9-B879-4075FC0B6C12}">
      <formula1>INDIRECT(P12)</formula1>
    </dataValidation>
  </dataValidations>
  <pageMargins left="0.7" right="0.7" top="0.75" bottom="0.75" header="0.3" footer="0.3"/>
  <pageSetup paperSize="9" orientation="portrait" horizontalDpi="90" verticalDpi="90" r:id="rId1"/>
  <drawing r:id="rId2"/>
  <extLst>
    <ext xmlns:x14="http://schemas.microsoft.com/office/spreadsheetml/2009/9/main" uri="{78C0D931-6437-407d-A8EE-F0AAD7539E65}">
      <x14:conditionalFormattings>
        <x14:conditionalFormatting xmlns:xm="http://schemas.microsoft.com/office/excel/2006/main">
          <x14:cfRule type="cellIs" priority="432" operator="lessThan" id="{3FC4BA11-E79F-41AE-8528-BD37238A0A58}">
            <xm:f>Start!$F$22</xm:f>
            <x14:dxf>
              <font>
                <color rgb="FF383745"/>
              </font>
              <fill>
                <patternFill>
                  <bgColor rgb="FFFFC000"/>
                </patternFill>
              </fill>
            </x14:dxf>
          </x14:cfRule>
          <x14:cfRule type="cellIs" priority="433" operator="greaterThanOrEqual" id="{868B51DD-0BBA-4484-BE9B-6AF4C37ABE5D}">
            <xm:f>Start!$F$22</xm:f>
            <x14:dxf>
              <fill>
                <patternFill>
                  <bgColor rgb="FF92D050"/>
                </patternFill>
              </fill>
            </x14:dxf>
          </x14:cfRule>
          <xm:sqref>T4:U4</xm:sqref>
        </x14:conditionalFormatting>
      </x14:conditionalFormattings>
    </ext>
    <ext xmlns:x14="http://schemas.microsoft.com/office/spreadsheetml/2009/9/main" uri="{CCE6A557-97BC-4b89-ADB6-D9C93CAAB3DF}">
      <x14:dataValidations xmlns:xm="http://schemas.microsoft.com/office/excel/2006/main" count="4">
        <x14:dataValidation type="list" allowBlank="1" showInputMessage="1" showErrorMessage="1" xr:uid="{00000000-0002-0000-0E00-000003000000}">
          <x14:formula1>
            <xm:f>'G-3 Multipliers'!$L$4:$L$6</xm:f>
          </x14:formula1>
          <xm:sqref>AA12:AA258</xm:sqref>
        </x14:dataValidation>
        <x14:dataValidation type="list" allowBlank="1" showInputMessage="1" showErrorMessage="1" xr:uid="{00000000-0002-0000-0E00-000006000000}">
          <x14:formula1>
            <xm:f>'G-4 Temporal multipliers'!$A$42:$A$73</xm:f>
          </x14:formula1>
          <xm:sqref>AE12:AF258</xm:sqref>
        </x14:dataValidation>
        <x14:dataValidation type="list" allowBlank="1" showInputMessage="1" showErrorMessage="1" xr:uid="{79C42C9A-3147-4F4A-A193-6EBFC85DF097}">
          <x14:formula1>
            <xm:f>'G-1 All Habitats'!$AF$3:$AF$17</xm:f>
          </x14:formula1>
          <xm:sqref>Q12:Q258</xm:sqref>
        </x14:dataValidation>
        <x14:dataValidation type="list" allowBlank="1" showInputMessage="1" showErrorMessage="1" xr:uid="{00000000-0002-0000-0E00-000004000000}">
          <x14:formula1>
            <xm:f>'G-3 Multipliers'!$S$4:$S$10</xm:f>
          </x14:formula1>
          <xm:sqref>AN12:AN258</xm:sqref>
        </x14:dataValidation>
      </x14:dataValidations>
    </ext>
  </extLst>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28">
    <tabColor rgb="FF663300"/>
  </sheetPr>
  <dimension ref="B1:AL264"/>
  <sheetViews>
    <sheetView zoomScale="80" zoomScaleNormal="80" workbookViewId="0">
      <pane ySplit="9" topLeftCell="A10" activePane="bottomLeft" state="frozen"/>
      <selection pane="bottomLeft" activeCell="D18" sqref="D18"/>
    </sheetView>
  </sheetViews>
  <sheetFormatPr defaultColWidth="8.7109375" defaultRowHeight="15"/>
  <cols>
    <col min="1" max="1" width="3" style="30" customWidth="1"/>
    <col min="2" max="2" width="11.7109375" style="30" customWidth="1"/>
    <col min="3" max="3" width="12.7109375" style="30" customWidth="1"/>
    <col min="4" max="4" width="62.5703125" style="30" customWidth="1"/>
    <col min="5" max="5" width="10.7109375" style="30" customWidth="1"/>
    <col min="6" max="6" width="19.28515625" style="30" customWidth="1"/>
    <col min="7" max="7" width="8.7109375" style="30" hidden="1" customWidth="1"/>
    <col min="8" max="8" width="14.28515625" style="30" bestFit="1" customWidth="1"/>
    <col min="9" max="9" width="8.42578125" style="30" hidden="1" customWidth="1"/>
    <col min="10" max="10" width="52.28515625" style="30" customWidth="1"/>
    <col min="11" max="11" width="21.42578125" style="30" hidden="1" customWidth="1"/>
    <col min="12" max="12" width="13.28515625" style="30" hidden="1" customWidth="1"/>
    <col min="13" max="13" width="20.7109375" style="30" customWidth="1"/>
    <col min="14" max="14" width="13.28515625" style="30" customWidth="1"/>
    <col min="15" max="15" width="3.7109375" style="30" customWidth="1"/>
    <col min="16" max="17" width="12" style="30" customWidth="1"/>
    <col min="18" max="18" width="10.28515625" style="30" customWidth="1"/>
    <col min="19" max="19" width="12" style="30" customWidth="1"/>
    <col min="20" max="21" width="8.7109375" style="30" customWidth="1"/>
    <col min="22" max="23" width="50.28515625" style="30" customWidth="1"/>
    <col min="24" max="24" width="14.42578125" style="30" customWidth="1"/>
    <col min="25" max="25" width="8.7109375" style="30" customWidth="1"/>
    <col min="26" max="26" width="25.28515625" style="30" customWidth="1"/>
    <col min="27" max="27" width="11.42578125" style="30" hidden="1" customWidth="1"/>
    <col min="28" max="28" width="21" style="30" hidden="1" customWidth="1"/>
    <col min="29" max="29" width="13.5703125" style="30" hidden="1" customWidth="1"/>
    <col min="30" max="30" width="13.7109375" style="30" hidden="1" customWidth="1"/>
    <col min="31" max="31" width="15" style="30" hidden="1" customWidth="1"/>
    <col min="32" max="32" width="14.28515625" style="30" hidden="1" customWidth="1"/>
    <col min="33" max="33" width="11.7109375" style="30" hidden="1" customWidth="1"/>
    <col min="34" max="34" width="15.7109375" style="30" hidden="1" customWidth="1"/>
    <col min="35" max="35" width="12.7109375" style="30" hidden="1" customWidth="1"/>
    <col min="36" max="36" width="16.7109375" style="30" hidden="1" customWidth="1"/>
    <col min="37" max="37" width="15.28515625" style="30" hidden="1" customWidth="1"/>
    <col min="38" max="38" width="26.5703125" style="30" hidden="1" customWidth="1"/>
    <col min="39" max="39" width="0" style="30" hidden="1" customWidth="1"/>
    <col min="40" max="16384" width="8.7109375" style="30"/>
  </cols>
  <sheetData>
    <row r="1" spans="2:38" ht="15.75" thickBot="1"/>
    <row r="2" spans="2:38" ht="19.5" thickBot="1">
      <c r="B2" s="1554" t="str">
        <f>CONCATENATE("Project Name:", " ", Start!F12, "     ", "Map Reference:", " ", Start!F55)</f>
        <v xml:space="preserve">Project Name: Grove Farm Solar     Map Reference: </v>
      </c>
      <c r="C2" s="1555"/>
      <c r="D2" s="1556"/>
      <c r="F2" s="1404" t="s">
        <v>380</v>
      </c>
      <c r="G2" s="1405"/>
      <c r="H2" s="1405"/>
      <c r="I2" s="1405"/>
      <c r="J2" s="1406"/>
    </row>
    <row r="3" spans="2:38">
      <c r="B3" s="1130" t="str">
        <f ca="1">MID(CELL("filename",A1),FIND("]",CELL("filename",A1))+1,256)</f>
        <v>B-1 On-Site Hedge Baseline</v>
      </c>
      <c r="C3" s="1131"/>
      <c r="D3" s="1132"/>
      <c r="F3" s="1505" t="s">
        <v>263</v>
      </c>
      <c r="G3" s="1506"/>
      <c r="H3" s="1506"/>
      <c r="I3" s="1506"/>
      <c r="J3" s="512">
        <f>'Headline Results'!H48</f>
        <v>16.669627715952004</v>
      </c>
    </row>
    <row r="4" spans="2:38" ht="15.75" thickBot="1">
      <c r="B4" s="1133"/>
      <c r="C4" s="1134"/>
      <c r="D4" s="1135"/>
      <c r="F4" s="1583" t="s">
        <v>265</v>
      </c>
      <c r="G4" s="1584"/>
      <c r="H4" s="1584"/>
      <c r="I4" s="1584"/>
      <c r="J4" s="513">
        <f>'Headline Results'!H52</f>
        <v>1.0264549086177341</v>
      </c>
    </row>
    <row r="5" spans="2:38" ht="15.75" thickBot="1">
      <c r="F5" s="1582" t="s">
        <v>267</v>
      </c>
      <c r="G5" s="1579"/>
      <c r="H5" s="1579"/>
      <c r="I5" s="1579"/>
      <c r="J5" s="504" t="str" cm="1">
        <f t="array" ref="J5">IF(OR('Trading Summary Hedgerows'!G5:H8="No ▲"), "No - check trading summary ▲", "Yes ✓")</f>
        <v>Yes ✓</v>
      </c>
    </row>
    <row r="7" spans="2:38" ht="15.75" thickBot="1">
      <c r="B7" s="102"/>
      <c r="C7" s="102"/>
      <c r="E7" s="101"/>
    </row>
    <row r="8" spans="2:38" s="33" customFormat="1" ht="29.25" thickBot="1">
      <c r="B8" s="32"/>
      <c r="C8" s="1573" t="s">
        <v>381</v>
      </c>
      <c r="D8" s="1574"/>
      <c r="E8" s="1575"/>
      <c r="F8" s="1552" t="s">
        <v>269</v>
      </c>
      <c r="G8" s="1552"/>
      <c r="H8" s="1552" t="s">
        <v>357</v>
      </c>
      <c r="I8" s="1552"/>
      <c r="J8" s="1552" t="s">
        <v>271</v>
      </c>
      <c r="K8" s="1552"/>
      <c r="L8" s="1552"/>
      <c r="M8" s="1537" t="s">
        <v>272</v>
      </c>
      <c r="N8" s="134" t="s">
        <v>273</v>
      </c>
      <c r="O8" s="30"/>
      <c r="P8" s="1573" t="s">
        <v>274</v>
      </c>
      <c r="Q8" s="1574"/>
      <c r="R8" s="1574"/>
      <c r="S8" s="1574"/>
      <c r="T8" s="1574"/>
      <c r="U8" s="1575"/>
      <c r="V8" s="1573" t="s">
        <v>276</v>
      </c>
      <c r="W8" s="1575"/>
    </row>
    <row r="9" spans="2:38" ht="43.5" thickBot="1">
      <c r="B9" s="719" t="s">
        <v>339</v>
      </c>
      <c r="C9" s="132" t="s">
        <v>382</v>
      </c>
      <c r="D9" s="811" t="s">
        <v>161</v>
      </c>
      <c r="E9" s="752" t="s">
        <v>34</v>
      </c>
      <c r="F9" s="132" t="s">
        <v>269</v>
      </c>
      <c r="G9" s="752" t="s">
        <v>286</v>
      </c>
      <c r="H9" s="132" t="s">
        <v>270</v>
      </c>
      <c r="I9" s="752" t="s">
        <v>286</v>
      </c>
      <c r="J9" s="132" t="s">
        <v>271</v>
      </c>
      <c r="K9" s="811" t="s">
        <v>271</v>
      </c>
      <c r="L9" s="752" t="s">
        <v>317</v>
      </c>
      <c r="M9" s="1570"/>
      <c r="N9" s="169" t="s">
        <v>383</v>
      </c>
      <c r="P9" s="132" t="s">
        <v>384</v>
      </c>
      <c r="Q9" s="811" t="s">
        <v>385</v>
      </c>
      <c r="R9" s="811" t="s">
        <v>386</v>
      </c>
      <c r="S9" s="811" t="s">
        <v>387</v>
      </c>
      <c r="T9" s="811" t="s">
        <v>388</v>
      </c>
      <c r="U9" s="752" t="s">
        <v>294</v>
      </c>
      <c r="V9" s="170" t="s">
        <v>295</v>
      </c>
      <c r="W9" s="171" t="s">
        <v>296</v>
      </c>
      <c r="X9" s="48" t="s">
        <v>297</v>
      </c>
      <c r="AE9" s="124" t="s">
        <v>300</v>
      </c>
      <c r="AF9" s="124" t="s">
        <v>301</v>
      </c>
      <c r="AH9" s="124" t="s">
        <v>303</v>
      </c>
      <c r="AJ9" s="124" t="s">
        <v>300</v>
      </c>
      <c r="AK9" s="124" t="s">
        <v>301</v>
      </c>
      <c r="AL9" s="101" t="s">
        <v>280</v>
      </c>
    </row>
    <row r="10" spans="2:38" ht="30">
      <c r="B10" s="104">
        <v>1</v>
      </c>
      <c r="C10" s="842"/>
      <c r="D10" s="812" t="s">
        <v>177</v>
      </c>
      <c r="E10" s="860">
        <v>0.1</v>
      </c>
      <c r="F10" s="815" t="str">
        <f>IF(D10="","",VLOOKUP(D10,'G-6 Hedgerow Data'!$B$2:$AG$15,2,FALSE))</f>
        <v>Low</v>
      </c>
      <c r="G10" s="790">
        <f>IF(D10="","",VLOOKUP(D10,'G-6 Hedgerow Data'!$B$2:$AG$15,3,FALSE))</f>
        <v>2</v>
      </c>
      <c r="H10" s="841" t="s">
        <v>67</v>
      </c>
      <c r="I10" s="790">
        <f>IFERROR(VLOOKUP(H10,'G-1 All Habitats'!$Z$2:$AA$9,2,FALSE),"")</f>
        <v>2</v>
      </c>
      <c r="J10" s="841" t="s">
        <v>1034</v>
      </c>
      <c r="K10" s="367" t="str">
        <f>IF(J10="","",IF(VLOOKUP(J10,'G-3 Multipliers'!$L$3:$N$6,2,FALSE)=0,"Spatial Data Missing",VLOOKUP(J10,'G-3 Multipliers'!$L$3:$N$6,2,FALSE)))</f>
        <v>Low Strategic Significance</v>
      </c>
      <c r="L10" s="792">
        <f>IF(J10="","",IF(VLOOKUP(J10,'G-3 Multipliers'!$L$3:$N$6,3,FALSE)=0,"Spatial Data Missing ⚠",VLOOKUP(J10,'G-3 Multipliers'!$L$3:$N$6,3,FALSE)))</f>
        <v>1</v>
      </c>
      <c r="M10" s="793" t="str">
        <f>IF(D10="","",VLOOKUP(D10,'G-6 Hedgerow Data'!$B$1:$AH$15,33,FALSE))</f>
        <v>Same distinctiveness band or better</v>
      </c>
      <c r="N10" s="794">
        <f>IFERROR(E10*G10*I10*L10,"")</f>
        <v>0.4</v>
      </c>
      <c r="O10" s="32"/>
      <c r="P10" s="316">
        <v>0.1</v>
      </c>
      <c r="Q10" s="159"/>
      <c r="R10" s="374">
        <f>IFERROR(P10*G10*I10*L10,"")</f>
        <v>0.4</v>
      </c>
      <c r="S10" s="374">
        <f>IFERROR(Q10*G10*I10*L10,"")</f>
        <v>0</v>
      </c>
      <c r="T10" s="374">
        <f>IF(D10="","",IF(E10-P10-Q10=0&lt;0,"Error in lengths ▲",IF(P10+Q10&gt;E10,"Error in Lengths ▲",E10-P10-Q10)))</f>
        <v>0</v>
      </c>
      <c r="U10" s="405">
        <f>IF(OR(E10="",N10=""),"",IF(E10-P10-Q10=0&lt;0,"Error in Lengths ▲",IF(P10+Q10&gt;E10,"Error in Lengths ▲",N10-R10-S10)))</f>
        <v>0</v>
      </c>
      <c r="V10" s="136" t="s">
        <v>1707</v>
      </c>
      <c r="W10" s="137"/>
      <c r="X10" s="118"/>
      <c r="AE10" s="124" t="b">
        <f t="shared" ref="AE10:AE73" si="0">IF(D10="","",IF(P10&gt;0,TRUE,FALSE))</f>
        <v>1</v>
      </c>
      <c r="AF10" s="124" t="b">
        <f t="shared" ref="AF10:AF73" si="1">IF(D10="","",IF(Q10&gt;0,TRUE,FALSE))</f>
        <v>0</v>
      </c>
      <c r="AH10" s="124">
        <v>1</v>
      </c>
      <c r="AJ10" s="124">
        <f t="array" ref="AJ10">IFERROR(INDEX($AH$10:$AH$258, MATCH(0, IF(TRUE=$AE$10:$AE$258, COUNTIF($AJ9:$AJ$9, $AH$10:$AH$258), ""), 0)),"")</f>
        <v>1</v>
      </c>
      <c r="AK10" s="124" t="str">
        <f t="array" ref="AK10">IFERROR(INDEX($AH$10:$AH$258, MATCH(0, IF(TRUE=$AF$10:$AF$258, COUNTIF($AK9:$AK$9, $AH$10:$AH$258), ""), 0)),"")</f>
        <v/>
      </c>
      <c r="AL10" s="30" t="str">
        <f>IFERROR(INDEX('G-6 Hedgerow Data'!$BJ$3:$BJ$15,MATCH(D10,'G-6 Hedgerow Data'!$B$3:$B$15,0)),"")</f>
        <v>Hedgecond1</v>
      </c>
    </row>
    <row r="11" spans="2:38" ht="30">
      <c r="B11" s="110">
        <v>2</v>
      </c>
      <c r="C11" s="165"/>
      <c r="D11" s="63" t="s">
        <v>177</v>
      </c>
      <c r="E11" s="139">
        <v>0.1</v>
      </c>
      <c r="F11" s="411" t="str">
        <f>IF(D11="","",VLOOKUP(D11,'G-6 Hedgerow Data'!$B$2:$AG$15,2,FALSE))</f>
        <v>Low</v>
      </c>
      <c r="G11" s="363">
        <f>IF(D11="","",VLOOKUP(D11,'G-6 Hedgerow Data'!$B$2:$AG$15,3,FALSE))</f>
        <v>2</v>
      </c>
      <c r="H11" s="114" t="s">
        <v>328</v>
      </c>
      <c r="I11" s="363">
        <f>IFERROR(VLOOKUP(H11,'G-1 All Habitats'!$Z$2:$AA$9,2,FALSE),"")</f>
        <v>1</v>
      </c>
      <c r="J11" s="114" t="s">
        <v>1034</v>
      </c>
      <c r="K11" s="370" t="str">
        <f>IF(J11="","",IF(VLOOKUP(J11,'G-3 Multipliers'!$L$3:$N$6,2,FALSE)=0,"Spatial Data Missing",VLOOKUP(J11,'G-3 Multipliers'!$L$3:$N$6,2,FALSE)))</f>
        <v>Low Strategic Significance</v>
      </c>
      <c r="L11" s="368">
        <f>IF(J11="","",IF(VLOOKUP(J11,'G-3 Multipliers'!$L$3:$N$6,3,FALSE)=0,"Spatial Data Missing ⚠",VLOOKUP(J11,'G-3 Multipliers'!$L$3:$N$6,3,FALSE)))</f>
        <v>1</v>
      </c>
      <c r="M11" s="369" t="str">
        <f>IF(D11="","",VLOOKUP(D11,'G-6 Hedgerow Data'!$B$1:$AH$15,33,FALSE))</f>
        <v>Same distinctiveness band or better</v>
      </c>
      <c r="N11" s="376">
        <f t="shared" ref="N11:N74" si="2">IFERROR(E11*G11*I11*L11,"")</f>
        <v>0.2</v>
      </c>
      <c r="O11" s="32"/>
      <c r="P11" s="582">
        <v>0.1</v>
      </c>
      <c r="Q11" s="165"/>
      <c r="R11" s="393">
        <f t="shared" ref="R11:R74" si="3">IFERROR(P11*G11*I11*L11,"")</f>
        <v>0.2</v>
      </c>
      <c r="S11" s="393">
        <f t="shared" ref="S11:S74" si="4">IFERROR(Q11*G11*I11*L11,"")</f>
        <v>0</v>
      </c>
      <c r="T11" s="393">
        <f t="shared" ref="T11:T74" si="5">IF(D11="","",IF(E11-P11-Q11=0&lt;0,"Error in lengths ▲",IF(P11+Q11&gt;E11,"Error in Lengths ▲",E11-P11-Q11)))</f>
        <v>0</v>
      </c>
      <c r="U11" s="415">
        <f t="shared" ref="U11:U74" si="6">IF(OR(E11="",N11=""),"",IF(E11-P11-Q11=0&lt;0,"Error in Lengths ▲",IF(P11+Q11&gt;E11,"Error in Lengths ▲",N11-R11-S11)))</f>
        <v>0</v>
      </c>
      <c r="V11" s="119" t="s">
        <v>1708</v>
      </c>
      <c r="W11" s="120"/>
      <c r="X11" s="120"/>
      <c r="AE11" s="124" t="b">
        <f t="shared" si="0"/>
        <v>1</v>
      </c>
      <c r="AF11" s="124" t="b">
        <f t="shared" si="1"/>
        <v>0</v>
      </c>
      <c r="AH11" s="124">
        <v>2</v>
      </c>
      <c r="AJ11" s="124">
        <f t="array" ref="AJ11">IFERROR(INDEX($AH$10:$AH$258, MATCH(0, IF(TRUE=$AE$10:$AE$258, COUNTIF($AJ$9:$AJ10, $AH$10:$AH$258), ""), 0)),"")</f>
        <v>2</v>
      </c>
      <c r="AK11" s="124" t="str">
        <f t="array" ref="AK11">IFERROR(INDEX($AH$10:$AH$258, MATCH(0, IF(TRUE=$AF$10:$AF$258, COUNTIF($AK$9:$AK10, $AH$10:$AH$258), ""), 0)),"")</f>
        <v/>
      </c>
      <c r="AL11" s="30" t="str">
        <f>IFERROR(INDEX('G-6 Hedgerow Data'!$BJ$3:$BJ$15,MATCH(D11,'G-6 Hedgerow Data'!$B$3:$B$15,0)),"")</f>
        <v>Hedgecond1</v>
      </c>
    </row>
    <row r="12" spans="2:38" ht="30">
      <c r="B12" s="110">
        <v>3</v>
      </c>
      <c r="C12" s="165"/>
      <c r="D12" s="63" t="s">
        <v>176</v>
      </c>
      <c r="E12" s="139">
        <v>0.2</v>
      </c>
      <c r="F12" s="411" t="str">
        <f>IF(D12="","",VLOOKUP(D12,'G-6 Hedgerow Data'!$B$2:$AG$15,2,FALSE))</f>
        <v>Low</v>
      </c>
      <c r="G12" s="363">
        <f>IF(D12="","",VLOOKUP(D12,'G-6 Hedgerow Data'!$B$2:$AG$15,3,FALSE))</f>
        <v>2</v>
      </c>
      <c r="H12" s="114" t="s">
        <v>67</v>
      </c>
      <c r="I12" s="363">
        <f>IFERROR(VLOOKUP(H12,'G-1 All Habitats'!$Z$2:$AA$9,2,FALSE),"")</f>
        <v>2</v>
      </c>
      <c r="J12" s="114" t="s">
        <v>1034</v>
      </c>
      <c r="K12" s="370" t="str">
        <f>IF(J12="","",IF(VLOOKUP(J12,'G-3 Multipliers'!$L$3:$N$6,2,FALSE)=0,"Spatial Data Missing",VLOOKUP(J12,'G-3 Multipliers'!$L$3:$N$6,2,FALSE)))</f>
        <v>Low Strategic Significance</v>
      </c>
      <c r="L12" s="368">
        <f>IF(J12="","",IF(VLOOKUP(J12,'G-3 Multipliers'!$L$3:$N$6,3,FALSE)=0,"Spatial Data Missing ⚠",VLOOKUP(J12,'G-3 Multipliers'!$L$3:$N$6,3,FALSE)))</f>
        <v>1</v>
      </c>
      <c r="M12" s="369" t="str">
        <f>IF(D12="","",VLOOKUP(D12,'G-6 Hedgerow Data'!$B$1:$AH$15,33,FALSE))</f>
        <v>Same distinctiveness band or better</v>
      </c>
      <c r="N12" s="376">
        <f t="shared" si="2"/>
        <v>0.8</v>
      </c>
      <c r="O12" s="32"/>
      <c r="P12" s="582">
        <v>0.2</v>
      </c>
      <c r="Q12" s="165"/>
      <c r="R12" s="393">
        <f t="shared" si="3"/>
        <v>0.8</v>
      </c>
      <c r="S12" s="393">
        <f t="shared" si="4"/>
        <v>0</v>
      </c>
      <c r="T12" s="393">
        <f t="shared" si="5"/>
        <v>0</v>
      </c>
      <c r="U12" s="415">
        <f t="shared" si="6"/>
        <v>0</v>
      </c>
      <c r="V12" s="119"/>
      <c r="W12" s="120"/>
      <c r="X12" s="120"/>
      <c r="AE12" s="124" t="b">
        <f t="shared" si="0"/>
        <v>1</v>
      </c>
      <c r="AF12" s="124" t="b">
        <f t="shared" si="1"/>
        <v>0</v>
      </c>
      <c r="AH12" s="124">
        <v>3</v>
      </c>
      <c r="AJ12" s="124">
        <f t="array" ref="AJ12">IFERROR(INDEX($AH$10:$AH$258, MATCH(0, IF(TRUE=$AE$10:$AE$258, COUNTIF($AJ$9:$AJ11, $AH$10:$AH$258), ""), 0)),"")</f>
        <v>3</v>
      </c>
      <c r="AK12" s="124" t="str">
        <f t="array" ref="AK12">IFERROR(INDEX($AH$10:$AH$258, MATCH(0, IF(TRUE=$AF$10:$AF$258, COUNTIF($AK$9:$AK11, $AH$10:$AH$258), ""), 0)),"")</f>
        <v/>
      </c>
      <c r="AL12" s="30" t="str">
        <f>IFERROR(INDEX('G-6 Hedgerow Data'!$BJ$3:$BJ$15,MATCH(D12,'G-6 Hedgerow Data'!$B$3:$B$15,0)),"")</f>
        <v>Hedgecond1</v>
      </c>
    </row>
    <row r="13" spans="2:38" ht="30">
      <c r="B13" s="110">
        <v>4</v>
      </c>
      <c r="C13" s="165"/>
      <c r="D13" s="63" t="s">
        <v>173</v>
      </c>
      <c r="E13" s="139">
        <v>0.48</v>
      </c>
      <c r="F13" s="411" t="str">
        <f>IF(D13="","",VLOOKUP(D13,'G-6 Hedgerow Data'!$B$2:$AG$15,2,FALSE))</f>
        <v>Medium</v>
      </c>
      <c r="G13" s="363">
        <f>IF(D13="","",VLOOKUP(D13,'G-6 Hedgerow Data'!$B$2:$AG$15,3,FALSE))</f>
        <v>4</v>
      </c>
      <c r="H13" s="114" t="s">
        <v>68</v>
      </c>
      <c r="I13" s="363">
        <f>IFERROR(VLOOKUP(H13,'G-1 All Habitats'!$Z$2:$AA$9,2,FALSE),"")</f>
        <v>3</v>
      </c>
      <c r="J13" s="114" t="s">
        <v>1034</v>
      </c>
      <c r="K13" s="370" t="str">
        <f>IF(J13="","",IF(VLOOKUP(J13,'G-3 Multipliers'!$L$3:$N$6,2,FALSE)=0,"Spatial Data Missing",VLOOKUP(J13,'G-3 Multipliers'!$L$3:$N$6,2,FALSE)))</f>
        <v>Low Strategic Significance</v>
      </c>
      <c r="L13" s="368">
        <f>IF(J13="","",IF(VLOOKUP(J13,'G-3 Multipliers'!$L$3:$N$6,3,FALSE)=0,"Spatial Data Missing ⚠",VLOOKUP(J13,'G-3 Multipliers'!$L$3:$N$6,3,FALSE)))</f>
        <v>1</v>
      </c>
      <c r="M13" s="369" t="str">
        <f>IF(D13="","",VLOOKUP(D13,'G-6 Hedgerow Data'!$B$1:$AH$15,33,FALSE))</f>
        <v>Same distinctiveness band or better</v>
      </c>
      <c r="N13" s="376">
        <f t="shared" si="2"/>
        <v>5.76</v>
      </c>
      <c r="O13" s="32"/>
      <c r="P13" s="582">
        <v>0.48</v>
      </c>
      <c r="Q13" s="165"/>
      <c r="R13" s="393">
        <f t="shared" si="3"/>
        <v>5.76</v>
      </c>
      <c r="S13" s="393">
        <f t="shared" si="4"/>
        <v>0</v>
      </c>
      <c r="T13" s="393">
        <f t="shared" si="5"/>
        <v>0</v>
      </c>
      <c r="U13" s="415">
        <f t="shared" si="6"/>
        <v>0</v>
      </c>
      <c r="V13" s="119"/>
      <c r="W13" s="120"/>
      <c r="X13" s="120"/>
      <c r="AE13" s="124" t="b">
        <f t="shared" si="0"/>
        <v>1</v>
      </c>
      <c r="AF13" s="124" t="b">
        <f t="shared" si="1"/>
        <v>0</v>
      </c>
      <c r="AH13" s="124">
        <v>4</v>
      </c>
      <c r="AJ13" s="124">
        <f t="array" ref="AJ13">IFERROR(INDEX($AH$10:$AH$258, MATCH(0, IF(TRUE=$AE$10:$AE$258, COUNTIF($AJ$9:$AJ12, $AH$10:$AH$258), ""), 0)),"")</f>
        <v>4</v>
      </c>
      <c r="AK13" s="124" t="str">
        <f t="array" ref="AK13">IFERROR(INDEX($AH$10:$AH$258, MATCH(0, IF(TRUE=$AF$10:$AF$258, COUNTIF($AK$9:$AK12, $AH$10:$AH$258), ""), 0)),"")</f>
        <v/>
      </c>
      <c r="AL13" s="30" t="str">
        <f>IFERROR(INDEX('G-6 Hedgerow Data'!$BJ$3:$BJ$15,MATCH(D13,'G-6 Hedgerow Data'!$B$3:$B$15,0)),"")</f>
        <v>Hedgecond1</v>
      </c>
    </row>
    <row r="14" spans="2:38" ht="30">
      <c r="B14" s="110">
        <v>5</v>
      </c>
      <c r="C14" s="165"/>
      <c r="D14" s="159" t="s">
        <v>173</v>
      </c>
      <c r="E14" s="53">
        <v>1.06</v>
      </c>
      <c r="F14" s="411" t="str">
        <f>IF(D14="","",VLOOKUP(D14,'G-6 Hedgerow Data'!$B$2:$AG$15,2,FALSE))</f>
        <v>Medium</v>
      </c>
      <c r="G14" s="363">
        <f>IF(D14="","",VLOOKUP(D14,'G-6 Hedgerow Data'!$B$2:$AG$15,3,FALSE))</f>
        <v>4</v>
      </c>
      <c r="H14" s="114" t="s">
        <v>67</v>
      </c>
      <c r="I14" s="363">
        <f>IFERROR(VLOOKUP(H14,'G-1 All Habitats'!$Z$2:$AA$9,2,FALSE),"")</f>
        <v>2</v>
      </c>
      <c r="J14" s="114" t="s">
        <v>1034</v>
      </c>
      <c r="K14" s="370" t="str">
        <f>IF(J14="","",IF(VLOOKUP(J14,'G-3 Multipliers'!$L$3:$N$6,2,FALSE)=0,"Spatial Data Missing",VLOOKUP(J14,'G-3 Multipliers'!$L$3:$N$6,2,FALSE)))</f>
        <v>Low Strategic Significance</v>
      </c>
      <c r="L14" s="368">
        <f>IF(J14="","",IF(VLOOKUP(J14,'G-3 Multipliers'!$L$3:$N$6,3,FALSE)=0,"Spatial Data Missing ⚠",VLOOKUP(J14,'G-3 Multipliers'!$L$3:$N$6,3,FALSE)))</f>
        <v>1</v>
      </c>
      <c r="M14" s="369" t="str">
        <f>IF(D14="","",VLOOKUP(D14,'G-6 Hedgerow Data'!$B$1:$AH$15,33,FALSE))</f>
        <v>Same distinctiveness band or better</v>
      </c>
      <c r="N14" s="376">
        <f t="shared" si="2"/>
        <v>8.48</v>
      </c>
      <c r="O14" s="32"/>
      <c r="P14" s="582">
        <v>1.06</v>
      </c>
      <c r="Q14" s="165"/>
      <c r="R14" s="393">
        <f t="shared" si="3"/>
        <v>8.48</v>
      </c>
      <c r="S14" s="393">
        <f t="shared" si="4"/>
        <v>0</v>
      </c>
      <c r="T14" s="393">
        <f t="shared" si="5"/>
        <v>0</v>
      </c>
      <c r="U14" s="415">
        <f t="shared" si="6"/>
        <v>0</v>
      </c>
      <c r="V14" s="119"/>
      <c r="W14" s="120"/>
      <c r="X14" s="120"/>
      <c r="AE14" s="124" t="b">
        <f t="shared" si="0"/>
        <v>1</v>
      </c>
      <c r="AF14" s="124" t="b">
        <f t="shared" si="1"/>
        <v>0</v>
      </c>
      <c r="AH14" s="124">
        <v>5</v>
      </c>
      <c r="AJ14" s="124">
        <f t="array" ref="AJ14">IFERROR(INDEX($AH$10:$AH$258, MATCH(0, IF(TRUE=$AE$10:$AE$258, COUNTIF($AJ$9:$AJ13, $AH$10:$AH$258), ""), 0)),"")</f>
        <v>5</v>
      </c>
      <c r="AK14" s="124" t="str">
        <f t="array" ref="AK14">IFERROR(INDEX($AH$10:$AH$258, MATCH(0, IF(TRUE=$AF$10:$AF$258, COUNTIF($AK$9:$AK13, $AH$10:$AH$258), ""), 0)),"")</f>
        <v/>
      </c>
      <c r="AL14" s="30" t="str">
        <f>IFERROR(INDEX('G-6 Hedgerow Data'!$BJ$3:$BJ$15,MATCH(D14,'G-6 Hedgerow Data'!$B$3:$B$15,0)),"")</f>
        <v>Hedgecond1</v>
      </c>
    </row>
    <row r="15" spans="2:38" ht="30">
      <c r="B15" s="110">
        <v>6</v>
      </c>
      <c r="C15" s="165"/>
      <c r="D15" s="159" t="s">
        <v>179</v>
      </c>
      <c r="E15" s="53">
        <v>0.6</v>
      </c>
      <c r="F15" s="411" t="str">
        <f>IF(D15="","",VLOOKUP(D15,'G-6 Hedgerow Data'!$B$2:$AG$15,2,FALSE))</f>
        <v>V.Low</v>
      </c>
      <c r="G15" s="363">
        <f>IF(D15="","",VLOOKUP(D15,'G-6 Hedgerow Data'!$B$2:$AG$15,3,FALSE))</f>
        <v>1</v>
      </c>
      <c r="H15" s="114" t="s">
        <v>328</v>
      </c>
      <c r="I15" s="363">
        <f>IFERROR(VLOOKUP(H15,'G-1 All Habitats'!$Z$2:$AA$9,2,FALSE),"")</f>
        <v>1</v>
      </c>
      <c r="J15" s="114" t="s">
        <v>1034</v>
      </c>
      <c r="K15" s="370" t="str">
        <f>IF(J15="","",IF(VLOOKUP(J15,'G-3 Multipliers'!$L$3:$N$6,2,FALSE)=0,"Spatial Data Missing",VLOOKUP(J15,'G-3 Multipliers'!$L$3:$N$6,2,FALSE)))</f>
        <v>Low Strategic Significance</v>
      </c>
      <c r="L15" s="368">
        <f>IF(J15="","",IF(VLOOKUP(J15,'G-3 Multipliers'!$L$3:$N$6,3,FALSE)=0,"Spatial Data Missing ⚠",VLOOKUP(J15,'G-3 Multipliers'!$L$3:$N$6,3,FALSE)))</f>
        <v>1</v>
      </c>
      <c r="M15" s="369" t="str">
        <f>IF(D15="","",VLOOKUP(D15,'G-6 Hedgerow Data'!$B$1:$AH$15,33,FALSE))</f>
        <v>Same distinctiveness band or better</v>
      </c>
      <c r="N15" s="376">
        <f t="shared" si="2"/>
        <v>0.6</v>
      </c>
      <c r="O15" s="32"/>
      <c r="P15" s="582">
        <v>0.6</v>
      </c>
      <c r="Q15" s="165"/>
      <c r="R15" s="393">
        <f t="shared" si="3"/>
        <v>0.6</v>
      </c>
      <c r="S15" s="393">
        <f t="shared" si="4"/>
        <v>0</v>
      </c>
      <c r="T15" s="393">
        <f t="shared" si="5"/>
        <v>0</v>
      </c>
      <c r="U15" s="415">
        <f t="shared" si="6"/>
        <v>0</v>
      </c>
      <c r="V15" s="119" t="s">
        <v>1722</v>
      </c>
      <c r="W15" s="120"/>
      <c r="X15" s="120"/>
      <c r="AE15" s="124" t="b">
        <f t="shared" si="0"/>
        <v>1</v>
      </c>
      <c r="AF15" s="124" t="b">
        <f t="shared" si="1"/>
        <v>0</v>
      </c>
      <c r="AH15" s="124">
        <v>6</v>
      </c>
      <c r="AJ15" s="124">
        <f t="array" ref="AJ15">IFERROR(INDEX($AH$10:$AH$258, MATCH(0, IF(TRUE=$AE$10:$AE$258, COUNTIF($AJ$9:$AJ14, $AH$10:$AH$258), ""), 0)),"")</f>
        <v>6</v>
      </c>
      <c r="AK15" s="124" t="str">
        <f t="array" ref="AK15">IFERROR(INDEX($AH$10:$AH$258, MATCH(0, IF(TRUE=$AF$10:$AF$258, COUNTIF($AK$9:$AK14, $AH$10:$AH$258), ""), 0)),"")</f>
        <v/>
      </c>
      <c r="AL15" s="30" t="str">
        <f>IFERROR(INDEX('G-6 Hedgerow Data'!$BJ$3:$BJ$15,MATCH(D15,'G-6 Hedgerow Data'!$B$3:$B$15,0)),"")</f>
        <v>Hedgecond2</v>
      </c>
    </row>
    <row r="16" spans="2:38">
      <c r="B16" s="110">
        <v>7</v>
      </c>
      <c r="C16" s="165"/>
      <c r="D16" s="159"/>
      <c r="E16" s="53"/>
      <c r="F16" s="411" t="str">
        <f>IF(D16="","",VLOOKUP(D16,'G-6 Hedgerow Data'!$B$2:$AG$15,2,FALSE))</f>
        <v/>
      </c>
      <c r="G16" s="363" t="str">
        <f>IF(D16="","",VLOOKUP(D16,'G-6 Hedgerow Data'!$B$2:$AG$15,3,FALSE))</f>
        <v/>
      </c>
      <c r="H16" s="114"/>
      <c r="I16" s="363" t="str">
        <f>IFERROR(VLOOKUP(H16,'G-1 All Habitats'!$Z$2:$AA$9,2,FALSE),"")</f>
        <v/>
      </c>
      <c r="J16" s="114"/>
      <c r="K16" s="370" t="str">
        <f>IF(J16="","",IF(VLOOKUP(J16,'G-3 Multipliers'!$L$3:$N$6,2,FALSE)=0,"Spatial Data Missing",VLOOKUP(J16,'G-3 Multipliers'!$L$3:$N$6,2,FALSE)))</f>
        <v/>
      </c>
      <c r="L16" s="368" t="str">
        <f>IF(J16="","",IF(VLOOKUP(J16,'G-3 Multipliers'!$L$3:$N$6,3,FALSE)=0,"Spatial Data Missing ⚠",VLOOKUP(J16,'G-3 Multipliers'!$L$3:$N$6,3,FALSE)))</f>
        <v/>
      </c>
      <c r="M16" s="369" t="str">
        <f>IF(D16="","",VLOOKUP(D16,'G-6 Hedgerow Data'!$B$1:$AH$15,33,FALSE))</f>
        <v/>
      </c>
      <c r="N16" s="376" t="str">
        <f t="shared" si="2"/>
        <v/>
      </c>
      <c r="O16" s="32"/>
      <c r="P16" s="582"/>
      <c r="Q16" s="165"/>
      <c r="R16" s="393" t="str">
        <f t="shared" si="3"/>
        <v/>
      </c>
      <c r="S16" s="393" t="str">
        <f t="shared" si="4"/>
        <v/>
      </c>
      <c r="T16" s="393" t="str">
        <f t="shared" si="5"/>
        <v/>
      </c>
      <c r="U16" s="415" t="str">
        <f t="shared" si="6"/>
        <v/>
      </c>
      <c r="V16" s="119"/>
      <c r="W16" s="120"/>
      <c r="X16" s="120"/>
      <c r="AE16" s="124" t="str">
        <f t="shared" si="0"/>
        <v/>
      </c>
      <c r="AF16" s="124" t="str">
        <f t="shared" si="1"/>
        <v/>
      </c>
      <c r="AH16" s="124">
        <v>7</v>
      </c>
      <c r="AJ16" s="124" t="str">
        <f t="array" ref="AJ16">IFERROR(INDEX($AH$10:$AH$258, MATCH(0, IF(TRUE=$AE$10:$AE$258, COUNTIF($AJ$9:$AJ15, $AH$10:$AH$258), ""), 0)),"")</f>
        <v/>
      </c>
      <c r="AK16" s="124" t="str">
        <f t="array" ref="AK16">IFERROR(INDEX($AH$10:$AH$258, MATCH(0, IF(TRUE=$AF$10:$AF$258, COUNTIF($AK$9:$AK15, $AH$10:$AH$258), ""), 0)),"")</f>
        <v/>
      </c>
      <c r="AL16" s="30" t="str">
        <f>IFERROR(INDEX('G-6 Hedgerow Data'!$BJ$3:$BJ$15,MATCH(D16,'G-6 Hedgerow Data'!$B$3:$B$15,0)),"")</f>
        <v/>
      </c>
    </row>
    <row r="17" spans="2:38">
      <c r="B17" s="110">
        <v>8</v>
      </c>
      <c r="C17" s="165"/>
      <c r="D17" s="159"/>
      <c r="E17" s="53"/>
      <c r="F17" s="411" t="str">
        <f>IF(D17="","",VLOOKUP(D17,'G-6 Hedgerow Data'!$B$2:$AG$15,2,FALSE))</f>
        <v/>
      </c>
      <c r="G17" s="363" t="str">
        <f>IF(D17="","",VLOOKUP(D17,'G-6 Hedgerow Data'!$B$2:$AG$15,3,FALSE))</f>
        <v/>
      </c>
      <c r="H17" s="114"/>
      <c r="I17" s="363" t="str">
        <f>IFERROR(VLOOKUP(H17,'G-1 All Habitats'!$Z$2:$AA$9,2,FALSE),"")</f>
        <v/>
      </c>
      <c r="J17" s="114"/>
      <c r="K17" s="370" t="str">
        <f>IF(J17="","",IF(VLOOKUP(J17,'G-3 Multipliers'!$L$3:$N$6,2,FALSE)=0,"Spatial Data Missing",VLOOKUP(J17,'G-3 Multipliers'!$L$3:$N$6,2,FALSE)))</f>
        <v/>
      </c>
      <c r="L17" s="368" t="str">
        <f>IF(J17="","",IF(VLOOKUP(J17,'G-3 Multipliers'!$L$3:$N$6,3,FALSE)=0,"Spatial Data Missing ⚠",VLOOKUP(J17,'G-3 Multipliers'!$L$3:$N$6,3,FALSE)))</f>
        <v/>
      </c>
      <c r="M17" s="369" t="str">
        <f>IF(D17="","",VLOOKUP(D17,'G-6 Hedgerow Data'!$B$1:$AH$15,33,FALSE))</f>
        <v/>
      </c>
      <c r="N17" s="376" t="str">
        <f t="shared" si="2"/>
        <v/>
      </c>
      <c r="O17" s="32"/>
      <c r="P17" s="582"/>
      <c r="Q17" s="165"/>
      <c r="R17" s="393" t="str">
        <f t="shared" si="3"/>
        <v/>
      </c>
      <c r="S17" s="393" t="str">
        <f t="shared" si="4"/>
        <v/>
      </c>
      <c r="T17" s="393" t="str">
        <f t="shared" si="5"/>
        <v/>
      </c>
      <c r="U17" s="415" t="str">
        <f t="shared" si="6"/>
        <v/>
      </c>
      <c r="V17" s="119"/>
      <c r="W17" s="120"/>
      <c r="X17" s="120"/>
      <c r="AE17" s="124" t="str">
        <f t="shared" si="0"/>
        <v/>
      </c>
      <c r="AF17" s="124" t="str">
        <f t="shared" si="1"/>
        <v/>
      </c>
      <c r="AH17" s="124">
        <v>8</v>
      </c>
      <c r="AJ17" s="124" t="str">
        <f t="array" ref="AJ17">IFERROR(INDEX($AH$10:$AH$258, MATCH(0, IF(TRUE=$AE$10:$AE$258, COUNTIF($AJ$9:$AJ16, $AH$10:$AH$258), ""), 0)),"")</f>
        <v/>
      </c>
      <c r="AK17" s="124" t="str">
        <f t="array" ref="AK17">IFERROR(INDEX($AH$10:$AH$258, MATCH(0, IF(TRUE=$AF$10:$AF$258, COUNTIF($AK$9:$AK16, $AH$10:$AH$258), ""), 0)),"")</f>
        <v/>
      </c>
      <c r="AL17" s="30" t="str">
        <f>IFERROR(INDEX('G-6 Hedgerow Data'!$BJ$3:$BJ$15,MATCH(D17,'G-6 Hedgerow Data'!$B$3:$B$15,0)),"")</f>
        <v/>
      </c>
    </row>
    <row r="18" spans="2:38">
      <c r="B18" s="110">
        <v>9</v>
      </c>
      <c r="C18" s="165"/>
      <c r="D18" s="159"/>
      <c r="E18" s="139"/>
      <c r="F18" s="411" t="str">
        <f>IF(D18="","",VLOOKUP(D18,'G-6 Hedgerow Data'!$B$2:$AG$15,2,FALSE))</f>
        <v/>
      </c>
      <c r="G18" s="363" t="str">
        <f>IF(D18="","",VLOOKUP(D18,'G-6 Hedgerow Data'!$B$2:$AG$15,3,FALSE))</f>
        <v/>
      </c>
      <c r="H18" s="114"/>
      <c r="I18" s="363" t="str">
        <f>IFERROR(VLOOKUP(H18,'G-1 All Habitats'!$Z$2:$AA$9,2,FALSE),"")</f>
        <v/>
      </c>
      <c r="J18" s="114"/>
      <c r="K18" s="370" t="str">
        <f>IF(J18="","",IF(VLOOKUP(J18,'G-3 Multipliers'!$L$3:$N$6,2,FALSE)=0,"Spatial Data Missing",VLOOKUP(J18,'G-3 Multipliers'!$L$3:$N$6,2,FALSE)))</f>
        <v/>
      </c>
      <c r="L18" s="368" t="str">
        <f>IF(J18="","",IF(VLOOKUP(J18,'G-3 Multipliers'!$L$3:$N$6,3,FALSE)=0,"Spatial Data Missing ⚠",VLOOKUP(J18,'G-3 Multipliers'!$L$3:$N$6,3,FALSE)))</f>
        <v/>
      </c>
      <c r="M18" s="369" t="str">
        <f>IF(D18="","",VLOOKUP(D18,'G-6 Hedgerow Data'!$B$1:$AH$15,33,FALSE))</f>
        <v/>
      </c>
      <c r="N18" s="376" t="str">
        <f t="shared" si="2"/>
        <v/>
      </c>
      <c r="O18" s="32"/>
      <c r="P18" s="582"/>
      <c r="Q18" s="165"/>
      <c r="R18" s="393" t="str">
        <f t="shared" si="3"/>
        <v/>
      </c>
      <c r="S18" s="393" t="str">
        <f t="shared" si="4"/>
        <v/>
      </c>
      <c r="T18" s="393" t="str">
        <f t="shared" si="5"/>
        <v/>
      </c>
      <c r="U18" s="415" t="str">
        <f t="shared" si="6"/>
        <v/>
      </c>
      <c r="V18" s="119"/>
      <c r="W18" s="120"/>
      <c r="X18" s="120"/>
      <c r="AE18" s="124" t="str">
        <f t="shared" si="0"/>
        <v/>
      </c>
      <c r="AF18" s="124" t="str">
        <f t="shared" si="1"/>
        <v/>
      </c>
      <c r="AH18" s="124">
        <v>9</v>
      </c>
      <c r="AJ18" s="124" t="str">
        <f t="array" ref="AJ18">IFERROR(INDEX($AH$10:$AH$258, MATCH(0, IF(TRUE=$AE$10:$AE$258, COUNTIF($AJ$9:$AJ17, $AH$10:$AH$258), ""), 0)),"")</f>
        <v/>
      </c>
      <c r="AK18" s="124" t="str">
        <f t="array" ref="AK18">IFERROR(INDEX($AH$10:$AH$258, MATCH(0, IF(TRUE=$AF$10:$AF$258, COUNTIF($AK$9:$AK17, $AH$10:$AH$258), ""), 0)),"")</f>
        <v/>
      </c>
      <c r="AL18" s="30" t="str">
        <f>IFERROR(INDEX('G-6 Hedgerow Data'!$BJ$3:$BJ$15,MATCH(D18,'G-6 Hedgerow Data'!$B$3:$B$15,0)),"")</f>
        <v/>
      </c>
    </row>
    <row r="19" spans="2:38">
      <c r="B19" s="110">
        <v>10</v>
      </c>
      <c r="C19" s="165"/>
      <c r="D19" s="159"/>
      <c r="E19" s="139"/>
      <c r="F19" s="411" t="str">
        <f>IF(D19="","",VLOOKUP(D19,'G-6 Hedgerow Data'!$B$2:$AG$15,2,FALSE))</f>
        <v/>
      </c>
      <c r="G19" s="363" t="str">
        <f>IF(D19="","",VLOOKUP(D19,'G-6 Hedgerow Data'!$B$2:$AG$15,3,FALSE))</f>
        <v/>
      </c>
      <c r="H19" s="114"/>
      <c r="I19" s="363" t="str">
        <f>IFERROR(VLOOKUP(H19,'G-1 All Habitats'!$Z$2:$AA$9,2,FALSE),"")</f>
        <v/>
      </c>
      <c r="J19" s="114"/>
      <c r="K19" s="370" t="str">
        <f>IF(J19="","",IF(VLOOKUP(J19,'G-3 Multipliers'!$L$3:$N$6,2,FALSE)=0,"Spatial Data Missing",VLOOKUP(J19,'G-3 Multipliers'!$L$3:$N$6,2,FALSE)))</f>
        <v/>
      </c>
      <c r="L19" s="368" t="str">
        <f>IF(J19="","",IF(VLOOKUP(J19,'G-3 Multipliers'!$L$3:$N$6,3,FALSE)=0,"Spatial Data Missing ⚠",VLOOKUP(J19,'G-3 Multipliers'!$L$3:$N$6,3,FALSE)))</f>
        <v/>
      </c>
      <c r="M19" s="369" t="str">
        <f>IF(D19="","",VLOOKUP(D19,'G-6 Hedgerow Data'!$B$1:$AH$15,33,FALSE))</f>
        <v/>
      </c>
      <c r="N19" s="376" t="str">
        <f t="shared" si="2"/>
        <v/>
      </c>
      <c r="O19" s="32"/>
      <c r="P19" s="582"/>
      <c r="Q19" s="165"/>
      <c r="R19" s="393" t="str">
        <f t="shared" si="3"/>
        <v/>
      </c>
      <c r="S19" s="393" t="str">
        <f t="shared" si="4"/>
        <v/>
      </c>
      <c r="T19" s="393" t="str">
        <f t="shared" si="5"/>
        <v/>
      </c>
      <c r="U19" s="415" t="str">
        <f t="shared" si="6"/>
        <v/>
      </c>
      <c r="V19" s="119"/>
      <c r="W19" s="120"/>
      <c r="X19" s="120"/>
      <c r="AE19" s="124" t="str">
        <f t="shared" si="0"/>
        <v/>
      </c>
      <c r="AF19" s="124" t="str">
        <f t="shared" si="1"/>
        <v/>
      </c>
      <c r="AH19" s="124">
        <v>10</v>
      </c>
      <c r="AJ19" s="124" t="str">
        <f t="array" ref="AJ19">IFERROR(INDEX($AH$10:$AH$258, MATCH(0, IF(TRUE=$AE$10:$AE$258, COUNTIF($AJ$9:$AJ18, $AH$10:$AH$258), ""), 0)),"")</f>
        <v/>
      </c>
      <c r="AK19" s="124" t="str">
        <f t="array" ref="AK19">IFERROR(INDEX($AH$10:$AH$258, MATCH(0, IF(TRUE=$AF$10:$AF$258, COUNTIF($AK$9:$AK18, $AH$10:$AH$258), ""), 0)),"")</f>
        <v/>
      </c>
      <c r="AL19" s="30" t="str">
        <f>IFERROR(INDEX('G-6 Hedgerow Data'!$BJ$3:$BJ$15,MATCH(D19,'G-6 Hedgerow Data'!$B$3:$B$15,0)),"")</f>
        <v/>
      </c>
    </row>
    <row r="20" spans="2:38">
      <c r="B20" s="110">
        <v>11</v>
      </c>
      <c r="C20" s="165"/>
      <c r="D20" s="159"/>
      <c r="E20" s="139"/>
      <c r="F20" s="411" t="str">
        <f>IF(D20="","",VLOOKUP(D20,'G-6 Hedgerow Data'!$B$2:$AG$15,2,FALSE))</f>
        <v/>
      </c>
      <c r="G20" s="363" t="str">
        <f>IF(D20="","",VLOOKUP(D20,'G-6 Hedgerow Data'!$B$2:$AG$15,3,FALSE))</f>
        <v/>
      </c>
      <c r="H20" s="114"/>
      <c r="I20" s="363" t="str">
        <f>IFERROR(VLOOKUP(H20,'G-1 All Habitats'!$Z$2:$AA$9,2,FALSE),"")</f>
        <v/>
      </c>
      <c r="J20" s="114"/>
      <c r="K20" s="370" t="str">
        <f>IF(J20="","",IF(VLOOKUP(J20,'G-3 Multipliers'!$L$3:$N$6,2,FALSE)=0,"Spatial Data Missing",VLOOKUP(J20,'G-3 Multipliers'!$L$3:$N$6,2,FALSE)))</f>
        <v/>
      </c>
      <c r="L20" s="368" t="str">
        <f>IF(J20="","",IF(VLOOKUP(J20,'G-3 Multipliers'!$L$3:$N$6,3,FALSE)=0,"Spatial Data Missing ⚠",VLOOKUP(J20,'G-3 Multipliers'!$L$3:$N$6,3,FALSE)))</f>
        <v/>
      </c>
      <c r="M20" s="369" t="str">
        <f>IF(D20="","",VLOOKUP(D20,'G-6 Hedgerow Data'!$B$1:$AH$15,33,FALSE))</f>
        <v/>
      </c>
      <c r="N20" s="376" t="str">
        <f t="shared" si="2"/>
        <v/>
      </c>
      <c r="O20" s="32"/>
      <c r="P20" s="582"/>
      <c r="Q20" s="165"/>
      <c r="R20" s="393" t="str">
        <f t="shared" si="3"/>
        <v/>
      </c>
      <c r="S20" s="393" t="str">
        <f t="shared" si="4"/>
        <v/>
      </c>
      <c r="T20" s="393" t="str">
        <f t="shared" si="5"/>
        <v/>
      </c>
      <c r="U20" s="415" t="str">
        <f t="shared" si="6"/>
        <v/>
      </c>
      <c r="V20" s="119"/>
      <c r="W20" s="120"/>
      <c r="X20" s="120"/>
      <c r="AE20" s="124" t="str">
        <f t="shared" si="0"/>
        <v/>
      </c>
      <c r="AF20" s="124" t="str">
        <f t="shared" si="1"/>
        <v/>
      </c>
      <c r="AH20" s="124">
        <v>11</v>
      </c>
      <c r="AJ20" s="124" t="str">
        <f t="array" ref="AJ20">IFERROR(INDEX($AH$10:$AH$258, MATCH(0, IF(TRUE=$AE$10:$AE$258, COUNTIF($AJ$9:$AJ19, $AH$10:$AH$258), ""), 0)),"")</f>
        <v/>
      </c>
      <c r="AK20" s="124" t="str">
        <f t="array" ref="AK20">IFERROR(INDEX($AH$10:$AH$258, MATCH(0, IF(TRUE=$AF$10:$AF$258, COUNTIF($AK$9:$AK19, $AH$10:$AH$258), ""), 0)),"")</f>
        <v/>
      </c>
      <c r="AL20" s="30" t="str">
        <f>IFERROR(INDEX('G-6 Hedgerow Data'!$BJ$3:$BJ$15,MATCH(D20,'G-6 Hedgerow Data'!$B$3:$B$15,0)),"")</f>
        <v/>
      </c>
    </row>
    <row r="21" spans="2:38">
      <c r="B21" s="110">
        <v>12</v>
      </c>
      <c r="C21" s="165"/>
      <c r="D21" s="159"/>
      <c r="E21" s="139"/>
      <c r="F21" s="411" t="str">
        <f>IF(D21="","",VLOOKUP(D21,'G-6 Hedgerow Data'!$B$2:$AG$15,2,FALSE))</f>
        <v/>
      </c>
      <c r="G21" s="363" t="str">
        <f>IF(D21="","",VLOOKUP(D21,'G-6 Hedgerow Data'!$B$2:$AG$15,3,FALSE))</f>
        <v/>
      </c>
      <c r="H21" s="114"/>
      <c r="I21" s="363" t="str">
        <f>IFERROR(VLOOKUP(H21,'G-1 All Habitats'!$Z$2:$AA$9,2,FALSE),"")</f>
        <v/>
      </c>
      <c r="J21" s="114"/>
      <c r="K21" s="370" t="str">
        <f>IF(J21="","",IF(VLOOKUP(J21,'G-3 Multipliers'!$L$3:$N$6,2,FALSE)=0,"Spatial Data Missing",VLOOKUP(J21,'G-3 Multipliers'!$L$3:$N$6,2,FALSE)))</f>
        <v/>
      </c>
      <c r="L21" s="368" t="str">
        <f>IF(J21="","",IF(VLOOKUP(J21,'G-3 Multipliers'!$L$3:$N$6,3,FALSE)=0,"Spatial Data Missing ⚠",VLOOKUP(J21,'G-3 Multipliers'!$L$3:$N$6,3,FALSE)))</f>
        <v/>
      </c>
      <c r="M21" s="369" t="str">
        <f>IF(D21="","",VLOOKUP(D21,'G-6 Hedgerow Data'!$B$1:$AH$15,33,FALSE))</f>
        <v/>
      </c>
      <c r="N21" s="376" t="str">
        <f t="shared" si="2"/>
        <v/>
      </c>
      <c r="O21" s="32"/>
      <c r="P21" s="582"/>
      <c r="Q21" s="165"/>
      <c r="R21" s="393" t="str">
        <f t="shared" si="3"/>
        <v/>
      </c>
      <c r="S21" s="393" t="str">
        <f t="shared" si="4"/>
        <v/>
      </c>
      <c r="T21" s="393" t="str">
        <f t="shared" si="5"/>
        <v/>
      </c>
      <c r="U21" s="415" t="str">
        <f t="shared" si="6"/>
        <v/>
      </c>
      <c r="V21" s="119"/>
      <c r="W21" s="120"/>
      <c r="X21" s="120"/>
      <c r="AE21" s="124" t="str">
        <f t="shared" si="0"/>
        <v/>
      </c>
      <c r="AF21" s="124" t="str">
        <f t="shared" si="1"/>
        <v/>
      </c>
      <c r="AH21" s="124">
        <v>12</v>
      </c>
      <c r="AJ21" s="124" t="str">
        <f t="array" ref="AJ21">IFERROR(INDEX($AH$10:$AH$258, MATCH(0, IF(TRUE=$AE$10:$AE$258, COUNTIF($AJ$9:$AJ20, $AH$10:$AH$258), ""), 0)),"")</f>
        <v/>
      </c>
      <c r="AK21" s="124" t="str">
        <f t="array" ref="AK21">IFERROR(INDEX($AH$10:$AH$258, MATCH(0, IF(TRUE=$AF$10:$AF$258, COUNTIF($AK$9:$AK20, $AH$10:$AH$258), ""), 0)),"")</f>
        <v/>
      </c>
      <c r="AL21" s="30" t="str">
        <f>IFERROR(INDEX('G-6 Hedgerow Data'!$BJ$3:$BJ$15,MATCH(D21,'G-6 Hedgerow Data'!$B$3:$B$15,0)),"")</f>
        <v/>
      </c>
    </row>
    <row r="22" spans="2:38">
      <c r="B22" s="110">
        <v>13</v>
      </c>
      <c r="C22" s="165"/>
      <c r="D22" s="159"/>
      <c r="E22" s="139"/>
      <c r="F22" s="411" t="str">
        <f>IF(D22="","",VLOOKUP(D22,'G-6 Hedgerow Data'!$B$2:$AG$15,2,FALSE))</f>
        <v/>
      </c>
      <c r="G22" s="363" t="str">
        <f>IF(D22="","",VLOOKUP(D22,'G-6 Hedgerow Data'!$B$2:$AG$15,3,FALSE))</f>
        <v/>
      </c>
      <c r="H22" s="114"/>
      <c r="I22" s="363" t="str">
        <f>IFERROR(VLOOKUP(H22,'G-1 All Habitats'!$Z$2:$AA$9,2,FALSE),"")</f>
        <v/>
      </c>
      <c r="J22" s="114"/>
      <c r="K22" s="370" t="str">
        <f>IF(J22="","",IF(VLOOKUP(J22,'G-3 Multipliers'!$L$3:$N$6,2,FALSE)=0,"Spatial Data Missing",VLOOKUP(J22,'G-3 Multipliers'!$L$3:$N$6,2,FALSE)))</f>
        <v/>
      </c>
      <c r="L22" s="368" t="str">
        <f>IF(J22="","",IF(VLOOKUP(J22,'G-3 Multipliers'!$L$3:$N$6,3,FALSE)=0,"Spatial Data Missing ⚠",VLOOKUP(J22,'G-3 Multipliers'!$L$3:$N$6,3,FALSE)))</f>
        <v/>
      </c>
      <c r="M22" s="369" t="str">
        <f>IF(D22="","",VLOOKUP(D22,'G-6 Hedgerow Data'!$B$1:$AH$15,33,FALSE))</f>
        <v/>
      </c>
      <c r="N22" s="376" t="str">
        <f t="shared" si="2"/>
        <v/>
      </c>
      <c r="O22" s="32"/>
      <c r="P22" s="582"/>
      <c r="Q22" s="165"/>
      <c r="R22" s="393" t="str">
        <f t="shared" si="3"/>
        <v/>
      </c>
      <c r="S22" s="393" t="str">
        <f t="shared" si="4"/>
        <v/>
      </c>
      <c r="T22" s="393" t="str">
        <f t="shared" si="5"/>
        <v/>
      </c>
      <c r="U22" s="415" t="str">
        <f t="shared" si="6"/>
        <v/>
      </c>
      <c r="V22" s="119"/>
      <c r="W22" s="120"/>
      <c r="X22" s="120"/>
      <c r="AE22" s="124" t="str">
        <f t="shared" si="0"/>
        <v/>
      </c>
      <c r="AF22" s="124" t="str">
        <f t="shared" si="1"/>
        <v/>
      </c>
      <c r="AH22" s="124">
        <v>13</v>
      </c>
      <c r="AJ22" s="124" t="str">
        <f t="array" ref="AJ22">IFERROR(INDEX($AH$10:$AH$258, MATCH(0, IF(TRUE=$AE$10:$AE$258, COUNTIF($AJ$9:$AJ21, $AH$10:$AH$258), ""), 0)),"")</f>
        <v/>
      </c>
      <c r="AK22" s="124" t="str">
        <f t="array" ref="AK22">IFERROR(INDEX($AH$10:$AH$258, MATCH(0, IF(TRUE=$AF$10:$AF$258, COUNTIF($AK$9:$AK21, $AH$10:$AH$258), ""), 0)),"")</f>
        <v/>
      </c>
      <c r="AL22" s="30" t="str">
        <f>IFERROR(INDEX('G-6 Hedgerow Data'!$BJ$3:$BJ$15,MATCH(D22,'G-6 Hedgerow Data'!$B$3:$B$15,0)),"")</f>
        <v/>
      </c>
    </row>
    <row r="23" spans="2:38">
      <c r="B23" s="110">
        <v>14</v>
      </c>
      <c r="C23" s="165"/>
      <c r="D23" s="63"/>
      <c r="E23" s="139"/>
      <c r="F23" s="411" t="str">
        <f>IF(D23="","",VLOOKUP(D23,'G-6 Hedgerow Data'!$B$2:$AG$15,2,FALSE))</f>
        <v/>
      </c>
      <c r="G23" s="363" t="str">
        <f>IF(D23="","",VLOOKUP(D23,'G-6 Hedgerow Data'!$B$2:$AG$15,3,FALSE))</f>
        <v/>
      </c>
      <c r="H23" s="114"/>
      <c r="I23" s="363" t="str">
        <f>IFERROR(VLOOKUP(H23,'G-1 All Habitats'!$Z$2:$AA$9,2,FALSE),"")</f>
        <v/>
      </c>
      <c r="J23" s="114"/>
      <c r="K23" s="370" t="str">
        <f>IF(J23="","",IF(VLOOKUP(J23,'G-3 Multipliers'!$L$3:$N$6,2,FALSE)=0,"Spatial Data Missing",VLOOKUP(J23,'G-3 Multipliers'!$L$3:$N$6,2,FALSE)))</f>
        <v/>
      </c>
      <c r="L23" s="368" t="str">
        <f>IF(J23="","",IF(VLOOKUP(J23,'G-3 Multipliers'!$L$3:$N$6,3,FALSE)=0,"Spatial Data Missing ⚠",VLOOKUP(J23,'G-3 Multipliers'!$L$3:$N$6,3,FALSE)))</f>
        <v/>
      </c>
      <c r="M23" s="369" t="str">
        <f>IF(D23="","",VLOOKUP(D23,'G-6 Hedgerow Data'!$B$1:$AH$15,33,FALSE))</f>
        <v/>
      </c>
      <c r="N23" s="376" t="str">
        <f t="shared" si="2"/>
        <v/>
      </c>
      <c r="O23" s="32"/>
      <c r="P23" s="582"/>
      <c r="Q23" s="165"/>
      <c r="R23" s="393" t="str">
        <f t="shared" si="3"/>
        <v/>
      </c>
      <c r="S23" s="393" t="str">
        <f t="shared" si="4"/>
        <v/>
      </c>
      <c r="T23" s="393" t="str">
        <f t="shared" si="5"/>
        <v/>
      </c>
      <c r="U23" s="415" t="str">
        <f t="shared" si="6"/>
        <v/>
      </c>
      <c r="V23" s="119"/>
      <c r="W23" s="120"/>
      <c r="X23" s="120"/>
      <c r="AE23" s="124" t="str">
        <f t="shared" si="0"/>
        <v/>
      </c>
      <c r="AF23" s="124" t="str">
        <f t="shared" si="1"/>
        <v/>
      </c>
      <c r="AH23" s="124">
        <v>14</v>
      </c>
      <c r="AJ23" s="124" t="str">
        <f t="array" ref="AJ23">IFERROR(INDEX($AH$10:$AH$258, MATCH(0, IF(TRUE=$AE$10:$AE$258, COUNTIF($AJ$9:$AJ22, $AH$10:$AH$258), ""), 0)),"")</f>
        <v/>
      </c>
      <c r="AK23" s="124" t="str">
        <f t="array" ref="AK23">IFERROR(INDEX($AH$10:$AH$258, MATCH(0, IF(TRUE=$AF$10:$AF$258, COUNTIF($AK$9:$AK22, $AH$10:$AH$258), ""), 0)),"")</f>
        <v/>
      </c>
      <c r="AL23" s="30" t="str">
        <f>IFERROR(INDEX('G-6 Hedgerow Data'!$BJ$3:$BJ$15,MATCH(D23,'G-6 Hedgerow Data'!$B$3:$B$15,0)),"")</f>
        <v/>
      </c>
    </row>
    <row r="24" spans="2:38">
      <c r="B24" s="110">
        <v>15</v>
      </c>
      <c r="C24" s="165"/>
      <c r="D24" s="63"/>
      <c r="E24" s="139"/>
      <c r="F24" s="411" t="str">
        <f>IF(D24="","",VLOOKUP(D24,'G-6 Hedgerow Data'!$B$2:$AG$15,2,FALSE))</f>
        <v/>
      </c>
      <c r="G24" s="363" t="str">
        <f>IF(D24="","",VLOOKUP(D24,'G-6 Hedgerow Data'!$B$2:$AG$15,3,FALSE))</f>
        <v/>
      </c>
      <c r="H24" s="114"/>
      <c r="I24" s="363" t="str">
        <f>IFERROR(VLOOKUP(H24,'G-1 All Habitats'!$Z$2:$AA$9,2,FALSE),"")</f>
        <v/>
      </c>
      <c r="J24" s="114"/>
      <c r="K24" s="370" t="str">
        <f>IF(J24="","",IF(VLOOKUP(J24,'G-3 Multipliers'!$L$3:$N$6,2,FALSE)=0,"Spatial Data Missing",VLOOKUP(J24,'G-3 Multipliers'!$L$3:$N$6,2,FALSE)))</f>
        <v/>
      </c>
      <c r="L24" s="368" t="str">
        <f>IF(J24="","",IF(VLOOKUP(J24,'G-3 Multipliers'!$L$3:$N$6,3,FALSE)=0,"Spatial Data Missing ⚠",VLOOKUP(J24,'G-3 Multipliers'!$L$3:$N$6,3,FALSE)))</f>
        <v/>
      </c>
      <c r="M24" s="369" t="str">
        <f>IF(D24="","",VLOOKUP(D24,'G-6 Hedgerow Data'!$B$1:$AH$15,33,FALSE))</f>
        <v/>
      </c>
      <c r="N24" s="376" t="str">
        <f t="shared" si="2"/>
        <v/>
      </c>
      <c r="O24" s="32"/>
      <c r="P24" s="582"/>
      <c r="Q24" s="165"/>
      <c r="R24" s="393" t="str">
        <f t="shared" si="3"/>
        <v/>
      </c>
      <c r="S24" s="393" t="str">
        <f t="shared" si="4"/>
        <v/>
      </c>
      <c r="T24" s="393" t="str">
        <f t="shared" si="5"/>
        <v/>
      </c>
      <c r="U24" s="415" t="str">
        <f t="shared" si="6"/>
        <v/>
      </c>
      <c r="V24" s="119"/>
      <c r="W24" s="120"/>
      <c r="X24" s="120"/>
      <c r="AE24" s="124" t="str">
        <f t="shared" si="0"/>
        <v/>
      </c>
      <c r="AF24" s="124" t="str">
        <f t="shared" si="1"/>
        <v/>
      </c>
      <c r="AH24" s="124">
        <v>15</v>
      </c>
      <c r="AJ24" s="124" t="str">
        <f t="array" ref="AJ24">IFERROR(INDEX($AH$10:$AH$258, MATCH(0, IF(TRUE=$AE$10:$AE$258, COUNTIF($AJ$9:$AJ23, $AH$10:$AH$258), ""), 0)),"")</f>
        <v/>
      </c>
      <c r="AK24" s="124" t="str">
        <f t="array" ref="AK24">IFERROR(INDEX($AH$10:$AH$258, MATCH(0, IF(TRUE=$AF$10:$AF$258, COUNTIF($AK$9:$AK23, $AH$10:$AH$258), ""), 0)),"")</f>
        <v/>
      </c>
      <c r="AL24" s="30" t="str">
        <f>IFERROR(INDEX('G-6 Hedgerow Data'!$BJ$3:$BJ$15,MATCH(D24,'G-6 Hedgerow Data'!$B$3:$B$15,0)),"")</f>
        <v/>
      </c>
    </row>
    <row r="25" spans="2:38">
      <c r="B25" s="110">
        <v>16</v>
      </c>
      <c r="C25" s="165"/>
      <c r="D25" s="63"/>
      <c r="E25" s="139"/>
      <c r="F25" s="411" t="str">
        <f>IF(D25="","",VLOOKUP(D25,'G-6 Hedgerow Data'!$B$2:$AG$15,2,FALSE))</f>
        <v/>
      </c>
      <c r="G25" s="363" t="str">
        <f>IF(D25="","",VLOOKUP(D25,'G-6 Hedgerow Data'!$B$2:$AG$15,3,FALSE))</f>
        <v/>
      </c>
      <c r="H25" s="114"/>
      <c r="I25" s="363" t="str">
        <f>IFERROR(VLOOKUP(H25,'G-1 All Habitats'!$Z$2:$AA$9,2,FALSE),"")</f>
        <v/>
      </c>
      <c r="J25" s="114"/>
      <c r="K25" s="370" t="str">
        <f>IF(J25="","",IF(VLOOKUP(J25,'G-3 Multipliers'!$L$3:$N$6,2,FALSE)=0,"Spatial Data Missing",VLOOKUP(J25,'G-3 Multipliers'!$L$3:$N$6,2,FALSE)))</f>
        <v/>
      </c>
      <c r="L25" s="368" t="str">
        <f>IF(J25="","",IF(VLOOKUP(J25,'G-3 Multipliers'!$L$3:$N$6,3,FALSE)=0,"Spatial Data Missing ⚠",VLOOKUP(J25,'G-3 Multipliers'!$L$3:$N$6,3,FALSE)))</f>
        <v/>
      </c>
      <c r="M25" s="369" t="str">
        <f>IF(D25="","",VLOOKUP(D25,'G-6 Hedgerow Data'!$B$1:$AH$15,33,FALSE))</f>
        <v/>
      </c>
      <c r="N25" s="376" t="str">
        <f t="shared" si="2"/>
        <v/>
      </c>
      <c r="O25" s="32"/>
      <c r="P25" s="582"/>
      <c r="Q25" s="165"/>
      <c r="R25" s="393" t="str">
        <f t="shared" si="3"/>
        <v/>
      </c>
      <c r="S25" s="393" t="str">
        <f t="shared" si="4"/>
        <v/>
      </c>
      <c r="T25" s="393" t="str">
        <f t="shared" si="5"/>
        <v/>
      </c>
      <c r="U25" s="415" t="str">
        <f t="shared" si="6"/>
        <v/>
      </c>
      <c r="V25" s="119"/>
      <c r="W25" s="120"/>
      <c r="X25" s="120"/>
      <c r="AE25" s="124" t="str">
        <f t="shared" si="0"/>
        <v/>
      </c>
      <c r="AF25" s="124" t="str">
        <f t="shared" si="1"/>
        <v/>
      </c>
      <c r="AH25" s="124">
        <v>16</v>
      </c>
      <c r="AJ25" s="124" t="str">
        <f t="array" ref="AJ25">IFERROR(INDEX($AH$10:$AH$258, MATCH(0, IF(TRUE=$AE$10:$AE$258, COUNTIF($AJ$9:$AJ24, $AH$10:$AH$258), ""), 0)),"")</f>
        <v/>
      </c>
      <c r="AK25" s="124" t="str">
        <f t="array" ref="AK25">IFERROR(INDEX($AH$10:$AH$258, MATCH(0, IF(TRUE=$AF$10:$AF$258, COUNTIF($AK$9:$AK24, $AH$10:$AH$258), ""), 0)),"")</f>
        <v/>
      </c>
      <c r="AL25" s="30" t="str">
        <f>IFERROR(INDEX('G-6 Hedgerow Data'!$BJ$3:$BJ$15,MATCH(D25,'G-6 Hedgerow Data'!$B$3:$B$15,0)),"")</f>
        <v/>
      </c>
    </row>
    <row r="26" spans="2:38">
      <c r="B26" s="110">
        <v>17</v>
      </c>
      <c r="C26" s="165"/>
      <c r="D26" s="63"/>
      <c r="E26" s="139"/>
      <c r="F26" s="411" t="str">
        <f>IF(D26="","",VLOOKUP(D26,'G-6 Hedgerow Data'!$B$2:$AG$15,2,FALSE))</f>
        <v/>
      </c>
      <c r="G26" s="363" t="str">
        <f>IF(D26="","",VLOOKUP(D26,'G-6 Hedgerow Data'!$B$2:$AG$15,3,FALSE))</f>
        <v/>
      </c>
      <c r="H26" s="114"/>
      <c r="I26" s="363" t="str">
        <f>IFERROR(VLOOKUP(H26,'G-1 All Habitats'!$Z$2:$AA$9,2,FALSE),"")</f>
        <v/>
      </c>
      <c r="J26" s="114"/>
      <c r="K26" s="370" t="str">
        <f>IF(J26="","",IF(VLOOKUP(J26,'G-3 Multipliers'!$L$3:$N$6,2,FALSE)=0,"Spatial Data Missing",VLOOKUP(J26,'G-3 Multipliers'!$L$3:$N$6,2,FALSE)))</f>
        <v/>
      </c>
      <c r="L26" s="368" t="str">
        <f>IF(J26="","",IF(VLOOKUP(J26,'G-3 Multipliers'!$L$3:$N$6,3,FALSE)=0,"Spatial Data Missing ⚠",VLOOKUP(J26,'G-3 Multipliers'!$L$3:$N$6,3,FALSE)))</f>
        <v/>
      </c>
      <c r="M26" s="369" t="str">
        <f>IF(D26="","",VLOOKUP(D26,'G-6 Hedgerow Data'!$B$1:$AH$15,33,FALSE))</f>
        <v/>
      </c>
      <c r="N26" s="376" t="str">
        <f t="shared" si="2"/>
        <v/>
      </c>
      <c r="O26" s="32"/>
      <c r="P26" s="582"/>
      <c r="Q26" s="165"/>
      <c r="R26" s="393" t="str">
        <f t="shared" si="3"/>
        <v/>
      </c>
      <c r="S26" s="393" t="str">
        <f t="shared" si="4"/>
        <v/>
      </c>
      <c r="T26" s="393" t="str">
        <f t="shared" si="5"/>
        <v/>
      </c>
      <c r="U26" s="415" t="str">
        <f t="shared" si="6"/>
        <v/>
      </c>
      <c r="V26" s="119"/>
      <c r="W26" s="120"/>
      <c r="X26" s="120"/>
      <c r="AE26" s="124" t="str">
        <f t="shared" si="0"/>
        <v/>
      </c>
      <c r="AF26" s="124" t="str">
        <f t="shared" si="1"/>
        <v/>
      </c>
      <c r="AH26" s="124">
        <v>17</v>
      </c>
      <c r="AJ26" s="124" t="str">
        <f t="array" ref="AJ26">IFERROR(INDEX($AH$10:$AH$258, MATCH(0, IF(TRUE=$AE$10:$AE$258, COUNTIF($AJ$9:$AJ25, $AH$10:$AH$258), ""), 0)),"")</f>
        <v/>
      </c>
      <c r="AK26" s="124" t="str">
        <f t="array" ref="AK26">IFERROR(INDEX($AH$10:$AH$258, MATCH(0, IF(TRUE=$AF$10:$AF$258, COUNTIF($AK$9:$AK25, $AH$10:$AH$258), ""), 0)),"")</f>
        <v/>
      </c>
      <c r="AL26" s="30" t="str">
        <f>IFERROR(INDEX('G-6 Hedgerow Data'!$BJ$3:$BJ$15,MATCH(D26,'G-6 Hedgerow Data'!$B$3:$B$15,0)),"")</f>
        <v/>
      </c>
    </row>
    <row r="27" spans="2:38">
      <c r="B27" s="110">
        <v>18</v>
      </c>
      <c r="C27" s="165"/>
      <c r="D27" s="159"/>
      <c r="E27" s="139"/>
      <c r="F27" s="411" t="str">
        <f>IF(D27="","",VLOOKUP(D27,'G-6 Hedgerow Data'!$B$2:$AG$15,2,FALSE))</f>
        <v/>
      </c>
      <c r="G27" s="363" t="str">
        <f>IF(D27="","",VLOOKUP(D27,'G-6 Hedgerow Data'!$B$2:$AG$15,3,FALSE))</f>
        <v/>
      </c>
      <c r="H27" s="114"/>
      <c r="I27" s="363" t="str">
        <f>IFERROR(VLOOKUP(H27,'G-1 All Habitats'!$Z$2:$AA$9,2,FALSE),"")</f>
        <v/>
      </c>
      <c r="J27" s="114"/>
      <c r="K27" s="370" t="str">
        <f>IF(J27="","",IF(VLOOKUP(J27,'G-3 Multipliers'!$L$3:$N$6,2,FALSE)=0,"Spatial Data Missing",VLOOKUP(J27,'G-3 Multipliers'!$L$3:$N$6,2,FALSE)))</f>
        <v/>
      </c>
      <c r="L27" s="368" t="str">
        <f>IF(J27="","",IF(VLOOKUP(J27,'G-3 Multipliers'!$L$3:$N$6,3,FALSE)=0,"Spatial Data Missing ⚠",VLOOKUP(J27,'G-3 Multipliers'!$L$3:$N$6,3,FALSE)))</f>
        <v/>
      </c>
      <c r="M27" s="369" t="str">
        <f>IF(D27="","",VLOOKUP(D27,'G-6 Hedgerow Data'!$B$1:$AH$15,33,FALSE))</f>
        <v/>
      </c>
      <c r="N27" s="376" t="str">
        <f t="shared" si="2"/>
        <v/>
      </c>
      <c r="O27" s="32"/>
      <c r="P27" s="582"/>
      <c r="Q27" s="165"/>
      <c r="R27" s="393" t="str">
        <f t="shared" si="3"/>
        <v/>
      </c>
      <c r="S27" s="393" t="str">
        <f t="shared" si="4"/>
        <v/>
      </c>
      <c r="T27" s="393" t="str">
        <f t="shared" si="5"/>
        <v/>
      </c>
      <c r="U27" s="415" t="str">
        <f t="shared" si="6"/>
        <v/>
      </c>
      <c r="V27" s="119"/>
      <c r="W27" s="120"/>
      <c r="X27" s="120"/>
      <c r="AE27" s="124" t="str">
        <f t="shared" si="0"/>
        <v/>
      </c>
      <c r="AF27" s="124" t="str">
        <f t="shared" si="1"/>
        <v/>
      </c>
      <c r="AH27" s="124">
        <v>18</v>
      </c>
      <c r="AJ27" s="124" t="str">
        <f t="array" ref="AJ27">IFERROR(INDEX($AH$10:$AH$258, MATCH(0, IF(TRUE=$AE$10:$AE$258, COUNTIF($AJ$9:$AJ26, $AH$10:$AH$258), ""), 0)),"")</f>
        <v/>
      </c>
      <c r="AK27" s="124" t="str">
        <f t="array" ref="AK27">IFERROR(INDEX($AH$10:$AH$258, MATCH(0, IF(TRUE=$AF$10:$AF$258, COUNTIF($AK$9:$AK26, $AH$10:$AH$258), ""), 0)),"")</f>
        <v/>
      </c>
      <c r="AL27" s="30" t="str">
        <f>IFERROR(INDEX('G-6 Hedgerow Data'!$BJ$3:$BJ$15,MATCH(D27,'G-6 Hedgerow Data'!$B$3:$B$15,0)),"")</f>
        <v/>
      </c>
    </row>
    <row r="28" spans="2:38">
      <c r="B28" s="110">
        <v>19</v>
      </c>
      <c r="C28" s="165"/>
      <c r="D28" s="159"/>
      <c r="E28" s="139"/>
      <c r="F28" s="411" t="str">
        <f>IF(D28="","",VLOOKUP(D28,'G-6 Hedgerow Data'!$B$2:$AG$15,2,FALSE))</f>
        <v/>
      </c>
      <c r="G28" s="363" t="str">
        <f>IF(D28="","",VLOOKUP(D28,'G-6 Hedgerow Data'!$B$2:$AG$15,3,FALSE))</f>
        <v/>
      </c>
      <c r="H28" s="114"/>
      <c r="I28" s="363" t="str">
        <f>IFERROR(VLOOKUP(H28,'G-1 All Habitats'!$Z$2:$AA$9,2,FALSE),"")</f>
        <v/>
      </c>
      <c r="J28" s="114"/>
      <c r="K28" s="370" t="str">
        <f>IF(J28="","",IF(VLOOKUP(J28,'G-3 Multipliers'!$L$3:$N$6,2,FALSE)=0,"Spatial Data Missing",VLOOKUP(J28,'G-3 Multipliers'!$L$3:$N$6,2,FALSE)))</f>
        <v/>
      </c>
      <c r="L28" s="368" t="str">
        <f>IF(J28="","",IF(VLOOKUP(J28,'G-3 Multipliers'!$L$3:$N$6,3,FALSE)=0,"Spatial Data Missing ⚠",VLOOKUP(J28,'G-3 Multipliers'!$L$3:$N$6,3,FALSE)))</f>
        <v/>
      </c>
      <c r="M28" s="369" t="str">
        <f>IF(D28="","",VLOOKUP(D28,'G-6 Hedgerow Data'!$B$1:$AH$15,33,FALSE))</f>
        <v/>
      </c>
      <c r="N28" s="376" t="str">
        <f t="shared" si="2"/>
        <v/>
      </c>
      <c r="O28" s="32"/>
      <c r="P28" s="582"/>
      <c r="Q28" s="165"/>
      <c r="R28" s="393" t="str">
        <f t="shared" si="3"/>
        <v/>
      </c>
      <c r="S28" s="393" t="str">
        <f t="shared" si="4"/>
        <v/>
      </c>
      <c r="T28" s="393" t="str">
        <f t="shared" si="5"/>
        <v/>
      </c>
      <c r="U28" s="415" t="str">
        <f t="shared" si="6"/>
        <v/>
      </c>
      <c r="V28" s="119"/>
      <c r="W28" s="120"/>
      <c r="X28" s="120"/>
      <c r="AE28" s="124" t="str">
        <f t="shared" si="0"/>
        <v/>
      </c>
      <c r="AF28" s="124" t="str">
        <f t="shared" si="1"/>
        <v/>
      </c>
      <c r="AH28" s="124">
        <v>19</v>
      </c>
      <c r="AJ28" s="124" t="str">
        <f t="array" ref="AJ28">IFERROR(INDEX($AH$10:$AH$258, MATCH(0, IF(TRUE=$AE$10:$AE$258, COUNTIF($AJ$9:$AJ27, $AH$10:$AH$258), ""), 0)),"")</f>
        <v/>
      </c>
      <c r="AK28" s="124" t="str">
        <f t="array" ref="AK28">IFERROR(INDEX($AH$10:$AH$258, MATCH(0, IF(TRUE=$AF$10:$AF$258, COUNTIF($AK$9:$AK27, $AH$10:$AH$258), ""), 0)),"")</f>
        <v/>
      </c>
      <c r="AL28" s="30" t="str">
        <f>IFERROR(INDEX('G-6 Hedgerow Data'!$BJ$3:$BJ$15,MATCH(D28,'G-6 Hedgerow Data'!$B$3:$B$15,0)),"")</f>
        <v/>
      </c>
    </row>
    <row r="29" spans="2:38">
      <c r="B29" s="110">
        <v>20</v>
      </c>
      <c r="C29" s="165"/>
      <c r="D29" s="159"/>
      <c r="E29" s="139"/>
      <c r="F29" s="411" t="str">
        <f>IF(D29="","",VLOOKUP(D29,'G-6 Hedgerow Data'!$B$2:$AG$15,2,FALSE))</f>
        <v/>
      </c>
      <c r="G29" s="363" t="str">
        <f>IF(D29="","",VLOOKUP(D29,'G-6 Hedgerow Data'!$B$2:$AG$15,3,FALSE))</f>
        <v/>
      </c>
      <c r="H29" s="114"/>
      <c r="I29" s="363" t="str">
        <f>IFERROR(VLOOKUP(H29,'G-1 All Habitats'!$Z$2:$AA$9,2,FALSE),"")</f>
        <v/>
      </c>
      <c r="J29" s="114"/>
      <c r="K29" s="370" t="str">
        <f>IF(J29="","",IF(VLOOKUP(J29,'G-3 Multipliers'!$L$3:$N$6,2,FALSE)=0,"Spatial Data Missing",VLOOKUP(J29,'G-3 Multipliers'!$L$3:$N$6,2,FALSE)))</f>
        <v/>
      </c>
      <c r="L29" s="368" t="str">
        <f>IF(J29="","",IF(VLOOKUP(J29,'G-3 Multipliers'!$L$3:$N$6,3,FALSE)=0,"Spatial Data Missing ⚠",VLOOKUP(J29,'G-3 Multipliers'!$L$3:$N$6,3,FALSE)))</f>
        <v/>
      </c>
      <c r="M29" s="369" t="str">
        <f>IF(D29="","",VLOOKUP(D29,'G-6 Hedgerow Data'!$B$1:$AH$15,33,FALSE))</f>
        <v/>
      </c>
      <c r="N29" s="376" t="str">
        <f t="shared" si="2"/>
        <v/>
      </c>
      <c r="O29" s="32"/>
      <c r="P29" s="582"/>
      <c r="Q29" s="165"/>
      <c r="R29" s="393" t="str">
        <f t="shared" si="3"/>
        <v/>
      </c>
      <c r="S29" s="393" t="str">
        <f t="shared" si="4"/>
        <v/>
      </c>
      <c r="T29" s="393" t="str">
        <f t="shared" si="5"/>
        <v/>
      </c>
      <c r="U29" s="415" t="str">
        <f t="shared" si="6"/>
        <v/>
      </c>
      <c r="V29" s="119"/>
      <c r="W29" s="120"/>
      <c r="X29" s="120"/>
      <c r="AE29" s="124" t="str">
        <f t="shared" si="0"/>
        <v/>
      </c>
      <c r="AF29" s="124" t="str">
        <f t="shared" si="1"/>
        <v/>
      </c>
      <c r="AH29" s="124">
        <v>20</v>
      </c>
      <c r="AJ29" s="124" t="str">
        <f t="array" ref="AJ29">IFERROR(INDEX($AH$10:$AH$258, MATCH(0, IF(TRUE=$AE$10:$AE$258, COUNTIF($AJ$9:$AJ28, $AH$10:$AH$258), ""), 0)),"")</f>
        <v/>
      </c>
      <c r="AK29" s="124" t="str">
        <f t="array" ref="AK29">IFERROR(INDEX($AH$10:$AH$258, MATCH(0, IF(TRUE=$AF$10:$AF$258, COUNTIF($AK$9:$AK28, $AH$10:$AH$258), ""), 0)),"")</f>
        <v/>
      </c>
      <c r="AL29" s="30" t="str">
        <f>IFERROR(INDEX('G-6 Hedgerow Data'!$BJ$3:$BJ$15,MATCH(D29,'G-6 Hedgerow Data'!$B$3:$B$15,0)),"")</f>
        <v/>
      </c>
    </row>
    <row r="30" spans="2:38">
      <c r="B30" s="110">
        <v>21</v>
      </c>
      <c r="C30" s="165"/>
      <c r="D30" s="159"/>
      <c r="E30" s="139"/>
      <c r="F30" s="411" t="str">
        <f>IF(D30="","",VLOOKUP(D30,'G-6 Hedgerow Data'!$B$2:$AG$15,2,FALSE))</f>
        <v/>
      </c>
      <c r="G30" s="363" t="str">
        <f>IF(D30="","",VLOOKUP(D30,'G-6 Hedgerow Data'!$B$2:$AG$15,3,FALSE))</f>
        <v/>
      </c>
      <c r="H30" s="114"/>
      <c r="I30" s="363" t="str">
        <f>IFERROR(VLOOKUP(H30,'G-1 All Habitats'!$Z$2:$AA$9,2,FALSE),"")</f>
        <v/>
      </c>
      <c r="J30" s="114"/>
      <c r="K30" s="370" t="str">
        <f>IF(J30="","",IF(VLOOKUP(J30,'G-3 Multipliers'!$L$3:$N$6,2,FALSE)=0,"Spatial Data Missing",VLOOKUP(J30,'G-3 Multipliers'!$L$3:$N$6,2,FALSE)))</f>
        <v/>
      </c>
      <c r="L30" s="368" t="str">
        <f>IF(J30="","",IF(VLOOKUP(J30,'G-3 Multipliers'!$L$3:$N$6,3,FALSE)=0,"Spatial Data Missing ⚠",VLOOKUP(J30,'G-3 Multipliers'!$L$3:$N$6,3,FALSE)))</f>
        <v/>
      </c>
      <c r="M30" s="369" t="str">
        <f>IF(D30="","",VLOOKUP(D30,'G-6 Hedgerow Data'!$B$1:$AH$15,33,FALSE))</f>
        <v/>
      </c>
      <c r="N30" s="376" t="str">
        <f t="shared" si="2"/>
        <v/>
      </c>
      <c r="O30" s="32"/>
      <c r="P30" s="582"/>
      <c r="Q30" s="165"/>
      <c r="R30" s="393" t="str">
        <f t="shared" si="3"/>
        <v/>
      </c>
      <c r="S30" s="393" t="str">
        <f t="shared" si="4"/>
        <v/>
      </c>
      <c r="T30" s="393" t="str">
        <f t="shared" si="5"/>
        <v/>
      </c>
      <c r="U30" s="415" t="str">
        <f t="shared" si="6"/>
        <v/>
      </c>
      <c r="V30" s="119"/>
      <c r="W30" s="120"/>
      <c r="X30" s="120"/>
      <c r="AE30" s="124" t="str">
        <f t="shared" si="0"/>
        <v/>
      </c>
      <c r="AF30" s="124" t="str">
        <f t="shared" si="1"/>
        <v/>
      </c>
      <c r="AH30" s="124">
        <v>21</v>
      </c>
      <c r="AJ30" s="124" t="str">
        <f t="array" ref="AJ30">IFERROR(INDEX($AH$10:$AH$258, MATCH(0, IF(TRUE=$AE$10:$AE$258, COUNTIF($AJ$9:$AJ29, $AH$10:$AH$258), ""), 0)),"")</f>
        <v/>
      </c>
      <c r="AK30" s="124" t="str">
        <f t="array" ref="AK30">IFERROR(INDEX($AH$10:$AH$258, MATCH(0, IF(TRUE=$AF$10:$AF$258, COUNTIF($AK$9:$AK29, $AH$10:$AH$258), ""), 0)),"")</f>
        <v/>
      </c>
      <c r="AL30" s="30" t="str">
        <f>IFERROR(INDEX('G-6 Hedgerow Data'!$BJ$3:$BJ$15,MATCH(D30,'G-6 Hedgerow Data'!$B$3:$B$15,0)),"")</f>
        <v/>
      </c>
    </row>
    <row r="31" spans="2:38">
      <c r="B31" s="110">
        <v>22</v>
      </c>
      <c r="C31" s="165"/>
      <c r="D31" s="159"/>
      <c r="E31" s="53"/>
      <c r="F31" s="411" t="str">
        <f>IF(D31="","",VLOOKUP(D31,'G-6 Hedgerow Data'!$B$2:$AG$15,2,FALSE))</f>
        <v/>
      </c>
      <c r="G31" s="363" t="str">
        <f>IF(D31="","",VLOOKUP(D31,'G-6 Hedgerow Data'!$B$2:$AG$15,3,FALSE))</f>
        <v/>
      </c>
      <c r="H31" s="114"/>
      <c r="I31" s="363" t="str">
        <f>IFERROR(VLOOKUP(H31,'G-1 All Habitats'!$Z$2:$AA$9,2,FALSE),"")</f>
        <v/>
      </c>
      <c r="J31" s="114"/>
      <c r="K31" s="370" t="str">
        <f>IF(J31="","",IF(VLOOKUP(J31,'G-3 Multipliers'!$L$3:$N$6,2,FALSE)=0,"Spatial Data Missing",VLOOKUP(J31,'G-3 Multipliers'!$L$3:$N$6,2,FALSE)))</f>
        <v/>
      </c>
      <c r="L31" s="368" t="str">
        <f>IF(J31="","",IF(VLOOKUP(J31,'G-3 Multipliers'!$L$3:$N$6,3,FALSE)=0,"Spatial Data Missing ⚠",VLOOKUP(J31,'G-3 Multipliers'!$L$3:$N$6,3,FALSE)))</f>
        <v/>
      </c>
      <c r="M31" s="369" t="str">
        <f>IF(D31="","",VLOOKUP(D31,'G-6 Hedgerow Data'!$B$1:$AH$15,33,FALSE))</f>
        <v/>
      </c>
      <c r="N31" s="376" t="str">
        <f t="shared" si="2"/>
        <v/>
      </c>
      <c r="O31" s="32"/>
      <c r="P31" s="582"/>
      <c r="Q31" s="165"/>
      <c r="R31" s="393" t="str">
        <f t="shared" si="3"/>
        <v/>
      </c>
      <c r="S31" s="393" t="str">
        <f t="shared" si="4"/>
        <v/>
      </c>
      <c r="T31" s="393" t="str">
        <f t="shared" si="5"/>
        <v/>
      </c>
      <c r="U31" s="415" t="str">
        <f t="shared" si="6"/>
        <v/>
      </c>
      <c r="V31" s="119"/>
      <c r="W31" s="120"/>
      <c r="X31" s="120"/>
      <c r="AE31" s="124" t="str">
        <f t="shared" si="0"/>
        <v/>
      </c>
      <c r="AF31" s="124" t="str">
        <f t="shared" si="1"/>
        <v/>
      </c>
      <c r="AH31" s="124">
        <v>22</v>
      </c>
      <c r="AJ31" s="124" t="str">
        <f t="array" ref="AJ31">IFERROR(INDEX($AH$10:$AH$258, MATCH(0, IF(TRUE=$AE$10:$AE$258, COUNTIF($AJ$9:$AJ30, $AH$10:$AH$258), ""), 0)),"")</f>
        <v/>
      </c>
      <c r="AK31" s="124" t="str">
        <f t="array" ref="AK31">IFERROR(INDEX($AH$10:$AH$258, MATCH(0, IF(TRUE=$AF$10:$AF$258, COUNTIF($AK$9:$AK30, $AH$10:$AH$258), ""), 0)),"")</f>
        <v/>
      </c>
      <c r="AL31" s="30" t="str">
        <f>IFERROR(INDEX('G-6 Hedgerow Data'!$BJ$3:$BJ$15,MATCH(D31,'G-6 Hedgerow Data'!$B$3:$B$15,0)),"")</f>
        <v/>
      </c>
    </row>
    <row r="32" spans="2:38">
      <c r="B32" s="110">
        <v>23</v>
      </c>
      <c r="C32" s="165"/>
      <c r="D32" s="159"/>
      <c r="E32" s="53"/>
      <c r="F32" s="411" t="str">
        <f>IF(D32="","",VLOOKUP(D32,'G-6 Hedgerow Data'!$B$2:$AG$15,2,FALSE))</f>
        <v/>
      </c>
      <c r="G32" s="363" t="str">
        <f>IF(D32="","",VLOOKUP(D32,'G-6 Hedgerow Data'!$B$2:$AG$15,3,FALSE))</f>
        <v/>
      </c>
      <c r="H32" s="114"/>
      <c r="I32" s="363" t="str">
        <f>IFERROR(VLOOKUP(H32,'G-1 All Habitats'!$Z$2:$AA$9,2,FALSE),"")</f>
        <v/>
      </c>
      <c r="J32" s="114"/>
      <c r="K32" s="370" t="str">
        <f>IF(J32="","",IF(VLOOKUP(J32,'G-3 Multipliers'!$L$3:$N$6,2,FALSE)=0,"Spatial Data Missing",VLOOKUP(J32,'G-3 Multipliers'!$L$3:$N$6,2,FALSE)))</f>
        <v/>
      </c>
      <c r="L32" s="368" t="str">
        <f>IF(J32="","",IF(VLOOKUP(J32,'G-3 Multipliers'!$L$3:$N$6,3,FALSE)=0,"Spatial Data Missing ⚠",VLOOKUP(J32,'G-3 Multipliers'!$L$3:$N$6,3,FALSE)))</f>
        <v/>
      </c>
      <c r="M32" s="369" t="str">
        <f>IF(D32="","",VLOOKUP(D32,'G-6 Hedgerow Data'!$B$1:$AH$15,33,FALSE))</f>
        <v/>
      </c>
      <c r="N32" s="376" t="str">
        <f t="shared" si="2"/>
        <v/>
      </c>
      <c r="O32" s="32"/>
      <c r="P32" s="582"/>
      <c r="Q32" s="165"/>
      <c r="R32" s="393" t="str">
        <f t="shared" si="3"/>
        <v/>
      </c>
      <c r="S32" s="393" t="str">
        <f t="shared" si="4"/>
        <v/>
      </c>
      <c r="T32" s="393" t="str">
        <f t="shared" si="5"/>
        <v/>
      </c>
      <c r="U32" s="415" t="str">
        <f t="shared" si="6"/>
        <v/>
      </c>
      <c r="V32" s="119"/>
      <c r="W32" s="120"/>
      <c r="X32" s="120"/>
      <c r="AE32" s="124" t="str">
        <f t="shared" si="0"/>
        <v/>
      </c>
      <c r="AF32" s="124" t="str">
        <f t="shared" si="1"/>
        <v/>
      </c>
      <c r="AH32" s="124">
        <v>23</v>
      </c>
      <c r="AJ32" s="124" t="str">
        <f t="array" ref="AJ32">IFERROR(INDEX($AH$10:$AH$258, MATCH(0, IF(TRUE=$AE$10:$AE$258, COUNTIF($AJ$9:$AJ31, $AH$10:$AH$258), ""), 0)),"")</f>
        <v/>
      </c>
      <c r="AK32" s="124" t="str">
        <f t="array" ref="AK32">IFERROR(INDEX($AH$10:$AH$258, MATCH(0, IF(TRUE=$AF$10:$AF$258, COUNTIF($AK$9:$AK31, $AH$10:$AH$258), ""), 0)),"")</f>
        <v/>
      </c>
      <c r="AL32" s="30" t="str">
        <f>IFERROR(INDEX('G-6 Hedgerow Data'!$BJ$3:$BJ$15,MATCH(D32,'G-6 Hedgerow Data'!$B$3:$B$15,0)),"")</f>
        <v/>
      </c>
    </row>
    <row r="33" spans="2:38">
      <c r="B33" s="110">
        <v>24</v>
      </c>
      <c r="C33" s="165"/>
      <c r="D33" s="159"/>
      <c r="E33" s="53"/>
      <c r="F33" s="411" t="str">
        <f>IF(D33="","",VLOOKUP(D33,'G-6 Hedgerow Data'!$B$2:$AG$15,2,FALSE))</f>
        <v/>
      </c>
      <c r="G33" s="363" t="str">
        <f>IF(D33="","",VLOOKUP(D33,'G-6 Hedgerow Data'!$B$2:$AG$15,3,FALSE))</f>
        <v/>
      </c>
      <c r="H33" s="114"/>
      <c r="I33" s="363" t="str">
        <f>IFERROR(VLOOKUP(H33,'G-1 All Habitats'!$Z$2:$AA$9,2,FALSE),"")</f>
        <v/>
      </c>
      <c r="J33" s="114"/>
      <c r="K33" s="370" t="str">
        <f>IF(J33="","",IF(VLOOKUP(J33,'G-3 Multipliers'!$L$3:$N$6,2,FALSE)=0,"Spatial Data Missing",VLOOKUP(J33,'G-3 Multipliers'!$L$3:$N$6,2,FALSE)))</f>
        <v/>
      </c>
      <c r="L33" s="368" t="str">
        <f>IF(J33="","",IF(VLOOKUP(J33,'G-3 Multipliers'!$L$3:$N$6,3,FALSE)=0,"Spatial Data Missing ⚠",VLOOKUP(J33,'G-3 Multipliers'!$L$3:$N$6,3,FALSE)))</f>
        <v/>
      </c>
      <c r="M33" s="369" t="str">
        <f>IF(D33="","",VLOOKUP(D33,'G-6 Hedgerow Data'!$B$1:$AH$15,33,FALSE))</f>
        <v/>
      </c>
      <c r="N33" s="376" t="str">
        <f t="shared" si="2"/>
        <v/>
      </c>
      <c r="O33" s="32"/>
      <c r="P33" s="582"/>
      <c r="Q33" s="165"/>
      <c r="R33" s="393" t="str">
        <f t="shared" si="3"/>
        <v/>
      </c>
      <c r="S33" s="393" t="str">
        <f t="shared" si="4"/>
        <v/>
      </c>
      <c r="T33" s="393" t="str">
        <f t="shared" si="5"/>
        <v/>
      </c>
      <c r="U33" s="415" t="str">
        <f t="shared" si="6"/>
        <v/>
      </c>
      <c r="V33" s="119"/>
      <c r="W33" s="120"/>
      <c r="X33" s="120"/>
      <c r="AE33" s="124" t="str">
        <f t="shared" si="0"/>
        <v/>
      </c>
      <c r="AF33" s="124" t="str">
        <f t="shared" si="1"/>
        <v/>
      </c>
      <c r="AH33" s="124">
        <v>24</v>
      </c>
      <c r="AJ33" s="124" t="str">
        <f t="array" ref="AJ33">IFERROR(INDEX($AH$10:$AH$258, MATCH(0, IF(TRUE=$AE$10:$AE$258, COUNTIF($AJ$9:$AJ32, $AH$10:$AH$258), ""), 0)),"")</f>
        <v/>
      </c>
      <c r="AK33" s="124" t="str">
        <f t="array" ref="AK33">IFERROR(INDEX($AH$10:$AH$258, MATCH(0, IF(TRUE=$AF$10:$AF$258, COUNTIF($AK$9:$AK32, $AH$10:$AH$258), ""), 0)),"")</f>
        <v/>
      </c>
      <c r="AL33" s="30" t="str">
        <f>IFERROR(INDEX('G-6 Hedgerow Data'!$BJ$3:$BJ$15,MATCH(D33,'G-6 Hedgerow Data'!$B$3:$B$15,0)),"")</f>
        <v/>
      </c>
    </row>
    <row r="34" spans="2:38">
      <c r="B34" s="110">
        <v>25</v>
      </c>
      <c r="C34" s="165"/>
      <c r="D34" s="159"/>
      <c r="E34" s="53"/>
      <c r="F34" s="411" t="str">
        <f>IF(D34="","",VLOOKUP(D34,'G-6 Hedgerow Data'!$B$2:$AG$15,2,FALSE))</f>
        <v/>
      </c>
      <c r="G34" s="363" t="str">
        <f>IF(D34="","",VLOOKUP(D34,'G-6 Hedgerow Data'!$B$2:$AG$15,3,FALSE))</f>
        <v/>
      </c>
      <c r="H34" s="114"/>
      <c r="I34" s="363" t="str">
        <f>IFERROR(VLOOKUP(H34,'G-1 All Habitats'!$Z$2:$AA$9,2,FALSE),"")</f>
        <v/>
      </c>
      <c r="J34" s="114"/>
      <c r="K34" s="370" t="str">
        <f>IF(J34="","",IF(VLOOKUP(J34,'G-3 Multipliers'!$L$3:$N$6,2,FALSE)=0,"Spatial Data Missing",VLOOKUP(J34,'G-3 Multipliers'!$L$3:$N$6,2,FALSE)))</f>
        <v/>
      </c>
      <c r="L34" s="368" t="str">
        <f>IF(J34="","",IF(VLOOKUP(J34,'G-3 Multipliers'!$L$3:$N$6,3,FALSE)=0,"Spatial Data Missing ⚠",VLOOKUP(J34,'G-3 Multipliers'!$L$3:$N$6,3,FALSE)))</f>
        <v/>
      </c>
      <c r="M34" s="369" t="str">
        <f>IF(D34="","",VLOOKUP(D34,'G-6 Hedgerow Data'!$B$1:$AH$15,33,FALSE))</f>
        <v/>
      </c>
      <c r="N34" s="376" t="str">
        <f t="shared" si="2"/>
        <v/>
      </c>
      <c r="O34" s="32"/>
      <c r="P34" s="582"/>
      <c r="Q34" s="165"/>
      <c r="R34" s="393" t="str">
        <f t="shared" si="3"/>
        <v/>
      </c>
      <c r="S34" s="393" t="str">
        <f t="shared" si="4"/>
        <v/>
      </c>
      <c r="T34" s="393" t="str">
        <f t="shared" si="5"/>
        <v/>
      </c>
      <c r="U34" s="415" t="str">
        <f t="shared" si="6"/>
        <v/>
      </c>
      <c r="V34" s="119"/>
      <c r="W34" s="120"/>
      <c r="X34" s="120"/>
      <c r="AE34" s="124" t="str">
        <f t="shared" si="0"/>
        <v/>
      </c>
      <c r="AF34" s="124" t="str">
        <f t="shared" si="1"/>
        <v/>
      </c>
      <c r="AH34" s="124">
        <v>25</v>
      </c>
      <c r="AJ34" s="124" t="str">
        <f t="array" ref="AJ34">IFERROR(INDEX($AH$10:$AH$258, MATCH(0, IF(TRUE=$AE$10:$AE$258, COUNTIF($AJ$9:$AJ33, $AH$10:$AH$258), ""), 0)),"")</f>
        <v/>
      </c>
      <c r="AK34" s="124" t="str">
        <f t="array" ref="AK34">IFERROR(INDEX($AH$10:$AH$258, MATCH(0, IF(TRUE=$AF$10:$AF$258, COUNTIF($AK$9:$AK33, $AH$10:$AH$258), ""), 0)),"")</f>
        <v/>
      </c>
      <c r="AL34" s="30" t="str">
        <f>IFERROR(INDEX('G-6 Hedgerow Data'!$BJ$3:$BJ$15,MATCH(D34,'G-6 Hedgerow Data'!$B$3:$B$15,0)),"")</f>
        <v/>
      </c>
    </row>
    <row r="35" spans="2:38">
      <c r="B35" s="110">
        <v>26</v>
      </c>
      <c r="C35" s="165"/>
      <c r="D35" s="159"/>
      <c r="E35" s="139"/>
      <c r="F35" s="411" t="str">
        <f>IF(D35="","",VLOOKUP(D35,'G-6 Hedgerow Data'!$B$2:$AG$15,2,FALSE))</f>
        <v/>
      </c>
      <c r="G35" s="363" t="str">
        <f>IF(D35="","",VLOOKUP(D35,'G-6 Hedgerow Data'!$B$2:$AG$15,3,FALSE))</f>
        <v/>
      </c>
      <c r="H35" s="114"/>
      <c r="I35" s="363" t="str">
        <f>IFERROR(VLOOKUP(H35,'G-1 All Habitats'!$Z$2:$AA$9,2,FALSE),"")</f>
        <v/>
      </c>
      <c r="J35" s="114"/>
      <c r="K35" s="370" t="str">
        <f>IF(J35="","",IF(VLOOKUP(J35,'G-3 Multipliers'!$L$3:$N$6,2,FALSE)=0,"Spatial Data Missing",VLOOKUP(J35,'G-3 Multipliers'!$L$3:$N$6,2,FALSE)))</f>
        <v/>
      </c>
      <c r="L35" s="368" t="str">
        <f>IF(J35="","",IF(VLOOKUP(J35,'G-3 Multipliers'!$L$3:$N$6,3,FALSE)=0,"Spatial Data Missing ⚠",VLOOKUP(J35,'G-3 Multipliers'!$L$3:$N$6,3,FALSE)))</f>
        <v/>
      </c>
      <c r="M35" s="369" t="str">
        <f>IF(D35="","",VLOOKUP(D35,'G-6 Hedgerow Data'!$B$1:$AH$15,33,FALSE))</f>
        <v/>
      </c>
      <c r="N35" s="376" t="str">
        <f t="shared" si="2"/>
        <v/>
      </c>
      <c r="O35" s="32"/>
      <c r="P35" s="582"/>
      <c r="Q35" s="165"/>
      <c r="R35" s="393" t="str">
        <f t="shared" si="3"/>
        <v/>
      </c>
      <c r="S35" s="393" t="str">
        <f t="shared" si="4"/>
        <v/>
      </c>
      <c r="T35" s="393" t="str">
        <f t="shared" si="5"/>
        <v/>
      </c>
      <c r="U35" s="415" t="str">
        <f t="shared" si="6"/>
        <v/>
      </c>
      <c r="V35" s="119"/>
      <c r="W35" s="120"/>
      <c r="X35" s="120"/>
      <c r="AE35" s="124" t="str">
        <f t="shared" si="0"/>
        <v/>
      </c>
      <c r="AF35" s="124" t="str">
        <f t="shared" si="1"/>
        <v/>
      </c>
      <c r="AH35" s="124">
        <v>26</v>
      </c>
      <c r="AJ35" s="124" t="str">
        <f t="array" ref="AJ35">IFERROR(INDEX($AH$10:$AH$258, MATCH(0, IF(TRUE=$AE$10:$AE$258, COUNTIF($AJ$9:$AJ34, $AH$10:$AH$258), ""), 0)),"")</f>
        <v/>
      </c>
      <c r="AK35" s="124" t="str">
        <f t="array" ref="AK35">IFERROR(INDEX($AH$10:$AH$258, MATCH(0, IF(TRUE=$AF$10:$AF$258, COUNTIF($AK$9:$AK34, $AH$10:$AH$258), ""), 0)),"")</f>
        <v/>
      </c>
      <c r="AL35" s="30" t="str">
        <f>IFERROR(INDEX('G-6 Hedgerow Data'!$BJ$3:$BJ$15,MATCH(D35,'G-6 Hedgerow Data'!$B$3:$B$15,0)),"")</f>
        <v/>
      </c>
    </row>
    <row r="36" spans="2:38">
      <c r="B36" s="110">
        <v>27</v>
      </c>
      <c r="C36" s="165"/>
      <c r="D36" s="165"/>
      <c r="E36" s="139"/>
      <c r="F36" s="411" t="str">
        <f>IF(D36="","",VLOOKUP(D36,'G-6 Hedgerow Data'!$B$2:$AG$15,2,FALSE))</f>
        <v/>
      </c>
      <c r="G36" s="363" t="str">
        <f>IF(D36="","",VLOOKUP(D36,'G-6 Hedgerow Data'!$B$2:$AG$15,3,FALSE))</f>
        <v/>
      </c>
      <c r="H36" s="114"/>
      <c r="I36" s="363" t="str">
        <f>IFERROR(VLOOKUP(H36,'G-1 All Habitats'!$Z$2:$AA$9,2,FALSE),"")</f>
        <v/>
      </c>
      <c r="J36" s="114"/>
      <c r="K36" s="370" t="str">
        <f>IF(J36="","",IF(VLOOKUP(J36,'G-3 Multipliers'!$L$3:$N$6,2,FALSE)=0,"Spatial Data Missing",VLOOKUP(J36,'G-3 Multipliers'!$L$3:$N$6,2,FALSE)))</f>
        <v/>
      </c>
      <c r="L36" s="368" t="str">
        <f>IF(J36="","",IF(VLOOKUP(J36,'G-3 Multipliers'!$L$3:$N$6,3,FALSE)=0,"Spatial Data Missing ⚠",VLOOKUP(J36,'G-3 Multipliers'!$L$3:$N$6,3,FALSE)))</f>
        <v/>
      </c>
      <c r="M36" s="369" t="str">
        <f>IF(D36="","",VLOOKUP(D36,'G-6 Hedgerow Data'!$B$1:$AH$15,33,FALSE))</f>
        <v/>
      </c>
      <c r="N36" s="376" t="str">
        <f t="shared" si="2"/>
        <v/>
      </c>
      <c r="O36" s="32"/>
      <c r="P36" s="582"/>
      <c r="Q36" s="165"/>
      <c r="R36" s="393" t="str">
        <f t="shared" si="3"/>
        <v/>
      </c>
      <c r="S36" s="393" t="str">
        <f t="shared" si="4"/>
        <v/>
      </c>
      <c r="T36" s="393" t="str">
        <f t="shared" si="5"/>
        <v/>
      </c>
      <c r="U36" s="415" t="str">
        <f t="shared" si="6"/>
        <v/>
      </c>
      <c r="V36" s="119"/>
      <c r="W36" s="120"/>
      <c r="X36" s="120"/>
      <c r="AE36" s="124" t="str">
        <f t="shared" si="0"/>
        <v/>
      </c>
      <c r="AF36" s="124" t="str">
        <f t="shared" si="1"/>
        <v/>
      </c>
      <c r="AH36" s="124">
        <v>27</v>
      </c>
      <c r="AJ36" s="124" t="str">
        <f t="array" ref="AJ36">IFERROR(INDEX($AH$10:$AH$258, MATCH(0, IF(TRUE=$AE$10:$AE$258, COUNTIF($AJ$9:$AJ35, $AH$10:$AH$258), ""), 0)),"")</f>
        <v/>
      </c>
      <c r="AK36" s="124" t="str">
        <f t="array" ref="AK36">IFERROR(INDEX($AH$10:$AH$258, MATCH(0, IF(TRUE=$AF$10:$AF$258, COUNTIF($AK$9:$AK35, $AH$10:$AH$258), ""), 0)),"")</f>
        <v/>
      </c>
      <c r="AL36" s="30" t="str">
        <f>IFERROR(INDEX('G-6 Hedgerow Data'!$BJ$3:$BJ$15,MATCH(D36,'G-6 Hedgerow Data'!$B$3:$B$15,0)),"")</f>
        <v/>
      </c>
    </row>
    <row r="37" spans="2:38">
      <c r="B37" s="110">
        <v>28</v>
      </c>
      <c r="C37" s="165"/>
      <c r="D37" s="165"/>
      <c r="E37" s="139"/>
      <c r="F37" s="411" t="str">
        <f>IF(D37="","",VLOOKUP(D37,'G-6 Hedgerow Data'!$B$2:$AG$15,2,FALSE))</f>
        <v/>
      </c>
      <c r="G37" s="363" t="str">
        <f>IF(D37="","",VLOOKUP(D37,'G-6 Hedgerow Data'!$B$2:$AG$15,3,FALSE))</f>
        <v/>
      </c>
      <c r="H37" s="114"/>
      <c r="I37" s="363" t="str">
        <f>IFERROR(VLOOKUP(H37,'G-1 All Habitats'!$Z$2:$AA$9,2,FALSE),"")</f>
        <v/>
      </c>
      <c r="J37" s="114"/>
      <c r="K37" s="370" t="str">
        <f>IF(J37="","",IF(VLOOKUP(J37,'G-3 Multipliers'!$L$3:$N$6,2,FALSE)=0,"Spatial Data Missing",VLOOKUP(J37,'G-3 Multipliers'!$L$3:$N$6,2,FALSE)))</f>
        <v/>
      </c>
      <c r="L37" s="368" t="str">
        <f>IF(J37="","",IF(VLOOKUP(J37,'G-3 Multipliers'!$L$3:$N$6,3,FALSE)=0,"Spatial Data Missing ⚠",VLOOKUP(J37,'G-3 Multipliers'!$L$3:$N$6,3,FALSE)))</f>
        <v/>
      </c>
      <c r="M37" s="369" t="str">
        <f>IF(D37="","",VLOOKUP(D37,'G-6 Hedgerow Data'!$B$1:$AH$15,33,FALSE))</f>
        <v/>
      </c>
      <c r="N37" s="376" t="str">
        <f t="shared" si="2"/>
        <v/>
      </c>
      <c r="O37" s="32"/>
      <c r="P37" s="582"/>
      <c r="Q37" s="165"/>
      <c r="R37" s="393" t="str">
        <f t="shared" si="3"/>
        <v/>
      </c>
      <c r="S37" s="393" t="str">
        <f t="shared" si="4"/>
        <v/>
      </c>
      <c r="T37" s="393" t="str">
        <f t="shared" si="5"/>
        <v/>
      </c>
      <c r="U37" s="415" t="str">
        <f t="shared" si="6"/>
        <v/>
      </c>
      <c r="V37" s="119"/>
      <c r="W37" s="120"/>
      <c r="X37" s="120"/>
      <c r="AE37" s="124" t="str">
        <f t="shared" si="0"/>
        <v/>
      </c>
      <c r="AF37" s="124" t="str">
        <f t="shared" si="1"/>
        <v/>
      </c>
      <c r="AH37" s="124">
        <v>28</v>
      </c>
      <c r="AJ37" s="124" t="str">
        <f t="array" ref="AJ37">IFERROR(INDEX($AH$10:$AH$258, MATCH(0, IF(TRUE=$AE$10:$AE$258, COUNTIF($AJ$9:$AJ36, $AH$10:$AH$258), ""), 0)),"")</f>
        <v/>
      </c>
      <c r="AK37" s="124" t="str">
        <f t="array" ref="AK37">IFERROR(INDEX($AH$10:$AH$258, MATCH(0, IF(TRUE=$AF$10:$AF$258, COUNTIF($AK$9:$AK36, $AH$10:$AH$258), ""), 0)),"")</f>
        <v/>
      </c>
      <c r="AL37" s="30" t="str">
        <f>IFERROR(INDEX('G-6 Hedgerow Data'!$BJ$3:$BJ$15,MATCH(D37,'G-6 Hedgerow Data'!$B$3:$B$15,0)),"")</f>
        <v/>
      </c>
    </row>
    <row r="38" spans="2:38">
      <c r="B38" s="110">
        <v>29</v>
      </c>
      <c r="C38" s="165"/>
      <c r="D38" s="165"/>
      <c r="E38" s="139"/>
      <c r="F38" s="411" t="str">
        <f>IF(D38="","",VLOOKUP(D38,'G-6 Hedgerow Data'!$B$2:$AG$15,2,FALSE))</f>
        <v/>
      </c>
      <c r="G38" s="363" t="str">
        <f>IF(D38="","",VLOOKUP(D38,'G-6 Hedgerow Data'!$B$2:$AG$15,3,FALSE))</f>
        <v/>
      </c>
      <c r="H38" s="114"/>
      <c r="I38" s="363" t="str">
        <f>IFERROR(VLOOKUP(H38,'G-1 All Habitats'!$Z$2:$AA$9,2,FALSE),"")</f>
        <v/>
      </c>
      <c r="J38" s="114"/>
      <c r="K38" s="370" t="str">
        <f>IF(J38="","",IF(VLOOKUP(J38,'G-3 Multipliers'!$L$3:$N$6,2,FALSE)=0,"Spatial Data Missing",VLOOKUP(J38,'G-3 Multipliers'!$L$3:$N$6,2,FALSE)))</f>
        <v/>
      </c>
      <c r="L38" s="368" t="str">
        <f>IF(J38="","",IF(VLOOKUP(J38,'G-3 Multipliers'!$L$3:$N$6,3,FALSE)=0,"Spatial Data Missing ⚠",VLOOKUP(J38,'G-3 Multipliers'!$L$3:$N$6,3,FALSE)))</f>
        <v/>
      </c>
      <c r="M38" s="369" t="str">
        <f>IF(D38="","",VLOOKUP(D38,'G-6 Hedgerow Data'!$B$1:$AH$15,33,FALSE))</f>
        <v/>
      </c>
      <c r="N38" s="376" t="str">
        <f t="shared" si="2"/>
        <v/>
      </c>
      <c r="O38" s="32"/>
      <c r="P38" s="582"/>
      <c r="Q38" s="165"/>
      <c r="R38" s="393" t="str">
        <f t="shared" si="3"/>
        <v/>
      </c>
      <c r="S38" s="393" t="str">
        <f t="shared" si="4"/>
        <v/>
      </c>
      <c r="T38" s="393" t="str">
        <f t="shared" si="5"/>
        <v/>
      </c>
      <c r="U38" s="415" t="str">
        <f t="shared" si="6"/>
        <v/>
      </c>
      <c r="V38" s="119"/>
      <c r="W38" s="120"/>
      <c r="X38" s="120"/>
      <c r="AE38" s="124" t="str">
        <f t="shared" si="0"/>
        <v/>
      </c>
      <c r="AF38" s="124" t="str">
        <f t="shared" si="1"/>
        <v/>
      </c>
      <c r="AH38" s="124">
        <v>29</v>
      </c>
      <c r="AJ38" s="124" t="str">
        <f t="array" ref="AJ38">IFERROR(INDEX($AH$10:$AH$258, MATCH(0, IF(TRUE=$AE$10:$AE$258, COUNTIF($AJ$9:$AJ37, $AH$10:$AH$258), ""), 0)),"")</f>
        <v/>
      </c>
      <c r="AK38" s="124" t="str">
        <f t="array" ref="AK38">IFERROR(INDEX($AH$10:$AH$258, MATCH(0, IF(TRUE=$AF$10:$AF$258, COUNTIF($AK$9:$AK37, $AH$10:$AH$258), ""), 0)),"")</f>
        <v/>
      </c>
      <c r="AL38" s="30" t="str">
        <f>IFERROR(INDEX('G-6 Hedgerow Data'!$BJ$3:$BJ$15,MATCH(D38,'G-6 Hedgerow Data'!$B$3:$B$15,0)),"")</f>
        <v/>
      </c>
    </row>
    <row r="39" spans="2:38">
      <c r="B39" s="110">
        <v>30</v>
      </c>
      <c r="C39" s="165"/>
      <c r="D39" s="165"/>
      <c r="E39" s="139"/>
      <c r="F39" s="411" t="str">
        <f>IF(D39="","",VLOOKUP(D39,'G-6 Hedgerow Data'!$B$2:$AG$15,2,FALSE))</f>
        <v/>
      </c>
      <c r="G39" s="363" t="str">
        <f>IF(D39="","",VLOOKUP(D39,'G-6 Hedgerow Data'!$B$2:$AG$15,3,FALSE))</f>
        <v/>
      </c>
      <c r="H39" s="114"/>
      <c r="I39" s="363" t="str">
        <f>IFERROR(VLOOKUP(H39,'G-1 All Habitats'!$Z$2:$AA$9,2,FALSE),"")</f>
        <v/>
      </c>
      <c r="J39" s="114"/>
      <c r="K39" s="370" t="str">
        <f>IF(J39="","",IF(VLOOKUP(J39,'G-3 Multipliers'!$L$3:$N$6,2,FALSE)=0,"Spatial Data Missing",VLOOKUP(J39,'G-3 Multipliers'!$L$3:$N$6,2,FALSE)))</f>
        <v/>
      </c>
      <c r="L39" s="368" t="str">
        <f>IF(J39="","",IF(VLOOKUP(J39,'G-3 Multipliers'!$L$3:$N$6,3,FALSE)=0,"Spatial Data Missing ⚠",VLOOKUP(J39,'G-3 Multipliers'!$L$3:$N$6,3,FALSE)))</f>
        <v/>
      </c>
      <c r="M39" s="369" t="str">
        <f>IF(D39="","",VLOOKUP(D39,'G-6 Hedgerow Data'!$B$1:$AH$15,33,FALSE))</f>
        <v/>
      </c>
      <c r="N39" s="376" t="str">
        <f t="shared" si="2"/>
        <v/>
      </c>
      <c r="O39" s="32"/>
      <c r="P39" s="582"/>
      <c r="Q39" s="165"/>
      <c r="R39" s="393" t="str">
        <f t="shared" si="3"/>
        <v/>
      </c>
      <c r="S39" s="393" t="str">
        <f t="shared" si="4"/>
        <v/>
      </c>
      <c r="T39" s="393" t="str">
        <f t="shared" si="5"/>
        <v/>
      </c>
      <c r="U39" s="415" t="str">
        <f t="shared" si="6"/>
        <v/>
      </c>
      <c r="V39" s="119"/>
      <c r="W39" s="120"/>
      <c r="X39" s="120"/>
      <c r="AE39" s="124" t="str">
        <f t="shared" si="0"/>
        <v/>
      </c>
      <c r="AF39" s="124" t="str">
        <f t="shared" si="1"/>
        <v/>
      </c>
      <c r="AH39" s="124">
        <v>30</v>
      </c>
      <c r="AJ39" s="124" t="str">
        <f t="array" ref="AJ39">IFERROR(INDEX($AH$10:$AH$258, MATCH(0, IF(TRUE=$AE$10:$AE$258, COUNTIF($AJ$9:$AJ38, $AH$10:$AH$258), ""), 0)),"")</f>
        <v/>
      </c>
      <c r="AK39" s="124" t="str">
        <f t="array" ref="AK39">IFERROR(INDEX($AH$10:$AH$258, MATCH(0, IF(TRUE=$AF$10:$AF$258, COUNTIF($AK$9:$AK38, $AH$10:$AH$258), ""), 0)),"")</f>
        <v/>
      </c>
      <c r="AL39" s="30" t="str">
        <f>IFERROR(INDEX('G-6 Hedgerow Data'!$BJ$3:$BJ$15,MATCH(D39,'G-6 Hedgerow Data'!$B$3:$B$15,0)),"")</f>
        <v/>
      </c>
    </row>
    <row r="40" spans="2:38">
      <c r="B40" s="110">
        <v>31</v>
      </c>
      <c r="C40" s="165"/>
      <c r="D40" s="165"/>
      <c r="E40" s="139"/>
      <c r="F40" s="411" t="str">
        <f>IF(D40="","",VLOOKUP(D40,'G-6 Hedgerow Data'!$B$2:$AG$15,2,FALSE))</f>
        <v/>
      </c>
      <c r="G40" s="363" t="str">
        <f>IF(D40="","",VLOOKUP(D40,'G-6 Hedgerow Data'!$B$2:$AG$15,3,FALSE))</f>
        <v/>
      </c>
      <c r="H40" s="114"/>
      <c r="I40" s="363" t="str">
        <f>IFERROR(VLOOKUP(H40,'G-1 All Habitats'!$Z$2:$AA$9,2,FALSE),"")</f>
        <v/>
      </c>
      <c r="J40" s="114"/>
      <c r="K40" s="370" t="str">
        <f>IF(J40="","",IF(VLOOKUP(J40,'G-3 Multipliers'!$L$3:$N$6,2,FALSE)=0,"Spatial Data Missing",VLOOKUP(J40,'G-3 Multipliers'!$L$3:$N$6,2,FALSE)))</f>
        <v/>
      </c>
      <c r="L40" s="368" t="str">
        <f>IF(J40="","",IF(VLOOKUP(J40,'G-3 Multipliers'!$L$3:$N$6,3,FALSE)=0,"Spatial Data Missing ⚠",VLOOKUP(J40,'G-3 Multipliers'!$L$3:$N$6,3,FALSE)))</f>
        <v/>
      </c>
      <c r="M40" s="369" t="str">
        <f>IF(D40="","",VLOOKUP(D40,'G-6 Hedgerow Data'!$B$1:$AH$15,33,FALSE))</f>
        <v/>
      </c>
      <c r="N40" s="376" t="str">
        <f t="shared" si="2"/>
        <v/>
      </c>
      <c r="O40" s="32"/>
      <c r="P40" s="582"/>
      <c r="Q40" s="165"/>
      <c r="R40" s="393" t="str">
        <f t="shared" si="3"/>
        <v/>
      </c>
      <c r="S40" s="393" t="str">
        <f t="shared" si="4"/>
        <v/>
      </c>
      <c r="T40" s="393" t="str">
        <f t="shared" si="5"/>
        <v/>
      </c>
      <c r="U40" s="415" t="str">
        <f t="shared" si="6"/>
        <v/>
      </c>
      <c r="V40" s="119"/>
      <c r="W40" s="120"/>
      <c r="X40" s="120"/>
      <c r="AE40" s="124" t="str">
        <f t="shared" si="0"/>
        <v/>
      </c>
      <c r="AF40" s="124" t="str">
        <f t="shared" si="1"/>
        <v/>
      </c>
      <c r="AH40" s="124">
        <v>31</v>
      </c>
      <c r="AJ40" s="124" t="str">
        <f t="array" ref="AJ40">IFERROR(INDEX($AH$10:$AH$258, MATCH(0, IF(TRUE=$AE$10:$AE$258, COUNTIF($AJ$9:$AJ39, $AH$10:$AH$258), ""), 0)),"")</f>
        <v/>
      </c>
      <c r="AK40" s="124" t="str">
        <f t="array" ref="AK40">IFERROR(INDEX($AH$10:$AH$258, MATCH(0, IF(TRUE=$AF$10:$AF$258, COUNTIF($AK$9:$AK39, $AH$10:$AH$258), ""), 0)),"")</f>
        <v/>
      </c>
      <c r="AL40" s="30" t="str">
        <f>IFERROR(INDEX('G-6 Hedgerow Data'!$BJ$3:$BJ$15,MATCH(D40,'G-6 Hedgerow Data'!$B$3:$B$15,0)),"")</f>
        <v/>
      </c>
    </row>
    <row r="41" spans="2:38">
      <c r="B41" s="110">
        <v>32</v>
      </c>
      <c r="C41" s="165"/>
      <c r="D41" s="165"/>
      <c r="E41" s="139"/>
      <c r="F41" s="411" t="str">
        <f>IF(D41="","",VLOOKUP(D41,'G-6 Hedgerow Data'!$B$2:$AG$15,2,FALSE))</f>
        <v/>
      </c>
      <c r="G41" s="363" t="str">
        <f>IF(D41="","",VLOOKUP(D41,'G-6 Hedgerow Data'!$B$2:$AG$15,3,FALSE))</f>
        <v/>
      </c>
      <c r="H41" s="114"/>
      <c r="I41" s="363" t="str">
        <f>IFERROR(VLOOKUP(H41,'G-1 All Habitats'!$Z$2:$AA$9,2,FALSE),"")</f>
        <v/>
      </c>
      <c r="J41" s="114"/>
      <c r="K41" s="370" t="str">
        <f>IF(J41="","",IF(VLOOKUP(J41,'G-3 Multipliers'!$L$3:$N$6,2,FALSE)=0,"Spatial Data Missing",VLOOKUP(J41,'G-3 Multipliers'!$L$3:$N$6,2,FALSE)))</f>
        <v/>
      </c>
      <c r="L41" s="368" t="str">
        <f>IF(J41="","",IF(VLOOKUP(J41,'G-3 Multipliers'!$L$3:$N$6,3,FALSE)=0,"Spatial Data Missing ⚠",VLOOKUP(J41,'G-3 Multipliers'!$L$3:$N$6,3,FALSE)))</f>
        <v/>
      </c>
      <c r="M41" s="369" t="str">
        <f>IF(D41="","",VLOOKUP(D41,'G-6 Hedgerow Data'!$B$1:$AH$15,33,FALSE))</f>
        <v/>
      </c>
      <c r="N41" s="376" t="str">
        <f t="shared" si="2"/>
        <v/>
      </c>
      <c r="O41" s="32"/>
      <c r="P41" s="582"/>
      <c r="Q41" s="165"/>
      <c r="R41" s="393" t="str">
        <f t="shared" si="3"/>
        <v/>
      </c>
      <c r="S41" s="393" t="str">
        <f t="shared" si="4"/>
        <v/>
      </c>
      <c r="T41" s="393" t="str">
        <f t="shared" si="5"/>
        <v/>
      </c>
      <c r="U41" s="415" t="str">
        <f t="shared" si="6"/>
        <v/>
      </c>
      <c r="V41" s="119"/>
      <c r="W41" s="120"/>
      <c r="X41" s="120"/>
      <c r="AE41" s="124" t="str">
        <f t="shared" si="0"/>
        <v/>
      </c>
      <c r="AF41" s="124" t="str">
        <f t="shared" si="1"/>
        <v/>
      </c>
      <c r="AH41" s="124">
        <v>32</v>
      </c>
      <c r="AJ41" s="124" t="str">
        <f t="array" ref="AJ41">IFERROR(INDEX($AH$10:$AH$258, MATCH(0, IF(TRUE=$AE$10:$AE$258, COUNTIF($AJ$9:$AJ40, $AH$10:$AH$258), ""), 0)),"")</f>
        <v/>
      </c>
      <c r="AK41" s="124" t="str">
        <f t="array" ref="AK41">IFERROR(INDEX($AH$10:$AH$258, MATCH(0, IF(TRUE=$AF$10:$AF$258, COUNTIF($AK$9:$AK40, $AH$10:$AH$258), ""), 0)),"")</f>
        <v/>
      </c>
      <c r="AL41" s="30" t="str">
        <f>IFERROR(INDEX('G-6 Hedgerow Data'!$BJ$3:$BJ$15,MATCH(D41,'G-6 Hedgerow Data'!$B$3:$B$15,0)),"")</f>
        <v/>
      </c>
    </row>
    <row r="42" spans="2:38">
      <c r="B42" s="110">
        <v>33</v>
      </c>
      <c r="C42" s="165"/>
      <c r="D42" s="165"/>
      <c r="E42" s="139"/>
      <c r="F42" s="411" t="str">
        <f>IF(D42="","",VLOOKUP(D42,'G-6 Hedgerow Data'!$B$2:$AG$15,2,FALSE))</f>
        <v/>
      </c>
      <c r="G42" s="363" t="str">
        <f>IF(D42="","",VLOOKUP(D42,'G-6 Hedgerow Data'!$B$2:$AG$15,3,FALSE))</f>
        <v/>
      </c>
      <c r="H42" s="114"/>
      <c r="I42" s="363" t="str">
        <f>IFERROR(VLOOKUP(H42,'G-1 All Habitats'!$Z$2:$AA$9,2,FALSE),"")</f>
        <v/>
      </c>
      <c r="J42" s="114"/>
      <c r="K42" s="370" t="str">
        <f>IF(J42="","",IF(VLOOKUP(J42,'G-3 Multipliers'!$L$3:$N$6,2,FALSE)=0,"Spatial Data Missing",VLOOKUP(J42,'G-3 Multipliers'!$L$3:$N$6,2,FALSE)))</f>
        <v/>
      </c>
      <c r="L42" s="368" t="str">
        <f>IF(J42="","",IF(VLOOKUP(J42,'G-3 Multipliers'!$L$3:$N$6,3,FALSE)=0,"Spatial Data Missing ⚠",VLOOKUP(J42,'G-3 Multipliers'!$L$3:$N$6,3,FALSE)))</f>
        <v/>
      </c>
      <c r="M42" s="369" t="str">
        <f>IF(D42="","",VLOOKUP(D42,'G-6 Hedgerow Data'!$B$1:$AH$15,33,FALSE))</f>
        <v/>
      </c>
      <c r="N42" s="376" t="str">
        <f t="shared" si="2"/>
        <v/>
      </c>
      <c r="O42" s="32"/>
      <c r="P42" s="582"/>
      <c r="Q42" s="165"/>
      <c r="R42" s="393" t="str">
        <f t="shared" si="3"/>
        <v/>
      </c>
      <c r="S42" s="393" t="str">
        <f t="shared" si="4"/>
        <v/>
      </c>
      <c r="T42" s="393" t="str">
        <f t="shared" si="5"/>
        <v/>
      </c>
      <c r="U42" s="415" t="str">
        <f t="shared" si="6"/>
        <v/>
      </c>
      <c r="V42" s="119"/>
      <c r="W42" s="120"/>
      <c r="X42" s="120"/>
      <c r="AE42" s="124" t="str">
        <f t="shared" si="0"/>
        <v/>
      </c>
      <c r="AF42" s="124" t="str">
        <f t="shared" si="1"/>
        <v/>
      </c>
      <c r="AH42" s="124">
        <v>33</v>
      </c>
      <c r="AJ42" s="124" t="str">
        <f t="array" ref="AJ42">IFERROR(INDEX($AH$10:$AH$258, MATCH(0, IF(TRUE=$AE$10:$AE$258, COUNTIF($AJ$9:$AJ41, $AH$10:$AH$258), ""), 0)),"")</f>
        <v/>
      </c>
      <c r="AK42" s="124" t="str">
        <f t="array" ref="AK42">IFERROR(INDEX($AH$10:$AH$258, MATCH(0, IF(TRUE=$AF$10:$AF$258, COUNTIF($AK$9:$AK41, $AH$10:$AH$258), ""), 0)),"")</f>
        <v/>
      </c>
      <c r="AL42" s="30" t="str">
        <f>IFERROR(INDEX('G-6 Hedgerow Data'!$BJ$3:$BJ$15,MATCH(D42,'G-6 Hedgerow Data'!$B$3:$B$15,0)),"")</f>
        <v/>
      </c>
    </row>
    <row r="43" spans="2:38">
      <c r="B43" s="110">
        <v>34</v>
      </c>
      <c r="C43" s="165"/>
      <c r="D43" s="165"/>
      <c r="E43" s="139"/>
      <c r="F43" s="411" t="str">
        <f>IF(D43="","",VLOOKUP(D43,'G-6 Hedgerow Data'!$B$2:$AG$15,2,FALSE))</f>
        <v/>
      </c>
      <c r="G43" s="363" t="str">
        <f>IF(D43="","",VLOOKUP(D43,'G-6 Hedgerow Data'!$B$2:$AG$15,3,FALSE))</f>
        <v/>
      </c>
      <c r="H43" s="114"/>
      <c r="I43" s="363" t="str">
        <f>IFERROR(VLOOKUP(H43,'G-1 All Habitats'!$Z$2:$AA$9,2,FALSE),"")</f>
        <v/>
      </c>
      <c r="J43" s="114"/>
      <c r="K43" s="370" t="str">
        <f>IF(J43="","",IF(VLOOKUP(J43,'G-3 Multipliers'!$L$3:$N$6,2,FALSE)=0,"Spatial Data Missing",VLOOKUP(J43,'G-3 Multipliers'!$L$3:$N$6,2,FALSE)))</f>
        <v/>
      </c>
      <c r="L43" s="368" t="str">
        <f>IF(J43="","",IF(VLOOKUP(J43,'G-3 Multipliers'!$L$3:$N$6,3,FALSE)=0,"Spatial Data Missing ⚠",VLOOKUP(J43,'G-3 Multipliers'!$L$3:$N$6,3,FALSE)))</f>
        <v/>
      </c>
      <c r="M43" s="369" t="str">
        <f>IF(D43="","",VLOOKUP(D43,'G-6 Hedgerow Data'!$B$1:$AH$15,33,FALSE))</f>
        <v/>
      </c>
      <c r="N43" s="376" t="str">
        <f t="shared" si="2"/>
        <v/>
      </c>
      <c r="O43" s="32"/>
      <c r="P43" s="582"/>
      <c r="Q43" s="165"/>
      <c r="R43" s="393" t="str">
        <f t="shared" si="3"/>
        <v/>
      </c>
      <c r="S43" s="393" t="str">
        <f t="shared" si="4"/>
        <v/>
      </c>
      <c r="T43" s="393" t="str">
        <f t="shared" si="5"/>
        <v/>
      </c>
      <c r="U43" s="415" t="str">
        <f t="shared" si="6"/>
        <v/>
      </c>
      <c r="V43" s="119"/>
      <c r="W43" s="120"/>
      <c r="X43" s="120"/>
      <c r="AE43" s="124" t="str">
        <f t="shared" si="0"/>
        <v/>
      </c>
      <c r="AF43" s="124" t="str">
        <f t="shared" si="1"/>
        <v/>
      </c>
      <c r="AH43" s="124">
        <v>34</v>
      </c>
      <c r="AJ43" s="124" t="str">
        <f t="array" ref="AJ43">IFERROR(INDEX($AH$10:$AH$258, MATCH(0, IF(TRUE=$AE$10:$AE$258, COUNTIF($AJ$9:$AJ42, $AH$10:$AH$258), ""), 0)),"")</f>
        <v/>
      </c>
      <c r="AK43" s="124" t="str">
        <f t="array" ref="AK43">IFERROR(INDEX($AH$10:$AH$258, MATCH(0, IF(TRUE=$AF$10:$AF$258, COUNTIF($AK$9:$AK42, $AH$10:$AH$258), ""), 0)),"")</f>
        <v/>
      </c>
      <c r="AL43" s="30" t="str">
        <f>IFERROR(INDEX('G-6 Hedgerow Data'!$BJ$3:$BJ$15,MATCH(D43,'G-6 Hedgerow Data'!$B$3:$B$15,0)),"")</f>
        <v/>
      </c>
    </row>
    <row r="44" spans="2:38">
      <c r="B44" s="110">
        <v>35</v>
      </c>
      <c r="C44" s="165"/>
      <c r="D44" s="165"/>
      <c r="E44" s="121"/>
      <c r="F44" s="411" t="str">
        <f>IF(D44="","",VLOOKUP(D44,'G-6 Hedgerow Data'!$B$2:$AG$15,2,FALSE))</f>
        <v/>
      </c>
      <c r="G44" s="363" t="str">
        <f>IF(D44="","",VLOOKUP(D44,'G-6 Hedgerow Data'!$B$2:$AG$15,3,FALSE))</f>
        <v/>
      </c>
      <c r="H44" s="114"/>
      <c r="I44" s="363" t="str">
        <f>IFERROR(VLOOKUP(H44,'G-1 All Habitats'!$Z$2:$AA$9,2,FALSE),"")</f>
        <v/>
      </c>
      <c r="J44" s="114"/>
      <c r="K44" s="370" t="str">
        <f>IF(J44="","",IF(VLOOKUP(J44,'G-3 Multipliers'!$L$3:$N$6,2,FALSE)=0,"Spatial Data Missing",VLOOKUP(J44,'G-3 Multipliers'!$L$3:$N$6,2,FALSE)))</f>
        <v/>
      </c>
      <c r="L44" s="368" t="str">
        <f>IF(J44="","",IF(VLOOKUP(J44,'G-3 Multipliers'!$L$3:$N$6,3,FALSE)=0,"Spatial Data Missing ⚠",VLOOKUP(J44,'G-3 Multipliers'!$L$3:$N$6,3,FALSE)))</f>
        <v/>
      </c>
      <c r="M44" s="369" t="str">
        <f>IF(D44="","",VLOOKUP(D44,'G-6 Hedgerow Data'!$B$1:$AH$15,33,FALSE))</f>
        <v/>
      </c>
      <c r="N44" s="376" t="str">
        <f t="shared" si="2"/>
        <v/>
      </c>
      <c r="O44" s="32"/>
      <c r="P44" s="582"/>
      <c r="Q44" s="165"/>
      <c r="R44" s="393" t="str">
        <f t="shared" si="3"/>
        <v/>
      </c>
      <c r="S44" s="393" t="str">
        <f t="shared" si="4"/>
        <v/>
      </c>
      <c r="T44" s="393" t="str">
        <f t="shared" si="5"/>
        <v/>
      </c>
      <c r="U44" s="415" t="str">
        <f t="shared" si="6"/>
        <v/>
      </c>
      <c r="V44" s="119"/>
      <c r="W44" s="120"/>
      <c r="X44" s="120"/>
      <c r="AE44" s="124" t="str">
        <f t="shared" si="0"/>
        <v/>
      </c>
      <c r="AF44" s="124" t="str">
        <f t="shared" si="1"/>
        <v/>
      </c>
      <c r="AH44" s="124">
        <v>35</v>
      </c>
      <c r="AJ44" s="124" t="str">
        <f t="array" ref="AJ44">IFERROR(INDEX($AH$10:$AH$258, MATCH(0, IF(TRUE=$AE$10:$AE$258, COUNTIF($AJ$9:$AJ43, $AH$10:$AH$258), ""), 0)),"")</f>
        <v/>
      </c>
      <c r="AK44" s="124" t="str">
        <f t="array" ref="AK44">IFERROR(INDEX($AH$10:$AH$258, MATCH(0, IF(TRUE=$AF$10:$AF$258, COUNTIF($AK$9:$AK43, $AH$10:$AH$258), ""), 0)),"")</f>
        <v/>
      </c>
      <c r="AL44" s="30" t="str">
        <f>IFERROR(INDEX('G-6 Hedgerow Data'!$BJ$3:$BJ$15,MATCH(D44,'G-6 Hedgerow Data'!$B$3:$B$15,0)),"")</f>
        <v/>
      </c>
    </row>
    <row r="45" spans="2:38">
      <c r="B45" s="110">
        <v>36</v>
      </c>
      <c r="C45" s="165"/>
      <c r="D45" s="165"/>
      <c r="E45" s="121"/>
      <c r="F45" s="411" t="str">
        <f>IF(D45="","",VLOOKUP(D45,'G-6 Hedgerow Data'!$B$2:$AG$15,2,FALSE))</f>
        <v/>
      </c>
      <c r="G45" s="363" t="str">
        <f>IF(D45="","",VLOOKUP(D45,'G-6 Hedgerow Data'!$B$2:$AG$15,3,FALSE))</f>
        <v/>
      </c>
      <c r="H45" s="114"/>
      <c r="I45" s="363" t="str">
        <f>IFERROR(VLOOKUP(H45,'G-1 All Habitats'!$Z$2:$AA$9,2,FALSE),"")</f>
        <v/>
      </c>
      <c r="J45" s="114"/>
      <c r="K45" s="370" t="str">
        <f>IF(J45="","",IF(VLOOKUP(J45,'G-3 Multipliers'!$L$3:$N$6,2,FALSE)=0,"Spatial Data Missing",VLOOKUP(J45,'G-3 Multipliers'!$L$3:$N$6,2,FALSE)))</f>
        <v/>
      </c>
      <c r="L45" s="368" t="str">
        <f>IF(J45="","",IF(VLOOKUP(J45,'G-3 Multipliers'!$L$3:$N$6,3,FALSE)=0,"Spatial Data Missing ⚠",VLOOKUP(J45,'G-3 Multipliers'!$L$3:$N$6,3,FALSE)))</f>
        <v/>
      </c>
      <c r="M45" s="369" t="str">
        <f>IF(D45="","",VLOOKUP(D45,'G-6 Hedgerow Data'!$B$1:$AH$15,33,FALSE))</f>
        <v/>
      </c>
      <c r="N45" s="376" t="str">
        <f t="shared" si="2"/>
        <v/>
      </c>
      <c r="O45" s="32"/>
      <c r="P45" s="582"/>
      <c r="Q45" s="165"/>
      <c r="R45" s="393" t="str">
        <f t="shared" si="3"/>
        <v/>
      </c>
      <c r="S45" s="393" t="str">
        <f t="shared" si="4"/>
        <v/>
      </c>
      <c r="T45" s="393" t="str">
        <f t="shared" si="5"/>
        <v/>
      </c>
      <c r="U45" s="415" t="str">
        <f t="shared" si="6"/>
        <v/>
      </c>
      <c r="V45" s="119"/>
      <c r="W45" s="120"/>
      <c r="X45" s="120"/>
      <c r="AE45" s="124" t="str">
        <f t="shared" si="0"/>
        <v/>
      </c>
      <c r="AF45" s="124" t="str">
        <f t="shared" si="1"/>
        <v/>
      </c>
      <c r="AH45" s="124">
        <v>36</v>
      </c>
      <c r="AJ45" s="124" t="str">
        <f t="array" ref="AJ45">IFERROR(INDEX($AH$10:$AH$258, MATCH(0, IF(TRUE=$AE$10:$AE$258, COUNTIF($AJ$9:$AJ44, $AH$10:$AH$258), ""), 0)),"")</f>
        <v/>
      </c>
      <c r="AK45" s="124" t="str">
        <f t="array" ref="AK45">IFERROR(INDEX($AH$10:$AH$258, MATCH(0, IF(TRUE=$AF$10:$AF$258, COUNTIF($AK$9:$AK44, $AH$10:$AH$258), ""), 0)),"")</f>
        <v/>
      </c>
      <c r="AL45" s="30" t="str">
        <f>IFERROR(INDEX('G-6 Hedgerow Data'!$BJ$3:$BJ$15,MATCH(D45,'G-6 Hedgerow Data'!$B$3:$B$15,0)),"")</f>
        <v/>
      </c>
    </row>
    <row r="46" spans="2:38">
      <c r="B46" s="110">
        <v>37</v>
      </c>
      <c r="C46" s="165"/>
      <c r="D46" s="165"/>
      <c r="E46" s="121"/>
      <c r="F46" s="411" t="str">
        <f>IF(D46="","",VLOOKUP(D46,'G-6 Hedgerow Data'!$B$2:$AG$15,2,FALSE))</f>
        <v/>
      </c>
      <c r="G46" s="363" t="str">
        <f>IF(D46="","",VLOOKUP(D46,'G-6 Hedgerow Data'!$B$2:$AG$15,3,FALSE))</f>
        <v/>
      </c>
      <c r="H46" s="114"/>
      <c r="I46" s="363" t="str">
        <f>IFERROR(VLOOKUP(H46,'G-1 All Habitats'!$Z$2:$AA$9,2,FALSE),"")</f>
        <v/>
      </c>
      <c r="J46" s="114"/>
      <c r="K46" s="370" t="str">
        <f>IF(J46="","",IF(VLOOKUP(J46,'G-3 Multipliers'!$L$3:$N$6,2,FALSE)=0,"Spatial Data Missing",VLOOKUP(J46,'G-3 Multipliers'!$L$3:$N$6,2,FALSE)))</f>
        <v/>
      </c>
      <c r="L46" s="368" t="str">
        <f>IF(J46="","",IF(VLOOKUP(J46,'G-3 Multipliers'!$L$3:$N$6,3,FALSE)=0,"Spatial Data Missing ⚠",VLOOKUP(J46,'G-3 Multipliers'!$L$3:$N$6,3,FALSE)))</f>
        <v/>
      </c>
      <c r="M46" s="369" t="str">
        <f>IF(D46="","",VLOOKUP(D46,'G-6 Hedgerow Data'!$B$1:$AH$15,33,FALSE))</f>
        <v/>
      </c>
      <c r="N46" s="376" t="str">
        <f t="shared" si="2"/>
        <v/>
      </c>
      <c r="O46" s="32"/>
      <c r="P46" s="582"/>
      <c r="Q46" s="165"/>
      <c r="R46" s="393" t="str">
        <f t="shared" si="3"/>
        <v/>
      </c>
      <c r="S46" s="393" t="str">
        <f t="shared" si="4"/>
        <v/>
      </c>
      <c r="T46" s="393" t="str">
        <f t="shared" si="5"/>
        <v/>
      </c>
      <c r="U46" s="415" t="str">
        <f t="shared" si="6"/>
        <v/>
      </c>
      <c r="V46" s="119"/>
      <c r="W46" s="120"/>
      <c r="X46" s="120"/>
      <c r="AE46" s="124" t="str">
        <f t="shared" si="0"/>
        <v/>
      </c>
      <c r="AF46" s="124" t="str">
        <f t="shared" si="1"/>
        <v/>
      </c>
      <c r="AH46" s="124">
        <v>37</v>
      </c>
      <c r="AJ46" s="124" t="str">
        <f t="array" ref="AJ46">IFERROR(INDEX($AH$10:$AH$258, MATCH(0, IF(TRUE=$AE$10:$AE$258, COUNTIF($AJ$9:$AJ45, $AH$10:$AH$258), ""), 0)),"")</f>
        <v/>
      </c>
      <c r="AK46" s="124" t="str">
        <f t="array" ref="AK46">IFERROR(INDEX($AH$10:$AH$258, MATCH(0, IF(TRUE=$AF$10:$AF$258, COUNTIF($AK$9:$AK45, $AH$10:$AH$258), ""), 0)),"")</f>
        <v/>
      </c>
      <c r="AL46" s="30" t="str">
        <f>IFERROR(INDEX('G-6 Hedgerow Data'!$BJ$3:$BJ$15,MATCH(D46,'G-6 Hedgerow Data'!$B$3:$B$15,0)),"")</f>
        <v/>
      </c>
    </row>
    <row r="47" spans="2:38">
      <c r="B47" s="110">
        <v>38</v>
      </c>
      <c r="C47" s="165"/>
      <c r="D47" s="165"/>
      <c r="E47" s="121"/>
      <c r="F47" s="411" t="str">
        <f>IF(D47="","",VLOOKUP(D47,'G-6 Hedgerow Data'!$B$2:$AG$15,2,FALSE))</f>
        <v/>
      </c>
      <c r="G47" s="363" t="str">
        <f>IF(D47="","",VLOOKUP(D47,'G-6 Hedgerow Data'!$B$2:$AG$15,3,FALSE))</f>
        <v/>
      </c>
      <c r="H47" s="114"/>
      <c r="I47" s="363" t="str">
        <f>IFERROR(VLOOKUP(H47,'G-1 All Habitats'!$Z$2:$AA$9,2,FALSE),"")</f>
        <v/>
      </c>
      <c r="J47" s="114"/>
      <c r="K47" s="370" t="str">
        <f>IF(J47="","",IF(VLOOKUP(J47,'G-3 Multipliers'!$L$3:$N$6,2,FALSE)=0,"Spatial Data Missing",VLOOKUP(J47,'G-3 Multipliers'!$L$3:$N$6,2,FALSE)))</f>
        <v/>
      </c>
      <c r="L47" s="368" t="str">
        <f>IF(J47="","",IF(VLOOKUP(J47,'G-3 Multipliers'!$L$3:$N$6,3,FALSE)=0,"Spatial Data Missing ⚠",VLOOKUP(J47,'G-3 Multipliers'!$L$3:$N$6,3,FALSE)))</f>
        <v/>
      </c>
      <c r="M47" s="369" t="str">
        <f>IF(D47="","",VLOOKUP(D47,'G-6 Hedgerow Data'!$B$1:$AH$15,33,FALSE))</f>
        <v/>
      </c>
      <c r="N47" s="376" t="str">
        <f t="shared" si="2"/>
        <v/>
      </c>
      <c r="O47" s="32"/>
      <c r="P47" s="582"/>
      <c r="Q47" s="165"/>
      <c r="R47" s="393" t="str">
        <f t="shared" si="3"/>
        <v/>
      </c>
      <c r="S47" s="393" t="str">
        <f t="shared" si="4"/>
        <v/>
      </c>
      <c r="T47" s="393" t="str">
        <f t="shared" si="5"/>
        <v/>
      </c>
      <c r="U47" s="415" t="str">
        <f t="shared" si="6"/>
        <v/>
      </c>
      <c r="V47" s="119"/>
      <c r="W47" s="120"/>
      <c r="X47" s="120"/>
      <c r="AE47" s="124" t="str">
        <f t="shared" si="0"/>
        <v/>
      </c>
      <c r="AF47" s="124" t="str">
        <f t="shared" si="1"/>
        <v/>
      </c>
      <c r="AH47" s="124">
        <v>38</v>
      </c>
      <c r="AJ47" s="124" t="str">
        <f t="array" ref="AJ47">IFERROR(INDEX($AH$10:$AH$258, MATCH(0, IF(TRUE=$AE$10:$AE$258, COUNTIF($AJ$9:$AJ46, $AH$10:$AH$258), ""), 0)),"")</f>
        <v/>
      </c>
      <c r="AK47" s="124" t="str">
        <f t="array" ref="AK47">IFERROR(INDEX($AH$10:$AH$258, MATCH(0, IF(TRUE=$AF$10:$AF$258, COUNTIF($AK$9:$AK46, $AH$10:$AH$258), ""), 0)),"")</f>
        <v/>
      </c>
      <c r="AL47" s="30" t="str">
        <f>IFERROR(INDEX('G-6 Hedgerow Data'!$BJ$3:$BJ$15,MATCH(D47,'G-6 Hedgerow Data'!$B$3:$B$15,0)),"")</f>
        <v/>
      </c>
    </row>
    <row r="48" spans="2:38">
      <c r="B48" s="110">
        <v>39</v>
      </c>
      <c r="C48" s="165"/>
      <c r="D48" s="165"/>
      <c r="E48" s="121"/>
      <c r="F48" s="411" t="str">
        <f>IF(D48="","",VLOOKUP(D48,'G-6 Hedgerow Data'!$B$2:$AG$15,2,FALSE))</f>
        <v/>
      </c>
      <c r="G48" s="363" t="str">
        <f>IF(D48="","",VLOOKUP(D48,'G-6 Hedgerow Data'!$B$2:$AG$15,3,FALSE))</f>
        <v/>
      </c>
      <c r="H48" s="114"/>
      <c r="I48" s="363" t="str">
        <f>IFERROR(VLOOKUP(H48,'G-1 All Habitats'!$Z$2:$AA$9,2,FALSE),"")</f>
        <v/>
      </c>
      <c r="J48" s="114"/>
      <c r="K48" s="370" t="str">
        <f>IF(J48="","",IF(VLOOKUP(J48,'G-3 Multipliers'!$L$3:$N$6,2,FALSE)=0,"Spatial Data Missing",VLOOKUP(J48,'G-3 Multipliers'!$L$3:$N$6,2,FALSE)))</f>
        <v/>
      </c>
      <c r="L48" s="368" t="str">
        <f>IF(J48="","",IF(VLOOKUP(J48,'G-3 Multipliers'!$L$3:$N$6,3,FALSE)=0,"Spatial Data Missing ⚠",VLOOKUP(J48,'G-3 Multipliers'!$L$3:$N$6,3,FALSE)))</f>
        <v/>
      </c>
      <c r="M48" s="369" t="str">
        <f>IF(D48="","",VLOOKUP(D48,'G-6 Hedgerow Data'!$B$1:$AH$15,33,FALSE))</f>
        <v/>
      </c>
      <c r="N48" s="376" t="str">
        <f t="shared" si="2"/>
        <v/>
      </c>
      <c r="O48" s="32"/>
      <c r="P48" s="122"/>
      <c r="Q48" s="165"/>
      <c r="R48" s="393" t="str">
        <f t="shared" si="3"/>
        <v/>
      </c>
      <c r="S48" s="393" t="str">
        <f t="shared" si="4"/>
        <v/>
      </c>
      <c r="T48" s="393" t="str">
        <f t="shared" si="5"/>
        <v/>
      </c>
      <c r="U48" s="415" t="str">
        <f t="shared" si="6"/>
        <v/>
      </c>
      <c r="V48" s="119"/>
      <c r="W48" s="120"/>
      <c r="X48" s="120"/>
      <c r="AE48" s="124" t="str">
        <f t="shared" si="0"/>
        <v/>
      </c>
      <c r="AF48" s="124" t="str">
        <f t="shared" si="1"/>
        <v/>
      </c>
      <c r="AH48" s="124">
        <v>39</v>
      </c>
      <c r="AJ48" s="124" t="str">
        <f t="array" ref="AJ48">IFERROR(INDEX($AH$10:$AH$258, MATCH(0, IF(TRUE=$AE$10:$AE$258, COUNTIF($AJ$9:$AJ47, $AH$10:$AH$258), ""), 0)),"")</f>
        <v/>
      </c>
      <c r="AK48" s="124" t="str">
        <f t="array" ref="AK48">IFERROR(INDEX($AH$10:$AH$258, MATCH(0, IF(TRUE=$AF$10:$AF$258, COUNTIF($AK$9:$AK47, $AH$10:$AH$258), ""), 0)),"")</f>
        <v/>
      </c>
      <c r="AL48" s="30" t="str">
        <f>IFERROR(INDEX('G-6 Hedgerow Data'!$BJ$3:$BJ$15,MATCH(D48,'G-6 Hedgerow Data'!$B$3:$B$15,0)),"")</f>
        <v/>
      </c>
    </row>
    <row r="49" spans="2:38">
      <c r="B49" s="110">
        <v>40</v>
      </c>
      <c r="C49" s="165"/>
      <c r="D49" s="165"/>
      <c r="E49" s="121"/>
      <c r="F49" s="411" t="str">
        <f>IF(D49="","",VLOOKUP(D49,'G-6 Hedgerow Data'!$B$2:$AG$15,2,FALSE))</f>
        <v/>
      </c>
      <c r="G49" s="363" t="str">
        <f>IF(D49="","",VLOOKUP(D49,'G-6 Hedgerow Data'!$B$2:$AG$15,3,FALSE))</f>
        <v/>
      </c>
      <c r="H49" s="114"/>
      <c r="I49" s="363" t="str">
        <f>IFERROR(VLOOKUP(H49,'G-1 All Habitats'!$Z$2:$AA$9,2,FALSE),"")</f>
        <v/>
      </c>
      <c r="J49" s="114"/>
      <c r="K49" s="370" t="str">
        <f>IF(J49="","",IF(VLOOKUP(J49,'G-3 Multipliers'!$L$3:$N$6,2,FALSE)=0,"Spatial Data Missing",VLOOKUP(J49,'G-3 Multipliers'!$L$3:$N$6,2,FALSE)))</f>
        <v/>
      </c>
      <c r="L49" s="368" t="str">
        <f>IF(J49="","",IF(VLOOKUP(J49,'G-3 Multipliers'!$L$3:$N$6,3,FALSE)=0,"Spatial Data Missing ⚠",VLOOKUP(J49,'G-3 Multipliers'!$L$3:$N$6,3,FALSE)))</f>
        <v/>
      </c>
      <c r="M49" s="369" t="str">
        <f>IF(D49="","",VLOOKUP(D49,'G-6 Hedgerow Data'!$B$1:$AH$15,33,FALSE))</f>
        <v/>
      </c>
      <c r="N49" s="376" t="str">
        <f t="shared" si="2"/>
        <v/>
      </c>
      <c r="O49" s="32"/>
      <c r="P49" s="122"/>
      <c r="Q49" s="165"/>
      <c r="R49" s="393" t="str">
        <f t="shared" si="3"/>
        <v/>
      </c>
      <c r="S49" s="393" t="str">
        <f t="shared" si="4"/>
        <v/>
      </c>
      <c r="T49" s="393" t="str">
        <f t="shared" si="5"/>
        <v/>
      </c>
      <c r="U49" s="415" t="str">
        <f t="shared" si="6"/>
        <v/>
      </c>
      <c r="V49" s="119"/>
      <c r="W49" s="120"/>
      <c r="X49" s="120"/>
      <c r="AE49" s="124" t="str">
        <f t="shared" si="0"/>
        <v/>
      </c>
      <c r="AF49" s="124" t="str">
        <f t="shared" si="1"/>
        <v/>
      </c>
      <c r="AH49" s="124">
        <v>40</v>
      </c>
      <c r="AJ49" s="124" t="str">
        <f t="array" ref="AJ49">IFERROR(INDEX($AH$10:$AH$258, MATCH(0, IF(TRUE=$AE$10:$AE$258, COUNTIF($AJ$9:$AJ48, $AH$10:$AH$258), ""), 0)),"")</f>
        <v/>
      </c>
      <c r="AK49" s="124" t="str">
        <f t="array" ref="AK49">IFERROR(INDEX($AH$10:$AH$258, MATCH(0, IF(TRUE=$AF$10:$AF$258, COUNTIF($AK$9:$AK48, $AH$10:$AH$258), ""), 0)),"")</f>
        <v/>
      </c>
      <c r="AL49" s="30" t="str">
        <f>IFERROR(INDEX('G-6 Hedgerow Data'!$BJ$3:$BJ$15,MATCH(D49,'G-6 Hedgerow Data'!$B$3:$B$15,0)),"")</f>
        <v/>
      </c>
    </row>
    <row r="50" spans="2:38">
      <c r="B50" s="110">
        <v>41</v>
      </c>
      <c r="C50" s="165"/>
      <c r="D50" s="165"/>
      <c r="E50" s="121"/>
      <c r="F50" s="411" t="str">
        <f>IF(D50="","",VLOOKUP(D50,'G-6 Hedgerow Data'!$B$2:$AG$15,2,FALSE))</f>
        <v/>
      </c>
      <c r="G50" s="363" t="str">
        <f>IF(D50="","",VLOOKUP(D50,'G-6 Hedgerow Data'!$B$2:$AG$15,3,FALSE))</f>
        <v/>
      </c>
      <c r="H50" s="114"/>
      <c r="I50" s="363" t="str">
        <f>IFERROR(VLOOKUP(H50,'G-1 All Habitats'!$Z$2:$AA$9,2,FALSE),"")</f>
        <v/>
      </c>
      <c r="J50" s="114"/>
      <c r="K50" s="370" t="str">
        <f>IF(J50="","",IF(VLOOKUP(J50,'G-3 Multipliers'!$L$3:$N$6,2,FALSE)=0,"Spatial Data Missing",VLOOKUP(J50,'G-3 Multipliers'!$L$3:$N$6,2,FALSE)))</f>
        <v/>
      </c>
      <c r="L50" s="368" t="str">
        <f>IF(J50="","",IF(VLOOKUP(J50,'G-3 Multipliers'!$L$3:$N$6,3,FALSE)=0,"Spatial Data Missing ⚠",VLOOKUP(J50,'G-3 Multipliers'!$L$3:$N$6,3,FALSE)))</f>
        <v/>
      </c>
      <c r="M50" s="369" t="str">
        <f>IF(D50="","",VLOOKUP(D50,'G-6 Hedgerow Data'!$B$1:$AH$15,33,FALSE))</f>
        <v/>
      </c>
      <c r="N50" s="376" t="str">
        <f t="shared" si="2"/>
        <v/>
      </c>
      <c r="O50" s="32"/>
      <c r="P50" s="122"/>
      <c r="Q50" s="165"/>
      <c r="R50" s="393" t="str">
        <f t="shared" si="3"/>
        <v/>
      </c>
      <c r="S50" s="393" t="str">
        <f t="shared" si="4"/>
        <v/>
      </c>
      <c r="T50" s="393" t="str">
        <f t="shared" si="5"/>
        <v/>
      </c>
      <c r="U50" s="415" t="str">
        <f t="shared" si="6"/>
        <v/>
      </c>
      <c r="V50" s="119"/>
      <c r="W50" s="120"/>
      <c r="X50" s="120"/>
      <c r="AE50" s="124" t="str">
        <f t="shared" si="0"/>
        <v/>
      </c>
      <c r="AF50" s="124" t="str">
        <f t="shared" si="1"/>
        <v/>
      </c>
      <c r="AH50" s="124">
        <v>41</v>
      </c>
      <c r="AJ50" s="124" t="str">
        <f t="array" ref="AJ50">IFERROR(INDEX($AH$10:$AH$258, MATCH(0, IF(TRUE=$AE$10:$AE$258, COUNTIF($AJ$9:$AJ49, $AH$10:$AH$258), ""), 0)),"")</f>
        <v/>
      </c>
      <c r="AK50" s="124" t="str">
        <f t="array" ref="AK50">IFERROR(INDEX($AH$10:$AH$258, MATCH(0, IF(TRUE=$AF$10:$AF$258, COUNTIF($AK$9:$AK49, $AH$10:$AH$258), ""), 0)),"")</f>
        <v/>
      </c>
      <c r="AL50" s="30" t="str">
        <f>IFERROR(INDEX('G-6 Hedgerow Data'!$BJ$3:$BJ$15,MATCH(D50,'G-6 Hedgerow Data'!$B$3:$B$15,0)),"")</f>
        <v/>
      </c>
    </row>
    <row r="51" spans="2:38">
      <c r="B51" s="110">
        <v>42</v>
      </c>
      <c r="C51" s="165"/>
      <c r="D51" s="165"/>
      <c r="E51" s="121"/>
      <c r="F51" s="411" t="str">
        <f>IF(D51="","",VLOOKUP(D51,'G-6 Hedgerow Data'!$B$2:$AG$15,2,FALSE))</f>
        <v/>
      </c>
      <c r="G51" s="363" t="str">
        <f>IF(D51="","",VLOOKUP(D51,'G-6 Hedgerow Data'!$B$2:$AG$15,3,FALSE))</f>
        <v/>
      </c>
      <c r="H51" s="114"/>
      <c r="I51" s="363" t="str">
        <f>IFERROR(VLOOKUP(H51,'G-1 All Habitats'!$Z$2:$AA$9,2,FALSE),"")</f>
        <v/>
      </c>
      <c r="J51" s="114"/>
      <c r="K51" s="370" t="str">
        <f>IF(J51="","",IF(VLOOKUP(J51,'G-3 Multipliers'!$L$3:$N$6,2,FALSE)=0,"Spatial Data Missing",VLOOKUP(J51,'G-3 Multipliers'!$L$3:$N$6,2,FALSE)))</f>
        <v/>
      </c>
      <c r="L51" s="368" t="str">
        <f>IF(J51="","",IF(VLOOKUP(J51,'G-3 Multipliers'!$L$3:$N$6,3,FALSE)=0,"Spatial Data Missing ⚠",VLOOKUP(J51,'G-3 Multipliers'!$L$3:$N$6,3,FALSE)))</f>
        <v/>
      </c>
      <c r="M51" s="369" t="str">
        <f>IF(D51="","",VLOOKUP(D51,'G-6 Hedgerow Data'!$B$1:$AH$15,33,FALSE))</f>
        <v/>
      </c>
      <c r="N51" s="376" t="str">
        <f t="shared" si="2"/>
        <v/>
      </c>
      <c r="O51" s="32"/>
      <c r="P51" s="122"/>
      <c r="Q51" s="165"/>
      <c r="R51" s="393" t="str">
        <f t="shared" si="3"/>
        <v/>
      </c>
      <c r="S51" s="393" t="str">
        <f t="shared" si="4"/>
        <v/>
      </c>
      <c r="T51" s="393" t="str">
        <f t="shared" si="5"/>
        <v/>
      </c>
      <c r="U51" s="415" t="str">
        <f t="shared" si="6"/>
        <v/>
      </c>
      <c r="V51" s="119"/>
      <c r="W51" s="120"/>
      <c r="X51" s="120"/>
      <c r="AE51" s="124" t="str">
        <f t="shared" si="0"/>
        <v/>
      </c>
      <c r="AF51" s="124" t="str">
        <f t="shared" si="1"/>
        <v/>
      </c>
      <c r="AH51" s="124">
        <v>42</v>
      </c>
      <c r="AJ51" s="124" t="str">
        <f t="array" ref="AJ51">IFERROR(INDEX($AH$10:$AH$258, MATCH(0, IF(TRUE=$AE$10:$AE$258, COUNTIF($AJ$9:$AJ50, $AH$10:$AH$258), ""), 0)),"")</f>
        <v/>
      </c>
      <c r="AK51" s="124" t="str">
        <f t="array" ref="AK51">IFERROR(INDEX($AH$10:$AH$258, MATCH(0, IF(TRUE=$AF$10:$AF$258, COUNTIF($AK$9:$AK50, $AH$10:$AH$258), ""), 0)),"")</f>
        <v/>
      </c>
      <c r="AL51" s="30" t="str">
        <f>IFERROR(INDEX('G-6 Hedgerow Data'!$BJ$3:$BJ$15,MATCH(D51,'G-6 Hedgerow Data'!$B$3:$B$15,0)),"")</f>
        <v/>
      </c>
    </row>
    <row r="52" spans="2:38">
      <c r="B52" s="110">
        <v>43</v>
      </c>
      <c r="C52" s="165"/>
      <c r="D52" s="165"/>
      <c r="E52" s="121"/>
      <c r="F52" s="411" t="str">
        <f>IF(D52="","",VLOOKUP(D52,'G-6 Hedgerow Data'!$B$2:$AG$15,2,FALSE))</f>
        <v/>
      </c>
      <c r="G52" s="363" t="str">
        <f>IF(D52="","",VLOOKUP(D52,'G-6 Hedgerow Data'!$B$2:$AG$15,3,FALSE))</f>
        <v/>
      </c>
      <c r="H52" s="114"/>
      <c r="I52" s="363" t="str">
        <f>IFERROR(VLOOKUP(H52,'G-1 All Habitats'!$Z$2:$AA$9,2,FALSE),"")</f>
        <v/>
      </c>
      <c r="J52" s="114"/>
      <c r="K52" s="370" t="str">
        <f>IF(J52="","",IF(VLOOKUP(J52,'G-3 Multipliers'!$L$3:$N$6,2,FALSE)=0,"Spatial Data Missing",VLOOKUP(J52,'G-3 Multipliers'!$L$3:$N$6,2,FALSE)))</f>
        <v/>
      </c>
      <c r="L52" s="368" t="str">
        <f>IF(J52="","",IF(VLOOKUP(J52,'G-3 Multipliers'!$L$3:$N$6,3,FALSE)=0,"Spatial Data Missing ⚠",VLOOKUP(J52,'G-3 Multipliers'!$L$3:$N$6,3,FALSE)))</f>
        <v/>
      </c>
      <c r="M52" s="369" t="str">
        <f>IF(D52="","",VLOOKUP(D52,'G-6 Hedgerow Data'!$B$1:$AH$15,33,FALSE))</f>
        <v/>
      </c>
      <c r="N52" s="376" t="str">
        <f t="shared" si="2"/>
        <v/>
      </c>
      <c r="O52" s="32"/>
      <c r="P52" s="122"/>
      <c r="Q52" s="165"/>
      <c r="R52" s="393" t="str">
        <f t="shared" si="3"/>
        <v/>
      </c>
      <c r="S52" s="393" t="str">
        <f t="shared" si="4"/>
        <v/>
      </c>
      <c r="T52" s="393" t="str">
        <f t="shared" si="5"/>
        <v/>
      </c>
      <c r="U52" s="415" t="str">
        <f t="shared" si="6"/>
        <v/>
      </c>
      <c r="V52" s="119"/>
      <c r="W52" s="120"/>
      <c r="X52" s="120"/>
      <c r="AE52" s="124" t="str">
        <f t="shared" si="0"/>
        <v/>
      </c>
      <c r="AF52" s="124" t="str">
        <f t="shared" si="1"/>
        <v/>
      </c>
      <c r="AH52" s="124">
        <v>43</v>
      </c>
      <c r="AJ52" s="124" t="str">
        <f t="array" ref="AJ52">IFERROR(INDEX($AH$10:$AH$258, MATCH(0, IF(TRUE=$AE$10:$AE$258, COUNTIF($AJ$9:$AJ51, $AH$10:$AH$258), ""), 0)),"")</f>
        <v/>
      </c>
      <c r="AK52" s="124" t="str">
        <f t="array" ref="AK52">IFERROR(INDEX($AH$10:$AH$258, MATCH(0, IF(TRUE=$AF$10:$AF$258, COUNTIF($AK$9:$AK51, $AH$10:$AH$258), ""), 0)),"")</f>
        <v/>
      </c>
      <c r="AL52" s="30" t="str">
        <f>IFERROR(INDEX('G-6 Hedgerow Data'!$BJ$3:$BJ$15,MATCH(D52,'G-6 Hedgerow Data'!$B$3:$B$15,0)),"")</f>
        <v/>
      </c>
    </row>
    <row r="53" spans="2:38">
      <c r="B53" s="110">
        <v>44</v>
      </c>
      <c r="C53" s="165"/>
      <c r="D53" s="165"/>
      <c r="E53" s="121"/>
      <c r="F53" s="411" t="str">
        <f>IF(D53="","",VLOOKUP(D53,'G-6 Hedgerow Data'!$B$2:$AG$15,2,FALSE))</f>
        <v/>
      </c>
      <c r="G53" s="363" t="str">
        <f>IF(D53="","",VLOOKUP(D53,'G-6 Hedgerow Data'!$B$2:$AG$15,3,FALSE))</f>
        <v/>
      </c>
      <c r="H53" s="114"/>
      <c r="I53" s="363" t="str">
        <f>IFERROR(VLOOKUP(H53,'G-1 All Habitats'!$Z$2:$AA$9,2,FALSE),"")</f>
        <v/>
      </c>
      <c r="J53" s="114"/>
      <c r="K53" s="370" t="str">
        <f>IF(J53="","",IF(VLOOKUP(J53,'G-3 Multipliers'!$L$3:$N$6,2,FALSE)=0,"Spatial Data Missing",VLOOKUP(J53,'G-3 Multipliers'!$L$3:$N$6,2,FALSE)))</f>
        <v/>
      </c>
      <c r="L53" s="368" t="str">
        <f>IF(J53="","",IF(VLOOKUP(J53,'G-3 Multipliers'!$L$3:$N$6,3,FALSE)=0,"Spatial Data Missing ⚠",VLOOKUP(J53,'G-3 Multipliers'!$L$3:$N$6,3,FALSE)))</f>
        <v/>
      </c>
      <c r="M53" s="369" t="str">
        <f>IF(D53="","",VLOOKUP(D53,'G-6 Hedgerow Data'!$B$1:$AH$15,33,FALSE))</f>
        <v/>
      </c>
      <c r="N53" s="376" t="str">
        <f t="shared" si="2"/>
        <v/>
      </c>
      <c r="O53" s="32"/>
      <c r="P53" s="122"/>
      <c r="Q53" s="165"/>
      <c r="R53" s="393" t="str">
        <f t="shared" si="3"/>
        <v/>
      </c>
      <c r="S53" s="393" t="str">
        <f t="shared" si="4"/>
        <v/>
      </c>
      <c r="T53" s="393" t="str">
        <f t="shared" si="5"/>
        <v/>
      </c>
      <c r="U53" s="415" t="str">
        <f t="shared" si="6"/>
        <v/>
      </c>
      <c r="V53" s="119"/>
      <c r="W53" s="120"/>
      <c r="X53" s="120"/>
      <c r="AE53" s="124" t="str">
        <f t="shared" si="0"/>
        <v/>
      </c>
      <c r="AF53" s="124" t="str">
        <f t="shared" si="1"/>
        <v/>
      </c>
      <c r="AH53" s="124">
        <v>44</v>
      </c>
      <c r="AJ53" s="124" t="str">
        <f t="array" ref="AJ53">IFERROR(INDEX($AH$10:$AH$258, MATCH(0, IF(TRUE=$AE$10:$AE$258, COUNTIF($AJ$9:$AJ52, $AH$10:$AH$258), ""), 0)),"")</f>
        <v/>
      </c>
      <c r="AK53" s="124" t="str">
        <f t="array" ref="AK53">IFERROR(INDEX($AH$10:$AH$258, MATCH(0, IF(TRUE=$AF$10:$AF$258, COUNTIF($AK$9:$AK52, $AH$10:$AH$258), ""), 0)),"")</f>
        <v/>
      </c>
      <c r="AL53" s="30" t="str">
        <f>IFERROR(INDEX('G-6 Hedgerow Data'!$BJ$3:$BJ$15,MATCH(D53,'G-6 Hedgerow Data'!$B$3:$B$15,0)),"")</f>
        <v/>
      </c>
    </row>
    <row r="54" spans="2:38">
      <c r="B54" s="110">
        <v>45</v>
      </c>
      <c r="C54" s="165"/>
      <c r="D54" s="165"/>
      <c r="E54" s="121"/>
      <c r="F54" s="411" t="str">
        <f>IF(D54="","",VLOOKUP(D54,'G-6 Hedgerow Data'!$B$2:$AG$15,2,FALSE))</f>
        <v/>
      </c>
      <c r="G54" s="363" t="str">
        <f>IF(D54="","",VLOOKUP(D54,'G-6 Hedgerow Data'!$B$2:$AG$15,3,FALSE))</f>
        <v/>
      </c>
      <c r="H54" s="114"/>
      <c r="I54" s="363" t="str">
        <f>IFERROR(VLOOKUP(H54,'G-1 All Habitats'!$Z$2:$AA$9,2,FALSE),"")</f>
        <v/>
      </c>
      <c r="J54" s="114"/>
      <c r="K54" s="370" t="str">
        <f>IF(J54="","",IF(VLOOKUP(J54,'G-3 Multipliers'!$L$3:$N$6,2,FALSE)=0,"Spatial Data Missing",VLOOKUP(J54,'G-3 Multipliers'!$L$3:$N$6,2,FALSE)))</f>
        <v/>
      </c>
      <c r="L54" s="368" t="str">
        <f>IF(J54="","",IF(VLOOKUP(J54,'G-3 Multipliers'!$L$3:$N$6,3,FALSE)=0,"Spatial Data Missing ⚠",VLOOKUP(J54,'G-3 Multipliers'!$L$3:$N$6,3,FALSE)))</f>
        <v/>
      </c>
      <c r="M54" s="369" t="str">
        <f>IF(D54="","",VLOOKUP(D54,'G-6 Hedgerow Data'!$B$1:$AH$15,33,FALSE))</f>
        <v/>
      </c>
      <c r="N54" s="376" t="str">
        <f t="shared" si="2"/>
        <v/>
      </c>
      <c r="O54" s="32"/>
      <c r="P54" s="122"/>
      <c r="Q54" s="165"/>
      <c r="R54" s="393" t="str">
        <f t="shared" si="3"/>
        <v/>
      </c>
      <c r="S54" s="393" t="str">
        <f t="shared" si="4"/>
        <v/>
      </c>
      <c r="T54" s="393" t="str">
        <f t="shared" si="5"/>
        <v/>
      </c>
      <c r="U54" s="415" t="str">
        <f t="shared" si="6"/>
        <v/>
      </c>
      <c r="V54" s="119"/>
      <c r="W54" s="120"/>
      <c r="X54" s="120"/>
      <c r="AE54" s="124" t="str">
        <f t="shared" si="0"/>
        <v/>
      </c>
      <c r="AF54" s="124" t="str">
        <f t="shared" si="1"/>
        <v/>
      </c>
      <c r="AH54" s="124">
        <v>45</v>
      </c>
      <c r="AJ54" s="124" t="str">
        <f t="array" ref="AJ54">IFERROR(INDEX($AH$10:$AH$258, MATCH(0, IF(TRUE=$AE$10:$AE$258, COUNTIF($AJ$9:$AJ53, $AH$10:$AH$258), ""), 0)),"")</f>
        <v/>
      </c>
      <c r="AK54" s="124" t="str">
        <f t="array" ref="AK54">IFERROR(INDEX($AH$10:$AH$258, MATCH(0, IF(TRUE=$AF$10:$AF$258, COUNTIF($AK$9:$AK53, $AH$10:$AH$258), ""), 0)),"")</f>
        <v/>
      </c>
      <c r="AL54" s="30" t="str">
        <f>IFERROR(INDEX('G-6 Hedgerow Data'!$BJ$3:$BJ$15,MATCH(D54,'G-6 Hedgerow Data'!$B$3:$B$15,0)),"")</f>
        <v/>
      </c>
    </row>
    <row r="55" spans="2:38">
      <c r="B55" s="110">
        <v>46</v>
      </c>
      <c r="C55" s="165"/>
      <c r="D55" s="165"/>
      <c r="E55" s="121"/>
      <c r="F55" s="411" t="str">
        <f>IF(D55="","",VLOOKUP(D55,'G-6 Hedgerow Data'!$B$2:$AG$15,2,FALSE))</f>
        <v/>
      </c>
      <c r="G55" s="363" t="str">
        <f>IF(D55="","",VLOOKUP(D55,'G-6 Hedgerow Data'!$B$2:$AG$15,3,FALSE))</f>
        <v/>
      </c>
      <c r="H55" s="114"/>
      <c r="I55" s="363" t="str">
        <f>IFERROR(VLOOKUP(H55,'G-1 All Habitats'!$Z$2:$AA$9,2,FALSE),"")</f>
        <v/>
      </c>
      <c r="J55" s="114"/>
      <c r="K55" s="370" t="str">
        <f>IF(J55="","",IF(VLOOKUP(J55,'G-3 Multipliers'!$L$3:$N$6,2,FALSE)=0,"Spatial Data Missing",VLOOKUP(J55,'G-3 Multipliers'!$L$3:$N$6,2,FALSE)))</f>
        <v/>
      </c>
      <c r="L55" s="368" t="str">
        <f>IF(J55="","",IF(VLOOKUP(J55,'G-3 Multipliers'!$L$3:$N$6,3,FALSE)=0,"Spatial Data Missing ⚠",VLOOKUP(J55,'G-3 Multipliers'!$L$3:$N$6,3,FALSE)))</f>
        <v/>
      </c>
      <c r="M55" s="369" t="str">
        <f>IF(D55="","",VLOOKUP(D55,'G-6 Hedgerow Data'!$B$1:$AH$15,33,FALSE))</f>
        <v/>
      </c>
      <c r="N55" s="376" t="str">
        <f t="shared" si="2"/>
        <v/>
      </c>
      <c r="O55" s="32"/>
      <c r="P55" s="122"/>
      <c r="Q55" s="165"/>
      <c r="R55" s="393" t="str">
        <f t="shared" si="3"/>
        <v/>
      </c>
      <c r="S55" s="393" t="str">
        <f t="shared" si="4"/>
        <v/>
      </c>
      <c r="T55" s="393" t="str">
        <f t="shared" si="5"/>
        <v/>
      </c>
      <c r="U55" s="415" t="str">
        <f t="shared" si="6"/>
        <v/>
      </c>
      <c r="V55" s="119"/>
      <c r="W55" s="120"/>
      <c r="X55" s="120"/>
      <c r="AE55" s="124" t="str">
        <f t="shared" si="0"/>
        <v/>
      </c>
      <c r="AF55" s="124" t="str">
        <f t="shared" si="1"/>
        <v/>
      </c>
      <c r="AH55" s="124">
        <v>46</v>
      </c>
      <c r="AJ55" s="124" t="str">
        <f t="array" ref="AJ55">IFERROR(INDEX($AH$10:$AH$258, MATCH(0, IF(TRUE=$AE$10:$AE$258, COUNTIF($AJ$9:$AJ54, $AH$10:$AH$258), ""), 0)),"")</f>
        <v/>
      </c>
      <c r="AK55" s="124" t="str">
        <f t="array" ref="AK55">IFERROR(INDEX($AH$10:$AH$258, MATCH(0, IF(TRUE=$AF$10:$AF$258, COUNTIF($AK$9:$AK54, $AH$10:$AH$258), ""), 0)),"")</f>
        <v/>
      </c>
      <c r="AL55" s="30" t="str">
        <f>IFERROR(INDEX('G-6 Hedgerow Data'!$BJ$3:$BJ$15,MATCH(D55,'G-6 Hedgerow Data'!$B$3:$B$15,0)),"")</f>
        <v/>
      </c>
    </row>
    <row r="56" spans="2:38">
      <c r="B56" s="110">
        <v>47</v>
      </c>
      <c r="C56" s="165"/>
      <c r="D56" s="165"/>
      <c r="E56" s="121"/>
      <c r="F56" s="411" t="str">
        <f>IF(D56="","",VLOOKUP(D56,'G-6 Hedgerow Data'!$B$2:$AG$15,2,FALSE))</f>
        <v/>
      </c>
      <c r="G56" s="363" t="str">
        <f>IF(D56="","",VLOOKUP(D56,'G-6 Hedgerow Data'!$B$2:$AG$15,3,FALSE))</f>
        <v/>
      </c>
      <c r="H56" s="114"/>
      <c r="I56" s="363" t="str">
        <f>IFERROR(VLOOKUP(H56,'G-1 All Habitats'!$Z$2:$AA$9,2,FALSE),"")</f>
        <v/>
      </c>
      <c r="J56" s="114"/>
      <c r="K56" s="370" t="str">
        <f>IF(J56="","",IF(VLOOKUP(J56,'G-3 Multipliers'!$L$3:$N$6,2,FALSE)=0,"Spatial Data Missing",VLOOKUP(J56,'G-3 Multipliers'!$L$3:$N$6,2,FALSE)))</f>
        <v/>
      </c>
      <c r="L56" s="368" t="str">
        <f>IF(J56="","",IF(VLOOKUP(J56,'G-3 Multipliers'!$L$3:$N$6,3,FALSE)=0,"Spatial Data Missing ⚠",VLOOKUP(J56,'G-3 Multipliers'!$L$3:$N$6,3,FALSE)))</f>
        <v/>
      </c>
      <c r="M56" s="369" t="str">
        <f>IF(D56="","",VLOOKUP(D56,'G-6 Hedgerow Data'!$B$1:$AH$15,33,FALSE))</f>
        <v/>
      </c>
      <c r="N56" s="376" t="str">
        <f t="shared" si="2"/>
        <v/>
      </c>
      <c r="O56" s="32"/>
      <c r="P56" s="122"/>
      <c r="Q56" s="165"/>
      <c r="R56" s="393" t="str">
        <f t="shared" si="3"/>
        <v/>
      </c>
      <c r="S56" s="393" t="str">
        <f t="shared" si="4"/>
        <v/>
      </c>
      <c r="T56" s="393" t="str">
        <f t="shared" si="5"/>
        <v/>
      </c>
      <c r="U56" s="415" t="str">
        <f t="shared" si="6"/>
        <v/>
      </c>
      <c r="V56" s="119"/>
      <c r="W56" s="120"/>
      <c r="X56" s="120"/>
      <c r="AE56" s="124" t="str">
        <f t="shared" si="0"/>
        <v/>
      </c>
      <c r="AF56" s="124" t="str">
        <f t="shared" si="1"/>
        <v/>
      </c>
      <c r="AH56" s="124">
        <v>47</v>
      </c>
      <c r="AJ56" s="124" t="str">
        <f t="array" ref="AJ56">IFERROR(INDEX($AH$10:$AH$258, MATCH(0, IF(TRUE=$AE$10:$AE$258, COUNTIF($AJ$9:$AJ55, $AH$10:$AH$258), ""), 0)),"")</f>
        <v/>
      </c>
      <c r="AK56" s="124" t="str">
        <f t="array" ref="AK56">IFERROR(INDEX($AH$10:$AH$258, MATCH(0, IF(TRUE=$AF$10:$AF$258, COUNTIF($AK$9:$AK55, $AH$10:$AH$258), ""), 0)),"")</f>
        <v/>
      </c>
      <c r="AL56" s="30" t="str">
        <f>IFERROR(INDEX('G-6 Hedgerow Data'!$BJ$3:$BJ$15,MATCH(D56,'G-6 Hedgerow Data'!$B$3:$B$15,0)),"")</f>
        <v/>
      </c>
    </row>
    <row r="57" spans="2:38">
      <c r="B57" s="110">
        <v>48</v>
      </c>
      <c r="C57" s="165"/>
      <c r="D57" s="165"/>
      <c r="E57" s="121"/>
      <c r="F57" s="411" t="str">
        <f>IF(D57="","",VLOOKUP(D57,'G-6 Hedgerow Data'!$B$2:$AG$15,2,FALSE))</f>
        <v/>
      </c>
      <c r="G57" s="363" t="str">
        <f>IF(D57="","",VLOOKUP(D57,'G-6 Hedgerow Data'!$B$2:$AG$15,3,FALSE))</f>
        <v/>
      </c>
      <c r="H57" s="114"/>
      <c r="I57" s="363" t="str">
        <f>IFERROR(VLOOKUP(H57,'G-1 All Habitats'!$Z$2:$AA$9,2,FALSE),"")</f>
        <v/>
      </c>
      <c r="J57" s="114"/>
      <c r="K57" s="370" t="str">
        <f>IF(J57="","",IF(VLOOKUP(J57,'G-3 Multipliers'!$L$3:$N$6,2,FALSE)=0,"Spatial Data Missing",VLOOKUP(J57,'G-3 Multipliers'!$L$3:$N$6,2,FALSE)))</f>
        <v/>
      </c>
      <c r="L57" s="368" t="str">
        <f>IF(J57="","",IF(VLOOKUP(J57,'G-3 Multipliers'!$L$3:$N$6,3,FALSE)=0,"Spatial Data Missing ⚠",VLOOKUP(J57,'G-3 Multipliers'!$L$3:$N$6,3,FALSE)))</f>
        <v/>
      </c>
      <c r="M57" s="369" t="str">
        <f>IF(D57="","",VLOOKUP(D57,'G-6 Hedgerow Data'!$B$1:$AH$15,33,FALSE))</f>
        <v/>
      </c>
      <c r="N57" s="376" t="str">
        <f t="shared" si="2"/>
        <v/>
      </c>
      <c r="O57" s="32"/>
      <c r="P57" s="122"/>
      <c r="Q57" s="165"/>
      <c r="R57" s="393" t="str">
        <f t="shared" si="3"/>
        <v/>
      </c>
      <c r="S57" s="393" t="str">
        <f t="shared" si="4"/>
        <v/>
      </c>
      <c r="T57" s="393" t="str">
        <f t="shared" si="5"/>
        <v/>
      </c>
      <c r="U57" s="415" t="str">
        <f t="shared" si="6"/>
        <v/>
      </c>
      <c r="V57" s="119"/>
      <c r="W57" s="120"/>
      <c r="X57" s="120"/>
      <c r="AE57" s="124" t="str">
        <f t="shared" si="0"/>
        <v/>
      </c>
      <c r="AF57" s="124" t="str">
        <f t="shared" si="1"/>
        <v/>
      </c>
      <c r="AH57" s="124">
        <v>48</v>
      </c>
      <c r="AJ57" s="124" t="str">
        <f t="array" ref="AJ57">IFERROR(INDEX($AH$10:$AH$258, MATCH(0, IF(TRUE=$AE$10:$AE$258, COUNTIF($AJ$9:$AJ56, $AH$10:$AH$258), ""), 0)),"")</f>
        <v/>
      </c>
      <c r="AK57" s="124" t="str">
        <f t="array" ref="AK57">IFERROR(INDEX($AH$10:$AH$258, MATCH(0, IF(TRUE=$AF$10:$AF$258, COUNTIF($AK$9:$AK56, $AH$10:$AH$258), ""), 0)),"")</f>
        <v/>
      </c>
      <c r="AL57" s="30" t="str">
        <f>IFERROR(INDEX('G-6 Hedgerow Data'!$BJ$3:$BJ$15,MATCH(D57,'G-6 Hedgerow Data'!$B$3:$B$15,0)),"")</f>
        <v/>
      </c>
    </row>
    <row r="58" spans="2:38">
      <c r="B58" s="110">
        <v>49</v>
      </c>
      <c r="C58" s="165"/>
      <c r="D58" s="165"/>
      <c r="E58" s="121"/>
      <c r="F58" s="411" t="str">
        <f>IF(D58="","",VLOOKUP(D58,'G-6 Hedgerow Data'!$B$2:$AG$15,2,FALSE))</f>
        <v/>
      </c>
      <c r="G58" s="363" t="str">
        <f>IF(D58="","",VLOOKUP(D58,'G-6 Hedgerow Data'!$B$2:$AG$15,3,FALSE))</f>
        <v/>
      </c>
      <c r="H58" s="114"/>
      <c r="I58" s="363" t="str">
        <f>IFERROR(VLOOKUP(H58,'G-1 All Habitats'!$Z$2:$AA$9,2,FALSE),"")</f>
        <v/>
      </c>
      <c r="J58" s="114"/>
      <c r="K58" s="370" t="str">
        <f>IF(J58="","",IF(VLOOKUP(J58,'G-3 Multipliers'!$L$3:$N$6,2,FALSE)=0,"Spatial Data Missing",VLOOKUP(J58,'G-3 Multipliers'!$L$3:$N$6,2,FALSE)))</f>
        <v/>
      </c>
      <c r="L58" s="368" t="str">
        <f>IF(J58="","",IF(VLOOKUP(J58,'G-3 Multipliers'!$L$3:$N$6,3,FALSE)=0,"Spatial Data Missing ⚠",VLOOKUP(J58,'G-3 Multipliers'!$L$3:$N$6,3,FALSE)))</f>
        <v/>
      </c>
      <c r="M58" s="369" t="str">
        <f>IF(D58="","",VLOOKUP(D58,'G-6 Hedgerow Data'!$B$1:$AH$15,33,FALSE))</f>
        <v/>
      </c>
      <c r="N58" s="376" t="str">
        <f t="shared" si="2"/>
        <v/>
      </c>
      <c r="O58" s="32"/>
      <c r="P58" s="122"/>
      <c r="Q58" s="165"/>
      <c r="R58" s="393" t="str">
        <f t="shared" si="3"/>
        <v/>
      </c>
      <c r="S58" s="393" t="str">
        <f t="shared" si="4"/>
        <v/>
      </c>
      <c r="T58" s="393" t="str">
        <f t="shared" si="5"/>
        <v/>
      </c>
      <c r="U58" s="415" t="str">
        <f t="shared" si="6"/>
        <v/>
      </c>
      <c r="V58" s="119"/>
      <c r="W58" s="120"/>
      <c r="X58" s="120"/>
      <c r="AE58" s="124" t="str">
        <f t="shared" si="0"/>
        <v/>
      </c>
      <c r="AF58" s="124" t="str">
        <f t="shared" si="1"/>
        <v/>
      </c>
      <c r="AH58" s="124">
        <v>49</v>
      </c>
      <c r="AJ58" s="124" t="str">
        <f t="array" ref="AJ58">IFERROR(INDEX($AH$10:$AH$258, MATCH(0, IF(TRUE=$AE$10:$AE$258, COUNTIF($AJ$9:$AJ57, $AH$10:$AH$258), ""), 0)),"")</f>
        <v/>
      </c>
      <c r="AK58" s="124" t="str">
        <f t="array" ref="AK58">IFERROR(INDEX($AH$10:$AH$258, MATCH(0, IF(TRUE=$AF$10:$AF$258, COUNTIF($AK$9:$AK57, $AH$10:$AH$258), ""), 0)),"")</f>
        <v/>
      </c>
      <c r="AL58" s="30" t="str">
        <f>IFERROR(INDEX('G-6 Hedgerow Data'!$BJ$3:$BJ$15,MATCH(D58,'G-6 Hedgerow Data'!$B$3:$B$15,0)),"")</f>
        <v/>
      </c>
    </row>
    <row r="59" spans="2:38">
      <c r="B59" s="110">
        <v>50</v>
      </c>
      <c r="C59" s="165"/>
      <c r="D59" s="165"/>
      <c r="E59" s="121"/>
      <c r="F59" s="411" t="str">
        <f>IF(D59="","",VLOOKUP(D59,'G-6 Hedgerow Data'!$B$2:$AG$15,2,FALSE))</f>
        <v/>
      </c>
      <c r="G59" s="363" t="str">
        <f>IF(D59="","",VLOOKUP(D59,'G-6 Hedgerow Data'!$B$2:$AG$15,3,FALSE))</f>
        <v/>
      </c>
      <c r="H59" s="114"/>
      <c r="I59" s="363" t="str">
        <f>IFERROR(VLOOKUP(H59,'G-1 All Habitats'!$Z$2:$AA$9,2,FALSE),"")</f>
        <v/>
      </c>
      <c r="J59" s="114"/>
      <c r="K59" s="370" t="str">
        <f>IF(J59="","",IF(VLOOKUP(J59,'G-3 Multipliers'!$L$3:$N$6,2,FALSE)=0,"Spatial Data Missing",VLOOKUP(J59,'G-3 Multipliers'!$L$3:$N$6,2,FALSE)))</f>
        <v/>
      </c>
      <c r="L59" s="368" t="str">
        <f>IF(J59="","",IF(VLOOKUP(J59,'G-3 Multipliers'!$L$3:$N$6,3,FALSE)=0,"Spatial Data Missing ⚠",VLOOKUP(J59,'G-3 Multipliers'!$L$3:$N$6,3,FALSE)))</f>
        <v/>
      </c>
      <c r="M59" s="369" t="str">
        <f>IF(D59="","",VLOOKUP(D59,'G-6 Hedgerow Data'!$B$1:$AH$15,33,FALSE))</f>
        <v/>
      </c>
      <c r="N59" s="376" t="str">
        <f t="shared" si="2"/>
        <v/>
      </c>
      <c r="O59" s="32"/>
      <c r="P59" s="122"/>
      <c r="Q59" s="165"/>
      <c r="R59" s="393" t="str">
        <f t="shared" si="3"/>
        <v/>
      </c>
      <c r="S59" s="393" t="str">
        <f t="shared" si="4"/>
        <v/>
      </c>
      <c r="T59" s="393" t="str">
        <f t="shared" si="5"/>
        <v/>
      </c>
      <c r="U59" s="415" t="str">
        <f t="shared" si="6"/>
        <v/>
      </c>
      <c r="V59" s="119"/>
      <c r="W59" s="120"/>
      <c r="X59" s="120"/>
      <c r="AE59" s="124" t="str">
        <f t="shared" si="0"/>
        <v/>
      </c>
      <c r="AF59" s="124" t="str">
        <f t="shared" si="1"/>
        <v/>
      </c>
      <c r="AH59" s="124">
        <v>50</v>
      </c>
      <c r="AJ59" s="124" t="str">
        <f t="array" ref="AJ59">IFERROR(INDEX($AH$10:$AH$258, MATCH(0, IF(TRUE=$AE$10:$AE$258, COUNTIF($AJ$9:$AJ58, $AH$10:$AH$258), ""), 0)),"")</f>
        <v/>
      </c>
      <c r="AK59" s="124" t="str">
        <f t="array" ref="AK59">IFERROR(INDEX($AH$10:$AH$258, MATCH(0, IF(TRUE=$AF$10:$AF$258, COUNTIF($AK$9:$AK58, $AH$10:$AH$258), ""), 0)),"")</f>
        <v/>
      </c>
      <c r="AL59" s="30" t="str">
        <f>IFERROR(INDEX('G-6 Hedgerow Data'!$BJ$3:$BJ$15,MATCH(D59,'G-6 Hedgerow Data'!$B$3:$B$15,0)),"")</f>
        <v/>
      </c>
    </row>
    <row r="60" spans="2:38">
      <c r="B60" s="110">
        <v>51</v>
      </c>
      <c r="C60" s="165"/>
      <c r="D60" s="165"/>
      <c r="E60" s="121"/>
      <c r="F60" s="411" t="str">
        <f>IF(D60="","",VLOOKUP(D60,'G-6 Hedgerow Data'!$B$2:$AG$15,2,FALSE))</f>
        <v/>
      </c>
      <c r="G60" s="363" t="str">
        <f>IF(D60="","",VLOOKUP(D60,'G-6 Hedgerow Data'!$B$2:$AG$15,3,FALSE))</f>
        <v/>
      </c>
      <c r="H60" s="114"/>
      <c r="I60" s="363" t="str">
        <f>IFERROR(VLOOKUP(H60,'G-1 All Habitats'!$Z$2:$AA$9,2,FALSE),"")</f>
        <v/>
      </c>
      <c r="J60" s="114"/>
      <c r="K60" s="370" t="str">
        <f>IF(J60="","",IF(VLOOKUP(J60,'G-3 Multipliers'!$L$3:$N$6,2,FALSE)=0,"Spatial Data Missing",VLOOKUP(J60,'G-3 Multipliers'!$L$3:$N$6,2,FALSE)))</f>
        <v/>
      </c>
      <c r="L60" s="368" t="str">
        <f>IF(J60="","",IF(VLOOKUP(J60,'G-3 Multipliers'!$L$3:$N$6,3,FALSE)=0,"Spatial Data Missing ⚠",VLOOKUP(J60,'G-3 Multipliers'!$L$3:$N$6,3,FALSE)))</f>
        <v/>
      </c>
      <c r="M60" s="369" t="str">
        <f>IF(D60="","",VLOOKUP(D60,'G-6 Hedgerow Data'!$B$1:$AH$15,33,FALSE))</f>
        <v/>
      </c>
      <c r="N60" s="376" t="str">
        <f t="shared" si="2"/>
        <v/>
      </c>
      <c r="O60" s="32"/>
      <c r="P60" s="122"/>
      <c r="Q60" s="165"/>
      <c r="R60" s="393" t="str">
        <f t="shared" si="3"/>
        <v/>
      </c>
      <c r="S60" s="393" t="str">
        <f t="shared" si="4"/>
        <v/>
      </c>
      <c r="T60" s="393" t="str">
        <f t="shared" si="5"/>
        <v/>
      </c>
      <c r="U60" s="415" t="str">
        <f t="shared" si="6"/>
        <v/>
      </c>
      <c r="V60" s="119"/>
      <c r="W60" s="120"/>
      <c r="X60" s="120"/>
      <c r="AE60" s="124" t="str">
        <f t="shared" si="0"/>
        <v/>
      </c>
      <c r="AF60" s="124" t="str">
        <f t="shared" si="1"/>
        <v/>
      </c>
      <c r="AH60" s="124">
        <v>51</v>
      </c>
      <c r="AJ60" s="124" t="str">
        <f t="array" ref="AJ60">IFERROR(INDEX($AH$10:$AH$258, MATCH(0, IF(TRUE=$AE$10:$AE$258, COUNTIF($AJ$9:$AJ59, $AH$10:$AH$258), ""), 0)),"")</f>
        <v/>
      </c>
      <c r="AK60" s="124" t="str">
        <f t="array" ref="AK60">IFERROR(INDEX($AH$10:$AH$258, MATCH(0, IF(TRUE=$AF$10:$AF$258, COUNTIF($AK$9:$AK59, $AH$10:$AH$258), ""), 0)),"")</f>
        <v/>
      </c>
      <c r="AL60" s="30" t="str">
        <f>IFERROR(INDEX('G-6 Hedgerow Data'!$BJ$3:$BJ$15,MATCH(D60,'G-6 Hedgerow Data'!$B$3:$B$15,0)),"")</f>
        <v/>
      </c>
    </row>
    <row r="61" spans="2:38">
      <c r="B61" s="110">
        <v>52</v>
      </c>
      <c r="C61" s="165"/>
      <c r="D61" s="165"/>
      <c r="E61" s="121"/>
      <c r="F61" s="411" t="str">
        <f>IF(D61="","",VLOOKUP(D61,'G-6 Hedgerow Data'!$B$2:$AG$15,2,FALSE))</f>
        <v/>
      </c>
      <c r="G61" s="363" t="str">
        <f>IF(D61="","",VLOOKUP(D61,'G-6 Hedgerow Data'!$B$2:$AG$15,3,FALSE))</f>
        <v/>
      </c>
      <c r="H61" s="114"/>
      <c r="I61" s="363" t="str">
        <f>IFERROR(VLOOKUP(H61,'G-1 All Habitats'!$Z$2:$AA$9,2,FALSE),"")</f>
        <v/>
      </c>
      <c r="J61" s="114"/>
      <c r="K61" s="370" t="str">
        <f>IF(J61="","",IF(VLOOKUP(J61,'G-3 Multipliers'!$L$3:$N$6,2,FALSE)=0,"Spatial Data Missing",VLOOKUP(J61,'G-3 Multipliers'!$L$3:$N$6,2,FALSE)))</f>
        <v/>
      </c>
      <c r="L61" s="368" t="str">
        <f>IF(J61="","",IF(VLOOKUP(J61,'G-3 Multipliers'!$L$3:$N$6,3,FALSE)=0,"Spatial Data Missing ⚠",VLOOKUP(J61,'G-3 Multipliers'!$L$3:$N$6,3,FALSE)))</f>
        <v/>
      </c>
      <c r="M61" s="369" t="str">
        <f>IF(D61="","",VLOOKUP(D61,'G-6 Hedgerow Data'!$B$1:$AH$15,33,FALSE))</f>
        <v/>
      </c>
      <c r="N61" s="376" t="str">
        <f t="shared" si="2"/>
        <v/>
      </c>
      <c r="O61" s="32"/>
      <c r="P61" s="122"/>
      <c r="Q61" s="165"/>
      <c r="R61" s="393" t="str">
        <f t="shared" si="3"/>
        <v/>
      </c>
      <c r="S61" s="393" t="str">
        <f t="shared" si="4"/>
        <v/>
      </c>
      <c r="T61" s="393" t="str">
        <f t="shared" si="5"/>
        <v/>
      </c>
      <c r="U61" s="415" t="str">
        <f t="shared" si="6"/>
        <v/>
      </c>
      <c r="V61" s="119"/>
      <c r="W61" s="120"/>
      <c r="X61" s="120"/>
      <c r="AE61" s="124" t="str">
        <f t="shared" si="0"/>
        <v/>
      </c>
      <c r="AF61" s="124" t="str">
        <f t="shared" si="1"/>
        <v/>
      </c>
      <c r="AH61" s="124">
        <v>52</v>
      </c>
      <c r="AJ61" s="124" t="str">
        <f t="array" ref="AJ61">IFERROR(INDEX($AH$10:$AH$258, MATCH(0, IF(TRUE=$AE$10:$AE$258, COUNTIF($AJ$9:$AJ60, $AH$10:$AH$258), ""), 0)),"")</f>
        <v/>
      </c>
      <c r="AK61" s="124" t="str">
        <f t="array" ref="AK61">IFERROR(INDEX($AH$10:$AH$258, MATCH(0, IF(TRUE=$AF$10:$AF$258, COUNTIF($AK$9:$AK60, $AH$10:$AH$258), ""), 0)),"")</f>
        <v/>
      </c>
      <c r="AL61" s="30" t="str">
        <f>IFERROR(INDEX('G-6 Hedgerow Data'!$BJ$3:$BJ$15,MATCH(D61,'G-6 Hedgerow Data'!$B$3:$B$15,0)),"")</f>
        <v/>
      </c>
    </row>
    <row r="62" spans="2:38">
      <c r="B62" s="110">
        <v>53</v>
      </c>
      <c r="C62" s="165"/>
      <c r="D62" s="165"/>
      <c r="E62" s="121"/>
      <c r="F62" s="411" t="str">
        <f>IF(D62="","",VLOOKUP(D62,'G-6 Hedgerow Data'!$B$2:$AG$15,2,FALSE))</f>
        <v/>
      </c>
      <c r="G62" s="363" t="str">
        <f>IF(D62="","",VLOOKUP(D62,'G-6 Hedgerow Data'!$B$2:$AG$15,3,FALSE))</f>
        <v/>
      </c>
      <c r="H62" s="114"/>
      <c r="I62" s="363" t="str">
        <f>IFERROR(VLOOKUP(H62,'G-1 All Habitats'!$Z$2:$AA$9,2,FALSE),"")</f>
        <v/>
      </c>
      <c r="J62" s="114"/>
      <c r="K62" s="370" t="str">
        <f>IF(J62="","",IF(VLOOKUP(J62,'G-3 Multipliers'!$L$3:$N$6,2,FALSE)=0,"Spatial Data Missing",VLOOKUP(J62,'G-3 Multipliers'!$L$3:$N$6,2,FALSE)))</f>
        <v/>
      </c>
      <c r="L62" s="368" t="str">
        <f>IF(J62="","",IF(VLOOKUP(J62,'G-3 Multipliers'!$L$3:$N$6,3,FALSE)=0,"Spatial Data Missing ⚠",VLOOKUP(J62,'G-3 Multipliers'!$L$3:$N$6,3,FALSE)))</f>
        <v/>
      </c>
      <c r="M62" s="369" t="str">
        <f>IF(D62="","",VLOOKUP(D62,'G-6 Hedgerow Data'!$B$1:$AH$15,33,FALSE))</f>
        <v/>
      </c>
      <c r="N62" s="376" t="str">
        <f t="shared" si="2"/>
        <v/>
      </c>
      <c r="O62" s="32"/>
      <c r="P62" s="122"/>
      <c r="Q62" s="165"/>
      <c r="R62" s="393" t="str">
        <f t="shared" si="3"/>
        <v/>
      </c>
      <c r="S62" s="393" t="str">
        <f t="shared" si="4"/>
        <v/>
      </c>
      <c r="T62" s="393" t="str">
        <f t="shared" si="5"/>
        <v/>
      </c>
      <c r="U62" s="415" t="str">
        <f t="shared" si="6"/>
        <v/>
      </c>
      <c r="V62" s="119"/>
      <c r="W62" s="120"/>
      <c r="X62" s="120"/>
      <c r="AE62" s="124" t="str">
        <f t="shared" si="0"/>
        <v/>
      </c>
      <c r="AF62" s="124" t="str">
        <f t="shared" si="1"/>
        <v/>
      </c>
      <c r="AH62" s="124">
        <v>53</v>
      </c>
      <c r="AJ62" s="124" t="str">
        <f t="array" ref="AJ62">IFERROR(INDEX($AH$10:$AH$258, MATCH(0, IF(TRUE=$AE$10:$AE$258, COUNTIF($AJ$9:$AJ61, $AH$10:$AH$258), ""), 0)),"")</f>
        <v/>
      </c>
      <c r="AK62" s="124" t="str">
        <f t="array" ref="AK62">IFERROR(INDEX($AH$10:$AH$258, MATCH(0, IF(TRUE=$AF$10:$AF$258, COUNTIF($AK$9:$AK61, $AH$10:$AH$258), ""), 0)),"")</f>
        <v/>
      </c>
      <c r="AL62" s="30" t="str">
        <f>IFERROR(INDEX('G-6 Hedgerow Data'!$BJ$3:$BJ$15,MATCH(D62,'G-6 Hedgerow Data'!$B$3:$B$15,0)),"")</f>
        <v/>
      </c>
    </row>
    <row r="63" spans="2:38">
      <c r="B63" s="110">
        <v>54</v>
      </c>
      <c r="C63" s="165"/>
      <c r="D63" s="165"/>
      <c r="E63" s="121"/>
      <c r="F63" s="411" t="str">
        <f>IF(D63="","",VLOOKUP(D63,'G-6 Hedgerow Data'!$B$2:$AG$15,2,FALSE))</f>
        <v/>
      </c>
      <c r="G63" s="363" t="str">
        <f>IF(D63="","",VLOOKUP(D63,'G-6 Hedgerow Data'!$B$2:$AG$15,3,FALSE))</f>
        <v/>
      </c>
      <c r="H63" s="114"/>
      <c r="I63" s="363" t="str">
        <f>IFERROR(VLOOKUP(H63,'G-1 All Habitats'!$Z$2:$AA$9,2,FALSE),"")</f>
        <v/>
      </c>
      <c r="J63" s="114"/>
      <c r="K63" s="370" t="str">
        <f>IF(J63="","",IF(VLOOKUP(J63,'G-3 Multipliers'!$L$3:$N$6,2,FALSE)=0,"Spatial Data Missing",VLOOKUP(J63,'G-3 Multipliers'!$L$3:$N$6,2,FALSE)))</f>
        <v/>
      </c>
      <c r="L63" s="368" t="str">
        <f>IF(J63="","",IF(VLOOKUP(J63,'G-3 Multipliers'!$L$3:$N$6,3,FALSE)=0,"Spatial Data Missing ⚠",VLOOKUP(J63,'G-3 Multipliers'!$L$3:$N$6,3,FALSE)))</f>
        <v/>
      </c>
      <c r="M63" s="369" t="str">
        <f>IF(D63="","",VLOOKUP(D63,'G-6 Hedgerow Data'!$B$1:$AH$15,33,FALSE))</f>
        <v/>
      </c>
      <c r="N63" s="376" t="str">
        <f t="shared" si="2"/>
        <v/>
      </c>
      <c r="O63" s="32"/>
      <c r="P63" s="122"/>
      <c r="Q63" s="165"/>
      <c r="R63" s="393" t="str">
        <f t="shared" si="3"/>
        <v/>
      </c>
      <c r="S63" s="393" t="str">
        <f t="shared" si="4"/>
        <v/>
      </c>
      <c r="T63" s="393" t="str">
        <f t="shared" si="5"/>
        <v/>
      </c>
      <c r="U63" s="415" t="str">
        <f t="shared" si="6"/>
        <v/>
      </c>
      <c r="V63" s="119"/>
      <c r="W63" s="120"/>
      <c r="X63" s="120"/>
      <c r="AE63" s="124" t="str">
        <f t="shared" si="0"/>
        <v/>
      </c>
      <c r="AF63" s="124" t="str">
        <f t="shared" si="1"/>
        <v/>
      </c>
      <c r="AH63" s="124">
        <v>54</v>
      </c>
      <c r="AJ63" s="124" t="str">
        <f t="array" ref="AJ63">IFERROR(INDEX($AH$10:$AH$258, MATCH(0, IF(TRUE=$AE$10:$AE$258, COUNTIF($AJ$9:$AJ62, $AH$10:$AH$258), ""), 0)),"")</f>
        <v/>
      </c>
      <c r="AK63" s="124" t="str">
        <f t="array" ref="AK63">IFERROR(INDEX($AH$10:$AH$258, MATCH(0, IF(TRUE=$AF$10:$AF$258, COUNTIF($AK$9:$AK62, $AH$10:$AH$258), ""), 0)),"")</f>
        <v/>
      </c>
      <c r="AL63" s="30" t="str">
        <f>IFERROR(INDEX('G-6 Hedgerow Data'!$BJ$3:$BJ$15,MATCH(D63,'G-6 Hedgerow Data'!$B$3:$B$15,0)),"")</f>
        <v/>
      </c>
    </row>
    <row r="64" spans="2:38">
      <c r="B64" s="110">
        <v>55</v>
      </c>
      <c r="C64" s="165"/>
      <c r="D64" s="165"/>
      <c r="E64" s="121"/>
      <c r="F64" s="411" t="str">
        <f>IF(D64="","",VLOOKUP(D64,'G-6 Hedgerow Data'!$B$2:$AG$15,2,FALSE))</f>
        <v/>
      </c>
      <c r="G64" s="363" t="str">
        <f>IF(D64="","",VLOOKUP(D64,'G-6 Hedgerow Data'!$B$2:$AG$15,3,FALSE))</f>
        <v/>
      </c>
      <c r="H64" s="114"/>
      <c r="I64" s="363" t="str">
        <f>IFERROR(VLOOKUP(H64,'G-1 All Habitats'!$Z$2:$AA$9,2,FALSE),"")</f>
        <v/>
      </c>
      <c r="J64" s="114"/>
      <c r="K64" s="370" t="str">
        <f>IF(J64="","",IF(VLOOKUP(J64,'G-3 Multipliers'!$L$3:$N$6,2,FALSE)=0,"Spatial Data Missing",VLOOKUP(J64,'G-3 Multipliers'!$L$3:$N$6,2,FALSE)))</f>
        <v/>
      </c>
      <c r="L64" s="368" t="str">
        <f>IF(J64="","",IF(VLOOKUP(J64,'G-3 Multipliers'!$L$3:$N$6,3,FALSE)=0,"Spatial Data Missing ⚠",VLOOKUP(J64,'G-3 Multipliers'!$L$3:$N$6,3,FALSE)))</f>
        <v/>
      </c>
      <c r="M64" s="369" t="str">
        <f>IF(D64="","",VLOOKUP(D64,'G-6 Hedgerow Data'!$B$1:$AH$15,33,FALSE))</f>
        <v/>
      </c>
      <c r="N64" s="376" t="str">
        <f t="shared" si="2"/>
        <v/>
      </c>
      <c r="O64" s="32"/>
      <c r="P64" s="122"/>
      <c r="Q64" s="165"/>
      <c r="R64" s="393" t="str">
        <f t="shared" si="3"/>
        <v/>
      </c>
      <c r="S64" s="393" t="str">
        <f t="shared" si="4"/>
        <v/>
      </c>
      <c r="T64" s="393" t="str">
        <f t="shared" si="5"/>
        <v/>
      </c>
      <c r="U64" s="415" t="str">
        <f t="shared" si="6"/>
        <v/>
      </c>
      <c r="V64" s="119"/>
      <c r="W64" s="120"/>
      <c r="X64" s="120"/>
      <c r="AE64" s="124" t="str">
        <f t="shared" si="0"/>
        <v/>
      </c>
      <c r="AF64" s="124" t="str">
        <f t="shared" si="1"/>
        <v/>
      </c>
      <c r="AH64" s="124">
        <v>55</v>
      </c>
      <c r="AJ64" s="124" t="str">
        <f t="array" ref="AJ64">IFERROR(INDEX($AH$10:$AH$258, MATCH(0, IF(TRUE=$AE$10:$AE$258, COUNTIF($AJ$9:$AJ63, $AH$10:$AH$258), ""), 0)),"")</f>
        <v/>
      </c>
      <c r="AK64" s="124" t="str">
        <f t="array" ref="AK64">IFERROR(INDEX($AH$10:$AH$258, MATCH(0, IF(TRUE=$AF$10:$AF$258, COUNTIF($AK$9:$AK63, $AH$10:$AH$258), ""), 0)),"")</f>
        <v/>
      </c>
      <c r="AL64" s="30" t="str">
        <f>IFERROR(INDEX('G-6 Hedgerow Data'!$BJ$3:$BJ$15,MATCH(D64,'G-6 Hedgerow Data'!$B$3:$B$15,0)),"")</f>
        <v/>
      </c>
    </row>
    <row r="65" spans="2:38">
      <c r="B65" s="110">
        <v>56</v>
      </c>
      <c r="C65" s="165"/>
      <c r="D65" s="165"/>
      <c r="E65" s="121"/>
      <c r="F65" s="411" t="str">
        <f>IF(D65="","",VLOOKUP(D65,'G-6 Hedgerow Data'!$B$2:$AG$15,2,FALSE))</f>
        <v/>
      </c>
      <c r="G65" s="363" t="str">
        <f>IF(D65="","",VLOOKUP(D65,'G-6 Hedgerow Data'!$B$2:$AG$15,3,FALSE))</f>
        <v/>
      </c>
      <c r="H65" s="114"/>
      <c r="I65" s="363" t="str">
        <f>IFERROR(VLOOKUP(H65,'G-1 All Habitats'!$Z$2:$AA$9,2,FALSE),"")</f>
        <v/>
      </c>
      <c r="J65" s="114"/>
      <c r="K65" s="370" t="str">
        <f>IF(J65="","",IF(VLOOKUP(J65,'G-3 Multipliers'!$L$3:$N$6,2,FALSE)=0,"Spatial Data Missing",VLOOKUP(J65,'G-3 Multipliers'!$L$3:$N$6,2,FALSE)))</f>
        <v/>
      </c>
      <c r="L65" s="368" t="str">
        <f>IF(J65="","",IF(VLOOKUP(J65,'G-3 Multipliers'!$L$3:$N$6,3,FALSE)=0,"Spatial Data Missing ⚠",VLOOKUP(J65,'G-3 Multipliers'!$L$3:$N$6,3,FALSE)))</f>
        <v/>
      </c>
      <c r="M65" s="369" t="str">
        <f>IF(D65="","",VLOOKUP(D65,'G-6 Hedgerow Data'!$B$1:$AH$15,33,FALSE))</f>
        <v/>
      </c>
      <c r="N65" s="376" t="str">
        <f t="shared" si="2"/>
        <v/>
      </c>
      <c r="O65" s="32"/>
      <c r="P65" s="122"/>
      <c r="Q65" s="165"/>
      <c r="R65" s="393" t="str">
        <f t="shared" si="3"/>
        <v/>
      </c>
      <c r="S65" s="393" t="str">
        <f t="shared" si="4"/>
        <v/>
      </c>
      <c r="T65" s="393" t="str">
        <f t="shared" si="5"/>
        <v/>
      </c>
      <c r="U65" s="415" t="str">
        <f t="shared" si="6"/>
        <v/>
      </c>
      <c r="V65" s="119"/>
      <c r="W65" s="120"/>
      <c r="X65" s="120"/>
      <c r="AE65" s="124" t="str">
        <f t="shared" si="0"/>
        <v/>
      </c>
      <c r="AF65" s="124" t="str">
        <f t="shared" si="1"/>
        <v/>
      </c>
      <c r="AH65" s="124">
        <v>56</v>
      </c>
      <c r="AJ65" s="124" t="str">
        <f t="array" ref="AJ65">IFERROR(INDEX($AH$10:$AH$258, MATCH(0, IF(TRUE=$AE$10:$AE$258, COUNTIF($AJ$9:$AJ64, $AH$10:$AH$258), ""), 0)),"")</f>
        <v/>
      </c>
      <c r="AK65" s="124" t="str">
        <f t="array" ref="AK65">IFERROR(INDEX($AH$10:$AH$258, MATCH(0, IF(TRUE=$AF$10:$AF$258, COUNTIF($AK$9:$AK64, $AH$10:$AH$258), ""), 0)),"")</f>
        <v/>
      </c>
      <c r="AL65" s="30" t="str">
        <f>IFERROR(INDEX('G-6 Hedgerow Data'!$BJ$3:$BJ$15,MATCH(D65,'G-6 Hedgerow Data'!$B$3:$B$15,0)),"")</f>
        <v/>
      </c>
    </row>
    <row r="66" spans="2:38">
      <c r="B66" s="110">
        <v>57</v>
      </c>
      <c r="C66" s="165"/>
      <c r="D66" s="165"/>
      <c r="E66" s="121"/>
      <c r="F66" s="411" t="str">
        <f>IF(D66="","",VLOOKUP(D66,'G-6 Hedgerow Data'!$B$2:$AG$15,2,FALSE))</f>
        <v/>
      </c>
      <c r="G66" s="363" t="str">
        <f>IF(D66="","",VLOOKUP(D66,'G-6 Hedgerow Data'!$B$2:$AG$15,3,FALSE))</f>
        <v/>
      </c>
      <c r="H66" s="114"/>
      <c r="I66" s="363" t="str">
        <f>IFERROR(VLOOKUP(H66,'G-1 All Habitats'!$Z$2:$AA$9,2,FALSE),"")</f>
        <v/>
      </c>
      <c r="J66" s="114"/>
      <c r="K66" s="370" t="str">
        <f>IF(J66="","",IF(VLOOKUP(J66,'G-3 Multipliers'!$L$3:$N$6,2,FALSE)=0,"Spatial Data Missing",VLOOKUP(J66,'G-3 Multipliers'!$L$3:$N$6,2,FALSE)))</f>
        <v/>
      </c>
      <c r="L66" s="368" t="str">
        <f>IF(J66="","",IF(VLOOKUP(J66,'G-3 Multipliers'!$L$3:$N$6,3,FALSE)=0,"Spatial Data Missing ⚠",VLOOKUP(J66,'G-3 Multipliers'!$L$3:$N$6,3,FALSE)))</f>
        <v/>
      </c>
      <c r="M66" s="369" t="str">
        <f>IF(D66="","",VLOOKUP(D66,'G-6 Hedgerow Data'!$B$1:$AH$15,33,FALSE))</f>
        <v/>
      </c>
      <c r="N66" s="376" t="str">
        <f t="shared" si="2"/>
        <v/>
      </c>
      <c r="O66" s="32"/>
      <c r="P66" s="122"/>
      <c r="Q66" s="165"/>
      <c r="R66" s="393" t="str">
        <f t="shared" si="3"/>
        <v/>
      </c>
      <c r="S66" s="393" t="str">
        <f t="shared" si="4"/>
        <v/>
      </c>
      <c r="T66" s="393" t="str">
        <f t="shared" si="5"/>
        <v/>
      </c>
      <c r="U66" s="415" t="str">
        <f t="shared" si="6"/>
        <v/>
      </c>
      <c r="V66" s="119"/>
      <c r="W66" s="120"/>
      <c r="X66" s="120"/>
      <c r="AE66" s="124" t="str">
        <f t="shared" si="0"/>
        <v/>
      </c>
      <c r="AF66" s="124" t="str">
        <f t="shared" si="1"/>
        <v/>
      </c>
      <c r="AH66" s="124">
        <v>57</v>
      </c>
      <c r="AJ66" s="124" t="str">
        <f t="array" ref="AJ66">IFERROR(INDEX($AH$10:$AH$258, MATCH(0, IF(TRUE=$AE$10:$AE$258, COUNTIF($AJ$9:$AJ65, $AH$10:$AH$258), ""), 0)),"")</f>
        <v/>
      </c>
      <c r="AK66" s="124" t="str">
        <f t="array" ref="AK66">IFERROR(INDEX($AH$10:$AH$258, MATCH(0, IF(TRUE=$AF$10:$AF$258, COUNTIF($AK$9:$AK65, $AH$10:$AH$258), ""), 0)),"")</f>
        <v/>
      </c>
      <c r="AL66" s="30" t="str">
        <f>IFERROR(INDEX('G-6 Hedgerow Data'!$BJ$3:$BJ$15,MATCH(D66,'G-6 Hedgerow Data'!$B$3:$B$15,0)),"")</f>
        <v/>
      </c>
    </row>
    <row r="67" spans="2:38">
      <c r="B67" s="110">
        <v>58</v>
      </c>
      <c r="C67" s="165"/>
      <c r="D67" s="165"/>
      <c r="E67" s="121"/>
      <c r="F67" s="411" t="str">
        <f>IF(D67="","",VLOOKUP(D67,'G-6 Hedgerow Data'!$B$2:$AG$15,2,FALSE))</f>
        <v/>
      </c>
      <c r="G67" s="363" t="str">
        <f>IF(D67="","",VLOOKUP(D67,'G-6 Hedgerow Data'!$B$2:$AG$15,3,FALSE))</f>
        <v/>
      </c>
      <c r="H67" s="114"/>
      <c r="I67" s="363" t="str">
        <f>IFERROR(VLOOKUP(H67,'G-1 All Habitats'!$Z$2:$AA$9,2,FALSE),"")</f>
        <v/>
      </c>
      <c r="J67" s="114"/>
      <c r="K67" s="370" t="str">
        <f>IF(J67="","",IF(VLOOKUP(J67,'G-3 Multipliers'!$L$3:$N$6,2,FALSE)=0,"Spatial Data Missing",VLOOKUP(J67,'G-3 Multipliers'!$L$3:$N$6,2,FALSE)))</f>
        <v/>
      </c>
      <c r="L67" s="368" t="str">
        <f>IF(J67="","",IF(VLOOKUP(J67,'G-3 Multipliers'!$L$3:$N$6,3,FALSE)=0,"Spatial Data Missing ⚠",VLOOKUP(J67,'G-3 Multipliers'!$L$3:$N$6,3,FALSE)))</f>
        <v/>
      </c>
      <c r="M67" s="369" t="str">
        <f>IF(D67="","",VLOOKUP(D67,'G-6 Hedgerow Data'!$B$1:$AH$15,33,FALSE))</f>
        <v/>
      </c>
      <c r="N67" s="376" t="str">
        <f t="shared" si="2"/>
        <v/>
      </c>
      <c r="O67" s="32"/>
      <c r="P67" s="122"/>
      <c r="Q67" s="165"/>
      <c r="R67" s="393" t="str">
        <f t="shared" si="3"/>
        <v/>
      </c>
      <c r="S67" s="393" t="str">
        <f t="shared" si="4"/>
        <v/>
      </c>
      <c r="T67" s="393" t="str">
        <f t="shared" si="5"/>
        <v/>
      </c>
      <c r="U67" s="415" t="str">
        <f t="shared" si="6"/>
        <v/>
      </c>
      <c r="V67" s="119"/>
      <c r="W67" s="120"/>
      <c r="X67" s="120"/>
      <c r="AE67" s="124" t="str">
        <f t="shared" si="0"/>
        <v/>
      </c>
      <c r="AF67" s="124" t="str">
        <f t="shared" si="1"/>
        <v/>
      </c>
      <c r="AH67" s="124">
        <v>58</v>
      </c>
      <c r="AJ67" s="124" t="str">
        <f t="array" ref="AJ67">IFERROR(INDEX($AH$10:$AH$258, MATCH(0, IF(TRUE=$AE$10:$AE$258, COUNTIF($AJ$9:$AJ66, $AH$10:$AH$258), ""), 0)),"")</f>
        <v/>
      </c>
      <c r="AK67" s="124" t="str">
        <f t="array" ref="AK67">IFERROR(INDEX($AH$10:$AH$258, MATCH(0, IF(TRUE=$AF$10:$AF$258, COUNTIF($AK$9:$AK66, $AH$10:$AH$258), ""), 0)),"")</f>
        <v/>
      </c>
      <c r="AL67" s="30" t="str">
        <f>IFERROR(INDEX('G-6 Hedgerow Data'!$BJ$3:$BJ$15,MATCH(D67,'G-6 Hedgerow Data'!$B$3:$B$15,0)),"")</f>
        <v/>
      </c>
    </row>
    <row r="68" spans="2:38">
      <c r="B68" s="110">
        <v>59</v>
      </c>
      <c r="C68" s="165"/>
      <c r="D68" s="165"/>
      <c r="E68" s="121"/>
      <c r="F68" s="411" t="str">
        <f>IF(D68="","",VLOOKUP(D68,'G-6 Hedgerow Data'!$B$2:$AG$15,2,FALSE))</f>
        <v/>
      </c>
      <c r="G68" s="363" t="str">
        <f>IF(D68="","",VLOOKUP(D68,'G-6 Hedgerow Data'!$B$2:$AG$15,3,FALSE))</f>
        <v/>
      </c>
      <c r="H68" s="114"/>
      <c r="I68" s="363" t="str">
        <f>IFERROR(VLOOKUP(H68,'G-1 All Habitats'!$Z$2:$AA$9,2,FALSE),"")</f>
        <v/>
      </c>
      <c r="J68" s="114"/>
      <c r="K68" s="370" t="str">
        <f>IF(J68="","",IF(VLOOKUP(J68,'G-3 Multipliers'!$L$3:$N$6,2,FALSE)=0,"Spatial Data Missing",VLOOKUP(J68,'G-3 Multipliers'!$L$3:$N$6,2,FALSE)))</f>
        <v/>
      </c>
      <c r="L68" s="368" t="str">
        <f>IF(J68="","",IF(VLOOKUP(J68,'G-3 Multipliers'!$L$3:$N$6,3,FALSE)=0,"Spatial Data Missing ⚠",VLOOKUP(J68,'G-3 Multipliers'!$L$3:$N$6,3,FALSE)))</f>
        <v/>
      </c>
      <c r="M68" s="369" t="str">
        <f>IF(D68="","",VLOOKUP(D68,'G-6 Hedgerow Data'!$B$1:$AH$15,33,FALSE))</f>
        <v/>
      </c>
      <c r="N68" s="376" t="str">
        <f t="shared" si="2"/>
        <v/>
      </c>
      <c r="O68" s="32"/>
      <c r="P68" s="122"/>
      <c r="Q68" s="165"/>
      <c r="R68" s="393" t="str">
        <f t="shared" si="3"/>
        <v/>
      </c>
      <c r="S68" s="393" t="str">
        <f t="shared" si="4"/>
        <v/>
      </c>
      <c r="T68" s="393" t="str">
        <f t="shared" si="5"/>
        <v/>
      </c>
      <c r="U68" s="415" t="str">
        <f t="shared" si="6"/>
        <v/>
      </c>
      <c r="V68" s="119"/>
      <c r="W68" s="120"/>
      <c r="X68" s="120"/>
      <c r="AE68" s="124" t="str">
        <f t="shared" si="0"/>
        <v/>
      </c>
      <c r="AF68" s="124" t="str">
        <f t="shared" si="1"/>
        <v/>
      </c>
      <c r="AH68" s="124">
        <v>59</v>
      </c>
      <c r="AJ68" s="124" t="str">
        <f t="array" ref="AJ68">IFERROR(INDEX($AH$10:$AH$258, MATCH(0, IF(TRUE=$AE$10:$AE$258, COUNTIF($AJ$9:$AJ67, $AH$10:$AH$258), ""), 0)),"")</f>
        <v/>
      </c>
      <c r="AK68" s="124" t="str">
        <f t="array" ref="AK68">IFERROR(INDEX($AH$10:$AH$258, MATCH(0, IF(TRUE=$AF$10:$AF$258, COUNTIF($AK$9:$AK67, $AH$10:$AH$258), ""), 0)),"")</f>
        <v/>
      </c>
      <c r="AL68" s="30" t="str">
        <f>IFERROR(INDEX('G-6 Hedgerow Data'!$BJ$3:$BJ$15,MATCH(D68,'G-6 Hedgerow Data'!$B$3:$B$15,0)),"")</f>
        <v/>
      </c>
    </row>
    <row r="69" spans="2:38">
      <c r="B69" s="110">
        <v>60</v>
      </c>
      <c r="C69" s="165"/>
      <c r="D69" s="165"/>
      <c r="E69" s="121"/>
      <c r="F69" s="411" t="str">
        <f>IF(D69="","",VLOOKUP(D69,'G-6 Hedgerow Data'!$B$2:$AG$15,2,FALSE))</f>
        <v/>
      </c>
      <c r="G69" s="363" t="str">
        <f>IF(D69="","",VLOOKUP(D69,'G-6 Hedgerow Data'!$B$2:$AG$15,3,FALSE))</f>
        <v/>
      </c>
      <c r="H69" s="114"/>
      <c r="I69" s="363" t="str">
        <f>IFERROR(VLOOKUP(H69,'G-1 All Habitats'!$Z$2:$AA$9,2,FALSE),"")</f>
        <v/>
      </c>
      <c r="J69" s="114"/>
      <c r="K69" s="370" t="str">
        <f>IF(J69="","",IF(VLOOKUP(J69,'G-3 Multipliers'!$L$3:$N$6,2,FALSE)=0,"Spatial Data Missing",VLOOKUP(J69,'G-3 Multipliers'!$L$3:$N$6,2,FALSE)))</f>
        <v/>
      </c>
      <c r="L69" s="368" t="str">
        <f>IF(J69="","",IF(VLOOKUP(J69,'G-3 Multipliers'!$L$3:$N$6,3,FALSE)=0,"Spatial Data Missing ⚠",VLOOKUP(J69,'G-3 Multipliers'!$L$3:$N$6,3,FALSE)))</f>
        <v/>
      </c>
      <c r="M69" s="369" t="str">
        <f>IF(D69="","",VLOOKUP(D69,'G-6 Hedgerow Data'!$B$1:$AH$15,33,FALSE))</f>
        <v/>
      </c>
      <c r="N69" s="376" t="str">
        <f t="shared" si="2"/>
        <v/>
      </c>
      <c r="O69" s="32"/>
      <c r="P69" s="122"/>
      <c r="Q69" s="165"/>
      <c r="R69" s="393" t="str">
        <f t="shared" si="3"/>
        <v/>
      </c>
      <c r="S69" s="393" t="str">
        <f t="shared" si="4"/>
        <v/>
      </c>
      <c r="T69" s="393" t="str">
        <f t="shared" si="5"/>
        <v/>
      </c>
      <c r="U69" s="415" t="str">
        <f t="shared" si="6"/>
        <v/>
      </c>
      <c r="V69" s="119"/>
      <c r="W69" s="120"/>
      <c r="X69" s="120"/>
      <c r="AE69" s="124" t="str">
        <f t="shared" si="0"/>
        <v/>
      </c>
      <c r="AF69" s="124" t="str">
        <f t="shared" si="1"/>
        <v/>
      </c>
      <c r="AH69" s="124">
        <v>60</v>
      </c>
      <c r="AJ69" s="124" t="str">
        <f t="array" ref="AJ69">IFERROR(INDEX($AH$10:$AH$258, MATCH(0, IF(TRUE=$AE$10:$AE$258, COUNTIF($AJ$9:$AJ68, $AH$10:$AH$258), ""), 0)),"")</f>
        <v/>
      </c>
      <c r="AK69" s="124" t="str">
        <f t="array" ref="AK69">IFERROR(INDEX($AH$10:$AH$258, MATCH(0, IF(TRUE=$AF$10:$AF$258, COUNTIF($AK$9:$AK68, $AH$10:$AH$258), ""), 0)),"")</f>
        <v/>
      </c>
      <c r="AL69" s="30" t="str">
        <f>IFERROR(INDEX('G-6 Hedgerow Data'!$BJ$3:$BJ$15,MATCH(D69,'G-6 Hedgerow Data'!$B$3:$B$15,0)),"")</f>
        <v/>
      </c>
    </row>
    <row r="70" spans="2:38">
      <c r="B70" s="110">
        <v>61</v>
      </c>
      <c r="C70" s="165"/>
      <c r="D70" s="165"/>
      <c r="E70" s="121"/>
      <c r="F70" s="411" t="str">
        <f>IF(D70="","",VLOOKUP(D70,'G-6 Hedgerow Data'!$B$2:$AG$15,2,FALSE))</f>
        <v/>
      </c>
      <c r="G70" s="363" t="str">
        <f>IF(D70="","",VLOOKUP(D70,'G-6 Hedgerow Data'!$B$2:$AG$15,3,FALSE))</f>
        <v/>
      </c>
      <c r="H70" s="114"/>
      <c r="I70" s="363" t="str">
        <f>IFERROR(VLOOKUP(H70,'G-1 All Habitats'!$Z$2:$AA$9,2,FALSE),"")</f>
        <v/>
      </c>
      <c r="J70" s="114"/>
      <c r="K70" s="370" t="str">
        <f>IF(J70="","",IF(VLOOKUP(J70,'G-3 Multipliers'!$L$3:$N$6,2,FALSE)=0,"Spatial Data Missing",VLOOKUP(J70,'G-3 Multipliers'!$L$3:$N$6,2,FALSE)))</f>
        <v/>
      </c>
      <c r="L70" s="368" t="str">
        <f>IF(J70="","",IF(VLOOKUP(J70,'G-3 Multipliers'!$L$3:$N$6,3,FALSE)=0,"Spatial Data Missing ⚠",VLOOKUP(J70,'G-3 Multipliers'!$L$3:$N$6,3,FALSE)))</f>
        <v/>
      </c>
      <c r="M70" s="369" t="str">
        <f>IF(D70="","",VLOOKUP(D70,'G-6 Hedgerow Data'!$B$1:$AH$15,33,FALSE))</f>
        <v/>
      </c>
      <c r="N70" s="376" t="str">
        <f t="shared" si="2"/>
        <v/>
      </c>
      <c r="O70" s="32"/>
      <c r="P70" s="122"/>
      <c r="Q70" s="165"/>
      <c r="R70" s="393" t="str">
        <f t="shared" si="3"/>
        <v/>
      </c>
      <c r="S70" s="393" t="str">
        <f t="shared" si="4"/>
        <v/>
      </c>
      <c r="T70" s="393" t="str">
        <f t="shared" si="5"/>
        <v/>
      </c>
      <c r="U70" s="415" t="str">
        <f t="shared" si="6"/>
        <v/>
      </c>
      <c r="V70" s="119"/>
      <c r="W70" s="120"/>
      <c r="X70" s="120"/>
      <c r="AE70" s="124" t="str">
        <f t="shared" si="0"/>
        <v/>
      </c>
      <c r="AF70" s="124" t="str">
        <f t="shared" si="1"/>
        <v/>
      </c>
      <c r="AH70" s="124">
        <v>61</v>
      </c>
      <c r="AJ70" s="124" t="str">
        <f t="array" ref="AJ70">IFERROR(INDEX($AH$10:$AH$258, MATCH(0, IF(TRUE=$AE$10:$AE$258, COUNTIF($AJ$9:$AJ69, $AH$10:$AH$258), ""), 0)),"")</f>
        <v/>
      </c>
      <c r="AK70" s="124" t="str">
        <f t="array" ref="AK70">IFERROR(INDEX($AH$10:$AH$258, MATCH(0, IF(TRUE=$AF$10:$AF$258, COUNTIF($AK$9:$AK69, $AH$10:$AH$258), ""), 0)),"")</f>
        <v/>
      </c>
      <c r="AL70" s="30" t="str">
        <f>IFERROR(INDEX('G-6 Hedgerow Data'!$BJ$3:$BJ$15,MATCH(D70,'G-6 Hedgerow Data'!$B$3:$B$15,0)),"")</f>
        <v/>
      </c>
    </row>
    <row r="71" spans="2:38">
      <c r="B71" s="110">
        <v>62</v>
      </c>
      <c r="C71" s="165"/>
      <c r="D71" s="165"/>
      <c r="E71" s="121"/>
      <c r="F71" s="411" t="str">
        <f>IF(D71="","",VLOOKUP(D71,'G-6 Hedgerow Data'!$B$2:$AG$15,2,FALSE))</f>
        <v/>
      </c>
      <c r="G71" s="363" t="str">
        <f>IF(D71="","",VLOOKUP(D71,'G-6 Hedgerow Data'!$B$2:$AG$15,3,FALSE))</f>
        <v/>
      </c>
      <c r="H71" s="114"/>
      <c r="I71" s="363" t="str">
        <f>IFERROR(VLOOKUP(H71,'G-1 All Habitats'!$Z$2:$AA$9,2,FALSE),"")</f>
        <v/>
      </c>
      <c r="J71" s="114"/>
      <c r="K71" s="370" t="str">
        <f>IF(J71="","",IF(VLOOKUP(J71,'G-3 Multipliers'!$L$3:$N$6,2,FALSE)=0,"Spatial Data Missing",VLOOKUP(J71,'G-3 Multipliers'!$L$3:$N$6,2,FALSE)))</f>
        <v/>
      </c>
      <c r="L71" s="368" t="str">
        <f>IF(J71="","",IF(VLOOKUP(J71,'G-3 Multipliers'!$L$3:$N$6,3,FALSE)=0,"Spatial Data Missing ⚠",VLOOKUP(J71,'G-3 Multipliers'!$L$3:$N$6,3,FALSE)))</f>
        <v/>
      </c>
      <c r="M71" s="369" t="str">
        <f>IF(D71="","",VLOOKUP(D71,'G-6 Hedgerow Data'!$B$1:$AH$15,33,FALSE))</f>
        <v/>
      </c>
      <c r="N71" s="376" t="str">
        <f t="shared" si="2"/>
        <v/>
      </c>
      <c r="O71" s="32"/>
      <c r="P71" s="122"/>
      <c r="Q71" s="165"/>
      <c r="R71" s="393" t="str">
        <f t="shared" si="3"/>
        <v/>
      </c>
      <c r="S71" s="393" t="str">
        <f t="shared" si="4"/>
        <v/>
      </c>
      <c r="T71" s="393" t="str">
        <f t="shared" si="5"/>
        <v/>
      </c>
      <c r="U71" s="415" t="str">
        <f t="shared" si="6"/>
        <v/>
      </c>
      <c r="V71" s="119"/>
      <c r="W71" s="120"/>
      <c r="X71" s="120"/>
      <c r="AE71" s="124" t="str">
        <f t="shared" si="0"/>
        <v/>
      </c>
      <c r="AF71" s="124" t="str">
        <f t="shared" si="1"/>
        <v/>
      </c>
      <c r="AH71" s="124">
        <v>62</v>
      </c>
      <c r="AJ71" s="124" t="str">
        <f t="array" ref="AJ71">IFERROR(INDEX($AH$10:$AH$258, MATCH(0, IF(TRUE=$AE$10:$AE$258, COUNTIF($AJ$9:$AJ70, $AH$10:$AH$258), ""), 0)),"")</f>
        <v/>
      </c>
      <c r="AK71" s="124" t="str">
        <f t="array" ref="AK71">IFERROR(INDEX($AH$10:$AH$258, MATCH(0, IF(TRUE=$AF$10:$AF$258, COUNTIF($AK$9:$AK70, $AH$10:$AH$258), ""), 0)),"")</f>
        <v/>
      </c>
      <c r="AL71" s="30" t="str">
        <f>IFERROR(INDEX('G-6 Hedgerow Data'!$BJ$3:$BJ$15,MATCH(D71,'G-6 Hedgerow Data'!$B$3:$B$15,0)),"")</f>
        <v/>
      </c>
    </row>
    <row r="72" spans="2:38">
      <c r="B72" s="110">
        <v>63</v>
      </c>
      <c r="C72" s="165"/>
      <c r="D72" s="165"/>
      <c r="E72" s="121"/>
      <c r="F72" s="411" t="str">
        <f>IF(D72="","",VLOOKUP(D72,'G-6 Hedgerow Data'!$B$2:$AG$15,2,FALSE))</f>
        <v/>
      </c>
      <c r="G72" s="363" t="str">
        <f>IF(D72="","",VLOOKUP(D72,'G-6 Hedgerow Data'!$B$2:$AG$15,3,FALSE))</f>
        <v/>
      </c>
      <c r="H72" s="114"/>
      <c r="I72" s="363" t="str">
        <f>IFERROR(VLOOKUP(H72,'G-1 All Habitats'!$Z$2:$AA$9,2,FALSE),"")</f>
        <v/>
      </c>
      <c r="J72" s="114"/>
      <c r="K72" s="370" t="str">
        <f>IF(J72="","",IF(VLOOKUP(J72,'G-3 Multipliers'!$L$3:$N$6,2,FALSE)=0,"Spatial Data Missing",VLOOKUP(J72,'G-3 Multipliers'!$L$3:$N$6,2,FALSE)))</f>
        <v/>
      </c>
      <c r="L72" s="368" t="str">
        <f>IF(J72="","",IF(VLOOKUP(J72,'G-3 Multipliers'!$L$3:$N$6,3,FALSE)=0,"Spatial Data Missing ⚠",VLOOKUP(J72,'G-3 Multipliers'!$L$3:$N$6,3,FALSE)))</f>
        <v/>
      </c>
      <c r="M72" s="369" t="str">
        <f>IF(D72="","",VLOOKUP(D72,'G-6 Hedgerow Data'!$B$1:$AH$15,33,FALSE))</f>
        <v/>
      </c>
      <c r="N72" s="376" t="str">
        <f t="shared" si="2"/>
        <v/>
      </c>
      <c r="O72" s="32"/>
      <c r="P72" s="122"/>
      <c r="Q72" s="165"/>
      <c r="R72" s="393" t="str">
        <f t="shared" si="3"/>
        <v/>
      </c>
      <c r="S72" s="393" t="str">
        <f t="shared" si="4"/>
        <v/>
      </c>
      <c r="T72" s="393" t="str">
        <f t="shared" si="5"/>
        <v/>
      </c>
      <c r="U72" s="415" t="str">
        <f t="shared" si="6"/>
        <v/>
      </c>
      <c r="V72" s="119"/>
      <c r="W72" s="120"/>
      <c r="X72" s="120"/>
      <c r="AE72" s="124" t="str">
        <f t="shared" si="0"/>
        <v/>
      </c>
      <c r="AF72" s="124" t="str">
        <f t="shared" si="1"/>
        <v/>
      </c>
      <c r="AH72" s="124">
        <v>63</v>
      </c>
      <c r="AJ72" s="124" t="str">
        <f t="array" ref="AJ72">IFERROR(INDEX($AH$10:$AH$258, MATCH(0, IF(TRUE=$AE$10:$AE$258, COUNTIF($AJ$9:$AJ71, $AH$10:$AH$258), ""), 0)),"")</f>
        <v/>
      </c>
      <c r="AK72" s="124" t="str">
        <f t="array" ref="AK72">IFERROR(INDEX($AH$10:$AH$258, MATCH(0, IF(TRUE=$AF$10:$AF$258, COUNTIF($AK$9:$AK71, $AH$10:$AH$258), ""), 0)),"")</f>
        <v/>
      </c>
      <c r="AL72" s="30" t="str">
        <f>IFERROR(INDEX('G-6 Hedgerow Data'!$BJ$3:$BJ$15,MATCH(D72,'G-6 Hedgerow Data'!$B$3:$B$15,0)),"")</f>
        <v/>
      </c>
    </row>
    <row r="73" spans="2:38">
      <c r="B73" s="110">
        <v>64</v>
      </c>
      <c r="C73" s="165"/>
      <c r="D73" s="165"/>
      <c r="E73" s="121"/>
      <c r="F73" s="411" t="str">
        <f>IF(D73="","",VLOOKUP(D73,'G-6 Hedgerow Data'!$B$2:$AG$15,2,FALSE))</f>
        <v/>
      </c>
      <c r="G73" s="363" t="str">
        <f>IF(D73="","",VLOOKUP(D73,'G-6 Hedgerow Data'!$B$2:$AG$15,3,FALSE))</f>
        <v/>
      </c>
      <c r="H73" s="114"/>
      <c r="I73" s="363" t="str">
        <f>IFERROR(VLOOKUP(H73,'G-1 All Habitats'!$Z$2:$AA$9,2,FALSE),"")</f>
        <v/>
      </c>
      <c r="J73" s="114"/>
      <c r="K73" s="370" t="str">
        <f>IF(J73="","",IF(VLOOKUP(J73,'G-3 Multipliers'!$L$3:$N$6,2,FALSE)=0,"Spatial Data Missing",VLOOKUP(J73,'G-3 Multipliers'!$L$3:$N$6,2,FALSE)))</f>
        <v/>
      </c>
      <c r="L73" s="368" t="str">
        <f>IF(J73="","",IF(VLOOKUP(J73,'G-3 Multipliers'!$L$3:$N$6,3,FALSE)=0,"Spatial Data Missing ⚠",VLOOKUP(J73,'G-3 Multipliers'!$L$3:$N$6,3,FALSE)))</f>
        <v/>
      </c>
      <c r="M73" s="369" t="str">
        <f>IF(D73="","",VLOOKUP(D73,'G-6 Hedgerow Data'!$B$1:$AH$15,33,FALSE))</f>
        <v/>
      </c>
      <c r="N73" s="376" t="str">
        <f t="shared" si="2"/>
        <v/>
      </c>
      <c r="O73" s="32"/>
      <c r="P73" s="122"/>
      <c r="Q73" s="165"/>
      <c r="R73" s="393" t="str">
        <f t="shared" si="3"/>
        <v/>
      </c>
      <c r="S73" s="393" t="str">
        <f t="shared" si="4"/>
        <v/>
      </c>
      <c r="T73" s="393" t="str">
        <f t="shared" si="5"/>
        <v/>
      </c>
      <c r="U73" s="415" t="str">
        <f t="shared" si="6"/>
        <v/>
      </c>
      <c r="V73" s="119"/>
      <c r="W73" s="120"/>
      <c r="X73" s="120"/>
      <c r="AE73" s="124" t="str">
        <f t="shared" si="0"/>
        <v/>
      </c>
      <c r="AF73" s="124" t="str">
        <f t="shared" si="1"/>
        <v/>
      </c>
      <c r="AH73" s="124">
        <v>64</v>
      </c>
      <c r="AJ73" s="124" t="str">
        <f t="array" ref="AJ73">IFERROR(INDEX($AH$10:$AH$258, MATCH(0, IF(TRUE=$AE$10:$AE$258, COUNTIF($AJ$9:$AJ72, $AH$10:$AH$258), ""), 0)),"")</f>
        <v/>
      </c>
      <c r="AK73" s="124" t="str">
        <f t="array" ref="AK73">IFERROR(INDEX($AH$10:$AH$258, MATCH(0, IF(TRUE=$AF$10:$AF$258, COUNTIF($AK$9:$AK72, $AH$10:$AH$258), ""), 0)),"")</f>
        <v/>
      </c>
      <c r="AL73" s="30" t="str">
        <f>IFERROR(INDEX('G-6 Hedgerow Data'!$BJ$3:$BJ$15,MATCH(D73,'G-6 Hedgerow Data'!$B$3:$B$15,0)),"")</f>
        <v/>
      </c>
    </row>
    <row r="74" spans="2:38">
      <c r="B74" s="110">
        <v>65</v>
      </c>
      <c r="C74" s="165"/>
      <c r="D74" s="165"/>
      <c r="E74" s="121"/>
      <c r="F74" s="411" t="str">
        <f>IF(D74="","",VLOOKUP(D74,'G-6 Hedgerow Data'!$B$2:$AG$15,2,FALSE))</f>
        <v/>
      </c>
      <c r="G74" s="363" t="str">
        <f>IF(D74="","",VLOOKUP(D74,'G-6 Hedgerow Data'!$B$2:$AG$15,3,FALSE))</f>
        <v/>
      </c>
      <c r="H74" s="114"/>
      <c r="I74" s="363" t="str">
        <f>IFERROR(VLOOKUP(H74,'G-1 All Habitats'!$Z$2:$AA$9,2,FALSE),"")</f>
        <v/>
      </c>
      <c r="J74" s="114"/>
      <c r="K74" s="370" t="str">
        <f>IF(J74="","",IF(VLOOKUP(J74,'G-3 Multipliers'!$L$3:$N$6,2,FALSE)=0,"Spatial Data Missing",VLOOKUP(J74,'G-3 Multipliers'!$L$3:$N$6,2,FALSE)))</f>
        <v/>
      </c>
      <c r="L74" s="368" t="str">
        <f>IF(J74="","",IF(VLOOKUP(J74,'G-3 Multipliers'!$L$3:$N$6,3,FALSE)=0,"Spatial Data Missing ⚠",VLOOKUP(J74,'G-3 Multipliers'!$L$3:$N$6,3,FALSE)))</f>
        <v/>
      </c>
      <c r="M74" s="369" t="str">
        <f>IF(D74="","",VLOOKUP(D74,'G-6 Hedgerow Data'!$B$1:$AH$15,33,FALSE))</f>
        <v/>
      </c>
      <c r="N74" s="376" t="str">
        <f t="shared" si="2"/>
        <v/>
      </c>
      <c r="O74" s="32"/>
      <c r="P74" s="122"/>
      <c r="Q74" s="165"/>
      <c r="R74" s="393" t="str">
        <f t="shared" si="3"/>
        <v/>
      </c>
      <c r="S74" s="393" t="str">
        <f t="shared" si="4"/>
        <v/>
      </c>
      <c r="T74" s="393" t="str">
        <f t="shared" si="5"/>
        <v/>
      </c>
      <c r="U74" s="415" t="str">
        <f t="shared" si="6"/>
        <v/>
      </c>
      <c r="V74" s="119"/>
      <c r="W74" s="120"/>
      <c r="X74" s="120"/>
      <c r="AE74" s="124" t="str">
        <f t="shared" ref="AE74:AE137" si="7">IF(D74="","",IF(P74&gt;0,TRUE,FALSE))</f>
        <v/>
      </c>
      <c r="AF74" s="124" t="str">
        <f t="shared" ref="AF74:AF137" si="8">IF(D74="","",IF(Q74&gt;0,TRUE,FALSE))</f>
        <v/>
      </c>
      <c r="AH74" s="124">
        <v>65</v>
      </c>
      <c r="AJ74" s="124" t="str">
        <f t="array" ref="AJ74">IFERROR(INDEX($AH$10:$AH$258, MATCH(0, IF(TRUE=$AE$10:$AE$258, COUNTIF($AJ$9:$AJ73, $AH$10:$AH$258), ""), 0)),"")</f>
        <v/>
      </c>
      <c r="AK74" s="124" t="str">
        <f t="array" ref="AK74">IFERROR(INDEX($AH$10:$AH$258, MATCH(0, IF(TRUE=$AF$10:$AF$258, COUNTIF($AK$9:$AK73, $AH$10:$AH$258), ""), 0)),"")</f>
        <v/>
      </c>
      <c r="AL74" s="30" t="str">
        <f>IFERROR(INDEX('G-6 Hedgerow Data'!$BJ$3:$BJ$15,MATCH(D74,'G-6 Hedgerow Data'!$B$3:$B$15,0)),"")</f>
        <v/>
      </c>
    </row>
    <row r="75" spans="2:38">
      <c r="B75" s="110">
        <v>66</v>
      </c>
      <c r="C75" s="165"/>
      <c r="D75" s="165"/>
      <c r="E75" s="121"/>
      <c r="F75" s="411" t="str">
        <f>IF(D75="","",VLOOKUP(D75,'G-6 Hedgerow Data'!$B$2:$AG$15,2,FALSE))</f>
        <v/>
      </c>
      <c r="G75" s="363" t="str">
        <f>IF(D75="","",VLOOKUP(D75,'G-6 Hedgerow Data'!$B$2:$AG$15,3,FALSE))</f>
        <v/>
      </c>
      <c r="H75" s="114"/>
      <c r="I75" s="363" t="str">
        <f>IFERROR(VLOOKUP(H75,'G-1 All Habitats'!$Z$2:$AA$9,2,FALSE),"")</f>
        <v/>
      </c>
      <c r="J75" s="114"/>
      <c r="K75" s="370" t="str">
        <f>IF(J75="","",IF(VLOOKUP(J75,'G-3 Multipliers'!$L$3:$N$6,2,FALSE)=0,"Spatial Data Missing",VLOOKUP(J75,'G-3 Multipliers'!$L$3:$N$6,2,FALSE)))</f>
        <v/>
      </c>
      <c r="L75" s="368" t="str">
        <f>IF(J75="","",IF(VLOOKUP(J75,'G-3 Multipliers'!$L$3:$N$6,3,FALSE)=0,"Spatial Data Missing ⚠",VLOOKUP(J75,'G-3 Multipliers'!$L$3:$N$6,3,FALSE)))</f>
        <v/>
      </c>
      <c r="M75" s="369" t="str">
        <f>IF(D75="","",VLOOKUP(D75,'G-6 Hedgerow Data'!$B$1:$AH$15,33,FALSE))</f>
        <v/>
      </c>
      <c r="N75" s="376" t="str">
        <f t="shared" ref="N75:N138" si="9">IFERROR(E75*G75*I75*L75,"")</f>
        <v/>
      </c>
      <c r="O75" s="32"/>
      <c r="P75" s="122"/>
      <c r="Q75" s="165"/>
      <c r="R75" s="393" t="str">
        <f t="shared" ref="R75:R138" si="10">IFERROR(P75*G75*I75*L75,"")</f>
        <v/>
      </c>
      <c r="S75" s="393" t="str">
        <f t="shared" ref="S75:S138" si="11">IFERROR(Q75*G75*I75*L75,"")</f>
        <v/>
      </c>
      <c r="T75" s="393" t="str">
        <f t="shared" ref="T75:T138" si="12">IF(D75="","",IF(E75-P75-Q75=0&lt;0,"Error in lengths ▲",IF(P75+Q75&gt;E75,"Error in Lengths ▲",E75-P75-Q75)))</f>
        <v/>
      </c>
      <c r="U75" s="415" t="str">
        <f t="shared" ref="U75:U138" si="13">IF(OR(E75="",N75=""),"",IF(E75-P75-Q75=0&lt;0,"Error in Lengths ▲",IF(P75+Q75&gt;E75,"Error in Lengths ▲",N75-R75-S75)))</f>
        <v/>
      </c>
      <c r="V75" s="119"/>
      <c r="W75" s="120"/>
      <c r="X75" s="120"/>
      <c r="AE75" s="124" t="str">
        <f t="shared" si="7"/>
        <v/>
      </c>
      <c r="AF75" s="124" t="str">
        <f t="shared" si="8"/>
        <v/>
      </c>
      <c r="AH75" s="124">
        <v>66</v>
      </c>
      <c r="AJ75" s="124" t="str">
        <f t="array" ref="AJ75">IFERROR(INDEX($AH$10:$AH$258, MATCH(0, IF(TRUE=$AE$10:$AE$258, COUNTIF($AJ$9:$AJ74, $AH$10:$AH$258), ""), 0)),"")</f>
        <v/>
      </c>
      <c r="AK75" s="124" t="str">
        <f t="array" ref="AK75">IFERROR(INDEX($AH$10:$AH$258, MATCH(0, IF(TRUE=$AF$10:$AF$258, COUNTIF($AK$9:$AK74, $AH$10:$AH$258), ""), 0)),"")</f>
        <v/>
      </c>
      <c r="AL75" s="30" t="str">
        <f>IFERROR(INDEX('G-6 Hedgerow Data'!$BJ$3:$BJ$15,MATCH(D75,'G-6 Hedgerow Data'!$B$3:$B$15,0)),"")</f>
        <v/>
      </c>
    </row>
    <row r="76" spans="2:38">
      <c r="B76" s="110">
        <v>67</v>
      </c>
      <c r="C76" s="165"/>
      <c r="D76" s="165"/>
      <c r="E76" s="121"/>
      <c r="F76" s="411" t="str">
        <f>IF(D76="","",VLOOKUP(D76,'G-6 Hedgerow Data'!$B$2:$AG$15,2,FALSE))</f>
        <v/>
      </c>
      <c r="G76" s="363" t="str">
        <f>IF(D76="","",VLOOKUP(D76,'G-6 Hedgerow Data'!$B$2:$AG$15,3,FALSE))</f>
        <v/>
      </c>
      <c r="H76" s="114"/>
      <c r="I76" s="363" t="str">
        <f>IFERROR(VLOOKUP(H76,'G-1 All Habitats'!$Z$2:$AA$9,2,FALSE),"")</f>
        <v/>
      </c>
      <c r="J76" s="114"/>
      <c r="K76" s="370" t="str">
        <f>IF(J76="","",IF(VLOOKUP(J76,'G-3 Multipliers'!$L$3:$N$6,2,FALSE)=0,"Spatial Data Missing",VLOOKUP(J76,'G-3 Multipliers'!$L$3:$N$6,2,FALSE)))</f>
        <v/>
      </c>
      <c r="L76" s="368" t="str">
        <f>IF(J76="","",IF(VLOOKUP(J76,'G-3 Multipliers'!$L$3:$N$6,3,FALSE)=0,"Spatial Data Missing ⚠",VLOOKUP(J76,'G-3 Multipliers'!$L$3:$N$6,3,FALSE)))</f>
        <v/>
      </c>
      <c r="M76" s="369" t="str">
        <f>IF(D76="","",VLOOKUP(D76,'G-6 Hedgerow Data'!$B$1:$AH$15,33,FALSE))</f>
        <v/>
      </c>
      <c r="N76" s="376" t="str">
        <f t="shared" si="9"/>
        <v/>
      </c>
      <c r="O76" s="32"/>
      <c r="P76" s="122"/>
      <c r="Q76" s="165"/>
      <c r="R76" s="393" t="str">
        <f t="shared" si="10"/>
        <v/>
      </c>
      <c r="S76" s="393" t="str">
        <f t="shared" si="11"/>
        <v/>
      </c>
      <c r="T76" s="393" t="str">
        <f t="shared" si="12"/>
        <v/>
      </c>
      <c r="U76" s="415" t="str">
        <f t="shared" si="13"/>
        <v/>
      </c>
      <c r="V76" s="119"/>
      <c r="W76" s="120"/>
      <c r="X76" s="120"/>
      <c r="AE76" s="124" t="str">
        <f t="shared" si="7"/>
        <v/>
      </c>
      <c r="AF76" s="124" t="str">
        <f t="shared" si="8"/>
        <v/>
      </c>
      <c r="AH76" s="124">
        <v>67</v>
      </c>
      <c r="AJ76" s="124" t="str">
        <f t="array" ref="AJ76">IFERROR(INDEX($AH$10:$AH$258, MATCH(0, IF(TRUE=$AE$10:$AE$258, COUNTIF($AJ$9:$AJ75, $AH$10:$AH$258), ""), 0)),"")</f>
        <v/>
      </c>
      <c r="AK76" s="124" t="str">
        <f t="array" ref="AK76">IFERROR(INDEX($AH$10:$AH$258, MATCH(0, IF(TRUE=$AF$10:$AF$258, COUNTIF($AK$9:$AK75, $AH$10:$AH$258), ""), 0)),"")</f>
        <v/>
      </c>
      <c r="AL76" s="30" t="str">
        <f>IFERROR(INDEX('G-6 Hedgerow Data'!$BJ$3:$BJ$15,MATCH(D76,'G-6 Hedgerow Data'!$B$3:$B$15,0)),"")</f>
        <v/>
      </c>
    </row>
    <row r="77" spans="2:38">
      <c r="B77" s="110">
        <v>68</v>
      </c>
      <c r="C77" s="165"/>
      <c r="D77" s="165"/>
      <c r="E77" s="121"/>
      <c r="F77" s="411" t="str">
        <f>IF(D77="","",VLOOKUP(D77,'G-6 Hedgerow Data'!$B$2:$AG$15,2,FALSE))</f>
        <v/>
      </c>
      <c r="G77" s="363" t="str">
        <f>IF(D77="","",VLOOKUP(D77,'G-6 Hedgerow Data'!$B$2:$AG$15,3,FALSE))</f>
        <v/>
      </c>
      <c r="H77" s="114"/>
      <c r="I77" s="363" t="str">
        <f>IFERROR(VLOOKUP(H77,'G-1 All Habitats'!$Z$2:$AA$9,2,FALSE),"")</f>
        <v/>
      </c>
      <c r="J77" s="114"/>
      <c r="K77" s="370" t="str">
        <f>IF(J77="","",IF(VLOOKUP(J77,'G-3 Multipliers'!$L$3:$N$6,2,FALSE)=0,"Spatial Data Missing",VLOOKUP(J77,'G-3 Multipliers'!$L$3:$N$6,2,FALSE)))</f>
        <v/>
      </c>
      <c r="L77" s="368" t="str">
        <f>IF(J77="","",IF(VLOOKUP(J77,'G-3 Multipliers'!$L$3:$N$6,3,FALSE)=0,"Spatial Data Missing ⚠",VLOOKUP(J77,'G-3 Multipliers'!$L$3:$N$6,3,FALSE)))</f>
        <v/>
      </c>
      <c r="M77" s="369" t="str">
        <f>IF(D77="","",VLOOKUP(D77,'G-6 Hedgerow Data'!$B$1:$AH$15,33,FALSE))</f>
        <v/>
      </c>
      <c r="N77" s="376" t="str">
        <f t="shared" si="9"/>
        <v/>
      </c>
      <c r="O77" s="32"/>
      <c r="P77" s="122"/>
      <c r="Q77" s="165"/>
      <c r="R77" s="393" t="str">
        <f t="shared" si="10"/>
        <v/>
      </c>
      <c r="S77" s="393" t="str">
        <f t="shared" si="11"/>
        <v/>
      </c>
      <c r="T77" s="393" t="str">
        <f t="shared" si="12"/>
        <v/>
      </c>
      <c r="U77" s="415" t="str">
        <f t="shared" si="13"/>
        <v/>
      </c>
      <c r="V77" s="119"/>
      <c r="W77" s="120"/>
      <c r="X77" s="120"/>
      <c r="AE77" s="124" t="str">
        <f t="shared" si="7"/>
        <v/>
      </c>
      <c r="AF77" s="124" t="str">
        <f t="shared" si="8"/>
        <v/>
      </c>
      <c r="AH77" s="124">
        <v>68</v>
      </c>
      <c r="AJ77" s="124" t="str">
        <f t="array" ref="AJ77">IFERROR(INDEX($AH$10:$AH$258, MATCH(0, IF(TRUE=$AE$10:$AE$258, COUNTIF($AJ$9:$AJ76, $AH$10:$AH$258), ""), 0)),"")</f>
        <v/>
      </c>
      <c r="AK77" s="124" t="str">
        <f t="array" ref="AK77">IFERROR(INDEX($AH$10:$AH$258, MATCH(0, IF(TRUE=$AF$10:$AF$258, COUNTIF($AK$9:$AK76, $AH$10:$AH$258), ""), 0)),"")</f>
        <v/>
      </c>
      <c r="AL77" s="30" t="str">
        <f>IFERROR(INDEX('G-6 Hedgerow Data'!$BJ$3:$BJ$15,MATCH(D77,'G-6 Hedgerow Data'!$B$3:$B$15,0)),"")</f>
        <v/>
      </c>
    </row>
    <row r="78" spans="2:38">
      <c r="B78" s="110">
        <v>69</v>
      </c>
      <c r="C78" s="165"/>
      <c r="D78" s="165"/>
      <c r="E78" s="121"/>
      <c r="F78" s="411" t="str">
        <f>IF(D78="","",VLOOKUP(D78,'G-6 Hedgerow Data'!$B$2:$AG$15,2,FALSE))</f>
        <v/>
      </c>
      <c r="G78" s="363" t="str">
        <f>IF(D78="","",VLOOKUP(D78,'G-6 Hedgerow Data'!$B$2:$AG$15,3,FALSE))</f>
        <v/>
      </c>
      <c r="H78" s="114"/>
      <c r="I78" s="363" t="str">
        <f>IFERROR(VLOOKUP(H78,'G-1 All Habitats'!$Z$2:$AA$9,2,FALSE),"")</f>
        <v/>
      </c>
      <c r="J78" s="114"/>
      <c r="K78" s="370" t="str">
        <f>IF(J78="","",IF(VLOOKUP(J78,'G-3 Multipliers'!$L$3:$N$6,2,FALSE)=0,"Spatial Data Missing",VLOOKUP(J78,'G-3 Multipliers'!$L$3:$N$6,2,FALSE)))</f>
        <v/>
      </c>
      <c r="L78" s="368" t="str">
        <f>IF(J78="","",IF(VLOOKUP(J78,'G-3 Multipliers'!$L$3:$N$6,3,FALSE)=0,"Spatial Data Missing ⚠",VLOOKUP(J78,'G-3 Multipliers'!$L$3:$N$6,3,FALSE)))</f>
        <v/>
      </c>
      <c r="M78" s="369" t="str">
        <f>IF(D78="","",VLOOKUP(D78,'G-6 Hedgerow Data'!$B$1:$AH$15,33,FALSE))</f>
        <v/>
      </c>
      <c r="N78" s="376" t="str">
        <f t="shared" si="9"/>
        <v/>
      </c>
      <c r="O78" s="32"/>
      <c r="P78" s="122"/>
      <c r="Q78" s="165"/>
      <c r="R78" s="393" t="str">
        <f t="shared" si="10"/>
        <v/>
      </c>
      <c r="S78" s="393" t="str">
        <f t="shared" si="11"/>
        <v/>
      </c>
      <c r="T78" s="393" t="str">
        <f t="shared" si="12"/>
        <v/>
      </c>
      <c r="U78" s="415" t="str">
        <f t="shared" si="13"/>
        <v/>
      </c>
      <c r="V78" s="119"/>
      <c r="W78" s="120"/>
      <c r="X78" s="120"/>
      <c r="AE78" s="124" t="str">
        <f t="shared" si="7"/>
        <v/>
      </c>
      <c r="AF78" s="124" t="str">
        <f t="shared" si="8"/>
        <v/>
      </c>
      <c r="AH78" s="124">
        <v>69</v>
      </c>
      <c r="AJ78" s="124" t="str">
        <f t="array" ref="AJ78">IFERROR(INDEX($AH$10:$AH$258, MATCH(0, IF(TRUE=$AE$10:$AE$258, COUNTIF($AJ$9:$AJ77, $AH$10:$AH$258), ""), 0)),"")</f>
        <v/>
      </c>
      <c r="AK78" s="124" t="str">
        <f t="array" ref="AK78">IFERROR(INDEX($AH$10:$AH$258, MATCH(0, IF(TRUE=$AF$10:$AF$258, COUNTIF($AK$9:$AK77, $AH$10:$AH$258), ""), 0)),"")</f>
        <v/>
      </c>
      <c r="AL78" s="30" t="str">
        <f>IFERROR(INDEX('G-6 Hedgerow Data'!$BJ$3:$BJ$15,MATCH(D78,'G-6 Hedgerow Data'!$B$3:$B$15,0)),"")</f>
        <v/>
      </c>
    </row>
    <row r="79" spans="2:38">
      <c r="B79" s="110">
        <v>70</v>
      </c>
      <c r="C79" s="165"/>
      <c r="D79" s="165"/>
      <c r="E79" s="121"/>
      <c r="F79" s="411" t="str">
        <f>IF(D79="","",VLOOKUP(D79,'G-6 Hedgerow Data'!$B$2:$AG$15,2,FALSE))</f>
        <v/>
      </c>
      <c r="G79" s="363" t="str">
        <f>IF(D79="","",VLOOKUP(D79,'G-6 Hedgerow Data'!$B$2:$AG$15,3,FALSE))</f>
        <v/>
      </c>
      <c r="H79" s="114"/>
      <c r="I79" s="363" t="str">
        <f>IFERROR(VLOOKUP(H79,'G-1 All Habitats'!$Z$2:$AA$9,2,FALSE),"")</f>
        <v/>
      </c>
      <c r="J79" s="114"/>
      <c r="K79" s="370" t="str">
        <f>IF(J79="","",IF(VLOOKUP(J79,'G-3 Multipliers'!$L$3:$N$6,2,FALSE)=0,"Spatial Data Missing",VLOOKUP(J79,'G-3 Multipliers'!$L$3:$N$6,2,FALSE)))</f>
        <v/>
      </c>
      <c r="L79" s="368" t="str">
        <f>IF(J79="","",IF(VLOOKUP(J79,'G-3 Multipliers'!$L$3:$N$6,3,FALSE)=0,"Spatial Data Missing ⚠",VLOOKUP(J79,'G-3 Multipliers'!$L$3:$N$6,3,FALSE)))</f>
        <v/>
      </c>
      <c r="M79" s="369" t="str">
        <f>IF(D79="","",VLOOKUP(D79,'G-6 Hedgerow Data'!$B$1:$AH$15,33,FALSE))</f>
        <v/>
      </c>
      <c r="N79" s="376" t="str">
        <f t="shared" si="9"/>
        <v/>
      </c>
      <c r="O79" s="32"/>
      <c r="P79" s="122"/>
      <c r="Q79" s="165"/>
      <c r="R79" s="393" t="str">
        <f t="shared" si="10"/>
        <v/>
      </c>
      <c r="S79" s="393" t="str">
        <f t="shared" si="11"/>
        <v/>
      </c>
      <c r="T79" s="393" t="str">
        <f t="shared" si="12"/>
        <v/>
      </c>
      <c r="U79" s="415" t="str">
        <f t="shared" si="13"/>
        <v/>
      </c>
      <c r="V79" s="119"/>
      <c r="W79" s="120"/>
      <c r="X79" s="120"/>
      <c r="AE79" s="124" t="str">
        <f t="shared" si="7"/>
        <v/>
      </c>
      <c r="AF79" s="124" t="str">
        <f t="shared" si="8"/>
        <v/>
      </c>
      <c r="AH79" s="124">
        <v>70</v>
      </c>
      <c r="AJ79" s="124" t="str">
        <f t="array" ref="AJ79">IFERROR(INDEX($AH$10:$AH$258, MATCH(0, IF(TRUE=$AE$10:$AE$258, COUNTIF($AJ$9:$AJ78, $AH$10:$AH$258), ""), 0)),"")</f>
        <v/>
      </c>
      <c r="AK79" s="124" t="str">
        <f t="array" ref="AK79">IFERROR(INDEX($AH$10:$AH$258, MATCH(0, IF(TRUE=$AF$10:$AF$258, COUNTIF($AK$9:$AK78, $AH$10:$AH$258), ""), 0)),"")</f>
        <v/>
      </c>
      <c r="AL79" s="30" t="str">
        <f>IFERROR(INDEX('G-6 Hedgerow Data'!$BJ$3:$BJ$15,MATCH(D79,'G-6 Hedgerow Data'!$B$3:$B$15,0)),"")</f>
        <v/>
      </c>
    </row>
    <row r="80" spans="2:38">
      <c r="B80" s="110">
        <v>71</v>
      </c>
      <c r="C80" s="165"/>
      <c r="D80" s="165"/>
      <c r="E80" s="121"/>
      <c r="F80" s="411" t="str">
        <f>IF(D80="","",VLOOKUP(D80,'G-6 Hedgerow Data'!$B$2:$AG$15,2,FALSE))</f>
        <v/>
      </c>
      <c r="G80" s="363" t="str">
        <f>IF(D80="","",VLOOKUP(D80,'G-6 Hedgerow Data'!$B$2:$AG$15,3,FALSE))</f>
        <v/>
      </c>
      <c r="H80" s="114"/>
      <c r="I80" s="363" t="str">
        <f>IFERROR(VLOOKUP(H80,'G-1 All Habitats'!$Z$2:$AA$9,2,FALSE),"")</f>
        <v/>
      </c>
      <c r="J80" s="114"/>
      <c r="K80" s="370" t="str">
        <f>IF(J80="","",IF(VLOOKUP(J80,'G-3 Multipliers'!$L$3:$N$6,2,FALSE)=0,"Spatial Data Missing",VLOOKUP(J80,'G-3 Multipliers'!$L$3:$N$6,2,FALSE)))</f>
        <v/>
      </c>
      <c r="L80" s="368" t="str">
        <f>IF(J80="","",IF(VLOOKUP(J80,'G-3 Multipliers'!$L$3:$N$6,3,FALSE)=0,"Spatial Data Missing ⚠",VLOOKUP(J80,'G-3 Multipliers'!$L$3:$N$6,3,FALSE)))</f>
        <v/>
      </c>
      <c r="M80" s="369" t="str">
        <f>IF(D80="","",VLOOKUP(D80,'G-6 Hedgerow Data'!$B$1:$AH$15,33,FALSE))</f>
        <v/>
      </c>
      <c r="N80" s="376" t="str">
        <f t="shared" si="9"/>
        <v/>
      </c>
      <c r="O80" s="32"/>
      <c r="P80" s="122"/>
      <c r="Q80" s="165"/>
      <c r="R80" s="393" t="str">
        <f t="shared" si="10"/>
        <v/>
      </c>
      <c r="S80" s="393" t="str">
        <f t="shared" si="11"/>
        <v/>
      </c>
      <c r="T80" s="393" t="str">
        <f t="shared" si="12"/>
        <v/>
      </c>
      <c r="U80" s="415" t="str">
        <f t="shared" si="13"/>
        <v/>
      </c>
      <c r="V80" s="119"/>
      <c r="W80" s="120"/>
      <c r="X80" s="120"/>
      <c r="AE80" s="124" t="str">
        <f t="shared" si="7"/>
        <v/>
      </c>
      <c r="AF80" s="124" t="str">
        <f t="shared" si="8"/>
        <v/>
      </c>
      <c r="AH80" s="124">
        <v>71</v>
      </c>
      <c r="AJ80" s="124" t="str">
        <f t="array" ref="AJ80">IFERROR(INDEX($AH$10:$AH$258, MATCH(0, IF(TRUE=$AE$10:$AE$258, COUNTIF($AJ$9:$AJ79, $AH$10:$AH$258), ""), 0)),"")</f>
        <v/>
      </c>
      <c r="AK80" s="124" t="str">
        <f t="array" ref="AK80">IFERROR(INDEX($AH$10:$AH$258, MATCH(0, IF(TRUE=$AF$10:$AF$258, COUNTIF($AK$9:$AK79, $AH$10:$AH$258), ""), 0)),"")</f>
        <v/>
      </c>
      <c r="AL80" s="30" t="str">
        <f>IFERROR(INDEX('G-6 Hedgerow Data'!$BJ$3:$BJ$15,MATCH(D80,'G-6 Hedgerow Data'!$B$3:$B$15,0)),"")</f>
        <v/>
      </c>
    </row>
    <row r="81" spans="2:38">
      <c r="B81" s="110">
        <v>72</v>
      </c>
      <c r="C81" s="165"/>
      <c r="D81" s="165"/>
      <c r="E81" s="121"/>
      <c r="F81" s="411" t="str">
        <f>IF(D81="","",VLOOKUP(D81,'G-6 Hedgerow Data'!$B$2:$AG$15,2,FALSE))</f>
        <v/>
      </c>
      <c r="G81" s="363" t="str">
        <f>IF(D81="","",VLOOKUP(D81,'G-6 Hedgerow Data'!$B$2:$AG$15,3,FALSE))</f>
        <v/>
      </c>
      <c r="H81" s="114"/>
      <c r="I81" s="363" t="str">
        <f>IFERROR(VLOOKUP(H81,'G-1 All Habitats'!$Z$2:$AA$9,2,FALSE),"")</f>
        <v/>
      </c>
      <c r="J81" s="114"/>
      <c r="K81" s="370" t="str">
        <f>IF(J81="","",IF(VLOOKUP(J81,'G-3 Multipliers'!$L$3:$N$6,2,FALSE)=0,"Spatial Data Missing",VLOOKUP(J81,'G-3 Multipliers'!$L$3:$N$6,2,FALSE)))</f>
        <v/>
      </c>
      <c r="L81" s="368" t="str">
        <f>IF(J81="","",IF(VLOOKUP(J81,'G-3 Multipliers'!$L$3:$N$6,3,FALSE)=0,"Spatial Data Missing ⚠",VLOOKUP(J81,'G-3 Multipliers'!$L$3:$N$6,3,FALSE)))</f>
        <v/>
      </c>
      <c r="M81" s="369" t="str">
        <f>IF(D81="","",VLOOKUP(D81,'G-6 Hedgerow Data'!$B$1:$AH$15,33,FALSE))</f>
        <v/>
      </c>
      <c r="N81" s="376" t="str">
        <f t="shared" si="9"/>
        <v/>
      </c>
      <c r="O81" s="32"/>
      <c r="P81" s="122"/>
      <c r="Q81" s="165"/>
      <c r="R81" s="393" t="str">
        <f t="shared" si="10"/>
        <v/>
      </c>
      <c r="S81" s="393" t="str">
        <f t="shared" si="11"/>
        <v/>
      </c>
      <c r="T81" s="393" t="str">
        <f t="shared" si="12"/>
        <v/>
      </c>
      <c r="U81" s="415" t="str">
        <f t="shared" si="13"/>
        <v/>
      </c>
      <c r="V81" s="119"/>
      <c r="W81" s="120"/>
      <c r="X81" s="120"/>
      <c r="AE81" s="124" t="str">
        <f t="shared" si="7"/>
        <v/>
      </c>
      <c r="AF81" s="124" t="str">
        <f t="shared" si="8"/>
        <v/>
      </c>
      <c r="AH81" s="124">
        <v>72</v>
      </c>
      <c r="AJ81" s="124" t="str">
        <f t="array" ref="AJ81">IFERROR(INDEX($AH$10:$AH$258, MATCH(0, IF(TRUE=$AE$10:$AE$258, COUNTIF($AJ$9:$AJ80, $AH$10:$AH$258), ""), 0)),"")</f>
        <v/>
      </c>
      <c r="AK81" s="124" t="str">
        <f t="array" ref="AK81">IFERROR(INDEX($AH$10:$AH$258, MATCH(0, IF(TRUE=$AF$10:$AF$258, COUNTIF($AK$9:$AK80, $AH$10:$AH$258), ""), 0)),"")</f>
        <v/>
      </c>
      <c r="AL81" s="30" t="str">
        <f>IFERROR(INDEX('G-6 Hedgerow Data'!$BJ$3:$BJ$15,MATCH(D81,'G-6 Hedgerow Data'!$B$3:$B$15,0)),"")</f>
        <v/>
      </c>
    </row>
    <row r="82" spans="2:38">
      <c r="B82" s="110">
        <v>73</v>
      </c>
      <c r="C82" s="165"/>
      <c r="D82" s="165"/>
      <c r="E82" s="121"/>
      <c r="F82" s="411" t="str">
        <f>IF(D82="","",VLOOKUP(D82,'G-6 Hedgerow Data'!$B$2:$AG$15,2,FALSE))</f>
        <v/>
      </c>
      <c r="G82" s="363" t="str">
        <f>IF(D82="","",VLOOKUP(D82,'G-6 Hedgerow Data'!$B$2:$AG$15,3,FALSE))</f>
        <v/>
      </c>
      <c r="H82" s="114"/>
      <c r="I82" s="363" t="str">
        <f>IFERROR(VLOOKUP(H82,'G-1 All Habitats'!$Z$2:$AA$9,2,FALSE),"")</f>
        <v/>
      </c>
      <c r="J82" s="114"/>
      <c r="K82" s="370" t="str">
        <f>IF(J82="","",IF(VLOOKUP(J82,'G-3 Multipliers'!$L$3:$N$6,2,FALSE)=0,"Spatial Data Missing",VLOOKUP(J82,'G-3 Multipliers'!$L$3:$N$6,2,FALSE)))</f>
        <v/>
      </c>
      <c r="L82" s="368" t="str">
        <f>IF(J82="","",IF(VLOOKUP(J82,'G-3 Multipliers'!$L$3:$N$6,3,FALSE)=0,"Spatial Data Missing ⚠",VLOOKUP(J82,'G-3 Multipliers'!$L$3:$N$6,3,FALSE)))</f>
        <v/>
      </c>
      <c r="M82" s="369" t="str">
        <f>IF(D82="","",VLOOKUP(D82,'G-6 Hedgerow Data'!$B$1:$AH$15,33,FALSE))</f>
        <v/>
      </c>
      <c r="N82" s="376" t="str">
        <f t="shared" si="9"/>
        <v/>
      </c>
      <c r="O82" s="32"/>
      <c r="P82" s="122"/>
      <c r="Q82" s="165"/>
      <c r="R82" s="393" t="str">
        <f t="shared" si="10"/>
        <v/>
      </c>
      <c r="S82" s="393" t="str">
        <f t="shared" si="11"/>
        <v/>
      </c>
      <c r="T82" s="393" t="str">
        <f t="shared" si="12"/>
        <v/>
      </c>
      <c r="U82" s="415" t="str">
        <f t="shared" si="13"/>
        <v/>
      </c>
      <c r="V82" s="119"/>
      <c r="W82" s="120"/>
      <c r="X82" s="120"/>
      <c r="AE82" s="124" t="str">
        <f t="shared" si="7"/>
        <v/>
      </c>
      <c r="AF82" s="124" t="str">
        <f t="shared" si="8"/>
        <v/>
      </c>
      <c r="AH82" s="124">
        <v>73</v>
      </c>
      <c r="AJ82" s="124" t="str">
        <f t="array" ref="AJ82">IFERROR(INDEX($AH$10:$AH$258, MATCH(0, IF(TRUE=$AE$10:$AE$258, COUNTIF($AJ$9:$AJ81, $AH$10:$AH$258), ""), 0)),"")</f>
        <v/>
      </c>
      <c r="AK82" s="124" t="str">
        <f t="array" ref="AK82">IFERROR(INDEX($AH$10:$AH$258, MATCH(0, IF(TRUE=$AF$10:$AF$258, COUNTIF($AK$9:$AK81, $AH$10:$AH$258), ""), 0)),"")</f>
        <v/>
      </c>
      <c r="AL82" s="30" t="str">
        <f>IFERROR(INDEX('G-6 Hedgerow Data'!$BJ$3:$BJ$15,MATCH(D82,'G-6 Hedgerow Data'!$B$3:$B$15,0)),"")</f>
        <v/>
      </c>
    </row>
    <row r="83" spans="2:38">
      <c r="B83" s="110">
        <v>74</v>
      </c>
      <c r="C83" s="165"/>
      <c r="D83" s="165"/>
      <c r="E83" s="121"/>
      <c r="F83" s="411" t="str">
        <f>IF(D83="","",VLOOKUP(D83,'G-6 Hedgerow Data'!$B$2:$AG$15,2,FALSE))</f>
        <v/>
      </c>
      <c r="G83" s="363" t="str">
        <f>IF(D83="","",VLOOKUP(D83,'G-6 Hedgerow Data'!$B$2:$AG$15,3,FALSE))</f>
        <v/>
      </c>
      <c r="H83" s="114"/>
      <c r="I83" s="363" t="str">
        <f>IFERROR(VLOOKUP(H83,'G-1 All Habitats'!$Z$2:$AA$9,2,FALSE),"")</f>
        <v/>
      </c>
      <c r="J83" s="114"/>
      <c r="K83" s="370" t="str">
        <f>IF(J83="","",IF(VLOOKUP(J83,'G-3 Multipliers'!$L$3:$N$6,2,FALSE)=0,"Spatial Data Missing",VLOOKUP(J83,'G-3 Multipliers'!$L$3:$N$6,2,FALSE)))</f>
        <v/>
      </c>
      <c r="L83" s="368" t="str">
        <f>IF(J83="","",IF(VLOOKUP(J83,'G-3 Multipliers'!$L$3:$N$6,3,FALSE)=0,"Spatial Data Missing ⚠",VLOOKUP(J83,'G-3 Multipliers'!$L$3:$N$6,3,FALSE)))</f>
        <v/>
      </c>
      <c r="M83" s="369" t="str">
        <f>IF(D83="","",VLOOKUP(D83,'G-6 Hedgerow Data'!$B$1:$AH$15,33,FALSE))</f>
        <v/>
      </c>
      <c r="N83" s="376" t="str">
        <f t="shared" si="9"/>
        <v/>
      </c>
      <c r="O83" s="32"/>
      <c r="P83" s="122"/>
      <c r="Q83" s="165"/>
      <c r="R83" s="393" t="str">
        <f t="shared" si="10"/>
        <v/>
      </c>
      <c r="S83" s="393" t="str">
        <f t="shared" si="11"/>
        <v/>
      </c>
      <c r="T83" s="393" t="str">
        <f t="shared" si="12"/>
        <v/>
      </c>
      <c r="U83" s="415" t="str">
        <f t="shared" si="13"/>
        <v/>
      </c>
      <c r="V83" s="119"/>
      <c r="W83" s="120"/>
      <c r="X83" s="120"/>
      <c r="AE83" s="124" t="str">
        <f t="shared" si="7"/>
        <v/>
      </c>
      <c r="AF83" s="124" t="str">
        <f t="shared" si="8"/>
        <v/>
      </c>
      <c r="AH83" s="124">
        <v>74</v>
      </c>
      <c r="AJ83" s="124" t="str">
        <f t="array" ref="AJ83">IFERROR(INDEX($AH$10:$AH$258, MATCH(0, IF(TRUE=$AE$10:$AE$258, COUNTIF($AJ$9:$AJ82, $AH$10:$AH$258), ""), 0)),"")</f>
        <v/>
      </c>
      <c r="AK83" s="124" t="str">
        <f t="array" ref="AK83">IFERROR(INDEX($AH$10:$AH$258, MATCH(0, IF(TRUE=$AF$10:$AF$258, COUNTIF($AK$9:$AK82, $AH$10:$AH$258), ""), 0)),"")</f>
        <v/>
      </c>
      <c r="AL83" s="30" t="str">
        <f>IFERROR(INDEX('G-6 Hedgerow Data'!$BJ$3:$BJ$15,MATCH(D83,'G-6 Hedgerow Data'!$B$3:$B$15,0)),"")</f>
        <v/>
      </c>
    </row>
    <row r="84" spans="2:38">
      <c r="B84" s="110">
        <v>75</v>
      </c>
      <c r="C84" s="165"/>
      <c r="D84" s="165"/>
      <c r="E84" s="121"/>
      <c r="F84" s="411" t="str">
        <f>IF(D84="","",VLOOKUP(D84,'G-6 Hedgerow Data'!$B$2:$AG$15,2,FALSE))</f>
        <v/>
      </c>
      <c r="G84" s="363" t="str">
        <f>IF(D84="","",VLOOKUP(D84,'G-6 Hedgerow Data'!$B$2:$AG$15,3,FALSE))</f>
        <v/>
      </c>
      <c r="H84" s="114"/>
      <c r="I84" s="363" t="str">
        <f>IFERROR(VLOOKUP(H84,'G-1 All Habitats'!$Z$2:$AA$9,2,FALSE),"")</f>
        <v/>
      </c>
      <c r="J84" s="114"/>
      <c r="K84" s="370" t="str">
        <f>IF(J84="","",IF(VLOOKUP(J84,'G-3 Multipliers'!$L$3:$N$6,2,FALSE)=0,"Spatial Data Missing",VLOOKUP(J84,'G-3 Multipliers'!$L$3:$N$6,2,FALSE)))</f>
        <v/>
      </c>
      <c r="L84" s="368" t="str">
        <f>IF(J84="","",IF(VLOOKUP(J84,'G-3 Multipliers'!$L$3:$N$6,3,FALSE)=0,"Spatial Data Missing ⚠",VLOOKUP(J84,'G-3 Multipliers'!$L$3:$N$6,3,FALSE)))</f>
        <v/>
      </c>
      <c r="M84" s="369" t="str">
        <f>IF(D84="","",VLOOKUP(D84,'G-6 Hedgerow Data'!$B$1:$AH$15,33,FALSE))</f>
        <v/>
      </c>
      <c r="N84" s="376" t="str">
        <f t="shared" si="9"/>
        <v/>
      </c>
      <c r="O84" s="32"/>
      <c r="P84" s="122"/>
      <c r="Q84" s="165"/>
      <c r="R84" s="393" t="str">
        <f t="shared" si="10"/>
        <v/>
      </c>
      <c r="S84" s="393" t="str">
        <f t="shared" si="11"/>
        <v/>
      </c>
      <c r="T84" s="393" t="str">
        <f t="shared" si="12"/>
        <v/>
      </c>
      <c r="U84" s="415" t="str">
        <f t="shared" si="13"/>
        <v/>
      </c>
      <c r="V84" s="119"/>
      <c r="W84" s="120"/>
      <c r="X84" s="120"/>
      <c r="AE84" s="124" t="str">
        <f t="shared" si="7"/>
        <v/>
      </c>
      <c r="AF84" s="124" t="str">
        <f t="shared" si="8"/>
        <v/>
      </c>
      <c r="AH84" s="124">
        <v>75</v>
      </c>
      <c r="AJ84" s="124" t="str">
        <f t="array" ref="AJ84">IFERROR(INDEX($AH$10:$AH$258, MATCH(0, IF(TRUE=$AE$10:$AE$258, COUNTIF($AJ$9:$AJ83, $AH$10:$AH$258), ""), 0)),"")</f>
        <v/>
      </c>
      <c r="AK84" s="124" t="str">
        <f t="array" ref="AK84">IFERROR(INDEX($AH$10:$AH$258, MATCH(0, IF(TRUE=$AF$10:$AF$258, COUNTIF($AK$9:$AK83, $AH$10:$AH$258), ""), 0)),"")</f>
        <v/>
      </c>
      <c r="AL84" s="30" t="str">
        <f>IFERROR(INDEX('G-6 Hedgerow Data'!$BJ$3:$BJ$15,MATCH(D84,'G-6 Hedgerow Data'!$B$3:$B$15,0)),"")</f>
        <v/>
      </c>
    </row>
    <row r="85" spans="2:38">
      <c r="B85" s="110">
        <v>76</v>
      </c>
      <c r="C85" s="165"/>
      <c r="D85" s="165"/>
      <c r="E85" s="121"/>
      <c r="F85" s="411" t="str">
        <f>IF(D85="","",VLOOKUP(D85,'G-6 Hedgerow Data'!$B$2:$AG$15,2,FALSE))</f>
        <v/>
      </c>
      <c r="G85" s="363" t="str">
        <f>IF(D85="","",VLOOKUP(D85,'G-6 Hedgerow Data'!$B$2:$AG$15,3,FALSE))</f>
        <v/>
      </c>
      <c r="H85" s="114"/>
      <c r="I85" s="363" t="str">
        <f>IFERROR(VLOOKUP(H85,'G-1 All Habitats'!$Z$2:$AA$9,2,FALSE),"")</f>
        <v/>
      </c>
      <c r="J85" s="114"/>
      <c r="K85" s="370" t="str">
        <f>IF(J85="","",IF(VLOOKUP(J85,'G-3 Multipliers'!$L$3:$N$6,2,FALSE)=0,"Spatial Data Missing",VLOOKUP(J85,'G-3 Multipliers'!$L$3:$N$6,2,FALSE)))</f>
        <v/>
      </c>
      <c r="L85" s="368" t="str">
        <f>IF(J85="","",IF(VLOOKUP(J85,'G-3 Multipliers'!$L$3:$N$6,3,FALSE)=0,"Spatial Data Missing ⚠",VLOOKUP(J85,'G-3 Multipliers'!$L$3:$N$6,3,FALSE)))</f>
        <v/>
      </c>
      <c r="M85" s="369" t="str">
        <f>IF(D85="","",VLOOKUP(D85,'G-6 Hedgerow Data'!$B$1:$AH$15,33,FALSE))</f>
        <v/>
      </c>
      <c r="N85" s="376" t="str">
        <f t="shared" si="9"/>
        <v/>
      </c>
      <c r="O85" s="32"/>
      <c r="P85" s="122"/>
      <c r="Q85" s="165"/>
      <c r="R85" s="393" t="str">
        <f t="shared" si="10"/>
        <v/>
      </c>
      <c r="S85" s="393" t="str">
        <f t="shared" si="11"/>
        <v/>
      </c>
      <c r="T85" s="393" t="str">
        <f t="shared" si="12"/>
        <v/>
      </c>
      <c r="U85" s="415" t="str">
        <f t="shared" si="13"/>
        <v/>
      </c>
      <c r="V85" s="119"/>
      <c r="W85" s="120"/>
      <c r="X85" s="120"/>
      <c r="AE85" s="124" t="str">
        <f t="shared" si="7"/>
        <v/>
      </c>
      <c r="AF85" s="124" t="str">
        <f t="shared" si="8"/>
        <v/>
      </c>
      <c r="AH85" s="124">
        <v>76</v>
      </c>
      <c r="AJ85" s="124" t="str">
        <f t="array" ref="AJ85">IFERROR(INDEX($AH$10:$AH$258, MATCH(0, IF(TRUE=$AE$10:$AE$258, COUNTIF($AJ$9:$AJ84, $AH$10:$AH$258), ""), 0)),"")</f>
        <v/>
      </c>
      <c r="AK85" s="124" t="str">
        <f t="array" ref="AK85">IFERROR(INDEX($AH$10:$AH$258, MATCH(0, IF(TRUE=$AF$10:$AF$258, COUNTIF($AK$9:$AK84, $AH$10:$AH$258), ""), 0)),"")</f>
        <v/>
      </c>
      <c r="AL85" s="30" t="str">
        <f>IFERROR(INDEX('G-6 Hedgerow Data'!$BJ$3:$BJ$15,MATCH(D85,'G-6 Hedgerow Data'!$B$3:$B$15,0)),"")</f>
        <v/>
      </c>
    </row>
    <row r="86" spans="2:38">
      <c r="B86" s="110">
        <v>77</v>
      </c>
      <c r="C86" s="165"/>
      <c r="D86" s="165"/>
      <c r="E86" s="121"/>
      <c r="F86" s="411" t="str">
        <f>IF(D86="","",VLOOKUP(D86,'G-6 Hedgerow Data'!$B$2:$AG$15,2,FALSE))</f>
        <v/>
      </c>
      <c r="G86" s="363" t="str">
        <f>IF(D86="","",VLOOKUP(D86,'G-6 Hedgerow Data'!$B$2:$AG$15,3,FALSE))</f>
        <v/>
      </c>
      <c r="H86" s="114"/>
      <c r="I86" s="363" t="str">
        <f>IFERROR(VLOOKUP(H86,'G-1 All Habitats'!$Z$2:$AA$9,2,FALSE),"")</f>
        <v/>
      </c>
      <c r="J86" s="114"/>
      <c r="K86" s="370" t="str">
        <f>IF(J86="","",IF(VLOOKUP(J86,'G-3 Multipliers'!$L$3:$N$6,2,FALSE)=0,"Spatial Data Missing",VLOOKUP(J86,'G-3 Multipliers'!$L$3:$N$6,2,FALSE)))</f>
        <v/>
      </c>
      <c r="L86" s="368" t="str">
        <f>IF(J86="","",IF(VLOOKUP(J86,'G-3 Multipliers'!$L$3:$N$6,3,FALSE)=0,"Spatial Data Missing ⚠",VLOOKUP(J86,'G-3 Multipliers'!$L$3:$N$6,3,FALSE)))</f>
        <v/>
      </c>
      <c r="M86" s="369" t="str">
        <f>IF(D86="","",VLOOKUP(D86,'G-6 Hedgerow Data'!$B$1:$AH$15,33,FALSE))</f>
        <v/>
      </c>
      <c r="N86" s="376" t="str">
        <f t="shared" si="9"/>
        <v/>
      </c>
      <c r="O86" s="32"/>
      <c r="P86" s="122"/>
      <c r="Q86" s="165"/>
      <c r="R86" s="393" t="str">
        <f t="shared" si="10"/>
        <v/>
      </c>
      <c r="S86" s="393" t="str">
        <f t="shared" si="11"/>
        <v/>
      </c>
      <c r="T86" s="393" t="str">
        <f t="shared" si="12"/>
        <v/>
      </c>
      <c r="U86" s="415" t="str">
        <f t="shared" si="13"/>
        <v/>
      </c>
      <c r="V86" s="119"/>
      <c r="W86" s="120"/>
      <c r="X86" s="120"/>
      <c r="AE86" s="124" t="str">
        <f t="shared" si="7"/>
        <v/>
      </c>
      <c r="AF86" s="124" t="str">
        <f t="shared" si="8"/>
        <v/>
      </c>
      <c r="AH86" s="124">
        <v>77</v>
      </c>
      <c r="AJ86" s="124" t="str">
        <f t="array" ref="AJ86">IFERROR(INDEX($AH$10:$AH$258, MATCH(0, IF(TRUE=$AE$10:$AE$258, COUNTIF($AJ$9:$AJ85, $AH$10:$AH$258), ""), 0)),"")</f>
        <v/>
      </c>
      <c r="AK86" s="124" t="str">
        <f t="array" ref="AK86">IFERROR(INDEX($AH$10:$AH$258, MATCH(0, IF(TRUE=$AF$10:$AF$258, COUNTIF($AK$9:$AK85, $AH$10:$AH$258), ""), 0)),"")</f>
        <v/>
      </c>
      <c r="AL86" s="30" t="str">
        <f>IFERROR(INDEX('G-6 Hedgerow Data'!$BJ$3:$BJ$15,MATCH(D86,'G-6 Hedgerow Data'!$B$3:$B$15,0)),"")</f>
        <v/>
      </c>
    </row>
    <row r="87" spans="2:38">
      <c r="B87" s="110">
        <v>78</v>
      </c>
      <c r="C87" s="165"/>
      <c r="D87" s="165"/>
      <c r="E87" s="121"/>
      <c r="F87" s="411" t="str">
        <f>IF(D87="","",VLOOKUP(D87,'G-6 Hedgerow Data'!$B$2:$AG$15,2,FALSE))</f>
        <v/>
      </c>
      <c r="G87" s="363" t="str">
        <f>IF(D87="","",VLOOKUP(D87,'G-6 Hedgerow Data'!$B$2:$AG$15,3,FALSE))</f>
        <v/>
      </c>
      <c r="H87" s="114"/>
      <c r="I87" s="363" t="str">
        <f>IFERROR(VLOOKUP(H87,'G-1 All Habitats'!$Z$2:$AA$9,2,FALSE),"")</f>
        <v/>
      </c>
      <c r="J87" s="114"/>
      <c r="K87" s="370" t="str">
        <f>IF(J87="","",IF(VLOOKUP(J87,'G-3 Multipliers'!$L$3:$N$6,2,FALSE)=0,"Spatial Data Missing",VLOOKUP(J87,'G-3 Multipliers'!$L$3:$N$6,2,FALSE)))</f>
        <v/>
      </c>
      <c r="L87" s="368" t="str">
        <f>IF(J87="","",IF(VLOOKUP(J87,'G-3 Multipliers'!$L$3:$N$6,3,FALSE)=0,"Spatial Data Missing ⚠",VLOOKUP(J87,'G-3 Multipliers'!$L$3:$N$6,3,FALSE)))</f>
        <v/>
      </c>
      <c r="M87" s="369" t="str">
        <f>IF(D87="","",VLOOKUP(D87,'G-6 Hedgerow Data'!$B$1:$AH$15,33,FALSE))</f>
        <v/>
      </c>
      <c r="N87" s="376" t="str">
        <f t="shared" si="9"/>
        <v/>
      </c>
      <c r="O87" s="32"/>
      <c r="P87" s="122"/>
      <c r="Q87" s="165"/>
      <c r="R87" s="393" t="str">
        <f t="shared" si="10"/>
        <v/>
      </c>
      <c r="S87" s="393" t="str">
        <f t="shared" si="11"/>
        <v/>
      </c>
      <c r="T87" s="393" t="str">
        <f t="shared" si="12"/>
        <v/>
      </c>
      <c r="U87" s="415" t="str">
        <f t="shared" si="13"/>
        <v/>
      </c>
      <c r="V87" s="119"/>
      <c r="W87" s="120"/>
      <c r="X87" s="120"/>
      <c r="AE87" s="124" t="str">
        <f t="shared" si="7"/>
        <v/>
      </c>
      <c r="AF87" s="124" t="str">
        <f t="shared" si="8"/>
        <v/>
      </c>
      <c r="AH87" s="124">
        <v>78</v>
      </c>
      <c r="AJ87" s="124" t="str">
        <f t="array" ref="AJ87">IFERROR(INDEX($AH$10:$AH$258, MATCH(0, IF(TRUE=$AE$10:$AE$258, COUNTIF($AJ$9:$AJ86, $AH$10:$AH$258), ""), 0)),"")</f>
        <v/>
      </c>
      <c r="AK87" s="124" t="str">
        <f t="array" ref="AK87">IFERROR(INDEX($AH$10:$AH$258, MATCH(0, IF(TRUE=$AF$10:$AF$258, COUNTIF($AK$9:$AK86, $AH$10:$AH$258), ""), 0)),"")</f>
        <v/>
      </c>
      <c r="AL87" s="30" t="str">
        <f>IFERROR(INDEX('G-6 Hedgerow Data'!$BJ$3:$BJ$15,MATCH(D87,'G-6 Hedgerow Data'!$B$3:$B$15,0)),"")</f>
        <v/>
      </c>
    </row>
    <row r="88" spans="2:38">
      <c r="B88" s="110">
        <v>79</v>
      </c>
      <c r="C88" s="165"/>
      <c r="D88" s="165"/>
      <c r="E88" s="121"/>
      <c r="F88" s="411" t="str">
        <f>IF(D88="","",VLOOKUP(D88,'G-6 Hedgerow Data'!$B$2:$AG$15,2,FALSE))</f>
        <v/>
      </c>
      <c r="G88" s="363" t="str">
        <f>IF(D88="","",VLOOKUP(D88,'G-6 Hedgerow Data'!$B$2:$AG$15,3,FALSE))</f>
        <v/>
      </c>
      <c r="H88" s="114"/>
      <c r="I88" s="363" t="str">
        <f>IFERROR(VLOOKUP(H88,'G-1 All Habitats'!$Z$2:$AA$9,2,FALSE),"")</f>
        <v/>
      </c>
      <c r="J88" s="114"/>
      <c r="K88" s="370" t="str">
        <f>IF(J88="","",IF(VLOOKUP(J88,'G-3 Multipliers'!$L$3:$N$6,2,FALSE)=0,"Spatial Data Missing",VLOOKUP(J88,'G-3 Multipliers'!$L$3:$N$6,2,FALSE)))</f>
        <v/>
      </c>
      <c r="L88" s="368" t="str">
        <f>IF(J88="","",IF(VLOOKUP(J88,'G-3 Multipliers'!$L$3:$N$6,3,FALSE)=0,"Spatial Data Missing ⚠",VLOOKUP(J88,'G-3 Multipliers'!$L$3:$N$6,3,FALSE)))</f>
        <v/>
      </c>
      <c r="M88" s="369" t="str">
        <f>IF(D88="","",VLOOKUP(D88,'G-6 Hedgerow Data'!$B$1:$AH$15,33,FALSE))</f>
        <v/>
      </c>
      <c r="N88" s="376" t="str">
        <f t="shared" si="9"/>
        <v/>
      </c>
      <c r="O88" s="32"/>
      <c r="P88" s="122"/>
      <c r="Q88" s="165"/>
      <c r="R88" s="393" t="str">
        <f t="shared" si="10"/>
        <v/>
      </c>
      <c r="S88" s="393" t="str">
        <f t="shared" si="11"/>
        <v/>
      </c>
      <c r="T88" s="393" t="str">
        <f t="shared" si="12"/>
        <v/>
      </c>
      <c r="U88" s="415" t="str">
        <f t="shared" si="13"/>
        <v/>
      </c>
      <c r="V88" s="119"/>
      <c r="W88" s="120"/>
      <c r="X88" s="120"/>
      <c r="AE88" s="124" t="str">
        <f t="shared" si="7"/>
        <v/>
      </c>
      <c r="AF88" s="124" t="str">
        <f t="shared" si="8"/>
        <v/>
      </c>
      <c r="AH88" s="124">
        <v>79</v>
      </c>
      <c r="AJ88" s="124" t="str">
        <f t="array" ref="AJ88">IFERROR(INDEX($AH$10:$AH$258, MATCH(0, IF(TRUE=$AE$10:$AE$258, COUNTIF($AJ$9:$AJ87, $AH$10:$AH$258), ""), 0)),"")</f>
        <v/>
      </c>
      <c r="AK88" s="124" t="str">
        <f t="array" ref="AK88">IFERROR(INDEX($AH$10:$AH$258, MATCH(0, IF(TRUE=$AF$10:$AF$258, COUNTIF($AK$9:$AK87, $AH$10:$AH$258), ""), 0)),"")</f>
        <v/>
      </c>
      <c r="AL88" s="30" t="str">
        <f>IFERROR(INDEX('G-6 Hedgerow Data'!$BJ$3:$BJ$15,MATCH(D88,'G-6 Hedgerow Data'!$B$3:$B$15,0)),"")</f>
        <v/>
      </c>
    </row>
    <row r="89" spans="2:38">
      <c r="B89" s="110">
        <v>80</v>
      </c>
      <c r="C89" s="165"/>
      <c r="D89" s="165"/>
      <c r="E89" s="121"/>
      <c r="F89" s="411" t="str">
        <f>IF(D89="","",VLOOKUP(D89,'G-6 Hedgerow Data'!$B$2:$AG$15,2,FALSE))</f>
        <v/>
      </c>
      <c r="G89" s="363" t="str">
        <f>IF(D89="","",VLOOKUP(D89,'G-6 Hedgerow Data'!$B$2:$AG$15,3,FALSE))</f>
        <v/>
      </c>
      <c r="H89" s="114"/>
      <c r="I89" s="363" t="str">
        <f>IFERROR(VLOOKUP(H89,'G-1 All Habitats'!$Z$2:$AA$9,2,FALSE),"")</f>
        <v/>
      </c>
      <c r="J89" s="114"/>
      <c r="K89" s="370" t="str">
        <f>IF(J89="","",IF(VLOOKUP(J89,'G-3 Multipliers'!$L$3:$N$6,2,FALSE)=0,"Spatial Data Missing",VLOOKUP(J89,'G-3 Multipliers'!$L$3:$N$6,2,FALSE)))</f>
        <v/>
      </c>
      <c r="L89" s="368" t="str">
        <f>IF(J89="","",IF(VLOOKUP(J89,'G-3 Multipliers'!$L$3:$N$6,3,FALSE)=0,"Spatial Data Missing ⚠",VLOOKUP(J89,'G-3 Multipliers'!$L$3:$N$6,3,FALSE)))</f>
        <v/>
      </c>
      <c r="M89" s="369" t="str">
        <f>IF(D89="","",VLOOKUP(D89,'G-6 Hedgerow Data'!$B$1:$AH$15,33,FALSE))</f>
        <v/>
      </c>
      <c r="N89" s="376" t="str">
        <f t="shared" si="9"/>
        <v/>
      </c>
      <c r="O89" s="32"/>
      <c r="P89" s="122"/>
      <c r="Q89" s="165"/>
      <c r="R89" s="393" t="str">
        <f t="shared" si="10"/>
        <v/>
      </c>
      <c r="S89" s="393" t="str">
        <f t="shared" si="11"/>
        <v/>
      </c>
      <c r="T89" s="393" t="str">
        <f t="shared" si="12"/>
        <v/>
      </c>
      <c r="U89" s="415" t="str">
        <f t="shared" si="13"/>
        <v/>
      </c>
      <c r="V89" s="119"/>
      <c r="W89" s="120"/>
      <c r="X89" s="120"/>
      <c r="AE89" s="124" t="str">
        <f t="shared" si="7"/>
        <v/>
      </c>
      <c r="AF89" s="124" t="str">
        <f t="shared" si="8"/>
        <v/>
      </c>
      <c r="AH89" s="124">
        <v>80</v>
      </c>
      <c r="AJ89" s="124" t="str">
        <f t="array" ref="AJ89">IFERROR(INDEX($AH$10:$AH$258, MATCH(0, IF(TRUE=$AE$10:$AE$258, COUNTIF($AJ$9:$AJ88, $AH$10:$AH$258), ""), 0)),"")</f>
        <v/>
      </c>
      <c r="AK89" s="124" t="str">
        <f t="array" ref="AK89">IFERROR(INDEX($AH$10:$AH$258, MATCH(0, IF(TRUE=$AF$10:$AF$258, COUNTIF($AK$9:$AK88, $AH$10:$AH$258), ""), 0)),"")</f>
        <v/>
      </c>
      <c r="AL89" s="30" t="str">
        <f>IFERROR(INDEX('G-6 Hedgerow Data'!$BJ$3:$BJ$15,MATCH(D89,'G-6 Hedgerow Data'!$B$3:$B$15,0)),"")</f>
        <v/>
      </c>
    </row>
    <row r="90" spans="2:38">
      <c r="B90" s="110">
        <v>81</v>
      </c>
      <c r="C90" s="165"/>
      <c r="D90" s="165"/>
      <c r="E90" s="121"/>
      <c r="F90" s="411" t="str">
        <f>IF(D90="","",VLOOKUP(D90,'G-6 Hedgerow Data'!$B$2:$AG$15,2,FALSE))</f>
        <v/>
      </c>
      <c r="G90" s="363" t="str">
        <f>IF(D90="","",VLOOKUP(D90,'G-6 Hedgerow Data'!$B$2:$AG$15,3,FALSE))</f>
        <v/>
      </c>
      <c r="H90" s="114"/>
      <c r="I90" s="363" t="str">
        <f>IFERROR(VLOOKUP(H90,'G-1 All Habitats'!$Z$2:$AA$9,2,FALSE),"")</f>
        <v/>
      </c>
      <c r="J90" s="114"/>
      <c r="K90" s="370" t="str">
        <f>IF(J90="","",IF(VLOOKUP(J90,'G-3 Multipliers'!$L$3:$N$6,2,FALSE)=0,"Spatial Data Missing",VLOOKUP(J90,'G-3 Multipliers'!$L$3:$N$6,2,FALSE)))</f>
        <v/>
      </c>
      <c r="L90" s="368" t="str">
        <f>IF(J90="","",IF(VLOOKUP(J90,'G-3 Multipliers'!$L$3:$N$6,3,FALSE)=0,"Spatial Data Missing ⚠",VLOOKUP(J90,'G-3 Multipliers'!$L$3:$N$6,3,FALSE)))</f>
        <v/>
      </c>
      <c r="M90" s="369" t="str">
        <f>IF(D90="","",VLOOKUP(D90,'G-6 Hedgerow Data'!$B$1:$AH$15,33,FALSE))</f>
        <v/>
      </c>
      <c r="N90" s="376" t="str">
        <f t="shared" si="9"/>
        <v/>
      </c>
      <c r="O90" s="32"/>
      <c r="P90" s="122"/>
      <c r="Q90" s="165"/>
      <c r="R90" s="393" t="str">
        <f t="shared" si="10"/>
        <v/>
      </c>
      <c r="S90" s="393" t="str">
        <f t="shared" si="11"/>
        <v/>
      </c>
      <c r="T90" s="393" t="str">
        <f t="shared" si="12"/>
        <v/>
      </c>
      <c r="U90" s="415" t="str">
        <f t="shared" si="13"/>
        <v/>
      </c>
      <c r="V90" s="119"/>
      <c r="W90" s="120"/>
      <c r="X90" s="120"/>
      <c r="AE90" s="124" t="str">
        <f t="shared" si="7"/>
        <v/>
      </c>
      <c r="AF90" s="124" t="str">
        <f t="shared" si="8"/>
        <v/>
      </c>
      <c r="AH90" s="124">
        <v>81</v>
      </c>
      <c r="AJ90" s="124" t="str">
        <f t="array" ref="AJ90">IFERROR(INDEX($AH$10:$AH$258, MATCH(0, IF(TRUE=$AE$10:$AE$258, COUNTIF($AJ$9:$AJ89, $AH$10:$AH$258), ""), 0)),"")</f>
        <v/>
      </c>
      <c r="AK90" s="124" t="str">
        <f t="array" ref="AK90">IFERROR(INDEX($AH$10:$AH$258, MATCH(0, IF(TRUE=$AF$10:$AF$258, COUNTIF($AK$9:$AK89, $AH$10:$AH$258), ""), 0)),"")</f>
        <v/>
      </c>
      <c r="AL90" s="30" t="str">
        <f>IFERROR(INDEX('G-6 Hedgerow Data'!$BJ$3:$BJ$15,MATCH(D90,'G-6 Hedgerow Data'!$B$3:$B$15,0)),"")</f>
        <v/>
      </c>
    </row>
    <row r="91" spans="2:38">
      <c r="B91" s="110">
        <v>82</v>
      </c>
      <c r="C91" s="165"/>
      <c r="D91" s="165"/>
      <c r="E91" s="121"/>
      <c r="F91" s="411" t="str">
        <f>IF(D91="","",VLOOKUP(D91,'G-6 Hedgerow Data'!$B$2:$AG$15,2,FALSE))</f>
        <v/>
      </c>
      <c r="G91" s="363" t="str">
        <f>IF(D91="","",VLOOKUP(D91,'G-6 Hedgerow Data'!$B$2:$AG$15,3,FALSE))</f>
        <v/>
      </c>
      <c r="H91" s="114"/>
      <c r="I91" s="363" t="str">
        <f>IFERROR(VLOOKUP(H91,'G-1 All Habitats'!$Z$2:$AA$9,2,FALSE),"")</f>
        <v/>
      </c>
      <c r="J91" s="114"/>
      <c r="K91" s="370" t="str">
        <f>IF(J91="","",IF(VLOOKUP(J91,'G-3 Multipliers'!$L$3:$N$6,2,FALSE)=0,"Spatial Data Missing",VLOOKUP(J91,'G-3 Multipliers'!$L$3:$N$6,2,FALSE)))</f>
        <v/>
      </c>
      <c r="L91" s="368" t="str">
        <f>IF(J91="","",IF(VLOOKUP(J91,'G-3 Multipliers'!$L$3:$N$6,3,FALSE)=0,"Spatial Data Missing ⚠",VLOOKUP(J91,'G-3 Multipliers'!$L$3:$N$6,3,FALSE)))</f>
        <v/>
      </c>
      <c r="M91" s="369" t="str">
        <f>IF(D91="","",VLOOKUP(D91,'G-6 Hedgerow Data'!$B$1:$AH$15,33,FALSE))</f>
        <v/>
      </c>
      <c r="N91" s="376" t="str">
        <f t="shared" si="9"/>
        <v/>
      </c>
      <c r="O91" s="32"/>
      <c r="P91" s="122"/>
      <c r="Q91" s="165"/>
      <c r="R91" s="393" t="str">
        <f t="shared" si="10"/>
        <v/>
      </c>
      <c r="S91" s="393" t="str">
        <f t="shared" si="11"/>
        <v/>
      </c>
      <c r="T91" s="393" t="str">
        <f t="shared" si="12"/>
        <v/>
      </c>
      <c r="U91" s="415" t="str">
        <f t="shared" si="13"/>
        <v/>
      </c>
      <c r="V91" s="119"/>
      <c r="W91" s="120"/>
      <c r="X91" s="120"/>
      <c r="AE91" s="124" t="str">
        <f t="shared" si="7"/>
        <v/>
      </c>
      <c r="AF91" s="124" t="str">
        <f t="shared" si="8"/>
        <v/>
      </c>
      <c r="AH91" s="124">
        <v>82</v>
      </c>
      <c r="AJ91" s="124" t="str">
        <f t="array" ref="AJ91">IFERROR(INDEX($AH$10:$AH$258, MATCH(0, IF(TRUE=$AE$10:$AE$258, COUNTIF($AJ$9:$AJ90, $AH$10:$AH$258), ""), 0)),"")</f>
        <v/>
      </c>
      <c r="AK91" s="124" t="str">
        <f t="array" ref="AK91">IFERROR(INDEX($AH$10:$AH$258, MATCH(0, IF(TRUE=$AF$10:$AF$258, COUNTIF($AK$9:$AK90, $AH$10:$AH$258), ""), 0)),"")</f>
        <v/>
      </c>
      <c r="AL91" s="30" t="str">
        <f>IFERROR(INDEX('G-6 Hedgerow Data'!$BJ$3:$BJ$15,MATCH(D91,'G-6 Hedgerow Data'!$B$3:$B$15,0)),"")</f>
        <v/>
      </c>
    </row>
    <row r="92" spans="2:38">
      <c r="B92" s="110">
        <v>83</v>
      </c>
      <c r="C92" s="165"/>
      <c r="D92" s="165"/>
      <c r="E92" s="121"/>
      <c r="F92" s="411" t="str">
        <f>IF(D92="","",VLOOKUP(D92,'G-6 Hedgerow Data'!$B$2:$AG$15,2,FALSE))</f>
        <v/>
      </c>
      <c r="G92" s="363" t="str">
        <f>IF(D92="","",VLOOKUP(D92,'G-6 Hedgerow Data'!$B$2:$AG$15,3,FALSE))</f>
        <v/>
      </c>
      <c r="H92" s="114"/>
      <c r="I92" s="363" t="str">
        <f>IFERROR(VLOOKUP(H92,'G-1 All Habitats'!$Z$2:$AA$9,2,FALSE),"")</f>
        <v/>
      </c>
      <c r="J92" s="114"/>
      <c r="K92" s="370" t="str">
        <f>IF(J92="","",IF(VLOOKUP(J92,'G-3 Multipliers'!$L$3:$N$6,2,FALSE)=0,"Spatial Data Missing",VLOOKUP(J92,'G-3 Multipliers'!$L$3:$N$6,2,FALSE)))</f>
        <v/>
      </c>
      <c r="L92" s="368" t="str">
        <f>IF(J92="","",IF(VLOOKUP(J92,'G-3 Multipliers'!$L$3:$N$6,3,FALSE)=0,"Spatial Data Missing ⚠",VLOOKUP(J92,'G-3 Multipliers'!$L$3:$N$6,3,FALSE)))</f>
        <v/>
      </c>
      <c r="M92" s="369" t="str">
        <f>IF(D92="","",VLOOKUP(D92,'G-6 Hedgerow Data'!$B$1:$AH$15,33,FALSE))</f>
        <v/>
      </c>
      <c r="N92" s="376" t="str">
        <f t="shared" si="9"/>
        <v/>
      </c>
      <c r="O92" s="32"/>
      <c r="P92" s="122"/>
      <c r="Q92" s="165"/>
      <c r="R92" s="393" t="str">
        <f t="shared" si="10"/>
        <v/>
      </c>
      <c r="S92" s="393" t="str">
        <f t="shared" si="11"/>
        <v/>
      </c>
      <c r="T92" s="393" t="str">
        <f t="shared" si="12"/>
        <v/>
      </c>
      <c r="U92" s="415" t="str">
        <f t="shared" si="13"/>
        <v/>
      </c>
      <c r="V92" s="119"/>
      <c r="W92" s="120"/>
      <c r="X92" s="120"/>
      <c r="AE92" s="124" t="str">
        <f t="shared" si="7"/>
        <v/>
      </c>
      <c r="AF92" s="124" t="str">
        <f t="shared" si="8"/>
        <v/>
      </c>
      <c r="AH92" s="124">
        <v>83</v>
      </c>
      <c r="AJ92" s="124" t="str">
        <f t="array" ref="AJ92">IFERROR(INDEX($AH$10:$AH$258, MATCH(0, IF(TRUE=$AE$10:$AE$258, COUNTIF($AJ$9:$AJ91, $AH$10:$AH$258), ""), 0)),"")</f>
        <v/>
      </c>
      <c r="AK92" s="124" t="str">
        <f t="array" ref="AK92">IFERROR(INDEX($AH$10:$AH$258, MATCH(0, IF(TRUE=$AF$10:$AF$258, COUNTIF($AK$9:$AK91, $AH$10:$AH$258), ""), 0)),"")</f>
        <v/>
      </c>
      <c r="AL92" s="30" t="str">
        <f>IFERROR(INDEX('G-6 Hedgerow Data'!$BJ$3:$BJ$15,MATCH(D92,'G-6 Hedgerow Data'!$B$3:$B$15,0)),"")</f>
        <v/>
      </c>
    </row>
    <row r="93" spans="2:38">
      <c r="B93" s="110">
        <v>84</v>
      </c>
      <c r="C93" s="165"/>
      <c r="D93" s="165"/>
      <c r="E93" s="121"/>
      <c r="F93" s="411" t="str">
        <f>IF(D93="","",VLOOKUP(D93,'G-6 Hedgerow Data'!$B$2:$AG$15,2,FALSE))</f>
        <v/>
      </c>
      <c r="G93" s="363" t="str">
        <f>IF(D93="","",VLOOKUP(D93,'G-6 Hedgerow Data'!$B$2:$AG$15,3,FALSE))</f>
        <v/>
      </c>
      <c r="H93" s="114"/>
      <c r="I93" s="363" t="str">
        <f>IFERROR(VLOOKUP(H93,'G-1 All Habitats'!$Z$2:$AA$9,2,FALSE),"")</f>
        <v/>
      </c>
      <c r="J93" s="114"/>
      <c r="K93" s="370" t="str">
        <f>IF(J93="","",IF(VLOOKUP(J93,'G-3 Multipliers'!$L$3:$N$6,2,FALSE)=0,"Spatial Data Missing",VLOOKUP(J93,'G-3 Multipliers'!$L$3:$N$6,2,FALSE)))</f>
        <v/>
      </c>
      <c r="L93" s="368" t="str">
        <f>IF(J93="","",IF(VLOOKUP(J93,'G-3 Multipliers'!$L$3:$N$6,3,FALSE)=0,"Spatial Data Missing ⚠",VLOOKUP(J93,'G-3 Multipliers'!$L$3:$N$6,3,FALSE)))</f>
        <v/>
      </c>
      <c r="M93" s="369" t="str">
        <f>IF(D93="","",VLOOKUP(D93,'G-6 Hedgerow Data'!$B$1:$AH$15,33,FALSE))</f>
        <v/>
      </c>
      <c r="N93" s="376" t="str">
        <f t="shared" si="9"/>
        <v/>
      </c>
      <c r="O93" s="32"/>
      <c r="P93" s="122"/>
      <c r="Q93" s="165"/>
      <c r="R93" s="393" t="str">
        <f t="shared" si="10"/>
        <v/>
      </c>
      <c r="S93" s="393" t="str">
        <f t="shared" si="11"/>
        <v/>
      </c>
      <c r="T93" s="393" t="str">
        <f t="shared" si="12"/>
        <v/>
      </c>
      <c r="U93" s="415" t="str">
        <f t="shared" si="13"/>
        <v/>
      </c>
      <c r="V93" s="119"/>
      <c r="W93" s="120"/>
      <c r="X93" s="120"/>
      <c r="AE93" s="124" t="str">
        <f t="shared" si="7"/>
        <v/>
      </c>
      <c r="AF93" s="124" t="str">
        <f t="shared" si="8"/>
        <v/>
      </c>
      <c r="AH93" s="124">
        <v>84</v>
      </c>
      <c r="AJ93" s="124" t="str">
        <f t="array" ref="AJ93">IFERROR(INDEX($AH$10:$AH$258, MATCH(0, IF(TRUE=$AE$10:$AE$258, COUNTIF($AJ$9:$AJ92, $AH$10:$AH$258), ""), 0)),"")</f>
        <v/>
      </c>
      <c r="AK93" s="124" t="str">
        <f t="array" ref="AK93">IFERROR(INDEX($AH$10:$AH$258, MATCH(0, IF(TRUE=$AF$10:$AF$258, COUNTIF($AK$9:$AK92, $AH$10:$AH$258), ""), 0)),"")</f>
        <v/>
      </c>
      <c r="AL93" s="30" t="str">
        <f>IFERROR(INDEX('G-6 Hedgerow Data'!$BJ$3:$BJ$15,MATCH(D93,'G-6 Hedgerow Data'!$B$3:$B$15,0)),"")</f>
        <v/>
      </c>
    </row>
    <row r="94" spans="2:38">
      <c r="B94" s="110">
        <v>85</v>
      </c>
      <c r="C94" s="165"/>
      <c r="D94" s="165"/>
      <c r="E94" s="121"/>
      <c r="F94" s="411" t="str">
        <f>IF(D94="","",VLOOKUP(D94,'G-6 Hedgerow Data'!$B$2:$AG$15,2,FALSE))</f>
        <v/>
      </c>
      <c r="G94" s="363" t="str">
        <f>IF(D94="","",VLOOKUP(D94,'G-6 Hedgerow Data'!$B$2:$AG$15,3,FALSE))</f>
        <v/>
      </c>
      <c r="H94" s="114"/>
      <c r="I94" s="363" t="str">
        <f>IFERROR(VLOOKUP(H94,'G-1 All Habitats'!$Z$2:$AA$9,2,FALSE),"")</f>
        <v/>
      </c>
      <c r="J94" s="114"/>
      <c r="K94" s="370" t="str">
        <f>IF(J94="","",IF(VLOOKUP(J94,'G-3 Multipliers'!$L$3:$N$6,2,FALSE)=0,"Spatial Data Missing",VLOOKUP(J94,'G-3 Multipliers'!$L$3:$N$6,2,FALSE)))</f>
        <v/>
      </c>
      <c r="L94" s="368" t="str">
        <f>IF(J94="","",IF(VLOOKUP(J94,'G-3 Multipliers'!$L$3:$N$6,3,FALSE)=0,"Spatial Data Missing ⚠",VLOOKUP(J94,'G-3 Multipliers'!$L$3:$N$6,3,FALSE)))</f>
        <v/>
      </c>
      <c r="M94" s="369" t="str">
        <f>IF(D94="","",VLOOKUP(D94,'G-6 Hedgerow Data'!$B$1:$AH$15,33,FALSE))</f>
        <v/>
      </c>
      <c r="N94" s="376" t="str">
        <f t="shared" si="9"/>
        <v/>
      </c>
      <c r="O94" s="32"/>
      <c r="P94" s="122"/>
      <c r="Q94" s="165"/>
      <c r="R94" s="393" t="str">
        <f t="shared" si="10"/>
        <v/>
      </c>
      <c r="S94" s="393" t="str">
        <f t="shared" si="11"/>
        <v/>
      </c>
      <c r="T94" s="393" t="str">
        <f t="shared" si="12"/>
        <v/>
      </c>
      <c r="U94" s="415" t="str">
        <f t="shared" si="13"/>
        <v/>
      </c>
      <c r="V94" s="119"/>
      <c r="W94" s="120"/>
      <c r="X94" s="120"/>
      <c r="AE94" s="124" t="str">
        <f t="shared" si="7"/>
        <v/>
      </c>
      <c r="AF94" s="124" t="str">
        <f t="shared" si="8"/>
        <v/>
      </c>
      <c r="AH94" s="124">
        <v>85</v>
      </c>
      <c r="AJ94" s="124" t="str">
        <f t="array" ref="AJ94">IFERROR(INDEX($AH$10:$AH$258, MATCH(0, IF(TRUE=$AE$10:$AE$258, COUNTIF($AJ$9:$AJ93, $AH$10:$AH$258), ""), 0)),"")</f>
        <v/>
      </c>
      <c r="AK94" s="124" t="str">
        <f t="array" ref="AK94">IFERROR(INDEX($AH$10:$AH$258, MATCH(0, IF(TRUE=$AF$10:$AF$258, COUNTIF($AK$9:$AK93, $AH$10:$AH$258), ""), 0)),"")</f>
        <v/>
      </c>
      <c r="AL94" s="30" t="str">
        <f>IFERROR(INDEX('G-6 Hedgerow Data'!$BJ$3:$BJ$15,MATCH(D94,'G-6 Hedgerow Data'!$B$3:$B$15,0)),"")</f>
        <v/>
      </c>
    </row>
    <row r="95" spans="2:38">
      <c r="B95" s="110">
        <v>86</v>
      </c>
      <c r="C95" s="165"/>
      <c r="D95" s="165"/>
      <c r="E95" s="121"/>
      <c r="F95" s="411" t="str">
        <f>IF(D95="","",VLOOKUP(D95,'G-6 Hedgerow Data'!$B$2:$AG$15,2,FALSE))</f>
        <v/>
      </c>
      <c r="G95" s="363" t="str">
        <f>IF(D95="","",VLOOKUP(D95,'G-6 Hedgerow Data'!$B$2:$AG$15,3,FALSE))</f>
        <v/>
      </c>
      <c r="H95" s="114"/>
      <c r="I95" s="363" t="str">
        <f>IFERROR(VLOOKUP(H95,'G-1 All Habitats'!$Z$2:$AA$9,2,FALSE),"")</f>
        <v/>
      </c>
      <c r="J95" s="114"/>
      <c r="K95" s="370" t="str">
        <f>IF(J95="","",IF(VLOOKUP(J95,'G-3 Multipliers'!$L$3:$N$6,2,FALSE)=0,"Spatial Data Missing",VLOOKUP(J95,'G-3 Multipliers'!$L$3:$N$6,2,FALSE)))</f>
        <v/>
      </c>
      <c r="L95" s="368" t="str">
        <f>IF(J95="","",IF(VLOOKUP(J95,'G-3 Multipliers'!$L$3:$N$6,3,FALSE)=0,"Spatial Data Missing ⚠",VLOOKUP(J95,'G-3 Multipliers'!$L$3:$N$6,3,FALSE)))</f>
        <v/>
      </c>
      <c r="M95" s="369" t="str">
        <f>IF(D95="","",VLOOKUP(D95,'G-6 Hedgerow Data'!$B$1:$AH$15,33,FALSE))</f>
        <v/>
      </c>
      <c r="N95" s="376" t="str">
        <f t="shared" si="9"/>
        <v/>
      </c>
      <c r="O95" s="32"/>
      <c r="P95" s="122"/>
      <c r="Q95" s="165"/>
      <c r="R95" s="393" t="str">
        <f t="shared" si="10"/>
        <v/>
      </c>
      <c r="S95" s="393" t="str">
        <f t="shared" si="11"/>
        <v/>
      </c>
      <c r="T95" s="393" t="str">
        <f t="shared" si="12"/>
        <v/>
      </c>
      <c r="U95" s="415" t="str">
        <f t="shared" si="13"/>
        <v/>
      </c>
      <c r="V95" s="119"/>
      <c r="W95" s="120"/>
      <c r="X95" s="120"/>
      <c r="AE95" s="124" t="str">
        <f t="shared" si="7"/>
        <v/>
      </c>
      <c r="AF95" s="124" t="str">
        <f t="shared" si="8"/>
        <v/>
      </c>
      <c r="AH95" s="124">
        <v>86</v>
      </c>
      <c r="AJ95" s="124" t="str">
        <f t="array" ref="AJ95">IFERROR(INDEX($AH$10:$AH$258, MATCH(0, IF(TRUE=$AE$10:$AE$258, COUNTIF($AJ$9:$AJ94, $AH$10:$AH$258), ""), 0)),"")</f>
        <v/>
      </c>
      <c r="AK95" s="124" t="str">
        <f t="array" ref="AK95">IFERROR(INDEX($AH$10:$AH$258, MATCH(0, IF(TRUE=$AF$10:$AF$258, COUNTIF($AK$9:$AK94, $AH$10:$AH$258), ""), 0)),"")</f>
        <v/>
      </c>
      <c r="AL95" s="30" t="str">
        <f>IFERROR(INDEX('G-6 Hedgerow Data'!$BJ$3:$BJ$15,MATCH(D95,'G-6 Hedgerow Data'!$B$3:$B$15,0)),"")</f>
        <v/>
      </c>
    </row>
    <row r="96" spans="2:38">
      <c r="B96" s="110">
        <v>87</v>
      </c>
      <c r="C96" s="165"/>
      <c r="D96" s="165"/>
      <c r="E96" s="121"/>
      <c r="F96" s="411" t="str">
        <f>IF(D96="","",VLOOKUP(D96,'G-6 Hedgerow Data'!$B$2:$AG$15,2,FALSE))</f>
        <v/>
      </c>
      <c r="G96" s="363" t="str">
        <f>IF(D96="","",VLOOKUP(D96,'G-6 Hedgerow Data'!$B$2:$AG$15,3,FALSE))</f>
        <v/>
      </c>
      <c r="H96" s="114"/>
      <c r="I96" s="363" t="str">
        <f>IFERROR(VLOOKUP(H96,'G-1 All Habitats'!$Z$2:$AA$9,2,FALSE),"")</f>
        <v/>
      </c>
      <c r="J96" s="114"/>
      <c r="K96" s="370" t="str">
        <f>IF(J96="","",IF(VLOOKUP(J96,'G-3 Multipliers'!$L$3:$N$6,2,FALSE)=0,"Spatial Data Missing",VLOOKUP(J96,'G-3 Multipliers'!$L$3:$N$6,2,FALSE)))</f>
        <v/>
      </c>
      <c r="L96" s="368" t="str">
        <f>IF(J96="","",IF(VLOOKUP(J96,'G-3 Multipliers'!$L$3:$N$6,3,FALSE)=0,"Spatial Data Missing ⚠",VLOOKUP(J96,'G-3 Multipliers'!$L$3:$N$6,3,FALSE)))</f>
        <v/>
      </c>
      <c r="M96" s="369" t="str">
        <f>IF(D96="","",VLOOKUP(D96,'G-6 Hedgerow Data'!$B$1:$AH$15,33,FALSE))</f>
        <v/>
      </c>
      <c r="N96" s="376" t="str">
        <f t="shared" si="9"/>
        <v/>
      </c>
      <c r="O96" s="32"/>
      <c r="P96" s="122"/>
      <c r="Q96" s="165"/>
      <c r="R96" s="393" t="str">
        <f t="shared" si="10"/>
        <v/>
      </c>
      <c r="S96" s="393" t="str">
        <f t="shared" si="11"/>
        <v/>
      </c>
      <c r="T96" s="393" t="str">
        <f t="shared" si="12"/>
        <v/>
      </c>
      <c r="U96" s="415" t="str">
        <f t="shared" si="13"/>
        <v/>
      </c>
      <c r="V96" s="119"/>
      <c r="W96" s="120"/>
      <c r="X96" s="120"/>
      <c r="AE96" s="124" t="str">
        <f t="shared" si="7"/>
        <v/>
      </c>
      <c r="AF96" s="124" t="str">
        <f t="shared" si="8"/>
        <v/>
      </c>
      <c r="AH96" s="124">
        <v>87</v>
      </c>
      <c r="AJ96" s="124" t="str">
        <f t="array" ref="AJ96">IFERROR(INDEX($AH$10:$AH$258, MATCH(0, IF(TRUE=$AE$10:$AE$258, COUNTIF($AJ$9:$AJ95, $AH$10:$AH$258), ""), 0)),"")</f>
        <v/>
      </c>
      <c r="AK96" s="124" t="str">
        <f t="array" ref="AK96">IFERROR(INDEX($AH$10:$AH$258, MATCH(0, IF(TRUE=$AF$10:$AF$258, COUNTIF($AK$9:$AK95, $AH$10:$AH$258), ""), 0)),"")</f>
        <v/>
      </c>
      <c r="AL96" s="30" t="str">
        <f>IFERROR(INDEX('G-6 Hedgerow Data'!$BJ$3:$BJ$15,MATCH(D96,'G-6 Hedgerow Data'!$B$3:$B$15,0)),"")</f>
        <v/>
      </c>
    </row>
    <row r="97" spans="2:38">
      <c r="B97" s="110">
        <v>88</v>
      </c>
      <c r="C97" s="165"/>
      <c r="D97" s="165"/>
      <c r="E97" s="121"/>
      <c r="F97" s="411" t="str">
        <f>IF(D97="","",VLOOKUP(D97,'G-6 Hedgerow Data'!$B$2:$AG$15,2,FALSE))</f>
        <v/>
      </c>
      <c r="G97" s="363" t="str">
        <f>IF(D97="","",VLOOKUP(D97,'G-6 Hedgerow Data'!$B$2:$AG$15,3,FALSE))</f>
        <v/>
      </c>
      <c r="H97" s="114"/>
      <c r="I97" s="363" t="str">
        <f>IFERROR(VLOOKUP(H97,'G-1 All Habitats'!$Z$2:$AA$9,2,FALSE),"")</f>
        <v/>
      </c>
      <c r="J97" s="114"/>
      <c r="K97" s="370" t="str">
        <f>IF(J97="","",IF(VLOOKUP(J97,'G-3 Multipliers'!$L$3:$N$6,2,FALSE)=0,"Spatial Data Missing",VLOOKUP(J97,'G-3 Multipliers'!$L$3:$N$6,2,FALSE)))</f>
        <v/>
      </c>
      <c r="L97" s="368" t="str">
        <f>IF(J97="","",IF(VLOOKUP(J97,'G-3 Multipliers'!$L$3:$N$6,3,FALSE)=0,"Spatial Data Missing ⚠",VLOOKUP(J97,'G-3 Multipliers'!$L$3:$N$6,3,FALSE)))</f>
        <v/>
      </c>
      <c r="M97" s="369" t="str">
        <f>IF(D97="","",VLOOKUP(D97,'G-6 Hedgerow Data'!$B$1:$AH$15,33,FALSE))</f>
        <v/>
      </c>
      <c r="N97" s="376" t="str">
        <f t="shared" si="9"/>
        <v/>
      </c>
      <c r="O97" s="32"/>
      <c r="P97" s="122"/>
      <c r="Q97" s="165"/>
      <c r="R97" s="393" t="str">
        <f t="shared" si="10"/>
        <v/>
      </c>
      <c r="S97" s="393" t="str">
        <f t="shared" si="11"/>
        <v/>
      </c>
      <c r="T97" s="393" t="str">
        <f t="shared" si="12"/>
        <v/>
      </c>
      <c r="U97" s="415" t="str">
        <f t="shared" si="13"/>
        <v/>
      </c>
      <c r="V97" s="119"/>
      <c r="W97" s="120"/>
      <c r="X97" s="120"/>
      <c r="AE97" s="124" t="str">
        <f t="shared" si="7"/>
        <v/>
      </c>
      <c r="AF97" s="124" t="str">
        <f t="shared" si="8"/>
        <v/>
      </c>
      <c r="AH97" s="124">
        <v>88</v>
      </c>
      <c r="AJ97" s="124" t="str">
        <f t="array" ref="AJ97">IFERROR(INDEX($AH$10:$AH$258, MATCH(0, IF(TRUE=$AE$10:$AE$258, COUNTIF($AJ$9:$AJ96, $AH$10:$AH$258), ""), 0)),"")</f>
        <v/>
      </c>
      <c r="AK97" s="124" t="str">
        <f t="array" ref="AK97">IFERROR(INDEX($AH$10:$AH$258, MATCH(0, IF(TRUE=$AF$10:$AF$258, COUNTIF($AK$9:$AK96, $AH$10:$AH$258), ""), 0)),"")</f>
        <v/>
      </c>
      <c r="AL97" s="30" t="str">
        <f>IFERROR(INDEX('G-6 Hedgerow Data'!$BJ$3:$BJ$15,MATCH(D97,'G-6 Hedgerow Data'!$B$3:$B$15,0)),"")</f>
        <v/>
      </c>
    </row>
    <row r="98" spans="2:38">
      <c r="B98" s="110">
        <v>89</v>
      </c>
      <c r="C98" s="165"/>
      <c r="D98" s="165"/>
      <c r="E98" s="121"/>
      <c r="F98" s="411" t="str">
        <f>IF(D98="","",VLOOKUP(D98,'G-6 Hedgerow Data'!$B$2:$AG$15,2,FALSE))</f>
        <v/>
      </c>
      <c r="G98" s="363" t="str">
        <f>IF(D98="","",VLOOKUP(D98,'G-6 Hedgerow Data'!$B$2:$AG$15,3,FALSE))</f>
        <v/>
      </c>
      <c r="H98" s="114"/>
      <c r="I98" s="363" t="str">
        <f>IFERROR(VLOOKUP(H98,'G-1 All Habitats'!$Z$2:$AA$9,2,FALSE),"")</f>
        <v/>
      </c>
      <c r="J98" s="114"/>
      <c r="K98" s="370" t="str">
        <f>IF(J98="","",IF(VLOOKUP(J98,'G-3 Multipliers'!$L$3:$N$6,2,FALSE)=0,"Spatial Data Missing",VLOOKUP(J98,'G-3 Multipliers'!$L$3:$N$6,2,FALSE)))</f>
        <v/>
      </c>
      <c r="L98" s="368" t="str">
        <f>IF(J98="","",IF(VLOOKUP(J98,'G-3 Multipliers'!$L$3:$N$6,3,FALSE)=0,"Spatial Data Missing ⚠",VLOOKUP(J98,'G-3 Multipliers'!$L$3:$N$6,3,FALSE)))</f>
        <v/>
      </c>
      <c r="M98" s="369" t="str">
        <f>IF(D98="","",VLOOKUP(D98,'G-6 Hedgerow Data'!$B$1:$AH$15,33,FALSE))</f>
        <v/>
      </c>
      <c r="N98" s="376" t="str">
        <f t="shared" si="9"/>
        <v/>
      </c>
      <c r="O98" s="32"/>
      <c r="P98" s="122"/>
      <c r="Q98" s="165"/>
      <c r="R98" s="393" t="str">
        <f t="shared" si="10"/>
        <v/>
      </c>
      <c r="S98" s="393" t="str">
        <f t="shared" si="11"/>
        <v/>
      </c>
      <c r="T98" s="393" t="str">
        <f t="shared" si="12"/>
        <v/>
      </c>
      <c r="U98" s="415" t="str">
        <f t="shared" si="13"/>
        <v/>
      </c>
      <c r="V98" s="119"/>
      <c r="W98" s="120"/>
      <c r="X98" s="120"/>
      <c r="AE98" s="124" t="str">
        <f t="shared" si="7"/>
        <v/>
      </c>
      <c r="AF98" s="124" t="str">
        <f t="shared" si="8"/>
        <v/>
      </c>
      <c r="AH98" s="124">
        <v>89</v>
      </c>
      <c r="AJ98" s="124" t="str">
        <f t="array" ref="AJ98">IFERROR(INDEX($AH$10:$AH$258, MATCH(0, IF(TRUE=$AE$10:$AE$258, COUNTIF($AJ$9:$AJ97, $AH$10:$AH$258), ""), 0)),"")</f>
        <v/>
      </c>
      <c r="AK98" s="124" t="str">
        <f t="array" ref="AK98">IFERROR(INDEX($AH$10:$AH$258, MATCH(0, IF(TRUE=$AF$10:$AF$258, COUNTIF($AK$9:$AK97, $AH$10:$AH$258), ""), 0)),"")</f>
        <v/>
      </c>
      <c r="AL98" s="30" t="str">
        <f>IFERROR(INDEX('G-6 Hedgerow Data'!$BJ$3:$BJ$15,MATCH(D98,'G-6 Hedgerow Data'!$B$3:$B$15,0)),"")</f>
        <v/>
      </c>
    </row>
    <row r="99" spans="2:38">
      <c r="B99" s="110">
        <v>90</v>
      </c>
      <c r="C99" s="165"/>
      <c r="D99" s="165"/>
      <c r="E99" s="121"/>
      <c r="F99" s="411" t="str">
        <f>IF(D99="","",VLOOKUP(D99,'G-6 Hedgerow Data'!$B$2:$AG$15,2,FALSE))</f>
        <v/>
      </c>
      <c r="G99" s="363" t="str">
        <f>IF(D99="","",VLOOKUP(D99,'G-6 Hedgerow Data'!$B$2:$AG$15,3,FALSE))</f>
        <v/>
      </c>
      <c r="H99" s="114"/>
      <c r="I99" s="363" t="str">
        <f>IFERROR(VLOOKUP(H99,'G-1 All Habitats'!$Z$2:$AA$9,2,FALSE),"")</f>
        <v/>
      </c>
      <c r="J99" s="114"/>
      <c r="K99" s="370" t="str">
        <f>IF(J99="","",IF(VLOOKUP(J99,'G-3 Multipliers'!$L$3:$N$6,2,FALSE)=0,"Spatial Data Missing",VLOOKUP(J99,'G-3 Multipliers'!$L$3:$N$6,2,FALSE)))</f>
        <v/>
      </c>
      <c r="L99" s="368" t="str">
        <f>IF(J99="","",IF(VLOOKUP(J99,'G-3 Multipliers'!$L$3:$N$6,3,FALSE)=0,"Spatial Data Missing ⚠",VLOOKUP(J99,'G-3 Multipliers'!$L$3:$N$6,3,FALSE)))</f>
        <v/>
      </c>
      <c r="M99" s="369" t="str">
        <f>IF(D99="","",VLOOKUP(D99,'G-6 Hedgerow Data'!$B$1:$AH$15,33,FALSE))</f>
        <v/>
      </c>
      <c r="N99" s="376" t="str">
        <f t="shared" si="9"/>
        <v/>
      </c>
      <c r="O99" s="32"/>
      <c r="P99" s="122"/>
      <c r="Q99" s="165"/>
      <c r="R99" s="393" t="str">
        <f t="shared" si="10"/>
        <v/>
      </c>
      <c r="S99" s="393" t="str">
        <f t="shared" si="11"/>
        <v/>
      </c>
      <c r="T99" s="393" t="str">
        <f t="shared" si="12"/>
        <v/>
      </c>
      <c r="U99" s="415" t="str">
        <f t="shared" si="13"/>
        <v/>
      </c>
      <c r="V99" s="119"/>
      <c r="W99" s="120"/>
      <c r="X99" s="120"/>
      <c r="AE99" s="124" t="str">
        <f t="shared" si="7"/>
        <v/>
      </c>
      <c r="AF99" s="124" t="str">
        <f t="shared" si="8"/>
        <v/>
      </c>
      <c r="AH99" s="124">
        <v>90</v>
      </c>
      <c r="AJ99" s="124" t="str">
        <f t="array" ref="AJ99">IFERROR(INDEX($AH$10:$AH$258, MATCH(0, IF(TRUE=$AE$10:$AE$258, COUNTIF($AJ$9:$AJ98, $AH$10:$AH$258), ""), 0)),"")</f>
        <v/>
      </c>
      <c r="AK99" s="124" t="str">
        <f t="array" ref="AK99">IFERROR(INDEX($AH$10:$AH$258, MATCH(0, IF(TRUE=$AF$10:$AF$258, COUNTIF($AK$9:$AK98, $AH$10:$AH$258), ""), 0)),"")</f>
        <v/>
      </c>
      <c r="AL99" s="30" t="str">
        <f>IFERROR(INDEX('G-6 Hedgerow Data'!$BJ$3:$BJ$15,MATCH(D99,'G-6 Hedgerow Data'!$B$3:$B$15,0)),"")</f>
        <v/>
      </c>
    </row>
    <row r="100" spans="2:38">
      <c r="B100" s="110">
        <v>91</v>
      </c>
      <c r="C100" s="165"/>
      <c r="D100" s="165"/>
      <c r="E100" s="121"/>
      <c r="F100" s="411" t="str">
        <f>IF(D100="","",VLOOKUP(D100,'G-6 Hedgerow Data'!$B$2:$AG$15,2,FALSE))</f>
        <v/>
      </c>
      <c r="G100" s="363" t="str">
        <f>IF(D100="","",VLOOKUP(D100,'G-6 Hedgerow Data'!$B$2:$AG$15,3,FALSE))</f>
        <v/>
      </c>
      <c r="H100" s="114"/>
      <c r="I100" s="363" t="str">
        <f>IFERROR(VLOOKUP(H100,'G-1 All Habitats'!$Z$2:$AA$9,2,FALSE),"")</f>
        <v/>
      </c>
      <c r="J100" s="114"/>
      <c r="K100" s="370" t="str">
        <f>IF(J100="","",IF(VLOOKUP(J100,'G-3 Multipliers'!$L$3:$N$6,2,FALSE)=0,"Spatial Data Missing",VLOOKUP(J100,'G-3 Multipliers'!$L$3:$N$6,2,FALSE)))</f>
        <v/>
      </c>
      <c r="L100" s="368" t="str">
        <f>IF(J100="","",IF(VLOOKUP(J100,'G-3 Multipliers'!$L$3:$N$6,3,FALSE)=0,"Spatial Data Missing ⚠",VLOOKUP(J100,'G-3 Multipliers'!$L$3:$N$6,3,FALSE)))</f>
        <v/>
      </c>
      <c r="M100" s="369" t="str">
        <f>IF(D100="","",VLOOKUP(D100,'G-6 Hedgerow Data'!$B$1:$AH$15,33,FALSE))</f>
        <v/>
      </c>
      <c r="N100" s="376" t="str">
        <f t="shared" si="9"/>
        <v/>
      </c>
      <c r="O100" s="32"/>
      <c r="P100" s="122"/>
      <c r="Q100" s="165"/>
      <c r="R100" s="393" t="str">
        <f t="shared" si="10"/>
        <v/>
      </c>
      <c r="S100" s="393" t="str">
        <f t="shared" si="11"/>
        <v/>
      </c>
      <c r="T100" s="393" t="str">
        <f t="shared" si="12"/>
        <v/>
      </c>
      <c r="U100" s="415" t="str">
        <f t="shared" si="13"/>
        <v/>
      </c>
      <c r="V100" s="119"/>
      <c r="W100" s="120"/>
      <c r="X100" s="120"/>
      <c r="AE100" s="124" t="str">
        <f t="shared" si="7"/>
        <v/>
      </c>
      <c r="AF100" s="124" t="str">
        <f t="shared" si="8"/>
        <v/>
      </c>
      <c r="AH100" s="124">
        <v>91</v>
      </c>
      <c r="AJ100" s="124" t="str">
        <f t="array" ref="AJ100">IFERROR(INDEX($AH$10:$AH$258, MATCH(0, IF(TRUE=$AE$10:$AE$258, COUNTIF($AJ$9:$AJ99, $AH$10:$AH$258), ""), 0)),"")</f>
        <v/>
      </c>
      <c r="AK100" s="124" t="str">
        <f t="array" ref="AK100">IFERROR(INDEX($AH$10:$AH$258, MATCH(0, IF(TRUE=$AF$10:$AF$258, COUNTIF($AK$9:$AK99, $AH$10:$AH$258), ""), 0)),"")</f>
        <v/>
      </c>
      <c r="AL100" s="30" t="str">
        <f>IFERROR(INDEX('G-6 Hedgerow Data'!$BJ$3:$BJ$15,MATCH(D100,'G-6 Hedgerow Data'!$B$3:$B$15,0)),"")</f>
        <v/>
      </c>
    </row>
    <row r="101" spans="2:38">
      <c r="B101" s="110">
        <v>92</v>
      </c>
      <c r="C101" s="165"/>
      <c r="D101" s="165"/>
      <c r="E101" s="121"/>
      <c r="F101" s="411" t="str">
        <f>IF(D101="","",VLOOKUP(D101,'G-6 Hedgerow Data'!$B$2:$AG$15,2,FALSE))</f>
        <v/>
      </c>
      <c r="G101" s="363" t="str">
        <f>IF(D101="","",VLOOKUP(D101,'G-6 Hedgerow Data'!$B$2:$AG$15,3,FALSE))</f>
        <v/>
      </c>
      <c r="H101" s="114"/>
      <c r="I101" s="363" t="str">
        <f>IFERROR(VLOOKUP(H101,'G-1 All Habitats'!$Z$2:$AA$9,2,FALSE),"")</f>
        <v/>
      </c>
      <c r="J101" s="114"/>
      <c r="K101" s="370" t="str">
        <f>IF(J101="","",IF(VLOOKUP(J101,'G-3 Multipliers'!$L$3:$N$6,2,FALSE)=0,"Spatial Data Missing",VLOOKUP(J101,'G-3 Multipliers'!$L$3:$N$6,2,FALSE)))</f>
        <v/>
      </c>
      <c r="L101" s="368" t="str">
        <f>IF(J101="","",IF(VLOOKUP(J101,'G-3 Multipliers'!$L$3:$N$6,3,FALSE)=0,"Spatial Data Missing ⚠",VLOOKUP(J101,'G-3 Multipliers'!$L$3:$N$6,3,FALSE)))</f>
        <v/>
      </c>
      <c r="M101" s="369" t="str">
        <f>IF(D101="","",VLOOKUP(D101,'G-6 Hedgerow Data'!$B$1:$AH$15,33,FALSE))</f>
        <v/>
      </c>
      <c r="N101" s="376" t="str">
        <f t="shared" si="9"/>
        <v/>
      </c>
      <c r="O101" s="32"/>
      <c r="P101" s="122"/>
      <c r="Q101" s="165"/>
      <c r="R101" s="393" t="str">
        <f t="shared" si="10"/>
        <v/>
      </c>
      <c r="S101" s="393" t="str">
        <f t="shared" si="11"/>
        <v/>
      </c>
      <c r="T101" s="393" t="str">
        <f t="shared" si="12"/>
        <v/>
      </c>
      <c r="U101" s="415" t="str">
        <f t="shared" si="13"/>
        <v/>
      </c>
      <c r="V101" s="119"/>
      <c r="W101" s="120"/>
      <c r="X101" s="120"/>
      <c r="AE101" s="124" t="str">
        <f t="shared" si="7"/>
        <v/>
      </c>
      <c r="AF101" s="124" t="str">
        <f t="shared" si="8"/>
        <v/>
      </c>
      <c r="AH101" s="124">
        <v>92</v>
      </c>
      <c r="AJ101" s="124" t="str">
        <f t="array" ref="AJ101">IFERROR(INDEX($AH$10:$AH$258, MATCH(0, IF(TRUE=$AE$10:$AE$258, COUNTIF($AJ$9:$AJ100, $AH$10:$AH$258), ""), 0)),"")</f>
        <v/>
      </c>
      <c r="AK101" s="124" t="str">
        <f t="array" ref="AK101">IFERROR(INDEX($AH$10:$AH$258, MATCH(0, IF(TRUE=$AF$10:$AF$258, COUNTIF($AK$9:$AK100, $AH$10:$AH$258), ""), 0)),"")</f>
        <v/>
      </c>
      <c r="AL101" s="30" t="str">
        <f>IFERROR(INDEX('G-6 Hedgerow Data'!$BJ$3:$BJ$15,MATCH(D101,'G-6 Hedgerow Data'!$B$3:$B$15,0)),"")</f>
        <v/>
      </c>
    </row>
    <row r="102" spans="2:38">
      <c r="B102" s="110">
        <v>93</v>
      </c>
      <c r="C102" s="165"/>
      <c r="D102" s="165"/>
      <c r="E102" s="121"/>
      <c r="F102" s="411" t="str">
        <f>IF(D102="","",VLOOKUP(D102,'G-6 Hedgerow Data'!$B$2:$AG$15,2,FALSE))</f>
        <v/>
      </c>
      <c r="G102" s="363" t="str">
        <f>IF(D102="","",VLOOKUP(D102,'G-6 Hedgerow Data'!$B$2:$AG$15,3,FALSE))</f>
        <v/>
      </c>
      <c r="H102" s="114"/>
      <c r="I102" s="363" t="str">
        <f>IFERROR(VLOOKUP(H102,'G-1 All Habitats'!$Z$2:$AA$9,2,FALSE),"")</f>
        <v/>
      </c>
      <c r="J102" s="114"/>
      <c r="K102" s="370" t="str">
        <f>IF(J102="","",IF(VLOOKUP(J102,'G-3 Multipliers'!$L$3:$N$6,2,FALSE)=0,"Spatial Data Missing",VLOOKUP(J102,'G-3 Multipliers'!$L$3:$N$6,2,FALSE)))</f>
        <v/>
      </c>
      <c r="L102" s="368" t="str">
        <f>IF(J102="","",IF(VLOOKUP(J102,'G-3 Multipliers'!$L$3:$N$6,3,FALSE)=0,"Spatial Data Missing ⚠",VLOOKUP(J102,'G-3 Multipliers'!$L$3:$N$6,3,FALSE)))</f>
        <v/>
      </c>
      <c r="M102" s="369" t="str">
        <f>IF(D102="","",VLOOKUP(D102,'G-6 Hedgerow Data'!$B$1:$AH$15,33,FALSE))</f>
        <v/>
      </c>
      <c r="N102" s="376" t="str">
        <f t="shared" si="9"/>
        <v/>
      </c>
      <c r="O102" s="32"/>
      <c r="P102" s="122"/>
      <c r="Q102" s="165"/>
      <c r="R102" s="393" t="str">
        <f t="shared" si="10"/>
        <v/>
      </c>
      <c r="S102" s="393" t="str">
        <f t="shared" si="11"/>
        <v/>
      </c>
      <c r="T102" s="393" t="str">
        <f t="shared" si="12"/>
        <v/>
      </c>
      <c r="U102" s="415" t="str">
        <f t="shared" si="13"/>
        <v/>
      </c>
      <c r="V102" s="119"/>
      <c r="W102" s="120"/>
      <c r="X102" s="120"/>
      <c r="AE102" s="124" t="str">
        <f t="shared" si="7"/>
        <v/>
      </c>
      <c r="AF102" s="124" t="str">
        <f t="shared" si="8"/>
        <v/>
      </c>
      <c r="AH102" s="124">
        <v>93</v>
      </c>
      <c r="AJ102" s="124" t="str">
        <f t="array" ref="AJ102">IFERROR(INDEX($AH$10:$AH$258, MATCH(0, IF(TRUE=$AE$10:$AE$258, COUNTIF($AJ$9:$AJ101, $AH$10:$AH$258), ""), 0)),"")</f>
        <v/>
      </c>
      <c r="AK102" s="124" t="str">
        <f t="array" ref="AK102">IFERROR(INDEX($AH$10:$AH$258, MATCH(0, IF(TRUE=$AF$10:$AF$258, COUNTIF($AK$9:$AK101, $AH$10:$AH$258), ""), 0)),"")</f>
        <v/>
      </c>
      <c r="AL102" s="30" t="str">
        <f>IFERROR(INDEX('G-6 Hedgerow Data'!$BJ$3:$BJ$15,MATCH(D102,'G-6 Hedgerow Data'!$B$3:$B$15,0)),"")</f>
        <v/>
      </c>
    </row>
    <row r="103" spans="2:38">
      <c r="B103" s="110">
        <v>94</v>
      </c>
      <c r="C103" s="165"/>
      <c r="D103" s="165"/>
      <c r="E103" s="121"/>
      <c r="F103" s="411" t="str">
        <f>IF(D103="","",VLOOKUP(D103,'G-6 Hedgerow Data'!$B$2:$AG$15,2,FALSE))</f>
        <v/>
      </c>
      <c r="G103" s="363" t="str">
        <f>IF(D103="","",VLOOKUP(D103,'G-6 Hedgerow Data'!$B$2:$AG$15,3,FALSE))</f>
        <v/>
      </c>
      <c r="H103" s="114"/>
      <c r="I103" s="363" t="str">
        <f>IFERROR(VLOOKUP(H103,'G-1 All Habitats'!$Z$2:$AA$9,2,FALSE),"")</f>
        <v/>
      </c>
      <c r="J103" s="114"/>
      <c r="K103" s="370" t="str">
        <f>IF(J103="","",IF(VLOOKUP(J103,'G-3 Multipliers'!$L$3:$N$6,2,FALSE)=0,"Spatial Data Missing",VLOOKUP(J103,'G-3 Multipliers'!$L$3:$N$6,2,FALSE)))</f>
        <v/>
      </c>
      <c r="L103" s="368" t="str">
        <f>IF(J103="","",IF(VLOOKUP(J103,'G-3 Multipliers'!$L$3:$N$6,3,FALSE)=0,"Spatial Data Missing ⚠",VLOOKUP(J103,'G-3 Multipliers'!$L$3:$N$6,3,FALSE)))</f>
        <v/>
      </c>
      <c r="M103" s="369" t="str">
        <f>IF(D103="","",VLOOKUP(D103,'G-6 Hedgerow Data'!$B$1:$AH$15,33,FALSE))</f>
        <v/>
      </c>
      <c r="N103" s="376" t="str">
        <f t="shared" si="9"/>
        <v/>
      </c>
      <c r="O103" s="32"/>
      <c r="P103" s="122"/>
      <c r="Q103" s="165"/>
      <c r="R103" s="393" t="str">
        <f t="shared" si="10"/>
        <v/>
      </c>
      <c r="S103" s="393" t="str">
        <f t="shared" si="11"/>
        <v/>
      </c>
      <c r="T103" s="393" t="str">
        <f t="shared" si="12"/>
        <v/>
      </c>
      <c r="U103" s="415" t="str">
        <f t="shared" si="13"/>
        <v/>
      </c>
      <c r="V103" s="119"/>
      <c r="W103" s="120"/>
      <c r="X103" s="120"/>
      <c r="AE103" s="124" t="str">
        <f t="shared" si="7"/>
        <v/>
      </c>
      <c r="AF103" s="124" t="str">
        <f t="shared" si="8"/>
        <v/>
      </c>
      <c r="AH103" s="124">
        <v>94</v>
      </c>
      <c r="AJ103" s="124" t="str">
        <f t="array" ref="AJ103">IFERROR(INDEX($AH$10:$AH$258, MATCH(0, IF(TRUE=$AE$10:$AE$258, COUNTIF($AJ$9:$AJ102, $AH$10:$AH$258), ""), 0)),"")</f>
        <v/>
      </c>
      <c r="AK103" s="124" t="str">
        <f t="array" ref="AK103">IFERROR(INDEX($AH$10:$AH$258, MATCH(0, IF(TRUE=$AF$10:$AF$258, COUNTIF($AK$9:$AK102, $AH$10:$AH$258), ""), 0)),"")</f>
        <v/>
      </c>
      <c r="AL103" s="30" t="str">
        <f>IFERROR(INDEX('G-6 Hedgerow Data'!$BJ$3:$BJ$15,MATCH(D103,'G-6 Hedgerow Data'!$B$3:$B$15,0)),"")</f>
        <v/>
      </c>
    </row>
    <row r="104" spans="2:38">
      <c r="B104" s="110">
        <v>95</v>
      </c>
      <c r="C104" s="165"/>
      <c r="D104" s="165"/>
      <c r="E104" s="121"/>
      <c r="F104" s="411" t="str">
        <f>IF(D104="","",VLOOKUP(D104,'G-6 Hedgerow Data'!$B$2:$AG$15,2,FALSE))</f>
        <v/>
      </c>
      <c r="G104" s="363" t="str">
        <f>IF(D104="","",VLOOKUP(D104,'G-6 Hedgerow Data'!$B$2:$AG$15,3,FALSE))</f>
        <v/>
      </c>
      <c r="H104" s="114"/>
      <c r="I104" s="363" t="str">
        <f>IFERROR(VLOOKUP(H104,'G-1 All Habitats'!$Z$2:$AA$9,2,FALSE),"")</f>
        <v/>
      </c>
      <c r="J104" s="114"/>
      <c r="K104" s="370" t="str">
        <f>IF(J104="","",IF(VLOOKUP(J104,'G-3 Multipliers'!$L$3:$N$6,2,FALSE)=0,"Spatial Data Missing",VLOOKUP(J104,'G-3 Multipliers'!$L$3:$N$6,2,FALSE)))</f>
        <v/>
      </c>
      <c r="L104" s="368" t="str">
        <f>IF(J104="","",IF(VLOOKUP(J104,'G-3 Multipliers'!$L$3:$N$6,3,FALSE)=0,"Spatial Data Missing ⚠",VLOOKUP(J104,'G-3 Multipliers'!$L$3:$N$6,3,FALSE)))</f>
        <v/>
      </c>
      <c r="M104" s="369" t="str">
        <f>IF(D104="","",VLOOKUP(D104,'G-6 Hedgerow Data'!$B$1:$AH$15,33,FALSE))</f>
        <v/>
      </c>
      <c r="N104" s="376" t="str">
        <f t="shared" si="9"/>
        <v/>
      </c>
      <c r="O104" s="32"/>
      <c r="P104" s="122"/>
      <c r="Q104" s="165"/>
      <c r="R104" s="393" t="str">
        <f t="shared" si="10"/>
        <v/>
      </c>
      <c r="S104" s="393" t="str">
        <f t="shared" si="11"/>
        <v/>
      </c>
      <c r="T104" s="393" t="str">
        <f t="shared" si="12"/>
        <v/>
      </c>
      <c r="U104" s="415" t="str">
        <f t="shared" si="13"/>
        <v/>
      </c>
      <c r="V104" s="119"/>
      <c r="W104" s="120"/>
      <c r="X104" s="120"/>
      <c r="AE104" s="124" t="str">
        <f t="shared" si="7"/>
        <v/>
      </c>
      <c r="AF104" s="124" t="str">
        <f t="shared" si="8"/>
        <v/>
      </c>
      <c r="AH104" s="124">
        <v>95</v>
      </c>
      <c r="AJ104" s="124" t="str">
        <f t="array" ref="AJ104">IFERROR(INDEX($AH$10:$AH$258, MATCH(0, IF(TRUE=$AE$10:$AE$258, COUNTIF($AJ$9:$AJ103, $AH$10:$AH$258), ""), 0)),"")</f>
        <v/>
      </c>
      <c r="AK104" s="124" t="str">
        <f t="array" ref="AK104">IFERROR(INDEX($AH$10:$AH$258, MATCH(0, IF(TRUE=$AF$10:$AF$258, COUNTIF($AK$9:$AK103, $AH$10:$AH$258), ""), 0)),"")</f>
        <v/>
      </c>
      <c r="AL104" s="30" t="str">
        <f>IFERROR(INDEX('G-6 Hedgerow Data'!$BJ$3:$BJ$15,MATCH(D104,'G-6 Hedgerow Data'!$B$3:$B$15,0)),"")</f>
        <v/>
      </c>
    </row>
    <row r="105" spans="2:38">
      <c r="B105" s="110">
        <v>96</v>
      </c>
      <c r="C105" s="165"/>
      <c r="D105" s="165"/>
      <c r="E105" s="121"/>
      <c r="F105" s="411" t="str">
        <f>IF(D105="","",VLOOKUP(D105,'G-6 Hedgerow Data'!$B$2:$AG$15,2,FALSE))</f>
        <v/>
      </c>
      <c r="G105" s="363" t="str">
        <f>IF(D105="","",VLOOKUP(D105,'G-6 Hedgerow Data'!$B$2:$AG$15,3,FALSE))</f>
        <v/>
      </c>
      <c r="H105" s="114"/>
      <c r="I105" s="363" t="str">
        <f>IFERROR(VLOOKUP(H105,'G-1 All Habitats'!$Z$2:$AA$9,2,FALSE),"")</f>
        <v/>
      </c>
      <c r="J105" s="114"/>
      <c r="K105" s="370" t="str">
        <f>IF(J105="","",IF(VLOOKUP(J105,'G-3 Multipliers'!$L$3:$N$6,2,FALSE)=0,"Spatial Data Missing",VLOOKUP(J105,'G-3 Multipliers'!$L$3:$N$6,2,FALSE)))</f>
        <v/>
      </c>
      <c r="L105" s="368" t="str">
        <f>IF(J105="","",IF(VLOOKUP(J105,'G-3 Multipliers'!$L$3:$N$6,3,FALSE)=0,"Spatial Data Missing ⚠",VLOOKUP(J105,'G-3 Multipliers'!$L$3:$N$6,3,FALSE)))</f>
        <v/>
      </c>
      <c r="M105" s="369" t="str">
        <f>IF(D105="","",VLOOKUP(D105,'G-6 Hedgerow Data'!$B$1:$AH$15,33,FALSE))</f>
        <v/>
      </c>
      <c r="N105" s="376" t="str">
        <f t="shared" si="9"/>
        <v/>
      </c>
      <c r="O105" s="32"/>
      <c r="P105" s="122"/>
      <c r="Q105" s="165"/>
      <c r="R105" s="393" t="str">
        <f t="shared" si="10"/>
        <v/>
      </c>
      <c r="S105" s="393" t="str">
        <f t="shared" si="11"/>
        <v/>
      </c>
      <c r="T105" s="393" t="str">
        <f t="shared" si="12"/>
        <v/>
      </c>
      <c r="U105" s="415" t="str">
        <f t="shared" si="13"/>
        <v/>
      </c>
      <c r="V105" s="119"/>
      <c r="W105" s="120"/>
      <c r="X105" s="120"/>
      <c r="AE105" s="124" t="str">
        <f t="shared" si="7"/>
        <v/>
      </c>
      <c r="AF105" s="124" t="str">
        <f t="shared" si="8"/>
        <v/>
      </c>
      <c r="AH105" s="124">
        <v>96</v>
      </c>
      <c r="AJ105" s="124" t="str">
        <f t="array" ref="AJ105">IFERROR(INDEX($AH$10:$AH$258, MATCH(0, IF(TRUE=$AE$10:$AE$258, COUNTIF($AJ$9:$AJ104, $AH$10:$AH$258), ""), 0)),"")</f>
        <v/>
      </c>
      <c r="AK105" s="124" t="str">
        <f t="array" ref="AK105">IFERROR(INDEX($AH$10:$AH$258, MATCH(0, IF(TRUE=$AF$10:$AF$258, COUNTIF($AK$9:$AK104, $AH$10:$AH$258), ""), 0)),"")</f>
        <v/>
      </c>
      <c r="AL105" s="30" t="str">
        <f>IFERROR(INDEX('G-6 Hedgerow Data'!$BJ$3:$BJ$15,MATCH(D105,'G-6 Hedgerow Data'!$B$3:$B$15,0)),"")</f>
        <v/>
      </c>
    </row>
    <row r="106" spans="2:38">
      <c r="B106" s="110">
        <v>97</v>
      </c>
      <c r="C106" s="165"/>
      <c r="D106" s="165"/>
      <c r="E106" s="121"/>
      <c r="F106" s="411" t="str">
        <f>IF(D106="","",VLOOKUP(D106,'G-6 Hedgerow Data'!$B$2:$AG$15,2,FALSE))</f>
        <v/>
      </c>
      <c r="G106" s="363" t="str">
        <f>IF(D106="","",VLOOKUP(D106,'G-6 Hedgerow Data'!$B$2:$AG$15,3,FALSE))</f>
        <v/>
      </c>
      <c r="H106" s="114"/>
      <c r="I106" s="363" t="str">
        <f>IFERROR(VLOOKUP(H106,'G-1 All Habitats'!$Z$2:$AA$9,2,FALSE),"")</f>
        <v/>
      </c>
      <c r="J106" s="114"/>
      <c r="K106" s="370" t="str">
        <f>IF(J106="","",IF(VLOOKUP(J106,'G-3 Multipliers'!$L$3:$N$6,2,FALSE)=0,"Spatial Data Missing",VLOOKUP(J106,'G-3 Multipliers'!$L$3:$N$6,2,FALSE)))</f>
        <v/>
      </c>
      <c r="L106" s="368" t="str">
        <f>IF(J106="","",IF(VLOOKUP(J106,'G-3 Multipliers'!$L$3:$N$6,3,FALSE)=0,"Spatial Data Missing ⚠",VLOOKUP(J106,'G-3 Multipliers'!$L$3:$N$6,3,FALSE)))</f>
        <v/>
      </c>
      <c r="M106" s="369" t="str">
        <f>IF(D106="","",VLOOKUP(D106,'G-6 Hedgerow Data'!$B$1:$AH$15,33,FALSE))</f>
        <v/>
      </c>
      <c r="N106" s="376" t="str">
        <f t="shared" si="9"/>
        <v/>
      </c>
      <c r="O106" s="32"/>
      <c r="P106" s="122"/>
      <c r="Q106" s="165"/>
      <c r="R106" s="393" t="str">
        <f t="shared" si="10"/>
        <v/>
      </c>
      <c r="S106" s="393" t="str">
        <f t="shared" si="11"/>
        <v/>
      </c>
      <c r="T106" s="393" t="str">
        <f t="shared" si="12"/>
        <v/>
      </c>
      <c r="U106" s="415" t="str">
        <f t="shared" si="13"/>
        <v/>
      </c>
      <c r="V106" s="119"/>
      <c r="W106" s="120"/>
      <c r="X106" s="120"/>
      <c r="AE106" s="124" t="str">
        <f t="shared" si="7"/>
        <v/>
      </c>
      <c r="AF106" s="124" t="str">
        <f t="shared" si="8"/>
        <v/>
      </c>
      <c r="AH106" s="124">
        <v>97</v>
      </c>
      <c r="AJ106" s="124" t="str">
        <f t="array" ref="AJ106">IFERROR(INDEX($AH$10:$AH$258, MATCH(0, IF(TRUE=$AE$10:$AE$258, COUNTIF($AJ$9:$AJ105, $AH$10:$AH$258), ""), 0)),"")</f>
        <v/>
      </c>
      <c r="AK106" s="124" t="str">
        <f t="array" ref="AK106">IFERROR(INDEX($AH$10:$AH$258, MATCH(0, IF(TRUE=$AF$10:$AF$258, COUNTIF($AK$9:$AK105, $AH$10:$AH$258), ""), 0)),"")</f>
        <v/>
      </c>
      <c r="AL106" s="30" t="str">
        <f>IFERROR(INDEX('G-6 Hedgerow Data'!$BJ$3:$BJ$15,MATCH(D106,'G-6 Hedgerow Data'!$B$3:$B$15,0)),"")</f>
        <v/>
      </c>
    </row>
    <row r="107" spans="2:38">
      <c r="B107" s="110">
        <v>98</v>
      </c>
      <c r="C107" s="165"/>
      <c r="D107" s="165"/>
      <c r="E107" s="121"/>
      <c r="F107" s="411" t="str">
        <f>IF(D107="","",VLOOKUP(D107,'G-6 Hedgerow Data'!$B$2:$AG$15,2,FALSE))</f>
        <v/>
      </c>
      <c r="G107" s="363" t="str">
        <f>IF(D107="","",VLOOKUP(D107,'G-6 Hedgerow Data'!$B$2:$AG$15,3,FALSE))</f>
        <v/>
      </c>
      <c r="H107" s="114"/>
      <c r="I107" s="363" t="str">
        <f>IFERROR(VLOOKUP(H107,'G-1 All Habitats'!$Z$2:$AA$9,2,FALSE),"")</f>
        <v/>
      </c>
      <c r="J107" s="114"/>
      <c r="K107" s="370" t="str">
        <f>IF(J107="","",IF(VLOOKUP(J107,'G-3 Multipliers'!$L$3:$N$6,2,FALSE)=0,"Spatial Data Missing",VLOOKUP(J107,'G-3 Multipliers'!$L$3:$N$6,2,FALSE)))</f>
        <v/>
      </c>
      <c r="L107" s="368" t="str">
        <f>IF(J107="","",IF(VLOOKUP(J107,'G-3 Multipliers'!$L$3:$N$6,3,FALSE)=0,"Spatial Data Missing ⚠",VLOOKUP(J107,'G-3 Multipliers'!$L$3:$N$6,3,FALSE)))</f>
        <v/>
      </c>
      <c r="M107" s="369" t="str">
        <f>IF(D107="","",VLOOKUP(D107,'G-6 Hedgerow Data'!$B$1:$AH$15,33,FALSE))</f>
        <v/>
      </c>
      <c r="N107" s="376" t="str">
        <f t="shared" si="9"/>
        <v/>
      </c>
      <c r="O107" s="32"/>
      <c r="P107" s="122"/>
      <c r="Q107" s="165"/>
      <c r="R107" s="393" t="str">
        <f t="shared" si="10"/>
        <v/>
      </c>
      <c r="S107" s="393" t="str">
        <f t="shared" si="11"/>
        <v/>
      </c>
      <c r="T107" s="393" t="str">
        <f t="shared" si="12"/>
        <v/>
      </c>
      <c r="U107" s="415" t="str">
        <f t="shared" si="13"/>
        <v/>
      </c>
      <c r="V107" s="119"/>
      <c r="W107" s="120"/>
      <c r="X107" s="120"/>
      <c r="AE107" s="124" t="str">
        <f t="shared" si="7"/>
        <v/>
      </c>
      <c r="AF107" s="124" t="str">
        <f t="shared" si="8"/>
        <v/>
      </c>
      <c r="AH107" s="124">
        <v>98</v>
      </c>
      <c r="AJ107" s="124" t="str">
        <f t="array" ref="AJ107">IFERROR(INDEX($AH$10:$AH$258, MATCH(0, IF(TRUE=$AE$10:$AE$258, COUNTIF($AJ$9:$AJ106, $AH$10:$AH$258), ""), 0)),"")</f>
        <v/>
      </c>
      <c r="AK107" s="124" t="str">
        <f t="array" ref="AK107">IFERROR(INDEX($AH$10:$AH$258, MATCH(0, IF(TRUE=$AF$10:$AF$258, COUNTIF($AK$9:$AK106, $AH$10:$AH$258), ""), 0)),"")</f>
        <v/>
      </c>
      <c r="AL107" s="30" t="str">
        <f>IFERROR(INDEX('G-6 Hedgerow Data'!$BJ$3:$BJ$15,MATCH(D107,'G-6 Hedgerow Data'!$B$3:$B$15,0)),"")</f>
        <v/>
      </c>
    </row>
    <row r="108" spans="2:38">
      <c r="B108" s="110">
        <v>99</v>
      </c>
      <c r="C108" s="165"/>
      <c r="D108" s="165"/>
      <c r="E108" s="121"/>
      <c r="F108" s="411" t="str">
        <f>IF(D108="","",VLOOKUP(D108,'G-6 Hedgerow Data'!$B$2:$AG$15,2,FALSE))</f>
        <v/>
      </c>
      <c r="G108" s="363" t="str">
        <f>IF(D108="","",VLOOKUP(D108,'G-6 Hedgerow Data'!$B$2:$AG$15,3,FALSE))</f>
        <v/>
      </c>
      <c r="H108" s="114"/>
      <c r="I108" s="363" t="str">
        <f>IFERROR(VLOOKUP(H108,'G-1 All Habitats'!$Z$2:$AA$9,2,FALSE),"")</f>
        <v/>
      </c>
      <c r="J108" s="114"/>
      <c r="K108" s="370" t="str">
        <f>IF(J108="","",IF(VLOOKUP(J108,'G-3 Multipliers'!$L$3:$N$6,2,FALSE)=0,"Spatial Data Missing",VLOOKUP(J108,'G-3 Multipliers'!$L$3:$N$6,2,FALSE)))</f>
        <v/>
      </c>
      <c r="L108" s="368" t="str">
        <f>IF(J108="","",IF(VLOOKUP(J108,'G-3 Multipliers'!$L$3:$N$6,3,FALSE)=0,"Spatial Data Missing ⚠",VLOOKUP(J108,'G-3 Multipliers'!$L$3:$N$6,3,FALSE)))</f>
        <v/>
      </c>
      <c r="M108" s="369" t="str">
        <f>IF(D108="","",VLOOKUP(D108,'G-6 Hedgerow Data'!$B$1:$AH$15,33,FALSE))</f>
        <v/>
      </c>
      <c r="N108" s="376" t="str">
        <f t="shared" si="9"/>
        <v/>
      </c>
      <c r="O108" s="32"/>
      <c r="P108" s="122"/>
      <c r="Q108" s="165"/>
      <c r="R108" s="393" t="str">
        <f t="shared" si="10"/>
        <v/>
      </c>
      <c r="S108" s="393" t="str">
        <f t="shared" si="11"/>
        <v/>
      </c>
      <c r="T108" s="393" t="str">
        <f t="shared" si="12"/>
        <v/>
      </c>
      <c r="U108" s="415" t="str">
        <f t="shared" si="13"/>
        <v/>
      </c>
      <c r="V108" s="119"/>
      <c r="W108" s="120"/>
      <c r="X108" s="120"/>
      <c r="AE108" s="124" t="str">
        <f t="shared" si="7"/>
        <v/>
      </c>
      <c r="AF108" s="124" t="str">
        <f t="shared" si="8"/>
        <v/>
      </c>
      <c r="AH108" s="124">
        <v>99</v>
      </c>
      <c r="AJ108" s="124" t="str">
        <f t="array" ref="AJ108">IFERROR(INDEX($AH$10:$AH$258, MATCH(0, IF(TRUE=$AE$10:$AE$258, COUNTIF($AJ$9:$AJ107, $AH$10:$AH$258), ""), 0)),"")</f>
        <v/>
      </c>
      <c r="AK108" s="124" t="str">
        <f t="array" ref="AK108">IFERROR(INDEX($AH$10:$AH$258, MATCH(0, IF(TRUE=$AF$10:$AF$258, COUNTIF($AK$9:$AK107, $AH$10:$AH$258), ""), 0)),"")</f>
        <v/>
      </c>
      <c r="AL108" s="30" t="str">
        <f>IFERROR(INDEX('G-6 Hedgerow Data'!$BJ$3:$BJ$15,MATCH(D108,'G-6 Hedgerow Data'!$B$3:$B$15,0)),"")</f>
        <v/>
      </c>
    </row>
    <row r="109" spans="2:38">
      <c r="B109" s="110">
        <v>100</v>
      </c>
      <c r="C109" s="165"/>
      <c r="D109" s="165"/>
      <c r="E109" s="121"/>
      <c r="F109" s="411" t="str">
        <f>IF(D109="","",VLOOKUP(D109,'G-6 Hedgerow Data'!$B$2:$AG$15,2,FALSE))</f>
        <v/>
      </c>
      <c r="G109" s="363" t="str">
        <f>IF(D109="","",VLOOKUP(D109,'G-6 Hedgerow Data'!$B$2:$AG$15,3,FALSE))</f>
        <v/>
      </c>
      <c r="H109" s="114"/>
      <c r="I109" s="363" t="str">
        <f>IFERROR(VLOOKUP(H109,'G-1 All Habitats'!$Z$2:$AA$9,2,FALSE),"")</f>
        <v/>
      </c>
      <c r="J109" s="114"/>
      <c r="K109" s="370" t="str">
        <f>IF(J109="","",IF(VLOOKUP(J109,'G-3 Multipliers'!$L$3:$N$6,2,FALSE)=0,"Spatial Data Missing",VLOOKUP(J109,'G-3 Multipliers'!$L$3:$N$6,2,FALSE)))</f>
        <v/>
      </c>
      <c r="L109" s="368" t="str">
        <f>IF(J109="","",IF(VLOOKUP(J109,'G-3 Multipliers'!$L$3:$N$6,3,FALSE)=0,"Spatial Data Missing ⚠",VLOOKUP(J109,'G-3 Multipliers'!$L$3:$N$6,3,FALSE)))</f>
        <v/>
      </c>
      <c r="M109" s="369" t="str">
        <f>IF(D109="","",VLOOKUP(D109,'G-6 Hedgerow Data'!$B$1:$AH$15,33,FALSE))</f>
        <v/>
      </c>
      <c r="N109" s="376" t="str">
        <f t="shared" si="9"/>
        <v/>
      </c>
      <c r="O109" s="32"/>
      <c r="P109" s="122"/>
      <c r="Q109" s="165"/>
      <c r="R109" s="393" t="str">
        <f t="shared" si="10"/>
        <v/>
      </c>
      <c r="S109" s="393" t="str">
        <f t="shared" si="11"/>
        <v/>
      </c>
      <c r="T109" s="393" t="str">
        <f t="shared" si="12"/>
        <v/>
      </c>
      <c r="U109" s="415" t="str">
        <f t="shared" si="13"/>
        <v/>
      </c>
      <c r="V109" s="119"/>
      <c r="W109" s="120"/>
      <c r="X109" s="120"/>
      <c r="AE109" s="124" t="str">
        <f t="shared" si="7"/>
        <v/>
      </c>
      <c r="AF109" s="124" t="str">
        <f t="shared" si="8"/>
        <v/>
      </c>
      <c r="AH109" s="124">
        <v>100</v>
      </c>
      <c r="AJ109" s="124" t="str">
        <f t="array" ref="AJ109">IFERROR(INDEX($AH$10:$AH$258, MATCH(0, IF(TRUE=$AE$10:$AE$258, COUNTIF($AJ$9:$AJ108, $AH$10:$AH$258), ""), 0)),"")</f>
        <v/>
      </c>
      <c r="AK109" s="124" t="str">
        <f t="array" ref="AK109">IFERROR(INDEX($AH$10:$AH$258, MATCH(0, IF(TRUE=$AF$10:$AF$258, COUNTIF($AK$9:$AK108, $AH$10:$AH$258), ""), 0)),"")</f>
        <v/>
      </c>
      <c r="AL109" s="30" t="str">
        <f>IFERROR(INDEX('G-6 Hedgerow Data'!$BJ$3:$BJ$15,MATCH(D109,'G-6 Hedgerow Data'!$B$3:$B$15,0)),"")</f>
        <v/>
      </c>
    </row>
    <row r="110" spans="2:38">
      <c r="B110" s="110">
        <v>101</v>
      </c>
      <c r="C110" s="165"/>
      <c r="D110" s="165"/>
      <c r="E110" s="121"/>
      <c r="F110" s="411" t="str">
        <f>IF(D110="","",VLOOKUP(D110,'G-6 Hedgerow Data'!$B$2:$AG$15,2,FALSE))</f>
        <v/>
      </c>
      <c r="G110" s="363" t="str">
        <f>IF(D110="","",VLOOKUP(D110,'G-6 Hedgerow Data'!$B$2:$AG$15,3,FALSE))</f>
        <v/>
      </c>
      <c r="H110" s="114"/>
      <c r="I110" s="363" t="str">
        <f>IFERROR(VLOOKUP(H110,'G-1 All Habitats'!$Z$2:$AA$9,2,FALSE),"")</f>
        <v/>
      </c>
      <c r="J110" s="114"/>
      <c r="K110" s="370" t="str">
        <f>IF(J110="","",IF(VLOOKUP(J110,'G-3 Multipliers'!$L$3:$N$6,2,FALSE)=0,"Spatial Data Missing",VLOOKUP(J110,'G-3 Multipliers'!$L$3:$N$6,2,FALSE)))</f>
        <v/>
      </c>
      <c r="L110" s="368" t="str">
        <f>IF(J110="","",IF(VLOOKUP(J110,'G-3 Multipliers'!$L$3:$N$6,3,FALSE)=0,"Spatial Data Missing ⚠",VLOOKUP(J110,'G-3 Multipliers'!$L$3:$N$6,3,FALSE)))</f>
        <v/>
      </c>
      <c r="M110" s="369" t="str">
        <f>IF(D110="","",VLOOKUP(D110,'G-6 Hedgerow Data'!$B$1:$AH$15,33,FALSE))</f>
        <v/>
      </c>
      <c r="N110" s="376" t="str">
        <f t="shared" si="9"/>
        <v/>
      </c>
      <c r="O110" s="32"/>
      <c r="P110" s="122"/>
      <c r="Q110" s="165"/>
      <c r="R110" s="393" t="str">
        <f t="shared" si="10"/>
        <v/>
      </c>
      <c r="S110" s="393" t="str">
        <f t="shared" si="11"/>
        <v/>
      </c>
      <c r="T110" s="393" t="str">
        <f t="shared" si="12"/>
        <v/>
      </c>
      <c r="U110" s="415" t="str">
        <f t="shared" si="13"/>
        <v/>
      </c>
      <c r="V110" s="119"/>
      <c r="W110" s="120"/>
      <c r="X110" s="120"/>
      <c r="AE110" s="124" t="str">
        <f t="shared" si="7"/>
        <v/>
      </c>
      <c r="AF110" s="124" t="str">
        <f t="shared" si="8"/>
        <v/>
      </c>
      <c r="AH110" s="124">
        <v>101</v>
      </c>
      <c r="AJ110" s="124" t="str">
        <f t="array" ref="AJ110">IFERROR(INDEX($AH$10:$AH$258, MATCH(0, IF(TRUE=$AE$10:$AE$258, COUNTIF($AJ$9:$AJ109, $AH$10:$AH$258), ""), 0)),"")</f>
        <v/>
      </c>
      <c r="AK110" s="124" t="str">
        <f t="array" ref="AK110">IFERROR(INDEX($AH$10:$AH$258, MATCH(0, IF(TRUE=$AF$10:$AF$258, COUNTIF($AK$9:$AK109, $AH$10:$AH$258), ""), 0)),"")</f>
        <v/>
      </c>
      <c r="AL110" s="30" t="str">
        <f>IFERROR(INDEX('G-6 Hedgerow Data'!$BJ$3:$BJ$15,MATCH(D110,'G-6 Hedgerow Data'!$B$3:$B$15,0)),"")</f>
        <v/>
      </c>
    </row>
    <row r="111" spans="2:38">
      <c r="B111" s="110">
        <v>102</v>
      </c>
      <c r="C111" s="165"/>
      <c r="D111" s="165"/>
      <c r="E111" s="121"/>
      <c r="F111" s="411" t="str">
        <f>IF(D111="","",VLOOKUP(D111,'G-6 Hedgerow Data'!$B$2:$AG$15,2,FALSE))</f>
        <v/>
      </c>
      <c r="G111" s="363" t="str">
        <f>IF(D111="","",VLOOKUP(D111,'G-6 Hedgerow Data'!$B$2:$AG$15,3,FALSE))</f>
        <v/>
      </c>
      <c r="H111" s="114"/>
      <c r="I111" s="363" t="str">
        <f>IFERROR(VLOOKUP(H111,'G-1 All Habitats'!$Z$2:$AA$9,2,FALSE),"")</f>
        <v/>
      </c>
      <c r="J111" s="114"/>
      <c r="K111" s="370" t="str">
        <f>IF(J111="","",IF(VLOOKUP(J111,'G-3 Multipliers'!$L$3:$N$6,2,FALSE)=0,"Spatial Data Missing",VLOOKUP(J111,'G-3 Multipliers'!$L$3:$N$6,2,FALSE)))</f>
        <v/>
      </c>
      <c r="L111" s="368" t="str">
        <f>IF(J111="","",IF(VLOOKUP(J111,'G-3 Multipliers'!$L$3:$N$6,3,FALSE)=0,"Spatial Data Missing ⚠",VLOOKUP(J111,'G-3 Multipliers'!$L$3:$N$6,3,FALSE)))</f>
        <v/>
      </c>
      <c r="M111" s="369" t="str">
        <f>IF(D111="","",VLOOKUP(D111,'G-6 Hedgerow Data'!$B$1:$AH$15,33,FALSE))</f>
        <v/>
      </c>
      <c r="N111" s="376" t="str">
        <f t="shared" si="9"/>
        <v/>
      </c>
      <c r="O111" s="32"/>
      <c r="P111" s="122"/>
      <c r="Q111" s="165"/>
      <c r="R111" s="393" t="str">
        <f t="shared" si="10"/>
        <v/>
      </c>
      <c r="S111" s="393" t="str">
        <f t="shared" si="11"/>
        <v/>
      </c>
      <c r="T111" s="393" t="str">
        <f t="shared" si="12"/>
        <v/>
      </c>
      <c r="U111" s="415" t="str">
        <f t="shared" si="13"/>
        <v/>
      </c>
      <c r="V111" s="119"/>
      <c r="W111" s="120"/>
      <c r="X111" s="120"/>
      <c r="AE111" s="124" t="str">
        <f t="shared" si="7"/>
        <v/>
      </c>
      <c r="AF111" s="124" t="str">
        <f t="shared" si="8"/>
        <v/>
      </c>
      <c r="AH111" s="124">
        <v>102</v>
      </c>
      <c r="AJ111" s="124" t="str">
        <f t="array" ref="AJ111">IFERROR(INDEX($AH$10:$AH$258, MATCH(0, IF(TRUE=$AE$10:$AE$258, COUNTIF($AJ$9:$AJ110, $AH$10:$AH$258), ""), 0)),"")</f>
        <v/>
      </c>
      <c r="AK111" s="124" t="str">
        <f t="array" ref="AK111">IFERROR(INDEX($AH$10:$AH$258, MATCH(0, IF(TRUE=$AF$10:$AF$258, COUNTIF($AK$9:$AK110, $AH$10:$AH$258), ""), 0)),"")</f>
        <v/>
      </c>
      <c r="AL111" s="30" t="str">
        <f>IFERROR(INDEX('G-6 Hedgerow Data'!$BJ$3:$BJ$15,MATCH(D111,'G-6 Hedgerow Data'!$B$3:$B$15,0)),"")</f>
        <v/>
      </c>
    </row>
    <row r="112" spans="2:38">
      <c r="B112" s="110">
        <v>103</v>
      </c>
      <c r="C112" s="165"/>
      <c r="D112" s="165"/>
      <c r="E112" s="121"/>
      <c r="F112" s="411" t="str">
        <f>IF(D112="","",VLOOKUP(D112,'G-6 Hedgerow Data'!$B$2:$AG$15,2,FALSE))</f>
        <v/>
      </c>
      <c r="G112" s="363" t="str">
        <f>IF(D112="","",VLOOKUP(D112,'G-6 Hedgerow Data'!$B$2:$AG$15,3,FALSE))</f>
        <v/>
      </c>
      <c r="H112" s="114"/>
      <c r="I112" s="363" t="str">
        <f>IFERROR(VLOOKUP(H112,'G-1 All Habitats'!$Z$2:$AA$9,2,FALSE),"")</f>
        <v/>
      </c>
      <c r="J112" s="114"/>
      <c r="K112" s="370" t="str">
        <f>IF(J112="","",IF(VLOOKUP(J112,'G-3 Multipliers'!$L$3:$N$6,2,FALSE)=0,"Spatial Data Missing",VLOOKUP(J112,'G-3 Multipliers'!$L$3:$N$6,2,FALSE)))</f>
        <v/>
      </c>
      <c r="L112" s="368" t="str">
        <f>IF(J112="","",IF(VLOOKUP(J112,'G-3 Multipliers'!$L$3:$N$6,3,FALSE)=0,"Spatial Data Missing ⚠",VLOOKUP(J112,'G-3 Multipliers'!$L$3:$N$6,3,FALSE)))</f>
        <v/>
      </c>
      <c r="M112" s="369" t="str">
        <f>IF(D112="","",VLOOKUP(D112,'G-6 Hedgerow Data'!$B$1:$AH$15,33,FALSE))</f>
        <v/>
      </c>
      <c r="N112" s="376" t="str">
        <f t="shared" si="9"/>
        <v/>
      </c>
      <c r="O112" s="32"/>
      <c r="P112" s="122"/>
      <c r="Q112" s="165"/>
      <c r="R112" s="393" t="str">
        <f t="shared" si="10"/>
        <v/>
      </c>
      <c r="S112" s="393" t="str">
        <f t="shared" si="11"/>
        <v/>
      </c>
      <c r="T112" s="393" t="str">
        <f t="shared" si="12"/>
        <v/>
      </c>
      <c r="U112" s="415" t="str">
        <f t="shared" si="13"/>
        <v/>
      </c>
      <c r="V112" s="119"/>
      <c r="W112" s="120"/>
      <c r="X112" s="120"/>
      <c r="AE112" s="124" t="str">
        <f t="shared" si="7"/>
        <v/>
      </c>
      <c r="AF112" s="124" t="str">
        <f t="shared" si="8"/>
        <v/>
      </c>
      <c r="AH112" s="124">
        <v>103</v>
      </c>
      <c r="AJ112" s="124" t="str">
        <f t="array" ref="AJ112">IFERROR(INDEX($AH$10:$AH$258, MATCH(0, IF(TRUE=$AE$10:$AE$258, COUNTIF($AJ$9:$AJ111, $AH$10:$AH$258), ""), 0)),"")</f>
        <v/>
      </c>
      <c r="AK112" s="124" t="str">
        <f t="array" ref="AK112">IFERROR(INDEX($AH$10:$AH$258, MATCH(0, IF(TRUE=$AF$10:$AF$258, COUNTIF($AK$9:$AK111, $AH$10:$AH$258), ""), 0)),"")</f>
        <v/>
      </c>
      <c r="AL112" s="30" t="str">
        <f>IFERROR(INDEX('G-6 Hedgerow Data'!$BJ$3:$BJ$15,MATCH(D112,'G-6 Hedgerow Data'!$B$3:$B$15,0)),"")</f>
        <v/>
      </c>
    </row>
    <row r="113" spans="2:38">
      <c r="B113" s="110">
        <v>104</v>
      </c>
      <c r="C113" s="165"/>
      <c r="D113" s="165"/>
      <c r="E113" s="121"/>
      <c r="F113" s="411" t="str">
        <f>IF(D113="","",VLOOKUP(D113,'G-6 Hedgerow Data'!$B$2:$AG$15,2,FALSE))</f>
        <v/>
      </c>
      <c r="G113" s="363" t="str">
        <f>IF(D113="","",VLOOKUP(D113,'G-6 Hedgerow Data'!$B$2:$AG$15,3,FALSE))</f>
        <v/>
      </c>
      <c r="H113" s="114"/>
      <c r="I113" s="363" t="str">
        <f>IFERROR(VLOOKUP(H113,'G-1 All Habitats'!$Z$2:$AA$9,2,FALSE),"")</f>
        <v/>
      </c>
      <c r="J113" s="114"/>
      <c r="K113" s="370" t="str">
        <f>IF(J113="","",IF(VLOOKUP(J113,'G-3 Multipliers'!$L$3:$N$6,2,FALSE)=0,"Spatial Data Missing",VLOOKUP(J113,'G-3 Multipliers'!$L$3:$N$6,2,FALSE)))</f>
        <v/>
      </c>
      <c r="L113" s="368" t="str">
        <f>IF(J113="","",IF(VLOOKUP(J113,'G-3 Multipliers'!$L$3:$N$6,3,FALSE)=0,"Spatial Data Missing ⚠",VLOOKUP(J113,'G-3 Multipliers'!$L$3:$N$6,3,FALSE)))</f>
        <v/>
      </c>
      <c r="M113" s="369" t="str">
        <f>IF(D113="","",VLOOKUP(D113,'G-6 Hedgerow Data'!$B$1:$AH$15,33,FALSE))</f>
        <v/>
      </c>
      <c r="N113" s="376" t="str">
        <f t="shared" si="9"/>
        <v/>
      </c>
      <c r="O113" s="32"/>
      <c r="P113" s="122"/>
      <c r="Q113" s="165"/>
      <c r="R113" s="393" t="str">
        <f t="shared" si="10"/>
        <v/>
      </c>
      <c r="S113" s="393" t="str">
        <f t="shared" si="11"/>
        <v/>
      </c>
      <c r="T113" s="393" t="str">
        <f t="shared" si="12"/>
        <v/>
      </c>
      <c r="U113" s="415" t="str">
        <f t="shared" si="13"/>
        <v/>
      </c>
      <c r="V113" s="119"/>
      <c r="W113" s="120"/>
      <c r="X113" s="120"/>
      <c r="AE113" s="124" t="str">
        <f t="shared" si="7"/>
        <v/>
      </c>
      <c r="AF113" s="124" t="str">
        <f t="shared" si="8"/>
        <v/>
      </c>
      <c r="AH113" s="124">
        <v>104</v>
      </c>
      <c r="AJ113" s="124" t="str">
        <f t="array" ref="AJ113">IFERROR(INDEX($AH$10:$AH$258, MATCH(0, IF(TRUE=$AE$10:$AE$258, COUNTIF($AJ$9:$AJ112, $AH$10:$AH$258), ""), 0)),"")</f>
        <v/>
      </c>
      <c r="AK113" s="124" t="str">
        <f t="array" ref="AK113">IFERROR(INDEX($AH$10:$AH$258, MATCH(0, IF(TRUE=$AF$10:$AF$258, COUNTIF($AK$9:$AK112, $AH$10:$AH$258), ""), 0)),"")</f>
        <v/>
      </c>
      <c r="AL113" s="30" t="str">
        <f>IFERROR(INDEX('G-6 Hedgerow Data'!$BJ$3:$BJ$15,MATCH(D113,'G-6 Hedgerow Data'!$B$3:$B$15,0)),"")</f>
        <v/>
      </c>
    </row>
    <row r="114" spans="2:38">
      <c r="B114" s="110">
        <v>105</v>
      </c>
      <c r="C114" s="165"/>
      <c r="D114" s="165"/>
      <c r="E114" s="121"/>
      <c r="F114" s="411" t="str">
        <f>IF(D114="","",VLOOKUP(D114,'G-6 Hedgerow Data'!$B$2:$AG$15,2,FALSE))</f>
        <v/>
      </c>
      <c r="G114" s="363" t="str">
        <f>IF(D114="","",VLOOKUP(D114,'G-6 Hedgerow Data'!$B$2:$AG$15,3,FALSE))</f>
        <v/>
      </c>
      <c r="H114" s="114"/>
      <c r="I114" s="363" t="str">
        <f>IFERROR(VLOOKUP(H114,'G-1 All Habitats'!$Z$2:$AA$9,2,FALSE),"")</f>
        <v/>
      </c>
      <c r="J114" s="114"/>
      <c r="K114" s="370" t="str">
        <f>IF(J114="","",IF(VLOOKUP(J114,'G-3 Multipliers'!$L$3:$N$6,2,FALSE)=0,"Spatial Data Missing",VLOOKUP(J114,'G-3 Multipliers'!$L$3:$N$6,2,FALSE)))</f>
        <v/>
      </c>
      <c r="L114" s="368" t="str">
        <f>IF(J114="","",IF(VLOOKUP(J114,'G-3 Multipliers'!$L$3:$N$6,3,FALSE)=0,"Spatial Data Missing ⚠",VLOOKUP(J114,'G-3 Multipliers'!$L$3:$N$6,3,FALSE)))</f>
        <v/>
      </c>
      <c r="M114" s="369" t="str">
        <f>IF(D114="","",VLOOKUP(D114,'G-6 Hedgerow Data'!$B$1:$AH$15,33,FALSE))</f>
        <v/>
      </c>
      <c r="N114" s="376" t="str">
        <f t="shared" si="9"/>
        <v/>
      </c>
      <c r="O114" s="32"/>
      <c r="P114" s="122"/>
      <c r="Q114" s="165"/>
      <c r="R114" s="393" t="str">
        <f t="shared" si="10"/>
        <v/>
      </c>
      <c r="S114" s="393" t="str">
        <f t="shared" si="11"/>
        <v/>
      </c>
      <c r="T114" s="393" t="str">
        <f t="shared" si="12"/>
        <v/>
      </c>
      <c r="U114" s="415" t="str">
        <f t="shared" si="13"/>
        <v/>
      </c>
      <c r="V114" s="119"/>
      <c r="W114" s="120"/>
      <c r="X114" s="120"/>
      <c r="AE114" s="124" t="str">
        <f t="shared" si="7"/>
        <v/>
      </c>
      <c r="AF114" s="124" t="str">
        <f t="shared" si="8"/>
        <v/>
      </c>
      <c r="AH114" s="124">
        <v>105</v>
      </c>
      <c r="AJ114" s="124" t="str">
        <f t="array" ref="AJ114">IFERROR(INDEX($AH$10:$AH$258, MATCH(0, IF(TRUE=$AE$10:$AE$258, COUNTIF($AJ$9:$AJ113, $AH$10:$AH$258), ""), 0)),"")</f>
        <v/>
      </c>
      <c r="AK114" s="124" t="str">
        <f t="array" ref="AK114">IFERROR(INDEX($AH$10:$AH$258, MATCH(0, IF(TRUE=$AF$10:$AF$258, COUNTIF($AK$9:$AK113, $AH$10:$AH$258), ""), 0)),"")</f>
        <v/>
      </c>
      <c r="AL114" s="30" t="str">
        <f>IFERROR(INDEX('G-6 Hedgerow Data'!$BJ$3:$BJ$15,MATCH(D114,'G-6 Hedgerow Data'!$B$3:$B$15,0)),"")</f>
        <v/>
      </c>
    </row>
    <row r="115" spans="2:38">
      <c r="B115" s="110">
        <v>106</v>
      </c>
      <c r="C115" s="165"/>
      <c r="D115" s="165"/>
      <c r="E115" s="121"/>
      <c r="F115" s="411" t="str">
        <f>IF(D115="","",VLOOKUP(D115,'G-6 Hedgerow Data'!$B$2:$AG$15,2,FALSE))</f>
        <v/>
      </c>
      <c r="G115" s="363" t="str">
        <f>IF(D115="","",VLOOKUP(D115,'G-6 Hedgerow Data'!$B$2:$AG$15,3,FALSE))</f>
        <v/>
      </c>
      <c r="H115" s="114"/>
      <c r="I115" s="363" t="str">
        <f>IFERROR(VLOOKUP(H115,'G-1 All Habitats'!$Z$2:$AA$9,2,FALSE),"")</f>
        <v/>
      </c>
      <c r="J115" s="114"/>
      <c r="K115" s="370" t="str">
        <f>IF(J115="","",IF(VLOOKUP(J115,'G-3 Multipliers'!$L$3:$N$6,2,FALSE)=0,"Spatial Data Missing",VLOOKUP(J115,'G-3 Multipliers'!$L$3:$N$6,2,FALSE)))</f>
        <v/>
      </c>
      <c r="L115" s="368" t="str">
        <f>IF(J115="","",IF(VLOOKUP(J115,'G-3 Multipliers'!$L$3:$N$6,3,FALSE)=0,"Spatial Data Missing ⚠",VLOOKUP(J115,'G-3 Multipliers'!$L$3:$N$6,3,FALSE)))</f>
        <v/>
      </c>
      <c r="M115" s="369" t="str">
        <f>IF(D115="","",VLOOKUP(D115,'G-6 Hedgerow Data'!$B$1:$AH$15,33,FALSE))</f>
        <v/>
      </c>
      <c r="N115" s="376" t="str">
        <f t="shared" si="9"/>
        <v/>
      </c>
      <c r="O115" s="32"/>
      <c r="P115" s="122"/>
      <c r="Q115" s="165"/>
      <c r="R115" s="393" t="str">
        <f t="shared" si="10"/>
        <v/>
      </c>
      <c r="S115" s="393" t="str">
        <f t="shared" si="11"/>
        <v/>
      </c>
      <c r="T115" s="393" t="str">
        <f t="shared" si="12"/>
        <v/>
      </c>
      <c r="U115" s="415" t="str">
        <f t="shared" si="13"/>
        <v/>
      </c>
      <c r="V115" s="119"/>
      <c r="W115" s="120"/>
      <c r="X115" s="120"/>
      <c r="AE115" s="124" t="str">
        <f t="shared" si="7"/>
        <v/>
      </c>
      <c r="AF115" s="124" t="str">
        <f t="shared" si="8"/>
        <v/>
      </c>
      <c r="AH115" s="124">
        <v>106</v>
      </c>
      <c r="AJ115" s="124" t="str">
        <f t="array" ref="AJ115">IFERROR(INDEX($AH$10:$AH$258, MATCH(0, IF(TRUE=$AE$10:$AE$258, COUNTIF($AJ$9:$AJ114, $AH$10:$AH$258), ""), 0)),"")</f>
        <v/>
      </c>
      <c r="AK115" s="124" t="str">
        <f t="array" ref="AK115">IFERROR(INDEX($AH$10:$AH$258, MATCH(0, IF(TRUE=$AF$10:$AF$258, COUNTIF($AK$9:$AK114, $AH$10:$AH$258), ""), 0)),"")</f>
        <v/>
      </c>
      <c r="AL115" s="30" t="str">
        <f>IFERROR(INDEX('G-6 Hedgerow Data'!$BJ$3:$BJ$15,MATCH(D115,'G-6 Hedgerow Data'!$B$3:$B$15,0)),"")</f>
        <v/>
      </c>
    </row>
    <row r="116" spans="2:38">
      <c r="B116" s="110">
        <v>107</v>
      </c>
      <c r="C116" s="165"/>
      <c r="D116" s="165"/>
      <c r="E116" s="121"/>
      <c r="F116" s="411" t="str">
        <f>IF(D116="","",VLOOKUP(D116,'G-6 Hedgerow Data'!$B$2:$AG$15,2,FALSE))</f>
        <v/>
      </c>
      <c r="G116" s="363" t="str">
        <f>IF(D116="","",VLOOKUP(D116,'G-6 Hedgerow Data'!$B$2:$AG$15,3,FALSE))</f>
        <v/>
      </c>
      <c r="H116" s="114"/>
      <c r="I116" s="363" t="str">
        <f>IFERROR(VLOOKUP(H116,'G-1 All Habitats'!$Z$2:$AA$9,2,FALSE),"")</f>
        <v/>
      </c>
      <c r="J116" s="114"/>
      <c r="K116" s="370" t="str">
        <f>IF(J116="","",IF(VLOOKUP(J116,'G-3 Multipliers'!$L$3:$N$6,2,FALSE)=0,"Spatial Data Missing",VLOOKUP(J116,'G-3 Multipliers'!$L$3:$N$6,2,FALSE)))</f>
        <v/>
      </c>
      <c r="L116" s="368" t="str">
        <f>IF(J116="","",IF(VLOOKUP(J116,'G-3 Multipliers'!$L$3:$N$6,3,FALSE)=0,"Spatial Data Missing ⚠",VLOOKUP(J116,'G-3 Multipliers'!$L$3:$N$6,3,FALSE)))</f>
        <v/>
      </c>
      <c r="M116" s="369" t="str">
        <f>IF(D116="","",VLOOKUP(D116,'G-6 Hedgerow Data'!$B$1:$AH$15,33,FALSE))</f>
        <v/>
      </c>
      <c r="N116" s="376" t="str">
        <f t="shared" si="9"/>
        <v/>
      </c>
      <c r="O116" s="32"/>
      <c r="P116" s="122"/>
      <c r="Q116" s="165"/>
      <c r="R116" s="393" t="str">
        <f t="shared" si="10"/>
        <v/>
      </c>
      <c r="S116" s="393" t="str">
        <f t="shared" si="11"/>
        <v/>
      </c>
      <c r="T116" s="393" t="str">
        <f t="shared" si="12"/>
        <v/>
      </c>
      <c r="U116" s="415" t="str">
        <f t="shared" si="13"/>
        <v/>
      </c>
      <c r="V116" s="119"/>
      <c r="W116" s="120"/>
      <c r="X116" s="120"/>
      <c r="AE116" s="124" t="str">
        <f t="shared" si="7"/>
        <v/>
      </c>
      <c r="AF116" s="124" t="str">
        <f t="shared" si="8"/>
        <v/>
      </c>
      <c r="AH116" s="124">
        <v>107</v>
      </c>
      <c r="AJ116" s="124" t="str">
        <f t="array" ref="AJ116">IFERROR(INDEX($AH$10:$AH$258, MATCH(0, IF(TRUE=$AE$10:$AE$258, COUNTIF($AJ$9:$AJ115, $AH$10:$AH$258), ""), 0)),"")</f>
        <v/>
      </c>
      <c r="AK116" s="124" t="str">
        <f t="array" ref="AK116">IFERROR(INDEX($AH$10:$AH$258, MATCH(0, IF(TRUE=$AF$10:$AF$258, COUNTIF($AK$9:$AK115, $AH$10:$AH$258), ""), 0)),"")</f>
        <v/>
      </c>
      <c r="AL116" s="30" t="str">
        <f>IFERROR(INDEX('G-6 Hedgerow Data'!$BJ$3:$BJ$15,MATCH(D116,'G-6 Hedgerow Data'!$B$3:$B$15,0)),"")</f>
        <v/>
      </c>
    </row>
    <row r="117" spans="2:38">
      <c r="B117" s="110">
        <v>108</v>
      </c>
      <c r="C117" s="165"/>
      <c r="D117" s="165"/>
      <c r="E117" s="121"/>
      <c r="F117" s="411" t="str">
        <f>IF(D117="","",VLOOKUP(D117,'G-6 Hedgerow Data'!$B$2:$AG$15,2,FALSE))</f>
        <v/>
      </c>
      <c r="G117" s="363" t="str">
        <f>IF(D117="","",VLOOKUP(D117,'G-6 Hedgerow Data'!$B$2:$AG$15,3,FALSE))</f>
        <v/>
      </c>
      <c r="H117" s="114"/>
      <c r="I117" s="363" t="str">
        <f>IFERROR(VLOOKUP(H117,'G-1 All Habitats'!$Z$2:$AA$9,2,FALSE),"")</f>
        <v/>
      </c>
      <c r="J117" s="114"/>
      <c r="K117" s="370" t="str">
        <f>IF(J117="","",IF(VLOOKUP(J117,'G-3 Multipliers'!$L$3:$N$6,2,FALSE)=0,"Spatial Data Missing",VLOOKUP(J117,'G-3 Multipliers'!$L$3:$N$6,2,FALSE)))</f>
        <v/>
      </c>
      <c r="L117" s="368" t="str">
        <f>IF(J117="","",IF(VLOOKUP(J117,'G-3 Multipliers'!$L$3:$N$6,3,FALSE)=0,"Spatial Data Missing ⚠",VLOOKUP(J117,'G-3 Multipliers'!$L$3:$N$6,3,FALSE)))</f>
        <v/>
      </c>
      <c r="M117" s="369" t="str">
        <f>IF(D117="","",VLOOKUP(D117,'G-6 Hedgerow Data'!$B$1:$AH$15,33,FALSE))</f>
        <v/>
      </c>
      <c r="N117" s="376" t="str">
        <f t="shared" si="9"/>
        <v/>
      </c>
      <c r="O117" s="32"/>
      <c r="P117" s="122"/>
      <c r="Q117" s="165"/>
      <c r="R117" s="393" t="str">
        <f t="shared" si="10"/>
        <v/>
      </c>
      <c r="S117" s="393" t="str">
        <f t="shared" si="11"/>
        <v/>
      </c>
      <c r="T117" s="393" t="str">
        <f t="shared" si="12"/>
        <v/>
      </c>
      <c r="U117" s="415" t="str">
        <f t="shared" si="13"/>
        <v/>
      </c>
      <c r="V117" s="119"/>
      <c r="W117" s="120"/>
      <c r="X117" s="120"/>
      <c r="AE117" s="124" t="str">
        <f t="shared" si="7"/>
        <v/>
      </c>
      <c r="AF117" s="124" t="str">
        <f t="shared" si="8"/>
        <v/>
      </c>
      <c r="AH117" s="124">
        <v>108</v>
      </c>
      <c r="AJ117" s="124" t="str">
        <f t="array" ref="AJ117">IFERROR(INDEX($AH$10:$AH$258, MATCH(0, IF(TRUE=$AE$10:$AE$258, COUNTIF($AJ$9:$AJ116, $AH$10:$AH$258), ""), 0)),"")</f>
        <v/>
      </c>
      <c r="AK117" s="124" t="str">
        <f t="array" ref="AK117">IFERROR(INDEX($AH$10:$AH$258, MATCH(0, IF(TRUE=$AF$10:$AF$258, COUNTIF($AK$9:$AK116, $AH$10:$AH$258), ""), 0)),"")</f>
        <v/>
      </c>
      <c r="AL117" s="30" t="str">
        <f>IFERROR(INDEX('G-6 Hedgerow Data'!$BJ$3:$BJ$15,MATCH(D117,'G-6 Hedgerow Data'!$B$3:$B$15,0)),"")</f>
        <v/>
      </c>
    </row>
    <row r="118" spans="2:38">
      <c r="B118" s="110">
        <v>109</v>
      </c>
      <c r="C118" s="165"/>
      <c r="D118" s="165"/>
      <c r="E118" s="121"/>
      <c r="F118" s="411" t="str">
        <f>IF(D118="","",VLOOKUP(D118,'G-6 Hedgerow Data'!$B$2:$AG$15,2,FALSE))</f>
        <v/>
      </c>
      <c r="G118" s="363" t="str">
        <f>IF(D118="","",VLOOKUP(D118,'G-6 Hedgerow Data'!$B$2:$AG$15,3,FALSE))</f>
        <v/>
      </c>
      <c r="H118" s="114"/>
      <c r="I118" s="363" t="str">
        <f>IFERROR(VLOOKUP(H118,'G-1 All Habitats'!$Z$2:$AA$9,2,FALSE),"")</f>
        <v/>
      </c>
      <c r="J118" s="114"/>
      <c r="K118" s="370" t="str">
        <f>IF(J118="","",IF(VLOOKUP(J118,'G-3 Multipliers'!$L$3:$N$6,2,FALSE)=0,"Spatial Data Missing",VLOOKUP(J118,'G-3 Multipliers'!$L$3:$N$6,2,FALSE)))</f>
        <v/>
      </c>
      <c r="L118" s="368" t="str">
        <f>IF(J118="","",IF(VLOOKUP(J118,'G-3 Multipliers'!$L$3:$N$6,3,FALSE)=0,"Spatial Data Missing ⚠",VLOOKUP(J118,'G-3 Multipliers'!$L$3:$N$6,3,FALSE)))</f>
        <v/>
      </c>
      <c r="M118" s="369" t="str">
        <f>IF(D118="","",VLOOKUP(D118,'G-6 Hedgerow Data'!$B$1:$AH$15,33,FALSE))</f>
        <v/>
      </c>
      <c r="N118" s="376" t="str">
        <f t="shared" si="9"/>
        <v/>
      </c>
      <c r="O118" s="32"/>
      <c r="P118" s="122"/>
      <c r="Q118" s="165"/>
      <c r="R118" s="393" t="str">
        <f t="shared" si="10"/>
        <v/>
      </c>
      <c r="S118" s="393" t="str">
        <f t="shared" si="11"/>
        <v/>
      </c>
      <c r="T118" s="393" t="str">
        <f t="shared" si="12"/>
        <v/>
      </c>
      <c r="U118" s="415" t="str">
        <f t="shared" si="13"/>
        <v/>
      </c>
      <c r="V118" s="119"/>
      <c r="W118" s="120"/>
      <c r="X118" s="120"/>
      <c r="AE118" s="124" t="str">
        <f t="shared" si="7"/>
        <v/>
      </c>
      <c r="AF118" s="124" t="str">
        <f t="shared" si="8"/>
        <v/>
      </c>
      <c r="AH118" s="124">
        <v>109</v>
      </c>
      <c r="AJ118" s="124" t="str">
        <f t="array" ref="AJ118">IFERROR(INDEX($AH$10:$AH$258, MATCH(0, IF(TRUE=$AE$10:$AE$258, COUNTIF($AJ$9:$AJ117, $AH$10:$AH$258), ""), 0)),"")</f>
        <v/>
      </c>
      <c r="AK118" s="124" t="str">
        <f t="array" ref="AK118">IFERROR(INDEX($AH$10:$AH$258, MATCH(0, IF(TRUE=$AF$10:$AF$258, COUNTIF($AK$9:$AK117, $AH$10:$AH$258), ""), 0)),"")</f>
        <v/>
      </c>
      <c r="AL118" s="30" t="str">
        <f>IFERROR(INDEX('G-6 Hedgerow Data'!$BJ$3:$BJ$15,MATCH(D118,'G-6 Hedgerow Data'!$B$3:$B$15,0)),"")</f>
        <v/>
      </c>
    </row>
    <row r="119" spans="2:38">
      <c r="B119" s="110">
        <v>110</v>
      </c>
      <c r="C119" s="165"/>
      <c r="D119" s="165"/>
      <c r="E119" s="121"/>
      <c r="F119" s="411" t="str">
        <f>IF(D119="","",VLOOKUP(D119,'G-6 Hedgerow Data'!$B$2:$AG$15,2,FALSE))</f>
        <v/>
      </c>
      <c r="G119" s="363" t="str">
        <f>IF(D119="","",VLOOKUP(D119,'G-6 Hedgerow Data'!$B$2:$AG$15,3,FALSE))</f>
        <v/>
      </c>
      <c r="H119" s="114"/>
      <c r="I119" s="363" t="str">
        <f>IFERROR(VLOOKUP(H119,'G-1 All Habitats'!$Z$2:$AA$9,2,FALSE),"")</f>
        <v/>
      </c>
      <c r="J119" s="114"/>
      <c r="K119" s="370" t="str">
        <f>IF(J119="","",IF(VLOOKUP(J119,'G-3 Multipliers'!$L$3:$N$6,2,FALSE)=0,"Spatial Data Missing",VLOOKUP(J119,'G-3 Multipliers'!$L$3:$N$6,2,FALSE)))</f>
        <v/>
      </c>
      <c r="L119" s="368" t="str">
        <f>IF(J119="","",IF(VLOOKUP(J119,'G-3 Multipliers'!$L$3:$N$6,3,FALSE)=0,"Spatial Data Missing ⚠",VLOOKUP(J119,'G-3 Multipliers'!$L$3:$N$6,3,FALSE)))</f>
        <v/>
      </c>
      <c r="M119" s="369" t="str">
        <f>IF(D119="","",VLOOKUP(D119,'G-6 Hedgerow Data'!$B$1:$AH$15,33,FALSE))</f>
        <v/>
      </c>
      <c r="N119" s="376" t="str">
        <f t="shared" si="9"/>
        <v/>
      </c>
      <c r="O119" s="32"/>
      <c r="P119" s="122"/>
      <c r="Q119" s="165"/>
      <c r="R119" s="393" t="str">
        <f t="shared" si="10"/>
        <v/>
      </c>
      <c r="S119" s="393" t="str">
        <f t="shared" si="11"/>
        <v/>
      </c>
      <c r="T119" s="393" t="str">
        <f t="shared" si="12"/>
        <v/>
      </c>
      <c r="U119" s="415" t="str">
        <f t="shared" si="13"/>
        <v/>
      </c>
      <c r="V119" s="119"/>
      <c r="W119" s="120"/>
      <c r="X119" s="120"/>
      <c r="AE119" s="124" t="str">
        <f t="shared" si="7"/>
        <v/>
      </c>
      <c r="AF119" s="124" t="str">
        <f t="shared" si="8"/>
        <v/>
      </c>
      <c r="AH119" s="124">
        <v>110</v>
      </c>
      <c r="AJ119" s="124" t="str">
        <f t="array" ref="AJ119">IFERROR(INDEX($AH$10:$AH$258, MATCH(0, IF(TRUE=$AE$10:$AE$258, COUNTIF($AJ$9:$AJ118, $AH$10:$AH$258), ""), 0)),"")</f>
        <v/>
      </c>
      <c r="AK119" s="124" t="str">
        <f t="array" ref="AK119">IFERROR(INDEX($AH$10:$AH$258, MATCH(0, IF(TRUE=$AF$10:$AF$258, COUNTIF($AK$9:$AK118, $AH$10:$AH$258), ""), 0)),"")</f>
        <v/>
      </c>
      <c r="AL119" s="30" t="str">
        <f>IFERROR(INDEX('G-6 Hedgerow Data'!$BJ$3:$BJ$15,MATCH(D119,'G-6 Hedgerow Data'!$B$3:$B$15,0)),"")</f>
        <v/>
      </c>
    </row>
    <row r="120" spans="2:38">
      <c r="B120" s="110">
        <v>111</v>
      </c>
      <c r="C120" s="165"/>
      <c r="D120" s="165"/>
      <c r="E120" s="121"/>
      <c r="F120" s="411" t="str">
        <f>IF(D120="","",VLOOKUP(D120,'G-6 Hedgerow Data'!$B$2:$AG$15,2,FALSE))</f>
        <v/>
      </c>
      <c r="G120" s="363" t="str">
        <f>IF(D120="","",VLOOKUP(D120,'G-6 Hedgerow Data'!$B$2:$AG$15,3,FALSE))</f>
        <v/>
      </c>
      <c r="H120" s="114"/>
      <c r="I120" s="363" t="str">
        <f>IFERROR(VLOOKUP(H120,'G-1 All Habitats'!$Z$2:$AA$9,2,FALSE),"")</f>
        <v/>
      </c>
      <c r="J120" s="114"/>
      <c r="K120" s="370" t="str">
        <f>IF(J120="","",IF(VLOOKUP(J120,'G-3 Multipliers'!$L$3:$N$6,2,FALSE)=0,"Spatial Data Missing",VLOOKUP(J120,'G-3 Multipliers'!$L$3:$N$6,2,FALSE)))</f>
        <v/>
      </c>
      <c r="L120" s="368" t="str">
        <f>IF(J120="","",IF(VLOOKUP(J120,'G-3 Multipliers'!$L$3:$N$6,3,FALSE)=0,"Spatial Data Missing ⚠",VLOOKUP(J120,'G-3 Multipliers'!$L$3:$N$6,3,FALSE)))</f>
        <v/>
      </c>
      <c r="M120" s="369" t="str">
        <f>IF(D120="","",VLOOKUP(D120,'G-6 Hedgerow Data'!$B$1:$AH$15,33,FALSE))</f>
        <v/>
      </c>
      <c r="N120" s="376" t="str">
        <f t="shared" si="9"/>
        <v/>
      </c>
      <c r="O120" s="32"/>
      <c r="P120" s="122"/>
      <c r="Q120" s="165"/>
      <c r="R120" s="393" t="str">
        <f t="shared" si="10"/>
        <v/>
      </c>
      <c r="S120" s="393" t="str">
        <f t="shared" si="11"/>
        <v/>
      </c>
      <c r="T120" s="393" t="str">
        <f t="shared" si="12"/>
        <v/>
      </c>
      <c r="U120" s="415" t="str">
        <f t="shared" si="13"/>
        <v/>
      </c>
      <c r="V120" s="119"/>
      <c r="W120" s="120"/>
      <c r="X120" s="120"/>
      <c r="AE120" s="124" t="str">
        <f t="shared" si="7"/>
        <v/>
      </c>
      <c r="AF120" s="124" t="str">
        <f t="shared" si="8"/>
        <v/>
      </c>
      <c r="AH120" s="124">
        <v>111</v>
      </c>
      <c r="AJ120" s="124" t="str">
        <f t="array" ref="AJ120">IFERROR(INDEX($AH$10:$AH$258, MATCH(0, IF(TRUE=$AE$10:$AE$258, COUNTIF($AJ$9:$AJ119, $AH$10:$AH$258), ""), 0)),"")</f>
        <v/>
      </c>
      <c r="AK120" s="124" t="str">
        <f t="array" ref="AK120">IFERROR(INDEX($AH$10:$AH$258, MATCH(0, IF(TRUE=$AF$10:$AF$258, COUNTIF($AK$9:$AK119, $AH$10:$AH$258), ""), 0)),"")</f>
        <v/>
      </c>
      <c r="AL120" s="30" t="str">
        <f>IFERROR(INDEX('G-6 Hedgerow Data'!$BJ$3:$BJ$15,MATCH(D120,'G-6 Hedgerow Data'!$B$3:$B$15,0)),"")</f>
        <v/>
      </c>
    </row>
    <row r="121" spans="2:38">
      <c r="B121" s="110">
        <v>112</v>
      </c>
      <c r="C121" s="165"/>
      <c r="D121" s="165"/>
      <c r="E121" s="121"/>
      <c r="F121" s="411" t="str">
        <f>IF(D121="","",VLOOKUP(D121,'G-6 Hedgerow Data'!$B$2:$AG$15,2,FALSE))</f>
        <v/>
      </c>
      <c r="G121" s="363" t="str">
        <f>IF(D121="","",VLOOKUP(D121,'G-6 Hedgerow Data'!$B$2:$AG$15,3,FALSE))</f>
        <v/>
      </c>
      <c r="H121" s="114"/>
      <c r="I121" s="363" t="str">
        <f>IFERROR(VLOOKUP(H121,'G-1 All Habitats'!$Z$2:$AA$9,2,FALSE),"")</f>
        <v/>
      </c>
      <c r="J121" s="114"/>
      <c r="K121" s="370" t="str">
        <f>IF(J121="","",IF(VLOOKUP(J121,'G-3 Multipliers'!$L$3:$N$6,2,FALSE)=0,"Spatial Data Missing",VLOOKUP(J121,'G-3 Multipliers'!$L$3:$N$6,2,FALSE)))</f>
        <v/>
      </c>
      <c r="L121" s="368" t="str">
        <f>IF(J121="","",IF(VLOOKUP(J121,'G-3 Multipliers'!$L$3:$N$6,3,FALSE)=0,"Spatial Data Missing ⚠",VLOOKUP(J121,'G-3 Multipliers'!$L$3:$N$6,3,FALSE)))</f>
        <v/>
      </c>
      <c r="M121" s="369" t="str">
        <f>IF(D121="","",VLOOKUP(D121,'G-6 Hedgerow Data'!$B$1:$AH$15,33,FALSE))</f>
        <v/>
      </c>
      <c r="N121" s="376" t="str">
        <f t="shared" si="9"/>
        <v/>
      </c>
      <c r="O121" s="32"/>
      <c r="P121" s="122"/>
      <c r="Q121" s="165"/>
      <c r="R121" s="393" t="str">
        <f t="shared" si="10"/>
        <v/>
      </c>
      <c r="S121" s="393" t="str">
        <f t="shared" si="11"/>
        <v/>
      </c>
      <c r="T121" s="393" t="str">
        <f t="shared" si="12"/>
        <v/>
      </c>
      <c r="U121" s="415" t="str">
        <f t="shared" si="13"/>
        <v/>
      </c>
      <c r="V121" s="119"/>
      <c r="W121" s="120"/>
      <c r="X121" s="120"/>
      <c r="AE121" s="124" t="str">
        <f t="shared" si="7"/>
        <v/>
      </c>
      <c r="AF121" s="124" t="str">
        <f t="shared" si="8"/>
        <v/>
      </c>
      <c r="AH121" s="124">
        <v>112</v>
      </c>
      <c r="AJ121" s="124" t="str">
        <f t="array" ref="AJ121">IFERROR(INDEX($AH$10:$AH$258, MATCH(0, IF(TRUE=$AE$10:$AE$258, COUNTIF($AJ$9:$AJ120, $AH$10:$AH$258), ""), 0)),"")</f>
        <v/>
      </c>
      <c r="AK121" s="124" t="str">
        <f t="array" ref="AK121">IFERROR(INDEX($AH$10:$AH$258, MATCH(0, IF(TRUE=$AF$10:$AF$258, COUNTIF($AK$9:$AK120, $AH$10:$AH$258), ""), 0)),"")</f>
        <v/>
      </c>
      <c r="AL121" s="30" t="str">
        <f>IFERROR(INDEX('G-6 Hedgerow Data'!$BJ$3:$BJ$15,MATCH(D121,'G-6 Hedgerow Data'!$B$3:$B$15,0)),"")</f>
        <v/>
      </c>
    </row>
    <row r="122" spans="2:38">
      <c r="B122" s="110">
        <v>113</v>
      </c>
      <c r="C122" s="165"/>
      <c r="D122" s="165"/>
      <c r="E122" s="121"/>
      <c r="F122" s="411" t="str">
        <f>IF(D122="","",VLOOKUP(D122,'G-6 Hedgerow Data'!$B$2:$AG$15,2,FALSE))</f>
        <v/>
      </c>
      <c r="G122" s="363" t="str">
        <f>IF(D122="","",VLOOKUP(D122,'G-6 Hedgerow Data'!$B$2:$AG$15,3,FALSE))</f>
        <v/>
      </c>
      <c r="H122" s="114"/>
      <c r="I122" s="363" t="str">
        <f>IFERROR(VLOOKUP(H122,'G-1 All Habitats'!$Z$2:$AA$9,2,FALSE),"")</f>
        <v/>
      </c>
      <c r="J122" s="114"/>
      <c r="K122" s="370" t="str">
        <f>IF(J122="","",IF(VLOOKUP(J122,'G-3 Multipliers'!$L$3:$N$6,2,FALSE)=0,"Spatial Data Missing",VLOOKUP(J122,'G-3 Multipliers'!$L$3:$N$6,2,FALSE)))</f>
        <v/>
      </c>
      <c r="L122" s="368" t="str">
        <f>IF(J122="","",IF(VLOOKUP(J122,'G-3 Multipliers'!$L$3:$N$6,3,FALSE)=0,"Spatial Data Missing ⚠",VLOOKUP(J122,'G-3 Multipliers'!$L$3:$N$6,3,FALSE)))</f>
        <v/>
      </c>
      <c r="M122" s="369" t="str">
        <f>IF(D122="","",VLOOKUP(D122,'G-6 Hedgerow Data'!$B$1:$AH$15,33,FALSE))</f>
        <v/>
      </c>
      <c r="N122" s="376" t="str">
        <f t="shared" si="9"/>
        <v/>
      </c>
      <c r="O122" s="32"/>
      <c r="P122" s="122"/>
      <c r="Q122" s="165"/>
      <c r="R122" s="393" t="str">
        <f t="shared" si="10"/>
        <v/>
      </c>
      <c r="S122" s="393" t="str">
        <f t="shared" si="11"/>
        <v/>
      </c>
      <c r="T122" s="393" t="str">
        <f t="shared" si="12"/>
        <v/>
      </c>
      <c r="U122" s="415" t="str">
        <f t="shared" si="13"/>
        <v/>
      </c>
      <c r="V122" s="119"/>
      <c r="W122" s="120"/>
      <c r="X122" s="120"/>
      <c r="AE122" s="124" t="str">
        <f t="shared" si="7"/>
        <v/>
      </c>
      <c r="AF122" s="124" t="str">
        <f t="shared" si="8"/>
        <v/>
      </c>
      <c r="AH122" s="124">
        <v>113</v>
      </c>
      <c r="AJ122" s="124" t="str">
        <f t="array" ref="AJ122">IFERROR(INDEX($AH$10:$AH$258, MATCH(0, IF(TRUE=$AE$10:$AE$258, COUNTIF($AJ$9:$AJ121, $AH$10:$AH$258), ""), 0)),"")</f>
        <v/>
      </c>
      <c r="AK122" s="124" t="str">
        <f t="array" ref="AK122">IFERROR(INDEX($AH$10:$AH$258, MATCH(0, IF(TRUE=$AF$10:$AF$258, COUNTIF($AK$9:$AK121, $AH$10:$AH$258), ""), 0)),"")</f>
        <v/>
      </c>
      <c r="AL122" s="30" t="str">
        <f>IFERROR(INDEX('G-6 Hedgerow Data'!$BJ$3:$BJ$15,MATCH(D122,'G-6 Hedgerow Data'!$B$3:$B$15,0)),"")</f>
        <v/>
      </c>
    </row>
    <row r="123" spans="2:38">
      <c r="B123" s="110">
        <v>114</v>
      </c>
      <c r="C123" s="165"/>
      <c r="D123" s="165"/>
      <c r="E123" s="121"/>
      <c r="F123" s="411" t="str">
        <f>IF(D123="","",VLOOKUP(D123,'G-6 Hedgerow Data'!$B$2:$AG$15,2,FALSE))</f>
        <v/>
      </c>
      <c r="G123" s="363" t="str">
        <f>IF(D123="","",VLOOKUP(D123,'G-6 Hedgerow Data'!$B$2:$AG$15,3,FALSE))</f>
        <v/>
      </c>
      <c r="H123" s="114"/>
      <c r="I123" s="363" t="str">
        <f>IFERROR(VLOOKUP(H123,'G-1 All Habitats'!$Z$2:$AA$9,2,FALSE),"")</f>
        <v/>
      </c>
      <c r="J123" s="114"/>
      <c r="K123" s="370" t="str">
        <f>IF(J123="","",IF(VLOOKUP(J123,'G-3 Multipliers'!$L$3:$N$6,2,FALSE)=0,"Spatial Data Missing",VLOOKUP(J123,'G-3 Multipliers'!$L$3:$N$6,2,FALSE)))</f>
        <v/>
      </c>
      <c r="L123" s="368" t="str">
        <f>IF(J123="","",IF(VLOOKUP(J123,'G-3 Multipliers'!$L$3:$N$6,3,FALSE)=0,"Spatial Data Missing ⚠",VLOOKUP(J123,'G-3 Multipliers'!$L$3:$N$6,3,FALSE)))</f>
        <v/>
      </c>
      <c r="M123" s="369" t="str">
        <f>IF(D123="","",VLOOKUP(D123,'G-6 Hedgerow Data'!$B$1:$AH$15,33,FALSE))</f>
        <v/>
      </c>
      <c r="N123" s="376" t="str">
        <f t="shared" si="9"/>
        <v/>
      </c>
      <c r="O123" s="32"/>
      <c r="P123" s="122"/>
      <c r="Q123" s="165"/>
      <c r="R123" s="393" t="str">
        <f t="shared" si="10"/>
        <v/>
      </c>
      <c r="S123" s="393" t="str">
        <f t="shared" si="11"/>
        <v/>
      </c>
      <c r="T123" s="393" t="str">
        <f t="shared" si="12"/>
        <v/>
      </c>
      <c r="U123" s="415" t="str">
        <f t="shared" si="13"/>
        <v/>
      </c>
      <c r="V123" s="119"/>
      <c r="W123" s="120"/>
      <c r="X123" s="120"/>
      <c r="AE123" s="124" t="str">
        <f t="shared" si="7"/>
        <v/>
      </c>
      <c r="AF123" s="124" t="str">
        <f t="shared" si="8"/>
        <v/>
      </c>
      <c r="AH123" s="124">
        <v>114</v>
      </c>
      <c r="AJ123" s="124" t="str">
        <f t="array" ref="AJ123">IFERROR(INDEX($AH$10:$AH$258, MATCH(0, IF(TRUE=$AE$10:$AE$258, COUNTIF($AJ$9:$AJ122, $AH$10:$AH$258), ""), 0)),"")</f>
        <v/>
      </c>
      <c r="AK123" s="124" t="str">
        <f t="array" ref="AK123">IFERROR(INDEX($AH$10:$AH$258, MATCH(0, IF(TRUE=$AF$10:$AF$258, COUNTIF($AK$9:$AK122, $AH$10:$AH$258), ""), 0)),"")</f>
        <v/>
      </c>
      <c r="AL123" s="30" t="str">
        <f>IFERROR(INDEX('G-6 Hedgerow Data'!$BJ$3:$BJ$15,MATCH(D123,'G-6 Hedgerow Data'!$B$3:$B$15,0)),"")</f>
        <v/>
      </c>
    </row>
    <row r="124" spans="2:38">
      <c r="B124" s="110">
        <v>115</v>
      </c>
      <c r="C124" s="165"/>
      <c r="D124" s="165"/>
      <c r="E124" s="121"/>
      <c r="F124" s="411" t="str">
        <f>IF(D124="","",VLOOKUP(D124,'G-6 Hedgerow Data'!$B$2:$AG$15,2,FALSE))</f>
        <v/>
      </c>
      <c r="G124" s="363" t="str">
        <f>IF(D124="","",VLOOKUP(D124,'G-6 Hedgerow Data'!$B$2:$AG$15,3,FALSE))</f>
        <v/>
      </c>
      <c r="H124" s="114"/>
      <c r="I124" s="363" t="str">
        <f>IFERROR(VLOOKUP(H124,'G-1 All Habitats'!$Z$2:$AA$9,2,FALSE),"")</f>
        <v/>
      </c>
      <c r="J124" s="114"/>
      <c r="K124" s="370" t="str">
        <f>IF(J124="","",IF(VLOOKUP(J124,'G-3 Multipliers'!$L$3:$N$6,2,FALSE)=0,"Spatial Data Missing",VLOOKUP(J124,'G-3 Multipliers'!$L$3:$N$6,2,FALSE)))</f>
        <v/>
      </c>
      <c r="L124" s="368" t="str">
        <f>IF(J124="","",IF(VLOOKUP(J124,'G-3 Multipliers'!$L$3:$N$6,3,FALSE)=0,"Spatial Data Missing ⚠",VLOOKUP(J124,'G-3 Multipliers'!$L$3:$N$6,3,FALSE)))</f>
        <v/>
      </c>
      <c r="M124" s="369" t="str">
        <f>IF(D124="","",VLOOKUP(D124,'G-6 Hedgerow Data'!$B$1:$AH$15,33,FALSE))</f>
        <v/>
      </c>
      <c r="N124" s="376" t="str">
        <f t="shared" si="9"/>
        <v/>
      </c>
      <c r="O124" s="32"/>
      <c r="P124" s="122"/>
      <c r="Q124" s="165"/>
      <c r="R124" s="393" t="str">
        <f t="shared" si="10"/>
        <v/>
      </c>
      <c r="S124" s="393" t="str">
        <f t="shared" si="11"/>
        <v/>
      </c>
      <c r="T124" s="393" t="str">
        <f t="shared" si="12"/>
        <v/>
      </c>
      <c r="U124" s="415" t="str">
        <f t="shared" si="13"/>
        <v/>
      </c>
      <c r="V124" s="119"/>
      <c r="W124" s="120"/>
      <c r="X124" s="120"/>
      <c r="AE124" s="124" t="str">
        <f t="shared" si="7"/>
        <v/>
      </c>
      <c r="AF124" s="124" t="str">
        <f t="shared" si="8"/>
        <v/>
      </c>
      <c r="AH124" s="124">
        <v>115</v>
      </c>
      <c r="AJ124" s="124" t="str">
        <f t="array" ref="AJ124">IFERROR(INDEX($AH$10:$AH$258, MATCH(0, IF(TRUE=$AE$10:$AE$258, COUNTIF($AJ$9:$AJ123, $AH$10:$AH$258), ""), 0)),"")</f>
        <v/>
      </c>
      <c r="AK124" s="124" t="str">
        <f t="array" ref="AK124">IFERROR(INDEX($AH$10:$AH$258, MATCH(0, IF(TRUE=$AF$10:$AF$258, COUNTIF($AK$9:$AK123, $AH$10:$AH$258), ""), 0)),"")</f>
        <v/>
      </c>
      <c r="AL124" s="30" t="str">
        <f>IFERROR(INDEX('G-6 Hedgerow Data'!$BJ$3:$BJ$15,MATCH(D124,'G-6 Hedgerow Data'!$B$3:$B$15,0)),"")</f>
        <v/>
      </c>
    </row>
    <row r="125" spans="2:38">
      <c r="B125" s="110">
        <v>116</v>
      </c>
      <c r="C125" s="165"/>
      <c r="D125" s="165"/>
      <c r="E125" s="121"/>
      <c r="F125" s="411" t="str">
        <f>IF(D125="","",VLOOKUP(D125,'G-6 Hedgerow Data'!$B$2:$AG$15,2,FALSE))</f>
        <v/>
      </c>
      <c r="G125" s="363" t="str">
        <f>IF(D125="","",VLOOKUP(D125,'G-6 Hedgerow Data'!$B$2:$AG$15,3,FALSE))</f>
        <v/>
      </c>
      <c r="H125" s="114"/>
      <c r="I125" s="363" t="str">
        <f>IFERROR(VLOOKUP(H125,'G-1 All Habitats'!$Z$2:$AA$9,2,FALSE),"")</f>
        <v/>
      </c>
      <c r="J125" s="114"/>
      <c r="K125" s="370" t="str">
        <f>IF(J125="","",IF(VLOOKUP(J125,'G-3 Multipliers'!$L$3:$N$6,2,FALSE)=0,"Spatial Data Missing",VLOOKUP(J125,'G-3 Multipliers'!$L$3:$N$6,2,FALSE)))</f>
        <v/>
      </c>
      <c r="L125" s="368" t="str">
        <f>IF(J125="","",IF(VLOOKUP(J125,'G-3 Multipliers'!$L$3:$N$6,3,FALSE)=0,"Spatial Data Missing ⚠",VLOOKUP(J125,'G-3 Multipliers'!$L$3:$N$6,3,FALSE)))</f>
        <v/>
      </c>
      <c r="M125" s="369" t="str">
        <f>IF(D125="","",VLOOKUP(D125,'G-6 Hedgerow Data'!$B$1:$AH$15,33,FALSE))</f>
        <v/>
      </c>
      <c r="N125" s="376" t="str">
        <f t="shared" si="9"/>
        <v/>
      </c>
      <c r="O125" s="32"/>
      <c r="P125" s="122"/>
      <c r="Q125" s="165"/>
      <c r="R125" s="393" t="str">
        <f t="shared" si="10"/>
        <v/>
      </c>
      <c r="S125" s="393" t="str">
        <f t="shared" si="11"/>
        <v/>
      </c>
      <c r="T125" s="393" t="str">
        <f t="shared" si="12"/>
        <v/>
      </c>
      <c r="U125" s="415" t="str">
        <f t="shared" si="13"/>
        <v/>
      </c>
      <c r="V125" s="119"/>
      <c r="W125" s="120"/>
      <c r="X125" s="120"/>
      <c r="AE125" s="124" t="str">
        <f t="shared" si="7"/>
        <v/>
      </c>
      <c r="AF125" s="124" t="str">
        <f t="shared" si="8"/>
        <v/>
      </c>
      <c r="AH125" s="124">
        <v>116</v>
      </c>
      <c r="AJ125" s="124" t="str">
        <f t="array" ref="AJ125">IFERROR(INDEX($AH$10:$AH$258, MATCH(0, IF(TRUE=$AE$10:$AE$258, COUNTIF($AJ$9:$AJ124, $AH$10:$AH$258), ""), 0)),"")</f>
        <v/>
      </c>
      <c r="AK125" s="124" t="str">
        <f t="array" ref="AK125">IFERROR(INDEX($AH$10:$AH$258, MATCH(0, IF(TRUE=$AF$10:$AF$258, COUNTIF($AK$9:$AK124, $AH$10:$AH$258), ""), 0)),"")</f>
        <v/>
      </c>
      <c r="AL125" s="30" t="str">
        <f>IFERROR(INDEX('G-6 Hedgerow Data'!$BJ$3:$BJ$15,MATCH(D125,'G-6 Hedgerow Data'!$B$3:$B$15,0)),"")</f>
        <v/>
      </c>
    </row>
    <row r="126" spans="2:38">
      <c r="B126" s="110">
        <v>117</v>
      </c>
      <c r="C126" s="165"/>
      <c r="D126" s="165"/>
      <c r="E126" s="121"/>
      <c r="F126" s="411" t="str">
        <f>IF(D126="","",VLOOKUP(D126,'G-6 Hedgerow Data'!$B$2:$AG$15,2,FALSE))</f>
        <v/>
      </c>
      <c r="G126" s="363" t="str">
        <f>IF(D126="","",VLOOKUP(D126,'G-6 Hedgerow Data'!$B$2:$AG$15,3,FALSE))</f>
        <v/>
      </c>
      <c r="H126" s="114"/>
      <c r="I126" s="363" t="str">
        <f>IFERROR(VLOOKUP(H126,'G-1 All Habitats'!$Z$2:$AA$9,2,FALSE),"")</f>
        <v/>
      </c>
      <c r="J126" s="114"/>
      <c r="K126" s="370" t="str">
        <f>IF(J126="","",IF(VLOOKUP(J126,'G-3 Multipliers'!$L$3:$N$6,2,FALSE)=0,"Spatial Data Missing",VLOOKUP(J126,'G-3 Multipliers'!$L$3:$N$6,2,FALSE)))</f>
        <v/>
      </c>
      <c r="L126" s="368" t="str">
        <f>IF(J126="","",IF(VLOOKUP(J126,'G-3 Multipliers'!$L$3:$N$6,3,FALSE)=0,"Spatial Data Missing ⚠",VLOOKUP(J126,'G-3 Multipliers'!$L$3:$N$6,3,FALSE)))</f>
        <v/>
      </c>
      <c r="M126" s="369" t="str">
        <f>IF(D126="","",VLOOKUP(D126,'G-6 Hedgerow Data'!$B$1:$AH$15,33,FALSE))</f>
        <v/>
      </c>
      <c r="N126" s="376" t="str">
        <f t="shared" si="9"/>
        <v/>
      </c>
      <c r="O126" s="32"/>
      <c r="P126" s="122"/>
      <c r="Q126" s="165"/>
      <c r="R126" s="393" t="str">
        <f t="shared" si="10"/>
        <v/>
      </c>
      <c r="S126" s="393" t="str">
        <f t="shared" si="11"/>
        <v/>
      </c>
      <c r="T126" s="393" t="str">
        <f t="shared" si="12"/>
        <v/>
      </c>
      <c r="U126" s="415" t="str">
        <f t="shared" si="13"/>
        <v/>
      </c>
      <c r="V126" s="119"/>
      <c r="W126" s="120"/>
      <c r="X126" s="120"/>
      <c r="AE126" s="124" t="str">
        <f t="shared" si="7"/>
        <v/>
      </c>
      <c r="AF126" s="124" t="str">
        <f t="shared" si="8"/>
        <v/>
      </c>
      <c r="AH126" s="124">
        <v>117</v>
      </c>
      <c r="AJ126" s="124" t="str">
        <f t="array" ref="AJ126">IFERROR(INDEX($AH$10:$AH$258, MATCH(0, IF(TRUE=$AE$10:$AE$258, COUNTIF($AJ$9:$AJ125, $AH$10:$AH$258), ""), 0)),"")</f>
        <v/>
      </c>
      <c r="AK126" s="124" t="str">
        <f t="array" ref="AK126">IFERROR(INDEX($AH$10:$AH$258, MATCH(0, IF(TRUE=$AF$10:$AF$258, COUNTIF($AK$9:$AK125, $AH$10:$AH$258), ""), 0)),"")</f>
        <v/>
      </c>
      <c r="AL126" s="30" t="str">
        <f>IFERROR(INDEX('G-6 Hedgerow Data'!$BJ$3:$BJ$15,MATCH(D126,'G-6 Hedgerow Data'!$B$3:$B$15,0)),"")</f>
        <v/>
      </c>
    </row>
    <row r="127" spans="2:38">
      <c r="B127" s="110">
        <v>118</v>
      </c>
      <c r="C127" s="165"/>
      <c r="D127" s="165"/>
      <c r="E127" s="121"/>
      <c r="F127" s="411" t="str">
        <f>IF(D127="","",VLOOKUP(D127,'G-6 Hedgerow Data'!$B$2:$AG$15,2,FALSE))</f>
        <v/>
      </c>
      <c r="G127" s="363" t="str">
        <f>IF(D127="","",VLOOKUP(D127,'G-6 Hedgerow Data'!$B$2:$AG$15,3,FALSE))</f>
        <v/>
      </c>
      <c r="H127" s="114"/>
      <c r="I127" s="363" t="str">
        <f>IFERROR(VLOOKUP(H127,'G-1 All Habitats'!$Z$2:$AA$9,2,FALSE),"")</f>
        <v/>
      </c>
      <c r="J127" s="114"/>
      <c r="K127" s="370" t="str">
        <f>IF(J127="","",IF(VLOOKUP(J127,'G-3 Multipliers'!$L$3:$N$6,2,FALSE)=0,"Spatial Data Missing",VLOOKUP(J127,'G-3 Multipliers'!$L$3:$N$6,2,FALSE)))</f>
        <v/>
      </c>
      <c r="L127" s="368" t="str">
        <f>IF(J127="","",IF(VLOOKUP(J127,'G-3 Multipliers'!$L$3:$N$6,3,FALSE)=0,"Spatial Data Missing ⚠",VLOOKUP(J127,'G-3 Multipliers'!$L$3:$N$6,3,FALSE)))</f>
        <v/>
      </c>
      <c r="M127" s="369" t="str">
        <f>IF(D127="","",VLOOKUP(D127,'G-6 Hedgerow Data'!$B$1:$AH$15,33,FALSE))</f>
        <v/>
      </c>
      <c r="N127" s="376" t="str">
        <f t="shared" si="9"/>
        <v/>
      </c>
      <c r="O127" s="32"/>
      <c r="P127" s="122"/>
      <c r="Q127" s="165"/>
      <c r="R127" s="393" t="str">
        <f t="shared" si="10"/>
        <v/>
      </c>
      <c r="S127" s="393" t="str">
        <f t="shared" si="11"/>
        <v/>
      </c>
      <c r="T127" s="393" t="str">
        <f t="shared" si="12"/>
        <v/>
      </c>
      <c r="U127" s="415" t="str">
        <f t="shared" si="13"/>
        <v/>
      </c>
      <c r="V127" s="119"/>
      <c r="W127" s="120"/>
      <c r="X127" s="120"/>
      <c r="AE127" s="124" t="str">
        <f t="shared" si="7"/>
        <v/>
      </c>
      <c r="AF127" s="124" t="str">
        <f t="shared" si="8"/>
        <v/>
      </c>
      <c r="AH127" s="124">
        <v>118</v>
      </c>
      <c r="AJ127" s="124" t="str">
        <f t="array" ref="AJ127">IFERROR(INDEX($AH$10:$AH$258, MATCH(0, IF(TRUE=$AE$10:$AE$258, COUNTIF($AJ$9:$AJ126, $AH$10:$AH$258), ""), 0)),"")</f>
        <v/>
      </c>
      <c r="AK127" s="124" t="str">
        <f t="array" ref="AK127">IFERROR(INDEX($AH$10:$AH$258, MATCH(0, IF(TRUE=$AF$10:$AF$258, COUNTIF($AK$9:$AK126, $AH$10:$AH$258), ""), 0)),"")</f>
        <v/>
      </c>
      <c r="AL127" s="30" t="str">
        <f>IFERROR(INDEX('G-6 Hedgerow Data'!$BJ$3:$BJ$15,MATCH(D127,'G-6 Hedgerow Data'!$B$3:$B$15,0)),"")</f>
        <v/>
      </c>
    </row>
    <row r="128" spans="2:38">
      <c r="B128" s="110">
        <v>119</v>
      </c>
      <c r="C128" s="165"/>
      <c r="D128" s="165"/>
      <c r="E128" s="121"/>
      <c r="F128" s="411" t="str">
        <f>IF(D128="","",VLOOKUP(D128,'G-6 Hedgerow Data'!$B$2:$AG$15,2,FALSE))</f>
        <v/>
      </c>
      <c r="G128" s="363" t="str">
        <f>IF(D128="","",VLOOKUP(D128,'G-6 Hedgerow Data'!$B$2:$AG$15,3,FALSE))</f>
        <v/>
      </c>
      <c r="H128" s="114"/>
      <c r="I128" s="363" t="str">
        <f>IFERROR(VLOOKUP(H128,'G-1 All Habitats'!$Z$2:$AA$9,2,FALSE),"")</f>
        <v/>
      </c>
      <c r="J128" s="114"/>
      <c r="K128" s="370" t="str">
        <f>IF(J128="","",IF(VLOOKUP(J128,'G-3 Multipliers'!$L$3:$N$6,2,FALSE)=0,"Spatial Data Missing",VLOOKUP(J128,'G-3 Multipliers'!$L$3:$N$6,2,FALSE)))</f>
        <v/>
      </c>
      <c r="L128" s="368" t="str">
        <f>IF(J128="","",IF(VLOOKUP(J128,'G-3 Multipliers'!$L$3:$N$6,3,FALSE)=0,"Spatial Data Missing ⚠",VLOOKUP(J128,'G-3 Multipliers'!$L$3:$N$6,3,FALSE)))</f>
        <v/>
      </c>
      <c r="M128" s="369" t="str">
        <f>IF(D128="","",VLOOKUP(D128,'G-6 Hedgerow Data'!$B$1:$AH$15,33,FALSE))</f>
        <v/>
      </c>
      <c r="N128" s="376" t="str">
        <f t="shared" si="9"/>
        <v/>
      </c>
      <c r="O128" s="32"/>
      <c r="P128" s="122"/>
      <c r="Q128" s="165"/>
      <c r="R128" s="393" t="str">
        <f t="shared" si="10"/>
        <v/>
      </c>
      <c r="S128" s="393" t="str">
        <f t="shared" si="11"/>
        <v/>
      </c>
      <c r="T128" s="393" t="str">
        <f t="shared" si="12"/>
        <v/>
      </c>
      <c r="U128" s="415" t="str">
        <f t="shared" si="13"/>
        <v/>
      </c>
      <c r="V128" s="119"/>
      <c r="W128" s="120"/>
      <c r="X128" s="120"/>
      <c r="AE128" s="124" t="str">
        <f t="shared" si="7"/>
        <v/>
      </c>
      <c r="AF128" s="124" t="str">
        <f t="shared" si="8"/>
        <v/>
      </c>
      <c r="AH128" s="124">
        <v>119</v>
      </c>
      <c r="AJ128" s="124" t="str">
        <f t="array" ref="AJ128">IFERROR(INDEX($AH$10:$AH$258, MATCH(0, IF(TRUE=$AE$10:$AE$258, COUNTIF($AJ$9:$AJ127, $AH$10:$AH$258), ""), 0)),"")</f>
        <v/>
      </c>
      <c r="AK128" s="124" t="str">
        <f t="array" ref="AK128">IFERROR(INDEX($AH$10:$AH$258, MATCH(0, IF(TRUE=$AF$10:$AF$258, COUNTIF($AK$9:$AK127, $AH$10:$AH$258), ""), 0)),"")</f>
        <v/>
      </c>
      <c r="AL128" s="30" t="str">
        <f>IFERROR(INDEX('G-6 Hedgerow Data'!$BJ$3:$BJ$15,MATCH(D128,'G-6 Hedgerow Data'!$B$3:$B$15,0)),"")</f>
        <v/>
      </c>
    </row>
    <row r="129" spans="2:38">
      <c r="B129" s="110">
        <v>120</v>
      </c>
      <c r="C129" s="165"/>
      <c r="D129" s="165"/>
      <c r="E129" s="121"/>
      <c r="F129" s="411" t="str">
        <f>IF(D129="","",VLOOKUP(D129,'G-6 Hedgerow Data'!$B$2:$AG$15,2,FALSE))</f>
        <v/>
      </c>
      <c r="G129" s="363" t="str">
        <f>IF(D129="","",VLOOKUP(D129,'G-6 Hedgerow Data'!$B$2:$AG$15,3,FALSE))</f>
        <v/>
      </c>
      <c r="H129" s="114"/>
      <c r="I129" s="363" t="str">
        <f>IFERROR(VLOOKUP(H129,'G-1 All Habitats'!$Z$2:$AA$9,2,FALSE),"")</f>
        <v/>
      </c>
      <c r="J129" s="114"/>
      <c r="K129" s="370" t="str">
        <f>IF(J129="","",IF(VLOOKUP(J129,'G-3 Multipliers'!$L$3:$N$6,2,FALSE)=0,"Spatial Data Missing",VLOOKUP(J129,'G-3 Multipliers'!$L$3:$N$6,2,FALSE)))</f>
        <v/>
      </c>
      <c r="L129" s="368" t="str">
        <f>IF(J129="","",IF(VLOOKUP(J129,'G-3 Multipliers'!$L$3:$N$6,3,FALSE)=0,"Spatial Data Missing ⚠",VLOOKUP(J129,'G-3 Multipliers'!$L$3:$N$6,3,FALSE)))</f>
        <v/>
      </c>
      <c r="M129" s="369" t="str">
        <f>IF(D129="","",VLOOKUP(D129,'G-6 Hedgerow Data'!$B$1:$AH$15,33,FALSE))</f>
        <v/>
      </c>
      <c r="N129" s="376" t="str">
        <f t="shared" si="9"/>
        <v/>
      </c>
      <c r="O129" s="32"/>
      <c r="P129" s="122"/>
      <c r="Q129" s="165"/>
      <c r="R129" s="393" t="str">
        <f t="shared" si="10"/>
        <v/>
      </c>
      <c r="S129" s="393" t="str">
        <f t="shared" si="11"/>
        <v/>
      </c>
      <c r="T129" s="393" t="str">
        <f t="shared" si="12"/>
        <v/>
      </c>
      <c r="U129" s="415" t="str">
        <f t="shared" si="13"/>
        <v/>
      </c>
      <c r="V129" s="119"/>
      <c r="W129" s="120"/>
      <c r="X129" s="120"/>
      <c r="AE129" s="124" t="str">
        <f t="shared" si="7"/>
        <v/>
      </c>
      <c r="AF129" s="124" t="str">
        <f t="shared" si="8"/>
        <v/>
      </c>
      <c r="AH129" s="124">
        <v>120</v>
      </c>
      <c r="AJ129" s="124" t="str">
        <f t="array" ref="AJ129">IFERROR(INDEX($AH$10:$AH$258, MATCH(0, IF(TRUE=$AE$10:$AE$258, COUNTIF($AJ$9:$AJ128, $AH$10:$AH$258), ""), 0)),"")</f>
        <v/>
      </c>
      <c r="AK129" s="124" t="str">
        <f t="array" ref="AK129">IFERROR(INDEX($AH$10:$AH$258, MATCH(0, IF(TRUE=$AF$10:$AF$258, COUNTIF($AK$9:$AK128, $AH$10:$AH$258), ""), 0)),"")</f>
        <v/>
      </c>
      <c r="AL129" s="30" t="str">
        <f>IFERROR(INDEX('G-6 Hedgerow Data'!$BJ$3:$BJ$15,MATCH(D129,'G-6 Hedgerow Data'!$B$3:$B$15,0)),"")</f>
        <v/>
      </c>
    </row>
    <row r="130" spans="2:38">
      <c r="B130" s="110">
        <v>121</v>
      </c>
      <c r="C130" s="165"/>
      <c r="D130" s="165"/>
      <c r="E130" s="121"/>
      <c r="F130" s="411" t="str">
        <f>IF(D130="","",VLOOKUP(D130,'G-6 Hedgerow Data'!$B$2:$AG$15,2,FALSE))</f>
        <v/>
      </c>
      <c r="G130" s="363" t="str">
        <f>IF(D130="","",VLOOKUP(D130,'G-6 Hedgerow Data'!$B$2:$AG$15,3,FALSE))</f>
        <v/>
      </c>
      <c r="H130" s="114"/>
      <c r="I130" s="363" t="str">
        <f>IFERROR(VLOOKUP(H130,'G-1 All Habitats'!$Z$2:$AA$9,2,FALSE),"")</f>
        <v/>
      </c>
      <c r="J130" s="114"/>
      <c r="K130" s="370" t="str">
        <f>IF(J130="","",IF(VLOOKUP(J130,'G-3 Multipliers'!$L$3:$N$6,2,FALSE)=0,"Spatial Data Missing",VLOOKUP(J130,'G-3 Multipliers'!$L$3:$N$6,2,FALSE)))</f>
        <v/>
      </c>
      <c r="L130" s="368" t="str">
        <f>IF(J130="","",IF(VLOOKUP(J130,'G-3 Multipliers'!$L$3:$N$6,3,FALSE)=0,"Spatial Data Missing ⚠",VLOOKUP(J130,'G-3 Multipliers'!$L$3:$N$6,3,FALSE)))</f>
        <v/>
      </c>
      <c r="M130" s="369" t="str">
        <f>IF(D130="","",VLOOKUP(D130,'G-6 Hedgerow Data'!$B$1:$AH$15,33,FALSE))</f>
        <v/>
      </c>
      <c r="N130" s="376" t="str">
        <f t="shared" si="9"/>
        <v/>
      </c>
      <c r="O130" s="32"/>
      <c r="P130" s="122"/>
      <c r="Q130" s="165"/>
      <c r="R130" s="393" t="str">
        <f t="shared" si="10"/>
        <v/>
      </c>
      <c r="S130" s="393" t="str">
        <f t="shared" si="11"/>
        <v/>
      </c>
      <c r="T130" s="393" t="str">
        <f t="shared" si="12"/>
        <v/>
      </c>
      <c r="U130" s="415" t="str">
        <f t="shared" si="13"/>
        <v/>
      </c>
      <c r="V130" s="119"/>
      <c r="W130" s="120"/>
      <c r="X130" s="120"/>
      <c r="AE130" s="124" t="str">
        <f t="shared" si="7"/>
        <v/>
      </c>
      <c r="AF130" s="124" t="str">
        <f t="shared" si="8"/>
        <v/>
      </c>
      <c r="AH130" s="124">
        <v>121</v>
      </c>
      <c r="AJ130" s="124" t="str">
        <f t="array" ref="AJ130">IFERROR(INDEX($AH$10:$AH$258, MATCH(0, IF(TRUE=$AE$10:$AE$258, COUNTIF($AJ$9:$AJ129, $AH$10:$AH$258), ""), 0)),"")</f>
        <v/>
      </c>
      <c r="AK130" s="124" t="str">
        <f t="array" ref="AK130">IFERROR(INDEX($AH$10:$AH$258, MATCH(0, IF(TRUE=$AF$10:$AF$258, COUNTIF($AK$9:$AK129, $AH$10:$AH$258), ""), 0)),"")</f>
        <v/>
      </c>
      <c r="AL130" s="30" t="str">
        <f>IFERROR(INDEX('G-6 Hedgerow Data'!$BJ$3:$BJ$15,MATCH(D130,'G-6 Hedgerow Data'!$B$3:$B$15,0)),"")</f>
        <v/>
      </c>
    </row>
    <row r="131" spans="2:38">
      <c r="B131" s="110">
        <v>122</v>
      </c>
      <c r="C131" s="165"/>
      <c r="D131" s="165"/>
      <c r="E131" s="121"/>
      <c r="F131" s="411" t="str">
        <f>IF(D131="","",VLOOKUP(D131,'G-6 Hedgerow Data'!$B$2:$AG$15,2,FALSE))</f>
        <v/>
      </c>
      <c r="G131" s="363" t="str">
        <f>IF(D131="","",VLOOKUP(D131,'G-6 Hedgerow Data'!$B$2:$AG$15,3,FALSE))</f>
        <v/>
      </c>
      <c r="H131" s="114"/>
      <c r="I131" s="363" t="str">
        <f>IFERROR(VLOOKUP(H131,'G-1 All Habitats'!$Z$2:$AA$9,2,FALSE),"")</f>
        <v/>
      </c>
      <c r="J131" s="114"/>
      <c r="K131" s="370" t="str">
        <f>IF(J131="","",IF(VLOOKUP(J131,'G-3 Multipliers'!$L$3:$N$6,2,FALSE)=0,"Spatial Data Missing",VLOOKUP(J131,'G-3 Multipliers'!$L$3:$N$6,2,FALSE)))</f>
        <v/>
      </c>
      <c r="L131" s="368" t="str">
        <f>IF(J131="","",IF(VLOOKUP(J131,'G-3 Multipliers'!$L$3:$N$6,3,FALSE)=0,"Spatial Data Missing ⚠",VLOOKUP(J131,'G-3 Multipliers'!$L$3:$N$6,3,FALSE)))</f>
        <v/>
      </c>
      <c r="M131" s="369" t="str">
        <f>IF(D131="","",VLOOKUP(D131,'G-6 Hedgerow Data'!$B$1:$AH$15,33,FALSE))</f>
        <v/>
      </c>
      <c r="N131" s="376" t="str">
        <f t="shared" si="9"/>
        <v/>
      </c>
      <c r="O131" s="32"/>
      <c r="P131" s="122"/>
      <c r="Q131" s="165"/>
      <c r="R131" s="393" t="str">
        <f t="shared" si="10"/>
        <v/>
      </c>
      <c r="S131" s="393" t="str">
        <f t="shared" si="11"/>
        <v/>
      </c>
      <c r="T131" s="393" t="str">
        <f t="shared" si="12"/>
        <v/>
      </c>
      <c r="U131" s="415" t="str">
        <f t="shared" si="13"/>
        <v/>
      </c>
      <c r="V131" s="119"/>
      <c r="W131" s="120"/>
      <c r="X131" s="120"/>
      <c r="AE131" s="124" t="str">
        <f t="shared" si="7"/>
        <v/>
      </c>
      <c r="AF131" s="124" t="str">
        <f t="shared" si="8"/>
        <v/>
      </c>
      <c r="AH131" s="124">
        <v>122</v>
      </c>
      <c r="AJ131" s="124" t="str">
        <f t="array" ref="AJ131">IFERROR(INDEX($AH$10:$AH$258, MATCH(0, IF(TRUE=$AE$10:$AE$258, COUNTIF($AJ$9:$AJ130, $AH$10:$AH$258), ""), 0)),"")</f>
        <v/>
      </c>
      <c r="AK131" s="124" t="str">
        <f t="array" ref="AK131">IFERROR(INDEX($AH$10:$AH$258, MATCH(0, IF(TRUE=$AF$10:$AF$258, COUNTIF($AK$9:$AK130, $AH$10:$AH$258), ""), 0)),"")</f>
        <v/>
      </c>
      <c r="AL131" s="30" t="str">
        <f>IFERROR(INDEX('G-6 Hedgerow Data'!$BJ$3:$BJ$15,MATCH(D131,'G-6 Hedgerow Data'!$B$3:$B$15,0)),"")</f>
        <v/>
      </c>
    </row>
    <row r="132" spans="2:38">
      <c r="B132" s="110">
        <v>123</v>
      </c>
      <c r="C132" s="165"/>
      <c r="D132" s="165"/>
      <c r="E132" s="121"/>
      <c r="F132" s="411" t="str">
        <f>IF(D132="","",VLOOKUP(D132,'G-6 Hedgerow Data'!$B$2:$AG$15,2,FALSE))</f>
        <v/>
      </c>
      <c r="G132" s="363" t="str">
        <f>IF(D132="","",VLOOKUP(D132,'G-6 Hedgerow Data'!$B$2:$AG$15,3,FALSE))</f>
        <v/>
      </c>
      <c r="H132" s="114"/>
      <c r="I132" s="363" t="str">
        <f>IFERROR(VLOOKUP(H132,'G-1 All Habitats'!$Z$2:$AA$9,2,FALSE),"")</f>
        <v/>
      </c>
      <c r="J132" s="114"/>
      <c r="K132" s="370" t="str">
        <f>IF(J132="","",IF(VLOOKUP(J132,'G-3 Multipliers'!$L$3:$N$6,2,FALSE)=0,"Spatial Data Missing",VLOOKUP(J132,'G-3 Multipliers'!$L$3:$N$6,2,FALSE)))</f>
        <v/>
      </c>
      <c r="L132" s="368" t="str">
        <f>IF(J132="","",IF(VLOOKUP(J132,'G-3 Multipliers'!$L$3:$N$6,3,FALSE)=0,"Spatial Data Missing ⚠",VLOOKUP(J132,'G-3 Multipliers'!$L$3:$N$6,3,FALSE)))</f>
        <v/>
      </c>
      <c r="M132" s="369" t="str">
        <f>IF(D132="","",VLOOKUP(D132,'G-6 Hedgerow Data'!$B$1:$AH$15,33,FALSE))</f>
        <v/>
      </c>
      <c r="N132" s="376" t="str">
        <f t="shared" si="9"/>
        <v/>
      </c>
      <c r="O132" s="32"/>
      <c r="P132" s="122"/>
      <c r="Q132" s="165"/>
      <c r="R132" s="393" t="str">
        <f t="shared" si="10"/>
        <v/>
      </c>
      <c r="S132" s="393" t="str">
        <f t="shared" si="11"/>
        <v/>
      </c>
      <c r="T132" s="393" t="str">
        <f t="shared" si="12"/>
        <v/>
      </c>
      <c r="U132" s="415" t="str">
        <f t="shared" si="13"/>
        <v/>
      </c>
      <c r="V132" s="119"/>
      <c r="W132" s="120"/>
      <c r="X132" s="120"/>
      <c r="AE132" s="124" t="str">
        <f t="shared" si="7"/>
        <v/>
      </c>
      <c r="AF132" s="124" t="str">
        <f t="shared" si="8"/>
        <v/>
      </c>
      <c r="AH132" s="124">
        <v>123</v>
      </c>
      <c r="AJ132" s="124" t="str">
        <f t="array" ref="AJ132">IFERROR(INDEX($AH$10:$AH$258, MATCH(0, IF(TRUE=$AE$10:$AE$258, COUNTIF($AJ$9:$AJ131, $AH$10:$AH$258), ""), 0)),"")</f>
        <v/>
      </c>
      <c r="AK132" s="124" t="str">
        <f t="array" ref="AK132">IFERROR(INDEX($AH$10:$AH$258, MATCH(0, IF(TRUE=$AF$10:$AF$258, COUNTIF($AK$9:$AK131, $AH$10:$AH$258), ""), 0)),"")</f>
        <v/>
      </c>
      <c r="AL132" s="30" t="str">
        <f>IFERROR(INDEX('G-6 Hedgerow Data'!$BJ$3:$BJ$15,MATCH(D132,'G-6 Hedgerow Data'!$B$3:$B$15,0)),"")</f>
        <v/>
      </c>
    </row>
    <row r="133" spans="2:38">
      <c r="B133" s="110">
        <v>124</v>
      </c>
      <c r="C133" s="165"/>
      <c r="D133" s="165"/>
      <c r="E133" s="121"/>
      <c r="F133" s="411" t="str">
        <f>IF(D133="","",VLOOKUP(D133,'G-6 Hedgerow Data'!$B$2:$AG$15,2,FALSE))</f>
        <v/>
      </c>
      <c r="G133" s="363" t="str">
        <f>IF(D133="","",VLOOKUP(D133,'G-6 Hedgerow Data'!$B$2:$AG$15,3,FALSE))</f>
        <v/>
      </c>
      <c r="H133" s="114"/>
      <c r="I133" s="363" t="str">
        <f>IFERROR(VLOOKUP(H133,'G-1 All Habitats'!$Z$2:$AA$9,2,FALSE),"")</f>
        <v/>
      </c>
      <c r="J133" s="114"/>
      <c r="K133" s="370" t="str">
        <f>IF(J133="","",IF(VLOOKUP(J133,'G-3 Multipliers'!$L$3:$N$6,2,FALSE)=0,"Spatial Data Missing",VLOOKUP(J133,'G-3 Multipliers'!$L$3:$N$6,2,FALSE)))</f>
        <v/>
      </c>
      <c r="L133" s="368" t="str">
        <f>IF(J133="","",IF(VLOOKUP(J133,'G-3 Multipliers'!$L$3:$N$6,3,FALSE)=0,"Spatial Data Missing ⚠",VLOOKUP(J133,'G-3 Multipliers'!$L$3:$N$6,3,FALSE)))</f>
        <v/>
      </c>
      <c r="M133" s="369" t="str">
        <f>IF(D133="","",VLOOKUP(D133,'G-6 Hedgerow Data'!$B$1:$AH$15,33,FALSE))</f>
        <v/>
      </c>
      <c r="N133" s="376" t="str">
        <f t="shared" si="9"/>
        <v/>
      </c>
      <c r="O133" s="32"/>
      <c r="P133" s="122"/>
      <c r="Q133" s="165"/>
      <c r="R133" s="393" t="str">
        <f t="shared" si="10"/>
        <v/>
      </c>
      <c r="S133" s="393" t="str">
        <f t="shared" si="11"/>
        <v/>
      </c>
      <c r="T133" s="393" t="str">
        <f t="shared" si="12"/>
        <v/>
      </c>
      <c r="U133" s="415" t="str">
        <f t="shared" si="13"/>
        <v/>
      </c>
      <c r="V133" s="119"/>
      <c r="W133" s="120"/>
      <c r="X133" s="120"/>
      <c r="AE133" s="124" t="str">
        <f t="shared" si="7"/>
        <v/>
      </c>
      <c r="AF133" s="124" t="str">
        <f t="shared" si="8"/>
        <v/>
      </c>
      <c r="AH133" s="124">
        <v>124</v>
      </c>
      <c r="AJ133" s="124" t="str">
        <f t="array" ref="AJ133">IFERROR(INDEX($AH$10:$AH$258, MATCH(0, IF(TRUE=$AE$10:$AE$258, COUNTIF($AJ$9:$AJ132, $AH$10:$AH$258), ""), 0)),"")</f>
        <v/>
      </c>
      <c r="AK133" s="124" t="str">
        <f t="array" ref="AK133">IFERROR(INDEX($AH$10:$AH$258, MATCH(0, IF(TRUE=$AF$10:$AF$258, COUNTIF($AK$9:$AK132, $AH$10:$AH$258), ""), 0)),"")</f>
        <v/>
      </c>
      <c r="AL133" s="30" t="str">
        <f>IFERROR(INDEX('G-6 Hedgerow Data'!$BJ$3:$BJ$15,MATCH(D133,'G-6 Hedgerow Data'!$B$3:$B$15,0)),"")</f>
        <v/>
      </c>
    </row>
    <row r="134" spans="2:38">
      <c r="B134" s="110">
        <v>125</v>
      </c>
      <c r="C134" s="165"/>
      <c r="D134" s="165"/>
      <c r="E134" s="121"/>
      <c r="F134" s="411" t="str">
        <f>IF(D134="","",VLOOKUP(D134,'G-6 Hedgerow Data'!$B$2:$AG$15,2,FALSE))</f>
        <v/>
      </c>
      <c r="G134" s="363" t="str">
        <f>IF(D134="","",VLOOKUP(D134,'G-6 Hedgerow Data'!$B$2:$AG$15,3,FALSE))</f>
        <v/>
      </c>
      <c r="H134" s="114"/>
      <c r="I134" s="363" t="str">
        <f>IFERROR(VLOOKUP(H134,'G-1 All Habitats'!$Z$2:$AA$9,2,FALSE),"")</f>
        <v/>
      </c>
      <c r="J134" s="114"/>
      <c r="K134" s="370" t="str">
        <f>IF(J134="","",IF(VLOOKUP(J134,'G-3 Multipliers'!$L$3:$N$6,2,FALSE)=0,"Spatial Data Missing",VLOOKUP(J134,'G-3 Multipliers'!$L$3:$N$6,2,FALSE)))</f>
        <v/>
      </c>
      <c r="L134" s="368" t="str">
        <f>IF(J134="","",IF(VLOOKUP(J134,'G-3 Multipliers'!$L$3:$N$6,3,FALSE)=0,"Spatial Data Missing ⚠",VLOOKUP(J134,'G-3 Multipliers'!$L$3:$N$6,3,FALSE)))</f>
        <v/>
      </c>
      <c r="M134" s="369" t="str">
        <f>IF(D134="","",VLOOKUP(D134,'G-6 Hedgerow Data'!$B$1:$AH$15,33,FALSE))</f>
        <v/>
      </c>
      <c r="N134" s="376" t="str">
        <f t="shared" si="9"/>
        <v/>
      </c>
      <c r="O134" s="32"/>
      <c r="P134" s="122"/>
      <c r="Q134" s="165"/>
      <c r="R134" s="393" t="str">
        <f t="shared" si="10"/>
        <v/>
      </c>
      <c r="S134" s="393" t="str">
        <f t="shared" si="11"/>
        <v/>
      </c>
      <c r="T134" s="393" t="str">
        <f t="shared" si="12"/>
        <v/>
      </c>
      <c r="U134" s="415" t="str">
        <f t="shared" si="13"/>
        <v/>
      </c>
      <c r="V134" s="119"/>
      <c r="W134" s="120"/>
      <c r="X134" s="120"/>
      <c r="AE134" s="124" t="str">
        <f t="shared" si="7"/>
        <v/>
      </c>
      <c r="AF134" s="124" t="str">
        <f t="shared" si="8"/>
        <v/>
      </c>
      <c r="AH134" s="124">
        <v>125</v>
      </c>
      <c r="AJ134" s="124" t="str">
        <f t="array" ref="AJ134">IFERROR(INDEX($AH$10:$AH$258, MATCH(0, IF(TRUE=$AE$10:$AE$258, COUNTIF($AJ$9:$AJ133, $AH$10:$AH$258), ""), 0)),"")</f>
        <v/>
      </c>
      <c r="AK134" s="124" t="str">
        <f t="array" ref="AK134">IFERROR(INDEX($AH$10:$AH$258, MATCH(0, IF(TRUE=$AF$10:$AF$258, COUNTIF($AK$9:$AK133, $AH$10:$AH$258), ""), 0)),"")</f>
        <v/>
      </c>
      <c r="AL134" s="30" t="str">
        <f>IFERROR(INDEX('G-6 Hedgerow Data'!$BJ$3:$BJ$15,MATCH(D134,'G-6 Hedgerow Data'!$B$3:$B$15,0)),"")</f>
        <v/>
      </c>
    </row>
    <row r="135" spans="2:38">
      <c r="B135" s="110">
        <v>126</v>
      </c>
      <c r="C135" s="165"/>
      <c r="D135" s="165"/>
      <c r="E135" s="121"/>
      <c r="F135" s="411" t="str">
        <f>IF(D135="","",VLOOKUP(D135,'G-6 Hedgerow Data'!$B$2:$AG$15,2,FALSE))</f>
        <v/>
      </c>
      <c r="G135" s="363" t="str">
        <f>IF(D135="","",VLOOKUP(D135,'G-6 Hedgerow Data'!$B$2:$AG$15,3,FALSE))</f>
        <v/>
      </c>
      <c r="H135" s="114"/>
      <c r="I135" s="363" t="str">
        <f>IFERROR(VLOOKUP(H135,'G-1 All Habitats'!$Z$2:$AA$9,2,FALSE),"")</f>
        <v/>
      </c>
      <c r="J135" s="114"/>
      <c r="K135" s="370" t="str">
        <f>IF(J135="","",IF(VLOOKUP(J135,'G-3 Multipliers'!$L$3:$N$6,2,FALSE)=0,"Spatial Data Missing",VLOOKUP(J135,'G-3 Multipliers'!$L$3:$N$6,2,FALSE)))</f>
        <v/>
      </c>
      <c r="L135" s="368" t="str">
        <f>IF(J135="","",IF(VLOOKUP(J135,'G-3 Multipliers'!$L$3:$N$6,3,FALSE)=0,"Spatial Data Missing ⚠",VLOOKUP(J135,'G-3 Multipliers'!$L$3:$N$6,3,FALSE)))</f>
        <v/>
      </c>
      <c r="M135" s="369" t="str">
        <f>IF(D135="","",VLOOKUP(D135,'G-6 Hedgerow Data'!$B$1:$AH$15,33,FALSE))</f>
        <v/>
      </c>
      <c r="N135" s="376" t="str">
        <f t="shared" si="9"/>
        <v/>
      </c>
      <c r="O135" s="32"/>
      <c r="P135" s="122"/>
      <c r="Q135" s="165"/>
      <c r="R135" s="393" t="str">
        <f t="shared" si="10"/>
        <v/>
      </c>
      <c r="S135" s="393" t="str">
        <f t="shared" si="11"/>
        <v/>
      </c>
      <c r="T135" s="393" t="str">
        <f t="shared" si="12"/>
        <v/>
      </c>
      <c r="U135" s="415" t="str">
        <f t="shared" si="13"/>
        <v/>
      </c>
      <c r="V135" s="119"/>
      <c r="W135" s="120"/>
      <c r="X135" s="120"/>
      <c r="AE135" s="124" t="str">
        <f t="shared" si="7"/>
        <v/>
      </c>
      <c r="AF135" s="124" t="str">
        <f t="shared" si="8"/>
        <v/>
      </c>
      <c r="AH135" s="124">
        <v>126</v>
      </c>
      <c r="AJ135" s="124" t="str">
        <f t="array" ref="AJ135">IFERROR(INDEX($AH$10:$AH$258, MATCH(0, IF(TRUE=$AE$10:$AE$258, COUNTIF($AJ$9:$AJ134, $AH$10:$AH$258), ""), 0)),"")</f>
        <v/>
      </c>
      <c r="AK135" s="124" t="str">
        <f t="array" ref="AK135">IFERROR(INDEX($AH$10:$AH$258, MATCH(0, IF(TRUE=$AF$10:$AF$258, COUNTIF($AK$9:$AK134, $AH$10:$AH$258), ""), 0)),"")</f>
        <v/>
      </c>
      <c r="AL135" s="30" t="str">
        <f>IFERROR(INDEX('G-6 Hedgerow Data'!$BJ$3:$BJ$15,MATCH(D135,'G-6 Hedgerow Data'!$B$3:$B$15,0)),"")</f>
        <v/>
      </c>
    </row>
    <row r="136" spans="2:38">
      <c r="B136" s="110">
        <v>127</v>
      </c>
      <c r="C136" s="165"/>
      <c r="D136" s="165"/>
      <c r="E136" s="121"/>
      <c r="F136" s="411" t="str">
        <f>IF(D136="","",VLOOKUP(D136,'G-6 Hedgerow Data'!$B$2:$AG$15,2,FALSE))</f>
        <v/>
      </c>
      <c r="G136" s="363" t="str">
        <f>IF(D136="","",VLOOKUP(D136,'G-6 Hedgerow Data'!$B$2:$AG$15,3,FALSE))</f>
        <v/>
      </c>
      <c r="H136" s="114"/>
      <c r="I136" s="363" t="str">
        <f>IFERROR(VLOOKUP(H136,'G-1 All Habitats'!$Z$2:$AA$9,2,FALSE),"")</f>
        <v/>
      </c>
      <c r="J136" s="114"/>
      <c r="K136" s="370" t="str">
        <f>IF(J136="","",IF(VLOOKUP(J136,'G-3 Multipliers'!$L$3:$N$6,2,FALSE)=0,"Spatial Data Missing",VLOOKUP(J136,'G-3 Multipliers'!$L$3:$N$6,2,FALSE)))</f>
        <v/>
      </c>
      <c r="L136" s="368" t="str">
        <f>IF(J136="","",IF(VLOOKUP(J136,'G-3 Multipliers'!$L$3:$N$6,3,FALSE)=0,"Spatial Data Missing ⚠",VLOOKUP(J136,'G-3 Multipliers'!$L$3:$N$6,3,FALSE)))</f>
        <v/>
      </c>
      <c r="M136" s="369" t="str">
        <f>IF(D136="","",VLOOKUP(D136,'G-6 Hedgerow Data'!$B$1:$AH$15,33,FALSE))</f>
        <v/>
      </c>
      <c r="N136" s="376" t="str">
        <f t="shared" si="9"/>
        <v/>
      </c>
      <c r="O136" s="32"/>
      <c r="P136" s="122"/>
      <c r="Q136" s="165"/>
      <c r="R136" s="393" t="str">
        <f t="shared" si="10"/>
        <v/>
      </c>
      <c r="S136" s="393" t="str">
        <f t="shared" si="11"/>
        <v/>
      </c>
      <c r="T136" s="393" t="str">
        <f t="shared" si="12"/>
        <v/>
      </c>
      <c r="U136" s="415" t="str">
        <f t="shared" si="13"/>
        <v/>
      </c>
      <c r="V136" s="119"/>
      <c r="W136" s="120"/>
      <c r="X136" s="120"/>
      <c r="AE136" s="124" t="str">
        <f t="shared" si="7"/>
        <v/>
      </c>
      <c r="AF136" s="124" t="str">
        <f t="shared" si="8"/>
        <v/>
      </c>
      <c r="AH136" s="124">
        <v>127</v>
      </c>
      <c r="AJ136" s="124" t="str">
        <f t="array" ref="AJ136">IFERROR(INDEX($AH$10:$AH$258, MATCH(0, IF(TRUE=$AE$10:$AE$258, COUNTIF($AJ$9:$AJ135, $AH$10:$AH$258), ""), 0)),"")</f>
        <v/>
      </c>
      <c r="AK136" s="124" t="str">
        <f t="array" ref="AK136">IFERROR(INDEX($AH$10:$AH$258, MATCH(0, IF(TRUE=$AF$10:$AF$258, COUNTIF($AK$9:$AK135, $AH$10:$AH$258), ""), 0)),"")</f>
        <v/>
      </c>
      <c r="AL136" s="30" t="str">
        <f>IFERROR(INDEX('G-6 Hedgerow Data'!$BJ$3:$BJ$15,MATCH(D136,'G-6 Hedgerow Data'!$B$3:$B$15,0)),"")</f>
        <v/>
      </c>
    </row>
    <row r="137" spans="2:38">
      <c r="B137" s="110">
        <v>128</v>
      </c>
      <c r="C137" s="165"/>
      <c r="D137" s="165"/>
      <c r="E137" s="121"/>
      <c r="F137" s="411" t="str">
        <f>IF(D137="","",VLOOKUP(D137,'G-6 Hedgerow Data'!$B$2:$AG$15,2,FALSE))</f>
        <v/>
      </c>
      <c r="G137" s="363" t="str">
        <f>IF(D137="","",VLOOKUP(D137,'G-6 Hedgerow Data'!$B$2:$AG$15,3,FALSE))</f>
        <v/>
      </c>
      <c r="H137" s="114"/>
      <c r="I137" s="363" t="str">
        <f>IFERROR(VLOOKUP(H137,'G-1 All Habitats'!$Z$2:$AA$9,2,FALSE),"")</f>
        <v/>
      </c>
      <c r="J137" s="114"/>
      <c r="K137" s="370" t="str">
        <f>IF(J137="","",IF(VLOOKUP(J137,'G-3 Multipliers'!$L$3:$N$6,2,FALSE)=0,"Spatial Data Missing",VLOOKUP(J137,'G-3 Multipliers'!$L$3:$N$6,2,FALSE)))</f>
        <v/>
      </c>
      <c r="L137" s="368" t="str">
        <f>IF(J137="","",IF(VLOOKUP(J137,'G-3 Multipliers'!$L$3:$N$6,3,FALSE)=0,"Spatial Data Missing ⚠",VLOOKUP(J137,'G-3 Multipliers'!$L$3:$N$6,3,FALSE)))</f>
        <v/>
      </c>
      <c r="M137" s="369" t="str">
        <f>IF(D137="","",VLOOKUP(D137,'G-6 Hedgerow Data'!$B$1:$AH$15,33,FALSE))</f>
        <v/>
      </c>
      <c r="N137" s="376" t="str">
        <f t="shared" si="9"/>
        <v/>
      </c>
      <c r="O137" s="32"/>
      <c r="P137" s="122"/>
      <c r="Q137" s="165"/>
      <c r="R137" s="393" t="str">
        <f t="shared" si="10"/>
        <v/>
      </c>
      <c r="S137" s="393" t="str">
        <f t="shared" si="11"/>
        <v/>
      </c>
      <c r="T137" s="393" t="str">
        <f t="shared" si="12"/>
        <v/>
      </c>
      <c r="U137" s="415" t="str">
        <f t="shared" si="13"/>
        <v/>
      </c>
      <c r="V137" s="119"/>
      <c r="W137" s="120"/>
      <c r="X137" s="120"/>
      <c r="AE137" s="124" t="str">
        <f t="shared" si="7"/>
        <v/>
      </c>
      <c r="AF137" s="124" t="str">
        <f t="shared" si="8"/>
        <v/>
      </c>
      <c r="AH137" s="124">
        <v>128</v>
      </c>
      <c r="AJ137" s="124" t="str">
        <f t="array" ref="AJ137">IFERROR(INDEX($AH$10:$AH$258, MATCH(0, IF(TRUE=$AE$10:$AE$258, COUNTIF($AJ$9:$AJ136, $AH$10:$AH$258), ""), 0)),"")</f>
        <v/>
      </c>
      <c r="AK137" s="124" t="str">
        <f t="array" ref="AK137">IFERROR(INDEX($AH$10:$AH$258, MATCH(0, IF(TRUE=$AF$10:$AF$258, COUNTIF($AK$9:$AK136, $AH$10:$AH$258), ""), 0)),"")</f>
        <v/>
      </c>
      <c r="AL137" s="30" t="str">
        <f>IFERROR(INDEX('G-6 Hedgerow Data'!$BJ$3:$BJ$15,MATCH(D137,'G-6 Hedgerow Data'!$B$3:$B$15,0)),"")</f>
        <v/>
      </c>
    </row>
    <row r="138" spans="2:38">
      <c r="B138" s="110">
        <v>129</v>
      </c>
      <c r="C138" s="165"/>
      <c r="D138" s="165"/>
      <c r="E138" s="121"/>
      <c r="F138" s="411" t="str">
        <f>IF(D138="","",VLOOKUP(D138,'G-6 Hedgerow Data'!$B$2:$AG$15,2,FALSE))</f>
        <v/>
      </c>
      <c r="G138" s="363" t="str">
        <f>IF(D138="","",VLOOKUP(D138,'G-6 Hedgerow Data'!$B$2:$AG$15,3,FALSE))</f>
        <v/>
      </c>
      <c r="H138" s="114"/>
      <c r="I138" s="363" t="str">
        <f>IFERROR(VLOOKUP(H138,'G-1 All Habitats'!$Z$2:$AA$9,2,FALSE),"")</f>
        <v/>
      </c>
      <c r="J138" s="114"/>
      <c r="K138" s="370" t="str">
        <f>IF(J138="","",IF(VLOOKUP(J138,'G-3 Multipliers'!$L$3:$N$6,2,FALSE)=0,"Spatial Data Missing",VLOOKUP(J138,'G-3 Multipliers'!$L$3:$N$6,2,FALSE)))</f>
        <v/>
      </c>
      <c r="L138" s="368" t="str">
        <f>IF(J138="","",IF(VLOOKUP(J138,'G-3 Multipliers'!$L$3:$N$6,3,FALSE)=0,"Spatial Data Missing ⚠",VLOOKUP(J138,'G-3 Multipliers'!$L$3:$N$6,3,FALSE)))</f>
        <v/>
      </c>
      <c r="M138" s="369" t="str">
        <f>IF(D138="","",VLOOKUP(D138,'G-6 Hedgerow Data'!$B$1:$AH$15,33,FALSE))</f>
        <v/>
      </c>
      <c r="N138" s="376" t="str">
        <f t="shared" si="9"/>
        <v/>
      </c>
      <c r="O138" s="32"/>
      <c r="P138" s="122"/>
      <c r="Q138" s="165"/>
      <c r="R138" s="393" t="str">
        <f t="shared" si="10"/>
        <v/>
      </c>
      <c r="S138" s="393" t="str">
        <f t="shared" si="11"/>
        <v/>
      </c>
      <c r="T138" s="393" t="str">
        <f t="shared" si="12"/>
        <v/>
      </c>
      <c r="U138" s="415" t="str">
        <f t="shared" si="13"/>
        <v/>
      </c>
      <c r="V138" s="119"/>
      <c r="W138" s="120"/>
      <c r="X138" s="120"/>
      <c r="AE138" s="124" t="str">
        <f t="shared" ref="AE138:AE201" si="14">IF(D138="","",IF(P138&gt;0,TRUE,FALSE))</f>
        <v/>
      </c>
      <c r="AF138" s="124" t="str">
        <f t="shared" ref="AF138:AF201" si="15">IF(D138="","",IF(Q138&gt;0,TRUE,FALSE))</f>
        <v/>
      </c>
      <c r="AH138" s="124">
        <v>129</v>
      </c>
      <c r="AJ138" s="124" t="str">
        <f t="array" ref="AJ138">IFERROR(INDEX($AH$10:$AH$258, MATCH(0, IF(TRUE=$AE$10:$AE$258, COUNTIF($AJ$9:$AJ137, $AH$10:$AH$258), ""), 0)),"")</f>
        <v/>
      </c>
      <c r="AK138" s="124" t="str">
        <f t="array" ref="AK138">IFERROR(INDEX($AH$10:$AH$258, MATCH(0, IF(TRUE=$AF$10:$AF$258, COUNTIF($AK$9:$AK137, $AH$10:$AH$258), ""), 0)),"")</f>
        <v/>
      </c>
      <c r="AL138" s="30" t="str">
        <f>IFERROR(INDEX('G-6 Hedgerow Data'!$BJ$3:$BJ$15,MATCH(D138,'G-6 Hedgerow Data'!$B$3:$B$15,0)),"")</f>
        <v/>
      </c>
    </row>
    <row r="139" spans="2:38">
      <c r="B139" s="110">
        <v>130</v>
      </c>
      <c r="C139" s="165"/>
      <c r="D139" s="165"/>
      <c r="E139" s="121"/>
      <c r="F139" s="411" t="str">
        <f>IF(D139="","",VLOOKUP(D139,'G-6 Hedgerow Data'!$B$2:$AG$15,2,FALSE))</f>
        <v/>
      </c>
      <c r="G139" s="363" t="str">
        <f>IF(D139="","",VLOOKUP(D139,'G-6 Hedgerow Data'!$B$2:$AG$15,3,FALSE))</f>
        <v/>
      </c>
      <c r="H139" s="114"/>
      <c r="I139" s="363" t="str">
        <f>IFERROR(VLOOKUP(H139,'G-1 All Habitats'!$Z$2:$AA$9,2,FALSE),"")</f>
        <v/>
      </c>
      <c r="J139" s="114"/>
      <c r="K139" s="370" t="str">
        <f>IF(J139="","",IF(VLOOKUP(J139,'G-3 Multipliers'!$L$3:$N$6,2,FALSE)=0,"Spatial Data Missing",VLOOKUP(J139,'G-3 Multipliers'!$L$3:$N$6,2,FALSE)))</f>
        <v/>
      </c>
      <c r="L139" s="368" t="str">
        <f>IF(J139="","",IF(VLOOKUP(J139,'G-3 Multipliers'!$L$3:$N$6,3,FALSE)=0,"Spatial Data Missing ⚠",VLOOKUP(J139,'G-3 Multipliers'!$L$3:$N$6,3,FALSE)))</f>
        <v/>
      </c>
      <c r="M139" s="369" t="str">
        <f>IF(D139="","",VLOOKUP(D139,'G-6 Hedgerow Data'!$B$1:$AH$15,33,FALSE))</f>
        <v/>
      </c>
      <c r="N139" s="376" t="str">
        <f t="shared" ref="N139:N202" si="16">IFERROR(E139*G139*I139*L139,"")</f>
        <v/>
      </c>
      <c r="O139" s="32"/>
      <c r="P139" s="122"/>
      <c r="Q139" s="165"/>
      <c r="R139" s="393" t="str">
        <f t="shared" ref="R139:R202" si="17">IFERROR(P139*G139*I139*L139,"")</f>
        <v/>
      </c>
      <c r="S139" s="393" t="str">
        <f t="shared" ref="S139:S202" si="18">IFERROR(Q139*G139*I139*L139,"")</f>
        <v/>
      </c>
      <c r="T139" s="393" t="str">
        <f t="shared" ref="T139:T202" si="19">IF(D139="","",IF(E139-P139-Q139=0&lt;0,"Error in lengths ▲",IF(P139+Q139&gt;E139,"Error in Lengths ▲",E139-P139-Q139)))</f>
        <v/>
      </c>
      <c r="U139" s="415" t="str">
        <f t="shared" ref="U139:U202" si="20">IF(OR(E139="",N139=""),"",IF(E139-P139-Q139=0&lt;0,"Error in Lengths ▲",IF(P139+Q139&gt;E139,"Error in Lengths ▲",N139-R139-S139)))</f>
        <v/>
      </c>
      <c r="V139" s="119"/>
      <c r="W139" s="120"/>
      <c r="X139" s="120"/>
      <c r="AE139" s="124" t="str">
        <f t="shared" si="14"/>
        <v/>
      </c>
      <c r="AF139" s="124" t="str">
        <f t="shared" si="15"/>
        <v/>
      </c>
      <c r="AH139" s="124">
        <v>130</v>
      </c>
      <c r="AJ139" s="124" t="str">
        <f t="array" ref="AJ139">IFERROR(INDEX($AH$10:$AH$258, MATCH(0, IF(TRUE=$AE$10:$AE$258, COUNTIF($AJ$9:$AJ138, $AH$10:$AH$258), ""), 0)),"")</f>
        <v/>
      </c>
      <c r="AK139" s="124" t="str">
        <f t="array" ref="AK139">IFERROR(INDEX($AH$10:$AH$258, MATCH(0, IF(TRUE=$AF$10:$AF$258, COUNTIF($AK$9:$AK138, $AH$10:$AH$258), ""), 0)),"")</f>
        <v/>
      </c>
      <c r="AL139" s="30" t="str">
        <f>IFERROR(INDEX('G-6 Hedgerow Data'!$BJ$3:$BJ$15,MATCH(D139,'G-6 Hedgerow Data'!$B$3:$B$15,0)),"")</f>
        <v/>
      </c>
    </row>
    <row r="140" spans="2:38">
      <c r="B140" s="110">
        <v>131</v>
      </c>
      <c r="C140" s="165"/>
      <c r="D140" s="165"/>
      <c r="E140" s="121"/>
      <c r="F140" s="411" t="str">
        <f>IF(D140="","",VLOOKUP(D140,'G-6 Hedgerow Data'!$B$2:$AG$15,2,FALSE))</f>
        <v/>
      </c>
      <c r="G140" s="363" t="str">
        <f>IF(D140="","",VLOOKUP(D140,'G-6 Hedgerow Data'!$B$2:$AG$15,3,FALSE))</f>
        <v/>
      </c>
      <c r="H140" s="114"/>
      <c r="I140" s="363" t="str">
        <f>IFERROR(VLOOKUP(H140,'G-1 All Habitats'!$Z$2:$AA$9,2,FALSE),"")</f>
        <v/>
      </c>
      <c r="J140" s="114"/>
      <c r="K140" s="370" t="str">
        <f>IF(J140="","",IF(VLOOKUP(J140,'G-3 Multipliers'!$L$3:$N$6,2,FALSE)=0,"Spatial Data Missing",VLOOKUP(J140,'G-3 Multipliers'!$L$3:$N$6,2,FALSE)))</f>
        <v/>
      </c>
      <c r="L140" s="368" t="str">
        <f>IF(J140="","",IF(VLOOKUP(J140,'G-3 Multipliers'!$L$3:$N$6,3,FALSE)=0,"Spatial Data Missing ⚠",VLOOKUP(J140,'G-3 Multipliers'!$L$3:$N$6,3,FALSE)))</f>
        <v/>
      </c>
      <c r="M140" s="369" t="str">
        <f>IF(D140="","",VLOOKUP(D140,'G-6 Hedgerow Data'!$B$1:$AH$15,33,FALSE))</f>
        <v/>
      </c>
      <c r="N140" s="376" t="str">
        <f t="shared" si="16"/>
        <v/>
      </c>
      <c r="O140" s="32"/>
      <c r="P140" s="122"/>
      <c r="Q140" s="165"/>
      <c r="R140" s="393" t="str">
        <f t="shared" si="17"/>
        <v/>
      </c>
      <c r="S140" s="393" t="str">
        <f t="shared" si="18"/>
        <v/>
      </c>
      <c r="T140" s="393" t="str">
        <f t="shared" si="19"/>
        <v/>
      </c>
      <c r="U140" s="415" t="str">
        <f t="shared" si="20"/>
        <v/>
      </c>
      <c r="V140" s="119"/>
      <c r="W140" s="120"/>
      <c r="X140" s="120"/>
      <c r="AE140" s="124" t="str">
        <f t="shared" si="14"/>
        <v/>
      </c>
      <c r="AF140" s="124" t="str">
        <f t="shared" si="15"/>
        <v/>
      </c>
      <c r="AH140" s="124">
        <v>131</v>
      </c>
      <c r="AJ140" s="124" t="str">
        <f t="array" ref="AJ140">IFERROR(INDEX($AH$10:$AH$258, MATCH(0, IF(TRUE=$AE$10:$AE$258, COUNTIF($AJ$9:$AJ139, $AH$10:$AH$258), ""), 0)),"")</f>
        <v/>
      </c>
      <c r="AK140" s="124" t="str">
        <f t="array" ref="AK140">IFERROR(INDEX($AH$10:$AH$258, MATCH(0, IF(TRUE=$AF$10:$AF$258, COUNTIF($AK$9:$AK139, $AH$10:$AH$258), ""), 0)),"")</f>
        <v/>
      </c>
      <c r="AL140" s="30" t="str">
        <f>IFERROR(INDEX('G-6 Hedgerow Data'!$BJ$3:$BJ$15,MATCH(D140,'G-6 Hedgerow Data'!$B$3:$B$15,0)),"")</f>
        <v/>
      </c>
    </row>
    <row r="141" spans="2:38">
      <c r="B141" s="110">
        <v>132</v>
      </c>
      <c r="C141" s="165"/>
      <c r="D141" s="165"/>
      <c r="E141" s="121"/>
      <c r="F141" s="411" t="str">
        <f>IF(D141="","",VLOOKUP(D141,'G-6 Hedgerow Data'!$B$2:$AG$15,2,FALSE))</f>
        <v/>
      </c>
      <c r="G141" s="363" t="str">
        <f>IF(D141="","",VLOOKUP(D141,'G-6 Hedgerow Data'!$B$2:$AG$15,3,FALSE))</f>
        <v/>
      </c>
      <c r="H141" s="114"/>
      <c r="I141" s="363" t="str">
        <f>IFERROR(VLOOKUP(H141,'G-1 All Habitats'!$Z$2:$AA$9,2,FALSE),"")</f>
        <v/>
      </c>
      <c r="J141" s="114"/>
      <c r="K141" s="370" t="str">
        <f>IF(J141="","",IF(VLOOKUP(J141,'G-3 Multipliers'!$L$3:$N$6,2,FALSE)=0,"Spatial Data Missing",VLOOKUP(J141,'G-3 Multipliers'!$L$3:$N$6,2,FALSE)))</f>
        <v/>
      </c>
      <c r="L141" s="368" t="str">
        <f>IF(J141="","",IF(VLOOKUP(J141,'G-3 Multipliers'!$L$3:$N$6,3,FALSE)=0,"Spatial Data Missing ⚠",VLOOKUP(J141,'G-3 Multipliers'!$L$3:$N$6,3,FALSE)))</f>
        <v/>
      </c>
      <c r="M141" s="369" t="str">
        <f>IF(D141="","",VLOOKUP(D141,'G-6 Hedgerow Data'!$B$1:$AH$15,33,FALSE))</f>
        <v/>
      </c>
      <c r="N141" s="376" t="str">
        <f t="shared" si="16"/>
        <v/>
      </c>
      <c r="O141" s="32"/>
      <c r="P141" s="122"/>
      <c r="Q141" s="165"/>
      <c r="R141" s="393" t="str">
        <f t="shared" si="17"/>
        <v/>
      </c>
      <c r="S141" s="393" t="str">
        <f t="shared" si="18"/>
        <v/>
      </c>
      <c r="T141" s="393" t="str">
        <f t="shared" si="19"/>
        <v/>
      </c>
      <c r="U141" s="415" t="str">
        <f t="shared" si="20"/>
        <v/>
      </c>
      <c r="V141" s="119"/>
      <c r="W141" s="120"/>
      <c r="X141" s="120"/>
      <c r="AE141" s="124" t="str">
        <f t="shared" si="14"/>
        <v/>
      </c>
      <c r="AF141" s="124" t="str">
        <f t="shared" si="15"/>
        <v/>
      </c>
      <c r="AH141" s="124">
        <v>132</v>
      </c>
      <c r="AJ141" s="124" t="str">
        <f t="array" ref="AJ141">IFERROR(INDEX($AH$10:$AH$258, MATCH(0, IF(TRUE=$AE$10:$AE$258, COUNTIF($AJ$9:$AJ140, $AH$10:$AH$258), ""), 0)),"")</f>
        <v/>
      </c>
      <c r="AK141" s="124" t="str">
        <f t="array" ref="AK141">IFERROR(INDEX($AH$10:$AH$258, MATCH(0, IF(TRUE=$AF$10:$AF$258, COUNTIF($AK$9:$AK140, $AH$10:$AH$258), ""), 0)),"")</f>
        <v/>
      </c>
      <c r="AL141" s="30" t="str">
        <f>IFERROR(INDEX('G-6 Hedgerow Data'!$BJ$3:$BJ$15,MATCH(D141,'G-6 Hedgerow Data'!$B$3:$B$15,0)),"")</f>
        <v/>
      </c>
    </row>
    <row r="142" spans="2:38">
      <c r="B142" s="110">
        <v>133</v>
      </c>
      <c r="C142" s="165"/>
      <c r="D142" s="165"/>
      <c r="E142" s="121"/>
      <c r="F142" s="411" t="str">
        <f>IF(D142="","",VLOOKUP(D142,'G-6 Hedgerow Data'!$B$2:$AG$15,2,FALSE))</f>
        <v/>
      </c>
      <c r="G142" s="363" t="str">
        <f>IF(D142="","",VLOOKUP(D142,'G-6 Hedgerow Data'!$B$2:$AG$15,3,FALSE))</f>
        <v/>
      </c>
      <c r="H142" s="114"/>
      <c r="I142" s="363" t="str">
        <f>IFERROR(VLOOKUP(H142,'G-1 All Habitats'!$Z$2:$AA$9,2,FALSE),"")</f>
        <v/>
      </c>
      <c r="J142" s="114"/>
      <c r="K142" s="370" t="str">
        <f>IF(J142="","",IF(VLOOKUP(J142,'G-3 Multipliers'!$L$3:$N$6,2,FALSE)=0,"Spatial Data Missing",VLOOKUP(J142,'G-3 Multipliers'!$L$3:$N$6,2,FALSE)))</f>
        <v/>
      </c>
      <c r="L142" s="368" t="str">
        <f>IF(J142="","",IF(VLOOKUP(J142,'G-3 Multipliers'!$L$3:$N$6,3,FALSE)=0,"Spatial Data Missing ⚠",VLOOKUP(J142,'G-3 Multipliers'!$L$3:$N$6,3,FALSE)))</f>
        <v/>
      </c>
      <c r="M142" s="369" t="str">
        <f>IF(D142="","",VLOOKUP(D142,'G-6 Hedgerow Data'!$B$1:$AH$15,33,FALSE))</f>
        <v/>
      </c>
      <c r="N142" s="376" t="str">
        <f t="shared" si="16"/>
        <v/>
      </c>
      <c r="O142" s="32"/>
      <c r="P142" s="122"/>
      <c r="Q142" s="165"/>
      <c r="R142" s="393" t="str">
        <f t="shared" si="17"/>
        <v/>
      </c>
      <c r="S142" s="393" t="str">
        <f t="shared" si="18"/>
        <v/>
      </c>
      <c r="T142" s="393" t="str">
        <f t="shared" si="19"/>
        <v/>
      </c>
      <c r="U142" s="415" t="str">
        <f t="shared" si="20"/>
        <v/>
      </c>
      <c r="V142" s="119"/>
      <c r="W142" s="120"/>
      <c r="X142" s="120"/>
      <c r="AE142" s="124" t="str">
        <f t="shared" si="14"/>
        <v/>
      </c>
      <c r="AF142" s="124" t="str">
        <f t="shared" si="15"/>
        <v/>
      </c>
      <c r="AH142" s="124">
        <v>133</v>
      </c>
      <c r="AJ142" s="124" t="str">
        <f t="array" ref="AJ142">IFERROR(INDEX($AH$10:$AH$258, MATCH(0, IF(TRUE=$AE$10:$AE$258, COUNTIF($AJ$9:$AJ141, $AH$10:$AH$258), ""), 0)),"")</f>
        <v/>
      </c>
      <c r="AK142" s="124" t="str">
        <f t="array" ref="AK142">IFERROR(INDEX($AH$10:$AH$258, MATCH(0, IF(TRUE=$AF$10:$AF$258, COUNTIF($AK$9:$AK141, $AH$10:$AH$258), ""), 0)),"")</f>
        <v/>
      </c>
      <c r="AL142" s="30" t="str">
        <f>IFERROR(INDEX('G-6 Hedgerow Data'!$BJ$3:$BJ$15,MATCH(D142,'G-6 Hedgerow Data'!$B$3:$B$15,0)),"")</f>
        <v/>
      </c>
    </row>
    <row r="143" spans="2:38">
      <c r="B143" s="110">
        <v>134</v>
      </c>
      <c r="C143" s="165"/>
      <c r="D143" s="165"/>
      <c r="E143" s="121"/>
      <c r="F143" s="411" t="str">
        <f>IF(D143="","",VLOOKUP(D143,'G-6 Hedgerow Data'!$B$2:$AG$15,2,FALSE))</f>
        <v/>
      </c>
      <c r="G143" s="363" t="str">
        <f>IF(D143="","",VLOOKUP(D143,'G-6 Hedgerow Data'!$B$2:$AG$15,3,FALSE))</f>
        <v/>
      </c>
      <c r="H143" s="114"/>
      <c r="I143" s="363" t="str">
        <f>IFERROR(VLOOKUP(H143,'G-1 All Habitats'!$Z$2:$AA$9,2,FALSE),"")</f>
        <v/>
      </c>
      <c r="J143" s="114"/>
      <c r="K143" s="370" t="str">
        <f>IF(J143="","",IF(VLOOKUP(J143,'G-3 Multipliers'!$L$3:$N$6,2,FALSE)=0,"Spatial Data Missing",VLOOKUP(J143,'G-3 Multipliers'!$L$3:$N$6,2,FALSE)))</f>
        <v/>
      </c>
      <c r="L143" s="368" t="str">
        <f>IF(J143="","",IF(VLOOKUP(J143,'G-3 Multipliers'!$L$3:$N$6,3,FALSE)=0,"Spatial Data Missing ⚠",VLOOKUP(J143,'G-3 Multipliers'!$L$3:$N$6,3,FALSE)))</f>
        <v/>
      </c>
      <c r="M143" s="369" t="str">
        <f>IF(D143="","",VLOOKUP(D143,'G-6 Hedgerow Data'!$B$1:$AH$15,33,FALSE))</f>
        <v/>
      </c>
      <c r="N143" s="376" t="str">
        <f t="shared" si="16"/>
        <v/>
      </c>
      <c r="O143" s="32"/>
      <c r="P143" s="122"/>
      <c r="Q143" s="165"/>
      <c r="R143" s="393" t="str">
        <f t="shared" si="17"/>
        <v/>
      </c>
      <c r="S143" s="393" t="str">
        <f t="shared" si="18"/>
        <v/>
      </c>
      <c r="T143" s="393" t="str">
        <f t="shared" si="19"/>
        <v/>
      </c>
      <c r="U143" s="415" t="str">
        <f t="shared" si="20"/>
        <v/>
      </c>
      <c r="V143" s="119"/>
      <c r="W143" s="120"/>
      <c r="X143" s="120"/>
      <c r="AE143" s="124" t="str">
        <f t="shared" si="14"/>
        <v/>
      </c>
      <c r="AF143" s="124" t="str">
        <f t="shared" si="15"/>
        <v/>
      </c>
      <c r="AH143" s="124">
        <v>134</v>
      </c>
      <c r="AJ143" s="124" t="str">
        <f t="array" ref="AJ143">IFERROR(INDEX($AH$10:$AH$258, MATCH(0, IF(TRUE=$AE$10:$AE$258, COUNTIF($AJ$9:$AJ142, $AH$10:$AH$258), ""), 0)),"")</f>
        <v/>
      </c>
      <c r="AK143" s="124" t="str">
        <f t="array" ref="AK143">IFERROR(INDEX($AH$10:$AH$258, MATCH(0, IF(TRUE=$AF$10:$AF$258, COUNTIF($AK$9:$AK142, $AH$10:$AH$258), ""), 0)),"")</f>
        <v/>
      </c>
      <c r="AL143" s="30" t="str">
        <f>IFERROR(INDEX('G-6 Hedgerow Data'!$BJ$3:$BJ$15,MATCH(D143,'G-6 Hedgerow Data'!$B$3:$B$15,0)),"")</f>
        <v/>
      </c>
    </row>
    <row r="144" spans="2:38">
      <c r="B144" s="110">
        <v>135</v>
      </c>
      <c r="C144" s="165"/>
      <c r="D144" s="165"/>
      <c r="E144" s="121"/>
      <c r="F144" s="411" t="str">
        <f>IF(D144="","",VLOOKUP(D144,'G-6 Hedgerow Data'!$B$2:$AG$15,2,FALSE))</f>
        <v/>
      </c>
      <c r="G144" s="363" t="str">
        <f>IF(D144="","",VLOOKUP(D144,'G-6 Hedgerow Data'!$B$2:$AG$15,3,FALSE))</f>
        <v/>
      </c>
      <c r="H144" s="114"/>
      <c r="I144" s="363" t="str">
        <f>IFERROR(VLOOKUP(H144,'G-1 All Habitats'!$Z$2:$AA$9,2,FALSE),"")</f>
        <v/>
      </c>
      <c r="J144" s="114"/>
      <c r="K144" s="370" t="str">
        <f>IF(J144="","",IF(VLOOKUP(J144,'G-3 Multipliers'!$L$3:$N$6,2,FALSE)=0,"Spatial Data Missing",VLOOKUP(J144,'G-3 Multipliers'!$L$3:$N$6,2,FALSE)))</f>
        <v/>
      </c>
      <c r="L144" s="368" t="str">
        <f>IF(J144="","",IF(VLOOKUP(J144,'G-3 Multipliers'!$L$3:$N$6,3,FALSE)=0,"Spatial Data Missing ⚠",VLOOKUP(J144,'G-3 Multipliers'!$L$3:$N$6,3,FALSE)))</f>
        <v/>
      </c>
      <c r="M144" s="369" t="str">
        <f>IF(D144="","",VLOOKUP(D144,'G-6 Hedgerow Data'!$B$1:$AH$15,33,FALSE))</f>
        <v/>
      </c>
      <c r="N144" s="376" t="str">
        <f t="shared" si="16"/>
        <v/>
      </c>
      <c r="O144" s="32"/>
      <c r="P144" s="122"/>
      <c r="Q144" s="165"/>
      <c r="R144" s="393" t="str">
        <f t="shared" si="17"/>
        <v/>
      </c>
      <c r="S144" s="393" t="str">
        <f t="shared" si="18"/>
        <v/>
      </c>
      <c r="T144" s="393" t="str">
        <f t="shared" si="19"/>
        <v/>
      </c>
      <c r="U144" s="415" t="str">
        <f t="shared" si="20"/>
        <v/>
      </c>
      <c r="V144" s="119"/>
      <c r="W144" s="120"/>
      <c r="X144" s="120"/>
      <c r="AE144" s="124" t="str">
        <f t="shared" si="14"/>
        <v/>
      </c>
      <c r="AF144" s="124" t="str">
        <f t="shared" si="15"/>
        <v/>
      </c>
      <c r="AH144" s="124">
        <v>135</v>
      </c>
      <c r="AJ144" s="124" t="str">
        <f t="array" ref="AJ144">IFERROR(INDEX($AH$10:$AH$258, MATCH(0, IF(TRUE=$AE$10:$AE$258, COUNTIF($AJ$9:$AJ143, $AH$10:$AH$258), ""), 0)),"")</f>
        <v/>
      </c>
      <c r="AK144" s="124" t="str">
        <f t="array" ref="AK144">IFERROR(INDEX($AH$10:$AH$258, MATCH(0, IF(TRUE=$AF$10:$AF$258, COUNTIF($AK$9:$AK143, $AH$10:$AH$258), ""), 0)),"")</f>
        <v/>
      </c>
      <c r="AL144" s="30" t="str">
        <f>IFERROR(INDEX('G-6 Hedgerow Data'!$BJ$3:$BJ$15,MATCH(D144,'G-6 Hedgerow Data'!$B$3:$B$15,0)),"")</f>
        <v/>
      </c>
    </row>
    <row r="145" spans="2:38">
      <c r="B145" s="110">
        <v>136</v>
      </c>
      <c r="C145" s="165"/>
      <c r="D145" s="165"/>
      <c r="E145" s="121"/>
      <c r="F145" s="411" t="str">
        <f>IF(D145="","",VLOOKUP(D145,'G-6 Hedgerow Data'!$B$2:$AG$15,2,FALSE))</f>
        <v/>
      </c>
      <c r="G145" s="363" t="str">
        <f>IF(D145="","",VLOOKUP(D145,'G-6 Hedgerow Data'!$B$2:$AG$15,3,FALSE))</f>
        <v/>
      </c>
      <c r="H145" s="114"/>
      <c r="I145" s="363" t="str">
        <f>IFERROR(VLOOKUP(H145,'G-1 All Habitats'!$Z$2:$AA$9,2,FALSE),"")</f>
        <v/>
      </c>
      <c r="J145" s="114"/>
      <c r="K145" s="370" t="str">
        <f>IF(J145="","",IF(VLOOKUP(J145,'G-3 Multipliers'!$L$3:$N$6,2,FALSE)=0,"Spatial Data Missing",VLOOKUP(J145,'G-3 Multipliers'!$L$3:$N$6,2,FALSE)))</f>
        <v/>
      </c>
      <c r="L145" s="368" t="str">
        <f>IF(J145="","",IF(VLOOKUP(J145,'G-3 Multipliers'!$L$3:$N$6,3,FALSE)=0,"Spatial Data Missing ⚠",VLOOKUP(J145,'G-3 Multipliers'!$L$3:$N$6,3,FALSE)))</f>
        <v/>
      </c>
      <c r="M145" s="369" t="str">
        <f>IF(D145="","",VLOOKUP(D145,'G-6 Hedgerow Data'!$B$1:$AH$15,33,FALSE))</f>
        <v/>
      </c>
      <c r="N145" s="376" t="str">
        <f t="shared" si="16"/>
        <v/>
      </c>
      <c r="O145" s="32"/>
      <c r="P145" s="122"/>
      <c r="Q145" s="165"/>
      <c r="R145" s="393" t="str">
        <f t="shared" si="17"/>
        <v/>
      </c>
      <c r="S145" s="393" t="str">
        <f t="shared" si="18"/>
        <v/>
      </c>
      <c r="T145" s="393" t="str">
        <f t="shared" si="19"/>
        <v/>
      </c>
      <c r="U145" s="415" t="str">
        <f t="shared" si="20"/>
        <v/>
      </c>
      <c r="V145" s="119"/>
      <c r="W145" s="120"/>
      <c r="X145" s="120"/>
      <c r="AE145" s="124" t="str">
        <f t="shared" si="14"/>
        <v/>
      </c>
      <c r="AF145" s="124" t="str">
        <f t="shared" si="15"/>
        <v/>
      </c>
      <c r="AH145" s="124">
        <v>136</v>
      </c>
      <c r="AJ145" s="124" t="str">
        <f t="array" ref="AJ145">IFERROR(INDEX($AH$10:$AH$258, MATCH(0, IF(TRUE=$AE$10:$AE$258, COUNTIF($AJ$9:$AJ144, $AH$10:$AH$258), ""), 0)),"")</f>
        <v/>
      </c>
      <c r="AK145" s="124" t="str">
        <f t="array" ref="AK145">IFERROR(INDEX($AH$10:$AH$258, MATCH(0, IF(TRUE=$AF$10:$AF$258, COUNTIF($AK$9:$AK144, $AH$10:$AH$258), ""), 0)),"")</f>
        <v/>
      </c>
      <c r="AL145" s="30" t="str">
        <f>IFERROR(INDEX('G-6 Hedgerow Data'!$BJ$3:$BJ$15,MATCH(D145,'G-6 Hedgerow Data'!$B$3:$B$15,0)),"")</f>
        <v/>
      </c>
    </row>
    <row r="146" spans="2:38">
      <c r="B146" s="110">
        <v>137</v>
      </c>
      <c r="C146" s="165"/>
      <c r="D146" s="165"/>
      <c r="E146" s="121"/>
      <c r="F146" s="411" t="str">
        <f>IF(D146="","",VLOOKUP(D146,'G-6 Hedgerow Data'!$B$2:$AG$15,2,FALSE))</f>
        <v/>
      </c>
      <c r="G146" s="363" t="str">
        <f>IF(D146="","",VLOOKUP(D146,'G-6 Hedgerow Data'!$B$2:$AG$15,3,FALSE))</f>
        <v/>
      </c>
      <c r="H146" s="114"/>
      <c r="I146" s="363" t="str">
        <f>IFERROR(VLOOKUP(H146,'G-1 All Habitats'!$Z$2:$AA$9,2,FALSE),"")</f>
        <v/>
      </c>
      <c r="J146" s="114"/>
      <c r="K146" s="370" t="str">
        <f>IF(J146="","",IF(VLOOKUP(J146,'G-3 Multipliers'!$L$3:$N$6,2,FALSE)=0,"Spatial Data Missing",VLOOKUP(J146,'G-3 Multipliers'!$L$3:$N$6,2,FALSE)))</f>
        <v/>
      </c>
      <c r="L146" s="368" t="str">
        <f>IF(J146="","",IF(VLOOKUP(J146,'G-3 Multipliers'!$L$3:$N$6,3,FALSE)=0,"Spatial Data Missing ⚠",VLOOKUP(J146,'G-3 Multipliers'!$L$3:$N$6,3,FALSE)))</f>
        <v/>
      </c>
      <c r="M146" s="369" t="str">
        <f>IF(D146="","",VLOOKUP(D146,'G-6 Hedgerow Data'!$B$1:$AH$15,33,FALSE))</f>
        <v/>
      </c>
      <c r="N146" s="376" t="str">
        <f t="shared" si="16"/>
        <v/>
      </c>
      <c r="O146" s="32"/>
      <c r="P146" s="122"/>
      <c r="Q146" s="165"/>
      <c r="R146" s="393" t="str">
        <f t="shared" si="17"/>
        <v/>
      </c>
      <c r="S146" s="393" t="str">
        <f t="shared" si="18"/>
        <v/>
      </c>
      <c r="T146" s="393" t="str">
        <f t="shared" si="19"/>
        <v/>
      </c>
      <c r="U146" s="415" t="str">
        <f t="shared" si="20"/>
        <v/>
      </c>
      <c r="V146" s="119"/>
      <c r="W146" s="120"/>
      <c r="X146" s="120"/>
      <c r="AE146" s="124" t="str">
        <f t="shared" si="14"/>
        <v/>
      </c>
      <c r="AF146" s="124" t="str">
        <f t="shared" si="15"/>
        <v/>
      </c>
      <c r="AH146" s="124">
        <v>137</v>
      </c>
      <c r="AJ146" s="124" t="str">
        <f t="array" ref="AJ146">IFERROR(INDEX($AH$10:$AH$258, MATCH(0, IF(TRUE=$AE$10:$AE$258, COUNTIF($AJ$9:$AJ145, $AH$10:$AH$258), ""), 0)),"")</f>
        <v/>
      </c>
      <c r="AK146" s="124" t="str">
        <f t="array" ref="AK146">IFERROR(INDEX($AH$10:$AH$258, MATCH(0, IF(TRUE=$AF$10:$AF$258, COUNTIF($AK$9:$AK145, $AH$10:$AH$258), ""), 0)),"")</f>
        <v/>
      </c>
      <c r="AL146" s="30" t="str">
        <f>IFERROR(INDEX('G-6 Hedgerow Data'!$BJ$3:$BJ$15,MATCH(D146,'G-6 Hedgerow Data'!$B$3:$B$15,0)),"")</f>
        <v/>
      </c>
    </row>
    <row r="147" spans="2:38">
      <c r="B147" s="110">
        <v>138</v>
      </c>
      <c r="C147" s="165"/>
      <c r="D147" s="165"/>
      <c r="E147" s="121"/>
      <c r="F147" s="411" t="str">
        <f>IF(D147="","",VLOOKUP(D147,'G-6 Hedgerow Data'!$B$2:$AG$15,2,FALSE))</f>
        <v/>
      </c>
      <c r="G147" s="363" t="str">
        <f>IF(D147="","",VLOOKUP(D147,'G-6 Hedgerow Data'!$B$2:$AG$15,3,FALSE))</f>
        <v/>
      </c>
      <c r="H147" s="114"/>
      <c r="I147" s="363" t="str">
        <f>IFERROR(VLOOKUP(H147,'G-1 All Habitats'!$Z$2:$AA$9,2,FALSE),"")</f>
        <v/>
      </c>
      <c r="J147" s="114"/>
      <c r="K147" s="370" t="str">
        <f>IF(J147="","",IF(VLOOKUP(J147,'G-3 Multipliers'!$L$3:$N$6,2,FALSE)=0,"Spatial Data Missing",VLOOKUP(J147,'G-3 Multipliers'!$L$3:$N$6,2,FALSE)))</f>
        <v/>
      </c>
      <c r="L147" s="368" t="str">
        <f>IF(J147="","",IF(VLOOKUP(J147,'G-3 Multipliers'!$L$3:$N$6,3,FALSE)=0,"Spatial Data Missing ⚠",VLOOKUP(J147,'G-3 Multipliers'!$L$3:$N$6,3,FALSE)))</f>
        <v/>
      </c>
      <c r="M147" s="369" t="str">
        <f>IF(D147="","",VLOOKUP(D147,'G-6 Hedgerow Data'!$B$1:$AH$15,33,FALSE))</f>
        <v/>
      </c>
      <c r="N147" s="376" t="str">
        <f t="shared" si="16"/>
        <v/>
      </c>
      <c r="O147" s="32"/>
      <c r="P147" s="122"/>
      <c r="Q147" s="165"/>
      <c r="R147" s="393" t="str">
        <f t="shared" si="17"/>
        <v/>
      </c>
      <c r="S147" s="393" t="str">
        <f t="shared" si="18"/>
        <v/>
      </c>
      <c r="T147" s="393" t="str">
        <f t="shared" si="19"/>
        <v/>
      </c>
      <c r="U147" s="415" t="str">
        <f t="shared" si="20"/>
        <v/>
      </c>
      <c r="V147" s="119"/>
      <c r="W147" s="120"/>
      <c r="X147" s="120"/>
      <c r="AE147" s="124" t="str">
        <f t="shared" si="14"/>
        <v/>
      </c>
      <c r="AF147" s="124" t="str">
        <f t="shared" si="15"/>
        <v/>
      </c>
      <c r="AH147" s="124">
        <v>138</v>
      </c>
      <c r="AJ147" s="124" t="str">
        <f t="array" ref="AJ147">IFERROR(INDEX($AH$10:$AH$258, MATCH(0, IF(TRUE=$AE$10:$AE$258, COUNTIF($AJ$9:$AJ146, $AH$10:$AH$258), ""), 0)),"")</f>
        <v/>
      </c>
      <c r="AK147" s="124" t="str">
        <f t="array" ref="AK147">IFERROR(INDEX($AH$10:$AH$258, MATCH(0, IF(TRUE=$AF$10:$AF$258, COUNTIF($AK$9:$AK146, $AH$10:$AH$258), ""), 0)),"")</f>
        <v/>
      </c>
      <c r="AL147" s="30" t="str">
        <f>IFERROR(INDEX('G-6 Hedgerow Data'!$BJ$3:$BJ$15,MATCH(D147,'G-6 Hedgerow Data'!$B$3:$B$15,0)),"")</f>
        <v/>
      </c>
    </row>
    <row r="148" spans="2:38">
      <c r="B148" s="110">
        <v>139</v>
      </c>
      <c r="C148" s="165"/>
      <c r="D148" s="165"/>
      <c r="E148" s="121"/>
      <c r="F148" s="411" t="str">
        <f>IF(D148="","",VLOOKUP(D148,'G-6 Hedgerow Data'!$B$2:$AG$15,2,FALSE))</f>
        <v/>
      </c>
      <c r="G148" s="363" t="str">
        <f>IF(D148="","",VLOOKUP(D148,'G-6 Hedgerow Data'!$B$2:$AG$15,3,FALSE))</f>
        <v/>
      </c>
      <c r="H148" s="114"/>
      <c r="I148" s="363" t="str">
        <f>IFERROR(VLOOKUP(H148,'G-1 All Habitats'!$Z$2:$AA$9,2,FALSE),"")</f>
        <v/>
      </c>
      <c r="J148" s="114"/>
      <c r="K148" s="370" t="str">
        <f>IF(J148="","",IF(VLOOKUP(J148,'G-3 Multipliers'!$L$3:$N$6,2,FALSE)=0,"Spatial Data Missing",VLOOKUP(J148,'G-3 Multipliers'!$L$3:$N$6,2,FALSE)))</f>
        <v/>
      </c>
      <c r="L148" s="368" t="str">
        <f>IF(J148="","",IF(VLOOKUP(J148,'G-3 Multipliers'!$L$3:$N$6,3,FALSE)=0,"Spatial Data Missing ⚠",VLOOKUP(J148,'G-3 Multipliers'!$L$3:$N$6,3,FALSE)))</f>
        <v/>
      </c>
      <c r="M148" s="369" t="str">
        <f>IF(D148="","",VLOOKUP(D148,'G-6 Hedgerow Data'!$B$1:$AH$15,33,FALSE))</f>
        <v/>
      </c>
      <c r="N148" s="376" t="str">
        <f t="shared" si="16"/>
        <v/>
      </c>
      <c r="O148" s="32"/>
      <c r="P148" s="122"/>
      <c r="Q148" s="165"/>
      <c r="R148" s="393" t="str">
        <f t="shared" si="17"/>
        <v/>
      </c>
      <c r="S148" s="393" t="str">
        <f t="shared" si="18"/>
        <v/>
      </c>
      <c r="T148" s="393" t="str">
        <f t="shared" si="19"/>
        <v/>
      </c>
      <c r="U148" s="415" t="str">
        <f t="shared" si="20"/>
        <v/>
      </c>
      <c r="V148" s="119"/>
      <c r="W148" s="120"/>
      <c r="X148" s="120"/>
      <c r="AE148" s="124" t="str">
        <f t="shared" si="14"/>
        <v/>
      </c>
      <c r="AF148" s="124" t="str">
        <f t="shared" si="15"/>
        <v/>
      </c>
      <c r="AH148" s="124">
        <v>139</v>
      </c>
      <c r="AJ148" s="124" t="str">
        <f t="array" ref="AJ148">IFERROR(INDEX($AH$10:$AH$258, MATCH(0, IF(TRUE=$AE$10:$AE$258, COUNTIF($AJ$9:$AJ147, $AH$10:$AH$258), ""), 0)),"")</f>
        <v/>
      </c>
      <c r="AK148" s="124" t="str">
        <f t="array" ref="AK148">IFERROR(INDEX($AH$10:$AH$258, MATCH(0, IF(TRUE=$AF$10:$AF$258, COUNTIF($AK$9:$AK147, $AH$10:$AH$258), ""), 0)),"")</f>
        <v/>
      </c>
      <c r="AL148" s="30" t="str">
        <f>IFERROR(INDEX('G-6 Hedgerow Data'!$BJ$3:$BJ$15,MATCH(D148,'G-6 Hedgerow Data'!$B$3:$B$15,0)),"")</f>
        <v/>
      </c>
    </row>
    <row r="149" spans="2:38">
      <c r="B149" s="110">
        <v>140</v>
      </c>
      <c r="C149" s="165"/>
      <c r="D149" s="165"/>
      <c r="E149" s="121"/>
      <c r="F149" s="411" t="str">
        <f>IF(D149="","",VLOOKUP(D149,'G-6 Hedgerow Data'!$B$2:$AG$15,2,FALSE))</f>
        <v/>
      </c>
      <c r="G149" s="363" t="str">
        <f>IF(D149="","",VLOOKUP(D149,'G-6 Hedgerow Data'!$B$2:$AG$15,3,FALSE))</f>
        <v/>
      </c>
      <c r="H149" s="114"/>
      <c r="I149" s="363" t="str">
        <f>IFERROR(VLOOKUP(H149,'G-1 All Habitats'!$Z$2:$AA$9,2,FALSE),"")</f>
        <v/>
      </c>
      <c r="J149" s="114"/>
      <c r="K149" s="370" t="str">
        <f>IF(J149="","",IF(VLOOKUP(J149,'G-3 Multipliers'!$L$3:$N$6,2,FALSE)=0,"Spatial Data Missing",VLOOKUP(J149,'G-3 Multipliers'!$L$3:$N$6,2,FALSE)))</f>
        <v/>
      </c>
      <c r="L149" s="368" t="str">
        <f>IF(J149="","",IF(VLOOKUP(J149,'G-3 Multipliers'!$L$3:$N$6,3,FALSE)=0,"Spatial Data Missing ⚠",VLOOKUP(J149,'G-3 Multipliers'!$L$3:$N$6,3,FALSE)))</f>
        <v/>
      </c>
      <c r="M149" s="369" t="str">
        <f>IF(D149="","",VLOOKUP(D149,'G-6 Hedgerow Data'!$B$1:$AH$15,33,FALSE))</f>
        <v/>
      </c>
      <c r="N149" s="376" t="str">
        <f t="shared" si="16"/>
        <v/>
      </c>
      <c r="O149" s="32"/>
      <c r="P149" s="122"/>
      <c r="Q149" s="165"/>
      <c r="R149" s="393" t="str">
        <f t="shared" si="17"/>
        <v/>
      </c>
      <c r="S149" s="393" t="str">
        <f t="shared" si="18"/>
        <v/>
      </c>
      <c r="T149" s="393" t="str">
        <f t="shared" si="19"/>
        <v/>
      </c>
      <c r="U149" s="415" t="str">
        <f t="shared" si="20"/>
        <v/>
      </c>
      <c r="V149" s="119"/>
      <c r="W149" s="120"/>
      <c r="X149" s="120"/>
      <c r="AE149" s="124" t="str">
        <f t="shared" si="14"/>
        <v/>
      </c>
      <c r="AF149" s="124" t="str">
        <f t="shared" si="15"/>
        <v/>
      </c>
      <c r="AH149" s="124">
        <v>140</v>
      </c>
      <c r="AJ149" s="124" t="str">
        <f t="array" ref="AJ149">IFERROR(INDEX($AH$10:$AH$258, MATCH(0, IF(TRUE=$AE$10:$AE$258, COUNTIF($AJ$9:$AJ148, $AH$10:$AH$258), ""), 0)),"")</f>
        <v/>
      </c>
      <c r="AK149" s="124" t="str">
        <f t="array" ref="AK149">IFERROR(INDEX($AH$10:$AH$258, MATCH(0, IF(TRUE=$AF$10:$AF$258, COUNTIF($AK$9:$AK148, $AH$10:$AH$258), ""), 0)),"")</f>
        <v/>
      </c>
      <c r="AL149" s="30" t="str">
        <f>IFERROR(INDEX('G-6 Hedgerow Data'!$BJ$3:$BJ$15,MATCH(D149,'G-6 Hedgerow Data'!$B$3:$B$15,0)),"")</f>
        <v/>
      </c>
    </row>
    <row r="150" spans="2:38">
      <c r="B150" s="110">
        <v>141</v>
      </c>
      <c r="C150" s="165"/>
      <c r="D150" s="165"/>
      <c r="E150" s="121"/>
      <c r="F150" s="411" t="str">
        <f>IF(D150="","",VLOOKUP(D150,'G-6 Hedgerow Data'!$B$2:$AG$15,2,FALSE))</f>
        <v/>
      </c>
      <c r="G150" s="363" t="str">
        <f>IF(D150="","",VLOOKUP(D150,'G-6 Hedgerow Data'!$B$2:$AG$15,3,FALSE))</f>
        <v/>
      </c>
      <c r="H150" s="114"/>
      <c r="I150" s="363" t="str">
        <f>IFERROR(VLOOKUP(H150,'G-1 All Habitats'!$Z$2:$AA$9,2,FALSE),"")</f>
        <v/>
      </c>
      <c r="J150" s="114"/>
      <c r="K150" s="370" t="str">
        <f>IF(J150="","",IF(VLOOKUP(J150,'G-3 Multipliers'!$L$3:$N$6,2,FALSE)=0,"Spatial Data Missing",VLOOKUP(J150,'G-3 Multipliers'!$L$3:$N$6,2,FALSE)))</f>
        <v/>
      </c>
      <c r="L150" s="368" t="str">
        <f>IF(J150="","",IF(VLOOKUP(J150,'G-3 Multipliers'!$L$3:$N$6,3,FALSE)=0,"Spatial Data Missing ⚠",VLOOKUP(J150,'G-3 Multipliers'!$L$3:$N$6,3,FALSE)))</f>
        <v/>
      </c>
      <c r="M150" s="369" t="str">
        <f>IF(D150="","",VLOOKUP(D150,'G-6 Hedgerow Data'!$B$1:$AH$15,33,FALSE))</f>
        <v/>
      </c>
      <c r="N150" s="376" t="str">
        <f t="shared" si="16"/>
        <v/>
      </c>
      <c r="O150" s="32"/>
      <c r="P150" s="122"/>
      <c r="Q150" s="165"/>
      <c r="R150" s="393" t="str">
        <f t="shared" si="17"/>
        <v/>
      </c>
      <c r="S150" s="393" t="str">
        <f t="shared" si="18"/>
        <v/>
      </c>
      <c r="T150" s="393" t="str">
        <f t="shared" si="19"/>
        <v/>
      </c>
      <c r="U150" s="415" t="str">
        <f t="shared" si="20"/>
        <v/>
      </c>
      <c r="V150" s="119"/>
      <c r="W150" s="120"/>
      <c r="X150" s="120"/>
      <c r="AE150" s="124" t="str">
        <f t="shared" si="14"/>
        <v/>
      </c>
      <c r="AF150" s="124" t="str">
        <f t="shared" si="15"/>
        <v/>
      </c>
      <c r="AH150" s="124">
        <v>141</v>
      </c>
      <c r="AJ150" s="124" t="str">
        <f t="array" ref="AJ150">IFERROR(INDEX($AH$10:$AH$258, MATCH(0, IF(TRUE=$AE$10:$AE$258, COUNTIF($AJ$9:$AJ149, $AH$10:$AH$258), ""), 0)),"")</f>
        <v/>
      </c>
      <c r="AK150" s="124" t="str">
        <f t="array" ref="AK150">IFERROR(INDEX($AH$10:$AH$258, MATCH(0, IF(TRUE=$AF$10:$AF$258, COUNTIF($AK$9:$AK149, $AH$10:$AH$258), ""), 0)),"")</f>
        <v/>
      </c>
      <c r="AL150" s="30" t="str">
        <f>IFERROR(INDEX('G-6 Hedgerow Data'!$BJ$3:$BJ$15,MATCH(D150,'G-6 Hedgerow Data'!$B$3:$B$15,0)),"")</f>
        <v/>
      </c>
    </row>
    <row r="151" spans="2:38">
      <c r="B151" s="110">
        <v>142</v>
      </c>
      <c r="C151" s="165"/>
      <c r="D151" s="165"/>
      <c r="E151" s="121"/>
      <c r="F151" s="411" t="str">
        <f>IF(D151="","",VLOOKUP(D151,'G-6 Hedgerow Data'!$B$2:$AG$15,2,FALSE))</f>
        <v/>
      </c>
      <c r="G151" s="363" t="str">
        <f>IF(D151="","",VLOOKUP(D151,'G-6 Hedgerow Data'!$B$2:$AG$15,3,FALSE))</f>
        <v/>
      </c>
      <c r="H151" s="114"/>
      <c r="I151" s="363" t="str">
        <f>IFERROR(VLOOKUP(H151,'G-1 All Habitats'!$Z$2:$AA$9,2,FALSE),"")</f>
        <v/>
      </c>
      <c r="J151" s="114"/>
      <c r="K151" s="370" t="str">
        <f>IF(J151="","",IF(VLOOKUP(J151,'G-3 Multipliers'!$L$3:$N$6,2,FALSE)=0,"Spatial Data Missing",VLOOKUP(J151,'G-3 Multipliers'!$L$3:$N$6,2,FALSE)))</f>
        <v/>
      </c>
      <c r="L151" s="368" t="str">
        <f>IF(J151="","",IF(VLOOKUP(J151,'G-3 Multipliers'!$L$3:$N$6,3,FALSE)=0,"Spatial Data Missing ⚠",VLOOKUP(J151,'G-3 Multipliers'!$L$3:$N$6,3,FALSE)))</f>
        <v/>
      </c>
      <c r="M151" s="369" t="str">
        <f>IF(D151="","",VLOOKUP(D151,'G-6 Hedgerow Data'!$B$1:$AH$15,33,FALSE))</f>
        <v/>
      </c>
      <c r="N151" s="376" t="str">
        <f t="shared" si="16"/>
        <v/>
      </c>
      <c r="O151" s="32"/>
      <c r="P151" s="122"/>
      <c r="Q151" s="165"/>
      <c r="R151" s="393" t="str">
        <f t="shared" si="17"/>
        <v/>
      </c>
      <c r="S151" s="393" t="str">
        <f t="shared" si="18"/>
        <v/>
      </c>
      <c r="T151" s="393" t="str">
        <f t="shared" si="19"/>
        <v/>
      </c>
      <c r="U151" s="415" t="str">
        <f t="shared" si="20"/>
        <v/>
      </c>
      <c r="V151" s="119"/>
      <c r="W151" s="120"/>
      <c r="X151" s="120"/>
      <c r="AE151" s="124" t="str">
        <f t="shared" si="14"/>
        <v/>
      </c>
      <c r="AF151" s="124" t="str">
        <f t="shared" si="15"/>
        <v/>
      </c>
      <c r="AH151" s="124">
        <v>142</v>
      </c>
      <c r="AJ151" s="124" t="str">
        <f t="array" ref="AJ151">IFERROR(INDEX($AH$10:$AH$258, MATCH(0, IF(TRUE=$AE$10:$AE$258, COUNTIF($AJ$9:$AJ150, $AH$10:$AH$258), ""), 0)),"")</f>
        <v/>
      </c>
      <c r="AK151" s="124" t="str">
        <f t="array" ref="AK151">IFERROR(INDEX($AH$10:$AH$258, MATCH(0, IF(TRUE=$AF$10:$AF$258, COUNTIF($AK$9:$AK150, $AH$10:$AH$258), ""), 0)),"")</f>
        <v/>
      </c>
      <c r="AL151" s="30" t="str">
        <f>IFERROR(INDEX('G-6 Hedgerow Data'!$BJ$3:$BJ$15,MATCH(D151,'G-6 Hedgerow Data'!$B$3:$B$15,0)),"")</f>
        <v/>
      </c>
    </row>
    <row r="152" spans="2:38">
      <c r="B152" s="110">
        <v>143</v>
      </c>
      <c r="C152" s="165"/>
      <c r="D152" s="165"/>
      <c r="E152" s="121"/>
      <c r="F152" s="411" t="str">
        <f>IF(D152="","",VLOOKUP(D152,'G-6 Hedgerow Data'!$B$2:$AG$15,2,FALSE))</f>
        <v/>
      </c>
      <c r="G152" s="363" t="str">
        <f>IF(D152="","",VLOOKUP(D152,'G-6 Hedgerow Data'!$B$2:$AG$15,3,FALSE))</f>
        <v/>
      </c>
      <c r="H152" s="114"/>
      <c r="I152" s="363" t="str">
        <f>IFERROR(VLOOKUP(H152,'G-1 All Habitats'!$Z$2:$AA$9,2,FALSE),"")</f>
        <v/>
      </c>
      <c r="J152" s="114"/>
      <c r="K152" s="370" t="str">
        <f>IF(J152="","",IF(VLOOKUP(J152,'G-3 Multipliers'!$L$3:$N$6,2,FALSE)=0,"Spatial Data Missing",VLOOKUP(J152,'G-3 Multipliers'!$L$3:$N$6,2,FALSE)))</f>
        <v/>
      </c>
      <c r="L152" s="368" t="str">
        <f>IF(J152="","",IF(VLOOKUP(J152,'G-3 Multipliers'!$L$3:$N$6,3,FALSE)=0,"Spatial Data Missing ⚠",VLOOKUP(J152,'G-3 Multipliers'!$L$3:$N$6,3,FALSE)))</f>
        <v/>
      </c>
      <c r="M152" s="369" t="str">
        <f>IF(D152="","",VLOOKUP(D152,'G-6 Hedgerow Data'!$B$1:$AH$15,33,FALSE))</f>
        <v/>
      </c>
      <c r="N152" s="376" t="str">
        <f t="shared" si="16"/>
        <v/>
      </c>
      <c r="O152" s="32"/>
      <c r="P152" s="122"/>
      <c r="Q152" s="165"/>
      <c r="R152" s="393" t="str">
        <f t="shared" si="17"/>
        <v/>
      </c>
      <c r="S152" s="393" t="str">
        <f t="shared" si="18"/>
        <v/>
      </c>
      <c r="T152" s="393" t="str">
        <f t="shared" si="19"/>
        <v/>
      </c>
      <c r="U152" s="415" t="str">
        <f t="shared" si="20"/>
        <v/>
      </c>
      <c r="V152" s="119"/>
      <c r="W152" s="120"/>
      <c r="X152" s="120"/>
      <c r="AE152" s="124" t="str">
        <f t="shared" si="14"/>
        <v/>
      </c>
      <c r="AF152" s="124" t="str">
        <f t="shared" si="15"/>
        <v/>
      </c>
      <c r="AH152" s="124">
        <v>143</v>
      </c>
      <c r="AJ152" s="124" t="str">
        <f t="array" ref="AJ152">IFERROR(INDEX($AH$10:$AH$258, MATCH(0, IF(TRUE=$AE$10:$AE$258, COUNTIF($AJ$9:$AJ151, $AH$10:$AH$258), ""), 0)),"")</f>
        <v/>
      </c>
      <c r="AK152" s="124" t="str">
        <f t="array" ref="AK152">IFERROR(INDEX($AH$10:$AH$258, MATCH(0, IF(TRUE=$AF$10:$AF$258, COUNTIF($AK$9:$AK151, $AH$10:$AH$258), ""), 0)),"")</f>
        <v/>
      </c>
      <c r="AL152" s="30" t="str">
        <f>IFERROR(INDEX('G-6 Hedgerow Data'!$BJ$3:$BJ$15,MATCH(D152,'G-6 Hedgerow Data'!$B$3:$B$15,0)),"")</f>
        <v/>
      </c>
    </row>
    <row r="153" spans="2:38">
      <c r="B153" s="110">
        <v>144</v>
      </c>
      <c r="C153" s="165"/>
      <c r="D153" s="165"/>
      <c r="E153" s="121"/>
      <c r="F153" s="411" t="str">
        <f>IF(D153="","",VLOOKUP(D153,'G-6 Hedgerow Data'!$B$2:$AG$15,2,FALSE))</f>
        <v/>
      </c>
      <c r="G153" s="363" t="str">
        <f>IF(D153="","",VLOOKUP(D153,'G-6 Hedgerow Data'!$B$2:$AG$15,3,FALSE))</f>
        <v/>
      </c>
      <c r="H153" s="114"/>
      <c r="I153" s="363" t="str">
        <f>IFERROR(VLOOKUP(H153,'G-1 All Habitats'!$Z$2:$AA$9,2,FALSE),"")</f>
        <v/>
      </c>
      <c r="J153" s="114"/>
      <c r="K153" s="370" t="str">
        <f>IF(J153="","",IF(VLOOKUP(J153,'G-3 Multipliers'!$L$3:$N$6,2,FALSE)=0,"Spatial Data Missing",VLOOKUP(J153,'G-3 Multipliers'!$L$3:$N$6,2,FALSE)))</f>
        <v/>
      </c>
      <c r="L153" s="368" t="str">
        <f>IF(J153="","",IF(VLOOKUP(J153,'G-3 Multipliers'!$L$3:$N$6,3,FALSE)=0,"Spatial Data Missing ⚠",VLOOKUP(J153,'G-3 Multipliers'!$L$3:$N$6,3,FALSE)))</f>
        <v/>
      </c>
      <c r="M153" s="369" t="str">
        <f>IF(D153="","",VLOOKUP(D153,'G-6 Hedgerow Data'!$B$1:$AH$15,33,FALSE))</f>
        <v/>
      </c>
      <c r="N153" s="376" t="str">
        <f t="shared" si="16"/>
        <v/>
      </c>
      <c r="O153" s="32"/>
      <c r="P153" s="122"/>
      <c r="Q153" s="165"/>
      <c r="R153" s="393" t="str">
        <f t="shared" si="17"/>
        <v/>
      </c>
      <c r="S153" s="393" t="str">
        <f t="shared" si="18"/>
        <v/>
      </c>
      <c r="T153" s="393" t="str">
        <f t="shared" si="19"/>
        <v/>
      </c>
      <c r="U153" s="415" t="str">
        <f t="shared" si="20"/>
        <v/>
      </c>
      <c r="V153" s="119"/>
      <c r="W153" s="120"/>
      <c r="X153" s="120"/>
      <c r="AE153" s="124" t="str">
        <f t="shared" si="14"/>
        <v/>
      </c>
      <c r="AF153" s="124" t="str">
        <f t="shared" si="15"/>
        <v/>
      </c>
      <c r="AH153" s="124">
        <v>144</v>
      </c>
      <c r="AJ153" s="124" t="str">
        <f t="array" ref="AJ153">IFERROR(INDEX($AH$10:$AH$258, MATCH(0, IF(TRUE=$AE$10:$AE$258, COUNTIF($AJ$9:$AJ152, $AH$10:$AH$258), ""), 0)),"")</f>
        <v/>
      </c>
      <c r="AK153" s="124" t="str">
        <f t="array" ref="AK153">IFERROR(INDEX($AH$10:$AH$258, MATCH(0, IF(TRUE=$AF$10:$AF$258, COUNTIF($AK$9:$AK152, $AH$10:$AH$258), ""), 0)),"")</f>
        <v/>
      </c>
      <c r="AL153" s="30" t="str">
        <f>IFERROR(INDEX('G-6 Hedgerow Data'!$BJ$3:$BJ$15,MATCH(D153,'G-6 Hedgerow Data'!$B$3:$B$15,0)),"")</f>
        <v/>
      </c>
    </row>
    <row r="154" spans="2:38">
      <c r="B154" s="110">
        <v>145</v>
      </c>
      <c r="C154" s="165"/>
      <c r="D154" s="165"/>
      <c r="E154" s="121"/>
      <c r="F154" s="411" t="str">
        <f>IF(D154="","",VLOOKUP(D154,'G-6 Hedgerow Data'!$B$2:$AG$15,2,FALSE))</f>
        <v/>
      </c>
      <c r="G154" s="363" t="str">
        <f>IF(D154="","",VLOOKUP(D154,'G-6 Hedgerow Data'!$B$2:$AG$15,3,FALSE))</f>
        <v/>
      </c>
      <c r="H154" s="114"/>
      <c r="I154" s="363" t="str">
        <f>IFERROR(VLOOKUP(H154,'G-1 All Habitats'!$Z$2:$AA$9,2,FALSE),"")</f>
        <v/>
      </c>
      <c r="J154" s="114"/>
      <c r="K154" s="370" t="str">
        <f>IF(J154="","",IF(VLOOKUP(J154,'G-3 Multipliers'!$L$3:$N$6,2,FALSE)=0,"Spatial Data Missing",VLOOKUP(J154,'G-3 Multipliers'!$L$3:$N$6,2,FALSE)))</f>
        <v/>
      </c>
      <c r="L154" s="368" t="str">
        <f>IF(J154="","",IF(VLOOKUP(J154,'G-3 Multipliers'!$L$3:$N$6,3,FALSE)=0,"Spatial Data Missing ⚠",VLOOKUP(J154,'G-3 Multipliers'!$L$3:$N$6,3,FALSE)))</f>
        <v/>
      </c>
      <c r="M154" s="369" t="str">
        <f>IF(D154="","",VLOOKUP(D154,'G-6 Hedgerow Data'!$B$1:$AH$15,33,FALSE))</f>
        <v/>
      </c>
      <c r="N154" s="376" t="str">
        <f t="shared" si="16"/>
        <v/>
      </c>
      <c r="O154" s="32"/>
      <c r="P154" s="122"/>
      <c r="Q154" s="165"/>
      <c r="R154" s="393" t="str">
        <f t="shared" si="17"/>
        <v/>
      </c>
      <c r="S154" s="393" t="str">
        <f t="shared" si="18"/>
        <v/>
      </c>
      <c r="T154" s="393" t="str">
        <f t="shared" si="19"/>
        <v/>
      </c>
      <c r="U154" s="415" t="str">
        <f t="shared" si="20"/>
        <v/>
      </c>
      <c r="V154" s="119"/>
      <c r="W154" s="120"/>
      <c r="X154" s="120"/>
      <c r="AE154" s="124" t="str">
        <f t="shared" si="14"/>
        <v/>
      </c>
      <c r="AF154" s="124" t="str">
        <f t="shared" si="15"/>
        <v/>
      </c>
      <c r="AH154" s="124">
        <v>145</v>
      </c>
      <c r="AJ154" s="124" t="str">
        <f t="array" ref="AJ154">IFERROR(INDEX($AH$10:$AH$258, MATCH(0, IF(TRUE=$AE$10:$AE$258, COUNTIF($AJ$9:$AJ153, $AH$10:$AH$258), ""), 0)),"")</f>
        <v/>
      </c>
      <c r="AK154" s="124" t="str">
        <f t="array" ref="AK154">IFERROR(INDEX($AH$10:$AH$258, MATCH(0, IF(TRUE=$AF$10:$AF$258, COUNTIF($AK$9:$AK153, $AH$10:$AH$258), ""), 0)),"")</f>
        <v/>
      </c>
      <c r="AL154" s="30" t="str">
        <f>IFERROR(INDEX('G-6 Hedgerow Data'!$BJ$3:$BJ$15,MATCH(D154,'G-6 Hedgerow Data'!$B$3:$B$15,0)),"")</f>
        <v/>
      </c>
    </row>
    <row r="155" spans="2:38">
      <c r="B155" s="110">
        <v>146</v>
      </c>
      <c r="C155" s="165"/>
      <c r="D155" s="165"/>
      <c r="E155" s="121"/>
      <c r="F155" s="411" t="str">
        <f>IF(D155="","",VLOOKUP(D155,'G-6 Hedgerow Data'!$B$2:$AG$15,2,FALSE))</f>
        <v/>
      </c>
      <c r="G155" s="363" t="str">
        <f>IF(D155="","",VLOOKUP(D155,'G-6 Hedgerow Data'!$B$2:$AG$15,3,FALSE))</f>
        <v/>
      </c>
      <c r="H155" s="114"/>
      <c r="I155" s="363" t="str">
        <f>IFERROR(VLOOKUP(H155,'G-1 All Habitats'!$Z$2:$AA$9,2,FALSE),"")</f>
        <v/>
      </c>
      <c r="J155" s="114"/>
      <c r="K155" s="370" t="str">
        <f>IF(J155="","",IF(VLOOKUP(J155,'G-3 Multipliers'!$L$3:$N$6,2,FALSE)=0,"Spatial Data Missing",VLOOKUP(J155,'G-3 Multipliers'!$L$3:$N$6,2,FALSE)))</f>
        <v/>
      </c>
      <c r="L155" s="368" t="str">
        <f>IF(J155="","",IF(VLOOKUP(J155,'G-3 Multipliers'!$L$3:$N$6,3,FALSE)=0,"Spatial Data Missing ⚠",VLOOKUP(J155,'G-3 Multipliers'!$L$3:$N$6,3,FALSE)))</f>
        <v/>
      </c>
      <c r="M155" s="369" t="str">
        <f>IF(D155="","",VLOOKUP(D155,'G-6 Hedgerow Data'!$B$1:$AH$15,33,FALSE))</f>
        <v/>
      </c>
      <c r="N155" s="376" t="str">
        <f t="shared" si="16"/>
        <v/>
      </c>
      <c r="O155" s="32"/>
      <c r="P155" s="122"/>
      <c r="Q155" s="165"/>
      <c r="R155" s="393" t="str">
        <f t="shared" si="17"/>
        <v/>
      </c>
      <c r="S155" s="393" t="str">
        <f t="shared" si="18"/>
        <v/>
      </c>
      <c r="T155" s="393" t="str">
        <f t="shared" si="19"/>
        <v/>
      </c>
      <c r="U155" s="415" t="str">
        <f t="shared" si="20"/>
        <v/>
      </c>
      <c r="V155" s="119"/>
      <c r="W155" s="120"/>
      <c r="X155" s="120"/>
      <c r="AE155" s="124" t="str">
        <f t="shared" si="14"/>
        <v/>
      </c>
      <c r="AF155" s="124" t="str">
        <f t="shared" si="15"/>
        <v/>
      </c>
      <c r="AH155" s="124">
        <v>146</v>
      </c>
      <c r="AJ155" s="124" t="str">
        <f t="array" ref="AJ155">IFERROR(INDEX($AH$10:$AH$258, MATCH(0, IF(TRUE=$AE$10:$AE$258, COUNTIF($AJ$9:$AJ154, $AH$10:$AH$258), ""), 0)),"")</f>
        <v/>
      </c>
      <c r="AK155" s="124" t="str">
        <f t="array" ref="AK155">IFERROR(INDEX($AH$10:$AH$258, MATCH(0, IF(TRUE=$AF$10:$AF$258, COUNTIF($AK$9:$AK154, $AH$10:$AH$258), ""), 0)),"")</f>
        <v/>
      </c>
      <c r="AL155" s="30" t="str">
        <f>IFERROR(INDEX('G-6 Hedgerow Data'!$BJ$3:$BJ$15,MATCH(D155,'G-6 Hedgerow Data'!$B$3:$B$15,0)),"")</f>
        <v/>
      </c>
    </row>
    <row r="156" spans="2:38">
      <c r="B156" s="110">
        <v>147</v>
      </c>
      <c r="C156" s="165"/>
      <c r="D156" s="165"/>
      <c r="E156" s="121"/>
      <c r="F156" s="411" t="str">
        <f>IF(D156="","",VLOOKUP(D156,'G-6 Hedgerow Data'!$B$2:$AG$15,2,FALSE))</f>
        <v/>
      </c>
      <c r="G156" s="363" t="str">
        <f>IF(D156="","",VLOOKUP(D156,'G-6 Hedgerow Data'!$B$2:$AG$15,3,FALSE))</f>
        <v/>
      </c>
      <c r="H156" s="114"/>
      <c r="I156" s="363" t="str">
        <f>IFERROR(VLOOKUP(H156,'G-1 All Habitats'!$Z$2:$AA$9,2,FALSE),"")</f>
        <v/>
      </c>
      <c r="J156" s="114"/>
      <c r="K156" s="370" t="str">
        <f>IF(J156="","",IF(VLOOKUP(J156,'G-3 Multipliers'!$L$3:$N$6,2,FALSE)=0,"Spatial Data Missing",VLOOKUP(J156,'G-3 Multipliers'!$L$3:$N$6,2,FALSE)))</f>
        <v/>
      </c>
      <c r="L156" s="368" t="str">
        <f>IF(J156="","",IF(VLOOKUP(J156,'G-3 Multipliers'!$L$3:$N$6,3,FALSE)=0,"Spatial Data Missing ⚠",VLOOKUP(J156,'G-3 Multipliers'!$L$3:$N$6,3,FALSE)))</f>
        <v/>
      </c>
      <c r="M156" s="369" t="str">
        <f>IF(D156="","",VLOOKUP(D156,'G-6 Hedgerow Data'!$B$1:$AH$15,33,FALSE))</f>
        <v/>
      </c>
      <c r="N156" s="376" t="str">
        <f t="shared" si="16"/>
        <v/>
      </c>
      <c r="O156" s="32"/>
      <c r="P156" s="122"/>
      <c r="Q156" s="165"/>
      <c r="R156" s="393" t="str">
        <f t="shared" si="17"/>
        <v/>
      </c>
      <c r="S156" s="393" t="str">
        <f t="shared" si="18"/>
        <v/>
      </c>
      <c r="T156" s="393" t="str">
        <f t="shared" si="19"/>
        <v/>
      </c>
      <c r="U156" s="415" t="str">
        <f t="shared" si="20"/>
        <v/>
      </c>
      <c r="V156" s="119"/>
      <c r="W156" s="120"/>
      <c r="X156" s="120"/>
      <c r="AE156" s="124" t="str">
        <f t="shared" si="14"/>
        <v/>
      </c>
      <c r="AF156" s="124" t="str">
        <f t="shared" si="15"/>
        <v/>
      </c>
      <c r="AH156" s="124">
        <v>147</v>
      </c>
      <c r="AJ156" s="124" t="str">
        <f t="array" ref="AJ156">IFERROR(INDEX($AH$10:$AH$258, MATCH(0, IF(TRUE=$AE$10:$AE$258, COUNTIF($AJ$9:$AJ155, $AH$10:$AH$258), ""), 0)),"")</f>
        <v/>
      </c>
      <c r="AK156" s="124" t="str">
        <f t="array" ref="AK156">IFERROR(INDEX($AH$10:$AH$258, MATCH(0, IF(TRUE=$AF$10:$AF$258, COUNTIF($AK$9:$AK155, $AH$10:$AH$258), ""), 0)),"")</f>
        <v/>
      </c>
      <c r="AL156" s="30" t="str">
        <f>IFERROR(INDEX('G-6 Hedgerow Data'!$BJ$3:$BJ$15,MATCH(D156,'G-6 Hedgerow Data'!$B$3:$B$15,0)),"")</f>
        <v/>
      </c>
    </row>
    <row r="157" spans="2:38">
      <c r="B157" s="110">
        <v>148</v>
      </c>
      <c r="C157" s="165"/>
      <c r="D157" s="165"/>
      <c r="E157" s="121"/>
      <c r="F157" s="411" t="str">
        <f>IF(D157="","",VLOOKUP(D157,'G-6 Hedgerow Data'!$B$2:$AG$15,2,FALSE))</f>
        <v/>
      </c>
      <c r="G157" s="363" t="str">
        <f>IF(D157="","",VLOOKUP(D157,'G-6 Hedgerow Data'!$B$2:$AG$15,3,FALSE))</f>
        <v/>
      </c>
      <c r="H157" s="114"/>
      <c r="I157" s="363" t="str">
        <f>IFERROR(VLOOKUP(H157,'G-1 All Habitats'!$Z$2:$AA$9,2,FALSE),"")</f>
        <v/>
      </c>
      <c r="J157" s="114"/>
      <c r="K157" s="370" t="str">
        <f>IF(J157="","",IF(VLOOKUP(J157,'G-3 Multipliers'!$L$3:$N$6,2,FALSE)=0,"Spatial Data Missing",VLOOKUP(J157,'G-3 Multipliers'!$L$3:$N$6,2,FALSE)))</f>
        <v/>
      </c>
      <c r="L157" s="368" t="str">
        <f>IF(J157="","",IF(VLOOKUP(J157,'G-3 Multipliers'!$L$3:$N$6,3,FALSE)=0,"Spatial Data Missing ⚠",VLOOKUP(J157,'G-3 Multipliers'!$L$3:$N$6,3,FALSE)))</f>
        <v/>
      </c>
      <c r="M157" s="369" t="str">
        <f>IF(D157="","",VLOOKUP(D157,'G-6 Hedgerow Data'!$B$1:$AH$15,33,FALSE))</f>
        <v/>
      </c>
      <c r="N157" s="376" t="str">
        <f t="shared" si="16"/>
        <v/>
      </c>
      <c r="O157" s="32"/>
      <c r="P157" s="122"/>
      <c r="Q157" s="165"/>
      <c r="R157" s="393" t="str">
        <f t="shared" si="17"/>
        <v/>
      </c>
      <c r="S157" s="393" t="str">
        <f t="shared" si="18"/>
        <v/>
      </c>
      <c r="T157" s="393" t="str">
        <f t="shared" si="19"/>
        <v/>
      </c>
      <c r="U157" s="415" t="str">
        <f t="shared" si="20"/>
        <v/>
      </c>
      <c r="V157" s="119"/>
      <c r="W157" s="120"/>
      <c r="X157" s="120"/>
      <c r="AE157" s="124" t="str">
        <f t="shared" si="14"/>
        <v/>
      </c>
      <c r="AF157" s="124" t="str">
        <f t="shared" si="15"/>
        <v/>
      </c>
      <c r="AH157" s="124">
        <v>148</v>
      </c>
      <c r="AJ157" s="124" t="str">
        <f t="array" ref="AJ157">IFERROR(INDEX($AH$10:$AH$258, MATCH(0, IF(TRUE=$AE$10:$AE$258, COUNTIF($AJ$9:$AJ156, $AH$10:$AH$258), ""), 0)),"")</f>
        <v/>
      </c>
      <c r="AK157" s="124" t="str">
        <f t="array" ref="AK157">IFERROR(INDEX($AH$10:$AH$258, MATCH(0, IF(TRUE=$AF$10:$AF$258, COUNTIF($AK$9:$AK156, $AH$10:$AH$258), ""), 0)),"")</f>
        <v/>
      </c>
      <c r="AL157" s="30" t="str">
        <f>IFERROR(INDEX('G-6 Hedgerow Data'!$BJ$3:$BJ$15,MATCH(D157,'G-6 Hedgerow Data'!$B$3:$B$15,0)),"")</f>
        <v/>
      </c>
    </row>
    <row r="158" spans="2:38">
      <c r="B158" s="110">
        <v>149</v>
      </c>
      <c r="C158" s="165"/>
      <c r="D158" s="165"/>
      <c r="E158" s="121"/>
      <c r="F158" s="411" t="str">
        <f>IF(D158="","",VLOOKUP(D158,'G-6 Hedgerow Data'!$B$2:$AG$15,2,FALSE))</f>
        <v/>
      </c>
      <c r="G158" s="363" t="str">
        <f>IF(D158="","",VLOOKUP(D158,'G-6 Hedgerow Data'!$B$2:$AG$15,3,FALSE))</f>
        <v/>
      </c>
      <c r="H158" s="114"/>
      <c r="I158" s="363" t="str">
        <f>IFERROR(VLOOKUP(H158,'G-1 All Habitats'!$Z$2:$AA$9,2,FALSE),"")</f>
        <v/>
      </c>
      <c r="J158" s="114"/>
      <c r="K158" s="370" t="str">
        <f>IF(J158="","",IF(VLOOKUP(J158,'G-3 Multipliers'!$L$3:$N$6,2,FALSE)=0,"Spatial Data Missing",VLOOKUP(J158,'G-3 Multipliers'!$L$3:$N$6,2,FALSE)))</f>
        <v/>
      </c>
      <c r="L158" s="368" t="str">
        <f>IF(J158="","",IF(VLOOKUP(J158,'G-3 Multipliers'!$L$3:$N$6,3,FALSE)=0,"Spatial Data Missing ⚠",VLOOKUP(J158,'G-3 Multipliers'!$L$3:$N$6,3,FALSE)))</f>
        <v/>
      </c>
      <c r="M158" s="369" t="str">
        <f>IF(D158="","",VLOOKUP(D158,'G-6 Hedgerow Data'!$B$1:$AH$15,33,FALSE))</f>
        <v/>
      </c>
      <c r="N158" s="376" t="str">
        <f t="shared" si="16"/>
        <v/>
      </c>
      <c r="O158" s="32"/>
      <c r="P158" s="122"/>
      <c r="Q158" s="165"/>
      <c r="R158" s="393" t="str">
        <f t="shared" si="17"/>
        <v/>
      </c>
      <c r="S158" s="393" t="str">
        <f t="shared" si="18"/>
        <v/>
      </c>
      <c r="T158" s="393" t="str">
        <f t="shared" si="19"/>
        <v/>
      </c>
      <c r="U158" s="415" t="str">
        <f t="shared" si="20"/>
        <v/>
      </c>
      <c r="V158" s="119"/>
      <c r="W158" s="120"/>
      <c r="X158" s="120"/>
      <c r="AE158" s="124" t="str">
        <f t="shared" si="14"/>
        <v/>
      </c>
      <c r="AF158" s="124" t="str">
        <f t="shared" si="15"/>
        <v/>
      </c>
      <c r="AH158" s="124">
        <v>149</v>
      </c>
      <c r="AJ158" s="124" t="str">
        <f t="array" ref="AJ158">IFERROR(INDEX($AH$10:$AH$258, MATCH(0, IF(TRUE=$AE$10:$AE$258, COUNTIF($AJ$9:$AJ157, $AH$10:$AH$258), ""), 0)),"")</f>
        <v/>
      </c>
      <c r="AK158" s="124" t="str">
        <f t="array" ref="AK158">IFERROR(INDEX($AH$10:$AH$258, MATCH(0, IF(TRUE=$AF$10:$AF$258, COUNTIF($AK$9:$AK157, $AH$10:$AH$258), ""), 0)),"")</f>
        <v/>
      </c>
      <c r="AL158" s="30" t="str">
        <f>IFERROR(INDEX('G-6 Hedgerow Data'!$BJ$3:$BJ$15,MATCH(D158,'G-6 Hedgerow Data'!$B$3:$B$15,0)),"")</f>
        <v/>
      </c>
    </row>
    <row r="159" spans="2:38">
      <c r="B159" s="110">
        <v>150</v>
      </c>
      <c r="C159" s="165"/>
      <c r="D159" s="165"/>
      <c r="E159" s="121"/>
      <c r="F159" s="411" t="str">
        <f>IF(D159="","",VLOOKUP(D159,'G-6 Hedgerow Data'!$B$2:$AG$15,2,FALSE))</f>
        <v/>
      </c>
      <c r="G159" s="363" t="str">
        <f>IF(D159="","",VLOOKUP(D159,'G-6 Hedgerow Data'!$B$2:$AG$15,3,FALSE))</f>
        <v/>
      </c>
      <c r="H159" s="114"/>
      <c r="I159" s="363" t="str">
        <f>IFERROR(VLOOKUP(H159,'G-1 All Habitats'!$Z$2:$AA$9,2,FALSE),"")</f>
        <v/>
      </c>
      <c r="J159" s="114"/>
      <c r="K159" s="370" t="str">
        <f>IF(J159="","",IF(VLOOKUP(J159,'G-3 Multipliers'!$L$3:$N$6,2,FALSE)=0,"Spatial Data Missing",VLOOKUP(J159,'G-3 Multipliers'!$L$3:$N$6,2,FALSE)))</f>
        <v/>
      </c>
      <c r="L159" s="368" t="str">
        <f>IF(J159="","",IF(VLOOKUP(J159,'G-3 Multipliers'!$L$3:$N$6,3,FALSE)=0,"Spatial Data Missing ⚠",VLOOKUP(J159,'G-3 Multipliers'!$L$3:$N$6,3,FALSE)))</f>
        <v/>
      </c>
      <c r="M159" s="369" t="str">
        <f>IF(D159="","",VLOOKUP(D159,'G-6 Hedgerow Data'!$B$1:$AH$15,33,FALSE))</f>
        <v/>
      </c>
      <c r="N159" s="376" t="str">
        <f t="shared" si="16"/>
        <v/>
      </c>
      <c r="O159" s="32"/>
      <c r="P159" s="122"/>
      <c r="Q159" s="165"/>
      <c r="R159" s="393" t="str">
        <f t="shared" si="17"/>
        <v/>
      </c>
      <c r="S159" s="393" t="str">
        <f t="shared" si="18"/>
        <v/>
      </c>
      <c r="T159" s="393" t="str">
        <f t="shared" si="19"/>
        <v/>
      </c>
      <c r="U159" s="415" t="str">
        <f t="shared" si="20"/>
        <v/>
      </c>
      <c r="V159" s="119"/>
      <c r="W159" s="120"/>
      <c r="X159" s="120"/>
      <c r="AE159" s="124" t="str">
        <f t="shared" si="14"/>
        <v/>
      </c>
      <c r="AF159" s="124" t="str">
        <f t="shared" si="15"/>
        <v/>
      </c>
      <c r="AH159" s="124">
        <v>150</v>
      </c>
      <c r="AJ159" s="124" t="str">
        <f t="array" ref="AJ159">IFERROR(INDEX($AH$10:$AH$258, MATCH(0, IF(TRUE=$AE$10:$AE$258, COUNTIF($AJ$9:$AJ158, $AH$10:$AH$258), ""), 0)),"")</f>
        <v/>
      </c>
      <c r="AK159" s="124" t="str">
        <f t="array" ref="AK159">IFERROR(INDEX($AH$10:$AH$258, MATCH(0, IF(TRUE=$AF$10:$AF$258, COUNTIF($AK$9:$AK158, $AH$10:$AH$258), ""), 0)),"")</f>
        <v/>
      </c>
      <c r="AL159" s="30" t="str">
        <f>IFERROR(INDEX('G-6 Hedgerow Data'!$BJ$3:$BJ$15,MATCH(D159,'G-6 Hedgerow Data'!$B$3:$B$15,0)),"")</f>
        <v/>
      </c>
    </row>
    <row r="160" spans="2:38">
      <c r="B160" s="110">
        <v>151</v>
      </c>
      <c r="C160" s="165"/>
      <c r="D160" s="165"/>
      <c r="E160" s="121"/>
      <c r="F160" s="411" t="str">
        <f>IF(D160="","",VLOOKUP(D160,'G-6 Hedgerow Data'!$B$2:$AG$15,2,FALSE))</f>
        <v/>
      </c>
      <c r="G160" s="363" t="str">
        <f>IF(D160="","",VLOOKUP(D160,'G-6 Hedgerow Data'!$B$2:$AG$15,3,FALSE))</f>
        <v/>
      </c>
      <c r="H160" s="114"/>
      <c r="I160" s="363" t="str">
        <f>IFERROR(VLOOKUP(H160,'G-1 All Habitats'!$Z$2:$AA$9,2,FALSE),"")</f>
        <v/>
      </c>
      <c r="J160" s="114"/>
      <c r="K160" s="370" t="str">
        <f>IF(J160="","",IF(VLOOKUP(J160,'G-3 Multipliers'!$L$3:$N$6,2,FALSE)=0,"Spatial Data Missing",VLOOKUP(J160,'G-3 Multipliers'!$L$3:$N$6,2,FALSE)))</f>
        <v/>
      </c>
      <c r="L160" s="368" t="str">
        <f>IF(J160="","",IF(VLOOKUP(J160,'G-3 Multipliers'!$L$3:$N$6,3,FALSE)=0,"Spatial Data Missing ⚠",VLOOKUP(J160,'G-3 Multipliers'!$L$3:$N$6,3,FALSE)))</f>
        <v/>
      </c>
      <c r="M160" s="369" t="str">
        <f>IF(D160="","",VLOOKUP(D160,'G-6 Hedgerow Data'!$B$1:$AH$15,33,FALSE))</f>
        <v/>
      </c>
      <c r="N160" s="376" t="str">
        <f t="shared" si="16"/>
        <v/>
      </c>
      <c r="O160" s="32"/>
      <c r="P160" s="122"/>
      <c r="Q160" s="165"/>
      <c r="R160" s="393" t="str">
        <f t="shared" si="17"/>
        <v/>
      </c>
      <c r="S160" s="393" t="str">
        <f t="shared" si="18"/>
        <v/>
      </c>
      <c r="T160" s="393" t="str">
        <f t="shared" si="19"/>
        <v/>
      </c>
      <c r="U160" s="415" t="str">
        <f t="shared" si="20"/>
        <v/>
      </c>
      <c r="V160" s="119"/>
      <c r="W160" s="120"/>
      <c r="X160" s="120"/>
      <c r="AE160" s="124" t="str">
        <f t="shared" si="14"/>
        <v/>
      </c>
      <c r="AF160" s="124" t="str">
        <f t="shared" si="15"/>
        <v/>
      </c>
      <c r="AH160" s="124">
        <v>151</v>
      </c>
      <c r="AJ160" s="124" t="str">
        <f t="array" ref="AJ160">IFERROR(INDEX($AH$10:$AH$258, MATCH(0, IF(TRUE=$AE$10:$AE$258, COUNTIF($AJ$9:$AJ159, $AH$10:$AH$258), ""), 0)),"")</f>
        <v/>
      </c>
      <c r="AK160" s="124" t="str">
        <f t="array" ref="AK160">IFERROR(INDEX($AH$10:$AH$258, MATCH(0, IF(TRUE=$AF$10:$AF$258, COUNTIF($AK$9:$AK159, $AH$10:$AH$258), ""), 0)),"")</f>
        <v/>
      </c>
      <c r="AL160" s="30" t="str">
        <f>IFERROR(INDEX('G-6 Hedgerow Data'!$BJ$3:$BJ$15,MATCH(D160,'G-6 Hedgerow Data'!$B$3:$B$15,0)),"")</f>
        <v/>
      </c>
    </row>
    <row r="161" spans="2:38">
      <c r="B161" s="110">
        <v>152</v>
      </c>
      <c r="C161" s="165"/>
      <c r="D161" s="165"/>
      <c r="E161" s="121"/>
      <c r="F161" s="411" t="str">
        <f>IF(D161="","",VLOOKUP(D161,'G-6 Hedgerow Data'!$B$2:$AG$15,2,FALSE))</f>
        <v/>
      </c>
      <c r="G161" s="363" t="str">
        <f>IF(D161="","",VLOOKUP(D161,'G-6 Hedgerow Data'!$B$2:$AG$15,3,FALSE))</f>
        <v/>
      </c>
      <c r="H161" s="114"/>
      <c r="I161" s="363" t="str">
        <f>IFERROR(VLOOKUP(H161,'G-1 All Habitats'!$Z$2:$AA$9,2,FALSE),"")</f>
        <v/>
      </c>
      <c r="J161" s="114"/>
      <c r="K161" s="370" t="str">
        <f>IF(J161="","",IF(VLOOKUP(J161,'G-3 Multipliers'!$L$3:$N$6,2,FALSE)=0,"Spatial Data Missing",VLOOKUP(J161,'G-3 Multipliers'!$L$3:$N$6,2,FALSE)))</f>
        <v/>
      </c>
      <c r="L161" s="368" t="str">
        <f>IF(J161="","",IF(VLOOKUP(J161,'G-3 Multipliers'!$L$3:$N$6,3,FALSE)=0,"Spatial Data Missing ⚠",VLOOKUP(J161,'G-3 Multipliers'!$L$3:$N$6,3,FALSE)))</f>
        <v/>
      </c>
      <c r="M161" s="369" t="str">
        <f>IF(D161="","",VLOOKUP(D161,'G-6 Hedgerow Data'!$B$1:$AH$15,33,FALSE))</f>
        <v/>
      </c>
      <c r="N161" s="376" t="str">
        <f t="shared" si="16"/>
        <v/>
      </c>
      <c r="O161" s="32"/>
      <c r="P161" s="122"/>
      <c r="Q161" s="165"/>
      <c r="R161" s="393" t="str">
        <f t="shared" si="17"/>
        <v/>
      </c>
      <c r="S161" s="393" t="str">
        <f t="shared" si="18"/>
        <v/>
      </c>
      <c r="T161" s="393" t="str">
        <f t="shared" si="19"/>
        <v/>
      </c>
      <c r="U161" s="415" t="str">
        <f t="shared" si="20"/>
        <v/>
      </c>
      <c r="V161" s="119"/>
      <c r="W161" s="120"/>
      <c r="X161" s="120"/>
      <c r="AE161" s="124" t="str">
        <f t="shared" si="14"/>
        <v/>
      </c>
      <c r="AF161" s="124" t="str">
        <f t="shared" si="15"/>
        <v/>
      </c>
      <c r="AH161" s="124">
        <v>152</v>
      </c>
      <c r="AJ161" s="124" t="str">
        <f t="array" ref="AJ161">IFERROR(INDEX($AH$10:$AH$258, MATCH(0, IF(TRUE=$AE$10:$AE$258, COUNTIF($AJ$9:$AJ160, $AH$10:$AH$258), ""), 0)),"")</f>
        <v/>
      </c>
      <c r="AK161" s="124" t="str">
        <f t="array" ref="AK161">IFERROR(INDEX($AH$10:$AH$258, MATCH(0, IF(TRUE=$AF$10:$AF$258, COUNTIF($AK$9:$AK160, $AH$10:$AH$258), ""), 0)),"")</f>
        <v/>
      </c>
      <c r="AL161" s="30" t="str">
        <f>IFERROR(INDEX('G-6 Hedgerow Data'!$BJ$3:$BJ$15,MATCH(D161,'G-6 Hedgerow Data'!$B$3:$B$15,0)),"")</f>
        <v/>
      </c>
    </row>
    <row r="162" spans="2:38">
      <c r="B162" s="110">
        <v>153</v>
      </c>
      <c r="C162" s="165"/>
      <c r="D162" s="165"/>
      <c r="E162" s="121"/>
      <c r="F162" s="411" t="str">
        <f>IF(D162="","",VLOOKUP(D162,'G-6 Hedgerow Data'!$B$2:$AG$15,2,FALSE))</f>
        <v/>
      </c>
      <c r="G162" s="363" t="str">
        <f>IF(D162="","",VLOOKUP(D162,'G-6 Hedgerow Data'!$B$2:$AG$15,3,FALSE))</f>
        <v/>
      </c>
      <c r="H162" s="114"/>
      <c r="I162" s="363" t="str">
        <f>IFERROR(VLOOKUP(H162,'G-1 All Habitats'!$Z$2:$AA$9,2,FALSE),"")</f>
        <v/>
      </c>
      <c r="J162" s="114"/>
      <c r="K162" s="370" t="str">
        <f>IF(J162="","",IF(VLOOKUP(J162,'G-3 Multipliers'!$L$3:$N$6,2,FALSE)=0,"Spatial Data Missing",VLOOKUP(J162,'G-3 Multipliers'!$L$3:$N$6,2,FALSE)))</f>
        <v/>
      </c>
      <c r="L162" s="368" t="str">
        <f>IF(J162="","",IF(VLOOKUP(J162,'G-3 Multipliers'!$L$3:$N$6,3,FALSE)=0,"Spatial Data Missing ⚠",VLOOKUP(J162,'G-3 Multipliers'!$L$3:$N$6,3,FALSE)))</f>
        <v/>
      </c>
      <c r="M162" s="369" t="str">
        <f>IF(D162="","",VLOOKUP(D162,'G-6 Hedgerow Data'!$B$1:$AH$15,33,FALSE))</f>
        <v/>
      </c>
      <c r="N162" s="376" t="str">
        <f t="shared" si="16"/>
        <v/>
      </c>
      <c r="O162" s="32"/>
      <c r="P162" s="122"/>
      <c r="Q162" s="165"/>
      <c r="R162" s="393" t="str">
        <f t="shared" si="17"/>
        <v/>
      </c>
      <c r="S162" s="393" t="str">
        <f t="shared" si="18"/>
        <v/>
      </c>
      <c r="T162" s="393" t="str">
        <f t="shared" si="19"/>
        <v/>
      </c>
      <c r="U162" s="415" t="str">
        <f t="shared" si="20"/>
        <v/>
      </c>
      <c r="V162" s="119"/>
      <c r="W162" s="120"/>
      <c r="X162" s="120"/>
      <c r="AE162" s="124" t="str">
        <f t="shared" si="14"/>
        <v/>
      </c>
      <c r="AF162" s="124" t="str">
        <f t="shared" si="15"/>
        <v/>
      </c>
      <c r="AH162" s="124">
        <v>153</v>
      </c>
      <c r="AJ162" s="124" t="str">
        <f t="array" ref="AJ162">IFERROR(INDEX($AH$10:$AH$258, MATCH(0, IF(TRUE=$AE$10:$AE$258, COUNTIF($AJ$9:$AJ161, $AH$10:$AH$258), ""), 0)),"")</f>
        <v/>
      </c>
      <c r="AK162" s="124" t="str">
        <f t="array" ref="AK162">IFERROR(INDEX($AH$10:$AH$258, MATCH(0, IF(TRUE=$AF$10:$AF$258, COUNTIF($AK$9:$AK161, $AH$10:$AH$258), ""), 0)),"")</f>
        <v/>
      </c>
      <c r="AL162" s="30" t="str">
        <f>IFERROR(INDEX('G-6 Hedgerow Data'!$BJ$3:$BJ$15,MATCH(D162,'G-6 Hedgerow Data'!$B$3:$B$15,0)),"")</f>
        <v/>
      </c>
    </row>
    <row r="163" spans="2:38">
      <c r="B163" s="110">
        <v>154</v>
      </c>
      <c r="C163" s="165"/>
      <c r="D163" s="165"/>
      <c r="E163" s="121"/>
      <c r="F163" s="411" t="str">
        <f>IF(D163="","",VLOOKUP(D163,'G-6 Hedgerow Data'!$B$2:$AG$15,2,FALSE))</f>
        <v/>
      </c>
      <c r="G163" s="363" t="str">
        <f>IF(D163="","",VLOOKUP(D163,'G-6 Hedgerow Data'!$B$2:$AG$15,3,FALSE))</f>
        <v/>
      </c>
      <c r="H163" s="114"/>
      <c r="I163" s="363" t="str">
        <f>IFERROR(VLOOKUP(H163,'G-1 All Habitats'!$Z$2:$AA$9,2,FALSE),"")</f>
        <v/>
      </c>
      <c r="J163" s="114"/>
      <c r="K163" s="370" t="str">
        <f>IF(J163="","",IF(VLOOKUP(J163,'G-3 Multipliers'!$L$3:$N$6,2,FALSE)=0,"Spatial Data Missing",VLOOKUP(J163,'G-3 Multipliers'!$L$3:$N$6,2,FALSE)))</f>
        <v/>
      </c>
      <c r="L163" s="368" t="str">
        <f>IF(J163="","",IF(VLOOKUP(J163,'G-3 Multipliers'!$L$3:$N$6,3,FALSE)=0,"Spatial Data Missing ⚠",VLOOKUP(J163,'G-3 Multipliers'!$L$3:$N$6,3,FALSE)))</f>
        <v/>
      </c>
      <c r="M163" s="369" t="str">
        <f>IF(D163="","",VLOOKUP(D163,'G-6 Hedgerow Data'!$B$1:$AH$15,33,FALSE))</f>
        <v/>
      </c>
      <c r="N163" s="376" t="str">
        <f t="shared" si="16"/>
        <v/>
      </c>
      <c r="O163" s="32"/>
      <c r="P163" s="122"/>
      <c r="Q163" s="165"/>
      <c r="R163" s="393" t="str">
        <f t="shared" si="17"/>
        <v/>
      </c>
      <c r="S163" s="393" t="str">
        <f t="shared" si="18"/>
        <v/>
      </c>
      <c r="T163" s="393" t="str">
        <f t="shared" si="19"/>
        <v/>
      </c>
      <c r="U163" s="415" t="str">
        <f t="shared" si="20"/>
        <v/>
      </c>
      <c r="V163" s="119"/>
      <c r="W163" s="120"/>
      <c r="X163" s="120"/>
      <c r="AE163" s="124" t="str">
        <f t="shared" si="14"/>
        <v/>
      </c>
      <c r="AF163" s="124" t="str">
        <f t="shared" si="15"/>
        <v/>
      </c>
      <c r="AH163" s="124">
        <v>154</v>
      </c>
      <c r="AJ163" s="124" t="str">
        <f t="array" ref="AJ163">IFERROR(INDEX($AH$10:$AH$258, MATCH(0, IF(TRUE=$AE$10:$AE$258, COUNTIF($AJ$9:$AJ162, $AH$10:$AH$258), ""), 0)),"")</f>
        <v/>
      </c>
      <c r="AK163" s="124" t="str">
        <f t="array" ref="AK163">IFERROR(INDEX($AH$10:$AH$258, MATCH(0, IF(TRUE=$AF$10:$AF$258, COUNTIF($AK$9:$AK162, $AH$10:$AH$258), ""), 0)),"")</f>
        <v/>
      </c>
      <c r="AL163" s="30" t="str">
        <f>IFERROR(INDEX('G-6 Hedgerow Data'!$BJ$3:$BJ$15,MATCH(D163,'G-6 Hedgerow Data'!$B$3:$B$15,0)),"")</f>
        <v/>
      </c>
    </row>
    <row r="164" spans="2:38">
      <c r="B164" s="110">
        <v>155</v>
      </c>
      <c r="C164" s="165"/>
      <c r="D164" s="165"/>
      <c r="E164" s="121"/>
      <c r="F164" s="411" t="str">
        <f>IF(D164="","",VLOOKUP(D164,'G-6 Hedgerow Data'!$B$2:$AG$15,2,FALSE))</f>
        <v/>
      </c>
      <c r="G164" s="363" t="str">
        <f>IF(D164="","",VLOOKUP(D164,'G-6 Hedgerow Data'!$B$2:$AG$15,3,FALSE))</f>
        <v/>
      </c>
      <c r="H164" s="114"/>
      <c r="I164" s="363" t="str">
        <f>IFERROR(VLOOKUP(H164,'G-1 All Habitats'!$Z$2:$AA$9,2,FALSE),"")</f>
        <v/>
      </c>
      <c r="J164" s="114"/>
      <c r="K164" s="370" t="str">
        <f>IF(J164="","",IF(VLOOKUP(J164,'G-3 Multipliers'!$L$3:$N$6,2,FALSE)=0,"Spatial Data Missing",VLOOKUP(J164,'G-3 Multipliers'!$L$3:$N$6,2,FALSE)))</f>
        <v/>
      </c>
      <c r="L164" s="368" t="str">
        <f>IF(J164="","",IF(VLOOKUP(J164,'G-3 Multipliers'!$L$3:$N$6,3,FALSE)=0,"Spatial Data Missing ⚠",VLOOKUP(J164,'G-3 Multipliers'!$L$3:$N$6,3,FALSE)))</f>
        <v/>
      </c>
      <c r="M164" s="369" t="str">
        <f>IF(D164="","",VLOOKUP(D164,'G-6 Hedgerow Data'!$B$1:$AH$15,33,FALSE))</f>
        <v/>
      </c>
      <c r="N164" s="376" t="str">
        <f t="shared" si="16"/>
        <v/>
      </c>
      <c r="O164" s="32"/>
      <c r="P164" s="122"/>
      <c r="Q164" s="165"/>
      <c r="R164" s="393" t="str">
        <f t="shared" si="17"/>
        <v/>
      </c>
      <c r="S164" s="393" t="str">
        <f t="shared" si="18"/>
        <v/>
      </c>
      <c r="T164" s="393" t="str">
        <f t="shared" si="19"/>
        <v/>
      </c>
      <c r="U164" s="415" t="str">
        <f t="shared" si="20"/>
        <v/>
      </c>
      <c r="V164" s="119"/>
      <c r="W164" s="120"/>
      <c r="X164" s="120"/>
      <c r="AE164" s="124" t="str">
        <f t="shared" si="14"/>
        <v/>
      </c>
      <c r="AF164" s="124" t="str">
        <f t="shared" si="15"/>
        <v/>
      </c>
      <c r="AH164" s="124">
        <v>155</v>
      </c>
      <c r="AJ164" s="124" t="str">
        <f t="array" ref="AJ164">IFERROR(INDEX($AH$10:$AH$258, MATCH(0, IF(TRUE=$AE$10:$AE$258, COUNTIF($AJ$9:$AJ163, $AH$10:$AH$258), ""), 0)),"")</f>
        <v/>
      </c>
      <c r="AK164" s="124" t="str">
        <f t="array" ref="AK164">IFERROR(INDEX($AH$10:$AH$258, MATCH(0, IF(TRUE=$AF$10:$AF$258, COUNTIF($AK$9:$AK163, $AH$10:$AH$258), ""), 0)),"")</f>
        <v/>
      </c>
      <c r="AL164" s="30" t="str">
        <f>IFERROR(INDEX('G-6 Hedgerow Data'!$BJ$3:$BJ$15,MATCH(D164,'G-6 Hedgerow Data'!$B$3:$B$15,0)),"")</f>
        <v/>
      </c>
    </row>
    <row r="165" spans="2:38">
      <c r="B165" s="110">
        <v>156</v>
      </c>
      <c r="C165" s="165"/>
      <c r="D165" s="165"/>
      <c r="E165" s="121"/>
      <c r="F165" s="411" t="str">
        <f>IF(D165="","",VLOOKUP(D165,'G-6 Hedgerow Data'!$B$2:$AG$15,2,FALSE))</f>
        <v/>
      </c>
      <c r="G165" s="363" t="str">
        <f>IF(D165="","",VLOOKUP(D165,'G-6 Hedgerow Data'!$B$2:$AG$15,3,FALSE))</f>
        <v/>
      </c>
      <c r="H165" s="114"/>
      <c r="I165" s="363" t="str">
        <f>IFERROR(VLOOKUP(H165,'G-1 All Habitats'!$Z$2:$AA$9,2,FALSE),"")</f>
        <v/>
      </c>
      <c r="J165" s="114"/>
      <c r="K165" s="370" t="str">
        <f>IF(J165="","",IF(VLOOKUP(J165,'G-3 Multipliers'!$L$3:$N$6,2,FALSE)=0,"Spatial Data Missing",VLOOKUP(J165,'G-3 Multipliers'!$L$3:$N$6,2,FALSE)))</f>
        <v/>
      </c>
      <c r="L165" s="368" t="str">
        <f>IF(J165="","",IF(VLOOKUP(J165,'G-3 Multipliers'!$L$3:$N$6,3,FALSE)=0,"Spatial Data Missing ⚠",VLOOKUP(J165,'G-3 Multipliers'!$L$3:$N$6,3,FALSE)))</f>
        <v/>
      </c>
      <c r="M165" s="369" t="str">
        <f>IF(D165="","",VLOOKUP(D165,'G-6 Hedgerow Data'!$B$1:$AH$15,33,FALSE))</f>
        <v/>
      </c>
      <c r="N165" s="376" t="str">
        <f t="shared" si="16"/>
        <v/>
      </c>
      <c r="O165" s="32"/>
      <c r="P165" s="122"/>
      <c r="Q165" s="165"/>
      <c r="R165" s="393" t="str">
        <f t="shared" si="17"/>
        <v/>
      </c>
      <c r="S165" s="393" t="str">
        <f t="shared" si="18"/>
        <v/>
      </c>
      <c r="T165" s="393" t="str">
        <f t="shared" si="19"/>
        <v/>
      </c>
      <c r="U165" s="415" t="str">
        <f t="shared" si="20"/>
        <v/>
      </c>
      <c r="V165" s="119"/>
      <c r="W165" s="120"/>
      <c r="X165" s="120"/>
      <c r="AE165" s="124" t="str">
        <f t="shared" si="14"/>
        <v/>
      </c>
      <c r="AF165" s="124" t="str">
        <f t="shared" si="15"/>
        <v/>
      </c>
      <c r="AH165" s="124">
        <v>156</v>
      </c>
      <c r="AJ165" s="124" t="str">
        <f t="array" ref="AJ165">IFERROR(INDEX($AH$10:$AH$258, MATCH(0, IF(TRUE=$AE$10:$AE$258, COUNTIF($AJ$9:$AJ164, $AH$10:$AH$258), ""), 0)),"")</f>
        <v/>
      </c>
      <c r="AK165" s="124" t="str">
        <f t="array" ref="AK165">IFERROR(INDEX($AH$10:$AH$258, MATCH(0, IF(TRUE=$AF$10:$AF$258, COUNTIF($AK$9:$AK164, $AH$10:$AH$258), ""), 0)),"")</f>
        <v/>
      </c>
      <c r="AL165" s="30" t="str">
        <f>IFERROR(INDEX('G-6 Hedgerow Data'!$BJ$3:$BJ$15,MATCH(D165,'G-6 Hedgerow Data'!$B$3:$B$15,0)),"")</f>
        <v/>
      </c>
    </row>
    <row r="166" spans="2:38">
      <c r="B166" s="110">
        <v>157</v>
      </c>
      <c r="C166" s="165"/>
      <c r="D166" s="165"/>
      <c r="E166" s="121"/>
      <c r="F166" s="411" t="str">
        <f>IF(D166="","",VLOOKUP(D166,'G-6 Hedgerow Data'!$B$2:$AG$15,2,FALSE))</f>
        <v/>
      </c>
      <c r="G166" s="363" t="str">
        <f>IF(D166="","",VLOOKUP(D166,'G-6 Hedgerow Data'!$B$2:$AG$15,3,FALSE))</f>
        <v/>
      </c>
      <c r="H166" s="114"/>
      <c r="I166" s="363" t="str">
        <f>IFERROR(VLOOKUP(H166,'G-1 All Habitats'!$Z$2:$AA$9,2,FALSE),"")</f>
        <v/>
      </c>
      <c r="J166" s="114"/>
      <c r="K166" s="370" t="str">
        <f>IF(J166="","",IF(VLOOKUP(J166,'G-3 Multipliers'!$L$3:$N$6,2,FALSE)=0,"Spatial Data Missing",VLOOKUP(J166,'G-3 Multipliers'!$L$3:$N$6,2,FALSE)))</f>
        <v/>
      </c>
      <c r="L166" s="368" t="str">
        <f>IF(J166="","",IF(VLOOKUP(J166,'G-3 Multipliers'!$L$3:$N$6,3,FALSE)=0,"Spatial Data Missing ⚠",VLOOKUP(J166,'G-3 Multipliers'!$L$3:$N$6,3,FALSE)))</f>
        <v/>
      </c>
      <c r="M166" s="369" t="str">
        <f>IF(D166="","",VLOOKUP(D166,'G-6 Hedgerow Data'!$B$1:$AH$15,33,FALSE))</f>
        <v/>
      </c>
      <c r="N166" s="376" t="str">
        <f t="shared" si="16"/>
        <v/>
      </c>
      <c r="O166" s="32"/>
      <c r="P166" s="122"/>
      <c r="Q166" s="165"/>
      <c r="R166" s="393" t="str">
        <f t="shared" si="17"/>
        <v/>
      </c>
      <c r="S166" s="393" t="str">
        <f t="shared" si="18"/>
        <v/>
      </c>
      <c r="T166" s="393" t="str">
        <f t="shared" si="19"/>
        <v/>
      </c>
      <c r="U166" s="415" t="str">
        <f t="shared" si="20"/>
        <v/>
      </c>
      <c r="V166" s="119"/>
      <c r="W166" s="120"/>
      <c r="X166" s="120"/>
      <c r="AE166" s="124" t="str">
        <f t="shared" si="14"/>
        <v/>
      </c>
      <c r="AF166" s="124" t="str">
        <f t="shared" si="15"/>
        <v/>
      </c>
      <c r="AH166" s="124">
        <v>157</v>
      </c>
      <c r="AJ166" s="124" t="str">
        <f t="array" ref="AJ166">IFERROR(INDEX($AH$10:$AH$258, MATCH(0, IF(TRUE=$AE$10:$AE$258, COUNTIF($AJ$9:$AJ165, $AH$10:$AH$258), ""), 0)),"")</f>
        <v/>
      </c>
      <c r="AK166" s="124" t="str">
        <f t="array" ref="AK166">IFERROR(INDEX($AH$10:$AH$258, MATCH(0, IF(TRUE=$AF$10:$AF$258, COUNTIF($AK$9:$AK165, $AH$10:$AH$258), ""), 0)),"")</f>
        <v/>
      </c>
      <c r="AL166" s="30" t="str">
        <f>IFERROR(INDEX('G-6 Hedgerow Data'!$BJ$3:$BJ$15,MATCH(D166,'G-6 Hedgerow Data'!$B$3:$B$15,0)),"")</f>
        <v/>
      </c>
    </row>
    <row r="167" spans="2:38">
      <c r="B167" s="110">
        <v>158</v>
      </c>
      <c r="C167" s="165"/>
      <c r="D167" s="165"/>
      <c r="E167" s="121"/>
      <c r="F167" s="411" t="str">
        <f>IF(D167="","",VLOOKUP(D167,'G-6 Hedgerow Data'!$B$2:$AG$15,2,FALSE))</f>
        <v/>
      </c>
      <c r="G167" s="363" t="str">
        <f>IF(D167="","",VLOOKUP(D167,'G-6 Hedgerow Data'!$B$2:$AG$15,3,FALSE))</f>
        <v/>
      </c>
      <c r="H167" s="114"/>
      <c r="I167" s="363" t="str">
        <f>IFERROR(VLOOKUP(H167,'G-1 All Habitats'!$Z$2:$AA$9,2,FALSE),"")</f>
        <v/>
      </c>
      <c r="J167" s="114"/>
      <c r="K167" s="370" t="str">
        <f>IF(J167="","",IF(VLOOKUP(J167,'G-3 Multipliers'!$L$3:$N$6,2,FALSE)=0,"Spatial Data Missing",VLOOKUP(J167,'G-3 Multipliers'!$L$3:$N$6,2,FALSE)))</f>
        <v/>
      </c>
      <c r="L167" s="368" t="str">
        <f>IF(J167="","",IF(VLOOKUP(J167,'G-3 Multipliers'!$L$3:$N$6,3,FALSE)=0,"Spatial Data Missing ⚠",VLOOKUP(J167,'G-3 Multipliers'!$L$3:$N$6,3,FALSE)))</f>
        <v/>
      </c>
      <c r="M167" s="369" t="str">
        <f>IF(D167="","",VLOOKUP(D167,'G-6 Hedgerow Data'!$B$1:$AH$15,33,FALSE))</f>
        <v/>
      </c>
      <c r="N167" s="376" t="str">
        <f t="shared" si="16"/>
        <v/>
      </c>
      <c r="O167" s="32"/>
      <c r="P167" s="122"/>
      <c r="Q167" s="165"/>
      <c r="R167" s="393" t="str">
        <f t="shared" si="17"/>
        <v/>
      </c>
      <c r="S167" s="393" t="str">
        <f t="shared" si="18"/>
        <v/>
      </c>
      <c r="T167" s="393" t="str">
        <f t="shared" si="19"/>
        <v/>
      </c>
      <c r="U167" s="415" t="str">
        <f t="shared" si="20"/>
        <v/>
      </c>
      <c r="V167" s="119"/>
      <c r="W167" s="120"/>
      <c r="X167" s="120"/>
      <c r="AE167" s="124" t="str">
        <f t="shared" si="14"/>
        <v/>
      </c>
      <c r="AF167" s="124" t="str">
        <f t="shared" si="15"/>
        <v/>
      </c>
      <c r="AH167" s="124">
        <v>158</v>
      </c>
      <c r="AJ167" s="124" t="str">
        <f t="array" ref="AJ167">IFERROR(INDEX($AH$10:$AH$258, MATCH(0, IF(TRUE=$AE$10:$AE$258, COUNTIF($AJ$9:$AJ166, $AH$10:$AH$258), ""), 0)),"")</f>
        <v/>
      </c>
      <c r="AK167" s="124" t="str">
        <f t="array" ref="AK167">IFERROR(INDEX($AH$10:$AH$258, MATCH(0, IF(TRUE=$AF$10:$AF$258, COUNTIF($AK$9:$AK166, $AH$10:$AH$258), ""), 0)),"")</f>
        <v/>
      </c>
      <c r="AL167" s="30" t="str">
        <f>IFERROR(INDEX('G-6 Hedgerow Data'!$BJ$3:$BJ$15,MATCH(D167,'G-6 Hedgerow Data'!$B$3:$B$15,0)),"")</f>
        <v/>
      </c>
    </row>
    <row r="168" spans="2:38">
      <c r="B168" s="110">
        <v>159</v>
      </c>
      <c r="C168" s="165"/>
      <c r="D168" s="165"/>
      <c r="E168" s="121"/>
      <c r="F168" s="411" t="str">
        <f>IF(D168="","",VLOOKUP(D168,'G-6 Hedgerow Data'!$B$2:$AG$15,2,FALSE))</f>
        <v/>
      </c>
      <c r="G168" s="363" t="str">
        <f>IF(D168="","",VLOOKUP(D168,'G-6 Hedgerow Data'!$B$2:$AG$15,3,FALSE))</f>
        <v/>
      </c>
      <c r="H168" s="114"/>
      <c r="I168" s="363" t="str">
        <f>IFERROR(VLOOKUP(H168,'G-1 All Habitats'!$Z$2:$AA$9,2,FALSE),"")</f>
        <v/>
      </c>
      <c r="J168" s="114"/>
      <c r="K168" s="370" t="str">
        <f>IF(J168="","",IF(VLOOKUP(J168,'G-3 Multipliers'!$L$3:$N$6,2,FALSE)=0,"Spatial Data Missing",VLOOKUP(J168,'G-3 Multipliers'!$L$3:$N$6,2,FALSE)))</f>
        <v/>
      </c>
      <c r="L168" s="368" t="str">
        <f>IF(J168="","",IF(VLOOKUP(J168,'G-3 Multipliers'!$L$3:$N$6,3,FALSE)=0,"Spatial Data Missing ⚠",VLOOKUP(J168,'G-3 Multipliers'!$L$3:$N$6,3,FALSE)))</f>
        <v/>
      </c>
      <c r="M168" s="369" t="str">
        <f>IF(D168="","",VLOOKUP(D168,'G-6 Hedgerow Data'!$B$1:$AH$15,33,FALSE))</f>
        <v/>
      </c>
      <c r="N168" s="376" t="str">
        <f t="shared" si="16"/>
        <v/>
      </c>
      <c r="O168" s="32"/>
      <c r="P168" s="122"/>
      <c r="Q168" s="165"/>
      <c r="R168" s="393" t="str">
        <f t="shared" si="17"/>
        <v/>
      </c>
      <c r="S168" s="393" t="str">
        <f t="shared" si="18"/>
        <v/>
      </c>
      <c r="T168" s="393" t="str">
        <f t="shared" si="19"/>
        <v/>
      </c>
      <c r="U168" s="415" t="str">
        <f t="shared" si="20"/>
        <v/>
      </c>
      <c r="V168" s="119"/>
      <c r="W168" s="120"/>
      <c r="X168" s="120"/>
      <c r="AE168" s="124" t="str">
        <f t="shared" si="14"/>
        <v/>
      </c>
      <c r="AF168" s="124" t="str">
        <f t="shared" si="15"/>
        <v/>
      </c>
      <c r="AH168" s="124">
        <v>159</v>
      </c>
      <c r="AJ168" s="124" t="str">
        <f t="array" ref="AJ168">IFERROR(INDEX($AH$10:$AH$258, MATCH(0, IF(TRUE=$AE$10:$AE$258, COUNTIF($AJ$9:$AJ167, $AH$10:$AH$258), ""), 0)),"")</f>
        <v/>
      </c>
      <c r="AK168" s="124" t="str">
        <f t="array" ref="AK168">IFERROR(INDEX($AH$10:$AH$258, MATCH(0, IF(TRUE=$AF$10:$AF$258, COUNTIF($AK$9:$AK167, $AH$10:$AH$258), ""), 0)),"")</f>
        <v/>
      </c>
      <c r="AL168" s="30" t="str">
        <f>IFERROR(INDEX('G-6 Hedgerow Data'!$BJ$3:$BJ$15,MATCH(D168,'G-6 Hedgerow Data'!$B$3:$B$15,0)),"")</f>
        <v/>
      </c>
    </row>
    <row r="169" spans="2:38">
      <c r="B169" s="110">
        <v>160</v>
      </c>
      <c r="C169" s="165"/>
      <c r="D169" s="165"/>
      <c r="E169" s="121"/>
      <c r="F169" s="411" t="str">
        <f>IF(D169="","",VLOOKUP(D169,'G-6 Hedgerow Data'!$B$2:$AG$15,2,FALSE))</f>
        <v/>
      </c>
      <c r="G169" s="363" t="str">
        <f>IF(D169="","",VLOOKUP(D169,'G-6 Hedgerow Data'!$B$2:$AG$15,3,FALSE))</f>
        <v/>
      </c>
      <c r="H169" s="114"/>
      <c r="I169" s="363" t="str">
        <f>IFERROR(VLOOKUP(H169,'G-1 All Habitats'!$Z$2:$AA$9,2,FALSE),"")</f>
        <v/>
      </c>
      <c r="J169" s="114"/>
      <c r="K169" s="370" t="str">
        <f>IF(J169="","",IF(VLOOKUP(J169,'G-3 Multipliers'!$L$3:$N$6,2,FALSE)=0,"Spatial Data Missing",VLOOKUP(J169,'G-3 Multipliers'!$L$3:$N$6,2,FALSE)))</f>
        <v/>
      </c>
      <c r="L169" s="368" t="str">
        <f>IF(J169="","",IF(VLOOKUP(J169,'G-3 Multipliers'!$L$3:$N$6,3,FALSE)=0,"Spatial Data Missing ⚠",VLOOKUP(J169,'G-3 Multipliers'!$L$3:$N$6,3,FALSE)))</f>
        <v/>
      </c>
      <c r="M169" s="369" t="str">
        <f>IF(D169="","",VLOOKUP(D169,'G-6 Hedgerow Data'!$B$1:$AH$15,33,FALSE))</f>
        <v/>
      </c>
      <c r="N169" s="376" t="str">
        <f t="shared" si="16"/>
        <v/>
      </c>
      <c r="O169" s="32"/>
      <c r="P169" s="122"/>
      <c r="Q169" s="165"/>
      <c r="R169" s="393" t="str">
        <f t="shared" si="17"/>
        <v/>
      </c>
      <c r="S169" s="393" t="str">
        <f t="shared" si="18"/>
        <v/>
      </c>
      <c r="T169" s="393" t="str">
        <f t="shared" si="19"/>
        <v/>
      </c>
      <c r="U169" s="415" t="str">
        <f t="shared" si="20"/>
        <v/>
      </c>
      <c r="V169" s="119"/>
      <c r="W169" s="120"/>
      <c r="X169" s="120"/>
      <c r="AE169" s="124" t="str">
        <f t="shared" si="14"/>
        <v/>
      </c>
      <c r="AF169" s="124" t="str">
        <f t="shared" si="15"/>
        <v/>
      </c>
      <c r="AH169" s="124">
        <v>160</v>
      </c>
      <c r="AJ169" s="124" t="str">
        <f t="array" ref="AJ169">IFERROR(INDEX($AH$10:$AH$258, MATCH(0, IF(TRUE=$AE$10:$AE$258, COUNTIF($AJ$9:$AJ168, $AH$10:$AH$258), ""), 0)),"")</f>
        <v/>
      </c>
      <c r="AK169" s="124" t="str">
        <f t="array" ref="AK169">IFERROR(INDEX($AH$10:$AH$258, MATCH(0, IF(TRUE=$AF$10:$AF$258, COUNTIF($AK$9:$AK168, $AH$10:$AH$258), ""), 0)),"")</f>
        <v/>
      </c>
      <c r="AL169" s="30" t="str">
        <f>IFERROR(INDEX('G-6 Hedgerow Data'!$BJ$3:$BJ$15,MATCH(D169,'G-6 Hedgerow Data'!$B$3:$B$15,0)),"")</f>
        <v/>
      </c>
    </row>
    <row r="170" spans="2:38">
      <c r="B170" s="110">
        <v>161</v>
      </c>
      <c r="C170" s="165"/>
      <c r="D170" s="165"/>
      <c r="E170" s="121"/>
      <c r="F170" s="411" t="str">
        <f>IF(D170="","",VLOOKUP(D170,'G-6 Hedgerow Data'!$B$2:$AG$15,2,FALSE))</f>
        <v/>
      </c>
      <c r="G170" s="363" t="str">
        <f>IF(D170="","",VLOOKUP(D170,'G-6 Hedgerow Data'!$B$2:$AG$15,3,FALSE))</f>
        <v/>
      </c>
      <c r="H170" s="114"/>
      <c r="I170" s="363" t="str">
        <f>IFERROR(VLOOKUP(H170,'G-1 All Habitats'!$Z$2:$AA$9,2,FALSE),"")</f>
        <v/>
      </c>
      <c r="J170" s="114"/>
      <c r="K170" s="370" t="str">
        <f>IF(J170="","",IF(VLOOKUP(J170,'G-3 Multipliers'!$L$3:$N$6,2,FALSE)=0,"Spatial Data Missing",VLOOKUP(J170,'G-3 Multipliers'!$L$3:$N$6,2,FALSE)))</f>
        <v/>
      </c>
      <c r="L170" s="368" t="str">
        <f>IF(J170="","",IF(VLOOKUP(J170,'G-3 Multipliers'!$L$3:$N$6,3,FALSE)=0,"Spatial Data Missing ⚠",VLOOKUP(J170,'G-3 Multipliers'!$L$3:$N$6,3,FALSE)))</f>
        <v/>
      </c>
      <c r="M170" s="369" t="str">
        <f>IF(D170="","",VLOOKUP(D170,'G-6 Hedgerow Data'!$B$1:$AH$15,33,FALSE))</f>
        <v/>
      </c>
      <c r="N170" s="376" t="str">
        <f t="shared" si="16"/>
        <v/>
      </c>
      <c r="O170" s="32"/>
      <c r="P170" s="122"/>
      <c r="Q170" s="165"/>
      <c r="R170" s="393" t="str">
        <f t="shared" si="17"/>
        <v/>
      </c>
      <c r="S170" s="393" t="str">
        <f t="shared" si="18"/>
        <v/>
      </c>
      <c r="T170" s="393" t="str">
        <f t="shared" si="19"/>
        <v/>
      </c>
      <c r="U170" s="415" t="str">
        <f t="shared" si="20"/>
        <v/>
      </c>
      <c r="V170" s="119"/>
      <c r="W170" s="120"/>
      <c r="X170" s="120"/>
      <c r="AE170" s="124" t="str">
        <f t="shared" si="14"/>
        <v/>
      </c>
      <c r="AF170" s="124" t="str">
        <f t="shared" si="15"/>
        <v/>
      </c>
      <c r="AH170" s="124">
        <v>161</v>
      </c>
      <c r="AJ170" s="124" t="str">
        <f t="array" ref="AJ170">IFERROR(INDEX($AH$10:$AH$258, MATCH(0, IF(TRUE=$AE$10:$AE$258, COUNTIF($AJ$9:$AJ169, $AH$10:$AH$258), ""), 0)),"")</f>
        <v/>
      </c>
      <c r="AK170" s="124" t="str">
        <f t="array" ref="AK170">IFERROR(INDEX($AH$10:$AH$258, MATCH(0, IF(TRUE=$AF$10:$AF$258, COUNTIF($AK$9:$AK169, $AH$10:$AH$258), ""), 0)),"")</f>
        <v/>
      </c>
      <c r="AL170" s="30" t="str">
        <f>IFERROR(INDEX('G-6 Hedgerow Data'!$BJ$3:$BJ$15,MATCH(D170,'G-6 Hedgerow Data'!$B$3:$B$15,0)),"")</f>
        <v/>
      </c>
    </row>
    <row r="171" spans="2:38">
      <c r="B171" s="110">
        <v>162</v>
      </c>
      <c r="C171" s="165"/>
      <c r="D171" s="165"/>
      <c r="E171" s="121"/>
      <c r="F171" s="411" t="str">
        <f>IF(D171="","",VLOOKUP(D171,'G-6 Hedgerow Data'!$B$2:$AG$15,2,FALSE))</f>
        <v/>
      </c>
      <c r="G171" s="363" t="str">
        <f>IF(D171="","",VLOOKUP(D171,'G-6 Hedgerow Data'!$B$2:$AG$15,3,FALSE))</f>
        <v/>
      </c>
      <c r="H171" s="114"/>
      <c r="I171" s="363" t="str">
        <f>IFERROR(VLOOKUP(H171,'G-1 All Habitats'!$Z$2:$AA$9,2,FALSE),"")</f>
        <v/>
      </c>
      <c r="J171" s="114"/>
      <c r="K171" s="370" t="str">
        <f>IF(J171="","",IF(VLOOKUP(J171,'G-3 Multipliers'!$L$3:$N$6,2,FALSE)=0,"Spatial Data Missing",VLOOKUP(J171,'G-3 Multipliers'!$L$3:$N$6,2,FALSE)))</f>
        <v/>
      </c>
      <c r="L171" s="368" t="str">
        <f>IF(J171="","",IF(VLOOKUP(J171,'G-3 Multipliers'!$L$3:$N$6,3,FALSE)=0,"Spatial Data Missing ⚠",VLOOKUP(J171,'G-3 Multipliers'!$L$3:$N$6,3,FALSE)))</f>
        <v/>
      </c>
      <c r="M171" s="369" t="str">
        <f>IF(D171="","",VLOOKUP(D171,'G-6 Hedgerow Data'!$B$1:$AH$15,33,FALSE))</f>
        <v/>
      </c>
      <c r="N171" s="376" t="str">
        <f t="shared" si="16"/>
        <v/>
      </c>
      <c r="O171" s="32"/>
      <c r="P171" s="122"/>
      <c r="Q171" s="165"/>
      <c r="R171" s="393" t="str">
        <f t="shared" si="17"/>
        <v/>
      </c>
      <c r="S171" s="393" t="str">
        <f t="shared" si="18"/>
        <v/>
      </c>
      <c r="T171" s="393" t="str">
        <f t="shared" si="19"/>
        <v/>
      </c>
      <c r="U171" s="415" t="str">
        <f t="shared" si="20"/>
        <v/>
      </c>
      <c r="V171" s="119"/>
      <c r="W171" s="120"/>
      <c r="X171" s="120"/>
      <c r="AE171" s="124" t="str">
        <f t="shared" si="14"/>
        <v/>
      </c>
      <c r="AF171" s="124" t="str">
        <f t="shared" si="15"/>
        <v/>
      </c>
      <c r="AH171" s="124">
        <v>162</v>
      </c>
      <c r="AJ171" s="124" t="str">
        <f t="array" ref="AJ171">IFERROR(INDEX($AH$10:$AH$258, MATCH(0, IF(TRUE=$AE$10:$AE$258, COUNTIF($AJ$9:$AJ170, $AH$10:$AH$258), ""), 0)),"")</f>
        <v/>
      </c>
      <c r="AK171" s="124" t="str">
        <f t="array" ref="AK171">IFERROR(INDEX($AH$10:$AH$258, MATCH(0, IF(TRUE=$AF$10:$AF$258, COUNTIF($AK$9:$AK170, $AH$10:$AH$258), ""), 0)),"")</f>
        <v/>
      </c>
      <c r="AL171" s="30" t="str">
        <f>IFERROR(INDEX('G-6 Hedgerow Data'!$BJ$3:$BJ$15,MATCH(D171,'G-6 Hedgerow Data'!$B$3:$B$15,0)),"")</f>
        <v/>
      </c>
    </row>
    <row r="172" spans="2:38">
      <c r="B172" s="110">
        <v>163</v>
      </c>
      <c r="C172" s="165"/>
      <c r="D172" s="165"/>
      <c r="E172" s="121"/>
      <c r="F172" s="411" t="str">
        <f>IF(D172="","",VLOOKUP(D172,'G-6 Hedgerow Data'!$B$2:$AG$15,2,FALSE))</f>
        <v/>
      </c>
      <c r="G172" s="363" t="str">
        <f>IF(D172="","",VLOOKUP(D172,'G-6 Hedgerow Data'!$B$2:$AG$15,3,FALSE))</f>
        <v/>
      </c>
      <c r="H172" s="114"/>
      <c r="I172" s="363" t="str">
        <f>IFERROR(VLOOKUP(H172,'G-1 All Habitats'!$Z$2:$AA$9,2,FALSE),"")</f>
        <v/>
      </c>
      <c r="J172" s="114"/>
      <c r="K172" s="370" t="str">
        <f>IF(J172="","",IF(VLOOKUP(J172,'G-3 Multipliers'!$L$3:$N$6,2,FALSE)=0,"Spatial Data Missing",VLOOKUP(J172,'G-3 Multipliers'!$L$3:$N$6,2,FALSE)))</f>
        <v/>
      </c>
      <c r="L172" s="368" t="str">
        <f>IF(J172="","",IF(VLOOKUP(J172,'G-3 Multipliers'!$L$3:$N$6,3,FALSE)=0,"Spatial Data Missing ⚠",VLOOKUP(J172,'G-3 Multipliers'!$L$3:$N$6,3,FALSE)))</f>
        <v/>
      </c>
      <c r="M172" s="369" t="str">
        <f>IF(D172="","",VLOOKUP(D172,'G-6 Hedgerow Data'!$B$1:$AH$15,33,FALSE))</f>
        <v/>
      </c>
      <c r="N172" s="376" t="str">
        <f t="shared" si="16"/>
        <v/>
      </c>
      <c r="O172" s="32"/>
      <c r="P172" s="122"/>
      <c r="Q172" s="165"/>
      <c r="R172" s="393" t="str">
        <f t="shared" si="17"/>
        <v/>
      </c>
      <c r="S172" s="393" t="str">
        <f t="shared" si="18"/>
        <v/>
      </c>
      <c r="T172" s="393" t="str">
        <f t="shared" si="19"/>
        <v/>
      </c>
      <c r="U172" s="415" t="str">
        <f t="shared" si="20"/>
        <v/>
      </c>
      <c r="V172" s="119"/>
      <c r="W172" s="120"/>
      <c r="X172" s="120"/>
      <c r="AE172" s="124" t="str">
        <f t="shared" si="14"/>
        <v/>
      </c>
      <c r="AF172" s="124" t="str">
        <f t="shared" si="15"/>
        <v/>
      </c>
      <c r="AH172" s="124">
        <v>163</v>
      </c>
      <c r="AJ172" s="124" t="str">
        <f t="array" ref="AJ172">IFERROR(INDEX($AH$10:$AH$258, MATCH(0, IF(TRUE=$AE$10:$AE$258, COUNTIF($AJ$9:$AJ171, $AH$10:$AH$258), ""), 0)),"")</f>
        <v/>
      </c>
      <c r="AK172" s="124" t="str">
        <f t="array" ref="AK172">IFERROR(INDEX($AH$10:$AH$258, MATCH(0, IF(TRUE=$AF$10:$AF$258, COUNTIF($AK$9:$AK171, $AH$10:$AH$258), ""), 0)),"")</f>
        <v/>
      </c>
      <c r="AL172" s="30" t="str">
        <f>IFERROR(INDEX('G-6 Hedgerow Data'!$BJ$3:$BJ$15,MATCH(D172,'G-6 Hedgerow Data'!$B$3:$B$15,0)),"")</f>
        <v/>
      </c>
    </row>
    <row r="173" spans="2:38">
      <c r="B173" s="110">
        <v>164</v>
      </c>
      <c r="C173" s="165"/>
      <c r="D173" s="165"/>
      <c r="E173" s="121"/>
      <c r="F173" s="411" t="str">
        <f>IF(D173="","",VLOOKUP(D173,'G-6 Hedgerow Data'!$B$2:$AG$15,2,FALSE))</f>
        <v/>
      </c>
      <c r="G173" s="363" t="str">
        <f>IF(D173="","",VLOOKUP(D173,'G-6 Hedgerow Data'!$B$2:$AG$15,3,FALSE))</f>
        <v/>
      </c>
      <c r="H173" s="114"/>
      <c r="I173" s="363" t="str">
        <f>IFERROR(VLOOKUP(H173,'G-1 All Habitats'!$Z$2:$AA$9,2,FALSE),"")</f>
        <v/>
      </c>
      <c r="J173" s="114"/>
      <c r="K173" s="370" t="str">
        <f>IF(J173="","",IF(VLOOKUP(J173,'G-3 Multipliers'!$L$3:$N$6,2,FALSE)=0,"Spatial Data Missing",VLOOKUP(J173,'G-3 Multipliers'!$L$3:$N$6,2,FALSE)))</f>
        <v/>
      </c>
      <c r="L173" s="368" t="str">
        <f>IF(J173="","",IF(VLOOKUP(J173,'G-3 Multipliers'!$L$3:$N$6,3,FALSE)=0,"Spatial Data Missing ⚠",VLOOKUP(J173,'G-3 Multipliers'!$L$3:$N$6,3,FALSE)))</f>
        <v/>
      </c>
      <c r="M173" s="369" t="str">
        <f>IF(D173="","",VLOOKUP(D173,'G-6 Hedgerow Data'!$B$1:$AH$15,33,FALSE))</f>
        <v/>
      </c>
      <c r="N173" s="376" t="str">
        <f t="shared" si="16"/>
        <v/>
      </c>
      <c r="O173" s="32"/>
      <c r="P173" s="122"/>
      <c r="Q173" s="165"/>
      <c r="R173" s="393" t="str">
        <f t="shared" si="17"/>
        <v/>
      </c>
      <c r="S173" s="393" t="str">
        <f t="shared" si="18"/>
        <v/>
      </c>
      <c r="T173" s="393" t="str">
        <f t="shared" si="19"/>
        <v/>
      </c>
      <c r="U173" s="415" t="str">
        <f t="shared" si="20"/>
        <v/>
      </c>
      <c r="V173" s="119"/>
      <c r="W173" s="120"/>
      <c r="X173" s="120"/>
      <c r="AE173" s="124" t="str">
        <f t="shared" si="14"/>
        <v/>
      </c>
      <c r="AF173" s="124" t="str">
        <f t="shared" si="15"/>
        <v/>
      </c>
      <c r="AH173" s="124">
        <v>164</v>
      </c>
      <c r="AJ173" s="124" t="str">
        <f t="array" ref="AJ173">IFERROR(INDEX($AH$10:$AH$258, MATCH(0, IF(TRUE=$AE$10:$AE$258, COUNTIF($AJ$9:$AJ172, $AH$10:$AH$258), ""), 0)),"")</f>
        <v/>
      </c>
      <c r="AK173" s="124" t="str">
        <f t="array" ref="AK173">IFERROR(INDEX($AH$10:$AH$258, MATCH(0, IF(TRUE=$AF$10:$AF$258, COUNTIF($AK$9:$AK172, $AH$10:$AH$258), ""), 0)),"")</f>
        <v/>
      </c>
      <c r="AL173" s="30" t="str">
        <f>IFERROR(INDEX('G-6 Hedgerow Data'!$BJ$3:$BJ$15,MATCH(D173,'G-6 Hedgerow Data'!$B$3:$B$15,0)),"")</f>
        <v/>
      </c>
    </row>
    <row r="174" spans="2:38">
      <c r="B174" s="110">
        <v>165</v>
      </c>
      <c r="C174" s="165"/>
      <c r="D174" s="165"/>
      <c r="E174" s="121"/>
      <c r="F174" s="411" t="str">
        <f>IF(D174="","",VLOOKUP(D174,'G-6 Hedgerow Data'!$B$2:$AG$15,2,FALSE))</f>
        <v/>
      </c>
      <c r="G174" s="363" t="str">
        <f>IF(D174="","",VLOOKUP(D174,'G-6 Hedgerow Data'!$B$2:$AG$15,3,FALSE))</f>
        <v/>
      </c>
      <c r="H174" s="114"/>
      <c r="I174" s="363" t="str">
        <f>IFERROR(VLOOKUP(H174,'G-1 All Habitats'!$Z$2:$AA$9,2,FALSE),"")</f>
        <v/>
      </c>
      <c r="J174" s="114"/>
      <c r="K174" s="370" t="str">
        <f>IF(J174="","",IF(VLOOKUP(J174,'G-3 Multipliers'!$L$3:$N$6,2,FALSE)=0,"Spatial Data Missing",VLOOKUP(J174,'G-3 Multipliers'!$L$3:$N$6,2,FALSE)))</f>
        <v/>
      </c>
      <c r="L174" s="368" t="str">
        <f>IF(J174="","",IF(VLOOKUP(J174,'G-3 Multipliers'!$L$3:$N$6,3,FALSE)=0,"Spatial Data Missing ⚠",VLOOKUP(J174,'G-3 Multipliers'!$L$3:$N$6,3,FALSE)))</f>
        <v/>
      </c>
      <c r="M174" s="369" t="str">
        <f>IF(D174="","",VLOOKUP(D174,'G-6 Hedgerow Data'!$B$1:$AH$15,33,FALSE))</f>
        <v/>
      </c>
      <c r="N174" s="376" t="str">
        <f t="shared" si="16"/>
        <v/>
      </c>
      <c r="O174" s="32"/>
      <c r="P174" s="122"/>
      <c r="Q174" s="165"/>
      <c r="R174" s="393" t="str">
        <f t="shared" si="17"/>
        <v/>
      </c>
      <c r="S174" s="393" t="str">
        <f t="shared" si="18"/>
        <v/>
      </c>
      <c r="T174" s="393" t="str">
        <f t="shared" si="19"/>
        <v/>
      </c>
      <c r="U174" s="415" t="str">
        <f t="shared" si="20"/>
        <v/>
      </c>
      <c r="V174" s="119"/>
      <c r="W174" s="120"/>
      <c r="X174" s="120"/>
      <c r="AE174" s="124" t="str">
        <f t="shared" si="14"/>
        <v/>
      </c>
      <c r="AF174" s="124" t="str">
        <f t="shared" si="15"/>
        <v/>
      </c>
      <c r="AH174" s="124">
        <v>165</v>
      </c>
      <c r="AJ174" s="124" t="str">
        <f t="array" ref="AJ174">IFERROR(INDEX($AH$10:$AH$258, MATCH(0, IF(TRUE=$AE$10:$AE$258, COUNTIF($AJ$9:$AJ173, $AH$10:$AH$258), ""), 0)),"")</f>
        <v/>
      </c>
      <c r="AK174" s="124" t="str">
        <f t="array" ref="AK174">IFERROR(INDEX($AH$10:$AH$258, MATCH(0, IF(TRUE=$AF$10:$AF$258, COUNTIF($AK$9:$AK173, $AH$10:$AH$258), ""), 0)),"")</f>
        <v/>
      </c>
      <c r="AL174" s="30" t="str">
        <f>IFERROR(INDEX('G-6 Hedgerow Data'!$BJ$3:$BJ$15,MATCH(D174,'G-6 Hedgerow Data'!$B$3:$B$15,0)),"")</f>
        <v/>
      </c>
    </row>
    <row r="175" spans="2:38">
      <c r="B175" s="110">
        <v>166</v>
      </c>
      <c r="C175" s="165"/>
      <c r="D175" s="165"/>
      <c r="E175" s="121"/>
      <c r="F175" s="411" t="str">
        <f>IF(D175="","",VLOOKUP(D175,'G-6 Hedgerow Data'!$B$2:$AG$15,2,FALSE))</f>
        <v/>
      </c>
      <c r="G175" s="363" t="str">
        <f>IF(D175="","",VLOOKUP(D175,'G-6 Hedgerow Data'!$B$2:$AG$15,3,FALSE))</f>
        <v/>
      </c>
      <c r="H175" s="114"/>
      <c r="I175" s="363" t="str">
        <f>IFERROR(VLOOKUP(H175,'G-1 All Habitats'!$Z$2:$AA$9,2,FALSE),"")</f>
        <v/>
      </c>
      <c r="J175" s="114"/>
      <c r="K175" s="370" t="str">
        <f>IF(J175="","",IF(VLOOKUP(J175,'G-3 Multipliers'!$L$3:$N$6,2,FALSE)=0,"Spatial Data Missing",VLOOKUP(J175,'G-3 Multipliers'!$L$3:$N$6,2,FALSE)))</f>
        <v/>
      </c>
      <c r="L175" s="368" t="str">
        <f>IF(J175="","",IF(VLOOKUP(J175,'G-3 Multipliers'!$L$3:$N$6,3,FALSE)=0,"Spatial Data Missing ⚠",VLOOKUP(J175,'G-3 Multipliers'!$L$3:$N$6,3,FALSE)))</f>
        <v/>
      </c>
      <c r="M175" s="369" t="str">
        <f>IF(D175="","",VLOOKUP(D175,'G-6 Hedgerow Data'!$B$1:$AH$15,33,FALSE))</f>
        <v/>
      </c>
      <c r="N175" s="376" t="str">
        <f t="shared" si="16"/>
        <v/>
      </c>
      <c r="O175" s="32"/>
      <c r="P175" s="122"/>
      <c r="Q175" s="165"/>
      <c r="R175" s="393" t="str">
        <f t="shared" si="17"/>
        <v/>
      </c>
      <c r="S175" s="393" t="str">
        <f t="shared" si="18"/>
        <v/>
      </c>
      <c r="T175" s="393" t="str">
        <f t="shared" si="19"/>
        <v/>
      </c>
      <c r="U175" s="415" t="str">
        <f t="shared" si="20"/>
        <v/>
      </c>
      <c r="V175" s="119"/>
      <c r="W175" s="120"/>
      <c r="X175" s="120"/>
      <c r="AE175" s="124" t="str">
        <f t="shared" si="14"/>
        <v/>
      </c>
      <c r="AF175" s="124" t="str">
        <f t="shared" si="15"/>
        <v/>
      </c>
      <c r="AH175" s="124">
        <v>166</v>
      </c>
      <c r="AJ175" s="124" t="str">
        <f t="array" ref="AJ175">IFERROR(INDEX($AH$10:$AH$258, MATCH(0, IF(TRUE=$AE$10:$AE$258, COUNTIF($AJ$9:$AJ174, $AH$10:$AH$258), ""), 0)),"")</f>
        <v/>
      </c>
      <c r="AK175" s="124" t="str">
        <f t="array" ref="AK175">IFERROR(INDEX($AH$10:$AH$258, MATCH(0, IF(TRUE=$AF$10:$AF$258, COUNTIF($AK$9:$AK174, $AH$10:$AH$258), ""), 0)),"")</f>
        <v/>
      </c>
      <c r="AL175" s="30" t="str">
        <f>IFERROR(INDEX('G-6 Hedgerow Data'!$BJ$3:$BJ$15,MATCH(D175,'G-6 Hedgerow Data'!$B$3:$B$15,0)),"")</f>
        <v/>
      </c>
    </row>
    <row r="176" spans="2:38">
      <c r="B176" s="110">
        <v>167</v>
      </c>
      <c r="C176" s="165"/>
      <c r="D176" s="165"/>
      <c r="E176" s="121"/>
      <c r="F176" s="411" t="str">
        <f>IF(D176="","",VLOOKUP(D176,'G-6 Hedgerow Data'!$B$2:$AG$15,2,FALSE))</f>
        <v/>
      </c>
      <c r="G176" s="363" t="str">
        <f>IF(D176="","",VLOOKUP(D176,'G-6 Hedgerow Data'!$B$2:$AG$15,3,FALSE))</f>
        <v/>
      </c>
      <c r="H176" s="114"/>
      <c r="I176" s="363" t="str">
        <f>IFERROR(VLOOKUP(H176,'G-1 All Habitats'!$Z$2:$AA$9,2,FALSE),"")</f>
        <v/>
      </c>
      <c r="J176" s="114"/>
      <c r="K176" s="370" t="str">
        <f>IF(J176="","",IF(VLOOKUP(J176,'G-3 Multipliers'!$L$3:$N$6,2,FALSE)=0,"Spatial Data Missing",VLOOKUP(J176,'G-3 Multipliers'!$L$3:$N$6,2,FALSE)))</f>
        <v/>
      </c>
      <c r="L176" s="368" t="str">
        <f>IF(J176="","",IF(VLOOKUP(J176,'G-3 Multipliers'!$L$3:$N$6,3,FALSE)=0,"Spatial Data Missing ⚠",VLOOKUP(J176,'G-3 Multipliers'!$L$3:$N$6,3,FALSE)))</f>
        <v/>
      </c>
      <c r="M176" s="369" t="str">
        <f>IF(D176="","",VLOOKUP(D176,'G-6 Hedgerow Data'!$B$1:$AH$15,33,FALSE))</f>
        <v/>
      </c>
      <c r="N176" s="376" t="str">
        <f t="shared" si="16"/>
        <v/>
      </c>
      <c r="O176" s="32"/>
      <c r="P176" s="122"/>
      <c r="Q176" s="165"/>
      <c r="R176" s="393" t="str">
        <f t="shared" si="17"/>
        <v/>
      </c>
      <c r="S176" s="393" t="str">
        <f t="shared" si="18"/>
        <v/>
      </c>
      <c r="T176" s="393" t="str">
        <f t="shared" si="19"/>
        <v/>
      </c>
      <c r="U176" s="415" t="str">
        <f t="shared" si="20"/>
        <v/>
      </c>
      <c r="V176" s="119"/>
      <c r="W176" s="120"/>
      <c r="X176" s="120"/>
      <c r="AE176" s="124" t="str">
        <f t="shared" si="14"/>
        <v/>
      </c>
      <c r="AF176" s="124" t="str">
        <f t="shared" si="15"/>
        <v/>
      </c>
      <c r="AH176" s="124">
        <v>167</v>
      </c>
      <c r="AJ176" s="124" t="str">
        <f t="array" ref="AJ176">IFERROR(INDEX($AH$10:$AH$258, MATCH(0, IF(TRUE=$AE$10:$AE$258, COUNTIF($AJ$9:$AJ175, $AH$10:$AH$258), ""), 0)),"")</f>
        <v/>
      </c>
      <c r="AK176" s="124" t="str">
        <f t="array" ref="AK176">IFERROR(INDEX($AH$10:$AH$258, MATCH(0, IF(TRUE=$AF$10:$AF$258, COUNTIF($AK$9:$AK175, $AH$10:$AH$258), ""), 0)),"")</f>
        <v/>
      </c>
      <c r="AL176" s="30" t="str">
        <f>IFERROR(INDEX('G-6 Hedgerow Data'!$BJ$3:$BJ$15,MATCH(D176,'G-6 Hedgerow Data'!$B$3:$B$15,0)),"")</f>
        <v/>
      </c>
    </row>
    <row r="177" spans="2:38">
      <c r="B177" s="110">
        <v>168</v>
      </c>
      <c r="C177" s="165"/>
      <c r="D177" s="165"/>
      <c r="E177" s="121"/>
      <c r="F177" s="411" t="str">
        <f>IF(D177="","",VLOOKUP(D177,'G-6 Hedgerow Data'!$B$2:$AG$15,2,FALSE))</f>
        <v/>
      </c>
      <c r="G177" s="363" t="str">
        <f>IF(D177="","",VLOOKUP(D177,'G-6 Hedgerow Data'!$B$2:$AG$15,3,FALSE))</f>
        <v/>
      </c>
      <c r="H177" s="114"/>
      <c r="I177" s="363" t="str">
        <f>IFERROR(VLOOKUP(H177,'G-1 All Habitats'!$Z$2:$AA$9,2,FALSE),"")</f>
        <v/>
      </c>
      <c r="J177" s="114"/>
      <c r="K177" s="370" t="str">
        <f>IF(J177="","",IF(VLOOKUP(J177,'G-3 Multipliers'!$L$3:$N$6,2,FALSE)=0,"Spatial Data Missing",VLOOKUP(J177,'G-3 Multipliers'!$L$3:$N$6,2,FALSE)))</f>
        <v/>
      </c>
      <c r="L177" s="368" t="str">
        <f>IF(J177="","",IF(VLOOKUP(J177,'G-3 Multipliers'!$L$3:$N$6,3,FALSE)=0,"Spatial Data Missing ⚠",VLOOKUP(J177,'G-3 Multipliers'!$L$3:$N$6,3,FALSE)))</f>
        <v/>
      </c>
      <c r="M177" s="369" t="str">
        <f>IF(D177="","",VLOOKUP(D177,'G-6 Hedgerow Data'!$B$1:$AH$15,33,FALSE))</f>
        <v/>
      </c>
      <c r="N177" s="376" t="str">
        <f t="shared" si="16"/>
        <v/>
      </c>
      <c r="O177" s="32"/>
      <c r="P177" s="122"/>
      <c r="Q177" s="165"/>
      <c r="R177" s="393" t="str">
        <f t="shared" si="17"/>
        <v/>
      </c>
      <c r="S177" s="393" t="str">
        <f t="shared" si="18"/>
        <v/>
      </c>
      <c r="T177" s="393" t="str">
        <f t="shared" si="19"/>
        <v/>
      </c>
      <c r="U177" s="415" t="str">
        <f t="shared" si="20"/>
        <v/>
      </c>
      <c r="V177" s="119"/>
      <c r="W177" s="120"/>
      <c r="X177" s="120"/>
      <c r="AE177" s="124" t="str">
        <f t="shared" si="14"/>
        <v/>
      </c>
      <c r="AF177" s="124" t="str">
        <f t="shared" si="15"/>
        <v/>
      </c>
      <c r="AH177" s="124">
        <v>168</v>
      </c>
      <c r="AJ177" s="124" t="str">
        <f t="array" ref="AJ177">IFERROR(INDEX($AH$10:$AH$258, MATCH(0, IF(TRUE=$AE$10:$AE$258, COUNTIF($AJ$9:$AJ176, $AH$10:$AH$258), ""), 0)),"")</f>
        <v/>
      </c>
      <c r="AK177" s="124" t="str">
        <f t="array" ref="AK177">IFERROR(INDEX($AH$10:$AH$258, MATCH(0, IF(TRUE=$AF$10:$AF$258, COUNTIF($AK$9:$AK176, $AH$10:$AH$258), ""), 0)),"")</f>
        <v/>
      </c>
      <c r="AL177" s="30" t="str">
        <f>IFERROR(INDEX('G-6 Hedgerow Data'!$BJ$3:$BJ$15,MATCH(D177,'G-6 Hedgerow Data'!$B$3:$B$15,0)),"")</f>
        <v/>
      </c>
    </row>
    <row r="178" spans="2:38">
      <c r="B178" s="110">
        <v>169</v>
      </c>
      <c r="C178" s="165"/>
      <c r="D178" s="165"/>
      <c r="E178" s="121"/>
      <c r="F178" s="411" t="str">
        <f>IF(D178="","",VLOOKUP(D178,'G-6 Hedgerow Data'!$B$2:$AG$15,2,FALSE))</f>
        <v/>
      </c>
      <c r="G178" s="363" t="str">
        <f>IF(D178="","",VLOOKUP(D178,'G-6 Hedgerow Data'!$B$2:$AG$15,3,FALSE))</f>
        <v/>
      </c>
      <c r="H178" s="114"/>
      <c r="I178" s="363" t="str">
        <f>IFERROR(VLOOKUP(H178,'G-1 All Habitats'!$Z$2:$AA$9,2,FALSE),"")</f>
        <v/>
      </c>
      <c r="J178" s="114"/>
      <c r="K178" s="370" t="str">
        <f>IF(J178="","",IF(VLOOKUP(J178,'G-3 Multipliers'!$L$3:$N$6,2,FALSE)=0,"Spatial Data Missing",VLOOKUP(J178,'G-3 Multipliers'!$L$3:$N$6,2,FALSE)))</f>
        <v/>
      </c>
      <c r="L178" s="368" t="str">
        <f>IF(J178="","",IF(VLOOKUP(J178,'G-3 Multipliers'!$L$3:$N$6,3,FALSE)=0,"Spatial Data Missing ⚠",VLOOKUP(J178,'G-3 Multipliers'!$L$3:$N$6,3,FALSE)))</f>
        <v/>
      </c>
      <c r="M178" s="369" t="str">
        <f>IF(D178="","",VLOOKUP(D178,'G-6 Hedgerow Data'!$B$1:$AH$15,33,FALSE))</f>
        <v/>
      </c>
      <c r="N178" s="376" t="str">
        <f t="shared" si="16"/>
        <v/>
      </c>
      <c r="O178" s="32"/>
      <c r="P178" s="122"/>
      <c r="Q178" s="165"/>
      <c r="R178" s="393" t="str">
        <f t="shared" si="17"/>
        <v/>
      </c>
      <c r="S178" s="393" t="str">
        <f t="shared" si="18"/>
        <v/>
      </c>
      <c r="T178" s="393" t="str">
        <f t="shared" si="19"/>
        <v/>
      </c>
      <c r="U178" s="415" t="str">
        <f t="shared" si="20"/>
        <v/>
      </c>
      <c r="V178" s="119"/>
      <c r="W178" s="120"/>
      <c r="X178" s="120"/>
      <c r="AE178" s="124" t="str">
        <f t="shared" si="14"/>
        <v/>
      </c>
      <c r="AF178" s="124" t="str">
        <f t="shared" si="15"/>
        <v/>
      </c>
      <c r="AH178" s="124">
        <v>169</v>
      </c>
      <c r="AJ178" s="124" t="str">
        <f t="array" ref="AJ178">IFERROR(INDEX($AH$10:$AH$258, MATCH(0, IF(TRUE=$AE$10:$AE$258, COUNTIF($AJ$9:$AJ177, $AH$10:$AH$258), ""), 0)),"")</f>
        <v/>
      </c>
      <c r="AK178" s="124" t="str">
        <f t="array" ref="AK178">IFERROR(INDEX($AH$10:$AH$258, MATCH(0, IF(TRUE=$AF$10:$AF$258, COUNTIF($AK$9:$AK177, $AH$10:$AH$258), ""), 0)),"")</f>
        <v/>
      </c>
      <c r="AL178" s="30" t="str">
        <f>IFERROR(INDEX('G-6 Hedgerow Data'!$BJ$3:$BJ$15,MATCH(D178,'G-6 Hedgerow Data'!$B$3:$B$15,0)),"")</f>
        <v/>
      </c>
    </row>
    <row r="179" spans="2:38">
      <c r="B179" s="110">
        <v>170</v>
      </c>
      <c r="C179" s="165"/>
      <c r="D179" s="165"/>
      <c r="E179" s="121"/>
      <c r="F179" s="411" t="str">
        <f>IF(D179="","",VLOOKUP(D179,'G-6 Hedgerow Data'!$B$2:$AG$15,2,FALSE))</f>
        <v/>
      </c>
      <c r="G179" s="363" t="str">
        <f>IF(D179="","",VLOOKUP(D179,'G-6 Hedgerow Data'!$B$2:$AG$15,3,FALSE))</f>
        <v/>
      </c>
      <c r="H179" s="114"/>
      <c r="I179" s="363" t="str">
        <f>IFERROR(VLOOKUP(H179,'G-1 All Habitats'!$Z$2:$AA$9,2,FALSE),"")</f>
        <v/>
      </c>
      <c r="J179" s="114"/>
      <c r="K179" s="370" t="str">
        <f>IF(J179="","",IF(VLOOKUP(J179,'G-3 Multipliers'!$L$3:$N$6,2,FALSE)=0,"Spatial Data Missing",VLOOKUP(J179,'G-3 Multipliers'!$L$3:$N$6,2,FALSE)))</f>
        <v/>
      </c>
      <c r="L179" s="368" t="str">
        <f>IF(J179="","",IF(VLOOKUP(J179,'G-3 Multipliers'!$L$3:$N$6,3,FALSE)=0,"Spatial Data Missing ⚠",VLOOKUP(J179,'G-3 Multipliers'!$L$3:$N$6,3,FALSE)))</f>
        <v/>
      </c>
      <c r="M179" s="369" t="str">
        <f>IF(D179="","",VLOOKUP(D179,'G-6 Hedgerow Data'!$B$1:$AH$15,33,FALSE))</f>
        <v/>
      </c>
      <c r="N179" s="376" t="str">
        <f t="shared" si="16"/>
        <v/>
      </c>
      <c r="O179" s="32"/>
      <c r="P179" s="122"/>
      <c r="Q179" s="165"/>
      <c r="R179" s="393" t="str">
        <f t="shared" si="17"/>
        <v/>
      </c>
      <c r="S179" s="393" t="str">
        <f t="shared" si="18"/>
        <v/>
      </c>
      <c r="T179" s="393" t="str">
        <f t="shared" si="19"/>
        <v/>
      </c>
      <c r="U179" s="415" t="str">
        <f t="shared" si="20"/>
        <v/>
      </c>
      <c r="V179" s="119"/>
      <c r="W179" s="120"/>
      <c r="X179" s="120"/>
      <c r="AE179" s="124" t="str">
        <f t="shared" si="14"/>
        <v/>
      </c>
      <c r="AF179" s="124" t="str">
        <f t="shared" si="15"/>
        <v/>
      </c>
      <c r="AH179" s="124">
        <v>170</v>
      </c>
      <c r="AJ179" s="124" t="str">
        <f t="array" ref="AJ179">IFERROR(INDEX($AH$10:$AH$258, MATCH(0, IF(TRUE=$AE$10:$AE$258, COUNTIF($AJ$9:$AJ178, $AH$10:$AH$258), ""), 0)),"")</f>
        <v/>
      </c>
      <c r="AK179" s="124" t="str">
        <f t="array" ref="AK179">IFERROR(INDEX($AH$10:$AH$258, MATCH(0, IF(TRUE=$AF$10:$AF$258, COUNTIF($AK$9:$AK178, $AH$10:$AH$258), ""), 0)),"")</f>
        <v/>
      </c>
      <c r="AL179" s="30" t="str">
        <f>IFERROR(INDEX('G-6 Hedgerow Data'!$BJ$3:$BJ$15,MATCH(D179,'G-6 Hedgerow Data'!$B$3:$B$15,0)),"")</f>
        <v/>
      </c>
    </row>
    <row r="180" spans="2:38">
      <c r="B180" s="110">
        <v>171</v>
      </c>
      <c r="C180" s="165"/>
      <c r="D180" s="165"/>
      <c r="E180" s="121"/>
      <c r="F180" s="411" t="str">
        <f>IF(D180="","",VLOOKUP(D180,'G-6 Hedgerow Data'!$B$2:$AG$15,2,FALSE))</f>
        <v/>
      </c>
      <c r="G180" s="363" t="str">
        <f>IF(D180="","",VLOOKUP(D180,'G-6 Hedgerow Data'!$B$2:$AG$15,3,FALSE))</f>
        <v/>
      </c>
      <c r="H180" s="114"/>
      <c r="I180" s="363" t="str">
        <f>IFERROR(VLOOKUP(H180,'G-1 All Habitats'!$Z$2:$AA$9,2,FALSE),"")</f>
        <v/>
      </c>
      <c r="J180" s="114"/>
      <c r="K180" s="370" t="str">
        <f>IF(J180="","",IF(VLOOKUP(J180,'G-3 Multipliers'!$L$3:$N$6,2,FALSE)=0,"Spatial Data Missing",VLOOKUP(J180,'G-3 Multipliers'!$L$3:$N$6,2,FALSE)))</f>
        <v/>
      </c>
      <c r="L180" s="368" t="str">
        <f>IF(J180="","",IF(VLOOKUP(J180,'G-3 Multipliers'!$L$3:$N$6,3,FALSE)=0,"Spatial Data Missing ⚠",VLOOKUP(J180,'G-3 Multipliers'!$L$3:$N$6,3,FALSE)))</f>
        <v/>
      </c>
      <c r="M180" s="369" t="str">
        <f>IF(D180="","",VLOOKUP(D180,'G-6 Hedgerow Data'!$B$1:$AH$15,33,FALSE))</f>
        <v/>
      </c>
      <c r="N180" s="376" t="str">
        <f t="shared" si="16"/>
        <v/>
      </c>
      <c r="O180" s="32"/>
      <c r="P180" s="122"/>
      <c r="Q180" s="165"/>
      <c r="R180" s="393" t="str">
        <f t="shared" si="17"/>
        <v/>
      </c>
      <c r="S180" s="393" t="str">
        <f t="shared" si="18"/>
        <v/>
      </c>
      <c r="T180" s="393" t="str">
        <f t="shared" si="19"/>
        <v/>
      </c>
      <c r="U180" s="415" t="str">
        <f t="shared" si="20"/>
        <v/>
      </c>
      <c r="V180" s="119"/>
      <c r="W180" s="120"/>
      <c r="X180" s="120"/>
      <c r="AE180" s="124" t="str">
        <f t="shared" si="14"/>
        <v/>
      </c>
      <c r="AF180" s="124" t="str">
        <f t="shared" si="15"/>
        <v/>
      </c>
      <c r="AH180" s="124">
        <v>171</v>
      </c>
      <c r="AJ180" s="124" t="str">
        <f t="array" ref="AJ180">IFERROR(INDEX($AH$10:$AH$258, MATCH(0, IF(TRUE=$AE$10:$AE$258, COUNTIF($AJ$9:$AJ179, $AH$10:$AH$258), ""), 0)),"")</f>
        <v/>
      </c>
      <c r="AK180" s="124" t="str">
        <f t="array" ref="AK180">IFERROR(INDEX($AH$10:$AH$258, MATCH(0, IF(TRUE=$AF$10:$AF$258, COUNTIF($AK$9:$AK179, $AH$10:$AH$258), ""), 0)),"")</f>
        <v/>
      </c>
      <c r="AL180" s="30" t="str">
        <f>IFERROR(INDEX('G-6 Hedgerow Data'!$BJ$3:$BJ$15,MATCH(D180,'G-6 Hedgerow Data'!$B$3:$B$15,0)),"")</f>
        <v/>
      </c>
    </row>
    <row r="181" spans="2:38">
      <c r="B181" s="110">
        <v>172</v>
      </c>
      <c r="C181" s="165"/>
      <c r="D181" s="165"/>
      <c r="E181" s="121"/>
      <c r="F181" s="411" t="str">
        <f>IF(D181="","",VLOOKUP(D181,'G-6 Hedgerow Data'!$B$2:$AG$15,2,FALSE))</f>
        <v/>
      </c>
      <c r="G181" s="363" t="str">
        <f>IF(D181="","",VLOOKUP(D181,'G-6 Hedgerow Data'!$B$2:$AG$15,3,FALSE))</f>
        <v/>
      </c>
      <c r="H181" s="114"/>
      <c r="I181" s="363" t="str">
        <f>IFERROR(VLOOKUP(H181,'G-1 All Habitats'!$Z$2:$AA$9,2,FALSE),"")</f>
        <v/>
      </c>
      <c r="J181" s="114"/>
      <c r="K181" s="370" t="str">
        <f>IF(J181="","",IF(VLOOKUP(J181,'G-3 Multipliers'!$L$3:$N$6,2,FALSE)=0,"Spatial Data Missing",VLOOKUP(J181,'G-3 Multipliers'!$L$3:$N$6,2,FALSE)))</f>
        <v/>
      </c>
      <c r="L181" s="368" t="str">
        <f>IF(J181="","",IF(VLOOKUP(J181,'G-3 Multipliers'!$L$3:$N$6,3,FALSE)=0,"Spatial Data Missing ⚠",VLOOKUP(J181,'G-3 Multipliers'!$L$3:$N$6,3,FALSE)))</f>
        <v/>
      </c>
      <c r="M181" s="369" t="str">
        <f>IF(D181="","",VLOOKUP(D181,'G-6 Hedgerow Data'!$B$1:$AH$15,33,FALSE))</f>
        <v/>
      </c>
      <c r="N181" s="376" t="str">
        <f t="shared" si="16"/>
        <v/>
      </c>
      <c r="O181" s="32"/>
      <c r="P181" s="122"/>
      <c r="Q181" s="165"/>
      <c r="R181" s="393" t="str">
        <f t="shared" si="17"/>
        <v/>
      </c>
      <c r="S181" s="393" t="str">
        <f t="shared" si="18"/>
        <v/>
      </c>
      <c r="T181" s="393" t="str">
        <f t="shared" si="19"/>
        <v/>
      </c>
      <c r="U181" s="415" t="str">
        <f t="shared" si="20"/>
        <v/>
      </c>
      <c r="V181" s="119"/>
      <c r="W181" s="120"/>
      <c r="X181" s="120"/>
      <c r="AE181" s="124" t="str">
        <f t="shared" si="14"/>
        <v/>
      </c>
      <c r="AF181" s="124" t="str">
        <f t="shared" si="15"/>
        <v/>
      </c>
      <c r="AH181" s="124">
        <v>172</v>
      </c>
      <c r="AJ181" s="124" t="str">
        <f t="array" ref="AJ181">IFERROR(INDEX($AH$10:$AH$258, MATCH(0, IF(TRUE=$AE$10:$AE$258, COUNTIF($AJ$9:$AJ180, $AH$10:$AH$258), ""), 0)),"")</f>
        <v/>
      </c>
      <c r="AK181" s="124" t="str">
        <f t="array" ref="AK181">IFERROR(INDEX($AH$10:$AH$258, MATCH(0, IF(TRUE=$AF$10:$AF$258, COUNTIF($AK$9:$AK180, $AH$10:$AH$258), ""), 0)),"")</f>
        <v/>
      </c>
      <c r="AL181" s="30" t="str">
        <f>IFERROR(INDEX('G-6 Hedgerow Data'!$BJ$3:$BJ$15,MATCH(D181,'G-6 Hedgerow Data'!$B$3:$B$15,0)),"")</f>
        <v/>
      </c>
    </row>
    <row r="182" spans="2:38">
      <c r="B182" s="110">
        <v>173</v>
      </c>
      <c r="C182" s="165"/>
      <c r="D182" s="165"/>
      <c r="E182" s="121"/>
      <c r="F182" s="411" t="str">
        <f>IF(D182="","",VLOOKUP(D182,'G-6 Hedgerow Data'!$B$2:$AG$15,2,FALSE))</f>
        <v/>
      </c>
      <c r="G182" s="363" t="str">
        <f>IF(D182="","",VLOOKUP(D182,'G-6 Hedgerow Data'!$B$2:$AG$15,3,FALSE))</f>
        <v/>
      </c>
      <c r="H182" s="114"/>
      <c r="I182" s="363" t="str">
        <f>IFERROR(VLOOKUP(H182,'G-1 All Habitats'!$Z$2:$AA$9,2,FALSE),"")</f>
        <v/>
      </c>
      <c r="J182" s="114"/>
      <c r="K182" s="370" t="str">
        <f>IF(J182="","",IF(VLOOKUP(J182,'G-3 Multipliers'!$L$3:$N$6,2,FALSE)=0,"Spatial Data Missing",VLOOKUP(J182,'G-3 Multipliers'!$L$3:$N$6,2,FALSE)))</f>
        <v/>
      </c>
      <c r="L182" s="368" t="str">
        <f>IF(J182="","",IF(VLOOKUP(J182,'G-3 Multipliers'!$L$3:$N$6,3,FALSE)=0,"Spatial Data Missing ⚠",VLOOKUP(J182,'G-3 Multipliers'!$L$3:$N$6,3,FALSE)))</f>
        <v/>
      </c>
      <c r="M182" s="369" t="str">
        <f>IF(D182="","",VLOOKUP(D182,'G-6 Hedgerow Data'!$B$1:$AH$15,33,FALSE))</f>
        <v/>
      </c>
      <c r="N182" s="376" t="str">
        <f t="shared" si="16"/>
        <v/>
      </c>
      <c r="O182" s="32"/>
      <c r="P182" s="122"/>
      <c r="Q182" s="165"/>
      <c r="R182" s="393" t="str">
        <f t="shared" si="17"/>
        <v/>
      </c>
      <c r="S182" s="393" t="str">
        <f t="shared" si="18"/>
        <v/>
      </c>
      <c r="T182" s="393" t="str">
        <f t="shared" si="19"/>
        <v/>
      </c>
      <c r="U182" s="415" t="str">
        <f t="shared" si="20"/>
        <v/>
      </c>
      <c r="V182" s="119"/>
      <c r="W182" s="120"/>
      <c r="X182" s="120"/>
      <c r="AE182" s="124" t="str">
        <f t="shared" si="14"/>
        <v/>
      </c>
      <c r="AF182" s="124" t="str">
        <f t="shared" si="15"/>
        <v/>
      </c>
      <c r="AH182" s="124">
        <v>173</v>
      </c>
      <c r="AJ182" s="124" t="str">
        <f t="array" ref="AJ182">IFERROR(INDEX($AH$10:$AH$258, MATCH(0, IF(TRUE=$AE$10:$AE$258, COUNTIF($AJ$9:$AJ181, $AH$10:$AH$258), ""), 0)),"")</f>
        <v/>
      </c>
      <c r="AK182" s="124" t="str">
        <f t="array" ref="AK182">IFERROR(INDEX($AH$10:$AH$258, MATCH(0, IF(TRUE=$AF$10:$AF$258, COUNTIF($AK$9:$AK181, $AH$10:$AH$258), ""), 0)),"")</f>
        <v/>
      </c>
      <c r="AL182" s="30" t="str">
        <f>IFERROR(INDEX('G-6 Hedgerow Data'!$BJ$3:$BJ$15,MATCH(D182,'G-6 Hedgerow Data'!$B$3:$B$15,0)),"")</f>
        <v/>
      </c>
    </row>
    <row r="183" spans="2:38">
      <c r="B183" s="110">
        <v>174</v>
      </c>
      <c r="C183" s="165"/>
      <c r="D183" s="165"/>
      <c r="E183" s="121"/>
      <c r="F183" s="411" t="str">
        <f>IF(D183="","",VLOOKUP(D183,'G-6 Hedgerow Data'!$B$2:$AG$15,2,FALSE))</f>
        <v/>
      </c>
      <c r="G183" s="363" t="str">
        <f>IF(D183="","",VLOOKUP(D183,'G-6 Hedgerow Data'!$B$2:$AG$15,3,FALSE))</f>
        <v/>
      </c>
      <c r="H183" s="114"/>
      <c r="I183" s="363" t="str">
        <f>IFERROR(VLOOKUP(H183,'G-1 All Habitats'!$Z$2:$AA$9,2,FALSE),"")</f>
        <v/>
      </c>
      <c r="J183" s="114"/>
      <c r="K183" s="370" t="str">
        <f>IF(J183="","",IF(VLOOKUP(J183,'G-3 Multipliers'!$L$3:$N$6,2,FALSE)=0,"Spatial Data Missing",VLOOKUP(J183,'G-3 Multipliers'!$L$3:$N$6,2,FALSE)))</f>
        <v/>
      </c>
      <c r="L183" s="368" t="str">
        <f>IF(J183="","",IF(VLOOKUP(J183,'G-3 Multipliers'!$L$3:$N$6,3,FALSE)=0,"Spatial Data Missing ⚠",VLOOKUP(J183,'G-3 Multipliers'!$L$3:$N$6,3,FALSE)))</f>
        <v/>
      </c>
      <c r="M183" s="369" t="str">
        <f>IF(D183="","",VLOOKUP(D183,'G-6 Hedgerow Data'!$B$1:$AH$15,33,FALSE))</f>
        <v/>
      </c>
      <c r="N183" s="376" t="str">
        <f t="shared" si="16"/>
        <v/>
      </c>
      <c r="O183" s="32"/>
      <c r="P183" s="122"/>
      <c r="Q183" s="165"/>
      <c r="R183" s="393" t="str">
        <f t="shared" si="17"/>
        <v/>
      </c>
      <c r="S183" s="393" t="str">
        <f t="shared" si="18"/>
        <v/>
      </c>
      <c r="T183" s="393" t="str">
        <f t="shared" si="19"/>
        <v/>
      </c>
      <c r="U183" s="415" t="str">
        <f t="shared" si="20"/>
        <v/>
      </c>
      <c r="V183" s="119"/>
      <c r="W183" s="120"/>
      <c r="X183" s="120"/>
      <c r="AE183" s="124" t="str">
        <f t="shared" si="14"/>
        <v/>
      </c>
      <c r="AF183" s="124" t="str">
        <f t="shared" si="15"/>
        <v/>
      </c>
      <c r="AH183" s="124">
        <v>174</v>
      </c>
      <c r="AJ183" s="124" t="str">
        <f t="array" ref="AJ183">IFERROR(INDEX($AH$10:$AH$258, MATCH(0, IF(TRUE=$AE$10:$AE$258, COUNTIF($AJ$9:$AJ182, $AH$10:$AH$258), ""), 0)),"")</f>
        <v/>
      </c>
      <c r="AK183" s="124" t="str">
        <f t="array" ref="AK183">IFERROR(INDEX($AH$10:$AH$258, MATCH(0, IF(TRUE=$AF$10:$AF$258, COUNTIF($AK$9:$AK182, $AH$10:$AH$258), ""), 0)),"")</f>
        <v/>
      </c>
      <c r="AL183" s="30" t="str">
        <f>IFERROR(INDEX('G-6 Hedgerow Data'!$BJ$3:$BJ$15,MATCH(D183,'G-6 Hedgerow Data'!$B$3:$B$15,0)),"")</f>
        <v/>
      </c>
    </row>
    <row r="184" spans="2:38">
      <c r="B184" s="110">
        <v>175</v>
      </c>
      <c r="C184" s="165"/>
      <c r="D184" s="165"/>
      <c r="E184" s="121"/>
      <c r="F184" s="411" t="str">
        <f>IF(D184="","",VLOOKUP(D184,'G-6 Hedgerow Data'!$B$2:$AG$15,2,FALSE))</f>
        <v/>
      </c>
      <c r="G184" s="363" t="str">
        <f>IF(D184="","",VLOOKUP(D184,'G-6 Hedgerow Data'!$B$2:$AG$15,3,FALSE))</f>
        <v/>
      </c>
      <c r="H184" s="114"/>
      <c r="I184" s="363" t="str">
        <f>IFERROR(VLOOKUP(H184,'G-1 All Habitats'!$Z$2:$AA$9,2,FALSE),"")</f>
        <v/>
      </c>
      <c r="J184" s="114"/>
      <c r="K184" s="370" t="str">
        <f>IF(J184="","",IF(VLOOKUP(J184,'G-3 Multipliers'!$L$3:$N$6,2,FALSE)=0,"Spatial Data Missing",VLOOKUP(J184,'G-3 Multipliers'!$L$3:$N$6,2,FALSE)))</f>
        <v/>
      </c>
      <c r="L184" s="368" t="str">
        <f>IF(J184="","",IF(VLOOKUP(J184,'G-3 Multipliers'!$L$3:$N$6,3,FALSE)=0,"Spatial Data Missing ⚠",VLOOKUP(J184,'G-3 Multipliers'!$L$3:$N$6,3,FALSE)))</f>
        <v/>
      </c>
      <c r="M184" s="369" t="str">
        <f>IF(D184="","",VLOOKUP(D184,'G-6 Hedgerow Data'!$B$1:$AH$15,33,FALSE))</f>
        <v/>
      </c>
      <c r="N184" s="376" t="str">
        <f t="shared" si="16"/>
        <v/>
      </c>
      <c r="O184" s="32"/>
      <c r="P184" s="122"/>
      <c r="Q184" s="165"/>
      <c r="R184" s="393" t="str">
        <f t="shared" si="17"/>
        <v/>
      </c>
      <c r="S184" s="393" t="str">
        <f t="shared" si="18"/>
        <v/>
      </c>
      <c r="T184" s="393" t="str">
        <f t="shared" si="19"/>
        <v/>
      </c>
      <c r="U184" s="415" t="str">
        <f t="shared" si="20"/>
        <v/>
      </c>
      <c r="V184" s="119"/>
      <c r="W184" s="120"/>
      <c r="X184" s="120"/>
      <c r="AE184" s="124" t="str">
        <f t="shared" si="14"/>
        <v/>
      </c>
      <c r="AF184" s="124" t="str">
        <f t="shared" si="15"/>
        <v/>
      </c>
      <c r="AH184" s="124">
        <v>175</v>
      </c>
      <c r="AJ184" s="124" t="str">
        <f t="array" ref="AJ184">IFERROR(INDEX($AH$10:$AH$258, MATCH(0, IF(TRUE=$AE$10:$AE$258, COUNTIF($AJ$9:$AJ183, $AH$10:$AH$258), ""), 0)),"")</f>
        <v/>
      </c>
      <c r="AK184" s="124" t="str">
        <f t="array" ref="AK184">IFERROR(INDEX($AH$10:$AH$258, MATCH(0, IF(TRUE=$AF$10:$AF$258, COUNTIF($AK$9:$AK183, $AH$10:$AH$258), ""), 0)),"")</f>
        <v/>
      </c>
      <c r="AL184" s="30" t="str">
        <f>IFERROR(INDEX('G-6 Hedgerow Data'!$BJ$3:$BJ$15,MATCH(D184,'G-6 Hedgerow Data'!$B$3:$B$15,0)),"")</f>
        <v/>
      </c>
    </row>
    <row r="185" spans="2:38">
      <c r="B185" s="110">
        <v>176</v>
      </c>
      <c r="C185" s="165"/>
      <c r="D185" s="165"/>
      <c r="E185" s="121"/>
      <c r="F185" s="411" t="str">
        <f>IF(D185="","",VLOOKUP(D185,'G-6 Hedgerow Data'!$B$2:$AG$15,2,FALSE))</f>
        <v/>
      </c>
      <c r="G185" s="363" t="str">
        <f>IF(D185="","",VLOOKUP(D185,'G-6 Hedgerow Data'!$B$2:$AG$15,3,FALSE))</f>
        <v/>
      </c>
      <c r="H185" s="114"/>
      <c r="I185" s="363" t="str">
        <f>IFERROR(VLOOKUP(H185,'G-1 All Habitats'!$Z$2:$AA$9,2,FALSE),"")</f>
        <v/>
      </c>
      <c r="J185" s="114"/>
      <c r="K185" s="370" t="str">
        <f>IF(J185="","",IF(VLOOKUP(J185,'G-3 Multipliers'!$L$3:$N$6,2,FALSE)=0,"Spatial Data Missing",VLOOKUP(J185,'G-3 Multipliers'!$L$3:$N$6,2,FALSE)))</f>
        <v/>
      </c>
      <c r="L185" s="368" t="str">
        <f>IF(J185="","",IF(VLOOKUP(J185,'G-3 Multipliers'!$L$3:$N$6,3,FALSE)=0,"Spatial Data Missing ⚠",VLOOKUP(J185,'G-3 Multipliers'!$L$3:$N$6,3,FALSE)))</f>
        <v/>
      </c>
      <c r="M185" s="369" t="str">
        <f>IF(D185="","",VLOOKUP(D185,'G-6 Hedgerow Data'!$B$1:$AH$15,33,FALSE))</f>
        <v/>
      </c>
      <c r="N185" s="376" t="str">
        <f t="shared" si="16"/>
        <v/>
      </c>
      <c r="O185" s="32"/>
      <c r="P185" s="122"/>
      <c r="Q185" s="165"/>
      <c r="R185" s="393" t="str">
        <f t="shared" si="17"/>
        <v/>
      </c>
      <c r="S185" s="393" t="str">
        <f t="shared" si="18"/>
        <v/>
      </c>
      <c r="T185" s="393" t="str">
        <f t="shared" si="19"/>
        <v/>
      </c>
      <c r="U185" s="415" t="str">
        <f t="shared" si="20"/>
        <v/>
      </c>
      <c r="V185" s="119"/>
      <c r="W185" s="120"/>
      <c r="X185" s="120"/>
      <c r="AE185" s="124" t="str">
        <f t="shared" si="14"/>
        <v/>
      </c>
      <c r="AF185" s="124" t="str">
        <f t="shared" si="15"/>
        <v/>
      </c>
      <c r="AH185" s="124">
        <v>176</v>
      </c>
      <c r="AJ185" s="124" t="str">
        <f t="array" ref="AJ185">IFERROR(INDEX($AH$10:$AH$258, MATCH(0, IF(TRUE=$AE$10:$AE$258, COUNTIF($AJ$9:$AJ184, $AH$10:$AH$258), ""), 0)),"")</f>
        <v/>
      </c>
      <c r="AK185" s="124" t="str">
        <f t="array" ref="AK185">IFERROR(INDEX($AH$10:$AH$258, MATCH(0, IF(TRUE=$AF$10:$AF$258, COUNTIF($AK$9:$AK184, $AH$10:$AH$258), ""), 0)),"")</f>
        <v/>
      </c>
      <c r="AL185" s="30" t="str">
        <f>IFERROR(INDEX('G-6 Hedgerow Data'!$BJ$3:$BJ$15,MATCH(D185,'G-6 Hedgerow Data'!$B$3:$B$15,0)),"")</f>
        <v/>
      </c>
    </row>
    <row r="186" spans="2:38">
      <c r="B186" s="110">
        <v>177</v>
      </c>
      <c r="C186" s="165"/>
      <c r="D186" s="165"/>
      <c r="E186" s="121"/>
      <c r="F186" s="411" t="str">
        <f>IF(D186="","",VLOOKUP(D186,'G-6 Hedgerow Data'!$B$2:$AG$15,2,FALSE))</f>
        <v/>
      </c>
      <c r="G186" s="363" t="str">
        <f>IF(D186="","",VLOOKUP(D186,'G-6 Hedgerow Data'!$B$2:$AG$15,3,FALSE))</f>
        <v/>
      </c>
      <c r="H186" s="114"/>
      <c r="I186" s="363" t="str">
        <f>IFERROR(VLOOKUP(H186,'G-1 All Habitats'!$Z$2:$AA$9,2,FALSE),"")</f>
        <v/>
      </c>
      <c r="J186" s="114"/>
      <c r="K186" s="370" t="str">
        <f>IF(J186="","",IF(VLOOKUP(J186,'G-3 Multipliers'!$L$3:$N$6,2,FALSE)=0,"Spatial Data Missing",VLOOKUP(J186,'G-3 Multipliers'!$L$3:$N$6,2,FALSE)))</f>
        <v/>
      </c>
      <c r="L186" s="368" t="str">
        <f>IF(J186="","",IF(VLOOKUP(J186,'G-3 Multipliers'!$L$3:$N$6,3,FALSE)=0,"Spatial Data Missing ⚠",VLOOKUP(J186,'G-3 Multipliers'!$L$3:$N$6,3,FALSE)))</f>
        <v/>
      </c>
      <c r="M186" s="369" t="str">
        <f>IF(D186="","",VLOOKUP(D186,'G-6 Hedgerow Data'!$B$1:$AH$15,33,FALSE))</f>
        <v/>
      </c>
      <c r="N186" s="376" t="str">
        <f t="shared" si="16"/>
        <v/>
      </c>
      <c r="O186" s="32"/>
      <c r="P186" s="122"/>
      <c r="Q186" s="165"/>
      <c r="R186" s="393" t="str">
        <f t="shared" si="17"/>
        <v/>
      </c>
      <c r="S186" s="393" t="str">
        <f t="shared" si="18"/>
        <v/>
      </c>
      <c r="T186" s="393" t="str">
        <f t="shared" si="19"/>
        <v/>
      </c>
      <c r="U186" s="415" t="str">
        <f t="shared" si="20"/>
        <v/>
      </c>
      <c r="V186" s="119"/>
      <c r="W186" s="120"/>
      <c r="X186" s="120"/>
      <c r="AE186" s="124" t="str">
        <f t="shared" si="14"/>
        <v/>
      </c>
      <c r="AF186" s="124" t="str">
        <f t="shared" si="15"/>
        <v/>
      </c>
      <c r="AH186" s="124">
        <v>177</v>
      </c>
      <c r="AJ186" s="124" t="str">
        <f t="array" ref="AJ186">IFERROR(INDEX($AH$10:$AH$258, MATCH(0, IF(TRUE=$AE$10:$AE$258, COUNTIF($AJ$9:$AJ185, $AH$10:$AH$258), ""), 0)),"")</f>
        <v/>
      </c>
      <c r="AK186" s="124" t="str">
        <f t="array" ref="AK186">IFERROR(INDEX($AH$10:$AH$258, MATCH(0, IF(TRUE=$AF$10:$AF$258, COUNTIF($AK$9:$AK185, $AH$10:$AH$258), ""), 0)),"")</f>
        <v/>
      </c>
      <c r="AL186" s="30" t="str">
        <f>IFERROR(INDEX('G-6 Hedgerow Data'!$BJ$3:$BJ$15,MATCH(D186,'G-6 Hedgerow Data'!$B$3:$B$15,0)),"")</f>
        <v/>
      </c>
    </row>
    <row r="187" spans="2:38">
      <c r="B187" s="110">
        <v>178</v>
      </c>
      <c r="C187" s="165"/>
      <c r="D187" s="165"/>
      <c r="E187" s="121"/>
      <c r="F187" s="411" t="str">
        <f>IF(D187="","",VLOOKUP(D187,'G-6 Hedgerow Data'!$B$2:$AG$15,2,FALSE))</f>
        <v/>
      </c>
      <c r="G187" s="363" t="str">
        <f>IF(D187="","",VLOOKUP(D187,'G-6 Hedgerow Data'!$B$2:$AG$15,3,FALSE))</f>
        <v/>
      </c>
      <c r="H187" s="114"/>
      <c r="I187" s="363" t="str">
        <f>IFERROR(VLOOKUP(H187,'G-1 All Habitats'!$Z$2:$AA$9,2,FALSE),"")</f>
        <v/>
      </c>
      <c r="J187" s="114"/>
      <c r="K187" s="370" t="str">
        <f>IF(J187="","",IF(VLOOKUP(J187,'G-3 Multipliers'!$L$3:$N$6,2,FALSE)=0,"Spatial Data Missing",VLOOKUP(J187,'G-3 Multipliers'!$L$3:$N$6,2,FALSE)))</f>
        <v/>
      </c>
      <c r="L187" s="368" t="str">
        <f>IF(J187="","",IF(VLOOKUP(J187,'G-3 Multipliers'!$L$3:$N$6,3,FALSE)=0,"Spatial Data Missing ⚠",VLOOKUP(J187,'G-3 Multipliers'!$L$3:$N$6,3,FALSE)))</f>
        <v/>
      </c>
      <c r="M187" s="369" t="str">
        <f>IF(D187="","",VLOOKUP(D187,'G-6 Hedgerow Data'!$B$1:$AH$15,33,FALSE))</f>
        <v/>
      </c>
      <c r="N187" s="376" t="str">
        <f t="shared" si="16"/>
        <v/>
      </c>
      <c r="O187" s="32"/>
      <c r="P187" s="122"/>
      <c r="Q187" s="165"/>
      <c r="R187" s="393" t="str">
        <f t="shared" si="17"/>
        <v/>
      </c>
      <c r="S187" s="393" t="str">
        <f t="shared" si="18"/>
        <v/>
      </c>
      <c r="T187" s="393" t="str">
        <f t="shared" si="19"/>
        <v/>
      </c>
      <c r="U187" s="415" t="str">
        <f t="shared" si="20"/>
        <v/>
      </c>
      <c r="V187" s="119"/>
      <c r="W187" s="120"/>
      <c r="X187" s="120"/>
      <c r="AE187" s="124" t="str">
        <f t="shared" si="14"/>
        <v/>
      </c>
      <c r="AF187" s="124" t="str">
        <f t="shared" si="15"/>
        <v/>
      </c>
      <c r="AH187" s="124">
        <v>178</v>
      </c>
      <c r="AJ187" s="124" t="str">
        <f t="array" ref="AJ187">IFERROR(INDEX($AH$10:$AH$258, MATCH(0, IF(TRUE=$AE$10:$AE$258, COUNTIF($AJ$9:$AJ186, $AH$10:$AH$258), ""), 0)),"")</f>
        <v/>
      </c>
      <c r="AK187" s="124" t="str">
        <f t="array" ref="AK187">IFERROR(INDEX($AH$10:$AH$258, MATCH(0, IF(TRUE=$AF$10:$AF$258, COUNTIF($AK$9:$AK186, $AH$10:$AH$258), ""), 0)),"")</f>
        <v/>
      </c>
      <c r="AL187" s="30" t="str">
        <f>IFERROR(INDEX('G-6 Hedgerow Data'!$BJ$3:$BJ$15,MATCH(D187,'G-6 Hedgerow Data'!$B$3:$B$15,0)),"")</f>
        <v/>
      </c>
    </row>
    <row r="188" spans="2:38">
      <c r="B188" s="110">
        <v>179</v>
      </c>
      <c r="C188" s="165"/>
      <c r="D188" s="165"/>
      <c r="E188" s="121"/>
      <c r="F188" s="411" t="str">
        <f>IF(D188="","",VLOOKUP(D188,'G-6 Hedgerow Data'!$B$2:$AG$15,2,FALSE))</f>
        <v/>
      </c>
      <c r="G188" s="363" t="str">
        <f>IF(D188="","",VLOOKUP(D188,'G-6 Hedgerow Data'!$B$2:$AG$15,3,FALSE))</f>
        <v/>
      </c>
      <c r="H188" s="114"/>
      <c r="I188" s="363" t="str">
        <f>IFERROR(VLOOKUP(H188,'G-1 All Habitats'!$Z$2:$AA$9,2,FALSE),"")</f>
        <v/>
      </c>
      <c r="J188" s="114"/>
      <c r="K188" s="370" t="str">
        <f>IF(J188="","",IF(VLOOKUP(J188,'G-3 Multipliers'!$L$3:$N$6,2,FALSE)=0,"Spatial Data Missing",VLOOKUP(J188,'G-3 Multipliers'!$L$3:$N$6,2,FALSE)))</f>
        <v/>
      </c>
      <c r="L188" s="368" t="str">
        <f>IF(J188="","",IF(VLOOKUP(J188,'G-3 Multipliers'!$L$3:$N$6,3,FALSE)=0,"Spatial Data Missing ⚠",VLOOKUP(J188,'G-3 Multipliers'!$L$3:$N$6,3,FALSE)))</f>
        <v/>
      </c>
      <c r="M188" s="369" t="str">
        <f>IF(D188="","",VLOOKUP(D188,'G-6 Hedgerow Data'!$B$1:$AH$15,33,FALSE))</f>
        <v/>
      </c>
      <c r="N188" s="376" t="str">
        <f t="shared" si="16"/>
        <v/>
      </c>
      <c r="O188" s="32"/>
      <c r="P188" s="122"/>
      <c r="Q188" s="165"/>
      <c r="R188" s="393" t="str">
        <f t="shared" si="17"/>
        <v/>
      </c>
      <c r="S188" s="393" t="str">
        <f t="shared" si="18"/>
        <v/>
      </c>
      <c r="T188" s="393" t="str">
        <f t="shared" si="19"/>
        <v/>
      </c>
      <c r="U188" s="415" t="str">
        <f t="shared" si="20"/>
        <v/>
      </c>
      <c r="V188" s="119"/>
      <c r="W188" s="120"/>
      <c r="X188" s="120"/>
      <c r="AE188" s="124" t="str">
        <f t="shared" si="14"/>
        <v/>
      </c>
      <c r="AF188" s="124" t="str">
        <f t="shared" si="15"/>
        <v/>
      </c>
      <c r="AH188" s="124">
        <v>179</v>
      </c>
      <c r="AJ188" s="124" t="str">
        <f t="array" ref="AJ188">IFERROR(INDEX($AH$10:$AH$258, MATCH(0, IF(TRUE=$AE$10:$AE$258, COUNTIF($AJ$9:$AJ187, $AH$10:$AH$258), ""), 0)),"")</f>
        <v/>
      </c>
      <c r="AK188" s="124" t="str">
        <f t="array" ref="AK188">IFERROR(INDEX($AH$10:$AH$258, MATCH(0, IF(TRUE=$AF$10:$AF$258, COUNTIF($AK$9:$AK187, $AH$10:$AH$258), ""), 0)),"")</f>
        <v/>
      </c>
      <c r="AL188" s="30" t="str">
        <f>IFERROR(INDEX('G-6 Hedgerow Data'!$BJ$3:$BJ$15,MATCH(D188,'G-6 Hedgerow Data'!$B$3:$B$15,0)),"")</f>
        <v/>
      </c>
    </row>
    <row r="189" spans="2:38">
      <c r="B189" s="110">
        <v>180</v>
      </c>
      <c r="C189" s="165"/>
      <c r="D189" s="165"/>
      <c r="E189" s="121"/>
      <c r="F189" s="411" t="str">
        <f>IF(D189="","",VLOOKUP(D189,'G-6 Hedgerow Data'!$B$2:$AG$15,2,FALSE))</f>
        <v/>
      </c>
      <c r="G189" s="363" t="str">
        <f>IF(D189="","",VLOOKUP(D189,'G-6 Hedgerow Data'!$B$2:$AG$15,3,FALSE))</f>
        <v/>
      </c>
      <c r="H189" s="114"/>
      <c r="I189" s="363" t="str">
        <f>IFERROR(VLOOKUP(H189,'G-1 All Habitats'!$Z$2:$AA$9,2,FALSE),"")</f>
        <v/>
      </c>
      <c r="J189" s="114"/>
      <c r="K189" s="370" t="str">
        <f>IF(J189="","",IF(VLOOKUP(J189,'G-3 Multipliers'!$L$3:$N$6,2,FALSE)=0,"Spatial Data Missing",VLOOKUP(J189,'G-3 Multipliers'!$L$3:$N$6,2,FALSE)))</f>
        <v/>
      </c>
      <c r="L189" s="368" t="str">
        <f>IF(J189="","",IF(VLOOKUP(J189,'G-3 Multipliers'!$L$3:$N$6,3,FALSE)=0,"Spatial Data Missing ⚠",VLOOKUP(J189,'G-3 Multipliers'!$L$3:$N$6,3,FALSE)))</f>
        <v/>
      </c>
      <c r="M189" s="369" t="str">
        <f>IF(D189="","",VLOOKUP(D189,'G-6 Hedgerow Data'!$B$1:$AH$15,33,FALSE))</f>
        <v/>
      </c>
      <c r="N189" s="376" t="str">
        <f t="shared" si="16"/>
        <v/>
      </c>
      <c r="O189" s="32"/>
      <c r="P189" s="122"/>
      <c r="Q189" s="165"/>
      <c r="R189" s="393" t="str">
        <f t="shared" si="17"/>
        <v/>
      </c>
      <c r="S189" s="393" t="str">
        <f t="shared" si="18"/>
        <v/>
      </c>
      <c r="T189" s="393" t="str">
        <f t="shared" si="19"/>
        <v/>
      </c>
      <c r="U189" s="415" t="str">
        <f t="shared" si="20"/>
        <v/>
      </c>
      <c r="V189" s="119"/>
      <c r="W189" s="120"/>
      <c r="X189" s="120"/>
      <c r="AE189" s="124" t="str">
        <f t="shared" si="14"/>
        <v/>
      </c>
      <c r="AF189" s="124" t="str">
        <f t="shared" si="15"/>
        <v/>
      </c>
      <c r="AH189" s="124">
        <v>180</v>
      </c>
      <c r="AJ189" s="124" t="str">
        <f t="array" ref="AJ189">IFERROR(INDEX($AH$10:$AH$258, MATCH(0, IF(TRUE=$AE$10:$AE$258, COUNTIF($AJ$9:$AJ188, $AH$10:$AH$258), ""), 0)),"")</f>
        <v/>
      </c>
      <c r="AK189" s="124" t="str">
        <f t="array" ref="AK189">IFERROR(INDEX($AH$10:$AH$258, MATCH(0, IF(TRUE=$AF$10:$AF$258, COUNTIF($AK$9:$AK188, $AH$10:$AH$258), ""), 0)),"")</f>
        <v/>
      </c>
      <c r="AL189" s="30" t="str">
        <f>IFERROR(INDEX('G-6 Hedgerow Data'!$BJ$3:$BJ$15,MATCH(D189,'G-6 Hedgerow Data'!$B$3:$B$15,0)),"")</f>
        <v/>
      </c>
    </row>
    <row r="190" spans="2:38">
      <c r="B190" s="110">
        <v>181</v>
      </c>
      <c r="C190" s="165"/>
      <c r="D190" s="165"/>
      <c r="E190" s="121"/>
      <c r="F190" s="411" t="str">
        <f>IF(D190="","",VLOOKUP(D190,'G-6 Hedgerow Data'!$B$2:$AG$15,2,FALSE))</f>
        <v/>
      </c>
      <c r="G190" s="363" t="str">
        <f>IF(D190="","",VLOOKUP(D190,'G-6 Hedgerow Data'!$B$2:$AG$15,3,FALSE))</f>
        <v/>
      </c>
      <c r="H190" s="114"/>
      <c r="I190" s="363" t="str">
        <f>IFERROR(VLOOKUP(H190,'G-1 All Habitats'!$Z$2:$AA$9,2,FALSE),"")</f>
        <v/>
      </c>
      <c r="J190" s="114"/>
      <c r="K190" s="370" t="str">
        <f>IF(J190="","",IF(VLOOKUP(J190,'G-3 Multipliers'!$L$3:$N$6,2,FALSE)=0,"Spatial Data Missing",VLOOKUP(J190,'G-3 Multipliers'!$L$3:$N$6,2,FALSE)))</f>
        <v/>
      </c>
      <c r="L190" s="368" t="str">
        <f>IF(J190="","",IF(VLOOKUP(J190,'G-3 Multipliers'!$L$3:$N$6,3,FALSE)=0,"Spatial Data Missing ⚠",VLOOKUP(J190,'G-3 Multipliers'!$L$3:$N$6,3,FALSE)))</f>
        <v/>
      </c>
      <c r="M190" s="369" t="str">
        <f>IF(D190="","",VLOOKUP(D190,'G-6 Hedgerow Data'!$B$1:$AH$15,33,FALSE))</f>
        <v/>
      </c>
      <c r="N190" s="376" t="str">
        <f t="shared" si="16"/>
        <v/>
      </c>
      <c r="O190" s="32"/>
      <c r="P190" s="122"/>
      <c r="Q190" s="165"/>
      <c r="R190" s="393" t="str">
        <f t="shared" si="17"/>
        <v/>
      </c>
      <c r="S190" s="393" t="str">
        <f t="shared" si="18"/>
        <v/>
      </c>
      <c r="T190" s="393" t="str">
        <f t="shared" si="19"/>
        <v/>
      </c>
      <c r="U190" s="415" t="str">
        <f t="shared" si="20"/>
        <v/>
      </c>
      <c r="V190" s="119"/>
      <c r="W190" s="120"/>
      <c r="X190" s="120"/>
      <c r="AE190" s="124" t="str">
        <f t="shared" si="14"/>
        <v/>
      </c>
      <c r="AF190" s="124" t="str">
        <f t="shared" si="15"/>
        <v/>
      </c>
      <c r="AH190" s="124">
        <v>181</v>
      </c>
      <c r="AJ190" s="124" t="str">
        <f t="array" ref="AJ190">IFERROR(INDEX($AH$10:$AH$258, MATCH(0, IF(TRUE=$AE$10:$AE$258, COUNTIF($AJ$9:$AJ189, $AH$10:$AH$258), ""), 0)),"")</f>
        <v/>
      </c>
      <c r="AK190" s="124" t="str">
        <f t="array" ref="AK190">IFERROR(INDEX($AH$10:$AH$258, MATCH(0, IF(TRUE=$AF$10:$AF$258, COUNTIF($AK$9:$AK189, $AH$10:$AH$258), ""), 0)),"")</f>
        <v/>
      </c>
      <c r="AL190" s="30" t="str">
        <f>IFERROR(INDEX('G-6 Hedgerow Data'!$BJ$3:$BJ$15,MATCH(D190,'G-6 Hedgerow Data'!$B$3:$B$15,0)),"")</f>
        <v/>
      </c>
    </row>
    <row r="191" spans="2:38">
      <c r="B191" s="110">
        <v>182</v>
      </c>
      <c r="C191" s="165"/>
      <c r="D191" s="165"/>
      <c r="E191" s="121"/>
      <c r="F191" s="411" t="str">
        <f>IF(D191="","",VLOOKUP(D191,'G-6 Hedgerow Data'!$B$2:$AG$15,2,FALSE))</f>
        <v/>
      </c>
      <c r="G191" s="363" t="str">
        <f>IF(D191="","",VLOOKUP(D191,'G-6 Hedgerow Data'!$B$2:$AG$15,3,FALSE))</f>
        <v/>
      </c>
      <c r="H191" s="114"/>
      <c r="I191" s="363" t="str">
        <f>IFERROR(VLOOKUP(H191,'G-1 All Habitats'!$Z$2:$AA$9,2,FALSE),"")</f>
        <v/>
      </c>
      <c r="J191" s="114"/>
      <c r="K191" s="370" t="str">
        <f>IF(J191="","",IF(VLOOKUP(J191,'G-3 Multipliers'!$L$3:$N$6,2,FALSE)=0,"Spatial Data Missing",VLOOKUP(J191,'G-3 Multipliers'!$L$3:$N$6,2,FALSE)))</f>
        <v/>
      </c>
      <c r="L191" s="368" t="str">
        <f>IF(J191="","",IF(VLOOKUP(J191,'G-3 Multipliers'!$L$3:$N$6,3,FALSE)=0,"Spatial Data Missing ⚠",VLOOKUP(J191,'G-3 Multipliers'!$L$3:$N$6,3,FALSE)))</f>
        <v/>
      </c>
      <c r="M191" s="369" t="str">
        <f>IF(D191="","",VLOOKUP(D191,'G-6 Hedgerow Data'!$B$1:$AH$15,33,FALSE))</f>
        <v/>
      </c>
      <c r="N191" s="376" t="str">
        <f t="shared" si="16"/>
        <v/>
      </c>
      <c r="O191" s="32"/>
      <c r="P191" s="122"/>
      <c r="Q191" s="165"/>
      <c r="R191" s="393" t="str">
        <f t="shared" si="17"/>
        <v/>
      </c>
      <c r="S191" s="393" t="str">
        <f t="shared" si="18"/>
        <v/>
      </c>
      <c r="T191" s="393" t="str">
        <f t="shared" si="19"/>
        <v/>
      </c>
      <c r="U191" s="415" t="str">
        <f t="shared" si="20"/>
        <v/>
      </c>
      <c r="V191" s="119"/>
      <c r="W191" s="120"/>
      <c r="X191" s="120"/>
      <c r="AE191" s="124" t="str">
        <f t="shared" si="14"/>
        <v/>
      </c>
      <c r="AF191" s="124" t="str">
        <f t="shared" si="15"/>
        <v/>
      </c>
      <c r="AH191" s="124">
        <v>182</v>
      </c>
      <c r="AJ191" s="124" t="str">
        <f t="array" ref="AJ191">IFERROR(INDEX($AH$10:$AH$258, MATCH(0, IF(TRUE=$AE$10:$AE$258, COUNTIF($AJ$9:$AJ190, $AH$10:$AH$258), ""), 0)),"")</f>
        <v/>
      </c>
      <c r="AK191" s="124" t="str">
        <f t="array" ref="AK191">IFERROR(INDEX($AH$10:$AH$258, MATCH(0, IF(TRUE=$AF$10:$AF$258, COUNTIF($AK$9:$AK190, $AH$10:$AH$258), ""), 0)),"")</f>
        <v/>
      </c>
      <c r="AL191" s="30" t="str">
        <f>IFERROR(INDEX('G-6 Hedgerow Data'!$BJ$3:$BJ$15,MATCH(D191,'G-6 Hedgerow Data'!$B$3:$B$15,0)),"")</f>
        <v/>
      </c>
    </row>
    <row r="192" spans="2:38">
      <c r="B192" s="110">
        <v>183</v>
      </c>
      <c r="C192" s="165"/>
      <c r="D192" s="165"/>
      <c r="E192" s="121"/>
      <c r="F192" s="411" t="str">
        <f>IF(D192="","",VLOOKUP(D192,'G-6 Hedgerow Data'!$B$2:$AG$15,2,FALSE))</f>
        <v/>
      </c>
      <c r="G192" s="363" t="str">
        <f>IF(D192="","",VLOOKUP(D192,'G-6 Hedgerow Data'!$B$2:$AG$15,3,FALSE))</f>
        <v/>
      </c>
      <c r="H192" s="114"/>
      <c r="I192" s="363" t="str">
        <f>IFERROR(VLOOKUP(H192,'G-1 All Habitats'!$Z$2:$AA$9,2,FALSE),"")</f>
        <v/>
      </c>
      <c r="J192" s="114"/>
      <c r="K192" s="370" t="str">
        <f>IF(J192="","",IF(VLOOKUP(J192,'G-3 Multipliers'!$L$3:$N$6,2,FALSE)=0,"Spatial Data Missing",VLOOKUP(J192,'G-3 Multipliers'!$L$3:$N$6,2,FALSE)))</f>
        <v/>
      </c>
      <c r="L192" s="368" t="str">
        <f>IF(J192="","",IF(VLOOKUP(J192,'G-3 Multipliers'!$L$3:$N$6,3,FALSE)=0,"Spatial Data Missing ⚠",VLOOKUP(J192,'G-3 Multipliers'!$L$3:$N$6,3,FALSE)))</f>
        <v/>
      </c>
      <c r="M192" s="369" t="str">
        <f>IF(D192="","",VLOOKUP(D192,'G-6 Hedgerow Data'!$B$1:$AH$15,33,FALSE))</f>
        <v/>
      </c>
      <c r="N192" s="376" t="str">
        <f t="shared" si="16"/>
        <v/>
      </c>
      <c r="O192" s="32"/>
      <c r="P192" s="122"/>
      <c r="Q192" s="165"/>
      <c r="R192" s="393" t="str">
        <f t="shared" si="17"/>
        <v/>
      </c>
      <c r="S192" s="393" t="str">
        <f t="shared" si="18"/>
        <v/>
      </c>
      <c r="T192" s="393" t="str">
        <f t="shared" si="19"/>
        <v/>
      </c>
      <c r="U192" s="415" t="str">
        <f t="shared" si="20"/>
        <v/>
      </c>
      <c r="V192" s="119"/>
      <c r="W192" s="120"/>
      <c r="X192" s="120"/>
      <c r="AE192" s="124" t="str">
        <f t="shared" si="14"/>
        <v/>
      </c>
      <c r="AF192" s="124" t="str">
        <f t="shared" si="15"/>
        <v/>
      </c>
      <c r="AH192" s="124">
        <v>183</v>
      </c>
      <c r="AJ192" s="124" t="str">
        <f t="array" ref="AJ192">IFERROR(INDEX($AH$10:$AH$258, MATCH(0, IF(TRUE=$AE$10:$AE$258, COUNTIF($AJ$9:$AJ191, $AH$10:$AH$258), ""), 0)),"")</f>
        <v/>
      </c>
      <c r="AK192" s="124" t="str">
        <f t="array" ref="AK192">IFERROR(INDEX($AH$10:$AH$258, MATCH(0, IF(TRUE=$AF$10:$AF$258, COUNTIF($AK$9:$AK191, $AH$10:$AH$258), ""), 0)),"")</f>
        <v/>
      </c>
      <c r="AL192" s="30" t="str">
        <f>IFERROR(INDEX('G-6 Hedgerow Data'!$BJ$3:$BJ$15,MATCH(D192,'G-6 Hedgerow Data'!$B$3:$B$15,0)),"")</f>
        <v/>
      </c>
    </row>
    <row r="193" spans="2:38">
      <c r="B193" s="110">
        <v>184</v>
      </c>
      <c r="C193" s="165"/>
      <c r="D193" s="165"/>
      <c r="E193" s="121"/>
      <c r="F193" s="411" t="str">
        <f>IF(D193="","",VLOOKUP(D193,'G-6 Hedgerow Data'!$B$2:$AG$15,2,FALSE))</f>
        <v/>
      </c>
      <c r="G193" s="363" t="str">
        <f>IF(D193="","",VLOOKUP(D193,'G-6 Hedgerow Data'!$B$2:$AG$15,3,FALSE))</f>
        <v/>
      </c>
      <c r="H193" s="114"/>
      <c r="I193" s="363" t="str">
        <f>IFERROR(VLOOKUP(H193,'G-1 All Habitats'!$Z$2:$AA$9,2,FALSE),"")</f>
        <v/>
      </c>
      <c r="J193" s="114"/>
      <c r="K193" s="370" t="str">
        <f>IF(J193="","",IF(VLOOKUP(J193,'G-3 Multipliers'!$L$3:$N$6,2,FALSE)=0,"Spatial Data Missing",VLOOKUP(J193,'G-3 Multipliers'!$L$3:$N$6,2,FALSE)))</f>
        <v/>
      </c>
      <c r="L193" s="368" t="str">
        <f>IF(J193="","",IF(VLOOKUP(J193,'G-3 Multipliers'!$L$3:$N$6,3,FALSE)=0,"Spatial Data Missing ⚠",VLOOKUP(J193,'G-3 Multipliers'!$L$3:$N$6,3,FALSE)))</f>
        <v/>
      </c>
      <c r="M193" s="369" t="str">
        <f>IF(D193="","",VLOOKUP(D193,'G-6 Hedgerow Data'!$B$1:$AH$15,33,FALSE))</f>
        <v/>
      </c>
      <c r="N193" s="376" t="str">
        <f t="shared" si="16"/>
        <v/>
      </c>
      <c r="O193" s="32"/>
      <c r="P193" s="122"/>
      <c r="Q193" s="165"/>
      <c r="R193" s="393" t="str">
        <f t="shared" si="17"/>
        <v/>
      </c>
      <c r="S193" s="393" t="str">
        <f t="shared" si="18"/>
        <v/>
      </c>
      <c r="T193" s="393" t="str">
        <f t="shared" si="19"/>
        <v/>
      </c>
      <c r="U193" s="415" t="str">
        <f t="shared" si="20"/>
        <v/>
      </c>
      <c r="V193" s="119"/>
      <c r="W193" s="120"/>
      <c r="X193" s="120"/>
      <c r="AE193" s="124" t="str">
        <f t="shared" si="14"/>
        <v/>
      </c>
      <c r="AF193" s="124" t="str">
        <f t="shared" si="15"/>
        <v/>
      </c>
      <c r="AH193" s="124">
        <v>184</v>
      </c>
      <c r="AJ193" s="124" t="str">
        <f t="array" ref="AJ193">IFERROR(INDEX($AH$10:$AH$258, MATCH(0, IF(TRUE=$AE$10:$AE$258, COUNTIF($AJ$9:$AJ192, $AH$10:$AH$258), ""), 0)),"")</f>
        <v/>
      </c>
      <c r="AK193" s="124" t="str">
        <f t="array" ref="AK193">IFERROR(INDEX($AH$10:$AH$258, MATCH(0, IF(TRUE=$AF$10:$AF$258, COUNTIF($AK$9:$AK192, $AH$10:$AH$258), ""), 0)),"")</f>
        <v/>
      </c>
      <c r="AL193" s="30" t="str">
        <f>IFERROR(INDEX('G-6 Hedgerow Data'!$BJ$3:$BJ$15,MATCH(D193,'G-6 Hedgerow Data'!$B$3:$B$15,0)),"")</f>
        <v/>
      </c>
    </row>
    <row r="194" spans="2:38">
      <c r="B194" s="110">
        <v>185</v>
      </c>
      <c r="C194" s="165"/>
      <c r="D194" s="165"/>
      <c r="E194" s="121"/>
      <c r="F194" s="411" t="str">
        <f>IF(D194="","",VLOOKUP(D194,'G-6 Hedgerow Data'!$B$2:$AG$15,2,FALSE))</f>
        <v/>
      </c>
      <c r="G194" s="363" t="str">
        <f>IF(D194="","",VLOOKUP(D194,'G-6 Hedgerow Data'!$B$2:$AG$15,3,FALSE))</f>
        <v/>
      </c>
      <c r="H194" s="114"/>
      <c r="I194" s="363" t="str">
        <f>IFERROR(VLOOKUP(H194,'G-1 All Habitats'!$Z$2:$AA$9,2,FALSE),"")</f>
        <v/>
      </c>
      <c r="J194" s="114"/>
      <c r="K194" s="370" t="str">
        <f>IF(J194="","",IF(VLOOKUP(J194,'G-3 Multipliers'!$L$3:$N$6,2,FALSE)=0,"Spatial Data Missing",VLOOKUP(J194,'G-3 Multipliers'!$L$3:$N$6,2,FALSE)))</f>
        <v/>
      </c>
      <c r="L194" s="368" t="str">
        <f>IF(J194="","",IF(VLOOKUP(J194,'G-3 Multipliers'!$L$3:$N$6,3,FALSE)=0,"Spatial Data Missing ⚠",VLOOKUP(J194,'G-3 Multipliers'!$L$3:$N$6,3,FALSE)))</f>
        <v/>
      </c>
      <c r="M194" s="369" t="str">
        <f>IF(D194="","",VLOOKUP(D194,'G-6 Hedgerow Data'!$B$1:$AH$15,33,FALSE))</f>
        <v/>
      </c>
      <c r="N194" s="376" t="str">
        <f t="shared" si="16"/>
        <v/>
      </c>
      <c r="O194" s="32"/>
      <c r="P194" s="122"/>
      <c r="Q194" s="165"/>
      <c r="R194" s="393" t="str">
        <f t="shared" si="17"/>
        <v/>
      </c>
      <c r="S194" s="393" t="str">
        <f t="shared" si="18"/>
        <v/>
      </c>
      <c r="T194" s="393" t="str">
        <f t="shared" si="19"/>
        <v/>
      </c>
      <c r="U194" s="415" t="str">
        <f t="shared" si="20"/>
        <v/>
      </c>
      <c r="V194" s="119"/>
      <c r="W194" s="120"/>
      <c r="X194" s="120"/>
      <c r="AE194" s="124" t="str">
        <f t="shared" si="14"/>
        <v/>
      </c>
      <c r="AF194" s="124" t="str">
        <f t="shared" si="15"/>
        <v/>
      </c>
      <c r="AH194" s="124">
        <v>185</v>
      </c>
      <c r="AJ194" s="124" t="str">
        <f t="array" ref="AJ194">IFERROR(INDEX($AH$10:$AH$258, MATCH(0, IF(TRUE=$AE$10:$AE$258, COUNTIF($AJ$9:$AJ193, $AH$10:$AH$258), ""), 0)),"")</f>
        <v/>
      </c>
      <c r="AK194" s="124" t="str">
        <f t="array" ref="AK194">IFERROR(INDEX($AH$10:$AH$258, MATCH(0, IF(TRUE=$AF$10:$AF$258, COUNTIF($AK$9:$AK193, $AH$10:$AH$258), ""), 0)),"")</f>
        <v/>
      </c>
      <c r="AL194" s="30" t="str">
        <f>IFERROR(INDEX('G-6 Hedgerow Data'!$BJ$3:$BJ$15,MATCH(D194,'G-6 Hedgerow Data'!$B$3:$B$15,0)),"")</f>
        <v/>
      </c>
    </row>
    <row r="195" spans="2:38">
      <c r="B195" s="110">
        <v>186</v>
      </c>
      <c r="C195" s="165"/>
      <c r="D195" s="165"/>
      <c r="E195" s="121"/>
      <c r="F195" s="411" t="str">
        <f>IF(D195="","",VLOOKUP(D195,'G-6 Hedgerow Data'!$B$2:$AG$15,2,FALSE))</f>
        <v/>
      </c>
      <c r="G195" s="363" t="str">
        <f>IF(D195="","",VLOOKUP(D195,'G-6 Hedgerow Data'!$B$2:$AG$15,3,FALSE))</f>
        <v/>
      </c>
      <c r="H195" s="114"/>
      <c r="I195" s="363" t="str">
        <f>IFERROR(VLOOKUP(H195,'G-1 All Habitats'!$Z$2:$AA$9,2,FALSE),"")</f>
        <v/>
      </c>
      <c r="J195" s="114"/>
      <c r="K195" s="370" t="str">
        <f>IF(J195="","",IF(VLOOKUP(J195,'G-3 Multipliers'!$L$3:$N$6,2,FALSE)=0,"Spatial Data Missing",VLOOKUP(J195,'G-3 Multipliers'!$L$3:$N$6,2,FALSE)))</f>
        <v/>
      </c>
      <c r="L195" s="368" t="str">
        <f>IF(J195="","",IF(VLOOKUP(J195,'G-3 Multipliers'!$L$3:$N$6,3,FALSE)=0,"Spatial Data Missing ⚠",VLOOKUP(J195,'G-3 Multipliers'!$L$3:$N$6,3,FALSE)))</f>
        <v/>
      </c>
      <c r="M195" s="369" t="str">
        <f>IF(D195="","",VLOOKUP(D195,'G-6 Hedgerow Data'!$B$1:$AH$15,33,FALSE))</f>
        <v/>
      </c>
      <c r="N195" s="376" t="str">
        <f t="shared" si="16"/>
        <v/>
      </c>
      <c r="O195" s="32"/>
      <c r="P195" s="122"/>
      <c r="Q195" s="165"/>
      <c r="R195" s="393" t="str">
        <f t="shared" si="17"/>
        <v/>
      </c>
      <c r="S195" s="393" t="str">
        <f t="shared" si="18"/>
        <v/>
      </c>
      <c r="T195" s="393" t="str">
        <f t="shared" si="19"/>
        <v/>
      </c>
      <c r="U195" s="415" t="str">
        <f t="shared" si="20"/>
        <v/>
      </c>
      <c r="V195" s="119"/>
      <c r="W195" s="120"/>
      <c r="X195" s="120"/>
      <c r="AE195" s="124" t="str">
        <f t="shared" si="14"/>
        <v/>
      </c>
      <c r="AF195" s="124" t="str">
        <f t="shared" si="15"/>
        <v/>
      </c>
      <c r="AH195" s="124">
        <v>186</v>
      </c>
      <c r="AJ195" s="124" t="str">
        <f t="array" ref="AJ195">IFERROR(INDEX($AH$10:$AH$258, MATCH(0, IF(TRUE=$AE$10:$AE$258, COUNTIF($AJ$9:$AJ194, $AH$10:$AH$258), ""), 0)),"")</f>
        <v/>
      </c>
      <c r="AK195" s="124" t="str">
        <f t="array" ref="AK195">IFERROR(INDEX($AH$10:$AH$258, MATCH(0, IF(TRUE=$AF$10:$AF$258, COUNTIF($AK$9:$AK194, $AH$10:$AH$258), ""), 0)),"")</f>
        <v/>
      </c>
      <c r="AL195" s="30" t="str">
        <f>IFERROR(INDEX('G-6 Hedgerow Data'!$BJ$3:$BJ$15,MATCH(D195,'G-6 Hedgerow Data'!$B$3:$B$15,0)),"")</f>
        <v/>
      </c>
    </row>
    <row r="196" spans="2:38">
      <c r="B196" s="110">
        <v>187</v>
      </c>
      <c r="C196" s="165"/>
      <c r="D196" s="165"/>
      <c r="E196" s="121"/>
      <c r="F196" s="411" t="str">
        <f>IF(D196="","",VLOOKUP(D196,'G-6 Hedgerow Data'!$B$2:$AG$15,2,FALSE))</f>
        <v/>
      </c>
      <c r="G196" s="363" t="str">
        <f>IF(D196="","",VLOOKUP(D196,'G-6 Hedgerow Data'!$B$2:$AG$15,3,FALSE))</f>
        <v/>
      </c>
      <c r="H196" s="114"/>
      <c r="I196" s="363" t="str">
        <f>IFERROR(VLOOKUP(H196,'G-1 All Habitats'!$Z$2:$AA$9,2,FALSE),"")</f>
        <v/>
      </c>
      <c r="J196" s="114"/>
      <c r="K196" s="370" t="str">
        <f>IF(J196="","",IF(VLOOKUP(J196,'G-3 Multipliers'!$L$3:$N$6,2,FALSE)=0,"Spatial Data Missing",VLOOKUP(J196,'G-3 Multipliers'!$L$3:$N$6,2,FALSE)))</f>
        <v/>
      </c>
      <c r="L196" s="368" t="str">
        <f>IF(J196="","",IF(VLOOKUP(J196,'G-3 Multipliers'!$L$3:$N$6,3,FALSE)=0,"Spatial Data Missing ⚠",VLOOKUP(J196,'G-3 Multipliers'!$L$3:$N$6,3,FALSE)))</f>
        <v/>
      </c>
      <c r="M196" s="369" t="str">
        <f>IF(D196="","",VLOOKUP(D196,'G-6 Hedgerow Data'!$B$1:$AH$15,33,FALSE))</f>
        <v/>
      </c>
      <c r="N196" s="376" t="str">
        <f t="shared" si="16"/>
        <v/>
      </c>
      <c r="O196" s="32"/>
      <c r="P196" s="122"/>
      <c r="Q196" s="165"/>
      <c r="R196" s="393" t="str">
        <f t="shared" si="17"/>
        <v/>
      </c>
      <c r="S196" s="393" t="str">
        <f t="shared" si="18"/>
        <v/>
      </c>
      <c r="T196" s="393" t="str">
        <f t="shared" si="19"/>
        <v/>
      </c>
      <c r="U196" s="415" t="str">
        <f t="shared" si="20"/>
        <v/>
      </c>
      <c r="V196" s="119"/>
      <c r="W196" s="120"/>
      <c r="X196" s="120"/>
      <c r="AE196" s="124" t="str">
        <f t="shared" si="14"/>
        <v/>
      </c>
      <c r="AF196" s="124" t="str">
        <f t="shared" si="15"/>
        <v/>
      </c>
      <c r="AH196" s="124">
        <v>187</v>
      </c>
      <c r="AJ196" s="124" t="str">
        <f t="array" ref="AJ196">IFERROR(INDEX($AH$10:$AH$258, MATCH(0, IF(TRUE=$AE$10:$AE$258, COUNTIF($AJ$9:$AJ195, $AH$10:$AH$258), ""), 0)),"")</f>
        <v/>
      </c>
      <c r="AK196" s="124" t="str">
        <f t="array" ref="AK196">IFERROR(INDEX($AH$10:$AH$258, MATCH(0, IF(TRUE=$AF$10:$AF$258, COUNTIF($AK$9:$AK195, $AH$10:$AH$258), ""), 0)),"")</f>
        <v/>
      </c>
      <c r="AL196" s="30" t="str">
        <f>IFERROR(INDEX('G-6 Hedgerow Data'!$BJ$3:$BJ$15,MATCH(D196,'G-6 Hedgerow Data'!$B$3:$B$15,0)),"")</f>
        <v/>
      </c>
    </row>
    <row r="197" spans="2:38">
      <c r="B197" s="110">
        <v>188</v>
      </c>
      <c r="C197" s="165"/>
      <c r="D197" s="165"/>
      <c r="E197" s="121"/>
      <c r="F197" s="411" t="str">
        <f>IF(D197="","",VLOOKUP(D197,'G-6 Hedgerow Data'!$B$2:$AG$15,2,FALSE))</f>
        <v/>
      </c>
      <c r="G197" s="363" t="str">
        <f>IF(D197="","",VLOOKUP(D197,'G-6 Hedgerow Data'!$B$2:$AG$15,3,FALSE))</f>
        <v/>
      </c>
      <c r="H197" s="114"/>
      <c r="I197" s="363" t="str">
        <f>IFERROR(VLOOKUP(H197,'G-1 All Habitats'!$Z$2:$AA$9,2,FALSE),"")</f>
        <v/>
      </c>
      <c r="J197" s="114"/>
      <c r="K197" s="370" t="str">
        <f>IF(J197="","",IF(VLOOKUP(J197,'G-3 Multipliers'!$L$3:$N$6,2,FALSE)=0,"Spatial Data Missing",VLOOKUP(J197,'G-3 Multipliers'!$L$3:$N$6,2,FALSE)))</f>
        <v/>
      </c>
      <c r="L197" s="368" t="str">
        <f>IF(J197="","",IF(VLOOKUP(J197,'G-3 Multipliers'!$L$3:$N$6,3,FALSE)=0,"Spatial Data Missing ⚠",VLOOKUP(J197,'G-3 Multipliers'!$L$3:$N$6,3,FALSE)))</f>
        <v/>
      </c>
      <c r="M197" s="369" t="str">
        <f>IF(D197="","",VLOOKUP(D197,'G-6 Hedgerow Data'!$B$1:$AH$15,33,FALSE))</f>
        <v/>
      </c>
      <c r="N197" s="376" t="str">
        <f t="shared" si="16"/>
        <v/>
      </c>
      <c r="O197" s="32"/>
      <c r="P197" s="122"/>
      <c r="Q197" s="165"/>
      <c r="R197" s="393" t="str">
        <f t="shared" si="17"/>
        <v/>
      </c>
      <c r="S197" s="393" t="str">
        <f t="shared" si="18"/>
        <v/>
      </c>
      <c r="T197" s="393" t="str">
        <f t="shared" si="19"/>
        <v/>
      </c>
      <c r="U197" s="415" t="str">
        <f t="shared" si="20"/>
        <v/>
      </c>
      <c r="V197" s="119"/>
      <c r="W197" s="120"/>
      <c r="X197" s="120"/>
      <c r="AE197" s="124" t="str">
        <f t="shared" si="14"/>
        <v/>
      </c>
      <c r="AF197" s="124" t="str">
        <f t="shared" si="15"/>
        <v/>
      </c>
      <c r="AH197" s="124">
        <v>188</v>
      </c>
      <c r="AJ197" s="124" t="str">
        <f t="array" ref="AJ197">IFERROR(INDEX($AH$10:$AH$258, MATCH(0, IF(TRUE=$AE$10:$AE$258, COUNTIF($AJ$9:$AJ196, $AH$10:$AH$258), ""), 0)),"")</f>
        <v/>
      </c>
      <c r="AK197" s="124" t="str">
        <f t="array" ref="AK197">IFERROR(INDEX($AH$10:$AH$258, MATCH(0, IF(TRUE=$AF$10:$AF$258, COUNTIF($AK$9:$AK196, $AH$10:$AH$258), ""), 0)),"")</f>
        <v/>
      </c>
      <c r="AL197" s="30" t="str">
        <f>IFERROR(INDEX('G-6 Hedgerow Data'!$BJ$3:$BJ$15,MATCH(D197,'G-6 Hedgerow Data'!$B$3:$B$15,0)),"")</f>
        <v/>
      </c>
    </row>
    <row r="198" spans="2:38">
      <c r="B198" s="110">
        <v>189</v>
      </c>
      <c r="C198" s="165"/>
      <c r="D198" s="165"/>
      <c r="E198" s="121"/>
      <c r="F198" s="411" t="str">
        <f>IF(D198="","",VLOOKUP(D198,'G-6 Hedgerow Data'!$B$2:$AG$15,2,FALSE))</f>
        <v/>
      </c>
      <c r="G198" s="363" t="str">
        <f>IF(D198="","",VLOOKUP(D198,'G-6 Hedgerow Data'!$B$2:$AG$15,3,FALSE))</f>
        <v/>
      </c>
      <c r="H198" s="114"/>
      <c r="I198" s="363" t="str">
        <f>IFERROR(VLOOKUP(H198,'G-1 All Habitats'!$Z$2:$AA$9,2,FALSE),"")</f>
        <v/>
      </c>
      <c r="J198" s="114"/>
      <c r="K198" s="370" t="str">
        <f>IF(J198="","",IF(VLOOKUP(J198,'G-3 Multipliers'!$L$3:$N$6,2,FALSE)=0,"Spatial Data Missing",VLOOKUP(J198,'G-3 Multipliers'!$L$3:$N$6,2,FALSE)))</f>
        <v/>
      </c>
      <c r="L198" s="368" t="str">
        <f>IF(J198="","",IF(VLOOKUP(J198,'G-3 Multipliers'!$L$3:$N$6,3,FALSE)=0,"Spatial Data Missing ⚠",VLOOKUP(J198,'G-3 Multipliers'!$L$3:$N$6,3,FALSE)))</f>
        <v/>
      </c>
      <c r="M198" s="369" t="str">
        <f>IF(D198="","",VLOOKUP(D198,'G-6 Hedgerow Data'!$B$1:$AH$15,33,FALSE))</f>
        <v/>
      </c>
      <c r="N198" s="376" t="str">
        <f t="shared" si="16"/>
        <v/>
      </c>
      <c r="O198" s="32"/>
      <c r="P198" s="122"/>
      <c r="Q198" s="165"/>
      <c r="R198" s="393" t="str">
        <f t="shared" si="17"/>
        <v/>
      </c>
      <c r="S198" s="393" t="str">
        <f t="shared" si="18"/>
        <v/>
      </c>
      <c r="T198" s="393" t="str">
        <f t="shared" si="19"/>
        <v/>
      </c>
      <c r="U198" s="415" t="str">
        <f t="shared" si="20"/>
        <v/>
      </c>
      <c r="V198" s="119"/>
      <c r="W198" s="120"/>
      <c r="X198" s="120"/>
      <c r="AE198" s="124" t="str">
        <f t="shared" si="14"/>
        <v/>
      </c>
      <c r="AF198" s="124" t="str">
        <f t="shared" si="15"/>
        <v/>
      </c>
      <c r="AH198" s="124">
        <v>189</v>
      </c>
      <c r="AJ198" s="124" t="str">
        <f t="array" ref="AJ198">IFERROR(INDEX($AH$10:$AH$258, MATCH(0, IF(TRUE=$AE$10:$AE$258, COUNTIF($AJ$9:$AJ197, $AH$10:$AH$258), ""), 0)),"")</f>
        <v/>
      </c>
      <c r="AK198" s="124" t="str">
        <f t="array" ref="AK198">IFERROR(INDEX($AH$10:$AH$258, MATCH(0, IF(TRUE=$AF$10:$AF$258, COUNTIF($AK$9:$AK197, $AH$10:$AH$258), ""), 0)),"")</f>
        <v/>
      </c>
      <c r="AL198" s="30" t="str">
        <f>IFERROR(INDEX('G-6 Hedgerow Data'!$BJ$3:$BJ$15,MATCH(D198,'G-6 Hedgerow Data'!$B$3:$B$15,0)),"")</f>
        <v/>
      </c>
    </row>
    <row r="199" spans="2:38">
      <c r="B199" s="110">
        <v>190</v>
      </c>
      <c r="C199" s="165"/>
      <c r="D199" s="165"/>
      <c r="E199" s="121"/>
      <c r="F199" s="411" t="str">
        <f>IF(D199="","",VLOOKUP(D199,'G-6 Hedgerow Data'!$B$2:$AG$15,2,FALSE))</f>
        <v/>
      </c>
      <c r="G199" s="363" t="str">
        <f>IF(D199="","",VLOOKUP(D199,'G-6 Hedgerow Data'!$B$2:$AG$15,3,FALSE))</f>
        <v/>
      </c>
      <c r="H199" s="114"/>
      <c r="I199" s="363" t="str">
        <f>IFERROR(VLOOKUP(H199,'G-1 All Habitats'!$Z$2:$AA$9,2,FALSE),"")</f>
        <v/>
      </c>
      <c r="J199" s="114"/>
      <c r="K199" s="370" t="str">
        <f>IF(J199="","",IF(VLOOKUP(J199,'G-3 Multipliers'!$L$3:$N$6,2,FALSE)=0,"Spatial Data Missing",VLOOKUP(J199,'G-3 Multipliers'!$L$3:$N$6,2,FALSE)))</f>
        <v/>
      </c>
      <c r="L199" s="368" t="str">
        <f>IF(J199="","",IF(VLOOKUP(J199,'G-3 Multipliers'!$L$3:$N$6,3,FALSE)=0,"Spatial Data Missing ⚠",VLOOKUP(J199,'G-3 Multipliers'!$L$3:$N$6,3,FALSE)))</f>
        <v/>
      </c>
      <c r="M199" s="369" t="str">
        <f>IF(D199="","",VLOOKUP(D199,'G-6 Hedgerow Data'!$B$1:$AH$15,33,FALSE))</f>
        <v/>
      </c>
      <c r="N199" s="376" t="str">
        <f t="shared" si="16"/>
        <v/>
      </c>
      <c r="O199" s="32"/>
      <c r="P199" s="122"/>
      <c r="Q199" s="165"/>
      <c r="R199" s="393" t="str">
        <f t="shared" si="17"/>
        <v/>
      </c>
      <c r="S199" s="393" t="str">
        <f t="shared" si="18"/>
        <v/>
      </c>
      <c r="T199" s="393" t="str">
        <f t="shared" si="19"/>
        <v/>
      </c>
      <c r="U199" s="415" t="str">
        <f t="shared" si="20"/>
        <v/>
      </c>
      <c r="V199" s="119"/>
      <c r="W199" s="120"/>
      <c r="X199" s="120"/>
      <c r="AE199" s="124" t="str">
        <f t="shared" si="14"/>
        <v/>
      </c>
      <c r="AF199" s="124" t="str">
        <f t="shared" si="15"/>
        <v/>
      </c>
      <c r="AH199" s="124">
        <v>190</v>
      </c>
      <c r="AJ199" s="124" t="str">
        <f t="array" ref="AJ199">IFERROR(INDEX($AH$10:$AH$258, MATCH(0, IF(TRUE=$AE$10:$AE$258, COUNTIF($AJ$9:$AJ198, $AH$10:$AH$258), ""), 0)),"")</f>
        <v/>
      </c>
      <c r="AK199" s="124" t="str">
        <f t="array" ref="AK199">IFERROR(INDEX($AH$10:$AH$258, MATCH(0, IF(TRUE=$AF$10:$AF$258, COUNTIF($AK$9:$AK198, $AH$10:$AH$258), ""), 0)),"")</f>
        <v/>
      </c>
      <c r="AL199" s="30" t="str">
        <f>IFERROR(INDEX('G-6 Hedgerow Data'!$BJ$3:$BJ$15,MATCH(D199,'G-6 Hedgerow Data'!$B$3:$B$15,0)),"")</f>
        <v/>
      </c>
    </row>
    <row r="200" spans="2:38">
      <c r="B200" s="110">
        <v>191</v>
      </c>
      <c r="C200" s="165"/>
      <c r="D200" s="165"/>
      <c r="E200" s="121"/>
      <c r="F200" s="411" t="str">
        <f>IF(D200="","",VLOOKUP(D200,'G-6 Hedgerow Data'!$B$2:$AG$15,2,FALSE))</f>
        <v/>
      </c>
      <c r="G200" s="363" t="str">
        <f>IF(D200="","",VLOOKUP(D200,'G-6 Hedgerow Data'!$B$2:$AG$15,3,FALSE))</f>
        <v/>
      </c>
      <c r="H200" s="114"/>
      <c r="I200" s="363" t="str">
        <f>IFERROR(VLOOKUP(H200,'G-1 All Habitats'!$Z$2:$AA$9,2,FALSE),"")</f>
        <v/>
      </c>
      <c r="J200" s="114"/>
      <c r="K200" s="370" t="str">
        <f>IF(J200="","",IF(VLOOKUP(J200,'G-3 Multipliers'!$L$3:$N$6,2,FALSE)=0,"Spatial Data Missing",VLOOKUP(J200,'G-3 Multipliers'!$L$3:$N$6,2,FALSE)))</f>
        <v/>
      </c>
      <c r="L200" s="368" t="str">
        <f>IF(J200="","",IF(VLOOKUP(J200,'G-3 Multipliers'!$L$3:$N$6,3,FALSE)=0,"Spatial Data Missing ⚠",VLOOKUP(J200,'G-3 Multipliers'!$L$3:$N$6,3,FALSE)))</f>
        <v/>
      </c>
      <c r="M200" s="369" t="str">
        <f>IF(D200="","",VLOOKUP(D200,'G-6 Hedgerow Data'!$B$1:$AH$15,33,FALSE))</f>
        <v/>
      </c>
      <c r="N200" s="376" t="str">
        <f t="shared" si="16"/>
        <v/>
      </c>
      <c r="O200" s="32"/>
      <c r="P200" s="122"/>
      <c r="Q200" s="165"/>
      <c r="R200" s="393" t="str">
        <f t="shared" si="17"/>
        <v/>
      </c>
      <c r="S200" s="393" t="str">
        <f t="shared" si="18"/>
        <v/>
      </c>
      <c r="T200" s="393" t="str">
        <f t="shared" si="19"/>
        <v/>
      </c>
      <c r="U200" s="415" t="str">
        <f t="shared" si="20"/>
        <v/>
      </c>
      <c r="V200" s="119"/>
      <c r="W200" s="120"/>
      <c r="X200" s="120"/>
      <c r="AE200" s="124" t="str">
        <f t="shared" si="14"/>
        <v/>
      </c>
      <c r="AF200" s="124" t="str">
        <f t="shared" si="15"/>
        <v/>
      </c>
      <c r="AH200" s="124">
        <v>191</v>
      </c>
      <c r="AJ200" s="124" t="str">
        <f t="array" ref="AJ200">IFERROR(INDEX($AH$10:$AH$258, MATCH(0, IF(TRUE=$AE$10:$AE$258, COUNTIF($AJ$9:$AJ199, $AH$10:$AH$258), ""), 0)),"")</f>
        <v/>
      </c>
      <c r="AK200" s="124" t="str">
        <f t="array" ref="AK200">IFERROR(INDEX($AH$10:$AH$258, MATCH(0, IF(TRUE=$AF$10:$AF$258, COUNTIF($AK$9:$AK199, $AH$10:$AH$258), ""), 0)),"")</f>
        <v/>
      </c>
      <c r="AL200" s="30" t="str">
        <f>IFERROR(INDEX('G-6 Hedgerow Data'!$BJ$3:$BJ$15,MATCH(D200,'G-6 Hedgerow Data'!$B$3:$B$15,0)),"")</f>
        <v/>
      </c>
    </row>
    <row r="201" spans="2:38">
      <c r="B201" s="110">
        <v>192</v>
      </c>
      <c r="C201" s="165"/>
      <c r="D201" s="165"/>
      <c r="E201" s="121"/>
      <c r="F201" s="411" t="str">
        <f>IF(D201="","",VLOOKUP(D201,'G-6 Hedgerow Data'!$B$2:$AG$15,2,FALSE))</f>
        <v/>
      </c>
      <c r="G201" s="363" t="str">
        <f>IF(D201="","",VLOOKUP(D201,'G-6 Hedgerow Data'!$B$2:$AG$15,3,FALSE))</f>
        <v/>
      </c>
      <c r="H201" s="114"/>
      <c r="I201" s="363" t="str">
        <f>IFERROR(VLOOKUP(H201,'G-1 All Habitats'!$Z$2:$AA$9,2,FALSE),"")</f>
        <v/>
      </c>
      <c r="J201" s="114"/>
      <c r="K201" s="370" t="str">
        <f>IF(J201="","",IF(VLOOKUP(J201,'G-3 Multipliers'!$L$3:$N$6,2,FALSE)=0,"Spatial Data Missing",VLOOKUP(J201,'G-3 Multipliers'!$L$3:$N$6,2,FALSE)))</f>
        <v/>
      </c>
      <c r="L201" s="368" t="str">
        <f>IF(J201="","",IF(VLOOKUP(J201,'G-3 Multipliers'!$L$3:$N$6,3,FALSE)=0,"Spatial Data Missing ⚠",VLOOKUP(J201,'G-3 Multipliers'!$L$3:$N$6,3,FALSE)))</f>
        <v/>
      </c>
      <c r="M201" s="369" t="str">
        <f>IF(D201="","",VLOOKUP(D201,'G-6 Hedgerow Data'!$B$1:$AH$15,33,FALSE))</f>
        <v/>
      </c>
      <c r="N201" s="376" t="str">
        <f t="shared" si="16"/>
        <v/>
      </c>
      <c r="O201" s="32"/>
      <c r="P201" s="122"/>
      <c r="Q201" s="165"/>
      <c r="R201" s="393" t="str">
        <f t="shared" si="17"/>
        <v/>
      </c>
      <c r="S201" s="393" t="str">
        <f t="shared" si="18"/>
        <v/>
      </c>
      <c r="T201" s="393" t="str">
        <f t="shared" si="19"/>
        <v/>
      </c>
      <c r="U201" s="415" t="str">
        <f t="shared" si="20"/>
        <v/>
      </c>
      <c r="V201" s="119"/>
      <c r="W201" s="120"/>
      <c r="X201" s="120"/>
      <c r="AE201" s="124" t="str">
        <f t="shared" si="14"/>
        <v/>
      </c>
      <c r="AF201" s="124" t="str">
        <f t="shared" si="15"/>
        <v/>
      </c>
      <c r="AH201" s="124">
        <v>192</v>
      </c>
      <c r="AJ201" s="124" t="str">
        <f t="array" ref="AJ201">IFERROR(INDEX($AH$10:$AH$258, MATCH(0, IF(TRUE=$AE$10:$AE$258, COUNTIF($AJ$9:$AJ200, $AH$10:$AH$258), ""), 0)),"")</f>
        <v/>
      </c>
      <c r="AK201" s="124" t="str">
        <f t="array" ref="AK201">IFERROR(INDEX($AH$10:$AH$258, MATCH(0, IF(TRUE=$AF$10:$AF$258, COUNTIF($AK$9:$AK200, $AH$10:$AH$258), ""), 0)),"")</f>
        <v/>
      </c>
      <c r="AL201" s="30" t="str">
        <f>IFERROR(INDEX('G-6 Hedgerow Data'!$BJ$3:$BJ$15,MATCH(D201,'G-6 Hedgerow Data'!$B$3:$B$15,0)),"")</f>
        <v/>
      </c>
    </row>
    <row r="202" spans="2:38">
      <c r="B202" s="110">
        <v>193</v>
      </c>
      <c r="C202" s="165"/>
      <c r="D202" s="165"/>
      <c r="E202" s="121"/>
      <c r="F202" s="411" t="str">
        <f>IF(D202="","",VLOOKUP(D202,'G-6 Hedgerow Data'!$B$2:$AG$15,2,FALSE))</f>
        <v/>
      </c>
      <c r="G202" s="363" t="str">
        <f>IF(D202="","",VLOOKUP(D202,'G-6 Hedgerow Data'!$B$2:$AG$15,3,FALSE))</f>
        <v/>
      </c>
      <c r="H202" s="114"/>
      <c r="I202" s="363" t="str">
        <f>IFERROR(VLOOKUP(H202,'G-1 All Habitats'!$Z$2:$AA$9,2,FALSE),"")</f>
        <v/>
      </c>
      <c r="J202" s="114"/>
      <c r="K202" s="370" t="str">
        <f>IF(J202="","",IF(VLOOKUP(J202,'G-3 Multipliers'!$L$3:$N$6,2,FALSE)=0,"Spatial Data Missing",VLOOKUP(J202,'G-3 Multipliers'!$L$3:$N$6,2,FALSE)))</f>
        <v/>
      </c>
      <c r="L202" s="368" t="str">
        <f>IF(J202="","",IF(VLOOKUP(J202,'G-3 Multipliers'!$L$3:$N$6,3,FALSE)=0,"Spatial Data Missing ⚠",VLOOKUP(J202,'G-3 Multipliers'!$L$3:$N$6,3,FALSE)))</f>
        <v/>
      </c>
      <c r="M202" s="369" t="str">
        <f>IF(D202="","",VLOOKUP(D202,'G-6 Hedgerow Data'!$B$1:$AH$15,33,FALSE))</f>
        <v/>
      </c>
      <c r="N202" s="376" t="str">
        <f t="shared" si="16"/>
        <v/>
      </c>
      <c r="O202" s="32"/>
      <c r="P202" s="122"/>
      <c r="Q202" s="165"/>
      <c r="R202" s="393" t="str">
        <f t="shared" si="17"/>
        <v/>
      </c>
      <c r="S202" s="393" t="str">
        <f t="shared" si="18"/>
        <v/>
      </c>
      <c r="T202" s="393" t="str">
        <f t="shared" si="19"/>
        <v/>
      </c>
      <c r="U202" s="415" t="str">
        <f t="shared" si="20"/>
        <v/>
      </c>
      <c r="V202" s="119"/>
      <c r="W202" s="120"/>
      <c r="X202" s="120"/>
      <c r="AE202" s="124" t="str">
        <f t="shared" ref="AE202:AE257" si="21">IF(D202="","",IF(P202&gt;0,TRUE,FALSE))</f>
        <v/>
      </c>
      <c r="AF202" s="124" t="str">
        <f t="shared" ref="AF202:AF257" si="22">IF(D202="","",IF(Q202&gt;0,TRUE,FALSE))</f>
        <v/>
      </c>
      <c r="AH202" s="124">
        <v>193</v>
      </c>
      <c r="AJ202" s="124" t="str">
        <f t="array" ref="AJ202">IFERROR(INDEX($AH$10:$AH$258, MATCH(0, IF(TRUE=$AE$10:$AE$258, COUNTIF($AJ$9:$AJ201, $AH$10:$AH$258), ""), 0)),"")</f>
        <v/>
      </c>
      <c r="AK202" s="124" t="str">
        <f t="array" ref="AK202">IFERROR(INDEX($AH$10:$AH$258, MATCH(0, IF(TRUE=$AF$10:$AF$258, COUNTIF($AK$9:$AK201, $AH$10:$AH$258), ""), 0)),"")</f>
        <v/>
      </c>
      <c r="AL202" s="30" t="str">
        <f>IFERROR(INDEX('G-6 Hedgerow Data'!$BJ$3:$BJ$15,MATCH(D202,'G-6 Hedgerow Data'!$B$3:$B$15,0)),"")</f>
        <v/>
      </c>
    </row>
    <row r="203" spans="2:38">
      <c r="B203" s="110">
        <v>194</v>
      </c>
      <c r="C203" s="165"/>
      <c r="D203" s="165"/>
      <c r="E203" s="121"/>
      <c r="F203" s="411" t="str">
        <f>IF(D203="","",VLOOKUP(D203,'G-6 Hedgerow Data'!$B$2:$AG$15,2,FALSE))</f>
        <v/>
      </c>
      <c r="G203" s="363" t="str">
        <f>IF(D203="","",VLOOKUP(D203,'G-6 Hedgerow Data'!$B$2:$AG$15,3,FALSE))</f>
        <v/>
      </c>
      <c r="H203" s="114"/>
      <c r="I203" s="363" t="str">
        <f>IFERROR(VLOOKUP(H203,'G-1 All Habitats'!$Z$2:$AA$9,2,FALSE),"")</f>
        <v/>
      </c>
      <c r="J203" s="114"/>
      <c r="K203" s="370" t="str">
        <f>IF(J203="","",IF(VLOOKUP(J203,'G-3 Multipliers'!$L$3:$N$6,2,FALSE)=0,"Spatial Data Missing",VLOOKUP(J203,'G-3 Multipliers'!$L$3:$N$6,2,FALSE)))</f>
        <v/>
      </c>
      <c r="L203" s="368" t="str">
        <f>IF(J203="","",IF(VLOOKUP(J203,'G-3 Multipliers'!$L$3:$N$6,3,FALSE)=0,"Spatial Data Missing ⚠",VLOOKUP(J203,'G-3 Multipliers'!$L$3:$N$6,3,FALSE)))</f>
        <v/>
      </c>
      <c r="M203" s="369" t="str">
        <f>IF(D203="","",VLOOKUP(D203,'G-6 Hedgerow Data'!$B$1:$AH$15,33,FALSE))</f>
        <v/>
      </c>
      <c r="N203" s="376" t="str">
        <f t="shared" ref="N203:N257" si="23">IFERROR(E203*G203*I203*L203,"")</f>
        <v/>
      </c>
      <c r="O203" s="32"/>
      <c r="P203" s="122"/>
      <c r="Q203" s="165"/>
      <c r="R203" s="393" t="str">
        <f t="shared" ref="R203:R257" si="24">IFERROR(P203*G203*I203*L203,"")</f>
        <v/>
      </c>
      <c r="S203" s="393" t="str">
        <f t="shared" ref="S203:S257" si="25">IFERROR(Q203*G203*I203*L203,"")</f>
        <v/>
      </c>
      <c r="T203" s="393" t="str">
        <f t="shared" ref="T203:T257" si="26">IF(D203="","",IF(E203-P203-Q203=0&lt;0,"Error in lengths ▲",IF(P203+Q203&gt;E203,"Error in Lengths ▲",E203-P203-Q203)))</f>
        <v/>
      </c>
      <c r="U203" s="415" t="str">
        <f t="shared" ref="U203:U257" si="27">IF(OR(E203="",N203=""),"",IF(E203-P203-Q203=0&lt;0,"Error in Lengths ▲",IF(P203+Q203&gt;E203,"Error in Lengths ▲",N203-R203-S203)))</f>
        <v/>
      </c>
      <c r="V203" s="119"/>
      <c r="W203" s="120"/>
      <c r="X203" s="120"/>
      <c r="AE203" s="124" t="str">
        <f t="shared" si="21"/>
        <v/>
      </c>
      <c r="AF203" s="124" t="str">
        <f t="shared" si="22"/>
        <v/>
      </c>
      <c r="AH203" s="124">
        <v>194</v>
      </c>
      <c r="AJ203" s="124" t="str">
        <f t="array" ref="AJ203">IFERROR(INDEX($AH$10:$AH$258, MATCH(0, IF(TRUE=$AE$10:$AE$258, COUNTIF($AJ$9:$AJ202, $AH$10:$AH$258), ""), 0)),"")</f>
        <v/>
      </c>
      <c r="AK203" s="124" t="str">
        <f t="array" ref="AK203">IFERROR(INDEX($AH$10:$AH$258, MATCH(0, IF(TRUE=$AF$10:$AF$258, COUNTIF($AK$9:$AK202, $AH$10:$AH$258), ""), 0)),"")</f>
        <v/>
      </c>
      <c r="AL203" s="30" t="str">
        <f>IFERROR(INDEX('G-6 Hedgerow Data'!$BJ$3:$BJ$15,MATCH(D203,'G-6 Hedgerow Data'!$B$3:$B$15,0)),"")</f>
        <v/>
      </c>
    </row>
    <row r="204" spans="2:38">
      <c r="B204" s="110">
        <v>195</v>
      </c>
      <c r="C204" s="165"/>
      <c r="D204" s="165"/>
      <c r="E204" s="121"/>
      <c r="F204" s="411" t="str">
        <f>IF(D204="","",VLOOKUP(D204,'G-6 Hedgerow Data'!$B$2:$AG$15,2,FALSE))</f>
        <v/>
      </c>
      <c r="G204" s="363" t="str">
        <f>IF(D204="","",VLOOKUP(D204,'G-6 Hedgerow Data'!$B$2:$AG$15,3,FALSE))</f>
        <v/>
      </c>
      <c r="H204" s="114"/>
      <c r="I204" s="363" t="str">
        <f>IFERROR(VLOOKUP(H204,'G-1 All Habitats'!$Z$2:$AA$9,2,FALSE),"")</f>
        <v/>
      </c>
      <c r="J204" s="114"/>
      <c r="K204" s="370" t="str">
        <f>IF(J204="","",IF(VLOOKUP(J204,'G-3 Multipliers'!$L$3:$N$6,2,FALSE)=0,"Spatial Data Missing",VLOOKUP(J204,'G-3 Multipliers'!$L$3:$N$6,2,FALSE)))</f>
        <v/>
      </c>
      <c r="L204" s="368" t="str">
        <f>IF(J204="","",IF(VLOOKUP(J204,'G-3 Multipliers'!$L$3:$N$6,3,FALSE)=0,"Spatial Data Missing ⚠",VLOOKUP(J204,'G-3 Multipliers'!$L$3:$N$6,3,FALSE)))</f>
        <v/>
      </c>
      <c r="M204" s="369" t="str">
        <f>IF(D204="","",VLOOKUP(D204,'G-6 Hedgerow Data'!$B$1:$AH$15,33,FALSE))</f>
        <v/>
      </c>
      <c r="N204" s="376" t="str">
        <f t="shared" si="23"/>
        <v/>
      </c>
      <c r="O204" s="32"/>
      <c r="P204" s="122"/>
      <c r="Q204" s="165"/>
      <c r="R204" s="393" t="str">
        <f t="shared" si="24"/>
        <v/>
      </c>
      <c r="S204" s="393" t="str">
        <f t="shared" si="25"/>
        <v/>
      </c>
      <c r="T204" s="393" t="str">
        <f t="shared" si="26"/>
        <v/>
      </c>
      <c r="U204" s="415" t="str">
        <f t="shared" si="27"/>
        <v/>
      </c>
      <c r="V204" s="119"/>
      <c r="W204" s="120"/>
      <c r="X204" s="120"/>
      <c r="AE204" s="124" t="str">
        <f t="shared" si="21"/>
        <v/>
      </c>
      <c r="AF204" s="124" t="str">
        <f t="shared" si="22"/>
        <v/>
      </c>
      <c r="AH204" s="124">
        <v>195</v>
      </c>
      <c r="AJ204" s="124" t="str">
        <f t="array" ref="AJ204">IFERROR(INDEX($AH$10:$AH$258, MATCH(0, IF(TRUE=$AE$10:$AE$258, COUNTIF($AJ$9:$AJ203, $AH$10:$AH$258), ""), 0)),"")</f>
        <v/>
      </c>
      <c r="AK204" s="124" t="str">
        <f t="array" ref="AK204">IFERROR(INDEX($AH$10:$AH$258, MATCH(0, IF(TRUE=$AF$10:$AF$258, COUNTIF($AK$9:$AK203, $AH$10:$AH$258), ""), 0)),"")</f>
        <v/>
      </c>
      <c r="AL204" s="30" t="str">
        <f>IFERROR(INDEX('G-6 Hedgerow Data'!$BJ$3:$BJ$15,MATCH(D204,'G-6 Hedgerow Data'!$B$3:$B$15,0)),"")</f>
        <v/>
      </c>
    </row>
    <row r="205" spans="2:38">
      <c r="B205" s="110">
        <v>196</v>
      </c>
      <c r="C205" s="165"/>
      <c r="D205" s="165"/>
      <c r="E205" s="121"/>
      <c r="F205" s="411" t="str">
        <f>IF(D205="","",VLOOKUP(D205,'G-6 Hedgerow Data'!$B$2:$AG$15,2,FALSE))</f>
        <v/>
      </c>
      <c r="G205" s="363" t="str">
        <f>IF(D205="","",VLOOKUP(D205,'G-6 Hedgerow Data'!$B$2:$AG$15,3,FALSE))</f>
        <v/>
      </c>
      <c r="H205" s="114"/>
      <c r="I205" s="363" t="str">
        <f>IFERROR(VLOOKUP(H205,'G-1 All Habitats'!$Z$2:$AA$9,2,FALSE),"")</f>
        <v/>
      </c>
      <c r="J205" s="114"/>
      <c r="K205" s="370" t="str">
        <f>IF(J205="","",IF(VLOOKUP(J205,'G-3 Multipliers'!$L$3:$N$6,2,FALSE)=0,"Spatial Data Missing",VLOOKUP(J205,'G-3 Multipliers'!$L$3:$N$6,2,FALSE)))</f>
        <v/>
      </c>
      <c r="L205" s="368" t="str">
        <f>IF(J205="","",IF(VLOOKUP(J205,'G-3 Multipliers'!$L$3:$N$6,3,FALSE)=0,"Spatial Data Missing ⚠",VLOOKUP(J205,'G-3 Multipliers'!$L$3:$N$6,3,FALSE)))</f>
        <v/>
      </c>
      <c r="M205" s="369" t="str">
        <f>IF(D205="","",VLOOKUP(D205,'G-6 Hedgerow Data'!$B$1:$AH$15,33,FALSE))</f>
        <v/>
      </c>
      <c r="N205" s="376" t="str">
        <f t="shared" si="23"/>
        <v/>
      </c>
      <c r="O205" s="32"/>
      <c r="P205" s="122"/>
      <c r="Q205" s="165"/>
      <c r="R205" s="393" t="str">
        <f t="shared" si="24"/>
        <v/>
      </c>
      <c r="S205" s="393" t="str">
        <f t="shared" si="25"/>
        <v/>
      </c>
      <c r="T205" s="393" t="str">
        <f t="shared" si="26"/>
        <v/>
      </c>
      <c r="U205" s="415" t="str">
        <f t="shared" si="27"/>
        <v/>
      </c>
      <c r="V205" s="119"/>
      <c r="W205" s="120"/>
      <c r="X205" s="120"/>
      <c r="AE205" s="124" t="str">
        <f t="shared" si="21"/>
        <v/>
      </c>
      <c r="AF205" s="124" t="str">
        <f t="shared" si="22"/>
        <v/>
      </c>
      <c r="AH205" s="124">
        <v>196</v>
      </c>
      <c r="AJ205" s="124" t="str">
        <f t="array" ref="AJ205">IFERROR(INDEX($AH$10:$AH$258, MATCH(0, IF(TRUE=$AE$10:$AE$258, COUNTIF($AJ$9:$AJ204, $AH$10:$AH$258), ""), 0)),"")</f>
        <v/>
      </c>
      <c r="AK205" s="124" t="str">
        <f t="array" ref="AK205">IFERROR(INDEX($AH$10:$AH$258, MATCH(0, IF(TRUE=$AF$10:$AF$258, COUNTIF($AK$9:$AK204, $AH$10:$AH$258), ""), 0)),"")</f>
        <v/>
      </c>
      <c r="AL205" s="30" t="str">
        <f>IFERROR(INDEX('G-6 Hedgerow Data'!$BJ$3:$BJ$15,MATCH(D205,'G-6 Hedgerow Data'!$B$3:$B$15,0)),"")</f>
        <v/>
      </c>
    </row>
    <row r="206" spans="2:38">
      <c r="B206" s="110">
        <v>197</v>
      </c>
      <c r="C206" s="165"/>
      <c r="D206" s="165"/>
      <c r="E206" s="121"/>
      <c r="F206" s="411" t="str">
        <f>IF(D206="","",VLOOKUP(D206,'G-6 Hedgerow Data'!$B$2:$AG$15,2,FALSE))</f>
        <v/>
      </c>
      <c r="G206" s="363" t="str">
        <f>IF(D206="","",VLOOKUP(D206,'G-6 Hedgerow Data'!$B$2:$AG$15,3,FALSE))</f>
        <v/>
      </c>
      <c r="H206" s="114"/>
      <c r="I206" s="363" t="str">
        <f>IFERROR(VLOOKUP(H206,'G-1 All Habitats'!$Z$2:$AA$9,2,FALSE),"")</f>
        <v/>
      </c>
      <c r="J206" s="114"/>
      <c r="K206" s="370" t="str">
        <f>IF(J206="","",IF(VLOOKUP(J206,'G-3 Multipliers'!$L$3:$N$6,2,FALSE)=0,"Spatial Data Missing",VLOOKUP(J206,'G-3 Multipliers'!$L$3:$N$6,2,FALSE)))</f>
        <v/>
      </c>
      <c r="L206" s="368" t="str">
        <f>IF(J206="","",IF(VLOOKUP(J206,'G-3 Multipliers'!$L$3:$N$6,3,FALSE)=0,"Spatial Data Missing ⚠",VLOOKUP(J206,'G-3 Multipliers'!$L$3:$N$6,3,FALSE)))</f>
        <v/>
      </c>
      <c r="M206" s="369" t="str">
        <f>IF(D206="","",VLOOKUP(D206,'G-6 Hedgerow Data'!$B$1:$AH$15,33,FALSE))</f>
        <v/>
      </c>
      <c r="N206" s="376" t="str">
        <f t="shared" si="23"/>
        <v/>
      </c>
      <c r="O206" s="32"/>
      <c r="P206" s="122"/>
      <c r="Q206" s="165"/>
      <c r="R206" s="393" t="str">
        <f t="shared" si="24"/>
        <v/>
      </c>
      <c r="S206" s="393" t="str">
        <f t="shared" si="25"/>
        <v/>
      </c>
      <c r="T206" s="393" t="str">
        <f t="shared" si="26"/>
        <v/>
      </c>
      <c r="U206" s="415" t="str">
        <f t="shared" si="27"/>
        <v/>
      </c>
      <c r="V206" s="119"/>
      <c r="W206" s="120"/>
      <c r="X206" s="120"/>
      <c r="AE206" s="124" t="str">
        <f t="shared" si="21"/>
        <v/>
      </c>
      <c r="AF206" s="124" t="str">
        <f t="shared" si="22"/>
        <v/>
      </c>
      <c r="AH206" s="124">
        <v>197</v>
      </c>
      <c r="AJ206" s="124" t="str">
        <f t="array" ref="AJ206">IFERROR(INDEX($AH$10:$AH$258, MATCH(0, IF(TRUE=$AE$10:$AE$258, COUNTIF($AJ$9:$AJ205, $AH$10:$AH$258), ""), 0)),"")</f>
        <v/>
      </c>
      <c r="AK206" s="124" t="str">
        <f t="array" ref="AK206">IFERROR(INDEX($AH$10:$AH$258, MATCH(0, IF(TRUE=$AF$10:$AF$258, COUNTIF($AK$9:$AK205, $AH$10:$AH$258), ""), 0)),"")</f>
        <v/>
      </c>
      <c r="AL206" s="30" t="str">
        <f>IFERROR(INDEX('G-6 Hedgerow Data'!$BJ$3:$BJ$15,MATCH(D206,'G-6 Hedgerow Data'!$B$3:$B$15,0)),"")</f>
        <v/>
      </c>
    </row>
    <row r="207" spans="2:38">
      <c r="B207" s="110">
        <v>198</v>
      </c>
      <c r="C207" s="165"/>
      <c r="D207" s="165"/>
      <c r="E207" s="121"/>
      <c r="F207" s="411" t="str">
        <f>IF(D207="","",VLOOKUP(D207,'G-6 Hedgerow Data'!$B$2:$AG$15,2,FALSE))</f>
        <v/>
      </c>
      <c r="G207" s="363" t="str">
        <f>IF(D207="","",VLOOKUP(D207,'G-6 Hedgerow Data'!$B$2:$AG$15,3,FALSE))</f>
        <v/>
      </c>
      <c r="H207" s="114"/>
      <c r="I207" s="363" t="str">
        <f>IFERROR(VLOOKUP(H207,'G-1 All Habitats'!$Z$2:$AA$9,2,FALSE),"")</f>
        <v/>
      </c>
      <c r="J207" s="114"/>
      <c r="K207" s="370" t="str">
        <f>IF(J207="","",IF(VLOOKUP(J207,'G-3 Multipliers'!$L$3:$N$6,2,FALSE)=0,"Spatial Data Missing",VLOOKUP(J207,'G-3 Multipliers'!$L$3:$N$6,2,FALSE)))</f>
        <v/>
      </c>
      <c r="L207" s="368" t="str">
        <f>IF(J207="","",IF(VLOOKUP(J207,'G-3 Multipliers'!$L$3:$N$6,3,FALSE)=0,"Spatial Data Missing ⚠",VLOOKUP(J207,'G-3 Multipliers'!$L$3:$N$6,3,FALSE)))</f>
        <v/>
      </c>
      <c r="M207" s="369" t="str">
        <f>IF(D207="","",VLOOKUP(D207,'G-6 Hedgerow Data'!$B$1:$AH$15,33,FALSE))</f>
        <v/>
      </c>
      <c r="N207" s="376" t="str">
        <f t="shared" si="23"/>
        <v/>
      </c>
      <c r="O207" s="32"/>
      <c r="P207" s="122"/>
      <c r="Q207" s="165"/>
      <c r="R207" s="393" t="str">
        <f t="shared" si="24"/>
        <v/>
      </c>
      <c r="S207" s="393" t="str">
        <f t="shared" si="25"/>
        <v/>
      </c>
      <c r="T207" s="393" t="str">
        <f t="shared" si="26"/>
        <v/>
      </c>
      <c r="U207" s="415" t="str">
        <f t="shared" si="27"/>
        <v/>
      </c>
      <c r="V207" s="119"/>
      <c r="W207" s="120"/>
      <c r="X207" s="120"/>
      <c r="AE207" s="124" t="str">
        <f t="shared" si="21"/>
        <v/>
      </c>
      <c r="AF207" s="124" t="str">
        <f t="shared" si="22"/>
        <v/>
      </c>
      <c r="AH207" s="124">
        <v>198</v>
      </c>
      <c r="AJ207" s="124" t="str">
        <f t="array" ref="AJ207">IFERROR(INDEX($AH$10:$AH$258, MATCH(0, IF(TRUE=$AE$10:$AE$258, COUNTIF($AJ$9:$AJ206, $AH$10:$AH$258), ""), 0)),"")</f>
        <v/>
      </c>
      <c r="AK207" s="124" t="str">
        <f t="array" ref="AK207">IFERROR(INDEX($AH$10:$AH$258, MATCH(0, IF(TRUE=$AF$10:$AF$258, COUNTIF($AK$9:$AK206, $AH$10:$AH$258), ""), 0)),"")</f>
        <v/>
      </c>
      <c r="AL207" s="30" t="str">
        <f>IFERROR(INDEX('G-6 Hedgerow Data'!$BJ$3:$BJ$15,MATCH(D207,'G-6 Hedgerow Data'!$B$3:$B$15,0)),"")</f>
        <v/>
      </c>
    </row>
    <row r="208" spans="2:38">
      <c r="B208" s="110">
        <v>199</v>
      </c>
      <c r="C208" s="165"/>
      <c r="D208" s="165"/>
      <c r="E208" s="121"/>
      <c r="F208" s="411" t="str">
        <f>IF(D208="","",VLOOKUP(D208,'G-6 Hedgerow Data'!$B$2:$AG$15,2,FALSE))</f>
        <v/>
      </c>
      <c r="G208" s="363" t="str">
        <f>IF(D208="","",VLOOKUP(D208,'G-6 Hedgerow Data'!$B$2:$AG$15,3,FALSE))</f>
        <v/>
      </c>
      <c r="H208" s="114"/>
      <c r="I208" s="363" t="str">
        <f>IFERROR(VLOOKUP(H208,'G-1 All Habitats'!$Z$2:$AA$9,2,FALSE),"")</f>
        <v/>
      </c>
      <c r="J208" s="114"/>
      <c r="K208" s="370" t="str">
        <f>IF(J208="","",IF(VLOOKUP(J208,'G-3 Multipliers'!$L$3:$N$6,2,FALSE)=0,"Spatial Data Missing",VLOOKUP(J208,'G-3 Multipliers'!$L$3:$N$6,2,FALSE)))</f>
        <v/>
      </c>
      <c r="L208" s="368" t="str">
        <f>IF(J208="","",IF(VLOOKUP(J208,'G-3 Multipliers'!$L$3:$N$6,3,FALSE)=0,"Spatial Data Missing ⚠",VLOOKUP(J208,'G-3 Multipliers'!$L$3:$N$6,3,FALSE)))</f>
        <v/>
      </c>
      <c r="M208" s="369" t="str">
        <f>IF(D208="","",VLOOKUP(D208,'G-6 Hedgerow Data'!$B$1:$AH$15,33,FALSE))</f>
        <v/>
      </c>
      <c r="N208" s="376" t="str">
        <f t="shared" si="23"/>
        <v/>
      </c>
      <c r="O208" s="32"/>
      <c r="P208" s="122"/>
      <c r="Q208" s="165"/>
      <c r="R208" s="393" t="str">
        <f t="shared" si="24"/>
        <v/>
      </c>
      <c r="S208" s="393" t="str">
        <f t="shared" si="25"/>
        <v/>
      </c>
      <c r="T208" s="393" t="str">
        <f t="shared" si="26"/>
        <v/>
      </c>
      <c r="U208" s="415" t="str">
        <f t="shared" si="27"/>
        <v/>
      </c>
      <c r="V208" s="119"/>
      <c r="W208" s="120"/>
      <c r="X208" s="120"/>
      <c r="AE208" s="124" t="str">
        <f t="shared" si="21"/>
        <v/>
      </c>
      <c r="AF208" s="124" t="str">
        <f t="shared" si="22"/>
        <v/>
      </c>
      <c r="AH208" s="124">
        <v>199</v>
      </c>
      <c r="AJ208" s="124" t="str">
        <f t="array" ref="AJ208">IFERROR(INDEX($AH$10:$AH$258, MATCH(0, IF(TRUE=$AE$10:$AE$258, COUNTIF($AJ$9:$AJ207, $AH$10:$AH$258), ""), 0)),"")</f>
        <v/>
      </c>
      <c r="AK208" s="124" t="str">
        <f t="array" ref="AK208">IFERROR(INDEX($AH$10:$AH$258, MATCH(0, IF(TRUE=$AF$10:$AF$258, COUNTIF($AK$9:$AK207, $AH$10:$AH$258), ""), 0)),"")</f>
        <v/>
      </c>
      <c r="AL208" s="30" t="str">
        <f>IFERROR(INDEX('G-6 Hedgerow Data'!$BJ$3:$BJ$15,MATCH(D208,'G-6 Hedgerow Data'!$B$3:$B$15,0)),"")</f>
        <v/>
      </c>
    </row>
    <row r="209" spans="2:38">
      <c r="B209" s="110">
        <v>200</v>
      </c>
      <c r="C209" s="165"/>
      <c r="D209" s="165"/>
      <c r="E209" s="121"/>
      <c r="F209" s="411" t="str">
        <f>IF(D209="","",VLOOKUP(D209,'G-6 Hedgerow Data'!$B$2:$AG$15,2,FALSE))</f>
        <v/>
      </c>
      <c r="G209" s="363" t="str">
        <f>IF(D209="","",VLOOKUP(D209,'G-6 Hedgerow Data'!$B$2:$AG$15,3,FALSE))</f>
        <v/>
      </c>
      <c r="H209" s="114"/>
      <c r="I209" s="363" t="str">
        <f>IFERROR(VLOOKUP(H209,'G-1 All Habitats'!$Z$2:$AA$9,2,FALSE),"")</f>
        <v/>
      </c>
      <c r="J209" s="114"/>
      <c r="K209" s="370" t="str">
        <f>IF(J209="","",IF(VLOOKUP(J209,'G-3 Multipliers'!$L$3:$N$6,2,FALSE)=0,"Spatial Data Missing",VLOOKUP(J209,'G-3 Multipliers'!$L$3:$N$6,2,FALSE)))</f>
        <v/>
      </c>
      <c r="L209" s="368" t="str">
        <f>IF(J209="","",IF(VLOOKUP(J209,'G-3 Multipliers'!$L$3:$N$6,3,FALSE)=0,"Spatial Data Missing ⚠",VLOOKUP(J209,'G-3 Multipliers'!$L$3:$N$6,3,FALSE)))</f>
        <v/>
      </c>
      <c r="M209" s="369" t="str">
        <f>IF(D209="","",VLOOKUP(D209,'G-6 Hedgerow Data'!$B$1:$AH$15,33,FALSE))</f>
        <v/>
      </c>
      <c r="N209" s="376" t="str">
        <f t="shared" si="23"/>
        <v/>
      </c>
      <c r="O209" s="32"/>
      <c r="P209" s="122"/>
      <c r="Q209" s="165"/>
      <c r="R209" s="393" t="str">
        <f t="shared" si="24"/>
        <v/>
      </c>
      <c r="S209" s="393" t="str">
        <f t="shared" si="25"/>
        <v/>
      </c>
      <c r="T209" s="393" t="str">
        <f t="shared" si="26"/>
        <v/>
      </c>
      <c r="U209" s="415" t="str">
        <f t="shared" si="27"/>
        <v/>
      </c>
      <c r="V209" s="119"/>
      <c r="W209" s="120"/>
      <c r="X209" s="120"/>
      <c r="AE209" s="124" t="str">
        <f t="shared" si="21"/>
        <v/>
      </c>
      <c r="AF209" s="124" t="str">
        <f t="shared" si="22"/>
        <v/>
      </c>
      <c r="AH209" s="124">
        <v>200</v>
      </c>
      <c r="AJ209" s="124" t="str">
        <f t="array" ref="AJ209">IFERROR(INDEX($AH$10:$AH$258, MATCH(0, IF(TRUE=$AE$10:$AE$258, COUNTIF($AJ$9:$AJ208, $AH$10:$AH$258), ""), 0)),"")</f>
        <v/>
      </c>
      <c r="AK209" s="124" t="str">
        <f t="array" ref="AK209">IFERROR(INDEX($AH$10:$AH$258, MATCH(0, IF(TRUE=$AF$10:$AF$258, COUNTIF($AK$9:$AK208, $AH$10:$AH$258), ""), 0)),"")</f>
        <v/>
      </c>
      <c r="AL209" s="30" t="str">
        <f>IFERROR(INDEX('G-6 Hedgerow Data'!$BJ$3:$BJ$15,MATCH(D209,'G-6 Hedgerow Data'!$B$3:$B$15,0)),"")</f>
        <v/>
      </c>
    </row>
    <row r="210" spans="2:38">
      <c r="B210" s="110">
        <v>201</v>
      </c>
      <c r="C210" s="165"/>
      <c r="D210" s="165"/>
      <c r="E210" s="121"/>
      <c r="F210" s="411" t="str">
        <f>IF(D210="","",VLOOKUP(D210,'G-6 Hedgerow Data'!$B$2:$AG$15,2,FALSE))</f>
        <v/>
      </c>
      <c r="G210" s="363" t="str">
        <f>IF(D210="","",VLOOKUP(D210,'G-6 Hedgerow Data'!$B$2:$AG$15,3,FALSE))</f>
        <v/>
      </c>
      <c r="H210" s="114"/>
      <c r="I210" s="363" t="str">
        <f>IFERROR(VLOOKUP(H210,'G-1 All Habitats'!$Z$2:$AA$9,2,FALSE),"")</f>
        <v/>
      </c>
      <c r="J210" s="114"/>
      <c r="K210" s="370" t="str">
        <f>IF(J210="","",IF(VLOOKUP(J210,'G-3 Multipliers'!$L$3:$N$6,2,FALSE)=0,"Spatial Data Missing",VLOOKUP(J210,'G-3 Multipliers'!$L$3:$N$6,2,FALSE)))</f>
        <v/>
      </c>
      <c r="L210" s="368" t="str">
        <f>IF(J210="","",IF(VLOOKUP(J210,'G-3 Multipliers'!$L$3:$N$6,3,FALSE)=0,"Spatial Data Missing ⚠",VLOOKUP(J210,'G-3 Multipliers'!$L$3:$N$6,3,FALSE)))</f>
        <v/>
      </c>
      <c r="M210" s="369" t="str">
        <f>IF(D210="","",VLOOKUP(D210,'G-6 Hedgerow Data'!$B$1:$AH$15,33,FALSE))</f>
        <v/>
      </c>
      <c r="N210" s="376" t="str">
        <f t="shared" si="23"/>
        <v/>
      </c>
      <c r="O210" s="32"/>
      <c r="P210" s="122"/>
      <c r="Q210" s="165"/>
      <c r="R210" s="393" t="str">
        <f t="shared" si="24"/>
        <v/>
      </c>
      <c r="S210" s="393" t="str">
        <f t="shared" si="25"/>
        <v/>
      </c>
      <c r="T210" s="393" t="str">
        <f t="shared" si="26"/>
        <v/>
      </c>
      <c r="U210" s="415" t="str">
        <f t="shared" si="27"/>
        <v/>
      </c>
      <c r="V210" s="119"/>
      <c r="W210" s="120"/>
      <c r="X210" s="120"/>
      <c r="AE210" s="124" t="str">
        <f t="shared" si="21"/>
        <v/>
      </c>
      <c r="AF210" s="124" t="str">
        <f t="shared" si="22"/>
        <v/>
      </c>
      <c r="AH210" s="124">
        <v>201</v>
      </c>
      <c r="AJ210" s="124" t="str">
        <f t="array" ref="AJ210">IFERROR(INDEX($AH$10:$AH$258, MATCH(0, IF(TRUE=$AE$10:$AE$258, COUNTIF($AJ$9:$AJ209, $AH$10:$AH$258), ""), 0)),"")</f>
        <v/>
      </c>
      <c r="AK210" s="124" t="str">
        <f t="array" ref="AK210">IFERROR(INDEX($AH$10:$AH$258, MATCH(0, IF(TRUE=$AF$10:$AF$258, COUNTIF($AK$9:$AK209, $AH$10:$AH$258), ""), 0)),"")</f>
        <v/>
      </c>
      <c r="AL210" s="30" t="str">
        <f>IFERROR(INDEX('G-6 Hedgerow Data'!$BJ$3:$BJ$15,MATCH(D210,'G-6 Hedgerow Data'!$B$3:$B$15,0)),"")</f>
        <v/>
      </c>
    </row>
    <row r="211" spans="2:38">
      <c r="B211" s="110">
        <v>202</v>
      </c>
      <c r="C211" s="165"/>
      <c r="D211" s="165"/>
      <c r="E211" s="121"/>
      <c r="F211" s="411" t="str">
        <f>IF(D211="","",VLOOKUP(D211,'G-6 Hedgerow Data'!$B$2:$AG$15,2,FALSE))</f>
        <v/>
      </c>
      <c r="G211" s="363" t="str">
        <f>IF(D211="","",VLOOKUP(D211,'G-6 Hedgerow Data'!$B$2:$AG$15,3,FALSE))</f>
        <v/>
      </c>
      <c r="H211" s="114"/>
      <c r="I211" s="363" t="str">
        <f>IFERROR(VLOOKUP(H211,'G-1 All Habitats'!$Z$2:$AA$9,2,FALSE),"")</f>
        <v/>
      </c>
      <c r="J211" s="114"/>
      <c r="K211" s="370" t="str">
        <f>IF(J211="","",IF(VLOOKUP(J211,'G-3 Multipliers'!$L$3:$N$6,2,FALSE)=0,"Spatial Data Missing ⚠",VLOOKUP(J211,'G-3 Multipliers'!$L$3:$N$6,2,FALSE)))</f>
        <v/>
      </c>
      <c r="L211" s="368" t="str">
        <f>IF(J211="","",IF(VLOOKUP(J211,'G-3 Multipliers'!$L$3:$N$6,3,FALSE)=0,"Spatial Data Missing ⚠",VLOOKUP(J211,'G-3 Multipliers'!$L$3:$N$6,3,FALSE)))</f>
        <v/>
      </c>
      <c r="M211" s="369" t="str">
        <f>IF(D211="","",VLOOKUP(D211,'G-6 Hedgerow Data'!$B$1:$AH$15,33,FALSE))</f>
        <v/>
      </c>
      <c r="N211" s="376" t="str">
        <f t="shared" si="23"/>
        <v/>
      </c>
      <c r="O211" s="32"/>
      <c r="P211" s="122"/>
      <c r="Q211" s="165"/>
      <c r="R211" s="393" t="str">
        <f t="shared" si="24"/>
        <v/>
      </c>
      <c r="S211" s="393" t="str">
        <f t="shared" si="25"/>
        <v/>
      </c>
      <c r="T211" s="393" t="str">
        <f t="shared" si="26"/>
        <v/>
      </c>
      <c r="U211" s="415" t="str">
        <f t="shared" si="27"/>
        <v/>
      </c>
      <c r="V211" s="119"/>
      <c r="W211" s="120"/>
      <c r="X211" s="120"/>
      <c r="AE211" s="124" t="str">
        <f t="shared" si="21"/>
        <v/>
      </c>
      <c r="AF211" s="124" t="str">
        <f t="shared" si="22"/>
        <v/>
      </c>
      <c r="AH211" s="124">
        <v>202</v>
      </c>
      <c r="AJ211" s="124" t="str">
        <f t="array" ref="AJ211">IFERROR(INDEX($AH$10:$AH$258, MATCH(0, IF(TRUE=$AE$10:$AE$258, COUNTIF($AJ$9:$AJ210, $AH$10:$AH$258), ""), 0)),"")</f>
        <v/>
      </c>
      <c r="AK211" s="124" t="str">
        <f t="array" ref="AK211">IFERROR(INDEX($AH$10:$AH$258, MATCH(0, IF(TRUE=$AF$10:$AF$258, COUNTIF($AK$9:$AK210, $AH$10:$AH$258), ""), 0)),"")</f>
        <v/>
      </c>
      <c r="AL211" s="30" t="str">
        <f>IFERROR(INDEX('G-6 Hedgerow Data'!$BJ$3:$BJ$15,MATCH(D211,'G-6 Hedgerow Data'!$B$3:$B$15,0)),"")</f>
        <v/>
      </c>
    </row>
    <row r="212" spans="2:38">
      <c r="B212" s="110">
        <v>203</v>
      </c>
      <c r="C212" s="165"/>
      <c r="D212" s="165"/>
      <c r="E212" s="121"/>
      <c r="F212" s="411" t="str">
        <f>IF(D212="","",VLOOKUP(D212,'G-6 Hedgerow Data'!$B$2:$AG$15,2,FALSE))</f>
        <v/>
      </c>
      <c r="G212" s="363" t="str">
        <f>IF(D212="","",VLOOKUP(D212,'G-6 Hedgerow Data'!$B$2:$AG$15,3,FALSE))</f>
        <v/>
      </c>
      <c r="H212" s="114"/>
      <c r="I212" s="363" t="str">
        <f>IFERROR(VLOOKUP(H212,'G-1 All Habitats'!$Z$2:$AA$9,2,FALSE),"")</f>
        <v/>
      </c>
      <c r="J212" s="114"/>
      <c r="K212" s="370" t="str">
        <f>IF(J212="","",IF(VLOOKUP(J212,'G-3 Multipliers'!$L$3:$N$6,2,FALSE)=0,"Spatial Data Missing ⚠",VLOOKUP(J212,'G-3 Multipliers'!$L$3:$N$6,2,FALSE)))</f>
        <v/>
      </c>
      <c r="L212" s="368" t="str">
        <f>IF(J212="","",IF(VLOOKUP(J212,'G-3 Multipliers'!$L$3:$N$6,3,FALSE)=0,"Spatial Data Missing ⚠",VLOOKUP(J212,'G-3 Multipliers'!$L$3:$N$6,3,FALSE)))</f>
        <v/>
      </c>
      <c r="M212" s="369" t="str">
        <f>IF(D212="","",VLOOKUP(D212,'G-6 Hedgerow Data'!$B$1:$AH$15,33,FALSE))</f>
        <v/>
      </c>
      <c r="N212" s="376" t="str">
        <f t="shared" si="23"/>
        <v/>
      </c>
      <c r="O212" s="32"/>
      <c r="P212" s="122"/>
      <c r="Q212" s="165"/>
      <c r="R212" s="393" t="str">
        <f t="shared" si="24"/>
        <v/>
      </c>
      <c r="S212" s="393" t="str">
        <f t="shared" si="25"/>
        <v/>
      </c>
      <c r="T212" s="393" t="str">
        <f t="shared" si="26"/>
        <v/>
      </c>
      <c r="U212" s="415" t="str">
        <f t="shared" si="27"/>
        <v/>
      </c>
      <c r="V212" s="119"/>
      <c r="W212" s="120"/>
      <c r="X212" s="120"/>
      <c r="AE212" s="124" t="str">
        <f t="shared" si="21"/>
        <v/>
      </c>
      <c r="AF212" s="124" t="str">
        <f t="shared" si="22"/>
        <v/>
      </c>
      <c r="AH212" s="124">
        <v>203</v>
      </c>
      <c r="AJ212" s="124" t="str">
        <f t="array" ref="AJ212">IFERROR(INDEX($AH$10:$AH$258, MATCH(0, IF(TRUE=$AE$10:$AE$258, COUNTIF($AJ$9:$AJ211, $AH$10:$AH$258), ""), 0)),"")</f>
        <v/>
      </c>
      <c r="AK212" s="124" t="str">
        <f t="array" ref="AK212">IFERROR(INDEX($AH$10:$AH$258, MATCH(0, IF(TRUE=$AF$10:$AF$258, COUNTIF($AK$9:$AK211, $AH$10:$AH$258), ""), 0)),"")</f>
        <v/>
      </c>
      <c r="AL212" s="30" t="str">
        <f>IFERROR(INDEX('G-6 Hedgerow Data'!$BJ$3:$BJ$15,MATCH(D212,'G-6 Hedgerow Data'!$B$3:$B$15,0)),"")</f>
        <v/>
      </c>
    </row>
    <row r="213" spans="2:38">
      <c r="B213" s="110">
        <v>204</v>
      </c>
      <c r="C213" s="165"/>
      <c r="D213" s="165"/>
      <c r="E213" s="121"/>
      <c r="F213" s="411" t="str">
        <f>IF(D213="","",VLOOKUP(D213,'G-6 Hedgerow Data'!$B$2:$AG$15,2,FALSE))</f>
        <v/>
      </c>
      <c r="G213" s="363" t="str">
        <f>IF(D213="","",VLOOKUP(D213,'G-6 Hedgerow Data'!$B$2:$AG$15,3,FALSE))</f>
        <v/>
      </c>
      <c r="H213" s="114"/>
      <c r="I213" s="363" t="str">
        <f>IFERROR(VLOOKUP(H213,'G-1 All Habitats'!$Z$2:$AA$9,2,FALSE),"")</f>
        <v/>
      </c>
      <c r="J213" s="114"/>
      <c r="K213" s="370" t="str">
        <f>IF(J213="","",IF(VLOOKUP(J213,'G-3 Multipliers'!$L$3:$N$6,2,FALSE)=0,"Spatial Data Missing ⚠",VLOOKUP(J213,'G-3 Multipliers'!$L$3:$N$6,2,FALSE)))</f>
        <v/>
      </c>
      <c r="L213" s="368" t="str">
        <f>IF(J213="","",IF(VLOOKUP(J213,'G-3 Multipliers'!$L$3:$N$6,3,FALSE)=0,"Spatial Data Missing ⚠",VLOOKUP(J213,'G-3 Multipliers'!$L$3:$N$6,3,FALSE)))</f>
        <v/>
      </c>
      <c r="M213" s="369" t="str">
        <f>IF(D213="","",VLOOKUP(D213,'G-6 Hedgerow Data'!$B$1:$AH$15,33,FALSE))</f>
        <v/>
      </c>
      <c r="N213" s="376" t="str">
        <f t="shared" si="23"/>
        <v/>
      </c>
      <c r="O213" s="32"/>
      <c r="P213" s="122"/>
      <c r="Q213" s="165"/>
      <c r="R213" s="393" t="str">
        <f t="shared" si="24"/>
        <v/>
      </c>
      <c r="S213" s="393" t="str">
        <f t="shared" si="25"/>
        <v/>
      </c>
      <c r="T213" s="393" t="str">
        <f t="shared" si="26"/>
        <v/>
      </c>
      <c r="U213" s="415" t="str">
        <f t="shared" si="27"/>
        <v/>
      </c>
      <c r="V213" s="119"/>
      <c r="W213" s="120"/>
      <c r="X213" s="120"/>
      <c r="AE213" s="124" t="str">
        <f t="shared" si="21"/>
        <v/>
      </c>
      <c r="AF213" s="124" t="str">
        <f t="shared" si="22"/>
        <v/>
      </c>
      <c r="AH213" s="124">
        <v>204</v>
      </c>
      <c r="AJ213" s="124" t="str">
        <f t="array" ref="AJ213">IFERROR(INDEX($AH$10:$AH$258, MATCH(0, IF(TRUE=$AE$10:$AE$258, COUNTIF($AJ$9:$AJ212, $AH$10:$AH$258), ""), 0)),"")</f>
        <v/>
      </c>
      <c r="AK213" s="124" t="str">
        <f t="array" ref="AK213">IFERROR(INDEX($AH$10:$AH$258, MATCH(0, IF(TRUE=$AF$10:$AF$258, COUNTIF($AK$9:$AK212, $AH$10:$AH$258), ""), 0)),"")</f>
        <v/>
      </c>
      <c r="AL213" s="30" t="str">
        <f>IFERROR(INDEX('G-6 Hedgerow Data'!$BJ$3:$BJ$15,MATCH(D213,'G-6 Hedgerow Data'!$B$3:$B$15,0)),"")</f>
        <v/>
      </c>
    </row>
    <row r="214" spans="2:38">
      <c r="B214" s="110">
        <v>205</v>
      </c>
      <c r="C214" s="165"/>
      <c r="D214" s="165"/>
      <c r="E214" s="121"/>
      <c r="F214" s="411" t="str">
        <f>IF(D214="","",VLOOKUP(D214,'G-6 Hedgerow Data'!$B$2:$AG$15,2,FALSE))</f>
        <v/>
      </c>
      <c r="G214" s="363" t="str">
        <f>IF(D214="","",VLOOKUP(D214,'G-6 Hedgerow Data'!$B$2:$AG$15,3,FALSE))</f>
        <v/>
      </c>
      <c r="H214" s="114"/>
      <c r="I214" s="363" t="str">
        <f>IFERROR(VLOOKUP(H214,'G-1 All Habitats'!$Z$2:$AA$9,2,FALSE),"")</f>
        <v/>
      </c>
      <c r="J214" s="114"/>
      <c r="K214" s="370" t="str">
        <f>IF(J214="","",IF(VLOOKUP(J214,'G-3 Multipliers'!$L$3:$N$6,2,FALSE)=0,"Spatial Data Missing ⚠",VLOOKUP(J214,'G-3 Multipliers'!$L$3:$N$6,2,FALSE)))</f>
        <v/>
      </c>
      <c r="L214" s="368" t="str">
        <f>IF(J214="","",IF(VLOOKUP(J214,'G-3 Multipliers'!$L$3:$N$6,3,FALSE)=0,"Spatial Data Missing ⚠",VLOOKUP(J214,'G-3 Multipliers'!$L$3:$N$6,3,FALSE)))</f>
        <v/>
      </c>
      <c r="M214" s="369" t="str">
        <f>IF(D214="","",VLOOKUP(D214,'G-6 Hedgerow Data'!$B$1:$AH$15,33,FALSE))</f>
        <v/>
      </c>
      <c r="N214" s="376" t="str">
        <f t="shared" si="23"/>
        <v/>
      </c>
      <c r="O214" s="32"/>
      <c r="P214" s="122"/>
      <c r="Q214" s="165"/>
      <c r="R214" s="393" t="str">
        <f t="shared" si="24"/>
        <v/>
      </c>
      <c r="S214" s="393" t="str">
        <f t="shared" si="25"/>
        <v/>
      </c>
      <c r="T214" s="393" t="str">
        <f t="shared" si="26"/>
        <v/>
      </c>
      <c r="U214" s="415" t="str">
        <f t="shared" si="27"/>
        <v/>
      </c>
      <c r="V214" s="119"/>
      <c r="W214" s="120"/>
      <c r="X214" s="120"/>
      <c r="AE214" s="124" t="str">
        <f t="shared" si="21"/>
        <v/>
      </c>
      <c r="AF214" s="124" t="str">
        <f t="shared" si="22"/>
        <v/>
      </c>
      <c r="AH214" s="124">
        <v>205</v>
      </c>
      <c r="AJ214" s="124" t="str">
        <f t="array" ref="AJ214">IFERROR(INDEX($AH$10:$AH$258, MATCH(0, IF(TRUE=$AE$10:$AE$258, COUNTIF($AJ$9:$AJ213, $AH$10:$AH$258), ""), 0)),"")</f>
        <v/>
      </c>
      <c r="AK214" s="124" t="str">
        <f t="array" ref="AK214">IFERROR(INDEX($AH$10:$AH$258, MATCH(0, IF(TRUE=$AF$10:$AF$258, COUNTIF($AK$9:$AK213, $AH$10:$AH$258), ""), 0)),"")</f>
        <v/>
      </c>
      <c r="AL214" s="30" t="str">
        <f>IFERROR(INDEX('G-6 Hedgerow Data'!$BJ$3:$BJ$15,MATCH(D214,'G-6 Hedgerow Data'!$B$3:$B$15,0)),"")</f>
        <v/>
      </c>
    </row>
    <row r="215" spans="2:38">
      <c r="B215" s="110">
        <v>206</v>
      </c>
      <c r="C215" s="165"/>
      <c r="D215" s="165"/>
      <c r="E215" s="121"/>
      <c r="F215" s="411" t="str">
        <f>IF(D215="","",VLOOKUP(D215,'G-6 Hedgerow Data'!$B$2:$AG$15,2,FALSE))</f>
        <v/>
      </c>
      <c r="G215" s="363" t="str">
        <f>IF(D215="","",VLOOKUP(D215,'G-6 Hedgerow Data'!$B$2:$AG$15,3,FALSE))</f>
        <v/>
      </c>
      <c r="H215" s="114"/>
      <c r="I215" s="363" t="str">
        <f>IFERROR(VLOOKUP(H215,'G-1 All Habitats'!$Z$2:$AA$9,2,FALSE),"")</f>
        <v/>
      </c>
      <c r="J215" s="114"/>
      <c r="K215" s="370" t="str">
        <f>IF(J215="","",IF(VLOOKUP(J215,'G-3 Multipliers'!$L$3:$N$6,2,FALSE)=0,"Spatial Data Missing ⚠",VLOOKUP(J215,'G-3 Multipliers'!$L$3:$N$6,2,FALSE)))</f>
        <v/>
      </c>
      <c r="L215" s="368" t="str">
        <f>IF(J215="","",IF(VLOOKUP(J215,'G-3 Multipliers'!$L$3:$N$6,3,FALSE)=0,"Spatial Data Missing ⚠",VLOOKUP(J215,'G-3 Multipliers'!$L$3:$N$6,3,FALSE)))</f>
        <v/>
      </c>
      <c r="M215" s="369" t="str">
        <f>IF(D215="","",VLOOKUP(D215,'G-6 Hedgerow Data'!$B$1:$AH$15,33,FALSE))</f>
        <v/>
      </c>
      <c r="N215" s="376" t="str">
        <f t="shared" si="23"/>
        <v/>
      </c>
      <c r="O215" s="32"/>
      <c r="P215" s="122"/>
      <c r="Q215" s="165"/>
      <c r="R215" s="393" t="str">
        <f t="shared" si="24"/>
        <v/>
      </c>
      <c r="S215" s="393" t="str">
        <f t="shared" si="25"/>
        <v/>
      </c>
      <c r="T215" s="393" t="str">
        <f t="shared" si="26"/>
        <v/>
      </c>
      <c r="U215" s="415" t="str">
        <f t="shared" si="27"/>
        <v/>
      </c>
      <c r="V215" s="119"/>
      <c r="W215" s="120"/>
      <c r="X215" s="120"/>
      <c r="AE215" s="124" t="str">
        <f t="shared" si="21"/>
        <v/>
      </c>
      <c r="AF215" s="124" t="str">
        <f t="shared" si="22"/>
        <v/>
      </c>
      <c r="AH215" s="124">
        <v>206</v>
      </c>
      <c r="AJ215" s="124" t="str">
        <f t="array" ref="AJ215">IFERROR(INDEX($AH$10:$AH$258, MATCH(0, IF(TRUE=$AE$10:$AE$258, COUNTIF($AJ$9:$AJ214, $AH$10:$AH$258), ""), 0)),"")</f>
        <v/>
      </c>
      <c r="AK215" s="124" t="str">
        <f t="array" ref="AK215">IFERROR(INDEX($AH$10:$AH$258, MATCH(0, IF(TRUE=$AF$10:$AF$258, COUNTIF($AK$9:$AK214, $AH$10:$AH$258), ""), 0)),"")</f>
        <v/>
      </c>
      <c r="AL215" s="30" t="str">
        <f>IFERROR(INDEX('G-6 Hedgerow Data'!$BJ$3:$BJ$15,MATCH(D215,'G-6 Hedgerow Data'!$B$3:$B$15,0)),"")</f>
        <v/>
      </c>
    </row>
    <row r="216" spans="2:38">
      <c r="B216" s="110">
        <v>207</v>
      </c>
      <c r="C216" s="165"/>
      <c r="D216" s="165"/>
      <c r="E216" s="121"/>
      <c r="F216" s="411" t="str">
        <f>IF(D216="","",VLOOKUP(D216,'G-6 Hedgerow Data'!$B$2:$AG$15,2,FALSE))</f>
        <v/>
      </c>
      <c r="G216" s="363" t="str">
        <f>IF(D216="","",VLOOKUP(D216,'G-6 Hedgerow Data'!$B$2:$AG$15,3,FALSE))</f>
        <v/>
      </c>
      <c r="H216" s="114"/>
      <c r="I216" s="363" t="str">
        <f>IFERROR(VLOOKUP(H216,'G-1 All Habitats'!$Z$2:$AA$9,2,FALSE),"")</f>
        <v/>
      </c>
      <c r="J216" s="114"/>
      <c r="K216" s="370" t="str">
        <f>IF(J216="","",IF(VLOOKUP(J216,'G-3 Multipliers'!$L$3:$N$6,2,FALSE)=0,"Spatial Data Missing ⚠",VLOOKUP(J216,'G-3 Multipliers'!$L$3:$N$6,2,FALSE)))</f>
        <v/>
      </c>
      <c r="L216" s="368" t="str">
        <f>IF(J216="","",IF(VLOOKUP(J216,'G-3 Multipliers'!$L$3:$N$6,3,FALSE)=0,"Spatial Data Missing ⚠",VLOOKUP(J216,'G-3 Multipliers'!$L$3:$N$6,3,FALSE)))</f>
        <v/>
      </c>
      <c r="M216" s="369" t="str">
        <f>IF(D216="","",VLOOKUP(D216,'G-6 Hedgerow Data'!$B$1:$AH$15,33,FALSE))</f>
        <v/>
      </c>
      <c r="N216" s="376" t="str">
        <f t="shared" si="23"/>
        <v/>
      </c>
      <c r="O216" s="32"/>
      <c r="P216" s="122"/>
      <c r="Q216" s="165"/>
      <c r="R216" s="393" t="str">
        <f t="shared" si="24"/>
        <v/>
      </c>
      <c r="S216" s="393" t="str">
        <f t="shared" si="25"/>
        <v/>
      </c>
      <c r="T216" s="393" t="str">
        <f t="shared" si="26"/>
        <v/>
      </c>
      <c r="U216" s="415" t="str">
        <f t="shared" si="27"/>
        <v/>
      </c>
      <c r="V216" s="119"/>
      <c r="W216" s="120"/>
      <c r="X216" s="120"/>
      <c r="AE216" s="124" t="str">
        <f t="shared" si="21"/>
        <v/>
      </c>
      <c r="AF216" s="124" t="str">
        <f t="shared" si="22"/>
        <v/>
      </c>
      <c r="AH216" s="124">
        <v>207</v>
      </c>
      <c r="AJ216" s="124" t="str">
        <f t="array" ref="AJ216">IFERROR(INDEX($AH$10:$AH$258, MATCH(0, IF(TRUE=$AE$10:$AE$258, COUNTIF($AJ$9:$AJ215, $AH$10:$AH$258), ""), 0)),"")</f>
        <v/>
      </c>
      <c r="AK216" s="124" t="str">
        <f t="array" ref="AK216">IFERROR(INDEX($AH$10:$AH$258, MATCH(0, IF(TRUE=$AF$10:$AF$258, COUNTIF($AK$9:$AK215, $AH$10:$AH$258), ""), 0)),"")</f>
        <v/>
      </c>
      <c r="AL216" s="30" t="str">
        <f>IFERROR(INDEX('G-6 Hedgerow Data'!$BJ$3:$BJ$15,MATCH(D216,'G-6 Hedgerow Data'!$B$3:$B$15,0)),"")</f>
        <v/>
      </c>
    </row>
    <row r="217" spans="2:38">
      <c r="B217" s="110">
        <v>208</v>
      </c>
      <c r="C217" s="165"/>
      <c r="D217" s="165"/>
      <c r="E217" s="121"/>
      <c r="F217" s="411" t="str">
        <f>IF(D217="","",VLOOKUP(D217,'G-6 Hedgerow Data'!$B$2:$AG$15,2,FALSE))</f>
        <v/>
      </c>
      <c r="G217" s="363" t="str">
        <f>IF(D217="","",VLOOKUP(D217,'G-6 Hedgerow Data'!$B$2:$AG$15,3,FALSE))</f>
        <v/>
      </c>
      <c r="H217" s="114"/>
      <c r="I217" s="363" t="str">
        <f>IFERROR(VLOOKUP(H217,'G-1 All Habitats'!$Z$2:$AA$9,2,FALSE),"")</f>
        <v/>
      </c>
      <c r="J217" s="114"/>
      <c r="K217" s="370" t="str">
        <f>IF(J217="","",IF(VLOOKUP(J217,'G-3 Multipliers'!$L$3:$N$6,2,FALSE)=0,"Spatial Data Missing ⚠",VLOOKUP(J217,'G-3 Multipliers'!$L$3:$N$6,2,FALSE)))</f>
        <v/>
      </c>
      <c r="L217" s="368" t="str">
        <f>IF(J217="","",IF(VLOOKUP(J217,'G-3 Multipliers'!$L$3:$N$6,3,FALSE)=0,"Spatial Data Missing ⚠",VLOOKUP(J217,'G-3 Multipliers'!$L$3:$N$6,3,FALSE)))</f>
        <v/>
      </c>
      <c r="M217" s="369" t="str">
        <f>IF(D217="","",VLOOKUP(D217,'G-6 Hedgerow Data'!$B$1:$AH$15,33,FALSE))</f>
        <v/>
      </c>
      <c r="N217" s="376" t="str">
        <f t="shared" si="23"/>
        <v/>
      </c>
      <c r="O217" s="32"/>
      <c r="P217" s="122"/>
      <c r="Q217" s="165"/>
      <c r="R217" s="393" t="str">
        <f t="shared" si="24"/>
        <v/>
      </c>
      <c r="S217" s="393" t="str">
        <f t="shared" si="25"/>
        <v/>
      </c>
      <c r="T217" s="393" t="str">
        <f t="shared" si="26"/>
        <v/>
      </c>
      <c r="U217" s="415" t="str">
        <f t="shared" si="27"/>
        <v/>
      </c>
      <c r="V217" s="119"/>
      <c r="W217" s="120"/>
      <c r="X217" s="120"/>
      <c r="AE217" s="124" t="str">
        <f t="shared" si="21"/>
        <v/>
      </c>
      <c r="AF217" s="124" t="str">
        <f t="shared" si="22"/>
        <v/>
      </c>
      <c r="AH217" s="124">
        <v>208</v>
      </c>
      <c r="AJ217" s="124" t="str">
        <f t="array" ref="AJ217">IFERROR(INDEX($AH$10:$AH$258, MATCH(0, IF(TRUE=$AE$10:$AE$258, COUNTIF($AJ$9:$AJ216, $AH$10:$AH$258), ""), 0)),"")</f>
        <v/>
      </c>
      <c r="AK217" s="124" t="str">
        <f t="array" ref="AK217">IFERROR(INDEX($AH$10:$AH$258, MATCH(0, IF(TRUE=$AF$10:$AF$258, COUNTIF($AK$9:$AK216, $AH$10:$AH$258), ""), 0)),"")</f>
        <v/>
      </c>
      <c r="AL217" s="30" t="str">
        <f>IFERROR(INDEX('G-6 Hedgerow Data'!$BJ$3:$BJ$15,MATCH(D217,'G-6 Hedgerow Data'!$B$3:$B$15,0)),"")</f>
        <v/>
      </c>
    </row>
    <row r="218" spans="2:38">
      <c r="B218" s="110">
        <v>209</v>
      </c>
      <c r="C218" s="165"/>
      <c r="D218" s="165"/>
      <c r="E218" s="121"/>
      <c r="F218" s="411" t="str">
        <f>IF(D218="","",VLOOKUP(D218,'G-6 Hedgerow Data'!$B$2:$AG$15,2,FALSE))</f>
        <v/>
      </c>
      <c r="G218" s="363" t="str">
        <f>IF(D218="","",VLOOKUP(D218,'G-6 Hedgerow Data'!$B$2:$AG$15,3,FALSE))</f>
        <v/>
      </c>
      <c r="H218" s="114"/>
      <c r="I218" s="363" t="str">
        <f>IFERROR(VLOOKUP(H218,'G-1 All Habitats'!$Z$2:$AA$9,2,FALSE),"")</f>
        <v/>
      </c>
      <c r="J218" s="114"/>
      <c r="K218" s="370" t="str">
        <f>IF(J218="","",IF(VLOOKUP(J218,'G-3 Multipliers'!$L$3:$N$6,2,FALSE)=0,"Spatial Data Missing ⚠",VLOOKUP(J218,'G-3 Multipliers'!$L$3:$N$6,2,FALSE)))</f>
        <v/>
      </c>
      <c r="L218" s="368" t="str">
        <f>IF(J218="","",IF(VLOOKUP(J218,'G-3 Multipliers'!$L$3:$N$6,3,FALSE)=0,"Spatial Data Missing ⚠",VLOOKUP(J218,'G-3 Multipliers'!$L$3:$N$6,3,FALSE)))</f>
        <v/>
      </c>
      <c r="M218" s="369" t="str">
        <f>IF(D218="","",VLOOKUP(D218,'G-6 Hedgerow Data'!$B$1:$AH$15,33,FALSE))</f>
        <v/>
      </c>
      <c r="N218" s="376" t="str">
        <f t="shared" si="23"/>
        <v/>
      </c>
      <c r="O218" s="32"/>
      <c r="P218" s="122"/>
      <c r="Q218" s="165"/>
      <c r="R218" s="393" t="str">
        <f t="shared" si="24"/>
        <v/>
      </c>
      <c r="S218" s="393" t="str">
        <f t="shared" si="25"/>
        <v/>
      </c>
      <c r="T218" s="393" t="str">
        <f t="shared" si="26"/>
        <v/>
      </c>
      <c r="U218" s="415" t="str">
        <f t="shared" si="27"/>
        <v/>
      </c>
      <c r="V218" s="119"/>
      <c r="W218" s="120"/>
      <c r="X218" s="120"/>
      <c r="AE218" s="124" t="str">
        <f t="shared" si="21"/>
        <v/>
      </c>
      <c r="AF218" s="124" t="str">
        <f t="shared" si="22"/>
        <v/>
      </c>
      <c r="AH218" s="124">
        <v>209</v>
      </c>
      <c r="AJ218" s="124" t="str">
        <f t="array" ref="AJ218">IFERROR(INDEX($AH$10:$AH$258, MATCH(0, IF(TRUE=$AE$10:$AE$258, COUNTIF($AJ$9:$AJ217, $AH$10:$AH$258), ""), 0)),"")</f>
        <v/>
      </c>
      <c r="AK218" s="124" t="str">
        <f t="array" ref="AK218">IFERROR(INDEX($AH$10:$AH$258, MATCH(0, IF(TRUE=$AF$10:$AF$258, COUNTIF($AK$9:$AK217, $AH$10:$AH$258), ""), 0)),"")</f>
        <v/>
      </c>
      <c r="AL218" s="30" t="str">
        <f>IFERROR(INDEX('G-6 Hedgerow Data'!$BJ$3:$BJ$15,MATCH(D218,'G-6 Hedgerow Data'!$B$3:$B$15,0)),"")</f>
        <v/>
      </c>
    </row>
    <row r="219" spans="2:38">
      <c r="B219" s="110">
        <v>210</v>
      </c>
      <c r="C219" s="165"/>
      <c r="D219" s="165"/>
      <c r="E219" s="121"/>
      <c r="F219" s="411" t="str">
        <f>IF(D219="","",VLOOKUP(D219,'G-6 Hedgerow Data'!$B$2:$AG$15,2,FALSE))</f>
        <v/>
      </c>
      <c r="G219" s="363" t="str">
        <f>IF(D219="","",VLOOKUP(D219,'G-6 Hedgerow Data'!$B$2:$AG$15,3,FALSE))</f>
        <v/>
      </c>
      <c r="H219" s="114"/>
      <c r="I219" s="363" t="str">
        <f>IFERROR(VLOOKUP(H219,'G-1 All Habitats'!$Z$2:$AA$9,2,FALSE),"")</f>
        <v/>
      </c>
      <c r="J219" s="114"/>
      <c r="K219" s="370" t="str">
        <f>IF(J219="","",IF(VLOOKUP(J219,'G-3 Multipliers'!$L$3:$N$6,2,FALSE)=0,"Spatial Data Missing ⚠",VLOOKUP(J219,'G-3 Multipliers'!$L$3:$N$6,2,FALSE)))</f>
        <v/>
      </c>
      <c r="L219" s="368" t="str">
        <f>IF(J219="","",IF(VLOOKUP(J219,'G-3 Multipliers'!$L$3:$N$6,3,FALSE)=0,"Spatial Data Missing ⚠",VLOOKUP(J219,'G-3 Multipliers'!$L$3:$N$6,3,FALSE)))</f>
        <v/>
      </c>
      <c r="M219" s="369" t="str">
        <f>IF(D219="","",VLOOKUP(D219,'G-6 Hedgerow Data'!$B$1:$AH$15,33,FALSE))</f>
        <v/>
      </c>
      <c r="N219" s="376" t="str">
        <f t="shared" si="23"/>
        <v/>
      </c>
      <c r="O219" s="32"/>
      <c r="P219" s="122"/>
      <c r="Q219" s="165"/>
      <c r="R219" s="393" t="str">
        <f t="shared" si="24"/>
        <v/>
      </c>
      <c r="S219" s="393" t="str">
        <f t="shared" si="25"/>
        <v/>
      </c>
      <c r="T219" s="393" t="str">
        <f t="shared" si="26"/>
        <v/>
      </c>
      <c r="U219" s="415" t="str">
        <f t="shared" si="27"/>
        <v/>
      </c>
      <c r="V219" s="119"/>
      <c r="W219" s="120"/>
      <c r="X219" s="120"/>
      <c r="AE219" s="124" t="str">
        <f t="shared" si="21"/>
        <v/>
      </c>
      <c r="AF219" s="124" t="str">
        <f t="shared" si="22"/>
        <v/>
      </c>
      <c r="AH219" s="124">
        <v>210</v>
      </c>
      <c r="AJ219" s="124" t="str">
        <f t="array" ref="AJ219">IFERROR(INDEX($AH$10:$AH$258, MATCH(0, IF(TRUE=$AE$10:$AE$258, COUNTIF($AJ$9:$AJ218, $AH$10:$AH$258), ""), 0)),"")</f>
        <v/>
      </c>
      <c r="AK219" s="124" t="str">
        <f t="array" ref="AK219">IFERROR(INDEX($AH$10:$AH$258, MATCH(0, IF(TRUE=$AF$10:$AF$258, COUNTIF($AK$9:$AK218, $AH$10:$AH$258), ""), 0)),"")</f>
        <v/>
      </c>
      <c r="AL219" s="30" t="str">
        <f>IFERROR(INDEX('G-6 Hedgerow Data'!$BJ$3:$BJ$15,MATCH(D219,'G-6 Hedgerow Data'!$B$3:$B$15,0)),"")</f>
        <v/>
      </c>
    </row>
    <row r="220" spans="2:38">
      <c r="B220" s="110">
        <v>211</v>
      </c>
      <c r="C220" s="165"/>
      <c r="D220" s="165"/>
      <c r="E220" s="121"/>
      <c r="F220" s="411" t="str">
        <f>IF(D220="","",VLOOKUP(D220,'G-6 Hedgerow Data'!$B$2:$AG$15,2,FALSE))</f>
        <v/>
      </c>
      <c r="G220" s="363" t="str">
        <f>IF(D220="","",VLOOKUP(D220,'G-6 Hedgerow Data'!$B$2:$AG$15,3,FALSE))</f>
        <v/>
      </c>
      <c r="H220" s="114"/>
      <c r="I220" s="363" t="str">
        <f>IFERROR(VLOOKUP(H220,'G-1 All Habitats'!$Z$2:$AA$9,2,FALSE),"")</f>
        <v/>
      </c>
      <c r="J220" s="114"/>
      <c r="K220" s="370" t="str">
        <f>IF(J220="","",IF(VLOOKUP(J220,'G-3 Multipliers'!$L$3:$N$6,2,FALSE)=0,"Spatial Data Missing ⚠",VLOOKUP(J220,'G-3 Multipliers'!$L$3:$N$6,2,FALSE)))</f>
        <v/>
      </c>
      <c r="L220" s="368" t="str">
        <f>IF(J220="","",IF(VLOOKUP(J220,'G-3 Multipliers'!$L$3:$N$6,3,FALSE)=0,"Spatial Data Missing ⚠",VLOOKUP(J220,'G-3 Multipliers'!$L$3:$N$6,3,FALSE)))</f>
        <v/>
      </c>
      <c r="M220" s="369" t="str">
        <f>IF(D220="","",VLOOKUP(D220,'G-6 Hedgerow Data'!$B$1:$AH$15,33,FALSE))</f>
        <v/>
      </c>
      <c r="N220" s="376" t="str">
        <f t="shared" si="23"/>
        <v/>
      </c>
      <c r="O220" s="32"/>
      <c r="P220" s="122"/>
      <c r="Q220" s="165"/>
      <c r="R220" s="393" t="str">
        <f t="shared" si="24"/>
        <v/>
      </c>
      <c r="S220" s="393" t="str">
        <f t="shared" si="25"/>
        <v/>
      </c>
      <c r="T220" s="393" t="str">
        <f t="shared" si="26"/>
        <v/>
      </c>
      <c r="U220" s="415" t="str">
        <f t="shared" si="27"/>
        <v/>
      </c>
      <c r="V220" s="119"/>
      <c r="W220" s="120"/>
      <c r="X220" s="120"/>
      <c r="AE220" s="124" t="str">
        <f t="shared" si="21"/>
        <v/>
      </c>
      <c r="AF220" s="124" t="str">
        <f t="shared" si="22"/>
        <v/>
      </c>
      <c r="AH220" s="124">
        <v>211</v>
      </c>
      <c r="AJ220" s="124" t="str">
        <f t="array" ref="AJ220">IFERROR(INDEX($AH$10:$AH$258, MATCH(0, IF(TRUE=$AE$10:$AE$258, COUNTIF($AJ$9:$AJ219, $AH$10:$AH$258), ""), 0)),"")</f>
        <v/>
      </c>
      <c r="AK220" s="124" t="str">
        <f t="array" ref="AK220">IFERROR(INDEX($AH$10:$AH$258, MATCH(0, IF(TRUE=$AF$10:$AF$258, COUNTIF($AK$9:$AK219, $AH$10:$AH$258), ""), 0)),"")</f>
        <v/>
      </c>
      <c r="AL220" s="30" t="str">
        <f>IFERROR(INDEX('G-6 Hedgerow Data'!$BJ$3:$BJ$15,MATCH(D220,'G-6 Hedgerow Data'!$B$3:$B$15,0)),"")</f>
        <v/>
      </c>
    </row>
    <row r="221" spans="2:38">
      <c r="B221" s="110">
        <v>212</v>
      </c>
      <c r="C221" s="165"/>
      <c r="D221" s="165"/>
      <c r="E221" s="121"/>
      <c r="F221" s="411" t="str">
        <f>IF(D221="","",VLOOKUP(D221,'G-6 Hedgerow Data'!$B$2:$AG$15,2,FALSE))</f>
        <v/>
      </c>
      <c r="G221" s="363" t="str">
        <f>IF(D221="","",VLOOKUP(D221,'G-6 Hedgerow Data'!$B$2:$AG$15,3,FALSE))</f>
        <v/>
      </c>
      <c r="H221" s="114"/>
      <c r="I221" s="363" t="str">
        <f>IFERROR(VLOOKUP(H221,'G-1 All Habitats'!$Z$2:$AA$9,2,FALSE),"")</f>
        <v/>
      </c>
      <c r="J221" s="114"/>
      <c r="K221" s="370" t="str">
        <f>IF(J221="","",IF(VLOOKUP(J221,'G-3 Multipliers'!$L$3:$N$6,2,FALSE)=0,"Spatial Data Missing ⚠",VLOOKUP(J221,'G-3 Multipliers'!$L$3:$N$6,2,FALSE)))</f>
        <v/>
      </c>
      <c r="L221" s="368" t="str">
        <f>IF(J221="","",IF(VLOOKUP(J221,'G-3 Multipliers'!$L$3:$N$6,3,FALSE)=0,"Spatial Data Missing ⚠",VLOOKUP(J221,'G-3 Multipliers'!$L$3:$N$6,3,FALSE)))</f>
        <v/>
      </c>
      <c r="M221" s="369" t="str">
        <f>IF(D221="","",VLOOKUP(D221,'G-6 Hedgerow Data'!$B$1:$AH$15,33,FALSE))</f>
        <v/>
      </c>
      <c r="N221" s="376" t="str">
        <f t="shared" si="23"/>
        <v/>
      </c>
      <c r="O221" s="32"/>
      <c r="P221" s="122"/>
      <c r="Q221" s="165"/>
      <c r="R221" s="393" t="str">
        <f t="shared" si="24"/>
        <v/>
      </c>
      <c r="S221" s="393" t="str">
        <f t="shared" si="25"/>
        <v/>
      </c>
      <c r="T221" s="393" t="str">
        <f t="shared" si="26"/>
        <v/>
      </c>
      <c r="U221" s="415" t="str">
        <f t="shared" si="27"/>
        <v/>
      </c>
      <c r="V221" s="119"/>
      <c r="W221" s="120"/>
      <c r="X221" s="120"/>
      <c r="AE221" s="124" t="str">
        <f t="shared" si="21"/>
        <v/>
      </c>
      <c r="AF221" s="124" t="str">
        <f t="shared" si="22"/>
        <v/>
      </c>
      <c r="AH221" s="124">
        <v>212</v>
      </c>
      <c r="AJ221" s="124" t="str">
        <f t="array" ref="AJ221">IFERROR(INDEX($AH$10:$AH$258, MATCH(0, IF(TRUE=$AE$10:$AE$258, COUNTIF($AJ$9:$AJ220, $AH$10:$AH$258), ""), 0)),"")</f>
        <v/>
      </c>
      <c r="AK221" s="124" t="str">
        <f t="array" ref="AK221">IFERROR(INDEX($AH$10:$AH$258, MATCH(0, IF(TRUE=$AF$10:$AF$258, COUNTIF($AK$9:$AK220, $AH$10:$AH$258), ""), 0)),"")</f>
        <v/>
      </c>
      <c r="AL221" s="30" t="str">
        <f>IFERROR(INDEX('G-6 Hedgerow Data'!$BJ$3:$BJ$15,MATCH(D221,'G-6 Hedgerow Data'!$B$3:$B$15,0)),"")</f>
        <v/>
      </c>
    </row>
    <row r="222" spans="2:38">
      <c r="B222" s="110">
        <v>213</v>
      </c>
      <c r="C222" s="165"/>
      <c r="D222" s="165"/>
      <c r="E222" s="121"/>
      <c r="F222" s="411" t="str">
        <f>IF(D222="","",VLOOKUP(D222,'G-6 Hedgerow Data'!$B$2:$AG$15,2,FALSE))</f>
        <v/>
      </c>
      <c r="G222" s="363" t="str">
        <f>IF(D222="","",VLOOKUP(D222,'G-6 Hedgerow Data'!$B$2:$AG$15,3,FALSE))</f>
        <v/>
      </c>
      <c r="H222" s="114"/>
      <c r="I222" s="363" t="str">
        <f>IFERROR(VLOOKUP(H222,'G-1 All Habitats'!$Z$2:$AA$9,2,FALSE),"")</f>
        <v/>
      </c>
      <c r="J222" s="114"/>
      <c r="K222" s="370" t="str">
        <f>IF(J222="","",IF(VLOOKUP(J222,'G-3 Multipliers'!$L$3:$N$6,2,FALSE)=0,"Spatial Data Missing ⚠",VLOOKUP(J222,'G-3 Multipliers'!$L$3:$N$6,2,FALSE)))</f>
        <v/>
      </c>
      <c r="L222" s="368" t="str">
        <f>IF(J222="","",IF(VLOOKUP(J222,'G-3 Multipliers'!$L$3:$N$6,3,FALSE)=0,"Spatial Data Missing ⚠",VLOOKUP(J222,'G-3 Multipliers'!$L$3:$N$6,3,FALSE)))</f>
        <v/>
      </c>
      <c r="M222" s="369" t="str">
        <f>IF(D222="","",VLOOKUP(D222,'G-6 Hedgerow Data'!$B$1:$AH$15,33,FALSE))</f>
        <v/>
      </c>
      <c r="N222" s="376" t="str">
        <f t="shared" si="23"/>
        <v/>
      </c>
      <c r="O222" s="32"/>
      <c r="P222" s="122"/>
      <c r="Q222" s="165"/>
      <c r="R222" s="393" t="str">
        <f t="shared" si="24"/>
        <v/>
      </c>
      <c r="S222" s="393" t="str">
        <f t="shared" si="25"/>
        <v/>
      </c>
      <c r="T222" s="393" t="str">
        <f t="shared" si="26"/>
        <v/>
      </c>
      <c r="U222" s="415" t="str">
        <f t="shared" si="27"/>
        <v/>
      </c>
      <c r="V222" s="119"/>
      <c r="W222" s="120"/>
      <c r="X222" s="120"/>
      <c r="AE222" s="124" t="str">
        <f t="shared" si="21"/>
        <v/>
      </c>
      <c r="AF222" s="124" t="str">
        <f t="shared" si="22"/>
        <v/>
      </c>
      <c r="AH222" s="124">
        <v>213</v>
      </c>
      <c r="AJ222" s="124" t="str">
        <f t="array" ref="AJ222">IFERROR(INDEX($AH$10:$AH$258, MATCH(0, IF(TRUE=$AE$10:$AE$258, COUNTIF($AJ$9:$AJ221, $AH$10:$AH$258), ""), 0)),"")</f>
        <v/>
      </c>
      <c r="AK222" s="124" t="str">
        <f t="array" ref="AK222">IFERROR(INDEX($AH$10:$AH$258, MATCH(0, IF(TRUE=$AF$10:$AF$258, COUNTIF($AK$9:$AK221, $AH$10:$AH$258), ""), 0)),"")</f>
        <v/>
      </c>
      <c r="AL222" s="30" t="str">
        <f>IFERROR(INDEX('G-6 Hedgerow Data'!$BJ$3:$BJ$15,MATCH(D222,'G-6 Hedgerow Data'!$B$3:$B$15,0)),"")</f>
        <v/>
      </c>
    </row>
    <row r="223" spans="2:38">
      <c r="B223" s="110">
        <v>214</v>
      </c>
      <c r="C223" s="165"/>
      <c r="D223" s="165"/>
      <c r="E223" s="121"/>
      <c r="F223" s="411" t="str">
        <f>IF(D223="","",VLOOKUP(D223,'G-6 Hedgerow Data'!$B$2:$AG$15,2,FALSE))</f>
        <v/>
      </c>
      <c r="G223" s="363" t="str">
        <f>IF(D223="","",VLOOKUP(D223,'G-6 Hedgerow Data'!$B$2:$AG$15,3,FALSE))</f>
        <v/>
      </c>
      <c r="H223" s="114"/>
      <c r="I223" s="363" t="str">
        <f>IFERROR(VLOOKUP(H223,'G-1 All Habitats'!$Z$2:$AA$9,2,FALSE),"")</f>
        <v/>
      </c>
      <c r="J223" s="114"/>
      <c r="K223" s="370" t="str">
        <f>IF(J223="","",IF(VLOOKUP(J223,'G-3 Multipliers'!$L$3:$N$6,2,FALSE)=0,"Spatial Data Missing ⚠",VLOOKUP(J223,'G-3 Multipliers'!$L$3:$N$6,2,FALSE)))</f>
        <v/>
      </c>
      <c r="L223" s="368" t="str">
        <f>IF(J223="","",IF(VLOOKUP(J223,'G-3 Multipliers'!$L$3:$N$6,3,FALSE)=0,"Spatial Data Missing ⚠",VLOOKUP(J223,'G-3 Multipliers'!$L$3:$N$6,3,FALSE)))</f>
        <v/>
      </c>
      <c r="M223" s="369" t="str">
        <f>IF(D223="","",VLOOKUP(D223,'G-6 Hedgerow Data'!$B$1:$AH$15,33,FALSE))</f>
        <v/>
      </c>
      <c r="N223" s="376" t="str">
        <f t="shared" si="23"/>
        <v/>
      </c>
      <c r="O223" s="32"/>
      <c r="P223" s="122"/>
      <c r="Q223" s="165"/>
      <c r="R223" s="393" t="str">
        <f t="shared" si="24"/>
        <v/>
      </c>
      <c r="S223" s="393" t="str">
        <f t="shared" si="25"/>
        <v/>
      </c>
      <c r="T223" s="393" t="str">
        <f t="shared" si="26"/>
        <v/>
      </c>
      <c r="U223" s="415" t="str">
        <f t="shared" si="27"/>
        <v/>
      </c>
      <c r="V223" s="119"/>
      <c r="W223" s="120"/>
      <c r="X223" s="120"/>
      <c r="AE223" s="124" t="str">
        <f t="shared" si="21"/>
        <v/>
      </c>
      <c r="AF223" s="124" t="str">
        <f t="shared" si="22"/>
        <v/>
      </c>
      <c r="AH223" s="124">
        <v>214</v>
      </c>
      <c r="AJ223" s="124" t="str">
        <f t="array" ref="AJ223">IFERROR(INDEX($AH$10:$AH$258, MATCH(0, IF(TRUE=$AE$10:$AE$258, COUNTIF($AJ$9:$AJ222, $AH$10:$AH$258), ""), 0)),"")</f>
        <v/>
      </c>
      <c r="AK223" s="124" t="str">
        <f t="array" ref="AK223">IFERROR(INDEX($AH$10:$AH$258, MATCH(0, IF(TRUE=$AF$10:$AF$258, COUNTIF($AK$9:$AK222, $AH$10:$AH$258), ""), 0)),"")</f>
        <v/>
      </c>
      <c r="AL223" s="30" t="str">
        <f>IFERROR(INDEX('G-6 Hedgerow Data'!$BJ$3:$BJ$15,MATCH(D223,'G-6 Hedgerow Data'!$B$3:$B$15,0)),"")</f>
        <v/>
      </c>
    </row>
    <row r="224" spans="2:38">
      <c r="B224" s="110">
        <v>215</v>
      </c>
      <c r="C224" s="165"/>
      <c r="D224" s="165"/>
      <c r="E224" s="121"/>
      <c r="F224" s="411" t="str">
        <f>IF(D224="","",VLOOKUP(D224,'G-6 Hedgerow Data'!$B$2:$AG$15,2,FALSE))</f>
        <v/>
      </c>
      <c r="G224" s="363" t="str">
        <f>IF(D224="","",VLOOKUP(D224,'G-6 Hedgerow Data'!$B$2:$AG$15,3,FALSE))</f>
        <v/>
      </c>
      <c r="H224" s="114"/>
      <c r="I224" s="363" t="str">
        <f>IFERROR(VLOOKUP(H224,'G-1 All Habitats'!$Z$2:$AA$9,2,FALSE),"")</f>
        <v/>
      </c>
      <c r="J224" s="114"/>
      <c r="K224" s="370" t="str">
        <f>IF(J224="","",IF(VLOOKUP(J224,'G-3 Multipliers'!$L$3:$N$6,2,FALSE)=0,"Spatial Data Missing ⚠",VLOOKUP(J224,'G-3 Multipliers'!$L$3:$N$6,2,FALSE)))</f>
        <v/>
      </c>
      <c r="L224" s="368" t="str">
        <f>IF(J224="","",IF(VLOOKUP(J224,'G-3 Multipliers'!$L$3:$N$6,3,FALSE)=0,"Spatial Data Missing ⚠",VLOOKUP(J224,'G-3 Multipliers'!$L$3:$N$6,3,FALSE)))</f>
        <v/>
      </c>
      <c r="M224" s="369" t="str">
        <f>IF(D224="","",VLOOKUP(D224,'G-6 Hedgerow Data'!$B$1:$AH$15,33,FALSE))</f>
        <v/>
      </c>
      <c r="N224" s="376" t="str">
        <f t="shared" si="23"/>
        <v/>
      </c>
      <c r="O224" s="32"/>
      <c r="P224" s="122"/>
      <c r="Q224" s="165"/>
      <c r="R224" s="393" t="str">
        <f t="shared" si="24"/>
        <v/>
      </c>
      <c r="S224" s="393" t="str">
        <f t="shared" si="25"/>
        <v/>
      </c>
      <c r="T224" s="393" t="str">
        <f t="shared" si="26"/>
        <v/>
      </c>
      <c r="U224" s="415" t="str">
        <f t="shared" si="27"/>
        <v/>
      </c>
      <c r="V224" s="119"/>
      <c r="W224" s="120"/>
      <c r="X224" s="120"/>
      <c r="AE224" s="124" t="str">
        <f t="shared" si="21"/>
        <v/>
      </c>
      <c r="AF224" s="124" t="str">
        <f t="shared" si="22"/>
        <v/>
      </c>
      <c r="AH224" s="124">
        <v>215</v>
      </c>
      <c r="AJ224" s="124" t="str">
        <f t="array" ref="AJ224">IFERROR(INDEX($AH$10:$AH$258, MATCH(0, IF(TRUE=$AE$10:$AE$258, COUNTIF($AJ$9:$AJ223, $AH$10:$AH$258), ""), 0)),"")</f>
        <v/>
      </c>
      <c r="AK224" s="124" t="str">
        <f t="array" ref="AK224">IFERROR(INDEX($AH$10:$AH$258, MATCH(0, IF(TRUE=$AF$10:$AF$258, COUNTIF($AK$9:$AK223, $AH$10:$AH$258), ""), 0)),"")</f>
        <v/>
      </c>
      <c r="AL224" s="30" t="str">
        <f>IFERROR(INDEX('G-6 Hedgerow Data'!$BJ$3:$BJ$15,MATCH(D224,'G-6 Hedgerow Data'!$B$3:$B$15,0)),"")</f>
        <v/>
      </c>
    </row>
    <row r="225" spans="2:38">
      <c r="B225" s="110">
        <v>216</v>
      </c>
      <c r="C225" s="165"/>
      <c r="D225" s="165"/>
      <c r="E225" s="121"/>
      <c r="F225" s="411" t="str">
        <f>IF(D225="","",VLOOKUP(D225,'G-6 Hedgerow Data'!$B$2:$AG$15,2,FALSE))</f>
        <v/>
      </c>
      <c r="G225" s="363" t="str">
        <f>IF(D225="","",VLOOKUP(D225,'G-6 Hedgerow Data'!$B$2:$AG$15,3,FALSE))</f>
        <v/>
      </c>
      <c r="H225" s="114"/>
      <c r="I225" s="363" t="str">
        <f>IFERROR(VLOOKUP(H225,'G-1 All Habitats'!$Z$2:$AA$9,2,FALSE),"")</f>
        <v/>
      </c>
      <c r="J225" s="114"/>
      <c r="K225" s="370" t="str">
        <f>IF(J225="","",IF(VLOOKUP(J225,'G-3 Multipliers'!$L$3:$N$6,2,FALSE)=0,"Spatial Data Missing ⚠",VLOOKUP(J225,'G-3 Multipliers'!$L$3:$N$6,2,FALSE)))</f>
        <v/>
      </c>
      <c r="L225" s="368" t="str">
        <f>IF(J225="","",IF(VLOOKUP(J225,'G-3 Multipliers'!$L$3:$N$6,3,FALSE)=0,"Spatial Data Missing ⚠",VLOOKUP(J225,'G-3 Multipliers'!$L$3:$N$6,3,FALSE)))</f>
        <v/>
      </c>
      <c r="M225" s="369" t="str">
        <f>IF(D225="","",VLOOKUP(D225,'G-6 Hedgerow Data'!$B$1:$AH$15,33,FALSE))</f>
        <v/>
      </c>
      <c r="N225" s="376" t="str">
        <f t="shared" si="23"/>
        <v/>
      </c>
      <c r="O225" s="32"/>
      <c r="P225" s="122"/>
      <c r="Q225" s="165"/>
      <c r="R225" s="393" t="str">
        <f t="shared" si="24"/>
        <v/>
      </c>
      <c r="S225" s="393" t="str">
        <f t="shared" si="25"/>
        <v/>
      </c>
      <c r="T225" s="393" t="str">
        <f t="shared" si="26"/>
        <v/>
      </c>
      <c r="U225" s="415" t="str">
        <f t="shared" si="27"/>
        <v/>
      </c>
      <c r="V225" s="119"/>
      <c r="W225" s="120"/>
      <c r="X225" s="120"/>
      <c r="AE225" s="124" t="str">
        <f t="shared" si="21"/>
        <v/>
      </c>
      <c r="AF225" s="124" t="str">
        <f t="shared" si="22"/>
        <v/>
      </c>
      <c r="AH225" s="124">
        <v>216</v>
      </c>
      <c r="AJ225" s="124" t="str">
        <f t="array" ref="AJ225">IFERROR(INDEX($AH$10:$AH$258, MATCH(0, IF(TRUE=$AE$10:$AE$258, COUNTIF($AJ$9:$AJ224, $AH$10:$AH$258), ""), 0)),"")</f>
        <v/>
      </c>
      <c r="AK225" s="124" t="str">
        <f t="array" ref="AK225">IFERROR(INDEX($AH$10:$AH$258, MATCH(0, IF(TRUE=$AF$10:$AF$258, COUNTIF($AK$9:$AK224, $AH$10:$AH$258), ""), 0)),"")</f>
        <v/>
      </c>
      <c r="AL225" s="30" t="str">
        <f>IFERROR(INDEX('G-6 Hedgerow Data'!$BJ$3:$BJ$15,MATCH(D225,'G-6 Hedgerow Data'!$B$3:$B$15,0)),"")</f>
        <v/>
      </c>
    </row>
    <row r="226" spans="2:38">
      <c r="B226" s="110">
        <v>217</v>
      </c>
      <c r="C226" s="165"/>
      <c r="D226" s="165"/>
      <c r="E226" s="121"/>
      <c r="F226" s="411" t="str">
        <f>IF(D226="","",VLOOKUP(D226,'G-6 Hedgerow Data'!$B$2:$AG$15,2,FALSE))</f>
        <v/>
      </c>
      <c r="G226" s="363" t="str">
        <f>IF(D226="","",VLOOKUP(D226,'G-6 Hedgerow Data'!$B$2:$AG$15,3,FALSE))</f>
        <v/>
      </c>
      <c r="H226" s="114"/>
      <c r="I226" s="363" t="str">
        <f>IFERROR(VLOOKUP(H226,'G-1 All Habitats'!$Z$2:$AA$9,2,FALSE),"")</f>
        <v/>
      </c>
      <c r="J226" s="114"/>
      <c r="K226" s="370" t="str">
        <f>IF(J226="","",IF(VLOOKUP(J226,'G-3 Multipliers'!$L$3:$N$6,2,FALSE)=0,"Spatial Data Missing ⚠",VLOOKUP(J226,'G-3 Multipliers'!$L$3:$N$6,2,FALSE)))</f>
        <v/>
      </c>
      <c r="L226" s="368" t="str">
        <f>IF(J226="","",IF(VLOOKUP(J226,'G-3 Multipliers'!$L$3:$N$6,3,FALSE)=0,"Spatial Data Missing ⚠",VLOOKUP(J226,'G-3 Multipliers'!$L$3:$N$6,3,FALSE)))</f>
        <v/>
      </c>
      <c r="M226" s="369" t="str">
        <f>IF(D226="","",VLOOKUP(D226,'G-6 Hedgerow Data'!$B$1:$AH$15,33,FALSE))</f>
        <v/>
      </c>
      <c r="N226" s="376" t="str">
        <f t="shared" si="23"/>
        <v/>
      </c>
      <c r="O226" s="32"/>
      <c r="P226" s="122"/>
      <c r="Q226" s="165"/>
      <c r="R226" s="393" t="str">
        <f t="shared" si="24"/>
        <v/>
      </c>
      <c r="S226" s="393" t="str">
        <f t="shared" si="25"/>
        <v/>
      </c>
      <c r="T226" s="393" t="str">
        <f t="shared" si="26"/>
        <v/>
      </c>
      <c r="U226" s="415" t="str">
        <f t="shared" si="27"/>
        <v/>
      </c>
      <c r="V226" s="119"/>
      <c r="W226" s="120"/>
      <c r="X226" s="120"/>
      <c r="AE226" s="124" t="str">
        <f t="shared" si="21"/>
        <v/>
      </c>
      <c r="AF226" s="124" t="str">
        <f t="shared" si="22"/>
        <v/>
      </c>
      <c r="AH226" s="124">
        <v>217</v>
      </c>
      <c r="AJ226" s="124" t="str">
        <f t="array" ref="AJ226">IFERROR(INDEX($AH$10:$AH$258, MATCH(0, IF(TRUE=$AE$10:$AE$258, COUNTIF($AJ$9:$AJ225, $AH$10:$AH$258), ""), 0)),"")</f>
        <v/>
      </c>
      <c r="AK226" s="124" t="str">
        <f t="array" ref="AK226">IFERROR(INDEX($AH$10:$AH$258, MATCH(0, IF(TRUE=$AF$10:$AF$258, COUNTIF($AK$9:$AK225, $AH$10:$AH$258), ""), 0)),"")</f>
        <v/>
      </c>
      <c r="AL226" s="30" t="str">
        <f>IFERROR(INDEX('G-6 Hedgerow Data'!$BJ$3:$BJ$15,MATCH(D226,'G-6 Hedgerow Data'!$B$3:$B$15,0)),"")</f>
        <v/>
      </c>
    </row>
    <row r="227" spans="2:38">
      <c r="B227" s="110">
        <v>218</v>
      </c>
      <c r="C227" s="165"/>
      <c r="D227" s="165"/>
      <c r="E227" s="121"/>
      <c r="F227" s="411" t="str">
        <f>IF(D227="","",VLOOKUP(D227,'G-6 Hedgerow Data'!$B$2:$AG$15,2,FALSE))</f>
        <v/>
      </c>
      <c r="G227" s="363" t="str">
        <f>IF(D227="","",VLOOKUP(D227,'G-6 Hedgerow Data'!$B$2:$AG$15,3,FALSE))</f>
        <v/>
      </c>
      <c r="H227" s="114"/>
      <c r="I227" s="363" t="str">
        <f>IFERROR(VLOOKUP(H227,'G-1 All Habitats'!$Z$2:$AA$9,2,FALSE),"")</f>
        <v/>
      </c>
      <c r="J227" s="114"/>
      <c r="K227" s="370" t="str">
        <f>IF(J227="","",IF(VLOOKUP(J227,'G-3 Multipliers'!$L$3:$N$6,2,FALSE)=0,"Spatial Data Missing ⚠",VLOOKUP(J227,'G-3 Multipliers'!$L$3:$N$6,2,FALSE)))</f>
        <v/>
      </c>
      <c r="L227" s="368" t="str">
        <f>IF(J227="","",IF(VLOOKUP(J227,'G-3 Multipliers'!$L$3:$N$6,3,FALSE)=0,"Spatial Data Missing ⚠",VLOOKUP(J227,'G-3 Multipliers'!$L$3:$N$6,3,FALSE)))</f>
        <v/>
      </c>
      <c r="M227" s="369" t="str">
        <f>IF(D227="","",VLOOKUP(D227,'G-6 Hedgerow Data'!$B$1:$AH$15,33,FALSE))</f>
        <v/>
      </c>
      <c r="N227" s="376" t="str">
        <f t="shared" si="23"/>
        <v/>
      </c>
      <c r="O227" s="32"/>
      <c r="P227" s="122"/>
      <c r="Q227" s="165"/>
      <c r="R227" s="393" t="str">
        <f t="shared" si="24"/>
        <v/>
      </c>
      <c r="S227" s="393" t="str">
        <f t="shared" si="25"/>
        <v/>
      </c>
      <c r="T227" s="393" t="str">
        <f t="shared" si="26"/>
        <v/>
      </c>
      <c r="U227" s="415" t="str">
        <f t="shared" si="27"/>
        <v/>
      </c>
      <c r="V227" s="119"/>
      <c r="W227" s="120"/>
      <c r="X227" s="120"/>
      <c r="AE227" s="124" t="str">
        <f t="shared" si="21"/>
        <v/>
      </c>
      <c r="AF227" s="124" t="str">
        <f t="shared" si="22"/>
        <v/>
      </c>
      <c r="AH227" s="124">
        <v>218</v>
      </c>
      <c r="AJ227" s="124" t="str">
        <f t="array" ref="AJ227">IFERROR(INDEX($AH$10:$AH$258, MATCH(0, IF(TRUE=$AE$10:$AE$258, COUNTIF($AJ$9:$AJ226, $AH$10:$AH$258), ""), 0)),"")</f>
        <v/>
      </c>
      <c r="AK227" s="124" t="str">
        <f t="array" ref="AK227">IFERROR(INDEX($AH$10:$AH$258, MATCH(0, IF(TRUE=$AF$10:$AF$258, COUNTIF($AK$9:$AK226, $AH$10:$AH$258), ""), 0)),"")</f>
        <v/>
      </c>
      <c r="AL227" s="30" t="str">
        <f>IFERROR(INDEX('G-6 Hedgerow Data'!$BJ$3:$BJ$15,MATCH(D227,'G-6 Hedgerow Data'!$B$3:$B$15,0)),"")</f>
        <v/>
      </c>
    </row>
    <row r="228" spans="2:38">
      <c r="B228" s="110">
        <v>219</v>
      </c>
      <c r="C228" s="165"/>
      <c r="D228" s="165"/>
      <c r="E228" s="121"/>
      <c r="F228" s="411" t="str">
        <f>IF(D228="","",VLOOKUP(D228,'G-6 Hedgerow Data'!$B$2:$AG$15,2,FALSE))</f>
        <v/>
      </c>
      <c r="G228" s="363" t="str">
        <f>IF(D228="","",VLOOKUP(D228,'G-6 Hedgerow Data'!$B$2:$AG$15,3,FALSE))</f>
        <v/>
      </c>
      <c r="H228" s="114"/>
      <c r="I228" s="363" t="str">
        <f>IFERROR(VLOOKUP(H228,'G-1 All Habitats'!$Z$2:$AA$9,2,FALSE),"")</f>
        <v/>
      </c>
      <c r="J228" s="114"/>
      <c r="K228" s="370" t="str">
        <f>IF(J228="","",IF(VLOOKUP(J228,'G-3 Multipliers'!$L$3:$N$6,2,FALSE)=0,"Spatial Data Missing ⚠",VLOOKUP(J228,'G-3 Multipliers'!$L$3:$N$6,2,FALSE)))</f>
        <v/>
      </c>
      <c r="L228" s="368" t="str">
        <f>IF(J228="","",IF(VLOOKUP(J228,'G-3 Multipliers'!$L$3:$N$6,3,FALSE)=0,"Spatial Data Missing ⚠",VLOOKUP(J228,'G-3 Multipliers'!$L$3:$N$6,3,FALSE)))</f>
        <v/>
      </c>
      <c r="M228" s="369" t="str">
        <f>IF(D228="","",VLOOKUP(D228,'G-6 Hedgerow Data'!$B$1:$AH$15,33,FALSE))</f>
        <v/>
      </c>
      <c r="N228" s="376" t="str">
        <f t="shared" si="23"/>
        <v/>
      </c>
      <c r="O228" s="32"/>
      <c r="P228" s="122"/>
      <c r="Q228" s="165"/>
      <c r="R228" s="393" t="str">
        <f t="shared" si="24"/>
        <v/>
      </c>
      <c r="S228" s="393" t="str">
        <f t="shared" si="25"/>
        <v/>
      </c>
      <c r="T228" s="393" t="str">
        <f t="shared" si="26"/>
        <v/>
      </c>
      <c r="U228" s="415" t="str">
        <f t="shared" si="27"/>
        <v/>
      </c>
      <c r="V228" s="119"/>
      <c r="W228" s="120"/>
      <c r="X228" s="120"/>
      <c r="AE228" s="124" t="str">
        <f t="shared" si="21"/>
        <v/>
      </c>
      <c r="AF228" s="124" t="str">
        <f t="shared" si="22"/>
        <v/>
      </c>
      <c r="AH228" s="124">
        <v>219</v>
      </c>
      <c r="AJ228" s="124" t="str">
        <f t="array" ref="AJ228">IFERROR(INDEX($AH$10:$AH$258, MATCH(0, IF(TRUE=$AE$10:$AE$258, COUNTIF($AJ$9:$AJ227, $AH$10:$AH$258), ""), 0)),"")</f>
        <v/>
      </c>
      <c r="AK228" s="124" t="str">
        <f t="array" ref="AK228">IFERROR(INDEX($AH$10:$AH$258, MATCH(0, IF(TRUE=$AF$10:$AF$258, COUNTIF($AK$9:$AK227, $AH$10:$AH$258), ""), 0)),"")</f>
        <v/>
      </c>
      <c r="AL228" s="30" t="str">
        <f>IFERROR(INDEX('G-6 Hedgerow Data'!$BJ$3:$BJ$15,MATCH(D228,'G-6 Hedgerow Data'!$B$3:$B$15,0)),"")</f>
        <v/>
      </c>
    </row>
    <row r="229" spans="2:38">
      <c r="B229" s="110">
        <v>220</v>
      </c>
      <c r="C229" s="165"/>
      <c r="D229" s="165"/>
      <c r="E229" s="121"/>
      <c r="F229" s="411" t="str">
        <f>IF(D229="","",VLOOKUP(D229,'G-6 Hedgerow Data'!$B$2:$AG$15,2,FALSE))</f>
        <v/>
      </c>
      <c r="G229" s="363" t="str">
        <f>IF(D229="","",VLOOKUP(D229,'G-6 Hedgerow Data'!$B$2:$AG$15,3,FALSE))</f>
        <v/>
      </c>
      <c r="H229" s="114"/>
      <c r="I229" s="363" t="str">
        <f>IFERROR(VLOOKUP(H229,'G-1 All Habitats'!$Z$2:$AA$9,2,FALSE),"")</f>
        <v/>
      </c>
      <c r="J229" s="114"/>
      <c r="K229" s="370" t="str">
        <f>IF(J229="","",IF(VLOOKUP(J229,'G-3 Multipliers'!$L$3:$N$6,2,FALSE)=0,"Spatial Data Missing ⚠",VLOOKUP(J229,'G-3 Multipliers'!$L$3:$N$6,2,FALSE)))</f>
        <v/>
      </c>
      <c r="L229" s="368" t="str">
        <f>IF(J229="","",IF(VLOOKUP(J229,'G-3 Multipliers'!$L$3:$N$6,3,FALSE)=0,"Spatial Data Missing ⚠",VLOOKUP(J229,'G-3 Multipliers'!$L$3:$N$6,3,FALSE)))</f>
        <v/>
      </c>
      <c r="M229" s="369" t="str">
        <f>IF(D229="","",VLOOKUP(D229,'G-6 Hedgerow Data'!$B$1:$AH$15,33,FALSE))</f>
        <v/>
      </c>
      <c r="N229" s="376" t="str">
        <f t="shared" si="23"/>
        <v/>
      </c>
      <c r="O229" s="32"/>
      <c r="P229" s="122"/>
      <c r="Q229" s="165"/>
      <c r="R229" s="393" t="str">
        <f t="shared" si="24"/>
        <v/>
      </c>
      <c r="S229" s="393" t="str">
        <f t="shared" si="25"/>
        <v/>
      </c>
      <c r="T229" s="393" t="str">
        <f t="shared" si="26"/>
        <v/>
      </c>
      <c r="U229" s="415" t="str">
        <f t="shared" si="27"/>
        <v/>
      </c>
      <c r="V229" s="119"/>
      <c r="W229" s="120"/>
      <c r="X229" s="120"/>
      <c r="AE229" s="124" t="str">
        <f t="shared" si="21"/>
        <v/>
      </c>
      <c r="AF229" s="124" t="str">
        <f t="shared" si="22"/>
        <v/>
      </c>
      <c r="AH229" s="124">
        <v>220</v>
      </c>
      <c r="AJ229" s="124" t="str">
        <f t="array" ref="AJ229">IFERROR(INDEX($AH$10:$AH$258, MATCH(0, IF(TRUE=$AE$10:$AE$258, COUNTIF($AJ$9:$AJ228, $AH$10:$AH$258), ""), 0)),"")</f>
        <v/>
      </c>
      <c r="AK229" s="124" t="str">
        <f t="array" ref="AK229">IFERROR(INDEX($AH$10:$AH$258, MATCH(0, IF(TRUE=$AF$10:$AF$258, COUNTIF($AK$9:$AK228, $AH$10:$AH$258), ""), 0)),"")</f>
        <v/>
      </c>
      <c r="AL229" s="30" t="str">
        <f>IFERROR(INDEX('G-6 Hedgerow Data'!$BJ$3:$BJ$15,MATCH(D229,'G-6 Hedgerow Data'!$B$3:$B$15,0)),"")</f>
        <v/>
      </c>
    </row>
    <row r="230" spans="2:38">
      <c r="B230" s="110">
        <v>221</v>
      </c>
      <c r="C230" s="165"/>
      <c r="D230" s="165"/>
      <c r="E230" s="121"/>
      <c r="F230" s="411" t="str">
        <f>IF(D230="","",VLOOKUP(D230,'G-6 Hedgerow Data'!$B$2:$AG$15,2,FALSE))</f>
        <v/>
      </c>
      <c r="G230" s="363" t="str">
        <f>IF(D230="","",VLOOKUP(D230,'G-6 Hedgerow Data'!$B$2:$AG$15,3,FALSE))</f>
        <v/>
      </c>
      <c r="H230" s="114"/>
      <c r="I230" s="363" t="str">
        <f>IFERROR(VLOOKUP(H230,'G-1 All Habitats'!$Z$2:$AA$9,2,FALSE),"")</f>
        <v/>
      </c>
      <c r="J230" s="114"/>
      <c r="K230" s="370" t="str">
        <f>IF(J230="","",IF(VLOOKUP(J230,'G-3 Multipliers'!$L$3:$N$6,2,FALSE)=0,"Spatial Data Missing ⚠",VLOOKUP(J230,'G-3 Multipliers'!$L$3:$N$6,2,FALSE)))</f>
        <v/>
      </c>
      <c r="L230" s="368" t="str">
        <f>IF(J230="","",IF(VLOOKUP(J230,'G-3 Multipliers'!$L$3:$N$6,3,FALSE)=0,"Spatial Data Missing ⚠",VLOOKUP(J230,'G-3 Multipliers'!$L$3:$N$6,3,FALSE)))</f>
        <v/>
      </c>
      <c r="M230" s="369" t="str">
        <f>IF(D230="","",VLOOKUP(D230,'G-6 Hedgerow Data'!$B$1:$AH$15,33,FALSE))</f>
        <v/>
      </c>
      <c r="N230" s="376" t="str">
        <f t="shared" si="23"/>
        <v/>
      </c>
      <c r="O230" s="32"/>
      <c r="P230" s="122"/>
      <c r="Q230" s="165"/>
      <c r="R230" s="393" t="str">
        <f t="shared" si="24"/>
        <v/>
      </c>
      <c r="S230" s="393" t="str">
        <f t="shared" si="25"/>
        <v/>
      </c>
      <c r="T230" s="393" t="str">
        <f t="shared" si="26"/>
        <v/>
      </c>
      <c r="U230" s="415" t="str">
        <f t="shared" si="27"/>
        <v/>
      </c>
      <c r="V230" s="119"/>
      <c r="W230" s="120"/>
      <c r="X230" s="120"/>
      <c r="AE230" s="124" t="str">
        <f t="shared" si="21"/>
        <v/>
      </c>
      <c r="AF230" s="124" t="str">
        <f t="shared" si="22"/>
        <v/>
      </c>
      <c r="AH230" s="124">
        <v>221</v>
      </c>
      <c r="AJ230" s="124" t="str">
        <f t="array" ref="AJ230">IFERROR(INDEX($AH$10:$AH$258, MATCH(0, IF(TRUE=$AE$10:$AE$258, COUNTIF($AJ$9:$AJ229, $AH$10:$AH$258), ""), 0)),"")</f>
        <v/>
      </c>
      <c r="AK230" s="124" t="str">
        <f t="array" ref="AK230">IFERROR(INDEX($AH$10:$AH$258, MATCH(0, IF(TRUE=$AF$10:$AF$258, COUNTIF($AK$9:$AK229, $AH$10:$AH$258), ""), 0)),"")</f>
        <v/>
      </c>
      <c r="AL230" s="30" t="str">
        <f>IFERROR(INDEX('G-6 Hedgerow Data'!$BJ$3:$BJ$15,MATCH(D230,'G-6 Hedgerow Data'!$B$3:$B$15,0)),"")</f>
        <v/>
      </c>
    </row>
    <row r="231" spans="2:38">
      <c r="B231" s="110">
        <v>222</v>
      </c>
      <c r="C231" s="165"/>
      <c r="D231" s="165"/>
      <c r="E231" s="121"/>
      <c r="F231" s="411" t="str">
        <f>IF(D231="","",VLOOKUP(D231,'G-6 Hedgerow Data'!$B$2:$AG$15,2,FALSE))</f>
        <v/>
      </c>
      <c r="G231" s="363" t="str">
        <f>IF(D231="","",VLOOKUP(D231,'G-6 Hedgerow Data'!$B$2:$AG$15,3,FALSE))</f>
        <v/>
      </c>
      <c r="H231" s="114"/>
      <c r="I231" s="363" t="str">
        <f>IFERROR(VLOOKUP(H231,'G-1 All Habitats'!$Z$2:$AA$9,2,FALSE),"")</f>
        <v/>
      </c>
      <c r="J231" s="114"/>
      <c r="K231" s="370" t="str">
        <f>IF(J231="","",IF(VLOOKUP(J231,'G-3 Multipliers'!$L$3:$N$6,2,FALSE)=0,"Spatial Data Missing ⚠",VLOOKUP(J231,'G-3 Multipliers'!$L$3:$N$6,2,FALSE)))</f>
        <v/>
      </c>
      <c r="L231" s="368" t="str">
        <f>IF(J231="","",IF(VLOOKUP(J231,'G-3 Multipliers'!$L$3:$N$6,3,FALSE)=0,"Spatial Data Missing ⚠",VLOOKUP(J231,'G-3 Multipliers'!$L$3:$N$6,3,FALSE)))</f>
        <v/>
      </c>
      <c r="M231" s="369" t="str">
        <f>IF(D231="","",VLOOKUP(D231,'G-6 Hedgerow Data'!$B$1:$AH$15,33,FALSE))</f>
        <v/>
      </c>
      <c r="N231" s="376" t="str">
        <f t="shared" si="23"/>
        <v/>
      </c>
      <c r="O231" s="32"/>
      <c r="P231" s="122"/>
      <c r="Q231" s="165"/>
      <c r="R231" s="393" t="str">
        <f t="shared" si="24"/>
        <v/>
      </c>
      <c r="S231" s="393" t="str">
        <f t="shared" si="25"/>
        <v/>
      </c>
      <c r="T231" s="393" t="str">
        <f t="shared" si="26"/>
        <v/>
      </c>
      <c r="U231" s="415" t="str">
        <f t="shared" si="27"/>
        <v/>
      </c>
      <c r="V231" s="119"/>
      <c r="W231" s="120"/>
      <c r="X231" s="120"/>
      <c r="AE231" s="124" t="str">
        <f t="shared" si="21"/>
        <v/>
      </c>
      <c r="AF231" s="124" t="str">
        <f t="shared" si="22"/>
        <v/>
      </c>
      <c r="AH231" s="124">
        <v>222</v>
      </c>
      <c r="AJ231" s="124" t="str">
        <f t="array" ref="AJ231">IFERROR(INDEX($AH$10:$AH$258, MATCH(0, IF(TRUE=$AE$10:$AE$258, COUNTIF($AJ$9:$AJ230, $AH$10:$AH$258), ""), 0)),"")</f>
        <v/>
      </c>
      <c r="AK231" s="124" t="str">
        <f t="array" ref="AK231">IFERROR(INDEX($AH$10:$AH$258, MATCH(0, IF(TRUE=$AF$10:$AF$258, COUNTIF($AK$9:$AK230, $AH$10:$AH$258), ""), 0)),"")</f>
        <v/>
      </c>
      <c r="AL231" s="30" t="str">
        <f>IFERROR(INDEX('G-6 Hedgerow Data'!$BJ$3:$BJ$15,MATCH(D231,'G-6 Hedgerow Data'!$B$3:$B$15,0)),"")</f>
        <v/>
      </c>
    </row>
    <row r="232" spans="2:38">
      <c r="B232" s="110">
        <v>223</v>
      </c>
      <c r="C232" s="165"/>
      <c r="D232" s="165"/>
      <c r="E232" s="121"/>
      <c r="F232" s="411" t="str">
        <f>IF(D232="","",VLOOKUP(D232,'G-6 Hedgerow Data'!$B$2:$AG$15,2,FALSE))</f>
        <v/>
      </c>
      <c r="G232" s="363" t="str">
        <f>IF(D232="","",VLOOKUP(D232,'G-6 Hedgerow Data'!$B$2:$AG$15,3,FALSE))</f>
        <v/>
      </c>
      <c r="H232" s="114"/>
      <c r="I232" s="363" t="str">
        <f>IFERROR(VLOOKUP(H232,'G-1 All Habitats'!$Z$2:$AA$9,2,FALSE),"")</f>
        <v/>
      </c>
      <c r="J232" s="114"/>
      <c r="K232" s="370" t="str">
        <f>IF(J232="","",IF(VLOOKUP(J232,'G-3 Multipliers'!$L$3:$N$6,2,FALSE)=0,"Spatial Data Missing ⚠",VLOOKUP(J232,'G-3 Multipliers'!$L$3:$N$6,2,FALSE)))</f>
        <v/>
      </c>
      <c r="L232" s="368" t="str">
        <f>IF(J232="","",IF(VLOOKUP(J232,'G-3 Multipliers'!$L$3:$N$6,3,FALSE)=0,"Spatial Data Missing ⚠",VLOOKUP(J232,'G-3 Multipliers'!$L$3:$N$6,3,FALSE)))</f>
        <v/>
      </c>
      <c r="M232" s="369" t="str">
        <f>IF(D232="","",VLOOKUP(D232,'G-6 Hedgerow Data'!$B$1:$AH$15,33,FALSE))</f>
        <v/>
      </c>
      <c r="N232" s="376" t="str">
        <f t="shared" si="23"/>
        <v/>
      </c>
      <c r="O232" s="32"/>
      <c r="P232" s="122"/>
      <c r="Q232" s="165"/>
      <c r="R232" s="393" t="str">
        <f t="shared" si="24"/>
        <v/>
      </c>
      <c r="S232" s="393" t="str">
        <f t="shared" si="25"/>
        <v/>
      </c>
      <c r="T232" s="393" t="str">
        <f t="shared" si="26"/>
        <v/>
      </c>
      <c r="U232" s="415" t="str">
        <f t="shared" si="27"/>
        <v/>
      </c>
      <c r="V232" s="119"/>
      <c r="W232" s="120"/>
      <c r="X232" s="120"/>
      <c r="AE232" s="124" t="str">
        <f t="shared" si="21"/>
        <v/>
      </c>
      <c r="AF232" s="124" t="str">
        <f t="shared" si="22"/>
        <v/>
      </c>
      <c r="AH232" s="124">
        <v>223</v>
      </c>
      <c r="AJ232" s="124" t="str">
        <f t="array" ref="AJ232">IFERROR(INDEX($AH$10:$AH$258, MATCH(0, IF(TRUE=$AE$10:$AE$258, COUNTIF($AJ$9:$AJ231, $AH$10:$AH$258), ""), 0)),"")</f>
        <v/>
      </c>
      <c r="AK232" s="124" t="str">
        <f t="array" ref="AK232">IFERROR(INDEX($AH$10:$AH$258, MATCH(0, IF(TRUE=$AF$10:$AF$258, COUNTIF($AK$9:$AK231, $AH$10:$AH$258), ""), 0)),"")</f>
        <v/>
      </c>
      <c r="AL232" s="30" t="str">
        <f>IFERROR(INDEX('G-6 Hedgerow Data'!$BJ$3:$BJ$15,MATCH(D232,'G-6 Hedgerow Data'!$B$3:$B$15,0)),"")</f>
        <v/>
      </c>
    </row>
    <row r="233" spans="2:38">
      <c r="B233" s="110">
        <v>224</v>
      </c>
      <c r="C233" s="165"/>
      <c r="D233" s="165"/>
      <c r="E233" s="121"/>
      <c r="F233" s="411" t="str">
        <f>IF(D233="","",VLOOKUP(D233,'G-6 Hedgerow Data'!$B$2:$AG$15,2,FALSE))</f>
        <v/>
      </c>
      <c r="G233" s="363" t="str">
        <f>IF(D233="","",VLOOKUP(D233,'G-6 Hedgerow Data'!$B$2:$AG$15,3,FALSE))</f>
        <v/>
      </c>
      <c r="H233" s="114"/>
      <c r="I233" s="363" t="str">
        <f>IFERROR(VLOOKUP(H233,'G-1 All Habitats'!$Z$2:$AA$9,2,FALSE),"")</f>
        <v/>
      </c>
      <c r="J233" s="114"/>
      <c r="K233" s="370" t="str">
        <f>IF(J233="","",IF(VLOOKUP(J233,'G-3 Multipliers'!$L$3:$N$6,2,FALSE)=0,"Spatial Data Missing ⚠",VLOOKUP(J233,'G-3 Multipliers'!$L$3:$N$6,2,FALSE)))</f>
        <v/>
      </c>
      <c r="L233" s="368" t="str">
        <f>IF(J233="","",IF(VLOOKUP(J233,'G-3 Multipliers'!$L$3:$N$6,3,FALSE)=0,"Spatial Data Missing ⚠",VLOOKUP(J233,'G-3 Multipliers'!$L$3:$N$6,3,FALSE)))</f>
        <v/>
      </c>
      <c r="M233" s="369" t="str">
        <f>IF(D233="","",VLOOKUP(D233,'G-6 Hedgerow Data'!$B$1:$AH$15,33,FALSE))</f>
        <v/>
      </c>
      <c r="N233" s="376" t="str">
        <f t="shared" si="23"/>
        <v/>
      </c>
      <c r="O233" s="32"/>
      <c r="P233" s="122"/>
      <c r="Q233" s="165"/>
      <c r="R233" s="393" t="str">
        <f t="shared" si="24"/>
        <v/>
      </c>
      <c r="S233" s="393" t="str">
        <f t="shared" si="25"/>
        <v/>
      </c>
      <c r="T233" s="393" t="str">
        <f t="shared" si="26"/>
        <v/>
      </c>
      <c r="U233" s="415" t="str">
        <f t="shared" si="27"/>
        <v/>
      </c>
      <c r="V233" s="119"/>
      <c r="W233" s="120"/>
      <c r="X233" s="120"/>
      <c r="AE233" s="124" t="str">
        <f t="shared" si="21"/>
        <v/>
      </c>
      <c r="AF233" s="124" t="str">
        <f t="shared" si="22"/>
        <v/>
      </c>
      <c r="AH233" s="124">
        <v>224</v>
      </c>
      <c r="AJ233" s="124" t="str">
        <f t="array" ref="AJ233">IFERROR(INDEX($AH$10:$AH$258, MATCH(0, IF(TRUE=$AE$10:$AE$258, COUNTIF($AJ$9:$AJ232, $AH$10:$AH$258), ""), 0)),"")</f>
        <v/>
      </c>
      <c r="AK233" s="124" t="str">
        <f t="array" ref="AK233">IFERROR(INDEX($AH$10:$AH$258, MATCH(0, IF(TRUE=$AF$10:$AF$258, COUNTIF($AK$9:$AK232, $AH$10:$AH$258), ""), 0)),"")</f>
        <v/>
      </c>
      <c r="AL233" s="30" t="str">
        <f>IFERROR(INDEX('G-6 Hedgerow Data'!$BJ$3:$BJ$15,MATCH(D233,'G-6 Hedgerow Data'!$B$3:$B$15,0)),"")</f>
        <v/>
      </c>
    </row>
    <row r="234" spans="2:38">
      <c r="B234" s="110">
        <v>225</v>
      </c>
      <c r="C234" s="165"/>
      <c r="D234" s="165"/>
      <c r="E234" s="121"/>
      <c r="F234" s="411" t="str">
        <f>IF(D234="","",VLOOKUP(D234,'G-6 Hedgerow Data'!$B$2:$AG$15,2,FALSE))</f>
        <v/>
      </c>
      <c r="G234" s="363" t="str">
        <f>IF(D234="","",VLOOKUP(D234,'G-6 Hedgerow Data'!$B$2:$AG$15,3,FALSE))</f>
        <v/>
      </c>
      <c r="H234" s="114"/>
      <c r="I234" s="363" t="str">
        <f>IFERROR(VLOOKUP(H234,'G-1 All Habitats'!$Z$2:$AA$9,2,FALSE),"")</f>
        <v/>
      </c>
      <c r="J234" s="114"/>
      <c r="K234" s="370" t="str">
        <f>IF(J234="","",IF(VLOOKUP(J234,'G-3 Multipliers'!$L$3:$N$6,2,FALSE)=0,"Spatial Data Missing ⚠",VLOOKUP(J234,'G-3 Multipliers'!$L$3:$N$6,2,FALSE)))</f>
        <v/>
      </c>
      <c r="L234" s="368" t="str">
        <f>IF(J234="","",IF(VLOOKUP(J234,'G-3 Multipliers'!$L$3:$N$6,3,FALSE)=0,"Spatial Data Missing ⚠",VLOOKUP(J234,'G-3 Multipliers'!$L$3:$N$6,3,FALSE)))</f>
        <v/>
      </c>
      <c r="M234" s="369" t="str">
        <f>IF(D234="","",VLOOKUP(D234,'G-6 Hedgerow Data'!$B$1:$AH$15,33,FALSE))</f>
        <v/>
      </c>
      <c r="N234" s="376" t="str">
        <f t="shared" si="23"/>
        <v/>
      </c>
      <c r="O234" s="32"/>
      <c r="P234" s="122"/>
      <c r="Q234" s="165"/>
      <c r="R234" s="393" t="str">
        <f t="shared" si="24"/>
        <v/>
      </c>
      <c r="S234" s="393" t="str">
        <f t="shared" si="25"/>
        <v/>
      </c>
      <c r="T234" s="393" t="str">
        <f t="shared" si="26"/>
        <v/>
      </c>
      <c r="U234" s="415" t="str">
        <f t="shared" si="27"/>
        <v/>
      </c>
      <c r="V234" s="119"/>
      <c r="W234" s="120"/>
      <c r="X234" s="120"/>
      <c r="AE234" s="124" t="str">
        <f t="shared" si="21"/>
        <v/>
      </c>
      <c r="AF234" s="124" t="str">
        <f t="shared" si="22"/>
        <v/>
      </c>
      <c r="AH234" s="124">
        <v>225</v>
      </c>
      <c r="AJ234" s="124" t="str">
        <f t="array" ref="AJ234">IFERROR(INDEX($AH$10:$AH$258, MATCH(0, IF(TRUE=$AE$10:$AE$258, COUNTIF($AJ$9:$AJ233, $AH$10:$AH$258), ""), 0)),"")</f>
        <v/>
      </c>
      <c r="AK234" s="124" t="str">
        <f t="array" ref="AK234">IFERROR(INDEX($AH$10:$AH$258, MATCH(0, IF(TRUE=$AF$10:$AF$258, COUNTIF($AK$9:$AK233, $AH$10:$AH$258), ""), 0)),"")</f>
        <v/>
      </c>
      <c r="AL234" s="30" t="str">
        <f>IFERROR(INDEX('G-6 Hedgerow Data'!$BJ$3:$BJ$15,MATCH(D234,'G-6 Hedgerow Data'!$B$3:$B$15,0)),"")</f>
        <v/>
      </c>
    </row>
    <row r="235" spans="2:38">
      <c r="B235" s="110">
        <v>226</v>
      </c>
      <c r="C235" s="165"/>
      <c r="D235" s="165"/>
      <c r="E235" s="121"/>
      <c r="F235" s="411" t="str">
        <f>IF(D235="","",VLOOKUP(D235,'G-6 Hedgerow Data'!$B$2:$AG$15,2,FALSE))</f>
        <v/>
      </c>
      <c r="G235" s="363" t="str">
        <f>IF(D235="","",VLOOKUP(D235,'G-6 Hedgerow Data'!$B$2:$AG$15,3,FALSE))</f>
        <v/>
      </c>
      <c r="H235" s="114"/>
      <c r="I235" s="363" t="str">
        <f>IFERROR(VLOOKUP(H235,'G-1 All Habitats'!$Z$2:$AA$9,2,FALSE),"")</f>
        <v/>
      </c>
      <c r="J235" s="114"/>
      <c r="K235" s="370" t="str">
        <f>IF(J235="","",IF(VLOOKUP(J235,'G-3 Multipliers'!$L$3:$N$6,2,FALSE)=0,"Spatial Data Missing ⚠",VLOOKUP(J235,'G-3 Multipliers'!$L$3:$N$6,2,FALSE)))</f>
        <v/>
      </c>
      <c r="L235" s="368" t="str">
        <f>IF(J235="","",IF(VLOOKUP(J235,'G-3 Multipliers'!$L$3:$N$6,3,FALSE)=0,"Spatial Data Missing ⚠",VLOOKUP(J235,'G-3 Multipliers'!$L$3:$N$6,3,FALSE)))</f>
        <v/>
      </c>
      <c r="M235" s="369" t="str">
        <f>IF(D235="","",VLOOKUP(D235,'G-6 Hedgerow Data'!$B$1:$AH$15,33,FALSE))</f>
        <v/>
      </c>
      <c r="N235" s="376" t="str">
        <f t="shared" si="23"/>
        <v/>
      </c>
      <c r="O235" s="32"/>
      <c r="P235" s="122"/>
      <c r="Q235" s="165"/>
      <c r="R235" s="393" t="str">
        <f t="shared" si="24"/>
        <v/>
      </c>
      <c r="S235" s="393" t="str">
        <f t="shared" si="25"/>
        <v/>
      </c>
      <c r="T235" s="393" t="str">
        <f t="shared" si="26"/>
        <v/>
      </c>
      <c r="U235" s="415" t="str">
        <f t="shared" si="27"/>
        <v/>
      </c>
      <c r="V235" s="119"/>
      <c r="W235" s="120"/>
      <c r="X235" s="120"/>
      <c r="AE235" s="124" t="str">
        <f t="shared" si="21"/>
        <v/>
      </c>
      <c r="AF235" s="124" t="str">
        <f t="shared" si="22"/>
        <v/>
      </c>
      <c r="AH235" s="124">
        <v>226</v>
      </c>
      <c r="AJ235" s="124" t="str">
        <f t="array" ref="AJ235">IFERROR(INDEX($AH$10:$AH$258, MATCH(0, IF(TRUE=$AE$10:$AE$258, COUNTIF($AJ$9:$AJ234, $AH$10:$AH$258), ""), 0)),"")</f>
        <v/>
      </c>
      <c r="AK235" s="124" t="str">
        <f t="array" ref="AK235">IFERROR(INDEX($AH$10:$AH$258, MATCH(0, IF(TRUE=$AF$10:$AF$258, COUNTIF($AK$9:$AK234, $AH$10:$AH$258), ""), 0)),"")</f>
        <v/>
      </c>
      <c r="AL235" s="30" t="str">
        <f>IFERROR(INDEX('G-6 Hedgerow Data'!$BJ$3:$BJ$15,MATCH(D235,'G-6 Hedgerow Data'!$B$3:$B$15,0)),"")</f>
        <v/>
      </c>
    </row>
    <row r="236" spans="2:38">
      <c r="B236" s="110">
        <v>227</v>
      </c>
      <c r="C236" s="165"/>
      <c r="D236" s="165"/>
      <c r="E236" s="121"/>
      <c r="F236" s="411" t="str">
        <f>IF(D236="","",VLOOKUP(D236,'G-6 Hedgerow Data'!$B$2:$AG$15,2,FALSE))</f>
        <v/>
      </c>
      <c r="G236" s="363" t="str">
        <f>IF(D236="","",VLOOKUP(D236,'G-6 Hedgerow Data'!$B$2:$AG$15,3,FALSE))</f>
        <v/>
      </c>
      <c r="H236" s="114"/>
      <c r="I236" s="363" t="str">
        <f>IFERROR(VLOOKUP(H236,'G-1 All Habitats'!$Z$2:$AA$9,2,FALSE),"")</f>
        <v/>
      </c>
      <c r="J236" s="114"/>
      <c r="K236" s="370" t="str">
        <f>IF(J236="","",IF(VLOOKUP(J236,'G-3 Multipliers'!$L$3:$N$6,2,FALSE)=0,"Spatial Data Missing ⚠",VLOOKUP(J236,'G-3 Multipliers'!$L$3:$N$6,2,FALSE)))</f>
        <v/>
      </c>
      <c r="L236" s="368" t="str">
        <f>IF(J236="","",IF(VLOOKUP(J236,'G-3 Multipliers'!$L$3:$N$6,3,FALSE)=0,"Spatial Data Missing ⚠",VLOOKUP(J236,'G-3 Multipliers'!$L$3:$N$6,3,FALSE)))</f>
        <v/>
      </c>
      <c r="M236" s="369" t="str">
        <f>IF(D236="","",VLOOKUP(D236,'G-6 Hedgerow Data'!$B$1:$AH$15,33,FALSE))</f>
        <v/>
      </c>
      <c r="N236" s="376" t="str">
        <f t="shared" si="23"/>
        <v/>
      </c>
      <c r="O236" s="32"/>
      <c r="P236" s="122"/>
      <c r="Q236" s="165"/>
      <c r="R236" s="393" t="str">
        <f t="shared" si="24"/>
        <v/>
      </c>
      <c r="S236" s="393" t="str">
        <f t="shared" si="25"/>
        <v/>
      </c>
      <c r="T236" s="393" t="str">
        <f t="shared" si="26"/>
        <v/>
      </c>
      <c r="U236" s="415" t="str">
        <f t="shared" si="27"/>
        <v/>
      </c>
      <c r="V236" s="119"/>
      <c r="W236" s="120"/>
      <c r="X236" s="120"/>
      <c r="AE236" s="124" t="str">
        <f t="shared" si="21"/>
        <v/>
      </c>
      <c r="AF236" s="124" t="str">
        <f t="shared" si="22"/>
        <v/>
      </c>
      <c r="AH236" s="124">
        <v>227</v>
      </c>
      <c r="AJ236" s="124" t="str">
        <f t="array" ref="AJ236">IFERROR(INDEX($AH$10:$AH$258, MATCH(0, IF(TRUE=$AE$10:$AE$258, COUNTIF($AJ$9:$AJ235, $AH$10:$AH$258), ""), 0)),"")</f>
        <v/>
      </c>
      <c r="AK236" s="124" t="str">
        <f t="array" ref="AK236">IFERROR(INDEX($AH$10:$AH$258, MATCH(0, IF(TRUE=$AF$10:$AF$258, COUNTIF($AK$9:$AK235, $AH$10:$AH$258), ""), 0)),"")</f>
        <v/>
      </c>
      <c r="AL236" s="30" t="str">
        <f>IFERROR(INDEX('G-6 Hedgerow Data'!$BJ$3:$BJ$15,MATCH(D236,'G-6 Hedgerow Data'!$B$3:$B$15,0)),"")</f>
        <v/>
      </c>
    </row>
    <row r="237" spans="2:38">
      <c r="B237" s="110">
        <v>228</v>
      </c>
      <c r="C237" s="165"/>
      <c r="D237" s="165"/>
      <c r="E237" s="121"/>
      <c r="F237" s="411" t="str">
        <f>IF(D237="","",VLOOKUP(D237,'G-6 Hedgerow Data'!$B$2:$AG$15,2,FALSE))</f>
        <v/>
      </c>
      <c r="G237" s="363" t="str">
        <f>IF(D237="","",VLOOKUP(D237,'G-6 Hedgerow Data'!$B$2:$AG$15,3,FALSE))</f>
        <v/>
      </c>
      <c r="H237" s="114"/>
      <c r="I237" s="363" t="str">
        <f>IFERROR(VLOOKUP(H237,'G-1 All Habitats'!$Z$2:$AA$9,2,FALSE),"")</f>
        <v/>
      </c>
      <c r="J237" s="114"/>
      <c r="K237" s="370" t="str">
        <f>IF(J237="","",IF(VLOOKUP(J237,'G-3 Multipliers'!$L$3:$N$6,2,FALSE)=0,"Spatial Data Missing ⚠",VLOOKUP(J237,'G-3 Multipliers'!$L$3:$N$6,2,FALSE)))</f>
        <v/>
      </c>
      <c r="L237" s="368" t="str">
        <f>IF(J237="","",IF(VLOOKUP(J237,'G-3 Multipliers'!$L$3:$N$6,3,FALSE)=0,"Spatial Data Missing ⚠",VLOOKUP(J237,'G-3 Multipliers'!$L$3:$N$6,3,FALSE)))</f>
        <v/>
      </c>
      <c r="M237" s="369" t="str">
        <f>IF(D237="","",VLOOKUP(D237,'G-6 Hedgerow Data'!$B$1:$AH$15,33,FALSE))</f>
        <v/>
      </c>
      <c r="N237" s="376" t="str">
        <f t="shared" si="23"/>
        <v/>
      </c>
      <c r="O237" s="32"/>
      <c r="P237" s="122"/>
      <c r="Q237" s="165"/>
      <c r="R237" s="393" t="str">
        <f t="shared" si="24"/>
        <v/>
      </c>
      <c r="S237" s="393" t="str">
        <f t="shared" si="25"/>
        <v/>
      </c>
      <c r="T237" s="393" t="str">
        <f t="shared" si="26"/>
        <v/>
      </c>
      <c r="U237" s="415" t="str">
        <f t="shared" si="27"/>
        <v/>
      </c>
      <c r="V237" s="119"/>
      <c r="W237" s="120"/>
      <c r="X237" s="120"/>
      <c r="AE237" s="124" t="str">
        <f t="shared" si="21"/>
        <v/>
      </c>
      <c r="AF237" s="124" t="str">
        <f t="shared" si="22"/>
        <v/>
      </c>
      <c r="AH237" s="124">
        <v>228</v>
      </c>
      <c r="AJ237" s="124" t="str">
        <f t="array" ref="AJ237">IFERROR(INDEX($AH$10:$AH$258, MATCH(0, IF(TRUE=$AE$10:$AE$258, COUNTIF($AJ$9:$AJ236, $AH$10:$AH$258), ""), 0)),"")</f>
        <v/>
      </c>
      <c r="AK237" s="124" t="str">
        <f t="array" ref="AK237">IFERROR(INDEX($AH$10:$AH$258, MATCH(0, IF(TRUE=$AF$10:$AF$258, COUNTIF($AK$9:$AK236, $AH$10:$AH$258), ""), 0)),"")</f>
        <v/>
      </c>
      <c r="AL237" s="30" t="str">
        <f>IFERROR(INDEX('G-6 Hedgerow Data'!$BJ$3:$BJ$15,MATCH(D237,'G-6 Hedgerow Data'!$B$3:$B$15,0)),"")</f>
        <v/>
      </c>
    </row>
    <row r="238" spans="2:38">
      <c r="B238" s="110">
        <v>229</v>
      </c>
      <c r="C238" s="165"/>
      <c r="D238" s="165"/>
      <c r="E238" s="121"/>
      <c r="F238" s="411" t="str">
        <f>IF(D238="","",VLOOKUP(D238,'G-6 Hedgerow Data'!$B$2:$AG$15,2,FALSE))</f>
        <v/>
      </c>
      <c r="G238" s="363" t="str">
        <f>IF(D238="","",VLOOKUP(D238,'G-6 Hedgerow Data'!$B$2:$AG$15,3,FALSE))</f>
        <v/>
      </c>
      <c r="H238" s="114"/>
      <c r="I238" s="363" t="str">
        <f>IFERROR(VLOOKUP(H238,'G-1 All Habitats'!$Z$2:$AA$9,2,FALSE),"")</f>
        <v/>
      </c>
      <c r="J238" s="114"/>
      <c r="K238" s="370" t="str">
        <f>IF(J238="","",IF(VLOOKUP(J238,'G-3 Multipliers'!$L$3:$N$6,2,FALSE)=0,"Spatial Data Missing ⚠",VLOOKUP(J238,'G-3 Multipliers'!$L$3:$N$6,2,FALSE)))</f>
        <v/>
      </c>
      <c r="L238" s="368" t="str">
        <f>IF(J238="","",IF(VLOOKUP(J238,'G-3 Multipliers'!$L$3:$N$6,3,FALSE)=0,"Spatial Data Missing ⚠",VLOOKUP(J238,'G-3 Multipliers'!$L$3:$N$6,3,FALSE)))</f>
        <v/>
      </c>
      <c r="M238" s="369" t="str">
        <f>IF(D238="","",VLOOKUP(D238,'G-6 Hedgerow Data'!$B$1:$AH$15,33,FALSE))</f>
        <v/>
      </c>
      <c r="N238" s="376" t="str">
        <f t="shared" si="23"/>
        <v/>
      </c>
      <c r="O238" s="32"/>
      <c r="P238" s="122"/>
      <c r="Q238" s="165"/>
      <c r="R238" s="393" t="str">
        <f t="shared" si="24"/>
        <v/>
      </c>
      <c r="S238" s="393" t="str">
        <f t="shared" si="25"/>
        <v/>
      </c>
      <c r="T238" s="393" t="str">
        <f t="shared" si="26"/>
        <v/>
      </c>
      <c r="U238" s="415" t="str">
        <f t="shared" si="27"/>
        <v/>
      </c>
      <c r="V238" s="119"/>
      <c r="W238" s="120"/>
      <c r="X238" s="120"/>
      <c r="AE238" s="124" t="str">
        <f t="shared" si="21"/>
        <v/>
      </c>
      <c r="AF238" s="124" t="str">
        <f t="shared" si="22"/>
        <v/>
      </c>
      <c r="AH238" s="124">
        <v>229</v>
      </c>
      <c r="AJ238" s="124" t="str">
        <f t="array" ref="AJ238">IFERROR(INDEX($AH$10:$AH$258, MATCH(0, IF(TRUE=$AE$10:$AE$258, COUNTIF($AJ$9:$AJ237, $AH$10:$AH$258), ""), 0)),"")</f>
        <v/>
      </c>
      <c r="AK238" s="124" t="str">
        <f t="array" ref="AK238">IFERROR(INDEX($AH$10:$AH$258, MATCH(0, IF(TRUE=$AF$10:$AF$258, COUNTIF($AK$9:$AK237, $AH$10:$AH$258), ""), 0)),"")</f>
        <v/>
      </c>
      <c r="AL238" s="30" t="str">
        <f>IFERROR(INDEX('G-6 Hedgerow Data'!$BJ$3:$BJ$15,MATCH(D238,'G-6 Hedgerow Data'!$B$3:$B$15,0)),"")</f>
        <v/>
      </c>
    </row>
    <row r="239" spans="2:38">
      <c r="B239" s="110">
        <v>230</v>
      </c>
      <c r="C239" s="165"/>
      <c r="D239" s="165"/>
      <c r="E239" s="121"/>
      <c r="F239" s="411" t="str">
        <f>IF(D239="","",VLOOKUP(D239,'G-6 Hedgerow Data'!$B$2:$AG$15,2,FALSE))</f>
        <v/>
      </c>
      <c r="G239" s="363" t="str">
        <f>IF(D239="","",VLOOKUP(D239,'G-6 Hedgerow Data'!$B$2:$AG$15,3,FALSE))</f>
        <v/>
      </c>
      <c r="H239" s="114"/>
      <c r="I239" s="363" t="str">
        <f>IFERROR(VLOOKUP(H239,'G-1 All Habitats'!$Z$2:$AA$9,2,FALSE),"")</f>
        <v/>
      </c>
      <c r="J239" s="114"/>
      <c r="K239" s="370" t="str">
        <f>IF(J239="","",IF(VLOOKUP(J239,'G-3 Multipliers'!$L$3:$N$6,2,FALSE)=0,"Spatial Data Missing ⚠",VLOOKUP(J239,'G-3 Multipliers'!$L$3:$N$6,2,FALSE)))</f>
        <v/>
      </c>
      <c r="L239" s="368" t="str">
        <f>IF(J239="","",IF(VLOOKUP(J239,'G-3 Multipliers'!$L$3:$N$6,3,FALSE)=0,"Spatial Data Missing ⚠",VLOOKUP(J239,'G-3 Multipliers'!$L$3:$N$6,3,FALSE)))</f>
        <v/>
      </c>
      <c r="M239" s="369" t="str">
        <f>IF(D239="","",VLOOKUP(D239,'G-6 Hedgerow Data'!$B$1:$AH$15,33,FALSE))</f>
        <v/>
      </c>
      <c r="N239" s="376" t="str">
        <f t="shared" si="23"/>
        <v/>
      </c>
      <c r="O239" s="32"/>
      <c r="P239" s="122"/>
      <c r="Q239" s="165"/>
      <c r="R239" s="393" t="str">
        <f t="shared" si="24"/>
        <v/>
      </c>
      <c r="S239" s="393" t="str">
        <f t="shared" si="25"/>
        <v/>
      </c>
      <c r="T239" s="393" t="str">
        <f t="shared" si="26"/>
        <v/>
      </c>
      <c r="U239" s="415" t="str">
        <f t="shared" si="27"/>
        <v/>
      </c>
      <c r="V239" s="119"/>
      <c r="W239" s="120"/>
      <c r="X239" s="120"/>
      <c r="AE239" s="124" t="str">
        <f t="shared" si="21"/>
        <v/>
      </c>
      <c r="AF239" s="124" t="str">
        <f t="shared" si="22"/>
        <v/>
      </c>
      <c r="AH239" s="124">
        <v>230</v>
      </c>
      <c r="AJ239" s="124" t="str">
        <f t="array" ref="AJ239">IFERROR(INDEX($AH$10:$AH$258, MATCH(0, IF(TRUE=$AE$10:$AE$258, COUNTIF($AJ$9:$AJ238, $AH$10:$AH$258), ""), 0)),"")</f>
        <v/>
      </c>
      <c r="AK239" s="124" t="str">
        <f t="array" ref="AK239">IFERROR(INDEX($AH$10:$AH$258, MATCH(0, IF(TRUE=$AF$10:$AF$258, COUNTIF($AK$9:$AK238, $AH$10:$AH$258), ""), 0)),"")</f>
        <v/>
      </c>
      <c r="AL239" s="30" t="str">
        <f>IFERROR(INDEX('G-6 Hedgerow Data'!$BJ$3:$BJ$15,MATCH(D239,'G-6 Hedgerow Data'!$B$3:$B$15,0)),"")</f>
        <v/>
      </c>
    </row>
    <row r="240" spans="2:38">
      <c r="B240" s="110">
        <v>231</v>
      </c>
      <c r="C240" s="165"/>
      <c r="D240" s="165"/>
      <c r="E240" s="121"/>
      <c r="F240" s="411" t="str">
        <f>IF(D240="","",VLOOKUP(D240,'G-6 Hedgerow Data'!$B$2:$AG$15,2,FALSE))</f>
        <v/>
      </c>
      <c r="G240" s="363" t="str">
        <f>IF(D240="","",VLOOKUP(D240,'G-6 Hedgerow Data'!$B$2:$AG$15,3,FALSE))</f>
        <v/>
      </c>
      <c r="H240" s="114"/>
      <c r="I240" s="363" t="str">
        <f>IFERROR(VLOOKUP(H240,'G-1 All Habitats'!$Z$2:$AA$9,2,FALSE),"")</f>
        <v/>
      </c>
      <c r="J240" s="114"/>
      <c r="K240" s="370" t="str">
        <f>IF(J240="","",IF(VLOOKUP(J240,'G-3 Multipliers'!$L$3:$N$6,2,FALSE)=0,"Spatial Data Missing ⚠",VLOOKUP(J240,'G-3 Multipliers'!$L$3:$N$6,2,FALSE)))</f>
        <v/>
      </c>
      <c r="L240" s="368" t="str">
        <f>IF(J240="","",IF(VLOOKUP(J240,'G-3 Multipliers'!$L$3:$N$6,3,FALSE)=0,"Spatial Data Missing ⚠",VLOOKUP(J240,'G-3 Multipliers'!$L$3:$N$6,3,FALSE)))</f>
        <v/>
      </c>
      <c r="M240" s="369" t="str">
        <f>IF(D240="","",VLOOKUP(D240,'G-6 Hedgerow Data'!$B$1:$AH$15,33,FALSE))</f>
        <v/>
      </c>
      <c r="N240" s="376" t="str">
        <f t="shared" si="23"/>
        <v/>
      </c>
      <c r="O240" s="32"/>
      <c r="P240" s="122"/>
      <c r="Q240" s="165"/>
      <c r="R240" s="393" t="str">
        <f t="shared" si="24"/>
        <v/>
      </c>
      <c r="S240" s="393" t="str">
        <f t="shared" si="25"/>
        <v/>
      </c>
      <c r="T240" s="393" t="str">
        <f t="shared" si="26"/>
        <v/>
      </c>
      <c r="U240" s="415" t="str">
        <f t="shared" si="27"/>
        <v/>
      </c>
      <c r="V240" s="119"/>
      <c r="W240" s="120"/>
      <c r="X240" s="120"/>
      <c r="AE240" s="124" t="str">
        <f t="shared" si="21"/>
        <v/>
      </c>
      <c r="AF240" s="124" t="str">
        <f t="shared" si="22"/>
        <v/>
      </c>
      <c r="AH240" s="124">
        <v>231</v>
      </c>
      <c r="AJ240" s="124" t="str">
        <f t="array" ref="AJ240">IFERROR(INDEX($AH$10:$AH$258, MATCH(0, IF(TRUE=$AE$10:$AE$258, COUNTIF($AJ$9:$AJ239, $AH$10:$AH$258), ""), 0)),"")</f>
        <v/>
      </c>
      <c r="AK240" s="124" t="str">
        <f t="array" ref="AK240">IFERROR(INDEX($AH$10:$AH$258, MATCH(0, IF(TRUE=$AF$10:$AF$258, COUNTIF($AK$9:$AK239, $AH$10:$AH$258), ""), 0)),"")</f>
        <v/>
      </c>
      <c r="AL240" s="30" t="str">
        <f>IFERROR(INDEX('G-6 Hedgerow Data'!$BJ$3:$BJ$15,MATCH(D240,'G-6 Hedgerow Data'!$B$3:$B$15,0)),"")</f>
        <v/>
      </c>
    </row>
    <row r="241" spans="2:38">
      <c r="B241" s="110">
        <v>232</v>
      </c>
      <c r="C241" s="165"/>
      <c r="D241" s="165"/>
      <c r="E241" s="121"/>
      <c r="F241" s="411" t="str">
        <f>IF(D241="","",VLOOKUP(D241,'G-6 Hedgerow Data'!$B$2:$AG$15,2,FALSE))</f>
        <v/>
      </c>
      <c r="G241" s="363" t="str">
        <f>IF(D241="","",VLOOKUP(D241,'G-6 Hedgerow Data'!$B$2:$AG$15,3,FALSE))</f>
        <v/>
      </c>
      <c r="H241" s="114"/>
      <c r="I241" s="363" t="str">
        <f>IFERROR(VLOOKUP(H241,'G-1 All Habitats'!$Z$2:$AA$9,2,FALSE),"")</f>
        <v/>
      </c>
      <c r="J241" s="114"/>
      <c r="K241" s="370" t="str">
        <f>IF(J241="","",IF(VLOOKUP(J241,'G-3 Multipliers'!$L$3:$N$6,2,FALSE)=0,"Spatial Data Missing ⚠",VLOOKUP(J241,'G-3 Multipliers'!$L$3:$N$6,2,FALSE)))</f>
        <v/>
      </c>
      <c r="L241" s="368" t="str">
        <f>IF(J241="","",IF(VLOOKUP(J241,'G-3 Multipliers'!$L$3:$N$6,3,FALSE)=0,"Spatial Data Missing ⚠",VLOOKUP(J241,'G-3 Multipliers'!$L$3:$N$6,3,FALSE)))</f>
        <v/>
      </c>
      <c r="M241" s="369" t="str">
        <f>IF(D241="","",VLOOKUP(D241,'G-6 Hedgerow Data'!$B$1:$AH$15,33,FALSE))</f>
        <v/>
      </c>
      <c r="N241" s="376" t="str">
        <f t="shared" si="23"/>
        <v/>
      </c>
      <c r="O241" s="32"/>
      <c r="P241" s="122"/>
      <c r="Q241" s="165"/>
      <c r="R241" s="393" t="str">
        <f t="shared" si="24"/>
        <v/>
      </c>
      <c r="S241" s="393" t="str">
        <f t="shared" si="25"/>
        <v/>
      </c>
      <c r="T241" s="393" t="str">
        <f t="shared" si="26"/>
        <v/>
      </c>
      <c r="U241" s="415" t="str">
        <f t="shared" si="27"/>
        <v/>
      </c>
      <c r="V241" s="119"/>
      <c r="W241" s="120"/>
      <c r="X241" s="120"/>
      <c r="AE241" s="124" t="str">
        <f t="shared" si="21"/>
        <v/>
      </c>
      <c r="AF241" s="124" t="str">
        <f t="shared" si="22"/>
        <v/>
      </c>
      <c r="AH241" s="124">
        <v>232</v>
      </c>
      <c r="AJ241" s="124" t="str">
        <f t="array" ref="AJ241">IFERROR(INDEX($AH$10:$AH$258, MATCH(0, IF(TRUE=$AE$10:$AE$258, COUNTIF($AJ$9:$AJ240, $AH$10:$AH$258), ""), 0)),"")</f>
        <v/>
      </c>
      <c r="AK241" s="124" t="str">
        <f t="array" ref="AK241">IFERROR(INDEX($AH$10:$AH$258, MATCH(0, IF(TRUE=$AF$10:$AF$258, COUNTIF($AK$9:$AK240, $AH$10:$AH$258), ""), 0)),"")</f>
        <v/>
      </c>
      <c r="AL241" s="30" t="str">
        <f>IFERROR(INDEX('G-6 Hedgerow Data'!$BJ$3:$BJ$15,MATCH(D241,'G-6 Hedgerow Data'!$B$3:$B$15,0)),"")</f>
        <v/>
      </c>
    </row>
    <row r="242" spans="2:38">
      <c r="B242" s="110">
        <v>233</v>
      </c>
      <c r="C242" s="165"/>
      <c r="D242" s="165"/>
      <c r="E242" s="121"/>
      <c r="F242" s="411" t="str">
        <f>IF(D242="","",VLOOKUP(D242,'G-6 Hedgerow Data'!$B$2:$AG$15,2,FALSE))</f>
        <v/>
      </c>
      <c r="G242" s="363" t="str">
        <f>IF(D242="","",VLOOKUP(D242,'G-6 Hedgerow Data'!$B$2:$AG$15,3,FALSE))</f>
        <v/>
      </c>
      <c r="H242" s="114"/>
      <c r="I242" s="363" t="str">
        <f>IFERROR(VLOOKUP(H242,'G-1 All Habitats'!$Z$2:$AA$9,2,FALSE),"")</f>
        <v/>
      </c>
      <c r="J242" s="114"/>
      <c r="K242" s="370" t="str">
        <f>IF(J242="","",IF(VLOOKUP(J242,'G-3 Multipliers'!$L$3:$N$6,2,FALSE)=0,"Spatial Data Missing ⚠",VLOOKUP(J242,'G-3 Multipliers'!$L$3:$N$6,2,FALSE)))</f>
        <v/>
      </c>
      <c r="L242" s="368" t="str">
        <f>IF(J242="","",IF(VLOOKUP(J242,'G-3 Multipliers'!$L$3:$N$6,3,FALSE)=0,"Spatial Data Missing ⚠",VLOOKUP(J242,'G-3 Multipliers'!$L$3:$N$6,3,FALSE)))</f>
        <v/>
      </c>
      <c r="M242" s="369" t="str">
        <f>IF(D242="","",VLOOKUP(D242,'G-6 Hedgerow Data'!$B$1:$AH$15,33,FALSE))</f>
        <v/>
      </c>
      <c r="N242" s="376" t="str">
        <f t="shared" si="23"/>
        <v/>
      </c>
      <c r="O242" s="32"/>
      <c r="P242" s="122"/>
      <c r="Q242" s="165"/>
      <c r="R242" s="393" t="str">
        <f t="shared" si="24"/>
        <v/>
      </c>
      <c r="S242" s="393" t="str">
        <f t="shared" si="25"/>
        <v/>
      </c>
      <c r="T242" s="393" t="str">
        <f t="shared" si="26"/>
        <v/>
      </c>
      <c r="U242" s="415" t="str">
        <f t="shared" si="27"/>
        <v/>
      </c>
      <c r="V242" s="119"/>
      <c r="W242" s="120"/>
      <c r="X242" s="120"/>
      <c r="AE242" s="124" t="str">
        <f t="shared" si="21"/>
        <v/>
      </c>
      <c r="AF242" s="124" t="str">
        <f t="shared" si="22"/>
        <v/>
      </c>
      <c r="AH242" s="124">
        <v>233</v>
      </c>
      <c r="AJ242" s="124" t="str">
        <f t="array" ref="AJ242">IFERROR(INDEX($AH$10:$AH$258, MATCH(0, IF(TRUE=$AE$10:$AE$258, COUNTIF($AJ$9:$AJ241, $AH$10:$AH$258), ""), 0)),"")</f>
        <v/>
      </c>
      <c r="AK242" s="124" t="str">
        <f t="array" ref="AK242">IFERROR(INDEX($AH$10:$AH$258, MATCH(0, IF(TRUE=$AF$10:$AF$258, COUNTIF($AK$9:$AK241, $AH$10:$AH$258), ""), 0)),"")</f>
        <v/>
      </c>
      <c r="AL242" s="30" t="str">
        <f>IFERROR(INDEX('G-6 Hedgerow Data'!$BJ$3:$BJ$15,MATCH(D242,'G-6 Hedgerow Data'!$B$3:$B$15,0)),"")</f>
        <v/>
      </c>
    </row>
    <row r="243" spans="2:38">
      <c r="B243" s="110">
        <v>234</v>
      </c>
      <c r="C243" s="165"/>
      <c r="D243" s="165"/>
      <c r="E243" s="121"/>
      <c r="F243" s="411" t="str">
        <f>IF(D243="","",VLOOKUP(D243,'G-6 Hedgerow Data'!$B$2:$AG$15,2,FALSE))</f>
        <v/>
      </c>
      <c r="G243" s="363" t="str">
        <f>IF(D243="","",VLOOKUP(D243,'G-6 Hedgerow Data'!$B$2:$AG$15,3,FALSE))</f>
        <v/>
      </c>
      <c r="H243" s="114"/>
      <c r="I243" s="363" t="str">
        <f>IFERROR(VLOOKUP(H243,'G-1 All Habitats'!$Z$2:$AA$9,2,FALSE),"")</f>
        <v/>
      </c>
      <c r="J243" s="114"/>
      <c r="K243" s="370" t="str">
        <f>IF(J243="","",IF(VLOOKUP(J243,'G-3 Multipliers'!$L$3:$N$6,2,FALSE)=0,"Spatial Data Missing ⚠",VLOOKUP(J243,'G-3 Multipliers'!$L$3:$N$6,2,FALSE)))</f>
        <v/>
      </c>
      <c r="L243" s="368" t="str">
        <f>IF(J243="","",IF(VLOOKUP(J243,'G-3 Multipliers'!$L$3:$N$6,3,FALSE)=0,"Spatial Data Missing ⚠",VLOOKUP(J243,'G-3 Multipliers'!$L$3:$N$6,3,FALSE)))</f>
        <v/>
      </c>
      <c r="M243" s="369" t="str">
        <f>IF(D243="","",VLOOKUP(D243,'G-6 Hedgerow Data'!$B$1:$AH$15,33,FALSE))</f>
        <v/>
      </c>
      <c r="N243" s="376" t="str">
        <f t="shared" si="23"/>
        <v/>
      </c>
      <c r="O243" s="32"/>
      <c r="P243" s="122"/>
      <c r="Q243" s="165"/>
      <c r="R243" s="393" t="str">
        <f t="shared" si="24"/>
        <v/>
      </c>
      <c r="S243" s="393" t="str">
        <f t="shared" si="25"/>
        <v/>
      </c>
      <c r="T243" s="393" t="str">
        <f t="shared" si="26"/>
        <v/>
      </c>
      <c r="U243" s="415" t="str">
        <f t="shared" si="27"/>
        <v/>
      </c>
      <c r="V243" s="119"/>
      <c r="W243" s="120"/>
      <c r="X243" s="120"/>
      <c r="AE243" s="124" t="str">
        <f t="shared" si="21"/>
        <v/>
      </c>
      <c r="AF243" s="124" t="str">
        <f t="shared" si="22"/>
        <v/>
      </c>
      <c r="AH243" s="124">
        <v>234</v>
      </c>
      <c r="AJ243" s="124" t="str">
        <f t="array" ref="AJ243">IFERROR(INDEX($AH$10:$AH$258, MATCH(0, IF(TRUE=$AE$10:$AE$258, COUNTIF($AJ$9:$AJ242, $AH$10:$AH$258), ""), 0)),"")</f>
        <v/>
      </c>
      <c r="AK243" s="124" t="str">
        <f t="array" ref="AK243">IFERROR(INDEX($AH$10:$AH$258, MATCH(0, IF(TRUE=$AF$10:$AF$258, COUNTIF($AK$9:$AK242, $AH$10:$AH$258), ""), 0)),"")</f>
        <v/>
      </c>
      <c r="AL243" s="30" t="str">
        <f>IFERROR(INDEX('G-6 Hedgerow Data'!$BJ$3:$BJ$15,MATCH(D243,'G-6 Hedgerow Data'!$B$3:$B$15,0)),"")</f>
        <v/>
      </c>
    </row>
    <row r="244" spans="2:38">
      <c r="B244" s="110">
        <v>235</v>
      </c>
      <c r="C244" s="165"/>
      <c r="D244" s="165"/>
      <c r="E244" s="121"/>
      <c r="F244" s="411" t="str">
        <f>IF(D244="","",VLOOKUP(D244,'G-6 Hedgerow Data'!$B$2:$AG$15,2,FALSE))</f>
        <v/>
      </c>
      <c r="G244" s="363" t="str">
        <f>IF(D244="","",VLOOKUP(D244,'G-6 Hedgerow Data'!$B$2:$AG$15,3,FALSE))</f>
        <v/>
      </c>
      <c r="H244" s="114"/>
      <c r="I244" s="363" t="str">
        <f>IFERROR(VLOOKUP(H244,'G-1 All Habitats'!$Z$2:$AA$9,2,FALSE),"")</f>
        <v/>
      </c>
      <c r="J244" s="114"/>
      <c r="K244" s="370" t="str">
        <f>IF(J244="","",IF(VLOOKUP(J244,'G-3 Multipliers'!$L$3:$N$6,2,FALSE)=0,"Spatial Data Missing ⚠",VLOOKUP(J244,'G-3 Multipliers'!$L$3:$N$6,2,FALSE)))</f>
        <v/>
      </c>
      <c r="L244" s="368" t="str">
        <f>IF(J244="","",IF(VLOOKUP(J244,'G-3 Multipliers'!$L$3:$N$6,3,FALSE)=0,"Spatial Data Missing ⚠",VLOOKUP(J244,'G-3 Multipliers'!$L$3:$N$6,3,FALSE)))</f>
        <v/>
      </c>
      <c r="M244" s="369" t="str">
        <f>IF(D244="","",VLOOKUP(D244,'G-6 Hedgerow Data'!$B$1:$AH$15,33,FALSE))</f>
        <v/>
      </c>
      <c r="N244" s="376" t="str">
        <f t="shared" si="23"/>
        <v/>
      </c>
      <c r="O244" s="32"/>
      <c r="P244" s="122"/>
      <c r="Q244" s="165"/>
      <c r="R244" s="393" t="str">
        <f t="shared" si="24"/>
        <v/>
      </c>
      <c r="S244" s="393" t="str">
        <f t="shared" si="25"/>
        <v/>
      </c>
      <c r="T244" s="393" t="str">
        <f t="shared" si="26"/>
        <v/>
      </c>
      <c r="U244" s="415" t="str">
        <f t="shared" si="27"/>
        <v/>
      </c>
      <c r="V244" s="119"/>
      <c r="W244" s="120"/>
      <c r="X244" s="120"/>
      <c r="AE244" s="124" t="str">
        <f t="shared" si="21"/>
        <v/>
      </c>
      <c r="AF244" s="124" t="str">
        <f t="shared" si="22"/>
        <v/>
      </c>
      <c r="AH244" s="124">
        <v>235</v>
      </c>
      <c r="AJ244" s="124" t="str">
        <f t="array" ref="AJ244">IFERROR(INDEX($AH$10:$AH$258, MATCH(0, IF(TRUE=$AE$10:$AE$258, COUNTIF($AJ$9:$AJ243, $AH$10:$AH$258), ""), 0)),"")</f>
        <v/>
      </c>
      <c r="AK244" s="124" t="str">
        <f t="array" ref="AK244">IFERROR(INDEX($AH$10:$AH$258, MATCH(0, IF(TRUE=$AF$10:$AF$258, COUNTIF($AK$9:$AK243, $AH$10:$AH$258), ""), 0)),"")</f>
        <v/>
      </c>
      <c r="AL244" s="30" t="str">
        <f>IFERROR(INDEX('G-6 Hedgerow Data'!$BJ$3:$BJ$15,MATCH(D244,'G-6 Hedgerow Data'!$B$3:$B$15,0)),"")</f>
        <v/>
      </c>
    </row>
    <row r="245" spans="2:38">
      <c r="B245" s="110">
        <v>236</v>
      </c>
      <c r="C245" s="165"/>
      <c r="D245" s="165"/>
      <c r="E245" s="121"/>
      <c r="F245" s="411" t="str">
        <f>IF(D245="","",VLOOKUP(D245,'G-6 Hedgerow Data'!$B$2:$AG$15,2,FALSE))</f>
        <v/>
      </c>
      <c r="G245" s="363" t="str">
        <f>IF(D245="","",VLOOKUP(D245,'G-6 Hedgerow Data'!$B$2:$AG$15,3,FALSE))</f>
        <v/>
      </c>
      <c r="H245" s="114"/>
      <c r="I245" s="363" t="str">
        <f>IFERROR(VLOOKUP(H245,'G-1 All Habitats'!$Z$2:$AA$9,2,FALSE),"")</f>
        <v/>
      </c>
      <c r="J245" s="114"/>
      <c r="K245" s="370" t="str">
        <f>IF(J245="","",IF(VLOOKUP(J245,'G-3 Multipliers'!$L$3:$N$6,2,FALSE)=0,"Spatial Data Missing ⚠",VLOOKUP(J245,'G-3 Multipliers'!$L$3:$N$6,2,FALSE)))</f>
        <v/>
      </c>
      <c r="L245" s="368" t="str">
        <f>IF(J245="","",IF(VLOOKUP(J245,'G-3 Multipliers'!$L$3:$N$6,3,FALSE)=0,"Spatial Data Missing ⚠",VLOOKUP(J245,'G-3 Multipliers'!$L$3:$N$6,3,FALSE)))</f>
        <v/>
      </c>
      <c r="M245" s="369" t="str">
        <f>IF(D245="","",VLOOKUP(D245,'G-6 Hedgerow Data'!$B$1:$AH$15,33,FALSE))</f>
        <v/>
      </c>
      <c r="N245" s="376" t="str">
        <f t="shared" si="23"/>
        <v/>
      </c>
      <c r="O245" s="32"/>
      <c r="P245" s="122"/>
      <c r="Q245" s="165"/>
      <c r="R245" s="393" t="str">
        <f t="shared" si="24"/>
        <v/>
      </c>
      <c r="S245" s="393" t="str">
        <f t="shared" si="25"/>
        <v/>
      </c>
      <c r="T245" s="393" t="str">
        <f t="shared" si="26"/>
        <v/>
      </c>
      <c r="U245" s="415" t="str">
        <f t="shared" si="27"/>
        <v/>
      </c>
      <c r="V245" s="119"/>
      <c r="W245" s="120"/>
      <c r="X245" s="120"/>
      <c r="AE245" s="124" t="str">
        <f t="shared" si="21"/>
        <v/>
      </c>
      <c r="AF245" s="124" t="str">
        <f t="shared" si="22"/>
        <v/>
      </c>
      <c r="AH245" s="124">
        <v>236</v>
      </c>
      <c r="AJ245" s="124" t="str">
        <f t="array" ref="AJ245">IFERROR(INDEX($AH$10:$AH$258, MATCH(0, IF(TRUE=$AE$10:$AE$258, COUNTIF($AJ$9:$AJ244, $AH$10:$AH$258), ""), 0)),"")</f>
        <v/>
      </c>
      <c r="AK245" s="124" t="str">
        <f t="array" ref="AK245">IFERROR(INDEX($AH$10:$AH$258, MATCH(0, IF(TRUE=$AF$10:$AF$258, COUNTIF($AK$9:$AK244, $AH$10:$AH$258), ""), 0)),"")</f>
        <v/>
      </c>
      <c r="AL245" s="30" t="str">
        <f>IFERROR(INDEX('G-6 Hedgerow Data'!$BJ$3:$BJ$15,MATCH(D245,'G-6 Hedgerow Data'!$B$3:$B$15,0)),"")</f>
        <v/>
      </c>
    </row>
    <row r="246" spans="2:38">
      <c r="B246" s="110">
        <v>237</v>
      </c>
      <c r="C246" s="165"/>
      <c r="D246" s="165"/>
      <c r="E246" s="121"/>
      <c r="F246" s="411" t="str">
        <f>IF(D246="","",VLOOKUP(D246,'G-6 Hedgerow Data'!$B$2:$AG$15,2,FALSE))</f>
        <v/>
      </c>
      <c r="G246" s="363" t="str">
        <f>IF(D246="","",VLOOKUP(D246,'G-6 Hedgerow Data'!$B$2:$AG$15,3,FALSE))</f>
        <v/>
      </c>
      <c r="H246" s="114"/>
      <c r="I246" s="363" t="str">
        <f>IFERROR(VLOOKUP(H246,'G-1 All Habitats'!$Z$2:$AA$9,2,FALSE),"")</f>
        <v/>
      </c>
      <c r="J246" s="114"/>
      <c r="K246" s="370" t="str">
        <f>IF(J246="","",IF(VLOOKUP(J246,'G-3 Multipliers'!$L$3:$N$6,2,FALSE)=0,"Spatial Data Missing ⚠",VLOOKUP(J246,'G-3 Multipliers'!$L$3:$N$6,2,FALSE)))</f>
        <v/>
      </c>
      <c r="L246" s="368" t="str">
        <f>IF(J246="","",IF(VLOOKUP(J246,'G-3 Multipliers'!$L$3:$N$6,3,FALSE)=0,"Spatial Data Missing ⚠",VLOOKUP(J246,'G-3 Multipliers'!$L$3:$N$6,3,FALSE)))</f>
        <v/>
      </c>
      <c r="M246" s="369" t="str">
        <f>IF(D246="","",VLOOKUP(D246,'G-6 Hedgerow Data'!$B$1:$AH$15,33,FALSE))</f>
        <v/>
      </c>
      <c r="N246" s="376" t="str">
        <f t="shared" si="23"/>
        <v/>
      </c>
      <c r="O246" s="32"/>
      <c r="P246" s="122"/>
      <c r="Q246" s="165"/>
      <c r="R246" s="393" t="str">
        <f t="shared" si="24"/>
        <v/>
      </c>
      <c r="S246" s="393" t="str">
        <f t="shared" si="25"/>
        <v/>
      </c>
      <c r="T246" s="393" t="str">
        <f t="shared" si="26"/>
        <v/>
      </c>
      <c r="U246" s="415" t="str">
        <f t="shared" si="27"/>
        <v/>
      </c>
      <c r="V246" s="119"/>
      <c r="W246" s="120"/>
      <c r="X246" s="120"/>
      <c r="AE246" s="124" t="str">
        <f t="shared" si="21"/>
        <v/>
      </c>
      <c r="AF246" s="124" t="str">
        <f t="shared" si="22"/>
        <v/>
      </c>
      <c r="AH246" s="124">
        <v>237</v>
      </c>
      <c r="AJ246" s="124" t="str">
        <f t="array" ref="AJ246">IFERROR(INDEX($AH$10:$AH$258, MATCH(0, IF(TRUE=$AE$10:$AE$258, COUNTIF($AJ$9:$AJ245, $AH$10:$AH$258), ""), 0)),"")</f>
        <v/>
      </c>
      <c r="AK246" s="124" t="str">
        <f t="array" ref="AK246">IFERROR(INDEX($AH$10:$AH$258, MATCH(0, IF(TRUE=$AF$10:$AF$258, COUNTIF($AK$9:$AK245, $AH$10:$AH$258), ""), 0)),"")</f>
        <v/>
      </c>
      <c r="AL246" s="30" t="str">
        <f>IFERROR(INDEX('G-6 Hedgerow Data'!$BJ$3:$BJ$15,MATCH(D246,'G-6 Hedgerow Data'!$B$3:$B$15,0)),"")</f>
        <v/>
      </c>
    </row>
    <row r="247" spans="2:38">
      <c r="B247" s="110">
        <v>238</v>
      </c>
      <c r="C247" s="165"/>
      <c r="D247" s="165"/>
      <c r="E247" s="121"/>
      <c r="F247" s="411" t="str">
        <f>IF(D247="","",VLOOKUP(D247,'G-6 Hedgerow Data'!$B$2:$AG$15,2,FALSE))</f>
        <v/>
      </c>
      <c r="G247" s="363" t="str">
        <f>IF(D247="","",VLOOKUP(D247,'G-6 Hedgerow Data'!$B$2:$AG$15,3,FALSE))</f>
        <v/>
      </c>
      <c r="H247" s="114"/>
      <c r="I247" s="363" t="str">
        <f>IFERROR(VLOOKUP(H247,'G-1 All Habitats'!$Z$2:$AA$9,2,FALSE),"")</f>
        <v/>
      </c>
      <c r="J247" s="114"/>
      <c r="K247" s="370" t="str">
        <f>IF(J247="","",IF(VLOOKUP(J247,'G-3 Multipliers'!$L$3:$N$6,2,FALSE)=0,"Spatial Data Missing ⚠",VLOOKUP(J247,'G-3 Multipliers'!$L$3:$N$6,2,FALSE)))</f>
        <v/>
      </c>
      <c r="L247" s="368" t="str">
        <f>IF(J247="","",IF(VLOOKUP(J247,'G-3 Multipliers'!$L$3:$N$6,3,FALSE)=0,"Spatial Data Missing ⚠",VLOOKUP(J247,'G-3 Multipliers'!$L$3:$N$6,3,FALSE)))</f>
        <v/>
      </c>
      <c r="M247" s="369" t="str">
        <f>IF(D247="","",VLOOKUP(D247,'G-6 Hedgerow Data'!$B$1:$AH$15,33,FALSE))</f>
        <v/>
      </c>
      <c r="N247" s="376" t="str">
        <f t="shared" si="23"/>
        <v/>
      </c>
      <c r="O247" s="32"/>
      <c r="P247" s="122"/>
      <c r="Q247" s="165"/>
      <c r="R247" s="393" t="str">
        <f t="shared" si="24"/>
        <v/>
      </c>
      <c r="S247" s="393" t="str">
        <f t="shared" si="25"/>
        <v/>
      </c>
      <c r="T247" s="393" t="str">
        <f t="shared" si="26"/>
        <v/>
      </c>
      <c r="U247" s="415" t="str">
        <f t="shared" si="27"/>
        <v/>
      </c>
      <c r="V247" s="119"/>
      <c r="W247" s="120"/>
      <c r="X247" s="120"/>
      <c r="AE247" s="124" t="str">
        <f t="shared" si="21"/>
        <v/>
      </c>
      <c r="AF247" s="124" t="str">
        <f t="shared" si="22"/>
        <v/>
      </c>
      <c r="AH247" s="124">
        <v>238</v>
      </c>
      <c r="AJ247" s="124" t="str">
        <f t="array" ref="AJ247">IFERROR(INDEX($AH$10:$AH$258, MATCH(0, IF(TRUE=$AE$10:$AE$258, COUNTIF($AJ$9:$AJ246, $AH$10:$AH$258), ""), 0)),"")</f>
        <v/>
      </c>
      <c r="AK247" s="124" t="str">
        <f t="array" ref="AK247">IFERROR(INDEX($AH$10:$AH$258, MATCH(0, IF(TRUE=$AF$10:$AF$258, COUNTIF($AK$9:$AK246, $AH$10:$AH$258), ""), 0)),"")</f>
        <v/>
      </c>
      <c r="AL247" s="30" t="str">
        <f>IFERROR(INDEX('G-6 Hedgerow Data'!$BJ$3:$BJ$15,MATCH(D247,'G-6 Hedgerow Data'!$B$3:$B$15,0)),"")</f>
        <v/>
      </c>
    </row>
    <row r="248" spans="2:38">
      <c r="B248" s="110">
        <v>239</v>
      </c>
      <c r="C248" s="165"/>
      <c r="D248" s="165"/>
      <c r="E248" s="121"/>
      <c r="F248" s="411" t="str">
        <f>IF(D248="","",VLOOKUP(D248,'G-6 Hedgerow Data'!$B$2:$AG$15,2,FALSE))</f>
        <v/>
      </c>
      <c r="G248" s="363" t="str">
        <f>IF(D248="","",VLOOKUP(D248,'G-6 Hedgerow Data'!$B$2:$AG$15,3,FALSE))</f>
        <v/>
      </c>
      <c r="H248" s="114"/>
      <c r="I248" s="363" t="str">
        <f>IFERROR(VLOOKUP(H248,'G-1 All Habitats'!$Z$2:$AA$9,2,FALSE),"")</f>
        <v/>
      </c>
      <c r="J248" s="114"/>
      <c r="K248" s="370" t="str">
        <f>IF(J248="","",IF(VLOOKUP(J248,'G-3 Multipliers'!$L$3:$N$6,2,FALSE)=0,"Spatial Data Missing ⚠",VLOOKUP(J248,'G-3 Multipliers'!$L$3:$N$6,2,FALSE)))</f>
        <v/>
      </c>
      <c r="L248" s="368" t="str">
        <f>IF(J248="","",IF(VLOOKUP(J248,'G-3 Multipliers'!$L$3:$N$6,3,FALSE)=0,"Spatial Data Missing ⚠",VLOOKUP(J248,'G-3 Multipliers'!$L$3:$N$6,3,FALSE)))</f>
        <v/>
      </c>
      <c r="M248" s="369" t="str">
        <f>IF(D248="","",VLOOKUP(D248,'G-6 Hedgerow Data'!$B$1:$AH$15,33,FALSE))</f>
        <v/>
      </c>
      <c r="N248" s="376" t="str">
        <f t="shared" si="23"/>
        <v/>
      </c>
      <c r="O248" s="32"/>
      <c r="P248" s="122"/>
      <c r="Q248" s="165"/>
      <c r="R248" s="393" t="str">
        <f t="shared" si="24"/>
        <v/>
      </c>
      <c r="S248" s="393" t="str">
        <f t="shared" si="25"/>
        <v/>
      </c>
      <c r="T248" s="393" t="str">
        <f t="shared" si="26"/>
        <v/>
      </c>
      <c r="U248" s="415" t="str">
        <f t="shared" si="27"/>
        <v/>
      </c>
      <c r="V248" s="119"/>
      <c r="W248" s="120"/>
      <c r="X248" s="120"/>
      <c r="AE248" s="124" t="str">
        <f t="shared" si="21"/>
        <v/>
      </c>
      <c r="AF248" s="124" t="str">
        <f t="shared" si="22"/>
        <v/>
      </c>
      <c r="AH248" s="124">
        <v>239</v>
      </c>
      <c r="AJ248" s="124" t="str">
        <f t="array" ref="AJ248">IFERROR(INDEX($AH$10:$AH$258, MATCH(0, IF(TRUE=$AE$10:$AE$258, COUNTIF($AJ$9:$AJ247, $AH$10:$AH$258), ""), 0)),"")</f>
        <v/>
      </c>
      <c r="AK248" s="124" t="str">
        <f t="array" ref="AK248">IFERROR(INDEX($AH$10:$AH$258, MATCH(0, IF(TRUE=$AF$10:$AF$258, COUNTIF($AK$9:$AK247, $AH$10:$AH$258), ""), 0)),"")</f>
        <v/>
      </c>
      <c r="AL248" s="30" t="str">
        <f>IFERROR(INDEX('G-6 Hedgerow Data'!$BJ$3:$BJ$15,MATCH(D248,'G-6 Hedgerow Data'!$B$3:$B$15,0)),"")</f>
        <v/>
      </c>
    </row>
    <row r="249" spans="2:38">
      <c r="B249" s="110">
        <v>240</v>
      </c>
      <c r="C249" s="165"/>
      <c r="D249" s="165"/>
      <c r="E249" s="121"/>
      <c r="F249" s="411" t="str">
        <f>IF(D249="","",VLOOKUP(D249,'G-6 Hedgerow Data'!$B$2:$AG$15,2,FALSE))</f>
        <v/>
      </c>
      <c r="G249" s="363" t="str">
        <f>IF(D249="","",VLOOKUP(D249,'G-6 Hedgerow Data'!$B$2:$AG$15,3,FALSE))</f>
        <v/>
      </c>
      <c r="H249" s="114"/>
      <c r="I249" s="363" t="str">
        <f>IFERROR(VLOOKUP(H249,'G-1 All Habitats'!$Z$2:$AA$9,2,FALSE),"")</f>
        <v/>
      </c>
      <c r="J249" s="114"/>
      <c r="K249" s="370" t="str">
        <f>IF(J249="","",IF(VLOOKUP(J249,'G-3 Multipliers'!$L$3:$N$6,2,FALSE)=0,"Spatial Data Missing ⚠",VLOOKUP(J249,'G-3 Multipliers'!$L$3:$N$6,2,FALSE)))</f>
        <v/>
      </c>
      <c r="L249" s="368" t="str">
        <f>IF(J249="","",IF(VLOOKUP(J249,'G-3 Multipliers'!$L$3:$N$6,3,FALSE)=0,"Spatial Data Missing ⚠",VLOOKUP(J249,'G-3 Multipliers'!$L$3:$N$6,3,FALSE)))</f>
        <v/>
      </c>
      <c r="M249" s="369" t="str">
        <f>IF(D249="","",VLOOKUP(D249,'G-6 Hedgerow Data'!$B$1:$AH$15,33,FALSE))</f>
        <v/>
      </c>
      <c r="N249" s="376" t="str">
        <f t="shared" si="23"/>
        <v/>
      </c>
      <c r="O249" s="32"/>
      <c r="P249" s="122"/>
      <c r="Q249" s="165"/>
      <c r="R249" s="393" t="str">
        <f t="shared" si="24"/>
        <v/>
      </c>
      <c r="S249" s="393" t="str">
        <f t="shared" si="25"/>
        <v/>
      </c>
      <c r="T249" s="393" t="str">
        <f t="shared" si="26"/>
        <v/>
      </c>
      <c r="U249" s="415" t="str">
        <f t="shared" si="27"/>
        <v/>
      </c>
      <c r="V249" s="119"/>
      <c r="W249" s="120"/>
      <c r="X249" s="120"/>
      <c r="AE249" s="124" t="str">
        <f t="shared" si="21"/>
        <v/>
      </c>
      <c r="AF249" s="124" t="str">
        <f t="shared" si="22"/>
        <v/>
      </c>
      <c r="AH249" s="124">
        <v>240</v>
      </c>
      <c r="AJ249" s="124" t="str">
        <f t="array" ref="AJ249">IFERROR(INDEX($AH$10:$AH$258, MATCH(0, IF(TRUE=$AE$10:$AE$258, COUNTIF($AJ$9:$AJ248, $AH$10:$AH$258), ""), 0)),"")</f>
        <v/>
      </c>
      <c r="AK249" s="124" t="str">
        <f t="array" ref="AK249">IFERROR(INDEX($AH$10:$AH$258, MATCH(0, IF(TRUE=$AF$10:$AF$258, COUNTIF($AK$9:$AK248, $AH$10:$AH$258), ""), 0)),"")</f>
        <v/>
      </c>
      <c r="AL249" s="30" t="str">
        <f>IFERROR(INDEX('G-6 Hedgerow Data'!$BJ$3:$BJ$15,MATCH(D249,'G-6 Hedgerow Data'!$B$3:$B$15,0)),"")</f>
        <v/>
      </c>
    </row>
    <row r="250" spans="2:38">
      <c r="B250" s="110">
        <v>241</v>
      </c>
      <c r="C250" s="165"/>
      <c r="D250" s="165"/>
      <c r="E250" s="121"/>
      <c r="F250" s="411" t="str">
        <f>IF(D250="","",VLOOKUP(D250,'G-6 Hedgerow Data'!$B$2:$AG$15,2,FALSE))</f>
        <v/>
      </c>
      <c r="G250" s="363" t="str">
        <f>IF(D250="","",VLOOKUP(D250,'G-6 Hedgerow Data'!$B$2:$AG$15,3,FALSE))</f>
        <v/>
      </c>
      <c r="H250" s="114"/>
      <c r="I250" s="363" t="str">
        <f>IFERROR(VLOOKUP(H250,'G-1 All Habitats'!$Z$2:$AA$9,2,FALSE),"")</f>
        <v/>
      </c>
      <c r="J250" s="114"/>
      <c r="K250" s="370" t="str">
        <f>IF(J250="","",IF(VLOOKUP(J250,'G-3 Multipliers'!$L$3:$N$6,2,FALSE)=0,"Spatial Data Missing ⚠",VLOOKUP(J250,'G-3 Multipliers'!$L$3:$N$6,2,FALSE)))</f>
        <v/>
      </c>
      <c r="L250" s="368" t="str">
        <f>IF(J250="","",IF(VLOOKUP(J250,'G-3 Multipliers'!$L$3:$N$6,3,FALSE)=0,"Spatial Data Missing ⚠",VLOOKUP(J250,'G-3 Multipliers'!$L$3:$N$6,3,FALSE)))</f>
        <v/>
      </c>
      <c r="M250" s="369" t="str">
        <f>IF(D250="","",VLOOKUP(D250,'G-6 Hedgerow Data'!$B$1:$AH$15,33,FALSE))</f>
        <v/>
      </c>
      <c r="N250" s="376" t="str">
        <f t="shared" si="23"/>
        <v/>
      </c>
      <c r="O250" s="32"/>
      <c r="P250" s="122"/>
      <c r="Q250" s="165"/>
      <c r="R250" s="393" t="str">
        <f t="shared" si="24"/>
        <v/>
      </c>
      <c r="S250" s="393" t="str">
        <f t="shared" si="25"/>
        <v/>
      </c>
      <c r="T250" s="393" t="str">
        <f t="shared" si="26"/>
        <v/>
      </c>
      <c r="U250" s="415" t="str">
        <f t="shared" si="27"/>
        <v/>
      </c>
      <c r="V250" s="119"/>
      <c r="W250" s="120"/>
      <c r="X250" s="120"/>
      <c r="AE250" s="124" t="str">
        <f t="shared" si="21"/>
        <v/>
      </c>
      <c r="AF250" s="124" t="str">
        <f t="shared" si="22"/>
        <v/>
      </c>
      <c r="AH250" s="124">
        <v>241</v>
      </c>
      <c r="AJ250" s="124" t="str">
        <f t="array" ref="AJ250">IFERROR(INDEX($AH$10:$AH$258, MATCH(0, IF(TRUE=$AE$10:$AE$258, COUNTIF($AJ$9:$AJ249, $AH$10:$AH$258), ""), 0)),"")</f>
        <v/>
      </c>
      <c r="AK250" s="124" t="str">
        <f t="array" ref="AK250">IFERROR(INDEX($AH$10:$AH$258, MATCH(0, IF(TRUE=$AF$10:$AF$258, COUNTIF($AK$9:$AK249, $AH$10:$AH$258), ""), 0)),"")</f>
        <v/>
      </c>
      <c r="AL250" s="30" t="str">
        <f>IFERROR(INDEX('G-6 Hedgerow Data'!$BJ$3:$BJ$15,MATCH(D250,'G-6 Hedgerow Data'!$B$3:$B$15,0)),"")</f>
        <v/>
      </c>
    </row>
    <row r="251" spans="2:38">
      <c r="B251" s="110">
        <v>242</v>
      </c>
      <c r="C251" s="165"/>
      <c r="D251" s="165"/>
      <c r="E251" s="121"/>
      <c r="F251" s="411" t="str">
        <f>IF(D251="","",VLOOKUP(D251,'G-6 Hedgerow Data'!$B$2:$AG$15,2,FALSE))</f>
        <v/>
      </c>
      <c r="G251" s="363" t="str">
        <f>IF(D251="","",VLOOKUP(D251,'G-6 Hedgerow Data'!$B$2:$AG$15,3,FALSE))</f>
        <v/>
      </c>
      <c r="H251" s="114"/>
      <c r="I251" s="363" t="str">
        <f>IFERROR(VLOOKUP(H251,'G-1 All Habitats'!$Z$2:$AA$9,2,FALSE),"")</f>
        <v/>
      </c>
      <c r="J251" s="114"/>
      <c r="K251" s="370" t="str">
        <f>IF(J251="","",IF(VLOOKUP(J251,'G-3 Multipliers'!$L$3:$N$6,2,FALSE)=0,"Spatial Data Missing ⚠",VLOOKUP(J251,'G-3 Multipliers'!$L$3:$N$6,2,FALSE)))</f>
        <v/>
      </c>
      <c r="L251" s="368" t="str">
        <f>IF(J251="","",IF(VLOOKUP(J251,'G-3 Multipliers'!$L$3:$N$6,3,FALSE)=0,"Spatial Data Missing ⚠",VLOOKUP(J251,'G-3 Multipliers'!$L$3:$N$6,3,FALSE)))</f>
        <v/>
      </c>
      <c r="M251" s="369" t="str">
        <f>IF(D251="","",VLOOKUP(D251,'G-6 Hedgerow Data'!$B$1:$AH$15,33,FALSE))</f>
        <v/>
      </c>
      <c r="N251" s="376" t="str">
        <f t="shared" si="23"/>
        <v/>
      </c>
      <c r="O251" s="32"/>
      <c r="P251" s="122"/>
      <c r="Q251" s="165"/>
      <c r="R251" s="393" t="str">
        <f t="shared" si="24"/>
        <v/>
      </c>
      <c r="S251" s="393" t="str">
        <f t="shared" si="25"/>
        <v/>
      </c>
      <c r="T251" s="393" t="str">
        <f t="shared" si="26"/>
        <v/>
      </c>
      <c r="U251" s="415" t="str">
        <f t="shared" si="27"/>
        <v/>
      </c>
      <c r="V251" s="119"/>
      <c r="W251" s="120"/>
      <c r="X251" s="120"/>
      <c r="AE251" s="124" t="str">
        <f t="shared" si="21"/>
        <v/>
      </c>
      <c r="AF251" s="124" t="str">
        <f t="shared" si="22"/>
        <v/>
      </c>
      <c r="AH251" s="124">
        <v>242</v>
      </c>
      <c r="AJ251" s="124" t="str">
        <f t="array" ref="AJ251">IFERROR(INDEX($AH$10:$AH$258, MATCH(0, IF(TRUE=$AE$10:$AE$258, COUNTIF($AJ$9:$AJ250, $AH$10:$AH$258), ""), 0)),"")</f>
        <v/>
      </c>
      <c r="AK251" s="124" t="str">
        <f t="array" ref="AK251">IFERROR(INDEX($AH$10:$AH$258, MATCH(0, IF(TRUE=$AF$10:$AF$258, COUNTIF($AK$9:$AK250, $AH$10:$AH$258), ""), 0)),"")</f>
        <v/>
      </c>
      <c r="AL251" s="30" t="str">
        <f>IFERROR(INDEX('G-6 Hedgerow Data'!$BJ$3:$BJ$15,MATCH(D251,'G-6 Hedgerow Data'!$B$3:$B$15,0)),"")</f>
        <v/>
      </c>
    </row>
    <row r="252" spans="2:38">
      <c r="B252" s="110">
        <v>243</v>
      </c>
      <c r="C252" s="165"/>
      <c r="D252" s="165"/>
      <c r="E252" s="121"/>
      <c r="F252" s="411" t="str">
        <f>IF(D252="","",VLOOKUP(D252,'G-6 Hedgerow Data'!$B$2:$AG$15,2,FALSE))</f>
        <v/>
      </c>
      <c r="G252" s="363" t="str">
        <f>IF(D252="","",VLOOKUP(D252,'G-6 Hedgerow Data'!$B$2:$AG$15,3,FALSE))</f>
        <v/>
      </c>
      <c r="H252" s="114"/>
      <c r="I252" s="363" t="str">
        <f>IFERROR(VLOOKUP(H252,'G-1 All Habitats'!$Z$2:$AA$9,2,FALSE),"")</f>
        <v/>
      </c>
      <c r="J252" s="114"/>
      <c r="K252" s="370" t="str">
        <f>IF(J252="","",IF(VLOOKUP(J252,'G-3 Multipliers'!$L$3:$N$6,2,FALSE)=0,"Spatial Data Missing ⚠",VLOOKUP(J252,'G-3 Multipliers'!$L$3:$N$6,2,FALSE)))</f>
        <v/>
      </c>
      <c r="L252" s="368" t="str">
        <f>IF(J252="","",IF(VLOOKUP(J252,'G-3 Multipliers'!$L$3:$N$6,3,FALSE)=0,"Spatial Data Missing ⚠",VLOOKUP(J252,'G-3 Multipliers'!$L$3:$N$6,3,FALSE)))</f>
        <v/>
      </c>
      <c r="M252" s="369" t="str">
        <f>IF(D252="","",VLOOKUP(D252,'G-6 Hedgerow Data'!$B$1:$AH$15,33,FALSE))</f>
        <v/>
      </c>
      <c r="N252" s="376" t="str">
        <f t="shared" si="23"/>
        <v/>
      </c>
      <c r="O252" s="32"/>
      <c r="P252" s="122"/>
      <c r="Q252" s="165"/>
      <c r="R252" s="393" t="str">
        <f t="shared" si="24"/>
        <v/>
      </c>
      <c r="S252" s="393" t="str">
        <f t="shared" si="25"/>
        <v/>
      </c>
      <c r="T252" s="393" t="str">
        <f t="shared" si="26"/>
        <v/>
      </c>
      <c r="U252" s="415" t="str">
        <f t="shared" si="27"/>
        <v/>
      </c>
      <c r="V252" s="119"/>
      <c r="W252" s="120"/>
      <c r="X252" s="120"/>
      <c r="AE252" s="124" t="str">
        <f t="shared" si="21"/>
        <v/>
      </c>
      <c r="AF252" s="124" t="str">
        <f t="shared" si="22"/>
        <v/>
      </c>
      <c r="AH252" s="124">
        <v>243</v>
      </c>
      <c r="AJ252" s="124" t="str">
        <f t="array" ref="AJ252">IFERROR(INDEX($AH$10:$AH$258, MATCH(0, IF(TRUE=$AE$10:$AE$258, COUNTIF($AJ$9:$AJ251, $AH$10:$AH$258), ""), 0)),"")</f>
        <v/>
      </c>
      <c r="AK252" s="124" t="str">
        <f t="array" ref="AK252">IFERROR(INDEX($AH$10:$AH$258, MATCH(0, IF(TRUE=$AF$10:$AF$258, COUNTIF($AK$9:$AK251, $AH$10:$AH$258), ""), 0)),"")</f>
        <v/>
      </c>
      <c r="AL252" s="30" t="str">
        <f>IFERROR(INDEX('G-6 Hedgerow Data'!$BJ$3:$BJ$15,MATCH(D252,'G-6 Hedgerow Data'!$B$3:$B$15,0)),"")</f>
        <v/>
      </c>
    </row>
    <row r="253" spans="2:38">
      <c r="B253" s="110">
        <v>244</v>
      </c>
      <c r="C253" s="165"/>
      <c r="D253" s="165"/>
      <c r="E253" s="121"/>
      <c r="F253" s="411" t="str">
        <f>IF(D253="","",VLOOKUP(D253,'G-6 Hedgerow Data'!$B$2:$AG$15,2,FALSE))</f>
        <v/>
      </c>
      <c r="G253" s="363" t="str">
        <f>IF(D253="","",VLOOKUP(D253,'G-6 Hedgerow Data'!$B$2:$AG$15,3,FALSE))</f>
        <v/>
      </c>
      <c r="H253" s="114"/>
      <c r="I253" s="363" t="str">
        <f>IFERROR(VLOOKUP(H253,'G-1 All Habitats'!$Z$2:$AA$9,2,FALSE),"")</f>
        <v/>
      </c>
      <c r="J253" s="114"/>
      <c r="K253" s="370" t="str">
        <f>IF(J253="","",IF(VLOOKUP(J253,'G-3 Multipliers'!$L$3:$N$6,2,FALSE)=0,"Spatial Data Missing ⚠",VLOOKUP(J253,'G-3 Multipliers'!$L$3:$N$6,2,FALSE)))</f>
        <v/>
      </c>
      <c r="L253" s="368" t="str">
        <f>IF(J253="","",IF(VLOOKUP(J253,'G-3 Multipliers'!$L$3:$N$6,3,FALSE)=0,"Spatial Data Missing ⚠",VLOOKUP(J253,'G-3 Multipliers'!$L$3:$N$6,3,FALSE)))</f>
        <v/>
      </c>
      <c r="M253" s="369" t="str">
        <f>IF(D253="","",VLOOKUP(D253,'G-6 Hedgerow Data'!$B$1:$AH$15,33,FALSE))</f>
        <v/>
      </c>
      <c r="N253" s="376" t="str">
        <f t="shared" si="23"/>
        <v/>
      </c>
      <c r="O253" s="32"/>
      <c r="P253" s="122"/>
      <c r="Q253" s="165"/>
      <c r="R253" s="393" t="str">
        <f t="shared" si="24"/>
        <v/>
      </c>
      <c r="S253" s="393" t="str">
        <f t="shared" si="25"/>
        <v/>
      </c>
      <c r="T253" s="393" t="str">
        <f t="shared" si="26"/>
        <v/>
      </c>
      <c r="U253" s="415" t="str">
        <f t="shared" si="27"/>
        <v/>
      </c>
      <c r="V253" s="119"/>
      <c r="W253" s="120"/>
      <c r="X253" s="120"/>
      <c r="AE253" s="124" t="str">
        <f t="shared" si="21"/>
        <v/>
      </c>
      <c r="AF253" s="124" t="str">
        <f t="shared" si="22"/>
        <v/>
      </c>
      <c r="AH253" s="124">
        <v>244</v>
      </c>
      <c r="AJ253" s="124" t="str">
        <f t="array" ref="AJ253">IFERROR(INDEX($AH$10:$AH$258, MATCH(0, IF(TRUE=$AE$10:$AE$258, COUNTIF($AJ$9:$AJ252, $AH$10:$AH$258), ""), 0)),"")</f>
        <v/>
      </c>
      <c r="AK253" s="124" t="str">
        <f t="array" ref="AK253">IFERROR(INDEX($AH$10:$AH$258, MATCH(0, IF(TRUE=$AF$10:$AF$258, COUNTIF($AK$9:$AK252, $AH$10:$AH$258), ""), 0)),"")</f>
        <v/>
      </c>
      <c r="AL253" s="30" t="str">
        <f>IFERROR(INDEX('G-6 Hedgerow Data'!$BJ$3:$BJ$15,MATCH(D253,'G-6 Hedgerow Data'!$B$3:$B$15,0)),"")</f>
        <v/>
      </c>
    </row>
    <row r="254" spans="2:38">
      <c r="B254" s="110">
        <v>245</v>
      </c>
      <c r="C254" s="165"/>
      <c r="D254" s="165"/>
      <c r="E254" s="121"/>
      <c r="F254" s="411" t="str">
        <f>IF(D254="","",VLOOKUP(D254,'G-6 Hedgerow Data'!$B$2:$AG$15,2,FALSE))</f>
        <v/>
      </c>
      <c r="G254" s="363" t="str">
        <f>IF(D254="","",VLOOKUP(D254,'G-6 Hedgerow Data'!$B$2:$AG$15,3,FALSE))</f>
        <v/>
      </c>
      <c r="H254" s="114"/>
      <c r="I254" s="363" t="str">
        <f>IFERROR(VLOOKUP(H254,'G-1 All Habitats'!$Z$2:$AA$9,2,FALSE),"")</f>
        <v/>
      </c>
      <c r="J254" s="114"/>
      <c r="K254" s="370" t="str">
        <f>IF(J254="","",IF(VLOOKUP(J254,'G-3 Multipliers'!$L$3:$N$6,2,FALSE)=0,"Spatial Data Missing ⚠",VLOOKUP(J254,'G-3 Multipliers'!$L$3:$N$6,2,FALSE)))</f>
        <v/>
      </c>
      <c r="L254" s="368" t="str">
        <f>IF(J254="","",IF(VLOOKUP(J254,'G-3 Multipliers'!$L$3:$N$6,3,FALSE)=0,"Spatial Data Missing ⚠",VLOOKUP(J254,'G-3 Multipliers'!$L$3:$N$6,3,FALSE)))</f>
        <v/>
      </c>
      <c r="M254" s="369" t="str">
        <f>IF(D254="","",VLOOKUP(D254,'G-6 Hedgerow Data'!$B$1:$AH$15,33,FALSE))</f>
        <v/>
      </c>
      <c r="N254" s="376" t="str">
        <f t="shared" si="23"/>
        <v/>
      </c>
      <c r="O254" s="32"/>
      <c r="P254" s="122"/>
      <c r="Q254" s="165"/>
      <c r="R254" s="393" t="str">
        <f t="shared" si="24"/>
        <v/>
      </c>
      <c r="S254" s="393" t="str">
        <f t="shared" si="25"/>
        <v/>
      </c>
      <c r="T254" s="393" t="str">
        <f t="shared" si="26"/>
        <v/>
      </c>
      <c r="U254" s="415" t="str">
        <f t="shared" si="27"/>
        <v/>
      </c>
      <c r="V254" s="119"/>
      <c r="W254" s="120"/>
      <c r="X254" s="120"/>
      <c r="AE254" s="124" t="str">
        <f t="shared" si="21"/>
        <v/>
      </c>
      <c r="AF254" s="124" t="str">
        <f t="shared" si="22"/>
        <v/>
      </c>
      <c r="AH254" s="124">
        <v>245</v>
      </c>
      <c r="AJ254" s="124" t="str">
        <f t="array" ref="AJ254">IFERROR(INDEX($AH$10:$AH$258, MATCH(0, IF(TRUE=$AE$10:$AE$258, COUNTIF($AJ$9:$AJ253, $AH$10:$AH$258), ""), 0)),"")</f>
        <v/>
      </c>
      <c r="AK254" s="124" t="str">
        <f t="array" ref="AK254">IFERROR(INDEX($AH$10:$AH$258, MATCH(0, IF(TRUE=$AF$10:$AF$258, COUNTIF($AK$9:$AK253, $AH$10:$AH$258), ""), 0)),"")</f>
        <v/>
      </c>
      <c r="AL254" s="30" t="str">
        <f>IFERROR(INDEX('G-6 Hedgerow Data'!$BJ$3:$BJ$15,MATCH(D254,'G-6 Hedgerow Data'!$B$3:$B$15,0)),"")</f>
        <v/>
      </c>
    </row>
    <row r="255" spans="2:38">
      <c r="B255" s="110">
        <v>246</v>
      </c>
      <c r="C255" s="165"/>
      <c r="D255" s="165"/>
      <c r="E255" s="121"/>
      <c r="F255" s="411" t="str">
        <f>IF(D255="","",VLOOKUP(D255,'G-6 Hedgerow Data'!$B$2:$AG$15,2,FALSE))</f>
        <v/>
      </c>
      <c r="G255" s="363" t="str">
        <f>IF(D255="","",VLOOKUP(D255,'G-6 Hedgerow Data'!$B$2:$AG$15,3,FALSE))</f>
        <v/>
      </c>
      <c r="H255" s="114"/>
      <c r="I255" s="363" t="str">
        <f>IFERROR(VLOOKUP(H255,'G-1 All Habitats'!$Z$2:$AA$9,2,FALSE),"")</f>
        <v/>
      </c>
      <c r="J255" s="114"/>
      <c r="K255" s="370" t="str">
        <f>IF(J255="","",IF(VLOOKUP(J255,'G-3 Multipliers'!$L$3:$N$6,2,FALSE)=0,"Spatial Data Missing ⚠",VLOOKUP(J255,'G-3 Multipliers'!$L$3:$N$6,2,FALSE)))</f>
        <v/>
      </c>
      <c r="L255" s="368" t="str">
        <f>IF(J255="","",IF(VLOOKUP(J255,'G-3 Multipliers'!$L$3:$N$6,3,FALSE)=0,"Spatial Data Missing ⚠",VLOOKUP(J255,'G-3 Multipliers'!$L$3:$N$6,3,FALSE)))</f>
        <v/>
      </c>
      <c r="M255" s="369" t="str">
        <f>IF(D255="","",VLOOKUP(D255,'G-6 Hedgerow Data'!$B$1:$AH$15,33,FALSE))</f>
        <v/>
      </c>
      <c r="N255" s="376" t="str">
        <f t="shared" si="23"/>
        <v/>
      </c>
      <c r="O255" s="32"/>
      <c r="P255" s="122"/>
      <c r="Q255" s="165"/>
      <c r="R255" s="393" t="str">
        <f t="shared" si="24"/>
        <v/>
      </c>
      <c r="S255" s="393" t="str">
        <f t="shared" si="25"/>
        <v/>
      </c>
      <c r="T255" s="393" t="str">
        <f t="shared" si="26"/>
        <v/>
      </c>
      <c r="U255" s="415" t="str">
        <f t="shared" si="27"/>
        <v/>
      </c>
      <c r="V255" s="119"/>
      <c r="W255" s="120"/>
      <c r="X255" s="120"/>
      <c r="AE255" s="124" t="str">
        <f t="shared" si="21"/>
        <v/>
      </c>
      <c r="AF255" s="124" t="str">
        <f t="shared" si="22"/>
        <v/>
      </c>
      <c r="AH255" s="124">
        <v>246</v>
      </c>
      <c r="AJ255" s="124" t="str">
        <f t="array" ref="AJ255">IFERROR(INDEX($AH$10:$AH$258, MATCH(0, IF(TRUE=$AE$10:$AE$258, COUNTIF($AJ$9:$AJ254, $AH$10:$AH$258), ""), 0)),"")</f>
        <v/>
      </c>
      <c r="AK255" s="124" t="str">
        <f t="array" ref="AK255">IFERROR(INDEX($AH$10:$AH$258, MATCH(0, IF(TRUE=$AF$10:$AF$258, COUNTIF($AK$9:$AK254, $AH$10:$AH$258), ""), 0)),"")</f>
        <v/>
      </c>
      <c r="AL255" s="30" t="str">
        <f>IFERROR(INDEX('G-6 Hedgerow Data'!$BJ$3:$BJ$15,MATCH(D255,'G-6 Hedgerow Data'!$B$3:$B$15,0)),"")</f>
        <v/>
      </c>
    </row>
    <row r="256" spans="2:38">
      <c r="B256" s="110">
        <v>247</v>
      </c>
      <c r="C256" s="165"/>
      <c r="D256" s="165"/>
      <c r="E256" s="121"/>
      <c r="F256" s="411" t="str">
        <f>IF(D256="","",VLOOKUP(D256,'G-6 Hedgerow Data'!$B$2:$AG$15,2,FALSE))</f>
        <v/>
      </c>
      <c r="G256" s="363" t="str">
        <f>IF(D256="","",VLOOKUP(D256,'G-6 Hedgerow Data'!$B$2:$AG$15,3,FALSE))</f>
        <v/>
      </c>
      <c r="H256" s="114"/>
      <c r="I256" s="363" t="str">
        <f>IFERROR(VLOOKUP(H256,'G-1 All Habitats'!$Z$2:$AA$9,2,FALSE),"")</f>
        <v/>
      </c>
      <c r="J256" s="114"/>
      <c r="K256" s="370" t="str">
        <f>IF(J256="","",IF(VLOOKUP(J256,'G-3 Multipliers'!$L$3:$N$6,2,FALSE)=0,"Spatial Data Missing ⚠",VLOOKUP(J256,'G-3 Multipliers'!$L$3:$N$6,2,FALSE)))</f>
        <v/>
      </c>
      <c r="L256" s="368" t="str">
        <f>IF(J256="","",IF(VLOOKUP(J256,'G-3 Multipliers'!$L$3:$N$6,3,FALSE)=0,"Spatial Data Missing ⚠",VLOOKUP(J256,'G-3 Multipliers'!$L$3:$N$6,3,FALSE)))</f>
        <v/>
      </c>
      <c r="M256" s="369" t="str">
        <f>IF(D256="","",VLOOKUP(D256,'G-6 Hedgerow Data'!$B$1:$AH$15,33,FALSE))</f>
        <v/>
      </c>
      <c r="N256" s="376" t="str">
        <f t="shared" si="23"/>
        <v/>
      </c>
      <c r="O256" s="32"/>
      <c r="P256" s="122"/>
      <c r="Q256" s="165"/>
      <c r="R256" s="393" t="str">
        <f t="shared" si="24"/>
        <v/>
      </c>
      <c r="S256" s="393" t="str">
        <f t="shared" si="25"/>
        <v/>
      </c>
      <c r="T256" s="393" t="str">
        <f t="shared" si="26"/>
        <v/>
      </c>
      <c r="U256" s="415" t="str">
        <f t="shared" si="27"/>
        <v/>
      </c>
      <c r="V256" s="119"/>
      <c r="W256" s="120"/>
      <c r="X256" s="120"/>
      <c r="AE256" s="124" t="str">
        <f t="shared" si="21"/>
        <v/>
      </c>
      <c r="AF256" s="124" t="str">
        <f t="shared" si="22"/>
        <v/>
      </c>
      <c r="AH256" s="124">
        <v>247</v>
      </c>
      <c r="AJ256" s="124" t="str">
        <f t="array" ref="AJ256">IFERROR(INDEX($AH$10:$AH$258, MATCH(0, IF(TRUE=$AE$10:$AE$258, COUNTIF($AJ$9:$AJ255, $AH$10:$AH$258), ""), 0)),"")</f>
        <v/>
      </c>
      <c r="AK256" s="124" t="str">
        <f t="array" ref="AK256">IFERROR(INDEX($AH$10:$AH$258, MATCH(0, IF(TRUE=$AF$10:$AF$258, COUNTIF($AK$9:$AK255, $AH$10:$AH$258), ""), 0)),"")</f>
        <v/>
      </c>
      <c r="AL256" s="30" t="str">
        <f>IFERROR(INDEX('G-6 Hedgerow Data'!$BJ$3:$BJ$15,MATCH(D256,'G-6 Hedgerow Data'!$B$3:$B$15,0)),"")</f>
        <v/>
      </c>
    </row>
    <row r="257" spans="2:38" ht="15.75" thickBot="1">
      <c r="B257" s="126">
        <v>248</v>
      </c>
      <c r="C257" s="168"/>
      <c r="D257" s="168"/>
      <c r="E257" s="128"/>
      <c r="F257" s="389" t="str">
        <f>IF(D257="","",VLOOKUP(D257,'G-6 Hedgerow Data'!$B$2:$AG$15,2,FALSE))</f>
        <v/>
      </c>
      <c r="G257" s="797" t="str">
        <f>IF(D257="","",VLOOKUP(D257,'G-6 Hedgerow Data'!$B$2:$AG$15,3,FALSE))</f>
        <v/>
      </c>
      <c r="H257" s="129"/>
      <c r="I257" s="797" t="str">
        <f>IFERROR(VLOOKUP(H257,'G-1 All Habitats'!$Z$2:$AA$9,2,FALSE),"")</f>
        <v/>
      </c>
      <c r="J257" s="129"/>
      <c r="K257" s="371" t="str">
        <f>IF(J257="","",IF(VLOOKUP(J257,'G-3 Multipliers'!$L$3:$N$6,2,FALSE)=0,"Spatial Data Missing ⚠",VLOOKUP(J257,'G-3 Multipliers'!$L$3:$N$6,2,FALSE)))</f>
        <v/>
      </c>
      <c r="L257" s="372" t="str">
        <f>IF(J257="","",IF(VLOOKUP(J257,'G-3 Multipliers'!$L$3:$N$6,3,FALSE)=0,"Spatial Data Missing ⚠",VLOOKUP(J257,'G-3 Multipliers'!$L$3:$N$6,3,FALSE)))</f>
        <v/>
      </c>
      <c r="M257" s="373" t="str">
        <f>IF(D257="","",VLOOKUP(D257,'G-6 Hedgerow Data'!$B$1:$AH$15,33,FALSE))</f>
        <v/>
      </c>
      <c r="N257" s="413" t="str">
        <f t="shared" si="23"/>
        <v/>
      </c>
      <c r="O257" s="32"/>
      <c r="P257" s="172"/>
      <c r="Q257" s="173"/>
      <c r="R257" s="396" t="str">
        <f t="shared" si="24"/>
        <v/>
      </c>
      <c r="S257" s="396" t="str">
        <f t="shared" si="25"/>
        <v/>
      </c>
      <c r="T257" s="393" t="str">
        <f t="shared" si="26"/>
        <v/>
      </c>
      <c r="U257" s="415" t="str">
        <f t="shared" si="27"/>
        <v/>
      </c>
      <c r="V257" s="130"/>
      <c r="W257" s="131"/>
      <c r="X257" s="131"/>
      <c r="AE257" s="124" t="str">
        <f t="shared" si="21"/>
        <v/>
      </c>
      <c r="AF257" s="124" t="str">
        <f t="shared" si="22"/>
        <v/>
      </c>
      <c r="AH257" s="124">
        <v>248</v>
      </c>
      <c r="AJ257" s="124" t="str">
        <f t="array" ref="AJ257">IFERROR(INDEX($AH$10:$AH$258, MATCH(0, IF(TRUE=$AE$10:$AE$258, COUNTIF($AJ$9:$AJ256, $AH$10:$AH$258), ""), 0)),"")</f>
        <v/>
      </c>
      <c r="AK257" s="124" t="str">
        <f t="array" ref="AK257">IFERROR(INDEX($AH$10:$AH$258, MATCH(0, IF(TRUE=$AF$10:$AF$258, COUNTIF($AK$9:$AK256, $AH$10:$AH$258), ""), 0)),"")</f>
        <v/>
      </c>
      <c r="AL257" s="30" t="str">
        <f>IFERROR(INDEX('G-6 Hedgerow Data'!$BJ$3:$BJ$15,MATCH(D257,'G-6 Hedgerow Data'!$B$3:$B$15,0)),"")</f>
        <v/>
      </c>
    </row>
    <row r="258" spans="2:38" ht="15.75" thickBot="1">
      <c r="D258" s="859"/>
      <c r="E258" s="412">
        <f>SUM(E10:E257)</f>
        <v>2.54</v>
      </c>
      <c r="M258" s="859"/>
      <c r="N258" s="414">
        <f>SUM(N10:N257)</f>
        <v>16.240000000000002</v>
      </c>
      <c r="O258" s="133"/>
      <c r="P258" s="379">
        <f t="shared" ref="P258:U258" si="28">SUM(P10:P257)</f>
        <v>2.54</v>
      </c>
      <c r="Q258" s="380">
        <f t="shared" si="28"/>
        <v>0</v>
      </c>
      <c r="R258" s="380" cm="1">
        <f t="array" ref="R258">IF(OR(T10:T257="Error in Lengths ▲", R10:R27 = "Error"), "Error ▲", SUM(R10:R257))</f>
        <v>16.240000000000002</v>
      </c>
      <c r="S258" s="380" cm="1">
        <f t="array" ref="S258">IF(OR(T10:T257="Error in lengths ▲",S10:S257="Error"),"Error ▲",SUM(S10:S257))</f>
        <v>0</v>
      </c>
      <c r="T258" s="380">
        <f t="shared" si="28"/>
        <v>0</v>
      </c>
      <c r="U258" s="377">
        <f t="shared" si="28"/>
        <v>0</v>
      </c>
    </row>
    <row r="259" spans="2:38">
      <c r="O259" s="133"/>
      <c r="P259" s="133"/>
      <c r="Q259" s="133"/>
      <c r="R259" s="133"/>
      <c r="S259" s="133"/>
      <c r="T259" s="133"/>
      <c r="U259" s="133"/>
    </row>
    <row r="260" spans="2:38">
      <c r="B260" s="102"/>
      <c r="C260" s="102"/>
    </row>
    <row r="261" spans="2:38">
      <c r="B261" s="102"/>
      <c r="C261" s="102"/>
    </row>
    <row r="262" spans="2:38">
      <c r="B262" s="102"/>
      <c r="C262" s="102"/>
    </row>
    <row r="263" spans="2:38">
      <c r="B263" s="102"/>
      <c r="C263" s="102"/>
    </row>
    <row r="264" spans="2:38">
      <c r="B264" s="102"/>
      <c r="C264" s="102"/>
    </row>
  </sheetData>
  <sheetProtection algorithmName="SHA-512" hashValue="EjuQ9zO0j9ttgJdItCJ8L51aqZ7OCL3+Mk9659Fwt7hsCl1uonuWw5f5jSo0QjSjmZdQKgLSUVJ4A10TiYzs4w==" saltValue="d8U0DrxCQHw+KWGkGt0HLQ==" spinCount="100000" sheet="1" objects="1" scenarios="1"/>
  <customSheetViews>
    <customSheetView guid="{8BDA793C-C9C5-4FC6-A0A5-F1109F6D4F22}" state="hidden">
      <pane ySplit="9" topLeftCell="A10" activePane="bottomLeft" state="frozen"/>
      <selection pane="bottomLeft" activeCell="D14" sqref="D14"/>
    </customSheetView>
  </customSheetViews>
  <mergeCells count="13">
    <mergeCell ref="F5:I5"/>
    <mergeCell ref="F3:I3"/>
    <mergeCell ref="B2:D2"/>
    <mergeCell ref="V8:W8"/>
    <mergeCell ref="C8:E8"/>
    <mergeCell ref="F8:G8"/>
    <mergeCell ref="H8:I8"/>
    <mergeCell ref="J8:L8"/>
    <mergeCell ref="P8:U8"/>
    <mergeCell ref="M8:M9"/>
    <mergeCell ref="B3:D4"/>
    <mergeCell ref="F2:J2"/>
    <mergeCell ref="F4:I4"/>
  </mergeCells>
  <conditionalFormatting sqref="M10:M257">
    <cfRule type="cellIs" dxfId="499" priority="25" operator="equal">
      <formula>"Like for like or better"</formula>
    </cfRule>
    <cfRule type="cellIs" dxfId="498" priority="26" operator="equal">
      <formula>"Like for like"</formula>
    </cfRule>
    <cfRule type="containsText" dxfId="497" priority="27" operator="containsText" text="Same distinctiveness">
      <formula>NOT(ISERROR(SEARCH("Same distinctiveness",M10)))</formula>
    </cfRule>
  </conditionalFormatting>
  <conditionalFormatting sqref="K10:K257">
    <cfRule type="containsText" dxfId="496" priority="23" operator="containsText" text="Spatial">
      <formula>NOT(ISERROR(SEARCH("Spatial",K10)))</formula>
    </cfRule>
  </conditionalFormatting>
  <conditionalFormatting sqref="L10:L257">
    <cfRule type="containsText" dxfId="495" priority="22" operator="containsText" text="Spatial">
      <formula>NOT(ISERROR(SEARCH("Spatial",L10)))</formula>
    </cfRule>
  </conditionalFormatting>
  <conditionalFormatting sqref="T10:T257">
    <cfRule type="containsText" dxfId="494" priority="21" operator="containsText" text="Error">
      <formula>NOT(ISERROR(SEARCH("Error",T10)))</formula>
    </cfRule>
  </conditionalFormatting>
  <conditionalFormatting sqref="U10:U257">
    <cfRule type="containsText" dxfId="493" priority="20" operator="containsText" text="Error">
      <formula>NOT(ISERROR(SEARCH("Error",U10)))</formula>
    </cfRule>
  </conditionalFormatting>
  <conditionalFormatting sqref="J3">
    <cfRule type="containsText" dxfId="492" priority="14" operator="containsText" text="Error">
      <formula>NOT(ISERROR(SEARCH("Error",J3)))</formula>
    </cfRule>
    <cfRule type="containsText" dxfId="491" priority="15" operator="containsText" text="Check">
      <formula>NOT(ISERROR(SEARCH("Check",J3)))</formula>
    </cfRule>
  </conditionalFormatting>
  <conditionalFormatting sqref="J4">
    <cfRule type="containsText" dxfId="490" priority="2" operator="containsText" text="Error">
      <formula>NOT(ISERROR(SEARCH("Error",J4)))</formula>
    </cfRule>
    <cfRule type="containsText" dxfId="489" priority="3" operator="containsText" text="Check">
      <formula>NOT(ISERROR(SEARCH("Check",J4)))</formula>
    </cfRule>
    <cfRule type="cellIs" dxfId="488" priority="4" operator="equal">
      <formula>0</formula>
    </cfRule>
    <cfRule type="cellIs" dxfId="487" priority="5" operator="lessThan">
      <formula>0</formula>
    </cfRule>
  </conditionalFormatting>
  <conditionalFormatting sqref="J5">
    <cfRule type="containsText" dxfId="486" priority="8" operator="containsText" text="No">
      <formula>NOT(ISERROR(SEARCH("No",J5)))</formula>
    </cfRule>
    <cfRule type="containsText" dxfId="485" priority="9" operator="containsText" text="Yes">
      <formula>NOT(ISERROR(SEARCH("Yes",J5)))</formula>
    </cfRule>
  </conditionalFormatting>
  <conditionalFormatting sqref="I10:I257">
    <cfRule type="containsText" dxfId="484" priority="7" operator="containsText" text="Not possible">
      <formula>NOT(ISERROR(SEARCH("Not possible",I10)))</formula>
    </cfRule>
  </conditionalFormatting>
  <conditionalFormatting sqref="R258:S258">
    <cfRule type="containsText" dxfId="483" priority="6" operator="containsText" text="Error">
      <formula>NOT(ISERROR(SEARCH("Error",R258)))</formula>
    </cfRule>
  </conditionalFormatting>
  <conditionalFormatting sqref="J3:J5">
    <cfRule type="containsText" dxfId="482" priority="1" operator="containsText" text="N/A">
      <formula>NOT(ISERROR(SEARCH("N/A",J3)))</formula>
    </cfRule>
  </conditionalFormatting>
  <dataValidations count="1">
    <dataValidation type="list" allowBlank="1" showInputMessage="1" showErrorMessage="1" sqref="H10:H257" xr:uid="{00000000-0002-0000-1000-000000000000}">
      <formula1>INDIRECT(AL10)</formula1>
    </dataValidation>
  </dataValidations>
  <pageMargins left="0.7" right="0.7" top="0.75" bottom="0.75" header="0.3" footer="0.3"/>
  <pageSetup paperSize="9" orientation="portrait" horizontalDpi="90" verticalDpi="90" r:id="rId1"/>
  <drawing r:id="rId2"/>
  <extLst>
    <ext xmlns:x14="http://schemas.microsoft.com/office/spreadsheetml/2009/9/main" uri="{78C0D931-6437-407d-A8EE-F0AAD7539E65}">
      <x14:conditionalFormattings>
        <x14:conditionalFormatting xmlns:xm="http://schemas.microsoft.com/office/excel/2006/main">
          <x14:cfRule type="cellIs" priority="434" operator="lessThan" id="{B1ACE558-59E3-4CD1-B5A8-4EB8AA7004D8}">
            <xm:f>Start!$F$22</xm:f>
            <x14:dxf>
              <font>
                <color rgb="FF383745"/>
              </font>
              <fill>
                <patternFill>
                  <bgColor rgb="FFFFC000"/>
                </patternFill>
              </fill>
            </x14:dxf>
          </x14:cfRule>
          <x14:cfRule type="cellIs" priority="435" operator="greaterThanOrEqual" id="{54F98FF7-171C-4306-A7B7-2D668F630A35}">
            <xm:f>Start!$F$22</xm:f>
            <x14:dxf>
              <font>
                <color rgb="FF383745"/>
              </font>
              <fill>
                <patternFill>
                  <bgColor rgb="FF92D050"/>
                </patternFill>
              </fill>
            </x14:dxf>
          </x14:cfRule>
          <xm:sqref>J4</xm:sqref>
        </x14:conditionalFormatting>
      </x14:conditionalFormattings>
    </ext>
    <ext xmlns:x14="http://schemas.microsoft.com/office/spreadsheetml/2009/9/main" uri="{CCE6A557-97BC-4b89-ADB6-D9C93CAAB3DF}">
      <x14:dataValidations xmlns:xm="http://schemas.microsoft.com/office/excel/2006/main" count="2">
        <x14:dataValidation type="list" allowBlank="1" showInputMessage="1" showErrorMessage="1" xr:uid="{00000000-0002-0000-1000-000001000000}">
          <x14:formula1>
            <xm:f>'G-6 Hedgerow Data'!$B$3:$B$15</xm:f>
          </x14:formula1>
          <xm:sqref>D10:D257</xm:sqref>
        </x14:dataValidation>
        <x14:dataValidation type="list" allowBlank="1" showErrorMessage="1" prompt=" _x000a_" xr:uid="{00000000-0002-0000-1000-000002000000}">
          <x14:formula1>
            <xm:f>'G-3 Multipliers'!$L$4:$L$6</xm:f>
          </x14:formula1>
          <xm:sqref>J10:J257</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1">
    <tabColor theme="0" tint="-0.249977111117893"/>
  </sheetPr>
  <dimension ref="A1:AC68"/>
  <sheetViews>
    <sheetView showRowColHeaders="0" tabSelected="1" zoomScale="80" zoomScaleNormal="80" workbookViewId="0"/>
  </sheetViews>
  <sheetFormatPr defaultColWidth="0" defaultRowHeight="0" customHeight="1" zeroHeight="1"/>
  <cols>
    <col min="1" max="2" width="2.28515625" style="11" customWidth="1"/>
    <col min="3" max="3" width="3" style="11" customWidth="1"/>
    <col min="4" max="4" width="10.5703125" style="11" customWidth="1"/>
    <col min="5" max="5" width="33.7109375" style="11" customWidth="1"/>
    <col min="6" max="6" width="14.7109375" style="11" customWidth="1"/>
    <col min="7" max="7" width="9.28515625" style="11" customWidth="1"/>
    <col min="8" max="8" width="7.7109375" style="11" customWidth="1"/>
    <col min="9" max="9" width="35.28515625" style="11" customWidth="1"/>
    <col min="10" max="10" width="16.42578125" style="11" customWidth="1"/>
    <col min="11" max="11" width="2.7109375" style="11" customWidth="1"/>
    <col min="12" max="12" width="1.5703125" style="11" customWidth="1"/>
    <col min="13" max="14" width="4.28515625" style="11" customWidth="1"/>
    <col min="15" max="15" width="5.7109375" style="11" customWidth="1"/>
    <col min="16" max="16" width="9.28515625" style="11" customWidth="1"/>
    <col min="17" max="17" width="34.5703125" style="11" customWidth="1"/>
    <col min="18" max="18" width="13.7109375" style="11" bestFit="1" customWidth="1"/>
    <col min="19" max="19" width="19.28515625" style="11" customWidth="1"/>
    <col min="20" max="28" width="9.28515625" style="11" customWidth="1"/>
    <col min="29" max="29" width="0" style="11" hidden="1" customWidth="1"/>
    <col min="30" max="16384" width="9.28515625" style="11" hidden="1"/>
  </cols>
  <sheetData>
    <row r="1" spans="1:19" ht="15.6" customHeight="1">
      <c r="B1" s="12"/>
      <c r="C1" s="12"/>
      <c r="E1" s="13"/>
      <c r="F1" s="926"/>
      <c r="G1" s="926"/>
      <c r="H1" s="926"/>
      <c r="I1" s="926"/>
      <c r="J1" s="926"/>
      <c r="K1" s="927"/>
      <c r="L1" s="927"/>
      <c r="M1" s="927"/>
      <c r="N1" s="927"/>
      <c r="O1" s="927"/>
      <c r="P1" s="927"/>
    </row>
    <row r="2" spans="1:19" ht="15.75" customHeight="1">
      <c r="B2" s="12"/>
      <c r="C2" s="12"/>
      <c r="E2" s="13"/>
    </row>
    <row r="3" spans="1:19" ht="15.75" customHeight="1">
      <c r="A3" s="13"/>
      <c r="B3" s="13"/>
      <c r="C3" s="13"/>
      <c r="D3" s="13"/>
      <c r="E3" s="13"/>
      <c r="F3" s="928"/>
      <c r="G3" s="928"/>
      <c r="H3" s="928"/>
      <c r="I3" s="928"/>
      <c r="J3" s="928"/>
      <c r="K3" s="928"/>
      <c r="L3" s="928"/>
      <c r="M3" s="928"/>
      <c r="N3" s="928"/>
      <c r="O3" s="928"/>
      <c r="P3" s="928"/>
      <c r="Q3" s="928"/>
    </row>
    <row r="4" spans="1:19" ht="16.5" customHeight="1">
      <c r="A4" s="13"/>
      <c r="B4" s="13"/>
      <c r="C4" s="13"/>
      <c r="D4" s="13"/>
      <c r="E4" s="13"/>
      <c r="F4" s="928"/>
      <c r="G4" s="928"/>
      <c r="H4" s="928"/>
      <c r="I4" s="928"/>
      <c r="J4" s="928"/>
      <c r="K4" s="928"/>
      <c r="L4" s="928"/>
      <c r="M4" s="928"/>
      <c r="N4" s="928"/>
      <c r="O4" s="928"/>
      <c r="P4" s="928"/>
      <c r="Q4" s="928"/>
    </row>
    <row r="5" spans="1:19" ht="16.5" customHeight="1">
      <c r="A5" s="13"/>
      <c r="B5" s="13"/>
      <c r="C5" s="13"/>
      <c r="D5" s="13"/>
      <c r="E5" s="13"/>
      <c r="F5" s="14"/>
      <c r="G5" s="14"/>
      <c r="H5" s="14"/>
      <c r="I5" s="14"/>
      <c r="J5" s="14"/>
      <c r="K5" s="14"/>
      <c r="L5" s="14"/>
      <c r="M5" s="14"/>
      <c r="N5" s="14"/>
      <c r="O5" s="14"/>
      <c r="P5" s="14"/>
      <c r="Q5" s="14"/>
      <c r="R5" s="14"/>
      <c r="S5" s="14"/>
    </row>
    <row r="6" spans="1:19" ht="16.5" customHeight="1">
      <c r="B6" s="12"/>
      <c r="C6" s="12"/>
      <c r="D6" s="13"/>
      <c r="E6" s="13"/>
      <c r="F6" s="14"/>
      <c r="G6" s="14"/>
      <c r="H6" s="14"/>
      <c r="I6" s="14"/>
      <c r="J6" s="14"/>
      <c r="K6" s="14"/>
      <c r="L6" s="14"/>
      <c r="M6" s="14"/>
      <c r="N6" s="14"/>
      <c r="O6" s="14"/>
      <c r="P6" s="14"/>
      <c r="Q6" s="14"/>
      <c r="R6" s="14"/>
      <c r="S6" s="14"/>
    </row>
    <row r="7" spans="1:19" ht="16.5" customHeight="1">
      <c r="B7" s="12"/>
      <c r="C7" s="13"/>
      <c r="D7" s="13"/>
      <c r="E7" s="13"/>
      <c r="F7" s="14"/>
      <c r="G7" s="14"/>
      <c r="H7" s="14"/>
      <c r="I7" s="14"/>
      <c r="J7" s="14"/>
      <c r="K7" s="14"/>
      <c r="L7" s="14"/>
      <c r="M7" s="14"/>
      <c r="N7" s="14"/>
      <c r="O7" s="14"/>
      <c r="P7" s="14"/>
      <c r="Q7" s="14"/>
      <c r="R7" s="14"/>
      <c r="S7" s="14"/>
    </row>
    <row r="8" spans="1:19" ht="23.65" customHeight="1" thickBot="1">
      <c r="B8" s="12"/>
      <c r="C8" s="12"/>
      <c r="D8" s="702">
        <v>4</v>
      </c>
      <c r="E8" s="933"/>
      <c r="F8" s="933"/>
      <c r="G8" s="933"/>
      <c r="H8" s="933"/>
      <c r="I8" s="933"/>
      <c r="J8" s="933"/>
      <c r="K8" s="14"/>
      <c r="L8" s="14"/>
      <c r="M8" s="14"/>
      <c r="N8" s="14"/>
      <c r="O8" s="14"/>
      <c r="P8" s="14"/>
      <c r="Q8" s="14"/>
      <c r="R8" s="14"/>
      <c r="S8" s="14"/>
    </row>
    <row r="9" spans="1:19" ht="23.65" customHeight="1">
      <c r="B9" s="12"/>
      <c r="D9" s="934" t="s">
        <v>0</v>
      </c>
      <c r="E9" s="935"/>
      <c r="F9" s="935"/>
      <c r="G9" s="935"/>
      <c r="H9" s="935"/>
      <c r="I9" s="935"/>
      <c r="J9" s="936"/>
      <c r="K9" s="14"/>
      <c r="L9" s="14"/>
      <c r="M9" s="14"/>
      <c r="N9" s="14"/>
      <c r="O9" s="14"/>
      <c r="P9" s="14"/>
      <c r="Q9" s="14"/>
      <c r="R9" s="14"/>
      <c r="S9" s="14"/>
    </row>
    <row r="10" spans="1:19" ht="21.6" customHeight="1" thickBot="1">
      <c r="B10" s="12"/>
      <c r="D10" s="937"/>
      <c r="E10" s="938"/>
      <c r="F10" s="938"/>
      <c r="G10" s="938"/>
      <c r="H10" s="938"/>
      <c r="I10" s="938"/>
      <c r="J10" s="939"/>
      <c r="K10" s="14"/>
      <c r="L10" s="14"/>
      <c r="M10" s="14"/>
      <c r="N10" s="14"/>
      <c r="P10" s="14"/>
      <c r="Q10" s="14"/>
      <c r="R10" s="14"/>
    </row>
    <row r="11" spans="1:19" ht="25.9" customHeight="1">
      <c r="B11" s="12"/>
      <c r="D11" s="929" t="s">
        <v>1</v>
      </c>
      <c r="E11" s="930"/>
      <c r="F11" s="931"/>
      <c r="G11" s="931"/>
      <c r="H11" s="931"/>
      <c r="I11" s="931"/>
      <c r="J11" s="932"/>
      <c r="K11" s="14"/>
      <c r="L11" s="14"/>
      <c r="M11" s="14"/>
      <c r="N11" s="14"/>
      <c r="P11" s="14"/>
      <c r="Q11" s="14"/>
      <c r="R11" s="14"/>
    </row>
    <row r="12" spans="1:19" ht="24" customHeight="1">
      <c r="B12" s="12"/>
      <c r="D12" s="918" t="s">
        <v>2</v>
      </c>
      <c r="E12" s="919"/>
      <c r="F12" s="922" t="s">
        <v>1724</v>
      </c>
      <c r="G12" s="922"/>
      <c r="H12" s="922"/>
      <c r="I12" s="922"/>
      <c r="J12" s="923"/>
      <c r="K12" s="14"/>
      <c r="L12" s="14"/>
      <c r="M12" s="14"/>
      <c r="N12" s="14"/>
      <c r="P12" s="14"/>
      <c r="Q12" s="14"/>
      <c r="R12" s="14"/>
    </row>
    <row r="13" spans="1:19" ht="21.6" customHeight="1">
      <c r="B13" s="12"/>
      <c r="D13" s="918" t="s">
        <v>3</v>
      </c>
      <c r="E13" s="919"/>
      <c r="F13" s="922" t="s">
        <v>1725</v>
      </c>
      <c r="G13" s="922"/>
      <c r="H13" s="922"/>
      <c r="I13" s="922"/>
      <c r="J13" s="923"/>
      <c r="K13" s="14"/>
      <c r="L13" s="14"/>
      <c r="M13" s="14"/>
      <c r="N13" s="14"/>
      <c r="P13" s="14"/>
      <c r="Q13" s="14"/>
      <c r="R13" s="14"/>
    </row>
    <row r="14" spans="1:19" ht="22.15" customHeight="1">
      <c r="B14" s="12"/>
      <c r="D14" s="918" t="s">
        <v>4</v>
      </c>
      <c r="E14" s="919"/>
      <c r="F14" s="922" t="s">
        <v>1726</v>
      </c>
      <c r="G14" s="922"/>
      <c r="H14" s="922"/>
      <c r="I14" s="922"/>
      <c r="J14" s="923"/>
      <c r="K14" s="14"/>
      <c r="L14" s="14"/>
      <c r="M14" s="14"/>
      <c r="N14" s="14"/>
      <c r="P14" s="14"/>
      <c r="Q14" s="14"/>
      <c r="R14" s="14"/>
    </row>
    <row r="15" spans="1:19" ht="21.6" customHeight="1">
      <c r="B15" s="12"/>
      <c r="D15" s="918" t="s">
        <v>5</v>
      </c>
      <c r="E15" s="919"/>
      <c r="F15" s="922"/>
      <c r="G15" s="922"/>
      <c r="H15" s="922"/>
      <c r="I15" s="922"/>
      <c r="J15" s="923"/>
      <c r="K15" s="14"/>
      <c r="L15" s="14"/>
      <c r="M15" s="14"/>
      <c r="N15" s="14"/>
      <c r="P15" s="14"/>
      <c r="Q15" s="14"/>
      <c r="R15" s="14"/>
    </row>
    <row r="16" spans="1:19" ht="21" customHeight="1">
      <c r="D16" s="918" t="s">
        <v>6</v>
      </c>
      <c r="E16" s="919"/>
      <c r="F16" s="922" t="s">
        <v>1727</v>
      </c>
      <c r="G16" s="922"/>
      <c r="H16" s="922"/>
      <c r="I16" s="922"/>
      <c r="J16" s="923"/>
      <c r="K16" s="14"/>
      <c r="L16" s="14"/>
      <c r="M16" s="14"/>
      <c r="N16" s="14"/>
      <c r="P16" s="14"/>
      <c r="Q16" s="14"/>
      <c r="R16" s="14"/>
    </row>
    <row r="17" spans="3:18" ht="21" customHeight="1">
      <c r="D17" s="918" t="s">
        <v>7</v>
      </c>
      <c r="E17" s="919"/>
      <c r="F17" s="924">
        <v>45855</v>
      </c>
      <c r="G17" s="924"/>
      <c r="H17" s="924"/>
      <c r="I17" s="924"/>
      <c r="J17" s="925"/>
      <c r="K17" s="14"/>
      <c r="L17" s="14"/>
      <c r="M17" s="14"/>
      <c r="N17" s="14"/>
      <c r="P17" s="14"/>
      <c r="Q17" s="14"/>
      <c r="R17" s="14"/>
    </row>
    <row r="18" spans="3:18" ht="23.65" customHeight="1">
      <c r="D18" s="918" t="s">
        <v>8</v>
      </c>
      <c r="E18" s="919"/>
      <c r="F18" s="922"/>
      <c r="G18" s="922"/>
      <c r="H18" s="922"/>
      <c r="I18" s="922"/>
      <c r="J18" s="923"/>
      <c r="K18" s="14"/>
      <c r="L18" s="14"/>
      <c r="M18" s="14"/>
      <c r="N18" s="14"/>
      <c r="P18" s="14"/>
      <c r="Q18" s="14"/>
      <c r="R18" s="14"/>
    </row>
    <row r="19" spans="3:18" ht="24.6" customHeight="1">
      <c r="D19" s="918" t="s">
        <v>9</v>
      </c>
      <c r="E19" s="919"/>
      <c r="F19" s="922">
        <v>2</v>
      </c>
      <c r="G19" s="922"/>
      <c r="H19" s="922"/>
      <c r="I19" s="922"/>
      <c r="J19" s="923"/>
      <c r="K19" s="14"/>
      <c r="L19" s="14"/>
      <c r="M19" s="14"/>
      <c r="N19" s="14"/>
      <c r="P19" s="14"/>
      <c r="Q19" s="14"/>
      <c r="R19" s="14"/>
    </row>
    <row r="20" spans="3:18" ht="24.6" customHeight="1">
      <c r="D20" s="899" t="s">
        <v>10</v>
      </c>
      <c r="E20" s="900"/>
      <c r="F20" s="913"/>
      <c r="G20" s="914"/>
      <c r="H20" s="914"/>
      <c r="I20" s="914"/>
      <c r="J20" s="915"/>
      <c r="K20" s="14"/>
      <c r="L20" s="14"/>
      <c r="M20" s="14"/>
      <c r="N20" s="14"/>
      <c r="P20" s="14"/>
      <c r="Q20" s="14"/>
      <c r="R20" s="14"/>
    </row>
    <row r="21" spans="3:18" ht="19.899999999999999" customHeight="1">
      <c r="D21" s="920" t="s">
        <v>11</v>
      </c>
      <c r="E21" s="921"/>
      <c r="F21" s="916"/>
      <c r="G21" s="916"/>
      <c r="H21" s="916"/>
      <c r="I21" s="916"/>
      <c r="J21" s="917"/>
      <c r="K21" s="14"/>
      <c r="L21" s="14"/>
      <c r="M21" s="14"/>
      <c r="N21" s="14"/>
      <c r="P21" s="14"/>
      <c r="Q21" s="14"/>
      <c r="R21" s="14"/>
    </row>
    <row r="22" spans="3:18" ht="19.899999999999999" customHeight="1">
      <c r="D22" s="899" t="s">
        <v>12</v>
      </c>
      <c r="E22" s="900"/>
      <c r="F22" s="901">
        <v>0.1</v>
      </c>
      <c r="G22" s="902"/>
      <c r="H22" s="903"/>
      <c r="I22" s="909" t="str">
        <f>IF(OR(F22&gt;=10%,F22=""),"","Target set below 10% ▲")</f>
        <v/>
      </c>
      <c r="J22" s="910"/>
      <c r="K22" s="14"/>
      <c r="L22" s="14"/>
      <c r="M22" s="14"/>
      <c r="N22" s="14"/>
      <c r="P22" s="14"/>
      <c r="Q22" s="14"/>
      <c r="R22" s="14"/>
    </row>
    <row r="23" spans="3:18" ht="31.15" customHeight="1">
      <c r="D23" s="911" t="s">
        <v>13</v>
      </c>
      <c r="E23" s="912"/>
      <c r="F23" s="904" t="s">
        <v>52</v>
      </c>
      <c r="G23" s="905"/>
      <c r="H23" s="906"/>
      <c r="I23" s="907" t="str">
        <f>IF(F23="Yes","Irreplaceable habitats at baseline, you must fill in the irreplaceable habitat tab ⚠",IF(F23="","You must specify if irreplaceable habitats are on-site at baseline ▲",""))</f>
        <v>Irreplaceable habitats at baseline, you must fill in the irreplaceable habitat tab ⚠</v>
      </c>
      <c r="J23" s="908"/>
      <c r="K23" s="14"/>
      <c r="L23" s="14"/>
      <c r="M23" s="14"/>
      <c r="N23" s="14"/>
      <c r="P23" s="14"/>
      <c r="Q23" s="14"/>
      <c r="R23" s="14"/>
    </row>
    <row r="24" spans="3:18" ht="37.15" customHeight="1">
      <c r="D24" s="964" t="s">
        <v>14</v>
      </c>
      <c r="E24" s="965"/>
      <c r="F24" s="979">
        <f>'Detailed Results'!D21+'Irreplaceable Habitats'!S38</f>
        <v>46.795000000000009</v>
      </c>
      <c r="G24" s="980"/>
      <c r="H24" s="980"/>
      <c r="I24" s="600" t="s">
        <v>15</v>
      </c>
      <c r="J24" s="601">
        <f>'Irreplaceable Habitats'!M32</f>
        <v>0</v>
      </c>
      <c r="K24" s="14"/>
      <c r="L24" s="14"/>
      <c r="M24" s="14"/>
      <c r="N24" s="14"/>
      <c r="P24" s="14"/>
      <c r="Q24" s="14"/>
      <c r="R24" s="14"/>
    </row>
    <row r="25" spans="3:18" ht="17.100000000000001" customHeight="1">
      <c r="P25" s="14"/>
      <c r="Q25" s="14"/>
      <c r="R25" s="14"/>
    </row>
    <row r="26" spans="3:18" ht="14.1" customHeight="1">
      <c r="P26" s="14"/>
      <c r="Q26" s="14"/>
      <c r="R26" s="14"/>
    </row>
    <row r="27" spans="3:18" ht="51" hidden="1" customHeight="1" thickBot="1">
      <c r="D27" s="944" t="s">
        <v>16</v>
      </c>
      <c r="E27" s="945"/>
      <c r="F27" s="946"/>
      <c r="G27" s="946"/>
      <c r="H27" s="946"/>
      <c r="I27" s="947" t="str">
        <f>IF(F27="Yes", "Only acceptable in exceptionally rare circumstances, ensure any deviations have been agreed with the consenting body ⚠", "")</f>
        <v/>
      </c>
      <c r="J27" s="948"/>
      <c r="P27" s="14"/>
      <c r="Q27" s="14"/>
      <c r="R27" s="14"/>
    </row>
    <row r="28" spans="3:18" ht="16.5" customHeight="1" thickBot="1">
      <c r="C28" s="14"/>
      <c r="K28" s="14"/>
      <c r="P28" s="14"/>
      <c r="Q28" s="14"/>
      <c r="R28" s="14"/>
    </row>
    <row r="29" spans="3:18" ht="20.25" customHeight="1" thickBot="1">
      <c r="C29" s="14"/>
      <c r="D29" s="968" t="s">
        <v>17</v>
      </c>
      <c r="E29" s="969"/>
      <c r="F29" s="969"/>
      <c r="G29" s="969"/>
      <c r="H29" s="969"/>
      <c r="I29" s="969"/>
      <c r="J29" s="970"/>
      <c r="K29" s="14"/>
      <c r="L29" s="15"/>
      <c r="M29" s="15"/>
      <c r="N29" s="15"/>
      <c r="P29" s="14"/>
      <c r="Q29" s="14"/>
      <c r="R29" s="14"/>
    </row>
    <row r="30" spans="3:18" ht="20.25" customHeight="1">
      <c r="C30" s="14"/>
      <c r="D30" s="975" t="s">
        <v>18</v>
      </c>
      <c r="E30" s="976"/>
      <c r="F30" s="977" t="s">
        <v>19</v>
      </c>
      <c r="G30" s="977"/>
      <c r="H30" s="977"/>
      <c r="I30" s="977"/>
      <c r="J30" s="978"/>
      <c r="K30" s="14"/>
      <c r="L30" s="15"/>
      <c r="M30" s="15"/>
      <c r="N30" s="15"/>
      <c r="P30" s="14"/>
      <c r="Q30" s="14"/>
      <c r="R30" s="14"/>
    </row>
    <row r="31" spans="3:18" ht="16.5" customHeight="1">
      <c r="D31" s="971" t="s">
        <v>20</v>
      </c>
      <c r="E31" s="972"/>
      <c r="F31" s="973" t="s">
        <v>21</v>
      </c>
      <c r="G31" s="973"/>
      <c r="H31" s="973"/>
      <c r="I31" s="973"/>
      <c r="J31" s="974"/>
      <c r="P31" s="14"/>
      <c r="Q31" s="14"/>
      <c r="R31" s="14"/>
    </row>
    <row r="32" spans="3:18" ht="16.5" customHeight="1">
      <c r="D32" s="953"/>
      <c r="E32" s="954"/>
      <c r="F32" s="955" t="s">
        <v>22</v>
      </c>
      <c r="G32" s="956"/>
      <c r="H32" s="956"/>
      <c r="I32" s="956"/>
      <c r="J32" s="957"/>
      <c r="P32" s="14"/>
      <c r="Q32" s="14"/>
      <c r="R32" s="14"/>
    </row>
    <row r="33" spans="4:18" ht="16.5" customHeight="1">
      <c r="D33" s="966"/>
      <c r="E33" s="967"/>
      <c r="F33" s="951" t="s">
        <v>23</v>
      </c>
      <c r="G33" s="951"/>
      <c r="H33" s="951"/>
      <c r="I33" s="951"/>
      <c r="J33" s="952"/>
      <c r="K33" s="14"/>
      <c r="L33" s="14"/>
      <c r="M33" s="14"/>
      <c r="N33" s="14"/>
      <c r="P33" s="14"/>
      <c r="Q33" s="14"/>
      <c r="R33" s="14"/>
    </row>
    <row r="34" spans="4:18" ht="16.5" customHeight="1">
      <c r="D34" s="949"/>
      <c r="E34" s="950"/>
      <c r="F34" s="951" t="s">
        <v>24</v>
      </c>
      <c r="G34" s="951"/>
      <c r="H34" s="951"/>
      <c r="I34" s="951"/>
      <c r="J34" s="952"/>
      <c r="K34" s="14"/>
      <c r="L34" s="14"/>
      <c r="M34" s="14"/>
      <c r="N34" s="14"/>
      <c r="P34" s="14"/>
      <c r="Q34" s="14"/>
      <c r="R34" s="14"/>
    </row>
    <row r="35" spans="4:18" ht="16.5" customHeight="1" thickBot="1">
      <c r="D35" s="940"/>
      <c r="E35" s="941"/>
      <c r="F35" s="942" t="s">
        <v>25</v>
      </c>
      <c r="G35" s="942"/>
      <c r="H35" s="942"/>
      <c r="I35" s="942"/>
      <c r="J35" s="943"/>
      <c r="K35" s="14"/>
      <c r="L35" s="14"/>
      <c r="M35" s="14"/>
      <c r="N35" s="14"/>
      <c r="P35" s="14"/>
      <c r="Q35" s="14"/>
      <c r="R35" s="14"/>
    </row>
    <row r="36" spans="4:18" ht="16.5" customHeight="1">
      <c r="D36" s="14"/>
      <c r="E36" s="14"/>
      <c r="F36" s="14"/>
      <c r="G36" s="14"/>
      <c r="H36" s="14"/>
      <c r="I36" s="14"/>
      <c r="J36" s="14"/>
      <c r="K36" s="14"/>
      <c r="L36" s="14"/>
      <c r="M36" s="14"/>
      <c r="N36" s="14"/>
      <c r="P36" s="14"/>
      <c r="Q36" s="14"/>
      <c r="R36" s="14"/>
    </row>
    <row r="37" spans="4:18" ht="24" customHeight="1">
      <c r="D37" s="14"/>
      <c r="E37" s="14"/>
      <c r="F37" s="14"/>
      <c r="G37" s="14"/>
      <c r="H37" s="14"/>
      <c r="I37" s="14"/>
      <c r="J37" s="14"/>
      <c r="K37" s="14"/>
      <c r="L37" s="14"/>
      <c r="M37" s="14"/>
      <c r="N37" s="14"/>
      <c r="P37" s="14"/>
      <c r="Q37" s="14"/>
      <c r="R37" s="14"/>
    </row>
    <row r="38" spans="4:18" ht="15.75">
      <c r="D38" s="14"/>
      <c r="E38" s="14"/>
      <c r="F38" s="14"/>
      <c r="G38" s="14"/>
      <c r="H38" s="14"/>
      <c r="I38" s="14"/>
      <c r="J38" s="14"/>
      <c r="K38" s="14"/>
      <c r="L38" s="14"/>
      <c r="M38" s="14"/>
      <c r="N38" s="14"/>
      <c r="P38" s="14"/>
      <c r="Q38" s="14"/>
      <c r="R38" s="14"/>
    </row>
    <row r="39" spans="4:18" ht="15.75">
      <c r="D39" s="14"/>
      <c r="E39" s="14"/>
      <c r="F39" s="14"/>
      <c r="G39" s="14"/>
      <c r="H39" s="14"/>
      <c r="I39" s="14"/>
      <c r="J39" s="14"/>
      <c r="K39" s="14"/>
      <c r="L39" s="14"/>
      <c r="M39" s="14"/>
      <c r="N39" s="14"/>
      <c r="O39" s="14"/>
      <c r="P39" s="14"/>
      <c r="Q39" s="14"/>
      <c r="R39" s="14"/>
    </row>
    <row r="40" spans="4:18" ht="15.75">
      <c r="D40" s="14"/>
      <c r="E40" s="14"/>
      <c r="F40" s="14"/>
      <c r="G40" s="14"/>
      <c r="H40" s="14"/>
      <c r="I40" s="14"/>
      <c r="J40" s="14"/>
      <c r="K40" s="14"/>
      <c r="L40" s="14"/>
      <c r="M40" s="14"/>
      <c r="N40" s="14"/>
      <c r="O40" s="14"/>
      <c r="P40" s="14"/>
      <c r="Q40" s="14"/>
      <c r="R40" s="14"/>
    </row>
    <row r="41" spans="4:18" ht="15.75">
      <c r="D41" s="14"/>
      <c r="E41" s="14"/>
      <c r="F41" s="14"/>
      <c r="G41" s="14"/>
      <c r="H41" s="14"/>
      <c r="I41" s="14"/>
      <c r="J41" s="14"/>
      <c r="K41" s="14"/>
      <c r="L41" s="14"/>
      <c r="M41" s="14"/>
      <c r="N41" s="14"/>
      <c r="O41" s="14"/>
      <c r="P41" s="14"/>
      <c r="Q41" s="14"/>
      <c r="R41" s="14"/>
    </row>
    <row r="42" spans="4:18" ht="15.75">
      <c r="D42" s="14"/>
      <c r="E42" s="14"/>
      <c r="F42" s="14"/>
      <c r="G42" s="14"/>
      <c r="H42" s="14"/>
      <c r="I42" s="14"/>
      <c r="J42" s="14"/>
      <c r="K42" s="14"/>
      <c r="L42" s="14"/>
      <c r="M42" s="14"/>
      <c r="N42" s="14"/>
      <c r="O42" s="14"/>
      <c r="P42" s="14"/>
      <c r="Q42" s="14"/>
      <c r="R42" s="14"/>
    </row>
    <row r="43" spans="4:18" ht="15.75">
      <c r="D43" s="14"/>
      <c r="E43" s="14"/>
      <c r="F43" s="14"/>
      <c r="G43" s="14"/>
      <c r="H43" s="14"/>
      <c r="I43" s="14"/>
      <c r="J43" s="14"/>
      <c r="K43" s="14"/>
      <c r="L43" s="14"/>
      <c r="M43" s="14"/>
      <c r="N43" s="14"/>
      <c r="O43" s="14"/>
      <c r="P43" s="14"/>
      <c r="Q43" s="14"/>
      <c r="R43" s="14"/>
    </row>
    <row r="44" spans="4:18" ht="15.75">
      <c r="D44" s="14"/>
      <c r="E44" s="14"/>
      <c r="F44" s="14"/>
      <c r="G44" s="14"/>
      <c r="H44" s="14"/>
      <c r="I44" s="14"/>
      <c r="J44" s="14"/>
      <c r="K44" s="14"/>
      <c r="L44" s="14"/>
      <c r="M44" s="14"/>
      <c r="N44" s="14"/>
      <c r="O44" s="14"/>
      <c r="P44" s="14"/>
      <c r="Q44" s="14"/>
      <c r="R44" s="14"/>
    </row>
    <row r="45" spans="4:18" ht="15.75">
      <c r="D45" s="14"/>
      <c r="E45" s="14"/>
      <c r="F45" s="14"/>
      <c r="G45" s="14"/>
      <c r="H45" s="14"/>
      <c r="I45" s="14"/>
      <c r="J45" s="14"/>
      <c r="K45" s="14"/>
      <c r="L45" s="14"/>
      <c r="M45" s="14"/>
      <c r="N45" s="14"/>
      <c r="O45" s="14"/>
      <c r="P45" s="14"/>
      <c r="Q45" s="14"/>
      <c r="R45" s="14"/>
    </row>
    <row r="46" spans="4:18" ht="15.75">
      <c r="D46" s="14"/>
      <c r="E46" s="14"/>
      <c r="F46" s="14"/>
      <c r="G46" s="14"/>
      <c r="H46" s="14"/>
      <c r="I46" s="14"/>
      <c r="J46" s="14"/>
      <c r="K46" s="14"/>
      <c r="L46" s="14"/>
      <c r="M46" s="14"/>
      <c r="N46" s="14"/>
      <c r="O46" s="14"/>
      <c r="P46" s="14"/>
      <c r="Q46" s="14"/>
      <c r="R46" s="14"/>
    </row>
    <row r="47" spans="4:18" ht="15.75">
      <c r="D47" s="14"/>
      <c r="E47" s="14"/>
      <c r="F47" s="14"/>
      <c r="G47" s="14"/>
      <c r="H47" s="14"/>
      <c r="I47" s="14"/>
      <c r="J47" s="14"/>
      <c r="K47" s="14"/>
      <c r="L47" s="14"/>
      <c r="M47" s="14"/>
      <c r="N47" s="14"/>
      <c r="O47" s="14"/>
      <c r="P47" s="14"/>
      <c r="Q47" s="14"/>
      <c r="R47" s="14"/>
    </row>
    <row r="48" spans="4:18" ht="15.75">
      <c r="D48" s="14"/>
      <c r="E48" s="14"/>
      <c r="F48" s="14"/>
      <c r="G48" s="14"/>
      <c r="H48" s="14"/>
      <c r="I48" s="14"/>
      <c r="J48" s="14"/>
      <c r="K48" s="14"/>
      <c r="L48" s="14"/>
      <c r="M48" s="14"/>
      <c r="N48" s="14"/>
      <c r="O48" s="14"/>
      <c r="P48" s="14"/>
      <c r="Q48" s="14"/>
      <c r="R48" s="14"/>
    </row>
    <row r="49" spans="4:18" ht="15.75">
      <c r="D49" s="14"/>
      <c r="E49" s="14"/>
      <c r="F49" s="14"/>
      <c r="G49" s="14"/>
      <c r="H49" s="14"/>
      <c r="I49" s="14"/>
      <c r="J49" s="14"/>
      <c r="K49" s="14"/>
      <c r="L49" s="14"/>
      <c r="M49" s="14"/>
      <c r="N49" s="14"/>
      <c r="O49" s="14"/>
      <c r="P49" s="14"/>
      <c r="Q49" s="14"/>
      <c r="R49" s="14"/>
    </row>
    <row r="50" spans="4:18" ht="15.75">
      <c r="D50" s="14"/>
      <c r="E50" s="14"/>
      <c r="F50" s="14"/>
      <c r="G50" s="14"/>
      <c r="H50" s="14"/>
      <c r="I50" s="14"/>
      <c r="J50" s="14"/>
      <c r="K50" s="14"/>
      <c r="L50" s="14"/>
      <c r="M50" s="14"/>
      <c r="N50" s="14"/>
      <c r="O50" s="14"/>
      <c r="P50" s="14"/>
      <c r="Q50" s="14"/>
      <c r="R50" s="14"/>
    </row>
    <row r="51" spans="4:18" ht="15.75">
      <c r="D51" s="14"/>
      <c r="E51" s="14"/>
      <c r="F51" s="14"/>
      <c r="G51" s="14"/>
      <c r="H51" s="14"/>
      <c r="I51" s="14"/>
      <c r="J51" s="14"/>
      <c r="K51" s="14"/>
      <c r="L51" s="14"/>
      <c r="M51" s="14"/>
      <c r="N51" s="14"/>
      <c r="O51" s="14"/>
      <c r="P51" s="14"/>
      <c r="Q51" s="14"/>
      <c r="R51" s="14"/>
    </row>
    <row r="52" spans="4:18" ht="15.75">
      <c r="D52" s="14"/>
      <c r="E52" s="14"/>
      <c r="F52" s="14"/>
      <c r="G52" s="14"/>
      <c r="H52" s="14"/>
      <c r="I52" s="14"/>
      <c r="J52" s="14"/>
      <c r="K52" s="14"/>
      <c r="L52" s="14"/>
      <c r="M52" s="14"/>
      <c r="N52" s="14"/>
      <c r="O52" s="14"/>
      <c r="P52" s="14"/>
      <c r="Q52" s="14"/>
      <c r="R52" s="14"/>
    </row>
    <row r="53" spans="4:18" ht="21" customHeight="1">
      <c r="D53" s="14"/>
      <c r="E53" s="14"/>
      <c r="F53" s="14"/>
      <c r="G53" s="14"/>
      <c r="H53" s="14"/>
      <c r="I53" s="14"/>
      <c r="J53" s="14"/>
      <c r="K53" s="14"/>
      <c r="L53" s="14"/>
      <c r="M53" s="14"/>
      <c r="N53" s="14"/>
      <c r="O53" s="14"/>
      <c r="P53" s="14"/>
      <c r="Q53" s="14"/>
      <c r="R53" s="14"/>
    </row>
    <row r="54" spans="4:18" ht="16.5" thickBot="1">
      <c r="P54" s="14"/>
      <c r="Q54" s="14"/>
      <c r="R54" s="14"/>
    </row>
    <row r="55" spans="4:18" ht="15.75" thickBot="1">
      <c r="D55" s="962" t="s">
        <v>26</v>
      </c>
      <c r="E55" s="963"/>
      <c r="F55" s="958"/>
      <c r="G55" s="959"/>
      <c r="I55" s="960" t="s">
        <v>27</v>
      </c>
      <c r="J55" s="961"/>
      <c r="K55" s="958"/>
      <c r="L55" s="958"/>
      <c r="M55" s="958"/>
      <c r="N55" s="958"/>
      <c r="O55" s="959"/>
    </row>
    <row r="56" spans="4:18" ht="15"/>
    <row r="57" spans="4:18" ht="15"/>
    <row r="58" spans="4:18" ht="15"/>
    <row r="59" spans="4:18" ht="6" customHeight="1"/>
    <row r="60" spans="4:18" ht="15"/>
    <row r="61" spans="4:18" ht="15"/>
    <row r="62" spans="4:18" ht="15"/>
    <row r="63" spans="4:18" ht="63.75" customHeight="1"/>
    <row r="64" spans="4:18" ht="105.75" customHeight="1"/>
    <row r="65" spans="4:15" ht="48.75" customHeight="1" thickBot="1"/>
    <row r="66" spans="4:15" ht="16.5" customHeight="1" thickBot="1">
      <c r="D66" s="960" t="s">
        <v>28</v>
      </c>
      <c r="E66" s="961"/>
      <c r="F66" s="958"/>
      <c r="G66" s="959"/>
      <c r="I66" s="960" t="s">
        <v>29</v>
      </c>
      <c r="J66" s="961"/>
      <c r="K66" s="958"/>
      <c r="L66" s="958"/>
      <c r="M66" s="958"/>
      <c r="N66" s="958"/>
      <c r="O66" s="959"/>
    </row>
    <row r="67" spans="4:15" ht="105.75" customHeight="1"/>
    <row r="68" spans="4:15" ht="105.75" customHeight="1"/>
  </sheetData>
  <sheetProtection algorithmName="SHA-512" hashValue="KhWdn18q0BvIzYnLpT7ld9P+82NKShLvofuQCfwD9lJAzMrcaurs2bnGDcR8QFrVtH05aFxtMJpAEhbOEJ+udw==" saltValue="nPPhZreKOvqXmFTtuOvZ4A==" spinCount="100000" sheet="1" objects="1" scenarios="1"/>
  <customSheetViews>
    <customSheetView guid="{8BDA793C-C9C5-4FC6-A0A5-F1109F6D4F22}" scale="90"/>
  </customSheetViews>
  <mergeCells count="59">
    <mergeCell ref="D24:E24"/>
    <mergeCell ref="D33:E33"/>
    <mergeCell ref="D29:J29"/>
    <mergeCell ref="F33:J33"/>
    <mergeCell ref="D31:E31"/>
    <mergeCell ref="F31:J31"/>
    <mergeCell ref="D30:E30"/>
    <mergeCell ref="F30:J30"/>
    <mergeCell ref="F24:H24"/>
    <mergeCell ref="K55:O55"/>
    <mergeCell ref="D66:E66"/>
    <mergeCell ref="F66:G66"/>
    <mergeCell ref="I66:J66"/>
    <mergeCell ref="K66:O66"/>
    <mergeCell ref="D55:E55"/>
    <mergeCell ref="F55:G55"/>
    <mergeCell ref="I55:J55"/>
    <mergeCell ref="D35:E35"/>
    <mergeCell ref="F35:J35"/>
    <mergeCell ref="D27:E27"/>
    <mergeCell ref="F27:H27"/>
    <mergeCell ref="I27:J27"/>
    <mergeCell ref="D34:E34"/>
    <mergeCell ref="F34:J34"/>
    <mergeCell ref="D32:E32"/>
    <mergeCell ref="F32:J32"/>
    <mergeCell ref="F16:J16"/>
    <mergeCell ref="D13:E13"/>
    <mergeCell ref="D14:E14"/>
    <mergeCell ref="D15:E15"/>
    <mergeCell ref="D16:E16"/>
    <mergeCell ref="D12:E12"/>
    <mergeCell ref="F12:J12"/>
    <mergeCell ref="F13:J13"/>
    <mergeCell ref="F14:J14"/>
    <mergeCell ref="F15:J15"/>
    <mergeCell ref="F1:J1"/>
    <mergeCell ref="K1:P1"/>
    <mergeCell ref="F3:Q4"/>
    <mergeCell ref="D11:E11"/>
    <mergeCell ref="F11:J11"/>
    <mergeCell ref="E8:J8"/>
    <mergeCell ref="D9:J10"/>
    <mergeCell ref="D20:E20"/>
    <mergeCell ref="F20:J20"/>
    <mergeCell ref="F21:J21"/>
    <mergeCell ref="D17:E17"/>
    <mergeCell ref="D21:E21"/>
    <mergeCell ref="F18:J18"/>
    <mergeCell ref="F19:J19"/>
    <mergeCell ref="F17:J17"/>
    <mergeCell ref="D18:E18"/>
    <mergeCell ref="D19:E19"/>
    <mergeCell ref="D22:E22"/>
    <mergeCell ref="F22:H22"/>
    <mergeCell ref="F23:H23"/>
    <mergeCell ref="I23:J23"/>
    <mergeCell ref="I22:J22"/>
    <mergeCell ref="D23:E23"/>
  </mergeCells>
  <conditionalFormatting sqref="I22">
    <cfRule type="containsText" dxfId="961" priority="12" operator="containsText" text="▲">
      <formula>NOT(ISERROR(SEARCH("▲",I22)))</formula>
    </cfRule>
  </conditionalFormatting>
  <conditionalFormatting sqref="F27 F23:F24">
    <cfRule type="containsText" dxfId="960" priority="10" operator="containsText" text="No">
      <formula>NOT(ISERROR(SEARCH("No",F23)))</formula>
    </cfRule>
    <cfRule type="containsText" dxfId="959" priority="11" operator="containsText" text="Yes">
      <formula>NOT(ISERROR(SEARCH("Yes",F23)))</formula>
    </cfRule>
  </conditionalFormatting>
  <conditionalFormatting sqref="I23">
    <cfRule type="containsText" dxfId="958" priority="8" operator="containsText" text="tab">
      <formula>NOT(ISERROR(SEARCH("tab",I23)))</formula>
    </cfRule>
    <cfRule type="containsText" dxfId="957" priority="9" operator="containsText" text="▲">
      <formula>NOT(ISERROR(SEARCH("▲",I23)))</formula>
    </cfRule>
  </conditionalFormatting>
  <conditionalFormatting sqref="I27 I24">
    <cfRule type="containsText" dxfId="956" priority="6" operator="containsText" text="tab">
      <formula>NOT(ISERROR(SEARCH("tab",I24)))</formula>
    </cfRule>
    <cfRule type="containsText" dxfId="955" priority="7" operator="containsText" text="▲">
      <formula>NOT(ISERROR(SEARCH("▲",I24)))</formula>
    </cfRule>
  </conditionalFormatting>
  <conditionalFormatting sqref="J24">
    <cfRule type="containsText" dxfId="954" priority="2" operator="containsText" text="tab">
      <formula>NOT(ISERROR(SEARCH("tab",J24)))</formula>
    </cfRule>
    <cfRule type="containsText" dxfId="953" priority="3" operator="containsText" text="▲">
      <formula>NOT(ISERROR(SEARCH("▲",J24)))</formula>
    </cfRule>
  </conditionalFormatting>
  <conditionalFormatting sqref="I27:J27">
    <cfRule type="containsBlanks" dxfId="952" priority="1">
      <formula>LEN(TRIM(I27))=0</formula>
    </cfRule>
  </conditionalFormatting>
  <dataValidations count="2">
    <dataValidation type="list" allowBlank="1" showInputMessage="1" showErrorMessage="1" sqref="F23" xr:uid="{850923A2-20C1-4D2F-B771-01F4FEB35E59}">
      <formula1>"Yes, No"</formula1>
    </dataValidation>
    <dataValidation type="list" showInputMessage="1" showErrorMessage="1" sqref="F27:H27" xr:uid="{6BB539B8-7713-4BB6-85D9-6B1282E3766C}">
      <formula1>"Yes, No"</formula1>
    </dataValidation>
  </dataValidations>
  <pageMargins left="0.7" right="0.7" top="0.75" bottom="0.75" header="0.3" footer="0.3"/>
  <pageSetup paperSize="9"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2">
    <tabColor rgb="FF663300"/>
  </sheetPr>
  <dimension ref="A1:AG268"/>
  <sheetViews>
    <sheetView showGridLines="0" zoomScale="80" zoomScaleNormal="80" workbookViewId="0">
      <pane ySplit="11" topLeftCell="A12" activePane="bottomLeft" state="frozen"/>
      <selection pane="bottomLeft" activeCell="A13" sqref="A13"/>
    </sheetView>
  </sheetViews>
  <sheetFormatPr defaultColWidth="0" defaultRowHeight="0" customHeight="1" zeroHeight="1"/>
  <cols>
    <col min="1" max="1" width="2.7109375" style="30" customWidth="1"/>
    <col min="2" max="2" width="14.28515625" style="30" customWidth="1"/>
    <col min="3" max="3" width="10.5703125" style="30" customWidth="1"/>
    <col min="4" max="4" width="62.7109375" style="30" customWidth="1"/>
    <col min="5" max="5" width="10.42578125" style="30" customWidth="1"/>
    <col min="6" max="6" width="18.7109375" style="30" customWidth="1"/>
    <col min="7" max="7" width="10.5703125" style="30" customWidth="1"/>
    <col min="8" max="8" width="12.5703125" style="30" bestFit="1" customWidth="1"/>
    <col min="9" max="9" width="8.7109375" style="30" customWidth="1"/>
    <col min="10" max="10" width="41.7109375" style="30" customWidth="1"/>
    <col min="11" max="11" width="16.7109375" style="30" customWidth="1"/>
    <col min="12" max="12" width="12.7109375" style="30" customWidth="1"/>
    <col min="13" max="13" width="19.42578125" style="30" customWidth="1"/>
    <col min="14" max="14" width="16.42578125" style="30" customWidth="1"/>
    <col min="15" max="15" width="21.7109375" style="30" customWidth="1"/>
    <col min="16" max="16" width="33.28515625" style="30" customWidth="1"/>
    <col min="17" max="17" width="19.28515625" style="30" customWidth="1"/>
    <col min="18" max="18" width="15.28515625" style="30" customWidth="1"/>
    <col min="19" max="19" width="13.42578125" style="30" customWidth="1"/>
    <col min="20" max="20" width="18.42578125" style="30" customWidth="1"/>
    <col min="21" max="21" width="13.7109375" style="30" customWidth="1"/>
    <col min="22" max="22" width="11.7109375" style="30" customWidth="1"/>
    <col min="23" max="23" width="12.7109375" style="30" customWidth="1"/>
    <col min="24" max="24" width="42.42578125" style="30" customWidth="1"/>
    <col min="25" max="25" width="43.28515625" style="30" customWidth="1"/>
    <col min="26" max="26" width="12.7109375" style="30" customWidth="1"/>
    <col min="27" max="31" width="8.7109375" style="30" customWidth="1"/>
    <col min="32" max="32" width="8.7109375" style="30" hidden="1" customWidth="1"/>
    <col min="33" max="33" width="15.7109375" style="30" hidden="1" customWidth="1"/>
    <col min="34" max="16384" width="8.7109375" style="30" hidden="1"/>
  </cols>
  <sheetData>
    <row r="1" spans="2:33" ht="15.75" customHeight="1" thickBot="1"/>
    <row r="2" spans="2:33" ht="21.6" customHeight="1" thickBot="1">
      <c r="B2" s="1554" t="str">
        <f>CONCATENATE("Project Name:", " ", Start!F12, "     ", "Map Reference:", " ", Start!K55)</f>
        <v xml:space="preserve">Project Name: Grove Farm Solar     Map Reference: </v>
      </c>
      <c r="C2" s="1555"/>
      <c r="D2" s="1556"/>
      <c r="F2" s="1404" t="s">
        <v>380</v>
      </c>
      <c r="G2" s="1405"/>
      <c r="H2" s="1405"/>
      <c r="I2" s="1405"/>
      <c r="J2" s="1406"/>
    </row>
    <row r="3" spans="2:33" ht="15" customHeight="1">
      <c r="B3" s="1512" t="str">
        <f ca="1">MID(CELL("filename",A1),FIND("]",CELL("filename",A1))+1,256)</f>
        <v>B-2 On-Site Hedge Creation</v>
      </c>
      <c r="C3" s="1513"/>
      <c r="D3" s="1514"/>
      <c r="F3" s="1505" t="s">
        <v>263</v>
      </c>
      <c r="G3" s="1506"/>
      <c r="H3" s="1506"/>
      <c r="I3" s="1501">
        <f>'Headline Results'!H48</f>
        <v>16.669627715952004</v>
      </c>
      <c r="J3" s="1502"/>
      <c r="M3" s="1463" t="str">
        <f>IF(OR(COUNTIF($M$12:M259,"*30+*")&gt;0,COUNTIF($Q$12:Q259,"*30+*")&gt;0),"Note; Habitat selected has a time to target condition greater than 30 years. Non standard agreement may be required. ⚠","")</f>
        <v/>
      </c>
      <c r="N3" s="1463"/>
      <c r="O3" s="1463"/>
      <c r="P3" s="1463"/>
      <c r="Q3" s="1463"/>
      <c r="R3" s="1463"/>
    </row>
    <row r="4" spans="2:33" ht="15.75" customHeight="1" thickBot="1">
      <c r="B4" s="1515"/>
      <c r="C4" s="1516"/>
      <c r="D4" s="1517"/>
      <c r="F4" s="1583" t="s">
        <v>265</v>
      </c>
      <c r="G4" s="1584"/>
      <c r="H4" s="1584"/>
      <c r="I4" s="1577">
        <f>'Headline Results'!H52</f>
        <v>1.0264549086177341</v>
      </c>
      <c r="J4" s="1578"/>
      <c r="M4" s="1463"/>
      <c r="N4" s="1463"/>
      <c r="O4" s="1463"/>
      <c r="P4" s="1463"/>
      <c r="Q4" s="1463"/>
      <c r="R4" s="1463"/>
    </row>
    <row r="5" spans="2:33" ht="15.75" customHeight="1" thickBot="1">
      <c r="F5" s="1582" t="s">
        <v>267</v>
      </c>
      <c r="G5" s="1579"/>
      <c r="H5" s="1579"/>
      <c r="I5" s="1579" t="str" cm="1">
        <f t="array" ref="I5">IF(OR('Trading Summary Hedgerows'!G5:H8="No ▲"), "No - check trading summary ▲", "Yes ✓")</f>
        <v>Yes ✓</v>
      </c>
      <c r="J5" s="1580"/>
      <c r="M5" s="1463"/>
      <c r="N5" s="1463"/>
      <c r="O5" s="1463"/>
      <c r="P5" s="1463"/>
      <c r="Q5" s="1463"/>
      <c r="R5" s="1463"/>
    </row>
    <row r="6" spans="2:33" ht="15.75" customHeight="1">
      <c r="M6" s="312"/>
      <c r="N6" s="312"/>
      <c r="O6" s="312"/>
      <c r="P6" s="312"/>
      <c r="Q6" s="312"/>
    </row>
    <row r="7" spans="2:33" ht="15.75" customHeight="1">
      <c r="B7" s="102"/>
      <c r="C7" s="102"/>
      <c r="M7" s="312"/>
      <c r="N7" s="312"/>
      <c r="O7" s="312"/>
      <c r="P7" s="312"/>
      <c r="Q7" s="312"/>
    </row>
    <row r="8" spans="2:33" ht="15"/>
    <row r="9" spans="2:33" ht="19.899999999999999" customHeight="1" thickBot="1"/>
    <row r="10" spans="2:33" ht="44.1" customHeight="1" thickBot="1">
      <c r="B10" s="102"/>
      <c r="C10" s="102"/>
      <c r="D10" s="1573" t="s">
        <v>389</v>
      </c>
      <c r="E10" s="1575"/>
      <c r="F10" s="1573" t="s">
        <v>269</v>
      </c>
      <c r="G10" s="1575"/>
      <c r="H10" s="1573" t="s">
        <v>357</v>
      </c>
      <c r="I10" s="1575"/>
      <c r="J10" s="1573" t="s">
        <v>271</v>
      </c>
      <c r="K10" s="1574"/>
      <c r="L10" s="1575"/>
      <c r="M10" s="1573" t="s">
        <v>314</v>
      </c>
      <c r="N10" s="1574"/>
      <c r="O10" s="1574"/>
      <c r="P10" s="1574"/>
      <c r="Q10" s="1574"/>
      <c r="R10" s="1575"/>
      <c r="S10" s="1573" t="s">
        <v>337</v>
      </c>
      <c r="T10" s="1574"/>
      <c r="U10" s="1574"/>
      <c r="V10" s="1575"/>
      <c r="W10" s="1537" t="s">
        <v>390</v>
      </c>
      <c r="X10" s="1564" t="s">
        <v>276</v>
      </c>
      <c r="Y10" s="1561"/>
    </row>
    <row r="11" spans="2:33" ht="43.5" thickBot="1">
      <c r="B11" s="140" t="s">
        <v>339</v>
      </c>
      <c r="C11" s="144" t="s">
        <v>391</v>
      </c>
      <c r="D11" s="132" t="s">
        <v>33</v>
      </c>
      <c r="E11" s="861" t="s">
        <v>34</v>
      </c>
      <c r="F11" s="862" t="s">
        <v>269</v>
      </c>
      <c r="G11" s="752" t="s">
        <v>286</v>
      </c>
      <c r="H11" s="132" t="s">
        <v>270</v>
      </c>
      <c r="I11" s="752" t="s">
        <v>286</v>
      </c>
      <c r="J11" s="132" t="s">
        <v>271</v>
      </c>
      <c r="K11" s="811" t="s">
        <v>271</v>
      </c>
      <c r="L11" s="752" t="s">
        <v>317</v>
      </c>
      <c r="M11" s="132" t="s">
        <v>392</v>
      </c>
      <c r="N11" s="811" t="s">
        <v>319</v>
      </c>
      <c r="O11" s="811" t="s">
        <v>320</v>
      </c>
      <c r="P11" s="811" t="s">
        <v>321</v>
      </c>
      <c r="Q11" s="811" t="s">
        <v>322</v>
      </c>
      <c r="R11" s="752" t="s">
        <v>323</v>
      </c>
      <c r="S11" s="132" t="s">
        <v>324</v>
      </c>
      <c r="T11" s="811" t="s">
        <v>1679</v>
      </c>
      <c r="U11" s="811" t="s">
        <v>326</v>
      </c>
      <c r="V11" s="752" t="s">
        <v>327</v>
      </c>
      <c r="W11" s="1570"/>
      <c r="X11" s="126" t="s">
        <v>295</v>
      </c>
      <c r="Y11" s="861" t="s">
        <v>296</v>
      </c>
      <c r="Z11" s="48" t="s">
        <v>297</v>
      </c>
      <c r="AG11" s="101" t="s">
        <v>280</v>
      </c>
    </row>
    <row r="12" spans="2:33" ht="60">
      <c r="B12" s="291">
        <v>1</v>
      </c>
      <c r="C12" s="166"/>
      <c r="D12" s="63" t="s">
        <v>171</v>
      </c>
      <c r="E12" s="53">
        <v>2.4900000000000002</v>
      </c>
      <c r="F12" s="411" t="str">
        <f>IF(D12="","",VLOOKUP(D12,'G-6 Hedgerow Data'!$B$2:$AG$15,2,FALSE))</f>
        <v>Medium</v>
      </c>
      <c r="G12" s="363">
        <f>IF(D12="","",VLOOKUP(D12,'G-6 Hedgerow Data'!$B$2:$AG$15,3,FALSE))</f>
        <v>4</v>
      </c>
      <c r="H12" s="114" t="s">
        <v>67</v>
      </c>
      <c r="I12" s="363">
        <f>IFERROR(VLOOKUP(H12,'G-1 All Habitats'!$Z$2:$AA$9,2,FALSE),"")</f>
        <v>2</v>
      </c>
      <c r="J12" s="114" t="s">
        <v>1034</v>
      </c>
      <c r="K12" s="370" t="str">
        <f>IF(J12="","",IF(VLOOKUP(J12,'G-3 Multipliers'!$L$3:$N$6,2,FALSE)=0,"Spatial Data Missing ⚠",VLOOKUP(J12,'G-3 Multipliers'!$L$3:$N$6,2,FALSE)))</f>
        <v>Low Strategic Significance</v>
      </c>
      <c r="L12" s="368">
        <f>IF(J12="","",IF(VLOOKUP(J12,'G-3 Multipliers'!$L$3:$N$6,3,FALSE)=0,"Spatial Data Missing ⚠",VLOOKUP(J12,'G-3 Multipliers'!$L$3:$N$6,3,FALSE)))</f>
        <v>1</v>
      </c>
      <c r="M12" s="362">
        <f>IF(OR(D12="",H12=""),"",(INDEX('G-6 Hedgerow Data'!$E$3:$I$15,MATCH(D12,'G-6 Hedgerow Data'!$B$3:$B$15,0),MATCH(H12,'G-6 Hedgerow Data'!$E$2:$I$2,0))))</f>
        <v>5</v>
      </c>
      <c r="N12" s="159">
        <v>0</v>
      </c>
      <c r="O12" s="159">
        <v>0</v>
      </c>
      <c r="P12" s="370" t="str">
        <f>IF(M12="","",IF(AND(N12&gt;0,O12&gt;0),"Error -both advance and delayed habitat creation ▲",IF(AND(OR(N12="Habitat already in target condition",M12&lt;=N12),O12=0),"Check details - Is there evidence that habitat has reached target condition? ⚠",IF(M12="","",IF(N12&gt;0,"Check details - Is there evidence habitat creation started/in place? ⚠",IF(O12&gt;0,"Check details- Delay in starting habitat in required condition? ⚠","Standard time to target condition applied"))))))</f>
        <v>Standard time to target condition applied</v>
      </c>
      <c r="Q12" s="383">
        <f>IF(M12="","",IF(P12="Error -both advance and delayed habitat creation ▲","Check Data ⚠",IF(OR(N12="30+",N12="Habitat already in target condition"),0,IF(O12="30+","30+",IF(AND(M12="30+",OR(N12="",N12=0)),"30+",IF(AND(M12="30+",N12&gt;0),30-N12,IF(M12+O12&gt;30,"30+",IF(M12+O12-N12&gt;0,M12+O12-N12,IF(M12-N12&lt;0,0,M12+O12-N12)))))))))</f>
        <v>5</v>
      </c>
      <c r="R12" s="384">
        <f t="shared" ref="R12:R75" si="0">IF(M12="","",IF(Q12="Check Data ⚠","Check Data ⚠",VLOOKUP(Q12,TemporalMultipliers,3,FALSE)))</f>
        <v>0.83682870060000003</v>
      </c>
      <c r="S12" s="362" t="str">
        <f>IF(D12="","",VLOOKUP(D12,'G-6 Hedgerow Data'!$B$3:$AG$15,31,FALSE))</f>
        <v>Low</v>
      </c>
      <c r="T12" s="370" t="str">
        <f>IF(D12="","",IF(Q12="Check Data ⚠","Check Data ⚠",IF(H12="","",IF($P12="Check details - Is there evidence that habitat has reached target condition? ⚠","Low Difficulty - only applicable if all habitat created before losses ⚠","Standard difficulty applied"))))</f>
        <v>Standard difficulty applied</v>
      </c>
      <c r="U12" s="370" t="str">
        <f>(IF(AND(T12="Standard difficulty applied",M12&gt;N12),S12,IF(AND(T12="Low Difficulty - only applicable if all habitat created before losses ⚠",Q12&lt;=0),"Low",S12)))</f>
        <v>Low</v>
      </c>
      <c r="V12" s="363">
        <f>IF(D12="","",VLOOKUP(S12,'G-3 Multipliers'!$P$3:$Q$6,2,FALSE))</f>
        <v>1</v>
      </c>
      <c r="W12" s="390">
        <f>IFERROR(E12*G12*I12*L12*R12*V12,"")</f>
        <v>16.669627715952004</v>
      </c>
      <c r="X12" s="117" t="s">
        <v>1721</v>
      </c>
      <c r="Y12" s="118"/>
      <c r="Z12" s="118"/>
      <c r="AG12" s="30" t="str">
        <f>IFERROR(INDEX('G-6 Hedgerow Data'!$BJ$3:$BJ$15,MATCH(D12,'G-6 Hedgerow Data'!$B$3:$B$15,0)),"")</f>
        <v>Hedgecond1</v>
      </c>
    </row>
    <row r="13" spans="2:33" ht="15">
      <c r="B13" s="110">
        <v>2</v>
      </c>
      <c r="C13" s="166"/>
      <c r="D13" s="63"/>
      <c r="E13" s="53"/>
      <c r="F13" s="411" t="str">
        <f>IF(D13="","",VLOOKUP(D13,'G-6 Hedgerow Data'!$B$2:$AG$15,2,FALSE))</f>
        <v/>
      </c>
      <c r="G13" s="363" t="str">
        <f>IF(D13="","",VLOOKUP(D13,'G-6 Hedgerow Data'!$B$2:$AG$15,3,FALSE))</f>
        <v/>
      </c>
      <c r="H13" s="114"/>
      <c r="I13" s="363" t="str">
        <f>IFERROR(VLOOKUP(H13,'G-1 All Habitats'!$Z$2:$AA$9,2,FALSE),"")</f>
        <v/>
      </c>
      <c r="J13" s="114"/>
      <c r="K13" s="382" t="str">
        <f>IF(J13="","",IF(VLOOKUP(J13,'G-3 Multipliers'!$L$3:$N$6,2,FALSE)=0,"Spatial Data Missing ⚠",VLOOKUP(J13,'G-3 Multipliers'!$L$3:$N$6,2,FALSE)))</f>
        <v/>
      </c>
      <c r="L13" s="368" t="str">
        <f>IF(J13="","",IF(VLOOKUP(J13,'G-3 Multipliers'!$L$3:$N$6,3,FALSE)=0,"Spatial Data Missing ⚠",VLOOKUP(J13,'G-3 Multipliers'!$L$3:$N$6,3,FALSE)))</f>
        <v/>
      </c>
      <c r="M13" s="362" t="str">
        <f>IF(OR(D13="",H13=""),"",(INDEX('G-6 Hedgerow Data'!$E$3:$I$15,MATCH(D13,'G-6 Hedgerow Data'!$B$3:$B$15,0),MATCH(H13,'G-6 Hedgerow Data'!$E$2:$I$2,0))))</f>
        <v/>
      </c>
      <c r="N13" s="159"/>
      <c r="O13" s="159"/>
      <c r="P13" s="370" t="str">
        <f t="shared" ref="P13:P76" si="1">IF(M13="","",IF(AND(N13&gt;0,O13&gt;0),"Error -both advance and delayed habitat creation ▲",IF(AND(OR(N13="Habitat already in target condition",M13&lt;=N13),O13=0),"Check details - Is there evidence that habitat has reached target condition? ⚠",IF(M13="","",IF(N13&gt;0,"Check details - Is there evidence habitat creation started/in place? ⚠",IF(O13&gt;0,"Check details- Delay in starting habitat in required condition? ⚠","Standard time to target condition applied"))))))</f>
        <v/>
      </c>
      <c r="Q13" s="383" t="str">
        <f t="shared" ref="Q13:Q76" si="2">IF(M13="","",IF(P13="Error -both advance and delayed habitat creation ▲","Check Data ⚠",IF(OR(N13="30+",N13="Habitat already in target condition"),0,IF(O13="30+","30+",IF(AND(M13="30+",OR(N13="",N13=0)),"30+",IF(AND(M13="30+",N13&gt;0),30-N13,IF(M13+O13&gt;30,"30+",IF(M13+O13-N13&gt;0,M13+O13-N13,IF(M13-N13&lt;0,0,M13+O13-N13)))))))))</f>
        <v/>
      </c>
      <c r="R13" s="384" t="str">
        <f t="shared" si="0"/>
        <v/>
      </c>
      <c r="S13" s="398" t="str">
        <f>IF(D13="","",VLOOKUP(D13,'G-6 Hedgerow Data'!$B$3:$AG$15,31,FALSE))</f>
        <v/>
      </c>
      <c r="T13" s="370" t="str">
        <f t="shared" ref="T13:T76" si="3">IF(D13="","",IF(Q13="Check Data ⚠","Check Data ⚠",IF(H13="","",IF($P13="Check details - Is there evidence that habitat has reached target condition? ⚠","Low Difficulty - only applicable if all habitat created before losses ⚠","Standard difficulty applied"))))</f>
        <v/>
      </c>
      <c r="U13" s="370" t="str">
        <f t="shared" ref="U13:U76" si="4">(IF(AND(T13="Standard difficulty applied",M13&gt;N13),S13,IF(AND(T13="Low Difficulty - only applicable if all habitat created before losses ⚠",Q13&lt;=0),"Low",S13)))</f>
        <v/>
      </c>
      <c r="V13" s="386" t="str">
        <f>IF(D13="","",VLOOKUP(S13,'G-3 Multipliers'!$P$3:$Q$6,2,FALSE))</f>
        <v/>
      </c>
      <c r="W13" s="390" t="str">
        <f t="shared" ref="W13:W76" si="5">IFERROR(E13*G13*I13*L13*R13*V13,"")</f>
        <v/>
      </c>
      <c r="X13" s="117"/>
      <c r="Y13" s="118"/>
      <c r="Z13" s="120"/>
      <c r="AG13" s="30" t="str">
        <f>IFERROR(INDEX('G-6 Hedgerow Data'!$BJ$3:$BJ$15,MATCH(D13,'G-6 Hedgerow Data'!$B$3:$B$15,0)),"")</f>
        <v/>
      </c>
    </row>
    <row r="14" spans="2:33" ht="15">
      <c r="B14" s="110">
        <v>3</v>
      </c>
      <c r="C14" s="166"/>
      <c r="D14" s="63"/>
      <c r="E14" s="53"/>
      <c r="F14" s="411" t="str">
        <f>IF(D14="","",VLOOKUP(D14,'G-6 Hedgerow Data'!$B$2:$AG$15,2,FALSE))</f>
        <v/>
      </c>
      <c r="G14" s="363" t="str">
        <f>IF(D14="","",VLOOKUP(D14,'G-6 Hedgerow Data'!$B$2:$AG$15,3,FALSE))</f>
        <v/>
      </c>
      <c r="H14" s="114"/>
      <c r="I14" s="363" t="str">
        <f>IFERROR(VLOOKUP(H14,'G-1 All Habitats'!$Z$2:$AA$9,2,FALSE),"")</f>
        <v/>
      </c>
      <c r="J14" s="114"/>
      <c r="K14" s="382" t="str">
        <f>IF(J14="","",IF(VLOOKUP(J14,'G-3 Multipliers'!$L$3:$N$6,2,FALSE)=0,"Spatial Data Missing ⚠",VLOOKUP(J14,'G-3 Multipliers'!$L$3:$N$6,2,FALSE)))</f>
        <v/>
      </c>
      <c r="L14" s="368" t="str">
        <f>IF(J14="","",IF(VLOOKUP(J14,'G-3 Multipliers'!$L$3:$N$6,3,FALSE)=0,"Spatial Data Missing ⚠",VLOOKUP(J14,'G-3 Multipliers'!$L$3:$N$6,3,FALSE)))</f>
        <v/>
      </c>
      <c r="M14" s="362" t="str">
        <f>IF(OR(D14="",H14=""),"",(INDEX('G-6 Hedgerow Data'!$E$3:$I$15,MATCH(D14,'G-6 Hedgerow Data'!$B$3:$B$15,0),MATCH(H14,'G-6 Hedgerow Data'!$E$2:$I$2,0))))</f>
        <v/>
      </c>
      <c r="N14" s="159"/>
      <c r="O14" s="159"/>
      <c r="P14" s="370" t="str">
        <f t="shared" si="1"/>
        <v/>
      </c>
      <c r="Q14" s="383" t="str">
        <f t="shared" si="2"/>
        <v/>
      </c>
      <c r="R14" s="384" t="str">
        <f t="shared" si="0"/>
        <v/>
      </c>
      <c r="S14" s="398" t="str">
        <f>IF(D14="","",VLOOKUP(D14,'G-6 Hedgerow Data'!$B$3:$AG$15,31,FALSE))</f>
        <v/>
      </c>
      <c r="T14" s="370" t="str">
        <f t="shared" si="3"/>
        <v/>
      </c>
      <c r="U14" s="370" t="str">
        <f t="shared" si="4"/>
        <v/>
      </c>
      <c r="V14" s="386" t="str">
        <f>IF(D14="","",VLOOKUP(S14,'G-3 Multipliers'!$P$3:$Q$6,2,FALSE))</f>
        <v/>
      </c>
      <c r="W14" s="390" t="str">
        <f t="shared" si="5"/>
        <v/>
      </c>
      <c r="X14" s="117"/>
      <c r="Y14" s="118"/>
      <c r="Z14" s="120"/>
      <c r="AG14" s="30" t="str">
        <f>IFERROR(INDEX('G-6 Hedgerow Data'!$BJ$3:$BJ$15,MATCH(D14,'G-6 Hedgerow Data'!$B$3:$B$15,0)),"")</f>
        <v/>
      </c>
    </row>
    <row r="15" spans="2:33" ht="15">
      <c r="B15" s="110">
        <v>4</v>
      </c>
      <c r="C15" s="166"/>
      <c r="D15" s="63"/>
      <c r="E15" s="53"/>
      <c r="F15" s="411" t="str">
        <f>IF(D15="","",VLOOKUP(D15,'G-6 Hedgerow Data'!$B$2:$AG$15,2,FALSE))</f>
        <v/>
      </c>
      <c r="G15" s="363" t="str">
        <f>IF(D15="","",VLOOKUP(D15,'G-6 Hedgerow Data'!$B$2:$AG$15,3,FALSE))</f>
        <v/>
      </c>
      <c r="H15" s="114"/>
      <c r="I15" s="363" t="str">
        <f>IFERROR(VLOOKUP(H15,'G-1 All Habitats'!$Z$2:$AA$9,2,FALSE),"")</f>
        <v/>
      </c>
      <c r="J15" s="114"/>
      <c r="K15" s="382" t="str">
        <f>IF(J15="","",IF(VLOOKUP(J15,'G-3 Multipliers'!$L$3:$N$6,2,FALSE)=0,"Spatial Data Missing ⚠",VLOOKUP(J15,'G-3 Multipliers'!$L$3:$N$6,2,FALSE)))</f>
        <v/>
      </c>
      <c r="L15" s="368" t="str">
        <f>IF(J15="","",IF(VLOOKUP(J15,'G-3 Multipliers'!$L$3:$N$6,3,FALSE)=0,"Spatial Data Missing ⚠",VLOOKUP(J15,'G-3 Multipliers'!$L$3:$N$6,3,FALSE)))</f>
        <v/>
      </c>
      <c r="M15" s="362" t="str">
        <f>IF(OR(D15="",H15=""),"",(INDEX('G-6 Hedgerow Data'!$E$3:$I$15,MATCH(D15,'G-6 Hedgerow Data'!$B$3:$B$15,0),MATCH(H15,'G-6 Hedgerow Data'!$E$2:$I$2,0))))</f>
        <v/>
      </c>
      <c r="N15" s="159"/>
      <c r="O15" s="159"/>
      <c r="P15" s="370" t="str">
        <f t="shared" si="1"/>
        <v/>
      </c>
      <c r="Q15" s="383" t="str">
        <f t="shared" si="2"/>
        <v/>
      </c>
      <c r="R15" s="384" t="str">
        <f t="shared" si="0"/>
        <v/>
      </c>
      <c r="S15" s="398" t="str">
        <f>IF(D15="","",VLOOKUP(D15,'G-6 Hedgerow Data'!$B$3:$AG$15,31,FALSE))</f>
        <v/>
      </c>
      <c r="T15" s="370" t="str">
        <f t="shared" si="3"/>
        <v/>
      </c>
      <c r="U15" s="370" t="str">
        <f t="shared" si="4"/>
        <v/>
      </c>
      <c r="V15" s="386" t="str">
        <f>IF(D15="","",VLOOKUP(S15,'G-3 Multipliers'!$P$3:$Q$6,2,FALSE))</f>
        <v/>
      </c>
      <c r="W15" s="390" t="str">
        <f t="shared" si="5"/>
        <v/>
      </c>
      <c r="X15" s="117"/>
      <c r="Y15" s="118"/>
      <c r="Z15" s="120"/>
      <c r="AG15" s="30" t="str">
        <f>IFERROR(INDEX('G-6 Hedgerow Data'!$BJ$3:$BJ$15,MATCH(D15,'G-6 Hedgerow Data'!$B$3:$B$15,0)),"")</f>
        <v/>
      </c>
    </row>
    <row r="16" spans="2:33" ht="15">
      <c r="B16" s="110">
        <v>5</v>
      </c>
      <c r="C16" s="167"/>
      <c r="D16" s="159"/>
      <c r="E16" s="139"/>
      <c r="F16" s="411" t="str">
        <f>IF(D16="","",VLOOKUP(D16,'G-6 Hedgerow Data'!$B$2:$AG$15,2,FALSE))</f>
        <v/>
      </c>
      <c r="G16" s="363" t="str">
        <f>IF(D16="","",VLOOKUP(D16,'G-6 Hedgerow Data'!$B$2:$AG$15,3,FALSE))</f>
        <v/>
      </c>
      <c r="H16" s="122"/>
      <c r="I16" s="363" t="str">
        <f>IFERROR(VLOOKUP(H16,'G-1 All Habitats'!$Z$2:$AA$9,2,FALSE),"")</f>
        <v/>
      </c>
      <c r="J16" s="114"/>
      <c r="K16" s="382" t="str">
        <f>IF(J16="","",IF(VLOOKUP(J16,'G-3 Multipliers'!$L$3:$N$6,2,FALSE)=0,"Spatial Data Missing ⚠",VLOOKUP(J16,'G-3 Multipliers'!$L$3:$N$6,2,FALSE)))</f>
        <v/>
      </c>
      <c r="L16" s="368" t="str">
        <f>IF(J16="","",IF(VLOOKUP(J16,'G-3 Multipliers'!$L$3:$N$6,3,FALSE)=0,"Spatial Data Missing ⚠",VLOOKUP(J16,'G-3 Multipliers'!$L$3:$N$6,3,FALSE)))</f>
        <v/>
      </c>
      <c r="M16" s="362" t="str">
        <f>IF(OR(D16="",H16=""),"",(INDEX('G-6 Hedgerow Data'!$E$3:$I$15,MATCH(D16,'G-6 Hedgerow Data'!$B$3:$B$15,0),MATCH(H16,'G-6 Hedgerow Data'!$E$2:$I$2,0))))</f>
        <v/>
      </c>
      <c r="N16" s="159"/>
      <c r="O16" s="159"/>
      <c r="P16" s="370" t="str">
        <f t="shared" si="1"/>
        <v/>
      </c>
      <c r="Q16" s="383" t="str">
        <f t="shared" si="2"/>
        <v/>
      </c>
      <c r="R16" s="384" t="str">
        <f t="shared" si="0"/>
        <v/>
      </c>
      <c r="S16" s="398" t="str">
        <f>IF(D16="","",VLOOKUP(D16,'G-6 Hedgerow Data'!$B$3:$AG$15,31,FALSE))</f>
        <v/>
      </c>
      <c r="T16" s="370" t="str">
        <f t="shared" si="3"/>
        <v/>
      </c>
      <c r="U16" s="370" t="str">
        <f t="shared" si="4"/>
        <v/>
      </c>
      <c r="V16" s="386" t="str">
        <f>IF(D16="","",VLOOKUP(S16,'G-3 Multipliers'!$P$3:$Q$6,2,FALSE))</f>
        <v/>
      </c>
      <c r="W16" s="390" t="str">
        <f t="shared" si="5"/>
        <v/>
      </c>
      <c r="X16" s="117"/>
      <c r="Y16" s="118"/>
      <c r="Z16" s="120"/>
      <c r="AG16" s="30" t="str">
        <f>IFERROR(INDEX('G-6 Hedgerow Data'!$BJ$3:$BJ$15,MATCH(D16,'G-6 Hedgerow Data'!$B$3:$B$15,0)),"")</f>
        <v/>
      </c>
    </row>
    <row r="17" spans="2:33" ht="15">
      <c r="B17" s="110">
        <v>6</v>
      </c>
      <c r="C17" s="167"/>
      <c r="D17" s="159"/>
      <c r="E17" s="139"/>
      <c r="F17" s="398" t="str">
        <f>IF(D17="","",VLOOKUP(D17,'G-6 Hedgerow Data'!$B$2:$AG$15,2,FALSE))</f>
        <v/>
      </c>
      <c r="G17" s="368" t="str">
        <f>IF(D17="","",VLOOKUP(D17,'G-6 Hedgerow Data'!$B$2:$AG$15,3,FALSE))</f>
        <v/>
      </c>
      <c r="H17" s="54"/>
      <c r="I17" s="363" t="str">
        <f>IFERROR(VLOOKUP(H17,'G-1 All Habitats'!$Z$2:$AA$9,2,FALSE),"")</f>
        <v/>
      </c>
      <c r="J17" s="114"/>
      <c r="K17" s="382" t="str">
        <f>IF(J17="","",IF(VLOOKUP(J17,'G-3 Multipliers'!$L$3:$N$6,2,FALSE)=0,"Spatial Data Missing ⚠",VLOOKUP(J17,'G-3 Multipliers'!$L$3:$N$6,2,FALSE)))</f>
        <v/>
      </c>
      <c r="L17" s="368" t="str">
        <f>IF(J17="","",IF(VLOOKUP(J17,'G-3 Multipliers'!$L$3:$N$6,3,FALSE)=0,"Spatial Data Missing ⚠",VLOOKUP(J17,'G-3 Multipliers'!$L$3:$N$6,3,FALSE)))</f>
        <v/>
      </c>
      <c r="M17" s="362" t="str">
        <f>IF(OR(D17="",H17=""),"",(INDEX('G-6 Hedgerow Data'!$E$3:$I$15,MATCH(D17,'G-6 Hedgerow Data'!$B$3:$B$15,0),MATCH(H17,'G-6 Hedgerow Data'!$E$2:$I$2,0))))</f>
        <v/>
      </c>
      <c r="N17" s="159"/>
      <c r="O17" s="159"/>
      <c r="P17" s="370" t="str">
        <f t="shared" si="1"/>
        <v/>
      </c>
      <c r="Q17" s="383" t="str">
        <f t="shared" si="2"/>
        <v/>
      </c>
      <c r="R17" s="384" t="str">
        <f t="shared" si="0"/>
        <v/>
      </c>
      <c r="S17" s="398" t="str">
        <f>IF(D17="","",VLOOKUP(D17,'G-6 Hedgerow Data'!$B$3:$AG$15,31,FALSE))</f>
        <v/>
      </c>
      <c r="T17" s="370" t="str">
        <f t="shared" si="3"/>
        <v/>
      </c>
      <c r="U17" s="370" t="str">
        <f t="shared" si="4"/>
        <v/>
      </c>
      <c r="V17" s="386" t="str">
        <f>IF(D17="","",VLOOKUP(S17,'G-3 Multipliers'!$P$3:$Q$6,2,FALSE))</f>
        <v/>
      </c>
      <c r="W17" s="390" t="str">
        <f t="shared" si="5"/>
        <v/>
      </c>
      <c r="X17" s="117"/>
      <c r="Y17" s="118"/>
      <c r="Z17" s="120"/>
      <c r="AG17" s="30" t="str">
        <f>IFERROR(INDEX('G-6 Hedgerow Data'!$BJ$3:$BJ$15,MATCH(D17,'G-6 Hedgerow Data'!$B$3:$B$15,0)),"")</f>
        <v/>
      </c>
    </row>
    <row r="18" spans="2:33" ht="15">
      <c r="B18" s="110">
        <v>7</v>
      </c>
      <c r="C18" s="167"/>
      <c r="D18" s="159"/>
      <c r="E18" s="139"/>
      <c r="F18" s="362" t="str">
        <f>IF(D18="","",VLOOKUP(D18,'G-6 Hedgerow Data'!$B$2:$AG$15,2,FALSE))</f>
        <v/>
      </c>
      <c r="G18" s="368" t="str">
        <f>IF(D18="","",VLOOKUP(D18,'G-6 Hedgerow Data'!$B$2:$AG$15,3,FALSE))</f>
        <v/>
      </c>
      <c r="H18" s="54"/>
      <c r="I18" s="363" t="str">
        <f>IFERROR(VLOOKUP(H18,'G-1 All Habitats'!$Z$2:$AA$9,2,FALSE),"")</f>
        <v/>
      </c>
      <c r="J18" s="114"/>
      <c r="K18" s="382" t="str">
        <f>IF(J18="","",IF(VLOOKUP(J18,'G-3 Multipliers'!$L$3:$N$6,2,FALSE)=0,"Spatial Data Missing ⚠",VLOOKUP(J18,'G-3 Multipliers'!$L$3:$N$6,2,FALSE)))</f>
        <v/>
      </c>
      <c r="L18" s="368" t="str">
        <f>IF(J18="","",IF(VLOOKUP(J18,'G-3 Multipliers'!$L$3:$N$6,3,FALSE)=0,"Spatial Data Missing ⚠",VLOOKUP(J18,'G-3 Multipliers'!$L$3:$N$6,3,FALSE)))</f>
        <v/>
      </c>
      <c r="M18" s="362" t="str">
        <f>IF(OR(D18="",H18=""),"",(INDEX('G-6 Hedgerow Data'!$E$3:$I$15,MATCH(D18,'G-6 Hedgerow Data'!$B$3:$B$15,0),MATCH(H18,'G-6 Hedgerow Data'!$E$2:$I$2,0))))</f>
        <v/>
      </c>
      <c r="N18" s="159"/>
      <c r="O18" s="159"/>
      <c r="P18" s="370" t="str">
        <f t="shared" si="1"/>
        <v/>
      </c>
      <c r="Q18" s="383" t="str">
        <f t="shared" si="2"/>
        <v/>
      </c>
      <c r="R18" s="384" t="str">
        <f t="shared" si="0"/>
        <v/>
      </c>
      <c r="S18" s="398" t="str">
        <f>IF(D18="","",VLOOKUP(D18,'G-6 Hedgerow Data'!$B$3:$AG$15,31,FALSE))</f>
        <v/>
      </c>
      <c r="T18" s="370" t="str">
        <f t="shared" si="3"/>
        <v/>
      </c>
      <c r="U18" s="370" t="str">
        <f t="shared" si="4"/>
        <v/>
      </c>
      <c r="V18" s="386" t="str">
        <f>IF(D18="","",VLOOKUP(S18,'G-3 Multipliers'!$P$3:$Q$6,2,FALSE))</f>
        <v/>
      </c>
      <c r="W18" s="390" t="str">
        <f t="shared" si="5"/>
        <v/>
      </c>
      <c r="X18" s="117"/>
      <c r="Y18" s="118"/>
      <c r="Z18" s="120"/>
      <c r="AG18" s="30" t="str">
        <f>IFERROR(INDEX('G-6 Hedgerow Data'!$BJ$3:$BJ$15,MATCH(D18,'G-6 Hedgerow Data'!$B$3:$B$15,0)),"")</f>
        <v/>
      </c>
    </row>
    <row r="19" spans="2:33" ht="15">
      <c r="B19" s="110">
        <v>8</v>
      </c>
      <c r="C19" s="167"/>
      <c r="D19" s="159"/>
      <c r="E19" s="139"/>
      <c r="F19" s="362" t="str">
        <f>IF(D19="","",VLOOKUP(D19,'G-6 Hedgerow Data'!$B$2:$AG$15,2,FALSE))</f>
        <v/>
      </c>
      <c r="G19" s="368" t="str">
        <f>IF(D19="","",VLOOKUP(D19,'G-6 Hedgerow Data'!$B$2:$AG$15,3,FALSE))</f>
        <v/>
      </c>
      <c r="H19" s="54"/>
      <c r="I19" s="363" t="str">
        <f>IFERROR(VLOOKUP(H19,'G-1 All Habitats'!$Z$2:$AA$9,2,FALSE),"")</f>
        <v/>
      </c>
      <c r="J19" s="114"/>
      <c r="K19" s="382" t="str">
        <f>IF(J19="","",IF(VLOOKUP(J19,'G-3 Multipliers'!$L$3:$N$6,2,FALSE)=0,"Spatial Data Missing ⚠",VLOOKUP(J19,'G-3 Multipliers'!$L$3:$N$6,2,FALSE)))</f>
        <v/>
      </c>
      <c r="L19" s="368" t="str">
        <f>IF(J19="","",IF(VLOOKUP(J19,'G-3 Multipliers'!$L$3:$N$6,3,FALSE)=0,"Spatial Data Missing ⚠",VLOOKUP(J19,'G-3 Multipliers'!$L$3:$N$6,3,FALSE)))</f>
        <v/>
      </c>
      <c r="M19" s="362" t="str">
        <f>IF(OR(D19="",H19=""),"",(INDEX('G-6 Hedgerow Data'!$E$3:$I$15,MATCH(D19,'G-6 Hedgerow Data'!$B$3:$B$15,0),MATCH(H19,'G-6 Hedgerow Data'!$E$2:$I$2,0))))</f>
        <v/>
      </c>
      <c r="N19" s="159"/>
      <c r="O19" s="159"/>
      <c r="P19" s="370" t="str">
        <f t="shared" si="1"/>
        <v/>
      </c>
      <c r="Q19" s="383" t="str">
        <f t="shared" si="2"/>
        <v/>
      </c>
      <c r="R19" s="384" t="str">
        <f t="shared" si="0"/>
        <v/>
      </c>
      <c r="S19" s="398" t="str">
        <f>IF(D19="","",VLOOKUP(D19,'G-6 Hedgerow Data'!$B$3:$AG$15,31,FALSE))</f>
        <v/>
      </c>
      <c r="T19" s="370" t="str">
        <f t="shared" si="3"/>
        <v/>
      </c>
      <c r="U19" s="370" t="str">
        <f t="shared" si="4"/>
        <v/>
      </c>
      <c r="V19" s="386" t="str">
        <f>IF(D19="","",VLOOKUP(S19,'G-3 Multipliers'!$P$3:$Q$6,2,FALSE))</f>
        <v/>
      </c>
      <c r="W19" s="390" t="str">
        <f t="shared" si="5"/>
        <v/>
      </c>
      <c r="X19" s="117"/>
      <c r="Y19" s="118"/>
      <c r="Z19" s="120"/>
      <c r="AG19" s="30" t="str">
        <f>IFERROR(INDEX('G-6 Hedgerow Data'!$BJ$3:$BJ$15,MATCH(D19,'G-6 Hedgerow Data'!$B$3:$B$15,0)),"")</f>
        <v/>
      </c>
    </row>
    <row r="20" spans="2:33" ht="15">
      <c r="B20" s="110">
        <v>9</v>
      </c>
      <c r="C20" s="167"/>
      <c r="D20" s="159"/>
      <c r="E20" s="139"/>
      <c r="F20" s="362" t="str">
        <f>IF(D20="","",VLOOKUP(D20,'G-6 Hedgerow Data'!$B$2:$AG$15,2,FALSE))</f>
        <v/>
      </c>
      <c r="G20" s="368" t="str">
        <f>IF(D20="","",VLOOKUP(D20,'G-6 Hedgerow Data'!$B$2:$AG$15,3,FALSE))</f>
        <v/>
      </c>
      <c r="H20" s="54"/>
      <c r="I20" s="363" t="str">
        <f>IFERROR(VLOOKUP(H20,'G-1 All Habitats'!$Z$2:$AA$9,2,FALSE),"")</f>
        <v/>
      </c>
      <c r="J20" s="114"/>
      <c r="K20" s="382" t="str">
        <f>IF(J20="","",IF(VLOOKUP(J20,'G-3 Multipliers'!$L$3:$N$6,2,FALSE)=0,"Spatial Data Missing ⚠",VLOOKUP(J20,'G-3 Multipliers'!$L$3:$N$6,2,FALSE)))</f>
        <v/>
      </c>
      <c r="L20" s="368" t="str">
        <f>IF(J20="","",IF(VLOOKUP(J20,'G-3 Multipliers'!$L$3:$N$6,3,FALSE)=0,"Spatial Data Missing ⚠",VLOOKUP(J20,'G-3 Multipliers'!$L$3:$N$6,3,FALSE)))</f>
        <v/>
      </c>
      <c r="M20" s="362" t="str">
        <f>IF(OR(D20="",H20=""),"",(INDEX('G-6 Hedgerow Data'!$E$3:$I$15,MATCH(D20,'G-6 Hedgerow Data'!$B$3:$B$15,0),MATCH(H20,'G-6 Hedgerow Data'!$E$2:$I$2,0))))</f>
        <v/>
      </c>
      <c r="N20" s="159"/>
      <c r="O20" s="159"/>
      <c r="P20" s="370" t="str">
        <f t="shared" si="1"/>
        <v/>
      </c>
      <c r="Q20" s="383" t="str">
        <f t="shared" si="2"/>
        <v/>
      </c>
      <c r="R20" s="384" t="str">
        <f t="shared" si="0"/>
        <v/>
      </c>
      <c r="S20" s="398" t="str">
        <f>IF(D20="","",VLOOKUP(D20,'G-6 Hedgerow Data'!$B$3:$AG$15,31,FALSE))</f>
        <v/>
      </c>
      <c r="T20" s="370" t="str">
        <f t="shared" si="3"/>
        <v/>
      </c>
      <c r="U20" s="370" t="str">
        <f t="shared" si="4"/>
        <v/>
      </c>
      <c r="V20" s="386" t="str">
        <f>IF(D20="","",VLOOKUP(S20,'G-3 Multipliers'!$P$3:$Q$6,2,FALSE))</f>
        <v/>
      </c>
      <c r="W20" s="390" t="str">
        <f t="shared" si="5"/>
        <v/>
      </c>
      <c r="X20" s="117"/>
      <c r="Y20" s="118"/>
      <c r="Z20" s="120"/>
      <c r="AG20" s="30" t="str">
        <f>IFERROR(INDEX('G-6 Hedgerow Data'!$BJ$3:$BJ$15,MATCH(D20,'G-6 Hedgerow Data'!$B$3:$B$15,0)),"")</f>
        <v/>
      </c>
    </row>
    <row r="21" spans="2:33" ht="15">
      <c r="B21" s="110">
        <v>10</v>
      </c>
      <c r="C21" s="167"/>
      <c r="D21" s="159"/>
      <c r="E21" s="139"/>
      <c r="F21" s="362" t="str">
        <f>IF(D21="","",VLOOKUP(D21,'G-6 Hedgerow Data'!$B$2:$AG$15,2,FALSE))</f>
        <v/>
      </c>
      <c r="G21" s="368" t="str">
        <f>IF(D21="","",VLOOKUP(D21,'G-6 Hedgerow Data'!$B$2:$AG$15,3,FALSE))</f>
        <v/>
      </c>
      <c r="H21" s="54"/>
      <c r="I21" s="363" t="str">
        <f>IFERROR(VLOOKUP(H21,'G-1 All Habitats'!$Z$2:$AA$9,2,FALSE),"")</f>
        <v/>
      </c>
      <c r="J21" s="114"/>
      <c r="K21" s="382" t="str">
        <f>IF(J21="","",IF(VLOOKUP(J21,'G-3 Multipliers'!$L$3:$N$6,2,FALSE)=0,"Spatial Data Missing ⚠",VLOOKUP(J21,'G-3 Multipliers'!$L$3:$N$6,2,FALSE)))</f>
        <v/>
      </c>
      <c r="L21" s="368" t="str">
        <f>IF(J21="","",IF(VLOOKUP(J21,'G-3 Multipliers'!$L$3:$N$6,3,FALSE)=0,"Spatial Data Missing ⚠",VLOOKUP(J21,'G-3 Multipliers'!$L$3:$N$6,3,FALSE)))</f>
        <v/>
      </c>
      <c r="M21" s="362" t="str">
        <f>IF(OR(D21="",H21=""),"",(INDEX('G-6 Hedgerow Data'!$E$3:$I$15,MATCH(D21,'G-6 Hedgerow Data'!$B$3:$B$15,0),MATCH(H21,'G-6 Hedgerow Data'!$E$2:$I$2,0))))</f>
        <v/>
      </c>
      <c r="N21" s="159"/>
      <c r="O21" s="159"/>
      <c r="P21" s="370" t="str">
        <f t="shared" si="1"/>
        <v/>
      </c>
      <c r="Q21" s="383" t="str">
        <f t="shared" si="2"/>
        <v/>
      </c>
      <c r="R21" s="384" t="str">
        <f t="shared" si="0"/>
        <v/>
      </c>
      <c r="S21" s="398" t="str">
        <f>IF(D21="","",VLOOKUP(D21,'G-6 Hedgerow Data'!$B$3:$AG$15,31,FALSE))</f>
        <v/>
      </c>
      <c r="T21" s="370" t="str">
        <f t="shared" si="3"/>
        <v/>
      </c>
      <c r="U21" s="370" t="str">
        <f t="shared" si="4"/>
        <v/>
      </c>
      <c r="V21" s="386" t="str">
        <f>IF(D21="","",VLOOKUP(S21,'G-3 Multipliers'!$P$3:$Q$6,2,FALSE))</f>
        <v/>
      </c>
      <c r="W21" s="390" t="str">
        <f t="shared" si="5"/>
        <v/>
      </c>
      <c r="X21" s="117"/>
      <c r="Y21" s="118"/>
      <c r="Z21" s="120"/>
      <c r="AG21" s="30" t="str">
        <f>IFERROR(INDEX('G-6 Hedgerow Data'!$BJ$3:$BJ$15,MATCH(D21,'G-6 Hedgerow Data'!$B$3:$B$15,0)),"")</f>
        <v/>
      </c>
    </row>
    <row r="22" spans="2:33" ht="15">
      <c r="B22" s="110">
        <v>11</v>
      </c>
      <c r="C22" s="167"/>
      <c r="D22" s="159"/>
      <c r="E22" s="139"/>
      <c r="F22" s="362" t="str">
        <f>IF(D22="","",VLOOKUP(D22,'G-6 Hedgerow Data'!$B$2:$AG$15,2,FALSE))</f>
        <v/>
      </c>
      <c r="G22" s="368" t="str">
        <f>IF(D22="","",VLOOKUP(D22,'G-6 Hedgerow Data'!$B$2:$AG$15,3,FALSE))</f>
        <v/>
      </c>
      <c r="H22" s="54"/>
      <c r="I22" s="363" t="str">
        <f>IFERROR(VLOOKUP(H22,'G-1 All Habitats'!$Z$2:$AA$9,2,FALSE),"")</f>
        <v/>
      </c>
      <c r="J22" s="114"/>
      <c r="K22" s="382" t="str">
        <f>IF(J22="","",IF(VLOOKUP(J22,'G-3 Multipliers'!$L$3:$N$6,2,FALSE)=0,"Spatial Data Missing ⚠",VLOOKUP(J22,'G-3 Multipliers'!$L$3:$N$6,2,FALSE)))</f>
        <v/>
      </c>
      <c r="L22" s="368" t="str">
        <f>IF(J22="","",IF(VLOOKUP(J22,'G-3 Multipliers'!$L$3:$N$6,3,FALSE)=0,"Spatial Data Missing ⚠",VLOOKUP(J22,'G-3 Multipliers'!$L$3:$N$6,3,FALSE)))</f>
        <v/>
      </c>
      <c r="M22" s="362" t="str">
        <f>IF(OR(D22="",H22=""),"",(INDEX('G-6 Hedgerow Data'!$E$3:$I$15,MATCH(D22,'G-6 Hedgerow Data'!$B$3:$B$15,0),MATCH(H22,'G-6 Hedgerow Data'!$E$2:$I$2,0))))</f>
        <v/>
      </c>
      <c r="N22" s="159"/>
      <c r="O22" s="159"/>
      <c r="P22" s="370" t="str">
        <f t="shared" si="1"/>
        <v/>
      </c>
      <c r="Q22" s="383" t="str">
        <f t="shared" si="2"/>
        <v/>
      </c>
      <c r="R22" s="384" t="str">
        <f t="shared" si="0"/>
        <v/>
      </c>
      <c r="S22" s="398" t="str">
        <f>IF(D22="","",VLOOKUP(D22,'G-6 Hedgerow Data'!$B$3:$AG$15,31,FALSE))</f>
        <v/>
      </c>
      <c r="T22" s="370" t="str">
        <f t="shared" si="3"/>
        <v/>
      </c>
      <c r="U22" s="370" t="str">
        <f t="shared" si="4"/>
        <v/>
      </c>
      <c r="V22" s="386" t="str">
        <f>IF(D22="","",VLOOKUP(S22,'G-3 Multipliers'!$P$3:$Q$6,2,FALSE))</f>
        <v/>
      </c>
      <c r="W22" s="390" t="str">
        <f t="shared" si="5"/>
        <v/>
      </c>
      <c r="X22" s="117"/>
      <c r="Y22" s="118"/>
      <c r="Z22" s="120"/>
      <c r="AG22" s="30" t="str">
        <f>IFERROR(INDEX('G-6 Hedgerow Data'!$BJ$3:$BJ$15,MATCH(D22,'G-6 Hedgerow Data'!$B$3:$B$15,0)),"")</f>
        <v/>
      </c>
    </row>
    <row r="23" spans="2:33" ht="15">
      <c r="B23" s="110">
        <v>12</v>
      </c>
      <c r="C23" s="167"/>
      <c r="D23" s="159"/>
      <c r="E23" s="139"/>
      <c r="F23" s="362" t="str">
        <f>IF(D23="","",VLOOKUP(D23,'G-6 Hedgerow Data'!$B$2:$AG$15,2,FALSE))</f>
        <v/>
      </c>
      <c r="G23" s="368" t="str">
        <f>IF(D23="","",VLOOKUP(D23,'G-6 Hedgerow Data'!$B$2:$AG$15,3,FALSE))</f>
        <v/>
      </c>
      <c r="H23" s="54"/>
      <c r="I23" s="363" t="str">
        <f>IFERROR(VLOOKUP(H23,'G-1 All Habitats'!$Z$2:$AA$9,2,FALSE),"")</f>
        <v/>
      </c>
      <c r="J23" s="114"/>
      <c r="K23" s="382" t="str">
        <f>IF(J23="","",IF(VLOOKUP(J23,'G-3 Multipliers'!$L$3:$N$6,2,FALSE)=0,"Spatial Data Missing ⚠",VLOOKUP(J23,'G-3 Multipliers'!$L$3:$N$6,2,FALSE)))</f>
        <v/>
      </c>
      <c r="L23" s="368" t="str">
        <f>IF(J23="","",IF(VLOOKUP(J23,'G-3 Multipliers'!$L$3:$N$6,3,FALSE)=0,"Spatial Data Missing ⚠",VLOOKUP(J23,'G-3 Multipliers'!$L$3:$N$6,3,FALSE)))</f>
        <v/>
      </c>
      <c r="M23" s="362" t="str">
        <f>IF(OR(D23="",H23=""),"",(INDEX('G-6 Hedgerow Data'!$E$3:$I$15,MATCH(D23,'G-6 Hedgerow Data'!$B$3:$B$15,0),MATCH(H23,'G-6 Hedgerow Data'!$E$2:$I$2,0))))</f>
        <v/>
      </c>
      <c r="N23" s="159"/>
      <c r="O23" s="159"/>
      <c r="P23" s="370" t="str">
        <f t="shared" si="1"/>
        <v/>
      </c>
      <c r="Q23" s="383" t="str">
        <f t="shared" si="2"/>
        <v/>
      </c>
      <c r="R23" s="384" t="str">
        <f t="shared" si="0"/>
        <v/>
      </c>
      <c r="S23" s="398" t="str">
        <f>IF(D23="","",VLOOKUP(D23,'G-6 Hedgerow Data'!$B$3:$AG$15,31,FALSE))</f>
        <v/>
      </c>
      <c r="T23" s="370" t="str">
        <f t="shared" si="3"/>
        <v/>
      </c>
      <c r="U23" s="370" t="str">
        <f t="shared" si="4"/>
        <v/>
      </c>
      <c r="V23" s="386" t="str">
        <f>IF(D23="","",VLOOKUP(S23,'G-3 Multipliers'!$P$3:$Q$6,2,FALSE))</f>
        <v/>
      </c>
      <c r="W23" s="390" t="str">
        <f t="shared" si="5"/>
        <v/>
      </c>
      <c r="X23" s="117"/>
      <c r="Y23" s="118"/>
      <c r="Z23" s="120"/>
      <c r="AG23" s="30" t="str">
        <f>IFERROR(INDEX('G-6 Hedgerow Data'!$BJ$3:$BJ$15,MATCH(D23,'G-6 Hedgerow Data'!$B$3:$B$15,0)),"")</f>
        <v/>
      </c>
    </row>
    <row r="24" spans="2:33" ht="15">
      <c r="B24" s="110">
        <v>13</v>
      </c>
      <c r="C24" s="167"/>
      <c r="D24" s="159"/>
      <c r="E24" s="139"/>
      <c r="F24" s="362" t="str">
        <f>IF(D24="","",VLOOKUP(D24,'G-6 Hedgerow Data'!$B$2:$AG$15,2,FALSE))</f>
        <v/>
      </c>
      <c r="G24" s="368" t="str">
        <f>IF(D24="","",VLOOKUP(D24,'G-6 Hedgerow Data'!$B$2:$AG$15,3,FALSE))</f>
        <v/>
      </c>
      <c r="H24" s="114"/>
      <c r="I24" s="363" t="str">
        <f>IFERROR(VLOOKUP(H24,'G-1 All Habitats'!$Z$2:$AA$9,2,FALSE),"")</f>
        <v/>
      </c>
      <c r="J24" s="114"/>
      <c r="K24" s="382" t="str">
        <f>IF(J24="","",IF(VLOOKUP(J24,'G-3 Multipliers'!$L$3:$N$6,2,FALSE)=0,"Spatial Data Missing ⚠",VLOOKUP(J24,'G-3 Multipliers'!$L$3:$N$6,2,FALSE)))</f>
        <v/>
      </c>
      <c r="L24" s="368" t="str">
        <f>IF(J24="","",IF(VLOOKUP(J24,'G-3 Multipliers'!$L$3:$N$6,3,FALSE)=0,"Spatial Data Missing ⚠",VLOOKUP(J24,'G-3 Multipliers'!$L$3:$N$6,3,FALSE)))</f>
        <v/>
      </c>
      <c r="M24" s="362" t="str">
        <f>IF(OR(D24="",H24=""),"",(INDEX('G-6 Hedgerow Data'!$E$3:$I$15,MATCH(D24,'G-6 Hedgerow Data'!$B$3:$B$15,0),MATCH(H24,'G-6 Hedgerow Data'!$E$2:$I$2,0))))</f>
        <v/>
      </c>
      <c r="N24" s="159"/>
      <c r="O24" s="159"/>
      <c r="P24" s="370" t="str">
        <f t="shared" si="1"/>
        <v/>
      </c>
      <c r="Q24" s="383" t="str">
        <f t="shared" si="2"/>
        <v/>
      </c>
      <c r="R24" s="384" t="str">
        <f t="shared" si="0"/>
        <v/>
      </c>
      <c r="S24" s="398" t="str">
        <f>IF(D24="","",VLOOKUP(D24,'G-6 Hedgerow Data'!$B$3:$AG$15,31,FALSE))</f>
        <v/>
      </c>
      <c r="T24" s="370" t="str">
        <f t="shared" si="3"/>
        <v/>
      </c>
      <c r="U24" s="370" t="str">
        <f t="shared" si="4"/>
        <v/>
      </c>
      <c r="V24" s="386" t="str">
        <f>IF(D24="","",VLOOKUP(S24,'G-3 Multipliers'!$P$3:$Q$6,2,FALSE))</f>
        <v/>
      </c>
      <c r="W24" s="390" t="str">
        <f t="shared" si="5"/>
        <v/>
      </c>
      <c r="X24" s="117"/>
      <c r="Y24" s="118"/>
      <c r="Z24" s="120"/>
      <c r="AG24" s="30" t="str">
        <f>IFERROR(INDEX('G-6 Hedgerow Data'!$BJ$3:$BJ$15,MATCH(D24,'G-6 Hedgerow Data'!$B$3:$B$15,0)),"")</f>
        <v/>
      </c>
    </row>
    <row r="25" spans="2:33" ht="15">
      <c r="B25" s="110">
        <v>14</v>
      </c>
      <c r="C25" s="167"/>
      <c r="D25" s="63"/>
      <c r="E25" s="53"/>
      <c r="F25" s="411" t="str">
        <f>IF(D25="","",VLOOKUP(D25,'G-6 Hedgerow Data'!$B$2:$AG$15,2,FALSE))</f>
        <v/>
      </c>
      <c r="G25" s="363" t="str">
        <f>IF(D25="","",VLOOKUP(D25,'G-6 Hedgerow Data'!$B$2:$AG$15,3,FALSE))</f>
        <v/>
      </c>
      <c r="H25" s="114"/>
      <c r="I25" s="363" t="str">
        <f>IFERROR(VLOOKUP(H25,'G-1 All Habitats'!$Z$2:$AA$9,2,FALSE),"")</f>
        <v/>
      </c>
      <c r="J25" s="114"/>
      <c r="K25" s="382" t="str">
        <f>IF(J25="","",IF(VLOOKUP(J25,'G-3 Multipliers'!$L$3:$N$6,2,FALSE)=0,"Spatial Data Missing ⚠",VLOOKUP(J25,'G-3 Multipliers'!$L$3:$N$6,2,FALSE)))</f>
        <v/>
      </c>
      <c r="L25" s="368" t="str">
        <f>IF(J25="","",IF(VLOOKUP(J25,'G-3 Multipliers'!$L$3:$N$6,3,FALSE)=0,"Spatial Data Missing ⚠",VLOOKUP(J25,'G-3 Multipliers'!$L$3:$N$6,3,FALSE)))</f>
        <v/>
      </c>
      <c r="M25" s="362" t="str">
        <f>IF(OR(D25="",H25=""),"",(INDEX('G-6 Hedgerow Data'!$E$3:$I$15,MATCH(D25,'G-6 Hedgerow Data'!$B$3:$B$15,0),MATCH(H25,'G-6 Hedgerow Data'!$E$2:$I$2,0))))</f>
        <v/>
      </c>
      <c r="N25" s="159"/>
      <c r="O25" s="159"/>
      <c r="P25" s="370" t="str">
        <f t="shared" si="1"/>
        <v/>
      </c>
      <c r="Q25" s="383" t="str">
        <f t="shared" si="2"/>
        <v/>
      </c>
      <c r="R25" s="384" t="str">
        <f t="shared" si="0"/>
        <v/>
      </c>
      <c r="S25" s="398" t="str">
        <f>IF(D25="","",VLOOKUP(D25,'G-6 Hedgerow Data'!$B$3:$AG$15,31,FALSE))</f>
        <v/>
      </c>
      <c r="T25" s="370" t="str">
        <f t="shared" si="3"/>
        <v/>
      </c>
      <c r="U25" s="370" t="str">
        <f t="shared" si="4"/>
        <v/>
      </c>
      <c r="V25" s="386" t="str">
        <f>IF(D25="","",VLOOKUP(S25,'G-3 Multipliers'!$P$3:$Q$6,2,FALSE))</f>
        <v/>
      </c>
      <c r="W25" s="390" t="str">
        <f t="shared" si="5"/>
        <v/>
      </c>
      <c r="X25" s="117"/>
      <c r="Y25" s="118"/>
      <c r="Z25" s="120"/>
      <c r="AG25" s="30" t="str">
        <f>IFERROR(INDEX('G-6 Hedgerow Data'!$BJ$3:$BJ$15,MATCH(D25,'G-6 Hedgerow Data'!$B$3:$B$15,0)),"")</f>
        <v/>
      </c>
    </row>
    <row r="26" spans="2:33" ht="15">
      <c r="B26" s="110">
        <v>15</v>
      </c>
      <c r="C26" s="167"/>
      <c r="D26" s="63"/>
      <c r="E26" s="53"/>
      <c r="F26" s="411" t="str">
        <f>IF(D26="","",VLOOKUP(D26,'G-6 Hedgerow Data'!$B$2:$AG$15,2,FALSE))</f>
        <v/>
      </c>
      <c r="G26" s="363" t="str">
        <f>IF(D26="","",VLOOKUP(D26,'G-6 Hedgerow Data'!$B$2:$AG$15,3,FALSE))</f>
        <v/>
      </c>
      <c r="H26" s="114"/>
      <c r="I26" s="363" t="str">
        <f>IFERROR(VLOOKUP(H26,'G-1 All Habitats'!$Z$2:$AA$9,2,FALSE),"")</f>
        <v/>
      </c>
      <c r="J26" s="114"/>
      <c r="K26" s="382" t="str">
        <f>IF(J26="","",IF(VLOOKUP(J26,'G-3 Multipliers'!$L$3:$N$6,2,FALSE)=0,"Spatial Data Missing ⚠",VLOOKUP(J26,'G-3 Multipliers'!$L$3:$N$6,2,FALSE)))</f>
        <v/>
      </c>
      <c r="L26" s="368" t="str">
        <f>IF(J26="","",IF(VLOOKUP(J26,'G-3 Multipliers'!$L$3:$N$6,3,FALSE)=0,"Spatial Data Missing ⚠",VLOOKUP(J26,'G-3 Multipliers'!$L$3:$N$6,3,FALSE)))</f>
        <v/>
      </c>
      <c r="M26" s="362" t="str">
        <f>IF(OR(D26="",H26=""),"",(INDEX('G-6 Hedgerow Data'!$E$3:$I$15,MATCH(D26,'G-6 Hedgerow Data'!$B$3:$B$15,0),MATCH(H26,'G-6 Hedgerow Data'!$E$2:$I$2,0))))</f>
        <v/>
      </c>
      <c r="N26" s="159"/>
      <c r="O26" s="159"/>
      <c r="P26" s="370" t="str">
        <f t="shared" si="1"/>
        <v/>
      </c>
      <c r="Q26" s="383" t="str">
        <f t="shared" si="2"/>
        <v/>
      </c>
      <c r="R26" s="384" t="str">
        <f t="shared" si="0"/>
        <v/>
      </c>
      <c r="S26" s="398" t="str">
        <f>IF(D26="","",VLOOKUP(D26,'G-6 Hedgerow Data'!$B$3:$AG$15,31,FALSE))</f>
        <v/>
      </c>
      <c r="T26" s="370" t="str">
        <f t="shared" si="3"/>
        <v/>
      </c>
      <c r="U26" s="370" t="str">
        <f t="shared" si="4"/>
        <v/>
      </c>
      <c r="V26" s="386" t="str">
        <f>IF(D26="","",VLOOKUP(S26,'G-3 Multipliers'!$P$3:$Q$6,2,FALSE))</f>
        <v/>
      </c>
      <c r="W26" s="390" t="str">
        <f t="shared" si="5"/>
        <v/>
      </c>
      <c r="X26" s="117"/>
      <c r="Y26" s="118"/>
      <c r="Z26" s="120"/>
      <c r="AG26" s="30" t="str">
        <f>IFERROR(INDEX('G-6 Hedgerow Data'!$BJ$3:$BJ$15,MATCH(D26,'G-6 Hedgerow Data'!$B$3:$B$15,0)),"")</f>
        <v/>
      </c>
    </row>
    <row r="27" spans="2:33" ht="15">
      <c r="B27" s="110">
        <v>16</v>
      </c>
      <c r="C27" s="167"/>
      <c r="D27" s="63"/>
      <c r="E27" s="53"/>
      <c r="F27" s="411" t="str">
        <f>IF(D27="","",VLOOKUP(D27,'G-6 Hedgerow Data'!$B$2:$AG$15,2,FALSE))</f>
        <v/>
      </c>
      <c r="G27" s="363" t="str">
        <f>IF(D27="","",VLOOKUP(D27,'G-6 Hedgerow Data'!$B$2:$AG$15,3,FALSE))</f>
        <v/>
      </c>
      <c r="H27" s="114"/>
      <c r="I27" s="363" t="str">
        <f>IFERROR(VLOOKUP(H27,'G-1 All Habitats'!$Z$2:$AA$9,2,FALSE),"")</f>
        <v/>
      </c>
      <c r="J27" s="114"/>
      <c r="K27" s="382" t="str">
        <f>IF(J27="","",IF(VLOOKUP(J27,'G-3 Multipliers'!$L$3:$N$6,2,FALSE)=0,"Spatial Data Missing ⚠",VLOOKUP(J27,'G-3 Multipliers'!$L$3:$N$6,2,FALSE)))</f>
        <v/>
      </c>
      <c r="L27" s="368" t="str">
        <f>IF(J27="","",IF(VLOOKUP(J27,'G-3 Multipliers'!$L$3:$N$6,3,FALSE)=0,"Spatial Data Missing ⚠",VLOOKUP(J27,'G-3 Multipliers'!$L$3:$N$6,3,FALSE)))</f>
        <v/>
      </c>
      <c r="M27" s="362" t="str">
        <f>IF(OR(D27="",H27=""),"",(INDEX('G-6 Hedgerow Data'!$E$3:$I$15,MATCH(D27,'G-6 Hedgerow Data'!$B$3:$B$15,0),MATCH(H27,'G-6 Hedgerow Data'!$E$2:$I$2,0))))</f>
        <v/>
      </c>
      <c r="N27" s="159"/>
      <c r="O27" s="159"/>
      <c r="P27" s="370" t="str">
        <f t="shared" si="1"/>
        <v/>
      </c>
      <c r="Q27" s="383" t="str">
        <f t="shared" si="2"/>
        <v/>
      </c>
      <c r="R27" s="384" t="str">
        <f t="shared" si="0"/>
        <v/>
      </c>
      <c r="S27" s="398" t="str">
        <f>IF(D27="","",VLOOKUP(D27,'G-6 Hedgerow Data'!$B$3:$AG$15,31,FALSE))</f>
        <v/>
      </c>
      <c r="T27" s="370" t="str">
        <f t="shared" si="3"/>
        <v/>
      </c>
      <c r="U27" s="370" t="str">
        <f t="shared" si="4"/>
        <v/>
      </c>
      <c r="V27" s="386" t="str">
        <f>IF(D27="","",VLOOKUP(S27,'G-3 Multipliers'!$P$3:$Q$6,2,FALSE))</f>
        <v/>
      </c>
      <c r="W27" s="390" t="str">
        <f t="shared" si="5"/>
        <v/>
      </c>
      <c r="X27" s="117"/>
      <c r="Y27" s="118"/>
      <c r="Z27" s="120"/>
      <c r="AG27" s="30" t="str">
        <f>IFERROR(INDEX('G-6 Hedgerow Data'!$BJ$3:$BJ$15,MATCH(D27,'G-6 Hedgerow Data'!$B$3:$B$15,0)),"")</f>
        <v/>
      </c>
    </row>
    <row r="28" spans="2:33" ht="15">
      <c r="B28" s="110">
        <v>17</v>
      </c>
      <c r="C28" s="167"/>
      <c r="D28" s="63"/>
      <c r="E28" s="53"/>
      <c r="F28" s="411" t="str">
        <f>IF(D28="","",VLOOKUP(D28,'G-6 Hedgerow Data'!$B$2:$AG$15,2,FALSE))</f>
        <v/>
      </c>
      <c r="G28" s="363" t="str">
        <f>IF(D28="","",VLOOKUP(D28,'G-6 Hedgerow Data'!$B$2:$AG$15,3,FALSE))</f>
        <v/>
      </c>
      <c r="H28" s="114"/>
      <c r="I28" s="363" t="str">
        <f>IFERROR(VLOOKUP(H28,'G-1 All Habitats'!$Z$2:$AA$9,2,FALSE),"")</f>
        <v/>
      </c>
      <c r="J28" s="114"/>
      <c r="K28" s="382" t="str">
        <f>IF(J28="","",IF(VLOOKUP(J28,'G-3 Multipliers'!$L$3:$N$6,2,FALSE)=0,"Spatial Data Missing ⚠",VLOOKUP(J28,'G-3 Multipliers'!$L$3:$N$6,2,FALSE)))</f>
        <v/>
      </c>
      <c r="L28" s="368" t="str">
        <f>IF(J28="","",IF(VLOOKUP(J28,'G-3 Multipliers'!$L$3:$N$6,3,FALSE)=0,"Spatial Data Missing ⚠",VLOOKUP(J28,'G-3 Multipliers'!$L$3:$N$6,3,FALSE)))</f>
        <v/>
      </c>
      <c r="M28" s="362" t="str">
        <f>IF(OR(D28="",H28=""),"",(INDEX('G-6 Hedgerow Data'!$E$3:$I$15,MATCH(D28,'G-6 Hedgerow Data'!$B$3:$B$15,0),MATCH(H28,'G-6 Hedgerow Data'!$E$2:$I$2,0))))</f>
        <v/>
      </c>
      <c r="N28" s="159"/>
      <c r="O28" s="159"/>
      <c r="P28" s="370" t="str">
        <f t="shared" si="1"/>
        <v/>
      </c>
      <c r="Q28" s="383" t="str">
        <f t="shared" si="2"/>
        <v/>
      </c>
      <c r="R28" s="384" t="str">
        <f t="shared" si="0"/>
        <v/>
      </c>
      <c r="S28" s="398" t="str">
        <f>IF(D28="","",VLOOKUP(D28,'G-6 Hedgerow Data'!$B$3:$AG$15,31,FALSE))</f>
        <v/>
      </c>
      <c r="T28" s="370" t="str">
        <f t="shared" si="3"/>
        <v/>
      </c>
      <c r="U28" s="370" t="str">
        <f t="shared" si="4"/>
        <v/>
      </c>
      <c r="V28" s="386" t="str">
        <f>IF(D28="","",VLOOKUP(S28,'G-3 Multipliers'!$P$3:$Q$6,2,FALSE))</f>
        <v/>
      </c>
      <c r="W28" s="390" t="str">
        <f t="shared" si="5"/>
        <v/>
      </c>
      <c r="X28" s="117"/>
      <c r="Y28" s="118"/>
      <c r="Z28" s="120"/>
      <c r="AG28" s="30" t="str">
        <f>IFERROR(INDEX('G-6 Hedgerow Data'!$BJ$3:$BJ$15,MATCH(D28,'G-6 Hedgerow Data'!$B$3:$B$15,0)),"")</f>
        <v/>
      </c>
    </row>
    <row r="29" spans="2:33" ht="15">
      <c r="B29" s="110">
        <v>18</v>
      </c>
      <c r="C29" s="167"/>
      <c r="D29" s="159"/>
      <c r="E29" s="139"/>
      <c r="F29" s="411" t="str">
        <f>IF(D29="","",VLOOKUP(D29,'G-6 Hedgerow Data'!$B$2:$AG$15,2,FALSE))</f>
        <v/>
      </c>
      <c r="G29" s="363" t="str">
        <f>IF(D29="","",VLOOKUP(D29,'G-6 Hedgerow Data'!$B$2:$AG$15,3,FALSE))</f>
        <v/>
      </c>
      <c r="H29" s="114"/>
      <c r="I29" s="363" t="str">
        <f>IFERROR(VLOOKUP(H29,'G-1 All Habitats'!$Z$2:$AA$9,2,FALSE),"")</f>
        <v/>
      </c>
      <c r="J29" s="114"/>
      <c r="K29" s="382" t="str">
        <f>IF(J29="","",IF(VLOOKUP(J29,'G-3 Multipliers'!$L$3:$N$6,2,FALSE)=0,"Spatial Data Missing ⚠",VLOOKUP(J29,'G-3 Multipliers'!$L$3:$N$6,2,FALSE)))</f>
        <v/>
      </c>
      <c r="L29" s="368" t="str">
        <f>IF(J29="","",IF(VLOOKUP(J29,'G-3 Multipliers'!$L$3:$N$6,3,FALSE)=0,"Spatial Data Missing ⚠",VLOOKUP(J29,'G-3 Multipliers'!$L$3:$N$6,3,FALSE)))</f>
        <v/>
      </c>
      <c r="M29" s="362" t="str">
        <f>IF(OR(D29="",H29=""),"",(INDEX('G-6 Hedgerow Data'!$E$3:$I$15,MATCH(D29,'G-6 Hedgerow Data'!$B$3:$B$15,0),MATCH(H29,'G-6 Hedgerow Data'!$E$2:$I$2,0))))</f>
        <v/>
      </c>
      <c r="N29" s="159"/>
      <c r="O29" s="159"/>
      <c r="P29" s="370" t="str">
        <f t="shared" si="1"/>
        <v/>
      </c>
      <c r="Q29" s="383" t="str">
        <f t="shared" si="2"/>
        <v/>
      </c>
      <c r="R29" s="384" t="str">
        <f t="shared" si="0"/>
        <v/>
      </c>
      <c r="S29" s="398" t="str">
        <f>IF(D29="","",VLOOKUP(D29,'G-6 Hedgerow Data'!$B$3:$AG$15,31,FALSE))</f>
        <v/>
      </c>
      <c r="T29" s="370" t="str">
        <f t="shared" si="3"/>
        <v/>
      </c>
      <c r="U29" s="370" t="str">
        <f t="shared" si="4"/>
        <v/>
      </c>
      <c r="V29" s="386" t="str">
        <f>IF(D29="","",VLOOKUP(S29,'G-3 Multipliers'!$P$3:$Q$6,2,FALSE))</f>
        <v/>
      </c>
      <c r="W29" s="390" t="str">
        <f t="shared" si="5"/>
        <v/>
      </c>
      <c r="X29" s="117"/>
      <c r="Y29" s="118"/>
      <c r="Z29" s="120"/>
      <c r="AG29" s="30" t="str">
        <f>IFERROR(INDEX('G-6 Hedgerow Data'!$BJ$3:$BJ$15,MATCH(D29,'G-6 Hedgerow Data'!$B$3:$B$15,0)),"")</f>
        <v/>
      </c>
    </row>
    <row r="30" spans="2:33" ht="15">
      <c r="B30" s="110">
        <v>19</v>
      </c>
      <c r="C30" s="167"/>
      <c r="D30" s="159"/>
      <c r="E30" s="139"/>
      <c r="F30" s="398" t="str">
        <f>IF(D30="","",VLOOKUP(D30,'G-6 Hedgerow Data'!$B$2:$AG$15,2,FALSE))</f>
        <v/>
      </c>
      <c r="G30" s="368" t="str">
        <f>IF(D30="","",VLOOKUP(D30,'G-6 Hedgerow Data'!$B$2:$AG$15,3,FALSE))</f>
        <v/>
      </c>
      <c r="H30" s="115"/>
      <c r="I30" s="363" t="str">
        <f>IFERROR(VLOOKUP(H30,'G-1 All Habitats'!$Z$2:$AA$9,2,FALSE),"")</f>
        <v/>
      </c>
      <c r="J30" s="114"/>
      <c r="K30" s="382" t="str">
        <f>IF(J30="","",IF(VLOOKUP(J30,'G-3 Multipliers'!$L$3:$N$6,2,FALSE)=0,"Spatial Data Missing ⚠",VLOOKUP(J30,'G-3 Multipliers'!$L$3:$N$6,2,FALSE)))</f>
        <v/>
      </c>
      <c r="L30" s="368" t="str">
        <f>IF(J30="","",IF(VLOOKUP(J30,'G-3 Multipliers'!$L$3:$N$6,3,FALSE)=0,"Spatial Data Missing ⚠",VLOOKUP(J30,'G-3 Multipliers'!$L$3:$N$6,3,FALSE)))</f>
        <v/>
      </c>
      <c r="M30" s="362" t="str">
        <f>IF(OR(D30="",H30=""),"",(INDEX('G-6 Hedgerow Data'!$E$3:$I$15,MATCH(D30,'G-6 Hedgerow Data'!$B$3:$B$15,0),MATCH(H30,'G-6 Hedgerow Data'!$E$2:$I$2,0))))</f>
        <v/>
      </c>
      <c r="N30" s="159"/>
      <c r="O30" s="159"/>
      <c r="P30" s="370" t="str">
        <f t="shared" si="1"/>
        <v/>
      </c>
      <c r="Q30" s="383" t="str">
        <f t="shared" si="2"/>
        <v/>
      </c>
      <c r="R30" s="384" t="str">
        <f t="shared" si="0"/>
        <v/>
      </c>
      <c r="S30" s="398" t="str">
        <f>IF(D30="","",VLOOKUP(D30,'G-6 Hedgerow Data'!$B$3:$AG$15,31,FALSE))</f>
        <v/>
      </c>
      <c r="T30" s="370" t="str">
        <f t="shared" si="3"/>
        <v/>
      </c>
      <c r="U30" s="370" t="str">
        <f t="shared" si="4"/>
        <v/>
      </c>
      <c r="V30" s="386" t="str">
        <f>IF(D30="","",VLOOKUP(S30,'G-3 Multipliers'!$P$3:$Q$6,2,FALSE))</f>
        <v/>
      </c>
      <c r="W30" s="390" t="str">
        <f t="shared" si="5"/>
        <v/>
      </c>
      <c r="X30" s="117"/>
      <c r="Y30" s="118"/>
      <c r="Z30" s="120"/>
      <c r="AG30" s="30" t="str">
        <f>IFERROR(INDEX('G-6 Hedgerow Data'!$BJ$3:$BJ$15,MATCH(D30,'G-6 Hedgerow Data'!$B$3:$B$15,0)),"")</f>
        <v/>
      </c>
    </row>
    <row r="31" spans="2:33" ht="15">
      <c r="B31" s="110">
        <v>20</v>
      </c>
      <c r="C31" s="167"/>
      <c r="D31" s="159"/>
      <c r="E31" s="139"/>
      <c r="F31" s="362" t="str">
        <f>IF(D31="","",VLOOKUP(D31,'G-6 Hedgerow Data'!$B$2:$AG$15,2,FALSE))</f>
        <v/>
      </c>
      <c r="G31" s="368" t="str">
        <f>IF(D31="","",VLOOKUP(D31,'G-6 Hedgerow Data'!$B$2:$AG$15,3,FALSE))</f>
        <v/>
      </c>
      <c r="H31" s="54"/>
      <c r="I31" s="363" t="str">
        <f>IFERROR(VLOOKUP(H31,'G-1 All Habitats'!$Z$2:$AA$9,2,FALSE),"")</f>
        <v/>
      </c>
      <c r="J31" s="114"/>
      <c r="K31" s="382" t="str">
        <f>IF(J31="","",IF(VLOOKUP(J31,'G-3 Multipliers'!$L$3:$N$6,2,FALSE)=0,"Spatial Data Missing ⚠",VLOOKUP(J31,'G-3 Multipliers'!$L$3:$N$6,2,FALSE)))</f>
        <v/>
      </c>
      <c r="L31" s="368" t="str">
        <f>IF(J31="","",IF(VLOOKUP(J31,'G-3 Multipliers'!$L$3:$N$6,3,FALSE)=0,"Spatial Data Missing ⚠",VLOOKUP(J31,'G-3 Multipliers'!$L$3:$N$6,3,FALSE)))</f>
        <v/>
      </c>
      <c r="M31" s="362" t="str">
        <f>IF(OR(D31="",H31=""),"",(INDEX('G-6 Hedgerow Data'!$E$3:$I$15,MATCH(D31,'G-6 Hedgerow Data'!$B$3:$B$15,0),MATCH(H31,'G-6 Hedgerow Data'!$E$2:$I$2,0))))</f>
        <v/>
      </c>
      <c r="N31" s="159"/>
      <c r="O31" s="159"/>
      <c r="P31" s="370" t="str">
        <f t="shared" si="1"/>
        <v/>
      </c>
      <c r="Q31" s="383" t="str">
        <f t="shared" si="2"/>
        <v/>
      </c>
      <c r="R31" s="384" t="str">
        <f t="shared" si="0"/>
        <v/>
      </c>
      <c r="S31" s="398" t="str">
        <f>IF(D31="","",VLOOKUP(D31,'G-6 Hedgerow Data'!$B$3:$AG$15,31,FALSE))</f>
        <v/>
      </c>
      <c r="T31" s="370" t="str">
        <f t="shared" si="3"/>
        <v/>
      </c>
      <c r="U31" s="370" t="str">
        <f t="shared" si="4"/>
        <v/>
      </c>
      <c r="V31" s="386" t="str">
        <f>IF(D31="","",VLOOKUP(S31,'G-3 Multipliers'!$P$3:$Q$6,2,FALSE))</f>
        <v/>
      </c>
      <c r="W31" s="390" t="str">
        <f t="shared" si="5"/>
        <v/>
      </c>
      <c r="X31" s="117"/>
      <c r="Y31" s="118"/>
      <c r="Z31" s="120"/>
      <c r="AG31" s="30" t="str">
        <f>IFERROR(INDEX('G-6 Hedgerow Data'!$BJ$3:$BJ$15,MATCH(D31,'G-6 Hedgerow Data'!$B$3:$B$15,0)),"")</f>
        <v/>
      </c>
    </row>
    <row r="32" spans="2:33" ht="15">
      <c r="B32" s="110">
        <v>21</v>
      </c>
      <c r="C32" s="167"/>
      <c r="D32" s="159"/>
      <c r="E32" s="139"/>
      <c r="F32" s="362" t="str">
        <f>IF(D32="","",VLOOKUP(D32,'G-6 Hedgerow Data'!$B$2:$AG$15,2,FALSE))</f>
        <v/>
      </c>
      <c r="G32" s="368" t="str">
        <f>IF(D32="","",VLOOKUP(D32,'G-6 Hedgerow Data'!$B$2:$AG$15,3,FALSE))</f>
        <v/>
      </c>
      <c r="H32" s="54"/>
      <c r="I32" s="363" t="str">
        <f>IFERROR(VLOOKUP(H32,'G-1 All Habitats'!$Z$2:$AA$9,2,FALSE),"")</f>
        <v/>
      </c>
      <c r="J32" s="114"/>
      <c r="K32" s="382" t="str">
        <f>IF(J32="","",IF(VLOOKUP(J32,'G-3 Multipliers'!$L$3:$N$6,2,FALSE)=0,"Spatial Data Missing ⚠",VLOOKUP(J32,'G-3 Multipliers'!$L$3:$N$6,2,FALSE)))</f>
        <v/>
      </c>
      <c r="L32" s="368" t="str">
        <f>IF(J32="","",IF(VLOOKUP(J32,'G-3 Multipliers'!$L$3:$N$6,3,FALSE)=0,"Spatial Data Missing ⚠",VLOOKUP(J32,'G-3 Multipliers'!$L$3:$N$6,3,FALSE)))</f>
        <v/>
      </c>
      <c r="M32" s="362" t="str">
        <f>IF(OR(D32="",H32=""),"",(INDEX('G-6 Hedgerow Data'!$E$3:$I$15,MATCH(D32,'G-6 Hedgerow Data'!$B$3:$B$15,0),MATCH(H32,'G-6 Hedgerow Data'!$E$2:$I$2,0))))</f>
        <v/>
      </c>
      <c r="N32" s="159"/>
      <c r="O32" s="159"/>
      <c r="P32" s="370" t="str">
        <f t="shared" si="1"/>
        <v/>
      </c>
      <c r="Q32" s="383" t="str">
        <f t="shared" si="2"/>
        <v/>
      </c>
      <c r="R32" s="384" t="str">
        <f t="shared" si="0"/>
        <v/>
      </c>
      <c r="S32" s="398" t="str">
        <f>IF(D32="","",VLOOKUP(D32,'G-6 Hedgerow Data'!$B$3:$AG$15,31,FALSE))</f>
        <v/>
      </c>
      <c r="T32" s="370" t="str">
        <f t="shared" si="3"/>
        <v/>
      </c>
      <c r="U32" s="370" t="str">
        <f t="shared" si="4"/>
        <v/>
      </c>
      <c r="V32" s="386" t="str">
        <f>IF(D32="","",VLOOKUP(S32,'G-3 Multipliers'!$P$3:$Q$6,2,FALSE))</f>
        <v/>
      </c>
      <c r="W32" s="390" t="str">
        <f t="shared" si="5"/>
        <v/>
      </c>
      <c r="X32" s="117"/>
      <c r="Y32" s="118"/>
      <c r="Z32" s="120"/>
      <c r="AG32" s="30" t="str">
        <f>IFERROR(INDEX('G-6 Hedgerow Data'!$BJ$3:$BJ$15,MATCH(D32,'G-6 Hedgerow Data'!$B$3:$B$15,0)),"")</f>
        <v/>
      </c>
    </row>
    <row r="33" spans="2:33" ht="15">
      <c r="B33" s="110">
        <v>22</v>
      </c>
      <c r="C33" s="167"/>
      <c r="D33" s="159"/>
      <c r="E33" s="139"/>
      <c r="F33" s="362" t="str">
        <f>IF(D33="","",VLOOKUP(D33,'G-6 Hedgerow Data'!$B$2:$AG$15,2,FALSE))</f>
        <v/>
      </c>
      <c r="G33" s="368" t="str">
        <f>IF(D33="","",VLOOKUP(D33,'G-6 Hedgerow Data'!$B$2:$AG$15,3,FALSE))</f>
        <v/>
      </c>
      <c r="H33" s="54"/>
      <c r="I33" s="363" t="str">
        <f>IFERROR(VLOOKUP(H33,'G-1 All Habitats'!$Z$2:$AA$9,2,FALSE),"")</f>
        <v/>
      </c>
      <c r="J33" s="114"/>
      <c r="K33" s="382" t="str">
        <f>IF(J33="","",IF(VLOOKUP(J33,'G-3 Multipliers'!$L$3:$N$6,2,FALSE)=0,"Spatial Data Missing ⚠",VLOOKUP(J33,'G-3 Multipliers'!$L$3:$N$6,2,FALSE)))</f>
        <v/>
      </c>
      <c r="L33" s="368" t="str">
        <f>IF(J33="","",IF(VLOOKUP(J33,'G-3 Multipliers'!$L$3:$N$6,3,FALSE)=0,"Spatial Data Missing ⚠",VLOOKUP(J33,'G-3 Multipliers'!$L$3:$N$6,3,FALSE)))</f>
        <v/>
      </c>
      <c r="M33" s="362" t="str">
        <f>IF(OR(D33="",H33=""),"",(INDEX('G-6 Hedgerow Data'!$E$3:$I$15,MATCH(D33,'G-6 Hedgerow Data'!$B$3:$B$15,0),MATCH(H33,'G-6 Hedgerow Data'!$E$2:$I$2,0))))</f>
        <v/>
      </c>
      <c r="N33" s="159"/>
      <c r="O33" s="159"/>
      <c r="P33" s="370" t="str">
        <f t="shared" si="1"/>
        <v/>
      </c>
      <c r="Q33" s="383" t="str">
        <f t="shared" si="2"/>
        <v/>
      </c>
      <c r="R33" s="384" t="str">
        <f t="shared" si="0"/>
        <v/>
      </c>
      <c r="S33" s="398" t="str">
        <f>IF(D33="","",VLOOKUP(D33,'G-6 Hedgerow Data'!$B$3:$AG$15,31,FALSE))</f>
        <v/>
      </c>
      <c r="T33" s="370" t="str">
        <f t="shared" si="3"/>
        <v/>
      </c>
      <c r="U33" s="370" t="str">
        <f t="shared" si="4"/>
        <v/>
      </c>
      <c r="V33" s="386" t="str">
        <f>IF(D33="","",VLOOKUP(S33,'G-3 Multipliers'!$P$3:$Q$6,2,FALSE))</f>
        <v/>
      </c>
      <c r="W33" s="390" t="str">
        <f t="shared" si="5"/>
        <v/>
      </c>
      <c r="X33" s="117"/>
      <c r="Y33" s="118"/>
      <c r="Z33" s="120"/>
      <c r="AG33" s="30" t="str">
        <f>IFERROR(INDEX('G-6 Hedgerow Data'!$BJ$3:$BJ$15,MATCH(D33,'G-6 Hedgerow Data'!$B$3:$B$15,0)),"")</f>
        <v/>
      </c>
    </row>
    <row r="34" spans="2:33" ht="15">
      <c r="B34" s="110">
        <v>23</v>
      </c>
      <c r="C34" s="167"/>
      <c r="D34" s="159"/>
      <c r="E34" s="139"/>
      <c r="F34" s="362" t="str">
        <f>IF(D34="","",VLOOKUP(D34,'G-6 Hedgerow Data'!$B$2:$AG$15,2,FALSE))</f>
        <v/>
      </c>
      <c r="G34" s="368" t="str">
        <f>IF(D34="","",VLOOKUP(D34,'G-6 Hedgerow Data'!$B$2:$AG$15,3,FALSE))</f>
        <v/>
      </c>
      <c r="H34" s="54"/>
      <c r="I34" s="363" t="str">
        <f>IFERROR(VLOOKUP(H34,'G-1 All Habitats'!$Z$2:$AA$9,2,FALSE),"")</f>
        <v/>
      </c>
      <c r="J34" s="114"/>
      <c r="K34" s="382" t="str">
        <f>IF(J34="","",IF(VLOOKUP(J34,'G-3 Multipliers'!$L$3:$N$6,2,FALSE)=0,"Spatial Data Missing ⚠",VLOOKUP(J34,'G-3 Multipliers'!$L$3:$N$6,2,FALSE)))</f>
        <v/>
      </c>
      <c r="L34" s="368" t="str">
        <f>IF(J34="","",IF(VLOOKUP(J34,'G-3 Multipliers'!$L$3:$N$6,3,FALSE)=0,"Spatial Data Missing ⚠",VLOOKUP(J34,'G-3 Multipliers'!$L$3:$N$6,3,FALSE)))</f>
        <v/>
      </c>
      <c r="M34" s="362" t="str">
        <f>IF(OR(D34="",H34=""),"",(INDEX('G-6 Hedgerow Data'!$E$3:$I$15,MATCH(D34,'G-6 Hedgerow Data'!$B$3:$B$15,0),MATCH(H34,'G-6 Hedgerow Data'!$E$2:$I$2,0))))</f>
        <v/>
      </c>
      <c r="N34" s="159"/>
      <c r="O34" s="159"/>
      <c r="P34" s="370" t="str">
        <f t="shared" si="1"/>
        <v/>
      </c>
      <c r="Q34" s="383" t="str">
        <f t="shared" si="2"/>
        <v/>
      </c>
      <c r="R34" s="384" t="str">
        <f t="shared" si="0"/>
        <v/>
      </c>
      <c r="S34" s="398" t="str">
        <f>IF(D34="","",VLOOKUP(D34,'G-6 Hedgerow Data'!$B$3:$AG$15,31,FALSE))</f>
        <v/>
      </c>
      <c r="T34" s="370" t="str">
        <f t="shared" si="3"/>
        <v/>
      </c>
      <c r="U34" s="370" t="str">
        <f t="shared" si="4"/>
        <v/>
      </c>
      <c r="V34" s="386" t="str">
        <f>IF(D34="","",VLOOKUP(S34,'G-3 Multipliers'!$P$3:$Q$6,2,FALSE))</f>
        <v/>
      </c>
      <c r="W34" s="390" t="str">
        <f t="shared" si="5"/>
        <v/>
      </c>
      <c r="X34" s="117"/>
      <c r="Y34" s="118"/>
      <c r="Z34" s="120"/>
      <c r="AG34" s="30" t="str">
        <f>IFERROR(INDEX('G-6 Hedgerow Data'!$BJ$3:$BJ$15,MATCH(D34,'G-6 Hedgerow Data'!$B$3:$B$15,0)),"")</f>
        <v/>
      </c>
    </row>
    <row r="35" spans="2:33" ht="15">
      <c r="B35" s="110">
        <v>24</v>
      </c>
      <c r="C35" s="167"/>
      <c r="D35" s="159"/>
      <c r="E35" s="139"/>
      <c r="F35" s="362" t="str">
        <f>IF(D35="","",VLOOKUP(D35,'G-6 Hedgerow Data'!$B$2:$AG$15,2,FALSE))</f>
        <v/>
      </c>
      <c r="G35" s="368" t="str">
        <f>IF(D35="","",VLOOKUP(D35,'G-6 Hedgerow Data'!$B$2:$AG$15,3,FALSE))</f>
        <v/>
      </c>
      <c r="H35" s="54"/>
      <c r="I35" s="363" t="str">
        <f>IFERROR(VLOOKUP(H35,'G-1 All Habitats'!$Z$2:$AA$9,2,FALSE),"")</f>
        <v/>
      </c>
      <c r="J35" s="114"/>
      <c r="K35" s="382" t="str">
        <f>IF(J35="","",IF(VLOOKUP(J35,'G-3 Multipliers'!$L$3:$N$6,2,FALSE)=0,"Spatial Data Missing ⚠",VLOOKUP(J35,'G-3 Multipliers'!$L$3:$N$6,2,FALSE)))</f>
        <v/>
      </c>
      <c r="L35" s="368" t="str">
        <f>IF(J35="","",IF(VLOOKUP(J35,'G-3 Multipliers'!$L$3:$N$6,3,FALSE)=0,"Spatial Data Missing ⚠",VLOOKUP(J35,'G-3 Multipliers'!$L$3:$N$6,3,FALSE)))</f>
        <v/>
      </c>
      <c r="M35" s="362" t="str">
        <f>IF(OR(D35="",H35=""),"",(INDEX('G-6 Hedgerow Data'!$E$3:$I$15,MATCH(D35,'G-6 Hedgerow Data'!$B$3:$B$15,0),MATCH(H35,'G-6 Hedgerow Data'!$E$2:$I$2,0))))</f>
        <v/>
      </c>
      <c r="N35" s="159"/>
      <c r="O35" s="159"/>
      <c r="P35" s="370" t="str">
        <f t="shared" si="1"/>
        <v/>
      </c>
      <c r="Q35" s="383" t="str">
        <f t="shared" si="2"/>
        <v/>
      </c>
      <c r="R35" s="384" t="str">
        <f t="shared" si="0"/>
        <v/>
      </c>
      <c r="S35" s="398" t="str">
        <f>IF(D35="","",VLOOKUP(D35,'G-6 Hedgerow Data'!$B$3:$AG$15,31,FALSE))</f>
        <v/>
      </c>
      <c r="T35" s="370" t="str">
        <f t="shared" si="3"/>
        <v/>
      </c>
      <c r="U35" s="370" t="str">
        <f t="shared" si="4"/>
        <v/>
      </c>
      <c r="V35" s="386" t="str">
        <f>IF(D35="","",VLOOKUP(S35,'G-3 Multipliers'!$P$3:$Q$6,2,FALSE))</f>
        <v/>
      </c>
      <c r="W35" s="390" t="str">
        <f t="shared" si="5"/>
        <v/>
      </c>
      <c r="X35" s="117"/>
      <c r="Y35" s="118"/>
      <c r="Z35" s="120"/>
      <c r="AG35" s="30" t="str">
        <f>IFERROR(INDEX('G-6 Hedgerow Data'!$BJ$3:$BJ$15,MATCH(D35,'G-6 Hedgerow Data'!$B$3:$B$15,0)),"")</f>
        <v/>
      </c>
    </row>
    <row r="36" spans="2:33" ht="15">
      <c r="B36" s="110">
        <v>25</v>
      </c>
      <c r="C36" s="167"/>
      <c r="D36" s="159"/>
      <c r="E36" s="139"/>
      <c r="F36" s="362" t="str">
        <f>IF(D36="","",VLOOKUP(D36,'G-6 Hedgerow Data'!$B$2:$AG$15,2,FALSE))</f>
        <v/>
      </c>
      <c r="G36" s="368" t="str">
        <f>IF(D36="","",VLOOKUP(D36,'G-6 Hedgerow Data'!$B$2:$AG$15,3,FALSE))</f>
        <v/>
      </c>
      <c r="H36" s="54"/>
      <c r="I36" s="363" t="str">
        <f>IFERROR(VLOOKUP(H36,'G-1 All Habitats'!$Z$2:$AA$9,2,FALSE),"")</f>
        <v/>
      </c>
      <c r="J36" s="114"/>
      <c r="K36" s="382" t="str">
        <f>IF(J36="","",IF(VLOOKUP(J36,'G-3 Multipliers'!$L$3:$N$6,2,FALSE)=0,"Spatial Data Missing ⚠",VLOOKUP(J36,'G-3 Multipliers'!$L$3:$N$6,2,FALSE)))</f>
        <v/>
      </c>
      <c r="L36" s="368" t="str">
        <f>IF(J36="","",IF(VLOOKUP(J36,'G-3 Multipliers'!$L$3:$N$6,3,FALSE)=0,"Spatial Data Missing ⚠",VLOOKUP(J36,'G-3 Multipliers'!$L$3:$N$6,3,FALSE)))</f>
        <v/>
      </c>
      <c r="M36" s="362" t="str">
        <f>IF(OR(D36="",H36=""),"",(INDEX('G-6 Hedgerow Data'!$E$3:$I$15,MATCH(D36,'G-6 Hedgerow Data'!$B$3:$B$15,0),MATCH(H36,'G-6 Hedgerow Data'!$E$2:$I$2,0))))</f>
        <v/>
      </c>
      <c r="N36" s="159"/>
      <c r="O36" s="159"/>
      <c r="P36" s="370" t="str">
        <f t="shared" si="1"/>
        <v/>
      </c>
      <c r="Q36" s="383" t="str">
        <f t="shared" si="2"/>
        <v/>
      </c>
      <c r="R36" s="384" t="str">
        <f t="shared" si="0"/>
        <v/>
      </c>
      <c r="S36" s="398" t="str">
        <f>IF(D36="","",VLOOKUP(D36,'G-6 Hedgerow Data'!$B$3:$AG$15,31,FALSE))</f>
        <v/>
      </c>
      <c r="T36" s="370" t="str">
        <f t="shared" si="3"/>
        <v/>
      </c>
      <c r="U36" s="370" t="str">
        <f t="shared" si="4"/>
        <v/>
      </c>
      <c r="V36" s="386" t="str">
        <f>IF(D36="","",VLOOKUP(S36,'G-3 Multipliers'!$P$3:$Q$6,2,FALSE))</f>
        <v/>
      </c>
      <c r="W36" s="390" t="str">
        <f t="shared" si="5"/>
        <v/>
      </c>
      <c r="X36" s="117"/>
      <c r="Y36" s="118"/>
      <c r="Z36" s="120"/>
      <c r="AG36" s="30" t="str">
        <f>IFERROR(INDEX('G-6 Hedgerow Data'!$BJ$3:$BJ$15,MATCH(D36,'G-6 Hedgerow Data'!$B$3:$B$15,0)),"")</f>
        <v/>
      </c>
    </row>
    <row r="37" spans="2:33" ht="15">
      <c r="B37" s="110">
        <v>26</v>
      </c>
      <c r="C37" s="167"/>
      <c r="D37" s="159"/>
      <c r="E37" s="139"/>
      <c r="F37" s="411" t="str">
        <f>IF(D37="","",VLOOKUP(D37,'G-6 Hedgerow Data'!$B$2:$AG$15,2,FALSE))</f>
        <v/>
      </c>
      <c r="G37" s="363" t="str">
        <f>IF(D37="","",VLOOKUP(D37,'G-6 Hedgerow Data'!$B$2:$AG$15,3,FALSE))</f>
        <v/>
      </c>
      <c r="H37" s="114"/>
      <c r="I37" s="363" t="str">
        <f>IFERROR(VLOOKUP(H37,'G-1 All Habitats'!$Z$2:$AA$9,2,FALSE),"")</f>
        <v/>
      </c>
      <c r="J37" s="114"/>
      <c r="K37" s="382" t="str">
        <f>IF(J37="","",IF(VLOOKUP(J37,'G-3 Multipliers'!$L$3:$N$6,2,FALSE)=0,"Spatial Data Missing ⚠",VLOOKUP(J37,'G-3 Multipliers'!$L$3:$N$6,2,FALSE)))</f>
        <v/>
      </c>
      <c r="L37" s="368" t="str">
        <f>IF(J37="","",IF(VLOOKUP(J37,'G-3 Multipliers'!$L$3:$N$6,3,FALSE)=0,"Spatial Data Missing ⚠",VLOOKUP(J37,'G-3 Multipliers'!$L$3:$N$6,3,FALSE)))</f>
        <v/>
      </c>
      <c r="M37" s="362" t="str">
        <f>IF(OR(D37="",H37=""),"",(INDEX('G-6 Hedgerow Data'!$E$3:$I$15,MATCH(D37,'G-6 Hedgerow Data'!$B$3:$B$15,0),MATCH(H37,'G-6 Hedgerow Data'!$E$2:$I$2,0))))</f>
        <v/>
      </c>
      <c r="N37" s="159"/>
      <c r="O37" s="159"/>
      <c r="P37" s="370" t="str">
        <f t="shared" si="1"/>
        <v/>
      </c>
      <c r="Q37" s="383" t="str">
        <f t="shared" si="2"/>
        <v/>
      </c>
      <c r="R37" s="384" t="str">
        <f t="shared" si="0"/>
        <v/>
      </c>
      <c r="S37" s="398" t="str">
        <f>IF(D37="","",VLOOKUP(D37,'G-6 Hedgerow Data'!$B$3:$AG$15,31,FALSE))</f>
        <v/>
      </c>
      <c r="T37" s="370" t="str">
        <f t="shared" si="3"/>
        <v/>
      </c>
      <c r="U37" s="370" t="str">
        <f t="shared" si="4"/>
        <v/>
      </c>
      <c r="V37" s="386" t="str">
        <f>IF(D37="","",VLOOKUP(S37,'G-3 Multipliers'!$P$3:$Q$6,2,FALSE))</f>
        <v/>
      </c>
      <c r="W37" s="390" t="str">
        <f t="shared" si="5"/>
        <v/>
      </c>
      <c r="X37" s="117"/>
      <c r="Y37" s="118"/>
      <c r="Z37" s="120"/>
      <c r="AG37" s="30" t="str">
        <f>IFERROR(INDEX('G-6 Hedgerow Data'!$BJ$3:$BJ$15,MATCH(D37,'G-6 Hedgerow Data'!$B$3:$B$15,0)),"")</f>
        <v/>
      </c>
    </row>
    <row r="38" spans="2:33" ht="15">
      <c r="B38" s="110">
        <v>27</v>
      </c>
      <c r="C38" s="167"/>
      <c r="D38" s="159"/>
      <c r="E38" s="139"/>
      <c r="F38" s="411" t="str">
        <f>IF(D38="","",VLOOKUP(D38,'G-6 Hedgerow Data'!$B$2:$AG$15,2,FALSE))</f>
        <v/>
      </c>
      <c r="G38" s="363" t="str">
        <f>IF(D38="","",VLOOKUP(D38,'G-6 Hedgerow Data'!$B$2:$AG$15,3,FALSE))</f>
        <v/>
      </c>
      <c r="H38" s="114"/>
      <c r="I38" s="363" t="str">
        <f>IFERROR(VLOOKUP(H38,'G-1 All Habitats'!$Z$2:$AA$9,2,FALSE),"")</f>
        <v/>
      </c>
      <c r="J38" s="114"/>
      <c r="K38" s="382" t="str">
        <f>IF(J38="","",IF(VLOOKUP(J38,'G-3 Multipliers'!$L$3:$N$6,2,FALSE)=0,"Spatial Data Missing ⚠",VLOOKUP(J38,'G-3 Multipliers'!$L$3:$N$6,2,FALSE)))</f>
        <v/>
      </c>
      <c r="L38" s="368" t="str">
        <f>IF(J38="","",IF(VLOOKUP(J38,'G-3 Multipliers'!$L$3:$N$6,3,FALSE)=0,"Spatial Data Missing ⚠",VLOOKUP(J38,'G-3 Multipliers'!$L$3:$N$6,3,FALSE)))</f>
        <v/>
      </c>
      <c r="M38" s="362" t="str">
        <f>IF(OR(D38="",H38=""),"",(INDEX('G-6 Hedgerow Data'!$E$3:$I$15,MATCH(D38,'G-6 Hedgerow Data'!$B$3:$B$15,0),MATCH(H38,'G-6 Hedgerow Data'!$E$2:$I$2,0))))</f>
        <v/>
      </c>
      <c r="N38" s="159"/>
      <c r="O38" s="159"/>
      <c r="P38" s="370" t="str">
        <f t="shared" si="1"/>
        <v/>
      </c>
      <c r="Q38" s="383" t="str">
        <f t="shared" si="2"/>
        <v/>
      </c>
      <c r="R38" s="384" t="str">
        <f t="shared" si="0"/>
        <v/>
      </c>
      <c r="S38" s="398" t="str">
        <f>IF(D38="","",VLOOKUP(D38,'G-6 Hedgerow Data'!$B$3:$AG$15,31,FALSE))</f>
        <v/>
      </c>
      <c r="T38" s="370" t="str">
        <f t="shared" si="3"/>
        <v/>
      </c>
      <c r="U38" s="370" t="str">
        <f t="shared" si="4"/>
        <v/>
      </c>
      <c r="V38" s="386" t="str">
        <f>IF(D38="","",VLOOKUP(S38,'G-3 Multipliers'!$P$3:$Q$6,2,FALSE))</f>
        <v/>
      </c>
      <c r="W38" s="390" t="str">
        <f t="shared" si="5"/>
        <v/>
      </c>
      <c r="X38" s="117"/>
      <c r="Y38" s="118"/>
      <c r="Z38" s="120"/>
      <c r="AG38" s="30" t="str">
        <f>IFERROR(INDEX('G-6 Hedgerow Data'!$BJ$3:$BJ$15,MATCH(D38,'G-6 Hedgerow Data'!$B$3:$B$15,0)),"")</f>
        <v/>
      </c>
    </row>
    <row r="39" spans="2:33" ht="15">
      <c r="B39" s="110">
        <v>28</v>
      </c>
      <c r="C39" s="167"/>
      <c r="D39" s="159"/>
      <c r="E39" s="139"/>
      <c r="F39" s="411" t="str">
        <f>IF(D39="","",VLOOKUP(D39,'G-6 Hedgerow Data'!$B$2:$AG$15,2,FALSE))</f>
        <v/>
      </c>
      <c r="G39" s="363" t="str">
        <f>IF(D39="","",VLOOKUP(D39,'G-6 Hedgerow Data'!$B$2:$AG$15,3,FALSE))</f>
        <v/>
      </c>
      <c r="H39" s="114"/>
      <c r="I39" s="363" t="str">
        <f>IFERROR(VLOOKUP(H39,'G-1 All Habitats'!$Z$2:$AA$9,2,FALSE),"")</f>
        <v/>
      </c>
      <c r="J39" s="114"/>
      <c r="K39" s="382" t="str">
        <f>IF(J39="","",IF(VLOOKUP(J39,'G-3 Multipliers'!$L$3:$N$6,2,FALSE)=0,"Spatial Data Missing ⚠",VLOOKUP(J39,'G-3 Multipliers'!$L$3:$N$6,2,FALSE)))</f>
        <v/>
      </c>
      <c r="L39" s="368" t="str">
        <f>IF(J39="","",IF(VLOOKUP(J39,'G-3 Multipliers'!$L$3:$N$6,3,FALSE)=0,"Spatial Data Missing ⚠",VLOOKUP(J39,'G-3 Multipliers'!$L$3:$N$6,3,FALSE)))</f>
        <v/>
      </c>
      <c r="M39" s="362" t="str">
        <f>IF(OR(D39="",H39=""),"",(INDEX('G-6 Hedgerow Data'!$E$3:$I$15,MATCH(D39,'G-6 Hedgerow Data'!$B$3:$B$15,0),MATCH(H39,'G-6 Hedgerow Data'!$E$2:$I$2,0))))</f>
        <v/>
      </c>
      <c r="N39" s="159"/>
      <c r="O39" s="159"/>
      <c r="P39" s="370" t="str">
        <f t="shared" si="1"/>
        <v/>
      </c>
      <c r="Q39" s="383" t="str">
        <f t="shared" si="2"/>
        <v/>
      </c>
      <c r="R39" s="384" t="str">
        <f t="shared" si="0"/>
        <v/>
      </c>
      <c r="S39" s="398" t="str">
        <f>IF(D39="","",VLOOKUP(D39,'G-6 Hedgerow Data'!$B$3:$AG$15,31,FALSE))</f>
        <v/>
      </c>
      <c r="T39" s="370" t="str">
        <f t="shared" si="3"/>
        <v/>
      </c>
      <c r="U39" s="370" t="str">
        <f t="shared" si="4"/>
        <v/>
      </c>
      <c r="V39" s="386" t="str">
        <f>IF(D39="","",VLOOKUP(S39,'G-3 Multipliers'!$P$3:$Q$6,2,FALSE))</f>
        <v/>
      </c>
      <c r="W39" s="390" t="str">
        <f t="shared" si="5"/>
        <v/>
      </c>
      <c r="X39" s="117"/>
      <c r="Y39" s="118"/>
      <c r="Z39" s="120"/>
      <c r="AG39" s="30" t="str">
        <f>IFERROR(INDEX('G-6 Hedgerow Data'!$BJ$3:$BJ$15,MATCH(D39,'G-6 Hedgerow Data'!$B$3:$B$15,0)),"")</f>
        <v/>
      </c>
    </row>
    <row r="40" spans="2:33" ht="15">
      <c r="B40" s="110">
        <v>29</v>
      </c>
      <c r="C40" s="167"/>
      <c r="D40" s="159"/>
      <c r="E40" s="139"/>
      <c r="F40" s="411" t="str">
        <f>IF(D40="","",VLOOKUP(D40,'G-6 Hedgerow Data'!$B$2:$AG$15,2,FALSE))</f>
        <v/>
      </c>
      <c r="G40" s="363" t="str">
        <f>IF(D40="","",VLOOKUP(D40,'G-6 Hedgerow Data'!$B$2:$AG$15,3,FALSE))</f>
        <v/>
      </c>
      <c r="H40" s="114"/>
      <c r="I40" s="363" t="str">
        <f>IFERROR(VLOOKUP(H40,'G-1 All Habitats'!$Z$2:$AA$9,2,FALSE),"")</f>
        <v/>
      </c>
      <c r="J40" s="114"/>
      <c r="K40" s="382" t="str">
        <f>IF(J40="","",IF(VLOOKUP(J40,'G-3 Multipliers'!$L$3:$N$6,2,FALSE)=0,"Spatial Data Missing ⚠",VLOOKUP(J40,'G-3 Multipliers'!$L$3:$N$6,2,FALSE)))</f>
        <v/>
      </c>
      <c r="L40" s="368" t="str">
        <f>IF(J40="","",IF(VLOOKUP(J40,'G-3 Multipliers'!$L$3:$N$6,3,FALSE)=0,"Spatial Data Missing ⚠",VLOOKUP(J40,'G-3 Multipliers'!$L$3:$N$6,3,FALSE)))</f>
        <v/>
      </c>
      <c r="M40" s="362" t="str">
        <f>IF(OR(D40="",H40=""),"",(INDEX('G-6 Hedgerow Data'!$E$3:$I$15,MATCH(D40,'G-6 Hedgerow Data'!$B$3:$B$15,0),MATCH(H40,'G-6 Hedgerow Data'!$E$2:$I$2,0))))</f>
        <v/>
      </c>
      <c r="N40" s="159"/>
      <c r="O40" s="159"/>
      <c r="P40" s="370" t="str">
        <f t="shared" si="1"/>
        <v/>
      </c>
      <c r="Q40" s="383" t="str">
        <f t="shared" si="2"/>
        <v/>
      </c>
      <c r="R40" s="384" t="str">
        <f t="shared" si="0"/>
        <v/>
      </c>
      <c r="S40" s="398" t="str">
        <f>IF(D40="","",VLOOKUP(D40,'G-6 Hedgerow Data'!$B$3:$AG$15,31,FALSE))</f>
        <v/>
      </c>
      <c r="T40" s="370" t="str">
        <f t="shared" si="3"/>
        <v/>
      </c>
      <c r="U40" s="370" t="str">
        <f t="shared" si="4"/>
        <v/>
      </c>
      <c r="V40" s="386" t="str">
        <f>IF(D40="","",VLOOKUP(S40,'G-3 Multipliers'!$P$3:$Q$6,2,FALSE))</f>
        <v/>
      </c>
      <c r="W40" s="390" t="str">
        <f t="shared" si="5"/>
        <v/>
      </c>
      <c r="X40" s="117"/>
      <c r="Y40" s="118"/>
      <c r="Z40" s="120"/>
      <c r="AG40" s="30" t="str">
        <f>IFERROR(INDEX('G-6 Hedgerow Data'!$BJ$3:$BJ$15,MATCH(D40,'G-6 Hedgerow Data'!$B$3:$B$15,0)),"")</f>
        <v/>
      </c>
    </row>
    <row r="41" spans="2:33" ht="15">
      <c r="B41" s="110">
        <v>30</v>
      </c>
      <c r="C41" s="167"/>
      <c r="D41" s="159"/>
      <c r="E41" s="139"/>
      <c r="F41" s="411" t="str">
        <f>IF(D41="","",VLOOKUP(D41,'G-6 Hedgerow Data'!$B$2:$AG$15,2,FALSE))</f>
        <v/>
      </c>
      <c r="G41" s="363" t="str">
        <f>IF(D41="","",VLOOKUP(D41,'G-6 Hedgerow Data'!$B$2:$AG$15,3,FALSE))</f>
        <v/>
      </c>
      <c r="H41" s="114"/>
      <c r="I41" s="363" t="str">
        <f>IFERROR(VLOOKUP(H41,'G-1 All Habitats'!$Z$2:$AA$9,2,FALSE),"")</f>
        <v/>
      </c>
      <c r="J41" s="114"/>
      <c r="K41" s="382" t="str">
        <f>IF(J41="","",IF(VLOOKUP(J41,'G-3 Multipliers'!$L$3:$N$6,2,FALSE)=0,"Spatial Data Missing ⚠",VLOOKUP(J41,'G-3 Multipliers'!$L$3:$N$6,2,FALSE)))</f>
        <v/>
      </c>
      <c r="L41" s="368" t="str">
        <f>IF(J41="","",IF(VLOOKUP(J41,'G-3 Multipliers'!$L$3:$N$6,3,FALSE)=0,"Spatial Data Missing ⚠",VLOOKUP(J41,'G-3 Multipliers'!$L$3:$N$6,3,FALSE)))</f>
        <v/>
      </c>
      <c r="M41" s="362" t="str">
        <f>IF(OR(D41="",H41=""),"",(INDEX('G-6 Hedgerow Data'!$E$3:$I$15,MATCH(D41,'G-6 Hedgerow Data'!$B$3:$B$15,0),MATCH(H41,'G-6 Hedgerow Data'!$E$2:$I$2,0))))</f>
        <v/>
      </c>
      <c r="N41" s="159"/>
      <c r="O41" s="159"/>
      <c r="P41" s="370" t="str">
        <f t="shared" si="1"/>
        <v/>
      </c>
      <c r="Q41" s="383" t="str">
        <f t="shared" si="2"/>
        <v/>
      </c>
      <c r="R41" s="384" t="str">
        <f t="shared" si="0"/>
        <v/>
      </c>
      <c r="S41" s="398" t="str">
        <f>IF(D41="","",VLOOKUP(D41,'G-6 Hedgerow Data'!$B$3:$AG$15,31,FALSE))</f>
        <v/>
      </c>
      <c r="T41" s="370" t="str">
        <f t="shared" si="3"/>
        <v/>
      </c>
      <c r="U41" s="370" t="str">
        <f t="shared" si="4"/>
        <v/>
      </c>
      <c r="V41" s="386" t="str">
        <f>IF(D41="","",VLOOKUP(S41,'G-3 Multipliers'!$P$3:$Q$6,2,FALSE))</f>
        <v/>
      </c>
      <c r="W41" s="390" t="str">
        <f t="shared" si="5"/>
        <v/>
      </c>
      <c r="X41" s="117"/>
      <c r="Y41" s="118"/>
      <c r="Z41" s="120"/>
      <c r="AG41" s="30" t="str">
        <f>IFERROR(INDEX('G-6 Hedgerow Data'!$BJ$3:$BJ$15,MATCH(D41,'G-6 Hedgerow Data'!$B$3:$B$15,0)),"")</f>
        <v/>
      </c>
    </row>
    <row r="42" spans="2:33" ht="15">
      <c r="B42" s="110">
        <v>31</v>
      </c>
      <c r="C42" s="167"/>
      <c r="D42" s="159"/>
      <c r="E42" s="139"/>
      <c r="F42" s="411" t="str">
        <f>IF(D42="","",VLOOKUP(D42,'G-6 Hedgerow Data'!$B$2:$AG$15,2,FALSE))</f>
        <v/>
      </c>
      <c r="G42" s="363" t="str">
        <f>IF(D42="","",VLOOKUP(D42,'G-6 Hedgerow Data'!$B$2:$AG$15,3,FALSE))</f>
        <v/>
      </c>
      <c r="H42" s="114"/>
      <c r="I42" s="363" t="str">
        <f>IFERROR(VLOOKUP(H42,'G-1 All Habitats'!$Z$2:$AA$9,2,FALSE),"")</f>
        <v/>
      </c>
      <c r="J42" s="114"/>
      <c r="K42" s="382" t="str">
        <f>IF(J42="","",IF(VLOOKUP(J42,'G-3 Multipliers'!$L$3:$N$6,2,FALSE)=0,"Spatial Data Missing ⚠",VLOOKUP(J42,'G-3 Multipliers'!$L$3:$N$6,2,FALSE)))</f>
        <v/>
      </c>
      <c r="L42" s="368" t="str">
        <f>IF(J42="","",IF(VLOOKUP(J42,'G-3 Multipliers'!$L$3:$N$6,3,FALSE)=0,"Spatial Data Missing ⚠",VLOOKUP(J42,'G-3 Multipliers'!$L$3:$N$6,3,FALSE)))</f>
        <v/>
      </c>
      <c r="M42" s="362" t="str">
        <f>IF(OR(D42="",H42=""),"",(INDEX('G-6 Hedgerow Data'!$E$3:$I$15,MATCH(D42,'G-6 Hedgerow Data'!$B$3:$B$15,0),MATCH(H42,'G-6 Hedgerow Data'!$E$2:$I$2,0))))</f>
        <v/>
      </c>
      <c r="N42" s="159"/>
      <c r="O42" s="159"/>
      <c r="P42" s="370" t="str">
        <f t="shared" si="1"/>
        <v/>
      </c>
      <c r="Q42" s="383" t="str">
        <f t="shared" si="2"/>
        <v/>
      </c>
      <c r="R42" s="384" t="str">
        <f t="shared" si="0"/>
        <v/>
      </c>
      <c r="S42" s="398" t="str">
        <f>IF(D42="","",VLOOKUP(D42,'G-6 Hedgerow Data'!$B$3:$AG$15,31,FALSE))</f>
        <v/>
      </c>
      <c r="T42" s="370" t="str">
        <f t="shared" si="3"/>
        <v/>
      </c>
      <c r="U42" s="370" t="str">
        <f t="shared" si="4"/>
        <v/>
      </c>
      <c r="V42" s="386" t="str">
        <f>IF(D42="","",VLOOKUP(S42,'G-3 Multipliers'!$P$3:$Q$6,2,FALSE))</f>
        <v/>
      </c>
      <c r="W42" s="390" t="str">
        <f t="shared" si="5"/>
        <v/>
      </c>
      <c r="X42" s="117"/>
      <c r="Y42" s="118"/>
      <c r="Z42" s="120"/>
      <c r="AG42" s="30" t="str">
        <f>IFERROR(INDEX('G-6 Hedgerow Data'!$BJ$3:$BJ$15,MATCH(D42,'G-6 Hedgerow Data'!$B$3:$B$15,0)),"")</f>
        <v/>
      </c>
    </row>
    <row r="43" spans="2:33" ht="15">
      <c r="B43" s="110">
        <v>32</v>
      </c>
      <c r="C43" s="167"/>
      <c r="D43" s="159"/>
      <c r="E43" s="139"/>
      <c r="F43" s="411" t="str">
        <f>IF(D43="","",VLOOKUP(D43,'G-6 Hedgerow Data'!$B$2:$AG$15,2,FALSE))</f>
        <v/>
      </c>
      <c r="G43" s="363" t="str">
        <f>IF(D43="","",VLOOKUP(D43,'G-6 Hedgerow Data'!$B$2:$AG$15,3,FALSE))</f>
        <v/>
      </c>
      <c r="H43" s="114"/>
      <c r="I43" s="363" t="str">
        <f>IFERROR(VLOOKUP(H43,'G-1 All Habitats'!$Z$2:$AA$9,2,FALSE),"")</f>
        <v/>
      </c>
      <c r="J43" s="114"/>
      <c r="K43" s="382" t="str">
        <f>IF(J43="","",IF(VLOOKUP(J43,'G-3 Multipliers'!$L$3:$N$6,2,FALSE)=0,"Spatial Data Missing ⚠",VLOOKUP(J43,'G-3 Multipliers'!$L$3:$N$6,2,FALSE)))</f>
        <v/>
      </c>
      <c r="L43" s="368" t="str">
        <f>IF(J43="","",IF(VLOOKUP(J43,'G-3 Multipliers'!$L$3:$N$6,3,FALSE)=0,"Spatial Data Missing ⚠",VLOOKUP(J43,'G-3 Multipliers'!$L$3:$N$6,3,FALSE)))</f>
        <v/>
      </c>
      <c r="M43" s="362" t="str">
        <f>IF(OR(D43="",H43=""),"",(INDEX('G-6 Hedgerow Data'!$E$3:$I$15,MATCH(D43,'G-6 Hedgerow Data'!$B$3:$B$15,0),MATCH(H43,'G-6 Hedgerow Data'!$E$2:$I$2,0))))</f>
        <v/>
      </c>
      <c r="N43" s="159"/>
      <c r="O43" s="159"/>
      <c r="P43" s="370" t="str">
        <f t="shared" si="1"/>
        <v/>
      </c>
      <c r="Q43" s="383" t="str">
        <f t="shared" si="2"/>
        <v/>
      </c>
      <c r="R43" s="384" t="str">
        <f t="shared" si="0"/>
        <v/>
      </c>
      <c r="S43" s="398" t="str">
        <f>IF(D43="","",VLOOKUP(D43,'G-6 Hedgerow Data'!$B$3:$AG$15,31,FALSE))</f>
        <v/>
      </c>
      <c r="T43" s="370" t="str">
        <f t="shared" si="3"/>
        <v/>
      </c>
      <c r="U43" s="370" t="str">
        <f t="shared" si="4"/>
        <v/>
      </c>
      <c r="V43" s="386" t="str">
        <f>IF(D43="","",VLOOKUP(S43,'G-3 Multipliers'!$P$3:$Q$6,2,FALSE))</f>
        <v/>
      </c>
      <c r="W43" s="390" t="str">
        <f t="shared" si="5"/>
        <v/>
      </c>
      <c r="X43" s="117"/>
      <c r="Y43" s="118"/>
      <c r="Z43" s="120"/>
      <c r="AG43" s="30" t="str">
        <f>IFERROR(INDEX('G-6 Hedgerow Data'!$BJ$3:$BJ$15,MATCH(D43,'G-6 Hedgerow Data'!$B$3:$B$15,0)),"")</f>
        <v/>
      </c>
    </row>
    <row r="44" spans="2:33" ht="15">
      <c r="B44" s="110">
        <v>33</v>
      </c>
      <c r="C44" s="167"/>
      <c r="D44" s="159"/>
      <c r="E44" s="139"/>
      <c r="F44" s="411" t="str">
        <f>IF(D44="","",VLOOKUP(D44,'G-6 Hedgerow Data'!$B$2:$AG$15,2,FALSE))</f>
        <v/>
      </c>
      <c r="G44" s="363" t="str">
        <f>IF(D44="","",VLOOKUP(D44,'G-6 Hedgerow Data'!$B$2:$AG$15,3,FALSE))</f>
        <v/>
      </c>
      <c r="H44" s="114"/>
      <c r="I44" s="363" t="str">
        <f>IFERROR(VLOOKUP(H44,'G-1 All Habitats'!$Z$2:$AA$9,2,FALSE),"")</f>
        <v/>
      </c>
      <c r="J44" s="114"/>
      <c r="K44" s="382" t="str">
        <f>IF(J44="","",IF(VLOOKUP(J44,'G-3 Multipliers'!$L$3:$N$6,2,FALSE)=0,"Spatial Data Missing ⚠",VLOOKUP(J44,'G-3 Multipliers'!$L$3:$N$6,2,FALSE)))</f>
        <v/>
      </c>
      <c r="L44" s="368" t="str">
        <f>IF(J44="","",IF(VLOOKUP(J44,'G-3 Multipliers'!$L$3:$N$6,3,FALSE)=0,"Spatial Data Missing ⚠",VLOOKUP(J44,'G-3 Multipliers'!$L$3:$N$6,3,FALSE)))</f>
        <v/>
      </c>
      <c r="M44" s="362" t="str">
        <f>IF(OR(D44="",H44=""),"",(INDEX('G-6 Hedgerow Data'!$E$3:$I$15,MATCH(D44,'G-6 Hedgerow Data'!$B$3:$B$15,0),MATCH(H44,'G-6 Hedgerow Data'!$E$2:$I$2,0))))</f>
        <v/>
      </c>
      <c r="N44" s="159"/>
      <c r="O44" s="159"/>
      <c r="P44" s="370" t="str">
        <f t="shared" si="1"/>
        <v/>
      </c>
      <c r="Q44" s="383" t="str">
        <f t="shared" si="2"/>
        <v/>
      </c>
      <c r="R44" s="384" t="str">
        <f t="shared" si="0"/>
        <v/>
      </c>
      <c r="S44" s="398" t="str">
        <f>IF(D44="","",VLOOKUP(D44,'G-6 Hedgerow Data'!$B$3:$AG$15,31,FALSE))</f>
        <v/>
      </c>
      <c r="T44" s="370" t="str">
        <f t="shared" si="3"/>
        <v/>
      </c>
      <c r="U44" s="370" t="str">
        <f t="shared" si="4"/>
        <v/>
      </c>
      <c r="V44" s="386" t="str">
        <f>IF(D44="","",VLOOKUP(S44,'G-3 Multipliers'!$P$3:$Q$6,2,FALSE))</f>
        <v/>
      </c>
      <c r="W44" s="390" t="str">
        <f t="shared" si="5"/>
        <v/>
      </c>
      <c r="X44" s="117"/>
      <c r="Y44" s="118"/>
      <c r="Z44" s="120"/>
      <c r="AG44" s="30" t="str">
        <f>IFERROR(INDEX('G-6 Hedgerow Data'!$BJ$3:$BJ$15,MATCH(D44,'G-6 Hedgerow Data'!$B$3:$B$15,0)),"")</f>
        <v/>
      </c>
    </row>
    <row r="45" spans="2:33" ht="15">
      <c r="B45" s="110">
        <v>34</v>
      </c>
      <c r="C45" s="167"/>
      <c r="D45" s="159"/>
      <c r="E45" s="139"/>
      <c r="F45" s="411" t="str">
        <f>IF(D45="","",VLOOKUP(D45,'G-6 Hedgerow Data'!$B$2:$AG$15,2,FALSE))</f>
        <v/>
      </c>
      <c r="G45" s="363" t="str">
        <f>IF(D45="","",VLOOKUP(D45,'G-6 Hedgerow Data'!$B$2:$AG$15,3,FALSE))</f>
        <v/>
      </c>
      <c r="H45" s="114"/>
      <c r="I45" s="363" t="str">
        <f>IFERROR(VLOOKUP(H45,'G-1 All Habitats'!$Z$2:$AA$9,2,FALSE),"")</f>
        <v/>
      </c>
      <c r="J45" s="114"/>
      <c r="K45" s="382" t="str">
        <f>IF(J45="","",IF(VLOOKUP(J45,'G-3 Multipliers'!$L$3:$N$6,2,FALSE)=0,"Spatial Data Missing ⚠",VLOOKUP(J45,'G-3 Multipliers'!$L$3:$N$6,2,FALSE)))</f>
        <v/>
      </c>
      <c r="L45" s="368" t="str">
        <f>IF(J45="","",IF(VLOOKUP(J45,'G-3 Multipliers'!$L$3:$N$6,3,FALSE)=0,"Spatial Data Missing ⚠",VLOOKUP(J45,'G-3 Multipliers'!$L$3:$N$6,3,FALSE)))</f>
        <v/>
      </c>
      <c r="M45" s="362" t="str">
        <f>IF(OR(D45="",H45=""),"",(INDEX('G-6 Hedgerow Data'!$E$3:$I$15,MATCH(D45,'G-6 Hedgerow Data'!$B$3:$B$15,0),MATCH(H45,'G-6 Hedgerow Data'!$E$2:$I$2,0))))</f>
        <v/>
      </c>
      <c r="N45" s="159"/>
      <c r="O45" s="159"/>
      <c r="P45" s="370" t="str">
        <f t="shared" si="1"/>
        <v/>
      </c>
      <c r="Q45" s="383" t="str">
        <f t="shared" si="2"/>
        <v/>
      </c>
      <c r="R45" s="384" t="str">
        <f t="shared" si="0"/>
        <v/>
      </c>
      <c r="S45" s="398" t="str">
        <f>IF(D45="","",VLOOKUP(D45,'G-6 Hedgerow Data'!$B$3:$AG$15,31,FALSE))</f>
        <v/>
      </c>
      <c r="T45" s="370" t="str">
        <f t="shared" si="3"/>
        <v/>
      </c>
      <c r="U45" s="370" t="str">
        <f t="shared" si="4"/>
        <v/>
      </c>
      <c r="V45" s="386" t="str">
        <f>IF(D45="","",VLOOKUP(S45,'G-3 Multipliers'!$P$3:$Q$6,2,FALSE))</f>
        <v/>
      </c>
      <c r="W45" s="390" t="str">
        <f t="shared" si="5"/>
        <v/>
      </c>
      <c r="X45" s="117"/>
      <c r="Y45" s="118"/>
      <c r="Z45" s="120"/>
      <c r="AG45" s="30" t="str">
        <f>IFERROR(INDEX('G-6 Hedgerow Data'!$BJ$3:$BJ$15,MATCH(D45,'G-6 Hedgerow Data'!$B$3:$B$15,0)),"")</f>
        <v/>
      </c>
    </row>
    <row r="46" spans="2:33" ht="15">
      <c r="B46" s="110">
        <v>35</v>
      </c>
      <c r="C46" s="167"/>
      <c r="D46" s="159"/>
      <c r="E46" s="139"/>
      <c r="F46" s="411" t="str">
        <f>IF(D46="","",VLOOKUP(D46,'G-6 Hedgerow Data'!$B$2:$AG$15,2,FALSE))</f>
        <v/>
      </c>
      <c r="G46" s="363" t="str">
        <f>IF(D46="","",VLOOKUP(D46,'G-6 Hedgerow Data'!$B$2:$AG$15,3,FALSE))</f>
        <v/>
      </c>
      <c r="H46" s="114"/>
      <c r="I46" s="363" t="str">
        <f>IFERROR(VLOOKUP(H46,'G-1 All Habitats'!$Z$2:$AA$9,2,FALSE),"")</f>
        <v/>
      </c>
      <c r="J46" s="114"/>
      <c r="K46" s="382" t="str">
        <f>IF(J46="","",IF(VLOOKUP(J46,'G-3 Multipliers'!$L$3:$N$6,2,FALSE)=0,"Spatial Data Missing ⚠",VLOOKUP(J46,'G-3 Multipliers'!$L$3:$N$6,2,FALSE)))</f>
        <v/>
      </c>
      <c r="L46" s="368" t="str">
        <f>IF(J46="","",IF(VLOOKUP(J46,'G-3 Multipliers'!$L$3:$N$6,3,FALSE)=0,"Spatial Data Missing ⚠",VLOOKUP(J46,'G-3 Multipliers'!$L$3:$N$6,3,FALSE)))</f>
        <v/>
      </c>
      <c r="M46" s="362" t="str">
        <f>IF(OR(D46="",H46=""),"",(INDEX('G-6 Hedgerow Data'!$E$3:$I$15,MATCH(D46,'G-6 Hedgerow Data'!$B$3:$B$15,0),MATCH(H46,'G-6 Hedgerow Data'!$E$2:$I$2,0))))</f>
        <v/>
      </c>
      <c r="N46" s="159"/>
      <c r="O46" s="159"/>
      <c r="P46" s="370" t="str">
        <f t="shared" si="1"/>
        <v/>
      </c>
      <c r="Q46" s="383" t="str">
        <f t="shared" si="2"/>
        <v/>
      </c>
      <c r="R46" s="384" t="str">
        <f t="shared" si="0"/>
        <v/>
      </c>
      <c r="S46" s="398" t="str">
        <f>IF(D46="","",VLOOKUP(D46,'G-6 Hedgerow Data'!$B$3:$AG$15,31,FALSE))</f>
        <v/>
      </c>
      <c r="T46" s="370" t="str">
        <f t="shared" si="3"/>
        <v/>
      </c>
      <c r="U46" s="370" t="str">
        <f t="shared" si="4"/>
        <v/>
      </c>
      <c r="V46" s="386" t="str">
        <f>IF(D46="","",VLOOKUP(S46,'G-3 Multipliers'!$P$3:$Q$6,2,FALSE))</f>
        <v/>
      </c>
      <c r="W46" s="390" t="str">
        <f t="shared" si="5"/>
        <v/>
      </c>
      <c r="X46" s="117"/>
      <c r="Y46" s="118"/>
      <c r="Z46" s="120"/>
      <c r="AG46" s="30" t="str">
        <f>IFERROR(INDEX('G-6 Hedgerow Data'!$BJ$3:$BJ$15,MATCH(D46,'G-6 Hedgerow Data'!$B$3:$B$15,0)),"")</f>
        <v/>
      </c>
    </row>
    <row r="47" spans="2:33" ht="15">
      <c r="B47" s="110">
        <v>36</v>
      </c>
      <c r="C47" s="167"/>
      <c r="D47" s="159"/>
      <c r="E47" s="139"/>
      <c r="F47" s="411" t="str">
        <f>IF(D47="","",VLOOKUP(D47,'G-6 Hedgerow Data'!$B$2:$AG$15,2,FALSE))</f>
        <v/>
      </c>
      <c r="G47" s="363" t="str">
        <f>IF(D47="","",VLOOKUP(D47,'G-6 Hedgerow Data'!$B$2:$AG$15,3,FALSE))</f>
        <v/>
      </c>
      <c r="H47" s="114"/>
      <c r="I47" s="363" t="str">
        <f>IFERROR(VLOOKUP(H47,'G-1 All Habitats'!$Z$2:$AA$9,2,FALSE),"")</f>
        <v/>
      </c>
      <c r="J47" s="114"/>
      <c r="K47" s="382" t="str">
        <f>IF(J47="","",IF(VLOOKUP(J47,'G-3 Multipliers'!$L$3:$N$6,2,FALSE)=0,"Spatial Data Missing ⚠",VLOOKUP(J47,'G-3 Multipliers'!$L$3:$N$6,2,FALSE)))</f>
        <v/>
      </c>
      <c r="L47" s="368" t="str">
        <f>IF(J47="","",IF(VLOOKUP(J47,'G-3 Multipliers'!$L$3:$N$6,3,FALSE)=0,"Spatial Data Missing ⚠",VLOOKUP(J47,'G-3 Multipliers'!$L$3:$N$6,3,FALSE)))</f>
        <v/>
      </c>
      <c r="M47" s="362" t="str">
        <f>IF(OR(D47="",H47=""),"",(INDEX('G-6 Hedgerow Data'!$E$3:$I$15,MATCH(D47,'G-6 Hedgerow Data'!$B$3:$B$15,0),MATCH(H47,'G-6 Hedgerow Data'!$E$2:$I$2,0))))</f>
        <v/>
      </c>
      <c r="N47" s="159"/>
      <c r="O47" s="159"/>
      <c r="P47" s="370" t="str">
        <f t="shared" si="1"/>
        <v/>
      </c>
      <c r="Q47" s="383" t="str">
        <f t="shared" si="2"/>
        <v/>
      </c>
      <c r="R47" s="384" t="str">
        <f t="shared" si="0"/>
        <v/>
      </c>
      <c r="S47" s="398" t="str">
        <f>IF(D47="","",VLOOKUP(D47,'G-6 Hedgerow Data'!$B$3:$AG$15,31,FALSE))</f>
        <v/>
      </c>
      <c r="T47" s="370" t="str">
        <f t="shared" si="3"/>
        <v/>
      </c>
      <c r="U47" s="370" t="str">
        <f t="shared" si="4"/>
        <v/>
      </c>
      <c r="V47" s="386" t="str">
        <f>IF(D47="","",VLOOKUP(S47,'G-3 Multipliers'!$P$3:$Q$6,2,FALSE))</f>
        <v/>
      </c>
      <c r="W47" s="390" t="str">
        <f t="shared" si="5"/>
        <v/>
      </c>
      <c r="X47" s="117"/>
      <c r="Y47" s="118"/>
      <c r="Z47" s="120"/>
      <c r="AG47" s="30" t="str">
        <f>IFERROR(INDEX('G-6 Hedgerow Data'!$BJ$3:$BJ$15,MATCH(D47,'G-6 Hedgerow Data'!$B$3:$B$15,0)),"")</f>
        <v/>
      </c>
    </row>
    <row r="48" spans="2:33" ht="15">
      <c r="B48" s="110">
        <v>37</v>
      </c>
      <c r="C48" s="167"/>
      <c r="D48" s="159"/>
      <c r="E48" s="139"/>
      <c r="F48" s="411" t="str">
        <f>IF(D48="","",VLOOKUP(D48,'G-6 Hedgerow Data'!$B$2:$AG$15,2,FALSE))</f>
        <v/>
      </c>
      <c r="G48" s="363" t="str">
        <f>IF(D48="","",VLOOKUP(D48,'G-6 Hedgerow Data'!$B$2:$AG$15,3,FALSE))</f>
        <v/>
      </c>
      <c r="H48" s="114"/>
      <c r="I48" s="363" t="str">
        <f>IFERROR(VLOOKUP(H48,'G-1 All Habitats'!$Z$2:$AA$9,2,FALSE),"")</f>
        <v/>
      </c>
      <c r="J48" s="114"/>
      <c r="K48" s="382" t="str">
        <f>IF(J48="","",IF(VLOOKUP(J48,'G-3 Multipliers'!$L$3:$N$6,2,FALSE)=0,"Spatial Data Missing ⚠",VLOOKUP(J48,'G-3 Multipliers'!$L$3:$N$6,2,FALSE)))</f>
        <v/>
      </c>
      <c r="L48" s="368" t="str">
        <f>IF(J48="","",IF(VLOOKUP(J48,'G-3 Multipliers'!$L$3:$N$6,3,FALSE)=0,"Spatial Data Missing ⚠",VLOOKUP(J48,'G-3 Multipliers'!$L$3:$N$6,3,FALSE)))</f>
        <v/>
      </c>
      <c r="M48" s="362" t="str">
        <f>IF(OR(D48="",H48=""),"",(INDEX('G-6 Hedgerow Data'!$E$3:$I$15,MATCH(D48,'G-6 Hedgerow Data'!$B$3:$B$15,0),MATCH(H48,'G-6 Hedgerow Data'!$E$2:$I$2,0))))</f>
        <v/>
      </c>
      <c r="N48" s="159"/>
      <c r="O48" s="159"/>
      <c r="P48" s="370" t="str">
        <f t="shared" si="1"/>
        <v/>
      </c>
      <c r="Q48" s="383" t="str">
        <f t="shared" si="2"/>
        <v/>
      </c>
      <c r="R48" s="384" t="str">
        <f t="shared" si="0"/>
        <v/>
      </c>
      <c r="S48" s="398" t="str">
        <f>IF(D48="","",VLOOKUP(D48,'G-6 Hedgerow Data'!$B$3:$AG$15,31,FALSE))</f>
        <v/>
      </c>
      <c r="T48" s="370" t="str">
        <f t="shared" si="3"/>
        <v/>
      </c>
      <c r="U48" s="370" t="str">
        <f t="shared" si="4"/>
        <v/>
      </c>
      <c r="V48" s="386" t="str">
        <f>IF(D48="","",VLOOKUP(S48,'G-3 Multipliers'!$P$3:$Q$6,2,FALSE))</f>
        <v/>
      </c>
      <c r="W48" s="390" t="str">
        <f t="shared" si="5"/>
        <v/>
      </c>
      <c r="X48" s="117"/>
      <c r="Y48" s="118"/>
      <c r="Z48" s="120"/>
      <c r="AG48" s="30" t="str">
        <f>IFERROR(INDEX('G-6 Hedgerow Data'!$BJ$3:$BJ$15,MATCH(D48,'G-6 Hedgerow Data'!$B$3:$B$15,0)),"")</f>
        <v/>
      </c>
    </row>
    <row r="49" spans="2:33" ht="15">
      <c r="B49" s="110">
        <v>38</v>
      </c>
      <c r="C49" s="167"/>
      <c r="D49" s="159"/>
      <c r="E49" s="139"/>
      <c r="F49" s="411" t="str">
        <f>IF(D49="","",VLOOKUP(D49,'G-6 Hedgerow Data'!$B$2:$AG$15,2,FALSE))</f>
        <v/>
      </c>
      <c r="G49" s="363" t="str">
        <f>IF(D49="","",VLOOKUP(D49,'G-6 Hedgerow Data'!$B$2:$AG$15,3,FALSE))</f>
        <v/>
      </c>
      <c r="H49" s="114"/>
      <c r="I49" s="363" t="str">
        <f>IFERROR(VLOOKUP(H49,'G-1 All Habitats'!$Z$2:$AA$9,2,FALSE),"")</f>
        <v/>
      </c>
      <c r="J49" s="114"/>
      <c r="K49" s="382" t="str">
        <f>IF(J49="","",IF(VLOOKUP(J49,'G-3 Multipliers'!$L$3:$N$6,2,FALSE)=0,"Spatial Data Missing ⚠",VLOOKUP(J49,'G-3 Multipliers'!$L$3:$N$6,2,FALSE)))</f>
        <v/>
      </c>
      <c r="L49" s="368" t="str">
        <f>IF(J49="","",IF(VLOOKUP(J49,'G-3 Multipliers'!$L$3:$N$6,3,FALSE)=0,"Spatial Data Missing ⚠",VLOOKUP(J49,'G-3 Multipliers'!$L$3:$N$6,3,FALSE)))</f>
        <v/>
      </c>
      <c r="M49" s="362" t="str">
        <f>IF(OR(D49="",H49=""),"",(INDEX('G-6 Hedgerow Data'!$E$3:$I$15,MATCH(D49,'G-6 Hedgerow Data'!$B$3:$B$15,0),MATCH(H49,'G-6 Hedgerow Data'!$E$2:$I$2,0))))</f>
        <v/>
      </c>
      <c r="N49" s="159"/>
      <c r="O49" s="159"/>
      <c r="P49" s="370" t="str">
        <f t="shared" si="1"/>
        <v/>
      </c>
      <c r="Q49" s="383" t="str">
        <f t="shared" si="2"/>
        <v/>
      </c>
      <c r="R49" s="384" t="str">
        <f t="shared" si="0"/>
        <v/>
      </c>
      <c r="S49" s="398" t="str">
        <f>IF(D49="","",VLOOKUP(D49,'G-6 Hedgerow Data'!$B$3:$AG$15,31,FALSE))</f>
        <v/>
      </c>
      <c r="T49" s="370" t="str">
        <f t="shared" si="3"/>
        <v/>
      </c>
      <c r="U49" s="370" t="str">
        <f t="shared" si="4"/>
        <v/>
      </c>
      <c r="V49" s="386" t="str">
        <f>IF(D49="","",VLOOKUP(S49,'G-3 Multipliers'!$P$3:$Q$6,2,FALSE))</f>
        <v/>
      </c>
      <c r="W49" s="390" t="str">
        <f t="shared" si="5"/>
        <v/>
      </c>
      <c r="X49" s="117"/>
      <c r="Y49" s="118"/>
      <c r="Z49" s="120"/>
      <c r="AG49" s="30" t="str">
        <f>IFERROR(INDEX('G-6 Hedgerow Data'!$BJ$3:$BJ$15,MATCH(D49,'G-6 Hedgerow Data'!$B$3:$B$15,0)),"")</f>
        <v/>
      </c>
    </row>
    <row r="50" spans="2:33" ht="15">
      <c r="B50" s="110">
        <v>39</v>
      </c>
      <c r="C50" s="167"/>
      <c r="D50" s="159"/>
      <c r="E50" s="139"/>
      <c r="F50" s="411" t="str">
        <f>IF(D50="","",VLOOKUP(D50,'G-6 Hedgerow Data'!$B$2:$AG$15,2,FALSE))</f>
        <v/>
      </c>
      <c r="G50" s="363" t="str">
        <f>IF(D50="","",VLOOKUP(D50,'G-6 Hedgerow Data'!$B$2:$AG$15,3,FALSE))</f>
        <v/>
      </c>
      <c r="H50" s="114"/>
      <c r="I50" s="363" t="str">
        <f>IFERROR(VLOOKUP(H50,'G-1 All Habitats'!$Z$2:$AA$9,2,FALSE),"")</f>
        <v/>
      </c>
      <c r="J50" s="114"/>
      <c r="K50" s="382" t="str">
        <f>IF(J50="","",IF(VLOOKUP(J50,'G-3 Multipliers'!$L$3:$N$6,2,FALSE)=0,"Spatial Data Missing ⚠",VLOOKUP(J50,'G-3 Multipliers'!$L$3:$N$6,2,FALSE)))</f>
        <v/>
      </c>
      <c r="L50" s="368" t="str">
        <f>IF(J50="","",IF(VLOOKUP(J50,'G-3 Multipliers'!$L$3:$N$6,3,FALSE)=0,"Spatial Data Missing ⚠",VLOOKUP(J50,'G-3 Multipliers'!$L$3:$N$6,3,FALSE)))</f>
        <v/>
      </c>
      <c r="M50" s="362" t="str">
        <f>IF(OR(D50="",H50=""),"",(INDEX('G-6 Hedgerow Data'!$E$3:$I$15,MATCH(D50,'G-6 Hedgerow Data'!$B$3:$B$15,0),MATCH(H50,'G-6 Hedgerow Data'!$E$2:$I$2,0))))</f>
        <v/>
      </c>
      <c r="N50" s="159"/>
      <c r="O50" s="159"/>
      <c r="P50" s="370" t="str">
        <f t="shared" si="1"/>
        <v/>
      </c>
      <c r="Q50" s="383" t="str">
        <f t="shared" si="2"/>
        <v/>
      </c>
      <c r="R50" s="384" t="str">
        <f t="shared" si="0"/>
        <v/>
      </c>
      <c r="S50" s="398" t="str">
        <f>IF(D50="","",VLOOKUP(D50,'G-6 Hedgerow Data'!$B$3:$AG$15,31,FALSE))</f>
        <v/>
      </c>
      <c r="T50" s="370" t="str">
        <f t="shared" si="3"/>
        <v/>
      </c>
      <c r="U50" s="370" t="str">
        <f t="shared" si="4"/>
        <v/>
      </c>
      <c r="V50" s="386" t="str">
        <f>IF(D50="","",VLOOKUP(S50,'G-3 Multipliers'!$P$3:$Q$6,2,FALSE))</f>
        <v/>
      </c>
      <c r="W50" s="390" t="str">
        <f t="shared" si="5"/>
        <v/>
      </c>
      <c r="X50" s="117"/>
      <c r="Y50" s="118"/>
      <c r="Z50" s="120"/>
      <c r="AG50" s="30" t="str">
        <f>IFERROR(INDEX('G-6 Hedgerow Data'!$BJ$3:$BJ$15,MATCH(D50,'G-6 Hedgerow Data'!$B$3:$B$15,0)),"")</f>
        <v/>
      </c>
    </row>
    <row r="51" spans="2:33" ht="15">
      <c r="B51" s="110">
        <v>40</v>
      </c>
      <c r="C51" s="167"/>
      <c r="D51" s="159"/>
      <c r="E51" s="139"/>
      <c r="F51" s="411" t="str">
        <f>IF(D51="","",VLOOKUP(D51,'G-6 Hedgerow Data'!$B$2:$AG$15,2,FALSE))</f>
        <v/>
      </c>
      <c r="G51" s="363" t="str">
        <f>IF(D51="","",VLOOKUP(D51,'G-6 Hedgerow Data'!$B$2:$AG$15,3,FALSE))</f>
        <v/>
      </c>
      <c r="H51" s="114"/>
      <c r="I51" s="363" t="str">
        <f>IFERROR(VLOOKUP(H51,'G-1 All Habitats'!$Z$2:$AA$9,2,FALSE),"")</f>
        <v/>
      </c>
      <c r="J51" s="114"/>
      <c r="K51" s="382" t="str">
        <f>IF(J51="","",IF(VLOOKUP(J51,'G-3 Multipliers'!$L$3:$N$6,2,FALSE)=0,"Spatial Data Missing ⚠",VLOOKUP(J51,'G-3 Multipliers'!$L$3:$N$6,2,FALSE)))</f>
        <v/>
      </c>
      <c r="L51" s="368" t="str">
        <f>IF(J51="","",IF(VLOOKUP(J51,'G-3 Multipliers'!$L$3:$N$6,3,FALSE)=0,"Spatial Data Missing ⚠",VLOOKUP(J51,'G-3 Multipliers'!$L$3:$N$6,3,FALSE)))</f>
        <v/>
      </c>
      <c r="M51" s="362" t="str">
        <f>IF(OR(D51="",H51=""),"",(INDEX('G-6 Hedgerow Data'!$E$3:$I$15,MATCH(D51,'G-6 Hedgerow Data'!$B$3:$B$15,0),MATCH(H51,'G-6 Hedgerow Data'!$E$2:$I$2,0))))</f>
        <v/>
      </c>
      <c r="N51" s="159"/>
      <c r="O51" s="159"/>
      <c r="P51" s="370" t="str">
        <f t="shared" si="1"/>
        <v/>
      </c>
      <c r="Q51" s="383" t="str">
        <f t="shared" si="2"/>
        <v/>
      </c>
      <c r="R51" s="384" t="str">
        <f t="shared" si="0"/>
        <v/>
      </c>
      <c r="S51" s="398" t="str">
        <f>IF(D51="","",VLOOKUP(D51,'G-6 Hedgerow Data'!$B$3:$AG$15,31,FALSE))</f>
        <v/>
      </c>
      <c r="T51" s="370" t="str">
        <f t="shared" si="3"/>
        <v/>
      </c>
      <c r="U51" s="370" t="str">
        <f t="shared" si="4"/>
        <v/>
      </c>
      <c r="V51" s="386" t="str">
        <f>IF(D51="","",VLOOKUP(S51,'G-3 Multipliers'!$P$3:$Q$6,2,FALSE))</f>
        <v/>
      </c>
      <c r="W51" s="390" t="str">
        <f t="shared" si="5"/>
        <v/>
      </c>
      <c r="X51" s="117"/>
      <c r="Y51" s="118"/>
      <c r="Z51" s="120"/>
      <c r="AG51" s="30" t="str">
        <f>IFERROR(INDEX('G-6 Hedgerow Data'!$BJ$3:$BJ$15,MATCH(D51,'G-6 Hedgerow Data'!$B$3:$B$15,0)),"")</f>
        <v/>
      </c>
    </row>
    <row r="52" spans="2:33" ht="15">
      <c r="B52" s="110">
        <v>41</v>
      </c>
      <c r="C52" s="167"/>
      <c r="D52" s="159"/>
      <c r="E52" s="139"/>
      <c r="F52" s="411" t="str">
        <f>IF(D52="","",VLOOKUP(D52,'G-6 Hedgerow Data'!$B$2:$AG$15,2,FALSE))</f>
        <v/>
      </c>
      <c r="G52" s="363" t="str">
        <f>IF(D52="","",VLOOKUP(D52,'G-6 Hedgerow Data'!$B$2:$AG$15,3,FALSE))</f>
        <v/>
      </c>
      <c r="H52" s="114"/>
      <c r="I52" s="363" t="str">
        <f>IFERROR(VLOOKUP(H52,'G-1 All Habitats'!$Z$2:$AA$9,2,FALSE),"")</f>
        <v/>
      </c>
      <c r="J52" s="114"/>
      <c r="K52" s="382" t="str">
        <f>IF(J52="","",IF(VLOOKUP(J52,'G-3 Multipliers'!$L$3:$N$6,2,FALSE)=0,"Spatial Data Missing ⚠",VLOOKUP(J52,'G-3 Multipliers'!$L$3:$N$6,2,FALSE)))</f>
        <v/>
      </c>
      <c r="L52" s="368" t="str">
        <f>IF(J52="","",IF(VLOOKUP(J52,'G-3 Multipliers'!$L$3:$N$6,3,FALSE)=0,"Spatial Data Missing ⚠",VLOOKUP(J52,'G-3 Multipliers'!$L$3:$N$6,3,FALSE)))</f>
        <v/>
      </c>
      <c r="M52" s="362" t="str">
        <f>IF(OR(D52="",H52=""),"",(INDEX('G-6 Hedgerow Data'!$E$3:$I$15,MATCH(D52,'G-6 Hedgerow Data'!$B$3:$B$15,0),MATCH(H52,'G-6 Hedgerow Data'!$E$2:$I$2,0))))</f>
        <v/>
      </c>
      <c r="N52" s="159"/>
      <c r="O52" s="159"/>
      <c r="P52" s="370" t="str">
        <f t="shared" si="1"/>
        <v/>
      </c>
      <c r="Q52" s="383" t="str">
        <f t="shared" si="2"/>
        <v/>
      </c>
      <c r="R52" s="384" t="str">
        <f t="shared" si="0"/>
        <v/>
      </c>
      <c r="S52" s="398" t="str">
        <f>IF(D52="","",VLOOKUP(D52,'G-6 Hedgerow Data'!$B$3:$AG$15,31,FALSE))</f>
        <v/>
      </c>
      <c r="T52" s="370" t="str">
        <f t="shared" si="3"/>
        <v/>
      </c>
      <c r="U52" s="370" t="str">
        <f t="shared" si="4"/>
        <v/>
      </c>
      <c r="V52" s="386" t="str">
        <f>IF(D52="","",VLOOKUP(S52,'G-3 Multipliers'!$P$3:$Q$6,2,FALSE))</f>
        <v/>
      </c>
      <c r="W52" s="390" t="str">
        <f t="shared" si="5"/>
        <v/>
      </c>
      <c r="X52" s="117"/>
      <c r="Y52" s="118"/>
      <c r="Z52" s="120"/>
      <c r="AG52" s="30" t="str">
        <f>IFERROR(INDEX('G-6 Hedgerow Data'!$BJ$3:$BJ$15,MATCH(D52,'G-6 Hedgerow Data'!$B$3:$B$15,0)),"")</f>
        <v/>
      </c>
    </row>
    <row r="53" spans="2:33" ht="15">
      <c r="B53" s="110">
        <v>42</v>
      </c>
      <c r="C53" s="167"/>
      <c r="D53" s="159"/>
      <c r="E53" s="139"/>
      <c r="F53" s="411" t="str">
        <f>IF(D53="","",VLOOKUP(D53,'G-6 Hedgerow Data'!$B$2:$AG$15,2,FALSE))</f>
        <v/>
      </c>
      <c r="G53" s="363" t="str">
        <f>IF(D53="","",VLOOKUP(D53,'G-6 Hedgerow Data'!$B$2:$AG$15,3,FALSE))</f>
        <v/>
      </c>
      <c r="H53" s="114"/>
      <c r="I53" s="363" t="str">
        <f>IFERROR(VLOOKUP(H53,'G-1 All Habitats'!$Z$2:$AA$9,2,FALSE),"")</f>
        <v/>
      </c>
      <c r="J53" s="114"/>
      <c r="K53" s="382" t="str">
        <f>IF(J53="","",IF(VLOOKUP(J53,'G-3 Multipliers'!$L$3:$N$6,2,FALSE)=0,"Spatial Data Missing ⚠",VLOOKUP(J53,'G-3 Multipliers'!$L$3:$N$6,2,FALSE)))</f>
        <v/>
      </c>
      <c r="L53" s="368" t="str">
        <f>IF(J53="","",IF(VLOOKUP(J53,'G-3 Multipliers'!$L$3:$N$6,3,FALSE)=0,"Spatial Data Missing ⚠",VLOOKUP(J53,'G-3 Multipliers'!$L$3:$N$6,3,FALSE)))</f>
        <v/>
      </c>
      <c r="M53" s="362" t="str">
        <f>IF(OR(D53="",H53=""),"",(INDEX('G-6 Hedgerow Data'!$E$3:$I$15,MATCH(D53,'G-6 Hedgerow Data'!$B$3:$B$15,0),MATCH(H53,'G-6 Hedgerow Data'!$E$2:$I$2,0))))</f>
        <v/>
      </c>
      <c r="N53" s="159"/>
      <c r="O53" s="159"/>
      <c r="P53" s="370" t="str">
        <f t="shared" si="1"/>
        <v/>
      </c>
      <c r="Q53" s="383" t="str">
        <f t="shared" si="2"/>
        <v/>
      </c>
      <c r="R53" s="384" t="str">
        <f t="shared" si="0"/>
        <v/>
      </c>
      <c r="S53" s="398" t="str">
        <f>IF(D53="","",VLOOKUP(D53,'G-6 Hedgerow Data'!$B$3:$AG$15,31,FALSE))</f>
        <v/>
      </c>
      <c r="T53" s="370" t="str">
        <f t="shared" si="3"/>
        <v/>
      </c>
      <c r="U53" s="370" t="str">
        <f t="shared" si="4"/>
        <v/>
      </c>
      <c r="V53" s="386" t="str">
        <f>IF(D53="","",VLOOKUP(S53,'G-3 Multipliers'!$P$3:$Q$6,2,FALSE))</f>
        <v/>
      </c>
      <c r="W53" s="390" t="str">
        <f t="shared" si="5"/>
        <v/>
      </c>
      <c r="X53" s="117"/>
      <c r="Y53" s="118"/>
      <c r="Z53" s="120"/>
      <c r="AG53" s="30" t="str">
        <f>IFERROR(INDEX('G-6 Hedgerow Data'!$BJ$3:$BJ$15,MATCH(D53,'G-6 Hedgerow Data'!$B$3:$B$15,0)),"")</f>
        <v/>
      </c>
    </row>
    <row r="54" spans="2:33" ht="15">
      <c r="B54" s="110">
        <v>43</v>
      </c>
      <c r="C54" s="167"/>
      <c r="D54" s="159"/>
      <c r="E54" s="139"/>
      <c r="F54" s="411" t="str">
        <f>IF(D54="","",VLOOKUP(D54,'G-6 Hedgerow Data'!$B$2:$AG$15,2,FALSE))</f>
        <v/>
      </c>
      <c r="G54" s="363" t="str">
        <f>IF(D54="","",VLOOKUP(D54,'G-6 Hedgerow Data'!$B$2:$AG$15,3,FALSE))</f>
        <v/>
      </c>
      <c r="H54" s="114"/>
      <c r="I54" s="363" t="str">
        <f>IFERROR(VLOOKUP(H54,'G-1 All Habitats'!$Z$2:$AA$9,2,FALSE),"")</f>
        <v/>
      </c>
      <c r="J54" s="114"/>
      <c r="K54" s="382" t="str">
        <f>IF(J54="","",IF(VLOOKUP(J54,'G-3 Multipliers'!$L$3:$N$6,2,FALSE)=0,"Spatial Data Missing ⚠",VLOOKUP(J54,'G-3 Multipliers'!$L$3:$N$6,2,FALSE)))</f>
        <v/>
      </c>
      <c r="L54" s="368" t="str">
        <f>IF(J54="","",IF(VLOOKUP(J54,'G-3 Multipliers'!$L$3:$N$6,3,FALSE)=0,"Spatial Data Missing ⚠",VLOOKUP(J54,'G-3 Multipliers'!$L$3:$N$6,3,FALSE)))</f>
        <v/>
      </c>
      <c r="M54" s="362" t="str">
        <f>IF(OR(D54="",H54=""),"",(INDEX('G-6 Hedgerow Data'!$E$3:$I$15,MATCH(D54,'G-6 Hedgerow Data'!$B$3:$B$15,0),MATCH(H54,'G-6 Hedgerow Data'!$E$2:$I$2,0))))</f>
        <v/>
      </c>
      <c r="N54" s="159"/>
      <c r="O54" s="159"/>
      <c r="P54" s="370" t="str">
        <f t="shared" si="1"/>
        <v/>
      </c>
      <c r="Q54" s="383" t="str">
        <f t="shared" si="2"/>
        <v/>
      </c>
      <c r="R54" s="384" t="str">
        <f t="shared" si="0"/>
        <v/>
      </c>
      <c r="S54" s="398" t="str">
        <f>IF(D54="","",VLOOKUP(D54,'G-6 Hedgerow Data'!$B$3:$AG$15,31,FALSE))</f>
        <v/>
      </c>
      <c r="T54" s="370" t="str">
        <f t="shared" si="3"/>
        <v/>
      </c>
      <c r="U54" s="370" t="str">
        <f t="shared" si="4"/>
        <v/>
      </c>
      <c r="V54" s="386" t="str">
        <f>IF(D54="","",VLOOKUP(S54,'G-3 Multipliers'!$P$3:$Q$6,2,FALSE))</f>
        <v/>
      </c>
      <c r="W54" s="390" t="str">
        <f t="shared" si="5"/>
        <v/>
      </c>
      <c r="X54" s="117"/>
      <c r="Y54" s="118"/>
      <c r="Z54" s="120"/>
      <c r="AG54" s="30" t="str">
        <f>IFERROR(INDEX('G-6 Hedgerow Data'!$BJ$3:$BJ$15,MATCH(D54,'G-6 Hedgerow Data'!$B$3:$B$15,0)),"")</f>
        <v/>
      </c>
    </row>
    <row r="55" spans="2:33" ht="15">
      <c r="B55" s="110">
        <v>44</v>
      </c>
      <c r="C55" s="167"/>
      <c r="D55" s="159"/>
      <c r="E55" s="139"/>
      <c r="F55" s="411" t="str">
        <f>IF(D55="","",VLOOKUP(D55,'G-6 Hedgerow Data'!$B$2:$AG$15,2,FALSE))</f>
        <v/>
      </c>
      <c r="G55" s="363" t="str">
        <f>IF(D55="","",VLOOKUP(D55,'G-6 Hedgerow Data'!$B$2:$AG$15,3,FALSE))</f>
        <v/>
      </c>
      <c r="H55" s="114"/>
      <c r="I55" s="363" t="str">
        <f>IFERROR(VLOOKUP(H55,'G-1 All Habitats'!$Z$2:$AA$9,2,FALSE),"")</f>
        <v/>
      </c>
      <c r="J55" s="114"/>
      <c r="K55" s="382" t="str">
        <f>IF(J55="","",IF(VLOOKUP(J55,'G-3 Multipliers'!$L$3:$N$6,2,FALSE)=0,"Spatial Data Missing ⚠",VLOOKUP(J55,'G-3 Multipliers'!$L$3:$N$6,2,FALSE)))</f>
        <v/>
      </c>
      <c r="L55" s="368" t="str">
        <f>IF(J55="","",IF(VLOOKUP(J55,'G-3 Multipliers'!$L$3:$N$6,3,FALSE)=0,"Spatial Data Missing ⚠",VLOOKUP(J55,'G-3 Multipliers'!$L$3:$N$6,3,FALSE)))</f>
        <v/>
      </c>
      <c r="M55" s="362" t="str">
        <f>IF(OR(D55="",H55=""),"",(INDEX('G-6 Hedgerow Data'!$E$3:$I$15,MATCH(D55,'G-6 Hedgerow Data'!$B$3:$B$15,0),MATCH(H55,'G-6 Hedgerow Data'!$E$2:$I$2,0))))</f>
        <v/>
      </c>
      <c r="N55" s="159"/>
      <c r="O55" s="159"/>
      <c r="P55" s="370" t="str">
        <f t="shared" si="1"/>
        <v/>
      </c>
      <c r="Q55" s="383" t="str">
        <f t="shared" si="2"/>
        <v/>
      </c>
      <c r="R55" s="384" t="str">
        <f t="shared" si="0"/>
        <v/>
      </c>
      <c r="S55" s="398" t="str">
        <f>IF(D55="","",VLOOKUP(D55,'G-6 Hedgerow Data'!$B$3:$AG$15,31,FALSE))</f>
        <v/>
      </c>
      <c r="T55" s="370" t="str">
        <f t="shared" si="3"/>
        <v/>
      </c>
      <c r="U55" s="370" t="str">
        <f t="shared" si="4"/>
        <v/>
      </c>
      <c r="V55" s="386" t="str">
        <f>IF(D55="","",VLOOKUP(S55,'G-3 Multipliers'!$P$3:$Q$6,2,FALSE))</f>
        <v/>
      </c>
      <c r="W55" s="390" t="str">
        <f t="shared" si="5"/>
        <v/>
      </c>
      <c r="X55" s="117"/>
      <c r="Y55" s="118"/>
      <c r="Z55" s="120"/>
      <c r="AG55" s="30" t="str">
        <f>IFERROR(INDEX('G-6 Hedgerow Data'!$BJ$3:$BJ$15,MATCH(D55,'G-6 Hedgerow Data'!$B$3:$B$15,0)),"")</f>
        <v/>
      </c>
    </row>
    <row r="56" spans="2:33" ht="15">
      <c r="B56" s="110">
        <v>45</v>
      </c>
      <c r="C56" s="167"/>
      <c r="D56" s="159"/>
      <c r="E56" s="139"/>
      <c r="F56" s="411" t="str">
        <f>IF(D56="","",VLOOKUP(D56,'G-6 Hedgerow Data'!$B$2:$AG$15,2,FALSE))</f>
        <v/>
      </c>
      <c r="G56" s="363" t="str">
        <f>IF(D56="","",VLOOKUP(D56,'G-6 Hedgerow Data'!$B$2:$AG$15,3,FALSE))</f>
        <v/>
      </c>
      <c r="H56" s="114"/>
      <c r="I56" s="363" t="str">
        <f>IFERROR(VLOOKUP(H56,'G-1 All Habitats'!$Z$2:$AA$9,2,FALSE),"")</f>
        <v/>
      </c>
      <c r="J56" s="114"/>
      <c r="K56" s="382" t="str">
        <f>IF(J56="","",IF(VLOOKUP(J56,'G-3 Multipliers'!$L$3:$N$6,2,FALSE)=0,"Spatial Data Missing ⚠",VLOOKUP(J56,'G-3 Multipliers'!$L$3:$N$6,2,FALSE)))</f>
        <v/>
      </c>
      <c r="L56" s="368" t="str">
        <f>IF(J56="","",IF(VLOOKUP(J56,'G-3 Multipliers'!$L$3:$N$6,3,FALSE)=0,"Spatial Data Missing ⚠",VLOOKUP(J56,'G-3 Multipliers'!$L$3:$N$6,3,FALSE)))</f>
        <v/>
      </c>
      <c r="M56" s="362" t="str">
        <f>IF(OR(D56="",H56=""),"",(INDEX('G-6 Hedgerow Data'!$E$3:$I$15,MATCH(D56,'G-6 Hedgerow Data'!$B$3:$B$15,0),MATCH(H56,'G-6 Hedgerow Data'!$E$2:$I$2,0))))</f>
        <v/>
      </c>
      <c r="N56" s="159"/>
      <c r="O56" s="159"/>
      <c r="P56" s="370" t="str">
        <f t="shared" si="1"/>
        <v/>
      </c>
      <c r="Q56" s="383" t="str">
        <f t="shared" si="2"/>
        <v/>
      </c>
      <c r="R56" s="384" t="str">
        <f t="shared" si="0"/>
        <v/>
      </c>
      <c r="S56" s="398" t="str">
        <f>IF(D56="","",VLOOKUP(D56,'G-6 Hedgerow Data'!$B$3:$AG$15,31,FALSE))</f>
        <v/>
      </c>
      <c r="T56" s="370" t="str">
        <f t="shared" si="3"/>
        <v/>
      </c>
      <c r="U56" s="370" t="str">
        <f t="shared" si="4"/>
        <v/>
      </c>
      <c r="V56" s="386" t="str">
        <f>IF(D56="","",VLOOKUP(S56,'G-3 Multipliers'!$P$3:$Q$6,2,FALSE))</f>
        <v/>
      </c>
      <c r="W56" s="390" t="str">
        <f t="shared" si="5"/>
        <v/>
      </c>
      <c r="X56" s="117"/>
      <c r="Y56" s="118"/>
      <c r="Z56" s="120"/>
      <c r="AG56" s="30" t="str">
        <f>IFERROR(INDEX('G-6 Hedgerow Data'!$BJ$3:$BJ$15,MATCH(D56,'G-6 Hedgerow Data'!$B$3:$B$15,0)),"")</f>
        <v/>
      </c>
    </row>
    <row r="57" spans="2:33" ht="15">
      <c r="B57" s="110">
        <v>46</v>
      </c>
      <c r="C57" s="167"/>
      <c r="D57" s="159"/>
      <c r="E57" s="139"/>
      <c r="F57" s="411" t="str">
        <f>IF(D57="","",VLOOKUP(D57,'G-6 Hedgerow Data'!$B$2:$AG$15,2,FALSE))</f>
        <v/>
      </c>
      <c r="G57" s="363" t="str">
        <f>IF(D57="","",VLOOKUP(D57,'G-6 Hedgerow Data'!$B$2:$AG$15,3,FALSE))</f>
        <v/>
      </c>
      <c r="H57" s="114"/>
      <c r="I57" s="363" t="str">
        <f>IFERROR(VLOOKUP(H57,'G-1 All Habitats'!$Z$2:$AA$9,2,FALSE),"")</f>
        <v/>
      </c>
      <c r="J57" s="114"/>
      <c r="K57" s="382" t="str">
        <f>IF(J57="","",IF(VLOOKUP(J57,'G-3 Multipliers'!$L$3:$N$6,2,FALSE)=0,"Spatial Data Missing ⚠",VLOOKUP(J57,'G-3 Multipliers'!$L$3:$N$6,2,FALSE)))</f>
        <v/>
      </c>
      <c r="L57" s="368" t="str">
        <f>IF(J57="","",IF(VLOOKUP(J57,'G-3 Multipliers'!$L$3:$N$6,3,FALSE)=0,"Spatial Data Missing ⚠",VLOOKUP(J57,'G-3 Multipliers'!$L$3:$N$6,3,FALSE)))</f>
        <v/>
      </c>
      <c r="M57" s="362" t="str">
        <f>IF(OR(D57="",H57=""),"",(INDEX('G-6 Hedgerow Data'!$E$3:$I$15,MATCH(D57,'G-6 Hedgerow Data'!$B$3:$B$15,0),MATCH(H57,'G-6 Hedgerow Data'!$E$2:$I$2,0))))</f>
        <v/>
      </c>
      <c r="N57" s="159"/>
      <c r="O57" s="159"/>
      <c r="P57" s="370" t="str">
        <f t="shared" si="1"/>
        <v/>
      </c>
      <c r="Q57" s="383" t="str">
        <f t="shared" si="2"/>
        <v/>
      </c>
      <c r="R57" s="384" t="str">
        <f t="shared" si="0"/>
        <v/>
      </c>
      <c r="S57" s="398" t="str">
        <f>IF(D57="","",VLOOKUP(D57,'G-6 Hedgerow Data'!$B$3:$AG$15,31,FALSE))</f>
        <v/>
      </c>
      <c r="T57" s="370" t="str">
        <f t="shared" si="3"/>
        <v/>
      </c>
      <c r="U57" s="370" t="str">
        <f t="shared" si="4"/>
        <v/>
      </c>
      <c r="V57" s="386" t="str">
        <f>IF(D57="","",VLOOKUP(S57,'G-3 Multipliers'!$P$3:$Q$6,2,FALSE))</f>
        <v/>
      </c>
      <c r="W57" s="390" t="str">
        <f t="shared" si="5"/>
        <v/>
      </c>
      <c r="X57" s="117"/>
      <c r="Y57" s="118"/>
      <c r="Z57" s="120"/>
      <c r="AG57" s="30" t="str">
        <f>IFERROR(INDEX('G-6 Hedgerow Data'!$BJ$3:$BJ$15,MATCH(D57,'G-6 Hedgerow Data'!$B$3:$B$15,0)),"")</f>
        <v/>
      </c>
    </row>
    <row r="58" spans="2:33" ht="15">
      <c r="B58" s="110">
        <v>47</v>
      </c>
      <c r="C58" s="167"/>
      <c r="D58" s="159"/>
      <c r="E58" s="139"/>
      <c r="F58" s="411" t="str">
        <f>IF(D58="","",VLOOKUP(D58,'G-6 Hedgerow Data'!$B$2:$AG$15,2,FALSE))</f>
        <v/>
      </c>
      <c r="G58" s="363" t="str">
        <f>IF(D58="","",VLOOKUP(D58,'G-6 Hedgerow Data'!$B$2:$AG$15,3,FALSE))</f>
        <v/>
      </c>
      <c r="H58" s="114"/>
      <c r="I58" s="363" t="str">
        <f>IFERROR(VLOOKUP(H58,'G-1 All Habitats'!$Z$2:$AA$9,2,FALSE),"")</f>
        <v/>
      </c>
      <c r="J58" s="114"/>
      <c r="K58" s="382" t="str">
        <f>IF(J58="","",IF(VLOOKUP(J58,'G-3 Multipliers'!$L$3:$N$6,2,FALSE)=0,"Spatial Data Missing ⚠",VLOOKUP(J58,'G-3 Multipliers'!$L$3:$N$6,2,FALSE)))</f>
        <v/>
      </c>
      <c r="L58" s="368" t="str">
        <f>IF(J58="","",IF(VLOOKUP(J58,'G-3 Multipliers'!$L$3:$N$6,3,FALSE)=0,"Spatial Data Missing ⚠",VLOOKUP(J58,'G-3 Multipliers'!$L$3:$N$6,3,FALSE)))</f>
        <v/>
      </c>
      <c r="M58" s="362" t="str">
        <f>IF(OR(D58="",H58=""),"",(INDEX('G-6 Hedgerow Data'!$E$3:$I$15,MATCH(D58,'G-6 Hedgerow Data'!$B$3:$B$15,0),MATCH(H58,'G-6 Hedgerow Data'!$E$2:$I$2,0))))</f>
        <v/>
      </c>
      <c r="N58" s="159"/>
      <c r="O58" s="159"/>
      <c r="P58" s="370" t="str">
        <f t="shared" si="1"/>
        <v/>
      </c>
      <c r="Q58" s="383" t="str">
        <f t="shared" si="2"/>
        <v/>
      </c>
      <c r="R58" s="384" t="str">
        <f t="shared" si="0"/>
        <v/>
      </c>
      <c r="S58" s="398" t="str">
        <f>IF(D58="","",VLOOKUP(D58,'G-6 Hedgerow Data'!$B$3:$AG$15,31,FALSE))</f>
        <v/>
      </c>
      <c r="T58" s="370" t="str">
        <f t="shared" si="3"/>
        <v/>
      </c>
      <c r="U58" s="370" t="str">
        <f t="shared" si="4"/>
        <v/>
      </c>
      <c r="V58" s="386" t="str">
        <f>IF(D58="","",VLOOKUP(S58,'G-3 Multipliers'!$P$3:$Q$6,2,FALSE))</f>
        <v/>
      </c>
      <c r="W58" s="390" t="str">
        <f t="shared" si="5"/>
        <v/>
      </c>
      <c r="X58" s="117"/>
      <c r="Y58" s="118"/>
      <c r="Z58" s="120"/>
      <c r="AG58" s="30" t="str">
        <f>IFERROR(INDEX('G-6 Hedgerow Data'!$BJ$3:$BJ$15,MATCH(D58,'G-6 Hedgerow Data'!$B$3:$B$15,0)),"")</f>
        <v/>
      </c>
    </row>
    <row r="59" spans="2:33" ht="15">
      <c r="B59" s="110">
        <v>48</v>
      </c>
      <c r="C59" s="167"/>
      <c r="D59" s="159"/>
      <c r="E59" s="139"/>
      <c r="F59" s="411" t="str">
        <f>IF(D59="","",VLOOKUP(D59,'G-6 Hedgerow Data'!$B$2:$AG$15,2,FALSE))</f>
        <v/>
      </c>
      <c r="G59" s="363" t="str">
        <f>IF(D59="","",VLOOKUP(D59,'G-6 Hedgerow Data'!$B$2:$AG$15,3,FALSE))</f>
        <v/>
      </c>
      <c r="H59" s="114"/>
      <c r="I59" s="363" t="str">
        <f>IFERROR(VLOOKUP(H59,'G-1 All Habitats'!$Z$2:$AA$9,2,FALSE),"")</f>
        <v/>
      </c>
      <c r="J59" s="114"/>
      <c r="K59" s="382" t="str">
        <f>IF(J59="","",IF(VLOOKUP(J59,'G-3 Multipliers'!$L$3:$N$6,2,FALSE)=0,"Spatial Data Missing ⚠",VLOOKUP(J59,'G-3 Multipliers'!$L$3:$N$6,2,FALSE)))</f>
        <v/>
      </c>
      <c r="L59" s="368" t="str">
        <f>IF(J59="","",IF(VLOOKUP(J59,'G-3 Multipliers'!$L$3:$N$6,3,FALSE)=0,"Spatial Data Missing ⚠",VLOOKUP(J59,'G-3 Multipliers'!$L$3:$N$6,3,FALSE)))</f>
        <v/>
      </c>
      <c r="M59" s="362" t="str">
        <f>IF(OR(D59="",H59=""),"",(INDEX('G-6 Hedgerow Data'!$E$3:$I$15,MATCH(D59,'G-6 Hedgerow Data'!$B$3:$B$15,0),MATCH(H59,'G-6 Hedgerow Data'!$E$2:$I$2,0))))</f>
        <v/>
      </c>
      <c r="N59" s="159"/>
      <c r="O59" s="159"/>
      <c r="P59" s="370" t="str">
        <f t="shared" si="1"/>
        <v/>
      </c>
      <c r="Q59" s="383" t="str">
        <f t="shared" si="2"/>
        <v/>
      </c>
      <c r="R59" s="384" t="str">
        <f t="shared" si="0"/>
        <v/>
      </c>
      <c r="S59" s="398" t="str">
        <f>IF(D59="","",VLOOKUP(D59,'G-6 Hedgerow Data'!$B$3:$AG$15,31,FALSE))</f>
        <v/>
      </c>
      <c r="T59" s="370" t="str">
        <f t="shared" si="3"/>
        <v/>
      </c>
      <c r="U59" s="370" t="str">
        <f t="shared" si="4"/>
        <v/>
      </c>
      <c r="V59" s="386" t="str">
        <f>IF(D59="","",VLOOKUP(S59,'G-3 Multipliers'!$P$3:$Q$6,2,FALSE))</f>
        <v/>
      </c>
      <c r="W59" s="390" t="str">
        <f t="shared" si="5"/>
        <v/>
      </c>
      <c r="X59" s="117"/>
      <c r="Y59" s="118"/>
      <c r="Z59" s="120"/>
      <c r="AG59" s="30" t="str">
        <f>IFERROR(INDEX('G-6 Hedgerow Data'!$BJ$3:$BJ$15,MATCH(D59,'G-6 Hedgerow Data'!$B$3:$B$15,0)),"")</f>
        <v/>
      </c>
    </row>
    <row r="60" spans="2:33" ht="15">
      <c r="B60" s="110">
        <v>49</v>
      </c>
      <c r="C60" s="167"/>
      <c r="D60" s="159"/>
      <c r="E60" s="139"/>
      <c r="F60" s="411" t="str">
        <f>IF(D60="","",VLOOKUP(D60,'G-6 Hedgerow Data'!$B$2:$AG$15,2,FALSE))</f>
        <v/>
      </c>
      <c r="G60" s="363" t="str">
        <f>IF(D60="","",VLOOKUP(D60,'G-6 Hedgerow Data'!$B$2:$AG$15,3,FALSE))</f>
        <v/>
      </c>
      <c r="H60" s="114"/>
      <c r="I60" s="363" t="str">
        <f>IFERROR(VLOOKUP(H60,'G-1 All Habitats'!$Z$2:$AA$9,2,FALSE),"")</f>
        <v/>
      </c>
      <c r="J60" s="114"/>
      <c r="K60" s="382" t="str">
        <f>IF(J60="","",IF(VLOOKUP(J60,'G-3 Multipliers'!$L$3:$N$6,2,FALSE)=0,"Spatial Data Missing ⚠",VLOOKUP(J60,'G-3 Multipliers'!$L$3:$N$6,2,FALSE)))</f>
        <v/>
      </c>
      <c r="L60" s="368" t="str">
        <f>IF(J60="","",IF(VLOOKUP(J60,'G-3 Multipliers'!$L$3:$N$6,3,FALSE)=0,"Spatial Data Missing ⚠",VLOOKUP(J60,'G-3 Multipliers'!$L$3:$N$6,3,FALSE)))</f>
        <v/>
      </c>
      <c r="M60" s="362" t="str">
        <f>IF(OR(D60="",H60=""),"",(INDEX('G-6 Hedgerow Data'!$E$3:$I$15,MATCH(D60,'G-6 Hedgerow Data'!$B$3:$B$15,0),MATCH(H60,'G-6 Hedgerow Data'!$E$2:$I$2,0))))</f>
        <v/>
      </c>
      <c r="N60" s="159"/>
      <c r="O60" s="159"/>
      <c r="P60" s="370" t="str">
        <f t="shared" si="1"/>
        <v/>
      </c>
      <c r="Q60" s="383" t="str">
        <f t="shared" si="2"/>
        <v/>
      </c>
      <c r="R60" s="384" t="str">
        <f t="shared" si="0"/>
        <v/>
      </c>
      <c r="S60" s="398" t="str">
        <f>IF(D60="","",VLOOKUP(D60,'G-6 Hedgerow Data'!$B$3:$AG$15,31,FALSE))</f>
        <v/>
      </c>
      <c r="T60" s="370" t="str">
        <f t="shared" si="3"/>
        <v/>
      </c>
      <c r="U60" s="370" t="str">
        <f t="shared" si="4"/>
        <v/>
      </c>
      <c r="V60" s="386" t="str">
        <f>IF(D60="","",VLOOKUP(S60,'G-3 Multipliers'!$P$3:$Q$6,2,FALSE))</f>
        <v/>
      </c>
      <c r="W60" s="390" t="str">
        <f t="shared" si="5"/>
        <v/>
      </c>
      <c r="X60" s="117"/>
      <c r="Y60" s="118"/>
      <c r="Z60" s="120"/>
      <c r="AG60" s="30" t="str">
        <f>IFERROR(INDEX('G-6 Hedgerow Data'!$BJ$3:$BJ$15,MATCH(D60,'G-6 Hedgerow Data'!$B$3:$B$15,0)),"")</f>
        <v/>
      </c>
    </row>
    <row r="61" spans="2:33" ht="15">
      <c r="B61" s="110">
        <v>50</v>
      </c>
      <c r="C61" s="167"/>
      <c r="D61" s="159"/>
      <c r="E61" s="139"/>
      <c r="F61" s="411" t="str">
        <f>IF(D61="","",VLOOKUP(D61,'G-6 Hedgerow Data'!$B$2:$AG$15,2,FALSE))</f>
        <v/>
      </c>
      <c r="G61" s="363" t="str">
        <f>IF(D61="","",VLOOKUP(D61,'G-6 Hedgerow Data'!$B$2:$AG$15,3,FALSE))</f>
        <v/>
      </c>
      <c r="H61" s="114"/>
      <c r="I61" s="363" t="str">
        <f>IFERROR(VLOOKUP(H61,'G-1 All Habitats'!$Z$2:$AA$9,2,FALSE),"")</f>
        <v/>
      </c>
      <c r="J61" s="114"/>
      <c r="K61" s="382" t="str">
        <f>IF(J61="","",IF(VLOOKUP(J61,'G-3 Multipliers'!$L$3:$N$6,2,FALSE)=0,"Spatial Data Missing ⚠",VLOOKUP(J61,'G-3 Multipliers'!$L$3:$N$6,2,FALSE)))</f>
        <v/>
      </c>
      <c r="L61" s="368" t="str">
        <f>IF(J61="","",IF(VLOOKUP(J61,'G-3 Multipliers'!$L$3:$N$6,3,FALSE)=0,"Spatial Data Missing ⚠",VLOOKUP(J61,'G-3 Multipliers'!$L$3:$N$6,3,FALSE)))</f>
        <v/>
      </c>
      <c r="M61" s="362" t="str">
        <f>IF(OR(D61="",H61=""),"",(INDEX('G-6 Hedgerow Data'!$E$3:$I$15,MATCH(D61,'G-6 Hedgerow Data'!$B$3:$B$15,0),MATCH(H61,'G-6 Hedgerow Data'!$E$2:$I$2,0))))</f>
        <v/>
      </c>
      <c r="N61" s="159"/>
      <c r="O61" s="159"/>
      <c r="P61" s="370" t="str">
        <f t="shared" si="1"/>
        <v/>
      </c>
      <c r="Q61" s="383" t="str">
        <f t="shared" si="2"/>
        <v/>
      </c>
      <c r="R61" s="384" t="str">
        <f t="shared" si="0"/>
        <v/>
      </c>
      <c r="S61" s="398" t="str">
        <f>IF(D61="","",VLOOKUP(D61,'G-6 Hedgerow Data'!$B$3:$AG$15,31,FALSE))</f>
        <v/>
      </c>
      <c r="T61" s="370" t="str">
        <f t="shared" si="3"/>
        <v/>
      </c>
      <c r="U61" s="370" t="str">
        <f t="shared" si="4"/>
        <v/>
      </c>
      <c r="V61" s="386" t="str">
        <f>IF(D61="","",VLOOKUP(S61,'G-3 Multipliers'!$P$3:$Q$6,2,FALSE))</f>
        <v/>
      </c>
      <c r="W61" s="390" t="str">
        <f t="shared" si="5"/>
        <v/>
      </c>
      <c r="X61" s="117"/>
      <c r="Y61" s="118"/>
      <c r="Z61" s="120"/>
      <c r="AG61" s="30" t="str">
        <f>IFERROR(INDEX('G-6 Hedgerow Data'!$BJ$3:$BJ$15,MATCH(D61,'G-6 Hedgerow Data'!$B$3:$B$15,0)),"")</f>
        <v/>
      </c>
    </row>
    <row r="62" spans="2:33" ht="15">
      <c r="B62" s="110">
        <v>51</v>
      </c>
      <c r="C62" s="167"/>
      <c r="D62" s="159"/>
      <c r="E62" s="139"/>
      <c r="F62" s="411" t="str">
        <f>IF(D62="","",VLOOKUP(D62,'G-6 Hedgerow Data'!$B$2:$AG$15,2,FALSE))</f>
        <v/>
      </c>
      <c r="G62" s="363" t="str">
        <f>IF(D62="","",VLOOKUP(D62,'G-6 Hedgerow Data'!$B$2:$AG$15,3,FALSE))</f>
        <v/>
      </c>
      <c r="H62" s="114"/>
      <c r="I62" s="363" t="str">
        <f>IFERROR(VLOOKUP(H62,'G-1 All Habitats'!$Z$2:$AA$9,2,FALSE),"")</f>
        <v/>
      </c>
      <c r="J62" s="114"/>
      <c r="K62" s="382" t="str">
        <f>IF(J62="","",IF(VLOOKUP(J62,'G-3 Multipliers'!$L$3:$N$6,2,FALSE)=0,"Spatial Data Missing ⚠",VLOOKUP(J62,'G-3 Multipliers'!$L$3:$N$6,2,FALSE)))</f>
        <v/>
      </c>
      <c r="L62" s="368" t="str">
        <f>IF(J62="","",IF(VLOOKUP(J62,'G-3 Multipliers'!$L$3:$N$6,3,FALSE)=0,"Spatial Data Missing ⚠",VLOOKUP(J62,'G-3 Multipliers'!$L$3:$N$6,3,FALSE)))</f>
        <v/>
      </c>
      <c r="M62" s="362" t="str">
        <f>IF(OR(D62="",H62=""),"",(INDEX('G-6 Hedgerow Data'!$E$3:$I$15,MATCH(D62,'G-6 Hedgerow Data'!$B$3:$B$15,0),MATCH(H62,'G-6 Hedgerow Data'!$E$2:$I$2,0))))</f>
        <v/>
      </c>
      <c r="N62" s="159"/>
      <c r="O62" s="159"/>
      <c r="P62" s="370" t="str">
        <f t="shared" si="1"/>
        <v/>
      </c>
      <c r="Q62" s="383" t="str">
        <f t="shared" si="2"/>
        <v/>
      </c>
      <c r="R62" s="384" t="str">
        <f t="shared" si="0"/>
        <v/>
      </c>
      <c r="S62" s="398" t="str">
        <f>IF(D62="","",VLOOKUP(D62,'G-6 Hedgerow Data'!$B$3:$AG$15,31,FALSE))</f>
        <v/>
      </c>
      <c r="T62" s="370" t="str">
        <f t="shared" si="3"/>
        <v/>
      </c>
      <c r="U62" s="370" t="str">
        <f t="shared" si="4"/>
        <v/>
      </c>
      <c r="V62" s="386" t="str">
        <f>IF(D62="","",VLOOKUP(S62,'G-3 Multipliers'!$P$3:$Q$6,2,FALSE))</f>
        <v/>
      </c>
      <c r="W62" s="390" t="str">
        <f t="shared" si="5"/>
        <v/>
      </c>
      <c r="X62" s="117"/>
      <c r="Y62" s="118"/>
      <c r="Z62" s="120"/>
      <c r="AG62" s="30" t="str">
        <f>IFERROR(INDEX('G-6 Hedgerow Data'!$BJ$3:$BJ$15,MATCH(D62,'G-6 Hedgerow Data'!$B$3:$B$15,0)),"")</f>
        <v/>
      </c>
    </row>
    <row r="63" spans="2:33" ht="15">
      <c r="B63" s="110">
        <v>52</v>
      </c>
      <c r="C63" s="167"/>
      <c r="D63" s="159"/>
      <c r="E63" s="139"/>
      <c r="F63" s="411" t="str">
        <f>IF(D63="","",VLOOKUP(D63,'G-6 Hedgerow Data'!$B$2:$AG$15,2,FALSE))</f>
        <v/>
      </c>
      <c r="G63" s="363" t="str">
        <f>IF(D63="","",VLOOKUP(D63,'G-6 Hedgerow Data'!$B$2:$AG$15,3,FALSE))</f>
        <v/>
      </c>
      <c r="H63" s="114"/>
      <c r="I63" s="363" t="str">
        <f>IFERROR(VLOOKUP(H63,'G-1 All Habitats'!$Z$2:$AA$9,2,FALSE),"")</f>
        <v/>
      </c>
      <c r="J63" s="114"/>
      <c r="K63" s="382" t="str">
        <f>IF(J63="","",IF(VLOOKUP(J63,'G-3 Multipliers'!$L$3:$N$6,2,FALSE)=0,"Spatial Data Missing ⚠",VLOOKUP(J63,'G-3 Multipliers'!$L$3:$N$6,2,FALSE)))</f>
        <v/>
      </c>
      <c r="L63" s="368" t="str">
        <f>IF(J63="","",IF(VLOOKUP(J63,'G-3 Multipliers'!$L$3:$N$6,3,FALSE)=0,"Spatial Data Missing ⚠",VLOOKUP(J63,'G-3 Multipliers'!$L$3:$N$6,3,FALSE)))</f>
        <v/>
      </c>
      <c r="M63" s="362" t="str">
        <f>IF(OR(D63="",H63=""),"",(INDEX('G-6 Hedgerow Data'!$E$3:$I$15,MATCH(D63,'G-6 Hedgerow Data'!$B$3:$B$15,0),MATCH(H63,'G-6 Hedgerow Data'!$E$2:$I$2,0))))</f>
        <v/>
      </c>
      <c r="N63" s="159"/>
      <c r="O63" s="159"/>
      <c r="P63" s="370" t="str">
        <f t="shared" si="1"/>
        <v/>
      </c>
      <c r="Q63" s="383" t="str">
        <f t="shared" si="2"/>
        <v/>
      </c>
      <c r="R63" s="384" t="str">
        <f t="shared" si="0"/>
        <v/>
      </c>
      <c r="S63" s="398" t="str">
        <f>IF(D63="","",VLOOKUP(D63,'G-6 Hedgerow Data'!$B$3:$AG$15,31,FALSE))</f>
        <v/>
      </c>
      <c r="T63" s="370" t="str">
        <f t="shared" si="3"/>
        <v/>
      </c>
      <c r="U63" s="370" t="str">
        <f t="shared" si="4"/>
        <v/>
      </c>
      <c r="V63" s="386" t="str">
        <f>IF(D63="","",VLOOKUP(S63,'G-3 Multipliers'!$P$3:$Q$6,2,FALSE))</f>
        <v/>
      </c>
      <c r="W63" s="390" t="str">
        <f t="shared" si="5"/>
        <v/>
      </c>
      <c r="X63" s="117"/>
      <c r="Y63" s="118"/>
      <c r="Z63" s="120"/>
      <c r="AG63" s="30" t="str">
        <f>IFERROR(INDEX('G-6 Hedgerow Data'!$BJ$3:$BJ$15,MATCH(D63,'G-6 Hedgerow Data'!$B$3:$B$15,0)),"")</f>
        <v/>
      </c>
    </row>
    <row r="64" spans="2:33" ht="15">
      <c r="B64" s="110">
        <v>53</v>
      </c>
      <c r="C64" s="167"/>
      <c r="D64" s="159"/>
      <c r="E64" s="139"/>
      <c r="F64" s="411" t="str">
        <f>IF(D64="","",VLOOKUP(D64,'G-6 Hedgerow Data'!$B$2:$AG$15,2,FALSE))</f>
        <v/>
      </c>
      <c r="G64" s="363" t="str">
        <f>IF(D64="","",VLOOKUP(D64,'G-6 Hedgerow Data'!$B$2:$AG$15,3,FALSE))</f>
        <v/>
      </c>
      <c r="H64" s="114"/>
      <c r="I64" s="363" t="str">
        <f>IFERROR(VLOOKUP(H64,'G-1 All Habitats'!$Z$2:$AA$9,2,FALSE),"")</f>
        <v/>
      </c>
      <c r="J64" s="114"/>
      <c r="K64" s="382" t="str">
        <f>IF(J64="","",IF(VLOOKUP(J64,'G-3 Multipliers'!$L$3:$N$6,2,FALSE)=0,"Spatial Data Missing ⚠",VLOOKUP(J64,'G-3 Multipliers'!$L$3:$N$6,2,FALSE)))</f>
        <v/>
      </c>
      <c r="L64" s="368" t="str">
        <f>IF(J64="","",IF(VLOOKUP(J64,'G-3 Multipliers'!$L$3:$N$6,3,FALSE)=0,"Spatial Data Missing ⚠",VLOOKUP(J64,'G-3 Multipliers'!$L$3:$N$6,3,FALSE)))</f>
        <v/>
      </c>
      <c r="M64" s="362" t="str">
        <f>IF(OR(D64="",H64=""),"",(INDEX('G-6 Hedgerow Data'!$E$3:$I$15,MATCH(D64,'G-6 Hedgerow Data'!$B$3:$B$15,0),MATCH(H64,'G-6 Hedgerow Data'!$E$2:$I$2,0))))</f>
        <v/>
      </c>
      <c r="N64" s="159"/>
      <c r="O64" s="159"/>
      <c r="P64" s="370" t="str">
        <f t="shared" si="1"/>
        <v/>
      </c>
      <c r="Q64" s="383" t="str">
        <f t="shared" si="2"/>
        <v/>
      </c>
      <c r="R64" s="384" t="str">
        <f t="shared" si="0"/>
        <v/>
      </c>
      <c r="S64" s="398" t="str">
        <f>IF(D64="","",VLOOKUP(D64,'G-6 Hedgerow Data'!$B$3:$AG$15,31,FALSE))</f>
        <v/>
      </c>
      <c r="T64" s="370" t="str">
        <f t="shared" si="3"/>
        <v/>
      </c>
      <c r="U64" s="370" t="str">
        <f t="shared" si="4"/>
        <v/>
      </c>
      <c r="V64" s="386" t="str">
        <f>IF(D64="","",VLOOKUP(S64,'G-3 Multipliers'!$P$3:$Q$6,2,FALSE))</f>
        <v/>
      </c>
      <c r="W64" s="390" t="str">
        <f t="shared" si="5"/>
        <v/>
      </c>
      <c r="X64" s="117"/>
      <c r="Y64" s="118"/>
      <c r="Z64" s="120"/>
      <c r="AG64" s="30" t="str">
        <f>IFERROR(INDEX('G-6 Hedgerow Data'!$BJ$3:$BJ$15,MATCH(D64,'G-6 Hedgerow Data'!$B$3:$B$15,0)),"")</f>
        <v/>
      </c>
    </row>
    <row r="65" spans="2:33" ht="15">
      <c r="B65" s="110">
        <v>54</v>
      </c>
      <c r="C65" s="167"/>
      <c r="D65" s="159"/>
      <c r="E65" s="139"/>
      <c r="F65" s="411" t="str">
        <f>IF(D65="","",VLOOKUP(D65,'G-6 Hedgerow Data'!$B$2:$AG$15,2,FALSE))</f>
        <v/>
      </c>
      <c r="G65" s="363" t="str">
        <f>IF(D65="","",VLOOKUP(D65,'G-6 Hedgerow Data'!$B$2:$AG$15,3,FALSE))</f>
        <v/>
      </c>
      <c r="H65" s="114"/>
      <c r="I65" s="363" t="str">
        <f>IFERROR(VLOOKUP(H65,'G-1 All Habitats'!$Z$2:$AA$9,2,FALSE),"")</f>
        <v/>
      </c>
      <c r="J65" s="114"/>
      <c r="K65" s="382" t="str">
        <f>IF(J65="","",IF(VLOOKUP(J65,'G-3 Multipliers'!$L$3:$N$6,2,FALSE)=0,"Spatial Data Missing ⚠",VLOOKUP(J65,'G-3 Multipliers'!$L$3:$N$6,2,FALSE)))</f>
        <v/>
      </c>
      <c r="L65" s="368" t="str">
        <f>IF(J65="","",IF(VLOOKUP(J65,'G-3 Multipliers'!$L$3:$N$6,3,FALSE)=0,"Spatial Data Missing ⚠",VLOOKUP(J65,'G-3 Multipliers'!$L$3:$N$6,3,FALSE)))</f>
        <v/>
      </c>
      <c r="M65" s="362" t="str">
        <f>IF(OR(D65="",H65=""),"",(INDEX('G-6 Hedgerow Data'!$E$3:$I$15,MATCH(D65,'G-6 Hedgerow Data'!$B$3:$B$15,0),MATCH(H65,'G-6 Hedgerow Data'!$E$2:$I$2,0))))</f>
        <v/>
      </c>
      <c r="N65" s="159"/>
      <c r="O65" s="159"/>
      <c r="P65" s="370" t="str">
        <f t="shared" si="1"/>
        <v/>
      </c>
      <c r="Q65" s="383" t="str">
        <f t="shared" si="2"/>
        <v/>
      </c>
      <c r="R65" s="384" t="str">
        <f t="shared" si="0"/>
        <v/>
      </c>
      <c r="S65" s="398" t="str">
        <f>IF(D65="","",VLOOKUP(D65,'G-6 Hedgerow Data'!$B$3:$AG$15,31,FALSE))</f>
        <v/>
      </c>
      <c r="T65" s="370" t="str">
        <f t="shared" si="3"/>
        <v/>
      </c>
      <c r="U65" s="370" t="str">
        <f t="shared" si="4"/>
        <v/>
      </c>
      <c r="V65" s="386" t="str">
        <f>IF(D65="","",VLOOKUP(S65,'G-3 Multipliers'!$P$3:$Q$6,2,FALSE))</f>
        <v/>
      </c>
      <c r="W65" s="390" t="str">
        <f t="shared" si="5"/>
        <v/>
      </c>
      <c r="X65" s="117"/>
      <c r="Y65" s="118"/>
      <c r="Z65" s="120"/>
      <c r="AG65" s="30" t="str">
        <f>IFERROR(INDEX('G-6 Hedgerow Data'!$BJ$3:$BJ$15,MATCH(D65,'G-6 Hedgerow Data'!$B$3:$B$15,0)),"")</f>
        <v/>
      </c>
    </row>
    <row r="66" spans="2:33" ht="15">
      <c r="B66" s="110">
        <v>55</v>
      </c>
      <c r="C66" s="167"/>
      <c r="D66" s="159"/>
      <c r="E66" s="139"/>
      <c r="F66" s="411" t="str">
        <f>IF(D66="","",VLOOKUP(D66,'G-6 Hedgerow Data'!$B$2:$AG$15,2,FALSE))</f>
        <v/>
      </c>
      <c r="G66" s="363" t="str">
        <f>IF(D66="","",VLOOKUP(D66,'G-6 Hedgerow Data'!$B$2:$AG$15,3,FALSE))</f>
        <v/>
      </c>
      <c r="H66" s="114"/>
      <c r="I66" s="363" t="str">
        <f>IFERROR(VLOOKUP(H66,'G-1 All Habitats'!$Z$2:$AA$9,2,FALSE),"")</f>
        <v/>
      </c>
      <c r="J66" s="114"/>
      <c r="K66" s="382" t="str">
        <f>IF(J66="","",IF(VLOOKUP(J66,'G-3 Multipliers'!$L$3:$N$6,2,FALSE)=0,"Spatial Data Missing ⚠",VLOOKUP(J66,'G-3 Multipliers'!$L$3:$N$6,2,FALSE)))</f>
        <v/>
      </c>
      <c r="L66" s="368" t="str">
        <f>IF(J66="","",IF(VLOOKUP(J66,'G-3 Multipliers'!$L$3:$N$6,3,FALSE)=0,"Spatial Data Missing ⚠",VLOOKUP(J66,'G-3 Multipliers'!$L$3:$N$6,3,FALSE)))</f>
        <v/>
      </c>
      <c r="M66" s="362" t="str">
        <f>IF(OR(D66="",H66=""),"",(INDEX('G-6 Hedgerow Data'!$E$3:$I$15,MATCH(D66,'G-6 Hedgerow Data'!$B$3:$B$15,0),MATCH(H66,'G-6 Hedgerow Data'!$E$2:$I$2,0))))</f>
        <v/>
      </c>
      <c r="N66" s="159"/>
      <c r="O66" s="159"/>
      <c r="P66" s="370" t="str">
        <f t="shared" si="1"/>
        <v/>
      </c>
      <c r="Q66" s="383" t="str">
        <f t="shared" si="2"/>
        <v/>
      </c>
      <c r="R66" s="384" t="str">
        <f t="shared" si="0"/>
        <v/>
      </c>
      <c r="S66" s="398" t="str">
        <f>IF(D66="","",VLOOKUP(D66,'G-6 Hedgerow Data'!$B$3:$AG$15,31,FALSE))</f>
        <v/>
      </c>
      <c r="T66" s="370" t="str">
        <f t="shared" si="3"/>
        <v/>
      </c>
      <c r="U66" s="370" t="str">
        <f t="shared" si="4"/>
        <v/>
      </c>
      <c r="V66" s="386" t="str">
        <f>IF(D66="","",VLOOKUP(S66,'G-3 Multipliers'!$P$3:$Q$6,2,FALSE))</f>
        <v/>
      </c>
      <c r="W66" s="390" t="str">
        <f t="shared" si="5"/>
        <v/>
      </c>
      <c r="X66" s="117"/>
      <c r="Y66" s="118"/>
      <c r="Z66" s="120"/>
      <c r="AG66" s="30" t="str">
        <f>IFERROR(INDEX('G-6 Hedgerow Data'!$BJ$3:$BJ$15,MATCH(D66,'G-6 Hedgerow Data'!$B$3:$B$15,0)),"")</f>
        <v/>
      </c>
    </row>
    <row r="67" spans="2:33" ht="15">
      <c r="B67" s="110">
        <v>56</v>
      </c>
      <c r="C67" s="167"/>
      <c r="D67" s="159"/>
      <c r="E67" s="139"/>
      <c r="F67" s="411" t="str">
        <f>IF(D67="","",VLOOKUP(D67,'G-6 Hedgerow Data'!$B$2:$AG$15,2,FALSE))</f>
        <v/>
      </c>
      <c r="G67" s="363" t="str">
        <f>IF(D67="","",VLOOKUP(D67,'G-6 Hedgerow Data'!$B$2:$AG$15,3,FALSE))</f>
        <v/>
      </c>
      <c r="H67" s="114"/>
      <c r="I67" s="363" t="str">
        <f>IFERROR(VLOOKUP(H67,'G-1 All Habitats'!$Z$2:$AA$9,2,FALSE),"")</f>
        <v/>
      </c>
      <c r="J67" s="114"/>
      <c r="K67" s="382" t="str">
        <f>IF(J67="","",IF(VLOOKUP(J67,'G-3 Multipliers'!$L$3:$N$6,2,FALSE)=0,"Spatial Data Missing ⚠",VLOOKUP(J67,'G-3 Multipliers'!$L$3:$N$6,2,FALSE)))</f>
        <v/>
      </c>
      <c r="L67" s="368" t="str">
        <f>IF(J67="","",IF(VLOOKUP(J67,'G-3 Multipliers'!$L$3:$N$6,3,FALSE)=0,"Spatial Data Missing ⚠",VLOOKUP(J67,'G-3 Multipliers'!$L$3:$N$6,3,FALSE)))</f>
        <v/>
      </c>
      <c r="M67" s="362" t="str">
        <f>IF(OR(D67="",H67=""),"",(INDEX('G-6 Hedgerow Data'!$E$3:$I$15,MATCH(D67,'G-6 Hedgerow Data'!$B$3:$B$15,0),MATCH(H67,'G-6 Hedgerow Data'!$E$2:$I$2,0))))</f>
        <v/>
      </c>
      <c r="N67" s="159"/>
      <c r="O67" s="159"/>
      <c r="P67" s="370" t="str">
        <f t="shared" si="1"/>
        <v/>
      </c>
      <c r="Q67" s="383" t="str">
        <f t="shared" si="2"/>
        <v/>
      </c>
      <c r="R67" s="384" t="str">
        <f t="shared" si="0"/>
        <v/>
      </c>
      <c r="S67" s="398" t="str">
        <f>IF(D67="","",VLOOKUP(D67,'G-6 Hedgerow Data'!$B$3:$AG$15,31,FALSE))</f>
        <v/>
      </c>
      <c r="T67" s="370" t="str">
        <f t="shared" si="3"/>
        <v/>
      </c>
      <c r="U67" s="370" t="str">
        <f t="shared" si="4"/>
        <v/>
      </c>
      <c r="V67" s="386" t="str">
        <f>IF(D67="","",VLOOKUP(S67,'G-3 Multipliers'!$P$3:$Q$6,2,FALSE))</f>
        <v/>
      </c>
      <c r="W67" s="390" t="str">
        <f t="shared" si="5"/>
        <v/>
      </c>
      <c r="X67" s="117"/>
      <c r="Y67" s="118"/>
      <c r="Z67" s="120"/>
      <c r="AG67" s="30" t="str">
        <f>IFERROR(INDEX('G-6 Hedgerow Data'!$BJ$3:$BJ$15,MATCH(D67,'G-6 Hedgerow Data'!$B$3:$B$15,0)),"")</f>
        <v/>
      </c>
    </row>
    <row r="68" spans="2:33" ht="15">
      <c r="B68" s="110">
        <v>57</v>
      </c>
      <c r="C68" s="167"/>
      <c r="D68" s="159"/>
      <c r="E68" s="139"/>
      <c r="F68" s="411" t="str">
        <f>IF(D68="","",VLOOKUP(D68,'G-6 Hedgerow Data'!$B$2:$AG$15,2,FALSE))</f>
        <v/>
      </c>
      <c r="G68" s="363" t="str">
        <f>IF(D68="","",VLOOKUP(D68,'G-6 Hedgerow Data'!$B$2:$AG$15,3,FALSE))</f>
        <v/>
      </c>
      <c r="H68" s="114"/>
      <c r="I68" s="363" t="str">
        <f>IFERROR(VLOOKUP(H68,'G-1 All Habitats'!$Z$2:$AA$9,2,FALSE),"")</f>
        <v/>
      </c>
      <c r="J68" s="114"/>
      <c r="K68" s="382" t="str">
        <f>IF(J68="","",IF(VLOOKUP(J68,'G-3 Multipliers'!$L$3:$N$6,2,FALSE)=0,"Spatial Data Missing ⚠",VLOOKUP(J68,'G-3 Multipliers'!$L$3:$N$6,2,FALSE)))</f>
        <v/>
      </c>
      <c r="L68" s="368" t="str">
        <f>IF(J68="","",IF(VLOOKUP(J68,'G-3 Multipliers'!$L$3:$N$6,3,FALSE)=0,"Spatial Data Missing ⚠",VLOOKUP(J68,'G-3 Multipliers'!$L$3:$N$6,3,FALSE)))</f>
        <v/>
      </c>
      <c r="M68" s="362" t="str">
        <f>IF(OR(D68="",H68=""),"",(INDEX('G-6 Hedgerow Data'!$E$3:$I$15,MATCH(D68,'G-6 Hedgerow Data'!$B$3:$B$15,0),MATCH(H68,'G-6 Hedgerow Data'!$E$2:$I$2,0))))</f>
        <v/>
      </c>
      <c r="N68" s="159"/>
      <c r="O68" s="159"/>
      <c r="P68" s="370" t="str">
        <f t="shared" si="1"/>
        <v/>
      </c>
      <c r="Q68" s="383" t="str">
        <f t="shared" si="2"/>
        <v/>
      </c>
      <c r="R68" s="384" t="str">
        <f t="shared" si="0"/>
        <v/>
      </c>
      <c r="S68" s="398" t="str">
        <f>IF(D68="","",VLOOKUP(D68,'G-6 Hedgerow Data'!$B$3:$AG$15,31,FALSE))</f>
        <v/>
      </c>
      <c r="T68" s="370" t="str">
        <f t="shared" si="3"/>
        <v/>
      </c>
      <c r="U68" s="370" t="str">
        <f t="shared" si="4"/>
        <v/>
      </c>
      <c r="V68" s="386" t="str">
        <f>IF(D68="","",VLOOKUP(S68,'G-3 Multipliers'!$P$3:$Q$6,2,FALSE))</f>
        <v/>
      </c>
      <c r="W68" s="390" t="str">
        <f t="shared" si="5"/>
        <v/>
      </c>
      <c r="X68" s="117"/>
      <c r="Y68" s="118"/>
      <c r="Z68" s="120"/>
      <c r="AG68" s="30" t="str">
        <f>IFERROR(INDEX('G-6 Hedgerow Data'!$BJ$3:$BJ$15,MATCH(D68,'G-6 Hedgerow Data'!$B$3:$B$15,0)),"")</f>
        <v/>
      </c>
    </row>
    <row r="69" spans="2:33" ht="15">
      <c r="B69" s="110">
        <v>58</v>
      </c>
      <c r="C69" s="167"/>
      <c r="D69" s="159"/>
      <c r="E69" s="139"/>
      <c r="F69" s="411" t="str">
        <f>IF(D69="","",VLOOKUP(D69,'G-6 Hedgerow Data'!$B$2:$AG$15,2,FALSE))</f>
        <v/>
      </c>
      <c r="G69" s="363" t="str">
        <f>IF(D69="","",VLOOKUP(D69,'G-6 Hedgerow Data'!$B$2:$AG$15,3,FALSE))</f>
        <v/>
      </c>
      <c r="H69" s="114"/>
      <c r="I69" s="363" t="str">
        <f>IFERROR(VLOOKUP(H69,'G-1 All Habitats'!$Z$2:$AA$9,2,FALSE),"")</f>
        <v/>
      </c>
      <c r="J69" s="114"/>
      <c r="K69" s="382" t="str">
        <f>IF(J69="","",IF(VLOOKUP(J69,'G-3 Multipliers'!$L$3:$N$6,2,FALSE)=0,"Spatial Data Missing ⚠",VLOOKUP(J69,'G-3 Multipliers'!$L$3:$N$6,2,FALSE)))</f>
        <v/>
      </c>
      <c r="L69" s="368" t="str">
        <f>IF(J69="","",IF(VLOOKUP(J69,'G-3 Multipliers'!$L$3:$N$6,3,FALSE)=0,"Spatial Data Missing ⚠",VLOOKUP(J69,'G-3 Multipliers'!$L$3:$N$6,3,FALSE)))</f>
        <v/>
      </c>
      <c r="M69" s="362" t="str">
        <f>IF(OR(D69="",H69=""),"",(INDEX('G-6 Hedgerow Data'!$E$3:$I$15,MATCH(D69,'G-6 Hedgerow Data'!$B$3:$B$15,0),MATCH(H69,'G-6 Hedgerow Data'!$E$2:$I$2,0))))</f>
        <v/>
      </c>
      <c r="N69" s="159"/>
      <c r="O69" s="159"/>
      <c r="P69" s="370" t="str">
        <f t="shared" si="1"/>
        <v/>
      </c>
      <c r="Q69" s="383" t="str">
        <f t="shared" si="2"/>
        <v/>
      </c>
      <c r="R69" s="384" t="str">
        <f t="shared" si="0"/>
        <v/>
      </c>
      <c r="S69" s="398" t="str">
        <f>IF(D69="","",VLOOKUP(D69,'G-6 Hedgerow Data'!$B$3:$AG$15,31,FALSE))</f>
        <v/>
      </c>
      <c r="T69" s="370" t="str">
        <f t="shared" si="3"/>
        <v/>
      </c>
      <c r="U69" s="370" t="str">
        <f t="shared" si="4"/>
        <v/>
      </c>
      <c r="V69" s="386" t="str">
        <f>IF(D69="","",VLOOKUP(S69,'G-3 Multipliers'!$P$3:$Q$6,2,FALSE))</f>
        <v/>
      </c>
      <c r="W69" s="390" t="str">
        <f t="shared" si="5"/>
        <v/>
      </c>
      <c r="X69" s="117"/>
      <c r="Y69" s="118"/>
      <c r="Z69" s="120"/>
      <c r="AG69" s="30" t="str">
        <f>IFERROR(INDEX('G-6 Hedgerow Data'!$BJ$3:$BJ$15,MATCH(D69,'G-6 Hedgerow Data'!$B$3:$B$15,0)),"")</f>
        <v/>
      </c>
    </row>
    <row r="70" spans="2:33" ht="15">
      <c r="B70" s="110">
        <v>59</v>
      </c>
      <c r="C70" s="167"/>
      <c r="D70" s="159"/>
      <c r="E70" s="139"/>
      <c r="F70" s="411" t="str">
        <f>IF(D70="","",VLOOKUP(D70,'G-6 Hedgerow Data'!$B$2:$AG$15,2,FALSE))</f>
        <v/>
      </c>
      <c r="G70" s="363" t="str">
        <f>IF(D70="","",VLOOKUP(D70,'G-6 Hedgerow Data'!$B$2:$AG$15,3,FALSE))</f>
        <v/>
      </c>
      <c r="H70" s="114"/>
      <c r="I70" s="363" t="str">
        <f>IFERROR(VLOOKUP(H70,'G-1 All Habitats'!$Z$2:$AA$9,2,FALSE),"")</f>
        <v/>
      </c>
      <c r="J70" s="114"/>
      <c r="K70" s="382" t="str">
        <f>IF(J70="","",IF(VLOOKUP(J70,'G-3 Multipliers'!$L$3:$N$6,2,FALSE)=0,"Spatial Data Missing ⚠",VLOOKUP(J70,'G-3 Multipliers'!$L$3:$N$6,2,FALSE)))</f>
        <v/>
      </c>
      <c r="L70" s="368" t="str">
        <f>IF(J70="","",IF(VLOOKUP(J70,'G-3 Multipliers'!$L$3:$N$6,3,FALSE)=0,"Spatial Data Missing ⚠",VLOOKUP(J70,'G-3 Multipliers'!$L$3:$N$6,3,FALSE)))</f>
        <v/>
      </c>
      <c r="M70" s="362" t="str">
        <f>IF(OR(D70="",H70=""),"",(INDEX('G-6 Hedgerow Data'!$E$3:$I$15,MATCH(D70,'G-6 Hedgerow Data'!$B$3:$B$15,0),MATCH(H70,'G-6 Hedgerow Data'!$E$2:$I$2,0))))</f>
        <v/>
      </c>
      <c r="N70" s="159"/>
      <c r="O70" s="159"/>
      <c r="P70" s="370" t="str">
        <f t="shared" si="1"/>
        <v/>
      </c>
      <c r="Q70" s="383" t="str">
        <f t="shared" si="2"/>
        <v/>
      </c>
      <c r="R70" s="384" t="str">
        <f t="shared" si="0"/>
        <v/>
      </c>
      <c r="S70" s="398" t="str">
        <f>IF(D70="","",VLOOKUP(D70,'G-6 Hedgerow Data'!$B$3:$AG$15,31,FALSE))</f>
        <v/>
      </c>
      <c r="T70" s="370" t="str">
        <f t="shared" si="3"/>
        <v/>
      </c>
      <c r="U70" s="370" t="str">
        <f t="shared" si="4"/>
        <v/>
      </c>
      <c r="V70" s="386" t="str">
        <f>IF(D70="","",VLOOKUP(S70,'G-3 Multipliers'!$P$3:$Q$6,2,FALSE))</f>
        <v/>
      </c>
      <c r="W70" s="390" t="str">
        <f t="shared" si="5"/>
        <v/>
      </c>
      <c r="X70" s="117"/>
      <c r="Y70" s="118"/>
      <c r="Z70" s="120"/>
      <c r="AG70" s="30" t="str">
        <f>IFERROR(INDEX('G-6 Hedgerow Data'!$BJ$3:$BJ$15,MATCH(D70,'G-6 Hedgerow Data'!$B$3:$B$15,0)),"")</f>
        <v/>
      </c>
    </row>
    <row r="71" spans="2:33" ht="15">
      <c r="B71" s="110">
        <v>60</v>
      </c>
      <c r="C71" s="167"/>
      <c r="D71" s="159"/>
      <c r="E71" s="139"/>
      <c r="F71" s="411" t="str">
        <f>IF(D71="","",VLOOKUP(D71,'G-6 Hedgerow Data'!$B$2:$AG$15,2,FALSE))</f>
        <v/>
      </c>
      <c r="G71" s="363" t="str">
        <f>IF(D71="","",VLOOKUP(D71,'G-6 Hedgerow Data'!$B$2:$AG$15,3,FALSE))</f>
        <v/>
      </c>
      <c r="H71" s="114"/>
      <c r="I71" s="363" t="str">
        <f>IFERROR(VLOOKUP(H71,'G-1 All Habitats'!$Z$2:$AA$9,2,FALSE),"")</f>
        <v/>
      </c>
      <c r="J71" s="114"/>
      <c r="K71" s="382" t="str">
        <f>IF(J71="","",IF(VLOOKUP(J71,'G-3 Multipliers'!$L$3:$N$6,2,FALSE)=0,"Spatial Data Missing ⚠",VLOOKUP(J71,'G-3 Multipliers'!$L$3:$N$6,2,FALSE)))</f>
        <v/>
      </c>
      <c r="L71" s="368" t="str">
        <f>IF(J71="","",IF(VLOOKUP(J71,'G-3 Multipliers'!$L$3:$N$6,3,FALSE)=0,"Spatial Data Missing ⚠",VLOOKUP(J71,'G-3 Multipliers'!$L$3:$N$6,3,FALSE)))</f>
        <v/>
      </c>
      <c r="M71" s="362" t="str">
        <f>IF(OR(D71="",H71=""),"",(INDEX('G-6 Hedgerow Data'!$E$3:$I$15,MATCH(D71,'G-6 Hedgerow Data'!$B$3:$B$15,0),MATCH(H71,'G-6 Hedgerow Data'!$E$2:$I$2,0))))</f>
        <v/>
      </c>
      <c r="N71" s="159"/>
      <c r="O71" s="159"/>
      <c r="P71" s="370" t="str">
        <f t="shared" si="1"/>
        <v/>
      </c>
      <c r="Q71" s="383" t="str">
        <f t="shared" si="2"/>
        <v/>
      </c>
      <c r="R71" s="384" t="str">
        <f t="shared" si="0"/>
        <v/>
      </c>
      <c r="S71" s="398" t="str">
        <f>IF(D71="","",VLOOKUP(D71,'G-6 Hedgerow Data'!$B$3:$AG$15,31,FALSE))</f>
        <v/>
      </c>
      <c r="T71" s="370" t="str">
        <f t="shared" si="3"/>
        <v/>
      </c>
      <c r="U71" s="370" t="str">
        <f t="shared" si="4"/>
        <v/>
      </c>
      <c r="V71" s="386" t="str">
        <f>IF(D71="","",VLOOKUP(S71,'G-3 Multipliers'!$P$3:$Q$6,2,FALSE))</f>
        <v/>
      </c>
      <c r="W71" s="390" t="str">
        <f t="shared" si="5"/>
        <v/>
      </c>
      <c r="X71" s="117"/>
      <c r="Y71" s="118"/>
      <c r="Z71" s="120"/>
      <c r="AG71" s="30" t="str">
        <f>IFERROR(INDEX('G-6 Hedgerow Data'!$BJ$3:$BJ$15,MATCH(D71,'G-6 Hedgerow Data'!$B$3:$B$15,0)),"")</f>
        <v/>
      </c>
    </row>
    <row r="72" spans="2:33" ht="15">
      <c r="B72" s="110">
        <v>61</v>
      </c>
      <c r="C72" s="167"/>
      <c r="D72" s="159"/>
      <c r="E72" s="139"/>
      <c r="F72" s="411" t="str">
        <f>IF(D72="","",VLOOKUP(D72,'G-6 Hedgerow Data'!$B$2:$AG$15,2,FALSE))</f>
        <v/>
      </c>
      <c r="G72" s="363" t="str">
        <f>IF(D72="","",VLOOKUP(D72,'G-6 Hedgerow Data'!$B$2:$AG$15,3,FALSE))</f>
        <v/>
      </c>
      <c r="H72" s="114"/>
      <c r="I72" s="363" t="str">
        <f>IFERROR(VLOOKUP(H72,'G-1 All Habitats'!$Z$2:$AA$9,2,FALSE),"")</f>
        <v/>
      </c>
      <c r="J72" s="114"/>
      <c r="K72" s="382" t="str">
        <f>IF(J72="","",IF(VLOOKUP(J72,'G-3 Multipliers'!$L$3:$N$6,2,FALSE)=0,"Spatial Data Missing ⚠",VLOOKUP(J72,'G-3 Multipliers'!$L$3:$N$6,2,FALSE)))</f>
        <v/>
      </c>
      <c r="L72" s="368" t="str">
        <f>IF(J72="","",IF(VLOOKUP(J72,'G-3 Multipliers'!$L$3:$N$6,3,FALSE)=0,"Spatial Data Missing ⚠",VLOOKUP(J72,'G-3 Multipliers'!$L$3:$N$6,3,FALSE)))</f>
        <v/>
      </c>
      <c r="M72" s="362" t="str">
        <f>IF(OR(D72="",H72=""),"",(INDEX('G-6 Hedgerow Data'!$E$3:$I$15,MATCH(D72,'G-6 Hedgerow Data'!$B$3:$B$15,0),MATCH(H72,'G-6 Hedgerow Data'!$E$2:$I$2,0))))</f>
        <v/>
      </c>
      <c r="N72" s="159"/>
      <c r="O72" s="159"/>
      <c r="P72" s="370" t="str">
        <f t="shared" si="1"/>
        <v/>
      </c>
      <c r="Q72" s="383" t="str">
        <f t="shared" si="2"/>
        <v/>
      </c>
      <c r="R72" s="384" t="str">
        <f t="shared" si="0"/>
        <v/>
      </c>
      <c r="S72" s="398" t="str">
        <f>IF(D72="","",VLOOKUP(D72,'G-6 Hedgerow Data'!$B$3:$AG$15,31,FALSE))</f>
        <v/>
      </c>
      <c r="T72" s="370" t="str">
        <f t="shared" si="3"/>
        <v/>
      </c>
      <c r="U72" s="370" t="str">
        <f t="shared" si="4"/>
        <v/>
      </c>
      <c r="V72" s="386" t="str">
        <f>IF(D72="","",VLOOKUP(S72,'G-3 Multipliers'!$P$3:$Q$6,2,FALSE))</f>
        <v/>
      </c>
      <c r="W72" s="390" t="str">
        <f t="shared" si="5"/>
        <v/>
      </c>
      <c r="X72" s="117"/>
      <c r="Y72" s="118"/>
      <c r="Z72" s="120"/>
      <c r="AG72" s="30" t="str">
        <f>IFERROR(INDEX('G-6 Hedgerow Data'!$BJ$3:$BJ$15,MATCH(D72,'G-6 Hedgerow Data'!$B$3:$B$15,0)),"")</f>
        <v/>
      </c>
    </row>
    <row r="73" spans="2:33" ht="15">
      <c r="B73" s="110">
        <v>62</v>
      </c>
      <c r="C73" s="167"/>
      <c r="D73" s="159"/>
      <c r="E73" s="139"/>
      <c r="F73" s="411" t="str">
        <f>IF(D73="","",VLOOKUP(D73,'G-6 Hedgerow Data'!$B$2:$AG$15,2,FALSE))</f>
        <v/>
      </c>
      <c r="G73" s="363" t="str">
        <f>IF(D73="","",VLOOKUP(D73,'G-6 Hedgerow Data'!$B$2:$AG$15,3,FALSE))</f>
        <v/>
      </c>
      <c r="H73" s="114"/>
      <c r="I73" s="363" t="str">
        <f>IFERROR(VLOOKUP(H73,'G-1 All Habitats'!$Z$2:$AA$9,2,FALSE),"")</f>
        <v/>
      </c>
      <c r="J73" s="114"/>
      <c r="K73" s="382" t="str">
        <f>IF(J73="","",IF(VLOOKUP(J73,'G-3 Multipliers'!$L$3:$N$6,2,FALSE)=0,"Spatial Data Missing ⚠",VLOOKUP(J73,'G-3 Multipliers'!$L$3:$N$6,2,FALSE)))</f>
        <v/>
      </c>
      <c r="L73" s="368" t="str">
        <f>IF(J73="","",IF(VLOOKUP(J73,'G-3 Multipliers'!$L$3:$N$6,3,FALSE)=0,"Spatial Data Missing ⚠",VLOOKUP(J73,'G-3 Multipliers'!$L$3:$N$6,3,FALSE)))</f>
        <v/>
      </c>
      <c r="M73" s="362" t="str">
        <f>IF(OR(D73="",H73=""),"",(INDEX('G-6 Hedgerow Data'!$E$3:$I$15,MATCH(D73,'G-6 Hedgerow Data'!$B$3:$B$15,0),MATCH(H73,'G-6 Hedgerow Data'!$E$2:$I$2,0))))</f>
        <v/>
      </c>
      <c r="N73" s="159"/>
      <c r="O73" s="159"/>
      <c r="P73" s="370" t="str">
        <f t="shared" si="1"/>
        <v/>
      </c>
      <c r="Q73" s="383" t="str">
        <f t="shared" si="2"/>
        <v/>
      </c>
      <c r="R73" s="384" t="str">
        <f t="shared" si="0"/>
        <v/>
      </c>
      <c r="S73" s="398" t="str">
        <f>IF(D73="","",VLOOKUP(D73,'G-6 Hedgerow Data'!$B$3:$AG$15,31,FALSE))</f>
        <v/>
      </c>
      <c r="T73" s="370" t="str">
        <f t="shared" si="3"/>
        <v/>
      </c>
      <c r="U73" s="370" t="str">
        <f t="shared" si="4"/>
        <v/>
      </c>
      <c r="V73" s="386" t="str">
        <f>IF(D73="","",VLOOKUP(S73,'G-3 Multipliers'!$P$3:$Q$6,2,FALSE))</f>
        <v/>
      </c>
      <c r="W73" s="390" t="str">
        <f t="shared" si="5"/>
        <v/>
      </c>
      <c r="X73" s="117"/>
      <c r="Y73" s="118"/>
      <c r="Z73" s="120"/>
      <c r="AG73" s="30" t="str">
        <f>IFERROR(INDEX('G-6 Hedgerow Data'!$BJ$3:$BJ$15,MATCH(D73,'G-6 Hedgerow Data'!$B$3:$B$15,0)),"")</f>
        <v/>
      </c>
    </row>
    <row r="74" spans="2:33" ht="15">
      <c r="B74" s="110">
        <v>63</v>
      </c>
      <c r="C74" s="167"/>
      <c r="D74" s="159"/>
      <c r="E74" s="139"/>
      <c r="F74" s="411" t="str">
        <f>IF(D74="","",VLOOKUP(D74,'G-6 Hedgerow Data'!$B$2:$AG$15,2,FALSE))</f>
        <v/>
      </c>
      <c r="G74" s="363" t="str">
        <f>IF(D74="","",VLOOKUP(D74,'G-6 Hedgerow Data'!$B$2:$AG$15,3,FALSE))</f>
        <v/>
      </c>
      <c r="H74" s="114"/>
      <c r="I74" s="363" t="str">
        <f>IFERROR(VLOOKUP(H74,'G-1 All Habitats'!$Z$2:$AA$9,2,FALSE),"")</f>
        <v/>
      </c>
      <c r="J74" s="114"/>
      <c r="K74" s="382" t="str">
        <f>IF(J74="","",IF(VLOOKUP(J74,'G-3 Multipliers'!$L$3:$N$6,2,FALSE)=0,"Spatial Data Missing ⚠",VLOOKUP(J74,'G-3 Multipliers'!$L$3:$N$6,2,FALSE)))</f>
        <v/>
      </c>
      <c r="L74" s="368" t="str">
        <f>IF(J74="","",IF(VLOOKUP(J74,'G-3 Multipliers'!$L$3:$N$6,3,FALSE)=0,"Spatial Data Missing ⚠",VLOOKUP(J74,'G-3 Multipliers'!$L$3:$N$6,3,FALSE)))</f>
        <v/>
      </c>
      <c r="M74" s="362" t="str">
        <f>IF(OR(D74="",H74=""),"",(INDEX('G-6 Hedgerow Data'!$E$3:$I$15,MATCH(D74,'G-6 Hedgerow Data'!$B$3:$B$15,0),MATCH(H74,'G-6 Hedgerow Data'!$E$2:$I$2,0))))</f>
        <v/>
      </c>
      <c r="N74" s="159"/>
      <c r="O74" s="159"/>
      <c r="P74" s="370" t="str">
        <f t="shared" si="1"/>
        <v/>
      </c>
      <c r="Q74" s="383" t="str">
        <f t="shared" si="2"/>
        <v/>
      </c>
      <c r="R74" s="384" t="str">
        <f t="shared" si="0"/>
        <v/>
      </c>
      <c r="S74" s="398" t="str">
        <f>IF(D74="","",VLOOKUP(D74,'G-6 Hedgerow Data'!$B$3:$AG$15,31,FALSE))</f>
        <v/>
      </c>
      <c r="T74" s="370" t="str">
        <f t="shared" si="3"/>
        <v/>
      </c>
      <c r="U74" s="370" t="str">
        <f t="shared" si="4"/>
        <v/>
      </c>
      <c r="V74" s="386" t="str">
        <f>IF(D74="","",VLOOKUP(S74,'G-3 Multipliers'!$P$3:$Q$6,2,FALSE))</f>
        <v/>
      </c>
      <c r="W74" s="390" t="str">
        <f t="shared" si="5"/>
        <v/>
      </c>
      <c r="X74" s="117"/>
      <c r="Y74" s="118"/>
      <c r="Z74" s="120"/>
      <c r="AG74" s="30" t="str">
        <f>IFERROR(INDEX('G-6 Hedgerow Data'!$BJ$3:$BJ$15,MATCH(D74,'G-6 Hedgerow Data'!$B$3:$B$15,0)),"")</f>
        <v/>
      </c>
    </row>
    <row r="75" spans="2:33" ht="15">
      <c r="B75" s="110">
        <v>64</v>
      </c>
      <c r="C75" s="167"/>
      <c r="D75" s="159"/>
      <c r="E75" s="139"/>
      <c r="F75" s="411" t="str">
        <f>IF(D75="","",VLOOKUP(D75,'G-6 Hedgerow Data'!$B$2:$AG$15,2,FALSE))</f>
        <v/>
      </c>
      <c r="G75" s="363" t="str">
        <f>IF(D75="","",VLOOKUP(D75,'G-6 Hedgerow Data'!$B$2:$AG$15,3,FALSE))</f>
        <v/>
      </c>
      <c r="H75" s="114"/>
      <c r="I75" s="363" t="str">
        <f>IFERROR(VLOOKUP(H75,'G-1 All Habitats'!$Z$2:$AA$9,2,FALSE),"")</f>
        <v/>
      </c>
      <c r="J75" s="114"/>
      <c r="K75" s="382" t="str">
        <f>IF(J75="","",IF(VLOOKUP(J75,'G-3 Multipliers'!$L$3:$N$6,2,FALSE)=0,"Spatial Data Missing ⚠",VLOOKUP(J75,'G-3 Multipliers'!$L$3:$N$6,2,FALSE)))</f>
        <v/>
      </c>
      <c r="L75" s="368" t="str">
        <f>IF(J75="","",IF(VLOOKUP(J75,'G-3 Multipliers'!$L$3:$N$6,3,FALSE)=0,"Spatial Data Missing ⚠",VLOOKUP(J75,'G-3 Multipliers'!$L$3:$N$6,3,FALSE)))</f>
        <v/>
      </c>
      <c r="M75" s="362" t="str">
        <f>IF(OR(D75="",H75=""),"",(INDEX('G-6 Hedgerow Data'!$E$3:$I$15,MATCH(D75,'G-6 Hedgerow Data'!$B$3:$B$15,0),MATCH(H75,'G-6 Hedgerow Data'!$E$2:$I$2,0))))</f>
        <v/>
      </c>
      <c r="N75" s="159"/>
      <c r="O75" s="159"/>
      <c r="P75" s="370" t="str">
        <f t="shared" si="1"/>
        <v/>
      </c>
      <c r="Q75" s="383" t="str">
        <f t="shared" si="2"/>
        <v/>
      </c>
      <c r="R75" s="384" t="str">
        <f t="shared" si="0"/>
        <v/>
      </c>
      <c r="S75" s="398" t="str">
        <f>IF(D75="","",VLOOKUP(D75,'G-6 Hedgerow Data'!$B$3:$AG$15,31,FALSE))</f>
        <v/>
      </c>
      <c r="T75" s="370" t="str">
        <f t="shared" si="3"/>
        <v/>
      </c>
      <c r="U75" s="370" t="str">
        <f t="shared" si="4"/>
        <v/>
      </c>
      <c r="V75" s="386" t="str">
        <f>IF(D75="","",VLOOKUP(S75,'G-3 Multipliers'!$P$3:$Q$6,2,FALSE))</f>
        <v/>
      </c>
      <c r="W75" s="390" t="str">
        <f t="shared" si="5"/>
        <v/>
      </c>
      <c r="X75" s="117"/>
      <c r="Y75" s="118"/>
      <c r="Z75" s="120"/>
      <c r="AG75" s="30" t="str">
        <f>IFERROR(INDEX('G-6 Hedgerow Data'!$BJ$3:$BJ$15,MATCH(D75,'G-6 Hedgerow Data'!$B$3:$B$15,0)),"")</f>
        <v/>
      </c>
    </row>
    <row r="76" spans="2:33" ht="15">
      <c r="B76" s="110">
        <v>65</v>
      </c>
      <c r="C76" s="167"/>
      <c r="D76" s="159"/>
      <c r="E76" s="139"/>
      <c r="F76" s="411" t="str">
        <f>IF(D76="","",VLOOKUP(D76,'G-6 Hedgerow Data'!$B$2:$AG$15,2,FALSE))</f>
        <v/>
      </c>
      <c r="G76" s="363" t="str">
        <f>IF(D76="","",VLOOKUP(D76,'G-6 Hedgerow Data'!$B$2:$AG$15,3,FALSE))</f>
        <v/>
      </c>
      <c r="H76" s="114"/>
      <c r="I76" s="363" t="str">
        <f>IFERROR(VLOOKUP(H76,'G-1 All Habitats'!$Z$2:$AA$9,2,FALSE),"")</f>
        <v/>
      </c>
      <c r="J76" s="114"/>
      <c r="K76" s="382" t="str">
        <f>IF(J76="","",IF(VLOOKUP(J76,'G-3 Multipliers'!$L$3:$N$6,2,FALSE)=0,"Spatial Data Missing ⚠",VLOOKUP(J76,'G-3 Multipliers'!$L$3:$N$6,2,FALSE)))</f>
        <v/>
      </c>
      <c r="L76" s="368" t="str">
        <f>IF(J76="","",IF(VLOOKUP(J76,'G-3 Multipliers'!$L$3:$N$6,3,FALSE)=0,"Spatial Data Missing ⚠",VLOOKUP(J76,'G-3 Multipliers'!$L$3:$N$6,3,FALSE)))</f>
        <v/>
      </c>
      <c r="M76" s="362" t="str">
        <f>IF(OR(D76="",H76=""),"",(INDEX('G-6 Hedgerow Data'!$E$3:$I$15,MATCH(D76,'G-6 Hedgerow Data'!$B$3:$B$15,0),MATCH(H76,'G-6 Hedgerow Data'!$E$2:$I$2,0))))</f>
        <v/>
      </c>
      <c r="N76" s="159"/>
      <c r="O76" s="159"/>
      <c r="P76" s="370" t="str">
        <f t="shared" si="1"/>
        <v/>
      </c>
      <c r="Q76" s="383" t="str">
        <f t="shared" si="2"/>
        <v/>
      </c>
      <c r="R76" s="384" t="str">
        <f t="shared" ref="R76:R139" si="6">IF(M76="","",IF(Q76="Check Data ⚠","Check Data ⚠",VLOOKUP(Q76,TemporalMultipliers,3,FALSE)))</f>
        <v/>
      </c>
      <c r="S76" s="398" t="str">
        <f>IF(D76="","",VLOOKUP(D76,'G-6 Hedgerow Data'!$B$3:$AG$15,31,FALSE))</f>
        <v/>
      </c>
      <c r="T76" s="370" t="str">
        <f t="shared" si="3"/>
        <v/>
      </c>
      <c r="U76" s="370" t="str">
        <f t="shared" si="4"/>
        <v/>
      </c>
      <c r="V76" s="386" t="str">
        <f>IF(D76="","",VLOOKUP(S76,'G-3 Multipliers'!$P$3:$Q$6,2,FALSE))</f>
        <v/>
      </c>
      <c r="W76" s="390" t="str">
        <f t="shared" si="5"/>
        <v/>
      </c>
      <c r="X76" s="117"/>
      <c r="Y76" s="118"/>
      <c r="Z76" s="120"/>
      <c r="AG76" s="30" t="str">
        <f>IFERROR(INDEX('G-6 Hedgerow Data'!$BJ$3:$BJ$15,MATCH(D76,'G-6 Hedgerow Data'!$B$3:$B$15,0)),"")</f>
        <v/>
      </c>
    </row>
    <row r="77" spans="2:33" ht="15">
      <c r="B77" s="110">
        <v>66</v>
      </c>
      <c r="C77" s="167"/>
      <c r="D77" s="159"/>
      <c r="E77" s="139"/>
      <c r="F77" s="411" t="str">
        <f>IF(D77="","",VLOOKUP(D77,'G-6 Hedgerow Data'!$B$2:$AG$15,2,FALSE))</f>
        <v/>
      </c>
      <c r="G77" s="363" t="str">
        <f>IF(D77="","",VLOOKUP(D77,'G-6 Hedgerow Data'!$B$2:$AG$15,3,FALSE))</f>
        <v/>
      </c>
      <c r="H77" s="114"/>
      <c r="I77" s="363" t="str">
        <f>IFERROR(VLOOKUP(H77,'G-1 All Habitats'!$Z$2:$AA$9,2,FALSE),"")</f>
        <v/>
      </c>
      <c r="J77" s="114"/>
      <c r="K77" s="382" t="str">
        <f>IF(J77="","",IF(VLOOKUP(J77,'G-3 Multipliers'!$L$3:$N$6,2,FALSE)=0,"Spatial Data Missing ⚠",VLOOKUP(J77,'G-3 Multipliers'!$L$3:$N$6,2,FALSE)))</f>
        <v/>
      </c>
      <c r="L77" s="368" t="str">
        <f>IF(J77="","",IF(VLOOKUP(J77,'G-3 Multipliers'!$L$3:$N$6,3,FALSE)=0,"Spatial Data Missing ⚠",VLOOKUP(J77,'G-3 Multipliers'!$L$3:$N$6,3,FALSE)))</f>
        <v/>
      </c>
      <c r="M77" s="362" t="str">
        <f>IF(OR(D77="",H77=""),"",(INDEX('G-6 Hedgerow Data'!$E$3:$I$15,MATCH(D77,'G-6 Hedgerow Data'!$B$3:$B$15,0),MATCH(H77,'G-6 Hedgerow Data'!$E$2:$I$2,0))))</f>
        <v/>
      </c>
      <c r="N77" s="159"/>
      <c r="O77" s="159"/>
      <c r="P77" s="370" t="str">
        <f t="shared" ref="P77:P140" si="7">IF(M77="","",IF(AND(N77&gt;0,O77&gt;0),"Error -both advance and delayed habitat creation ▲",IF(AND(OR(N77="Habitat already in target condition",M77&lt;=N77),O77=0),"Check details - Is there evidence that habitat has reached target condition? ⚠",IF(M77="","",IF(N77&gt;0,"Check details - Is there evidence habitat creation started/in place? ⚠",IF(O77&gt;0,"Check details- Delay in starting habitat in required condition? ⚠","Standard time to target condition applied"))))))</f>
        <v/>
      </c>
      <c r="Q77" s="383" t="str">
        <f t="shared" ref="Q77:Q140" si="8">IF(M77="","",IF(P77="Error -both advance and delayed habitat creation ▲","Check Data ⚠",IF(OR(N77="30+",N77="Habitat already in target condition"),0,IF(O77="30+","30+",IF(AND(M77="30+",OR(N77="",N77=0)),"30+",IF(AND(M77="30+",N77&gt;0),30-N77,IF(M77+O77&gt;30,"30+",IF(M77+O77-N77&gt;0,M77+O77-N77,IF(M77-N77&lt;0,0,M77+O77-N77)))))))))</f>
        <v/>
      </c>
      <c r="R77" s="384" t="str">
        <f t="shared" si="6"/>
        <v/>
      </c>
      <c r="S77" s="398" t="str">
        <f>IF(D77="","",VLOOKUP(D77,'G-6 Hedgerow Data'!$B$3:$AG$15,31,FALSE))</f>
        <v/>
      </c>
      <c r="T77" s="370" t="str">
        <f t="shared" ref="T77:T140" si="9">IF(D77="","",IF(Q77="Check Data ⚠","Check Data ⚠",IF(H77="","",IF($P77="Check details - Is there evidence that habitat has reached target condition? ⚠","Low Difficulty - only applicable if all habitat created before losses ⚠","Standard difficulty applied"))))</f>
        <v/>
      </c>
      <c r="U77" s="370" t="str">
        <f t="shared" ref="U77:U140" si="10">(IF(AND(T77="Standard difficulty applied",M77&gt;N77),S77,IF(AND(T77="Low Difficulty - only applicable if all habitat created before losses ⚠",Q77&lt;=0),"Low",S77)))</f>
        <v/>
      </c>
      <c r="V77" s="386" t="str">
        <f>IF(D77="","",VLOOKUP(S77,'G-3 Multipliers'!$P$3:$Q$6,2,FALSE))</f>
        <v/>
      </c>
      <c r="W77" s="390" t="str">
        <f t="shared" ref="W77:W140" si="11">IFERROR(E77*G77*I77*L77*R77*V77,"")</f>
        <v/>
      </c>
      <c r="X77" s="117"/>
      <c r="Y77" s="118"/>
      <c r="Z77" s="120"/>
      <c r="AG77" s="30" t="str">
        <f>IFERROR(INDEX('G-6 Hedgerow Data'!$BJ$3:$BJ$15,MATCH(D77,'G-6 Hedgerow Data'!$B$3:$B$15,0)),"")</f>
        <v/>
      </c>
    </row>
    <row r="78" spans="2:33" ht="15">
      <c r="B78" s="110">
        <v>67</v>
      </c>
      <c r="C78" s="167"/>
      <c r="D78" s="159"/>
      <c r="E78" s="139"/>
      <c r="F78" s="411" t="str">
        <f>IF(D78="","",VLOOKUP(D78,'G-6 Hedgerow Data'!$B$2:$AG$15,2,FALSE))</f>
        <v/>
      </c>
      <c r="G78" s="363" t="str">
        <f>IF(D78="","",VLOOKUP(D78,'G-6 Hedgerow Data'!$B$2:$AG$15,3,FALSE))</f>
        <v/>
      </c>
      <c r="H78" s="114"/>
      <c r="I78" s="363" t="str">
        <f>IFERROR(VLOOKUP(H78,'G-1 All Habitats'!$Z$2:$AA$9,2,FALSE),"")</f>
        <v/>
      </c>
      <c r="J78" s="114"/>
      <c r="K78" s="382" t="str">
        <f>IF(J78="","",IF(VLOOKUP(J78,'G-3 Multipliers'!$L$3:$N$6,2,FALSE)=0,"Spatial Data Missing ⚠",VLOOKUP(J78,'G-3 Multipliers'!$L$3:$N$6,2,FALSE)))</f>
        <v/>
      </c>
      <c r="L78" s="368" t="str">
        <f>IF(J78="","",IF(VLOOKUP(J78,'G-3 Multipliers'!$L$3:$N$6,3,FALSE)=0,"Spatial Data Missing ⚠",VLOOKUP(J78,'G-3 Multipliers'!$L$3:$N$6,3,FALSE)))</f>
        <v/>
      </c>
      <c r="M78" s="362" t="str">
        <f>IF(OR(D78="",H78=""),"",(INDEX('G-6 Hedgerow Data'!$E$3:$I$15,MATCH(D78,'G-6 Hedgerow Data'!$B$3:$B$15,0),MATCH(H78,'G-6 Hedgerow Data'!$E$2:$I$2,0))))</f>
        <v/>
      </c>
      <c r="N78" s="159"/>
      <c r="O78" s="159"/>
      <c r="P78" s="370" t="str">
        <f t="shared" si="7"/>
        <v/>
      </c>
      <c r="Q78" s="383" t="str">
        <f t="shared" si="8"/>
        <v/>
      </c>
      <c r="R78" s="384" t="str">
        <f t="shared" si="6"/>
        <v/>
      </c>
      <c r="S78" s="398" t="str">
        <f>IF(D78="","",VLOOKUP(D78,'G-6 Hedgerow Data'!$B$3:$AG$15,31,FALSE))</f>
        <v/>
      </c>
      <c r="T78" s="370" t="str">
        <f t="shared" si="9"/>
        <v/>
      </c>
      <c r="U78" s="370" t="str">
        <f t="shared" si="10"/>
        <v/>
      </c>
      <c r="V78" s="386" t="str">
        <f>IF(D78="","",VLOOKUP(S78,'G-3 Multipliers'!$P$3:$Q$6,2,FALSE))</f>
        <v/>
      </c>
      <c r="W78" s="390" t="str">
        <f t="shared" si="11"/>
        <v/>
      </c>
      <c r="X78" s="117"/>
      <c r="Y78" s="118"/>
      <c r="Z78" s="120"/>
      <c r="AG78" s="30" t="str">
        <f>IFERROR(INDEX('G-6 Hedgerow Data'!$BJ$3:$BJ$15,MATCH(D78,'G-6 Hedgerow Data'!$B$3:$B$15,0)),"")</f>
        <v/>
      </c>
    </row>
    <row r="79" spans="2:33" ht="15">
      <c r="B79" s="110">
        <v>68</v>
      </c>
      <c r="C79" s="167"/>
      <c r="D79" s="159"/>
      <c r="E79" s="139"/>
      <c r="F79" s="411" t="str">
        <f>IF(D79="","",VLOOKUP(D79,'G-6 Hedgerow Data'!$B$2:$AG$15,2,FALSE))</f>
        <v/>
      </c>
      <c r="G79" s="363" t="str">
        <f>IF(D79="","",VLOOKUP(D79,'G-6 Hedgerow Data'!$B$2:$AG$15,3,FALSE))</f>
        <v/>
      </c>
      <c r="H79" s="114"/>
      <c r="I79" s="363" t="str">
        <f>IFERROR(VLOOKUP(H79,'G-1 All Habitats'!$Z$2:$AA$9,2,FALSE),"")</f>
        <v/>
      </c>
      <c r="J79" s="114"/>
      <c r="K79" s="382" t="str">
        <f>IF(J79="","",IF(VLOOKUP(J79,'G-3 Multipliers'!$L$3:$N$6,2,FALSE)=0,"Spatial Data Missing ⚠",VLOOKUP(J79,'G-3 Multipliers'!$L$3:$N$6,2,FALSE)))</f>
        <v/>
      </c>
      <c r="L79" s="368" t="str">
        <f>IF(J79="","",IF(VLOOKUP(J79,'G-3 Multipliers'!$L$3:$N$6,3,FALSE)=0,"Spatial Data Missing ⚠",VLOOKUP(J79,'G-3 Multipliers'!$L$3:$N$6,3,FALSE)))</f>
        <v/>
      </c>
      <c r="M79" s="362" t="str">
        <f>IF(OR(D79="",H79=""),"",(INDEX('G-6 Hedgerow Data'!$E$3:$I$15,MATCH(D79,'G-6 Hedgerow Data'!$B$3:$B$15,0),MATCH(H79,'G-6 Hedgerow Data'!$E$2:$I$2,0))))</f>
        <v/>
      </c>
      <c r="N79" s="159"/>
      <c r="O79" s="159"/>
      <c r="P79" s="370" t="str">
        <f t="shared" si="7"/>
        <v/>
      </c>
      <c r="Q79" s="383" t="str">
        <f t="shared" si="8"/>
        <v/>
      </c>
      <c r="R79" s="384" t="str">
        <f t="shared" si="6"/>
        <v/>
      </c>
      <c r="S79" s="398" t="str">
        <f>IF(D79="","",VLOOKUP(D79,'G-6 Hedgerow Data'!$B$3:$AG$15,31,FALSE))</f>
        <v/>
      </c>
      <c r="T79" s="370" t="str">
        <f t="shared" si="9"/>
        <v/>
      </c>
      <c r="U79" s="370" t="str">
        <f t="shared" si="10"/>
        <v/>
      </c>
      <c r="V79" s="386" t="str">
        <f>IF(D79="","",VLOOKUP(S79,'G-3 Multipliers'!$P$3:$Q$6,2,FALSE))</f>
        <v/>
      </c>
      <c r="W79" s="390" t="str">
        <f t="shared" si="11"/>
        <v/>
      </c>
      <c r="X79" s="117"/>
      <c r="Y79" s="118"/>
      <c r="Z79" s="120"/>
      <c r="AG79" s="30" t="str">
        <f>IFERROR(INDEX('G-6 Hedgerow Data'!$BJ$3:$BJ$15,MATCH(D79,'G-6 Hedgerow Data'!$B$3:$B$15,0)),"")</f>
        <v/>
      </c>
    </row>
    <row r="80" spans="2:33" ht="15">
      <c r="B80" s="110">
        <v>69</v>
      </c>
      <c r="C80" s="167"/>
      <c r="D80" s="159"/>
      <c r="E80" s="139"/>
      <c r="F80" s="411" t="str">
        <f>IF(D80="","",VLOOKUP(D80,'G-6 Hedgerow Data'!$B$2:$AG$15,2,FALSE))</f>
        <v/>
      </c>
      <c r="G80" s="363" t="str">
        <f>IF(D80="","",VLOOKUP(D80,'G-6 Hedgerow Data'!$B$2:$AG$15,3,FALSE))</f>
        <v/>
      </c>
      <c r="H80" s="114"/>
      <c r="I80" s="363" t="str">
        <f>IFERROR(VLOOKUP(H80,'G-1 All Habitats'!$Z$2:$AA$9,2,FALSE),"")</f>
        <v/>
      </c>
      <c r="J80" s="114"/>
      <c r="K80" s="382" t="str">
        <f>IF(J80="","",IF(VLOOKUP(J80,'G-3 Multipliers'!$L$3:$N$6,2,FALSE)=0,"Spatial Data Missing ⚠",VLOOKUP(J80,'G-3 Multipliers'!$L$3:$N$6,2,FALSE)))</f>
        <v/>
      </c>
      <c r="L80" s="368" t="str">
        <f>IF(J80="","",IF(VLOOKUP(J80,'G-3 Multipliers'!$L$3:$N$6,3,FALSE)=0,"Spatial Data Missing ⚠",VLOOKUP(J80,'G-3 Multipliers'!$L$3:$N$6,3,FALSE)))</f>
        <v/>
      </c>
      <c r="M80" s="362" t="str">
        <f>IF(OR(D80="",H80=""),"",(INDEX('G-6 Hedgerow Data'!$E$3:$I$15,MATCH(D80,'G-6 Hedgerow Data'!$B$3:$B$15,0),MATCH(H80,'G-6 Hedgerow Data'!$E$2:$I$2,0))))</f>
        <v/>
      </c>
      <c r="N80" s="159"/>
      <c r="O80" s="159"/>
      <c r="P80" s="370" t="str">
        <f t="shared" si="7"/>
        <v/>
      </c>
      <c r="Q80" s="383" t="str">
        <f t="shared" si="8"/>
        <v/>
      </c>
      <c r="R80" s="384" t="str">
        <f t="shared" si="6"/>
        <v/>
      </c>
      <c r="S80" s="398" t="str">
        <f>IF(D80="","",VLOOKUP(D80,'G-6 Hedgerow Data'!$B$3:$AG$15,31,FALSE))</f>
        <v/>
      </c>
      <c r="T80" s="370" t="str">
        <f t="shared" si="9"/>
        <v/>
      </c>
      <c r="U80" s="370" t="str">
        <f t="shared" si="10"/>
        <v/>
      </c>
      <c r="V80" s="386" t="str">
        <f>IF(D80="","",VLOOKUP(S80,'G-3 Multipliers'!$P$3:$Q$6,2,FALSE))</f>
        <v/>
      </c>
      <c r="W80" s="390" t="str">
        <f t="shared" si="11"/>
        <v/>
      </c>
      <c r="X80" s="117"/>
      <c r="Y80" s="118"/>
      <c r="Z80" s="120"/>
      <c r="AG80" s="30" t="str">
        <f>IFERROR(INDEX('G-6 Hedgerow Data'!$BJ$3:$BJ$15,MATCH(D80,'G-6 Hedgerow Data'!$B$3:$B$15,0)),"")</f>
        <v/>
      </c>
    </row>
    <row r="81" spans="2:33" ht="15">
      <c r="B81" s="110">
        <v>70</v>
      </c>
      <c r="C81" s="167"/>
      <c r="D81" s="159"/>
      <c r="E81" s="139"/>
      <c r="F81" s="411" t="str">
        <f>IF(D81="","",VLOOKUP(D81,'G-6 Hedgerow Data'!$B$2:$AG$15,2,FALSE))</f>
        <v/>
      </c>
      <c r="G81" s="363" t="str">
        <f>IF(D81="","",VLOOKUP(D81,'G-6 Hedgerow Data'!$B$2:$AG$15,3,FALSE))</f>
        <v/>
      </c>
      <c r="H81" s="114"/>
      <c r="I81" s="363" t="str">
        <f>IFERROR(VLOOKUP(H81,'G-1 All Habitats'!$Z$2:$AA$9,2,FALSE),"")</f>
        <v/>
      </c>
      <c r="J81" s="114"/>
      <c r="K81" s="382" t="str">
        <f>IF(J81="","",IF(VLOOKUP(J81,'G-3 Multipliers'!$L$3:$N$6,2,FALSE)=0,"Spatial Data Missing ⚠",VLOOKUP(J81,'G-3 Multipliers'!$L$3:$N$6,2,FALSE)))</f>
        <v/>
      </c>
      <c r="L81" s="368" t="str">
        <f>IF(J81="","",IF(VLOOKUP(J81,'G-3 Multipliers'!$L$3:$N$6,3,FALSE)=0,"Spatial Data Missing ⚠",VLOOKUP(J81,'G-3 Multipliers'!$L$3:$N$6,3,FALSE)))</f>
        <v/>
      </c>
      <c r="M81" s="362" t="str">
        <f>IF(OR(D81="",H81=""),"",(INDEX('G-6 Hedgerow Data'!$E$3:$I$15,MATCH(D81,'G-6 Hedgerow Data'!$B$3:$B$15,0),MATCH(H81,'G-6 Hedgerow Data'!$E$2:$I$2,0))))</f>
        <v/>
      </c>
      <c r="N81" s="159"/>
      <c r="O81" s="159"/>
      <c r="P81" s="370" t="str">
        <f t="shared" si="7"/>
        <v/>
      </c>
      <c r="Q81" s="383" t="str">
        <f t="shared" si="8"/>
        <v/>
      </c>
      <c r="R81" s="384" t="str">
        <f t="shared" si="6"/>
        <v/>
      </c>
      <c r="S81" s="398" t="str">
        <f>IF(D81="","",VLOOKUP(D81,'G-6 Hedgerow Data'!$B$3:$AG$15,31,FALSE))</f>
        <v/>
      </c>
      <c r="T81" s="370" t="str">
        <f t="shared" si="9"/>
        <v/>
      </c>
      <c r="U81" s="370" t="str">
        <f t="shared" si="10"/>
        <v/>
      </c>
      <c r="V81" s="386" t="str">
        <f>IF(D81="","",VLOOKUP(S81,'G-3 Multipliers'!$P$3:$Q$6,2,FALSE))</f>
        <v/>
      </c>
      <c r="W81" s="390" t="str">
        <f t="shared" si="11"/>
        <v/>
      </c>
      <c r="X81" s="117"/>
      <c r="Y81" s="118"/>
      <c r="Z81" s="120"/>
      <c r="AG81" s="30" t="str">
        <f>IFERROR(INDEX('G-6 Hedgerow Data'!$BJ$3:$BJ$15,MATCH(D81,'G-6 Hedgerow Data'!$B$3:$B$15,0)),"")</f>
        <v/>
      </c>
    </row>
    <row r="82" spans="2:33" ht="15">
      <c r="B82" s="110">
        <v>71</v>
      </c>
      <c r="C82" s="167"/>
      <c r="D82" s="159"/>
      <c r="E82" s="139"/>
      <c r="F82" s="411" t="str">
        <f>IF(D82="","",VLOOKUP(D82,'G-6 Hedgerow Data'!$B$2:$AG$15,2,FALSE))</f>
        <v/>
      </c>
      <c r="G82" s="363" t="str">
        <f>IF(D82="","",VLOOKUP(D82,'G-6 Hedgerow Data'!$B$2:$AG$15,3,FALSE))</f>
        <v/>
      </c>
      <c r="H82" s="114"/>
      <c r="I82" s="363" t="str">
        <f>IFERROR(VLOOKUP(H82,'G-1 All Habitats'!$Z$2:$AA$9,2,FALSE),"")</f>
        <v/>
      </c>
      <c r="J82" s="114"/>
      <c r="K82" s="382" t="str">
        <f>IF(J82="","",IF(VLOOKUP(J82,'G-3 Multipliers'!$L$3:$N$6,2,FALSE)=0,"Spatial Data Missing ⚠",VLOOKUP(J82,'G-3 Multipliers'!$L$3:$N$6,2,FALSE)))</f>
        <v/>
      </c>
      <c r="L82" s="368" t="str">
        <f>IF(J82="","",IF(VLOOKUP(J82,'G-3 Multipliers'!$L$3:$N$6,3,FALSE)=0,"Spatial Data Missing ⚠",VLOOKUP(J82,'G-3 Multipliers'!$L$3:$N$6,3,FALSE)))</f>
        <v/>
      </c>
      <c r="M82" s="362" t="str">
        <f>IF(OR(D82="",H82=""),"",(INDEX('G-6 Hedgerow Data'!$E$3:$I$15,MATCH(D82,'G-6 Hedgerow Data'!$B$3:$B$15,0),MATCH(H82,'G-6 Hedgerow Data'!$E$2:$I$2,0))))</f>
        <v/>
      </c>
      <c r="N82" s="159"/>
      <c r="O82" s="159"/>
      <c r="P82" s="370" t="str">
        <f t="shared" si="7"/>
        <v/>
      </c>
      <c r="Q82" s="383" t="str">
        <f t="shared" si="8"/>
        <v/>
      </c>
      <c r="R82" s="384" t="str">
        <f t="shared" si="6"/>
        <v/>
      </c>
      <c r="S82" s="398" t="str">
        <f>IF(D82="","",VLOOKUP(D82,'G-6 Hedgerow Data'!$B$3:$AG$15,31,FALSE))</f>
        <v/>
      </c>
      <c r="T82" s="370" t="str">
        <f t="shared" si="9"/>
        <v/>
      </c>
      <c r="U82" s="370" t="str">
        <f t="shared" si="10"/>
        <v/>
      </c>
      <c r="V82" s="386" t="str">
        <f>IF(D82="","",VLOOKUP(S82,'G-3 Multipliers'!$P$3:$Q$6,2,FALSE))</f>
        <v/>
      </c>
      <c r="W82" s="390" t="str">
        <f t="shared" si="11"/>
        <v/>
      </c>
      <c r="X82" s="117"/>
      <c r="Y82" s="118"/>
      <c r="Z82" s="120"/>
      <c r="AG82" s="30" t="str">
        <f>IFERROR(INDEX('G-6 Hedgerow Data'!$BJ$3:$BJ$15,MATCH(D82,'G-6 Hedgerow Data'!$B$3:$B$15,0)),"")</f>
        <v/>
      </c>
    </row>
    <row r="83" spans="2:33" ht="15">
      <c r="B83" s="110">
        <v>72</v>
      </c>
      <c r="C83" s="167"/>
      <c r="D83" s="159"/>
      <c r="E83" s="139"/>
      <c r="F83" s="411" t="str">
        <f>IF(D83="","",VLOOKUP(D83,'G-6 Hedgerow Data'!$B$2:$AG$15,2,FALSE))</f>
        <v/>
      </c>
      <c r="G83" s="363" t="str">
        <f>IF(D83="","",VLOOKUP(D83,'G-6 Hedgerow Data'!$B$2:$AG$15,3,FALSE))</f>
        <v/>
      </c>
      <c r="H83" s="114"/>
      <c r="I83" s="363" t="str">
        <f>IFERROR(VLOOKUP(H83,'G-1 All Habitats'!$Z$2:$AA$9,2,FALSE),"")</f>
        <v/>
      </c>
      <c r="J83" s="114"/>
      <c r="K83" s="382" t="str">
        <f>IF(J83="","",IF(VLOOKUP(J83,'G-3 Multipliers'!$L$3:$N$6,2,FALSE)=0,"Spatial Data Missing ⚠",VLOOKUP(J83,'G-3 Multipliers'!$L$3:$N$6,2,FALSE)))</f>
        <v/>
      </c>
      <c r="L83" s="368" t="str">
        <f>IF(J83="","",IF(VLOOKUP(J83,'G-3 Multipliers'!$L$3:$N$6,3,FALSE)=0,"Spatial Data Missing ⚠",VLOOKUP(J83,'G-3 Multipliers'!$L$3:$N$6,3,FALSE)))</f>
        <v/>
      </c>
      <c r="M83" s="362" t="str">
        <f>IF(OR(D83="",H83=""),"",(INDEX('G-6 Hedgerow Data'!$E$3:$I$15,MATCH(D83,'G-6 Hedgerow Data'!$B$3:$B$15,0),MATCH(H83,'G-6 Hedgerow Data'!$E$2:$I$2,0))))</f>
        <v/>
      </c>
      <c r="N83" s="159"/>
      <c r="O83" s="159"/>
      <c r="P83" s="370" t="str">
        <f t="shared" si="7"/>
        <v/>
      </c>
      <c r="Q83" s="383" t="str">
        <f t="shared" si="8"/>
        <v/>
      </c>
      <c r="R83" s="384" t="str">
        <f t="shared" si="6"/>
        <v/>
      </c>
      <c r="S83" s="398" t="str">
        <f>IF(D83="","",VLOOKUP(D83,'G-6 Hedgerow Data'!$B$3:$AG$15,31,FALSE))</f>
        <v/>
      </c>
      <c r="T83" s="370" t="str">
        <f t="shared" si="9"/>
        <v/>
      </c>
      <c r="U83" s="370" t="str">
        <f t="shared" si="10"/>
        <v/>
      </c>
      <c r="V83" s="386" t="str">
        <f>IF(D83="","",VLOOKUP(S83,'G-3 Multipliers'!$P$3:$Q$6,2,FALSE))</f>
        <v/>
      </c>
      <c r="W83" s="390" t="str">
        <f t="shared" si="11"/>
        <v/>
      </c>
      <c r="X83" s="117"/>
      <c r="Y83" s="118"/>
      <c r="Z83" s="120"/>
      <c r="AG83" s="30" t="str">
        <f>IFERROR(INDEX('G-6 Hedgerow Data'!$BJ$3:$BJ$15,MATCH(D83,'G-6 Hedgerow Data'!$B$3:$B$15,0)),"")</f>
        <v/>
      </c>
    </row>
    <row r="84" spans="2:33" ht="15">
      <c r="B84" s="110">
        <v>73</v>
      </c>
      <c r="C84" s="167"/>
      <c r="D84" s="159"/>
      <c r="E84" s="139"/>
      <c r="F84" s="411" t="str">
        <f>IF(D84="","",VLOOKUP(D84,'G-6 Hedgerow Data'!$B$2:$AG$15,2,FALSE))</f>
        <v/>
      </c>
      <c r="G84" s="363" t="str">
        <f>IF(D84="","",VLOOKUP(D84,'G-6 Hedgerow Data'!$B$2:$AG$15,3,FALSE))</f>
        <v/>
      </c>
      <c r="H84" s="114"/>
      <c r="I84" s="363" t="str">
        <f>IFERROR(VLOOKUP(H84,'G-1 All Habitats'!$Z$2:$AA$9,2,FALSE),"")</f>
        <v/>
      </c>
      <c r="J84" s="114"/>
      <c r="K84" s="382" t="str">
        <f>IF(J84="","",IF(VLOOKUP(J84,'G-3 Multipliers'!$L$3:$N$6,2,FALSE)=0,"Spatial Data Missing ⚠",VLOOKUP(J84,'G-3 Multipliers'!$L$3:$N$6,2,FALSE)))</f>
        <v/>
      </c>
      <c r="L84" s="368" t="str">
        <f>IF(J84="","",IF(VLOOKUP(J84,'G-3 Multipliers'!$L$3:$N$6,3,FALSE)=0,"Spatial Data Missing ⚠",VLOOKUP(J84,'G-3 Multipliers'!$L$3:$N$6,3,FALSE)))</f>
        <v/>
      </c>
      <c r="M84" s="362" t="str">
        <f>IF(OR(D84="",H84=""),"",(INDEX('G-6 Hedgerow Data'!$E$3:$I$15,MATCH(D84,'G-6 Hedgerow Data'!$B$3:$B$15,0),MATCH(H84,'G-6 Hedgerow Data'!$E$2:$I$2,0))))</f>
        <v/>
      </c>
      <c r="N84" s="159"/>
      <c r="O84" s="159"/>
      <c r="P84" s="370" t="str">
        <f t="shared" si="7"/>
        <v/>
      </c>
      <c r="Q84" s="383" t="str">
        <f t="shared" si="8"/>
        <v/>
      </c>
      <c r="R84" s="384" t="str">
        <f t="shared" si="6"/>
        <v/>
      </c>
      <c r="S84" s="398" t="str">
        <f>IF(D84="","",VLOOKUP(D84,'G-6 Hedgerow Data'!$B$3:$AG$15,31,FALSE))</f>
        <v/>
      </c>
      <c r="T84" s="370" t="str">
        <f t="shared" si="9"/>
        <v/>
      </c>
      <c r="U84" s="370" t="str">
        <f t="shared" si="10"/>
        <v/>
      </c>
      <c r="V84" s="386" t="str">
        <f>IF(D84="","",VLOOKUP(S84,'G-3 Multipliers'!$P$3:$Q$6,2,FALSE))</f>
        <v/>
      </c>
      <c r="W84" s="390" t="str">
        <f t="shared" si="11"/>
        <v/>
      </c>
      <c r="X84" s="117"/>
      <c r="Y84" s="118"/>
      <c r="Z84" s="120"/>
      <c r="AG84" s="30" t="str">
        <f>IFERROR(INDEX('G-6 Hedgerow Data'!$BJ$3:$BJ$15,MATCH(D84,'G-6 Hedgerow Data'!$B$3:$B$15,0)),"")</f>
        <v/>
      </c>
    </row>
    <row r="85" spans="2:33" ht="15">
      <c r="B85" s="110">
        <v>74</v>
      </c>
      <c r="C85" s="167"/>
      <c r="D85" s="159"/>
      <c r="E85" s="139"/>
      <c r="F85" s="411" t="str">
        <f>IF(D85="","",VLOOKUP(D85,'G-6 Hedgerow Data'!$B$2:$AG$15,2,FALSE))</f>
        <v/>
      </c>
      <c r="G85" s="363" t="str">
        <f>IF(D85="","",VLOOKUP(D85,'G-6 Hedgerow Data'!$B$2:$AG$15,3,FALSE))</f>
        <v/>
      </c>
      <c r="H85" s="114"/>
      <c r="I85" s="363" t="str">
        <f>IFERROR(VLOOKUP(H85,'G-1 All Habitats'!$Z$2:$AA$9,2,FALSE),"")</f>
        <v/>
      </c>
      <c r="J85" s="114"/>
      <c r="K85" s="382" t="str">
        <f>IF(J85="","",IF(VLOOKUP(J85,'G-3 Multipliers'!$L$3:$N$6,2,FALSE)=0,"Spatial Data Missing ⚠",VLOOKUP(J85,'G-3 Multipliers'!$L$3:$N$6,2,FALSE)))</f>
        <v/>
      </c>
      <c r="L85" s="368" t="str">
        <f>IF(J85="","",IF(VLOOKUP(J85,'G-3 Multipliers'!$L$3:$N$6,3,FALSE)=0,"Spatial Data Missing ⚠",VLOOKUP(J85,'G-3 Multipliers'!$L$3:$N$6,3,FALSE)))</f>
        <v/>
      </c>
      <c r="M85" s="362" t="str">
        <f>IF(OR(D85="",H85=""),"",(INDEX('G-6 Hedgerow Data'!$E$3:$I$15,MATCH(D85,'G-6 Hedgerow Data'!$B$3:$B$15,0),MATCH(H85,'G-6 Hedgerow Data'!$E$2:$I$2,0))))</f>
        <v/>
      </c>
      <c r="N85" s="159"/>
      <c r="O85" s="159"/>
      <c r="P85" s="370" t="str">
        <f t="shared" si="7"/>
        <v/>
      </c>
      <c r="Q85" s="383" t="str">
        <f t="shared" si="8"/>
        <v/>
      </c>
      <c r="R85" s="384" t="str">
        <f t="shared" si="6"/>
        <v/>
      </c>
      <c r="S85" s="398" t="str">
        <f>IF(D85="","",VLOOKUP(D85,'G-6 Hedgerow Data'!$B$3:$AG$15,31,FALSE))</f>
        <v/>
      </c>
      <c r="T85" s="370" t="str">
        <f t="shared" si="9"/>
        <v/>
      </c>
      <c r="U85" s="370" t="str">
        <f t="shared" si="10"/>
        <v/>
      </c>
      <c r="V85" s="386" t="str">
        <f>IF(D85="","",VLOOKUP(S85,'G-3 Multipliers'!$P$3:$Q$6,2,FALSE))</f>
        <v/>
      </c>
      <c r="W85" s="390" t="str">
        <f t="shared" si="11"/>
        <v/>
      </c>
      <c r="X85" s="117"/>
      <c r="Y85" s="118"/>
      <c r="Z85" s="120"/>
      <c r="AG85" s="30" t="str">
        <f>IFERROR(INDEX('G-6 Hedgerow Data'!$BJ$3:$BJ$15,MATCH(D85,'G-6 Hedgerow Data'!$B$3:$B$15,0)),"")</f>
        <v/>
      </c>
    </row>
    <row r="86" spans="2:33" ht="15">
      <c r="B86" s="110">
        <v>75</v>
      </c>
      <c r="C86" s="167"/>
      <c r="D86" s="159"/>
      <c r="E86" s="139"/>
      <c r="F86" s="411" t="str">
        <f>IF(D86="","",VLOOKUP(D86,'G-6 Hedgerow Data'!$B$2:$AG$15,2,FALSE))</f>
        <v/>
      </c>
      <c r="G86" s="363" t="str">
        <f>IF(D86="","",VLOOKUP(D86,'G-6 Hedgerow Data'!$B$2:$AG$15,3,FALSE))</f>
        <v/>
      </c>
      <c r="H86" s="114"/>
      <c r="I86" s="363" t="str">
        <f>IFERROR(VLOOKUP(H86,'G-1 All Habitats'!$Z$2:$AA$9,2,FALSE),"")</f>
        <v/>
      </c>
      <c r="J86" s="114"/>
      <c r="K86" s="382" t="str">
        <f>IF(J86="","",IF(VLOOKUP(J86,'G-3 Multipliers'!$L$3:$N$6,2,FALSE)=0,"Spatial Data Missing ⚠",VLOOKUP(J86,'G-3 Multipliers'!$L$3:$N$6,2,FALSE)))</f>
        <v/>
      </c>
      <c r="L86" s="368" t="str">
        <f>IF(J86="","",IF(VLOOKUP(J86,'G-3 Multipliers'!$L$3:$N$6,3,FALSE)=0,"Spatial Data Missing ⚠",VLOOKUP(J86,'G-3 Multipliers'!$L$3:$N$6,3,FALSE)))</f>
        <v/>
      </c>
      <c r="M86" s="362" t="str">
        <f>IF(OR(D86="",H86=""),"",(INDEX('G-6 Hedgerow Data'!$E$3:$I$15,MATCH(D86,'G-6 Hedgerow Data'!$B$3:$B$15,0),MATCH(H86,'G-6 Hedgerow Data'!$E$2:$I$2,0))))</f>
        <v/>
      </c>
      <c r="N86" s="159"/>
      <c r="O86" s="159"/>
      <c r="P86" s="370" t="str">
        <f t="shared" si="7"/>
        <v/>
      </c>
      <c r="Q86" s="383" t="str">
        <f t="shared" si="8"/>
        <v/>
      </c>
      <c r="R86" s="384" t="str">
        <f t="shared" si="6"/>
        <v/>
      </c>
      <c r="S86" s="398" t="str">
        <f>IF(D86="","",VLOOKUP(D86,'G-6 Hedgerow Data'!$B$3:$AG$15,31,FALSE))</f>
        <v/>
      </c>
      <c r="T86" s="370" t="str">
        <f t="shared" si="9"/>
        <v/>
      </c>
      <c r="U86" s="370" t="str">
        <f t="shared" si="10"/>
        <v/>
      </c>
      <c r="V86" s="386" t="str">
        <f>IF(D86="","",VLOOKUP(S86,'G-3 Multipliers'!$P$3:$Q$6,2,FALSE))</f>
        <v/>
      </c>
      <c r="W86" s="390" t="str">
        <f t="shared" si="11"/>
        <v/>
      </c>
      <c r="X86" s="117"/>
      <c r="Y86" s="118"/>
      <c r="Z86" s="120"/>
      <c r="AG86" s="30" t="str">
        <f>IFERROR(INDEX('G-6 Hedgerow Data'!$BJ$3:$BJ$15,MATCH(D86,'G-6 Hedgerow Data'!$B$3:$B$15,0)),"")</f>
        <v/>
      </c>
    </row>
    <row r="87" spans="2:33" ht="15">
      <c r="B87" s="110">
        <v>76</v>
      </c>
      <c r="C87" s="167"/>
      <c r="D87" s="159"/>
      <c r="E87" s="139"/>
      <c r="F87" s="411" t="str">
        <f>IF(D87="","",VLOOKUP(D87,'G-6 Hedgerow Data'!$B$2:$AG$15,2,FALSE))</f>
        <v/>
      </c>
      <c r="G87" s="363" t="str">
        <f>IF(D87="","",VLOOKUP(D87,'G-6 Hedgerow Data'!$B$2:$AG$15,3,FALSE))</f>
        <v/>
      </c>
      <c r="H87" s="114"/>
      <c r="I87" s="363" t="str">
        <f>IFERROR(VLOOKUP(H87,'G-1 All Habitats'!$Z$2:$AA$9,2,FALSE),"")</f>
        <v/>
      </c>
      <c r="J87" s="114"/>
      <c r="K87" s="382" t="str">
        <f>IF(J87="","",IF(VLOOKUP(J87,'G-3 Multipliers'!$L$3:$N$6,2,FALSE)=0,"Spatial Data Missing ⚠",VLOOKUP(J87,'G-3 Multipliers'!$L$3:$N$6,2,FALSE)))</f>
        <v/>
      </c>
      <c r="L87" s="368" t="str">
        <f>IF(J87="","",IF(VLOOKUP(J87,'G-3 Multipliers'!$L$3:$N$6,3,FALSE)=0,"Spatial Data Missing ⚠",VLOOKUP(J87,'G-3 Multipliers'!$L$3:$N$6,3,FALSE)))</f>
        <v/>
      </c>
      <c r="M87" s="362" t="str">
        <f>IF(OR(D87="",H87=""),"",(INDEX('G-6 Hedgerow Data'!$E$3:$I$15,MATCH(D87,'G-6 Hedgerow Data'!$B$3:$B$15,0),MATCH(H87,'G-6 Hedgerow Data'!$E$2:$I$2,0))))</f>
        <v/>
      </c>
      <c r="N87" s="159"/>
      <c r="O87" s="159"/>
      <c r="P87" s="370" t="str">
        <f t="shared" si="7"/>
        <v/>
      </c>
      <c r="Q87" s="383" t="str">
        <f t="shared" si="8"/>
        <v/>
      </c>
      <c r="R87" s="384" t="str">
        <f t="shared" si="6"/>
        <v/>
      </c>
      <c r="S87" s="398" t="str">
        <f>IF(D87="","",VLOOKUP(D87,'G-6 Hedgerow Data'!$B$3:$AG$15,31,FALSE))</f>
        <v/>
      </c>
      <c r="T87" s="370" t="str">
        <f t="shared" si="9"/>
        <v/>
      </c>
      <c r="U87" s="370" t="str">
        <f t="shared" si="10"/>
        <v/>
      </c>
      <c r="V87" s="386" t="str">
        <f>IF(D87="","",VLOOKUP(S87,'G-3 Multipliers'!$P$3:$Q$6,2,FALSE))</f>
        <v/>
      </c>
      <c r="W87" s="390" t="str">
        <f t="shared" si="11"/>
        <v/>
      </c>
      <c r="X87" s="117"/>
      <c r="Y87" s="118"/>
      <c r="Z87" s="120"/>
      <c r="AG87" s="30" t="str">
        <f>IFERROR(INDEX('G-6 Hedgerow Data'!$BJ$3:$BJ$15,MATCH(D87,'G-6 Hedgerow Data'!$B$3:$B$15,0)),"")</f>
        <v/>
      </c>
    </row>
    <row r="88" spans="2:33" ht="15">
      <c r="B88" s="110">
        <v>77</v>
      </c>
      <c r="C88" s="167"/>
      <c r="D88" s="159"/>
      <c r="E88" s="139"/>
      <c r="F88" s="411" t="str">
        <f>IF(D88="","",VLOOKUP(D88,'G-6 Hedgerow Data'!$B$2:$AG$15,2,FALSE))</f>
        <v/>
      </c>
      <c r="G88" s="363" t="str">
        <f>IF(D88="","",VLOOKUP(D88,'G-6 Hedgerow Data'!$B$2:$AG$15,3,FALSE))</f>
        <v/>
      </c>
      <c r="H88" s="114"/>
      <c r="I88" s="363" t="str">
        <f>IFERROR(VLOOKUP(H88,'G-1 All Habitats'!$Z$2:$AA$9,2,FALSE),"")</f>
        <v/>
      </c>
      <c r="J88" s="114"/>
      <c r="K88" s="382" t="str">
        <f>IF(J88="","",IF(VLOOKUP(J88,'G-3 Multipliers'!$L$3:$N$6,2,FALSE)=0,"Spatial Data Missing ⚠",VLOOKUP(J88,'G-3 Multipliers'!$L$3:$N$6,2,FALSE)))</f>
        <v/>
      </c>
      <c r="L88" s="368" t="str">
        <f>IF(J88="","",IF(VLOOKUP(J88,'G-3 Multipliers'!$L$3:$N$6,3,FALSE)=0,"Spatial Data Missing ⚠",VLOOKUP(J88,'G-3 Multipliers'!$L$3:$N$6,3,FALSE)))</f>
        <v/>
      </c>
      <c r="M88" s="362" t="str">
        <f>IF(OR(D88="",H88=""),"",(INDEX('G-6 Hedgerow Data'!$E$3:$I$15,MATCH(D88,'G-6 Hedgerow Data'!$B$3:$B$15,0),MATCH(H88,'G-6 Hedgerow Data'!$E$2:$I$2,0))))</f>
        <v/>
      </c>
      <c r="N88" s="159"/>
      <c r="O88" s="159"/>
      <c r="P88" s="370" t="str">
        <f t="shared" si="7"/>
        <v/>
      </c>
      <c r="Q88" s="383" t="str">
        <f t="shared" si="8"/>
        <v/>
      </c>
      <c r="R88" s="384" t="str">
        <f t="shared" si="6"/>
        <v/>
      </c>
      <c r="S88" s="398" t="str">
        <f>IF(D88="","",VLOOKUP(D88,'G-6 Hedgerow Data'!$B$3:$AG$15,31,FALSE))</f>
        <v/>
      </c>
      <c r="T88" s="370" t="str">
        <f t="shared" si="9"/>
        <v/>
      </c>
      <c r="U88" s="370" t="str">
        <f t="shared" si="10"/>
        <v/>
      </c>
      <c r="V88" s="386" t="str">
        <f>IF(D88="","",VLOOKUP(S88,'G-3 Multipliers'!$P$3:$Q$6,2,FALSE))</f>
        <v/>
      </c>
      <c r="W88" s="390" t="str">
        <f t="shared" si="11"/>
        <v/>
      </c>
      <c r="X88" s="117"/>
      <c r="Y88" s="118"/>
      <c r="Z88" s="120"/>
      <c r="AG88" s="30" t="str">
        <f>IFERROR(INDEX('G-6 Hedgerow Data'!$BJ$3:$BJ$15,MATCH(D88,'G-6 Hedgerow Data'!$B$3:$B$15,0)),"")</f>
        <v/>
      </c>
    </row>
    <row r="89" spans="2:33" ht="15">
      <c r="B89" s="110">
        <v>78</v>
      </c>
      <c r="C89" s="167"/>
      <c r="D89" s="159"/>
      <c r="E89" s="139"/>
      <c r="F89" s="411" t="str">
        <f>IF(D89="","",VLOOKUP(D89,'G-6 Hedgerow Data'!$B$2:$AG$15,2,FALSE))</f>
        <v/>
      </c>
      <c r="G89" s="363" t="str">
        <f>IF(D89="","",VLOOKUP(D89,'G-6 Hedgerow Data'!$B$2:$AG$15,3,FALSE))</f>
        <v/>
      </c>
      <c r="H89" s="114"/>
      <c r="I89" s="363" t="str">
        <f>IFERROR(VLOOKUP(H89,'G-1 All Habitats'!$Z$2:$AA$9,2,FALSE),"")</f>
        <v/>
      </c>
      <c r="J89" s="114"/>
      <c r="K89" s="382" t="str">
        <f>IF(J89="","",IF(VLOOKUP(J89,'G-3 Multipliers'!$L$3:$N$6,2,FALSE)=0,"Spatial Data Missing ⚠",VLOOKUP(J89,'G-3 Multipliers'!$L$3:$N$6,2,FALSE)))</f>
        <v/>
      </c>
      <c r="L89" s="368" t="str">
        <f>IF(J89="","",IF(VLOOKUP(J89,'G-3 Multipliers'!$L$3:$N$6,3,FALSE)=0,"Spatial Data Missing ⚠",VLOOKUP(J89,'G-3 Multipliers'!$L$3:$N$6,3,FALSE)))</f>
        <v/>
      </c>
      <c r="M89" s="362" t="str">
        <f>IF(OR(D89="",H89=""),"",(INDEX('G-6 Hedgerow Data'!$E$3:$I$15,MATCH(D89,'G-6 Hedgerow Data'!$B$3:$B$15,0),MATCH(H89,'G-6 Hedgerow Data'!$E$2:$I$2,0))))</f>
        <v/>
      </c>
      <c r="N89" s="159"/>
      <c r="O89" s="159"/>
      <c r="P89" s="370" t="str">
        <f t="shared" si="7"/>
        <v/>
      </c>
      <c r="Q89" s="383" t="str">
        <f t="shared" si="8"/>
        <v/>
      </c>
      <c r="R89" s="384" t="str">
        <f t="shared" si="6"/>
        <v/>
      </c>
      <c r="S89" s="398" t="str">
        <f>IF(D89="","",VLOOKUP(D89,'G-6 Hedgerow Data'!$B$3:$AG$15,31,FALSE))</f>
        <v/>
      </c>
      <c r="T89" s="370" t="str">
        <f t="shared" si="9"/>
        <v/>
      </c>
      <c r="U89" s="370" t="str">
        <f t="shared" si="10"/>
        <v/>
      </c>
      <c r="V89" s="386" t="str">
        <f>IF(D89="","",VLOOKUP(S89,'G-3 Multipliers'!$P$3:$Q$6,2,FALSE))</f>
        <v/>
      </c>
      <c r="W89" s="390" t="str">
        <f t="shared" si="11"/>
        <v/>
      </c>
      <c r="X89" s="117"/>
      <c r="Y89" s="118"/>
      <c r="Z89" s="120"/>
      <c r="AG89" s="30" t="str">
        <f>IFERROR(INDEX('G-6 Hedgerow Data'!$BJ$3:$BJ$15,MATCH(D89,'G-6 Hedgerow Data'!$B$3:$B$15,0)),"")</f>
        <v/>
      </c>
    </row>
    <row r="90" spans="2:33" ht="15">
      <c r="B90" s="110">
        <v>79</v>
      </c>
      <c r="C90" s="167"/>
      <c r="D90" s="159"/>
      <c r="E90" s="139"/>
      <c r="F90" s="411" t="str">
        <f>IF(D90="","",VLOOKUP(D90,'G-6 Hedgerow Data'!$B$2:$AG$15,2,FALSE))</f>
        <v/>
      </c>
      <c r="G90" s="363" t="str">
        <f>IF(D90="","",VLOOKUP(D90,'G-6 Hedgerow Data'!$B$2:$AG$15,3,FALSE))</f>
        <v/>
      </c>
      <c r="H90" s="114"/>
      <c r="I90" s="363" t="str">
        <f>IFERROR(VLOOKUP(H90,'G-1 All Habitats'!$Z$2:$AA$9,2,FALSE),"")</f>
        <v/>
      </c>
      <c r="J90" s="114"/>
      <c r="K90" s="382" t="str">
        <f>IF(J90="","",IF(VLOOKUP(J90,'G-3 Multipliers'!$L$3:$N$6,2,FALSE)=0,"Spatial Data Missing ⚠",VLOOKUP(J90,'G-3 Multipliers'!$L$3:$N$6,2,FALSE)))</f>
        <v/>
      </c>
      <c r="L90" s="368" t="str">
        <f>IF(J90="","",IF(VLOOKUP(J90,'G-3 Multipliers'!$L$3:$N$6,3,FALSE)=0,"Spatial Data Missing ⚠",VLOOKUP(J90,'G-3 Multipliers'!$L$3:$N$6,3,FALSE)))</f>
        <v/>
      </c>
      <c r="M90" s="362" t="str">
        <f>IF(OR(D90="",H90=""),"",(INDEX('G-6 Hedgerow Data'!$E$3:$I$15,MATCH(D90,'G-6 Hedgerow Data'!$B$3:$B$15,0),MATCH(H90,'G-6 Hedgerow Data'!$E$2:$I$2,0))))</f>
        <v/>
      </c>
      <c r="N90" s="159"/>
      <c r="O90" s="159"/>
      <c r="P90" s="370" t="str">
        <f t="shared" si="7"/>
        <v/>
      </c>
      <c r="Q90" s="383" t="str">
        <f t="shared" si="8"/>
        <v/>
      </c>
      <c r="R90" s="384" t="str">
        <f t="shared" si="6"/>
        <v/>
      </c>
      <c r="S90" s="398" t="str">
        <f>IF(D90="","",VLOOKUP(D90,'G-6 Hedgerow Data'!$B$3:$AG$15,31,FALSE))</f>
        <v/>
      </c>
      <c r="T90" s="370" t="str">
        <f t="shared" si="9"/>
        <v/>
      </c>
      <c r="U90" s="370" t="str">
        <f t="shared" si="10"/>
        <v/>
      </c>
      <c r="V90" s="386" t="str">
        <f>IF(D90="","",VLOOKUP(S90,'G-3 Multipliers'!$P$3:$Q$6,2,FALSE))</f>
        <v/>
      </c>
      <c r="W90" s="390" t="str">
        <f t="shared" si="11"/>
        <v/>
      </c>
      <c r="X90" s="117"/>
      <c r="Y90" s="118"/>
      <c r="Z90" s="120"/>
      <c r="AG90" s="30" t="str">
        <f>IFERROR(INDEX('G-6 Hedgerow Data'!$BJ$3:$BJ$15,MATCH(D90,'G-6 Hedgerow Data'!$B$3:$B$15,0)),"")</f>
        <v/>
      </c>
    </row>
    <row r="91" spans="2:33" ht="15">
      <c r="B91" s="110">
        <v>80</v>
      </c>
      <c r="C91" s="167"/>
      <c r="D91" s="159"/>
      <c r="E91" s="139"/>
      <c r="F91" s="411" t="str">
        <f>IF(D91="","",VLOOKUP(D91,'G-6 Hedgerow Data'!$B$2:$AG$15,2,FALSE))</f>
        <v/>
      </c>
      <c r="G91" s="363" t="str">
        <f>IF(D91="","",VLOOKUP(D91,'G-6 Hedgerow Data'!$B$2:$AG$15,3,FALSE))</f>
        <v/>
      </c>
      <c r="H91" s="114"/>
      <c r="I91" s="363" t="str">
        <f>IFERROR(VLOOKUP(H91,'G-1 All Habitats'!$Z$2:$AA$9,2,FALSE),"")</f>
        <v/>
      </c>
      <c r="J91" s="114"/>
      <c r="K91" s="382" t="str">
        <f>IF(J91="","",IF(VLOOKUP(J91,'G-3 Multipliers'!$L$3:$N$6,2,FALSE)=0,"Spatial Data Missing ⚠",VLOOKUP(J91,'G-3 Multipliers'!$L$3:$N$6,2,FALSE)))</f>
        <v/>
      </c>
      <c r="L91" s="368" t="str">
        <f>IF(J91="","",IF(VLOOKUP(J91,'G-3 Multipliers'!$L$3:$N$6,3,FALSE)=0,"Spatial Data Missing ⚠",VLOOKUP(J91,'G-3 Multipliers'!$L$3:$N$6,3,FALSE)))</f>
        <v/>
      </c>
      <c r="M91" s="362" t="str">
        <f>IF(OR(D91="",H91=""),"",(INDEX('G-6 Hedgerow Data'!$E$3:$I$15,MATCH(D91,'G-6 Hedgerow Data'!$B$3:$B$15,0),MATCH(H91,'G-6 Hedgerow Data'!$E$2:$I$2,0))))</f>
        <v/>
      </c>
      <c r="N91" s="159"/>
      <c r="O91" s="159"/>
      <c r="P91" s="370" t="str">
        <f t="shared" si="7"/>
        <v/>
      </c>
      <c r="Q91" s="383" t="str">
        <f t="shared" si="8"/>
        <v/>
      </c>
      <c r="R91" s="384" t="str">
        <f t="shared" si="6"/>
        <v/>
      </c>
      <c r="S91" s="398" t="str">
        <f>IF(D91="","",VLOOKUP(D91,'G-6 Hedgerow Data'!$B$3:$AG$15,31,FALSE))</f>
        <v/>
      </c>
      <c r="T91" s="370" t="str">
        <f t="shared" si="9"/>
        <v/>
      </c>
      <c r="U91" s="370" t="str">
        <f t="shared" si="10"/>
        <v/>
      </c>
      <c r="V91" s="386" t="str">
        <f>IF(D91="","",VLOOKUP(S91,'G-3 Multipliers'!$P$3:$Q$6,2,FALSE))</f>
        <v/>
      </c>
      <c r="W91" s="390" t="str">
        <f t="shared" si="11"/>
        <v/>
      </c>
      <c r="X91" s="117"/>
      <c r="Y91" s="118"/>
      <c r="Z91" s="120"/>
      <c r="AG91" s="30" t="str">
        <f>IFERROR(INDEX('G-6 Hedgerow Data'!$BJ$3:$BJ$15,MATCH(D91,'G-6 Hedgerow Data'!$B$3:$B$15,0)),"")</f>
        <v/>
      </c>
    </row>
    <row r="92" spans="2:33" ht="15">
      <c r="B92" s="110">
        <v>81</v>
      </c>
      <c r="C92" s="167"/>
      <c r="D92" s="159"/>
      <c r="E92" s="139"/>
      <c r="F92" s="411" t="str">
        <f>IF(D92="","",VLOOKUP(D92,'G-6 Hedgerow Data'!$B$2:$AG$15,2,FALSE))</f>
        <v/>
      </c>
      <c r="G92" s="363" t="str">
        <f>IF(D92="","",VLOOKUP(D92,'G-6 Hedgerow Data'!$B$2:$AG$15,3,FALSE))</f>
        <v/>
      </c>
      <c r="H92" s="114"/>
      <c r="I92" s="363" t="str">
        <f>IFERROR(VLOOKUP(H92,'G-1 All Habitats'!$Z$2:$AA$9,2,FALSE),"")</f>
        <v/>
      </c>
      <c r="J92" s="114"/>
      <c r="K92" s="382" t="str">
        <f>IF(J92="","",IF(VLOOKUP(J92,'G-3 Multipliers'!$L$3:$N$6,2,FALSE)=0,"Spatial Data Missing ⚠",VLOOKUP(J92,'G-3 Multipliers'!$L$3:$N$6,2,FALSE)))</f>
        <v/>
      </c>
      <c r="L92" s="368" t="str">
        <f>IF(J92="","",IF(VLOOKUP(J92,'G-3 Multipliers'!$L$3:$N$6,3,FALSE)=0,"Spatial Data Missing ⚠",VLOOKUP(J92,'G-3 Multipliers'!$L$3:$N$6,3,FALSE)))</f>
        <v/>
      </c>
      <c r="M92" s="362" t="str">
        <f>IF(OR(D92="",H92=""),"",(INDEX('G-6 Hedgerow Data'!$E$3:$I$15,MATCH(D92,'G-6 Hedgerow Data'!$B$3:$B$15,0),MATCH(H92,'G-6 Hedgerow Data'!$E$2:$I$2,0))))</f>
        <v/>
      </c>
      <c r="N92" s="159"/>
      <c r="O92" s="159"/>
      <c r="P92" s="370" t="str">
        <f t="shared" si="7"/>
        <v/>
      </c>
      <c r="Q92" s="383" t="str">
        <f t="shared" si="8"/>
        <v/>
      </c>
      <c r="R92" s="384" t="str">
        <f t="shared" si="6"/>
        <v/>
      </c>
      <c r="S92" s="398" t="str">
        <f>IF(D92="","",VLOOKUP(D92,'G-6 Hedgerow Data'!$B$3:$AG$15,31,FALSE))</f>
        <v/>
      </c>
      <c r="T92" s="370" t="str">
        <f t="shared" si="9"/>
        <v/>
      </c>
      <c r="U92" s="370" t="str">
        <f t="shared" si="10"/>
        <v/>
      </c>
      <c r="V92" s="386" t="str">
        <f>IF(D92="","",VLOOKUP(S92,'G-3 Multipliers'!$P$3:$Q$6,2,FALSE))</f>
        <v/>
      </c>
      <c r="W92" s="390" t="str">
        <f t="shared" si="11"/>
        <v/>
      </c>
      <c r="X92" s="117"/>
      <c r="Y92" s="118"/>
      <c r="Z92" s="120"/>
      <c r="AG92" s="30" t="str">
        <f>IFERROR(INDEX('G-6 Hedgerow Data'!$BJ$3:$BJ$15,MATCH(D92,'G-6 Hedgerow Data'!$B$3:$B$15,0)),"")</f>
        <v/>
      </c>
    </row>
    <row r="93" spans="2:33" ht="15">
      <c r="B93" s="110">
        <v>82</v>
      </c>
      <c r="C93" s="167"/>
      <c r="D93" s="159"/>
      <c r="E93" s="139"/>
      <c r="F93" s="411" t="str">
        <f>IF(D93="","",VLOOKUP(D93,'G-6 Hedgerow Data'!$B$2:$AG$15,2,FALSE))</f>
        <v/>
      </c>
      <c r="G93" s="363" t="str">
        <f>IF(D93="","",VLOOKUP(D93,'G-6 Hedgerow Data'!$B$2:$AG$15,3,FALSE))</f>
        <v/>
      </c>
      <c r="H93" s="114"/>
      <c r="I93" s="363" t="str">
        <f>IFERROR(VLOOKUP(H93,'G-1 All Habitats'!$Z$2:$AA$9,2,FALSE),"")</f>
        <v/>
      </c>
      <c r="J93" s="114"/>
      <c r="K93" s="382" t="str">
        <f>IF(J93="","",IF(VLOOKUP(J93,'G-3 Multipliers'!$L$3:$N$6,2,FALSE)=0,"Spatial Data Missing ⚠",VLOOKUP(J93,'G-3 Multipliers'!$L$3:$N$6,2,FALSE)))</f>
        <v/>
      </c>
      <c r="L93" s="368" t="str">
        <f>IF(J93="","",IF(VLOOKUP(J93,'G-3 Multipliers'!$L$3:$N$6,3,FALSE)=0,"Spatial Data Missing ⚠",VLOOKUP(J93,'G-3 Multipliers'!$L$3:$N$6,3,FALSE)))</f>
        <v/>
      </c>
      <c r="M93" s="362" t="str">
        <f>IF(OR(D93="",H93=""),"",(INDEX('G-6 Hedgerow Data'!$E$3:$I$15,MATCH(D93,'G-6 Hedgerow Data'!$B$3:$B$15,0),MATCH(H93,'G-6 Hedgerow Data'!$E$2:$I$2,0))))</f>
        <v/>
      </c>
      <c r="N93" s="159"/>
      <c r="O93" s="159"/>
      <c r="P93" s="370" t="str">
        <f t="shared" si="7"/>
        <v/>
      </c>
      <c r="Q93" s="383" t="str">
        <f t="shared" si="8"/>
        <v/>
      </c>
      <c r="R93" s="384" t="str">
        <f t="shared" si="6"/>
        <v/>
      </c>
      <c r="S93" s="398" t="str">
        <f>IF(D93="","",VLOOKUP(D93,'G-6 Hedgerow Data'!$B$3:$AG$15,31,FALSE))</f>
        <v/>
      </c>
      <c r="T93" s="370" t="str">
        <f t="shared" si="9"/>
        <v/>
      </c>
      <c r="U93" s="370" t="str">
        <f t="shared" si="10"/>
        <v/>
      </c>
      <c r="V93" s="386" t="str">
        <f>IF(D93="","",VLOOKUP(S93,'G-3 Multipliers'!$P$3:$Q$6,2,FALSE))</f>
        <v/>
      </c>
      <c r="W93" s="390" t="str">
        <f t="shared" si="11"/>
        <v/>
      </c>
      <c r="X93" s="117"/>
      <c r="Y93" s="118"/>
      <c r="Z93" s="120"/>
      <c r="AG93" s="30" t="str">
        <f>IFERROR(INDEX('G-6 Hedgerow Data'!$BJ$3:$BJ$15,MATCH(D93,'G-6 Hedgerow Data'!$B$3:$B$15,0)),"")</f>
        <v/>
      </c>
    </row>
    <row r="94" spans="2:33" ht="15">
      <c r="B94" s="110">
        <v>83</v>
      </c>
      <c r="C94" s="167"/>
      <c r="D94" s="159"/>
      <c r="E94" s="139"/>
      <c r="F94" s="411" t="str">
        <f>IF(D94="","",VLOOKUP(D94,'G-6 Hedgerow Data'!$B$2:$AG$15,2,FALSE))</f>
        <v/>
      </c>
      <c r="G94" s="363" t="str">
        <f>IF(D94="","",VLOOKUP(D94,'G-6 Hedgerow Data'!$B$2:$AG$15,3,FALSE))</f>
        <v/>
      </c>
      <c r="H94" s="114"/>
      <c r="I94" s="363" t="str">
        <f>IFERROR(VLOOKUP(H94,'G-1 All Habitats'!$Z$2:$AA$9,2,FALSE),"")</f>
        <v/>
      </c>
      <c r="J94" s="114"/>
      <c r="K94" s="382" t="str">
        <f>IF(J94="","",IF(VLOOKUP(J94,'G-3 Multipliers'!$L$3:$N$6,2,FALSE)=0,"Spatial Data Missing ⚠",VLOOKUP(J94,'G-3 Multipliers'!$L$3:$N$6,2,FALSE)))</f>
        <v/>
      </c>
      <c r="L94" s="368" t="str">
        <f>IF(J94="","",IF(VLOOKUP(J94,'G-3 Multipliers'!$L$3:$N$6,3,FALSE)=0,"Spatial Data Missing ⚠",VLOOKUP(J94,'G-3 Multipliers'!$L$3:$N$6,3,FALSE)))</f>
        <v/>
      </c>
      <c r="M94" s="362" t="str">
        <f>IF(OR(D94="",H94=""),"",(INDEX('G-6 Hedgerow Data'!$E$3:$I$15,MATCH(D94,'G-6 Hedgerow Data'!$B$3:$B$15,0),MATCH(H94,'G-6 Hedgerow Data'!$E$2:$I$2,0))))</f>
        <v/>
      </c>
      <c r="N94" s="159"/>
      <c r="O94" s="159"/>
      <c r="P94" s="370" t="str">
        <f t="shared" si="7"/>
        <v/>
      </c>
      <c r="Q94" s="383" t="str">
        <f t="shared" si="8"/>
        <v/>
      </c>
      <c r="R94" s="384" t="str">
        <f t="shared" si="6"/>
        <v/>
      </c>
      <c r="S94" s="398" t="str">
        <f>IF(D94="","",VLOOKUP(D94,'G-6 Hedgerow Data'!$B$3:$AG$15,31,FALSE))</f>
        <v/>
      </c>
      <c r="T94" s="370" t="str">
        <f t="shared" si="9"/>
        <v/>
      </c>
      <c r="U94" s="370" t="str">
        <f t="shared" si="10"/>
        <v/>
      </c>
      <c r="V94" s="386" t="str">
        <f>IF(D94="","",VLOOKUP(S94,'G-3 Multipliers'!$P$3:$Q$6,2,FALSE))</f>
        <v/>
      </c>
      <c r="W94" s="390" t="str">
        <f t="shared" si="11"/>
        <v/>
      </c>
      <c r="X94" s="117"/>
      <c r="Y94" s="118"/>
      <c r="Z94" s="120"/>
      <c r="AG94" s="30" t="str">
        <f>IFERROR(INDEX('G-6 Hedgerow Data'!$BJ$3:$BJ$15,MATCH(D94,'G-6 Hedgerow Data'!$B$3:$B$15,0)),"")</f>
        <v/>
      </c>
    </row>
    <row r="95" spans="2:33" ht="15">
      <c r="B95" s="110">
        <v>84</v>
      </c>
      <c r="C95" s="167"/>
      <c r="D95" s="159"/>
      <c r="E95" s="139"/>
      <c r="F95" s="411" t="str">
        <f>IF(D95="","",VLOOKUP(D95,'G-6 Hedgerow Data'!$B$2:$AG$15,2,FALSE))</f>
        <v/>
      </c>
      <c r="G95" s="363" t="str">
        <f>IF(D95="","",VLOOKUP(D95,'G-6 Hedgerow Data'!$B$2:$AG$15,3,FALSE))</f>
        <v/>
      </c>
      <c r="H95" s="114"/>
      <c r="I95" s="363" t="str">
        <f>IFERROR(VLOOKUP(H95,'G-1 All Habitats'!$Z$2:$AA$9,2,FALSE),"")</f>
        <v/>
      </c>
      <c r="J95" s="114"/>
      <c r="K95" s="382" t="str">
        <f>IF(J95="","",IF(VLOOKUP(J95,'G-3 Multipliers'!$L$3:$N$6,2,FALSE)=0,"Spatial Data Missing ⚠",VLOOKUP(J95,'G-3 Multipliers'!$L$3:$N$6,2,FALSE)))</f>
        <v/>
      </c>
      <c r="L95" s="368" t="str">
        <f>IF(J95="","",IF(VLOOKUP(J95,'G-3 Multipliers'!$L$3:$N$6,3,FALSE)=0,"Spatial Data Missing ⚠",VLOOKUP(J95,'G-3 Multipliers'!$L$3:$N$6,3,FALSE)))</f>
        <v/>
      </c>
      <c r="M95" s="362" t="str">
        <f>IF(OR(D95="",H95=""),"",(INDEX('G-6 Hedgerow Data'!$E$3:$I$15,MATCH(D95,'G-6 Hedgerow Data'!$B$3:$B$15,0),MATCH(H95,'G-6 Hedgerow Data'!$E$2:$I$2,0))))</f>
        <v/>
      </c>
      <c r="N95" s="159"/>
      <c r="O95" s="159"/>
      <c r="P95" s="370" t="str">
        <f t="shared" si="7"/>
        <v/>
      </c>
      <c r="Q95" s="383" t="str">
        <f t="shared" si="8"/>
        <v/>
      </c>
      <c r="R95" s="384" t="str">
        <f t="shared" si="6"/>
        <v/>
      </c>
      <c r="S95" s="398" t="str">
        <f>IF(D95="","",VLOOKUP(D95,'G-6 Hedgerow Data'!$B$3:$AG$15,31,FALSE))</f>
        <v/>
      </c>
      <c r="T95" s="370" t="str">
        <f t="shared" si="9"/>
        <v/>
      </c>
      <c r="U95" s="370" t="str">
        <f t="shared" si="10"/>
        <v/>
      </c>
      <c r="V95" s="386" t="str">
        <f>IF(D95="","",VLOOKUP(S95,'G-3 Multipliers'!$P$3:$Q$6,2,FALSE))</f>
        <v/>
      </c>
      <c r="W95" s="390" t="str">
        <f t="shared" si="11"/>
        <v/>
      </c>
      <c r="X95" s="117"/>
      <c r="Y95" s="118"/>
      <c r="Z95" s="120"/>
      <c r="AG95" s="30" t="str">
        <f>IFERROR(INDEX('G-6 Hedgerow Data'!$BJ$3:$BJ$15,MATCH(D95,'G-6 Hedgerow Data'!$B$3:$B$15,0)),"")</f>
        <v/>
      </c>
    </row>
    <row r="96" spans="2:33" ht="15">
      <c r="B96" s="110">
        <v>85</v>
      </c>
      <c r="C96" s="167"/>
      <c r="D96" s="159"/>
      <c r="E96" s="139"/>
      <c r="F96" s="411" t="str">
        <f>IF(D96="","",VLOOKUP(D96,'G-6 Hedgerow Data'!$B$2:$AG$15,2,FALSE))</f>
        <v/>
      </c>
      <c r="G96" s="363" t="str">
        <f>IF(D96="","",VLOOKUP(D96,'G-6 Hedgerow Data'!$B$2:$AG$15,3,FALSE))</f>
        <v/>
      </c>
      <c r="H96" s="114"/>
      <c r="I96" s="363" t="str">
        <f>IFERROR(VLOOKUP(H96,'G-1 All Habitats'!$Z$2:$AA$9,2,FALSE),"")</f>
        <v/>
      </c>
      <c r="J96" s="114"/>
      <c r="K96" s="382" t="str">
        <f>IF(J96="","",IF(VLOOKUP(J96,'G-3 Multipliers'!$L$3:$N$6,2,FALSE)=0,"Spatial Data Missing ⚠",VLOOKUP(J96,'G-3 Multipliers'!$L$3:$N$6,2,FALSE)))</f>
        <v/>
      </c>
      <c r="L96" s="368" t="str">
        <f>IF(J96="","",IF(VLOOKUP(J96,'G-3 Multipliers'!$L$3:$N$6,3,FALSE)=0,"Spatial Data Missing ⚠",VLOOKUP(J96,'G-3 Multipliers'!$L$3:$N$6,3,FALSE)))</f>
        <v/>
      </c>
      <c r="M96" s="362" t="str">
        <f>IF(OR(D96="",H96=""),"",(INDEX('G-6 Hedgerow Data'!$E$3:$I$15,MATCH(D96,'G-6 Hedgerow Data'!$B$3:$B$15,0),MATCH(H96,'G-6 Hedgerow Data'!$E$2:$I$2,0))))</f>
        <v/>
      </c>
      <c r="N96" s="159"/>
      <c r="O96" s="159"/>
      <c r="P96" s="370" t="str">
        <f t="shared" si="7"/>
        <v/>
      </c>
      <c r="Q96" s="383" t="str">
        <f t="shared" si="8"/>
        <v/>
      </c>
      <c r="R96" s="384" t="str">
        <f t="shared" si="6"/>
        <v/>
      </c>
      <c r="S96" s="398" t="str">
        <f>IF(D96="","",VLOOKUP(D96,'G-6 Hedgerow Data'!$B$3:$AG$15,31,FALSE))</f>
        <v/>
      </c>
      <c r="T96" s="370" t="str">
        <f t="shared" si="9"/>
        <v/>
      </c>
      <c r="U96" s="370" t="str">
        <f t="shared" si="10"/>
        <v/>
      </c>
      <c r="V96" s="386" t="str">
        <f>IF(D96="","",VLOOKUP(S96,'G-3 Multipliers'!$P$3:$Q$6,2,FALSE))</f>
        <v/>
      </c>
      <c r="W96" s="390" t="str">
        <f t="shared" si="11"/>
        <v/>
      </c>
      <c r="X96" s="117"/>
      <c r="Y96" s="118"/>
      <c r="Z96" s="120"/>
      <c r="AG96" s="30" t="str">
        <f>IFERROR(INDEX('G-6 Hedgerow Data'!$BJ$3:$BJ$15,MATCH(D96,'G-6 Hedgerow Data'!$B$3:$B$15,0)),"")</f>
        <v/>
      </c>
    </row>
    <row r="97" spans="2:33" ht="15">
      <c r="B97" s="110">
        <v>86</v>
      </c>
      <c r="C97" s="167"/>
      <c r="D97" s="159"/>
      <c r="E97" s="139"/>
      <c r="F97" s="411" t="str">
        <f>IF(D97="","",VLOOKUP(D97,'G-6 Hedgerow Data'!$B$2:$AG$15,2,FALSE))</f>
        <v/>
      </c>
      <c r="G97" s="363" t="str">
        <f>IF(D97="","",VLOOKUP(D97,'G-6 Hedgerow Data'!$B$2:$AG$15,3,FALSE))</f>
        <v/>
      </c>
      <c r="H97" s="114"/>
      <c r="I97" s="363" t="str">
        <f>IFERROR(VLOOKUP(H97,'G-1 All Habitats'!$Z$2:$AA$9,2,FALSE),"")</f>
        <v/>
      </c>
      <c r="J97" s="114"/>
      <c r="K97" s="382" t="str">
        <f>IF(J97="","",IF(VLOOKUP(J97,'G-3 Multipliers'!$L$3:$N$6,2,FALSE)=0,"Spatial Data Missing ⚠",VLOOKUP(J97,'G-3 Multipliers'!$L$3:$N$6,2,FALSE)))</f>
        <v/>
      </c>
      <c r="L97" s="368" t="str">
        <f>IF(J97="","",IF(VLOOKUP(J97,'G-3 Multipliers'!$L$3:$N$6,3,FALSE)=0,"Spatial Data Missing ⚠",VLOOKUP(J97,'G-3 Multipliers'!$L$3:$N$6,3,FALSE)))</f>
        <v/>
      </c>
      <c r="M97" s="362" t="str">
        <f>IF(OR(D97="",H97=""),"",(INDEX('G-6 Hedgerow Data'!$E$3:$I$15,MATCH(D97,'G-6 Hedgerow Data'!$B$3:$B$15,0),MATCH(H97,'G-6 Hedgerow Data'!$E$2:$I$2,0))))</f>
        <v/>
      </c>
      <c r="N97" s="159"/>
      <c r="O97" s="159"/>
      <c r="P97" s="370" t="str">
        <f t="shared" si="7"/>
        <v/>
      </c>
      <c r="Q97" s="383" t="str">
        <f t="shared" si="8"/>
        <v/>
      </c>
      <c r="R97" s="384" t="str">
        <f t="shared" si="6"/>
        <v/>
      </c>
      <c r="S97" s="398" t="str">
        <f>IF(D97="","",VLOOKUP(D97,'G-6 Hedgerow Data'!$B$3:$AG$15,31,FALSE))</f>
        <v/>
      </c>
      <c r="T97" s="370" t="str">
        <f t="shared" si="9"/>
        <v/>
      </c>
      <c r="U97" s="370" t="str">
        <f t="shared" si="10"/>
        <v/>
      </c>
      <c r="V97" s="386" t="str">
        <f>IF(D97="","",VLOOKUP(S97,'G-3 Multipliers'!$P$3:$Q$6,2,FALSE))</f>
        <v/>
      </c>
      <c r="W97" s="390" t="str">
        <f t="shared" si="11"/>
        <v/>
      </c>
      <c r="X97" s="117"/>
      <c r="Y97" s="118"/>
      <c r="Z97" s="120"/>
      <c r="AG97" s="30" t="str">
        <f>IFERROR(INDEX('G-6 Hedgerow Data'!$BJ$3:$BJ$15,MATCH(D97,'G-6 Hedgerow Data'!$B$3:$B$15,0)),"")</f>
        <v/>
      </c>
    </row>
    <row r="98" spans="2:33" ht="15">
      <c r="B98" s="110">
        <v>87</v>
      </c>
      <c r="C98" s="167"/>
      <c r="D98" s="159"/>
      <c r="E98" s="139"/>
      <c r="F98" s="411" t="str">
        <f>IF(D98="","",VLOOKUP(D98,'G-6 Hedgerow Data'!$B$2:$AG$15,2,FALSE))</f>
        <v/>
      </c>
      <c r="G98" s="363" t="str">
        <f>IF(D98="","",VLOOKUP(D98,'G-6 Hedgerow Data'!$B$2:$AG$15,3,FALSE))</f>
        <v/>
      </c>
      <c r="H98" s="114"/>
      <c r="I98" s="363" t="str">
        <f>IFERROR(VLOOKUP(H98,'G-1 All Habitats'!$Z$2:$AA$9,2,FALSE),"")</f>
        <v/>
      </c>
      <c r="J98" s="114"/>
      <c r="K98" s="382" t="str">
        <f>IF(J98="","",IF(VLOOKUP(J98,'G-3 Multipliers'!$L$3:$N$6,2,FALSE)=0,"Spatial Data Missing ⚠",VLOOKUP(J98,'G-3 Multipliers'!$L$3:$N$6,2,FALSE)))</f>
        <v/>
      </c>
      <c r="L98" s="368" t="str">
        <f>IF(J98="","",IF(VLOOKUP(J98,'G-3 Multipliers'!$L$3:$N$6,3,FALSE)=0,"Spatial Data Missing ⚠",VLOOKUP(J98,'G-3 Multipliers'!$L$3:$N$6,3,FALSE)))</f>
        <v/>
      </c>
      <c r="M98" s="362" t="str">
        <f>IF(OR(D98="",H98=""),"",(INDEX('G-6 Hedgerow Data'!$E$3:$I$15,MATCH(D98,'G-6 Hedgerow Data'!$B$3:$B$15,0),MATCH(H98,'G-6 Hedgerow Data'!$E$2:$I$2,0))))</f>
        <v/>
      </c>
      <c r="N98" s="159"/>
      <c r="O98" s="159"/>
      <c r="P98" s="370" t="str">
        <f t="shared" si="7"/>
        <v/>
      </c>
      <c r="Q98" s="383" t="str">
        <f t="shared" si="8"/>
        <v/>
      </c>
      <c r="R98" s="384" t="str">
        <f t="shared" si="6"/>
        <v/>
      </c>
      <c r="S98" s="398" t="str">
        <f>IF(D98="","",VLOOKUP(D98,'G-6 Hedgerow Data'!$B$3:$AG$15,31,FALSE))</f>
        <v/>
      </c>
      <c r="T98" s="370" t="str">
        <f t="shared" si="9"/>
        <v/>
      </c>
      <c r="U98" s="370" t="str">
        <f t="shared" si="10"/>
        <v/>
      </c>
      <c r="V98" s="386" t="str">
        <f>IF(D98="","",VLOOKUP(S98,'G-3 Multipliers'!$P$3:$Q$6,2,FALSE))</f>
        <v/>
      </c>
      <c r="W98" s="390" t="str">
        <f t="shared" si="11"/>
        <v/>
      </c>
      <c r="X98" s="117"/>
      <c r="Y98" s="118"/>
      <c r="Z98" s="120"/>
      <c r="AG98" s="30" t="str">
        <f>IFERROR(INDEX('G-6 Hedgerow Data'!$BJ$3:$BJ$15,MATCH(D98,'G-6 Hedgerow Data'!$B$3:$B$15,0)),"")</f>
        <v/>
      </c>
    </row>
    <row r="99" spans="2:33" ht="15">
      <c r="B99" s="110">
        <v>88</v>
      </c>
      <c r="C99" s="167"/>
      <c r="D99" s="159"/>
      <c r="E99" s="139"/>
      <c r="F99" s="411" t="str">
        <f>IF(D99="","",VLOOKUP(D99,'G-6 Hedgerow Data'!$B$2:$AG$15,2,FALSE))</f>
        <v/>
      </c>
      <c r="G99" s="363" t="str">
        <f>IF(D99="","",VLOOKUP(D99,'G-6 Hedgerow Data'!$B$2:$AG$15,3,FALSE))</f>
        <v/>
      </c>
      <c r="H99" s="114"/>
      <c r="I99" s="363" t="str">
        <f>IFERROR(VLOOKUP(H99,'G-1 All Habitats'!$Z$2:$AA$9,2,FALSE),"")</f>
        <v/>
      </c>
      <c r="J99" s="114"/>
      <c r="K99" s="382" t="str">
        <f>IF(J99="","",IF(VLOOKUP(J99,'G-3 Multipliers'!$L$3:$N$6,2,FALSE)=0,"Spatial Data Missing ⚠",VLOOKUP(J99,'G-3 Multipliers'!$L$3:$N$6,2,FALSE)))</f>
        <v/>
      </c>
      <c r="L99" s="368" t="str">
        <f>IF(J99="","",IF(VLOOKUP(J99,'G-3 Multipliers'!$L$3:$N$6,3,FALSE)=0,"Spatial Data Missing ⚠",VLOOKUP(J99,'G-3 Multipliers'!$L$3:$N$6,3,FALSE)))</f>
        <v/>
      </c>
      <c r="M99" s="362" t="str">
        <f>IF(OR(D99="",H99=""),"",(INDEX('G-6 Hedgerow Data'!$E$3:$I$15,MATCH(D99,'G-6 Hedgerow Data'!$B$3:$B$15,0),MATCH(H99,'G-6 Hedgerow Data'!$E$2:$I$2,0))))</f>
        <v/>
      </c>
      <c r="N99" s="159"/>
      <c r="O99" s="159"/>
      <c r="P99" s="370" t="str">
        <f t="shared" si="7"/>
        <v/>
      </c>
      <c r="Q99" s="383" t="str">
        <f t="shared" si="8"/>
        <v/>
      </c>
      <c r="R99" s="384" t="str">
        <f t="shared" si="6"/>
        <v/>
      </c>
      <c r="S99" s="398" t="str">
        <f>IF(D99="","",VLOOKUP(D99,'G-6 Hedgerow Data'!$B$3:$AG$15,31,FALSE))</f>
        <v/>
      </c>
      <c r="T99" s="370" t="str">
        <f t="shared" si="9"/>
        <v/>
      </c>
      <c r="U99" s="370" t="str">
        <f t="shared" si="10"/>
        <v/>
      </c>
      <c r="V99" s="386" t="str">
        <f>IF(D99="","",VLOOKUP(S99,'G-3 Multipliers'!$P$3:$Q$6,2,FALSE))</f>
        <v/>
      </c>
      <c r="W99" s="390" t="str">
        <f t="shared" si="11"/>
        <v/>
      </c>
      <c r="X99" s="117"/>
      <c r="Y99" s="118"/>
      <c r="Z99" s="120"/>
      <c r="AG99" s="30" t="str">
        <f>IFERROR(INDEX('G-6 Hedgerow Data'!$BJ$3:$BJ$15,MATCH(D99,'G-6 Hedgerow Data'!$B$3:$B$15,0)),"")</f>
        <v/>
      </c>
    </row>
    <row r="100" spans="2:33" ht="15">
      <c r="B100" s="110">
        <v>89</v>
      </c>
      <c r="C100" s="167"/>
      <c r="D100" s="159"/>
      <c r="E100" s="139"/>
      <c r="F100" s="411" t="str">
        <f>IF(D100="","",VLOOKUP(D100,'G-6 Hedgerow Data'!$B$2:$AG$15,2,FALSE))</f>
        <v/>
      </c>
      <c r="G100" s="363" t="str">
        <f>IF(D100="","",VLOOKUP(D100,'G-6 Hedgerow Data'!$B$2:$AG$15,3,FALSE))</f>
        <v/>
      </c>
      <c r="H100" s="114"/>
      <c r="I100" s="363" t="str">
        <f>IFERROR(VLOOKUP(H100,'G-1 All Habitats'!$Z$2:$AA$9,2,FALSE),"")</f>
        <v/>
      </c>
      <c r="J100" s="114"/>
      <c r="K100" s="382" t="str">
        <f>IF(J100="","",IF(VLOOKUP(J100,'G-3 Multipliers'!$L$3:$N$6,2,FALSE)=0,"Spatial Data Missing ⚠",VLOOKUP(J100,'G-3 Multipliers'!$L$3:$N$6,2,FALSE)))</f>
        <v/>
      </c>
      <c r="L100" s="368" t="str">
        <f>IF(J100="","",IF(VLOOKUP(J100,'G-3 Multipliers'!$L$3:$N$6,3,FALSE)=0,"Spatial Data Missing ⚠",VLOOKUP(J100,'G-3 Multipliers'!$L$3:$N$6,3,FALSE)))</f>
        <v/>
      </c>
      <c r="M100" s="362" t="str">
        <f>IF(OR(D100="",H100=""),"",(INDEX('G-6 Hedgerow Data'!$E$3:$I$15,MATCH(D100,'G-6 Hedgerow Data'!$B$3:$B$15,0),MATCH(H100,'G-6 Hedgerow Data'!$E$2:$I$2,0))))</f>
        <v/>
      </c>
      <c r="N100" s="159"/>
      <c r="O100" s="159"/>
      <c r="P100" s="370" t="str">
        <f t="shared" si="7"/>
        <v/>
      </c>
      <c r="Q100" s="383" t="str">
        <f t="shared" si="8"/>
        <v/>
      </c>
      <c r="R100" s="384" t="str">
        <f t="shared" si="6"/>
        <v/>
      </c>
      <c r="S100" s="398" t="str">
        <f>IF(D100="","",VLOOKUP(D100,'G-6 Hedgerow Data'!$B$3:$AG$15,31,FALSE))</f>
        <v/>
      </c>
      <c r="T100" s="370" t="str">
        <f t="shared" si="9"/>
        <v/>
      </c>
      <c r="U100" s="370" t="str">
        <f t="shared" si="10"/>
        <v/>
      </c>
      <c r="V100" s="386" t="str">
        <f>IF(D100="","",VLOOKUP(S100,'G-3 Multipliers'!$P$3:$Q$6,2,FALSE))</f>
        <v/>
      </c>
      <c r="W100" s="390" t="str">
        <f t="shared" si="11"/>
        <v/>
      </c>
      <c r="X100" s="117"/>
      <c r="Y100" s="118"/>
      <c r="Z100" s="120"/>
      <c r="AG100" s="30" t="str">
        <f>IFERROR(INDEX('G-6 Hedgerow Data'!$BJ$3:$BJ$15,MATCH(D100,'G-6 Hedgerow Data'!$B$3:$B$15,0)),"")</f>
        <v/>
      </c>
    </row>
    <row r="101" spans="2:33" ht="15">
      <c r="B101" s="110">
        <v>90</v>
      </c>
      <c r="C101" s="167"/>
      <c r="D101" s="159"/>
      <c r="E101" s="139"/>
      <c r="F101" s="411" t="str">
        <f>IF(D101="","",VLOOKUP(D101,'G-6 Hedgerow Data'!$B$2:$AG$15,2,FALSE))</f>
        <v/>
      </c>
      <c r="G101" s="363" t="str">
        <f>IF(D101="","",VLOOKUP(D101,'G-6 Hedgerow Data'!$B$2:$AG$15,3,FALSE))</f>
        <v/>
      </c>
      <c r="H101" s="114"/>
      <c r="I101" s="363" t="str">
        <f>IFERROR(VLOOKUP(H101,'G-1 All Habitats'!$Z$2:$AA$9,2,FALSE),"")</f>
        <v/>
      </c>
      <c r="J101" s="114"/>
      <c r="K101" s="382" t="str">
        <f>IF(J101="","",IF(VLOOKUP(J101,'G-3 Multipliers'!$L$3:$N$6,2,FALSE)=0,"Spatial Data Missing ⚠",VLOOKUP(J101,'G-3 Multipliers'!$L$3:$N$6,2,FALSE)))</f>
        <v/>
      </c>
      <c r="L101" s="368" t="str">
        <f>IF(J101="","",IF(VLOOKUP(J101,'G-3 Multipliers'!$L$3:$N$6,3,FALSE)=0,"Spatial Data Missing ⚠",VLOOKUP(J101,'G-3 Multipliers'!$L$3:$N$6,3,FALSE)))</f>
        <v/>
      </c>
      <c r="M101" s="362" t="str">
        <f>IF(OR(D101="",H101=""),"",(INDEX('G-6 Hedgerow Data'!$E$3:$I$15,MATCH(D101,'G-6 Hedgerow Data'!$B$3:$B$15,0),MATCH(H101,'G-6 Hedgerow Data'!$E$2:$I$2,0))))</f>
        <v/>
      </c>
      <c r="N101" s="159"/>
      <c r="O101" s="159"/>
      <c r="P101" s="370" t="str">
        <f t="shared" si="7"/>
        <v/>
      </c>
      <c r="Q101" s="383" t="str">
        <f t="shared" si="8"/>
        <v/>
      </c>
      <c r="R101" s="384" t="str">
        <f t="shared" si="6"/>
        <v/>
      </c>
      <c r="S101" s="398" t="str">
        <f>IF(D101="","",VLOOKUP(D101,'G-6 Hedgerow Data'!$B$3:$AG$15,31,FALSE))</f>
        <v/>
      </c>
      <c r="T101" s="370" t="str">
        <f t="shared" si="9"/>
        <v/>
      </c>
      <c r="U101" s="370" t="str">
        <f t="shared" si="10"/>
        <v/>
      </c>
      <c r="V101" s="386" t="str">
        <f>IF(D101="","",VLOOKUP(S101,'G-3 Multipliers'!$P$3:$Q$6,2,FALSE))</f>
        <v/>
      </c>
      <c r="W101" s="390" t="str">
        <f t="shared" si="11"/>
        <v/>
      </c>
      <c r="X101" s="117"/>
      <c r="Y101" s="118"/>
      <c r="Z101" s="120"/>
      <c r="AG101" s="30" t="str">
        <f>IFERROR(INDEX('G-6 Hedgerow Data'!$BJ$3:$BJ$15,MATCH(D101,'G-6 Hedgerow Data'!$B$3:$B$15,0)),"")</f>
        <v/>
      </c>
    </row>
    <row r="102" spans="2:33" ht="15">
      <c r="B102" s="110">
        <v>91</v>
      </c>
      <c r="C102" s="167"/>
      <c r="D102" s="159"/>
      <c r="E102" s="139"/>
      <c r="F102" s="411" t="str">
        <f>IF(D102="","",VLOOKUP(D102,'G-6 Hedgerow Data'!$B$2:$AG$15,2,FALSE))</f>
        <v/>
      </c>
      <c r="G102" s="363" t="str">
        <f>IF(D102="","",VLOOKUP(D102,'G-6 Hedgerow Data'!$B$2:$AG$15,3,FALSE))</f>
        <v/>
      </c>
      <c r="H102" s="114"/>
      <c r="I102" s="363" t="str">
        <f>IFERROR(VLOOKUP(H102,'G-1 All Habitats'!$Z$2:$AA$9,2,FALSE),"")</f>
        <v/>
      </c>
      <c r="J102" s="114"/>
      <c r="K102" s="382" t="str">
        <f>IF(J102="","",IF(VLOOKUP(J102,'G-3 Multipliers'!$L$3:$N$6,2,FALSE)=0,"Spatial Data Missing ⚠",VLOOKUP(J102,'G-3 Multipliers'!$L$3:$N$6,2,FALSE)))</f>
        <v/>
      </c>
      <c r="L102" s="368" t="str">
        <f>IF(J102="","",IF(VLOOKUP(J102,'G-3 Multipliers'!$L$3:$N$6,3,FALSE)=0,"Spatial Data Missing ⚠",VLOOKUP(J102,'G-3 Multipliers'!$L$3:$N$6,3,FALSE)))</f>
        <v/>
      </c>
      <c r="M102" s="362" t="str">
        <f>IF(OR(D102="",H102=""),"",(INDEX('G-6 Hedgerow Data'!$E$3:$I$15,MATCH(D102,'G-6 Hedgerow Data'!$B$3:$B$15,0),MATCH(H102,'G-6 Hedgerow Data'!$E$2:$I$2,0))))</f>
        <v/>
      </c>
      <c r="N102" s="159"/>
      <c r="O102" s="159"/>
      <c r="P102" s="370" t="str">
        <f t="shared" si="7"/>
        <v/>
      </c>
      <c r="Q102" s="383" t="str">
        <f t="shared" si="8"/>
        <v/>
      </c>
      <c r="R102" s="384" t="str">
        <f t="shared" si="6"/>
        <v/>
      </c>
      <c r="S102" s="398" t="str">
        <f>IF(D102="","",VLOOKUP(D102,'G-6 Hedgerow Data'!$B$3:$AG$15,31,FALSE))</f>
        <v/>
      </c>
      <c r="T102" s="370" t="str">
        <f t="shared" si="9"/>
        <v/>
      </c>
      <c r="U102" s="370" t="str">
        <f t="shared" si="10"/>
        <v/>
      </c>
      <c r="V102" s="386" t="str">
        <f>IF(D102="","",VLOOKUP(S102,'G-3 Multipliers'!$P$3:$Q$6,2,FALSE))</f>
        <v/>
      </c>
      <c r="W102" s="390" t="str">
        <f t="shared" si="11"/>
        <v/>
      </c>
      <c r="X102" s="117"/>
      <c r="Y102" s="118"/>
      <c r="Z102" s="120"/>
      <c r="AG102" s="30" t="str">
        <f>IFERROR(INDEX('G-6 Hedgerow Data'!$BJ$3:$BJ$15,MATCH(D102,'G-6 Hedgerow Data'!$B$3:$B$15,0)),"")</f>
        <v/>
      </c>
    </row>
    <row r="103" spans="2:33" ht="15">
      <c r="B103" s="110">
        <v>92</v>
      </c>
      <c r="C103" s="167"/>
      <c r="D103" s="159"/>
      <c r="E103" s="139"/>
      <c r="F103" s="411" t="str">
        <f>IF(D103="","",VLOOKUP(D103,'G-6 Hedgerow Data'!$B$2:$AG$15,2,FALSE))</f>
        <v/>
      </c>
      <c r="G103" s="363" t="str">
        <f>IF(D103="","",VLOOKUP(D103,'G-6 Hedgerow Data'!$B$2:$AG$15,3,FALSE))</f>
        <v/>
      </c>
      <c r="H103" s="114"/>
      <c r="I103" s="363" t="str">
        <f>IFERROR(VLOOKUP(H103,'G-1 All Habitats'!$Z$2:$AA$9,2,FALSE),"")</f>
        <v/>
      </c>
      <c r="J103" s="114"/>
      <c r="K103" s="382" t="str">
        <f>IF(J103="","",IF(VLOOKUP(J103,'G-3 Multipliers'!$L$3:$N$6,2,FALSE)=0,"Spatial Data Missing ⚠",VLOOKUP(J103,'G-3 Multipliers'!$L$3:$N$6,2,FALSE)))</f>
        <v/>
      </c>
      <c r="L103" s="368" t="str">
        <f>IF(J103="","",IF(VLOOKUP(J103,'G-3 Multipliers'!$L$3:$N$6,3,FALSE)=0,"Spatial Data Missing ⚠",VLOOKUP(J103,'G-3 Multipliers'!$L$3:$N$6,3,FALSE)))</f>
        <v/>
      </c>
      <c r="M103" s="362" t="str">
        <f>IF(OR(D103="",H103=""),"",(INDEX('G-6 Hedgerow Data'!$E$3:$I$15,MATCH(D103,'G-6 Hedgerow Data'!$B$3:$B$15,0),MATCH(H103,'G-6 Hedgerow Data'!$E$2:$I$2,0))))</f>
        <v/>
      </c>
      <c r="N103" s="159"/>
      <c r="O103" s="159"/>
      <c r="P103" s="370" t="str">
        <f t="shared" si="7"/>
        <v/>
      </c>
      <c r="Q103" s="383" t="str">
        <f t="shared" si="8"/>
        <v/>
      </c>
      <c r="R103" s="384" t="str">
        <f t="shared" si="6"/>
        <v/>
      </c>
      <c r="S103" s="398" t="str">
        <f>IF(D103="","",VLOOKUP(D103,'G-6 Hedgerow Data'!$B$3:$AG$15,31,FALSE))</f>
        <v/>
      </c>
      <c r="T103" s="370" t="str">
        <f t="shared" si="9"/>
        <v/>
      </c>
      <c r="U103" s="370" t="str">
        <f t="shared" si="10"/>
        <v/>
      </c>
      <c r="V103" s="386" t="str">
        <f>IF(D103="","",VLOOKUP(S103,'G-3 Multipliers'!$P$3:$Q$6,2,FALSE))</f>
        <v/>
      </c>
      <c r="W103" s="390" t="str">
        <f t="shared" si="11"/>
        <v/>
      </c>
      <c r="X103" s="117"/>
      <c r="Y103" s="118"/>
      <c r="Z103" s="120"/>
      <c r="AG103" s="30" t="str">
        <f>IFERROR(INDEX('G-6 Hedgerow Data'!$BJ$3:$BJ$15,MATCH(D103,'G-6 Hedgerow Data'!$B$3:$B$15,0)),"")</f>
        <v/>
      </c>
    </row>
    <row r="104" spans="2:33" ht="15">
      <c r="B104" s="110">
        <v>93</v>
      </c>
      <c r="C104" s="167"/>
      <c r="D104" s="159"/>
      <c r="E104" s="139"/>
      <c r="F104" s="411" t="str">
        <f>IF(D104="","",VLOOKUP(D104,'G-6 Hedgerow Data'!$B$2:$AG$15,2,FALSE))</f>
        <v/>
      </c>
      <c r="G104" s="363" t="str">
        <f>IF(D104="","",VLOOKUP(D104,'G-6 Hedgerow Data'!$B$2:$AG$15,3,FALSE))</f>
        <v/>
      </c>
      <c r="H104" s="114"/>
      <c r="I104" s="363" t="str">
        <f>IFERROR(VLOOKUP(H104,'G-1 All Habitats'!$Z$2:$AA$9,2,FALSE),"")</f>
        <v/>
      </c>
      <c r="J104" s="114"/>
      <c r="K104" s="382" t="str">
        <f>IF(J104="","",IF(VLOOKUP(J104,'G-3 Multipliers'!$L$3:$N$6,2,FALSE)=0,"Spatial Data Missing ⚠",VLOOKUP(J104,'G-3 Multipliers'!$L$3:$N$6,2,FALSE)))</f>
        <v/>
      </c>
      <c r="L104" s="368" t="str">
        <f>IF(J104="","",IF(VLOOKUP(J104,'G-3 Multipliers'!$L$3:$N$6,3,FALSE)=0,"Spatial Data Missing ⚠",VLOOKUP(J104,'G-3 Multipliers'!$L$3:$N$6,3,FALSE)))</f>
        <v/>
      </c>
      <c r="M104" s="362" t="str">
        <f>IF(OR(D104="",H104=""),"",(INDEX('G-6 Hedgerow Data'!$E$3:$I$15,MATCH(D104,'G-6 Hedgerow Data'!$B$3:$B$15,0),MATCH(H104,'G-6 Hedgerow Data'!$E$2:$I$2,0))))</f>
        <v/>
      </c>
      <c r="N104" s="159"/>
      <c r="O104" s="159"/>
      <c r="P104" s="370" t="str">
        <f t="shared" si="7"/>
        <v/>
      </c>
      <c r="Q104" s="383" t="str">
        <f t="shared" si="8"/>
        <v/>
      </c>
      <c r="R104" s="384" t="str">
        <f t="shared" si="6"/>
        <v/>
      </c>
      <c r="S104" s="398" t="str">
        <f>IF(D104="","",VLOOKUP(D104,'G-6 Hedgerow Data'!$B$3:$AG$15,31,FALSE))</f>
        <v/>
      </c>
      <c r="T104" s="370" t="str">
        <f t="shared" si="9"/>
        <v/>
      </c>
      <c r="U104" s="370" t="str">
        <f t="shared" si="10"/>
        <v/>
      </c>
      <c r="V104" s="386" t="str">
        <f>IF(D104="","",VLOOKUP(S104,'G-3 Multipliers'!$P$3:$Q$6,2,FALSE))</f>
        <v/>
      </c>
      <c r="W104" s="390" t="str">
        <f t="shared" si="11"/>
        <v/>
      </c>
      <c r="X104" s="117"/>
      <c r="Y104" s="118"/>
      <c r="Z104" s="120"/>
      <c r="AG104" s="30" t="str">
        <f>IFERROR(INDEX('G-6 Hedgerow Data'!$BJ$3:$BJ$15,MATCH(D104,'G-6 Hedgerow Data'!$B$3:$B$15,0)),"")</f>
        <v/>
      </c>
    </row>
    <row r="105" spans="2:33" ht="15">
      <c r="B105" s="110">
        <v>94</v>
      </c>
      <c r="C105" s="167"/>
      <c r="D105" s="159"/>
      <c r="E105" s="139"/>
      <c r="F105" s="411" t="str">
        <f>IF(D105="","",VLOOKUP(D105,'G-6 Hedgerow Data'!$B$2:$AG$15,2,FALSE))</f>
        <v/>
      </c>
      <c r="G105" s="363" t="str">
        <f>IF(D105="","",VLOOKUP(D105,'G-6 Hedgerow Data'!$B$2:$AG$15,3,FALSE))</f>
        <v/>
      </c>
      <c r="H105" s="114"/>
      <c r="I105" s="363" t="str">
        <f>IFERROR(VLOOKUP(H105,'G-1 All Habitats'!$Z$2:$AA$9,2,FALSE),"")</f>
        <v/>
      </c>
      <c r="J105" s="114"/>
      <c r="K105" s="382" t="str">
        <f>IF(J105="","",IF(VLOOKUP(J105,'G-3 Multipliers'!$L$3:$N$6,2,FALSE)=0,"Spatial Data Missing ⚠",VLOOKUP(J105,'G-3 Multipliers'!$L$3:$N$6,2,FALSE)))</f>
        <v/>
      </c>
      <c r="L105" s="368" t="str">
        <f>IF(J105="","",IF(VLOOKUP(J105,'G-3 Multipliers'!$L$3:$N$6,3,FALSE)=0,"Spatial Data Missing ⚠",VLOOKUP(J105,'G-3 Multipliers'!$L$3:$N$6,3,FALSE)))</f>
        <v/>
      </c>
      <c r="M105" s="362" t="str">
        <f>IF(OR(D105="",H105=""),"",(INDEX('G-6 Hedgerow Data'!$E$3:$I$15,MATCH(D105,'G-6 Hedgerow Data'!$B$3:$B$15,0),MATCH(H105,'G-6 Hedgerow Data'!$E$2:$I$2,0))))</f>
        <v/>
      </c>
      <c r="N105" s="159"/>
      <c r="O105" s="159"/>
      <c r="P105" s="370" t="str">
        <f t="shared" si="7"/>
        <v/>
      </c>
      <c r="Q105" s="383" t="str">
        <f t="shared" si="8"/>
        <v/>
      </c>
      <c r="R105" s="384" t="str">
        <f t="shared" si="6"/>
        <v/>
      </c>
      <c r="S105" s="398" t="str">
        <f>IF(D105="","",VLOOKUP(D105,'G-6 Hedgerow Data'!$B$3:$AG$15,31,FALSE))</f>
        <v/>
      </c>
      <c r="T105" s="370" t="str">
        <f t="shared" si="9"/>
        <v/>
      </c>
      <c r="U105" s="370" t="str">
        <f t="shared" si="10"/>
        <v/>
      </c>
      <c r="V105" s="386" t="str">
        <f>IF(D105="","",VLOOKUP(S105,'G-3 Multipliers'!$P$3:$Q$6,2,FALSE))</f>
        <v/>
      </c>
      <c r="W105" s="390" t="str">
        <f t="shared" si="11"/>
        <v/>
      </c>
      <c r="X105" s="117"/>
      <c r="Y105" s="118"/>
      <c r="Z105" s="120"/>
      <c r="AG105" s="30" t="str">
        <f>IFERROR(INDEX('G-6 Hedgerow Data'!$BJ$3:$BJ$15,MATCH(D105,'G-6 Hedgerow Data'!$B$3:$B$15,0)),"")</f>
        <v/>
      </c>
    </row>
    <row r="106" spans="2:33" ht="15">
      <c r="B106" s="110">
        <v>95</v>
      </c>
      <c r="C106" s="167"/>
      <c r="D106" s="159"/>
      <c r="E106" s="139"/>
      <c r="F106" s="411" t="str">
        <f>IF(D106="","",VLOOKUP(D106,'G-6 Hedgerow Data'!$B$2:$AG$15,2,FALSE))</f>
        <v/>
      </c>
      <c r="G106" s="363" t="str">
        <f>IF(D106="","",VLOOKUP(D106,'G-6 Hedgerow Data'!$B$2:$AG$15,3,FALSE))</f>
        <v/>
      </c>
      <c r="H106" s="114"/>
      <c r="I106" s="363" t="str">
        <f>IFERROR(VLOOKUP(H106,'G-1 All Habitats'!$Z$2:$AA$9,2,FALSE),"")</f>
        <v/>
      </c>
      <c r="J106" s="114"/>
      <c r="K106" s="382" t="str">
        <f>IF(J106="","",IF(VLOOKUP(J106,'G-3 Multipliers'!$L$3:$N$6,2,FALSE)=0,"Spatial Data Missing ⚠",VLOOKUP(J106,'G-3 Multipliers'!$L$3:$N$6,2,FALSE)))</f>
        <v/>
      </c>
      <c r="L106" s="368" t="str">
        <f>IF(J106="","",IF(VLOOKUP(J106,'G-3 Multipliers'!$L$3:$N$6,3,FALSE)=0,"Spatial Data Missing ⚠",VLOOKUP(J106,'G-3 Multipliers'!$L$3:$N$6,3,FALSE)))</f>
        <v/>
      </c>
      <c r="M106" s="362" t="str">
        <f>IF(OR(D106="",H106=""),"",(INDEX('G-6 Hedgerow Data'!$E$3:$I$15,MATCH(D106,'G-6 Hedgerow Data'!$B$3:$B$15,0),MATCH(H106,'G-6 Hedgerow Data'!$E$2:$I$2,0))))</f>
        <v/>
      </c>
      <c r="N106" s="159"/>
      <c r="O106" s="159"/>
      <c r="P106" s="370" t="str">
        <f t="shared" si="7"/>
        <v/>
      </c>
      <c r="Q106" s="383" t="str">
        <f t="shared" si="8"/>
        <v/>
      </c>
      <c r="R106" s="384" t="str">
        <f t="shared" si="6"/>
        <v/>
      </c>
      <c r="S106" s="398" t="str">
        <f>IF(D106="","",VLOOKUP(D106,'G-6 Hedgerow Data'!$B$3:$AG$15,31,FALSE))</f>
        <v/>
      </c>
      <c r="T106" s="370" t="str">
        <f t="shared" si="9"/>
        <v/>
      </c>
      <c r="U106" s="370" t="str">
        <f t="shared" si="10"/>
        <v/>
      </c>
      <c r="V106" s="386" t="str">
        <f>IF(D106="","",VLOOKUP(S106,'G-3 Multipliers'!$P$3:$Q$6,2,FALSE))</f>
        <v/>
      </c>
      <c r="W106" s="390" t="str">
        <f t="shared" si="11"/>
        <v/>
      </c>
      <c r="X106" s="117"/>
      <c r="Y106" s="118"/>
      <c r="Z106" s="120"/>
      <c r="AG106" s="30" t="str">
        <f>IFERROR(INDEX('G-6 Hedgerow Data'!$BJ$3:$BJ$15,MATCH(D106,'G-6 Hedgerow Data'!$B$3:$B$15,0)),"")</f>
        <v/>
      </c>
    </row>
    <row r="107" spans="2:33" ht="15">
      <c r="B107" s="110">
        <v>96</v>
      </c>
      <c r="C107" s="167"/>
      <c r="D107" s="159"/>
      <c r="E107" s="139"/>
      <c r="F107" s="411" t="str">
        <f>IF(D107="","",VLOOKUP(D107,'G-6 Hedgerow Data'!$B$2:$AG$15,2,FALSE))</f>
        <v/>
      </c>
      <c r="G107" s="363" t="str">
        <f>IF(D107="","",VLOOKUP(D107,'G-6 Hedgerow Data'!$B$2:$AG$15,3,FALSE))</f>
        <v/>
      </c>
      <c r="H107" s="114"/>
      <c r="I107" s="363" t="str">
        <f>IFERROR(VLOOKUP(H107,'G-1 All Habitats'!$Z$2:$AA$9,2,FALSE),"")</f>
        <v/>
      </c>
      <c r="J107" s="114"/>
      <c r="K107" s="382" t="str">
        <f>IF(J107="","",IF(VLOOKUP(J107,'G-3 Multipliers'!$L$3:$N$6,2,FALSE)=0,"Spatial Data Missing ⚠",VLOOKUP(J107,'G-3 Multipliers'!$L$3:$N$6,2,FALSE)))</f>
        <v/>
      </c>
      <c r="L107" s="368" t="str">
        <f>IF(J107="","",IF(VLOOKUP(J107,'G-3 Multipliers'!$L$3:$N$6,3,FALSE)=0,"Spatial Data Missing ⚠",VLOOKUP(J107,'G-3 Multipliers'!$L$3:$N$6,3,FALSE)))</f>
        <v/>
      </c>
      <c r="M107" s="362" t="str">
        <f>IF(OR(D107="",H107=""),"",(INDEX('G-6 Hedgerow Data'!$E$3:$I$15,MATCH(D107,'G-6 Hedgerow Data'!$B$3:$B$15,0),MATCH(H107,'G-6 Hedgerow Data'!$E$2:$I$2,0))))</f>
        <v/>
      </c>
      <c r="N107" s="159"/>
      <c r="O107" s="159"/>
      <c r="P107" s="370" t="str">
        <f t="shared" si="7"/>
        <v/>
      </c>
      <c r="Q107" s="383" t="str">
        <f t="shared" si="8"/>
        <v/>
      </c>
      <c r="R107" s="384" t="str">
        <f t="shared" si="6"/>
        <v/>
      </c>
      <c r="S107" s="398" t="str">
        <f>IF(D107="","",VLOOKUP(D107,'G-6 Hedgerow Data'!$B$3:$AG$15,31,FALSE))</f>
        <v/>
      </c>
      <c r="T107" s="370" t="str">
        <f t="shared" si="9"/>
        <v/>
      </c>
      <c r="U107" s="370" t="str">
        <f t="shared" si="10"/>
        <v/>
      </c>
      <c r="V107" s="386" t="str">
        <f>IF(D107="","",VLOOKUP(S107,'G-3 Multipliers'!$P$3:$Q$6,2,FALSE))</f>
        <v/>
      </c>
      <c r="W107" s="390" t="str">
        <f t="shared" si="11"/>
        <v/>
      </c>
      <c r="X107" s="117"/>
      <c r="Y107" s="118"/>
      <c r="Z107" s="120"/>
      <c r="AG107" s="30" t="str">
        <f>IFERROR(INDEX('G-6 Hedgerow Data'!$BJ$3:$BJ$15,MATCH(D107,'G-6 Hedgerow Data'!$B$3:$B$15,0)),"")</f>
        <v/>
      </c>
    </row>
    <row r="108" spans="2:33" ht="15">
      <c r="B108" s="110">
        <v>97</v>
      </c>
      <c r="C108" s="167"/>
      <c r="D108" s="159"/>
      <c r="E108" s="139"/>
      <c r="F108" s="411" t="str">
        <f>IF(D108="","",VLOOKUP(D108,'G-6 Hedgerow Data'!$B$2:$AG$15,2,FALSE))</f>
        <v/>
      </c>
      <c r="G108" s="363" t="str">
        <f>IF(D108="","",VLOOKUP(D108,'G-6 Hedgerow Data'!$B$2:$AG$15,3,FALSE))</f>
        <v/>
      </c>
      <c r="H108" s="114"/>
      <c r="I108" s="363" t="str">
        <f>IFERROR(VLOOKUP(H108,'G-1 All Habitats'!$Z$2:$AA$9,2,FALSE),"")</f>
        <v/>
      </c>
      <c r="J108" s="114"/>
      <c r="K108" s="382" t="str">
        <f>IF(J108="","",IF(VLOOKUP(J108,'G-3 Multipliers'!$L$3:$N$6,2,FALSE)=0,"Spatial Data Missing ⚠",VLOOKUP(J108,'G-3 Multipliers'!$L$3:$N$6,2,FALSE)))</f>
        <v/>
      </c>
      <c r="L108" s="368" t="str">
        <f>IF(J108="","",IF(VLOOKUP(J108,'G-3 Multipliers'!$L$3:$N$6,3,FALSE)=0,"Spatial Data Missing ⚠",VLOOKUP(J108,'G-3 Multipliers'!$L$3:$N$6,3,FALSE)))</f>
        <v/>
      </c>
      <c r="M108" s="362" t="str">
        <f>IF(OR(D108="",H108=""),"",(INDEX('G-6 Hedgerow Data'!$E$3:$I$15,MATCH(D108,'G-6 Hedgerow Data'!$B$3:$B$15,0),MATCH(H108,'G-6 Hedgerow Data'!$E$2:$I$2,0))))</f>
        <v/>
      </c>
      <c r="N108" s="159"/>
      <c r="O108" s="159"/>
      <c r="P108" s="370" t="str">
        <f t="shared" si="7"/>
        <v/>
      </c>
      <c r="Q108" s="383" t="str">
        <f t="shared" si="8"/>
        <v/>
      </c>
      <c r="R108" s="384" t="str">
        <f t="shared" si="6"/>
        <v/>
      </c>
      <c r="S108" s="398" t="str">
        <f>IF(D108="","",VLOOKUP(D108,'G-6 Hedgerow Data'!$B$3:$AG$15,31,FALSE))</f>
        <v/>
      </c>
      <c r="T108" s="370" t="str">
        <f t="shared" si="9"/>
        <v/>
      </c>
      <c r="U108" s="370" t="str">
        <f t="shared" si="10"/>
        <v/>
      </c>
      <c r="V108" s="386" t="str">
        <f>IF(D108="","",VLOOKUP(S108,'G-3 Multipliers'!$P$3:$Q$6,2,FALSE))</f>
        <v/>
      </c>
      <c r="W108" s="390" t="str">
        <f t="shared" si="11"/>
        <v/>
      </c>
      <c r="X108" s="117"/>
      <c r="Y108" s="118"/>
      <c r="Z108" s="120"/>
      <c r="AG108" s="30" t="str">
        <f>IFERROR(INDEX('G-6 Hedgerow Data'!$BJ$3:$BJ$15,MATCH(D108,'G-6 Hedgerow Data'!$B$3:$B$15,0)),"")</f>
        <v/>
      </c>
    </row>
    <row r="109" spans="2:33" ht="15">
      <c r="B109" s="110">
        <v>98</v>
      </c>
      <c r="C109" s="167"/>
      <c r="D109" s="159"/>
      <c r="E109" s="139"/>
      <c r="F109" s="411" t="str">
        <f>IF(D109="","",VLOOKUP(D109,'G-6 Hedgerow Data'!$B$2:$AG$15,2,FALSE))</f>
        <v/>
      </c>
      <c r="G109" s="363" t="str">
        <f>IF(D109="","",VLOOKUP(D109,'G-6 Hedgerow Data'!$B$2:$AG$15,3,FALSE))</f>
        <v/>
      </c>
      <c r="H109" s="114"/>
      <c r="I109" s="363" t="str">
        <f>IFERROR(VLOOKUP(H109,'G-1 All Habitats'!$Z$2:$AA$9,2,FALSE),"")</f>
        <v/>
      </c>
      <c r="J109" s="114"/>
      <c r="K109" s="382" t="str">
        <f>IF(J109="","",IF(VLOOKUP(J109,'G-3 Multipliers'!$L$3:$N$6,2,FALSE)=0,"Spatial Data Missing ⚠",VLOOKUP(J109,'G-3 Multipliers'!$L$3:$N$6,2,FALSE)))</f>
        <v/>
      </c>
      <c r="L109" s="368" t="str">
        <f>IF(J109="","",IF(VLOOKUP(J109,'G-3 Multipliers'!$L$3:$N$6,3,FALSE)=0,"Spatial Data Missing ⚠",VLOOKUP(J109,'G-3 Multipliers'!$L$3:$N$6,3,FALSE)))</f>
        <v/>
      </c>
      <c r="M109" s="362" t="str">
        <f>IF(OR(D109="",H109=""),"",(INDEX('G-6 Hedgerow Data'!$E$3:$I$15,MATCH(D109,'G-6 Hedgerow Data'!$B$3:$B$15,0),MATCH(H109,'G-6 Hedgerow Data'!$E$2:$I$2,0))))</f>
        <v/>
      </c>
      <c r="N109" s="159"/>
      <c r="O109" s="159"/>
      <c r="P109" s="370" t="str">
        <f t="shared" si="7"/>
        <v/>
      </c>
      <c r="Q109" s="383" t="str">
        <f t="shared" si="8"/>
        <v/>
      </c>
      <c r="R109" s="384" t="str">
        <f t="shared" si="6"/>
        <v/>
      </c>
      <c r="S109" s="398" t="str">
        <f>IF(D109="","",VLOOKUP(D109,'G-6 Hedgerow Data'!$B$3:$AG$15,31,FALSE))</f>
        <v/>
      </c>
      <c r="T109" s="370" t="str">
        <f t="shared" si="9"/>
        <v/>
      </c>
      <c r="U109" s="370" t="str">
        <f t="shared" si="10"/>
        <v/>
      </c>
      <c r="V109" s="386" t="str">
        <f>IF(D109="","",VLOOKUP(S109,'G-3 Multipliers'!$P$3:$Q$6,2,FALSE))</f>
        <v/>
      </c>
      <c r="W109" s="390" t="str">
        <f t="shared" si="11"/>
        <v/>
      </c>
      <c r="X109" s="117"/>
      <c r="Y109" s="118"/>
      <c r="Z109" s="120"/>
      <c r="AG109" s="30" t="str">
        <f>IFERROR(INDEX('G-6 Hedgerow Data'!$BJ$3:$BJ$15,MATCH(D109,'G-6 Hedgerow Data'!$B$3:$B$15,0)),"")</f>
        <v/>
      </c>
    </row>
    <row r="110" spans="2:33" ht="15">
      <c r="B110" s="110">
        <v>99</v>
      </c>
      <c r="C110" s="167"/>
      <c r="D110" s="159"/>
      <c r="E110" s="139"/>
      <c r="F110" s="411" t="str">
        <f>IF(D110="","",VLOOKUP(D110,'G-6 Hedgerow Data'!$B$2:$AG$15,2,FALSE))</f>
        <v/>
      </c>
      <c r="G110" s="363" t="str">
        <f>IF(D110="","",VLOOKUP(D110,'G-6 Hedgerow Data'!$B$2:$AG$15,3,FALSE))</f>
        <v/>
      </c>
      <c r="H110" s="114"/>
      <c r="I110" s="363" t="str">
        <f>IFERROR(VLOOKUP(H110,'G-1 All Habitats'!$Z$2:$AA$9,2,FALSE),"")</f>
        <v/>
      </c>
      <c r="J110" s="114"/>
      <c r="K110" s="382" t="str">
        <f>IF(J110="","",IF(VLOOKUP(J110,'G-3 Multipliers'!$L$3:$N$6,2,FALSE)=0,"Spatial Data Missing ⚠",VLOOKUP(J110,'G-3 Multipliers'!$L$3:$N$6,2,FALSE)))</f>
        <v/>
      </c>
      <c r="L110" s="368" t="str">
        <f>IF(J110="","",IF(VLOOKUP(J110,'G-3 Multipliers'!$L$3:$N$6,3,FALSE)=0,"Spatial Data Missing ⚠",VLOOKUP(J110,'G-3 Multipliers'!$L$3:$N$6,3,FALSE)))</f>
        <v/>
      </c>
      <c r="M110" s="362" t="str">
        <f>IF(OR(D110="",H110=""),"",(INDEX('G-6 Hedgerow Data'!$E$3:$I$15,MATCH(D110,'G-6 Hedgerow Data'!$B$3:$B$15,0),MATCH(H110,'G-6 Hedgerow Data'!$E$2:$I$2,0))))</f>
        <v/>
      </c>
      <c r="N110" s="159"/>
      <c r="O110" s="159"/>
      <c r="P110" s="370" t="str">
        <f t="shared" si="7"/>
        <v/>
      </c>
      <c r="Q110" s="383" t="str">
        <f t="shared" si="8"/>
        <v/>
      </c>
      <c r="R110" s="384" t="str">
        <f t="shared" si="6"/>
        <v/>
      </c>
      <c r="S110" s="398" t="str">
        <f>IF(D110="","",VLOOKUP(D110,'G-6 Hedgerow Data'!$B$3:$AG$15,31,FALSE))</f>
        <v/>
      </c>
      <c r="T110" s="370" t="str">
        <f t="shared" si="9"/>
        <v/>
      </c>
      <c r="U110" s="370" t="str">
        <f t="shared" si="10"/>
        <v/>
      </c>
      <c r="V110" s="386" t="str">
        <f>IF(D110="","",VLOOKUP(S110,'G-3 Multipliers'!$P$3:$Q$6,2,FALSE))</f>
        <v/>
      </c>
      <c r="W110" s="390" t="str">
        <f t="shared" si="11"/>
        <v/>
      </c>
      <c r="X110" s="117"/>
      <c r="Y110" s="118"/>
      <c r="Z110" s="120"/>
      <c r="AG110" s="30" t="str">
        <f>IFERROR(INDEX('G-6 Hedgerow Data'!$BJ$3:$BJ$15,MATCH(D110,'G-6 Hedgerow Data'!$B$3:$B$15,0)),"")</f>
        <v/>
      </c>
    </row>
    <row r="111" spans="2:33" ht="15">
      <c r="B111" s="110">
        <v>100</v>
      </c>
      <c r="C111" s="167"/>
      <c r="D111" s="159"/>
      <c r="E111" s="139"/>
      <c r="F111" s="411" t="str">
        <f>IF(D111="","",VLOOKUP(D111,'G-6 Hedgerow Data'!$B$2:$AG$15,2,FALSE))</f>
        <v/>
      </c>
      <c r="G111" s="363" t="str">
        <f>IF(D111="","",VLOOKUP(D111,'G-6 Hedgerow Data'!$B$2:$AG$15,3,FALSE))</f>
        <v/>
      </c>
      <c r="H111" s="114"/>
      <c r="I111" s="363" t="str">
        <f>IFERROR(VLOOKUP(H111,'G-1 All Habitats'!$Z$2:$AA$9,2,FALSE),"")</f>
        <v/>
      </c>
      <c r="J111" s="114"/>
      <c r="K111" s="382" t="str">
        <f>IF(J111="","",IF(VLOOKUP(J111,'G-3 Multipliers'!$L$3:$N$6,2,FALSE)=0,"Spatial Data Missing ⚠",VLOOKUP(J111,'G-3 Multipliers'!$L$3:$N$6,2,FALSE)))</f>
        <v/>
      </c>
      <c r="L111" s="368" t="str">
        <f>IF(J111="","",IF(VLOOKUP(J111,'G-3 Multipliers'!$L$3:$N$6,3,FALSE)=0,"Spatial Data Missing ⚠",VLOOKUP(J111,'G-3 Multipliers'!$L$3:$N$6,3,FALSE)))</f>
        <v/>
      </c>
      <c r="M111" s="362" t="str">
        <f>IF(OR(D111="",H111=""),"",(INDEX('G-6 Hedgerow Data'!$E$3:$I$15,MATCH(D111,'G-6 Hedgerow Data'!$B$3:$B$15,0),MATCH(H111,'G-6 Hedgerow Data'!$E$2:$I$2,0))))</f>
        <v/>
      </c>
      <c r="N111" s="159"/>
      <c r="O111" s="159"/>
      <c r="P111" s="370" t="str">
        <f t="shared" si="7"/>
        <v/>
      </c>
      <c r="Q111" s="383" t="str">
        <f t="shared" si="8"/>
        <v/>
      </c>
      <c r="R111" s="384" t="str">
        <f t="shared" si="6"/>
        <v/>
      </c>
      <c r="S111" s="398" t="str">
        <f>IF(D111="","",VLOOKUP(D111,'G-6 Hedgerow Data'!$B$3:$AG$15,31,FALSE))</f>
        <v/>
      </c>
      <c r="T111" s="370" t="str">
        <f t="shared" si="9"/>
        <v/>
      </c>
      <c r="U111" s="370" t="str">
        <f t="shared" si="10"/>
        <v/>
      </c>
      <c r="V111" s="386" t="str">
        <f>IF(D111="","",VLOOKUP(S111,'G-3 Multipliers'!$P$3:$Q$6,2,FALSE))</f>
        <v/>
      </c>
      <c r="W111" s="390" t="str">
        <f t="shared" si="11"/>
        <v/>
      </c>
      <c r="X111" s="117"/>
      <c r="Y111" s="118"/>
      <c r="Z111" s="120"/>
      <c r="AG111" s="30" t="str">
        <f>IFERROR(INDEX('G-6 Hedgerow Data'!$BJ$3:$BJ$15,MATCH(D111,'G-6 Hedgerow Data'!$B$3:$B$15,0)),"")</f>
        <v/>
      </c>
    </row>
    <row r="112" spans="2:33" ht="15">
      <c r="B112" s="110">
        <v>101</v>
      </c>
      <c r="C112" s="167"/>
      <c r="D112" s="159"/>
      <c r="E112" s="139"/>
      <c r="F112" s="411" t="str">
        <f>IF(D112="","",VLOOKUP(D112,'G-6 Hedgerow Data'!$B$2:$AG$15,2,FALSE))</f>
        <v/>
      </c>
      <c r="G112" s="363" t="str">
        <f>IF(D112="","",VLOOKUP(D112,'G-6 Hedgerow Data'!$B$2:$AG$15,3,FALSE))</f>
        <v/>
      </c>
      <c r="H112" s="114"/>
      <c r="I112" s="363" t="str">
        <f>IFERROR(VLOOKUP(H112,'G-1 All Habitats'!$Z$2:$AA$9,2,FALSE),"")</f>
        <v/>
      </c>
      <c r="J112" s="114"/>
      <c r="K112" s="382" t="str">
        <f>IF(J112="","",IF(VLOOKUP(J112,'G-3 Multipliers'!$L$3:$N$6,2,FALSE)=0,"Spatial Data Missing ⚠",VLOOKUP(J112,'G-3 Multipliers'!$L$3:$N$6,2,FALSE)))</f>
        <v/>
      </c>
      <c r="L112" s="368" t="str">
        <f>IF(J112="","",IF(VLOOKUP(J112,'G-3 Multipliers'!$L$3:$N$6,3,FALSE)=0,"Spatial Data Missing ⚠",VLOOKUP(J112,'G-3 Multipliers'!$L$3:$N$6,3,FALSE)))</f>
        <v/>
      </c>
      <c r="M112" s="362" t="str">
        <f>IF(OR(D112="",H112=""),"",(INDEX('G-6 Hedgerow Data'!$E$3:$I$15,MATCH(D112,'G-6 Hedgerow Data'!$B$3:$B$15,0),MATCH(H112,'G-6 Hedgerow Data'!$E$2:$I$2,0))))</f>
        <v/>
      </c>
      <c r="N112" s="159"/>
      <c r="O112" s="159"/>
      <c r="P112" s="370" t="str">
        <f t="shared" si="7"/>
        <v/>
      </c>
      <c r="Q112" s="383" t="str">
        <f t="shared" si="8"/>
        <v/>
      </c>
      <c r="R112" s="384" t="str">
        <f t="shared" si="6"/>
        <v/>
      </c>
      <c r="S112" s="398" t="str">
        <f>IF(D112="","",VLOOKUP(D112,'G-6 Hedgerow Data'!$B$3:$AG$15,31,FALSE))</f>
        <v/>
      </c>
      <c r="T112" s="370" t="str">
        <f t="shared" si="9"/>
        <v/>
      </c>
      <c r="U112" s="370" t="str">
        <f t="shared" si="10"/>
        <v/>
      </c>
      <c r="V112" s="386" t="str">
        <f>IF(D112="","",VLOOKUP(S112,'G-3 Multipliers'!$P$3:$Q$6,2,FALSE))</f>
        <v/>
      </c>
      <c r="W112" s="390" t="str">
        <f t="shared" si="11"/>
        <v/>
      </c>
      <c r="X112" s="117"/>
      <c r="Y112" s="118"/>
      <c r="Z112" s="120"/>
      <c r="AG112" s="30" t="str">
        <f>IFERROR(INDEX('G-6 Hedgerow Data'!$BJ$3:$BJ$15,MATCH(D112,'G-6 Hedgerow Data'!$B$3:$B$15,0)),"")</f>
        <v/>
      </c>
    </row>
    <row r="113" spans="2:33" ht="15">
      <c r="B113" s="110">
        <v>102</v>
      </c>
      <c r="C113" s="167"/>
      <c r="D113" s="159"/>
      <c r="E113" s="139"/>
      <c r="F113" s="411" t="str">
        <f>IF(D113="","",VLOOKUP(D113,'G-6 Hedgerow Data'!$B$2:$AG$15,2,FALSE))</f>
        <v/>
      </c>
      <c r="G113" s="363" t="str">
        <f>IF(D113="","",VLOOKUP(D113,'G-6 Hedgerow Data'!$B$2:$AG$15,3,FALSE))</f>
        <v/>
      </c>
      <c r="H113" s="114"/>
      <c r="I113" s="363" t="str">
        <f>IFERROR(VLOOKUP(H113,'G-1 All Habitats'!$Z$2:$AA$9,2,FALSE),"")</f>
        <v/>
      </c>
      <c r="J113" s="114"/>
      <c r="K113" s="382" t="str">
        <f>IF(J113="","",IF(VLOOKUP(J113,'G-3 Multipliers'!$L$3:$N$6,2,FALSE)=0,"Spatial Data Missing ⚠",VLOOKUP(J113,'G-3 Multipliers'!$L$3:$N$6,2,FALSE)))</f>
        <v/>
      </c>
      <c r="L113" s="368" t="str">
        <f>IF(J113="","",IF(VLOOKUP(J113,'G-3 Multipliers'!$L$3:$N$6,3,FALSE)=0,"Spatial Data Missing ⚠",VLOOKUP(J113,'G-3 Multipliers'!$L$3:$N$6,3,FALSE)))</f>
        <v/>
      </c>
      <c r="M113" s="362" t="str">
        <f>IF(OR(D113="",H113=""),"",(INDEX('G-6 Hedgerow Data'!$E$3:$I$15,MATCH(D113,'G-6 Hedgerow Data'!$B$3:$B$15,0),MATCH(H113,'G-6 Hedgerow Data'!$E$2:$I$2,0))))</f>
        <v/>
      </c>
      <c r="N113" s="159"/>
      <c r="O113" s="159"/>
      <c r="P113" s="370" t="str">
        <f t="shared" si="7"/>
        <v/>
      </c>
      <c r="Q113" s="383" t="str">
        <f t="shared" si="8"/>
        <v/>
      </c>
      <c r="R113" s="384" t="str">
        <f t="shared" si="6"/>
        <v/>
      </c>
      <c r="S113" s="398" t="str">
        <f>IF(D113="","",VLOOKUP(D113,'G-6 Hedgerow Data'!$B$3:$AG$15,31,FALSE))</f>
        <v/>
      </c>
      <c r="T113" s="370" t="str">
        <f t="shared" si="9"/>
        <v/>
      </c>
      <c r="U113" s="370" t="str">
        <f t="shared" si="10"/>
        <v/>
      </c>
      <c r="V113" s="386" t="str">
        <f>IF(D113="","",VLOOKUP(S113,'G-3 Multipliers'!$P$3:$Q$6,2,FALSE))</f>
        <v/>
      </c>
      <c r="W113" s="390" t="str">
        <f t="shared" si="11"/>
        <v/>
      </c>
      <c r="X113" s="117"/>
      <c r="Y113" s="118"/>
      <c r="Z113" s="120"/>
      <c r="AG113" s="30" t="str">
        <f>IFERROR(INDEX('G-6 Hedgerow Data'!$BJ$3:$BJ$15,MATCH(D113,'G-6 Hedgerow Data'!$B$3:$B$15,0)),"")</f>
        <v/>
      </c>
    </row>
    <row r="114" spans="2:33" ht="15">
      <c r="B114" s="110">
        <v>103</v>
      </c>
      <c r="C114" s="167"/>
      <c r="D114" s="159"/>
      <c r="E114" s="139"/>
      <c r="F114" s="411" t="str">
        <f>IF(D114="","",VLOOKUP(D114,'G-6 Hedgerow Data'!$B$2:$AG$15,2,FALSE))</f>
        <v/>
      </c>
      <c r="G114" s="363" t="str">
        <f>IF(D114="","",VLOOKUP(D114,'G-6 Hedgerow Data'!$B$2:$AG$15,3,FALSE))</f>
        <v/>
      </c>
      <c r="H114" s="114"/>
      <c r="I114" s="363" t="str">
        <f>IFERROR(VLOOKUP(H114,'G-1 All Habitats'!$Z$2:$AA$9,2,FALSE),"")</f>
        <v/>
      </c>
      <c r="J114" s="114"/>
      <c r="K114" s="382" t="str">
        <f>IF(J114="","",IF(VLOOKUP(J114,'G-3 Multipliers'!$L$3:$N$6,2,FALSE)=0,"Spatial Data Missing ⚠",VLOOKUP(J114,'G-3 Multipliers'!$L$3:$N$6,2,FALSE)))</f>
        <v/>
      </c>
      <c r="L114" s="368" t="str">
        <f>IF(J114="","",IF(VLOOKUP(J114,'G-3 Multipliers'!$L$3:$N$6,3,FALSE)=0,"Spatial Data Missing ⚠",VLOOKUP(J114,'G-3 Multipliers'!$L$3:$N$6,3,FALSE)))</f>
        <v/>
      </c>
      <c r="M114" s="362" t="str">
        <f>IF(OR(D114="",H114=""),"",(INDEX('G-6 Hedgerow Data'!$E$3:$I$15,MATCH(D114,'G-6 Hedgerow Data'!$B$3:$B$15,0),MATCH(H114,'G-6 Hedgerow Data'!$E$2:$I$2,0))))</f>
        <v/>
      </c>
      <c r="N114" s="159"/>
      <c r="O114" s="159"/>
      <c r="P114" s="370" t="str">
        <f t="shared" si="7"/>
        <v/>
      </c>
      <c r="Q114" s="383" t="str">
        <f t="shared" si="8"/>
        <v/>
      </c>
      <c r="R114" s="384" t="str">
        <f t="shared" si="6"/>
        <v/>
      </c>
      <c r="S114" s="398" t="str">
        <f>IF(D114="","",VLOOKUP(D114,'G-6 Hedgerow Data'!$B$3:$AG$15,31,FALSE))</f>
        <v/>
      </c>
      <c r="T114" s="370" t="str">
        <f t="shared" si="9"/>
        <v/>
      </c>
      <c r="U114" s="370" t="str">
        <f t="shared" si="10"/>
        <v/>
      </c>
      <c r="V114" s="386" t="str">
        <f>IF(D114="","",VLOOKUP(S114,'G-3 Multipliers'!$P$3:$Q$6,2,FALSE))</f>
        <v/>
      </c>
      <c r="W114" s="390" t="str">
        <f t="shared" si="11"/>
        <v/>
      </c>
      <c r="X114" s="117"/>
      <c r="Y114" s="118"/>
      <c r="Z114" s="120"/>
      <c r="AG114" s="30" t="str">
        <f>IFERROR(INDEX('G-6 Hedgerow Data'!$BJ$3:$BJ$15,MATCH(D114,'G-6 Hedgerow Data'!$B$3:$B$15,0)),"")</f>
        <v/>
      </c>
    </row>
    <row r="115" spans="2:33" ht="15">
      <c r="B115" s="110">
        <v>104</v>
      </c>
      <c r="C115" s="167"/>
      <c r="D115" s="159"/>
      <c r="E115" s="139"/>
      <c r="F115" s="411" t="str">
        <f>IF(D115="","",VLOOKUP(D115,'G-6 Hedgerow Data'!$B$2:$AG$15,2,FALSE))</f>
        <v/>
      </c>
      <c r="G115" s="363" t="str">
        <f>IF(D115="","",VLOOKUP(D115,'G-6 Hedgerow Data'!$B$2:$AG$15,3,FALSE))</f>
        <v/>
      </c>
      <c r="H115" s="114"/>
      <c r="I115" s="363" t="str">
        <f>IFERROR(VLOOKUP(H115,'G-1 All Habitats'!$Z$2:$AA$9,2,FALSE),"")</f>
        <v/>
      </c>
      <c r="J115" s="114"/>
      <c r="K115" s="382" t="str">
        <f>IF(J115="","",IF(VLOOKUP(J115,'G-3 Multipliers'!$L$3:$N$6,2,FALSE)=0,"Spatial Data Missing ⚠",VLOOKUP(J115,'G-3 Multipliers'!$L$3:$N$6,2,FALSE)))</f>
        <v/>
      </c>
      <c r="L115" s="368" t="str">
        <f>IF(J115="","",IF(VLOOKUP(J115,'G-3 Multipliers'!$L$3:$N$6,3,FALSE)=0,"Spatial Data Missing ⚠",VLOOKUP(J115,'G-3 Multipliers'!$L$3:$N$6,3,FALSE)))</f>
        <v/>
      </c>
      <c r="M115" s="362" t="str">
        <f>IF(OR(D115="",H115=""),"",(INDEX('G-6 Hedgerow Data'!$E$3:$I$15,MATCH(D115,'G-6 Hedgerow Data'!$B$3:$B$15,0),MATCH(H115,'G-6 Hedgerow Data'!$E$2:$I$2,0))))</f>
        <v/>
      </c>
      <c r="N115" s="159"/>
      <c r="O115" s="159"/>
      <c r="P115" s="370" t="str">
        <f t="shared" si="7"/>
        <v/>
      </c>
      <c r="Q115" s="383" t="str">
        <f t="shared" si="8"/>
        <v/>
      </c>
      <c r="R115" s="384" t="str">
        <f t="shared" si="6"/>
        <v/>
      </c>
      <c r="S115" s="398" t="str">
        <f>IF(D115="","",VLOOKUP(D115,'G-6 Hedgerow Data'!$B$3:$AG$15,31,FALSE))</f>
        <v/>
      </c>
      <c r="T115" s="370" t="str">
        <f t="shared" si="9"/>
        <v/>
      </c>
      <c r="U115" s="370" t="str">
        <f t="shared" si="10"/>
        <v/>
      </c>
      <c r="V115" s="386" t="str">
        <f>IF(D115="","",VLOOKUP(S115,'G-3 Multipliers'!$P$3:$Q$6,2,FALSE))</f>
        <v/>
      </c>
      <c r="W115" s="390" t="str">
        <f t="shared" si="11"/>
        <v/>
      </c>
      <c r="X115" s="117"/>
      <c r="Y115" s="118"/>
      <c r="Z115" s="120"/>
      <c r="AG115" s="30" t="str">
        <f>IFERROR(INDEX('G-6 Hedgerow Data'!$BJ$3:$BJ$15,MATCH(D115,'G-6 Hedgerow Data'!$B$3:$B$15,0)),"")</f>
        <v/>
      </c>
    </row>
    <row r="116" spans="2:33" ht="15">
      <c r="B116" s="110">
        <v>105</v>
      </c>
      <c r="C116" s="167"/>
      <c r="D116" s="159"/>
      <c r="E116" s="139"/>
      <c r="F116" s="411" t="str">
        <f>IF(D116="","",VLOOKUP(D116,'G-6 Hedgerow Data'!$B$2:$AG$15,2,FALSE))</f>
        <v/>
      </c>
      <c r="G116" s="363" t="str">
        <f>IF(D116="","",VLOOKUP(D116,'G-6 Hedgerow Data'!$B$2:$AG$15,3,FALSE))</f>
        <v/>
      </c>
      <c r="H116" s="114"/>
      <c r="I116" s="363" t="str">
        <f>IFERROR(VLOOKUP(H116,'G-1 All Habitats'!$Z$2:$AA$9,2,FALSE),"")</f>
        <v/>
      </c>
      <c r="J116" s="114"/>
      <c r="K116" s="382" t="str">
        <f>IF(J116="","",IF(VLOOKUP(J116,'G-3 Multipliers'!$L$3:$N$6,2,FALSE)=0,"Spatial Data Missing ⚠",VLOOKUP(J116,'G-3 Multipliers'!$L$3:$N$6,2,FALSE)))</f>
        <v/>
      </c>
      <c r="L116" s="368" t="str">
        <f>IF(J116="","",IF(VLOOKUP(J116,'G-3 Multipliers'!$L$3:$N$6,3,FALSE)=0,"Spatial Data Missing ⚠",VLOOKUP(J116,'G-3 Multipliers'!$L$3:$N$6,3,FALSE)))</f>
        <v/>
      </c>
      <c r="M116" s="362" t="str">
        <f>IF(OR(D116="",H116=""),"",(INDEX('G-6 Hedgerow Data'!$E$3:$I$15,MATCH(D116,'G-6 Hedgerow Data'!$B$3:$B$15,0),MATCH(H116,'G-6 Hedgerow Data'!$E$2:$I$2,0))))</f>
        <v/>
      </c>
      <c r="N116" s="159"/>
      <c r="O116" s="159"/>
      <c r="P116" s="370" t="str">
        <f t="shared" si="7"/>
        <v/>
      </c>
      <c r="Q116" s="383" t="str">
        <f t="shared" si="8"/>
        <v/>
      </c>
      <c r="R116" s="384" t="str">
        <f t="shared" si="6"/>
        <v/>
      </c>
      <c r="S116" s="398" t="str">
        <f>IF(D116="","",VLOOKUP(D116,'G-6 Hedgerow Data'!$B$3:$AG$15,31,FALSE))</f>
        <v/>
      </c>
      <c r="T116" s="370" t="str">
        <f t="shared" si="9"/>
        <v/>
      </c>
      <c r="U116" s="370" t="str">
        <f t="shared" si="10"/>
        <v/>
      </c>
      <c r="V116" s="386" t="str">
        <f>IF(D116="","",VLOOKUP(S116,'G-3 Multipliers'!$P$3:$Q$6,2,FALSE))</f>
        <v/>
      </c>
      <c r="W116" s="390" t="str">
        <f t="shared" si="11"/>
        <v/>
      </c>
      <c r="X116" s="117"/>
      <c r="Y116" s="118"/>
      <c r="Z116" s="120"/>
      <c r="AG116" s="30" t="str">
        <f>IFERROR(INDEX('G-6 Hedgerow Data'!$BJ$3:$BJ$15,MATCH(D116,'G-6 Hedgerow Data'!$B$3:$B$15,0)),"")</f>
        <v/>
      </c>
    </row>
    <row r="117" spans="2:33" ht="15">
      <c r="B117" s="110">
        <v>106</v>
      </c>
      <c r="C117" s="167"/>
      <c r="D117" s="159"/>
      <c r="E117" s="139"/>
      <c r="F117" s="411" t="str">
        <f>IF(D117="","",VLOOKUP(D117,'G-6 Hedgerow Data'!$B$2:$AG$15,2,FALSE))</f>
        <v/>
      </c>
      <c r="G117" s="363" t="str">
        <f>IF(D117="","",VLOOKUP(D117,'G-6 Hedgerow Data'!$B$2:$AG$15,3,FALSE))</f>
        <v/>
      </c>
      <c r="H117" s="114"/>
      <c r="I117" s="363" t="str">
        <f>IFERROR(VLOOKUP(H117,'G-1 All Habitats'!$Z$2:$AA$9,2,FALSE),"")</f>
        <v/>
      </c>
      <c r="J117" s="114"/>
      <c r="K117" s="382" t="str">
        <f>IF(J117="","",IF(VLOOKUP(J117,'G-3 Multipliers'!$L$3:$N$6,2,FALSE)=0,"Spatial Data Missing ⚠",VLOOKUP(J117,'G-3 Multipliers'!$L$3:$N$6,2,FALSE)))</f>
        <v/>
      </c>
      <c r="L117" s="368" t="str">
        <f>IF(J117="","",IF(VLOOKUP(J117,'G-3 Multipliers'!$L$3:$N$6,3,FALSE)=0,"Spatial Data Missing ⚠",VLOOKUP(J117,'G-3 Multipliers'!$L$3:$N$6,3,FALSE)))</f>
        <v/>
      </c>
      <c r="M117" s="362" t="str">
        <f>IF(OR(D117="",H117=""),"",(INDEX('G-6 Hedgerow Data'!$E$3:$I$15,MATCH(D117,'G-6 Hedgerow Data'!$B$3:$B$15,0),MATCH(H117,'G-6 Hedgerow Data'!$E$2:$I$2,0))))</f>
        <v/>
      </c>
      <c r="N117" s="159"/>
      <c r="O117" s="159"/>
      <c r="P117" s="370" t="str">
        <f t="shared" si="7"/>
        <v/>
      </c>
      <c r="Q117" s="383" t="str">
        <f t="shared" si="8"/>
        <v/>
      </c>
      <c r="R117" s="384" t="str">
        <f t="shared" si="6"/>
        <v/>
      </c>
      <c r="S117" s="398" t="str">
        <f>IF(D117="","",VLOOKUP(D117,'G-6 Hedgerow Data'!$B$3:$AG$15,31,FALSE))</f>
        <v/>
      </c>
      <c r="T117" s="370" t="str">
        <f t="shared" si="9"/>
        <v/>
      </c>
      <c r="U117" s="370" t="str">
        <f t="shared" si="10"/>
        <v/>
      </c>
      <c r="V117" s="386" t="str">
        <f>IF(D117="","",VLOOKUP(S117,'G-3 Multipliers'!$P$3:$Q$6,2,FALSE))</f>
        <v/>
      </c>
      <c r="W117" s="390" t="str">
        <f t="shared" si="11"/>
        <v/>
      </c>
      <c r="X117" s="117"/>
      <c r="Y117" s="118"/>
      <c r="Z117" s="120"/>
      <c r="AG117" s="30" t="str">
        <f>IFERROR(INDEX('G-6 Hedgerow Data'!$BJ$3:$BJ$15,MATCH(D117,'G-6 Hedgerow Data'!$B$3:$B$15,0)),"")</f>
        <v/>
      </c>
    </row>
    <row r="118" spans="2:33" ht="15">
      <c r="B118" s="110">
        <v>107</v>
      </c>
      <c r="C118" s="167"/>
      <c r="D118" s="159"/>
      <c r="E118" s="139"/>
      <c r="F118" s="411" t="str">
        <f>IF(D118="","",VLOOKUP(D118,'G-6 Hedgerow Data'!$B$2:$AG$15,2,FALSE))</f>
        <v/>
      </c>
      <c r="G118" s="363" t="str">
        <f>IF(D118="","",VLOOKUP(D118,'G-6 Hedgerow Data'!$B$2:$AG$15,3,FALSE))</f>
        <v/>
      </c>
      <c r="H118" s="114"/>
      <c r="I118" s="363" t="str">
        <f>IFERROR(VLOOKUP(H118,'G-1 All Habitats'!$Z$2:$AA$9,2,FALSE),"")</f>
        <v/>
      </c>
      <c r="J118" s="114"/>
      <c r="K118" s="382" t="str">
        <f>IF(J118="","",IF(VLOOKUP(J118,'G-3 Multipliers'!$L$3:$N$6,2,FALSE)=0,"Spatial Data Missing ⚠",VLOOKUP(J118,'G-3 Multipliers'!$L$3:$N$6,2,FALSE)))</f>
        <v/>
      </c>
      <c r="L118" s="368" t="str">
        <f>IF(J118="","",IF(VLOOKUP(J118,'G-3 Multipliers'!$L$3:$N$6,3,FALSE)=0,"Spatial Data Missing ⚠",VLOOKUP(J118,'G-3 Multipliers'!$L$3:$N$6,3,FALSE)))</f>
        <v/>
      </c>
      <c r="M118" s="362" t="str">
        <f>IF(OR(D118="",H118=""),"",(INDEX('G-6 Hedgerow Data'!$E$3:$I$15,MATCH(D118,'G-6 Hedgerow Data'!$B$3:$B$15,0),MATCH(H118,'G-6 Hedgerow Data'!$E$2:$I$2,0))))</f>
        <v/>
      </c>
      <c r="N118" s="159"/>
      <c r="O118" s="159"/>
      <c r="P118" s="370" t="str">
        <f t="shared" si="7"/>
        <v/>
      </c>
      <c r="Q118" s="383" t="str">
        <f t="shared" si="8"/>
        <v/>
      </c>
      <c r="R118" s="384" t="str">
        <f t="shared" si="6"/>
        <v/>
      </c>
      <c r="S118" s="398" t="str">
        <f>IF(D118="","",VLOOKUP(D118,'G-6 Hedgerow Data'!$B$3:$AG$15,31,FALSE))</f>
        <v/>
      </c>
      <c r="T118" s="370" t="str">
        <f t="shared" si="9"/>
        <v/>
      </c>
      <c r="U118" s="370" t="str">
        <f t="shared" si="10"/>
        <v/>
      </c>
      <c r="V118" s="386" t="str">
        <f>IF(D118="","",VLOOKUP(S118,'G-3 Multipliers'!$P$3:$Q$6,2,FALSE))</f>
        <v/>
      </c>
      <c r="W118" s="390" t="str">
        <f t="shared" si="11"/>
        <v/>
      </c>
      <c r="X118" s="117"/>
      <c r="Y118" s="118"/>
      <c r="Z118" s="120"/>
      <c r="AG118" s="30" t="str">
        <f>IFERROR(INDEX('G-6 Hedgerow Data'!$BJ$3:$BJ$15,MATCH(D118,'G-6 Hedgerow Data'!$B$3:$B$15,0)),"")</f>
        <v/>
      </c>
    </row>
    <row r="119" spans="2:33" ht="15">
      <c r="B119" s="110">
        <v>108</v>
      </c>
      <c r="C119" s="167"/>
      <c r="D119" s="159"/>
      <c r="E119" s="139"/>
      <c r="F119" s="411" t="str">
        <f>IF(D119="","",VLOOKUP(D119,'G-6 Hedgerow Data'!$B$2:$AG$15,2,FALSE))</f>
        <v/>
      </c>
      <c r="G119" s="363" t="str">
        <f>IF(D119="","",VLOOKUP(D119,'G-6 Hedgerow Data'!$B$2:$AG$15,3,FALSE))</f>
        <v/>
      </c>
      <c r="H119" s="114"/>
      <c r="I119" s="363" t="str">
        <f>IFERROR(VLOOKUP(H119,'G-1 All Habitats'!$Z$2:$AA$9,2,FALSE),"")</f>
        <v/>
      </c>
      <c r="J119" s="114"/>
      <c r="K119" s="382" t="str">
        <f>IF(J119="","",IF(VLOOKUP(J119,'G-3 Multipliers'!$L$3:$N$6,2,FALSE)=0,"Spatial Data Missing ⚠",VLOOKUP(J119,'G-3 Multipliers'!$L$3:$N$6,2,FALSE)))</f>
        <v/>
      </c>
      <c r="L119" s="368" t="str">
        <f>IF(J119="","",IF(VLOOKUP(J119,'G-3 Multipliers'!$L$3:$N$6,3,FALSE)=0,"Spatial Data Missing ⚠",VLOOKUP(J119,'G-3 Multipliers'!$L$3:$N$6,3,FALSE)))</f>
        <v/>
      </c>
      <c r="M119" s="362" t="str">
        <f>IF(OR(D119="",H119=""),"",(INDEX('G-6 Hedgerow Data'!$E$3:$I$15,MATCH(D119,'G-6 Hedgerow Data'!$B$3:$B$15,0),MATCH(H119,'G-6 Hedgerow Data'!$E$2:$I$2,0))))</f>
        <v/>
      </c>
      <c r="N119" s="159"/>
      <c r="O119" s="159"/>
      <c r="P119" s="370" t="str">
        <f t="shared" si="7"/>
        <v/>
      </c>
      <c r="Q119" s="383" t="str">
        <f t="shared" si="8"/>
        <v/>
      </c>
      <c r="R119" s="384" t="str">
        <f t="shared" si="6"/>
        <v/>
      </c>
      <c r="S119" s="398" t="str">
        <f>IF(D119="","",VLOOKUP(D119,'G-6 Hedgerow Data'!$B$3:$AG$15,31,FALSE))</f>
        <v/>
      </c>
      <c r="T119" s="370" t="str">
        <f t="shared" si="9"/>
        <v/>
      </c>
      <c r="U119" s="370" t="str">
        <f t="shared" si="10"/>
        <v/>
      </c>
      <c r="V119" s="386" t="str">
        <f>IF(D119="","",VLOOKUP(S119,'G-3 Multipliers'!$P$3:$Q$6,2,FALSE))</f>
        <v/>
      </c>
      <c r="W119" s="390" t="str">
        <f t="shared" si="11"/>
        <v/>
      </c>
      <c r="X119" s="117"/>
      <c r="Y119" s="118"/>
      <c r="Z119" s="120"/>
      <c r="AG119" s="30" t="str">
        <f>IFERROR(INDEX('G-6 Hedgerow Data'!$BJ$3:$BJ$15,MATCH(D119,'G-6 Hedgerow Data'!$B$3:$B$15,0)),"")</f>
        <v/>
      </c>
    </row>
    <row r="120" spans="2:33" ht="15">
      <c r="B120" s="110">
        <v>109</v>
      </c>
      <c r="C120" s="167"/>
      <c r="D120" s="159"/>
      <c r="E120" s="139"/>
      <c r="F120" s="411" t="str">
        <f>IF(D120="","",VLOOKUP(D120,'G-6 Hedgerow Data'!$B$2:$AG$15,2,FALSE))</f>
        <v/>
      </c>
      <c r="G120" s="363" t="str">
        <f>IF(D120="","",VLOOKUP(D120,'G-6 Hedgerow Data'!$B$2:$AG$15,3,FALSE))</f>
        <v/>
      </c>
      <c r="H120" s="114"/>
      <c r="I120" s="363" t="str">
        <f>IFERROR(VLOOKUP(H120,'G-1 All Habitats'!$Z$2:$AA$9,2,FALSE),"")</f>
        <v/>
      </c>
      <c r="J120" s="114"/>
      <c r="K120" s="382" t="str">
        <f>IF(J120="","",IF(VLOOKUP(J120,'G-3 Multipliers'!$L$3:$N$6,2,FALSE)=0,"Spatial Data Missing ⚠",VLOOKUP(J120,'G-3 Multipliers'!$L$3:$N$6,2,FALSE)))</f>
        <v/>
      </c>
      <c r="L120" s="368" t="str">
        <f>IF(J120="","",IF(VLOOKUP(J120,'G-3 Multipliers'!$L$3:$N$6,3,FALSE)=0,"Spatial Data Missing ⚠",VLOOKUP(J120,'G-3 Multipliers'!$L$3:$N$6,3,FALSE)))</f>
        <v/>
      </c>
      <c r="M120" s="362" t="str">
        <f>IF(OR(D120="",H120=""),"",(INDEX('G-6 Hedgerow Data'!$E$3:$I$15,MATCH(D120,'G-6 Hedgerow Data'!$B$3:$B$15,0),MATCH(H120,'G-6 Hedgerow Data'!$E$2:$I$2,0))))</f>
        <v/>
      </c>
      <c r="N120" s="159"/>
      <c r="O120" s="159"/>
      <c r="P120" s="370" t="str">
        <f t="shared" si="7"/>
        <v/>
      </c>
      <c r="Q120" s="383" t="str">
        <f t="shared" si="8"/>
        <v/>
      </c>
      <c r="R120" s="384" t="str">
        <f t="shared" si="6"/>
        <v/>
      </c>
      <c r="S120" s="398" t="str">
        <f>IF(D120="","",VLOOKUP(D120,'G-6 Hedgerow Data'!$B$3:$AG$15,31,FALSE))</f>
        <v/>
      </c>
      <c r="T120" s="370" t="str">
        <f t="shared" si="9"/>
        <v/>
      </c>
      <c r="U120" s="370" t="str">
        <f t="shared" si="10"/>
        <v/>
      </c>
      <c r="V120" s="386" t="str">
        <f>IF(D120="","",VLOOKUP(S120,'G-3 Multipliers'!$P$3:$Q$6,2,FALSE))</f>
        <v/>
      </c>
      <c r="W120" s="390" t="str">
        <f t="shared" si="11"/>
        <v/>
      </c>
      <c r="X120" s="117"/>
      <c r="Y120" s="118"/>
      <c r="Z120" s="120"/>
      <c r="AG120" s="30" t="str">
        <f>IFERROR(INDEX('G-6 Hedgerow Data'!$BJ$3:$BJ$15,MATCH(D120,'G-6 Hedgerow Data'!$B$3:$B$15,0)),"")</f>
        <v/>
      </c>
    </row>
    <row r="121" spans="2:33" ht="15">
      <c r="B121" s="110">
        <v>110</v>
      </c>
      <c r="C121" s="167"/>
      <c r="D121" s="159"/>
      <c r="E121" s="139"/>
      <c r="F121" s="411" t="str">
        <f>IF(D121="","",VLOOKUP(D121,'G-6 Hedgerow Data'!$B$2:$AG$15,2,FALSE))</f>
        <v/>
      </c>
      <c r="G121" s="363" t="str">
        <f>IF(D121="","",VLOOKUP(D121,'G-6 Hedgerow Data'!$B$2:$AG$15,3,FALSE))</f>
        <v/>
      </c>
      <c r="H121" s="114"/>
      <c r="I121" s="363" t="str">
        <f>IFERROR(VLOOKUP(H121,'G-1 All Habitats'!$Z$2:$AA$9,2,FALSE),"")</f>
        <v/>
      </c>
      <c r="J121" s="114"/>
      <c r="K121" s="382" t="str">
        <f>IF(J121="","",IF(VLOOKUP(J121,'G-3 Multipliers'!$L$3:$N$6,2,FALSE)=0,"Spatial Data Missing ⚠",VLOOKUP(J121,'G-3 Multipliers'!$L$3:$N$6,2,FALSE)))</f>
        <v/>
      </c>
      <c r="L121" s="368" t="str">
        <f>IF(J121="","",IF(VLOOKUP(J121,'G-3 Multipliers'!$L$3:$N$6,3,FALSE)=0,"Spatial Data Missing ⚠",VLOOKUP(J121,'G-3 Multipliers'!$L$3:$N$6,3,FALSE)))</f>
        <v/>
      </c>
      <c r="M121" s="362" t="str">
        <f>IF(OR(D121="",H121=""),"",(INDEX('G-6 Hedgerow Data'!$E$3:$I$15,MATCH(D121,'G-6 Hedgerow Data'!$B$3:$B$15,0),MATCH(H121,'G-6 Hedgerow Data'!$E$2:$I$2,0))))</f>
        <v/>
      </c>
      <c r="N121" s="159"/>
      <c r="O121" s="159"/>
      <c r="P121" s="370" t="str">
        <f t="shared" si="7"/>
        <v/>
      </c>
      <c r="Q121" s="383" t="str">
        <f t="shared" si="8"/>
        <v/>
      </c>
      <c r="R121" s="384" t="str">
        <f t="shared" si="6"/>
        <v/>
      </c>
      <c r="S121" s="398" t="str">
        <f>IF(D121="","",VLOOKUP(D121,'G-6 Hedgerow Data'!$B$3:$AG$15,31,FALSE))</f>
        <v/>
      </c>
      <c r="T121" s="370" t="str">
        <f t="shared" si="9"/>
        <v/>
      </c>
      <c r="U121" s="370" t="str">
        <f t="shared" si="10"/>
        <v/>
      </c>
      <c r="V121" s="386" t="str">
        <f>IF(D121="","",VLOOKUP(S121,'G-3 Multipliers'!$P$3:$Q$6,2,FALSE))</f>
        <v/>
      </c>
      <c r="W121" s="390" t="str">
        <f t="shared" si="11"/>
        <v/>
      </c>
      <c r="X121" s="117"/>
      <c r="Y121" s="118"/>
      <c r="Z121" s="120"/>
      <c r="AG121" s="30" t="str">
        <f>IFERROR(INDEX('G-6 Hedgerow Data'!$BJ$3:$BJ$15,MATCH(D121,'G-6 Hedgerow Data'!$B$3:$B$15,0)),"")</f>
        <v/>
      </c>
    </row>
    <row r="122" spans="2:33" ht="15">
      <c r="B122" s="110">
        <v>111</v>
      </c>
      <c r="C122" s="167"/>
      <c r="D122" s="159"/>
      <c r="E122" s="139"/>
      <c r="F122" s="411" t="str">
        <f>IF(D122="","",VLOOKUP(D122,'G-6 Hedgerow Data'!$B$2:$AG$15,2,FALSE))</f>
        <v/>
      </c>
      <c r="G122" s="363" t="str">
        <f>IF(D122="","",VLOOKUP(D122,'G-6 Hedgerow Data'!$B$2:$AG$15,3,FALSE))</f>
        <v/>
      </c>
      <c r="H122" s="114"/>
      <c r="I122" s="363" t="str">
        <f>IFERROR(VLOOKUP(H122,'G-1 All Habitats'!$Z$2:$AA$9,2,FALSE),"")</f>
        <v/>
      </c>
      <c r="J122" s="114"/>
      <c r="K122" s="382" t="str">
        <f>IF(J122="","",IF(VLOOKUP(J122,'G-3 Multipliers'!$L$3:$N$6,2,FALSE)=0,"Spatial Data Missing ⚠",VLOOKUP(J122,'G-3 Multipliers'!$L$3:$N$6,2,FALSE)))</f>
        <v/>
      </c>
      <c r="L122" s="368" t="str">
        <f>IF(J122="","",IF(VLOOKUP(J122,'G-3 Multipliers'!$L$3:$N$6,3,FALSE)=0,"Spatial Data Missing ⚠",VLOOKUP(J122,'G-3 Multipliers'!$L$3:$N$6,3,FALSE)))</f>
        <v/>
      </c>
      <c r="M122" s="362" t="str">
        <f>IF(OR(D122="",H122=""),"",(INDEX('G-6 Hedgerow Data'!$E$3:$I$15,MATCH(D122,'G-6 Hedgerow Data'!$B$3:$B$15,0),MATCH(H122,'G-6 Hedgerow Data'!$E$2:$I$2,0))))</f>
        <v/>
      </c>
      <c r="N122" s="159"/>
      <c r="O122" s="159"/>
      <c r="P122" s="370" t="str">
        <f t="shared" si="7"/>
        <v/>
      </c>
      <c r="Q122" s="383" t="str">
        <f t="shared" si="8"/>
        <v/>
      </c>
      <c r="R122" s="384" t="str">
        <f t="shared" si="6"/>
        <v/>
      </c>
      <c r="S122" s="398" t="str">
        <f>IF(D122="","",VLOOKUP(D122,'G-6 Hedgerow Data'!$B$3:$AG$15,31,FALSE))</f>
        <v/>
      </c>
      <c r="T122" s="370" t="str">
        <f t="shared" si="9"/>
        <v/>
      </c>
      <c r="U122" s="370" t="str">
        <f t="shared" si="10"/>
        <v/>
      </c>
      <c r="V122" s="386" t="str">
        <f>IF(D122="","",VLOOKUP(S122,'G-3 Multipliers'!$P$3:$Q$6,2,FALSE))</f>
        <v/>
      </c>
      <c r="W122" s="390" t="str">
        <f t="shared" si="11"/>
        <v/>
      </c>
      <c r="X122" s="117"/>
      <c r="Y122" s="118"/>
      <c r="Z122" s="120"/>
      <c r="AG122" s="30" t="str">
        <f>IFERROR(INDEX('G-6 Hedgerow Data'!$BJ$3:$BJ$15,MATCH(D122,'G-6 Hedgerow Data'!$B$3:$B$15,0)),"")</f>
        <v/>
      </c>
    </row>
    <row r="123" spans="2:33" ht="15">
      <c r="B123" s="110">
        <v>112</v>
      </c>
      <c r="C123" s="167"/>
      <c r="D123" s="159"/>
      <c r="E123" s="139"/>
      <c r="F123" s="411" t="str">
        <f>IF(D123="","",VLOOKUP(D123,'G-6 Hedgerow Data'!$B$2:$AG$15,2,FALSE))</f>
        <v/>
      </c>
      <c r="G123" s="363" t="str">
        <f>IF(D123="","",VLOOKUP(D123,'G-6 Hedgerow Data'!$B$2:$AG$15,3,FALSE))</f>
        <v/>
      </c>
      <c r="H123" s="114"/>
      <c r="I123" s="363" t="str">
        <f>IFERROR(VLOOKUP(H123,'G-1 All Habitats'!$Z$2:$AA$9,2,FALSE),"")</f>
        <v/>
      </c>
      <c r="J123" s="114"/>
      <c r="K123" s="382" t="str">
        <f>IF(J123="","",IF(VLOOKUP(J123,'G-3 Multipliers'!$L$3:$N$6,2,FALSE)=0,"Spatial Data Missing ⚠",VLOOKUP(J123,'G-3 Multipliers'!$L$3:$N$6,2,FALSE)))</f>
        <v/>
      </c>
      <c r="L123" s="368" t="str">
        <f>IF(J123="","",IF(VLOOKUP(J123,'G-3 Multipliers'!$L$3:$N$6,3,FALSE)=0,"Spatial Data Missing ⚠",VLOOKUP(J123,'G-3 Multipliers'!$L$3:$N$6,3,FALSE)))</f>
        <v/>
      </c>
      <c r="M123" s="362" t="str">
        <f>IF(OR(D123="",H123=""),"",(INDEX('G-6 Hedgerow Data'!$E$3:$I$15,MATCH(D123,'G-6 Hedgerow Data'!$B$3:$B$15,0),MATCH(H123,'G-6 Hedgerow Data'!$E$2:$I$2,0))))</f>
        <v/>
      </c>
      <c r="N123" s="159"/>
      <c r="O123" s="159"/>
      <c r="P123" s="370" t="str">
        <f t="shared" si="7"/>
        <v/>
      </c>
      <c r="Q123" s="383" t="str">
        <f t="shared" si="8"/>
        <v/>
      </c>
      <c r="R123" s="384" t="str">
        <f t="shared" si="6"/>
        <v/>
      </c>
      <c r="S123" s="398" t="str">
        <f>IF(D123="","",VLOOKUP(D123,'G-6 Hedgerow Data'!$B$3:$AG$15,31,FALSE))</f>
        <v/>
      </c>
      <c r="T123" s="370" t="str">
        <f t="shared" si="9"/>
        <v/>
      </c>
      <c r="U123" s="370" t="str">
        <f t="shared" si="10"/>
        <v/>
      </c>
      <c r="V123" s="386" t="str">
        <f>IF(D123="","",VLOOKUP(S123,'G-3 Multipliers'!$P$3:$Q$6,2,FALSE))</f>
        <v/>
      </c>
      <c r="W123" s="390" t="str">
        <f t="shared" si="11"/>
        <v/>
      </c>
      <c r="X123" s="117"/>
      <c r="Y123" s="118"/>
      <c r="Z123" s="120"/>
      <c r="AG123" s="30" t="str">
        <f>IFERROR(INDEX('G-6 Hedgerow Data'!$BJ$3:$BJ$15,MATCH(D123,'G-6 Hedgerow Data'!$B$3:$B$15,0)),"")</f>
        <v/>
      </c>
    </row>
    <row r="124" spans="2:33" ht="15">
      <c r="B124" s="110">
        <v>113</v>
      </c>
      <c r="C124" s="167"/>
      <c r="D124" s="159"/>
      <c r="E124" s="139"/>
      <c r="F124" s="411" t="str">
        <f>IF(D124="","",VLOOKUP(D124,'G-6 Hedgerow Data'!$B$2:$AG$15,2,FALSE))</f>
        <v/>
      </c>
      <c r="G124" s="363" t="str">
        <f>IF(D124="","",VLOOKUP(D124,'G-6 Hedgerow Data'!$B$2:$AG$15,3,FALSE))</f>
        <v/>
      </c>
      <c r="H124" s="114"/>
      <c r="I124" s="363" t="str">
        <f>IFERROR(VLOOKUP(H124,'G-1 All Habitats'!$Z$2:$AA$9,2,FALSE),"")</f>
        <v/>
      </c>
      <c r="J124" s="114"/>
      <c r="K124" s="382" t="str">
        <f>IF(J124="","",IF(VLOOKUP(J124,'G-3 Multipliers'!$L$3:$N$6,2,FALSE)=0,"Spatial Data Missing ⚠",VLOOKUP(J124,'G-3 Multipliers'!$L$3:$N$6,2,FALSE)))</f>
        <v/>
      </c>
      <c r="L124" s="368" t="str">
        <f>IF(J124="","",IF(VLOOKUP(J124,'G-3 Multipliers'!$L$3:$N$6,3,FALSE)=0,"Spatial Data Missing ⚠",VLOOKUP(J124,'G-3 Multipliers'!$L$3:$N$6,3,FALSE)))</f>
        <v/>
      </c>
      <c r="M124" s="362" t="str">
        <f>IF(OR(D124="",H124=""),"",(INDEX('G-6 Hedgerow Data'!$E$3:$I$15,MATCH(D124,'G-6 Hedgerow Data'!$B$3:$B$15,0),MATCH(H124,'G-6 Hedgerow Data'!$E$2:$I$2,0))))</f>
        <v/>
      </c>
      <c r="N124" s="159"/>
      <c r="O124" s="159"/>
      <c r="P124" s="370" t="str">
        <f t="shared" si="7"/>
        <v/>
      </c>
      <c r="Q124" s="383" t="str">
        <f t="shared" si="8"/>
        <v/>
      </c>
      <c r="R124" s="384" t="str">
        <f t="shared" si="6"/>
        <v/>
      </c>
      <c r="S124" s="398" t="str">
        <f>IF(D124="","",VLOOKUP(D124,'G-6 Hedgerow Data'!$B$3:$AG$15,31,FALSE))</f>
        <v/>
      </c>
      <c r="T124" s="370" t="str">
        <f t="shared" si="9"/>
        <v/>
      </c>
      <c r="U124" s="370" t="str">
        <f t="shared" si="10"/>
        <v/>
      </c>
      <c r="V124" s="386" t="str">
        <f>IF(D124="","",VLOOKUP(S124,'G-3 Multipliers'!$P$3:$Q$6,2,FALSE))</f>
        <v/>
      </c>
      <c r="W124" s="390" t="str">
        <f t="shared" si="11"/>
        <v/>
      </c>
      <c r="X124" s="117"/>
      <c r="Y124" s="118"/>
      <c r="Z124" s="120"/>
      <c r="AG124" s="30" t="str">
        <f>IFERROR(INDEX('G-6 Hedgerow Data'!$BJ$3:$BJ$15,MATCH(D124,'G-6 Hedgerow Data'!$B$3:$B$15,0)),"")</f>
        <v/>
      </c>
    </row>
    <row r="125" spans="2:33" ht="15">
      <c r="B125" s="110">
        <v>114</v>
      </c>
      <c r="C125" s="167"/>
      <c r="D125" s="159"/>
      <c r="E125" s="139"/>
      <c r="F125" s="411" t="str">
        <f>IF(D125="","",VLOOKUP(D125,'G-6 Hedgerow Data'!$B$2:$AG$15,2,FALSE))</f>
        <v/>
      </c>
      <c r="G125" s="363" t="str">
        <f>IF(D125="","",VLOOKUP(D125,'G-6 Hedgerow Data'!$B$2:$AG$15,3,FALSE))</f>
        <v/>
      </c>
      <c r="H125" s="114"/>
      <c r="I125" s="363" t="str">
        <f>IFERROR(VLOOKUP(H125,'G-1 All Habitats'!$Z$2:$AA$9,2,FALSE),"")</f>
        <v/>
      </c>
      <c r="J125" s="114"/>
      <c r="K125" s="382" t="str">
        <f>IF(J125="","",IF(VLOOKUP(J125,'G-3 Multipliers'!$L$3:$N$6,2,FALSE)=0,"Spatial Data Missing ⚠",VLOOKUP(J125,'G-3 Multipliers'!$L$3:$N$6,2,FALSE)))</f>
        <v/>
      </c>
      <c r="L125" s="368" t="str">
        <f>IF(J125="","",IF(VLOOKUP(J125,'G-3 Multipliers'!$L$3:$N$6,3,FALSE)=0,"Spatial Data Missing ⚠",VLOOKUP(J125,'G-3 Multipliers'!$L$3:$N$6,3,FALSE)))</f>
        <v/>
      </c>
      <c r="M125" s="362" t="str">
        <f>IF(OR(D125="",H125=""),"",(INDEX('G-6 Hedgerow Data'!$E$3:$I$15,MATCH(D125,'G-6 Hedgerow Data'!$B$3:$B$15,0),MATCH(H125,'G-6 Hedgerow Data'!$E$2:$I$2,0))))</f>
        <v/>
      </c>
      <c r="N125" s="159"/>
      <c r="O125" s="159"/>
      <c r="P125" s="370" t="str">
        <f t="shared" si="7"/>
        <v/>
      </c>
      <c r="Q125" s="383" t="str">
        <f t="shared" si="8"/>
        <v/>
      </c>
      <c r="R125" s="384" t="str">
        <f t="shared" si="6"/>
        <v/>
      </c>
      <c r="S125" s="398" t="str">
        <f>IF(D125="","",VLOOKUP(D125,'G-6 Hedgerow Data'!$B$3:$AG$15,31,FALSE))</f>
        <v/>
      </c>
      <c r="T125" s="370" t="str">
        <f t="shared" si="9"/>
        <v/>
      </c>
      <c r="U125" s="370" t="str">
        <f t="shared" si="10"/>
        <v/>
      </c>
      <c r="V125" s="386" t="str">
        <f>IF(D125="","",VLOOKUP(S125,'G-3 Multipliers'!$P$3:$Q$6,2,FALSE))</f>
        <v/>
      </c>
      <c r="W125" s="390" t="str">
        <f t="shared" si="11"/>
        <v/>
      </c>
      <c r="X125" s="117"/>
      <c r="Y125" s="118"/>
      <c r="Z125" s="120"/>
      <c r="AG125" s="30" t="str">
        <f>IFERROR(INDEX('G-6 Hedgerow Data'!$BJ$3:$BJ$15,MATCH(D125,'G-6 Hedgerow Data'!$B$3:$B$15,0)),"")</f>
        <v/>
      </c>
    </row>
    <row r="126" spans="2:33" ht="15">
      <c r="B126" s="110">
        <v>115</v>
      </c>
      <c r="C126" s="167"/>
      <c r="D126" s="159"/>
      <c r="E126" s="139"/>
      <c r="F126" s="411" t="str">
        <f>IF(D126="","",VLOOKUP(D126,'G-6 Hedgerow Data'!$B$2:$AG$15,2,FALSE))</f>
        <v/>
      </c>
      <c r="G126" s="363" t="str">
        <f>IF(D126="","",VLOOKUP(D126,'G-6 Hedgerow Data'!$B$2:$AG$15,3,FALSE))</f>
        <v/>
      </c>
      <c r="H126" s="114"/>
      <c r="I126" s="363" t="str">
        <f>IFERROR(VLOOKUP(H126,'G-1 All Habitats'!$Z$2:$AA$9,2,FALSE),"")</f>
        <v/>
      </c>
      <c r="J126" s="114"/>
      <c r="K126" s="382" t="str">
        <f>IF(J126="","",IF(VLOOKUP(J126,'G-3 Multipliers'!$L$3:$N$6,2,FALSE)=0,"Spatial Data Missing ⚠",VLOOKUP(J126,'G-3 Multipliers'!$L$3:$N$6,2,FALSE)))</f>
        <v/>
      </c>
      <c r="L126" s="368" t="str">
        <f>IF(J126="","",IF(VLOOKUP(J126,'G-3 Multipliers'!$L$3:$N$6,3,FALSE)=0,"Spatial Data Missing ⚠",VLOOKUP(J126,'G-3 Multipliers'!$L$3:$N$6,3,FALSE)))</f>
        <v/>
      </c>
      <c r="M126" s="362" t="str">
        <f>IF(OR(D126="",H126=""),"",(INDEX('G-6 Hedgerow Data'!$E$3:$I$15,MATCH(D126,'G-6 Hedgerow Data'!$B$3:$B$15,0),MATCH(H126,'G-6 Hedgerow Data'!$E$2:$I$2,0))))</f>
        <v/>
      </c>
      <c r="N126" s="159"/>
      <c r="O126" s="159"/>
      <c r="P126" s="370" t="str">
        <f t="shared" si="7"/>
        <v/>
      </c>
      <c r="Q126" s="383" t="str">
        <f t="shared" si="8"/>
        <v/>
      </c>
      <c r="R126" s="384" t="str">
        <f t="shared" si="6"/>
        <v/>
      </c>
      <c r="S126" s="398" t="str">
        <f>IF(D126="","",VLOOKUP(D126,'G-6 Hedgerow Data'!$B$3:$AG$15,31,FALSE))</f>
        <v/>
      </c>
      <c r="T126" s="370" t="str">
        <f t="shared" si="9"/>
        <v/>
      </c>
      <c r="U126" s="370" t="str">
        <f t="shared" si="10"/>
        <v/>
      </c>
      <c r="V126" s="386" t="str">
        <f>IF(D126="","",VLOOKUP(S126,'G-3 Multipliers'!$P$3:$Q$6,2,FALSE))</f>
        <v/>
      </c>
      <c r="W126" s="390" t="str">
        <f t="shared" si="11"/>
        <v/>
      </c>
      <c r="X126" s="117"/>
      <c r="Y126" s="118"/>
      <c r="Z126" s="120"/>
      <c r="AG126" s="30" t="str">
        <f>IFERROR(INDEX('G-6 Hedgerow Data'!$BJ$3:$BJ$15,MATCH(D126,'G-6 Hedgerow Data'!$B$3:$B$15,0)),"")</f>
        <v/>
      </c>
    </row>
    <row r="127" spans="2:33" ht="15">
      <c r="B127" s="110">
        <v>116</v>
      </c>
      <c r="C127" s="167"/>
      <c r="D127" s="159"/>
      <c r="E127" s="139"/>
      <c r="F127" s="411" t="str">
        <f>IF(D127="","",VLOOKUP(D127,'G-6 Hedgerow Data'!$B$2:$AG$15,2,FALSE))</f>
        <v/>
      </c>
      <c r="G127" s="363" t="str">
        <f>IF(D127="","",VLOOKUP(D127,'G-6 Hedgerow Data'!$B$2:$AG$15,3,FALSE))</f>
        <v/>
      </c>
      <c r="H127" s="114"/>
      <c r="I127" s="363" t="str">
        <f>IFERROR(VLOOKUP(H127,'G-1 All Habitats'!$Z$2:$AA$9,2,FALSE),"")</f>
        <v/>
      </c>
      <c r="J127" s="114"/>
      <c r="K127" s="382" t="str">
        <f>IF(J127="","",IF(VLOOKUP(J127,'G-3 Multipliers'!$L$3:$N$6,2,FALSE)=0,"Spatial Data Missing ⚠",VLOOKUP(J127,'G-3 Multipliers'!$L$3:$N$6,2,FALSE)))</f>
        <v/>
      </c>
      <c r="L127" s="368" t="str">
        <f>IF(J127="","",IF(VLOOKUP(J127,'G-3 Multipliers'!$L$3:$N$6,3,FALSE)=0,"Spatial Data Missing ⚠",VLOOKUP(J127,'G-3 Multipliers'!$L$3:$N$6,3,FALSE)))</f>
        <v/>
      </c>
      <c r="M127" s="362" t="str">
        <f>IF(OR(D127="",H127=""),"",(INDEX('G-6 Hedgerow Data'!$E$3:$I$15,MATCH(D127,'G-6 Hedgerow Data'!$B$3:$B$15,0),MATCH(H127,'G-6 Hedgerow Data'!$E$2:$I$2,0))))</f>
        <v/>
      </c>
      <c r="N127" s="159"/>
      <c r="O127" s="159"/>
      <c r="P127" s="370" t="str">
        <f t="shared" si="7"/>
        <v/>
      </c>
      <c r="Q127" s="383" t="str">
        <f t="shared" si="8"/>
        <v/>
      </c>
      <c r="R127" s="384" t="str">
        <f t="shared" si="6"/>
        <v/>
      </c>
      <c r="S127" s="398" t="str">
        <f>IF(D127="","",VLOOKUP(D127,'G-6 Hedgerow Data'!$B$3:$AG$15,31,FALSE))</f>
        <v/>
      </c>
      <c r="T127" s="370" t="str">
        <f t="shared" si="9"/>
        <v/>
      </c>
      <c r="U127" s="370" t="str">
        <f t="shared" si="10"/>
        <v/>
      </c>
      <c r="V127" s="386" t="str">
        <f>IF(D127="","",VLOOKUP(S127,'G-3 Multipliers'!$P$3:$Q$6,2,FALSE))</f>
        <v/>
      </c>
      <c r="W127" s="390" t="str">
        <f t="shared" si="11"/>
        <v/>
      </c>
      <c r="X127" s="117"/>
      <c r="Y127" s="118"/>
      <c r="Z127" s="120"/>
      <c r="AG127" s="30" t="str">
        <f>IFERROR(INDEX('G-6 Hedgerow Data'!$BJ$3:$BJ$15,MATCH(D127,'G-6 Hedgerow Data'!$B$3:$B$15,0)),"")</f>
        <v/>
      </c>
    </row>
    <row r="128" spans="2:33" ht="15">
      <c r="B128" s="110">
        <v>117</v>
      </c>
      <c r="C128" s="167"/>
      <c r="D128" s="159"/>
      <c r="E128" s="139"/>
      <c r="F128" s="411" t="str">
        <f>IF(D128="","",VLOOKUP(D128,'G-6 Hedgerow Data'!$B$2:$AG$15,2,FALSE))</f>
        <v/>
      </c>
      <c r="G128" s="363" t="str">
        <f>IF(D128="","",VLOOKUP(D128,'G-6 Hedgerow Data'!$B$2:$AG$15,3,FALSE))</f>
        <v/>
      </c>
      <c r="H128" s="114"/>
      <c r="I128" s="363" t="str">
        <f>IFERROR(VLOOKUP(H128,'G-1 All Habitats'!$Z$2:$AA$9,2,FALSE),"")</f>
        <v/>
      </c>
      <c r="J128" s="114"/>
      <c r="K128" s="382" t="str">
        <f>IF(J128="","",IF(VLOOKUP(J128,'G-3 Multipliers'!$L$3:$N$6,2,FALSE)=0,"Spatial Data Missing ⚠",VLOOKUP(J128,'G-3 Multipliers'!$L$3:$N$6,2,FALSE)))</f>
        <v/>
      </c>
      <c r="L128" s="368" t="str">
        <f>IF(J128="","",IF(VLOOKUP(J128,'G-3 Multipliers'!$L$3:$N$6,3,FALSE)=0,"Spatial Data Missing ⚠",VLOOKUP(J128,'G-3 Multipliers'!$L$3:$N$6,3,FALSE)))</f>
        <v/>
      </c>
      <c r="M128" s="362" t="str">
        <f>IF(OR(D128="",H128=""),"",(INDEX('G-6 Hedgerow Data'!$E$3:$I$15,MATCH(D128,'G-6 Hedgerow Data'!$B$3:$B$15,0),MATCH(H128,'G-6 Hedgerow Data'!$E$2:$I$2,0))))</f>
        <v/>
      </c>
      <c r="N128" s="159"/>
      <c r="O128" s="159"/>
      <c r="P128" s="370" t="str">
        <f t="shared" si="7"/>
        <v/>
      </c>
      <c r="Q128" s="383" t="str">
        <f t="shared" si="8"/>
        <v/>
      </c>
      <c r="R128" s="384" t="str">
        <f t="shared" si="6"/>
        <v/>
      </c>
      <c r="S128" s="398" t="str">
        <f>IF(D128="","",VLOOKUP(D128,'G-6 Hedgerow Data'!$B$3:$AG$15,31,FALSE))</f>
        <v/>
      </c>
      <c r="T128" s="370" t="str">
        <f t="shared" si="9"/>
        <v/>
      </c>
      <c r="U128" s="370" t="str">
        <f t="shared" si="10"/>
        <v/>
      </c>
      <c r="V128" s="386" t="str">
        <f>IF(D128="","",VLOOKUP(S128,'G-3 Multipliers'!$P$3:$Q$6,2,FALSE))</f>
        <v/>
      </c>
      <c r="W128" s="390" t="str">
        <f t="shared" si="11"/>
        <v/>
      </c>
      <c r="X128" s="117"/>
      <c r="Y128" s="118"/>
      <c r="Z128" s="120"/>
      <c r="AG128" s="30" t="str">
        <f>IFERROR(INDEX('G-6 Hedgerow Data'!$BJ$3:$BJ$15,MATCH(D128,'G-6 Hedgerow Data'!$B$3:$B$15,0)),"")</f>
        <v/>
      </c>
    </row>
    <row r="129" spans="2:33" ht="15">
      <c r="B129" s="110">
        <v>118</v>
      </c>
      <c r="C129" s="167"/>
      <c r="D129" s="159"/>
      <c r="E129" s="139"/>
      <c r="F129" s="411" t="str">
        <f>IF(D129="","",VLOOKUP(D129,'G-6 Hedgerow Data'!$B$2:$AG$15,2,FALSE))</f>
        <v/>
      </c>
      <c r="G129" s="363" t="str">
        <f>IF(D129="","",VLOOKUP(D129,'G-6 Hedgerow Data'!$B$2:$AG$15,3,FALSE))</f>
        <v/>
      </c>
      <c r="H129" s="114"/>
      <c r="I129" s="363" t="str">
        <f>IFERROR(VLOOKUP(H129,'G-1 All Habitats'!$Z$2:$AA$9,2,FALSE),"")</f>
        <v/>
      </c>
      <c r="J129" s="114"/>
      <c r="K129" s="382" t="str">
        <f>IF(J129="","",IF(VLOOKUP(J129,'G-3 Multipliers'!$L$3:$N$6,2,FALSE)=0,"Spatial Data Missing ⚠",VLOOKUP(J129,'G-3 Multipliers'!$L$3:$N$6,2,FALSE)))</f>
        <v/>
      </c>
      <c r="L129" s="368" t="str">
        <f>IF(J129="","",IF(VLOOKUP(J129,'G-3 Multipliers'!$L$3:$N$6,3,FALSE)=0,"Spatial Data Missing ⚠",VLOOKUP(J129,'G-3 Multipliers'!$L$3:$N$6,3,FALSE)))</f>
        <v/>
      </c>
      <c r="M129" s="362" t="str">
        <f>IF(OR(D129="",H129=""),"",(INDEX('G-6 Hedgerow Data'!$E$3:$I$15,MATCH(D129,'G-6 Hedgerow Data'!$B$3:$B$15,0),MATCH(H129,'G-6 Hedgerow Data'!$E$2:$I$2,0))))</f>
        <v/>
      </c>
      <c r="N129" s="159"/>
      <c r="O129" s="159"/>
      <c r="P129" s="370" t="str">
        <f t="shared" si="7"/>
        <v/>
      </c>
      <c r="Q129" s="383" t="str">
        <f t="shared" si="8"/>
        <v/>
      </c>
      <c r="R129" s="384" t="str">
        <f t="shared" si="6"/>
        <v/>
      </c>
      <c r="S129" s="398" t="str">
        <f>IF(D129="","",VLOOKUP(D129,'G-6 Hedgerow Data'!$B$3:$AG$15,31,FALSE))</f>
        <v/>
      </c>
      <c r="T129" s="370" t="str">
        <f t="shared" si="9"/>
        <v/>
      </c>
      <c r="U129" s="370" t="str">
        <f t="shared" si="10"/>
        <v/>
      </c>
      <c r="V129" s="386" t="str">
        <f>IF(D129="","",VLOOKUP(S129,'G-3 Multipliers'!$P$3:$Q$6,2,FALSE))</f>
        <v/>
      </c>
      <c r="W129" s="390" t="str">
        <f t="shared" si="11"/>
        <v/>
      </c>
      <c r="X129" s="117"/>
      <c r="Y129" s="118"/>
      <c r="Z129" s="120"/>
      <c r="AG129" s="30" t="str">
        <f>IFERROR(INDEX('G-6 Hedgerow Data'!$BJ$3:$BJ$15,MATCH(D129,'G-6 Hedgerow Data'!$B$3:$B$15,0)),"")</f>
        <v/>
      </c>
    </row>
    <row r="130" spans="2:33" ht="15">
      <c r="B130" s="110">
        <v>119</v>
      </c>
      <c r="C130" s="167"/>
      <c r="D130" s="159"/>
      <c r="E130" s="139"/>
      <c r="F130" s="411" t="str">
        <f>IF(D130="","",VLOOKUP(D130,'G-6 Hedgerow Data'!$B$2:$AG$15,2,FALSE))</f>
        <v/>
      </c>
      <c r="G130" s="363" t="str">
        <f>IF(D130="","",VLOOKUP(D130,'G-6 Hedgerow Data'!$B$2:$AG$15,3,FALSE))</f>
        <v/>
      </c>
      <c r="H130" s="114"/>
      <c r="I130" s="363" t="str">
        <f>IFERROR(VLOOKUP(H130,'G-1 All Habitats'!$Z$2:$AA$9,2,FALSE),"")</f>
        <v/>
      </c>
      <c r="J130" s="114"/>
      <c r="K130" s="382" t="str">
        <f>IF(J130="","",IF(VLOOKUP(J130,'G-3 Multipliers'!$L$3:$N$6,2,FALSE)=0,"Spatial Data Missing ⚠",VLOOKUP(J130,'G-3 Multipliers'!$L$3:$N$6,2,FALSE)))</f>
        <v/>
      </c>
      <c r="L130" s="368" t="str">
        <f>IF(J130="","",IF(VLOOKUP(J130,'G-3 Multipliers'!$L$3:$N$6,3,FALSE)=0,"Spatial Data Missing ⚠",VLOOKUP(J130,'G-3 Multipliers'!$L$3:$N$6,3,FALSE)))</f>
        <v/>
      </c>
      <c r="M130" s="362" t="str">
        <f>IF(OR(D130="",H130=""),"",(INDEX('G-6 Hedgerow Data'!$E$3:$I$15,MATCH(D130,'G-6 Hedgerow Data'!$B$3:$B$15,0),MATCH(H130,'G-6 Hedgerow Data'!$E$2:$I$2,0))))</f>
        <v/>
      </c>
      <c r="N130" s="159"/>
      <c r="O130" s="159"/>
      <c r="P130" s="370" t="str">
        <f t="shared" si="7"/>
        <v/>
      </c>
      <c r="Q130" s="383" t="str">
        <f t="shared" si="8"/>
        <v/>
      </c>
      <c r="R130" s="384" t="str">
        <f t="shared" si="6"/>
        <v/>
      </c>
      <c r="S130" s="398" t="str">
        <f>IF(D130="","",VLOOKUP(D130,'G-6 Hedgerow Data'!$B$3:$AG$15,31,FALSE))</f>
        <v/>
      </c>
      <c r="T130" s="370" t="str">
        <f t="shared" si="9"/>
        <v/>
      </c>
      <c r="U130" s="370" t="str">
        <f t="shared" si="10"/>
        <v/>
      </c>
      <c r="V130" s="386" t="str">
        <f>IF(D130="","",VLOOKUP(S130,'G-3 Multipliers'!$P$3:$Q$6,2,FALSE))</f>
        <v/>
      </c>
      <c r="W130" s="390" t="str">
        <f t="shared" si="11"/>
        <v/>
      </c>
      <c r="X130" s="117"/>
      <c r="Y130" s="118"/>
      <c r="Z130" s="120"/>
      <c r="AG130" s="30" t="str">
        <f>IFERROR(INDEX('G-6 Hedgerow Data'!$BJ$3:$BJ$15,MATCH(D130,'G-6 Hedgerow Data'!$B$3:$B$15,0)),"")</f>
        <v/>
      </c>
    </row>
    <row r="131" spans="2:33" ht="15">
      <c r="B131" s="110">
        <v>120</v>
      </c>
      <c r="C131" s="167"/>
      <c r="D131" s="159"/>
      <c r="E131" s="139"/>
      <c r="F131" s="411" t="str">
        <f>IF(D131="","",VLOOKUP(D131,'G-6 Hedgerow Data'!$B$2:$AG$15,2,FALSE))</f>
        <v/>
      </c>
      <c r="G131" s="363" t="str">
        <f>IF(D131="","",VLOOKUP(D131,'G-6 Hedgerow Data'!$B$2:$AG$15,3,FALSE))</f>
        <v/>
      </c>
      <c r="H131" s="114"/>
      <c r="I131" s="363" t="str">
        <f>IFERROR(VLOOKUP(H131,'G-1 All Habitats'!$Z$2:$AA$9,2,FALSE),"")</f>
        <v/>
      </c>
      <c r="J131" s="114"/>
      <c r="K131" s="382" t="str">
        <f>IF(J131="","",IF(VLOOKUP(J131,'G-3 Multipliers'!$L$3:$N$6,2,FALSE)=0,"Spatial Data Missing ⚠",VLOOKUP(J131,'G-3 Multipliers'!$L$3:$N$6,2,FALSE)))</f>
        <v/>
      </c>
      <c r="L131" s="368" t="str">
        <f>IF(J131="","",IF(VLOOKUP(J131,'G-3 Multipliers'!$L$3:$N$6,3,FALSE)=0,"Spatial Data Missing ⚠",VLOOKUP(J131,'G-3 Multipliers'!$L$3:$N$6,3,FALSE)))</f>
        <v/>
      </c>
      <c r="M131" s="362" t="str">
        <f>IF(OR(D131="",H131=""),"",(INDEX('G-6 Hedgerow Data'!$E$3:$I$15,MATCH(D131,'G-6 Hedgerow Data'!$B$3:$B$15,0),MATCH(H131,'G-6 Hedgerow Data'!$E$2:$I$2,0))))</f>
        <v/>
      </c>
      <c r="N131" s="159"/>
      <c r="O131" s="159"/>
      <c r="P131" s="370" t="str">
        <f t="shared" si="7"/>
        <v/>
      </c>
      <c r="Q131" s="383" t="str">
        <f t="shared" si="8"/>
        <v/>
      </c>
      <c r="R131" s="384" t="str">
        <f t="shared" si="6"/>
        <v/>
      </c>
      <c r="S131" s="398" t="str">
        <f>IF(D131="","",VLOOKUP(D131,'G-6 Hedgerow Data'!$B$3:$AG$15,31,FALSE))</f>
        <v/>
      </c>
      <c r="T131" s="370" t="str">
        <f t="shared" si="9"/>
        <v/>
      </c>
      <c r="U131" s="370" t="str">
        <f t="shared" si="10"/>
        <v/>
      </c>
      <c r="V131" s="386" t="str">
        <f>IF(D131="","",VLOOKUP(S131,'G-3 Multipliers'!$P$3:$Q$6,2,FALSE))</f>
        <v/>
      </c>
      <c r="W131" s="390" t="str">
        <f t="shared" si="11"/>
        <v/>
      </c>
      <c r="X131" s="117"/>
      <c r="Y131" s="118"/>
      <c r="Z131" s="120"/>
      <c r="AG131" s="30" t="str">
        <f>IFERROR(INDEX('G-6 Hedgerow Data'!$BJ$3:$BJ$15,MATCH(D131,'G-6 Hedgerow Data'!$B$3:$B$15,0)),"")</f>
        <v/>
      </c>
    </row>
    <row r="132" spans="2:33" ht="15">
      <c r="B132" s="110">
        <v>121</v>
      </c>
      <c r="C132" s="167"/>
      <c r="D132" s="159"/>
      <c r="E132" s="139"/>
      <c r="F132" s="411" t="str">
        <f>IF(D132="","",VLOOKUP(D132,'G-6 Hedgerow Data'!$B$2:$AG$15,2,FALSE))</f>
        <v/>
      </c>
      <c r="G132" s="363" t="str">
        <f>IF(D132="","",VLOOKUP(D132,'G-6 Hedgerow Data'!$B$2:$AG$15,3,FALSE))</f>
        <v/>
      </c>
      <c r="H132" s="114"/>
      <c r="I132" s="363" t="str">
        <f>IFERROR(VLOOKUP(H132,'G-1 All Habitats'!$Z$2:$AA$9,2,FALSE),"")</f>
        <v/>
      </c>
      <c r="J132" s="114"/>
      <c r="K132" s="382" t="str">
        <f>IF(J132="","",IF(VLOOKUP(J132,'G-3 Multipliers'!$L$3:$N$6,2,FALSE)=0,"Spatial Data Missing ⚠",VLOOKUP(J132,'G-3 Multipliers'!$L$3:$N$6,2,FALSE)))</f>
        <v/>
      </c>
      <c r="L132" s="368" t="str">
        <f>IF(J132="","",IF(VLOOKUP(J132,'G-3 Multipliers'!$L$3:$N$6,3,FALSE)=0,"Spatial Data Missing ⚠",VLOOKUP(J132,'G-3 Multipliers'!$L$3:$N$6,3,FALSE)))</f>
        <v/>
      </c>
      <c r="M132" s="362" t="str">
        <f>IF(OR(D132="",H132=""),"",(INDEX('G-6 Hedgerow Data'!$E$3:$I$15,MATCH(D132,'G-6 Hedgerow Data'!$B$3:$B$15,0),MATCH(H132,'G-6 Hedgerow Data'!$E$2:$I$2,0))))</f>
        <v/>
      </c>
      <c r="N132" s="159"/>
      <c r="O132" s="159"/>
      <c r="P132" s="370" t="str">
        <f t="shared" si="7"/>
        <v/>
      </c>
      <c r="Q132" s="383" t="str">
        <f t="shared" si="8"/>
        <v/>
      </c>
      <c r="R132" s="384" t="str">
        <f t="shared" si="6"/>
        <v/>
      </c>
      <c r="S132" s="398" t="str">
        <f>IF(D132="","",VLOOKUP(D132,'G-6 Hedgerow Data'!$B$3:$AG$15,31,FALSE))</f>
        <v/>
      </c>
      <c r="T132" s="370" t="str">
        <f t="shared" si="9"/>
        <v/>
      </c>
      <c r="U132" s="370" t="str">
        <f t="shared" si="10"/>
        <v/>
      </c>
      <c r="V132" s="386" t="str">
        <f>IF(D132="","",VLOOKUP(S132,'G-3 Multipliers'!$P$3:$Q$6,2,FALSE))</f>
        <v/>
      </c>
      <c r="W132" s="390" t="str">
        <f t="shared" si="11"/>
        <v/>
      </c>
      <c r="X132" s="117"/>
      <c r="Y132" s="118"/>
      <c r="Z132" s="120"/>
      <c r="AG132" s="30" t="str">
        <f>IFERROR(INDEX('G-6 Hedgerow Data'!$BJ$3:$BJ$15,MATCH(D132,'G-6 Hedgerow Data'!$B$3:$B$15,0)),"")</f>
        <v/>
      </c>
    </row>
    <row r="133" spans="2:33" ht="15">
      <c r="B133" s="110">
        <v>122</v>
      </c>
      <c r="C133" s="167"/>
      <c r="D133" s="159"/>
      <c r="E133" s="139"/>
      <c r="F133" s="411" t="str">
        <f>IF(D133="","",VLOOKUP(D133,'G-6 Hedgerow Data'!$B$2:$AG$15,2,FALSE))</f>
        <v/>
      </c>
      <c r="G133" s="363" t="str">
        <f>IF(D133="","",VLOOKUP(D133,'G-6 Hedgerow Data'!$B$2:$AG$15,3,FALSE))</f>
        <v/>
      </c>
      <c r="H133" s="114"/>
      <c r="I133" s="363" t="str">
        <f>IFERROR(VLOOKUP(H133,'G-1 All Habitats'!$Z$2:$AA$9,2,FALSE),"")</f>
        <v/>
      </c>
      <c r="J133" s="114"/>
      <c r="K133" s="382" t="str">
        <f>IF(J133="","",IF(VLOOKUP(J133,'G-3 Multipliers'!$L$3:$N$6,2,FALSE)=0,"Spatial Data Missing ⚠",VLOOKUP(J133,'G-3 Multipliers'!$L$3:$N$6,2,FALSE)))</f>
        <v/>
      </c>
      <c r="L133" s="368" t="str">
        <f>IF(J133="","",IF(VLOOKUP(J133,'G-3 Multipliers'!$L$3:$N$6,3,FALSE)=0,"Spatial Data Missing ⚠",VLOOKUP(J133,'G-3 Multipliers'!$L$3:$N$6,3,FALSE)))</f>
        <v/>
      </c>
      <c r="M133" s="362" t="str">
        <f>IF(OR(D133="",H133=""),"",(INDEX('G-6 Hedgerow Data'!$E$3:$I$15,MATCH(D133,'G-6 Hedgerow Data'!$B$3:$B$15,0),MATCH(H133,'G-6 Hedgerow Data'!$E$2:$I$2,0))))</f>
        <v/>
      </c>
      <c r="N133" s="159"/>
      <c r="O133" s="159"/>
      <c r="P133" s="370" t="str">
        <f t="shared" si="7"/>
        <v/>
      </c>
      <c r="Q133" s="383" t="str">
        <f t="shared" si="8"/>
        <v/>
      </c>
      <c r="R133" s="384" t="str">
        <f t="shared" si="6"/>
        <v/>
      </c>
      <c r="S133" s="398" t="str">
        <f>IF(D133="","",VLOOKUP(D133,'G-6 Hedgerow Data'!$B$3:$AG$15,31,FALSE))</f>
        <v/>
      </c>
      <c r="T133" s="370" t="str">
        <f t="shared" si="9"/>
        <v/>
      </c>
      <c r="U133" s="370" t="str">
        <f t="shared" si="10"/>
        <v/>
      </c>
      <c r="V133" s="386" t="str">
        <f>IF(D133="","",VLOOKUP(S133,'G-3 Multipliers'!$P$3:$Q$6,2,FALSE))</f>
        <v/>
      </c>
      <c r="W133" s="390" t="str">
        <f t="shared" si="11"/>
        <v/>
      </c>
      <c r="X133" s="117"/>
      <c r="Y133" s="118"/>
      <c r="Z133" s="120"/>
      <c r="AG133" s="30" t="str">
        <f>IFERROR(INDEX('G-6 Hedgerow Data'!$BJ$3:$BJ$15,MATCH(D133,'G-6 Hedgerow Data'!$B$3:$B$15,0)),"")</f>
        <v/>
      </c>
    </row>
    <row r="134" spans="2:33" ht="15">
      <c r="B134" s="110">
        <v>123</v>
      </c>
      <c r="C134" s="167"/>
      <c r="D134" s="159"/>
      <c r="E134" s="139"/>
      <c r="F134" s="411" t="str">
        <f>IF(D134="","",VLOOKUP(D134,'G-6 Hedgerow Data'!$B$2:$AG$15,2,FALSE))</f>
        <v/>
      </c>
      <c r="G134" s="363" t="str">
        <f>IF(D134="","",VLOOKUP(D134,'G-6 Hedgerow Data'!$B$2:$AG$15,3,FALSE))</f>
        <v/>
      </c>
      <c r="H134" s="114"/>
      <c r="I134" s="363" t="str">
        <f>IFERROR(VLOOKUP(H134,'G-1 All Habitats'!$Z$2:$AA$9,2,FALSE),"")</f>
        <v/>
      </c>
      <c r="J134" s="114"/>
      <c r="K134" s="382" t="str">
        <f>IF(J134="","",IF(VLOOKUP(J134,'G-3 Multipliers'!$L$3:$N$6,2,FALSE)=0,"Spatial Data Missing ⚠",VLOOKUP(J134,'G-3 Multipliers'!$L$3:$N$6,2,FALSE)))</f>
        <v/>
      </c>
      <c r="L134" s="368" t="str">
        <f>IF(J134="","",IF(VLOOKUP(J134,'G-3 Multipliers'!$L$3:$N$6,3,FALSE)=0,"Spatial Data Missing ⚠",VLOOKUP(J134,'G-3 Multipliers'!$L$3:$N$6,3,FALSE)))</f>
        <v/>
      </c>
      <c r="M134" s="362" t="str">
        <f>IF(OR(D134="",H134=""),"",(INDEX('G-6 Hedgerow Data'!$E$3:$I$15,MATCH(D134,'G-6 Hedgerow Data'!$B$3:$B$15,0),MATCH(H134,'G-6 Hedgerow Data'!$E$2:$I$2,0))))</f>
        <v/>
      </c>
      <c r="N134" s="159"/>
      <c r="O134" s="159"/>
      <c r="P134" s="370" t="str">
        <f t="shared" si="7"/>
        <v/>
      </c>
      <c r="Q134" s="383" t="str">
        <f t="shared" si="8"/>
        <v/>
      </c>
      <c r="R134" s="384" t="str">
        <f t="shared" si="6"/>
        <v/>
      </c>
      <c r="S134" s="398" t="str">
        <f>IF(D134="","",VLOOKUP(D134,'G-6 Hedgerow Data'!$B$3:$AG$15,31,FALSE))</f>
        <v/>
      </c>
      <c r="T134" s="370" t="str">
        <f t="shared" si="9"/>
        <v/>
      </c>
      <c r="U134" s="370" t="str">
        <f t="shared" si="10"/>
        <v/>
      </c>
      <c r="V134" s="386" t="str">
        <f>IF(D134="","",VLOOKUP(S134,'G-3 Multipliers'!$P$3:$Q$6,2,FALSE))</f>
        <v/>
      </c>
      <c r="W134" s="390" t="str">
        <f t="shared" si="11"/>
        <v/>
      </c>
      <c r="X134" s="117"/>
      <c r="Y134" s="118"/>
      <c r="Z134" s="120"/>
      <c r="AG134" s="30" t="str">
        <f>IFERROR(INDEX('G-6 Hedgerow Data'!$BJ$3:$BJ$15,MATCH(D134,'G-6 Hedgerow Data'!$B$3:$B$15,0)),"")</f>
        <v/>
      </c>
    </row>
    <row r="135" spans="2:33" ht="15">
      <c r="B135" s="110">
        <v>124</v>
      </c>
      <c r="C135" s="167"/>
      <c r="D135" s="159"/>
      <c r="E135" s="139"/>
      <c r="F135" s="411" t="str">
        <f>IF(D135="","",VLOOKUP(D135,'G-6 Hedgerow Data'!$B$2:$AG$15,2,FALSE))</f>
        <v/>
      </c>
      <c r="G135" s="363" t="str">
        <f>IF(D135="","",VLOOKUP(D135,'G-6 Hedgerow Data'!$B$2:$AG$15,3,FALSE))</f>
        <v/>
      </c>
      <c r="H135" s="114"/>
      <c r="I135" s="363" t="str">
        <f>IFERROR(VLOOKUP(H135,'G-1 All Habitats'!$Z$2:$AA$9,2,FALSE),"")</f>
        <v/>
      </c>
      <c r="J135" s="114"/>
      <c r="K135" s="382" t="str">
        <f>IF(J135="","",IF(VLOOKUP(J135,'G-3 Multipliers'!$L$3:$N$6,2,FALSE)=0,"Spatial Data Missing ⚠",VLOOKUP(J135,'G-3 Multipliers'!$L$3:$N$6,2,FALSE)))</f>
        <v/>
      </c>
      <c r="L135" s="368" t="str">
        <f>IF(J135="","",IF(VLOOKUP(J135,'G-3 Multipliers'!$L$3:$N$6,3,FALSE)=0,"Spatial Data Missing ⚠",VLOOKUP(J135,'G-3 Multipliers'!$L$3:$N$6,3,FALSE)))</f>
        <v/>
      </c>
      <c r="M135" s="362" t="str">
        <f>IF(OR(D135="",H135=""),"",(INDEX('G-6 Hedgerow Data'!$E$3:$I$15,MATCH(D135,'G-6 Hedgerow Data'!$B$3:$B$15,0),MATCH(H135,'G-6 Hedgerow Data'!$E$2:$I$2,0))))</f>
        <v/>
      </c>
      <c r="N135" s="159"/>
      <c r="O135" s="159"/>
      <c r="P135" s="370" t="str">
        <f t="shared" si="7"/>
        <v/>
      </c>
      <c r="Q135" s="383" t="str">
        <f t="shared" si="8"/>
        <v/>
      </c>
      <c r="R135" s="384" t="str">
        <f t="shared" si="6"/>
        <v/>
      </c>
      <c r="S135" s="398" t="str">
        <f>IF(D135="","",VLOOKUP(D135,'G-6 Hedgerow Data'!$B$3:$AG$15,31,FALSE))</f>
        <v/>
      </c>
      <c r="T135" s="370" t="str">
        <f t="shared" si="9"/>
        <v/>
      </c>
      <c r="U135" s="370" t="str">
        <f t="shared" si="10"/>
        <v/>
      </c>
      <c r="V135" s="386" t="str">
        <f>IF(D135="","",VLOOKUP(S135,'G-3 Multipliers'!$P$3:$Q$6,2,FALSE))</f>
        <v/>
      </c>
      <c r="W135" s="390" t="str">
        <f t="shared" si="11"/>
        <v/>
      </c>
      <c r="X135" s="117"/>
      <c r="Y135" s="118"/>
      <c r="Z135" s="120"/>
      <c r="AG135" s="30" t="str">
        <f>IFERROR(INDEX('G-6 Hedgerow Data'!$BJ$3:$BJ$15,MATCH(D135,'G-6 Hedgerow Data'!$B$3:$B$15,0)),"")</f>
        <v/>
      </c>
    </row>
    <row r="136" spans="2:33" ht="15">
      <c r="B136" s="110">
        <v>125</v>
      </c>
      <c r="C136" s="167"/>
      <c r="D136" s="159"/>
      <c r="E136" s="139"/>
      <c r="F136" s="411" t="str">
        <f>IF(D136="","",VLOOKUP(D136,'G-6 Hedgerow Data'!$B$2:$AG$15,2,FALSE))</f>
        <v/>
      </c>
      <c r="G136" s="363" t="str">
        <f>IF(D136="","",VLOOKUP(D136,'G-6 Hedgerow Data'!$B$2:$AG$15,3,FALSE))</f>
        <v/>
      </c>
      <c r="H136" s="114"/>
      <c r="I136" s="363" t="str">
        <f>IFERROR(VLOOKUP(H136,'G-1 All Habitats'!$Z$2:$AA$9,2,FALSE),"")</f>
        <v/>
      </c>
      <c r="J136" s="114"/>
      <c r="K136" s="382" t="str">
        <f>IF(J136="","",IF(VLOOKUP(J136,'G-3 Multipliers'!$L$3:$N$6,2,FALSE)=0,"Spatial Data Missing ⚠",VLOOKUP(J136,'G-3 Multipliers'!$L$3:$N$6,2,FALSE)))</f>
        <v/>
      </c>
      <c r="L136" s="368" t="str">
        <f>IF(J136="","",IF(VLOOKUP(J136,'G-3 Multipliers'!$L$3:$N$6,3,FALSE)=0,"Spatial Data Missing ⚠",VLOOKUP(J136,'G-3 Multipliers'!$L$3:$N$6,3,FALSE)))</f>
        <v/>
      </c>
      <c r="M136" s="362" t="str">
        <f>IF(OR(D136="",H136=""),"",(INDEX('G-6 Hedgerow Data'!$E$3:$I$15,MATCH(D136,'G-6 Hedgerow Data'!$B$3:$B$15,0),MATCH(H136,'G-6 Hedgerow Data'!$E$2:$I$2,0))))</f>
        <v/>
      </c>
      <c r="N136" s="159"/>
      <c r="O136" s="159"/>
      <c r="P136" s="370" t="str">
        <f t="shared" si="7"/>
        <v/>
      </c>
      <c r="Q136" s="383" t="str">
        <f t="shared" si="8"/>
        <v/>
      </c>
      <c r="R136" s="384" t="str">
        <f t="shared" si="6"/>
        <v/>
      </c>
      <c r="S136" s="398" t="str">
        <f>IF(D136="","",VLOOKUP(D136,'G-6 Hedgerow Data'!$B$3:$AG$15,31,FALSE))</f>
        <v/>
      </c>
      <c r="T136" s="370" t="str">
        <f t="shared" si="9"/>
        <v/>
      </c>
      <c r="U136" s="370" t="str">
        <f t="shared" si="10"/>
        <v/>
      </c>
      <c r="V136" s="386" t="str">
        <f>IF(D136="","",VLOOKUP(S136,'G-3 Multipliers'!$P$3:$Q$6,2,FALSE))</f>
        <v/>
      </c>
      <c r="W136" s="390" t="str">
        <f t="shared" si="11"/>
        <v/>
      </c>
      <c r="X136" s="117"/>
      <c r="Y136" s="118"/>
      <c r="Z136" s="120"/>
      <c r="AG136" s="30" t="str">
        <f>IFERROR(INDEX('G-6 Hedgerow Data'!$BJ$3:$BJ$15,MATCH(D136,'G-6 Hedgerow Data'!$B$3:$B$15,0)),"")</f>
        <v/>
      </c>
    </row>
    <row r="137" spans="2:33" ht="15">
      <c r="B137" s="110">
        <v>126</v>
      </c>
      <c r="C137" s="167"/>
      <c r="D137" s="159"/>
      <c r="E137" s="139"/>
      <c r="F137" s="411" t="str">
        <f>IF(D137="","",VLOOKUP(D137,'G-6 Hedgerow Data'!$B$2:$AG$15,2,FALSE))</f>
        <v/>
      </c>
      <c r="G137" s="363" t="str">
        <f>IF(D137="","",VLOOKUP(D137,'G-6 Hedgerow Data'!$B$2:$AG$15,3,FALSE))</f>
        <v/>
      </c>
      <c r="H137" s="114"/>
      <c r="I137" s="363" t="str">
        <f>IFERROR(VLOOKUP(H137,'G-1 All Habitats'!$Z$2:$AA$9,2,FALSE),"")</f>
        <v/>
      </c>
      <c r="J137" s="114"/>
      <c r="K137" s="382" t="str">
        <f>IF(J137="","",IF(VLOOKUP(J137,'G-3 Multipliers'!$L$3:$N$6,2,FALSE)=0,"Spatial Data Missing ⚠",VLOOKUP(J137,'G-3 Multipliers'!$L$3:$N$6,2,FALSE)))</f>
        <v/>
      </c>
      <c r="L137" s="368" t="str">
        <f>IF(J137="","",IF(VLOOKUP(J137,'G-3 Multipliers'!$L$3:$N$6,3,FALSE)=0,"Spatial Data Missing ⚠",VLOOKUP(J137,'G-3 Multipliers'!$L$3:$N$6,3,FALSE)))</f>
        <v/>
      </c>
      <c r="M137" s="362" t="str">
        <f>IF(OR(D137="",H137=""),"",(INDEX('G-6 Hedgerow Data'!$E$3:$I$15,MATCH(D137,'G-6 Hedgerow Data'!$B$3:$B$15,0),MATCH(H137,'G-6 Hedgerow Data'!$E$2:$I$2,0))))</f>
        <v/>
      </c>
      <c r="N137" s="159"/>
      <c r="O137" s="159"/>
      <c r="P137" s="370" t="str">
        <f t="shared" si="7"/>
        <v/>
      </c>
      <c r="Q137" s="383" t="str">
        <f t="shared" si="8"/>
        <v/>
      </c>
      <c r="R137" s="384" t="str">
        <f t="shared" si="6"/>
        <v/>
      </c>
      <c r="S137" s="398" t="str">
        <f>IF(D137="","",VLOOKUP(D137,'G-6 Hedgerow Data'!$B$3:$AG$15,31,FALSE))</f>
        <v/>
      </c>
      <c r="T137" s="370" t="str">
        <f t="shared" si="9"/>
        <v/>
      </c>
      <c r="U137" s="370" t="str">
        <f t="shared" si="10"/>
        <v/>
      </c>
      <c r="V137" s="386" t="str">
        <f>IF(D137="","",VLOOKUP(S137,'G-3 Multipliers'!$P$3:$Q$6,2,FALSE))</f>
        <v/>
      </c>
      <c r="W137" s="390" t="str">
        <f t="shared" si="11"/>
        <v/>
      </c>
      <c r="X137" s="117"/>
      <c r="Y137" s="118"/>
      <c r="Z137" s="120"/>
      <c r="AG137" s="30" t="str">
        <f>IFERROR(INDEX('G-6 Hedgerow Data'!$BJ$3:$BJ$15,MATCH(D137,'G-6 Hedgerow Data'!$B$3:$B$15,0)),"")</f>
        <v/>
      </c>
    </row>
    <row r="138" spans="2:33" ht="15">
      <c r="B138" s="110">
        <v>127</v>
      </c>
      <c r="C138" s="167"/>
      <c r="D138" s="159"/>
      <c r="E138" s="139"/>
      <c r="F138" s="411" t="str">
        <f>IF(D138="","",VLOOKUP(D138,'G-6 Hedgerow Data'!$B$2:$AG$15,2,FALSE))</f>
        <v/>
      </c>
      <c r="G138" s="363" t="str">
        <f>IF(D138="","",VLOOKUP(D138,'G-6 Hedgerow Data'!$B$2:$AG$15,3,FALSE))</f>
        <v/>
      </c>
      <c r="H138" s="114"/>
      <c r="I138" s="363" t="str">
        <f>IFERROR(VLOOKUP(H138,'G-1 All Habitats'!$Z$2:$AA$9,2,FALSE),"")</f>
        <v/>
      </c>
      <c r="J138" s="114"/>
      <c r="K138" s="382" t="str">
        <f>IF(J138="","",IF(VLOOKUP(J138,'G-3 Multipliers'!$L$3:$N$6,2,FALSE)=0,"Spatial Data Missing ⚠",VLOOKUP(J138,'G-3 Multipliers'!$L$3:$N$6,2,FALSE)))</f>
        <v/>
      </c>
      <c r="L138" s="368" t="str">
        <f>IF(J138="","",IF(VLOOKUP(J138,'G-3 Multipliers'!$L$3:$N$6,3,FALSE)=0,"Spatial Data Missing ⚠",VLOOKUP(J138,'G-3 Multipliers'!$L$3:$N$6,3,FALSE)))</f>
        <v/>
      </c>
      <c r="M138" s="362" t="str">
        <f>IF(OR(D138="",H138=""),"",(INDEX('G-6 Hedgerow Data'!$E$3:$I$15,MATCH(D138,'G-6 Hedgerow Data'!$B$3:$B$15,0),MATCH(H138,'G-6 Hedgerow Data'!$E$2:$I$2,0))))</f>
        <v/>
      </c>
      <c r="N138" s="159"/>
      <c r="O138" s="159"/>
      <c r="P138" s="370" t="str">
        <f t="shared" si="7"/>
        <v/>
      </c>
      <c r="Q138" s="383" t="str">
        <f t="shared" si="8"/>
        <v/>
      </c>
      <c r="R138" s="384" t="str">
        <f t="shared" si="6"/>
        <v/>
      </c>
      <c r="S138" s="398" t="str">
        <f>IF(D138="","",VLOOKUP(D138,'G-6 Hedgerow Data'!$B$3:$AG$15,31,FALSE))</f>
        <v/>
      </c>
      <c r="T138" s="370" t="str">
        <f t="shared" si="9"/>
        <v/>
      </c>
      <c r="U138" s="370" t="str">
        <f t="shared" si="10"/>
        <v/>
      </c>
      <c r="V138" s="386" t="str">
        <f>IF(D138="","",VLOOKUP(S138,'G-3 Multipliers'!$P$3:$Q$6,2,FALSE))</f>
        <v/>
      </c>
      <c r="W138" s="390" t="str">
        <f t="shared" si="11"/>
        <v/>
      </c>
      <c r="X138" s="117"/>
      <c r="Y138" s="118"/>
      <c r="Z138" s="120"/>
      <c r="AG138" s="30" t="str">
        <f>IFERROR(INDEX('G-6 Hedgerow Data'!$BJ$3:$BJ$15,MATCH(D138,'G-6 Hedgerow Data'!$B$3:$B$15,0)),"")</f>
        <v/>
      </c>
    </row>
    <row r="139" spans="2:33" ht="15">
      <c r="B139" s="110">
        <v>128</v>
      </c>
      <c r="C139" s="167"/>
      <c r="D139" s="159"/>
      <c r="E139" s="139"/>
      <c r="F139" s="411" t="str">
        <f>IF(D139="","",VLOOKUP(D139,'G-6 Hedgerow Data'!$B$2:$AG$15,2,FALSE))</f>
        <v/>
      </c>
      <c r="G139" s="363" t="str">
        <f>IF(D139="","",VLOOKUP(D139,'G-6 Hedgerow Data'!$B$2:$AG$15,3,FALSE))</f>
        <v/>
      </c>
      <c r="H139" s="114"/>
      <c r="I139" s="363" t="str">
        <f>IFERROR(VLOOKUP(H139,'G-1 All Habitats'!$Z$2:$AA$9,2,FALSE),"")</f>
        <v/>
      </c>
      <c r="J139" s="114"/>
      <c r="K139" s="382" t="str">
        <f>IF(J139="","",IF(VLOOKUP(J139,'G-3 Multipliers'!$L$3:$N$6,2,FALSE)=0,"Spatial Data Missing ⚠",VLOOKUP(J139,'G-3 Multipliers'!$L$3:$N$6,2,FALSE)))</f>
        <v/>
      </c>
      <c r="L139" s="368" t="str">
        <f>IF(J139="","",IF(VLOOKUP(J139,'G-3 Multipliers'!$L$3:$N$6,3,FALSE)=0,"Spatial Data Missing ⚠",VLOOKUP(J139,'G-3 Multipliers'!$L$3:$N$6,3,FALSE)))</f>
        <v/>
      </c>
      <c r="M139" s="362" t="str">
        <f>IF(OR(D139="",H139=""),"",(INDEX('G-6 Hedgerow Data'!$E$3:$I$15,MATCH(D139,'G-6 Hedgerow Data'!$B$3:$B$15,0),MATCH(H139,'G-6 Hedgerow Data'!$E$2:$I$2,0))))</f>
        <v/>
      </c>
      <c r="N139" s="159"/>
      <c r="O139" s="159"/>
      <c r="P139" s="370" t="str">
        <f t="shared" si="7"/>
        <v/>
      </c>
      <c r="Q139" s="383" t="str">
        <f t="shared" si="8"/>
        <v/>
      </c>
      <c r="R139" s="384" t="str">
        <f t="shared" si="6"/>
        <v/>
      </c>
      <c r="S139" s="398" t="str">
        <f>IF(D139="","",VLOOKUP(D139,'G-6 Hedgerow Data'!$B$3:$AG$15,31,FALSE))</f>
        <v/>
      </c>
      <c r="T139" s="370" t="str">
        <f t="shared" si="9"/>
        <v/>
      </c>
      <c r="U139" s="370" t="str">
        <f t="shared" si="10"/>
        <v/>
      </c>
      <c r="V139" s="386" t="str">
        <f>IF(D139="","",VLOOKUP(S139,'G-3 Multipliers'!$P$3:$Q$6,2,FALSE))</f>
        <v/>
      </c>
      <c r="W139" s="390" t="str">
        <f t="shared" si="11"/>
        <v/>
      </c>
      <c r="X139" s="117"/>
      <c r="Y139" s="118"/>
      <c r="Z139" s="120"/>
      <c r="AG139" s="30" t="str">
        <f>IFERROR(INDEX('G-6 Hedgerow Data'!$BJ$3:$BJ$15,MATCH(D139,'G-6 Hedgerow Data'!$B$3:$B$15,0)),"")</f>
        <v/>
      </c>
    </row>
    <row r="140" spans="2:33" ht="15">
      <c r="B140" s="110">
        <v>129</v>
      </c>
      <c r="C140" s="167"/>
      <c r="D140" s="159"/>
      <c r="E140" s="139"/>
      <c r="F140" s="411" t="str">
        <f>IF(D140="","",VLOOKUP(D140,'G-6 Hedgerow Data'!$B$2:$AG$15,2,FALSE))</f>
        <v/>
      </c>
      <c r="G140" s="363" t="str">
        <f>IF(D140="","",VLOOKUP(D140,'G-6 Hedgerow Data'!$B$2:$AG$15,3,FALSE))</f>
        <v/>
      </c>
      <c r="H140" s="114"/>
      <c r="I140" s="363" t="str">
        <f>IFERROR(VLOOKUP(H140,'G-1 All Habitats'!$Z$2:$AA$9,2,FALSE),"")</f>
        <v/>
      </c>
      <c r="J140" s="114"/>
      <c r="K140" s="382" t="str">
        <f>IF(J140="","",IF(VLOOKUP(J140,'G-3 Multipliers'!$L$3:$N$6,2,FALSE)=0,"Spatial Data Missing ⚠",VLOOKUP(J140,'G-3 Multipliers'!$L$3:$N$6,2,FALSE)))</f>
        <v/>
      </c>
      <c r="L140" s="368" t="str">
        <f>IF(J140="","",IF(VLOOKUP(J140,'G-3 Multipliers'!$L$3:$N$6,3,FALSE)=0,"Spatial Data Missing ⚠",VLOOKUP(J140,'G-3 Multipliers'!$L$3:$N$6,3,FALSE)))</f>
        <v/>
      </c>
      <c r="M140" s="362" t="str">
        <f>IF(OR(D140="",H140=""),"",(INDEX('G-6 Hedgerow Data'!$E$3:$I$15,MATCH(D140,'G-6 Hedgerow Data'!$B$3:$B$15,0),MATCH(H140,'G-6 Hedgerow Data'!$E$2:$I$2,0))))</f>
        <v/>
      </c>
      <c r="N140" s="159"/>
      <c r="O140" s="159"/>
      <c r="P140" s="370" t="str">
        <f t="shared" si="7"/>
        <v/>
      </c>
      <c r="Q140" s="383" t="str">
        <f t="shared" si="8"/>
        <v/>
      </c>
      <c r="R140" s="384" t="str">
        <f t="shared" ref="R140:R203" si="12">IF(M140="","",IF(Q140="Check Data ⚠","Check Data ⚠",VLOOKUP(Q140,TemporalMultipliers,3,FALSE)))</f>
        <v/>
      </c>
      <c r="S140" s="398" t="str">
        <f>IF(D140="","",VLOOKUP(D140,'G-6 Hedgerow Data'!$B$3:$AG$15,31,FALSE))</f>
        <v/>
      </c>
      <c r="T140" s="370" t="str">
        <f t="shared" si="9"/>
        <v/>
      </c>
      <c r="U140" s="370" t="str">
        <f t="shared" si="10"/>
        <v/>
      </c>
      <c r="V140" s="386" t="str">
        <f>IF(D140="","",VLOOKUP(S140,'G-3 Multipliers'!$P$3:$Q$6,2,FALSE))</f>
        <v/>
      </c>
      <c r="W140" s="390" t="str">
        <f t="shared" si="11"/>
        <v/>
      </c>
      <c r="X140" s="117"/>
      <c r="Y140" s="118"/>
      <c r="Z140" s="120"/>
      <c r="AG140" s="30" t="str">
        <f>IFERROR(INDEX('G-6 Hedgerow Data'!$BJ$3:$BJ$15,MATCH(D140,'G-6 Hedgerow Data'!$B$3:$B$15,0)),"")</f>
        <v/>
      </c>
    </row>
    <row r="141" spans="2:33" ht="15">
      <c r="B141" s="110">
        <v>130</v>
      </c>
      <c r="C141" s="167"/>
      <c r="D141" s="159"/>
      <c r="E141" s="139"/>
      <c r="F141" s="411" t="str">
        <f>IF(D141="","",VLOOKUP(D141,'G-6 Hedgerow Data'!$B$2:$AG$15,2,FALSE))</f>
        <v/>
      </c>
      <c r="G141" s="363" t="str">
        <f>IF(D141="","",VLOOKUP(D141,'G-6 Hedgerow Data'!$B$2:$AG$15,3,FALSE))</f>
        <v/>
      </c>
      <c r="H141" s="114"/>
      <c r="I141" s="363" t="str">
        <f>IFERROR(VLOOKUP(H141,'G-1 All Habitats'!$Z$2:$AA$9,2,FALSE),"")</f>
        <v/>
      </c>
      <c r="J141" s="114"/>
      <c r="K141" s="382" t="str">
        <f>IF(J141="","",IF(VLOOKUP(J141,'G-3 Multipliers'!$L$3:$N$6,2,FALSE)=0,"Spatial Data Missing ⚠",VLOOKUP(J141,'G-3 Multipliers'!$L$3:$N$6,2,FALSE)))</f>
        <v/>
      </c>
      <c r="L141" s="368" t="str">
        <f>IF(J141="","",IF(VLOOKUP(J141,'G-3 Multipliers'!$L$3:$N$6,3,FALSE)=0,"Spatial Data Missing ⚠",VLOOKUP(J141,'G-3 Multipliers'!$L$3:$N$6,3,FALSE)))</f>
        <v/>
      </c>
      <c r="M141" s="362" t="str">
        <f>IF(OR(D141="",H141=""),"",(INDEX('G-6 Hedgerow Data'!$E$3:$I$15,MATCH(D141,'G-6 Hedgerow Data'!$B$3:$B$15,0),MATCH(H141,'G-6 Hedgerow Data'!$E$2:$I$2,0))))</f>
        <v/>
      </c>
      <c r="N141" s="159"/>
      <c r="O141" s="159"/>
      <c r="P141" s="370" t="str">
        <f t="shared" ref="P141:P204" si="13">IF(M141="","",IF(AND(N141&gt;0,O141&gt;0),"Error -both advance and delayed habitat creation ▲",IF(AND(OR(N141="Habitat already in target condition",M141&lt;=N141),O141=0),"Check details - Is there evidence that habitat has reached target condition? ⚠",IF(M141="","",IF(N141&gt;0,"Check details - Is there evidence habitat creation started/in place? ⚠",IF(O141&gt;0,"Check details- Delay in starting habitat in required condition? ⚠","Standard time to target condition applied"))))))</f>
        <v/>
      </c>
      <c r="Q141" s="383" t="str">
        <f t="shared" ref="Q141:Q204" si="14">IF(M141="","",IF(P141="Error -both advance and delayed habitat creation ▲","Check Data ⚠",IF(OR(N141="30+",N141="Habitat already in target condition"),0,IF(O141="30+","30+",IF(AND(M141="30+",OR(N141="",N141=0)),"30+",IF(AND(M141="30+",N141&gt;0),30-N141,IF(M141+O141&gt;30,"30+",IF(M141+O141-N141&gt;0,M141+O141-N141,IF(M141-N141&lt;0,0,M141+O141-N141)))))))))</f>
        <v/>
      </c>
      <c r="R141" s="384" t="str">
        <f t="shared" si="12"/>
        <v/>
      </c>
      <c r="S141" s="398" t="str">
        <f>IF(D141="","",VLOOKUP(D141,'G-6 Hedgerow Data'!$B$3:$AG$15,31,FALSE))</f>
        <v/>
      </c>
      <c r="T141" s="370" t="str">
        <f t="shared" ref="T141:T204" si="15">IF(D141="","",IF(Q141="Check Data ⚠","Check Data ⚠",IF(H141="","",IF($P141="Check details - Is there evidence that habitat has reached target condition? ⚠","Low Difficulty - only applicable if all habitat created before losses ⚠","Standard difficulty applied"))))</f>
        <v/>
      </c>
      <c r="U141" s="370" t="str">
        <f t="shared" ref="U141:U204" si="16">(IF(AND(T141="Standard difficulty applied",M141&gt;N141),S141,IF(AND(T141="Low Difficulty - only applicable if all habitat created before losses ⚠",Q141&lt;=0),"Low",S141)))</f>
        <v/>
      </c>
      <c r="V141" s="386" t="str">
        <f>IF(D141="","",VLOOKUP(S141,'G-3 Multipliers'!$P$3:$Q$6,2,FALSE))</f>
        <v/>
      </c>
      <c r="W141" s="390" t="str">
        <f t="shared" ref="W141:W204" si="17">IFERROR(E141*G141*I141*L141*R141*V141,"")</f>
        <v/>
      </c>
      <c r="X141" s="117"/>
      <c r="Y141" s="118"/>
      <c r="Z141" s="120"/>
      <c r="AG141" s="30" t="str">
        <f>IFERROR(INDEX('G-6 Hedgerow Data'!$BJ$3:$BJ$15,MATCH(D141,'G-6 Hedgerow Data'!$B$3:$B$15,0)),"")</f>
        <v/>
      </c>
    </row>
    <row r="142" spans="2:33" ht="15">
      <c r="B142" s="110">
        <v>131</v>
      </c>
      <c r="C142" s="167"/>
      <c r="D142" s="159"/>
      <c r="E142" s="139"/>
      <c r="F142" s="411" t="str">
        <f>IF(D142="","",VLOOKUP(D142,'G-6 Hedgerow Data'!$B$2:$AG$15,2,FALSE))</f>
        <v/>
      </c>
      <c r="G142" s="363" t="str">
        <f>IF(D142="","",VLOOKUP(D142,'G-6 Hedgerow Data'!$B$2:$AG$15,3,FALSE))</f>
        <v/>
      </c>
      <c r="H142" s="114"/>
      <c r="I142" s="363" t="str">
        <f>IFERROR(VLOOKUP(H142,'G-1 All Habitats'!$Z$2:$AA$9,2,FALSE),"")</f>
        <v/>
      </c>
      <c r="J142" s="114"/>
      <c r="K142" s="382" t="str">
        <f>IF(J142="","",IF(VLOOKUP(J142,'G-3 Multipliers'!$L$3:$N$6,2,FALSE)=0,"Spatial Data Missing ⚠",VLOOKUP(J142,'G-3 Multipliers'!$L$3:$N$6,2,FALSE)))</f>
        <v/>
      </c>
      <c r="L142" s="368" t="str">
        <f>IF(J142="","",IF(VLOOKUP(J142,'G-3 Multipliers'!$L$3:$N$6,3,FALSE)=0,"Spatial Data Missing ⚠",VLOOKUP(J142,'G-3 Multipliers'!$L$3:$N$6,3,FALSE)))</f>
        <v/>
      </c>
      <c r="M142" s="362" t="str">
        <f>IF(OR(D142="",H142=""),"",(INDEX('G-6 Hedgerow Data'!$E$3:$I$15,MATCH(D142,'G-6 Hedgerow Data'!$B$3:$B$15,0),MATCH(H142,'G-6 Hedgerow Data'!$E$2:$I$2,0))))</f>
        <v/>
      </c>
      <c r="N142" s="159"/>
      <c r="O142" s="159"/>
      <c r="P142" s="370" t="str">
        <f t="shared" si="13"/>
        <v/>
      </c>
      <c r="Q142" s="383" t="str">
        <f t="shared" si="14"/>
        <v/>
      </c>
      <c r="R142" s="384" t="str">
        <f t="shared" si="12"/>
        <v/>
      </c>
      <c r="S142" s="398" t="str">
        <f>IF(D142="","",VLOOKUP(D142,'G-6 Hedgerow Data'!$B$3:$AG$15,31,FALSE))</f>
        <v/>
      </c>
      <c r="T142" s="370" t="str">
        <f t="shared" si="15"/>
        <v/>
      </c>
      <c r="U142" s="370" t="str">
        <f t="shared" si="16"/>
        <v/>
      </c>
      <c r="V142" s="386" t="str">
        <f>IF(D142="","",VLOOKUP(S142,'G-3 Multipliers'!$P$3:$Q$6,2,FALSE))</f>
        <v/>
      </c>
      <c r="W142" s="390" t="str">
        <f t="shared" si="17"/>
        <v/>
      </c>
      <c r="X142" s="117"/>
      <c r="Y142" s="118"/>
      <c r="Z142" s="120"/>
      <c r="AG142" s="30" t="str">
        <f>IFERROR(INDEX('G-6 Hedgerow Data'!$BJ$3:$BJ$15,MATCH(D142,'G-6 Hedgerow Data'!$B$3:$B$15,0)),"")</f>
        <v/>
      </c>
    </row>
    <row r="143" spans="2:33" ht="15">
      <c r="B143" s="110">
        <v>132</v>
      </c>
      <c r="C143" s="167"/>
      <c r="D143" s="159"/>
      <c r="E143" s="139"/>
      <c r="F143" s="411" t="str">
        <f>IF(D143="","",VLOOKUP(D143,'G-6 Hedgerow Data'!$B$2:$AG$15,2,FALSE))</f>
        <v/>
      </c>
      <c r="G143" s="363" t="str">
        <f>IF(D143="","",VLOOKUP(D143,'G-6 Hedgerow Data'!$B$2:$AG$15,3,FALSE))</f>
        <v/>
      </c>
      <c r="H143" s="114"/>
      <c r="I143" s="363" t="str">
        <f>IFERROR(VLOOKUP(H143,'G-1 All Habitats'!$Z$2:$AA$9,2,FALSE),"")</f>
        <v/>
      </c>
      <c r="J143" s="114"/>
      <c r="K143" s="382" t="str">
        <f>IF(J143="","",IF(VLOOKUP(J143,'G-3 Multipliers'!$L$3:$N$6,2,FALSE)=0,"Spatial Data Missing ⚠",VLOOKUP(J143,'G-3 Multipliers'!$L$3:$N$6,2,FALSE)))</f>
        <v/>
      </c>
      <c r="L143" s="368" t="str">
        <f>IF(J143="","",IF(VLOOKUP(J143,'G-3 Multipliers'!$L$3:$N$6,3,FALSE)=0,"Spatial Data Missing ⚠",VLOOKUP(J143,'G-3 Multipliers'!$L$3:$N$6,3,FALSE)))</f>
        <v/>
      </c>
      <c r="M143" s="362" t="str">
        <f>IF(OR(D143="",H143=""),"",(INDEX('G-6 Hedgerow Data'!$E$3:$I$15,MATCH(D143,'G-6 Hedgerow Data'!$B$3:$B$15,0),MATCH(H143,'G-6 Hedgerow Data'!$E$2:$I$2,0))))</f>
        <v/>
      </c>
      <c r="N143" s="159"/>
      <c r="O143" s="159"/>
      <c r="P143" s="370" t="str">
        <f t="shared" si="13"/>
        <v/>
      </c>
      <c r="Q143" s="383" t="str">
        <f t="shared" si="14"/>
        <v/>
      </c>
      <c r="R143" s="384" t="str">
        <f t="shared" si="12"/>
        <v/>
      </c>
      <c r="S143" s="398" t="str">
        <f>IF(D143="","",VLOOKUP(D143,'G-6 Hedgerow Data'!$B$3:$AG$15,31,FALSE))</f>
        <v/>
      </c>
      <c r="T143" s="370" t="str">
        <f t="shared" si="15"/>
        <v/>
      </c>
      <c r="U143" s="370" t="str">
        <f t="shared" si="16"/>
        <v/>
      </c>
      <c r="V143" s="386" t="str">
        <f>IF(D143="","",VLOOKUP(S143,'G-3 Multipliers'!$P$3:$Q$6,2,FALSE))</f>
        <v/>
      </c>
      <c r="W143" s="390" t="str">
        <f t="shared" si="17"/>
        <v/>
      </c>
      <c r="X143" s="117"/>
      <c r="Y143" s="118"/>
      <c r="Z143" s="120"/>
      <c r="AG143" s="30" t="str">
        <f>IFERROR(INDEX('G-6 Hedgerow Data'!$BJ$3:$BJ$15,MATCH(D143,'G-6 Hedgerow Data'!$B$3:$B$15,0)),"")</f>
        <v/>
      </c>
    </row>
    <row r="144" spans="2:33" ht="15">
      <c r="B144" s="110">
        <v>133</v>
      </c>
      <c r="C144" s="167"/>
      <c r="D144" s="159"/>
      <c r="E144" s="139"/>
      <c r="F144" s="411" t="str">
        <f>IF(D144="","",VLOOKUP(D144,'G-6 Hedgerow Data'!$B$2:$AG$15,2,FALSE))</f>
        <v/>
      </c>
      <c r="G144" s="363" t="str">
        <f>IF(D144="","",VLOOKUP(D144,'G-6 Hedgerow Data'!$B$2:$AG$15,3,FALSE))</f>
        <v/>
      </c>
      <c r="H144" s="114"/>
      <c r="I144" s="363" t="str">
        <f>IFERROR(VLOOKUP(H144,'G-1 All Habitats'!$Z$2:$AA$9,2,FALSE),"")</f>
        <v/>
      </c>
      <c r="J144" s="114"/>
      <c r="K144" s="382" t="str">
        <f>IF(J144="","",IF(VLOOKUP(J144,'G-3 Multipliers'!$L$3:$N$6,2,FALSE)=0,"Spatial Data Missing ⚠",VLOOKUP(J144,'G-3 Multipliers'!$L$3:$N$6,2,FALSE)))</f>
        <v/>
      </c>
      <c r="L144" s="368" t="str">
        <f>IF(J144="","",IF(VLOOKUP(J144,'G-3 Multipliers'!$L$3:$N$6,3,FALSE)=0,"Spatial Data Missing ⚠",VLOOKUP(J144,'G-3 Multipliers'!$L$3:$N$6,3,FALSE)))</f>
        <v/>
      </c>
      <c r="M144" s="362" t="str">
        <f>IF(OR(D144="",H144=""),"",(INDEX('G-6 Hedgerow Data'!$E$3:$I$15,MATCH(D144,'G-6 Hedgerow Data'!$B$3:$B$15,0),MATCH(H144,'G-6 Hedgerow Data'!$E$2:$I$2,0))))</f>
        <v/>
      </c>
      <c r="N144" s="159"/>
      <c r="O144" s="159"/>
      <c r="P144" s="370" t="str">
        <f t="shared" si="13"/>
        <v/>
      </c>
      <c r="Q144" s="383" t="str">
        <f t="shared" si="14"/>
        <v/>
      </c>
      <c r="R144" s="384" t="str">
        <f t="shared" si="12"/>
        <v/>
      </c>
      <c r="S144" s="398" t="str">
        <f>IF(D144="","",VLOOKUP(D144,'G-6 Hedgerow Data'!$B$3:$AG$15,31,FALSE))</f>
        <v/>
      </c>
      <c r="T144" s="370" t="str">
        <f t="shared" si="15"/>
        <v/>
      </c>
      <c r="U144" s="370" t="str">
        <f t="shared" si="16"/>
        <v/>
      </c>
      <c r="V144" s="386" t="str">
        <f>IF(D144="","",VLOOKUP(S144,'G-3 Multipliers'!$P$3:$Q$6,2,FALSE))</f>
        <v/>
      </c>
      <c r="W144" s="390" t="str">
        <f t="shared" si="17"/>
        <v/>
      </c>
      <c r="X144" s="117"/>
      <c r="Y144" s="118"/>
      <c r="Z144" s="120"/>
      <c r="AG144" s="30" t="str">
        <f>IFERROR(INDEX('G-6 Hedgerow Data'!$BJ$3:$BJ$15,MATCH(D144,'G-6 Hedgerow Data'!$B$3:$B$15,0)),"")</f>
        <v/>
      </c>
    </row>
    <row r="145" spans="2:33" ht="15">
      <c r="B145" s="110">
        <v>134</v>
      </c>
      <c r="C145" s="167"/>
      <c r="D145" s="159"/>
      <c r="E145" s="139"/>
      <c r="F145" s="411" t="str">
        <f>IF(D145="","",VLOOKUP(D145,'G-6 Hedgerow Data'!$B$2:$AG$15,2,FALSE))</f>
        <v/>
      </c>
      <c r="G145" s="363" t="str">
        <f>IF(D145="","",VLOOKUP(D145,'G-6 Hedgerow Data'!$B$2:$AG$15,3,FALSE))</f>
        <v/>
      </c>
      <c r="H145" s="114"/>
      <c r="I145" s="363" t="str">
        <f>IFERROR(VLOOKUP(H145,'G-1 All Habitats'!$Z$2:$AA$9,2,FALSE),"")</f>
        <v/>
      </c>
      <c r="J145" s="114"/>
      <c r="K145" s="382" t="str">
        <f>IF(J145="","",IF(VLOOKUP(J145,'G-3 Multipliers'!$L$3:$N$6,2,FALSE)=0,"Spatial Data Missing ⚠",VLOOKUP(J145,'G-3 Multipliers'!$L$3:$N$6,2,FALSE)))</f>
        <v/>
      </c>
      <c r="L145" s="368" t="str">
        <f>IF(J145="","",IF(VLOOKUP(J145,'G-3 Multipliers'!$L$3:$N$6,3,FALSE)=0,"Spatial Data Missing ⚠",VLOOKUP(J145,'G-3 Multipliers'!$L$3:$N$6,3,FALSE)))</f>
        <v/>
      </c>
      <c r="M145" s="362" t="str">
        <f>IF(OR(D145="",H145=""),"",(INDEX('G-6 Hedgerow Data'!$E$3:$I$15,MATCH(D145,'G-6 Hedgerow Data'!$B$3:$B$15,0),MATCH(H145,'G-6 Hedgerow Data'!$E$2:$I$2,0))))</f>
        <v/>
      </c>
      <c r="N145" s="159"/>
      <c r="O145" s="159"/>
      <c r="P145" s="370" t="str">
        <f t="shared" si="13"/>
        <v/>
      </c>
      <c r="Q145" s="383" t="str">
        <f t="shared" si="14"/>
        <v/>
      </c>
      <c r="R145" s="384" t="str">
        <f t="shared" si="12"/>
        <v/>
      </c>
      <c r="S145" s="398" t="str">
        <f>IF(D145="","",VLOOKUP(D145,'G-6 Hedgerow Data'!$B$3:$AG$15,31,FALSE))</f>
        <v/>
      </c>
      <c r="T145" s="370" t="str">
        <f t="shared" si="15"/>
        <v/>
      </c>
      <c r="U145" s="370" t="str">
        <f t="shared" si="16"/>
        <v/>
      </c>
      <c r="V145" s="386" t="str">
        <f>IF(D145="","",VLOOKUP(S145,'G-3 Multipliers'!$P$3:$Q$6,2,FALSE))</f>
        <v/>
      </c>
      <c r="W145" s="390" t="str">
        <f t="shared" si="17"/>
        <v/>
      </c>
      <c r="X145" s="117"/>
      <c r="Y145" s="118"/>
      <c r="Z145" s="120"/>
      <c r="AG145" s="30" t="str">
        <f>IFERROR(INDEX('G-6 Hedgerow Data'!$BJ$3:$BJ$15,MATCH(D145,'G-6 Hedgerow Data'!$B$3:$B$15,0)),"")</f>
        <v/>
      </c>
    </row>
    <row r="146" spans="2:33" ht="15">
      <c r="B146" s="110">
        <v>135</v>
      </c>
      <c r="C146" s="167"/>
      <c r="D146" s="159"/>
      <c r="E146" s="139"/>
      <c r="F146" s="411" t="str">
        <f>IF(D146="","",VLOOKUP(D146,'G-6 Hedgerow Data'!$B$2:$AG$15,2,FALSE))</f>
        <v/>
      </c>
      <c r="G146" s="363" t="str">
        <f>IF(D146="","",VLOOKUP(D146,'G-6 Hedgerow Data'!$B$2:$AG$15,3,FALSE))</f>
        <v/>
      </c>
      <c r="H146" s="114"/>
      <c r="I146" s="363" t="str">
        <f>IFERROR(VLOOKUP(H146,'G-1 All Habitats'!$Z$2:$AA$9,2,FALSE),"")</f>
        <v/>
      </c>
      <c r="J146" s="114"/>
      <c r="K146" s="382" t="str">
        <f>IF(J146="","",IF(VLOOKUP(J146,'G-3 Multipliers'!$L$3:$N$6,2,FALSE)=0,"Spatial Data Missing ⚠",VLOOKUP(J146,'G-3 Multipliers'!$L$3:$N$6,2,FALSE)))</f>
        <v/>
      </c>
      <c r="L146" s="368" t="str">
        <f>IF(J146="","",IF(VLOOKUP(J146,'G-3 Multipliers'!$L$3:$N$6,3,FALSE)=0,"Spatial Data Missing ⚠",VLOOKUP(J146,'G-3 Multipliers'!$L$3:$N$6,3,FALSE)))</f>
        <v/>
      </c>
      <c r="M146" s="362" t="str">
        <f>IF(OR(D146="",H146=""),"",(INDEX('G-6 Hedgerow Data'!$E$3:$I$15,MATCH(D146,'G-6 Hedgerow Data'!$B$3:$B$15,0),MATCH(H146,'G-6 Hedgerow Data'!$E$2:$I$2,0))))</f>
        <v/>
      </c>
      <c r="N146" s="159"/>
      <c r="O146" s="159"/>
      <c r="P146" s="370" t="str">
        <f t="shared" si="13"/>
        <v/>
      </c>
      <c r="Q146" s="383" t="str">
        <f t="shared" si="14"/>
        <v/>
      </c>
      <c r="R146" s="384" t="str">
        <f t="shared" si="12"/>
        <v/>
      </c>
      <c r="S146" s="398" t="str">
        <f>IF(D146="","",VLOOKUP(D146,'G-6 Hedgerow Data'!$B$3:$AG$15,31,FALSE))</f>
        <v/>
      </c>
      <c r="T146" s="370" t="str">
        <f t="shared" si="15"/>
        <v/>
      </c>
      <c r="U146" s="370" t="str">
        <f t="shared" si="16"/>
        <v/>
      </c>
      <c r="V146" s="386" t="str">
        <f>IF(D146="","",VLOOKUP(S146,'G-3 Multipliers'!$P$3:$Q$6,2,FALSE))</f>
        <v/>
      </c>
      <c r="W146" s="390" t="str">
        <f t="shared" si="17"/>
        <v/>
      </c>
      <c r="X146" s="117"/>
      <c r="Y146" s="118"/>
      <c r="Z146" s="120"/>
      <c r="AG146" s="30" t="str">
        <f>IFERROR(INDEX('G-6 Hedgerow Data'!$BJ$3:$BJ$15,MATCH(D146,'G-6 Hedgerow Data'!$B$3:$B$15,0)),"")</f>
        <v/>
      </c>
    </row>
    <row r="147" spans="2:33" ht="15">
      <c r="B147" s="110">
        <v>136</v>
      </c>
      <c r="C147" s="167"/>
      <c r="D147" s="159"/>
      <c r="E147" s="139"/>
      <c r="F147" s="411" t="str">
        <f>IF(D147="","",VLOOKUP(D147,'G-6 Hedgerow Data'!$B$2:$AG$15,2,FALSE))</f>
        <v/>
      </c>
      <c r="G147" s="363" t="str">
        <f>IF(D147="","",VLOOKUP(D147,'G-6 Hedgerow Data'!$B$2:$AG$15,3,FALSE))</f>
        <v/>
      </c>
      <c r="H147" s="114"/>
      <c r="I147" s="363" t="str">
        <f>IFERROR(VLOOKUP(H147,'G-1 All Habitats'!$Z$2:$AA$9,2,FALSE),"")</f>
        <v/>
      </c>
      <c r="J147" s="114"/>
      <c r="K147" s="382" t="str">
        <f>IF(J147="","",IF(VLOOKUP(J147,'G-3 Multipliers'!$L$3:$N$6,2,FALSE)=0,"Spatial Data Missing ⚠",VLOOKUP(J147,'G-3 Multipliers'!$L$3:$N$6,2,FALSE)))</f>
        <v/>
      </c>
      <c r="L147" s="368" t="str">
        <f>IF(J147="","",IF(VLOOKUP(J147,'G-3 Multipliers'!$L$3:$N$6,3,FALSE)=0,"Spatial Data Missing ⚠",VLOOKUP(J147,'G-3 Multipliers'!$L$3:$N$6,3,FALSE)))</f>
        <v/>
      </c>
      <c r="M147" s="362" t="str">
        <f>IF(OR(D147="",H147=""),"",(INDEX('G-6 Hedgerow Data'!$E$3:$I$15,MATCH(D147,'G-6 Hedgerow Data'!$B$3:$B$15,0),MATCH(H147,'G-6 Hedgerow Data'!$E$2:$I$2,0))))</f>
        <v/>
      </c>
      <c r="N147" s="159"/>
      <c r="O147" s="159"/>
      <c r="P147" s="370" t="str">
        <f t="shared" si="13"/>
        <v/>
      </c>
      <c r="Q147" s="383" t="str">
        <f t="shared" si="14"/>
        <v/>
      </c>
      <c r="R147" s="384" t="str">
        <f t="shared" si="12"/>
        <v/>
      </c>
      <c r="S147" s="398" t="str">
        <f>IF(D147="","",VLOOKUP(D147,'G-6 Hedgerow Data'!$B$3:$AG$15,31,FALSE))</f>
        <v/>
      </c>
      <c r="T147" s="370" t="str">
        <f t="shared" si="15"/>
        <v/>
      </c>
      <c r="U147" s="370" t="str">
        <f t="shared" si="16"/>
        <v/>
      </c>
      <c r="V147" s="386" t="str">
        <f>IF(D147="","",VLOOKUP(S147,'G-3 Multipliers'!$P$3:$Q$6,2,FALSE))</f>
        <v/>
      </c>
      <c r="W147" s="390" t="str">
        <f t="shared" si="17"/>
        <v/>
      </c>
      <c r="X147" s="117"/>
      <c r="Y147" s="118"/>
      <c r="Z147" s="120"/>
      <c r="AG147" s="30" t="str">
        <f>IFERROR(INDEX('G-6 Hedgerow Data'!$BJ$3:$BJ$15,MATCH(D147,'G-6 Hedgerow Data'!$B$3:$B$15,0)),"")</f>
        <v/>
      </c>
    </row>
    <row r="148" spans="2:33" ht="15">
      <c r="B148" s="110">
        <v>137</v>
      </c>
      <c r="C148" s="167"/>
      <c r="D148" s="159"/>
      <c r="E148" s="139"/>
      <c r="F148" s="411" t="str">
        <f>IF(D148="","",VLOOKUP(D148,'G-6 Hedgerow Data'!$B$2:$AG$15,2,FALSE))</f>
        <v/>
      </c>
      <c r="G148" s="363" t="str">
        <f>IF(D148="","",VLOOKUP(D148,'G-6 Hedgerow Data'!$B$2:$AG$15,3,FALSE))</f>
        <v/>
      </c>
      <c r="H148" s="114"/>
      <c r="I148" s="363" t="str">
        <f>IFERROR(VLOOKUP(H148,'G-1 All Habitats'!$Z$2:$AA$9,2,FALSE),"")</f>
        <v/>
      </c>
      <c r="J148" s="114"/>
      <c r="K148" s="382" t="str">
        <f>IF(J148="","",IF(VLOOKUP(J148,'G-3 Multipliers'!$L$3:$N$6,2,FALSE)=0,"Spatial Data Missing ⚠",VLOOKUP(J148,'G-3 Multipliers'!$L$3:$N$6,2,FALSE)))</f>
        <v/>
      </c>
      <c r="L148" s="368" t="str">
        <f>IF(J148="","",IF(VLOOKUP(J148,'G-3 Multipliers'!$L$3:$N$6,3,FALSE)=0,"Spatial Data Missing ⚠",VLOOKUP(J148,'G-3 Multipliers'!$L$3:$N$6,3,FALSE)))</f>
        <v/>
      </c>
      <c r="M148" s="362" t="str">
        <f>IF(OR(D148="",H148=""),"",(INDEX('G-6 Hedgerow Data'!$E$3:$I$15,MATCH(D148,'G-6 Hedgerow Data'!$B$3:$B$15,0),MATCH(H148,'G-6 Hedgerow Data'!$E$2:$I$2,0))))</f>
        <v/>
      </c>
      <c r="N148" s="159"/>
      <c r="O148" s="159"/>
      <c r="P148" s="370" t="str">
        <f t="shared" si="13"/>
        <v/>
      </c>
      <c r="Q148" s="383" t="str">
        <f t="shared" si="14"/>
        <v/>
      </c>
      <c r="R148" s="384" t="str">
        <f t="shared" si="12"/>
        <v/>
      </c>
      <c r="S148" s="398" t="str">
        <f>IF(D148="","",VLOOKUP(D148,'G-6 Hedgerow Data'!$B$3:$AG$15,31,FALSE))</f>
        <v/>
      </c>
      <c r="T148" s="370" t="str">
        <f t="shared" si="15"/>
        <v/>
      </c>
      <c r="U148" s="370" t="str">
        <f t="shared" si="16"/>
        <v/>
      </c>
      <c r="V148" s="386" t="str">
        <f>IF(D148="","",VLOOKUP(S148,'G-3 Multipliers'!$P$3:$Q$6,2,FALSE))</f>
        <v/>
      </c>
      <c r="W148" s="390" t="str">
        <f t="shared" si="17"/>
        <v/>
      </c>
      <c r="X148" s="117"/>
      <c r="Y148" s="118"/>
      <c r="Z148" s="120"/>
      <c r="AG148" s="30" t="str">
        <f>IFERROR(INDEX('G-6 Hedgerow Data'!$BJ$3:$BJ$15,MATCH(D148,'G-6 Hedgerow Data'!$B$3:$B$15,0)),"")</f>
        <v/>
      </c>
    </row>
    <row r="149" spans="2:33" ht="15">
      <c r="B149" s="110">
        <v>138</v>
      </c>
      <c r="C149" s="167"/>
      <c r="D149" s="159"/>
      <c r="E149" s="139"/>
      <c r="F149" s="411" t="str">
        <f>IF(D149="","",VLOOKUP(D149,'G-6 Hedgerow Data'!$B$2:$AG$15,2,FALSE))</f>
        <v/>
      </c>
      <c r="G149" s="363" t="str">
        <f>IF(D149="","",VLOOKUP(D149,'G-6 Hedgerow Data'!$B$2:$AG$15,3,FALSE))</f>
        <v/>
      </c>
      <c r="H149" s="114"/>
      <c r="I149" s="363" t="str">
        <f>IFERROR(VLOOKUP(H149,'G-1 All Habitats'!$Z$2:$AA$9,2,FALSE),"")</f>
        <v/>
      </c>
      <c r="J149" s="114"/>
      <c r="K149" s="382" t="str">
        <f>IF(J149="","",IF(VLOOKUP(J149,'G-3 Multipliers'!$L$3:$N$6,2,FALSE)=0,"Spatial Data Missing ⚠",VLOOKUP(J149,'G-3 Multipliers'!$L$3:$N$6,2,FALSE)))</f>
        <v/>
      </c>
      <c r="L149" s="368" t="str">
        <f>IF(J149="","",IF(VLOOKUP(J149,'G-3 Multipliers'!$L$3:$N$6,3,FALSE)=0,"Spatial Data Missing ⚠",VLOOKUP(J149,'G-3 Multipliers'!$L$3:$N$6,3,FALSE)))</f>
        <v/>
      </c>
      <c r="M149" s="362" t="str">
        <f>IF(OR(D149="",H149=""),"",(INDEX('G-6 Hedgerow Data'!$E$3:$I$15,MATCH(D149,'G-6 Hedgerow Data'!$B$3:$B$15,0),MATCH(H149,'G-6 Hedgerow Data'!$E$2:$I$2,0))))</f>
        <v/>
      </c>
      <c r="N149" s="159"/>
      <c r="O149" s="159"/>
      <c r="P149" s="370" t="str">
        <f t="shared" si="13"/>
        <v/>
      </c>
      <c r="Q149" s="383" t="str">
        <f t="shared" si="14"/>
        <v/>
      </c>
      <c r="R149" s="384" t="str">
        <f t="shared" si="12"/>
        <v/>
      </c>
      <c r="S149" s="398" t="str">
        <f>IF(D149="","",VLOOKUP(D149,'G-6 Hedgerow Data'!$B$3:$AG$15,31,FALSE))</f>
        <v/>
      </c>
      <c r="T149" s="370" t="str">
        <f t="shared" si="15"/>
        <v/>
      </c>
      <c r="U149" s="370" t="str">
        <f t="shared" si="16"/>
        <v/>
      </c>
      <c r="V149" s="386" t="str">
        <f>IF(D149="","",VLOOKUP(S149,'G-3 Multipliers'!$P$3:$Q$6,2,FALSE))</f>
        <v/>
      </c>
      <c r="W149" s="390" t="str">
        <f t="shared" si="17"/>
        <v/>
      </c>
      <c r="X149" s="117"/>
      <c r="Y149" s="118"/>
      <c r="Z149" s="120"/>
      <c r="AG149" s="30" t="str">
        <f>IFERROR(INDEX('G-6 Hedgerow Data'!$BJ$3:$BJ$15,MATCH(D149,'G-6 Hedgerow Data'!$B$3:$B$15,0)),"")</f>
        <v/>
      </c>
    </row>
    <row r="150" spans="2:33" ht="15">
      <c r="B150" s="110">
        <v>139</v>
      </c>
      <c r="C150" s="167"/>
      <c r="D150" s="159"/>
      <c r="E150" s="139"/>
      <c r="F150" s="411" t="str">
        <f>IF(D150="","",VLOOKUP(D150,'G-6 Hedgerow Data'!$B$2:$AG$15,2,FALSE))</f>
        <v/>
      </c>
      <c r="G150" s="363" t="str">
        <f>IF(D150="","",VLOOKUP(D150,'G-6 Hedgerow Data'!$B$2:$AG$15,3,FALSE))</f>
        <v/>
      </c>
      <c r="H150" s="114"/>
      <c r="I150" s="363" t="str">
        <f>IFERROR(VLOOKUP(H150,'G-1 All Habitats'!$Z$2:$AA$9,2,FALSE),"")</f>
        <v/>
      </c>
      <c r="J150" s="114"/>
      <c r="K150" s="382" t="str">
        <f>IF(J150="","",IF(VLOOKUP(J150,'G-3 Multipliers'!$L$3:$N$6,2,FALSE)=0,"Spatial Data Missing ⚠",VLOOKUP(J150,'G-3 Multipliers'!$L$3:$N$6,2,FALSE)))</f>
        <v/>
      </c>
      <c r="L150" s="368" t="str">
        <f>IF(J150="","",IF(VLOOKUP(J150,'G-3 Multipliers'!$L$3:$N$6,3,FALSE)=0,"Spatial Data Missing ⚠",VLOOKUP(J150,'G-3 Multipliers'!$L$3:$N$6,3,FALSE)))</f>
        <v/>
      </c>
      <c r="M150" s="362" t="str">
        <f>IF(OR(D150="",H150=""),"",(INDEX('G-6 Hedgerow Data'!$E$3:$I$15,MATCH(D150,'G-6 Hedgerow Data'!$B$3:$B$15,0),MATCH(H150,'G-6 Hedgerow Data'!$E$2:$I$2,0))))</f>
        <v/>
      </c>
      <c r="N150" s="159"/>
      <c r="O150" s="159"/>
      <c r="P150" s="370" t="str">
        <f t="shared" si="13"/>
        <v/>
      </c>
      <c r="Q150" s="383" t="str">
        <f t="shared" si="14"/>
        <v/>
      </c>
      <c r="R150" s="384" t="str">
        <f t="shared" si="12"/>
        <v/>
      </c>
      <c r="S150" s="398" t="str">
        <f>IF(D150="","",VLOOKUP(D150,'G-6 Hedgerow Data'!$B$3:$AG$15,31,FALSE))</f>
        <v/>
      </c>
      <c r="T150" s="370" t="str">
        <f t="shared" si="15"/>
        <v/>
      </c>
      <c r="U150" s="370" t="str">
        <f t="shared" si="16"/>
        <v/>
      </c>
      <c r="V150" s="386" t="str">
        <f>IF(D150="","",VLOOKUP(S150,'G-3 Multipliers'!$P$3:$Q$6,2,FALSE))</f>
        <v/>
      </c>
      <c r="W150" s="390" t="str">
        <f t="shared" si="17"/>
        <v/>
      </c>
      <c r="X150" s="117"/>
      <c r="Y150" s="118"/>
      <c r="Z150" s="120"/>
      <c r="AG150" s="30" t="str">
        <f>IFERROR(INDEX('G-6 Hedgerow Data'!$BJ$3:$BJ$15,MATCH(D150,'G-6 Hedgerow Data'!$B$3:$B$15,0)),"")</f>
        <v/>
      </c>
    </row>
    <row r="151" spans="2:33" ht="15">
      <c r="B151" s="110">
        <v>140</v>
      </c>
      <c r="C151" s="167"/>
      <c r="D151" s="159"/>
      <c r="E151" s="139"/>
      <c r="F151" s="411" t="str">
        <f>IF(D151="","",VLOOKUP(D151,'G-6 Hedgerow Data'!$B$2:$AG$15,2,FALSE))</f>
        <v/>
      </c>
      <c r="G151" s="363" t="str">
        <f>IF(D151="","",VLOOKUP(D151,'G-6 Hedgerow Data'!$B$2:$AG$15,3,FALSE))</f>
        <v/>
      </c>
      <c r="H151" s="114"/>
      <c r="I151" s="363" t="str">
        <f>IFERROR(VLOOKUP(H151,'G-1 All Habitats'!$Z$2:$AA$9,2,FALSE),"")</f>
        <v/>
      </c>
      <c r="J151" s="114"/>
      <c r="K151" s="382" t="str">
        <f>IF(J151="","",IF(VLOOKUP(J151,'G-3 Multipliers'!$L$3:$N$6,2,FALSE)=0,"Spatial Data Missing ⚠",VLOOKUP(J151,'G-3 Multipliers'!$L$3:$N$6,2,FALSE)))</f>
        <v/>
      </c>
      <c r="L151" s="368" t="str">
        <f>IF(J151="","",IF(VLOOKUP(J151,'G-3 Multipliers'!$L$3:$N$6,3,FALSE)=0,"Spatial Data Missing ⚠",VLOOKUP(J151,'G-3 Multipliers'!$L$3:$N$6,3,FALSE)))</f>
        <v/>
      </c>
      <c r="M151" s="362" t="str">
        <f>IF(OR(D151="",H151=""),"",(INDEX('G-6 Hedgerow Data'!$E$3:$I$15,MATCH(D151,'G-6 Hedgerow Data'!$B$3:$B$15,0),MATCH(H151,'G-6 Hedgerow Data'!$E$2:$I$2,0))))</f>
        <v/>
      </c>
      <c r="N151" s="159"/>
      <c r="O151" s="159"/>
      <c r="P151" s="370" t="str">
        <f t="shared" si="13"/>
        <v/>
      </c>
      <c r="Q151" s="383" t="str">
        <f t="shared" si="14"/>
        <v/>
      </c>
      <c r="R151" s="384" t="str">
        <f t="shared" si="12"/>
        <v/>
      </c>
      <c r="S151" s="398" t="str">
        <f>IF(D151="","",VLOOKUP(D151,'G-6 Hedgerow Data'!$B$3:$AG$15,31,FALSE))</f>
        <v/>
      </c>
      <c r="T151" s="370" t="str">
        <f t="shared" si="15"/>
        <v/>
      </c>
      <c r="U151" s="370" t="str">
        <f t="shared" si="16"/>
        <v/>
      </c>
      <c r="V151" s="386" t="str">
        <f>IF(D151="","",VLOOKUP(S151,'G-3 Multipliers'!$P$3:$Q$6,2,FALSE))</f>
        <v/>
      </c>
      <c r="W151" s="390" t="str">
        <f t="shared" si="17"/>
        <v/>
      </c>
      <c r="X151" s="117"/>
      <c r="Y151" s="118"/>
      <c r="Z151" s="120"/>
      <c r="AG151" s="30" t="str">
        <f>IFERROR(INDEX('G-6 Hedgerow Data'!$BJ$3:$BJ$15,MATCH(D151,'G-6 Hedgerow Data'!$B$3:$B$15,0)),"")</f>
        <v/>
      </c>
    </row>
    <row r="152" spans="2:33" ht="15">
      <c r="B152" s="110">
        <v>141</v>
      </c>
      <c r="C152" s="167"/>
      <c r="D152" s="159"/>
      <c r="E152" s="139"/>
      <c r="F152" s="411" t="str">
        <f>IF(D152="","",VLOOKUP(D152,'G-6 Hedgerow Data'!$B$2:$AG$15,2,FALSE))</f>
        <v/>
      </c>
      <c r="G152" s="363" t="str">
        <f>IF(D152="","",VLOOKUP(D152,'G-6 Hedgerow Data'!$B$2:$AG$15,3,FALSE))</f>
        <v/>
      </c>
      <c r="H152" s="114"/>
      <c r="I152" s="363" t="str">
        <f>IFERROR(VLOOKUP(H152,'G-1 All Habitats'!$Z$2:$AA$9,2,FALSE),"")</f>
        <v/>
      </c>
      <c r="J152" s="114"/>
      <c r="K152" s="382" t="str">
        <f>IF(J152="","",IF(VLOOKUP(J152,'G-3 Multipliers'!$L$3:$N$6,2,FALSE)=0,"Spatial Data Missing ⚠",VLOOKUP(J152,'G-3 Multipliers'!$L$3:$N$6,2,FALSE)))</f>
        <v/>
      </c>
      <c r="L152" s="368" t="str">
        <f>IF(J152="","",IF(VLOOKUP(J152,'G-3 Multipliers'!$L$3:$N$6,3,FALSE)=0,"Spatial Data Missing ⚠",VLOOKUP(J152,'G-3 Multipliers'!$L$3:$N$6,3,FALSE)))</f>
        <v/>
      </c>
      <c r="M152" s="362" t="str">
        <f>IF(OR(D152="",H152=""),"",(INDEX('G-6 Hedgerow Data'!$E$3:$I$15,MATCH(D152,'G-6 Hedgerow Data'!$B$3:$B$15,0),MATCH(H152,'G-6 Hedgerow Data'!$E$2:$I$2,0))))</f>
        <v/>
      </c>
      <c r="N152" s="159"/>
      <c r="O152" s="159"/>
      <c r="P152" s="370" t="str">
        <f t="shared" si="13"/>
        <v/>
      </c>
      <c r="Q152" s="383" t="str">
        <f t="shared" si="14"/>
        <v/>
      </c>
      <c r="R152" s="384" t="str">
        <f t="shared" si="12"/>
        <v/>
      </c>
      <c r="S152" s="398" t="str">
        <f>IF(D152="","",VLOOKUP(D152,'G-6 Hedgerow Data'!$B$3:$AG$15,31,FALSE))</f>
        <v/>
      </c>
      <c r="T152" s="370" t="str">
        <f t="shared" si="15"/>
        <v/>
      </c>
      <c r="U152" s="370" t="str">
        <f t="shared" si="16"/>
        <v/>
      </c>
      <c r="V152" s="386" t="str">
        <f>IF(D152="","",VLOOKUP(S152,'G-3 Multipliers'!$P$3:$Q$6,2,FALSE))</f>
        <v/>
      </c>
      <c r="W152" s="390" t="str">
        <f t="shared" si="17"/>
        <v/>
      </c>
      <c r="X152" s="117"/>
      <c r="Y152" s="118"/>
      <c r="Z152" s="120"/>
      <c r="AG152" s="30" t="str">
        <f>IFERROR(INDEX('G-6 Hedgerow Data'!$BJ$3:$BJ$15,MATCH(D152,'G-6 Hedgerow Data'!$B$3:$B$15,0)),"")</f>
        <v/>
      </c>
    </row>
    <row r="153" spans="2:33" ht="15">
      <c r="B153" s="110">
        <v>142</v>
      </c>
      <c r="C153" s="167"/>
      <c r="D153" s="159"/>
      <c r="E153" s="139"/>
      <c r="F153" s="411" t="str">
        <f>IF(D153="","",VLOOKUP(D153,'G-6 Hedgerow Data'!$B$2:$AG$15,2,FALSE))</f>
        <v/>
      </c>
      <c r="G153" s="363" t="str">
        <f>IF(D153="","",VLOOKUP(D153,'G-6 Hedgerow Data'!$B$2:$AG$15,3,FALSE))</f>
        <v/>
      </c>
      <c r="H153" s="114"/>
      <c r="I153" s="363" t="str">
        <f>IFERROR(VLOOKUP(H153,'G-1 All Habitats'!$Z$2:$AA$9,2,FALSE),"")</f>
        <v/>
      </c>
      <c r="J153" s="114"/>
      <c r="K153" s="382" t="str">
        <f>IF(J153="","",IF(VLOOKUP(J153,'G-3 Multipliers'!$L$3:$N$6,2,FALSE)=0,"Spatial Data Missing ⚠",VLOOKUP(J153,'G-3 Multipliers'!$L$3:$N$6,2,FALSE)))</f>
        <v/>
      </c>
      <c r="L153" s="368" t="str">
        <f>IF(J153="","",IF(VLOOKUP(J153,'G-3 Multipliers'!$L$3:$N$6,3,FALSE)=0,"Spatial Data Missing ⚠",VLOOKUP(J153,'G-3 Multipliers'!$L$3:$N$6,3,FALSE)))</f>
        <v/>
      </c>
      <c r="M153" s="362" t="str">
        <f>IF(OR(D153="",H153=""),"",(INDEX('G-6 Hedgerow Data'!$E$3:$I$15,MATCH(D153,'G-6 Hedgerow Data'!$B$3:$B$15,0),MATCH(H153,'G-6 Hedgerow Data'!$E$2:$I$2,0))))</f>
        <v/>
      </c>
      <c r="N153" s="159"/>
      <c r="O153" s="159"/>
      <c r="P153" s="370" t="str">
        <f t="shared" si="13"/>
        <v/>
      </c>
      <c r="Q153" s="383" t="str">
        <f t="shared" si="14"/>
        <v/>
      </c>
      <c r="R153" s="384" t="str">
        <f t="shared" si="12"/>
        <v/>
      </c>
      <c r="S153" s="398" t="str">
        <f>IF(D153="","",VLOOKUP(D153,'G-6 Hedgerow Data'!$B$3:$AG$15,31,FALSE))</f>
        <v/>
      </c>
      <c r="T153" s="370" t="str">
        <f t="shared" si="15"/>
        <v/>
      </c>
      <c r="U153" s="370" t="str">
        <f t="shared" si="16"/>
        <v/>
      </c>
      <c r="V153" s="386" t="str">
        <f>IF(D153="","",VLOOKUP(S153,'G-3 Multipliers'!$P$3:$Q$6,2,FALSE))</f>
        <v/>
      </c>
      <c r="W153" s="390" t="str">
        <f t="shared" si="17"/>
        <v/>
      </c>
      <c r="X153" s="117"/>
      <c r="Y153" s="118"/>
      <c r="Z153" s="120"/>
      <c r="AG153" s="30" t="str">
        <f>IFERROR(INDEX('G-6 Hedgerow Data'!$BJ$3:$BJ$15,MATCH(D153,'G-6 Hedgerow Data'!$B$3:$B$15,0)),"")</f>
        <v/>
      </c>
    </row>
    <row r="154" spans="2:33" ht="15">
      <c r="B154" s="110">
        <v>143</v>
      </c>
      <c r="C154" s="167"/>
      <c r="D154" s="159"/>
      <c r="E154" s="139"/>
      <c r="F154" s="411" t="str">
        <f>IF(D154="","",VLOOKUP(D154,'G-6 Hedgerow Data'!$B$2:$AG$15,2,FALSE))</f>
        <v/>
      </c>
      <c r="G154" s="363" t="str">
        <f>IF(D154="","",VLOOKUP(D154,'G-6 Hedgerow Data'!$B$2:$AG$15,3,FALSE))</f>
        <v/>
      </c>
      <c r="H154" s="114"/>
      <c r="I154" s="363" t="str">
        <f>IFERROR(VLOOKUP(H154,'G-1 All Habitats'!$Z$2:$AA$9,2,FALSE),"")</f>
        <v/>
      </c>
      <c r="J154" s="114"/>
      <c r="K154" s="382" t="str">
        <f>IF(J154="","",IF(VLOOKUP(J154,'G-3 Multipliers'!$L$3:$N$6,2,FALSE)=0,"Spatial Data Missing ⚠",VLOOKUP(J154,'G-3 Multipliers'!$L$3:$N$6,2,FALSE)))</f>
        <v/>
      </c>
      <c r="L154" s="368" t="str">
        <f>IF(J154="","",IF(VLOOKUP(J154,'G-3 Multipliers'!$L$3:$N$6,3,FALSE)=0,"Spatial Data Missing ⚠",VLOOKUP(J154,'G-3 Multipliers'!$L$3:$N$6,3,FALSE)))</f>
        <v/>
      </c>
      <c r="M154" s="362" t="str">
        <f>IF(OR(D154="",H154=""),"",(INDEX('G-6 Hedgerow Data'!$E$3:$I$15,MATCH(D154,'G-6 Hedgerow Data'!$B$3:$B$15,0),MATCH(H154,'G-6 Hedgerow Data'!$E$2:$I$2,0))))</f>
        <v/>
      </c>
      <c r="N154" s="159"/>
      <c r="O154" s="159"/>
      <c r="P154" s="370" t="str">
        <f t="shared" si="13"/>
        <v/>
      </c>
      <c r="Q154" s="383" t="str">
        <f t="shared" si="14"/>
        <v/>
      </c>
      <c r="R154" s="384" t="str">
        <f t="shared" si="12"/>
        <v/>
      </c>
      <c r="S154" s="398" t="str">
        <f>IF(D154="","",VLOOKUP(D154,'G-6 Hedgerow Data'!$B$3:$AG$15,31,FALSE))</f>
        <v/>
      </c>
      <c r="T154" s="370" t="str">
        <f t="shared" si="15"/>
        <v/>
      </c>
      <c r="U154" s="370" t="str">
        <f t="shared" si="16"/>
        <v/>
      </c>
      <c r="V154" s="386" t="str">
        <f>IF(D154="","",VLOOKUP(S154,'G-3 Multipliers'!$P$3:$Q$6,2,FALSE))</f>
        <v/>
      </c>
      <c r="W154" s="390" t="str">
        <f t="shared" si="17"/>
        <v/>
      </c>
      <c r="X154" s="117"/>
      <c r="Y154" s="118"/>
      <c r="Z154" s="120"/>
      <c r="AG154" s="30" t="str">
        <f>IFERROR(INDEX('G-6 Hedgerow Data'!$BJ$3:$BJ$15,MATCH(D154,'G-6 Hedgerow Data'!$B$3:$B$15,0)),"")</f>
        <v/>
      </c>
    </row>
    <row r="155" spans="2:33" ht="15">
      <c r="B155" s="110">
        <v>144</v>
      </c>
      <c r="C155" s="167"/>
      <c r="D155" s="159"/>
      <c r="E155" s="139"/>
      <c r="F155" s="411" t="str">
        <f>IF(D155="","",VLOOKUP(D155,'G-6 Hedgerow Data'!$B$2:$AG$15,2,FALSE))</f>
        <v/>
      </c>
      <c r="G155" s="363" t="str">
        <f>IF(D155="","",VLOOKUP(D155,'G-6 Hedgerow Data'!$B$2:$AG$15,3,FALSE))</f>
        <v/>
      </c>
      <c r="H155" s="114"/>
      <c r="I155" s="363" t="str">
        <f>IFERROR(VLOOKUP(H155,'G-1 All Habitats'!$Z$2:$AA$9,2,FALSE),"")</f>
        <v/>
      </c>
      <c r="J155" s="114"/>
      <c r="K155" s="382" t="str">
        <f>IF(J155="","",IF(VLOOKUP(J155,'G-3 Multipliers'!$L$3:$N$6,2,FALSE)=0,"Spatial Data Missing ⚠",VLOOKUP(J155,'G-3 Multipliers'!$L$3:$N$6,2,FALSE)))</f>
        <v/>
      </c>
      <c r="L155" s="368" t="str">
        <f>IF(J155="","",IF(VLOOKUP(J155,'G-3 Multipliers'!$L$3:$N$6,3,FALSE)=0,"Spatial Data Missing ⚠",VLOOKUP(J155,'G-3 Multipliers'!$L$3:$N$6,3,FALSE)))</f>
        <v/>
      </c>
      <c r="M155" s="362" t="str">
        <f>IF(OR(D155="",H155=""),"",(INDEX('G-6 Hedgerow Data'!$E$3:$I$15,MATCH(D155,'G-6 Hedgerow Data'!$B$3:$B$15,0),MATCH(H155,'G-6 Hedgerow Data'!$E$2:$I$2,0))))</f>
        <v/>
      </c>
      <c r="N155" s="159"/>
      <c r="O155" s="159"/>
      <c r="P155" s="370" t="str">
        <f t="shared" si="13"/>
        <v/>
      </c>
      <c r="Q155" s="383" t="str">
        <f t="shared" si="14"/>
        <v/>
      </c>
      <c r="R155" s="384" t="str">
        <f t="shared" si="12"/>
        <v/>
      </c>
      <c r="S155" s="398" t="str">
        <f>IF(D155="","",VLOOKUP(D155,'G-6 Hedgerow Data'!$B$3:$AG$15,31,FALSE))</f>
        <v/>
      </c>
      <c r="T155" s="370" t="str">
        <f t="shared" si="15"/>
        <v/>
      </c>
      <c r="U155" s="370" t="str">
        <f t="shared" si="16"/>
        <v/>
      </c>
      <c r="V155" s="386" t="str">
        <f>IF(D155="","",VLOOKUP(S155,'G-3 Multipliers'!$P$3:$Q$6,2,FALSE))</f>
        <v/>
      </c>
      <c r="W155" s="390" t="str">
        <f t="shared" si="17"/>
        <v/>
      </c>
      <c r="X155" s="117"/>
      <c r="Y155" s="118"/>
      <c r="Z155" s="120"/>
      <c r="AG155" s="30" t="str">
        <f>IFERROR(INDEX('G-6 Hedgerow Data'!$BJ$3:$BJ$15,MATCH(D155,'G-6 Hedgerow Data'!$B$3:$B$15,0)),"")</f>
        <v/>
      </c>
    </row>
    <row r="156" spans="2:33" ht="15">
      <c r="B156" s="110">
        <v>145</v>
      </c>
      <c r="C156" s="167"/>
      <c r="D156" s="159"/>
      <c r="E156" s="139"/>
      <c r="F156" s="411" t="str">
        <f>IF(D156="","",VLOOKUP(D156,'G-6 Hedgerow Data'!$B$2:$AG$15,2,FALSE))</f>
        <v/>
      </c>
      <c r="G156" s="363" t="str">
        <f>IF(D156="","",VLOOKUP(D156,'G-6 Hedgerow Data'!$B$2:$AG$15,3,FALSE))</f>
        <v/>
      </c>
      <c r="H156" s="114"/>
      <c r="I156" s="363" t="str">
        <f>IFERROR(VLOOKUP(H156,'G-1 All Habitats'!$Z$2:$AA$9,2,FALSE),"")</f>
        <v/>
      </c>
      <c r="J156" s="114"/>
      <c r="K156" s="382" t="str">
        <f>IF(J156="","",IF(VLOOKUP(J156,'G-3 Multipliers'!$L$3:$N$6,2,FALSE)=0,"Spatial Data Missing ⚠",VLOOKUP(J156,'G-3 Multipliers'!$L$3:$N$6,2,FALSE)))</f>
        <v/>
      </c>
      <c r="L156" s="368" t="str">
        <f>IF(J156="","",IF(VLOOKUP(J156,'G-3 Multipliers'!$L$3:$N$6,3,FALSE)=0,"Spatial Data Missing ⚠",VLOOKUP(J156,'G-3 Multipliers'!$L$3:$N$6,3,FALSE)))</f>
        <v/>
      </c>
      <c r="M156" s="362" t="str">
        <f>IF(OR(D156="",H156=""),"",(INDEX('G-6 Hedgerow Data'!$E$3:$I$15,MATCH(D156,'G-6 Hedgerow Data'!$B$3:$B$15,0),MATCH(H156,'G-6 Hedgerow Data'!$E$2:$I$2,0))))</f>
        <v/>
      </c>
      <c r="N156" s="159"/>
      <c r="O156" s="159"/>
      <c r="P156" s="370" t="str">
        <f t="shared" si="13"/>
        <v/>
      </c>
      <c r="Q156" s="383" t="str">
        <f t="shared" si="14"/>
        <v/>
      </c>
      <c r="R156" s="384" t="str">
        <f t="shared" si="12"/>
        <v/>
      </c>
      <c r="S156" s="398" t="str">
        <f>IF(D156="","",VLOOKUP(D156,'G-6 Hedgerow Data'!$B$3:$AG$15,31,FALSE))</f>
        <v/>
      </c>
      <c r="T156" s="370" t="str">
        <f t="shared" si="15"/>
        <v/>
      </c>
      <c r="U156" s="370" t="str">
        <f t="shared" si="16"/>
        <v/>
      </c>
      <c r="V156" s="386" t="str">
        <f>IF(D156="","",VLOOKUP(S156,'G-3 Multipliers'!$P$3:$Q$6,2,FALSE))</f>
        <v/>
      </c>
      <c r="W156" s="390" t="str">
        <f t="shared" si="17"/>
        <v/>
      </c>
      <c r="X156" s="117"/>
      <c r="Y156" s="118"/>
      <c r="Z156" s="120"/>
      <c r="AG156" s="30" t="str">
        <f>IFERROR(INDEX('G-6 Hedgerow Data'!$BJ$3:$BJ$15,MATCH(D156,'G-6 Hedgerow Data'!$B$3:$B$15,0)),"")</f>
        <v/>
      </c>
    </row>
    <row r="157" spans="2:33" ht="15">
      <c r="B157" s="110">
        <v>146</v>
      </c>
      <c r="C157" s="167"/>
      <c r="D157" s="159"/>
      <c r="E157" s="139"/>
      <c r="F157" s="411" t="str">
        <f>IF(D157="","",VLOOKUP(D157,'G-6 Hedgerow Data'!$B$2:$AG$15,2,FALSE))</f>
        <v/>
      </c>
      <c r="G157" s="363" t="str">
        <f>IF(D157="","",VLOOKUP(D157,'G-6 Hedgerow Data'!$B$2:$AG$15,3,FALSE))</f>
        <v/>
      </c>
      <c r="H157" s="114"/>
      <c r="I157" s="363" t="str">
        <f>IFERROR(VLOOKUP(H157,'G-1 All Habitats'!$Z$2:$AA$9,2,FALSE),"")</f>
        <v/>
      </c>
      <c r="J157" s="114"/>
      <c r="K157" s="382" t="str">
        <f>IF(J157="","",IF(VLOOKUP(J157,'G-3 Multipliers'!$L$3:$N$6,2,FALSE)=0,"Spatial Data Missing ⚠",VLOOKUP(J157,'G-3 Multipliers'!$L$3:$N$6,2,FALSE)))</f>
        <v/>
      </c>
      <c r="L157" s="368" t="str">
        <f>IF(J157="","",IF(VLOOKUP(J157,'G-3 Multipliers'!$L$3:$N$6,3,FALSE)=0,"Spatial Data Missing ⚠",VLOOKUP(J157,'G-3 Multipliers'!$L$3:$N$6,3,FALSE)))</f>
        <v/>
      </c>
      <c r="M157" s="362" t="str">
        <f>IF(OR(D157="",H157=""),"",(INDEX('G-6 Hedgerow Data'!$E$3:$I$15,MATCH(D157,'G-6 Hedgerow Data'!$B$3:$B$15,0),MATCH(H157,'G-6 Hedgerow Data'!$E$2:$I$2,0))))</f>
        <v/>
      </c>
      <c r="N157" s="159"/>
      <c r="O157" s="159"/>
      <c r="P157" s="370" t="str">
        <f t="shared" si="13"/>
        <v/>
      </c>
      <c r="Q157" s="383" t="str">
        <f t="shared" si="14"/>
        <v/>
      </c>
      <c r="R157" s="384" t="str">
        <f t="shared" si="12"/>
        <v/>
      </c>
      <c r="S157" s="398" t="str">
        <f>IF(D157="","",VLOOKUP(D157,'G-6 Hedgerow Data'!$B$3:$AG$15,31,FALSE))</f>
        <v/>
      </c>
      <c r="T157" s="370" t="str">
        <f t="shared" si="15"/>
        <v/>
      </c>
      <c r="U157" s="370" t="str">
        <f t="shared" si="16"/>
        <v/>
      </c>
      <c r="V157" s="386" t="str">
        <f>IF(D157="","",VLOOKUP(S157,'G-3 Multipliers'!$P$3:$Q$6,2,FALSE))</f>
        <v/>
      </c>
      <c r="W157" s="390" t="str">
        <f t="shared" si="17"/>
        <v/>
      </c>
      <c r="X157" s="117"/>
      <c r="Y157" s="118"/>
      <c r="Z157" s="120"/>
      <c r="AG157" s="30" t="str">
        <f>IFERROR(INDEX('G-6 Hedgerow Data'!$BJ$3:$BJ$15,MATCH(D157,'G-6 Hedgerow Data'!$B$3:$B$15,0)),"")</f>
        <v/>
      </c>
    </row>
    <row r="158" spans="2:33" ht="15">
      <c r="B158" s="110">
        <v>147</v>
      </c>
      <c r="C158" s="167"/>
      <c r="D158" s="159"/>
      <c r="E158" s="139"/>
      <c r="F158" s="411" t="str">
        <f>IF(D158="","",VLOOKUP(D158,'G-6 Hedgerow Data'!$B$2:$AG$15,2,FALSE))</f>
        <v/>
      </c>
      <c r="G158" s="363" t="str">
        <f>IF(D158="","",VLOOKUP(D158,'G-6 Hedgerow Data'!$B$2:$AG$15,3,FALSE))</f>
        <v/>
      </c>
      <c r="H158" s="114"/>
      <c r="I158" s="363" t="str">
        <f>IFERROR(VLOOKUP(H158,'G-1 All Habitats'!$Z$2:$AA$9,2,FALSE),"")</f>
        <v/>
      </c>
      <c r="J158" s="114"/>
      <c r="K158" s="382" t="str">
        <f>IF(J158="","",IF(VLOOKUP(J158,'G-3 Multipliers'!$L$3:$N$6,2,FALSE)=0,"Spatial Data Missing ⚠",VLOOKUP(J158,'G-3 Multipliers'!$L$3:$N$6,2,FALSE)))</f>
        <v/>
      </c>
      <c r="L158" s="368" t="str">
        <f>IF(J158="","",IF(VLOOKUP(J158,'G-3 Multipliers'!$L$3:$N$6,3,FALSE)=0,"Spatial Data Missing ⚠",VLOOKUP(J158,'G-3 Multipliers'!$L$3:$N$6,3,FALSE)))</f>
        <v/>
      </c>
      <c r="M158" s="362" t="str">
        <f>IF(OR(D158="",H158=""),"",(INDEX('G-6 Hedgerow Data'!$E$3:$I$15,MATCH(D158,'G-6 Hedgerow Data'!$B$3:$B$15,0),MATCH(H158,'G-6 Hedgerow Data'!$E$2:$I$2,0))))</f>
        <v/>
      </c>
      <c r="N158" s="159"/>
      <c r="O158" s="159"/>
      <c r="P158" s="370" t="str">
        <f t="shared" si="13"/>
        <v/>
      </c>
      <c r="Q158" s="383" t="str">
        <f t="shared" si="14"/>
        <v/>
      </c>
      <c r="R158" s="384" t="str">
        <f t="shared" si="12"/>
        <v/>
      </c>
      <c r="S158" s="398" t="str">
        <f>IF(D158="","",VLOOKUP(D158,'G-6 Hedgerow Data'!$B$3:$AG$15,31,FALSE))</f>
        <v/>
      </c>
      <c r="T158" s="370" t="str">
        <f t="shared" si="15"/>
        <v/>
      </c>
      <c r="U158" s="370" t="str">
        <f t="shared" si="16"/>
        <v/>
      </c>
      <c r="V158" s="386" t="str">
        <f>IF(D158="","",VLOOKUP(S158,'G-3 Multipliers'!$P$3:$Q$6,2,FALSE))</f>
        <v/>
      </c>
      <c r="W158" s="390" t="str">
        <f t="shared" si="17"/>
        <v/>
      </c>
      <c r="X158" s="117"/>
      <c r="Y158" s="118"/>
      <c r="Z158" s="120"/>
      <c r="AG158" s="30" t="str">
        <f>IFERROR(INDEX('G-6 Hedgerow Data'!$BJ$3:$BJ$15,MATCH(D158,'G-6 Hedgerow Data'!$B$3:$B$15,0)),"")</f>
        <v/>
      </c>
    </row>
    <row r="159" spans="2:33" ht="15">
      <c r="B159" s="110">
        <v>148</v>
      </c>
      <c r="C159" s="167"/>
      <c r="D159" s="159"/>
      <c r="E159" s="139"/>
      <c r="F159" s="411" t="str">
        <f>IF(D159="","",VLOOKUP(D159,'G-6 Hedgerow Data'!$B$2:$AG$15,2,FALSE))</f>
        <v/>
      </c>
      <c r="G159" s="363" t="str">
        <f>IF(D159="","",VLOOKUP(D159,'G-6 Hedgerow Data'!$B$2:$AG$15,3,FALSE))</f>
        <v/>
      </c>
      <c r="H159" s="114"/>
      <c r="I159" s="363" t="str">
        <f>IFERROR(VLOOKUP(H159,'G-1 All Habitats'!$Z$2:$AA$9,2,FALSE),"")</f>
        <v/>
      </c>
      <c r="J159" s="114"/>
      <c r="K159" s="382" t="str">
        <f>IF(J159="","",IF(VLOOKUP(J159,'G-3 Multipliers'!$L$3:$N$6,2,FALSE)=0,"Spatial Data Missing ⚠",VLOOKUP(J159,'G-3 Multipliers'!$L$3:$N$6,2,FALSE)))</f>
        <v/>
      </c>
      <c r="L159" s="368" t="str">
        <f>IF(J159="","",IF(VLOOKUP(J159,'G-3 Multipliers'!$L$3:$N$6,3,FALSE)=0,"Spatial Data Missing ⚠",VLOOKUP(J159,'G-3 Multipliers'!$L$3:$N$6,3,FALSE)))</f>
        <v/>
      </c>
      <c r="M159" s="362" t="str">
        <f>IF(OR(D159="",H159=""),"",(INDEX('G-6 Hedgerow Data'!$E$3:$I$15,MATCH(D159,'G-6 Hedgerow Data'!$B$3:$B$15,0),MATCH(H159,'G-6 Hedgerow Data'!$E$2:$I$2,0))))</f>
        <v/>
      </c>
      <c r="N159" s="159"/>
      <c r="O159" s="159"/>
      <c r="P159" s="370" t="str">
        <f t="shared" si="13"/>
        <v/>
      </c>
      <c r="Q159" s="383" t="str">
        <f t="shared" si="14"/>
        <v/>
      </c>
      <c r="R159" s="384" t="str">
        <f t="shared" si="12"/>
        <v/>
      </c>
      <c r="S159" s="398" t="str">
        <f>IF(D159="","",VLOOKUP(D159,'G-6 Hedgerow Data'!$B$3:$AG$15,31,FALSE))</f>
        <v/>
      </c>
      <c r="T159" s="370" t="str">
        <f t="shared" si="15"/>
        <v/>
      </c>
      <c r="U159" s="370" t="str">
        <f t="shared" si="16"/>
        <v/>
      </c>
      <c r="V159" s="386" t="str">
        <f>IF(D159="","",VLOOKUP(S159,'G-3 Multipliers'!$P$3:$Q$6,2,FALSE))</f>
        <v/>
      </c>
      <c r="W159" s="390" t="str">
        <f t="shared" si="17"/>
        <v/>
      </c>
      <c r="X159" s="117"/>
      <c r="Y159" s="118"/>
      <c r="Z159" s="120"/>
      <c r="AG159" s="30" t="str">
        <f>IFERROR(INDEX('G-6 Hedgerow Data'!$BJ$3:$BJ$15,MATCH(D159,'G-6 Hedgerow Data'!$B$3:$B$15,0)),"")</f>
        <v/>
      </c>
    </row>
    <row r="160" spans="2:33" ht="15">
      <c r="B160" s="110">
        <v>149</v>
      </c>
      <c r="C160" s="167"/>
      <c r="D160" s="159"/>
      <c r="E160" s="139"/>
      <c r="F160" s="411" t="str">
        <f>IF(D160="","",VLOOKUP(D160,'G-6 Hedgerow Data'!$B$2:$AG$15,2,FALSE))</f>
        <v/>
      </c>
      <c r="G160" s="363" t="str">
        <f>IF(D160="","",VLOOKUP(D160,'G-6 Hedgerow Data'!$B$2:$AG$15,3,FALSE))</f>
        <v/>
      </c>
      <c r="H160" s="114"/>
      <c r="I160" s="363" t="str">
        <f>IFERROR(VLOOKUP(H160,'G-1 All Habitats'!$Z$2:$AA$9,2,FALSE),"")</f>
        <v/>
      </c>
      <c r="J160" s="114"/>
      <c r="K160" s="382" t="str">
        <f>IF(J160="","",IF(VLOOKUP(J160,'G-3 Multipliers'!$L$3:$N$6,2,FALSE)=0,"Spatial Data Missing ⚠",VLOOKUP(J160,'G-3 Multipliers'!$L$3:$N$6,2,FALSE)))</f>
        <v/>
      </c>
      <c r="L160" s="368" t="str">
        <f>IF(J160="","",IF(VLOOKUP(J160,'G-3 Multipliers'!$L$3:$N$6,3,FALSE)=0,"Spatial Data Missing ⚠",VLOOKUP(J160,'G-3 Multipliers'!$L$3:$N$6,3,FALSE)))</f>
        <v/>
      </c>
      <c r="M160" s="362" t="str">
        <f>IF(OR(D160="",H160=""),"",(INDEX('G-6 Hedgerow Data'!$E$3:$I$15,MATCH(D160,'G-6 Hedgerow Data'!$B$3:$B$15,0),MATCH(H160,'G-6 Hedgerow Data'!$E$2:$I$2,0))))</f>
        <v/>
      </c>
      <c r="N160" s="159"/>
      <c r="O160" s="159"/>
      <c r="P160" s="370" t="str">
        <f t="shared" si="13"/>
        <v/>
      </c>
      <c r="Q160" s="383" t="str">
        <f t="shared" si="14"/>
        <v/>
      </c>
      <c r="R160" s="384" t="str">
        <f t="shared" si="12"/>
        <v/>
      </c>
      <c r="S160" s="398" t="str">
        <f>IF(D160="","",VLOOKUP(D160,'G-6 Hedgerow Data'!$B$3:$AG$15,31,FALSE))</f>
        <v/>
      </c>
      <c r="T160" s="370" t="str">
        <f t="shared" si="15"/>
        <v/>
      </c>
      <c r="U160" s="370" t="str">
        <f t="shared" si="16"/>
        <v/>
      </c>
      <c r="V160" s="386" t="str">
        <f>IF(D160="","",VLOOKUP(S160,'G-3 Multipliers'!$P$3:$Q$6,2,FALSE))</f>
        <v/>
      </c>
      <c r="W160" s="390" t="str">
        <f t="shared" si="17"/>
        <v/>
      </c>
      <c r="X160" s="117"/>
      <c r="Y160" s="118"/>
      <c r="Z160" s="120"/>
      <c r="AG160" s="30" t="str">
        <f>IFERROR(INDEX('G-6 Hedgerow Data'!$BJ$3:$BJ$15,MATCH(D160,'G-6 Hedgerow Data'!$B$3:$B$15,0)),"")</f>
        <v/>
      </c>
    </row>
    <row r="161" spans="2:33" ht="15">
      <c r="B161" s="110">
        <v>150</v>
      </c>
      <c r="C161" s="167"/>
      <c r="D161" s="159"/>
      <c r="E161" s="139"/>
      <c r="F161" s="411" t="str">
        <f>IF(D161="","",VLOOKUP(D161,'G-6 Hedgerow Data'!$B$2:$AG$15,2,FALSE))</f>
        <v/>
      </c>
      <c r="G161" s="363" t="str">
        <f>IF(D161="","",VLOOKUP(D161,'G-6 Hedgerow Data'!$B$2:$AG$15,3,FALSE))</f>
        <v/>
      </c>
      <c r="H161" s="114"/>
      <c r="I161" s="363" t="str">
        <f>IFERROR(VLOOKUP(H161,'G-1 All Habitats'!$Z$2:$AA$9,2,FALSE),"")</f>
        <v/>
      </c>
      <c r="J161" s="114"/>
      <c r="K161" s="382" t="str">
        <f>IF(J161="","",IF(VLOOKUP(J161,'G-3 Multipliers'!$L$3:$N$6,2,FALSE)=0,"Spatial Data Missing ⚠",VLOOKUP(J161,'G-3 Multipliers'!$L$3:$N$6,2,FALSE)))</f>
        <v/>
      </c>
      <c r="L161" s="368" t="str">
        <f>IF(J161="","",IF(VLOOKUP(J161,'G-3 Multipliers'!$L$3:$N$6,3,FALSE)=0,"Spatial Data Missing ⚠",VLOOKUP(J161,'G-3 Multipliers'!$L$3:$N$6,3,FALSE)))</f>
        <v/>
      </c>
      <c r="M161" s="362" t="str">
        <f>IF(OR(D161="",H161=""),"",(INDEX('G-6 Hedgerow Data'!$E$3:$I$15,MATCH(D161,'G-6 Hedgerow Data'!$B$3:$B$15,0),MATCH(H161,'G-6 Hedgerow Data'!$E$2:$I$2,0))))</f>
        <v/>
      </c>
      <c r="N161" s="159"/>
      <c r="O161" s="159"/>
      <c r="P161" s="370" t="str">
        <f t="shared" si="13"/>
        <v/>
      </c>
      <c r="Q161" s="383" t="str">
        <f t="shared" si="14"/>
        <v/>
      </c>
      <c r="R161" s="384" t="str">
        <f t="shared" si="12"/>
        <v/>
      </c>
      <c r="S161" s="398" t="str">
        <f>IF(D161="","",VLOOKUP(D161,'G-6 Hedgerow Data'!$B$3:$AG$15,31,FALSE))</f>
        <v/>
      </c>
      <c r="T161" s="370" t="str">
        <f t="shared" si="15"/>
        <v/>
      </c>
      <c r="U161" s="370" t="str">
        <f t="shared" si="16"/>
        <v/>
      </c>
      <c r="V161" s="386" t="str">
        <f>IF(D161="","",VLOOKUP(S161,'G-3 Multipliers'!$P$3:$Q$6,2,FALSE))</f>
        <v/>
      </c>
      <c r="W161" s="390" t="str">
        <f t="shared" si="17"/>
        <v/>
      </c>
      <c r="X161" s="117"/>
      <c r="Y161" s="118"/>
      <c r="Z161" s="120"/>
      <c r="AG161" s="30" t="str">
        <f>IFERROR(INDEX('G-6 Hedgerow Data'!$BJ$3:$BJ$15,MATCH(D161,'G-6 Hedgerow Data'!$B$3:$B$15,0)),"")</f>
        <v/>
      </c>
    </row>
    <row r="162" spans="2:33" ht="15">
      <c r="B162" s="110">
        <v>151</v>
      </c>
      <c r="C162" s="167"/>
      <c r="D162" s="159"/>
      <c r="E162" s="139"/>
      <c r="F162" s="411" t="str">
        <f>IF(D162="","",VLOOKUP(D162,'G-6 Hedgerow Data'!$B$2:$AG$15,2,FALSE))</f>
        <v/>
      </c>
      <c r="G162" s="363" t="str">
        <f>IF(D162="","",VLOOKUP(D162,'G-6 Hedgerow Data'!$B$2:$AG$15,3,FALSE))</f>
        <v/>
      </c>
      <c r="H162" s="114"/>
      <c r="I162" s="363" t="str">
        <f>IFERROR(VLOOKUP(H162,'G-1 All Habitats'!$Z$2:$AA$9,2,FALSE),"")</f>
        <v/>
      </c>
      <c r="J162" s="114"/>
      <c r="K162" s="382" t="str">
        <f>IF(J162="","",IF(VLOOKUP(J162,'G-3 Multipliers'!$L$3:$N$6,2,FALSE)=0,"Spatial Data Missing ⚠",VLOOKUP(J162,'G-3 Multipliers'!$L$3:$N$6,2,FALSE)))</f>
        <v/>
      </c>
      <c r="L162" s="368" t="str">
        <f>IF(J162="","",IF(VLOOKUP(J162,'G-3 Multipliers'!$L$3:$N$6,3,FALSE)=0,"Spatial Data Missing ⚠",VLOOKUP(J162,'G-3 Multipliers'!$L$3:$N$6,3,FALSE)))</f>
        <v/>
      </c>
      <c r="M162" s="362" t="str">
        <f>IF(OR(D162="",H162=""),"",(INDEX('G-6 Hedgerow Data'!$E$3:$I$15,MATCH(D162,'G-6 Hedgerow Data'!$B$3:$B$15,0),MATCH(H162,'G-6 Hedgerow Data'!$E$2:$I$2,0))))</f>
        <v/>
      </c>
      <c r="N162" s="159"/>
      <c r="O162" s="159"/>
      <c r="P162" s="370" t="str">
        <f t="shared" si="13"/>
        <v/>
      </c>
      <c r="Q162" s="383" t="str">
        <f t="shared" si="14"/>
        <v/>
      </c>
      <c r="R162" s="384" t="str">
        <f t="shared" si="12"/>
        <v/>
      </c>
      <c r="S162" s="398" t="str">
        <f>IF(D162="","",VLOOKUP(D162,'G-6 Hedgerow Data'!$B$3:$AG$15,31,FALSE))</f>
        <v/>
      </c>
      <c r="T162" s="370" t="str">
        <f t="shared" si="15"/>
        <v/>
      </c>
      <c r="U162" s="370" t="str">
        <f t="shared" si="16"/>
        <v/>
      </c>
      <c r="V162" s="386" t="str">
        <f>IF(D162="","",VLOOKUP(S162,'G-3 Multipliers'!$P$3:$Q$6,2,FALSE))</f>
        <v/>
      </c>
      <c r="W162" s="390" t="str">
        <f t="shared" si="17"/>
        <v/>
      </c>
      <c r="X162" s="117"/>
      <c r="Y162" s="118"/>
      <c r="Z162" s="120"/>
      <c r="AG162" s="30" t="str">
        <f>IFERROR(INDEX('G-6 Hedgerow Data'!$BJ$3:$BJ$15,MATCH(D162,'G-6 Hedgerow Data'!$B$3:$B$15,0)),"")</f>
        <v/>
      </c>
    </row>
    <row r="163" spans="2:33" ht="15">
      <c r="B163" s="110">
        <v>152</v>
      </c>
      <c r="C163" s="167"/>
      <c r="D163" s="159"/>
      <c r="E163" s="139"/>
      <c r="F163" s="411" t="str">
        <f>IF(D163="","",VLOOKUP(D163,'G-6 Hedgerow Data'!$B$2:$AG$15,2,FALSE))</f>
        <v/>
      </c>
      <c r="G163" s="363" t="str">
        <f>IF(D163="","",VLOOKUP(D163,'G-6 Hedgerow Data'!$B$2:$AG$15,3,FALSE))</f>
        <v/>
      </c>
      <c r="H163" s="114"/>
      <c r="I163" s="363" t="str">
        <f>IFERROR(VLOOKUP(H163,'G-1 All Habitats'!$Z$2:$AA$9,2,FALSE),"")</f>
        <v/>
      </c>
      <c r="J163" s="114"/>
      <c r="K163" s="382" t="str">
        <f>IF(J163="","",IF(VLOOKUP(J163,'G-3 Multipliers'!$L$3:$N$6,2,FALSE)=0,"Spatial Data Missing ⚠",VLOOKUP(J163,'G-3 Multipliers'!$L$3:$N$6,2,FALSE)))</f>
        <v/>
      </c>
      <c r="L163" s="368" t="str">
        <f>IF(J163="","",IF(VLOOKUP(J163,'G-3 Multipliers'!$L$3:$N$6,3,FALSE)=0,"Spatial Data Missing ⚠",VLOOKUP(J163,'G-3 Multipliers'!$L$3:$N$6,3,FALSE)))</f>
        <v/>
      </c>
      <c r="M163" s="362" t="str">
        <f>IF(OR(D163="",H163=""),"",(INDEX('G-6 Hedgerow Data'!$E$3:$I$15,MATCH(D163,'G-6 Hedgerow Data'!$B$3:$B$15,0),MATCH(H163,'G-6 Hedgerow Data'!$E$2:$I$2,0))))</f>
        <v/>
      </c>
      <c r="N163" s="159"/>
      <c r="O163" s="159"/>
      <c r="P163" s="370" t="str">
        <f t="shared" si="13"/>
        <v/>
      </c>
      <c r="Q163" s="383" t="str">
        <f t="shared" si="14"/>
        <v/>
      </c>
      <c r="R163" s="384" t="str">
        <f t="shared" si="12"/>
        <v/>
      </c>
      <c r="S163" s="398" t="str">
        <f>IF(D163="","",VLOOKUP(D163,'G-6 Hedgerow Data'!$B$3:$AG$15,31,FALSE))</f>
        <v/>
      </c>
      <c r="T163" s="370" t="str">
        <f t="shared" si="15"/>
        <v/>
      </c>
      <c r="U163" s="370" t="str">
        <f t="shared" si="16"/>
        <v/>
      </c>
      <c r="V163" s="386" t="str">
        <f>IF(D163="","",VLOOKUP(S163,'G-3 Multipliers'!$P$3:$Q$6,2,FALSE))</f>
        <v/>
      </c>
      <c r="W163" s="390" t="str">
        <f t="shared" si="17"/>
        <v/>
      </c>
      <c r="X163" s="117"/>
      <c r="Y163" s="118"/>
      <c r="Z163" s="120"/>
      <c r="AG163" s="30" t="str">
        <f>IFERROR(INDEX('G-6 Hedgerow Data'!$BJ$3:$BJ$15,MATCH(D163,'G-6 Hedgerow Data'!$B$3:$B$15,0)),"")</f>
        <v/>
      </c>
    </row>
    <row r="164" spans="2:33" ht="15">
      <c r="B164" s="110">
        <v>153</v>
      </c>
      <c r="C164" s="167"/>
      <c r="D164" s="159"/>
      <c r="E164" s="139"/>
      <c r="F164" s="411" t="str">
        <f>IF(D164="","",VLOOKUP(D164,'G-6 Hedgerow Data'!$B$2:$AG$15,2,FALSE))</f>
        <v/>
      </c>
      <c r="G164" s="363" t="str">
        <f>IF(D164="","",VLOOKUP(D164,'G-6 Hedgerow Data'!$B$2:$AG$15,3,FALSE))</f>
        <v/>
      </c>
      <c r="H164" s="114"/>
      <c r="I164" s="363" t="str">
        <f>IFERROR(VLOOKUP(H164,'G-1 All Habitats'!$Z$2:$AA$9,2,FALSE),"")</f>
        <v/>
      </c>
      <c r="J164" s="114"/>
      <c r="K164" s="382" t="str">
        <f>IF(J164="","",IF(VLOOKUP(J164,'G-3 Multipliers'!$L$3:$N$6,2,FALSE)=0,"Spatial Data Missing ⚠",VLOOKUP(J164,'G-3 Multipliers'!$L$3:$N$6,2,FALSE)))</f>
        <v/>
      </c>
      <c r="L164" s="368" t="str">
        <f>IF(J164="","",IF(VLOOKUP(J164,'G-3 Multipliers'!$L$3:$N$6,3,FALSE)=0,"Spatial Data Missing ⚠",VLOOKUP(J164,'G-3 Multipliers'!$L$3:$N$6,3,FALSE)))</f>
        <v/>
      </c>
      <c r="M164" s="362" t="str">
        <f>IF(OR(D164="",H164=""),"",(INDEX('G-6 Hedgerow Data'!$E$3:$I$15,MATCH(D164,'G-6 Hedgerow Data'!$B$3:$B$15,0),MATCH(H164,'G-6 Hedgerow Data'!$E$2:$I$2,0))))</f>
        <v/>
      </c>
      <c r="N164" s="159"/>
      <c r="O164" s="159"/>
      <c r="P164" s="370" t="str">
        <f t="shared" si="13"/>
        <v/>
      </c>
      <c r="Q164" s="383" t="str">
        <f t="shared" si="14"/>
        <v/>
      </c>
      <c r="R164" s="384" t="str">
        <f t="shared" si="12"/>
        <v/>
      </c>
      <c r="S164" s="398" t="str">
        <f>IF(D164="","",VLOOKUP(D164,'G-6 Hedgerow Data'!$B$3:$AG$15,31,FALSE))</f>
        <v/>
      </c>
      <c r="T164" s="370" t="str">
        <f t="shared" si="15"/>
        <v/>
      </c>
      <c r="U164" s="370" t="str">
        <f t="shared" si="16"/>
        <v/>
      </c>
      <c r="V164" s="386" t="str">
        <f>IF(D164="","",VLOOKUP(S164,'G-3 Multipliers'!$P$3:$Q$6,2,FALSE))</f>
        <v/>
      </c>
      <c r="W164" s="390" t="str">
        <f t="shared" si="17"/>
        <v/>
      </c>
      <c r="X164" s="117"/>
      <c r="Y164" s="118"/>
      <c r="Z164" s="120"/>
      <c r="AG164" s="30" t="str">
        <f>IFERROR(INDEX('G-6 Hedgerow Data'!$BJ$3:$BJ$15,MATCH(D164,'G-6 Hedgerow Data'!$B$3:$B$15,0)),"")</f>
        <v/>
      </c>
    </row>
    <row r="165" spans="2:33" ht="15">
      <c r="B165" s="110">
        <v>154</v>
      </c>
      <c r="C165" s="167"/>
      <c r="D165" s="159"/>
      <c r="E165" s="139"/>
      <c r="F165" s="411" t="str">
        <f>IF(D165="","",VLOOKUP(D165,'G-6 Hedgerow Data'!$B$2:$AG$15,2,FALSE))</f>
        <v/>
      </c>
      <c r="G165" s="363" t="str">
        <f>IF(D165="","",VLOOKUP(D165,'G-6 Hedgerow Data'!$B$2:$AG$15,3,FALSE))</f>
        <v/>
      </c>
      <c r="H165" s="114"/>
      <c r="I165" s="363" t="str">
        <f>IFERROR(VLOOKUP(H165,'G-1 All Habitats'!$Z$2:$AA$9,2,FALSE),"")</f>
        <v/>
      </c>
      <c r="J165" s="114"/>
      <c r="K165" s="382" t="str">
        <f>IF(J165="","",IF(VLOOKUP(J165,'G-3 Multipliers'!$L$3:$N$6,2,FALSE)=0,"Spatial Data Missing ⚠",VLOOKUP(J165,'G-3 Multipliers'!$L$3:$N$6,2,FALSE)))</f>
        <v/>
      </c>
      <c r="L165" s="368" t="str">
        <f>IF(J165="","",IF(VLOOKUP(J165,'G-3 Multipliers'!$L$3:$N$6,3,FALSE)=0,"Spatial Data Missing ⚠",VLOOKUP(J165,'G-3 Multipliers'!$L$3:$N$6,3,FALSE)))</f>
        <v/>
      </c>
      <c r="M165" s="362" t="str">
        <f>IF(OR(D165="",H165=""),"",(INDEX('G-6 Hedgerow Data'!$E$3:$I$15,MATCH(D165,'G-6 Hedgerow Data'!$B$3:$B$15,0),MATCH(H165,'G-6 Hedgerow Data'!$E$2:$I$2,0))))</f>
        <v/>
      </c>
      <c r="N165" s="159"/>
      <c r="O165" s="159"/>
      <c r="P165" s="370" t="str">
        <f t="shared" si="13"/>
        <v/>
      </c>
      <c r="Q165" s="383" t="str">
        <f t="shared" si="14"/>
        <v/>
      </c>
      <c r="R165" s="384" t="str">
        <f t="shared" si="12"/>
        <v/>
      </c>
      <c r="S165" s="398" t="str">
        <f>IF(D165="","",VLOOKUP(D165,'G-6 Hedgerow Data'!$B$3:$AG$15,31,FALSE))</f>
        <v/>
      </c>
      <c r="T165" s="370" t="str">
        <f t="shared" si="15"/>
        <v/>
      </c>
      <c r="U165" s="370" t="str">
        <f t="shared" si="16"/>
        <v/>
      </c>
      <c r="V165" s="386" t="str">
        <f>IF(D165="","",VLOOKUP(S165,'G-3 Multipliers'!$P$3:$Q$6,2,FALSE))</f>
        <v/>
      </c>
      <c r="W165" s="390" t="str">
        <f t="shared" si="17"/>
        <v/>
      </c>
      <c r="X165" s="117"/>
      <c r="Y165" s="118"/>
      <c r="Z165" s="120"/>
      <c r="AG165" s="30" t="str">
        <f>IFERROR(INDEX('G-6 Hedgerow Data'!$BJ$3:$BJ$15,MATCH(D165,'G-6 Hedgerow Data'!$B$3:$B$15,0)),"")</f>
        <v/>
      </c>
    </row>
    <row r="166" spans="2:33" ht="15">
      <c r="B166" s="110">
        <v>155</v>
      </c>
      <c r="C166" s="167"/>
      <c r="D166" s="159"/>
      <c r="E166" s="139"/>
      <c r="F166" s="411" t="str">
        <f>IF(D166="","",VLOOKUP(D166,'G-6 Hedgerow Data'!$B$2:$AG$15,2,FALSE))</f>
        <v/>
      </c>
      <c r="G166" s="363" t="str">
        <f>IF(D166="","",VLOOKUP(D166,'G-6 Hedgerow Data'!$B$2:$AG$15,3,FALSE))</f>
        <v/>
      </c>
      <c r="H166" s="114"/>
      <c r="I166" s="363" t="str">
        <f>IFERROR(VLOOKUP(H166,'G-1 All Habitats'!$Z$2:$AA$9,2,FALSE),"")</f>
        <v/>
      </c>
      <c r="J166" s="114"/>
      <c r="K166" s="382" t="str">
        <f>IF(J166="","",IF(VLOOKUP(J166,'G-3 Multipliers'!$L$3:$N$6,2,FALSE)=0,"Spatial Data Missing ⚠",VLOOKUP(J166,'G-3 Multipliers'!$L$3:$N$6,2,FALSE)))</f>
        <v/>
      </c>
      <c r="L166" s="368" t="str">
        <f>IF(J166="","",IF(VLOOKUP(J166,'G-3 Multipliers'!$L$3:$N$6,3,FALSE)=0,"Spatial Data Missing ⚠",VLOOKUP(J166,'G-3 Multipliers'!$L$3:$N$6,3,FALSE)))</f>
        <v/>
      </c>
      <c r="M166" s="362" t="str">
        <f>IF(OR(D166="",H166=""),"",(INDEX('G-6 Hedgerow Data'!$E$3:$I$15,MATCH(D166,'G-6 Hedgerow Data'!$B$3:$B$15,0),MATCH(H166,'G-6 Hedgerow Data'!$E$2:$I$2,0))))</f>
        <v/>
      </c>
      <c r="N166" s="159"/>
      <c r="O166" s="159"/>
      <c r="P166" s="370" t="str">
        <f t="shared" si="13"/>
        <v/>
      </c>
      <c r="Q166" s="383" t="str">
        <f t="shared" si="14"/>
        <v/>
      </c>
      <c r="R166" s="384" t="str">
        <f t="shared" si="12"/>
        <v/>
      </c>
      <c r="S166" s="398" t="str">
        <f>IF(D166="","",VLOOKUP(D166,'G-6 Hedgerow Data'!$B$3:$AG$15,31,FALSE))</f>
        <v/>
      </c>
      <c r="T166" s="370" t="str">
        <f t="shared" si="15"/>
        <v/>
      </c>
      <c r="U166" s="370" t="str">
        <f t="shared" si="16"/>
        <v/>
      </c>
      <c r="V166" s="386" t="str">
        <f>IF(D166="","",VLOOKUP(S166,'G-3 Multipliers'!$P$3:$Q$6,2,FALSE))</f>
        <v/>
      </c>
      <c r="W166" s="390" t="str">
        <f t="shared" si="17"/>
        <v/>
      </c>
      <c r="X166" s="117"/>
      <c r="Y166" s="118"/>
      <c r="Z166" s="120"/>
      <c r="AG166" s="30" t="str">
        <f>IFERROR(INDEX('G-6 Hedgerow Data'!$BJ$3:$BJ$15,MATCH(D166,'G-6 Hedgerow Data'!$B$3:$B$15,0)),"")</f>
        <v/>
      </c>
    </row>
    <row r="167" spans="2:33" ht="15">
      <c r="B167" s="110">
        <v>156</v>
      </c>
      <c r="C167" s="167"/>
      <c r="D167" s="159"/>
      <c r="E167" s="139"/>
      <c r="F167" s="411" t="str">
        <f>IF(D167="","",VLOOKUP(D167,'G-6 Hedgerow Data'!$B$2:$AG$15,2,FALSE))</f>
        <v/>
      </c>
      <c r="G167" s="363" t="str">
        <f>IF(D167="","",VLOOKUP(D167,'G-6 Hedgerow Data'!$B$2:$AG$15,3,FALSE))</f>
        <v/>
      </c>
      <c r="H167" s="114"/>
      <c r="I167" s="363" t="str">
        <f>IFERROR(VLOOKUP(H167,'G-1 All Habitats'!$Z$2:$AA$9,2,FALSE),"")</f>
        <v/>
      </c>
      <c r="J167" s="114"/>
      <c r="K167" s="382" t="str">
        <f>IF(J167="","",IF(VLOOKUP(J167,'G-3 Multipliers'!$L$3:$N$6,2,FALSE)=0,"Spatial Data Missing ⚠",VLOOKUP(J167,'G-3 Multipliers'!$L$3:$N$6,2,FALSE)))</f>
        <v/>
      </c>
      <c r="L167" s="368" t="str">
        <f>IF(J167="","",IF(VLOOKUP(J167,'G-3 Multipliers'!$L$3:$N$6,3,FALSE)=0,"Spatial Data Missing ⚠",VLOOKUP(J167,'G-3 Multipliers'!$L$3:$N$6,3,FALSE)))</f>
        <v/>
      </c>
      <c r="M167" s="362" t="str">
        <f>IF(OR(D167="",H167=""),"",(INDEX('G-6 Hedgerow Data'!$E$3:$I$15,MATCH(D167,'G-6 Hedgerow Data'!$B$3:$B$15,0),MATCH(H167,'G-6 Hedgerow Data'!$E$2:$I$2,0))))</f>
        <v/>
      </c>
      <c r="N167" s="159"/>
      <c r="O167" s="159"/>
      <c r="P167" s="370" t="str">
        <f t="shared" si="13"/>
        <v/>
      </c>
      <c r="Q167" s="383" t="str">
        <f t="shared" si="14"/>
        <v/>
      </c>
      <c r="R167" s="384" t="str">
        <f t="shared" si="12"/>
        <v/>
      </c>
      <c r="S167" s="398" t="str">
        <f>IF(D167="","",VLOOKUP(D167,'G-6 Hedgerow Data'!$B$3:$AG$15,31,FALSE))</f>
        <v/>
      </c>
      <c r="T167" s="370" t="str">
        <f t="shared" si="15"/>
        <v/>
      </c>
      <c r="U167" s="370" t="str">
        <f t="shared" si="16"/>
        <v/>
      </c>
      <c r="V167" s="386" t="str">
        <f>IF(D167="","",VLOOKUP(S167,'G-3 Multipliers'!$P$3:$Q$6,2,FALSE))</f>
        <v/>
      </c>
      <c r="W167" s="390" t="str">
        <f t="shared" si="17"/>
        <v/>
      </c>
      <c r="X167" s="117"/>
      <c r="Y167" s="118"/>
      <c r="Z167" s="120"/>
      <c r="AG167" s="30" t="str">
        <f>IFERROR(INDEX('G-6 Hedgerow Data'!$BJ$3:$BJ$15,MATCH(D167,'G-6 Hedgerow Data'!$B$3:$B$15,0)),"")</f>
        <v/>
      </c>
    </row>
    <row r="168" spans="2:33" ht="15">
      <c r="B168" s="110">
        <v>157</v>
      </c>
      <c r="C168" s="167"/>
      <c r="D168" s="159"/>
      <c r="E168" s="139"/>
      <c r="F168" s="411" t="str">
        <f>IF(D168="","",VLOOKUP(D168,'G-6 Hedgerow Data'!$B$2:$AG$15,2,FALSE))</f>
        <v/>
      </c>
      <c r="G168" s="363" t="str">
        <f>IF(D168="","",VLOOKUP(D168,'G-6 Hedgerow Data'!$B$2:$AG$15,3,FALSE))</f>
        <v/>
      </c>
      <c r="H168" s="114"/>
      <c r="I168" s="363" t="str">
        <f>IFERROR(VLOOKUP(H168,'G-1 All Habitats'!$Z$2:$AA$9,2,FALSE),"")</f>
        <v/>
      </c>
      <c r="J168" s="114"/>
      <c r="K168" s="382" t="str">
        <f>IF(J168="","",IF(VLOOKUP(J168,'G-3 Multipliers'!$L$3:$N$6,2,FALSE)=0,"Spatial Data Missing ⚠",VLOOKUP(J168,'G-3 Multipliers'!$L$3:$N$6,2,FALSE)))</f>
        <v/>
      </c>
      <c r="L168" s="368" t="str">
        <f>IF(J168="","",IF(VLOOKUP(J168,'G-3 Multipliers'!$L$3:$N$6,3,FALSE)=0,"Spatial Data Missing ⚠",VLOOKUP(J168,'G-3 Multipliers'!$L$3:$N$6,3,FALSE)))</f>
        <v/>
      </c>
      <c r="M168" s="362" t="str">
        <f>IF(OR(D168="",H168=""),"",(INDEX('G-6 Hedgerow Data'!$E$3:$I$15,MATCH(D168,'G-6 Hedgerow Data'!$B$3:$B$15,0),MATCH(H168,'G-6 Hedgerow Data'!$E$2:$I$2,0))))</f>
        <v/>
      </c>
      <c r="N168" s="159"/>
      <c r="O168" s="159"/>
      <c r="P168" s="370" t="str">
        <f t="shared" si="13"/>
        <v/>
      </c>
      <c r="Q168" s="383" t="str">
        <f t="shared" si="14"/>
        <v/>
      </c>
      <c r="R168" s="384" t="str">
        <f t="shared" si="12"/>
        <v/>
      </c>
      <c r="S168" s="398" t="str">
        <f>IF(D168="","",VLOOKUP(D168,'G-6 Hedgerow Data'!$B$3:$AG$15,31,FALSE))</f>
        <v/>
      </c>
      <c r="T168" s="370" t="str">
        <f t="shared" si="15"/>
        <v/>
      </c>
      <c r="U168" s="370" t="str">
        <f t="shared" si="16"/>
        <v/>
      </c>
      <c r="V168" s="386" t="str">
        <f>IF(D168="","",VLOOKUP(S168,'G-3 Multipliers'!$P$3:$Q$6,2,FALSE))</f>
        <v/>
      </c>
      <c r="W168" s="390" t="str">
        <f t="shared" si="17"/>
        <v/>
      </c>
      <c r="X168" s="117"/>
      <c r="Y168" s="118"/>
      <c r="Z168" s="120"/>
      <c r="AG168" s="30" t="str">
        <f>IFERROR(INDEX('G-6 Hedgerow Data'!$BJ$3:$BJ$15,MATCH(D168,'G-6 Hedgerow Data'!$B$3:$B$15,0)),"")</f>
        <v/>
      </c>
    </row>
    <row r="169" spans="2:33" ht="15">
      <c r="B169" s="110">
        <v>158</v>
      </c>
      <c r="C169" s="167"/>
      <c r="D169" s="159"/>
      <c r="E169" s="139"/>
      <c r="F169" s="411" t="str">
        <f>IF(D169="","",VLOOKUP(D169,'G-6 Hedgerow Data'!$B$2:$AG$15,2,FALSE))</f>
        <v/>
      </c>
      <c r="G169" s="363" t="str">
        <f>IF(D169="","",VLOOKUP(D169,'G-6 Hedgerow Data'!$B$2:$AG$15,3,FALSE))</f>
        <v/>
      </c>
      <c r="H169" s="114"/>
      <c r="I169" s="363" t="str">
        <f>IFERROR(VLOOKUP(H169,'G-1 All Habitats'!$Z$2:$AA$9,2,FALSE),"")</f>
        <v/>
      </c>
      <c r="J169" s="114"/>
      <c r="K169" s="382" t="str">
        <f>IF(J169="","",IF(VLOOKUP(J169,'G-3 Multipliers'!$L$3:$N$6,2,FALSE)=0,"Spatial Data Missing ⚠",VLOOKUP(J169,'G-3 Multipliers'!$L$3:$N$6,2,FALSE)))</f>
        <v/>
      </c>
      <c r="L169" s="368" t="str">
        <f>IF(J169="","",IF(VLOOKUP(J169,'G-3 Multipliers'!$L$3:$N$6,3,FALSE)=0,"Spatial Data Missing ⚠",VLOOKUP(J169,'G-3 Multipliers'!$L$3:$N$6,3,FALSE)))</f>
        <v/>
      </c>
      <c r="M169" s="362" t="str">
        <f>IF(OR(D169="",H169=""),"",(INDEX('G-6 Hedgerow Data'!$E$3:$I$15,MATCH(D169,'G-6 Hedgerow Data'!$B$3:$B$15,0),MATCH(H169,'G-6 Hedgerow Data'!$E$2:$I$2,0))))</f>
        <v/>
      </c>
      <c r="N169" s="159"/>
      <c r="O169" s="159"/>
      <c r="P169" s="370" t="str">
        <f t="shared" si="13"/>
        <v/>
      </c>
      <c r="Q169" s="383" t="str">
        <f t="shared" si="14"/>
        <v/>
      </c>
      <c r="R169" s="384" t="str">
        <f t="shared" si="12"/>
        <v/>
      </c>
      <c r="S169" s="398" t="str">
        <f>IF(D169="","",VLOOKUP(D169,'G-6 Hedgerow Data'!$B$3:$AG$15,31,FALSE))</f>
        <v/>
      </c>
      <c r="T169" s="370" t="str">
        <f t="shared" si="15"/>
        <v/>
      </c>
      <c r="U169" s="370" t="str">
        <f t="shared" si="16"/>
        <v/>
      </c>
      <c r="V169" s="386" t="str">
        <f>IF(D169="","",VLOOKUP(S169,'G-3 Multipliers'!$P$3:$Q$6,2,FALSE))</f>
        <v/>
      </c>
      <c r="W169" s="390" t="str">
        <f t="shared" si="17"/>
        <v/>
      </c>
      <c r="X169" s="117"/>
      <c r="Y169" s="118"/>
      <c r="Z169" s="120"/>
      <c r="AG169" s="30" t="str">
        <f>IFERROR(INDEX('G-6 Hedgerow Data'!$BJ$3:$BJ$15,MATCH(D169,'G-6 Hedgerow Data'!$B$3:$B$15,0)),"")</f>
        <v/>
      </c>
    </row>
    <row r="170" spans="2:33" ht="15">
      <c r="B170" s="110">
        <v>159</v>
      </c>
      <c r="C170" s="167"/>
      <c r="D170" s="159"/>
      <c r="E170" s="139"/>
      <c r="F170" s="411" t="str">
        <f>IF(D170="","",VLOOKUP(D170,'G-6 Hedgerow Data'!$B$2:$AG$15,2,FALSE))</f>
        <v/>
      </c>
      <c r="G170" s="363" t="str">
        <f>IF(D170="","",VLOOKUP(D170,'G-6 Hedgerow Data'!$B$2:$AG$15,3,FALSE))</f>
        <v/>
      </c>
      <c r="H170" s="114"/>
      <c r="I170" s="363" t="str">
        <f>IFERROR(VLOOKUP(H170,'G-1 All Habitats'!$Z$2:$AA$9,2,FALSE),"")</f>
        <v/>
      </c>
      <c r="J170" s="114"/>
      <c r="K170" s="382" t="str">
        <f>IF(J170="","",IF(VLOOKUP(J170,'G-3 Multipliers'!$L$3:$N$6,2,FALSE)=0,"Spatial Data Missing ⚠",VLOOKUP(J170,'G-3 Multipliers'!$L$3:$N$6,2,FALSE)))</f>
        <v/>
      </c>
      <c r="L170" s="368" t="str">
        <f>IF(J170="","",IF(VLOOKUP(J170,'G-3 Multipliers'!$L$3:$N$6,3,FALSE)=0,"Spatial Data Missing ⚠",VLOOKUP(J170,'G-3 Multipliers'!$L$3:$N$6,3,FALSE)))</f>
        <v/>
      </c>
      <c r="M170" s="362" t="str">
        <f>IF(OR(D170="",H170=""),"",(INDEX('G-6 Hedgerow Data'!$E$3:$I$15,MATCH(D170,'G-6 Hedgerow Data'!$B$3:$B$15,0),MATCH(H170,'G-6 Hedgerow Data'!$E$2:$I$2,0))))</f>
        <v/>
      </c>
      <c r="N170" s="159"/>
      <c r="O170" s="159"/>
      <c r="P170" s="370" t="str">
        <f t="shared" si="13"/>
        <v/>
      </c>
      <c r="Q170" s="383" t="str">
        <f t="shared" si="14"/>
        <v/>
      </c>
      <c r="R170" s="384" t="str">
        <f t="shared" si="12"/>
        <v/>
      </c>
      <c r="S170" s="398" t="str">
        <f>IF(D170="","",VLOOKUP(D170,'G-6 Hedgerow Data'!$B$3:$AG$15,31,FALSE))</f>
        <v/>
      </c>
      <c r="T170" s="370" t="str">
        <f t="shared" si="15"/>
        <v/>
      </c>
      <c r="U170" s="370" t="str">
        <f t="shared" si="16"/>
        <v/>
      </c>
      <c r="V170" s="386" t="str">
        <f>IF(D170="","",VLOOKUP(S170,'G-3 Multipliers'!$P$3:$Q$6,2,FALSE))</f>
        <v/>
      </c>
      <c r="W170" s="390" t="str">
        <f t="shared" si="17"/>
        <v/>
      </c>
      <c r="X170" s="117"/>
      <c r="Y170" s="118"/>
      <c r="Z170" s="120"/>
      <c r="AG170" s="30" t="str">
        <f>IFERROR(INDEX('G-6 Hedgerow Data'!$BJ$3:$BJ$15,MATCH(D170,'G-6 Hedgerow Data'!$B$3:$B$15,0)),"")</f>
        <v/>
      </c>
    </row>
    <row r="171" spans="2:33" ht="15">
      <c r="B171" s="110">
        <v>160</v>
      </c>
      <c r="C171" s="167"/>
      <c r="D171" s="159"/>
      <c r="E171" s="139"/>
      <c r="F171" s="411" t="str">
        <f>IF(D171="","",VLOOKUP(D171,'G-6 Hedgerow Data'!$B$2:$AG$15,2,FALSE))</f>
        <v/>
      </c>
      <c r="G171" s="363" t="str">
        <f>IF(D171="","",VLOOKUP(D171,'G-6 Hedgerow Data'!$B$2:$AG$15,3,FALSE))</f>
        <v/>
      </c>
      <c r="H171" s="114"/>
      <c r="I171" s="363" t="str">
        <f>IFERROR(VLOOKUP(H171,'G-1 All Habitats'!$Z$2:$AA$9,2,FALSE),"")</f>
        <v/>
      </c>
      <c r="J171" s="114"/>
      <c r="K171" s="382" t="str">
        <f>IF(J171="","",IF(VLOOKUP(J171,'G-3 Multipliers'!$L$3:$N$6,2,FALSE)=0,"Spatial Data Missing ⚠",VLOOKUP(J171,'G-3 Multipliers'!$L$3:$N$6,2,FALSE)))</f>
        <v/>
      </c>
      <c r="L171" s="368" t="str">
        <f>IF(J171="","",IF(VLOOKUP(J171,'G-3 Multipliers'!$L$3:$N$6,3,FALSE)=0,"Spatial Data Missing ⚠",VLOOKUP(J171,'G-3 Multipliers'!$L$3:$N$6,3,FALSE)))</f>
        <v/>
      </c>
      <c r="M171" s="362" t="str">
        <f>IF(OR(D171="",H171=""),"",(INDEX('G-6 Hedgerow Data'!$E$3:$I$15,MATCH(D171,'G-6 Hedgerow Data'!$B$3:$B$15,0),MATCH(H171,'G-6 Hedgerow Data'!$E$2:$I$2,0))))</f>
        <v/>
      </c>
      <c r="N171" s="159"/>
      <c r="O171" s="159"/>
      <c r="P171" s="370" t="str">
        <f t="shared" si="13"/>
        <v/>
      </c>
      <c r="Q171" s="383" t="str">
        <f t="shared" si="14"/>
        <v/>
      </c>
      <c r="R171" s="384" t="str">
        <f t="shared" si="12"/>
        <v/>
      </c>
      <c r="S171" s="398" t="str">
        <f>IF(D171="","",VLOOKUP(D171,'G-6 Hedgerow Data'!$B$3:$AG$15,31,FALSE))</f>
        <v/>
      </c>
      <c r="T171" s="370" t="str">
        <f t="shared" si="15"/>
        <v/>
      </c>
      <c r="U171" s="370" t="str">
        <f t="shared" si="16"/>
        <v/>
      </c>
      <c r="V171" s="386" t="str">
        <f>IF(D171="","",VLOOKUP(S171,'G-3 Multipliers'!$P$3:$Q$6,2,FALSE))</f>
        <v/>
      </c>
      <c r="W171" s="390" t="str">
        <f t="shared" si="17"/>
        <v/>
      </c>
      <c r="X171" s="117"/>
      <c r="Y171" s="118"/>
      <c r="Z171" s="120"/>
      <c r="AG171" s="30" t="str">
        <f>IFERROR(INDEX('G-6 Hedgerow Data'!$BJ$3:$BJ$15,MATCH(D171,'G-6 Hedgerow Data'!$B$3:$B$15,0)),"")</f>
        <v/>
      </c>
    </row>
    <row r="172" spans="2:33" ht="15">
      <c r="B172" s="110">
        <v>161</v>
      </c>
      <c r="C172" s="167"/>
      <c r="D172" s="159"/>
      <c r="E172" s="139"/>
      <c r="F172" s="411" t="str">
        <f>IF(D172="","",VLOOKUP(D172,'G-6 Hedgerow Data'!$B$2:$AG$15,2,FALSE))</f>
        <v/>
      </c>
      <c r="G172" s="363" t="str">
        <f>IF(D172="","",VLOOKUP(D172,'G-6 Hedgerow Data'!$B$2:$AG$15,3,FALSE))</f>
        <v/>
      </c>
      <c r="H172" s="114"/>
      <c r="I172" s="363" t="str">
        <f>IFERROR(VLOOKUP(H172,'G-1 All Habitats'!$Z$2:$AA$9,2,FALSE),"")</f>
        <v/>
      </c>
      <c r="J172" s="114"/>
      <c r="K172" s="382" t="str">
        <f>IF(J172="","",IF(VLOOKUP(J172,'G-3 Multipliers'!$L$3:$N$6,2,FALSE)=0,"Spatial Data Missing ⚠",VLOOKUP(J172,'G-3 Multipliers'!$L$3:$N$6,2,FALSE)))</f>
        <v/>
      </c>
      <c r="L172" s="368" t="str">
        <f>IF(J172="","",IF(VLOOKUP(J172,'G-3 Multipliers'!$L$3:$N$6,3,FALSE)=0,"Spatial Data Missing ⚠",VLOOKUP(J172,'G-3 Multipliers'!$L$3:$N$6,3,FALSE)))</f>
        <v/>
      </c>
      <c r="M172" s="362" t="str">
        <f>IF(OR(D172="",H172=""),"",(INDEX('G-6 Hedgerow Data'!$E$3:$I$15,MATCH(D172,'G-6 Hedgerow Data'!$B$3:$B$15,0),MATCH(H172,'G-6 Hedgerow Data'!$E$2:$I$2,0))))</f>
        <v/>
      </c>
      <c r="N172" s="159"/>
      <c r="O172" s="159"/>
      <c r="P172" s="370" t="str">
        <f t="shared" si="13"/>
        <v/>
      </c>
      <c r="Q172" s="383" t="str">
        <f t="shared" si="14"/>
        <v/>
      </c>
      <c r="R172" s="384" t="str">
        <f t="shared" si="12"/>
        <v/>
      </c>
      <c r="S172" s="398" t="str">
        <f>IF(D172="","",VLOOKUP(D172,'G-6 Hedgerow Data'!$B$3:$AG$15,31,FALSE))</f>
        <v/>
      </c>
      <c r="T172" s="370" t="str">
        <f t="shared" si="15"/>
        <v/>
      </c>
      <c r="U172" s="370" t="str">
        <f t="shared" si="16"/>
        <v/>
      </c>
      <c r="V172" s="386" t="str">
        <f>IF(D172="","",VLOOKUP(S172,'G-3 Multipliers'!$P$3:$Q$6,2,FALSE))</f>
        <v/>
      </c>
      <c r="W172" s="390" t="str">
        <f t="shared" si="17"/>
        <v/>
      </c>
      <c r="X172" s="117"/>
      <c r="Y172" s="118"/>
      <c r="Z172" s="120"/>
      <c r="AG172" s="30" t="str">
        <f>IFERROR(INDEX('G-6 Hedgerow Data'!$BJ$3:$BJ$15,MATCH(D172,'G-6 Hedgerow Data'!$B$3:$B$15,0)),"")</f>
        <v/>
      </c>
    </row>
    <row r="173" spans="2:33" ht="15">
      <c r="B173" s="110">
        <v>162</v>
      </c>
      <c r="C173" s="167"/>
      <c r="D173" s="159"/>
      <c r="E173" s="139"/>
      <c r="F173" s="411" t="str">
        <f>IF(D173="","",VLOOKUP(D173,'G-6 Hedgerow Data'!$B$2:$AG$15,2,FALSE))</f>
        <v/>
      </c>
      <c r="G173" s="363" t="str">
        <f>IF(D173="","",VLOOKUP(D173,'G-6 Hedgerow Data'!$B$2:$AG$15,3,FALSE))</f>
        <v/>
      </c>
      <c r="H173" s="114"/>
      <c r="I173" s="363" t="str">
        <f>IFERROR(VLOOKUP(H173,'G-1 All Habitats'!$Z$2:$AA$9,2,FALSE),"")</f>
        <v/>
      </c>
      <c r="J173" s="114"/>
      <c r="K173" s="382" t="str">
        <f>IF(J173="","",IF(VLOOKUP(J173,'G-3 Multipliers'!$L$3:$N$6,2,FALSE)=0,"Spatial Data Missing ⚠",VLOOKUP(J173,'G-3 Multipliers'!$L$3:$N$6,2,FALSE)))</f>
        <v/>
      </c>
      <c r="L173" s="368" t="str">
        <f>IF(J173="","",IF(VLOOKUP(J173,'G-3 Multipliers'!$L$3:$N$6,3,FALSE)=0,"Spatial Data Missing ⚠",VLOOKUP(J173,'G-3 Multipliers'!$L$3:$N$6,3,FALSE)))</f>
        <v/>
      </c>
      <c r="M173" s="362" t="str">
        <f>IF(OR(D173="",H173=""),"",(INDEX('G-6 Hedgerow Data'!$E$3:$I$15,MATCH(D173,'G-6 Hedgerow Data'!$B$3:$B$15,0),MATCH(H173,'G-6 Hedgerow Data'!$E$2:$I$2,0))))</f>
        <v/>
      </c>
      <c r="N173" s="159"/>
      <c r="O173" s="159"/>
      <c r="P173" s="370" t="str">
        <f t="shared" si="13"/>
        <v/>
      </c>
      <c r="Q173" s="383" t="str">
        <f t="shared" si="14"/>
        <v/>
      </c>
      <c r="R173" s="384" t="str">
        <f t="shared" si="12"/>
        <v/>
      </c>
      <c r="S173" s="398" t="str">
        <f>IF(D173="","",VLOOKUP(D173,'G-6 Hedgerow Data'!$B$3:$AG$15,31,FALSE))</f>
        <v/>
      </c>
      <c r="T173" s="370" t="str">
        <f t="shared" si="15"/>
        <v/>
      </c>
      <c r="U173" s="370" t="str">
        <f t="shared" si="16"/>
        <v/>
      </c>
      <c r="V173" s="386" t="str">
        <f>IF(D173="","",VLOOKUP(S173,'G-3 Multipliers'!$P$3:$Q$6,2,FALSE))</f>
        <v/>
      </c>
      <c r="W173" s="390" t="str">
        <f t="shared" si="17"/>
        <v/>
      </c>
      <c r="X173" s="117"/>
      <c r="Y173" s="118"/>
      <c r="Z173" s="120"/>
      <c r="AG173" s="30" t="str">
        <f>IFERROR(INDEX('G-6 Hedgerow Data'!$BJ$3:$BJ$15,MATCH(D173,'G-6 Hedgerow Data'!$B$3:$B$15,0)),"")</f>
        <v/>
      </c>
    </row>
    <row r="174" spans="2:33" ht="15">
      <c r="B174" s="110">
        <v>163</v>
      </c>
      <c r="C174" s="167"/>
      <c r="D174" s="159"/>
      <c r="E174" s="139"/>
      <c r="F174" s="411" t="str">
        <f>IF(D174="","",VLOOKUP(D174,'G-6 Hedgerow Data'!$B$2:$AG$15,2,FALSE))</f>
        <v/>
      </c>
      <c r="G174" s="363" t="str">
        <f>IF(D174="","",VLOOKUP(D174,'G-6 Hedgerow Data'!$B$2:$AG$15,3,FALSE))</f>
        <v/>
      </c>
      <c r="H174" s="114"/>
      <c r="I174" s="363" t="str">
        <f>IFERROR(VLOOKUP(H174,'G-1 All Habitats'!$Z$2:$AA$9,2,FALSE),"")</f>
        <v/>
      </c>
      <c r="J174" s="114"/>
      <c r="K174" s="382" t="str">
        <f>IF(J174="","",IF(VLOOKUP(J174,'G-3 Multipliers'!$L$3:$N$6,2,FALSE)=0,"Spatial Data Missing ⚠",VLOOKUP(J174,'G-3 Multipliers'!$L$3:$N$6,2,FALSE)))</f>
        <v/>
      </c>
      <c r="L174" s="368" t="str">
        <f>IF(J174="","",IF(VLOOKUP(J174,'G-3 Multipliers'!$L$3:$N$6,3,FALSE)=0,"Spatial Data Missing ⚠",VLOOKUP(J174,'G-3 Multipliers'!$L$3:$N$6,3,FALSE)))</f>
        <v/>
      </c>
      <c r="M174" s="362" t="str">
        <f>IF(OR(D174="",H174=""),"",(INDEX('G-6 Hedgerow Data'!$E$3:$I$15,MATCH(D174,'G-6 Hedgerow Data'!$B$3:$B$15,0),MATCH(H174,'G-6 Hedgerow Data'!$E$2:$I$2,0))))</f>
        <v/>
      </c>
      <c r="N174" s="159"/>
      <c r="O174" s="159"/>
      <c r="P174" s="370" t="str">
        <f t="shared" si="13"/>
        <v/>
      </c>
      <c r="Q174" s="383" t="str">
        <f t="shared" si="14"/>
        <v/>
      </c>
      <c r="R174" s="384" t="str">
        <f t="shared" si="12"/>
        <v/>
      </c>
      <c r="S174" s="398" t="str">
        <f>IF(D174="","",VLOOKUP(D174,'G-6 Hedgerow Data'!$B$3:$AG$15,31,FALSE))</f>
        <v/>
      </c>
      <c r="T174" s="370" t="str">
        <f t="shared" si="15"/>
        <v/>
      </c>
      <c r="U174" s="370" t="str">
        <f t="shared" si="16"/>
        <v/>
      </c>
      <c r="V174" s="386" t="str">
        <f>IF(D174="","",VLOOKUP(S174,'G-3 Multipliers'!$P$3:$Q$6,2,FALSE))</f>
        <v/>
      </c>
      <c r="W174" s="390" t="str">
        <f t="shared" si="17"/>
        <v/>
      </c>
      <c r="X174" s="117"/>
      <c r="Y174" s="118"/>
      <c r="Z174" s="120"/>
      <c r="AG174" s="30" t="str">
        <f>IFERROR(INDEX('G-6 Hedgerow Data'!$BJ$3:$BJ$15,MATCH(D174,'G-6 Hedgerow Data'!$B$3:$B$15,0)),"")</f>
        <v/>
      </c>
    </row>
    <row r="175" spans="2:33" ht="15">
      <c r="B175" s="110">
        <v>164</v>
      </c>
      <c r="C175" s="167"/>
      <c r="D175" s="159"/>
      <c r="E175" s="139"/>
      <c r="F175" s="411" t="str">
        <f>IF(D175="","",VLOOKUP(D175,'G-6 Hedgerow Data'!$B$2:$AG$15,2,FALSE))</f>
        <v/>
      </c>
      <c r="G175" s="363" t="str">
        <f>IF(D175="","",VLOOKUP(D175,'G-6 Hedgerow Data'!$B$2:$AG$15,3,FALSE))</f>
        <v/>
      </c>
      <c r="H175" s="114"/>
      <c r="I175" s="363" t="str">
        <f>IFERROR(VLOOKUP(H175,'G-1 All Habitats'!$Z$2:$AA$9,2,FALSE),"")</f>
        <v/>
      </c>
      <c r="J175" s="114"/>
      <c r="K175" s="382" t="str">
        <f>IF(J175="","",IF(VLOOKUP(J175,'G-3 Multipliers'!$L$3:$N$6,2,FALSE)=0,"Spatial Data Missing ⚠",VLOOKUP(J175,'G-3 Multipliers'!$L$3:$N$6,2,FALSE)))</f>
        <v/>
      </c>
      <c r="L175" s="368" t="str">
        <f>IF(J175="","",IF(VLOOKUP(J175,'G-3 Multipliers'!$L$3:$N$6,3,FALSE)=0,"Spatial Data Missing ⚠",VLOOKUP(J175,'G-3 Multipliers'!$L$3:$N$6,3,FALSE)))</f>
        <v/>
      </c>
      <c r="M175" s="362" t="str">
        <f>IF(OR(D175="",H175=""),"",(INDEX('G-6 Hedgerow Data'!$E$3:$I$15,MATCH(D175,'G-6 Hedgerow Data'!$B$3:$B$15,0),MATCH(H175,'G-6 Hedgerow Data'!$E$2:$I$2,0))))</f>
        <v/>
      </c>
      <c r="N175" s="159"/>
      <c r="O175" s="159"/>
      <c r="P175" s="370" t="str">
        <f t="shared" si="13"/>
        <v/>
      </c>
      <c r="Q175" s="383" t="str">
        <f t="shared" si="14"/>
        <v/>
      </c>
      <c r="R175" s="384" t="str">
        <f t="shared" si="12"/>
        <v/>
      </c>
      <c r="S175" s="398" t="str">
        <f>IF(D175="","",VLOOKUP(D175,'G-6 Hedgerow Data'!$B$3:$AG$15,31,FALSE))</f>
        <v/>
      </c>
      <c r="T175" s="370" t="str">
        <f t="shared" si="15"/>
        <v/>
      </c>
      <c r="U175" s="370" t="str">
        <f t="shared" si="16"/>
        <v/>
      </c>
      <c r="V175" s="386" t="str">
        <f>IF(D175="","",VLOOKUP(S175,'G-3 Multipliers'!$P$3:$Q$6,2,FALSE))</f>
        <v/>
      </c>
      <c r="W175" s="390" t="str">
        <f t="shared" si="17"/>
        <v/>
      </c>
      <c r="X175" s="117"/>
      <c r="Y175" s="118"/>
      <c r="Z175" s="120"/>
      <c r="AG175" s="30" t="str">
        <f>IFERROR(INDEX('G-6 Hedgerow Data'!$BJ$3:$BJ$15,MATCH(D175,'G-6 Hedgerow Data'!$B$3:$B$15,0)),"")</f>
        <v/>
      </c>
    </row>
    <row r="176" spans="2:33" ht="15">
      <c r="B176" s="110">
        <v>165</v>
      </c>
      <c r="C176" s="167"/>
      <c r="D176" s="159"/>
      <c r="E176" s="139"/>
      <c r="F176" s="411" t="str">
        <f>IF(D176="","",VLOOKUP(D176,'G-6 Hedgerow Data'!$B$2:$AG$15,2,FALSE))</f>
        <v/>
      </c>
      <c r="G176" s="363" t="str">
        <f>IF(D176="","",VLOOKUP(D176,'G-6 Hedgerow Data'!$B$2:$AG$15,3,FALSE))</f>
        <v/>
      </c>
      <c r="H176" s="114"/>
      <c r="I176" s="363" t="str">
        <f>IFERROR(VLOOKUP(H176,'G-1 All Habitats'!$Z$2:$AA$9,2,FALSE),"")</f>
        <v/>
      </c>
      <c r="J176" s="114"/>
      <c r="K176" s="382" t="str">
        <f>IF(J176="","",IF(VLOOKUP(J176,'G-3 Multipliers'!$L$3:$N$6,2,FALSE)=0,"Spatial Data Missing ⚠",VLOOKUP(J176,'G-3 Multipliers'!$L$3:$N$6,2,FALSE)))</f>
        <v/>
      </c>
      <c r="L176" s="368" t="str">
        <f>IF(J176="","",IF(VLOOKUP(J176,'G-3 Multipliers'!$L$3:$N$6,3,FALSE)=0,"Spatial Data Missing ⚠",VLOOKUP(J176,'G-3 Multipliers'!$L$3:$N$6,3,FALSE)))</f>
        <v/>
      </c>
      <c r="M176" s="362" t="str">
        <f>IF(OR(D176="",H176=""),"",(INDEX('G-6 Hedgerow Data'!$E$3:$I$15,MATCH(D176,'G-6 Hedgerow Data'!$B$3:$B$15,0),MATCH(H176,'G-6 Hedgerow Data'!$E$2:$I$2,0))))</f>
        <v/>
      </c>
      <c r="N176" s="159"/>
      <c r="O176" s="159"/>
      <c r="P176" s="370" t="str">
        <f t="shared" si="13"/>
        <v/>
      </c>
      <c r="Q176" s="383" t="str">
        <f t="shared" si="14"/>
        <v/>
      </c>
      <c r="R176" s="384" t="str">
        <f t="shared" si="12"/>
        <v/>
      </c>
      <c r="S176" s="398" t="str">
        <f>IF(D176="","",VLOOKUP(D176,'G-6 Hedgerow Data'!$B$3:$AG$15,31,FALSE))</f>
        <v/>
      </c>
      <c r="T176" s="370" t="str">
        <f t="shared" si="15"/>
        <v/>
      </c>
      <c r="U176" s="370" t="str">
        <f t="shared" si="16"/>
        <v/>
      </c>
      <c r="V176" s="386" t="str">
        <f>IF(D176="","",VLOOKUP(S176,'G-3 Multipliers'!$P$3:$Q$6,2,FALSE))</f>
        <v/>
      </c>
      <c r="W176" s="390" t="str">
        <f t="shared" si="17"/>
        <v/>
      </c>
      <c r="X176" s="117"/>
      <c r="Y176" s="118"/>
      <c r="Z176" s="120"/>
      <c r="AG176" s="30" t="str">
        <f>IFERROR(INDEX('G-6 Hedgerow Data'!$BJ$3:$BJ$15,MATCH(D176,'G-6 Hedgerow Data'!$B$3:$B$15,0)),"")</f>
        <v/>
      </c>
    </row>
    <row r="177" spans="2:33" ht="15">
      <c r="B177" s="110">
        <v>166</v>
      </c>
      <c r="C177" s="167"/>
      <c r="D177" s="159"/>
      <c r="E177" s="139"/>
      <c r="F177" s="411" t="str">
        <f>IF(D177="","",VLOOKUP(D177,'G-6 Hedgerow Data'!$B$2:$AG$15,2,FALSE))</f>
        <v/>
      </c>
      <c r="G177" s="363" t="str">
        <f>IF(D177="","",VLOOKUP(D177,'G-6 Hedgerow Data'!$B$2:$AG$15,3,FALSE))</f>
        <v/>
      </c>
      <c r="H177" s="114"/>
      <c r="I177" s="363" t="str">
        <f>IFERROR(VLOOKUP(H177,'G-1 All Habitats'!$Z$2:$AA$9,2,FALSE),"")</f>
        <v/>
      </c>
      <c r="J177" s="114"/>
      <c r="K177" s="382" t="str">
        <f>IF(J177="","",IF(VLOOKUP(J177,'G-3 Multipliers'!$L$3:$N$6,2,FALSE)=0,"Spatial Data Missing ⚠",VLOOKUP(J177,'G-3 Multipliers'!$L$3:$N$6,2,FALSE)))</f>
        <v/>
      </c>
      <c r="L177" s="368" t="str">
        <f>IF(J177="","",IF(VLOOKUP(J177,'G-3 Multipliers'!$L$3:$N$6,3,FALSE)=0,"Spatial Data Missing ⚠",VLOOKUP(J177,'G-3 Multipliers'!$L$3:$N$6,3,FALSE)))</f>
        <v/>
      </c>
      <c r="M177" s="362" t="str">
        <f>IF(OR(D177="",H177=""),"",(INDEX('G-6 Hedgerow Data'!$E$3:$I$15,MATCH(D177,'G-6 Hedgerow Data'!$B$3:$B$15,0),MATCH(H177,'G-6 Hedgerow Data'!$E$2:$I$2,0))))</f>
        <v/>
      </c>
      <c r="N177" s="159"/>
      <c r="O177" s="159"/>
      <c r="P177" s="370" t="str">
        <f t="shared" si="13"/>
        <v/>
      </c>
      <c r="Q177" s="383" t="str">
        <f t="shared" si="14"/>
        <v/>
      </c>
      <c r="R177" s="384" t="str">
        <f t="shared" si="12"/>
        <v/>
      </c>
      <c r="S177" s="398" t="str">
        <f>IF(D177="","",VLOOKUP(D177,'G-6 Hedgerow Data'!$B$3:$AG$15,31,FALSE))</f>
        <v/>
      </c>
      <c r="T177" s="370" t="str">
        <f t="shared" si="15"/>
        <v/>
      </c>
      <c r="U177" s="370" t="str">
        <f t="shared" si="16"/>
        <v/>
      </c>
      <c r="V177" s="386" t="str">
        <f>IF(D177="","",VLOOKUP(S177,'G-3 Multipliers'!$P$3:$Q$6,2,FALSE))</f>
        <v/>
      </c>
      <c r="W177" s="390" t="str">
        <f t="shared" si="17"/>
        <v/>
      </c>
      <c r="X177" s="117"/>
      <c r="Y177" s="118"/>
      <c r="Z177" s="120"/>
      <c r="AG177" s="30" t="str">
        <f>IFERROR(INDEX('G-6 Hedgerow Data'!$BJ$3:$BJ$15,MATCH(D177,'G-6 Hedgerow Data'!$B$3:$B$15,0)),"")</f>
        <v/>
      </c>
    </row>
    <row r="178" spans="2:33" ht="15">
      <c r="B178" s="110">
        <v>167</v>
      </c>
      <c r="C178" s="167"/>
      <c r="D178" s="159"/>
      <c r="E178" s="139"/>
      <c r="F178" s="411" t="str">
        <f>IF(D178="","",VLOOKUP(D178,'G-6 Hedgerow Data'!$B$2:$AG$15,2,FALSE))</f>
        <v/>
      </c>
      <c r="G178" s="363" t="str">
        <f>IF(D178="","",VLOOKUP(D178,'G-6 Hedgerow Data'!$B$2:$AG$15,3,FALSE))</f>
        <v/>
      </c>
      <c r="H178" s="114"/>
      <c r="I178" s="363" t="str">
        <f>IFERROR(VLOOKUP(H178,'G-1 All Habitats'!$Z$2:$AA$9,2,FALSE),"")</f>
        <v/>
      </c>
      <c r="J178" s="114"/>
      <c r="K178" s="382" t="str">
        <f>IF(J178="","",IF(VLOOKUP(J178,'G-3 Multipliers'!$L$3:$N$6,2,FALSE)=0,"Spatial Data Missing ⚠",VLOOKUP(J178,'G-3 Multipliers'!$L$3:$N$6,2,FALSE)))</f>
        <v/>
      </c>
      <c r="L178" s="368" t="str">
        <f>IF(J178="","",IF(VLOOKUP(J178,'G-3 Multipliers'!$L$3:$N$6,3,FALSE)=0,"Spatial Data Missing ⚠",VLOOKUP(J178,'G-3 Multipliers'!$L$3:$N$6,3,FALSE)))</f>
        <v/>
      </c>
      <c r="M178" s="362" t="str">
        <f>IF(OR(D178="",H178=""),"",(INDEX('G-6 Hedgerow Data'!$E$3:$I$15,MATCH(D178,'G-6 Hedgerow Data'!$B$3:$B$15,0),MATCH(H178,'G-6 Hedgerow Data'!$E$2:$I$2,0))))</f>
        <v/>
      </c>
      <c r="N178" s="159"/>
      <c r="O178" s="159"/>
      <c r="P178" s="370" t="str">
        <f t="shared" si="13"/>
        <v/>
      </c>
      <c r="Q178" s="383" t="str">
        <f t="shared" si="14"/>
        <v/>
      </c>
      <c r="R178" s="384" t="str">
        <f t="shared" si="12"/>
        <v/>
      </c>
      <c r="S178" s="398" t="str">
        <f>IF(D178="","",VLOOKUP(D178,'G-6 Hedgerow Data'!$B$3:$AG$15,31,FALSE))</f>
        <v/>
      </c>
      <c r="T178" s="370" t="str">
        <f t="shared" si="15"/>
        <v/>
      </c>
      <c r="U178" s="370" t="str">
        <f t="shared" si="16"/>
        <v/>
      </c>
      <c r="V178" s="386" t="str">
        <f>IF(D178="","",VLOOKUP(S178,'G-3 Multipliers'!$P$3:$Q$6,2,FALSE))</f>
        <v/>
      </c>
      <c r="W178" s="390" t="str">
        <f t="shared" si="17"/>
        <v/>
      </c>
      <c r="X178" s="117"/>
      <c r="Y178" s="118"/>
      <c r="Z178" s="120"/>
      <c r="AG178" s="30" t="str">
        <f>IFERROR(INDEX('G-6 Hedgerow Data'!$BJ$3:$BJ$15,MATCH(D178,'G-6 Hedgerow Data'!$B$3:$B$15,0)),"")</f>
        <v/>
      </c>
    </row>
    <row r="179" spans="2:33" ht="15">
      <c r="B179" s="110">
        <v>168</v>
      </c>
      <c r="C179" s="167"/>
      <c r="D179" s="159"/>
      <c r="E179" s="139"/>
      <c r="F179" s="411" t="str">
        <f>IF(D179="","",VLOOKUP(D179,'G-6 Hedgerow Data'!$B$2:$AG$15,2,FALSE))</f>
        <v/>
      </c>
      <c r="G179" s="363" t="str">
        <f>IF(D179="","",VLOOKUP(D179,'G-6 Hedgerow Data'!$B$2:$AG$15,3,FALSE))</f>
        <v/>
      </c>
      <c r="H179" s="114"/>
      <c r="I179" s="363" t="str">
        <f>IFERROR(VLOOKUP(H179,'G-1 All Habitats'!$Z$2:$AA$9,2,FALSE),"")</f>
        <v/>
      </c>
      <c r="J179" s="114"/>
      <c r="K179" s="382" t="str">
        <f>IF(J179="","",IF(VLOOKUP(J179,'G-3 Multipliers'!$L$3:$N$6,2,FALSE)=0,"Spatial Data Missing ⚠",VLOOKUP(J179,'G-3 Multipliers'!$L$3:$N$6,2,FALSE)))</f>
        <v/>
      </c>
      <c r="L179" s="368" t="str">
        <f>IF(J179="","",IF(VLOOKUP(J179,'G-3 Multipliers'!$L$3:$N$6,3,FALSE)=0,"Spatial Data Missing ⚠",VLOOKUP(J179,'G-3 Multipliers'!$L$3:$N$6,3,FALSE)))</f>
        <v/>
      </c>
      <c r="M179" s="362" t="str">
        <f>IF(OR(D179="",H179=""),"",(INDEX('G-6 Hedgerow Data'!$E$3:$I$15,MATCH(D179,'G-6 Hedgerow Data'!$B$3:$B$15,0),MATCH(H179,'G-6 Hedgerow Data'!$E$2:$I$2,0))))</f>
        <v/>
      </c>
      <c r="N179" s="159"/>
      <c r="O179" s="159"/>
      <c r="P179" s="370" t="str">
        <f t="shared" si="13"/>
        <v/>
      </c>
      <c r="Q179" s="383" t="str">
        <f t="shared" si="14"/>
        <v/>
      </c>
      <c r="R179" s="384" t="str">
        <f t="shared" si="12"/>
        <v/>
      </c>
      <c r="S179" s="398" t="str">
        <f>IF(D179="","",VLOOKUP(D179,'G-6 Hedgerow Data'!$B$3:$AG$15,31,FALSE))</f>
        <v/>
      </c>
      <c r="T179" s="370" t="str">
        <f t="shared" si="15"/>
        <v/>
      </c>
      <c r="U179" s="370" t="str">
        <f t="shared" si="16"/>
        <v/>
      </c>
      <c r="V179" s="386" t="str">
        <f>IF(D179="","",VLOOKUP(S179,'G-3 Multipliers'!$P$3:$Q$6,2,FALSE))</f>
        <v/>
      </c>
      <c r="W179" s="390" t="str">
        <f t="shared" si="17"/>
        <v/>
      </c>
      <c r="X179" s="117"/>
      <c r="Y179" s="118"/>
      <c r="Z179" s="120"/>
      <c r="AG179" s="30" t="str">
        <f>IFERROR(INDEX('G-6 Hedgerow Data'!$BJ$3:$BJ$15,MATCH(D179,'G-6 Hedgerow Data'!$B$3:$B$15,0)),"")</f>
        <v/>
      </c>
    </row>
    <row r="180" spans="2:33" ht="15">
      <c r="B180" s="110">
        <v>169</v>
      </c>
      <c r="C180" s="167"/>
      <c r="D180" s="159"/>
      <c r="E180" s="139"/>
      <c r="F180" s="411" t="str">
        <f>IF(D180="","",VLOOKUP(D180,'G-6 Hedgerow Data'!$B$2:$AG$15,2,FALSE))</f>
        <v/>
      </c>
      <c r="G180" s="363" t="str">
        <f>IF(D180="","",VLOOKUP(D180,'G-6 Hedgerow Data'!$B$2:$AG$15,3,FALSE))</f>
        <v/>
      </c>
      <c r="H180" s="114"/>
      <c r="I180" s="363" t="str">
        <f>IFERROR(VLOOKUP(H180,'G-1 All Habitats'!$Z$2:$AA$9,2,FALSE),"")</f>
        <v/>
      </c>
      <c r="J180" s="114"/>
      <c r="K180" s="382" t="str">
        <f>IF(J180="","",IF(VLOOKUP(J180,'G-3 Multipliers'!$L$3:$N$6,2,FALSE)=0,"Spatial Data Missing ⚠",VLOOKUP(J180,'G-3 Multipliers'!$L$3:$N$6,2,FALSE)))</f>
        <v/>
      </c>
      <c r="L180" s="368" t="str">
        <f>IF(J180="","",IF(VLOOKUP(J180,'G-3 Multipliers'!$L$3:$N$6,3,FALSE)=0,"Spatial Data Missing ⚠",VLOOKUP(J180,'G-3 Multipliers'!$L$3:$N$6,3,FALSE)))</f>
        <v/>
      </c>
      <c r="M180" s="362" t="str">
        <f>IF(OR(D180="",H180=""),"",(INDEX('G-6 Hedgerow Data'!$E$3:$I$15,MATCH(D180,'G-6 Hedgerow Data'!$B$3:$B$15,0),MATCH(H180,'G-6 Hedgerow Data'!$E$2:$I$2,0))))</f>
        <v/>
      </c>
      <c r="N180" s="159"/>
      <c r="O180" s="159"/>
      <c r="P180" s="370" t="str">
        <f t="shared" si="13"/>
        <v/>
      </c>
      <c r="Q180" s="383" t="str">
        <f t="shared" si="14"/>
        <v/>
      </c>
      <c r="R180" s="384" t="str">
        <f t="shared" si="12"/>
        <v/>
      </c>
      <c r="S180" s="398" t="str">
        <f>IF(D180="","",VLOOKUP(D180,'G-6 Hedgerow Data'!$B$3:$AG$15,31,FALSE))</f>
        <v/>
      </c>
      <c r="T180" s="370" t="str">
        <f t="shared" si="15"/>
        <v/>
      </c>
      <c r="U180" s="370" t="str">
        <f t="shared" si="16"/>
        <v/>
      </c>
      <c r="V180" s="386" t="str">
        <f>IF(D180="","",VLOOKUP(S180,'G-3 Multipliers'!$P$3:$Q$6,2,FALSE))</f>
        <v/>
      </c>
      <c r="W180" s="390" t="str">
        <f t="shared" si="17"/>
        <v/>
      </c>
      <c r="X180" s="117"/>
      <c r="Y180" s="118"/>
      <c r="Z180" s="120"/>
      <c r="AG180" s="30" t="str">
        <f>IFERROR(INDEX('G-6 Hedgerow Data'!$BJ$3:$BJ$15,MATCH(D180,'G-6 Hedgerow Data'!$B$3:$B$15,0)),"")</f>
        <v/>
      </c>
    </row>
    <row r="181" spans="2:33" ht="15">
      <c r="B181" s="110">
        <v>170</v>
      </c>
      <c r="C181" s="167"/>
      <c r="D181" s="159"/>
      <c r="E181" s="139"/>
      <c r="F181" s="411" t="str">
        <f>IF(D181="","",VLOOKUP(D181,'G-6 Hedgerow Data'!$B$2:$AG$15,2,FALSE))</f>
        <v/>
      </c>
      <c r="G181" s="363" t="str">
        <f>IF(D181="","",VLOOKUP(D181,'G-6 Hedgerow Data'!$B$2:$AG$15,3,FALSE))</f>
        <v/>
      </c>
      <c r="H181" s="114"/>
      <c r="I181" s="363" t="str">
        <f>IFERROR(VLOOKUP(H181,'G-1 All Habitats'!$Z$2:$AA$9,2,FALSE),"")</f>
        <v/>
      </c>
      <c r="J181" s="114"/>
      <c r="K181" s="382" t="str">
        <f>IF(J181="","",IF(VLOOKUP(J181,'G-3 Multipliers'!$L$3:$N$6,2,FALSE)=0,"Spatial Data Missing ⚠",VLOOKUP(J181,'G-3 Multipliers'!$L$3:$N$6,2,FALSE)))</f>
        <v/>
      </c>
      <c r="L181" s="368" t="str">
        <f>IF(J181="","",IF(VLOOKUP(J181,'G-3 Multipliers'!$L$3:$N$6,3,FALSE)=0,"Spatial Data Missing ⚠",VLOOKUP(J181,'G-3 Multipliers'!$L$3:$N$6,3,FALSE)))</f>
        <v/>
      </c>
      <c r="M181" s="362" t="str">
        <f>IF(OR(D181="",H181=""),"",(INDEX('G-6 Hedgerow Data'!$E$3:$I$15,MATCH(D181,'G-6 Hedgerow Data'!$B$3:$B$15,0),MATCH(H181,'G-6 Hedgerow Data'!$E$2:$I$2,0))))</f>
        <v/>
      </c>
      <c r="N181" s="159"/>
      <c r="O181" s="159"/>
      <c r="P181" s="370" t="str">
        <f t="shared" si="13"/>
        <v/>
      </c>
      <c r="Q181" s="383" t="str">
        <f t="shared" si="14"/>
        <v/>
      </c>
      <c r="R181" s="384" t="str">
        <f t="shared" si="12"/>
        <v/>
      </c>
      <c r="S181" s="398" t="str">
        <f>IF(D181="","",VLOOKUP(D181,'G-6 Hedgerow Data'!$B$3:$AG$15,31,FALSE))</f>
        <v/>
      </c>
      <c r="T181" s="370" t="str">
        <f t="shared" si="15"/>
        <v/>
      </c>
      <c r="U181" s="370" t="str">
        <f t="shared" si="16"/>
        <v/>
      </c>
      <c r="V181" s="386" t="str">
        <f>IF(D181="","",VLOOKUP(S181,'G-3 Multipliers'!$P$3:$Q$6,2,FALSE))</f>
        <v/>
      </c>
      <c r="W181" s="390" t="str">
        <f t="shared" si="17"/>
        <v/>
      </c>
      <c r="X181" s="117"/>
      <c r="Y181" s="118"/>
      <c r="Z181" s="120"/>
      <c r="AG181" s="30" t="str">
        <f>IFERROR(INDEX('G-6 Hedgerow Data'!$BJ$3:$BJ$15,MATCH(D181,'G-6 Hedgerow Data'!$B$3:$B$15,0)),"")</f>
        <v/>
      </c>
    </row>
    <row r="182" spans="2:33" ht="15">
      <c r="B182" s="110">
        <v>171</v>
      </c>
      <c r="C182" s="167"/>
      <c r="D182" s="159"/>
      <c r="E182" s="139"/>
      <c r="F182" s="411" t="str">
        <f>IF(D182="","",VLOOKUP(D182,'G-6 Hedgerow Data'!$B$2:$AG$15,2,FALSE))</f>
        <v/>
      </c>
      <c r="G182" s="363" t="str">
        <f>IF(D182="","",VLOOKUP(D182,'G-6 Hedgerow Data'!$B$2:$AG$15,3,FALSE))</f>
        <v/>
      </c>
      <c r="H182" s="114"/>
      <c r="I182" s="363" t="str">
        <f>IFERROR(VLOOKUP(H182,'G-1 All Habitats'!$Z$2:$AA$9,2,FALSE),"")</f>
        <v/>
      </c>
      <c r="J182" s="114"/>
      <c r="K182" s="382" t="str">
        <f>IF(J182="","",IF(VLOOKUP(J182,'G-3 Multipliers'!$L$3:$N$6,2,FALSE)=0,"Spatial Data Missing ⚠",VLOOKUP(J182,'G-3 Multipliers'!$L$3:$N$6,2,FALSE)))</f>
        <v/>
      </c>
      <c r="L182" s="368" t="str">
        <f>IF(J182="","",IF(VLOOKUP(J182,'G-3 Multipliers'!$L$3:$N$6,3,FALSE)=0,"Spatial Data Missing ⚠",VLOOKUP(J182,'G-3 Multipliers'!$L$3:$N$6,3,FALSE)))</f>
        <v/>
      </c>
      <c r="M182" s="362" t="str">
        <f>IF(OR(D182="",H182=""),"",(INDEX('G-6 Hedgerow Data'!$E$3:$I$15,MATCH(D182,'G-6 Hedgerow Data'!$B$3:$B$15,0),MATCH(H182,'G-6 Hedgerow Data'!$E$2:$I$2,0))))</f>
        <v/>
      </c>
      <c r="N182" s="159"/>
      <c r="O182" s="159"/>
      <c r="P182" s="370" t="str">
        <f t="shared" si="13"/>
        <v/>
      </c>
      <c r="Q182" s="383" t="str">
        <f t="shared" si="14"/>
        <v/>
      </c>
      <c r="R182" s="384" t="str">
        <f t="shared" si="12"/>
        <v/>
      </c>
      <c r="S182" s="398" t="str">
        <f>IF(D182="","",VLOOKUP(D182,'G-6 Hedgerow Data'!$B$3:$AG$15,31,FALSE))</f>
        <v/>
      </c>
      <c r="T182" s="370" t="str">
        <f t="shared" si="15"/>
        <v/>
      </c>
      <c r="U182" s="370" t="str">
        <f t="shared" si="16"/>
        <v/>
      </c>
      <c r="V182" s="386" t="str">
        <f>IF(D182="","",VLOOKUP(S182,'G-3 Multipliers'!$P$3:$Q$6,2,FALSE))</f>
        <v/>
      </c>
      <c r="W182" s="390" t="str">
        <f t="shared" si="17"/>
        <v/>
      </c>
      <c r="X182" s="117"/>
      <c r="Y182" s="118"/>
      <c r="Z182" s="120"/>
      <c r="AG182" s="30" t="str">
        <f>IFERROR(INDEX('G-6 Hedgerow Data'!$BJ$3:$BJ$15,MATCH(D182,'G-6 Hedgerow Data'!$B$3:$B$15,0)),"")</f>
        <v/>
      </c>
    </row>
    <row r="183" spans="2:33" ht="15">
      <c r="B183" s="110">
        <v>172</v>
      </c>
      <c r="C183" s="167"/>
      <c r="D183" s="159"/>
      <c r="E183" s="139"/>
      <c r="F183" s="411" t="str">
        <f>IF(D183="","",VLOOKUP(D183,'G-6 Hedgerow Data'!$B$2:$AG$15,2,FALSE))</f>
        <v/>
      </c>
      <c r="G183" s="363" t="str">
        <f>IF(D183="","",VLOOKUP(D183,'G-6 Hedgerow Data'!$B$2:$AG$15,3,FALSE))</f>
        <v/>
      </c>
      <c r="H183" s="114"/>
      <c r="I183" s="363" t="str">
        <f>IFERROR(VLOOKUP(H183,'G-1 All Habitats'!$Z$2:$AA$9,2,FALSE),"")</f>
        <v/>
      </c>
      <c r="J183" s="114"/>
      <c r="K183" s="382" t="str">
        <f>IF(J183="","",IF(VLOOKUP(J183,'G-3 Multipliers'!$L$3:$N$6,2,FALSE)=0,"Spatial Data Missing ⚠",VLOOKUP(J183,'G-3 Multipliers'!$L$3:$N$6,2,FALSE)))</f>
        <v/>
      </c>
      <c r="L183" s="368" t="str">
        <f>IF(J183="","",IF(VLOOKUP(J183,'G-3 Multipliers'!$L$3:$N$6,3,FALSE)=0,"Spatial Data Missing ⚠",VLOOKUP(J183,'G-3 Multipliers'!$L$3:$N$6,3,FALSE)))</f>
        <v/>
      </c>
      <c r="M183" s="362" t="str">
        <f>IF(OR(D183="",H183=""),"",(INDEX('G-6 Hedgerow Data'!$E$3:$I$15,MATCH(D183,'G-6 Hedgerow Data'!$B$3:$B$15,0),MATCH(H183,'G-6 Hedgerow Data'!$E$2:$I$2,0))))</f>
        <v/>
      </c>
      <c r="N183" s="159"/>
      <c r="O183" s="159"/>
      <c r="P183" s="370" t="str">
        <f t="shared" si="13"/>
        <v/>
      </c>
      <c r="Q183" s="383" t="str">
        <f t="shared" si="14"/>
        <v/>
      </c>
      <c r="R183" s="384" t="str">
        <f t="shared" si="12"/>
        <v/>
      </c>
      <c r="S183" s="398" t="str">
        <f>IF(D183="","",VLOOKUP(D183,'G-6 Hedgerow Data'!$B$3:$AG$15,31,FALSE))</f>
        <v/>
      </c>
      <c r="T183" s="370" t="str">
        <f t="shared" si="15"/>
        <v/>
      </c>
      <c r="U183" s="370" t="str">
        <f t="shared" si="16"/>
        <v/>
      </c>
      <c r="V183" s="386" t="str">
        <f>IF(D183="","",VLOOKUP(S183,'G-3 Multipliers'!$P$3:$Q$6,2,FALSE))</f>
        <v/>
      </c>
      <c r="W183" s="390" t="str">
        <f t="shared" si="17"/>
        <v/>
      </c>
      <c r="X183" s="117"/>
      <c r="Y183" s="118"/>
      <c r="Z183" s="120"/>
      <c r="AG183" s="30" t="str">
        <f>IFERROR(INDEX('G-6 Hedgerow Data'!$BJ$3:$BJ$15,MATCH(D183,'G-6 Hedgerow Data'!$B$3:$B$15,0)),"")</f>
        <v/>
      </c>
    </row>
    <row r="184" spans="2:33" ht="15">
      <c r="B184" s="110">
        <v>173</v>
      </c>
      <c r="C184" s="167"/>
      <c r="D184" s="159"/>
      <c r="E184" s="139"/>
      <c r="F184" s="411" t="str">
        <f>IF(D184="","",VLOOKUP(D184,'G-6 Hedgerow Data'!$B$2:$AG$15,2,FALSE))</f>
        <v/>
      </c>
      <c r="G184" s="363" t="str">
        <f>IF(D184="","",VLOOKUP(D184,'G-6 Hedgerow Data'!$B$2:$AG$15,3,FALSE))</f>
        <v/>
      </c>
      <c r="H184" s="114"/>
      <c r="I184" s="363" t="str">
        <f>IFERROR(VLOOKUP(H184,'G-1 All Habitats'!$Z$2:$AA$9,2,FALSE),"")</f>
        <v/>
      </c>
      <c r="J184" s="114"/>
      <c r="K184" s="382" t="str">
        <f>IF(J184="","",IF(VLOOKUP(J184,'G-3 Multipliers'!$L$3:$N$6,2,FALSE)=0,"Spatial Data Missing ⚠",VLOOKUP(J184,'G-3 Multipliers'!$L$3:$N$6,2,FALSE)))</f>
        <v/>
      </c>
      <c r="L184" s="368" t="str">
        <f>IF(J184="","",IF(VLOOKUP(J184,'G-3 Multipliers'!$L$3:$N$6,3,FALSE)=0,"Spatial Data Missing ⚠",VLOOKUP(J184,'G-3 Multipliers'!$L$3:$N$6,3,FALSE)))</f>
        <v/>
      </c>
      <c r="M184" s="362" t="str">
        <f>IF(OR(D184="",H184=""),"",(INDEX('G-6 Hedgerow Data'!$E$3:$I$15,MATCH(D184,'G-6 Hedgerow Data'!$B$3:$B$15,0),MATCH(H184,'G-6 Hedgerow Data'!$E$2:$I$2,0))))</f>
        <v/>
      </c>
      <c r="N184" s="159"/>
      <c r="O184" s="159"/>
      <c r="P184" s="370" t="str">
        <f t="shared" si="13"/>
        <v/>
      </c>
      <c r="Q184" s="383" t="str">
        <f t="shared" si="14"/>
        <v/>
      </c>
      <c r="R184" s="384" t="str">
        <f t="shared" si="12"/>
        <v/>
      </c>
      <c r="S184" s="398" t="str">
        <f>IF(D184="","",VLOOKUP(D184,'G-6 Hedgerow Data'!$B$3:$AG$15,31,FALSE))</f>
        <v/>
      </c>
      <c r="T184" s="370" t="str">
        <f t="shared" si="15"/>
        <v/>
      </c>
      <c r="U184" s="370" t="str">
        <f t="shared" si="16"/>
        <v/>
      </c>
      <c r="V184" s="386" t="str">
        <f>IF(D184="","",VLOOKUP(S184,'G-3 Multipliers'!$P$3:$Q$6,2,FALSE))</f>
        <v/>
      </c>
      <c r="W184" s="390" t="str">
        <f t="shared" si="17"/>
        <v/>
      </c>
      <c r="X184" s="117"/>
      <c r="Y184" s="118"/>
      <c r="Z184" s="120"/>
      <c r="AG184" s="30" t="str">
        <f>IFERROR(INDEX('G-6 Hedgerow Data'!$BJ$3:$BJ$15,MATCH(D184,'G-6 Hedgerow Data'!$B$3:$B$15,0)),"")</f>
        <v/>
      </c>
    </row>
    <row r="185" spans="2:33" ht="15">
      <c r="B185" s="110">
        <v>174</v>
      </c>
      <c r="C185" s="167"/>
      <c r="D185" s="159"/>
      <c r="E185" s="139"/>
      <c r="F185" s="411" t="str">
        <f>IF(D185="","",VLOOKUP(D185,'G-6 Hedgerow Data'!$B$2:$AG$15,2,FALSE))</f>
        <v/>
      </c>
      <c r="G185" s="363" t="str">
        <f>IF(D185="","",VLOOKUP(D185,'G-6 Hedgerow Data'!$B$2:$AG$15,3,FALSE))</f>
        <v/>
      </c>
      <c r="H185" s="114"/>
      <c r="I185" s="363" t="str">
        <f>IFERROR(VLOOKUP(H185,'G-1 All Habitats'!$Z$2:$AA$9,2,FALSE),"")</f>
        <v/>
      </c>
      <c r="J185" s="114"/>
      <c r="K185" s="382" t="str">
        <f>IF(J185="","",IF(VLOOKUP(J185,'G-3 Multipliers'!$L$3:$N$6,2,FALSE)=0,"Spatial Data Missing ⚠",VLOOKUP(J185,'G-3 Multipliers'!$L$3:$N$6,2,FALSE)))</f>
        <v/>
      </c>
      <c r="L185" s="368" t="str">
        <f>IF(J185="","",IF(VLOOKUP(J185,'G-3 Multipliers'!$L$3:$N$6,3,FALSE)=0,"Spatial Data Missing ⚠",VLOOKUP(J185,'G-3 Multipliers'!$L$3:$N$6,3,FALSE)))</f>
        <v/>
      </c>
      <c r="M185" s="362" t="str">
        <f>IF(OR(D185="",H185=""),"",(INDEX('G-6 Hedgerow Data'!$E$3:$I$15,MATCH(D185,'G-6 Hedgerow Data'!$B$3:$B$15,0),MATCH(H185,'G-6 Hedgerow Data'!$E$2:$I$2,0))))</f>
        <v/>
      </c>
      <c r="N185" s="159"/>
      <c r="O185" s="159"/>
      <c r="P185" s="370" t="str">
        <f t="shared" si="13"/>
        <v/>
      </c>
      <c r="Q185" s="383" t="str">
        <f t="shared" si="14"/>
        <v/>
      </c>
      <c r="R185" s="384" t="str">
        <f t="shared" si="12"/>
        <v/>
      </c>
      <c r="S185" s="398" t="str">
        <f>IF(D185="","",VLOOKUP(D185,'G-6 Hedgerow Data'!$B$3:$AG$15,31,FALSE))</f>
        <v/>
      </c>
      <c r="T185" s="370" t="str">
        <f t="shared" si="15"/>
        <v/>
      </c>
      <c r="U185" s="370" t="str">
        <f t="shared" si="16"/>
        <v/>
      </c>
      <c r="V185" s="386" t="str">
        <f>IF(D185="","",VLOOKUP(S185,'G-3 Multipliers'!$P$3:$Q$6,2,FALSE))</f>
        <v/>
      </c>
      <c r="W185" s="390" t="str">
        <f t="shared" si="17"/>
        <v/>
      </c>
      <c r="X185" s="117"/>
      <c r="Y185" s="118"/>
      <c r="Z185" s="120"/>
      <c r="AG185" s="30" t="str">
        <f>IFERROR(INDEX('G-6 Hedgerow Data'!$BJ$3:$BJ$15,MATCH(D185,'G-6 Hedgerow Data'!$B$3:$B$15,0)),"")</f>
        <v/>
      </c>
    </row>
    <row r="186" spans="2:33" ht="15">
      <c r="B186" s="110">
        <v>175</v>
      </c>
      <c r="C186" s="167"/>
      <c r="D186" s="159"/>
      <c r="E186" s="139"/>
      <c r="F186" s="411" t="str">
        <f>IF(D186="","",VLOOKUP(D186,'G-6 Hedgerow Data'!$B$2:$AG$15,2,FALSE))</f>
        <v/>
      </c>
      <c r="G186" s="363" t="str">
        <f>IF(D186="","",VLOOKUP(D186,'G-6 Hedgerow Data'!$B$2:$AG$15,3,FALSE))</f>
        <v/>
      </c>
      <c r="H186" s="114"/>
      <c r="I186" s="363" t="str">
        <f>IFERROR(VLOOKUP(H186,'G-1 All Habitats'!$Z$2:$AA$9,2,FALSE),"")</f>
        <v/>
      </c>
      <c r="J186" s="114"/>
      <c r="K186" s="382" t="str">
        <f>IF(J186="","",IF(VLOOKUP(J186,'G-3 Multipliers'!$L$3:$N$6,2,FALSE)=0,"Spatial Data Missing ⚠",VLOOKUP(J186,'G-3 Multipliers'!$L$3:$N$6,2,FALSE)))</f>
        <v/>
      </c>
      <c r="L186" s="368" t="str">
        <f>IF(J186="","",IF(VLOOKUP(J186,'G-3 Multipliers'!$L$3:$N$6,3,FALSE)=0,"Spatial Data Missing ⚠",VLOOKUP(J186,'G-3 Multipliers'!$L$3:$N$6,3,FALSE)))</f>
        <v/>
      </c>
      <c r="M186" s="362" t="str">
        <f>IF(OR(D186="",H186=""),"",(INDEX('G-6 Hedgerow Data'!$E$3:$I$15,MATCH(D186,'G-6 Hedgerow Data'!$B$3:$B$15,0),MATCH(H186,'G-6 Hedgerow Data'!$E$2:$I$2,0))))</f>
        <v/>
      </c>
      <c r="N186" s="159"/>
      <c r="O186" s="159"/>
      <c r="P186" s="370" t="str">
        <f t="shared" si="13"/>
        <v/>
      </c>
      <c r="Q186" s="383" t="str">
        <f t="shared" si="14"/>
        <v/>
      </c>
      <c r="R186" s="384" t="str">
        <f t="shared" si="12"/>
        <v/>
      </c>
      <c r="S186" s="398" t="str">
        <f>IF(D186="","",VLOOKUP(D186,'G-6 Hedgerow Data'!$B$3:$AG$15,31,FALSE))</f>
        <v/>
      </c>
      <c r="T186" s="370" t="str">
        <f t="shared" si="15"/>
        <v/>
      </c>
      <c r="U186" s="370" t="str">
        <f t="shared" si="16"/>
        <v/>
      </c>
      <c r="V186" s="386" t="str">
        <f>IF(D186="","",VLOOKUP(S186,'G-3 Multipliers'!$P$3:$Q$6,2,FALSE))</f>
        <v/>
      </c>
      <c r="W186" s="390" t="str">
        <f t="shared" si="17"/>
        <v/>
      </c>
      <c r="X186" s="117"/>
      <c r="Y186" s="118"/>
      <c r="Z186" s="120"/>
      <c r="AG186" s="30" t="str">
        <f>IFERROR(INDEX('G-6 Hedgerow Data'!$BJ$3:$BJ$15,MATCH(D186,'G-6 Hedgerow Data'!$B$3:$B$15,0)),"")</f>
        <v/>
      </c>
    </row>
    <row r="187" spans="2:33" ht="15">
      <c r="B187" s="110">
        <v>176</v>
      </c>
      <c r="C187" s="167"/>
      <c r="D187" s="159"/>
      <c r="E187" s="139"/>
      <c r="F187" s="411" t="str">
        <f>IF(D187="","",VLOOKUP(D187,'G-6 Hedgerow Data'!$B$2:$AG$15,2,FALSE))</f>
        <v/>
      </c>
      <c r="G187" s="363" t="str">
        <f>IF(D187="","",VLOOKUP(D187,'G-6 Hedgerow Data'!$B$2:$AG$15,3,FALSE))</f>
        <v/>
      </c>
      <c r="H187" s="114"/>
      <c r="I187" s="363" t="str">
        <f>IFERROR(VLOOKUP(H187,'G-1 All Habitats'!$Z$2:$AA$9,2,FALSE),"")</f>
        <v/>
      </c>
      <c r="J187" s="114"/>
      <c r="K187" s="382" t="str">
        <f>IF(J187="","",IF(VLOOKUP(J187,'G-3 Multipliers'!$L$3:$N$6,2,FALSE)=0,"Spatial Data Missing ⚠",VLOOKUP(J187,'G-3 Multipliers'!$L$3:$N$6,2,FALSE)))</f>
        <v/>
      </c>
      <c r="L187" s="368" t="str">
        <f>IF(J187="","",IF(VLOOKUP(J187,'G-3 Multipliers'!$L$3:$N$6,3,FALSE)=0,"Spatial Data Missing ⚠",VLOOKUP(J187,'G-3 Multipliers'!$L$3:$N$6,3,FALSE)))</f>
        <v/>
      </c>
      <c r="M187" s="362" t="str">
        <f>IF(OR(D187="",H187=""),"",(INDEX('G-6 Hedgerow Data'!$E$3:$I$15,MATCH(D187,'G-6 Hedgerow Data'!$B$3:$B$15,0),MATCH(H187,'G-6 Hedgerow Data'!$E$2:$I$2,0))))</f>
        <v/>
      </c>
      <c r="N187" s="159"/>
      <c r="O187" s="159"/>
      <c r="P187" s="370" t="str">
        <f t="shared" si="13"/>
        <v/>
      </c>
      <c r="Q187" s="383" t="str">
        <f t="shared" si="14"/>
        <v/>
      </c>
      <c r="R187" s="384" t="str">
        <f t="shared" si="12"/>
        <v/>
      </c>
      <c r="S187" s="398" t="str">
        <f>IF(D187="","",VLOOKUP(D187,'G-6 Hedgerow Data'!$B$3:$AG$15,31,FALSE))</f>
        <v/>
      </c>
      <c r="T187" s="370" t="str">
        <f t="shared" si="15"/>
        <v/>
      </c>
      <c r="U187" s="370" t="str">
        <f t="shared" si="16"/>
        <v/>
      </c>
      <c r="V187" s="386" t="str">
        <f>IF(D187="","",VLOOKUP(S187,'G-3 Multipliers'!$P$3:$Q$6,2,FALSE))</f>
        <v/>
      </c>
      <c r="W187" s="390" t="str">
        <f t="shared" si="17"/>
        <v/>
      </c>
      <c r="X187" s="117"/>
      <c r="Y187" s="118"/>
      <c r="Z187" s="120"/>
      <c r="AG187" s="30" t="str">
        <f>IFERROR(INDEX('G-6 Hedgerow Data'!$BJ$3:$BJ$15,MATCH(D187,'G-6 Hedgerow Data'!$B$3:$B$15,0)),"")</f>
        <v/>
      </c>
    </row>
    <row r="188" spans="2:33" ht="15">
      <c r="B188" s="110">
        <v>177</v>
      </c>
      <c r="C188" s="167"/>
      <c r="D188" s="159"/>
      <c r="E188" s="139"/>
      <c r="F188" s="411" t="str">
        <f>IF(D188="","",VLOOKUP(D188,'G-6 Hedgerow Data'!$B$2:$AG$15,2,FALSE))</f>
        <v/>
      </c>
      <c r="G188" s="363" t="str">
        <f>IF(D188="","",VLOOKUP(D188,'G-6 Hedgerow Data'!$B$2:$AG$15,3,FALSE))</f>
        <v/>
      </c>
      <c r="H188" s="114"/>
      <c r="I188" s="363" t="str">
        <f>IFERROR(VLOOKUP(H188,'G-1 All Habitats'!$Z$2:$AA$9,2,FALSE),"")</f>
        <v/>
      </c>
      <c r="J188" s="114"/>
      <c r="K188" s="382" t="str">
        <f>IF(J188="","",IF(VLOOKUP(J188,'G-3 Multipliers'!$L$3:$N$6,2,FALSE)=0,"Spatial Data Missing ⚠",VLOOKUP(J188,'G-3 Multipliers'!$L$3:$N$6,2,FALSE)))</f>
        <v/>
      </c>
      <c r="L188" s="368" t="str">
        <f>IF(J188="","",IF(VLOOKUP(J188,'G-3 Multipliers'!$L$3:$N$6,3,FALSE)=0,"Spatial Data Missing ⚠",VLOOKUP(J188,'G-3 Multipliers'!$L$3:$N$6,3,FALSE)))</f>
        <v/>
      </c>
      <c r="M188" s="362" t="str">
        <f>IF(OR(D188="",H188=""),"",(INDEX('G-6 Hedgerow Data'!$E$3:$I$15,MATCH(D188,'G-6 Hedgerow Data'!$B$3:$B$15,0),MATCH(H188,'G-6 Hedgerow Data'!$E$2:$I$2,0))))</f>
        <v/>
      </c>
      <c r="N188" s="159"/>
      <c r="O188" s="159"/>
      <c r="P188" s="370" t="str">
        <f t="shared" si="13"/>
        <v/>
      </c>
      <c r="Q188" s="383" t="str">
        <f t="shared" si="14"/>
        <v/>
      </c>
      <c r="R188" s="384" t="str">
        <f t="shared" si="12"/>
        <v/>
      </c>
      <c r="S188" s="398" t="str">
        <f>IF(D188="","",VLOOKUP(D188,'G-6 Hedgerow Data'!$B$3:$AG$15,31,FALSE))</f>
        <v/>
      </c>
      <c r="T188" s="370" t="str">
        <f t="shared" si="15"/>
        <v/>
      </c>
      <c r="U188" s="370" t="str">
        <f t="shared" si="16"/>
        <v/>
      </c>
      <c r="V188" s="386" t="str">
        <f>IF(D188="","",VLOOKUP(S188,'G-3 Multipliers'!$P$3:$Q$6,2,FALSE))</f>
        <v/>
      </c>
      <c r="W188" s="390" t="str">
        <f t="shared" si="17"/>
        <v/>
      </c>
      <c r="X188" s="117"/>
      <c r="Y188" s="118"/>
      <c r="Z188" s="120"/>
      <c r="AG188" s="30" t="str">
        <f>IFERROR(INDEX('G-6 Hedgerow Data'!$BJ$3:$BJ$15,MATCH(D188,'G-6 Hedgerow Data'!$B$3:$B$15,0)),"")</f>
        <v/>
      </c>
    </row>
    <row r="189" spans="2:33" ht="15">
      <c r="B189" s="110">
        <v>178</v>
      </c>
      <c r="C189" s="167"/>
      <c r="D189" s="159"/>
      <c r="E189" s="139"/>
      <c r="F189" s="411" t="str">
        <f>IF(D189="","",VLOOKUP(D189,'G-6 Hedgerow Data'!$B$2:$AG$15,2,FALSE))</f>
        <v/>
      </c>
      <c r="G189" s="363" t="str">
        <f>IF(D189="","",VLOOKUP(D189,'G-6 Hedgerow Data'!$B$2:$AG$15,3,FALSE))</f>
        <v/>
      </c>
      <c r="H189" s="114"/>
      <c r="I189" s="363" t="str">
        <f>IFERROR(VLOOKUP(H189,'G-1 All Habitats'!$Z$2:$AA$9,2,FALSE),"")</f>
        <v/>
      </c>
      <c r="J189" s="114"/>
      <c r="K189" s="382" t="str">
        <f>IF(J189="","",IF(VLOOKUP(J189,'G-3 Multipliers'!$L$3:$N$6,2,FALSE)=0,"Spatial Data Missing ⚠",VLOOKUP(J189,'G-3 Multipliers'!$L$3:$N$6,2,FALSE)))</f>
        <v/>
      </c>
      <c r="L189" s="368" t="str">
        <f>IF(J189="","",IF(VLOOKUP(J189,'G-3 Multipliers'!$L$3:$N$6,3,FALSE)=0,"Spatial Data Missing ⚠",VLOOKUP(J189,'G-3 Multipliers'!$L$3:$N$6,3,FALSE)))</f>
        <v/>
      </c>
      <c r="M189" s="362" t="str">
        <f>IF(OR(D189="",H189=""),"",(INDEX('G-6 Hedgerow Data'!$E$3:$I$15,MATCH(D189,'G-6 Hedgerow Data'!$B$3:$B$15,0),MATCH(H189,'G-6 Hedgerow Data'!$E$2:$I$2,0))))</f>
        <v/>
      </c>
      <c r="N189" s="159"/>
      <c r="O189" s="159"/>
      <c r="P189" s="370" t="str">
        <f t="shared" si="13"/>
        <v/>
      </c>
      <c r="Q189" s="383" t="str">
        <f t="shared" si="14"/>
        <v/>
      </c>
      <c r="R189" s="384" t="str">
        <f t="shared" si="12"/>
        <v/>
      </c>
      <c r="S189" s="398" t="str">
        <f>IF(D189="","",VLOOKUP(D189,'G-6 Hedgerow Data'!$B$3:$AG$15,31,FALSE))</f>
        <v/>
      </c>
      <c r="T189" s="370" t="str">
        <f t="shared" si="15"/>
        <v/>
      </c>
      <c r="U189" s="370" t="str">
        <f t="shared" si="16"/>
        <v/>
      </c>
      <c r="V189" s="386" t="str">
        <f>IF(D189="","",VLOOKUP(S189,'G-3 Multipliers'!$P$3:$Q$6,2,FALSE))</f>
        <v/>
      </c>
      <c r="W189" s="390" t="str">
        <f t="shared" si="17"/>
        <v/>
      </c>
      <c r="X189" s="117"/>
      <c r="Y189" s="118"/>
      <c r="Z189" s="120"/>
      <c r="AG189" s="30" t="str">
        <f>IFERROR(INDEX('G-6 Hedgerow Data'!$BJ$3:$BJ$15,MATCH(D189,'G-6 Hedgerow Data'!$B$3:$B$15,0)),"")</f>
        <v/>
      </c>
    </row>
    <row r="190" spans="2:33" ht="15">
      <c r="B190" s="110">
        <v>179</v>
      </c>
      <c r="C190" s="167"/>
      <c r="D190" s="159"/>
      <c r="E190" s="139"/>
      <c r="F190" s="411" t="str">
        <f>IF(D190="","",VLOOKUP(D190,'G-6 Hedgerow Data'!$B$2:$AG$15,2,FALSE))</f>
        <v/>
      </c>
      <c r="G190" s="363" t="str">
        <f>IF(D190="","",VLOOKUP(D190,'G-6 Hedgerow Data'!$B$2:$AG$15,3,FALSE))</f>
        <v/>
      </c>
      <c r="H190" s="114"/>
      <c r="I190" s="363" t="str">
        <f>IFERROR(VLOOKUP(H190,'G-1 All Habitats'!$Z$2:$AA$9,2,FALSE),"")</f>
        <v/>
      </c>
      <c r="J190" s="114"/>
      <c r="K190" s="382" t="str">
        <f>IF(J190="","",IF(VLOOKUP(J190,'G-3 Multipliers'!$L$3:$N$6,2,FALSE)=0,"Spatial Data Missing ⚠",VLOOKUP(J190,'G-3 Multipliers'!$L$3:$N$6,2,FALSE)))</f>
        <v/>
      </c>
      <c r="L190" s="368" t="str">
        <f>IF(J190="","",IF(VLOOKUP(J190,'G-3 Multipliers'!$L$3:$N$6,3,FALSE)=0,"Spatial Data Missing ⚠",VLOOKUP(J190,'G-3 Multipliers'!$L$3:$N$6,3,FALSE)))</f>
        <v/>
      </c>
      <c r="M190" s="362" t="str">
        <f>IF(OR(D190="",H190=""),"",(INDEX('G-6 Hedgerow Data'!$E$3:$I$15,MATCH(D190,'G-6 Hedgerow Data'!$B$3:$B$15,0),MATCH(H190,'G-6 Hedgerow Data'!$E$2:$I$2,0))))</f>
        <v/>
      </c>
      <c r="N190" s="159"/>
      <c r="O190" s="159"/>
      <c r="P190" s="370" t="str">
        <f t="shared" si="13"/>
        <v/>
      </c>
      <c r="Q190" s="383" t="str">
        <f t="shared" si="14"/>
        <v/>
      </c>
      <c r="R190" s="384" t="str">
        <f t="shared" si="12"/>
        <v/>
      </c>
      <c r="S190" s="398" t="str">
        <f>IF(D190="","",VLOOKUP(D190,'G-6 Hedgerow Data'!$B$3:$AG$15,31,FALSE))</f>
        <v/>
      </c>
      <c r="T190" s="370" t="str">
        <f t="shared" si="15"/>
        <v/>
      </c>
      <c r="U190" s="370" t="str">
        <f t="shared" si="16"/>
        <v/>
      </c>
      <c r="V190" s="386" t="str">
        <f>IF(D190="","",VLOOKUP(S190,'G-3 Multipliers'!$P$3:$Q$6,2,FALSE))</f>
        <v/>
      </c>
      <c r="W190" s="390" t="str">
        <f t="shared" si="17"/>
        <v/>
      </c>
      <c r="X190" s="117"/>
      <c r="Y190" s="118"/>
      <c r="Z190" s="120"/>
      <c r="AG190" s="30" t="str">
        <f>IFERROR(INDEX('G-6 Hedgerow Data'!$BJ$3:$BJ$15,MATCH(D190,'G-6 Hedgerow Data'!$B$3:$B$15,0)),"")</f>
        <v/>
      </c>
    </row>
    <row r="191" spans="2:33" ht="15">
      <c r="B191" s="110">
        <v>180</v>
      </c>
      <c r="C191" s="167"/>
      <c r="D191" s="159"/>
      <c r="E191" s="139"/>
      <c r="F191" s="411" t="str">
        <f>IF(D191="","",VLOOKUP(D191,'G-6 Hedgerow Data'!$B$2:$AG$15,2,FALSE))</f>
        <v/>
      </c>
      <c r="G191" s="363" t="str">
        <f>IF(D191="","",VLOOKUP(D191,'G-6 Hedgerow Data'!$B$2:$AG$15,3,FALSE))</f>
        <v/>
      </c>
      <c r="H191" s="114"/>
      <c r="I191" s="363" t="str">
        <f>IFERROR(VLOOKUP(H191,'G-1 All Habitats'!$Z$2:$AA$9,2,FALSE),"")</f>
        <v/>
      </c>
      <c r="J191" s="114"/>
      <c r="K191" s="382" t="str">
        <f>IF(J191="","",IF(VLOOKUP(J191,'G-3 Multipliers'!$L$3:$N$6,2,FALSE)=0,"Spatial Data Missing ⚠",VLOOKUP(J191,'G-3 Multipliers'!$L$3:$N$6,2,FALSE)))</f>
        <v/>
      </c>
      <c r="L191" s="368" t="str">
        <f>IF(J191="","",IF(VLOOKUP(J191,'G-3 Multipliers'!$L$3:$N$6,3,FALSE)=0,"Spatial Data Missing ⚠",VLOOKUP(J191,'G-3 Multipliers'!$L$3:$N$6,3,FALSE)))</f>
        <v/>
      </c>
      <c r="M191" s="362" t="str">
        <f>IF(OR(D191="",H191=""),"",(INDEX('G-6 Hedgerow Data'!$E$3:$I$15,MATCH(D191,'G-6 Hedgerow Data'!$B$3:$B$15,0),MATCH(H191,'G-6 Hedgerow Data'!$E$2:$I$2,0))))</f>
        <v/>
      </c>
      <c r="N191" s="159"/>
      <c r="O191" s="159"/>
      <c r="P191" s="370" t="str">
        <f t="shared" si="13"/>
        <v/>
      </c>
      <c r="Q191" s="383" t="str">
        <f t="shared" si="14"/>
        <v/>
      </c>
      <c r="R191" s="384" t="str">
        <f t="shared" si="12"/>
        <v/>
      </c>
      <c r="S191" s="398" t="str">
        <f>IF(D191="","",VLOOKUP(D191,'G-6 Hedgerow Data'!$B$3:$AG$15,31,FALSE))</f>
        <v/>
      </c>
      <c r="T191" s="370" t="str">
        <f t="shared" si="15"/>
        <v/>
      </c>
      <c r="U191" s="370" t="str">
        <f t="shared" si="16"/>
        <v/>
      </c>
      <c r="V191" s="386" t="str">
        <f>IF(D191="","",VLOOKUP(S191,'G-3 Multipliers'!$P$3:$Q$6,2,FALSE))</f>
        <v/>
      </c>
      <c r="W191" s="390" t="str">
        <f t="shared" si="17"/>
        <v/>
      </c>
      <c r="X191" s="117"/>
      <c r="Y191" s="118"/>
      <c r="Z191" s="120"/>
      <c r="AG191" s="30" t="str">
        <f>IFERROR(INDEX('G-6 Hedgerow Data'!$BJ$3:$BJ$15,MATCH(D191,'G-6 Hedgerow Data'!$B$3:$B$15,0)),"")</f>
        <v/>
      </c>
    </row>
    <row r="192" spans="2:33" ht="15">
      <c r="B192" s="110">
        <v>181</v>
      </c>
      <c r="C192" s="167"/>
      <c r="D192" s="159"/>
      <c r="E192" s="139"/>
      <c r="F192" s="411" t="str">
        <f>IF(D192="","",VLOOKUP(D192,'G-6 Hedgerow Data'!$B$2:$AG$15,2,FALSE))</f>
        <v/>
      </c>
      <c r="G192" s="363" t="str">
        <f>IF(D192="","",VLOOKUP(D192,'G-6 Hedgerow Data'!$B$2:$AG$15,3,FALSE))</f>
        <v/>
      </c>
      <c r="H192" s="114"/>
      <c r="I192" s="363" t="str">
        <f>IFERROR(VLOOKUP(H192,'G-1 All Habitats'!$Z$2:$AA$9,2,FALSE),"")</f>
        <v/>
      </c>
      <c r="J192" s="114"/>
      <c r="K192" s="382" t="str">
        <f>IF(J192="","",IF(VLOOKUP(J192,'G-3 Multipliers'!$L$3:$N$6,2,FALSE)=0,"Spatial Data Missing ⚠",VLOOKUP(J192,'G-3 Multipliers'!$L$3:$N$6,2,FALSE)))</f>
        <v/>
      </c>
      <c r="L192" s="368" t="str">
        <f>IF(J192="","",IF(VLOOKUP(J192,'G-3 Multipliers'!$L$3:$N$6,3,FALSE)=0,"Spatial Data Missing ⚠",VLOOKUP(J192,'G-3 Multipliers'!$L$3:$N$6,3,FALSE)))</f>
        <v/>
      </c>
      <c r="M192" s="362" t="str">
        <f>IF(OR(D192="",H192=""),"",(INDEX('G-6 Hedgerow Data'!$E$3:$I$15,MATCH(D192,'G-6 Hedgerow Data'!$B$3:$B$15,0),MATCH(H192,'G-6 Hedgerow Data'!$E$2:$I$2,0))))</f>
        <v/>
      </c>
      <c r="N192" s="159"/>
      <c r="O192" s="159"/>
      <c r="P192" s="370" t="str">
        <f t="shared" si="13"/>
        <v/>
      </c>
      <c r="Q192" s="383" t="str">
        <f t="shared" si="14"/>
        <v/>
      </c>
      <c r="R192" s="384" t="str">
        <f t="shared" si="12"/>
        <v/>
      </c>
      <c r="S192" s="398" t="str">
        <f>IF(D192="","",VLOOKUP(D192,'G-6 Hedgerow Data'!$B$3:$AG$15,31,FALSE))</f>
        <v/>
      </c>
      <c r="T192" s="370" t="str">
        <f t="shared" si="15"/>
        <v/>
      </c>
      <c r="U192" s="370" t="str">
        <f t="shared" si="16"/>
        <v/>
      </c>
      <c r="V192" s="386" t="str">
        <f>IF(D192="","",VLOOKUP(S192,'G-3 Multipliers'!$P$3:$Q$6,2,FALSE))</f>
        <v/>
      </c>
      <c r="W192" s="390" t="str">
        <f t="shared" si="17"/>
        <v/>
      </c>
      <c r="X192" s="117"/>
      <c r="Y192" s="118"/>
      <c r="Z192" s="120"/>
      <c r="AG192" s="30" t="str">
        <f>IFERROR(INDEX('G-6 Hedgerow Data'!$BJ$3:$BJ$15,MATCH(D192,'G-6 Hedgerow Data'!$B$3:$B$15,0)),"")</f>
        <v/>
      </c>
    </row>
    <row r="193" spans="2:33" ht="15">
      <c r="B193" s="110">
        <v>182</v>
      </c>
      <c r="C193" s="167"/>
      <c r="D193" s="159"/>
      <c r="E193" s="139"/>
      <c r="F193" s="411" t="str">
        <f>IF(D193="","",VLOOKUP(D193,'G-6 Hedgerow Data'!$B$2:$AG$15,2,FALSE))</f>
        <v/>
      </c>
      <c r="G193" s="363" t="str">
        <f>IF(D193="","",VLOOKUP(D193,'G-6 Hedgerow Data'!$B$2:$AG$15,3,FALSE))</f>
        <v/>
      </c>
      <c r="H193" s="114"/>
      <c r="I193" s="363" t="str">
        <f>IFERROR(VLOOKUP(H193,'G-1 All Habitats'!$Z$2:$AA$9,2,FALSE),"")</f>
        <v/>
      </c>
      <c r="J193" s="114"/>
      <c r="K193" s="382" t="str">
        <f>IF(J193="","",IF(VLOOKUP(J193,'G-3 Multipliers'!$L$3:$N$6,2,FALSE)=0,"Spatial Data Missing ⚠",VLOOKUP(J193,'G-3 Multipliers'!$L$3:$N$6,2,FALSE)))</f>
        <v/>
      </c>
      <c r="L193" s="368" t="str">
        <f>IF(J193="","",IF(VLOOKUP(J193,'G-3 Multipliers'!$L$3:$N$6,3,FALSE)=0,"Spatial Data Missing ⚠",VLOOKUP(J193,'G-3 Multipliers'!$L$3:$N$6,3,FALSE)))</f>
        <v/>
      </c>
      <c r="M193" s="362" t="str">
        <f>IF(OR(D193="",H193=""),"",(INDEX('G-6 Hedgerow Data'!$E$3:$I$15,MATCH(D193,'G-6 Hedgerow Data'!$B$3:$B$15,0),MATCH(H193,'G-6 Hedgerow Data'!$E$2:$I$2,0))))</f>
        <v/>
      </c>
      <c r="N193" s="159"/>
      <c r="O193" s="159"/>
      <c r="P193" s="370" t="str">
        <f t="shared" si="13"/>
        <v/>
      </c>
      <c r="Q193" s="383" t="str">
        <f t="shared" si="14"/>
        <v/>
      </c>
      <c r="R193" s="384" t="str">
        <f t="shared" si="12"/>
        <v/>
      </c>
      <c r="S193" s="398" t="str">
        <f>IF(D193="","",VLOOKUP(D193,'G-6 Hedgerow Data'!$B$3:$AG$15,31,FALSE))</f>
        <v/>
      </c>
      <c r="T193" s="370" t="str">
        <f t="shared" si="15"/>
        <v/>
      </c>
      <c r="U193" s="370" t="str">
        <f t="shared" si="16"/>
        <v/>
      </c>
      <c r="V193" s="386" t="str">
        <f>IF(D193="","",VLOOKUP(S193,'G-3 Multipliers'!$P$3:$Q$6,2,FALSE))</f>
        <v/>
      </c>
      <c r="W193" s="390" t="str">
        <f t="shared" si="17"/>
        <v/>
      </c>
      <c r="X193" s="117"/>
      <c r="Y193" s="118"/>
      <c r="Z193" s="120"/>
      <c r="AG193" s="30" t="str">
        <f>IFERROR(INDEX('G-6 Hedgerow Data'!$BJ$3:$BJ$15,MATCH(D193,'G-6 Hedgerow Data'!$B$3:$B$15,0)),"")</f>
        <v/>
      </c>
    </row>
    <row r="194" spans="2:33" ht="15">
      <c r="B194" s="110">
        <v>183</v>
      </c>
      <c r="C194" s="167"/>
      <c r="D194" s="159"/>
      <c r="E194" s="139"/>
      <c r="F194" s="411" t="str">
        <f>IF(D194="","",VLOOKUP(D194,'G-6 Hedgerow Data'!$B$2:$AG$15,2,FALSE))</f>
        <v/>
      </c>
      <c r="G194" s="363" t="str">
        <f>IF(D194="","",VLOOKUP(D194,'G-6 Hedgerow Data'!$B$2:$AG$15,3,FALSE))</f>
        <v/>
      </c>
      <c r="H194" s="114"/>
      <c r="I194" s="363" t="str">
        <f>IFERROR(VLOOKUP(H194,'G-1 All Habitats'!$Z$2:$AA$9,2,FALSE),"")</f>
        <v/>
      </c>
      <c r="J194" s="114"/>
      <c r="K194" s="382" t="str">
        <f>IF(J194="","",IF(VLOOKUP(J194,'G-3 Multipliers'!$L$3:$N$6,2,FALSE)=0,"Spatial Data Missing ⚠",VLOOKUP(J194,'G-3 Multipliers'!$L$3:$N$6,2,FALSE)))</f>
        <v/>
      </c>
      <c r="L194" s="368" t="str">
        <f>IF(J194="","",IF(VLOOKUP(J194,'G-3 Multipliers'!$L$3:$N$6,3,FALSE)=0,"Spatial Data Missing ⚠",VLOOKUP(J194,'G-3 Multipliers'!$L$3:$N$6,3,FALSE)))</f>
        <v/>
      </c>
      <c r="M194" s="362" t="str">
        <f>IF(OR(D194="",H194=""),"",(INDEX('G-6 Hedgerow Data'!$E$3:$I$15,MATCH(D194,'G-6 Hedgerow Data'!$B$3:$B$15,0),MATCH(H194,'G-6 Hedgerow Data'!$E$2:$I$2,0))))</f>
        <v/>
      </c>
      <c r="N194" s="159"/>
      <c r="O194" s="159"/>
      <c r="P194" s="370" t="str">
        <f t="shared" si="13"/>
        <v/>
      </c>
      <c r="Q194" s="383" t="str">
        <f t="shared" si="14"/>
        <v/>
      </c>
      <c r="R194" s="384" t="str">
        <f t="shared" si="12"/>
        <v/>
      </c>
      <c r="S194" s="398" t="str">
        <f>IF(D194="","",VLOOKUP(D194,'G-6 Hedgerow Data'!$B$3:$AG$15,31,FALSE))</f>
        <v/>
      </c>
      <c r="T194" s="370" t="str">
        <f t="shared" si="15"/>
        <v/>
      </c>
      <c r="U194" s="370" t="str">
        <f t="shared" si="16"/>
        <v/>
      </c>
      <c r="V194" s="386" t="str">
        <f>IF(D194="","",VLOOKUP(S194,'G-3 Multipliers'!$P$3:$Q$6,2,FALSE))</f>
        <v/>
      </c>
      <c r="W194" s="390" t="str">
        <f t="shared" si="17"/>
        <v/>
      </c>
      <c r="X194" s="117"/>
      <c r="Y194" s="118"/>
      <c r="Z194" s="120"/>
      <c r="AG194" s="30" t="str">
        <f>IFERROR(INDEX('G-6 Hedgerow Data'!$BJ$3:$BJ$15,MATCH(D194,'G-6 Hedgerow Data'!$B$3:$B$15,0)),"")</f>
        <v/>
      </c>
    </row>
    <row r="195" spans="2:33" ht="15">
      <c r="B195" s="110">
        <v>184</v>
      </c>
      <c r="C195" s="167"/>
      <c r="D195" s="159"/>
      <c r="E195" s="139"/>
      <c r="F195" s="411" t="str">
        <f>IF(D195="","",VLOOKUP(D195,'G-6 Hedgerow Data'!$B$2:$AG$15,2,FALSE))</f>
        <v/>
      </c>
      <c r="G195" s="363" t="str">
        <f>IF(D195="","",VLOOKUP(D195,'G-6 Hedgerow Data'!$B$2:$AG$15,3,FALSE))</f>
        <v/>
      </c>
      <c r="H195" s="114"/>
      <c r="I195" s="363" t="str">
        <f>IFERROR(VLOOKUP(H195,'G-1 All Habitats'!$Z$2:$AA$9,2,FALSE),"")</f>
        <v/>
      </c>
      <c r="J195" s="114"/>
      <c r="K195" s="382" t="str">
        <f>IF(J195="","",IF(VLOOKUP(J195,'G-3 Multipliers'!$L$3:$N$6,2,FALSE)=0,"Spatial Data Missing ⚠",VLOOKUP(J195,'G-3 Multipliers'!$L$3:$N$6,2,FALSE)))</f>
        <v/>
      </c>
      <c r="L195" s="368" t="str">
        <f>IF(J195="","",IF(VLOOKUP(J195,'G-3 Multipliers'!$L$3:$N$6,3,FALSE)=0,"Spatial Data Missing ⚠",VLOOKUP(J195,'G-3 Multipliers'!$L$3:$N$6,3,FALSE)))</f>
        <v/>
      </c>
      <c r="M195" s="362" t="str">
        <f>IF(OR(D195="",H195=""),"",(INDEX('G-6 Hedgerow Data'!$E$3:$I$15,MATCH(D195,'G-6 Hedgerow Data'!$B$3:$B$15,0),MATCH(H195,'G-6 Hedgerow Data'!$E$2:$I$2,0))))</f>
        <v/>
      </c>
      <c r="N195" s="159"/>
      <c r="O195" s="159"/>
      <c r="P195" s="370" t="str">
        <f t="shared" si="13"/>
        <v/>
      </c>
      <c r="Q195" s="383" t="str">
        <f t="shared" si="14"/>
        <v/>
      </c>
      <c r="R195" s="384" t="str">
        <f t="shared" si="12"/>
        <v/>
      </c>
      <c r="S195" s="398" t="str">
        <f>IF(D195="","",VLOOKUP(D195,'G-6 Hedgerow Data'!$B$3:$AG$15,31,FALSE))</f>
        <v/>
      </c>
      <c r="T195" s="370" t="str">
        <f t="shared" si="15"/>
        <v/>
      </c>
      <c r="U195" s="370" t="str">
        <f t="shared" si="16"/>
        <v/>
      </c>
      <c r="V195" s="386" t="str">
        <f>IF(D195="","",VLOOKUP(S195,'G-3 Multipliers'!$P$3:$Q$6,2,FALSE))</f>
        <v/>
      </c>
      <c r="W195" s="390" t="str">
        <f t="shared" si="17"/>
        <v/>
      </c>
      <c r="X195" s="117"/>
      <c r="Y195" s="118"/>
      <c r="Z195" s="120"/>
      <c r="AG195" s="30" t="str">
        <f>IFERROR(INDEX('G-6 Hedgerow Data'!$BJ$3:$BJ$15,MATCH(D195,'G-6 Hedgerow Data'!$B$3:$B$15,0)),"")</f>
        <v/>
      </c>
    </row>
    <row r="196" spans="2:33" ht="15">
      <c r="B196" s="110">
        <v>185</v>
      </c>
      <c r="C196" s="167"/>
      <c r="D196" s="159"/>
      <c r="E196" s="139"/>
      <c r="F196" s="411" t="str">
        <f>IF(D196="","",VLOOKUP(D196,'G-6 Hedgerow Data'!$B$2:$AG$15,2,FALSE))</f>
        <v/>
      </c>
      <c r="G196" s="363" t="str">
        <f>IF(D196="","",VLOOKUP(D196,'G-6 Hedgerow Data'!$B$2:$AG$15,3,FALSE))</f>
        <v/>
      </c>
      <c r="H196" s="114"/>
      <c r="I196" s="363" t="str">
        <f>IFERROR(VLOOKUP(H196,'G-1 All Habitats'!$Z$2:$AA$9,2,FALSE),"")</f>
        <v/>
      </c>
      <c r="J196" s="114"/>
      <c r="K196" s="382" t="str">
        <f>IF(J196="","",IF(VLOOKUP(J196,'G-3 Multipliers'!$L$3:$N$6,2,FALSE)=0,"Spatial Data Missing ⚠",VLOOKUP(J196,'G-3 Multipliers'!$L$3:$N$6,2,FALSE)))</f>
        <v/>
      </c>
      <c r="L196" s="368" t="str">
        <f>IF(J196="","",IF(VLOOKUP(J196,'G-3 Multipliers'!$L$3:$N$6,3,FALSE)=0,"Spatial Data Missing ⚠",VLOOKUP(J196,'G-3 Multipliers'!$L$3:$N$6,3,FALSE)))</f>
        <v/>
      </c>
      <c r="M196" s="362" t="str">
        <f>IF(OR(D196="",H196=""),"",(INDEX('G-6 Hedgerow Data'!$E$3:$I$15,MATCH(D196,'G-6 Hedgerow Data'!$B$3:$B$15,0),MATCH(H196,'G-6 Hedgerow Data'!$E$2:$I$2,0))))</f>
        <v/>
      </c>
      <c r="N196" s="159"/>
      <c r="O196" s="159"/>
      <c r="P196" s="370" t="str">
        <f t="shared" si="13"/>
        <v/>
      </c>
      <c r="Q196" s="383" t="str">
        <f t="shared" si="14"/>
        <v/>
      </c>
      <c r="R196" s="384" t="str">
        <f t="shared" si="12"/>
        <v/>
      </c>
      <c r="S196" s="398" t="str">
        <f>IF(D196="","",VLOOKUP(D196,'G-6 Hedgerow Data'!$B$3:$AG$15,31,FALSE))</f>
        <v/>
      </c>
      <c r="T196" s="370" t="str">
        <f t="shared" si="15"/>
        <v/>
      </c>
      <c r="U196" s="370" t="str">
        <f t="shared" si="16"/>
        <v/>
      </c>
      <c r="V196" s="386" t="str">
        <f>IF(D196="","",VLOOKUP(S196,'G-3 Multipliers'!$P$3:$Q$6,2,FALSE))</f>
        <v/>
      </c>
      <c r="W196" s="390" t="str">
        <f t="shared" si="17"/>
        <v/>
      </c>
      <c r="X196" s="117"/>
      <c r="Y196" s="118"/>
      <c r="Z196" s="120"/>
      <c r="AG196" s="30" t="str">
        <f>IFERROR(INDEX('G-6 Hedgerow Data'!$BJ$3:$BJ$15,MATCH(D196,'G-6 Hedgerow Data'!$B$3:$B$15,0)),"")</f>
        <v/>
      </c>
    </row>
    <row r="197" spans="2:33" ht="15">
      <c r="B197" s="110">
        <v>186</v>
      </c>
      <c r="C197" s="167"/>
      <c r="D197" s="159"/>
      <c r="E197" s="139"/>
      <c r="F197" s="411" t="str">
        <f>IF(D197="","",VLOOKUP(D197,'G-6 Hedgerow Data'!$B$2:$AG$15,2,FALSE))</f>
        <v/>
      </c>
      <c r="G197" s="363" t="str">
        <f>IF(D197="","",VLOOKUP(D197,'G-6 Hedgerow Data'!$B$2:$AG$15,3,FALSE))</f>
        <v/>
      </c>
      <c r="H197" s="114"/>
      <c r="I197" s="363" t="str">
        <f>IFERROR(VLOOKUP(H197,'G-1 All Habitats'!$Z$2:$AA$9,2,FALSE),"")</f>
        <v/>
      </c>
      <c r="J197" s="114"/>
      <c r="K197" s="382" t="str">
        <f>IF(J197="","",IF(VLOOKUP(J197,'G-3 Multipliers'!$L$3:$N$6,2,FALSE)=0,"Spatial Data Missing ⚠",VLOOKUP(J197,'G-3 Multipliers'!$L$3:$N$6,2,FALSE)))</f>
        <v/>
      </c>
      <c r="L197" s="368" t="str">
        <f>IF(J197="","",IF(VLOOKUP(J197,'G-3 Multipliers'!$L$3:$N$6,3,FALSE)=0,"Spatial Data Missing ⚠",VLOOKUP(J197,'G-3 Multipliers'!$L$3:$N$6,3,FALSE)))</f>
        <v/>
      </c>
      <c r="M197" s="362" t="str">
        <f>IF(OR(D197="",H197=""),"",(INDEX('G-6 Hedgerow Data'!$E$3:$I$15,MATCH(D197,'G-6 Hedgerow Data'!$B$3:$B$15,0),MATCH(H197,'G-6 Hedgerow Data'!$E$2:$I$2,0))))</f>
        <v/>
      </c>
      <c r="N197" s="159"/>
      <c r="O197" s="159"/>
      <c r="P197" s="370" t="str">
        <f t="shared" si="13"/>
        <v/>
      </c>
      <c r="Q197" s="383" t="str">
        <f t="shared" si="14"/>
        <v/>
      </c>
      <c r="R197" s="384" t="str">
        <f t="shared" si="12"/>
        <v/>
      </c>
      <c r="S197" s="398" t="str">
        <f>IF(D197="","",VLOOKUP(D197,'G-6 Hedgerow Data'!$B$3:$AG$15,31,FALSE))</f>
        <v/>
      </c>
      <c r="T197" s="370" t="str">
        <f t="shared" si="15"/>
        <v/>
      </c>
      <c r="U197" s="370" t="str">
        <f t="shared" si="16"/>
        <v/>
      </c>
      <c r="V197" s="386" t="str">
        <f>IF(D197="","",VLOOKUP(S197,'G-3 Multipliers'!$P$3:$Q$6,2,FALSE))</f>
        <v/>
      </c>
      <c r="W197" s="390" t="str">
        <f t="shared" si="17"/>
        <v/>
      </c>
      <c r="X197" s="117"/>
      <c r="Y197" s="118"/>
      <c r="Z197" s="120"/>
      <c r="AG197" s="30" t="str">
        <f>IFERROR(INDEX('G-6 Hedgerow Data'!$BJ$3:$BJ$15,MATCH(D197,'G-6 Hedgerow Data'!$B$3:$B$15,0)),"")</f>
        <v/>
      </c>
    </row>
    <row r="198" spans="2:33" ht="15">
      <c r="B198" s="110">
        <v>187</v>
      </c>
      <c r="C198" s="167"/>
      <c r="D198" s="159"/>
      <c r="E198" s="139"/>
      <c r="F198" s="411" t="str">
        <f>IF(D198="","",VLOOKUP(D198,'G-6 Hedgerow Data'!$B$2:$AG$15,2,FALSE))</f>
        <v/>
      </c>
      <c r="G198" s="363" t="str">
        <f>IF(D198="","",VLOOKUP(D198,'G-6 Hedgerow Data'!$B$2:$AG$15,3,FALSE))</f>
        <v/>
      </c>
      <c r="H198" s="114"/>
      <c r="I198" s="363" t="str">
        <f>IFERROR(VLOOKUP(H198,'G-1 All Habitats'!$Z$2:$AA$9,2,FALSE),"")</f>
        <v/>
      </c>
      <c r="J198" s="114"/>
      <c r="K198" s="382" t="str">
        <f>IF(J198="","",IF(VLOOKUP(J198,'G-3 Multipliers'!$L$3:$N$6,2,FALSE)=0,"Spatial Data Missing ⚠",VLOOKUP(J198,'G-3 Multipliers'!$L$3:$N$6,2,FALSE)))</f>
        <v/>
      </c>
      <c r="L198" s="368" t="str">
        <f>IF(J198="","",IF(VLOOKUP(J198,'G-3 Multipliers'!$L$3:$N$6,3,FALSE)=0,"Spatial Data Missing ⚠",VLOOKUP(J198,'G-3 Multipliers'!$L$3:$N$6,3,FALSE)))</f>
        <v/>
      </c>
      <c r="M198" s="362" t="str">
        <f>IF(OR(D198="",H198=""),"",(INDEX('G-6 Hedgerow Data'!$E$3:$I$15,MATCH(D198,'G-6 Hedgerow Data'!$B$3:$B$15,0),MATCH(H198,'G-6 Hedgerow Data'!$E$2:$I$2,0))))</f>
        <v/>
      </c>
      <c r="N198" s="159"/>
      <c r="O198" s="159"/>
      <c r="P198" s="370" t="str">
        <f t="shared" si="13"/>
        <v/>
      </c>
      <c r="Q198" s="383" t="str">
        <f t="shared" si="14"/>
        <v/>
      </c>
      <c r="R198" s="384" t="str">
        <f t="shared" si="12"/>
        <v/>
      </c>
      <c r="S198" s="398" t="str">
        <f>IF(D198="","",VLOOKUP(D198,'G-6 Hedgerow Data'!$B$3:$AG$15,31,FALSE))</f>
        <v/>
      </c>
      <c r="T198" s="370" t="str">
        <f t="shared" si="15"/>
        <v/>
      </c>
      <c r="U198" s="370" t="str">
        <f t="shared" si="16"/>
        <v/>
      </c>
      <c r="V198" s="386" t="str">
        <f>IF(D198="","",VLOOKUP(S198,'G-3 Multipliers'!$P$3:$Q$6,2,FALSE))</f>
        <v/>
      </c>
      <c r="W198" s="390" t="str">
        <f t="shared" si="17"/>
        <v/>
      </c>
      <c r="X198" s="117"/>
      <c r="Y198" s="118"/>
      <c r="Z198" s="120"/>
      <c r="AG198" s="30" t="str">
        <f>IFERROR(INDEX('G-6 Hedgerow Data'!$BJ$3:$BJ$15,MATCH(D198,'G-6 Hedgerow Data'!$B$3:$B$15,0)),"")</f>
        <v/>
      </c>
    </row>
    <row r="199" spans="2:33" ht="15">
      <c r="B199" s="110">
        <v>188</v>
      </c>
      <c r="C199" s="167"/>
      <c r="D199" s="159"/>
      <c r="E199" s="139"/>
      <c r="F199" s="411" t="str">
        <f>IF(D199="","",VLOOKUP(D199,'G-6 Hedgerow Data'!$B$2:$AG$15,2,FALSE))</f>
        <v/>
      </c>
      <c r="G199" s="363" t="str">
        <f>IF(D199="","",VLOOKUP(D199,'G-6 Hedgerow Data'!$B$2:$AG$15,3,FALSE))</f>
        <v/>
      </c>
      <c r="H199" s="114"/>
      <c r="I199" s="363" t="str">
        <f>IFERROR(VLOOKUP(H199,'G-1 All Habitats'!$Z$2:$AA$9,2,FALSE),"")</f>
        <v/>
      </c>
      <c r="J199" s="114"/>
      <c r="K199" s="382" t="str">
        <f>IF(J199="","",IF(VLOOKUP(J199,'G-3 Multipliers'!$L$3:$N$6,2,FALSE)=0,"Spatial Data Missing ⚠",VLOOKUP(J199,'G-3 Multipliers'!$L$3:$N$6,2,FALSE)))</f>
        <v/>
      </c>
      <c r="L199" s="368" t="str">
        <f>IF(J199="","",IF(VLOOKUP(J199,'G-3 Multipliers'!$L$3:$N$6,3,FALSE)=0,"Spatial Data Missing ⚠",VLOOKUP(J199,'G-3 Multipliers'!$L$3:$N$6,3,FALSE)))</f>
        <v/>
      </c>
      <c r="M199" s="362" t="str">
        <f>IF(OR(D199="",H199=""),"",(INDEX('G-6 Hedgerow Data'!$E$3:$I$15,MATCH(D199,'G-6 Hedgerow Data'!$B$3:$B$15,0),MATCH(H199,'G-6 Hedgerow Data'!$E$2:$I$2,0))))</f>
        <v/>
      </c>
      <c r="N199" s="159"/>
      <c r="O199" s="159"/>
      <c r="P199" s="370" t="str">
        <f t="shared" si="13"/>
        <v/>
      </c>
      <c r="Q199" s="383" t="str">
        <f t="shared" si="14"/>
        <v/>
      </c>
      <c r="R199" s="384" t="str">
        <f t="shared" si="12"/>
        <v/>
      </c>
      <c r="S199" s="398" t="str">
        <f>IF(D199="","",VLOOKUP(D199,'G-6 Hedgerow Data'!$B$3:$AG$15,31,FALSE))</f>
        <v/>
      </c>
      <c r="T199" s="370" t="str">
        <f t="shared" si="15"/>
        <v/>
      </c>
      <c r="U199" s="370" t="str">
        <f t="shared" si="16"/>
        <v/>
      </c>
      <c r="V199" s="386" t="str">
        <f>IF(D199="","",VLOOKUP(S199,'G-3 Multipliers'!$P$3:$Q$6,2,FALSE))</f>
        <v/>
      </c>
      <c r="W199" s="390" t="str">
        <f t="shared" si="17"/>
        <v/>
      </c>
      <c r="X199" s="117"/>
      <c r="Y199" s="118"/>
      <c r="Z199" s="120"/>
      <c r="AG199" s="30" t="str">
        <f>IFERROR(INDEX('G-6 Hedgerow Data'!$BJ$3:$BJ$15,MATCH(D199,'G-6 Hedgerow Data'!$B$3:$B$15,0)),"")</f>
        <v/>
      </c>
    </row>
    <row r="200" spans="2:33" ht="15">
      <c r="B200" s="110">
        <v>189</v>
      </c>
      <c r="C200" s="167"/>
      <c r="D200" s="159"/>
      <c r="E200" s="139"/>
      <c r="F200" s="411" t="str">
        <f>IF(D200="","",VLOOKUP(D200,'G-6 Hedgerow Data'!$B$2:$AG$15,2,FALSE))</f>
        <v/>
      </c>
      <c r="G200" s="363" t="str">
        <f>IF(D200="","",VLOOKUP(D200,'G-6 Hedgerow Data'!$B$2:$AG$15,3,FALSE))</f>
        <v/>
      </c>
      <c r="H200" s="114"/>
      <c r="I200" s="363" t="str">
        <f>IFERROR(VLOOKUP(H200,'G-1 All Habitats'!$Z$2:$AA$9,2,FALSE),"")</f>
        <v/>
      </c>
      <c r="J200" s="114"/>
      <c r="K200" s="382" t="str">
        <f>IF(J200="","",IF(VLOOKUP(J200,'G-3 Multipliers'!$L$3:$N$6,2,FALSE)=0,"Spatial Data Missing ⚠",VLOOKUP(J200,'G-3 Multipliers'!$L$3:$N$6,2,FALSE)))</f>
        <v/>
      </c>
      <c r="L200" s="368" t="str">
        <f>IF(J200="","",IF(VLOOKUP(J200,'G-3 Multipliers'!$L$3:$N$6,3,FALSE)=0,"Spatial Data Missing ⚠",VLOOKUP(J200,'G-3 Multipliers'!$L$3:$N$6,3,FALSE)))</f>
        <v/>
      </c>
      <c r="M200" s="362" t="str">
        <f>IF(OR(D200="",H200=""),"",(INDEX('G-6 Hedgerow Data'!$E$3:$I$15,MATCH(D200,'G-6 Hedgerow Data'!$B$3:$B$15,0),MATCH(H200,'G-6 Hedgerow Data'!$E$2:$I$2,0))))</f>
        <v/>
      </c>
      <c r="N200" s="159"/>
      <c r="O200" s="159"/>
      <c r="P200" s="370" t="str">
        <f t="shared" si="13"/>
        <v/>
      </c>
      <c r="Q200" s="383" t="str">
        <f t="shared" si="14"/>
        <v/>
      </c>
      <c r="R200" s="384" t="str">
        <f t="shared" si="12"/>
        <v/>
      </c>
      <c r="S200" s="398" t="str">
        <f>IF(D200="","",VLOOKUP(D200,'G-6 Hedgerow Data'!$B$3:$AG$15,31,FALSE))</f>
        <v/>
      </c>
      <c r="T200" s="370" t="str">
        <f t="shared" si="15"/>
        <v/>
      </c>
      <c r="U200" s="370" t="str">
        <f t="shared" si="16"/>
        <v/>
      </c>
      <c r="V200" s="386" t="str">
        <f>IF(D200="","",VLOOKUP(S200,'G-3 Multipliers'!$P$3:$Q$6,2,FALSE))</f>
        <v/>
      </c>
      <c r="W200" s="390" t="str">
        <f t="shared" si="17"/>
        <v/>
      </c>
      <c r="X200" s="117"/>
      <c r="Y200" s="118"/>
      <c r="Z200" s="120"/>
      <c r="AG200" s="30" t="str">
        <f>IFERROR(INDEX('G-6 Hedgerow Data'!$BJ$3:$BJ$15,MATCH(D200,'G-6 Hedgerow Data'!$B$3:$B$15,0)),"")</f>
        <v/>
      </c>
    </row>
    <row r="201" spans="2:33" ht="15">
      <c r="B201" s="110">
        <v>190</v>
      </c>
      <c r="C201" s="167"/>
      <c r="D201" s="159"/>
      <c r="E201" s="139"/>
      <c r="F201" s="411" t="str">
        <f>IF(D201="","",VLOOKUP(D201,'G-6 Hedgerow Data'!$B$2:$AG$15,2,FALSE))</f>
        <v/>
      </c>
      <c r="G201" s="363" t="str">
        <f>IF(D201="","",VLOOKUP(D201,'G-6 Hedgerow Data'!$B$2:$AG$15,3,FALSE))</f>
        <v/>
      </c>
      <c r="H201" s="114"/>
      <c r="I201" s="363" t="str">
        <f>IFERROR(VLOOKUP(H201,'G-1 All Habitats'!$Z$2:$AA$9,2,FALSE),"")</f>
        <v/>
      </c>
      <c r="J201" s="114"/>
      <c r="K201" s="382" t="str">
        <f>IF(J201="","",IF(VLOOKUP(J201,'G-3 Multipliers'!$L$3:$N$6,2,FALSE)=0,"Spatial Data Missing ⚠",VLOOKUP(J201,'G-3 Multipliers'!$L$3:$N$6,2,FALSE)))</f>
        <v/>
      </c>
      <c r="L201" s="368" t="str">
        <f>IF(J201="","",IF(VLOOKUP(J201,'G-3 Multipliers'!$L$3:$N$6,3,FALSE)=0,"Spatial Data Missing ⚠",VLOOKUP(J201,'G-3 Multipliers'!$L$3:$N$6,3,FALSE)))</f>
        <v/>
      </c>
      <c r="M201" s="362" t="str">
        <f>IF(OR(D201="",H201=""),"",(INDEX('G-6 Hedgerow Data'!$E$3:$I$15,MATCH(D201,'G-6 Hedgerow Data'!$B$3:$B$15,0),MATCH(H201,'G-6 Hedgerow Data'!$E$2:$I$2,0))))</f>
        <v/>
      </c>
      <c r="N201" s="159"/>
      <c r="O201" s="159"/>
      <c r="P201" s="370" t="str">
        <f t="shared" si="13"/>
        <v/>
      </c>
      <c r="Q201" s="383" t="str">
        <f t="shared" si="14"/>
        <v/>
      </c>
      <c r="R201" s="384" t="str">
        <f t="shared" si="12"/>
        <v/>
      </c>
      <c r="S201" s="398" t="str">
        <f>IF(D201="","",VLOOKUP(D201,'G-6 Hedgerow Data'!$B$3:$AG$15,31,FALSE))</f>
        <v/>
      </c>
      <c r="T201" s="370" t="str">
        <f t="shared" si="15"/>
        <v/>
      </c>
      <c r="U201" s="370" t="str">
        <f t="shared" si="16"/>
        <v/>
      </c>
      <c r="V201" s="386" t="str">
        <f>IF(D201="","",VLOOKUP(S201,'G-3 Multipliers'!$P$3:$Q$6,2,FALSE))</f>
        <v/>
      </c>
      <c r="W201" s="390" t="str">
        <f t="shared" si="17"/>
        <v/>
      </c>
      <c r="X201" s="117"/>
      <c r="Y201" s="118"/>
      <c r="Z201" s="120"/>
      <c r="AG201" s="30" t="str">
        <f>IFERROR(INDEX('G-6 Hedgerow Data'!$BJ$3:$BJ$15,MATCH(D201,'G-6 Hedgerow Data'!$B$3:$B$15,0)),"")</f>
        <v/>
      </c>
    </row>
    <row r="202" spans="2:33" ht="15">
      <c r="B202" s="110">
        <v>191</v>
      </c>
      <c r="C202" s="167"/>
      <c r="D202" s="159"/>
      <c r="E202" s="139"/>
      <c r="F202" s="411" t="str">
        <f>IF(D202="","",VLOOKUP(D202,'G-6 Hedgerow Data'!$B$2:$AG$15,2,FALSE))</f>
        <v/>
      </c>
      <c r="G202" s="363" t="str">
        <f>IF(D202="","",VLOOKUP(D202,'G-6 Hedgerow Data'!$B$2:$AG$15,3,FALSE))</f>
        <v/>
      </c>
      <c r="H202" s="114"/>
      <c r="I202" s="363" t="str">
        <f>IFERROR(VLOOKUP(H202,'G-1 All Habitats'!$Z$2:$AA$9,2,FALSE),"")</f>
        <v/>
      </c>
      <c r="J202" s="114"/>
      <c r="K202" s="382" t="str">
        <f>IF(J202="","",IF(VLOOKUP(J202,'G-3 Multipliers'!$L$3:$N$6,2,FALSE)=0,"Spatial Data Missing ⚠",VLOOKUP(J202,'G-3 Multipliers'!$L$3:$N$6,2,FALSE)))</f>
        <v/>
      </c>
      <c r="L202" s="368" t="str">
        <f>IF(J202="","",IF(VLOOKUP(J202,'G-3 Multipliers'!$L$3:$N$6,3,FALSE)=0,"Spatial Data Missing ⚠",VLOOKUP(J202,'G-3 Multipliers'!$L$3:$N$6,3,FALSE)))</f>
        <v/>
      </c>
      <c r="M202" s="362" t="str">
        <f>IF(OR(D202="",H202=""),"",(INDEX('G-6 Hedgerow Data'!$E$3:$I$15,MATCH(D202,'G-6 Hedgerow Data'!$B$3:$B$15,0),MATCH(H202,'G-6 Hedgerow Data'!$E$2:$I$2,0))))</f>
        <v/>
      </c>
      <c r="N202" s="159"/>
      <c r="O202" s="159"/>
      <c r="P202" s="370" t="str">
        <f t="shared" si="13"/>
        <v/>
      </c>
      <c r="Q202" s="383" t="str">
        <f t="shared" si="14"/>
        <v/>
      </c>
      <c r="R202" s="384" t="str">
        <f t="shared" si="12"/>
        <v/>
      </c>
      <c r="S202" s="398" t="str">
        <f>IF(D202="","",VLOOKUP(D202,'G-6 Hedgerow Data'!$B$3:$AG$15,31,FALSE))</f>
        <v/>
      </c>
      <c r="T202" s="370" t="str">
        <f t="shared" si="15"/>
        <v/>
      </c>
      <c r="U202" s="370" t="str">
        <f t="shared" si="16"/>
        <v/>
      </c>
      <c r="V202" s="386" t="str">
        <f>IF(D202="","",VLOOKUP(S202,'G-3 Multipliers'!$P$3:$Q$6,2,FALSE))</f>
        <v/>
      </c>
      <c r="W202" s="390" t="str">
        <f t="shared" si="17"/>
        <v/>
      </c>
      <c r="X202" s="117"/>
      <c r="Y202" s="118"/>
      <c r="Z202" s="120"/>
      <c r="AG202" s="30" t="str">
        <f>IFERROR(INDEX('G-6 Hedgerow Data'!$BJ$3:$BJ$15,MATCH(D202,'G-6 Hedgerow Data'!$B$3:$B$15,0)),"")</f>
        <v/>
      </c>
    </row>
    <row r="203" spans="2:33" ht="15">
      <c r="B203" s="110">
        <v>192</v>
      </c>
      <c r="C203" s="167"/>
      <c r="D203" s="159"/>
      <c r="E203" s="139"/>
      <c r="F203" s="411" t="str">
        <f>IF(D203="","",VLOOKUP(D203,'G-6 Hedgerow Data'!$B$2:$AG$15,2,FALSE))</f>
        <v/>
      </c>
      <c r="G203" s="363" t="str">
        <f>IF(D203="","",VLOOKUP(D203,'G-6 Hedgerow Data'!$B$2:$AG$15,3,FALSE))</f>
        <v/>
      </c>
      <c r="H203" s="114"/>
      <c r="I203" s="363" t="str">
        <f>IFERROR(VLOOKUP(H203,'G-1 All Habitats'!$Z$2:$AA$9,2,FALSE),"")</f>
        <v/>
      </c>
      <c r="J203" s="114"/>
      <c r="K203" s="382" t="str">
        <f>IF(J203="","",IF(VLOOKUP(J203,'G-3 Multipliers'!$L$3:$N$6,2,FALSE)=0,"Spatial Data Missing ⚠",VLOOKUP(J203,'G-3 Multipliers'!$L$3:$N$6,2,FALSE)))</f>
        <v/>
      </c>
      <c r="L203" s="368" t="str">
        <f>IF(J203="","",IF(VLOOKUP(J203,'G-3 Multipliers'!$L$3:$N$6,3,FALSE)=0,"Spatial Data Missing ⚠",VLOOKUP(J203,'G-3 Multipliers'!$L$3:$N$6,3,FALSE)))</f>
        <v/>
      </c>
      <c r="M203" s="362" t="str">
        <f>IF(OR(D203="",H203=""),"",(INDEX('G-6 Hedgerow Data'!$E$3:$I$15,MATCH(D203,'G-6 Hedgerow Data'!$B$3:$B$15,0),MATCH(H203,'G-6 Hedgerow Data'!$E$2:$I$2,0))))</f>
        <v/>
      </c>
      <c r="N203" s="159"/>
      <c r="O203" s="159"/>
      <c r="P203" s="370" t="str">
        <f t="shared" si="13"/>
        <v/>
      </c>
      <c r="Q203" s="383" t="str">
        <f t="shared" si="14"/>
        <v/>
      </c>
      <c r="R203" s="384" t="str">
        <f t="shared" si="12"/>
        <v/>
      </c>
      <c r="S203" s="398" t="str">
        <f>IF(D203="","",VLOOKUP(D203,'G-6 Hedgerow Data'!$B$3:$AG$15,31,FALSE))</f>
        <v/>
      </c>
      <c r="T203" s="370" t="str">
        <f t="shared" si="15"/>
        <v/>
      </c>
      <c r="U203" s="370" t="str">
        <f t="shared" si="16"/>
        <v/>
      </c>
      <c r="V203" s="386" t="str">
        <f>IF(D203="","",VLOOKUP(S203,'G-3 Multipliers'!$P$3:$Q$6,2,FALSE))</f>
        <v/>
      </c>
      <c r="W203" s="390" t="str">
        <f t="shared" si="17"/>
        <v/>
      </c>
      <c r="X203" s="117"/>
      <c r="Y203" s="118"/>
      <c r="Z203" s="120"/>
      <c r="AG203" s="30" t="str">
        <f>IFERROR(INDEX('G-6 Hedgerow Data'!$BJ$3:$BJ$15,MATCH(D203,'G-6 Hedgerow Data'!$B$3:$B$15,0)),"")</f>
        <v/>
      </c>
    </row>
    <row r="204" spans="2:33" ht="15">
      <c r="B204" s="110">
        <v>193</v>
      </c>
      <c r="C204" s="167"/>
      <c r="D204" s="159"/>
      <c r="E204" s="139"/>
      <c r="F204" s="411" t="str">
        <f>IF(D204="","",VLOOKUP(D204,'G-6 Hedgerow Data'!$B$2:$AG$15,2,FALSE))</f>
        <v/>
      </c>
      <c r="G204" s="363" t="str">
        <f>IF(D204="","",VLOOKUP(D204,'G-6 Hedgerow Data'!$B$2:$AG$15,3,FALSE))</f>
        <v/>
      </c>
      <c r="H204" s="114"/>
      <c r="I204" s="363" t="str">
        <f>IFERROR(VLOOKUP(H204,'G-1 All Habitats'!$Z$2:$AA$9,2,FALSE),"")</f>
        <v/>
      </c>
      <c r="J204" s="114"/>
      <c r="K204" s="382" t="str">
        <f>IF(J204="","",IF(VLOOKUP(J204,'G-3 Multipliers'!$L$3:$N$6,2,FALSE)=0,"Spatial Data Missing ⚠",VLOOKUP(J204,'G-3 Multipliers'!$L$3:$N$6,2,FALSE)))</f>
        <v/>
      </c>
      <c r="L204" s="368" t="str">
        <f>IF(J204="","",IF(VLOOKUP(J204,'G-3 Multipliers'!$L$3:$N$6,3,FALSE)=0,"Spatial Data Missing ⚠",VLOOKUP(J204,'G-3 Multipliers'!$L$3:$N$6,3,FALSE)))</f>
        <v/>
      </c>
      <c r="M204" s="362" t="str">
        <f>IF(OR(D204="",H204=""),"",(INDEX('G-6 Hedgerow Data'!$E$3:$I$15,MATCH(D204,'G-6 Hedgerow Data'!$B$3:$B$15,0),MATCH(H204,'G-6 Hedgerow Data'!$E$2:$I$2,0))))</f>
        <v/>
      </c>
      <c r="N204" s="159"/>
      <c r="O204" s="159"/>
      <c r="P204" s="370" t="str">
        <f t="shared" si="13"/>
        <v/>
      </c>
      <c r="Q204" s="383" t="str">
        <f t="shared" si="14"/>
        <v/>
      </c>
      <c r="R204" s="384" t="str">
        <f t="shared" ref="R204:R259" si="18">IF(M204="","",IF(Q204="Check Data ⚠","Check Data ⚠",VLOOKUP(Q204,TemporalMultipliers,3,FALSE)))</f>
        <v/>
      </c>
      <c r="S204" s="398" t="str">
        <f>IF(D204="","",VLOOKUP(D204,'G-6 Hedgerow Data'!$B$3:$AG$15,31,FALSE))</f>
        <v/>
      </c>
      <c r="T204" s="370" t="str">
        <f t="shared" si="15"/>
        <v/>
      </c>
      <c r="U204" s="370" t="str">
        <f t="shared" si="16"/>
        <v/>
      </c>
      <c r="V204" s="386" t="str">
        <f>IF(D204="","",VLOOKUP(S204,'G-3 Multipliers'!$P$3:$Q$6,2,FALSE))</f>
        <v/>
      </c>
      <c r="W204" s="390" t="str">
        <f t="shared" si="17"/>
        <v/>
      </c>
      <c r="X204" s="117"/>
      <c r="Y204" s="118"/>
      <c r="Z204" s="120"/>
      <c r="AG204" s="30" t="str">
        <f>IFERROR(INDEX('G-6 Hedgerow Data'!$BJ$3:$BJ$15,MATCH(D204,'G-6 Hedgerow Data'!$B$3:$B$15,0)),"")</f>
        <v/>
      </c>
    </row>
    <row r="205" spans="2:33" ht="15">
      <c r="B205" s="110">
        <v>194</v>
      </c>
      <c r="C205" s="167"/>
      <c r="D205" s="159"/>
      <c r="E205" s="139"/>
      <c r="F205" s="411" t="str">
        <f>IF(D205="","",VLOOKUP(D205,'G-6 Hedgerow Data'!$B$2:$AG$15,2,FALSE))</f>
        <v/>
      </c>
      <c r="G205" s="363" t="str">
        <f>IF(D205="","",VLOOKUP(D205,'G-6 Hedgerow Data'!$B$2:$AG$15,3,FALSE))</f>
        <v/>
      </c>
      <c r="H205" s="114"/>
      <c r="I205" s="363" t="str">
        <f>IFERROR(VLOOKUP(H205,'G-1 All Habitats'!$Z$2:$AA$9,2,FALSE),"")</f>
        <v/>
      </c>
      <c r="J205" s="114"/>
      <c r="K205" s="382" t="str">
        <f>IF(J205="","",IF(VLOOKUP(J205,'G-3 Multipliers'!$L$3:$N$6,2,FALSE)=0,"Spatial Data Missing ⚠",VLOOKUP(J205,'G-3 Multipliers'!$L$3:$N$6,2,FALSE)))</f>
        <v/>
      </c>
      <c r="L205" s="368" t="str">
        <f>IF(J205="","",IF(VLOOKUP(J205,'G-3 Multipliers'!$L$3:$N$6,3,FALSE)=0,"Spatial Data Missing ⚠",VLOOKUP(J205,'G-3 Multipliers'!$L$3:$N$6,3,FALSE)))</f>
        <v/>
      </c>
      <c r="M205" s="362" t="str">
        <f>IF(OR(D205="",H205=""),"",(INDEX('G-6 Hedgerow Data'!$E$3:$I$15,MATCH(D205,'G-6 Hedgerow Data'!$B$3:$B$15,0),MATCH(H205,'G-6 Hedgerow Data'!$E$2:$I$2,0))))</f>
        <v/>
      </c>
      <c r="N205" s="159"/>
      <c r="O205" s="159"/>
      <c r="P205" s="370" t="str">
        <f t="shared" ref="P205:P259" si="19">IF(M205="","",IF(AND(N205&gt;0,O205&gt;0),"Error -both advance and delayed habitat creation ▲",IF(AND(OR(N205="Habitat already in target condition",M205&lt;=N205),O205=0),"Check details - Is there evidence that habitat has reached target condition? ⚠",IF(M205="","",IF(N205&gt;0,"Check details - Is there evidence habitat creation started/in place? ⚠",IF(O205&gt;0,"Check details- Delay in starting habitat in required condition? ⚠","Standard time to target condition applied"))))))</f>
        <v/>
      </c>
      <c r="Q205" s="383" t="str">
        <f t="shared" ref="Q205:Q259" si="20">IF(M205="","",IF(P205="Error -both advance and delayed habitat creation ▲","Check Data ⚠",IF(OR(N205="30+",N205="Habitat already in target condition"),0,IF(O205="30+","30+",IF(AND(M205="30+",OR(N205="",N205=0)),"30+",IF(AND(M205="30+",N205&gt;0),30-N205,IF(M205+O205&gt;30,"30+",IF(M205+O205-N205&gt;0,M205+O205-N205,IF(M205-N205&lt;0,0,M205+O205-N205)))))))))</f>
        <v/>
      </c>
      <c r="R205" s="384" t="str">
        <f t="shared" si="18"/>
        <v/>
      </c>
      <c r="S205" s="398" t="str">
        <f>IF(D205="","",VLOOKUP(D205,'G-6 Hedgerow Data'!$B$3:$AG$15,31,FALSE))</f>
        <v/>
      </c>
      <c r="T205" s="370" t="str">
        <f t="shared" ref="T205:T259" si="21">IF(D205="","",IF(Q205="Check Data ⚠","Check Data ⚠",IF(H205="","",IF($P205="Check details - Is there evidence that habitat has reached target condition? ⚠","Low Difficulty - only applicable if all habitat created before losses ⚠","Standard difficulty applied"))))</f>
        <v/>
      </c>
      <c r="U205" s="370" t="str">
        <f t="shared" ref="U205:U259" si="22">(IF(AND(T205="Standard difficulty applied",M205&gt;N205),S205,IF(AND(T205="Low Difficulty - only applicable if all habitat created before losses ⚠",Q205&lt;=0),"Low",S205)))</f>
        <v/>
      </c>
      <c r="V205" s="386" t="str">
        <f>IF(D205="","",VLOOKUP(S205,'G-3 Multipliers'!$P$3:$Q$6,2,FALSE))</f>
        <v/>
      </c>
      <c r="W205" s="390" t="str">
        <f t="shared" ref="W205:W259" si="23">IFERROR(E205*G205*I205*L205*R205*V205,"")</f>
        <v/>
      </c>
      <c r="X205" s="117"/>
      <c r="Y205" s="118"/>
      <c r="Z205" s="120"/>
      <c r="AG205" s="30" t="str">
        <f>IFERROR(INDEX('G-6 Hedgerow Data'!$BJ$3:$BJ$15,MATCH(D205,'G-6 Hedgerow Data'!$B$3:$B$15,0)),"")</f>
        <v/>
      </c>
    </row>
    <row r="206" spans="2:33" ht="15">
      <c r="B206" s="110">
        <v>195</v>
      </c>
      <c r="C206" s="167"/>
      <c r="D206" s="159"/>
      <c r="E206" s="139"/>
      <c r="F206" s="411" t="str">
        <f>IF(D206="","",VLOOKUP(D206,'G-6 Hedgerow Data'!$B$2:$AG$15,2,FALSE))</f>
        <v/>
      </c>
      <c r="G206" s="363" t="str">
        <f>IF(D206="","",VLOOKUP(D206,'G-6 Hedgerow Data'!$B$2:$AG$15,3,FALSE))</f>
        <v/>
      </c>
      <c r="H206" s="114"/>
      <c r="I206" s="363" t="str">
        <f>IFERROR(VLOOKUP(H206,'G-1 All Habitats'!$Z$2:$AA$9,2,FALSE),"")</f>
        <v/>
      </c>
      <c r="J206" s="114"/>
      <c r="K206" s="382" t="str">
        <f>IF(J206="","",IF(VLOOKUP(J206,'G-3 Multipliers'!$L$3:$N$6,2,FALSE)=0,"Spatial Data Missing ⚠",VLOOKUP(J206,'G-3 Multipliers'!$L$3:$N$6,2,FALSE)))</f>
        <v/>
      </c>
      <c r="L206" s="368" t="str">
        <f>IF(J206="","",IF(VLOOKUP(J206,'G-3 Multipliers'!$L$3:$N$6,3,FALSE)=0,"Spatial Data Missing ⚠",VLOOKUP(J206,'G-3 Multipliers'!$L$3:$N$6,3,FALSE)))</f>
        <v/>
      </c>
      <c r="M206" s="362" t="str">
        <f>IF(OR(D206="",H206=""),"",(INDEX('G-6 Hedgerow Data'!$E$3:$I$15,MATCH(D206,'G-6 Hedgerow Data'!$B$3:$B$15,0),MATCH(H206,'G-6 Hedgerow Data'!$E$2:$I$2,0))))</f>
        <v/>
      </c>
      <c r="N206" s="159"/>
      <c r="O206" s="159"/>
      <c r="P206" s="370" t="str">
        <f t="shared" si="19"/>
        <v/>
      </c>
      <c r="Q206" s="383" t="str">
        <f t="shared" si="20"/>
        <v/>
      </c>
      <c r="R206" s="384" t="str">
        <f t="shared" si="18"/>
        <v/>
      </c>
      <c r="S206" s="398" t="str">
        <f>IF(D206="","",VLOOKUP(D206,'G-6 Hedgerow Data'!$B$3:$AG$15,31,FALSE))</f>
        <v/>
      </c>
      <c r="T206" s="370" t="str">
        <f t="shared" si="21"/>
        <v/>
      </c>
      <c r="U206" s="370" t="str">
        <f t="shared" si="22"/>
        <v/>
      </c>
      <c r="V206" s="386" t="str">
        <f>IF(D206="","",VLOOKUP(S206,'G-3 Multipliers'!$P$3:$Q$6,2,FALSE))</f>
        <v/>
      </c>
      <c r="W206" s="390" t="str">
        <f t="shared" si="23"/>
        <v/>
      </c>
      <c r="X206" s="117"/>
      <c r="Y206" s="118"/>
      <c r="Z206" s="120"/>
      <c r="AG206" s="30" t="str">
        <f>IFERROR(INDEX('G-6 Hedgerow Data'!$BJ$3:$BJ$15,MATCH(D206,'G-6 Hedgerow Data'!$B$3:$B$15,0)),"")</f>
        <v/>
      </c>
    </row>
    <row r="207" spans="2:33" ht="15">
      <c r="B207" s="110">
        <v>196</v>
      </c>
      <c r="C207" s="167"/>
      <c r="D207" s="159"/>
      <c r="E207" s="139"/>
      <c r="F207" s="411" t="str">
        <f>IF(D207="","",VLOOKUP(D207,'G-6 Hedgerow Data'!$B$2:$AG$15,2,FALSE))</f>
        <v/>
      </c>
      <c r="G207" s="363" t="str">
        <f>IF(D207="","",VLOOKUP(D207,'G-6 Hedgerow Data'!$B$2:$AG$15,3,FALSE))</f>
        <v/>
      </c>
      <c r="H207" s="114"/>
      <c r="I207" s="363" t="str">
        <f>IFERROR(VLOOKUP(H207,'G-1 All Habitats'!$Z$2:$AA$9,2,FALSE),"")</f>
        <v/>
      </c>
      <c r="J207" s="114"/>
      <c r="K207" s="382" t="str">
        <f>IF(J207="","",IF(VLOOKUP(J207,'G-3 Multipliers'!$L$3:$N$6,2,FALSE)=0,"Spatial Data Missing ⚠",VLOOKUP(J207,'G-3 Multipliers'!$L$3:$N$6,2,FALSE)))</f>
        <v/>
      </c>
      <c r="L207" s="368" t="str">
        <f>IF(J207="","",IF(VLOOKUP(J207,'G-3 Multipliers'!$L$3:$N$6,3,FALSE)=0,"Spatial Data Missing ⚠",VLOOKUP(J207,'G-3 Multipliers'!$L$3:$N$6,3,FALSE)))</f>
        <v/>
      </c>
      <c r="M207" s="362" t="str">
        <f>IF(OR(D207="",H207=""),"",(INDEX('G-6 Hedgerow Data'!$E$3:$I$15,MATCH(D207,'G-6 Hedgerow Data'!$B$3:$B$15,0),MATCH(H207,'G-6 Hedgerow Data'!$E$2:$I$2,0))))</f>
        <v/>
      </c>
      <c r="N207" s="159"/>
      <c r="O207" s="159"/>
      <c r="P207" s="370" t="str">
        <f t="shared" si="19"/>
        <v/>
      </c>
      <c r="Q207" s="383" t="str">
        <f t="shared" si="20"/>
        <v/>
      </c>
      <c r="R207" s="384" t="str">
        <f t="shared" si="18"/>
        <v/>
      </c>
      <c r="S207" s="398" t="str">
        <f>IF(D207="","",VLOOKUP(D207,'G-6 Hedgerow Data'!$B$3:$AG$15,31,FALSE))</f>
        <v/>
      </c>
      <c r="T207" s="370" t="str">
        <f t="shared" si="21"/>
        <v/>
      </c>
      <c r="U207" s="370" t="str">
        <f t="shared" si="22"/>
        <v/>
      </c>
      <c r="V207" s="386" t="str">
        <f>IF(D207="","",VLOOKUP(S207,'G-3 Multipliers'!$P$3:$Q$6,2,FALSE))</f>
        <v/>
      </c>
      <c r="W207" s="390" t="str">
        <f t="shared" si="23"/>
        <v/>
      </c>
      <c r="X207" s="117"/>
      <c r="Y207" s="118"/>
      <c r="Z207" s="120"/>
      <c r="AG207" s="30" t="str">
        <f>IFERROR(INDEX('G-6 Hedgerow Data'!$BJ$3:$BJ$15,MATCH(D207,'G-6 Hedgerow Data'!$B$3:$B$15,0)),"")</f>
        <v/>
      </c>
    </row>
    <row r="208" spans="2:33" ht="15">
      <c r="B208" s="110">
        <v>197</v>
      </c>
      <c r="C208" s="167"/>
      <c r="D208" s="159"/>
      <c r="E208" s="139"/>
      <c r="F208" s="411" t="str">
        <f>IF(D208="","",VLOOKUP(D208,'G-6 Hedgerow Data'!$B$2:$AG$15,2,FALSE))</f>
        <v/>
      </c>
      <c r="G208" s="363" t="str">
        <f>IF(D208="","",VLOOKUP(D208,'G-6 Hedgerow Data'!$B$2:$AG$15,3,FALSE))</f>
        <v/>
      </c>
      <c r="H208" s="114"/>
      <c r="I208" s="363" t="str">
        <f>IFERROR(VLOOKUP(H208,'G-1 All Habitats'!$Z$2:$AA$9,2,FALSE),"")</f>
        <v/>
      </c>
      <c r="J208" s="114"/>
      <c r="K208" s="382" t="str">
        <f>IF(J208="","",IF(VLOOKUP(J208,'G-3 Multipliers'!$L$3:$N$6,2,FALSE)=0,"Spatial Data Missing ⚠",VLOOKUP(J208,'G-3 Multipliers'!$L$3:$N$6,2,FALSE)))</f>
        <v/>
      </c>
      <c r="L208" s="368" t="str">
        <f>IF(J208="","",IF(VLOOKUP(J208,'G-3 Multipliers'!$L$3:$N$6,3,FALSE)=0,"Spatial Data Missing ⚠",VLOOKUP(J208,'G-3 Multipliers'!$L$3:$N$6,3,FALSE)))</f>
        <v/>
      </c>
      <c r="M208" s="362" t="str">
        <f>IF(OR(D208="",H208=""),"",(INDEX('G-6 Hedgerow Data'!$E$3:$I$15,MATCH(D208,'G-6 Hedgerow Data'!$B$3:$B$15,0),MATCH(H208,'G-6 Hedgerow Data'!$E$2:$I$2,0))))</f>
        <v/>
      </c>
      <c r="N208" s="159"/>
      <c r="O208" s="159"/>
      <c r="P208" s="370" t="str">
        <f t="shared" si="19"/>
        <v/>
      </c>
      <c r="Q208" s="383" t="str">
        <f t="shared" si="20"/>
        <v/>
      </c>
      <c r="R208" s="384" t="str">
        <f t="shared" si="18"/>
        <v/>
      </c>
      <c r="S208" s="398" t="str">
        <f>IF(D208="","",VLOOKUP(D208,'G-6 Hedgerow Data'!$B$3:$AG$15,31,FALSE))</f>
        <v/>
      </c>
      <c r="T208" s="370" t="str">
        <f t="shared" si="21"/>
        <v/>
      </c>
      <c r="U208" s="370" t="str">
        <f t="shared" si="22"/>
        <v/>
      </c>
      <c r="V208" s="386" t="str">
        <f>IF(D208="","",VLOOKUP(S208,'G-3 Multipliers'!$P$3:$Q$6,2,FALSE))</f>
        <v/>
      </c>
      <c r="W208" s="390" t="str">
        <f t="shared" si="23"/>
        <v/>
      </c>
      <c r="X208" s="117"/>
      <c r="Y208" s="118"/>
      <c r="Z208" s="120"/>
      <c r="AG208" s="30" t="str">
        <f>IFERROR(INDEX('G-6 Hedgerow Data'!$BJ$3:$BJ$15,MATCH(D208,'G-6 Hedgerow Data'!$B$3:$B$15,0)),"")</f>
        <v/>
      </c>
    </row>
    <row r="209" spans="2:33" ht="15">
      <c r="B209" s="110">
        <v>198</v>
      </c>
      <c r="C209" s="167"/>
      <c r="D209" s="159"/>
      <c r="E209" s="139"/>
      <c r="F209" s="411" t="str">
        <f>IF(D209="","",VLOOKUP(D209,'G-6 Hedgerow Data'!$B$2:$AG$15,2,FALSE))</f>
        <v/>
      </c>
      <c r="G209" s="363" t="str">
        <f>IF(D209="","",VLOOKUP(D209,'G-6 Hedgerow Data'!$B$2:$AG$15,3,FALSE))</f>
        <v/>
      </c>
      <c r="H209" s="114"/>
      <c r="I209" s="363" t="str">
        <f>IFERROR(VLOOKUP(H209,'G-1 All Habitats'!$Z$2:$AA$9,2,FALSE),"")</f>
        <v/>
      </c>
      <c r="J209" s="114"/>
      <c r="K209" s="382" t="str">
        <f>IF(J209="","",IF(VLOOKUP(J209,'G-3 Multipliers'!$L$3:$N$6,2,FALSE)=0,"Spatial Data Missing ⚠",VLOOKUP(J209,'G-3 Multipliers'!$L$3:$N$6,2,FALSE)))</f>
        <v/>
      </c>
      <c r="L209" s="368" t="str">
        <f>IF(J209="","",IF(VLOOKUP(J209,'G-3 Multipliers'!$L$3:$N$6,3,FALSE)=0,"Spatial Data Missing ⚠",VLOOKUP(J209,'G-3 Multipliers'!$L$3:$N$6,3,FALSE)))</f>
        <v/>
      </c>
      <c r="M209" s="362" t="str">
        <f>IF(OR(D209="",H209=""),"",(INDEX('G-6 Hedgerow Data'!$E$3:$I$15,MATCH(D209,'G-6 Hedgerow Data'!$B$3:$B$15,0),MATCH(H209,'G-6 Hedgerow Data'!$E$2:$I$2,0))))</f>
        <v/>
      </c>
      <c r="N209" s="159"/>
      <c r="O209" s="159"/>
      <c r="P209" s="370" t="str">
        <f t="shared" si="19"/>
        <v/>
      </c>
      <c r="Q209" s="383" t="str">
        <f t="shared" si="20"/>
        <v/>
      </c>
      <c r="R209" s="384" t="str">
        <f t="shared" si="18"/>
        <v/>
      </c>
      <c r="S209" s="398" t="str">
        <f>IF(D209="","",VLOOKUP(D209,'G-6 Hedgerow Data'!$B$3:$AG$15,31,FALSE))</f>
        <v/>
      </c>
      <c r="T209" s="370" t="str">
        <f t="shared" si="21"/>
        <v/>
      </c>
      <c r="U209" s="370" t="str">
        <f t="shared" si="22"/>
        <v/>
      </c>
      <c r="V209" s="386" t="str">
        <f>IF(D209="","",VLOOKUP(S209,'G-3 Multipliers'!$P$3:$Q$6,2,FALSE))</f>
        <v/>
      </c>
      <c r="W209" s="390" t="str">
        <f t="shared" si="23"/>
        <v/>
      </c>
      <c r="X209" s="117"/>
      <c r="Y209" s="118"/>
      <c r="Z209" s="120"/>
      <c r="AG209" s="30" t="str">
        <f>IFERROR(INDEX('G-6 Hedgerow Data'!$BJ$3:$BJ$15,MATCH(D209,'G-6 Hedgerow Data'!$B$3:$B$15,0)),"")</f>
        <v/>
      </c>
    </row>
    <row r="210" spans="2:33" ht="15">
      <c r="B210" s="110">
        <v>199</v>
      </c>
      <c r="C210" s="167"/>
      <c r="D210" s="159"/>
      <c r="E210" s="139"/>
      <c r="F210" s="411" t="str">
        <f>IF(D210="","",VLOOKUP(D210,'G-6 Hedgerow Data'!$B$2:$AG$15,2,FALSE))</f>
        <v/>
      </c>
      <c r="G210" s="363" t="str">
        <f>IF(D210="","",VLOOKUP(D210,'G-6 Hedgerow Data'!$B$2:$AG$15,3,FALSE))</f>
        <v/>
      </c>
      <c r="H210" s="114"/>
      <c r="I210" s="363" t="str">
        <f>IFERROR(VLOOKUP(H210,'G-1 All Habitats'!$Z$2:$AA$9,2,FALSE),"")</f>
        <v/>
      </c>
      <c r="J210" s="114"/>
      <c r="K210" s="382" t="str">
        <f>IF(J210="","",IF(VLOOKUP(J210,'G-3 Multipliers'!$L$3:$N$6,2,FALSE)=0,"Spatial Data Missing ⚠",VLOOKUP(J210,'G-3 Multipliers'!$L$3:$N$6,2,FALSE)))</f>
        <v/>
      </c>
      <c r="L210" s="368" t="str">
        <f>IF(J210="","",IF(VLOOKUP(J210,'G-3 Multipliers'!$L$3:$N$6,3,FALSE)=0,"Spatial Data Missing ⚠",VLOOKUP(J210,'G-3 Multipliers'!$L$3:$N$6,3,FALSE)))</f>
        <v/>
      </c>
      <c r="M210" s="362" t="str">
        <f>IF(OR(D210="",H210=""),"",(INDEX('G-6 Hedgerow Data'!$E$3:$I$15,MATCH(D210,'G-6 Hedgerow Data'!$B$3:$B$15,0),MATCH(H210,'G-6 Hedgerow Data'!$E$2:$I$2,0))))</f>
        <v/>
      </c>
      <c r="N210" s="159"/>
      <c r="O210" s="159"/>
      <c r="P210" s="370" t="str">
        <f t="shared" si="19"/>
        <v/>
      </c>
      <c r="Q210" s="383" t="str">
        <f t="shared" si="20"/>
        <v/>
      </c>
      <c r="R210" s="384" t="str">
        <f t="shared" si="18"/>
        <v/>
      </c>
      <c r="S210" s="398" t="str">
        <f>IF(D210="","",VLOOKUP(D210,'G-6 Hedgerow Data'!$B$3:$AG$15,31,FALSE))</f>
        <v/>
      </c>
      <c r="T210" s="370" t="str">
        <f t="shared" si="21"/>
        <v/>
      </c>
      <c r="U210" s="370" t="str">
        <f t="shared" si="22"/>
        <v/>
      </c>
      <c r="V210" s="386" t="str">
        <f>IF(D210="","",VLOOKUP(S210,'G-3 Multipliers'!$P$3:$Q$6,2,FALSE))</f>
        <v/>
      </c>
      <c r="W210" s="390" t="str">
        <f t="shared" si="23"/>
        <v/>
      </c>
      <c r="X210" s="117"/>
      <c r="Y210" s="118"/>
      <c r="Z210" s="120"/>
      <c r="AG210" s="30" t="str">
        <f>IFERROR(INDEX('G-6 Hedgerow Data'!$BJ$3:$BJ$15,MATCH(D210,'G-6 Hedgerow Data'!$B$3:$B$15,0)),"")</f>
        <v/>
      </c>
    </row>
    <row r="211" spans="2:33" ht="15">
      <c r="B211" s="110">
        <v>200</v>
      </c>
      <c r="C211" s="167"/>
      <c r="D211" s="159"/>
      <c r="E211" s="139"/>
      <c r="F211" s="411" t="str">
        <f>IF(D211="","",VLOOKUP(D211,'G-6 Hedgerow Data'!$B$2:$AG$15,2,FALSE))</f>
        <v/>
      </c>
      <c r="G211" s="363" t="str">
        <f>IF(D211="","",VLOOKUP(D211,'G-6 Hedgerow Data'!$B$2:$AG$15,3,FALSE))</f>
        <v/>
      </c>
      <c r="H211" s="114"/>
      <c r="I211" s="363" t="str">
        <f>IFERROR(VLOOKUP(H211,'G-1 All Habitats'!$Z$2:$AA$9,2,FALSE),"")</f>
        <v/>
      </c>
      <c r="J211" s="114"/>
      <c r="K211" s="382" t="str">
        <f>IF(J211="","",IF(VLOOKUP(J211,'G-3 Multipliers'!$L$3:$N$6,2,FALSE)=0,"Spatial Data Missing ⚠",VLOOKUP(J211,'G-3 Multipliers'!$L$3:$N$6,2,FALSE)))</f>
        <v/>
      </c>
      <c r="L211" s="368" t="str">
        <f>IF(J211="","",IF(VLOOKUP(J211,'G-3 Multipliers'!$L$3:$N$6,3,FALSE)=0,"Spatial Data Missing ⚠",VLOOKUP(J211,'G-3 Multipliers'!$L$3:$N$6,3,FALSE)))</f>
        <v/>
      </c>
      <c r="M211" s="362" t="str">
        <f>IF(OR(D211="",H211=""),"",(INDEX('G-6 Hedgerow Data'!$E$3:$I$15,MATCH(D211,'G-6 Hedgerow Data'!$B$3:$B$15,0),MATCH(H211,'G-6 Hedgerow Data'!$E$2:$I$2,0))))</f>
        <v/>
      </c>
      <c r="N211" s="159"/>
      <c r="O211" s="159"/>
      <c r="P211" s="370" t="str">
        <f t="shared" si="19"/>
        <v/>
      </c>
      <c r="Q211" s="383" t="str">
        <f t="shared" si="20"/>
        <v/>
      </c>
      <c r="R211" s="384" t="str">
        <f t="shared" si="18"/>
        <v/>
      </c>
      <c r="S211" s="398" t="str">
        <f>IF(D211="","",VLOOKUP(D211,'G-6 Hedgerow Data'!$B$3:$AG$15,31,FALSE))</f>
        <v/>
      </c>
      <c r="T211" s="370" t="str">
        <f t="shared" si="21"/>
        <v/>
      </c>
      <c r="U211" s="370" t="str">
        <f t="shared" si="22"/>
        <v/>
      </c>
      <c r="V211" s="386" t="str">
        <f>IF(D211="","",VLOOKUP(S211,'G-3 Multipliers'!$P$3:$Q$6,2,FALSE))</f>
        <v/>
      </c>
      <c r="W211" s="390" t="str">
        <f t="shared" si="23"/>
        <v/>
      </c>
      <c r="X211" s="117"/>
      <c r="Y211" s="118"/>
      <c r="Z211" s="120"/>
      <c r="AG211" s="30" t="str">
        <f>IFERROR(INDEX('G-6 Hedgerow Data'!$BJ$3:$BJ$15,MATCH(D211,'G-6 Hedgerow Data'!$B$3:$B$15,0)),"")</f>
        <v/>
      </c>
    </row>
    <row r="212" spans="2:33" ht="15">
      <c r="B212" s="110">
        <v>201</v>
      </c>
      <c r="C212" s="167"/>
      <c r="D212" s="159"/>
      <c r="E212" s="139"/>
      <c r="F212" s="411" t="str">
        <f>IF(D212="","",VLOOKUP(D212,'G-6 Hedgerow Data'!$B$2:$AG$15,2,FALSE))</f>
        <v/>
      </c>
      <c r="G212" s="363" t="str">
        <f>IF(D212="","",VLOOKUP(D212,'G-6 Hedgerow Data'!$B$2:$AG$15,3,FALSE))</f>
        <v/>
      </c>
      <c r="H212" s="114"/>
      <c r="I212" s="363" t="str">
        <f>IFERROR(VLOOKUP(H212,'G-1 All Habitats'!$Z$2:$AA$9,2,FALSE),"")</f>
        <v/>
      </c>
      <c r="J212" s="114"/>
      <c r="K212" s="382" t="str">
        <f>IF(J212="","",IF(VLOOKUP(J212,'G-3 Multipliers'!$L$3:$N$6,2,FALSE)=0,"Spatial Data Missing ⚠",VLOOKUP(J212,'G-3 Multipliers'!$L$3:$N$6,2,FALSE)))</f>
        <v/>
      </c>
      <c r="L212" s="368" t="str">
        <f>IF(J212="","",IF(VLOOKUP(J212,'G-3 Multipliers'!$L$3:$N$6,3,FALSE)=0,"Spatial Data Missing ⚠",VLOOKUP(J212,'G-3 Multipliers'!$L$3:$N$6,3,FALSE)))</f>
        <v/>
      </c>
      <c r="M212" s="362" t="str">
        <f>IF(OR(D212="",H212=""),"",(INDEX('G-6 Hedgerow Data'!$E$3:$I$15,MATCH(D212,'G-6 Hedgerow Data'!$B$3:$B$15,0),MATCH(H212,'G-6 Hedgerow Data'!$E$2:$I$2,0))))</f>
        <v/>
      </c>
      <c r="N212" s="159"/>
      <c r="O212" s="159"/>
      <c r="P212" s="370" t="str">
        <f t="shared" si="19"/>
        <v/>
      </c>
      <c r="Q212" s="383" t="str">
        <f t="shared" si="20"/>
        <v/>
      </c>
      <c r="R212" s="384" t="str">
        <f t="shared" si="18"/>
        <v/>
      </c>
      <c r="S212" s="398" t="str">
        <f>IF(D212="","",VLOOKUP(D212,'G-6 Hedgerow Data'!$B$3:$AG$15,31,FALSE))</f>
        <v/>
      </c>
      <c r="T212" s="370" t="str">
        <f t="shared" si="21"/>
        <v/>
      </c>
      <c r="U212" s="370" t="str">
        <f t="shared" si="22"/>
        <v/>
      </c>
      <c r="V212" s="386" t="str">
        <f>IF(D212="","",VLOOKUP(S212,'G-3 Multipliers'!$P$3:$Q$6,2,FALSE))</f>
        <v/>
      </c>
      <c r="W212" s="390" t="str">
        <f t="shared" si="23"/>
        <v/>
      </c>
      <c r="X212" s="117"/>
      <c r="Y212" s="118"/>
      <c r="Z212" s="120"/>
      <c r="AG212" s="30" t="str">
        <f>IFERROR(INDEX('G-6 Hedgerow Data'!$BJ$3:$BJ$15,MATCH(D212,'G-6 Hedgerow Data'!$B$3:$B$15,0)),"")</f>
        <v/>
      </c>
    </row>
    <row r="213" spans="2:33" ht="15">
      <c r="B213" s="110">
        <v>202</v>
      </c>
      <c r="C213" s="167"/>
      <c r="D213" s="159"/>
      <c r="E213" s="139"/>
      <c r="F213" s="411" t="str">
        <f>IF(D213="","",VLOOKUP(D213,'G-6 Hedgerow Data'!$B$2:$AG$15,2,FALSE))</f>
        <v/>
      </c>
      <c r="G213" s="363" t="str">
        <f>IF(D213="","",VLOOKUP(D213,'G-6 Hedgerow Data'!$B$2:$AG$15,3,FALSE))</f>
        <v/>
      </c>
      <c r="H213" s="114"/>
      <c r="I213" s="363" t="str">
        <f>IFERROR(VLOOKUP(H213,'G-1 All Habitats'!$Z$2:$AA$9,2,FALSE),"")</f>
        <v/>
      </c>
      <c r="J213" s="114"/>
      <c r="K213" s="382" t="str">
        <f>IF(J213="","",IF(VLOOKUP(J213,'G-3 Multipliers'!$L$3:$N$6,2,FALSE)=0,"Spatial Data Missing ⚠",VLOOKUP(J213,'G-3 Multipliers'!$L$3:$N$6,2,FALSE)))</f>
        <v/>
      </c>
      <c r="L213" s="368" t="str">
        <f>IF(J213="","",IF(VLOOKUP(J213,'G-3 Multipliers'!$L$3:$N$6,3,FALSE)=0,"Spatial Data Missing ⚠",VLOOKUP(J213,'G-3 Multipliers'!$L$3:$N$6,3,FALSE)))</f>
        <v/>
      </c>
      <c r="M213" s="362" t="str">
        <f>IF(OR(D213="",H213=""),"",(INDEX('G-6 Hedgerow Data'!$E$3:$I$15,MATCH(D213,'G-6 Hedgerow Data'!$B$3:$B$15,0),MATCH(H213,'G-6 Hedgerow Data'!$E$2:$I$2,0))))</f>
        <v/>
      </c>
      <c r="N213" s="159"/>
      <c r="O213" s="159"/>
      <c r="P213" s="370" t="str">
        <f t="shared" si="19"/>
        <v/>
      </c>
      <c r="Q213" s="383" t="str">
        <f t="shared" si="20"/>
        <v/>
      </c>
      <c r="R213" s="384" t="str">
        <f t="shared" si="18"/>
        <v/>
      </c>
      <c r="S213" s="398" t="str">
        <f>IF(D213="","",VLOOKUP(D213,'G-6 Hedgerow Data'!$B$3:$AG$15,31,FALSE))</f>
        <v/>
      </c>
      <c r="T213" s="370" t="str">
        <f t="shared" si="21"/>
        <v/>
      </c>
      <c r="U213" s="370" t="str">
        <f t="shared" si="22"/>
        <v/>
      </c>
      <c r="V213" s="386" t="str">
        <f>IF(D213="","",VLOOKUP(S213,'G-3 Multipliers'!$P$3:$Q$6,2,FALSE))</f>
        <v/>
      </c>
      <c r="W213" s="390" t="str">
        <f t="shared" si="23"/>
        <v/>
      </c>
      <c r="X213" s="117"/>
      <c r="Y213" s="118"/>
      <c r="Z213" s="120"/>
      <c r="AG213" s="30" t="str">
        <f>IFERROR(INDEX('G-6 Hedgerow Data'!$BJ$3:$BJ$15,MATCH(D213,'G-6 Hedgerow Data'!$B$3:$B$15,0)),"")</f>
        <v/>
      </c>
    </row>
    <row r="214" spans="2:33" ht="15">
      <c r="B214" s="110">
        <v>203</v>
      </c>
      <c r="C214" s="167"/>
      <c r="D214" s="159"/>
      <c r="E214" s="139"/>
      <c r="F214" s="411" t="str">
        <f>IF(D214="","",VLOOKUP(D214,'G-6 Hedgerow Data'!$B$2:$AG$15,2,FALSE))</f>
        <v/>
      </c>
      <c r="G214" s="363" t="str">
        <f>IF(D214="","",VLOOKUP(D214,'G-6 Hedgerow Data'!$B$2:$AG$15,3,FALSE))</f>
        <v/>
      </c>
      <c r="H214" s="114"/>
      <c r="I214" s="363" t="str">
        <f>IFERROR(VLOOKUP(H214,'G-1 All Habitats'!$Z$2:$AA$9,2,FALSE),"")</f>
        <v/>
      </c>
      <c r="J214" s="114"/>
      <c r="K214" s="382" t="str">
        <f>IF(J214="","",IF(VLOOKUP(J214,'G-3 Multipliers'!$L$3:$N$6,2,FALSE)=0,"Spatial Data Missing ⚠",VLOOKUP(J214,'G-3 Multipliers'!$L$3:$N$6,2,FALSE)))</f>
        <v/>
      </c>
      <c r="L214" s="368" t="str">
        <f>IF(J214="","",IF(VLOOKUP(J214,'G-3 Multipliers'!$L$3:$N$6,3,FALSE)=0,"Spatial Data Missing ⚠",VLOOKUP(J214,'G-3 Multipliers'!$L$3:$N$6,3,FALSE)))</f>
        <v/>
      </c>
      <c r="M214" s="362" t="str">
        <f>IF(OR(D214="",H214=""),"",(INDEX('G-6 Hedgerow Data'!$E$3:$I$15,MATCH(D214,'G-6 Hedgerow Data'!$B$3:$B$15,0),MATCH(H214,'G-6 Hedgerow Data'!$E$2:$I$2,0))))</f>
        <v/>
      </c>
      <c r="N214" s="159"/>
      <c r="O214" s="159"/>
      <c r="P214" s="370" t="str">
        <f t="shared" si="19"/>
        <v/>
      </c>
      <c r="Q214" s="383" t="str">
        <f t="shared" si="20"/>
        <v/>
      </c>
      <c r="R214" s="384" t="str">
        <f t="shared" si="18"/>
        <v/>
      </c>
      <c r="S214" s="398" t="str">
        <f>IF(D214="","",VLOOKUP(D214,'G-6 Hedgerow Data'!$B$3:$AG$15,31,FALSE))</f>
        <v/>
      </c>
      <c r="T214" s="370" t="str">
        <f t="shared" si="21"/>
        <v/>
      </c>
      <c r="U214" s="370" t="str">
        <f t="shared" si="22"/>
        <v/>
      </c>
      <c r="V214" s="386" t="str">
        <f>IF(D214="","",VLOOKUP(S214,'G-3 Multipliers'!$P$3:$Q$6,2,FALSE))</f>
        <v/>
      </c>
      <c r="W214" s="390" t="str">
        <f t="shared" si="23"/>
        <v/>
      </c>
      <c r="X214" s="117"/>
      <c r="Y214" s="118"/>
      <c r="Z214" s="120"/>
      <c r="AG214" s="30" t="str">
        <f>IFERROR(INDEX('G-6 Hedgerow Data'!$BJ$3:$BJ$15,MATCH(D214,'G-6 Hedgerow Data'!$B$3:$B$15,0)),"")</f>
        <v/>
      </c>
    </row>
    <row r="215" spans="2:33" ht="15">
      <c r="B215" s="110">
        <v>204</v>
      </c>
      <c r="C215" s="167"/>
      <c r="D215" s="159"/>
      <c r="E215" s="139"/>
      <c r="F215" s="411" t="str">
        <f>IF(D215="","",VLOOKUP(D215,'G-6 Hedgerow Data'!$B$2:$AG$15,2,FALSE))</f>
        <v/>
      </c>
      <c r="G215" s="363" t="str">
        <f>IF(D215="","",VLOOKUP(D215,'G-6 Hedgerow Data'!$B$2:$AG$15,3,FALSE))</f>
        <v/>
      </c>
      <c r="H215" s="114"/>
      <c r="I215" s="363" t="str">
        <f>IFERROR(VLOOKUP(H215,'G-1 All Habitats'!$Z$2:$AA$9,2,FALSE),"")</f>
        <v/>
      </c>
      <c r="J215" s="114"/>
      <c r="K215" s="382" t="str">
        <f>IF(J215="","",IF(VLOOKUP(J215,'G-3 Multipliers'!$L$3:$N$6,2,FALSE)=0,"Spatial Data Missing ⚠",VLOOKUP(J215,'G-3 Multipliers'!$L$3:$N$6,2,FALSE)))</f>
        <v/>
      </c>
      <c r="L215" s="368" t="str">
        <f>IF(J215="","",IF(VLOOKUP(J215,'G-3 Multipliers'!$L$3:$N$6,3,FALSE)=0,"Spatial Data Missing ⚠",VLOOKUP(J215,'G-3 Multipliers'!$L$3:$N$6,3,FALSE)))</f>
        <v/>
      </c>
      <c r="M215" s="362" t="str">
        <f>IF(OR(D215="",H215=""),"",(INDEX('G-6 Hedgerow Data'!$E$3:$I$15,MATCH(D215,'G-6 Hedgerow Data'!$B$3:$B$15,0),MATCH(H215,'G-6 Hedgerow Data'!$E$2:$I$2,0))))</f>
        <v/>
      </c>
      <c r="N215" s="159"/>
      <c r="O215" s="159"/>
      <c r="P215" s="370" t="str">
        <f t="shared" si="19"/>
        <v/>
      </c>
      <c r="Q215" s="383" t="str">
        <f t="shared" si="20"/>
        <v/>
      </c>
      <c r="R215" s="384" t="str">
        <f t="shared" si="18"/>
        <v/>
      </c>
      <c r="S215" s="398" t="str">
        <f>IF(D215="","",VLOOKUP(D215,'G-6 Hedgerow Data'!$B$3:$AG$15,31,FALSE))</f>
        <v/>
      </c>
      <c r="T215" s="370" t="str">
        <f t="shared" si="21"/>
        <v/>
      </c>
      <c r="U215" s="370" t="str">
        <f t="shared" si="22"/>
        <v/>
      </c>
      <c r="V215" s="386" t="str">
        <f>IF(D215="","",VLOOKUP(S215,'G-3 Multipliers'!$P$3:$Q$6,2,FALSE))</f>
        <v/>
      </c>
      <c r="W215" s="390" t="str">
        <f t="shared" si="23"/>
        <v/>
      </c>
      <c r="X215" s="117"/>
      <c r="Y215" s="118"/>
      <c r="Z215" s="120"/>
      <c r="AG215" s="30" t="str">
        <f>IFERROR(INDEX('G-6 Hedgerow Data'!$BJ$3:$BJ$15,MATCH(D215,'G-6 Hedgerow Data'!$B$3:$B$15,0)),"")</f>
        <v/>
      </c>
    </row>
    <row r="216" spans="2:33" ht="15">
      <c r="B216" s="110">
        <v>205</v>
      </c>
      <c r="C216" s="167"/>
      <c r="D216" s="159"/>
      <c r="E216" s="139"/>
      <c r="F216" s="411" t="str">
        <f>IF(D216="","",VLOOKUP(D216,'G-6 Hedgerow Data'!$B$2:$AG$15,2,FALSE))</f>
        <v/>
      </c>
      <c r="G216" s="363" t="str">
        <f>IF(D216="","",VLOOKUP(D216,'G-6 Hedgerow Data'!$B$2:$AG$15,3,FALSE))</f>
        <v/>
      </c>
      <c r="H216" s="114"/>
      <c r="I216" s="363" t="str">
        <f>IFERROR(VLOOKUP(H216,'G-1 All Habitats'!$Z$2:$AA$9,2,FALSE),"")</f>
        <v/>
      </c>
      <c r="J216" s="114"/>
      <c r="K216" s="382" t="str">
        <f>IF(J216="","",IF(VLOOKUP(J216,'G-3 Multipliers'!$L$3:$N$6,2,FALSE)=0,"Spatial Data Missing ⚠",VLOOKUP(J216,'G-3 Multipliers'!$L$3:$N$6,2,FALSE)))</f>
        <v/>
      </c>
      <c r="L216" s="368" t="str">
        <f>IF(J216="","",IF(VLOOKUP(J216,'G-3 Multipliers'!$L$3:$N$6,3,FALSE)=0,"Spatial Data Missing ⚠",VLOOKUP(J216,'G-3 Multipliers'!$L$3:$N$6,3,FALSE)))</f>
        <v/>
      </c>
      <c r="M216" s="362" t="str">
        <f>IF(OR(D216="",H216=""),"",(INDEX('G-6 Hedgerow Data'!$E$3:$I$15,MATCH(D216,'G-6 Hedgerow Data'!$B$3:$B$15,0),MATCH(H216,'G-6 Hedgerow Data'!$E$2:$I$2,0))))</f>
        <v/>
      </c>
      <c r="N216" s="159"/>
      <c r="O216" s="159"/>
      <c r="P216" s="370" t="str">
        <f t="shared" si="19"/>
        <v/>
      </c>
      <c r="Q216" s="383" t="str">
        <f t="shared" si="20"/>
        <v/>
      </c>
      <c r="R216" s="384" t="str">
        <f t="shared" si="18"/>
        <v/>
      </c>
      <c r="S216" s="398" t="str">
        <f>IF(D216="","",VLOOKUP(D216,'G-6 Hedgerow Data'!$B$3:$AG$15,31,FALSE))</f>
        <v/>
      </c>
      <c r="T216" s="370" t="str">
        <f t="shared" si="21"/>
        <v/>
      </c>
      <c r="U216" s="370" t="str">
        <f t="shared" si="22"/>
        <v/>
      </c>
      <c r="V216" s="386" t="str">
        <f>IF(D216="","",VLOOKUP(S216,'G-3 Multipliers'!$P$3:$Q$6,2,FALSE))</f>
        <v/>
      </c>
      <c r="W216" s="390" t="str">
        <f t="shared" si="23"/>
        <v/>
      </c>
      <c r="X216" s="117"/>
      <c r="Y216" s="118"/>
      <c r="Z216" s="120"/>
      <c r="AG216" s="30" t="str">
        <f>IFERROR(INDEX('G-6 Hedgerow Data'!$BJ$3:$BJ$15,MATCH(D216,'G-6 Hedgerow Data'!$B$3:$B$15,0)),"")</f>
        <v/>
      </c>
    </row>
    <row r="217" spans="2:33" ht="15">
      <c r="B217" s="110">
        <v>206</v>
      </c>
      <c r="C217" s="167"/>
      <c r="D217" s="159"/>
      <c r="E217" s="139"/>
      <c r="F217" s="411" t="str">
        <f>IF(D217="","",VLOOKUP(D217,'G-6 Hedgerow Data'!$B$2:$AG$15,2,FALSE))</f>
        <v/>
      </c>
      <c r="G217" s="363" t="str">
        <f>IF(D217="","",VLOOKUP(D217,'G-6 Hedgerow Data'!$B$2:$AG$15,3,FALSE))</f>
        <v/>
      </c>
      <c r="H217" s="114"/>
      <c r="I217" s="363" t="str">
        <f>IFERROR(VLOOKUP(H217,'G-1 All Habitats'!$Z$2:$AA$9,2,FALSE),"")</f>
        <v/>
      </c>
      <c r="J217" s="114"/>
      <c r="K217" s="382" t="str">
        <f>IF(J217="","",IF(VLOOKUP(J217,'G-3 Multipliers'!$L$3:$N$6,2,FALSE)=0,"Spatial Data Missing ⚠",VLOOKUP(J217,'G-3 Multipliers'!$L$3:$N$6,2,FALSE)))</f>
        <v/>
      </c>
      <c r="L217" s="368" t="str">
        <f>IF(J217="","",IF(VLOOKUP(J217,'G-3 Multipliers'!$L$3:$N$6,3,FALSE)=0,"Spatial Data Missing ⚠",VLOOKUP(J217,'G-3 Multipliers'!$L$3:$N$6,3,FALSE)))</f>
        <v/>
      </c>
      <c r="M217" s="362" t="str">
        <f>IF(OR(D217="",H217=""),"",(INDEX('G-6 Hedgerow Data'!$E$3:$I$15,MATCH(D217,'G-6 Hedgerow Data'!$B$3:$B$15,0),MATCH(H217,'G-6 Hedgerow Data'!$E$2:$I$2,0))))</f>
        <v/>
      </c>
      <c r="N217" s="159"/>
      <c r="O217" s="159"/>
      <c r="P217" s="370" t="str">
        <f t="shared" si="19"/>
        <v/>
      </c>
      <c r="Q217" s="383" t="str">
        <f t="shared" si="20"/>
        <v/>
      </c>
      <c r="R217" s="384" t="str">
        <f t="shared" si="18"/>
        <v/>
      </c>
      <c r="S217" s="398" t="str">
        <f>IF(D217="","",VLOOKUP(D217,'G-6 Hedgerow Data'!$B$3:$AG$15,31,FALSE))</f>
        <v/>
      </c>
      <c r="T217" s="370" t="str">
        <f t="shared" si="21"/>
        <v/>
      </c>
      <c r="U217" s="370" t="str">
        <f t="shared" si="22"/>
        <v/>
      </c>
      <c r="V217" s="386" t="str">
        <f>IF(D217="","",VLOOKUP(S217,'G-3 Multipliers'!$P$3:$Q$6,2,FALSE))</f>
        <v/>
      </c>
      <c r="W217" s="390" t="str">
        <f t="shared" si="23"/>
        <v/>
      </c>
      <c r="X217" s="117"/>
      <c r="Y217" s="118"/>
      <c r="Z217" s="120"/>
      <c r="AG217" s="30" t="str">
        <f>IFERROR(INDEX('G-6 Hedgerow Data'!$BJ$3:$BJ$15,MATCH(D217,'G-6 Hedgerow Data'!$B$3:$B$15,0)),"")</f>
        <v/>
      </c>
    </row>
    <row r="218" spans="2:33" ht="15">
      <c r="B218" s="110">
        <v>207</v>
      </c>
      <c r="C218" s="167"/>
      <c r="D218" s="159"/>
      <c r="E218" s="139"/>
      <c r="F218" s="411" t="str">
        <f>IF(D218="","",VLOOKUP(D218,'G-6 Hedgerow Data'!$B$2:$AG$15,2,FALSE))</f>
        <v/>
      </c>
      <c r="G218" s="363" t="str">
        <f>IF(D218="","",VLOOKUP(D218,'G-6 Hedgerow Data'!$B$2:$AG$15,3,FALSE))</f>
        <v/>
      </c>
      <c r="H218" s="114"/>
      <c r="I218" s="363" t="str">
        <f>IFERROR(VLOOKUP(H218,'G-1 All Habitats'!$Z$2:$AA$9,2,FALSE),"")</f>
        <v/>
      </c>
      <c r="J218" s="114"/>
      <c r="K218" s="382" t="str">
        <f>IF(J218="","",IF(VLOOKUP(J218,'G-3 Multipliers'!$L$3:$N$6,2,FALSE)=0,"Spatial Data Missing ⚠",VLOOKUP(J218,'G-3 Multipliers'!$L$3:$N$6,2,FALSE)))</f>
        <v/>
      </c>
      <c r="L218" s="368" t="str">
        <f>IF(J218="","",IF(VLOOKUP(J218,'G-3 Multipliers'!$L$3:$N$6,3,FALSE)=0,"Spatial Data Missing ⚠",VLOOKUP(J218,'G-3 Multipliers'!$L$3:$N$6,3,FALSE)))</f>
        <v/>
      </c>
      <c r="M218" s="362" t="str">
        <f>IF(OR(D218="",H218=""),"",(INDEX('G-6 Hedgerow Data'!$E$3:$I$15,MATCH(D218,'G-6 Hedgerow Data'!$B$3:$B$15,0),MATCH(H218,'G-6 Hedgerow Data'!$E$2:$I$2,0))))</f>
        <v/>
      </c>
      <c r="N218" s="159"/>
      <c r="O218" s="159"/>
      <c r="P218" s="370" t="str">
        <f t="shared" si="19"/>
        <v/>
      </c>
      <c r="Q218" s="383" t="str">
        <f t="shared" si="20"/>
        <v/>
      </c>
      <c r="R218" s="384" t="str">
        <f t="shared" si="18"/>
        <v/>
      </c>
      <c r="S218" s="398" t="str">
        <f>IF(D218="","",VLOOKUP(D218,'G-6 Hedgerow Data'!$B$3:$AG$15,31,FALSE))</f>
        <v/>
      </c>
      <c r="T218" s="370" t="str">
        <f t="shared" si="21"/>
        <v/>
      </c>
      <c r="U218" s="370" t="str">
        <f t="shared" si="22"/>
        <v/>
      </c>
      <c r="V218" s="386" t="str">
        <f>IF(D218="","",VLOOKUP(S218,'G-3 Multipliers'!$P$3:$Q$6,2,FALSE))</f>
        <v/>
      </c>
      <c r="W218" s="390" t="str">
        <f t="shared" si="23"/>
        <v/>
      </c>
      <c r="X218" s="117"/>
      <c r="Y218" s="118"/>
      <c r="Z218" s="120"/>
      <c r="AG218" s="30" t="str">
        <f>IFERROR(INDEX('G-6 Hedgerow Data'!$BJ$3:$BJ$15,MATCH(D218,'G-6 Hedgerow Data'!$B$3:$B$15,0)),"")</f>
        <v/>
      </c>
    </row>
    <row r="219" spans="2:33" ht="15">
      <c r="B219" s="110">
        <v>208</v>
      </c>
      <c r="C219" s="167"/>
      <c r="D219" s="159"/>
      <c r="E219" s="139"/>
      <c r="F219" s="411" t="str">
        <f>IF(D219="","",VLOOKUP(D219,'G-6 Hedgerow Data'!$B$2:$AG$15,2,FALSE))</f>
        <v/>
      </c>
      <c r="G219" s="363" t="str">
        <f>IF(D219="","",VLOOKUP(D219,'G-6 Hedgerow Data'!$B$2:$AG$15,3,FALSE))</f>
        <v/>
      </c>
      <c r="H219" s="114"/>
      <c r="I219" s="363" t="str">
        <f>IFERROR(VLOOKUP(H219,'G-1 All Habitats'!$Z$2:$AA$9,2,FALSE),"")</f>
        <v/>
      </c>
      <c r="J219" s="114"/>
      <c r="K219" s="382" t="str">
        <f>IF(J219="","",IF(VLOOKUP(J219,'G-3 Multipliers'!$L$3:$N$6,2,FALSE)=0,"Spatial Data Missing ⚠",VLOOKUP(J219,'G-3 Multipliers'!$L$3:$N$6,2,FALSE)))</f>
        <v/>
      </c>
      <c r="L219" s="368" t="str">
        <f>IF(J219="","",IF(VLOOKUP(J219,'G-3 Multipliers'!$L$3:$N$6,3,FALSE)=0,"Spatial Data Missing ⚠",VLOOKUP(J219,'G-3 Multipliers'!$L$3:$N$6,3,FALSE)))</f>
        <v/>
      </c>
      <c r="M219" s="362" t="str">
        <f>IF(OR(D219="",H219=""),"",(INDEX('G-6 Hedgerow Data'!$E$3:$I$15,MATCH(D219,'G-6 Hedgerow Data'!$B$3:$B$15,0),MATCH(H219,'G-6 Hedgerow Data'!$E$2:$I$2,0))))</f>
        <v/>
      </c>
      <c r="N219" s="159"/>
      <c r="O219" s="159"/>
      <c r="P219" s="370" t="str">
        <f t="shared" si="19"/>
        <v/>
      </c>
      <c r="Q219" s="383" t="str">
        <f t="shared" si="20"/>
        <v/>
      </c>
      <c r="R219" s="384" t="str">
        <f t="shared" si="18"/>
        <v/>
      </c>
      <c r="S219" s="398" t="str">
        <f>IF(D219="","",VLOOKUP(D219,'G-6 Hedgerow Data'!$B$3:$AG$15,31,FALSE))</f>
        <v/>
      </c>
      <c r="T219" s="370" t="str">
        <f t="shared" si="21"/>
        <v/>
      </c>
      <c r="U219" s="370" t="str">
        <f t="shared" si="22"/>
        <v/>
      </c>
      <c r="V219" s="386" t="str">
        <f>IF(D219="","",VLOOKUP(S219,'G-3 Multipliers'!$P$3:$Q$6,2,FALSE))</f>
        <v/>
      </c>
      <c r="W219" s="390" t="str">
        <f t="shared" si="23"/>
        <v/>
      </c>
      <c r="X219" s="117"/>
      <c r="Y219" s="118"/>
      <c r="Z219" s="120"/>
      <c r="AG219" s="30" t="str">
        <f>IFERROR(INDEX('G-6 Hedgerow Data'!$BJ$3:$BJ$15,MATCH(D219,'G-6 Hedgerow Data'!$B$3:$B$15,0)),"")</f>
        <v/>
      </c>
    </row>
    <row r="220" spans="2:33" ht="15">
      <c r="B220" s="110">
        <v>209</v>
      </c>
      <c r="C220" s="167"/>
      <c r="D220" s="159"/>
      <c r="E220" s="139"/>
      <c r="F220" s="411" t="str">
        <f>IF(D220="","",VLOOKUP(D220,'G-6 Hedgerow Data'!$B$2:$AG$15,2,FALSE))</f>
        <v/>
      </c>
      <c r="G220" s="363" t="str">
        <f>IF(D220="","",VLOOKUP(D220,'G-6 Hedgerow Data'!$B$2:$AG$15,3,FALSE))</f>
        <v/>
      </c>
      <c r="H220" s="114"/>
      <c r="I220" s="363" t="str">
        <f>IFERROR(VLOOKUP(H220,'G-1 All Habitats'!$Z$2:$AA$9,2,FALSE),"")</f>
        <v/>
      </c>
      <c r="J220" s="114"/>
      <c r="K220" s="382" t="str">
        <f>IF(J220="","",IF(VLOOKUP(J220,'G-3 Multipliers'!$L$3:$N$6,2,FALSE)=0,"Spatial Data Missing ⚠",VLOOKUP(J220,'G-3 Multipliers'!$L$3:$N$6,2,FALSE)))</f>
        <v/>
      </c>
      <c r="L220" s="368" t="str">
        <f>IF(J220="","",IF(VLOOKUP(J220,'G-3 Multipliers'!$L$3:$N$6,3,FALSE)=0,"Spatial Data Missing ⚠",VLOOKUP(J220,'G-3 Multipliers'!$L$3:$N$6,3,FALSE)))</f>
        <v/>
      </c>
      <c r="M220" s="362" t="str">
        <f>IF(OR(D220="",H220=""),"",(INDEX('G-6 Hedgerow Data'!$E$3:$I$15,MATCH(D220,'G-6 Hedgerow Data'!$B$3:$B$15,0),MATCH(H220,'G-6 Hedgerow Data'!$E$2:$I$2,0))))</f>
        <v/>
      </c>
      <c r="N220" s="159"/>
      <c r="O220" s="159"/>
      <c r="P220" s="370" t="str">
        <f t="shared" si="19"/>
        <v/>
      </c>
      <c r="Q220" s="383" t="str">
        <f t="shared" si="20"/>
        <v/>
      </c>
      <c r="R220" s="384" t="str">
        <f t="shared" si="18"/>
        <v/>
      </c>
      <c r="S220" s="398" t="str">
        <f>IF(D220="","",VLOOKUP(D220,'G-6 Hedgerow Data'!$B$3:$AG$15,31,FALSE))</f>
        <v/>
      </c>
      <c r="T220" s="370" t="str">
        <f t="shared" si="21"/>
        <v/>
      </c>
      <c r="U220" s="370" t="str">
        <f t="shared" si="22"/>
        <v/>
      </c>
      <c r="V220" s="386" t="str">
        <f>IF(D220="","",VLOOKUP(S220,'G-3 Multipliers'!$P$3:$Q$6,2,FALSE))</f>
        <v/>
      </c>
      <c r="W220" s="390" t="str">
        <f t="shared" si="23"/>
        <v/>
      </c>
      <c r="X220" s="117"/>
      <c r="Y220" s="118"/>
      <c r="Z220" s="120"/>
      <c r="AG220" s="30" t="str">
        <f>IFERROR(INDEX('G-6 Hedgerow Data'!$BJ$3:$BJ$15,MATCH(D220,'G-6 Hedgerow Data'!$B$3:$B$15,0)),"")</f>
        <v/>
      </c>
    </row>
    <row r="221" spans="2:33" ht="15">
      <c r="B221" s="110">
        <v>210</v>
      </c>
      <c r="C221" s="167"/>
      <c r="D221" s="159"/>
      <c r="E221" s="139"/>
      <c r="F221" s="411" t="str">
        <f>IF(D221="","",VLOOKUP(D221,'G-6 Hedgerow Data'!$B$2:$AG$15,2,FALSE))</f>
        <v/>
      </c>
      <c r="G221" s="363" t="str">
        <f>IF(D221="","",VLOOKUP(D221,'G-6 Hedgerow Data'!$B$2:$AG$15,3,FALSE))</f>
        <v/>
      </c>
      <c r="H221" s="114"/>
      <c r="I221" s="363" t="str">
        <f>IFERROR(VLOOKUP(H221,'G-1 All Habitats'!$Z$2:$AA$9,2,FALSE),"")</f>
        <v/>
      </c>
      <c r="J221" s="114"/>
      <c r="K221" s="382" t="str">
        <f>IF(J221="","",IF(VLOOKUP(J221,'G-3 Multipliers'!$L$3:$N$6,2,FALSE)=0,"Spatial Data Missing ⚠",VLOOKUP(J221,'G-3 Multipliers'!$L$3:$N$6,2,FALSE)))</f>
        <v/>
      </c>
      <c r="L221" s="368" t="str">
        <f>IF(J221="","",IF(VLOOKUP(J221,'G-3 Multipliers'!$L$3:$N$6,3,FALSE)=0,"Spatial Data Missing ⚠",VLOOKUP(J221,'G-3 Multipliers'!$L$3:$N$6,3,FALSE)))</f>
        <v/>
      </c>
      <c r="M221" s="362" t="str">
        <f>IF(OR(D221="",H221=""),"",(INDEX('G-6 Hedgerow Data'!$E$3:$I$15,MATCH(D221,'G-6 Hedgerow Data'!$B$3:$B$15,0),MATCH(H221,'G-6 Hedgerow Data'!$E$2:$I$2,0))))</f>
        <v/>
      </c>
      <c r="N221" s="159"/>
      <c r="O221" s="159"/>
      <c r="P221" s="370" t="str">
        <f t="shared" si="19"/>
        <v/>
      </c>
      <c r="Q221" s="383" t="str">
        <f t="shared" si="20"/>
        <v/>
      </c>
      <c r="R221" s="384" t="str">
        <f t="shared" si="18"/>
        <v/>
      </c>
      <c r="S221" s="398" t="str">
        <f>IF(D221="","",VLOOKUP(D221,'G-6 Hedgerow Data'!$B$3:$AG$15,31,FALSE))</f>
        <v/>
      </c>
      <c r="T221" s="370" t="str">
        <f t="shared" si="21"/>
        <v/>
      </c>
      <c r="U221" s="370" t="str">
        <f t="shared" si="22"/>
        <v/>
      </c>
      <c r="V221" s="386" t="str">
        <f>IF(D221="","",VLOOKUP(S221,'G-3 Multipliers'!$P$3:$Q$6,2,FALSE))</f>
        <v/>
      </c>
      <c r="W221" s="390" t="str">
        <f t="shared" si="23"/>
        <v/>
      </c>
      <c r="X221" s="117"/>
      <c r="Y221" s="118"/>
      <c r="Z221" s="120"/>
      <c r="AG221" s="30" t="str">
        <f>IFERROR(INDEX('G-6 Hedgerow Data'!$BJ$3:$BJ$15,MATCH(D221,'G-6 Hedgerow Data'!$B$3:$B$15,0)),"")</f>
        <v/>
      </c>
    </row>
    <row r="222" spans="2:33" ht="15">
      <c r="B222" s="110">
        <v>211</v>
      </c>
      <c r="C222" s="167"/>
      <c r="D222" s="159"/>
      <c r="E222" s="139"/>
      <c r="F222" s="411" t="str">
        <f>IF(D222="","",VLOOKUP(D222,'G-6 Hedgerow Data'!$B$2:$AG$15,2,FALSE))</f>
        <v/>
      </c>
      <c r="G222" s="363" t="str">
        <f>IF(D222="","",VLOOKUP(D222,'G-6 Hedgerow Data'!$B$2:$AG$15,3,FALSE))</f>
        <v/>
      </c>
      <c r="H222" s="114"/>
      <c r="I222" s="363" t="str">
        <f>IFERROR(VLOOKUP(H222,'G-1 All Habitats'!$Z$2:$AA$9,2,FALSE),"")</f>
        <v/>
      </c>
      <c r="J222" s="114"/>
      <c r="K222" s="382" t="str">
        <f>IF(J222="","",IF(VLOOKUP(J222,'G-3 Multipliers'!$L$3:$N$6,2,FALSE)=0,"Spatial Data Missing ⚠",VLOOKUP(J222,'G-3 Multipliers'!$L$3:$N$6,2,FALSE)))</f>
        <v/>
      </c>
      <c r="L222" s="368" t="str">
        <f>IF(J222="","",IF(VLOOKUP(J222,'G-3 Multipliers'!$L$3:$N$6,3,FALSE)=0,"Spatial Data Missing ⚠",VLOOKUP(J222,'G-3 Multipliers'!$L$3:$N$6,3,FALSE)))</f>
        <v/>
      </c>
      <c r="M222" s="362" t="str">
        <f>IF(OR(D222="",H222=""),"",(INDEX('G-6 Hedgerow Data'!$E$3:$I$15,MATCH(D222,'G-6 Hedgerow Data'!$B$3:$B$15,0),MATCH(H222,'G-6 Hedgerow Data'!$E$2:$I$2,0))))</f>
        <v/>
      </c>
      <c r="N222" s="159"/>
      <c r="O222" s="159"/>
      <c r="P222" s="370" t="str">
        <f t="shared" si="19"/>
        <v/>
      </c>
      <c r="Q222" s="383" t="str">
        <f t="shared" si="20"/>
        <v/>
      </c>
      <c r="R222" s="384" t="str">
        <f t="shared" si="18"/>
        <v/>
      </c>
      <c r="S222" s="398" t="str">
        <f>IF(D222="","",VLOOKUP(D222,'G-6 Hedgerow Data'!$B$3:$AG$15,31,FALSE))</f>
        <v/>
      </c>
      <c r="T222" s="370" t="str">
        <f t="shared" si="21"/>
        <v/>
      </c>
      <c r="U222" s="370" t="str">
        <f t="shared" si="22"/>
        <v/>
      </c>
      <c r="V222" s="386" t="str">
        <f>IF(D222="","",VLOOKUP(S222,'G-3 Multipliers'!$P$3:$Q$6,2,FALSE))</f>
        <v/>
      </c>
      <c r="W222" s="390" t="str">
        <f t="shared" si="23"/>
        <v/>
      </c>
      <c r="X222" s="117"/>
      <c r="Y222" s="118"/>
      <c r="Z222" s="120"/>
      <c r="AG222" s="30" t="str">
        <f>IFERROR(INDEX('G-6 Hedgerow Data'!$BJ$3:$BJ$15,MATCH(D222,'G-6 Hedgerow Data'!$B$3:$B$15,0)),"")</f>
        <v/>
      </c>
    </row>
    <row r="223" spans="2:33" ht="15">
      <c r="B223" s="110">
        <v>212</v>
      </c>
      <c r="C223" s="167"/>
      <c r="D223" s="159"/>
      <c r="E223" s="139"/>
      <c r="F223" s="411" t="str">
        <f>IF(D223="","",VLOOKUP(D223,'G-6 Hedgerow Data'!$B$2:$AG$15,2,FALSE))</f>
        <v/>
      </c>
      <c r="G223" s="363" t="str">
        <f>IF(D223="","",VLOOKUP(D223,'G-6 Hedgerow Data'!$B$2:$AG$15,3,FALSE))</f>
        <v/>
      </c>
      <c r="H223" s="114"/>
      <c r="I223" s="363" t="str">
        <f>IFERROR(VLOOKUP(H223,'G-1 All Habitats'!$Z$2:$AA$9,2,FALSE),"")</f>
        <v/>
      </c>
      <c r="J223" s="114"/>
      <c r="K223" s="382" t="str">
        <f>IF(J223="","",IF(VLOOKUP(J223,'G-3 Multipliers'!$L$3:$N$6,2,FALSE)=0,"Spatial Data Missing ⚠",VLOOKUP(J223,'G-3 Multipliers'!$L$3:$N$6,2,FALSE)))</f>
        <v/>
      </c>
      <c r="L223" s="368" t="str">
        <f>IF(J223="","",IF(VLOOKUP(J223,'G-3 Multipliers'!$L$3:$N$6,3,FALSE)=0,"Spatial Data Missing ⚠",VLOOKUP(J223,'G-3 Multipliers'!$L$3:$N$6,3,FALSE)))</f>
        <v/>
      </c>
      <c r="M223" s="362" t="str">
        <f>IF(OR(D223="",H223=""),"",(INDEX('G-6 Hedgerow Data'!$E$3:$I$15,MATCH(D223,'G-6 Hedgerow Data'!$B$3:$B$15,0),MATCH(H223,'G-6 Hedgerow Data'!$E$2:$I$2,0))))</f>
        <v/>
      </c>
      <c r="N223" s="159"/>
      <c r="O223" s="159"/>
      <c r="P223" s="370" t="str">
        <f t="shared" si="19"/>
        <v/>
      </c>
      <c r="Q223" s="383" t="str">
        <f t="shared" si="20"/>
        <v/>
      </c>
      <c r="R223" s="384" t="str">
        <f t="shared" si="18"/>
        <v/>
      </c>
      <c r="S223" s="398" t="str">
        <f>IF(D223="","",VLOOKUP(D223,'G-6 Hedgerow Data'!$B$3:$AG$15,31,FALSE))</f>
        <v/>
      </c>
      <c r="T223" s="370" t="str">
        <f t="shared" si="21"/>
        <v/>
      </c>
      <c r="U223" s="370" t="str">
        <f t="shared" si="22"/>
        <v/>
      </c>
      <c r="V223" s="386" t="str">
        <f>IF(D223="","",VLOOKUP(S223,'G-3 Multipliers'!$P$3:$Q$6,2,FALSE))</f>
        <v/>
      </c>
      <c r="W223" s="390" t="str">
        <f t="shared" si="23"/>
        <v/>
      </c>
      <c r="X223" s="117"/>
      <c r="Y223" s="118"/>
      <c r="Z223" s="120"/>
      <c r="AG223" s="30" t="str">
        <f>IFERROR(INDEX('G-6 Hedgerow Data'!$BJ$3:$BJ$15,MATCH(D223,'G-6 Hedgerow Data'!$B$3:$B$15,0)),"")</f>
        <v/>
      </c>
    </row>
    <row r="224" spans="2:33" ht="15">
      <c r="B224" s="110">
        <v>213</v>
      </c>
      <c r="C224" s="167"/>
      <c r="D224" s="159"/>
      <c r="E224" s="139"/>
      <c r="F224" s="411" t="str">
        <f>IF(D224="","",VLOOKUP(D224,'G-6 Hedgerow Data'!$B$2:$AG$15,2,FALSE))</f>
        <v/>
      </c>
      <c r="G224" s="363" t="str">
        <f>IF(D224="","",VLOOKUP(D224,'G-6 Hedgerow Data'!$B$2:$AG$15,3,FALSE))</f>
        <v/>
      </c>
      <c r="H224" s="114"/>
      <c r="I224" s="363" t="str">
        <f>IFERROR(VLOOKUP(H224,'G-1 All Habitats'!$Z$2:$AA$9,2,FALSE),"")</f>
        <v/>
      </c>
      <c r="J224" s="114"/>
      <c r="K224" s="382" t="str">
        <f>IF(J224="","",IF(VLOOKUP(J224,'G-3 Multipliers'!$L$3:$N$6,2,FALSE)=0,"Spatial Data Missing ⚠",VLOOKUP(J224,'G-3 Multipliers'!$L$3:$N$6,2,FALSE)))</f>
        <v/>
      </c>
      <c r="L224" s="368" t="str">
        <f>IF(J224="","",IF(VLOOKUP(J224,'G-3 Multipliers'!$L$3:$N$6,3,FALSE)=0,"Spatial Data Missing ⚠",VLOOKUP(J224,'G-3 Multipliers'!$L$3:$N$6,3,FALSE)))</f>
        <v/>
      </c>
      <c r="M224" s="362" t="str">
        <f>IF(OR(D224="",H224=""),"",(INDEX('G-6 Hedgerow Data'!$E$3:$I$15,MATCH(D224,'G-6 Hedgerow Data'!$B$3:$B$15,0),MATCH(H224,'G-6 Hedgerow Data'!$E$2:$I$2,0))))</f>
        <v/>
      </c>
      <c r="N224" s="159"/>
      <c r="O224" s="159"/>
      <c r="P224" s="370" t="str">
        <f t="shared" si="19"/>
        <v/>
      </c>
      <c r="Q224" s="383" t="str">
        <f t="shared" si="20"/>
        <v/>
      </c>
      <c r="R224" s="384" t="str">
        <f t="shared" si="18"/>
        <v/>
      </c>
      <c r="S224" s="398" t="str">
        <f>IF(D224="","",VLOOKUP(D224,'G-6 Hedgerow Data'!$B$3:$AG$15,31,FALSE))</f>
        <v/>
      </c>
      <c r="T224" s="370" t="str">
        <f t="shared" si="21"/>
        <v/>
      </c>
      <c r="U224" s="370" t="str">
        <f t="shared" si="22"/>
        <v/>
      </c>
      <c r="V224" s="386" t="str">
        <f>IF(D224="","",VLOOKUP(S224,'G-3 Multipliers'!$P$3:$Q$6,2,FALSE))</f>
        <v/>
      </c>
      <c r="W224" s="390" t="str">
        <f t="shared" si="23"/>
        <v/>
      </c>
      <c r="X224" s="117"/>
      <c r="Y224" s="118"/>
      <c r="Z224" s="120"/>
      <c r="AG224" s="30" t="str">
        <f>IFERROR(INDEX('G-6 Hedgerow Data'!$BJ$3:$BJ$15,MATCH(D224,'G-6 Hedgerow Data'!$B$3:$B$15,0)),"")</f>
        <v/>
      </c>
    </row>
    <row r="225" spans="2:33" ht="15">
      <c r="B225" s="110">
        <v>214</v>
      </c>
      <c r="C225" s="167"/>
      <c r="D225" s="159"/>
      <c r="E225" s="139"/>
      <c r="F225" s="411" t="str">
        <f>IF(D225="","",VLOOKUP(D225,'G-6 Hedgerow Data'!$B$2:$AG$15,2,FALSE))</f>
        <v/>
      </c>
      <c r="G225" s="363" t="str">
        <f>IF(D225="","",VLOOKUP(D225,'G-6 Hedgerow Data'!$B$2:$AG$15,3,FALSE))</f>
        <v/>
      </c>
      <c r="H225" s="114"/>
      <c r="I225" s="363" t="str">
        <f>IFERROR(VLOOKUP(H225,'G-1 All Habitats'!$Z$2:$AA$9,2,FALSE),"")</f>
        <v/>
      </c>
      <c r="J225" s="114"/>
      <c r="K225" s="382" t="str">
        <f>IF(J225="","",IF(VLOOKUP(J225,'G-3 Multipliers'!$L$3:$N$6,2,FALSE)=0,"Spatial Data Missing ⚠",VLOOKUP(J225,'G-3 Multipliers'!$L$3:$N$6,2,FALSE)))</f>
        <v/>
      </c>
      <c r="L225" s="368" t="str">
        <f>IF(J225="","",IF(VLOOKUP(J225,'G-3 Multipliers'!$L$3:$N$6,3,FALSE)=0,"Spatial Data Missing ⚠",VLOOKUP(J225,'G-3 Multipliers'!$L$3:$N$6,3,FALSE)))</f>
        <v/>
      </c>
      <c r="M225" s="362" t="str">
        <f>IF(OR(D225="",H225=""),"",(INDEX('G-6 Hedgerow Data'!$E$3:$I$15,MATCH(D225,'G-6 Hedgerow Data'!$B$3:$B$15,0),MATCH(H225,'G-6 Hedgerow Data'!$E$2:$I$2,0))))</f>
        <v/>
      </c>
      <c r="N225" s="159"/>
      <c r="O225" s="159"/>
      <c r="P225" s="370" t="str">
        <f t="shared" si="19"/>
        <v/>
      </c>
      <c r="Q225" s="383" t="str">
        <f t="shared" si="20"/>
        <v/>
      </c>
      <c r="R225" s="384" t="str">
        <f t="shared" si="18"/>
        <v/>
      </c>
      <c r="S225" s="398" t="str">
        <f>IF(D225="","",VLOOKUP(D225,'G-6 Hedgerow Data'!$B$3:$AG$15,31,FALSE))</f>
        <v/>
      </c>
      <c r="T225" s="370" t="str">
        <f t="shared" si="21"/>
        <v/>
      </c>
      <c r="U225" s="370" t="str">
        <f t="shared" si="22"/>
        <v/>
      </c>
      <c r="V225" s="386" t="str">
        <f>IF(D225="","",VLOOKUP(S225,'G-3 Multipliers'!$P$3:$Q$6,2,FALSE))</f>
        <v/>
      </c>
      <c r="W225" s="390" t="str">
        <f t="shared" si="23"/>
        <v/>
      </c>
      <c r="X225" s="117"/>
      <c r="Y225" s="118"/>
      <c r="Z225" s="120"/>
      <c r="AG225" s="30" t="str">
        <f>IFERROR(INDEX('G-6 Hedgerow Data'!$BJ$3:$BJ$15,MATCH(D225,'G-6 Hedgerow Data'!$B$3:$B$15,0)),"")</f>
        <v/>
      </c>
    </row>
    <row r="226" spans="2:33" ht="15">
      <c r="B226" s="110">
        <v>215</v>
      </c>
      <c r="C226" s="167"/>
      <c r="D226" s="159"/>
      <c r="E226" s="139"/>
      <c r="F226" s="411" t="str">
        <f>IF(D226="","",VLOOKUP(D226,'G-6 Hedgerow Data'!$B$2:$AG$15,2,FALSE))</f>
        <v/>
      </c>
      <c r="G226" s="363" t="str">
        <f>IF(D226="","",VLOOKUP(D226,'G-6 Hedgerow Data'!$B$2:$AG$15,3,FALSE))</f>
        <v/>
      </c>
      <c r="H226" s="114"/>
      <c r="I226" s="363" t="str">
        <f>IFERROR(VLOOKUP(H226,'G-1 All Habitats'!$Z$2:$AA$9,2,FALSE),"")</f>
        <v/>
      </c>
      <c r="J226" s="114"/>
      <c r="K226" s="382" t="str">
        <f>IF(J226="","",IF(VLOOKUP(J226,'G-3 Multipliers'!$L$3:$N$6,2,FALSE)=0,"Spatial Data Missing ⚠",VLOOKUP(J226,'G-3 Multipliers'!$L$3:$N$6,2,FALSE)))</f>
        <v/>
      </c>
      <c r="L226" s="368" t="str">
        <f>IF(J226="","",IF(VLOOKUP(J226,'G-3 Multipliers'!$L$3:$N$6,3,FALSE)=0,"Spatial Data Missing ⚠",VLOOKUP(J226,'G-3 Multipliers'!$L$3:$N$6,3,FALSE)))</f>
        <v/>
      </c>
      <c r="M226" s="362" t="str">
        <f>IF(OR(D226="",H226=""),"",(INDEX('G-6 Hedgerow Data'!$E$3:$I$15,MATCH(D226,'G-6 Hedgerow Data'!$B$3:$B$15,0),MATCH(H226,'G-6 Hedgerow Data'!$E$2:$I$2,0))))</f>
        <v/>
      </c>
      <c r="N226" s="159"/>
      <c r="O226" s="159"/>
      <c r="P226" s="370" t="str">
        <f t="shared" si="19"/>
        <v/>
      </c>
      <c r="Q226" s="383" t="str">
        <f t="shared" si="20"/>
        <v/>
      </c>
      <c r="R226" s="384" t="str">
        <f t="shared" si="18"/>
        <v/>
      </c>
      <c r="S226" s="398" t="str">
        <f>IF(D226="","",VLOOKUP(D226,'G-6 Hedgerow Data'!$B$3:$AG$15,31,FALSE))</f>
        <v/>
      </c>
      <c r="T226" s="370" t="str">
        <f t="shared" si="21"/>
        <v/>
      </c>
      <c r="U226" s="370" t="str">
        <f t="shared" si="22"/>
        <v/>
      </c>
      <c r="V226" s="386" t="str">
        <f>IF(D226="","",VLOOKUP(S226,'G-3 Multipliers'!$P$3:$Q$6,2,FALSE))</f>
        <v/>
      </c>
      <c r="W226" s="390" t="str">
        <f t="shared" si="23"/>
        <v/>
      </c>
      <c r="X226" s="117"/>
      <c r="Y226" s="118"/>
      <c r="Z226" s="120"/>
      <c r="AG226" s="30" t="str">
        <f>IFERROR(INDEX('G-6 Hedgerow Data'!$BJ$3:$BJ$15,MATCH(D226,'G-6 Hedgerow Data'!$B$3:$B$15,0)),"")</f>
        <v/>
      </c>
    </row>
    <row r="227" spans="2:33" ht="15">
      <c r="B227" s="110">
        <v>216</v>
      </c>
      <c r="C227" s="167"/>
      <c r="D227" s="159"/>
      <c r="E227" s="139"/>
      <c r="F227" s="411" t="str">
        <f>IF(D227="","",VLOOKUP(D227,'G-6 Hedgerow Data'!$B$2:$AG$15,2,FALSE))</f>
        <v/>
      </c>
      <c r="G227" s="363" t="str">
        <f>IF(D227="","",VLOOKUP(D227,'G-6 Hedgerow Data'!$B$2:$AG$15,3,FALSE))</f>
        <v/>
      </c>
      <c r="H227" s="114"/>
      <c r="I227" s="363" t="str">
        <f>IFERROR(VLOOKUP(H227,'G-1 All Habitats'!$Z$2:$AA$9,2,FALSE),"")</f>
        <v/>
      </c>
      <c r="J227" s="114"/>
      <c r="K227" s="382" t="str">
        <f>IF(J227="","",IF(VLOOKUP(J227,'G-3 Multipliers'!$L$3:$N$6,2,FALSE)=0,"Spatial Data Missing ⚠",VLOOKUP(J227,'G-3 Multipliers'!$L$3:$N$6,2,FALSE)))</f>
        <v/>
      </c>
      <c r="L227" s="368" t="str">
        <f>IF(J227="","",IF(VLOOKUP(J227,'G-3 Multipliers'!$L$3:$N$6,3,FALSE)=0,"Spatial Data Missing ⚠",VLOOKUP(J227,'G-3 Multipliers'!$L$3:$N$6,3,FALSE)))</f>
        <v/>
      </c>
      <c r="M227" s="362" t="str">
        <f>IF(OR(D227="",H227=""),"",(INDEX('G-6 Hedgerow Data'!$E$3:$I$15,MATCH(D227,'G-6 Hedgerow Data'!$B$3:$B$15,0),MATCH(H227,'G-6 Hedgerow Data'!$E$2:$I$2,0))))</f>
        <v/>
      </c>
      <c r="N227" s="159"/>
      <c r="O227" s="159"/>
      <c r="P227" s="370" t="str">
        <f t="shared" si="19"/>
        <v/>
      </c>
      <c r="Q227" s="383" t="str">
        <f t="shared" si="20"/>
        <v/>
      </c>
      <c r="R227" s="384" t="str">
        <f t="shared" si="18"/>
        <v/>
      </c>
      <c r="S227" s="398" t="str">
        <f>IF(D227="","",VLOOKUP(D227,'G-6 Hedgerow Data'!$B$3:$AG$15,31,FALSE))</f>
        <v/>
      </c>
      <c r="T227" s="370" t="str">
        <f t="shared" si="21"/>
        <v/>
      </c>
      <c r="U227" s="370" t="str">
        <f t="shared" si="22"/>
        <v/>
      </c>
      <c r="V227" s="386" t="str">
        <f>IF(D227="","",VLOOKUP(S227,'G-3 Multipliers'!$P$3:$Q$6,2,FALSE))</f>
        <v/>
      </c>
      <c r="W227" s="390" t="str">
        <f t="shared" si="23"/>
        <v/>
      </c>
      <c r="X227" s="117"/>
      <c r="Y227" s="118"/>
      <c r="Z227" s="120"/>
      <c r="AG227" s="30" t="str">
        <f>IFERROR(INDEX('G-6 Hedgerow Data'!$BJ$3:$BJ$15,MATCH(D227,'G-6 Hedgerow Data'!$B$3:$B$15,0)),"")</f>
        <v/>
      </c>
    </row>
    <row r="228" spans="2:33" ht="15">
      <c r="B228" s="110">
        <v>217</v>
      </c>
      <c r="C228" s="167"/>
      <c r="D228" s="159"/>
      <c r="E228" s="139"/>
      <c r="F228" s="411" t="str">
        <f>IF(D228="","",VLOOKUP(D228,'G-6 Hedgerow Data'!$B$2:$AG$15,2,FALSE))</f>
        <v/>
      </c>
      <c r="G228" s="363" t="str">
        <f>IF(D228="","",VLOOKUP(D228,'G-6 Hedgerow Data'!$B$2:$AG$15,3,FALSE))</f>
        <v/>
      </c>
      <c r="H228" s="114"/>
      <c r="I228" s="363" t="str">
        <f>IFERROR(VLOOKUP(H228,'G-1 All Habitats'!$Z$2:$AA$9,2,FALSE),"")</f>
        <v/>
      </c>
      <c r="J228" s="114"/>
      <c r="K228" s="382" t="str">
        <f>IF(J228="","",IF(VLOOKUP(J228,'G-3 Multipliers'!$L$3:$N$6,2,FALSE)=0,"Spatial Data Missing ⚠",VLOOKUP(J228,'G-3 Multipliers'!$L$3:$N$6,2,FALSE)))</f>
        <v/>
      </c>
      <c r="L228" s="368" t="str">
        <f>IF(J228="","",IF(VLOOKUP(J228,'G-3 Multipliers'!$L$3:$N$6,3,FALSE)=0,"Spatial Data Missing ⚠",VLOOKUP(J228,'G-3 Multipliers'!$L$3:$N$6,3,FALSE)))</f>
        <v/>
      </c>
      <c r="M228" s="362" t="str">
        <f>IF(OR(D228="",H228=""),"",(INDEX('G-6 Hedgerow Data'!$E$3:$I$15,MATCH(D228,'G-6 Hedgerow Data'!$B$3:$B$15,0),MATCH(H228,'G-6 Hedgerow Data'!$E$2:$I$2,0))))</f>
        <v/>
      </c>
      <c r="N228" s="159"/>
      <c r="O228" s="159"/>
      <c r="P228" s="370" t="str">
        <f t="shared" si="19"/>
        <v/>
      </c>
      <c r="Q228" s="383" t="str">
        <f t="shared" si="20"/>
        <v/>
      </c>
      <c r="R228" s="384" t="str">
        <f t="shared" si="18"/>
        <v/>
      </c>
      <c r="S228" s="398" t="str">
        <f>IF(D228="","",VLOOKUP(D228,'G-6 Hedgerow Data'!$B$3:$AG$15,31,FALSE))</f>
        <v/>
      </c>
      <c r="T228" s="370" t="str">
        <f t="shared" si="21"/>
        <v/>
      </c>
      <c r="U228" s="370" t="str">
        <f t="shared" si="22"/>
        <v/>
      </c>
      <c r="V228" s="386" t="str">
        <f>IF(D228="","",VLOOKUP(S228,'G-3 Multipliers'!$P$3:$Q$6,2,FALSE))</f>
        <v/>
      </c>
      <c r="W228" s="390" t="str">
        <f t="shared" si="23"/>
        <v/>
      </c>
      <c r="X228" s="117"/>
      <c r="Y228" s="118"/>
      <c r="Z228" s="120"/>
      <c r="AG228" s="30" t="str">
        <f>IFERROR(INDEX('G-6 Hedgerow Data'!$BJ$3:$BJ$15,MATCH(D228,'G-6 Hedgerow Data'!$B$3:$B$15,0)),"")</f>
        <v/>
      </c>
    </row>
    <row r="229" spans="2:33" ht="15">
      <c r="B229" s="110">
        <v>218</v>
      </c>
      <c r="C229" s="167"/>
      <c r="D229" s="159"/>
      <c r="E229" s="139"/>
      <c r="F229" s="411" t="str">
        <f>IF(D229="","",VLOOKUP(D229,'G-6 Hedgerow Data'!$B$2:$AG$15,2,FALSE))</f>
        <v/>
      </c>
      <c r="G229" s="363" t="str">
        <f>IF(D229="","",VLOOKUP(D229,'G-6 Hedgerow Data'!$B$2:$AG$15,3,FALSE))</f>
        <v/>
      </c>
      <c r="H229" s="114"/>
      <c r="I229" s="363" t="str">
        <f>IFERROR(VLOOKUP(H229,'G-1 All Habitats'!$Z$2:$AA$9,2,FALSE),"")</f>
        <v/>
      </c>
      <c r="J229" s="114"/>
      <c r="K229" s="382" t="str">
        <f>IF(J229="","",IF(VLOOKUP(J229,'G-3 Multipliers'!$L$3:$N$6,2,FALSE)=0,"Spatial Data Missing ⚠",VLOOKUP(J229,'G-3 Multipliers'!$L$3:$N$6,2,FALSE)))</f>
        <v/>
      </c>
      <c r="L229" s="368" t="str">
        <f>IF(J229="","",IF(VLOOKUP(J229,'G-3 Multipliers'!$L$3:$N$6,3,FALSE)=0,"Spatial Data Missing ⚠",VLOOKUP(J229,'G-3 Multipliers'!$L$3:$N$6,3,FALSE)))</f>
        <v/>
      </c>
      <c r="M229" s="362" t="str">
        <f>IF(OR(D229="",H229=""),"",(INDEX('G-6 Hedgerow Data'!$E$3:$I$15,MATCH(D229,'G-6 Hedgerow Data'!$B$3:$B$15,0),MATCH(H229,'G-6 Hedgerow Data'!$E$2:$I$2,0))))</f>
        <v/>
      </c>
      <c r="N229" s="159"/>
      <c r="O229" s="159"/>
      <c r="P229" s="370" t="str">
        <f t="shared" si="19"/>
        <v/>
      </c>
      <c r="Q229" s="383" t="str">
        <f t="shared" si="20"/>
        <v/>
      </c>
      <c r="R229" s="384" t="str">
        <f t="shared" si="18"/>
        <v/>
      </c>
      <c r="S229" s="398" t="str">
        <f>IF(D229="","",VLOOKUP(D229,'G-6 Hedgerow Data'!$B$3:$AG$15,31,FALSE))</f>
        <v/>
      </c>
      <c r="T229" s="370" t="str">
        <f t="shared" si="21"/>
        <v/>
      </c>
      <c r="U229" s="370" t="str">
        <f t="shared" si="22"/>
        <v/>
      </c>
      <c r="V229" s="386" t="str">
        <f>IF(D229="","",VLOOKUP(S229,'G-3 Multipliers'!$P$3:$Q$6,2,FALSE))</f>
        <v/>
      </c>
      <c r="W229" s="390" t="str">
        <f t="shared" si="23"/>
        <v/>
      </c>
      <c r="X229" s="117"/>
      <c r="Y229" s="118"/>
      <c r="Z229" s="120"/>
      <c r="AG229" s="30" t="str">
        <f>IFERROR(INDEX('G-6 Hedgerow Data'!$BJ$3:$BJ$15,MATCH(D229,'G-6 Hedgerow Data'!$B$3:$B$15,0)),"")</f>
        <v/>
      </c>
    </row>
    <row r="230" spans="2:33" ht="15">
      <c r="B230" s="110">
        <v>219</v>
      </c>
      <c r="C230" s="167"/>
      <c r="D230" s="159"/>
      <c r="E230" s="139"/>
      <c r="F230" s="411" t="str">
        <f>IF(D230="","",VLOOKUP(D230,'G-6 Hedgerow Data'!$B$2:$AG$15,2,FALSE))</f>
        <v/>
      </c>
      <c r="G230" s="363" t="str">
        <f>IF(D230="","",VLOOKUP(D230,'G-6 Hedgerow Data'!$B$2:$AG$15,3,FALSE))</f>
        <v/>
      </c>
      <c r="H230" s="114"/>
      <c r="I230" s="363" t="str">
        <f>IFERROR(VLOOKUP(H230,'G-1 All Habitats'!$Z$2:$AA$9,2,FALSE),"")</f>
        <v/>
      </c>
      <c r="J230" s="114"/>
      <c r="K230" s="382" t="str">
        <f>IF(J230="","",IF(VLOOKUP(J230,'G-3 Multipliers'!$L$3:$N$6,2,FALSE)=0,"Spatial Data Missing ⚠",VLOOKUP(J230,'G-3 Multipliers'!$L$3:$N$6,2,FALSE)))</f>
        <v/>
      </c>
      <c r="L230" s="368" t="str">
        <f>IF(J230="","",IF(VLOOKUP(J230,'G-3 Multipliers'!$L$3:$N$6,3,FALSE)=0,"Spatial Data Missing ⚠",VLOOKUP(J230,'G-3 Multipliers'!$L$3:$N$6,3,FALSE)))</f>
        <v/>
      </c>
      <c r="M230" s="362" t="str">
        <f>IF(OR(D230="",H230=""),"",(INDEX('G-6 Hedgerow Data'!$E$3:$I$15,MATCH(D230,'G-6 Hedgerow Data'!$B$3:$B$15,0),MATCH(H230,'G-6 Hedgerow Data'!$E$2:$I$2,0))))</f>
        <v/>
      </c>
      <c r="N230" s="159"/>
      <c r="O230" s="159"/>
      <c r="P230" s="370" t="str">
        <f t="shared" si="19"/>
        <v/>
      </c>
      <c r="Q230" s="383" t="str">
        <f t="shared" si="20"/>
        <v/>
      </c>
      <c r="R230" s="384" t="str">
        <f t="shared" si="18"/>
        <v/>
      </c>
      <c r="S230" s="398" t="str">
        <f>IF(D230="","",VLOOKUP(D230,'G-6 Hedgerow Data'!$B$3:$AG$15,31,FALSE))</f>
        <v/>
      </c>
      <c r="T230" s="370" t="str">
        <f t="shared" si="21"/>
        <v/>
      </c>
      <c r="U230" s="370" t="str">
        <f t="shared" si="22"/>
        <v/>
      </c>
      <c r="V230" s="386" t="str">
        <f>IF(D230="","",VLOOKUP(S230,'G-3 Multipliers'!$P$3:$Q$6,2,FALSE))</f>
        <v/>
      </c>
      <c r="W230" s="390" t="str">
        <f t="shared" si="23"/>
        <v/>
      </c>
      <c r="X230" s="117"/>
      <c r="Y230" s="118"/>
      <c r="Z230" s="120"/>
      <c r="AG230" s="30" t="str">
        <f>IFERROR(INDEX('G-6 Hedgerow Data'!$BJ$3:$BJ$15,MATCH(D230,'G-6 Hedgerow Data'!$B$3:$B$15,0)),"")</f>
        <v/>
      </c>
    </row>
    <row r="231" spans="2:33" ht="15">
      <c r="B231" s="110">
        <v>220</v>
      </c>
      <c r="C231" s="167"/>
      <c r="D231" s="159"/>
      <c r="E231" s="139"/>
      <c r="F231" s="411" t="str">
        <f>IF(D231="","",VLOOKUP(D231,'G-6 Hedgerow Data'!$B$2:$AG$15,2,FALSE))</f>
        <v/>
      </c>
      <c r="G231" s="363" t="str">
        <f>IF(D231="","",VLOOKUP(D231,'G-6 Hedgerow Data'!$B$2:$AG$15,3,FALSE))</f>
        <v/>
      </c>
      <c r="H231" s="114"/>
      <c r="I231" s="363" t="str">
        <f>IFERROR(VLOOKUP(H231,'G-1 All Habitats'!$Z$2:$AA$9,2,FALSE),"")</f>
        <v/>
      </c>
      <c r="J231" s="114"/>
      <c r="K231" s="382" t="str">
        <f>IF(J231="","",IF(VLOOKUP(J231,'G-3 Multipliers'!$L$3:$N$6,2,FALSE)=0,"Spatial Data Missing ⚠",VLOOKUP(J231,'G-3 Multipliers'!$L$3:$N$6,2,FALSE)))</f>
        <v/>
      </c>
      <c r="L231" s="368" t="str">
        <f>IF(J231="","",IF(VLOOKUP(J231,'G-3 Multipliers'!$L$3:$N$6,3,FALSE)=0,"Spatial Data Missing ⚠",VLOOKUP(J231,'G-3 Multipliers'!$L$3:$N$6,3,FALSE)))</f>
        <v/>
      </c>
      <c r="M231" s="362" t="str">
        <f>IF(OR(D231="",H231=""),"",(INDEX('G-6 Hedgerow Data'!$E$3:$I$15,MATCH(D231,'G-6 Hedgerow Data'!$B$3:$B$15,0),MATCH(H231,'G-6 Hedgerow Data'!$E$2:$I$2,0))))</f>
        <v/>
      </c>
      <c r="N231" s="159"/>
      <c r="O231" s="159"/>
      <c r="P231" s="370" t="str">
        <f t="shared" si="19"/>
        <v/>
      </c>
      <c r="Q231" s="383" t="str">
        <f t="shared" si="20"/>
        <v/>
      </c>
      <c r="R231" s="384" t="str">
        <f t="shared" si="18"/>
        <v/>
      </c>
      <c r="S231" s="398" t="str">
        <f>IF(D231="","",VLOOKUP(D231,'G-6 Hedgerow Data'!$B$3:$AG$15,31,FALSE))</f>
        <v/>
      </c>
      <c r="T231" s="370" t="str">
        <f t="shared" si="21"/>
        <v/>
      </c>
      <c r="U231" s="370" t="str">
        <f t="shared" si="22"/>
        <v/>
      </c>
      <c r="V231" s="386" t="str">
        <f>IF(D231="","",VLOOKUP(S231,'G-3 Multipliers'!$P$3:$Q$6,2,FALSE))</f>
        <v/>
      </c>
      <c r="W231" s="390" t="str">
        <f t="shared" si="23"/>
        <v/>
      </c>
      <c r="X231" s="117"/>
      <c r="Y231" s="118"/>
      <c r="Z231" s="120"/>
      <c r="AG231" s="30" t="str">
        <f>IFERROR(INDEX('G-6 Hedgerow Data'!$BJ$3:$BJ$15,MATCH(D231,'G-6 Hedgerow Data'!$B$3:$B$15,0)),"")</f>
        <v/>
      </c>
    </row>
    <row r="232" spans="2:33" ht="15">
      <c r="B232" s="110">
        <v>221</v>
      </c>
      <c r="C232" s="167"/>
      <c r="D232" s="159"/>
      <c r="E232" s="139"/>
      <c r="F232" s="411" t="str">
        <f>IF(D232="","",VLOOKUP(D232,'G-6 Hedgerow Data'!$B$2:$AG$15,2,FALSE))</f>
        <v/>
      </c>
      <c r="G232" s="363" t="str">
        <f>IF(D232="","",VLOOKUP(D232,'G-6 Hedgerow Data'!$B$2:$AG$15,3,FALSE))</f>
        <v/>
      </c>
      <c r="H232" s="114"/>
      <c r="I232" s="363" t="str">
        <f>IFERROR(VLOOKUP(H232,'G-1 All Habitats'!$Z$2:$AA$9,2,FALSE),"")</f>
        <v/>
      </c>
      <c r="J232" s="114"/>
      <c r="K232" s="382" t="str">
        <f>IF(J232="","",IF(VLOOKUP(J232,'G-3 Multipliers'!$L$3:$N$6,2,FALSE)=0,"Spatial Data Missing ⚠",VLOOKUP(J232,'G-3 Multipliers'!$L$3:$N$6,2,FALSE)))</f>
        <v/>
      </c>
      <c r="L232" s="368" t="str">
        <f>IF(J232="","",IF(VLOOKUP(J232,'G-3 Multipliers'!$L$3:$N$6,3,FALSE)=0,"Spatial Data Missing ⚠",VLOOKUP(J232,'G-3 Multipliers'!$L$3:$N$6,3,FALSE)))</f>
        <v/>
      </c>
      <c r="M232" s="362" t="str">
        <f>IF(OR(D232="",H232=""),"",(INDEX('G-6 Hedgerow Data'!$E$3:$I$15,MATCH(D232,'G-6 Hedgerow Data'!$B$3:$B$15,0),MATCH(H232,'G-6 Hedgerow Data'!$E$2:$I$2,0))))</f>
        <v/>
      </c>
      <c r="N232" s="159"/>
      <c r="O232" s="159"/>
      <c r="P232" s="370" t="str">
        <f t="shared" si="19"/>
        <v/>
      </c>
      <c r="Q232" s="383" t="str">
        <f t="shared" si="20"/>
        <v/>
      </c>
      <c r="R232" s="384" t="str">
        <f t="shared" si="18"/>
        <v/>
      </c>
      <c r="S232" s="398" t="str">
        <f>IF(D232="","",VLOOKUP(D232,'G-6 Hedgerow Data'!$B$3:$AG$15,31,FALSE))</f>
        <v/>
      </c>
      <c r="T232" s="370" t="str">
        <f t="shared" si="21"/>
        <v/>
      </c>
      <c r="U232" s="370" t="str">
        <f t="shared" si="22"/>
        <v/>
      </c>
      <c r="V232" s="386" t="str">
        <f>IF(D232="","",VLOOKUP(S232,'G-3 Multipliers'!$P$3:$Q$6,2,FALSE))</f>
        <v/>
      </c>
      <c r="W232" s="390" t="str">
        <f t="shared" si="23"/>
        <v/>
      </c>
      <c r="X232" s="117"/>
      <c r="Y232" s="118"/>
      <c r="Z232" s="120"/>
      <c r="AG232" s="30" t="str">
        <f>IFERROR(INDEX('G-6 Hedgerow Data'!$BJ$3:$BJ$15,MATCH(D232,'G-6 Hedgerow Data'!$B$3:$B$15,0)),"")</f>
        <v/>
      </c>
    </row>
    <row r="233" spans="2:33" ht="15">
      <c r="B233" s="110">
        <v>222</v>
      </c>
      <c r="C233" s="167"/>
      <c r="D233" s="159"/>
      <c r="E233" s="139"/>
      <c r="F233" s="411" t="str">
        <f>IF(D233="","",VLOOKUP(D233,'G-6 Hedgerow Data'!$B$2:$AG$15,2,FALSE))</f>
        <v/>
      </c>
      <c r="G233" s="363" t="str">
        <f>IF(D233="","",VLOOKUP(D233,'G-6 Hedgerow Data'!$B$2:$AG$15,3,FALSE))</f>
        <v/>
      </c>
      <c r="H233" s="114"/>
      <c r="I233" s="363" t="str">
        <f>IFERROR(VLOOKUP(H233,'G-1 All Habitats'!$Z$2:$AA$9,2,FALSE),"")</f>
        <v/>
      </c>
      <c r="J233" s="114"/>
      <c r="K233" s="382" t="str">
        <f>IF(J233="","",IF(VLOOKUP(J233,'G-3 Multipliers'!$L$3:$N$6,2,FALSE)=0,"Spatial Data Missing ⚠",VLOOKUP(J233,'G-3 Multipliers'!$L$3:$N$6,2,FALSE)))</f>
        <v/>
      </c>
      <c r="L233" s="368" t="str">
        <f>IF(J233="","",IF(VLOOKUP(J233,'G-3 Multipliers'!$L$3:$N$6,3,FALSE)=0,"Spatial Data Missing ⚠",VLOOKUP(J233,'G-3 Multipliers'!$L$3:$N$6,3,FALSE)))</f>
        <v/>
      </c>
      <c r="M233" s="362" t="str">
        <f>IF(OR(D233="",H233=""),"",(INDEX('G-6 Hedgerow Data'!$E$3:$I$15,MATCH(D233,'G-6 Hedgerow Data'!$B$3:$B$15,0),MATCH(H233,'G-6 Hedgerow Data'!$E$2:$I$2,0))))</f>
        <v/>
      </c>
      <c r="N233" s="159"/>
      <c r="O233" s="159"/>
      <c r="P233" s="370" t="str">
        <f t="shared" si="19"/>
        <v/>
      </c>
      <c r="Q233" s="383" t="str">
        <f t="shared" si="20"/>
        <v/>
      </c>
      <c r="R233" s="384" t="str">
        <f t="shared" si="18"/>
        <v/>
      </c>
      <c r="S233" s="398" t="str">
        <f>IF(D233="","",VLOOKUP(D233,'G-6 Hedgerow Data'!$B$3:$AG$15,31,FALSE))</f>
        <v/>
      </c>
      <c r="T233" s="370" t="str">
        <f t="shared" si="21"/>
        <v/>
      </c>
      <c r="U233" s="370" t="str">
        <f t="shared" si="22"/>
        <v/>
      </c>
      <c r="V233" s="386" t="str">
        <f>IF(D233="","",VLOOKUP(S233,'G-3 Multipliers'!$P$3:$Q$6,2,FALSE))</f>
        <v/>
      </c>
      <c r="W233" s="390" t="str">
        <f t="shared" si="23"/>
        <v/>
      </c>
      <c r="X233" s="117"/>
      <c r="Y233" s="118"/>
      <c r="Z233" s="120"/>
      <c r="AG233" s="30" t="str">
        <f>IFERROR(INDEX('G-6 Hedgerow Data'!$BJ$3:$BJ$15,MATCH(D233,'G-6 Hedgerow Data'!$B$3:$B$15,0)),"")</f>
        <v/>
      </c>
    </row>
    <row r="234" spans="2:33" ht="15">
      <c r="B234" s="110">
        <v>223</v>
      </c>
      <c r="C234" s="167"/>
      <c r="D234" s="159"/>
      <c r="E234" s="139"/>
      <c r="F234" s="411" t="str">
        <f>IF(D234="","",VLOOKUP(D234,'G-6 Hedgerow Data'!$B$2:$AG$15,2,FALSE))</f>
        <v/>
      </c>
      <c r="G234" s="363" t="str">
        <f>IF(D234="","",VLOOKUP(D234,'G-6 Hedgerow Data'!$B$2:$AG$15,3,FALSE))</f>
        <v/>
      </c>
      <c r="H234" s="114"/>
      <c r="I234" s="363" t="str">
        <f>IFERROR(VLOOKUP(H234,'G-1 All Habitats'!$Z$2:$AA$9,2,FALSE),"")</f>
        <v/>
      </c>
      <c r="J234" s="114"/>
      <c r="K234" s="382" t="str">
        <f>IF(J234="","",IF(VLOOKUP(J234,'G-3 Multipliers'!$L$3:$N$6,2,FALSE)=0,"Spatial Data Missing ⚠",VLOOKUP(J234,'G-3 Multipliers'!$L$3:$N$6,2,FALSE)))</f>
        <v/>
      </c>
      <c r="L234" s="368" t="str">
        <f>IF(J234="","",IF(VLOOKUP(J234,'G-3 Multipliers'!$L$3:$N$6,3,FALSE)=0,"Spatial Data Missing ⚠",VLOOKUP(J234,'G-3 Multipliers'!$L$3:$N$6,3,FALSE)))</f>
        <v/>
      </c>
      <c r="M234" s="362" t="str">
        <f>IF(OR(D234="",H234=""),"",(INDEX('G-6 Hedgerow Data'!$E$3:$I$15,MATCH(D234,'G-6 Hedgerow Data'!$B$3:$B$15,0),MATCH(H234,'G-6 Hedgerow Data'!$E$2:$I$2,0))))</f>
        <v/>
      </c>
      <c r="N234" s="159"/>
      <c r="O234" s="159"/>
      <c r="P234" s="370" t="str">
        <f t="shared" si="19"/>
        <v/>
      </c>
      <c r="Q234" s="383" t="str">
        <f t="shared" si="20"/>
        <v/>
      </c>
      <c r="R234" s="384" t="str">
        <f t="shared" si="18"/>
        <v/>
      </c>
      <c r="S234" s="398" t="str">
        <f>IF(D234="","",VLOOKUP(D234,'G-6 Hedgerow Data'!$B$3:$AG$15,31,FALSE))</f>
        <v/>
      </c>
      <c r="T234" s="370" t="str">
        <f t="shared" si="21"/>
        <v/>
      </c>
      <c r="U234" s="370" t="str">
        <f t="shared" si="22"/>
        <v/>
      </c>
      <c r="V234" s="386" t="str">
        <f>IF(D234="","",VLOOKUP(S234,'G-3 Multipliers'!$P$3:$Q$6,2,FALSE))</f>
        <v/>
      </c>
      <c r="W234" s="390" t="str">
        <f t="shared" si="23"/>
        <v/>
      </c>
      <c r="X234" s="117"/>
      <c r="Y234" s="118"/>
      <c r="Z234" s="120"/>
      <c r="AG234" s="30" t="str">
        <f>IFERROR(INDEX('G-6 Hedgerow Data'!$BJ$3:$BJ$15,MATCH(D234,'G-6 Hedgerow Data'!$B$3:$B$15,0)),"")</f>
        <v/>
      </c>
    </row>
    <row r="235" spans="2:33" ht="15">
      <c r="B235" s="110">
        <v>224</v>
      </c>
      <c r="C235" s="167"/>
      <c r="D235" s="159"/>
      <c r="E235" s="139"/>
      <c r="F235" s="411" t="str">
        <f>IF(D235="","",VLOOKUP(D235,'G-6 Hedgerow Data'!$B$2:$AG$15,2,FALSE))</f>
        <v/>
      </c>
      <c r="G235" s="363" t="str">
        <f>IF(D235="","",VLOOKUP(D235,'G-6 Hedgerow Data'!$B$2:$AG$15,3,FALSE))</f>
        <v/>
      </c>
      <c r="H235" s="114"/>
      <c r="I235" s="363" t="str">
        <f>IFERROR(VLOOKUP(H235,'G-1 All Habitats'!$Z$2:$AA$9,2,FALSE),"")</f>
        <v/>
      </c>
      <c r="J235" s="114"/>
      <c r="K235" s="382" t="str">
        <f>IF(J235="","",IF(VLOOKUP(J235,'G-3 Multipliers'!$L$3:$N$6,2,FALSE)=0,"Spatial Data Missing ⚠",VLOOKUP(J235,'G-3 Multipliers'!$L$3:$N$6,2,FALSE)))</f>
        <v/>
      </c>
      <c r="L235" s="368" t="str">
        <f>IF(J235="","",IF(VLOOKUP(J235,'G-3 Multipliers'!$L$3:$N$6,3,FALSE)=0,"Spatial Data Missing ⚠",VLOOKUP(J235,'G-3 Multipliers'!$L$3:$N$6,3,FALSE)))</f>
        <v/>
      </c>
      <c r="M235" s="362" t="str">
        <f>IF(OR(D235="",H235=""),"",(INDEX('G-6 Hedgerow Data'!$E$3:$I$15,MATCH(D235,'G-6 Hedgerow Data'!$B$3:$B$15,0),MATCH(H235,'G-6 Hedgerow Data'!$E$2:$I$2,0))))</f>
        <v/>
      </c>
      <c r="N235" s="159"/>
      <c r="O235" s="159"/>
      <c r="P235" s="370" t="str">
        <f t="shared" si="19"/>
        <v/>
      </c>
      <c r="Q235" s="383" t="str">
        <f t="shared" si="20"/>
        <v/>
      </c>
      <c r="R235" s="384" t="str">
        <f t="shared" si="18"/>
        <v/>
      </c>
      <c r="S235" s="398" t="str">
        <f>IF(D235="","",VLOOKUP(D235,'G-6 Hedgerow Data'!$B$3:$AG$15,31,FALSE))</f>
        <v/>
      </c>
      <c r="T235" s="370" t="str">
        <f t="shared" si="21"/>
        <v/>
      </c>
      <c r="U235" s="370" t="str">
        <f t="shared" si="22"/>
        <v/>
      </c>
      <c r="V235" s="386" t="str">
        <f>IF(D235="","",VLOOKUP(S235,'G-3 Multipliers'!$P$3:$Q$6,2,FALSE))</f>
        <v/>
      </c>
      <c r="W235" s="390" t="str">
        <f t="shared" si="23"/>
        <v/>
      </c>
      <c r="X235" s="117"/>
      <c r="Y235" s="118"/>
      <c r="Z235" s="120"/>
      <c r="AG235" s="30" t="str">
        <f>IFERROR(INDEX('G-6 Hedgerow Data'!$BJ$3:$BJ$15,MATCH(D235,'G-6 Hedgerow Data'!$B$3:$B$15,0)),"")</f>
        <v/>
      </c>
    </row>
    <row r="236" spans="2:33" ht="15">
      <c r="B236" s="110">
        <v>225</v>
      </c>
      <c r="C236" s="167"/>
      <c r="D236" s="159"/>
      <c r="E236" s="139"/>
      <c r="F236" s="411" t="str">
        <f>IF(D236="","",VLOOKUP(D236,'G-6 Hedgerow Data'!$B$2:$AG$15,2,FALSE))</f>
        <v/>
      </c>
      <c r="G236" s="363" t="str">
        <f>IF(D236="","",VLOOKUP(D236,'G-6 Hedgerow Data'!$B$2:$AG$15,3,FALSE))</f>
        <v/>
      </c>
      <c r="H236" s="114"/>
      <c r="I236" s="363" t="str">
        <f>IFERROR(VLOOKUP(H236,'G-1 All Habitats'!$Z$2:$AA$9,2,FALSE),"")</f>
        <v/>
      </c>
      <c r="J236" s="114"/>
      <c r="K236" s="382" t="str">
        <f>IF(J236="","",IF(VLOOKUP(J236,'G-3 Multipliers'!$L$3:$N$6,2,FALSE)=0,"Spatial Data Missing ⚠",VLOOKUP(J236,'G-3 Multipliers'!$L$3:$N$6,2,FALSE)))</f>
        <v/>
      </c>
      <c r="L236" s="368" t="str">
        <f>IF(J236="","",IF(VLOOKUP(J236,'G-3 Multipliers'!$L$3:$N$6,3,FALSE)=0,"Spatial Data Missing ⚠",VLOOKUP(J236,'G-3 Multipliers'!$L$3:$N$6,3,FALSE)))</f>
        <v/>
      </c>
      <c r="M236" s="362" t="str">
        <f>IF(OR(D236="",H236=""),"",(INDEX('G-6 Hedgerow Data'!$E$3:$I$15,MATCH(D236,'G-6 Hedgerow Data'!$B$3:$B$15,0),MATCH(H236,'G-6 Hedgerow Data'!$E$2:$I$2,0))))</f>
        <v/>
      </c>
      <c r="N236" s="159"/>
      <c r="O236" s="159"/>
      <c r="P236" s="370" t="str">
        <f t="shared" si="19"/>
        <v/>
      </c>
      <c r="Q236" s="383" t="str">
        <f t="shared" si="20"/>
        <v/>
      </c>
      <c r="R236" s="384" t="str">
        <f t="shared" si="18"/>
        <v/>
      </c>
      <c r="S236" s="398" t="str">
        <f>IF(D236="","",VLOOKUP(D236,'G-6 Hedgerow Data'!$B$3:$AG$15,31,FALSE))</f>
        <v/>
      </c>
      <c r="T236" s="370" t="str">
        <f t="shared" si="21"/>
        <v/>
      </c>
      <c r="U236" s="370" t="str">
        <f t="shared" si="22"/>
        <v/>
      </c>
      <c r="V236" s="386" t="str">
        <f>IF(D236="","",VLOOKUP(S236,'G-3 Multipliers'!$P$3:$Q$6,2,FALSE))</f>
        <v/>
      </c>
      <c r="W236" s="390" t="str">
        <f t="shared" si="23"/>
        <v/>
      </c>
      <c r="X236" s="117"/>
      <c r="Y236" s="118"/>
      <c r="Z236" s="120"/>
      <c r="AG236" s="30" t="str">
        <f>IFERROR(INDEX('G-6 Hedgerow Data'!$BJ$3:$BJ$15,MATCH(D236,'G-6 Hedgerow Data'!$B$3:$B$15,0)),"")</f>
        <v/>
      </c>
    </row>
    <row r="237" spans="2:33" ht="15">
      <c r="B237" s="110">
        <v>226</v>
      </c>
      <c r="C237" s="167"/>
      <c r="D237" s="159"/>
      <c r="E237" s="139"/>
      <c r="F237" s="411" t="str">
        <f>IF(D237="","",VLOOKUP(D237,'G-6 Hedgerow Data'!$B$2:$AG$15,2,FALSE))</f>
        <v/>
      </c>
      <c r="G237" s="363" t="str">
        <f>IF(D237="","",VLOOKUP(D237,'G-6 Hedgerow Data'!$B$2:$AG$15,3,FALSE))</f>
        <v/>
      </c>
      <c r="H237" s="114"/>
      <c r="I237" s="363" t="str">
        <f>IFERROR(VLOOKUP(H237,'G-1 All Habitats'!$Z$2:$AA$9,2,FALSE),"")</f>
        <v/>
      </c>
      <c r="J237" s="114"/>
      <c r="K237" s="382" t="str">
        <f>IF(J237="","",IF(VLOOKUP(J237,'G-3 Multipliers'!$L$3:$N$6,2,FALSE)=0,"Spatial Data Missing ⚠",VLOOKUP(J237,'G-3 Multipliers'!$L$3:$N$6,2,FALSE)))</f>
        <v/>
      </c>
      <c r="L237" s="368" t="str">
        <f>IF(J237="","",IF(VLOOKUP(J237,'G-3 Multipliers'!$L$3:$N$6,3,FALSE)=0,"Spatial Data Missing ⚠",VLOOKUP(J237,'G-3 Multipliers'!$L$3:$N$6,3,FALSE)))</f>
        <v/>
      </c>
      <c r="M237" s="362" t="str">
        <f>IF(OR(D237="",H237=""),"",(INDEX('G-6 Hedgerow Data'!$E$3:$I$15,MATCH(D237,'G-6 Hedgerow Data'!$B$3:$B$15,0),MATCH(H237,'G-6 Hedgerow Data'!$E$2:$I$2,0))))</f>
        <v/>
      </c>
      <c r="N237" s="159"/>
      <c r="O237" s="159"/>
      <c r="P237" s="370" t="str">
        <f t="shared" si="19"/>
        <v/>
      </c>
      <c r="Q237" s="383" t="str">
        <f t="shared" si="20"/>
        <v/>
      </c>
      <c r="R237" s="384" t="str">
        <f t="shared" si="18"/>
        <v/>
      </c>
      <c r="S237" s="398" t="str">
        <f>IF(D237="","",VLOOKUP(D237,'G-6 Hedgerow Data'!$B$3:$AG$15,31,FALSE))</f>
        <v/>
      </c>
      <c r="T237" s="370" t="str">
        <f t="shared" si="21"/>
        <v/>
      </c>
      <c r="U237" s="370" t="str">
        <f t="shared" si="22"/>
        <v/>
      </c>
      <c r="V237" s="386" t="str">
        <f>IF(D237="","",VLOOKUP(S237,'G-3 Multipliers'!$P$3:$Q$6,2,FALSE))</f>
        <v/>
      </c>
      <c r="W237" s="390" t="str">
        <f t="shared" si="23"/>
        <v/>
      </c>
      <c r="X237" s="117"/>
      <c r="Y237" s="118"/>
      <c r="Z237" s="120"/>
      <c r="AG237" s="30" t="str">
        <f>IFERROR(INDEX('G-6 Hedgerow Data'!$BJ$3:$BJ$15,MATCH(D237,'G-6 Hedgerow Data'!$B$3:$B$15,0)),"")</f>
        <v/>
      </c>
    </row>
    <row r="238" spans="2:33" ht="15">
      <c r="B238" s="110">
        <v>227</v>
      </c>
      <c r="C238" s="167"/>
      <c r="D238" s="159"/>
      <c r="E238" s="139"/>
      <c r="F238" s="411" t="str">
        <f>IF(D238="","",VLOOKUP(D238,'G-6 Hedgerow Data'!$B$2:$AG$15,2,FALSE))</f>
        <v/>
      </c>
      <c r="G238" s="363" t="str">
        <f>IF(D238="","",VLOOKUP(D238,'G-6 Hedgerow Data'!$B$2:$AG$15,3,FALSE))</f>
        <v/>
      </c>
      <c r="H238" s="114"/>
      <c r="I238" s="363" t="str">
        <f>IFERROR(VLOOKUP(H238,'G-1 All Habitats'!$Z$2:$AA$9,2,FALSE),"")</f>
        <v/>
      </c>
      <c r="J238" s="114"/>
      <c r="K238" s="382" t="str">
        <f>IF(J238="","",IF(VLOOKUP(J238,'G-3 Multipliers'!$L$3:$N$6,2,FALSE)=0,"Spatial Data Missing ⚠",VLOOKUP(J238,'G-3 Multipliers'!$L$3:$N$6,2,FALSE)))</f>
        <v/>
      </c>
      <c r="L238" s="368" t="str">
        <f>IF(J238="","",IF(VLOOKUP(J238,'G-3 Multipliers'!$L$3:$N$6,3,FALSE)=0,"Spatial Data Missing ⚠",VLOOKUP(J238,'G-3 Multipliers'!$L$3:$N$6,3,FALSE)))</f>
        <v/>
      </c>
      <c r="M238" s="362" t="str">
        <f>IF(OR(D238="",H238=""),"",(INDEX('G-6 Hedgerow Data'!$E$3:$I$15,MATCH(D238,'G-6 Hedgerow Data'!$B$3:$B$15,0),MATCH(H238,'G-6 Hedgerow Data'!$E$2:$I$2,0))))</f>
        <v/>
      </c>
      <c r="N238" s="159"/>
      <c r="O238" s="159"/>
      <c r="P238" s="370" t="str">
        <f t="shared" si="19"/>
        <v/>
      </c>
      <c r="Q238" s="383" t="str">
        <f t="shared" si="20"/>
        <v/>
      </c>
      <c r="R238" s="384" t="str">
        <f t="shared" si="18"/>
        <v/>
      </c>
      <c r="S238" s="398" t="str">
        <f>IF(D238="","",VLOOKUP(D238,'G-6 Hedgerow Data'!$B$3:$AG$15,31,FALSE))</f>
        <v/>
      </c>
      <c r="T238" s="370" t="str">
        <f t="shared" si="21"/>
        <v/>
      </c>
      <c r="U238" s="370" t="str">
        <f t="shared" si="22"/>
        <v/>
      </c>
      <c r="V238" s="386" t="str">
        <f>IF(D238="","",VLOOKUP(S238,'G-3 Multipliers'!$P$3:$Q$6,2,FALSE))</f>
        <v/>
      </c>
      <c r="W238" s="390" t="str">
        <f t="shared" si="23"/>
        <v/>
      </c>
      <c r="X238" s="117"/>
      <c r="Y238" s="118"/>
      <c r="Z238" s="120"/>
      <c r="AG238" s="30" t="str">
        <f>IFERROR(INDEX('G-6 Hedgerow Data'!$BJ$3:$BJ$15,MATCH(D238,'G-6 Hedgerow Data'!$B$3:$B$15,0)),"")</f>
        <v/>
      </c>
    </row>
    <row r="239" spans="2:33" ht="15">
      <c r="B239" s="110">
        <v>228</v>
      </c>
      <c r="C239" s="167"/>
      <c r="D239" s="159"/>
      <c r="E239" s="139"/>
      <c r="F239" s="411" t="str">
        <f>IF(D239="","",VLOOKUP(D239,'G-6 Hedgerow Data'!$B$2:$AG$15,2,FALSE))</f>
        <v/>
      </c>
      <c r="G239" s="363" t="str">
        <f>IF(D239="","",VLOOKUP(D239,'G-6 Hedgerow Data'!$B$2:$AG$15,3,FALSE))</f>
        <v/>
      </c>
      <c r="H239" s="114"/>
      <c r="I239" s="363" t="str">
        <f>IFERROR(VLOOKUP(H239,'G-1 All Habitats'!$Z$2:$AA$9,2,FALSE),"")</f>
        <v/>
      </c>
      <c r="J239" s="114"/>
      <c r="K239" s="382" t="str">
        <f>IF(J239="","",IF(VLOOKUP(J239,'G-3 Multipliers'!$L$3:$N$6,2,FALSE)=0,"Spatial Data Missing ⚠",VLOOKUP(J239,'G-3 Multipliers'!$L$3:$N$6,2,FALSE)))</f>
        <v/>
      </c>
      <c r="L239" s="368" t="str">
        <f>IF(J239="","",IF(VLOOKUP(J239,'G-3 Multipliers'!$L$3:$N$6,3,FALSE)=0,"Spatial Data Missing ⚠",VLOOKUP(J239,'G-3 Multipliers'!$L$3:$N$6,3,FALSE)))</f>
        <v/>
      </c>
      <c r="M239" s="362" t="str">
        <f>IF(OR(D239="",H239=""),"",(INDEX('G-6 Hedgerow Data'!$E$3:$I$15,MATCH(D239,'G-6 Hedgerow Data'!$B$3:$B$15,0),MATCH(H239,'G-6 Hedgerow Data'!$E$2:$I$2,0))))</f>
        <v/>
      </c>
      <c r="N239" s="159"/>
      <c r="O239" s="159"/>
      <c r="P239" s="370" t="str">
        <f t="shared" si="19"/>
        <v/>
      </c>
      <c r="Q239" s="383" t="str">
        <f t="shared" si="20"/>
        <v/>
      </c>
      <c r="R239" s="384" t="str">
        <f t="shared" si="18"/>
        <v/>
      </c>
      <c r="S239" s="398" t="str">
        <f>IF(D239="","",VLOOKUP(D239,'G-6 Hedgerow Data'!$B$3:$AG$15,31,FALSE))</f>
        <v/>
      </c>
      <c r="T239" s="370" t="str">
        <f t="shared" si="21"/>
        <v/>
      </c>
      <c r="U239" s="370" t="str">
        <f t="shared" si="22"/>
        <v/>
      </c>
      <c r="V239" s="386" t="str">
        <f>IF(D239="","",VLOOKUP(S239,'G-3 Multipliers'!$P$3:$Q$6,2,FALSE))</f>
        <v/>
      </c>
      <c r="W239" s="390" t="str">
        <f t="shared" si="23"/>
        <v/>
      </c>
      <c r="X239" s="117"/>
      <c r="Y239" s="118"/>
      <c r="Z239" s="120"/>
      <c r="AG239" s="30" t="str">
        <f>IFERROR(INDEX('G-6 Hedgerow Data'!$BJ$3:$BJ$15,MATCH(D239,'G-6 Hedgerow Data'!$B$3:$B$15,0)),"")</f>
        <v/>
      </c>
    </row>
    <row r="240" spans="2:33" ht="15">
      <c r="B240" s="110">
        <v>229</v>
      </c>
      <c r="C240" s="167"/>
      <c r="D240" s="159"/>
      <c r="E240" s="139"/>
      <c r="F240" s="411" t="str">
        <f>IF(D240="","",VLOOKUP(D240,'G-6 Hedgerow Data'!$B$2:$AG$15,2,FALSE))</f>
        <v/>
      </c>
      <c r="G240" s="363" t="str">
        <f>IF(D240="","",VLOOKUP(D240,'G-6 Hedgerow Data'!$B$2:$AG$15,3,FALSE))</f>
        <v/>
      </c>
      <c r="H240" s="114"/>
      <c r="I240" s="363" t="str">
        <f>IFERROR(VLOOKUP(H240,'G-1 All Habitats'!$Z$2:$AA$9,2,FALSE),"")</f>
        <v/>
      </c>
      <c r="J240" s="114"/>
      <c r="K240" s="382" t="str">
        <f>IF(J240="","",IF(VLOOKUP(J240,'G-3 Multipliers'!$L$3:$N$6,2,FALSE)=0,"Spatial Data Missing ⚠",VLOOKUP(J240,'G-3 Multipliers'!$L$3:$N$6,2,FALSE)))</f>
        <v/>
      </c>
      <c r="L240" s="368" t="str">
        <f>IF(J240="","",IF(VLOOKUP(J240,'G-3 Multipliers'!$L$3:$N$6,3,FALSE)=0,"Spatial Data Missing ⚠",VLOOKUP(J240,'G-3 Multipliers'!$L$3:$N$6,3,FALSE)))</f>
        <v/>
      </c>
      <c r="M240" s="362" t="str">
        <f>IF(OR(D240="",H240=""),"",(INDEX('G-6 Hedgerow Data'!$E$3:$I$15,MATCH(D240,'G-6 Hedgerow Data'!$B$3:$B$15,0),MATCH(H240,'G-6 Hedgerow Data'!$E$2:$I$2,0))))</f>
        <v/>
      </c>
      <c r="N240" s="159"/>
      <c r="O240" s="159"/>
      <c r="P240" s="370" t="str">
        <f t="shared" si="19"/>
        <v/>
      </c>
      <c r="Q240" s="383" t="str">
        <f t="shared" si="20"/>
        <v/>
      </c>
      <c r="R240" s="384" t="str">
        <f t="shared" si="18"/>
        <v/>
      </c>
      <c r="S240" s="398" t="str">
        <f>IF(D240="","",VLOOKUP(D240,'G-6 Hedgerow Data'!$B$3:$AG$15,31,FALSE))</f>
        <v/>
      </c>
      <c r="T240" s="370" t="str">
        <f t="shared" si="21"/>
        <v/>
      </c>
      <c r="U240" s="370" t="str">
        <f t="shared" si="22"/>
        <v/>
      </c>
      <c r="V240" s="386" t="str">
        <f>IF(D240="","",VLOOKUP(S240,'G-3 Multipliers'!$P$3:$Q$6,2,FALSE))</f>
        <v/>
      </c>
      <c r="W240" s="390" t="str">
        <f t="shared" si="23"/>
        <v/>
      </c>
      <c r="X240" s="117"/>
      <c r="Y240" s="118"/>
      <c r="Z240" s="120"/>
      <c r="AG240" s="30" t="str">
        <f>IFERROR(INDEX('G-6 Hedgerow Data'!$BJ$3:$BJ$15,MATCH(D240,'G-6 Hedgerow Data'!$B$3:$B$15,0)),"")</f>
        <v/>
      </c>
    </row>
    <row r="241" spans="2:33" ht="15">
      <c r="B241" s="110">
        <v>230</v>
      </c>
      <c r="C241" s="167"/>
      <c r="D241" s="159"/>
      <c r="E241" s="139"/>
      <c r="F241" s="411" t="str">
        <f>IF(D241="","",VLOOKUP(D241,'G-6 Hedgerow Data'!$B$2:$AG$15,2,FALSE))</f>
        <v/>
      </c>
      <c r="G241" s="363" t="str">
        <f>IF(D241="","",VLOOKUP(D241,'G-6 Hedgerow Data'!$B$2:$AG$15,3,FALSE))</f>
        <v/>
      </c>
      <c r="H241" s="114"/>
      <c r="I241" s="363" t="str">
        <f>IFERROR(VLOOKUP(H241,'G-1 All Habitats'!$Z$2:$AA$9,2,FALSE),"")</f>
        <v/>
      </c>
      <c r="J241" s="114"/>
      <c r="K241" s="382" t="str">
        <f>IF(J241="","",IF(VLOOKUP(J241,'G-3 Multipliers'!$L$3:$N$6,2,FALSE)=0,"Spatial Data Missing ⚠",VLOOKUP(J241,'G-3 Multipliers'!$L$3:$N$6,2,FALSE)))</f>
        <v/>
      </c>
      <c r="L241" s="368" t="str">
        <f>IF(J241="","",IF(VLOOKUP(J241,'G-3 Multipliers'!$L$3:$N$6,3,FALSE)=0,"Spatial Data Missing ⚠",VLOOKUP(J241,'G-3 Multipliers'!$L$3:$N$6,3,FALSE)))</f>
        <v/>
      </c>
      <c r="M241" s="362" t="str">
        <f>IF(OR(D241="",H241=""),"",(INDEX('G-6 Hedgerow Data'!$E$3:$I$15,MATCH(D241,'G-6 Hedgerow Data'!$B$3:$B$15,0),MATCH(H241,'G-6 Hedgerow Data'!$E$2:$I$2,0))))</f>
        <v/>
      </c>
      <c r="N241" s="159"/>
      <c r="O241" s="159"/>
      <c r="P241" s="370" t="str">
        <f t="shared" si="19"/>
        <v/>
      </c>
      <c r="Q241" s="383" t="str">
        <f t="shared" si="20"/>
        <v/>
      </c>
      <c r="R241" s="384" t="str">
        <f t="shared" si="18"/>
        <v/>
      </c>
      <c r="S241" s="398" t="str">
        <f>IF(D241="","",VLOOKUP(D241,'G-6 Hedgerow Data'!$B$3:$AG$15,31,FALSE))</f>
        <v/>
      </c>
      <c r="T241" s="370" t="str">
        <f t="shared" si="21"/>
        <v/>
      </c>
      <c r="U241" s="370" t="str">
        <f t="shared" si="22"/>
        <v/>
      </c>
      <c r="V241" s="386" t="str">
        <f>IF(D241="","",VLOOKUP(S241,'G-3 Multipliers'!$P$3:$Q$6,2,FALSE))</f>
        <v/>
      </c>
      <c r="W241" s="390" t="str">
        <f t="shared" si="23"/>
        <v/>
      </c>
      <c r="X241" s="117"/>
      <c r="Y241" s="118"/>
      <c r="Z241" s="120"/>
      <c r="AG241" s="30" t="str">
        <f>IFERROR(INDEX('G-6 Hedgerow Data'!$BJ$3:$BJ$15,MATCH(D241,'G-6 Hedgerow Data'!$B$3:$B$15,0)),"")</f>
        <v/>
      </c>
    </row>
    <row r="242" spans="2:33" ht="15">
      <c r="B242" s="110">
        <v>231</v>
      </c>
      <c r="C242" s="167"/>
      <c r="D242" s="159"/>
      <c r="E242" s="139"/>
      <c r="F242" s="411" t="str">
        <f>IF(D242="","",VLOOKUP(D242,'G-6 Hedgerow Data'!$B$2:$AG$15,2,FALSE))</f>
        <v/>
      </c>
      <c r="G242" s="363" t="str">
        <f>IF(D242="","",VLOOKUP(D242,'G-6 Hedgerow Data'!$B$2:$AG$15,3,FALSE))</f>
        <v/>
      </c>
      <c r="H242" s="114"/>
      <c r="I242" s="363" t="str">
        <f>IFERROR(VLOOKUP(H242,'G-1 All Habitats'!$Z$2:$AA$9,2,FALSE),"")</f>
        <v/>
      </c>
      <c r="J242" s="114"/>
      <c r="K242" s="382" t="str">
        <f>IF(J242="","",IF(VLOOKUP(J242,'G-3 Multipliers'!$L$3:$N$6,2,FALSE)=0,"Spatial Data Missing ⚠",VLOOKUP(J242,'G-3 Multipliers'!$L$3:$N$6,2,FALSE)))</f>
        <v/>
      </c>
      <c r="L242" s="368" t="str">
        <f>IF(J242="","",IF(VLOOKUP(J242,'G-3 Multipliers'!$L$3:$N$6,3,FALSE)=0,"Spatial Data Missing ⚠",VLOOKUP(J242,'G-3 Multipliers'!$L$3:$N$6,3,FALSE)))</f>
        <v/>
      </c>
      <c r="M242" s="362" t="str">
        <f>IF(OR(D242="",H242=""),"",(INDEX('G-6 Hedgerow Data'!$E$3:$I$15,MATCH(D242,'G-6 Hedgerow Data'!$B$3:$B$15,0),MATCH(H242,'G-6 Hedgerow Data'!$E$2:$I$2,0))))</f>
        <v/>
      </c>
      <c r="N242" s="159"/>
      <c r="O242" s="159"/>
      <c r="P242" s="370" t="str">
        <f t="shared" si="19"/>
        <v/>
      </c>
      <c r="Q242" s="383" t="str">
        <f t="shared" si="20"/>
        <v/>
      </c>
      <c r="R242" s="384" t="str">
        <f t="shared" si="18"/>
        <v/>
      </c>
      <c r="S242" s="398" t="str">
        <f>IF(D242="","",VLOOKUP(D242,'G-6 Hedgerow Data'!$B$3:$AG$15,31,FALSE))</f>
        <v/>
      </c>
      <c r="T242" s="370" t="str">
        <f t="shared" si="21"/>
        <v/>
      </c>
      <c r="U242" s="370" t="str">
        <f t="shared" si="22"/>
        <v/>
      </c>
      <c r="V242" s="386" t="str">
        <f>IF(D242="","",VLOOKUP(S242,'G-3 Multipliers'!$P$3:$Q$6,2,FALSE))</f>
        <v/>
      </c>
      <c r="W242" s="390" t="str">
        <f t="shared" si="23"/>
        <v/>
      </c>
      <c r="X242" s="117"/>
      <c r="Y242" s="118"/>
      <c r="Z242" s="120"/>
      <c r="AG242" s="30" t="str">
        <f>IFERROR(INDEX('G-6 Hedgerow Data'!$BJ$3:$BJ$15,MATCH(D242,'G-6 Hedgerow Data'!$B$3:$B$15,0)),"")</f>
        <v/>
      </c>
    </row>
    <row r="243" spans="2:33" ht="15">
      <c r="B243" s="110">
        <v>232</v>
      </c>
      <c r="C243" s="167"/>
      <c r="D243" s="159"/>
      <c r="E243" s="139"/>
      <c r="F243" s="411" t="str">
        <f>IF(D243="","",VLOOKUP(D243,'G-6 Hedgerow Data'!$B$2:$AG$15,2,FALSE))</f>
        <v/>
      </c>
      <c r="G243" s="363" t="str">
        <f>IF(D243="","",VLOOKUP(D243,'G-6 Hedgerow Data'!$B$2:$AG$15,3,FALSE))</f>
        <v/>
      </c>
      <c r="H243" s="114"/>
      <c r="I243" s="363" t="str">
        <f>IFERROR(VLOOKUP(H243,'G-1 All Habitats'!$Z$2:$AA$9,2,FALSE),"")</f>
        <v/>
      </c>
      <c r="J243" s="114"/>
      <c r="K243" s="382" t="str">
        <f>IF(J243="","",IF(VLOOKUP(J243,'G-3 Multipliers'!$L$3:$N$6,2,FALSE)=0,"Spatial Data Missing ⚠",VLOOKUP(J243,'G-3 Multipliers'!$L$3:$N$6,2,FALSE)))</f>
        <v/>
      </c>
      <c r="L243" s="368" t="str">
        <f>IF(J243="","",IF(VLOOKUP(J243,'G-3 Multipliers'!$L$3:$N$6,3,FALSE)=0,"Spatial Data Missing ⚠",VLOOKUP(J243,'G-3 Multipliers'!$L$3:$N$6,3,FALSE)))</f>
        <v/>
      </c>
      <c r="M243" s="362" t="str">
        <f>IF(OR(D243="",H243=""),"",(INDEX('G-6 Hedgerow Data'!$E$3:$I$15,MATCH(D243,'G-6 Hedgerow Data'!$B$3:$B$15,0),MATCH(H243,'G-6 Hedgerow Data'!$E$2:$I$2,0))))</f>
        <v/>
      </c>
      <c r="N243" s="159"/>
      <c r="O243" s="159"/>
      <c r="P243" s="370" t="str">
        <f t="shared" si="19"/>
        <v/>
      </c>
      <c r="Q243" s="383" t="str">
        <f t="shared" si="20"/>
        <v/>
      </c>
      <c r="R243" s="384" t="str">
        <f t="shared" si="18"/>
        <v/>
      </c>
      <c r="S243" s="398" t="str">
        <f>IF(D243="","",VLOOKUP(D243,'G-6 Hedgerow Data'!$B$3:$AG$15,31,FALSE))</f>
        <v/>
      </c>
      <c r="T243" s="370" t="str">
        <f t="shared" si="21"/>
        <v/>
      </c>
      <c r="U243" s="370" t="str">
        <f t="shared" si="22"/>
        <v/>
      </c>
      <c r="V243" s="386" t="str">
        <f>IF(D243="","",VLOOKUP(S243,'G-3 Multipliers'!$P$3:$Q$6,2,FALSE))</f>
        <v/>
      </c>
      <c r="W243" s="390" t="str">
        <f t="shared" si="23"/>
        <v/>
      </c>
      <c r="X243" s="117"/>
      <c r="Y243" s="118"/>
      <c r="Z243" s="120"/>
      <c r="AG243" s="30" t="str">
        <f>IFERROR(INDEX('G-6 Hedgerow Data'!$BJ$3:$BJ$15,MATCH(D243,'G-6 Hedgerow Data'!$B$3:$B$15,0)),"")</f>
        <v/>
      </c>
    </row>
    <row r="244" spans="2:33" ht="15">
      <c r="B244" s="110">
        <v>233</v>
      </c>
      <c r="C244" s="167"/>
      <c r="D244" s="159"/>
      <c r="E244" s="139"/>
      <c r="F244" s="411" t="str">
        <f>IF(D244="","",VLOOKUP(D244,'G-6 Hedgerow Data'!$B$2:$AG$15,2,FALSE))</f>
        <v/>
      </c>
      <c r="G244" s="363" t="str">
        <f>IF(D244="","",VLOOKUP(D244,'G-6 Hedgerow Data'!$B$2:$AG$15,3,FALSE))</f>
        <v/>
      </c>
      <c r="H244" s="114"/>
      <c r="I244" s="363" t="str">
        <f>IFERROR(VLOOKUP(H244,'G-1 All Habitats'!$Z$2:$AA$9,2,FALSE),"")</f>
        <v/>
      </c>
      <c r="J244" s="114"/>
      <c r="K244" s="382" t="str">
        <f>IF(J244="","",IF(VLOOKUP(J244,'G-3 Multipliers'!$L$3:$N$6,2,FALSE)=0,"Spatial Data Missing ⚠",VLOOKUP(J244,'G-3 Multipliers'!$L$3:$N$6,2,FALSE)))</f>
        <v/>
      </c>
      <c r="L244" s="368" t="str">
        <f>IF(J244="","",IF(VLOOKUP(J244,'G-3 Multipliers'!$L$3:$N$6,3,FALSE)=0,"Spatial Data Missing ⚠",VLOOKUP(J244,'G-3 Multipliers'!$L$3:$N$6,3,FALSE)))</f>
        <v/>
      </c>
      <c r="M244" s="362" t="str">
        <f>IF(OR(D244="",H244=""),"",(INDEX('G-6 Hedgerow Data'!$E$3:$I$15,MATCH(D244,'G-6 Hedgerow Data'!$B$3:$B$15,0),MATCH(H244,'G-6 Hedgerow Data'!$E$2:$I$2,0))))</f>
        <v/>
      </c>
      <c r="N244" s="159"/>
      <c r="O244" s="159"/>
      <c r="P244" s="370" t="str">
        <f t="shared" si="19"/>
        <v/>
      </c>
      <c r="Q244" s="383" t="str">
        <f t="shared" si="20"/>
        <v/>
      </c>
      <c r="R244" s="384" t="str">
        <f t="shared" si="18"/>
        <v/>
      </c>
      <c r="S244" s="398" t="str">
        <f>IF(D244="","",VLOOKUP(D244,'G-6 Hedgerow Data'!$B$3:$AG$15,31,FALSE))</f>
        <v/>
      </c>
      <c r="T244" s="370" t="str">
        <f t="shared" si="21"/>
        <v/>
      </c>
      <c r="U244" s="370" t="str">
        <f t="shared" si="22"/>
        <v/>
      </c>
      <c r="V244" s="386" t="str">
        <f>IF(D244="","",VLOOKUP(S244,'G-3 Multipliers'!$P$3:$Q$6,2,FALSE))</f>
        <v/>
      </c>
      <c r="W244" s="390" t="str">
        <f t="shared" si="23"/>
        <v/>
      </c>
      <c r="X244" s="117"/>
      <c r="Y244" s="118"/>
      <c r="Z244" s="120"/>
      <c r="AG244" s="30" t="str">
        <f>IFERROR(INDEX('G-6 Hedgerow Data'!$BJ$3:$BJ$15,MATCH(D244,'G-6 Hedgerow Data'!$B$3:$B$15,0)),"")</f>
        <v/>
      </c>
    </row>
    <row r="245" spans="2:33" ht="15">
      <c r="B245" s="110">
        <v>234</v>
      </c>
      <c r="C245" s="167"/>
      <c r="D245" s="159"/>
      <c r="E245" s="139"/>
      <c r="F245" s="411" t="str">
        <f>IF(D245="","",VLOOKUP(D245,'G-6 Hedgerow Data'!$B$2:$AG$15,2,FALSE))</f>
        <v/>
      </c>
      <c r="G245" s="363" t="str">
        <f>IF(D245="","",VLOOKUP(D245,'G-6 Hedgerow Data'!$B$2:$AG$15,3,FALSE))</f>
        <v/>
      </c>
      <c r="H245" s="114"/>
      <c r="I245" s="363" t="str">
        <f>IFERROR(VLOOKUP(H245,'G-1 All Habitats'!$Z$2:$AA$9,2,FALSE),"")</f>
        <v/>
      </c>
      <c r="J245" s="114"/>
      <c r="K245" s="382" t="str">
        <f>IF(J245="","",IF(VLOOKUP(J245,'G-3 Multipliers'!$L$3:$N$6,2,FALSE)=0,"Spatial Data Missing ⚠",VLOOKUP(J245,'G-3 Multipliers'!$L$3:$N$6,2,FALSE)))</f>
        <v/>
      </c>
      <c r="L245" s="368" t="str">
        <f>IF(J245="","",IF(VLOOKUP(J245,'G-3 Multipliers'!$L$3:$N$6,3,FALSE)=0,"Spatial Data Missing ⚠",VLOOKUP(J245,'G-3 Multipliers'!$L$3:$N$6,3,FALSE)))</f>
        <v/>
      </c>
      <c r="M245" s="362" t="str">
        <f>IF(OR(D245="",H245=""),"",(INDEX('G-6 Hedgerow Data'!$E$3:$I$15,MATCH(D245,'G-6 Hedgerow Data'!$B$3:$B$15,0),MATCH(H245,'G-6 Hedgerow Data'!$E$2:$I$2,0))))</f>
        <v/>
      </c>
      <c r="N245" s="159"/>
      <c r="O245" s="159"/>
      <c r="P245" s="370" t="str">
        <f t="shared" si="19"/>
        <v/>
      </c>
      <c r="Q245" s="383" t="str">
        <f t="shared" si="20"/>
        <v/>
      </c>
      <c r="R245" s="384" t="str">
        <f t="shared" si="18"/>
        <v/>
      </c>
      <c r="S245" s="398" t="str">
        <f>IF(D245="","",VLOOKUP(D245,'G-6 Hedgerow Data'!$B$3:$AG$15,31,FALSE))</f>
        <v/>
      </c>
      <c r="T245" s="370" t="str">
        <f t="shared" si="21"/>
        <v/>
      </c>
      <c r="U245" s="370" t="str">
        <f t="shared" si="22"/>
        <v/>
      </c>
      <c r="V245" s="386" t="str">
        <f>IF(D245="","",VLOOKUP(S245,'G-3 Multipliers'!$P$3:$Q$6,2,FALSE))</f>
        <v/>
      </c>
      <c r="W245" s="390" t="str">
        <f t="shared" si="23"/>
        <v/>
      </c>
      <c r="X245" s="117"/>
      <c r="Y245" s="118"/>
      <c r="Z245" s="120"/>
      <c r="AG245" s="30" t="str">
        <f>IFERROR(INDEX('G-6 Hedgerow Data'!$BJ$3:$BJ$15,MATCH(D245,'G-6 Hedgerow Data'!$B$3:$B$15,0)),"")</f>
        <v/>
      </c>
    </row>
    <row r="246" spans="2:33" ht="15">
      <c r="B246" s="110">
        <v>235</v>
      </c>
      <c r="C246" s="167"/>
      <c r="D246" s="159"/>
      <c r="E246" s="139"/>
      <c r="F246" s="411" t="str">
        <f>IF(D246="","",VLOOKUP(D246,'G-6 Hedgerow Data'!$B$2:$AG$15,2,FALSE))</f>
        <v/>
      </c>
      <c r="G246" s="363" t="str">
        <f>IF(D246="","",VLOOKUP(D246,'G-6 Hedgerow Data'!$B$2:$AG$15,3,FALSE))</f>
        <v/>
      </c>
      <c r="H246" s="114"/>
      <c r="I246" s="363" t="str">
        <f>IFERROR(VLOOKUP(H246,'G-1 All Habitats'!$Z$2:$AA$9,2,FALSE),"")</f>
        <v/>
      </c>
      <c r="J246" s="114"/>
      <c r="K246" s="382" t="str">
        <f>IF(J246="","",IF(VLOOKUP(J246,'G-3 Multipliers'!$L$3:$N$6,2,FALSE)=0,"Spatial Data Missing ⚠",VLOOKUP(J246,'G-3 Multipliers'!$L$3:$N$6,2,FALSE)))</f>
        <v/>
      </c>
      <c r="L246" s="368" t="str">
        <f>IF(J246="","",IF(VLOOKUP(J246,'G-3 Multipliers'!$L$3:$N$6,3,FALSE)=0,"Spatial Data Missing ⚠",VLOOKUP(J246,'G-3 Multipliers'!$L$3:$N$6,3,FALSE)))</f>
        <v/>
      </c>
      <c r="M246" s="362" t="str">
        <f>IF(OR(D246="",H246=""),"",(INDEX('G-6 Hedgerow Data'!$E$3:$I$15,MATCH(D246,'G-6 Hedgerow Data'!$B$3:$B$15,0),MATCH(H246,'G-6 Hedgerow Data'!$E$2:$I$2,0))))</f>
        <v/>
      </c>
      <c r="N246" s="159"/>
      <c r="O246" s="159"/>
      <c r="P246" s="370" t="str">
        <f t="shared" si="19"/>
        <v/>
      </c>
      <c r="Q246" s="383" t="str">
        <f t="shared" si="20"/>
        <v/>
      </c>
      <c r="R246" s="384" t="str">
        <f t="shared" si="18"/>
        <v/>
      </c>
      <c r="S246" s="398" t="str">
        <f>IF(D246="","",VLOOKUP(D246,'G-6 Hedgerow Data'!$B$3:$AG$15,31,FALSE))</f>
        <v/>
      </c>
      <c r="T246" s="370" t="str">
        <f t="shared" si="21"/>
        <v/>
      </c>
      <c r="U246" s="370" t="str">
        <f t="shared" si="22"/>
        <v/>
      </c>
      <c r="V246" s="386" t="str">
        <f>IF(D246="","",VLOOKUP(S246,'G-3 Multipliers'!$P$3:$Q$6,2,FALSE))</f>
        <v/>
      </c>
      <c r="W246" s="390" t="str">
        <f t="shared" si="23"/>
        <v/>
      </c>
      <c r="X246" s="117"/>
      <c r="Y246" s="118"/>
      <c r="Z246" s="120"/>
      <c r="AG246" s="30" t="str">
        <f>IFERROR(INDEX('G-6 Hedgerow Data'!$BJ$3:$BJ$15,MATCH(D246,'G-6 Hedgerow Data'!$B$3:$B$15,0)),"")</f>
        <v/>
      </c>
    </row>
    <row r="247" spans="2:33" ht="15">
      <c r="B247" s="110">
        <v>236</v>
      </c>
      <c r="C247" s="167"/>
      <c r="D247" s="159"/>
      <c r="E247" s="139"/>
      <c r="F247" s="411" t="str">
        <f>IF(D247="","",VLOOKUP(D247,'G-6 Hedgerow Data'!$B$2:$AG$15,2,FALSE))</f>
        <v/>
      </c>
      <c r="G247" s="363" t="str">
        <f>IF(D247="","",VLOOKUP(D247,'G-6 Hedgerow Data'!$B$2:$AG$15,3,FALSE))</f>
        <v/>
      </c>
      <c r="H247" s="114"/>
      <c r="I247" s="363" t="str">
        <f>IFERROR(VLOOKUP(H247,'G-1 All Habitats'!$Z$2:$AA$9,2,FALSE),"")</f>
        <v/>
      </c>
      <c r="J247" s="114"/>
      <c r="K247" s="382" t="str">
        <f>IF(J247="","",IF(VLOOKUP(J247,'G-3 Multipliers'!$L$3:$N$6,2,FALSE)=0,"Spatial Data Missing ⚠",VLOOKUP(J247,'G-3 Multipliers'!$L$3:$N$6,2,FALSE)))</f>
        <v/>
      </c>
      <c r="L247" s="368" t="str">
        <f>IF(J247="","",IF(VLOOKUP(J247,'G-3 Multipliers'!$L$3:$N$6,3,FALSE)=0,"Spatial Data Missing ⚠",VLOOKUP(J247,'G-3 Multipliers'!$L$3:$N$6,3,FALSE)))</f>
        <v/>
      </c>
      <c r="M247" s="362" t="str">
        <f>IF(OR(D247="",H247=""),"",(INDEX('G-6 Hedgerow Data'!$E$3:$I$15,MATCH(D247,'G-6 Hedgerow Data'!$B$3:$B$15,0),MATCH(H247,'G-6 Hedgerow Data'!$E$2:$I$2,0))))</f>
        <v/>
      </c>
      <c r="N247" s="159"/>
      <c r="O247" s="159"/>
      <c r="P247" s="370" t="str">
        <f t="shared" si="19"/>
        <v/>
      </c>
      <c r="Q247" s="383" t="str">
        <f t="shared" si="20"/>
        <v/>
      </c>
      <c r="R247" s="384" t="str">
        <f t="shared" si="18"/>
        <v/>
      </c>
      <c r="S247" s="398" t="str">
        <f>IF(D247="","",VLOOKUP(D247,'G-6 Hedgerow Data'!$B$3:$AG$15,31,FALSE))</f>
        <v/>
      </c>
      <c r="T247" s="370" t="str">
        <f t="shared" si="21"/>
        <v/>
      </c>
      <c r="U247" s="370" t="str">
        <f t="shared" si="22"/>
        <v/>
      </c>
      <c r="V247" s="386" t="str">
        <f>IF(D247="","",VLOOKUP(S247,'G-3 Multipliers'!$P$3:$Q$6,2,FALSE))</f>
        <v/>
      </c>
      <c r="W247" s="390" t="str">
        <f t="shared" si="23"/>
        <v/>
      </c>
      <c r="X247" s="117"/>
      <c r="Y247" s="118"/>
      <c r="Z247" s="120"/>
      <c r="AG247" s="30" t="str">
        <f>IFERROR(INDEX('G-6 Hedgerow Data'!$BJ$3:$BJ$15,MATCH(D247,'G-6 Hedgerow Data'!$B$3:$B$15,0)),"")</f>
        <v/>
      </c>
    </row>
    <row r="248" spans="2:33" ht="15">
      <c r="B248" s="110">
        <v>237</v>
      </c>
      <c r="C248" s="167"/>
      <c r="D248" s="159"/>
      <c r="E248" s="139"/>
      <c r="F248" s="411" t="str">
        <f>IF(D248="","",VLOOKUP(D248,'G-6 Hedgerow Data'!$B$2:$AG$15,2,FALSE))</f>
        <v/>
      </c>
      <c r="G248" s="363" t="str">
        <f>IF(D248="","",VLOOKUP(D248,'G-6 Hedgerow Data'!$B$2:$AG$15,3,FALSE))</f>
        <v/>
      </c>
      <c r="H248" s="114"/>
      <c r="I248" s="363" t="str">
        <f>IFERROR(VLOOKUP(H248,'G-1 All Habitats'!$Z$2:$AA$9,2,FALSE),"")</f>
        <v/>
      </c>
      <c r="J248" s="114"/>
      <c r="K248" s="382" t="str">
        <f>IF(J248="","",IF(VLOOKUP(J248,'G-3 Multipliers'!$L$3:$N$6,2,FALSE)=0,"Spatial Data Missing ⚠",VLOOKUP(J248,'G-3 Multipliers'!$L$3:$N$6,2,FALSE)))</f>
        <v/>
      </c>
      <c r="L248" s="368" t="str">
        <f>IF(J248="","",IF(VLOOKUP(J248,'G-3 Multipliers'!$L$3:$N$6,3,FALSE)=0,"Spatial Data Missing ⚠",VLOOKUP(J248,'G-3 Multipliers'!$L$3:$N$6,3,FALSE)))</f>
        <v/>
      </c>
      <c r="M248" s="362" t="str">
        <f>IF(OR(D248="",H248=""),"",(INDEX('G-6 Hedgerow Data'!$E$3:$I$15,MATCH(D248,'G-6 Hedgerow Data'!$B$3:$B$15,0),MATCH(H248,'G-6 Hedgerow Data'!$E$2:$I$2,0))))</f>
        <v/>
      </c>
      <c r="N248" s="159"/>
      <c r="O248" s="159"/>
      <c r="P248" s="370" t="str">
        <f t="shared" si="19"/>
        <v/>
      </c>
      <c r="Q248" s="383" t="str">
        <f t="shared" si="20"/>
        <v/>
      </c>
      <c r="R248" s="384" t="str">
        <f t="shared" si="18"/>
        <v/>
      </c>
      <c r="S248" s="398" t="str">
        <f>IF(D248="","",VLOOKUP(D248,'G-6 Hedgerow Data'!$B$3:$AG$15,31,FALSE))</f>
        <v/>
      </c>
      <c r="T248" s="370" t="str">
        <f t="shared" si="21"/>
        <v/>
      </c>
      <c r="U248" s="370" t="str">
        <f t="shared" si="22"/>
        <v/>
      </c>
      <c r="V248" s="386" t="str">
        <f>IF(D248="","",VLOOKUP(S248,'G-3 Multipliers'!$P$3:$Q$6,2,FALSE))</f>
        <v/>
      </c>
      <c r="W248" s="390" t="str">
        <f t="shared" si="23"/>
        <v/>
      </c>
      <c r="X248" s="117"/>
      <c r="Y248" s="118"/>
      <c r="Z248" s="120"/>
      <c r="AG248" s="30" t="str">
        <f>IFERROR(INDEX('G-6 Hedgerow Data'!$BJ$3:$BJ$15,MATCH(D248,'G-6 Hedgerow Data'!$B$3:$B$15,0)),"")</f>
        <v/>
      </c>
    </row>
    <row r="249" spans="2:33" ht="15">
      <c r="B249" s="110">
        <v>238</v>
      </c>
      <c r="C249" s="167"/>
      <c r="D249" s="159"/>
      <c r="E249" s="139"/>
      <c r="F249" s="411" t="str">
        <f>IF(D249="","",VLOOKUP(D249,'G-6 Hedgerow Data'!$B$2:$AG$15,2,FALSE))</f>
        <v/>
      </c>
      <c r="G249" s="363" t="str">
        <f>IF(D249="","",VLOOKUP(D249,'G-6 Hedgerow Data'!$B$2:$AG$15,3,FALSE))</f>
        <v/>
      </c>
      <c r="H249" s="114"/>
      <c r="I249" s="363" t="str">
        <f>IFERROR(VLOOKUP(H249,'G-1 All Habitats'!$Z$2:$AA$9,2,FALSE),"")</f>
        <v/>
      </c>
      <c r="J249" s="114"/>
      <c r="K249" s="382" t="str">
        <f>IF(J249="","",IF(VLOOKUP(J249,'G-3 Multipliers'!$L$3:$N$6,2,FALSE)=0,"Spatial Data Missing ⚠",VLOOKUP(J249,'G-3 Multipliers'!$L$3:$N$6,2,FALSE)))</f>
        <v/>
      </c>
      <c r="L249" s="368" t="str">
        <f>IF(J249="","",IF(VLOOKUP(J249,'G-3 Multipliers'!$L$3:$N$6,3,FALSE)=0,"Spatial Data Missing ⚠",VLOOKUP(J249,'G-3 Multipliers'!$L$3:$N$6,3,FALSE)))</f>
        <v/>
      </c>
      <c r="M249" s="362" t="str">
        <f>IF(OR(D249="",H249=""),"",(INDEX('G-6 Hedgerow Data'!$E$3:$I$15,MATCH(D249,'G-6 Hedgerow Data'!$B$3:$B$15,0),MATCH(H249,'G-6 Hedgerow Data'!$E$2:$I$2,0))))</f>
        <v/>
      </c>
      <c r="N249" s="159"/>
      <c r="O249" s="159"/>
      <c r="P249" s="370" t="str">
        <f t="shared" si="19"/>
        <v/>
      </c>
      <c r="Q249" s="383" t="str">
        <f t="shared" si="20"/>
        <v/>
      </c>
      <c r="R249" s="384" t="str">
        <f t="shared" si="18"/>
        <v/>
      </c>
      <c r="S249" s="398" t="str">
        <f>IF(D249="","",VLOOKUP(D249,'G-6 Hedgerow Data'!$B$3:$AG$15,31,FALSE))</f>
        <v/>
      </c>
      <c r="T249" s="370" t="str">
        <f t="shared" si="21"/>
        <v/>
      </c>
      <c r="U249" s="370" t="str">
        <f t="shared" si="22"/>
        <v/>
      </c>
      <c r="V249" s="386" t="str">
        <f>IF(D249="","",VLOOKUP(S249,'G-3 Multipliers'!$P$3:$Q$6,2,FALSE))</f>
        <v/>
      </c>
      <c r="W249" s="390" t="str">
        <f t="shared" si="23"/>
        <v/>
      </c>
      <c r="X249" s="117"/>
      <c r="Y249" s="118"/>
      <c r="Z249" s="120"/>
      <c r="AG249" s="30" t="str">
        <f>IFERROR(INDEX('G-6 Hedgerow Data'!$BJ$3:$BJ$15,MATCH(D249,'G-6 Hedgerow Data'!$B$3:$B$15,0)),"")</f>
        <v/>
      </c>
    </row>
    <row r="250" spans="2:33" ht="15">
      <c r="B250" s="110">
        <v>239</v>
      </c>
      <c r="C250" s="167"/>
      <c r="D250" s="159"/>
      <c r="E250" s="139"/>
      <c r="F250" s="411" t="str">
        <f>IF(D250="","",VLOOKUP(D250,'G-6 Hedgerow Data'!$B$2:$AG$15,2,FALSE))</f>
        <v/>
      </c>
      <c r="G250" s="363" t="str">
        <f>IF(D250="","",VLOOKUP(D250,'G-6 Hedgerow Data'!$B$2:$AG$15,3,FALSE))</f>
        <v/>
      </c>
      <c r="H250" s="114"/>
      <c r="I250" s="363" t="str">
        <f>IFERROR(VLOOKUP(H250,'G-1 All Habitats'!$Z$2:$AA$9,2,FALSE),"")</f>
        <v/>
      </c>
      <c r="J250" s="114"/>
      <c r="K250" s="382" t="str">
        <f>IF(J250="","",IF(VLOOKUP(J250,'G-3 Multipliers'!$L$3:$N$6,2,FALSE)=0,"Spatial Data Missing ⚠",VLOOKUP(J250,'G-3 Multipliers'!$L$3:$N$6,2,FALSE)))</f>
        <v/>
      </c>
      <c r="L250" s="368" t="str">
        <f>IF(J250="","",IF(VLOOKUP(J250,'G-3 Multipliers'!$L$3:$N$6,3,FALSE)=0,"Spatial Data Missing ⚠",VLOOKUP(J250,'G-3 Multipliers'!$L$3:$N$6,3,FALSE)))</f>
        <v/>
      </c>
      <c r="M250" s="362" t="str">
        <f>IF(OR(D250="",H250=""),"",(INDEX('G-6 Hedgerow Data'!$E$3:$I$15,MATCH(D250,'G-6 Hedgerow Data'!$B$3:$B$15,0),MATCH(H250,'G-6 Hedgerow Data'!$E$2:$I$2,0))))</f>
        <v/>
      </c>
      <c r="N250" s="159"/>
      <c r="O250" s="159"/>
      <c r="P250" s="370" t="str">
        <f t="shared" si="19"/>
        <v/>
      </c>
      <c r="Q250" s="383" t="str">
        <f t="shared" si="20"/>
        <v/>
      </c>
      <c r="R250" s="384" t="str">
        <f t="shared" si="18"/>
        <v/>
      </c>
      <c r="S250" s="398" t="str">
        <f>IF(D250="","",VLOOKUP(D250,'G-6 Hedgerow Data'!$B$3:$AG$15,31,FALSE))</f>
        <v/>
      </c>
      <c r="T250" s="370" t="str">
        <f t="shared" si="21"/>
        <v/>
      </c>
      <c r="U250" s="370" t="str">
        <f t="shared" si="22"/>
        <v/>
      </c>
      <c r="V250" s="386" t="str">
        <f>IF(D250="","",VLOOKUP(S250,'G-3 Multipliers'!$P$3:$Q$6,2,FALSE))</f>
        <v/>
      </c>
      <c r="W250" s="390" t="str">
        <f t="shared" si="23"/>
        <v/>
      </c>
      <c r="X250" s="117"/>
      <c r="Y250" s="118"/>
      <c r="Z250" s="120"/>
      <c r="AG250" s="30" t="str">
        <f>IFERROR(INDEX('G-6 Hedgerow Data'!$BJ$3:$BJ$15,MATCH(D250,'G-6 Hedgerow Data'!$B$3:$B$15,0)),"")</f>
        <v/>
      </c>
    </row>
    <row r="251" spans="2:33" ht="15">
      <c r="B251" s="110">
        <v>240</v>
      </c>
      <c r="C251" s="167"/>
      <c r="D251" s="159"/>
      <c r="E251" s="139"/>
      <c r="F251" s="411" t="str">
        <f>IF(D251="","",VLOOKUP(D251,'G-6 Hedgerow Data'!$B$2:$AG$15,2,FALSE))</f>
        <v/>
      </c>
      <c r="G251" s="363" t="str">
        <f>IF(D251="","",VLOOKUP(D251,'G-6 Hedgerow Data'!$B$2:$AG$15,3,FALSE))</f>
        <v/>
      </c>
      <c r="H251" s="114"/>
      <c r="I251" s="363" t="str">
        <f>IFERROR(VLOOKUP(H251,'G-1 All Habitats'!$Z$2:$AA$9,2,FALSE),"")</f>
        <v/>
      </c>
      <c r="J251" s="114"/>
      <c r="K251" s="382" t="str">
        <f>IF(J251="","",IF(VLOOKUP(J251,'G-3 Multipliers'!$L$3:$N$6,2,FALSE)=0,"Spatial Data Missing ⚠",VLOOKUP(J251,'G-3 Multipliers'!$L$3:$N$6,2,FALSE)))</f>
        <v/>
      </c>
      <c r="L251" s="368" t="str">
        <f>IF(J251="","",IF(VLOOKUP(J251,'G-3 Multipliers'!$L$3:$N$6,3,FALSE)=0,"Spatial Data Missing ⚠",VLOOKUP(J251,'G-3 Multipliers'!$L$3:$N$6,3,FALSE)))</f>
        <v/>
      </c>
      <c r="M251" s="362" t="str">
        <f>IF(OR(D251="",H251=""),"",(INDEX('G-6 Hedgerow Data'!$E$3:$I$15,MATCH(D251,'G-6 Hedgerow Data'!$B$3:$B$15,0),MATCH(H251,'G-6 Hedgerow Data'!$E$2:$I$2,0))))</f>
        <v/>
      </c>
      <c r="N251" s="159"/>
      <c r="O251" s="159"/>
      <c r="P251" s="370" t="str">
        <f t="shared" si="19"/>
        <v/>
      </c>
      <c r="Q251" s="383" t="str">
        <f t="shared" si="20"/>
        <v/>
      </c>
      <c r="R251" s="384" t="str">
        <f t="shared" si="18"/>
        <v/>
      </c>
      <c r="S251" s="398" t="str">
        <f>IF(D251="","",VLOOKUP(D251,'G-6 Hedgerow Data'!$B$3:$AG$15,31,FALSE))</f>
        <v/>
      </c>
      <c r="T251" s="370" t="str">
        <f t="shared" si="21"/>
        <v/>
      </c>
      <c r="U251" s="370" t="str">
        <f t="shared" si="22"/>
        <v/>
      </c>
      <c r="V251" s="386" t="str">
        <f>IF(D251="","",VLOOKUP(S251,'G-3 Multipliers'!$P$3:$Q$6,2,FALSE))</f>
        <v/>
      </c>
      <c r="W251" s="390" t="str">
        <f t="shared" si="23"/>
        <v/>
      </c>
      <c r="X251" s="117"/>
      <c r="Y251" s="118"/>
      <c r="Z251" s="120"/>
      <c r="AG251" s="30" t="str">
        <f>IFERROR(INDEX('G-6 Hedgerow Data'!$BJ$3:$BJ$15,MATCH(D251,'G-6 Hedgerow Data'!$B$3:$B$15,0)),"")</f>
        <v/>
      </c>
    </row>
    <row r="252" spans="2:33" ht="15">
      <c r="B252" s="110">
        <v>241</v>
      </c>
      <c r="C252" s="167"/>
      <c r="D252" s="159"/>
      <c r="E252" s="139"/>
      <c r="F252" s="411" t="str">
        <f>IF(D252="","",VLOOKUP(D252,'G-6 Hedgerow Data'!$B$2:$AG$15,2,FALSE))</f>
        <v/>
      </c>
      <c r="G252" s="363" t="str">
        <f>IF(D252="","",VLOOKUP(D252,'G-6 Hedgerow Data'!$B$2:$AG$15,3,FALSE))</f>
        <v/>
      </c>
      <c r="H252" s="114"/>
      <c r="I252" s="363" t="str">
        <f>IFERROR(VLOOKUP(H252,'G-1 All Habitats'!$Z$2:$AA$9,2,FALSE),"")</f>
        <v/>
      </c>
      <c r="J252" s="114"/>
      <c r="K252" s="382" t="str">
        <f>IF(J252="","",IF(VLOOKUP(J252,'G-3 Multipliers'!$L$3:$N$6,2,FALSE)=0,"Spatial Data Missing ⚠",VLOOKUP(J252,'G-3 Multipliers'!$L$3:$N$6,2,FALSE)))</f>
        <v/>
      </c>
      <c r="L252" s="368" t="str">
        <f>IF(J252="","",IF(VLOOKUP(J252,'G-3 Multipliers'!$L$3:$N$6,3,FALSE)=0,"Spatial Data Missing ⚠",VLOOKUP(J252,'G-3 Multipliers'!$L$3:$N$6,3,FALSE)))</f>
        <v/>
      </c>
      <c r="M252" s="362" t="str">
        <f>IF(OR(D252="",H252=""),"",(INDEX('G-6 Hedgerow Data'!$E$3:$I$15,MATCH(D252,'G-6 Hedgerow Data'!$B$3:$B$15,0),MATCH(H252,'G-6 Hedgerow Data'!$E$2:$I$2,0))))</f>
        <v/>
      </c>
      <c r="N252" s="159"/>
      <c r="O252" s="159"/>
      <c r="P252" s="370" t="str">
        <f t="shared" si="19"/>
        <v/>
      </c>
      <c r="Q252" s="383" t="str">
        <f t="shared" si="20"/>
        <v/>
      </c>
      <c r="R252" s="384" t="str">
        <f t="shared" si="18"/>
        <v/>
      </c>
      <c r="S252" s="398" t="str">
        <f>IF(D252="","",VLOOKUP(D252,'G-6 Hedgerow Data'!$B$3:$AG$15,31,FALSE))</f>
        <v/>
      </c>
      <c r="T252" s="370" t="str">
        <f t="shared" si="21"/>
        <v/>
      </c>
      <c r="U252" s="370" t="str">
        <f t="shared" si="22"/>
        <v/>
      </c>
      <c r="V252" s="386" t="str">
        <f>IF(D252="","",VLOOKUP(S252,'G-3 Multipliers'!$P$3:$Q$6,2,FALSE))</f>
        <v/>
      </c>
      <c r="W252" s="390" t="str">
        <f t="shared" si="23"/>
        <v/>
      </c>
      <c r="X252" s="117"/>
      <c r="Y252" s="118"/>
      <c r="Z252" s="120"/>
      <c r="AG252" s="30" t="str">
        <f>IFERROR(INDEX('G-6 Hedgerow Data'!$BJ$3:$BJ$15,MATCH(D252,'G-6 Hedgerow Data'!$B$3:$B$15,0)),"")</f>
        <v/>
      </c>
    </row>
    <row r="253" spans="2:33" ht="15">
      <c r="B253" s="110">
        <v>242</v>
      </c>
      <c r="C253" s="167"/>
      <c r="D253" s="159"/>
      <c r="E253" s="139"/>
      <c r="F253" s="411" t="str">
        <f>IF(D253="","",VLOOKUP(D253,'G-6 Hedgerow Data'!$B$2:$AG$15,2,FALSE))</f>
        <v/>
      </c>
      <c r="G253" s="363" t="str">
        <f>IF(D253="","",VLOOKUP(D253,'G-6 Hedgerow Data'!$B$2:$AG$15,3,FALSE))</f>
        <v/>
      </c>
      <c r="H253" s="114"/>
      <c r="I253" s="363" t="str">
        <f>IFERROR(VLOOKUP(H253,'G-1 All Habitats'!$Z$2:$AA$9,2,FALSE),"")</f>
        <v/>
      </c>
      <c r="J253" s="114"/>
      <c r="K253" s="382" t="str">
        <f>IF(J253="","",IF(VLOOKUP(J253,'G-3 Multipliers'!$L$3:$N$6,2,FALSE)=0,"Spatial Data Missing ⚠",VLOOKUP(J253,'G-3 Multipliers'!$L$3:$N$6,2,FALSE)))</f>
        <v/>
      </c>
      <c r="L253" s="368" t="str">
        <f>IF(J253="","",IF(VLOOKUP(J253,'G-3 Multipliers'!$L$3:$N$6,3,FALSE)=0,"Spatial Data Missing ⚠",VLOOKUP(J253,'G-3 Multipliers'!$L$3:$N$6,3,FALSE)))</f>
        <v/>
      </c>
      <c r="M253" s="362" t="str">
        <f>IF(OR(D253="",H253=""),"",(INDEX('G-6 Hedgerow Data'!$E$3:$I$15,MATCH(D253,'G-6 Hedgerow Data'!$B$3:$B$15,0),MATCH(H253,'G-6 Hedgerow Data'!$E$2:$I$2,0))))</f>
        <v/>
      </c>
      <c r="N253" s="159"/>
      <c r="O253" s="159"/>
      <c r="P253" s="370" t="str">
        <f t="shared" si="19"/>
        <v/>
      </c>
      <c r="Q253" s="383" t="str">
        <f t="shared" si="20"/>
        <v/>
      </c>
      <c r="R253" s="384" t="str">
        <f t="shared" si="18"/>
        <v/>
      </c>
      <c r="S253" s="398" t="str">
        <f>IF(D253="","",VLOOKUP(D253,'G-6 Hedgerow Data'!$B$3:$AG$15,31,FALSE))</f>
        <v/>
      </c>
      <c r="T253" s="370" t="str">
        <f t="shared" si="21"/>
        <v/>
      </c>
      <c r="U253" s="370" t="str">
        <f t="shared" si="22"/>
        <v/>
      </c>
      <c r="V253" s="386" t="str">
        <f>IF(D253="","",VLOOKUP(S253,'G-3 Multipliers'!$P$3:$Q$6,2,FALSE))</f>
        <v/>
      </c>
      <c r="W253" s="390" t="str">
        <f t="shared" si="23"/>
        <v/>
      </c>
      <c r="X253" s="117"/>
      <c r="Y253" s="118"/>
      <c r="Z253" s="120"/>
      <c r="AG253" s="30" t="str">
        <f>IFERROR(INDEX('G-6 Hedgerow Data'!$BJ$3:$BJ$15,MATCH(D253,'G-6 Hedgerow Data'!$B$3:$B$15,0)),"")</f>
        <v/>
      </c>
    </row>
    <row r="254" spans="2:33" ht="15">
      <c r="B254" s="110">
        <v>243</v>
      </c>
      <c r="C254" s="167"/>
      <c r="D254" s="159"/>
      <c r="E254" s="139"/>
      <c r="F254" s="411" t="str">
        <f>IF(D254="","",VLOOKUP(D254,'G-6 Hedgerow Data'!$B$2:$AG$15,2,FALSE))</f>
        <v/>
      </c>
      <c r="G254" s="363" t="str">
        <f>IF(D254="","",VLOOKUP(D254,'G-6 Hedgerow Data'!$B$2:$AG$15,3,FALSE))</f>
        <v/>
      </c>
      <c r="H254" s="114"/>
      <c r="I254" s="363" t="str">
        <f>IFERROR(VLOOKUP(H254,'G-1 All Habitats'!$Z$2:$AA$9,2,FALSE),"")</f>
        <v/>
      </c>
      <c r="J254" s="114"/>
      <c r="K254" s="382" t="str">
        <f>IF(J254="","",IF(VLOOKUP(J254,'G-3 Multipliers'!$L$3:$N$6,2,FALSE)=0,"Spatial Data Missing ⚠",VLOOKUP(J254,'G-3 Multipliers'!$L$3:$N$6,2,FALSE)))</f>
        <v/>
      </c>
      <c r="L254" s="368" t="str">
        <f>IF(J254="","",IF(VLOOKUP(J254,'G-3 Multipliers'!$L$3:$N$6,3,FALSE)=0,"Spatial Data Missing ⚠",VLOOKUP(J254,'G-3 Multipliers'!$L$3:$N$6,3,FALSE)))</f>
        <v/>
      </c>
      <c r="M254" s="362" t="str">
        <f>IF(OR(D254="",H254=""),"",(INDEX('G-6 Hedgerow Data'!$E$3:$I$15,MATCH(D254,'G-6 Hedgerow Data'!$B$3:$B$15,0),MATCH(H254,'G-6 Hedgerow Data'!$E$2:$I$2,0))))</f>
        <v/>
      </c>
      <c r="N254" s="159"/>
      <c r="O254" s="159"/>
      <c r="P254" s="370" t="str">
        <f t="shared" si="19"/>
        <v/>
      </c>
      <c r="Q254" s="383" t="str">
        <f t="shared" si="20"/>
        <v/>
      </c>
      <c r="R254" s="384" t="str">
        <f t="shared" si="18"/>
        <v/>
      </c>
      <c r="S254" s="398" t="str">
        <f>IF(D254="","",VLOOKUP(D254,'G-6 Hedgerow Data'!$B$3:$AG$15,31,FALSE))</f>
        <v/>
      </c>
      <c r="T254" s="370" t="str">
        <f t="shared" si="21"/>
        <v/>
      </c>
      <c r="U254" s="370" t="str">
        <f t="shared" si="22"/>
        <v/>
      </c>
      <c r="V254" s="386" t="str">
        <f>IF(D254="","",VLOOKUP(S254,'G-3 Multipliers'!$P$3:$Q$6,2,FALSE))</f>
        <v/>
      </c>
      <c r="W254" s="390" t="str">
        <f t="shared" si="23"/>
        <v/>
      </c>
      <c r="X254" s="117"/>
      <c r="Y254" s="118"/>
      <c r="Z254" s="120"/>
      <c r="AG254" s="30" t="str">
        <f>IFERROR(INDEX('G-6 Hedgerow Data'!$BJ$3:$BJ$15,MATCH(D254,'G-6 Hedgerow Data'!$B$3:$B$15,0)),"")</f>
        <v/>
      </c>
    </row>
    <row r="255" spans="2:33" ht="15">
      <c r="B255" s="110">
        <v>244</v>
      </c>
      <c r="C255" s="167"/>
      <c r="D255" s="159"/>
      <c r="E255" s="139"/>
      <c r="F255" s="411" t="str">
        <f>IF(D255="","",VLOOKUP(D255,'G-6 Hedgerow Data'!$B$2:$AG$15,2,FALSE))</f>
        <v/>
      </c>
      <c r="G255" s="363" t="str">
        <f>IF(D255="","",VLOOKUP(D255,'G-6 Hedgerow Data'!$B$2:$AG$15,3,FALSE))</f>
        <v/>
      </c>
      <c r="H255" s="114"/>
      <c r="I255" s="363" t="str">
        <f>IFERROR(VLOOKUP(H255,'G-1 All Habitats'!$Z$2:$AA$9,2,FALSE),"")</f>
        <v/>
      </c>
      <c r="J255" s="114"/>
      <c r="K255" s="382" t="str">
        <f>IF(J255="","",IF(VLOOKUP(J255,'G-3 Multipliers'!$L$3:$N$6,2,FALSE)=0,"Spatial Data Missing ⚠",VLOOKUP(J255,'G-3 Multipliers'!$L$3:$N$6,2,FALSE)))</f>
        <v/>
      </c>
      <c r="L255" s="368" t="str">
        <f>IF(J255="","",IF(VLOOKUP(J255,'G-3 Multipliers'!$L$3:$N$6,3,FALSE)=0,"Spatial Data Missing ⚠",VLOOKUP(J255,'G-3 Multipliers'!$L$3:$N$6,3,FALSE)))</f>
        <v/>
      </c>
      <c r="M255" s="362" t="str">
        <f>IF(OR(D255="",H255=""),"",(INDEX('G-6 Hedgerow Data'!$E$3:$I$15,MATCH(D255,'G-6 Hedgerow Data'!$B$3:$B$15,0),MATCH(H255,'G-6 Hedgerow Data'!$E$2:$I$2,0))))</f>
        <v/>
      </c>
      <c r="N255" s="159"/>
      <c r="O255" s="159"/>
      <c r="P255" s="370" t="str">
        <f t="shared" si="19"/>
        <v/>
      </c>
      <c r="Q255" s="383" t="str">
        <f t="shared" si="20"/>
        <v/>
      </c>
      <c r="R255" s="384" t="str">
        <f t="shared" si="18"/>
        <v/>
      </c>
      <c r="S255" s="398" t="str">
        <f>IF(D255="","",VLOOKUP(D255,'G-6 Hedgerow Data'!$B$3:$AG$15,31,FALSE))</f>
        <v/>
      </c>
      <c r="T255" s="370" t="str">
        <f t="shared" si="21"/>
        <v/>
      </c>
      <c r="U255" s="370" t="str">
        <f t="shared" si="22"/>
        <v/>
      </c>
      <c r="V255" s="386" t="str">
        <f>IF(D255="","",VLOOKUP(S255,'G-3 Multipliers'!$P$3:$Q$6,2,FALSE))</f>
        <v/>
      </c>
      <c r="W255" s="390" t="str">
        <f t="shared" si="23"/>
        <v/>
      </c>
      <c r="X255" s="117"/>
      <c r="Y255" s="118"/>
      <c r="Z255" s="120"/>
      <c r="AG255" s="30" t="str">
        <f>IFERROR(INDEX('G-6 Hedgerow Data'!$BJ$3:$BJ$15,MATCH(D255,'G-6 Hedgerow Data'!$B$3:$B$15,0)),"")</f>
        <v/>
      </c>
    </row>
    <row r="256" spans="2:33" ht="15">
      <c r="B256" s="110">
        <v>245</v>
      </c>
      <c r="C256" s="167"/>
      <c r="D256" s="159"/>
      <c r="E256" s="139"/>
      <c r="F256" s="411" t="str">
        <f>IF(D256="","",VLOOKUP(D256,'G-6 Hedgerow Data'!$B$2:$AG$15,2,FALSE))</f>
        <v/>
      </c>
      <c r="G256" s="363" t="str">
        <f>IF(D256="","",VLOOKUP(D256,'G-6 Hedgerow Data'!$B$2:$AG$15,3,FALSE))</f>
        <v/>
      </c>
      <c r="H256" s="114"/>
      <c r="I256" s="363" t="str">
        <f>IFERROR(VLOOKUP(H256,'G-1 All Habitats'!$Z$2:$AA$9,2,FALSE),"")</f>
        <v/>
      </c>
      <c r="J256" s="114"/>
      <c r="K256" s="382" t="str">
        <f>IF(J256="","",IF(VLOOKUP(J256,'G-3 Multipliers'!$L$3:$N$6,2,FALSE)=0,"Spatial Data Missing ⚠",VLOOKUP(J256,'G-3 Multipliers'!$L$3:$N$6,2,FALSE)))</f>
        <v/>
      </c>
      <c r="L256" s="368" t="str">
        <f>IF(J256="","",IF(VLOOKUP(J256,'G-3 Multipliers'!$L$3:$N$6,3,FALSE)=0,"Spatial Data Missing ⚠",VLOOKUP(J256,'G-3 Multipliers'!$L$3:$N$6,3,FALSE)))</f>
        <v/>
      </c>
      <c r="M256" s="362" t="str">
        <f>IF(OR(D256="",H256=""),"",(INDEX('G-6 Hedgerow Data'!$E$3:$I$15,MATCH(D256,'G-6 Hedgerow Data'!$B$3:$B$15,0),MATCH(H256,'G-6 Hedgerow Data'!$E$2:$I$2,0))))</f>
        <v/>
      </c>
      <c r="N256" s="159"/>
      <c r="O256" s="159"/>
      <c r="P256" s="370" t="str">
        <f t="shared" si="19"/>
        <v/>
      </c>
      <c r="Q256" s="383" t="str">
        <f t="shared" si="20"/>
        <v/>
      </c>
      <c r="R256" s="384" t="str">
        <f t="shared" si="18"/>
        <v/>
      </c>
      <c r="S256" s="398" t="str">
        <f>IF(D256="","",VLOOKUP(D256,'G-6 Hedgerow Data'!$B$3:$AG$15,31,FALSE))</f>
        <v/>
      </c>
      <c r="T256" s="370" t="str">
        <f t="shared" si="21"/>
        <v/>
      </c>
      <c r="U256" s="370" t="str">
        <f t="shared" si="22"/>
        <v/>
      </c>
      <c r="V256" s="386" t="str">
        <f>IF(D256="","",VLOOKUP(S256,'G-3 Multipliers'!$P$3:$Q$6,2,FALSE))</f>
        <v/>
      </c>
      <c r="W256" s="390" t="str">
        <f t="shared" si="23"/>
        <v/>
      </c>
      <c r="X256" s="117"/>
      <c r="Y256" s="118"/>
      <c r="Z256" s="120"/>
      <c r="AG256" s="30" t="str">
        <f>IFERROR(INDEX('G-6 Hedgerow Data'!$BJ$3:$BJ$15,MATCH(D256,'G-6 Hedgerow Data'!$B$3:$B$15,0)),"")</f>
        <v/>
      </c>
    </row>
    <row r="257" spans="2:33" ht="15">
      <c r="B257" s="110">
        <v>246</v>
      </c>
      <c r="C257" s="167"/>
      <c r="D257" s="159"/>
      <c r="E257" s="139"/>
      <c r="F257" s="411" t="str">
        <f>IF(D257="","",VLOOKUP(D257,'G-6 Hedgerow Data'!$B$2:$AG$15,2,FALSE))</f>
        <v/>
      </c>
      <c r="G257" s="363" t="str">
        <f>IF(D257="","",VLOOKUP(D257,'G-6 Hedgerow Data'!$B$2:$AG$15,3,FALSE))</f>
        <v/>
      </c>
      <c r="H257" s="114"/>
      <c r="I257" s="363" t="str">
        <f>IFERROR(VLOOKUP(H257,'G-1 All Habitats'!$Z$2:$AA$9,2,FALSE),"")</f>
        <v/>
      </c>
      <c r="J257" s="114"/>
      <c r="K257" s="382" t="str">
        <f>IF(J257="","",IF(VLOOKUP(J257,'G-3 Multipliers'!$L$3:$N$6,2,FALSE)=0,"Spatial Data Missing ⚠",VLOOKUP(J257,'G-3 Multipliers'!$L$3:$N$6,2,FALSE)))</f>
        <v/>
      </c>
      <c r="L257" s="368" t="str">
        <f>IF(J257="","",IF(VLOOKUP(J257,'G-3 Multipliers'!$L$3:$N$6,3,FALSE)=0,"Spatial Data Missing ⚠",VLOOKUP(J257,'G-3 Multipliers'!$L$3:$N$6,3,FALSE)))</f>
        <v/>
      </c>
      <c r="M257" s="362" t="str">
        <f>IF(OR(D257="",H257=""),"",(INDEX('G-6 Hedgerow Data'!$E$3:$I$15,MATCH(D257,'G-6 Hedgerow Data'!$B$3:$B$15,0),MATCH(H257,'G-6 Hedgerow Data'!$E$2:$I$2,0))))</f>
        <v/>
      </c>
      <c r="N257" s="159"/>
      <c r="O257" s="159"/>
      <c r="P257" s="370" t="str">
        <f t="shared" si="19"/>
        <v/>
      </c>
      <c r="Q257" s="383" t="str">
        <f t="shared" si="20"/>
        <v/>
      </c>
      <c r="R257" s="384" t="str">
        <f t="shared" si="18"/>
        <v/>
      </c>
      <c r="S257" s="398" t="str">
        <f>IF(D257="","",VLOOKUP(D257,'G-6 Hedgerow Data'!$B$3:$AG$15,31,FALSE))</f>
        <v/>
      </c>
      <c r="T257" s="370" t="str">
        <f t="shared" si="21"/>
        <v/>
      </c>
      <c r="U257" s="370" t="str">
        <f t="shared" si="22"/>
        <v/>
      </c>
      <c r="V257" s="386" t="str">
        <f>IF(D257="","",VLOOKUP(S257,'G-3 Multipliers'!$P$3:$Q$6,2,FALSE))</f>
        <v/>
      </c>
      <c r="W257" s="390" t="str">
        <f t="shared" si="23"/>
        <v/>
      </c>
      <c r="X257" s="117"/>
      <c r="Y257" s="118"/>
      <c r="Z257" s="120"/>
      <c r="AG257" s="30" t="str">
        <f>IFERROR(INDEX('G-6 Hedgerow Data'!$BJ$3:$BJ$15,MATCH(D257,'G-6 Hedgerow Data'!$B$3:$B$15,0)),"")</f>
        <v/>
      </c>
    </row>
    <row r="258" spans="2:33" ht="15">
      <c r="B258" s="110">
        <v>247</v>
      </c>
      <c r="C258" s="167"/>
      <c r="D258" s="159"/>
      <c r="E258" s="139"/>
      <c r="F258" s="411" t="str">
        <f>IF(D258="","",VLOOKUP(D258,'G-6 Hedgerow Data'!$B$2:$AG$15,2,FALSE))</f>
        <v/>
      </c>
      <c r="G258" s="363" t="str">
        <f>IF(D258="","",VLOOKUP(D258,'G-6 Hedgerow Data'!$B$2:$AG$15,3,FALSE))</f>
        <v/>
      </c>
      <c r="H258" s="114"/>
      <c r="I258" s="363" t="str">
        <f>IFERROR(VLOOKUP(H258,'G-1 All Habitats'!$Z$2:$AA$9,2,FALSE),"")</f>
        <v/>
      </c>
      <c r="J258" s="114"/>
      <c r="K258" s="382" t="str">
        <f>IF(J258="","",IF(VLOOKUP(J258,'G-3 Multipliers'!$L$3:$N$6,2,FALSE)=0,"Spatial Data Missing ⚠",VLOOKUP(J258,'G-3 Multipliers'!$L$3:$N$6,2,FALSE)))</f>
        <v/>
      </c>
      <c r="L258" s="368" t="str">
        <f>IF(J258="","",IF(VLOOKUP(J258,'G-3 Multipliers'!$L$3:$N$6,3,FALSE)=0,"Spatial Data Missing ⚠",VLOOKUP(J258,'G-3 Multipliers'!$L$3:$N$6,3,FALSE)))</f>
        <v/>
      </c>
      <c r="M258" s="362" t="str">
        <f>IF(OR(D258="",H258=""),"",(INDEX('G-6 Hedgerow Data'!$E$3:$I$15,MATCH(D258,'G-6 Hedgerow Data'!$B$3:$B$15,0),MATCH(H258,'G-6 Hedgerow Data'!$E$2:$I$2,0))))</f>
        <v/>
      </c>
      <c r="N258" s="159"/>
      <c r="O258" s="159"/>
      <c r="P258" s="370" t="str">
        <f t="shared" si="19"/>
        <v/>
      </c>
      <c r="Q258" s="383" t="str">
        <f t="shared" si="20"/>
        <v/>
      </c>
      <c r="R258" s="384" t="str">
        <f t="shared" si="18"/>
        <v/>
      </c>
      <c r="S258" s="398" t="str">
        <f>IF(D258="","",VLOOKUP(D258,'G-6 Hedgerow Data'!$B$3:$AG$15,31,FALSE))</f>
        <v/>
      </c>
      <c r="T258" s="370" t="str">
        <f t="shared" si="21"/>
        <v/>
      </c>
      <c r="U258" s="370" t="str">
        <f t="shared" si="22"/>
        <v/>
      </c>
      <c r="V258" s="386" t="str">
        <f>IF(D258="","",VLOOKUP(S258,'G-3 Multipliers'!$P$3:$Q$6,2,FALSE))</f>
        <v/>
      </c>
      <c r="W258" s="390" t="str">
        <f t="shared" si="23"/>
        <v/>
      </c>
      <c r="X258" s="117"/>
      <c r="Y258" s="118"/>
      <c r="Z258" s="120"/>
      <c r="AG258" s="30" t="str">
        <f>IFERROR(INDEX('G-6 Hedgerow Data'!$BJ$3:$BJ$15,MATCH(D258,'G-6 Hedgerow Data'!$B$3:$B$15,0)),"")</f>
        <v/>
      </c>
    </row>
    <row r="259" spans="2:33" ht="15.75" thickBot="1">
      <c r="B259" s="126">
        <v>248</v>
      </c>
      <c r="C259" s="254"/>
      <c r="D259" s="168"/>
      <c r="E259" s="128"/>
      <c r="F259" s="389" t="str">
        <f>IF(D259="","",VLOOKUP(D259,'G-6 Hedgerow Data'!$B$2:$AG$15,2,FALSE))</f>
        <v/>
      </c>
      <c r="G259" s="363" t="str">
        <f>IF(D259="","",VLOOKUP(D259,'G-6 Hedgerow Data'!$B$2:$AG$15,3,FALSE))</f>
        <v/>
      </c>
      <c r="H259" s="129"/>
      <c r="I259" s="363" t="str">
        <f>IFERROR(VLOOKUP(H259,'G-1 All Habitats'!$Z$2:$AA$9,2,FALSE),"")</f>
        <v/>
      </c>
      <c r="J259" s="129"/>
      <c r="K259" s="371" t="str">
        <f>IF(J259="","",IF(VLOOKUP(J259,'G-3 Multipliers'!$L$3:$N$6,2,FALSE)=0,"Spatial Data Missing ⚠",VLOOKUP(J259,'G-3 Multipliers'!$L$3:$N$6,2,FALSE)))</f>
        <v/>
      </c>
      <c r="L259" s="372" t="str">
        <f>IF(J259="","",IF(VLOOKUP(J259,'G-3 Multipliers'!$L$3:$N$6,3,FALSE)=0,"Spatial Data Missing ⚠",VLOOKUP(J259,'G-3 Multipliers'!$L$3:$N$6,3,FALSE)))</f>
        <v/>
      </c>
      <c r="M259" s="364" t="str">
        <f>IF(OR(D259="",H259=""),"",(INDEX('G-6 Hedgerow Data'!$E$3:$I$15,MATCH(D259,'G-6 Hedgerow Data'!$B$3:$B$15,0),MATCH(H259,'G-6 Hedgerow Data'!$E$2:$I$2,0))))</f>
        <v/>
      </c>
      <c r="N259" s="159"/>
      <c r="O259" s="168"/>
      <c r="P259" s="370" t="str">
        <f t="shared" si="19"/>
        <v/>
      </c>
      <c r="Q259" s="383" t="str">
        <f t="shared" si="20"/>
        <v/>
      </c>
      <c r="R259" s="384" t="str">
        <f t="shared" si="18"/>
        <v/>
      </c>
      <c r="S259" s="364" t="str">
        <f>IF(D259="","",VLOOKUP(D259,'G-6 Hedgerow Data'!$B$3:$AG$15,31,FALSE))</f>
        <v/>
      </c>
      <c r="T259" s="370" t="str">
        <f t="shared" si="21"/>
        <v/>
      </c>
      <c r="U259" s="370" t="str">
        <f t="shared" si="22"/>
        <v/>
      </c>
      <c r="V259" s="365" t="str">
        <f>IF(D259="","",VLOOKUP(S259,'G-3 Multipliers'!$P$3:$Q$6,2,FALSE))</f>
        <v/>
      </c>
      <c r="W259" s="390" t="str">
        <f t="shared" si="23"/>
        <v/>
      </c>
      <c r="X259" s="130"/>
      <c r="Y259" s="131"/>
      <c r="Z259" s="131"/>
      <c r="AG259" s="30" t="str">
        <f>IFERROR(INDEX('G-6 Hedgerow Data'!$BJ$3:$BJ$15,MATCH(D259,'G-6 Hedgerow Data'!$B$3:$B$15,0)),"")</f>
        <v/>
      </c>
    </row>
    <row r="260" spans="2:33" ht="15.75" customHeight="1" thickBot="1">
      <c r="B260" s="34"/>
      <c r="C260" s="34"/>
      <c r="D260" s="223"/>
      <c r="E260" s="366">
        <f>SUM(E12:E259)</f>
        <v>2.4900000000000002</v>
      </c>
      <c r="F260" s="34"/>
      <c r="G260" s="34"/>
      <c r="H260" s="34"/>
      <c r="I260" s="34"/>
      <c r="J260" s="34"/>
      <c r="K260" s="34"/>
      <c r="L260" s="34"/>
      <c r="M260" s="34"/>
      <c r="N260" s="34"/>
      <c r="O260" s="34"/>
      <c r="P260" s="34"/>
      <c r="Q260" s="34"/>
      <c r="R260" s="34"/>
      <c r="S260" s="34"/>
      <c r="T260" s="34"/>
      <c r="U260" s="1586"/>
      <c r="V260" s="1587"/>
      <c r="W260" s="366">
        <f>SUM(W12:W259)</f>
        <v>16.669627715952004</v>
      </c>
      <c r="X260" s="34"/>
      <c r="Y260" s="34"/>
    </row>
    <row r="261" spans="2:33" ht="28.9" customHeight="1">
      <c r="E261" s="1585"/>
      <c r="F261" s="1585"/>
      <c r="G261" s="1585"/>
      <c r="H261" s="1585"/>
      <c r="I261" s="1585"/>
      <c r="J261" s="1585"/>
    </row>
    <row r="262" spans="2:33" ht="27" customHeight="1"/>
    <row r="263" spans="2:33" ht="15"/>
    <row r="264" spans="2:33" ht="15"/>
    <row r="265" spans="2:33" ht="15"/>
    <row r="266" spans="2:33" ht="15"/>
    <row r="267" spans="2:33" ht="15"/>
    <row r="268" spans="2:33" ht="15"/>
  </sheetData>
  <sheetProtection algorithmName="SHA-512" hashValue="c4mYJqbRMyt8mWxlYSeVqJX5C9iPysJy8/liH0eF5Z97nxnrq6cECi5zQuTeq88Re82EFYqwLOPpcPdkaKbGmQ==" saltValue="td8X8/CB0RZGs4Ng9hsB9g==" spinCount="100000" sheet="1" objects="1" scenarios="1"/>
  <customSheetViews>
    <customSheetView guid="{8BDA793C-C9C5-4FC6-A0A5-F1109F6D4F22}" state="hidden">
      <pane ySplit="11" topLeftCell="A12" activePane="bottomLeft" state="frozen"/>
      <selection pane="bottomLeft" activeCell="D14" sqref="D14"/>
    </customSheetView>
  </customSheetViews>
  <mergeCells count="20">
    <mergeCell ref="U260:V260"/>
    <mergeCell ref="M3:R5"/>
    <mergeCell ref="I3:J3"/>
    <mergeCell ref="W10:W11"/>
    <mergeCell ref="X10:Y10"/>
    <mergeCell ref="S10:V10"/>
    <mergeCell ref="M10:R10"/>
    <mergeCell ref="E261:J261"/>
    <mergeCell ref="B2:D2"/>
    <mergeCell ref="B3:D4"/>
    <mergeCell ref="D10:E10"/>
    <mergeCell ref="H10:I10"/>
    <mergeCell ref="J10:L10"/>
    <mergeCell ref="F10:G10"/>
    <mergeCell ref="F3:H3"/>
    <mergeCell ref="F4:H4"/>
    <mergeCell ref="I4:J4"/>
    <mergeCell ref="F2:J2"/>
    <mergeCell ref="F5:H5"/>
    <mergeCell ref="I5:J5"/>
  </mergeCells>
  <conditionalFormatting sqref="W12:W259">
    <cfRule type="containsText" dxfId="479" priority="26" operator="containsText" text="Existing Value Not Required">
      <formula>NOT(ISERROR(SEARCH("Existing Value Not Required",W12)))</formula>
    </cfRule>
    <cfRule type="containsText" dxfId="478" priority="27" operator="containsText" text="Existing Value Required">
      <formula>NOT(ISERROR(SEARCH("Existing Value Required",W12)))</formula>
    </cfRule>
  </conditionalFormatting>
  <conditionalFormatting sqref="K12:K259">
    <cfRule type="containsText" dxfId="477" priority="25" operator="containsText" text="Spatial">
      <formula>NOT(ISERROR(SEARCH("Spatial",K12)))</formula>
    </cfRule>
  </conditionalFormatting>
  <conditionalFormatting sqref="L12:L259">
    <cfRule type="containsText" dxfId="476" priority="24" operator="containsText" text="Spatial">
      <formula>NOT(ISERROR(SEARCH("Spatial",L12)))</formula>
    </cfRule>
  </conditionalFormatting>
  <conditionalFormatting sqref="M6:Q7 M3">
    <cfRule type="containsText" dxfId="475" priority="23" operator="containsText" text="Note">
      <formula>NOT(ISERROR(SEARCH("Note",M3)))</formula>
    </cfRule>
  </conditionalFormatting>
  <conditionalFormatting sqref="P12:P259">
    <cfRule type="containsText" dxfId="474" priority="21" operator="containsText" text="Check">
      <formula>NOT(ISERROR(SEARCH("Check",P12)))</formula>
    </cfRule>
    <cfRule type="containsText" dxfId="473" priority="22" operator="containsText" text="Error">
      <formula>NOT(ISERROR(SEARCH("Error",P12)))</formula>
    </cfRule>
  </conditionalFormatting>
  <conditionalFormatting sqref="Q12:Q259">
    <cfRule type="containsText" dxfId="472" priority="20" operator="containsText" text="Check">
      <formula>NOT(ISERROR(SEARCH("Check",Q12)))</formula>
    </cfRule>
  </conditionalFormatting>
  <conditionalFormatting sqref="R12:R259">
    <cfRule type="containsText" dxfId="471" priority="19" operator="containsText" text="Check">
      <formula>NOT(ISERROR(SEARCH("Check",R12)))</formula>
    </cfRule>
  </conditionalFormatting>
  <conditionalFormatting sqref="T12:T259">
    <cfRule type="containsText" dxfId="470" priority="17" operator="containsText" text="No - Low Difficulty">
      <formula>NOT(ISERROR(SEARCH("No - Low Difficulty",T12)))</formula>
    </cfRule>
    <cfRule type="containsText" dxfId="469" priority="18" operator="containsText" text="Check">
      <formula>NOT(ISERROR(SEARCH("Check",T12)))</formula>
    </cfRule>
  </conditionalFormatting>
  <conditionalFormatting sqref="E261:J261">
    <cfRule type="containsText" dxfId="468" priority="16" operator="containsText" text="Check">
      <formula>NOT(ISERROR(SEARCH("Check",E261)))</formula>
    </cfRule>
  </conditionalFormatting>
  <conditionalFormatting sqref="Q12:Q259">
    <cfRule type="containsText" dxfId="467" priority="15" operator="containsText" text="30+">
      <formula>NOT(ISERROR(SEARCH("30+",Q12)))</formula>
    </cfRule>
  </conditionalFormatting>
  <conditionalFormatting sqref="I3">
    <cfRule type="containsText" dxfId="466" priority="13" operator="containsText" text="Error">
      <formula>NOT(ISERROR(SEARCH("Error",I3)))</formula>
    </cfRule>
    <cfRule type="containsText" dxfId="465" priority="14" operator="containsText" text="Check">
      <formula>NOT(ISERROR(SEARCH("Check",I3)))</formula>
    </cfRule>
  </conditionalFormatting>
  <conditionalFormatting sqref="I4">
    <cfRule type="containsText" dxfId="464" priority="3" operator="containsText" text="Error">
      <formula>NOT(ISERROR(SEARCH("Error",I4)))</formula>
    </cfRule>
    <cfRule type="containsText" dxfId="463" priority="4" operator="containsText" text="Check">
      <formula>NOT(ISERROR(SEARCH("Check",I4)))</formula>
    </cfRule>
  </conditionalFormatting>
  <conditionalFormatting sqref="I5">
    <cfRule type="containsText" dxfId="462" priority="7" operator="containsText" text="No">
      <formula>NOT(ISERROR(SEARCH("No",I5)))</formula>
    </cfRule>
    <cfRule type="containsText" dxfId="461" priority="8" operator="containsText" text="Yes">
      <formula>NOT(ISERROR(SEARCH("Yes",I5)))</formula>
    </cfRule>
  </conditionalFormatting>
  <conditionalFormatting sqref="I12:I259">
    <cfRule type="containsText" dxfId="460" priority="6" operator="containsText" text="Not possible">
      <formula>NOT(ISERROR(SEARCH("Not possible",I12)))</formula>
    </cfRule>
  </conditionalFormatting>
  <conditionalFormatting sqref="I4:J4">
    <cfRule type="cellIs" dxfId="459" priority="2" operator="equal">
      <formula>0</formula>
    </cfRule>
    <cfRule type="cellIs" dxfId="458" priority="5" operator="lessThan">
      <formula>0</formula>
    </cfRule>
  </conditionalFormatting>
  <conditionalFormatting sqref="I3:J5">
    <cfRule type="containsText" dxfId="457" priority="1" operator="containsText" text="N/A">
      <formula>NOT(ISERROR(SEARCH("N/A",I3)))</formula>
    </cfRule>
  </conditionalFormatting>
  <dataValidations count="1">
    <dataValidation type="list" allowBlank="1" showInputMessage="1" showErrorMessage="1" sqref="H12:H259" xr:uid="{00000000-0002-0000-1200-000000000000}">
      <formula1>INDIRECT(AG12)</formula1>
    </dataValidation>
  </dataValidations>
  <pageMargins left="0.7" right="0.7" top="0.75" bottom="0.75" header="0.3" footer="0.3"/>
  <pageSetup paperSize="9" orientation="portrait" horizontalDpi="90" verticalDpi="90" r:id="rId1"/>
  <drawing r:id="rId2"/>
  <extLst>
    <ext xmlns:x14="http://schemas.microsoft.com/office/spreadsheetml/2009/9/main" uri="{78C0D931-6437-407d-A8EE-F0AAD7539E65}">
      <x14:conditionalFormattings>
        <x14:conditionalFormatting xmlns:xm="http://schemas.microsoft.com/office/excel/2006/main">
          <x14:cfRule type="cellIs" priority="436" operator="lessThan" id="{96391D0B-65D4-461C-B97E-32341A4ADCD7}">
            <xm:f>Start!$F$22</xm:f>
            <x14:dxf>
              <font>
                <color rgb="FF383745"/>
              </font>
              <fill>
                <patternFill>
                  <bgColor rgb="FFFFC000"/>
                </patternFill>
              </fill>
            </x14:dxf>
          </x14:cfRule>
          <x14:cfRule type="cellIs" priority="437" operator="greaterThanOrEqual" id="{88A1BD4A-F951-4071-B5B8-A7E8DD286AB5}">
            <xm:f>Start!$F$22</xm:f>
            <x14:dxf>
              <font>
                <color rgb="FF383745"/>
              </font>
              <fill>
                <patternFill>
                  <bgColor rgb="FF92D050"/>
                </patternFill>
              </fill>
            </x14:dxf>
          </x14:cfRule>
          <xm:sqref>I4:J4</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00000000-0002-0000-1200-000001000000}">
          <x14:formula1>
            <xm:f>'G-6 Hedgerow Data'!$B$3:$B$15</xm:f>
          </x14:formula1>
          <xm:sqref>D12:D259</xm:sqref>
        </x14:dataValidation>
        <x14:dataValidation type="list" allowBlank="1" showInputMessage="1" showErrorMessage="1" xr:uid="{00000000-0002-0000-1200-000002000000}">
          <x14:formula1>
            <xm:f>'G-3 Multipliers'!$L$4:$L$6</xm:f>
          </x14:formula1>
          <xm:sqref>J12:J259</xm:sqref>
        </x14:dataValidation>
        <x14:dataValidation type="list" allowBlank="1" showInputMessage="1" showErrorMessage="1" xr:uid="{00000000-0002-0000-1200-000004000000}">
          <x14:formula1>
            <xm:f>'G-4 Temporal multipliers'!$A$42:$A$73</xm:f>
          </x14:formula1>
          <xm:sqref>N12:O259</xm:sqref>
        </x14:dataValidation>
      </x14:dataValidations>
    </ext>
  </extLst>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29">
    <tabColor rgb="FF663300"/>
  </sheetPr>
  <dimension ref="A1:AT266"/>
  <sheetViews>
    <sheetView showGridLines="0" zoomScale="80" zoomScaleNormal="80" workbookViewId="0">
      <pane ySplit="11" topLeftCell="A12" activePane="bottomLeft" state="frozen"/>
      <selection pane="bottomLeft" activeCell="N6" sqref="N6"/>
    </sheetView>
  </sheetViews>
  <sheetFormatPr defaultColWidth="0" defaultRowHeight="0" customHeight="1" zeroHeight="1"/>
  <cols>
    <col min="1" max="1" width="2.7109375" style="30" customWidth="1"/>
    <col min="2" max="2" width="10" style="30" customWidth="1"/>
    <col min="3" max="3" width="53.28515625" style="30" customWidth="1"/>
    <col min="4" max="4" width="9" style="30" customWidth="1"/>
    <col min="5" max="5" width="18.7109375" style="30" customWidth="1"/>
    <col min="6" max="6" width="17.5703125" style="30" customWidth="1"/>
    <col min="7" max="7" width="18.28515625" style="30" customWidth="1"/>
    <col min="8" max="11" width="19.28515625" style="30" customWidth="1"/>
    <col min="12" max="12" width="33.42578125" style="30" customWidth="1"/>
    <col min="13" max="13" width="68.7109375" style="30" customWidth="1"/>
    <col min="14" max="15" width="34.28515625" style="30" customWidth="1"/>
    <col min="16" max="16" width="10.28515625" style="30" customWidth="1"/>
    <col min="17" max="17" width="17.5703125" style="30" customWidth="1"/>
    <col min="18" max="18" width="13.28515625" style="30" customWidth="1"/>
    <col min="19" max="19" width="12.5703125" style="30" bestFit="1" customWidth="1"/>
    <col min="20" max="20" width="12.5703125" style="30" customWidth="1"/>
    <col min="21" max="21" width="41.7109375" style="30" customWidth="1"/>
    <col min="22" max="22" width="15.42578125" style="30" customWidth="1"/>
    <col min="23" max="23" width="12.28515625" style="30" customWidth="1"/>
    <col min="24" max="24" width="18.7109375" style="30" customWidth="1"/>
    <col min="25" max="25" width="21.7109375" style="30" customWidth="1"/>
    <col min="26" max="26" width="22.7109375" style="30" customWidth="1"/>
    <col min="27" max="27" width="33.5703125" style="30" customWidth="1"/>
    <col min="28" max="28" width="18.7109375" style="30" customWidth="1"/>
    <col min="29" max="29" width="15.28515625" style="30" customWidth="1"/>
    <col min="30" max="30" width="15.7109375" style="30" customWidth="1"/>
    <col min="31" max="31" width="24" style="30" customWidth="1"/>
    <col min="32" max="32" width="22.28515625" style="30" customWidth="1"/>
    <col min="33" max="33" width="13.42578125" style="30" customWidth="1"/>
    <col min="34" max="34" width="12.7109375" style="30" customWidth="1"/>
    <col min="35" max="36" width="34.7109375" style="30" customWidth="1"/>
    <col min="37" max="37" width="13.5703125" style="30" customWidth="1"/>
    <col min="38" max="45" width="8.7109375" style="30" customWidth="1"/>
    <col min="46" max="46" width="15.7109375" style="30" hidden="1" customWidth="1"/>
    <col min="47" max="16384" width="8.7109375" style="30" hidden="1"/>
  </cols>
  <sheetData>
    <row r="1" spans="2:46" ht="15.75" customHeight="1" thickBot="1"/>
    <row r="2" spans="2:46" ht="19.899999999999999" customHeight="1" thickBot="1">
      <c r="B2" s="1554" t="str">
        <f>CONCATENATE("Project Name:", " ", Start!F12, "     ", "Map Reference:", " ", Start!K55)</f>
        <v xml:space="preserve">Project Name: Grove Farm Solar     Map Reference: </v>
      </c>
      <c r="C2" s="1555"/>
      <c r="D2" s="1556"/>
      <c r="M2" s="503"/>
      <c r="N2" s="1590" t="s">
        <v>380</v>
      </c>
      <c r="O2" s="1591"/>
      <c r="P2" s="1592"/>
      <c r="X2" s="1463" t="str">
        <f>IF(OR(COUNTIF($X$12:X257,"*30+*")&gt;0,COUNTIF($AB$12:AB257,"*30+*")&gt;0),"Note; Habitat selected has a time to target condition greater than 30 years. Non standard agreement may be required.","")</f>
        <v/>
      </c>
      <c r="Y2" s="1463"/>
      <c r="Z2" s="1463"/>
      <c r="AA2" s="1463"/>
      <c r="AB2" s="1463"/>
      <c r="AC2" s="1463"/>
    </row>
    <row r="3" spans="2:46" ht="21" customHeight="1">
      <c r="B3" s="1512" t="str">
        <f ca="1">MID(CELL("filename",A1),FIND("]",CELL("filename",A1))+1,256)</f>
        <v>B-3 On-Site Hedge Enhancement</v>
      </c>
      <c r="C3" s="1513"/>
      <c r="D3" s="1514"/>
      <c r="N3" s="535" t="s">
        <v>263</v>
      </c>
      <c r="O3" s="1501">
        <f>'Headline Results'!H48</f>
        <v>16.669627715952004</v>
      </c>
      <c r="P3" s="1502"/>
      <c r="X3" s="1463"/>
      <c r="Y3" s="1463"/>
      <c r="Z3" s="1463"/>
      <c r="AA3" s="1463"/>
      <c r="AB3" s="1463"/>
      <c r="AC3" s="1463"/>
    </row>
    <row r="4" spans="2:46" ht="15.75" customHeight="1" thickBot="1">
      <c r="B4" s="1515"/>
      <c r="C4" s="1516"/>
      <c r="D4" s="1517"/>
      <c r="N4" s="506" t="s">
        <v>265</v>
      </c>
      <c r="O4" s="1577">
        <f>'Headline Results'!H52</f>
        <v>1.0264549086177341</v>
      </c>
      <c r="P4" s="1578"/>
      <c r="V4" s="31"/>
      <c r="W4" s="158"/>
      <c r="X4" s="1463"/>
      <c r="Y4" s="1463"/>
      <c r="Z4" s="1463"/>
      <c r="AA4" s="1463"/>
      <c r="AB4" s="1463"/>
      <c r="AC4" s="1463"/>
      <c r="AD4" s="158"/>
      <c r="AE4" s="158"/>
      <c r="AF4" s="158"/>
      <c r="AG4" s="158"/>
      <c r="AH4" s="158"/>
      <c r="AI4" s="158"/>
      <c r="AJ4" s="158"/>
    </row>
    <row r="5" spans="2:46" ht="15.75" customHeight="1" thickBot="1">
      <c r="N5" s="536" t="s">
        <v>267</v>
      </c>
      <c r="O5" s="1579" t="str" cm="1">
        <f t="array" ref="O5">IF(OR('Trading Summary Hedgerows'!G5:H8="No ▲"), "No - check trading summary ▲", "Yes ✓")</f>
        <v>Yes ✓</v>
      </c>
      <c r="P5" s="1580"/>
      <c r="Q5" s="509"/>
      <c r="X5" s="312"/>
      <c r="Y5" s="312"/>
      <c r="Z5" s="312"/>
      <c r="AA5" s="312"/>
      <c r="AB5" s="312"/>
    </row>
    <row r="6" spans="2:46" ht="15.75" customHeight="1">
      <c r="X6" s="312"/>
      <c r="Y6" s="312"/>
      <c r="Z6" s="312"/>
      <c r="AA6" s="312"/>
      <c r="AB6" s="312"/>
    </row>
    <row r="7" spans="2:46" ht="15">
      <c r="B7" s="102"/>
      <c r="C7" s="102"/>
      <c r="M7" s="101"/>
    </row>
    <row r="8" spans="2:46" ht="19.899999999999999" customHeight="1" thickBot="1"/>
    <row r="9" spans="2:46" ht="15.75" thickBot="1">
      <c r="C9" s="101"/>
      <c r="D9" s="101"/>
      <c r="E9" s="101"/>
      <c r="F9" s="101"/>
      <c r="G9" s="101"/>
      <c r="H9" s="101"/>
      <c r="I9" s="101"/>
      <c r="J9" s="101"/>
      <c r="K9" s="101"/>
      <c r="L9" s="101"/>
      <c r="M9" s="1560" t="s">
        <v>311</v>
      </c>
      <c r="N9" s="1562"/>
      <c r="O9" s="1562"/>
      <c r="P9" s="1562"/>
      <c r="Q9" s="1562"/>
      <c r="R9" s="1562"/>
      <c r="S9" s="1562"/>
      <c r="T9" s="1562"/>
      <c r="U9" s="1562"/>
      <c r="V9" s="1562"/>
      <c r="W9" s="1562"/>
      <c r="X9" s="1562"/>
      <c r="Y9" s="1562"/>
      <c r="Z9" s="1562"/>
      <c r="AA9" s="1562"/>
      <c r="AB9" s="1562"/>
      <c r="AC9" s="1562"/>
      <c r="AD9" s="1562"/>
      <c r="AE9" s="1562"/>
      <c r="AF9" s="1562"/>
      <c r="AG9" s="1563"/>
    </row>
    <row r="10" spans="2:46" ht="28.15" customHeight="1" thickBot="1">
      <c r="B10" s="161"/>
      <c r="C10" s="1548" t="s">
        <v>393</v>
      </c>
      <c r="D10" s="1548"/>
      <c r="E10" s="1548"/>
      <c r="F10" s="1548"/>
      <c r="G10" s="1548"/>
      <c r="H10" s="1548"/>
      <c r="I10" s="1548"/>
      <c r="J10" s="1548"/>
      <c r="K10" s="1548"/>
      <c r="L10" s="1548"/>
      <c r="M10" s="1534" t="s">
        <v>394</v>
      </c>
      <c r="N10" s="1589" t="s">
        <v>334</v>
      </c>
      <c r="O10" s="1589"/>
      <c r="P10" s="1534" t="s">
        <v>34</v>
      </c>
      <c r="Q10" s="1315" t="s">
        <v>269</v>
      </c>
      <c r="R10" s="1313"/>
      <c r="S10" s="1546" t="s">
        <v>270</v>
      </c>
      <c r="T10" s="1313"/>
      <c r="U10" s="1536" t="s">
        <v>271</v>
      </c>
      <c r="V10" s="1536"/>
      <c r="W10" s="1536"/>
      <c r="X10" s="1573" t="s">
        <v>314</v>
      </c>
      <c r="Y10" s="1574"/>
      <c r="Z10" s="1574"/>
      <c r="AA10" s="1574"/>
      <c r="AB10" s="1574"/>
      <c r="AC10" s="1575"/>
      <c r="AD10" s="1552" t="s">
        <v>337</v>
      </c>
      <c r="AE10" s="1552"/>
      <c r="AF10" s="1552"/>
      <c r="AG10" s="1552"/>
      <c r="AH10" s="1552" t="s">
        <v>390</v>
      </c>
      <c r="AI10" s="1561" t="s">
        <v>276</v>
      </c>
      <c r="AJ10" s="1536"/>
    </row>
    <row r="11" spans="2:46" ht="61.5" customHeight="1" thickBot="1">
      <c r="B11" s="140" t="s">
        <v>339</v>
      </c>
      <c r="C11" s="145" t="s">
        <v>340</v>
      </c>
      <c r="D11" s="145" t="s">
        <v>34</v>
      </c>
      <c r="E11" s="145" t="s">
        <v>342</v>
      </c>
      <c r="F11" s="145" t="s">
        <v>343</v>
      </c>
      <c r="G11" s="145" t="s">
        <v>344</v>
      </c>
      <c r="H11" s="145" t="s">
        <v>345</v>
      </c>
      <c r="I11" s="145" t="s">
        <v>346</v>
      </c>
      <c r="J11" s="145" t="s">
        <v>347</v>
      </c>
      <c r="K11" s="145" t="s">
        <v>348</v>
      </c>
      <c r="L11" s="144" t="s">
        <v>272</v>
      </c>
      <c r="M11" s="1534"/>
      <c r="N11" s="132" t="s">
        <v>395</v>
      </c>
      <c r="O11" s="752" t="s">
        <v>396</v>
      </c>
      <c r="P11" s="1534"/>
      <c r="Q11" s="126" t="s">
        <v>269</v>
      </c>
      <c r="R11" s="861" t="s">
        <v>286</v>
      </c>
      <c r="S11" s="865" t="s">
        <v>270</v>
      </c>
      <c r="T11" s="861" t="s">
        <v>286</v>
      </c>
      <c r="U11" s="132" t="s">
        <v>271</v>
      </c>
      <c r="V11" s="811" t="s">
        <v>271</v>
      </c>
      <c r="W11" s="752" t="s">
        <v>317</v>
      </c>
      <c r="X11" s="132" t="s">
        <v>392</v>
      </c>
      <c r="Y11" s="811" t="s">
        <v>377</v>
      </c>
      <c r="Z11" s="811" t="s">
        <v>354</v>
      </c>
      <c r="AA11" s="811" t="s">
        <v>321</v>
      </c>
      <c r="AB11" s="811" t="s">
        <v>322</v>
      </c>
      <c r="AC11" s="752" t="s">
        <v>397</v>
      </c>
      <c r="AD11" s="132" t="s">
        <v>398</v>
      </c>
      <c r="AE11" s="811" t="s">
        <v>1679</v>
      </c>
      <c r="AF11" s="811" t="s">
        <v>399</v>
      </c>
      <c r="AG11" s="752" t="s">
        <v>327</v>
      </c>
      <c r="AH11" s="1588"/>
      <c r="AI11" s="865" t="s">
        <v>295</v>
      </c>
      <c r="AJ11" s="861" t="s">
        <v>296</v>
      </c>
      <c r="AK11" s="48" t="s">
        <v>297</v>
      </c>
      <c r="AT11" s="101" t="s">
        <v>280</v>
      </c>
    </row>
    <row r="12" spans="2:46" ht="15">
      <c r="B12" s="863" t="str">
        <f>'B-1 On-Site Hedge Baseline'!AK10</f>
        <v/>
      </c>
      <c r="C12" s="370" t="str">
        <f>IF(B12="","",IF(ISNA(VLOOKUP($B12,'B-1 On-Site Hedge Baseline'!$B$1:$L$257,3,FALSE)),"",(VLOOKUP($B12,'B-1 On-Site Hedge Baseline'!$B$1:$L$257,3,FALSE))))</f>
        <v/>
      </c>
      <c r="D12" s="370" t="str">
        <f>IF(B12="","",IF(ISNA(VLOOKUP($B12,'B-1 On-Site Hedge Baseline'!$B$1:$L$257,4,FALSE)),"",(VLOOKUP($B12,'B-1 On-Site Hedge Baseline'!$B$1:$L$257,4,FALSE))))</f>
        <v/>
      </c>
      <c r="E12" s="370" t="str">
        <f>IF(B12="","",IF(ISNA(VLOOKUP($B12,'B-1 On-Site Hedge Baseline'!$B$1:$L$257,5,FALSE)),"",(VLOOKUP($B12,'B-1 On-Site Hedge Baseline'!$B$1:$L$257,5,FALSE))))</f>
        <v/>
      </c>
      <c r="F12" s="370" t="str">
        <f>IF(B12="","",IF(ISNA(VLOOKUP($B12,'B-1 On-Site Hedge Baseline'!$B$1:$L$257,6,FALSE)),"",(VLOOKUP($B12,'B-1 On-Site Hedge Baseline'!$B$1:$L$257,6,FALSE))))</f>
        <v/>
      </c>
      <c r="G12" s="370" t="str">
        <f>IF(B12="","",IF(ISNA(VLOOKUP($B12,'B-1 On-Site Hedge Baseline'!$B$1:$L$257,7,FALSE)),"",(VLOOKUP($B12,'B-1 On-Site Hedge Baseline'!$B$1:$L$257,7,FALSE))))</f>
        <v/>
      </c>
      <c r="H12" s="370" t="str">
        <f>IF(B12="","",IF(ISNA(VLOOKUP($B12,'B-1 On-Site Hedge Baseline'!$B$1:$L$257,8,FALSE)),"",(VLOOKUP($B12,'B-1 On-Site Hedge Baseline'!$B$1:$L$257,8,FALSE))))</f>
        <v/>
      </c>
      <c r="I12" s="370" t="str">
        <f>IF(B12="","",IF(ISNA(VLOOKUP($B12,'B-1 On-Site Hedge Baseline'!$B$1:$L$257,10,FALSE)),"",(VLOOKUP($B12,'B-1 On-Site Hedge Baseline'!$B$1:$L$257,10,FALSE))))</f>
        <v/>
      </c>
      <c r="J12" s="370" t="str">
        <f>IF(B12="","",IF(ISNA(VLOOKUP($B12,'B-1 On-Site Hedge Baseline'!$B$1:$L$257,11,FALSE)),"",(VLOOKUP($B12,'B-1 On-Site Hedge Baseline'!$B$1:$L$257,11,FALSE))))</f>
        <v/>
      </c>
      <c r="K12" s="370" t="str">
        <f>IF(B12="","",IF(ISNA(VLOOKUP($B12,'B-1 On-Site Hedge Baseline'!$B$1:$U$257,13,FALSE)),"",(VLOOKUP($B12,'B-1 On-Site Hedge Baseline'!$B$1:$U$257,13,FALSE))))</f>
        <v/>
      </c>
      <c r="L12" s="363" t="str">
        <f>IF(B12="","",IF(ISNA(VLOOKUP($B12,'B-1 On-Site Hedge Baseline'!$B$1:$U$257,12,FALSE)),"",(VLOOKUP($B12,'B-1 On-Site Hedge Baseline'!$B$1:$U$257,12,FALSE))))</f>
        <v/>
      </c>
      <c r="M12" s="864" t="str">
        <f t="shared" ref="M12:M77" si="0">IF(B12="","",C12)</f>
        <v/>
      </c>
      <c r="N12" s="362" t="str">
        <f>IFERROR(IF(B12="","",INDEX('G-6 Hedgerow Data'!$AN$3:$AZ$15,MATCH(C12,'G-6 Hedgerow Data'!$AM$3:$AM$15,0),MATCH(M12,'G-6 Hedgerow Data'!$AN$2:$AZ$2,0))),"")</f>
        <v/>
      </c>
      <c r="O12" s="363" t="str">
        <f>IFERROR(IF(B12="","",IF(AND(LEFT(C12,55)&lt;&gt;LEFT(M12,55),N12="High - High"),"Error - Not like for like ▲",IF(H12&gt;T12,"Error - Can not reduce condition ▲",IF(AND(F12=R12,H12=T12),"Error - No enhancement ▲",IF(AND(C12&lt;&gt;M12,F12&lt;R12),"Lower Distinctiveness Habitat"&amp;" - "&amp;S12,G12&amp;" - "&amp;S12))))),"")</f>
        <v/>
      </c>
      <c r="P12" s="417" t="str">
        <f>IF(B12="","",VLOOKUP(B12,'B-1 On-Site Hedge Baseline'!$B$10:T257,16,FALSE))</f>
        <v/>
      </c>
      <c r="Q12" s="362" t="str">
        <f>IF(M12="","",VLOOKUP(M12,'G-6 Hedgerow Data'!$B$2:$AG$15,2,FALSE))</f>
        <v/>
      </c>
      <c r="R12" s="363" t="str">
        <f>IF(M12="","",VLOOKUP(M12,'G-6 Hedgerow Data'!$B$2:$AG$15,3,FALSE))</f>
        <v/>
      </c>
      <c r="S12" s="114"/>
      <c r="T12" s="401" t="str">
        <f>IFERROR(VLOOKUP(S12,'G-1 All Habitats'!$Z$2:$AA$9,2,FALSE),"")</f>
        <v/>
      </c>
      <c r="U12" s="114"/>
      <c r="V12" s="370" t="str">
        <f>IF(U12="","",IF(VLOOKUP(U12,'G-3 Multipliers'!$L$3:$N$6,2,FALSE)=0,"Spatial Data Missing ⚠",VLOOKUP(U12,'G-3 Multipliers'!$L$3:$N$6,2,FALSE)))</f>
        <v/>
      </c>
      <c r="W12" s="363" t="str">
        <f>IF(U12="","",IF(VLOOKUP(U12,'G-3 Multipliers'!$L$3:$N$6,3,FALSE)=0,"Spatial Data Missing ⚠",VLOOKUP(U12,'G-3 Multipliers'!$L$3:$N$6,3,FALSE)))</f>
        <v/>
      </c>
      <c r="X12" s="362" t="str">
        <f>IFERROR(IF(OR(LEFT(O12,5)="Error",LEFT(N12,5)="Error",T12="Error"),"Check Data ⚠",IF(F12&lt;R12,INDEX('G-6 Hedgerow Data'!$S$3:$AE$14,MATCH(C12,'G-6 Hedgerow Data'!$B$3:$B$14,0),MATCH(M12,'G-6 Hedgerow Data'!$S$2:$AE$2,0)),INDEX('G-6 Hedgerow Data'!$K$3:$Q$14,MATCH(M12,'G-6 Hedgerow Data'!$B$3:$B$14,0),MATCH(O12,'G-6 Hedgerow Data'!$K$2:$Q$2,0)))),"")</f>
        <v/>
      </c>
      <c r="Y12" s="159"/>
      <c r="Z12" s="159"/>
      <c r="AA12" s="370" t="str">
        <f>IF(X12="Check Data ⚠","Check Data ⚠",IF(M12="","",IF(AND(Y12&gt;0,Z12&gt;0),"Error -both advance and delayed habitat creation ▲",IF(AND(OR(Y12="Habitat already in target condition",X12&lt;=Y12),Z12=0),"Check details - Is there evidence that habitat has reached target condition? ⚠",IF(X12="","",IF(Y12&gt;0,"Check details - Is there evidence habitat creation started/in place? ⚠",IF(Z12&gt;0,"Check details- Delay in starting habitat in required condition? ⚠","Standard time to target condition applied")))))))</f>
        <v/>
      </c>
      <c r="AB12" s="383" t="str">
        <f>IF(X12="","",IF(AA12="Check Data ⚠","Check Data ⚠",IF(Y12="30+",0,IF(Z12="30+","30+ ⚠",IF(X12+Z12&gt;30,"30+ 'C-1 Site River Baseline'!",IF(AA12="Error -both advance and delayed habitat creation ▲","Check Data ⚠",IF(X12+Z12-Y12&gt;0,X12+Z12-Y12,IF(X12-Y12&lt;=0,0,))))))))</f>
        <v/>
      </c>
      <c r="AC12" s="384" t="str">
        <f t="shared" ref="AC12:AC75" si="1">IF(OR(S12="",M12=""),"",IF(LEFT(AB12,5)="Error ▲","Check Data ⚠",IF(AB12="Check Data ⚠","Check Data ⚠",VLOOKUP(AB12,TemporalMultipliers,3,FALSE))))</f>
        <v/>
      </c>
      <c r="AD12" s="362" t="str">
        <f>IF(M12="","",VLOOKUP(M12,'G-6 Hedgerow Data'!$B$3:$AG$15,31,FALSE))</f>
        <v/>
      </c>
      <c r="AE12" s="370" t="str">
        <f>IF(M12="","",IF(OR(LEFT(AA12,5)="Error ▲",AA12="Check Data ⚠"),"Check Data ⚠",IF(X12="","",IF($AA12="Check details - Is there evidence that habitat has reached target condition? ⚠","Low Difficulty - only applicable if all habitat created before losses ⚠","Standard difficulty applied"))))</f>
        <v/>
      </c>
      <c r="AF12" s="370" t="str">
        <f>(IF(AND(AE12="Standard difficulty applied",X12&gt;Y12),AD12,IF(AND(AE12="Low Difficulty - only applicable if all habitat created before losses ⚠",Y12&gt;=X12),"Low",AD12)))</f>
        <v/>
      </c>
      <c r="AG12" s="363" t="str">
        <f>IFERROR(IF(O12="","",VLOOKUP(AD12,'G-3 Multipliers'!$P$3:$Q$6,2,FALSE)),"")</f>
        <v/>
      </c>
      <c r="AH12" s="376" t="str">
        <f>IFERROR(IF(OR(M12="",S12="",U12=""),"",(((((P12*R12*T12)-(P12*F12*H12))*(AG12*AC12))+(P12*F12*H12))*(W12))),"")</f>
        <v/>
      </c>
      <c r="AI12" s="317"/>
      <c r="AJ12" s="195"/>
      <c r="AK12" s="118"/>
      <c r="AT12" s="30" t="str">
        <f>IFERROR(INDEX('G-6 Hedgerow Data'!$BJ$3:$BJ$15,MATCH(M12,'G-6 Hedgerow Data'!$B$3:$B$15,0)),"")</f>
        <v/>
      </c>
    </row>
    <row r="13" spans="2:46" ht="15">
      <c r="B13" s="392" t="str">
        <f>'B-1 On-Site Hedge Baseline'!AK11</f>
        <v/>
      </c>
      <c r="C13" s="382" t="str">
        <f>IF(B13="","",IF(ISNA(VLOOKUP($B13,'B-1 On-Site Hedge Baseline'!$B$1:$L$257,3,FALSE)),"",(VLOOKUP($B13,'B-1 On-Site Hedge Baseline'!$B$1:$L$257,3,FALSE))))</f>
        <v/>
      </c>
      <c r="D13" s="382" t="str">
        <f>IF(B13="","",IF(ISNA(VLOOKUP($B13,'B-1 On-Site Hedge Baseline'!$B$1:$L$257,4,FALSE)),"",(VLOOKUP($B13,'B-1 On-Site Hedge Baseline'!$B$1:$L$257,4,FALSE))))</f>
        <v/>
      </c>
      <c r="E13" s="382" t="str">
        <f>IF(B13="","",IF(ISNA(VLOOKUP($B13,'B-1 On-Site Hedge Baseline'!$B$1:$L$257,5,FALSE)),"",(VLOOKUP($B13,'B-1 On-Site Hedge Baseline'!$B$1:$L$257,5,FALSE))))</f>
        <v/>
      </c>
      <c r="F13" s="382" t="str">
        <f>IF(B13="","",IF(ISNA(VLOOKUP($B13,'B-1 On-Site Hedge Baseline'!$B$1:$L$257,6,FALSE)),"",(VLOOKUP($B13,'B-1 On-Site Hedge Baseline'!$B$1:$L$257,6,FALSE))))</f>
        <v/>
      </c>
      <c r="G13" s="382" t="str">
        <f>IF(B13="","",IF(ISNA(VLOOKUP($B13,'B-1 On-Site Hedge Baseline'!$B$1:$L$257,7,FALSE)),"",(VLOOKUP($B13,'B-1 On-Site Hedge Baseline'!$B$1:$L$257,7,FALSE))))</f>
        <v/>
      </c>
      <c r="H13" s="382" t="str">
        <f>IF(B13="","",IF(ISNA(VLOOKUP($B13,'B-1 On-Site Hedge Baseline'!$B$1:$L$257,8,FALSE)),"",(VLOOKUP($B13,'B-1 On-Site Hedge Baseline'!$B$1:$L$257,8,FALSE))))</f>
        <v/>
      </c>
      <c r="I13" s="382" t="str">
        <f>IF(B13="","",IF(ISNA(VLOOKUP($B13,'B-1 On-Site Hedge Baseline'!$B$1:$L$257,10,FALSE)),"",(VLOOKUP($B13,'B-1 On-Site Hedge Baseline'!$B$1:$L$257,10,FALSE))))</f>
        <v/>
      </c>
      <c r="J13" s="382" t="str">
        <f>IF(B13="","",IF(ISNA(VLOOKUP($B13,'B-1 On-Site Hedge Baseline'!$B$1:$L$257,11,FALSE)),"",(VLOOKUP($B13,'B-1 On-Site Hedge Baseline'!$B$1:$L$257,11,FALSE))))</f>
        <v/>
      </c>
      <c r="K13" s="382" t="str">
        <f>IF(B13="","",IF(ISNA(VLOOKUP($B13,'B-1 On-Site Hedge Baseline'!$B$1:$U$257,13,FALSE)),"",(VLOOKUP($B13,'B-1 On-Site Hedge Baseline'!$B$1:$U$257,13,FALSE))))</f>
        <v/>
      </c>
      <c r="L13" s="386" t="str">
        <f>IF(B13="","",IF(ISNA(VLOOKUP($B13,'B-1 On-Site Hedge Baseline'!$B$1:$U$257,12,FALSE)),"",(VLOOKUP($B13,'B-1 On-Site Hedge Baseline'!$B$1:$U$257,12,FALSE))))</f>
        <v/>
      </c>
      <c r="M13" s="315" t="str">
        <f t="shared" si="0"/>
        <v/>
      </c>
      <c r="N13" s="362" t="str">
        <f>IFERROR(IF(B13="","",INDEX('G-6 Hedgerow Data'!$AN$3:$AZ$15,MATCH(C13,'G-6 Hedgerow Data'!$AM$3:$AM$15,0),MATCH(M13,'G-6 Hedgerow Data'!$AN$2:$AZ$2,0))),"")</f>
        <v/>
      </c>
      <c r="O13" s="363" t="str">
        <f t="shared" ref="O13:O76" si="2">IFERROR(IF(B13="","",IF(AND(LEFT(C13,55)&lt;&gt;LEFT(M13,55),N13="High - High"),"Error - Not like for like ▲",IF(H13&gt;T13,"Error - Can not reduce condition ▲",IF(AND(F13=R13,H13=T13),"Error - No enhancement ▲",IF(AND(C13&lt;&gt;M13,F13&lt;R13),"Lower Distinctiveness Habitat"&amp;" - "&amp;S13,G13&amp;" - "&amp;S13))))),"")</f>
        <v/>
      </c>
      <c r="P13" s="417" t="str">
        <f>IF(B13="","",VLOOKUP(B13,'B-1 On-Site Hedge Baseline'!$B$10:T258,16,FALSE))</f>
        <v/>
      </c>
      <c r="Q13" s="362" t="str">
        <f>IF(M13="","",VLOOKUP(M13,'G-6 Hedgerow Data'!$B$2:$AG$15,2,FALSE))</f>
        <v/>
      </c>
      <c r="R13" s="363" t="str">
        <f>IF(M13="","",VLOOKUP(M13,'G-6 Hedgerow Data'!$B$2:$AG$15,3,FALSE))</f>
        <v/>
      </c>
      <c r="S13" s="114"/>
      <c r="T13" s="401" t="str">
        <f>IFERROR(VLOOKUP(S13,'G-1 All Habitats'!$Z$2:$AA$9,2,FALSE),"")</f>
        <v/>
      </c>
      <c r="U13" s="114"/>
      <c r="V13" s="382" t="str">
        <f>IF(U13="","",IF(VLOOKUP(U13,'G-3 Multipliers'!$L$3:$N$6,2,FALSE)=0,"Spatial Data Missing ⚠",VLOOKUP(U13,'G-3 Multipliers'!$L$3:$N$6,2,FALSE)))</f>
        <v/>
      </c>
      <c r="W13" s="386" t="str">
        <f>IF(U13="","",IF(VLOOKUP(U13,'G-3 Multipliers'!$L$3:$N$6,3,FALSE)=0,"Spatial Data Missing ⚠",VLOOKUP(U13,'G-3 Multipliers'!$L$3:$N$6,3,FALSE)))</f>
        <v/>
      </c>
      <c r="X13" s="362" t="str">
        <f>IFERROR(IF(OR(LEFT(O13,5)="Error",LEFT(N13,5)="Error",T13="Error"),"Check Data ⚠",IF(F13&lt;R13,INDEX('G-6 Hedgerow Data'!$S$3:$AE$14,MATCH(C13,'G-6 Hedgerow Data'!$B$3:$B$14,0),MATCH(M13,'G-6 Hedgerow Data'!$S$2:$AE$2,0)),INDEX('G-6 Hedgerow Data'!$K$3:$Q$14,MATCH(M13,'G-6 Hedgerow Data'!$B$3:$B$14,0),MATCH(O13,'G-6 Hedgerow Data'!$K$2:$Q$2,0)))),"")</f>
        <v/>
      </c>
      <c r="Y13" s="159"/>
      <c r="Z13" s="159"/>
      <c r="AA13" s="370" t="str">
        <f t="shared" ref="AA13:AA76" si="3">IF(X13="Check Data ⚠","Check Data ⚠",IF(M13="","",IF(AND(Y13&gt;0,Z13&gt;0),"Error -both advance and delayed habitat creation ▲",IF(AND(OR(Y13="Habitat already in target condition",X13&lt;=Y13),Z13=0),"Check details - Is there evidence that habitat has reached target condition? ⚠",IF(X13="","",IF(Y13&gt;0,"Check details - Is there evidence habitat creation started/in place? ⚠",IF(Z13&gt;0,"Check details- Delay in starting habitat in required condition? ⚠","Standard time to target condition applied")))))))</f>
        <v/>
      </c>
      <c r="AB13" s="383" t="str">
        <f t="shared" ref="AB13:AB76" si="4">IF(X13="","",IF(AA13="Check Data ⚠","Check Data ⚠",IF(Y13="30+",0,IF(Z13="30+","30+ ⚠",IF(X13+Z13&gt;30,"30+ 'C-1 Site River Baseline'!",IF(AA13="Error -both advance and delayed habitat creation ▲","Check Data ⚠",IF(X13+Z13-Y13&gt;0,X13+Z13-Y13,IF(X13-Y13&lt;=0,0,))))))))</f>
        <v/>
      </c>
      <c r="AC13" s="384" t="str">
        <f t="shared" si="1"/>
        <v/>
      </c>
      <c r="AD13" s="398" t="str">
        <f>IF(M13="","",VLOOKUP(M13,'G-6 Hedgerow Data'!$B$3:$AG$15,31,FALSE))</f>
        <v/>
      </c>
      <c r="AE13" s="370" t="str">
        <f t="shared" ref="AE13:AE76" si="5">IF(M13="","",IF(OR(LEFT(AA13,5)="Error ▲",AA13="Check Data ⚠"),"Check Data ⚠",IF(X13="","",IF($AA13="Check details - Is there evidence that habitat has reached target condition? ⚠","Low Difficulty - only applicable if all habitat created before losses ⚠","Standard difficulty applied"))))</f>
        <v/>
      </c>
      <c r="AF13" s="370" t="str">
        <f t="shared" ref="AF13:AF76" si="6">(IF(AND(AE13="Standard difficulty applied",X13&gt;Y13),AD13,IF(AND(AE13="Low Difficulty - only applicable if all habitat created before losses ⚠",Y13&gt;=X13),"Low",AD13)))</f>
        <v/>
      </c>
      <c r="AG13" s="386" t="str">
        <f>IFERROR(IF(O13="","",VLOOKUP(AD13,'G-3 Multipliers'!$P$3:$Q$6,2,FALSE)),"")</f>
        <v/>
      </c>
      <c r="AH13" s="376" t="str">
        <f t="shared" ref="AH13:AH75" si="7">IFERROR(IF(OR(M13="",S13="",U13=""),"",(((((P13*R13*T13)-(P13*F13*H13))*(AG13*AC13))+(P13*F13*H13))*(W13))),"")</f>
        <v/>
      </c>
      <c r="AI13" s="317"/>
      <c r="AJ13" s="195"/>
      <c r="AK13" s="120"/>
      <c r="AT13" s="30" t="str">
        <f>IFERROR(INDEX('G-6 Hedgerow Data'!$BJ$3:$BJ$15,MATCH(M13,'G-6 Hedgerow Data'!$B$3:$B$15,0)),"")</f>
        <v/>
      </c>
    </row>
    <row r="14" spans="2:46" ht="15">
      <c r="B14" s="392" t="str">
        <f>'B-1 On-Site Hedge Baseline'!AK12</f>
        <v/>
      </c>
      <c r="C14" s="382" t="str">
        <f>IF(B14="","",IF(ISNA(VLOOKUP($B14,'B-1 On-Site Hedge Baseline'!$B$1:$L$257,3,FALSE)),"",(VLOOKUP($B14,'B-1 On-Site Hedge Baseline'!$B$1:$L$257,3,FALSE))))</f>
        <v/>
      </c>
      <c r="D14" s="382" t="str">
        <f>IF(B14="","",IF(ISNA(VLOOKUP($B14,'B-1 On-Site Hedge Baseline'!$B$1:$L$257,4,FALSE)),"",(VLOOKUP($B14,'B-1 On-Site Hedge Baseline'!$B$1:$L$257,4,FALSE))))</f>
        <v/>
      </c>
      <c r="E14" s="382" t="str">
        <f>IF(B14="","",IF(ISNA(VLOOKUP($B14,'B-1 On-Site Hedge Baseline'!$B$1:$L$257,5,FALSE)),"",(VLOOKUP($B14,'B-1 On-Site Hedge Baseline'!$B$1:$L$257,5,FALSE))))</f>
        <v/>
      </c>
      <c r="F14" s="382" t="str">
        <f>IF(B14="","",IF(ISNA(VLOOKUP($B14,'B-1 On-Site Hedge Baseline'!$B$1:$L$257,6,FALSE)),"",(VLOOKUP($B14,'B-1 On-Site Hedge Baseline'!$B$1:$L$257,6,FALSE))))</f>
        <v/>
      </c>
      <c r="G14" s="382" t="str">
        <f>IF(B14="","",IF(ISNA(VLOOKUP($B14,'B-1 On-Site Hedge Baseline'!$B$1:$L$257,7,FALSE)),"",(VLOOKUP($B14,'B-1 On-Site Hedge Baseline'!$B$1:$L$257,7,FALSE))))</f>
        <v/>
      </c>
      <c r="H14" s="382" t="str">
        <f>IF(B14="","",IF(ISNA(VLOOKUP($B14,'B-1 On-Site Hedge Baseline'!$B$1:$L$257,8,FALSE)),"",(VLOOKUP($B14,'B-1 On-Site Hedge Baseline'!$B$1:$L$257,8,FALSE))))</f>
        <v/>
      </c>
      <c r="I14" s="382" t="str">
        <f>IF(B14="","",IF(ISNA(VLOOKUP($B14,'B-1 On-Site Hedge Baseline'!$B$1:$L$257,10,FALSE)),"",(VLOOKUP($B14,'B-1 On-Site Hedge Baseline'!$B$1:$L$257,10,FALSE))))</f>
        <v/>
      </c>
      <c r="J14" s="382" t="str">
        <f>IF(B14="","",IF(ISNA(VLOOKUP($B14,'B-1 On-Site Hedge Baseline'!$B$1:$L$257,11,FALSE)),"",(VLOOKUP($B14,'B-1 On-Site Hedge Baseline'!$B$1:$L$257,11,FALSE))))</f>
        <v/>
      </c>
      <c r="K14" s="382" t="str">
        <f>IF(B14="","",IF(ISNA(VLOOKUP($B14,'B-1 On-Site Hedge Baseline'!$B$1:$U$257,13,FALSE)),"",(VLOOKUP($B14,'B-1 On-Site Hedge Baseline'!$B$1:$U$257,13,FALSE))))</f>
        <v/>
      </c>
      <c r="L14" s="386" t="str">
        <f>IF(B14="","",IF(ISNA(VLOOKUP($B14,'B-1 On-Site Hedge Baseline'!$B$1:$U$257,12,FALSE)),"",(VLOOKUP($B14,'B-1 On-Site Hedge Baseline'!$B$1:$U$257,12,FALSE))))</f>
        <v/>
      </c>
      <c r="M14" s="315" t="str">
        <f t="shared" si="0"/>
        <v/>
      </c>
      <c r="N14" s="362" t="str">
        <f>IFERROR(IF(B14="","",INDEX('G-6 Hedgerow Data'!$AN$3:$AZ$15,MATCH(C14,'G-6 Hedgerow Data'!$AM$3:$AM$15,0),MATCH(M14,'G-6 Hedgerow Data'!$AN$2:$AZ$2,0))),"")</f>
        <v/>
      </c>
      <c r="O14" s="363" t="str">
        <f t="shared" si="2"/>
        <v/>
      </c>
      <c r="P14" s="417" t="str">
        <f>IF(B14="","",VLOOKUP(B14,'B-1 On-Site Hedge Baseline'!$B$10:T259,16,FALSE))</f>
        <v/>
      </c>
      <c r="Q14" s="362" t="str">
        <f>IF(M14="","",VLOOKUP(M14,'G-6 Hedgerow Data'!$B$2:$AG$15,2,FALSE))</f>
        <v/>
      </c>
      <c r="R14" s="363" t="str">
        <f>IF(M14="","",VLOOKUP(M14,'G-6 Hedgerow Data'!$B$2:$AG$15,3,FALSE))</f>
        <v/>
      </c>
      <c r="S14" s="114"/>
      <c r="T14" s="401" t="str">
        <f>IFERROR(VLOOKUP(S14,'G-1 All Habitats'!$Z$2:$AA$9,2,FALSE),"")</f>
        <v/>
      </c>
      <c r="U14" s="114"/>
      <c r="V14" s="382" t="str">
        <f>IF(U14="","",IF(VLOOKUP(U14,'G-3 Multipliers'!$L$3:$N$6,2,FALSE)=0,"Spatial Data Missing ⚠",VLOOKUP(U14,'G-3 Multipliers'!$L$3:$N$6,2,FALSE)))</f>
        <v/>
      </c>
      <c r="W14" s="386" t="str">
        <f>IF(U14="","",IF(VLOOKUP(U14,'G-3 Multipliers'!$L$3:$N$6,3,FALSE)=0,"Spatial Data Missing ⚠",VLOOKUP(U14,'G-3 Multipliers'!$L$3:$N$6,3,FALSE)))</f>
        <v/>
      </c>
      <c r="X14" s="362" t="str">
        <f>IFERROR(IF(OR(LEFT(O14,5)="Error",LEFT(N14,5)="Error",T14="Error"),"Check Data ⚠",IF(F14&lt;R14,INDEX('G-6 Hedgerow Data'!$S$3:$AE$14,MATCH(C14,'G-6 Hedgerow Data'!$B$3:$B$14,0),MATCH(M14,'G-6 Hedgerow Data'!$S$2:$AE$2,0)),INDEX('G-6 Hedgerow Data'!$K$3:$Q$14,MATCH(M14,'G-6 Hedgerow Data'!$B$3:$B$14,0),MATCH(O14,'G-6 Hedgerow Data'!$K$2:$Q$2,0)))),"")</f>
        <v/>
      </c>
      <c r="Y14" s="159"/>
      <c r="Z14" s="159"/>
      <c r="AA14" s="370" t="str">
        <f t="shared" si="3"/>
        <v/>
      </c>
      <c r="AB14" s="383" t="str">
        <f t="shared" si="4"/>
        <v/>
      </c>
      <c r="AC14" s="384" t="str">
        <f t="shared" si="1"/>
        <v/>
      </c>
      <c r="AD14" s="398" t="str">
        <f>IF(M14="","",VLOOKUP(M14,'G-6 Hedgerow Data'!$B$3:$AG$15,31,FALSE))</f>
        <v/>
      </c>
      <c r="AE14" s="370" t="str">
        <f t="shared" si="5"/>
        <v/>
      </c>
      <c r="AF14" s="370" t="str">
        <f t="shared" si="6"/>
        <v/>
      </c>
      <c r="AG14" s="386" t="str">
        <f>IFERROR(IF(O14="","",VLOOKUP(AD14,'G-3 Multipliers'!$P$3:$Q$6,2,FALSE)),"")</f>
        <v/>
      </c>
      <c r="AH14" s="376" t="str">
        <f t="shared" si="7"/>
        <v/>
      </c>
      <c r="AI14" s="317"/>
      <c r="AJ14" s="195"/>
      <c r="AK14" s="120"/>
      <c r="AT14" s="30" t="str">
        <f>IFERROR(INDEX('G-6 Hedgerow Data'!$BJ$3:$BJ$15,MATCH(M14,'G-6 Hedgerow Data'!$B$3:$B$15,0)),"")</f>
        <v/>
      </c>
    </row>
    <row r="15" spans="2:46" ht="15">
      <c r="B15" s="392" t="str">
        <f>'B-1 On-Site Hedge Baseline'!AK13</f>
        <v/>
      </c>
      <c r="C15" s="382" t="str">
        <f>IF(B15="","",IF(ISNA(VLOOKUP($B15,'B-1 On-Site Hedge Baseline'!$B$1:$L$257,3,FALSE)),"",(VLOOKUP($B15,'B-1 On-Site Hedge Baseline'!$B$1:$L$257,3,FALSE))))</f>
        <v/>
      </c>
      <c r="D15" s="382" t="str">
        <f>IF(B15="","",IF(ISNA(VLOOKUP($B15,'B-1 On-Site Hedge Baseline'!$B$1:$L$257,4,FALSE)),"",(VLOOKUP($B15,'B-1 On-Site Hedge Baseline'!$B$1:$L$257,4,FALSE))))</f>
        <v/>
      </c>
      <c r="E15" s="382" t="str">
        <f>IF(B15="","",IF(ISNA(VLOOKUP($B15,'B-1 On-Site Hedge Baseline'!$B$1:$L$257,5,FALSE)),"",(VLOOKUP($B15,'B-1 On-Site Hedge Baseline'!$B$1:$L$257,5,FALSE))))</f>
        <v/>
      </c>
      <c r="F15" s="382" t="str">
        <f>IF(B15="","",IF(ISNA(VLOOKUP($B15,'B-1 On-Site Hedge Baseline'!$B$1:$L$257,6,FALSE)),"",(VLOOKUP($B15,'B-1 On-Site Hedge Baseline'!$B$1:$L$257,6,FALSE))))</f>
        <v/>
      </c>
      <c r="G15" s="382" t="str">
        <f>IF(B15="","",IF(ISNA(VLOOKUP($B15,'B-1 On-Site Hedge Baseline'!$B$1:$L$257,7,FALSE)),"",(VLOOKUP($B15,'B-1 On-Site Hedge Baseline'!$B$1:$L$257,7,FALSE))))</f>
        <v/>
      </c>
      <c r="H15" s="382" t="str">
        <f>IF(B15="","",IF(ISNA(VLOOKUP($B15,'B-1 On-Site Hedge Baseline'!$B$1:$L$257,8,FALSE)),"",(VLOOKUP($B15,'B-1 On-Site Hedge Baseline'!$B$1:$L$257,8,FALSE))))</f>
        <v/>
      </c>
      <c r="I15" s="382" t="str">
        <f>IF(B15="","",IF(ISNA(VLOOKUP($B15,'B-1 On-Site Hedge Baseline'!$B$1:$L$257,10,FALSE)),"",(VLOOKUP($B15,'B-1 On-Site Hedge Baseline'!$B$1:$L$257,10,FALSE))))</f>
        <v/>
      </c>
      <c r="J15" s="382" t="str">
        <f>IF(B15="","",IF(ISNA(VLOOKUP($B15,'B-1 On-Site Hedge Baseline'!$B$1:$L$257,11,FALSE)),"",(VLOOKUP($B15,'B-1 On-Site Hedge Baseline'!$B$1:$L$257,11,FALSE))))</f>
        <v/>
      </c>
      <c r="K15" s="382" t="str">
        <f>IF(B15="","",IF(ISNA(VLOOKUP($B15,'B-1 On-Site Hedge Baseline'!$B$1:$U$257,13,FALSE)),"",(VLOOKUP($B15,'B-1 On-Site Hedge Baseline'!$B$1:$U$257,13,FALSE))))</f>
        <v/>
      </c>
      <c r="L15" s="386" t="str">
        <f>IF(B15="","",IF(ISNA(VLOOKUP($B15,'B-1 On-Site Hedge Baseline'!$B$1:$U$257,12,FALSE)),"",(VLOOKUP($B15,'B-1 On-Site Hedge Baseline'!$B$1:$U$257,12,FALSE))))</f>
        <v/>
      </c>
      <c r="M15" s="315" t="str">
        <f t="shared" si="0"/>
        <v/>
      </c>
      <c r="N15" s="362" t="str">
        <f>IFERROR(IF(B15="","",INDEX('G-6 Hedgerow Data'!$AN$3:$AZ$15,MATCH(C15,'G-6 Hedgerow Data'!$AM$3:$AM$15,0),MATCH(M15,'G-6 Hedgerow Data'!$AN$2:$AZ$2,0))),"")</f>
        <v/>
      </c>
      <c r="O15" s="363" t="str">
        <f t="shared" si="2"/>
        <v/>
      </c>
      <c r="P15" s="417" t="str">
        <f>IF(B15="","",VLOOKUP(B15,'B-1 On-Site Hedge Baseline'!$B$10:T260,16,FALSE))</f>
        <v/>
      </c>
      <c r="Q15" s="362" t="str">
        <f>IF(M15="","",VLOOKUP(M15,'G-6 Hedgerow Data'!$B$2:$AG$15,2,FALSE))</f>
        <v/>
      </c>
      <c r="R15" s="363" t="str">
        <f>IF(M15="","",VLOOKUP(M15,'G-6 Hedgerow Data'!$B$2:$AG$15,3,FALSE))</f>
        <v/>
      </c>
      <c r="S15" s="114"/>
      <c r="T15" s="401" t="str">
        <f>IFERROR(VLOOKUP(S15,'G-1 All Habitats'!$Z$2:$AA$9,2,FALSE),"")</f>
        <v/>
      </c>
      <c r="U15" s="114"/>
      <c r="V15" s="382" t="str">
        <f>IF(U15="","",IF(VLOOKUP(U15,'G-3 Multipliers'!$L$3:$N$6,2,FALSE)=0,"Spatial Data Missing ⚠",VLOOKUP(U15,'G-3 Multipliers'!$L$3:$N$6,2,FALSE)))</f>
        <v/>
      </c>
      <c r="W15" s="386" t="str">
        <f>IF(U15="","",IF(VLOOKUP(U15,'G-3 Multipliers'!$L$3:$N$6,3,FALSE)=0,"Spatial Data Missing ⚠",VLOOKUP(U15,'G-3 Multipliers'!$L$3:$N$6,3,FALSE)))</f>
        <v/>
      </c>
      <c r="X15" s="362" t="str">
        <f>IFERROR(IF(OR(LEFT(O15,5)="Error",LEFT(N15,5)="Error",T15="Error"),"Check Data ⚠",IF(F15&lt;R15,INDEX('G-6 Hedgerow Data'!$S$3:$AE$14,MATCH(C15,'G-6 Hedgerow Data'!$B$3:$B$14,0),MATCH(M15,'G-6 Hedgerow Data'!$S$2:$AE$2,0)),INDEX('G-6 Hedgerow Data'!$K$3:$Q$14,MATCH(M15,'G-6 Hedgerow Data'!$B$3:$B$14,0),MATCH(O15,'G-6 Hedgerow Data'!$K$2:$Q$2,0)))),"")</f>
        <v/>
      </c>
      <c r="Y15" s="159"/>
      <c r="Z15" s="159"/>
      <c r="AA15" s="370" t="str">
        <f t="shared" si="3"/>
        <v/>
      </c>
      <c r="AB15" s="383" t="str">
        <f t="shared" si="4"/>
        <v/>
      </c>
      <c r="AC15" s="384" t="str">
        <f t="shared" si="1"/>
        <v/>
      </c>
      <c r="AD15" s="398" t="str">
        <f>IF(M15="","",VLOOKUP(M15,'G-6 Hedgerow Data'!$B$3:$AG$15,31,FALSE))</f>
        <v/>
      </c>
      <c r="AE15" s="370" t="str">
        <f t="shared" si="5"/>
        <v/>
      </c>
      <c r="AF15" s="370" t="str">
        <f t="shared" si="6"/>
        <v/>
      </c>
      <c r="AG15" s="386" t="str">
        <f>IFERROR(IF(O15="","",VLOOKUP(AD15,'G-3 Multipliers'!$P$3:$Q$6,2,FALSE)),"")</f>
        <v/>
      </c>
      <c r="AH15" s="376" t="str">
        <f t="shared" si="7"/>
        <v/>
      </c>
      <c r="AI15" s="317"/>
      <c r="AJ15" s="195"/>
      <c r="AK15" s="120"/>
      <c r="AT15" s="30" t="str">
        <f>IFERROR(INDEX('G-6 Hedgerow Data'!$BJ$3:$BJ$15,MATCH(M15,'G-6 Hedgerow Data'!$B$3:$B$15,0)),"")</f>
        <v/>
      </c>
    </row>
    <row r="16" spans="2:46" ht="15">
      <c r="B16" s="392" t="str">
        <f>'B-1 On-Site Hedge Baseline'!AK14</f>
        <v/>
      </c>
      <c r="C16" s="382" t="str">
        <f>IF(B16="","",IF(ISNA(VLOOKUP($B16,'B-1 On-Site Hedge Baseline'!$B$1:$L$257,3,FALSE)),"",(VLOOKUP($B16,'B-1 On-Site Hedge Baseline'!$B$1:$L$257,3,FALSE))))</f>
        <v/>
      </c>
      <c r="D16" s="382" t="str">
        <f>IF(B16="","",IF(ISNA(VLOOKUP($B16,'B-1 On-Site Hedge Baseline'!$B$1:$L$257,4,FALSE)),"",(VLOOKUP($B16,'B-1 On-Site Hedge Baseline'!$B$1:$L$257,4,FALSE))))</f>
        <v/>
      </c>
      <c r="E16" s="382" t="str">
        <f>IF(B16="","",IF(ISNA(VLOOKUP($B16,'B-1 On-Site Hedge Baseline'!$B$1:$L$257,5,FALSE)),"",(VLOOKUP($B16,'B-1 On-Site Hedge Baseline'!$B$1:$L$257,5,FALSE))))</f>
        <v/>
      </c>
      <c r="F16" s="382" t="str">
        <f>IF(B16="","",IF(ISNA(VLOOKUP($B16,'B-1 On-Site Hedge Baseline'!$B$1:$L$257,6,FALSE)),"",(VLOOKUP($B16,'B-1 On-Site Hedge Baseline'!$B$1:$L$257,6,FALSE))))</f>
        <v/>
      </c>
      <c r="G16" s="382" t="str">
        <f>IF(B16="","",IF(ISNA(VLOOKUP($B16,'B-1 On-Site Hedge Baseline'!$B$1:$L$257,7,FALSE)),"",(VLOOKUP($B16,'B-1 On-Site Hedge Baseline'!$B$1:$L$257,7,FALSE))))</f>
        <v/>
      </c>
      <c r="H16" s="382" t="str">
        <f>IF(B16="","",IF(ISNA(VLOOKUP($B16,'B-1 On-Site Hedge Baseline'!$B$1:$L$257,8,FALSE)),"",(VLOOKUP($B16,'B-1 On-Site Hedge Baseline'!$B$1:$L$257,8,FALSE))))</f>
        <v/>
      </c>
      <c r="I16" s="382" t="str">
        <f>IF(B16="","",IF(ISNA(VLOOKUP($B16,'B-1 On-Site Hedge Baseline'!$B$1:$L$257,10,FALSE)),"",(VLOOKUP($B16,'B-1 On-Site Hedge Baseline'!$B$1:$L$257,10,FALSE))))</f>
        <v/>
      </c>
      <c r="J16" s="382" t="str">
        <f>IF(B16="","",IF(ISNA(VLOOKUP($B16,'B-1 On-Site Hedge Baseline'!$B$1:$L$257,11,FALSE)),"",(VLOOKUP($B16,'B-1 On-Site Hedge Baseline'!$B$1:$L$257,11,FALSE))))</f>
        <v/>
      </c>
      <c r="K16" s="382" t="str">
        <f>IF(B16="","",IF(ISNA(VLOOKUP($B16,'B-1 On-Site Hedge Baseline'!$B$1:$U$257,13,FALSE)),"",(VLOOKUP($B16,'B-1 On-Site Hedge Baseline'!$B$1:$U$257,13,FALSE))))</f>
        <v/>
      </c>
      <c r="L16" s="386" t="str">
        <f>IF(B16="","",IF(ISNA(VLOOKUP($B16,'B-1 On-Site Hedge Baseline'!$B$1:$U$257,12,FALSE)),"",(VLOOKUP($B16,'B-1 On-Site Hedge Baseline'!$B$1:$U$257,12,FALSE))))</f>
        <v/>
      </c>
      <c r="M16" s="315" t="str">
        <f t="shared" si="0"/>
        <v/>
      </c>
      <c r="N16" s="362" t="str">
        <f>IFERROR(IF(B16="","",INDEX('G-6 Hedgerow Data'!$AN$3:$AZ$15,MATCH(C16,'G-6 Hedgerow Data'!$AM$3:$AM$15,0),MATCH(M16,'G-6 Hedgerow Data'!$AN$2:$AZ$2,0))),"")</f>
        <v/>
      </c>
      <c r="O16" s="363" t="str">
        <f t="shared" si="2"/>
        <v/>
      </c>
      <c r="P16" s="417" t="str">
        <f>IF(B16="","",VLOOKUP(B16,'B-1 On-Site Hedge Baseline'!$B$10:T261,16,FALSE))</f>
        <v/>
      </c>
      <c r="Q16" s="362" t="str">
        <f>IF(M16="","",VLOOKUP(M16,'G-6 Hedgerow Data'!$B$2:$AG$15,2,FALSE))</f>
        <v/>
      </c>
      <c r="R16" s="363" t="str">
        <f>IF(M16="","",VLOOKUP(M16,'G-6 Hedgerow Data'!$B$2:$AG$15,3,FALSE))</f>
        <v/>
      </c>
      <c r="S16" s="114"/>
      <c r="T16" s="401" t="str">
        <f>IFERROR(VLOOKUP(S16,'G-1 All Habitats'!$Z$2:$AA$9,2,FALSE),"")</f>
        <v/>
      </c>
      <c r="U16" s="114"/>
      <c r="V16" s="382" t="str">
        <f>IF(U16="","",IF(VLOOKUP(U16,'G-3 Multipliers'!$L$3:$N$6,2,FALSE)=0,"Spatial Data Missing ⚠",VLOOKUP(U16,'G-3 Multipliers'!$L$3:$N$6,2,FALSE)))</f>
        <v/>
      </c>
      <c r="W16" s="386" t="str">
        <f>IF(U16="","",IF(VLOOKUP(U16,'G-3 Multipliers'!$L$3:$N$6,3,FALSE)=0,"Spatial Data Missing ⚠",VLOOKUP(U16,'G-3 Multipliers'!$L$3:$N$6,3,FALSE)))</f>
        <v/>
      </c>
      <c r="X16" s="362" t="str">
        <f>IFERROR(IF(OR(LEFT(O16,5)="Error",LEFT(N16,5)="Error",T16="Error"),"Check Data ⚠",IF(F16&lt;R16,INDEX('G-6 Hedgerow Data'!$S$3:$AE$14,MATCH(C16,'G-6 Hedgerow Data'!$B$3:$B$14,0),MATCH(M16,'G-6 Hedgerow Data'!$S$2:$AE$2,0)),INDEX('G-6 Hedgerow Data'!$K$3:$Q$14,MATCH(M16,'G-6 Hedgerow Data'!$B$3:$B$14,0),MATCH(O16,'G-6 Hedgerow Data'!$K$2:$Q$2,0)))),"")</f>
        <v/>
      </c>
      <c r="Y16" s="159"/>
      <c r="Z16" s="159"/>
      <c r="AA16" s="370" t="str">
        <f t="shared" si="3"/>
        <v/>
      </c>
      <c r="AB16" s="383" t="str">
        <f t="shared" si="4"/>
        <v/>
      </c>
      <c r="AC16" s="384" t="str">
        <f t="shared" si="1"/>
        <v/>
      </c>
      <c r="AD16" s="398" t="str">
        <f>IF(M16="","",VLOOKUP(M16,'G-6 Hedgerow Data'!$B$3:$AG$15,31,FALSE))</f>
        <v/>
      </c>
      <c r="AE16" s="370" t="str">
        <f t="shared" si="5"/>
        <v/>
      </c>
      <c r="AF16" s="370" t="str">
        <f t="shared" si="6"/>
        <v/>
      </c>
      <c r="AG16" s="386" t="str">
        <f>IFERROR(IF(O16="","",VLOOKUP(AD16,'G-3 Multipliers'!$P$3:$Q$6,2,FALSE)),"")</f>
        <v/>
      </c>
      <c r="AH16" s="376" t="str">
        <f>IFERROR(IF(OR(M16="",S16="",U16=""),"",(((((P16*R16*T16)-(P16*F16*H16))*(AG16*AC16))+(P16*F16*H16))*(W16))),"")</f>
        <v/>
      </c>
      <c r="AI16" s="188"/>
      <c r="AJ16" s="118"/>
      <c r="AK16" s="120"/>
      <c r="AT16" s="30" t="str">
        <f>IFERROR(INDEX('G-6 Hedgerow Data'!$BJ$3:$BJ$15,MATCH(M16,'G-6 Hedgerow Data'!$B$3:$B$15,0)),"")</f>
        <v/>
      </c>
    </row>
    <row r="17" spans="2:46" ht="15">
      <c r="B17" s="392" t="str">
        <f>'B-1 On-Site Hedge Baseline'!AK15</f>
        <v/>
      </c>
      <c r="C17" s="382" t="str">
        <f>IF(B17="","",IF(ISNA(VLOOKUP($B17,'B-1 On-Site Hedge Baseline'!$B$1:$L$257,3,FALSE)),"",(VLOOKUP($B17,'B-1 On-Site Hedge Baseline'!$B$1:$L$257,3,FALSE))))</f>
        <v/>
      </c>
      <c r="D17" s="382" t="str">
        <f>IF(B17="","",IF(ISNA(VLOOKUP($B17,'B-1 On-Site Hedge Baseline'!$B$1:$L$257,4,FALSE)),"",(VLOOKUP($B17,'B-1 On-Site Hedge Baseline'!$B$1:$L$257,4,FALSE))))</f>
        <v/>
      </c>
      <c r="E17" s="382" t="str">
        <f>IF(B17="","",IF(ISNA(VLOOKUP($B17,'B-1 On-Site Hedge Baseline'!$B$1:$L$257,5,FALSE)),"",(VLOOKUP($B17,'B-1 On-Site Hedge Baseline'!$B$1:$L$257,5,FALSE))))</f>
        <v/>
      </c>
      <c r="F17" s="382" t="str">
        <f>IF(B17="","",IF(ISNA(VLOOKUP($B17,'B-1 On-Site Hedge Baseline'!$B$1:$L$257,6,FALSE)),"",(VLOOKUP($B17,'B-1 On-Site Hedge Baseline'!$B$1:$L$257,6,FALSE))))</f>
        <v/>
      </c>
      <c r="G17" s="382" t="str">
        <f>IF(B17="","",IF(ISNA(VLOOKUP($B17,'B-1 On-Site Hedge Baseline'!$B$1:$L$257,7,FALSE)),"",(VLOOKUP($B17,'B-1 On-Site Hedge Baseline'!$B$1:$L$257,7,FALSE))))</f>
        <v/>
      </c>
      <c r="H17" s="382" t="str">
        <f>IF(B17="","",IF(ISNA(VLOOKUP($B17,'B-1 On-Site Hedge Baseline'!$B$1:$L$257,8,FALSE)),"",(VLOOKUP($B17,'B-1 On-Site Hedge Baseline'!$B$1:$L$257,8,FALSE))))</f>
        <v/>
      </c>
      <c r="I17" s="382" t="str">
        <f>IF(B17="","",IF(ISNA(VLOOKUP($B17,'B-1 On-Site Hedge Baseline'!$B$1:$L$257,10,FALSE)),"",(VLOOKUP($B17,'B-1 On-Site Hedge Baseline'!$B$1:$L$257,10,FALSE))))</f>
        <v/>
      </c>
      <c r="J17" s="382" t="str">
        <f>IF(B17="","",IF(ISNA(VLOOKUP($B17,'B-1 On-Site Hedge Baseline'!$B$1:$L$257,11,FALSE)),"",(VLOOKUP($B17,'B-1 On-Site Hedge Baseline'!$B$1:$L$257,11,FALSE))))</f>
        <v/>
      </c>
      <c r="K17" s="382" t="str">
        <f>IF(B17="","",IF(ISNA(VLOOKUP($B17,'B-1 On-Site Hedge Baseline'!$B$1:$U$257,13,FALSE)),"",(VLOOKUP($B17,'B-1 On-Site Hedge Baseline'!$B$1:$U$257,13,FALSE))))</f>
        <v/>
      </c>
      <c r="L17" s="386" t="str">
        <f>IF(B17="","",IF(ISNA(VLOOKUP($B17,'B-1 On-Site Hedge Baseline'!$B$1:$U$257,12,FALSE)),"",(VLOOKUP($B17,'B-1 On-Site Hedge Baseline'!$B$1:$U$257,12,FALSE))))</f>
        <v/>
      </c>
      <c r="M17" s="315" t="str">
        <f t="shared" si="0"/>
        <v/>
      </c>
      <c r="N17" s="362" t="str">
        <f>IFERROR(IF(B17="","",INDEX('G-6 Hedgerow Data'!$AN$3:$AZ$15,MATCH(C17,'G-6 Hedgerow Data'!$AM$3:$AM$15,0),MATCH(M17,'G-6 Hedgerow Data'!$AN$2:$AZ$2,0))),"")</f>
        <v/>
      </c>
      <c r="O17" s="363" t="str">
        <f t="shared" si="2"/>
        <v/>
      </c>
      <c r="P17" s="417" t="str">
        <f>IF(B17="","",VLOOKUP(B17,'B-1 On-Site Hedge Baseline'!$B$10:T262,16,FALSE))</f>
        <v/>
      </c>
      <c r="Q17" s="362" t="str">
        <f>IF(M17="","",VLOOKUP(M17,'G-6 Hedgerow Data'!$B$2:$AG$15,2,FALSE))</f>
        <v/>
      </c>
      <c r="R17" s="363" t="str">
        <f>IF(M17="","",VLOOKUP(M17,'G-6 Hedgerow Data'!$B$2:$AG$15,3,FALSE))</f>
        <v/>
      </c>
      <c r="S17" s="55"/>
      <c r="T17" s="401" t="str">
        <f>IFERROR(VLOOKUP(S17,'G-1 All Habitats'!$Z$2:$AA$9,2,FALSE),"")</f>
        <v/>
      </c>
      <c r="U17" s="114"/>
      <c r="V17" s="382" t="str">
        <f>IF(U17="","",IF(VLOOKUP(U17,'G-3 Multipliers'!$L$3:$N$6,2,FALSE)=0,"Spatial Data Missing ⚠",VLOOKUP(U17,'G-3 Multipliers'!$L$3:$N$6,2,FALSE)))</f>
        <v/>
      </c>
      <c r="W17" s="386" t="str">
        <f>IF(U17="","",IF(VLOOKUP(U17,'G-3 Multipliers'!$L$3:$N$6,3,FALSE)=0,"Spatial Data Missing ⚠",VLOOKUP(U17,'G-3 Multipliers'!$L$3:$N$6,3,FALSE)))</f>
        <v/>
      </c>
      <c r="X17" s="362" t="str">
        <f>IFERROR(IF(OR(LEFT(O17,5)="Error",LEFT(N17,5)="Error",T17="Error"),"Check Data ⚠",IF(F17&lt;R17,INDEX('G-6 Hedgerow Data'!$S$3:$AE$14,MATCH(C17,'G-6 Hedgerow Data'!$B$3:$B$14,0),MATCH(M17,'G-6 Hedgerow Data'!$S$2:$AE$2,0)),INDEX('G-6 Hedgerow Data'!$K$3:$Q$14,MATCH(M17,'G-6 Hedgerow Data'!$B$3:$B$14,0),MATCH(O17,'G-6 Hedgerow Data'!$K$2:$Q$2,0)))),"")</f>
        <v/>
      </c>
      <c r="Y17" s="159"/>
      <c r="Z17" s="159"/>
      <c r="AA17" s="370" t="str">
        <f t="shared" si="3"/>
        <v/>
      </c>
      <c r="AB17" s="383" t="str">
        <f t="shared" si="4"/>
        <v/>
      </c>
      <c r="AC17" s="384" t="str">
        <f t="shared" si="1"/>
        <v/>
      </c>
      <c r="AD17" s="398" t="str">
        <f>IF(M17="","",VLOOKUP(M17,'G-6 Hedgerow Data'!$B$3:$AG$15,31,FALSE))</f>
        <v/>
      </c>
      <c r="AE17" s="370" t="str">
        <f t="shared" si="5"/>
        <v/>
      </c>
      <c r="AF17" s="370" t="str">
        <f t="shared" si="6"/>
        <v/>
      </c>
      <c r="AG17" s="386" t="str">
        <f>IFERROR(IF(O17="","",VLOOKUP(AD17,'G-3 Multipliers'!$P$3:$Q$6,2,FALSE)),"")</f>
        <v/>
      </c>
      <c r="AH17" s="376" t="str">
        <f t="shared" si="7"/>
        <v/>
      </c>
      <c r="AI17" s="188"/>
      <c r="AJ17" s="118"/>
      <c r="AK17" s="120"/>
      <c r="AT17" s="30" t="str">
        <f>IFERROR(INDEX('G-6 Hedgerow Data'!$BJ$3:$BJ$15,MATCH(M17,'G-6 Hedgerow Data'!$B$3:$B$15,0)),"")</f>
        <v/>
      </c>
    </row>
    <row r="18" spans="2:46" ht="15">
      <c r="B18" s="392" t="str">
        <f>'B-1 On-Site Hedge Baseline'!AK16</f>
        <v/>
      </c>
      <c r="C18" s="382" t="str">
        <f>IF(B18="","",IF(ISNA(VLOOKUP($B18,'B-1 On-Site Hedge Baseline'!$B$1:$L$257,3,FALSE)),"",(VLOOKUP($B18,'B-1 On-Site Hedge Baseline'!$B$1:$L$257,3,FALSE))))</f>
        <v/>
      </c>
      <c r="D18" s="382" t="str">
        <f>IF(B18="","",IF(ISNA(VLOOKUP($B18,'B-1 On-Site Hedge Baseline'!$B$1:$L$257,4,FALSE)),"",(VLOOKUP($B18,'B-1 On-Site Hedge Baseline'!$B$1:$L$257,4,FALSE))))</f>
        <v/>
      </c>
      <c r="E18" s="382" t="str">
        <f>IF(B18="","",IF(ISNA(VLOOKUP($B18,'B-1 On-Site Hedge Baseline'!$B$1:$L$257,5,FALSE)),"",(VLOOKUP($B18,'B-1 On-Site Hedge Baseline'!$B$1:$L$257,5,FALSE))))</f>
        <v/>
      </c>
      <c r="F18" s="382" t="str">
        <f>IF(B18="","",IF(ISNA(VLOOKUP($B18,'B-1 On-Site Hedge Baseline'!$B$1:$L$257,6,FALSE)),"",(VLOOKUP($B18,'B-1 On-Site Hedge Baseline'!$B$1:$L$257,6,FALSE))))</f>
        <v/>
      </c>
      <c r="G18" s="382" t="str">
        <f>IF(B18="","",IF(ISNA(VLOOKUP($B18,'B-1 On-Site Hedge Baseline'!$B$1:$L$257,7,FALSE)),"",(VLOOKUP($B18,'B-1 On-Site Hedge Baseline'!$B$1:$L$257,7,FALSE))))</f>
        <v/>
      </c>
      <c r="H18" s="382" t="str">
        <f>IF(B18="","",IF(ISNA(VLOOKUP($B18,'B-1 On-Site Hedge Baseline'!$B$1:$L$257,8,FALSE)),"",(VLOOKUP($B18,'B-1 On-Site Hedge Baseline'!$B$1:$L$257,8,FALSE))))</f>
        <v/>
      </c>
      <c r="I18" s="382" t="str">
        <f>IF(B18="","",IF(ISNA(VLOOKUP($B18,'B-1 On-Site Hedge Baseline'!$B$1:$L$257,10,FALSE)),"",(VLOOKUP($B18,'B-1 On-Site Hedge Baseline'!$B$1:$L$257,10,FALSE))))</f>
        <v/>
      </c>
      <c r="J18" s="382" t="str">
        <f>IF(B18="","",IF(ISNA(VLOOKUP($B18,'B-1 On-Site Hedge Baseline'!$B$1:$L$257,11,FALSE)),"",(VLOOKUP($B18,'B-1 On-Site Hedge Baseline'!$B$1:$L$257,11,FALSE))))</f>
        <v/>
      </c>
      <c r="K18" s="382" t="str">
        <f>IF(B18="","",IF(ISNA(VLOOKUP($B18,'B-1 On-Site Hedge Baseline'!$B$1:$U$257,13,FALSE)),"",(VLOOKUP($B18,'B-1 On-Site Hedge Baseline'!$B$1:$U$257,13,FALSE))))</f>
        <v/>
      </c>
      <c r="L18" s="386" t="str">
        <f>IF(B18="","",IF(ISNA(VLOOKUP($B18,'B-1 On-Site Hedge Baseline'!$B$1:$U$257,12,FALSE)),"",(VLOOKUP($B18,'B-1 On-Site Hedge Baseline'!$B$1:$U$257,12,FALSE))))</f>
        <v/>
      </c>
      <c r="M18" s="315" t="str">
        <f t="shared" si="0"/>
        <v/>
      </c>
      <c r="N18" s="362" t="str">
        <f>IFERROR(IF(B18="","",INDEX('G-6 Hedgerow Data'!$AN$3:$AZ$15,MATCH(C18,'G-6 Hedgerow Data'!$AM$3:$AM$15,0),MATCH(M18,'G-6 Hedgerow Data'!$AN$2:$AZ$2,0))),"")</f>
        <v/>
      </c>
      <c r="O18" s="363" t="str">
        <f t="shared" si="2"/>
        <v/>
      </c>
      <c r="P18" s="417" t="str">
        <f>IF(B18="","",VLOOKUP(B18,'B-1 On-Site Hedge Baseline'!$B$10:T263,16,FALSE))</f>
        <v/>
      </c>
      <c r="Q18" s="362" t="str">
        <f>IF(M18="","",VLOOKUP(M18,'G-6 Hedgerow Data'!$B$2:$AG$15,2,FALSE))</f>
        <v/>
      </c>
      <c r="R18" s="363" t="str">
        <f>IF(M18="","",VLOOKUP(M18,'G-6 Hedgerow Data'!$B$2:$AG$15,3,FALSE))</f>
        <v/>
      </c>
      <c r="S18" s="55"/>
      <c r="T18" s="401" t="str">
        <f>IFERROR(VLOOKUP(S18,'G-1 All Habitats'!$Z$2:$AA$9,2,FALSE),"")</f>
        <v/>
      </c>
      <c r="U18" s="114"/>
      <c r="V18" s="382" t="str">
        <f>IF(U18="","",IF(VLOOKUP(U18,'G-3 Multipliers'!$L$3:$N$6,2,FALSE)=0,"Spatial Data Missing ⚠",VLOOKUP(U18,'G-3 Multipliers'!$L$3:$N$6,2,FALSE)))</f>
        <v/>
      </c>
      <c r="W18" s="386" t="str">
        <f>IF(U18="","",IF(VLOOKUP(U18,'G-3 Multipliers'!$L$3:$N$6,3,FALSE)=0,"Spatial Data Missing ⚠",VLOOKUP(U18,'G-3 Multipliers'!$L$3:$N$6,3,FALSE)))</f>
        <v/>
      </c>
      <c r="X18" s="362" t="str">
        <f>IFERROR(IF(OR(LEFT(O18,5)="Error",LEFT(N18,5)="Error",T18="Error"),"Check Data ⚠",IF(F18&lt;R18,INDEX('G-6 Hedgerow Data'!$S$3:$AE$14,MATCH(C18,'G-6 Hedgerow Data'!$B$3:$B$14,0),MATCH(M18,'G-6 Hedgerow Data'!$S$2:$AE$2,0)),INDEX('G-6 Hedgerow Data'!$K$3:$Q$14,MATCH(M18,'G-6 Hedgerow Data'!$B$3:$B$14,0),MATCH(O18,'G-6 Hedgerow Data'!$K$2:$Q$2,0)))),"")</f>
        <v/>
      </c>
      <c r="Y18" s="159"/>
      <c r="Z18" s="159"/>
      <c r="AA18" s="370" t="str">
        <f t="shared" si="3"/>
        <v/>
      </c>
      <c r="AB18" s="383" t="str">
        <f t="shared" si="4"/>
        <v/>
      </c>
      <c r="AC18" s="384" t="str">
        <f t="shared" si="1"/>
        <v/>
      </c>
      <c r="AD18" s="398" t="str">
        <f>IF(M18="","",VLOOKUP(M18,'G-6 Hedgerow Data'!$B$3:$AG$15,31,FALSE))</f>
        <v/>
      </c>
      <c r="AE18" s="370" t="str">
        <f t="shared" si="5"/>
        <v/>
      </c>
      <c r="AF18" s="370" t="str">
        <f t="shared" si="6"/>
        <v/>
      </c>
      <c r="AG18" s="386" t="str">
        <f>IFERROR(IF(O18="","",VLOOKUP(AD18,'G-3 Multipliers'!$P$3:$Q$6,2,FALSE)),"")</f>
        <v/>
      </c>
      <c r="AH18" s="376" t="str">
        <f t="shared" si="7"/>
        <v/>
      </c>
      <c r="AI18" s="188"/>
      <c r="AJ18" s="118"/>
      <c r="AK18" s="120"/>
      <c r="AT18" s="30" t="str">
        <f>IFERROR(INDEX('G-6 Hedgerow Data'!$BJ$3:$BJ$15,MATCH(M18,'G-6 Hedgerow Data'!$B$3:$B$15,0)),"")</f>
        <v/>
      </c>
    </row>
    <row r="19" spans="2:46" ht="15">
      <c r="B19" s="392" t="str">
        <f>'B-1 On-Site Hedge Baseline'!AK17</f>
        <v/>
      </c>
      <c r="C19" s="382" t="str">
        <f>IF(B19="","",IF(ISNA(VLOOKUP($B19,'B-1 On-Site Hedge Baseline'!$B$1:$L$257,3,FALSE)),"",(VLOOKUP($B19,'B-1 On-Site Hedge Baseline'!$B$1:$L$257,3,FALSE))))</f>
        <v/>
      </c>
      <c r="D19" s="382" t="str">
        <f>IF(B19="","",IF(ISNA(VLOOKUP($B19,'B-1 On-Site Hedge Baseline'!$B$1:$L$257,4,FALSE)),"",(VLOOKUP($B19,'B-1 On-Site Hedge Baseline'!$B$1:$L$257,4,FALSE))))</f>
        <v/>
      </c>
      <c r="E19" s="382" t="str">
        <f>IF(B19="","",IF(ISNA(VLOOKUP($B19,'B-1 On-Site Hedge Baseline'!$B$1:$L$257,5,FALSE)),"",(VLOOKUP($B19,'B-1 On-Site Hedge Baseline'!$B$1:$L$257,5,FALSE))))</f>
        <v/>
      </c>
      <c r="F19" s="382" t="str">
        <f>IF(B19="","",IF(ISNA(VLOOKUP($B19,'B-1 On-Site Hedge Baseline'!$B$1:$L$257,6,FALSE)),"",(VLOOKUP($B19,'B-1 On-Site Hedge Baseline'!$B$1:$L$257,6,FALSE))))</f>
        <v/>
      </c>
      <c r="G19" s="382" t="str">
        <f>IF(B19="","",IF(ISNA(VLOOKUP($B19,'B-1 On-Site Hedge Baseline'!$B$1:$L$257,7,FALSE)),"",(VLOOKUP($B19,'B-1 On-Site Hedge Baseline'!$B$1:$L$257,7,FALSE))))</f>
        <v/>
      </c>
      <c r="H19" s="382" t="str">
        <f>IF(B19="","",IF(ISNA(VLOOKUP($B19,'B-1 On-Site Hedge Baseline'!$B$1:$L$257,8,FALSE)),"",(VLOOKUP($B19,'B-1 On-Site Hedge Baseline'!$B$1:$L$257,8,FALSE))))</f>
        <v/>
      </c>
      <c r="I19" s="382" t="str">
        <f>IF(B19="","",IF(ISNA(VLOOKUP($B19,'B-1 On-Site Hedge Baseline'!$B$1:$L$257,10,FALSE)),"",(VLOOKUP($B19,'B-1 On-Site Hedge Baseline'!$B$1:$L$257,10,FALSE))))</f>
        <v/>
      </c>
      <c r="J19" s="382" t="str">
        <f>IF(B19="","",IF(ISNA(VLOOKUP($B19,'B-1 On-Site Hedge Baseline'!$B$1:$L$257,11,FALSE)),"",(VLOOKUP($B19,'B-1 On-Site Hedge Baseline'!$B$1:$L$257,11,FALSE))))</f>
        <v/>
      </c>
      <c r="K19" s="382" t="str">
        <f>IF(B19="","",IF(ISNA(VLOOKUP($B19,'B-1 On-Site Hedge Baseline'!$B$1:$U$257,13,FALSE)),"",(VLOOKUP($B19,'B-1 On-Site Hedge Baseline'!$B$1:$U$257,13,FALSE))))</f>
        <v/>
      </c>
      <c r="L19" s="386" t="str">
        <f>IF(B19="","",IF(ISNA(VLOOKUP($B19,'B-1 On-Site Hedge Baseline'!$B$1:$U$257,12,FALSE)),"",(VLOOKUP($B19,'B-1 On-Site Hedge Baseline'!$B$1:$U$257,12,FALSE))))</f>
        <v/>
      </c>
      <c r="M19" s="315" t="str">
        <f t="shared" si="0"/>
        <v/>
      </c>
      <c r="N19" s="362" t="str">
        <f>IFERROR(IF(B19="","",INDEX('G-6 Hedgerow Data'!$AN$3:$AZ$15,MATCH(C19,'G-6 Hedgerow Data'!$AM$3:$AM$15,0),MATCH(M19,'G-6 Hedgerow Data'!$AN$2:$AZ$2,0))),"")</f>
        <v/>
      </c>
      <c r="O19" s="363" t="str">
        <f t="shared" si="2"/>
        <v/>
      </c>
      <c r="P19" s="417" t="str">
        <f>IF(B19="","",VLOOKUP(B19,'B-1 On-Site Hedge Baseline'!$B$10:T264,16,FALSE))</f>
        <v/>
      </c>
      <c r="Q19" s="362" t="str">
        <f>IF(M19="","",VLOOKUP(M19,'G-6 Hedgerow Data'!$B$2:$AG$15,2,FALSE))</f>
        <v/>
      </c>
      <c r="R19" s="363" t="str">
        <f>IF(M19="","",VLOOKUP(M19,'G-6 Hedgerow Data'!$B$2:$AG$15,3,FALSE))</f>
        <v/>
      </c>
      <c r="S19" s="55"/>
      <c r="T19" s="401" t="str">
        <f>IFERROR(VLOOKUP(S19,'G-1 All Habitats'!$Z$2:$AA$9,2,FALSE),"")</f>
        <v/>
      </c>
      <c r="U19" s="114"/>
      <c r="V19" s="382" t="str">
        <f>IF(U19="","",IF(VLOOKUP(U19,'G-3 Multipliers'!$L$3:$N$6,2,FALSE)=0,"Spatial Data Missing ⚠",VLOOKUP(U19,'G-3 Multipliers'!$L$3:$N$6,2,FALSE)))</f>
        <v/>
      </c>
      <c r="W19" s="386" t="str">
        <f>IF(U19="","",IF(VLOOKUP(U19,'G-3 Multipliers'!$L$3:$N$6,3,FALSE)=0,"Spatial Data Missing ⚠",VLOOKUP(U19,'G-3 Multipliers'!$L$3:$N$6,3,FALSE)))</f>
        <v/>
      </c>
      <c r="X19" s="362" t="str">
        <f>IFERROR(IF(OR(LEFT(O19,5)="Error",LEFT(N19,5)="Error",T19="Error"),"Check Data ⚠",IF(F19&lt;R19,INDEX('G-6 Hedgerow Data'!$S$3:$AE$14,MATCH(C19,'G-6 Hedgerow Data'!$B$3:$B$14,0),MATCH(M19,'G-6 Hedgerow Data'!$S$2:$AE$2,0)),INDEX('G-6 Hedgerow Data'!$K$3:$Q$14,MATCH(M19,'G-6 Hedgerow Data'!$B$3:$B$14,0),MATCH(O19,'G-6 Hedgerow Data'!$K$2:$Q$2,0)))),"")</f>
        <v/>
      </c>
      <c r="Y19" s="159"/>
      <c r="Z19" s="159"/>
      <c r="AA19" s="370" t="str">
        <f t="shared" si="3"/>
        <v/>
      </c>
      <c r="AB19" s="383" t="str">
        <f t="shared" si="4"/>
        <v/>
      </c>
      <c r="AC19" s="384" t="str">
        <f t="shared" si="1"/>
        <v/>
      </c>
      <c r="AD19" s="398" t="str">
        <f>IF(M19="","",VLOOKUP(M19,'G-6 Hedgerow Data'!$B$3:$AG$15,31,FALSE))</f>
        <v/>
      </c>
      <c r="AE19" s="370" t="str">
        <f t="shared" si="5"/>
        <v/>
      </c>
      <c r="AF19" s="370" t="str">
        <f t="shared" si="6"/>
        <v/>
      </c>
      <c r="AG19" s="386" t="str">
        <f>IFERROR(IF(O19="","",VLOOKUP(AD19,'G-3 Multipliers'!$P$3:$Q$6,2,FALSE)),"")</f>
        <v/>
      </c>
      <c r="AH19" s="376" t="str">
        <f t="shared" si="7"/>
        <v/>
      </c>
      <c r="AI19" s="188"/>
      <c r="AJ19" s="118"/>
      <c r="AK19" s="120"/>
      <c r="AT19" s="30" t="str">
        <f>IFERROR(INDEX('G-6 Hedgerow Data'!$BJ$3:$BJ$15,MATCH(M19,'G-6 Hedgerow Data'!$B$3:$B$15,0)),"")</f>
        <v/>
      </c>
    </row>
    <row r="20" spans="2:46" ht="15">
      <c r="B20" s="392" t="str">
        <f>'B-1 On-Site Hedge Baseline'!AK18</f>
        <v/>
      </c>
      <c r="C20" s="382" t="str">
        <f>IF(B20="","",IF(ISNA(VLOOKUP($B20,'B-1 On-Site Hedge Baseline'!$B$1:$L$257,3,FALSE)),"",(VLOOKUP($B20,'B-1 On-Site Hedge Baseline'!$B$1:$L$257,3,FALSE))))</f>
        <v/>
      </c>
      <c r="D20" s="382" t="str">
        <f>IF(B20="","",IF(ISNA(VLOOKUP($B20,'B-1 On-Site Hedge Baseline'!$B$1:$L$257,4,FALSE)),"",(VLOOKUP($B20,'B-1 On-Site Hedge Baseline'!$B$1:$L$257,4,FALSE))))</f>
        <v/>
      </c>
      <c r="E20" s="382" t="str">
        <f>IF(B20="","",IF(ISNA(VLOOKUP($B20,'B-1 On-Site Hedge Baseline'!$B$1:$L$257,5,FALSE)),"",(VLOOKUP($B20,'B-1 On-Site Hedge Baseline'!$B$1:$L$257,5,FALSE))))</f>
        <v/>
      </c>
      <c r="F20" s="382" t="str">
        <f>IF(B20="","",IF(ISNA(VLOOKUP($B20,'B-1 On-Site Hedge Baseline'!$B$1:$L$257,6,FALSE)),"",(VLOOKUP($B20,'B-1 On-Site Hedge Baseline'!$B$1:$L$257,6,FALSE))))</f>
        <v/>
      </c>
      <c r="G20" s="382" t="str">
        <f>IF(B20="","",IF(ISNA(VLOOKUP($B20,'B-1 On-Site Hedge Baseline'!$B$1:$L$257,7,FALSE)),"",(VLOOKUP($B20,'B-1 On-Site Hedge Baseline'!$B$1:$L$257,7,FALSE))))</f>
        <v/>
      </c>
      <c r="H20" s="382" t="str">
        <f>IF(B20="","",IF(ISNA(VLOOKUP($B20,'B-1 On-Site Hedge Baseline'!$B$1:$L$257,8,FALSE)),"",(VLOOKUP($B20,'B-1 On-Site Hedge Baseline'!$B$1:$L$257,8,FALSE))))</f>
        <v/>
      </c>
      <c r="I20" s="382" t="str">
        <f>IF(B20="","",IF(ISNA(VLOOKUP($B20,'B-1 On-Site Hedge Baseline'!$B$1:$L$257,10,FALSE)),"",(VLOOKUP($B20,'B-1 On-Site Hedge Baseline'!$B$1:$L$257,10,FALSE))))</f>
        <v/>
      </c>
      <c r="J20" s="382" t="str">
        <f>IF(B20="","",IF(ISNA(VLOOKUP($B20,'B-1 On-Site Hedge Baseline'!$B$1:$L$257,11,FALSE)),"",(VLOOKUP($B20,'B-1 On-Site Hedge Baseline'!$B$1:$L$257,11,FALSE))))</f>
        <v/>
      </c>
      <c r="K20" s="382" t="str">
        <f>IF(B20="","",IF(ISNA(VLOOKUP($B20,'B-1 On-Site Hedge Baseline'!$B$1:$U$257,13,FALSE)),"",(VLOOKUP($B20,'B-1 On-Site Hedge Baseline'!$B$1:$U$257,13,FALSE))))</f>
        <v/>
      </c>
      <c r="L20" s="386" t="str">
        <f>IF(B20="","",IF(ISNA(VLOOKUP($B20,'B-1 On-Site Hedge Baseline'!$B$1:$U$257,12,FALSE)),"",(VLOOKUP($B20,'B-1 On-Site Hedge Baseline'!$B$1:$U$257,12,FALSE))))</f>
        <v/>
      </c>
      <c r="M20" s="315" t="str">
        <f t="shared" si="0"/>
        <v/>
      </c>
      <c r="N20" s="362" t="str">
        <f>IFERROR(IF(B20="","",INDEX('G-6 Hedgerow Data'!$AN$3:$AZ$15,MATCH(C20,'G-6 Hedgerow Data'!$AM$3:$AM$15,0),MATCH(M20,'G-6 Hedgerow Data'!$AN$2:$AZ$2,0))),"")</f>
        <v/>
      </c>
      <c r="O20" s="363" t="str">
        <f t="shared" si="2"/>
        <v/>
      </c>
      <c r="P20" s="417" t="str">
        <f>IF(B20="","",VLOOKUP(B20,'B-1 On-Site Hedge Baseline'!$B$10:T265,16,FALSE))</f>
        <v/>
      </c>
      <c r="Q20" s="362" t="str">
        <f>IF(M20="","",VLOOKUP(M20,'G-6 Hedgerow Data'!$B$2:$AG$15,2,FALSE))</f>
        <v/>
      </c>
      <c r="R20" s="363" t="str">
        <f>IF(M20="","",VLOOKUP(M20,'G-6 Hedgerow Data'!$B$2:$AG$15,3,FALSE))</f>
        <v/>
      </c>
      <c r="S20" s="55"/>
      <c r="T20" s="401" t="str">
        <f>IFERROR(VLOOKUP(S20,'G-1 All Habitats'!$Z$2:$AA$9,2,FALSE),"")</f>
        <v/>
      </c>
      <c r="U20" s="114"/>
      <c r="V20" s="382" t="str">
        <f>IF(U20="","",IF(VLOOKUP(U20,'G-3 Multipliers'!$L$3:$N$6,2,FALSE)=0,"Spatial Data Missing ⚠",VLOOKUP(U20,'G-3 Multipliers'!$L$3:$N$6,2,FALSE)))</f>
        <v/>
      </c>
      <c r="W20" s="386" t="str">
        <f>IF(U20="","",IF(VLOOKUP(U20,'G-3 Multipliers'!$L$3:$N$6,3,FALSE)=0,"Spatial Data Missing ⚠",VLOOKUP(U20,'G-3 Multipliers'!$L$3:$N$6,3,FALSE)))</f>
        <v/>
      </c>
      <c r="X20" s="362" t="str">
        <f>IFERROR(IF(OR(LEFT(O20,5)="Error",LEFT(N20,5)="Error",T20="Error"),"Check Data ⚠",IF(F20&lt;R20,INDEX('G-6 Hedgerow Data'!$S$3:$AE$14,MATCH(C20,'G-6 Hedgerow Data'!$B$3:$B$14,0),MATCH(M20,'G-6 Hedgerow Data'!$S$2:$AE$2,0)),INDEX('G-6 Hedgerow Data'!$K$3:$Q$14,MATCH(M20,'G-6 Hedgerow Data'!$B$3:$B$14,0),MATCH(O20,'G-6 Hedgerow Data'!$K$2:$Q$2,0)))),"")</f>
        <v/>
      </c>
      <c r="Y20" s="159"/>
      <c r="Z20" s="159"/>
      <c r="AA20" s="370" t="str">
        <f t="shared" si="3"/>
        <v/>
      </c>
      <c r="AB20" s="383" t="str">
        <f t="shared" si="4"/>
        <v/>
      </c>
      <c r="AC20" s="384" t="str">
        <f t="shared" si="1"/>
        <v/>
      </c>
      <c r="AD20" s="398" t="str">
        <f>IF(M20="","",VLOOKUP(M20,'G-6 Hedgerow Data'!$B$3:$AG$15,31,FALSE))</f>
        <v/>
      </c>
      <c r="AE20" s="370" t="str">
        <f t="shared" si="5"/>
        <v/>
      </c>
      <c r="AF20" s="370" t="str">
        <f t="shared" si="6"/>
        <v/>
      </c>
      <c r="AG20" s="386" t="str">
        <f>IFERROR(IF(O20="","",VLOOKUP(AD20,'G-3 Multipliers'!$P$3:$Q$6,2,FALSE)),"")</f>
        <v/>
      </c>
      <c r="AH20" s="376" t="str">
        <f t="shared" si="7"/>
        <v/>
      </c>
      <c r="AI20" s="188"/>
      <c r="AJ20" s="118"/>
      <c r="AK20" s="120"/>
      <c r="AT20" s="30" t="str">
        <f>IFERROR(INDEX('G-6 Hedgerow Data'!$BJ$3:$BJ$15,MATCH(M20,'G-6 Hedgerow Data'!$B$3:$B$15,0)),"")</f>
        <v/>
      </c>
    </row>
    <row r="21" spans="2:46" ht="15">
      <c r="B21" s="392" t="str">
        <f>'B-1 On-Site Hedge Baseline'!AK19</f>
        <v/>
      </c>
      <c r="C21" s="382" t="str">
        <f>IF(B21="","",IF(ISNA(VLOOKUP($B21,'B-1 On-Site Hedge Baseline'!$B$1:$L$257,3,FALSE)),"",(VLOOKUP($B21,'B-1 On-Site Hedge Baseline'!$B$1:$L$257,3,FALSE))))</f>
        <v/>
      </c>
      <c r="D21" s="382" t="str">
        <f>IF(B21="","",IF(ISNA(VLOOKUP($B21,'B-1 On-Site Hedge Baseline'!$B$1:$L$257,4,FALSE)),"",(VLOOKUP($B21,'B-1 On-Site Hedge Baseline'!$B$1:$L$257,4,FALSE))))</f>
        <v/>
      </c>
      <c r="E21" s="382" t="str">
        <f>IF(B21="","",IF(ISNA(VLOOKUP($B21,'B-1 On-Site Hedge Baseline'!$B$1:$L$257,5,FALSE)),"",(VLOOKUP($B21,'B-1 On-Site Hedge Baseline'!$B$1:$L$257,5,FALSE))))</f>
        <v/>
      </c>
      <c r="F21" s="382" t="str">
        <f>IF(B21="","",IF(ISNA(VLOOKUP($B21,'B-1 On-Site Hedge Baseline'!$B$1:$L$257,6,FALSE)),"",(VLOOKUP($B21,'B-1 On-Site Hedge Baseline'!$B$1:$L$257,6,FALSE))))</f>
        <v/>
      </c>
      <c r="G21" s="382" t="str">
        <f>IF(B21="","",IF(ISNA(VLOOKUP($B21,'B-1 On-Site Hedge Baseline'!$B$1:$L$257,7,FALSE)),"",(VLOOKUP($B21,'B-1 On-Site Hedge Baseline'!$B$1:$L$257,7,FALSE))))</f>
        <v/>
      </c>
      <c r="H21" s="382" t="str">
        <f>IF(B21="","",IF(ISNA(VLOOKUP($B21,'B-1 On-Site Hedge Baseline'!$B$1:$L$257,8,FALSE)),"",(VLOOKUP($B21,'B-1 On-Site Hedge Baseline'!$B$1:$L$257,8,FALSE))))</f>
        <v/>
      </c>
      <c r="I21" s="382" t="str">
        <f>IF(B21="","",IF(ISNA(VLOOKUP($B21,'B-1 On-Site Hedge Baseline'!$B$1:$L$257,10,FALSE)),"",(VLOOKUP($B21,'B-1 On-Site Hedge Baseline'!$B$1:$L$257,10,FALSE))))</f>
        <v/>
      </c>
      <c r="J21" s="382" t="str">
        <f>IF(B21="","",IF(ISNA(VLOOKUP($B21,'B-1 On-Site Hedge Baseline'!$B$1:$L$257,11,FALSE)),"",(VLOOKUP($B21,'B-1 On-Site Hedge Baseline'!$B$1:$L$257,11,FALSE))))</f>
        <v/>
      </c>
      <c r="K21" s="382" t="str">
        <f>IF(B21="","",IF(ISNA(VLOOKUP($B21,'B-1 On-Site Hedge Baseline'!$B$1:$U$257,13,FALSE)),"",(VLOOKUP($B21,'B-1 On-Site Hedge Baseline'!$B$1:$U$257,13,FALSE))))</f>
        <v/>
      </c>
      <c r="L21" s="386" t="str">
        <f>IF(B21="","",IF(ISNA(VLOOKUP($B21,'B-1 On-Site Hedge Baseline'!$B$1:$U$257,12,FALSE)),"",(VLOOKUP($B21,'B-1 On-Site Hedge Baseline'!$B$1:$U$257,12,FALSE))))</f>
        <v/>
      </c>
      <c r="M21" s="315" t="str">
        <f t="shared" si="0"/>
        <v/>
      </c>
      <c r="N21" s="362" t="str">
        <f>IFERROR(IF(B21="","",INDEX('G-6 Hedgerow Data'!$AN$3:$AZ$15,MATCH(C21,'G-6 Hedgerow Data'!$AM$3:$AM$15,0),MATCH(M21,'G-6 Hedgerow Data'!$AN$2:$AZ$2,0))),"")</f>
        <v/>
      </c>
      <c r="O21" s="363" t="str">
        <f t="shared" si="2"/>
        <v/>
      </c>
      <c r="P21" s="417" t="str">
        <f>IF(B21="","",VLOOKUP(B21,'B-1 On-Site Hedge Baseline'!$B$10:T266,16,FALSE))</f>
        <v/>
      </c>
      <c r="Q21" s="362" t="str">
        <f>IF(M21="","",VLOOKUP(M21,'G-6 Hedgerow Data'!$B$2:$AG$15,2,FALSE))</f>
        <v/>
      </c>
      <c r="R21" s="363" t="str">
        <f>IF(M21="","",VLOOKUP(M21,'G-6 Hedgerow Data'!$B$2:$AG$15,3,FALSE))</f>
        <v/>
      </c>
      <c r="S21" s="55"/>
      <c r="T21" s="401" t="str">
        <f>IFERROR(VLOOKUP(S21,'G-1 All Habitats'!$Z$2:$AA$9,2,FALSE),"")</f>
        <v/>
      </c>
      <c r="U21" s="114"/>
      <c r="V21" s="382" t="str">
        <f>IF(U21="","",IF(VLOOKUP(U21,'G-3 Multipliers'!$L$3:$N$6,2,FALSE)=0,"Spatial Data Missing ⚠",VLOOKUP(U21,'G-3 Multipliers'!$L$3:$N$6,2,FALSE)))</f>
        <v/>
      </c>
      <c r="W21" s="386" t="str">
        <f>IF(U21="","",IF(VLOOKUP(U21,'G-3 Multipliers'!$L$3:$N$6,3,FALSE)=0,"Spatial Data Missing ⚠",VLOOKUP(U21,'G-3 Multipliers'!$L$3:$N$6,3,FALSE)))</f>
        <v/>
      </c>
      <c r="X21" s="362" t="str">
        <f>IFERROR(IF(OR(LEFT(O21,5)="Error",LEFT(N21,5)="Error",T21="Error"),"Check Data ⚠",IF(F21&lt;R21,INDEX('G-6 Hedgerow Data'!$S$3:$AE$14,MATCH(C21,'G-6 Hedgerow Data'!$B$3:$B$14,0),MATCH(M21,'G-6 Hedgerow Data'!$S$2:$AE$2,0)),INDEX('G-6 Hedgerow Data'!$K$3:$Q$14,MATCH(M21,'G-6 Hedgerow Data'!$B$3:$B$14,0),MATCH(O21,'G-6 Hedgerow Data'!$K$2:$Q$2,0)))),"")</f>
        <v/>
      </c>
      <c r="Y21" s="159"/>
      <c r="Z21" s="159"/>
      <c r="AA21" s="370" t="str">
        <f t="shared" si="3"/>
        <v/>
      </c>
      <c r="AB21" s="383" t="str">
        <f t="shared" si="4"/>
        <v/>
      </c>
      <c r="AC21" s="384" t="str">
        <f t="shared" si="1"/>
        <v/>
      </c>
      <c r="AD21" s="398" t="str">
        <f>IF(M21="","",VLOOKUP(M21,'G-6 Hedgerow Data'!$B$3:$AG$15,31,FALSE))</f>
        <v/>
      </c>
      <c r="AE21" s="370" t="str">
        <f t="shared" si="5"/>
        <v/>
      </c>
      <c r="AF21" s="370" t="str">
        <f t="shared" si="6"/>
        <v/>
      </c>
      <c r="AG21" s="386" t="str">
        <f>IFERROR(IF(O21="","",VLOOKUP(AD21,'G-3 Multipliers'!$P$3:$Q$6,2,FALSE)),"")</f>
        <v/>
      </c>
      <c r="AH21" s="376" t="str">
        <f t="shared" si="7"/>
        <v/>
      </c>
      <c r="AI21" s="188"/>
      <c r="AJ21" s="118"/>
      <c r="AK21" s="120"/>
      <c r="AT21" s="30" t="str">
        <f>IFERROR(INDEX('G-6 Hedgerow Data'!$BJ$3:$BJ$15,MATCH(M21,'G-6 Hedgerow Data'!$B$3:$B$15,0)),"")</f>
        <v/>
      </c>
    </row>
    <row r="22" spans="2:46" ht="15">
      <c r="B22" s="392" t="str">
        <f>'B-1 On-Site Hedge Baseline'!AK20</f>
        <v/>
      </c>
      <c r="C22" s="382" t="str">
        <f>IF(B22="","",IF(ISNA(VLOOKUP($B22,'B-1 On-Site Hedge Baseline'!$B$1:$L$257,3,FALSE)),"",(VLOOKUP($B22,'B-1 On-Site Hedge Baseline'!$B$1:$L$257,3,FALSE))))</f>
        <v/>
      </c>
      <c r="D22" s="382" t="str">
        <f>IF(B22="","",IF(ISNA(VLOOKUP($B22,'B-1 On-Site Hedge Baseline'!$B$1:$L$257,4,FALSE)),"",(VLOOKUP($B22,'B-1 On-Site Hedge Baseline'!$B$1:$L$257,4,FALSE))))</f>
        <v/>
      </c>
      <c r="E22" s="382" t="str">
        <f>IF(B22="","",IF(ISNA(VLOOKUP($B22,'B-1 On-Site Hedge Baseline'!$B$1:$L$257,5,FALSE)),"",(VLOOKUP($B22,'B-1 On-Site Hedge Baseline'!$B$1:$L$257,5,FALSE))))</f>
        <v/>
      </c>
      <c r="F22" s="382" t="str">
        <f>IF(B22="","",IF(ISNA(VLOOKUP($B22,'B-1 On-Site Hedge Baseline'!$B$1:$L$257,6,FALSE)),"",(VLOOKUP($B22,'B-1 On-Site Hedge Baseline'!$B$1:$L$257,6,FALSE))))</f>
        <v/>
      </c>
      <c r="G22" s="382" t="str">
        <f>IF(B22="","",IF(ISNA(VLOOKUP($B22,'B-1 On-Site Hedge Baseline'!$B$1:$L$257,7,FALSE)),"",(VLOOKUP($B22,'B-1 On-Site Hedge Baseline'!$B$1:$L$257,7,FALSE))))</f>
        <v/>
      </c>
      <c r="H22" s="382" t="str">
        <f>IF(B22="","",IF(ISNA(VLOOKUP($B22,'B-1 On-Site Hedge Baseline'!$B$1:$L$257,8,FALSE)),"",(VLOOKUP($B22,'B-1 On-Site Hedge Baseline'!$B$1:$L$257,8,FALSE))))</f>
        <v/>
      </c>
      <c r="I22" s="382" t="str">
        <f>IF(B22="","",IF(ISNA(VLOOKUP($B22,'B-1 On-Site Hedge Baseline'!$B$1:$L$257,10,FALSE)),"",(VLOOKUP($B22,'B-1 On-Site Hedge Baseline'!$B$1:$L$257,10,FALSE))))</f>
        <v/>
      </c>
      <c r="J22" s="382" t="str">
        <f>IF(B22="","",IF(ISNA(VLOOKUP($B22,'B-1 On-Site Hedge Baseline'!$B$1:$L$257,11,FALSE)),"",(VLOOKUP($B22,'B-1 On-Site Hedge Baseline'!$B$1:$L$257,11,FALSE))))</f>
        <v/>
      </c>
      <c r="K22" s="382" t="str">
        <f>IF(B22="","",IF(ISNA(VLOOKUP($B22,'B-1 On-Site Hedge Baseline'!$B$1:$U$257,13,FALSE)),"",(VLOOKUP($B22,'B-1 On-Site Hedge Baseline'!$B$1:$U$257,13,FALSE))))</f>
        <v/>
      </c>
      <c r="L22" s="386" t="str">
        <f>IF(B22="","",IF(ISNA(VLOOKUP($B22,'B-1 On-Site Hedge Baseline'!$B$1:$U$257,12,FALSE)),"",(VLOOKUP($B22,'B-1 On-Site Hedge Baseline'!$B$1:$U$257,12,FALSE))))</f>
        <v/>
      </c>
      <c r="M22" s="315" t="str">
        <f t="shared" si="0"/>
        <v/>
      </c>
      <c r="N22" s="362" t="str">
        <f>IFERROR(IF(B22="","",INDEX('G-6 Hedgerow Data'!$AN$3:$AZ$15,MATCH(C22,'G-6 Hedgerow Data'!$AM$3:$AM$15,0),MATCH(M22,'G-6 Hedgerow Data'!$AN$2:$AZ$2,0))),"")</f>
        <v/>
      </c>
      <c r="O22" s="363" t="str">
        <f t="shared" si="2"/>
        <v/>
      </c>
      <c r="P22" s="417" t="str">
        <f>IF(B22="","",VLOOKUP(B22,'B-1 On-Site Hedge Baseline'!$B$10:T267,16,FALSE))</f>
        <v/>
      </c>
      <c r="Q22" s="362" t="str">
        <f>IF(M22="","",VLOOKUP(M22,'G-6 Hedgerow Data'!$B$2:$AG$15,2,FALSE))</f>
        <v/>
      </c>
      <c r="R22" s="363" t="str">
        <f>IF(M22="","",VLOOKUP(M22,'G-6 Hedgerow Data'!$B$2:$AG$15,3,FALSE))</f>
        <v/>
      </c>
      <c r="S22" s="55"/>
      <c r="T22" s="401" t="str">
        <f>IFERROR(VLOOKUP(S22,'G-1 All Habitats'!$Z$2:$AA$9,2,FALSE),"")</f>
        <v/>
      </c>
      <c r="U22" s="114"/>
      <c r="V22" s="382" t="str">
        <f>IF(U22="","",IF(VLOOKUP(U22,'G-3 Multipliers'!$L$3:$N$6,2,FALSE)=0,"Spatial Data Missing ⚠",VLOOKUP(U22,'G-3 Multipliers'!$L$3:$N$6,2,FALSE)))</f>
        <v/>
      </c>
      <c r="W22" s="386" t="str">
        <f>IF(U22="","",IF(VLOOKUP(U22,'G-3 Multipliers'!$L$3:$N$6,3,FALSE)=0,"Spatial Data Missing ⚠",VLOOKUP(U22,'G-3 Multipliers'!$L$3:$N$6,3,FALSE)))</f>
        <v/>
      </c>
      <c r="X22" s="362" t="str">
        <f>IFERROR(IF(OR(LEFT(O22,5)="Error",LEFT(N22,5)="Error",T22="Error"),"Check Data ⚠",IF(F22&lt;R22,INDEX('G-6 Hedgerow Data'!$S$3:$AE$14,MATCH(C22,'G-6 Hedgerow Data'!$B$3:$B$14,0),MATCH(M22,'G-6 Hedgerow Data'!$S$2:$AE$2,0)),INDEX('G-6 Hedgerow Data'!$K$3:$Q$14,MATCH(M22,'G-6 Hedgerow Data'!$B$3:$B$14,0),MATCH(O22,'G-6 Hedgerow Data'!$K$2:$Q$2,0)))),"")</f>
        <v/>
      </c>
      <c r="Y22" s="159"/>
      <c r="Z22" s="159"/>
      <c r="AA22" s="370" t="str">
        <f t="shared" si="3"/>
        <v/>
      </c>
      <c r="AB22" s="383" t="str">
        <f t="shared" si="4"/>
        <v/>
      </c>
      <c r="AC22" s="384" t="str">
        <f t="shared" si="1"/>
        <v/>
      </c>
      <c r="AD22" s="398" t="str">
        <f>IF(M22="","",VLOOKUP(M22,'G-6 Hedgerow Data'!$B$3:$AG$15,31,FALSE))</f>
        <v/>
      </c>
      <c r="AE22" s="370" t="str">
        <f t="shared" si="5"/>
        <v/>
      </c>
      <c r="AF22" s="370" t="str">
        <f t="shared" si="6"/>
        <v/>
      </c>
      <c r="AG22" s="386" t="str">
        <f>IFERROR(IF(O22="","",VLOOKUP(AD22,'G-3 Multipliers'!$P$3:$Q$6,2,FALSE)),"")</f>
        <v/>
      </c>
      <c r="AH22" s="376" t="str">
        <f t="shared" si="7"/>
        <v/>
      </c>
      <c r="AI22" s="188"/>
      <c r="AJ22" s="118"/>
      <c r="AK22" s="120"/>
      <c r="AT22" s="30" t="str">
        <f>IFERROR(INDEX('G-6 Hedgerow Data'!$BJ$3:$BJ$15,MATCH(M22,'G-6 Hedgerow Data'!$B$3:$B$15,0)),"")</f>
        <v/>
      </c>
    </row>
    <row r="23" spans="2:46" ht="15">
      <c r="B23" s="392" t="str">
        <f>'B-1 On-Site Hedge Baseline'!AK21</f>
        <v/>
      </c>
      <c r="C23" s="382" t="str">
        <f>IF(B23="","",IF(ISNA(VLOOKUP($B23,'B-1 On-Site Hedge Baseline'!$B$1:$L$257,3,FALSE)),"",(VLOOKUP($B23,'B-1 On-Site Hedge Baseline'!$B$1:$L$257,3,FALSE))))</f>
        <v/>
      </c>
      <c r="D23" s="382" t="str">
        <f>IF(B23="","",IF(ISNA(VLOOKUP($B23,'B-1 On-Site Hedge Baseline'!$B$1:$L$257,4,FALSE)),"",(VLOOKUP($B23,'B-1 On-Site Hedge Baseline'!$B$1:$L$257,4,FALSE))))</f>
        <v/>
      </c>
      <c r="E23" s="382" t="str">
        <f>IF(B23="","",IF(ISNA(VLOOKUP($B23,'B-1 On-Site Hedge Baseline'!$B$1:$L$257,5,FALSE)),"",(VLOOKUP($B23,'B-1 On-Site Hedge Baseline'!$B$1:$L$257,5,FALSE))))</f>
        <v/>
      </c>
      <c r="F23" s="382" t="str">
        <f>IF(B23="","",IF(ISNA(VLOOKUP($B23,'B-1 On-Site Hedge Baseline'!$B$1:$L$257,6,FALSE)),"",(VLOOKUP($B23,'B-1 On-Site Hedge Baseline'!$B$1:$L$257,6,FALSE))))</f>
        <v/>
      </c>
      <c r="G23" s="382" t="str">
        <f>IF(B23="","",IF(ISNA(VLOOKUP($B23,'B-1 On-Site Hedge Baseline'!$B$1:$L$257,7,FALSE)),"",(VLOOKUP($B23,'B-1 On-Site Hedge Baseline'!$B$1:$L$257,7,FALSE))))</f>
        <v/>
      </c>
      <c r="H23" s="382" t="str">
        <f>IF(B23="","",IF(ISNA(VLOOKUP($B23,'B-1 On-Site Hedge Baseline'!$B$1:$L$257,8,FALSE)),"",(VLOOKUP($B23,'B-1 On-Site Hedge Baseline'!$B$1:$L$257,8,FALSE))))</f>
        <v/>
      </c>
      <c r="I23" s="382" t="str">
        <f>IF(B23="","",IF(ISNA(VLOOKUP($B23,'B-1 On-Site Hedge Baseline'!$B$1:$L$257,10,FALSE)),"",(VLOOKUP($B23,'B-1 On-Site Hedge Baseline'!$B$1:$L$257,10,FALSE))))</f>
        <v/>
      </c>
      <c r="J23" s="382" t="str">
        <f>IF(B23="","",IF(ISNA(VLOOKUP($B23,'B-1 On-Site Hedge Baseline'!$B$1:$L$257,11,FALSE)),"",(VLOOKUP($B23,'B-1 On-Site Hedge Baseline'!$B$1:$L$257,11,FALSE))))</f>
        <v/>
      </c>
      <c r="K23" s="382" t="str">
        <f>IF(B23="","",IF(ISNA(VLOOKUP($B23,'B-1 On-Site Hedge Baseline'!$B$1:$U$257,13,FALSE)),"",(VLOOKUP($B23,'B-1 On-Site Hedge Baseline'!$B$1:$U$257,13,FALSE))))</f>
        <v/>
      </c>
      <c r="L23" s="386" t="str">
        <f>IF(B23="","",IF(ISNA(VLOOKUP($B23,'B-1 On-Site Hedge Baseline'!$B$1:$U$257,12,FALSE)),"",(VLOOKUP($B23,'B-1 On-Site Hedge Baseline'!$B$1:$U$257,12,FALSE))))</f>
        <v/>
      </c>
      <c r="M23" s="315" t="str">
        <f t="shared" si="0"/>
        <v/>
      </c>
      <c r="N23" s="362" t="str">
        <f>IFERROR(IF(B23="","",INDEX('G-6 Hedgerow Data'!$AN$3:$AZ$15,MATCH(C23,'G-6 Hedgerow Data'!$AM$3:$AM$15,0),MATCH(M23,'G-6 Hedgerow Data'!$AN$2:$AZ$2,0))),"")</f>
        <v/>
      </c>
      <c r="O23" s="363" t="str">
        <f t="shared" si="2"/>
        <v/>
      </c>
      <c r="P23" s="417" t="str">
        <f>IF(B23="","",VLOOKUP(B23,'B-1 On-Site Hedge Baseline'!$B$10:T268,16,FALSE))</f>
        <v/>
      </c>
      <c r="Q23" s="362" t="str">
        <f>IF(M23="","",VLOOKUP(M23,'G-6 Hedgerow Data'!$B$2:$AG$15,2,FALSE))</f>
        <v/>
      </c>
      <c r="R23" s="363" t="str">
        <f>IF(M23="","",VLOOKUP(M23,'G-6 Hedgerow Data'!$B$2:$AG$15,3,FALSE))</f>
        <v/>
      </c>
      <c r="S23" s="55"/>
      <c r="T23" s="401" t="str">
        <f>IFERROR(VLOOKUP(S23,'G-1 All Habitats'!$Z$2:$AA$9,2,FALSE),"")</f>
        <v/>
      </c>
      <c r="U23" s="114"/>
      <c r="V23" s="382" t="str">
        <f>IF(U23="","",IF(VLOOKUP(U23,'G-3 Multipliers'!$L$3:$N$6,2,FALSE)=0,"Spatial Data Missing ⚠",VLOOKUP(U23,'G-3 Multipliers'!$L$3:$N$6,2,FALSE)))</f>
        <v/>
      </c>
      <c r="W23" s="386" t="str">
        <f>IF(U23="","",IF(VLOOKUP(U23,'G-3 Multipliers'!$L$3:$N$6,3,FALSE)=0,"Spatial Data Missing ⚠",VLOOKUP(U23,'G-3 Multipliers'!$L$3:$N$6,3,FALSE)))</f>
        <v/>
      </c>
      <c r="X23" s="362" t="str">
        <f>IFERROR(IF(OR(LEFT(O23,5)="Error",LEFT(N23,5)="Error",T23="Error"),"Check Data ⚠",IF(F23&lt;R23,INDEX('G-6 Hedgerow Data'!$S$3:$AE$14,MATCH(C23,'G-6 Hedgerow Data'!$B$3:$B$14,0),MATCH(M23,'G-6 Hedgerow Data'!$S$2:$AE$2,0)),INDEX('G-6 Hedgerow Data'!$K$3:$Q$14,MATCH(M23,'G-6 Hedgerow Data'!$B$3:$B$14,0),MATCH(O23,'G-6 Hedgerow Data'!$K$2:$Q$2,0)))),"")</f>
        <v/>
      </c>
      <c r="Y23" s="159"/>
      <c r="Z23" s="159"/>
      <c r="AA23" s="370" t="str">
        <f t="shared" si="3"/>
        <v/>
      </c>
      <c r="AB23" s="383" t="str">
        <f t="shared" si="4"/>
        <v/>
      </c>
      <c r="AC23" s="384" t="str">
        <f t="shared" si="1"/>
        <v/>
      </c>
      <c r="AD23" s="398" t="str">
        <f>IF(M23="","",VLOOKUP(M23,'G-6 Hedgerow Data'!$B$3:$AG$15,31,FALSE))</f>
        <v/>
      </c>
      <c r="AE23" s="370" t="str">
        <f t="shared" si="5"/>
        <v/>
      </c>
      <c r="AF23" s="370" t="str">
        <f t="shared" si="6"/>
        <v/>
      </c>
      <c r="AG23" s="386" t="str">
        <f>IFERROR(IF(O23="","",VLOOKUP(AD23,'G-3 Multipliers'!$P$3:$Q$6,2,FALSE)),"")</f>
        <v/>
      </c>
      <c r="AH23" s="376" t="str">
        <f t="shared" si="7"/>
        <v/>
      </c>
      <c r="AI23" s="188"/>
      <c r="AJ23" s="118"/>
      <c r="AK23" s="120"/>
      <c r="AT23" s="30" t="str">
        <f>IFERROR(INDEX('G-6 Hedgerow Data'!$BJ$3:$BJ$15,MATCH(M23,'G-6 Hedgerow Data'!$B$3:$B$15,0)),"")</f>
        <v/>
      </c>
    </row>
    <row r="24" spans="2:46" ht="15">
      <c r="B24" s="392" t="str">
        <f>'B-1 On-Site Hedge Baseline'!AK22</f>
        <v/>
      </c>
      <c r="C24" s="382" t="str">
        <f>IF(B24="","",IF(ISNA(VLOOKUP($B24,'B-1 On-Site Hedge Baseline'!$B$1:$L$257,3,FALSE)),"",(VLOOKUP($B24,'B-1 On-Site Hedge Baseline'!$B$1:$L$257,3,FALSE))))</f>
        <v/>
      </c>
      <c r="D24" s="382" t="str">
        <f>IF(B24="","",IF(ISNA(VLOOKUP($B24,'B-1 On-Site Hedge Baseline'!$B$1:$L$257,4,FALSE)),"",(VLOOKUP($B24,'B-1 On-Site Hedge Baseline'!$B$1:$L$257,4,FALSE))))</f>
        <v/>
      </c>
      <c r="E24" s="382" t="str">
        <f>IF(B24="","",IF(ISNA(VLOOKUP($B24,'B-1 On-Site Hedge Baseline'!$B$1:$L$257,5,FALSE)),"",(VLOOKUP($B24,'B-1 On-Site Hedge Baseline'!$B$1:$L$257,5,FALSE))))</f>
        <v/>
      </c>
      <c r="F24" s="382" t="str">
        <f>IF(B24="","",IF(ISNA(VLOOKUP($B24,'B-1 On-Site Hedge Baseline'!$B$1:$L$257,6,FALSE)),"",(VLOOKUP($B24,'B-1 On-Site Hedge Baseline'!$B$1:$L$257,6,FALSE))))</f>
        <v/>
      </c>
      <c r="G24" s="382" t="str">
        <f>IF(B24="","",IF(ISNA(VLOOKUP($B24,'B-1 On-Site Hedge Baseline'!$B$1:$L$257,7,FALSE)),"",(VLOOKUP($B24,'B-1 On-Site Hedge Baseline'!$B$1:$L$257,7,FALSE))))</f>
        <v/>
      </c>
      <c r="H24" s="382" t="str">
        <f>IF(B24="","",IF(ISNA(VLOOKUP($B24,'B-1 On-Site Hedge Baseline'!$B$1:$L$257,8,FALSE)),"",(VLOOKUP($B24,'B-1 On-Site Hedge Baseline'!$B$1:$L$257,8,FALSE))))</f>
        <v/>
      </c>
      <c r="I24" s="382" t="str">
        <f>IF(B24="","",IF(ISNA(VLOOKUP($B24,'B-1 On-Site Hedge Baseline'!$B$1:$L$257,10,FALSE)),"",(VLOOKUP($B24,'B-1 On-Site Hedge Baseline'!$B$1:$L$257,10,FALSE))))</f>
        <v/>
      </c>
      <c r="J24" s="382" t="str">
        <f>IF(B24="","",IF(ISNA(VLOOKUP($B24,'B-1 On-Site Hedge Baseline'!$B$1:$L$257,11,FALSE)),"",(VLOOKUP($B24,'B-1 On-Site Hedge Baseline'!$B$1:$L$257,11,FALSE))))</f>
        <v/>
      </c>
      <c r="K24" s="382" t="str">
        <f>IF(B24="","",IF(ISNA(VLOOKUP($B24,'B-1 On-Site Hedge Baseline'!$B$1:$U$257,13,FALSE)),"",(VLOOKUP($B24,'B-1 On-Site Hedge Baseline'!$B$1:$U$257,13,FALSE))))</f>
        <v/>
      </c>
      <c r="L24" s="386" t="str">
        <f>IF(B24="","",IF(ISNA(VLOOKUP($B24,'B-1 On-Site Hedge Baseline'!$B$1:$U$257,12,FALSE)),"",(VLOOKUP($B24,'B-1 On-Site Hedge Baseline'!$B$1:$U$257,12,FALSE))))</f>
        <v/>
      </c>
      <c r="M24" s="315" t="str">
        <f t="shared" si="0"/>
        <v/>
      </c>
      <c r="N24" s="362" t="str">
        <f>IFERROR(IF(B24="","",INDEX('G-6 Hedgerow Data'!$AN$3:$AZ$15,MATCH(C24,'G-6 Hedgerow Data'!$AM$3:$AM$15,0),MATCH(M24,'G-6 Hedgerow Data'!$AN$2:$AZ$2,0))),"")</f>
        <v/>
      </c>
      <c r="O24" s="363" t="str">
        <f t="shared" si="2"/>
        <v/>
      </c>
      <c r="P24" s="417" t="str">
        <f>IF(B24="","",VLOOKUP(B24,'B-1 On-Site Hedge Baseline'!$B$10:T269,16,FALSE))</f>
        <v/>
      </c>
      <c r="Q24" s="362" t="str">
        <f>IF(M24="","",VLOOKUP(M24,'G-6 Hedgerow Data'!$B$2:$AG$15,2,FALSE))</f>
        <v/>
      </c>
      <c r="R24" s="363" t="str">
        <f>IF(M24="","",VLOOKUP(M24,'G-6 Hedgerow Data'!$B$2:$AG$15,3,FALSE))</f>
        <v/>
      </c>
      <c r="S24" s="114"/>
      <c r="T24" s="401" t="str">
        <f>IFERROR(VLOOKUP(S24,'G-1 All Habitats'!$Z$2:$AA$9,2,FALSE),"")</f>
        <v/>
      </c>
      <c r="U24" s="114"/>
      <c r="V24" s="382" t="str">
        <f>IF(U24="","",IF(VLOOKUP(U24,'G-3 Multipliers'!$L$3:$N$6,2,FALSE)=0,"Spatial Data Missing ⚠",VLOOKUP(U24,'G-3 Multipliers'!$L$3:$N$6,2,FALSE)))</f>
        <v/>
      </c>
      <c r="W24" s="386" t="str">
        <f>IF(U24="","",IF(VLOOKUP(U24,'G-3 Multipliers'!$L$3:$N$6,3,FALSE)=0,"Spatial Data Missing ⚠",VLOOKUP(U24,'G-3 Multipliers'!$L$3:$N$6,3,FALSE)))</f>
        <v/>
      </c>
      <c r="X24" s="362" t="str">
        <f>IFERROR(IF(OR(LEFT(O24,5)="Error",LEFT(N24,5)="Error",T24="Error"),"Check Data ⚠",IF(F24&lt;R24,INDEX('G-6 Hedgerow Data'!$S$3:$AE$14,MATCH(C24,'G-6 Hedgerow Data'!$B$3:$B$14,0),MATCH(M24,'G-6 Hedgerow Data'!$S$2:$AE$2,0)),INDEX('G-6 Hedgerow Data'!$K$3:$Q$14,MATCH(M24,'G-6 Hedgerow Data'!$B$3:$B$14,0),MATCH(O24,'G-6 Hedgerow Data'!$K$2:$Q$2,0)))),"")</f>
        <v/>
      </c>
      <c r="Y24" s="159"/>
      <c r="Z24" s="159"/>
      <c r="AA24" s="370" t="str">
        <f t="shared" si="3"/>
        <v/>
      </c>
      <c r="AB24" s="383" t="str">
        <f t="shared" si="4"/>
        <v/>
      </c>
      <c r="AC24" s="384" t="str">
        <f t="shared" si="1"/>
        <v/>
      </c>
      <c r="AD24" s="398" t="str">
        <f>IF(M24="","",VLOOKUP(M24,'G-6 Hedgerow Data'!$B$3:$AG$15,31,FALSE))</f>
        <v/>
      </c>
      <c r="AE24" s="370" t="str">
        <f t="shared" si="5"/>
        <v/>
      </c>
      <c r="AF24" s="370" t="str">
        <f t="shared" si="6"/>
        <v/>
      </c>
      <c r="AG24" s="386" t="str">
        <f>IFERROR(IF(O24="","",VLOOKUP(AD24,'G-3 Multipliers'!$P$3:$Q$6,2,FALSE)),"")</f>
        <v/>
      </c>
      <c r="AH24" s="376" t="str">
        <f t="shared" si="7"/>
        <v/>
      </c>
      <c r="AI24" s="188"/>
      <c r="AJ24" s="118"/>
      <c r="AK24" s="120"/>
      <c r="AT24" s="30" t="str">
        <f>IFERROR(INDEX('G-6 Hedgerow Data'!$BJ$3:$BJ$15,MATCH(M24,'G-6 Hedgerow Data'!$B$3:$B$15,0)),"")</f>
        <v/>
      </c>
    </row>
    <row r="25" spans="2:46" ht="15">
      <c r="B25" s="392" t="str">
        <f>'B-1 On-Site Hedge Baseline'!AK23</f>
        <v/>
      </c>
      <c r="C25" s="382" t="str">
        <f>IF(B25="","",IF(ISNA(VLOOKUP($B25,'B-1 On-Site Hedge Baseline'!$B$1:$L$257,3,FALSE)),"",(VLOOKUP($B25,'B-1 On-Site Hedge Baseline'!$B$1:$L$257,3,FALSE))))</f>
        <v/>
      </c>
      <c r="D25" s="382" t="str">
        <f>IF(B25="","",IF(ISNA(VLOOKUP($B25,'B-1 On-Site Hedge Baseline'!$B$1:$L$257,4,FALSE)),"",(VLOOKUP($B25,'B-1 On-Site Hedge Baseline'!$B$1:$L$257,4,FALSE))))</f>
        <v/>
      </c>
      <c r="E25" s="382" t="str">
        <f>IF(B25="","",IF(ISNA(VLOOKUP($B25,'B-1 On-Site Hedge Baseline'!$B$1:$L$257,5,FALSE)),"",(VLOOKUP($B25,'B-1 On-Site Hedge Baseline'!$B$1:$L$257,5,FALSE))))</f>
        <v/>
      </c>
      <c r="F25" s="382" t="str">
        <f>IF(B25="","",IF(ISNA(VLOOKUP($B25,'B-1 On-Site Hedge Baseline'!$B$1:$L$257,6,FALSE)),"",(VLOOKUP($B25,'B-1 On-Site Hedge Baseline'!$B$1:$L$257,6,FALSE))))</f>
        <v/>
      </c>
      <c r="G25" s="382" t="str">
        <f>IF(B25="","",IF(ISNA(VLOOKUP($B25,'B-1 On-Site Hedge Baseline'!$B$1:$L$257,7,FALSE)),"",(VLOOKUP($B25,'B-1 On-Site Hedge Baseline'!$B$1:$L$257,7,FALSE))))</f>
        <v/>
      </c>
      <c r="H25" s="382" t="str">
        <f>IF(B25="","",IF(ISNA(VLOOKUP($B25,'B-1 On-Site Hedge Baseline'!$B$1:$L$257,8,FALSE)),"",(VLOOKUP($B25,'B-1 On-Site Hedge Baseline'!$B$1:$L$257,8,FALSE))))</f>
        <v/>
      </c>
      <c r="I25" s="382" t="str">
        <f>IF(B25="","",IF(ISNA(VLOOKUP($B25,'B-1 On-Site Hedge Baseline'!$B$1:$L$257,10,FALSE)),"",(VLOOKUP($B25,'B-1 On-Site Hedge Baseline'!$B$1:$L$257,10,FALSE))))</f>
        <v/>
      </c>
      <c r="J25" s="382" t="str">
        <f>IF(B25="","",IF(ISNA(VLOOKUP($B25,'B-1 On-Site Hedge Baseline'!$B$1:$L$257,11,FALSE)),"",(VLOOKUP($B25,'B-1 On-Site Hedge Baseline'!$B$1:$L$257,11,FALSE))))</f>
        <v/>
      </c>
      <c r="K25" s="382" t="str">
        <f>IF(B25="","",IF(ISNA(VLOOKUP($B25,'B-1 On-Site Hedge Baseline'!$B$1:$U$257,13,FALSE)),"",(VLOOKUP($B25,'B-1 On-Site Hedge Baseline'!$B$1:$U$257,13,FALSE))))</f>
        <v/>
      </c>
      <c r="L25" s="386" t="str">
        <f>IF(B25="","",IF(ISNA(VLOOKUP($B25,'B-1 On-Site Hedge Baseline'!$B$1:$U$257,12,FALSE)),"",(VLOOKUP($B25,'B-1 On-Site Hedge Baseline'!$B$1:$U$257,12,FALSE))))</f>
        <v/>
      </c>
      <c r="M25" s="315" t="str">
        <f t="shared" si="0"/>
        <v/>
      </c>
      <c r="N25" s="362" t="str">
        <f>IFERROR(IF(B25="","",INDEX('G-6 Hedgerow Data'!$AN$3:$AZ$15,MATCH(C25,'G-6 Hedgerow Data'!$AM$3:$AM$15,0),MATCH(M25,'G-6 Hedgerow Data'!$AN$2:$AZ$2,0))),"")</f>
        <v/>
      </c>
      <c r="O25" s="363" t="str">
        <f t="shared" si="2"/>
        <v/>
      </c>
      <c r="P25" s="417" t="str">
        <f>IF(B25="","",VLOOKUP(B25,'B-1 On-Site Hedge Baseline'!$B$10:T270,16,FALSE))</f>
        <v/>
      </c>
      <c r="Q25" s="362" t="str">
        <f>IF(M25="","",VLOOKUP(M25,'G-6 Hedgerow Data'!$B$2:$AG$15,2,FALSE))</f>
        <v/>
      </c>
      <c r="R25" s="363" t="str">
        <f>IF(M25="","",VLOOKUP(M25,'G-6 Hedgerow Data'!$B$2:$AG$15,3,FALSE))</f>
        <v/>
      </c>
      <c r="S25" s="114"/>
      <c r="T25" s="401" t="str">
        <f>IFERROR(VLOOKUP(S25,'G-1 All Habitats'!$Z$2:$AA$9,2,FALSE),"")</f>
        <v/>
      </c>
      <c r="U25" s="114"/>
      <c r="V25" s="382" t="str">
        <f>IF(U25="","",IF(VLOOKUP(U25,'G-3 Multipliers'!$L$3:$N$6,2,FALSE)=0,"Spatial Data Missing ⚠",VLOOKUP(U25,'G-3 Multipliers'!$L$3:$N$6,2,FALSE)))</f>
        <v/>
      </c>
      <c r="W25" s="386" t="str">
        <f>IF(U25="","",IF(VLOOKUP(U25,'G-3 Multipliers'!$L$3:$N$6,3,FALSE)=0,"Spatial Data Missing ⚠",VLOOKUP(U25,'G-3 Multipliers'!$L$3:$N$6,3,FALSE)))</f>
        <v/>
      </c>
      <c r="X25" s="362" t="str">
        <f>IFERROR(IF(OR(LEFT(O25,5)="Error",LEFT(N25,5)="Error",T25="Error"),"Check Data ⚠",IF(F25&lt;R25,INDEX('G-6 Hedgerow Data'!$S$3:$AE$14,MATCH(C25,'G-6 Hedgerow Data'!$B$3:$B$14,0),MATCH(M25,'G-6 Hedgerow Data'!$S$2:$AE$2,0)),INDEX('G-6 Hedgerow Data'!$K$3:$Q$14,MATCH(M25,'G-6 Hedgerow Data'!$B$3:$B$14,0),MATCH(O25,'G-6 Hedgerow Data'!$K$2:$Q$2,0)))),"")</f>
        <v/>
      </c>
      <c r="Y25" s="159"/>
      <c r="Z25" s="159"/>
      <c r="AA25" s="370" t="str">
        <f t="shared" si="3"/>
        <v/>
      </c>
      <c r="AB25" s="383" t="str">
        <f t="shared" si="4"/>
        <v/>
      </c>
      <c r="AC25" s="384" t="str">
        <f t="shared" si="1"/>
        <v/>
      </c>
      <c r="AD25" s="398" t="str">
        <f>IF(M25="","",VLOOKUP(M25,'G-6 Hedgerow Data'!$B$3:$AG$15,31,FALSE))</f>
        <v/>
      </c>
      <c r="AE25" s="370" t="str">
        <f t="shared" si="5"/>
        <v/>
      </c>
      <c r="AF25" s="370" t="str">
        <f t="shared" si="6"/>
        <v/>
      </c>
      <c r="AG25" s="386" t="str">
        <f>IFERROR(IF(O25="","",VLOOKUP(AD25,'G-3 Multipliers'!$P$3:$Q$6,2,FALSE)),"")</f>
        <v/>
      </c>
      <c r="AH25" s="376" t="str">
        <f t="shared" si="7"/>
        <v/>
      </c>
      <c r="AI25" s="188"/>
      <c r="AJ25" s="118"/>
      <c r="AK25" s="120"/>
      <c r="AT25" s="30" t="str">
        <f>IFERROR(INDEX('G-6 Hedgerow Data'!$BJ$3:$BJ$15,MATCH(M25,'G-6 Hedgerow Data'!$B$3:$B$15,0)),"")</f>
        <v/>
      </c>
    </row>
    <row r="26" spans="2:46" ht="15">
      <c r="B26" s="392" t="str">
        <f>'B-1 On-Site Hedge Baseline'!AK24</f>
        <v/>
      </c>
      <c r="C26" s="382" t="str">
        <f>IF(B26="","",IF(ISNA(VLOOKUP($B26,'B-1 On-Site Hedge Baseline'!$B$1:$L$257,3,FALSE)),"",(VLOOKUP($B26,'B-1 On-Site Hedge Baseline'!$B$1:$L$257,3,FALSE))))</f>
        <v/>
      </c>
      <c r="D26" s="382" t="str">
        <f>IF(B26="","",IF(ISNA(VLOOKUP($B26,'B-1 On-Site Hedge Baseline'!$B$1:$L$257,4,FALSE)),"",(VLOOKUP($B26,'B-1 On-Site Hedge Baseline'!$B$1:$L$257,4,FALSE))))</f>
        <v/>
      </c>
      <c r="E26" s="382" t="str">
        <f>IF(B26="","",IF(ISNA(VLOOKUP($B26,'B-1 On-Site Hedge Baseline'!$B$1:$L$257,5,FALSE)),"",(VLOOKUP($B26,'B-1 On-Site Hedge Baseline'!$B$1:$L$257,5,FALSE))))</f>
        <v/>
      </c>
      <c r="F26" s="382" t="str">
        <f>IF(B26="","",IF(ISNA(VLOOKUP($B26,'B-1 On-Site Hedge Baseline'!$B$1:$L$257,6,FALSE)),"",(VLOOKUP($B26,'B-1 On-Site Hedge Baseline'!$B$1:$L$257,6,FALSE))))</f>
        <v/>
      </c>
      <c r="G26" s="382" t="str">
        <f>IF(B26="","",IF(ISNA(VLOOKUP($B26,'B-1 On-Site Hedge Baseline'!$B$1:$L$257,7,FALSE)),"",(VLOOKUP($B26,'B-1 On-Site Hedge Baseline'!$B$1:$L$257,7,FALSE))))</f>
        <v/>
      </c>
      <c r="H26" s="382" t="str">
        <f>IF(B26="","",IF(ISNA(VLOOKUP($B26,'B-1 On-Site Hedge Baseline'!$B$1:$L$257,8,FALSE)),"",(VLOOKUP($B26,'B-1 On-Site Hedge Baseline'!$B$1:$L$257,8,FALSE))))</f>
        <v/>
      </c>
      <c r="I26" s="382" t="str">
        <f>IF(B26="","",IF(ISNA(VLOOKUP($B26,'B-1 On-Site Hedge Baseline'!$B$1:$L$257,10,FALSE)),"",(VLOOKUP($B26,'B-1 On-Site Hedge Baseline'!$B$1:$L$257,10,FALSE))))</f>
        <v/>
      </c>
      <c r="J26" s="382" t="str">
        <f>IF(B26="","",IF(ISNA(VLOOKUP($B26,'B-1 On-Site Hedge Baseline'!$B$1:$L$257,11,FALSE)),"",(VLOOKUP($B26,'B-1 On-Site Hedge Baseline'!$B$1:$L$257,11,FALSE))))</f>
        <v/>
      </c>
      <c r="K26" s="382" t="str">
        <f>IF(B26="","",IF(ISNA(VLOOKUP($B26,'B-1 On-Site Hedge Baseline'!$B$1:$U$257,13,FALSE)),"",(VLOOKUP($B26,'B-1 On-Site Hedge Baseline'!$B$1:$U$257,13,FALSE))))</f>
        <v/>
      </c>
      <c r="L26" s="386" t="str">
        <f>IF(B26="","",IF(ISNA(VLOOKUP($B26,'B-1 On-Site Hedge Baseline'!$B$1:$U$257,12,FALSE)),"",(VLOOKUP($B26,'B-1 On-Site Hedge Baseline'!$B$1:$U$257,12,FALSE))))</f>
        <v/>
      </c>
      <c r="M26" s="315" t="str">
        <f t="shared" si="0"/>
        <v/>
      </c>
      <c r="N26" s="362" t="str">
        <f>IFERROR(IF(B26="","",INDEX('G-6 Hedgerow Data'!$AN$3:$AZ$15,MATCH(C26,'G-6 Hedgerow Data'!$AM$3:$AM$15,0),MATCH(M26,'G-6 Hedgerow Data'!$AN$2:$AZ$2,0))),"")</f>
        <v/>
      </c>
      <c r="O26" s="363" t="str">
        <f t="shared" si="2"/>
        <v/>
      </c>
      <c r="P26" s="417" t="str">
        <f>IF(B26="","",VLOOKUP(B26,'B-1 On-Site Hedge Baseline'!$B$10:T271,16,FALSE))</f>
        <v/>
      </c>
      <c r="Q26" s="362" t="str">
        <f>IF(M26="","",VLOOKUP(M26,'G-6 Hedgerow Data'!$B$2:$AG$15,2,FALSE))</f>
        <v/>
      </c>
      <c r="R26" s="363" t="str">
        <f>IF(M26="","",VLOOKUP(M26,'G-6 Hedgerow Data'!$B$2:$AG$15,3,FALSE))</f>
        <v/>
      </c>
      <c r="S26" s="114"/>
      <c r="T26" s="401" t="str">
        <f>IFERROR(VLOOKUP(S26,'G-1 All Habitats'!$Z$2:$AA$9,2,FALSE),"")</f>
        <v/>
      </c>
      <c r="U26" s="114"/>
      <c r="V26" s="382" t="str">
        <f>IF(U26="","",IF(VLOOKUP(U26,'G-3 Multipliers'!$L$3:$N$6,2,FALSE)=0,"Spatial Data Missing ⚠",VLOOKUP(U26,'G-3 Multipliers'!$L$3:$N$6,2,FALSE)))</f>
        <v/>
      </c>
      <c r="W26" s="386" t="str">
        <f>IF(U26="","",IF(VLOOKUP(U26,'G-3 Multipliers'!$L$3:$N$6,3,FALSE)=0,"Spatial Data Missing ⚠",VLOOKUP(U26,'G-3 Multipliers'!$L$3:$N$6,3,FALSE)))</f>
        <v/>
      </c>
      <c r="X26" s="362" t="str">
        <f>IFERROR(IF(OR(LEFT(O26,5)="Error",LEFT(N26,5)="Error",T26="Error"),"Check Data ⚠",IF(F26&lt;R26,INDEX('G-6 Hedgerow Data'!$S$3:$AE$14,MATCH(C26,'G-6 Hedgerow Data'!$B$3:$B$14,0),MATCH(M26,'G-6 Hedgerow Data'!$S$2:$AE$2,0)),INDEX('G-6 Hedgerow Data'!$K$3:$Q$14,MATCH(M26,'G-6 Hedgerow Data'!$B$3:$B$14,0),MATCH(O26,'G-6 Hedgerow Data'!$K$2:$Q$2,0)))),"")</f>
        <v/>
      </c>
      <c r="Y26" s="159"/>
      <c r="Z26" s="159"/>
      <c r="AA26" s="370" t="str">
        <f t="shared" si="3"/>
        <v/>
      </c>
      <c r="AB26" s="383" t="str">
        <f t="shared" si="4"/>
        <v/>
      </c>
      <c r="AC26" s="384" t="str">
        <f t="shared" si="1"/>
        <v/>
      </c>
      <c r="AD26" s="398" t="str">
        <f>IF(M26="","",VLOOKUP(M26,'G-6 Hedgerow Data'!$B$3:$AG$15,31,FALSE))</f>
        <v/>
      </c>
      <c r="AE26" s="370" t="str">
        <f t="shared" si="5"/>
        <v/>
      </c>
      <c r="AF26" s="370" t="str">
        <f t="shared" si="6"/>
        <v/>
      </c>
      <c r="AG26" s="386" t="str">
        <f>IFERROR(IF(O26="","",VLOOKUP(AD26,'G-3 Multipliers'!$P$3:$Q$6,2,FALSE)),"")</f>
        <v/>
      </c>
      <c r="AH26" s="376" t="str">
        <f t="shared" si="7"/>
        <v/>
      </c>
      <c r="AI26" s="188"/>
      <c r="AJ26" s="118"/>
      <c r="AK26" s="120"/>
      <c r="AT26" s="30" t="str">
        <f>IFERROR(INDEX('G-6 Hedgerow Data'!$BJ$3:$BJ$15,MATCH(M26,'G-6 Hedgerow Data'!$B$3:$B$15,0)),"")</f>
        <v/>
      </c>
    </row>
    <row r="27" spans="2:46" ht="15">
      <c r="B27" s="392" t="str">
        <f>'B-1 On-Site Hedge Baseline'!AK25</f>
        <v/>
      </c>
      <c r="C27" s="382" t="str">
        <f>IF(B27="","",IF(ISNA(VLOOKUP($B27,'B-1 On-Site Hedge Baseline'!$B$1:$L$257,3,FALSE)),"",(VLOOKUP($B27,'B-1 On-Site Hedge Baseline'!$B$1:$L$257,3,FALSE))))</f>
        <v/>
      </c>
      <c r="D27" s="382" t="str">
        <f>IF(B27="","",IF(ISNA(VLOOKUP($B27,'B-1 On-Site Hedge Baseline'!$B$1:$L$257,4,FALSE)),"",(VLOOKUP($B27,'B-1 On-Site Hedge Baseline'!$B$1:$L$257,4,FALSE))))</f>
        <v/>
      </c>
      <c r="E27" s="382" t="str">
        <f>IF(B27="","",IF(ISNA(VLOOKUP($B27,'B-1 On-Site Hedge Baseline'!$B$1:$L$257,5,FALSE)),"",(VLOOKUP($B27,'B-1 On-Site Hedge Baseline'!$B$1:$L$257,5,FALSE))))</f>
        <v/>
      </c>
      <c r="F27" s="382" t="str">
        <f>IF(B27="","",IF(ISNA(VLOOKUP($B27,'B-1 On-Site Hedge Baseline'!$B$1:$L$257,6,FALSE)),"",(VLOOKUP($B27,'B-1 On-Site Hedge Baseline'!$B$1:$L$257,6,FALSE))))</f>
        <v/>
      </c>
      <c r="G27" s="382" t="str">
        <f>IF(B27="","",IF(ISNA(VLOOKUP($B27,'B-1 On-Site Hedge Baseline'!$B$1:$L$257,7,FALSE)),"",(VLOOKUP($B27,'B-1 On-Site Hedge Baseline'!$B$1:$L$257,7,FALSE))))</f>
        <v/>
      </c>
      <c r="H27" s="382" t="str">
        <f>IF(B27="","",IF(ISNA(VLOOKUP($B27,'B-1 On-Site Hedge Baseline'!$B$1:$L$257,8,FALSE)),"",(VLOOKUP($B27,'B-1 On-Site Hedge Baseline'!$B$1:$L$257,8,FALSE))))</f>
        <v/>
      </c>
      <c r="I27" s="382" t="str">
        <f>IF(B27="","",IF(ISNA(VLOOKUP($B27,'B-1 On-Site Hedge Baseline'!$B$1:$L$257,10,FALSE)),"",(VLOOKUP($B27,'B-1 On-Site Hedge Baseline'!$B$1:$L$257,10,FALSE))))</f>
        <v/>
      </c>
      <c r="J27" s="382" t="str">
        <f>IF(B27="","",IF(ISNA(VLOOKUP($B27,'B-1 On-Site Hedge Baseline'!$B$1:$L$257,11,FALSE)),"",(VLOOKUP($B27,'B-1 On-Site Hedge Baseline'!$B$1:$L$257,11,FALSE))))</f>
        <v/>
      </c>
      <c r="K27" s="382" t="str">
        <f>IF(B27="","",IF(ISNA(VLOOKUP($B27,'B-1 On-Site Hedge Baseline'!$B$1:$U$257,13,FALSE)),"",(VLOOKUP($B27,'B-1 On-Site Hedge Baseline'!$B$1:$U$257,13,FALSE))))</f>
        <v/>
      </c>
      <c r="L27" s="386" t="str">
        <f>IF(B27="","",IF(ISNA(VLOOKUP($B27,'B-1 On-Site Hedge Baseline'!$B$1:$U$257,12,FALSE)),"",(VLOOKUP($B27,'B-1 On-Site Hedge Baseline'!$B$1:$U$257,12,FALSE))))</f>
        <v/>
      </c>
      <c r="M27" s="315" t="str">
        <f t="shared" si="0"/>
        <v/>
      </c>
      <c r="N27" s="362" t="str">
        <f>IFERROR(IF(B27="","",INDEX('G-6 Hedgerow Data'!$AN$3:$AZ$15,MATCH(C27,'G-6 Hedgerow Data'!$AM$3:$AM$15,0),MATCH(M27,'G-6 Hedgerow Data'!$AN$2:$AZ$2,0))),"")</f>
        <v/>
      </c>
      <c r="O27" s="363" t="str">
        <f t="shared" si="2"/>
        <v/>
      </c>
      <c r="P27" s="417" t="str">
        <f>IF(B27="","",VLOOKUP(B27,'B-1 On-Site Hedge Baseline'!$B$10:T272,16,FALSE))</f>
        <v/>
      </c>
      <c r="Q27" s="362" t="str">
        <f>IF(M27="","",VLOOKUP(M27,'G-6 Hedgerow Data'!$B$2:$AG$15,2,FALSE))</f>
        <v/>
      </c>
      <c r="R27" s="363" t="str">
        <f>IF(M27="","",VLOOKUP(M27,'G-6 Hedgerow Data'!$B$2:$AG$15,3,FALSE))</f>
        <v/>
      </c>
      <c r="S27" s="114"/>
      <c r="T27" s="401" t="str">
        <f>IFERROR(VLOOKUP(S27,'G-1 All Habitats'!$Z$2:$AA$9,2,FALSE),"")</f>
        <v/>
      </c>
      <c r="U27" s="114"/>
      <c r="V27" s="382" t="str">
        <f>IF(U27="","",IF(VLOOKUP(U27,'G-3 Multipliers'!$L$3:$N$6,2,FALSE)=0,"Spatial Data Missing ⚠",VLOOKUP(U27,'G-3 Multipliers'!$L$3:$N$6,2,FALSE)))</f>
        <v/>
      </c>
      <c r="W27" s="386" t="str">
        <f>IF(U27="","",IF(VLOOKUP(U27,'G-3 Multipliers'!$L$3:$N$6,3,FALSE)=0,"Spatial Data Missing ⚠",VLOOKUP(U27,'G-3 Multipliers'!$L$3:$N$6,3,FALSE)))</f>
        <v/>
      </c>
      <c r="X27" s="362" t="str">
        <f>IFERROR(IF(OR(LEFT(O27,5)="Error",LEFT(N27,5)="Error",T27="Error"),"Check Data ⚠",IF(F27&lt;R27,INDEX('G-6 Hedgerow Data'!$S$3:$AE$14,MATCH(C27,'G-6 Hedgerow Data'!$B$3:$B$14,0),MATCH(M27,'G-6 Hedgerow Data'!$S$2:$AE$2,0)),INDEX('G-6 Hedgerow Data'!$K$3:$Q$14,MATCH(M27,'G-6 Hedgerow Data'!$B$3:$B$14,0),MATCH(O27,'G-6 Hedgerow Data'!$K$2:$Q$2,0)))),"")</f>
        <v/>
      </c>
      <c r="Y27" s="159"/>
      <c r="Z27" s="159"/>
      <c r="AA27" s="370" t="str">
        <f t="shared" si="3"/>
        <v/>
      </c>
      <c r="AB27" s="383" t="str">
        <f t="shared" si="4"/>
        <v/>
      </c>
      <c r="AC27" s="384" t="str">
        <f t="shared" si="1"/>
        <v/>
      </c>
      <c r="AD27" s="398" t="str">
        <f>IF(M27="","",VLOOKUP(M27,'G-6 Hedgerow Data'!$B$3:$AG$15,31,FALSE))</f>
        <v/>
      </c>
      <c r="AE27" s="370" t="str">
        <f t="shared" si="5"/>
        <v/>
      </c>
      <c r="AF27" s="370" t="str">
        <f t="shared" si="6"/>
        <v/>
      </c>
      <c r="AG27" s="386" t="str">
        <f>IFERROR(IF(O27="","",VLOOKUP(AD27,'G-3 Multipliers'!$P$3:$Q$6,2,FALSE)),"")</f>
        <v/>
      </c>
      <c r="AH27" s="376" t="str">
        <f t="shared" si="7"/>
        <v/>
      </c>
      <c r="AI27" s="188"/>
      <c r="AJ27" s="118"/>
      <c r="AK27" s="120"/>
      <c r="AT27" s="30" t="str">
        <f>IFERROR(INDEX('G-6 Hedgerow Data'!$BJ$3:$BJ$15,MATCH(M27,'G-6 Hedgerow Data'!$B$3:$B$15,0)),"")</f>
        <v/>
      </c>
    </row>
    <row r="28" spans="2:46" ht="15">
      <c r="B28" s="392" t="str">
        <f>'B-1 On-Site Hedge Baseline'!AK26</f>
        <v/>
      </c>
      <c r="C28" s="382" t="str">
        <f>IF(B28="","",IF(ISNA(VLOOKUP($B28,'B-1 On-Site Hedge Baseline'!$B$1:$L$257,3,FALSE)),"",(VLOOKUP($B28,'B-1 On-Site Hedge Baseline'!$B$1:$L$257,3,FALSE))))</f>
        <v/>
      </c>
      <c r="D28" s="382" t="str">
        <f>IF(B28="","",IF(ISNA(VLOOKUP($B28,'B-1 On-Site Hedge Baseline'!$B$1:$L$257,4,FALSE)),"",(VLOOKUP($B28,'B-1 On-Site Hedge Baseline'!$B$1:$L$257,4,FALSE))))</f>
        <v/>
      </c>
      <c r="E28" s="382" t="str">
        <f>IF(B28="","",IF(ISNA(VLOOKUP($B28,'B-1 On-Site Hedge Baseline'!$B$1:$L$257,5,FALSE)),"",(VLOOKUP($B28,'B-1 On-Site Hedge Baseline'!$B$1:$L$257,5,FALSE))))</f>
        <v/>
      </c>
      <c r="F28" s="382" t="str">
        <f>IF(B28="","",IF(ISNA(VLOOKUP($B28,'B-1 On-Site Hedge Baseline'!$B$1:$L$257,6,FALSE)),"",(VLOOKUP($B28,'B-1 On-Site Hedge Baseline'!$B$1:$L$257,6,FALSE))))</f>
        <v/>
      </c>
      <c r="G28" s="382" t="str">
        <f>IF(B28="","",IF(ISNA(VLOOKUP($B28,'B-1 On-Site Hedge Baseline'!$B$1:$L$257,7,FALSE)),"",(VLOOKUP($B28,'B-1 On-Site Hedge Baseline'!$B$1:$L$257,7,FALSE))))</f>
        <v/>
      </c>
      <c r="H28" s="382" t="str">
        <f>IF(B28="","",IF(ISNA(VLOOKUP($B28,'B-1 On-Site Hedge Baseline'!$B$1:$L$257,8,FALSE)),"",(VLOOKUP($B28,'B-1 On-Site Hedge Baseline'!$B$1:$L$257,8,FALSE))))</f>
        <v/>
      </c>
      <c r="I28" s="382" t="str">
        <f>IF(B28="","",IF(ISNA(VLOOKUP($B28,'B-1 On-Site Hedge Baseline'!$B$1:$L$257,10,FALSE)),"",(VLOOKUP($B28,'B-1 On-Site Hedge Baseline'!$B$1:$L$257,10,FALSE))))</f>
        <v/>
      </c>
      <c r="J28" s="382" t="str">
        <f>IF(B28="","",IF(ISNA(VLOOKUP($B28,'B-1 On-Site Hedge Baseline'!$B$1:$L$257,11,FALSE)),"",(VLOOKUP($B28,'B-1 On-Site Hedge Baseline'!$B$1:$L$257,11,FALSE))))</f>
        <v/>
      </c>
      <c r="K28" s="382" t="str">
        <f>IF(B28="","",IF(ISNA(VLOOKUP($B28,'B-1 On-Site Hedge Baseline'!$B$1:$U$257,13,FALSE)),"",(VLOOKUP($B28,'B-1 On-Site Hedge Baseline'!$B$1:$U$257,13,FALSE))))</f>
        <v/>
      </c>
      <c r="L28" s="386" t="str">
        <f>IF(B28="","",IF(ISNA(VLOOKUP($B28,'B-1 On-Site Hedge Baseline'!$B$1:$U$257,12,FALSE)),"",(VLOOKUP($B28,'B-1 On-Site Hedge Baseline'!$B$1:$U$257,12,FALSE))))</f>
        <v/>
      </c>
      <c r="M28" s="315" t="str">
        <f t="shared" si="0"/>
        <v/>
      </c>
      <c r="N28" s="362" t="str">
        <f>IFERROR(IF(B28="","",INDEX('G-6 Hedgerow Data'!$AN$3:$AZ$15,MATCH(C28,'G-6 Hedgerow Data'!$AM$3:$AM$15,0),MATCH(M28,'G-6 Hedgerow Data'!$AN$2:$AZ$2,0))),"")</f>
        <v/>
      </c>
      <c r="O28" s="363" t="str">
        <f t="shared" si="2"/>
        <v/>
      </c>
      <c r="P28" s="417" t="str">
        <f>IF(B28="","",VLOOKUP(B28,'B-1 On-Site Hedge Baseline'!$B$10:T273,16,FALSE))</f>
        <v/>
      </c>
      <c r="Q28" s="362" t="str">
        <f>IF(M28="","",VLOOKUP(M28,'G-6 Hedgerow Data'!$B$2:$AG$15,2,FALSE))</f>
        <v/>
      </c>
      <c r="R28" s="363" t="str">
        <f>IF(M28="","",VLOOKUP(M28,'G-6 Hedgerow Data'!$B$2:$AG$15,3,FALSE))</f>
        <v/>
      </c>
      <c r="S28" s="114"/>
      <c r="T28" s="401" t="str">
        <f>IFERROR(VLOOKUP(S28,'G-1 All Habitats'!$Z$2:$AA$9,2,FALSE),"")</f>
        <v/>
      </c>
      <c r="U28" s="114"/>
      <c r="V28" s="382" t="str">
        <f>IF(U28="","",IF(VLOOKUP(U28,'G-3 Multipliers'!$L$3:$N$6,2,FALSE)=0,"Spatial Data Missing ⚠",VLOOKUP(U28,'G-3 Multipliers'!$L$3:$N$6,2,FALSE)))</f>
        <v/>
      </c>
      <c r="W28" s="386" t="str">
        <f>IF(U28="","",IF(VLOOKUP(U28,'G-3 Multipliers'!$L$3:$N$6,3,FALSE)=0,"Spatial Data Missing ⚠",VLOOKUP(U28,'G-3 Multipliers'!$L$3:$N$6,3,FALSE)))</f>
        <v/>
      </c>
      <c r="X28" s="362" t="str">
        <f>IFERROR(IF(OR(LEFT(O28,5)="Error",LEFT(N28,5)="Error",T28="Error"),"Check Data ⚠",IF(F28&lt;R28,INDEX('G-6 Hedgerow Data'!$S$3:$AE$14,MATCH(C28,'G-6 Hedgerow Data'!$B$3:$B$14,0),MATCH(M28,'G-6 Hedgerow Data'!$S$2:$AE$2,0)),INDEX('G-6 Hedgerow Data'!$K$3:$Q$14,MATCH(M28,'G-6 Hedgerow Data'!$B$3:$B$14,0),MATCH(O28,'G-6 Hedgerow Data'!$K$2:$Q$2,0)))),"")</f>
        <v/>
      </c>
      <c r="Y28" s="159"/>
      <c r="Z28" s="159"/>
      <c r="AA28" s="370" t="str">
        <f t="shared" si="3"/>
        <v/>
      </c>
      <c r="AB28" s="383" t="str">
        <f t="shared" si="4"/>
        <v/>
      </c>
      <c r="AC28" s="384" t="str">
        <f t="shared" si="1"/>
        <v/>
      </c>
      <c r="AD28" s="398" t="str">
        <f>IF(M28="","",VLOOKUP(M28,'G-6 Hedgerow Data'!$B$3:$AG$15,31,FALSE))</f>
        <v/>
      </c>
      <c r="AE28" s="370" t="str">
        <f t="shared" si="5"/>
        <v/>
      </c>
      <c r="AF28" s="370" t="str">
        <f t="shared" si="6"/>
        <v/>
      </c>
      <c r="AG28" s="386" t="str">
        <f>IFERROR(IF(O28="","",VLOOKUP(AD28,'G-3 Multipliers'!$P$3:$Q$6,2,FALSE)),"")</f>
        <v/>
      </c>
      <c r="AH28" s="376" t="str">
        <f t="shared" si="7"/>
        <v/>
      </c>
      <c r="AI28" s="188"/>
      <c r="AJ28" s="118"/>
      <c r="AK28" s="120"/>
      <c r="AT28" s="30" t="str">
        <f>IFERROR(INDEX('G-6 Hedgerow Data'!$BJ$3:$BJ$15,MATCH(M28,'G-6 Hedgerow Data'!$B$3:$B$15,0)),"")</f>
        <v/>
      </c>
    </row>
    <row r="29" spans="2:46" ht="15">
      <c r="B29" s="392" t="str">
        <f>'B-1 On-Site Hedge Baseline'!AK27</f>
        <v/>
      </c>
      <c r="C29" s="382" t="str">
        <f>IF(B29="","",IF(ISNA(VLOOKUP($B29,'B-1 On-Site Hedge Baseline'!$B$1:$L$257,3,FALSE)),"",(VLOOKUP($B29,'B-1 On-Site Hedge Baseline'!$B$1:$L$257,3,FALSE))))</f>
        <v/>
      </c>
      <c r="D29" s="382" t="str">
        <f>IF(B29="","",IF(ISNA(VLOOKUP($B29,'B-1 On-Site Hedge Baseline'!$B$1:$L$257,4,FALSE)),"",(VLOOKUP($B29,'B-1 On-Site Hedge Baseline'!$B$1:$L$257,4,FALSE))))</f>
        <v/>
      </c>
      <c r="E29" s="382" t="str">
        <f>IF(B29="","",IF(ISNA(VLOOKUP($B29,'B-1 On-Site Hedge Baseline'!$B$1:$L$257,5,FALSE)),"",(VLOOKUP($B29,'B-1 On-Site Hedge Baseline'!$B$1:$L$257,5,FALSE))))</f>
        <v/>
      </c>
      <c r="F29" s="382" t="str">
        <f>IF(B29="","",IF(ISNA(VLOOKUP($B29,'B-1 On-Site Hedge Baseline'!$B$1:$L$257,6,FALSE)),"",(VLOOKUP($B29,'B-1 On-Site Hedge Baseline'!$B$1:$L$257,6,FALSE))))</f>
        <v/>
      </c>
      <c r="G29" s="382" t="str">
        <f>IF(B29="","",IF(ISNA(VLOOKUP($B29,'B-1 On-Site Hedge Baseline'!$B$1:$L$257,7,FALSE)),"",(VLOOKUP($B29,'B-1 On-Site Hedge Baseline'!$B$1:$L$257,7,FALSE))))</f>
        <v/>
      </c>
      <c r="H29" s="382" t="str">
        <f>IF(B29="","",IF(ISNA(VLOOKUP($B29,'B-1 On-Site Hedge Baseline'!$B$1:$L$257,8,FALSE)),"",(VLOOKUP($B29,'B-1 On-Site Hedge Baseline'!$B$1:$L$257,8,FALSE))))</f>
        <v/>
      </c>
      <c r="I29" s="382" t="str">
        <f>IF(B29="","",IF(ISNA(VLOOKUP($B29,'B-1 On-Site Hedge Baseline'!$B$1:$L$257,10,FALSE)),"",(VLOOKUP($B29,'B-1 On-Site Hedge Baseline'!$B$1:$L$257,10,FALSE))))</f>
        <v/>
      </c>
      <c r="J29" s="382" t="str">
        <f>IF(B29="","",IF(ISNA(VLOOKUP($B29,'B-1 On-Site Hedge Baseline'!$B$1:$L$257,11,FALSE)),"",(VLOOKUP($B29,'B-1 On-Site Hedge Baseline'!$B$1:$L$257,11,FALSE))))</f>
        <v/>
      </c>
      <c r="K29" s="382" t="str">
        <f>IF(B29="","",IF(ISNA(VLOOKUP($B29,'B-1 On-Site Hedge Baseline'!$B$1:$U$257,13,FALSE)),"",(VLOOKUP($B29,'B-1 On-Site Hedge Baseline'!$B$1:$U$257,13,FALSE))))</f>
        <v/>
      </c>
      <c r="L29" s="386" t="str">
        <f>IF(B29="","",IF(ISNA(VLOOKUP($B29,'B-1 On-Site Hedge Baseline'!$B$1:$U$257,12,FALSE)),"",(VLOOKUP($B29,'B-1 On-Site Hedge Baseline'!$B$1:$U$257,12,FALSE))))</f>
        <v/>
      </c>
      <c r="M29" s="315" t="str">
        <f t="shared" si="0"/>
        <v/>
      </c>
      <c r="N29" s="362" t="str">
        <f>IFERROR(IF(B29="","",INDEX('G-6 Hedgerow Data'!$AN$3:$AZ$15,MATCH(C29,'G-6 Hedgerow Data'!$AM$3:$AM$15,0),MATCH(M29,'G-6 Hedgerow Data'!$AN$2:$AZ$2,0))),"")</f>
        <v/>
      </c>
      <c r="O29" s="363" t="str">
        <f t="shared" si="2"/>
        <v/>
      </c>
      <c r="P29" s="417" t="str">
        <f>IF(B29="","",VLOOKUP(B29,'B-1 On-Site Hedge Baseline'!$B$10:T274,16,FALSE))</f>
        <v/>
      </c>
      <c r="Q29" s="362" t="str">
        <f>IF(M29="","",VLOOKUP(M29,'G-6 Hedgerow Data'!$B$2:$AG$15,2,FALSE))</f>
        <v/>
      </c>
      <c r="R29" s="363" t="str">
        <f>IF(M29="","",VLOOKUP(M29,'G-6 Hedgerow Data'!$B$2:$AG$15,3,FALSE))</f>
        <v/>
      </c>
      <c r="S29" s="114"/>
      <c r="T29" s="401" t="str">
        <f>IFERROR(VLOOKUP(S29,'G-1 All Habitats'!$Z$2:$AA$9,2,FALSE),"")</f>
        <v/>
      </c>
      <c r="U29" s="114"/>
      <c r="V29" s="382" t="str">
        <f>IF(U29="","",IF(VLOOKUP(U29,'G-3 Multipliers'!$L$3:$N$6,2,FALSE)=0,"Spatial Data Missing ⚠",VLOOKUP(U29,'G-3 Multipliers'!$L$3:$N$6,2,FALSE)))</f>
        <v/>
      </c>
      <c r="W29" s="386" t="str">
        <f>IF(U29="","",IF(VLOOKUP(U29,'G-3 Multipliers'!$L$3:$N$6,3,FALSE)=0,"Spatial Data Missing ⚠",VLOOKUP(U29,'G-3 Multipliers'!$L$3:$N$6,3,FALSE)))</f>
        <v/>
      </c>
      <c r="X29" s="362" t="str">
        <f>IFERROR(IF(OR(LEFT(O29,5)="Error",LEFT(N29,5)="Error",T29="Error"),"Check Data ⚠",IF(F29&lt;R29,INDEX('G-6 Hedgerow Data'!$S$3:$AE$14,MATCH(C29,'G-6 Hedgerow Data'!$B$3:$B$14,0),MATCH(M29,'G-6 Hedgerow Data'!$S$2:$AE$2,0)),INDEX('G-6 Hedgerow Data'!$K$3:$Q$14,MATCH(M29,'G-6 Hedgerow Data'!$B$3:$B$14,0),MATCH(O29,'G-6 Hedgerow Data'!$K$2:$Q$2,0)))),"")</f>
        <v/>
      </c>
      <c r="Y29" s="159"/>
      <c r="Z29" s="159"/>
      <c r="AA29" s="370" t="str">
        <f t="shared" si="3"/>
        <v/>
      </c>
      <c r="AB29" s="383" t="str">
        <f t="shared" si="4"/>
        <v/>
      </c>
      <c r="AC29" s="384" t="str">
        <f t="shared" si="1"/>
        <v/>
      </c>
      <c r="AD29" s="398" t="str">
        <f>IF(M29="","",VLOOKUP(M29,'G-6 Hedgerow Data'!$B$3:$AG$15,31,FALSE))</f>
        <v/>
      </c>
      <c r="AE29" s="370" t="str">
        <f t="shared" si="5"/>
        <v/>
      </c>
      <c r="AF29" s="370" t="str">
        <f t="shared" si="6"/>
        <v/>
      </c>
      <c r="AG29" s="386" t="str">
        <f>IFERROR(IF(O29="","",VLOOKUP(AD29,'G-3 Multipliers'!$P$3:$Q$6,2,FALSE)),"")</f>
        <v/>
      </c>
      <c r="AH29" s="376" t="str">
        <f t="shared" si="7"/>
        <v/>
      </c>
      <c r="AI29" s="188"/>
      <c r="AJ29" s="118"/>
      <c r="AK29" s="120"/>
      <c r="AT29" s="30" t="str">
        <f>IFERROR(INDEX('G-6 Hedgerow Data'!$BJ$3:$BJ$15,MATCH(M29,'G-6 Hedgerow Data'!$B$3:$B$15,0)),"")</f>
        <v/>
      </c>
    </row>
    <row r="30" spans="2:46" ht="15">
      <c r="B30" s="392" t="str">
        <f>'B-1 On-Site Hedge Baseline'!AK28</f>
        <v/>
      </c>
      <c r="C30" s="382" t="str">
        <f>IF(B30="","",IF(ISNA(VLOOKUP($B30,'B-1 On-Site Hedge Baseline'!$B$1:$L$257,3,FALSE)),"",(VLOOKUP($B30,'B-1 On-Site Hedge Baseline'!$B$1:$L$257,3,FALSE))))</f>
        <v/>
      </c>
      <c r="D30" s="382" t="str">
        <f>IF(B30="","",IF(ISNA(VLOOKUP($B30,'B-1 On-Site Hedge Baseline'!$B$1:$L$257,4,FALSE)),"",(VLOOKUP($B30,'B-1 On-Site Hedge Baseline'!$B$1:$L$257,4,FALSE))))</f>
        <v/>
      </c>
      <c r="E30" s="382" t="str">
        <f>IF(B30="","",IF(ISNA(VLOOKUP($B30,'B-1 On-Site Hedge Baseline'!$B$1:$L$257,5,FALSE)),"",(VLOOKUP($B30,'B-1 On-Site Hedge Baseline'!$B$1:$L$257,5,FALSE))))</f>
        <v/>
      </c>
      <c r="F30" s="382" t="str">
        <f>IF(B30="","",IF(ISNA(VLOOKUP($B30,'B-1 On-Site Hedge Baseline'!$B$1:$L$257,6,FALSE)),"",(VLOOKUP($B30,'B-1 On-Site Hedge Baseline'!$B$1:$L$257,6,FALSE))))</f>
        <v/>
      </c>
      <c r="G30" s="382" t="str">
        <f>IF(B30="","",IF(ISNA(VLOOKUP($B30,'B-1 On-Site Hedge Baseline'!$B$1:$L$257,7,FALSE)),"",(VLOOKUP($B30,'B-1 On-Site Hedge Baseline'!$B$1:$L$257,7,FALSE))))</f>
        <v/>
      </c>
      <c r="H30" s="382" t="str">
        <f>IF(B30="","",IF(ISNA(VLOOKUP($B30,'B-1 On-Site Hedge Baseline'!$B$1:$L$257,8,FALSE)),"",(VLOOKUP($B30,'B-1 On-Site Hedge Baseline'!$B$1:$L$257,8,FALSE))))</f>
        <v/>
      </c>
      <c r="I30" s="382" t="str">
        <f>IF(B30="","",IF(ISNA(VLOOKUP($B30,'B-1 On-Site Hedge Baseline'!$B$1:$L$257,10,FALSE)),"",(VLOOKUP($B30,'B-1 On-Site Hedge Baseline'!$B$1:$L$257,10,FALSE))))</f>
        <v/>
      </c>
      <c r="J30" s="382" t="str">
        <f>IF(B30="","",IF(ISNA(VLOOKUP($B30,'B-1 On-Site Hedge Baseline'!$B$1:$L$257,11,FALSE)),"",(VLOOKUP($B30,'B-1 On-Site Hedge Baseline'!$B$1:$L$257,11,FALSE))))</f>
        <v/>
      </c>
      <c r="K30" s="382" t="str">
        <f>IF(B30="","",IF(ISNA(VLOOKUP($B30,'B-1 On-Site Hedge Baseline'!$B$1:$U$257,13,FALSE)),"",(VLOOKUP($B30,'B-1 On-Site Hedge Baseline'!$B$1:$U$257,13,FALSE))))</f>
        <v/>
      </c>
      <c r="L30" s="386" t="str">
        <f>IF(B30="","",IF(ISNA(VLOOKUP($B30,'B-1 On-Site Hedge Baseline'!$B$1:$U$257,12,FALSE)),"",(VLOOKUP($B30,'B-1 On-Site Hedge Baseline'!$B$1:$U$257,12,FALSE))))</f>
        <v/>
      </c>
      <c r="M30" s="315" t="str">
        <f t="shared" si="0"/>
        <v/>
      </c>
      <c r="N30" s="362" t="str">
        <f>IFERROR(IF(B30="","",INDEX('G-6 Hedgerow Data'!$AN$3:$AZ$15,MATCH(C30,'G-6 Hedgerow Data'!$AM$3:$AM$15,0),MATCH(M30,'G-6 Hedgerow Data'!$AN$2:$AZ$2,0))),"")</f>
        <v/>
      </c>
      <c r="O30" s="363" t="str">
        <f t="shared" si="2"/>
        <v/>
      </c>
      <c r="P30" s="417" t="str">
        <f>IF(B30="","",VLOOKUP(B30,'B-1 On-Site Hedge Baseline'!$B$10:T275,16,FALSE))</f>
        <v/>
      </c>
      <c r="Q30" s="362" t="str">
        <f>IF(M30="","",VLOOKUP(M30,'G-6 Hedgerow Data'!$B$2:$AG$15,2,FALSE))</f>
        <v/>
      </c>
      <c r="R30" s="363" t="str">
        <f>IF(M30="","",VLOOKUP(M30,'G-6 Hedgerow Data'!$B$2:$AG$15,3,FALSE))</f>
        <v/>
      </c>
      <c r="S30" s="55"/>
      <c r="T30" s="401" t="str">
        <f>IFERROR(VLOOKUP(S30,'G-1 All Habitats'!$Z$2:$AA$9,2,FALSE),"")</f>
        <v/>
      </c>
      <c r="U30" s="114"/>
      <c r="V30" s="382" t="str">
        <f>IF(U30="","",IF(VLOOKUP(U30,'G-3 Multipliers'!$L$3:$N$6,2,FALSE)=0,"Spatial Data Missing ⚠",VLOOKUP(U30,'G-3 Multipliers'!$L$3:$N$6,2,FALSE)))</f>
        <v/>
      </c>
      <c r="W30" s="386" t="str">
        <f>IF(U30="","",IF(VLOOKUP(U30,'G-3 Multipliers'!$L$3:$N$6,3,FALSE)=0,"Spatial Data Missing ⚠",VLOOKUP(U30,'G-3 Multipliers'!$L$3:$N$6,3,FALSE)))</f>
        <v/>
      </c>
      <c r="X30" s="362" t="str">
        <f>IFERROR(IF(OR(LEFT(O30,5)="Error",LEFT(N30,5)="Error",T30="Error"),"Check Data ⚠",IF(F30&lt;R30,INDEX('G-6 Hedgerow Data'!$S$3:$AE$14,MATCH(C30,'G-6 Hedgerow Data'!$B$3:$B$14,0),MATCH(M30,'G-6 Hedgerow Data'!$S$2:$AE$2,0)),INDEX('G-6 Hedgerow Data'!$K$3:$Q$14,MATCH(M30,'G-6 Hedgerow Data'!$B$3:$B$14,0),MATCH(O30,'G-6 Hedgerow Data'!$K$2:$Q$2,0)))),"")</f>
        <v/>
      </c>
      <c r="Y30" s="159"/>
      <c r="Z30" s="159"/>
      <c r="AA30" s="370" t="str">
        <f t="shared" si="3"/>
        <v/>
      </c>
      <c r="AB30" s="383" t="str">
        <f t="shared" si="4"/>
        <v/>
      </c>
      <c r="AC30" s="384" t="str">
        <f t="shared" si="1"/>
        <v/>
      </c>
      <c r="AD30" s="398" t="str">
        <f>IF(M30="","",VLOOKUP(M30,'G-6 Hedgerow Data'!$B$3:$AG$15,31,FALSE))</f>
        <v/>
      </c>
      <c r="AE30" s="370" t="str">
        <f t="shared" si="5"/>
        <v/>
      </c>
      <c r="AF30" s="370" t="str">
        <f t="shared" si="6"/>
        <v/>
      </c>
      <c r="AG30" s="386" t="str">
        <f>IFERROR(IF(O30="","",VLOOKUP(AD30,'G-3 Multipliers'!$P$3:$Q$6,2,FALSE)),"")</f>
        <v/>
      </c>
      <c r="AH30" s="376" t="str">
        <f t="shared" si="7"/>
        <v/>
      </c>
      <c r="AI30" s="188"/>
      <c r="AJ30" s="118"/>
      <c r="AK30" s="120"/>
      <c r="AT30" s="30" t="str">
        <f>IFERROR(INDEX('G-6 Hedgerow Data'!$BJ$3:$BJ$15,MATCH(M30,'G-6 Hedgerow Data'!$B$3:$B$15,0)),"")</f>
        <v/>
      </c>
    </row>
    <row r="31" spans="2:46" ht="15">
      <c r="B31" s="392" t="str">
        <f>'B-1 On-Site Hedge Baseline'!AK29</f>
        <v/>
      </c>
      <c r="C31" s="382" t="str">
        <f>IF(B31="","",IF(ISNA(VLOOKUP($B31,'B-1 On-Site Hedge Baseline'!$B$1:$L$257,3,FALSE)),"",(VLOOKUP($B31,'B-1 On-Site Hedge Baseline'!$B$1:$L$257,3,FALSE))))</f>
        <v/>
      </c>
      <c r="D31" s="382" t="str">
        <f>IF(B31="","",IF(ISNA(VLOOKUP($B31,'B-1 On-Site Hedge Baseline'!$B$1:$L$257,4,FALSE)),"",(VLOOKUP($B31,'B-1 On-Site Hedge Baseline'!$B$1:$L$257,4,FALSE))))</f>
        <v/>
      </c>
      <c r="E31" s="382" t="str">
        <f>IF(B31="","",IF(ISNA(VLOOKUP($B31,'B-1 On-Site Hedge Baseline'!$B$1:$L$257,5,FALSE)),"",(VLOOKUP($B31,'B-1 On-Site Hedge Baseline'!$B$1:$L$257,5,FALSE))))</f>
        <v/>
      </c>
      <c r="F31" s="382" t="str">
        <f>IF(B31="","",IF(ISNA(VLOOKUP($B31,'B-1 On-Site Hedge Baseline'!$B$1:$L$257,6,FALSE)),"",(VLOOKUP($B31,'B-1 On-Site Hedge Baseline'!$B$1:$L$257,6,FALSE))))</f>
        <v/>
      </c>
      <c r="G31" s="382" t="str">
        <f>IF(B31="","",IF(ISNA(VLOOKUP($B31,'B-1 On-Site Hedge Baseline'!$B$1:$L$257,7,FALSE)),"",(VLOOKUP($B31,'B-1 On-Site Hedge Baseline'!$B$1:$L$257,7,FALSE))))</f>
        <v/>
      </c>
      <c r="H31" s="382" t="str">
        <f>IF(B31="","",IF(ISNA(VLOOKUP($B31,'B-1 On-Site Hedge Baseline'!$B$1:$L$257,8,FALSE)),"",(VLOOKUP($B31,'B-1 On-Site Hedge Baseline'!$B$1:$L$257,8,FALSE))))</f>
        <v/>
      </c>
      <c r="I31" s="382" t="str">
        <f>IF(B31="","",IF(ISNA(VLOOKUP($B31,'B-1 On-Site Hedge Baseline'!$B$1:$L$257,10,FALSE)),"",(VLOOKUP($B31,'B-1 On-Site Hedge Baseline'!$B$1:$L$257,10,FALSE))))</f>
        <v/>
      </c>
      <c r="J31" s="382" t="str">
        <f>IF(B31="","",IF(ISNA(VLOOKUP($B31,'B-1 On-Site Hedge Baseline'!$B$1:$L$257,11,FALSE)),"",(VLOOKUP($B31,'B-1 On-Site Hedge Baseline'!$B$1:$L$257,11,FALSE))))</f>
        <v/>
      </c>
      <c r="K31" s="382" t="str">
        <f>IF(B31="","",IF(ISNA(VLOOKUP($B31,'B-1 On-Site Hedge Baseline'!$B$1:$U$257,13,FALSE)),"",(VLOOKUP($B31,'B-1 On-Site Hedge Baseline'!$B$1:$U$257,13,FALSE))))</f>
        <v/>
      </c>
      <c r="L31" s="386" t="str">
        <f>IF(B31="","",IF(ISNA(VLOOKUP($B31,'B-1 On-Site Hedge Baseline'!$B$1:$U$257,12,FALSE)),"",(VLOOKUP($B31,'B-1 On-Site Hedge Baseline'!$B$1:$U$257,12,FALSE))))</f>
        <v/>
      </c>
      <c r="M31" s="315" t="str">
        <f t="shared" si="0"/>
        <v/>
      </c>
      <c r="N31" s="362" t="str">
        <f>IFERROR(IF(B31="","",INDEX('G-6 Hedgerow Data'!$AN$3:$AZ$15,MATCH(C31,'G-6 Hedgerow Data'!$AM$3:$AM$15,0),MATCH(M31,'G-6 Hedgerow Data'!$AN$2:$AZ$2,0))),"")</f>
        <v/>
      </c>
      <c r="O31" s="363" t="str">
        <f t="shared" si="2"/>
        <v/>
      </c>
      <c r="P31" s="417" t="str">
        <f>IF(B31="","",VLOOKUP(B31,'B-1 On-Site Hedge Baseline'!$B$10:T276,16,FALSE))</f>
        <v/>
      </c>
      <c r="Q31" s="362" t="str">
        <f>IF(M31="","",VLOOKUP(M31,'G-6 Hedgerow Data'!$B$2:$AG$15,2,FALSE))</f>
        <v/>
      </c>
      <c r="R31" s="363" t="str">
        <f>IF(M31="","",VLOOKUP(M31,'G-6 Hedgerow Data'!$B$2:$AG$15,3,FALSE))</f>
        <v/>
      </c>
      <c r="S31" s="55"/>
      <c r="T31" s="401" t="str">
        <f>IFERROR(VLOOKUP(S31,'G-1 All Habitats'!$Z$2:$AA$9,2,FALSE),"")</f>
        <v/>
      </c>
      <c r="U31" s="114"/>
      <c r="V31" s="382" t="str">
        <f>IF(U31="","",IF(VLOOKUP(U31,'G-3 Multipliers'!$L$3:$N$6,2,FALSE)=0,"Spatial Data Missing ⚠",VLOOKUP(U31,'G-3 Multipliers'!$L$3:$N$6,2,FALSE)))</f>
        <v/>
      </c>
      <c r="W31" s="386" t="str">
        <f>IF(U31="","",IF(VLOOKUP(U31,'G-3 Multipliers'!$L$3:$N$6,3,FALSE)=0,"Spatial Data Missing ⚠",VLOOKUP(U31,'G-3 Multipliers'!$L$3:$N$6,3,FALSE)))</f>
        <v/>
      </c>
      <c r="X31" s="362" t="str">
        <f>IFERROR(IF(OR(LEFT(O31,5)="Error",LEFT(N31,5)="Error",T31="Error"),"Check Data ⚠",IF(F31&lt;R31,INDEX('G-6 Hedgerow Data'!$S$3:$AE$14,MATCH(C31,'G-6 Hedgerow Data'!$B$3:$B$14,0),MATCH(M31,'G-6 Hedgerow Data'!$S$2:$AE$2,0)),INDEX('G-6 Hedgerow Data'!$K$3:$Q$14,MATCH(M31,'G-6 Hedgerow Data'!$B$3:$B$14,0),MATCH(O31,'G-6 Hedgerow Data'!$K$2:$Q$2,0)))),"")</f>
        <v/>
      </c>
      <c r="Y31" s="159"/>
      <c r="Z31" s="159"/>
      <c r="AA31" s="370" t="str">
        <f t="shared" si="3"/>
        <v/>
      </c>
      <c r="AB31" s="383" t="str">
        <f t="shared" si="4"/>
        <v/>
      </c>
      <c r="AC31" s="384" t="str">
        <f t="shared" si="1"/>
        <v/>
      </c>
      <c r="AD31" s="398" t="str">
        <f>IF(M31="","",VLOOKUP(M31,'G-6 Hedgerow Data'!$B$3:$AG$15,31,FALSE))</f>
        <v/>
      </c>
      <c r="AE31" s="370" t="str">
        <f t="shared" si="5"/>
        <v/>
      </c>
      <c r="AF31" s="370" t="str">
        <f t="shared" si="6"/>
        <v/>
      </c>
      <c r="AG31" s="386" t="str">
        <f>IFERROR(IF(O31="","",VLOOKUP(AD31,'G-3 Multipliers'!$P$3:$Q$6,2,FALSE)),"")</f>
        <v/>
      </c>
      <c r="AH31" s="376" t="str">
        <f t="shared" si="7"/>
        <v/>
      </c>
      <c r="AI31" s="188"/>
      <c r="AJ31" s="118"/>
      <c r="AK31" s="120"/>
      <c r="AT31" s="30" t="str">
        <f>IFERROR(INDEX('G-6 Hedgerow Data'!$BJ$3:$BJ$15,MATCH(M31,'G-6 Hedgerow Data'!$B$3:$B$15,0)),"")</f>
        <v/>
      </c>
    </row>
    <row r="32" spans="2:46" ht="15">
      <c r="B32" s="392" t="str">
        <f>'B-1 On-Site Hedge Baseline'!AK30</f>
        <v/>
      </c>
      <c r="C32" s="382" t="str">
        <f>IF(B32="","",IF(ISNA(VLOOKUP($B32,'B-1 On-Site Hedge Baseline'!$B$1:$L$257,3,FALSE)),"",(VLOOKUP($B32,'B-1 On-Site Hedge Baseline'!$B$1:$L$257,3,FALSE))))</f>
        <v/>
      </c>
      <c r="D32" s="382" t="str">
        <f>IF(B32="","",IF(ISNA(VLOOKUP($B32,'B-1 On-Site Hedge Baseline'!$B$1:$L$257,4,FALSE)),"",(VLOOKUP($B32,'B-1 On-Site Hedge Baseline'!$B$1:$L$257,4,FALSE))))</f>
        <v/>
      </c>
      <c r="E32" s="382" t="str">
        <f>IF(B32="","",IF(ISNA(VLOOKUP($B32,'B-1 On-Site Hedge Baseline'!$B$1:$L$257,5,FALSE)),"",(VLOOKUP($B32,'B-1 On-Site Hedge Baseline'!$B$1:$L$257,5,FALSE))))</f>
        <v/>
      </c>
      <c r="F32" s="382" t="str">
        <f>IF(B32="","",IF(ISNA(VLOOKUP($B32,'B-1 On-Site Hedge Baseline'!$B$1:$L$257,6,FALSE)),"",(VLOOKUP($B32,'B-1 On-Site Hedge Baseline'!$B$1:$L$257,6,FALSE))))</f>
        <v/>
      </c>
      <c r="G32" s="382" t="str">
        <f>IF(B32="","",IF(ISNA(VLOOKUP($B32,'B-1 On-Site Hedge Baseline'!$B$1:$L$257,7,FALSE)),"",(VLOOKUP($B32,'B-1 On-Site Hedge Baseline'!$B$1:$L$257,7,FALSE))))</f>
        <v/>
      </c>
      <c r="H32" s="382" t="str">
        <f>IF(B32="","",IF(ISNA(VLOOKUP($B32,'B-1 On-Site Hedge Baseline'!$B$1:$L$257,8,FALSE)),"",(VLOOKUP($B32,'B-1 On-Site Hedge Baseline'!$B$1:$L$257,8,FALSE))))</f>
        <v/>
      </c>
      <c r="I32" s="382" t="str">
        <f>IF(B32="","",IF(ISNA(VLOOKUP($B32,'B-1 On-Site Hedge Baseline'!$B$1:$L$257,10,FALSE)),"",(VLOOKUP($B32,'B-1 On-Site Hedge Baseline'!$B$1:$L$257,10,FALSE))))</f>
        <v/>
      </c>
      <c r="J32" s="382" t="str">
        <f>IF(B32="","",IF(ISNA(VLOOKUP($B32,'B-1 On-Site Hedge Baseline'!$B$1:$L$257,11,FALSE)),"",(VLOOKUP($B32,'B-1 On-Site Hedge Baseline'!$B$1:$L$257,11,FALSE))))</f>
        <v/>
      </c>
      <c r="K32" s="382" t="str">
        <f>IF(B32="","",IF(ISNA(VLOOKUP($B32,'B-1 On-Site Hedge Baseline'!$B$1:$U$257,13,FALSE)),"",(VLOOKUP($B32,'B-1 On-Site Hedge Baseline'!$B$1:$U$257,13,FALSE))))</f>
        <v/>
      </c>
      <c r="L32" s="386" t="str">
        <f>IF(B32="","",IF(ISNA(VLOOKUP($B32,'B-1 On-Site Hedge Baseline'!$B$1:$U$257,12,FALSE)),"",(VLOOKUP($B32,'B-1 On-Site Hedge Baseline'!$B$1:$U$257,12,FALSE))))</f>
        <v/>
      </c>
      <c r="M32" s="315" t="str">
        <f t="shared" si="0"/>
        <v/>
      </c>
      <c r="N32" s="362" t="str">
        <f>IFERROR(IF(B32="","",INDEX('G-6 Hedgerow Data'!$AN$3:$AZ$15,MATCH(C32,'G-6 Hedgerow Data'!$AM$3:$AM$15,0),MATCH(M32,'G-6 Hedgerow Data'!$AN$2:$AZ$2,0))),"")</f>
        <v/>
      </c>
      <c r="O32" s="363" t="str">
        <f t="shared" si="2"/>
        <v/>
      </c>
      <c r="P32" s="417" t="str">
        <f>IF(B32="","",VLOOKUP(B32,'B-1 On-Site Hedge Baseline'!$B$10:T277,16,FALSE))</f>
        <v/>
      </c>
      <c r="Q32" s="362" t="str">
        <f>IF(M32="","",VLOOKUP(M32,'G-6 Hedgerow Data'!$B$2:$AG$15,2,FALSE))</f>
        <v/>
      </c>
      <c r="R32" s="363" t="str">
        <f>IF(M32="","",VLOOKUP(M32,'G-6 Hedgerow Data'!$B$2:$AG$15,3,FALSE))</f>
        <v/>
      </c>
      <c r="S32" s="55"/>
      <c r="T32" s="401" t="str">
        <f>IFERROR(VLOOKUP(S32,'G-1 All Habitats'!$Z$2:$AA$9,2,FALSE),"")</f>
        <v/>
      </c>
      <c r="U32" s="114"/>
      <c r="V32" s="382" t="str">
        <f>IF(U32="","",IF(VLOOKUP(U32,'G-3 Multipliers'!$L$3:$N$6,2,FALSE)=0,"Spatial Data Missing ⚠",VLOOKUP(U32,'G-3 Multipliers'!$L$3:$N$6,2,FALSE)))</f>
        <v/>
      </c>
      <c r="W32" s="386" t="str">
        <f>IF(U32="","",IF(VLOOKUP(U32,'G-3 Multipliers'!$L$3:$N$6,3,FALSE)=0,"Spatial Data Missing ⚠",VLOOKUP(U32,'G-3 Multipliers'!$L$3:$N$6,3,FALSE)))</f>
        <v/>
      </c>
      <c r="X32" s="362" t="str">
        <f>IFERROR(IF(OR(LEFT(O32,5)="Error",LEFT(N32,5)="Error",T32="Error"),"Check Data ⚠",IF(F32&lt;R32,INDEX('G-6 Hedgerow Data'!$S$3:$AE$14,MATCH(C32,'G-6 Hedgerow Data'!$B$3:$B$14,0),MATCH(M32,'G-6 Hedgerow Data'!$S$2:$AE$2,0)),INDEX('G-6 Hedgerow Data'!$K$3:$Q$14,MATCH(M32,'G-6 Hedgerow Data'!$B$3:$B$14,0),MATCH(O32,'G-6 Hedgerow Data'!$K$2:$Q$2,0)))),"")</f>
        <v/>
      </c>
      <c r="Y32" s="159"/>
      <c r="Z32" s="159"/>
      <c r="AA32" s="370" t="str">
        <f t="shared" si="3"/>
        <v/>
      </c>
      <c r="AB32" s="383" t="str">
        <f t="shared" si="4"/>
        <v/>
      </c>
      <c r="AC32" s="384" t="str">
        <f t="shared" si="1"/>
        <v/>
      </c>
      <c r="AD32" s="398" t="str">
        <f>IF(M32="","",VLOOKUP(M32,'G-6 Hedgerow Data'!$B$3:$AG$15,31,FALSE))</f>
        <v/>
      </c>
      <c r="AE32" s="370" t="str">
        <f t="shared" si="5"/>
        <v/>
      </c>
      <c r="AF32" s="370" t="str">
        <f t="shared" si="6"/>
        <v/>
      </c>
      <c r="AG32" s="386" t="str">
        <f>IFERROR(IF(O32="","",VLOOKUP(AD32,'G-3 Multipliers'!$P$3:$Q$6,2,FALSE)),"")</f>
        <v/>
      </c>
      <c r="AH32" s="376" t="str">
        <f t="shared" si="7"/>
        <v/>
      </c>
      <c r="AI32" s="188"/>
      <c r="AJ32" s="118"/>
      <c r="AK32" s="120"/>
      <c r="AT32" s="30" t="str">
        <f>IFERROR(INDEX('G-6 Hedgerow Data'!$BJ$3:$BJ$15,MATCH(M32,'G-6 Hedgerow Data'!$B$3:$B$15,0)),"")</f>
        <v/>
      </c>
    </row>
    <row r="33" spans="2:46" ht="15">
      <c r="B33" s="392" t="str">
        <f>'B-1 On-Site Hedge Baseline'!AK31</f>
        <v/>
      </c>
      <c r="C33" s="382" t="str">
        <f>IF(B33="","",IF(ISNA(VLOOKUP($B33,'B-1 On-Site Hedge Baseline'!$B$1:$L$257,3,FALSE)),"",(VLOOKUP($B33,'B-1 On-Site Hedge Baseline'!$B$1:$L$257,3,FALSE))))</f>
        <v/>
      </c>
      <c r="D33" s="382" t="str">
        <f>IF(B33="","",IF(ISNA(VLOOKUP($B33,'B-1 On-Site Hedge Baseline'!$B$1:$L$257,4,FALSE)),"",(VLOOKUP($B33,'B-1 On-Site Hedge Baseline'!$B$1:$L$257,4,FALSE))))</f>
        <v/>
      </c>
      <c r="E33" s="382" t="str">
        <f>IF(B33="","",IF(ISNA(VLOOKUP($B33,'B-1 On-Site Hedge Baseline'!$B$1:$L$257,5,FALSE)),"",(VLOOKUP($B33,'B-1 On-Site Hedge Baseline'!$B$1:$L$257,5,FALSE))))</f>
        <v/>
      </c>
      <c r="F33" s="382" t="str">
        <f>IF(B33="","",IF(ISNA(VLOOKUP($B33,'B-1 On-Site Hedge Baseline'!$B$1:$L$257,6,FALSE)),"",(VLOOKUP($B33,'B-1 On-Site Hedge Baseline'!$B$1:$L$257,6,FALSE))))</f>
        <v/>
      </c>
      <c r="G33" s="382" t="str">
        <f>IF(B33="","",IF(ISNA(VLOOKUP($B33,'B-1 On-Site Hedge Baseline'!$B$1:$L$257,7,FALSE)),"",(VLOOKUP($B33,'B-1 On-Site Hedge Baseline'!$B$1:$L$257,7,FALSE))))</f>
        <v/>
      </c>
      <c r="H33" s="382" t="str">
        <f>IF(B33="","",IF(ISNA(VLOOKUP($B33,'B-1 On-Site Hedge Baseline'!$B$1:$L$257,8,FALSE)),"",(VLOOKUP($B33,'B-1 On-Site Hedge Baseline'!$B$1:$L$257,8,FALSE))))</f>
        <v/>
      </c>
      <c r="I33" s="382" t="str">
        <f>IF(B33="","",IF(ISNA(VLOOKUP($B33,'B-1 On-Site Hedge Baseline'!$B$1:$L$257,10,FALSE)),"",(VLOOKUP($B33,'B-1 On-Site Hedge Baseline'!$B$1:$L$257,10,FALSE))))</f>
        <v/>
      </c>
      <c r="J33" s="382" t="str">
        <f>IF(B33="","",IF(ISNA(VLOOKUP($B33,'B-1 On-Site Hedge Baseline'!$B$1:$L$257,11,FALSE)),"",(VLOOKUP($B33,'B-1 On-Site Hedge Baseline'!$B$1:$L$257,11,FALSE))))</f>
        <v/>
      </c>
      <c r="K33" s="382" t="str">
        <f>IF(B33="","",IF(ISNA(VLOOKUP($B33,'B-1 On-Site Hedge Baseline'!$B$1:$U$257,13,FALSE)),"",(VLOOKUP($B33,'B-1 On-Site Hedge Baseline'!$B$1:$U$257,13,FALSE))))</f>
        <v/>
      </c>
      <c r="L33" s="386" t="str">
        <f>IF(B33="","",IF(ISNA(VLOOKUP($B33,'B-1 On-Site Hedge Baseline'!$B$1:$U$257,12,FALSE)),"",(VLOOKUP($B33,'B-1 On-Site Hedge Baseline'!$B$1:$U$257,12,FALSE))))</f>
        <v/>
      </c>
      <c r="M33" s="315" t="str">
        <f t="shared" si="0"/>
        <v/>
      </c>
      <c r="N33" s="362" t="str">
        <f>IFERROR(IF(B33="","",INDEX('G-6 Hedgerow Data'!$AN$3:$AZ$15,MATCH(C33,'G-6 Hedgerow Data'!$AM$3:$AM$15,0),MATCH(M33,'G-6 Hedgerow Data'!$AN$2:$AZ$2,0))),"")</f>
        <v/>
      </c>
      <c r="O33" s="363" t="str">
        <f t="shared" si="2"/>
        <v/>
      </c>
      <c r="P33" s="417" t="str">
        <f>IF(B33="","",VLOOKUP(B33,'B-1 On-Site Hedge Baseline'!$B$10:T278,16,FALSE))</f>
        <v/>
      </c>
      <c r="Q33" s="362" t="str">
        <f>IF(M33="","",VLOOKUP(M33,'G-6 Hedgerow Data'!$B$2:$AG$15,2,FALSE))</f>
        <v/>
      </c>
      <c r="R33" s="363" t="str">
        <f>IF(M33="","",VLOOKUP(M33,'G-6 Hedgerow Data'!$B$2:$AG$15,3,FALSE))</f>
        <v/>
      </c>
      <c r="S33" s="55"/>
      <c r="T33" s="401" t="str">
        <f>IFERROR(VLOOKUP(S33,'G-1 All Habitats'!$Z$2:$AA$9,2,FALSE),"")</f>
        <v/>
      </c>
      <c r="U33" s="114"/>
      <c r="V33" s="382" t="str">
        <f>IF(U33="","",IF(VLOOKUP(U33,'G-3 Multipliers'!$L$3:$N$6,2,FALSE)=0,"Spatial Data Missing ⚠",VLOOKUP(U33,'G-3 Multipliers'!$L$3:$N$6,2,FALSE)))</f>
        <v/>
      </c>
      <c r="W33" s="386" t="str">
        <f>IF(U33="","",IF(VLOOKUP(U33,'G-3 Multipliers'!$L$3:$N$6,3,FALSE)=0,"Spatial Data Missing ⚠",VLOOKUP(U33,'G-3 Multipliers'!$L$3:$N$6,3,FALSE)))</f>
        <v/>
      </c>
      <c r="X33" s="362" t="str">
        <f>IFERROR(IF(OR(LEFT(O33,5)="Error",LEFT(N33,5)="Error",T33="Error"),"Check Data ⚠",IF(F33&lt;R33,INDEX('G-6 Hedgerow Data'!$S$3:$AE$14,MATCH(C33,'G-6 Hedgerow Data'!$B$3:$B$14,0),MATCH(M33,'G-6 Hedgerow Data'!$S$2:$AE$2,0)),INDEX('G-6 Hedgerow Data'!$K$3:$Q$14,MATCH(M33,'G-6 Hedgerow Data'!$B$3:$B$14,0),MATCH(O33,'G-6 Hedgerow Data'!$K$2:$Q$2,0)))),"")</f>
        <v/>
      </c>
      <c r="Y33" s="159"/>
      <c r="Z33" s="159"/>
      <c r="AA33" s="370" t="str">
        <f t="shared" si="3"/>
        <v/>
      </c>
      <c r="AB33" s="383" t="str">
        <f t="shared" si="4"/>
        <v/>
      </c>
      <c r="AC33" s="384" t="str">
        <f t="shared" si="1"/>
        <v/>
      </c>
      <c r="AD33" s="398" t="str">
        <f>IF(M33="","",VLOOKUP(M33,'G-6 Hedgerow Data'!$B$3:$AG$15,31,FALSE))</f>
        <v/>
      </c>
      <c r="AE33" s="370" t="str">
        <f t="shared" si="5"/>
        <v/>
      </c>
      <c r="AF33" s="370" t="str">
        <f t="shared" si="6"/>
        <v/>
      </c>
      <c r="AG33" s="386" t="str">
        <f>IFERROR(IF(O33="","",VLOOKUP(AD33,'G-3 Multipliers'!$P$3:$Q$6,2,FALSE)),"")</f>
        <v/>
      </c>
      <c r="AH33" s="376" t="str">
        <f t="shared" si="7"/>
        <v/>
      </c>
      <c r="AI33" s="188"/>
      <c r="AJ33" s="118"/>
      <c r="AK33" s="120"/>
      <c r="AT33" s="30" t="str">
        <f>IFERROR(INDEX('G-6 Hedgerow Data'!$BJ$3:$BJ$15,MATCH(M33,'G-6 Hedgerow Data'!$B$3:$B$15,0)),"")</f>
        <v/>
      </c>
    </row>
    <row r="34" spans="2:46" ht="15">
      <c r="B34" s="392" t="str">
        <f>'B-1 On-Site Hedge Baseline'!AK32</f>
        <v/>
      </c>
      <c r="C34" s="382" t="str">
        <f>IF(B34="","",IF(ISNA(VLOOKUP($B34,'B-1 On-Site Hedge Baseline'!$B$1:$L$257,3,FALSE)),"",(VLOOKUP($B34,'B-1 On-Site Hedge Baseline'!$B$1:$L$257,3,FALSE))))</f>
        <v/>
      </c>
      <c r="D34" s="382" t="str">
        <f>IF(B34="","",IF(ISNA(VLOOKUP($B34,'B-1 On-Site Hedge Baseline'!$B$1:$L$257,4,FALSE)),"",(VLOOKUP($B34,'B-1 On-Site Hedge Baseline'!$B$1:$L$257,4,FALSE))))</f>
        <v/>
      </c>
      <c r="E34" s="382" t="str">
        <f>IF(B34="","",IF(ISNA(VLOOKUP($B34,'B-1 On-Site Hedge Baseline'!$B$1:$L$257,5,FALSE)),"",(VLOOKUP($B34,'B-1 On-Site Hedge Baseline'!$B$1:$L$257,5,FALSE))))</f>
        <v/>
      </c>
      <c r="F34" s="382" t="str">
        <f>IF(B34="","",IF(ISNA(VLOOKUP($B34,'B-1 On-Site Hedge Baseline'!$B$1:$L$257,6,FALSE)),"",(VLOOKUP($B34,'B-1 On-Site Hedge Baseline'!$B$1:$L$257,6,FALSE))))</f>
        <v/>
      </c>
      <c r="G34" s="382" t="str">
        <f>IF(B34="","",IF(ISNA(VLOOKUP($B34,'B-1 On-Site Hedge Baseline'!$B$1:$L$257,7,FALSE)),"",(VLOOKUP($B34,'B-1 On-Site Hedge Baseline'!$B$1:$L$257,7,FALSE))))</f>
        <v/>
      </c>
      <c r="H34" s="382" t="str">
        <f>IF(B34="","",IF(ISNA(VLOOKUP($B34,'B-1 On-Site Hedge Baseline'!$B$1:$L$257,8,FALSE)),"",(VLOOKUP($B34,'B-1 On-Site Hedge Baseline'!$B$1:$L$257,8,FALSE))))</f>
        <v/>
      </c>
      <c r="I34" s="382" t="str">
        <f>IF(B34="","",IF(ISNA(VLOOKUP($B34,'B-1 On-Site Hedge Baseline'!$B$1:$L$257,10,FALSE)),"",(VLOOKUP($B34,'B-1 On-Site Hedge Baseline'!$B$1:$L$257,10,FALSE))))</f>
        <v/>
      </c>
      <c r="J34" s="382" t="str">
        <f>IF(B34="","",IF(ISNA(VLOOKUP($B34,'B-1 On-Site Hedge Baseline'!$B$1:$L$257,11,FALSE)),"",(VLOOKUP($B34,'B-1 On-Site Hedge Baseline'!$B$1:$L$257,11,FALSE))))</f>
        <v/>
      </c>
      <c r="K34" s="382" t="str">
        <f>IF(B34="","",IF(ISNA(VLOOKUP($B34,'B-1 On-Site Hedge Baseline'!$B$1:$U$257,13,FALSE)),"",(VLOOKUP($B34,'B-1 On-Site Hedge Baseline'!$B$1:$U$257,13,FALSE))))</f>
        <v/>
      </c>
      <c r="L34" s="386" t="str">
        <f>IF(B34="","",IF(ISNA(VLOOKUP($B34,'B-1 On-Site Hedge Baseline'!$B$1:$U$257,12,FALSE)),"",(VLOOKUP($B34,'B-1 On-Site Hedge Baseline'!$B$1:$U$257,12,FALSE))))</f>
        <v/>
      </c>
      <c r="M34" s="315" t="str">
        <f t="shared" si="0"/>
        <v/>
      </c>
      <c r="N34" s="362" t="str">
        <f>IFERROR(IF(B34="","",INDEX('G-6 Hedgerow Data'!$AN$3:$AZ$15,MATCH(C34,'G-6 Hedgerow Data'!$AM$3:$AM$15,0),MATCH(M34,'G-6 Hedgerow Data'!$AN$2:$AZ$2,0))),"")</f>
        <v/>
      </c>
      <c r="O34" s="363" t="str">
        <f t="shared" si="2"/>
        <v/>
      </c>
      <c r="P34" s="417" t="str">
        <f>IF(B34="","",VLOOKUP(B34,'B-1 On-Site Hedge Baseline'!$B$10:T279,16,FALSE))</f>
        <v/>
      </c>
      <c r="Q34" s="362" t="str">
        <f>IF(M34="","",VLOOKUP(M34,'G-6 Hedgerow Data'!$B$2:$AG$15,2,FALSE))</f>
        <v/>
      </c>
      <c r="R34" s="363" t="str">
        <f>IF(M34="","",VLOOKUP(M34,'G-6 Hedgerow Data'!$B$2:$AG$15,3,FALSE))</f>
        <v/>
      </c>
      <c r="S34" s="55"/>
      <c r="T34" s="401" t="str">
        <f>IFERROR(VLOOKUP(S34,'G-1 All Habitats'!$Z$2:$AA$9,2,FALSE),"")</f>
        <v/>
      </c>
      <c r="U34" s="114"/>
      <c r="V34" s="382" t="str">
        <f>IF(U34="","",IF(VLOOKUP(U34,'G-3 Multipliers'!$L$3:$N$6,2,FALSE)=0,"Spatial Data Missing ⚠",VLOOKUP(U34,'G-3 Multipliers'!$L$3:$N$6,2,FALSE)))</f>
        <v/>
      </c>
      <c r="W34" s="386" t="str">
        <f>IF(U34="","",IF(VLOOKUP(U34,'G-3 Multipliers'!$L$3:$N$6,3,FALSE)=0,"Spatial Data Missing ⚠",VLOOKUP(U34,'G-3 Multipliers'!$L$3:$N$6,3,FALSE)))</f>
        <v/>
      </c>
      <c r="X34" s="362" t="str">
        <f>IFERROR(IF(OR(LEFT(O34,5)="Error",LEFT(N34,5)="Error",T34="Error"),"Check Data ⚠",IF(F34&lt;R34,INDEX('G-6 Hedgerow Data'!$S$3:$AE$14,MATCH(C34,'G-6 Hedgerow Data'!$B$3:$B$14,0),MATCH(M34,'G-6 Hedgerow Data'!$S$2:$AE$2,0)),INDEX('G-6 Hedgerow Data'!$K$3:$Q$14,MATCH(M34,'G-6 Hedgerow Data'!$B$3:$B$14,0),MATCH(O34,'G-6 Hedgerow Data'!$K$2:$Q$2,0)))),"")</f>
        <v/>
      </c>
      <c r="Y34" s="159"/>
      <c r="Z34" s="159"/>
      <c r="AA34" s="370" t="str">
        <f t="shared" si="3"/>
        <v/>
      </c>
      <c r="AB34" s="383" t="str">
        <f t="shared" si="4"/>
        <v/>
      </c>
      <c r="AC34" s="384" t="str">
        <f t="shared" si="1"/>
        <v/>
      </c>
      <c r="AD34" s="398" t="str">
        <f>IF(M34="","",VLOOKUP(M34,'G-6 Hedgerow Data'!$B$3:$AG$15,31,FALSE))</f>
        <v/>
      </c>
      <c r="AE34" s="370" t="str">
        <f t="shared" si="5"/>
        <v/>
      </c>
      <c r="AF34" s="370" t="str">
        <f t="shared" si="6"/>
        <v/>
      </c>
      <c r="AG34" s="386" t="str">
        <f>IFERROR(IF(O34="","",VLOOKUP(AD34,'G-3 Multipliers'!$P$3:$Q$6,2,FALSE)),"")</f>
        <v/>
      </c>
      <c r="AH34" s="376" t="str">
        <f t="shared" si="7"/>
        <v/>
      </c>
      <c r="AI34" s="188"/>
      <c r="AJ34" s="118"/>
      <c r="AK34" s="120"/>
      <c r="AT34" s="30" t="str">
        <f>IFERROR(INDEX('G-6 Hedgerow Data'!$BJ$3:$BJ$15,MATCH(M34,'G-6 Hedgerow Data'!$B$3:$B$15,0)),"")</f>
        <v/>
      </c>
    </row>
    <row r="35" spans="2:46" ht="15">
      <c r="B35" s="392" t="str">
        <f>'B-1 On-Site Hedge Baseline'!AK33</f>
        <v/>
      </c>
      <c r="C35" s="382" t="str">
        <f>IF(B35="","",IF(ISNA(VLOOKUP($B35,'B-1 On-Site Hedge Baseline'!$B$1:$L$257,3,FALSE)),"",(VLOOKUP($B35,'B-1 On-Site Hedge Baseline'!$B$1:$L$257,3,FALSE))))</f>
        <v/>
      </c>
      <c r="D35" s="382" t="str">
        <f>IF(B35="","",IF(ISNA(VLOOKUP($B35,'B-1 On-Site Hedge Baseline'!$B$1:$L$257,4,FALSE)),"",(VLOOKUP($B35,'B-1 On-Site Hedge Baseline'!$B$1:$L$257,4,FALSE))))</f>
        <v/>
      </c>
      <c r="E35" s="382" t="str">
        <f>IF(B35="","",IF(ISNA(VLOOKUP($B35,'B-1 On-Site Hedge Baseline'!$B$1:$L$257,5,FALSE)),"",(VLOOKUP($B35,'B-1 On-Site Hedge Baseline'!$B$1:$L$257,5,FALSE))))</f>
        <v/>
      </c>
      <c r="F35" s="382" t="str">
        <f>IF(B35="","",IF(ISNA(VLOOKUP($B35,'B-1 On-Site Hedge Baseline'!$B$1:$L$257,6,FALSE)),"",(VLOOKUP($B35,'B-1 On-Site Hedge Baseline'!$B$1:$L$257,6,FALSE))))</f>
        <v/>
      </c>
      <c r="G35" s="382" t="str">
        <f>IF(B35="","",IF(ISNA(VLOOKUP($B35,'B-1 On-Site Hedge Baseline'!$B$1:$L$257,7,FALSE)),"",(VLOOKUP($B35,'B-1 On-Site Hedge Baseline'!$B$1:$L$257,7,FALSE))))</f>
        <v/>
      </c>
      <c r="H35" s="382" t="str">
        <f>IF(B35="","",IF(ISNA(VLOOKUP($B35,'B-1 On-Site Hedge Baseline'!$B$1:$L$257,8,FALSE)),"",(VLOOKUP($B35,'B-1 On-Site Hedge Baseline'!$B$1:$L$257,8,FALSE))))</f>
        <v/>
      </c>
      <c r="I35" s="382" t="str">
        <f>IF(B35="","",IF(ISNA(VLOOKUP($B35,'B-1 On-Site Hedge Baseline'!$B$1:$L$257,10,FALSE)),"",(VLOOKUP($B35,'B-1 On-Site Hedge Baseline'!$B$1:$L$257,10,FALSE))))</f>
        <v/>
      </c>
      <c r="J35" s="382" t="str">
        <f>IF(B35="","",IF(ISNA(VLOOKUP($B35,'B-1 On-Site Hedge Baseline'!$B$1:$L$257,11,FALSE)),"",(VLOOKUP($B35,'B-1 On-Site Hedge Baseline'!$B$1:$L$257,11,FALSE))))</f>
        <v/>
      </c>
      <c r="K35" s="382" t="str">
        <f>IF(B35="","",IF(ISNA(VLOOKUP($B35,'B-1 On-Site Hedge Baseline'!$B$1:$U$257,13,FALSE)),"",(VLOOKUP($B35,'B-1 On-Site Hedge Baseline'!$B$1:$U$257,13,FALSE))))</f>
        <v/>
      </c>
      <c r="L35" s="386" t="str">
        <f>IF(B35="","",IF(ISNA(VLOOKUP($B35,'B-1 On-Site Hedge Baseline'!$B$1:$U$257,12,FALSE)),"",(VLOOKUP($B35,'B-1 On-Site Hedge Baseline'!$B$1:$U$257,12,FALSE))))</f>
        <v/>
      </c>
      <c r="M35" s="315" t="str">
        <f t="shared" si="0"/>
        <v/>
      </c>
      <c r="N35" s="362" t="str">
        <f>IFERROR(IF(B35="","",INDEX('G-6 Hedgerow Data'!$AN$3:$AZ$15,MATCH(C35,'G-6 Hedgerow Data'!$AM$3:$AM$15,0),MATCH(M35,'G-6 Hedgerow Data'!$AN$2:$AZ$2,0))),"")</f>
        <v/>
      </c>
      <c r="O35" s="363" t="str">
        <f t="shared" si="2"/>
        <v/>
      </c>
      <c r="P35" s="417" t="str">
        <f>IF(B35="","",VLOOKUP(B35,'B-1 On-Site Hedge Baseline'!$B$10:T280,16,FALSE))</f>
        <v/>
      </c>
      <c r="Q35" s="362" t="str">
        <f>IF(M35="","",VLOOKUP(M35,'G-6 Hedgerow Data'!$B$2:$AG$15,2,FALSE))</f>
        <v/>
      </c>
      <c r="R35" s="363" t="str">
        <f>IF(M35="","",VLOOKUP(M35,'G-6 Hedgerow Data'!$B$2:$AG$15,3,FALSE))</f>
        <v/>
      </c>
      <c r="S35" s="55"/>
      <c r="T35" s="401" t="str">
        <f>IFERROR(VLOOKUP(S35,'G-1 All Habitats'!$Z$2:$AA$9,2,FALSE),"")</f>
        <v/>
      </c>
      <c r="U35" s="114"/>
      <c r="V35" s="382" t="str">
        <f>IF(U35="","",IF(VLOOKUP(U35,'G-3 Multipliers'!$L$3:$N$6,2,FALSE)=0,"Spatial Data Missing ⚠",VLOOKUP(U35,'G-3 Multipliers'!$L$3:$N$6,2,FALSE)))</f>
        <v/>
      </c>
      <c r="W35" s="386" t="str">
        <f>IF(U35="","",IF(VLOOKUP(U35,'G-3 Multipliers'!$L$3:$N$6,3,FALSE)=0,"Spatial Data Missing ⚠",VLOOKUP(U35,'G-3 Multipliers'!$L$3:$N$6,3,FALSE)))</f>
        <v/>
      </c>
      <c r="X35" s="362" t="str">
        <f>IFERROR(IF(OR(LEFT(O35,5)="Error",LEFT(N35,5)="Error",T35="Error"),"Check Data ⚠",IF(F35&lt;R35,INDEX('G-6 Hedgerow Data'!$S$3:$AE$14,MATCH(C35,'G-6 Hedgerow Data'!$B$3:$B$14,0),MATCH(M35,'G-6 Hedgerow Data'!$S$2:$AE$2,0)),INDEX('G-6 Hedgerow Data'!$K$3:$Q$14,MATCH(M35,'G-6 Hedgerow Data'!$B$3:$B$14,0),MATCH(O35,'G-6 Hedgerow Data'!$K$2:$Q$2,0)))),"")</f>
        <v/>
      </c>
      <c r="Y35" s="159"/>
      <c r="Z35" s="159"/>
      <c r="AA35" s="370" t="str">
        <f t="shared" si="3"/>
        <v/>
      </c>
      <c r="AB35" s="383" t="str">
        <f t="shared" si="4"/>
        <v/>
      </c>
      <c r="AC35" s="384" t="str">
        <f t="shared" si="1"/>
        <v/>
      </c>
      <c r="AD35" s="398" t="str">
        <f>IF(M35="","",VLOOKUP(M35,'G-6 Hedgerow Data'!$B$3:$AG$15,31,FALSE))</f>
        <v/>
      </c>
      <c r="AE35" s="370" t="str">
        <f t="shared" si="5"/>
        <v/>
      </c>
      <c r="AF35" s="370" t="str">
        <f t="shared" si="6"/>
        <v/>
      </c>
      <c r="AG35" s="386" t="str">
        <f>IFERROR(IF(O35="","",VLOOKUP(AD35,'G-3 Multipliers'!$P$3:$Q$6,2,FALSE)),"")</f>
        <v/>
      </c>
      <c r="AH35" s="376" t="str">
        <f t="shared" si="7"/>
        <v/>
      </c>
      <c r="AI35" s="188"/>
      <c r="AJ35" s="118"/>
      <c r="AK35" s="120"/>
      <c r="AT35" s="30" t="str">
        <f>IFERROR(INDEX('G-6 Hedgerow Data'!$BJ$3:$BJ$15,MATCH(M35,'G-6 Hedgerow Data'!$B$3:$B$15,0)),"")</f>
        <v/>
      </c>
    </row>
    <row r="36" spans="2:46" ht="15">
      <c r="B36" s="392" t="str">
        <f>'B-1 On-Site Hedge Baseline'!AK34</f>
        <v/>
      </c>
      <c r="C36" s="382" t="str">
        <f>IF(B36="","",IF(ISNA(VLOOKUP($B36,'B-1 On-Site Hedge Baseline'!$B$1:$L$257,3,FALSE)),"",(VLOOKUP($B36,'B-1 On-Site Hedge Baseline'!$B$1:$L$257,3,FALSE))))</f>
        <v/>
      </c>
      <c r="D36" s="382" t="str">
        <f>IF(B36="","",IF(ISNA(VLOOKUP($B36,'B-1 On-Site Hedge Baseline'!$B$1:$L$257,4,FALSE)),"",(VLOOKUP($B36,'B-1 On-Site Hedge Baseline'!$B$1:$L$257,4,FALSE))))</f>
        <v/>
      </c>
      <c r="E36" s="382" t="str">
        <f>IF(B36="","",IF(ISNA(VLOOKUP($B36,'B-1 On-Site Hedge Baseline'!$B$1:$L$257,5,FALSE)),"",(VLOOKUP($B36,'B-1 On-Site Hedge Baseline'!$B$1:$L$257,5,FALSE))))</f>
        <v/>
      </c>
      <c r="F36" s="382" t="str">
        <f>IF(B36="","",IF(ISNA(VLOOKUP($B36,'B-1 On-Site Hedge Baseline'!$B$1:$L$257,6,FALSE)),"",(VLOOKUP($B36,'B-1 On-Site Hedge Baseline'!$B$1:$L$257,6,FALSE))))</f>
        <v/>
      </c>
      <c r="G36" s="382" t="str">
        <f>IF(B36="","",IF(ISNA(VLOOKUP($B36,'B-1 On-Site Hedge Baseline'!$B$1:$L$257,7,FALSE)),"",(VLOOKUP($B36,'B-1 On-Site Hedge Baseline'!$B$1:$L$257,7,FALSE))))</f>
        <v/>
      </c>
      <c r="H36" s="382" t="str">
        <f>IF(B36="","",IF(ISNA(VLOOKUP($B36,'B-1 On-Site Hedge Baseline'!$B$1:$L$257,8,FALSE)),"",(VLOOKUP($B36,'B-1 On-Site Hedge Baseline'!$B$1:$L$257,8,FALSE))))</f>
        <v/>
      </c>
      <c r="I36" s="382" t="str">
        <f>IF(B36="","",IF(ISNA(VLOOKUP($B36,'B-1 On-Site Hedge Baseline'!$B$1:$L$257,10,FALSE)),"",(VLOOKUP($B36,'B-1 On-Site Hedge Baseline'!$B$1:$L$257,10,FALSE))))</f>
        <v/>
      </c>
      <c r="J36" s="382" t="str">
        <f>IF(B36="","",IF(ISNA(VLOOKUP($B36,'B-1 On-Site Hedge Baseline'!$B$1:$L$257,11,FALSE)),"",(VLOOKUP($B36,'B-1 On-Site Hedge Baseline'!$B$1:$L$257,11,FALSE))))</f>
        <v/>
      </c>
      <c r="K36" s="382" t="str">
        <f>IF(B36="","",IF(ISNA(VLOOKUP($B36,'B-1 On-Site Hedge Baseline'!$B$1:$U$257,13,FALSE)),"",(VLOOKUP($B36,'B-1 On-Site Hedge Baseline'!$B$1:$U$257,13,FALSE))))</f>
        <v/>
      </c>
      <c r="L36" s="386" t="str">
        <f>IF(B36="","",IF(ISNA(VLOOKUP($B36,'B-1 On-Site Hedge Baseline'!$B$1:$U$257,12,FALSE)),"",(VLOOKUP($B36,'B-1 On-Site Hedge Baseline'!$B$1:$U$257,12,FALSE))))</f>
        <v/>
      </c>
      <c r="M36" s="315" t="str">
        <f t="shared" si="0"/>
        <v/>
      </c>
      <c r="N36" s="362" t="str">
        <f>IFERROR(IF(B36="","",INDEX('G-6 Hedgerow Data'!$AN$3:$AZ$15,MATCH(C36,'G-6 Hedgerow Data'!$AM$3:$AM$15,0),MATCH(M36,'G-6 Hedgerow Data'!$AN$2:$AZ$2,0))),"")</f>
        <v/>
      </c>
      <c r="O36" s="363" t="str">
        <f t="shared" si="2"/>
        <v/>
      </c>
      <c r="P36" s="417" t="str">
        <f>IF(B36="","",VLOOKUP(B36,'B-1 On-Site Hedge Baseline'!$B$10:T281,16,FALSE))</f>
        <v/>
      </c>
      <c r="Q36" s="362" t="str">
        <f>IF(M36="","",VLOOKUP(M36,'G-6 Hedgerow Data'!$B$2:$AG$15,2,FALSE))</f>
        <v/>
      </c>
      <c r="R36" s="363" t="str">
        <f>IF(M36="","",VLOOKUP(M36,'G-6 Hedgerow Data'!$B$2:$AG$15,3,FALSE))</f>
        <v/>
      </c>
      <c r="S36" s="55"/>
      <c r="T36" s="401" t="str">
        <f>IFERROR(VLOOKUP(S36,'G-1 All Habitats'!$Z$2:$AA$9,2,FALSE),"")</f>
        <v/>
      </c>
      <c r="U36" s="114"/>
      <c r="V36" s="382" t="str">
        <f>IF(U36="","",IF(VLOOKUP(U36,'G-3 Multipliers'!$L$3:$N$6,2,FALSE)=0,"Spatial Data Missing ⚠",VLOOKUP(U36,'G-3 Multipliers'!$L$3:$N$6,2,FALSE)))</f>
        <v/>
      </c>
      <c r="W36" s="386" t="str">
        <f>IF(U36="","",IF(VLOOKUP(U36,'G-3 Multipliers'!$L$3:$N$6,3,FALSE)=0,"Spatial Data Missing ⚠",VLOOKUP(U36,'G-3 Multipliers'!$L$3:$N$6,3,FALSE)))</f>
        <v/>
      </c>
      <c r="X36" s="362" t="str">
        <f>IFERROR(IF(OR(LEFT(O36,5)="Error",LEFT(N36,5)="Error",T36="Error"),"Check Data ⚠",IF(F36&lt;R36,INDEX('G-6 Hedgerow Data'!$S$3:$AE$14,MATCH(C36,'G-6 Hedgerow Data'!$B$3:$B$14,0),MATCH(M36,'G-6 Hedgerow Data'!$S$2:$AE$2,0)),INDEX('G-6 Hedgerow Data'!$K$3:$Q$14,MATCH(M36,'G-6 Hedgerow Data'!$B$3:$B$14,0),MATCH(O36,'G-6 Hedgerow Data'!$K$2:$Q$2,0)))),"")</f>
        <v/>
      </c>
      <c r="Y36" s="159"/>
      <c r="Z36" s="159"/>
      <c r="AA36" s="370" t="str">
        <f t="shared" si="3"/>
        <v/>
      </c>
      <c r="AB36" s="383" t="str">
        <f t="shared" si="4"/>
        <v/>
      </c>
      <c r="AC36" s="384" t="str">
        <f t="shared" si="1"/>
        <v/>
      </c>
      <c r="AD36" s="398" t="str">
        <f>IF(M36="","",VLOOKUP(M36,'G-6 Hedgerow Data'!$B$3:$AG$15,31,FALSE))</f>
        <v/>
      </c>
      <c r="AE36" s="370" t="str">
        <f t="shared" si="5"/>
        <v/>
      </c>
      <c r="AF36" s="370" t="str">
        <f t="shared" si="6"/>
        <v/>
      </c>
      <c r="AG36" s="386" t="str">
        <f>IFERROR(IF(O36="","",VLOOKUP(AD36,'G-3 Multipliers'!$P$3:$Q$6,2,FALSE)),"")</f>
        <v/>
      </c>
      <c r="AH36" s="376" t="str">
        <f t="shared" si="7"/>
        <v/>
      </c>
      <c r="AI36" s="188"/>
      <c r="AJ36" s="118"/>
      <c r="AK36" s="120"/>
      <c r="AT36" s="30" t="str">
        <f>IFERROR(INDEX('G-6 Hedgerow Data'!$BJ$3:$BJ$15,MATCH(M36,'G-6 Hedgerow Data'!$B$3:$B$15,0)),"")</f>
        <v/>
      </c>
    </row>
    <row r="37" spans="2:46" ht="15">
      <c r="B37" s="392" t="str">
        <f>'B-1 On-Site Hedge Baseline'!AK35</f>
        <v/>
      </c>
      <c r="C37" s="382" t="str">
        <f>IF(B37="","",IF(ISNA(VLOOKUP($B37,'B-1 On-Site Hedge Baseline'!$B$1:$L$257,3,FALSE)),"",(VLOOKUP($B37,'B-1 On-Site Hedge Baseline'!$B$1:$L$257,3,FALSE))))</f>
        <v/>
      </c>
      <c r="D37" s="382" t="str">
        <f>IF(B37="","",IF(ISNA(VLOOKUP($B37,'B-1 On-Site Hedge Baseline'!$B$1:$L$257,4,FALSE)),"",(VLOOKUP($B37,'B-1 On-Site Hedge Baseline'!$B$1:$L$257,4,FALSE))))</f>
        <v/>
      </c>
      <c r="E37" s="382" t="str">
        <f>IF(B37="","",IF(ISNA(VLOOKUP($B37,'B-1 On-Site Hedge Baseline'!$B$1:$L$257,5,FALSE)),"",(VLOOKUP($B37,'B-1 On-Site Hedge Baseline'!$B$1:$L$257,5,FALSE))))</f>
        <v/>
      </c>
      <c r="F37" s="382" t="str">
        <f>IF(B37="","",IF(ISNA(VLOOKUP($B37,'B-1 On-Site Hedge Baseline'!$B$1:$L$257,6,FALSE)),"",(VLOOKUP($B37,'B-1 On-Site Hedge Baseline'!$B$1:$L$257,6,FALSE))))</f>
        <v/>
      </c>
      <c r="G37" s="382" t="str">
        <f>IF(B37="","",IF(ISNA(VLOOKUP($B37,'B-1 On-Site Hedge Baseline'!$B$1:$L$257,7,FALSE)),"",(VLOOKUP($B37,'B-1 On-Site Hedge Baseline'!$B$1:$L$257,7,FALSE))))</f>
        <v/>
      </c>
      <c r="H37" s="382" t="str">
        <f>IF(B37="","",IF(ISNA(VLOOKUP($B37,'B-1 On-Site Hedge Baseline'!$B$1:$L$257,8,FALSE)),"",(VLOOKUP($B37,'B-1 On-Site Hedge Baseline'!$B$1:$L$257,8,FALSE))))</f>
        <v/>
      </c>
      <c r="I37" s="382" t="str">
        <f>IF(B37="","",IF(ISNA(VLOOKUP($B37,'B-1 On-Site Hedge Baseline'!$B$1:$L$257,10,FALSE)),"",(VLOOKUP($B37,'B-1 On-Site Hedge Baseline'!$B$1:$L$257,10,FALSE))))</f>
        <v/>
      </c>
      <c r="J37" s="382" t="str">
        <f>IF(B37="","",IF(ISNA(VLOOKUP($B37,'B-1 On-Site Hedge Baseline'!$B$1:$L$257,11,FALSE)),"",(VLOOKUP($B37,'B-1 On-Site Hedge Baseline'!$B$1:$L$257,11,FALSE))))</f>
        <v/>
      </c>
      <c r="K37" s="382" t="str">
        <f>IF(B37="","",IF(ISNA(VLOOKUP($B37,'B-1 On-Site Hedge Baseline'!$B$1:$U$257,13,FALSE)),"",(VLOOKUP($B37,'B-1 On-Site Hedge Baseline'!$B$1:$U$257,13,FALSE))))</f>
        <v/>
      </c>
      <c r="L37" s="386" t="str">
        <f>IF(B37="","",IF(ISNA(VLOOKUP($B37,'B-1 On-Site Hedge Baseline'!$B$1:$U$257,12,FALSE)),"",(VLOOKUP($B37,'B-1 On-Site Hedge Baseline'!$B$1:$U$257,12,FALSE))))</f>
        <v/>
      </c>
      <c r="M37" s="315" t="str">
        <f t="shared" si="0"/>
        <v/>
      </c>
      <c r="N37" s="362" t="str">
        <f>IFERROR(IF(B37="","",INDEX('G-6 Hedgerow Data'!$AN$3:$AZ$15,MATCH(C37,'G-6 Hedgerow Data'!$AM$3:$AM$15,0),MATCH(M37,'G-6 Hedgerow Data'!$AN$2:$AZ$2,0))),"")</f>
        <v/>
      </c>
      <c r="O37" s="363" t="str">
        <f t="shared" si="2"/>
        <v/>
      </c>
      <c r="P37" s="417" t="str">
        <f>IF(B37="","",VLOOKUP(B37,'B-1 On-Site Hedge Baseline'!$B$10:T282,16,FALSE))</f>
        <v/>
      </c>
      <c r="Q37" s="362" t="str">
        <f>IF(M37="","",VLOOKUP(M37,'G-6 Hedgerow Data'!$B$2:$AG$15,2,FALSE))</f>
        <v/>
      </c>
      <c r="R37" s="363" t="str">
        <f>IF(M37="","",VLOOKUP(M37,'G-6 Hedgerow Data'!$B$2:$AG$15,3,FALSE))</f>
        <v/>
      </c>
      <c r="S37" s="114"/>
      <c r="T37" s="401" t="str">
        <f>IFERROR(VLOOKUP(S37,'G-1 All Habitats'!$Z$2:$AA$9,2,FALSE),"")</f>
        <v/>
      </c>
      <c r="U37" s="114"/>
      <c r="V37" s="382" t="str">
        <f>IF(U37="","",IF(VLOOKUP(U37,'G-3 Multipliers'!$L$3:$N$6,2,FALSE)=0,"Spatial Data Missing ⚠",VLOOKUP(U37,'G-3 Multipliers'!$L$3:$N$6,2,FALSE)))</f>
        <v/>
      </c>
      <c r="W37" s="386" t="str">
        <f>IF(U37="","",IF(VLOOKUP(U37,'G-3 Multipliers'!$L$3:$N$6,3,FALSE)=0,"Spatial Data Missing ⚠",VLOOKUP(U37,'G-3 Multipliers'!$L$3:$N$6,3,FALSE)))</f>
        <v/>
      </c>
      <c r="X37" s="362" t="str">
        <f>IFERROR(IF(OR(LEFT(O37,5)="Error",LEFT(N37,5)="Error",T37="Error"),"Check Data ⚠",IF(F37&lt;R37,INDEX('G-6 Hedgerow Data'!$S$3:$AE$14,MATCH(C37,'G-6 Hedgerow Data'!$B$3:$B$14,0),MATCH(M37,'G-6 Hedgerow Data'!$S$2:$AE$2,0)),INDEX('G-6 Hedgerow Data'!$K$3:$Q$14,MATCH(M37,'G-6 Hedgerow Data'!$B$3:$B$14,0),MATCH(O37,'G-6 Hedgerow Data'!$K$2:$Q$2,0)))),"")</f>
        <v/>
      </c>
      <c r="Y37" s="159"/>
      <c r="Z37" s="159"/>
      <c r="AA37" s="370" t="str">
        <f t="shared" si="3"/>
        <v/>
      </c>
      <c r="AB37" s="383" t="str">
        <f t="shared" si="4"/>
        <v/>
      </c>
      <c r="AC37" s="384" t="str">
        <f t="shared" si="1"/>
        <v/>
      </c>
      <c r="AD37" s="398" t="str">
        <f>IF(M37="","",VLOOKUP(M37,'G-6 Hedgerow Data'!$B$3:$AG$15,31,FALSE))</f>
        <v/>
      </c>
      <c r="AE37" s="370" t="str">
        <f t="shared" si="5"/>
        <v/>
      </c>
      <c r="AF37" s="370" t="str">
        <f t="shared" si="6"/>
        <v/>
      </c>
      <c r="AG37" s="386" t="str">
        <f>IFERROR(IF(O37="","",VLOOKUP(AD37,'G-3 Multipliers'!$P$3:$Q$6,2,FALSE)),"")</f>
        <v/>
      </c>
      <c r="AH37" s="376" t="str">
        <f t="shared" si="7"/>
        <v/>
      </c>
      <c r="AI37" s="188"/>
      <c r="AJ37" s="118"/>
      <c r="AK37" s="120"/>
      <c r="AT37" s="30" t="str">
        <f>IFERROR(INDEX('G-6 Hedgerow Data'!$BJ$3:$BJ$15,MATCH(M37,'G-6 Hedgerow Data'!$B$3:$B$15,0)),"")</f>
        <v/>
      </c>
    </row>
    <row r="38" spans="2:46" ht="15">
      <c r="B38" s="392" t="str">
        <f>'B-1 On-Site Hedge Baseline'!AK36</f>
        <v/>
      </c>
      <c r="C38" s="382" t="str">
        <f>IF(B38="","",IF(ISNA(VLOOKUP($B38,'B-1 On-Site Hedge Baseline'!$B$1:$L$257,3,FALSE)),"",(VLOOKUP($B38,'B-1 On-Site Hedge Baseline'!$B$1:$L$257,3,FALSE))))</f>
        <v/>
      </c>
      <c r="D38" s="382" t="str">
        <f>IF(B38="","",IF(ISNA(VLOOKUP($B38,'B-1 On-Site Hedge Baseline'!$B$1:$L$257,4,FALSE)),"",(VLOOKUP($B38,'B-1 On-Site Hedge Baseline'!$B$1:$L$257,4,FALSE))))</f>
        <v/>
      </c>
      <c r="E38" s="382" t="str">
        <f>IF(B38="","",IF(ISNA(VLOOKUP($B38,'B-1 On-Site Hedge Baseline'!$B$1:$L$257,5,FALSE)),"",(VLOOKUP($B38,'B-1 On-Site Hedge Baseline'!$B$1:$L$257,5,FALSE))))</f>
        <v/>
      </c>
      <c r="F38" s="382" t="str">
        <f>IF(B38="","",IF(ISNA(VLOOKUP($B38,'B-1 On-Site Hedge Baseline'!$B$1:$L$257,6,FALSE)),"",(VLOOKUP($B38,'B-1 On-Site Hedge Baseline'!$B$1:$L$257,6,FALSE))))</f>
        <v/>
      </c>
      <c r="G38" s="382" t="str">
        <f>IF(B38="","",IF(ISNA(VLOOKUP($B38,'B-1 On-Site Hedge Baseline'!$B$1:$L$257,7,FALSE)),"",(VLOOKUP($B38,'B-1 On-Site Hedge Baseline'!$B$1:$L$257,7,FALSE))))</f>
        <v/>
      </c>
      <c r="H38" s="382" t="str">
        <f>IF(B38="","",IF(ISNA(VLOOKUP($B38,'B-1 On-Site Hedge Baseline'!$B$1:$L$257,8,FALSE)),"",(VLOOKUP($B38,'B-1 On-Site Hedge Baseline'!$B$1:$L$257,8,FALSE))))</f>
        <v/>
      </c>
      <c r="I38" s="382" t="str">
        <f>IF(B38="","",IF(ISNA(VLOOKUP($B38,'B-1 On-Site Hedge Baseline'!$B$1:$L$257,10,FALSE)),"",(VLOOKUP($B38,'B-1 On-Site Hedge Baseline'!$B$1:$L$257,10,FALSE))))</f>
        <v/>
      </c>
      <c r="J38" s="382" t="str">
        <f>IF(B38="","",IF(ISNA(VLOOKUP($B38,'B-1 On-Site Hedge Baseline'!$B$1:$L$257,11,FALSE)),"",(VLOOKUP($B38,'B-1 On-Site Hedge Baseline'!$B$1:$L$257,11,FALSE))))</f>
        <v/>
      </c>
      <c r="K38" s="382" t="str">
        <f>IF(B38="","",IF(ISNA(VLOOKUP($B38,'B-1 On-Site Hedge Baseline'!$B$1:$U$257,13,FALSE)),"",(VLOOKUP($B38,'B-1 On-Site Hedge Baseline'!$B$1:$U$257,13,FALSE))))</f>
        <v/>
      </c>
      <c r="L38" s="386" t="str">
        <f>IF(B38="","",IF(ISNA(VLOOKUP($B38,'B-1 On-Site Hedge Baseline'!$B$1:$U$257,12,FALSE)),"",(VLOOKUP($B38,'B-1 On-Site Hedge Baseline'!$B$1:$U$257,12,FALSE))))</f>
        <v/>
      </c>
      <c r="M38" s="315" t="str">
        <f t="shared" si="0"/>
        <v/>
      </c>
      <c r="N38" s="362" t="str">
        <f>IFERROR(IF(B38="","",INDEX('G-6 Hedgerow Data'!$AN$3:$AZ$15,MATCH(C38,'G-6 Hedgerow Data'!$AM$3:$AM$15,0),MATCH(M38,'G-6 Hedgerow Data'!$AN$2:$AZ$2,0))),"")</f>
        <v/>
      </c>
      <c r="O38" s="363" t="str">
        <f t="shared" si="2"/>
        <v/>
      </c>
      <c r="P38" s="417" t="str">
        <f>IF(B38="","",VLOOKUP(B38,'B-1 On-Site Hedge Baseline'!$B$10:T283,16,FALSE))</f>
        <v/>
      </c>
      <c r="Q38" s="362" t="str">
        <f>IF(M38="","",VLOOKUP(M38,'G-6 Hedgerow Data'!$B$2:$AG$15,2,FALSE))</f>
        <v/>
      </c>
      <c r="R38" s="363" t="str">
        <f>IF(M38="","",VLOOKUP(M38,'G-6 Hedgerow Data'!$B$2:$AG$15,3,FALSE))</f>
        <v/>
      </c>
      <c r="S38" s="125"/>
      <c r="T38" s="401" t="str">
        <f>IFERROR(VLOOKUP(S38,'G-1 All Habitats'!$Z$2:$AA$9,2,FALSE),"")</f>
        <v/>
      </c>
      <c r="U38" s="122"/>
      <c r="V38" s="382" t="str">
        <f>IF(U38="","",IF(VLOOKUP(U38,'G-3 Multipliers'!$L$3:$N$6,2,FALSE)=0,"Spatial Data Missing ⚠",VLOOKUP(U38,'G-3 Multipliers'!$L$3:$N$6,2,FALSE)))</f>
        <v/>
      </c>
      <c r="W38" s="386" t="str">
        <f>IF(U38="","",IF(VLOOKUP(U38,'G-3 Multipliers'!$L$3:$N$6,3,FALSE)=0,"Spatial Data Missing ⚠",VLOOKUP(U38,'G-3 Multipliers'!$L$3:$N$6,3,FALSE)))</f>
        <v/>
      </c>
      <c r="X38" s="362" t="str">
        <f>IFERROR(IF(OR(LEFT(O38,5)="Error",LEFT(N38,5)="Error",T38="Error"),"Check Data ⚠",IF(F38&lt;R38,INDEX('G-6 Hedgerow Data'!$S$3:$AE$14,MATCH(C38,'G-6 Hedgerow Data'!$B$3:$B$14,0),MATCH(M38,'G-6 Hedgerow Data'!$S$2:$AE$2,0)),INDEX('G-6 Hedgerow Data'!$K$3:$Q$14,MATCH(M38,'G-6 Hedgerow Data'!$B$3:$B$14,0),MATCH(O38,'G-6 Hedgerow Data'!$K$2:$Q$2,0)))),"")</f>
        <v/>
      </c>
      <c r="Y38" s="159"/>
      <c r="Z38" s="159"/>
      <c r="AA38" s="370" t="str">
        <f t="shared" si="3"/>
        <v/>
      </c>
      <c r="AB38" s="383" t="str">
        <f t="shared" si="4"/>
        <v/>
      </c>
      <c r="AC38" s="384" t="str">
        <f t="shared" si="1"/>
        <v/>
      </c>
      <c r="AD38" s="398" t="str">
        <f>IF(M38="","",VLOOKUP(M38,'G-6 Hedgerow Data'!$B$3:$AG$15,31,FALSE))</f>
        <v/>
      </c>
      <c r="AE38" s="370" t="str">
        <f t="shared" si="5"/>
        <v/>
      </c>
      <c r="AF38" s="370" t="str">
        <f t="shared" si="6"/>
        <v/>
      </c>
      <c r="AG38" s="386" t="str">
        <f>IFERROR(IF(O38="","",VLOOKUP(AD38,'G-3 Multipliers'!$P$3:$Q$6,2,FALSE)),"")</f>
        <v/>
      </c>
      <c r="AH38" s="376" t="str">
        <f t="shared" si="7"/>
        <v/>
      </c>
      <c r="AI38" s="188"/>
      <c r="AJ38" s="118"/>
      <c r="AK38" s="120"/>
      <c r="AT38" s="30" t="str">
        <f>IFERROR(INDEX('G-6 Hedgerow Data'!$BJ$3:$BJ$15,MATCH(M38,'G-6 Hedgerow Data'!$B$3:$B$15,0)),"")</f>
        <v/>
      </c>
    </row>
    <row r="39" spans="2:46" ht="15">
      <c r="B39" s="392" t="str">
        <f>'B-1 On-Site Hedge Baseline'!AK37</f>
        <v/>
      </c>
      <c r="C39" s="382" t="str">
        <f>IF(B39="","",IF(ISNA(VLOOKUP($B39,'B-1 On-Site Hedge Baseline'!$B$1:$L$257,3,FALSE)),"",(VLOOKUP($B39,'B-1 On-Site Hedge Baseline'!$B$1:$L$257,3,FALSE))))</f>
        <v/>
      </c>
      <c r="D39" s="382" t="str">
        <f>IF(B39="","",IF(ISNA(VLOOKUP($B39,'B-1 On-Site Hedge Baseline'!$B$1:$L$257,4,FALSE)),"",(VLOOKUP($B39,'B-1 On-Site Hedge Baseline'!$B$1:$L$257,4,FALSE))))</f>
        <v/>
      </c>
      <c r="E39" s="382" t="str">
        <f>IF(B39="","",IF(ISNA(VLOOKUP($B39,'B-1 On-Site Hedge Baseline'!$B$1:$L$257,5,FALSE)),"",(VLOOKUP($B39,'B-1 On-Site Hedge Baseline'!$B$1:$L$257,5,FALSE))))</f>
        <v/>
      </c>
      <c r="F39" s="382" t="str">
        <f>IF(B39="","",IF(ISNA(VLOOKUP($B39,'B-1 On-Site Hedge Baseline'!$B$1:$L$257,6,FALSE)),"",(VLOOKUP($B39,'B-1 On-Site Hedge Baseline'!$B$1:$L$257,6,FALSE))))</f>
        <v/>
      </c>
      <c r="G39" s="382" t="str">
        <f>IF(B39="","",IF(ISNA(VLOOKUP($B39,'B-1 On-Site Hedge Baseline'!$B$1:$L$257,7,FALSE)),"",(VLOOKUP($B39,'B-1 On-Site Hedge Baseline'!$B$1:$L$257,7,FALSE))))</f>
        <v/>
      </c>
      <c r="H39" s="382" t="str">
        <f>IF(B39="","",IF(ISNA(VLOOKUP($B39,'B-1 On-Site Hedge Baseline'!$B$1:$L$257,8,FALSE)),"",(VLOOKUP($B39,'B-1 On-Site Hedge Baseline'!$B$1:$L$257,8,FALSE))))</f>
        <v/>
      </c>
      <c r="I39" s="382" t="str">
        <f>IF(B39="","",IF(ISNA(VLOOKUP($B39,'B-1 On-Site Hedge Baseline'!$B$1:$L$257,10,FALSE)),"",(VLOOKUP($B39,'B-1 On-Site Hedge Baseline'!$B$1:$L$257,10,FALSE))))</f>
        <v/>
      </c>
      <c r="J39" s="382" t="str">
        <f>IF(B39="","",IF(ISNA(VLOOKUP($B39,'B-1 On-Site Hedge Baseline'!$B$1:$L$257,11,FALSE)),"",(VLOOKUP($B39,'B-1 On-Site Hedge Baseline'!$B$1:$L$257,11,FALSE))))</f>
        <v/>
      </c>
      <c r="K39" s="382" t="str">
        <f>IF(B39="","",IF(ISNA(VLOOKUP($B39,'B-1 On-Site Hedge Baseline'!$B$1:$U$257,13,FALSE)),"",(VLOOKUP($B39,'B-1 On-Site Hedge Baseline'!$B$1:$U$257,13,FALSE))))</f>
        <v/>
      </c>
      <c r="L39" s="386" t="str">
        <f>IF(B39="","",IF(ISNA(VLOOKUP($B39,'B-1 On-Site Hedge Baseline'!$B$1:$U$257,12,FALSE)),"",(VLOOKUP($B39,'B-1 On-Site Hedge Baseline'!$B$1:$U$257,12,FALSE))))</f>
        <v/>
      </c>
      <c r="M39" s="315" t="str">
        <f t="shared" si="0"/>
        <v/>
      </c>
      <c r="N39" s="362" t="str">
        <f>IFERROR(IF(B39="","",INDEX('G-6 Hedgerow Data'!$AN$3:$AZ$15,MATCH(C39,'G-6 Hedgerow Data'!$AM$3:$AM$15,0),MATCH(M39,'G-6 Hedgerow Data'!$AN$2:$AZ$2,0))),"")</f>
        <v/>
      </c>
      <c r="O39" s="363" t="str">
        <f t="shared" si="2"/>
        <v/>
      </c>
      <c r="P39" s="417" t="str">
        <f>IF(B39="","",VLOOKUP(B39,'B-1 On-Site Hedge Baseline'!$B$10:T284,16,FALSE))</f>
        <v/>
      </c>
      <c r="Q39" s="362" t="str">
        <f>IF(M39="","",VLOOKUP(M39,'G-6 Hedgerow Data'!$B$2:$AG$15,2,FALSE))</f>
        <v/>
      </c>
      <c r="R39" s="363" t="str">
        <f>IF(M39="","",VLOOKUP(M39,'G-6 Hedgerow Data'!$B$2:$AG$15,3,FALSE))</f>
        <v/>
      </c>
      <c r="S39" s="125"/>
      <c r="T39" s="401" t="str">
        <f>IFERROR(VLOOKUP(S39,'G-1 All Habitats'!$Z$2:$AA$9,2,FALSE),"")</f>
        <v/>
      </c>
      <c r="U39" s="122"/>
      <c r="V39" s="382" t="str">
        <f>IF(U39="","",IF(VLOOKUP(U39,'G-3 Multipliers'!$L$3:$N$6,2,FALSE)=0,"Spatial Data Missing ⚠",VLOOKUP(U39,'G-3 Multipliers'!$L$3:$N$6,2,FALSE)))</f>
        <v/>
      </c>
      <c r="W39" s="386" t="str">
        <f>IF(U39="","",IF(VLOOKUP(U39,'G-3 Multipliers'!$L$3:$N$6,3,FALSE)=0,"Spatial Data Missing ⚠",VLOOKUP(U39,'G-3 Multipliers'!$L$3:$N$6,3,FALSE)))</f>
        <v/>
      </c>
      <c r="X39" s="362" t="str">
        <f>IFERROR(IF(OR(LEFT(O39,5)="Error",LEFT(N39,5)="Error",T39="Error"),"Check Data ⚠",IF(F39&lt;R39,INDEX('G-6 Hedgerow Data'!$S$3:$AE$14,MATCH(C39,'G-6 Hedgerow Data'!$B$3:$B$14,0),MATCH(M39,'G-6 Hedgerow Data'!$S$2:$AE$2,0)),INDEX('G-6 Hedgerow Data'!$K$3:$Q$14,MATCH(M39,'G-6 Hedgerow Data'!$B$3:$B$14,0),MATCH(O39,'G-6 Hedgerow Data'!$K$2:$Q$2,0)))),"")</f>
        <v/>
      </c>
      <c r="Y39" s="159"/>
      <c r="Z39" s="159"/>
      <c r="AA39" s="370" t="str">
        <f t="shared" si="3"/>
        <v/>
      </c>
      <c r="AB39" s="383" t="str">
        <f t="shared" si="4"/>
        <v/>
      </c>
      <c r="AC39" s="384" t="str">
        <f t="shared" si="1"/>
        <v/>
      </c>
      <c r="AD39" s="398" t="str">
        <f>IF(M39="","",VLOOKUP(M39,'G-6 Hedgerow Data'!$B$3:$AG$15,31,FALSE))</f>
        <v/>
      </c>
      <c r="AE39" s="370" t="str">
        <f t="shared" si="5"/>
        <v/>
      </c>
      <c r="AF39" s="370" t="str">
        <f t="shared" si="6"/>
        <v/>
      </c>
      <c r="AG39" s="386" t="str">
        <f>IFERROR(IF(O39="","",VLOOKUP(AD39,'G-3 Multipliers'!$P$3:$Q$6,2,FALSE)),"")</f>
        <v/>
      </c>
      <c r="AH39" s="376" t="str">
        <f t="shared" si="7"/>
        <v/>
      </c>
      <c r="AI39" s="188"/>
      <c r="AJ39" s="118"/>
      <c r="AK39" s="120"/>
      <c r="AT39" s="30" t="str">
        <f>IFERROR(INDEX('G-6 Hedgerow Data'!$BJ$3:$BJ$15,MATCH(M39,'G-6 Hedgerow Data'!$B$3:$B$15,0)),"")</f>
        <v/>
      </c>
    </row>
    <row r="40" spans="2:46" ht="15">
      <c r="B40" s="392" t="str">
        <f>'B-1 On-Site Hedge Baseline'!AK38</f>
        <v/>
      </c>
      <c r="C40" s="382" t="str">
        <f>IF(B40="","",IF(ISNA(VLOOKUP($B40,'B-1 On-Site Hedge Baseline'!$B$1:$L$257,3,FALSE)),"",(VLOOKUP($B40,'B-1 On-Site Hedge Baseline'!$B$1:$L$257,3,FALSE))))</f>
        <v/>
      </c>
      <c r="D40" s="382" t="str">
        <f>IF(B40="","",IF(ISNA(VLOOKUP($B40,'B-1 On-Site Hedge Baseline'!$B$1:$L$257,4,FALSE)),"",(VLOOKUP($B40,'B-1 On-Site Hedge Baseline'!$B$1:$L$257,4,FALSE))))</f>
        <v/>
      </c>
      <c r="E40" s="382" t="str">
        <f>IF(B40="","",IF(ISNA(VLOOKUP($B40,'B-1 On-Site Hedge Baseline'!$B$1:$L$257,5,FALSE)),"",(VLOOKUP($B40,'B-1 On-Site Hedge Baseline'!$B$1:$L$257,5,FALSE))))</f>
        <v/>
      </c>
      <c r="F40" s="382" t="str">
        <f>IF(B40="","",IF(ISNA(VLOOKUP($B40,'B-1 On-Site Hedge Baseline'!$B$1:$L$257,6,FALSE)),"",(VLOOKUP($B40,'B-1 On-Site Hedge Baseline'!$B$1:$L$257,6,FALSE))))</f>
        <v/>
      </c>
      <c r="G40" s="382" t="str">
        <f>IF(B40="","",IF(ISNA(VLOOKUP($B40,'B-1 On-Site Hedge Baseline'!$B$1:$L$257,7,FALSE)),"",(VLOOKUP($B40,'B-1 On-Site Hedge Baseline'!$B$1:$L$257,7,FALSE))))</f>
        <v/>
      </c>
      <c r="H40" s="382" t="str">
        <f>IF(B40="","",IF(ISNA(VLOOKUP($B40,'B-1 On-Site Hedge Baseline'!$B$1:$L$257,8,FALSE)),"",(VLOOKUP($B40,'B-1 On-Site Hedge Baseline'!$B$1:$L$257,8,FALSE))))</f>
        <v/>
      </c>
      <c r="I40" s="382" t="str">
        <f>IF(B40="","",IF(ISNA(VLOOKUP($B40,'B-1 On-Site Hedge Baseline'!$B$1:$L$257,10,FALSE)),"",(VLOOKUP($B40,'B-1 On-Site Hedge Baseline'!$B$1:$L$257,10,FALSE))))</f>
        <v/>
      </c>
      <c r="J40" s="382" t="str">
        <f>IF(B40="","",IF(ISNA(VLOOKUP($B40,'B-1 On-Site Hedge Baseline'!$B$1:$L$257,11,FALSE)),"",(VLOOKUP($B40,'B-1 On-Site Hedge Baseline'!$B$1:$L$257,11,FALSE))))</f>
        <v/>
      </c>
      <c r="K40" s="382" t="str">
        <f>IF(B40="","",IF(ISNA(VLOOKUP($B40,'B-1 On-Site Hedge Baseline'!$B$1:$U$257,13,FALSE)),"",(VLOOKUP($B40,'B-1 On-Site Hedge Baseline'!$B$1:$U$257,13,FALSE))))</f>
        <v/>
      </c>
      <c r="L40" s="386" t="str">
        <f>IF(B40="","",IF(ISNA(VLOOKUP($B40,'B-1 On-Site Hedge Baseline'!$B$1:$U$257,12,FALSE)),"",(VLOOKUP($B40,'B-1 On-Site Hedge Baseline'!$B$1:$U$257,12,FALSE))))</f>
        <v/>
      </c>
      <c r="M40" s="315" t="str">
        <f t="shared" si="0"/>
        <v/>
      </c>
      <c r="N40" s="362" t="str">
        <f>IFERROR(IF(B40="","",INDEX('G-6 Hedgerow Data'!$AN$3:$AZ$15,MATCH(C40,'G-6 Hedgerow Data'!$AM$3:$AM$15,0),MATCH(M40,'G-6 Hedgerow Data'!$AN$2:$AZ$2,0))),"")</f>
        <v/>
      </c>
      <c r="O40" s="363" t="str">
        <f t="shared" si="2"/>
        <v/>
      </c>
      <c r="P40" s="417" t="str">
        <f>IF(B40="","",VLOOKUP(B40,'B-1 On-Site Hedge Baseline'!$B$10:T285,16,FALSE))</f>
        <v/>
      </c>
      <c r="Q40" s="362" t="str">
        <f>IF(M40="","",VLOOKUP(M40,'G-6 Hedgerow Data'!$B$2:$AG$15,2,FALSE))</f>
        <v/>
      </c>
      <c r="R40" s="363" t="str">
        <f>IF(M40="","",VLOOKUP(M40,'G-6 Hedgerow Data'!$B$2:$AG$15,3,FALSE))</f>
        <v/>
      </c>
      <c r="S40" s="125"/>
      <c r="T40" s="401" t="str">
        <f>IFERROR(VLOOKUP(S40,'G-1 All Habitats'!$Z$2:$AA$9,2,FALSE),"")</f>
        <v/>
      </c>
      <c r="U40" s="122"/>
      <c r="V40" s="382" t="str">
        <f>IF(U40="","",IF(VLOOKUP(U40,'G-3 Multipliers'!$L$3:$N$6,2,FALSE)=0,"Spatial Data Missing ⚠",VLOOKUP(U40,'G-3 Multipliers'!$L$3:$N$6,2,FALSE)))</f>
        <v/>
      </c>
      <c r="W40" s="386" t="str">
        <f>IF(U40="","",IF(VLOOKUP(U40,'G-3 Multipliers'!$L$3:$N$6,3,FALSE)=0,"Spatial Data Missing ⚠",VLOOKUP(U40,'G-3 Multipliers'!$L$3:$N$6,3,FALSE)))</f>
        <v/>
      </c>
      <c r="X40" s="362" t="str">
        <f>IFERROR(IF(OR(LEFT(O40,5)="Error",LEFT(N40,5)="Error",T40="Error"),"Check Data ⚠",IF(F40&lt;R40,INDEX('G-6 Hedgerow Data'!$S$3:$AE$14,MATCH(C40,'G-6 Hedgerow Data'!$B$3:$B$14,0),MATCH(M40,'G-6 Hedgerow Data'!$S$2:$AE$2,0)),INDEX('G-6 Hedgerow Data'!$K$3:$Q$14,MATCH(M40,'G-6 Hedgerow Data'!$B$3:$B$14,0),MATCH(O40,'G-6 Hedgerow Data'!$K$2:$Q$2,0)))),"")</f>
        <v/>
      </c>
      <c r="Y40" s="159"/>
      <c r="Z40" s="159"/>
      <c r="AA40" s="370" t="str">
        <f t="shared" si="3"/>
        <v/>
      </c>
      <c r="AB40" s="383" t="str">
        <f t="shared" si="4"/>
        <v/>
      </c>
      <c r="AC40" s="384" t="str">
        <f t="shared" si="1"/>
        <v/>
      </c>
      <c r="AD40" s="398" t="str">
        <f>IF(M40="","",VLOOKUP(M40,'G-6 Hedgerow Data'!$B$3:$AG$15,31,FALSE))</f>
        <v/>
      </c>
      <c r="AE40" s="370" t="str">
        <f t="shared" si="5"/>
        <v/>
      </c>
      <c r="AF40" s="370" t="str">
        <f t="shared" si="6"/>
        <v/>
      </c>
      <c r="AG40" s="386" t="str">
        <f>IFERROR(IF(O40="","",VLOOKUP(AD40,'G-3 Multipliers'!$P$3:$Q$6,2,FALSE)),"")</f>
        <v/>
      </c>
      <c r="AH40" s="376" t="str">
        <f t="shared" si="7"/>
        <v/>
      </c>
      <c r="AI40" s="188"/>
      <c r="AJ40" s="118"/>
      <c r="AK40" s="120"/>
      <c r="AT40" s="30" t="str">
        <f>IFERROR(INDEX('G-6 Hedgerow Data'!$BJ$3:$BJ$15,MATCH(M40,'G-6 Hedgerow Data'!$B$3:$B$15,0)),"")</f>
        <v/>
      </c>
    </row>
    <row r="41" spans="2:46" ht="15">
      <c r="B41" s="392" t="str">
        <f>'B-1 On-Site Hedge Baseline'!AK39</f>
        <v/>
      </c>
      <c r="C41" s="382" t="str">
        <f>IF(B41="","",IF(ISNA(VLOOKUP($B41,'B-1 On-Site Hedge Baseline'!$B$1:$L$257,3,FALSE)),"",(VLOOKUP($B41,'B-1 On-Site Hedge Baseline'!$B$1:$L$257,3,FALSE))))</f>
        <v/>
      </c>
      <c r="D41" s="382" t="str">
        <f>IF(B41="","",IF(ISNA(VLOOKUP($B41,'B-1 On-Site Hedge Baseline'!$B$1:$L$257,4,FALSE)),"",(VLOOKUP($B41,'B-1 On-Site Hedge Baseline'!$B$1:$L$257,4,FALSE))))</f>
        <v/>
      </c>
      <c r="E41" s="382" t="str">
        <f>IF(B41="","",IF(ISNA(VLOOKUP($B41,'B-1 On-Site Hedge Baseline'!$B$1:$L$257,5,FALSE)),"",(VLOOKUP($B41,'B-1 On-Site Hedge Baseline'!$B$1:$L$257,5,FALSE))))</f>
        <v/>
      </c>
      <c r="F41" s="382" t="str">
        <f>IF(B41="","",IF(ISNA(VLOOKUP($B41,'B-1 On-Site Hedge Baseline'!$B$1:$L$257,6,FALSE)),"",(VLOOKUP($B41,'B-1 On-Site Hedge Baseline'!$B$1:$L$257,6,FALSE))))</f>
        <v/>
      </c>
      <c r="G41" s="382" t="str">
        <f>IF(B41="","",IF(ISNA(VLOOKUP($B41,'B-1 On-Site Hedge Baseline'!$B$1:$L$257,7,FALSE)),"",(VLOOKUP($B41,'B-1 On-Site Hedge Baseline'!$B$1:$L$257,7,FALSE))))</f>
        <v/>
      </c>
      <c r="H41" s="382" t="str">
        <f>IF(B41="","",IF(ISNA(VLOOKUP($B41,'B-1 On-Site Hedge Baseline'!$B$1:$L$257,8,FALSE)),"",(VLOOKUP($B41,'B-1 On-Site Hedge Baseline'!$B$1:$L$257,8,FALSE))))</f>
        <v/>
      </c>
      <c r="I41" s="382" t="str">
        <f>IF(B41="","",IF(ISNA(VLOOKUP($B41,'B-1 On-Site Hedge Baseline'!$B$1:$L$257,10,FALSE)),"",(VLOOKUP($B41,'B-1 On-Site Hedge Baseline'!$B$1:$L$257,10,FALSE))))</f>
        <v/>
      </c>
      <c r="J41" s="382" t="str">
        <f>IF(B41="","",IF(ISNA(VLOOKUP($B41,'B-1 On-Site Hedge Baseline'!$B$1:$L$257,11,FALSE)),"",(VLOOKUP($B41,'B-1 On-Site Hedge Baseline'!$B$1:$L$257,11,FALSE))))</f>
        <v/>
      </c>
      <c r="K41" s="382" t="str">
        <f>IF(B41="","",IF(ISNA(VLOOKUP($B41,'B-1 On-Site Hedge Baseline'!$B$1:$U$257,13,FALSE)),"",(VLOOKUP($B41,'B-1 On-Site Hedge Baseline'!$B$1:$U$257,13,FALSE))))</f>
        <v/>
      </c>
      <c r="L41" s="386" t="str">
        <f>IF(B41="","",IF(ISNA(VLOOKUP($B41,'B-1 On-Site Hedge Baseline'!$B$1:$U$257,12,FALSE)),"",(VLOOKUP($B41,'B-1 On-Site Hedge Baseline'!$B$1:$U$257,12,FALSE))))</f>
        <v/>
      </c>
      <c r="M41" s="315" t="str">
        <f t="shared" si="0"/>
        <v/>
      </c>
      <c r="N41" s="362" t="str">
        <f>IFERROR(IF(B41="","",INDEX('G-6 Hedgerow Data'!$AN$3:$AZ$15,MATCH(C41,'G-6 Hedgerow Data'!$AM$3:$AM$15,0),MATCH(M41,'G-6 Hedgerow Data'!$AN$2:$AZ$2,0))),"")</f>
        <v/>
      </c>
      <c r="O41" s="363" t="str">
        <f t="shared" si="2"/>
        <v/>
      </c>
      <c r="P41" s="417" t="str">
        <f>IF(B41="","",VLOOKUP(B41,'B-1 On-Site Hedge Baseline'!$B$10:T286,16,FALSE))</f>
        <v/>
      </c>
      <c r="Q41" s="362" t="str">
        <f>IF(M41="","",VLOOKUP(M41,'G-6 Hedgerow Data'!$B$2:$AG$15,2,FALSE))</f>
        <v/>
      </c>
      <c r="R41" s="363" t="str">
        <f>IF(M41="","",VLOOKUP(M41,'G-6 Hedgerow Data'!$B$2:$AG$15,3,FALSE))</f>
        <v/>
      </c>
      <c r="S41" s="125"/>
      <c r="T41" s="401" t="str">
        <f>IFERROR(VLOOKUP(S41,'G-1 All Habitats'!$Z$2:$AA$9,2,FALSE),"")</f>
        <v/>
      </c>
      <c r="U41" s="122"/>
      <c r="V41" s="382" t="str">
        <f>IF(U41="","",IF(VLOOKUP(U41,'G-3 Multipliers'!$L$3:$N$6,2,FALSE)=0,"Spatial Data Missing ⚠",VLOOKUP(U41,'G-3 Multipliers'!$L$3:$N$6,2,FALSE)))</f>
        <v/>
      </c>
      <c r="W41" s="386" t="str">
        <f>IF(U41="","",IF(VLOOKUP(U41,'G-3 Multipliers'!$L$3:$N$6,3,FALSE)=0,"Spatial Data Missing ⚠",VLOOKUP(U41,'G-3 Multipliers'!$L$3:$N$6,3,FALSE)))</f>
        <v/>
      </c>
      <c r="X41" s="362" t="str">
        <f>IFERROR(IF(OR(LEFT(O41,5)="Error",LEFT(N41,5)="Error",T41="Error"),"Check Data ⚠",IF(F41&lt;R41,INDEX('G-6 Hedgerow Data'!$S$3:$AE$14,MATCH(C41,'G-6 Hedgerow Data'!$B$3:$B$14,0),MATCH(M41,'G-6 Hedgerow Data'!$S$2:$AE$2,0)),INDEX('G-6 Hedgerow Data'!$K$3:$Q$14,MATCH(M41,'G-6 Hedgerow Data'!$B$3:$B$14,0),MATCH(O41,'G-6 Hedgerow Data'!$K$2:$Q$2,0)))),"")</f>
        <v/>
      </c>
      <c r="Y41" s="159"/>
      <c r="Z41" s="159"/>
      <c r="AA41" s="370" t="str">
        <f t="shared" si="3"/>
        <v/>
      </c>
      <c r="AB41" s="383" t="str">
        <f t="shared" si="4"/>
        <v/>
      </c>
      <c r="AC41" s="384" t="str">
        <f t="shared" si="1"/>
        <v/>
      </c>
      <c r="AD41" s="398" t="str">
        <f>IF(M41="","",VLOOKUP(M41,'G-6 Hedgerow Data'!$B$3:$AG$15,31,FALSE))</f>
        <v/>
      </c>
      <c r="AE41" s="370" t="str">
        <f t="shared" si="5"/>
        <v/>
      </c>
      <c r="AF41" s="370" t="str">
        <f t="shared" si="6"/>
        <v/>
      </c>
      <c r="AG41" s="386" t="str">
        <f>IFERROR(IF(O41="","",VLOOKUP(AD41,'G-3 Multipliers'!$P$3:$Q$6,2,FALSE)),"")</f>
        <v/>
      </c>
      <c r="AH41" s="376" t="str">
        <f t="shared" si="7"/>
        <v/>
      </c>
      <c r="AI41" s="188"/>
      <c r="AJ41" s="118"/>
      <c r="AK41" s="120"/>
      <c r="AT41" s="30" t="str">
        <f>IFERROR(INDEX('G-6 Hedgerow Data'!$BJ$3:$BJ$15,MATCH(M41,'G-6 Hedgerow Data'!$B$3:$B$15,0)),"")</f>
        <v/>
      </c>
    </row>
    <row r="42" spans="2:46" ht="15">
      <c r="B42" s="392" t="str">
        <f>'B-1 On-Site Hedge Baseline'!AK40</f>
        <v/>
      </c>
      <c r="C42" s="382" t="str">
        <f>IF(B42="","",IF(ISNA(VLOOKUP($B42,'B-1 On-Site Hedge Baseline'!$B$1:$L$257,3,FALSE)),"",(VLOOKUP($B42,'B-1 On-Site Hedge Baseline'!$B$1:$L$257,3,FALSE))))</f>
        <v/>
      </c>
      <c r="D42" s="382" t="str">
        <f>IF(B42="","",IF(ISNA(VLOOKUP($B42,'B-1 On-Site Hedge Baseline'!$B$1:$L$257,4,FALSE)),"",(VLOOKUP($B42,'B-1 On-Site Hedge Baseline'!$B$1:$L$257,4,FALSE))))</f>
        <v/>
      </c>
      <c r="E42" s="382" t="str">
        <f>IF(B42="","",IF(ISNA(VLOOKUP($B42,'B-1 On-Site Hedge Baseline'!$B$1:$L$257,5,FALSE)),"",(VLOOKUP($B42,'B-1 On-Site Hedge Baseline'!$B$1:$L$257,5,FALSE))))</f>
        <v/>
      </c>
      <c r="F42" s="382" t="str">
        <f>IF(B42="","",IF(ISNA(VLOOKUP($B42,'B-1 On-Site Hedge Baseline'!$B$1:$L$257,6,FALSE)),"",(VLOOKUP($B42,'B-1 On-Site Hedge Baseline'!$B$1:$L$257,6,FALSE))))</f>
        <v/>
      </c>
      <c r="G42" s="382" t="str">
        <f>IF(B42="","",IF(ISNA(VLOOKUP($B42,'B-1 On-Site Hedge Baseline'!$B$1:$L$257,7,FALSE)),"",(VLOOKUP($B42,'B-1 On-Site Hedge Baseline'!$B$1:$L$257,7,FALSE))))</f>
        <v/>
      </c>
      <c r="H42" s="382" t="str">
        <f>IF(B42="","",IF(ISNA(VLOOKUP($B42,'B-1 On-Site Hedge Baseline'!$B$1:$L$257,8,FALSE)),"",(VLOOKUP($B42,'B-1 On-Site Hedge Baseline'!$B$1:$L$257,8,FALSE))))</f>
        <v/>
      </c>
      <c r="I42" s="382" t="str">
        <f>IF(B42="","",IF(ISNA(VLOOKUP($B42,'B-1 On-Site Hedge Baseline'!$B$1:$L$257,10,FALSE)),"",(VLOOKUP($B42,'B-1 On-Site Hedge Baseline'!$B$1:$L$257,10,FALSE))))</f>
        <v/>
      </c>
      <c r="J42" s="382" t="str">
        <f>IF(B42="","",IF(ISNA(VLOOKUP($B42,'B-1 On-Site Hedge Baseline'!$B$1:$L$257,11,FALSE)),"",(VLOOKUP($B42,'B-1 On-Site Hedge Baseline'!$B$1:$L$257,11,FALSE))))</f>
        <v/>
      </c>
      <c r="K42" s="382" t="str">
        <f>IF(B42="","",IF(ISNA(VLOOKUP($B42,'B-1 On-Site Hedge Baseline'!$B$1:$U$257,13,FALSE)),"",(VLOOKUP($B42,'B-1 On-Site Hedge Baseline'!$B$1:$U$257,13,FALSE))))</f>
        <v/>
      </c>
      <c r="L42" s="386" t="str">
        <f>IF(B42="","",IF(ISNA(VLOOKUP($B42,'B-1 On-Site Hedge Baseline'!$B$1:$U$257,12,FALSE)),"",(VLOOKUP($B42,'B-1 On-Site Hedge Baseline'!$B$1:$U$257,12,FALSE))))</f>
        <v/>
      </c>
      <c r="M42" s="315" t="str">
        <f t="shared" si="0"/>
        <v/>
      </c>
      <c r="N42" s="362" t="str">
        <f>IFERROR(IF(B42="","",INDEX('G-6 Hedgerow Data'!$AN$3:$AZ$15,MATCH(C42,'G-6 Hedgerow Data'!$AM$3:$AM$15,0),MATCH(M42,'G-6 Hedgerow Data'!$AN$2:$AZ$2,0))),"")</f>
        <v/>
      </c>
      <c r="O42" s="363" t="str">
        <f t="shared" si="2"/>
        <v/>
      </c>
      <c r="P42" s="417" t="str">
        <f>IF(B42="","",VLOOKUP(B42,'B-1 On-Site Hedge Baseline'!$B$10:T287,16,FALSE))</f>
        <v/>
      </c>
      <c r="Q42" s="362" t="str">
        <f>IF(M42="","",VLOOKUP(M42,'G-6 Hedgerow Data'!$B$2:$AG$15,2,FALSE))</f>
        <v/>
      </c>
      <c r="R42" s="363" t="str">
        <f>IF(M42="","",VLOOKUP(M42,'G-6 Hedgerow Data'!$B$2:$AG$15,3,FALSE))</f>
        <v/>
      </c>
      <c r="S42" s="125"/>
      <c r="T42" s="401" t="str">
        <f>IFERROR(VLOOKUP(S42,'G-1 All Habitats'!$Z$2:$AA$9,2,FALSE),"")</f>
        <v/>
      </c>
      <c r="U42" s="122"/>
      <c r="V42" s="382" t="str">
        <f>IF(U42="","",IF(VLOOKUP(U42,'G-3 Multipliers'!$L$3:$N$6,2,FALSE)=0,"Spatial Data Missing ⚠",VLOOKUP(U42,'G-3 Multipliers'!$L$3:$N$6,2,FALSE)))</f>
        <v/>
      </c>
      <c r="W42" s="386" t="str">
        <f>IF(U42="","",IF(VLOOKUP(U42,'G-3 Multipliers'!$L$3:$N$6,3,FALSE)=0,"Spatial Data Missing ⚠",VLOOKUP(U42,'G-3 Multipliers'!$L$3:$N$6,3,FALSE)))</f>
        <v/>
      </c>
      <c r="X42" s="362" t="str">
        <f>IFERROR(IF(OR(LEFT(O42,5)="Error",LEFT(N42,5)="Error",T42="Error"),"Check Data ⚠",IF(F42&lt;R42,INDEX('G-6 Hedgerow Data'!$S$3:$AE$14,MATCH(C42,'G-6 Hedgerow Data'!$B$3:$B$14,0),MATCH(M42,'G-6 Hedgerow Data'!$S$2:$AE$2,0)),INDEX('G-6 Hedgerow Data'!$K$3:$Q$14,MATCH(M42,'G-6 Hedgerow Data'!$B$3:$B$14,0),MATCH(O42,'G-6 Hedgerow Data'!$K$2:$Q$2,0)))),"")</f>
        <v/>
      </c>
      <c r="Y42" s="159"/>
      <c r="Z42" s="159"/>
      <c r="AA42" s="370" t="str">
        <f t="shared" si="3"/>
        <v/>
      </c>
      <c r="AB42" s="383" t="str">
        <f t="shared" si="4"/>
        <v/>
      </c>
      <c r="AC42" s="384" t="str">
        <f t="shared" si="1"/>
        <v/>
      </c>
      <c r="AD42" s="398" t="str">
        <f>IF(M42="","",VLOOKUP(M42,'G-6 Hedgerow Data'!$B$3:$AG$15,31,FALSE))</f>
        <v/>
      </c>
      <c r="AE42" s="370" t="str">
        <f t="shared" si="5"/>
        <v/>
      </c>
      <c r="AF42" s="370" t="str">
        <f t="shared" si="6"/>
        <v/>
      </c>
      <c r="AG42" s="386" t="str">
        <f>IFERROR(IF(O42="","",VLOOKUP(AD42,'G-3 Multipliers'!$P$3:$Q$6,2,FALSE)),"")</f>
        <v/>
      </c>
      <c r="AH42" s="376" t="str">
        <f t="shared" si="7"/>
        <v/>
      </c>
      <c r="AI42" s="188"/>
      <c r="AJ42" s="118"/>
      <c r="AK42" s="120"/>
      <c r="AT42" s="30" t="str">
        <f>IFERROR(INDEX('G-6 Hedgerow Data'!$BJ$3:$BJ$15,MATCH(M42,'G-6 Hedgerow Data'!$B$3:$B$15,0)),"")</f>
        <v/>
      </c>
    </row>
    <row r="43" spans="2:46" ht="15">
      <c r="B43" s="392" t="str">
        <f>'B-1 On-Site Hedge Baseline'!AK41</f>
        <v/>
      </c>
      <c r="C43" s="382" t="str">
        <f>IF(B43="","",IF(ISNA(VLOOKUP($B43,'B-1 On-Site Hedge Baseline'!$B$1:$L$257,3,FALSE)),"",(VLOOKUP($B43,'B-1 On-Site Hedge Baseline'!$B$1:$L$257,3,FALSE))))</f>
        <v/>
      </c>
      <c r="D43" s="382" t="str">
        <f>IF(B43="","",IF(ISNA(VLOOKUP($B43,'B-1 On-Site Hedge Baseline'!$B$1:$L$257,4,FALSE)),"",(VLOOKUP($B43,'B-1 On-Site Hedge Baseline'!$B$1:$L$257,4,FALSE))))</f>
        <v/>
      </c>
      <c r="E43" s="382" t="str">
        <f>IF(B43="","",IF(ISNA(VLOOKUP($B43,'B-1 On-Site Hedge Baseline'!$B$1:$L$257,5,FALSE)),"",(VLOOKUP($B43,'B-1 On-Site Hedge Baseline'!$B$1:$L$257,5,FALSE))))</f>
        <v/>
      </c>
      <c r="F43" s="382" t="str">
        <f>IF(B43="","",IF(ISNA(VLOOKUP($B43,'B-1 On-Site Hedge Baseline'!$B$1:$L$257,6,FALSE)),"",(VLOOKUP($B43,'B-1 On-Site Hedge Baseline'!$B$1:$L$257,6,FALSE))))</f>
        <v/>
      </c>
      <c r="G43" s="382" t="str">
        <f>IF(B43="","",IF(ISNA(VLOOKUP($B43,'B-1 On-Site Hedge Baseline'!$B$1:$L$257,7,FALSE)),"",(VLOOKUP($B43,'B-1 On-Site Hedge Baseline'!$B$1:$L$257,7,FALSE))))</f>
        <v/>
      </c>
      <c r="H43" s="382" t="str">
        <f>IF(B43="","",IF(ISNA(VLOOKUP($B43,'B-1 On-Site Hedge Baseline'!$B$1:$L$257,8,FALSE)),"",(VLOOKUP($B43,'B-1 On-Site Hedge Baseline'!$B$1:$L$257,8,FALSE))))</f>
        <v/>
      </c>
      <c r="I43" s="382" t="str">
        <f>IF(B43="","",IF(ISNA(VLOOKUP($B43,'B-1 On-Site Hedge Baseline'!$B$1:$L$257,10,FALSE)),"",(VLOOKUP($B43,'B-1 On-Site Hedge Baseline'!$B$1:$L$257,10,FALSE))))</f>
        <v/>
      </c>
      <c r="J43" s="382" t="str">
        <f>IF(B43="","",IF(ISNA(VLOOKUP($B43,'B-1 On-Site Hedge Baseline'!$B$1:$L$257,11,FALSE)),"",(VLOOKUP($B43,'B-1 On-Site Hedge Baseline'!$B$1:$L$257,11,FALSE))))</f>
        <v/>
      </c>
      <c r="K43" s="382" t="str">
        <f>IF(B43="","",IF(ISNA(VLOOKUP($B43,'B-1 On-Site Hedge Baseline'!$B$1:$U$257,13,FALSE)),"",(VLOOKUP($B43,'B-1 On-Site Hedge Baseline'!$B$1:$U$257,13,FALSE))))</f>
        <v/>
      </c>
      <c r="L43" s="386" t="str">
        <f>IF(B43="","",IF(ISNA(VLOOKUP($B43,'B-1 On-Site Hedge Baseline'!$B$1:$U$257,12,FALSE)),"",(VLOOKUP($B43,'B-1 On-Site Hedge Baseline'!$B$1:$U$257,12,FALSE))))</f>
        <v/>
      </c>
      <c r="M43" s="315" t="str">
        <f t="shared" si="0"/>
        <v/>
      </c>
      <c r="N43" s="362" t="str">
        <f>IFERROR(IF(B43="","",INDEX('G-6 Hedgerow Data'!$AN$3:$AZ$15,MATCH(C43,'G-6 Hedgerow Data'!$AM$3:$AM$15,0),MATCH(M43,'G-6 Hedgerow Data'!$AN$2:$AZ$2,0))),"")</f>
        <v/>
      </c>
      <c r="O43" s="363" t="str">
        <f t="shared" si="2"/>
        <v/>
      </c>
      <c r="P43" s="417" t="str">
        <f>IF(B43="","",VLOOKUP(B43,'B-1 On-Site Hedge Baseline'!$B$10:T288,16,FALSE))</f>
        <v/>
      </c>
      <c r="Q43" s="362" t="str">
        <f>IF(M43="","",VLOOKUP(M43,'G-6 Hedgerow Data'!$B$2:$AG$15,2,FALSE))</f>
        <v/>
      </c>
      <c r="R43" s="363" t="str">
        <f>IF(M43="","",VLOOKUP(M43,'G-6 Hedgerow Data'!$B$2:$AG$15,3,FALSE))</f>
        <v/>
      </c>
      <c r="S43" s="125"/>
      <c r="T43" s="401" t="str">
        <f>IFERROR(VLOOKUP(S43,'G-1 All Habitats'!$Z$2:$AA$9,2,FALSE),"")</f>
        <v/>
      </c>
      <c r="U43" s="122"/>
      <c r="V43" s="382" t="str">
        <f>IF(U43="","",IF(VLOOKUP(U43,'G-3 Multipliers'!$L$3:$N$6,2,FALSE)=0,"Spatial Data Missing ⚠",VLOOKUP(U43,'G-3 Multipliers'!$L$3:$N$6,2,FALSE)))</f>
        <v/>
      </c>
      <c r="W43" s="386" t="str">
        <f>IF(U43="","",IF(VLOOKUP(U43,'G-3 Multipliers'!$L$3:$N$6,3,FALSE)=0,"Spatial Data Missing ⚠",VLOOKUP(U43,'G-3 Multipliers'!$L$3:$N$6,3,FALSE)))</f>
        <v/>
      </c>
      <c r="X43" s="362" t="str">
        <f>IFERROR(IF(OR(LEFT(O43,5)="Error",LEFT(N43,5)="Error",T43="Error"),"Check Data ⚠",IF(F43&lt;R43,INDEX('G-6 Hedgerow Data'!$S$3:$AE$14,MATCH(C43,'G-6 Hedgerow Data'!$B$3:$B$14,0),MATCH(M43,'G-6 Hedgerow Data'!$S$2:$AE$2,0)),INDEX('G-6 Hedgerow Data'!$K$3:$Q$14,MATCH(M43,'G-6 Hedgerow Data'!$B$3:$B$14,0),MATCH(O43,'G-6 Hedgerow Data'!$K$2:$Q$2,0)))),"")</f>
        <v/>
      </c>
      <c r="Y43" s="159"/>
      <c r="Z43" s="159"/>
      <c r="AA43" s="370" t="str">
        <f t="shared" si="3"/>
        <v/>
      </c>
      <c r="AB43" s="383" t="str">
        <f t="shared" si="4"/>
        <v/>
      </c>
      <c r="AC43" s="384" t="str">
        <f t="shared" si="1"/>
        <v/>
      </c>
      <c r="AD43" s="398" t="str">
        <f>IF(M43="","",VLOOKUP(M43,'G-6 Hedgerow Data'!$B$3:$AG$15,31,FALSE))</f>
        <v/>
      </c>
      <c r="AE43" s="370" t="str">
        <f t="shared" si="5"/>
        <v/>
      </c>
      <c r="AF43" s="370" t="str">
        <f t="shared" si="6"/>
        <v/>
      </c>
      <c r="AG43" s="386" t="str">
        <f>IFERROR(IF(O43="","",VLOOKUP(AD43,'G-3 Multipliers'!$P$3:$Q$6,2,FALSE)),"")</f>
        <v/>
      </c>
      <c r="AH43" s="376" t="str">
        <f t="shared" si="7"/>
        <v/>
      </c>
      <c r="AI43" s="188"/>
      <c r="AJ43" s="118"/>
      <c r="AK43" s="120"/>
      <c r="AT43" s="30" t="str">
        <f>IFERROR(INDEX('G-6 Hedgerow Data'!$BJ$3:$BJ$15,MATCH(M43,'G-6 Hedgerow Data'!$B$3:$B$15,0)),"")</f>
        <v/>
      </c>
    </row>
    <row r="44" spans="2:46" ht="15">
      <c r="B44" s="392" t="str">
        <f>'B-1 On-Site Hedge Baseline'!AK42</f>
        <v/>
      </c>
      <c r="C44" s="382" t="str">
        <f>IF(B44="","",IF(ISNA(VLOOKUP($B44,'B-1 On-Site Hedge Baseline'!$B$1:$L$257,3,FALSE)),"",(VLOOKUP($B44,'B-1 On-Site Hedge Baseline'!$B$1:$L$257,3,FALSE))))</f>
        <v/>
      </c>
      <c r="D44" s="382" t="str">
        <f>IF(B44="","",IF(ISNA(VLOOKUP($B44,'B-1 On-Site Hedge Baseline'!$B$1:$L$257,4,FALSE)),"",(VLOOKUP($B44,'B-1 On-Site Hedge Baseline'!$B$1:$L$257,4,FALSE))))</f>
        <v/>
      </c>
      <c r="E44" s="382" t="str">
        <f>IF(B44="","",IF(ISNA(VLOOKUP($B44,'B-1 On-Site Hedge Baseline'!$B$1:$L$257,5,FALSE)),"",(VLOOKUP($B44,'B-1 On-Site Hedge Baseline'!$B$1:$L$257,5,FALSE))))</f>
        <v/>
      </c>
      <c r="F44" s="382" t="str">
        <f>IF(B44="","",IF(ISNA(VLOOKUP($B44,'B-1 On-Site Hedge Baseline'!$B$1:$L$257,6,FALSE)),"",(VLOOKUP($B44,'B-1 On-Site Hedge Baseline'!$B$1:$L$257,6,FALSE))))</f>
        <v/>
      </c>
      <c r="G44" s="382" t="str">
        <f>IF(B44="","",IF(ISNA(VLOOKUP($B44,'B-1 On-Site Hedge Baseline'!$B$1:$L$257,7,FALSE)),"",(VLOOKUP($B44,'B-1 On-Site Hedge Baseline'!$B$1:$L$257,7,FALSE))))</f>
        <v/>
      </c>
      <c r="H44" s="382" t="str">
        <f>IF(B44="","",IF(ISNA(VLOOKUP($B44,'B-1 On-Site Hedge Baseline'!$B$1:$L$257,8,FALSE)),"",(VLOOKUP($B44,'B-1 On-Site Hedge Baseline'!$B$1:$L$257,8,FALSE))))</f>
        <v/>
      </c>
      <c r="I44" s="382" t="str">
        <f>IF(B44="","",IF(ISNA(VLOOKUP($B44,'B-1 On-Site Hedge Baseline'!$B$1:$L$257,10,FALSE)),"",(VLOOKUP($B44,'B-1 On-Site Hedge Baseline'!$B$1:$L$257,10,FALSE))))</f>
        <v/>
      </c>
      <c r="J44" s="382" t="str">
        <f>IF(B44="","",IF(ISNA(VLOOKUP($B44,'B-1 On-Site Hedge Baseline'!$B$1:$L$257,11,FALSE)),"",(VLOOKUP($B44,'B-1 On-Site Hedge Baseline'!$B$1:$L$257,11,FALSE))))</f>
        <v/>
      </c>
      <c r="K44" s="382" t="str">
        <f>IF(B44="","",IF(ISNA(VLOOKUP($B44,'B-1 On-Site Hedge Baseline'!$B$1:$U$257,13,FALSE)),"",(VLOOKUP($B44,'B-1 On-Site Hedge Baseline'!$B$1:$U$257,13,FALSE))))</f>
        <v/>
      </c>
      <c r="L44" s="386" t="str">
        <f>IF(B44="","",IF(ISNA(VLOOKUP($B44,'B-1 On-Site Hedge Baseline'!$B$1:$U$257,12,FALSE)),"",(VLOOKUP($B44,'B-1 On-Site Hedge Baseline'!$B$1:$U$257,12,FALSE))))</f>
        <v/>
      </c>
      <c r="M44" s="315" t="str">
        <f t="shared" si="0"/>
        <v/>
      </c>
      <c r="N44" s="362" t="str">
        <f>IFERROR(IF(B44="","",INDEX('G-6 Hedgerow Data'!$AN$3:$AZ$15,MATCH(C44,'G-6 Hedgerow Data'!$AM$3:$AM$15,0),MATCH(M44,'G-6 Hedgerow Data'!$AN$2:$AZ$2,0))),"")</f>
        <v/>
      </c>
      <c r="O44" s="363" t="str">
        <f t="shared" si="2"/>
        <v/>
      </c>
      <c r="P44" s="417" t="str">
        <f>IF(B44="","",VLOOKUP(B44,'B-1 On-Site Hedge Baseline'!$B$10:T289,16,FALSE))</f>
        <v/>
      </c>
      <c r="Q44" s="362" t="str">
        <f>IF(M44="","",VLOOKUP(M44,'G-6 Hedgerow Data'!$B$2:$AG$15,2,FALSE))</f>
        <v/>
      </c>
      <c r="R44" s="363" t="str">
        <f>IF(M44="","",VLOOKUP(M44,'G-6 Hedgerow Data'!$B$2:$AG$15,3,FALSE))</f>
        <v/>
      </c>
      <c r="S44" s="125"/>
      <c r="T44" s="401" t="str">
        <f>IFERROR(VLOOKUP(S44,'G-1 All Habitats'!$Z$2:$AA$9,2,FALSE),"")</f>
        <v/>
      </c>
      <c r="U44" s="122"/>
      <c r="V44" s="382" t="str">
        <f>IF(U44="","",IF(VLOOKUP(U44,'G-3 Multipliers'!$L$3:$N$6,2,FALSE)=0,"Spatial Data Missing ⚠",VLOOKUP(U44,'G-3 Multipliers'!$L$3:$N$6,2,FALSE)))</f>
        <v/>
      </c>
      <c r="W44" s="386" t="str">
        <f>IF(U44="","",IF(VLOOKUP(U44,'G-3 Multipliers'!$L$3:$N$6,3,FALSE)=0,"Spatial Data Missing ⚠",VLOOKUP(U44,'G-3 Multipliers'!$L$3:$N$6,3,FALSE)))</f>
        <v/>
      </c>
      <c r="X44" s="362" t="str">
        <f>IFERROR(IF(OR(LEFT(O44,5)="Error",LEFT(N44,5)="Error",T44="Error"),"Check Data ⚠",IF(F44&lt;R44,INDEX('G-6 Hedgerow Data'!$S$3:$AE$14,MATCH(C44,'G-6 Hedgerow Data'!$B$3:$B$14,0),MATCH(M44,'G-6 Hedgerow Data'!$S$2:$AE$2,0)),INDEX('G-6 Hedgerow Data'!$K$3:$Q$14,MATCH(M44,'G-6 Hedgerow Data'!$B$3:$B$14,0),MATCH(O44,'G-6 Hedgerow Data'!$K$2:$Q$2,0)))),"")</f>
        <v/>
      </c>
      <c r="Y44" s="159"/>
      <c r="Z44" s="159"/>
      <c r="AA44" s="370" t="str">
        <f t="shared" si="3"/>
        <v/>
      </c>
      <c r="AB44" s="383" t="str">
        <f t="shared" si="4"/>
        <v/>
      </c>
      <c r="AC44" s="384" t="str">
        <f t="shared" si="1"/>
        <v/>
      </c>
      <c r="AD44" s="398" t="str">
        <f>IF(M44="","",VLOOKUP(M44,'G-6 Hedgerow Data'!$B$3:$AG$15,31,FALSE))</f>
        <v/>
      </c>
      <c r="AE44" s="370" t="str">
        <f t="shared" si="5"/>
        <v/>
      </c>
      <c r="AF44" s="370" t="str">
        <f t="shared" si="6"/>
        <v/>
      </c>
      <c r="AG44" s="386" t="str">
        <f>IFERROR(IF(O44="","",VLOOKUP(AD44,'G-3 Multipliers'!$P$3:$Q$6,2,FALSE)),"")</f>
        <v/>
      </c>
      <c r="AH44" s="376" t="str">
        <f t="shared" si="7"/>
        <v/>
      </c>
      <c r="AI44" s="188"/>
      <c r="AJ44" s="118"/>
      <c r="AK44" s="120"/>
      <c r="AT44" s="30" t="str">
        <f>IFERROR(INDEX('G-6 Hedgerow Data'!$BJ$3:$BJ$15,MATCH(M44,'G-6 Hedgerow Data'!$B$3:$B$15,0)),"")</f>
        <v/>
      </c>
    </row>
    <row r="45" spans="2:46" ht="15">
      <c r="B45" s="392" t="str">
        <f>'B-1 On-Site Hedge Baseline'!AK43</f>
        <v/>
      </c>
      <c r="C45" s="382" t="str">
        <f>IF(B45="","",IF(ISNA(VLOOKUP($B45,'B-1 On-Site Hedge Baseline'!$B$1:$L$257,3,FALSE)),"",(VLOOKUP($B45,'B-1 On-Site Hedge Baseline'!$B$1:$L$257,3,FALSE))))</f>
        <v/>
      </c>
      <c r="D45" s="382" t="str">
        <f>IF(B45="","",IF(ISNA(VLOOKUP($B45,'B-1 On-Site Hedge Baseline'!$B$1:$L$257,4,FALSE)),"",(VLOOKUP($B45,'B-1 On-Site Hedge Baseline'!$B$1:$L$257,4,FALSE))))</f>
        <v/>
      </c>
      <c r="E45" s="382" t="str">
        <f>IF(B45="","",IF(ISNA(VLOOKUP($B45,'B-1 On-Site Hedge Baseline'!$B$1:$L$257,5,FALSE)),"",(VLOOKUP($B45,'B-1 On-Site Hedge Baseline'!$B$1:$L$257,5,FALSE))))</f>
        <v/>
      </c>
      <c r="F45" s="382" t="str">
        <f>IF(B45="","",IF(ISNA(VLOOKUP($B45,'B-1 On-Site Hedge Baseline'!$B$1:$L$257,6,FALSE)),"",(VLOOKUP($B45,'B-1 On-Site Hedge Baseline'!$B$1:$L$257,6,FALSE))))</f>
        <v/>
      </c>
      <c r="G45" s="382" t="str">
        <f>IF(B45="","",IF(ISNA(VLOOKUP($B45,'B-1 On-Site Hedge Baseline'!$B$1:$L$257,7,FALSE)),"",(VLOOKUP($B45,'B-1 On-Site Hedge Baseline'!$B$1:$L$257,7,FALSE))))</f>
        <v/>
      </c>
      <c r="H45" s="382" t="str">
        <f>IF(B45="","",IF(ISNA(VLOOKUP($B45,'B-1 On-Site Hedge Baseline'!$B$1:$L$257,8,FALSE)),"",(VLOOKUP($B45,'B-1 On-Site Hedge Baseline'!$B$1:$L$257,8,FALSE))))</f>
        <v/>
      </c>
      <c r="I45" s="382" t="str">
        <f>IF(B45="","",IF(ISNA(VLOOKUP($B45,'B-1 On-Site Hedge Baseline'!$B$1:$L$257,10,FALSE)),"",(VLOOKUP($B45,'B-1 On-Site Hedge Baseline'!$B$1:$L$257,10,FALSE))))</f>
        <v/>
      </c>
      <c r="J45" s="382" t="str">
        <f>IF(B45="","",IF(ISNA(VLOOKUP($B45,'B-1 On-Site Hedge Baseline'!$B$1:$L$257,11,FALSE)),"",(VLOOKUP($B45,'B-1 On-Site Hedge Baseline'!$B$1:$L$257,11,FALSE))))</f>
        <v/>
      </c>
      <c r="K45" s="382" t="str">
        <f>IF(B45="","",IF(ISNA(VLOOKUP($B45,'B-1 On-Site Hedge Baseline'!$B$1:$U$257,13,FALSE)),"",(VLOOKUP($B45,'B-1 On-Site Hedge Baseline'!$B$1:$U$257,13,FALSE))))</f>
        <v/>
      </c>
      <c r="L45" s="386" t="str">
        <f>IF(B45="","",IF(ISNA(VLOOKUP($B45,'B-1 On-Site Hedge Baseline'!$B$1:$U$257,12,FALSE)),"",(VLOOKUP($B45,'B-1 On-Site Hedge Baseline'!$B$1:$U$257,12,FALSE))))</f>
        <v/>
      </c>
      <c r="M45" s="315" t="str">
        <f t="shared" si="0"/>
        <v/>
      </c>
      <c r="N45" s="362" t="str">
        <f>IFERROR(IF(B45="","",INDEX('G-6 Hedgerow Data'!$AN$3:$AZ$15,MATCH(C45,'G-6 Hedgerow Data'!$AM$3:$AM$15,0),MATCH(M45,'G-6 Hedgerow Data'!$AN$2:$AZ$2,0))),"")</f>
        <v/>
      </c>
      <c r="O45" s="363" t="str">
        <f t="shared" si="2"/>
        <v/>
      </c>
      <c r="P45" s="417" t="str">
        <f>IF(B45="","",VLOOKUP(B45,'B-1 On-Site Hedge Baseline'!$B$10:T290,16,FALSE))</f>
        <v/>
      </c>
      <c r="Q45" s="362" t="str">
        <f>IF(M45="","",VLOOKUP(M45,'G-6 Hedgerow Data'!$B$2:$AG$15,2,FALSE))</f>
        <v/>
      </c>
      <c r="R45" s="363" t="str">
        <f>IF(M45="","",VLOOKUP(M45,'G-6 Hedgerow Data'!$B$2:$AG$15,3,FALSE))</f>
        <v/>
      </c>
      <c r="S45" s="125"/>
      <c r="T45" s="401" t="str">
        <f>IFERROR(VLOOKUP(S45,'G-1 All Habitats'!$Z$2:$AA$9,2,FALSE),"")</f>
        <v/>
      </c>
      <c r="U45" s="122"/>
      <c r="V45" s="382" t="str">
        <f>IF(U45="","",IF(VLOOKUP(U45,'G-3 Multipliers'!$L$3:$N$6,2,FALSE)=0,"Spatial Data Missing ⚠",VLOOKUP(U45,'G-3 Multipliers'!$L$3:$N$6,2,FALSE)))</f>
        <v/>
      </c>
      <c r="W45" s="386" t="str">
        <f>IF(U45="","",IF(VLOOKUP(U45,'G-3 Multipliers'!$L$3:$N$6,3,FALSE)=0,"Spatial Data Missing ⚠",VLOOKUP(U45,'G-3 Multipliers'!$L$3:$N$6,3,FALSE)))</f>
        <v/>
      </c>
      <c r="X45" s="362" t="str">
        <f>IFERROR(IF(OR(LEFT(O45,5)="Error",LEFT(N45,5)="Error",T45="Error"),"Check Data ⚠",IF(F45&lt;R45,INDEX('G-6 Hedgerow Data'!$S$3:$AE$14,MATCH(C45,'G-6 Hedgerow Data'!$B$3:$B$14,0),MATCH(M45,'G-6 Hedgerow Data'!$S$2:$AE$2,0)),INDEX('G-6 Hedgerow Data'!$K$3:$Q$14,MATCH(M45,'G-6 Hedgerow Data'!$B$3:$B$14,0),MATCH(O45,'G-6 Hedgerow Data'!$K$2:$Q$2,0)))),"")</f>
        <v/>
      </c>
      <c r="Y45" s="159"/>
      <c r="Z45" s="159"/>
      <c r="AA45" s="370" t="str">
        <f t="shared" si="3"/>
        <v/>
      </c>
      <c r="AB45" s="383" t="str">
        <f t="shared" si="4"/>
        <v/>
      </c>
      <c r="AC45" s="384" t="str">
        <f t="shared" si="1"/>
        <v/>
      </c>
      <c r="AD45" s="398" t="str">
        <f>IF(M45="","",VLOOKUP(M45,'G-6 Hedgerow Data'!$B$3:$AG$15,31,FALSE))</f>
        <v/>
      </c>
      <c r="AE45" s="370" t="str">
        <f t="shared" si="5"/>
        <v/>
      </c>
      <c r="AF45" s="370" t="str">
        <f t="shared" si="6"/>
        <v/>
      </c>
      <c r="AG45" s="386" t="str">
        <f>IFERROR(IF(O45="","",VLOOKUP(AD45,'G-3 Multipliers'!$P$3:$Q$6,2,FALSE)),"")</f>
        <v/>
      </c>
      <c r="AH45" s="376" t="str">
        <f t="shared" si="7"/>
        <v/>
      </c>
      <c r="AI45" s="188"/>
      <c r="AJ45" s="118"/>
      <c r="AK45" s="120"/>
      <c r="AT45" s="30" t="str">
        <f>IFERROR(INDEX('G-6 Hedgerow Data'!$BJ$3:$BJ$15,MATCH(M45,'G-6 Hedgerow Data'!$B$3:$B$15,0)),"")</f>
        <v/>
      </c>
    </row>
    <row r="46" spans="2:46" ht="15">
      <c r="B46" s="392" t="str">
        <f>'B-1 On-Site Hedge Baseline'!AK44</f>
        <v/>
      </c>
      <c r="C46" s="382" t="str">
        <f>IF(B46="","",IF(ISNA(VLOOKUP($B46,'B-1 On-Site Hedge Baseline'!$B$1:$L$257,3,FALSE)),"",(VLOOKUP($B46,'B-1 On-Site Hedge Baseline'!$B$1:$L$257,3,FALSE))))</f>
        <v/>
      </c>
      <c r="D46" s="382" t="str">
        <f>IF(B46="","",IF(ISNA(VLOOKUP($B46,'B-1 On-Site Hedge Baseline'!$B$1:$L$257,4,FALSE)),"",(VLOOKUP($B46,'B-1 On-Site Hedge Baseline'!$B$1:$L$257,4,FALSE))))</f>
        <v/>
      </c>
      <c r="E46" s="382" t="str">
        <f>IF(B46="","",IF(ISNA(VLOOKUP($B46,'B-1 On-Site Hedge Baseline'!$B$1:$L$257,5,FALSE)),"",(VLOOKUP($B46,'B-1 On-Site Hedge Baseline'!$B$1:$L$257,5,FALSE))))</f>
        <v/>
      </c>
      <c r="F46" s="382" t="str">
        <f>IF(B46="","",IF(ISNA(VLOOKUP($B46,'B-1 On-Site Hedge Baseline'!$B$1:$L$257,6,FALSE)),"",(VLOOKUP($B46,'B-1 On-Site Hedge Baseline'!$B$1:$L$257,6,FALSE))))</f>
        <v/>
      </c>
      <c r="G46" s="382" t="str">
        <f>IF(B46="","",IF(ISNA(VLOOKUP($B46,'B-1 On-Site Hedge Baseline'!$B$1:$L$257,7,FALSE)),"",(VLOOKUP($B46,'B-1 On-Site Hedge Baseline'!$B$1:$L$257,7,FALSE))))</f>
        <v/>
      </c>
      <c r="H46" s="382" t="str">
        <f>IF(B46="","",IF(ISNA(VLOOKUP($B46,'B-1 On-Site Hedge Baseline'!$B$1:$L$257,8,FALSE)),"",(VLOOKUP($B46,'B-1 On-Site Hedge Baseline'!$B$1:$L$257,8,FALSE))))</f>
        <v/>
      </c>
      <c r="I46" s="382" t="str">
        <f>IF(B46="","",IF(ISNA(VLOOKUP($B46,'B-1 On-Site Hedge Baseline'!$B$1:$L$257,10,FALSE)),"",(VLOOKUP($B46,'B-1 On-Site Hedge Baseline'!$B$1:$L$257,10,FALSE))))</f>
        <v/>
      </c>
      <c r="J46" s="382" t="str">
        <f>IF(B46="","",IF(ISNA(VLOOKUP($B46,'B-1 On-Site Hedge Baseline'!$B$1:$L$257,11,FALSE)),"",(VLOOKUP($B46,'B-1 On-Site Hedge Baseline'!$B$1:$L$257,11,FALSE))))</f>
        <v/>
      </c>
      <c r="K46" s="382" t="str">
        <f>IF(B46="","",IF(ISNA(VLOOKUP($B46,'B-1 On-Site Hedge Baseline'!$B$1:$U$257,13,FALSE)),"",(VLOOKUP($B46,'B-1 On-Site Hedge Baseline'!$B$1:$U$257,13,FALSE))))</f>
        <v/>
      </c>
      <c r="L46" s="386" t="str">
        <f>IF(B46="","",IF(ISNA(VLOOKUP($B46,'B-1 On-Site Hedge Baseline'!$B$1:$U$257,12,FALSE)),"",(VLOOKUP($B46,'B-1 On-Site Hedge Baseline'!$B$1:$U$257,12,FALSE))))</f>
        <v/>
      </c>
      <c r="M46" s="315" t="str">
        <f t="shared" si="0"/>
        <v/>
      </c>
      <c r="N46" s="362" t="str">
        <f>IFERROR(IF(B46="","",INDEX('G-6 Hedgerow Data'!$AN$3:$AZ$15,MATCH(C46,'G-6 Hedgerow Data'!$AM$3:$AM$15,0),MATCH(M46,'G-6 Hedgerow Data'!$AN$2:$AZ$2,0))),"")</f>
        <v/>
      </c>
      <c r="O46" s="363" t="str">
        <f t="shared" si="2"/>
        <v/>
      </c>
      <c r="P46" s="417" t="str">
        <f>IF(B46="","",VLOOKUP(B46,'B-1 On-Site Hedge Baseline'!$B$10:T291,16,FALSE))</f>
        <v/>
      </c>
      <c r="Q46" s="362" t="str">
        <f>IF(M46="","",VLOOKUP(M46,'G-6 Hedgerow Data'!$B$2:$AG$15,2,FALSE))</f>
        <v/>
      </c>
      <c r="R46" s="363" t="str">
        <f>IF(M46="","",VLOOKUP(M46,'G-6 Hedgerow Data'!$B$2:$AG$15,3,FALSE))</f>
        <v/>
      </c>
      <c r="S46" s="125"/>
      <c r="T46" s="401" t="str">
        <f>IFERROR(VLOOKUP(S46,'G-1 All Habitats'!$Z$2:$AA$9,2,FALSE),"")</f>
        <v/>
      </c>
      <c r="U46" s="122"/>
      <c r="V46" s="382" t="str">
        <f>IF(U46="","",IF(VLOOKUP(U46,'G-3 Multipliers'!$L$3:$N$6,2,FALSE)=0,"Spatial Data Missing ⚠",VLOOKUP(U46,'G-3 Multipliers'!$L$3:$N$6,2,FALSE)))</f>
        <v/>
      </c>
      <c r="W46" s="386" t="str">
        <f>IF(U46="","",IF(VLOOKUP(U46,'G-3 Multipliers'!$L$3:$N$6,3,FALSE)=0,"Spatial Data Missing ⚠",VLOOKUP(U46,'G-3 Multipliers'!$L$3:$N$6,3,FALSE)))</f>
        <v/>
      </c>
      <c r="X46" s="362" t="str">
        <f>IFERROR(IF(OR(LEFT(O46,5)="Error",LEFT(N46,5)="Error",T46="Error"),"Check Data ⚠",IF(F46&lt;R46,INDEX('G-6 Hedgerow Data'!$S$3:$AE$14,MATCH(C46,'G-6 Hedgerow Data'!$B$3:$B$14,0),MATCH(M46,'G-6 Hedgerow Data'!$S$2:$AE$2,0)),INDEX('G-6 Hedgerow Data'!$K$3:$Q$14,MATCH(M46,'G-6 Hedgerow Data'!$B$3:$B$14,0),MATCH(O46,'G-6 Hedgerow Data'!$K$2:$Q$2,0)))),"")</f>
        <v/>
      </c>
      <c r="Y46" s="159"/>
      <c r="Z46" s="159"/>
      <c r="AA46" s="370" t="str">
        <f t="shared" si="3"/>
        <v/>
      </c>
      <c r="AB46" s="383" t="str">
        <f t="shared" si="4"/>
        <v/>
      </c>
      <c r="AC46" s="384" t="str">
        <f t="shared" si="1"/>
        <v/>
      </c>
      <c r="AD46" s="398" t="str">
        <f>IF(M46="","",VLOOKUP(M46,'G-6 Hedgerow Data'!$B$3:$AG$15,31,FALSE))</f>
        <v/>
      </c>
      <c r="AE46" s="370" t="str">
        <f t="shared" si="5"/>
        <v/>
      </c>
      <c r="AF46" s="370" t="str">
        <f t="shared" si="6"/>
        <v/>
      </c>
      <c r="AG46" s="386" t="str">
        <f>IFERROR(IF(O46="","",VLOOKUP(AD46,'G-3 Multipliers'!$P$3:$Q$6,2,FALSE)),"")</f>
        <v/>
      </c>
      <c r="AH46" s="376" t="str">
        <f t="shared" si="7"/>
        <v/>
      </c>
      <c r="AI46" s="188"/>
      <c r="AJ46" s="118"/>
      <c r="AK46" s="120"/>
      <c r="AT46" s="30" t="str">
        <f>IFERROR(INDEX('G-6 Hedgerow Data'!$BJ$3:$BJ$15,MATCH(M46,'G-6 Hedgerow Data'!$B$3:$B$15,0)),"")</f>
        <v/>
      </c>
    </row>
    <row r="47" spans="2:46" ht="15">
      <c r="B47" s="392" t="str">
        <f>'B-1 On-Site Hedge Baseline'!AK45</f>
        <v/>
      </c>
      <c r="C47" s="382" t="str">
        <f>IF(B47="","",IF(ISNA(VLOOKUP($B47,'B-1 On-Site Hedge Baseline'!$B$1:$L$257,3,FALSE)),"",(VLOOKUP($B47,'B-1 On-Site Hedge Baseline'!$B$1:$L$257,3,FALSE))))</f>
        <v/>
      </c>
      <c r="D47" s="382" t="str">
        <f>IF(B47="","",IF(ISNA(VLOOKUP($B47,'B-1 On-Site Hedge Baseline'!$B$1:$L$257,4,FALSE)),"",(VLOOKUP($B47,'B-1 On-Site Hedge Baseline'!$B$1:$L$257,4,FALSE))))</f>
        <v/>
      </c>
      <c r="E47" s="382" t="str">
        <f>IF(B47="","",IF(ISNA(VLOOKUP($B47,'B-1 On-Site Hedge Baseline'!$B$1:$L$257,5,FALSE)),"",(VLOOKUP($B47,'B-1 On-Site Hedge Baseline'!$B$1:$L$257,5,FALSE))))</f>
        <v/>
      </c>
      <c r="F47" s="382" t="str">
        <f>IF(B47="","",IF(ISNA(VLOOKUP($B47,'B-1 On-Site Hedge Baseline'!$B$1:$L$257,6,FALSE)),"",(VLOOKUP($B47,'B-1 On-Site Hedge Baseline'!$B$1:$L$257,6,FALSE))))</f>
        <v/>
      </c>
      <c r="G47" s="382" t="str">
        <f>IF(B47="","",IF(ISNA(VLOOKUP($B47,'B-1 On-Site Hedge Baseline'!$B$1:$L$257,7,FALSE)),"",(VLOOKUP($B47,'B-1 On-Site Hedge Baseline'!$B$1:$L$257,7,FALSE))))</f>
        <v/>
      </c>
      <c r="H47" s="382" t="str">
        <f>IF(B47="","",IF(ISNA(VLOOKUP($B47,'B-1 On-Site Hedge Baseline'!$B$1:$L$257,8,FALSE)),"",(VLOOKUP($B47,'B-1 On-Site Hedge Baseline'!$B$1:$L$257,8,FALSE))))</f>
        <v/>
      </c>
      <c r="I47" s="382" t="str">
        <f>IF(B47="","",IF(ISNA(VLOOKUP($B47,'B-1 On-Site Hedge Baseline'!$B$1:$L$257,10,FALSE)),"",(VLOOKUP($B47,'B-1 On-Site Hedge Baseline'!$B$1:$L$257,10,FALSE))))</f>
        <v/>
      </c>
      <c r="J47" s="382" t="str">
        <f>IF(B47="","",IF(ISNA(VLOOKUP($B47,'B-1 On-Site Hedge Baseline'!$B$1:$L$257,11,FALSE)),"",(VLOOKUP($B47,'B-1 On-Site Hedge Baseline'!$B$1:$L$257,11,FALSE))))</f>
        <v/>
      </c>
      <c r="K47" s="382" t="str">
        <f>IF(B47="","",IF(ISNA(VLOOKUP($B47,'B-1 On-Site Hedge Baseline'!$B$1:$U$257,13,FALSE)),"",(VLOOKUP($B47,'B-1 On-Site Hedge Baseline'!$B$1:$U$257,13,FALSE))))</f>
        <v/>
      </c>
      <c r="L47" s="386" t="str">
        <f>IF(B47="","",IF(ISNA(VLOOKUP($B47,'B-1 On-Site Hedge Baseline'!$B$1:$U$257,12,FALSE)),"",(VLOOKUP($B47,'B-1 On-Site Hedge Baseline'!$B$1:$U$257,12,FALSE))))</f>
        <v/>
      </c>
      <c r="M47" s="315" t="str">
        <f t="shared" si="0"/>
        <v/>
      </c>
      <c r="N47" s="362" t="str">
        <f>IFERROR(IF(B47="","",INDEX('G-6 Hedgerow Data'!$AN$3:$AZ$15,MATCH(C47,'G-6 Hedgerow Data'!$AM$3:$AM$15,0),MATCH(M47,'G-6 Hedgerow Data'!$AN$2:$AZ$2,0))),"")</f>
        <v/>
      </c>
      <c r="O47" s="363" t="str">
        <f t="shared" si="2"/>
        <v/>
      </c>
      <c r="P47" s="417" t="str">
        <f>IF(B47="","",VLOOKUP(B47,'B-1 On-Site Hedge Baseline'!$B$10:T292,16,FALSE))</f>
        <v/>
      </c>
      <c r="Q47" s="362" t="str">
        <f>IF(M47="","",VLOOKUP(M47,'G-6 Hedgerow Data'!$B$2:$AG$15,2,FALSE))</f>
        <v/>
      </c>
      <c r="R47" s="363" t="str">
        <f>IF(M47="","",VLOOKUP(M47,'G-6 Hedgerow Data'!$B$2:$AG$15,3,FALSE))</f>
        <v/>
      </c>
      <c r="S47" s="125"/>
      <c r="T47" s="401" t="str">
        <f>IFERROR(VLOOKUP(S47,'G-1 All Habitats'!$Z$2:$AA$9,2,FALSE),"")</f>
        <v/>
      </c>
      <c r="U47" s="122"/>
      <c r="V47" s="382" t="str">
        <f>IF(U47="","",IF(VLOOKUP(U47,'G-3 Multipliers'!$L$3:$N$6,2,FALSE)=0,"Spatial Data Missing ⚠",VLOOKUP(U47,'G-3 Multipliers'!$L$3:$N$6,2,FALSE)))</f>
        <v/>
      </c>
      <c r="W47" s="386" t="str">
        <f>IF(U47="","",IF(VLOOKUP(U47,'G-3 Multipliers'!$L$3:$N$6,3,FALSE)=0,"Spatial Data Missing ⚠",VLOOKUP(U47,'G-3 Multipliers'!$L$3:$N$6,3,FALSE)))</f>
        <v/>
      </c>
      <c r="X47" s="362" t="str">
        <f>IFERROR(IF(OR(LEFT(O47,5)="Error",LEFT(N47,5)="Error",T47="Error"),"Check Data ⚠",IF(F47&lt;R47,INDEX('G-6 Hedgerow Data'!$S$3:$AE$14,MATCH(C47,'G-6 Hedgerow Data'!$B$3:$B$14,0),MATCH(M47,'G-6 Hedgerow Data'!$S$2:$AE$2,0)),INDEX('G-6 Hedgerow Data'!$K$3:$Q$14,MATCH(M47,'G-6 Hedgerow Data'!$B$3:$B$14,0),MATCH(O47,'G-6 Hedgerow Data'!$K$2:$Q$2,0)))),"")</f>
        <v/>
      </c>
      <c r="Y47" s="159"/>
      <c r="Z47" s="159"/>
      <c r="AA47" s="370" t="str">
        <f t="shared" si="3"/>
        <v/>
      </c>
      <c r="AB47" s="383" t="str">
        <f t="shared" si="4"/>
        <v/>
      </c>
      <c r="AC47" s="384" t="str">
        <f t="shared" si="1"/>
        <v/>
      </c>
      <c r="AD47" s="398" t="str">
        <f>IF(M47="","",VLOOKUP(M47,'G-6 Hedgerow Data'!$B$3:$AG$15,31,FALSE))</f>
        <v/>
      </c>
      <c r="AE47" s="370" t="str">
        <f t="shared" si="5"/>
        <v/>
      </c>
      <c r="AF47" s="370" t="str">
        <f t="shared" si="6"/>
        <v/>
      </c>
      <c r="AG47" s="386" t="str">
        <f>IFERROR(IF(O47="","",VLOOKUP(AD47,'G-3 Multipliers'!$P$3:$Q$6,2,FALSE)),"")</f>
        <v/>
      </c>
      <c r="AH47" s="376" t="str">
        <f t="shared" si="7"/>
        <v/>
      </c>
      <c r="AI47" s="188"/>
      <c r="AJ47" s="118"/>
      <c r="AK47" s="120"/>
      <c r="AT47" s="30" t="str">
        <f>IFERROR(INDEX('G-6 Hedgerow Data'!$BJ$3:$BJ$15,MATCH(M47,'G-6 Hedgerow Data'!$B$3:$B$15,0)),"")</f>
        <v/>
      </c>
    </row>
    <row r="48" spans="2:46" ht="15">
      <c r="B48" s="392" t="str">
        <f>'B-1 On-Site Hedge Baseline'!AK46</f>
        <v/>
      </c>
      <c r="C48" s="382" t="str">
        <f>IF(B48="","",IF(ISNA(VLOOKUP($B48,'B-1 On-Site Hedge Baseline'!$B$1:$L$257,3,FALSE)),"",(VLOOKUP($B48,'B-1 On-Site Hedge Baseline'!$B$1:$L$257,3,FALSE))))</f>
        <v/>
      </c>
      <c r="D48" s="382" t="str">
        <f>IF(B48="","",IF(ISNA(VLOOKUP($B48,'B-1 On-Site Hedge Baseline'!$B$1:$L$257,4,FALSE)),"",(VLOOKUP($B48,'B-1 On-Site Hedge Baseline'!$B$1:$L$257,4,FALSE))))</f>
        <v/>
      </c>
      <c r="E48" s="382" t="str">
        <f>IF(B48="","",IF(ISNA(VLOOKUP($B48,'B-1 On-Site Hedge Baseline'!$B$1:$L$257,5,FALSE)),"",(VLOOKUP($B48,'B-1 On-Site Hedge Baseline'!$B$1:$L$257,5,FALSE))))</f>
        <v/>
      </c>
      <c r="F48" s="382" t="str">
        <f>IF(B48="","",IF(ISNA(VLOOKUP($B48,'B-1 On-Site Hedge Baseline'!$B$1:$L$257,6,FALSE)),"",(VLOOKUP($B48,'B-1 On-Site Hedge Baseline'!$B$1:$L$257,6,FALSE))))</f>
        <v/>
      </c>
      <c r="G48" s="382" t="str">
        <f>IF(B48="","",IF(ISNA(VLOOKUP($B48,'B-1 On-Site Hedge Baseline'!$B$1:$L$257,7,FALSE)),"",(VLOOKUP($B48,'B-1 On-Site Hedge Baseline'!$B$1:$L$257,7,FALSE))))</f>
        <v/>
      </c>
      <c r="H48" s="382" t="str">
        <f>IF(B48="","",IF(ISNA(VLOOKUP($B48,'B-1 On-Site Hedge Baseline'!$B$1:$L$257,8,FALSE)),"",(VLOOKUP($B48,'B-1 On-Site Hedge Baseline'!$B$1:$L$257,8,FALSE))))</f>
        <v/>
      </c>
      <c r="I48" s="382" t="str">
        <f>IF(B48="","",IF(ISNA(VLOOKUP($B48,'B-1 On-Site Hedge Baseline'!$B$1:$L$257,10,FALSE)),"",(VLOOKUP($B48,'B-1 On-Site Hedge Baseline'!$B$1:$L$257,10,FALSE))))</f>
        <v/>
      </c>
      <c r="J48" s="382" t="str">
        <f>IF(B48="","",IF(ISNA(VLOOKUP($B48,'B-1 On-Site Hedge Baseline'!$B$1:$L$257,11,FALSE)),"",(VLOOKUP($B48,'B-1 On-Site Hedge Baseline'!$B$1:$L$257,11,FALSE))))</f>
        <v/>
      </c>
      <c r="K48" s="382" t="str">
        <f>IF(B48="","",IF(ISNA(VLOOKUP($B48,'B-1 On-Site Hedge Baseline'!$B$1:$U$257,13,FALSE)),"",(VLOOKUP($B48,'B-1 On-Site Hedge Baseline'!$B$1:$U$257,13,FALSE))))</f>
        <v/>
      </c>
      <c r="L48" s="386" t="str">
        <f>IF(B48="","",IF(ISNA(VLOOKUP($B48,'B-1 On-Site Hedge Baseline'!$B$1:$U$257,12,FALSE)),"",(VLOOKUP($B48,'B-1 On-Site Hedge Baseline'!$B$1:$U$257,12,FALSE))))</f>
        <v/>
      </c>
      <c r="M48" s="315" t="str">
        <f t="shared" si="0"/>
        <v/>
      </c>
      <c r="N48" s="362" t="str">
        <f>IFERROR(IF(B48="","",INDEX('G-6 Hedgerow Data'!$AN$3:$AZ$15,MATCH(C48,'G-6 Hedgerow Data'!$AM$3:$AM$15,0),MATCH(M48,'G-6 Hedgerow Data'!$AN$2:$AZ$2,0))),"")</f>
        <v/>
      </c>
      <c r="O48" s="363" t="str">
        <f t="shared" si="2"/>
        <v/>
      </c>
      <c r="P48" s="417" t="str">
        <f>IF(B48="","",VLOOKUP(B48,'B-1 On-Site Hedge Baseline'!$B$10:T293,16,FALSE))</f>
        <v/>
      </c>
      <c r="Q48" s="362" t="str">
        <f>IF(M48="","",VLOOKUP(M48,'G-6 Hedgerow Data'!$B$2:$AG$15,2,FALSE))</f>
        <v/>
      </c>
      <c r="R48" s="363" t="str">
        <f>IF(M48="","",VLOOKUP(M48,'G-6 Hedgerow Data'!$B$2:$AG$15,3,FALSE))</f>
        <v/>
      </c>
      <c r="S48" s="125"/>
      <c r="T48" s="401" t="str">
        <f>IFERROR(VLOOKUP(S48,'G-1 All Habitats'!$Z$2:$AA$9,2,FALSE),"")</f>
        <v/>
      </c>
      <c r="U48" s="122"/>
      <c r="V48" s="382" t="str">
        <f>IF(U48="","",IF(VLOOKUP(U48,'G-3 Multipliers'!$L$3:$N$6,2,FALSE)=0,"Spatial Data Missing ⚠",VLOOKUP(U48,'G-3 Multipliers'!$L$3:$N$6,2,FALSE)))</f>
        <v/>
      </c>
      <c r="W48" s="386" t="str">
        <f>IF(U48="","",IF(VLOOKUP(U48,'G-3 Multipliers'!$L$3:$N$6,3,FALSE)=0,"Spatial Data Missing ⚠",VLOOKUP(U48,'G-3 Multipliers'!$L$3:$N$6,3,FALSE)))</f>
        <v/>
      </c>
      <c r="X48" s="362" t="str">
        <f>IFERROR(IF(OR(LEFT(O48,5)="Error",LEFT(N48,5)="Error",T48="Error"),"Check Data ⚠",IF(F48&lt;R48,INDEX('G-6 Hedgerow Data'!$S$3:$AE$14,MATCH(C48,'G-6 Hedgerow Data'!$B$3:$B$14,0),MATCH(M48,'G-6 Hedgerow Data'!$S$2:$AE$2,0)),INDEX('G-6 Hedgerow Data'!$K$3:$Q$14,MATCH(M48,'G-6 Hedgerow Data'!$B$3:$B$14,0),MATCH(O48,'G-6 Hedgerow Data'!$K$2:$Q$2,0)))),"")</f>
        <v/>
      </c>
      <c r="Y48" s="159"/>
      <c r="Z48" s="159"/>
      <c r="AA48" s="370" t="str">
        <f t="shared" si="3"/>
        <v/>
      </c>
      <c r="AB48" s="383" t="str">
        <f t="shared" si="4"/>
        <v/>
      </c>
      <c r="AC48" s="384" t="str">
        <f t="shared" si="1"/>
        <v/>
      </c>
      <c r="AD48" s="398" t="str">
        <f>IF(M48="","",VLOOKUP(M48,'G-6 Hedgerow Data'!$B$3:$AG$15,31,FALSE))</f>
        <v/>
      </c>
      <c r="AE48" s="370" t="str">
        <f t="shared" si="5"/>
        <v/>
      </c>
      <c r="AF48" s="370" t="str">
        <f t="shared" si="6"/>
        <v/>
      </c>
      <c r="AG48" s="386" t="str">
        <f>IFERROR(IF(O48="","",VLOOKUP(AD48,'G-3 Multipliers'!$P$3:$Q$6,2,FALSE)),"")</f>
        <v/>
      </c>
      <c r="AH48" s="376" t="str">
        <f t="shared" si="7"/>
        <v/>
      </c>
      <c r="AI48" s="188"/>
      <c r="AJ48" s="118"/>
      <c r="AK48" s="120"/>
      <c r="AT48" s="30" t="str">
        <f>IFERROR(INDEX('G-6 Hedgerow Data'!$BJ$3:$BJ$15,MATCH(M48,'G-6 Hedgerow Data'!$B$3:$B$15,0)),"")</f>
        <v/>
      </c>
    </row>
    <row r="49" spans="2:46" ht="15">
      <c r="B49" s="392" t="str">
        <f>'B-1 On-Site Hedge Baseline'!AK47</f>
        <v/>
      </c>
      <c r="C49" s="382" t="str">
        <f>IF(B49="","",IF(ISNA(VLOOKUP($B49,'B-1 On-Site Hedge Baseline'!$B$1:$L$257,3,FALSE)),"",(VLOOKUP($B49,'B-1 On-Site Hedge Baseline'!$B$1:$L$257,3,FALSE))))</f>
        <v/>
      </c>
      <c r="D49" s="382" t="str">
        <f>IF(B49="","",IF(ISNA(VLOOKUP($B49,'B-1 On-Site Hedge Baseline'!$B$1:$L$257,4,FALSE)),"",(VLOOKUP($B49,'B-1 On-Site Hedge Baseline'!$B$1:$L$257,4,FALSE))))</f>
        <v/>
      </c>
      <c r="E49" s="382" t="str">
        <f>IF(B49="","",IF(ISNA(VLOOKUP($B49,'B-1 On-Site Hedge Baseline'!$B$1:$L$257,5,FALSE)),"",(VLOOKUP($B49,'B-1 On-Site Hedge Baseline'!$B$1:$L$257,5,FALSE))))</f>
        <v/>
      </c>
      <c r="F49" s="382" t="str">
        <f>IF(B49="","",IF(ISNA(VLOOKUP($B49,'B-1 On-Site Hedge Baseline'!$B$1:$L$257,6,FALSE)),"",(VLOOKUP($B49,'B-1 On-Site Hedge Baseline'!$B$1:$L$257,6,FALSE))))</f>
        <v/>
      </c>
      <c r="G49" s="382" t="str">
        <f>IF(B49="","",IF(ISNA(VLOOKUP($B49,'B-1 On-Site Hedge Baseline'!$B$1:$L$257,7,FALSE)),"",(VLOOKUP($B49,'B-1 On-Site Hedge Baseline'!$B$1:$L$257,7,FALSE))))</f>
        <v/>
      </c>
      <c r="H49" s="382" t="str">
        <f>IF(B49="","",IF(ISNA(VLOOKUP($B49,'B-1 On-Site Hedge Baseline'!$B$1:$L$257,8,FALSE)),"",(VLOOKUP($B49,'B-1 On-Site Hedge Baseline'!$B$1:$L$257,8,FALSE))))</f>
        <v/>
      </c>
      <c r="I49" s="382" t="str">
        <f>IF(B49="","",IF(ISNA(VLOOKUP($B49,'B-1 On-Site Hedge Baseline'!$B$1:$L$257,10,FALSE)),"",(VLOOKUP($B49,'B-1 On-Site Hedge Baseline'!$B$1:$L$257,10,FALSE))))</f>
        <v/>
      </c>
      <c r="J49" s="382" t="str">
        <f>IF(B49="","",IF(ISNA(VLOOKUP($B49,'B-1 On-Site Hedge Baseline'!$B$1:$L$257,11,FALSE)),"",(VLOOKUP($B49,'B-1 On-Site Hedge Baseline'!$B$1:$L$257,11,FALSE))))</f>
        <v/>
      </c>
      <c r="K49" s="382" t="str">
        <f>IF(B49="","",IF(ISNA(VLOOKUP($B49,'B-1 On-Site Hedge Baseline'!$B$1:$U$257,13,FALSE)),"",(VLOOKUP($B49,'B-1 On-Site Hedge Baseline'!$B$1:$U$257,13,FALSE))))</f>
        <v/>
      </c>
      <c r="L49" s="386" t="str">
        <f>IF(B49="","",IF(ISNA(VLOOKUP($B49,'B-1 On-Site Hedge Baseline'!$B$1:$U$257,12,FALSE)),"",(VLOOKUP($B49,'B-1 On-Site Hedge Baseline'!$B$1:$U$257,12,FALSE))))</f>
        <v/>
      </c>
      <c r="M49" s="315" t="str">
        <f t="shared" si="0"/>
        <v/>
      </c>
      <c r="N49" s="362" t="str">
        <f>IFERROR(IF(B49="","",INDEX('G-6 Hedgerow Data'!$AN$3:$AZ$15,MATCH(C49,'G-6 Hedgerow Data'!$AM$3:$AM$15,0),MATCH(M49,'G-6 Hedgerow Data'!$AN$2:$AZ$2,0))),"")</f>
        <v/>
      </c>
      <c r="O49" s="363" t="str">
        <f t="shared" si="2"/>
        <v/>
      </c>
      <c r="P49" s="417" t="str">
        <f>IF(B49="","",VLOOKUP(B49,'B-1 On-Site Hedge Baseline'!$B$10:T294,16,FALSE))</f>
        <v/>
      </c>
      <c r="Q49" s="362" t="str">
        <f>IF(M49="","",VLOOKUP(M49,'G-6 Hedgerow Data'!$B$2:$AG$15,2,FALSE))</f>
        <v/>
      </c>
      <c r="R49" s="363" t="str">
        <f>IF(M49="","",VLOOKUP(M49,'G-6 Hedgerow Data'!$B$2:$AG$15,3,FALSE))</f>
        <v/>
      </c>
      <c r="S49" s="125"/>
      <c r="T49" s="401" t="str">
        <f>IFERROR(VLOOKUP(S49,'G-1 All Habitats'!$Z$2:$AA$9,2,FALSE),"")</f>
        <v/>
      </c>
      <c r="U49" s="122"/>
      <c r="V49" s="382" t="str">
        <f>IF(U49="","",IF(VLOOKUP(U49,'G-3 Multipliers'!$L$3:$N$6,2,FALSE)=0,"Spatial Data Missing ⚠",VLOOKUP(U49,'G-3 Multipliers'!$L$3:$N$6,2,FALSE)))</f>
        <v/>
      </c>
      <c r="W49" s="386" t="str">
        <f>IF(U49="","",IF(VLOOKUP(U49,'G-3 Multipliers'!$L$3:$N$6,3,FALSE)=0,"Spatial Data Missing ⚠",VLOOKUP(U49,'G-3 Multipliers'!$L$3:$N$6,3,FALSE)))</f>
        <v/>
      </c>
      <c r="X49" s="362" t="str">
        <f>IFERROR(IF(OR(LEFT(O49,5)="Error",LEFT(N49,5)="Error",T49="Error"),"Check Data ⚠",IF(F49&lt;R49,INDEX('G-6 Hedgerow Data'!$S$3:$AE$14,MATCH(C49,'G-6 Hedgerow Data'!$B$3:$B$14,0),MATCH(M49,'G-6 Hedgerow Data'!$S$2:$AE$2,0)),INDEX('G-6 Hedgerow Data'!$K$3:$Q$14,MATCH(M49,'G-6 Hedgerow Data'!$B$3:$B$14,0),MATCH(O49,'G-6 Hedgerow Data'!$K$2:$Q$2,0)))),"")</f>
        <v/>
      </c>
      <c r="Y49" s="159"/>
      <c r="Z49" s="159"/>
      <c r="AA49" s="370" t="str">
        <f t="shared" si="3"/>
        <v/>
      </c>
      <c r="AB49" s="383" t="str">
        <f t="shared" si="4"/>
        <v/>
      </c>
      <c r="AC49" s="384" t="str">
        <f t="shared" si="1"/>
        <v/>
      </c>
      <c r="AD49" s="398" t="str">
        <f>IF(M49="","",VLOOKUP(M49,'G-6 Hedgerow Data'!$B$3:$AG$15,31,FALSE))</f>
        <v/>
      </c>
      <c r="AE49" s="370" t="str">
        <f t="shared" si="5"/>
        <v/>
      </c>
      <c r="AF49" s="370" t="str">
        <f t="shared" si="6"/>
        <v/>
      </c>
      <c r="AG49" s="386" t="str">
        <f>IFERROR(IF(O49="","",VLOOKUP(AD49,'G-3 Multipliers'!$P$3:$Q$6,2,FALSE)),"")</f>
        <v/>
      </c>
      <c r="AH49" s="376" t="str">
        <f t="shared" si="7"/>
        <v/>
      </c>
      <c r="AI49" s="188"/>
      <c r="AJ49" s="118"/>
      <c r="AK49" s="120"/>
      <c r="AT49" s="30" t="str">
        <f>IFERROR(INDEX('G-6 Hedgerow Data'!$BJ$3:$BJ$15,MATCH(M49,'G-6 Hedgerow Data'!$B$3:$B$15,0)),"")</f>
        <v/>
      </c>
    </row>
    <row r="50" spans="2:46" ht="15">
      <c r="B50" s="392" t="str">
        <f>'B-1 On-Site Hedge Baseline'!AK48</f>
        <v/>
      </c>
      <c r="C50" s="382" t="str">
        <f>IF(B50="","",IF(ISNA(VLOOKUP($B50,'B-1 On-Site Hedge Baseline'!$B$1:$L$257,3,FALSE)),"",(VLOOKUP($B50,'B-1 On-Site Hedge Baseline'!$B$1:$L$257,3,FALSE))))</f>
        <v/>
      </c>
      <c r="D50" s="382" t="str">
        <f>IF(B50="","",IF(ISNA(VLOOKUP($B50,'B-1 On-Site Hedge Baseline'!$B$1:$L$257,4,FALSE)),"",(VLOOKUP($B50,'B-1 On-Site Hedge Baseline'!$B$1:$L$257,4,FALSE))))</f>
        <v/>
      </c>
      <c r="E50" s="382" t="str">
        <f>IF(B50="","",IF(ISNA(VLOOKUP($B50,'B-1 On-Site Hedge Baseline'!$B$1:$L$257,5,FALSE)),"",(VLOOKUP($B50,'B-1 On-Site Hedge Baseline'!$B$1:$L$257,5,FALSE))))</f>
        <v/>
      </c>
      <c r="F50" s="382" t="str">
        <f>IF(B50="","",IF(ISNA(VLOOKUP($B50,'B-1 On-Site Hedge Baseline'!$B$1:$L$257,6,FALSE)),"",(VLOOKUP($B50,'B-1 On-Site Hedge Baseline'!$B$1:$L$257,6,FALSE))))</f>
        <v/>
      </c>
      <c r="G50" s="382" t="str">
        <f>IF(B50="","",IF(ISNA(VLOOKUP($B50,'B-1 On-Site Hedge Baseline'!$B$1:$L$257,7,FALSE)),"",(VLOOKUP($B50,'B-1 On-Site Hedge Baseline'!$B$1:$L$257,7,FALSE))))</f>
        <v/>
      </c>
      <c r="H50" s="382" t="str">
        <f>IF(B50="","",IF(ISNA(VLOOKUP($B50,'B-1 On-Site Hedge Baseline'!$B$1:$L$257,8,FALSE)),"",(VLOOKUP($B50,'B-1 On-Site Hedge Baseline'!$B$1:$L$257,8,FALSE))))</f>
        <v/>
      </c>
      <c r="I50" s="382" t="str">
        <f>IF(B50="","",IF(ISNA(VLOOKUP($B50,'B-1 On-Site Hedge Baseline'!$B$1:$L$257,10,FALSE)),"",(VLOOKUP($B50,'B-1 On-Site Hedge Baseline'!$B$1:$L$257,10,FALSE))))</f>
        <v/>
      </c>
      <c r="J50" s="382" t="str">
        <f>IF(B50="","",IF(ISNA(VLOOKUP($B50,'B-1 On-Site Hedge Baseline'!$B$1:$L$257,11,FALSE)),"",(VLOOKUP($B50,'B-1 On-Site Hedge Baseline'!$B$1:$L$257,11,FALSE))))</f>
        <v/>
      </c>
      <c r="K50" s="382" t="str">
        <f>IF(B50="","",IF(ISNA(VLOOKUP($B50,'B-1 On-Site Hedge Baseline'!$B$1:$U$257,13,FALSE)),"",(VLOOKUP($B50,'B-1 On-Site Hedge Baseline'!$B$1:$U$257,13,FALSE))))</f>
        <v/>
      </c>
      <c r="L50" s="386" t="str">
        <f>IF(B50="","",IF(ISNA(VLOOKUP($B50,'B-1 On-Site Hedge Baseline'!$B$1:$U$257,12,FALSE)),"",(VLOOKUP($B50,'B-1 On-Site Hedge Baseline'!$B$1:$U$257,12,FALSE))))</f>
        <v/>
      </c>
      <c r="M50" s="315" t="str">
        <f t="shared" si="0"/>
        <v/>
      </c>
      <c r="N50" s="362" t="str">
        <f>IFERROR(IF(B50="","",INDEX('G-6 Hedgerow Data'!$AN$3:$AZ$15,MATCH(C50,'G-6 Hedgerow Data'!$AM$3:$AM$15,0),MATCH(M50,'G-6 Hedgerow Data'!$AN$2:$AZ$2,0))),"")</f>
        <v/>
      </c>
      <c r="O50" s="363" t="str">
        <f t="shared" si="2"/>
        <v/>
      </c>
      <c r="P50" s="417" t="str">
        <f>IF(B50="","",VLOOKUP(B50,'B-1 On-Site Hedge Baseline'!$B$10:T295,16,FALSE))</f>
        <v/>
      </c>
      <c r="Q50" s="362" t="str">
        <f>IF(M50="","",VLOOKUP(M50,'G-6 Hedgerow Data'!$B$2:$AG$15,2,FALSE))</f>
        <v/>
      </c>
      <c r="R50" s="363" t="str">
        <f>IF(M50="","",VLOOKUP(M50,'G-6 Hedgerow Data'!$B$2:$AG$15,3,FALSE))</f>
        <v/>
      </c>
      <c r="S50" s="125"/>
      <c r="T50" s="401" t="str">
        <f>IFERROR(VLOOKUP(S50,'G-1 All Habitats'!$Z$2:$AA$9,2,FALSE),"")</f>
        <v/>
      </c>
      <c r="U50" s="122"/>
      <c r="V50" s="382" t="str">
        <f>IF(U50="","",IF(VLOOKUP(U50,'G-3 Multipliers'!$L$3:$N$6,2,FALSE)=0,"Spatial Data Missing ⚠",VLOOKUP(U50,'G-3 Multipliers'!$L$3:$N$6,2,FALSE)))</f>
        <v/>
      </c>
      <c r="W50" s="386" t="str">
        <f>IF(U50="","",IF(VLOOKUP(U50,'G-3 Multipliers'!$L$3:$N$6,3,FALSE)=0,"Spatial Data Missing ⚠",VLOOKUP(U50,'G-3 Multipliers'!$L$3:$N$6,3,FALSE)))</f>
        <v/>
      </c>
      <c r="X50" s="362" t="str">
        <f>IFERROR(IF(OR(LEFT(O50,5)="Error",LEFT(N50,5)="Error",T50="Error"),"Check Data ⚠",IF(F50&lt;R50,INDEX('G-6 Hedgerow Data'!$S$3:$AE$14,MATCH(C50,'G-6 Hedgerow Data'!$B$3:$B$14,0),MATCH(M50,'G-6 Hedgerow Data'!$S$2:$AE$2,0)),INDEX('G-6 Hedgerow Data'!$K$3:$Q$14,MATCH(M50,'G-6 Hedgerow Data'!$B$3:$B$14,0),MATCH(O50,'G-6 Hedgerow Data'!$K$2:$Q$2,0)))),"")</f>
        <v/>
      </c>
      <c r="Y50" s="159"/>
      <c r="Z50" s="159"/>
      <c r="AA50" s="370" t="str">
        <f t="shared" si="3"/>
        <v/>
      </c>
      <c r="AB50" s="383" t="str">
        <f t="shared" si="4"/>
        <v/>
      </c>
      <c r="AC50" s="384" t="str">
        <f t="shared" si="1"/>
        <v/>
      </c>
      <c r="AD50" s="398" t="str">
        <f>IF(M50="","",VLOOKUP(M50,'G-6 Hedgerow Data'!$B$3:$AG$15,31,FALSE))</f>
        <v/>
      </c>
      <c r="AE50" s="370" t="str">
        <f t="shared" si="5"/>
        <v/>
      </c>
      <c r="AF50" s="370" t="str">
        <f t="shared" si="6"/>
        <v/>
      </c>
      <c r="AG50" s="386" t="str">
        <f>IFERROR(IF(O50="","",VLOOKUP(AD50,'G-3 Multipliers'!$P$3:$Q$6,2,FALSE)),"")</f>
        <v/>
      </c>
      <c r="AH50" s="376" t="str">
        <f t="shared" si="7"/>
        <v/>
      </c>
      <c r="AI50" s="188"/>
      <c r="AJ50" s="118"/>
      <c r="AK50" s="120"/>
      <c r="AT50" s="30" t="str">
        <f>IFERROR(INDEX('G-6 Hedgerow Data'!$BJ$3:$BJ$15,MATCH(M50,'G-6 Hedgerow Data'!$B$3:$B$15,0)),"")</f>
        <v/>
      </c>
    </row>
    <row r="51" spans="2:46" ht="15">
      <c r="B51" s="392" t="str">
        <f>'B-1 On-Site Hedge Baseline'!AK49</f>
        <v/>
      </c>
      <c r="C51" s="382" t="str">
        <f>IF(B51="","",IF(ISNA(VLOOKUP($B51,'B-1 On-Site Hedge Baseline'!$B$1:$L$257,3,FALSE)),"",(VLOOKUP($B51,'B-1 On-Site Hedge Baseline'!$B$1:$L$257,3,FALSE))))</f>
        <v/>
      </c>
      <c r="D51" s="382" t="str">
        <f>IF(B51="","",IF(ISNA(VLOOKUP($B51,'B-1 On-Site Hedge Baseline'!$B$1:$L$257,4,FALSE)),"",(VLOOKUP($B51,'B-1 On-Site Hedge Baseline'!$B$1:$L$257,4,FALSE))))</f>
        <v/>
      </c>
      <c r="E51" s="382" t="str">
        <f>IF(B51="","",IF(ISNA(VLOOKUP($B51,'B-1 On-Site Hedge Baseline'!$B$1:$L$257,5,FALSE)),"",(VLOOKUP($B51,'B-1 On-Site Hedge Baseline'!$B$1:$L$257,5,FALSE))))</f>
        <v/>
      </c>
      <c r="F51" s="382" t="str">
        <f>IF(B51="","",IF(ISNA(VLOOKUP($B51,'B-1 On-Site Hedge Baseline'!$B$1:$L$257,6,FALSE)),"",(VLOOKUP($B51,'B-1 On-Site Hedge Baseline'!$B$1:$L$257,6,FALSE))))</f>
        <v/>
      </c>
      <c r="G51" s="382" t="str">
        <f>IF(B51="","",IF(ISNA(VLOOKUP($B51,'B-1 On-Site Hedge Baseline'!$B$1:$L$257,7,FALSE)),"",(VLOOKUP($B51,'B-1 On-Site Hedge Baseline'!$B$1:$L$257,7,FALSE))))</f>
        <v/>
      </c>
      <c r="H51" s="382" t="str">
        <f>IF(B51="","",IF(ISNA(VLOOKUP($B51,'B-1 On-Site Hedge Baseline'!$B$1:$L$257,8,FALSE)),"",(VLOOKUP($B51,'B-1 On-Site Hedge Baseline'!$B$1:$L$257,8,FALSE))))</f>
        <v/>
      </c>
      <c r="I51" s="382" t="str">
        <f>IF(B51="","",IF(ISNA(VLOOKUP($B51,'B-1 On-Site Hedge Baseline'!$B$1:$L$257,10,FALSE)),"",(VLOOKUP($B51,'B-1 On-Site Hedge Baseline'!$B$1:$L$257,10,FALSE))))</f>
        <v/>
      </c>
      <c r="J51" s="382" t="str">
        <f>IF(B51="","",IF(ISNA(VLOOKUP($B51,'B-1 On-Site Hedge Baseline'!$B$1:$L$257,11,FALSE)),"",(VLOOKUP($B51,'B-1 On-Site Hedge Baseline'!$B$1:$L$257,11,FALSE))))</f>
        <v/>
      </c>
      <c r="K51" s="382" t="str">
        <f>IF(B51="","",IF(ISNA(VLOOKUP($B51,'B-1 On-Site Hedge Baseline'!$B$1:$U$257,13,FALSE)),"",(VLOOKUP($B51,'B-1 On-Site Hedge Baseline'!$B$1:$U$257,13,FALSE))))</f>
        <v/>
      </c>
      <c r="L51" s="386" t="str">
        <f>IF(B51="","",IF(ISNA(VLOOKUP($B51,'B-1 On-Site Hedge Baseline'!$B$1:$U$257,12,FALSE)),"",(VLOOKUP($B51,'B-1 On-Site Hedge Baseline'!$B$1:$U$257,12,FALSE))))</f>
        <v/>
      </c>
      <c r="M51" s="315" t="str">
        <f t="shared" si="0"/>
        <v/>
      </c>
      <c r="N51" s="362" t="str">
        <f>IFERROR(IF(B51="","",INDEX('G-6 Hedgerow Data'!$AN$3:$AZ$15,MATCH(C51,'G-6 Hedgerow Data'!$AM$3:$AM$15,0),MATCH(M51,'G-6 Hedgerow Data'!$AN$2:$AZ$2,0))),"")</f>
        <v/>
      </c>
      <c r="O51" s="363" t="str">
        <f t="shared" si="2"/>
        <v/>
      </c>
      <c r="P51" s="417" t="str">
        <f>IF(B51="","",VLOOKUP(B51,'B-1 On-Site Hedge Baseline'!$B$10:T296,16,FALSE))</f>
        <v/>
      </c>
      <c r="Q51" s="362" t="str">
        <f>IF(M51="","",VLOOKUP(M51,'G-6 Hedgerow Data'!$B$2:$AG$15,2,FALSE))</f>
        <v/>
      </c>
      <c r="R51" s="363" t="str">
        <f>IF(M51="","",VLOOKUP(M51,'G-6 Hedgerow Data'!$B$2:$AG$15,3,FALSE))</f>
        <v/>
      </c>
      <c r="S51" s="125"/>
      <c r="T51" s="401" t="str">
        <f>IFERROR(VLOOKUP(S51,'G-1 All Habitats'!$Z$2:$AA$9,2,FALSE),"")</f>
        <v/>
      </c>
      <c r="U51" s="122"/>
      <c r="V51" s="382" t="str">
        <f>IF(U51="","",IF(VLOOKUP(U51,'G-3 Multipliers'!$L$3:$N$6,2,FALSE)=0,"Spatial Data Missing ⚠",VLOOKUP(U51,'G-3 Multipliers'!$L$3:$N$6,2,FALSE)))</f>
        <v/>
      </c>
      <c r="W51" s="386" t="str">
        <f>IF(U51="","",IF(VLOOKUP(U51,'G-3 Multipliers'!$L$3:$N$6,3,FALSE)=0,"Spatial Data Missing ⚠",VLOOKUP(U51,'G-3 Multipliers'!$L$3:$N$6,3,FALSE)))</f>
        <v/>
      </c>
      <c r="X51" s="362" t="str">
        <f>IFERROR(IF(OR(LEFT(O51,5)="Error",LEFT(N51,5)="Error",T51="Error"),"Check Data ⚠",IF(F51&lt;R51,INDEX('G-6 Hedgerow Data'!$S$3:$AE$14,MATCH(C51,'G-6 Hedgerow Data'!$B$3:$B$14,0),MATCH(M51,'G-6 Hedgerow Data'!$S$2:$AE$2,0)),INDEX('G-6 Hedgerow Data'!$K$3:$Q$14,MATCH(M51,'G-6 Hedgerow Data'!$B$3:$B$14,0),MATCH(O51,'G-6 Hedgerow Data'!$K$2:$Q$2,0)))),"")</f>
        <v/>
      </c>
      <c r="Y51" s="159"/>
      <c r="Z51" s="159"/>
      <c r="AA51" s="370" t="str">
        <f t="shared" si="3"/>
        <v/>
      </c>
      <c r="AB51" s="383" t="str">
        <f t="shared" si="4"/>
        <v/>
      </c>
      <c r="AC51" s="384" t="str">
        <f t="shared" si="1"/>
        <v/>
      </c>
      <c r="AD51" s="398" t="str">
        <f>IF(M51="","",VLOOKUP(M51,'G-6 Hedgerow Data'!$B$3:$AG$15,31,FALSE))</f>
        <v/>
      </c>
      <c r="AE51" s="370" t="str">
        <f t="shared" si="5"/>
        <v/>
      </c>
      <c r="AF51" s="370" t="str">
        <f t="shared" si="6"/>
        <v/>
      </c>
      <c r="AG51" s="386" t="str">
        <f>IFERROR(IF(O51="","",VLOOKUP(AD51,'G-3 Multipliers'!$P$3:$Q$6,2,FALSE)),"")</f>
        <v/>
      </c>
      <c r="AH51" s="376" t="str">
        <f t="shared" si="7"/>
        <v/>
      </c>
      <c r="AI51" s="188"/>
      <c r="AJ51" s="118"/>
      <c r="AK51" s="120"/>
      <c r="AT51" s="30" t="str">
        <f>IFERROR(INDEX('G-6 Hedgerow Data'!$BJ$3:$BJ$15,MATCH(M51,'G-6 Hedgerow Data'!$B$3:$B$15,0)),"")</f>
        <v/>
      </c>
    </row>
    <row r="52" spans="2:46" ht="15">
      <c r="B52" s="392" t="str">
        <f>'B-1 On-Site Hedge Baseline'!AK50</f>
        <v/>
      </c>
      <c r="C52" s="382" t="str">
        <f>IF(B52="","",IF(ISNA(VLOOKUP($B52,'B-1 On-Site Hedge Baseline'!$B$1:$L$257,3,FALSE)),"",(VLOOKUP($B52,'B-1 On-Site Hedge Baseline'!$B$1:$L$257,3,FALSE))))</f>
        <v/>
      </c>
      <c r="D52" s="382" t="str">
        <f>IF(B52="","",IF(ISNA(VLOOKUP($B52,'B-1 On-Site Hedge Baseline'!$B$1:$L$257,4,FALSE)),"",(VLOOKUP($B52,'B-1 On-Site Hedge Baseline'!$B$1:$L$257,4,FALSE))))</f>
        <v/>
      </c>
      <c r="E52" s="382" t="str">
        <f>IF(B52="","",IF(ISNA(VLOOKUP($B52,'B-1 On-Site Hedge Baseline'!$B$1:$L$257,5,FALSE)),"",(VLOOKUP($B52,'B-1 On-Site Hedge Baseline'!$B$1:$L$257,5,FALSE))))</f>
        <v/>
      </c>
      <c r="F52" s="382" t="str">
        <f>IF(B52="","",IF(ISNA(VLOOKUP($B52,'B-1 On-Site Hedge Baseline'!$B$1:$L$257,6,FALSE)),"",(VLOOKUP($B52,'B-1 On-Site Hedge Baseline'!$B$1:$L$257,6,FALSE))))</f>
        <v/>
      </c>
      <c r="G52" s="382" t="str">
        <f>IF(B52="","",IF(ISNA(VLOOKUP($B52,'B-1 On-Site Hedge Baseline'!$B$1:$L$257,7,FALSE)),"",(VLOOKUP($B52,'B-1 On-Site Hedge Baseline'!$B$1:$L$257,7,FALSE))))</f>
        <v/>
      </c>
      <c r="H52" s="382" t="str">
        <f>IF(B52="","",IF(ISNA(VLOOKUP($B52,'B-1 On-Site Hedge Baseline'!$B$1:$L$257,8,FALSE)),"",(VLOOKUP($B52,'B-1 On-Site Hedge Baseline'!$B$1:$L$257,8,FALSE))))</f>
        <v/>
      </c>
      <c r="I52" s="382" t="str">
        <f>IF(B52="","",IF(ISNA(VLOOKUP($B52,'B-1 On-Site Hedge Baseline'!$B$1:$L$257,10,FALSE)),"",(VLOOKUP($B52,'B-1 On-Site Hedge Baseline'!$B$1:$L$257,10,FALSE))))</f>
        <v/>
      </c>
      <c r="J52" s="382" t="str">
        <f>IF(B52="","",IF(ISNA(VLOOKUP($B52,'B-1 On-Site Hedge Baseline'!$B$1:$L$257,11,FALSE)),"",(VLOOKUP($B52,'B-1 On-Site Hedge Baseline'!$B$1:$L$257,11,FALSE))))</f>
        <v/>
      </c>
      <c r="K52" s="382" t="str">
        <f>IF(B52="","",IF(ISNA(VLOOKUP($B52,'B-1 On-Site Hedge Baseline'!$B$1:$U$257,13,FALSE)),"",(VLOOKUP($B52,'B-1 On-Site Hedge Baseline'!$B$1:$U$257,13,FALSE))))</f>
        <v/>
      </c>
      <c r="L52" s="386" t="str">
        <f>IF(B52="","",IF(ISNA(VLOOKUP($B52,'B-1 On-Site Hedge Baseline'!$B$1:$U$257,12,FALSE)),"",(VLOOKUP($B52,'B-1 On-Site Hedge Baseline'!$B$1:$U$257,12,FALSE))))</f>
        <v/>
      </c>
      <c r="M52" s="315" t="str">
        <f t="shared" si="0"/>
        <v/>
      </c>
      <c r="N52" s="362" t="str">
        <f>IFERROR(IF(B52="","",INDEX('G-6 Hedgerow Data'!$AN$3:$AZ$15,MATCH(C52,'G-6 Hedgerow Data'!$AM$3:$AM$15,0),MATCH(M52,'G-6 Hedgerow Data'!$AN$2:$AZ$2,0))),"")</f>
        <v/>
      </c>
      <c r="O52" s="363" t="str">
        <f t="shared" si="2"/>
        <v/>
      </c>
      <c r="P52" s="417" t="str">
        <f>IF(B52="","",VLOOKUP(B52,'B-1 On-Site Hedge Baseline'!$B$10:T297,16,FALSE))</f>
        <v/>
      </c>
      <c r="Q52" s="362" t="str">
        <f>IF(M52="","",VLOOKUP(M52,'G-6 Hedgerow Data'!$B$2:$AG$15,2,FALSE))</f>
        <v/>
      </c>
      <c r="R52" s="363" t="str">
        <f>IF(M52="","",VLOOKUP(M52,'G-6 Hedgerow Data'!$B$2:$AG$15,3,FALSE))</f>
        <v/>
      </c>
      <c r="S52" s="125"/>
      <c r="T52" s="401" t="str">
        <f>IFERROR(VLOOKUP(S52,'G-1 All Habitats'!$Z$2:$AA$9,2,FALSE),"")</f>
        <v/>
      </c>
      <c r="U52" s="122"/>
      <c r="V52" s="382" t="str">
        <f>IF(U52="","",IF(VLOOKUP(U52,'G-3 Multipliers'!$L$3:$N$6,2,FALSE)=0,"Spatial Data Missing ⚠",VLOOKUP(U52,'G-3 Multipliers'!$L$3:$N$6,2,FALSE)))</f>
        <v/>
      </c>
      <c r="W52" s="386" t="str">
        <f>IF(U52="","",IF(VLOOKUP(U52,'G-3 Multipliers'!$L$3:$N$6,3,FALSE)=0,"Spatial Data Missing ⚠",VLOOKUP(U52,'G-3 Multipliers'!$L$3:$N$6,3,FALSE)))</f>
        <v/>
      </c>
      <c r="X52" s="362" t="str">
        <f>IFERROR(IF(OR(LEFT(O52,5)="Error",LEFT(N52,5)="Error",T52="Error"),"Check Data ⚠",IF(F52&lt;R52,INDEX('G-6 Hedgerow Data'!$S$3:$AE$14,MATCH(C52,'G-6 Hedgerow Data'!$B$3:$B$14,0),MATCH(M52,'G-6 Hedgerow Data'!$S$2:$AE$2,0)),INDEX('G-6 Hedgerow Data'!$K$3:$Q$14,MATCH(M52,'G-6 Hedgerow Data'!$B$3:$B$14,0),MATCH(O52,'G-6 Hedgerow Data'!$K$2:$Q$2,0)))),"")</f>
        <v/>
      </c>
      <c r="Y52" s="159"/>
      <c r="Z52" s="159"/>
      <c r="AA52" s="370" t="str">
        <f t="shared" si="3"/>
        <v/>
      </c>
      <c r="AB52" s="383" t="str">
        <f t="shared" si="4"/>
        <v/>
      </c>
      <c r="AC52" s="384" t="str">
        <f t="shared" si="1"/>
        <v/>
      </c>
      <c r="AD52" s="398" t="str">
        <f>IF(M52="","",VLOOKUP(M52,'G-6 Hedgerow Data'!$B$3:$AG$15,31,FALSE))</f>
        <v/>
      </c>
      <c r="AE52" s="370" t="str">
        <f t="shared" si="5"/>
        <v/>
      </c>
      <c r="AF52" s="370" t="str">
        <f t="shared" si="6"/>
        <v/>
      </c>
      <c r="AG52" s="386" t="str">
        <f>IFERROR(IF(O52="","",VLOOKUP(AD52,'G-3 Multipliers'!$P$3:$Q$6,2,FALSE)),"")</f>
        <v/>
      </c>
      <c r="AH52" s="376" t="str">
        <f t="shared" si="7"/>
        <v/>
      </c>
      <c r="AI52" s="188"/>
      <c r="AJ52" s="118"/>
      <c r="AK52" s="120"/>
      <c r="AT52" s="30" t="str">
        <f>IFERROR(INDEX('G-6 Hedgerow Data'!$BJ$3:$BJ$15,MATCH(M52,'G-6 Hedgerow Data'!$B$3:$B$15,0)),"")</f>
        <v/>
      </c>
    </row>
    <row r="53" spans="2:46" ht="15">
      <c r="B53" s="392" t="str">
        <f>'B-1 On-Site Hedge Baseline'!AK51</f>
        <v/>
      </c>
      <c r="C53" s="382" t="str">
        <f>IF(B53="","",IF(ISNA(VLOOKUP($B53,'B-1 On-Site Hedge Baseline'!$B$1:$L$257,3,FALSE)),"",(VLOOKUP($B53,'B-1 On-Site Hedge Baseline'!$B$1:$L$257,3,FALSE))))</f>
        <v/>
      </c>
      <c r="D53" s="382" t="str">
        <f>IF(B53="","",IF(ISNA(VLOOKUP($B53,'B-1 On-Site Hedge Baseline'!$B$1:$L$257,4,FALSE)),"",(VLOOKUP($B53,'B-1 On-Site Hedge Baseline'!$B$1:$L$257,4,FALSE))))</f>
        <v/>
      </c>
      <c r="E53" s="382" t="str">
        <f>IF(B53="","",IF(ISNA(VLOOKUP($B53,'B-1 On-Site Hedge Baseline'!$B$1:$L$257,5,FALSE)),"",(VLOOKUP($B53,'B-1 On-Site Hedge Baseline'!$B$1:$L$257,5,FALSE))))</f>
        <v/>
      </c>
      <c r="F53" s="382" t="str">
        <f>IF(B53="","",IF(ISNA(VLOOKUP($B53,'B-1 On-Site Hedge Baseline'!$B$1:$L$257,6,FALSE)),"",(VLOOKUP($B53,'B-1 On-Site Hedge Baseline'!$B$1:$L$257,6,FALSE))))</f>
        <v/>
      </c>
      <c r="G53" s="382" t="str">
        <f>IF(B53="","",IF(ISNA(VLOOKUP($B53,'B-1 On-Site Hedge Baseline'!$B$1:$L$257,7,FALSE)),"",(VLOOKUP($B53,'B-1 On-Site Hedge Baseline'!$B$1:$L$257,7,FALSE))))</f>
        <v/>
      </c>
      <c r="H53" s="382" t="str">
        <f>IF(B53="","",IF(ISNA(VLOOKUP($B53,'B-1 On-Site Hedge Baseline'!$B$1:$L$257,8,FALSE)),"",(VLOOKUP($B53,'B-1 On-Site Hedge Baseline'!$B$1:$L$257,8,FALSE))))</f>
        <v/>
      </c>
      <c r="I53" s="382" t="str">
        <f>IF(B53="","",IF(ISNA(VLOOKUP($B53,'B-1 On-Site Hedge Baseline'!$B$1:$L$257,10,FALSE)),"",(VLOOKUP($B53,'B-1 On-Site Hedge Baseline'!$B$1:$L$257,10,FALSE))))</f>
        <v/>
      </c>
      <c r="J53" s="382" t="str">
        <f>IF(B53="","",IF(ISNA(VLOOKUP($B53,'B-1 On-Site Hedge Baseline'!$B$1:$L$257,11,FALSE)),"",(VLOOKUP($B53,'B-1 On-Site Hedge Baseline'!$B$1:$L$257,11,FALSE))))</f>
        <v/>
      </c>
      <c r="K53" s="382" t="str">
        <f>IF(B53="","",IF(ISNA(VLOOKUP($B53,'B-1 On-Site Hedge Baseline'!$B$1:$U$257,13,FALSE)),"",(VLOOKUP($B53,'B-1 On-Site Hedge Baseline'!$B$1:$U$257,13,FALSE))))</f>
        <v/>
      </c>
      <c r="L53" s="386" t="str">
        <f>IF(B53="","",IF(ISNA(VLOOKUP($B53,'B-1 On-Site Hedge Baseline'!$B$1:$U$257,12,FALSE)),"",(VLOOKUP($B53,'B-1 On-Site Hedge Baseline'!$B$1:$U$257,12,FALSE))))</f>
        <v/>
      </c>
      <c r="M53" s="315" t="str">
        <f t="shared" si="0"/>
        <v/>
      </c>
      <c r="N53" s="362" t="str">
        <f>IFERROR(IF(B53="","",INDEX('G-6 Hedgerow Data'!$AN$3:$AZ$15,MATCH(C53,'G-6 Hedgerow Data'!$AM$3:$AM$15,0),MATCH(M53,'G-6 Hedgerow Data'!$AN$2:$AZ$2,0))),"")</f>
        <v/>
      </c>
      <c r="O53" s="363" t="str">
        <f t="shared" si="2"/>
        <v/>
      </c>
      <c r="P53" s="417" t="str">
        <f>IF(B53="","",VLOOKUP(B53,'B-1 On-Site Hedge Baseline'!$B$10:T298,16,FALSE))</f>
        <v/>
      </c>
      <c r="Q53" s="362" t="str">
        <f>IF(M53="","",VLOOKUP(M53,'G-6 Hedgerow Data'!$B$2:$AG$15,2,FALSE))</f>
        <v/>
      </c>
      <c r="R53" s="363" t="str">
        <f>IF(M53="","",VLOOKUP(M53,'G-6 Hedgerow Data'!$B$2:$AG$15,3,FALSE))</f>
        <v/>
      </c>
      <c r="S53" s="125"/>
      <c r="T53" s="401" t="str">
        <f>IFERROR(VLOOKUP(S53,'G-1 All Habitats'!$Z$2:$AA$9,2,FALSE),"")</f>
        <v/>
      </c>
      <c r="U53" s="122"/>
      <c r="V53" s="382" t="str">
        <f>IF(U53="","",IF(VLOOKUP(U53,'G-3 Multipliers'!$L$3:$N$6,2,FALSE)=0,"Spatial Data Missing ⚠",VLOOKUP(U53,'G-3 Multipliers'!$L$3:$N$6,2,FALSE)))</f>
        <v/>
      </c>
      <c r="W53" s="386" t="str">
        <f>IF(U53="","",IF(VLOOKUP(U53,'G-3 Multipliers'!$L$3:$N$6,3,FALSE)=0,"Spatial Data Missing ⚠",VLOOKUP(U53,'G-3 Multipliers'!$L$3:$N$6,3,FALSE)))</f>
        <v/>
      </c>
      <c r="X53" s="362" t="str">
        <f>IFERROR(IF(OR(LEFT(O53,5)="Error",LEFT(N53,5)="Error",T53="Error"),"Check Data ⚠",IF(F53&lt;R53,INDEX('G-6 Hedgerow Data'!$S$3:$AE$14,MATCH(C53,'G-6 Hedgerow Data'!$B$3:$B$14,0),MATCH(M53,'G-6 Hedgerow Data'!$S$2:$AE$2,0)),INDEX('G-6 Hedgerow Data'!$K$3:$Q$14,MATCH(M53,'G-6 Hedgerow Data'!$B$3:$B$14,0),MATCH(O53,'G-6 Hedgerow Data'!$K$2:$Q$2,0)))),"")</f>
        <v/>
      </c>
      <c r="Y53" s="159"/>
      <c r="Z53" s="159"/>
      <c r="AA53" s="370" t="str">
        <f t="shared" si="3"/>
        <v/>
      </c>
      <c r="AB53" s="383" t="str">
        <f t="shared" si="4"/>
        <v/>
      </c>
      <c r="AC53" s="384" t="str">
        <f t="shared" si="1"/>
        <v/>
      </c>
      <c r="AD53" s="398" t="str">
        <f>IF(M53="","",VLOOKUP(M53,'G-6 Hedgerow Data'!$B$3:$AG$15,31,FALSE))</f>
        <v/>
      </c>
      <c r="AE53" s="370" t="str">
        <f t="shared" si="5"/>
        <v/>
      </c>
      <c r="AF53" s="370" t="str">
        <f t="shared" si="6"/>
        <v/>
      </c>
      <c r="AG53" s="386" t="str">
        <f>IFERROR(IF(O53="","",VLOOKUP(AD53,'G-3 Multipliers'!$P$3:$Q$6,2,FALSE)),"")</f>
        <v/>
      </c>
      <c r="AH53" s="376" t="str">
        <f t="shared" si="7"/>
        <v/>
      </c>
      <c r="AI53" s="188"/>
      <c r="AJ53" s="118"/>
      <c r="AK53" s="120"/>
      <c r="AT53" s="30" t="str">
        <f>IFERROR(INDEX('G-6 Hedgerow Data'!$BJ$3:$BJ$15,MATCH(M53,'G-6 Hedgerow Data'!$B$3:$B$15,0)),"")</f>
        <v/>
      </c>
    </row>
    <row r="54" spans="2:46" ht="15">
      <c r="B54" s="392" t="str">
        <f>'B-1 On-Site Hedge Baseline'!AK52</f>
        <v/>
      </c>
      <c r="C54" s="382" t="str">
        <f>IF(B54="","",IF(ISNA(VLOOKUP($B54,'B-1 On-Site Hedge Baseline'!$B$1:$L$257,3,FALSE)),"",(VLOOKUP($B54,'B-1 On-Site Hedge Baseline'!$B$1:$L$257,3,FALSE))))</f>
        <v/>
      </c>
      <c r="D54" s="382" t="str">
        <f>IF(B54="","",IF(ISNA(VLOOKUP($B54,'B-1 On-Site Hedge Baseline'!$B$1:$L$257,4,FALSE)),"",(VLOOKUP($B54,'B-1 On-Site Hedge Baseline'!$B$1:$L$257,4,FALSE))))</f>
        <v/>
      </c>
      <c r="E54" s="382" t="str">
        <f>IF(B54="","",IF(ISNA(VLOOKUP($B54,'B-1 On-Site Hedge Baseline'!$B$1:$L$257,5,FALSE)),"",(VLOOKUP($B54,'B-1 On-Site Hedge Baseline'!$B$1:$L$257,5,FALSE))))</f>
        <v/>
      </c>
      <c r="F54" s="382" t="str">
        <f>IF(B54="","",IF(ISNA(VLOOKUP($B54,'B-1 On-Site Hedge Baseline'!$B$1:$L$257,6,FALSE)),"",(VLOOKUP($B54,'B-1 On-Site Hedge Baseline'!$B$1:$L$257,6,FALSE))))</f>
        <v/>
      </c>
      <c r="G54" s="382" t="str">
        <f>IF(B54="","",IF(ISNA(VLOOKUP($B54,'B-1 On-Site Hedge Baseline'!$B$1:$L$257,7,FALSE)),"",(VLOOKUP($B54,'B-1 On-Site Hedge Baseline'!$B$1:$L$257,7,FALSE))))</f>
        <v/>
      </c>
      <c r="H54" s="382" t="str">
        <f>IF(B54="","",IF(ISNA(VLOOKUP($B54,'B-1 On-Site Hedge Baseline'!$B$1:$L$257,8,FALSE)),"",(VLOOKUP($B54,'B-1 On-Site Hedge Baseline'!$B$1:$L$257,8,FALSE))))</f>
        <v/>
      </c>
      <c r="I54" s="382" t="str">
        <f>IF(B54="","",IF(ISNA(VLOOKUP($B54,'B-1 On-Site Hedge Baseline'!$B$1:$L$257,10,FALSE)),"",(VLOOKUP($B54,'B-1 On-Site Hedge Baseline'!$B$1:$L$257,10,FALSE))))</f>
        <v/>
      </c>
      <c r="J54" s="382" t="str">
        <f>IF(B54="","",IF(ISNA(VLOOKUP($B54,'B-1 On-Site Hedge Baseline'!$B$1:$L$257,11,FALSE)),"",(VLOOKUP($B54,'B-1 On-Site Hedge Baseline'!$B$1:$L$257,11,FALSE))))</f>
        <v/>
      </c>
      <c r="K54" s="382" t="str">
        <f>IF(B54="","",IF(ISNA(VLOOKUP($B54,'B-1 On-Site Hedge Baseline'!$B$1:$U$257,13,FALSE)),"",(VLOOKUP($B54,'B-1 On-Site Hedge Baseline'!$B$1:$U$257,13,FALSE))))</f>
        <v/>
      </c>
      <c r="L54" s="386" t="str">
        <f>IF(B54="","",IF(ISNA(VLOOKUP($B54,'B-1 On-Site Hedge Baseline'!$B$1:$U$257,12,FALSE)),"",(VLOOKUP($B54,'B-1 On-Site Hedge Baseline'!$B$1:$U$257,12,FALSE))))</f>
        <v/>
      </c>
      <c r="M54" s="315" t="str">
        <f t="shared" si="0"/>
        <v/>
      </c>
      <c r="N54" s="362" t="str">
        <f>IFERROR(IF(B54="","",INDEX('G-6 Hedgerow Data'!$AN$3:$AZ$15,MATCH(C54,'G-6 Hedgerow Data'!$AM$3:$AM$15,0),MATCH(M54,'G-6 Hedgerow Data'!$AN$2:$AZ$2,0))),"")</f>
        <v/>
      </c>
      <c r="O54" s="363" t="str">
        <f t="shared" si="2"/>
        <v/>
      </c>
      <c r="P54" s="417" t="str">
        <f>IF(B54="","",VLOOKUP(B54,'B-1 On-Site Hedge Baseline'!$B$10:T299,16,FALSE))</f>
        <v/>
      </c>
      <c r="Q54" s="362" t="str">
        <f>IF(M54="","",VLOOKUP(M54,'G-6 Hedgerow Data'!$B$2:$AG$15,2,FALSE))</f>
        <v/>
      </c>
      <c r="R54" s="363" t="str">
        <f>IF(M54="","",VLOOKUP(M54,'G-6 Hedgerow Data'!$B$2:$AG$15,3,FALSE))</f>
        <v/>
      </c>
      <c r="S54" s="125"/>
      <c r="T54" s="401" t="str">
        <f>IFERROR(VLOOKUP(S54,'G-1 All Habitats'!$Z$2:$AA$9,2,FALSE),"")</f>
        <v/>
      </c>
      <c r="U54" s="122"/>
      <c r="V54" s="382" t="str">
        <f>IF(U54="","",IF(VLOOKUP(U54,'G-3 Multipliers'!$L$3:$N$6,2,FALSE)=0,"Spatial Data Missing ⚠",VLOOKUP(U54,'G-3 Multipliers'!$L$3:$N$6,2,FALSE)))</f>
        <v/>
      </c>
      <c r="W54" s="386" t="str">
        <f>IF(U54="","",IF(VLOOKUP(U54,'G-3 Multipliers'!$L$3:$N$6,3,FALSE)=0,"Spatial Data Missing ⚠",VLOOKUP(U54,'G-3 Multipliers'!$L$3:$N$6,3,FALSE)))</f>
        <v/>
      </c>
      <c r="X54" s="362" t="str">
        <f>IFERROR(IF(OR(LEFT(O54,5)="Error",LEFT(N54,5)="Error",T54="Error"),"Check Data ⚠",IF(F54&lt;R54,INDEX('G-6 Hedgerow Data'!$S$3:$AE$14,MATCH(C54,'G-6 Hedgerow Data'!$B$3:$B$14,0),MATCH(M54,'G-6 Hedgerow Data'!$S$2:$AE$2,0)),INDEX('G-6 Hedgerow Data'!$K$3:$Q$14,MATCH(M54,'G-6 Hedgerow Data'!$B$3:$B$14,0),MATCH(O54,'G-6 Hedgerow Data'!$K$2:$Q$2,0)))),"")</f>
        <v/>
      </c>
      <c r="Y54" s="159"/>
      <c r="Z54" s="159"/>
      <c r="AA54" s="370" t="str">
        <f t="shared" si="3"/>
        <v/>
      </c>
      <c r="AB54" s="383" t="str">
        <f t="shared" si="4"/>
        <v/>
      </c>
      <c r="AC54" s="384" t="str">
        <f t="shared" si="1"/>
        <v/>
      </c>
      <c r="AD54" s="398" t="str">
        <f>IF(M54="","",VLOOKUP(M54,'G-6 Hedgerow Data'!$B$3:$AG$15,31,FALSE))</f>
        <v/>
      </c>
      <c r="AE54" s="370" t="str">
        <f t="shared" si="5"/>
        <v/>
      </c>
      <c r="AF54" s="370" t="str">
        <f t="shared" si="6"/>
        <v/>
      </c>
      <c r="AG54" s="386" t="str">
        <f>IFERROR(IF(O54="","",VLOOKUP(AD54,'G-3 Multipliers'!$P$3:$Q$6,2,FALSE)),"")</f>
        <v/>
      </c>
      <c r="AH54" s="376" t="str">
        <f t="shared" si="7"/>
        <v/>
      </c>
      <c r="AI54" s="188"/>
      <c r="AJ54" s="118"/>
      <c r="AK54" s="120"/>
      <c r="AT54" s="30" t="str">
        <f>IFERROR(INDEX('G-6 Hedgerow Data'!$BJ$3:$BJ$15,MATCH(M54,'G-6 Hedgerow Data'!$B$3:$B$15,0)),"")</f>
        <v/>
      </c>
    </row>
    <row r="55" spans="2:46" ht="15">
      <c r="B55" s="392" t="str">
        <f>'B-1 On-Site Hedge Baseline'!AK53</f>
        <v/>
      </c>
      <c r="C55" s="382" t="str">
        <f>IF(B55="","",IF(ISNA(VLOOKUP($B55,'B-1 On-Site Hedge Baseline'!$B$1:$L$257,3,FALSE)),"",(VLOOKUP($B55,'B-1 On-Site Hedge Baseline'!$B$1:$L$257,3,FALSE))))</f>
        <v/>
      </c>
      <c r="D55" s="382" t="str">
        <f>IF(B55="","",IF(ISNA(VLOOKUP($B55,'B-1 On-Site Hedge Baseline'!$B$1:$L$257,4,FALSE)),"",(VLOOKUP($B55,'B-1 On-Site Hedge Baseline'!$B$1:$L$257,4,FALSE))))</f>
        <v/>
      </c>
      <c r="E55" s="382" t="str">
        <f>IF(B55="","",IF(ISNA(VLOOKUP($B55,'B-1 On-Site Hedge Baseline'!$B$1:$L$257,5,FALSE)),"",(VLOOKUP($B55,'B-1 On-Site Hedge Baseline'!$B$1:$L$257,5,FALSE))))</f>
        <v/>
      </c>
      <c r="F55" s="382" t="str">
        <f>IF(B55="","",IF(ISNA(VLOOKUP($B55,'B-1 On-Site Hedge Baseline'!$B$1:$L$257,6,FALSE)),"",(VLOOKUP($B55,'B-1 On-Site Hedge Baseline'!$B$1:$L$257,6,FALSE))))</f>
        <v/>
      </c>
      <c r="G55" s="382" t="str">
        <f>IF(B55="","",IF(ISNA(VLOOKUP($B55,'B-1 On-Site Hedge Baseline'!$B$1:$L$257,7,FALSE)),"",(VLOOKUP($B55,'B-1 On-Site Hedge Baseline'!$B$1:$L$257,7,FALSE))))</f>
        <v/>
      </c>
      <c r="H55" s="382" t="str">
        <f>IF(B55="","",IF(ISNA(VLOOKUP($B55,'B-1 On-Site Hedge Baseline'!$B$1:$L$257,8,FALSE)),"",(VLOOKUP($B55,'B-1 On-Site Hedge Baseline'!$B$1:$L$257,8,FALSE))))</f>
        <v/>
      </c>
      <c r="I55" s="382" t="str">
        <f>IF(B55="","",IF(ISNA(VLOOKUP($B55,'B-1 On-Site Hedge Baseline'!$B$1:$L$257,10,FALSE)),"",(VLOOKUP($B55,'B-1 On-Site Hedge Baseline'!$B$1:$L$257,10,FALSE))))</f>
        <v/>
      </c>
      <c r="J55" s="382" t="str">
        <f>IF(B55="","",IF(ISNA(VLOOKUP($B55,'B-1 On-Site Hedge Baseline'!$B$1:$L$257,11,FALSE)),"",(VLOOKUP($B55,'B-1 On-Site Hedge Baseline'!$B$1:$L$257,11,FALSE))))</f>
        <v/>
      </c>
      <c r="K55" s="382" t="str">
        <f>IF(B55="","",IF(ISNA(VLOOKUP($B55,'B-1 On-Site Hedge Baseline'!$B$1:$U$257,13,FALSE)),"",(VLOOKUP($B55,'B-1 On-Site Hedge Baseline'!$B$1:$U$257,13,FALSE))))</f>
        <v/>
      </c>
      <c r="L55" s="386" t="str">
        <f>IF(B55="","",IF(ISNA(VLOOKUP($B55,'B-1 On-Site Hedge Baseline'!$B$1:$U$257,12,FALSE)),"",(VLOOKUP($B55,'B-1 On-Site Hedge Baseline'!$B$1:$U$257,12,FALSE))))</f>
        <v/>
      </c>
      <c r="M55" s="315" t="str">
        <f t="shared" si="0"/>
        <v/>
      </c>
      <c r="N55" s="362" t="str">
        <f>IFERROR(IF(B55="","",INDEX('G-6 Hedgerow Data'!$AN$3:$AZ$15,MATCH(C55,'G-6 Hedgerow Data'!$AM$3:$AM$15,0),MATCH(M55,'G-6 Hedgerow Data'!$AN$2:$AZ$2,0))),"")</f>
        <v/>
      </c>
      <c r="O55" s="363" t="str">
        <f t="shared" si="2"/>
        <v/>
      </c>
      <c r="P55" s="417" t="str">
        <f>IF(B55="","",VLOOKUP(B55,'B-1 On-Site Hedge Baseline'!$B$10:T300,16,FALSE))</f>
        <v/>
      </c>
      <c r="Q55" s="362" t="str">
        <f>IF(M55="","",VLOOKUP(M55,'G-6 Hedgerow Data'!$B$2:$AG$15,2,FALSE))</f>
        <v/>
      </c>
      <c r="R55" s="363" t="str">
        <f>IF(M55="","",VLOOKUP(M55,'G-6 Hedgerow Data'!$B$2:$AG$15,3,FALSE))</f>
        <v/>
      </c>
      <c r="S55" s="125"/>
      <c r="T55" s="401" t="str">
        <f>IFERROR(VLOOKUP(S55,'G-1 All Habitats'!$Z$2:$AA$9,2,FALSE),"")</f>
        <v/>
      </c>
      <c r="U55" s="122"/>
      <c r="V55" s="382" t="str">
        <f>IF(U55="","",IF(VLOOKUP(U55,'G-3 Multipliers'!$L$3:$N$6,2,FALSE)=0,"Spatial Data Missing ⚠",VLOOKUP(U55,'G-3 Multipliers'!$L$3:$N$6,2,FALSE)))</f>
        <v/>
      </c>
      <c r="W55" s="386" t="str">
        <f>IF(U55="","",IF(VLOOKUP(U55,'G-3 Multipliers'!$L$3:$N$6,3,FALSE)=0,"Spatial Data Missing ⚠",VLOOKUP(U55,'G-3 Multipliers'!$L$3:$N$6,3,FALSE)))</f>
        <v/>
      </c>
      <c r="X55" s="362" t="str">
        <f>IFERROR(IF(OR(LEFT(O55,5)="Error",LEFT(N55,5)="Error",T55="Error"),"Check Data ⚠",IF(F55&lt;R55,INDEX('G-6 Hedgerow Data'!$S$3:$AE$14,MATCH(C55,'G-6 Hedgerow Data'!$B$3:$B$14,0),MATCH(M55,'G-6 Hedgerow Data'!$S$2:$AE$2,0)),INDEX('G-6 Hedgerow Data'!$K$3:$Q$14,MATCH(M55,'G-6 Hedgerow Data'!$B$3:$B$14,0),MATCH(O55,'G-6 Hedgerow Data'!$K$2:$Q$2,0)))),"")</f>
        <v/>
      </c>
      <c r="Y55" s="159"/>
      <c r="Z55" s="159"/>
      <c r="AA55" s="370" t="str">
        <f t="shared" si="3"/>
        <v/>
      </c>
      <c r="AB55" s="383" t="str">
        <f t="shared" si="4"/>
        <v/>
      </c>
      <c r="AC55" s="384" t="str">
        <f t="shared" si="1"/>
        <v/>
      </c>
      <c r="AD55" s="398" t="str">
        <f>IF(M55="","",VLOOKUP(M55,'G-6 Hedgerow Data'!$B$3:$AG$15,31,FALSE))</f>
        <v/>
      </c>
      <c r="AE55" s="370" t="str">
        <f t="shared" si="5"/>
        <v/>
      </c>
      <c r="AF55" s="370" t="str">
        <f t="shared" si="6"/>
        <v/>
      </c>
      <c r="AG55" s="386" t="str">
        <f>IFERROR(IF(O55="","",VLOOKUP(AD55,'G-3 Multipliers'!$P$3:$Q$6,2,FALSE)),"")</f>
        <v/>
      </c>
      <c r="AH55" s="376" t="str">
        <f t="shared" si="7"/>
        <v/>
      </c>
      <c r="AI55" s="188"/>
      <c r="AJ55" s="118"/>
      <c r="AK55" s="120"/>
      <c r="AT55" s="30" t="str">
        <f>IFERROR(INDEX('G-6 Hedgerow Data'!$BJ$3:$BJ$15,MATCH(M55,'G-6 Hedgerow Data'!$B$3:$B$15,0)),"")</f>
        <v/>
      </c>
    </row>
    <row r="56" spans="2:46" ht="15">
      <c r="B56" s="392" t="str">
        <f>'B-1 On-Site Hedge Baseline'!AK54</f>
        <v/>
      </c>
      <c r="C56" s="382" t="str">
        <f>IF(B56="","",IF(ISNA(VLOOKUP($B56,'B-1 On-Site Hedge Baseline'!$B$1:$L$257,3,FALSE)),"",(VLOOKUP($B56,'B-1 On-Site Hedge Baseline'!$B$1:$L$257,3,FALSE))))</f>
        <v/>
      </c>
      <c r="D56" s="382" t="str">
        <f>IF(B56="","",IF(ISNA(VLOOKUP($B56,'B-1 On-Site Hedge Baseline'!$B$1:$L$257,4,FALSE)),"",(VLOOKUP($B56,'B-1 On-Site Hedge Baseline'!$B$1:$L$257,4,FALSE))))</f>
        <v/>
      </c>
      <c r="E56" s="382" t="str">
        <f>IF(B56="","",IF(ISNA(VLOOKUP($B56,'B-1 On-Site Hedge Baseline'!$B$1:$L$257,5,FALSE)),"",(VLOOKUP($B56,'B-1 On-Site Hedge Baseline'!$B$1:$L$257,5,FALSE))))</f>
        <v/>
      </c>
      <c r="F56" s="382" t="str">
        <f>IF(B56="","",IF(ISNA(VLOOKUP($B56,'B-1 On-Site Hedge Baseline'!$B$1:$L$257,6,FALSE)),"",(VLOOKUP($B56,'B-1 On-Site Hedge Baseline'!$B$1:$L$257,6,FALSE))))</f>
        <v/>
      </c>
      <c r="G56" s="382" t="str">
        <f>IF(B56="","",IF(ISNA(VLOOKUP($B56,'B-1 On-Site Hedge Baseline'!$B$1:$L$257,7,FALSE)),"",(VLOOKUP($B56,'B-1 On-Site Hedge Baseline'!$B$1:$L$257,7,FALSE))))</f>
        <v/>
      </c>
      <c r="H56" s="382" t="str">
        <f>IF(B56="","",IF(ISNA(VLOOKUP($B56,'B-1 On-Site Hedge Baseline'!$B$1:$L$257,8,FALSE)),"",(VLOOKUP($B56,'B-1 On-Site Hedge Baseline'!$B$1:$L$257,8,FALSE))))</f>
        <v/>
      </c>
      <c r="I56" s="382" t="str">
        <f>IF(B56="","",IF(ISNA(VLOOKUP($B56,'B-1 On-Site Hedge Baseline'!$B$1:$L$257,10,FALSE)),"",(VLOOKUP($B56,'B-1 On-Site Hedge Baseline'!$B$1:$L$257,10,FALSE))))</f>
        <v/>
      </c>
      <c r="J56" s="382" t="str">
        <f>IF(B56="","",IF(ISNA(VLOOKUP($B56,'B-1 On-Site Hedge Baseline'!$B$1:$L$257,11,FALSE)),"",(VLOOKUP($B56,'B-1 On-Site Hedge Baseline'!$B$1:$L$257,11,FALSE))))</f>
        <v/>
      </c>
      <c r="K56" s="382" t="str">
        <f>IF(B56="","",IF(ISNA(VLOOKUP($B56,'B-1 On-Site Hedge Baseline'!$B$1:$U$257,13,FALSE)),"",(VLOOKUP($B56,'B-1 On-Site Hedge Baseline'!$B$1:$U$257,13,FALSE))))</f>
        <v/>
      </c>
      <c r="L56" s="386" t="str">
        <f>IF(B56="","",IF(ISNA(VLOOKUP($B56,'B-1 On-Site Hedge Baseline'!$B$1:$U$257,12,FALSE)),"",(VLOOKUP($B56,'B-1 On-Site Hedge Baseline'!$B$1:$U$257,12,FALSE))))</f>
        <v/>
      </c>
      <c r="M56" s="315" t="str">
        <f t="shared" si="0"/>
        <v/>
      </c>
      <c r="N56" s="362" t="str">
        <f>IFERROR(IF(B56="","",INDEX('G-6 Hedgerow Data'!$AN$3:$AZ$15,MATCH(C56,'G-6 Hedgerow Data'!$AM$3:$AM$15,0),MATCH(M56,'G-6 Hedgerow Data'!$AN$2:$AZ$2,0))),"")</f>
        <v/>
      </c>
      <c r="O56" s="363" t="str">
        <f t="shared" si="2"/>
        <v/>
      </c>
      <c r="P56" s="417" t="str">
        <f>IF(B56="","",VLOOKUP(B56,'B-1 On-Site Hedge Baseline'!$B$10:T301,16,FALSE))</f>
        <v/>
      </c>
      <c r="Q56" s="362" t="str">
        <f>IF(M56="","",VLOOKUP(M56,'G-6 Hedgerow Data'!$B$2:$AG$15,2,FALSE))</f>
        <v/>
      </c>
      <c r="R56" s="363" t="str">
        <f>IF(M56="","",VLOOKUP(M56,'G-6 Hedgerow Data'!$B$2:$AG$15,3,FALSE))</f>
        <v/>
      </c>
      <c r="S56" s="125"/>
      <c r="T56" s="401" t="str">
        <f>IFERROR(VLOOKUP(S56,'G-1 All Habitats'!$Z$2:$AA$9,2,FALSE),"")</f>
        <v/>
      </c>
      <c r="U56" s="122"/>
      <c r="V56" s="382" t="str">
        <f>IF(U56="","",IF(VLOOKUP(U56,'G-3 Multipliers'!$L$3:$N$6,2,FALSE)=0,"Spatial Data Missing ⚠",VLOOKUP(U56,'G-3 Multipliers'!$L$3:$N$6,2,FALSE)))</f>
        <v/>
      </c>
      <c r="W56" s="386" t="str">
        <f>IF(U56="","",IF(VLOOKUP(U56,'G-3 Multipliers'!$L$3:$N$6,3,FALSE)=0,"Spatial Data Missing ⚠",VLOOKUP(U56,'G-3 Multipliers'!$L$3:$N$6,3,FALSE)))</f>
        <v/>
      </c>
      <c r="X56" s="362" t="str">
        <f>IFERROR(IF(OR(LEFT(O56,5)="Error",LEFT(N56,5)="Error",T56="Error"),"Check Data ⚠",IF(F56&lt;R56,INDEX('G-6 Hedgerow Data'!$S$3:$AE$14,MATCH(C56,'G-6 Hedgerow Data'!$B$3:$B$14,0),MATCH(M56,'G-6 Hedgerow Data'!$S$2:$AE$2,0)),INDEX('G-6 Hedgerow Data'!$K$3:$Q$14,MATCH(M56,'G-6 Hedgerow Data'!$B$3:$B$14,0),MATCH(O56,'G-6 Hedgerow Data'!$K$2:$Q$2,0)))),"")</f>
        <v/>
      </c>
      <c r="Y56" s="159"/>
      <c r="Z56" s="159"/>
      <c r="AA56" s="370" t="str">
        <f t="shared" si="3"/>
        <v/>
      </c>
      <c r="AB56" s="383" t="str">
        <f t="shared" si="4"/>
        <v/>
      </c>
      <c r="AC56" s="384" t="str">
        <f t="shared" si="1"/>
        <v/>
      </c>
      <c r="AD56" s="398" t="str">
        <f>IF(M56="","",VLOOKUP(M56,'G-6 Hedgerow Data'!$B$3:$AG$15,31,FALSE))</f>
        <v/>
      </c>
      <c r="AE56" s="370" t="str">
        <f t="shared" si="5"/>
        <v/>
      </c>
      <c r="AF56" s="370" t="str">
        <f t="shared" si="6"/>
        <v/>
      </c>
      <c r="AG56" s="386" t="str">
        <f>IFERROR(IF(O56="","",VLOOKUP(AD56,'G-3 Multipliers'!$P$3:$Q$6,2,FALSE)),"")</f>
        <v/>
      </c>
      <c r="AH56" s="376" t="str">
        <f t="shared" si="7"/>
        <v/>
      </c>
      <c r="AI56" s="188"/>
      <c r="AJ56" s="118"/>
      <c r="AK56" s="120"/>
      <c r="AT56" s="30" t="str">
        <f>IFERROR(INDEX('G-6 Hedgerow Data'!$BJ$3:$BJ$15,MATCH(M56,'G-6 Hedgerow Data'!$B$3:$B$15,0)),"")</f>
        <v/>
      </c>
    </row>
    <row r="57" spans="2:46" ht="15">
      <c r="B57" s="392" t="str">
        <f>'B-1 On-Site Hedge Baseline'!AK55</f>
        <v/>
      </c>
      <c r="C57" s="382" t="str">
        <f>IF(B57="","",IF(ISNA(VLOOKUP($B57,'B-1 On-Site Hedge Baseline'!$B$1:$L$257,3,FALSE)),"",(VLOOKUP($B57,'B-1 On-Site Hedge Baseline'!$B$1:$L$257,3,FALSE))))</f>
        <v/>
      </c>
      <c r="D57" s="382" t="str">
        <f>IF(B57="","",IF(ISNA(VLOOKUP($B57,'B-1 On-Site Hedge Baseline'!$B$1:$L$257,4,FALSE)),"",(VLOOKUP($B57,'B-1 On-Site Hedge Baseline'!$B$1:$L$257,4,FALSE))))</f>
        <v/>
      </c>
      <c r="E57" s="382" t="str">
        <f>IF(B57="","",IF(ISNA(VLOOKUP($B57,'B-1 On-Site Hedge Baseline'!$B$1:$L$257,5,FALSE)),"",(VLOOKUP($B57,'B-1 On-Site Hedge Baseline'!$B$1:$L$257,5,FALSE))))</f>
        <v/>
      </c>
      <c r="F57" s="382" t="str">
        <f>IF(B57="","",IF(ISNA(VLOOKUP($B57,'B-1 On-Site Hedge Baseline'!$B$1:$L$257,6,FALSE)),"",(VLOOKUP($B57,'B-1 On-Site Hedge Baseline'!$B$1:$L$257,6,FALSE))))</f>
        <v/>
      </c>
      <c r="G57" s="382" t="str">
        <f>IF(B57="","",IF(ISNA(VLOOKUP($B57,'B-1 On-Site Hedge Baseline'!$B$1:$L$257,7,FALSE)),"",(VLOOKUP($B57,'B-1 On-Site Hedge Baseline'!$B$1:$L$257,7,FALSE))))</f>
        <v/>
      </c>
      <c r="H57" s="382" t="str">
        <f>IF(B57="","",IF(ISNA(VLOOKUP($B57,'B-1 On-Site Hedge Baseline'!$B$1:$L$257,8,FALSE)),"",(VLOOKUP($B57,'B-1 On-Site Hedge Baseline'!$B$1:$L$257,8,FALSE))))</f>
        <v/>
      </c>
      <c r="I57" s="382" t="str">
        <f>IF(B57="","",IF(ISNA(VLOOKUP($B57,'B-1 On-Site Hedge Baseline'!$B$1:$L$257,10,FALSE)),"",(VLOOKUP($B57,'B-1 On-Site Hedge Baseline'!$B$1:$L$257,10,FALSE))))</f>
        <v/>
      </c>
      <c r="J57" s="382" t="str">
        <f>IF(B57="","",IF(ISNA(VLOOKUP($B57,'B-1 On-Site Hedge Baseline'!$B$1:$L$257,11,FALSE)),"",(VLOOKUP($B57,'B-1 On-Site Hedge Baseline'!$B$1:$L$257,11,FALSE))))</f>
        <v/>
      </c>
      <c r="K57" s="382" t="str">
        <f>IF(B57="","",IF(ISNA(VLOOKUP($B57,'B-1 On-Site Hedge Baseline'!$B$1:$U$257,13,FALSE)),"",(VLOOKUP($B57,'B-1 On-Site Hedge Baseline'!$B$1:$U$257,13,FALSE))))</f>
        <v/>
      </c>
      <c r="L57" s="386" t="str">
        <f>IF(B57="","",IF(ISNA(VLOOKUP($B57,'B-1 On-Site Hedge Baseline'!$B$1:$U$257,12,FALSE)),"",(VLOOKUP($B57,'B-1 On-Site Hedge Baseline'!$B$1:$U$257,12,FALSE))))</f>
        <v/>
      </c>
      <c r="M57" s="315" t="str">
        <f t="shared" si="0"/>
        <v/>
      </c>
      <c r="N57" s="362" t="str">
        <f>IFERROR(IF(B57="","",INDEX('G-6 Hedgerow Data'!$AN$3:$AZ$15,MATCH(C57,'G-6 Hedgerow Data'!$AM$3:$AM$15,0),MATCH(M57,'G-6 Hedgerow Data'!$AN$2:$AZ$2,0))),"")</f>
        <v/>
      </c>
      <c r="O57" s="363" t="str">
        <f t="shared" si="2"/>
        <v/>
      </c>
      <c r="P57" s="417" t="str">
        <f>IF(B57="","",VLOOKUP(B57,'B-1 On-Site Hedge Baseline'!$B$10:T302,16,FALSE))</f>
        <v/>
      </c>
      <c r="Q57" s="362" t="str">
        <f>IF(M57="","",VLOOKUP(M57,'G-6 Hedgerow Data'!$B$2:$AG$15,2,FALSE))</f>
        <v/>
      </c>
      <c r="R57" s="363" t="str">
        <f>IF(M57="","",VLOOKUP(M57,'G-6 Hedgerow Data'!$B$2:$AG$15,3,FALSE))</f>
        <v/>
      </c>
      <c r="S57" s="125"/>
      <c r="T57" s="401" t="str">
        <f>IFERROR(VLOOKUP(S57,'G-1 All Habitats'!$Z$2:$AA$9,2,FALSE),"")</f>
        <v/>
      </c>
      <c r="U57" s="122"/>
      <c r="V57" s="382" t="str">
        <f>IF(U57="","",IF(VLOOKUP(U57,'G-3 Multipliers'!$L$3:$N$6,2,FALSE)=0,"Spatial Data Missing ⚠",VLOOKUP(U57,'G-3 Multipliers'!$L$3:$N$6,2,FALSE)))</f>
        <v/>
      </c>
      <c r="W57" s="386" t="str">
        <f>IF(U57="","",IF(VLOOKUP(U57,'G-3 Multipliers'!$L$3:$N$6,3,FALSE)=0,"Spatial Data Missing ⚠",VLOOKUP(U57,'G-3 Multipliers'!$L$3:$N$6,3,FALSE)))</f>
        <v/>
      </c>
      <c r="X57" s="362" t="str">
        <f>IFERROR(IF(OR(LEFT(O57,5)="Error",LEFT(N57,5)="Error",T57="Error"),"Check Data ⚠",IF(F57&lt;R57,INDEX('G-6 Hedgerow Data'!$S$3:$AE$14,MATCH(C57,'G-6 Hedgerow Data'!$B$3:$B$14,0),MATCH(M57,'G-6 Hedgerow Data'!$S$2:$AE$2,0)),INDEX('G-6 Hedgerow Data'!$K$3:$Q$14,MATCH(M57,'G-6 Hedgerow Data'!$B$3:$B$14,0),MATCH(O57,'G-6 Hedgerow Data'!$K$2:$Q$2,0)))),"")</f>
        <v/>
      </c>
      <c r="Y57" s="159"/>
      <c r="Z57" s="159"/>
      <c r="AA57" s="370" t="str">
        <f t="shared" si="3"/>
        <v/>
      </c>
      <c r="AB57" s="383" t="str">
        <f t="shared" si="4"/>
        <v/>
      </c>
      <c r="AC57" s="384" t="str">
        <f t="shared" si="1"/>
        <v/>
      </c>
      <c r="AD57" s="398" t="str">
        <f>IF(M57="","",VLOOKUP(M57,'G-6 Hedgerow Data'!$B$3:$AG$15,31,FALSE))</f>
        <v/>
      </c>
      <c r="AE57" s="370" t="str">
        <f t="shared" si="5"/>
        <v/>
      </c>
      <c r="AF57" s="370" t="str">
        <f t="shared" si="6"/>
        <v/>
      </c>
      <c r="AG57" s="386" t="str">
        <f>IFERROR(IF(O57="","",VLOOKUP(AD57,'G-3 Multipliers'!$P$3:$Q$6,2,FALSE)),"")</f>
        <v/>
      </c>
      <c r="AH57" s="376" t="str">
        <f t="shared" si="7"/>
        <v/>
      </c>
      <c r="AI57" s="188"/>
      <c r="AJ57" s="118"/>
      <c r="AK57" s="120"/>
      <c r="AT57" s="30" t="str">
        <f>IFERROR(INDEX('G-6 Hedgerow Data'!$BJ$3:$BJ$15,MATCH(M57,'G-6 Hedgerow Data'!$B$3:$B$15,0)),"")</f>
        <v/>
      </c>
    </row>
    <row r="58" spans="2:46" ht="15">
      <c r="B58" s="392" t="str">
        <f>'B-1 On-Site Hedge Baseline'!AK56</f>
        <v/>
      </c>
      <c r="C58" s="382" t="str">
        <f>IF(B58="","",IF(ISNA(VLOOKUP($B58,'B-1 On-Site Hedge Baseline'!$B$1:$L$257,3,FALSE)),"",(VLOOKUP($B58,'B-1 On-Site Hedge Baseline'!$B$1:$L$257,3,FALSE))))</f>
        <v/>
      </c>
      <c r="D58" s="382" t="str">
        <f>IF(B58="","",IF(ISNA(VLOOKUP($B58,'B-1 On-Site Hedge Baseline'!$B$1:$L$257,4,FALSE)),"",(VLOOKUP($B58,'B-1 On-Site Hedge Baseline'!$B$1:$L$257,4,FALSE))))</f>
        <v/>
      </c>
      <c r="E58" s="382" t="str">
        <f>IF(B58="","",IF(ISNA(VLOOKUP($B58,'B-1 On-Site Hedge Baseline'!$B$1:$L$257,5,FALSE)),"",(VLOOKUP($B58,'B-1 On-Site Hedge Baseline'!$B$1:$L$257,5,FALSE))))</f>
        <v/>
      </c>
      <c r="F58" s="382" t="str">
        <f>IF(B58="","",IF(ISNA(VLOOKUP($B58,'B-1 On-Site Hedge Baseline'!$B$1:$L$257,6,FALSE)),"",(VLOOKUP($B58,'B-1 On-Site Hedge Baseline'!$B$1:$L$257,6,FALSE))))</f>
        <v/>
      </c>
      <c r="G58" s="382" t="str">
        <f>IF(B58="","",IF(ISNA(VLOOKUP($B58,'B-1 On-Site Hedge Baseline'!$B$1:$L$257,7,FALSE)),"",(VLOOKUP($B58,'B-1 On-Site Hedge Baseline'!$B$1:$L$257,7,FALSE))))</f>
        <v/>
      </c>
      <c r="H58" s="382" t="str">
        <f>IF(B58="","",IF(ISNA(VLOOKUP($B58,'B-1 On-Site Hedge Baseline'!$B$1:$L$257,8,FALSE)),"",(VLOOKUP($B58,'B-1 On-Site Hedge Baseline'!$B$1:$L$257,8,FALSE))))</f>
        <v/>
      </c>
      <c r="I58" s="382" t="str">
        <f>IF(B58="","",IF(ISNA(VLOOKUP($B58,'B-1 On-Site Hedge Baseline'!$B$1:$L$257,10,FALSE)),"",(VLOOKUP($B58,'B-1 On-Site Hedge Baseline'!$B$1:$L$257,10,FALSE))))</f>
        <v/>
      </c>
      <c r="J58" s="382" t="str">
        <f>IF(B58="","",IF(ISNA(VLOOKUP($B58,'B-1 On-Site Hedge Baseline'!$B$1:$L$257,11,FALSE)),"",(VLOOKUP($B58,'B-1 On-Site Hedge Baseline'!$B$1:$L$257,11,FALSE))))</f>
        <v/>
      </c>
      <c r="K58" s="382" t="str">
        <f>IF(B58="","",IF(ISNA(VLOOKUP($B58,'B-1 On-Site Hedge Baseline'!$B$1:$U$257,13,FALSE)),"",(VLOOKUP($B58,'B-1 On-Site Hedge Baseline'!$B$1:$U$257,13,FALSE))))</f>
        <v/>
      </c>
      <c r="L58" s="386" t="str">
        <f>IF(B58="","",IF(ISNA(VLOOKUP($B58,'B-1 On-Site Hedge Baseline'!$B$1:$U$257,12,FALSE)),"",(VLOOKUP($B58,'B-1 On-Site Hedge Baseline'!$B$1:$U$257,12,FALSE))))</f>
        <v/>
      </c>
      <c r="M58" s="315" t="str">
        <f t="shared" si="0"/>
        <v/>
      </c>
      <c r="N58" s="362" t="str">
        <f>IFERROR(IF(B58="","",INDEX('G-6 Hedgerow Data'!$AN$3:$AZ$15,MATCH(C58,'G-6 Hedgerow Data'!$AM$3:$AM$15,0),MATCH(M58,'G-6 Hedgerow Data'!$AN$2:$AZ$2,0))),"")</f>
        <v/>
      </c>
      <c r="O58" s="363" t="str">
        <f t="shared" si="2"/>
        <v/>
      </c>
      <c r="P58" s="417" t="str">
        <f>IF(B58="","",VLOOKUP(B58,'B-1 On-Site Hedge Baseline'!$B$10:T303,16,FALSE))</f>
        <v/>
      </c>
      <c r="Q58" s="362" t="str">
        <f>IF(M58="","",VLOOKUP(M58,'G-6 Hedgerow Data'!$B$2:$AG$15,2,FALSE))</f>
        <v/>
      </c>
      <c r="R58" s="363" t="str">
        <f>IF(M58="","",VLOOKUP(M58,'G-6 Hedgerow Data'!$B$2:$AG$15,3,FALSE))</f>
        <v/>
      </c>
      <c r="S58" s="125"/>
      <c r="T58" s="401" t="str">
        <f>IFERROR(VLOOKUP(S58,'G-1 All Habitats'!$Z$2:$AA$9,2,FALSE),"")</f>
        <v/>
      </c>
      <c r="U58" s="122"/>
      <c r="V58" s="382" t="str">
        <f>IF(U58="","",IF(VLOOKUP(U58,'G-3 Multipliers'!$L$3:$N$6,2,FALSE)=0,"Spatial Data Missing ⚠",VLOOKUP(U58,'G-3 Multipliers'!$L$3:$N$6,2,FALSE)))</f>
        <v/>
      </c>
      <c r="W58" s="386" t="str">
        <f>IF(U58="","",IF(VLOOKUP(U58,'G-3 Multipliers'!$L$3:$N$6,3,FALSE)=0,"Spatial Data Missing ⚠",VLOOKUP(U58,'G-3 Multipliers'!$L$3:$N$6,3,FALSE)))</f>
        <v/>
      </c>
      <c r="X58" s="362" t="str">
        <f>IFERROR(IF(OR(LEFT(O58,5)="Error",LEFT(N58,5)="Error",T58="Error"),"Check Data ⚠",IF(F58&lt;R58,INDEX('G-6 Hedgerow Data'!$S$3:$AE$14,MATCH(C58,'G-6 Hedgerow Data'!$B$3:$B$14,0),MATCH(M58,'G-6 Hedgerow Data'!$S$2:$AE$2,0)),INDEX('G-6 Hedgerow Data'!$K$3:$Q$14,MATCH(M58,'G-6 Hedgerow Data'!$B$3:$B$14,0),MATCH(O58,'G-6 Hedgerow Data'!$K$2:$Q$2,0)))),"")</f>
        <v/>
      </c>
      <c r="Y58" s="159"/>
      <c r="Z58" s="159"/>
      <c r="AA58" s="370" t="str">
        <f t="shared" si="3"/>
        <v/>
      </c>
      <c r="AB58" s="383" t="str">
        <f t="shared" si="4"/>
        <v/>
      </c>
      <c r="AC58" s="384" t="str">
        <f t="shared" si="1"/>
        <v/>
      </c>
      <c r="AD58" s="398" t="str">
        <f>IF(M58="","",VLOOKUP(M58,'G-6 Hedgerow Data'!$B$3:$AG$15,31,FALSE))</f>
        <v/>
      </c>
      <c r="AE58" s="370" t="str">
        <f t="shared" si="5"/>
        <v/>
      </c>
      <c r="AF58" s="370" t="str">
        <f t="shared" si="6"/>
        <v/>
      </c>
      <c r="AG58" s="386" t="str">
        <f>IFERROR(IF(O58="","",VLOOKUP(AD58,'G-3 Multipliers'!$P$3:$Q$6,2,FALSE)),"")</f>
        <v/>
      </c>
      <c r="AH58" s="376" t="str">
        <f t="shared" si="7"/>
        <v/>
      </c>
      <c r="AI58" s="188"/>
      <c r="AJ58" s="118"/>
      <c r="AK58" s="120"/>
      <c r="AT58" s="30" t="str">
        <f>IFERROR(INDEX('G-6 Hedgerow Data'!$BJ$3:$BJ$15,MATCH(M58,'G-6 Hedgerow Data'!$B$3:$B$15,0)),"")</f>
        <v/>
      </c>
    </row>
    <row r="59" spans="2:46" ht="15">
      <c r="B59" s="392" t="str">
        <f>'B-1 On-Site Hedge Baseline'!AK57</f>
        <v/>
      </c>
      <c r="C59" s="382" t="str">
        <f>IF(B59="","",IF(ISNA(VLOOKUP($B59,'B-1 On-Site Hedge Baseline'!$B$1:$L$257,3,FALSE)),"",(VLOOKUP($B59,'B-1 On-Site Hedge Baseline'!$B$1:$L$257,3,FALSE))))</f>
        <v/>
      </c>
      <c r="D59" s="382" t="str">
        <f>IF(B59="","",IF(ISNA(VLOOKUP($B59,'B-1 On-Site Hedge Baseline'!$B$1:$L$257,4,FALSE)),"",(VLOOKUP($B59,'B-1 On-Site Hedge Baseline'!$B$1:$L$257,4,FALSE))))</f>
        <v/>
      </c>
      <c r="E59" s="382" t="str">
        <f>IF(B59="","",IF(ISNA(VLOOKUP($B59,'B-1 On-Site Hedge Baseline'!$B$1:$L$257,5,FALSE)),"",(VLOOKUP($B59,'B-1 On-Site Hedge Baseline'!$B$1:$L$257,5,FALSE))))</f>
        <v/>
      </c>
      <c r="F59" s="382" t="str">
        <f>IF(B59="","",IF(ISNA(VLOOKUP($B59,'B-1 On-Site Hedge Baseline'!$B$1:$L$257,6,FALSE)),"",(VLOOKUP($B59,'B-1 On-Site Hedge Baseline'!$B$1:$L$257,6,FALSE))))</f>
        <v/>
      </c>
      <c r="G59" s="382" t="str">
        <f>IF(B59="","",IF(ISNA(VLOOKUP($B59,'B-1 On-Site Hedge Baseline'!$B$1:$L$257,7,FALSE)),"",(VLOOKUP($B59,'B-1 On-Site Hedge Baseline'!$B$1:$L$257,7,FALSE))))</f>
        <v/>
      </c>
      <c r="H59" s="382" t="str">
        <f>IF(B59="","",IF(ISNA(VLOOKUP($B59,'B-1 On-Site Hedge Baseline'!$B$1:$L$257,8,FALSE)),"",(VLOOKUP($B59,'B-1 On-Site Hedge Baseline'!$B$1:$L$257,8,FALSE))))</f>
        <v/>
      </c>
      <c r="I59" s="382" t="str">
        <f>IF(B59="","",IF(ISNA(VLOOKUP($B59,'B-1 On-Site Hedge Baseline'!$B$1:$L$257,10,FALSE)),"",(VLOOKUP($B59,'B-1 On-Site Hedge Baseline'!$B$1:$L$257,10,FALSE))))</f>
        <v/>
      </c>
      <c r="J59" s="382" t="str">
        <f>IF(B59="","",IF(ISNA(VLOOKUP($B59,'B-1 On-Site Hedge Baseline'!$B$1:$L$257,11,FALSE)),"",(VLOOKUP($B59,'B-1 On-Site Hedge Baseline'!$B$1:$L$257,11,FALSE))))</f>
        <v/>
      </c>
      <c r="K59" s="382" t="str">
        <f>IF(B59="","",IF(ISNA(VLOOKUP($B59,'B-1 On-Site Hedge Baseline'!$B$1:$U$257,13,FALSE)),"",(VLOOKUP($B59,'B-1 On-Site Hedge Baseline'!$B$1:$U$257,13,FALSE))))</f>
        <v/>
      </c>
      <c r="L59" s="386" t="str">
        <f>IF(B59="","",IF(ISNA(VLOOKUP($B59,'B-1 On-Site Hedge Baseline'!$B$1:$U$257,12,FALSE)),"",(VLOOKUP($B59,'B-1 On-Site Hedge Baseline'!$B$1:$U$257,12,FALSE))))</f>
        <v/>
      </c>
      <c r="M59" s="315" t="str">
        <f t="shared" si="0"/>
        <v/>
      </c>
      <c r="N59" s="362" t="str">
        <f>IFERROR(IF(B59="","",INDEX('G-6 Hedgerow Data'!$AN$3:$AZ$15,MATCH(C59,'G-6 Hedgerow Data'!$AM$3:$AM$15,0),MATCH(M59,'G-6 Hedgerow Data'!$AN$2:$AZ$2,0))),"")</f>
        <v/>
      </c>
      <c r="O59" s="363" t="str">
        <f t="shared" si="2"/>
        <v/>
      </c>
      <c r="P59" s="417" t="str">
        <f>IF(B59="","",VLOOKUP(B59,'B-1 On-Site Hedge Baseline'!$B$10:T304,16,FALSE))</f>
        <v/>
      </c>
      <c r="Q59" s="362" t="str">
        <f>IF(M59="","",VLOOKUP(M59,'G-6 Hedgerow Data'!$B$2:$AG$15,2,FALSE))</f>
        <v/>
      </c>
      <c r="R59" s="363" t="str">
        <f>IF(M59="","",VLOOKUP(M59,'G-6 Hedgerow Data'!$B$2:$AG$15,3,FALSE))</f>
        <v/>
      </c>
      <c r="S59" s="125"/>
      <c r="T59" s="401" t="str">
        <f>IFERROR(VLOOKUP(S59,'G-1 All Habitats'!$Z$2:$AA$9,2,FALSE),"")</f>
        <v/>
      </c>
      <c r="U59" s="122"/>
      <c r="V59" s="382" t="str">
        <f>IF(U59="","",IF(VLOOKUP(U59,'G-3 Multipliers'!$L$3:$N$6,2,FALSE)=0,"Spatial Data Missing ⚠",VLOOKUP(U59,'G-3 Multipliers'!$L$3:$N$6,2,FALSE)))</f>
        <v/>
      </c>
      <c r="W59" s="386" t="str">
        <f>IF(U59="","",IF(VLOOKUP(U59,'G-3 Multipliers'!$L$3:$N$6,3,FALSE)=0,"Spatial Data Missing ⚠",VLOOKUP(U59,'G-3 Multipliers'!$L$3:$N$6,3,FALSE)))</f>
        <v/>
      </c>
      <c r="X59" s="362" t="str">
        <f>IFERROR(IF(OR(LEFT(O59,5)="Error",LEFT(N59,5)="Error",T59="Error"),"Check Data ⚠",IF(F59&lt;R59,INDEX('G-6 Hedgerow Data'!$S$3:$AE$14,MATCH(C59,'G-6 Hedgerow Data'!$B$3:$B$14,0),MATCH(M59,'G-6 Hedgerow Data'!$S$2:$AE$2,0)),INDEX('G-6 Hedgerow Data'!$K$3:$Q$14,MATCH(M59,'G-6 Hedgerow Data'!$B$3:$B$14,0),MATCH(O59,'G-6 Hedgerow Data'!$K$2:$Q$2,0)))),"")</f>
        <v/>
      </c>
      <c r="Y59" s="159"/>
      <c r="Z59" s="159"/>
      <c r="AA59" s="370" t="str">
        <f t="shared" si="3"/>
        <v/>
      </c>
      <c r="AB59" s="383" t="str">
        <f t="shared" si="4"/>
        <v/>
      </c>
      <c r="AC59" s="384" t="str">
        <f t="shared" si="1"/>
        <v/>
      </c>
      <c r="AD59" s="398" t="str">
        <f>IF(M59="","",VLOOKUP(M59,'G-6 Hedgerow Data'!$B$3:$AG$15,31,FALSE))</f>
        <v/>
      </c>
      <c r="AE59" s="370" t="str">
        <f t="shared" si="5"/>
        <v/>
      </c>
      <c r="AF59" s="370" t="str">
        <f t="shared" si="6"/>
        <v/>
      </c>
      <c r="AG59" s="386" t="str">
        <f>IFERROR(IF(O59="","",VLOOKUP(AD59,'G-3 Multipliers'!$P$3:$Q$6,2,FALSE)),"")</f>
        <v/>
      </c>
      <c r="AH59" s="376" t="str">
        <f t="shared" si="7"/>
        <v/>
      </c>
      <c r="AI59" s="188"/>
      <c r="AJ59" s="118"/>
      <c r="AK59" s="120"/>
      <c r="AT59" s="30" t="str">
        <f>IFERROR(INDEX('G-6 Hedgerow Data'!$BJ$3:$BJ$15,MATCH(M59,'G-6 Hedgerow Data'!$B$3:$B$15,0)),"")</f>
        <v/>
      </c>
    </row>
    <row r="60" spans="2:46" ht="15">
      <c r="B60" s="392" t="str">
        <f>'B-1 On-Site Hedge Baseline'!AK58</f>
        <v/>
      </c>
      <c r="C60" s="382" t="str">
        <f>IF(B60="","",IF(ISNA(VLOOKUP($B60,'B-1 On-Site Hedge Baseline'!$B$1:$L$257,3,FALSE)),"",(VLOOKUP($B60,'B-1 On-Site Hedge Baseline'!$B$1:$L$257,3,FALSE))))</f>
        <v/>
      </c>
      <c r="D60" s="382" t="str">
        <f>IF(B60="","",IF(ISNA(VLOOKUP($B60,'B-1 On-Site Hedge Baseline'!$B$1:$L$257,4,FALSE)),"",(VLOOKUP($B60,'B-1 On-Site Hedge Baseline'!$B$1:$L$257,4,FALSE))))</f>
        <v/>
      </c>
      <c r="E60" s="382" t="str">
        <f>IF(B60="","",IF(ISNA(VLOOKUP($B60,'B-1 On-Site Hedge Baseline'!$B$1:$L$257,5,FALSE)),"",(VLOOKUP($B60,'B-1 On-Site Hedge Baseline'!$B$1:$L$257,5,FALSE))))</f>
        <v/>
      </c>
      <c r="F60" s="382" t="str">
        <f>IF(B60="","",IF(ISNA(VLOOKUP($B60,'B-1 On-Site Hedge Baseline'!$B$1:$L$257,6,FALSE)),"",(VLOOKUP($B60,'B-1 On-Site Hedge Baseline'!$B$1:$L$257,6,FALSE))))</f>
        <v/>
      </c>
      <c r="G60" s="382" t="str">
        <f>IF(B60="","",IF(ISNA(VLOOKUP($B60,'B-1 On-Site Hedge Baseline'!$B$1:$L$257,7,FALSE)),"",(VLOOKUP($B60,'B-1 On-Site Hedge Baseline'!$B$1:$L$257,7,FALSE))))</f>
        <v/>
      </c>
      <c r="H60" s="382" t="str">
        <f>IF(B60="","",IF(ISNA(VLOOKUP($B60,'B-1 On-Site Hedge Baseline'!$B$1:$L$257,8,FALSE)),"",(VLOOKUP($B60,'B-1 On-Site Hedge Baseline'!$B$1:$L$257,8,FALSE))))</f>
        <v/>
      </c>
      <c r="I60" s="382" t="str">
        <f>IF(B60="","",IF(ISNA(VLOOKUP($B60,'B-1 On-Site Hedge Baseline'!$B$1:$L$257,10,FALSE)),"",(VLOOKUP($B60,'B-1 On-Site Hedge Baseline'!$B$1:$L$257,10,FALSE))))</f>
        <v/>
      </c>
      <c r="J60" s="382" t="str">
        <f>IF(B60="","",IF(ISNA(VLOOKUP($B60,'B-1 On-Site Hedge Baseline'!$B$1:$L$257,11,FALSE)),"",(VLOOKUP($B60,'B-1 On-Site Hedge Baseline'!$B$1:$L$257,11,FALSE))))</f>
        <v/>
      </c>
      <c r="K60" s="382" t="str">
        <f>IF(B60="","",IF(ISNA(VLOOKUP($B60,'B-1 On-Site Hedge Baseline'!$B$1:$U$257,13,FALSE)),"",(VLOOKUP($B60,'B-1 On-Site Hedge Baseline'!$B$1:$U$257,13,FALSE))))</f>
        <v/>
      </c>
      <c r="L60" s="386" t="str">
        <f>IF(B60="","",IF(ISNA(VLOOKUP($B60,'B-1 On-Site Hedge Baseline'!$B$1:$U$257,12,FALSE)),"",(VLOOKUP($B60,'B-1 On-Site Hedge Baseline'!$B$1:$U$257,12,FALSE))))</f>
        <v/>
      </c>
      <c r="M60" s="315" t="str">
        <f t="shared" si="0"/>
        <v/>
      </c>
      <c r="N60" s="362" t="str">
        <f>IFERROR(IF(B60="","",INDEX('G-6 Hedgerow Data'!$AN$3:$AZ$15,MATCH(C60,'G-6 Hedgerow Data'!$AM$3:$AM$15,0),MATCH(M60,'G-6 Hedgerow Data'!$AN$2:$AZ$2,0))),"")</f>
        <v/>
      </c>
      <c r="O60" s="363" t="str">
        <f t="shared" si="2"/>
        <v/>
      </c>
      <c r="P60" s="417" t="str">
        <f>IF(B60="","",VLOOKUP(B60,'B-1 On-Site Hedge Baseline'!$B$10:T305,16,FALSE))</f>
        <v/>
      </c>
      <c r="Q60" s="362" t="str">
        <f>IF(M60="","",VLOOKUP(M60,'G-6 Hedgerow Data'!$B$2:$AG$15,2,FALSE))</f>
        <v/>
      </c>
      <c r="R60" s="363" t="str">
        <f>IF(M60="","",VLOOKUP(M60,'G-6 Hedgerow Data'!$B$2:$AG$15,3,FALSE))</f>
        <v/>
      </c>
      <c r="S60" s="125"/>
      <c r="T60" s="401" t="str">
        <f>IFERROR(VLOOKUP(S60,'G-1 All Habitats'!$Z$2:$AA$9,2,FALSE),"")</f>
        <v/>
      </c>
      <c r="U60" s="122"/>
      <c r="V60" s="382" t="str">
        <f>IF(U60="","",IF(VLOOKUP(U60,'G-3 Multipliers'!$L$3:$N$6,2,FALSE)=0,"Spatial Data Missing ⚠",VLOOKUP(U60,'G-3 Multipliers'!$L$3:$N$6,2,FALSE)))</f>
        <v/>
      </c>
      <c r="W60" s="386" t="str">
        <f>IF(U60="","",IF(VLOOKUP(U60,'G-3 Multipliers'!$L$3:$N$6,3,FALSE)=0,"Spatial Data Missing ⚠",VLOOKUP(U60,'G-3 Multipliers'!$L$3:$N$6,3,FALSE)))</f>
        <v/>
      </c>
      <c r="X60" s="362" t="str">
        <f>IFERROR(IF(OR(LEFT(O60,5)="Error",LEFT(N60,5)="Error",T60="Error"),"Check Data ⚠",IF(F60&lt;R60,INDEX('G-6 Hedgerow Data'!$S$3:$AE$14,MATCH(C60,'G-6 Hedgerow Data'!$B$3:$B$14,0),MATCH(M60,'G-6 Hedgerow Data'!$S$2:$AE$2,0)),INDEX('G-6 Hedgerow Data'!$K$3:$Q$14,MATCH(M60,'G-6 Hedgerow Data'!$B$3:$B$14,0),MATCH(O60,'G-6 Hedgerow Data'!$K$2:$Q$2,0)))),"")</f>
        <v/>
      </c>
      <c r="Y60" s="159"/>
      <c r="Z60" s="159"/>
      <c r="AA60" s="370" t="str">
        <f t="shared" si="3"/>
        <v/>
      </c>
      <c r="AB60" s="383" t="str">
        <f t="shared" si="4"/>
        <v/>
      </c>
      <c r="AC60" s="384" t="str">
        <f t="shared" si="1"/>
        <v/>
      </c>
      <c r="AD60" s="398" t="str">
        <f>IF(M60="","",VLOOKUP(M60,'G-6 Hedgerow Data'!$B$3:$AG$15,31,FALSE))</f>
        <v/>
      </c>
      <c r="AE60" s="370" t="str">
        <f t="shared" si="5"/>
        <v/>
      </c>
      <c r="AF60" s="370" t="str">
        <f t="shared" si="6"/>
        <v/>
      </c>
      <c r="AG60" s="386" t="str">
        <f>IFERROR(IF(O60="","",VLOOKUP(AD60,'G-3 Multipliers'!$P$3:$Q$6,2,FALSE)),"")</f>
        <v/>
      </c>
      <c r="AH60" s="376" t="str">
        <f t="shared" si="7"/>
        <v/>
      </c>
      <c r="AI60" s="188"/>
      <c r="AJ60" s="118"/>
      <c r="AK60" s="120"/>
      <c r="AT60" s="30" t="str">
        <f>IFERROR(INDEX('G-6 Hedgerow Data'!$BJ$3:$BJ$15,MATCH(M60,'G-6 Hedgerow Data'!$B$3:$B$15,0)),"")</f>
        <v/>
      </c>
    </row>
    <row r="61" spans="2:46" ht="15">
      <c r="B61" s="392" t="str">
        <f>'B-1 On-Site Hedge Baseline'!AK59</f>
        <v/>
      </c>
      <c r="C61" s="382" t="str">
        <f>IF(B61="","",IF(ISNA(VLOOKUP($B61,'B-1 On-Site Hedge Baseline'!$B$1:$L$257,3,FALSE)),"",(VLOOKUP($B61,'B-1 On-Site Hedge Baseline'!$B$1:$L$257,3,FALSE))))</f>
        <v/>
      </c>
      <c r="D61" s="382" t="str">
        <f>IF(B61="","",IF(ISNA(VLOOKUP($B61,'B-1 On-Site Hedge Baseline'!$B$1:$L$257,4,FALSE)),"",(VLOOKUP($B61,'B-1 On-Site Hedge Baseline'!$B$1:$L$257,4,FALSE))))</f>
        <v/>
      </c>
      <c r="E61" s="382" t="str">
        <f>IF(B61="","",IF(ISNA(VLOOKUP($B61,'B-1 On-Site Hedge Baseline'!$B$1:$L$257,5,FALSE)),"",(VLOOKUP($B61,'B-1 On-Site Hedge Baseline'!$B$1:$L$257,5,FALSE))))</f>
        <v/>
      </c>
      <c r="F61" s="382" t="str">
        <f>IF(B61="","",IF(ISNA(VLOOKUP($B61,'B-1 On-Site Hedge Baseline'!$B$1:$L$257,6,FALSE)),"",(VLOOKUP($B61,'B-1 On-Site Hedge Baseline'!$B$1:$L$257,6,FALSE))))</f>
        <v/>
      </c>
      <c r="G61" s="382" t="str">
        <f>IF(B61="","",IF(ISNA(VLOOKUP($B61,'B-1 On-Site Hedge Baseline'!$B$1:$L$257,7,FALSE)),"",(VLOOKUP($B61,'B-1 On-Site Hedge Baseline'!$B$1:$L$257,7,FALSE))))</f>
        <v/>
      </c>
      <c r="H61" s="382" t="str">
        <f>IF(B61="","",IF(ISNA(VLOOKUP($B61,'B-1 On-Site Hedge Baseline'!$B$1:$L$257,8,FALSE)),"",(VLOOKUP($B61,'B-1 On-Site Hedge Baseline'!$B$1:$L$257,8,FALSE))))</f>
        <v/>
      </c>
      <c r="I61" s="382" t="str">
        <f>IF(B61="","",IF(ISNA(VLOOKUP($B61,'B-1 On-Site Hedge Baseline'!$B$1:$L$257,10,FALSE)),"",(VLOOKUP($B61,'B-1 On-Site Hedge Baseline'!$B$1:$L$257,10,FALSE))))</f>
        <v/>
      </c>
      <c r="J61" s="382" t="str">
        <f>IF(B61="","",IF(ISNA(VLOOKUP($B61,'B-1 On-Site Hedge Baseline'!$B$1:$L$257,11,FALSE)),"",(VLOOKUP($B61,'B-1 On-Site Hedge Baseline'!$B$1:$L$257,11,FALSE))))</f>
        <v/>
      </c>
      <c r="K61" s="382" t="str">
        <f>IF(B61="","",IF(ISNA(VLOOKUP($B61,'B-1 On-Site Hedge Baseline'!$B$1:$U$257,13,FALSE)),"",(VLOOKUP($B61,'B-1 On-Site Hedge Baseline'!$B$1:$U$257,13,FALSE))))</f>
        <v/>
      </c>
      <c r="L61" s="386" t="str">
        <f>IF(B61="","",IF(ISNA(VLOOKUP($B61,'B-1 On-Site Hedge Baseline'!$B$1:$U$257,12,FALSE)),"",(VLOOKUP($B61,'B-1 On-Site Hedge Baseline'!$B$1:$U$257,12,FALSE))))</f>
        <v/>
      </c>
      <c r="M61" s="315" t="str">
        <f t="shared" si="0"/>
        <v/>
      </c>
      <c r="N61" s="362" t="str">
        <f>IFERROR(IF(B61="","",INDEX('G-6 Hedgerow Data'!$AN$3:$AZ$15,MATCH(C61,'G-6 Hedgerow Data'!$AM$3:$AM$15,0),MATCH(M61,'G-6 Hedgerow Data'!$AN$2:$AZ$2,0))),"")</f>
        <v/>
      </c>
      <c r="O61" s="363" t="str">
        <f t="shared" si="2"/>
        <v/>
      </c>
      <c r="P61" s="417" t="str">
        <f>IF(B61="","",VLOOKUP(B61,'B-1 On-Site Hedge Baseline'!$B$10:T306,16,FALSE))</f>
        <v/>
      </c>
      <c r="Q61" s="362" t="str">
        <f>IF(M61="","",VLOOKUP(M61,'G-6 Hedgerow Data'!$B$2:$AG$15,2,FALSE))</f>
        <v/>
      </c>
      <c r="R61" s="363" t="str">
        <f>IF(M61="","",VLOOKUP(M61,'G-6 Hedgerow Data'!$B$2:$AG$15,3,FALSE))</f>
        <v/>
      </c>
      <c r="S61" s="125"/>
      <c r="T61" s="401" t="str">
        <f>IFERROR(VLOOKUP(S61,'G-1 All Habitats'!$Z$2:$AA$9,2,FALSE),"")</f>
        <v/>
      </c>
      <c r="U61" s="122"/>
      <c r="V61" s="382" t="str">
        <f>IF(U61="","",IF(VLOOKUP(U61,'G-3 Multipliers'!$L$3:$N$6,2,FALSE)=0,"Spatial Data Missing ⚠",VLOOKUP(U61,'G-3 Multipliers'!$L$3:$N$6,2,FALSE)))</f>
        <v/>
      </c>
      <c r="W61" s="386" t="str">
        <f>IF(U61="","",IF(VLOOKUP(U61,'G-3 Multipliers'!$L$3:$N$6,3,FALSE)=0,"Spatial Data Missing ⚠",VLOOKUP(U61,'G-3 Multipliers'!$L$3:$N$6,3,FALSE)))</f>
        <v/>
      </c>
      <c r="X61" s="362" t="str">
        <f>IFERROR(IF(OR(LEFT(O61,5)="Error",LEFT(N61,5)="Error",T61="Error"),"Check Data ⚠",IF(F61&lt;R61,INDEX('G-6 Hedgerow Data'!$S$3:$AE$14,MATCH(C61,'G-6 Hedgerow Data'!$B$3:$B$14,0),MATCH(M61,'G-6 Hedgerow Data'!$S$2:$AE$2,0)),INDEX('G-6 Hedgerow Data'!$K$3:$Q$14,MATCH(M61,'G-6 Hedgerow Data'!$B$3:$B$14,0),MATCH(O61,'G-6 Hedgerow Data'!$K$2:$Q$2,0)))),"")</f>
        <v/>
      </c>
      <c r="Y61" s="159"/>
      <c r="Z61" s="159"/>
      <c r="AA61" s="370" t="str">
        <f t="shared" si="3"/>
        <v/>
      </c>
      <c r="AB61" s="383" t="str">
        <f t="shared" si="4"/>
        <v/>
      </c>
      <c r="AC61" s="384" t="str">
        <f t="shared" si="1"/>
        <v/>
      </c>
      <c r="AD61" s="398" t="str">
        <f>IF(M61="","",VLOOKUP(M61,'G-6 Hedgerow Data'!$B$3:$AG$15,31,FALSE))</f>
        <v/>
      </c>
      <c r="AE61" s="370" t="str">
        <f t="shared" si="5"/>
        <v/>
      </c>
      <c r="AF61" s="370" t="str">
        <f t="shared" si="6"/>
        <v/>
      </c>
      <c r="AG61" s="386" t="str">
        <f>IFERROR(IF(O61="","",VLOOKUP(AD61,'G-3 Multipliers'!$P$3:$Q$6,2,FALSE)),"")</f>
        <v/>
      </c>
      <c r="AH61" s="376" t="str">
        <f t="shared" si="7"/>
        <v/>
      </c>
      <c r="AI61" s="188"/>
      <c r="AJ61" s="118"/>
      <c r="AK61" s="120"/>
      <c r="AT61" s="30" t="str">
        <f>IFERROR(INDEX('G-6 Hedgerow Data'!$BJ$3:$BJ$15,MATCH(M61,'G-6 Hedgerow Data'!$B$3:$B$15,0)),"")</f>
        <v/>
      </c>
    </row>
    <row r="62" spans="2:46" ht="15">
      <c r="B62" s="392" t="str">
        <f>'B-1 On-Site Hedge Baseline'!AK60</f>
        <v/>
      </c>
      <c r="C62" s="382" t="str">
        <f>IF(B62="","",IF(ISNA(VLOOKUP($B62,'B-1 On-Site Hedge Baseline'!$B$1:$L$257,3,FALSE)),"",(VLOOKUP($B62,'B-1 On-Site Hedge Baseline'!$B$1:$L$257,3,FALSE))))</f>
        <v/>
      </c>
      <c r="D62" s="382" t="str">
        <f>IF(B62="","",IF(ISNA(VLOOKUP($B62,'B-1 On-Site Hedge Baseline'!$B$1:$L$257,4,FALSE)),"",(VLOOKUP($B62,'B-1 On-Site Hedge Baseline'!$B$1:$L$257,4,FALSE))))</f>
        <v/>
      </c>
      <c r="E62" s="382" t="str">
        <f>IF(B62="","",IF(ISNA(VLOOKUP($B62,'B-1 On-Site Hedge Baseline'!$B$1:$L$257,5,FALSE)),"",(VLOOKUP($B62,'B-1 On-Site Hedge Baseline'!$B$1:$L$257,5,FALSE))))</f>
        <v/>
      </c>
      <c r="F62" s="382" t="str">
        <f>IF(B62="","",IF(ISNA(VLOOKUP($B62,'B-1 On-Site Hedge Baseline'!$B$1:$L$257,6,FALSE)),"",(VLOOKUP($B62,'B-1 On-Site Hedge Baseline'!$B$1:$L$257,6,FALSE))))</f>
        <v/>
      </c>
      <c r="G62" s="382" t="str">
        <f>IF(B62="","",IF(ISNA(VLOOKUP($B62,'B-1 On-Site Hedge Baseline'!$B$1:$L$257,7,FALSE)),"",(VLOOKUP($B62,'B-1 On-Site Hedge Baseline'!$B$1:$L$257,7,FALSE))))</f>
        <v/>
      </c>
      <c r="H62" s="382" t="str">
        <f>IF(B62="","",IF(ISNA(VLOOKUP($B62,'B-1 On-Site Hedge Baseline'!$B$1:$L$257,8,FALSE)),"",(VLOOKUP($B62,'B-1 On-Site Hedge Baseline'!$B$1:$L$257,8,FALSE))))</f>
        <v/>
      </c>
      <c r="I62" s="382" t="str">
        <f>IF(B62="","",IF(ISNA(VLOOKUP($B62,'B-1 On-Site Hedge Baseline'!$B$1:$L$257,10,FALSE)),"",(VLOOKUP($B62,'B-1 On-Site Hedge Baseline'!$B$1:$L$257,10,FALSE))))</f>
        <v/>
      </c>
      <c r="J62" s="382" t="str">
        <f>IF(B62="","",IF(ISNA(VLOOKUP($B62,'B-1 On-Site Hedge Baseline'!$B$1:$L$257,11,FALSE)),"",(VLOOKUP($B62,'B-1 On-Site Hedge Baseline'!$B$1:$L$257,11,FALSE))))</f>
        <v/>
      </c>
      <c r="K62" s="382" t="str">
        <f>IF(B62="","",IF(ISNA(VLOOKUP($B62,'B-1 On-Site Hedge Baseline'!$B$1:$U$257,13,FALSE)),"",(VLOOKUP($B62,'B-1 On-Site Hedge Baseline'!$B$1:$U$257,13,FALSE))))</f>
        <v/>
      </c>
      <c r="L62" s="386" t="str">
        <f>IF(B62="","",IF(ISNA(VLOOKUP($B62,'B-1 On-Site Hedge Baseline'!$B$1:$U$257,12,FALSE)),"",(VLOOKUP($B62,'B-1 On-Site Hedge Baseline'!$B$1:$U$257,12,FALSE))))</f>
        <v/>
      </c>
      <c r="M62" s="315" t="str">
        <f t="shared" si="0"/>
        <v/>
      </c>
      <c r="N62" s="362" t="str">
        <f>IFERROR(IF(B62="","",INDEX('G-6 Hedgerow Data'!$AN$3:$AZ$15,MATCH(C62,'G-6 Hedgerow Data'!$AM$3:$AM$15,0),MATCH(M62,'G-6 Hedgerow Data'!$AN$2:$AZ$2,0))),"")</f>
        <v/>
      </c>
      <c r="O62" s="363" t="str">
        <f t="shared" si="2"/>
        <v/>
      </c>
      <c r="P62" s="417" t="str">
        <f>IF(B62="","",VLOOKUP(B62,'B-1 On-Site Hedge Baseline'!$B$10:T307,16,FALSE))</f>
        <v/>
      </c>
      <c r="Q62" s="362" t="str">
        <f>IF(M62="","",VLOOKUP(M62,'G-6 Hedgerow Data'!$B$2:$AG$15,2,FALSE))</f>
        <v/>
      </c>
      <c r="R62" s="363" t="str">
        <f>IF(M62="","",VLOOKUP(M62,'G-6 Hedgerow Data'!$B$2:$AG$15,3,FALSE))</f>
        <v/>
      </c>
      <c r="S62" s="125"/>
      <c r="T62" s="401" t="str">
        <f>IFERROR(VLOOKUP(S62,'G-1 All Habitats'!$Z$2:$AA$9,2,FALSE),"")</f>
        <v/>
      </c>
      <c r="U62" s="122"/>
      <c r="V62" s="382" t="str">
        <f>IF(U62="","",IF(VLOOKUP(U62,'G-3 Multipliers'!$L$3:$N$6,2,FALSE)=0,"Spatial Data Missing ⚠",VLOOKUP(U62,'G-3 Multipliers'!$L$3:$N$6,2,FALSE)))</f>
        <v/>
      </c>
      <c r="W62" s="386" t="str">
        <f>IF(U62="","",IF(VLOOKUP(U62,'G-3 Multipliers'!$L$3:$N$6,3,FALSE)=0,"Spatial Data Missing ⚠",VLOOKUP(U62,'G-3 Multipliers'!$L$3:$N$6,3,FALSE)))</f>
        <v/>
      </c>
      <c r="X62" s="362" t="str">
        <f>IFERROR(IF(OR(LEFT(O62,5)="Error",LEFT(N62,5)="Error",T62="Error"),"Check Data ⚠",IF(F62&lt;R62,INDEX('G-6 Hedgerow Data'!$S$3:$AE$14,MATCH(C62,'G-6 Hedgerow Data'!$B$3:$B$14,0),MATCH(M62,'G-6 Hedgerow Data'!$S$2:$AE$2,0)),INDEX('G-6 Hedgerow Data'!$K$3:$Q$14,MATCH(M62,'G-6 Hedgerow Data'!$B$3:$B$14,0),MATCH(O62,'G-6 Hedgerow Data'!$K$2:$Q$2,0)))),"")</f>
        <v/>
      </c>
      <c r="Y62" s="159"/>
      <c r="Z62" s="159"/>
      <c r="AA62" s="370" t="str">
        <f t="shared" si="3"/>
        <v/>
      </c>
      <c r="AB62" s="383" t="str">
        <f t="shared" si="4"/>
        <v/>
      </c>
      <c r="AC62" s="384" t="str">
        <f t="shared" si="1"/>
        <v/>
      </c>
      <c r="AD62" s="398" t="str">
        <f>IF(M62="","",VLOOKUP(M62,'G-6 Hedgerow Data'!$B$3:$AG$15,31,FALSE))</f>
        <v/>
      </c>
      <c r="AE62" s="370" t="str">
        <f t="shared" si="5"/>
        <v/>
      </c>
      <c r="AF62" s="370" t="str">
        <f t="shared" si="6"/>
        <v/>
      </c>
      <c r="AG62" s="386" t="str">
        <f>IFERROR(IF(O62="","",VLOOKUP(AD62,'G-3 Multipliers'!$P$3:$Q$6,2,FALSE)),"")</f>
        <v/>
      </c>
      <c r="AH62" s="376" t="str">
        <f t="shared" si="7"/>
        <v/>
      </c>
      <c r="AI62" s="188"/>
      <c r="AJ62" s="118"/>
      <c r="AK62" s="120"/>
      <c r="AT62" s="30" t="str">
        <f>IFERROR(INDEX('G-6 Hedgerow Data'!$BJ$3:$BJ$15,MATCH(M62,'G-6 Hedgerow Data'!$B$3:$B$15,0)),"")</f>
        <v/>
      </c>
    </row>
    <row r="63" spans="2:46" ht="15">
      <c r="B63" s="392" t="str">
        <f>'B-1 On-Site Hedge Baseline'!AK61</f>
        <v/>
      </c>
      <c r="C63" s="382" t="str">
        <f>IF(B63="","",IF(ISNA(VLOOKUP($B63,'B-1 On-Site Hedge Baseline'!$B$1:$L$257,3,FALSE)),"",(VLOOKUP($B63,'B-1 On-Site Hedge Baseline'!$B$1:$L$257,3,FALSE))))</f>
        <v/>
      </c>
      <c r="D63" s="382" t="str">
        <f>IF(B63="","",IF(ISNA(VLOOKUP($B63,'B-1 On-Site Hedge Baseline'!$B$1:$L$257,4,FALSE)),"",(VLOOKUP($B63,'B-1 On-Site Hedge Baseline'!$B$1:$L$257,4,FALSE))))</f>
        <v/>
      </c>
      <c r="E63" s="382" t="str">
        <f>IF(B63="","",IF(ISNA(VLOOKUP($B63,'B-1 On-Site Hedge Baseline'!$B$1:$L$257,5,FALSE)),"",(VLOOKUP($B63,'B-1 On-Site Hedge Baseline'!$B$1:$L$257,5,FALSE))))</f>
        <v/>
      </c>
      <c r="F63" s="382" t="str">
        <f>IF(B63="","",IF(ISNA(VLOOKUP($B63,'B-1 On-Site Hedge Baseline'!$B$1:$L$257,6,FALSE)),"",(VLOOKUP($B63,'B-1 On-Site Hedge Baseline'!$B$1:$L$257,6,FALSE))))</f>
        <v/>
      </c>
      <c r="G63" s="382" t="str">
        <f>IF(B63="","",IF(ISNA(VLOOKUP($B63,'B-1 On-Site Hedge Baseline'!$B$1:$L$257,7,FALSE)),"",(VLOOKUP($B63,'B-1 On-Site Hedge Baseline'!$B$1:$L$257,7,FALSE))))</f>
        <v/>
      </c>
      <c r="H63" s="382" t="str">
        <f>IF(B63="","",IF(ISNA(VLOOKUP($B63,'B-1 On-Site Hedge Baseline'!$B$1:$L$257,8,FALSE)),"",(VLOOKUP($B63,'B-1 On-Site Hedge Baseline'!$B$1:$L$257,8,FALSE))))</f>
        <v/>
      </c>
      <c r="I63" s="382" t="str">
        <f>IF(B63="","",IF(ISNA(VLOOKUP($B63,'B-1 On-Site Hedge Baseline'!$B$1:$L$257,10,FALSE)),"",(VLOOKUP($B63,'B-1 On-Site Hedge Baseline'!$B$1:$L$257,10,FALSE))))</f>
        <v/>
      </c>
      <c r="J63" s="382" t="str">
        <f>IF(B63="","",IF(ISNA(VLOOKUP($B63,'B-1 On-Site Hedge Baseline'!$B$1:$L$257,11,FALSE)),"",(VLOOKUP($B63,'B-1 On-Site Hedge Baseline'!$B$1:$L$257,11,FALSE))))</f>
        <v/>
      </c>
      <c r="K63" s="382" t="str">
        <f>IF(B63="","",IF(ISNA(VLOOKUP($B63,'B-1 On-Site Hedge Baseline'!$B$1:$U$257,13,FALSE)),"",(VLOOKUP($B63,'B-1 On-Site Hedge Baseline'!$B$1:$U$257,13,FALSE))))</f>
        <v/>
      </c>
      <c r="L63" s="386" t="str">
        <f>IF(B63="","",IF(ISNA(VLOOKUP($B63,'B-1 On-Site Hedge Baseline'!$B$1:$U$257,12,FALSE)),"",(VLOOKUP($B63,'B-1 On-Site Hedge Baseline'!$B$1:$U$257,12,FALSE))))</f>
        <v/>
      </c>
      <c r="M63" s="315" t="str">
        <f t="shared" si="0"/>
        <v/>
      </c>
      <c r="N63" s="362" t="str">
        <f>IFERROR(IF(B63="","",INDEX('G-6 Hedgerow Data'!$AN$3:$AZ$15,MATCH(C63,'G-6 Hedgerow Data'!$AM$3:$AM$15,0),MATCH(M63,'G-6 Hedgerow Data'!$AN$2:$AZ$2,0))),"")</f>
        <v/>
      </c>
      <c r="O63" s="363" t="str">
        <f t="shared" si="2"/>
        <v/>
      </c>
      <c r="P63" s="417" t="str">
        <f>IF(B63="","",VLOOKUP(B63,'B-1 On-Site Hedge Baseline'!$B$10:T308,16,FALSE))</f>
        <v/>
      </c>
      <c r="Q63" s="362" t="str">
        <f>IF(M63="","",VLOOKUP(M63,'G-6 Hedgerow Data'!$B$2:$AG$15,2,FALSE))</f>
        <v/>
      </c>
      <c r="R63" s="363" t="str">
        <f>IF(M63="","",VLOOKUP(M63,'G-6 Hedgerow Data'!$B$2:$AG$15,3,FALSE))</f>
        <v/>
      </c>
      <c r="S63" s="125"/>
      <c r="T63" s="401" t="str">
        <f>IFERROR(VLOOKUP(S63,'G-1 All Habitats'!$Z$2:$AA$9,2,FALSE),"")</f>
        <v/>
      </c>
      <c r="U63" s="122"/>
      <c r="V63" s="382" t="str">
        <f>IF(U63="","",IF(VLOOKUP(U63,'G-3 Multipliers'!$L$3:$N$6,2,FALSE)=0,"Spatial Data Missing ⚠",VLOOKUP(U63,'G-3 Multipliers'!$L$3:$N$6,2,FALSE)))</f>
        <v/>
      </c>
      <c r="W63" s="386" t="str">
        <f>IF(U63="","",IF(VLOOKUP(U63,'G-3 Multipliers'!$L$3:$N$6,3,FALSE)=0,"Spatial Data Missing ⚠",VLOOKUP(U63,'G-3 Multipliers'!$L$3:$N$6,3,FALSE)))</f>
        <v/>
      </c>
      <c r="X63" s="362" t="str">
        <f>IFERROR(IF(OR(LEFT(O63,5)="Error",LEFT(N63,5)="Error",T63="Error"),"Check Data ⚠",IF(F63&lt;R63,INDEX('G-6 Hedgerow Data'!$S$3:$AE$14,MATCH(C63,'G-6 Hedgerow Data'!$B$3:$B$14,0),MATCH(M63,'G-6 Hedgerow Data'!$S$2:$AE$2,0)),INDEX('G-6 Hedgerow Data'!$K$3:$Q$14,MATCH(M63,'G-6 Hedgerow Data'!$B$3:$B$14,0),MATCH(O63,'G-6 Hedgerow Data'!$K$2:$Q$2,0)))),"")</f>
        <v/>
      </c>
      <c r="Y63" s="159"/>
      <c r="Z63" s="159"/>
      <c r="AA63" s="370" t="str">
        <f t="shared" si="3"/>
        <v/>
      </c>
      <c r="AB63" s="383" t="str">
        <f t="shared" si="4"/>
        <v/>
      </c>
      <c r="AC63" s="384" t="str">
        <f t="shared" si="1"/>
        <v/>
      </c>
      <c r="AD63" s="398" t="str">
        <f>IF(M63="","",VLOOKUP(M63,'G-6 Hedgerow Data'!$B$3:$AG$15,31,FALSE))</f>
        <v/>
      </c>
      <c r="AE63" s="370" t="str">
        <f t="shared" si="5"/>
        <v/>
      </c>
      <c r="AF63" s="370" t="str">
        <f t="shared" si="6"/>
        <v/>
      </c>
      <c r="AG63" s="386" t="str">
        <f>IFERROR(IF(O63="","",VLOOKUP(AD63,'G-3 Multipliers'!$P$3:$Q$6,2,FALSE)),"")</f>
        <v/>
      </c>
      <c r="AH63" s="376" t="str">
        <f t="shared" si="7"/>
        <v/>
      </c>
      <c r="AI63" s="188"/>
      <c r="AJ63" s="118"/>
      <c r="AK63" s="120"/>
      <c r="AT63" s="30" t="str">
        <f>IFERROR(INDEX('G-6 Hedgerow Data'!$BJ$3:$BJ$15,MATCH(M63,'G-6 Hedgerow Data'!$B$3:$B$15,0)),"")</f>
        <v/>
      </c>
    </row>
    <row r="64" spans="2:46" ht="15">
      <c r="B64" s="392" t="str">
        <f>'B-1 On-Site Hedge Baseline'!AK62</f>
        <v/>
      </c>
      <c r="C64" s="382" t="str">
        <f>IF(B64="","",IF(ISNA(VLOOKUP($B64,'B-1 On-Site Hedge Baseline'!$B$1:$L$257,3,FALSE)),"",(VLOOKUP($B64,'B-1 On-Site Hedge Baseline'!$B$1:$L$257,3,FALSE))))</f>
        <v/>
      </c>
      <c r="D64" s="382" t="str">
        <f>IF(B64="","",IF(ISNA(VLOOKUP($B64,'B-1 On-Site Hedge Baseline'!$B$1:$L$257,4,FALSE)),"",(VLOOKUP($B64,'B-1 On-Site Hedge Baseline'!$B$1:$L$257,4,FALSE))))</f>
        <v/>
      </c>
      <c r="E64" s="382" t="str">
        <f>IF(B64="","",IF(ISNA(VLOOKUP($B64,'B-1 On-Site Hedge Baseline'!$B$1:$L$257,5,FALSE)),"",(VLOOKUP($B64,'B-1 On-Site Hedge Baseline'!$B$1:$L$257,5,FALSE))))</f>
        <v/>
      </c>
      <c r="F64" s="382" t="str">
        <f>IF(B64="","",IF(ISNA(VLOOKUP($B64,'B-1 On-Site Hedge Baseline'!$B$1:$L$257,6,FALSE)),"",(VLOOKUP($B64,'B-1 On-Site Hedge Baseline'!$B$1:$L$257,6,FALSE))))</f>
        <v/>
      </c>
      <c r="G64" s="382" t="str">
        <f>IF(B64="","",IF(ISNA(VLOOKUP($B64,'B-1 On-Site Hedge Baseline'!$B$1:$L$257,7,FALSE)),"",(VLOOKUP($B64,'B-1 On-Site Hedge Baseline'!$B$1:$L$257,7,FALSE))))</f>
        <v/>
      </c>
      <c r="H64" s="382" t="str">
        <f>IF(B64="","",IF(ISNA(VLOOKUP($B64,'B-1 On-Site Hedge Baseline'!$B$1:$L$257,8,FALSE)),"",(VLOOKUP($B64,'B-1 On-Site Hedge Baseline'!$B$1:$L$257,8,FALSE))))</f>
        <v/>
      </c>
      <c r="I64" s="382" t="str">
        <f>IF(B64="","",IF(ISNA(VLOOKUP($B64,'B-1 On-Site Hedge Baseline'!$B$1:$L$257,10,FALSE)),"",(VLOOKUP($B64,'B-1 On-Site Hedge Baseline'!$B$1:$L$257,10,FALSE))))</f>
        <v/>
      </c>
      <c r="J64" s="382" t="str">
        <f>IF(B64="","",IF(ISNA(VLOOKUP($B64,'B-1 On-Site Hedge Baseline'!$B$1:$L$257,11,FALSE)),"",(VLOOKUP($B64,'B-1 On-Site Hedge Baseline'!$B$1:$L$257,11,FALSE))))</f>
        <v/>
      </c>
      <c r="K64" s="382" t="str">
        <f>IF(B64="","",IF(ISNA(VLOOKUP($B64,'B-1 On-Site Hedge Baseline'!$B$1:$U$257,13,FALSE)),"",(VLOOKUP($B64,'B-1 On-Site Hedge Baseline'!$B$1:$U$257,13,FALSE))))</f>
        <v/>
      </c>
      <c r="L64" s="386" t="str">
        <f>IF(B64="","",IF(ISNA(VLOOKUP($B64,'B-1 On-Site Hedge Baseline'!$B$1:$U$257,12,FALSE)),"",(VLOOKUP($B64,'B-1 On-Site Hedge Baseline'!$B$1:$U$257,12,FALSE))))</f>
        <v/>
      </c>
      <c r="M64" s="315" t="str">
        <f t="shared" si="0"/>
        <v/>
      </c>
      <c r="N64" s="362" t="str">
        <f>IFERROR(IF(B64="","",INDEX('G-6 Hedgerow Data'!$AN$3:$AZ$15,MATCH(C64,'G-6 Hedgerow Data'!$AM$3:$AM$15,0),MATCH(M64,'G-6 Hedgerow Data'!$AN$2:$AZ$2,0))),"")</f>
        <v/>
      </c>
      <c r="O64" s="363" t="str">
        <f t="shared" si="2"/>
        <v/>
      </c>
      <c r="P64" s="417" t="str">
        <f>IF(B64="","",VLOOKUP(B64,'B-1 On-Site Hedge Baseline'!$B$10:T309,16,FALSE))</f>
        <v/>
      </c>
      <c r="Q64" s="362" t="str">
        <f>IF(M64="","",VLOOKUP(M64,'G-6 Hedgerow Data'!$B$2:$AG$15,2,FALSE))</f>
        <v/>
      </c>
      <c r="R64" s="363" t="str">
        <f>IF(M64="","",VLOOKUP(M64,'G-6 Hedgerow Data'!$B$2:$AG$15,3,FALSE))</f>
        <v/>
      </c>
      <c r="S64" s="125"/>
      <c r="T64" s="401" t="str">
        <f>IFERROR(VLOOKUP(S64,'G-1 All Habitats'!$Z$2:$AA$9,2,FALSE),"")</f>
        <v/>
      </c>
      <c r="U64" s="122"/>
      <c r="V64" s="382" t="str">
        <f>IF(U64="","",IF(VLOOKUP(U64,'G-3 Multipliers'!$L$3:$N$6,2,FALSE)=0,"Spatial Data Missing ⚠",VLOOKUP(U64,'G-3 Multipliers'!$L$3:$N$6,2,FALSE)))</f>
        <v/>
      </c>
      <c r="W64" s="386" t="str">
        <f>IF(U64="","",IF(VLOOKUP(U64,'G-3 Multipliers'!$L$3:$N$6,3,FALSE)=0,"Spatial Data Missing ⚠",VLOOKUP(U64,'G-3 Multipliers'!$L$3:$N$6,3,FALSE)))</f>
        <v/>
      </c>
      <c r="X64" s="362" t="str">
        <f>IFERROR(IF(OR(LEFT(O64,5)="Error",LEFT(N64,5)="Error",T64="Error"),"Check Data ⚠",IF(F64&lt;R64,INDEX('G-6 Hedgerow Data'!$S$3:$AE$14,MATCH(C64,'G-6 Hedgerow Data'!$B$3:$B$14,0),MATCH(M64,'G-6 Hedgerow Data'!$S$2:$AE$2,0)),INDEX('G-6 Hedgerow Data'!$K$3:$Q$14,MATCH(M64,'G-6 Hedgerow Data'!$B$3:$B$14,0),MATCH(O64,'G-6 Hedgerow Data'!$K$2:$Q$2,0)))),"")</f>
        <v/>
      </c>
      <c r="Y64" s="159"/>
      <c r="Z64" s="159"/>
      <c r="AA64" s="370" t="str">
        <f t="shared" si="3"/>
        <v/>
      </c>
      <c r="AB64" s="383" t="str">
        <f t="shared" si="4"/>
        <v/>
      </c>
      <c r="AC64" s="384" t="str">
        <f t="shared" si="1"/>
        <v/>
      </c>
      <c r="AD64" s="398" t="str">
        <f>IF(M64="","",VLOOKUP(M64,'G-6 Hedgerow Data'!$B$3:$AG$15,31,FALSE))</f>
        <v/>
      </c>
      <c r="AE64" s="370" t="str">
        <f t="shared" si="5"/>
        <v/>
      </c>
      <c r="AF64" s="370" t="str">
        <f t="shared" si="6"/>
        <v/>
      </c>
      <c r="AG64" s="386" t="str">
        <f>IFERROR(IF(O64="","",VLOOKUP(AD64,'G-3 Multipliers'!$P$3:$Q$6,2,FALSE)),"")</f>
        <v/>
      </c>
      <c r="AH64" s="376" t="str">
        <f t="shared" si="7"/>
        <v/>
      </c>
      <c r="AI64" s="188"/>
      <c r="AJ64" s="118"/>
      <c r="AK64" s="120"/>
      <c r="AT64" s="30" t="str">
        <f>IFERROR(INDEX('G-6 Hedgerow Data'!$BJ$3:$BJ$15,MATCH(M64,'G-6 Hedgerow Data'!$B$3:$B$15,0)),"")</f>
        <v/>
      </c>
    </row>
    <row r="65" spans="2:46" ht="15">
      <c r="B65" s="392" t="str">
        <f>'B-1 On-Site Hedge Baseline'!AK63</f>
        <v/>
      </c>
      <c r="C65" s="382" t="str">
        <f>IF(B65="","",IF(ISNA(VLOOKUP($B65,'B-1 On-Site Hedge Baseline'!$B$1:$L$257,3,FALSE)),"",(VLOOKUP($B65,'B-1 On-Site Hedge Baseline'!$B$1:$L$257,3,FALSE))))</f>
        <v/>
      </c>
      <c r="D65" s="382" t="str">
        <f>IF(B65="","",IF(ISNA(VLOOKUP($B65,'B-1 On-Site Hedge Baseline'!$B$1:$L$257,4,FALSE)),"",(VLOOKUP($B65,'B-1 On-Site Hedge Baseline'!$B$1:$L$257,4,FALSE))))</f>
        <v/>
      </c>
      <c r="E65" s="382" t="str">
        <f>IF(B65="","",IF(ISNA(VLOOKUP($B65,'B-1 On-Site Hedge Baseline'!$B$1:$L$257,5,FALSE)),"",(VLOOKUP($B65,'B-1 On-Site Hedge Baseline'!$B$1:$L$257,5,FALSE))))</f>
        <v/>
      </c>
      <c r="F65" s="382" t="str">
        <f>IF(B65="","",IF(ISNA(VLOOKUP($B65,'B-1 On-Site Hedge Baseline'!$B$1:$L$257,6,FALSE)),"",(VLOOKUP($B65,'B-1 On-Site Hedge Baseline'!$B$1:$L$257,6,FALSE))))</f>
        <v/>
      </c>
      <c r="G65" s="382" t="str">
        <f>IF(B65="","",IF(ISNA(VLOOKUP($B65,'B-1 On-Site Hedge Baseline'!$B$1:$L$257,7,FALSE)),"",(VLOOKUP($B65,'B-1 On-Site Hedge Baseline'!$B$1:$L$257,7,FALSE))))</f>
        <v/>
      </c>
      <c r="H65" s="382" t="str">
        <f>IF(B65="","",IF(ISNA(VLOOKUP($B65,'B-1 On-Site Hedge Baseline'!$B$1:$L$257,8,FALSE)),"",(VLOOKUP($B65,'B-1 On-Site Hedge Baseline'!$B$1:$L$257,8,FALSE))))</f>
        <v/>
      </c>
      <c r="I65" s="382" t="str">
        <f>IF(B65="","",IF(ISNA(VLOOKUP($B65,'B-1 On-Site Hedge Baseline'!$B$1:$L$257,10,FALSE)),"",(VLOOKUP($B65,'B-1 On-Site Hedge Baseline'!$B$1:$L$257,10,FALSE))))</f>
        <v/>
      </c>
      <c r="J65" s="382" t="str">
        <f>IF(B65="","",IF(ISNA(VLOOKUP($B65,'B-1 On-Site Hedge Baseline'!$B$1:$L$257,11,FALSE)),"",(VLOOKUP($B65,'B-1 On-Site Hedge Baseline'!$B$1:$L$257,11,FALSE))))</f>
        <v/>
      </c>
      <c r="K65" s="382" t="str">
        <f>IF(B65="","",IF(ISNA(VLOOKUP($B65,'B-1 On-Site Hedge Baseline'!$B$1:$U$257,13,FALSE)),"",(VLOOKUP($B65,'B-1 On-Site Hedge Baseline'!$B$1:$U$257,13,FALSE))))</f>
        <v/>
      </c>
      <c r="L65" s="386" t="str">
        <f>IF(B65="","",IF(ISNA(VLOOKUP($B65,'B-1 On-Site Hedge Baseline'!$B$1:$U$257,12,FALSE)),"",(VLOOKUP($B65,'B-1 On-Site Hedge Baseline'!$B$1:$U$257,12,FALSE))))</f>
        <v/>
      </c>
      <c r="M65" s="315" t="str">
        <f t="shared" si="0"/>
        <v/>
      </c>
      <c r="N65" s="362" t="str">
        <f>IFERROR(IF(B65="","",INDEX('G-6 Hedgerow Data'!$AN$3:$AZ$15,MATCH(C65,'G-6 Hedgerow Data'!$AM$3:$AM$15,0),MATCH(M65,'G-6 Hedgerow Data'!$AN$2:$AZ$2,0))),"")</f>
        <v/>
      </c>
      <c r="O65" s="363" t="str">
        <f t="shared" si="2"/>
        <v/>
      </c>
      <c r="P65" s="417" t="str">
        <f>IF(B65="","",VLOOKUP(B65,'B-1 On-Site Hedge Baseline'!$B$10:T310,16,FALSE))</f>
        <v/>
      </c>
      <c r="Q65" s="362" t="str">
        <f>IF(M65="","",VLOOKUP(M65,'G-6 Hedgerow Data'!$B$2:$AG$15,2,FALSE))</f>
        <v/>
      </c>
      <c r="R65" s="363" t="str">
        <f>IF(M65="","",VLOOKUP(M65,'G-6 Hedgerow Data'!$B$2:$AG$15,3,FALSE))</f>
        <v/>
      </c>
      <c r="S65" s="125"/>
      <c r="T65" s="401" t="str">
        <f>IFERROR(VLOOKUP(S65,'G-1 All Habitats'!$Z$2:$AA$9,2,FALSE),"")</f>
        <v/>
      </c>
      <c r="U65" s="122"/>
      <c r="V65" s="382" t="str">
        <f>IF(U65="","",IF(VLOOKUP(U65,'G-3 Multipliers'!$L$3:$N$6,2,FALSE)=0,"Spatial Data Missing ⚠",VLOOKUP(U65,'G-3 Multipliers'!$L$3:$N$6,2,FALSE)))</f>
        <v/>
      </c>
      <c r="W65" s="386" t="str">
        <f>IF(U65="","",IF(VLOOKUP(U65,'G-3 Multipliers'!$L$3:$N$6,3,FALSE)=0,"Spatial Data Missing ⚠",VLOOKUP(U65,'G-3 Multipliers'!$L$3:$N$6,3,FALSE)))</f>
        <v/>
      </c>
      <c r="X65" s="362" t="str">
        <f>IFERROR(IF(OR(LEFT(O65,5)="Error",LEFT(N65,5)="Error",T65="Error"),"Check Data ⚠",IF(F65&lt;R65,INDEX('G-6 Hedgerow Data'!$S$3:$AE$14,MATCH(C65,'G-6 Hedgerow Data'!$B$3:$B$14,0),MATCH(M65,'G-6 Hedgerow Data'!$S$2:$AE$2,0)),INDEX('G-6 Hedgerow Data'!$K$3:$Q$14,MATCH(M65,'G-6 Hedgerow Data'!$B$3:$B$14,0),MATCH(O65,'G-6 Hedgerow Data'!$K$2:$Q$2,0)))),"")</f>
        <v/>
      </c>
      <c r="Y65" s="159"/>
      <c r="Z65" s="159"/>
      <c r="AA65" s="370" t="str">
        <f t="shared" si="3"/>
        <v/>
      </c>
      <c r="AB65" s="383" t="str">
        <f t="shared" si="4"/>
        <v/>
      </c>
      <c r="AC65" s="384" t="str">
        <f t="shared" si="1"/>
        <v/>
      </c>
      <c r="AD65" s="398" t="str">
        <f>IF(M65="","",VLOOKUP(M65,'G-6 Hedgerow Data'!$B$3:$AG$15,31,FALSE))</f>
        <v/>
      </c>
      <c r="AE65" s="370" t="str">
        <f t="shared" si="5"/>
        <v/>
      </c>
      <c r="AF65" s="370" t="str">
        <f t="shared" si="6"/>
        <v/>
      </c>
      <c r="AG65" s="386" t="str">
        <f>IFERROR(IF(O65="","",VLOOKUP(AD65,'G-3 Multipliers'!$P$3:$Q$6,2,FALSE)),"")</f>
        <v/>
      </c>
      <c r="AH65" s="376" t="str">
        <f t="shared" si="7"/>
        <v/>
      </c>
      <c r="AI65" s="188"/>
      <c r="AJ65" s="118"/>
      <c r="AK65" s="120"/>
      <c r="AT65" s="30" t="str">
        <f>IFERROR(INDEX('G-6 Hedgerow Data'!$BJ$3:$BJ$15,MATCH(M65,'G-6 Hedgerow Data'!$B$3:$B$15,0)),"")</f>
        <v/>
      </c>
    </row>
    <row r="66" spans="2:46" ht="15">
      <c r="B66" s="392" t="str">
        <f>'B-1 On-Site Hedge Baseline'!AK64</f>
        <v/>
      </c>
      <c r="C66" s="382" t="str">
        <f>IF(B66="","",IF(ISNA(VLOOKUP($B66,'B-1 On-Site Hedge Baseline'!$B$1:$L$257,3,FALSE)),"",(VLOOKUP($B66,'B-1 On-Site Hedge Baseline'!$B$1:$L$257,3,FALSE))))</f>
        <v/>
      </c>
      <c r="D66" s="382" t="str">
        <f>IF(B66="","",IF(ISNA(VLOOKUP($B66,'B-1 On-Site Hedge Baseline'!$B$1:$L$257,4,FALSE)),"",(VLOOKUP($B66,'B-1 On-Site Hedge Baseline'!$B$1:$L$257,4,FALSE))))</f>
        <v/>
      </c>
      <c r="E66" s="382" t="str">
        <f>IF(B66="","",IF(ISNA(VLOOKUP($B66,'B-1 On-Site Hedge Baseline'!$B$1:$L$257,5,FALSE)),"",(VLOOKUP($B66,'B-1 On-Site Hedge Baseline'!$B$1:$L$257,5,FALSE))))</f>
        <v/>
      </c>
      <c r="F66" s="382" t="str">
        <f>IF(B66="","",IF(ISNA(VLOOKUP($B66,'B-1 On-Site Hedge Baseline'!$B$1:$L$257,6,FALSE)),"",(VLOOKUP($B66,'B-1 On-Site Hedge Baseline'!$B$1:$L$257,6,FALSE))))</f>
        <v/>
      </c>
      <c r="G66" s="382" t="str">
        <f>IF(B66="","",IF(ISNA(VLOOKUP($B66,'B-1 On-Site Hedge Baseline'!$B$1:$L$257,7,FALSE)),"",(VLOOKUP($B66,'B-1 On-Site Hedge Baseline'!$B$1:$L$257,7,FALSE))))</f>
        <v/>
      </c>
      <c r="H66" s="382" t="str">
        <f>IF(B66="","",IF(ISNA(VLOOKUP($B66,'B-1 On-Site Hedge Baseline'!$B$1:$L$257,8,FALSE)),"",(VLOOKUP($B66,'B-1 On-Site Hedge Baseline'!$B$1:$L$257,8,FALSE))))</f>
        <v/>
      </c>
      <c r="I66" s="382" t="str">
        <f>IF(B66="","",IF(ISNA(VLOOKUP($B66,'B-1 On-Site Hedge Baseline'!$B$1:$L$257,10,FALSE)),"",(VLOOKUP($B66,'B-1 On-Site Hedge Baseline'!$B$1:$L$257,10,FALSE))))</f>
        <v/>
      </c>
      <c r="J66" s="382" t="str">
        <f>IF(B66="","",IF(ISNA(VLOOKUP($B66,'B-1 On-Site Hedge Baseline'!$B$1:$L$257,11,FALSE)),"",(VLOOKUP($B66,'B-1 On-Site Hedge Baseline'!$B$1:$L$257,11,FALSE))))</f>
        <v/>
      </c>
      <c r="K66" s="382" t="str">
        <f>IF(B66="","",IF(ISNA(VLOOKUP($B66,'B-1 On-Site Hedge Baseline'!$B$1:$U$257,13,FALSE)),"",(VLOOKUP($B66,'B-1 On-Site Hedge Baseline'!$B$1:$U$257,13,FALSE))))</f>
        <v/>
      </c>
      <c r="L66" s="386" t="str">
        <f>IF(B66="","",IF(ISNA(VLOOKUP($B66,'B-1 On-Site Hedge Baseline'!$B$1:$U$257,12,FALSE)),"",(VLOOKUP($B66,'B-1 On-Site Hedge Baseline'!$B$1:$U$257,12,FALSE))))</f>
        <v/>
      </c>
      <c r="M66" s="315" t="str">
        <f t="shared" si="0"/>
        <v/>
      </c>
      <c r="N66" s="362" t="str">
        <f>IFERROR(IF(B66="","",INDEX('G-6 Hedgerow Data'!$AN$3:$AZ$15,MATCH(C66,'G-6 Hedgerow Data'!$AM$3:$AM$15,0),MATCH(M66,'G-6 Hedgerow Data'!$AN$2:$AZ$2,0))),"")</f>
        <v/>
      </c>
      <c r="O66" s="363" t="str">
        <f t="shared" si="2"/>
        <v/>
      </c>
      <c r="P66" s="417" t="str">
        <f>IF(B66="","",VLOOKUP(B66,'B-1 On-Site Hedge Baseline'!$B$10:T311,16,FALSE))</f>
        <v/>
      </c>
      <c r="Q66" s="362" t="str">
        <f>IF(M66="","",VLOOKUP(M66,'G-6 Hedgerow Data'!$B$2:$AG$15,2,FALSE))</f>
        <v/>
      </c>
      <c r="R66" s="363" t="str">
        <f>IF(M66="","",VLOOKUP(M66,'G-6 Hedgerow Data'!$B$2:$AG$15,3,FALSE))</f>
        <v/>
      </c>
      <c r="S66" s="125"/>
      <c r="T66" s="401" t="str">
        <f>IFERROR(VLOOKUP(S66,'G-1 All Habitats'!$Z$2:$AA$9,2,FALSE),"")</f>
        <v/>
      </c>
      <c r="U66" s="122"/>
      <c r="V66" s="382" t="str">
        <f>IF(U66="","",IF(VLOOKUP(U66,'G-3 Multipliers'!$L$3:$N$6,2,FALSE)=0,"Spatial Data Missing ⚠",VLOOKUP(U66,'G-3 Multipliers'!$L$3:$N$6,2,FALSE)))</f>
        <v/>
      </c>
      <c r="W66" s="386" t="str">
        <f>IF(U66="","",IF(VLOOKUP(U66,'G-3 Multipliers'!$L$3:$N$6,3,FALSE)=0,"Spatial Data Missing ⚠",VLOOKUP(U66,'G-3 Multipliers'!$L$3:$N$6,3,FALSE)))</f>
        <v/>
      </c>
      <c r="X66" s="362" t="str">
        <f>IFERROR(IF(OR(LEFT(O66,5)="Error",LEFT(N66,5)="Error",T66="Error"),"Check Data ⚠",IF(F66&lt;R66,INDEX('G-6 Hedgerow Data'!$S$3:$AE$14,MATCH(C66,'G-6 Hedgerow Data'!$B$3:$B$14,0),MATCH(M66,'G-6 Hedgerow Data'!$S$2:$AE$2,0)),INDEX('G-6 Hedgerow Data'!$K$3:$Q$14,MATCH(M66,'G-6 Hedgerow Data'!$B$3:$B$14,0),MATCH(O66,'G-6 Hedgerow Data'!$K$2:$Q$2,0)))),"")</f>
        <v/>
      </c>
      <c r="Y66" s="159"/>
      <c r="Z66" s="159"/>
      <c r="AA66" s="370" t="str">
        <f t="shared" si="3"/>
        <v/>
      </c>
      <c r="AB66" s="383" t="str">
        <f t="shared" si="4"/>
        <v/>
      </c>
      <c r="AC66" s="384" t="str">
        <f t="shared" si="1"/>
        <v/>
      </c>
      <c r="AD66" s="398" t="str">
        <f>IF(M66="","",VLOOKUP(M66,'G-6 Hedgerow Data'!$B$3:$AG$15,31,FALSE))</f>
        <v/>
      </c>
      <c r="AE66" s="370" t="str">
        <f t="shared" si="5"/>
        <v/>
      </c>
      <c r="AF66" s="370" t="str">
        <f t="shared" si="6"/>
        <v/>
      </c>
      <c r="AG66" s="386" t="str">
        <f>IFERROR(IF(O66="","",VLOOKUP(AD66,'G-3 Multipliers'!$P$3:$Q$6,2,FALSE)),"")</f>
        <v/>
      </c>
      <c r="AH66" s="376" t="str">
        <f t="shared" si="7"/>
        <v/>
      </c>
      <c r="AI66" s="188"/>
      <c r="AJ66" s="118"/>
      <c r="AK66" s="120"/>
      <c r="AT66" s="30" t="str">
        <f>IFERROR(INDEX('G-6 Hedgerow Data'!$BJ$3:$BJ$15,MATCH(M66,'G-6 Hedgerow Data'!$B$3:$B$15,0)),"")</f>
        <v/>
      </c>
    </row>
    <row r="67" spans="2:46" ht="15">
      <c r="B67" s="392" t="str">
        <f>'B-1 On-Site Hedge Baseline'!AK65</f>
        <v/>
      </c>
      <c r="C67" s="382" t="str">
        <f>IF(B67="","",IF(ISNA(VLOOKUP($B67,'B-1 On-Site Hedge Baseline'!$B$1:$L$257,3,FALSE)),"",(VLOOKUP($B67,'B-1 On-Site Hedge Baseline'!$B$1:$L$257,3,FALSE))))</f>
        <v/>
      </c>
      <c r="D67" s="382" t="str">
        <f>IF(B67="","",IF(ISNA(VLOOKUP($B67,'B-1 On-Site Hedge Baseline'!$B$1:$L$257,4,FALSE)),"",(VLOOKUP($B67,'B-1 On-Site Hedge Baseline'!$B$1:$L$257,4,FALSE))))</f>
        <v/>
      </c>
      <c r="E67" s="382" t="str">
        <f>IF(B67="","",IF(ISNA(VLOOKUP($B67,'B-1 On-Site Hedge Baseline'!$B$1:$L$257,5,FALSE)),"",(VLOOKUP($B67,'B-1 On-Site Hedge Baseline'!$B$1:$L$257,5,FALSE))))</f>
        <v/>
      </c>
      <c r="F67" s="382" t="str">
        <f>IF(B67="","",IF(ISNA(VLOOKUP($B67,'B-1 On-Site Hedge Baseline'!$B$1:$L$257,6,FALSE)),"",(VLOOKUP($B67,'B-1 On-Site Hedge Baseline'!$B$1:$L$257,6,FALSE))))</f>
        <v/>
      </c>
      <c r="G67" s="382" t="str">
        <f>IF(B67="","",IF(ISNA(VLOOKUP($B67,'B-1 On-Site Hedge Baseline'!$B$1:$L$257,7,FALSE)),"",(VLOOKUP($B67,'B-1 On-Site Hedge Baseline'!$B$1:$L$257,7,FALSE))))</f>
        <v/>
      </c>
      <c r="H67" s="382" t="str">
        <f>IF(B67="","",IF(ISNA(VLOOKUP($B67,'B-1 On-Site Hedge Baseline'!$B$1:$L$257,8,FALSE)),"",(VLOOKUP($B67,'B-1 On-Site Hedge Baseline'!$B$1:$L$257,8,FALSE))))</f>
        <v/>
      </c>
      <c r="I67" s="382" t="str">
        <f>IF(B67="","",IF(ISNA(VLOOKUP($B67,'B-1 On-Site Hedge Baseline'!$B$1:$L$257,10,FALSE)),"",(VLOOKUP($B67,'B-1 On-Site Hedge Baseline'!$B$1:$L$257,10,FALSE))))</f>
        <v/>
      </c>
      <c r="J67" s="382" t="str">
        <f>IF(B67="","",IF(ISNA(VLOOKUP($B67,'B-1 On-Site Hedge Baseline'!$B$1:$L$257,11,FALSE)),"",(VLOOKUP($B67,'B-1 On-Site Hedge Baseline'!$B$1:$L$257,11,FALSE))))</f>
        <v/>
      </c>
      <c r="K67" s="382" t="str">
        <f>IF(B67="","",IF(ISNA(VLOOKUP($B67,'B-1 On-Site Hedge Baseline'!$B$1:$U$257,13,FALSE)),"",(VLOOKUP($B67,'B-1 On-Site Hedge Baseline'!$B$1:$U$257,13,FALSE))))</f>
        <v/>
      </c>
      <c r="L67" s="386" t="str">
        <f>IF(B67="","",IF(ISNA(VLOOKUP($B67,'B-1 On-Site Hedge Baseline'!$B$1:$U$257,12,FALSE)),"",(VLOOKUP($B67,'B-1 On-Site Hedge Baseline'!$B$1:$U$257,12,FALSE))))</f>
        <v/>
      </c>
      <c r="M67" s="315" t="str">
        <f t="shared" si="0"/>
        <v/>
      </c>
      <c r="N67" s="362" t="str">
        <f>IFERROR(IF(B67="","",INDEX('G-6 Hedgerow Data'!$AN$3:$AZ$15,MATCH(C67,'G-6 Hedgerow Data'!$AM$3:$AM$15,0),MATCH(M67,'G-6 Hedgerow Data'!$AN$2:$AZ$2,0))),"")</f>
        <v/>
      </c>
      <c r="O67" s="363" t="str">
        <f t="shared" si="2"/>
        <v/>
      </c>
      <c r="P67" s="417" t="str">
        <f>IF(B67="","",VLOOKUP(B67,'B-1 On-Site Hedge Baseline'!$B$10:T312,16,FALSE))</f>
        <v/>
      </c>
      <c r="Q67" s="362" t="str">
        <f>IF(M67="","",VLOOKUP(M67,'G-6 Hedgerow Data'!$B$2:$AG$15,2,FALSE))</f>
        <v/>
      </c>
      <c r="R67" s="363" t="str">
        <f>IF(M67="","",VLOOKUP(M67,'G-6 Hedgerow Data'!$B$2:$AG$15,3,FALSE))</f>
        <v/>
      </c>
      <c r="S67" s="125"/>
      <c r="T67" s="401" t="str">
        <f>IFERROR(VLOOKUP(S67,'G-1 All Habitats'!$Z$2:$AA$9,2,FALSE),"")</f>
        <v/>
      </c>
      <c r="U67" s="122"/>
      <c r="V67" s="382" t="str">
        <f>IF(U67="","",IF(VLOOKUP(U67,'G-3 Multipliers'!$L$3:$N$6,2,FALSE)=0,"Spatial Data Missing ⚠",VLOOKUP(U67,'G-3 Multipliers'!$L$3:$N$6,2,FALSE)))</f>
        <v/>
      </c>
      <c r="W67" s="386" t="str">
        <f>IF(U67="","",IF(VLOOKUP(U67,'G-3 Multipliers'!$L$3:$N$6,3,FALSE)=0,"Spatial Data Missing ⚠",VLOOKUP(U67,'G-3 Multipliers'!$L$3:$N$6,3,FALSE)))</f>
        <v/>
      </c>
      <c r="X67" s="362" t="str">
        <f>IFERROR(IF(OR(LEFT(O67,5)="Error",LEFT(N67,5)="Error",T67="Error"),"Check Data ⚠",IF(F67&lt;R67,INDEX('G-6 Hedgerow Data'!$S$3:$AE$14,MATCH(C67,'G-6 Hedgerow Data'!$B$3:$B$14,0),MATCH(M67,'G-6 Hedgerow Data'!$S$2:$AE$2,0)),INDEX('G-6 Hedgerow Data'!$K$3:$Q$14,MATCH(M67,'G-6 Hedgerow Data'!$B$3:$B$14,0),MATCH(O67,'G-6 Hedgerow Data'!$K$2:$Q$2,0)))),"")</f>
        <v/>
      </c>
      <c r="Y67" s="159"/>
      <c r="Z67" s="159"/>
      <c r="AA67" s="370" t="str">
        <f t="shared" si="3"/>
        <v/>
      </c>
      <c r="AB67" s="383" t="str">
        <f t="shared" si="4"/>
        <v/>
      </c>
      <c r="AC67" s="384" t="str">
        <f t="shared" si="1"/>
        <v/>
      </c>
      <c r="AD67" s="398" t="str">
        <f>IF(M67="","",VLOOKUP(M67,'G-6 Hedgerow Data'!$B$3:$AG$15,31,FALSE))</f>
        <v/>
      </c>
      <c r="AE67" s="370" t="str">
        <f t="shared" si="5"/>
        <v/>
      </c>
      <c r="AF67" s="370" t="str">
        <f t="shared" si="6"/>
        <v/>
      </c>
      <c r="AG67" s="386" t="str">
        <f>IFERROR(IF(O67="","",VLOOKUP(AD67,'G-3 Multipliers'!$P$3:$Q$6,2,FALSE)),"")</f>
        <v/>
      </c>
      <c r="AH67" s="376" t="str">
        <f t="shared" si="7"/>
        <v/>
      </c>
      <c r="AI67" s="188"/>
      <c r="AJ67" s="118"/>
      <c r="AK67" s="120"/>
      <c r="AT67" s="30" t="str">
        <f>IFERROR(INDEX('G-6 Hedgerow Data'!$BJ$3:$BJ$15,MATCH(M67,'G-6 Hedgerow Data'!$B$3:$B$15,0)),"")</f>
        <v/>
      </c>
    </row>
    <row r="68" spans="2:46" ht="15">
      <c r="B68" s="392" t="str">
        <f>'B-1 On-Site Hedge Baseline'!AK66</f>
        <v/>
      </c>
      <c r="C68" s="382" t="str">
        <f>IF(B68="","",IF(ISNA(VLOOKUP($B68,'B-1 On-Site Hedge Baseline'!$B$1:$L$257,3,FALSE)),"",(VLOOKUP($B68,'B-1 On-Site Hedge Baseline'!$B$1:$L$257,3,FALSE))))</f>
        <v/>
      </c>
      <c r="D68" s="382" t="str">
        <f>IF(B68="","",IF(ISNA(VLOOKUP($B68,'B-1 On-Site Hedge Baseline'!$B$1:$L$257,4,FALSE)),"",(VLOOKUP($B68,'B-1 On-Site Hedge Baseline'!$B$1:$L$257,4,FALSE))))</f>
        <v/>
      </c>
      <c r="E68" s="382" t="str">
        <f>IF(B68="","",IF(ISNA(VLOOKUP($B68,'B-1 On-Site Hedge Baseline'!$B$1:$L$257,5,FALSE)),"",(VLOOKUP($B68,'B-1 On-Site Hedge Baseline'!$B$1:$L$257,5,FALSE))))</f>
        <v/>
      </c>
      <c r="F68" s="382" t="str">
        <f>IF(B68="","",IF(ISNA(VLOOKUP($B68,'B-1 On-Site Hedge Baseline'!$B$1:$L$257,6,FALSE)),"",(VLOOKUP($B68,'B-1 On-Site Hedge Baseline'!$B$1:$L$257,6,FALSE))))</f>
        <v/>
      </c>
      <c r="G68" s="382" t="str">
        <f>IF(B68="","",IF(ISNA(VLOOKUP($B68,'B-1 On-Site Hedge Baseline'!$B$1:$L$257,7,FALSE)),"",(VLOOKUP($B68,'B-1 On-Site Hedge Baseline'!$B$1:$L$257,7,FALSE))))</f>
        <v/>
      </c>
      <c r="H68" s="382" t="str">
        <f>IF(B68="","",IF(ISNA(VLOOKUP($B68,'B-1 On-Site Hedge Baseline'!$B$1:$L$257,8,FALSE)),"",(VLOOKUP($B68,'B-1 On-Site Hedge Baseline'!$B$1:$L$257,8,FALSE))))</f>
        <v/>
      </c>
      <c r="I68" s="382" t="str">
        <f>IF(B68="","",IF(ISNA(VLOOKUP($B68,'B-1 On-Site Hedge Baseline'!$B$1:$L$257,10,FALSE)),"",(VLOOKUP($B68,'B-1 On-Site Hedge Baseline'!$B$1:$L$257,10,FALSE))))</f>
        <v/>
      </c>
      <c r="J68" s="382" t="str">
        <f>IF(B68="","",IF(ISNA(VLOOKUP($B68,'B-1 On-Site Hedge Baseline'!$B$1:$L$257,11,FALSE)),"",(VLOOKUP($B68,'B-1 On-Site Hedge Baseline'!$B$1:$L$257,11,FALSE))))</f>
        <v/>
      </c>
      <c r="K68" s="382" t="str">
        <f>IF(B68="","",IF(ISNA(VLOOKUP($B68,'B-1 On-Site Hedge Baseline'!$B$1:$U$257,13,FALSE)),"",(VLOOKUP($B68,'B-1 On-Site Hedge Baseline'!$B$1:$U$257,13,FALSE))))</f>
        <v/>
      </c>
      <c r="L68" s="386" t="str">
        <f>IF(B68="","",IF(ISNA(VLOOKUP($B68,'B-1 On-Site Hedge Baseline'!$B$1:$U$257,12,FALSE)),"",(VLOOKUP($B68,'B-1 On-Site Hedge Baseline'!$B$1:$U$257,12,FALSE))))</f>
        <v/>
      </c>
      <c r="M68" s="315" t="str">
        <f t="shared" si="0"/>
        <v/>
      </c>
      <c r="N68" s="362" t="str">
        <f>IFERROR(IF(B68="","",INDEX('G-6 Hedgerow Data'!$AN$3:$AZ$15,MATCH(C68,'G-6 Hedgerow Data'!$AM$3:$AM$15,0),MATCH(M68,'G-6 Hedgerow Data'!$AN$2:$AZ$2,0))),"")</f>
        <v/>
      </c>
      <c r="O68" s="363" t="str">
        <f t="shared" si="2"/>
        <v/>
      </c>
      <c r="P68" s="417" t="str">
        <f>IF(B68="","",VLOOKUP(B68,'B-1 On-Site Hedge Baseline'!$B$10:T313,16,FALSE))</f>
        <v/>
      </c>
      <c r="Q68" s="362" t="str">
        <f>IF(M68="","",VLOOKUP(M68,'G-6 Hedgerow Data'!$B$2:$AG$15,2,FALSE))</f>
        <v/>
      </c>
      <c r="R68" s="363" t="str">
        <f>IF(M68="","",VLOOKUP(M68,'G-6 Hedgerow Data'!$B$2:$AG$15,3,FALSE))</f>
        <v/>
      </c>
      <c r="S68" s="125"/>
      <c r="T68" s="401" t="str">
        <f>IFERROR(VLOOKUP(S68,'G-1 All Habitats'!$Z$2:$AA$9,2,FALSE),"")</f>
        <v/>
      </c>
      <c r="U68" s="122"/>
      <c r="V68" s="382" t="str">
        <f>IF(U68="","",IF(VLOOKUP(U68,'G-3 Multipliers'!$L$3:$N$6,2,FALSE)=0,"Spatial Data Missing ⚠",VLOOKUP(U68,'G-3 Multipliers'!$L$3:$N$6,2,FALSE)))</f>
        <v/>
      </c>
      <c r="W68" s="386" t="str">
        <f>IF(U68="","",IF(VLOOKUP(U68,'G-3 Multipliers'!$L$3:$N$6,3,FALSE)=0,"Spatial Data Missing ⚠",VLOOKUP(U68,'G-3 Multipliers'!$L$3:$N$6,3,FALSE)))</f>
        <v/>
      </c>
      <c r="X68" s="362" t="str">
        <f>IFERROR(IF(OR(LEFT(O68,5)="Error",LEFT(N68,5)="Error",T68="Error"),"Check Data ⚠",IF(F68&lt;R68,INDEX('G-6 Hedgerow Data'!$S$3:$AE$14,MATCH(C68,'G-6 Hedgerow Data'!$B$3:$B$14,0),MATCH(M68,'G-6 Hedgerow Data'!$S$2:$AE$2,0)),INDEX('G-6 Hedgerow Data'!$K$3:$Q$14,MATCH(M68,'G-6 Hedgerow Data'!$B$3:$B$14,0),MATCH(O68,'G-6 Hedgerow Data'!$K$2:$Q$2,0)))),"")</f>
        <v/>
      </c>
      <c r="Y68" s="159"/>
      <c r="Z68" s="159"/>
      <c r="AA68" s="370" t="str">
        <f t="shared" si="3"/>
        <v/>
      </c>
      <c r="AB68" s="383" t="str">
        <f t="shared" si="4"/>
        <v/>
      </c>
      <c r="AC68" s="384" t="str">
        <f t="shared" si="1"/>
        <v/>
      </c>
      <c r="AD68" s="398" t="str">
        <f>IF(M68="","",VLOOKUP(M68,'G-6 Hedgerow Data'!$B$3:$AG$15,31,FALSE))</f>
        <v/>
      </c>
      <c r="AE68" s="370" t="str">
        <f t="shared" si="5"/>
        <v/>
      </c>
      <c r="AF68" s="370" t="str">
        <f t="shared" si="6"/>
        <v/>
      </c>
      <c r="AG68" s="386" t="str">
        <f>IFERROR(IF(O68="","",VLOOKUP(AD68,'G-3 Multipliers'!$P$3:$Q$6,2,FALSE)),"")</f>
        <v/>
      </c>
      <c r="AH68" s="376" t="str">
        <f t="shared" si="7"/>
        <v/>
      </c>
      <c r="AI68" s="188"/>
      <c r="AJ68" s="118"/>
      <c r="AK68" s="120"/>
      <c r="AT68" s="30" t="str">
        <f>IFERROR(INDEX('G-6 Hedgerow Data'!$BJ$3:$BJ$15,MATCH(M68,'G-6 Hedgerow Data'!$B$3:$B$15,0)),"")</f>
        <v/>
      </c>
    </row>
    <row r="69" spans="2:46" ht="15">
      <c r="B69" s="392" t="str">
        <f>'B-1 On-Site Hedge Baseline'!AK67</f>
        <v/>
      </c>
      <c r="C69" s="382" t="str">
        <f>IF(B69="","",IF(ISNA(VLOOKUP($B69,'B-1 On-Site Hedge Baseline'!$B$1:$L$257,3,FALSE)),"",(VLOOKUP($B69,'B-1 On-Site Hedge Baseline'!$B$1:$L$257,3,FALSE))))</f>
        <v/>
      </c>
      <c r="D69" s="382" t="str">
        <f>IF(B69="","",IF(ISNA(VLOOKUP($B69,'B-1 On-Site Hedge Baseline'!$B$1:$L$257,4,FALSE)),"",(VLOOKUP($B69,'B-1 On-Site Hedge Baseline'!$B$1:$L$257,4,FALSE))))</f>
        <v/>
      </c>
      <c r="E69" s="382" t="str">
        <f>IF(B69="","",IF(ISNA(VLOOKUP($B69,'B-1 On-Site Hedge Baseline'!$B$1:$L$257,5,FALSE)),"",(VLOOKUP($B69,'B-1 On-Site Hedge Baseline'!$B$1:$L$257,5,FALSE))))</f>
        <v/>
      </c>
      <c r="F69" s="382" t="str">
        <f>IF(B69="","",IF(ISNA(VLOOKUP($B69,'B-1 On-Site Hedge Baseline'!$B$1:$L$257,6,FALSE)),"",(VLOOKUP($B69,'B-1 On-Site Hedge Baseline'!$B$1:$L$257,6,FALSE))))</f>
        <v/>
      </c>
      <c r="G69" s="382" t="str">
        <f>IF(B69="","",IF(ISNA(VLOOKUP($B69,'B-1 On-Site Hedge Baseline'!$B$1:$L$257,7,FALSE)),"",(VLOOKUP($B69,'B-1 On-Site Hedge Baseline'!$B$1:$L$257,7,FALSE))))</f>
        <v/>
      </c>
      <c r="H69" s="382" t="str">
        <f>IF(B69="","",IF(ISNA(VLOOKUP($B69,'B-1 On-Site Hedge Baseline'!$B$1:$L$257,8,FALSE)),"",(VLOOKUP($B69,'B-1 On-Site Hedge Baseline'!$B$1:$L$257,8,FALSE))))</f>
        <v/>
      </c>
      <c r="I69" s="382" t="str">
        <f>IF(B69="","",IF(ISNA(VLOOKUP($B69,'B-1 On-Site Hedge Baseline'!$B$1:$L$257,10,FALSE)),"",(VLOOKUP($B69,'B-1 On-Site Hedge Baseline'!$B$1:$L$257,10,FALSE))))</f>
        <v/>
      </c>
      <c r="J69" s="382" t="str">
        <f>IF(B69="","",IF(ISNA(VLOOKUP($B69,'B-1 On-Site Hedge Baseline'!$B$1:$L$257,11,FALSE)),"",(VLOOKUP($B69,'B-1 On-Site Hedge Baseline'!$B$1:$L$257,11,FALSE))))</f>
        <v/>
      </c>
      <c r="K69" s="382" t="str">
        <f>IF(B69="","",IF(ISNA(VLOOKUP($B69,'B-1 On-Site Hedge Baseline'!$B$1:$U$257,13,FALSE)),"",(VLOOKUP($B69,'B-1 On-Site Hedge Baseline'!$B$1:$U$257,13,FALSE))))</f>
        <v/>
      </c>
      <c r="L69" s="386" t="str">
        <f>IF(B69="","",IF(ISNA(VLOOKUP($B69,'B-1 On-Site Hedge Baseline'!$B$1:$U$257,12,FALSE)),"",(VLOOKUP($B69,'B-1 On-Site Hedge Baseline'!$B$1:$U$257,12,FALSE))))</f>
        <v/>
      </c>
      <c r="M69" s="315" t="str">
        <f t="shared" si="0"/>
        <v/>
      </c>
      <c r="N69" s="362" t="str">
        <f>IFERROR(IF(B69="","",INDEX('G-6 Hedgerow Data'!$AN$3:$AZ$15,MATCH(C69,'G-6 Hedgerow Data'!$AM$3:$AM$15,0),MATCH(M69,'G-6 Hedgerow Data'!$AN$2:$AZ$2,0))),"")</f>
        <v/>
      </c>
      <c r="O69" s="363" t="str">
        <f t="shared" si="2"/>
        <v/>
      </c>
      <c r="P69" s="417" t="str">
        <f>IF(B69="","",VLOOKUP(B69,'B-1 On-Site Hedge Baseline'!$B$10:T314,16,FALSE))</f>
        <v/>
      </c>
      <c r="Q69" s="362" t="str">
        <f>IF(M69="","",VLOOKUP(M69,'G-6 Hedgerow Data'!$B$2:$AG$15,2,FALSE))</f>
        <v/>
      </c>
      <c r="R69" s="363" t="str">
        <f>IF(M69="","",VLOOKUP(M69,'G-6 Hedgerow Data'!$B$2:$AG$15,3,FALSE))</f>
        <v/>
      </c>
      <c r="S69" s="125"/>
      <c r="T69" s="401" t="str">
        <f>IFERROR(VLOOKUP(S69,'G-1 All Habitats'!$Z$2:$AA$9,2,FALSE),"")</f>
        <v/>
      </c>
      <c r="U69" s="122"/>
      <c r="V69" s="382" t="str">
        <f>IF(U69="","",IF(VLOOKUP(U69,'G-3 Multipliers'!$L$3:$N$6,2,FALSE)=0,"Spatial Data Missing ⚠",VLOOKUP(U69,'G-3 Multipliers'!$L$3:$N$6,2,FALSE)))</f>
        <v/>
      </c>
      <c r="W69" s="386" t="str">
        <f>IF(U69="","",IF(VLOOKUP(U69,'G-3 Multipliers'!$L$3:$N$6,3,FALSE)=0,"Spatial Data Missing ⚠",VLOOKUP(U69,'G-3 Multipliers'!$L$3:$N$6,3,FALSE)))</f>
        <v/>
      </c>
      <c r="X69" s="362" t="str">
        <f>IFERROR(IF(OR(LEFT(O69,5)="Error",LEFT(N69,5)="Error",T69="Error"),"Check Data ⚠",IF(F69&lt;R69,INDEX('G-6 Hedgerow Data'!$S$3:$AE$14,MATCH(C69,'G-6 Hedgerow Data'!$B$3:$B$14,0),MATCH(M69,'G-6 Hedgerow Data'!$S$2:$AE$2,0)),INDEX('G-6 Hedgerow Data'!$K$3:$Q$14,MATCH(M69,'G-6 Hedgerow Data'!$B$3:$B$14,0),MATCH(O69,'G-6 Hedgerow Data'!$K$2:$Q$2,0)))),"")</f>
        <v/>
      </c>
      <c r="Y69" s="159"/>
      <c r="Z69" s="159"/>
      <c r="AA69" s="370" t="str">
        <f t="shared" si="3"/>
        <v/>
      </c>
      <c r="AB69" s="383" t="str">
        <f t="shared" si="4"/>
        <v/>
      </c>
      <c r="AC69" s="384" t="str">
        <f t="shared" si="1"/>
        <v/>
      </c>
      <c r="AD69" s="398" t="str">
        <f>IF(M69="","",VLOOKUP(M69,'G-6 Hedgerow Data'!$B$3:$AG$15,31,FALSE))</f>
        <v/>
      </c>
      <c r="AE69" s="370" t="str">
        <f t="shared" si="5"/>
        <v/>
      </c>
      <c r="AF69" s="370" t="str">
        <f t="shared" si="6"/>
        <v/>
      </c>
      <c r="AG69" s="386" t="str">
        <f>IFERROR(IF(O69="","",VLOOKUP(AD69,'G-3 Multipliers'!$P$3:$Q$6,2,FALSE)),"")</f>
        <v/>
      </c>
      <c r="AH69" s="376" t="str">
        <f t="shared" si="7"/>
        <v/>
      </c>
      <c r="AI69" s="188"/>
      <c r="AJ69" s="118"/>
      <c r="AK69" s="120"/>
      <c r="AT69" s="30" t="str">
        <f>IFERROR(INDEX('G-6 Hedgerow Data'!$BJ$3:$BJ$15,MATCH(M69,'G-6 Hedgerow Data'!$B$3:$B$15,0)),"")</f>
        <v/>
      </c>
    </row>
    <row r="70" spans="2:46" ht="15">
      <c r="B70" s="392" t="str">
        <f>'B-1 On-Site Hedge Baseline'!AK68</f>
        <v/>
      </c>
      <c r="C70" s="382" t="str">
        <f>IF(B70="","",IF(ISNA(VLOOKUP($B70,'B-1 On-Site Hedge Baseline'!$B$1:$L$257,3,FALSE)),"",(VLOOKUP($B70,'B-1 On-Site Hedge Baseline'!$B$1:$L$257,3,FALSE))))</f>
        <v/>
      </c>
      <c r="D70" s="382" t="str">
        <f>IF(B70="","",IF(ISNA(VLOOKUP($B70,'B-1 On-Site Hedge Baseline'!$B$1:$L$257,4,FALSE)),"",(VLOOKUP($B70,'B-1 On-Site Hedge Baseline'!$B$1:$L$257,4,FALSE))))</f>
        <v/>
      </c>
      <c r="E70" s="382" t="str">
        <f>IF(B70="","",IF(ISNA(VLOOKUP($B70,'B-1 On-Site Hedge Baseline'!$B$1:$L$257,5,FALSE)),"",(VLOOKUP($B70,'B-1 On-Site Hedge Baseline'!$B$1:$L$257,5,FALSE))))</f>
        <v/>
      </c>
      <c r="F70" s="382" t="str">
        <f>IF(B70="","",IF(ISNA(VLOOKUP($B70,'B-1 On-Site Hedge Baseline'!$B$1:$L$257,6,FALSE)),"",(VLOOKUP($B70,'B-1 On-Site Hedge Baseline'!$B$1:$L$257,6,FALSE))))</f>
        <v/>
      </c>
      <c r="G70" s="382" t="str">
        <f>IF(B70="","",IF(ISNA(VLOOKUP($B70,'B-1 On-Site Hedge Baseline'!$B$1:$L$257,7,FALSE)),"",(VLOOKUP($B70,'B-1 On-Site Hedge Baseline'!$B$1:$L$257,7,FALSE))))</f>
        <v/>
      </c>
      <c r="H70" s="382" t="str">
        <f>IF(B70="","",IF(ISNA(VLOOKUP($B70,'B-1 On-Site Hedge Baseline'!$B$1:$L$257,8,FALSE)),"",(VLOOKUP($B70,'B-1 On-Site Hedge Baseline'!$B$1:$L$257,8,FALSE))))</f>
        <v/>
      </c>
      <c r="I70" s="382" t="str">
        <f>IF(B70="","",IF(ISNA(VLOOKUP($B70,'B-1 On-Site Hedge Baseline'!$B$1:$L$257,10,FALSE)),"",(VLOOKUP($B70,'B-1 On-Site Hedge Baseline'!$B$1:$L$257,10,FALSE))))</f>
        <v/>
      </c>
      <c r="J70" s="382" t="str">
        <f>IF(B70="","",IF(ISNA(VLOOKUP($B70,'B-1 On-Site Hedge Baseline'!$B$1:$L$257,11,FALSE)),"",(VLOOKUP($B70,'B-1 On-Site Hedge Baseline'!$B$1:$L$257,11,FALSE))))</f>
        <v/>
      </c>
      <c r="K70" s="382" t="str">
        <f>IF(B70="","",IF(ISNA(VLOOKUP($B70,'B-1 On-Site Hedge Baseline'!$B$1:$U$257,13,FALSE)),"",(VLOOKUP($B70,'B-1 On-Site Hedge Baseline'!$B$1:$U$257,13,FALSE))))</f>
        <v/>
      </c>
      <c r="L70" s="386" t="str">
        <f>IF(B70="","",IF(ISNA(VLOOKUP($B70,'B-1 On-Site Hedge Baseline'!$B$1:$U$257,12,FALSE)),"",(VLOOKUP($B70,'B-1 On-Site Hedge Baseline'!$B$1:$U$257,12,FALSE))))</f>
        <v/>
      </c>
      <c r="M70" s="315" t="str">
        <f t="shared" si="0"/>
        <v/>
      </c>
      <c r="N70" s="362" t="str">
        <f>IFERROR(IF(B70="","",INDEX('G-6 Hedgerow Data'!$AN$3:$AZ$15,MATCH(C70,'G-6 Hedgerow Data'!$AM$3:$AM$15,0),MATCH(M70,'G-6 Hedgerow Data'!$AN$2:$AZ$2,0))),"")</f>
        <v/>
      </c>
      <c r="O70" s="363" t="str">
        <f t="shared" si="2"/>
        <v/>
      </c>
      <c r="P70" s="417" t="str">
        <f>IF(B70="","",VLOOKUP(B70,'B-1 On-Site Hedge Baseline'!$B$10:T315,16,FALSE))</f>
        <v/>
      </c>
      <c r="Q70" s="362" t="str">
        <f>IF(M70="","",VLOOKUP(M70,'G-6 Hedgerow Data'!$B$2:$AG$15,2,FALSE))</f>
        <v/>
      </c>
      <c r="R70" s="363" t="str">
        <f>IF(M70="","",VLOOKUP(M70,'G-6 Hedgerow Data'!$B$2:$AG$15,3,FALSE))</f>
        <v/>
      </c>
      <c r="S70" s="125"/>
      <c r="T70" s="401" t="str">
        <f>IFERROR(VLOOKUP(S70,'G-1 All Habitats'!$Z$2:$AA$9,2,FALSE),"")</f>
        <v/>
      </c>
      <c r="U70" s="122"/>
      <c r="V70" s="382" t="str">
        <f>IF(U70="","",IF(VLOOKUP(U70,'G-3 Multipliers'!$L$3:$N$6,2,FALSE)=0,"Spatial Data Missing ⚠",VLOOKUP(U70,'G-3 Multipliers'!$L$3:$N$6,2,FALSE)))</f>
        <v/>
      </c>
      <c r="W70" s="386" t="str">
        <f>IF(U70="","",IF(VLOOKUP(U70,'G-3 Multipliers'!$L$3:$N$6,3,FALSE)=0,"Spatial Data Missing ⚠",VLOOKUP(U70,'G-3 Multipliers'!$L$3:$N$6,3,FALSE)))</f>
        <v/>
      </c>
      <c r="X70" s="362" t="str">
        <f>IFERROR(IF(OR(LEFT(O70,5)="Error",LEFT(N70,5)="Error",T70="Error"),"Check Data ⚠",IF(F70&lt;R70,INDEX('G-6 Hedgerow Data'!$S$3:$AE$14,MATCH(C70,'G-6 Hedgerow Data'!$B$3:$B$14,0),MATCH(M70,'G-6 Hedgerow Data'!$S$2:$AE$2,0)),INDEX('G-6 Hedgerow Data'!$K$3:$Q$14,MATCH(M70,'G-6 Hedgerow Data'!$B$3:$B$14,0),MATCH(O70,'G-6 Hedgerow Data'!$K$2:$Q$2,0)))),"")</f>
        <v/>
      </c>
      <c r="Y70" s="159"/>
      <c r="Z70" s="159"/>
      <c r="AA70" s="370" t="str">
        <f t="shared" si="3"/>
        <v/>
      </c>
      <c r="AB70" s="383" t="str">
        <f t="shared" si="4"/>
        <v/>
      </c>
      <c r="AC70" s="384" t="str">
        <f t="shared" si="1"/>
        <v/>
      </c>
      <c r="AD70" s="398" t="str">
        <f>IF(M70="","",VLOOKUP(M70,'G-6 Hedgerow Data'!$B$3:$AG$15,31,FALSE))</f>
        <v/>
      </c>
      <c r="AE70" s="370" t="str">
        <f t="shared" si="5"/>
        <v/>
      </c>
      <c r="AF70" s="370" t="str">
        <f t="shared" si="6"/>
        <v/>
      </c>
      <c r="AG70" s="386" t="str">
        <f>IFERROR(IF(O70="","",VLOOKUP(AD70,'G-3 Multipliers'!$P$3:$Q$6,2,FALSE)),"")</f>
        <v/>
      </c>
      <c r="AH70" s="376" t="str">
        <f t="shared" si="7"/>
        <v/>
      </c>
      <c r="AI70" s="188"/>
      <c r="AJ70" s="118"/>
      <c r="AK70" s="120"/>
      <c r="AT70" s="30" t="str">
        <f>IFERROR(INDEX('G-6 Hedgerow Data'!$BJ$3:$BJ$15,MATCH(M70,'G-6 Hedgerow Data'!$B$3:$B$15,0)),"")</f>
        <v/>
      </c>
    </row>
    <row r="71" spans="2:46" ht="15">
      <c r="B71" s="392" t="str">
        <f>'B-1 On-Site Hedge Baseline'!AK69</f>
        <v/>
      </c>
      <c r="C71" s="382" t="str">
        <f>IF(B71="","",IF(ISNA(VLOOKUP($B71,'B-1 On-Site Hedge Baseline'!$B$1:$L$257,3,FALSE)),"",(VLOOKUP($B71,'B-1 On-Site Hedge Baseline'!$B$1:$L$257,3,FALSE))))</f>
        <v/>
      </c>
      <c r="D71" s="382" t="str">
        <f>IF(B71="","",IF(ISNA(VLOOKUP($B71,'B-1 On-Site Hedge Baseline'!$B$1:$L$257,4,FALSE)),"",(VLOOKUP($B71,'B-1 On-Site Hedge Baseline'!$B$1:$L$257,4,FALSE))))</f>
        <v/>
      </c>
      <c r="E71" s="382" t="str">
        <f>IF(B71="","",IF(ISNA(VLOOKUP($B71,'B-1 On-Site Hedge Baseline'!$B$1:$L$257,5,FALSE)),"",(VLOOKUP($B71,'B-1 On-Site Hedge Baseline'!$B$1:$L$257,5,FALSE))))</f>
        <v/>
      </c>
      <c r="F71" s="382" t="str">
        <f>IF(B71="","",IF(ISNA(VLOOKUP($B71,'B-1 On-Site Hedge Baseline'!$B$1:$L$257,6,FALSE)),"",(VLOOKUP($B71,'B-1 On-Site Hedge Baseline'!$B$1:$L$257,6,FALSE))))</f>
        <v/>
      </c>
      <c r="G71" s="382" t="str">
        <f>IF(B71="","",IF(ISNA(VLOOKUP($B71,'B-1 On-Site Hedge Baseline'!$B$1:$L$257,7,FALSE)),"",(VLOOKUP($B71,'B-1 On-Site Hedge Baseline'!$B$1:$L$257,7,FALSE))))</f>
        <v/>
      </c>
      <c r="H71" s="382" t="str">
        <f>IF(B71="","",IF(ISNA(VLOOKUP($B71,'B-1 On-Site Hedge Baseline'!$B$1:$L$257,8,FALSE)),"",(VLOOKUP($B71,'B-1 On-Site Hedge Baseline'!$B$1:$L$257,8,FALSE))))</f>
        <v/>
      </c>
      <c r="I71" s="382" t="str">
        <f>IF(B71="","",IF(ISNA(VLOOKUP($B71,'B-1 On-Site Hedge Baseline'!$B$1:$L$257,10,FALSE)),"",(VLOOKUP($B71,'B-1 On-Site Hedge Baseline'!$B$1:$L$257,10,FALSE))))</f>
        <v/>
      </c>
      <c r="J71" s="382" t="str">
        <f>IF(B71="","",IF(ISNA(VLOOKUP($B71,'B-1 On-Site Hedge Baseline'!$B$1:$L$257,11,FALSE)),"",(VLOOKUP($B71,'B-1 On-Site Hedge Baseline'!$B$1:$L$257,11,FALSE))))</f>
        <v/>
      </c>
      <c r="K71" s="382" t="str">
        <f>IF(B71="","",IF(ISNA(VLOOKUP($B71,'B-1 On-Site Hedge Baseline'!$B$1:$U$257,13,FALSE)),"",(VLOOKUP($B71,'B-1 On-Site Hedge Baseline'!$B$1:$U$257,13,FALSE))))</f>
        <v/>
      </c>
      <c r="L71" s="386" t="str">
        <f>IF(B71="","",IF(ISNA(VLOOKUP($B71,'B-1 On-Site Hedge Baseline'!$B$1:$U$257,12,FALSE)),"",(VLOOKUP($B71,'B-1 On-Site Hedge Baseline'!$B$1:$U$257,12,FALSE))))</f>
        <v/>
      </c>
      <c r="M71" s="315" t="str">
        <f t="shared" si="0"/>
        <v/>
      </c>
      <c r="N71" s="362" t="str">
        <f>IFERROR(IF(B71="","",INDEX('G-6 Hedgerow Data'!$AN$3:$AZ$15,MATCH(C71,'G-6 Hedgerow Data'!$AM$3:$AM$15,0),MATCH(M71,'G-6 Hedgerow Data'!$AN$2:$AZ$2,0))),"")</f>
        <v/>
      </c>
      <c r="O71" s="363" t="str">
        <f t="shared" si="2"/>
        <v/>
      </c>
      <c r="P71" s="417" t="str">
        <f>IF(B71="","",VLOOKUP(B71,'B-1 On-Site Hedge Baseline'!$B$10:T316,16,FALSE))</f>
        <v/>
      </c>
      <c r="Q71" s="362" t="str">
        <f>IF(M71="","",VLOOKUP(M71,'G-6 Hedgerow Data'!$B$2:$AG$15,2,FALSE))</f>
        <v/>
      </c>
      <c r="R71" s="363" t="str">
        <f>IF(M71="","",VLOOKUP(M71,'G-6 Hedgerow Data'!$B$2:$AG$15,3,FALSE))</f>
        <v/>
      </c>
      <c r="S71" s="125"/>
      <c r="T71" s="401" t="str">
        <f>IFERROR(VLOOKUP(S71,'G-1 All Habitats'!$Z$2:$AA$9,2,FALSE),"")</f>
        <v/>
      </c>
      <c r="U71" s="122"/>
      <c r="V71" s="382" t="str">
        <f>IF(U71="","",IF(VLOOKUP(U71,'G-3 Multipliers'!$L$3:$N$6,2,FALSE)=0,"Spatial Data Missing ⚠",VLOOKUP(U71,'G-3 Multipliers'!$L$3:$N$6,2,FALSE)))</f>
        <v/>
      </c>
      <c r="W71" s="386" t="str">
        <f>IF(U71="","",IF(VLOOKUP(U71,'G-3 Multipliers'!$L$3:$N$6,3,FALSE)=0,"Spatial Data Missing ⚠",VLOOKUP(U71,'G-3 Multipliers'!$L$3:$N$6,3,FALSE)))</f>
        <v/>
      </c>
      <c r="X71" s="362" t="str">
        <f>IFERROR(IF(OR(LEFT(O71,5)="Error",LEFT(N71,5)="Error",T71="Error"),"Check Data ⚠",IF(F71&lt;R71,INDEX('G-6 Hedgerow Data'!$S$3:$AE$14,MATCH(C71,'G-6 Hedgerow Data'!$B$3:$B$14,0),MATCH(M71,'G-6 Hedgerow Data'!$S$2:$AE$2,0)),INDEX('G-6 Hedgerow Data'!$K$3:$Q$14,MATCH(M71,'G-6 Hedgerow Data'!$B$3:$B$14,0),MATCH(O71,'G-6 Hedgerow Data'!$K$2:$Q$2,0)))),"")</f>
        <v/>
      </c>
      <c r="Y71" s="159"/>
      <c r="Z71" s="159"/>
      <c r="AA71" s="370" t="str">
        <f t="shared" si="3"/>
        <v/>
      </c>
      <c r="AB71" s="383" t="str">
        <f t="shared" si="4"/>
        <v/>
      </c>
      <c r="AC71" s="384" t="str">
        <f t="shared" si="1"/>
        <v/>
      </c>
      <c r="AD71" s="398" t="str">
        <f>IF(M71="","",VLOOKUP(M71,'G-6 Hedgerow Data'!$B$3:$AG$15,31,FALSE))</f>
        <v/>
      </c>
      <c r="AE71" s="370" t="str">
        <f t="shared" si="5"/>
        <v/>
      </c>
      <c r="AF71" s="370" t="str">
        <f t="shared" si="6"/>
        <v/>
      </c>
      <c r="AG71" s="386" t="str">
        <f>IFERROR(IF(O71="","",VLOOKUP(AD71,'G-3 Multipliers'!$P$3:$Q$6,2,FALSE)),"")</f>
        <v/>
      </c>
      <c r="AH71" s="376" t="str">
        <f t="shared" si="7"/>
        <v/>
      </c>
      <c r="AI71" s="188"/>
      <c r="AJ71" s="118"/>
      <c r="AK71" s="120"/>
      <c r="AT71" s="30" t="str">
        <f>IFERROR(INDEX('G-6 Hedgerow Data'!$BJ$3:$BJ$15,MATCH(M71,'G-6 Hedgerow Data'!$B$3:$B$15,0)),"")</f>
        <v/>
      </c>
    </row>
    <row r="72" spans="2:46" ht="15">
      <c r="B72" s="392" t="str">
        <f>'B-1 On-Site Hedge Baseline'!AK70</f>
        <v/>
      </c>
      <c r="C72" s="382" t="str">
        <f>IF(B72="","",IF(ISNA(VLOOKUP($B72,'B-1 On-Site Hedge Baseline'!$B$1:$L$257,3,FALSE)),"",(VLOOKUP($B72,'B-1 On-Site Hedge Baseline'!$B$1:$L$257,3,FALSE))))</f>
        <v/>
      </c>
      <c r="D72" s="382" t="str">
        <f>IF(B72="","",IF(ISNA(VLOOKUP($B72,'B-1 On-Site Hedge Baseline'!$B$1:$L$257,4,FALSE)),"",(VLOOKUP($B72,'B-1 On-Site Hedge Baseline'!$B$1:$L$257,4,FALSE))))</f>
        <v/>
      </c>
      <c r="E72" s="382" t="str">
        <f>IF(B72="","",IF(ISNA(VLOOKUP($B72,'B-1 On-Site Hedge Baseline'!$B$1:$L$257,5,FALSE)),"",(VLOOKUP($B72,'B-1 On-Site Hedge Baseline'!$B$1:$L$257,5,FALSE))))</f>
        <v/>
      </c>
      <c r="F72" s="382" t="str">
        <f>IF(B72="","",IF(ISNA(VLOOKUP($B72,'B-1 On-Site Hedge Baseline'!$B$1:$L$257,6,FALSE)),"",(VLOOKUP($B72,'B-1 On-Site Hedge Baseline'!$B$1:$L$257,6,FALSE))))</f>
        <v/>
      </c>
      <c r="G72" s="382" t="str">
        <f>IF(B72="","",IF(ISNA(VLOOKUP($B72,'B-1 On-Site Hedge Baseline'!$B$1:$L$257,7,FALSE)),"",(VLOOKUP($B72,'B-1 On-Site Hedge Baseline'!$B$1:$L$257,7,FALSE))))</f>
        <v/>
      </c>
      <c r="H72" s="382" t="str">
        <f>IF(B72="","",IF(ISNA(VLOOKUP($B72,'B-1 On-Site Hedge Baseline'!$B$1:$L$257,8,FALSE)),"",(VLOOKUP($B72,'B-1 On-Site Hedge Baseline'!$B$1:$L$257,8,FALSE))))</f>
        <v/>
      </c>
      <c r="I72" s="382" t="str">
        <f>IF(B72="","",IF(ISNA(VLOOKUP($B72,'B-1 On-Site Hedge Baseline'!$B$1:$L$257,10,FALSE)),"",(VLOOKUP($B72,'B-1 On-Site Hedge Baseline'!$B$1:$L$257,10,FALSE))))</f>
        <v/>
      </c>
      <c r="J72" s="382" t="str">
        <f>IF(B72="","",IF(ISNA(VLOOKUP($B72,'B-1 On-Site Hedge Baseline'!$B$1:$L$257,11,FALSE)),"",(VLOOKUP($B72,'B-1 On-Site Hedge Baseline'!$B$1:$L$257,11,FALSE))))</f>
        <v/>
      </c>
      <c r="K72" s="382" t="str">
        <f>IF(B72="","",IF(ISNA(VLOOKUP($B72,'B-1 On-Site Hedge Baseline'!$B$1:$U$257,13,FALSE)),"",(VLOOKUP($B72,'B-1 On-Site Hedge Baseline'!$B$1:$U$257,13,FALSE))))</f>
        <v/>
      </c>
      <c r="L72" s="386" t="str">
        <f>IF(B72="","",IF(ISNA(VLOOKUP($B72,'B-1 On-Site Hedge Baseline'!$B$1:$U$257,12,FALSE)),"",(VLOOKUP($B72,'B-1 On-Site Hedge Baseline'!$B$1:$U$257,12,FALSE))))</f>
        <v/>
      </c>
      <c r="M72" s="315" t="str">
        <f t="shared" si="0"/>
        <v/>
      </c>
      <c r="N72" s="362" t="str">
        <f>IFERROR(IF(B72="","",INDEX('G-6 Hedgerow Data'!$AN$3:$AZ$15,MATCH(C72,'G-6 Hedgerow Data'!$AM$3:$AM$15,0),MATCH(M72,'G-6 Hedgerow Data'!$AN$2:$AZ$2,0))),"")</f>
        <v/>
      </c>
      <c r="O72" s="363" t="str">
        <f t="shared" si="2"/>
        <v/>
      </c>
      <c r="P72" s="417" t="str">
        <f>IF(B72="","",VLOOKUP(B72,'B-1 On-Site Hedge Baseline'!$B$10:T317,16,FALSE))</f>
        <v/>
      </c>
      <c r="Q72" s="362" t="str">
        <f>IF(M72="","",VLOOKUP(M72,'G-6 Hedgerow Data'!$B$2:$AG$15,2,FALSE))</f>
        <v/>
      </c>
      <c r="R72" s="363" t="str">
        <f>IF(M72="","",VLOOKUP(M72,'G-6 Hedgerow Data'!$B$2:$AG$15,3,FALSE))</f>
        <v/>
      </c>
      <c r="S72" s="125"/>
      <c r="T72" s="401" t="str">
        <f>IFERROR(VLOOKUP(S72,'G-1 All Habitats'!$Z$2:$AA$9,2,FALSE),"")</f>
        <v/>
      </c>
      <c r="U72" s="122"/>
      <c r="V72" s="382" t="str">
        <f>IF(U72="","",IF(VLOOKUP(U72,'G-3 Multipliers'!$L$3:$N$6,2,FALSE)=0,"Spatial Data Missing ⚠",VLOOKUP(U72,'G-3 Multipliers'!$L$3:$N$6,2,FALSE)))</f>
        <v/>
      </c>
      <c r="W72" s="386" t="str">
        <f>IF(U72="","",IF(VLOOKUP(U72,'G-3 Multipliers'!$L$3:$N$6,3,FALSE)=0,"Spatial Data Missing ⚠",VLOOKUP(U72,'G-3 Multipliers'!$L$3:$N$6,3,FALSE)))</f>
        <v/>
      </c>
      <c r="X72" s="362" t="str">
        <f>IFERROR(IF(OR(LEFT(O72,5)="Error",LEFT(N72,5)="Error",T72="Error"),"Check Data ⚠",IF(F72&lt;R72,INDEX('G-6 Hedgerow Data'!$S$3:$AE$14,MATCH(C72,'G-6 Hedgerow Data'!$B$3:$B$14,0),MATCH(M72,'G-6 Hedgerow Data'!$S$2:$AE$2,0)),INDEX('G-6 Hedgerow Data'!$K$3:$Q$14,MATCH(M72,'G-6 Hedgerow Data'!$B$3:$B$14,0),MATCH(O72,'G-6 Hedgerow Data'!$K$2:$Q$2,0)))),"")</f>
        <v/>
      </c>
      <c r="Y72" s="159"/>
      <c r="Z72" s="159"/>
      <c r="AA72" s="370" t="str">
        <f t="shared" si="3"/>
        <v/>
      </c>
      <c r="AB72" s="383" t="str">
        <f t="shared" si="4"/>
        <v/>
      </c>
      <c r="AC72" s="384" t="str">
        <f t="shared" si="1"/>
        <v/>
      </c>
      <c r="AD72" s="398" t="str">
        <f>IF(M72="","",VLOOKUP(M72,'G-6 Hedgerow Data'!$B$3:$AG$15,31,FALSE))</f>
        <v/>
      </c>
      <c r="AE72" s="370" t="str">
        <f t="shared" si="5"/>
        <v/>
      </c>
      <c r="AF72" s="370" t="str">
        <f t="shared" si="6"/>
        <v/>
      </c>
      <c r="AG72" s="386" t="str">
        <f>IFERROR(IF(O72="","",VLOOKUP(AD72,'G-3 Multipliers'!$P$3:$Q$6,2,FALSE)),"")</f>
        <v/>
      </c>
      <c r="AH72" s="376" t="str">
        <f t="shared" si="7"/>
        <v/>
      </c>
      <c r="AI72" s="188"/>
      <c r="AJ72" s="118"/>
      <c r="AK72" s="120"/>
      <c r="AT72" s="30" t="str">
        <f>IFERROR(INDEX('G-6 Hedgerow Data'!$BJ$3:$BJ$15,MATCH(M72,'G-6 Hedgerow Data'!$B$3:$B$15,0)),"")</f>
        <v/>
      </c>
    </row>
    <row r="73" spans="2:46" ht="15">
      <c r="B73" s="392" t="str">
        <f>'B-1 On-Site Hedge Baseline'!AK71</f>
        <v/>
      </c>
      <c r="C73" s="382" t="str">
        <f>IF(B73="","",IF(ISNA(VLOOKUP($B73,'B-1 On-Site Hedge Baseline'!$B$1:$L$257,3,FALSE)),"",(VLOOKUP($B73,'B-1 On-Site Hedge Baseline'!$B$1:$L$257,3,FALSE))))</f>
        <v/>
      </c>
      <c r="D73" s="382" t="str">
        <f>IF(B73="","",IF(ISNA(VLOOKUP($B73,'B-1 On-Site Hedge Baseline'!$B$1:$L$257,4,FALSE)),"",(VLOOKUP($B73,'B-1 On-Site Hedge Baseline'!$B$1:$L$257,4,FALSE))))</f>
        <v/>
      </c>
      <c r="E73" s="382" t="str">
        <f>IF(B73="","",IF(ISNA(VLOOKUP($B73,'B-1 On-Site Hedge Baseline'!$B$1:$L$257,5,FALSE)),"",(VLOOKUP($B73,'B-1 On-Site Hedge Baseline'!$B$1:$L$257,5,FALSE))))</f>
        <v/>
      </c>
      <c r="F73" s="382" t="str">
        <f>IF(B73="","",IF(ISNA(VLOOKUP($B73,'B-1 On-Site Hedge Baseline'!$B$1:$L$257,6,FALSE)),"",(VLOOKUP($B73,'B-1 On-Site Hedge Baseline'!$B$1:$L$257,6,FALSE))))</f>
        <v/>
      </c>
      <c r="G73" s="382" t="str">
        <f>IF(B73="","",IF(ISNA(VLOOKUP($B73,'B-1 On-Site Hedge Baseline'!$B$1:$L$257,7,FALSE)),"",(VLOOKUP($B73,'B-1 On-Site Hedge Baseline'!$B$1:$L$257,7,FALSE))))</f>
        <v/>
      </c>
      <c r="H73" s="382" t="str">
        <f>IF(B73="","",IF(ISNA(VLOOKUP($B73,'B-1 On-Site Hedge Baseline'!$B$1:$L$257,8,FALSE)),"",(VLOOKUP($B73,'B-1 On-Site Hedge Baseline'!$B$1:$L$257,8,FALSE))))</f>
        <v/>
      </c>
      <c r="I73" s="382" t="str">
        <f>IF(B73="","",IF(ISNA(VLOOKUP($B73,'B-1 On-Site Hedge Baseline'!$B$1:$L$257,10,FALSE)),"",(VLOOKUP($B73,'B-1 On-Site Hedge Baseline'!$B$1:$L$257,10,FALSE))))</f>
        <v/>
      </c>
      <c r="J73" s="382" t="str">
        <f>IF(B73="","",IF(ISNA(VLOOKUP($B73,'B-1 On-Site Hedge Baseline'!$B$1:$L$257,11,FALSE)),"",(VLOOKUP($B73,'B-1 On-Site Hedge Baseline'!$B$1:$L$257,11,FALSE))))</f>
        <v/>
      </c>
      <c r="K73" s="382" t="str">
        <f>IF(B73="","",IF(ISNA(VLOOKUP($B73,'B-1 On-Site Hedge Baseline'!$B$1:$U$257,13,FALSE)),"",(VLOOKUP($B73,'B-1 On-Site Hedge Baseline'!$B$1:$U$257,13,FALSE))))</f>
        <v/>
      </c>
      <c r="L73" s="386" t="str">
        <f>IF(B73="","",IF(ISNA(VLOOKUP($B73,'B-1 On-Site Hedge Baseline'!$B$1:$U$257,12,FALSE)),"",(VLOOKUP($B73,'B-1 On-Site Hedge Baseline'!$B$1:$U$257,12,FALSE))))</f>
        <v/>
      </c>
      <c r="M73" s="315" t="str">
        <f t="shared" si="0"/>
        <v/>
      </c>
      <c r="N73" s="362" t="str">
        <f>IFERROR(IF(B73="","",INDEX('G-6 Hedgerow Data'!$AN$3:$AZ$15,MATCH(C73,'G-6 Hedgerow Data'!$AM$3:$AM$15,0),MATCH(M73,'G-6 Hedgerow Data'!$AN$2:$AZ$2,0))),"")</f>
        <v/>
      </c>
      <c r="O73" s="363" t="str">
        <f t="shared" si="2"/>
        <v/>
      </c>
      <c r="P73" s="417" t="str">
        <f>IF(B73="","",VLOOKUP(B73,'B-1 On-Site Hedge Baseline'!$B$10:T318,16,FALSE))</f>
        <v/>
      </c>
      <c r="Q73" s="362" t="str">
        <f>IF(M73="","",VLOOKUP(M73,'G-6 Hedgerow Data'!$B$2:$AG$15,2,FALSE))</f>
        <v/>
      </c>
      <c r="R73" s="363" t="str">
        <f>IF(M73="","",VLOOKUP(M73,'G-6 Hedgerow Data'!$B$2:$AG$15,3,FALSE))</f>
        <v/>
      </c>
      <c r="S73" s="125"/>
      <c r="T73" s="401" t="str">
        <f>IFERROR(VLOOKUP(S73,'G-1 All Habitats'!$Z$2:$AA$9,2,FALSE),"")</f>
        <v/>
      </c>
      <c r="U73" s="122"/>
      <c r="V73" s="382" t="str">
        <f>IF(U73="","",IF(VLOOKUP(U73,'G-3 Multipliers'!$L$3:$N$6,2,FALSE)=0,"Spatial Data Missing ⚠",VLOOKUP(U73,'G-3 Multipliers'!$L$3:$N$6,2,FALSE)))</f>
        <v/>
      </c>
      <c r="W73" s="386" t="str">
        <f>IF(U73="","",IF(VLOOKUP(U73,'G-3 Multipliers'!$L$3:$N$6,3,FALSE)=0,"Spatial Data Missing ⚠",VLOOKUP(U73,'G-3 Multipliers'!$L$3:$N$6,3,FALSE)))</f>
        <v/>
      </c>
      <c r="X73" s="362" t="str">
        <f>IFERROR(IF(OR(LEFT(O73,5)="Error",LEFT(N73,5)="Error",T73="Error"),"Check Data ⚠",IF(F73&lt;R73,INDEX('G-6 Hedgerow Data'!$S$3:$AE$14,MATCH(C73,'G-6 Hedgerow Data'!$B$3:$B$14,0),MATCH(M73,'G-6 Hedgerow Data'!$S$2:$AE$2,0)),INDEX('G-6 Hedgerow Data'!$K$3:$Q$14,MATCH(M73,'G-6 Hedgerow Data'!$B$3:$B$14,0),MATCH(O73,'G-6 Hedgerow Data'!$K$2:$Q$2,0)))),"")</f>
        <v/>
      </c>
      <c r="Y73" s="159"/>
      <c r="Z73" s="159"/>
      <c r="AA73" s="370" t="str">
        <f t="shared" si="3"/>
        <v/>
      </c>
      <c r="AB73" s="383" t="str">
        <f t="shared" si="4"/>
        <v/>
      </c>
      <c r="AC73" s="384" t="str">
        <f t="shared" si="1"/>
        <v/>
      </c>
      <c r="AD73" s="398" t="str">
        <f>IF(M73="","",VLOOKUP(M73,'G-6 Hedgerow Data'!$B$3:$AG$15,31,FALSE))</f>
        <v/>
      </c>
      <c r="AE73" s="370" t="str">
        <f t="shared" si="5"/>
        <v/>
      </c>
      <c r="AF73" s="370" t="str">
        <f t="shared" si="6"/>
        <v/>
      </c>
      <c r="AG73" s="386" t="str">
        <f>IFERROR(IF(O73="","",VLOOKUP(AD73,'G-3 Multipliers'!$P$3:$Q$6,2,FALSE)),"")</f>
        <v/>
      </c>
      <c r="AH73" s="376" t="str">
        <f t="shared" si="7"/>
        <v/>
      </c>
      <c r="AI73" s="188"/>
      <c r="AJ73" s="118"/>
      <c r="AK73" s="120"/>
      <c r="AT73" s="30" t="str">
        <f>IFERROR(INDEX('G-6 Hedgerow Data'!$BJ$3:$BJ$15,MATCH(M73,'G-6 Hedgerow Data'!$B$3:$B$15,0)),"")</f>
        <v/>
      </c>
    </row>
    <row r="74" spans="2:46" ht="15">
      <c r="B74" s="392" t="str">
        <f>'B-1 On-Site Hedge Baseline'!AK72</f>
        <v/>
      </c>
      <c r="C74" s="382" t="str">
        <f>IF(B74="","",IF(ISNA(VLOOKUP($B74,'B-1 On-Site Hedge Baseline'!$B$1:$L$257,3,FALSE)),"",(VLOOKUP($B74,'B-1 On-Site Hedge Baseline'!$B$1:$L$257,3,FALSE))))</f>
        <v/>
      </c>
      <c r="D74" s="382" t="str">
        <f>IF(B74="","",IF(ISNA(VLOOKUP($B74,'B-1 On-Site Hedge Baseline'!$B$1:$L$257,4,FALSE)),"",(VLOOKUP($B74,'B-1 On-Site Hedge Baseline'!$B$1:$L$257,4,FALSE))))</f>
        <v/>
      </c>
      <c r="E74" s="382" t="str">
        <f>IF(B74="","",IF(ISNA(VLOOKUP($B74,'B-1 On-Site Hedge Baseline'!$B$1:$L$257,5,FALSE)),"",(VLOOKUP($B74,'B-1 On-Site Hedge Baseline'!$B$1:$L$257,5,FALSE))))</f>
        <v/>
      </c>
      <c r="F74" s="382" t="str">
        <f>IF(B74="","",IF(ISNA(VLOOKUP($B74,'B-1 On-Site Hedge Baseline'!$B$1:$L$257,6,FALSE)),"",(VLOOKUP($B74,'B-1 On-Site Hedge Baseline'!$B$1:$L$257,6,FALSE))))</f>
        <v/>
      </c>
      <c r="G74" s="382" t="str">
        <f>IF(B74="","",IF(ISNA(VLOOKUP($B74,'B-1 On-Site Hedge Baseline'!$B$1:$L$257,7,FALSE)),"",(VLOOKUP($B74,'B-1 On-Site Hedge Baseline'!$B$1:$L$257,7,FALSE))))</f>
        <v/>
      </c>
      <c r="H74" s="382" t="str">
        <f>IF(B74="","",IF(ISNA(VLOOKUP($B74,'B-1 On-Site Hedge Baseline'!$B$1:$L$257,8,FALSE)),"",(VLOOKUP($B74,'B-1 On-Site Hedge Baseline'!$B$1:$L$257,8,FALSE))))</f>
        <v/>
      </c>
      <c r="I74" s="382" t="str">
        <f>IF(B74="","",IF(ISNA(VLOOKUP($B74,'B-1 On-Site Hedge Baseline'!$B$1:$L$257,10,FALSE)),"",(VLOOKUP($B74,'B-1 On-Site Hedge Baseline'!$B$1:$L$257,10,FALSE))))</f>
        <v/>
      </c>
      <c r="J74" s="382" t="str">
        <f>IF(B74="","",IF(ISNA(VLOOKUP($B74,'B-1 On-Site Hedge Baseline'!$B$1:$L$257,11,FALSE)),"",(VLOOKUP($B74,'B-1 On-Site Hedge Baseline'!$B$1:$L$257,11,FALSE))))</f>
        <v/>
      </c>
      <c r="K74" s="382" t="str">
        <f>IF(B74="","",IF(ISNA(VLOOKUP($B74,'B-1 On-Site Hedge Baseline'!$B$1:$U$257,13,FALSE)),"",(VLOOKUP($B74,'B-1 On-Site Hedge Baseline'!$B$1:$U$257,13,FALSE))))</f>
        <v/>
      </c>
      <c r="L74" s="386" t="str">
        <f>IF(B74="","",IF(ISNA(VLOOKUP($B74,'B-1 On-Site Hedge Baseline'!$B$1:$U$257,12,FALSE)),"",(VLOOKUP($B74,'B-1 On-Site Hedge Baseline'!$B$1:$U$257,12,FALSE))))</f>
        <v/>
      </c>
      <c r="M74" s="315" t="str">
        <f t="shared" si="0"/>
        <v/>
      </c>
      <c r="N74" s="362" t="str">
        <f>IFERROR(IF(B74="","",INDEX('G-6 Hedgerow Data'!$AN$3:$AZ$15,MATCH(C74,'G-6 Hedgerow Data'!$AM$3:$AM$15,0),MATCH(M74,'G-6 Hedgerow Data'!$AN$2:$AZ$2,0))),"")</f>
        <v/>
      </c>
      <c r="O74" s="363" t="str">
        <f t="shared" si="2"/>
        <v/>
      </c>
      <c r="P74" s="417" t="str">
        <f>IF(B74="","",VLOOKUP(B74,'B-1 On-Site Hedge Baseline'!$B$10:T319,16,FALSE))</f>
        <v/>
      </c>
      <c r="Q74" s="362" t="str">
        <f>IF(M74="","",VLOOKUP(M74,'G-6 Hedgerow Data'!$B$2:$AG$15,2,FALSE))</f>
        <v/>
      </c>
      <c r="R74" s="363" t="str">
        <f>IF(M74="","",VLOOKUP(M74,'G-6 Hedgerow Data'!$B$2:$AG$15,3,FALSE))</f>
        <v/>
      </c>
      <c r="S74" s="125"/>
      <c r="T74" s="401" t="str">
        <f>IFERROR(VLOOKUP(S74,'G-1 All Habitats'!$Z$2:$AA$9,2,FALSE),"")</f>
        <v/>
      </c>
      <c r="U74" s="122"/>
      <c r="V74" s="382" t="str">
        <f>IF(U74="","",IF(VLOOKUP(U74,'G-3 Multipliers'!$L$3:$N$6,2,FALSE)=0,"Spatial Data Missing ⚠",VLOOKUP(U74,'G-3 Multipliers'!$L$3:$N$6,2,FALSE)))</f>
        <v/>
      </c>
      <c r="W74" s="386" t="str">
        <f>IF(U74="","",IF(VLOOKUP(U74,'G-3 Multipliers'!$L$3:$N$6,3,FALSE)=0,"Spatial Data Missing ⚠",VLOOKUP(U74,'G-3 Multipliers'!$L$3:$N$6,3,FALSE)))</f>
        <v/>
      </c>
      <c r="X74" s="362" t="str">
        <f>IFERROR(IF(OR(LEFT(O74,5)="Error",LEFT(N74,5)="Error",T74="Error"),"Check Data ⚠",IF(F74&lt;R74,INDEX('G-6 Hedgerow Data'!$S$3:$AE$14,MATCH(C74,'G-6 Hedgerow Data'!$B$3:$B$14,0),MATCH(M74,'G-6 Hedgerow Data'!$S$2:$AE$2,0)),INDEX('G-6 Hedgerow Data'!$K$3:$Q$14,MATCH(M74,'G-6 Hedgerow Data'!$B$3:$B$14,0),MATCH(O74,'G-6 Hedgerow Data'!$K$2:$Q$2,0)))),"")</f>
        <v/>
      </c>
      <c r="Y74" s="159"/>
      <c r="Z74" s="159"/>
      <c r="AA74" s="370" t="str">
        <f t="shared" si="3"/>
        <v/>
      </c>
      <c r="AB74" s="383" t="str">
        <f t="shared" si="4"/>
        <v/>
      </c>
      <c r="AC74" s="384" t="str">
        <f t="shared" si="1"/>
        <v/>
      </c>
      <c r="AD74" s="398" t="str">
        <f>IF(M74="","",VLOOKUP(M74,'G-6 Hedgerow Data'!$B$3:$AG$15,31,FALSE))</f>
        <v/>
      </c>
      <c r="AE74" s="370" t="str">
        <f t="shared" si="5"/>
        <v/>
      </c>
      <c r="AF74" s="370" t="str">
        <f t="shared" si="6"/>
        <v/>
      </c>
      <c r="AG74" s="386" t="str">
        <f>IFERROR(IF(O74="","",VLOOKUP(AD74,'G-3 Multipliers'!$P$3:$Q$6,2,FALSE)),"")</f>
        <v/>
      </c>
      <c r="AH74" s="376" t="str">
        <f t="shared" si="7"/>
        <v/>
      </c>
      <c r="AI74" s="188"/>
      <c r="AJ74" s="118"/>
      <c r="AK74" s="120"/>
      <c r="AT74" s="30" t="str">
        <f>IFERROR(INDEX('G-6 Hedgerow Data'!$BJ$3:$BJ$15,MATCH(M74,'G-6 Hedgerow Data'!$B$3:$B$15,0)),"")</f>
        <v/>
      </c>
    </row>
    <row r="75" spans="2:46" ht="15">
      <c r="B75" s="392" t="str">
        <f>'B-1 On-Site Hedge Baseline'!AK73</f>
        <v/>
      </c>
      <c r="C75" s="382" t="str">
        <f>IF(B75="","",IF(ISNA(VLOOKUP($B75,'B-1 On-Site Hedge Baseline'!$B$1:$L$257,3,FALSE)),"",(VLOOKUP($B75,'B-1 On-Site Hedge Baseline'!$B$1:$L$257,3,FALSE))))</f>
        <v/>
      </c>
      <c r="D75" s="382" t="str">
        <f>IF(B75="","",IF(ISNA(VLOOKUP($B75,'B-1 On-Site Hedge Baseline'!$B$1:$L$257,4,FALSE)),"",(VLOOKUP($B75,'B-1 On-Site Hedge Baseline'!$B$1:$L$257,4,FALSE))))</f>
        <v/>
      </c>
      <c r="E75" s="382" t="str">
        <f>IF(B75="","",IF(ISNA(VLOOKUP($B75,'B-1 On-Site Hedge Baseline'!$B$1:$L$257,5,FALSE)),"",(VLOOKUP($B75,'B-1 On-Site Hedge Baseline'!$B$1:$L$257,5,FALSE))))</f>
        <v/>
      </c>
      <c r="F75" s="382" t="str">
        <f>IF(B75="","",IF(ISNA(VLOOKUP($B75,'B-1 On-Site Hedge Baseline'!$B$1:$L$257,6,FALSE)),"",(VLOOKUP($B75,'B-1 On-Site Hedge Baseline'!$B$1:$L$257,6,FALSE))))</f>
        <v/>
      </c>
      <c r="G75" s="382" t="str">
        <f>IF(B75="","",IF(ISNA(VLOOKUP($B75,'B-1 On-Site Hedge Baseline'!$B$1:$L$257,7,FALSE)),"",(VLOOKUP($B75,'B-1 On-Site Hedge Baseline'!$B$1:$L$257,7,FALSE))))</f>
        <v/>
      </c>
      <c r="H75" s="382" t="str">
        <f>IF(B75="","",IF(ISNA(VLOOKUP($B75,'B-1 On-Site Hedge Baseline'!$B$1:$L$257,8,FALSE)),"",(VLOOKUP($B75,'B-1 On-Site Hedge Baseline'!$B$1:$L$257,8,FALSE))))</f>
        <v/>
      </c>
      <c r="I75" s="382" t="str">
        <f>IF(B75="","",IF(ISNA(VLOOKUP($B75,'B-1 On-Site Hedge Baseline'!$B$1:$L$257,10,FALSE)),"",(VLOOKUP($B75,'B-1 On-Site Hedge Baseline'!$B$1:$L$257,10,FALSE))))</f>
        <v/>
      </c>
      <c r="J75" s="382" t="str">
        <f>IF(B75="","",IF(ISNA(VLOOKUP($B75,'B-1 On-Site Hedge Baseline'!$B$1:$L$257,11,FALSE)),"",(VLOOKUP($B75,'B-1 On-Site Hedge Baseline'!$B$1:$L$257,11,FALSE))))</f>
        <v/>
      </c>
      <c r="K75" s="382" t="str">
        <f>IF(B75="","",IF(ISNA(VLOOKUP($B75,'B-1 On-Site Hedge Baseline'!$B$1:$U$257,13,FALSE)),"",(VLOOKUP($B75,'B-1 On-Site Hedge Baseline'!$B$1:$U$257,13,FALSE))))</f>
        <v/>
      </c>
      <c r="L75" s="386" t="str">
        <f>IF(B75="","",IF(ISNA(VLOOKUP($B75,'B-1 On-Site Hedge Baseline'!$B$1:$U$257,12,FALSE)),"",(VLOOKUP($B75,'B-1 On-Site Hedge Baseline'!$B$1:$U$257,12,FALSE))))</f>
        <v/>
      </c>
      <c r="M75" s="315" t="str">
        <f t="shared" si="0"/>
        <v/>
      </c>
      <c r="N75" s="362" t="str">
        <f>IFERROR(IF(B75="","",INDEX('G-6 Hedgerow Data'!$AN$3:$AZ$15,MATCH(C75,'G-6 Hedgerow Data'!$AM$3:$AM$15,0),MATCH(M75,'G-6 Hedgerow Data'!$AN$2:$AZ$2,0))),"")</f>
        <v/>
      </c>
      <c r="O75" s="363" t="str">
        <f t="shared" si="2"/>
        <v/>
      </c>
      <c r="P75" s="417" t="str">
        <f>IF(B75="","",VLOOKUP(B75,'B-1 On-Site Hedge Baseline'!$B$10:T320,16,FALSE))</f>
        <v/>
      </c>
      <c r="Q75" s="362" t="str">
        <f>IF(M75="","",VLOOKUP(M75,'G-6 Hedgerow Data'!$B$2:$AG$15,2,FALSE))</f>
        <v/>
      </c>
      <c r="R75" s="363" t="str">
        <f>IF(M75="","",VLOOKUP(M75,'G-6 Hedgerow Data'!$B$2:$AG$15,3,FALSE))</f>
        <v/>
      </c>
      <c r="S75" s="125"/>
      <c r="T75" s="401" t="str">
        <f>IFERROR(VLOOKUP(S75,'G-1 All Habitats'!$Z$2:$AA$9,2,FALSE),"")</f>
        <v/>
      </c>
      <c r="U75" s="122"/>
      <c r="V75" s="382" t="str">
        <f>IF(U75="","",IF(VLOOKUP(U75,'G-3 Multipliers'!$L$3:$N$6,2,FALSE)=0,"Spatial Data Missing ⚠",VLOOKUP(U75,'G-3 Multipliers'!$L$3:$N$6,2,FALSE)))</f>
        <v/>
      </c>
      <c r="W75" s="386" t="str">
        <f>IF(U75="","",IF(VLOOKUP(U75,'G-3 Multipliers'!$L$3:$N$6,3,FALSE)=0,"Spatial Data Missing ⚠",VLOOKUP(U75,'G-3 Multipliers'!$L$3:$N$6,3,FALSE)))</f>
        <v/>
      </c>
      <c r="X75" s="362" t="str">
        <f>IFERROR(IF(OR(LEFT(O75,5)="Error",LEFT(N75,5)="Error",T75="Error"),"Check Data ⚠",IF(F75&lt;R75,INDEX('G-6 Hedgerow Data'!$S$3:$AE$14,MATCH(C75,'G-6 Hedgerow Data'!$B$3:$B$14,0),MATCH(M75,'G-6 Hedgerow Data'!$S$2:$AE$2,0)),INDEX('G-6 Hedgerow Data'!$K$3:$Q$14,MATCH(M75,'G-6 Hedgerow Data'!$B$3:$B$14,0),MATCH(O75,'G-6 Hedgerow Data'!$K$2:$Q$2,0)))),"")</f>
        <v/>
      </c>
      <c r="Y75" s="159"/>
      <c r="Z75" s="159"/>
      <c r="AA75" s="370" t="str">
        <f t="shared" si="3"/>
        <v/>
      </c>
      <c r="AB75" s="383" t="str">
        <f t="shared" si="4"/>
        <v/>
      </c>
      <c r="AC75" s="384" t="str">
        <f t="shared" si="1"/>
        <v/>
      </c>
      <c r="AD75" s="398" t="str">
        <f>IF(M75="","",VLOOKUP(M75,'G-6 Hedgerow Data'!$B$3:$AG$15,31,FALSE))</f>
        <v/>
      </c>
      <c r="AE75" s="370" t="str">
        <f t="shared" si="5"/>
        <v/>
      </c>
      <c r="AF75" s="370" t="str">
        <f t="shared" si="6"/>
        <v/>
      </c>
      <c r="AG75" s="386" t="str">
        <f>IFERROR(IF(O75="","",VLOOKUP(AD75,'G-3 Multipliers'!$P$3:$Q$6,2,FALSE)),"")</f>
        <v/>
      </c>
      <c r="AH75" s="376" t="str">
        <f t="shared" si="7"/>
        <v/>
      </c>
      <c r="AI75" s="188"/>
      <c r="AJ75" s="118"/>
      <c r="AK75" s="120"/>
      <c r="AT75" s="30" t="str">
        <f>IFERROR(INDEX('G-6 Hedgerow Data'!$BJ$3:$BJ$15,MATCH(M75,'G-6 Hedgerow Data'!$B$3:$B$15,0)),"")</f>
        <v/>
      </c>
    </row>
    <row r="76" spans="2:46" ht="15">
      <c r="B76" s="392" t="str">
        <f>'B-1 On-Site Hedge Baseline'!AK74</f>
        <v/>
      </c>
      <c r="C76" s="382" t="str">
        <f>IF(B76="","",IF(ISNA(VLOOKUP($B76,'B-1 On-Site Hedge Baseline'!$B$1:$L$257,3,FALSE)),"",(VLOOKUP($B76,'B-1 On-Site Hedge Baseline'!$B$1:$L$257,3,FALSE))))</f>
        <v/>
      </c>
      <c r="D76" s="382" t="str">
        <f>IF(B76="","",IF(ISNA(VLOOKUP($B76,'B-1 On-Site Hedge Baseline'!$B$1:$L$257,4,FALSE)),"",(VLOOKUP($B76,'B-1 On-Site Hedge Baseline'!$B$1:$L$257,4,FALSE))))</f>
        <v/>
      </c>
      <c r="E76" s="382" t="str">
        <f>IF(B76="","",IF(ISNA(VLOOKUP($B76,'B-1 On-Site Hedge Baseline'!$B$1:$L$257,5,FALSE)),"",(VLOOKUP($B76,'B-1 On-Site Hedge Baseline'!$B$1:$L$257,5,FALSE))))</f>
        <v/>
      </c>
      <c r="F76" s="382" t="str">
        <f>IF(B76="","",IF(ISNA(VLOOKUP($B76,'B-1 On-Site Hedge Baseline'!$B$1:$L$257,6,FALSE)),"",(VLOOKUP($B76,'B-1 On-Site Hedge Baseline'!$B$1:$L$257,6,FALSE))))</f>
        <v/>
      </c>
      <c r="G76" s="382" t="str">
        <f>IF(B76="","",IF(ISNA(VLOOKUP($B76,'B-1 On-Site Hedge Baseline'!$B$1:$L$257,7,FALSE)),"",(VLOOKUP($B76,'B-1 On-Site Hedge Baseline'!$B$1:$L$257,7,FALSE))))</f>
        <v/>
      </c>
      <c r="H76" s="382" t="str">
        <f>IF(B76="","",IF(ISNA(VLOOKUP($B76,'B-1 On-Site Hedge Baseline'!$B$1:$L$257,8,FALSE)),"",(VLOOKUP($B76,'B-1 On-Site Hedge Baseline'!$B$1:$L$257,8,FALSE))))</f>
        <v/>
      </c>
      <c r="I76" s="382" t="str">
        <f>IF(B76="","",IF(ISNA(VLOOKUP($B76,'B-1 On-Site Hedge Baseline'!$B$1:$L$257,10,FALSE)),"",(VLOOKUP($B76,'B-1 On-Site Hedge Baseline'!$B$1:$L$257,10,FALSE))))</f>
        <v/>
      </c>
      <c r="J76" s="382" t="str">
        <f>IF(B76="","",IF(ISNA(VLOOKUP($B76,'B-1 On-Site Hedge Baseline'!$B$1:$L$257,11,FALSE)),"",(VLOOKUP($B76,'B-1 On-Site Hedge Baseline'!$B$1:$L$257,11,FALSE))))</f>
        <v/>
      </c>
      <c r="K76" s="382" t="str">
        <f>IF(B76="","",IF(ISNA(VLOOKUP($B76,'B-1 On-Site Hedge Baseline'!$B$1:$U$257,13,FALSE)),"",(VLOOKUP($B76,'B-1 On-Site Hedge Baseline'!$B$1:$U$257,13,FALSE))))</f>
        <v/>
      </c>
      <c r="L76" s="386" t="str">
        <f>IF(B76="","",IF(ISNA(VLOOKUP($B76,'B-1 On-Site Hedge Baseline'!$B$1:$U$257,12,FALSE)),"",(VLOOKUP($B76,'B-1 On-Site Hedge Baseline'!$B$1:$U$257,12,FALSE))))</f>
        <v/>
      </c>
      <c r="M76" s="315" t="str">
        <f t="shared" si="0"/>
        <v/>
      </c>
      <c r="N76" s="362" t="str">
        <f>IFERROR(IF(B76="","",INDEX('G-6 Hedgerow Data'!$AN$3:$AZ$15,MATCH(C76,'G-6 Hedgerow Data'!$AM$3:$AM$15,0),MATCH(M76,'G-6 Hedgerow Data'!$AN$2:$AZ$2,0))),"")</f>
        <v/>
      </c>
      <c r="O76" s="363" t="str">
        <f t="shared" si="2"/>
        <v/>
      </c>
      <c r="P76" s="417" t="str">
        <f>IF(B76="","",VLOOKUP(B76,'B-1 On-Site Hedge Baseline'!$B$10:T321,16,FALSE))</f>
        <v/>
      </c>
      <c r="Q76" s="362" t="str">
        <f>IF(M76="","",VLOOKUP(M76,'G-6 Hedgerow Data'!$B$2:$AG$15,2,FALSE))</f>
        <v/>
      </c>
      <c r="R76" s="363" t="str">
        <f>IF(M76="","",VLOOKUP(M76,'G-6 Hedgerow Data'!$B$2:$AG$15,3,FALSE))</f>
        <v/>
      </c>
      <c r="S76" s="125"/>
      <c r="T76" s="401" t="str">
        <f>IFERROR(VLOOKUP(S76,'G-1 All Habitats'!$Z$2:$AA$9,2,FALSE),"")</f>
        <v/>
      </c>
      <c r="U76" s="122"/>
      <c r="V76" s="382" t="str">
        <f>IF(U76="","",IF(VLOOKUP(U76,'G-3 Multipliers'!$L$3:$N$6,2,FALSE)=0,"Spatial Data Missing ⚠",VLOOKUP(U76,'G-3 Multipliers'!$L$3:$N$6,2,FALSE)))</f>
        <v/>
      </c>
      <c r="W76" s="386" t="str">
        <f>IF(U76="","",IF(VLOOKUP(U76,'G-3 Multipliers'!$L$3:$N$6,3,FALSE)=0,"Spatial Data Missing ⚠",VLOOKUP(U76,'G-3 Multipliers'!$L$3:$N$6,3,FALSE)))</f>
        <v/>
      </c>
      <c r="X76" s="362" t="str">
        <f>IFERROR(IF(OR(LEFT(O76,5)="Error",LEFT(N76,5)="Error",T76="Error"),"Check Data ⚠",IF(F76&lt;R76,INDEX('G-6 Hedgerow Data'!$S$3:$AE$14,MATCH(C76,'G-6 Hedgerow Data'!$B$3:$B$14,0),MATCH(M76,'G-6 Hedgerow Data'!$S$2:$AE$2,0)),INDEX('G-6 Hedgerow Data'!$K$3:$Q$14,MATCH(M76,'G-6 Hedgerow Data'!$B$3:$B$14,0),MATCH(O76,'G-6 Hedgerow Data'!$K$2:$Q$2,0)))),"")</f>
        <v/>
      </c>
      <c r="Y76" s="159"/>
      <c r="Z76" s="159"/>
      <c r="AA76" s="370" t="str">
        <f t="shared" si="3"/>
        <v/>
      </c>
      <c r="AB76" s="383" t="str">
        <f t="shared" si="4"/>
        <v/>
      </c>
      <c r="AC76" s="384" t="str">
        <f t="shared" ref="AC76:AC139" si="8">IF(OR(S76="",M76=""),"",IF(LEFT(AB76,5)="Error ▲","Check Data ⚠",IF(AB76="Check Data ⚠","Check Data ⚠",VLOOKUP(AB76,TemporalMultipliers,3,FALSE))))</f>
        <v/>
      </c>
      <c r="AD76" s="398" t="str">
        <f>IF(M76="","",VLOOKUP(M76,'G-6 Hedgerow Data'!$B$3:$AG$15,31,FALSE))</f>
        <v/>
      </c>
      <c r="AE76" s="370" t="str">
        <f t="shared" si="5"/>
        <v/>
      </c>
      <c r="AF76" s="370" t="str">
        <f t="shared" si="6"/>
        <v/>
      </c>
      <c r="AG76" s="386" t="str">
        <f>IFERROR(IF(O76="","",VLOOKUP(AD76,'G-3 Multipliers'!$P$3:$Q$6,2,FALSE)),"")</f>
        <v/>
      </c>
      <c r="AH76" s="376" t="str">
        <f t="shared" ref="AH76:AH139" si="9">IFERROR(IF(OR(M76="",S76="",U76=""),"",(((((P76*R76*T76)-(P76*F76*H76))*(AG76*AC76))+(P76*F76*H76))*(W76))),"")</f>
        <v/>
      </c>
      <c r="AI76" s="188"/>
      <c r="AJ76" s="118"/>
      <c r="AK76" s="120"/>
      <c r="AT76" s="30" t="str">
        <f>IFERROR(INDEX('G-6 Hedgerow Data'!$BJ$3:$BJ$15,MATCH(M76,'G-6 Hedgerow Data'!$B$3:$B$15,0)),"")</f>
        <v/>
      </c>
    </row>
    <row r="77" spans="2:46" ht="15">
      <c r="B77" s="392" t="str">
        <f>'B-1 On-Site Hedge Baseline'!AK75</f>
        <v/>
      </c>
      <c r="C77" s="382" t="str">
        <f>IF(B77="","",IF(ISNA(VLOOKUP($B77,'B-1 On-Site Hedge Baseline'!$B$1:$L$257,3,FALSE)),"",(VLOOKUP($B77,'B-1 On-Site Hedge Baseline'!$B$1:$L$257,3,FALSE))))</f>
        <v/>
      </c>
      <c r="D77" s="382" t="str">
        <f>IF(B77="","",IF(ISNA(VLOOKUP($B77,'B-1 On-Site Hedge Baseline'!$B$1:$L$257,4,FALSE)),"",(VLOOKUP($B77,'B-1 On-Site Hedge Baseline'!$B$1:$L$257,4,FALSE))))</f>
        <v/>
      </c>
      <c r="E77" s="382" t="str">
        <f>IF(B77="","",IF(ISNA(VLOOKUP($B77,'B-1 On-Site Hedge Baseline'!$B$1:$L$257,5,FALSE)),"",(VLOOKUP($B77,'B-1 On-Site Hedge Baseline'!$B$1:$L$257,5,FALSE))))</f>
        <v/>
      </c>
      <c r="F77" s="382" t="str">
        <f>IF(B77="","",IF(ISNA(VLOOKUP($B77,'B-1 On-Site Hedge Baseline'!$B$1:$L$257,6,FALSE)),"",(VLOOKUP($B77,'B-1 On-Site Hedge Baseline'!$B$1:$L$257,6,FALSE))))</f>
        <v/>
      </c>
      <c r="G77" s="382" t="str">
        <f>IF(B77="","",IF(ISNA(VLOOKUP($B77,'B-1 On-Site Hedge Baseline'!$B$1:$L$257,7,FALSE)),"",(VLOOKUP($B77,'B-1 On-Site Hedge Baseline'!$B$1:$L$257,7,FALSE))))</f>
        <v/>
      </c>
      <c r="H77" s="382" t="str">
        <f>IF(B77="","",IF(ISNA(VLOOKUP($B77,'B-1 On-Site Hedge Baseline'!$B$1:$L$257,8,FALSE)),"",(VLOOKUP($B77,'B-1 On-Site Hedge Baseline'!$B$1:$L$257,8,FALSE))))</f>
        <v/>
      </c>
      <c r="I77" s="382" t="str">
        <f>IF(B77="","",IF(ISNA(VLOOKUP($B77,'B-1 On-Site Hedge Baseline'!$B$1:$L$257,10,FALSE)),"",(VLOOKUP($B77,'B-1 On-Site Hedge Baseline'!$B$1:$L$257,10,FALSE))))</f>
        <v/>
      </c>
      <c r="J77" s="382" t="str">
        <f>IF(B77="","",IF(ISNA(VLOOKUP($B77,'B-1 On-Site Hedge Baseline'!$B$1:$L$257,11,FALSE)),"",(VLOOKUP($B77,'B-1 On-Site Hedge Baseline'!$B$1:$L$257,11,FALSE))))</f>
        <v/>
      </c>
      <c r="K77" s="382" t="str">
        <f>IF(B77="","",IF(ISNA(VLOOKUP($B77,'B-1 On-Site Hedge Baseline'!$B$1:$U$257,13,FALSE)),"",(VLOOKUP($B77,'B-1 On-Site Hedge Baseline'!$B$1:$U$257,13,FALSE))))</f>
        <v/>
      </c>
      <c r="L77" s="386" t="str">
        <f>IF(B77="","",IF(ISNA(VLOOKUP($B77,'B-1 On-Site Hedge Baseline'!$B$1:$U$257,12,FALSE)),"",(VLOOKUP($B77,'B-1 On-Site Hedge Baseline'!$B$1:$U$257,12,FALSE))))</f>
        <v/>
      </c>
      <c r="M77" s="315" t="str">
        <f t="shared" si="0"/>
        <v/>
      </c>
      <c r="N77" s="362" t="str">
        <f>IFERROR(IF(B77="","",INDEX('G-6 Hedgerow Data'!$AN$3:$AZ$15,MATCH(C77,'G-6 Hedgerow Data'!$AM$3:$AM$15,0),MATCH(M77,'G-6 Hedgerow Data'!$AN$2:$AZ$2,0))),"")</f>
        <v/>
      </c>
      <c r="O77" s="363" t="str">
        <f t="shared" ref="O77:O140" si="10">IFERROR(IF(B77="","",IF(AND(LEFT(C77,55)&lt;&gt;LEFT(M77,55),N77="High - High"),"Error - Not like for like ▲",IF(H77&gt;T77,"Error - Can not reduce condition ▲",IF(AND(F77=R77,H77=T77),"Error - No enhancement ▲",IF(AND(C77&lt;&gt;M77,F77&lt;R77),"Lower Distinctiveness Habitat"&amp;" - "&amp;S77,G77&amp;" - "&amp;S77))))),"")</f>
        <v/>
      </c>
      <c r="P77" s="417" t="str">
        <f>IF(B77="","",VLOOKUP(B77,'B-1 On-Site Hedge Baseline'!$B$10:T322,16,FALSE))</f>
        <v/>
      </c>
      <c r="Q77" s="362" t="str">
        <f>IF(M77="","",VLOOKUP(M77,'G-6 Hedgerow Data'!$B$2:$AG$15,2,FALSE))</f>
        <v/>
      </c>
      <c r="R77" s="363" t="str">
        <f>IF(M77="","",VLOOKUP(M77,'G-6 Hedgerow Data'!$B$2:$AG$15,3,FALSE))</f>
        <v/>
      </c>
      <c r="S77" s="125"/>
      <c r="T77" s="401" t="str">
        <f>IFERROR(VLOOKUP(S77,'G-1 All Habitats'!$Z$2:$AA$9,2,FALSE),"")</f>
        <v/>
      </c>
      <c r="U77" s="122"/>
      <c r="V77" s="382" t="str">
        <f>IF(U77="","",IF(VLOOKUP(U77,'G-3 Multipliers'!$L$3:$N$6,2,FALSE)=0,"Spatial Data Missing ⚠",VLOOKUP(U77,'G-3 Multipliers'!$L$3:$N$6,2,FALSE)))</f>
        <v/>
      </c>
      <c r="W77" s="386" t="str">
        <f>IF(U77="","",IF(VLOOKUP(U77,'G-3 Multipliers'!$L$3:$N$6,3,FALSE)=0,"Spatial Data Missing ⚠",VLOOKUP(U77,'G-3 Multipliers'!$L$3:$N$6,3,FALSE)))</f>
        <v/>
      </c>
      <c r="X77" s="362" t="str">
        <f>IFERROR(IF(OR(LEFT(O77,5)="Error",LEFT(N77,5)="Error",T77="Error"),"Check Data ⚠",IF(F77&lt;R77,INDEX('G-6 Hedgerow Data'!$S$3:$AE$14,MATCH(C77,'G-6 Hedgerow Data'!$B$3:$B$14,0),MATCH(M77,'G-6 Hedgerow Data'!$S$2:$AE$2,0)),INDEX('G-6 Hedgerow Data'!$K$3:$Q$14,MATCH(M77,'G-6 Hedgerow Data'!$B$3:$B$14,0),MATCH(O77,'G-6 Hedgerow Data'!$K$2:$Q$2,0)))),"")</f>
        <v/>
      </c>
      <c r="Y77" s="159"/>
      <c r="Z77" s="159"/>
      <c r="AA77" s="370" t="str">
        <f t="shared" ref="AA77:AA140" si="11">IF(X77="Check Data ⚠","Check Data ⚠",IF(M77="","",IF(AND(Y77&gt;0,Z77&gt;0),"Error -both advance and delayed habitat creation ▲",IF(AND(OR(Y77="Habitat already in target condition",X77&lt;=Y77),Z77=0),"Check details - Is there evidence that habitat has reached target condition? ⚠",IF(X77="","",IF(Y77&gt;0,"Check details - Is there evidence habitat creation started/in place? ⚠",IF(Z77&gt;0,"Check details- Delay in starting habitat in required condition? ⚠","Standard time to target condition applied")))))))</f>
        <v/>
      </c>
      <c r="AB77" s="383" t="str">
        <f t="shared" ref="AB77:AB140" si="12">IF(X77="","",IF(AA77="Check Data ⚠","Check Data ⚠",IF(Y77="30+",0,IF(Z77="30+","30+ ⚠",IF(X77+Z77&gt;30,"30+ 'C-1 Site River Baseline'!",IF(AA77="Error -both advance and delayed habitat creation ▲","Check Data ⚠",IF(X77+Z77-Y77&gt;0,X77+Z77-Y77,IF(X77-Y77&lt;=0,0,))))))))</f>
        <v/>
      </c>
      <c r="AC77" s="384" t="str">
        <f t="shared" si="8"/>
        <v/>
      </c>
      <c r="AD77" s="398" t="str">
        <f>IF(M77="","",VLOOKUP(M77,'G-6 Hedgerow Data'!$B$3:$AG$15,31,FALSE))</f>
        <v/>
      </c>
      <c r="AE77" s="370" t="str">
        <f t="shared" ref="AE77:AE140" si="13">IF(M77="","",IF(OR(LEFT(AA77,5)="Error ▲",AA77="Check Data ⚠"),"Check Data ⚠",IF(X77="","",IF($AA77="Check details - Is there evidence that habitat has reached target condition? ⚠","Low Difficulty - only applicable if all habitat created before losses ⚠","Standard difficulty applied"))))</f>
        <v/>
      </c>
      <c r="AF77" s="370" t="str">
        <f t="shared" ref="AF77:AF140" si="14">(IF(AND(AE77="Standard difficulty applied",X77&gt;Y77),AD77,IF(AND(AE77="Low Difficulty - only applicable if all habitat created before losses ⚠",Y77&gt;=X77),"Low",AD77)))</f>
        <v/>
      </c>
      <c r="AG77" s="386" t="str">
        <f>IFERROR(IF(O77="","",VLOOKUP(AD77,'G-3 Multipliers'!$P$3:$Q$6,2,FALSE)),"")</f>
        <v/>
      </c>
      <c r="AH77" s="376" t="str">
        <f t="shared" si="9"/>
        <v/>
      </c>
      <c r="AI77" s="188"/>
      <c r="AJ77" s="118"/>
      <c r="AK77" s="120"/>
      <c r="AT77" s="30" t="str">
        <f>IFERROR(INDEX('G-6 Hedgerow Data'!$BJ$3:$BJ$15,MATCH(M77,'G-6 Hedgerow Data'!$B$3:$B$15,0)),"")</f>
        <v/>
      </c>
    </row>
    <row r="78" spans="2:46" ht="15">
      <c r="B78" s="392" t="str">
        <f>'B-1 On-Site Hedge Baseline'!AK76</f>
        <v/>
      </c>
      <c r="C78" s="382" t="str">
        <f>IF(B78="","",IF(ISNA(VLOOKUP($B78,'B-1 On-Site Hedge Baseline'!$B$1:$L$257,3,FALSE)),"",(VLOOKUP($B78,'B-1 On-Site Hedge Baseline'!$B$1:$L$257,3,FALSE))))</f>
        <v/>
      </c>
      <c r="D78" s="382" t="str">
        <f>IF(B78="","",IF(ISNA(VLOOKUP($B78,'B-1 On-Site Hedge Baseline'!$B$1:$L$257,4,FALSE)),"",(VLOOKUP($B78,'B-1 On-Site Hedge Baseline'!$B$1:$L$257,4,FALSE))))</f>
        <v/>
      </c>
      <c r="E78" s="382" t="str">
        <f>IF(B78="","",IF(ISNA(VLOOKUP($B78,'B-1 On-Site Hedge Baseline'!$B$1:$L$257,5,FALSE)),"",(VLOOKUP($B78,'B-1 On-Site Hedge Baseline'!$B$1:$L$257,5,FALSE))))</f>
        <v/>
      </c>
      <c r="F78" s="382" t="str">
        <f>IF(B78="","",IF(ISNA(VLOOKUP($B78,'B-1 On-Site Hedge Baseline'!$B$1:$L$257,6,FALSE)),"",(VLOOKUP($B78,'B-1 On-Site Hedge Baseline'!$B$1:$L$257,6,FALSE))))</f>
        <v/>
      </c>
      <c r="G78" s="382" t="str">
        <f>IF(B78="","",IF(ISNA(VLOOKUP($B78,'B-1 On-Site Hedge Baseline'!$B$1:$L$257,7,FALSE)),"",(VLOOKUP($B78,'B-1 On-Site Hedge Baseline'!$B$1:$L$257,7,FALSE))))</f>
        <v/>
      </c>
      <c r="H78" s="382" t="str">
        <f>IF(B78="","",IF(ISNA(VLOOKUP($B78,'B-1 On-Site Hedge Baseline'!$B$1:$L$257,8,FALSE)),"",(VLOOKUP($B78,'B-1 On-Site Hedge Baseline'!$B$1:$L$257,8,FALSE))))</f>
        <v/>
      </c>
      <c r="I78" s="382" t="str">
        <f>IF(B78="","",IF(ISNA(VLOOKUP($B78,'B-1 On-Site Hedge Baseline'!$B$1:$L$257,10,FALSE)),"",(VLOOKUP($B78,'B-1 On-Site Hedge Baseline'!$B$1:$L$257,10,FALSE))))</f>
        <v/>
      </c>
      <c r="J78" s="382" t="str">
        <f>IF(B78="","",IF(ISNA(VLOOKUP($B78,'B-1 On-Site Hedge Baseline'!$B$1:$L$257,11,FALSE)),"",(VLOOKUP($B78,'B-1 On-Site Hedge Baseline'!$B$1:$L$257,11,FALSE))))</f>
        <v/>
      </c>
      <c r="K78" s="382" t="str">
        <f>IF(B78="","",IF(ISNA(VLOOKUP($B78,'B-1 On-Site Hedge Baseline'!$B$1:$U$257,13,FALSE)),"",(VLOOKUP($B78,'B-1 On-Site Hedge Baseline'!$B$1:$U$257,13,FALSE))))</f>
        <v/>
      </c>
      <c r="L78" s="386" t="str">
        <f>IF(B78="","",IF(ISNA(VLOOKUP($B78,'B-1 On-Site Hedge Baseline'!$B$1:$U$257,12,FALSE)),"",(VLOOKUP($B78,'B-1 On-Site Hedge Baseline'!$B$1:$U$257,12,FALSE))))</f>
        <v/>
      </c>
      <c r="M78" s="315" t="str">
        <f t="shared" ref="M78:M141" si="15">IF(B78="","",C78)</f>
        <v/>
      </c>
      <c r="N78" s="362" t="str">
        <f>IFERROR(IF(B78="","",INDEX('G-6 Hedgerow Data'!$AN$3:$AZ$15,MATCH(C78,'G-6 Hedgerow Data'!$AM$3:$AM$15,0),MATCH(M78,'G-6 Hedgerow Data'!$AN$2:$AZ$2,0))),"")</f>
        <v/>
      </c>
      <c r="O78" s="363" t="str">
        <f t="shared" si="10"/>
        <v/>
      </c>
      <c r="P78" s="417" t="str">
        <f>IF(B78="","",VLOOKUP(B78,'B-1 On-Site Hedge Baseline'!$B$10:T323,16,FALSE))</f>
        <v/>
      </c>
      <c r="Q78" s="362" t="str">
        <f>IF(M78="","",VLOOKUP(M78,'G-6 Hedgerow Data'!$B$2:$AG$15,2,FALSE))</f>
        <v/>
      </c>
      <c r="R78" s="363" t="str">
        <f>IF(M78="","",VLOOKUP(M78,'G-6 Hedgerow Data'!$B$2:$AG$15,3,FALSE))</f>
        <v/>
      </c>
      <c r="S78" s="125"/>
      <c r="T78" s="401" t="str">
        <f>IFERROR(VLOOKUP(S78,'G-1 All Habitats'!$Z$2:$AA$9,2,FALSE),"")</f>
        <v/>
      </c>
      <c r="U78" s="122"/>
      <c r="V78" s="382" t="str">
        <f>IF(U78="","",IF(VLOOKUP(U78,'G-3 Multipliers'!$L$3:$N$6,2,FALSE)=0,"Spatial Data Missing ⚠",VLOOKUP(U78,'G-3 Multipliers'!$L$3:$N$6,2,FALSE)))</f>
        <v/>
      </c>
      <c r="W78" s="386" t="str">
        <f>IF(U78="","",IF(VLOOKUP(U78,'G-3 Multipliers'!$L$3:$N$6,3,FALSE)=0,"Spatial Data Missing ⚠",VLOOKUP(U78,'G-3 Multipliers'!$L$3:$N$6,3,FALSE)))</f>
        <v/>
      </c>
      <c r="X78" s="362" t="str">
        <f>IFERROR(IF(OR(LEFT(O78,5)="Error",LEFT(N78,5)="Error",T78="Error"),"Check Data ⚠",IF(F78&lt;R78,INDEX('G-6 Hedgerow Data'!$S$3:$AE$14,MATCH(C78,'G-6 Hedgerow Data'!$B$3:$B$14,0),MATCH(M78,'G-6 Hedgerow Data'!$S$2:$AE$2,0)),INDEX('G-6 Hedgerow Data'!$K$3:$Q$14,MATCH(M78,'G-6 Hedgerow Data'!$B$3:$B$14,0),MATCH(O78,'G-6 Hedgerow Data'!$K$2:$Q$2,0)))),"")</f>
        <v/>
      </c>
      <c r="Y78" s="159"/>
      <c r="Z78" s="159"/>
      <c r="AA78" s="370" t="str">
        <f t="shared" si="11"/>
        <v/>
      </c>
      <c r="AB78" s="383" t="str">
        <f t="shared" si="12"/>
        <v/>
      </c>
      <c r="AC78" s="384" t="str">
        <f t="shared" si="8"/>
        <v/>
      </c>
      <c r="AD78" s="398" t="str">
        <f>IF(M78="","",VLOOKUP(M78,'G-6 Hedgerow Data'!$B$3:$AG$15,31,FALSE))</f>
        <v/>
      </c>
      <c r="AE78" s="370" t="str">
        <f t="shared" si="13"/>
        <v/>
      </c>
      <c r="AF78" s="370" t="str">
        <f t="shared" si="14"/>
        <v/>
      </c>
      <c r="AG78" s="386" t="str">
        <f>IFERROR(IF(O78="","",VLOOKUP(AD78,'G-3 Multipliers'!$P$3:$Q$6,2,FALSE)),"")</f>
        <v/>
      </c>
      <c r="AH78" s="376" t="str">
        <f t="shared" si="9"/>
        <v/>
      </c>
      <c r="AI78" s="188"/>
      <c r="AJ78" s="118"/>
      <c r="AK78" s="120"/>
      <c r="AT78" s="30" t="str">
        <f>IFERROR(INDEX('G-6 Hedgerow Data'!$BJ$3:$BJ$15,MATCH(M78,'G-6 Hedgerow Data'!$B$3:$B$15,0)),"")</f>
        <v/>
      </c>
    </row>
    <row r="79" spans="2:46" ht="15">
      <c r="B79" s="392" t="str">
        <f>'B-1 On-Site Hedge Baseline'!AK77</f>
        <v/>
      </c>
      <c r="C79" s="382" t="str">
        <f>IF(B79="","",IF(ISNA(VLOOKUP($B79,'B-1 On-Site Hedge Baseline'!$B$1:$L$257,3,FALSE)),"",(VLOOKUP($B79,'B-1 On-Site Hedge Baseline'!$B$1:$L$257,3,FALSE))))</f>
        <v/>
      </c>
      <c r="D79" s="382" t="str">
        <f>IF(B79="","",IF(ISNA(VLOOKUP($B79,'B-1 On-Site Hedge Baseline'!$B$1:$L$257,4,FALSE)),"",(VLOOKUP($B79,'B-1 On-Site Hedge Baseline'!$B$1:$L$257,4,FALSE))))</f>
        <v/>
      </c>
      <c r="E79" s="382" t="str">
        <f>IF(B79="","",IF(ISNA(VLOOKUP($B79,'B-1 On-Site Hedge Baseline'!$B$1:$L$257,5,FALSE)),"",(VLOOKUP($B79,'B-1 On-Site Hedge Baseline'!$B$1:$L$257,5,FALSE))))</f>
        <v/>
      </c>
      <c r="F79" s="382" t="str">
        <f>IF(B79="","",IF(ISNA(VLOOKUP($B79,'B-1 On-Site Hedge Baseline'!$B$1:$L$257,6,FALSE)),"",(VLOOKUP($B79,'B-1 On-Site Hedge Baseline'!$B$1:$L$257,6,FALSE))))</f>
        <v/>
      </c>
      <c r="G79" s="382" t="str">
        <f>IF(B79="","",IF(ISNA(VLOOKUP($B79,'B-1 On-Site Hedge Baseline'!$B$1:$L$257,7,FALSE)),"",(VLOOKUP($B79,'B-1 On-Site Hedge Baseline'!$B$1:$L$257,7,FALSE))))</f>
        <v/>
      </c>
      <c r="H79" s="382" t="str">
        <f>IF(B79="","",IF(ISNA(VLOOKUP($B79,'B-1 On-Site Hedge Baseline'!$B$1:$L$257,8,FALSE)),"",(VLOOKUP($B79,'B-1 On-Site Hedge Baseline'!$B$1:$L$257,8,FALSE))))</f>
        <v/>
      </c>
      <c r="I79" s="382" t="str">
        <f>IF(B79="","",IF(ISNA(VLOOKUP($B79,'B-1 On-Site Hedge Baseline'!$B$1:$L$257,10,FALSE)),"",(VLOOKUP($B79,'B-1 On-Site Hedge Baseline'!$B$1:$L$257,10,FALSE))))</f>
        <v/>
      </c>
      <c r="J79" s="382" t="str">
        <f>IF(B79="","",IF(ISNA(VLOOKUP($B79,'B-1 On-Site Hedge Baseline'!$B$1:$L$257,11,FALSE)),"",(VLOOKUP($B79,'B-1 On-Site Hedge Baseline'!$B$1:$L$257,11,FALSE))))</f>
        <v/>
      </c>
      <c r="K79" s="382" t="str">
        <f>IF(B79="","",IF(ISNA(VLOOKUP($B79,'B-1 On-Site Hedge Baseline'!$B$1:$U$257,13,FALSE)),"",(VLOOKUP($B79,'B-1 On-Site Hedge Baseline'!$B$1:$U$257,13,FALSE))))</f>
        <v/>
      </c>
      <c r="L79" s="386" t="str">
        <f>IF(B79="","",IF(ISNA(VLOOKUP($B79,'B-1 On-Site Hedge Baseline'!$B$1:$U$257,12,FALSE)),"",(VLOOKUP($B79,'B-1 On-Site Hedge Baseline'!$B$1:$U$257,12,FALSE))))</f>
        <v/>
      </c>
      <c r="M79" s="315" t="str">
        <f t="shared" si="15"/>
        <v/>
      </c>
      <c r="N79" s="362" t="str">
        <f>IFERROR(IF(B79="","",INDEX('G-6 Hedgerow Data'!$AN$3:$AZ$15,MATCH(C79,'G-6 Hedgerow Data'!$AM$3:$AM$15,0),MATCH(M79,'G-6 Hedgerow Data'!$AN$2:$AZ$2,0))),"")</f>
        <v/>
      </c>
      <c r="O79" s="363" t="str">
        <f t="shared" si="10"/>
        <v/>
      </c>
      <c r="P79" s="417" t="str">
        <f>IF(B79="","",VLOOKUP(B79,'B-1 On-Site Hedge Baseline'!$B$10:T324,16,FALSE))</f>
        <v/>
      </c>
      <c r="Q79" s="362" t="str">
        <f>IF(M79="","",VLOOKUP(M79,'G-6 Hedgerow Data'!$B$2:$AG$15,2,FALSE))</f>
        <v/>
      </c>
      <c r="R79" s="363" t="str">
        <f>IF(M79="","",VLOOKUP(M79,'G-6 Hedgerow Data'!$B$2:$AG$15,3,FALSE))</f>
        <v/>
      </c>
      <c r="S79" s="125"/>
      <c r="T79" s="401" t="str">
        <f>IFERROR(VLOOKUP(S79,'G-1 All Habitats'!$Z$2:$AA$9,2,FALSE),"")</f>
        <v/>
      </c>
      <c r="U79" s="122"/>
      <c r="V79" s="382" t="str">
        <f>IF(U79="","",IF(VLOOKUP(U79,'G-3 Multipliers'!$L$3:$N$6,2,FALSE)=0,"Spatial Data Missing ⚠",VLOOKUP(U79,'G-3 Multipliers'!$L$3:$N$6,2,FALSE)))</f>
        <v/>
      </c>
      <c r="W79" s="386" t="str">
        <f>IF(U79="","",IF(VLOOKUP(U79,'G-3 Multipliers'!$L$3:$N$6,3,FALSE)=0,"Spatial Data Missing ⚠",VLOOKUP(U79,'G-3 Multipliers'!$L$3:$N$6,3,FALSE)))</f>
        <v/>
      </c>
      <c r="X79" s="362" t="str">
        <f>IFERROR(IF(OR(LEFT(O79,5)="Error",LEFT(N79,5)="Error",T79="Error"),"Check Data ⚠",IF(F79&lt;R79,INDEX('G-6 Hedgerow Data'!$S$3:$AE$14,MATCH(C79,'G-6 Hedgerow Data'!$B$3:$B$14,0),MATCH(M79,'G-6 Hedgerow Data'!$S$2:$AE$2,0)),INDEX('G-6 Hedgerow Data'!$K$3:$Q$14,MATCH(M79,'G-6 Hedgerow Data'!$B$3:$B$14,0),MATCH(O79,'G-6 Hedgerow Data'!$K$2:$Q$2,0)))),"")</f>
        <v/>
      </c>
      <c r="Y79" s="159"/>
      <c r="Z79" s="159"/>
      <c r="AA79" s="370" t="str">
        <f t="shared" si="11"/>
        <v/>
      </c>
      <c r="AB79" s="383" t="str">
        <f t="shared" si="12"/>
        <v/>
      </c>
      <c r="AC79" s="384" t="str">
        <f t="shared" si="8"/>
        <v/>
      </c>
      <c r="AD79" s="398" t="str">
        <f>IF(M79="","",VLOOKUP(M79,'G-6 Hedgerow Data'!$B$3:$AG$15,31,FALSE))</f>
        <v/>
      </c>
      <c r="AE79" s="370" t="str">
        <f t="shared" si="13"/>
        <v/>
      </c>
      <c r="AF79" s="370" t="str">
        <f t="shared" si="14"/>
        <v/>
      </c>
      <c r="AG79" s="386" t="str">
        <f>IFERROR(IF(O79="","",VLOOKUP(AD79,'G-3 Multipliers'!$P$3:$Q$6,2,FALSE)),"")</f>
        <v/>
      </c>
      <c r="AH79" s="376" t="str">
        <f t="shared" si="9"/>
        <v/>
      </c>
      <c r="AI79" s="188"/>
      <c r="AJ79" s="118"/>
      <c r="AK79" s="120"/>
      <c r="AT79" s="30" t="str">
        <f>IFERROR(INDEX('G-6 Hedgerow Data'!$BJ$3:$BJ$15,MATCH(M79,'G-6 Hedgerow Data'!$B$3:$B$15,0)),"")</f>
        <v/>
      </c>
    </row>
    <row r="80" spans="2:46" ht="15">
      <c r="B80" s="392" t="str">
        <f>'B-1 On-Site Hedge Baseline'!AK78</f>
        <v/>
      </c>
      <c r="C80" s="382" t="str">
        <f>IF(B80="","",IF(ISNA(VLOOKUP($B80,'B-1 On-Site Hedge Baseline'!$B$1:$L$257,3,FALSE)),"",(VLOOKUP($B80,'B-1 On-Site Hedge Baseline'!$B$1:$L$257,3,FALSE))))</f>
        <v/>
      </c>
      <c r="D80" s="382" t="str">
        <f>IF(B80="","",IF(ISNA(VLOOKUP($B80,'B-1 On-Site Hedge Baseline'!$B$1:$L$257,4,FALSE)),"",(VLOOKUP($B80,'B-1 On-Site Hedge Baseline'!$B$1:$L$257,4,FALSE))))</f>
        <v/>
      </c>
      <c r="E80" s="382" t="str">
        <f>IF(B80="","",IF(ISNA(VLOOKUP($B80,'B-1 On-Site Hedge Baseline'!$B$1:$L$257,5,FALSE)),"",(VLOOKUP($B80,'B-1 On-Site Hedge Baseline'!$B$1:$L$257,5,FALSE))))</f>
        <v/>
      </c>
      <c r="F80" s="382" t="str">
        <f>IF(B80="","",IF(ISNA(VLOOKUP($B80,'B-1 On-Site Hedge Baseline'!$B$1:$L$257,6,FALSE)),"",(VLOOKUP($B80,'B-1 On-Site Hedge Baseline'!$B$1:$L$257,6,FALSE))))</f>
        <v/>
      </c>
      <c r="G80" s="382" t="str">
        <f>IF(B80="","",IF(ISNA(VLOOKUP($B80,'B-1 On-Site Hedge Baseline'!$B$1:$L$257,7,FALSE)),"",(VLOOKUP($B80,'B-1 On-Site Hedge Baseline'!$B$1:$L$257,7,FALSE))))</f>
        <v/>
      </c>
      <c r="H80" s="382" t="str">
        <f>IF(B80="","",IF(ISNA(VLOOKUP($B80,'B-1 On-Site Hedge Baseline'!$B$1:$L$257,8,FALSE)),"",(VLOOKUP($B80,'B-1 On-Site Hedge Baseline'!$B$1:$L$257,8,FALSE))))</f>
        <v/>
      </c>
      <c r="I80" s="382" t="str">
        <f>IF(B80="","",IF(ISNA(VLOOKUP($B80,'B-1 On-Site Hedge Baseline'!$B$1:$L$257,10,FALSE)),"",(VLOOKUP($B80,'B-1 On-Site Hedge Baseline'!$B$1:$L$257,10,FALSE))))</f>
        <v/>
      </c>
      <c r="J80" s="382" t="str">
        <f>IF(B80="","",IF(ISNA(VLOOKUP($B80,'B-1 On-Site Hedge Baseline'!$B$1:$L$257,11,FALSE)),"",(VLOOKUP($B80,'B-1 On-Site Hedge Baseline'!$B$1:$L$257,11,FALSE))))</f>
        <v/>
      </c>
      <c r="K80" s="382" t="str">
        <f>IF(B80="","",IF(ISNA(VLOOKUP($B80,'B-1 On-Site Hedge Baseline'!$B$1:$U$257,13,FALSE)),"",(VLOOKUP($B80,'B-1 On-Site Hedge Baseline'!$B$1:$U$257,13,FALSE))))</f>
        <v/>
      </c>
      <c r="L80" s="386" t="str">
        <f>IF(B80="","",IF(ISNA(VLOOKUP($B80,'B-1 On-Site Hedge Baseline'!$B$1:$U$257,12,FALSE)),"",(VLOOKUP($B80,'B-1 On-Site Hedge Baseline'!$B$1:$U$257,12,FALSE))))</f>
        <v/>
      </c>
      <c r="M80" s="315" t="str">
        <f t="shared" si="15"/>
        <v/>
      </c>
      <c r="N80" s="362" t="str">
        <f>IFERROR(IF(B80="","",INDEX('G-6 Hedgerow Data'!$AN$3:$AZ$15,MATCH(C80,'G-6 Hedgerow Data'!$AM$3:$AM$15,0),MATCH(M80,'G-6 Hedgerow Data'!$AN$2:$AZ$2,0))),"")</f>
        <v/>
      </c>
      <c r="O80" s="363" t="str">
        <f t="shared" si="10"/>
        <v/>
      </c>
      <c r="P80" s="417" t="str">
        <f>IF(B80="","",VLOOKUP(B80,'B-1 On-Site Hedge Baseline'!$B$10:T325,16,FALSE))</f>
        <v/>
      </c>
      <c r="Q80" s="362" t="str">
        <f>IF(M80="","",VLOOKUP(M80,'G-6 Hedgerow Data'!$B$2:$AG$15,2,FALSE))</f>
        <v/>
      </c>
      <c r="R80" s="363" t="str">
        <f>IF(M80="","",VLOOKUP(M80,'G-6 Hedgerow Data'!$B$2:$AG$15,3,FALSE))</f>
        <v/>
      </c>
      <c r="S80" s="125"/>
      <c r="T80" s="401" t="str">
        <f>IFERROR(VLOOKUP(S80,'G-1 All Habitats'!$Z$2:$AA$9,2,FALSE),"")</f>
        <v/>
      </c>
      <c r="U80" s="122"/>
      <c r="V80" s="382" t="str">
        <f>IF(U80="","",IF(VLOOKUP(U80,'G-3 Multipliers'!$L$3:$N$6,2,FALSE)=0,"Spatial Data Missing ⚠",VLOOKUP(U80,'G-3 Multipliers'!$L$3:$N$6,2,FALSE)))</f>
        <v/>
      </c>
      <c r="W80" s="386" t="str">
        <f>IF(U80="","",IF(VLOOKUP(U80,'G-3 Multipliers'!$L$3:$N$6,3,FALSE)=0,"Spatial Data Missing ⚠",VLOOKUP(U80,'G-3 Multipliers'!$L$3:$N$6,3,FALSE)))</f>
        <v/>
      </c>
      <c r="X80" s="362" t="str">
        <f>IFERROR(IF(OR(LEFT(O80,5)="Error",LEFT(N80,5)="Error",T80="Error"),"Check Data ⚠",IF(F80&lt;R80,INDEX('G-6 Hedgerow Data'!$S$3:$AE$14,MATCH(C80,'G-6 Hedgerow Data'!$B$3:$B$14,0),MATCH(M80,'G-6 Hedgerow Data'!$S$2:$AE$2,0)),INDEX('G-6 Hedgerow Data'!$K$3:$Q$14,MATCH(M80,'G-6 Hedgerow Data'!$B$3:$B$14,0),MATCH(O80,'G-6 Hedgerow Data'!$K$2:$Q$2,0)))),"")</f>
        <v/>
      </c>
      <c r="Y80" s="159"/>
      <c r="Z80" s="159"/>
      <c r="AA80" s="370" t="str">
        <f t="shared" si="11"/>
        <v/>
      </c>
      <c r="AB80" s="383" t="str">
        <f t="shared" si="12"/>
        <v/>
      </c>
      <c r="AC80" s="384" t="str">
        <f t="shared" si="8"/>
        <v/>
      </c>
      <c r="AD80" s="398" t="str">
        <f>IF(M80="","",VLOOKUP(M80,'G-6 Hedgerow Data'!$B$3:$AG$15,31,FALSE))</f>
        <v/>
      </c>
      <c r="AE80" s="370" t="str">
        <f t="shared" si="13"/>
        <v/>
      </c>
      <c r="AF80" s="370" t="str">
        <f t="shared" si="14"/>
        <v/>
      </c>
      <c r="AG80" s="386" t="str">
        <f>IFERROR(IF(O80="","",VLOOKUP(AD80,'G-3 Multipliers'!$P$3:$Q$6,2,FALSE)),"")</f>
        <v/>
      </c>
      <c r="AH80" s="376" t="str">
        <f t="shared" si="9"/>
        <v/>
      </c>
      <c r="AI80" s="188"/>
      <c r="AJ80" s="118"/>
      <c r="AK80" s="120"/>
      <c r="AT80" s="30" t="str">
        <f>IFERROR(INDEX('G-6 Hedgerow Data'!$BJ$3:$BJ$15,MATCH(M80,'G-6 Hedgerow Data'!$B$3:$B$15,0)),"")</f>
        <v/>
      </c>
    </row>
    <row r="81" spans="2:46" ht="15">
      <c r="B81" s="392" t="str">
        <f>'B-1 On-Site Hedge Baseline'!AK79</f>
        <v/>
      </c>
      <c r="C81" s="382" t="str">
        <f>IF(B81="","",IF(ISNA(VLOOKUP($B81,'B-1 On-Site Hedge Baseline'!$B$1:$L$257,3,FALSE)),"",(VLOOKUP($B81,'B-1 On-Site Hedge Baseline'!$B$1:$L$257,3,FALSE))))</f>
        <v/>
      </c>
      <c r="D81" s="382" t="str">
        <f>IF(B81="","",IF(ISNA(VLOOKUP($B81,'B-1 On-Site Hedge Baseline'!$B$1:$L$257,4,FALSE)),"",(VLOOKUP($B81,'B-1 On-Site Hedge Baseline'!$B$1:$L$257,4,FALSE))))</f>
        <v/>
      </c>
      <c r="E81" s="382" t="str">
        <f>IF(B81="","",IF(ISNA(VLOOKUP($B81,'B-1 On-Site Hedge Baseline'!$B$1:$L$257,5,FALSE)),"",(VLOOKUP($B81,'B-1 On-Site Hedge Baseline'!$B$1:$L$257,5,FALSE))))</f>
        <v/>
      </c>
      <c r="F81" s="382" t="str">
        <f>IF(B81="","",IF(ISNA(VLOOKUP($B81,'B-1 On-Site Hedge Baseline'!$B$1:$L$257,6,FALSE)),"",(VLOOKUP($B81,'B-1 On-Site Hedge Baseline'!$B$1:$L$257,6,FALSE))))</f>
        <v/>
      </c>
      <c r="G81" s="382" t="str">
        <f>IF(B81="","",IF(ISNA(VLOOKUP($B81,'B-1 On-Site Hedge Baseline'!$B$1:$L$257,7,FALSE)),"",(VLOOKUP($B81,'B-1 On-Site Hedge Baseline'!$B$1:$L$257,7,FALSE))))</f>
        <v/>
      </c>
      <c r="H81" s="382" t="str">
        <f>IF(B81="","",IF(ISNA(VLOOKUP($B81,'B-1 On-Site Hedge Baseline'!$B$1:$L$257,8,FALSE)),"",(VLOOKUP($B81,'B-1 On-Site Hedge Baseline'!$B$1:$L$257,8,FALSE))))</f>
        <v/>
      </c>
      <c r="I81" s="382" t="str">
        <f>IF(B81="","",IF(ISNA(VLOOKUP($B81,'B-1 On-Site Hedge Baseline'!$B$1:$L$257,10,FALSE)),"",(VLOOKUP($B81,'B-1 On-Site Hedge Baseline'!$B$1:$L$257,10,FALSE))))</f>
        <v/>
      </c>
      <c r="J81" s="382" t="str">
        <f>IF(B81="","",IF(ISNA(VLOOKUP($B81,'B-1 On-Site Hedge Baseline'!$B$1:$L$257,11,FALSE)),"",(VLOOKUP($B81,'B-1 On-Site Hedge Baseline'!$B$1:$L$257,11,FALSE))))</f>
        <v/>
      </c>
      <c r="K81" s="382" t="str">
        <f>IF(B81="","",IF(ISNA(VLOOKUP($B81,'B-1 On-Site Hedge Baseline'!$B$1:$U$257,13,FALSE)),"",(VLOOKUP($B81,'B-1 On-Site Hedge Baseline'!$B$1:$U$257,13,FALSE))))</f>
        <v/>
      </c>
      <c r="L81" s="386" t="str">
        <f>IF(B81="","",IF(ISNA(VLOOKUP($B81,'B-1 On-Site Hedge Baseline'!$B$1:$U$257,12,FALSE)),"",(VLOOKUP($B81,'B-1 On-Site Hedge Baseline'!$B$1:$U$257,12,FALSE))))</f>
        <v/>
      </c>
      <c r="M81" s="315" t="str">
        <f t="shared" si="15"/>
        <v/>
      </c>
      <c r="N81" s="362" t="str">
        <f>IFERROR(IF(B81="","",INDEX('G-6 Hedgerow Data'!$AN$3:$AZ$15,MATCH(C81,'G-6 Hedgerow Data'!$AM$3:$AM$15,0),MATCH(M81,'G-6 Hedgerow Data'!$AN$2:$AZ$2,0))),"")</f>
        <v/>
      </c>
      <c r="O81" s="363" t="str">
        <f t="shared" si="10"/>
        <v/>
      </c>
      <c r="P81" s="417" t="str">
        <f>IF(B81="","",VLOOKUP(B81,'B-1 On-Site Hedge Baseline'!$B$10:T326,16,FALSE))</f>
        <v/>
      </c>
      <c r="Q81" s="362" t="str">
        <f>IF(M81="","",VLOOKUP(M81,'G-6 Hedgerow Data'!$B$2:$AG$15,2,FALSE))</f>
        <v/>
      </c>
      <c r="R81" s="363" t="str">
        <f>IF(M81="","",VLOOKUP(M81,'G-6 Hedgerow Data'!$B$2:$AG$15,3,FALSE))</f>
        <v/>
      </c>
      <c r="S81" s="125"/>
      <c r="T81" s="401" t="str">
        <f>IFERROR(VLOOKUP(S81,'G-1 All Habitats'!$Z$2:$AA$9,2,FALSE),"")</f>
        <v/>
      </c>
      <c r="U81" s="122"/>
      <c r="V81" s="382" t="str">
        <f>IF(U81="","",IF(VLOOKUP(U81,'G-3 Multipliers'!$L$3:$N$6,2,FALSE)=0,"Spatial Data Missing ⚠",VLOOKUP(U81,'G-3 Multipliers'!$L$3:$N$6,2,FALSE)))</f>
        <v/>
      </c>
      <c r="W81" s="386" t="str">
        <f>IF(U81="","",IF(VLOOKUP(U81,'G-3 Multipliers'!$L$3:$N$6,3,FALSE)=0,"Spatial Data Missing ⚠",VLOOKUP(U81,'G-3 Multipliers'!$L$3:$N$6,3,FALSE)))</f>
        <v/>
      </c>
      <c r="X81" s="362" t="str">
        <f>IFERROR(IF(OR(LEFT(O81,5)="Error",LEFT(N81,5)="Error",T81="Error"),"Check Data ⚠",IF(F81&lt;R81,INDEX('G-6 Hedgerow Data'!$S$3:$AE$14,MATCH(C81,'G-6 Hedgerow Data'!$B$3:$B$14,0),MATCH(M81,'G-6 Hedgerow Data'!$S$2:$AE$2,0)),INDEX('G-6 Hedgerow Data'!$K$3:$Q$14,MATCH(M81,'G-6 Hedgerow Data'!$B$3:$B$14,0),MATCH(O81,'G-6 Hedgerow Data'!$K$2:$Q$2,0)))),"")</f>
        <v/>
      </c>
      <c r="Y81" s="159"/>
      <c r="Z81" s="159"/>
      <c r="AA81" s="370" t="str">
        <f t="shared" si="11"/>
        <v/>
      </c>
      <c r="AB81" s="383" t="str">
        <f t="shared" si="12"/>
        <v/>
      </c>
      <c r="AC81" s="384" t="str">
        <f t="shared" si="8"/>
        <v/>
      </c>
      <c r="AD81" s="398" t="str">
        <f>IF(M81="","",VLOOKUP(M81,'G-6 Hedgerow Data'!$B$3:$AG$15,31,FALSE))</f>
        <v/>
      </c>
      <c r="AE81" s="370" t="str">
        <f t="shared" si="13"/>
        <v/>
      </c>
      <c r="AF81" s="370" t="str">
        <f t="shared" si="14"/>
        <v/>
      </c>
      <c r="AG81" s="386" t="str">
        <f>IFERROR(IF(O81="","",VLOOKUP(AD81,'G-3 Multipliers'!$P$3:$Q$6,2,FALSE)),"")</f>
        <v/>
      </c>
      <c r="AH81" s="376" t="str">
        <f t="shared" si="9"/>
        <v/>
      </c>
      <c r="AI81" s="188"/>
      <c r="AJ81" s="118"/>
      <c r="AK81" s="120"/>
      <c r="AT81" s="30" t="str">
        <f>IFERROR(INDEX('G-6 Hedgerow Data'!$BJ$3:$BJ$15,MATCH(M81,'G-6 Hedgerow Data'!$B$3:$B$15,0)),"")</f>
        <v/>
      </c>
    </row>
    <row r="82" spans="2:46" ht="15">
      <c r="B82" s="392" t="str">
        <f>'B-1 On-Site Hedge Baseline'!AK80</f>
        <v/>
      </c>
      <c r="C82" s="382" t="str">
        <f>IF(B82="","",IF(ISNA(VLOOKUP($B82,'B-1 On-Site Hedge Baseline'!$B$1:$L$257,3,FALSE)),"",(VLOOKUP($B82,'B-1 On-Site Hedge Baseline'!$B$1:$L$257,3,FALSE))))</f>
        <v/>
      </c>
      <c r="D82" s="382" t="str">
        <f>IF(B82="","",IF(ISNA(VLOOKUP($B82,'B-1 On-Site Hedge Baseline'!$B$1:$L$257,4,FALSE)),"",(VLOOKUP($B82,'B-1 On-Site Hedge Baseline'!$B$1:$L$257,4,FALSE))))</f>
        <v/>
      </c>
      <c r="E82" s="382" t="str">
        <f>IF(B82="","",IF(ISNA(VLOOKUP($B82,'B-1 On-Site Hedge Baseline'!$B$1:$L$257,5,FALSE)),"",(VLOOKUP($B82,'B-1 On-Site Hedge Baseline'!$B$1:$L$257,5,FALSE))))</f>
        <v/>
      </c>
      <c r="F82" s="382" t="str">
        <f>IF(B82="","",IF(ISNA(VLOOKUP($B82,'B-1 On-Site Hedge Baseline'!$B$1:$L$257,6,FALSE)),"",(VLOOKUP($B82,'B-1 On-Site Hedge Baseline'!$B$1:$L$257,6,FALSE))))</f>
        <v/>
      </c>
      <c r="G82" s="382" t="str">
        <f>IF(B82="","",IF(ISNA(VLOOKUP($B82,'B-1 On-Site Hedge Baseline'!$B$1:$L$257,7,FALSE)),"",(VLOOKUP($B82,'B-1 On-Site Hedge Baseline'!$B$1:$L$257,7,FALSE))))</f>
        <v/>
      </c>
      <c r="H82" s="382" t="str">
        <f>IF(B82="","",IF(ISNA(VLOOKUP($B82,'B-1 On-Site Hedge Baseline'!$B$1:$L$257,8,FALSE)),"",(VLOOKUP($B82,'B-1 On-Site Hedge Baseline'!$B$1:$L$257,8,FALSE))))</f>
        <v/>
      </c>
      <c r="I82" s="382" t="str">
        <f>IF(B82="","",IF(ISNA(VLOOKUP($B82,'B-1 On-Site Hedge Baseline'!$B$1:$L$257,10,FALSE)),"",(VLOOKUP($B82,'B-1 On-Site Hedge Baseline'!$B$1:$L$257,10,FALSE))))</f>
        <v/>
      </c>
      <c r="J82" s="382" t="str">
        <f>IF(B82="","",IF(ISNA(VLOOKUP($B82,'B-1 On-Site Hedge Baseline'!$B$1:$L$257,11,FALSE)),"",(VLOOKUP($B82,'B-1 On-Site Hedge Baseline'!$B$1:$L$257,11,FALSE))))</f>
        <v/>
      </c>
      <c r="K82" s="382" t="str">
        <f>IF(B82="","",IF(ISNA(VLOOKUP($B82,'B-1 On-Site Hedge Baseline'!$B$1:$U$257,13,FALSE)),"",(VLOOKUP($B82,'B-1 On-Site Hedge Baseline'!$B$1:$U$257,13,FALSE))))</f>
        <v/>
      </c>
      <c r="L82" s="386" t="str">
        <f>IF(B82="","",IF(ISNA(VLOOKUP($B82,'B-1 On-Site Hedge Baseline'!$B$1:$U$257,12,FALSE)),"",(VLOOKUP($B82,'B-1 On-Site Hedge Baseline'!$B$1:$U$257,12,FALSE))))</f>
        <v/>
      </c>
      <c r="M82" s="315" t="str">
        <f t="shared" si="15"/>
        <v/>
      </c>
      <c r="N82" s="362" t="str">
        <f>IFERROR(IF(B82="","",INDEX('G-6 Hedgerow Data'!$AN$3:$AZ$15,MATCH(C82,'G-6 Hedgerow Data'!$AM$3:$AM$15,0),MATCH(M82,'G-6 Hedgerow Data'!$AN$2:$AZ$2,0))),"")</f>
        <v/>
      </c>
      <c r="O82" s="363" t="str">
        <f t="shared" si="10"/>
        <v/>
      </c>
      <c r="P82" s="417" t="str">
        <f>IF(B82="","",VLOOKUP(B82,'B-1 On-Site Hedge Baseline'!$B$10:T327,16,FALSE))</f>
        <v/>
      </c>
      <c r="Q82" s="362" t="str">
        <f>IF(M82="","",VLOOKUP(M82,'G-6 Hedgerow Data'!$B$2:$AG$15,2,FALSE))</f>
        <v/>
      </c>
      <c r="R82" s="363" t="str">
        <f>IF(M82="","",VLOOKUP(M82,'G-6 Hedgerow Data'!$B$2:$AG$15,3,FALSE))</f>
        <v/>
      </c>
      <c r="S82" s="125"/>
      <c r="T82" s="401" t="str">
        <f>IFERROR(VLOOKUP(S82,'G-1 All Habitats'!$Z$2:$AA$9,2,FALSE),"")</f>
        <v/>
      </c>
      <c r="U82" s="122"/>
      <c r="V82" s="382" t="str">
        <f>IF(U82="","",IF(VLOOKUP(U82,'G-3 Multipliers'!$L$3:$N$6,2,FALSE)=0,"Spatial Data Missing ⚠",VLOOKUP(U82,'G-3 Multipliers'!$L$3:$N$6,2,FALSE)))</f>
        <v/>
      </c>
      <c r="W82" s="386" t="str">
        <f>IF(U82="","",IF(VLOOKUP(U82,'G-3 Multipliers'!$L$3:$N$6,3,FALSE)=0,"Spatial Data Missing ⚠",VLOOKUP(U82,'G-3 Multipliers'!$L$3:$N$6,3,FALSE)))</f>
        <v/>
      </c>
      <c r="X82" s="362" t="str">
        <f>IFERROR(IF(OR(LEFT(O82,5)="Error",LEFT(N82,5)="Error",T82="Error"),"Check Data ⚠",IF(F82&lt;R82,INDEX('G-6 Hedgerow Data'!$S$3:$AE$14,MATCH(C82,'G-6 Hedgerow Data'!$B$3:$B$14,0),MATCH(M82,'G-6 Hedgerow Data'!$S$2:$AE$2,0)),INDEX('G-6 Hedgerow Data'!$K$3:$Q$14,MATCH(M82,'G-6 Hedgerow Data'!$B$3:$B$14,0),MATCH(O82,'G-6 Hedgerow Data'!$K$2:$Q$2,0)))),"")</f>
        <v/>
      </c>
      <c r="Y82" s="159"/>
      <c r="Z82" s="159"/>
      <c r="AA82" s="370" t="str">
        <f t="shared" si="11"/>
        <v/>
      </c>
      <c r="AB82" s="383" t="str">
        <f t="shared" si="12"/>
        <v/>
      </c>
      <c r="AC82" s="384" t="str">
        <f t="shared" si="8"/>
        <v/>
      </c>
      <c r="AD82" s="398" t="str">
        <f>IF(M82="","",VLOOKUP(M82,'G-6 Hedgerow Data'!$B$3:$AG$15,31,FALSE))</f>
        <v/>
      </c>
      <c r="AE82" s="370" t="str">
        <f t="shared" si="13"/>
        <v/>
      </c>
      <c r="AF82" s="370" t="str">
        <f t="shared" si="14"/>
        <v/>
      </c>
      <c r="AG82" s="386" t="str">
        <f>IFERROR(IF(O82="","",VLOOKUP(AD82,'G-3 Multipliers'!$P$3:$Q$6,2,FALSE)),"")</f>
        <v/>
      </c>
      <c r="AH82" s="376" t="str">
        <f t="shared" si="9"/>
        <v/>
      </c>
      <c r="AI82" s="188"/>
      <c r="AJ82" s="118"/>
      <c r="AK82" s="120"/>
      <c r="AT82" s="30" t="str">
        <f>IFERROR(INDEX('G-6 Hedgerow Data'!$BJ$3:$BJ$15,MATCH(M82,'G-6 Hedgerow Data'!$B$3:$B$15,0)),"")</f>
        <v/>
      </c>
    </row>
    <row r="83" spans="2:46" ht="15">
      <c r="B83" s="392" t="str">
        <f>'B-1 On-Site Hedge Baseline'!AK81</f>
        <v/>
      </c>
      <c r="C83" s="382" t="str">
        <f>IF(B83="","",IF(ISNA(VLOOKUP($B83,'B-1 On-Site Hedge Baseline'!$B$1:$L$257,3,FALSE)),"",(VLOOKUP($B83,'B-1 On-Site Hedge Baseline'!$B$1:$L$257,3,FALSE))))</f>
        <v/>
      </c>
      <c r="D83" s="382" t="str">
        <f>IF(B83="","",IF(ISNA(VLOOKUP($B83,'B-1 On-Site Hedge Baseline'!$B$1:$L$257,4,FALSE)),"",(VLOOKUP($B83,'B-1 On-Site Hedge Baseline'!$B$1:$L$257,4,FALSE))))</f>
        <v/>
      </c>
      <c r="E83" s="382" t="str">
        <f>IF(B83="","",IF(ISNA(VLOOKUP($B83,'B-1 On-Site Hedge Baseline'!$B$1:$L$257,5,FALSE)),"",(VLOOKUP($B83,'B-1 On-Site Hedge Baseline'!$B$1:$L$257,5,FALSE))))</f>
        <v/>
      </c>
      <c r="F83" s="382" t="str">
        <f>IF(B83="","",IF(ISNA(VLOOKUP($B83,'B-1 On-Site Hedge Baseline'!$B$1:$L$257,6,FALSE)),"",(VLOOKUP($B83,'B-1 On-Site Hedge Baseline'!$B$1:$L$257,6,FALSE))))</f>
        <v/>
      </c>
      <c r="G83" s="382" t="str">
        <f>IF(B83="","",IF(ISNA(VLOOKUP($B83,'B-1 On-Site Hedge Baseline'!$B$1:$L$257,7,FALSE)),"",(VLOOKUP($B83,'B-1 On-Site Hedge Baseline'!$B$1:$L$257,7,FALSE))))</f>
        <v/>
      </c>
      <c r="H83" s="382" t="str">
        <f>IF(B83="","",IF(ISNA(VLOOKUP($B83,'B-1 On-Site Hedge Baseline'!$B$1:$L$257,8,FALSE)),"",(VLOOKUP($B83,'B-1 On-Site Hedge Baseline'!$B$1:$L$257,8,FALSE))))</f>
        <v/>
      </c>
      <c r="I83" s="382" t="str">
        <f>IF(B83="","",IF(ISNA(VLOOKUP($B83,'B-1 On-Site Hedge Baseline'!$B$1:$L$257,10,FALSE)),"",(VLOOKUP($B83,'B-1 On-Site Hedge Baseline'!$B$1:$L$257,10,FALSE))))</f>
        <v/>
      </c>
      <c r="J83" s="382" t="str">
        <f>IF(B83="","",IF(ISNA(VLOOKUP($B83,'B-1 On-Site Hedge Baseline'!$B$1:$L$257,11,FALSE)),"",(VLOOKUP($B83,'B-1 On-Site Hedge Baseline'!$B$1:$L$257,11,FALSE))))</f>
        <v/>
      </c>
      <c r="K83" s="382" t="str">
        <f>IF(B83="","",IF(ISNA(VLOOKUP($B83,'B-1 On-Site Hedge Baseline'!$B$1:$U$257,13,FALSE)),"",(VLOOKUP($B83,'B-1 On-Site Hedge Baseline'!$B$1:$U$257,13,FALSE))))</f>
        <v/>
      </c>
      <c r="L83" s="386" t="str">
        <f>IF(B83="","",IF(ISNA(VLOOKUP($B83,'B-1 On-Site Hedge Baseline'!$B$1:$U$257,12,FALSE)),"",(VLOOKUP($B83,'B-1 On-Site Hedge Baseline'!$B$1:$U$257,12,FALSE))))</f>
        <v/>
      </c>
      <c r="M83" s="315" t="str">
        <f t="shared" si="15"/>
        <v/>
      </c>
      <c r="N83" s="362" t="str">
        <f>IFERROR(IF(B83="","",INDEX('G-6 Hedgerow Data'!$AN$3:$AZ$15,MATCH(C83,'G-6 Hedgerow Data'!$AM$3:$AM$15,0),MATCH(M83,'G-6 Hedgerow Data'!$AN$2:$AZ$2,0))),"")</f>
        <v/>
      </c>
      <c r="O83" s="363" t="str">
        <f t="shared" si="10"/>
        <v/>
      </c>
      <c r="P83" s="417" t="str">
        <f>IF(B83="","",VLOOKUP(B83,'B-1 On-Site Hedge Baseline'!$B$10:T328,16,FALSE))</f>
        <v/>
      </c>
      <c r="Q83" s="362" t="str">
        <f>IF(M83="","",VLOOKUP(M83,'G-6 Hedgerow Data'!$B$2:$AG$15,2,FALSE))</f>
        <v/>
      </c>
      <c r="R83" s="363" t="str">
        <f>IF(M83="","",VLOOKUP(M83,'G-6 Hedgerow Data'!$B$2:$AG$15,3,FALSE))</f>
        <v/>
      </c>
      <c r="S83" s="125"/>
      <c r="T83" s="401" t="str">
        <f>IFERROR(VLOOKUP(S83,'G-1 All Habitats'!$Z$2:$AA$9,2,FALSE),"")</f>
        <v/>
      </c>
      <c r="U83" s="122"/>
      <c r="V83" s="382" t="str">
        <f>IF(U83="","",IF(VLOOKUP(U83,'G-3 Multipliers'!$L$3:$N$6,2,FALSE)=0,"Spatial Data Missing ⚠",VLOOKUP(U83,'G-3 Multipliers'!$L$3:$N$6,2,FALSE)))</f>
        <v/>
      </c>
      <c r="W83" s="386" t="str">
        <f>IF(U83="","",IF(VLOOKUP(U83,'G-3 Multipliers'!$L$3:$N$6,3,FALSE)=0,"Spatial Data Missing ⚠",VLOOKUP(U83,'G-3 Multipliers'!$L$3:$N$6,3,FALSE)))</f>
        <v/>
      </c>
      <c r="X83" s="362" t="str">
        <f>IFERROR(IF(OR(LEFT(O83,5)="Error",LEFT(N83,5)="Error",T83="Error"),"Check Data ⚠",IF(F83&lt;R83,INDEX('G-6 Hedgerow Data'!$S$3:$AE$14,MATCH(C83,'G-6 Hedgerow Data'!$B$3:$B$14,0),MATCH(M83,'G-6 Hedgerow Data'!$S$2:$AE$2,0)),INDEX('G-6 Hedgerow Data'!$K$3:$Q$14,MATCH(M83,'G-6 Hedgerow Data'!$B$3:$B$14,0),MATCH(O83,'G-6 Hedgerow Data'!$K$2:$Q$2,0)))),"")</f>
        <v/>
      </c>
      <c r="Y83" s="159"/>
      <c r="Z83" s="159"/>
      <c r="AA83" s="370" t="str">
        <f t="shared" si="11"/>
        <v/>
      </c>
      <c r="AB83" s="383" t="str">
        <f t="shared" si="12"/>
        <v/>
      </c>
      <c r="AC83" s="384" t="str">
        <f t="shared" si="8"/>
        <v/>
      </c>
      <c r="AD83" s="398" t="str">
        <f>IF(M83="","",VLOOKUP(M83,'G-6 Hedgerow Data'!$B$3:$AG$15,31,FALSE))</f>
        <v/>
      </c>
      <c r="AE83" s="370" t="str">
        <f t="shared" si="13"/>
        <v/>
      </c>
      <c r="AF83" s="370" t="str">
        <f t="shared" si="14"/>
        <v/>
      </c>
      <c r="AG83" s="386" t="str">
        <f>IFERROR(IF(O83="","",VLOOKUP(AD83,'G-3 Multipliers'!$P$3:$Q$6,2,FALSE)),"")</f>
        <v/>
      </c>
      <c r="AH83" s="376" t="str">
        <f t="shared" si="9"/>
        <v/>
      </c>
      <c r="AI83" s="188"/>
      <c r="AJ83" s="118"/>
      <c r="AK83" s="120"/>
      <c r="AT83" s="30" t="str">
        <f>IFERROR(INDEX('G-6 Hedgerow Data'!$BJ$3:$BJ$15,MATCH(M83,'G-6 Hedgerow Data'!$B$3:$B$15,0)),"")</f>
        <v/>
      </c>
    </row>
    <row r="84" spans="2:46" ht="15">
      <c r="B84" s="392" t="str">
        <f>'B-1 On-Site Hedge Baseline'!AK82</f>
        <v/>
      </c>
      <c r="C84" s="382" t="str">
        <f>IF(B84="","",IF(ISNA(VLOOKUP($B84,'B-1 On-Site Hedge Baseline'!$B$1:$L$257,3,FALSE)),"",(VLOOKUP($B84,'B-1 On-Site Hedge Baseline'!$B$1:$L$257,3,FALSE))))</f>
        <v/>
      </c>
      <c r="D84" s="382" t="str">
        <f>IF(B84="","",IF(ISNA(VLOOKUP($B84,'B-1 On-Site Hedge Baseline'!$B$1:$L$257,4,FALSE)),"",(VLOOKUP($B84,'B-1 On-Site Hedge Baseline'!$B$1:$L$257,4,FALSE))))</f>
        <v/>
      </c>
      <c r="E84" s="382" t="str">
        <f>IF(B84="","",IF(ISNA(VLOOKUP($B84,'B-1 On-Site Hedge Baseline'!$B$1:$L$257,5,FALSE)),"",(VLOOKUP($B84,'B-1 On-Site Hedge Baseline'!$B$1:$L$257,5,FALSE))))</f>
        <v/>
      </c>
      <c r="F84" s="382" t="str">
        <f>IF(B84="","",IF(ISNA(VLOOKUP($B84,'B-1 On-Site Hedge Baseline'!$B$1:$L$257,6,FALSE)),"",(VLOOKUP($B84,'B-1 On-Site Hedge Baseline'!$B$1:$L$257,6,FALSE))))</f>
        <v/>
      </c>
      <c r="G84" s="382" t="str">
        <f>IF(B84="","",IF(ISNA(VLOOKUP($B84,'B-1 On-Site Hedge Baseline'!$B$1:$L$257,7,FALSE)),"",(VLOOKUP($B84,'B-1 On-Site Hedge Baseline'!$B$1:$L$257,7,FALSE))))</f>
        <v/>
      </c>
      <c r="H84" s="382" t="str">
        <f>IF(B84="","",IF(ISNA(VLOOKUP($B84,'B-1 On-Site Hedge Baseline'!$B$1:$L$257,8,FALSE)),"",(VLOOKUP($B84,'B-1 On-Site Hedge Baseline'!$B$1:$L$257,8,FALSE))))</f>
        <v/>
      </c>
      <c r="I84" s="382" t="str">
        <f>IF(B84="","",IF(ISNA(VLOOKUP($B84,'B-1 On-Site Hedge Baseline'!$B$1:$L$257,10,FALSE)),"",(VLOOKUP($B84,'B-1 On-Site Hedge Baseline'!$B$1:$L$257,10,FALSE))))</f>
        <v/>
      </c>
      <c r="J84" s="382" t="str">
        <f>IF(B84="","",IF(ISNA(VLOOKUP($B84,'B-1 On-Site Hedge Baseline'!$B$1:$L$257,11,FALSE)),"",(VLOOKUP($B84,'B-1 On-Site Hedge Baseline'!$B$1:$L$257,11,FALSE))))</f>
        <v/>
      </c>
      <c r="K84" s="382" t="str">
        <f>IF(B84="","",IF(ISNA(VLOOKUP($B84,'B-1 On-Site Hedge Baseline'!$B$1:$U$257,13,FALSE)),"",(VLOOKUP($B84,'B-1 On-Site Hedge Baseline'!$B$1:$U$257,13,FALSE))))</f>
        <v/>
      </c>
      <c r="L84" s="386" t="str">
        <f>IF(B84="","",IF(ISNA(VLOOKUP($B84,'B-1 On-Site Hedge Baseline'!$B$1:$U$257,12,FALSE)),"",(VLOOKUP($B84,'B-1 On-Site Hedge Baseline'!$B$1:$U$257,12,FALSE))))</f>
        <v/>
      </c>
      <c r="M84" s="315" t="str">
        <f t="shared" si="15"/>
        <v/>
      </c>
      <c r="N84" s="362" t="str">
        <f>IFERROR(IF(B84="","",INDEX('G-6 Hedgerow Data'!$AN$3:$AZ$15,MATCH(C84,'G-6 Hedgerow Data'!$AM$3:$AM$15,0),MATCH(M84,'G-6 Hedgerow Data'!$AN$2:$AZ$2,0))),"")</f>
        <v/>
      </c>
      <c r="O84" s="363" t="str">
        <f t="shared" si="10"/>
        <v/>
      </c>
      <c r="P84" s="417" t="str">
        <f>IF(B84="","",VLOOKUP(B84,'B-1 On-Site Hedge Baseline'!$B$10:T329,16,FALSE))</f>
        <v/>
      </c>
      <c r="Q84" s="362" t="str">
        <f>IF(M84="","",VLOOKUP(M84,'G-6 Hedgerow Data'!$B$2:$AG$15,2,FALSE))</f>
        <v/>
      </c>
      <c r="R84" s="363" t="str">
        <f>IF(M84="","",VLOOKUP(M84,'G-6 Hedgerow Data'!$B$2:$AG$15,3,FALSE))</f>
        <v/>
      </c>
      <c r="S84" s="125"/>
      <c r="T84" s="401" t="str">
        <f>IFERROR(VLOOKUP(S84,'G-1 All Habitats'!$Z$2:$AA$9,2,FALSE),"")</f>
        <v/>
      </c>
      <c r="U84" s="122"/>
      <c r="V84" s="382" t="str">
        <f>IF(U84="","",IF(VLOOKUP(U84,'G-3 Multipliers'!$L$3:$N$6,2,FALSE)=0,"Spatial Data Missing ⚠",VLOOKUP(U84,'G-3 Multipliers'!$L$3:$N$6,2,FALSE)))</f>
        <v/>
      </c>
      <c r="W84" s="386" t="str">
        <f>IF(U84="","",IF(VLOOKUP(U84,'G-3 Multipliers'!$L$3:$N$6,3,FALSE)=0,"Spatial Data Missing ⚠",VLOOKUP(U84,'G-3 Multipliers'!$L$3:$N$6,3,FALSE)))</f>
        <v/>
      </c>
      <c r="X84" s="362" t="str">
        <f>IFERROR(IF(OR(LEFT(O84,5)="Error",LEFT(N84,5)="Error",T84="Error"),"Check Data ⚠",IF(F84&lt;R84,INDEX('G-6 Hedgerow Data'!$S$3:$AE$14,MATCH(C84,'G-6 Hedgerow Data'!$B$3:$B$14,0),MATCH(M84,'G-6 Hedgerow Data'!$S$2:$AE$2,0)),INDEX('G-6 Hedgerow Data'!$K$3:$Q$14,MATCH(M84,'G-6 Hedgerow Data'!$B$3:$B$14,0),MATCH(O84,'G-6 Hedgerow Data'!$K$2:$Q$2,0)))),"")</f>
        <v/>
      </c>
      <c r="Y84" s="159"/>
      <c r="Z84" s="159"/>
      <c r="AA84" s="370" t="str">
        <f t="shared" si="11"/>
        <v/>
      </c>
      <c r="AB84" s="383" t="str">
        <f t="shared" si="12"/>
        <v/>
      </c>
      <c r="AC84" s="384" t="str">
        <f t="shared" si="8"/>
        <v/>
      </c>
      <c r="AD84" s="398" t="str">
        <f>IF(M84="","",VLOOKUP(M84,'G-6 Hedgerow Data'!$B$3:$AG$15,31,FALSE))</f>
        <v/>
      </c>
      <c r="AE84" s="370" t="str">
        <f t="shared" si="13"/>
        <v/>
      </c>
      <c r="AF84" s="370" t="str">
        <f t="shared" si="14"/>
        <v/>
      </c>
      <c r="AG84" s="386" t="str">
        <f>IFERROR(IF(O84="","",VLOOKUP(AD84,'G-3 Multipliers'!$P$3:$Q$6,2,FALSE)),"")</f>
        <v/>
      </c>
      <c r="AH84" s="376" t="str">
        <f t="shared" si="9"/>
        <v/>
      </c>
      <c r="AI84" s="188"/>
      <c r="AJ84" s="118"/>
      <c r="AK84" s="120"/>
      <c r="AT84" s="30" t="str">
        <f>IFERROR(INDEX('G-6 Hedgerow Data'!$BJ$3:$BJ$15,MATCH(M84,'G-6 Hedgerow Data'!$B$3:$B$15,0)),"")</f>
        <v/>
      </c>
    </row>
    <row r="85" spans="2:46" ht="15">
      <c r="B85" s="392" t="str">
        <f>'B-1 On-Site Hedge Baseline'!AK83</f>
        <v/>
      </c>
      <c r="C85" s="382" t="str">
        <f>IF(B85="","",IF(ISNA(VLOOKUP($B85,'B-1 On-Site Hedge Baseline'!$B$1:$L$257,3,FALSE)),"",(VLOOKUP($B85,'B-1 On-Site Hedge Baseline'!$B$1:$L$257,3,FALSE))))</f>
        <v/>
      </c>
      <c r="D85" s="382" t="str">
        <f>IF(B85="","",IF(ISNA(VLOOKUP($B85,'B-1 On-Site Hedge Baseline'!$B$1:$L$257,4,FALSE)),"",(VLOOKUP($B85,'B-1 On-Site Hedge Baseline'!$B$1:$L$257,4,FALSE))))</f>
        <v/>
      </c>
      <c r="E85" s="382" t="str">
        <f>IF(B85="","",IF(ISNA(VLOOKUP($B85,'B-1 On-Site Hedge Baseline'!$B$1:$L$257,5,FALSE)),"",(VLOOKUP($B85,'B-1 On-Site Hedge Baseline'!$B$1:$L$257,5,FALSE))))</f>
        <v/>
      </c>
      <c r="F85" s="382" t="str">
        <f>IF(B85="","",IF(ISNA(VLOOKUP($B85,'B-1 On-Site Hedge Baseline'!$B$1:$L$257,6,FALSE)),"",(VLOOKUP($B85,'B-1 On-Site Hedge Baseline'!$B$1:$L$257,6,FALSE))))</f>
        <v/>
      </c>
      <c r="G85" s="382" t="str">
        <f>IF(B85="","",IF(ISNA(VLOOKUP($B85,'B-1 On-Site Hedge Baseline'!$B$1:$L$257,7,FALSE)),"",(VLOOKUP($B85,'B-1 On-Site Hedge Baseline'!$B$1:$L$257,7,FALSE))))</f>
        <v/>
      </c>
      <c r="H85" s="382" t="str">
        <f>IF(B85="","",IF(ISNA(VLOOKUP($B85,'B-1 On-Site Hedge Baseline'!$B$1:$L$257,8,FALSE)),"",(VLOOKUP($B85,'B-1 On-Site Hedge Baseline'!$B$1:$L$257,8,FALSE))))</f>
        <v/>
      </c>
      <c r="I85" s="382" t="str">
        <f>IF(B85="","",IF(ISNA(VLOOKUP($B85,'B-1 On-Site Hedge Baseline'!$B$1:$L$257,10,FALSE)),"",(VLOOKUP($B85,'B-1 On-Site Hedge Baseline'!$B$1:$L$257,10,FALSE))))</f>
        <v/>
      </c>
      <c r="J85" s="382" t="str">
        <f>IF(B85="","",IF(ISNA(VLOOKUP($B85,'B-1 On-Site Hedge Baseline'!$B$1:$L$257,11,FALSE)),"",(VLOOKUP($B85,'B-1 On-Site Hedge Baseline'!$B$1:$L$257,11,FALSE))))</f>
        <v/>
      </c>
      <c r="K85" s="382" t="str">
        <f>IF(B85="","",IF(ISNA(VLOOKUP($B85,'B-1 On-Site Hedge Baseline'!$B$1:$U$257,13,FALSE)),"",(VLOOKUP($B85,'B-1 On-Site Hedge Baseline'!$B$1:$U$257,13,FALSE))))</f>
        <v/>
      </c>
      <c r="L85" s="386" t="str">
        <f>IF(B85="","",IF(ISNA(VLOOKUP($B85,'B-1 On-Site Hedge Baseline'!$B$1:$U$257,12,FALSE)),"",(VLOOKUP($B85,'B-1 On-Site Hedge Baseline'!$B$1:$U$257,12,FALSE))))</f>
        <v/>
      </c>
      <c r="M85" s="315" t="str">
        <f t="shared" si="15"/>
        <v/>
      </c>
      <c r="N85" s="362" t="str">
        <f>IFERROR(IF(B85="","",INDEX('G-6 Hedgerow Data'!$AN$3:$AZ$15,MATCH(C85,'G-6 Hedgerow Data'!$AM$3:$AM$15,0),MATCH(M85,'G-6 Hedgerow Data'!$AN$2:$AZ$2,0))),"")</f>
        <v/>
      </c>
      <c r="O85" s="363" t="str">
        <f t="shared" si="10"/>
        <v/>
      </c>
      <c r="P85" s="417" t="str">
        <f>IF(B85="","",VLOOKUP(B85,'B-1 On-Site Hedge Baseline'!$B$10:T330,16,FALSE))</f>
        <v/>
      </c>
      <c r="Q85" s="362" t="str">
        <f>IF(M85="","",VLOOKUP(M85,'G-6 Hedgerow Data'!$B$2:$AG$15,2,FALSE))</f>
        <v/>
      </c>
      <c r="R85" s="363" t="str">
        <f>IF(M85="","",VLOOKUP(M85,'G-6 Hedgerow Data'!$B$2:$AG$15,3,FALSE))</f>
        <v/>
      </c>
      <c r="S85" s="125"/>
      <c r="T85" s="401" t="str">
        <f>IFERROR(VLOOKUP(S85,'G-1 All Habitats'!$Z$2:$AA$9,2,FALSE),"")</f>
        <v/>
      </c>
      <c r="U85" s="122"/>
      <c r="V85" s="382" t="str">
        <f>IF(U85="","",IF(VLOOKUP(U85,'G-3 Multipliers'!$L$3:$N$6,2,FALSE)=0,"Spatial Data Missing ⚠",VLOOKUP(U85,'G-3 Multipliers'!$L$3:$N$6,2,FALSE)))</f>
        <v/>
      </c>
      <c r="W85" s="386" t="str">
        <f>IF(U85="","",IF(VLOOKUP(U85,'G-3 Multipliers'!$L$3:$N$6,3,FALSE)=0,"Spatial Data Missing ⚠",VLOOKUP(U85,'G-3 Multipliers'!$L$3:$N$6,3,FALSE)))</f>
        <v/>
      </c>
      <c r="X85" s="362" t="str">
        <f>IFERROR(IF(OR(LEFT(O85,5)="Error",LEFT(N85,5)="Error",T85="Error"),"Check Data ⚠",IF(F85&lt;R85,INDEX('G-6 Hedgerow Data'!$S$3:$AE$14,MATCH(C85,'G-6 Hedgerow Data'!$B$3:$B$14,0),MATCH(M85,'G-6 Hedgerow Data'!$S$2:$AE$2,0)),INDEX('G-6 Hedgerow Data'!$K$3:$Q$14,MATCH(M85,'G-6 Hedgerow Data'!$B$3:$B$14,0),MATCH(O85,'G-6 Hedgerow Data'!$K$2:$Q$2,0)))),"")</f>
        <v/>
      </c>
      <c r="Y85" s="159"/>
      <c r="Z85" s="159"/>
      <c r="AA85" s="370" t="str">
        <f t="shared" si="11"/>
        <v/>
      </c>
      <c r="AB85" s="383" t="str">
        <f t="shared" si="12"/>
        <v/>
      </c>
      <c r="AC85" s="384" t="str">
        <f t="shared" si="8"/>
        <v/>
      </c>
      <c r="AD85" s="398" t="str">
        <f>IF(M85="","",VLOOKUP(M85,'G-6 Hedgerow Data'!$B$3:$AG$15,31,FALSE))</f>
        <v/>
      </c>
      <c r="AE85" s="370" t="str">
        <f t="shared" si="13"/>
        <v/>
      </c>
      <c r="AF85" s="370" t="str">
        <f t="shared" si="14"/>
        <v/>
      </c>
      <c r="AG85" s="386" t="str">
        <f>IFERROR(IF(O85="","",VLOOKUP(AD85,'G-3 Multipliers'!$P$3:$Q$6,2,FALSE)),"")</f>
        <v/>
      </c>
      <c r="AH85" s="376" t="str">
        <f t="shared" si="9"/>
        <v/>
      </c>
      <c r="AI85" s="188"/>
      <c r="AJ85" s="118"/>
      <c r="AK85" s="120"/>
      <c r="AT85" s="30" t="str">
        <f>IFERROR(INDEX('G-6 Hedgerow Data'!$BJ$3:$BJ$15,MATCH(M85,'G-6 Hedgerow Data'!$B$3:$B$15,0)),"")</f>
        <v/>
      </c>
    </row>
    <row r="86" spans="2:46" ht="15">
      <c r="B86" s="392" t="str">
        <f>'B-1 On-Site Hedge Baseline'!AK84</f>
        <v/>
      </c>
      <c r="C86" s="382" t="str">
        <f>IF(B86="","",IF(ISNA(VLOOKUP($B86,'B-1 On-Site Hedge Baseline'!$B$1:$L$257,3,FALSE)),"",(VLOOKUP($B86,'B-1 On-Site Hedge Baseline'!$B$1:$L$257,3,FALSE))))</f>
        <v/>
      </c>
      <c r="D86" s="382" t="str">
        <f>IF(B86="","",IF(ISNA(VLOOKUP($B86,'B-1 On-Site Hedge Baseline'!$B$1:$L$257,4,FALSE)),"",(VLOOKUP($B86,'B-1 On-Site Hedge Baseline'!$B$1:$L$257,4,FALSE))))</f>
        <v/>
      </c>
      <c r="E86" s="382" t="str">
        <f>IF(B86="","",IF(ISNA(VLOOKUP($B86,'B-1 On-Site Hedge Baseline'!$B$1:$L$257,5,FALSE)),"",(VLOOKUP($B86,'B-1 On-Site Hedge Baseline'!$B$1:$L$257,5,FALSE))))</f>
        <v/>
      </c>
      <c r="F86" s="382" t="str">
        <f>IF(B86="","",IF(ISNA(VLOOKUP($B86,'B-1 On-Site Hedge Baseline'!$B$1:$L$257,6,FALSE)),"",(VLOOKUP($B86,'B-1 On-Site Hedge Baseline'!$B$1:$L$257,6,FALSE))))</f>
        <v/>
      </c>
      <c r="G86" s="382" t="str">
        <f>IF(B86="","",IF(ISNA(VLOOKUP($B86,'B-1 On-Site Hedge Baseline'!$B$1:$L$257,7,FALSE)),"",(VLOOKUP($B86,'B-1 On-Site Hedge Baseline'!$B$1:$L$257,7,FALSE))))</f>
        <v/>
      </c>
      <c r="H86" s="382" t="str">
        <f>IF(B86="","",IF(ISNA(VLOOKUP($B86,'B-1 On-Site Hedge Baseline'!$B$1:$L$257,8,FALSE)),"",(VLOOKUP($B86,'B-1 On-Site Hedge Baseline'!$B$1:$L$257,8,FALSE))))</f>
        <v/>
      </c>
      <c r="I86" s="382" t="str">
        <f>IF(B86="","",IF(ISNA(VLOOKUP($B86,'B-1 On-Site Hedge Baseline'!$B$1:$L$257,10,FALSE)),"",(VLOOKUP($B86,'B-1 On-Site Hedge Baseline'!$B$1:$L$257,10,FALSE))))</f>
        <v/>
      </c>
      <c r="J86" s="382" t="str">
        <f>IF(B86="","",IF(ISNA(VLOOKUP($B86,'B-1 On-Site Hedge Baseline'!$B$1:$L$257,11,FALSE)),"",(VLOOKUP($B86,'B-1 On-Site Hedge Baseline'!$B$1:$L$257,11,FALSE))))</f>
        <v/>
      </c>
      <c r="K86" s="382" t="str">
        <f>IF(B86="","",IF(ISNA(VLOOKUP($B86,'B-1 On-Site Hedge Baseline'!$B$1:$U$257,13,FALSE)),"",(VLOOKUP($B86,'B-1 On-Site Hedge Baseline'!$B$1:$U$257,13,FALSE))))</f>
        <v/>
      </c>
      <c r="L86" s="386" t="str">
        <f>IF(B86="","",IF(ISNA(VLOOKUP($B86,'B-1 On-Site Hedge Baseline'!$B$1:$U$257,12,FALSE)),"",(VLOOKUP($B86,'B-1 On-Site Hedge Baseline'!$B$1:$U$257,12,FALSE))))</f>
        <v/>
      </c>
      <c r="M86" s="315" t="str">
        <f t="shared" si="15"/>
        <v/>
      </c>
      <c r="N86" s="362" t="str">
        <f>IFERROR(IF(B86="","",INDEX('G-6 Hedgerow Data'!$AN$3:$AZ$15,MATCH(C86,'G-6 Hedgerow Data'!$AM$3:$AM$15,0),MATCH(M86,'G-6 Hedgerow Data'!$AN$2:$AZ$2,0))),"")</f>
        <v/>
      </c>
      <c r="O86" s="363" t="str">
        <f t="shared" si="10"/>
        <v/>
      </c>
      <c r="P86" s="417" t="str">
        <f>IF(B86="","",VLOOKUP(B86,'B-1 On-Site Hedge Baseline'!$B$10:T331,16,FALSE))</f>
        <v/>
      </c>
      <c r="Q86" s="362" t="str">
        <f>IF(M86="","",VLOOKUP(M86,'G-6 Hedgerow Data'!$B$2:$AG$15,2,FALSE))</f>
        <v/>
      </c>
      <c r="R86" s="363" t="str">
        <f>IF(M86="","",VLOOKUP(M86,'G-6 Hedgerow Data'!$B$2:$AG$15,3,FALSE))</f>
        <v/>
      </c>
      <c r="S86" s="125"/>
      <c r="T86" s="401" t="str">
        <f>IFERROR(VLOOKUP(S86,'G-1 All Habitats'!$Z$2:$AA$9,2,FALSE),"")</f>
        <v/>
      </c>
      <c r="U86" s="122"/>
      <c r="V86" s="382" t="str">
        <f>IF(U86="","",IF(VLOOKUP(U86,'G-3 Multipliers'!$L$3:$N$6,2,FALSE)=0,"Spatial Data Missing ⚠",VLOOKUP(U86,'G-3 Multipliers'!$L$3:$N$6,2,FALSE)))</f>
        <v/>
      </c>
      <c r="W86" s="386" t="str">
        <f>IF(U86="","",IF(VLOOKUP(U86,'G-3 Multipliers'!$L$3:$N$6,3,FALSE)=0,"Spatial Data Missing ⚠",VLOOKUP(U86,'G-3 Multipliers'!$L$3:$N$6,3,FALSE)))</f>
        <v/>
      </c>
      <c r="X86" s="362" t="str">
        <f>IFERROR(IF(OR(LEFT(O86,5)="Error",LEFT(N86,5)="Error",T86="Error"),"Check Data ⚠",IF(F86&lt;R86,INDEX('G-6 Hedgerow Data'!$S$3:$AE$14,MATCH(C86,'G-6 Hedgerow Data'!$B$3:$B$14,0),MATCH(M86,'G-6 Hedgerow Data'!$S$2:$AE$2,0)),INDEX('G-6 Hedgerow Data'!$K$3:$Q$14,MATCH(M86,'G-6 Hedgerow Data'!$B$3:$B$14,0),MATCH(O86,'G-6 Hedgerow Data'!$K$2:$Q$2,0)))),"")</f>
        <v/>
      </c>
      <c r="Y86" s="159"/>
      <c r="Z86" s="159"/>
      <c r="AA86" s="370" t="str">
        <f t="shared" si="11"/>
        <v/>
      </c>
      <c r="AB86" s="383" t="str">
        <f t="shared" si="12"/>
        <v/>
      </c>
      <c r="AC86" s="384" t="str">
        <f t="shared" si="8"/>
        <v/>
      </c>
      <c r="AD86" s="398" t="str">
        <f>IF(M86="","",VLOOKUP(M86,'G-6 Hedgerow Data'!$B$3:$AG$15,31,FALSE))</f>
        <v/>
      </c>
      <c r="AE86" s="370" t="str">
        <f t="shared" si="13"/>
        <v/>
      </c>
      <c r="AF86" s="370" t="str">
        <f t="shared" si="14"/>
        <v/>
      </c>
      <c r="AG86" s="386" t="str">
        <f>IFERROR(IF(O86="","",VLOOKUP(AD86,'G-3 Multipliers'!$P$3:$Q$6,2,FALSE)),"")</f>
        <v/>
      </c>
      <c r="AH86" s="376" t="str">
        <f t="shared" si="9"/>
        <v/>
      </c>
      <c r="AI86" s="188"/>
      <c r="AJ86" s="118"/>
      <c r="AK86" s="120"/>
      <c r="AT86" s="30" t="str">
        <f>IFERROR(INDEX('G-6 Hedgerow Data'!$BJ$3:$BJ$15,MATCH(M86,'G-6 Hedgerow Data'!$B$3:$B$15,0)),"")</f>
        <v/>
      </c>
    </row>
    <row r="87" spans="2:46" ht="15">
      <c r="B87" s="392" t="str">
        <f>'B-1 On-Site Hedge Baseline'!AK85</f>
        <v/>
      </c>
      <c r="C87" s="382" t="str">
        <f>IF(B87="","",IF(ISNA(VLOOKUP($B87,'B-1 On-Site Hedge Baseline'!$B$1:$L$257,3,FALSE)),"",(VLOOKUP($B87,'B-1 On-Site Hedge Baseline'!$B$1:$L$257,3,FALSE))))</f>
        <v/>
      </c>
      <c r="D87" s="382" t="str">
        <f>IF(B87="","",IF(ISNA(VLOOKUP($B87,'B-1 On-Site Hedge Baseline'!$B$1:$L$257,4,FALSE)),"",(VLOOKUP($B87,'B-1 On-Site Hedge Baseline'!$B$1:$L$257,4,FALSE))))</f>
        <v/>
      </c>
      <c r="E87" s="382" t="str">
        <f>IF(B87="","",IF(ISNA(VLOOKUP($B87,'B-1 On-Site Hedge Baseline'!$B$1:$L$257,5,FALSE)),"",(VLOOKUP($B87,'B-1 On-Site Hedge Baseline'!$B$1:$L$257,5,FALSE))))</f>
        <v/>
      </c>
      <c r="F87" s="382" t="str">
        <f>IF(B87="","",IF(ISNA(VLOOKUP($B87,'B-1 On-Site Hedge Baseline'!$B$1:$L$257,6,FALSE)),"",(VLOOKUP($B87,'B-1 On-Site Hedge Baseline'!$B$1:$L$257,6,FALSE))))</f>
        <v/>
      </c>
      <c r="G87" s="382" t="str">
        <f>IF(B87="","",IF(ISNA(VLOOKUP($B87,'B-1 On-Site Hedge Baseline'!$B$1:$L$257,7,FALSE)),"",(VLOOKUP($B87,'B-1 On-Site Hedge Baseline'!$B$1:$L$257,7,FALSE))))</f>
        <v/>
      </c>
      <c r="H87" s="382" t="str">
        <f>IF(B87="","",IF(ISNA(VLOOKUP($B87,'B-1 On-Site Hedge Baseline'!$B$1:$L$257,8,FALSE)),"",(VLOOKUP($B87,'B-1 On-Site Hedge Baseline'!$B$1:$L$257,8,FALSE))))</f>
        <v/>
      </c>
      <c r="I87" s="382" t="str">
        <f>IF(B87="","",IF(ISNA(VLOOKUP($B87,'B-1 On-Site Hedge Baseline'!$B$1:$L$257,10,FALSE)),"",(VLOOKUP($B87,'B-1 On-Site Hedge Baseline'!$B$1:$L$257,10,FALSE))))</f>
        <v/>
      </c>
      <c r="J87" s="382" t="str">
        <f>IF(B87="","",IF(ISNA(VLOOKUP($B87,'B-1 On-Site Hedge Baseline'!$B$1:$L$257,11,FALSE)),"",(VLOOKUP($B87,'B-1 On-Site Hedge Baseline'!$B$1:$L$257,11,FALSE))))</f>
        <v/>
      </c>
      <c r="K87" s="382" t="str">
        <f>IF(B87="","",IF(ISNA(VLOOKUP($B87,'B-1 On-Site Hedge Baseline'!$B$1:$U$257,13,FALSE)),"",(VLOOKUP($B87,'B-1 On-Site Hedge Baseline'!$B$1:$U$257,13,FALSE))))</f>
        <v/>
      </c>
      <c r="L87" s="386" t="str">
        <f>IF(B87="","",IF(ISNA(VLOOKUP($B87,'B-1 On-Site Hedge Baseline'!$B$1:$U$257,12,FALSE)),"",(VLOOKUP($B87,'B-1 On-Site Hedge Baseline'!$B$1:$U$257,12,FALSE))))</f>
        <v/>
      </c>
      <c r="M87" s="315" t="str">
        <f t="shared" si="15"/>
        <v/>
      </c>
      <c r="N87" s="362" t="str">
        <f>IFERROR(IF(B87="","",INDEX('G-6 Hedgerow Data'!$AN$3:$AZ$15,MATCH(C87,'G-6 Hedgerow Data'!$AM$3:$AM$15,0),MATCH(M87,'G-6 Hedgerow Data'!$AN$2:$AZ$2,0))),"")</f>
        <v/>
      </c>
      <c r="O87" s="363" t="str">
        <f t="shared" si="10"/>
        <v/>
      </c>
      <c r="P87" s="417" t="str">
        <f>IF(B87="","",VLOOKUP(B87,'B-1 On-Site Hedge Baseline'!$B$10:T332,16,FALSE))</f>
        <v/>
      </c>
      <c r="Q87" s="362" t="str">
        <f>IF(M87="","",VLOOKUP(M87,'G-6 Hedgerow Data'!$B$2:$AG$15,2,FALSE))</f>
        <v/>
      </c>
      <c r="R87" s="363" t="str">
        <f>IF(M87="","",VLOOKUP(M87,'G-6 Hedgerow Data'!$B$2:$AG$15,3,FALSE))</f>
        <v/>
      </c>
      <c r="S87" s="125"/>
      <c r="T87" s="401" t="str">
        <f>IFERROR(VLOOKUP(S87,'G-1 All Habitats'!$Z$2:$AA$9,2,FALSE),"")</f>
        <v/>
      </c>
      <c r="U87" s="122"/>
      <c r="V87" s="382" t="str">
        <f>IF(U87="","",IF(VLOOKUP(U87,'G-3 Multipliers'!$L$3:$N$6,2,FALSE)=0,"Spatial Data Missing ⚠",VLOOKUP(U87,'G-3 Multipliers'!$L$3:$N$6,2,FALSE)))</f>
        <v/>
      </c>
      <c r="W87" s="386" t="str">
        <f>IF(U87="","",IF(VLOOKUP(U87,'G-3 Multipliers'!$L$3:$N$6,3,FALSE)=0,"Spatial Data Missing ⚠",VLOOKUP(U87,'G-3 Multipliers'!$L$3:$N$6,3,FALSE)))</f>
        <v/>
      </c>
      <c r="X87" s="362" t="str">
        <f>IFERROR(IF(OR(LEFT(O87,5)="Error",LEFT(N87,5)="Error",T87="Error"),"Check Data ⚠",IF(F87&lt;R87,INDEX('G-6 Hedgerow Data'!$S$3:$AE$14,MATCH(C87,'G-6 Hedgerow Data'!$B$3:$B$14,0),MATCH(M87,'G-6 Hedgerow Data'!$S$2:$AE$2,0)),INDEX('G-6 Hedgerow Data'!$K$3:$Q$14,MATCH(M87,'G-6 Hedgerow Data'!$B$3:$B$14,0),MATCH(O87,'G-6 Hedgerow Data'!$K$2:$Q$2,0)))),"")</f>
        <v/>
      </c>
      <c r="Y87" s="159"/>
      <c r="Z87" s="159"/>
      <c r="AA87" s="370" t="str">
        <f t="shared" si="11"/>
        <v/>
      </c>
      <c r="AB87" s="383" t="str">
        <f t="shared" si="12"/>
        <v/>
      </c>
      <c r="AC87" s="384" t="str">
        <f t="shared" si="8"/>
        <v/>
      </c>
      <c r="AD87" s="398" t="str">
        <f>IF(M87="","",VLOOKUP(M87,'G-6 Hedgerow Data'!$B$3:$AG$15,31,FALSE))</f>
        <v/>
      </c>
      <c r="AE87" s="370" t="str">
        <f t="shared" si="13"/>
        <v/>
      </c>
      <c r="AF87" s="370" t="str">
        <f t="shared" si="14"/>
        <v/>
      </c>
      <c r="AG87" s="386" t="str">
        <f>IFERROR(IF(O87="","",VLOOKUP(AD87,'G-3 Multipliers'!$P$3:$Q$6,2,FALSE)),"")</f>
        <v/>
      </c>
      <c r="AH87" s="376" t="str">
        <f t="shared" si="9"/>
        <v/>
      </c>
      <c r="AI87" s="188"/>
      <c r="AJ87" s="118"/>
      <c r="AK87" s="120"/>
      <c r="AT87" s="30" t="str">
        <f>IFERROR(INDEX('G-6 Hedgerow Data'!$BJ$3:$BJ$15,MATCH(M87,'G-6 Hedgerow Data'!$B$3:$B$15,0)),"")</f>
        <v/>
      </c>
    </row>
    <row r="88" spans="2:46" ht="15">
      <c r="B88" s="392" t="str">
        <f>'B-1 On-Site Hedge Baseline'!AK86</f>
        <v/>
      </c>
      <c r="C88" s="382" t="str">
        <f>IF(B88="","",IF(ISNA(VLOOKUP($B88,'B-1 On-Site Hedge Baseline'!$B$1:$L$257,3,FALSE)),"",(VLOOKUP($B88,'B-1 On-Site Hedge Baseline'!$B$1:$L$257,3,FALSE))))</f>
        <v/>
      </c>
      <c r="D88" s="382" t="str">
        <f>IF(B88="","",IF(ISNA(VLOOKUP($B88,'B-1 On-Site Hedge Baseline'!$B$1:$L$257,4,FALSE)),"",(VLOOKUP($B88,'B-1 On-Site Hedge Baseline'!$B$1:$L$257,4,FALSE))))</f>
        <v/>
      </c>
      <c r="E88" s="382" t="str">
        <f>IF(B88="","",IF(ISNA(VLOOKUP($B88,'B-1 On-Site Hedge Baseline'!$B$1:$L$257,5,FALSE)),"",(VLOOKUP($B88,'B-1 On-Site Hedge Baseline'!$B$1:$L$257,5,FALSE))))</f>
        <v/>
      </c>
      <c r="F88" s="382" t="str">
        <f>IF(B88="","",IF(ISNA(VLOOKUP($B88,'B-1 On-Site Hedge Baseline'!$B$1:$L$257,6,FALSE)),"",(VLOOKUP($B88,'B-1 On-Site Hedge Baseline'!$B$1:$L$257,6,FALSE))))</f>
        <v/>
      </c>
      <c r="G88" s="382" t="str">
        <f>IF(B88="","",IF(ISNA(VLOOKUP($B88,'B-1 On-Site Hedge Baseline'!$B$1:$L$257,7,FALSE)),"",(VLOOKUP($B88,'B-1 On-Site Hedge Baseline'!$B$1:$L$257,7,FALSE))))</f>
        <v/>
      </c>
      <c r="H88" s="382" t="str">
        <f>IF(B88="","",IF(ISNA(VLOOKUP($B88,'B-1 On-Site Hedge Baseline'!$B$1:$L$257,8,FALSE)),"",(VLOOKUP($B88,'B-1 On-Site Hedge Baseline'!$B$1:$L$257,8,FALSE))))</f>
        <v/>
      </c>
      <c r="I88" s="382" t="str">
        <f>IF(B88="","",IF(ISNA(VLOOKUP($B88,'B-1 On-Site Hedge Baseline'!$B$1:$L$257,10,FALSE)),"",(VLOOKUP($B88,'B-1 On-Site Hedge Baseline'!$B$1:$L$257,10,FALSE))))</f>
        <v/>
      </c>
      <c r="J88" s="382" t="str">
        <f>IF(B88="","",IF(ISNA(VLOOKUP($B88,'B-1 On-Site Hedge Baseline'!$B$1:$L$257,11,FALSE)),"",(VLOOKUP($B88,'B-1 On-Site Hedge Baseline'!$B$1:$L$257,11,FALSE))))</f>
        <v/>
      </c>
      <c r="K88" s="382" t="str">
        <f>IF(B88="","",IF(ISNA(VLOOKUP($B88,'B-1 On-Site Hedge Baseline'!$B$1:$U$257,13,FALSE)),"",(VLOOKUP($B88,'B-1 On-Site Hedge Baseline'!$B$1:$U$257,13,FALSE))))</f>
        <v/>
      </c>
      <c r="L88" s="386" t="str">
        <f>IF(B88="","",IF(ISNA(VLOOKUP($B88,'B-1 On-Site Hedge Baseline'!$B$1:$U$257,12,FALSE)),"",(VLOOKUP($B88,'B-1 On-Site Hedge Baseline'!$B$1:$U$257,12,FALSE))))</f>
        <v/>
      </c>
      <c r="M88" s="315" t="str">
        <f t="shared" si="15"/>
        <v/>
      </c>
      <c r="N88" s="362" t="str">
        <f>IFERROR(IF(B88="","",INDEX('G-6 Hedgerow Data'!$AN$3:$AZ$15,MATCH(C88,'G-6 Hedgerow Data'!$AM$3:$AM$15,0),MATCH(M88,'G-6 Hedgerow Data'!$AN$2:$AZ$2,0))),"")</f>
        <v/>
      </c>
      <c r="O88" s="363" t="str">
        <f t="shared" si="10"/>
        <v/>
      </c>
      <c r="P88" s="417" t="str">
        <f>IF(B88="","",VLOOKUP(B88,'B-1 On-Site Hedge Baseline'!$B$10:T333,16,FALSE))</f>
        <v/>
      </c>
      <c r="Q88" s="362" t="str">
        <f>IF(M88="","",VLOOKUP(M88,'G-6 Hedgerow Data'!$B$2:$AG$15,2,FALSE))</f>
        <v/>
      </c>
      <c r="R88" s="363" t="str">
        <f>IF(M88="","",VLOOKUP(M88,'G-6 Hedgerow Data'!$B$2:$AG$15,3,FALSE))</f>
        <v/>
      </c>
      <c r="S88" s="125"/>
      <c r="T88" s="401" t="str">
        <f>IFERROR(VLOOKUP(S88,'G-1 All Habitats'!$Z$2:$AA$9,2,FALSE),"")</f>
        <v/>
      </c>
      <c r="U88" s="122"/>
      <c r="V88" s="382" t="str">
        <f>IF(U88="","",IF(VLOOKUP(U88,'G-3 Multipliers'!$L$3:$N$6,2,FALSE)=0,"Spatial Data Missing ⚠",VLOOKUP(U88,'G-3 Multipliers'!$L$3:$N$6,2,FALSE)))</f>
        <v/>
      </c>
      <c r="W88" s="386" t="str">
        <f>IF(U88="","",IF(VLOOKUP(U88,'G-3 Multipliers'!$L$3:$N$6,3,FALSE)=0,"Spatial Data Missing ⚠",VLOOKUP(U88,'G-3 Multipliers'!$L$3:$N$6,3,FALSE)))</f>
        <v/>
      </c>
      <c r="X88" s="362" t="str">
        <f>IFERROR(IF(OR(LEFT(O88,5)="Error",LEFT(N88,5)="Error",T88="Error"),"Check Data ⚠",IF(F88&lt;R88,INDEX('G-6 Hedgerow Data'!$S$3:$AE$14,MATCH(C88,'G-6 Hedgerow Data'!$B$3:$B$14,0),MATCH(M88,'G-6 Hedgerow Data'!$S$2:$AE$2,0)),INDEX('G-6 Hedgerow Data'!$K$3:$Q$14,MATCH(M88,'G-6 Hedgerow Data'!$B$3:$B$14,0),MATCH(O88,'G-6 Hedgerow Data'!$K$2:$Q$2,0)))),"")</f>
        <v/>
      </c>
      <c r="Y88" s="159"/>
      <c r="Z88" s="159"/>
      <c r="AA88" s="370" t="str">
        <f t="shared" si="11"/>
        <v/>
      </c>
      <c r="AB88" s="383" t="str">
        <f t="shared" si="12"/>
        <v/>
      </c>
      <c r="AC88" s="384" t="str">
        <f t="shared" si="8"/>
        <v/>
      </c>
      <c r="AD88" s="398" t="str">
        <f>IF(M88="","",VLOOKUP(M88,'G-6 Hedgerow Data'!$B$3:$AG$15,31,FALSE))</f>
        <v/>
      </c>
      <c r="AE88" s="370" t="str">
        <f t="shared" si="13"/>
        <v/>
      </c>
      <c r="AF88" s="370" t="str">
        <f t="shared" si="14"/>
        <v/>
      </c>
      <c r="AG88" s="386" t="str">
        <f>IFERROR(IF(O88="","",VLOOKUP(AD88,'G-3 Multipliers'!$P$3:$Q$6,2,FALSE)),"")</f>
        <v/>
      </c>
      <c r="AH88" s="376" t="str">
        <f t="shared" si="9"/>
        <v/>
      </c>
      <c r="AI88" s="188"/>
      <c r="AJ88" s="118"/>
      <c r="AK88" s="120"/>
      <c r="AT88" s="30" t="str">
        <f>IFERROR(INDEX('G-6 Hedgerow Data'!$BJ$3:$BJ$15,MATCH(M88,'G-6 Hedgerow Data'!$B$3:$B$15,0)),"")</f>
        <v/>
      </c>
    </row>
    <row r="89" spans="2:46" ht="15">
      <c r="B89" s="392" t="str">
        <f>'B-1 On-Site Hedge Baseline'!AK87</f>
        <v/>
      </c>
      <c r="C89" s="382" t="str">
        <f>IF(B89="","",IF(ISNA(VLOOKUP($B89,'B-1 On-Site Hedge Baseline'!$B$1:$L$257,3,FALSE)),"",(VLOOKUP($B89,'B-1 On-Site Hedge Baseline'!$B$1:$L$257,3,FALSE))))</f>
        <v/>
      </c>
      <c r="D89" s="382" t="str">
        <f>IF(B89="","",IF(ISNA(VLOOKUP($B89,'B-1 On-Site Hedge Baseline'!$B$1:$L$257,4,FALSE)),"",(VLOOKUP($B89,'B-1 On-Site Hedge Baseline'!$B$1:$L$257,4,FALSE))))</f>
        <v/>
      </c>
      <c r="E89" s="382" t="str">
        <f>IF(B89="","",IF(ISNA(VLOOKUP($B89,'B-1 On-Site Hedge Baseline'!$B$1:$L$257,5,FALSE)),"",(VLOOKUP($B89,'B-1 On-Site Hedge Baseline'!$B$1:$L$257,5,FALSE))))</f>
        <v/>
      </c>
      <c r="F89" s="382" t="str">
        <f>IF(B89="","",IF(ISNA(VLOOKUP($B89,'B-1 On-Site Hedge Baseline'!$B$1:$L$257,6,FALSE)),"",(VLOOKUP($B89,'B-1 On-Site Hedge Baseline'!$B$1:$L$257,6,FALSE))))</f>
        <v/>
      </c>
      <c r="G89" s="382" t="str">
        <f>IF(B89="","",IF(ISNA(VLOOKUP($B89,'B-1 On-Site Hedge Baseline'!$B$1:$L$257,7,FALSE)),"",(VLOOKUP($B89,'B-1 On-Site Hedge Baseline'!$B$1:$L$257,7,FALSE))))</f>
        <v/>
      </c>
      <c r="H89" s="382" t="str">
        <f>IF(B89="","",IF(ISNA(VLOOKUP($B89,'B-1 On-Site Hedge Baseline'!$B$1:$L$257,8,FALSE)),"",(VLOOKUP($B89,'B-1 On-Site Hedge Baseline'!$B$1:$L$257,8,FALSE))))</f>
        <v/>
      </c>
      <c r="I89" s="382" t="str">
        <f>IF(B89="","",IF(ISNA(VLOOKUP($B89,'B-1 On-Site Hedge Baseline'!$B$1:$L$257,10,FALSE)),"",(VLOOKUP($B89,'B-1 On-Site Hedge Baseline'!$B$1:$L$257,10,FALSE))))</f>
        <v/>
      </c>
      <c r="J89" s="382" t="str">
        <f>IF(B89="","",IF(ISNA(VLOOKUP($B89,'B-1 On-Site Hedge Baseline'!$B$1:$L$257,11,FALSE)),"",(VLOOKUP($B89,'B-1 On-Site Hedge Baseline'!$B$1:$L$257,11,FALSE))))</f>
        <v/>
      </c>
      <c r="K89" s="382" t="str">
        <f>IF(B89="","",IF(ISNA(VLOOKUP($B89,'B-1 On-Site Hedge Baseline'!$B$1:$U$257,13,FALSE)),"",(VLOOKUP($B89,'B-1 On-Site Hedge Baseline'!$B$1:$U$257,13,FALSE))))</f>
        <v/>
      </c>
      <c r="L89" s="386" t="str">
        <f>IF(B89="","",IF(ISNA(VLOOKUP($B89,'B-1 On-Site Hedge Baseline'!$B$1:$U$257,12,FALSE)),"",(VLOOKUP($B89,'B-1 On-Site Hedge Baseline'!$B$1:$U$257,12,FALSE))))</f>
        <v/>
      </c>
      <c r="M89" s="315" t="str">
        <f t="shared" si="15"/>
        <v/>
      </c>
      <c r="N89" s="362" t="str">
        <f>IFERROR(IF(B89="","",INDEX('G-6 Hedgerow Data'!$AN$3:$AZ$15,MATCH(C89,'G-6 Hedgerow Data'!$AM$3:$AM$15,0),MATCH(M89,'G-6 Hedgerow Data'!$AN$2:$AZ$2,0))),"")</f>
        <v/>
      </c>
      <c r="O89" s="363" t="str">
        <f t="shared" si="10"/>
        <v/>
      </c>
      <c r="P89" s="417" t="str">
        <f>IF(B89="","",VLOOKUP(B89,'B-1 On-Site Hedge Baseline'!$B$10:T334,16,FALSE))</f>
        <v/>
      </c>
      <c r="Q89" s="362" t="str">
        <f>IF(M89="","",VLOOKUP(M89,'G-6 Hedgerow Data'!$B$2:$AG$15,2,FALSE))</f>
        <v/>
      </c>
      <c r="R89" s="363" t="str">
        <f>IF(M89="","",VLOOKUP(M89,'G-6 Hedgerow Data'!$B$2:$AG$15,3,FALSE))</f>
        <v/>
      </c>
      <c r="S89" s="125"/>
      <c r="T89" s="401" t="str">
        <f>IFERROR(VLOOKUP(S89,'G-1 All Habitats'!$Z$2:$AA$9,2,FALSE),"")</f>
        <v/>
      </c>
      <c r="U89" s="122"/>
      <c r="V89" s="382" t="str">
        <f>IF(U89="","",IF(VLOOKUP(U89,'G-3 Multipliers'!$L$3:$N$6,2,FALSE)=0,"Spatial Data Missing ⚠",VLOOKUP(U89,'G-3 Multipliers'!$L$3:$N$6,2,FALSE)))</f>
        <v/>
      </c>
      <c r="W89" s="386" t="str">
        <f>IF(U89="","",IF(VLOOKUP(U89,'G-3 Multipliers'!$L$3:$N$6,3,FALSE)=0,"Spatial Data Missing ⚠",VLOOKUP(U89,'G-3 Multipliers'!$L$3:$N$6,3,FALSE)))</f>
        <v/>
      </c>
      <c r="X89" s="362" t="str">
        <f>IFERROR(IF(OR(LEFT(O89,5)="Error",LEFT(N89,5)="Error",T89="Error"),"Check Data ⚠",IF(F89&lt;R89,INDEX('G-6 Hedgerow Data'!$S$3:$AE$14,MATCH(C89,'G-6 Hedgerow Data'!$B$3:$B$14,0),MATCH(M89,'G-6 Hedgerow Data'!$S$2:$AE$2,0)),INDEX('G-6 Hedgerow Data'!$K$3:$Q$14,MATCH(M89,'G-6 Hedgerow Data'!$B$3:$B$14,0),MATCH(O89,'G-6 Hedgerow Data'!$K$2:$Q$2,0)))),"")</f>
        <v/>
      </c>
      <c r="Y89" s="159"/>
      <c r="Z89" s="159"/>
      <c r="AA89" s="370" t="str">
        <f t="shared" si="11"/>
        <v/>
      </c>
      <c r="AB89" s="383" t="str">
        <f t="shared" si="12"/>
        <v/>
      </c>
      <c r="AC89" s="384" t="str">
        <f t="shared" si="8"/>
        <v/>
      </c>
      <c r="AD89" s="398" t="str">
        <f>IF(M89="","",VLOOKUP(M89,'G-6 Hedgerow Data'!$B$3:$AG$15,31,FALSE))</f>
        <v/>
      </c>
      <c r="AE89" s="370" t="str">
        <f t="shared" si="13"/>
        <v/>
      </c>
      <c r="AF89" s="370" t="str">
        <f t="shared" si="14"/>
        <v/>
      </c>
      <c r="AG89" s="386" t="str">
        <f>IFERROR(IF(O89="","",VLOOKUP(AD89,'G-3 Multipliers'!$P$3:$Q$6,2,FALSE)),"")</f>
        <v/>
      </c>
      <c r="AH89" s="376" t="str">
        <f t="shared" si="9"/>
        <v/>
      </c>
      <c r="AI89" s="188"/>
      <c r="AJ89" s="118"/>
      <c r="AK89" s="120"/>
      <c r="AT89" s="30" t="str">
        <f>IFERROR(INDEX('G-6 Hedgerow Data'!$BJ$3:$BJ$15,MATCH(M89,'G-6 Hedgerow Data'!$B$3:$B$15,0)),"")</f>
        <v/>
      </c>
    </row>
    <row r="90" spans="2:46" ht="15">
      <c r="B90" s="392" t="str">
        <f>'B-1 On-Site Hedge Baseline'!AK88</f>
        <v/>
      </c>
      <c r="C90" s="382" t="str">
        <f>IF(B90="","",IF(ISNA(VLOOKUP($B90,'B-1 On-Site Hedge Baseline'!$B$1:$L$257,3,FALSE)),"",(VLOOKUP($B90,'B-1 On-Site Hedge Baseline'!$B$1:$L$257,3,FALSE))))</f>
        <v/>
      </c>
      <c r="D90" s="382" t="str">
        <f>IF(B90="","",IF(ISNA(VLOOKUP($B90,'B-1 On-Site Hedge Baseline'!$B$1:$L$257,4,FALSE)),"",(VLOOKUP($B90,'B-1 On-Site Hedge Baseline'!$B$1:$L$257,4,FALSE))))</f>
        <v/>
      </c>
      <c r="E90" s="382" t="str">
        <f>IF(B90="","",IF(ISNA(VLOOKUP($B90,'B-1 On-Site Hedge Baseline'!$B$1:$L$257,5,FALSE)),"",(VLOOKUP($B90,'B-1 On-Site Hedge Baseline'!$B$1:$L$257,5,FALSE))))</f>
        <v/>
      </c>
      <c r="F90" s="382" t="str">
        <f>IF(B90="","",IF(ISNA(VLOOKUP($B90,'B-1 On-Site Hedge Baseline'!$B$1:$L$257,6,FALSE)),"",(VLOOKUP($B90,'B-1 On-Site Hedge Baseline'!$B$1:$L$257,6,FALSE))))</f>
        <v/>
      </c>
      <c r="G90" s="382" t="str">
        <f>IF(B90="","",IF(ISNA(VLOOKUP($B90,'B-1 On-Site Hedge Baseline'!$B$1:$L$257,7,FALSE)),"",(VLOOKUP($B90,'B-1 On-Site Hedge Baseline'!$B$1:$L$257,7,FALSE))))</f>
        <v/>
      </c>
      <c r="H90" s="382" t="str">
        <f>IF(B90="","",IF(ISNA(VLOOKUP($B90,'B-1 On-Site Hedge Baseline'!$B$1:$L$257,8,FALSE)),"",(VLOOKUP($B90,'B-1 On-Site Hedge Baseline'!$B$1:$L$257,8,FALSE))))</f>
        <v/>
      </c>
      <c r="I90" s="382" t="str">
        <f>IF(B90="","",IF(ISNA(VLOOKUP($B90,'B-1 On-Site Hedge Baseline'!$B$1:$L$257,10,FALSE)),"",(VLOOKUP($B90,'B-1 On-Site Hedge Baseline'!$B$1:$L$257,10,FALSE))))</f>
        <v/>
      </c>
      <c r="J90" s="382" t="str">
        <f>IF(B90="","",IF(ISNA(VLOOKUP($B90,'B-1 On-Site Hedge Baseline'!$B$1:$L$257,11,FALSE)),"",(VLOOKUP($B90,'B-1 On-Site Hedge Baseline'!$B$1:$L$257,11,FALSE))))</f>
        <v/>
      </c>
      <c r="K90" s="382" t="str">
        <f>IF(B90="","",IF(ISNA(VLOOKUP($B90,'B-1 On-Site Hedge Baseline'!$B$1:$U$257,13,FALSE)),"",(VLOOKUP($B90,'B-1 On-Site Hedge Baseline'!$B$1:$U$257,13,FALSE))))</f>
        <v/>
      </c>
      <c r="L90" s="386" t="str">
        <f>IF(B90="","",IF(ISNA(VLOOKUP($B90,'B-1 On-Site Hedge Baseline'!$B$1:$U$257,12,FALSE)),"",(VLOOKUP($B90,'B-1 On-Site Hedge Baseline'!$B$1:$U$257,12,FALSE))))</f>
        <v/>
      </c>
      <c r="M90" s="315" t="str">
        <f t="shared" si="15"/>
        <v/>
      </c>
      <c r="N90" s="362" t="str">
        <f>IFERROR(IF(B90="","",INDEX('G-6 Hedgerow Data'!$AN$3:$AZ$15,MATCH(C90,'G-6 Hedgerow Data'!$AM$3:$AM$15,0),MATCH(M90,'G-6 Hedgerow Data'!$AN$2:$AZ$2,0))),"")</f>
        <v/>
      </c>
      <c r="O90" s="363" t="str">
        <f t="shared" si="10"/>
        <v/>
      </c>
      <c r="P90" s="417" t="str">
        <f>IF(B90="","",VLOOKUP(B90,'B-1 On-Site Hedge Baseline'!$B$10:T335,16,FALSE))</f>
        <v/>
      </c>
      <c r="Q90" s="362" t="str">
        <f>IF(M90="","",VLOOKUP(M90,'G-6 Hedgerow Data'!$B$2:$AG$15,2,FALSE))</f>
        <v/>
      </c>
      <c r="R90" s="363" t="str">
        <f>IF(M90="","",VLOOKUP(M90,'G-6 Hedgerow Data'!$B$2:$AG$15,3,FALSE))</f>
        <v/>
      </c>
      <c r="S90" s="125"/>
      <c r="T90" s="401" t="str">
        <f>IFERROR(VLOOKUP(S90,'G-1 All Habitats'!$Z$2:$AA$9,2,FALSE),"")</f>
        <v/>
      </c>
      <c r="U90" s="122"/>
      <c r="V90" s="382" t="str">
        <f>IF(U90="","",IF(VLOOKUP(U90,'G-3 Multipliers'!$L$3:$N$6,2,FALSE)=0,"Spatial Data Missing ⚠",VLOOKUP(U90,'G-3 Multipliers'!$L$3:$N$6,2,FALSE)))</f>
        <v/>
      </c>
      <c r="W90" s="386" t="str">
        <f>IF(U90="","",IF(VLOOKUP(U90,'G-3 Multipliers'!$L$3:$N$6,3,FALSE)=0,"Spatial Data Missing ⚠",VLOOKUP(U90,'G-3 Multipliers'!$L$3:$N$6,3,FALSE)))</f>
        <v/>
      </c>
      <c r="X90" s="362" t="str">
        <f>IFERROR(IF(OR(LEFT(O90,5)="Error",LEFT(N90,5)="Error",T90="Error"),"Check Data ⚠",IF(F90&lt;R90,INDEX('G-6 Hedgerow Data'!$S$3:$AE$14,MATCH(C90,'G-6 Hedgerow Data'!$B$3:$B$14,0),MATCH(M90,'G-6 Hedgerow Data'!$S$2:$AE$2,0)),INDEX('G-6 Hedgerow Data'!$K$3:$Q$14,MATCH(M90,'G-6 Hedgerow Data'!$B$3:$B$14,0),MATCH(O90,'G-6 Hedgerow Data'!$K$2:$Q$2,0)))),"")</f>
        <v/>
      </c>
      <c r="Y90" s="159"/>
      <c r="Z90" s="159"/>
      <c r="AA90" s="370" t="str">
        <f t="shared" si="11"/>
        <v/>
      </c>
      <c r="AB90" s="383" t="str">
        <f t="shared" si="12"/>
        <v/>
      </c>
      <c r="AC90" s="384" t="str">
        <f t="shared" si="8"/>
        <v/>
      </c>
      <c r="AD90" s="398" t="str">
        <f>IF(M90="","",VLOOKUP(M90,'G-6 Hedgerow Data'!$B$3:$AG$15,31,FALSE))</f>
        <v/>
      </c>
      <c r="AE90" s="370" t="str">
        <f t="shared" si="13"/>
        <v/>
      </c>
      <c r="AF90" s="370" t="str">
        <f t="shared" si="14"/>
        <v/>
      </c>
      <c r="AG90" s="386" t="str">
        <f>IFERROR(IF(O90="","",VLOOKUP(AD90,'G-3 Multipliers'!$P$3:$Q$6,2,FALSE)),"")</f>
        <v/>
      </c>
      <c r="AH90" s="376" t="str">
        <f t="shared" si="9"/>
        <v/>
      </c>
      <c r="AI90" s="188"/>
      <c r="AJ90" s="118"/>
      <c r="AK90" s="120"/>
      <c r="AT90" s="30" t="str">
        <f>IFERROR(INDEX('G-6 Hedgerow Data'!$BJ$3:$BJ$15,MATCH(M90,'G-6 Hedgerow Data'!$B$3:$B$15,0)),"")</f>
        <v/>
      </c>
    </row>
    <row r="91" spans="2:46" ht="15">
      <c r="B91" s="392" t="str">
        <f>'B-1 On-Site Hedge Baseline'!AK89</f>
        <v/>
      </c>
      <c r="C91" s="382" t="str">
        <f>IF(B91="","",IF(ISNA(VLOOKUP($B91,'B-1 On-Site Hedge Baseline'!$B$1:$L$257,3,FALSE)),"",(VLOOKUP($B91,'B-1 On-Site Hedge Baseline'!$B$1:$L$257,3,FALSE))))</f>
        <v/>
      </c>
      <c r="D91" s="382" t="str">
        <f>IF(B91="","",IF(ISNA(VLOOKUP($B91,'B-1 On-Site Hedge Baseline'!$B$1:$L$257,4,FALSE)),"",(VLOOKUP($B91,'B-1 On-Site Hedge Baseline'!$B$1:$L$257,4,FALSE))))</f>
        <v/>
      </c>
      <c r="E91" s="382" t="str">
        <f>IF(B91="","",IF(ISNA(VLOOKUP($B91,'B-1 On-Site Hedge Baseline'!$B$1:$L$257,5,FALSE)),"",(VLOOKUP($B91,'B-1 On-Site Hedge Baseline'!$B$1:$L$257,5,FALSE))))</f>
        <v/>
      </c>
      <c r="F91" s="382" t="str">
        <f>IF(B91="","",IF(ISNA(VLOOKUP($B91,'B-1 On-Site Hedge Baseline'!$B$1:$L$257,6,FALSE)),"",(VLOOKUP($B91,'B-1 On-Site Hedge Baseline'!$B$1:$L$257,6,FALSE))))</f>
        <v/>
      </c>
      <c r="G91" s="382" t="str">
        <f>IF(B91="","",IF(ISNA(VLOOKUP($B91,'B-1 On-Site Hedge Baseline'!$B$1:$L$257,7,FALSE)),"",(VLOOKUP($B91,'B-1 On-Site Hedge Baseline'!$B$1:$L$257,7,FALSE))))</f>
        <v/>
      </c>
      <c r="H91" s="382" t="str">
        <f>IF(B91="","",IF(ISNA(VLOOKUP($B91,'B-1 On-Site Hedge Baseline'!$B$1:$L$257,8,FALSE)),"",(VLOOKUP($B91,'B-1 On-Site Hedge Baseline'!$B$1:$L$257,8,FALSE))))</f>
        <v/>
      </c>
      <c r="I91" s="382" t="str">
        <f>IF(B91="","",IF(ISNA(VLOOKUP($B91,'B-1 On-Site Hedge Baseline'!$B$1:$L$257,10,FALSE)),"",(VLOOKUP($B91,'B-1 On-Site Hedge Baseline'!$B$1:$L$257,10,FALSE))))</f>
        <v/>
      </c>
      <c r="J91" s="382" t="str">
        <f>IF(B91="","",IF(ISNA(VLOOKUP($B91,'B-1 On-Site Hedge Baseline'!$B$1:$L$257,11,FALSE)),"",(VLOOKUP($B91,'B-1 On-Site Hedge Baseline'!$B$1:$L$257,11,FALSE))))</f>
        <v/>
      </c>
      <c r="K91" s="382" t="str">
        <f>IF(B91="","",IF(ISNA(VLOOKUP($B91,'B-1 On-Site Hedge Baseline'!$B$1:$U$257,13,FALSE)),"",(VLOOKUP($B91,'B-1 On-Site Hedge Baseline'!$B$1:$U$257,13,FALSE))))</f>
        <v/>
      </c>
      <c r="L91" s="386" t="str">
        <f>IF(B91="","",IF(ISNA(VLOOKUP($B91,'B-1 On-Site Hedge Baseline'!$B$1:$U$257,12,FALSE)),"",(VLOOKUP($B91,'B-1 On-Site Hedge Baseline'!$B$1:$U$257,12,FALSE))))</f>
        <v/>
      </c>
      <c r="M91" s="315" t="str">
        <f t="shared" si="15"/>
        <v/>
      </c>
      <c r="N91" s="362" t="str">
        <f>IFERROR(IF(B91="","",INDEX('G-6 Hedgerow Data'!$AN$3:$AZ$15,MATCH(C91,'G-6 Hedgerow Data'!$AM$3:$AM$15,0),MATCH(M91,'G-6 Hedgerow Data'!$AN$2:$AZ$2,0))),"")</f>
        <v/>
      </c>
      <c r="O91" s="363" t="str">
        <f t="shared" si="10"/>
        <v/>
      </c>
      <c r="P91" s="417" t="str">
        <f>IF(B91="","",VLOOKUP(B91,'B-1 On-Site Hedge Baseline'!$B$10:T336,16,FALSE))</f>
        <v/>
      </c>
      <c r="Q91" s="362" t="str">
        <f>IF(M91="","",VLOOKUP(M91,'G-6 Hedgerow Data'!$B$2:$AG$15,2,FALSE))</f>
        <v/>
      </c>
      <c r="R91" s="363" t="str">
        <f>IF(M91="","",VLOOKUP(M91,'G-6 Hedgerow Data'!$B$2:$AG$15,3,FALSE))</f>
        <v/>
      </c>
      <c r="S91" s="125"/>
      <c r="T91" s="401" t="str">
        <f>IFERROR(VLOOKUP(S91,'G-1 All Habitats'!$Z$2:$AA$9,2,FALSE),"")</f>
        <v/>
      </c>
      <c r="U91" s="122"/>
      <c r="V91" s="382" t="str">
        <f>IF(U91="","",IF(VLOOKUP(U91,'G-3 Multipliers'!$L$3:$N$6,2,FALSE)=0,"Spatial Data Missing ⚠",VLOOKUP(U91,'G-3 Multipliers'!$L$3:$N$6,2,FALSE)))</f>
        <v/>
      </c>
      <c r="W91" s="386" t="str">
        <f>IF(U91="","",IF(VLOOKUP(U91,'G-3 Multipliers'!$L$3:$N$6,3,FALSE)=0,"Spatial Data Missing ⚠",VLOOKUP(U91,'G-3 Multipliers'!$L$3:$N$6,3,FALSE)))</f>
        <v/>
      </c>
      <c r="X91" s="362" t="str">
        <f>IFERROR(IF(OR(LEFT(O91,5)="Error",LEFT(N91,5)="Error",T91="Error"),"Check Data ⚠",IF(F91&lt;R91,INDEX('G-6 Hedgerow Data'!$S$3:$AE$14,MATCH(C91,'G-6 Hedgerow Data'!$B$3:$B$14,0),MATCH(M91,'G-6 Hedgerow Data'!$S$2:$AE$2,0)),INDEX('G-6 Hedgerow Data'!$K$3:$Q$14,MATCH(M91,'G-6 Hedgerow Data'!$B$3:$B$14,0),MATCH(O91,'G-6 Hedgerow Data'!$K$2:$Q$2,0)))),"")</f>
        <v/>
      </c>
      <c r="Y91" s="159"/>
      <c r="Z91" s="159"/>
      <c r="AA91" s="370" t="str">
        <f t="shared" si="11"/>
        <v/>
      </c>
      <c r="AB91" s="383" t="str">
        <f t="shared" si="12"/>
        <v/>
      </c>
      <c r="AC91" s="384" t="str">
        <f t="shared" si="8"/>
        <v/>
      </c>
      <c r="AD91" s="398" t="str">
        <f>IF(M91="","",VLOOKUP(M91,'G-6 Hedgerow Data'!$B$3:$AG$15,31,FALSE))</f>
        <v/>
      </c>
      <c r="AE91" s="370" t="str">
        <f t="shared" si="13"/>
        <v/>
      </c>
      <c r="AF91" s="370" t="str">
        <f t="shared" si="14"/>
        <v/>
      </c>
      <c r="AG91" s="386" t="str">
        <f>IFERROR(IF(O91="","",VLOOKUP(AD91,'G-3 Multipliers'!$P$3:$Q$6,2,FALSE)),"")</f>
        <v/>
      </c>
      <c r="AH91" s="376" t="str">
        <f t="shared" si="9"/>
        <v/>
      </c>
      <c r="AI91" s="188"/>
      <c r="AJ91" s="118"/>
      <c r="AK91" s="120"/>
      <c r="AT91" s="30" t="str">
        <f>IFERROR(INDEX('G-6 Hedgerow Data'!$BJ$3:$BJ$15,MATCH(M91,'G-6 Hedgerow Data'!$B$3:$B$15,0)),"")</f>
        <v/>
      </c>
    </row>
    <row r="92" spans="2:46" ht="15">
      <c r="B92" s="392" t="str">
        <f>'B-1 On-Site Hedge Baseline'!AK90</f>
        <v/>
      </c>
      <c r="C92" s="382" t="str">
        <f>IF(B92="","",IF(ISNA(VLOOKUP($B92,'B-1 On-Site Hedge Baseline'!$B$1:$L$257,3,FALSE)),"",(VLOOKUP($B92,'B-1 On-Site Hedge Baseline'!$B$1:$L$257,3,FALSE))))</f>
        <v/>
      </c>
      <c r="D92" s="382" t="str">
        <f>IF(B92="","",IF(ISNA(VLOOKUP($B92,'B-1 On-Site Hedge Baseline'!$B$1:$L$257,4,FALSE)),"",(VLOOKUP($B92,'B-1 On-Site Hedge Baseline'!$B$1:$L$257,4,FALSE))))</f>
        <v/>
      </c>
      <c r="E92" s="382" t="str">
        <f>IF(B92="","",IF(ISNA(VLOOKUP($B92,'B-1 On-Site Hedge Baseline'!$B$1:$L$257,5,FALSE)),"",(VLOOKUP($B92,'B-1 On-Site Hedge Baseline'!$B$1:$L$257,5,FALSE))))</f>
        <v/>
      </c>
      <c r="F92" s="382" t="str">
        <f>IF(B92="","",IF(ISNA(VLOOKUP($B92,'B-1 On-Site Hedge Baseline'!$B$1:$L$257,6,FALSE)),"",(VLOOKUP($B92,'B-1 On-Site Hedge Baseline'!$B$1:$L$257,6,FALSE))))</f>
        <v/>
      </c>
      <c r="G92" s="382" t="str">
        <f>IF(B92="","",IF(ISNA(VLOOKUP($B92,'B-1 On-Site Hedge Baseline'!$B$1:$L$257,7,FALSE)),"",(VLOOKUP($B92,'B-1 On-Site Hedge Baseline'!$B$1:$L$257,7,FALSE))))</f>
        <v/>
      </c>
      <c r="H92" s="382" t="str">
        <f>IF(B92="","",IF(ISNA(VLOOKUP($B92,'B-1 On-Site Hedge Baseline'!$B$1:$L$257,8,FALSE)),"",(VLOOKUP($B92,'B-1 On-Site Hedge Baseline'!$B$1:$L$257,8,FALSE))))</f>
        <v/>
      </c>
      <c r="I92" s="382" t="str">
        <f>IF(B92="","",IF(ISNA(VLOOKUP($B92,'B-1 On-Site Hedge Baseline'!$B$1:$L$257,10,FALSE)),"",(VLOOKUP($B92,'B-1 On-Site Hedge Baseline'!$B$1:$L$257,10,FALSE))))</f>
        <v/>
      </c>
      <c r="J92" s="382" t="str">
        <f>IF(B92="","",IF(ISNA(VLOOKUP($B92,'B-1 On-Site Hedge Baseline'!$B$1:$L$257,11,FALSE)),"",(VLOOKUP($B92,'B-1 On-Site Hedge Baseline'!$B$1:$L$257,11,FALSE))))</f>
        <v/>
      </c>
      <c r="K92" s="382" t="str">
        <f>IF(B92="","",IF(ISNA(VLOOKUP($B92,'B-1 On-Site Hedge Baseline'!$B$1:$U$257,13,FALSE)),"",(VLOOKUP($B92,'B-1 On-Site Hedge Baseline'!$B$1:$U$257,13,FALSE))))</f>
        <v/>
      </c>
      <c r="L92" s="386" t="str">
        <f>IF(B92="","",IF(ISNA(VLOOKUP($B92,'B-1 On-Site Hedge Baseline'!$B$1:$U$257,12,FALSE)),"",(VLOOKUP($B92,'B-1 On-Site Hedge Baseline'!$B$1:$U$257,12,FALSE))))</f>
        <v/>
      </c>
      <c r="M92" s="315" t="str">
        <f t="shared" si="15"/>
        <v/>
      </c>
      <c r="N92" s="362" t="str">
        <f>IFERROR(IF(B92="","",INDEX('G-6 Hedgerow Data'!$AN$3:$AZ$15,MATCH(C92,'G-6 Hedgerow Data'!$AM$3:$AM$15,0),MATCH(M92,'G-6 Hedgerow Data'!$AN$2:$AZ$2,0))),"")</f>
        <v/>
      </c>
      <c r="O92" s="363" t="str">
        <f t="shared" si="10"/>
        <v/>
      </c>
      <c r="P92" s="417" t="str">
        <f>IF(B92="","",VLOOKUP(B92,'B-1 On-Site Hedge Baseline'!$B$10:T337,16,FALSE))</f>
        <v/>
      </c>
      <c r="Q92" s="362" t="str">
        <f>IF(M92="","",VLOOKUP(M92,'G-6 Hedgerow Data'!$B$2:$AG$15,2,FALSE))</f>
        <v/>
      </c>
      <c r="R92" s="363" t="str">
        <f>IF(M92="","",VLOOKUP(M92,'G-6 Hedgerow Data'!$B$2:$AG$15,3,FALSE))</f>
        <v/>
      </c>
      <c r="S92" s="125"/>
      <c r="T92" s="401" t="str">
        <f>IFERROR(VLOOKUP(S92,'G-1 All Habitats'!$Z$2:$AA$9,2,FALSE),"")</f>
        <v/>
      </c>
      <c r="U92" s="122"/>
      <c r="V92" s="382" t="str">
        <f>IF(U92="","",IF(VLOOKUP(U92,'G-3 Multipliers'!$L$3:$N$6,2,FALSE)=0,"Spatial Data Missing ⚠",VLOOKUP(U92,'G-3 Multipliers'!$L$3:$N$6,2,FALSE)))</f>
        <v/>
      </c>
      <c r="W92" s="386" t="str">
        <f>IF(U92="","",IF(VLOOKUP(U92,'G-3 Multipliers'!$L$3:$N$6,3,FALSE)=0,"Spatial Data Missing ⚠",VLOOKUP(U92,'G-3 Multipliers'!$L$3:$N$6,3,FALSE)))</f>
        <v/>
      </c>
      <c r="X92" s="362" t="str">
        <f>IFERROR(IF(OR(LEFT(O92,5)="Error",LEFT(N92,5)="Error",T92="Error"),"Check Data ⚠",IF(F92&lt;R92,INDEX('G-6 Hedgerow Data'!$S$3:$AE$14,MATCH(C92,'G-6 Hedgerow Data'!$B$3:$B$14,0),MATCH(M92,'G-6 Hedgerow Data'!$S$2:$AE$2,0)),INDEX('G-6 Hedgerow Data'!$K$3:$Q$14,MATCH(M92,'G-6 Hedgerow Data'!$B$3:$B$14,0),MATCH(O92,'G-6 Hedgerow Data'!$K$2:$Q$2,0)))),"")</f>
        <v/>
      </c>
      <c r="Y92" s="159"/>
      <c r="Z92" s="159"/>
      <c r="AA92" s="370" t="str">
        <f t="shared" si="11"/>
        <v/>
      </c>
      <c r="AB92" s="383" t="str">
        <f t="shared" si="12"/>
        <v/>
      </c>
      <c r="AC92" s="384" t="str">
        <f t="shared" si="8"/>
        <v/>
      </c>
      <c r="AD92" s="398" t="str">
        <f>IF(M92="","",VLOOKUP(M92,'G-6 Hedgerow Data'!$B$3:$AG$15,31,FALSE))</f>
        <v/>
      </c>
      <c r="AE92" s="370" t="str">
        <f t="shared" si="13"/>
        <v/>
      </c>
      <c r="AF92" s="370" t="str">
        <f t="shared" si="14"/>
        <v/>
      </c>
      <c r="AG92" s="386" t="str">
        <f>IFERROR(IF(O92="","",VLOOKUP(AD92,'G-3 Multipliers'!$P$3:$Q$6,2,FALSE)),"")</f>
        <v/>
      </c>
      <c r="AH92" s="376" t="str">
        <f t="shared" si="9"/>
        <v/>
      </c>
      <c r="AI92" s="188"/>
      <c r="AJ92" s="118"/>
      <c r="AK92" s="120"/>
      <c r="AT92" s="30" t="str">
        <f>IFERROR(INDEX('G-6 Hedgerow Data'!$BJ$3:$BJ$15,MATCH(M92,'G-6 Hedgerow Data'!$B$3:$B$15,0)),"")</f>
        <v/>
      </c>
    </row>
    <row r="93" spans="2:46" ht="15">
      <c r="B93" s="392" t="str">
        <f>'B-1 On-Site Hedge Baseline'!AK91</f>
        <v/>
      </c>
      <c r="C93" s="382" t="str">
        <f>IF(B93="","",IF(ISNA(VLOOKUP($B93,'B-1 On-Site Hedge Baseline'!$B$1:$L$257,3,FALSE)),"",(VLOOKUP($B93,'B-1 On-Site Hedge Baseline'!$B$1:$L$257,3,FALSE))))</f>
        <v/>
      </c>
      <c r="D93" s="382" t="str">
        <f>IF(B93="","",IF(ISNA(VLOOKUP($B93,'B-1 On-Site Hedge Baseline'!$B$1:$L$257,4,FALSE)),"",(VLOOKUP($B93,'B-1 On-Site Hedge Baseline'!$B$1:$L$257,4,FALSE))))</f>
        <v/>
      </c>
      <c r="E93" s="382" t="str">
        <f>IF(B93="","",IF(ISNA(VLOOKUP($B93,'B-1 On-Site Hedge Baseline'!$B$1:$L$257,5,FALSE)),"",(VLOOKUP($B93,'B-1 On-Site Hedge Baseline'!$B$1:$L$257,5,FALSE))))</f>
        <v/>
      </c>
      <c r="F93" s="382" t="str">
        <f>IF(B93="","",IF(ISNA(VLOOKUP($B93,'B-1 On-Site Hedge Baseline'!$B$1:$L$257,6,FALSE)),"",(VLOOKUP($B93,'B-1 On-Site Hedge Baseline'!$B$1:$L$257,6,FALSE))))</f>
        <v/>
      </c>
      <c r="G93" s="382" t="str">
        <f>IF(B93="","",IF(ISNA(VLOOKUP($B93,'B-1 On-Site Hedge Baseline'!$B$1:$L$257,7,FALSE)),"",(VLOOKUP($B93,'B-1 On-Site Hedge Baseline'!$B$1:$L$257,7,FALSE))))</f>
        <v/>
      </c>
      <c r="H93" s="382" t="str">
        <f>IF(B93="","",IF(ISNA(VLOOKUP($B93,'B-1 On-Site Hedge Baseline'!$B$1:$L$257,8,FALSE)),"",(VLOOKUP($B93,'B-1 On-Site Hedge Baseline'!$B$1:$L$257,8,FALSE))))</f>
        <v/>
      </c>
      <c r="I93" s="382" t="str">
        <f>IF(B93="","",IF(ISNA(VLOOKUP($B93,'B-1 On-Site Hedge Baseline'!$B$1:$L$257,10,FALSE)),"",(VLOOKUP($B93,'B-1 On-Site Hedge Baseline'!$B$1:$L$257,10,FALSE))))</f>
        <v/>
      </c>
      <c r="J93" s="382" t="str">
        <f>IF(B93="","",IF(ISNA(VLOOKUP($B93,'B-1 On-Site Hedge Baseline'!$B$1:$L$257,11,FALSE)),"",(VLOOKUP($B93,'B-1 On-Site Hedge Baseline'!$B$1:$L$257,11,FALSE))))</f>
        <v/>
      </c>
      <c r="K93" s="382" t="str">
        <f>IF(B93="","",IF(ISNA(VLOOKUP($B93,'B-1 On-Site Hedge Baseline'!$B$1:$U$257,13,FALSE)),"",(VLOOKUP($B93,'B-1 On-Site Hedge Baseline'!$B$1:$U$257,13,FALSE))))</f>
        <v/>
      </c>
      <c r="L93" s="386" t="str">
        <f>IF(B93="","",IF(ISNA(VLOOKUP($B93,'B-1 On-Site Hedge Baseline'!$B$1:$U$257,12,FALSE)),"",(VLOOKUP($B93,'B-1 On-Site Hedge Baseline'!$B$1:$U$257,12,FALSE))))</f>
        <v/>
      </c>
      <c r="M93" s="315" t="str">
        <f t="shared" si="15"/>
        <v/>
      </c>
      <c r="N93" s="362" t="str">
        <f>IFERROR(IF(B93="","",INDEX('G-6 Hedgerow Data'!$AN$3:$AZ$15,MATCH(C93,'G-6 Hedgerow Data'!$AM$3:$AM$15,0),MATCH(M93,'G-6 Hedgerow Data'!$AN$2:$AZ$2,0))),"")</f>
        <v/>
      </c>
      <c r="O93" s="363" t="str">
        <f t="shared" si="10"/>
        <v/>
      </c>
      <c r="P93" s="417" t="str">
        <f>IF(B93="","",VLOOKUP(B93,'B-1 On-Site Hedge Baseline'!$B$10:T338,16,FALSE))</f>
        <v/>
      </c>
      <c r="Q93" s="362" t="str">
        <f>IF(M93="","",VLOOKUP(M93,'G-6 Hedgerow Data'!$B$2:$AG$15,2,FALSE))</f>
        <v/>
      </c>
      <c r="R93" s="363" t="str">
        <f>IF(M93="","",VLOOKUP(M93,'G-6 Hedgerow Data'!$B$2:$AG$15,3,FALSE))</f>
        <v/>
      </c>
      <c r="S93" s="125"/>
      <c r="T93" s="401" t="str">
        <f>IFERROR(VLOOKUP(S93,'G-1 All Habitats'!$Z$2:$AA$9,2,FALSE),"")</f>
        <v/>
      </c>
      <c r="U93" s="122"/>
      <c r="V93" s="382" t="str">
        <f>IF(U93="","",IF(VLOOKUP(U93,'G-3 Multipliers'!$L$3:$N$6,2,FALSE)=0,"Spatial Data Missing ⚠",VLOOKUP(U93,'G-3 Multipliers'!$L$3:$N$6,2,FALSE)))</f>
        <v/>
      </c>
      <c r="W93" s="386" t="str">
        <f>IF(U93="","",IF(VLOOKUP(U93,'G-3 Multipliers'!$L$3:$N$6,3,FALSE)=0,"Spatial Data Missing ⚠",VLOOKUP(U93,'G-3 Multipliers'!$L$3:$N$6,3,FALSE)))</f>
        <v/>
      </c>
      <c r="X93" s="362" t="str">
        <f>IFERROR(IF(OR(LEFT(O93,5)="Error",LEFT(N93,5)="Error",T93="Error"),"Check Data ⚠",IF(F93&lt;R93,INDEX('G-6 Hedgerow Data'!$S$3:$AE$14,MATCH(C93,'G-6 Hedgerow Data'!$B$3:$B$14,0),MATCH(M93,'G-6 Hedgerow Data'!$S$2:$AE$2,0)),INDEX('G-6 Hedgerow Data'!$K$3:$Q$14,MATCH(M93,'G-6 Hedgerow Data'!$B$3:$B$14,0),MATCH(O93,'G-6 Hedgerow Data'!$K$2:$Q$2,0)))),"")</f>
        <v/>
      </c>
      <c r="Y93" s="159"/>
      <c r="Z93" s="159"/>
      <c r="AA93" s="370" t="str">
        <f t="shared" si="11"/>
        <v/>
      </c>
      <c r="AB93" s="383" t="str">
        <f t="shared" si="12"/>
        <v/>
      </c>
      <c r="AC93" s="384" t="str">
        <f t="shared" si="8"/>
        <v/>
      </c>
      <c r="AD93" s="398" t="str">
        <f>IF(M93="","",VLOOKUP(M93,'G-6 Hedgerow Data'!$B$3:$AG$15,31,FALSE))</f>
        <v/>
      </c>
      <c r="AE93" s="370" t="str">
        <f t="shared" si="13"/>
        <v/>
      </c>
      <c r="AF93" s="370" t="str">
        <f t="shared" si="14"/>
        <v/>
      </c>
      <c r="AG93" s="386" t="str">
        <f>IFERROR(IF(O93="","",VLOOKUP(AD93,'G-3 Multipliers'!$P$3:$Q$6,2,FALSE)),"")</f>
        <v/>
      </c>
      <c r="AH93" s="376" t="str">
        <f t="shared" si="9"/>
        <v/>
      </c>
      <c r="AI93" s="188"/>
      <c r="AJ93" s="118"/>
      <c r="AK93" s="120"/>
      <c r="AT93" s="30" t="str">
        <f>IFERROR(INDEX('G-6 Hedgerow Data'!$BJ$3:$BJ$15,MATCH(M93,'G-6 Hedgerow Data'!$B$3:$B$15,0)),"")</f>
        <v/>
      </c>
    </row>
    <row r="94" spans="2:46" ht="15">
      <c r="B94" s="392" t="str">
        <f>'B-1 On-Site Hedge Baseline'!AK92</f>
        <v/>
      </c>
      <c r="C94" s="382" t="str">
        <f>IF(B94="","",IF(ISNA(VLOOKUP($B94,'B-1 On-Site Hedge Baseline'!$B$1:$L$257,3,FALSE)),"",(VLOOKUP($B94,'B-1 On-Site Hedge Baseline'!$B$1:$L$257,3,FALSE))))</f>
        <v/>
      </c>
      <c r="D94" s="382" t="str">
        <f>IF(B94="","",IF(ISNA(VLOOKUP($B94,'B-1 On-Site Hedge Baseline'!$B$1:$L$257,4,FALSE)),"",(VLOOKUP($B94,'B-1 On-Site Hedge Baseline'!$B$1:$L$257,4,FALSE))))</f>
        <v/>
      </c>
      <c r="E94" s="382" t="str">
        <f>IF(B94="","",IF(ISNA(VLOOKUP($B94,'B-1 On-Site Hedge Baseline'!$B$1:$L$257,5,FALSE)),"",(VLOOKUP($B94,'B-1 On-Site Hedge Baseline'!$B$1:$L$257,5,FALSE))))</f>
        <v/>
      </c>
      <c r="F94" s="382" t="str">
        <f>IF(B94="","",IF(ISNA(VLOOKUP($B94,'B-1 On-Site Hedge Baseline'!$B$1:$L$257,6,FALSE)),"",(VLOOKUP($B94,'B-1 On-Site Hedge Baseline'!$B$1:$L$257,6,FALSE))))</f>
        <v/>
      </c>
      <c r="G94" s="382" t="str">
        <f>IF(B94="","",IF(ISNA(VLOOKUP($B94,'B-1 On-Site Hedge Baseline'!$B$1:$L$257,7,FALSE)),"",(VLOOKUP($B94,'B-1 On-Site Hedge Baseline'!$B$1:$L$257,7,FALSE))))</f>
        <v/>
      </c>
      <c r="H94" s="382" t="str">
        <f>IF(B94="","",IF(ISNA(VLOOKUP($B94,'B-1 On-Site Hedge Baseline'!$B$1:$L$257,8,FALSE)),"",(VLOOKUP($B94,'B-1 On-Site Hedge Baseline'!$B$1:$L$257,8,FALSE))))</f>
        <v/>
      </c>
      <c r="I94" s="382" t="str">
        <f>IF(B94="","",IF(ISNA(VLOOKUP($B94,'B-1 On-Site Hedge Baseline'!$B$1:$L$257,10,FALSE)),"",(VLOOKUP($B94,'B-1 On-Site Hedge Baseline'!$B$1:$L$257,10,FALSE))))</f>
        <v/>
      </c>
      <c r="J94" s="382" t="str">
        <f>IF(B94="","",IF(ISNA(VLOOKUP($B94,'B-1 On-Site Hedge Baseline'!$B$1:$L$257,11,FALSE)),"",(VLOOKUP($B94,'B-1 On-Site Hedge Baseline'!$B$1:$L$257,11,FALSE))))</f>
        <v/>
      </c>
      <c r="K94" s="382" t="str">
        <f>IF(B94="","",IF(ISNA(VLOOKUP($B94,'B-1 On-Site Hedge Baseline'!$B$1:$U$257,13,FALSE)),"",(VLOOKUP($B94,'B-1 On-Site Hedge Baseline'!$B$1:$U$257,13,FALSE))))</f>
        <v/>
      </c>
      <c r="L94" s="386" t="str">
        <f>IF(B94="","",IF(ISNA(VLOOKUP($B94,'B-1 On-Site Hedge Baseline'!$B$1:$U$257,12,FALSE)),"",(VLOOKUP($B94,'B-1 On-Site Hedge Baseline'!$B$1:$U$257,12,FALSE))))</f>
        <v/>
      </c>
      <c r="M94" s="315" t="str">
        <f t="shared" si="15"/>
        <v/>
      </c>
      <c r="N94" s="362" t="str">
        <f>IFERROR(IF(B94="","",INDEX('G-6 Hedgerow Data'!$AN$3:$AZ$15,MATCH(C94,'G-6 Hedgerow Data'!$AM$3:$AM$15,0),MATCH(M94,'G-6 Hedgerow Data'!$AN$2:$AZ$2,0))),"")</f>
        <v/>
      </c>
      <c r="O94" s="363" t="str">
        <f t="shared" si="10"/>
        <v/>
      </c>
      <c r="P94" s="417" t="str">
        <f>IF(B94="","",VLOOKUP(B94,'B-1 On-Site Hedge Baseline'!$B$10:T339,16,FALSE))</f>
        <v/>
      </c>
      <c r="Q94" s="362" t="str">
        <f>IF(M94="","",VLOOKUP(M94,'G-6 Hedgerow Data'!$B$2:$AG$15,2,FALSE))</f>
        <v/>
      </c>
      <c r="R94" s="363" t="str">
        <f>IF(M94="","",VLOOKUP(M94,'G-6 Hedgerow Data'!$B$2:$AG$15,3,FALSE))</f>
        <v/>
      </c>
      <c r="S94" s="125"/>
      <c r="T94" s="401" t="str">
        <f>IFERROR(VLOOKUP(S94,'G-1 All Habitats'!$Z$2:$AA$9,2,FALSE),"")</f>
        <v/>
      </c>
      <c r="U94" s="122"/>
      <c r="V94" s="382" t="str">
        <f>IF(U94="","",IF(VLOOKUP(U94,'G-3 Multipliers'!$L$3:$N$6,2,FALSE)=0,"Spatial Data Missing ⚠",VLOOKUP(U94,'G-3 Multipliers'!$L$3:$N$6,2,FALSE)))</f>
        <v/>
      </c>
      <c r="W94" s="386" t="str">
        <f>IF(U94="","",IF(VLOOKUP(U94,'G-3 Multipliers'!$L$3:$N$6,3,FALSE)=0,"Spatial Data Missing ⚠",VLOOKUP(U94,'G-3 Multipliers'!$L$3:$N$6,3,FALSE)))</f>
        <v/>
      </c>
      <c r="X94" s="362" t="str">
        <f>IFERROR(IF(OR(LEFT(O94,5)="Error",LEFT(N94,5)="Error",T94="Error"),"Check Data ⚠",IF(F94&lt;R94,INDEX('G-6 Hedgerow Data'!$S$3:$AE$14,MATCH(C94,'G-6 Hedgerow Data'!$B$3:$B$14,0),MATCH(M94,'G-6 Hedgerow Data'!$S$2:$AE$2,0)),INDEX('G-6 Hedgerow Data'!$K$3:$Q$14,MATCH(M94,'G-6 Hedgerow Data'!$B$3:$B$14,0),MATCH(O94,'G-6 Hedgerow Data'!$K$2:$Q$2,0)))),"")</f>
        <v/>
      </c>
      <c r="Y94" s="159"/>
      <c r="Z94" s="159"/>
      <c r="AA94" s="370" t="str">
        <f t="shared" si="11"/>
        <v/>
      </c>
      <c r="AB94" s="383" t="str">
        <f t="shared" si="12"/>
        <v/>
      </c>
      <c r="AC94" s="384" t="str">
        <f t="shared" si="8"/>
        <v/>
      </c>
      <c r="AD94" s="398" t="str">
        <f>IF(M94="","",VLOOKUP(M94,'G-6 Hedgerow Data'!$B$3:$AG$15,31,FALSE))</f>
        <v/>
      </c>
      <c r="AE94" s="370" t="str">
        <f t="shared" si="13"/>
        <v/>
      </c>
      <c r="AF94" s="370" t="str">
        <f t="shared" si="14"/>
        <v/>
      </c>
      <c r="AG94" s="386" t="str">
        <f>IFERROR(IF(O94="","",VLOOKUP(AD94,'G-3 Multipliers'!$P$3:$Q$6,2,FALSE)),"")</f>
        <v/>
      </c>
      <c r="AH94" s="376" t="str">
        <f t="shared" si="9"/>
        <v/>
      </c>
      <c r="AI94" s="188"/>
      <c r="AJ94" s="118"/>
      <c r="AK94" s="120"/>
      <c r="AT94" s="30" t="str">
        <f>IFERROR(INDEX('G-6 Hedgerow Data'!$BJ$3:$BJ$15,MATCH(M94,'G-6 Hedgerow Data'!$B$3:$B$15,0)),"")</f>
        <v/>
      </c>
    </row>
    <row r="95" spans="2:46" ht="15">
      <c r="B95" s="392" t="str">
        <f>'B-1 On-Site Hedge Baseline'!AK93</f>
        <v/>
      </c>
      <c r="C95" s="382" t="str">
        <f>IF(B95="","",IF(ISNA(VLOOKUP($B95,'B-1 On-Site Hedge Baseline'!$B$1:$L$257,3,FALSE)),"",(VLOOKUP($B95,'B-1 On-Site Hedge Baseline'!$B$1:$L$257,3,FALSE))))</f>
        <v/>
      </c>
      <c r="D95" s="382" t="str">
        <f>IF(B95="","",IF(ISNA(VLOOKUP($B95,'B-1 On-Site Hedge Baseline'!$B$1:$L$257,4,FALSE)),"",(VLOOKUP($B95,'B-1 On-Site Hedge Baseline'!$B$1:$L$257,4,FALSE))))</f>
        <v/>
      </c>
      <c r="E95" s="382" t="str">
        <f>IF(B95="","",IF(ISNA(VLOOKUP($B95,'B-1 On-Site Hedge Baseline'!$B$1:$L$257,5,FALSE)),"",(VLOOKUP($B95,'B-1 On-Site Hedge Baseline'!$B$1:$L$257,5,FALSE))))</f>
        <v/>
      </c>
      <c r="F95" s="382" t="str">
        <f>IF(B95="","",IF(ISNA(VLOOKUP($B95,'B-1 On-Site Hedge Baseline'!$B$1:$L$257,6,FALSE)),"",(VLOOKUP($B95,'B-1 On-Site Hedge Baseline'!$B$1:$L$257,6,FALSE))))</f>
        <v/>
      </c>
      <c r="G95" s="382" t="str">
        <f>IF(B95="","",IF(ISNA(VLOOKUP($B95,'B-1 On-Site Hedge Baseline'!$B$1:$L$257,7,FALSE)),"",(VLOOKUP($B95,'B-1 On-Site Hedge Baseline'!$B$1:$L$257,7,FALSE))))</f>
        <v/>
      </c>
      <c r="H95" s="382" t="str">
        <f>IF(B95="","",IF(ISNA(VLOOKUP($B95,'B-1 On-Site Hedge Baseline'!$B$1:$L$257,8,FALSE)),"",(VLOOKUP($B95,'B-1 On-Site Hedge Baseline'!$B$1:$L$257,8,FALSE))))</f>
        <v/>
      </c>
      <c r="I95" s="382" t="str">
        <f>IF(B95="","",IF(ISNA(VLOOKUP($B95,'B-1 On-Site Hedge Baseline'!$B$1:$L$257,10,FALSE)),"",(VLOOKUP($B95,'B-1 On-Site Hedge Baseline'!$B$1:$L$257,10,FALSE))))</f>
        <v/>
      </c>
      <c r="J95" s="382" t="str">
        <f>IF(B95="","",IF(ISNA(VLOOKUP($B95,'B-1 On-Site Hedge Baseline'!$B$1:$L$257,11,FALSE)),"",(VLOOKUP($B95,'B-1 On-Site Hedge Baseline'!$B$1:$L$257,11,FALSE))))</f>
        <v/>
      </c>
      <c r="K95" s="382" t="str">
        <f>IF(B95="","",IF(ISNA(VLOOKUP($B95,'B-1 On-Site Hedge Baseline'!$B$1:$U$257,13,FALSE)),"",(VLOOKUP($B95,'B-1 On-Site Hedge Baseline'!$B$1:$U$257,13,FALSE))))</f>
        <v/>
      </c>
      <c r="L95" s="386" t="str">
        <f>IF(B95="","",IF(ISNA(VLOOKUP($B95,'B-1 On-Site Hedge Baseline'!$B$1:$U$257,12,FALSE)),"",(VLOOKUP($B95,'B-1 On-Site Hedge Baseline'!$B$1:$U$257,12,FALSE))))</f>
        <v/>
      </c>
      <c r="M95" s="315" t="str">
        <f t="shared" si="15"/>
        <v/>
      </c>
      <c r="N95" s="362" t="str">
        <f>IFERROR(IF(B95="","",INDEX('G-6 Hedgerow Data'!$AN$3:$AZ$15,MATCH(C95,'G-6 Hedgerow Data'!$AM$3:$AM$15,0),MATCH(M95,'G-6 Hedgerow Data'!$AN$2:$AZ$2,0))),"")</f>
        <v/>
      </c>
      <c r="O95" s="363" t="str">
        <f t="shared" si="10"/>
        <v/>
      </c>
      <c r="P95" s="417" t="str">
        <f>IF(B95="","",VLOOKUP(B95,'B-1 On-Site Hedge Baseline'!$B$10:T340,16,FALSE))</f>
        <v/>
      </c>
      <c r="Q95" s="362" t="str">
        <f>IF(M95="","",VLOOKUP(M95,'G-6 Hedgerow Data'!$B$2:$AG$15,2,FALSE))</f>
        <v/>
      </c>
      <c r="R95" s="363" t="str">
        <f>IF(M95="","",VLOOKUP(M95,'G-6 Hedgerow Data'!$B$2:$AG$15,3,FALSE))</f>
        <v/>
      </c>
      <c r="S95" s="125"/>
      <c r="T95" s="401" t="str">
        <f>IFERROR(VLOOKUP(S95,'G-1 All Habitats'!$Z$2:$AA$9,2,FALSE),"")</f>
        <v/>
      </c>
      <c r="U95" s="122"/>
      <c r="V95" s="382" t="str">
        <f>IF(U95="","",IF(VLOOKUP(U95,'G-3 Multipliers'!$L$3:$N$6,2,FALSE)=0,"Spatial Data Missing ⚠",VLOOKUP(U95,'G-3 Multipliers'!$L$3:$N$6,2,FALSE)))</f>
        <v/>
      </c>
      <c r="W95" s="386" t="str">
        <f>IF(U95="","",IF(VLOOKUP(U95,'G-3 Multipliers'!$L$3:$N$6,3,FALSE)=0,"Spatial Data Missing ⚠",VLOOKUP(U95,'G-3 Multipliers'!$L$3:$N$6,3,FALSE)))</f>
        <v/>
      </c>
      <c r="X95" s="362" t="str">
        <f>IFERROR(IF(OR(LEFT(O95,5)="Error",LEFT(N95,5)="Error",T95="Error"),"Check Data ⚠",IF(F95&lt;R95,INDEX('G-6 Hedgerow Data'!$S$3:$AE$14,MATCH(C95,'G-6 Hedgerow Data'!$B$3:$B$14,0),MATCH(M95,'G-6 Hedgerow Data'!$S$2:$AE$2,0)),INDEX('G-6 Hedgerow Data'!$K$3:$Q$14,MATCH(M95,'G-6 Hedgerow Data'!$B$3:$B$14,0),MATCH(O95,'G-6 Hedgerow Data'!$K$2:$Q$2,0)))),"")</f>
        <v/>
      </c>
      <c r="Y95" s="159"/>
      <c r="Z95" s="159"/>
      <c r="AA95" s="370" t="str">
        <f t="shared" si="11"/>
        <v/>
      </c>
      <c r="AB95" s="383" t="str">
        <f t="shared" si="12"/>
        <v/>
      </c>
      <c r="AC95" s="384" t="str">
        <f t="shared" si="8"/>
        <v/>
      </c>
      <c r="AD95" s="398" t="str">
        <f>IF(M95="","",VLOOKUP(M95,'G-6 Hedgerow Data'!$B$3:$AG$15,31,FALSE))</f>
        <v/>
      </c>
      <c r="AE95" s="370" t="str">
        <f t="shared" si="13"/>
        <v/>
      </c>
      <c r="AF95" s="370" t="str">
        <f t="shared" si="14"/>
        <v/>
      </c>
      <c r="AG95" s="386" t="str">
        <f>IFERROR(IF(O95="","",VLOOKUP(AD95,'G-3 Multipliers'!$P$3:$Q$6,2,FALSE)),"")</f>
        <v/>
      </c>
      <c r="AH95" s="376" t="str">
        <f t="shared" si="9"/>
        <v/>
      </c>
      <c r="AI95" s="188"/>
      <c r="AJ95" s="118"/>
      <c r="AK95" s="120"/>
      <c r="AT95" s="30" t="str">
        <f>IFERROR(INDEX('G-6 Hedgerow Data'!$BJ$3:$BJ$15,MATCH(M95,'G-6 Hedgerow Data'!$B$3:$B$15,0)),"")</f>
        <v/>
      </c>
    </row>
    <row r="96" spans="2:46" ht="15">
      <c r="B96" s="392" t="str">
        <f>'B-1 On-Site Hedge Baseline'!AK94</f>
        <v/>
      </c>
      <c r="C96" s="382" t="str">
        <f>IF(B96="","",IF(ISNA(VLOOKUP($B96,'B-1 On-Site Hedge Baseline'!$B$1:$L$257,3,FALSE)),"",(VLOOKUP($B96,'B-1 On-Site Hedge Baseline'!$B$1:$L$257,3,FALSE))))</f>
        <v/>
      </c>
      <c r="D96" s="382" t="str">
        <f>IF(B96="","",IF(ISNA(VLOOKUP($B96,'B-1 On-Site Hedge Baseline'!$B$1:$L$257,4,FALSE)),"",(VLOOKUP($B96,'B-1 On-Site Hedge Baseline'!$B$1:$L$257,4,FALSE))))</f>
        <v/>
      </c>
      <c r="E96" s="382" t="str">
        <f>IF(B96="","",IF(ISNA(VLOOKUP($B96,'B-1 On-Site Hedge Baseline'!$B$1:$L$257,5,FALSE)),"",(VLOOKUP($B96,'B-1 On-Site Hedge Baseline'!$B$1:$L$257,5,FALSE))))</f>
        <v/>
      </c>
      <c r="F96" s="382" t="str">
        <f>IF(B96="","",IF(ISNA(VLOOKUP($B96,'B-1 On-Site Hedge Baseline'!$B$1:$L$257,6,FALSE)),"",(VLOOKUP($B96,'B-1 On-Site Hedge Baseline'!$B$1:$L$257,6,FALSE))))</f>
        <v/>
      </c>
      <c r="G96" s="382" t="str">
        <f>IF(B96="","",IF(ISNA(VLOOKUP($B96,'B-1 On-Site Hedge Baseline'!$B$1:$L$257,7,FALSE)),"",(VLOOKUP($B96,'B-1 On-Site Hedge Baseline'!$B$1:$L$257,7,FALSE))))</f>
        <v/>
      </c>
      <c r="H96" s="382" t="str">
        <f>IF(B96="","",IF(ISNA(VLOOKUP($B96,'B-1 On-Site Hedge Baseline'!$B$1:$L$257,8,FALSE)),"",(VLOOKUP($B96,'B-1 On-Site Hedge Baseline'!$B$1:$L$257,8,FALSE))))</f>
        <v/>
      </c>
      <c r="I96" s="382" t="str">
        <f>IF(B96="","",IF(ISNA(VLOOKUP($B96,'B-1 On-Site Hedge Baseline'!$B$1:$L$257,10,FALSE)),"",(VLOOKUP($B96,'B-1 On-Site Hedge Baseline'!$B$1:$L$257,10,FALSE))))</f>
        <v/>
      </c>
      <c r="J96" s="382" t="str">
        <f>IF(B96="","",IF(ISNA(VLOOKUP($B96,'B-1 On-Site Hedge Baseline'!$B$1:$L$257,11,FALSE)),"",(VLOOKUP($B96,'B-1 On-Site Hedge Baseline'!$B$1:$L$257,11,FALSE))))</f>
        <v/>
      </c>
      <c r="K96" s="382" t="str">
        <f>IF(B96="","",IF(ISNA(VLOOKUP($B96,'B-1 On-Site Hedge Baseline'!$B$1:$U$257,13,FALSE)),"",(VLOOKUP($B96,'B-1 On-Site Hedge Baseline'!$B$1:$U$257,13,FALSE))))</f>
        <v/>
      </c>
      <c r="L96" s="386" t="str">
        <f>IF(B96="","",IF(ISNA(VLOOKUP($B96,'B-1 On-Site Hedge Baseline'!$B$1:$U$257,12,FALSE)),"",(VLOOKUP($B96,'B-1 On-Site Hedge Baseline'!$B$1:$U$257,12,FALSE))))</f>
        <v/>
      </c>
      <c r="M96" s="315" t="str">
        <f t="shared" si="15"/>
        <v/>
      </c>
      <c r="N96" s="362" t="str">
        <f>IFERROR(IF(B96="","",INDEX('G-6 Hedgerow Data'!$AN$3:$AZ$15,MATCH(C96,'G-6 Hedgerow Data'!$AM$3:$AM$15,0),MATCH(M96,'G-6 Hedgerow Data'!$AN$2:$AZ$2,0))),"")</f>
        <v/>
      </c>
      <c r="O96" s="363" t="str">
        <f t="shared" si="10"/>
        <v/>
      </c>
      <c r="P96" s="417" t="str">
        <f>IF(B96="","",VLOOKUP(B96,'B-1 On-Site Hedge Baseline'!$B$10:T341,16,FALSE))</f>
        <v/>
      </c>
      <c r="Q96" s="362" t="str">
        <f>IF(M96="","",VLOOKUP(M96,'G-6 Hedgerow Data'!$B$2:$AG$15,2,FALSE))</f>
        <v/>
      </c>
      <c r="R96" s="363" t="str">
        <f>IF(M96="","",VLOOKUP(M96,'G-6 Hedgerow Data'!$B$2:$AG$15,3,FALSE))</f>
        <v/>
      </c>
      <c r="S96" s="125"/>
      <c r="T96" s="401" t="str">
        <f>IFERROR(VLOOKUP(S96,'G-1 All Habitats'!$Z$2:$AA$9,2,FALSE),"")</f>
        <v/>
      </c>
      <c r="U96" s="122"/>
      <c r="V96" s="382" t="str">
        <f>IF(U96="","",IF(VLOOKUP(U96,'G-3 Multipliers'!$L$3:$N$6,2,FALSE)=0,"Spatial Data Missing ⚠",VLOOKUP(U96,'G-3 Multipliers'!$L$3:$N$6,2,FALSE)))</f>
        <v/>
      </c>
      <c r="W96" s="386" t="str">
        <f>IF(U96="","",IF(VLOOKUP(U96,'G-3 Multipliers'!$L$3:$N$6,3,FALSE)=0,"Spatial Data Missing ⚠",VLOOKUP(U96,'G-3 Multipliers'!$L$3:$N$6,3,FALSE)))</f>
        <v/>
      </c>
      <c r="X96" s="362" t="str">
        <f>IFERROR(IF(OR(LEFT(O96,5)="Error",LEFT(N96,5)="Error",T96="Error"),"Check Data ⚠",IF(F96&lt;R96,INDEX('G-6 Hedgerow Data'!$S$3:$AE$14,MATCH(C96,'G-6 Hedgerow Data'!$B$3:$B$14,0),MATCH(M96,'G-6 Hedgerow Data'!$S$2:$AE$2,0)),INDEX('G-6 Hedgerow Data'!$K$3:$Q$14,MATCH(M96,'G-6 Hedgerow Data'!$B$3:$B$14,0),MATCH(O96,'G-6 Hedgerow Data'!$K$2:$Q$2,0)))),"")</f>
        <v/>
      </c>
      <c r="Y96" s="159"/>
      <c r="Z96" s="159"/>
      <c r="AA96" s="370" t="str">
        <f t="shared" si="11"/>
        <v/>
      </c>
      <c r="AB96" s="383" t="str">
        <f t="shared" si="12"/>
        <v/>
      </c>
      <c r="AC96" s="384" t="str">
        <f t="shared" si="8"/>
        <v/>
      </c>
      <c r="AD96" s="398" t="str">
        <f>IF(M96="","",VLOOKUP(M96,'G-6 Hedgerow Data'!$B$3:$AG$15,31,FALSE))</f>
        <v/>
      </c>
      <c r="AE96" s="370" t="str">
        <f t="shared" si="13"/>
        <v/>
      </c>
      <c r="AF96" s="370" t="str">
        <f t="shared" si="14"/>
        <v/>
      </c>
      <c r="AG96" s="386" t="str">
        <f>IFERROR(IF(O96="","",VLOOKUP(AD96,'G-3 Multipliers'!$P$3:$Q$6,2,FALSE)),"")</f>
        <v/>
      </c>
      <c r="AH96" s="376" t="str">
        <f t="shared" si="9"/>
        <v/>
      </c>
      <c r="AI96" s="188"/>
      <c r="AJ96" s="118"/>
      <c r="AK96" s="120"/>
      <c r="AT96" s="30" t="str">
        <f>IFERROR(INDEX('G-6 Hedgerow Data'!$BJ$3:$BJ$15,MATCH(M96,'G-6 Hedgerow Data'!$B$3:$B$15,0)),"")</f>
        <v/>
      </c>
    </row>
    <row r="97" spans="2:46" ht="15">
      <c r="B97" s="392" t="str">
        <f>'B-1 On-Site Hedge Baseline'!AK95</f>
        <v/>
      </c>
      <c r="C97" s="382" t="str">
        <f>IF(B97="","",IF(ISNA(VLOOKUP($B97,'B-1 On-Site Hedge Baseline'!$B$1:$L$257,3,FALSE)),"",(VLOOKUP($B97,'B-1 On-Site Hedge Baseline'!$B$1:$L$257,3,FALSE))))</f>
        <v/>
      </c>
      <c r="D97" s="382" t="str">
        <f>IF(B97="","",IF(ISNA(VLOOKUP($B97,'B-1 On-Site Hedge Baseline'!$B$1:$L$257,4,FALSE)),"",(VLOOKUP($B97,'B-1 On-Site Hedge Baseline'!$B$1:$L$257,4,FALSE))))</f>
        <v/>
      </c>
      <c r="E97" s="382" t="str">
        <f>IF(B97="","",IF(ISNA(VLOOKUP($B97,'B-1 On-Site Hedge Baseline'!$B$1:$L$257,5,FALSE)),"",(VLOOKUP($B97,'B-1 On-Site Hedge Baseline'!$B$1:$L$257,5,FALSE))))</f>
        <v/>
      </c>
      <c r="F97" s="382" t="str">
        <f>IF(B97="","",IF(ISNA(VLOOKUP($B97,'B-1 On-Site Hedge Baseline'!$B$1:$L$257,6,FALSE)),"",(VLOOKUP($B97,'B-1 On-Site Hedge Baseline'!$B$1:$L$257,6,FALSE))))</f>
        <v/>
      </c>
      <c r="G97" s="382" t="str">
        <f>IF(B97="","",IF(ISNA(VLOOKUP($B97,'B-1 On-Site Hedge Baseline'!$B$1:$L$257,7,FALSE)),"",(VLOOKUP($B97,'B-1 On-Site Hedge Baseline'!$B$1:$L$257,7,FALSE))))</f>
        <v/>
      </c>
      <c r="H97" s="382" t="str">
        <f>IF(B97="","",IF(ISNA(VLOOKUP($B97,'B-1 On-Site Hedge Baseline'!$B$1:$L$257,8,FALSE)),"",(VLOOKUP($B97,'B-1 On-Site Hedge Baseline'!$B$1:$L$257,8,FALSE))))</f>
        <v/>
      </c>
      <c r="I97" s="382" t="str">
        <f>IF(B97="","",IF(ISNA(VLOOKUP($B97,'B-1 On-Site Hedge Baseline'!$B$1:$L$257,10,FALSE)),"",(VLOOKUP($B97,'B-1 On-Site Hedge Baseline'!$B$1:$L$257,10,FALSE))))</f>
        <v/>
      </c>
      <c r="J97" s="382" t="str">
        <f>IF(B97="","",IF(ISNA(VLOOKUP($B97,'B-1 On-Site Hedge Baseline'!$B$1:$L$257,11,FALSE)),"",(VLOOKUP($B97,'B-1 On-Site Hedge Baseline'!$B$1:$L$257,11,FALSE))))</f>
        <v/>
      </c>
      <c r="K97" s="382" t="str">
        <f>IF(B97="","",IF(ISNA(VLOOKUP($B97,'B-1 On-Site Hedge Baseline'!$B$1:$U$257,13,FALSE)),"",(VLOOKUP($B97,'B-1 On-Site Hedge Baseline'!$B$1:$U$257,13,FALSE))))</f>
        <v/>
      </c>
      <c r="L97" s="386" t="str">
        <f>IF(B97="","",IF(ISNA(VLOOKUP($B97,'B-1 On-Site Hedge Baseline'!$B$1:$U$257,12,FALSE)),"",(VLOOKUP($B97,'B-1 On-Site Hedge Baseline'!$B$1:$U$257,12,FALSE))))</f>
        <v/>
      </c>
      <c r="M97" s="315" t="str">
        <f t="shared" si="15"/>
        <v/>
      </c>
      <c r="N97" s="362" t="str">
        <f>IFERROR(IF(B97="","",INDEX('G-6 Hedgerow Data'!$AN$3:$AZ$15,MATCH(C97,'G-6 Hedgerow Data'!$AM$3:$AM$15,0),MATCH(M97,'G-6 Hedgerow Data'!$AN$2:$AZ$2,0))),"")</f>
        <v/>
      </c>
      <c r="O97" s="363" t="str">
        <f t="shared" si="10"/>
        <v/>
      </c>
      <c r="P97" s="417" t="str">
        <f>IF(B97="","",VLOOKUP(B97,'B-1 On-Site Hedge Baseline'!$B$10:T342,16,FALSE))</f>
        <v/>
      </c>
      <c r="Q97" s="362" t="str">
        <f>IF(M97="","",VLOOKUP(M97,'G-6 Hedgerow Data'!$B$2:$AG$15,2,FALSE))</f>
        <v/>
      </c>
      <c r="R97" s="363" t="str">
        <f>IF(M97="","",VLOOKUP(M97,'G-6 Hedgerow Data'!$B$2:$AG$15,3,FALSE))</f>
        <v/>
      </c>
      <c r="S97" s="125"/>
      <c r="T97" s="401" t="str">
        <f>IFERROR(VLOOKUP(S97,'G-1 All Habitats'!$Z$2:$AA$9,2,FALSE),"")</f>
        <v/>
      </c>
      <c r="U97" s="122"/>
      <c r="V97" s="382" t="str">
        <f>IF(U97="","",IF(VLOOKUP(U97,'G-3 Multipliers'!$L$3:$N$6,2,FALSE)=0,"Spatial Data Missing ⚠",VLOOKUP(U97,'G-3 Multipliers'!$L$3:$N$6,2,FALSE)))</f>
        <v/>
      </c>
      <c r="W97" s="386" t="str">
        <f>IF(U97="","",IF(VLOOKUP(U97,'G-3 Multipliers'!$L$3:$N$6,3,FALSE)=0,"Spatial Data Missing ⚠",VLOOKUP(U97,'G-3 Multipliers'!$L$3:$N$6,3,FALSE)))</f>
        <v/>
      </c>
      <c r="X97" s="362" t="str">
        <f>IFERROR(IF(OR(LEFT(O97,5)="Error",LEFT(N97,5)="Error",T97="Error"),"Check Data ⚠",IF(F97&lt;R97,INDEX('G-6 Hedgerow Data'!$S$3:$AE$14,MATCH(C97,'G-6 Hedgerow Data'!$B$3:$B$14,0),MATCH(M97,'G-6 Hedgerow Data'!$S$2:$AE$2,0)),INDEX('G-6 Hedgerow Data'!$K$3:$Q$14,MATCH(M97,'G-6 Hedgerow Data'!$B$3:$B$14,0),MATCH(O97,'G-6 Hedgerow Data'!$K$2:$Q$2,0)))),"")</f>
        <v/>
      </c>
      <c r="Y97" s="159"/>
      <c r="Z97" s="159"/>
      <c r="AA97" s="370" t="str">
        <f t="shared" si="11"/>
        <v/>
      </c>
      <c r="AB97" s="383" t="str">
        <f t="shared" si="12"/>
        <v/>
      </c>
      <c r="AC97" s="384" t="str">
        <f t="shared" si="8"/>
        <v/>
      </c>
      <c r="AD97" s="398" t="str">
        <f>IF(M97="","",VLOOKUP(M97,'G-6 Hedgerow Data'!$B$3:$AG$15,31,FALSE))</f>
        <v/>
      </c>
      <c r="AE97" s="370" t="str">
        <f t="shared" si="13"/>
        <v/>
      </c>
      <c r="AF97" s="370" t="str">
        <f t="shared" si="14"/>
        <v/>
      </c>
      <c r="AG97" s="386" t="str">
        <f>IFERROR(IF(O97="","",VLOOKUP(AD97,'G-3 Multipliers'!$P$3:$Q$6,2,FALSE)),"")</f>
        <v/>
      </c>
      <c r="AH97" s="376" t="str">
        <f t="shared" si="9"/>
        <v/>
      </c>
      <c r="AI97" s="188"/>
      <c r="AJ97" s="118"/>
      <c r="AK97" s="120"/>
      <c r="AT97" s="30" t="str">
        <f>IFERROR(INDEX('G-6 Hedgerow Data'!$BJ$3:$BJ$15,MATCH(M97,'G-6 Hedgerow Data'!$B$3:$B$15,0)),"")</f>
        <v/>
      </c>
    </row>
    <row r="98" spans="2:46" ht="15">
      <c r="B98" s="392" t="str">
        <f>'B-1 On-Site Hedge Baseline'!AK96</f>
        <v/>
      </c>
      <c r="C98" s="382" t="str">
        <f>IF(B98="","",IF(ISNA(VLOOKUP($B98,'B-1 On-Site Hedge Baseline'!$B$1:$L$257,3,FALSE)),"",(VLOOKUP($B98,'B-1 On-Site Hedge Baseline'!$B$1:$L$257,3,FALSE))))</f>
        <v/>
      </c>
      <c r="D98" s="382" t="str">
        <f>IF(B98="","",IF(ISNA(VLOOKUP($B98,'B-1 On-Site Hedge Baseline'!$B$1:$L$257,4,FALSE)),"",(VLOOKUP($B98,'B-1 On-Site Hedge Baseline'!$B$1:$L$257,4,FALSE))))</f>
        <v/>
      </c>
      <c r="E98" s="382" t="str">
        <f>IF(B98="","",IF(ISNA(VLOOKUP($B98,'B-1 On-Site Hedge Baseline'!$B$1:$L$257,5,FALSE)),"",(VLOOKUP($B98,'B-1 On-Site Hedge Baseline'!$B$1:$L$257,5,FALSE))))</f>
        <v/>
      </c>
      <c r="F98" s="382" t="str">
        <f>IF(B98="","",IF(ISNA(VLOOKUP($B98,'B-1 On-Site Hedge Baseline'!$B$1:$L$257,6,FALSE)),"",(VLOOKUP($B98,'B-1 On-Site Hedge Baseline'!$B$1:$L$257,6,FALSE))))</f>
        <v/>
      </c>
      <c r="G98" s="382" t="str">
        <f>IF(B98="","",IF(ISNA(VLOOKUP($B98,'B-1 On-Site Hedge Baseline'!$B$1:$L$257,7,FALSE)),"",(VLOOKUP($B98,'B-1 On-Site Hedge Baseline'!$B$1:$L$257,7,FALSE))))</f>
        <v/>
      </c>
      <c r="H98" s="382" t="str">
        <f>IF(B98="","",IF(ISNA(VLOOKUP($B98,'B-1 On-Site Hedge Baseline'!$B$1:$L$257,8,FALSE)),"",(VLOOKUP($B98,'B-1 On-Site Hedge Baseline'!$B$1:$L$257,8,FALSE))))</f>
        <v/>
      </c>
      <c r="I98" s="382" t="str">
        <f>IF(B98="","",IF(ISNA(VLOOKUP($B98,'B-1 On-Site Hedge Baseline'!$B$1:$L$257,10,FALSE)),"",(VLOOKUP($B98,'B-1 On-Site Hedge Baseline'!$B$1:$L$257,10,FALSE))))</f>
        <v/>
      </c>
      <c r="J98" s="382" t="str">
        <f>IF(B98="","",IF(ISNA(VLOOKUP($B98,'B-1 On-Site Hedge Baseline'!$B$1:$L$257,11,FALSE)),"",(VLOOKUP($B98,'B-1 On-Site Hedge Baseline'!$B$1:$L$257,11,FALSE))))</f>
        <v/>
      </c>
      <c r="K98" s="382" t="str">
        <f>IF(B98="","",IF(ISNA(VLOOKUP($B98,'B-1 On-Site Hedge Baseline'!$B$1:$U$257,13,FALSE)),"",(VLOOKUP($B98,'B-1 On-Site Hedge Baseline'!$B$1:$U$257,13,FALSE))))</f>
        <v/>
      </c>
      <c r="L98" s="386" t="str">
        <f>IF(B98="","",IF(ISNA(VLOOKUP($B98,'B-1 On-Site Hedge Baseline'!$B$1:$U$257,12,FALSE)),"",(VLOOKUP($B98,'B-1 On-Site Hedge Baseline'!$B$1:$U$257,12,FALSE))))</f>
        <v/>
      </c>
      <c r="M98" s="315" t="str">
        <f t="shared" si="15"/>
        <v/>
      </c>
      <c r="N98" s="362" t="str">
        <f>IFERROR(IF(B98="","",INDEX('G-6 Hedgerow Data'!$AN$3:$AZ$15,MATCH(C98,'G-6 Hedgerow Data'!$AM$3:$AM$15,0),MATCH(M98,'G-6 Hedgerow Data'!$AN$2:$AZ$2,0))),"")</f>
        <v/>
      </c>
      <c r="O98" s="363" t="str">
        <f t="shared" si="10"/>
        <v/>
      </c>
      <c r="P98" s="417" t="str">
        <f>IF(B98="","",VLOOKUP(B98,'B-1 On-Site Hedge Baseline'!$B$10:T343,16,FALSE))</f>
        <v/>
      </c>
      <c r="Q98" s="362" t="str">
        <f>IF(M98="","",VLOOKUP(M98,'G-6 Hedgerow Data'!$B$2:$AG$15,2,FALSE))</f>
        <v/>
      </c>
      <c r="R98" s="363" t="str">
        <f>IF(M98="","",VLOOKUP(M98,'G-6 Hedgerow Data'!$B$2:$AG$15,3,FALSE))</f>
        <v/>
      </c>
      <c r="S98" s="125"/>
      <c r="T98" s="401" t="str">
        <f>IFERROR(VLOOKUP(S98,'G-1 All Habitats'!$Z$2:$AA$9,2,FALSE),"")</f>
        <v/>
      </c>
      <c r="U98" s="122"/>
      <c r="V98" s="382" t="str">
        <f>IF(U98="","",IF(VLOOKUP(U98,'G-3 Multipliers'!$L$3:$N$6,2,FALSE)=0,"Spatial Data Missing ⚠",VLOOKUP(U98,'G-3 Multipliers'!$L$3:$N$6,2,FALSE)))</f>
        <v/>
      </c>
      <c r="W98" s="386" t="str">
        <f>IF(U98="","",IF(VLOOKUP(U98,'G-3 Multipliers'!$L$3:$N$6,3,FALSE)=0,"Spatial Data Missing ⚠",VLOOKUP(U98,'G-3 Multipliers'!$L$3:$N$6,3,FALSE)))</f>
        <v/>
      </c>
      <c r="X98" s="362" t="str">
        <f>IFERROR(IF(OR(LEFT(O98,5)="Error",LEFT(N98,5)="Error",T98="Error"),"Check Data ⚠",IF(F98&lt;R98,INDEX('G-6 Hedgerow Data'!$S$3:$AE$14,MATCH(C98,'G-6 Hedgerow Data'!$B$3:$B$14,0),MATCH(M98,'G-6 Hedgerow Data'!$S$2:$AE$2,0)),INDEX('G-6 Hedgerow Data'!$K$3:$Q$14,MATCH(M98,'G-6 Hedgerow Data'!$B$3:$B$14,0),MATCH(O98,'G-6 Hedgerow Data'!$K$2:$Q$2,0)))),"")</f>
        <v/>
      </c>
      <c r="Y98" s="159"/>
      <c r="Z98" s="159"/>
      <c r="AA98" s="370" t="str">
        <f t="shared" si="11"/>
        <v/>
      </c>
      <c r="AB98" s="383" t="str">
        <f t="shared" si="12"/>
        <v/>
      </c>
      <c r="AC98" s="384" t="str">
        <f t="shared" si="8"/>
        <v/>
      </c>
      <c r="AD98" s="398" t="str">
        <f>IF(M98="","",VLOOKUP(M98,'G-6 Hedgerow Data'!$B$3:$AG$15,31,FALSE))</f>
        <v/>
      </c>
      <c r="AE98" s="370" t="str">
        <f t="shared" si="13"/>
        <v/>
      </c>
      <c r="AF98" s="370" t="str">
        <f t="shared" si="14"/>
        <v/>
      </c>
      <c r="AG98" s="386" t="str">
        <f>IFERROR(IF(O98="","",VLOOKUP(AD98,'G-3 Multipliers'!$P$3:$Q$6,2,FALSE)),"")</f>
        <v/>
      </c>
      <c r="AH98" s="376" t="str">
        <f t="shared" si="9"/>
        <v/>
      </c>
      <c r="AI98" s="188"/>
      <c r="AJ98" s="118"/>
      <c r="AK98" s="120"/>
      <c r="AT98" s="30" t="str">
        <f>IFERROR(INDEX('G-6 Hedgerow Data'!$BJ$3:$BJ$15,MATCH(M98,'G-6 Hedgerow Data'!$B$3:$B$15,0)),"")</f>
        <v/>
      </c>
    </row>
    <row r="99" spans="2:46" ht="15">
      <c r="B99" s="392" t="str">
        <f>'B-1 On-Site Hedge Baseline'!AK97</f>
        <v/>
      </c>
      <c r="C99" s="382" t="str">
        <f>IF(B99="","",IF(ISNA(VLOOKUP($B99,'B-1 On-Site Hedge Baseline'!$B$1:$L$257,3,FALSE)),"",(VLOOKUP($B99,'B-1 On-Site Hedge Baseline'!$B$1:$L$257,3,FALSE))))</f>
        <v/>
      </c>
      <c r="D99" s="382" t="str">
        <f>IF(B99="","",IF(ISNA(VLOOKUP($B99,'B-1 On-Site Hedge Baseline'!$B$1:$L$257,4,FALSE)),"",(VLOOKUP($B99,'B-1 On-Site Hedge Baseline'!$B$1:$L$257,4,FALSE))))</f>
        <v/>
      </c>
      <c r="E99" s="382" t="str">
        <f>IF(B99="","",IF(ISNA(VLOOKUP($B99,'B-1 On-Site Hedge Baseline'!$B$1:$L$257,5,FALSE)),"",(VLOOKUP($B99,'B-1 On-Site Hedge Baseline'!$B$1:$L$257,5,FALSE))))</f>
        <v/>
      </c>
      <c r="F99" s="382" t="str">
        <f>IF(B99="","",IF(ISNA(VLOOKUP($B99,'B-1 On-Site Hedge Baseline'!$B$1:$L$257,6,FALSE)),"",(VLOOKUP($B99,'B-1 On-Site Hedge Baseline'!$B$1:$L$257,6,FALSE))))</f>
        <v/>
      </c>
      <c r="G99" s="382" t="str">
        <f>IF(B99="","",IF(ISNA(VLOOKUP($B99,'B-1 On-Site Hedge Baseline'!$B$1:$L$257,7,FALSE)),"",(VLOOKUP($B99,'B-1 On-Site Hedge Baseline'!$B$1:$L$257,7,FALSE))))</f>
        <v/>
      </c>
      <c r="H99" s="382" t="str">
        <f>IF(B99="","",IF(ISNA(VLOOKUP($B99,'B-1 On-Site Hedge Baseline'!$B$1:$L$257,8,FALSE)),"",(VLOOKUP($B99,'B-1 On-Site Hedge Baseline'!$B$1:$L$257,8,FALSE))))</f>
        <v/>
      </c>
      <c r="I99" s="382" t="str">
        <f>IF(B99="","",IF(ISNA(VLOOKUP($B99,'B-1 On-Site Hedge Baseline'!$B$1:$L$257,10,FALSE)),"",(VLOOKUP($B99,'B-1 On-Site Hedge Baseline'!$B$1:$L$257,10,FALSE))))</f>
        <v/>
      </c>
      <c r="J99" s="382" t="str">
        <f>IF(B99="","",IF(ISNA(VLOOKUP($B99,'B-1 On-Site Hedge Baseline'!$B$1:$L$257,11,FALSE)),"",(VLOOKUP($B99,'B-1 On-Site Hedge Baseline'!$B$1:$L$257,11,FALSE))))</f>
        <v/>
      </c>
      <c r="K99" s="382" t="str">
        <f>IF(B99="","",IF(ISNA(VLOOKUP($B99,'B-1 On-Site Hedge Baseline'!$B$1:$U$257,13,FALSE)),"",(VLOOKUP($B99,'B-1 On-Site Hedge Baseline'!$B$1:$U$257,13,FALSE))))</f>
        <v/>
      </c>
      <c r="L99" s="386" t="str">
        <f>IF(B99="","",IF(ISNA(VLOOKUP($B99,'B-1 On-Site Hedge Baseline'!$B$1:$U$257,12,FALSE)),"",(VLOOKUP($B99,'B-1 On-Site Hedge Baseline'!$B$1:$U$257,12,FALSE))))</f>
        <v/>
      </c>
      <c r="M99" s="315" t="str">
        <f t="shared" si="15"/>
        <v/>
      </c>
      <c r="N99" s="362" t="str">
        <f>IFERROR(IF(B99="","",INDEX('G-6 Hedgerow Data'!$AN$3:$AZ$15,MATCH(C99,'G-6 Hedgerow Data'!$AM$3:$AM$15,0),MATCH(M99,'G-6 Hedgerow Data'!$AN$2:$AZ$2,0))),"")</f>
        <v/>
      </c>
      <c r="O99" s="363" t="str">
        <f t="shared" si="10"/>
        <v/>
      </c>
      <c r="P99" s="417" t="str">
        <f>IF(B99="","",VLOOKUP(B99,'B-1 On-Site Hedge Baseline'!$B$10:T344,16,FALSE))</f>
        <v/>
      </c>
      <c r="Q99" s="362" t="str">
        <f>IF(M99="","",VLOOKUP(M99,'G-6 Hedgerow Data'!$B$2:$AG$15,2,FALSE))</f>
        <v/>
      </c>
      <c r="R99" s="363" t="str">
        <f>IF(M99="","",VLOOKUP(M99,'G-6 Hedgerow Data'!$B$2:$AG$15,3,FALSE))</f>
        <v/>
      </c>
      <c r="S99" s="125"/>
      <c r="T99" s="401" t="str">
        <f>IFERROR(VLOOKUP(S99,'G-1 All Habitats'!$Z$2:$AA$9,2,FALSE),"")</f>
        <v/>
      </c>
      <c r="U99" s="122"/>
      <c r="V99" s="382" t="str">
        <f>IF(U99="","",IF(VLOOKUP(U99,'G-3 Multipliers'!$L$3:$N$6,2,FALSE)=0,"Spatial Data Missing ⚠",VLOOKUP(U99,'G-3 Multipliers'!$L$3:$N$6,2,FALSE)))</f>
        <v/>
      </c>
      <c r="W99" s="386" t="str">
        <f>IF(U99="","",IF(VLOOKUP(U99,'G-3 Multipliers'!$L$3:$N$6,3,FALSE)=0,"Spatial Data Missing ⚠",VLOOKUP(U99,'G-3 Multipliers'!$L$3:$N$6,3,FALSE)))</f>
        <v/>
      </c>
      <c r="X99" s="362" t="str">
        <f>IFERROR(IF(OR(LEFT(O99,5)="Error",LEFT(N99,5)="Error",T99="Error"),"Check Data ⚠",IF(F99&lt;R99,INDEX('G-6 Hedgerow Data'!$S$3:$AE$14,MATCH(C99,'G-6 Hedgerow Data'!$B$3:$B$14,0),MATCH(M99,'G-6 Hedgerow Data'!$S$2:$AE$2,0)),INDEX('G-6 Hedgerow Data'!$K$3:$Q$14,MATCH(M99,'G-6 Hedgerow Data'!$B$3:$B$14,0),MATCH(O99,'G-6 Hedgerow Data'!$K$2:$Q$2,0)))),"")</f>
        <v/>
      </c>
      <c r="Y99" s="159"/>
      <c r="Z99" s="159"/>
      <c r="AA99" s="370" t="str">
        <f t="shared" si="11"/>
        <v/>
      </c>
      <c r="AB99" s="383" t="str">
        <f t="shared" si="12"/>
        <v/>
      </c>
      <c r="AC99" s="384" t="str">
        <f t="shared" si="8"/>
        <v/>
      </c>
      <c r="AD99" s="398" t="str">
        <f>IF(M99="","",VLOOKUP(M99,'G-6 Hedgerow Data'!$B$3:$AG$15,31,FALSE))</f>
        <v/>
      </c>
      <c r="AE99" s="370" t="str">
        <f t="shared" si="13"/>
        <v/>
      </c>
      <c r="AF99" s="370" t="str">
        <f t="shared" si="14"/>
        <v/>
      </c>
      <c r="AG99" s="386" t="str">
        <f>IFERROR(IF(O99="","",VLOOKUP(AD99,'G-3 Multipliers'!$P$3:$Q$6,2,FALSE)),"")</f>
        <v/>
      </c>
      <c r="AH99" s="376" t="str">
        <f t="shared" si="9"/>
        <v/>
      </c>
      <c r="AI99" s="188"/>
      <c r="AJ99" s="118"/>
      <c r="AK99" s="120"/>
      <c r="AT99" s="30" t="str">
        <f>IFERROR(INDEX('G-6 Hedgerow Data'!$BJ$3:$BJ$15,MATCH(M99,'G-6 Hedgerow Data'!$B$3:$B$15,0)),"")</f>
        <v/>
      </c>
    </row>
    <row r="100" spans="2:46" ht="15">
      <c r="B100" s="392" t="str">
        <f>'B-1 On-Site Hedge Baseline'!AK98</f>
        <v/>
      </c>
      <c r="C100" s="382" t="str">
        <f>IF(B100="","",IF(ISNA(VLOOKUP($B100,'B-1 On-Site Hedge Baseline'!$B$1:$L$257,3,FALSE)),"",(VLOOKUP($B100,'B-1 On-Site Hedge Baseline'!$B$1:$L$257,3,FALSE))))</f>
        <v/>
      </c>
      <c r="D100" s="382" t="str">
        <f>IF(B100="","",IF(ISNA(VLOOKUP($B100,'B-1 On-Site Hedge Baseline'!$B$1:$L$257,4,FALSE)),"",(VLOOKUP($B100,'B-1 On-Site Hedge Baseline'!$B$1:$L$257,4,FALSE))))</f>
        <v/>
      </c>
      <c r="E100" s="382" t="str">
        <f>IF(B100="","",IF(ISNA(VLOOKUP($B100,'B-1 On-Site Hedge Baseline'!$B$1:$L$257,5,FALSE)),"",(VLOOKUP($B100,'B-1 On-Site Hedge Baseline'!$B$1:$L$257,5,FALSE))))</f>
        <v/>
      </c>
      <c r="F100" s="382" t="str">
        <f>IF(B100="","",IF(ISNA(VLOOKUP($B100,'B-1 On-Site Hedge Baseline'!$B$1:$L$257,6,FALSE)),"",(VLOOKUP($B100,'B-1 On-Site Hedge Baseline'!$B$1:$L$257,6,FALSE))))</f>
        <v/>
      </c>
      <c r="G100" s="382" t="str">
        <f>IF(B100="","",IF(ISNA(VLOOKUP($B100,'B-1 On-Site Hedge Baseline'!$B$1:$L$257,7,FALSE)),"",(VLOOKUP($B100,'B-1 On-Site Hedge Baseline'!$B$1:$L$257,7,FALSE))))</f>
        <v/>
      </c>
      <c r="H100" s="382" t="str">
        <f>IF(B100="","",IF(ISNA(VLOOKUP($B100,'B-1 On-Site Hedge Baseline'!$B$1:$L$257,8,FALSE)),"",(VLOOKUP($B100,'B-1 On-Site Hedge Baseline'!$B$1:$L$257,8,FALSE))))</f>
        <v/>
      </c>
      <c r="I100" s="382" t="str">
        <f>IF(B100="","",IF(ISNA(VLOOKUP($B100,'B-1 On-Site Hedge Baseline'!$B$1:$L$257,10,FALSE)),"",(VLOOKUP($B100,'B-1 On-Site Hedge Baseline'!$B$1:$L$257,10,FALSE))))</f>
        <v/>
      </c>
      <c r="J100" s="382" t="str">
        <f>IF(B100="","",IF(ISNA(VLOOKUP($B100,'B-1 On-Site Hedge Baseline'!$B$1:$L$257,11,FALSE)),"",(VLOOKUP($B100,'B-1 On-Site Hedge Baseline'!$B$1:$L$257,11,FALSE))))</f>
        <v/>
      </c>
      <c r="K100" s="382" t="str">
        <f>IF(B100="","",IF(ISNA(VLOOKUP($B100,'B-1 On-Site Hedge Baseline'!$B$1:$U$257,13,FALSE)),"",(VLOOKUP($B100,'B-1 On-Site Hedge Baseline'!$B$1:$U$257,13,FALSE))))</f>
        <v/>
      </c>
      <c r="L100" s="386" t="str">
        <f>IF(B100="","",IF(ISNA(VLOOKUP($B100,'B-1 On-Site Hedge Baseline'!$B$1:$U$257,12,FALSE)),"",(VLOOKUP($B100,'B-1 On-Site Hedge Baseline'!$B$1:$U$257,12,FALSE))))</f>
        <v/>
      </c>
      <c r="M100" s="315" t="str">
        <f t="shared" si="15"/>
        <v/>
      </c>
      <c r="N100" s="362" t="str">
        <f>IFERROR(IF(B100="","",INDEX('G-6 Hedgerow Data'!$AN$3:$AZ$15,MATCH(C100,'G-6 Hedgerow Data'!$AM$3:$AM$15,0),MATCH(M100,'G-6 Hedgerow Data'!$AN$2:$AZ$2,0))),"")</f>
        <v/>
      </c>
      <c r="O100" s="363" t="str">
        <f t="shared" si="10"/>
        <v/>
      </c>
      <c r="P100" s="417" t="str">
        <f>IF(B100="","",VLOOKUP(B100,'B-1 On-Site Hedge Baseline'!$B$10:T345,16,FALSE))</f>
        <v/>
      </c>
      <c r="Q100" s="362" t="str">
        <f>IF(M100="","",VLOOKUP(M100,'G-6 Hedgerow Data'!$B$2:$AG$15,2,FALSE))</f>
        <v/>
      </c>
      <c r="R100" s="363" t="str">
        <f>IF(M100="","",VLOOKUP(M100,'G-6 Hedgerow Data'!$B$2:$AG$15,3,FALSE))</f>
        <v/>
      </c>
      <c r="S100" s="125"/>
      <c r="T100" s="401" t="str">
        <f>IFERROR(VLOOKUP(S100,'G-1 All Habitats'!$Z$2:$AA$9,2,FALSE),"")</f>
        <v/>
      </c>
      <c r="U100" s="122"/>
      <c r="V100" s="382" t="str">
        <f>IF(U100="","",IF(VLOOKUP(U100,'G-3 Multipliers'!$L$3:$N$6,2,FALSE)=0,"Spatial Data Missing ⚠",VLOOKUP(U100,'G-3 Multipliers'!$L$3:$N$6,2,FALSE)))</f>
        <v/>
      </c>
      <c r="W100" s="386" t="str">
        <f>IF(U100="","",IF(VLOOKUP(U100,'G-3 Multipliers'!$L$3:$N$6,3,FALSE)=0,"Spatial Data Missing ⚠",VLOOKUP(U100,'G-3 Multipliers'!$L$3:$N$6,3,FALSE)))</f>
        <v/>
      </c>
      <c r="X100" s="362" t="str">
        <f>IFERROR(IF(OR(LEFT(O100,5)="Error",LEFT(N100,5)="Error",T100="Error"),"Check Data ⚠",IF(F100&lt;R100,INDEX('G-6 Hedgerow Data'!$S$3:$AE$14,MATCH(C100,'G-6 Hedgerow Data'!$B$3:$B$14,0),MATCH(M100,'G-6 Hedgerow Data'!$S$2:$AE$2,0)),INDEX('G-6 Hedgerow Data'!$K$3:$Q$14,MATCH(M100,'G-6 Hedgerow Data'!$B$3:$B$14,0),MATCH(O100,'G-6 Hedgerow Data'!$K$2:$Q$2,0)))),"")</f>
        <v/>
      </c>
      <c r="Y100" s="159"/>
      <c r="Z100" s="159"/>
      <c r="AA100" s="370" t="str">
        <f t="shared" si="11"/>
        <v/>
      </c>
      <c r="AB100" s="383" t="str">
        <f t="shared" si="12"/>
        <v/>
      </c>
      <c r="AC100" s="384" t="str">
        <f t="shared" si="8"/>
        <v/>
      </c>
      <c r="AD100" s="398" t="str">
        <f>IF(M100="","",VLOOKUP(M100,'G-6 Hedgerow Data'!$B$3:$AG$15,31,FALSE))</f>
        <v/>
      </c>
      <c r="AE100" s="370" t="str">
        <f t="shared" si="13"/>
        <v/>
      </c>
      <c r="AF100" s="370" t="str">
        <f t="shared" si="14"/>
        <v/>
      </c>
      <c r="AG100" s="386" t="str">
        <f>IFERROR(IF(O100="","",VLOOKUP(AD100,'G-3 Multipliers'!$P$3:$Q$6,2,FALSE)),"")</f>
        <v/>
      </c>
      <c r="AH100" s="376" t="str">
        <f t="shared" si="9"/>
        <v/>
      </c>
      <c r="AI100" s="188"/>
      <c r="AJ100" s="118"/>
      <c r="AK100" s="120"/>
      <c r="AT100" s="30" t="str">
        <f>IFERROR(INDEX('G-6 Hedgerow Data'!$BJ$3:$BJ$15,MATCH(M100,'G-6 Hedgerow Data'!$B$3:$B$15,0)),"")</f>
        <v/>
      </c>
    </row>
    <row r="101" spans="2:46" ht="15">
      <c r="B101" s="392" t="str">
        <f>'B-1 On-Site Hedge Baseline'!AK99</f>
        <v/>
      </c>
      <c r="C101" s="382" t="str">
        <f>IF(B101="","",IF(ISNA(VLOOKUP($B101,'B-1 On-Site Hedge Baseline'!$B$1:$L$257,3,FALSE)),"",(VLOOKUP($B101,'B-1 On-Site Hedge Baseline'!$B$1:$L$257,3,FALSE))))</f>
        <v/>
      </c>
      <c r="D101" s="382" t="str">
        <f>IF(B101="","",IF(ISNA(VLOOKUP($B101,'B-1 On-Site Hedge Baseline'!$B$1:$L$257,4,FALSE)),"",(VLOOKUP($B101,'B-1 On-Site Hedge Baseline'!$B$1:$L$257,4,FALSE))))</f>
        <v/>
      </c>
      <c r="E101" s="382" t="str">
        <f>IF(B101="","",IF(ISNA(VLOOKUP($B101,'B-1 On-Site Hedge Baseline'!$B$1:$L$257,5,FALSE)),"",(VLOOKUP($B101,'B-1 On-Site Hedge Baseline'!$B$1:$L$257,5,FALSE))))</f>
        <v/>
      </c>
      <c r="F101" s="382" t="str">
        <f>IF(B101="","",IF(ISNA(VLOOKUP($B101,'B-1 On-Site Hedge Baseline'!$B$1:$L$257,6,FALSE)),"",(VLOOKUP($B101,'B-1 On-Site Hedge Baseline'!$B$1:$L$257,6,FALSE))))</f>
        <v/>
      </c>
      <c r="G101" s="382" t="str">
        <f>IF(B101="","",IF(ISNA(VLOOKUP($B101,'B-1 On-Site Hedge Baseline'!$B$1:$L$257,7,FALSE)),"",(VLOOKUP($B101,'B-1 On-Site Hedge Baseline'!$B$1:$L$257,7,FALSE))))</f>
        <v/>
      </c>
      <c r="H101" s="382" t="str">
        <f>IF(B101="","",IF(ISNA(VLOOKUP($B101,'B-1 On-Site Hedge Baseline'!$B$1:$L$257,8,FALSE)),"",(VLOOKUP($B101,'B-1 On-Site Hedge Baseline'!$B$1:$L$257,8,FALSE))))</f>
        <v/>
      </c>
      <c r="I101" s="382" t="str">
        <f>IF(B101="","",IF(ISNA(VLOOKUP($B101,'B-1 On-Site Hedge Baseline'!$B$1:$L$257,10,FALSE)),"",(VLOOKUP($B101,'B-1 On-Site Hedge Baseline'!$B$1:$L$257,10,FALSE))))</f>
        <v/>
      </c>
      <c r="J101" s="382" t="str">
        <f>IF(B101="","",IF(ISNA(VLOOKUP($B101,'B-1 On-Site Hedge Baseline'!$B$1:$L$257,11,FALSE)),"",(VLOOKUP($B101,'B-1 On-Site Hedge Baseline'!$B$1:$L$257,11,FALSE))))</f>
        <v/>
      </c>
      <c r="K101" s="382" t="str">
        <f>IF(B101="","",IF(ISNA(VLOOKUP($B101,'B-1 On-Site Hedge Baseline'!$B$1:$U$257,13,FALSE)),"",(VLOOKUP($B101,'B-1 On-Site Hedge Baseline'!$B$1:$U$257,13,FALSE))))</f>
        <v/>
      </c>
      <c r="L101" s="386" t="str">
        <f>IF(B101="","",IF(ISNA(VLOOKUP($B101,'B-1 On-Site Hedge Baseline'!$B$1:$U$257,12,FALSE)),"",(VLOOKUP($B101,'B-1 On-Site Hedge Baseline'!$B$1:$U$257,12,FALSE))))</f>
        <v/>
      </c>
      <c r="M101" s="315" t="str">
        <f t="shared" si="15"/>
        <v/>
      </c>
      <c r="N101" s="362" t="str">
        <f>IFERROR(IF(B101="","",INDEX('G-6 Hedgerow Data'!$AN$3:$AZ$15,MATCH(C101,'G-6 Hedgerow Data'!$AM$3:$AM$15,0),MATCH(M101,'G-6 Hedgerow Data'!$AN$2:$AZ$2,0))),"")</f>
        <v/>
      </c>
      <c r="O101" s="363" t="str">
        <f t="shared" si="10"/>
        <v/>
      </c>
      <c r="P101" s="417" t="str">
        <f>IF(B101="","",VLOOKUP(B101,'B-1 On-Site Hedge Baseline'!$B$10:T346,16,FALSE))</f>
        <v/>
      </c>
      <c r="Q101" s="362" t="str">
        <f>IF(M101="","",VLOOKUP(M101,'G-6 Hedgerow Data'!$B$2:$AG$15,2,FALSE))</f>
        <v/>
      </c>
      <c r="R101" s="363" t="str">
        <f>IF(M101="","",VLOOKUP(M101,'G-6 Hedgerow Data'!$B$2:$AG$15,3,FALSE))</f>
        <v/>
      </c>
      <c r="S101" s="125"/>
      <c r="T101" s="401" t="str">
        <f>IFERROR(VLOOKUP(S101,'G-1 All Habitats'!$Z$2:$AA$9,2,FALSE),"")</f>
        <v/>
      </c>
      <c r="U101" s="122"/>
      <c r="V101" s="382" t="str">
        <f>IF(U101="","",IF(VLOOKUP(U101,'G-3 Multipliers'!$L$3:$N$6,2,FALSE)=0,"Spatial Data Missing ⚠",VLOOKUP(U101,'G-3 Multipliers'!$L$3:$N$6,2,FALSE)))</f>
        <v/>
      </c>
      <c r="W101" s="386" t="str">
        <f>IF(U101="","",IF(VLOOKUP(U101,'G-3 Multipliers'!$L$3:$N$6,3,FALSE)=0,"Spatial Data Missing ⚠",VLOOKUP(U101,'G-3 Multipliers'!$L$3:$N$6,3,FALSE)))</f>
        <v/>
      </c>
      <c r="X101" s="362" t="str">
        <f>IFERROR(IF(OR(LEFT(O101,5)="Error",LEFT(N101,5)="Error",T101="Error"),"Check Data ⚠",IF(F101&lt;R101,INDEX('G-6 Hedgerow Data'!$S$3:$AE$14,MATCH(C101,'G-6 Hedgerow Data'!$B$3:$B$14,0),MATCH(M101,'G-6 Hedgerow Data'!$S$2:$AE$2,0)),INDEX('G-6 Hedgerow Data'!$K$3:$Q$14,MATCH(M101,'G-6 Hedgerow Data'!$B$3:$B$14,0),MATCH(O101,'G-6 Hedgerow Data'!$K$2:$Q$2,0)))),"")</f>
        <v/>
      </c>
      <c r="Y101" s="159"/>
      <c r="Z101" s="159"/>
      <c r="AA101" s="370" t="str">
        <f t="shared" si="11"/>
        <v/>
      </c>
      <c r="AB101" s="383" t="str">
        <f t="shared" si="12"/>
        <v/>
      </c>
      <c r="AC101" s="384" t="str">
        <f t="shared" si="8"/>
        <v/>
      </c>
      <c r="AD101" s="398" t="str">
        <f>IF(M101="","",VLOOKUP(M101,'G-6 Hedgerow Data'!$B$3:$AG$15,31,FALSE))</f>
        <v/>
      </c>
      <c r="AE101" s="370" t="str">
        <f t="shared" si="13"/>
        <v/>
      </c>
      <c r="AF101" s="370" t="str">
        <f t="shared" si="14"/>
        <v/>
      </c>
      <c r="AG101" s="386" t="str">
        <f>IFERROR(IF(O101="","",VLOOKUP(AD101,'G-3 Multipliers'!$P$3:$Q$6,2,FALSE)),"")</f>
        <v/>
      </c>
      <c r="AH101" s="376" t="str">
        <f t="shared" si="9"/>
        <v/>
      </c>
      <c r="AI101" s="188"/>
      <c r="AJ101" s="118"/>
      <c r="AK101" s="120"/>
      <c r="AT101" s="30" t="str">
        <f>IFERROR(INDEX('G-6 Hedgerow Data'!$BJ$3:$BJ$15,MATCH(M101,'G-6 Hedgerow Data'!$B$3:$B$15,0)),"")</f>
        <v/>
      </c>
    </row>
    <row r="102" spans="2:46" ht="15">
      <c r="B102" s="392" t="str">
        <f>'B-1 On-Site Hedge Baseline'!AK100</f>
        <v/>
      </c>
      <c r="C102" s="382" t="str">
        <f>IF(B102="","",IF(ISNA(VLOOKUP($B102,'B-1 On-Site Hedge Baseline'!$B$1:$L$257,3,FALSE)),"",(VLOOKUP($B102,'B-1 On-Site Hedge Baseline'!$B$1:$L$257,3,FALSE))))</f>
        <v/>
      </c>
      <c r="D102" s="382" t="str">
        <f>IF(B102="","",IF(ISNA(VLOOKUP($B102,'B-1 On-Site Hedge Baseline'!$B$1:$L$257,4,FALSE)),"",(VLOOKUP($B102,'B-1 On-Site Hedge Baseline'!$B$1:$L$257,4,FALSE))))</f>
        <v/>
      </c>
      <c r="E102" s="382" t="str">
        <f>IF(B102="","",IF(ISNA(VLOOKUP($B102,'B-1 On-Site Hedge Baseline'!$B$1:$L$257,5,FALSE)),"",(VLOOKUP($B102,'B-1 On-Site Hedge Baseline'!$B$1:$L$257,5,FALSE))))</f>
        <v/>
      </c>
      <c r="F102" s="382" t="str">
        <f>IF(B102="","",IF(ISNA(VLOOKUP($B102,'B-1 On-Site Hedge Baseline'!$B$1:$L$257,6,FALSE)),"",(VLOOKUP($B102,'B-1 On-Site Hedge Baseline'!$B$1:$L$257,6,FALSE))))</f>
        <v/>
      </c>
      <c r="G102" s="382" t="str">
        <f>IF(B102="","",IF(ISNA(VLOOKUP($B102,'B-1 On-Site Hedge Baseline'!$B$1:$L$257,7,FALSE)),"",(VLOOKUP($B102,'B-1 On-Site Hedge Baseline'!$B$1:$L$257,7,FALSE))))</f>
        <v/>
      </c>
      <c r="H102" s="382" t="str">
        <f>IF(B102="","",IF(ISNA(VLOOKUP($B102,'B-1 On-Site Hedge Baseline'!$B$1:$L$257,8,FALSE)),"",(VLOOKUP($B102,'B-1 On-Site Hedge Baseline'!$B$1:$L$257,8,FALSE))))</f>
        <v/>
      </c>
      <c r="I102" s="382" t="str">
        <f>IF(B102="","",IF(ISNA(VLOOKUP($B102,'B-1 On-Site Hedge Baseline'!$B$1:$L$257,10,FALSE)),"",(VLOOKUP($B102,'B-1 On-Site Hedge Baseline'!$B$1:$L$257,10,FALSE))))</f>
        <v/>
      </c>
      <c r="J102" s="382" t="str">
        <f>IF(B102="","",IF(ISNA(VLOOKUP($B102,'B-1 On-Site Hedge Baseline'!$B$1:$L$257,11,FALSE)),"",(VLOOKUP($B102,'B-1 On-Site Hedge Baseline'!$B$1:$L$257,11,FALSE))))</f>
        <v/>
      </c>
      <c r="K102" s="382" t="str">
        <f>IF(B102="","",IF(ISNA(VLOOKUP($B102,'B-1 On-Site Hedge Baseline'!$B$1:$U$257,13,FALSE)),"",(VLOOKUP($B102,'B-1 On-Site Hedge Baseline'!$B$1:$U$257,13,FALSE))))</f>
        <v/>
      </c>
      <c r="L102" s="386" t="str">
        <f>IF(B102="","",IF(ISNA(VLOOKUP($B102,'B-1 On-Site Hedge Baseline'!$B$1:$U$257,12,FALSE)),"",(VLOOKUP($B102,'B-1 On-Site Hedge Baseline'!$B$1:$U$257,12,FALSE))))</f>
        <v/>
      </c>
      <c r="M102" s="315" t="str">
        <f t="shared" si="15"/>
        <v/>
      </c>
      <c r="N102" s="362" t="str">
        <f>IFERROR(IF(B102="","",INDEX('G-6 Hedgerow Data'!$AN$3:$AZ$15,MATCH(C102,'G-6 Hedgerow Data'!$AM$3:$AM$15,0),MATCH(M102,'G-6 Hedgerow Data'!$AN$2:$AZ$2,0))),"")</f>
        <v/>
      </c>
      <c r="O102" s="363" t="str">
        <f t="shared" si="10"/>
        <v/>
      </c>
      <c r="P102" s="417" t="str">
        <f>IF(B102="","",VLOOKUP(B102,'B-1 On-Site Hedge Baseline'!$B$10:T347,16,FALSE))</f>
        <v/>
      </c>
      <c r="Q102" s="362" t="str">
        <f>IF(M102="","",VLOOKUP(M102,'G-6 Hedgerow Data'!$B$2:$AG$15,2,FALSE))</f>
        <v/>
      </c>
      <c r="R102" s="363" t="str">
        <f>IF(M102="","",VLOOKUP(M102,'G-6 Hedgerow Data'!$B$2:$AG$15,3,FALSE))</f>
        <v/>
      </c>
      <c r="S102" s="125"/>
      <c r="T102" s="401" t="str">
        <f>IFERROR(VLOOKUP(S102,'G-1 All Habitats'!$Z$2:$AA$9,2,FALSE),"")</f>
        <v/>
      </c>
      <c r="U102" s="122"/>
      <c r="V102" s="382" t="str">
        <f>IF(U102="","",IF(VLOOKUP(U102,'G-3 Multipliers'!$L$3:$N$6,2,FALSE)=0,"Spatial Data Missing ⚠",VLOOKUP(U102,'G-3 Multipliers'!$L$3:$N$6,2,FALSE)))</f>
        <v/>
      </c>
      <c r="W102" s="386" t="str">
        <f>IF(U102="","",IF(VLOOKUP(U102,'G-3 Multipliers'!$L$3:$N$6,3,FALSE)=0,"Spatial Data Missing ⚠",VLOOKUP(U102,'G-3 Multipliers'!$L$3:$N$6,3,FALSE)))</f>
        <v/>
      </c>
      <c r="X102" s="362" t="str">
        <f>IFERROR(IF(OR(LEFT(O102,5)="Error",LEFT(N102,5)="Error",T102="Error"),"Check Data ⚠",IF(F102&lt;R102,INDEX('G-6 Hedgerow Data'!$S$3:$AE$14,MATCH(C102,'G-6 Hedgerow Data'!$B$3:$B$14,0),MATCH(M102,'G-6 Hedgerow Data'!$S$2:$AE$2,0)),INDEX('G-6 Hedgerow Data'!$K$3:$Q$14,MATCH(M102,'G-6 Hedgerow Data'!$B$3:$B$14,0),MATCH(O102,'G-6 Hedgerow Data'!$K$2:$Q$2,0)))),"")</f>
        <v/>
      </c>
      <c r="Y102" s="159"/>
      <c r="Z102" s="159"/>
      <c r="AA102" s="370" t="str">
        <f t="shared" si="11"/>
        <v/>
      </c>
      <c r="AB102" s="383" t="str">
        <f t="shared" si="12"/>
        <v/>
      </c>
      <c r="AC102" s="384" t="str">
        <f t="shared" si="8"/>
        <v/>
      </c>
      <c r="AD102" s="398" t="str">
        <f>IF(M102="","",VLOOKUP(M102,'G-6 Hedgerow Data'!$B$3:$AG$15,31,FALSE))</f>
        <v/>
      </c>
      <c r="AE102" s="370" t="str">
        <f t="shared" si="13"/>
        <v/>
      </c>
      <c r="AF102" s="370" t="str">
        <f t="shared" si="14"/>
        <v/>
      </c>
      <c r="AG102" s="386" t="str">
        <f>IFERROR(IF(O102="","",VLOOKUP(AD102,'G-3 Multipliers'!$P$3:$Q$6,2,FALSE)),"")</f>
        <v/>
      </c>
      <c r="AH102" s="376" t="str">
        <f t="shared" si="9"/>
        <v/>
      </c>
      <c r="AI102" s="188"/>
      <c r="AJ102" s="118"/>
      <c r="AK102" s="120"/>
      <c r="AT102" s="30" t="str">
        <f>IFERROR(INDEX('G-6 Hedgerow Data'!$BJ$3:$BJ$15,MATCH(M102,'G-6 Hedgerow Data'!$B$3:$B$15,0)),"")</f>
        <v/>
      </c>
    </row>
    <row r="103" spans="2:46" ht="15">
      <c r="B103" s="392" t="str">
        <f>'B-1 On-Site Hedge Baseline'!AK101</f>
        <v/>
      </c>
      <c r="C103" s="382" t="str">
        <f>IF(B103="","",IF(ISNA(VLOOKUP($B103,'B-1 On-Site Hedge Baseline'!$B$1:$L$257,3,FALSE)),"",(VLOOKUP($B103,'B-1 On-Site Hedge Baseline'!$B$1:$L$257,3,FALSE))))</f>
        <v/>
      </c>
      <c r="D103" s="382" t="str">
        <f>IF(B103="","",IF(ISNA(VLOOKUP($B103,'B-1 On-Site Hedge Baseline'!$B$1:$L$257,4,FALSE)),"",(VLOOKUP($B103,'B-1 On-Site Hedge Baseline'!$B$1:$L$257,4,FALSE))))</f>
        <v/>
      </c>
      <c r="E103" s="382" t="str">
        <f>IF(B103="","",IF(ISNA(VLOOKUP($B103,'B-1 On-Site Hedge Baseline'!$B$1:$L$257,5,FALSE)),"",(VLOOKUP($B103,'B-1 On-Site Hedge Baseline'!$B$1:$L$257,5,FALSE))))</f>
        <v/>
      </c>
      <c r="F103" s="382" t="str">
        <f>IF(B103="","",IF(ISNA(VLOOKUP($B103,'B-1 On-Site Hedge Baseline'!$B$1:$L$257,6,FALSE)),"",(VLOOKUP($B103,'B-1 On-Site Hedge Baseline'!$B$1:$L$257,6,FALSE))))</f>
        <v/>
      </c>
      <c r="G103" s="382" t="str">
        <f>IF(B103="","",IF(ISNA(VLOOKUP($B103,'B-1 On-Site Hedge Baseline'!$B$1:$L$257,7,FALSE)),"",(VLOOKUP($B103,'B-1 On-Site Hedge Baseline'!$B$1:$L$257,7,FALSE))))</f>
        <v/>
      </c>
      <c r="H103" s="382" t="str">
        <f>IF(B103="","",IF(ISNA(VLOOKUP($B103,'B-1 On-Site Hedge Baseline'!$B$1:$L$257,8,FALSE)),"",(VLOOKUP($B103,'B-1 On-Site Hedge Baseline'!$B$1:$L$257,8,FALSE))))</f>
        <v/>
      </c>
      <c r="I103" s="382" t="str">
        <f>IF(B103="","",IF(ISNA(VLOOKUP($B103,'B-1 On-Site Hedge Baseline'!$B$1:$L$257,10,FALSE)),"",(VLOOKUP($B103,'B-1 On-Site Hedge Baseline'!$B$1:$L$257,10,FALSE))))</f>
        <v/>
      </c>
      <c r="J103" s="382" t="str">
        <f>IF(B103="","",IF(ISNA(VLOOKUP($B103,'B-1 On-Site Hedge Baseline'!$B$1:$L$257,11,FALSE)),"",(VLOOKUP($B103,'B-1 On-Site Hedge Baseline'!$B$1:$L$257,11,FALSE))))</f>
        <v/>
      </c>
      <c r="K103" s="382" t="str">
        <f>IF(B103="","",IF(ISNA(VLOOKUP($B103,'B-1 On-Site Hedge Baseline'!$B$1:$U$257,13,FALSE)),"",(VLOOKUP($B103,'B-1 On-Site Hedge Baseline'!$B$1:$U$257,13,FALSE))))</f>
        <v/>
      </c>
      <c r="L103" s="386" t="str">
        <f>IF(B103="","",IF(ISNA(VLOOKUP($B103,'B-1 On-Site Hedge Baseline'!$B$1:$U$257,12,FALSE)),"",(VLOOKUP($B103,'B-1 On-Site Hedge Baseline'!$B$1:$U$257,12,FALSE))))</f>
        <v/>
      </c>
      <c r="M103" s="315" t="str">
        <f t="shared" si="15"/>
        <v/>
      </c>
      <c r="N103" s="362" t="str">
        <f>IFERROR(IF(B103="","",INDEX('G-6 Hedgerow Data'!$AN$3:$AZ$15,MATCH(C103,'G-6 Hedgerow Data'!$AM$3:$AM$15,0),MATCH(M103,'G-6 Hedgerow Data'!$AN$2:$AZ$2,0))),"")</f>
        <v/>
      </c>
      <c r="O103" s="363" t="str">
        <f t="shared" si="10"/>
        <v/>
      </c>
      <c r="P103" s="417" t="str">
        <f>IF(B103="","",VLOOKUP(B103,'B-1 On-Site Hedge Baseline'!$B$10:T348,16,FALSE))</f>
        <v/>
      </c>
      <c r="Q103" s="362" t="str">
        <f>IF(M103="","",VLOOKUP(M103,'G-6 Hedgerow Data'!$B$2:$AG$15,2,FALSE))</f>
        <v/>
      </c>
      <c r="R103" s="363" t="str">
        <f>IF(M103="","",VLOOKUP(M103,'G-6 Hedgerow Data'!$B$2:$AG$15,3,FALSE))</f>
        <v/>
      </c>
      <c r="S103" s="125"/>
      <c r="T103" s="401" t="str">
        <f>IFERROR(VLOOKUP(S103,'G-1 All Habitats'!$Z$2:$AA$9,2,FALSE),"")</f>
        <v/>
      </c>
      <c r="U103" s="122"/>
      <c r="V103" s="382" t="str">
        <f>IF(U103="","",IF(VLOOKUP(U103,'G-3 Multipliers'!$L$3:$N$6,2,FALSE)=0,"Spatial Data Missing ⚠",VLOOKUP(U103,'G-3 Multipliers'!$L$3:$N$6,2,FALSE)))</f>
        <v/>
      </c>
      <c r="W103" s="386" t="str">
        <f>IF(U103="","",IF(VLOOKUP(U103,'G-3 Multipliers'!$L$3:$N$6,3,FALSE)=0,"Spatial Data Missing ⚠",VLOOKUP(U103,'G-3 Multipliers'!$L$3:$N$6,3,FALSE)))</f>
        <v/>
      </c>
      <c r="X103" s="362" t="str">
        <f>IFERROR(IF(OR(LEFT(O103,5)="Error",LEFT(N103,5)="Error",T103="Error"),"Check Data ⚠",IF(F103&lt;R103,INDEX('G-6 Hedgerow Data'!$S$3:$AE$14,MATCH(C103,'G-6 Hedgerow Data'!$B$3:$B$14,0),MATCH(M103,'G-6 Hedgerow Data'!$S$2:$AE$2,0)),INDEX('G-6 Hedgerow Data'!$K$3:$Q$14,MATCH(M103,'G-6 Hedgerow Data'!$B$3:$B$14,0),MATCH(O103,'G-6 Hedgerow Data'!$K$2:$Q$2,0)))),"")</f>
        <v/>
      </c>
      <c r="Y103" s="159"/>
      <c r="Z103" s="159"/>
      <c r="AA103" s="370" t="str">
        <f t="shared" si="11"/>
        <v/>
      </c>
      <c r="AB103" s="383" t="str">
        <f t="shared" si="12"/>
        <v/>
      </c>
      <c r="AC103" s="384" t="str">
        <f t="shared" si="8"/>
        <v/>
      </c>
      <c r="AD103" s="398" t="str">
        <f>IF(M103="","",VLOOKUP(M103,'G-6 Hedgerow Data'!$B$3:$AG$15,31,FALSE))</f>
        <v/>
      </c>
      <c r="AE103" s="370" t="str">
        <f t="shared" si="13"/>
        <v/>
      </c>
      <c r="AF103" s="370" t="str">
        <f t="shared" si="14"/>
        <v/>
      </c>
      <c r="AG103" s="386" t="str">
        <f>IFERROR(IF(O103="","",VLOOKUP(AD103,'G-3 Multipliers'!$P$3:$Q$6,2,FALSE)),"")</f>
        <v/>
      </c>
      <c r="AH103" s="376" t="str">
        <f t="shared" si="9"/>
        <v/>
      </c>
      <c r="AI103" s="188"/>
      <c r="AJ103" s="118"/>
      <c r="AK103" s="120"/>
      <c r="AT103" s="30" t="str">
        <f>IFERROR(INDEX('G-6 Hedgerow Data'!$BJ$3:$BJ$15,MATCH(M103,'G-6 Hedgerow Data'!$B$3:$B$15,0)),"")</f>
        <v/>
      </c>
    </row>
    <row r="104" spans="2:46" ht="15">
      <c r="B104" s="392" t="str">
        <f>'B-1 On-Site Hedge Baseline'!AK102</f>
        <v/>
      </c>
      <c r="C104" s="382" t="str">
        <f>IF(B104="","",IF(ISNA(VLOOKUP($B104,'B-1 On-Site Hedge Baseline'!$B$1:$L$257,3,FALSE)),"",(VLOOKUP($B104,'B-1 On-Site Hedge Baseline'!$B$1:$L$257,3,FALSE))))</f>
        <v/>
      </c>
      <c r="D104" s="382" t="str">
        <f>IF(B104="","",IF(ISNA(VLOOKUP($B104,'B-1 On-Site Hedge Baseline'!$B$1:$L$257,4,FALSE)),"",(VLOOKUP($B104,'B-1 On-Site Hedge Baseline'!$B$1:$L$257,4,FALSE))))</f>
        <v/>
      </c>
      <c r="E104" s="382" t="str">
        <f>IF(B104="","",IF(ISNA(VLOOKUP($B104,'B-1 On-Site Hedge Baseline'!$B$1:$L$257,5,FALSE)),"",(VLOOKUP($B104,'B-1 On-Site Hedge Baseline'!$B$1:$L$257,5,FALSE))))</f>
        <v/>
      </c>
      <c r="F104" s="382" t="str">
        <f>IF(B104="","",IF(ISNA(VLOOKUP($B104,'B-1 On-Site Hedge Baseline'!$B$1:$L$257,6,FALSE)),"",(VLOOKUP($B104,'B-1 On-Site Hedge Baseline'!$B$1:$L$257,6,FALSE))))</f>
        <v/>
      </c>
      <c r="G104" s="382" t="str">
        <f>IF(B104="","",IF(ISNA(VLOOKUP($B104,'B-1 On-Site Hedge Baseline'!$B$1:$L$257,7,FALSE)),"",(VLOOKUP($B104,'B-1 On-Site Hedge Baseline'!$B$1:$L$257,7,FALSE))))</f>
        <v/>
      </c>
      <c r="H104" s="382" t="str">
        <f>IF(B104="","",IF(ISNA(VLOOKUP($B104,'B-1 On-Site Hedge Baseline'!$B$1:$L$257,8,FALSE)),"",(VLOOKUP($B104,'B-1 On-Site Hedge Baseline'!$B$1:$L$257,8,FALSE))))</f>
        <v/>
      </c>
      <c r="I104" s="382" t="str">
        <f>IF(B104="","",IF(ISNA(VLOOKUP($B104,'B-1 On-Site Hedge Baseline'!$B$1:$L$257,10,FALSE)),"",(VLOOKUP($B104,'B-1 On-Site Hedge Baseline'!$B$1:$L$257,10,FALSE))))</f>
        <v/>
      </c>
      <c r="J104" s="382" t="str">
        <f>IF(B104="","",IF(ISNA(VLOOKUP($B104,'B-1 On-Site Hedge Baseline'!$B$1:$L$257,11,FALSE)),"",(VLOOKUP($B104,'B-1 On-Site Hedge Baseline'!$B$1:$L$257,11,FALSE))))</f>
        <v/>
      </c>
      <c r="K104" s="382" t="str">
        <f>IF(B104="","",IF(ISNA(VLOOKUP($B104,'B-1 On-Site Hedge Baseline'!$B$1:$U$257,13,FALSE)),"",(VLOOKUP($B104,'B-1 On-Site Hedge Baseline'!$B$1:$U$257,13,FALSE))))</f>
        <v/>
      </c>
      <c r="L104" s="386" t="str">
        <f>IF(B104="","",IF(ISNA(VLOOKUP($B104,'B-1 On-Site Hedge Baseline'!$B$1:$U$257,12,FALSE)),"",(VLOOKUP($B104,'B-1 On-Site Hedge Baseline'!$B$1:$U$257,12,FALSE))))</f>
        <v/>
      </c>
      <c r="M104" s="315" t="str">
        <f t="shared" si="15"/>
        <v/>
      </c>
      <c r="N104" s="362" t="str">
        <f>IFERROR(IF(B104="","",INDEX('G-6 Hedgerow Data'!$AN$3:$AZ$15,MATCH(C104,'G-6 Hedgerow Data'!$AM$3:$AM$15,0),MATCH(M104,'G-6 Hedgerow Data'!$AN$2:$AZ$2,0))),"")</f>
        <v/>
      </c>
      <c r="O104" s="363" t="str">
        <f t="shared" si="10"/>
        <v/>
      </c>
      <c r="P104" s="417" t="str">
        <f>IF(B104="","",VLOOKUP(B104,'B-1 On-Site Hedge Baseline'!$B$10:T349,16,FALSE))</f>
        <v/>
      </c>
      <c r="Q104" s="362" t="str">
        <f>IF(M104="","",VLOOKUP(M104,'G-6 Hedgerow Data'!$B$2:$AG$15,2,FALSE))</f>
        <v/>
      </c>
      <c r="R104" s="363" t="str">
        <f>IF(M104="","",VLOOKUP(M104,'G-6 Hedgerow Data'!$B$2:$AG$15,3,FALSE))</f>
        <v/>
      </c>
      <c r="S104" s="125"/>
      <c r="T104" s="401" t="str">
        <f>IFERROR(VLOOKUP(S104,'G-1 All Habitats'!$Z$2:$AA$9,2,FALSE),"")</f>
        <v/>
      </c>
      <c r="U104" s="122"/>
      <c r="V104" s="382" t="str">
        <f>IF(U104="","",IF(VLOOKUP(U104,'G-3 Multipliers'!$L$3:$N$6,2,FALSE)=0,"Spatial Data Missing ⚠",VLOOKUP(U104,'G-3 Multipliers'!$L$3:$N$6,2,FALSE)))</f>
        <v/>
      </c>
      <c r="W104" s="386" t="str">
        <f>IF(U104="","",IF(VLOOKUP(U104,'G-3 Multipliers'!$L$3:$N$6,3,FALSE)=0,"Spatial Data Missing ⚠",VLOOKUP(U104,'G-3 Multipliers'!$L$3:$N$6,3,FALSE)))</f>
        <v/>
      </c>
      <c r="X104" s="362" t="str">
        <f>IFERROR(IF(OR(LEFT(O104,5)="Error",LEFT(N104,5)="Error",T104="Error"),"Check Data ⚠",IF(F104&lt;R104,INDEX('G-6 Hedgerow Data'!$S$3:$AE$14,MATCH(C104,'G-6 Hedgerow Data'!$B$3:$B$14,0),MATCH(M104,'G-6 Hedgerow Data'!$S$2:$AE$2,0)),INDEX('G-6 Hedgerow Data'!$K$3:$Q$14,MATCH(M104,'G-6 Hedgerow Data'!$B$3:$B$14,0),MATCH(O104,'G-6 Hedgerow Data'!$K$2:$Q$2,0)))),"")</f>
        <v/>
      </c>
      <c r="Y104" s="159"/>
      <c r="Z104" s="159"/>
      <c r="AA104" s="370" t="str">
        <f t="shared" si="11"/>
        <v/>
      </c>
      <c r="AB104" s="383" t="str">
        <f t="shared" si="12"/>
        <v/>
      </c>
      <c r="AC104" s="384" t="str">
        <f t="shared" si="8"/>
        <v/>
      </c>
      <c r="AD104" s="398" t="str">
        <f>IF(M104="","",VLOOKUP(M104,'G-6 Hedgerow Data'!$B$3:$AG$15,31,FALSE))</f>
        <v/>
      </c>
      <c r="AE104" s="370" t="str">
        <f t="shared" si="13"/>
        <v/>
      </c>
      <c r="AF104" s="370" t="str">
        <f t="shared" si="14"/>
        <v/>
      </c>
      <c r="AG104" s="386" t="str">
        <f>IFERROR(IF(O104="","",VLOOKUP(AD104,'G-3 Multipliers'!$P$3:$Q$6,2,FALSE)),"")</f>
        <v/>
      </c>
      <c r="AH104" s="376" t="str">
        <f t="shared" si="9"/>
        <v/>
      </c>
      <c r="AI104" s="188"/>
      <c r="AJ104" s="118"/>
      <c r="AK104" s="120"/>
      <c r="AT104" s="30" t="str">
        <f>IFERROR(INDEX('G-6 Hedgerow Data'!$BJ$3:$BJ$15,MATCH(M104,'G-6 Hedgerow Data'!$B$3:$B$15,0)),"")</f>
        <v/>
      </c>
    </row>
    <row r="105" spans="2:46" ht="15">
      <c r="B105" s="392" t="str">
        <f>'B-1 On-Site Hedge Baseline'!AK103</f>
        <v/>
      </c>
      <c r="C105" s="382" t="str">
        <f>IF(B105="","",IF(ISNA(VLOOKUP($B105,'B-1 On-Site Hedge Baseline'!$B$1:$L$257,3,FALSE)),"",(VLOOKUP($B105,'B-1 On-Site Hedge Baseline'!$B$1:$L$257,3,FALSE))))</f>
        <v/>
      </c>
      <c r="D105" s="382" t="str">
        <f>IF(B105="","",IF(ISNA(VLOOKUP($B105,'B-1 On-Site Hedge Baseline'!$B$1:$L$257,4,FALSE)),"",(VLOOKUP($B105,'B-1 On-Site Hedge Baseline'!$B$1:$L$257,4,FALSE))))</f>
        <v/>
      </c>
      <c r="E105" s="382" t="str">
        <f>IF(B105="","",IF(ISNA(VLOOKUP($B105,'B-1 On-Site Hedge Baseline'!$B$1:$L$257,5,FALSE)),"",(VLOOKUP($B105,'B-1 On-Site Hedge Baseline'!$B$1:$L$257,5,FALSE))))</f>
        <v/>
      </c>
      <c r="F105" s="382" t="str">
        <f>IF(B105="","",IF(ISNA(VLOOKUP($B105,'B-1 On-Site Hedge Baseline'!$B$1:$L$257,6,FALSE)),"",(VLOOKUP($B105,'B-1 On-Site Hedge Baseline'!$B$1:$L$257,6,FALSE))))</f>
        <v/>
      </c>
      <c r="G105" s="382" t="str">
        <f>IF(B105="","",IF(ISNA(VLOOKUP($B105,'B-1 On-Site Hedge Baseline'!$B$1:$L$257,7,FALSE)),"",(VLOOKUP($B105,'B-1 On-Site Hedge Baseline'!$B$1:$L$257,7,FALSE))))</f>
        <v/>
      </c>
      <c r="H105" s="382" t="str">
        <f>IF(B105="","",IF(ISNA(VLOOKUP($B105,'B-1 On-Site Hedge Baseline'!$B$1:$L$257,8,FALSE)),"",(VLOOKUP($B105,'B-1 On-Site Hedge Baseline'!$B$1:$L$257,8,FALSE))))</f>
        <v/>
      </c>
      <c r="I105" s="382" t="str">
        <f>IF(B105="","",IF(ISNA(VLOOKUP($B105,'B-1 On-Site Hedge Baseline'!$B$1:$L$257,10,FALSE)),"",(VLOOKUP($B105,'B-1 On-Site Hedge Baseline'!$B$1:$L$257,10,FALSE))))</f>
        <v/>
      </c>
      <c r="J105" s="382" t="str">
        <f>IF(B105="","",IF(ISNA(VLOOKUP($B105,'B-1 On-Site Hedge Baseline'!$B$1:$L$257,11,FALSE)),"",(VLOOKUP($B105,'B-1 On-Site Hedge Baseline'!$B$1:$L$257,11,FALSE))))</f>
        <v/>
      </c>
      <c r="K105" s="382" t="str">
        <f>IF(B105="","",IF(ISNA(VLOOKUP($B105,'B-1 On-Site Hedge Baseline'!$B$1:$U$257,13,FALSE)),"",(VLOOKUP($B105,'B-1 On-Site Hedge Baseline'!$B$1:$U$257,13,FALSE))))</f>
        <v/>
      </c>
      <c r="L105" s="386" t="str">
        <f>IF(B105="","",IF(ISNA(VLOOKUP($B105,'B-1 On-Site Hedge Baseline'!$B$1:$U$257,12,FALSE)),"",(VLOOKUP($B105,'B-1 On-Site Hedge Baseline'!$B$1:$U$257,12,FALSE))))</f>
        <v/>
      </c>
      <c r="M105" s="315" t="str">
        <f t="shared" si="15"/>
        <v/>
      </c>
      <c r="N105" s="362" t="str">
        <f>IFERROR(IF(B105="","",INDEX('G-6 Hedgerow Data'!$AN$3:$AZ$15,MATCH(C105,'G-6 Hedgerow Data'!$AM$3:$AM$15,0),MATCH(M105,'G-6 Hedgerow Data'!$AN$2:$AZ$2,0))),"")</f>
        <v/>
      </c>
      <c r="O105" s="363" t="str">
        <f t="shared" si="10"/>
        <v/>
      </c>
      <c r="P105" s="417" t="str">
        <f>IF(B105="","",VLOOKUP(B105,'B-1 On-Site Hedge Baseline'!$B$10:T350,16,FALSE))</f>
        <v/>
      </c>
      <c r="Q105" s="362" t="str">
        <f>IF(M105="","",VLOOKUP(M105,'G-6 Hedgerow Data'!$B$2:$AG$15,2,FALSE))</f>
        <v/>
      </c>
      <c r="R105" s="363" t="str">
        <f>IF(M105="","",VLOOKUP(M105,'G-6 Hedgerow Data'!$B$2:$AG$15,3,FALSE))</f>
        <v/>
      </c>
      <c r="S105" s="125"/>
      <c r="T105" s="401" t="str">
        <f>IFERROR(VLOOKUP(S105,'G-1 All Habitats'!$Z$2:$AA$9,2,FALSE),"")</f>
        <v/>
      </c>
      <c r="U105" s="122"/>
      <c r="V105" s="382" t="str">
        <f>IF(U105="","",IF(VLOOKUP(U105,'G-3 Multipliers'!$L$3:$N$6,2,FALSE)=0,"Spatial Data Missing ⚠",VLOOKUP(U105,'G-3 Multipliers'!$L$3:$N$6,2,FALSE)))</f>
        <v/>
      </c>
      <c r="W105" s="386" t="str">
        <f>IF(U105="","",IF(VLOOKUP(U105,'G-3 Multipliers'!$L$3:$N$6,3,FALSE)=0,"Spatial Data Missing ⚠",VLOOKUP(U105,'G-3 Multipliers'!$L$3:$N$6,3,FALSE)))</f>
        <v/>
      </c>
      <c r="X105" s="362" t="str">
        <f>IFERROR(IF(OR(LEFT(O105,5)="Error",LEFT(N105,5)="Error",T105="Error"),"Check Data ⚠",IF(F105&lt;R105,INDEX('G-6 Hedgerow Data'!$S$3:$AE$14,MATCH(C105,'G-6 Hedgerow Data'!$B$3:$B$14,0),MATCH(M105,'G-6 Hedgerow Data'!$S$2:$AE$2,0)),INDEX('G-6 Hedgerow Data'!$K$3:$Q$14,MATCH(M105,'G-6 Hedgerow Data'!$B$3:$B$14,0),MATCH(O105,'G-6 Hedgerow Data'!$K$2:$Q$2,0)))),"")</f>
        <v/>
      </c>
      <c r="Y105" s="159"/>
      <c r="Z105" s="159"/>
      <c r="AA105" s="370" t="str">
        <f t="shared" si="11"/>
        <v/>
      </c>
      <c r="AB105" s="383" t="str">
        <f t="shared" si="12"/>
        <v/>
      </c>
      <c r="AC105" s="384" t="str">
        <f t="shared" si="8"/>
        <v/>
      </c>
      <c r="AD105" s="398" t="str">
        <f>IF(M105="","",VLOOKUP(M105,'G-6 Hedgerow Data'!$B$3:$AG$15,31,FALSE))</f>
        <v/>
      </c>
      <c r="AE105" s="370" t="str">
        <f t="shared" si="13"/>
        <v/>
      </c>
      <c r="AF105" s="370" t="str">
        <f t="shared" si="14"/>
        <v/>
      </c>
      <c r="AG105" s="386" t="str">
        <f>IFERROR(IF(O105="","",VLOOKUP(AD105,'G-3 Multipliers'!$P$3:$Q$6,2,FALSE)),"")</f>
        <v/>
      </c>
      <c r="AH105" s="376" t="str">
        <f t="shared" si="9"/>
        <v/>
      </c>
      <c r="AI105" s="188"/>
      <c r="AJ105" s="118"/>
      <c r="AK105" s="120"/>
      <c r="AT105" s="30" t="str">
        <f>IFERROR(INDEX('G-6 Hedgerow Data'!$BJ$3:$BJ$15,MATCH(M105,'G-6 Hedgerow Data'!$B$3:$B$15,0)),"")</f>
        <v/>
      </c>
    </row>
    <row r="106" spans="2:46" ht="15">
      <c r="B106" s="392" t="str">
        <f>'B-1 On-Site Hedge Baseline'!AK104</f>
        <v/>
      </c>
      <c r="C106" s="382" t="str">
        <f>IF(B106="","",IF(ISNA(VLOOKUP($B106,'B-1 On-Site Hedge Baseline'!$B$1:$L$257,3,FALSE)),"",(VLOOKUP($B106,'B-1 On-Site Hedge Baseline'!$B$1:$L$257,3,FALSE))))</f>
        <v/>
      </c>
      <c r="D106" s="382" t="str">
        <f>IF(B106="","",IF(ISNA(VLOOKUP($B106,'B-1 On-Site Hedge Baseline'!$B$1:$L$257,4,FALSE)),"",(VLOOKUP($B106,'B-1 On-Site Hedge Baseline'!$B$1:$L$257,4,FALSE))))</f>
        <v/>
      </c>
      <c r="E106" s="382" t="str">
        <f>IF(B106="","",IF(ISNA(VLOOKUP($B106,'B-1 On-Site Hedge Baseline'!$B$1:$L$257,5,FALSE)),"",(VLOOKUP($B106,'B-1 On-Site Hedge Baseline'!$B$1:$L$257,5,FALSE))))</f>
        <v/>
      </c>
      <c r="F106" s="382" t="str">
        <f>IF(B106="","",IF(ISNA(VLOOKUP($B106,'B-1 On-Site Hedge Baseline'!$B$1:$L$257,6,FALSE)),"",(VLOOKUP($B106,'B-1 On-Site Hedge Baseline'!$B$1:$L$257,6,FALSE))))</f>
        <v/>
      </c>
      <c r="G106" s="382" t="str">
        <f>IF(B106="","",IF(ISNA(VLOOKUP($B106,'B-1 On-Site Hedge Baseline'!$B$1:$L$257,7,FALSE)),"",(VLOOKUP($B106,'B-1 On-Site Hedge Baseline'!$B$1:$L$257,7,FALSE))))</f>
        <v/>
      </c>
      <c r="H106" s="382" t="str">
        <f>IF(B106="","",IF(ISNA(VLOOKUP($B106,'B-1 On-Site Hedge Baseline'!$B$1:$L$257,8,FALSE)),"",(VLOOKUP($B106,'B-1 On-Site Hedge Baseline'!$B$1:$L$257,8,FALSE))))</f>
        <v/>
      </c>
      <c r="I106" s="382" t="str">
        <f>IF(B106="","",IF(ISNA(VLOOKUP($B106,'B-1 On-Site Hedge Baseline'!$B$1:$L$257,10,FALSE)),"",(VLOOKUP($B106,'B-1 On-Site Hedge Baseline'!$B$1:$L$257,10,FALSE))))</f>
        <v/>
      </c>
      <c r="J106" s="382" t="str">
        <f>IF(B106="","",IF(ISNA(VLOOKUP($B106,'B-1 On-Site Hedge Baseline'!$B$1:$L$257,11,FALSE)),"",(VLOOKUP($B106,'B-1 On-Site Hedge Baseline'!$B$1:$L$257,11,FALSE))))</f>
        <v/>
      </c>
      <c r="K106" s="382" t="str">
        <f>IF(B106="","",IF(ISNA(VLOOKUP($B106,'B-1 On-Site Hedge Baseline'!$B$1:$U$257,13,FALSE)),"",(VLOOKUP($B106,'B-1 On-Site Hedge Baseline'!$B$1:$U$257,13,FALSE))))</f>
        <v/>
      </c>
      <c r="L106" s="386" t="str">
        <f>IF(B106="","",IF(ISNA(VLOOKUP($B106,'B-1 On-Site Hedge Baseline'!$B$1:$U$257,12,FALSE)),"",(VLOOKUP($B106,'B-1 On-Site Hedge Baseline'!$B$1:$U$257,12,FALSE))))</f>
        <v/>
      </c>
      <c r="M106" s="315" t="str">
        <f t="shared" si="15"/>
        <v/>
      </c>
      <c r="N106" s="362" t="str">
        <f>IFERROR(IF(B106="","",INDEX('G-6 Hedgerow Data'!$AN$3:$AZ$15,MATCH(C106,'G-6 Hedgerow Data'!$AM$3:$AM$15,0),MATCH(M106,'G-6 Hedgerow Data'!$AN$2:$AZ$2,0))),"")</f>
        <v/>
      </c>
      <c r="O106" s="363" t="str">
        <f t="shared" si="10"/>
        <v/>
      </c>
      <c r="P106" s="417" t="str">
        <f>IF(B106="","",VLOOKUP(B106,'B-1 On-Site Hedge Baseline'!$B$10:T351,16,FALSE))</f>
        <v/>
      </c>
      <c r="Q106" s="362" t="str">
        <f>IF(M106="","",VLOOKUP(M106,'G-6 Hedgerow Data'!$B$2:$AG$15,2,FALSE))</f>
        <v/>
      </c>
      <c r="R106" s="363" t="str">
        <f>IF(M106="","",VLOOKUP(M106,'G-6 Hedgerow Data'!$B$2:$AG$15,3,FALSE))</f>
        <v/>
      </c>
      <c r="S106" s="125"/>
      <c r="T106" s="401" t="str">
        <f>IFERROR(VLOOKUP(S106,'G-1 All Habitats'!$Z$2:$AA$9,2,FALSE),"")</f>
        <v/>
      </c>
      <c r="U106" s="122"/>
      <c r="V106" s="382" t="str">
        <f>IF(U106="","",IF(VLOOKUP(U106,'G-3 Multipliers'!$L$3:$N$6,2,FALSE)=0,"Spatial Data Missing ⚠",VLOOKUP(U106,'G-3 Multipliers'!$L$3:$N$6,2,FALSE)))</f>
        <v/>
      </c>
      <c r="W106" s="386" t="str">
        <f>IF(U106="","",IF(VLOOKUP(U106,'G-3 Multipliers'!$L$3:$N$6,3,FALSE)=0,"Spatial Data Missing ⚠",VLOOKUP(U106,'G-3 Multipliers'!$L$3:$N$6,3,FALSE)))</f>
        <v/>
      </c>
      <c r="X106" s="362" t="str">
        <f>IFERROR(IF(OR(LEFT(O106,5)="Error",LEFT(N106,5)="Error",T106="Error"),"Check Data ⚠",IF(F106&lt;R106,INDEX('G-6 Hedgerow Data'!$S$3:$AE$14,MATCH(C106,'G-6 Hedgerow Data'!$B$3:$B$14,0),MATCH(M106,'G-6 Hedgerow Data'!$S$2:$AE$2,0)),INDEX('G-6 Hedgerow Data'!$K$3:$Q$14,MATCH(M106,'G-6 Hedgerow Data'!$B$3:$B$14,0),MATCH(O106,'G-6 Hedgerow Data'!$K$2:$Q$2,0)))),"")</f>
        <v/>
      </c>
      <c r="Y106" s="159"/>
      <c r="Z106" s="159"/>
      <c r="AA106" s="370" t="str">
        <f t="shared" si="11"/>
        <v/>
      </c>
      <c r="AB106" s="383" t="str">
        <f t="shared" si="12"/>
        <v/>
      </c>
      <c r="AC106" s="384" t="str">
        <f t="shared" si="8"/>
        <v/>
      </c>
      <c r="AD106" s="398" t="str">
        <f>IF(M106="","",VLOOKUP(M106,'G-6 Hedgerow Data'!$B$3:$AG$15,31,FALSE))</f>
        <v/>
      </c>
      <c r="AE106" s="370" t="str">
        <f t="shared" si="13"/>
        <v/>
      </c>
      <c r="AF106" s="370" t="str">
        <f t="shared" si="14"/>
        <v/>
      </c>
      <c r="AG106" s="386" t="str">
        <f>IFERROR(IF(O106="","",VLOOKUP(AD106,'G-3 Multipliers'!$P$3:$Q$6,2,FALSE)),"")</f>
        <v/>
      </c>
      <c r="AH106" s="376" t="str">
        <f t="shared" si="9"/>
        <v/>
      </c>
      <c r="AI106" s="188"/>
      <c r="AJ106" s="118"/>
      <c r="AK106" s="120"/>
      <c r="AT106" s="30" t="str">
        <f>IFERROR(INDEX('G-6 Hedgerow Data'!$BJ$3:$BJ$15,MATCH(M106,'G-6 Hedgerow Data'!$B$3:$B$15,0)),"")</f>
        <v/>
      </c>
    </row>
    <row r="107" spans="2:46" ht="15">
      <c r="B107" s="392" t="str">
        <f>'B-1 On-Site Hedge Baseline'!AK105</f>
        <v/>
      </c>
      <c r="C107" s="382" t="str">
        <f>IF(B107="","",IF(ISNA(VLOOKUP($B107,'B-1 On-Site Hedge Baseline'!$B$1:$L$257,3,FALSE)),"",(VLOOKUP($B107,'B-1 On-Site Hedge Baseline'!$B$1:$L$257,3,FALSE))))</f>
        <v/>
      </c>
      <c r="D107" s="382" t="str">
        <f>IF(B107="","",IF(ISNA(VLOOKUP($B107,'B-1 On-Site Hedge Baseline'!$B$1:$L$257,4,FALSE)),"",(VLOOKUP($B107,'B-1 On-Site Hedge Baseline'!$B$1:$L$257,4,FALSE))))</f>
        <v/>
      </c>
      <c r="E107" s="382" t="str">
        <f>IF(B107="","",IF(ISNA(VLOOKUP($B107,'B-1 On-Site Hedge Baseline'!$B$1:$L$257,5,FALSE)),"",(VLOOKUP($B107,'B-1 On-Site Hedge Baseline'!$B$1:$L$257,5,FALSE))))</f>
        <v/>
      </c>
      <c r="F107" s="382" t="str">
        <f>IF(B107="","",IF(ISNA(VLOOKUP($B107,'B-1 On-Site Hedge Baseline'!$B$1:$L$257,6,FALSE)),"",(VLOOKUP($B107,'B-1 On-Site Hedge Baseline'!$B$1:$L$257,6,FALSE))))</f>
        <v/>
      </c>
      <c r="G107" s="382" t="str">
        <f>IF(B107="","",IF(ISNA(VLOOKUP($B107,'B-1 On-Site Hedge Baseline'!$B$1:$L$257,7,FALSE)),"",(VLOOKUP($B107,'B-1 On-Site Hedge Baseline'!$B$1:$L$257,7,FALSE))))</f>
        <v/>
      </c>
      <c r="H107" s="382" t="str">
        <f>IF(B107="","",IF(ISNA(VLOOKUP($B107,'B-1 On-Site Hedge Baseline'!$B$1:$L$257,8,FALSE)),"",(VLOOKUP($B107,'B-1 On-Site Hedge Baseline'!$B$1:$L$257,8,FALSE))))</f>
        <v/>
      </c>
      <c r="I107" s="382" t="str">
        <f>IF(B107="","",IF(ISNA(VLOOKUP($B107,'B-1 On-Site Hedge Baseline'!$B$1:$L$257,10,FALSE)),"",(VLOOKUP($B107,'B-1 On-Site Hedge Baseline'!$B$1:$L$257,10,FALSE))))</f>
        <v/>
      </c>
      <c r="J107" s="382" t="str">
        <f>IF(B107="","",IF(ISNA(VLOOKUP($B107,'B-1 On-Site Hedge Baseline'!$B$1:$L$257,11,FALSE)),"",(VLOOKUP($B107,'B-1 On-Site Hedge Baseline'!$B$1:$L$257,11,FALSE))))</f>
        <v/>
      </c>
      <c r="K107" s="382" t="str">
        <f>IF(B107="","",IF(ISNA(VLOOKUP($B107,'B-1 On-Site Hedge Baseline'!$B$1:$U$257,13,FALSE)),"",(VLOOKUP($B107,'B-1 On-Site Hedge Baseline'!$B$1:$U$257,13,FALSE))))</f>
        <v/>
      </c>
      <c r="L107" s="386" t="str">
        <f>IF(B107="","",IF(ISNA(VLOOKUP($B107,'B-1 On-Site Hedge Baseline'!$B$1:$U$257,12,FALSE)),"",(VLOOKUP($B107,'B-1 On-Site Hedge Baseline'!$B$1:$U$257,12,FALSE))))</f>
        <v/>
      </c>
      <c r="M107" s="315" t="str">
        <f t="shared" si="15"/>
        <v/>
      </c>
      <c r="N107" s="362" t="str">
        <f>IFERROR(IF(B107="","",INDEX('G-6 Hedgerow Data'!$AN$3:$AZ$15,MATCH(C107,'G-6 Hedgerow Data'!$AM$3:$AM$15,0),MATCH(M107,'G-6 Hedgerow Data'!$AN$2:$AZ$2,0))),"")</f>
        <v/>
      </c>
      <c r="O107" s="363" t="str">
        <f t="shared" si="10"/>
        <v/>
      </c>
      <c r="P107" s="417" t="str">
        <f>IF(B107="","",VLOOKUP(B107,'B-1 On-Site Hedge Baseline'!$B$10:T352,16,FALSE))</f>
        <v/>
      </c>
      <c r="Q107" s="362" t="str">
        <f>IF(M107="","",VLOOKUP(M107,'G-6 Hedgerow Data'!$B$2:$AG$15,2,FALSE))</f>
        <v/>
      </c>
      <c r="R107" s="363" t="str">
        <f>IF(M107="","",VLOOKUP(M107,'G-6 Hedgerow Data'!$B$2:$AG$15,3,FALSE))</f>
        <v/>
      </c>
      <c r="S107" s="125"/>
      <c r="T107" s="401" t="str">
        <f>IFERROR(VLOOKUP(S107,'G-1 All Habitats'!$Z$2:$AA$9,2,FALSE),"")</f>
        <v/>
      </c>
      <c r="U107" s="122"/>
      <c r="V107" s="382" t="str">
        <f>IF(U107="","",IF(VLOOKUP(U107,'G-3 Multipliers'!$L$3:$N$6,2,FALSE)=0,"Spatial Data Missing ⚠",VLOOKUP(U107,'G-3 Multipliers'!$L$3:$N$6,2,FALSE)))</f>
        <v/>
      </c>
      <c r="W107" s="386" t="str">
        <f>IF(U107="","",IF(VLOOKUP(U107,'G-3 Multipliers'!$L$3:$N$6,3,FALSE)=0,"Spatial Data Missing ⚠",VLOOKUP(U107,'G-3 Multipliers'!$L$3:$N$6,3,FALSE)))</f>
        <v/>
      </c>
      <c r="X107" s="362" t="str">
        <f>IFERROR(IF(OR(LEFT(O107,5)="Error",LEFT(N107,5)="Error",T107="Error"),"Check Data ⚠",IF(F107&lt;R107,INDEX('G-6 Hedgerow Data'!$S$3:$AE$14,MATCH(C107,'G-6 Hedgerow Data'!$B$3:$B$14,0),MATCH(M107,'G-6 Hedgerow Data'!$S$2:$AE$2,0)),INDEX('G-6 Hedgerow Data'!$K$3:$Q$14,MATCH(M107,'G-6 Hedgerow Data'!$B$3:$B$14,0),MATCH(O107,'G-6 Hedgerow Data'!$K$2:$Q$2,0)))),"")</f>
        <v/>
      </c>
      <c r="Y107" s="159"/>
      <c r="Z107" s="159"/>
      <c r="AA107" s="370" t="str">
        <f t="shared" si="11"/>
        <v/>
      </c>
      <c r="AB107" s="383" t="str">
        <f t="shared" si="12"/>
        <v/>
      </c>
      <c r="AC107" s="384" t="str">
        <f t="shared" si="8"/>
        <v/>
      </c>
      <c r="AD107" s="398" t="str">
        <f>IF(M107="","",VLOOKUP(M107,'G-6 Hedgerow Data'!$B$3:$AG$15,31,FALSE))</f>
        <v/>
      </c>
      <c r="AE107" s="370" t="str">
        <f t="shared" si="13"/>
        <v/>
      </c>
      <c r="AF107" s="370" t="str">
        <f t="shared" si="14"/>
        <v/>
      </c>
      <c r="AG107" s="386" t="str">
        <f>IFERROR(IF(O107="","",VLOOKUP(AD107,'G-3 Multipliers'!$P$3:$Q$6,2,FALSE)),"")</f>
        <v/>
      </c>
      <c r="AH107" s="376" t="str">
        <f t="shared" si="9"/>
        <v/>
      </c>
      <c r="AI107" s="188"/>
      <c r="AJ107" s="118"/>
      <c r="AK107" s="120"/>
      <c r="AT107" s="30" t="str">
        <f>IFERROR(INDEX('G-6 Hedgerow Data'!$BJ$3:$BJ$15,MATCH(M107,'G-6 Hedgerow Data'!$B$3:$B$15,0)),"")</f>
        <v/>
      </c>
    </row>
    <row r="108" spans="2:46" ht="15">
      <c r="B108" s="392" t="str">
        <f>'B-1 On-Site Hedge Baseline'!AK106</f>
        <v/>
      </c>
      <c r="C108" s="382" t="str">
        <f>IF(B108="","",IF(ISNA(VLOOKUP($B108,'B-1 On-Site Hedge Baseline'!$B$1:$L$257,3,FALSE)),"",(VLOOKUP($B108,'B-1 On-Site Hedge Baseline'!$B$1:$L$257,3,FALSE))))</f>
        <v/>
      </c>
      <c r="D108" s="382" t="str">
        <f>IF(B108="","",IF(ISNA(VLOOKUP($B108,'B-1 On-Site Hedge Baseline'!$B$1:$L$257,4,FALSE)),"",(VLOOKUP($B108,'B-1 On-Site Hedge Baseline'!$B$1:$L$257,4,FALSE))))</f>
        <v/>
      </c>
      <c r="E108" s="382" t="str">
        <f>IF(B108="","",IF(ISNA(VLOOKUP($B108,'B-1 On-Site Hedge Baseline'!$B$1:$L$257,5,FALSE)),"",(VLOOKUP($B108,'B-1 On-Site Hedge Baseline'!$B$1:$L$257,5,FALSE))))</f>
        <v/>
      </c>
      <c r="F108" s="382" t="str">
        <f>IF(B108="","",IF(ISNA(VLOOKUP($B108,'B-1 On-Site Hedge Baseline'!$B$1:$L$257,6,FALSE)),"",(VLOOKUP($B108,'B-1 On-Site Hedge Baseline'!$B$1:$L$257,6,FALSE))))</f>
        <v/>
      </c>
      <c r="G108" s="382" t="str">
        <f>IF(B108="","",IF(ISNA(VLOOKUP($B108,'B-1 On-Site Hedge Baseline'!$B$1:$L$257,7,FALSE)),"",(VLOOKUP($B108,'B-1 On-Site Hedge Baseline'!$B$1:$L$257,7,FALSE))))</f>
        <v/>
      </c>
      <c r="H108" s="382" t="str">
        <f>IF(B108="","",IF(ISNA(VLOOKUP($B108,'B-1 On-Site Hedge Baseline'!$B$1:$L$257,8,FALSE)),"",(VLOOKUP($B108,'B-1 On-Site Hedge Baseline'!$B$1:$L$257,8,FALSE))))</f>
        <v/>
      </c>
      <c r="I108" s="382" t="str">
        <f>IF(B108="","",IF(ISNA(VLOOKUP($B108,'B-1 On-Site Hedge Baseline'!$B$1:$L$257,10,FALSE)),"",(VLOOKUP($B108,'B-1 On-Site Hedge Baseline'!$B$1:$L$257,10,FALSE))))</f>
        <v/>
      </c>
      <c r="J108" s="382" t="str">
        <f>IF(B108="","",IF(ISNA(VLOOKUP($B108,'B-1 On-Site Hedge Baseline'!$B$1:$L$257,11,FALSE)),"",(VLOOKUP($B108,'B-1 On-Site Hedge Baseline'!$B$1:$L$257,11,FALSE))))</f>
        <v/>
      </c>
      <c r="K108" s="382" t="str">
        <f>IF(B108="","",IF(ISNA(VLOOKUP($B108,'B-1 On-Site Hedge Baseline'!$B$1:$U$257,13,FALSE)),"",(VLOOKUP($B108,'B-1 On-Site Hedge Baseline'!$B$1:$U$257,13,FALSE))))</f>
        <v/>
      </c>
      <c r="L108" s="386" t="str">
        <f>IF(B108="","",IF(ISNA(VLOOKUP($B108,'B-1 On-Site Hedge Baseline'!$B$1:$U$257,12,FALSE)),"",(VLOOKUP($B108,'B-1 On-Site Hedge Baseline'!$B$1:$U$257,12,FALSE))))</f>
        <v/>
      </c>
      <c r="M108" s="315" t="str">
        <f t="shared" si="15"/>
        <v/>
      </c>
      <c r="N108" s="362" t="str">
        <f>IFERROR(IF(B108="","",INDEX('G-6 Hedgerow Data'!$AN$3:$AZ$15,MATCH(C108,'G-6 Hedgerow Data'!$AM$3:$AM$15,0),MATCH(M108,'G-6 Hedgerow Data'!$AN$2:$AZ$2,0))),"")</f>
        <v/>
      </c>
      <c r="O108" s="363" t="str">
        <f t="shared" si="10"/>
        <v/>
      </c>
      <c r="P108" s="417" t="str">
        <f>IF(B108="","",VLOOKUP(B108,'B-1 On-Site Hedge Baseline'!$B$10:T353,16,FALSE))</f>
        <v/>
      </c>
      <c r="Q108" s="362" t="str">
        <f>IF(M108="","",VLOOKUP(M108,'G-6 Hedgerow Data'!$B$2:$AG$15,2,FALSE))</f>
        <v/>
      </c>
      <c r="R108" s="363" t="str">
        <f>IF(M108="","",VLOOKUP(M108,'G-6 Hedgerow Data'!$B$2:$AG$15,3,FALSE))</f>
        <v/>
      </c>
      <c r="S108" s="125"/>
      <c r="T108" s="401" t="str">
        <f>IFERROR(VLOOKUP(S108,'G-1 All Habitats'!$Z$2:$AA$9,2,FALSE),"")</f>
        <v/>
      </c>
      <c r="U108" s="122"/>
      <c r="V108" s="382" t="str">
        <f>IF(U108="","",IF(VLOOKUP(U108,'G-3 Multipliers'!$L$3:$N$6,2,FALSE)=0,"Spatial Data Missing ⚠",VLOOKUP(U108,'G-3 Multipliers'!$L$3:$N$6,2,FALSE)))</f>
        <v/>
      </c>
      <c r="W108" s="386" t="str">
        <f>IF(U108="","",IF(VLOOKUP(U108,'G-3 Multipliers'!$L$3:$N$6,3,FALSE)=0,"Spatial Data Missing ⚠",VLOOKUP(U108,'G-3 Multipliers'!$L$3:$N$6,3,FALSE)))</f>
        <v/>
      </c>
      <c r="X108" s="362" t="str">
        <f>IFERROR(IF(OR(LEFT(O108,5)="Error",LEFT(N108,5)="Error",T108="Error"),"Check Data ⚠",IF(F108&lt;R108,INDEX('G-6 Hedgerow Data'!$S$3:$AE$14,MATCH(C108,'G-6 Hedgerow Data'!$B$3:$B$14,0),MATCH(M108,'G-6 Hedgerow Data'!$S$2:$AE$2,0)),INDEX('G-6 Hedgerow Data'!$K$3:$Q$14,MATCH(M108,'G-6 Hedgerow Data'!$B$3:$B$14,0),MATCH(O108,'G-6 Hedgerow Data'!$K$2:$Q$2,0)))),"")</f>
        <v/>
      </c>
      <c r="Y108" s="159"/>
      <c r="Z108" s="159"/>
      <c r="AA108" s="370" t="str">
        <f t="shared" si="11"/>
        <v/>
      </c>
      <c r="AB108" s="383" t="str">
        <f t="shared" si="12"/>
        <v/>
      </c>
      <c r="AC108" s="384" t="str">
        <f t="shared" si="8"/>
        <v/>
      </c>
      <c r="AD108" s="398" t="str">
        <f>IF(M108="","",VLOOKUP(M108,'G-6 Hedgerow Data'!$B$3:$AG$15,31,FALSE))</f>
        <v/>
      </c>
      <c r="AE108" s="370" t="str">
        <f t="shared" si="13"/>
        <v/>
      </c>
      <c r="AF108" s="370" t="str">
        <f t="shared" si="14"/>
        <v/>
      </c>
      <c r="AG108" s="386" t="str">
        <f>IFERROR(IF(O108="","",VLOOKUP(AD108,'G-3 Multipliers'!$P$3:$Q$6,2,FALSE)),"")</f>
        <v/>
      </c>
      <c r="AH108" s="376" t="str">
        <f t="shared" si="9"/>
        <v/>
      </c>
      <c r="AI108" s="188"/>
      <c r="AJ108" s="118"/>
      <c r="AK108" s="120"/>
      <c r="AT108" s="30" t="str">
        <f>IFERROR(INDEX('G-6 Hedgerow Data'!$BJ$3:$BJ$15,MATCH(M108,'G-6 Hedgerow Data'!$B$3:$B$15,0)),"")</f>
        <v/>
      </c>
    </row>
    <row r="109" spans="2:46" ht="15">
      <c r="B109" s="392" t="str">
        <f>'B-1 On-Site Hedge Baseline'!AK107</f>
        <v/>
      </c>
      <c r="C109" s="382" t="str">
        <f>IF(B109="","",IF(ISNA(VLOOKUP($B109,'B-1 On-Site Hedge Baseline'!$B$1:$L$257,3,FALSE)),"",(VLOOKUP($B109,'B-1 On-Site Hedge Baseline'!$B$1:$L$257,3,FALSE))))</f>
        <v/>
      </c>
      <c r="D109" s="382" t="str">
        <f>IF(B109="","",IF(ISNA(VLOOKUP($B109,'B-1 On-Site Hedge Baseline'!$B$1:$L$257,4,FALSE)),"",(VLOOKUP($B109,'B-1 On-Site Hedge Baseline'!$B$1:$L$257,4,FALSE))))</f>
        <v/>
      </c>
      <c r="E109" s="382" t="str">
        <f>IF(B109="","",IF(ISNA(VLOOKUP($B109,'B-1 On-Site Hedge Baseline'!$B$1:$L$257,5,FALSE)),"",(VLOOKUP($B109,'B-1 On-Site Hedge Baseline'!$B$1:$L$257,5,FALSE))))</f>
        <v/>
      </c>
      <c r="F109" s="382" t="str">
        <f>IF(B109="","",IF(ISNA(VLOOKUP($B109,'B-1 On-Site Hedge Baseline'!$B$1:$L$257,6,FALSE)),"",(VLOOKUP($B109,'B-1 On-Site Hedge Baseline'!$B$1:$L$257,6,FALSE))))</f>
        <v/>
      </c>
      <c r="G109" s="382" t="str">
        <f>IF(B109="","",IF(ISNA(VLOOKUP($B109,'B-1 On-Site Hedge Baseline'!$B$1:$L$257,7,FALSE)),"",(VLOOKUP($B109,'B-1 On-Site Hedge Baseline'!$B$1:$L$257,7,FALSE))))</f>
        <v/>
      </c>
      <c r="H109" s="382" t="str">
        <f>IF(B109="","",IF(ISNA(VLOOKUP($B109,'B-1 On-Site Hedge Baseline'!$B$1:$L$257,8,FALSE)),"",(VLOOKUP($B109,'B-1 On-Site Hedge Baseline'!$B$1:$L$257,8,FALSE))))</f>
        <v/>
      </c>
      <c r="I109" s="382" t="str">
        <f>IF(B109="","",IF(ISNA(VLOOKUP($B109,'B-1 On-Site Hedge Baseline'!$B$1:$L$257,10,FALSE)),"",(VLOOKUP($B109,'B-1 On-Site Hedge Baseline'!$B$1:$L$257,10,FALSE))))</f>
        <v/>
      </c>
      <c r="J109" s="382" t="str">
        <f>IF(B109="","",IF(ISNA(VLOOKUP($B109,'B-1 On-Site Hedge Baseline'!$B$1:$L$257,11,FALSE)),"",(VLOOKUP($B109,'B-1 On-Site Hedge Baseline'!$B$1:$L$257,11,FALSE))))</f>
        <v/>
      </c>
      <c r="K109" s="382" t="str">
        <f>IF(B109="","",IF(ISNA(VLOOKUP($B109,'B-1 On-Site Hedge Baseline'!$B$1:$U$257,13,FALSE)),"",(VLOOKUP($B109,'B-1 On-Site Hedge Baseline'!$B$1:$U$257,13,FALSE))))</f>
        <v/>
      </c>
      <c r="L109" s="386" t="str">
        <f>IF(B109="","",IF(ISNA(VLOOKUP($B109,'B-1 On-Site Hedge Baseline'!$B$1:$U$257,12,FALSE)),"",(VLOOKUP($B109,'B-1 On-Site Hedge Baseline'!$B$1:$U$257,12,FALSE))))</f>
        <v/>
      </c>
      <c r="M109" s="315" t="str">
        <f t="shared" si="15"/>
        <v/>
      </c>
      <c r="N109" s="362" t="str">
        <f>IFERROR(IF(B109="","",INDEX('G-6 Hedgerow Data'!$AN$3:$AZ$15,MATCH(C109,'G-6 Hedgerow Data'!$AM$3:$AM$15,0),MATCH(M109,'G-6 Hedgerow Data'!$AN$2:$AZ$2,0))),"")</f>
        <v/>
      </c>
      <c r="O109" s="363" t="str">
        <f t="shared" si="10"/>
        <v/>
      </c>
      <c r="P109" s="417" t="str">
        <f>IF(B109="","",VLOOKUP(B109,'B-1 On-Site Hedge Baseline'!$B$10:T354,16,FALSE))</f>
        <v/>
      </c>
      <c r="Q109" s="362" t="str">
        <f>IF(M109="","",VLOOKUP(M109,'G-6 Hedgerow Data'!$B$2:$AG$15,2,FALSE))</f>
        <v/>
      </c>
      <c r="R109" s="363" t="str">
        <f>IF(M109="","",VLOOKUP(M109,'G-6 Hedgerow Data'!$B$2:$AG$15,3,FALSE))</f>
        <v/>
      </c>
      <c r="S109" s="125"/>
      <c r="T109" s="401" t="str">
        <f>IFERROR(VLOOKUP(S109,'G-1 All Habitats'!$Z$2:$AA$9,2,FALSE),"")</f>
        <v/>
      </c>
      <c r="U109" s="122"/>
      <c r="V109" s="382" t="str">
        <f>IF(U109="","",IF(VLOOKUP(U109,'G-3 Multipliers'!$L$3:$N$6,2,FALSE)=0,"Spatial Data Missing ⚠",VLOOKUP(U109,'G-3 Multipliers'!$L$3:$N$6,2,FALSE)))</f>
        <v/>
      </c>
      <c r="W109" s="386" t="str">
        <f>IF(U109="","",IF(VLOOKUP(U109,'G-3 Multipliers'!$L$3:$N$6,3,FALSE)=0,"Spatial Data Missing ⚠",VLOOKUP(U109,'G-3 Multipliers'!$L$3:$N$6,3,FALSE)))</f>
        <v/>
      </c>
      <c r="X109" s="362" t="str">
        <f>IFERROR(IF(OR(LEFT(O109,5)="Error",LEFT(N109,5)="Error",T109="Error"),"Check Data ⚠",IF(F109&lt;R109,INDEX('G-6 Hedgerow Data'!$S$3:$AE$14,MATCH(C109,'G-6 Hedgerow Data'!$B$3:$B$14,0),MATCH(M109,'G-6 Hedgerow Data'!$S$2:$AE$2,0)),INDEX('G-6 Hedgerow Data'!$K$3:$Q$14,MATCH(M109,'G-6 Hedgerow Data'!$B$3:$B$14,0),MATCH(O109,'G-6 Hedgerow Data'!$K$2:$Q$2,0)))),"")</f>
        <v/>
      </c>
      <c r="Y109" s="159"/>
      <c r="Z109" s="159"/>
      <c r="AA109" s="370" t="str">
        <f t="shared" si="11"/>
        <v/>
      </c>
      <c r="AB109" s="383" t="str">
        <f t="shared" si="12"/>
        <v/>
      </c>
      <c r="AC109" s="384" t="str">
        <f t="shared" si="8"/>
        <v/>
      </c>
      <c r="AD109" s="398" t="str">
        <f>IF(M109="","",VLOOKUP(M109,'G-6 Hedgerow Data'!$B$3:$AG$15,31,FALSE))</f>
        <v/>
      </c>
      <c r="AE109" s="370" t="str">
        <f t="shared" si="13"/>
        <v/>
      </c>
      <c r="AF109" s="370" t="str">
        <f t="shared" si="14"/>
        <v/>
      </c>
      <c r="AG109" s="386" t="str">
        <f>IFERROR(IF(O109="","",VLOOKUP(AD109,'G-3 Multipliers'!$P$3:$Q$6,2,FALSE)),"")</f>
        <v/>
      </c>
      <c r="AH109" s="376" t="str">
        <f t="shared" si="9"/>
        <v/>
      </c>
      <c r="AI109" s="188"/>
      <c r="AJ109" s="118"/>
      <c r="AK109" s="120"/>
      <c r="AT109" s="30" t="str">
        <f>IFERROR(INDEX('G-6 Hedgerow Data'!$BJ$3:$BJ$15,MATCH(M109,'G-6 Hedgerow Data'!$B$3:$B$15,0)),"")</f>
        <v/>
      </c>
    </row>
    <row r="110" spans="2:46" ht="15">
      <c r="B110" s="392" t="str">
        <f>'B-1 On-Site Hedge Baseline'!AK108</f>
        <v/>
      </c>
      <c r="C110" s="382" t="str">
        <f>IF(B110="","",IF(ISNA(VLOOKUP($B110,'B-1 On-Site Hedge Baseline'!$B$1:$L$257,3,FALSE)),"",(VLOOKUP($B110,'B-1 On-Site Hedge Baseline'!$B$1:$L$257,3,FALSE))))</f>
        <v/>
      </c>
      <c r="D110" s="382" t="str">
        <f>IF(B110="","",IF(ISNA(VLOOKUP($B110,'B-1 On-Site Hedge Baseline'!$B$1:$L$257,4,FALSE)),"",(VLOOKUP($B110,'B-1 On-Site Hedge Baseline'!$B$1:$L$257,4,FALSE))))</f>
        <v/>
      </c>
      <c r="E110" s="382" t="str">
        <f>IF(B110="","",IF(ISNA(VLOOKUP($B110,'B-1 On-Site Hedge Baseline'!$B$1:$L$257,5,FALSE)),"",(VLOOKUP($B110,'B-1 On-Site Hedge Baseline'!$B$1:$L$257,5,FALSE))))</f>
        <v/>
      </c>
      <c r="F110" s="382" t="str">
        <f>IF(B110="","",IF(ISNA(VLOOKUP($B110,'B-1 On-Site Hedge Baseline'!$B$1:$L$257,6,FALSE)),"",(VLOOKUP($B110,'B-1 On-Site Hedge Baseline'!$B$1:$L$257,6,FALSE))))</f>
        <v/>
      </c>
      <c r="G110" s="382" t="str">
        <f>IF(B110="","",IF(ISNA(VLOOKUP($B110,'B-1 On-Site Hedge Baseline'!$B$1:$L$257,7,FALSE)),"",(VLOOKUP($B110,'B-1 On-Site Hedge Baseline'!$B$1:$L$257,7,FALSE))))</f>
        <v/>
      </c>
      <c r="H110" s="382" t="str">
        <f>IF(B110="","",IF(ISNA(VLOOKUP($B110,'B-1 On-Site Hedge Baseline'!$B$1:$L$257,8,FALSE)),"",(VLOOKUP($B110,'B-1 On-Site Hedge Baseline'!$B$1:$L$257,8,FALSE))))</f>
        <v/>
      </c>
      <c r="I110" s="382" t="str">
        <f>IF(B110="","",IF(ISNA(VLOOKUP($B110,'B-1 On-Site Hedge Baseline'!$B$1:$L$257,10,FALSE)),"",(VLOOKUP($B110,'B-1 On-Site Hedge Baseline'!$B$1:$L$257,10,FALSE))))</f>
        <v/>
      </c>
      <c r="J110" s="382" t="str">
        <f>IF(B110="","",IF(ISNA(VLOOKUP($B110,'B-1 On-Site Hedge Baseline'!$B$1:$L$257,11,FALSE)),"",(VLOOKUP($B110,'B-1 On-Site Hedge Baseline'!$B$1:$L$257,11,FALSE))))</f>
        <v/>
      </c>
      <c r="K110" s="382" t="str">
        <f>IF(B110="","",IF(ISNA(VLOOKUP($B110,'B-1 On-Site Hedge Baseline'!$B$1:$U$257,13,FALSE)),"",(VLOOKUP($B110,'B-1 On-Site Hedge Baseline'!$B$1:$U$257,13,FALSE))))</f>
        <v/>
      </c>
      <c r="L110" s="386" t="str">
        <f>IF(B110="","",IF(ISNA(VLOOKUP($B110,'B-1 On-Site Hedge Baseline'!$B$1:$U$257,12,FALSE)),"",(VLOOKUP($B110,'B-1 On-Site Hedge Baseline'!$B$1:$U$257,12,FALSE))))</f>
        <v/>
      </c>
      <c r="M110" s="315" t="str">
        <f t="shared" si="15"/>
        <v/>
      </c>
      <c r="N110" s="362" t="str">
        <f>IFERROR(IF(B110="","",INDEX('G-6 Hedgerow Data'!$AN$3:$AZ$15,MATCH(C110,'G-6 Hedgerow Data'!$AM$3:$AM$15,0),MATCH(M110,'G-6 Hedgerow Data'!$AN$2:$AZ$2,0))),"")</f>
        <v/>
      </c>
      <c r="O110" s="363" t="str">
        <f t="shared" si="10"/>
        <v/>
      </c>
      <c r="P110" s="417" t="str">
        <f>IF(B110="","",VLOOKUP(B110,'B-1 On-Site Hedge Baseline'!$B$10:T355,16,FALSE))</f>
        <v/>
      </c>
      <c r="Q110" s="362" t="str">
        <f>IF(M110="","",VLOOKUP(M110,'G-6 Hedgerow Data'!$B$2:$AG$15,2,FALSE))</f>
        <v/>
      </c>
      <c r="R110" s="363" t="str">
        <f>IF(M110="","",VLOOKUP(M110,'G-6 Hedgerow Data'!$B$2:$AG$15,3,FALSE))</f>
        <v/>
      </c>
      <c r="S110" s="125"/>
      <c r="T110" s="401" t="str">
        <f>IFERROR(VLOOKUP(S110,'G-1 All Habitats'!$Z$2:$AA$9,2,FALSE),"")</f>
        <v/>
      </c>
      <c r="U110" s="122"/>
      <c r="V110" s="382" t="str">
        <f>IF(U110="","",IF(VLOOKUP(U110,'G-3 Multipliers'!$L$3:$N$6,2,FALSE)=0,"Spatial Data Missing ⚠",VLOOKUP(U110,'G-3 Multipliers'!$L$3:$N$6,2,FALSE)))</f>
        <v/>
      </c>
      <c r="W110" s="386" t="str">
        <f>IF(U110="","",IF(VLOOKUP(U110,'G-3 Multipliers'!$L$3:$N$6,3,FALSE)=0,"Spatial Data Missing ⚠",VLOOKUP(U110,'G-3 Multipliers'!$L$3:$N$6,3,FALSE)))</f>
        <v/>
      </c>
      <c r="X110" s="362" t="str">
        <f>IFERROR(IF(OR(LEFT(O110,5)="Error",LEFT(N110,5)="Error",T110="Error"),"Check Data ⚠",IF(F110&lt;R110,INDEX('G-6 Hedgerow Data'!$S$3:$AE$14,MATCH(C110,'G-6 Hedgerow Data'!$B$3:$B$14,0),MATCH(M110,'G-6 Hedgerow Data'!$S$2:$AE$2,0)),INDEX('G-6 Hedgerow Data'!$K$3:$Q$14,MATCH(M110,'G-6 Hedgerow Data'!$B$3:$B$14,0),MATCH(O110,'G-6 Hedgerow Data'!$K$2:$Q$2,0)))),"")</f>
        <v/>
      </c>
      <c r="Y110" s="159"/>
      <c r="Z110" s="159"/>
      <c r="AA110" s="370" t="str">
        <f t="shared" si="11"/>
        <v/>
      </c>
      <c r="AB110" s="383" t="str">
        <f t="shared" si="12"/>
        <v/>
      </c>
      <c r="AC110" s="384" t="str">
        <f t="shared" si="8"/>
        <v/>
      </c>
      <c r="AD110" s="398" t="str">
        <f>IF(M110="","",VLOOKUP(M110,'G-6 Hedgerow Data'!$B$3:$AG$15,31,FALSE))</f>
        <v/>
      </c>
      <c r="AE110" s="370" t="str">
        <f t="shared" si="13"/>
        <v/>
      </c>
      <c r="AF110" s="370" t="str">
        <f t="shared" si="14"/>
        <v/>
      </c>
      <c r="AG110" s="386" t="str">
        <f>IFERROR(IF(O110="","",VLOOKUP(AD110,'G-3 Multipliers'!$P$3:$Q$6,2,FALSE)),"")</f>
        <v/>
      </c>
      <c r="AH110" s="376" t="str">
        <f t="shared" si="9"/>
        <v/>
      </c>
      <c r="AI110" s="188"/>
      <c r="AJ110" s="118"/>
      <c r="AK110" s="120"/>
      <c r="AT110" s="30" t="str">
        <f>IFERROR(INDEX('G-6 Hedgerow Data'!$BJ$3:$BJ$15,MATCH(M110,'G-6 Hedgerow Data'!$B$3:$B$15,0)),"")</f>
        <v/>
      </c>
    </row>
    <row r="111" spans="2:46" ht="15">
      <c r="B111" s="392" t="str">
        <f>'B-1 On-Site Hedge Baseline'!AK109</f>
        <v/>
      </c>
      <c r="C111" s="382" t="str">
        <f>IF(B111="","",IF(ISNA(VLOOKUP($B111,'B-1 On-Site Hedge Baseline'!$B$1:$L$257,3,FALSE)),"",(VLOOKUP($B111,'B-1 On-Site Hedge Baseline'!$B$1:$L$257,3,FALSE))))</f>
        <v/>
      </c>
      <c r="D111" s="382" t="str">
        <f>IF(B111="","",IF(ISNA(VLOOKUP($B111,'B-1 On-Site Hedge Baseline'!$B$1:$L$257,4,FALSE)),"",(VLOOKUP($B111,'B-1 On-Site Hedge Baseline'!$B$1:$L$257,4,FALSE))))</f>
        <v/>
      </c>
      <c r="E111" s="382" t="str">
        <f>IF(B111="","",IF(ISNA(VLOOKUP($B111,'B-1 On-Site Hedge Baseline'!$B$1:$L$257,5,FALSE)),"",(VLOOKUP($B111,'B-1 On-Site Hedge Baseline'!$B$1:$L$257,5,FALSE))))</f>
        <v/>
      </c>
      <c r="F111" s="382" t="str">
        <f>IF(B111="","",IF(ISNA(VLOOKUP($B111,'B-1 On-Site Hedge Baseline'!$B$1:$L$257,6,FALSE)),"",(VLOOKUP($B111,'B-1 On-Site Hedge Baseline'!$B$1:$L$257,6,FALSE))))</f>
        <v/>
      </c>
      <c r="G111" s="382" t="str">
        <f>IF(B111="","",IF(ISNA(VLOOKUP($B111,'B-1 On-Site Hedge Baseline'!$B$1:$L$257,7,FALSE)),"",(VLOOKUP($B111,'B-1 On-Site Hedge Baseline'!$B$1:$L$257,7,FALSE))))</f>
        <v/>
      </c>
      <c r="H111" s="382" t="str">
        <f>IF(B111="","",IF(ISNA(VLOOKUP($B111,'B-1 On-Site Hedge Baseline'!$B$1:$L$257,8,FALSE)),"",(VLOOKUP($B111,'B-1 On-Site Hedge Baseline'!$B$1:$L$257,8,FALSE))))</f>
        <v/>
      </c>
      <c r="I111" s="382" t="str">
        <f>IF(B111="","",IF(ISNA(VLOOKUP($B111,'B-1 On-Site Hedge Baseline'!$B$1:$L$257,10,FALSE)),"",(VLOOKUP($B111,'B-1 On-Site Hedge Baseline'!$B$1:$L$257,10,FALSE))))</f>
        <v/>
      </c>
      <c r="J111" s="382" t="str">
        <f>IF(B111="","",IF(ISNA(VLOOKUP($B111,'B-1 On-Site Hedge Baseline'!$B$1:$L$257,11,FALSE)),"",(VLOOKUP($B111,'B-1 On-Site Hedge Baseline'!$B$1:$L$257,11,FALSE))))</f>
        <v/>
      </c>
      <c r="K111" s="382" t="str">
        <f>IF(B111="","",IF(ISNA(VLOOKUP($B111,'B-1 On-Site Hedge Baseline'!$B$1:$U$257,13,FALSE)),"",(VLOOKUP($B111,'B-1 On-Site Hedge Baseline'!$B$1:$U$257,13,FALSE))))</f>
        <v/>
      </c>
      <c r="L111" s="386" t="str">
        <f>IF(B111="","",IF(ISNA(VLOOKUP($B111,'B-1 On-Site Hedge Baseline'!$B$1:$U$257,12,FALSE)),"",(VLOOKUP($B111,'B-1 On-Site Hedge Baseline'!$B$1:$U$257,12,FALSE))))</f>
        <v/>
      </c>
      <c r="M111" s="315" t="str">
        <f t="shared" si="15"/>
        <v/>
      </c>
      <c r="N111" s="362" t="str">
        <f>IFERROR(IF(B111="","",INDEX('G-6 Hedgerow Data'!$AN$3:$AZ$15,MATCH(C111,'G-6 Hedgerow Data'!$AM$3:$AM$15,0),MATCH(M111,'G-6 Hedgerow Data'!$AN$2:$AZ$2,0))),"")</f>
        <v/>
      </c>
      <c r="O111" s="363" t="str">
        <f t="shared" si="10"/>
        <v/>
      </c>
      <c r="P111" s="417" t="str">
        <f>IF(B111="","",VLOOKUP(B111,'B-1 On-Site Hedge Baseline'!$B$10:T356,16,FALSE))</f>
        <v/>
      </c>
      <c r="Q111" s="362" t="str">
        <f>IF(M111="","",VLOOKUP(M111,'G-6 Hedgerow Data'!$B$2:$AG$15,2,FALSE))</f>
        <v/>
      </c>
      <c r="R111" s="363" t="str">
        <f>IF(M111="","",VLOOKUP(M111,'G-6 Hedgerow Data'!$B$2:$AG$15,3,FALSE))</f>
        <v/>
      </c>
      <c r="S111" s="125"/>
      <c r="T111" s="401" t="str">
        <f>IFERROR(VLOOKUP(S111,'G-1 All Habitats'!$Z$2:$AA$9,2,FALSE),"")</f>
        <v/>
      </c>
      <c r="U111" s="122"/>
      <c r="V111" s="382" t="str">
        <f>IF(U111="","",IF(VLOOKUP(U111,'G-3 Multipliers'!$L$3:$N$6,2,FALSE)=0,"Spatial Data Missing ⚠",VLOOKUP(U111,'G-3 Multipliers'!$L$3:$N$6,2,FALSE)))</f>
        <v/>
      </c>
      <c r="W111" s="386" t="str">
        <f>IF(U111="","",IF(VLOOKUP(U111,'G-3 Multipliers'!$L$3:$N$6,3,FALSE)=0,"Spatial Data Missing ⚠",VLOOKUP(U111,'G-3 Multipliers'!$L$3:$N$6,3,FALSE)))</f>
        <v/>
      </c>
      <c r="X111" s="362" t="str">
        <f>IFERROR(IF(OR(LEFT(O111,5)="Error",LEFT(N111,5)="Error",T111="Error"),"Check Data ⚠",IF(F111&lt;R111,INDEX('G-6 Hedgerow Data'!$S$3:$AE$14,MATCH(C111,'G-6 Hedgerow Data'!$B$3:$B$14,0),MATCH(M111,'G-6 Hedgerow Data'!$S$2:$AE$2,0)),INDEX('G-6 Hedgerow Data'!$K$3:$Q$14,MATCH(M111,'G-6 Hedgerow Data'!$B$3:$B$14,0),MATCH(O111,'G-6 Hedgerow Data'!$K$2:$Q$2,0)))),"")</f>
        <v/>
      </c>
      <c r="Y111" s="159"/>
      <c r="Z111" s="159"/>
      <c r="AA111" s="370" t="str">
        <f t="shared" si="11"/>
        <v/>
      </c>
      <c r="AB111" s="383" t="str">
        <f t="shared" si="12"/>
        <v/>
      </c>
      <c r="AC111" s="384" t="str">
        <f t="shared" si="8"/>
        <v/>
      </c>
      <c r="AD111" s="398" t="str">
        <f>IF(M111="","",VLOOKUP(M111,'G-6 Hedgerow Data'!$B$3:$AG$15,31,FALSE))</f>
        <v/>
      </c>
      <c r="AE111" s="370" t="str">
        <f t="shared" si="13"/>
        <v/>
      </c>
      <c r="AF111" s="370" t="str">
        <f t="shared" si="14"/>
        <v/>
      </c>
      <c r="AG111" s="386" t="str">
        <f>IFERROR(IF(O111="","",VLOOKUP(AD111,'G-3 Multipliers'!$P$3:$Q$6,2,FALSE)),"")</f>
        <v/>
      </c>
      <c r="AH111" s="376" t="str">
        <f t="shared" si="9"/>
        <v/>
      </c>
      <c r="AI111" s="188"/>
      <c r="AJ111" s="118"/>
      <c r="AK111" s="120"/>
      <c r="AT111" s="30" t="str">
        <f>IFERROR(INDEX('G-6 Hedgerow Data'!$BJ$3:$BJ$15,MATCH(M111,'G-6 Hedgerow Data'!$B$3:$B$15,0)),"")</f>
        <v/>
      </c>
    </row>
    <row r="112" spans="2:46" ht="15">
      <c r="B112" s="392" t="str">
        <f>'B-1 On-Site Hedge Baseline'!AK110</f>
        <v/>
      </c>
      <c r="C112" s="382" t="str">
        <f>IF(B112="","",IF(ISNA(VLOOKUP($B112,'B-1 On-Site Hedge Baseline'!$B$1:$L$257,3,FALSE)),"",(VLOOKUP($B112,'B-1 On-Site Hedge Baseline'!$B$1:$L$257,3,FALSE))))</f>
        <v/>
      </c>
      <c r="D112" s="382" t="str">
        <f>IF(B112="","",IF(ISNA(VLOOKUP($B112,'B-1 On-Site Hedge Baseline'!$B$1:$L$257,4,FALSE)),"",(VLOOKUP($B112,'B-1 On-Site Hedge Baseline'!$B$1:$L$257,4,FALSE))))</f>
        <v/>
      </c>
      <c r="E112" s="382" t="str">
        <f>IF(B112="","",IF(ISNA(VLOOKUP($B112,'B-1 On-Site Hedge Baseline'!$B$1:$L$257,5,FALSE)),"",(VLOOKUP($B112,'B-1 On-Site Hedge Baseline'!$B$1:$L$257,5,FALSE))))</f>
        <v/>
      </c>
      <c r="F112" s="382" t="str">
        <f>IF(B112="","",IF(ISNA(VLOOKUP($B112,'B-1 On-Site Hedge Baseline'!$B$1:$L$257,6,FALSE)),"",(VLOOKUP($B112,'B-1 On-Site Hedge Baseline'!$B$1:$L$257,6,FALSE))))</f>
        <v/>
      </c>
      <c r="G112" s="382" t="str">
        <f>IF(B112="","",IF(ISNA(VLOOKUP($B112,'B-1 On-Site Hedge Baseline'!$B$1:$L$257,7,FALSE)),"",(VLOOKUP($B112,'B-1 On-Site Hedge Baseline'!$B$1:$L$257,7,FALSE))))</f>
        <v/>
      </c>
      <c r="H112" s="382" t="str">
        <f>IF(B112="","",IF(ISNA(VLOOKUP($B112,'B-1 On-Site Hedge Baseline'!$B$1:$L$257,8,FALSE)),"",(VLOOKUP($B112,'B-1 On-Site Hedge Baseline'!$B$1:$L$257,8,FALSE))))</f>
        <v/>
      </c>
      <c r="I112" s="382" t="str">
        <f>IF(B112="","",IF(ISNA(VLOOKUP($B112,'B-1 On-Site Hedge Baseline'!$B$1:$L$257,10,FALSE)),"",(VLOOKUP($B112,'B-1 On-Site Hedge Baseline'!$B$1:$L$257,10,FALSE))))</f>
        <v/>
      </c>
      <c r="J112" s="382" t="str">
        <f>IF(B112="","",IF(ISNA(VLOOKUP($B112,'B-1 On-Site Hedge Baseline'!$B$1:$L$257,11,FALSE)),"",(VLOOKUP($B112,'B-1 On-Site Hedge Baseline'!$B$1:$L$257,11,FALSE))))</f>
        <v/>
      </c>
      <c r="K112" s="382" t="str">
        <f>IF(B112="","",IF(ISNA(VLOOKUP($B112,'B-1 On-Site Hedge Baseline'!$B$1:$U$257,13,FALSE)),"",(VLOOKUP($B112,'B-1 On-Site Hedge Baseline'!$B$1:$U$257,13,FALSE))))</f>
        <v/>
      </c>
      <c r="L112" s="386" t="str">
        <f>IF(B112="","",IF(ISNA(VLOOKUP($B112,'B-1 On-Site Hedge Baseline'!$B$1:$U$257,12,FALSE)),"",(VLOOKUP($B112,'B-1 On-Site Hedge Baseline'!$B$1:$U$257,12,FALSE))))</f>
        <v/>
      </c>
      <c r="M112" s="315" t="str">
        <f t="shared" si="15"/>
        <v/>
      </c>
      <c r="N112" s="362" t="str">
        <f>IFERROR(IF(B112="","",INDEX('G-6 Hedgerow Data'!$AN$3:$AZ$15,MATCH(C112,'G-6 Hedgerow Data'!$AM$3:$AM$15,0),MATCH(M112,'G-6 Hedgerow Data'!$AN$2:$AZ$2,0))),"")</f>
        <v/>
      </c>
      <c r="O112" s="363" t="str">
        <f t="shared" si="10"/>
        <v/>
      </c>
      <c r="P112" s="417" t="str">
        <f>IF(B112="","",VLOOKUP(B112,'B-1 On-Site Hedge Baseline'!$B$10:T357,16,FALSE))</f>
        <v/>
      </c>
      <c r="Q112" s="362" t="str">
        <f>IF(M112="","",VLOOKUP(M112,'G-6 Hedgerow Data'!$B$2:$AG$15,2,FALSE))</f>
        <v/>
      </c>
      <c r="R112" s="363" t="str">
        <f>IF(M112="","",VLOOKUP(M112,'G-6 Hedgerow Data'!$B$2:$AG$15,3,FALSE))</f>
        <v/>
      </c>
      <c r="S112" s="125"/>
      <c r="T112" s="401" t="str">
        <f>IFERROR(VLOOKUP(S112,'G-1 All Habitats'!$Z$2:$AA$9,2,FALSE),"")</f>
        <v/>
      </c>
      <c r="U112" s="122"/>
      <c r="V112" s="382" t="str">
        <f>IF(U112="","",IF(VLOOKUP(U112,'G-3 Multipliers'!$L$3:$N$6,2,FALSE)=0,"Spatial Data Missing ⚠",VLOOKUP(U112,'G-3 Multipliers'!$L$3:$N$6,2,FALSE)))</f>
        <v/>
      </c>
      <c r="W112" s="386" t="str">
        <f>IF(U112="","",IF(VLOOKUP(U112,'G-3 Multipliers'!$L$3:$N$6,3,FALSE)=0,"Spatial Data Missing ⚠",VLOOKUP(U112,'G-3 Multipliers'!$L$3:$N$6,3,FALSE)))</f>
        <v/>
      </c>
      <c r="X112" s="362" t="str">
        <f>IFERROR(IF(OR(LEFT(O112,5)="Error",LEFT(N112,5)="Error",T112="Error"),"Check Data ⚠",IF(F112&lt;R112,INDEX('G-6 Hedgerow Data'!$S$3:$AE$14,MATCH(C112,'G-6 Hedgerow Data'!$B$3:$B$14,0),MATCH(M112,'G-6 Hedgerow Data'!$S$2:$AE$2,0)),INDEX('G-6 Hedgerow Data'!$K$3:$Q$14,MATCH(M112,'G-6 Hedgerow Data'!$B$3:$B$14,0),MATCH(O112,'G-6 Hedgerow Data'!$K$2:$Q$2,0)))),"")</f>
        <v/>
      </c>
      <c r="Y112" s="159"/>
      <c r="Z112" s="159"/>
      <c r="AA112" s="370" t="str">
        <f t="shared" si="11"/>
        <v/>
      </c>
      <c r="AB112" s="383" t="str">
        <f t="shared" si="12"/>
        <v/>
      </c>
      <c r="AC112" s="384" t="str">
        <f t="shared" si="8"/>
        <v/>
      </c>
      <c r="AD112" s="398" t="str">
        <f>IF(M112="","",VLOOKUP(M112,'G-6 Hedgerow Data'!$B$3:$AG$15,31,FALSE))</f>
        <v/>
      </c>
      <c r="AE112" s="370" t="str">
        <f t="shared" si="13"/>
        <v/>
      </c>
      <c r="AF112" s="370" t="str">
        <f t="shared" si="14"/>
        <v/>
      </c>
      <c r="AG112" s="386" t="str">
        <f>IFERROR(IF(O112="","",VLOOKUP(AD112,'G-3 Multipliers'!$P$3:$Q$6,2,FALSE)),"")</f>
        <v/>
      </c>
      <c r="AH112" s="376" t="str">
        <f t="shared" si="9"/>
        <v/>
      </c>
      <c r="AI112" s="188"/>
      <c r="AJ112" s="118"/>
      <c r="AK112" s="120"/>
      <c r="AT112" s="30" t="str">
        <f>IFERROR(INDEX('G-6 Hedgerow Data'!$BJ$3:$BJ$15,MATCH(M112,'G-6 Hedgerow Data'!$B$3:$B$15,0)),"")</f>
        <v/>
      </c>
    </row>
    <row r="113" spans="2:46" ht="15">
      <c r="B113" s="392" t="str">
        <f>'B-1 On-Site Hedge Baseline'!AK111</f>
        <v/>
      </c>
      <c r="C113" s="382" t="str">
        <f>IF(B113="","",IF(ISNA(VLOOKUP($B113,'B-1 On-Site Hedge Baseline'!$B$1:$L$257,3,FALSE)),"",(VLOOKUP($B113,'B-1 On-Site Hedge Baseline'!$B$1:$L$257,3,FALSE))))</f>
        <v/>
      </c>
      <c r="D113" s="382" t="str">
        <f>IF(B113="","",IF(ISNA(VLOOKUP($B113,'B-1 On-Site Hedge Baseline'!$B$1:$L$257,4,FALSE)),"",(VLOOKUP($B113,'B-1 On-Site Hedge Baseline'!$B$1:$L$257,4,FALSE))))</f>
        <v/>
      </c>
      <c r="E113" s="382" t="str">
        <f>IF(B113="","",IF(ISNA(VLOOKUP($B113,'B-1 On-Site Hedge Baseline'!$B$1:$L$257,5,FALSE)),"",(VLOOKUP($B113,'B-1 On-Site Hedge Baseline'!$B$1:$L$257,5,FALSE))))</f>
        <v/>
      </c>
      <c r="F113" s="382" t="str">
        <f>IF(B113="","",IF(ISNA(VLOOKUP($B113,'B-1 On-Site Hedge Baseline'!$B$1:$L$257,6,FALSE)),"",(VLOOKUP($B113,'B-1 On-Site Hedge Baseline'!$B$1:$L$257,6,FALSE))))</f>
        <v/>
      </c>
      <c r="G113" s="382" t="str">
        <f>IF(B113="","",IF(ISNA(VLOOKUP($B113,'B-1 On-Site Hedge Baseline'!$B$1:$L$257,7,FALSE)),"",(VLOOKUP($B113,'B-1 On-Site Hedge Baseline'!$B$1:$L$257,7,FALSE))))</f>
        <v/>
      </c>
      <c r="H113" s="382" t="str">
        <f>IF(B113="","",IF(ISNA(VLOOKUP($B113,'B-1 On-Site Hedge Baseline'!$B$1:$L$257,8,FALSE)),"",(VLOOKUP($B113,'B-1 On-Site Hedge Baseline'!$B$1:$L$257,8,FALSE))))</f>
        <v/>
      </c>
      <c r="I113" s="382" t="str">
        <f>IF(B113="","",IF(ISNA(VLOOKUP($B113,'B-1 On-Site Hedge Baseline'!$B$1:$L$257,10,FALSE)),"",(VLOOKUP($B113,'B-1 On-Site Hedge Baseline'!$B$1:$L$257,10,FALSE))))</f>
        <v/>
      </c>
      <c r="J113" s="382" t="str">
        <f>IF(B113="","",IF(ISNA(VLOOKUP($B113,'B-1 On-Site Hedge Baseline'!$B$1:$L$257,11,FALSE)),"",(VLOOKUP($B113,'B-1 On-Site Hedge Baseline'!$B$1:$L$257,11,FALSE))))</f>
        <v/>
      </c>
      <c r="K113" s="382" t="str">
        <f>IF(B113="","",IF(ISNA(VLOOKUP($B113,'B-1 On-Site Hedge Baseline'!$B$1:$U$257,13,FALSE)),"",(VLOOKUP($B113,'B-1 On-Site Hedge Baseline'!$B$1:$U$257,13,FALSE))))</f>
        <v/>
      </c>
      <c r="L113" s="386" t="str">
        <f>IF(B113="","",IF(ISNA(VLOOKUP($B113,'B-1 On-Site Hedge Baseline'!$B$1:$U$257,12,FALSE)),"",(VLOOKUP($B113,'B-1 On-Site Hedge Baseline'!$B$1:$U$257,12,FALSE))))</f>
        <v/>
      </c>
      <c r="M113" s="315" t="str">
        <f t="shared" si="15"/>
        <v/>
      </c>
      <c r="N113" s="362" t="str">
        <f>IFERROR(IF(B113="","",INDEX('G-6 Hedgerow Data'!$AN$3:$AZ$15,MATCH(C113,'G-6 Hedgerow Data'!$AM$3:$AM$15,0),MATCH(M113,'G-6 Hedgerow Data'!$AN$2:$AZ$2,0))),"")</f>
        <v/>
      </c>
      <c r="O113" s="363" t="str">
        <f t="shared" si="10"/>
        <v/>
      </c>
      <c r="P113" s="417" t="str">
        <f>IF(B113="","",VLOOKUP(B113,'B-1 On-Site Hedge Baseline'!$B$10:T358,16,FALSE))</f>
        <v/>
      </c>
      <c r="Q113" s="362" t="str">
        <f>IF(M113="","",VLOOKUP(M113,'G-6 Hedgerow Data'!$B$2:$AG$15,2,FALSE))</f>
        <v/>
      </c>
      <c r="R113" s="363" t="str">
        <f>IF(M113="","",VLOOKUP(M113,'G-6 Hedgerow Data'!$B$2:$AG$15,3,FALSE))</f>
        <v/>
      </c>
      <c r="S113" s="125"/>
      <c r="T113" s="401" t="str">
        <f>IFERROR(VLOOKUP(S113,'G-1 All Habitats'!$Z$2:$AA$9,2,FALSE),"")</f>
        <v/>
      </c>
      <c r="U113" s="122"/>
      <c r="V113" s="382" t="str">
        <f>IF(U113="","",IF(VLOOKUP(U113,'G-3 Multipliers'!$L$3:$N$6,2,FALSE)=0,"Spatial Data Missing ⚠",VLOOKUP(U113,'G-3 Multipliers'!$L$3:$N$6,2,FALSE)))</f>
        <v/>
      </c>
      <c r="W113" s="386" t="str">
        <f>IF(U113="","",IF(VLOOKUP(U113,'G-3 Multipliers'!$L$3:$N$6,3,FALSE)=0,"Spatial Data Missing ⚠",VLOOKUP(U113,'G-3 Multipliers'!$L$3:$N$6,3,FALSE)))</f>
        <v/>
      </c>
      <c r="X113" s="362" t="str">
        <f>IFERROR(IF(OR(LEFT(O113,5)="Error",LEFT(N113,5)="Error",T113="Error"),"Check Data ⚠",IF(F113&lt;R113,INDEX('G-6 Hedgerow Data'!$S$3:$AE$14,MATCH(C113,'G-6 Hedgerow Data'!$B$3:$B$14,0),MATCH(M113,'G-6 Hedgerow Data'!$S$2:$AE$2,0)),INDEX('G-6 Hedgerow Data'!$K$3:$Q$14,MATCH(M113,'G-6 Hedgerow Data'!$B$3:$B$14,0),MATCH(O113,'G-6 Hedgerow Data'!$K$2:$Q$2,0)))),"")</f>
        <v/>
      </c>
      <c r="Y113" s="159"/>
      <c r="Z113" s="159"/>
      <c r="AA113" s="370" t="str">
        <f t="shared" si="11"/>
        <v/>
      </c>
      <c r="AB113" s="383" t="str">
        <f t="shared" si="12"/>
        <v/>
      </c>
      <c r="AC113" s="384" t="str">
        <f t="shared" si="8"/>
        <v/>
      </c>
      <c r="AD113" s="398" t="str">
        <f>IF(M113="","",VLOOKUP(M113,'G-6 Hedgerow Data'!$B$3:$AG$15,31,FALSE))</f>
        <v/>
      </c>
      <c r="AE113" s="370" t="str">
        <f t="shared" si="13"/>
        <v/>
      </c>
      <c r="AF113" s="370" t="str">
        <f t="shared" si="14"/>
        <v/>
      </c>
      <c r="AG113" s="386" t="str">
        <f>IFERROR(IF(O113="","",VLOOKUP(AD113,'G-3 Multipliers'!$P$3:$Q$6,2,FALSE)),"")</f>
        <v/>
      </c>
      <c r="AH113" s="376" t="str">
        <f t="shared" si="9"/>
        <v/>
      </c>
      <c r="AI113" s="188"/>
      <c r="AJ113" s="118"/>
      <c r="AK113" s="120"/>
      <c r="AT113" s="30" t="str">
        <f>IFERROR(INDEX('G-6 Hedgerow Data'!$BJ$3:$BJ$15,MATCH(M113,'G-6 Hedgerow Data'!$B$3:$B$15,0)),"")</f>
        <v/>
      </c>
    </row>
    <row r="114" spans="2:46" ht="15">
      <c r="B114" s="392" t="str">
        <f>'B-1 On-Site Hedge Baseline'!AK112</f>
        <v/>
      </c>
      <c r="C114" s="382" t="str">
        <f>IF(B114="","",IF(ISNA(VLOOKUP($B114,'B-1 On-Site Hedge Baseline'!$B$1:$L$257,3,FALSE)),"",(VLOOKUP($B114,'B-1 On-Site Hedge Baseline'!$B$1:$L$257,3,FALSE))))</f>
        <v/>
      </c>
      <c r="D114" s="382" t="str">
        <f>IF(B114="","",IF(ISNA(VLOOKUP($B114,'B-1 On-Site Hedge Baseline'!$B$1:$L$257,4,FALSE)),"",(VLOOKUP($B114,'B-1 On-Site Hedge Baseline'!$B$1:$L$257,4,FALSE))))</f>
        <v/>
      </c>
      <c r="E114" s="382" t="str">
        <f>IF(B114="","",IF(ISNA(VLOOKUP($B114,'B-1 On-Site Hedge Baseline'!$B$1:$L$257,5,FALSE)),"",(VLOOKUP($B114,'B-1 On-Site Hedge Baseline'!$B$1:$L$257,5,FALSE))))</f>
        <v/>
      </c>
      <c r="F114" s="382" t="str">
        <f>IF(B114="","",IF(ISNA(VLOOKUP($B114,'B-1 On-Site Hedge Baseline'!$B$1:$L$257,6,FALSE)),"",(VLOOKUP($B114,'B-1 On-Site Hedge Baseline'!$B$1:$L$257,6,FALSE))))</f>
        <v/>
      </c>
      <c r="G114" s="382" t="str">
        <f>IF(B114="","",IF(ISNA(VLOOKUP($B114,'B-1 On-Site Hedge Baseline'!$B$1:$L$257,7,FALSE)),"",(VLOOKUP($B114,'B-1 On-Site Hedge Baseline'!$B$1:$L$257,7,FALSE))))</f>
        <v/>
      </c>
      <c r="H114" s="382" t="str">
        <f>IF(B114="","",IF(ISNA(VLOOKUP($B114,'B-1 On-Site Hedge Baseline'!$B$1:$L$257,8,FALSE)),"",(VLOOKUP($B114,'B-1 On-Site Hedge Baseline'!$B$1:$L$257,8,FALSE))))</f>
        <v/>
      </c>
      <c r="I114" s="382" t="str">
        <f>IF(B114="","",IF(ISNA(VLOOKUP($B114,'B-1 On-Site Hedge Baseline'!$B$1:$L$257,10,FALSE)),"",(VLOOKUP($B114,'B-1 On-Site Hedge Baseline'!$B$1:$L$257,10,FALSE))))</f>
        <v/>
      </c>
      <c r="J114" s="382" t="str">
        <f>IF(B114="","",IF(ISNA(VLOOKUP($B114,'B-1 On-Site Hedge Baseline'!$B$1:$L$257,11,FALSE)),"",(VLOOKUP($B114,'B-1 On-Site Hedge Baseline'!$B$1:$L$257,11,FALSE))))</f>
        <v/>
      </c>
      <c r="K114" s="382" t="str">
        <f>IF(B114="","",IF(ISNA(VLOOKUP($B114,'B-1 On-Site Hedge Baseline'!$B$1:$U$257,13,FALSE)),"",(VLOOKUP($B114,'B-1 On-Site Hedge Baseline'!$B$1:$U$257,13,FALSE))))</f>
        <v/>
      </c>
      <c r="L114" s="386" t="str">
        <f>IF(B114="","",IF(ISNA(VLOOKUP($B114,'B-1 On-Site Hedge Baseline'!$B$1:$U$257,12,FALSE)),"",(VLOOKUP($B114,'B-1 On-Site Hedge Baseline'!$B$1:$U$257,12,FALSE))))</f>
        <v/>
      </c>
      <c r="M114" s="315" t="str">
        <f t="shared" si="15"/>
        <v/>
      </c>
      <c r="N114" s="362" t="str">
        <f>IFERROR(IF(B114="","",INDEX('G-6 Hedgerow Data'!$AN$3:$AZ$15,MATCH(C114,'G-6 Hedgerow Data'!$AM$3:$AM$15,0),MATCH(M114,'G-6 Hedgerow Data'!$AN$2:$AZ$2,0))),"")</f>
        <v/>
      </c>
      <c r="O114" s="363" t="str">
        <f t="shared" si="10"/>
        <v/>
      </c>
      <c r="P114" s="417" t="str">
        <f>IF(B114="","",VLOOKUP(B114,'B-1 On-Site Hedge Baseline'!$B$10:T359,16,FALSE))</f>
        <v/>
      </c>
      <c r="Q114" s="362" t="str">
        <f>IF(M114="","",VLOOKUP(M114,'G-6 Hedgerow Data'!$B$2:$AG$15,2,FALSE))</f>
        <v/>
      </c>
      <c r="R114" s="363" t="str">
        <f>IF(M114="","",VLOOKUP(M114,'G-6 Hedgerow Data'!$B$2:$AG$15,3,FALSE))</f>
        <v/>
      </c>
      <c r="S114" s="125"/>
      <c r="T114" s="401" t="str">
        <f>IFERROR(VLOOKUP(S114,'G-1 All Habitats'!$Z$2:$AA$9,2,FALSE),"")</f>
        <v/>
      </c>
      <c r="U114" s="122"/>
      <c r="V114" s="382" t="str">
        <f>IF(U114="","",IF(VLOOKUP(U114,'G-3 Multipliers'!$L$3:$N$6,2,FALSE)=0,"Spatial Data Missing ⚠",VLOOKUP(U114,'G-3 Multipliers'!$L$3:$N$6,2,FALSE)))</f>
        <v/>
      </c>
      <c r="W114" s="386" t="str">
        <f>IF(U114="","",IF(VLOOKUP(U114,'G-3 Multipliers'!$L$3:$N$6,3,FALSE)=0,"Spatial Data Missing ⚠",VLOOKUP(U114,'G-3 Multipliers'!$L$3:$N$6,3,FALSE)))</f>
        <v/>
      </c>
      <c r="X114" s="362" t="str">
        <f>IFERROR(IF(OR(LEFT(O114,5)="Error",LEFT(N114,5)="Error",T114="Error"),"Check Data ⚠",IF(F114&lt;R114,INDEX('G-6 Hedgerow Data'!$S$3:$AE$14,MATCH(C114,'G-6 Hedgerow Data'!$B$3:$B$14,0),MATCH(M114,'G-6 Hedgerow Data'!$S$2:$AE$2,0)),INDEX('G-6 Hedgerow Data'!$K$3:$Q$14,MATCH(M114,'G-6 Hedgerow Data'!$B$3:$B$14,0),MATCH(O114,'G-6 Hedgerow Data'!$K$2:$Q$2,0)))),"")</f>
        <v/>
      </c>
      <c r="Y114" s="159"/>
      <c r="Z114" s="159"/>
      <c r="AA114" s="370" t="str">
        <f t="shared" si="11"/>
        <v/>
      </c>
      <c r="AB114" s="383" t="str">
        <f t="shared" si="12"/>
        <v/>
      </c>
      <c r="AC114" s="384" t="str">
        <f t="shared" si="8"/>
        <v/>
      </c>
      <c r="AD114" s="398" t="str">
        <f>IF(M114="","",VLOOKUP(M114,'G-6 Hedgerow Data'!$B$3:$AG$15,31,FALSE))</f>
        <v/>
      </c>
      <c r="AE114" s="370" t="str">
        <f t="shared" si="13"/>
        <v/>
      </c>
      <c r="AF114" s="370" t="str">
        <f t="shared" si="14"/>
        <v/>
      </c>
      <c r="AG114" s="386" t="str">
        <f>IFERROR(IF(O114="","",VLOOKUP(AD114,'G-3 Multipliers'!$P$3:$Q$6,2,FALSE)),"")</f>
        <v/>
      </c>
      <c r="AH114" s="376" t="str">
        <f t="shared" si="9"/>
        <v/>
      </c>
      <c r="AI114" s="188"/>
      <c r="AJ114" s="118"/>
      <c r="AK114" s="120"/>
      <c r="AT114" s="30" t="str">
        <f>IFERROR(INDEX('G-6 Hedgerow Data'!$BJ$3:$BJ$15,MATCH(M114,'G-6 Hedgerow Data'!$B$3:$B$15,0)),"")</f>
        <v/>
      </c>
    </row>
    <row r="115" spans="2:46" ht="15">
      <c r="B115" s="392" t="str">
        <f>'B-1 On-Site Hedge Baseline'!AK113</f>
        <v/>
      </c>
      <c r="C115" s="382" t="str">
        <f>IF(B115="","",IF(ISNA(VLOOKUP($B115,'B-1 On-Site Hedge Baseline'!$B$1:$L$257,3,FALSE)),"",(VLOOKUP($B115,'B-1 On-Site Hedge Baseline'!$B$1:$L$257,3,FALSE))))</f>
        <v/>
      </c>
      <c r="D115" s="382" t="str">
        <f>IF(B115="","",IF(ISNA(VLOOKUP($B115,'B-1 On-Site Hedge Baseline'!$B$1:$L$257,4,FALSE)),"",(VLOOKUP($B115,'B-1 On-Site Hedge Baseline'!$B$1:$L$257,4,FALSE))))</f>
        <v/>
      </c>
      <c r="E115" s="382" t="str">
        <f>IF(B115="","",IF(ISNA(VLOOKUP($B115,'B-1 On-Site Hedge Baseline'!$B$1:$L$257,5,FALSE)),"",(VLOOKUP($B115,'B-1 On-Site Hedge Baseline'!$B$1:$L$257,5,FALSE))))</f>
        <v/>
      </c>
      <c r="F115" s="382" t="str">
        <f>IF(B115="","",IF(ISNA(VLOOKUP($B115,'B-1 On-Site Hedge Baseline'!$B$1:$L$257,6,FALSE)),"",(VLOOKUP($B115,'B-1 On-Site Hedge Baseline'!$B$1:$L$257,6,FALSE))))</f>
        <v/>
      </c>
      <c r="G115" s="382" t="str">
        <f>IF(B115="","",IF(ISNA(VLOOKUP($B115,'B-1 On-Site Hedge Baseline'!$B$1:$L$257,7,FALSE)),"",(VLOOKUP($B115,'B-1 On-Site Hedge Baseline'!$B$1:$L$257,7,FALSE))))</f>
        <v/>
      </c>
      <c r="H115" s="382" t="str">
        <f>IF(B115="","",IF(ISNA(VLOOKUP($B115,'B-1 On-Site Hedge Baseline'!$B$1:$L$257,8,FALSE)),"",(VLOOKUP($B115,'B-1 On-Site Hedge Baseline'!$B$1:$L$257,8,FALSE))))</f>
        <v/>
      </c>
      <c r="I115" s="382" t="str">
        <f>IF(B115="","",IF(ISNA(VLOOKUP($B115,'B-1 On-Site Hedge Baseline'!$B$1:$L$257,10,FALSE)),"",(VLOOKUP($B115,'B-1 On-Site Hedge Baseline'!$B$1:$L$257,10,FALSE))))</f>
        <v/>
      </c>
      <c r="J115" s="382" t="str">
        <f>IF(B115="","",IF(ISNA(VLOOKUP($B115,'B-1 On-Site Hedge Baseline'!$B$1:$L$257,11,FALSE)),"",(VLOOKUP($B115,'B-1 On-Site Hedge Baseline'!$B$1:$L$257,11,FALSE))))</f>
        <v/>
      </c>
      <c r="K115" s="382" t="str">
        <f>IF(B115="","",IF(ISNA(VLOOKUP($B115,'B-1 On-Site Hedge Baseline'!$B$1:$U$257,13,FALSE)),"",(VLOOKUP($B115,'B-1 On-Site Hedge Baseline'!$B$1:$U$257,13,FALSE))))</f>
        <v/>
      </c>
      <c r="L115" s="386" t="str">
        <f>IF(B115="","",IF(ISNA(VLOOKUP($B115,'B-1 On-Site Hedge Baseline'!$B$1:$U$257,12,FALSE)),"",(VLOOKUP($B115,'B-1 On-Site Hedge Baseline'!$B$1:$U$257,12,FALSE))))</f>
        <v/>
      </c>
      <c r="M115" s="315" t="str">
        <f t="shared" si="15"/>
        <v/>
      </c>
      <c r="N115" s="362" t="str">
        <f>IFERROR(IF(B115="","",INDEX('G-6 Hedgerow Data'!$AN$3:$AZ$15,MATCH(C115,'G-6 Hedgerow Data'!$AM$3:$AM$15,0),MATCH(M115,'G-6 Hedgerow Data'!$AN$2:$AZ$2,0))),"")</f>
        <v/>
      </c>
      <c r="O115" s="363" t="str">
        <f t="shared" si="10"/>
        <v/>
      </c>
      <c r="P115" s="417" t="str">
        <f>IF(B115="","",VLOOKUP(B115,'B-1 On-Site Hedge Baseline'!$B$10:T360,16,FALSE))</f>
        <v/>
      </c>
      <c r="Q115" s="362" t="str">
        <f>IF(M115="","",VLOOKUP(M115,'G-6 Hedgerow Data'!$B$2:$AG$15,2,FALSE))</f>
        <v/>
      </c>
      <c r="R115" s="363" t="str">
        <f>IF(M115="","",VLOOKUP(M115,'G-6 Hedgerow Data'!$B$2:$AG$15,3,FALSE))</f>
        <v/>
      </c>
      <c r="S115" s="125"/>
      <c r="T115" s="401" t="str">
        <f>IFERROR(VLOOKUP(S115,'G-1 All Habitats'!$Z$2:$AA$9,2,FALSE),"")</f>
        <v/>
      </c>
      <c r="U115" s="122"/>
      <c r="V115" s="382" t="str">
        <f>IF(U115="","",IF(VLOOKUP(U115,'G-3 Multipliers'!$L$3:$N$6,2,FALSE)=0,"Spatial Data Missing ⚠",VLOOKUP(U115,'G-3 Multipliers'!$L$3:$N$6,2,FALSE)))</f>
        <v/>
      </c>
      <c r="W115" s="386" t="str">
        <f>IF(U115="","",IF(VLOOKUP(U115,'G-3 Multipliers'!$L$3:$N$6,3,FALSE)=0,"Spatial Data Missing ⚠",VLOOKUP(U115,'G-3 Multipliers'!$L$3:$N$6,3,FALSE)))</f>
        <v/>
      </c>
      <c r="X115" s="362" t="str">
        <f>IFERROR(IF(OR(LEFT(O115,5)="Error",LEFT(N115,5)="Error",T115="Error"),"Check Data ⚠",IF(F115&lt;R115,INDEX('G-6 Hedgerow Data'!$S$3:$AE$14,MATCH(C115,'G-6 Hedgerow Data'!$B$3:$B$14,0),MATCH(M115,'G-6 Hedgerow Data'!$S$2:$AE$2,0)),INDEX('G-6 Hedgerow Data'!$K$3:$Q$14,MATCH(M115,'G-6 Hedgerow Data'!$B$3:$B$14,0),MATCH(O115,'G-6 Hedgerow Data'!$K$2:$Q$2,0)))),"")</f>
        <v/>
      </c>
      <c r="Y115" s="159"/>
      <c r="Z115" s="159"/>
      <c r="AA115" s="370" t="str">
        <f t="shared" si="11"/>
        <v/>
      </c>
      <c r="AB115" s="383" t="str">
        <f t="shared" si="12"/>
        <v/>
      </c>
      <c r="AC115" s="384" t="str">
        <f t="shared" si="8"/>
        <v/>
      </c>
      <c r="AD115" s="398" t="str">
        <f>IF(M115="","",VLOOKUP(M115,'G-6 Hedgerow Data'!$B$3:$AG$15,31,FALSE))</f>
        <v/>
      </c>
      <c r="AE115" s="370" t="str">
        <f t="shared" si="13"/>
        <v/>
      </c>
      <c r="AF115" s="370" t="str">
        <f t="shared" si="14"/>
        <v/>
      </c>
      <c r="AG115" s="386" t="str">
        <f>IFERROR(IF(O115="","",VLOOKUP(AD115,'G-3 Multipliers'!$P$3:$Q$6,2,FALSE)),"")</f>
        <v/>
      </c>
      <c r="AH115" s="376" t="str">
        <f t="shared" si="9"/>
        <v/>
      </c>
      <c r="AI115" s="188"/>
      <c r="AJ115" s="118"/>
      <c r="AK115" s="120"/>
      <c r="AT115" s="30" t="str">
        <f>IFERROR(INDEX('G-6 Hedgerow Data'!$BJ$3:$BJ$15,MATCH(M115,'G-6 Hedgerow Data'!$B$3:$B$15,0)),"")</f>
        <v/>
      </c>
    </row>
    <row r="116" spans="2:46" ht="15">
      <c r="B116" s="392" t="str">
        <f>'B-1 On-Site Hedge Baseline'!AK114</f>
        <v/>
      </c>
      <c r="C116" s="382" t="str">
        <f>IF(B116="","",IF(ISNA(VLOOKUP($B116,'B-1 On-Site Hedge Baseline'!$B$1:$L$257,3,FALSE)),"",(VLOOKUP($B116,'B-1 On-Site Hedge Baseline'!$B$1:$L$257,3,FALSE))))</f>
        <v/>
      </c>
      <c r="D116" s="382" t="str">
        <f>IF(B116="","",IF(ISNA(VLOOKUP($B116,'B-1 On-Site Hedge Baseline'!$B$1:$L$257,4,FALSE)),"",(VLOOKUP($B116,'B-1 On-Site Hedge Baseline'!$B$1:$L$257,4,FALSE))))</f>
        <v/>
      </c>
      <c r="E116" s="382" t="str">
        <f>IF(B116="","",IF(ISNA(VLOOKUP($B116,'B-1 On-Site Hedge Baseline'!$B$1:$L$257,5,FALSE)),"",(VLOOKUP($B116,'B-1 On-Site Hedge Baseline'!$B$1:$L$257,5,FALSE))))</f>
        <v/>
      </c>
      <c r="F116" s="382" t="str">
        <f>IF(B116="","",IF(ISNA(VLOOKUP($B116,'B-1 On-Site Hedge Baseline'!$B$1:$L$257,6,FALSE)),"",(VLOOKUP($B116,'B-1 On-Site Hedge Baseline'!$B$1:$L$257,6,FALSE))))</f>
        <v/>
      </c>
      <c r="G116" s="382" t="str">
        <f>IF(B116="","",IF(ISNA(VLOOKUP($B116,'B-1 On-Site Hedge Baseline'!$B$1:$L$257,7,FALSE)),"",(VLOOKUP($B116,'B-1 On-Site Hedge Baseline'!$B$1:$L$257,7,FALSE))))</f>
        <v/>
      </c>
      <c r="H116" s="382" t="str">
        <f>IF(B116="","",IF(ISNA(VLOOKUP($B116,'B-1 On-Site Hedge Baseline'!$B$1:$L$257,8,FALSE)),"",(VLOOKUP($B116,'B-1 On-Site Hedge Baseline'!$B$1:$L$257,8,FALSE))))</f>
        <v/>
      </c>
      <c r="I116" s="382" t="str">
        <f>IF(B116="","",IF(ISNA(VLOOKUP($B116,'B-1 On-Site Hedge Baseline'!$B$1:$L$257,10,FALSE)),"",(VLOOKUP($B116,'B-1 On-Site Hedge Baseline'!$B$1:$L$257,10,FALSE))))</f>
        <v/>
      </c>
      <c r="J116" s="382" t="str">
        <f>IF(B116="","",IF(ISNA(VLOOKUP($B116,'B-1 On-Site Hedge Baseline'!$B$1:$L$257,11,FALSE)),"",(VLOOKUP($B116,'B-1 On-Site Hedge Baseline'!$B$1:$L$257,11,FALSE))))</f>
        <v/>
      </c>
      <c r="K116" s="382" t="str">
        <f>IF(B116="","",IF(ISNA(VLOOKUP($B116,'B-1 On-Site Hedge Baseline'!$B$1:$U$257,13,FALSE)),"",(VLOOKUP($B116,'B-1 On-Site Hedge Baseline'!$B$1:$U$257,13,FALSE))))</f>
        <v/>
      </c>
      <c r="L116" s="386" t="str">
        <f>IF(B116="","",IF(ISNA(VLOOKUP($B116,'B-1 On-Site Hedge Baseline'!$B$1:$U$257,12,FALSE)),"",(VLOOKUP($B116,'B-1 On-Site Hedge Baseline'!$B$1:$U$257,12,FALSE))))</f>
        <v/>
      </c>
      <c r="M116" s="315" t="str">
        <f t="shared" si="15"/>
        <v/>
      </c>
      <c r="N116" s="362" t="str">
        <f>IFERROR(IF(B116="","",INDEX('G-6 Hedgerow Data'!$AN$3:$AZ$15,MATCH(C116,'G-6 Hedgerow Data'!$AM$3:$AM$15,0),MATCH(M116,'G-6 Hedgerow Data'!$AN$2:$AZ$2,0))),"")</f>
        <v/>
      </c>
      <c r="O116" s="363" t="str">
        <f t="shared" si="10"/>
        <v/>
      </c>
      <c r="P116" s="417" t="str">
        <f>IF(B116="","",VLOOKUP(B116,'B-1 On-Site Hedge Baseline'!$B$10:T361,16,FALSE))</f>
        <v/>
      </c>
      <c r="Q116" s="362" t="str">
        <f>IF(M116="","",VLOOKUP(M116,'G-6 Hedgerow Data'!$B$2:$AG$15,2,FALSE))</f>
        <v/>
      </c>
      <c r="R116" s="363" t="str">
        <f>IF(M116="","",VLOOKUP(M116,'G-6 Hedgerow Data'!$B$2:$AG$15,3,FALSE))</f>
        <v/>
      </c>
      <c r="S116" s="125"/>
      <c r="T116" s="401" t="str">
        <f>IFERROR(VLOOKUP(S116,'G-1 All Habitats'!$Z$2:$AA$9,2,FALSE),"")</f>
        <v/>
      </c>
      <c r="U116" s="122"/>
      <c r="V116" s="382" t="str">
        <f>IF(U116="","",IF(VLOOKUP(U116,'G-3 Multipliers'!$L$3:$N$6,2,FALSE)=0,"Spatial Data Missing ⚠",VLOOKUP(U116,'G-3 Multipliers'!$L$3:$N$6,2,FALSE)))</f>
        <v/>
      </c>
      <c r="W116" s="386" t="str">
        <f>IF(U116="","",IF(VLOOKUP(U116,'G-3 Multipliers'!$L$3:$N$6,3,FALSE)=0,"Spatial Data Missing ⚠",VLOOKUP(U116,'G-3 Multipliers'!$L$3:$N$6,3,FALSE)))</f>
        <v/>
      </c>
      <c r="X116" s="362" t="str">
        <f>IFERROR(IF(OR(LEFT(O116,5)="Error",LEFT(N116,5)="Error",T116="Error"),"Check Data ⚠",IF(F116&lt;R116,INDEX('G-6 Hedgerow Data'!$S$3:$AE$14,MATCH(C116,'G-6 Hedgerow Data'!$B$3:$B$14,0),MATCH(M116,'G-6 Hedgerow Data'!$S$2:$AE$2,0)),INDEX('G-6 Hedgerow Data'!$K$3:$Q$14,MATCH(M116,'G-6 Hedgerow Data'!$B$3:$B$14,0),MATCH(O116,'G-6 Hedgerow Data'!$K$2:$Q$2,0)))),"")</f>
        <v/>
      </c>
      <c r="Y116" s="159"/>
      <c r="Z116" s="159"/>
      <c r="AA116" s="370" t="str">
        <f t="shared" si="11"/>
        <v/>
      </c>
      <c r="AB116" s="383" t="str">
        <f t="shared" si="12"/>
        <v/>
      </c>
      <c r="AC116" s="384" t="str">
        <f t="shared" si="8"/>
        <v/>
      </c>
      <c r="AD116" s="398" t="str">
        <f>IF(M116="","",VLOOKUP(M116,'G-6 Hedgerow Data'!$B$3:$AG$15,31,FALSE))</f>
        <v/>
      </c>
      <c r="AE116" s="370" t="str">
        <f t="shared" si="13"/>
        <v/>
      </c>
      <c r="AF116" s="370" t="str">
        <f t="shared" si="14"/>
        <v/>
      </c>
      <c r="AG116" s="386" t="str">
        <f>IFERROR(IF(O116="","",VLOOKUP(AD116,'G-3 Multipliers'!$P$3:$Q$6,2,FALSE)),"")</f>
        <v/>
      </c>
      <c r="AH116" s="376" t="str">
        <f t="shared" si="9"/>
        <v/>
      </c>
      <c r="AI116" s="188"/>
      <c r="AJ116" s="118"/>
      <c r="AK116" s="120"/>
      <c r="AT116" s="30" t="str">
        <f>IFERROR(INDEX('G-6 Hedgerow Data'!$BJ$3:$BJ$15,MATCH(M116,'G-6 Hedgerow Data'!$B$3:$B$15,0)),"")</f>
        <v/>
      </c>
    </row>
    <row r="117" spans="2:46" ht="15">
      <c r="B117" s="392" t="str">
        <f>'B-1 On-Site Hedge Baseline'!AK115</f>
        <v/>
      </c>
      <c r="C117" s="382" t="str">
        <f>IF(B117="","",IF(ISNA(VLOOKUP($B117,'B-1 On-Site Hedge Baseline'!$B$1:$L$257,3,FALSE)),"",(VLOOKUP($B117,'B-1 On-Site Hedge Baseline'!$B$1:$L$257,3,FALSE))))</f>
        <v/>
      </c>
      <c r="D117" s="382" t="str">
        <f>IF(B117="","",IF(ISNA(VLOOKUP($B117,'B-1 On-Site Hedge Baseline'!$B$1:$L$257,4,FALSE)),"",(VLOOKUP($B117,'B-1 On-Site Hedge Baseline'!$B$1:$L$257,4,FALSE))))</f>
        <v/>
      </c>
      <c r="E117" s="382" t="str">
        <f>IF(B117="","",IF(ISNA(VLOOKUP($B117,'B-1 On-Site Hedge Baseline'!$B$1:$L$257,5,FALSE)),"",(VLOOKUP($B117,'B-1 On-Site Hedge Baseline'!$B$1:$L$257,5,FALSE))))</f>
        <v/>
      </c>
      <c r="F117" s="382" t="str">
        <f>IF(B117="","",IF(ISNA(VLOOKUP($B117,'B-1 On-Site Hedge Baseline'!$B$1:$L$257,6,FALSE)),"",(VLOOKUP($B117,'B-1 On-Site Hedge Baseline'!$B$1:$L$257,6,FALSE))))</f>
        <v/>
      </c>
      <c r="G117" s="382" t="str">
        <f>IF(B117="","",IF(ISNA(VLOOKUP($B117,'B-1 On-Site Hedge Baseline'!$B$1:$L$257,7,FALSE)),"",(VLOOKUP($B117,'B-1 On-Site Hedge Baseline'!$B$1:$L$257,7,FALSE))))</f>
        <v/>
      </c>
      <c r="H117" s="382" t="str">
        <f>IF(B117="","",IF(ISNA(VLOOKUP($B117,'B-1 On-Site Hedge Baseline'!$B$1:$L$257,8,FALSE)),"",(VLOOKUP($B117,'B-1 On-Site Hedge Baseline'!$B$1:$L$257,8,FALSE))))</f>
        <v/>
      </c>
      <c r="I117" s="382" t="str">
        <f>IF(B117="","",IF(ISNA(VLOOKUP($B117,'B-1 On-Site Hedge Baseline'!$B$1:$L$257,10,FALSE)),"",(VLOOKUP($B117,'B-1 On-Site Hedge Baseline'!$B$1:$L$257,10,FALSE))))</f>
        <v/>
      </c>
      <c r="J117" s="382" t="str">
        <f>IF(B117="","",IF(ISNA(VLOOKUP($B117,'B-1 On-Site Hedge Baseline'!$B$1:$L$257,11,FALSE)),"",(VLOOKUP($B117,'B-1 On-Site Hedge Baseline'!$B$1:$L$257,11,FALSE))))</f>
        <v/>
      </c>
      <c r="K117" s="382" t="str">
        <f>IF(B117="","",IF(ISNA(VLOOKUP($B117,'B-1 On-Site Hedge Baseline'!$B$1:$U$257,13,FALSE)),"",(VLOOKUP($B117,'B-1 On-Site Hedge Baseline'!$B$1:$U$257,13,FALSE))))</f>
        <v/>
      </c>
      <c r="L117" s="386" t="str">
        <f>IF(B117="","",IF(ISNA(VLOOKUP($B117,'B-1 On-Site Hedge Baseline'!$B$1:$U$257,12,FALSE)),"",(VLOOKUP($B117,'B-1 On-Site Hedge Baseline'!$B$1:$U$257,12,FALSE))))</f>
        <v/>
      </c>
      <c r="M117" s="315" t="str">
        <f t="shared" si="15"/>
        <v/>
      </c>
      <c r="N117" s="362" t="str">
        <f>IFERROR(IF(B117="","",INDEX('G-6 Hedgerow Data'!$AN$3:$AZ$15,MATCH(C117,'G-6 Hedgerow Data'!$AM$3:$AM$15,0),MATCH(M117,'G-6 Hedgerow Data'!$AN$2:$AZ$2,0))),"")</f>
        <v/>
      </c>
      <c r="O117" s="363" t="str">
        <f t="shared" si="10"/>
        <v/>
      </c>
      <c r="P117" s="417" t="str">
        <f>IF(B117="","",VLOOKUP(B117,'B-1 On-Site Hedge Baseline'!$B$10:T362,16,FALSE))</f>
        <v/>
      </c>
      <c r="Q117" s="362" t="str">
        <f>IF(M117="","",VLOOKUP(M117,'G-6 Hedgerow Data'!$B$2:$AG$15,2,FALSE))</f>
        <v/>
      </c>
      <c r="R117" s="363" t="str">
        <f>IF(M117="","",VLOOKUP(M117,'G-6 Hedgerow Data'!$B$2:$AG$15,3,FALSE))</f>
        <v/>
      </c>
      <c r="S117" s="125"/>
      <c r="T117" s="401" t="str">
        <f>IFERROR(VLOOKUP(S117,'G-1 All Habitats'!$Z$2:$AA$9,2,FALSE),"")</f>
        <v/>
      </c>
      <c r="U117" s="122"/>
      <c r="V117" s="382" t="str">
        <f>IF(U117="","",IF(VLOOKUP(U117,'G-3 Multipliers'!$L$3:$N$6,2,FALSE)=0,"Spatial Data Missing ⚠",VLOOKUP(U117,'G-3 Multipliers'!$L$3:$N$6,2,FALSE)))</f>
        <v/>
      </c>
      <c r="W117" s="386" t="str">
        <f>IF(U117="","",IF(VLOOKUP(U117,'G-3 Multipliers'!$L$3:$N$6,3,FALSE)=0,"Spatial Data Missing ⚠",VLOOKUP(U117,'G-3 Multipliers'!$L$3:$N$6,3,FALSE)))</f>
        <v/>
      </c>
      <c r="X117" s="362" t="str">
        <f>IFERROR(IF(OR(LEFT(O117,5)="Error",LEFT(N117,5)="Error",T117="Error"),"Check Data ⚠",IF(F117&lt;R117,INDEX('G-6 Hedgerow Data'!$S$3:$AE$14,MATCH(C117,'G-6 Hedgerow Data'!$B$3:$B$14,0),MATCH(M117,'G-6 Hedgerow Data'!$S$2:$AE$2,0)),INDEX('G-6 Hedgerow Data'!$K$3:$Q$14,MATCH(M117,'G-6 Hedgerow Data'!$B$3:$B$14,0),MATCH(O117,'G-6 Hedgerow Data'!$K$2:$Q$2,0)))),"")</f>
        <v/>
      </c>
      <c r="Y117" s="159"/>
      <c r="Z117" s="159"/>
      <c r="AA117" s="370" t="str">
        <f t="shared" si="11"/>
        <v/>
      </c>
      <c r="AB117" s="383" t="str">
        <f t="shared" si="12"/>
        <v/>
      </c>
      <c r="AC117" s="384" t="str">
        <f t="shared" si="8"/>
        <v/>
      </c>
      <c r="AD117" s="398" t="str">
        <f>IF(M117="","",VLOOKUP(M117,'G-6 Hedgerow Data'!$B$3:$AG$15,31,FALSE))</f>
        <v/>
      </c>
      <c r="AE117" s="370" t="str">
        <f t="shared" si="13"/>
        <v/>
      </c>
      <c r="AF117" s="370" t="str">
        <f t="shared" si="14"/>
        <v/>
      </c>
      <c r="AG117" s="386" t="str">
        <f>IFERROR(IF(O117="","",VLOOKUP(AD117,'G-3 Multipliers'!$P$3:$Q$6,2,FALSE)),"")</f>
        <v/>
      </c>
      <c r="AH117" s="376" t="str">
        <f t="shared" si="9"/>
        <v/>
      </c>
      <c r="AI117" s="188"/>
      <c r="AJ117" s="118"/>
      <c r="AK117" s="120"/>
      <c r="AT117" s="30" t="str">
        <f>IFERROR(INDEX('G-6 Hedgerow Data'!$BJ$3:$BJ$15,MATCH(M117,'G-6 Hedgerow Data'!$B$3:$B$15,0)),"")</f>
        <v/>
      </c>
    </row>
    <row r="118" spans="2:46" ht="15">
      <c r="B118" s="392" t="str">
        <f>'B-1 On-Site Hedge Baseline'!AK116</f>
        <v/>
      </c>
      <c r="C118" s="382" t="str">
        <f>IF(B118="","",IF(ISNA(VLOOKUP($B118,'B-1 On-Site Hedge Baseline'!$B$1:$L$257,3,FALSE)),"",(VLOOKUP($B118,'B-1 On-Site Hedge Baseline'!$B$1:$L$257,3,FALSE))))</f>
        <v/>
      </c>
      <c r="D118" s="382" t="str">
        <f>IF(B118="","",IF(ISNA(VLOOKUP($B118,'B-1 On-Site Hedge Baseline'!$B$1:$L$257,4,FALSE)),"",(VLOOKUP($B118,'B-1 On-Site Hedge Baseline'!$B$1:$L$257,4,FALSE))))</f>
        <v/>
      </c>
      <c r="E118" s="382" t="str">
        <f>IF(B118="","",IF(ISNA(VLOOKUP($B118,'B-1 On-Site Hedge Baseline'!$B$1:$L$257,5,FALSE)),"",(VLOOKUP($B118,'B-1 On-Site Hedge Baseline'!$B$1:$L$257,5,FALSE))))</f>
        <v/>
      </c>
      <c r="F118" s="382" t="str">
        <f>IF(B118="","",IF(ISNA(VLOOKUP($B118,'B-1 On-Site Hedge Baseline'!$B$1:$L$257,6,FALSE)),"",(VLOOKUP($B118,'B-1 On-Site Hedge Baseline'!$B$1:$L$257,6,FALSE))))</f>
        <v/>
      </c>
      <c r="G118" s="382" t="str">
        <f>IF(B118="","",IF(ISNA(VLOOKUP($B118,'B-1 On-Site Hedge Baseline'!$B$1:$L$257,7,FALSE)),"",(VLOOKUP($B118,'B-1 On-Site Hedge Baseline'!$B$1:$L$257,7,FALSE))))</f>
        <v/>
      </c>
      <c r="H118" s="382" t="str">
        <f>IF(B118="","",IF(ISNA(VLOOKUP($B118,'B-1 On-Site Hedge Baseline'!$B$1:$L$257,8,FALSE)),"",(VLOOKUP($B118,'B-1 On-Site Hedge Baseline'!$B$1:$L$257,8,FALSE))))</f>
        <v/>
      </c>
      <c r="I118" s="382" t="str">
        <f>IF(B118="","",IF(ISNA(VLOOKUP($B118,'B-1 On-Site Hedge Baseline'!$B$1:$L$257,10,FALSE)),"",(VLOOKUP($B118,'B-1 On-Site Hedge Baseline'!$B$1:$L$257,10,FALSE))))</f>
        <v/>
      </c>
      <c r="J118" s="382" t="str">
        <f>IF(B118="","",IF(ISNA(VLOOKUP($B118,'B-1 On-Site Hedge Baseline'!$B$1:$L$257,11,FALSE)),"",(VLOOKUP($B118,'B-1 On-Site Hedge Baseline'!$B$1:$L$257,11,FALSE))))</f>
        <v/>
      </c>
      <c r="K118" s="382" t="str">
        <f>IF(B118="","",IF(ISNA(VLOOKUP($B118,'B-1 On-Site Hedge Baseline'!$B$1:$U$257,13,FALSE)),"",(VLOOKUP($B118,'B-1 On-Site Hedge Baseline'!$B$1:$U$257,13,FALSE))))</f>
        <v/>
      </c>
      <c r="L118" s="386" t="str">
        <f>IF(B118="","",IF(ISNA(VLOOKUP($B118,'B-1 On-Site Hedge Baseline'!$B$1:$U$257,12,FALSE)),"",(VLOOKUP($B118,'B-1 On-Site Hedge Baseline'!$B$1:$U$257,12,FALSE))))</f>
        <v/>
      </c>
      <c r="M118" s="315" t="str">
        <f t="shared" si="15"/>
        <v/>
      </c>
      <c r="N118" s="362" t="str">
        <f>IFERROR(IF(B118="","",INDEX('G-6 Hedgerow Data'!$AN$3:$AZ$15,MATCH(C118,'G-6 Hedgerow Data'!$AM$3:$AM$15,0),MATCH(M118,'G-6 Hedgerow Data'!$AN$2:$AZ$2,0))),"")</f>
        <v/>
      </c>
      <c r="O118" s="363" t="str">
        <f t="shared" si="10"/>
        <v/>
      </c>
      <c r="P118" s="417" t="str">
        <f>IF(B118="","",VLOOKUP(B118,'B-1 On-Site Hedge Baseline'!$B$10:T363,16,FALSE))</f>
        <v/>
      </c>
      <c r="Q118" s="362" t="str">
        <f>IF(M118="","",VLOOKUP(M118,'G-6 Hedgerow Data'!$B$2:$AG$15,2,FALSE))</f>
        <v/>
      </c>
      <c r="R118" s="363" t="str">
        <f>IF(M118="","",VLOOKUP(M118,'G-6 Hedgerow Data'!$B$2:$AG$15,3,FALSE))</f>
        <v/>
      </c>
      <c r="S118" s="125"/>
      <c r="T118" s="401" t="str">
        <f>IFERROR(VLOOKUP(S118,'G-1 All Habitats'!$Z$2:$AA$9,2,FALSE),"")</f>
        <v/>
      </c>
      <c r="U118" s="122"/>
      <c r="V118" s="382" t="str">
        <f>IF(U118="","",IF(VLOOKUP(U118,'G-3 Multipliers'!$L$3:$N$6,2,FALSE)=0,"Spatial Data Missing ⚠",VLOOKUP(U118,'G-3 Multipliers'!$L$3:$N$6,2,FALSE)))</f>
        <v/>
      </c>
      <c r="W118" s="386" t="str">
        <f>IF(U118="","",IF(VLOOKUP(U118,'G-3 Multipliers'!$L$3:$N$6,3,FALSE)=0,"Spatial Data Missing ⚠",VLOOKUP(U118,'G-3 Multipliers'!$L$3:$N$6,3,FALSE)))</f>
        <v/>
      </c>
      <c r="X118" s="362" t="str">
        <f>IFERROR(IF(OR(LEFT(O118,5)="Error",LEFT(N118,5)="Error",T118="Error"),"Check Data ⚠",IF(F118&lt;R118,INDEX('G-6 Hedgerow Data'!$S$3:$AE$14,MATCH(C118,'G-6 Hedgerow Data'!$B$3:$B$14,0),MATCH(M118,'G-6 Hedgerow Data'!$S$2:$AE$2,0)),INDEX('G-6 Hedgerow Data'!$K$3:$Q$14,MATCH(M118,'G-6 Hedgerow Data'!$B$3:$B$14,0),MATCH(O118,'G-6 Hedgerow Data'!$K$2:$Q$2,0)))),"")</f>
        <v/>
      </c>
      <c r="Y118" s="159"/>
      <c r="Z118" s="159"/>
      <c r="AA118" s="370" t="str">
        <f t="shared" si="11"/>
        <v/>
      </c>
      <c r="AB118" s="383" t="str">
        <f t="shared" si="12"/>
        <v/>
      </c>
      <c r="AC118" s="384" t="str">
        <f t="shared" si="8"/>
        <v/>
      </c>
      <c r="AD118" s="398" t="str">
        <f>IF(M118="","",VLOOKUP(M118,'G-6 Hedgerow Data'!$B$3:$AG$15,31,FALSE))</f>
        <v/>
      </c>
      <c r="AE118" s="370" t="str">
        <f t="shared" si="13"/>
        <v/>
      </c>
      <c r="AF118" s="370" t="str">
        <f t="shared" si="14"/>
        <v/>
      </c>
      <c r="AG118" s="386" t="str">
        <f>IFERROR(IF(O118="","",VLOOKUP(AD118,'G-3 Multipliers'!$P$3:$Q$6,2,FALSE)),"")</f>
        <v/>
      </c>
      <c r="AH118" s="376" t="str">
        <f t="shared" si="9"/>
        <v/>
      </c>
      <c r="AI118" s="188"/>
      <c r="AJ118" s="118"/>
      <c r="AK118" s="120"/>
      <c r="AT118" s="30" t="str">
        <f>IFERROR(INDEX('G-6 Hedgerow Data'!$BJ$3:$BJ$15,MATCH(M118,'G-6 Hedgerow Data'!$B$3:$B$15,0)),"")</f>
        <v/>
      </c>
    </row>
    <row r="119" spans="2:46" ht="15">
      <c r="B119" s="392" t="str">
        <f>'B-1 On-Site Hedge Baseline'!AK117</f>
        <v/>
      </c>
      <c r="C119" s="382" t="str">
        <f>IF(B119="","",IF(ISNA(VLOOKUP($B119,'B-1 On-Site Hedge Baseline'!$B$1:$L$257,3,FALSE)),"",(VLOOKUP($B119,'B-1 On-Site Hedge Baseline'!$B$1:$L$257,3,FALSE))))</f>
        <v/>
      </c>
      <c r="D119" s="382" t="str">
        <f>IF(B119="","",IF(ISNA(VLOOKUP($B119,'B-1 On-Site Hedge Baseline'!$B$1:$L$257,4,FALSE)),"",(VLOOKUP($B119,'B-1 On-Site Hedge Baseline'!$B$1:$L$257,4,FALSE))))</f>
        <v/>
      </c>
      <c r="E119" s="382" t="str">
        <f>IF(B119="","",IF(ISNA(VLOOKUP($B119,'B-1 On-Site Hedge Baseline'!$B$1:$L$257,5,FALSE)),"",(VLOOKUP($B119,'B-1 On-Site Hedge Baseline'!$B$1:$L$257,5,FALSE))))</f>
        <v/>
      </c>
      <c r="F119" s="382" t="str">
        <f>IF(B119="","",IF(ISNA(VLOOKUP($B119,'B-1 On-Site Hedge Baseline'!$B$1:$L$257,6,FALSE)),"",(VLOOKUP($B119,'B-1 On-Site Hedge Baseline'!$B$1:$L$257,6,FALSE))))</f>
        <v/>
      </c>
      <c r="G119" s="382" t="str">
        <f>IF(B119="","",IF(ISNA(VLOOKUP($B119,'B-1 On-Site Hedge Baseline'!$B$1:$L$257,7,FALSE)),"",(VLOOKUP($B119,'B-1 On-Site Hedge Baseline'!$B$1:$L$257,7,FALSE))))</f>
        <v/>
      </c>
      <c r="H119" s="382" t="str">
        <f>IF(B119="","",IF(ISNA(VLOOKUP($B119,'B-1 On-Site Hedge Baseline'!$B$1:$L$257,8,FALSE)),"",(VLOOKUP($B119,'B-1 On-Site Hedge Baseline'!$B$1:$L$257,8,FALSE))))</f>
        <v/>
      </c>
      <c r="I119" s="382" t="str">
        <f>IF(B119="","",IF(ISNA(VLOOKUP($B119,'B-1 On-Site Hedge Baseline'!$B$1:$L$257,10,FALSE)),"",(VLOOKUP($B119,'B-1 On-Site Hedge Baseline'!$B$1:$L$257,10,FALSE))))</f>
        <v/>
      </c>
      <c r="J119" s="382" t="str">
        <f>IF(B119="","",IF(ISNA(VLOOKUP($B119,'B-1 On-Site Hedge Baseline'!$B$1:$L$257,11,FALSE)),"",(VLOOKUP($B119,'B-1 On-Site Hedge Baseline'!$B$1:$L$257,11,FALSE))))</f>
        <v/>
      </c>
      <c r="K119" s="382" t="str">
        <f>IF(B119="","",IF(ISNA(VLOOKUP($B119,'B-1 On-Site Hedge Baseline'!$B$1:$U$257,13,FALSE)),"",(VLOOKUP($B119,'B-1 On-Site Hedge Baseline'!$B$1:$U$257,13,FALSE))))</f>
        <v/>
      </c>
      <c r="L119" s="386" t="str">
        <f>IF(B119="","",IF(ISNA(VLOOKUP($B119,'B-1 On-Site Hedge Baseline'!$B$1:$U$257,12,FALSE)),"",(VLOOKUP($B119,'B-1 On-Site Hedge Baseline'!$B$1:$U$257,12,FALSE))))</f>
        <v/>
      </c>
      <c r="M119" s="315" t="str">
        <f t="shared" si="15"/>
        <v/>
      </c>
      <c r="N119" s="362" t="str">
        <f>IFERROR(IF(B119="","",INDEX('G-6 Hedgerow Data'!$AN$3:$AZ$15,MATCH(C119,'G-6 Hedgerow Data'!$AM$3:$AM$15,0),MATCH(M119,'G-6 Hedgerow Data'!$AN$2:$AZ$2,0))),"")</f>
        <v/>
      </c>
      <c r="O119" s="363" t="str">
        <f t="shared" si="10"/>
        <v/>
      </c>
      <c r="P119" s="417" t="str">
        <f>IF(B119="","",VLOOKUP(B119,'B-1 On-Site Hedge Baseline'!$B$10:T364,16,FALSE))</f>
        <v/>
      </c>
      <c r="Q119" s="362" t="str">
        <f>IF(M119="","",VLOOKUP(M119,'G-6 Hedgerow Data'!$B$2:$AG$15,2,FALSE))</f>
        <v/>
      </c>
      <c r="R119" s="363" t="str">
        <f>IF(M119="","",VLOOKUP(M119,'G-6 Hedgerow Data'!$B$2:$AG$15,3,FALSE))</f>
        <v/>
      </c>
      <c r="S119" s="125"/>
      <c r="T119" s="401" t="str">
        <f>IFERROR(VLOOKUP(S119,'G-1 All Habitats'!$Z$2:$AA$9,2,FALSE),"")</f>
        <v/>
      </c>
      <c r="U119" s="122"/>
      <c r="V119" s="382" t="str">
        <f>IF(U119="","",IF(VLOOKUP(U119,'G-3 Multipliers'!$L$3:$N$6,2,FALSE)=0,"Spatial Data Missing ⚠",VLOOKUP(U119,'G-3 Multipliers'!$L$3:$N$6,2,FALSE)))</f>
        <v/>
      </c>
      <c r="W119" s="386" t="str">
        <f>IF(U119="","",IF(VLOOKUP(U119,'G-3 Multipliers'!$L$3:$N$6,3,FALSE)=0,"Spatial Data Missing ⚠",VLOOKUP(U119,'G-3 Multipliers'!$L$3:$N$6,3,FALSE)))</f>
        <v/>
      </c>
      <c r="X119" s="362" t="str">
        <f>IFERROR(IF(OR(LEFT(O119,5)="Error",LEFT(N119,5)="Error",T119="Error"),"Check Data ⚠",IF(F119&lt;R119,INDEX('G-6 Hedgerow Data'!$S$3:$AE$14,MATCH(C119,'G-6 Hedgerow Data'!$B$3:$B$14,0),MATCH(M119,'G-6 Hedgerow Data'!$S$2:$AE$2,0)),INDEX('G-6 Hedgerow Data'!$K$3:$Q$14,MATCH(M119,'G-6 Hedgerow Data'!$B$3:$B$14,0),MATCH(O119,'G-6 Hedgerow Data'!$K$2:$Q$2,0)))),"")</f>
        <v/>
      </c>
      <c r="Y119" s="159"/>
      <c r="Z119" s="159"/>
      <c r="AA119" s="370" t="str">
        <f t="shared" si="11"/>
        <v/>
      </c>
      <c r="AB119" s="383" t="str">
        <f t="shared" si="12"/>
        <v/>
      </c>
      <c r="AC119" s="384" t="str">
        <f t="shared" si="8"/>
        <v/>
      </c>
      <c r="AD119" s="398" t="str">
        <f>IF(M119="","",VLOOKUP(M119,'G-6 Hedgerow Data'!$B$3:$AG$15,31,FALSE))</f>
        <v/>
      </c>
      <c r="AE119" s="370" t="str">
        <f t="shared" si="13"/>
        <v/>
      </c>
      <c r="AF119" s="370" t="str">
        <f t="shared" si="14"/>
        <v/>
      </c>
      <c r="AG119" s="386" t="str">
        <f>IFERROR(IF(O119="","",VLOOKUP(AD119,'G-3 Multipliers'!$P$3:$Q$6,2,FALSE)),"")</f>
        <v/>
      </c>
      <c r="AH119" s="376" t="str">
        <f t="shared" si="9"/>
        <v/>
      </c>
      <c r="AI119" s="188"/>
      <c r="AJ119" s="118"/>
      <c r="AK119" s="120"/>
      <c r="AT119" s="30" t="str">
        <f>IFERROR(INDEX('G-6 Hedgerow Data'!$BJ$3:$BJ$15,MATCH(M119,'G-6 Hedgerow Data'!$B$3:$B$15,0)),"")</f>
        <v/>
      </c>
    </row>
    <row r="120" spans="2:46" ht="15">
      <c r="B120" s="392" t="str">
        <f>'B-1 On-Site Hedge Baseline'!AK118</f>
        <v/>
      </c>
      <c r="C120" s="382" t="str">
        <f>IF(B120="","",IF(ISNA(VLOOKUP($B120,'B-1 On-Site Hedge Baseline'!$B$1:$L$257,3,FALSE)),"",(VLOOKUP($B120,'B-1 On-Site Hedge Baseline'!$B$1:$L$257,3,FALSE))))</f>
        <v/>
      </c>
      <c r="D120" s="382" t="str">
        <f>IF(B120="","",IF(ISNA(VLOOKUP($B120,'B-1 On-Site Hedge Baseline'!$B$1:$L$257,4,FALSE)),"",(VLOOKUP($B120,'B-1 On-Site Hedge Baseline'!$B$1:$L$257,4,FALSE))))</f>
        <v/>
      </c>
      <c r="E120" s="382" t="str">
        <f>IF(B120="","",IF(ISNA(VLOOKUP($B120,'B-1 On-Site Hedge Baseline'!$B$1:$L$257,5,FALSE)),"",(VLOOKUP($B120,'B-1 On-Site Hedge Baseline'!$B$1:$L$257,5,FALSE))))</f>
        <v/>
      </c>
      <c r="F120" s="382" t="str">
        <f>IF(B120="","",IF(ISNA(VLOOKUP($B120,'B-1 On-Site Hedge Baseline'!$B$1:$L$257,6,FALSE)),"",(VLOOKUP($B120,'B-1 On-Site Hedge Baseline'!$B$1:$L$257,6,FALSE))))</f>
        <v/>
      </c>
      <c r="G120" s="382" t="str">
        <f>IF(B120="","",IF(ISNA(VLOOKUP($B120,'B-1 On-Site Hedge Baseline'!$B$1:$L$257,7,FALSE)),"",(VLOOKUP($B120,'B-1 On-Site Hedge Baseline'!$B$1:$L$257,7,FALSE))))</f>
        <v/>
      </c>
      <c r="H120" s="382" t="str">
        <f>IF(B120="","",IF(ISNA(VLOOKUP($B120,'B-1 On-Site Hedge Baseline'!$B$1:$L$257,8,FALSE)),"",(VLOOKUP($B120,'B-1 On-Site Hedge Baseline'!$B$1:$L$257,8,FALSE))))</f>
        <v/>
      </c>
      <c r="I120" s="382" t="str">
        <f>IF(B120="","",IF(ISNA(VLOOKUP($B120,'B-1 On-Site Hedge Baseline'!$B$1:$L$257,10,FALSE)),"",(VLOOKUP($B120,'B-1 On-Site Hedge Baseline'!$B$1:$L$257,10,FALSE))))</f>
        <v/>
      </c>
      <c r="J120" s="382" t="str">
        <f>IF(B120="","",IF(ISNA(VLOOKUP($B120,'B-1 On-Site Hedge Baseline'!$B$1:$L$257,11,FALSE)),"",(VLOOKUP($B120,'B-1 On-Site Hedge Baseline'!$B$1:$L$257,11,FALSE))))</f>
        <v/>
      </c>
      <c r="K120" s="382" t="str">
        <f>IF(B120="","",IF(ISNA(VLOOKUP($B120,'B-1 On-Site Hedge Baseline'!$B$1:$U$257,13,FALSE)),"",(VLOOKUP($B120,'B-1 On-Site Hedge Baseline'!$B$1:$U$257,13,FALSE))))</f>
        <v/>
      </c>
      <c r="L120" s="386" t="str">
        <f>IF(B120="","",IF(ISNA(VLOOKUP($B120,'B-1 On-Site Hedge Baseline'!$B$1:$U$257,12,FALSE)),"",(VLOOKUP($B120,'B-1 On-Site Hedge Baseline'!$B$1:$U$257,12,FALSE))))</f>
        <v/>
      </c>
      <c r="M120" s="315" t="str">
        <f t="shared" si="15"/>
        <v/>
      </c>
      <c r="N120" s="362" t="str">
        <f>IFERROR(IF(B120="","",INDEX('G-6 Hedgerow Data'!$AN$3:$AZ$15,MATCH(C120,'G-6 Hedgerow Data'!$AM$3:$AM$15,0),MATCH(M120,'G-6 Hedgerow Data'!$AN$2:$AZ$2,0))),"")</f>
        <v/>
      </c>
      <c r="O120" s="363" t="str">
        <f t="shared" si="10"/>
        <v/>
      </c>
      <c r="P120" s="417" t="str">
        <f>IF(B120="","",VLOOKUP(B120,'B-1 On-Site Hedge Baseline'!$B$10:T365,16,FALSE))</f>
        <v/>
      </c>
      <c r="Q120" s="362" t="str">
        <f>IF(M120="","",VLOOKUP(M120,'G-6 Hedgerow Data'!$B$2:$AG$15,2,FALSE))</f>
        <v/>
      </c>
      <c r="R120" s="363" t="str">
        <f>IF(M120="","",VLOOKUP(M120,'G-6 Hedgerow Data'!$B$2:$AG$15,3,FALSE))</f>
        <v/>
      </c>
      <c r="S120" s="125"/>
      <c r="T120" s="401" t="str">
        <f>IFERROR(VLOOKUP(S120,'G-1 All Habitats'!$Z$2:$AA$9,2,FALSE),"")</f>
        <v/>
      </c>
      <c r="U120" s="122"/>
      <c r="V120" s="382" t="str">
        <f>IF(U120="","",IF(VLOOKUP(U120,'G-3 Multipliers'!$L$3:$N$6,2,FALSE)=0,"Spatial Data Missing ⚠",VLOOKUP(U120,'G-3 Multipliers'!$L$3:$N$6,2,FALSE)))</f>
        <v/>
      </c>
      <c r="W120" s="386" t="str">
        <f>IF(U120="","",IF(VLOOKUP(U120,'G-3 Multipliers'!$L$3:$N$6,3,FALSE)=0,"Spatial Data Missing ⚠",VLOOKUP(U120,'G-3 Multipliers'!$L$3:$N$6,3,FALSE)))</f>
        <v/>
      </c>
      <c r="X120" s="362" t="str">
        <f>IFERROR(IF(OR(LEFT(O120,5)="Error",LEFT(N120,5)="Error",T120="Error"),"Check Data ⚠",IF(F120&lt;R120,INDEX('G-6 Hedgerow Data'!$S$3:$AE$14,MATCH(C120,'G-6 Hedgerow Data'!$B$3:$B$14,0),MATCH(M120,'G-6 Hedgerow Data'!$S$2:$AE$2,0)),INDEX('G-6 Hedgerow Data'!$K$3:$Q$14,MATCH(M120,'G-6 Hedgerow Data'!$B$3:$B$14,0),MATCH(O120,'G-6 Hedgerow Data'!$K$2:$Q$2,0)))),"")</f>
        <v/>
      </c>
      <c r="Y120" s="159"/>
      <c r="Z120" s="159"/>
      <c r="AA120" s="370" t="str">
        <f t="shared" si="11"/>
        <v/>
      </c>
      <c r="AB120" s="383" t="str">
        <f t="shared" si="12"/>
        <v/>
      </c>
      <c r="AC120" s="384" t="str">
        <f t="shared" si="8"/>
        <v/>
      </c>
      <c r="AD120" s="398" t="str">
        <f>IF(M120="","",VLOOKUP(M120,'G-6 Hedgerow Data'!$B$3:$AG$15,31,FALSE))</f>
        <v/>
      </c>
      <c r="AE120" s="370" t="str">
        <f t="shared" si="13"/>
        <v/>
      </c>
      <c r="AF120" s="370" t="str">
        <f t="shared" si="14"/>
        <v/>
      </c>
      <c r="AG120" s="386" t="str">
        <f>IFERROR(IF(O120="","",VLOOKUP(AD120,'G-3 Multipliers'!$P$3:$Q$6,2,FALSE)),"")</f>
        <v/>
      </c>
      <c r="AH120" s="376" t="str">
        <f t="shared" si="9"/>
        <v/>
      </c>
      <c r="AI120" s="188"/>
      <c r="AJ120" s="118"/>
      <c r="AK120" s="120"/>
      <c r="AT120" s="30" t="str">
        <f>IFERROR(INDEX('G-6 Hedgerow Data'!$BJ$3:$BJ$15,MATCH(M120,'G-6 Hedgerow Data'!$B$3:$B$15,0)),"")</f>
        <v/>
      </c>
    </row>
    <row r="121" spans="2:46" ht="15">
      <c r="B121" s="392" t="str">
        <f>'B-1 On-Site Hedge Baseline'!AK119</f>
        <v/>
      </c>
      <c r="C121" s="382" t="str">
        <f>IF(B121="","",IF(ISNA(VLOOKUP($B121,'B-1 On-Site Hedge Baseline'!$B$1:$L$257,3,FALSE)),"",(VLOOKUP($B121,'B-1 On-Site Hedge Baseline'!$B$1:$L$257,3,FALSE))))</f>
        <v/>
      </c>
      <c r="D121" s="382" t="str">
        <f>IF(B121="","",IF(ISNA(VLOOKUP($B121,'B-1 On-Site Hedge Baseline'!$B$1:$L$257,4,FALSE)),"",(VLOOKUP($B121,'B-1 On-Site Hedge Baseline'!$B$1:$L$257,4,FALSE))))</f>
        <v/>
      </c>
      <c r="E121" s="382" t="str">
        <f>IF(B121="","",IF(ISNA(VLOOKUP($B121,'B-1 On-Site Hedge Baseline'!$B$1:$L$257,5,FALSE)),"",(VLOOKUP($B121,'B-1 On-Site Hedge Baseline'!$B$1:$L$257,5,FALSE))))</f>
        <v/>
      </c>
      <c r="F121" s="382" t="str">
        <f>IF(B121="","",IF(ISNA(VLOOKUP($B121,'B-1 On-Site Hedge Baseline'!$B$1:$L$257,6,FALSE)),"",(VLOOKUP($B121,'B-1 On-Site Hedge Baseline'!$B$1:$L$257,6,FALSE))))</f>
        <v/>
      </c>
      <c r="G121" s="382" t="str">
        <f>IF(B121="","",IF(ISNA(VLOOKUP($B121,'B-1 On-Site Hedge Baseline'!$B$1:$L$257,7,FALSE)),"",(VLOOKUP($B121,'B-1 On-Site Hedge Baseline'!$B$1:$L$257,7,FALSE))))</f>
        <v/>
      </c>
      <c r="H121" s="382" t="str">
        <f>IF(B121="","",IF(ISNA(VLOOKUP($B121,'B-1 On-Site Hedge Baseline'!$B$1:$L$257,8,FALSE)),"",(VLOOKUP($B121,'B-1 On-Site Hedge Baseline'!$B$1:$L$257,8,FALSE))))</f>
        <v/>
      </c>
      <c r="I121" s="382" t="str">
        <f>IF(B121="","",IF(ISNA(VLOOKUP($B121,'B-1 On-Site Hedge Baseline'!$B$1:$L$257,10,FALSE)),"",(VLOOKUP($B121,'B-1 On-Site Hedge Baseline'!$B$1:$L$257,10,FALSE))))</f>
        <v/>
      </c>
      <c r="J121" s="382" t="str">
        <f>IF(B121="","",IF(ISNA(VLOOKUP($B121,'B-1 On-Site Hedge Baseline'!$B$1:$L$257,11,FALSE)),"",(VLOOKUP($B121,'B-1 On-Site Hedge Baseline'!$B$1:$L$257,11,FALSE))))</f>
        <v/>
      </c>
      <c r="K121" s="382" t="str">
        <f>IF(B121="","",IF(ISNA(VLOOKUP($B121,'B-1 On-Site Hedge Baseline'!$B$1:$U$257,13,FALSE)),"",(VLOOKUP($B121,'B-1 On-Site Hedge Baseline'!$B$1:$U$257,13,FALSE))))</f>
        <v/>
      </c>
      <c r="L121" s="386" t="str">
        <f>IF(B121="","",IF(ISNA(VLOOKUP($B121,'B-1 On-Site Hedge Baseline'!$B$1:$U$257,12,FALSE)),"",(VLOOKUP($B121,'B-1 On-Site Hedge Baseline'!$B$1:$U$257,12,FALSE))))</f>
        <v/>
      </c>
      <c r="M121" s="315" t="str">
        <f t="shared" si="15"/>
        <v/>
      </c>
      <c r="N121" s="362" t="str">
        <f>IFERROR(IF(B121="","",INDEX('G-6 Hedgerow Data'!$AN$3:$AZ$15,MATCH(C121,'G-6 Hedgerow Data'!$AM$3:$AM$15,0),MATCH(M121,'G-6 Hedgerow Data'!$AN$2:$AZ$2,0))),"")</f>
        <v/>
      </c>
      <c r="O121" s="363" t="str">
        <f t="shared" si="10"/>
        <v/>
      </c>
      <c r="P121" s="417" t="str">
        <f>IF(B121="","",VLOOKUP(B121,'B-1 On-Site Hedge Baseline'!$B$10:T366,16,FALSE))</f>
        <v/>
      </c>
      <c r="Q121" s="362" t="str">
        <f>IF(M121="","",VLOOKUP(M121,'G-6 Hedgerow Data'!$B$2:$AG$15,2,FALSE))</f>
        <v/>
      </c>
      <c r="R121" s="363" t="str">
        <f>IF(M121="","",VLOOKUP(M121,'G-6 Hedgerow Data'!$B$2:$AG$15,3,FALSE))</f>
        <v/>
      </c>
      <c r="S121" s="125"/>
      <c r="T121" s="401" t="str">
        <f>IFERROR(VLOOKUP(S121,'G-1 All Habitats'!$Z$2:$AA$9,2,FALSE),"")</f>
        <v/>
      </c>
      <c r="U121" s="122"/>
      <c r="V121" s="382" t="str">
        <f>IF(U121="","",IF(VLOOKUP(U121,'G-3 Multipliers'!$L$3:$N$6,2,FALSE)=0,"Spatial Data Missing ⚠",VLOOKUP(U121,'G-3 Multipliers'!$L$3:$N$6,2,FALSE)))</f>
        <v/>
      </c>
      <c r="W121" s="386" t="str">
        <f>IF(U121="","",IF(VLOOKUP(U121,'G-3 Multipliers'!$L$3:$N$6,3,FALSE)=0,"Spatial Data Missing ⚠",VLOOKUP(U121,'G-3 Multipliers'!$L$3:$N$6,3,FALSE)))</f>
        <v/>
      </c>
      <c r="X121" s="362" t="str">
        <f>IFERROR(IF(OR(LEFT(O121,5)="Error",LEFT(N121,5)="Error",T121="Error"),"Check Data ⚠",IF(F121&lt;R121,INDEX('G-6 Hedgerow Data'!$S$3:$AE$14,MATCH(C121,'G-6 Hedgerow Data'!$B$3:$B$14,0),MATCH(M121,'G-6 Hedgerow Data'!$S$2:$AE$2,0)),INDEX('G-6 Hedgerow Data'!$K$3:$Q$14,MATCH(M121,'G-6 Hedgerow Data'!$B$3:$B$14,0),MATCH(O121,'G-6 Hedgerow Data'!$K$2:$Q$2,0)))),"")</f>
        <v/>
      </c>
      <c r="Y121" s="159"/>
      <c r="Z121" s="159"/>
      <c r="AA121" s="370" t="str">
        <f t="shared" si="11"/>
        <v/>
      </c>
      <c r="AB121" s="383" t="str">
        <f t="shared" si="12"/>
        <v/>
      </c>
      <c r="AC121" s="384" t="str">
        <f t="shared" si="8"/>
        <v/>
      </c>
      <c r="AD121" s="398" t="str">
        <f>IF(M121="","",VLOOKUP(M121,'G-6 Hedgerow Data'!$B$3:$AG$15,31,FALSE))</f>
        <v/>
      </c>
      <c r="AE121" s="370" t="str">
        <f t="shared" si="13"/>
        <v/>
      </c>
      <c r="AF121" s="370" t="str">
        <f t="shared" si="14"/>
        <v/>
      </c>
      <c r="AG121" s="386" t="str">
        <f>IFERROR(IF(O121="","",VLOOKUP(AD121,'G-3 Multipliers'!$P$3:$Q$6,2,FALSE)),"")</f>
        <v/>
      </c>
      <c r="AH121" s="376" t="str">
        <f t="shared" si="9"/>
        <v/>
      </c>
      <c r="AI121" s="188"/>
      <c r="AJ121" s="118"/>
      <c r="AK121" s="120"/>
      <c r="AT121" s="30" t="str">
        <f>IFERROR(INDEX('G-6 Hedgerow Data'!$BJ$3:$BJ$15,MATCH(M121,'G-6 Hedgerow Data'!$B$3:$B$15,0)),"")</f>
        <v/>
      </c>
    </row>
    <row r="122" spans="2:46" ht="15">
      <c r="B122" s="392" t="str">
        <f>'B-1 On-Site Hedge Baseline'!AK120</f>
        <v/>
      </c>
      <c r="C122" s="382" t="str">
        <f>IF(B122="","",IF(ISNA(VLOOKUP($B122,'B-1 On-Site Hedge Baseline'!$B$1:$L$257,3,FALSE)),"",(VLOOKUP($B122,'B-1 On-Site Hedge Baseline'!$B$1:$L$257,3,FALSE))))</f>
        <v/>
      </c>
      <c r="D122" s="382" t="str">
        <f>IF(B122="","",IF(ISNA(VLOOKUP($B122,'B-1 On-Site Hedge Baseline'!$B$1:$L$257,4,FALSE)),"",(VLOOKUP($B122,'B-1 On-Site Hedge Baseline'!$B$1:$L$257,4,FALSE))))</f>
        <v/>
      </c>
      <c r="E122" s="382" t="str">
        <f>IF(B122="","",IF(ISNA(VLOOKUP($B122,'B-1 On-Site Hedge Baseline'!$B$1:$L$257,5,FALSE)),"",(VLOOKUP($B122,'B-1 On-Site Hedge Baseline'!$B$1:$L$257,5,FALSE))))</f>
        <v/>
      </c>
      <c r="F122" s="382" t="str">
        <f>IF(B122="","",IF(ISNA(VLOOKUP($B122,'B-1 On-Site Hedge Baseline'!$B$1:$L$257,6,FALSE)),"",(VLOOKUP($B122,'B-1 On-Site Hedge Baseline'!$B$1:$L$257,6,FALSE))))</f>
        <v/>
      </c>
      <c r="G122" s="382" t="str">
        <f>IF(B122="","",IF(ISNA(VLOOKUP($B122,'B-1 On-Site Hedge Baseline'!$B$1:$L$257,7,FALSE)),"",(VLOOKUP($B122,'B-1 On-Site Hedge Baseline'!$B$1:$L$257,7,FALSE))))</f>
        <v/>
      </c>
      <c r="H122" s="382" t="str">
        <f>IF(B122="","",IF(ISNA(VLOOKUP($B122,'B-1 On-Site Hedge Baseline'!$B$1:$L$257,8,FALSE)),"",(VLOOKUP($B122,'B-1 On-Site Hedge Baseline'!$B$1:$L$257,8,FALSE))))</f>
        <v/>
      </c>
      <c r="I122" s="382" t="str">
        <f>IF(B122="","",IF(ISNA(VLOOKUP($B122,'B-1 On-Site Hedge Baseline'!$B$1:$L$257,10,FALSE)),"",(VLOOKUP($B122,'B-1 On-Site Hedge Baseline'!$B$1:$L$257,10,FALSE))))</f>
        <v/>
      </c>
      <c r="J122" s="382" t="str">
        <f>IF(B122="","",IF(ISNA(VLOOKUP($B122,'B-1 On-Site Hedge Baseline'!$B$1:$L$257,11,FALSE)),"",(VLOOKUP($B122,'B-1 On-Site Hedge Baseline'!$B$1:$L$257,11,FALSE))))</f>
        <v/>
      </c>
      <c r="K122" s="382" t="str">
        <f>IF(B122="","",IF(ISNA(VLOOKUP($B122,'B-1 On-Site Hedge Baseline'!$B$1:$U$257,13,FALSE)),"",(VLOOKUP($B122,'B-1 On-Site Hedge Baseline'!$B$1:$U$257,13,FALSE))))</f>
        <v/>
      </c>
      <c r="L122" s="386" t="str">
        <f>IF(B122="","",IF(ISNA(VLOOKUP($B122,'B-1 On-Site Hedge Baseline'!$B$1:$U$257,12,FALSE)),"",(VLOOKUP($B122,'B-1 On-Site Hedge Baseline'!$B$1:$U$257,12,FALSE))))</f>
        <v/>
      </c>
      <c r="M122" s="315" t="str">
        <f t="shared" si="15"/>
        <v/>
      </c>
      <c r="N122" s="362" t="str">
        <f>IFERROR(IF(B122="","",INDEX('G-6 Hedgerow Data'!$AN$3:$AZ$15,MATCH(C122,'G-6 Hedgerow Data'!$AM$3:$AM$15,0),MATCH(M122,'G-6 Hedgerow Data'!$AN$2:$AZ$2,0))),"")</f>
        <v/>
      </c>
      <c r="O122" s="363" t="str">
        <f t="shared" si="10"/>
        <v/>
      </c>
      <c r="P122" s="417" t="str">
        <f>IF(B122="","",VLOOKUP(B122,'B-1 On-Site Hedge Baseline'!$B$10:T367,16,FALSE))</f>
        <v/>
      </c>
      <c r="Q122" s="362" t="str">
        <f>IF(M122="","",VLOOKUP(M122,'G-6 Hedgerow Data'!$B$2:$AG$15,2,FALSE))</f>
        <v/>
      </c>
      <c r="R122" s="363" t="str">
        <f>IF(M122="","",VLOOKUP(M122,'G-6 Hedgerow Data'!$B$2:$AG$15,3,FALSE))</f>
        <v/>
      </c>
      <c r="S122" s="125"/>
      <c r="T122" s="401" t="str">
        <f>IFERROR(VLOOKUP(S122,'G-1 All Habitats'!$Z$2:$AA$9,2,FALSE),"")</f>
        <v/>
      </c>
      <c r="U122" s="122"/>
      <c r="V122" s="382" t="str">
        <f>IF(U122="","",IF(VLOOKUP(U122,'G-3 Multipliers'!$L$3:$N$6,2,FALSE)=0,"Spatial Data Missing ⚠",VLOOKUP(U122,'G-3 Multipliers'!$L$3:$N$6,2,FALSE)))</f>
        <v/>
      </c>
      <c r="W122" s="386" t="str">
        <f>IF(U122="","",IF(VLOOKUP(U122,'G-3 Multipliers'!$L$3:$N$6,3,FALSE)=0,"Spatial Data Missing ⚠",VLOOKUP(U122,'G-3 Multipliers'!$L$3:$N$6,3,FALSE)))</f>
        <v/>
      </c>
      <c r="X122" s="362" t="str">
        <f>IFERROR(IF(OR(LEFT(O122,5)="Error",LEFT(N122,5)="Error",T122="Error"),"Check Data ⚠",IF(F122&lt;R122,INDEX('G-6 Hedgerow Data'!$S$3:$AE$14,MATCH(C122,'G-6 Hedgerow Data'!$B$3:$B$14,0),MATCH(M122,'G-6 Hedgerow Data'!$S$2:$AE$2,0)),INDEX('G-6 Hedgerow Data'!$K$3:$Q$14,MATCH(M122,'G-6 Hedgerow Data'!$B$3:$B$14,0),MATCH(O122,'G-6 Hedgerow Data'!$K$2:$Q$2,0)))),"")</f>
        <v/>
      </c>
      <c r="Y122" s="159"/>
      <c r="Z122" s="159"/>
      <c r="AA122" s="370" t="str">
        <f t="shared" si="11"/>
        <v/>
      </c>
      <c r="AB122" s="383" t="str">
        <f t="shared" si="12"/>
        <v/>
      </c>
      <c r="AC122" s="384" t="str">
        <f t="shared" si="8"/>
        <v/>
      </c>
      <c r="AD122" s="398" t="str">
        <f>IF(M122="","",VLOOKUP(M122,'G-6 Hedgerow Data'!$B$3:$AG$15,31,FALSE))</f>
        <v/>
      </c>
      <c r="AE122" s="370" t="str">
        <f t="shared" si="13"/>
        <v/>
      </c>
      <c r="AF122" s="370" t="str">
        <f t="shared" si="14"/>
        <v/>
      </c>
      <c r="AG122" s="386" t="str">
        <f>IFERROR(IF(O122="","",VLOOKUP(AD122,'G-3 Multipliers'!$P$3:$Q$6,2,FALSE)),"")</f>
        <v/>
      </c>
      <c r="AH122" s="376" t="str">
        <f t="shared" si="9"/>
        <v/>
      </c>
      <c r="AI122" s="188"/>
      <c r="AJ122" s="118"/>
      <c r="AK122" s="120"/>
      <c r="AT122" s="30" t="str">
        <f>IFERROR(INDEX('G-6 Hedgerow Data'!$BJ$3:$BJ$15,MATCH(M122,'G-6 Hedgerow Data'!$B$3:$B$15,0)),"")</f>
        <v/>
      </c>
    </row>
    <row r="123" spans="2:46" ht="15">
      <c r="B123" s="392" t="str">
        <f>'B-1 On-Site Hedge Baseline'!AK121</f>
        <v/>
      </c>
      <c r="C123" s="382" t="str">
        <f>IF(B123="","",IF(ISNA(VLOOKUP($B123,'B-1 On-Site Hedge Baseline'!$B$1:$L$257,3,FALSE)),"",(VLOOKUP($B123,'B-1 On-Site Hedge Baseline'!$B$1:$L$257,3,FALSE))))</f>
        <v/>
      </c>
      <c r="D123" s="382" t="str">
        <f>IF(B123="","",IF(ISNA(VLOOKUP($B123,'B-1 On-Site Hedge Baseline'!$B$1:$L$257,4,FALSE)),"",(VLOOKUP($B123,'B-1 On-Site Hedge Baseline'!$B$1:$L$257,4,FALSE))))</f>
        <v/>
      </c>
      <c r="E123" s="382" t="str">
        <f>IF(B123="","",IF(ISNA(VLOOKUP($B123,'B-1 On-Site Hedge Baseline'!$B$1:$L$257,5,FALSE)),"",(VLOOKUP($B123,'B-1 On-Site Hedge Baseline'!$B$1:$L$257,5,FALSE))))</f>
        <v/>
      </c>
      <c r="F123" s="382" t="str">
        <f>IF(B123="","",IF(ISNA(VLOOKUP($B123,'B-1 On-Site Hedge Baseline'!$B$1:$L$257,6,FALSE)),"",(VLOOKUP($B123,'B-1 On-Site Hedge Baseline'!$B$1:$L$257,6,FALSE))))</f>
        <v/>
      </c>
      <c r="G123" s="382" t="str">
        <f>IF(B123="","",IF(ISNA(VLOOKUP($B123,'B-1 On-Site Hedge Baseline'!$B$1:$L$257,7,FALSE)),"",(VLOOKUP($B123,'B-1 On-Site Hedge Baseline'!$B$1:$L$257,7,FALSE))))</f>
        <v/>
      </c>
      <c r="H123" s="382" t="str">
        <f>IF(B123="","",IF(ISNA(VLOOKUP($B123,'B-1 On-Site Hedge Baseline'!$B$1:$L$257,8,FALSE)),"",(VLOOKUP($B123,'B-1 On-Site Hedge Baseline'!$B$1:$L$257,8,FALSE))))</f>
        <v/>
      </c>
      <c r="I123" s="382" t="str">
        <f>IF(B123="","",IF(ISNA(VLOOKUP($B123,'B-1 On-Site Hedge Baseline'!$B$1:$L$257,10,FALSE)),"",(VLOOKUP($B123,'B-1 On-Site Hedge Baseline'!$B$1:$L$257,10,FALSE))))</f>
        <v/>
      </c>
      <c r="J123" s="382" t="str">
        <f>IF(B123="","",IF(ISNA(VLOOKUP($B123,'B-1 On-Site Hedge Baseline'!$B$1:$L$257,11,FALSE)),"",(VLOOKUP($B123,'B-1 On-Site Hedge Baseline'!$B$1:$L$257,11,FALSE))))</f>
        <v/>
      </c>
      <c r="K123" s="382" t="str">
        <f>IF(B123="","",IF(ISNA(VLOOKUP($B123,'B-1 On-Site Hedge Baseline'!$B$1:$U$257,13,FALSE)),"",(VLOOKUP($B123,'B-1 On-Site Hedge Baseline'!$B$1:$U$257,13,FALSE))))</f>
        <v/>
      </c>
      <c r="L123" s="386" t="str">
        <f>IF(B123="","",IF(ISNA(VLOOKUP($B123,'B-1 On-Site Hedge Baseline'!$B$1:$U$257,12,FALSE)),"",(VLOOKUP($B123,'B-1 On-Site Hedge Baseline'!$B$1:$U$257,12,FALSE))))</f>
        <v/>
      </c>
      <c r="M123" s="315" t="str">
        <f t="shared" si="15"/>
        <v/>
      </c>
      <c r="N123" s="362" t="str">
        <f>IFERROR(IF(B123="","",INDEX('G-6 Hedgerow Data'!$AN$3:$AZ$15,MATCH(C123,'G-6 Hedgerow Data'!$AM$3:$AM$15,0),MATCH(M123,'G-6 Hedgerow Data'!$AN$2:$AZ$2,0))),"")</f>
        <v/>
      </c>
      <c r="O123" s="363" t="str">
        <f t="shared" si="10"/>
        <v/>
      </c>
      <c r="P123" s="417" t="str">
        <f>IF(B123="","",VLOOKUP(B123,'B-1 On-Site Hedge Baseline'!$B$10:T368,16,FALSE))</f>
        <v/>
      </c>
      <c r="Q123" s="362" t="str">
        <f>IF(M123="","",VLOOKUP(M123,'G-6 Hedgerow Data'!$B$2:$AG$15,2,FALSE))</f>
        <v/>
      </c>
      <c r="R123" s="363" t="str">
        <f>IF(M123="","",VLOOKUP(M123,'G-6 Hedgerow Data'!$B$2:$AG$15,3,FALSE))</f>
        <v/>
      </c>
      <c r="S123" s="125"/>
      <c r="T123" s="401" t="str">
        <f>IFERROR(VLOOKUP(S123,'G-1 All Habitats'!$Z$2:$AA$9,2,FALSE),"")</f>
        <v/>
      </c>
      <c r="U123" s="122"/>
      <c r="V123" s="382" t="str">
        <f>IF(U123="","",IF(VLOOKUP(U123,'G-3 Multipliers'!$L$3:$N$6,2,FALSE)=0,"Spatial Data Missing ⚠",VLOOKUP(U123,'G-3 Multipliers'!$L$3:$N$6,2,FALSE)))</f>
        <v/>
      </c>
      <c r="W123" s="386" t="str">
        <f>IF(U123="","",IF(VLOOKUP(U123,'G-3 Multipliers'!$L$3:$N$6,3,FALSE)=0,"Spatial Data Missing ⚠",VLOOKUP(U123,'G-3 Multipliers'!$L$3:$N$6,3,FALSE)))</f>
        <v/>
      </c>
      <c r="X123" s="362" t="str">
        <f>IFERROR(IF(OR(LEFT(O123,5)="Error",LEFT(N123,5)="Error",T123="Error"),"Check Data ⚠",IF(F123&lt;R123,INDEX('G-6 Hedgerow Data'!$S$3:$AE$14,MATCH(C123,'G-6 Hedgerow Data'!$B$3:$B$14,0),MATCH(M123,'G-6 Hedgerow Data'!$S$2:$AE$2,0)),INDEX('G-6 Hedgerow Data'!$K$3:$Q$14,MATCH(M123,'G-6 Hedgerow Data'!$B$3:$B$14,0),MATCH(O123,'G-6 Hedgerow Data'!$K$2:$Q$2,0)))),"")</f>
        <v/>
      </c>
      <c r="Y123" s="159"/>
      <c r="Z123" s="159"/>
      <c r="AA123" s="370" t="str">
        <f t="shared" si="11"/>
        <v/>
      </c>
      <c r="AB123" s="383" t="str">
        <f t="shared" si="12"/>
        <v/>
      </c>
      <c r="AC123" s="384" t="str">
        <f t="shared" si="8"/>
        <v/>
      </c>
      <c r="AD123" s="398" t="str">
        <f>IF(M123="","",VLOOKUP(M123,'G-6 Hedgerow Data'!$B$3:$AG$15,31,FALSE))</f>
        <v/>
      </c>
      <c r="AE123" s="370" t="str">
        <f t="shared" si="13"/>
        <v/>
      </c>
      <c r="AF123" s="370" t="str">
        <f t="shared" si="14"/>
        <v/>
      </c>
      <c r="AG123" s="386" t="str">
        <f>IFERROR(IF(O123="","",VLOOKUP(AD123,'G-3 Multipliers'!$P$3:$Q$6,2,FALSE)),"")</f>
        <v/>
      </c>
      <c r="AH123" s="376" t="str">
        <f t="shared" si="9"/>
        <v/>
      </c>
      <c r="AI123" s="188"/>
      <c r="AJ123" s="118"/>
      <c r="AK123" s="120"/>
      <c r="AT123" s="30" t="str">
        <f>IFERROR(INDEX('G-6 Hedgerow Data'!$BJ$3:$BJ$15,MATCH(M123,'G-6 Hedgerow Data'!$B$3:$B$15,0)),"")</f>
        <v/>
      </c>
    </row>
    <row r="124" spans="2:46" ht="15">
      <c r="B124" s="392" t="str">
        <f>'B-1 On-Site Hedge Baseline'!AK122</f>
        <v/>
      </c>
      <c r="C124" s="382" t="str">
        <f>IF(B124="","",IF(ISNA(VLOOKUP($B124,'B-1 On-Site Hedge Baseline'!$B$1:$L$257,3,FALSE)),"",(VLOOKUP($B124,'B-1 On-Site Hedge Baseline'!$B$1:$L$257,3,FALSE))))</f>
        <v/>
      </c>
      <c r="D124" s="382" t="str">
        <f>IF(B124="","",IF(ISNA(VLOOKUP($B124,'B-1 On-Site Hedge Baseline'!$B$1:$L$257,4,FALSE)),"",(VLOOKUP($B124,'B-1 On-Site Hedge Baseline'!$B$1:$L$257,4,FALSE))))</f>
        <v/>
      </c>
      <c r="E124" s="382" t="str">
        <f>IF(B124="","",IF(ISNA(VLOOKUP($B124,'B-1 On-Site Hedge Baseline'!$B$1:$L$257,5,FALSE)),"",(VLOOKUP($B124,'B-1 On-Site Hedge Baseline'!$B$1:$L$257,5,FALSE))))</f>
        <v/>
      </c>
      <c r="F124" s="382" t="str">
        <f>IF(B124="","",IF(ISNA(VLOOKUP($B124,'B-1 On-Site Hedge Baseline'!$B$1:$L$257,6,FALSE)),"",(VLOOKUP($B124,'B-1 On-Site Hedge Baseline'!$B$1:$L$257,6,FALSE))))</f>
        <v/>
      </c>
      <c r="G124" s="382" t="str">
        <f>IF(B124="","",IF(ISNA(VLOOKUP($B124,'B-1 On-Site Hedge Baseline'!$B$1:$L$257,7,FALSE)),"",(VLOOKUP($B124,'B-1 On-Site Hedge Baseline'!$B$1:$L$257,7,FALSE))))</f>
        <v/>
      </c>
      <c r="H124" s="382" t="str">
        <f>IF(B124="","",IF(ISNA(VLOOKUP($B124,'B-1 On-Site Hedge Baseline'!$B$1:$L$257,8,FALSE)),"",(VLOOKUP($B124,'B-1 On-Site Hedge Baseline'!$B$1:$L$257,8,FALSE))))</f>
        <v/>
      </c>
      <c r="I124" s="382" t="str">
        <f>IF(B124="","",IF(ISNA(VLOOKUP($B124,'B-1 On-Site Hedge Baseline'!$B$1:$L$257,10,FALSE)),"",(VLOOKUP($B124,'B-1 On-Site Hedge Baseline'!$B$1:$L$257,10,FALSE))))</f>
        <v/>
      </c>
      <c r="J124" s="382" t="str">
        <f>IF(B124="","",IF(ISNA(VLOOKUP($B124,'B-1 On-Site Hedge Baseline'!$B$1:$L$257,11,FALSE)),"",(VLOOKUP($B124,'B-1 On-Site Hedge Baseline'!$B$1:$L$257,11,FALSE))))</f>
        <v/>
      </c>
      <c r="K124" s="382" t="str">
        <f>IF(B124="","",IF(ISNA(VLOOKUP($B124,'B-1 On-Site Hedge Baseline'!$B$1:$U$257,13,FALSE)),"",(VLOOKUP($B124,'B-1 On-Site Hedge Baseline'!$B$1:$U$257,13,FALSE))))</f>
        <v/>
      </c>
      <c r="L124" s="386" t="str">
        <f>IF(B124="","",IF(ISNA(VLOOKUP($B124,'B-1 On-Site Hedge Baseline'!$B$1:$U$257,12,FALSE)),"",(VLOOKUP($B124,'B-1 On-Site Hedge Baseline'!$B$1:$U$257,12,FALSE))))</f>
        <v/>
      </c>
      <c r="M124" s="315" t="str">
        <f t="shared" si="15"/>
        <v/>
      </c>
      <c r="N124" s="362" t="str">
        <f>IFERROR(IF(B124="","",INDEX('G-6 Hedgerow Data'!$AN$3:$AZ$15,MATCH(C124,'G-6 Hedgerow Data'!$AM$3:$AM$15,0),MATCH(M124,'G-6 Hedgerow Data'!$AN$2:$AZ$2,0))),"")</f>
        <v/>
      </c>
      <c r="O124" s="363" t="str">
        <f t="shared" si="10"/>
        <v/>
      </c>
      <c r="P124" s="417" t="str">
        <f>IF(B124="","",VLOOKUP(B124,'B-1 On-Site Hedge Baseline'!$B$10:T369,16,FALSE))</f>
        <v/>
      </c>
      <c r="Q124" s="362" t="str">
        <f>IF(M124="","",VLOOKUP(M124,'G-6 Hedgerow Data'!$B$2:$AG$15,2,FALSE))</f>
        <v/>
      </c>
      <c r="R124" s="363" t="str">
        <f>IF(M124="","",VLOOKUP(M124,'G-6 Hedgerow Data'!$B$2:$AG$15,3,FALSE))</f>
        <v/>
      </c>
      <c r="S124" s="125"/>
      <c r="T124" s="401" t="str">
        <f>IFERROR(VLOOKUP(S124,'G-1 All Habitats'!$Z$2:$AA$9,2,FALSE),"")</f>
        <v/>
      </c>
      <c r="U124" s="122"/>
      <c r="V124" s="382" t="str">
        <f>IF(U124="","",IF(VLOOKUP(U124,'G-3 Multipliers'!$L$3:$N$6,2,FALSE)=0,"Spatial Data Missing ⚠",VLOOKUP(U124,'G-3 Multipliers'!$L$3:$N$6,2,FALSE)))</f>
        <v/>
      </c>
      <c r="W124" s="386" t="str">
        <f>IF(U124="","",IF(VLOOKUP(U124,'G-3 Multipliers'!$L$3:$N$6,3,FALSE)=0,"Spatial Data Missing ⚠",VLOOKUP(U124,'G-3 Multipliers'!$L$3:$N$6,3,FALSE)))</f>
        <v/>
      </c>
      <c r="X124" s="362" t="str">
        <f>IFERROR(IF(OR(LEFT(O124,5)="Error",LEFT(N124,5)="Error",T124="Error"),"Check Data ⚠",IF(F124&lt;R124,INDEX('G-6 Hedgerow Data'!$S$3:$AE$14,MATCH(C124,'G-6 Hedgerow Data'!$B$3:$B$14,0),MATCH(M124,'G-6 Hedgerow Data'!$S$2:$AE$2,0)),INDEX('G-6 Hedgerow Data'!$K$3:$Q$14,MATCH(M124,'G-6 Hedgerow Data'!$B$3:$B$14,0),MATCH(O124,'G-6 Hedgerow Data'!$K$2:$Q$2,0)))),"")</f>
        <v/>
      </c>
      <c r="Y124" s="159"/>
      <c r="Z124" s="159"/>
      <c r="AA124" s="370" t="str">
        <f t="shared" si="11"/>
        <v/>
      </c>
      <c r="AB124" s="383" t="str">
        <f t="shared" si="12"/>
        <v/>
      </c>
      <c r="AC124" s="384" t="str">
        <f t="shared" si="8"/>
        <v/>
      </c>
      <c r="AD124" s="398" t="str">
        <f>IF(M124="","",VLOOKUP(M124,'G-6 Hedgerow Data'!$B$3:$AG$15,31,FALSE))</f>
        <v/>
      </c>
      <c r="AE124" s="370" t="str">
        <f t="shared" si="13"/>
        <v/>
      </c>
      <c r="AF124" s="370" t="str">
        <f t="shared" si="14"/>
        <v/>
      </c>
      <c r="AG124" s="386" t="str">
        <f>IFERROR(IF(O124="","",VLOOKUP(AD124,'G-3 Multipliers'!$P$3:$Q$6,2,FALSE)),"")</f>
        <v/>
      </c>
      <c r="AH124" s="376" t="str">
        <f t="shared" si="9"/>
        <v/>
      </c>
      <c r="AI124" s="188"/>
      <c r="AJ124" s="118"/>
      <c r="AK124" s="120"/>
      <c r="AT124" s="30" t="str">
        <f>IFERROR(INDEX('G-6 Hedgerow Data'!$BJ$3:$BJ$15,MATCH(M124,'G-6 Hedgerow Data'!$B$3:$B$15,0)),"")</f>
        <v/>
      </c>
    </row>
    <row r="125" spans="2:46" ht="15">
      <c r="B125" s="392" t="str">
        <f>'B-1 On-Site Hedge Baseline'!AK123</f>
        <v/>
      </c>
      <c r="C125" s="382" t="str">
        <f>IF(B125="","",IF(ISNA(VLOOKUP($B125,'B-1 On-Site Hedge Baseline'!$B$1:$L$257,3,FALSE)),"",(VLOOKUP($B125,'B-1 On-Site Hedge Baseline'!$B$1:$L$257,3,FALSE))))</f>
        <v/>
      </c>
      <c r="D125" s="382" t="str">
        <f>IF(B125="","",IF(ISNA(VLOOKUP($B125,'B-1 On-Site Hedge Baseline'!$B$1:$L$257,4,FALSE)),"",(VLOOKUP($B125,'B-1 On-Site Hedge Baseline'!$B$1:$L$257,4,FALSE))))</f>
        <v/>
      </c>
      <c r="E125" s="382" t="str">
        <f>IF(B125="","",IF(ISNA(VLOOKUP($B125,'B-1 On-Site Hedge Baseline'!$B$1:$L$257,5,FALSE)),"",(VLOOKUP($B125,'B-1 On-Site Hedge Baseline'!$B$1:$L$257,5,FALSE))))</f>
        <v/>
      </c>
      <c r="F125" s="382" t="str">
        <f>IF(B125="","",IF(ISNA(VLOOKUP($B125,'B-1 On-Site Hedge Baseline'!$B$1:$L$257,6,FALSE)),"",(VLOOKUP($B125,'B-1 On-Site Hedge Baseline'!$B$1:$L$257,6,FALSE))))</f>
        <v/>
      </c>
      <c r="G125" s="382" t="str">
        <f>IF(B125="","",IF(ISNA(VLOOKUP($B125,'B-1 On-Site Hedge Baseline'!$B$1:$L$257,7,FALSE)),"",(VLOOKUP($B125,'B-1 On-Site Hedge Baseline'!$B$1:$L$257,7,FALSE))))</f>
        <v/>
      </c>
      <c r="H125" s="382" t="str">
        <f>IF(B125="","",IF(ISNA(VLOOKUP($B125,'B-1 On-Site Hedge Baseline'!$B$1:$L$257,8,FALSE)),"",(VLOOKUP($B125,'B-1 On-Site Hedge Baseline'!$B$1:$L$257,8,FALSE))))</f>
        <v/>
      </c>
      <c r="I125" s="382" t="str">
        <f>IF(B125="","",IF(ISNA(VLOOKUP($B125,'B-1 On-Site Hedge Baseline'!$B$1:$L$257,10,FALSE)),"",(VLOOKUP($B125,'B-1 On-Site Hedge Baseline'!$B$1:$L$257,10,FALSE))))</f>
        <v/>
      </c>
      <c r="J125" s="382" t="str">
        <f>IF(B125="","",IF(ISNA(VLOOKUP($B125,'B-1 On-Site Hedge Baseline'!$B$1:$L$257,11,FALSE)),"",(VLOOKUP($B125,'B-1 On-Site Hedge Baseline'!$B$1:$L$257,11,FALSE))))</f>
        <v/>
      </c>
      <c r="K125" s="382" t="str">
        <f>IF(B125="","",IF(ISNA(VLOOKUP($B125,'B-1 On-Site Hedge Baseline'!$B$1:$U$257,13,FALSE)),"",(VLOOKUP($B125,'B-1 On-Site Hedge Baseline'!$B$1:$U$257,13,FALSE))))</f>
        <v/>
      </c>
      <c r="L125" s="386" t="str">
        <f>IF(B125="","",IF(ISNA(VLOOKUP($B125,'B-1 On-Site Hedge Baseline'!$B$1:$U$257,12,FALSE)),"",(VLOOKUP($B125,'B-1 On-Site Hedge Baseline'!$B$1:$U$257,12,FALSE))))</f>
        <v/>
      </c>
      <c r="M125" s="315" t="str">
        <f t="shared" si="15"/>
        <v/>
      </c>
      <c r="N125" s="362" t="str">
        <f>IFERROR(IF(B125="","",INDEX('G-6 Hedgerow Data'!$AN$3:$AZ$15,MATCH(C125,'G-6 Hedgerow Data'!$AM$3:$AM$15,0),MATCH(M125,'G-6 Hedgerow Data'!$AN$2:$AZ$2,0))),"")</f>
        <v/>
      </c>
      <c r="O125" s="363" t="str">
        <f t="shared" si="10"/>
        <v/>
      </c>
      <c r="P125" s="417" t="str">
        <f>IF(B125="","",VLOOKUP(B125,'B-1 On-Site Hedge Baseline'!$B$10:T370,16,FALSE))</f>
        <v/>
      </c>
      <c r="Q125" s="362" t="str">
        <f>IF(M125="","",VLOOKUP(M125,'G-6 Hedgerow Data'!$B$2:$AG$15,2,FALSE))</f>
        <v/>
      </c>
      <c r="R125" s="363" t="str">
        <f>IF(M125="","",VLOOKUP(M125,'G-6 Hedgerow Data'!$B$2:$AG$15,3,FALSE))</f>
        <v/>
      </c>
      <c r="S125" s="125"/>
      <c r="T125" s="401" t="str">
        <f>IFERROR(VLOOKUP(S125,'G-1 All Habitats'!$Z$2:$AA$9,2,FALSE),"")</f>
        <v/>
      </c>
      <c r="U125" s="122"/>
      <c r="V125" s="382" t="str">
        <f>IF(U125="","",IF(VLOOKUP(U125,'G-3 Multipliers'!$L$3:$N$6,2,FALSE)=0,"Spatial Data Missing ⚠",VLOOKUP(U125,'G-3 Multipliers'!$L$3:$N$6,2,FALSE)))</f>
        <v/>
      </c>
      <c r="W125" s="386" t="str">
        <f>IF(U125="","",IF(VLOOKUP(U125,'G-3 Multipliers'!$L$3:$N$6,3,FALSE)=0,"Spatial Data Missing ⚠",VLOOKUP(U125,'G-3 Multipliers'!$L$3:$N$6,3,FALSE)))</f>
        <v/>
      </c>
      <c r="X125" s="362" t="str">
        <f>IFERROR(IF(OR(LEFT(O125,5)="Error",LEFT(N125,5)="Error",T125="Error"),"Check Data ⚠",IF(F125&lt;R125,INDEX('G-6 Hedgerow Data'!$S$3:$AE$14,MATCH(C125,'G-6 Hedgerow Data'!$B$3:$B$14,0),MATCH(M125,'G-6 Hedgerow Data'!$S$2:$AE$2,0)),INDEX('G-6 Hedgerow Data'!$K$3:$Q$14,MATCH(M125,'G-6 Hedgerow Data'!$B$3:$B$14,0),MATCH(O125,'G-6 Hedgerow Data'!$K$2:$Q$2,0)))),"")</f>
        <v/>
      </c>
      <c r="Y125" s="159"/>
      <c r="Z125" s="159"/>
      <c r="AA125" s="370" t="str">
        <f t="shared" si="11"/>
        <v/>
      </c>
      <c r="AB125" s="383" t="str">
        <f t="shared" si="12"/>
        <v/>
      </c>
      <c r="AC125" s="384" t="str">
        <f t="shared" si="8"/>
        <v/>
      </c>
      <c r="AD125" s="398" t="str">
        <f>IF(M125="","",VLOOKUP(M125,'G-6 Hedgerow Data'!$B$3:$AG$15,31,FALSE))</f>
        <v/>
      </c>
      <c r="AE125" s="370" t="str">
        <f t="shared" si="13"/>
        <v/>
      </c>
      <c r="AF125" s="370" t="str">
        <f t="shared" si="14"/>
        <v/>
      </c>
      <c r="AG125" s="386" t="str">
        <f>IFERROR(IF(O125="","",VLOOKUP(AD125,'G-3 Multipliers'!$P$3:$Q$6,2,FALSE)),"")</f>
        <v/>
      </c>
      <c r="AH125" s="376" t="str">
        <f t="shared" si="9"/>
        <v/>
      </c>
      <c r="AI125" s="188"/>
      <c r="AJ125" s="118"/>
      <c r="AK125" s="120"/>
      <c r="AT125" s="30" t="str">
        <f>IFERROR(INDEX('G-6 Hedgerow Data'!$BJ$3:$BJ$15,MATCH(M125,'G-6 Hedgerow Data'!$B$3:$B$15,0)),"")</f>
        <v/>
      </c>
    </row>
    <row r="126" spans="2:46" ht="15">
      <c r="B126" s="392" t="str">
        <f>'B-1 On-Site Hedge Baseline'!AK124</f>
        <v/>
      </c>
      <c r="C126" s="382" t="str">
        <f>IF(B126="","",IF(ISNA(VLOOKUP($B126,'B-1 On-Site Hedge Baseline'!$B$1:$L$257,3,FALSE)),"",(VLOOKUP($B126,'B-1 On-Site Hedge Baseline'!$B$1:$L$257,3,FALSE))))</f>
        <v/>
      </c>
      <c r="D126" s="382" t="str">
        <f>IF(B126="","",IF(ISNA(VLOOKUP($B126,'B-1 On-Site Hedge Baseline'!$B$1:$L$257,4,FALSE)),"",(VLOOKUP($B126,'B-1 On-Site Hedge Baseline'!$B$1:$L$257,4,FALSE))))</f>
        <v/>
      </c>
      <c r="E126" s="382" t="str">
        <f>IF(B126="","",IF(ISNA(VLOOKUP($B126,'B-1 On-Site Hedge Baseline'!$B$1:$L$257,5,FALSE)),"",(VLOOKUP($B126,'B-1 On-Site Hedge Baseline'!$B$1:$L$257,5,FALSE))))</f>
        <v/>
      </c>
      <c r="F126" s="382" t="str">
        <f>IF(B126="","",IF(ISNA(VLOOKUP($B126,'B-1 On-Site Hedge Baseline'!$B$1:$L$257,6,FALSE)),"",(VLOOKUP($B126,'B-1 On-Site Hedge Baseline'!$B$1:$L$257,6,FALSE))))</f>
        <v/>
      </c>
      <c r="G126" s="382" t="str">
        <f>IF(B126="","",IF(ISNA(VLOOKUP($B126,'B-1 On-Site Hedge Baseline'!$B$1:$L$257,7,FALSE)),"",(VLOOKUP($B126,'B-1 On-Site Hedge Baseline'!$B$1:$L$257,7,FALSE))))</f>
        <v/>
      </c>
      <c r="H126" s="382" t="str">
        <f>IF(B126="","",IF(ISNA(VLOOKUP($B126,'B-1 On-Site Hedge Baseline'!$B$1:$L$257,8,FALSE)),"",(VLOOKUP($B126,'B-1 On-Site Hedge Baseline'!$B$1:$L$257,8,FALSE))))</f>
        <v/>
      </c>
      <c r="I126" s="382" t="str">
        <f>IF(B126="","",IF(ISNA(VLOOKUP($B126,'B-1 On-Site Hedge Baseline'!$B$1:$L$257,10,FALSE)),"",(VLOOKUP($B126,'B-1 On-Site Hedge Baseline'!$B$1:$L$257,10,FALSE))))</f>
        <v/>
      </c>
      <c r="J126" s="382" t="str">
        <f>IF(B126="","",IF(ISNA(VLOOKUP($B126,'B-1 On-Site Hedge Baseline'!$B$1:$L$257,11,FALSE)),"",(VLOOKUP($B126,'B-1 On-Site Hedge Baseline'!$B$1:$L$257,11,FALSE))))</f>
        <v/>
      </c>
      <c r="K126" s="382" t="str">
        <f>IF(B126="","",IF(ISNA(VLOOKUP($B126,'B-1 On-Site Hedge Baseline'!$B$1:$U$257,13,FALSE)),"",(VLOOKUP($B126,'B-1 On-Site Hedge Baseline'!$B$1:$U$257,13,FALSE))))</f>
        <v/>
      </c>
      <c r="L126" s="386" t="str">
        <f>IF(B126="","",IF(ISNA(VLOOKUP($B126,'B-1 On-Site Hedge Baseline'!$B$1:$U$257,12,FALSE)),"",(VLOOKUP($B126,'B-1 On-Site Hedge Baseline'!$B$1:$U$257,12,FALSE))))</f>
        <v/>
      </c>
      <c r="M126" s="315" t="str">
        <f t="shared" si="15"/>
        <v/>
      </c>
      <c r="N126" s="362" t="str">
        <f>IFERROR(IF(B126="","",INDEX('G-6 Hedgerow Data'!$AN$3:$AZ$15,MATCH(C126,'G-6 Hedgerow Data'!$AM$3:$AM$15,0),MATCH(M126,'G-6 Hedgerow Data'!$AN$2:$AZ$2,0))),"")</f>
        <v/>
      </c>
      <c r="O126" s="363" t="str">
        <f t="shared" si="10"/>
        <v/>
      </c>
      <c r="P126" s="417" t="str">
        <f>IF(B126="","",VLOOKUP(B126,'B-1 On-Site Hedge Baseline'!$B$10:T371,16,FALSE))</f>
        <v/>
      </c>
      <c r="Q126" s="362" t="str">
        <f>IF(M126="","",VLOOKUP(M126,'G-6 Hedgerow Data'!$B$2:$AG$15,2,FALSE))</f>
        <v/>
      </c>
      <c r="R126" s="363" t="str">
        <f>IF(M126="","",VLOOKUP(M126,'G-6 Hedgerow Data'!$B$2:$AG$15,3,FALSE))</f>
        <v/>
      </c>
      <c r="S126" s="125"/>
      <c r="T126" s="401" t="str">
        <f>IFERROR(VLOOKUP(S126,'G-1 All Habitats'!$Z$2:$AA$9,2,FALSE),"")</f>
        <v/>
      </c>
      <c r="U126" s="122"/>
      <c r="V126" s="382" t="str">
        <f>IF(U126="","",IF(VLOOKUP(U126,'G-3 Multipliers'!$L$3:$N$6,2,FALSE)=0,"Spatial Data Missing ⚠",VLOOKUP(U126,'G-3 Multipliers'!$L$3:$N$6,2,FALSE)))</f>
        <v/>
      </c>
      <c r="W126" s="386" t="str">
        <f>IF(U126="","",IF(VLOOKUP(U126,'G-3 Multipliers'!$L$3:$N$6,3,FALSE)=0,"Spatial Data Missing ⚠",VLOOKUP(U126,'G-3 Multipliers'!$L$3:$N$6,3,FALSE)))</f>
        <v/>
      </c>
      <c r="X126" s="362" t="str">
        <f>IFERROR(IF(OR(LEFT(O126,5)="Error",LEFT(N126,5)="Error",T126="Error"),"Check Data ⚠",IF(F126&lt;R126,INDEX('G-6 Hedgerow Data'!$S$3:$AE$14,MATCH(C126,'G-6 Hedgerow Data'!$B$3:$B$14,0),MATCH(M126,'G-6 Hedgerow Data'!$S$2:$AE$2,0)),INDEX('G-6 Hedgerow Data'!$K$3:$Q$14,MATCH(M126,'G-6 Hedgerow Data'!$B$3:$B$14,0),MATCH(O126,'G-6 Hedgerow Data'!$K$2:$Q$2,0)))),"")</f>
        <v/>
      </c>
      <c r="Y126" s="159"/>
      <c r="Z126" s="159"/>
      <c r="AA126" s="370" t="str">
        <f t="shared" si="11"/>
        <v/>
      </c>
      <c r="AB126" s="383" t="str">
        <f t="shared" si="12"/>
        <v/>
      </c>
      <c r="AC126" s="384" t="str">
        <f t="shared" si="8"/>
        <v/>
      </c>
      <c r="AD126" s="398" t="str">
        <f>IF(M126="","",VLOOKUP(M126,'G-6 Hedgerow Data'!$B$3:$AG$15,31,FALSE))</f>
        <v/>
      </c>
      <c r="AE126" s="370" t="str">
        <f t="shared" si="13"/>
        <v/>
      </c>
      <c r="AF126" s="370" t="str">
        <f t="shared" si="14"/>
        <v/>
      </c>
      <c r="AG126" s="386" t="str">
        <f>IFERROR(IF(O126="","",VLOOKUP(AD126,'G-3 Multipliers'!$P$3:$Q$6,2,FALSE)),"")</f>
        <v/>
      </c>
      <c r="AH126" s="376" t="str">
        <f t="shared" si="9"/>
        <v/>
      </c>
      <c r="AI126" s="188"/>
      <c r="AJ126" s="118"/>
      <c r="AK126" s="120"/>
      <c r="AT126" s="30" t="str">
        <f>IFERROR(INDEX('G-6 Hedgerow Data'!$BJ$3:$BJ$15,MATCH(M126,'G-6 Hedgerow Data'!$B$3:$B$15,0)),"")</f>
        <v/>
      </c>
    </row>
    <row r="127" spans="2:46" ht="15">
      <c r="B127" s="392" t="str">
        <f>'B-1 On-Site Hedge Baseline'!AK125</f>
        <v/>
      </c>
      <c r="C127" s="382" t="str">
        <f>IF(B127="","",IF(ISNA(VLOOKUP($B127,'B-1 On-Site Hedge Baseline'!$B$1:$L$257,3,FALSE)),"",(VLOOKUP($B127,'B-1 On-Site Hedge Baseline'!$B$1:$L$257,3,FALSE))))</f>
        <v/>
      </c>
      <c r="D127" s="382" t="str">
        <f>IF(B127="","",IF(ISNA(VLOOKUP($B127,'B-1 On-Site Hedge Baseline'!$B$1:$L$257,4,FALSE)),"",(VLOOKUP($B127,'B-1 On-Site Hedge Baseline'!$B$1:$L$257,4,FALSE))))</f>
        <v/>
      </c>
      <c r="E127" s="382" t="str">
        <f>IF(B127="","",IF(ISNA(VLOOKUP($B127,'B-1 On-Site Hedge Baseline'!$B$1:$L$257,5,FALSE)),"",(VLOOKUP($B127,'B-1 On-Site Hedge Baseline'!$B$1:$L$257,5,FALSE))))</f>
        <v/>
      </c>
      <c r="F127" s="382" t="str">
        <f>IF(B127="","",IF(ISNA(VLOOKUP($B127,'B-1 On-Site Hedge Baseline'!$B$1:$L$257,6,FALSE)),"",(VLOOKUP($B127,'B-1 On-Site Hedge Baseline'!$B$1:$L$257,6,FALSE))))</f>
        <v/>
      </c>
      <c r="G127" s="382" t="str">
        <f>IF(B127="","",IF(ISNA(VLOOKUP($B127,'B-1 On-Site Hedge Baseline'!$B$1:$L$257,7,FALSE)),"",(VLOOKUP($B127,'B-1 On-Site Hedge Baseline'!$B$1:$L$257,7,FALSE))))</f>
        <v/>
      </c>
      <c r="H127" s="382" t="str">
        <f>IF(B127="","",IF(ISNA(VLOOKUP($B127,'B-1 On-Site Hedge Baseline'!$B$1:$L$257,8,FALSE)),"",(VLOOKUP($B127,'B-1 On-Site Hedge Baseline'!$B$1:$L$257,8,FALSE))))</f>
        <v/>
      </c>
      <c r="I127" s="382" t="str">
        <f>IF(B127="","",IF(ISNA(VLOOKUP($B127,'B-1 On-Site Hedge Baseline'!$B$1:$L$257,10,FALSE)),"",(VLOOKUP($B127,'B-1 On-Site Hedge Baseline'!$B$1:$L$257,10,FALSE))))</f>
        <v/>
      </c>
      <c r="J127" s="382" t="str">
        <f>IF(B127="","",IF(ISNA(VLOOKUP($B127,'B-1 On-Site Hedge Baseline'!$B$1:$L$257,11,FALSE)),"",(VLOOKUP($B127,'B-1 On-Site Hedge Baseline'!$B$1:$L$257,11,FALSE))))</f>
        <v/>
      </c>
      <c r="K127" s="382" t="str">
        <f>IF(B127="","",IF(ISNA(VLOOKUP($B127,'B-1 On-Site Hedge Baseline'!$B$1:$U$257,13,FALSE)),"",(VLOOKUP($B127,'B-1 On-Site Hedge Baseline'!$B$1:$U$257,13,FALSE))))</f>
        <v/>
      </c>
      <c r="L127" s="386" t="str">
        <f>IF(B127="","",IF(ISNA(VLOOKUP($B127,'B-1 On-Site Hedge Baseline'!$B$1:$U$257,12,FALSE)),"",(VLOOKUP($B127,'B-1 On-Site Hedge Baseline'!$B$1:$U$257,12,FALSE))))</f>
        <v/>
      </c>
      <c r="M127" s="315" t="str">
        <f t="shared" si="15"/>
        <v/>
      </c>
      <c r="N127" s="362" t="str">
        <f>IFERROR(IF(B127="","",INDEX('G-6 Hedgerow Data'!$AN$3:$AZ$15,MATCH(C127,'G-6 Hedgerow Data'!$AM$3:$AM$15,0),MATCH(M127,'G-6 Hedgerow Data'!$AN$2:$AZ$2,0))),"")</f>
        <v/>
      </c>
      <c r="O127" s="363" t="str">
        <f t="shared" si="10"/>
        <v/>
      </c>
      <c r="P127" s="417" t="str">
        <f>IF(B127="","",VLOOKUP(B127,'B-1 On-Site Hedge Baseline'!$B$10:T372,16,FALSE))</f>
        <v/>
      </c>
      <c r="Q127" s="362" t="str">
        <f>IF(M127="","",VLOOKUP(M127,'G-6 Hedgerow Data'!$B$2:$AG$15,2,FALSE))</f>
        <v/>
      </c>
      <c r="R127" s="363" t="str">
        <f>IF(M127="","",VLOOKUP(M127,'G-6 Hedgerow Data'!$B$2:$AG$15,3,FALSE))</f>
        <v/>
      </c>
      <c r="S127" s="125"/>
      <c r="T127" s="401" t="str">
        <f>IFERROR(VLOOKUP(S127,'G-1 All Habitats'!$Z$2:$AA$9,2,FALSE),"")</f>
        <v/>
      </c>
      <c r="U127" s="122"/>
      <c r="V127" s="382" t="str">
        <f>IF(U127="","",IF(VLOOKUP(U127,'G-3 Multipliers'!$L$3:$N$6,2,FALSE)=0,"Spatial Data Missing ⚠",VLOOKUP(U127,'G-3 Multipliers'!$L$3:$N$6,2,FALSE)))</f>
        <v/>
      </c>
      <c r="W127" s="386" t="str">
        <f>IF(U127="","",IF(VLOOKUP(U127,'G-3 Multipliers'!$L$3:$N$6,3,FALSE)=0,"Spatial Data Missing ⚠",VLOOKUP(U127,'G-3 Multipliers'!$L$3:$N$6,3,FALSE)))</f>
        <v/>
      </c>
      <c r="X127" s="362" t="str">
        <f>IFERROR(IF(OR(LEFT(O127,5)="Error",LEFT(N127,5)="Error",T127="Error"),"Check Data ⚠",IF(F127&lt;R127,INDEX('G-6 Hedgerow Data'!$S$3:$AE$14,MATCH(C127,'G-6 Hedgerow Data'!$B$3:$B$14,0),MATCH(M127,'G-6 Hedgerow Data'!$S$2:$AE$2,0)),INDEX('G-6 Hedgerow Data'!$K$3:$Q$14,MATCH(M127,'G-6 Hedgerow Data'!$B$3:$B$14,0),MATCH(O127,'G-6 Hedgerow Data'!$K$2:$Q$2,0)))),"")</f>
        <v/>
      </c>
      <c r="Y127" s="159"/>
      <c r="Z127" s="159"/>
      <c r="AA127" s="370" t="str">
        <f t="shared" si="11"/>
        <v/>
      </c>
      <c r="AB127" s="383" t="str">
        <f t="shared" si="12"/>
        <v/>
      </c>
      <c r="AC127" s="384" t="str">
        <f t="shared" si="8"/>
        <v/>
      </c>
      <c r="AD127" s="398" t="str">
        <f>IF(M127="","",VLOOKUP(M127,'G-6 Hedgerow Data'!$B$3:$AG$15,31,FALSE))</f>
        <v/>
      </c>
      <c r="AE127" s="370" t="str">
        <f t="shared" si="13"/>
        <v/>
      </c>
      <c r="AF127" s="370" t="str">
        <f t="shared" si="14"/>
        <v/>
      </c>
      <c r="AG127" s="386" t="str">
        <f>IFERROR(IF(O127="","",VLOOKUP(AD127,'G-3 Multipliers'!$P$3:$Q$6,2,FALSE)),"")</f>
        <v/>
      </c>
      <c r="AH127" s="376" t="str">
        <f t="shared" si="9"/>
        <v/>
      </c>
      <c r="AI127" s="188"/>
      <c r="AJ127" s="118"/>
      <c r="AK127" s="120"/>
      <c r="AT127" s="30" t="str">
        <f>IFERROR(INDEX('G-6 Hedgerow Data'!$BJ$3:$BJ$15,MATCH(M127,'G-6 Hedgerow Data'!$B$3:$B$15,0)),"")</f>
        <v/>
      </c>
    </row>
    <row r="128" spans="2:46" ht="15">
      <c r="B128" s="392" t="str">
        <f>'B-1 On-Site Hedge Baseline'!AK126</f>
        <v/>
      </c>
      <c r="C128" s="382" t="str">
        <f>IF(B128="","",IF(ISNA(VLOOKUP($B128,'B-1 On-Site Hedge Baseline'!$B$1:$L$257,3,FALSE)),"",(VLOOKUP($B128,'B-1 On-Site Hedge Baseline'!$B$1:$L$257,3,FALSE))))</f>
        <v/>
      </c>
      <c r="D128" s="382" t="str">
        <f>IF(B128="","",IF(ISNA(VLOOKUP($B128,'B-1 On-Site Hedge Baseline'!$B$1:$L$257,4,FALSE)),"",(VLOOKUP($B128,'B-1 On-Site Hedge Baseline'!$B$1:$L$257,4,FALSE))))</f>
        <v/>
      </c>
      <c r="E128" s="382" t="str">
        <f>IF(B128="","",IF(ISNA(VLOOKUP($B128,'B-1 On-Site Hedge Baseline'!$B$1:$L$257,5,FALSE)),"",(VLOOKUP($B128,'B-1 On-Site Hedge Baseline'!$B$1:$L$257,5,FALSE))))</f>
        <v/>
      </c>
      <c r="F128" s="382" t="str">
        <f>IF(B128="","",IF(ISNA(VLOOKUP($B128,'B-1 On-Site Hedge Baseline'!$B$1:$L$257,6,FALSE)),"",(VLOOKUP($B128,'B-1 On-Site Hedge Baseline'!$B$1:$L$257,6,FALSE))))</f>
        <v/>
      </c>
      <c r="G128" s="382" t="str">
        <f>IF(B128="","",IF(ISNA(VLOOKUP($B128,'B-1 On-Site Hedge Baseline'!$B$1:$L$257,7,FALSE)),"",(VLOOKUP($B128,'B-1 On-Site Hedge Baseline'!$B$1:$L$257,7,FALSE))))</f>
        <v/>
      </c>
      <c r="H128" s="382" t="str">
        <f>IF(B128="","",IF(ISNA(VLOOKUP($B128,'B-1 On-Site Hedge Baseline'!$B$1:$L$257,8,FALSE)),"",(VLOOKUP($B128,'B-1 On-Site Hedge Baseline'!$B$1:$L$257,8,FALSE))))</f>
        <v/>
      </c>
      <c r="I128" s="382" t="str">
        <f>IF(B128="","",IF(ISNA(VLOOKUP($B128,'B-1 On-Site Hedge Baseline'!$B$1:$L$257,10,FALSE)),"",(VLOOKUP($B128,'B-1 On-Site Hedge Baseline'!$B$1:$L$257,10,FALSE))))</f>
        <v/>
      </c>
      <c r="J128" s="382" t="str">
        <f>IF(B128="","",IF(ISNA(VLOOKUP($B128,'B-1 On-Site Hedge Baseline'!$B$1:$L$257,11,FALSE)),"",(VLOOKUP($B128,'B-1 On-Site Hedge Baseline'!$B$1:$L$257,11,FALSE))))</f>
        <v/>
      </c>
      <c r="K128" s="382" t="str">
        <f>IF(B128="","",IF(ISNA(VLOOKUP($B128,'B-1 On-Site Hedge Baseline'!$B$1:$U$257,13,FALSE)),"",(VLOOKUP($B128,'B-1 On-Site Hedge Baseline'!$B$1:$U$257,13,FALSE))))</f>
        <v/>
      </c>
      <c r="L128" s="386" t="str">
        <f>IF(B128="","",IF(ISNA(VLOOKUP($B128,'B-1 On-Site Hedge Baseline'!$B$1:$U$257,12,FALSE)),"",(VLOOKUP($B128,'B-1 On-Site Hedge Baseline'!$B$1:$U$257,12,FALSE))))</f>
        <v/>
      </c>
      <c r="M128" s="315" t="str">
        <f t="shared" si="15"/>
        <v/>
      </c>
      <c r="N128" s="362" t="str">
        <f>IFERROR(IF(B128="","",INDEX('G-6 Hedgerow Data'!$AN$3:$AZ$15,MATCH(C128,'G-6 Hedgerow Data'!$AM$3:$AM$15,0),MATCH(M128,'G-6 Hedgerow Data'!$AN$2:$AZ$2,0))),"")</f>
        <v/>
      </c>
      <c r="O128" s="363" t="str">
        <f t="shared" si="10"/>
        <v/>
      </c>
      <c r="P128" s="417" t="str">
        <f>IF(B128="","",VLOOKUP(B128,'B-1 On-Site Hedge Baseline'!$B$10:T373,16,FALSE))</f>
        <v/>
      </c>
      <c r="Q128" s="362" t="str">
        <f>IF(M128="","",VLOOKUP(M128,'G-6 Hedgerow Data'!$B$2:$AG$15,2,FALSE))</f>
        <v/>
      </c>
      <c r="R128" s="363" t="str">
        <f>IF(M128="","",VLOOKUP(M128,'G-6 Hedgerow Data'!$B$2:$AG$15,3,FALSE))</f>
        <v/>
      </c>
      <c r="S128" s="125"/>
      <c r="T128" s="401" t="str">
        <f>IFERROR(VLOOKUP(S128,'G-1 All Habitats'!$Z$2:$AA$9,2,FALSE),"")</f>
        <v/>
      </c>
      <c r="U128" s="122"/>
      <c r="V128" s="382" t="str">
        <f>IF(U128="","",IF(VLOOKUP(U128,'G-3 Multipliers'!$L$3:$N$6,2,FALSE)=0,"Spatial Data Missing ⚠",VLOOKUP(U128,'G-3 Multipliers'!$L$3:$N$6,2,FALSE)))</f>
        <v/>
      </c>
      <c r="W128" s="386" t="str">
        <f>IF(U128="","",IF(VLOOKUP(U128,'G-3 Multipliers'!$L$3:$N$6,3,FALSE)=0,"Spatial Data Missing ⚠",VLOOKUP(U128,'G-3 Multipliers'!$L$3:$N$6,3,FALSE)))</f>
        <v/>
      </c>
      <c r="X128" s="362" t="str">
        <f>IFERROR(IF(OR(LEFT(O128,5)="Error",LEFT(N128,5)="Error",T128="Error"),"Check Data ⚠",IF(F128&lt;R128,INDEX('G-6 Hedgerow Data'!$S$3:$AE$14,MATCH(C128,'G-6 Hedgerow Data'!$B$3:$B$14,0),MATCH(M128,'G-6 Hedgerow Data'!$S$2:$AE$2,0)),INDEX('G-6 Hedgerow Data'!$K$3:$Q$14,MATCH(M128,'G-6 Hedgerow Data'!$B$3:$B$14,0),MATCH(O128,'G-6 Hedgerow Data'!$K$2:$Q$2,0)))),"")</f>
        <v/>
      </c>
      <c r="Y128" s="159"/>
      <c r="Z128" s="159"/>
      <c r="AA128" s="370" t="str">
        <f t="shared" si="11"/>
        <v/>
      </c>
      <c r="AB128" s="383" t="str">
        <f t="shared" si="12"/>
        <v/>
      </c>
      <c r="AC128" s="384" t="str">
        <f t="shared" si="8"/>
        <v/>
      </c>
      <c r="AD128" s="398" t="str">
        <f>IF(M128="","",VLOOKUP(M128,'G-6 Hedgerow Data'!$B$3:$AG$15,31,FALSE))</f>
        <v/>
      </c>
      <c r="AE128" s="370" t="str">
        <f t="shared" si="13"/>
        <v/>
      </c>
      <c r="AF128" s="370" t="str">
        <f t="shared" si="14"/>
        <v/>
      </c>
      <c r="AG128" s="386" t="str">
        <f>IFERROR(IF(O128="","",VLOOKUP(AD128,'G-3 Multipliers'!$P$3:$Q$6,2,FALSE)),"")</f>
        <v/>
      </c>
      <c r="AH128" s="376" t="str">
        <f t="shared" si="9"/>
        <v/>
      </c>
      <c r="AI128" s="188"/>
      <c r="AJ128" s="118"/>
      <c r="AK128" s="120"/>
      <c r="AT128" s="30" t="str">
        <f>IFERROR(INDEX('G-6 Hedgerow Data'!$BJ$3:$BJ$15,MATCH(M128,'G-6 Hedgerow Data'!$B$3:$B$15,0)),"")</f>
        <v/>
      </c>
    </row>
    <row r="129" spans="2:46" ht="15">
      <c r="B129" s="392" t="str">
        <f>'B-1 On-Site Hedge Baseline'!AK127</f>
        <v/>
      </c>
      <c r="C129" s="382" t="str">
        <f>IF(B129="","",IF(ISNA(VLOOKUP($B129,'B-1 On-Site Hedge Baseline'!$B$1:$L$257,3,FALSE)),"",(VLOOKUP($B129,'B-1 On-Site Hedge Baseline'!$B$1:$L$257,3,FALSE))))</f>
        <v/>
      </c>
      <c r="D129" s="382" t="str">
        <f>IF(B129="","",IF(ISNA(VLOOKUP($B129,'B-1 On-Site Hedge Baseline'!$B$1:$L$257,4,FALSE)),"",(VLOOKUP($B129,'B-1 On-Site Hedge Baseline'!$B$1:$L$257,4,FALSE))))</f>
        <v/>
      </c>
      <c r="E129" s="382" t="str">
        <f>IF(B129="","",IF(ISNA(VLOOKUP($B129,'B-1 On-Site Hedge Baseline'!$B$1:$L$257,5,FALSE)),"",(VLOOKUP($B129,'B-1 On-Site Hedge Baseline'!$B$1:$L$257,5,FALSE))))</f>
        <v/>
      </c>
      <c r="F129" s="382" t="str">
        <f>IF(B129="","",IF(ISNA(VLOOKUP($B129,'B-1 On-Site Hedge Baseline'!$B$1:$L$257,6,FALSE)),"",(VLOOKUP($B129,'B-1 On-Site Hedge Baseline'!$B$1:$L$257,6,FALSE))))</f>
        <v/>
      </c>
      <c r="G129" s="382" t="str">
        <f>IF(B129="","",IF(ISNA(VLOOKUP($B129,'B-1 On-Site Hedge Baseline'!$B$1:$L$257,7,FALSE)),"",(VLOOKUP($B129,'B-1 On-Site Hedge Baseline'!$B$1:$L$257,7,FALSE))))</f>
        <v/>
      </c>
      <c r="H129" s="382" t="str">
        <f>IF(B129="","",IF(ISNA(VLOOKUP($B129,'B-1 On-Site Hedge Baseline'!$B$1:$L$257,8,FALSE)),"",(VLOOKUP($B129,'B-1 On-Site Hedge Baseline'!$B$1:$L$257,8,FALSE))))</f>
        <v/>
      </c>
      <c r="I129" s="382" t="str">
        <f>IF(B129="","",IF(ISNA(VLOOKUP($B129,'B-1 On-Site Hedge Baseline'!$B$1:$L$257,10,FALSE)),"",(VLOOKUP($B129,'B-1 On-Site Hedge Baseline'!$B$1:$L$257,10,FALSE))))</f>
        <v/>
      </c>
      <c r="J129" s="382" t="str">
        <f>IF(B129="","",IF(ISNA(VLOOKUP($B129,'B-1 On-Site Hedge Baseline'!$B$1:$L$257,11,FALSE)),"",(VLOOKUP($B129,'B-1 On-Site Hedge Baseline'!$B$1:$L$257,11,FALSE))))</f>
        <v/>
      </c>
      <c r="K129" s="382" t="str">
        <f>IF(B129="","",IF(ISNA(VLOOKUP($B129,'B-1 On-Site Hedge Baseline'!$B$1:$U$257,13,FALSE)),"",(VLOOKUP($B129,'B-1 On-Site Hedge Baseline'!$B$1:$U$257,13,FALSE))))</f>
        <v/>
      </c>
      <c r="L129" s="386" t="str">
        <f>IF(B129="","",IF(ISNA(VLOOKUP($B129,'B-1 On-Site Hedge Baseline'!$B$1:$U$257,12,FALSE)),"",(VLOOKUP($B129,'B-1 On-Site Hedge Baseline'!$B$1:$U$257,12,FALSE))))</f>
        <v/>
      </c>
      <c r="M129" s="315" t="str">
        <f t="shared" si="15"/>
        <v/>
      </c>
      <c r="N129" s="362" t="str">
        <f>IFERROR(IF(B129="","",INDEX('G-6 Hedgerow Data'!$AN$3:$AZ$15,MATCH(C129,'G-6 Hedgerow Data'!$AM$3:$AM$15,0),MATCH(M129,'G-6 Hedgerow Data'!$AN$2:$AZ$2,0))),"")</f>
        <v/>
      </c>
      <c r="O129" s="363" t="str">
        <f t="shared" si="10"/>
        <v/>
      </c>
      <c r="P129" s="417" t="str">
        <f>IF(B129="","",VLOOKUP(B129,'B-1 On-Site Hedge Baseline'!$B$10:T374,16,FALSE))</f>
        <v/>
      </c>
      <c r="Q129" s="362" t="str">
        <f>IF(M129="","",VLOOKUP(M129,'G-6 Hedgerow Data'!$B$2:$AG$15,2,FALSE))</f>
        <v/>
      </c>
      <c r="R129" s="363" t="str">
        <f>IF(M129="","",VLOOKUP(M129,'G-6 Hedgerow Data'!$B$2:$AG$15,3,FALSE))</f>
        <v/>
      </c>
      <c r="S129" s="125"/>
      <c r="T129" s="401" t="str">
        <f>IFERROR(VLOOKUP(S129,'G-1 All Habitats'!$Z$2:$AA$9,2,FALSE),"")</f>
        <v/>
      </c>
      <c r="U129" s="122"/>
      <c r="V129" s="382" t="str">
        <f>IF(U129="","",IF(VLOOKUP(U129,'G-3 Multipliers'!$L$3:$N$6,2,FALSE)=0,"Spatial Data Missing ⚠",VLOOKUP(U129,'G-3 Multipliers'!$L$3:$N$6,2,FALSE)))</f>
        <v/>
      </c>
      <c r="W129" s="386" t="str">
        <f>IF(U129="","",IF(VLOOKUP(U129,'G-3 Multipliers'!$L$3:$N$6,3,FALSE)=0,"Spatial Data Missing ⚠",VLOOKUP(U129,'G-3 Multipliers'!$L$3:$N$6,3,FALSE)))</f>
        <v/>
      </c>
      <c r="X129" s="362" t="str">
        <f>IFERROR(IF(OR(LEFT(O129,5)="Error",LEFT(N129,5)="Error",T129="Error"),"Check Data ⚠",IF(F129&lt;R129,INDEX('G-6 Hedgerow Data'!$S$3:$AE$14,MATCH(C129,'G-6 Hedgerow Data'!$B$3:$B$14,0),MATCH(M129,'G-6 Hedgerow Data'!$S$2:$AE$2,0)),INDEX('G-6 Hedgerow Data'!$K$3:$Q$14,MATCH(M129,'G-6 Hedgerow Data'!$B$3:$B$14,0),MATCH(O129,'G-6 Hedgerow Data'!$K$2:$Q$2,0)))),"")</f>
        <v/>
      </c>
      <c r="Y129" s="159"/>
      <c r="Z129" s="159"/>
      <c r="AA129" s="370" t="str">
        <f t="shared" si="11"/>
        <v/>
      </c>
      <c r="AB129" s="383" t="str">
        <f t="shared" si="12"/>
        <v/>
      </c>
      <c r="AC129" s="384" t="str">
        <f t="shared" si="8"/>
        <v/>
      </c>
      <c r="AD129" s="398" t="str">
        <f>IF(M129="","",VLOOKUP(M129,'G-6 Hedgerow Data'!$B$3:$AG$15,31,FALSE))</f>
        <v/>
      </c>
      <c r="AE129" s="370" t="str">
        <f t="shared" si="13"/>
        <v/>
      </c>
      <c r="AF129" s="370" t="str">
        <f t="shared" si="14"/>
        <v/>
      </c>
      <c r="AG129" s="386" t="str">
        <f>IFERROR(IF(O129="","",VLOOKUP(AD129,'G-3 Multipliers'!$P$3:$Q$6,2,FALSE)),"")</f>
        <v/>
      </c>
      <c r="AH129" s="376" t="str">
        <f t="shared" si="9"/>
        <v/>
      </c>
      <c r="AI129" s="188"/>
      <c r="AJ129" s="118"/>
      <c r="AK129" s="120"/>
      <c r="AT129" s="30" t="str">
        <f>IFERROR(INDEX('G-6 Hedgerow Data'!$BJ$3:$BJ$15,MATCH(M129,'G-6 Hedgerow Data'!$B$3:$B$15,0)),"")</f>
        <v/>
      </c>
    </row>
    <row r="130" spans="2:46" ht="15">
      <c r="B130" s="392" t="str">
        <f>'B-1 On-Site Hedge Baseline'!AK128</f>
        <v/>
      </c>
      <c r="C130" s="382" t="str">
        <f>IF(B130="","",IF(ISNA(VLOOKUP($B130,'B-1 On-Site Hedge Baseline'!$B$1:$L$257,3,FALSE)),"",(VLOOKUP($B130,'B-1 On-Site Hedge Baseline'!$B$1:$L$257,3,FALSE))))</f>
        <v/>
      </c>
      <c r="D130" s="382" t="str">
        <f>IF(B130="","",IF(ISNA(VLOOKUP($B130,'B-1 On-Site Hedge Baseline'!$B$1:$L$257,4,FALSE)),"",(VLOOKUP($B130,'B-1 On-Site Hedge Baseline'!$B$1:$L$257,4,FALSE))))</f>
        <v/>
      </c>
      <c r="E130" s="382" t="str">
        <f>IF(B130="","",IF(ISNA(VLOOKUP($B130,'B-1 On-Site Hedge Baseline'!$B$1:$L$257,5,FALSE)),"",(VLOOKUP($B130,'B-1 On-Site Hedge Baseline'!$B$1:$L$257,5,FALSE))))</f>
        <v/>
      </c>
      <c r="F130" s="382" t="str">
        <f>IF(B130="","",IF(ISNA(VLOOKUP($B130,'B-1 On-Site Hedge Baseline'!$B$1:$L$257,6,FALSE)),"",(VLOOKUP($B130,'B-1 On-Site Hedge Baseline'!$B$1:$L$257,6,FALSE))))</f>
        <v/>
      </c>
      <c r="G130" s="382" t="str">
        <f>IF(B130="","",IF(ISNA(VLOOKUP($B130,'B-1 On-Site Hedge Baseline'!$B$1:$L$257,7,FALSE)),"",(VLOOKUP($B130,'B-1 On-Site Hedge Baseline'!$B$1:$L$257,7,FALSE))))</f>
        <v/>
      </c>
      <c r="H130" s="382" t="str">
        <f>IF(B130="","",IF(ISNA(VLOOKUP($B130,'B-1 On-Site Hedge Baseline'!$B$1:$L$257,8,FALSE)),"",(VLOOKUP($B130,'B-1 On-Site Hedge Baseline'!$B$1:$L$257,8,FALSE))))</f>
        <v/>
      </c>
      <c r="I130" s="382" t="str">
        <f>IF(B130="","",IF(ISNA(VLOOKUP($B130,'B-1 On-Site Hedge Baseline'!$B$1:$L$257,10,FALSE)),"",(VLOOKUP($B130,'B-1 On-Site Hedge Baseline'!$B$1:$L$257,10,FALSE))))</f>
        <v/>
      </c>
      <c r="J130" s="382" t="str">
        <f>IF(B130="","",IF(ISNA(VLOOKUP($B130,'B-1 On-Site Hedge Baseline'!$B$1:$L$257,11,FALSE)),"",(VLOOKUP($B130,'B-1 On-Site Hedge Baseline'!$B$1:$L$257,11,FALSE))))</f>
        <v/>
      </c>
      <c r="K130" s="382" t="str">
        <f>IF(B130="","",IF(ISNA(VLOOKUP($B130,'B-1 On-Site Hedge Baseline'!$B$1:$U$257,13,FALSE)),"",(VLOOKUP($B130,'B-1 On-Site Hedge Baseline'!$B$1:$U$257,13,FALSE))))</f>
        <v/>
      </c>
      <c r="L130" s="386" t="str">
        <f>IF(B130="","",IF(ISNA(VLOOKUP($B130,'B-1 On-Site Hedge Baseline'!$B$1:$U$257,12,FALSE)),"",(VLOOKUP($B130,'B-1 On-Site Hedge Baseline'!$B$1:$U$257,12,FALSE))))</f>
        <v/>
      </c>
      <c r="M130" s="315" t="str">
        <f t="shared" si="15"/>
        <v/>
      </c>
      <c r="N130" s="362" t="str">
        <f>IFERROR(IF(B130="","",INDEX('G-6 Hedgerow Data'!$AN$3:$AZ$15,MATCH(C130,'G-6 Hedgerow Data'!$AM$3:$AM$15,0),MATCH(M130,'G-6 Hedgerow Data'!$AN$2:$AZ$2,0))),"")</f>
        <v/>
      </c>
      <c r="O130" s="363" t="str">
        <f t="shared" si="10"/>
        <v/>
      </c>
      <c r="P130" s="417" t="str">
        <f>IF(B130="","",VLOOKUP(B130,'B-1 On-Site Hedge Baseline'!$B$10:T375,16,FALSE))</f>
        <v/>
      </c>
      <c r="Q130" s="362" t="str">
        <f>IF(M130="","",VLOOKUP(M130,'G-6 Hedgerow Data'!$B$2:$AG$15,2,FALSE))</f>
        <v/>
      </c>
      <c r="R130" s="363" t="str">
        <f>IF(M130="","",VLOOKUP(M130,'G-6 Hedgerow Data'!$B$2:$AG$15,3,FALSE))</f>
        <v/>
      </c>
      <c r="S130" s="125"/>
      <c r="T130" s="401" t="str">
        <f>IFERROR(VLOOKUP(S130,'G-1 All Habitats'!$Z$2:$AA$9,2,FALSE),"")</f>
        <v/>
      </c>
      <c r="U130" s="122"/>
      <c r="V130" s="382" t="str">
        <f>IF(U130="","",IF(VLOOKUP(U130,'G-3 Multipliers'!$L$3:$N$6,2,FALSE)=0,"Spatial Data Missing ⚠",VLOOKUP(U130,'G-3 Multipliers'!$L$3:$N$6,2,FALSE)))</f>
        <v/>
      </c>
      <c r="W130" s="386" t="str">
        <f>IF(U130="","",IF(VLOOKUP(U130,'G-3 Multipliers'!$L$3:$N$6,3,FALSE)=0,"Spatial Data Missing ⚠",VLOOKUP(U130,'G-3 Multipliers'!$L$3:$N$6,3,FALSE)))</f>
        <v/>
      </c>
      <c r="X130" s="362" t="str">
        <f>IFERROR(IF(OR(LEFT(O130,5)="Error",LEFT(N130,5)="Error",T130="Error"),"Check Data ⚠",IF(F130&lt;R130,INDEX('G-6 Hedgerow Data'!$S$3:$AE$14,MATCH(C130,'G-6 Hedgerow Data'!$B$3:$B$14,0),MATCH(M130,'G-6 Hedgerow Data'!$S$2:$AE$2,0)),INDEX('G-6 Hedgerow Data'!$K$3:$Q$14,MATCH(M130,'G-6 Hedgerow Data'!$B$3:$B$14,0),MATCH(O130,'G-6 Hedgerow Data'!$K$2:$Q$2,0)))),"")</f>
        <v/>
      </c>
      <c r="Y130" s="159"/>
      <c r="Z130" s="159"/>
      <c r="AA130" s="370" t="str">
        <f t="shared" si="11"/>
        <v/>
      </c>
      <c r="AB130" s="383" t="str">
        <f t="shared" si="12"/>
        <v/>
      </c>
      <c r="AC130" s="384" t="str">
        <f t="shared" si="8"/>
        <v/>
      </c>
      <c r="AD130" s="398" t="str">
        <f>IF(M130="","",VLOOKUP(M130,'G-6 Hedgerow Data'!$B$3:$AG$15,31,FALSE))</f>
        <v/>
      </c>
      <c r="AE130" s="370" t="str">
        <f t="shared" si="13"/>
        <v/>
      </c>
      <c r="AF130" s="370" t="str">
        <f t="shared" si="14"/>
        <v/>
      </c>
      <c r="AG130" s="386" t="str">
        <f>IFERROR(IF(O130="","",VLOOKUP(AD130,'G-3 Multipliers'!$P$3:$Q$6,2,FALSE)),"")</f>
        <v/>
      </c>
      <c r="AH130" s="376" t="str">
        <f t="shared" si="9"/>
        <v/>
      </c>
      <c r="AI130" s="188"/>
      <c r="AJ130" s="118"/>
      <c r="AK130" s="120"/>
      <c r="AT130" s="30" t="str">
        <f>IFERROR(INDEX('G-6 Hedgerow Data'!$BJ$3:$BJ$15,MATCH(M130,'G-6 Hedgerow Data'!$B$3:$B$15,0)),"")</f>
        <v/>
      </c>
    </row>
    <row r="131" spans="2:46" ht="15">
      <c r="B131" s="392" t="str">
        <f>'B-1 On-Site Hedge Baseline'!AK129</f>
        <v/>
      </c>
      <c r="C131" s="382" t="str">
        <f>IF(B131="","",IF(ISNA(VLOOKUP($B131,'B-1 On-Site Hedge Baseline'!$B$1:$L$257,3,FALSE)),"",(VLOOKUP($B131,'B-1 On-Site Hedge Baseline'!$B$1:$L$257,3,FALSE))))</f>
        <v/>
      </c>
      <c r="D131" s="382" t="str">
        <f>IF(B131="","",IF(ISNA(VLOOKUP($B131,'B-1 On-Site Hedge Baseline'!$B$1:$L$257,4,FALSE)),"",(VLOOKUP($B131,'B-1 On-Site Hedge Baseline'!$B$1:$L$257,4,FALSE))))</f>
        <v/>
      </c>
      <c r="E131" s="382" t="str">
        <f>IF(B131="","",IF(ISNA(VLOOKUP($B131,'B-1 On-Site Hedge Baseline'!$B$1:$L$257,5,FALSE)),"",(VLOOKUP($B131,'B-1 On-Site Hedge Baseline'!$B$1:$L$257,5,FALSE))))</f>
        <v/>
      </c>
      <c r="F131" s="382" t="str">
        <f>IF(B131="","",IF(ISNA(VLOOKUP($B131,'B-1 On-Site Hedge Baseline'!$B$1:$L$257,6,FALSE)),"",(VLOOKUP($B131,'B-1 On-Site Hedge Baseline'!$B$1:$L$257,6,FALSE))))</f>
        <v/>
      </c>
      <c r="G131" s="382" t="str">
        <f>IF(B131="","",IF(ISNA(VLOOKUP($B131,'B-1 On-Site Hedge Baseline'!$B$1:$L$257,7,FALSE)),"",(VLOOKUP($B131,'B-1 On-Site Hedge Baseline'!$B$1:$L$257,7,FALSE))))</f>
        <v/>
      </c>
      <c r="H131" s="382" t="str">
        <f>IF(B131="","",IF(ISNA(VLOOKUP($B131,'B-1 On-Site Hedge Baseline'!$B$1:$L$257,8,FALSE)),"",(VLOOKUP($B131,'B-1 On-Site Hedge Baseline'!$B$1:$L$257,8,FALSE))))</f>
        <v/>
      </c>
      <c r="I131" s="382" t="str">
        <f>IF(B131="","",IF(ISNA(VLOOKUP($B131,'B-1 On-Site Hedge Baseline'!$B$1:$L$257,10,FALSE)),"",(VLOOKUP($B131,'B-1 On-Site Hedge Baseline'!$B$1:$L$257,10,FALSE))))</f>
        <v/>
      </c>
      <c r="J131" s="382" t="str">
        <f>IF(B131="","",IF(ISNA(VLOOKUP($B131,'B-1 On-Site Hedge Baseline'!$B$1:$L$257,11,FALSE)),"",(VLOOKUP($B131,'B-1 On-Site Hedge Baseline'!$B$1:$L$257,11,FALSE))))</f>
        <v/>
      </c>
      <c r="K131" s="382" t="str">
        <f>IF(B131="","",IF(ISNA(VLOOKUP($B131,'B-1 On-Site Hedge Baseline'!$B$1:$U$257,13,FALSE)),"",(VLOOKUP($B131,'B-1 On-Site Hedge Baseline'!$B$1:$U$257,13,FALSE))))</f>
        <v/>
      </c>
      <c r="L131" s="386" t="str">
        <f>IF(B131="","",IF(ISNA(VLOOKUP($B131,'B-1 On-Site Hedge Baseline'!$B$1:$U$257,12,FALSE)),"",(VLOOKUP($B131,'B-1 On-Site Hedge Baseline'!$B$1:$U$257,12,FALSE))))</f>
        <v/>
      </c>
      <c r="M131" s="315" t="str">
        <f t="shared" si="15"/>
        <v/>
      </c>
      <c r="N131" s="362" t="str">
        <f>IFERROR(IF(B131="","",INDEX('G-6 Hedgerow Data'!$AN$3:$AZ$15,MATCH(C131,'G-6 Hedgerow Data'!$AM$3:$AM$15,0),MATCH(M131,'G-6 Hedgerow Data'!$AN$2:$AZ$2,0))),"")</f>
        <v/>
      </c>
      <c r="O131" s="363" t="str">
        <f t="shared" si="10"/>
        <v/>
      </c>
      <c r="P131" s="417" t="str">
        <f>IF(B131="","",VLOOKUP(B131,'B-1 On-Site Hedge Baseline'!$B$10:T376,16,FALSE))</f>
        <v/>
      </c>
      <c r="Q131" s="362" t="str">
        <f>IF(M131="","",VLOOKUP(M131,'G-6 Hedgerow Data'!$B$2:$AG$15,2,FALSE))</f>
        <v/>
      </c>
      <c r="R131" s="363" t="str">
        <f>IF(M131="","",VLOOKUP(M131,'G-6 Hedgerow Data'!$B$2:$AG$15,3,FALSE))</f>
        <v/>
      </c>
      <c r="S131" s="125"/>
      <c r="T131" s="401" t="str">
        <f>IFERROR(VLOOKUP(S131,'G-1 All Habitats'!$Z$2:$AA$9,2,FALSE),"")</f>
        <v/>
      </c>
      <c r="U131" s="122"/>
      <c r="V131" s="382" t="str">
        <f>IF(U131="","",IF(VLOOKUP(U131,'G-3 Multipliers'!$L$3:$N$6,2,FALSE)=0,"Spatial Data Missing ⚠",VLOOKUP(U131,'G-3 Multipliers'!$L$3:$N$6,2,FALSE)))</f>
        <v/>
      </c>
      <c r="W131" s="386" t="str">
        <f>IF(U131="","",IF(VLOOKUP(U131,'G-3 Multipliers'!$L$3:$N$6,3,FALSE)=0,"Spatial Data Missing ⚠",VLOOKUP(U131,'G-3 Multipliers'!$L$3:$N$6,3,FALSE)))</f>
        <v/>
      </c>
      <c r="X131" s="362" t="str">
        <f>IFERROR(IF(OR(LEFT(O131,5)="Error",LEFT(N131,5)="Error",T131="Error"),"Check Data ⚠",IF(F131&lt;R131,INDEX('G-6 Hedgerow Data'!$S$3:$AE$14,MATCH(C131,'G-6 Hedgerow Data'!$B$3:$B$14,0),MATCH(M131,'G-6 Hedgerow Data'!$S$2:$AE$2,0)),INDEX('G-6 Hedgerow Data'!$K$3:$Q$14,MATCH(M131,'G-6 Hedgerow Data'!$B$3:$B$14,0),MATCH(O131,'G-6 Hedgerow Data'!$K$2:$Q$2,0)))),"")</f>
        <v/>
      </c>
      <c r="Y131" s="159"/>
      <c r="Z131" s="159"/>
      <c r="AA131" s="370" t="str">
        <f t="shared" si="11"/>
        <v/>
      </c>
      <c r="AB131" s="383" t="str">
        <f t="shared" si="12"/>
        <v/>
      </c>
      <c r="AC131" s="384" t="str">
        <f t="shared" si="8"/>
        <v/>
      </c>
      <c r="AD131" s="398" t="str">
        <f>IF(M131="","",VLOOKUP(M131,'G-6 Hedgerow Data'!$B$3:$AG$15,31,FALSE))</f>
        <v/>
      </c>
      <c r="AE131" s="370" t="str">
        <f t="shared" si="13"/>
        <v/>
      </c>
      <c r="AF131" s="370" t="str">
        <f t="shared" si="14"/>
        <v/>
      </c>
      <c r="AG131" s="386" t="str">
        <f>IFERROR(IF(O131="","",VLOOKUP(AD131,'G-3 Multipliers'!$P$3:$Q$6,2,FALSE)),"")</f>
        <v/>
      </c>
      <c r="AH131" s="376" t="str">
        <f t="shared" si="9"/>
        <v/>
      </c>
      <c r="AI131" s="188"/>
      <c r="AJ131" s="118"/>
      <c r="AK131" s="120"/>
      <c r="AT131" s="30" t="str">
        <f>IFERROR(INDEX('G-6 Hedgerow Data'!$BJ$3:$BJ$15,MATCH(M131,'G-6 Hedgerow Data'!$B$3:$B$15,0)),"")</f>
        <v/>
      </c>
    </row>
    <row r="132" spans="2:46" ht="15">
      <c r="B132" s="392" t="str">
        <f>'B-1 On-Site Hedge Baseline'!AK130</f>
        <v/>
      </c>
      <c r="C132" s="382" t="str">
        <f>IF(B132="","",IF(ISNA(VLOOKUP($B132,'B-1 On-Site Hedge Baseline'!$B$1:$L$257,3,FALSE)),"",(VLOOKUP($B132,'B-1 On-Site Hedge Baseline'!$B$1:$L$257,3,FALSE))))</f>
        <v/>
      </c>
      <c r="D132" s="382" t="str">
        <f>IF(B132="","",IF(ISNA(VLOOKUP($B132,'B-1 On-Site Hedge Baseline'!$B$1:$L$257,4,FALSE)),"",(VLOOKUP($B132,'B-1 On-Site Hedge Baseline'!$B$1:$L$257,4,FALSE))))</f>
        <v/>
      </c>
      <c r="E132" s="382" t="str">
        <f>IF(B132="","",IF(ISNA(VLOOKUP($B132,'B-1 On-Site Hedge Baseline'!$B$1:$L$257,5,FALSE)),"",(VLOOKUP($B132,'B-1 On-Site Hedge Baseline'!$B$1:$L$257,5,FALSE))))</f>
        <v/>
      </c>
      <c r="F132" s="382" t="str">
        <f>IF(B132="","",IF(ISNA(VLOOKUP($B132,'B-1 On-Site Hedge Baseline'!$B$1:$L$257,6,FALSE)),"",(VLOOKUP($B132,'B-1 On-Site Hedge Baseline'!$B$1:$L$257,6,FALSE))))</f>
        <v/>
      </c>
      <c r="G132" s="382" t="str">
        <f>IF(B132="","",IF(ISNA(VLOOKUP($B132,'B-1 On-Site Hedge Baseline'!$B$1:$L$257,7,FALSE)),"",(VLOOKUP($B132,'B-1 On-Site Hedge Baseline'!$B$1:$L$257,7,FALSE))))</f>
        <v/>
      </c>
      <c r="H132" s="382" t="str">
        <f>IF(B132="","",IF(ISNA(VLOOKUP($B132,'B-1 On-Site Hedge Baseline'!$B$1:$L$257,8,FALSE)),"",(VLOOKUP($B132,'B-1 On-Site Hedge Baseline'!$B$1:$L$257,8,FALSE))))</f>
        <v/>
      </c>
      <c r="I132" s="382" t="str">
        <f>IF(B132="","",IF(ISNA(VLOOKUP($B132,'B-1 On-Site Hedge Baseline'!$B$1:$L$257,10,FALSE)),"",(VLOOKUP($B132,'B-1 On-Site Hedge Baseline'!$B$1:$L$257,10,FALSE))))</f>
        <v/>
      </c>
      <c r="J132" s="382" t="str">
        <f>IF(B132="","",IF(ISNA(VLOOKUP($B132,'B-1 On-Site Hedge Baseline'!$B$1:$L$257,11,FALSE)),"",(VLOOKUP($B132,'B-1 On-Site Hedge Baseline'!$B$1:$L$257,11,FALSE))))</f>
        <v/>
      </c>
      <c r="K132" s="382" t="str">
        <f>IF(B132="","",IF(ISNA(VLOOKUP($B132,'B-1 On-Site Hedge Baseline'!$B$1:$U$257,13,FALSE)),"",(VLOOKUP($B132,'B-1 On-Site Hedge Baseline'!$B$1:$U$257,13,FALSE))))</f>
        <v/>
      </c>
      <c r="L132" s="386" t="str">
        <f>IF(B132="","",IF(ISNA(VLOOKUP($B132,'B-1 On-Site Hedge Baseline'!$B$1:$U$257,12,FALSE)),"",(VLOOKUP($B132,'B-1 On-Site Hedge Baseline'!$B$1:$U$257,12,FALSE))))</f>
        <v/>
      </c>
      <c r="M132" s="315" t="str">
        <f t="shared" si="15"/>
        <v/>
      </c>
      <c r="N132" s="362" t="str">
        <f>IFERROR(IF(B132="","",INDEX('G-6 Hedgerow Data'!$AN$3:$AZ$15,MATCH(C132,'G-6 Hedgerow Data'!$AM$3:$AM$15,0),MATCH(M132,'G-6 Hedgerow Data'!$AN$2:$AZ$2,0))),"")</f>
        <v/>
      </c>
      <c r="O132" s="363" t="str">
        <f t="shared" si="10"/>
        <v/>
      </c>
      <c r="P132" s="417" t="str">
        <f>IF(B132="","",VLOOKUP(B132,'B-1 On-Site Hedge Baseline'!$B$10:T377,16,FALSE))</f>
        <v/>
      </c>
      <c r="Q132" s="362" t="str">
        <f>IF(M132="","",VLOOKUP(M132,'G-6 Hedgerow Data'!$B$2:$AG$15,2,FALSE))</f>
        <v/>
      </c>
      <c r="R132" s="363" t="str">
        <f>IF(M132="","",VLOOKUP(M132,'G-6 Hedgerow Data'!$B$2:$AG$15,3,FALSE))</f>
        <v/>
      </c>
      <c r="S132" s="125"/>
      <c r="T132" s="401" t="str">
        <f>IFERROR(VLOOKUP(S132,'G-1 All Habitats'!$Z$2:$AA$9,2,FALSE),"")</f>
        <v/>
      </c>
      <c r="U132" s="122"/>
      <c r="V132" s="382" t="str">
        <f>IF(U132="","",IF(VLOOKUP(U132,'G-3 Multipliers'!$L$3:$N$6,2,FALSE)=0,"Spatial Data Missing ⚠",VLOOKUP(U132,'G-3 Multipliers'!$L$3:$N$6,2,FALSE)))</f>
        <v/>
      </c>
      <c r="W132" s="386" t="str">
        <f>IF(U132="","",IF(VLOOKUP(U132,'G-3 Multipliers'!$L$3:$N$6,3,FALSE)=0,"Spatial Data Missing ⚠",VLOOKUP(U132,'G-3 Multipliers'!$L$3:$N$6,3,FALSE)))</f>
        <v/>
      </c>
      <c r="X132" s="362" t="str">
        <f>IFERROR(IF(OR(LEFT(O132,5)="Error",LEFT(N132,5)="Error",T132="Error"),"Check Data ⚠",IF(F132&lt;R132,INDEX('G-6 Hedgerow Data'!$S$3:$AE$14,MATCH(C132,'G-6 Hedgerow Data'!$B$3:$B$14,0),MATCH(M132,'G-6 Hedgerow Data'!$S$2:$AE$2,0)),INDEX('G-6 Hedgerow Data'!$K$3:$Q$14,MATCH(M132,'G-6 Hedgerow Data'!$B$3:$B$14,0),MATCH(O132,'G-6 Hedgerow Data'!$K$2:$Q$2,0)))),"")</f>
        <v/>
      </c>
      <c r="Y132" s="159"/>
      <c r="Z132" s="159"/>
      <c r="AA132" s="370" t="str">
        <f t="shared" si="11"/>
        <v/>
      </c>
      <c r="AB132" s="383" t="str">
        <f t="shared" si="12"/>
        <v/>
      </c>
      <c r="AC132" s="384" t="str">
        <f t="shared" si="8"/>
        <v/>
      </c>
      <c r="AD132" s="398" t="str">
        <f>IF(M132="","",VLOOKUP(M132,'G-6 Hedgerow Data'!$B$3:$AG$15,31,FALSE))</f>
        <v/>
      </c>
      <c r="AE132" s="370" t="str">
        <f t="shared" si="13"/>
        <v/>
      </c>
      <c r="AF132" s="370" t="str">
        <f t="shared" si="14"/>
        <v/>
      </c>
      <c r="AG132" s="386" t="str">
        <f>IFERROR(IF(O132="","",VLOOKUP(AD132,'G-3 Multipliers'!$P$3:$Q$6,2,FALSE)),"")</f>
        <v/>
      </c>
      <c r="AH132" s="376" t="str">
        <f t="shared" si="9"/>
        <v/>
      </c>
      <c r="AI132" s="188"/>
      <c r="AJ132" s="118"/>
      <c r="AK132" s="120"/>
      <c r="AT132" s="30" t="str">
        <f>IFERROR(INDEX('G-6 Hedgerow Data'!$BJ$3:$BJ$15,MATCH(M132,'G-6 Hedgerow Data'!$B$3:$B$15,0)),"")</f>
        <v/>
      </c>
    </row>
    <row r="133" spans="2:46" ht="15">
      <c r="B133" s="392" t="str">
        <f>'B-1 On-Site Hedge Baseline'!AK131</f>
        <v/>
      </c>
      <c r="C133" s="382" t="str">
        <f>IF(B133="","",IF(ISNA(VLOOKUP($B133,'B-1 On-Site Hedge Baseline'!$B$1:$L$257,3,FALSE)),"",(VLOOKUP($B133,'B-1 On-Site Hedge Baseline'!$B$1:$L$257,3,FALSE))))</f>
        <v/>
      </c>
      <c r="D133" s="382" t="str">
        <f>IF(B133="","",IF(ISNA(VLOOKUP($B133,'B-1 On-Site Hedge Baseline'!$B$1:$L$257,4,FALSE)),"",(VLOOKUP($B133,'B-1 On-Site Hedge Baseline'!$B$1:$L$257,4,FALSE))))</f>
        <v/>
      </c>
      <c r="E133" s="382" t="str">
        <f>IF(B133="","",IF(ISNA(VLOOKUP($B133,'B-1 On-Site Hedge Baseline'!$B$1:$L$257,5,FALSE)),"",(VLOOKUP($B133,'B-1 On-Site Hedge Baseline'!$B$1:$L$257,5,FALSE))))</f>
        <v/>
      </c>
      <c r="F133" s="382" t="str">
        <f>IF(B133="","",IF(ISNA(VLOOKUP($B133,'B-1 On-Site Hedge Baseline'!$B$1:$L$257,6,FALSE)),"",(VLOOKUP($B133,'B-1 On-Site Hedge Baseline'!$B$1:$L$257,6,FALSE))))</f>
        <v/>
      </c>
      <c r="G133" s="382" t="str">
        <f>IF(B133="","",IF(ISNA(VLOOKUP($B133,'B-1 On-Site Hedge Baseline'!$B$1:$L$257,7,FALSE)),"",(VLOOKUP($B133,'B-1 On-Site Hedge Baseline'!$B$1:$L$257,7,FALSE))))</f>
        <v/>
      </c>
      <c r="H133" s="382" t="str">
        <f>IF(B133="","",IF(ISNA(VLOOKUP($B133,'B-1 On-Site Hedge Baseline'!$B$1:$L$257,8,FALSE)),"",(VLOOKUP($B133,'B-1 On-Site Hedge Baseline'!$B$1:$L$257,8,FALSE))))</f>
        <v/>
      </c>
      <c r="I133" s="382" t="str">
        <f>IF(B133="","",IF(ISNA(VLOOKUP($B133,'B-1 On-Site Hedge Baseline'!$B$1:$L$257,10,FALSE)),"",(VLOOKUP($B133,'B-1 On-Site Hedge Baseline'!$B$1:$L$257,10,FALSE))))</f>
        <v/>
      </c>
      <c r="J133" s="382" t="str">
        <f>IF(B133="","",IF(ISNA(VLOOKUP($B133,'B-1 On-Site Hedge Baseline'!$B$1:$L$257,11,FALSE)),"",(VLOOKUP($B133,'B-1 On-Site Hedge Baseline'!$B$1:$L$257,11,FALSE))))</f>
        <v/>
      </c>
      <c r="K133" s="382" t="str">
        <f>IF(B133="","",IF(ISNA(VLOOKUP($B133,'B-1 On-Site Hedge Baseline'!$B$1:$U$257,13,FALSE)),"",(VLOOKUP($B133,'B-1 On-Site Hedge Baseline'!$B$1:$U$257,13,FALSE))))</f>
        <v/>
      </c>
      <c r="L133" s="386" t="str">
        <f>IF(B133="","",IF(ISNA(VLOOKUP($B133,'B-1 On-Site Hedge Baseline'!$B$1:$U$257,12,FALSE)),"",(VLOOKUP($B133,'B-1 On-Site Hedge Baseline'!$B$1:$U$257,12,FALSE))))</f>
        <v/>
      </c>
      <c r="M133" s="315" t="str">
        <f t="shared" si="15"/>
        <v/>
      </c>
      <c r="N133" s="362" t="str">
        <f>IFERROR(IF(B133="","",INDEX('G-6 Hedgerow Data'!$AN$3:$AZ$15,MATCH(C133,'G-6 Hedgerow Data'!$AM$3:$AM$15,0),MATCH(M133,'G-6 Hedgerow Data'!$AN$2:$AZ$2,0))),"")</f>
        <v/>
      </c>
      <c r="O133" s="363" t="str">
        <f t="shared" si="10"/>
        <v/>
      </c>
      <c r="P133" s="417" t="str">
        <f>IF(B133="","",VLOOKUP(B133,'B-1 On-Site Hedge Baseline'!$B$10:T378,16,FALSE))</f>
        <v/>
      </c>
      <c r="Q133" s="362" t="str">
        <f>IF(M133="","",VLOOKUP(M133,'G-6 Hedgerow Data'!$B$2:$AG$15,2,FALSE))</f>
        <v/>
      </c>
      <c r="R133" s="363" t="str">
        <f>IF(M133="","",VLOOKUP(M133,'G-6 Hedgerow Data'!$B$2:$AG$15,3,FALSE))</f>
        <v/>
      </c>
      <c r="S133" s="125"/>
      <c r="T133" s="401" t="str">
        <f>IFERROR(VLOOKUP(S133,'G-1 All Habitats'!$Z$2:$AA$9,2,FALSE),"")</f>
        <v/>
      </c>
      <c r="U133" s="122"/>
      <c r="V133" s="382" t="str">
        <f>IF(U133="","",IF(VLOOKUP(U133,'G-3 Multipliers'!$L$3:$N$6,2,FALSE)=0,"Spatial Data Missing ⚠",VLOOKUP(U133,'G-3 Multipliers'!$L$3:$N$6,2,FALSE)))</f>
        <v/>
      </c>
      <c r="W133" s="386" t="str">
        <f>IF(U133="","",IF(VLOOKUP(U133,'G-3 Multipliers'!$L$3:$N$6,3,FALSE)=0,"Spatial Data Missing ⚠",VLOOKUP(U133,'G-3 Multipliers'!$L$3:$N$6,3,FALSE)))</f>
        <v/>
      </c>
      <c r="X133" s="362" t="str">
        <f>IFERROR(IF(OR(LEFT(O133,5)="Error",LEFT(N133,5)="Error",T133="Error"),"Check Data ⚠",IF(F133&lt;R133,INDEX('G-6 Hedgerow Data'!$S$3:$AE$14,MATCH(C133,'G-6 Hedgerow Data'!$B$3:$B$14,0),MATCH(M133,'G-6 Hedgerow Data'!$S$2:$AE$2,0)),INDEX('G-6 Hedgerow Data'!$K$3:$Q$14,MATCH(M133,'G-6 Hedgerow Data'!$B$3:$B$14,0),MATCH(O133,'G-6 Hedgerow Data'!$K$2:$Q$2,0)))),"")</f>
        <v/>
      </c>
      <c r="Y133" s="159"/>
      <c r="Z133" s="159"/>
      <c r="AA133" s="370" t="str">
        <f t="shared" si="11"/>
        <v/>
      </c>
      <c r="AB133" s="383" t="str">
        <f t="shared" si="12"/>
        <v/>
      </c>
      <c r="AC133" s="384" t="str">
        <f t="shared" si="8"/>
        <v/>
      </c>
      <c r="AD133" s="398" t="str">
        <f>IF(M133="","",VLOOKUP(M133,'G-6 Hedgerow Data'!$B$3:$AG$15,31,FALSE))</f>
        <v/>
      </c>
      <c r="AE133" s="370" t="str">
        <f t="shared" si="13"/>
        <v/>
      </c>
      <c r="AF133" s="370" t="str">
        <f t="shared" si="14"/>
        <v/>
      </c>
      <c r="AG133" s="386" t="str">
        <f>IFERROR(IF(O133="","",VLOOKUP(AD133,'G-3 Multipliers'!$P$3:$Q$6,2,FALSE)),"")</f>
        <v/>
      </c>
      <c r="AH133" s="376" t="str">
        <f t="shared" si="9"/>
        <v/>
      </c>
      <c r="AI133" s="188"/>
      <c r="AJ133" s="118"/>
      <c r="AK133" s="120"/>
      <c r="AT133" s="30" t="str">
        <f>IFERROR(INDEX('G-6 Hedgerow Data'!$BJ$3:$BJ$15,MATCH(M133,'G-6 Hedgerow Data'!$B$3:$B$15,0)),"")</f>
        <v/>
      </c>
    </row>
    <row r="134" spans="2:46" ht="15">
      <c r="B134" s="392" t="str">
        <f>'B-1 On-Site Hedge Baseline'!AK132</f>
        <v/>
      </c>
      <c r="C134" s="382" t="str">
        <f>IF(B134="","",IF(ISNA(VLOOKUP($B134,'B-1 On-Site Hedge Baseline'!$B$1:$L$257,3,FALSE)),"",(VLOOKUP($B134,'B-1 On-Site Hedge Baseline'!$B$1:$L$257,3,FALSE))))</f>
        <v/>
      </c>
      <c r="D134" s="382" t="str">
        <f>IF(B134="","",IF(ISNA(VLOOKUP($B134,'B-1 On-Site Hedge Baseline'!$B$1:$L$257,4,FALSE)),"",(VLOOKUP($B134,'B-1 On-Site Hedge Baseline'!$B$1:$L$257,4,FALSE))))</f>
        <v/>
      </c>
      <c r="E134" s="382" t="str">
        <f>IF(B134="","",IF(ISNA(VLOOKUP($B134,'B-1 On-Site Hedge Baseline'!$B$1:$L$257,5,FALSE)),"",(VLOOKUP($B134,'B-1 On-Site Hedge Baseline'!$B$1:$L$257,5,FALSE))))</f>
        <v/>
      </c>
      <c r="F134" s="382" t="str">
        <f>IF(B134="","",IF(ISNA(VLOOKUP($B134,'B-1 On-Site Hedge Baseline'!$B$1:$L$257,6,FALSE)),"",(VLOOKUP($B134,'B-1 On-Site Hedge Baseline'!$B$1:$L$257,6,FALSE))))</f>
        <v/>
      </c>
      <c r="G134" s="382" t="str">
        <f>IF(B134="","",IF(ISNA(VLOOKUP($B134,'B-1 On-Site Hedge Baseline'!$B$1:$L$257,7,FALSE)),"",(VLOOKUP($B134,'B-1 On-Site Hedge Baseline'!$B$1:$L$257,7,FALSE))))</f>
        <v/>
      </c>
      <c r="H134" s="382" t="str">
        <f>IF(B134="","",IF(ISNA(VLOOKUP($B134,'B-1 On-Site Hedge Baseline'!$B$1:$L$257,8,FALSE)),"",(VLOOKUP($B134,'B-1 On-Site Hedge Baseline'!$B$1:$L$257,8,FALSE))))</f>
        <v/>
      </c>
      <c r="I134" s="382" t="str">
        <f>IF(B134="","",IF(ISNA(VLOOKUP($B134,'B-1 On-Site Hedge Baseline'!$B$1:$L$257,10,FALSE)),"",(VLOOKUP($B134,'B-1 On-Site Hedge Baseline'!$B$1:$L$257,10,FALSE))))</f>
        <v/>
      </c>
      <c r="J134" s="382" t="str">
        <f>IF(B134="","",IF(ISNA(VLOOKUP($B134,'B-1 On-Site Hedge Baseline'!$B$1:$L$257,11,FALSE)),"",(VLOOKUP($B134,'B-1 On-Site Hedge Baseline'!$B$1:$L$257,11,FALSE))))</f>
        <v/>
      </c>
      <c r="K134" s="382" t="str">
        <f>IF(B134="","",IF(ISNA(VLOOKUP($B134,'B-1 On-Site Hedge Baseline'!$B$1:$U$257,13,FALSE)),"",(VLOOKUP($B134,'B-1 On-Site Hedge Baseline'!$B$1:$U$257,13,FALSE))))</f>
        <v/>
      </c>
      <c r="L134" s="386" t="str">
        <f>IF(B134="","",IF(ISNA(VLOOKUP($B134,'B-1 On-Site Hedge Baseline'!$B$1:$U$257,12,FALSE)),"",(VLOOKUP($B134,'B-1 On-Site Hedge Baseline'!$B$1:$U$257,12,FALSE))))</f>
        <v/>
      </c>
      <c r="M134" s="315" t="str">
        <f t="shared" si="15"/>
        <v/>
      </c>
      <c r="N134" s="362" t="str">
        <f>IFERROR(IF(B134="","",INDEX('G-6 Hedgerow Data'!$AN$3:$AZ$15,MATCH(C134,'G-6 Hedgerow Data'!$AM$3:$AM$15,0),MATCH(M134,'G-6 Hedgerow Data'!$AN$2:$AZ$2,0))),"")</f>
        <v/>
      </c>
      <c r="O134" s="363" t="str">
        <f t="shared" si="10"/>
        <v/>
      </c>
      <c r="P134" s="417" t="str">
        <f>IF(B134="","",VLOOKUP(B134,'B-1 On-Site Hedge Baseline'!$B$10:T379,16,FALSE))</f>
        <v/>
      </c>
      <c r="Q134" s="362" t="str">
        <f>IF(M134="","",VLOOKUP(M134,'G-6 Hedgerow Data'!$B$2:$AG$15,2,FALSE))</f>
        <v/>
      </c>
      <c r="R134" s="363" t="str">
        <f>IF(M134="","",VLOOKUP(M134,'G-6 Hedgerow Data'!$B$2:$AG$15,3,FALSE))</f>
        <v/>
      </c>
      <c r="S134" s="125"/>
      <c r="T134" s="401" t="str">
        <f>IFERROR(VLOOKUP(S134,'G-1 All Habitats'!$Z$2:$AA$9,2,FALSE),"")</f>
        <v/>
      </c>
      <c r="U134" s="122"/>
      <c r="V134" s="382" t="str">
        <f>IF(U134="","",IF(VLOOKUP(U134,'G-3 Multipliers'!$L$3:$N$6,2,FALSE)=0,"Spatial Data Missing ⚠",VLOOKUP(U134,'G-3 Multipliers'!$L$3:$N$6,2,FALSE)))</f>
        <v/>
      </c>
      <c r="W134" s="386" t="str">
        <f>IF(U134="","",IF(VLOOKUP(U134,'G-3 Multipliers'!$L$3:$N$6,3,FALSE)=0,"Spatial Data Missing ⚠",VLOOKUP(U134,'G-3 Multipliers'!$L$3:$N$6,3,FALSE)))</f>
        <v/>
      </c>
      <c r="X134" s="362" t="str">
        <f>IFERROR(IF(OR(LEFT(O134,5)="Error",LEFT(N134,5)="Error",T134="Error"),"Check Data ⚠",IF(F134&lt;R134,INDEX('G-6 Hedgerow Data'!$S$3:$AE$14,MATCH(C134,'G-6 Hedgerow Data'!$B$3:$B$14,0),MATCH(M134,'G-6 Hedgerow Data'!$S$2:$AE$2,0)),INDEX('G-6 Hedgerow Data'!$K$3:$Q$14,MATCH(M134,'G-6 Hedgerow Data'!$B$3:$B$14,0),MATCH(O134,'G-6 Hedgerow Data'!$K$2:$Q$2,0)))),"")</f>
        <v/>
      </c>
      <c r="Y134" s="159"/>
      <c r="Z134" s="159"/>
      <c r="AA134" s="370" t="str">
        <f t="shared" si="11"/>
        <v/>
      </c>
      <c r="AB134" s="383" t="str">
        <f t="shared" si="12"/>
        <v/>
      </c>
      <c r="AC134" s="384" t="str">
        <f t="shared" si="8"/>
        <v/>
      </c>
      <c r="AD134" s="398" t="str">
        <f>IF(M134="","",VLOOKUP(M134,'G-6 Hedgerow Data'!$B$3:$AG$15,31,FALSE))</f>
        <v/>
      </c>
      <c r="AE134" s="370" t="str">
        <f t="shared" si="13"/>
        <v/>
      </c>
      <c r="AF134" s="370" t="str">
        <f t="shared" si="14"/>
        <v/>
      </c>
      <c r="AG134" s="386" t="str">
        <f>IFERROR(IF(O134="","",VLOOKUP(AD134,'G-3 Multipliers'!$P$3:$Q$6,2,FALSE)),"")</f>
        <v/>
      </c>
      <c r="AH134" s="376" t="str">
        <f t="shared" si="9"/>
        <v/>
      </c>
      <c r="AI134" s="188"/>
      <c r="AJ134" s="118"/>
      <c r="AK134" s="120"/>
      <c r="AT134" s="30" t="str">
        <f>IFERROR(INDEX('G-6 Hedgerow Data'!$BJ$3:$BJ$15,MATCH(M134,'G-6 Hedgerow Data'!$B$3:$B$15,0)),"")</f>
        <v/>
      </c>
    </row>
    <row r="135" spans="2:46" ht="15">
      <c r="B135" s="392" t="str">
        <f>'B-1 On-Site Hedge Baseline'!AK133</f>
        <v/>
      </c>
      <c r="C135" s="382" t="str">
        <f>IF(B135="","",IF(ISNA(VLOOKUP($B135,'B-1 On-Site Hedge Baseline'!$B$1:$L$257,3,FALSE)),"",(VLOOKUP($B135,'B-1 On-Site Hedge Baseline'!$B$1:$L$257,3,FALSE))))</f>
        <v/>
      </c>
      <c r="D135" s="382" t="str">
        <f>IF(B135="","",IF(ISNA(VLOOKUP($B135,'B-1 On-Site Hedge Baseline'!$B$1:$L$257,4,FALSE)),"",(VLOOKUP($B135,'B-1 On-Site Hedge Baseline'!$B$1:$L$257,4,FALSE))))</f>
        <v/>
      </c>
      <c r="E135" s="382" t="str">
        <f>IF(B135="","",IF(ISNA(VLOOKUP($B135,'B-1 On-Site Hedge Baseline'!$B$1:$L$257,5,FALSE)),"",(VLOOKUP($B135,'B-1 On-Site Hedge Baseline'!$B$1:$L$257,5,FALSE))))</f>
        <v/>
      </c>
      <c r="F135" s="382" t="str">
        <f>IF(B135="","",IF(ISNA(VLOOKUP($B135,'B-1 On-Site Hedge Baseline'!$B$1:$L$257,6,FALSE)),"",(VLOOKUP($B135,'B-1 On-Site Hedge Baseline'!$B$1:$L$257,6,FALSE))))</f>
        <v/>
      </c>
      <c r="G135" s="382" t="str">
        <f>IF(B135="","",IF(ISNA(VLOOKUP($B135,'B-1 On-Site Hedge Baseline'!$B$1:$L$257,7,FALSE)),"",(VLOOKUP($B135,'B-1 On-Site Hedge Baseline'!$B$1:$L$257,7,FALSE))))</f>
        <v/>
      </c>
      <c r="H135" s="382" t="str">
        <f>IF(B135="","",IF(ISNA(VLOOKUP($B135,'B-1 On-Site Hedge Baseline'!$B$1:$L$257,8,FALSE)),"",(VLOOKUP($B135,'B-1 On-Site Hedge Baseline'!$B$1:$L$257,8,FALSE))))</f>
        <v/>
      </c>
      <c r="I135" s="382" t="str">
        <f>IF(B135="","",IF(ISNA(VLOOKUP($B135,'B-1 On-Site Hedge Baseline'!$B$1:$L$257,10,FALSE)),"",(VLOOKUP($B135,'B-1 On-Site Hedge Baseline'!$B$1:$L$257,10,FALSE))))</f>
        <v/>
      </c>
      <c r="J135" s="382" t="str">
        <f>IF(B135="","",IF(ISNA(VLOOKUP($B135,'B-1 On-Site Hedge Baseline'!$B$1:$L$257,11,FALSE)),"",(VLOOKUP($B135,'B-1 On-Site Hedge Baseline'!$B$1:$L$257,11,FALSE))))</f>
        <v/>
      </c>
      <c r="K135" s="382" t="str">
        <f>IF(B135="","",IF(ISNA(VLOOKUP($B135,'B-1 On-Site Hedge Baseline'!$B$1:$U$257,13,FALSE)),"",(VLOOKUP($B135,'B-1 On-Site Hedge Baseline'!$B$1:$U$257,13,FALSE))))</f>
        <v/>
      </c>
      <c r="L135" s="386" t="str">
        <f>IF(B135="","",IF(ISNA(VLOOKUP($B135,'B-1 On-Site Hedge Baseline'!$B$1:$U$257,12,FALSE)),"",(VLOOKUP($B135,'B-1 On-Site Hedge Baseline'!$B$1:$U$257,12,FALSE))))</f>
        <v/>
      </c>
      <c r="M135" s="315" t="str">
        <f t="shared" si="15"/>
        <v/>
      </c>
      <c r="N135" s="362" t="str">
        <f>IFERROR(IF(B135="","",INDEX('G-6 Hedgerow Data'!$AN$3:$AZ$15,MATCH(C135,'G-6 Hedgerow Data'!$AM$3:$AM$15,0),MATCH(M135,'G-6 Hedgerow Data'!$AN$2:$AZ$2,0))),"")</f>
        <v/>
      </c>
      <c r="O135" s="363" t="str">
        <f t="shared" si="10"/>
        <v/>
      </c>
      <c r="P135" s="417" t="str">
        <f>IF(B135="","",VLOOKUP(B135,'B-1 On-Site Hedge Baseline'!$B$10:T380,16,FALSE))</f>
        <v/>
      </c>
      <c r="Q135" s="362" t="str">
        <f>IF(M135="","",VLOOKUP(M135,'G-6 Hedgerow Data'!$B$2:$AG$15,2,FALSE))</f>
        <v/>
      </c>
      <c r="R135" s="363" t="str">
        <f>IF(M135="","",VLOOKUP(M135,'G-6 Hedgerow Data'!$B$2:$AG$15,3,FALSE))</f>
        <v/>
      </c>
      <c r="S135" s="125"/>
      <c r="T135" s="401" t="str">
        <f>IFERROR(VLOOKUP(S135,'G-1 All Habitats'!$Z$2:$AA$9,2,FALSE),"")</f>
        <v/>
      </c>
      <c r="U135" s="122"/>
      <c r="V135" s="382" t="str">
        <f>IF(U135="","",IF(VLOOKUP(U135,'G-3 Multipliers'!$L$3:$N$6,2,FALSE)=0,"Spatial Data Missing ⚠",VLOOKUP(U135,'G-3 Multipliers'!$L$3:$N$6,2,FALSE)))</f>
        <v/>
      </c>
      <c r="W135" s="386" t="str">
        <f>IF(U135="","",IF(VLOOKUP(U135,'G-3 Multipliers'!$L$3:$N$6,3,FALSE)=0,"Spatial Data Missing ⚠",VLOOKUP(U135,'G-3 Multipliers'!$L$3:$N$6,3,FALSE)))</f>
        <v/>
      </c>
      <c r="X135" s="362" t="str">
        <f>IFERROR(IF(OR(LEFT(O135,5)="Error",LEFT(N135,5)="Error",T135="Error"),"Check Data ⚠",IF(F135&lt;R135,INDEX('G-6 Hedgerow Data'!$S$3:$AE$14,MATCH(C135,'G-6 Hedgerow Data'!$B$3:$B$14,0),MATCH(M135,'G-6 Hedgerow Data'!$S$2:$AE$2,0)),INDEX('G-6 Hedgerow Data'!$K$3:$Q$14,MATCH(M135,'G-6 Hedgerow Data'!$B$3:$B$14,0),MATCH(O135,'G-6 Hedgerow Data'!$K$2:$Q$2,0)))),"")</f>
        <v/>
      </c>
      <c r="Y135" s="159"/>
      <c r="Z135" s="159"/>
      <c r="AA135" s="370" t="str">
        <f t="shared" si="11"/>
        <v/>
      </c>
      <c r="AB135" s="383" t="str">
        <f t="shared" si="12"/>
        <v/>
      </c>
      <c r="AC135" s="384" t="str">
        <f t="shared" si="8"/>
        <v/>
      </c>
      <c r="AD135" s="398" t="str">
        <f>IF(M135="","",VLOOKUP(M135,'G-6 Hedgerow Data'!$B$3:$AG$15,31,FALSE))</f>
        <v/>
      </c>
      <c r="AE135" s="370" t="str">
        <f t="shared" si="13"/>
        <v/>
      </c>
      <c r="AF135" s="370" t="str">
        <f t="shared" si="14"/>
        <v/>
      </c>
      <c r="AG135" s="386" t="str">
        <f>IFERROR(IF(O135="","",VLOOKUP(AD135,'G-3 Multipliers'!$P$3:$Q$6,2,FALSE)),"")</f>
        <v/>
      </c>
      <c r="AH135" s="376" t="str">
        <f t="shared" si="9"/>
        <v/>
      </c>
      <c r="AI135" s="188"/>
      <c r="AJ135" s="118"/>
      <c r="AK135" s="120"/>
      <c r="AT135" s="30" t="str">
        <f>IFERROR(INDEX('G-6 Hedgerow Data'!$BJ$3:$BJ$15,MATCH(M135,'G-6 Hedgerow Data'!$B$3:$B$15,0)),"")</f>
        <v/>
      </c>
    </row>
    <row r="136" spans="2:46" ht="15">
      <c r="B136" s="392" t="str">
        <f>'B-1 On-Site Hedge Baseline'!AK134</f>
        <v/>
      </c>
      <c r="C136" s="382" t="str">
        <f>IF(B136="","",IF(ISNA(VLOOKUP($B136,'B-1 On-Site Hedge Baseline'!$B$1:$L$257,3,FALSE)),"",(VLOOKUP($B136,'B-1 On-Site Hedge Baseline'!$B$1:$L$257,3,FALSE))))</f>
        <v/>
      </c>
      <c r="D136" s="382" t="str">
        <f>IF(B136="","",IF(ISNA(VLOOKUP($B136,'B-1 On-Site Hedge Baseline'!$B$1:$L$257,4,FALSE)),"",(VLOOKUP($B136,'B-1 On-Site Hedge Baseline'!$B$1:$L$257,4,FALSE))))</f>
        <v/>
      </c>
      <c r="E136" s="382" t="str">
        <f>IF(B136="","",IF(ISNA(VLOOKUP($B136,'B-1 On-Site Hedge Baseline'!$B$1:$L$257,5,FALSE)),"",(VLOOKUP($B136,'B-1 On-Site Hedge Baseline'!$B$1:$L$257,5,FALSE))))</f>
        <v/>
      </c>
      <c r="F136" s="382" t="str">
        <f>IF(B136="","",IF(ISNA(VLOOKUP($B136,'B-1 On-Site Hedge Baseline'!$B$1:$L$257,6,FALSE)),"",(VLOOKUP($B136,'B-1 On-Site Hedge Baseline'!$B$1:$L$257,6,FALSE))))</f>
        <v/>
      </c>
      <c r="G136" s="382" t="str">
        <f>IF(B136="","",IF(ISNA(VLOOKUP($B136,'B-1 On-Site Hedge Baseline'!$B$1:$L$257,7,FALSE)),"",(VLOOKUP($B136,'B-1 On-Site Hedge Baseline'!$B$1:$L$257,7,FALSE))))</f>
        <v/>
      </c>
      <c r="H136" s="382" t="str">
        <f>IF(B136="","",IF(ISNA(VLOOKUP($B136,'B-1 On-Site Hedge Baseline'!$B$1:$L$257,8,FALSE)),"",(VLOOKUP($B136,'B-1 On-Site Hedge Baseline'!$B$1:$L$257,8,FALSE))))</f>
        <v/>
      </c>
      <c r="I136" s="382" t="str">
        <f>IF(B136="","",IF(ISNA(VLOOKUP($B136,'B-1 On-Site Hedge Baseline'!$B$1:$L$257,10,FALSE)),"",(VLOOKUP($B136,'B-1 On-Site Hedge Baseline'!$B$1:$L$257,10,FALSE))))</f>
        <v/>
      </c>
      <c r="J136" s="382" t="str">
        <f>IF(B136="","",IF(ISNA(VLOOKUP($B136,'B-1 On-Site Hedge Baseline'!$B$1:$L$257,11,FALSE)),"",(VLOOKUP($B136,'B-1 On-Site Hedge Baseline'!$B$1:$L$257,11,FALSE))))</f>
        <v/>
      </c>
      <c r="K136" s="382" t="str">
        <f>IF(B136="","",IF(ISNA(VLOOKUP($B136,'B-1 On-Site Hedge Baseline'!$B$1:$U$257,13,FALSE)),"",(VLOOKUP($B136,'B-1 On-Site Hedge Baseline'!$B$1:$U$257,13,FALSE))))</f>
        <v/>
      </c>
      <c r="L136" s="386" t="str">
        <f>IF(B136="","",IF(ISNA(VLOOKUP($B136,'B-1 On-Site Hedge Baseline'!$B$1:$U$257,12,FALSE)),"",(VLOOKUP($B136,'B-1 On-Site Hedge Baseline'!$B$1:$U$257,12,FALSE))))</f>
        <v/>
      </c>
      <c r="M136" s="315" t="str">
        <f t="shared" si="15"/>
        <v/>
      </c>
      <c r="N136" s="362" t="str">
        <f>IFERROR(IF(B136="","",INDEX('G-6 Hedgerow Data'!$AN$3:$AZ$15,MATCH(C136,'G-6 Hedgerow Data'!$AM$3:$AM$15,0),MATCH(M136,'G-6 Hedgerow Data'!$AN$2:$AZ$2,0))),"")</f>
        <v/>
      </c>
      <c r="O136" s="363" t="str">
        <f t="shared" si="10"/>
        <v/>
      </c>
      <c r="P136" s="417" t="str">
        <f>IF(B136="","",VLOOKUP(B136,'B-1 On-Site Hedge Baseline'!$B$10:T381,16,FALSE))</f>
        <v/>
      </c>
      <c r="Q136" s="362" t="str">
        <f>IF(M136="","",VLOOKUP(M136,'G-6 Hedgerow Data'!$B$2:$AG$15,2,FALSE))</f>
        <v/>
      </c>
      <c r="R136" s="363" t="str">
        <f>IF(M136="","",VLOOKUP(M136,'G-6 Hedgerow Data'!$B$2:$AG$15,3,FALSE))</f>
        <v/>
      </c>
      <c r="S136" s="125"/>
      <c r="T136" s="401" t="str">
        <f>IFERROR(VLOOKUP(S136,'G-1 All Habitats'!$Z$2:$AA$9,2,FALSE),"")</f>
        <v/>
      </c>
      <c r="U136" s="122"/>
      <c r="V136" s="382" t="str">
        <f>IF(U136="","",IF(VLOOKUP(U136,'G-3 Multipliers'!$L$3:$N$6,2,FALSE)=0,"Spatial Data Missing ⚠",VLOOKUP(U136,'G-3 Multipliers'!$L$3:$N$6,2,FALSE)))</f>
        <v/>
      </c>
      <c r="W136" s="386" t="str">
        <f>IF(U136="","",IF(VLOOKUP(U136,'G-3 Multipliers'!$L$3:$N$6,3,FALSE)=0,"Spatial Data Missing ⚠",VLOOKUP(U136,'G-3 Multipliers'!$L$3:$N$6,3,FALSE)))</f>
        <v/>
      </c>
      <c r="X136" s="362" t="str">
        <f>IFERROR(IF(OR(LEFT(O136,5)="Error",LEFT(N136,5)="Error",T136="Error"),"Check Data ⚠",IF(F136&lt;R136,INDEX('G-6 Hedgerow Data'!$S$3:$AE$14,MATCH(C136,'G-6 Hedgerow Data'!$B$3:$B$14,0),MATCH(M136,'G-6 Hedgerow Data'!$S$2:$AE$2,0)),INDEX('G-6 Hedgerow Data'!$K$3:$Q$14,MATCH(M136,'G-6 Hedgerow Data'!$B$3:$B$14,0),MATCH(O136,'G-6 Hedgerow Data'!$K$2:$Q$2,0)))),"")</f>
        <v/>
      </c>
      <c r="Y136" s="159"/>
      <c r="Z136" s="159"/>
      <c r="AA136" s="370" t="str">
        <f t="shared" si="11"/>
        <v/>
      </c>
      <c r="AB136" s="383" t="str">
        <f t="shared" si="12"/>
        <v/>
      </c>
      <c r="AC136" s="384" t="str">
        <f t="shared" si="8"/>
        <v/>
      </c>
      <c r="AD136" s="398" t="str">
        <f>IF(M136="","",VLOOKUP(M136,'G-6 Hedgerow Data'!$B$3:$AG$15,31,FALSE))</f>
        <v/>
      </c>
      <c r="AE136" s="370" t="str">
        <f t="shared" si="13"/>
        <v/>
      </c>
      <c r="AF136" s="370" t="str">
        <f t="shared" si="14"/>
        <v/>
      </c>
      <c r="AG136" s="386" t="str">
        <f>IFERROR(IF(O136="","",VLOOKUP(AD136,'G-3 Multipliers'!$P$3:$Q$6,2,FALSE)),"")</f>
        <v/>
      </c>
      <c r="AH136" s="376" t="str">
        <f t="shared" si="9"/>
        <v/>
      </c>
      <c r="AI136" s="188"/>
      <c r="AJ136" s="118"/>
      <c r="AK136" s="120"/>
      <c r="AT136" s="30" t="str">
        <f>IFERROR(INDEX('G-6 Hedgerow Data'!$BJ$3:$BJ$15,MATCH(M136,'G-6 Hedgerow Data'!$B$3:$B$15,0)),"")</f>
        <v/>
      </c>
    </row>
    <row r="137" spans="2:46" ht="15">
      <c r="B137" s="392" t="str">
        <f>'B-1 On-Site Hedge Baseline'!AK135</f>
        <v/>
      </c>
      <c r="C137" s="382" t="str">
        <f>IF(B137="","",IF(ISNA(VLOOKUP($B137,'B-1 On-Site Hedge Baseline'!$B$1:$L$257,3,FALSE)),"",(VLOOKUP($B137,'B-1 On-Site Hedge Baseline'!$B$1:$L$257,3,FALSE))))</f>
        <v/>
      </c>
      <c r="D137" s="382" t="str">
        <f>IF(B137="","",IF(ISNA(VLOOKUP($B137,'B-1 On-Site Hedge Baseline'!$B$1:$L$257,4,FALSE)),"",(VLOOKUP($B137,'B-1 On-Site Hedge Baseline'!$B$1:$L$257,4,FALSE))))</f>
        <v/>
      </c>
      <c r="E137" s="382" t="str">
        <f>IF(B137="","",IF(ISNA(VLOOKUP($B137,'B-1 On-Site Hedge Baseline'!$B$1:$L$257,5,FALSE)),"",(VLOOKUP($B137,'B-1 On-Site Hedge Baseline'!$B$1:$L$257,5,FALSE))))</f>
        <v/>
      </c>
      <c r="F137" s="382" t="str">
        <f>IF(B137="","",IF(ISNA(VLOOKUP($B137,'B-1 On-Site Hedge Baseline'!$B$1:$L$257,6,FALSE)),"",(VLOOKUP($B137,'B-1 On-Site Hedge Baseline'!$B$1:$L$257,6,FALSE))))</f>
        <v/>
      </c>
      <c r="G137" s="382" t="str">
        <f>IF(B137="","",IF(ISNA(VLOOKUP($B137,'B-1 On-Site Hedge Baseline'!$B$1:$L$257,7,FALSE)),"",(VLOOKUP($B137,'B-1 On-Site Hedge Baseline'!$B$1:$L$257,7,FALSE))))</f>
        <v/>
      </c>
      <c r="H137" s="382" t="str">
        <f>IF(B137="","",IF(ISNA(VLOOKUP($B137,'B-1 On-Site Hedge Baseline'!$B$1:$L$257,8,FALSE)),"",(VLOOKUP($B137,'B-1 On-Site Hedge Baseline'!$B$1:$L$257,8,FALSE))))</f>
        <v/>
      </c>
      <c r="I137" s="382" t="str">
        <f>IF(B137="","",IF(ISNA(VLOOKUP($B137,'B-1 On-Site Hedge Baseline'!$B$1:$L$257,10,FALSE)),"",(VLOOKUP($B137,'B-1 On-Site Hedge Baseline'!$B$1:$L$257,10,FALSE))))</f>
        <v/>
      </c>
      <c r="J137" s="382" t="str">
        <f>IF(B137="","",IF(ISNA(VLOOKUP($B137,'B-1 On-Site Hedge Baseline'!$B$1:$L$257,11,FALSE)),"",(VLOOKUP($B137,'B-1 On-Site Hedge Baseline'!$B$1:$L$257,11,FALSE))))</f>
        <v/>
      </c>
      <c r="K137" s="382" t="str">
        <f>IF(B137="","",IF(ISNA(VLOOKUP($B137,'B-1 On-Site Hedge Baseline'!$B$1:$U$257,13,FALSE)),"",(VLOOKUP($B137,'B-1 On-Site Hedge Baseline'!$B$1:$U$257,13,FALSE))))</f>
        <v/>
      </c>
      <c r="L137" s="386" t="str">
        <f>IF(B137="","",IF(ISNA(VLOOKUP($B137,'B-1 On-Site Hedge Baseline'!$B$1:$U$257,12,FALSE)),"",(VLOOKUP($B137,'B-1 On-Site Hedge Baseline'!$B$1:$U$257,12,FALSE))))</f>
        <v/>
      </c>
      <c r="M137" s="315" t="str">
        <f t="shared" si="15"/>
        <v/>
      </c>
      <c r="N137" s="362" t="str">
        <f>IFERROR(IF(B137="","",INDEX('G-6 Hedgerow Data'!$AN$3:$AZ$15,MATCH(C137,'G-6 Hedgerow Data'!$AM$3:$AM$15,0),MATCH(M137,'G-6 Hedgerow Data'!$AN$2:$AZ$2,0))),"")</f>
        <v/>
      </c>
      <c r="O137" s="363" t="str">
        <f t="shared" si="10"/>
        <v/>
      </c>
      <c r="P137" s="417" t="str">
        <f>IF(B137="","",VLOOKUP(B137,'B-1 On-Site Hedge Baseline'!$B$10:T382,16,FALSE))</f>
        <v/>
      </c>
      <c r="Q137" s="362" t="str">
        <f>IF(M137="","",VLOOKUP(M137,'G-6 Hedgerow Data'!$B$2:$AG$15,2,FALSE))</f>
        <v/>
      </c>
      <c r="R137" s="363" t="str">
        <f>IF(M137="","",VLOOKUP(M137,'G-6 Hedgerow Data'!$B$2:$AG$15,3,FALSE))</f>
        <v/>
      </c>
      <c r="S137" s="125"/>
      <c r="T137" s="401" t="str">
        <f>IFERROR(VLOOKUP(S137,'G-1 All Habitats'!$Z$2:$AA$9,2,FALSE),"")</f>
        <v/>
      </c>
      <c r="U137" s="122"/>
      <c r="V137" s="382" t="str">
        <f>IF(U137="","",IF(VLOOKUP(U137,'G-3 Multipliers'!$L$3:$N$6,2,FALSE)=0,"Spatial Data Missing ⚠",VLOOKUP(U137,'G-3 Multipliers'!$L$3:$N$6,2,FALSE)))</f>
        <v/>
      </c>
      <c r="W137" s="386" t="str">
        <f>IF(U137="","",IF(VLOOKUP(U137,'G-3 Multipliers'!$L$3:$N$6,3,FALSE)=0,"Spatial Data Missing ⚠",VLOOKUP(U137,'G-3 Multipliers'!$L$3:$N$6,3,FALSE)))</f>
        <v/>
      </c>
      <c r="X137" s="362" t="str">
        <f>IFERROR(IF(OR(LEFT(O137,5)="Error",LEFT(N137,5)="Error",T137="Error"),"Check Data ⚠",IF(F137&lt;R137,INDEX('G-6 Hedgerow Data'!$S$3:$AE$14,MATCH(C137,'G-6 Hedgerow Data'!$B$3:$B$14,0),MATCH(M137,'G-6 Hedgerow Data'!$S$2:$AE$2,0)),INDEX('G-6 Hedgerow Data'!$K$3:$Q$14,MATCH(M137,'G-6 Hedgerow Data'!$B$3:$B$14,0),MATCH(O137,'G-6 Hedgerow Data'!$K$2:$Q$2,0)))),"")</f>
        <v/>
      </c>
      <c r="Y137" s="159"/>
      <c r="Z137" s="159"/>
      <c r="AA137" s="370" t="str">
        <f t="shared" si="11"/>
        <v/>
      </c>
      <c r="AB137" s="383" t="str">
        <f t="shared" si="12"/>
        <v/>
      </c>
      <c r="AC137" s="384" t="str">
        <f t="shared" si="8"/>
        <v/>
      </c>
      <c r="AD137" s="398" t="str">
        <f>IF(M137="","",VLOOKUP(M137,'G-6 Hedgerow Data'!$B$3:$AG$15,31,FALSE))</f>
        <v/>
      </c>
      <c r="AE137" s="370" t="str">
        <f t="shared" si="13"/>
        <v/>
      </c>
      <c r="AF137" s="370" t="str">
        <f t="shared" si="14"/>
        <v/>
      </c>
      <c r="AG137" s="386" t="str">
        <f>IFERROR(IF(O137="","",VLOOKUP(AD137,'G-3 Multipliers'!$P$3:$Q$6,2,FALSE)),"")</f>
        <v/>
      </c>
      <c r="AH137" s="376" t="str">
        <f t="shared" si="9"/>
        <v/>
      </c>
      <c r="AI137" s="188"/>
      <c r="AJ137" s="118"/>
      <c r="AK137" s="120"/>
      <c r="AT137" s="30" t="str">
        <f>IFERROR(INDEX('G-6 Hedgerow Data'!$BJ$3:$BJ$15,MATCH(M137,'G-6 Hedgerow Data'!$B$3:$B$15,0)),"")</f>
        <v/>
      </c>
    </row>
    <row r="138" spans="2:46" ht="15">
      <c r="B138" s="392" t="str">
        <f>'B-1 On-Site Hedge Baseline'!AK136</f>
        <v/>
      </c>
      <c r="C138" s="382" t="str">
        <f>IF(B138="","",IF(ISNA(VLOOKUP($B138,'B-1 On-Site Hedge Baseline'!$B$1:$L$257,3,FALSE)),"",(VLOOKUP($B138,'B-1 On-Site Hedge Baseline'!$B$1:$L$257,3,FALSE))))</f>
        <v/>
      </c>
      <c r="D138" s="382" t="str">
        <f>IF(B138="","",IF(ISNA(VLOOKUP($B138,'B-1 On-Site Hedge Baseline'!$B$1:$L$257,4,FALSE)),"",(VLOOKUP($B138,'B-1 On-Site Hedge Baseline'!$B$1:$L$257,4,FALSE))))</f>
        <v/>
      </c>
      <c r="E138" s="382" t="str">
        <f>IF(B138="","",IF(ISNA(VLOOKUP($B138,'B-1 On-Site Hedge Baseline'!$B$1:$L$257,5,FALSE)),"",(VLOOKUP($B138,'B-1 On-Site Hedge Baseline'!$B$1:$L$257,5,FALSE))))</f>
        <v/>
      </c>
      <c r="F138" s="382" t="str">
        <f>IF(B138="","",IF(ISNA(VLOOKUP($B138,'B-1 On-Site Hedge Baseline'!$B$1:$L$257,6,FALSE)),"",(VLOOKUP($B138,'B-1 On-Site Hedge Baseline'!$B$1:$L$257,6,FALSE))))</f>
        <v/>
      </c>
      <c r="G138" s="382" t="str">
        <f>IF(B138="","",IF(ISNA(VLOOKUP($B138,'B-1 On-Site Hedge Baseline'!$B$1:$L$257,7,FALSE)),"",(VLOOKUP($B138,'B-1 On-Site Hedge Baseline'!$B$1:$L$257,7,FALSE))))</f>
        <v/>
      </c>
      <c r="H138" s="382" t="str">
        <f>IF(B138="","",IF(ISNA(VLOOKUP($B138,'B-1 On-Site Hedge Baseline'!$B$1:$L$257,8,FALSE)),"",(VLOOKUP($B138,'B-1 On-Site Hedge Baseline'!$B$1:$L$257,8,FALSE))))</f>
        <v/>
      </c>
      <c r="I138" s="382" t="str">
        <f>IF(B138="","",IF(ISNA(VLOOKUP($B138,'B-1 On-Site Hedge Baseline'!$B$1:$L$257,10,FALSE)),"",(VLOOKUP($B138,'B-1 On-Site Hedge Baseline'!$B$1:$L$257,10,FALSE))))</f>
        <v/>
      </c>
      <c r="J138" s="382" t="str">
        <f>IF(B138="","",IF(ISNA(VLOOKUP($B138,'B-1 On-Site Hedge Baseline'!$B$1:$L$257,11,FALSE)),"",(VLOOKUP($B138,'B-1 On-Site Hedge Baseline'!$B$1:$L$257,11,FALSE))))</f>
        <v/>
      </c>
      <c r="K138" s="382" t="str">
        <f>IF(B138="","",IF(ISNA(VLOOKUP($B138,'B-1 On-Site Hedge Baseline'!$B$1:$U$257,13,FALSE)),"",(VLOOKUP($B138,'B-1 On-Site Hedge Baseline'!$B$1:$U$257,13,FALSE))))</f>
        <v/>
      </c>
      <c r="L138" s="386" t="str">
        <f>IF(B138="","",IF(ISNA(VLOOKUP($B138,'B-1 On-Site Hedge Baseline'!$B$1:$U$257,12,FALSE)),"",(VLOOKUP($B138,'B-1 On-Site Hedge Baseline'!$B$1:$U$257,12,FALSE))))</f>
        <v/>
      </c>
      <c r="M138" s="315" t="str">
        <f t="shared" si="15"/>
        <v/>
      </c>
      <c r="N138" s="362" t="str">
        <f>IFERROR(IF(B138="","",INDEX('G-6 Hedgerow Data'!$AN$3:$AZ$15,MATCH(C138,'G-6 Hedgerow Data'!$AM$3:$AM$15,0),MATCH(M138,'G-6 Hedgerow Data'!$AN$2:$AZ$2,0))),"")</f>
        <v/>
      </c>
      <c r="O138" s="363" t="str">
        <f t="shared" si="10"/>
        <v/>
      </c>
      <c r="P138" s="417" t="str">
        <f>IF(B138="","",VLOOKUP(B138,'B-1 On-Site Hedge Baseline'!$B$10:T383,16,FALSE))</f>
        <v/>
      </c>
      <c r="Q138" s="362" t="str">
        <f>IF(M138="","",VLOOKUP(M138,'G-6 Hedgerow Data'!$B$2:$AG$15,2,FALSE))</f>
        <v/>
      </c>
      <c r="R138" s="363" t="str">
        <f>IF(M138="","",VLOOKUP(M138,'G-6 Hedgerow Data'!$B$2:$AG$15,3,FALSE))</f>
        <v/>
      </c>
      <c r="S138" s="125"/>
      <c r="T138" s="401" t="str">
        <f>IFERROR(VLOOKUP(S138,'G-1 All Habitats'!$Z$2:$AA$9,2,FALSE),"")</f>
        <v/>
      </c>
      <c r="U138" s="122"/>
      <c r="V138" s="382" t="str">
        <f>IF(U138="","",IF(VLOOKUP(U138,'G-3 Multipliers'!$L$3:$N$6,2,FALSE)=0,"Spatial Data Missing ⚠",VLOOKUP(U138,'G-3 Multipliers'!$L$3:$N$6,2,FALSE)))</f>
        <v/>
      </c>
      <c r="W138" s="386" t="str">
        <f>IF(U138="","",IF(VLOOKUP(U138,'G-3 Multipliers'!$L$3:$N$6,3,FALSE)=0,"Spatial Data Missing ⚠",VLOOKUP(U138,'G-3 Multipliers'!$L$3:$N$6,3,FALSE)))</f>
        <v/>
      </c>
      <c r="X138" s="362" t="str">
        <f>IFERROR(IF(OR(LEFT(O138,5)="Error",LEFT(N138,5)="Error",T138="Error"),"Check Data ⚠",IF(F138&lt;R138,INDEX('G-6 Hedgerow Data'!$S$3:$AE$14,MATCH(C138,'G-6 Hedgerow Data'!$B$3:$B$14,0),MATCH(M138,'G-6 Hedgerow Data'!$S$2:$AE$2,0)),INDEX('G-6 Hedgerow Data'!$K$3:$Q$14,MATCH(M138,'G-6 Hedgerow Data'!$B$3:$B$14,0),MATCH(O138,'G-6 Hedgerow Data'!$K$2:$Q$2,0)))),"")</f>
        <v/>
      </c>
      <c r="Y138" s="159"/>
      <c r="Z138" s="159"/>
      <c r="AA138" s="370" t="str">
        <f t="shared" si="11"/>
        <v/>
      </c>
      <c r="AB138" s="383" t="str">
        <f t="shared" si="12"/>
        <v/>
      </c>
      <c r="AC138" s="384" t="str">
        <f t="shared" si="8"/>
        <v/>
      </c>
      <c r="AD138" s="398" t="str">
        <f>IF(M138="","",VLOOKUP(M138,'G-6 Hedgerow Data'!$B$3:$AG$15,31,FALSE))</f>
        <v/>
      </c>
      <c r="AE138" s="370" t="str">
        <f t="shared" si="13"/>
        <v/>
      </c>
      <c r="AF138" s="370" t="str">
        <f t="shared" si="14"/>
        <v/>
      </c>
      <c r="AG138" s="386" t="str">
        <f>IFERROR(IF(O138="","",VLOOKUP(AD138,'G-3 Multipliers'!$P$3:$Q$6,2,FALSE)),"")</f>
        <v/>
      </c>
      <c r="AH138" s="376" t="str">
        <f t="shared" si="9"/>
        <v/>
      </c>
      <c r="AI138" s="188"/>
      <c r="AJ138" s="118"/>
      <c r="AK138" s="120"/>
      <c r="AT138" s="30" t="str">
        <f>IFERROR(INDEX('G-6 Hedgerow Data'!$BJ$3:$BJ$15,MATCH(M138,'G-6 Hedgerow Data'!$B$3:$B$15,0)),"")</f>
        <v/>
      </c>
    </row>
    <row r="139" spans="2:46" ht="15">
      <c r="B139" s="392" t="str">
        <f>'B-1 On-Site Hedge Baseline'!AK137</f>
        <v/>
      </c>
      <c r="C139" s="382" t="str">
        <f>IF(B139="","",IF(ISNA(VLOOKUP($B139,'B-1 On-Site Hedge Baseline'!$B$1:$L$257,3,FALSE)),"",(VLOOKUP($B139,'B-1 On-Site Hedge Baseline'!$B$1:$L$257,3,FALSE))))</f>
        <v/>
      </c>
      <c r="D139" s="382" t="str">
        <f>IF(B139="","",IF(ISNA(VLOOKUP($B139,'B-1 On-Site Hedge Baseline'!$B$1:$L$257,4,FALSE)),"",(VLOOKUP($B139,'B-1 On-Site Hedge Baseline'!$B$1:$L$257,4,FALSE))))</f>
        <v/>
      </c>
      <c r="E139" s="382" t="str">
        <f>IF(B139="","",IF(ISNA(VLOOKUP($B139,'B-1 On-Site Hedge Baseline'!$B$1:$L$257,5,FALSE)),"",(VLOOKUP($B139,'B-1 On-Site Hedge Baseline'!$B$1:$L$257,5,FALSE))))</f>
        <v/>
      </c>
      <c r="F139" s="382" t="str">
        <f>IF(B139="","",IF(ISNA(VLOOKUP($B139,'B-1 On-Site Hedge Baseline'!$B$1:$L$257,6,FALSE)),"",(VLOOKUP($B139,'B-1 On-Site Hedge Baseline'!$B$1:$L$257,6,FALSE))))</f>
        <v/>
      </c>
      <c r="G139" s="382" t="str">
        <f>IF(B139="","",IF(ISNA(VLOOKUP($B139,'B-1 On-Site Hedge Baseline'!$B$1:$L$257,7,FALSE)),"",(VLOOKUP($B139,'B-1 On-Site Hedge Baseline'!$B$1:$L$257,7,FALSE))))</f>
        <v/>
      </c>
      <c r="H139" s="382" t="str">
        <f>IF(B139="","",IF(ISNA(VLOOKUP($B139,'B-1 On-Site Hedge Baseline'!$B$1:$L$257,8,FALSE)),"",(VLOOKUP($B139,'B-1 On-Site Hedge Baseline'!$B$1:$L$257,8,FALSE))))</f>
        <v/>
      </c>
      <c r="I139" s="382" t="str">
        <f>IF(B139="","",IF(ISNA(VLOOKUP($B139,'B-1 On-Site Hedge Baseline'!$B$1:$L$257,10,FALSE)),"",(VLOOKUP($B139,'B-1 On-Site Hedge Baseline'!$B$1:$L$257,10,FALSE))))</f>
        <v/>
      </c>
      <c r="J139" s="382" t="str">
        <f>IF(B139="","",IF(ISNA(VLOOKUP($B139,'B-1 On-Site Hedge Baseline'!$B$1:$L$257,11,FALSE)),"",(VLOOKUP($B139,'B-1 On-Site Hedge Baseline'!$B$1:$L$257,11,FALSE))))</f>
        <v/>
      </c>
      <c r="K139" s="382" t="str">
        <f>IF(B139="","",IF(ISNA(VLOOKUP($B139,'B-1 On-Site Hedge Baseline'!$B$1:$U$257,13,FALSE)),"",(VLOOKUP($B139,'B-1 On-Site Hedge Baseline'!$B$1:$U$257,13,FALSE))))</f>
        <v/>
      </c>
      <c r="L139" s="386" t="str">
        <f>IF(B139="","",IF(ISNA(VLOOKUP($B139,'B-1 On-Site Hedge Baseline'!$B$1:$U$257,12,FALSE)),"",(VLOOKUP($B139,'B-1 On-Site Hedge Baseline'!$B$1:$U$257,12,FALSE))))</f>
        <v/>
      </c>
      <c r="M139" s="315" t="str">
        <f t="shared" si="15"/>
        <v/>
      </c>
      <c r="N139" s="362" t="str">
        <f>IFERROR(IF(B139="","",INDEX('G-6 Hedgerow Data'!$AN$3:$AZ$15,MATCH(C139,'G-6 Hedgerow Data'!$AM$3:$AM$15,0),MATCH(M139,'G-6 Hedgerow Data'!$AN$2:$AZ$2,0))),"")</f>
        <v/>
      </c>
      <c r="O139" s="363" t="str">
        <f t="shared" si="10"/>
        <v/>
      </c>
      <c r="P139" s="417" t="str">
        <f>IF(B139="","",VLOOKUP(B139,'B-1 On-Site Hedge Baseline'!$B$10:T384,16,FALSE))</f>
        <v/>
      </c>
      <c r="Q139" s="362" t="str">
        <f>IF(M139="","",VLOOKUP(M139,'G-6 Hedgerow Data'!$B$2:$AG$15,2,FALSE))</f>
        <v/>
      </c>
      <c r="R139" s="363" t="str">
        <f>IF(M139="","",VLOOKUP(M139,'G-6 Hedgerow Data'!$B$2:$AG$15,3,FALSE))</f>
        <v/>
      </c>
      <c r="S139" s="125"/>
      <c r="T139" s="401" t="str">
        <f>IFERROR(VLOOKUP(S139,'G-1 All Habitats'!$Z$2:$AA$9,2,FALSE),"")</f>
        <v/>
      </c>
      <c r="U139" s="122"/>
      <c r="V139" s="382" t="str">
        <f>IF(U139="","",IF(VLOOKUP(U139,'G-3 Multipliers'!$L$3:$N$6,2,FALSE)=0,"Spatial Data Missing ⚠",VLOOKUP(U139,'G-3 Multipliers'!$L$3:$N$6,2,FALSE)))</f>
        <v/>
      </c>
      <c r="W139" s="386" t="str">
        <f>IF(U139="","",IF(VLOOKUP(U139,'G-3 Multipliers'!$L$3:$N$6,3,FALSE)=0,"Spatial Data Missing ⚠",VLOOKUP(U139,'G-3 Multipliers'!$L$3:$N$6,3,FALSE)))</f>
        <v/>
      </c>
      <c r="X139" s="362" t="str">
        <f>IFERROR(IF(OR(LEFT(O139,5)="Error",LEFT(N139,5)="Error",T139="Error"),"Check Data ⚠",IF(F139&lt;R139,INDEX('G-6 Hedgerow Data'!$S$3:$AE$14,MATCH(C139,'G-6 Hedgerow Data'!$B$3:$B$14,0),MATCH(M139,'G-6 Hedgerow Data'!$S$2:$AE$2,0)),INDEX('G-6 Hedgerow Data'!$K$3:$Q$14,MATCH(M139,'G-6 Hedgerow Data'!$B$3:$B$14,0),MATCH(O139,'G-6 Hedgerow Data'!$K$2:$Q$2,0)))),"")</f>
        <v/>
      </c>
      <c r="Y139" s="159"/>
      <c r="Z139" s="159"/>
      <c r="AA139" s="370" t="str">
        <f t="shared" si="11"/>
        <v/>
      </c>
      <c r="AB139" s="383" t="str">
        <f t="shared" si="12"/>
        <v/>
      </c>
      <c r="AC139" s="384" t="str">
        <f t="shared" si="8"/>
        <v/>
      </c>
      <c r="AD139" s="398" t="str">
        <f>IF(M139="","",VLOOKUP(M139,'G-6 Hedgerow Data'!$B$3:$AG$15,31,FALSE))</f>
        <v/>
      </c>
      <c r="AE139" s="370" t="str">
        <f t="shared" si="13"/>
        <v/>
      </c>
      <c r="AF139" s="370" t="str">
        <f t="shared" si="14"/>
        <v/>
      </c>
      <c r="AG139" s="386" t="str">
        <f>IFERROR(IF(O139="","",VLOOKUP(AD139,'G-3 Multipliers'!$P$3:$Q$6,2,FALSE)),"")</f>
        <v/>
      </c>
      <c r="AH139" s="376" t="str">
        <f t="shared" si="9"/>
        <v/>
      </c>
      <c r="AI139" s="188"/>
      <c r="AJ139" s="118"/>
      <c r="AK139" s="120"/>
      <c r="AT139" s="30" t="str">
        <f>IFERROR(INDEX('G-6 Hedgerow Data'!$BJ$3:$BJ$15,MATCH(M139,'G-6 Hedgerow Data'!$B$3:$B$15,0)),"")</f>
        <v/>
      </c>
    </row>
    <row r="140" spans="2:46" ht="15">
      <c r="B140" s="392" t="str">
        <f>'B-1 On-Site Hedge Baseline'!AK138</f>
        <v/>
      </c>
      <c r="C140" s="382" t="str">
        <f>IF(B140="","",IF(ISNA(VLOOKUP($B140,'B-1 On-Site Hedge Baseline'!$B$1:$L$257,3,FALSE)),"",(VLOOKUP($B140,'B-1 On-Site Hedge Baseline'!$B$1:$L$257,3,FALSE))))</f>
        <v/>
      </c>
      <c r="D140" s="382" t="str">
        <f>IF(B140="","",IF(ISNA(VLOOKUP($B140,'B-1 On-Site Hedge Baseline'!$B$1:$L$257,4,FALSE)),"",(VLOOKUP($B140,'B-1 On-Site Hedge Baseline'!$B$1:$L$257,4,FALSE))))</f>
        <v/>
      </c>
      <c r="E140" s="382" t="str">
        <f>IF(B140="","",IF(ISNA(VLOOKUP($B140,'B-1 On-Site Hedge Baseline'!$B$1:$L$257,5,FALSE)),"",(VLOOKUP($B140,'B-1 On-Site Hedge Baseline'!$B$1:$L$257,5,FALSE))))</f>
        <v/>
      </c>
      <c r="F140" s="382" t="str">
        <f>IF(B140="","",IF(ISNA(VLOOKUP($B140,'B-1 On-Site Hedge Baseline'!$B$1:$L$257,6,FALSE)),"",(VLOOKUP($B140,'B-1 On-Site Hedge Baseline'!$B$1:$L$257,6,FALSE))))</f>
        <v/>
      </c>
      <c r="G140" s="382" t="str">
        <f>IF(B140="","",IF(ISNA(VLOOKUP($B140,'B-1 On-Site Hedge Baseline'!$B$1:$L$257,7,FALSE)),"",(VLOOKUP($B140,'B-1 On-Site Hedge Baseline'!$B$1:$L$257,7,FALSE))))</f>
        <v/>
      </c>
      <c r="H140" s="382" t="str">
        <f>IF(B140="","",IF(ISNA(VLOOKUP($B140,'B-1 On-Site Hedge Baseline'!$B$1:$L$257,8,FALSE)),"",(VLOOKUP($B140,'B-1 On-Site Hedge Baseline'!$B$1:$L$257,8,FALSE))))</f>
        <v/>
      </c>
      <c r="I140" s="382" t="str">
        <f>IF(B140="","",IF(ISNA(VLOOKUP($B140,'B-1 On-Site Hedge Baseline'!$B$1:$L$257,10,FALSE)),"",(VLOOKUP($B140,'B-1 On-Site Hedge Baseline'!$B$1:$L$257,10,FALSE))))</f>
        <v/>
      </c>
      <c r="J140" s="382" t="str">
        <f>IF(B140="","",IF(ISNA(VLOOKUP($B140,'B-1 On-Site Hedge Baseline'!$B$1:$L$257,11,FALSE)),"",(VLOOKUP($B140,'B-1 On-Site Hedge Baseline'!$B$1:$L$257,11,FALSE))))</f>
        <v/>
      </c>
      <c r="K140" s="382" t="str">
        <f>IF(B140="","",IF(ISNA(VLOOKUP($B140,'B-1 On-Site Hedge Baseline'!$B$1:$U$257,13,FALSE)),"",(VLOOKUP($B140,'B-1 On-Site Hedge Baseline'!$B$1:$U$257,13,FALSE))))</f>
        <v/>
      </c>
      <c r="L140" s="386" t="str">
        <f>IF(B140="","",IF(ISNA(VLOOKUP($B140,'B-1 On-Site Hedge Baseline'!$B$1:$U$257,12,FALSE)),"",(VLOOKUP($B140,'B-1 On-Site Hedge Baseline'!$B$1:$U$257,12,FALSE))))</f>
        <v/>
      </c>
      <c r="M140" s="315" t="str">
        <f t="shared" si="15"/>
        <v/>
      </c>
      <c r="N140" s="362" t="str">
        <f>IFERROR(IF(B140="","",INDEX('G-6 Hedgerow Data'!$AN$3:$AZ$15,MATCH(C140,'G-6 Hedgerow Data'!$AM$3:$AM$15,0),MATCH(M140,'G-6 Hedgerow Data'!$AN$2:$AZ$2,0))),"")</f>
        <v/>
      </c>
      <c r="O140" s="363" t="str">
        <f t="shared" si="10"/>
        <v/>
      </c>
      <c r="P140" s="417" t="str">
        <f>IF(B140="","",VLOOKUP(B140,'B-1 On-Site Hedge Baseline'!$B$10:T385,16,FALSE))</f>
        <v/>
      </c>
      <c r="Q140" s="362" t="str">
        <f>IF(M140="","",VLOOKUP(M140,'G-6 Hedgerow Data'!$B$2:$AG$15,2,FALSE))</f>
        <v/>
      </c>
      <c r="R140" s="363" t="str">
        <f>IF(M140="","",VLOOKUP(M140,'G-6 Hedgerow Data'!$B$2:$AG$15,3,FALSE))</f>
        <v/>
      </c>
      <c r="S140" s="125"/>
      <c r="T140" s="401" t="str">
        <f>IFERROR(VLOOKUP(S140,'G-1 All Habitats'!$Z$2:$AA$9,2,FALSE),"")</f>
        <v/>
      </c>
      <c r="U140" s="122"/>
      <c r="V140" s="382" t="str">
        <f>IF(U140="","",IF(VLOOKUP(U140,'G-3 Multipliers'!$L$3:$N$6,2,FALSE)=0,"Spatial Data Missing ⚠",VLOOKUP(U140,'G-3 Multipliers'!$L$3:$N$6,2,FALSE)))</f>
        <v/>
      </c>
      <c r="W140" s="386" t="str">
        <f>IF(U140="","",IF(VLOOKUP(U140,'G-3 Multipliers'!$L$3:$N$6,3,FALSE)=0,"Spatial Data Missing ⚠",VLOOKUP(U140,'G-3 Multipliers'!$L$3:$N$6,3,FALSE)))</f>
        <v/>
      </c>
      <c r="X140" s="362" t="str">
        <f>IFERROR(IF(OR(LEFT(O140,5)="Error",LEFT(N140,5)="Error",T140="Error"),"Check Data ⚠",IF(F140&lt;R140,INDEX('G-6 Hedgerow Data'!$S$3:$AE$14,MATCH(C140,'G-6 Hedgerow Data'!$B$3:$B$14,0),MATCH(M140,'G-6 Hedgerow Data'!$S$2:$AE$2,0)),INDEX('G-6 Hedgerow Data'!$K$3:$Q$14,MATCH(M140,'G-6 Hedgerow Data'!$B$3:$B$14,0),MATCH(O140,'G-6 Hedgerow Data'!$K$2:$Q$2,0)))),"")</f>
        <v/>
      </c>
      <c r="Y140" s="159"/>
      <c r="Z140" s="159"/>
      <c r="AA140" s="370" t="str">
        <f t="shared" si="11"/>
        <v/>
      </c>
      <c r="AB140" s="383" t="str">
        <f t="shared" si="12"/>
        <v/>
      </c>
      <c r="AC140" s="384" t="str">
        <f t="shared" ref="AC140:AC203" si="16">IF(OR(S140="",M140=""),"",IF(LEFT(AB140,5)="Error ▲","Check Data ⚠",IF(AB140="Check Data ⚠","Check Data ⚠",VLOOKUP(AB140,TemporalMultipliers,3,FALSE))))</f>
        <v/>
      </c>
      <c r="AD140" s="398" t="str">
        <f>IF(M140="","",VLOOKUP(M140,'G-6 Hedgerow Data'!$B$3:$AG$15,31,FALSE))</f>
        <v/>
      </c>
      <c r="AE140" s="370" t="str">
        <f t="shared" si="13"/>
        <v/>
      </c>
      <c r="AF140" s="370" t="str">
        <f t="shared" si="14"/>
        <v/>
      </c>
      <c r="AG140" s="386" t="str">
        <f>IFERROR(IF(O140="","",VLOOKUP(AD140,'G-3 Multipliers'!$P$3:$Q$6,2,FALSE)),"")</f>
        <v/>
      </c>
      <c r="AH140" s="376" t="str">
        <f t="shared" ref="AH140:AH203" si="17">IFERROR(IF(OR(M140="",S140="",U140=""),"",(((((P140*R140*T140)-(P140*F140*H140))*(AG140*AC140))+(P140*F140*H140))*(W140))),"")</f>
        <v/>
      </c>
      <c r="AI140" s="188"/>
      <c r="AJ140" s="118"/>
      <c r="AK140" s="120"/>
      <c r="AT140" s="30" t="str">
        <f>IFERROR(INDEX('G-6 Hedgerow Data'!$BJ$3:$BJ$15,MATCH(M140,'G-6 Hedgerow Data'!$B$3:$B$15,0)),"")</f>
        <v/>
      </c>
    </row>
    <row r="141" spans="2:46" ht="15">
      <c r="B141" s="392" t="str">
        <f>'B-1 On-Site Hedge Baseline'!AK139</f>
        <v/>
      </c>
      <c r="C141" s="382" t="str">
        <f>IF(B141="","",IF(ISNA(VLOOKUP($B141,'B-1 On-Site Hedge Baseline'!$B$1:$L$257,3,FALSE)),"",(VLOOKUP($B141,'B-1 On-Site Hedge Baseline'!$B$1:$L$257,3,FALSE))))</f>
        <v/>
      </c>
      <c r="D141" s="382" t="str">
        <f>IF(B141="","",IF(ISNA(VLOOKUP($B141,'B-1 On-Site Hedge Baseline'!$B$1:$L$257,4,FALSE)),"",(VLOOKUP($B141,'B-1 On-Site Hedge Baseline'!$B$1:$L$257,4,FALSE))))</f>
        <v/>
      </c>
      <c r="E141" s="382" t="str">
        <f>IF(B141="","",IF(ISNA(VLOOKUP($B141,'B-1 On-Site Hedge Baseline'!$B$1:$L$257,5,FALSE)),"",(VLOOKUP($B141,'B-1 On-Site Hedge Baseline'!$B$1:$L$257,5,FALSE))))</f>
        <v/>
      </c>
      <c r="F141" s="382" t="str">
        <f>IF(B141="","",IF(ISNA(VLOOKUP($B141,'B-1 On-Site Hedge Baseline'!$B$1:$L$257,6,FALSE)),"",(VLOOKUP($B141,'B-1 On-Site Hedge Baseline'!$B$1:$L$257,6,FALSE))))</f>
        <v/>
      </c>
      <c r="G141" s="382" t="str">
        <f>IF(B141="","",IF(ISNA(VLOOKUP($B141,'B-1 On-Site Hedge Baseline'!$B$1:$L$257,7,FALSE)),"",(VLOOKUP($B141,'B-1 On-Site Hedge Baseline'!$B$1:$L$257,7,FALSE))))</f>
        <v/>
      </c>
      <c r="H141" s="382" t="str">
        <f>IF(B141="","",IF(ISNA(VLOOKUP($B141,'B-1 On-Site Hedge Baseline'!$B$1:$L$257,8,FALSE)),"",(VLOOKUP($B141,'B-1 On-Site Hedge Baseline'!$B$1:$L$257,8,FALSE))))</f>
        <v/>
      </c>
      <c r="I141" s="382" t="str">
        <f>IF(B141="","",IF(ISNA(VLOOKUP($B141,'B-1 On-Site Hedge Baseline'!$B$1:$L$257,10,FALSE)),"",(VLOOKUP($B141,'B-1 On-Site Hedge Baseline'!$B$1:$L$257,10,FALSE))))</f>
        <v/>
      </c>
      <c r="J141" s="382" t="str">
        <f>IF(B141="","",IF(ISNA(VLOOKUP($B141,'B-1 On-Site Hedge Baseline'!$B$1:$L$257,11,FALSE)),"",(VLOOKUP($B141,'B-1 On-Site Hedge Baseline'!$B$1:$L$257,11,FALSE))))</f>
        <v/>
      </c>
      <c r="K141" s="382" t="str">
        <f>IF(B141="","",IF(ISNA(VLOOKUP($B141,'B-1 On-Site Hedge Baseline'!$B$1:$U$257,13,FALSE)),"",(VLOOKUP($B141,'B-1 On-Site Hedge Baseline'!$B$1:$U$257,13,FALSE))))</f>
        <v/>
      </c>
      <c r="L141" s="386" t="str">
        <f>IF(B141="","",IF(ISNA(VLOOKUP($B141,'B-1 On-Site Hedge Baseline'!$B$1:$U$257,12,FALSE)),"",(VLOOKUP($B141,'B-1 On-Site Hedge Baseline'!$B$1:$U$257,12,FALSE))))</f>
        <v/>
      </c>
      <c r="M141" s="315" t="str">
        <f t="shared" si="15"/>
        <v/>
      </c>
      <c r="N141" s="362" t="str">
        <f>IFERROR(IF(B141="","",INDEX('G-6 Hedgerow Data'!$AN$3:$AZ$15,MATCH(C141,'G-6 Hedgerow Data'!$AM$3:$AM$15,0),MATCH(M141,'G-6 Hedgerow Data'!$AN$2:$AZ$2,0))),"")</f>
        <v/>
      </c>
      <c r="O141" s="363" t="str">
        <f t="shared" ref="O141:O204" si="18">IFERROR(IF(B141="","",IF(AND(LEFT(C141,55)&lt;&gt;LEFT(M141,55),N141="High - High"),"Error - Not like for like ▲",IF(H141&gt;T141,"Error - Can not reduce condition ▲",IF(AND(F141=R141,H141=T141),"Error - No enhancement ▲",IF(AND(C141&lt;&gt;M141,F141&lt;R141),"Lower Distinctiveness Habitat"&amp;" - "&amp;S141,G141&amp;" - "&amp;S141))))),"")</f>
        <v/>
      </c>
      <c r="P141" s="417" t="str">
        <f>IF(B141="","",VLOOKUP(B141,'B-1 On-Site Hedge Baseline'!$B$10:T386,16,FALSE))</f>
        <v/>
      </c>
      <c r="Q141" s="362" t="str">
        <f>IF(M141="","",VLOOKUP(M141,'G-6 Hedgerow Data'!$B$2:$AG$15,2,FALSE))</f>
        <v/>
      </c>
      <c r="R141" s="363" t="str">
        <f>IF(M141="","",VLOOKUP(M141,'G-6 Hedgerow Data'!$B$2:$AG$15,3,FALSE))</f>
        <v/>
      </c>
      <c r="S141" s="125"/>
      <c r="T141" s="401" t="str">
        <f>IFERROR(VLOOKUP(S141,'G-1 All Habitats'!$Z$2:$AA$9,2,FALSE),"")</f>
        <v/>
      </c>
      <c r="U141" s="122"/>
      <c r="V141" s="382" t="str">
        <f>IF(U141="","",IF(VLOOKUP(U141,'G-3 Multipliers'!$L$3:$N$6,2,FALSE)=0,"Spatial Data Missing ⚠",VLOOKUP(U141,'G-3 Multipliers'!$L$3:$N$6,2,FALSE)))</f>
        <v/>
      </c>
      <c r="W141" s="386" t="str">
        <f>IF(U141="","",IF(VLOOKUP(U141,'G-3 Multipliers'!$L$3:$N$6,3,FALSE)=0,"Spatial Data Missing ⚠",VLOOKUP(U141,'G-3 Multipliers'!$L$3:$N$6,3,FALSE)))</f>
        <v/>
      </c>
      <c r="X141" s="362" t="str">
        <f>IFERROR(IF(OR(LEFT(O141,5)="Error",LEFT(N141,5)="Error",T141="Error"),"Check Data ⚠",IF(F141&lt;R141,INDEX('G-6 Hedgerow Data'!$S$3:$AE$14,MATCH(C141,'G-6 Hedgerow Data'!$B$3:$B$14,0),MATCH(M141,'G-6 Hedgerow Data'!$S$2:$AE$2,0)),INDEX('G-6 Hedgerow Data'!$K$3:$Q$14,MATCH(M141,'G-6 Hedgerow Data'!$B$3:$B$14,0),MATCH(O141,'G-6 Hedgerow Data'!$K$2:$Q$2,0)))),"")</f>
        <v/>
      </c>
      <c r="Y141" s="159"/>
      <c r="Z141" s="159"/>
      <c r="AA141" s="370" t="str">
        <f t="shared" ref="AA141:AA204" si="19">IF(X141="Check Data ⚠","Check Data ⚠",IF(M141="","",IF(AND(Y141&gt;0,Z141&gt;0),"Error -both advance and delayed habitat creation ▲",IF(AND(OR(Y141="Habitat already in target condition",X141&lt;=Y141),Z141=0),"Check details - Is there evidence that habitat has reached target condition? ⚠",IF(X141="","",IF(Y141&gt;0,"Check details - Is there evidence habitat creation started/in place? ⚠",IF(Z141&gt;0,"Check details- Delay in starting habitat in required condition? ⚠","Standard time to target condition applied")))))))</f>
        <v/>
      </c>
      <c r="AB141" s="383" t="str">
        <f t="shared" ref="AB141:AB204" si="20">IF(X141="","",IF(AA141="Check Data ⚠","Check Data ⚠",IF(Y141="30+",0,IF(Z141="30+","30+ ⚠",IF(X141+Z141&gt;30,"30+ 'C-1 Site River Baseline'!",IF(AA141="Error -both advance and delayed habitat creation ▲","Check Data ⚠",IF(X141+Z141-Y141&gt;0,X141+Z141-Y141,IF(X141-Y141&lt;=0,0,))))))))</f>
        <v/>
      </c>
      <c r="AC141" s="384" t="str">
        <f t="shared" si="16"/>
        <v/>
      </c>
      <c r="AD141" s="398" t="str">
        <f>IF(M141="","",VLOOKUP(M141,'G-6 Hedgerow Data'!$B$3:$AG$15,31,FALSE))</f>
        <v/>
      </c>
      <c r="AE141" s="370" t="str">
        <f t="shared" ref="AE141:AE204" si="21">IF(M141="","",IF(OR(LEFT(AA141,5)="Error ▲",AA141="Check Data ⚠"),"Check Data ⚠",IF(X141="","",IF($AA141="Check details - Is there evidence that habitat has reached target condition? ⚠","Low Difficulty - only applicable if all habitat created before losses ⚠","Standard difficulty applied"))))</f>
        <v/>
      </c>
      <c r="AF141" s="370" t="str">
        <f t="shared" ref="AF141:AF204" si="22">(IF(AND(AE141="Standard difficulty applied",X141&gt;Y141),AD141,IF(AND(AE141="Low Difficulty - only applicable if all habitat created before losses ⚠",Y141&gt;=X141),"Low",AD141)))</f>
        <v/>
      </c>
      <c r="AG141" s="386" t="str">
        <f>IFERROR(IF(O141="","",VLOOKUP(AD141,'G-3 Multipliers'!$P$3:$Q$6,2,FALSE)),"")</f>
        <v/>
      </c>
      <c r="AH141" s="376" t="str">
        <f t="shared" si="17"/>
        <v/>
      </c>
      <c r="AI141" s="188"/>
      <c r="AJ141" s="118"/>
      <c r="AK141" s="120"/>
      <c r="AT141" s="30" t="str">
        <f>IFERROR(INDEX('G-6 Hedgerow Data'!$BJ$3:$BJ$15,MATCH(M141,'G-6 Hedgerow Data'!$B$3:$B$15,0)),"")</f>
        <v/>
      </c>
    </row>
    <row r="142" spans="2:46" ht="15">
      <c r="B142" s="392" t="str">
        <f>'B-1 On-Site Hedge Baseline'!AK140</f>
        <v/>
      </c>
      <c r="C142" s="382" t="str">
        <f>IF(B142="","",IF(ISNA(VLOOKUP($B142,'B-1 On-Site Hedge Baseline'!$B$1:$L$257,3,FALSE)),"",(VLOOKUP($B142,'B-1 On-Site Hedge Baseline'!$B$1:$L$257,3,FALSE))))</f>
        <v/>
      </c>
      <c r="D142" s="382" t="str">
        <f>IF(B142="","",IF(ISNA(VLOOKUP($B142,'B-1 On-Site Hedge Baseline'!$B$1:$L$257,4,FALSE)),"",(VLOOKUP($B142,'B-1 On-Site Hedge Baseline'!$B$1:$L$257,4,FALSE))))</f>
        <v/>
      </c>
      <c r="E142" s="382" t="str">
        <f>IF(B142="","",IF(ISNA(VLOOKUP($B142,'B-1 On-Site Hedge Baseline'!$B$1:$L$257,5,FALSE)),"",(VLOOKUP($B142,'B-1 On-Site Hedge Baseline'!$B$1:$L$257,5,FALSE))))</f>
        <v/>
      </c>
      <c r="F142" s="382" t="str">
        <f>IF(B142="","",IF(ISNA(VLOOKUP($B142,'B-1 On-Site Hedge Baseline'!$B$1:$L$257,6,FALSE)),"",(VLOOKUP($B142,'B-1 On-Site Hedge Baseline'!$B$1:$L$257,6,FALSE))))</f>
        <v/>
      </c>
      <c r="G142" s="382" t="str">
        <f>IF(B142="","",IF(ISNA(VLOOKUP($B142,'B-1 On-Site Hedge Baseline'!$B$1:$L$257,7,FALSE)),"",(VLOOKUP($B142,'B-1 On-Site Hedge Baseline'!$B$1:$L$257,7,FALSE))))</f>
        <v/>
      </c>
      <c r="H142" s="382" t="str">
        <f>IF(B142="","",IF(ISNA(VLOOKUP($B142,'B-1 On-Site Hedge Baseline'!$B$1:$L$257,8,FALSE)),"",(VLOOKUP($B142,'B-1 On-Site Hedge Baseline'!$B$1:$L$257,8,FALSE))))</f>
        <v/>
      </c>
      <c r="I142" s="382" t="str">
        <f>IF(B142="","",IF(ISNA(VLOOKUP($B142,'B-1 On-Site Hedge Baseline'!$B$1:$L$257,10,FALSE)),"",(VLOOKUP($B142,'B-1 On-Site Hedge Baseline'!$B$1:$L$257,10,FALSE))))</f>
        <v/>
      </c>
      <c r="J142" s="382" t="str">
        <f>IF(B142="","",IF(ISNA(VLOOKUP($B142,'B-1 On-Site Hedge Baseline'!$B$1:$L$257,11,FALSE)),"",(VLOOKUP($B142,'B-1 On-Site Hedge Baseline'!$B$1:$L$257,11,FALSE))))</f>
        <v/>
      </c>
      <c r="K142" s="382" t="str">
        <f>IF(B142="","",IF(ISNA(VLOOKUP($B142,'B-1 On-Site Hedge Baseline'!$B$1:$U$257,13,FALSE)),"",(VLOOKUP($B142,'B-1 On-Site Hedge Baseline'!$B$1:$U$257,13,FALSE))))</f>
        <v/>
      </c>
      <c r="L142" s="386" t="str">
        <f>IF(B142="","",IF(ISNA(VLOOKUP($B142,'B-1 On-Site Hedge Baseline'!$B$1:$U$257,12,FALSE)),"",(VLOOKUP($B142,'B-1 On-Site Hedge Baseline'!$B$1:$U$257,12,FALSE))))</f>
        <v/>
      </c>
      <c r="M142" s="315" t="str">
        <f t="shared" ref="M142:M205" si="23">IF(B142="","",C142)</f>
        <v/>
      </c>
      <c r="N142" s="362" t="str">
        <f>IFERROR(IF(B142="","",INDEX('G-6 Hedgerow Data'!$AN$3:$AZ$15,MATCH(C142,'G-6 Hedgerow Data'!$AM$3:$AM$15,0),MATCH(M142,'G-6 Hedgerow Data'!$AN$2:$AZ$2,0))),"")</f>
        <v/>
      </c>
      <c r="O142" s="363" t="str">
        <f t="shared" si="18"/>
        <v/>
      </c>
      <c r="P142" s="417" t="str">
        <f>IF(B142="","",VLOOKUP(B142,'B-1 On-Site Hedge Baseline'!$B$10:T387,16,FALSE))</f>
        <v/>
      </c>
      <c r="Q142" s="362" t="str">
        <f>IF(M142="","",VLOOKUP(M142,'G-6 Hedgerow Data'!$B$2:$AG$15,2,FALSE))</f>
        <v/>
      </c>
      <c r="R142" s="363" t="str">
        <f>IF(M142="","",VLOOKUP(M142,'G-6 Hedgerow Data'!$B$2:$AG$15,3,FALSE))</f>
        <v/>
      </c>
      <c r="S142" s="125"/>
      <c r="T142" s="401" t="str">
        <f>IFERROR(VLOOKUP(S142,'G-1 All Habitats'!$Z$2:$AA$9,2,FALSE),"")</f>
        <v/>
      </c>
      <c r="U142" s="122"/>
      <c r="V142" s="382" t="str">
        <f>IF(U142="","",IF(VLOOKUP(U142,'G-3 Multipliers'!$L$3:$N$6,2,FALSE)=0,"Spatial Data Missing ⚠",VLOOKUP(U142,'G-3 Multipliers'!$L$3:$N$6,2,FALSE)))</f>
        <v/>
      </c>
      <c r="W142" s="386" t="str">
        <f>IF(U142="","",IF(VLOOKUP(U142,'G-3 Multipliers'!$L$3:$N$6,3,FALSE)=0,"Spatial Data Missing ⚠",VLOOKUP(U142,'G-3 Multipliers'!$L$3:$N$6,3,FALSE)))</f>
        <v/>
      </c>
      <c r="X142" s="362" t="str">
        <f>IFERROR(IF(OR(LEFT(O142,5)="Error",LEFT(N142,5)="Error",T142="Error"),"Check Data ⚠",IF(F142&lt;R142,INDEX('G-6 Hedgerow Data'!$S$3:$AE$14,MATCH(C142,'G-6 Hedgerow Data'!$B$3:$B$14,0),MATCH(M142,'G-6 Hedgerow Data'!$S$2:$AE$2,0)),INDEX('G-6 Hedgerow Data'!$K$3:$Q$14,MATCH(M142,'G-6 Hedgerow Data'!$B$3:$B$14,0),MATCH(O142,'G-6 Hedgerow Data'!$K$2:$Q$2,0)))),"")</f>
        <v/>
      </c>
      <c r="Y142" s="159"/>
      <c r="Z142" s="159"/>
      <c r="AA142" s="370" t="str">
        <f t="shared" si="19"/>
        <v/>
      </c>
      <c r="AB142" s="383" t="str">
        <f t="shared" si="20"/>
        <v/>
      </c>
      <c r="AC142" s="384" t="str">
        <f t="shared" si="16"/>
        <v/>
      </c>
      <c r="AD142" s="398" t="str">
        <f>IF(M142="","",VLOOKUP(M142,'G-6 Hedgerow Data'!$B$3:$AG$15,31,FALSE))</f>
        <v/>
      </c>
      <c r="AE142" s="370" t="str">
        <f t="shared" si="21"/>
        <v/>
      </c>
      <c r="AF142" s="370" t="str">
        <f t="shared" si="22"/>
        <v/>
      </c>
      <c r="AG142" s="386" t="str">
        <f>IFERROR(IF(O142="","",VLOOKUP(AD142,'G-3 Multipliers'!$P$3:$Q$6,2,FALSE)),"")</f>
        <v/>
      </c>
      <c r="AH142" s="376" t="str">
        <f t="shared" si="17"/>
        <v/>
      </c>
      <c r="AI142" s="188"/>
      <c r="AJ142" s="118"/>
      <c r="AK142" s="120"/>
      <c r="AT142" s="30" t="str">
        <f>IFERROR(INDEX('G-6 Hedgerow Data'!$BJ$3:$BJ$15,MATCH(M142,'G-6 Hedgerow Data'!$B$3:$B$15,0)),"")</f>
        <v/>
      </c>
    </row>
    <row r="143" spans="2:46" ht="15">
      <c r="B143" s="392" t="str">
        <f>'B-1 On-Site Hedge Baseline'!AK141</f>
        <v/>
      </c>
      <c r="C143" s="382" t="str">
        <f>IF(B143="","",IF(ISNA(VLOOKUP($B143,'B-1 On-Site Hedge Baseline'!$B$1:$L$257,3,FALSE)),"",(VLOOKUP($B143,'B-1 On-Site Hedge Baseline'!$B$1:$L$257,3,FALSE))))</f>
        <v/>
      </c>
      <c r="D143" s="382" t="str">
        <f>IF(B143="","",IF(ISNA(VLOOKUP($B143,'B-1 On-Site Hedge Baseline'!$B$1:$L$257,4,FALSE)),"",(VLOOKUP($B143,'B-1 On-Site Hedge Baseline'!$B$1:$L$257,4,FALSE))))</f>
        <v/>
      </c>
      <c r="E143" s="382" t="str">
        <f>IF(B143="","",IF(ISNA(VLOOKUP($B143,'B-1 On-Site Hedge Baseline'!$B$1:$L$257,5,FALSE)),"",(VLOOKUP($B143,'B-1 On-Site Hedge Baseline'!$B$1:$L$257,5,FALSE))))</f>
        <v/>
      </c>
      <c r="F143" s="382" t="str">
        <f>IF(B143="","",IF(ISNA(VLOOKUP($B143,'B-1 On-Site Hedge Baseline'!$B$1:$L$257,6,FALSE)),"",(VLOOKUP($B143,'B-1 On-Site Hedge Baseline'!$B$1:$L$257,6,FALSE))))</f>
        <v/>
      </c>
      <c r="G143" s="382" t="str">
        <f>IF(B143="","",IF(ISNA(VLOOKUP($B143,'B-1 On-Site Hedge Baseline'!$B$1:$L$257,7,FALSE)),"",(VLOOKUP($B143,'B-1 On-Site Hedge Baseline'!$B$1:$L$257,7,FALSE))))</f>
        <v/>
      </c>
      <c r="H143" s="382" t="str">
        <f>IF(B143="","",IF(ISNA(VLOOKUP($B143,'B-1 On-Site Hedge Baseline'!$B$1:$L$257,8,FALSE)),"",(VLOOKUP($B143,'B-1 On-Site Hedge Baseline'!$B$1:$L$257,8,FALSE))))</f>
        <v/>
      </c>
      <c r="I143" s="382" t="str">
        <f>IF(B143="","",IF(ISNA(VLOOKUP($B143,'B-1 On-Site Hedge Baseline'!$B$1:$L$257,10,FALSE)),"",(VLOOKUP($B143,'B-1 On-Site Hedge Baseline'!$B$1:$L$257,10,FALSE))))</f>
        <v/>
      </c>
      <c r="J143" s="382" t="str">
        <f>IF(B143="","",IF(ISNA(VLOOKUP($B143,'B-1 On-Site Hedge Baseline'!$B$1:$L$257,11,FALSE)),"",(VLOOKUP($B143,'B-1 On-Site Hedge Baseline'!$B$1:$L$257,11,FALSE))))</f>
        <v/>
      </c>
      <c r="K143" s="382" t="str">
        <f>IF(B143="","",IF(ISNA(VLOOKUP($B143,'B-1 On-Site Hedge Baseline'!$B$1:$U$257,13,FALSE)),"",(VLOOKUP($B143,'B-1 On-Site Hedge Baseline'!$B$1:$U$257,13,FALSE))))</f>
        <v/>
      </c>
      <c r="L143" s="386" t="str">
        <f>IF(B143="","",IF(ISNA(VLOOKUP($B143,'B-1 On-Site Hedge Baseline'!$B$1:$U$257,12,FALSE)),"",(VLOOKUP($B143,'B-1 On-Site Hedge Baseline'!$B$1:$U$257,12,FALSE))))</f>
        <v/>
      </c>
      <c r="M143" s="315" t="str">
        <f t="shared" si="23"/>
        <v/>
      </c>
      <c r="N143" s="362" t="str">
        <f>IFERROR(IF(B143="","",INDEX('G-6 Hedgerow Data'!$AN$3:$AZ$15,MATCH(C143,'G-6 Hedgerow Data'!$AM$3:$AM$15,0),MATCH(M143,'G-6 Hedgerow Data'!$AN$2:$AZ$2,0))),"")</f>
        <v/>
      </c>
      <c r="O143" s="363" t="str">
        <f t="shared" si="18"/>
        <v/>
      </c>
      <c r="P143" s="417" t="str">
        <f>IF(B143="","",VLOOKUP(B143,'B-1 On-Site Hedge Baseline'!$B$10:T388,16,FALSE))</f>
        <v/>
      </c>
      <c r="Q143" s="362" t="str">
        <f>IF(M143="","",VLOOKUP(M143,'G-6 Hedgerow Data'!$B$2:$AG$15,2,FALSE))</f>
        <v/>
      </c>
      <c r="R143" s="363" t="str">
        <f>IF(M143="","",VLOOKUP(M143,'G-6 Hedgerow Data'!$B$2:$AG$15,3,FALSE))</f>
        <v/>
      </c>
      <c r="S143" s="125"/>
      <c r="T143" s="401" t="str">
        <f>IFERROR(VLOOKUP(S143,'G-1 All Habitats'!$Z$2:$AA$9,2,FALSE),"")</f>
        <v/>
      </c>
      <c r="U143" s="122"/>
      <c r="V143" s="382" t="str">
        <f>IF(U143="","",IF(VLOOKUP(U143,'G-3 Multipliers'!$L$3:$N$6,2,FALSE)=0,"Spatial Data Missing ⚠",VLOOKUP(U143,'G-3 Multipliers'!$L$3:$N$6,2,FALSE)))</f>
        <v/>
      </c>
      <c r="W143" s="386" t="str">
        <f>IF(U143="","",IF(VLOOKUP(U143,'G-3 Multipliers'!$L$3:$N$6,3,FALSE)=0,"Spatial Data Missing ⚠",VLOOKUP(U143,'G-3 Multipliers'!$L$3:$N$6,3,FALSE)))</f>
        <v/>
      </c>
      <c r="X143" s="362" t="str">
        <f>IFERROR(IF(OR(LEFT(O143,5)="Error",LEFT(N143,5)="Error",T143="Error"),"Check Data ⚠",IF(F143&lt;R143,INDEX('G-6 Hedgerow Data'!$S$3:$AE$14,MATCH(C143,'G-6 Hedgerow Data'!$B$3:$B$14,0),MATCH(M143,'G-6 Hedgerow Data'!$S$2:$AE$2,0)),INDEX('G-6 Hedgerow Data'!$K$3:$Q$14,MATCH(M143,'G-6 Hedgerow Data'!$B$3:$B$14,0),MATCH(O143,'G-6 Hedgerow Data'!$K$2:$Q$2,0)))),"")</f>
        <v/>
      </c>
      <c r="Y143" s="159"/>
      <c r="Z143" s="159"/>
      <c r="AA143" s="370" t="str">
        <f t="shared" si="19"/>
        <v/>
      </c>
      <c r="AB143" s="383" t="str">
        <f t="shared" si="20"/>
        <v/>
      </c>
      <c r="AC143" s="384" t="str">
        <f t="shared" si="16"/>
        <v/>
      </c>
      <c r="AD143" s="398" t="str">
        <f>IF(M143="","",VLOOKUP(M143,'G-6 Hedgerow Data'!$B$3:$AG$15,31,FALSE))</f>
        <v/>
      </c>
      <c r="AE143" s="370" t="str">
        <f t="shared" si="21"/>
        <v/>
      </c>
      <c r="AF143" s="370" t="str">
        <f t="shared" si="22"/>
        <v/>
      </c>
      <c r="AG143" s="386" t="str">
        <f>IFERROR(IF(O143="","",VLOOKUP(AD143,'G-3 Multipliers'!$P$3:$Q$6,2,FALSE)),"")</f>
        <v/>
      </c>
      <c r="AH143" s="376" t="str">
        <f t="shared" si="17"/>
        <v/>
      </c>
      <c r="AI143" s="188"/>
      <c r="AJ143" s="118"/>
      <c r="AK143" s="120"/>
      <c r="AT143" s="30" t="str">
        <f>IFERROR(INDEX('G-6 Hedgerow Data'!$BJ$3:$BJ$15,MATCH(M143,'G-6 Hedgerow Data'!$B$3:$B$15,0)),"")</f>
        <v/>
      </c>
    </row>
    <row r="144" spans="2:46" ht="15">
      <c r="B144" s="392" t="str">
        <f>'B-1 On-Site Hedge Baseline'!AK142</f>
        <v/>
      </c>
      <c r="C144" s="382" t="str">
        <f>IF(B144="","",IF(ISNA(VLOOKUP($B144,'B-1 On-Site Hedge Baseline'!$B$1:$L$257,3,FALSE)),"",(VLOOKUP($B144,'B-1 On-Site Hedge Baseline'!$B$1:$L$257,3,FALSE))))</f>
        <v/>
      </c>
      <c r="D144" s="382" t="str">
        <f>IF(B144="","",IF(ISNA(VLOOKUP($B144,'B-1 On-Site Hedge Baseline'!$B$1:$L$257,4,FALSE)),"",(VLOOKUP($B144,'B-1 On-Site Hedge Baseline'!$B$1:$L$257,4,FALSE))))</f>
        <v/>
      </c>
      <c r="E144" s="382" t="str">
        <f>IF(B144="","",IF(ISNA(VLOOKUP($B144,'B-1 On-Site Hedge Baseline'!$B$1:$L$257,5,FALSE)),"",(VLOOKUP($B144,'B-1 On-Site Hedge Baseline'!$B$1:$L$257,5,FALSE))))</f>
        <v/>
      </c>
      <c r="F144" s="382" t="str">
        <f>IF(B144="","",IF(ISNA(VLOOKUP($B144,'B-1 On-Site Hedge Baseline'!$B$1:$L$257,6,FALSE)),"",(VLOOKUP($B144,'B-1 On-Site Hedge Baseline'!$B$1:$L$257,6,FALSE))))</f>
        <v/>
      </c>
      <c r="G144" s="382" t="str">
        <f>IF(B144="","",IF(ISNA(VLOOKUP($B144,'B-1 On-Site Hedge Baseline'!$B$1:$L$257,7,FALSE)),"",(VLOOKUP($B144,'B-1 On-Site Hedge Baseline'!$B$1:$L$257,7,FALSE))))</f>
        <v/>
      </c>
      <c r="H144" s="382" t="str">
        <f>IF(B144="","",IF(ISNA(VLOOKUP($B144,'B-1 On-Site Hedge Baseline'!$B$1:$L$257,8,FALSE)),"",(VLOOKUP($B144,'B-1 On-Site Hedge Baseline'!$B$1:$L$257,8,FALSE))))</f>
        <v/>
      </c>
      <c r="I144" s="382" t="str">
        <f>IF(B144="","",IF(ISNA(VLOOKUP($B144,'B-1 On-Site Hedge Baseline'!$B$1:$L$257,10,FALSE)),"",(VLOOKUP($B144,'B-1 On-Site Hedge Baseline'!$B$1:$L$257,10,FALSE))))</f>
        <v/>
      </c>
      <c r="J144" s="382" t="str">
        <f>IF(B144="","",IF(ISNA(VLOOKUP($B144,'B-1 On-Site Hedge Baseline'!$B$1:$L$257,11,FALSE)),"",(VLOOKUP($B144,'B-1 On-Site Hedge Baseline'!$B$1:$L$257,11,FALSE))))</f>
        <v/>
      </c>
      <c r="K144" s="382" t="str">
        <f>IF(B144="","",IF(ISNA(VLOOKUP($B144,'B-1 On-Site Hedge Baseline'!$B$1:$U$257,13,FALSE)),"",(VLOOKUP($B144,'B-1 On-Site Hedge Baseline'!$B$1:$U$257,13,FALSE))))</f>
        <v/>
      </c>
      <c r="L144" s="386" t="str">
        <f>IF(B144="","",IF(ISNA(VLOOKUP($B144,'B-1 On-Site Hedge Baseline'!$B$1:$U$257,12,FALSE)),"",(VLOOKUP($B144,'B-1 On-Site Hedge Baseline'!$B$1:$U$257,12,FALSE))))</f>
        <v/>
      </c>
      <c r="M144" s="315" t="str">
        <f t="shared" si="23"/>
        <v/>
      </c>
      <c r="N144" s="362" t="str">
        <f>IFERROR(IF(B144="","",INDEX('G-6 Hedgerow Data'!$AN$3:$AZ$15,MATCH(C144,'G-6 Hedgerow Data'!$AM$3:$AM$15,0),MATCH(M144,'G-6 Hedgerow Data'!$AN$2:$AZ$2,0))),"")</f>
        <v/>
      </c>
      <c r="O144" s="363" t="str">
        <f t="shared" si="18"/>
        <v/>
      </c>
      <c r="P144" s="417" t="str">
        <f>IF(B144="","",VLOOKUP(B144,'B-1 On-Site Hedge Baseline'!$B$10:T389,16,FALSE))</f>
        <v/>
      </c>
      <c r="Q144" s="362" t="str">
        <f>IF(M144="","",VLOOKUP(M144,'G-6 Hedgerow Data'!$B$2:$AG$15,2,FALSE))</f>
        <v/>
      </c>
      <c r="R144" s="363" t="str">
        <f>IF(M144="","",VLOOKUP(M144,'G-6 Hedgerow Data'!$B$2:$AG$15,3,FALSE))</f>
        <v/>
      </c>
      <c r="S144" s="125"/>
      <c r="T144" s="401" t="str">
        <f>IFERROR(VLOOKUP(S144,'G-1 All Habitats'!$Z$2:$AA$9,2,FALSE),"")</f>
        <v/>
      </c>
      <c r="U144" s="122"/>
      <c r="V144" s="382" t="str">
        <f>IF(U144="","",IF(VLOOKUP(U144,'G-3 Multipliers'!$L$3:$N$6,2,FALSE)=0,"Spatial Data Missing ⚠",VLOOKUP(U144,'G-3 Multipliers'!$L$3:$N$6,2,FALSE)))</f>
        <v/>
      </c>
      <c r="W144" s="386" t="str">
        <f>IF(U144="","",IF(VLOOKUP(U144,'G-3 Multipliers'!$L$3:$N$6,3,FALSE)=0,"Spatial Data Missing ⚠",VLOOKUP(U144,'G-3 Multipliers'!$L$3:$N$6,3,FALSE)))</f>
        <v/>
      </c>
      <c r="X144" s="362" t="str">
        <f>IFERROR(IF(OR(LEFT(O144,5)="Error",LEFT(N144,5)="Error",T144="Error"),"Check Data ⚠",IF(F144&lt;R144,INDEX('G-6 Hedgerow Data'!$S$3:$AE$14,MATCH(C144,'G-6 Hedgerow Data'!$B$3:$B$14,0),MATCH(M144,'G-6 Hedgerow Data'!$S$2:$AE$2,0)),INDEX('G-6 Hedgerow Data'!$K$3:$Q$14,MATCH(M144,'G-6 Hedgerow Data'!$B$3:$B$14,0),MATCH(O144,'G-6 Hedgerow Data'!$K$2:$Q$2,0)))),"")</f>
        <v/>
      </c>
      <c r="Y144" s="159"/>
      <c r="Z144" s="159"/>
      <c r="AA144" s="370" t="str">
        <f t="shared" si="19"/>
        <v/>
      </c>
      <c r="AB144" s="383" t="str">
        <f t="shared" si="20"/>
        <v/>
      </c>
      <c r="AC144" s="384" t="str">
        <f t="shared" si="16"/>
        <v/>
      </c>
      <c r="AD144" s="398" t="str">
        <f>IF(M144="","",VLOOKUP(M144,'G-6 Hedgerow Data'!$B$3:$AG$15,31,FALSE))</f>
        <v/>
      </c>
      <c r="AE144" s="370" t="str">
        <f t="shared" si="21"/>
        <v/>
      </c>
      <c r="AF144" s="370" t="str">
        <f t="shared" si="22"/>
        <v/>
      </c>
      <c r="AG144" s="386" t="str">
        <f>IFERROR(IF(O144="","",VLOOKUP(AD144,'G-3 Multipliers'!$P$3:$Q$6,2,FALSE)),"")</f>
        <v/>
      </c>
      <c r="AH144" s="376" t="str">
        <f t="shared" si="17"/>
        <v/>
      </c>
      <c r="AI144" s="188"/>
      <c r="AJ144" s="118"/>
      <c r="AK144" s="120"/>
      <c r="AT144" s="30" t="str">
        <f>IFERROR(INDEX('G-6 Hedgerow Data'!$BJ$3:$BJ$15,MATCH(M144,'G-6 Hedgerow Data'!$B$3:$B$15,0)),"")</f>
        <v/>
      </c>
    </row>
    <row r="145" spans="2:46" ht="15">
      <c r="B145" s="392" t="str">
        <f>'B-1 On-Site Hedge Baseline'!AK143</f>
        <v/>
      </c>
      <c r="C145" s="382" t="str">
        <f>IF(B145="","",IF(ISNA(VLOOKUP($B145,'B-1 On-Site Hedge Baseline'!$B$1:$L$257,3,FALSE)),"",(VLOOKUP($B145,'B-1 On-Site Hedge Baseline'!$B$1:$L$257,3,FALSE))))</f>
        <v/>
      </c>
      <c r="D145" s="382" t="str">
        <f>IF(B145="","",IF(ISNA(VLOOKUP($B145,'B-1 On-Site Hedge Baseline'!$B$1:$L$257,4,FALSE)),"",(VLOOKUP($B145,'B-1 On-Site Hedge Baseline'!$B$1:$L$257,4,FALSE))))</f>
        <v/>
      </c>
      <c r="E145" s="382" t="str">
        <f>IF(B145="","",IF(ISNA(VLOOKUP($B145,'B-1 On-Site Hedge Baseline'!$B$1:$L$257,5,FALSE)),"",(VLOOKUP($B145,'B-1 On-Site Hedge Baseline'!$B$1:$L$257,5,FALSE))))</f>
        <v/>
      </c>
      <c r="F145" s="382" t="str">
        <f>IF(B145="","",IF(ISNA(VLOOKUP($B145,'B-1 On-Site Hedge Baseline'!$B$1:$L$257,6,FALSE)),"",(VLOOKUP($B145,'B-1 On-Site Hedge Baseline'!$B$1:$L$257,6,FALSE))))</f>
        <v/>
      </c>
      <c r="G145" s="382" t="str">
        <f>IF(B145="","",IF(ISNA(VLOOKUP($B145,'B-1 On-Site Hedge Baseline'!$B$1:$L$257,7,FALSE)),"",(VLOOKUP($B145,'B-1 On-Site Hedge Baseline'!$B$1:$L$257,7,FALSE))))</f>
        <v/>
      </c>
      <c r="H145" s="382" t="str">
        <f>IF(B145="","",IF(ISNA(VLOOKUP($B145,'B-1 On-Site Hedge Baseline'!$B$1:$L$257,8,FALSE)),"",(VLOOKUP($B145,'B-1 On-Site Hedge Baseline'!$B$1:$L$257,8,FALSE))))</f>
        <v/>
      </c>
      <c r="I145" s="382" t="str">
        <f>IF(B145="","",IF(ISNA(VLOOKUP($B145,'B-1 On-Site Hedge Baseline'!$B$1:$L$257,10,FALSE)),"",(VLOOKUP($B145,'B-1 On-Site Hedge Baseline'!$B$1:$L$257,10,FALSE))))</f>
        <v/>
      </c>
      <c r="J145" s="382" t="str">
        <f>IF(B145="","",IF(ISNA(VLOOKUP($B145,'B-1 On-Site Hedge Baseline'!$B$1:$L$257,11,FALSE)),"",(VLOOKUP($B145,'B-1 On-Site Hedge Baseline'!$B$1:$L$257,11,FALSE))))</f>
        <v/>
      </c>
      <c r="K145" s="382" t="str">
        <f>IF(B145="","",IF(ISNA(VLOOKUP($B145,'B-1 On-Site Hedge Baseline'!$B$1:$U$257,13,FALSE)),"",(VLOOKUP($B145,'B-1 On-Site Hedge Baseline'!$B$1:$U$257,13,FALSE))))</f>
        <v/>
      </c>
      <c r="L145" s="386" t="str">
        <f>IF(B145="","",IF(ISNA(VLOOKUP($B145,'B-1 On-Site Hedge Baseline'!$B$1:$U$257,12,FALSE)),"",(VLOOKUP($B145,'B-1 On-Site Hedge Baseline'!$B$1:$U$257,12,FALSE))))</f>
        <v/>
      </c>
      <c r="M145" s="315" t="str">
        <f t="shared" si="23"/>
        <v/>
      </c>
      <c r="N145" s="362" t="str">
        <f>IFERROR(IF(B145="","",INDEX('G-6 Hedgerow Data'!$AN$3:$AZ$15,MATCH(C145,'G-6 Hedgerow Data'!$AM$3:$AM$15,0),MATCH(M145,'G-6 Hedgerow Data'!$AN$2:$AZ$2,0))),"")</f>
        <v/>
      </c>
      <c r="O145" s="363" t="str">
        <f t="shared" si="18"/>
        <v/>
      </c>
      <c r="P145" s="417" t="str">
        <f>IF(B145="","",VLOOKUP(B145,'B-1 On-Site Hedge Baseline'!$B$10:T390,16,FALSE))</f>
        <v/>
      </c>
      <c r="Q145" s="362" t="str">
        <f>IF(M145="","",VLOOKUP(M145,'G-6 Hedgerow Data'!$B$2:$AG$15,2,FALSE))</f>
        <v/>
      </c>
      <c r="R145" s="363" t="str">
        <f>IF(M145="","",VLOOKUP(M145,'G-6 Hedgerow Data'!$B$2:$AG$15,3,FALSE))</f>
        <v/>
      </c>
      <c r="S145" s="125"/>
      <c r="T145" s="401" t="str">
        <f>IFERROR(VLOOKUP(S145,'G-1 All Habitats'!$Z$2:$AA$9,2,FALSE),"")</f>
        <v/>
      </c>
      <c r="U145" s="122"/>
      <c r="V145" s="382" t="str">
        <f>IF(U145="","",IF(VLOOKUP(U145,'G-3 Multipliers'!$L$3:$N$6,2,FALSE)=0,"Spatial Data Missing ⚠",VLOOKUP(U145,'G-3 Multipliers'!$L$3:$N$6,2,FALSE)))</f>
        <v/>
      </c>
      <c r="W145" s="386" t="str">
        <f>IF(U145="","",IF(VLOOKUP(U145,'G-3 Multipliers'!$L$3:$N$6,3,FALSE)=0,"Spatial Data Missing ⚠",VLOOKUP(U145,'G-3 Multipliers'!$L$3:$N$6,3,FALSE)))</f>
        <v/>
      </c>
      <c r="X145" s="362" t="str">
        <f>IFERROR(IF(OR(LEFT(O145,5)="Error",LEFT(N145,5)="Error",T145="Error"),"Check Data ⚠",IF(F145&lt;R145,INDEX('G-6 Hedgerow Data'!$S$3:$AE$14,MATCH(C145,'G-6 Hedgerow Data'!$B$3:$B$14,0),MATCH(M145,'G-6 Hedgerow Data'!$S$2:$AE$2,0)),INDEX('G-6 Hedgerow Data'!$K$3:$Q$14,MATCH(M145,'G-6 Hedgerow Data'!$B$3:$B$14,0),MATCH(O145,'G-6 Hedgerow Data'!$K$2:$Q$2,0)))),"")</f>
        <v/>
      </c>
      <c r="Y145" s="159"/>
      <c r="Z145" s="159"/>
      <c r="AA145" s="370" t="str">
        <f t="shared" si="19"/>
        <v/>
      </c>
      <c r="AB145" s="383" t="str">
        <f t="shared" si="20"/>
        <v/>
      </c>
      <c r="AC145" s="384" t="str">
        <f t="shared" si="16"/>
        <v/>
      </c>
      <c r="AD145" s="398" t="str">
        <f>IF(M145="","",VLOOKUP(M145,'G-6 Hedgerow Data'!$B$3:$AG$15,31,FALSE))</f>
        <v/>
      </c>
      <c r="AE145" s="370" t="str">
        <f t="shared" si="21"/>
        <v/>
      </c>
      <c r="AF145" s="370" t="str">
        <f t="shared" si="22"/>
        <v/>
      </c>
      <c r="AG145" s="386" t="str">
        <f>IFERROR(IF(O145="","",VLOOKUP(AD145,'G-3 Multipliers'!$P$3:$Q$6,2,FALSE)),"")</f>
        <v/>
      </c>
      <c r="AH145" s="376" t="str">
        <f t="shared" si="17"/>
        <v/>
      </c>
      <c r="AI145" s="188"/>
      <c r="AJ145" s="118"/>
      <c r="AK145" s="120"/>
      <c r="AT145" s="30" t="str">
        <f>IFERROR(INDEX('G-6 Hedgerow Data'!$BJ$3:$BJ$15,MATCH(M145,'G-6 Hedgerow Data'!$B$3:$B$15,0)),"")</f>
        <v/>
      </c>
    </row>
    <row r="146" spans="2:46" ht="15">
      <c r="B146" s="392" t="str">
        <f>'B-1 On-Site Hedge Baseline'!AK144</f>
        <v/>
      </c>
      <c r="C146" s="382" t="str">
        <f>IF(B146="","",IF(ISNA(VLOOKUP($B146,'B-1 On-Site Hedge Baseline'!$B$1:$L$257,3,FALSE)),"",(VLOOKUP($B146,'B-1 On-Site Hedge Baseline'!$B$1:$L$257,3,FALSE))))</f>
        <v/>
      </c>
      <c r="D146" s="382" t="str">
        <f>IF(B146="","",IF(ISNA(VLOOKUP($B146,'B-1 On-Site Hedge Baseline'!$B$1:$L$257,4,FALSE)),"",(VLOOKUP($B146,'B-1 On-Site Hedge Baseline'!$B$1:$L$257,4,FALSE))))</f>
        <v/>
      </c>
      <c r="E146" s="382" t="str">
        <f>IF(B146="","",IF(ISNA(VLOOKUP($B146,'B-1 On-Site Hedge Baseline'!$B$1:$L$257,5,FALSE)),"",(VLOOKUP($B146,'B-1 On-Site Hedge Baseline'!$B$1:$L$257,5,FALSE))))</f>
        <v/>
      </c>
      <c r="F146" s="382" t="str">
        <f>IF(B146="","",IF(ISNA(VLOOKUP($B146,'B-1 On-Site Hedge Baseline'!$B$1:$L$257,6,FALSE)),"",(VLOOKUP($B146,'B-1 On-Site Hedge Baseline'!$B$1:$L$257,6,FALSE))))</f>
        <v/>
      </c>
      <c r="G146" s="382" t="str">
        <f>IF(B146="","",IF(ISNA(VLOOKUP($B146,'B-1 On-Site Hedge Baseline'!$B$1:$L$257,7,FALSE)),"",(VLOOKUP($B146,'B-1 On-Site Hedge Baseline'!$B$1:$L$257,7,FALSE))))</f>
        <v/>
      </c>
      <c r="H146" s="382" t="str">
        <f>IF(B146="","",IF(ISNA(VLOOKUP($B146,'B-1 On-Site Hedge Baseline'!$B$1:$L$257,8,FALSE)),"",(VLOOKUP($B146,'B-1 On-Site Hedge Baseline'!$B$1:$L$257,8,FALSE))))</f>
        <v/>
      </c>
      <c r="I146" s="382" t="str">
        <f>IF(B146="","",IF(ISNA(VLOOKUP($B146,'B-1 On-Site Hedge Baseline'!$B$1:$L$257,10,FALSE)),"",(VLOOKUP($B146,'B-1 On-Site Hedge Baseline'!$B$1:$L$257,10,FALSE))))</f>
        <v/>
      </c>
      <c r="J146" s="382" t="str">
        <f>IF(B146="","",IF(ISNA(VLOOKUP($B146,'B-1 On-Site Hedge Baseline'!$B$1:$L$257,11,FALSE)),"",(VLOOKUP($B146,'B-1 On-Site Hedge Baseline'!$B$1:$L$257,11,FALSE))))</f>
        <v/>
      </c>
      <c r="K146" s="382" t="str">
        <f>IF(B146="","",IF(ISNA(VLOOKUP($B146,'B-1 On-Site Hedge Baseline'!$B$1:$U$257,13,FALSE)),"",(VLOOKUP($B146,'B-1 On-Site Hedge Baseline'!$B$1:$U$257,13,FALSE))))</f>
        <v/>
      </c>
      <c r="L146" s="386" t="str">
        <f>IF(B146="","",IF(ISNA(VLOOKUP($B146,'B-1 On-Site Hedge Baseline'!$B$1:$U$257,12,FALSE)),"",(VLOOKUP($B146,'B-1 On-Site Hedge Baseline'!$B$1:$U$257,12,FALSE))))</f>
        <v/>
      </c>
      <c r="M146" s="315" t="str">
        <f t="shared" si="23"/>
        <v/>
      </c>
      <c r="N146" s="362" t="str">
        <f>IFERROR(IF(B146="","",INDEX('G-6 Hedgerow Data'!$AN$3:$AZ$15,MATCH(C146,'G-6 Hedgerow Data'!$AM$3:$AM$15,0),MATCH(M146,'G-6 Hedgerow Data'!$AN$2:$AZ$2,0))),"")</f>
        <v/>
      </c>
      <c r="O146" s="363" t="str">
        <f t="shared" si="18"/>
        <v/>
      </c>
      <c r="P146" s="417" t="str">
        <f>IF(B146="","",VLOOKUP(B146,'B-1 On-Site Hedge Baseline'!$B$10:T391,16,FALSE))</f>
        <v/>
      </c>
      <c r="Q146" s="362" t="str">
        <f>IF(M146="","",VLOOKUP(M146,'G-6 Hedgerow Data'!$B$2:$AG$15,2,FALSE))</f>
        <v/>
      </c>
      <c r="R146" s="363" t="str">
        <f>IF(M146="","",VLOOKUP(M146,'G-6 Hedgerow Data'!$B$2:$AG$15,3,FALSE))</f>
        <v/>
      </c>
      <c r="S146" s="125"/>
      <c r="T146" s="401" t="str">
        <f>IFERROR(VLOOKUP(S146,'G-1 All Habitats'!$Z$2:$AA$9,2,FALSE),"")</f>
        <v/>
      </c>
      <c r="U146" s="122"/>
      <c r="V146" s="382" t="str">
        <f>IF(U146="","",IF(VLOOKUP(U146,'G-3 Multipliers'!$L$3:$N$6,2,FALSE)=0,"Spatial Data Missing ⚠",VLOOKUP(U146,'G-3 Multipliers'!$L$3:$N$6,2,FALSE)))</f>
        <v/>
      </c>
      <c r="W146" s="386" t="str">
        <f>IF(U146="","",IF(VLOOKUP(U146,'G-3 Multipliers'!$L$3:$N$6,3,FALSE)=0,"Spatial Data Missing ⚠",VLOOKUP(U146,'G-3 Multipliers'!$L$3:$N$6,3,FALSE)))</f>
        <v/>
      </c>
      <c r="X146" s="362" t="str">
        <f>IFERROR(IF(OR(LEFT(O146,5)="Error",LEFT(N146,5)="Error",T146="Error"),"Check Data ⚠",IF(F146&lt;R146,INDEX('G-6 Hedgerow Data'!$S$3:$AE$14,MATCH(C146,'G-6 Hedgerow Data'!$B$3:$B$14,0),MATCH(M146,'G-6 Hedgerow Data'!$S$2:$AE$2,0)),INDEX('G-6 Hedgerow Data'!$K$3:$Q$14,MATCH(M146,'G-6 Hedgerow Data'!$B$3:$B$14,0),MATCH(O146,'G-6 Hedgerow Data'!$K$2:$Q$2,0)))),"")</f>
        <v/>
      </c>
      <c r="Y146" s="159"/>
      <c r="Z146" s="159"/>
      <c r="AA146" s="370" t="str">
        <f t="shared" si="19"/>
        <v/>
      </c>
      <c r="AB146" s="383" t="str">
        <f t="shared" si="20"/>
        <v/>
      </c>
      <c r="AC146" s="384" t="str">
        <f t="shared" si="16"/>
        <v/>
      </c>
      <c r="AD146" s="398" t="str">
        <f>IF(M146="","",VLOOKUP(M146,'G-6 Hedgerow Data'!$B$3:$AG$15,31,FALSE))</f>
        <v/>
      </c>
      <c r="AE146" s="370" t="str">
        <f t="shared" si="21"/>
        <v/>
      </c>
      <c r="AF146" s="370" t="str">
        <f t="shared" si="22"/>
        <v/>
      </c>
      <c r="AG146" s="386" t="str">
        <f>IFERROR(IF(O146="","",VLOOKUP(AD146,'G-3 Multipliers'!$P$3:$Q$6,2,FALSE)),"")</f>
        <v/>
      </c>
      <c r="AH146" s="376" t="str">
        <f t="shared" si="17"/>
        <v/>
      </c>
      <c r="AI146" s="188"/>
      <c r="AJ146" s="118"/>
      <c r="AK146" s="120"/>
      <c r="AT146" s="30" t="str">
        <f>IFERROR(INDEX('G-6 Hedgerow Data'!$BJ$3:$BJ$15,MATCH(M146,'G-6 Hedgerow Data'!$B$3:$B$15,0)),"")</f>
        <v/>
      </c>
    </row>
    <row r="147" spans="2:46" ht="15">
      <c r="B147" s="392" t="str">
        <f>'B-1 On-Site Hedge Baseline'!AK145</f>
        <v/>
      </c>
      <c r="C147" s="382" t="str">
        <f>IF(B147="","",IF(ISNA(VLOOKUP($B147,'B-1 On-Site Hedge Baseline'!$B$1:$L$257,3,FALSE)),"",(VLOOKUP($B147,'B-1 On-Site Hedge Baseline'!$B$1:$L$257,3,FALSE))))</f>
        <v/>
      </c>
      <c r="D147" s="382" t="str">
        <f>IF(B147="","",IF(ISNA(VLOOKUP($B147,'B-1 On-Site Hedge Baseline'!$B$1:$L$257,4,FALSE)),"",(VLOOKUP($B147,'B-1 On-Site Hedge Baseline'!$B$1:$L$257,4,FALSE))))</f>
        <v/>
      </c>
      <c r="E147" s="382" t="str">
        <f>IF(B147="","",IF(ISNA(VLOOKUP($B147,'B-1 On-Site Hedge Baseline'!$B$1:$L$257,5,FALSE)),"",(VLOOKUP($B147,'B-1 On-Site Hedge Baseline'!$B$1:$L$257,5,FALSE))))</f>
        <v/>
      </c>
      <c r="F147" s="382" t="str">
        <f>IF(B147="","",IF(ISNA(VLOOKUP($B147,'B-1 On-Site Hedge Baseline'!$B$1:$L$257,6,FALSE)),"",(VLOOKUP($B147,'B-1 On-Site Hedge Baseline'!$B$1:$L$257,6,FALSE))))</f>
        <v/>
      </c>
      <c r="G147" s="382" t="str">
        <f>IF(B147="","",IF(ISNA(VLOOKUP($B147,'B-1 On-Site Hedge Baseline'!$B$1:$L$257,7,FALSE)),"",(VLOOKUP($B147,'B-1 On-Site Hedge Baseline'!$B$1:$L$257,7,FALSE))))</f>
        <v/>
      </c>
      <c r="H147" s="382" t="str">
        <f>IF(B147="","",IF(ISNA(VLOOKUP($B147,'B-1 On-Site Hedge Baseline'!$B$1:$L$257,8,FALSE)),"",(VLOOKUP($B147,'B-1 On-Site Hedge Baseline'!$B$1:$L$257,8,FALSE))))</f>
        <v/>
      </c>
      <c r="I147" s="382" t="str">
        <f>IF(B147="","",IF(ISNA(VLOOKUP($B147,'B-1 On-Site Hedge Baseline'!$B$1:$L$257,10,FALSE)),"",(VLOOKUP($B147,'B-1 On-Site Hedge Baseline'!$B$1:$L$257,10,FALSE))))</f>
        <v/>
      </c>
      <c r="J147" s="382" t="str">
        <f>IF(B147="","",IF(ISNA(VLOOKUP($B147,'B-1 On-Site Hedge Baseline'!$B$1:$L$257,11,FALSE)),"",(VLOOKUP($B147,'B-1 On-Site Hedge Baseline'!$B$1:$L$257,11,FALSE))))</f>
        <v/>
      </c>
      <c r="K147" s="382" t="str">
        <f>IF(B147="","",IF(ISNA(VLOOKUP($B147,'B-1 On-Site Hedge Baseline'!$B$1:$U$257,13,FALSE)),"",(VLOOKUP($B147,'B-1 On-Site Hedge Baseline'!$B$1:$U$257,13,FALSE))))</f>
        <v/>
      </c>
      <c r="L147" s="386" t="str">
        <f>IF(B147="","",IF(ISNA(VLOOKUP($B147,'B-1 On-Site Hedge Baseline'!$B$1:$U$257,12,FALSE)),"",(VLOOKUP($B147,'B-1 On-Site Hedge Baseline'!$B$1:$U$257,12,FALSE))))</f>
        <v/>
      </c>
      <c r="M147" s="315" t="str">
        <f t="shared" si="23"/>
        <v/>
      </c>
      <c r="N147" s="362" t="str">
        <f>IFERROR(IF(B147="","",INDEX('G-6 Hedgerow Data'!$AN$3:$AZ$15,MATCH(C147,'G-6 Hedgerow Data'!$AM$3:$AM$15,0),MATCH(M147,'G-6 Hedgerow Data'!$AN$2:$AZ$2,0))),"")</f>
        <v/>
      </c>
      <c r="O147" s="363" t="str">
        <f t="shared" si="18"/>
        <v/>
      </c>
      <c r="P147" s="417" t="str">
        <f>IF(B147="","",VLOOKUP(B147,'B-1 On-Site Hedge Baseline'!$B$10:T392,16,FALSE))</f>
        <v/>
      </c>
      <c r="Q147" s="362" t="str">
        <f>IF(M147="","",VLOOKUP(M147,'G-6 Hedgerow Data'!$B$2:$AG$15,2,FALSE))</f>
        <v/>
      </c>
      <c r="R147" s="363" t="str">
        <f>IF(M147="","",VLOOKUP(M147,'G-6 Hedgerow Data'!$B$2:$AG$15,3,FALSE))</f>
        <v/>
      </c>
      <c r="S147" s="125"/>
      <c r="T147" s="401" t="str">
        <f>IFERROR(VLOOKUP(S147,'G-1 All Habitats'!$Z$2:$AA$9,2,FALSE),"")</f>
        <v/>
      </c>
      <c r="U147" s="122"/>
      <c r="V147" s="382" t="str">
        <f>IF(U147="","",IF(VLOOKUP(U147,'G-3 Multipliers'!$L$3:$N$6,2,FALSE)=0,"Spatial Data Missing ⚠",VLOOKUP(U147,'G-3 Multipliers'!$L$3:$N$6,2,FALSE)))</f>
        <v/>
      </c>
      <c r="W147" s="386" t="str">
        <f>IF(U147="","",IF(VLOOKUP(U147,'G-3 Multipliers'!$L$3:$N$6,3,FALSE)=0,"Spatial Data Missing ⚠",VLOOKUP(U147,'G-3 Multipliers'!$L$3:$N$6,3,FALSE)))</f>
        <v/>
      </c>
      <c r="X147" s="362" t="str">
        <f>IFERROR(IF(OR(LEFT(O147,5)="Error",LEFT(N147,5)="Error",T147="Error"),"Check Data ⚠",IF(F147&lt;R147,INDEX('G-6 Hedgerow Data'!$S$3:$AE$14,MATCH(C147,'G-6 Hedgerow Data'!$B$3:$B$14,0),MATCH(M147,'G-6 Hedgerow Data'!$S$2:$AE$2,0)),INDEX('G-6 Hedgerow Data'!$K$3:$Q$14,MATCH(M147,'G-6 Hedgerow Data'!$B$3:$B$14,0),MATCH(O147,'G-6 Hedgerow Data'!$K$2:$Q$2,0)))),"")</f>
        <v/>
      </c>
      <c r="Y147" s="159"/>
      <c r="Z147" s="159"/>
      <c r="AA147" s="370" t="str">
        <f t="shared" si="19"/>
        <v/>
      </c>
      <c r="AB147" s="383" t="str">
        <f t="shared" si="20"/>
        <v/>
      </c>
      <c r="AC147" s="384" t="str">
        <f t="shared" si="16"/>
        <v/>
      </c>
      <c r="AD147" s="398" t="str">
        <f>IF(M147="","",VLOOKUP(M147,'G-6 Hedgerow Data'!$B$3:$AG$15,31,FALSE))</f>
        <v/>
      </c>
      <c r="AE147" s="370" t="str">
        <f t="shared" si="21"/>
        <v/>
      </c>
      <c r="AF147" s="370" t="str">
        <f t="shared" si="22"/>
        <v/>
      </c>
      <c r="AG147" s="386" t="str">
        <f>IFERROR(IF(O147="","",VLOOKUP(AD147,'G-3 Multipliers'!$P$3:$Q$6,2,FALSE)),"")</f>
        <v/>
      </c>
      <c r="AH147" s="376" t="str">
        <f t="shared" si="17"/>
        <v/>
      </c>
      <c r="AI147" s="188"/>
      <c r="AJ147" s="118"/>
      <c r="AK147" s="120"/>
      <c r="AT147" s="30" t="str">
        <f>IFERROR(INDEX('G-6 Hedgerow Data'!$BJ$3:$BJ$15,MATCH(M147,'G-6 Hedgerow Data'!$B$3:$B$15,0)),"")</f>
        <v/>
      </c>
    </row>
    <row r="148" spans="2:46" ht="15">
      <c r="B148" s="392" t="str">
        <f>'B-1 On-Site Hedge Baseline'!AK146</f>
        <v/>
      </c>
      <c r="C148" s="382" t="str">
        <f>IF(B148="","",IF(ISNA(VLOOKUP($B148,'B-1 On-Site Hedge Baseline'!$B$1:$L$257,3,FALSE)),"",(VLOOKUP($B148,'B-1 On-Site Hedge Baseline'!$B$1:$L$257,3,FALSE))))</f>
        <v/>
      </c>
      <c r="D148" s="382" t="str">
        <f>IF(B148="","",IF(ISNA(VLOOKUP($B148,'B-1 On-Site Hedge Baseline'!$B$1:$L$257,4,FALSE)),"",(VLOOKUP($B148,'B-1 On-Site Hedge Baseline'!$B$1:$L$257,4,FALSE))))</f>
        <v/>
      </c>
      <c r="E148" s="382" t="str">
        <f>IF(B148="","",IF(ISNA(VLOOKUP($B148,'B-1 On-Site Hedge Baseline'!$B$1:$L$257,5,FALSE)),"",(VLOOKUP($B148,'B-1 On-Site Hedge Baseline'!$B$1:$L$257,5,FALSE))))</f>
        <v/>
      </c>
      <c r="F148" s="382" t="str">
        <f>IF(B148="","",IF(ISNA(VLOOKUP($B148,'B-1 On-Site Hedge Baseline'!$B$1:$L$257,6,FALSE)),"",(VLOOKUP($B148,'B-1 On-Site Hedge Baseline'!$B$1:$L$257,6,FALSE))))</f>
        <v/>
      </c>
      <c r="G148" s="382" t="str">
        <f>IF(B148="","",IF(ISNA(VLOOKUP($B148,'B-1 On-Site Hedge Baseline'!$B$1:$L$257,7,FALSE)),"",(VLOOKUP($B148,'B-1 On-Site Hedge Baseline'!$B$1:$L$257,7,FALSE))))</f>
        <v/>
      </c>
      <c r="H148" s="382" t="str">
        <f>IF(B148="","",IF(ISNA(VLOOKUP($B148,'B-1 On-Site Hedge Baseline'!$B$1:$L$257,8,FALSE)),"",(VLOOKUP($B148,'B-1 On-Site Hedge Baseline'!$B$1:$L$257,8,FALSE))))</f>
        <v/>
      </c>
      <c r="I148" s="382" t="str">
        <f>IF(B148="","",IF(ISNA(VLOOKUP($B148,'B-1 On-Site Hedge Baseline'!$B$1:$L$257,10,FALSE)),"",(VLOOKUP($B148,'B-1 On-Site Hedge Baseline'!$B$1:$L$257,10,FALSE))))</f>
        <v/>
      </c>
      <c r="J148" s="382" t="str">
        <f>IF(B148="","",IF(ISNA(VLOOKUP($B148,'B-1 On-Site Hedge Baseline'!$B$1:$L$257,11,FALSE)),"",(VLOOKUP($B148,'B-1 On-Site Hedge Baseline'!$B$1:$L$257,11,FALSE))))</f>
        <v/>
      </c>
      <c r="K148" s="382" t="str">
        <f>IF(B148="","",IF(ISNA(VLOOKUP($B148,'B-1 On-Site Hedge Baseline'!$B$1:$U$257,13,FALSE)),"",(VLOOKUP($B148,'B-1 On-Site Hedge Baseline'!$B$1:$U$257,13,FALSE))))</f>
        <v/>
      </c>
      <c r="L148" s="386" t="str">
        <f>IF(B148="","",IF(ISNA(VLOOKUP($B148,'B-1 On-Site Hedge Baseline'!$B$1:$U$257,12,FALSE)),"",(VLOOKUP($B148,'B-1 On-Site Hedge Baseline'!$B$1:$U$257,12,FALSE))))</f>
        <v/>
      </c>
      <c r="M148" s="315" t="str">
        <f t="shared" si="23"/>
        <v/>
      </c>
      <c r="N148" s="362" t="str">
        <f>IFERROR(IF(B148="","",INDEX('G-6 Hedgerow Data'!$AN$3:$AZ$15,MATCH(C148,'G-6 Hedgerow Data'!$AM$3:$AM$15,0),MATCH(M148,'G-6 Hedgerow Data'!$AN$2:$AZ$2,0))),"")</f>
        <v/>
      </c>
      <c r="O148" s="363" t="str">
        <f t="shared" si="18"/>
        <v/>
      </c>
      <c r="P148" s="417" t="str">
        <f>IF(B148="","",VLOOKUP(B148,'B-1 On-Site Hedge Baseline'!$B$10:T393,16,FALSE))</f>
        <v/>
      </c>
      <c r="Q148" s="362" t="str">
        <f>IF(M148="","",VLOOKUP(M148,'G-6 Hedgerow Data'!$B$2:$AG$15,2,FALSE))</f>
        <v/>
      </c>
      <c r="R148" s="363" t="str">
        <f>IF(M148="","",VLOOKUP(M148,'G-6 Hedgerow Data'!$B$2:$AG$15,3,FALSE))</f>
        <v/>
      </c>
      <c r="S148" s="125"/>
      <c r="T148" s="401" t="str">
        <f>IFERROR(VLOOKUP(S148,'G-1 All Habitats'!$Z$2:$AA$9,2,FALSE),"")</f>
        <v/>
      </c>
      <c r="U148" s="122"/>
      <c r="V148" s="382" t="str">
        <f>IF(U148="","",IF(VLOOKUP(U148,'G-3 Multipliers'!$L$3:$N$6,2,FALSE)=0,"Spatial Data Missing ⚠",VLOOKUP(U148,'G-3 Multipliers'!$L$3:$N$6,2,FALSE)))</f>
        <v/>
      </c>
      <c r="W148" s="386" t="str">
        <f>IF(U148="","",IF(VLOOKUP(U148,'G-3 Multipliers'!$L$3:$N$6,3,FALSE)=0,"Spatial Data Missing ⚠",VLOOKUP(U148,'G-3 Multipliers'!$L$3:$N$6,3,FALSE)))</f>
        <v/>
      </c>
      <c r="X148" s="362" t="str">
        <f>IFERROR(IF(OR(LEFT(O148,5)="Error",LEFT(N148,5)="Error",T148="Error"),"Check Data ⚠",IF(F148&lt;R148,INDEX('G-6 Hedgerow Data'!$S$3:$AE$14,MATCH(C148,'G-6 Hedgerow Data'!$B$3:$B$14,0),MATCH(M148,'G-6 Hedgerow Data'!$S$2:$AE$2,0)),INDEX('G-6 Hedgerow Data'!$K$3:$Q$14,MATCH(M148,'G-6 Hedgerow Data'!$B$3:$B$14,0),MATCH(O148,'G-6 Hedgerow Data'!$K$2:$Q$2,0)))),"")</f>
        <v/>
      </c>
      <c r="Y148" s="159"/>
      <c r="Z148" s="159"/>
      <c r="AA148" s="370" t="str">
        <f t="shared" si="19"/>
        <v/>
      </c>
      <c r="AB148" s="383" t="str">
        <f t="shared" si="20"/>
        <v/>
      </c>
      <c r="AC148" s="384" t="str">
        <f t="shared" si="16"/>
        <v/>
      </c>
      <c r="AD148" s="398" t="str">
        <f>IF(M148="","",VLOOKUP(M148,'G-6 Hedgerow Data'!$B$3:$AG$15,31,FALSE))</f>
        <v/>
      </c>
      <c r="AE148" s="370" t="str">
        <f t="shared" si="21"/>
        <v/>
      </c>
      <c r="AF148" s="370" t="str">
        <f t="shared" si="22"/>
        <v/>
      </c>
      <c r="AG148" s="386" t="str">
        <f>IFERROR(IF(O148="","",VLOOKUP(AD148,'G-3 Multipliers'!$P$3:$Q$6,2,FALSE)),"")</f>
        <v/>
      </c>
      <c r="AH148" s="376" t="str">
        <f t="shared" si="17"/>
        <v/>
      </c>
      <c r="AI148" s="188"/>
      <c r="AJ148" s="118"/>
      <c r="AK148" s="120"/>
      <c r="AT148" s="30" t="str">
        <f>IFERROR(INDEX('G-6 Hedgerow Data'!$BJ$3:$BJ$15,MATCH(M148,'G-6 Hedgerow Data'!$B$3:$B$15,0)),"")</f>
        <v/>
      </c>
    </row>
    <row r="149" spans="2:46" ht="15">
      <c r="B149" s="392" t="str">
        <f>'B-1 On-Site Hedge Baseline'!AK147</f>
        <v/>
      </c>
      <c r="C149" s="382" t="str">
        <f>IF(B149="","",IF(ISNA(VLOOKUP($B149,'B-1 On-Site Hedge Baseline'!$B$1:$L$257,3,FALSE)),"",(VLOOKUP($B149,'B-1 On-Site Hedge Baseline'!$B$1:$L$257,3,FALSE))))</f>
        <v/>
      </c>
      <c r="D149" s="382" t="str">
        <f>IF(B149="","",IF(ISNA(VLOOKUP($B149,'B-1 On-Site Hedge Baseline'!$B$1:$L$257,4,FALSE)),"",(VLOOKUP($B149,'B-1 On-Site Hedge Baseline'!$B$1:$L$257,4,FALSE))))</f>
        <v/>
      </c>
      <c r="E149" s="382" t="str">
        <f>IF(B149="","",IF(ISNA(VLOOKUP($B149,'B-1 On-Site Hedge Baseline'!$B$1:$L$257,5,FALSE)),"",(VLOOKUP($B149,'B-1 On-Site Hedge Baseline'!$B$1:$L$257,5,FALSE))))</f>
        <v/>
      </c>
      <c r="F149" s="382" t="str">
        <f>IF(B149="","",IF(ISNA(VLOOKUP($B149,'B-1 On-Site Hedge Baseline'!$B$1:$L$257,6,FALSE)),"",(VLOOKUP($B149,'B-1 On-Site Hedge Baseline'!$B$1:$L$257,6,FALSE))))</f>
        <v/>
      </c>
      <c r="G149" s="382" t="str">
        <f>IF(B149="","",IF(ISNA(VLOOKUP($B149,'B-1 On-Site Hedge Baseline'!$B$1:$L$257,7,FALSE)),"",(VLOOKUP($B149,'B-1 On-Site Hedge Baseline'!$B$1:$L$257,7,FALSE))))</f>
        <v/>
      </c>
      <c r="H149" s="382" t="str">
        <f>IF(B149="","",IF(ISNA(VLOOKUP($B149,'B-1 On-Site Hedge Baseline'!$B$1:$L$257,8,FALSE)),"",(VLOOKUP($B149,'B-1 On-Site Hedge Baseline'!$B$1:$L$257,8,FALSE))))</f>
        <v/>
      </c>
      <c r="I149" s="382" t="str">
        <f>IF(B149="","",IF(ISNA(VLOOKUP($B149,'B-1 On-Site Hedge Baseline'!$B$1:$L$257,10,FALSE)),"",(VLOOKUP($B149,'B-1 On-Site Hedge Baseline'!$B$1:$L$257,10,FALSE))))</f>
        <v/>
      </c>
      <c r="J149" s="382" t="str">
        <f>IF(B149="","",IF(ISNA(VLOOKUP($B149,'B-1 On-Site Hedge Baseline'!$B$1:$L$257,11,FALSE)),"",(VLOOKUP($B149,'B-1 On-Site Hedge Baseline'!$B$1:$L$257,11,FALSE))))</f>
        <v/>
      </c>
      <c r="K149" s="382" t="str">
        <f>IF(B149="","",IF(ISNA(VLOOKUP($B149,'B-1 On-Site Hedge Baseline'!$B$1:$U$257,13,FALSE)),"",(VLOOKUP($B149,'B-1 On-Site Hedge Baseline'!$B$1:$U$257,13,FALSE))))</f>
        <v/>
      </c>
      <c r="L149" s="386" t="str">
        <f>IF(B149="","",IF(ISNA(VLOOKUP($B149,'B-1 On-Site Hedge Baseline'!$B$1:$U$257,12,FALSE)),"",(VLOOKUP($B149,'B-1 On-Site Hedge Baseline'!$B$1:$U$257,12,FALSE))))</f>
        <v/>
      </c>
      <c r="M149" s="315" t="str">
        <f t="shared" si="23"/>
        <v/>
      </c>
      <c r="N149" s="362" t="str">
        <f>IFERROR(IF(B149="","",INDEX('G-6 Hedgerow Data'!$AN$3:$AZ$15,MATCH(C149,'G-6 Hedgerow Data'!$AM$3:$AM$15,0),MATCH(M149,'G-6 Hedgerow Data'!$AN$2:$AZ$2,0))),"")</f>
        <v/>
      </c>
      <c r="O149" s="363" t="str">
        <f t="shared" si="18"/>
        <v/>
      </c>
      <c r="P149" s="417" t="str">
        <f>IF(B149="","",VLOOKUP(B149,'B-1 On-Site Hedge Baseline'!$B$10:T394,16,FALSE))</f>
        <v/>
      </c>
      <c r="Q149" s="362" t="str">
        <f>IF(M149="","",VLOOKUP(M149,'G-6 Hedgerow Data'!$B$2:$AG$15,2,FALSE))</f>
        <v/>
      </c>
      <c r="R149" s="363" t="str">
        <f>IF(M149="","",VLOOKUP(M149,'G-6 Hedgerow Data'!$B$2:$AG$15,3,FALSE))</f>
        <v/>
      </c>
      <c r="S149" s="125"/>
      <c r="T149" s="401" t="str">
        <f>IFERROR(VLOOKUP(S149,'G-1 All Habitats'!$Z$2:$AA$9,2,FALSE),"")</f>
        <v/>
      </c>
      <c r="U149" s="122"/>
      <c r="V149" s="382" t="str">
        <f>IF(U149="","",IF(VLOOKUP(U149,'G-3 Multipliers'!$L$3:$N$6,2,FALSE)=0,"Spatial Data Missing ⚠",VLOOKUP(U149,'G-3 Multipliers'!$L$3:$N$6,2,FALSE)))</f>
        <v/>
      </c>
      <c r="W149" s="386" t="str">
        <f>IF(U149="","",IF(VLOOKUP(U149,'G-3 Multipliers'!$L$3:$N$6,3,FALSE)=0,"Spatial Data Missing ⚠",VLOOKUP(U149,'G-3 Multipliers'!$L$3:$N$6,3,FALSE)))</f>
        <v/>
      </c>
      <c r="X149" s="362" t="str">
        <f>IFERROR(IF(OR(LEFT(O149,5)="Error",LEFT(N149,5)="Error",T149="Error"),"Check Data ⚠",IF(F149&lt;R149,INDEX('G-6 Hedgerow Data'!$S$3:$AE$14,MATCH(C149,'G-6 Hedgerow Data'!$B$3:$B$14,0),MATCH(M149,'G-6 Hedgerow Data'!$S$2:$AE$2,0)),INDEX('G-6 Hedgerow Data'!$K$3:$Q$14,MATCH(M149,'G-6 Hedgerow Data'!$B$3:$B$14,0),MATCH(O149,'G-6 Hedgerow Data'!$K$2:$Q$2,0)))),"")</f>
        <v/>
      </c>
      <c r="Y149" s="159"/>
      <c r="Z149" s="159"/>
      <c r="AA149" s="370" t="str">
        <f t="shared" si="19"/>
        <v/>
      </c>
      <c r="AB149" s="383" t="str">
        <f t="shared" si="20"/>
        <v/>
      </c>
      <c r="AC149" s="384" t="str">
        <f t="shared" si="16"/>
        <v/>
      </c>
      <c r="AD149" s="398" t="str">
        <f>IF(M149="","",VLOOKUP(M149,'G-6 Hedgerow Data'!$B$3:$AG$15,31,FALSE))</f>
        <v/>
      </c>
      <c r="AE149" s="370" t="str">
        <f t="shared" si="21"/>
        <v/>
      </c>
      <c r="AF149" s="370" t="str">
        <f t="shared" si="22"/>
        <v/>
      </c>
      <c r="AG149" s="386" t="str">
        <f>IFERROR(IF(O149="","",VLOOKUP(AD149,'G-3 Multipliers'!$P$3:$Q$6,2,FALSE)),"")</f>
        <v/>
      </c>
      <c r="AH149" s="376" t="str">
        <f t="shared" si="17"/>
        <v/>
      </c>
      <c r="AI149" s="188"/>
      <c r="AJ149" s="118"/>
      <c r="AK149" s="120"/>
      <c r="AT149" s="30" t="str">
        <f>IFERROR(INDEX('G-6 Hedgerow Data'!$BJ$3:$BJ$15,MATCH(M149,'G-6 Hedgerow Data'!$B$3:$B$15,0)),"")</f>
        <v/>
      </c>
    </row>
    <row r="150" spans="2:46" ht="15">
      <c r="B150" s="392" t="str">
        <f>'B-1 On-Site Hedge Baseline'!AK148</f>
        <v/>
      </c>
      <c r="C150" s="382" t="str">
        <f>IF(B150="","",IF(ISNA(VLOOKUP($B150,'B-1 On-Site Hedge Baseline'!$B$1:$L$257,3,FALSE)),"",(VLOOKUP($B150,'B-1 On-Site Hedge Baseline'!$B$1:$L$257,3,FALSE))))</f>
        <v/>
      </c>
      <c r="D150" s="382" t="str">
        <f>IF(B150="","",IF(ISNA(VLOOKUP($B150,'B-1 On-Site Hedge Baseline'!$B$1:$L$257,4,FALSE)),"",(VLOOKUP($B150,'B-1 On-Site Hedge Baseline'!$B$1:$L$257,4,FALSE))))</f>
        <v/>
      </c>
      <c r="E150" s="382" t="str">
        <f>IF(B150="","",IF(ISNA(VLOOKUP($B150,'B-1 On-Site Hedge Baseline'!$B$1:$L$257,5,FALSE)),"",(VLOOKUP($B150,'B-1 On-Site Hedge Baseline'!$B$1:$L$257,5,FALSE))))</f>
        <v/>
      </c>
      <c r="F150" s="382" t="str">
        <f>IF(B150="","",IF(ISNA(VLOOKUP($B150,'B-1 On-Site Hedge Baseline'!$B$1:$L$257,6,FALSE)),"",(VLOOKUP($B150,'B-1 On-Site Hedge Baseline'!$B$1:$L$257,6,FALSE))))</f>
        <v/>
      </c>
      <c r="G150" s="382" t="str">
        <f>IF(B150="","",IF(ISNA(VLOOKUP($B150,'B-1 On-Site Hedge Baseline'!$B$1:$L$257,7,FALSE)),"",(VLOOKUP($B150,'B-1 On-Site Hedge Baseline'!$B$1:$L$257,7,FALSE))))</f>
        <v/>
      </c>
      <c r="H150" s="382" t="str">
        <f>IF(B150="","",IF(ISNA(VLOOKUP($B150,'B-1 On-Site Hedge Baseline'!$B$1:$L$257,8,FALSE)),"",(VLOOKUP($B150,'B-1 On-Site Hedge Baseline'!$B$1:$L$257,8,FALSE))))</f>
        <v/>
      </c>
      <c r="I150" s="382" t="str">
        <f>IF(B150="","",IF(ISNA(VLOOKUP($B150,'B-1 On-Site Hedge Baseline'!$B$1:$L$257,10,FALSE)),"",(VLOOKUP($B150,'B-1 On-Site Hedge Baseline'!$B$1:$L$257,10,FALSE))))</f>
        <v/>
      </c>
      <c r="J150" s="382" t="str">
        <f>IF(B150="","",IF(ISNA(VLOOKUP($B150,'B-1 On-Site Hedge Baseline'!$B$1:$L$257,11,FALSE)),"",(VLOOKUP($B150,'B-1 On-Site Hedge Baseline'!$B$1:$L$257,11,FALSE))))</f>
        <v/>
      </c>
      <c r="K150" s="382" t="str">
        <f>IF(B150="","",IF(ISNA(VLOOKUP($B150,'B-1 On-Site Hedge Baseline'!$B$1:$U$257,13,FALSE)),"",(VLOOKUP($B150,'B-1 On-Site Hedge Baseline'!$B$1:$U$257,13,FALSE))))</f>
        <v/>
      </c>
      <c r="L150" s="386" t="str">
        <f>IF(B150="","",IF(ISNA(VLOOKUP($B150,'B-1 On-Site Hedge Baseline'!$B$1:$U$257,12,FALSE)),"",(VLOOKUP($B150,'B-1 On-Site Hedge Baseline'!$B$1:$U$257,12,FALSE))))</f>
        <v/>
      </c>
      <c r="M150" s="315" t="str">
        <f t="shared" si="23"/>
        <v/>
      </c>
      <c r="N150" s="362" t="str">
        <f>IFERROR(IF(B150="","",INDEX('G-6 Hedgerow Data'!$AN$3:$AZ$15,MATCH(C150,'G-6 Hedgerow Data'!$AM$3:$AM$15,0),MATCH(M150,'G-6 Hedgerow Data'!$AN$2:$AZ$2,0))),"")</f>
        <v/>
      </c>
      <c r="O150" s="363" t="str">
        <f t="shared" si="18"/>
        <v/>
      </c>
      <c r="P150" s="417" t="str">
        <f>IF(B150="","",VLOOKUP(B150,'B-1 On-Site Hedge Baseline'!$B$10:T395,16,FALSE))</f>
        <v/>
      </c>
      <c r="Q150" s="362" t="str">
        <f>IF(M150="","",VLOOKUP(M150,'G-6 Hedgerow Data'!$B$2:$AG$15,2,FALSE))</f>
        <v/>
      </c>
      <c r="R150" s="363" t="str">
        <f>IF(M150="","",VLOOKUP(M150,'G-6 Hedgerow Data'!$B$2:$AG$15,3,FALSE))</f>
        <v/>
      </c>
      <c r="S150" s="125"/>
      <c r="T150" s="401" t="str">
        <f>IFERROR(VLOOKUP(S150,'G-1 All Habitats'!$Z$2:$AA$9,2,FALSE),"")</f>
        <v/>
      </c>
      <c r="U150" s="122"/>
      <c r="V150" s="382" t="str">
        <f>IF(U150="","",IF(VLOOKUP(U150,'G-3 Multipliers'!$L$3:$N$6,2,FALSE)=0,"Spatial Data Missing ⚠",VLOOKUP(U150,'G-3 Multipliers'!$L$3:$N$6,2,FALSE)))</f>
        <v/>
      </c>
      <c r="W150" s="386" t="str">
        <f>IF(U150="","",IF(VLOOKUP(U150,'G-3 Multipliers'!$L$3:$N$6,3,FALSE)=0,"Spatial Data Missing ⚠",VLOOKUP(U150,'G-3 Multipliers'!$L$3:$N$6,3,FALSE)))</f>
        <v/>
      </c>
      <c r="X150" s="362" t="str">
        <f>IFERROR(IF(OR(LEFT(O150,5)="Error",LEFT(N150,5)="Error",T150="Error"),"Check Data ⚠",IF(F150&lt;R150,INDEX('G-6 Hedgerow Data'!$S$3:$AE$14,MATCH(C150,'G-6 Hedgerow Data'!$B$3:$B$14,0),MATCH(M150,'G-6 Hedgerow Data'!$S$2:$AE$2,0)),INDEX('G-6 Hedgerow Data'!$K$3:$Q$14,MATCH(M150,'G-6 Hedgerow Data'!$B$3:$B$14,0),MATCH(O150,'G-6 Hedgerow Data'!$K$2:$Q$2,0)))),"")</f>
        <v/>
      </c>
      <c r="Y150" s="159"/>
      <c r="Z150" s="159"/>
      <c r="AA150" s="370" t="str">
        <f t="shared" si="19"/>
        <v/>
      </c>
      <c r="AB150" s="383" t="str">
        <f t="shared" si="20"/>
        <v/>
      </c>
      <c r="AC150" s="384" t="str">
        <f t="shared" si="16"/>
        <v/>
      </c>
      <c r="AD150" s="398" t="str">
        <f>IF(M150="","",VLOOKUP(M150,'G-6 Hedgerow Data'!$B$3:$AG$15,31,FALSE))</f>
        <v/>
      </c>
      <c r="AE150" s="370" t="str">
        <f t="shared" si="21"/>
        <v/>
      </c>
      <c r="AF150" s="370" t="str">
        <f t="shared" si="22"/>
        <v/>
      </c>
      <c r="AG150" s="386" t="str">
        <f>IFERROR(IF(O150="","",VLOOKUP(AD150,'G-3 Multipliers'!$P$3:$Q$6,2,FALSE)),"")</f>
        <v/>
      </c>
      <c r="AH150" s="376" t="str">
        <f t="shared" si="17"/>
        <v/>
      </c>
      <c r="AI150" s="188"/>
      <c r="AJ150" s="118"/>
      <c r="AK150" s="120"/>
      <c r="AT150" s="30" t="str">
        <f>IFERROR(INDEX('G-6 Hedgerow Data'!$BJ$3:$BJ$15,MATCH(M150,'G-6 Hedgerow Data'!$B$3:$B$15,0)),"")</f>
        <v/>
      </c>
    </row>
    <row r="151" spans="2:46" ht="15">
      <c r="B151" s="392" t="str">
        <f>'B-1 On-Site Hedge Baseline'!AK149</f>
        <v/>
      </c>
      <c r="C151" s="382" t="str">
        <f>IF(B151="","",IF(ISNA(VLOOKUP($B151,'B-1 On-Site Hedge Baseline'!$B$1:$L$257,3,FALSE)),"",(VLOOKUP($B151,'B-1 On-Site Hedge Baseline'!$B$1:$L$257,3,FALSE))))</f>
        <v/>
      </c>
      <c r="D151" s="382" t="str">
        <f>IF(B151="","",IF(ISNA(VLOOKUP($B151,'B-1 On-Site Hedge Baseline'!$B$1:$L$257,4,FALSE)),"",(VLOOKUP($B151,'B-1 On-Site Hedge Baseline'!$B$1:$L$257,4,FALSE))))</f>
        <v/>
      </c>
      <c r="E151" s="382" t="str">
        <f>IF(B151="","",IF(ISNA(VLOOKUP($B151,'B-1 On-Site Hedge Baseline'!$B$1:$L$257,5,FALSE)),"",(VLOOKUP($B151,'B-1 On-Site Hedge Baseline'!$B$1:$L$257,5,FALSE))))</f>
        <v/>
      </c>
      <c r="F151" s="382" t="str">
        <f>IF(B151="","",IF(ISNA(VLOOKUP($B151,'B-1 On-Site Hedge Baseline'!$B$1:$L$257,6,FALSE)),"",(VLOOKUP($B151,'B-1 On-Site Hedge Baseline'!$B$1:$L$257,6,FALSE))))</f>
        <v/>
      </c>
      <c r="G151" s="382" t="str">
        <f>IF(B151="","",IF(ISNA(VLOOKUP($B151,'B-1 On-Site Hedge Baseline'!$B$1:$L$257,7,FALSE)),"",(VLOOKUP($B151,'B-1 On-Site Hedge Baseline'!$B$1:$L$257,7,FALSE))))</f>
        <v/>
      </c>
      <c r="H151" s="382" t="str">
        <f>IF(B151="","",IF(ISNA(VLOOKUP($B151,'B-1 On-Site Hedge Baseline'!$B$1:$L$257,8,FALSE)),"",(VLOOKUP($B151,'B-1 On-Site Hedge Baseline'!$B$1:$L$257,8,FALSE))))</f>
        <v/>
      </c>
      <c r="I151" s="382" t="str">
        <f>IF(B151="","",IF(ISNA(VLOOKUP($B151,'B-1 On-Site Hedge Baseline'!$B$1:$L$257,10,FALSE)),"",(VLOOKUP($B151,'B-1 On-Site Hedge Baseline'!$B$1:$L$257,10,FALSE))))</f>
        <v/>
      </c>
      <c r="J151" s="382" t="str">
        <f>IF(B151="","",IF(ISNA(VLOOKUP($B151,'B-1 On-Site Hedge Baseline'!$B$1:$L$257,11,FALSE)),"",(VLOOKUP($B151,'B-1 On-Site Hedge Baseline'!$B$1:$L$257,11,FALSE))))</f>
        <v/>
      </c>
      <c r="K151" s="382" t="str">
        <f>IF(B151="","",IF(ISNA(VLOOKUP($B151,'B-1 On-Site Hedge Baseline'!$B$1:$U$257,13,FALSE)),"",(VLOOKUP($B151,'B-1 On-Site Hedge Baseline'!$B$1:$U$257,13,FALSE))))</f>
        <v/>
      </c>
      <c r="L151" s="386" t="str">
        <f>IF(B151="","",IF(ISNA(VLOOKUP($B151,'B-1 On-Site Hedge Baseline'!$B$1:$U$257,12,FALSE)),"",(VLOOKUP($B151,'B-1 On-Site Hedge Baseline'!$B$1:$U$257,12,FALSE))))</f>
        <v/>
      </c>
      <c r="M151" s="315" t="str">
        <f t="shared" si="23"/>
        <v/>
      </c>
      <c r="N151" s="362" t="str">
        <f>IFERROR(IF(B151="","",INDEX('G-6 Hedgerow Data'!$AN$3:$AZ$15,MATCH(C151,'G-6 Hedgerow Data'!$AM$3:$AM$15,0),MATCH(M151,'G-6 Hedgerow Data'!$AN$2:$AZ$2,0))),"")</f>
        <v/>
      </c>
      <c r="O151" s="363" t="str">
        <f t="shared" si="18"/>
        <v/>
      </c>
      <c r="P151" s="417" t="str">
        <f>IF(B151="","",VLOOKUP(B151,'B-1 On-Site Hedge Baseline'!$B$10:T396,16,FALSE))</f>
        <v/>
      </c>
      <c r="Q151" s="362" t="str">
        <f>IF(M151="","",VLOOKUP(M151,'G-6 Hedgerow Data'!$B$2:$AG$15,2,FALSE))</f>
        <v/>
      </c>
      <c r="R151" s="363" t="str">
        <f>IF(M151="","",VLOOKUP(M151,'G-6 Hedgerow Data'!$B$2:$AG$15,3,FALSE))</f>
        <v/>
      </c>
      <c r="S151" s="125"/>
      <c r="T151" s="401" t="str">
        <f>IFERROR(VLOOKUP(S151,'G-1 All Habitats'!$Z$2:$AA$9,2,FALSE),"")</f>
        <v/>
      </c>
      <c r="U151" s="122"/>
      <c r="V151" s="382" t="str">
        <f>IF(U151="","",IF(VLOOKUP(U151,'G-3 Multipliers'!$L$3:$N$6,2,FALSE)=0,"Spatial Data Missing ⚠",VLOOKUP(U151,'G-3 Multipliers'!$L$3:$N$6,2,FALSE)))</f>
        <v/>
      </c>
      <c r="W151" s="386" t="str">
        <f>IF(U151="","",IF(VLOOKUP(U151,'G-3 Multipliers'!$L$3:$N$6,3,FALSE)=0,"Spatial Data Missing ⚠",VLOOKUP(U151,'G-3 Multipliers'!$L$3:$N$6,3,FALSE)))</f>
        <v/>
      </c>
      <c r="X151" s="362" t="str">
        <f>IFERROR(IF(OR(LEFT(O151,5)="Error",LEFT(N151,5)="Error",T151="Error"),"Check Data ⚠",IF(F151&lt;R151,INDEX('G-6 Hedgerow Data'!$S$3:$AE$14,MATCH(C151,'G-6 Hedgerow Data'!$B$3:$B$14,0),MATCH(M151,'G-6 Hedgerow Data'!$S$2:$AE$2,0)),INDEX('G-6 Hedgerow Data'!$K$3:$Q$14,MATCH(M151,'G-6 Hedgerow Data'!$B$3:$B$14,0),MATCH(O151,'G-6 Hedgerow Data'!$K$2:$Q$2,0)))),"")</f>
        <v/>
      </c>
      <c r="Y151" s="159"/>
      <c r="Z151" s="159"/>
      <c r="AA151" s="370" t="str">
        <f t="shared" si="19"/>
        <v/>
      </c>
      <c r="AB151" s="383" t="str">
        <f t="shared" si="20"/>
        <v/>
      </c>
      <c r="AC151" s="384" t="str">
        <f t="shared" si="16"/>
        <v/>
      </c>
      <c r="AD151" s="398" t="str">
        <f>IF(M151="","",VLOOKUP(M151,'G-6 Hedgerow Data'!$B$3:$AG$15,31,FALSE))</f>
        <v/>
      </c>
      <c r="AE151" s="370" t="str">
        <f t="shared" si="21"/>
        <v/>
      </c>
      <c r="AF151" s="370" t="str">
        <f t="shared" si="22"/>
        <v/>
      </c>
      <c r="AG151" s="386" t="str">
        <f>IFERROR(IF(O151="","",VLOOKUP(AD151,'G-3 Multipliers'!$P$3:$Q$6,2,FALSE)),"")</f>
        <v/>
      </c>
      <c r="AH151" s="376" t="str">
        <f t="shared" si="17"/>
        <v/>
      </c>
      <c r="AI151" s="188"/>
      <c r="AJ151" s="118"/>
      <c r="AK151" s="120"/>
      <c r="AT151" s="30" t="str">
        <f>IFERROR(INDEX('G-6 Hedgerow Data'!$BJ$3:$BJ$15,MATCH(M151,'G-6 Hedgerow Data'!$B$3:$B$15,0)),"")</f>
        <v/>
      </c>
    </row>
    <row r="152" spans="2:46" ht="15">
      <c r="B152" s="392" t="str">
        <f>'B-1 On-Site Hedge Baseline'!AK150</f>
        <v/>
      </c>
      <c r="C152" s="382" t="str">
        <f>IF(B152="","",IF(ISNA(VLOOKUP($B152,'B-1 On-Site Hedge Baseline'!$B$1:$L$257,3,FALSE)),"",(VLOOKUP($B152,'B-1 On-Site Hedge Baseline'!$B$1:$L$257,3,FALSE))))</f>
        <v/>
      </c>
      <c r="D152" s="382" t="str">
        <f>IF(B152="","",IF(ISNA(VLOOKUP($B152,'B-1 On-Site Hedge Baseline'!$B$1:$L$257,4,FALSE)),"",(VLOOKUP($B152,'B-1 On-Site Hedge Baseline'!$B$1:$L$257,4,FALSE))))</f>
        <v/>
      </c>
      <c r="E152" s="382" t="str">
        <f>IF(B152="","",IF(ISNA(VLOOKUP($B152,'B-1 On-Site Hedge Baseline'!$B$1:$L$257,5,FALSE)),"",(VLOOKUP($B152,'B-1 On-Site Hedge Baseline'!$B$1:$L$257,5,FALSE))))</f>
        <v/>
      </c>
      <c r="F152" s="382" t="str">
        <f>IF(B152="","",IF(ISNA(VLOOKUP($B152,'B-1 On-Site Hedge Baseline'!$B$1:$L$257,6,FALSE)),"",(VLOOKUP($B152,'B-1 On-Site Hedge Baseline'!$B$1:$L$257,6,FALSE))))</f>
        <v/>
      </c>
      <c r="G152" s="382" t="str">
        <f>IF(B152="","",IF(ISNA(VLOOKUP($B152,'B-1 On-Site Hedge Baseline'!$B$1:$L$257,7,FALSE)),"",(VLOOKUP($B152,'B-1 On-Site Hedge Baseline'!$B$1:$L$257,7,FALSE))))</f>
        <v/>
      </c>
      <c r="H152" s="382" t="str">
        <f>IF(B152="","",IF(ISNA(VLOOKUP($B152,'B-1 On-Site Hedge Baseline'!$B$1:$L$257,8,FALSE)),"",(VLOOKUP($B152,'B-1 On-Site Hedge Baseline'!$B$1:$L$257,8,FALSE))))</f>
        <v/>
      </c>
      <c r="I152" s="382" t="str">
        <f>IF(B152="","",IF(ISNA(VLOOKUP($B152,'B-1 On-Site Hedge Baseline'!$B$1:$L$257,10,FALSE)),"",(VLOOKUP($B152,'B-1 On-Site Hedge Baseline'!$B$1:$L$257,10,FALSE))))</f>
        <v/>
      </c>
      <c r="J152" s="382" t="str">
        <f>IF(B152="","",IF(ISNA(VLOOKUP($B152,'B-1 On-Site Hedge Baseline'!$B$1:$L$257,11,FALSE)),"",(VLOOKUP($B152,'B-1 On-Site Hedge Baseline'!$B$1:$L$257,11,FALSE))))</f>
        <v/>
      </c>
      <c r="K152" s="382" t="str">
        <f>IF(B152="","",IF(ISNA(VLOOKUP($B152,'B-1 On-Site Hedge Baseline'!$B$1:$U$257,13,FALSE)),"",(VLOOKUP($B152,'B-1 On-Site Hedge Baseline'!$B$1:$U$257,13,FALSE))))</f>
        <v/>
      </c>
      <c r="L152" s="386" t="str">
        <f>IF(B152="","",IF(ISNA(VLOOKUP($B152,'B-1 On-Site Hedge Baseline'!$B$1:$U$257,12,FALSE)),"",(VLOOKUP($B152,'B-1 On-Site Hedge Baseline'!$B$1:$U$257,12,FALSE))))</f>
        <v/>
      </c>
      <c r="M152" s="315" t="str">
        <f t="shared" si="23"/>
        <v/>
      </c>
      <c r="N152" s="362" t="str">
        <f>IFERROR(IF(B152="","",INDEX('G-6 Hedgerow Data'!$AN$3:$AZ$15,MATCH(C152,'G-6 Hedgerow Data'!$AM$3:$AM$15,0),MATCH(M152,'G-6 Hedgerow Data'!$AN$2:$AZ$2,0))),"")</f>
        <v/>
      </c>
      <c r="O152" s="363" t="str">
        <f t="shared" si="18"/>
        <v/>
      </c>
      <c r="P152" s="417" t="str">
        <f>IF(B152="","",VLOOKUP(B152,'B-1 On-Site Hedge Baseline'!$B$10:T397,16,FALSE))</f>
        <v/>
      </c>
      <c r="Q152" s="362" t="str">
        <f>IF(M152="","",VLOOKUP(M152,'G-6 Hedgerow Data'!$B$2:$AG$15,2,FALSE))</f>
        <v/>
      </c>
      <c r="R152" s="363" t="str">
        <f>IF(M152="","",VLOOKUP(M152,'G-6 Hedgerow Data'!$B$2:$AG$15,3,FALSE))</f>
        <v/>
      </c>
      <c r="S152" s="125"/>
      <c r="T152" s="401" t="str">
        <f>IFERROR(VLOOKUP(S152,'G-1 All Habitats'!$Z$2:$AA$9,2,FALSE),"")</f>
        <v/>
      </c>
      <c r="U152" s="122"/>
      <c r="V152" s="382" t="str">
        <f>IF(U152="","",IF(VLOOKUP(U152,'G-3 Multipliers'!$L$3:$N$6,2,FALSE)=0,"Spatial Data Missing ⚠",VLOOKUP(U152,'G-3 Multipliers'!$L$3:$N$6,2,FALSE)))</f>
        <v/>
      </c>
      <c r="W152" s="386" t="str">
        <f>IF(U152="","",IF(VLOOKUP(U152,'G-3 Multipliers'!$L$3:$N$6,3,FALSE)=0,"Spatial Data Missing ⚠",VLOOKUP(U152,'G-3 Multipliers'!$L$3:$N$6,3,FALSE)))</f>
        <v/>
      </c>
      <c r="X152" s="362" t="str">
        <f>IFERROR(IF(OR(LEFT(O152,5)="Error",LEFT(N152,5)="Error",T152="Error"),"Check Data ⚠",IF(F152&lt;R152,INDEX('G-6 Hedgerow Data'!$S$3:$AE$14,MATCH(C152,'G-6 Hedgerow Data'!$B$3:$B$14,0),MATCH(M152,'G-6 Hedgerow Data'!$S$2:$AE$2,0)),INDEX('G-6 Hedgerow Data'!$K$3:$Q$14,MATCH(M152,'G-6 Hedgerow Data'!$B$3:$B$14,0),MATCH(O152,'G-6 Hedgerow Data'!$K$2:$Q$2,0)))),"")</f>
        <v/>
      </c>
      <c r="Y152" s="159"/>
      <c r="Z152" s="159"/>
      <c r="AA152" s="370" t="str">
        <f t="shared" si="19"/>
        <v/>
      </c>
      <c r="AB152" s="383" t="str">
        <f t="shared" si="20"/>
        <v/>
      </c>
      <c r="AC152" s="384" t="str">
        <f t="shared" si="16"/>
        <v/>
      </c>
      <c r="AD152" s="398" t="str">
        <f>IF(M152="","",VLOOKUP(M152,'G-6 Hedgerow Data'!$B$3:$AG$15,31,FALSE))</f>
        <v/>
      </c>
      <c r="AE152" s="370" t="str">
        <f t="shared" si="21"/>
        <v/>
      </c>
      <c r="AF152" s="370" t="str">
        <f t="shared" si="22"/>
        <v/>
      </c>
      <c r="AG152" s="386" t="str">
        <f>IFERROR(IF(O152="","",VLOOKUP(AD152,'G-3 Multipliers'!$P$3:$Q$6,2,FALSE)),"")</f>
        <v/>
      </c>
      <c r="AH152" s="376" t="str">
        <f t="shared" si="17"/>
        <v/>
      </c>
      <c r="AI152" s="188"/>
      <c r="AJ152" s="118"/>
      <c r="AK152" s="120"/>
      <c r="AT152" s="30" t="str">
        <f>IFERROR(INDEX('G-6 Hedgerow Data'!$BJ$3:$BJ$15,MATCH(M152,'G-6 Hedgerow Data'!$B$3:$B$15,0)),"")</f>
        <v/>
      </c>
    </row>
    <row r="153" spans="2:46" ht="15">
      <c r="B153" s="392" t="str">
        <f>'B-1 On-Site Hedge Baseline'!AK151</f>
        <v/>
      </c>
      <c r="C153" s="382" t="str">
        <f>IF(B153="","",IF(ISNA(VLOOKUP($B153,'B-1 On-Site Hedge Baseline'!$B$1:$L$257,3,FALSE)),"",(VLOOKUP($B153,'B-1 On-Site Hedge Baseline'!$B$1:$L$257,3,FALSE))))</f>
        <v/>
      </c>
      <c r="D153" s="382" t="str">
        <f>IF(B153="","",IF(ISNA(VLOOKUP($B153,'B-1 On-Site Hedge Baseline'!$B$1:$L$257,4,FALSE)),"",(VLOOKUP($B153,'B-1 On-Site Hedge Baseline'!$B$1:$L$257,4,FALSE))))</f>
        <v/>
      </c>
      <c r="E153" s="382" t="str">
        <f>IF(B153="","",IF(ISNA(VLOOKUP($B153,'B-1 On-Site Hedge Baseline'!$B$1:$L$257,5,FALSE)),"",(VLOOKUP($B153,'B-1 On-Site Hedge Baseline'!$B$1:$L$257,5,FALSE))))</f>
        <v/>
      </c>
      <c r="F153" s="382" t="str">
        <f>IF(B153="","",IF(ISNA(VLOOKUP($B153,'B-1 On-Site Hedge Baseline'!$B$1:$L$257,6,FALSE)),"",(VLOOKUP($B153,'B-1 On-Site Hedge Baseline'!$B$1:$L$257,6,FALSE))))</f>
        <v/>
      </c>
      <c r="G153" s="382" t="str">
        <f>IF(B153="","",IF(ISNA(VLOOKUP($B153,'B-1 On-Site Hedge Baseline'!$B$1:$L$257,7,FALSE)),"",(VLOOKUP($B153,'B-1 On-Site Hedge Baseline'!$B$1:$L$257,7,FALSE))))</f>
        <v/>
      </c>
      <c r="H153" s="382" t="str">
        <f>IF(B153="","",IF(ISNA(VLOOKUP($B153,'B-1 On-Site Hedge Baseline'!$B$1:$L$257,8,FALSE)),"",(VLOOKUP($B153,'B-1 On-Site Hedge Baseline'!$B$1:$L$257,8,FALSE))))</f>
        <v/>
      </c>
      <c r="I153" s="382" t="str">
        <f>IF(B153="","",IF(ISNA(VLOOKUP($B153,'B-1 On-Site Hedge Baseline'!$B$1:$L$257,10,FALSE)),"",(VLOOKUP($B153,'B-1 On-Site Hedge Baseline'!$B$1:$L$257,10,FALSE))))</f>
        <v/>
      </c>
      <c r="J153" s="382" t="str">
        <f>IF(B153="","",IF(ISNA(VLOOKUP($B153,'B-1 On-Site Hedge Baseline'!$B$1:$L$257,11,FALSE)),"",(VLOOKUP($B153,'B-1 On-Site Hedge Baseline'!$B$1:$L$257,11,FALSE))))</f>
        <v/>
      </c>
      <c r="K153" s="382" t="str">
        <f>IF(B153="","",IF(ISNA(VLOOKUP($B153,'B-1 On-Site Hedge Baseline'!$B$1:$U$257,13,FALSE)),"",(VLOOKUP($B153,'B-1 On-Site Hedge Baseline'!$B$1:$U$257,13,FALSE))))</f>
        <v/>
      </c>
      <c r="L153" s="386" t="str">
        <f>IF(B153="","",IF(ISNA(VLOOKUP($B153,'B-1 On-Site Hedge Baseline'!$B$1:$U$257,12,FALSE)),"",(VLOOKUP($B153,'B-1 On-Site Hedge Baseline'!$B$1:$U$257,12,FALSE))))</f>
        <v/>
      </c>
      <c r="M153" s="315" t="str">
        <f t="shared" si="23"/>
        <v/>
      </c>
      <c r="N153" s="362" t="str">
        <f>IFERROR(IF(B153="","",INDEX('G-6 Hedgerow Data'!$AN$3:$AZ$15,MATCH(C153,'G-6 Hedgerow Data'!$AM$3:$AM$15,0),MATCH(M153,'G-6 Hedgerow Data'!$AN$2:$AZ$2,0))),"")</f>
        <v/>
      </c>
      <c r="O153" s="363" t="str">
        <f t="shared" si="18"/>
        <v/>
      </c>
      <c r="P153" s="417" t="str">
        <f>IF(B153="","",VLOOKUP(B153,'B-1 On-Site Hedge Baseline'!$B$10:T398,16,FALSE))</f>
        <v/>
      </c>
      <c r="Q153" s="362" t="str">
        <f>IF(M153="","",VLOOKUP(M153,'G-6 Hedgerow Data'!$B$2:$AG$15,2,FALSE))</f>
        <v/>
      </c>
      <c r="R153" s="363" t="str">
        <f>IF(M153="","",VLOOKUP(M153,'G-6 Hedgerow Data'!$B$2:$AG$15,3,FALSE))</f>
        <v/>
      </c>
      <c r="S153" s="125"/>
      <c r="T153" s="401" t="str">
        <f>IFERROR(VLOOKUP(S153,'G-1 All Habitats'!$Z$2:$AA$9,2,FALSE),"")</f>
        <v/>
      </c>
      <c r="U153" s="122"/>
      <c r="V153" s="382" t="str">
        <f>IF(U153="","",IF(VLOOKUP(U153,'G-3 Multipliers'!$L$3:$N$6,2,FALSE)=0,"Spatial Data Missing ⚠",VLOOKUP(U153,'G-3 Multipliers'!$L$3:$N$6,2,FALSE)))</f>
        <v/>
      </c>
      <c r="W153" s="386" t="str">
        <f>IF(U153="","",IF(VLOOKUP(U153,'G-3 Multipliers'!$L$3:$N$6,3,FALSE)=0,"Spatial Data Missing ⚠",VLOOKUP(U153,'G-3 Multipliers'!$L$3:$N$6,3,FALSE)))</f>
        <v/>
      </c>
      <c r="X153" s="362" t="str">
        <f>IFERROR(IF(OR(LEFT(O153,5)="Error",LEFT(N153,5)="Error",T153="Error"),"Check Data ⚠",IF(F153&lt;R153,INDEX('G-6 Hedgerow Data'!$S$3:$AE$14,MATCH(C153,'G-6 Hedgerow Data'!$B$3:$B$14,0),MATCH(M153,'G-6 Hedgerow Data'!$S$2:$AE$2,0)),INDEX('G-6 Hedgerow Data'!$K$3:$Q$14,MATCH(M153,'G-6 Hedgerow Data'!$B$3:$B$14,0),MATCH(O153,'G-6 Hedgerow Data'!$K$2:$Q$2,0)))),"")</f>
        <v/>
      </c>
      <c r="Y153" s="159"/>
      <c r="Z153" s="159"/>
      <c r="AA153" s="370" t="str">
        <f t="shared" si="19"/>
        <v/>
      </c>
      <c r="AB153" s="383" t="str">
        <f t="shared" si="20"/>
        <v/>
      </c>
      <c r="AC153" s="384" t="str">
        <f t="shared" si="16"/>
        <v/>
      </c>
      <c r="AD153" s="398" t="str">
        <f>IF(M153="","",VLOOKUP(M153,'G-6 Hedgerow Data'!$B$3:$AG$15,31,FALSE))</f>
        <v/>
      </c>
      <c r="AE153" s="370" t="str">
        <f t="shared" si="21"/>
        <v/>
      </c>
      <c r="AF153" s="370" t="str">
        <f t="shared" si="22"/>
        <v/>
      </c>
      <c r="AG153" s="386" t="str">
        <f>IFERROR(IF(O153="","",VLOOKUP(AD153,'G-3 Multipliers'!$P$3:$Q$6,2,FALSE)),"")</f>
        <v/>
      </c>
      <c r="AH153" s="376" t="str">
        <f t="shared" si="17"/>
        <v/>
      </c>
      <c r="AI153" s="188"/>
      <c r="AJ153" s="118"/>
      <c r="AK153" s="120"/>
      <c r="AT153" s="30" t="str">
        <f>IFERROR(INDEX('G-6 Hedgerow Data'!$BJ$3:$BJ$15,MATCH(M153,'G-6 Hedgerow Data'!$B$3:$B$15,0)),"")</f>
        <v/>
      </c>
    </row>
    <row r="154" spans="2:46" ht="15">
      <c r="B154" s="392" t="str">
        <f>'B-1 On-Site Hedge Baseline'!AK152</f>
        <v/>
      </c>
      <c r="C154" s="382" t="str">
        <f>IF(B154="","",IF(ISNA(VLOOKUP($B154,'B-1 On-Site Hedge Baseline'!$B$1:$L$257,3,FALSE)),"",(VLOOKUP($B154,'B-1 On-Site Hedge Baseline'!$B$1:$L$257,3,FALSE))))</f>
        <v/>
      </c>
      <c r="D154" s="382" t="str">
        <f>IF(B154="","",IF(ISNA(VLOOKUP($B154,'B-1 On-Site Hedge Baseline'!$B$1:$L$257,4,FALSE)),"",(VLOOKUP($B154,'B-1 On-Site Hedge Baseline'!$B$1:$L$257,4,FALSE))))</f>
        <v/>
      </c>
      <c r="E154" s="382" t="str">
        <f>IF(B154="","",IF(ISNA(VLOOKUP($B154,'B-1 On-Site Hedge Baseline'!$B$1:$L$257,5,FALSE)),"",(VLOOKUP($B154,'B-1 On-Site Hedge Baseline'!$B$1:$L$257,5,FALSE))))</f>
        <v/>
      </c>
      <c r="F154" s="382" t="str">
        <f>IF(B154="","",IF(ISNA(VLOOKUP($B154,'B-1 On-Site Hedge Baseline'!$B$1:$L$257,6,FALSE)),"",(VLOOKUP($B154,'B-1 On-Site Hedge Baseline'!$B$1:$L$257,6,FALSE))))</f>
        <v/>
      </c>
      <c r="G154" s="382" t="str">
        <f>IF(B154="","",IF(ISNA(VLOOKUP($B154,'B-1 On-Site Hedge Baseline'!$B$1:$L$257,7,FALSE)),"",(VLOOKUP($B154,'B-1 On-Site Hedge Baseline'!$B$1:$L$257,7,FALSE))))</f>
        <v/>
      </c>
      <c r="H154" s="382" t="str">
        <f>IF(B154="","",IF(ISNA(VLOOKUP($B154,'B-1 On-Site Hedge Baseline'!$B$1:$L$257,8,FALSE)),"",(VLOOKUP($B154,'B-1 On-Site Hedge Baseline'!$B$1:$L$257,8,FALSE))))</f>
        <v/>
      </c>
      <c r="I154" s="382" t="str">
        <f>IF(B154="","",IF(ISNA(VLOOKUP($B154,'B-1 On-Site Hedge Baseline'!$B$1:$L$257,10,FALSE)),"",(VLOOKUP($B154,'B-1 On-Site Hedge Baseline'!$B$1:$L$257,10,FALSE))))</f>
        <v/>
      </c>
      <c r="J154" s="382" t="str">
        <f>IF(B154="","",IF(ISNA(VLOOKUP($B154,'B-1 On-Site Hedge Baseline'!$B$1:$L$257,11,FALSE)),"",(VLOOKUP($B154,'B-1 On-Site Hedge Baseline'!$B$1:$L$257,11,FALSE))))</f>
        <v/>
      </c>
      <c r="K154" s="382" t="str">
        <f>IF(B154="","",IF(ISNA(VLOOKUP($B154,'B-1 On-Site Hedge Baseline'!$B$1:$U$257,13,FALSE)),"",(VLOOKUP($B154,'B-1 On-Site Hedge Baseline'!$B$1:$U$257,13,FALSE))))</f>
        <v/>
      </c>
      <c r="L154" s="386" t="str">
        <f>IF(B154="","",IF(ISNA(VLOOKUP($B154,'B-1 On-Site Hedge Baseline'!$B$1:$U$257,12,FALSE)),"",(VLOOKUP($B154,'B-1 On-Site Hedge Baseline'!$B$1:$U$257,12,FALSE))))</f>
        <v/>
      </c>
      <c r="M154" s="315" t="str">
        <f t="shared" si="23"/>
        <v/>
      </c>
      <c r="N154" s="362" t="str">
        <f>IFERROR(IF(B154="","",INDEX('G-6 Hedgerow Data'!$AN$3:$AZ$15,MATCH(C154,'G-6 Hedgerow Data'!$AM$3:$AM$15,0),MATCH(M154,'G-6 Hedgerow Data'!$AN$2:$AZ$2,0))),"")</f>
        <v/>
      </c>
      <c r="O154" s="363" t="str">
        <f t="shared" si="18"/>
        <v/>
      </c>
      <c r="P154" s="417" t="str">
        <f>IF(B154="","",VLOOKUP(B154,'B-1 On-Site Hedge Baseline'!$B$10:T399,16,FALSE))</f>
        <v/>
      </c>
      <c r="Q154" s="362" t="str">
        <f>IF(M154="","",VLOOKUP(M154,'G-6 Hedgerow Data'!$B$2:$AG$15,2,FALSE))</f>
        <v/>
      </c>
      <c r="R154" s="363" t="str">
        <f>IF(M154="","",VLOOKUP(M154,'G-6 Hedgerow Data'!$B$2:$AG$15,3,FALSE))</f>
        <v/>
      </c>
      <c r="S154" s="125"/>
      <c r="T154" s="401" t="str">
        <f>IFERROR(VLOOKUP(S154,'G-1 All Habitats'!$Z$2:$AA$9,2,FALSE),"")</f>
        <v/>
      </c>
      <c r="U154" s="122"/>
      <c r="V154" s="382" t="str">
        <f>IF(U154="","",IF(VLOOKUP(U154,'G-3 Multipliers'!$L$3:$N$6,2,FALSE)=0,"Spatial Data Missing ⚠",VLOOKUP(U154,'G-3 Multipliers'!$L$3:$N$6,2,FALSE)))</f>
        <v/>
      </c>
      <c r="W154" s="386" t="str">
        <f>IF(U154="","",IF(VLOOKUP(U154,'G-3 Multipliers'!$L$3:$N$6,3,FALSE)=0,"Spatial Data Missing ⚠",VLOOKUP(U154,'G-3 Multipliers'!$L$3:$N$6,3,FALSE)))</f>
        <v/>
      </c>
      <c r="X154" s="362" t="str">
        <f>IFERROR(IF(OR(LEFT(O154,5)="Error",LEFT(N154,5)="Error",T154="Error"),"Check Data ⚠",IF(F154&lt;R154,INDEX('G-6 Hedgerow Data'!$S$3:$AE$14,MATCH(C154,'G-6 Hedgerow Data'!$B$3:$B$14,0),MATCH(M154,'G-6 Hedgerow Data'!$S$2:$AE$2,0)),INDEX('G-6 Hedgerow Data'!$K$3:$Q$14,MATCH(M154,'G-6 Hedgerow Data'!$B$3:$B$14,0),MATCH(O154,'G-6 Hedgerow Data'!$K$2:$Q$2,0)))),"")</f>
        <v/>
      </c>
      <c r="Y154" s="159"/>
      <c r="Z154" s="159"/>
      <c r="AA154" s="370" t="str">
        <f t="shared" si="19"/>
        <v/>
      </c>
      <c r="AB154" s="383" t="str">
        <f t="shared" si="20"/>
        <v/>
      </c>
      <c r="AC154" s="384" t="str">
        <f t="shared" si="16"/>
        <v/>
      </c>
      <c r="AD154" s="398" t="str">
        <f>IF(M154="","",VLOOKUP(M154,'G-6 Hedgerow Data'!$B$3:$AG$15,31,FALSE))</f>
        <v/>
      </c>
      <c r="AE154" s="370" t="str">
        <f t="shared" si="21"/>
        <v/>
      </c>
      <c r="AF154" s="370" t="str">
        <f t="shared" si="22"/>
        <v/>
      </c>
      <c r="AG154" s="386" t="str">
        <f>IFERROR(IF(O154="","",VLOOKUP(AD154,'G-3 Multipliers'!$P$3:$Q$6,2,FALSE)),"")</f>
        <v/>
      </c>
      <c r="AH154" s="376" t="str">
        <f t="shared" si="17"/>
        <v/>
      </c>
      <c r="AI154" s="188"/>
      <c r="AJ154" s="118"/>
      <c r="AK154" s="120"/>
      <c r="AT154" s="30" t="str">
        <f>IFERROR(INDEX('G-6 Hedgerow Data'!$BJ$3:$BJ$15,MATCH(M154,'G-6 Hedgerow Data'!$B$3:$B$15,0)),"")</f>
        <v/>
      </c>
    </row>
    <row r="155" spans="2:46" ht="15">
      <c r="B155" s="392" t="str">
        <f>'B-1 On-Site Hedge Baseline'!AK153</f>
        <v/>
      </c>
      <c r="C155" s="382" t="str">
        <f>IF(B155="","",IF(ISNA(VLOOKUP($B155,'B-1 On-Site Hedge Baseline'!$B$1:$L$257,3,FALSE)),"",(VLOOKUP($B155,'B-1 On-Site Hedge Baseline'!$B$1:$L$257,3,FALSE))))</f>
        <v/>
      </c>
      <c r="D155" s="382" t="str">
        <f>IF(B155="","",IF(ISNA(VLOOKUP($B155,'B-1 On-Site Hedge Baseline'!$B$1:$L$257,4,FALSE)),"",(VLOOKUP($B155,'B-1 On-Site Hedge Baseline'!$B$1:$L$257,4,FALSE))))</f>
        <v/>
      </c>
      <c r="E155" s="382" t="str">
        <f>IF(B155="","",IF(ISNA(VLOOKUP($B155,'B-1 On-Site Hedge Baseline'!$B$1:$L$257,5,FALSE)),"",(VLOOKUP($B155,'B-1 On-Site Hedge Baseline'!$B$1:$L$257,5,FALSE))))</f>
        <v/>
      </c>
      <c r="F155" s="382" t="str">
        <f>IF(B155="","",IF(ISNA(VLOOKUP($B155,'B-1 On-Site Hedge Baseline'!$B$1:$L$257,6,FALSE)),"",(VLOOKUP($B155,'B-1 On-Site Hedge Baseline'!$B$1:$L$257,6,FALSE))))</f>
        <v/>
      </c>
      <c r="G155" s="382" t="str">
        <f>IF(B155="","",IF(ISNA(VLOOKUP($B155,'B-1 On-Site Hedge Baseline'!$B$1:$L$257,7,FALSE)),"",(VLOOKUP($B155,'B-1 On-Site Hedge Baseline'!$B$1:$L$257,7,FALSE))))</f>
        <v/>
      </c>
      <c r="H155" s="382" t="str">
        <f>IF(B155="","",IF(ISNA(VLOOKUP($B155,'B-1 On-Site Hedge Baseline'!$B$1:$L$257,8,FALSE)),"",(VLOOKUP($B155,'B-1 On-Site Hedge Baseline'!$B$1:$L$257,8,FALSE))))</f>
        <v/>
      </c>
      <c r="I155" s="382" t="str">
        <f>IF(B155="","",IF(ISNA(VLOOKUP($B155,'B-1 On-Site Hedge Baseline'!$B$1:$L$257,10,FALSE)),"",(VLOOKUP($B155,'B-1 On-Site Hedge Baseline'!$B$1:$L$257,10,FALSE))))</f>
        <v/>
      </c>
      <c r="J155" s="382" t="str">
        <f>IF(B155="","",IF(ISNA(VLOOKUP($B155,'B-1 On-Site Hedge Baseline'!$B$1:$L$257,11,FALSE)),"",(VLOOKUP($B155,'B-1 On-Site Hedge Baseline'!$B$1:$L$257,11,FALSE))))</f>
        <v/>
      </c>
      <c r="K155" s="382" t="str">
        <f>IF(B155="","",IF(ISNA(VLOOKUP($B155,'B-1 On-Site Hedge Baseline'!$B$1:$U$257,13,FALSE)),"",(VLOOKUP($B155,'B-1 On-Site Hedge Baseline'!$B$1:$U$257,13,FALSE))))</f>
        <v/>
      </c>
      <c r="L155" s="386" t="str">
        <f>IF(B155="","",IF(ISNA(VLOOKUP($B155,'B-1 On-Site Hedge Baseline'!$B$1:$U$257,12,FALSE)),"",(VLOOKUP($B155,'B-1 On-Site Hedge Baseline'!$B$1:$U$257,12,FALSE))))</f>
        <v/>
      </c>
      <c r="M155" s="315" t="str">
        <f t="shared" si="23"/>
        <v/>
      </c>
      <c r="N155" s="362" t="str">
        <f>IFERROR(IF(B155="","",INDEX('G-6 Hedgerow Data'!$AN$3:$AZ$15,MATCH(C155,'G-6 Hedgerow Data'!$AM$3:$AM$15,0),MATCH(M155,'G-6 Hedgerow Data'!$AN$2:$AZ$2,0))),"")</f>
        <v/>
      </c>
      <c r="O155" s="363" t="str">
        <f t="shared" si="18"/>
        <v/>
      </c>
      <c r="P155" s="417" t="str">
        <f>IF(B155="","",VLOOKUP(B155,'B-1 On-Site Hedge Baseline'!$B$10:T400,16,FALSE))</f>
        <v/>
      </c>
      <c r="Q155" s="362" t="str">
        <f>IF(M155="","",VLOOKUP(M155,'G-6 Hedgerow Data'!$B$2:$AG$15,2,FALSE))</f>
        <v/>
      </c>
      <c r="R155" s="363" t="str">
        <f>IF(M155="","",VLOOKUP(M155,'G-6 Hedgerow Data'!$B$2:$AG$15,3,FALSE))</f>
        <v/>
      </c>
      <c r="S155" s="125"/>
      <c r="T155" s="401" t="str">
        <f>IFERROR(VLOOKUP(S155,'G-1 All Habitats'!$Z$2:$AA$9,2,FALSE),"")</f>
        <v/>
      </c>
      <c r="U155" s="122"/>
      <c r="V155" s="382" t="str">
        <f>IF(U155="","",IF(VLOOKUP(U155,'G-3 Multipliers'!$L$3:$N$6,2,FALSE)=0,"Spatial Data Missing ⚠",VLOOKUP(U155,'G-3 Multipliers'!$L$3:$N$6,2,FALSE)))</f>
        <v/>
      </c>
      <c r="W155" s="386" t="str">
        <f>IF(U155="","",IF(VLOOKUP(U155,'G-3 Multipliers'!$L$3:$N$6,3,FALSE)=0,"Spatial Data Missing ⚠",VLOOKUP(U155,'G-3 Multipliers'!$L$3:$N$6,3,FALSE)))</f>
        <v/>
      </c>
      <c r="X155" s="362" t="str">
        <f>IFERROR(IF(OR(LEFT(O155,5)="Error",LEFT(N155,5)="Error",T155="Error"),"Check Data ⚠",IF(F155&lt;R155,INDEX('G-6 Hedgerow Data'!$S$3:$AE$14,MATCH(C155,'G-6 Hedgerow Data'!$B$3:$B$14,0),MATCH(M155,'G-6 Hedgerow Data'!$S$2:$AE$2,0)),INDEX('G-6 Hedgerow Data'!$K$3:$Q$14,MATCH(M155,'G-6 Hedgerow Data'!$B$3:$B$14,0),MATCH(O155,'G-6 Hedgerow Data'!$K$2:$Q$2,0)))),"")</f>
        <v/>
      </c>
      <c r="Y155" s="159"/>
      <c r="Z155" s="159"/>
      <c r="AA155" s="370" t="str">
        <f t="shared" si="19"/>
        <v/>
      </c>
      <c r="AB155" s="383" t="str">
        <f t="shared" si="20"/>
        <v/>
      </c>
      <c r="AC155" s="384" t="str">
        <f t="shared" si="16"/>
        <v/>
      </c>
      <c r="AD155" s="398" t="str">
        <f>IF(M155="","",VLOOKUP(M155,'G-6 Hedgerow Data'!$B$3:$AG$15,31,FALSE))</f>
        <v/>
      </c>
      <c r="AE155" s="370" t="str">
        <f t="shared" si="21"/>
        <v/>
      </c>
      <c r="AF155" s="370" t="str">
        <f t="shared" si="22"/>
        <v/>
      </c>
      <c r="AG155" s="386" t="str">
        <f>IFERROR(IF(O155="","",VLOOKUP(AD155,'G-3 Multipliers'!$P$3:$Q$6,2,FALSE)),"")</f>
        <v/>
      </c>
      <c r="AH155" s="376" t="str">
        <f t="shared" si="17"/>
        <v/>
      </c>
      <c r="AI155" s="188"/>
      <c r="AJ155" s="118"/>
      <c r="AK155" s="120"/>
      <c r="AT155" s="30" t="str">
        <f>IFERROR(INDEX('G-6 Hedgerow Data'!$BJ$3:$BJ$15,MATCH(M155,'G-6 Hedgerow Data'!$B$3:$B$15,0)),"")</f>
        <v/>
      </c>
    </row>
    <row r="156" spans="2:46" ht="15">
      <c r="B156" s="392" t="str">
        <f>'B-1 On-Site Hedge Baseline'!AK154</f>
        <v/>
      </c>
      <c r="C156" s="382" t="str">
        <f>IF(B156="","",IF(ISNA(VLOOKUP($B156,'B-1 On-Site Hedge Baseline'!$B$1:$L$257,3,FALSE)),"",(VLOOKUP($B156,'B-1 On-Site Hedge Baseline'!$B$1:$L$257,3,FALSE))))</f>
        <v/>
      </c>
      <c r="D156" s="382" t="str">
        <f>IF(B156="","",IF(ISNA(VLOOKUP($B156,'B-1 On-Site Hedge Baseline'!$B$1:$L$257,4,FALSE)),"",(VLOOKUP($B156,'B-1 On-Site Hedge Baseline'!$B$1:$L$257,4,FALSE))))</f>
        <v/>
      </c>
      <c r="E156" s="382" t="str">
        <f>IF(B156="","",IF(ISNA(VLOOKUP($B156,'B-1 On-Site Hedge Baseline'!$B$1:$L$257,5,FALSE)),"",(VLOOKUP($B156,'B-1 On-Site Hedge Baseline'!$B$1:$L$257,5,FALSE))))</f>
        <v/>
      </c>
      <c r="F156" s="382" t="str">
        <f>IF(B156="","",IF(ISNA(VLOOKUP($B156,'B-1 On-Site Hedge Baseline'!$B$1:$L$257,6,FALSE)),"",(VLOOKUP($B156,'B-1 On-Site Hedge Baseline'!$B$1:$L$257,6,FALSE))))</f>
        <v/>
      </c>
      <c r="G156" s="382" t="str">
        <f>IF(B156="","",IF(ISNA(VLOOKUP($B156,'B-1 On-Site Hedge Baseline'!$B$1:$L$257,7,FALSE)),"",(VLOOKUP($B156,'B-1 On-Site Hedge Baseline'!$B$1:$L$257,7,FALSE))))</f>
        <v/>
      </c>
      <c r="H156" s="382" t="str">
        <f>IF(B156="","",IF(ISNA(VLOOKUP($B156,'B-1 On-Site Hedge Baseline'!$B$1:$L$257,8,FALSE)),"",(VLOOKUP($B156,'B-1 On-Site Hedge Baseline'!$B$1:$L$257,8,FALSE))))</f>
        <v/>
      </c>
      <c r="I156" s="382" t="str">
        <f>IF(B156="","",IF(ISNA(VLOOKUP($B156,'B-1 On-Site Hedge Baseline'!$B$1:$L$257,10,FALSE)),"",(VLOOKUP($B156,'B-1 On-Site Hedge Baseline'!$B$1:$L$257,10,FALSE))))</f>
        <v/>
      </c>
      <c r="J156" s="382" t="str">
        <f>IF(B156="","",IF(ISNA(VLOOKUP($B156,'B-1 On-Site Hedge Baseline'!$B$1:$L$257,11,FALSE)),"",(VLOOKUP($B156,'B-1 On-Site Hedge Baseline'!$B$1:$L$257,11,FALSE))))</f>
        <v/>
      </c>
      <c r="K156" s="382" t="str">
        <f>IF(B156="","",IF(ISNA(VLOOKUP($B156,'B-1 On-Site Hedge Baseline'!$B$1:$U$257,13,FALSE)),"",(VLOOKUP($B156,'B-1 On-Site Hedge Baseline'!$B$1:$U$257,13,FALSE))))</f>
        <v/>
      </c>
      <c r="L156" s="386" t="str">
        <f>IF(B156="","",IF(ISNA(VLOOKUP($B156,'B-1 On-Site Hedge Baseline'!$B$1:$U$257,12,FALSE)),"",(VLOOKUP($B156,'B-1 On-Site Hedge Baseline'!$B$1:$U$257,12,FALSE))))</f>
        <v/>
      </c>
      <c r="M156" s="315" t="str">
        <f t="shared" si="23"/>
        <v/>
      </c>
      <c r="N156" s="362" t="str">
        <f>IFERROR(IF(B156="","",INDEX('G-6 Hedgerow Data'!$AN$3:$AZ$15,MATCH(C156,'G-6 Hedgerow Data'!$AM$3:$AM$15,0),MATCH(M156,'G-6 Hedgerow Data'!$AN$2:$AZ$2,0))),"")</f>
        <v/>
      </c>
      <c r="O156" s="363" t="str">
        <f t="shared" si="18"/>
        <v/>
      </c>
      <c r="P156" s="417" t="str">
        <f>IF(B156="","",VLOOKUP(B156,'B-1 On-Site Hedge Baseline'!$B$10:T401,16,FALSE))</f>
        <v/>
      </c>
      <c r="Q156" s="362" t="str">
        <f>IF(M156="","",VLOOKUP(M156,'G-6 Hedgerow Data'!$B$2:$AG$15,2,FALSE))</f>
        <v/>
      </c>
      <c r="R156" s="363" t="str">
        <f>IF(M156="","",VLOOKUP(M156,'G-6 Hedgerow Data'!$B$2:$AG$15,3,FALSE))</f>
        <v/>
      </c>
      <c r="S156" s="125"/>
      <c r="T156" s="401" t="str">
        <f>IFERROR(VLOOKUP(S156,'G-1 All Habitats'!$Z$2:$AA$9,2,FALSE),"")</f>
        <v/>
      </c>
      <c r="U156" s="122"/>
      <c r="V156" s="382" t="str">
        <f>IF(U156="","",IF(VLOOKUP(U156,'G-3 Multipliers'!$L$3:$N$6,2,FALSE)=0,"Spatial Data Missing ⚠",VLOOKUP(U156,'G-3 Multipliers'!$L$3:$N$6,2,FALSE)))</f>
        <v/>
      </c>
      <c r="W156" s="386" t="str">
        <f>IF(U156="","",IF(VLOOKUP(U156,'G-3 Multipliers'!$L$3:$N$6,3,FALSE)=0,"Spatial Data Missing ⚠",VLOOKUP(U156,'G-3 Multipliers'!$L$3:$N$6,3,FALSE)))</f>
        <v/>
      </c>
      <c r="X156" s="362" t="str">
        <f>IFERROR(IF(OR(LEFT(O156,5)="Error",LEFT(N156,5)="Error",T156="Error"),"Check Data ⚠",IF(F156&lt;R156,INDEX('G-6 Hedgerow Data'!$S$3:$AE$14,MATCH(C156,'G-6 Hedgerow Data'!$B$3:$B$14,0),MATCH(M156,'G-6 Hedgerow Data'!$S$2:$AE$2,0)),INDEX('G-6 Hedgerow Data'!$K$3:$Q$14,MATCH(M156,'G-6 Hedgerow Data'!$B$3:$B$14,0),MATCH(O156,'G-6 Hedgerow Data'!$K$2:$Q$2,0)))),"")</f>
        <v/>
      </c>
      <c r="Y156" s="159"/>
      <c r="Z156" s="159"/>
      <c r="AA156" s="370" t="str">
        <f t="shared" si="19"/>
        <v/>
      </c>
      <c r="AB156" s="383" t="str">
        <f t="shared" si="20"/>
        <v/>
      </c>
      <c r="AC156" s="384" t="str">
        <f t="shared" si="16"/>
        <v/>
      </c>
      <c r="AD156" s="398" t="str">
        <f>IF(M156="","",VLOOKUP(M156,'G-6 Hedgerow Data'!$B$3:$AG$15,31,FALSE))</f>
        <v/>
      </c>
      <c r="AE156" s="370" t="str">
        <f t="shared" si="21"/>
        <v/>
      </c>
      <c r="AF156" s="370" t="str">
        <f t="shared" si="22"/>
        <v/>
      </c>
      <c r="AG156" s="386" t="str">
        <f>IFERROR(IF(O156="","",VLOOKUP(AD156,'G-3 Multipliers'!$P$3:$Q$6,2,FALSE)),"")</f>
        <v/>
      </c>
      <c r="AH156" s="376" t="str">
        <f t="shared" si="17"/>
        <v/>
      </c>
      <c r="AI156" s="188"/>
      <c r="AJ156" s="118"/>
      <c r="AK156" s="120"/>
      <c r="AT156" s="30" t="str">
        <f>IFERROR(INDEX('G-6 Hedgerow Data'!$BJ$3:$BJ$15,MATCH(M156,'G-6 Hedgerow Data'!$B$3:$B$15,0)),"")</f>
        <v/>
      </c>
    </row>
    <row r="157" spans="2:46" ht="15">
      <c r="B157" s="392" t="str">
        <f>'B-1 On-Site Hedge Baseline'!AK155</f>
        <v/>
      </c>
      <c r="C157" s="382" t="str">
        <f>IF(B157="","",IF(ISNA(VLOOKUP($B157,'B-1 On-Site Hedge Baseline'!$B$1:$L$257,3,FALSE)),"",(VLOOKUP($B157,'B-1 On-Site Hedge Baseline'!$B$1:$L$257,3,FALSE))))</f>
        <v/>
      </c>
      <c r="D157" s="382" t="str">
        <f>IF(B157="","",IF(ISNA(VLOOKUP($B157,'B-1 On-Site Hedge Baseline'!$B$1:$L$257,4,FALSE)),"",(VLOOKUP($B157,'B-1 On-Site Hedge Baseline'!$B$1:$L$257,4,FALSE))))</f>
        <v/>
      </c>
      <c r="E157" s="382" t="str">
        <f>IF(B157="","",IF(ISNA(VLOOKUP($B157,'B-1 On-Site Hedge Baseline'!$B$1:$L$257,5,FALSE)),"",(VLOOKUP($B157,'B-1 On-Site Hedge Baseline'!$B$1:$L$257,5,FALSE))))</f>
        <v/>
      </c>
      <c r="F157" s="382" t="str">
        <f>IF(B157="","",IF(ISNA(VLOOKUP($B157,'B-1 On-Site Hedge Baseline'!$B$1:$L$257,6,FALSE)),"",(VLOOKUP($B157,'B-1 On-Site Hedge Baseline'!$B$1:$L$257,6,FALSE))))</f>
        <v/>
      </c>
      <c r="G157" s="382" t="str">
        <f>IF(B157="","",IF(ISNA(VLOOKUP($B157,'B-1 On-Site Hedge Baseline'!$B$1:$L$257,7,FALSE)),"",(VLOOKUP($B157,'B-1 On-Site Hedge Baseline'!$B$1:$L$257,7,FALSE))))</f>
        <v/>
      </c>
      <c r="H157" s="382" t="str">
        <f>IF(B157="","",IF(ISNA(VLOOKUP($B157,'B-1 On-Site Hedge Baseline'!$B$1:$L$257,8,FALSE)),"",(VLOOKUP($B157,'B-1 On-Site Hedge Baseline'!$B$1:$L$257,8,FALSE))))</f>
        <v/>
      </c>
      <c r="I157" s="382" t="str">
        <f>IF(B157="","",IF(ISNA(VLOOKUP($B157,'B-1 On-Site Hedge Baseline'!$B$1:$L$257,10,FALSE)),"",(VLOOKUP($B157,'B-1 On-Site Hedge Baseline'!$B$1:$L$257,10,FALSE))))</f>
        <v/>
      </c>
      <c r="J157" s="382" t="str">
        <f>IF(B157="","",IF(ISNA(VLOOKUP($B157,'B-1 On-Site Hedge Baseline'!$B$1:$L$257,11,FALSE)),"",(VLOOKUP($B157,'B-1 On-Site Hedge Baseline'!$B$1:$L$257,11,FALSE))))</f>
        <v/>
      </c>
      <c r="K157" s="382" t="str">
        <f>IF(B157="","",IF(ISNA(VLOOKUP($B157,'B-1 On-Site Hedge Baseline'!$B$1:$U$257,13,FALSE)),"",(VLOOKUP($B157,'B-1 On-Site Hedge Baseline'!$B$1:$U$257,13,FALSE))))</f>
        <v/>
      </c>
      <c r="L157" s="386" t="str">
        <f>IF(B157="","",IF(ISNA(VLOOKUP($B157,'B-1 On-Site Hedge Baseline'!$B$1:$U$257,12,FALSE)),"",(VLOOKUP($B157,'B-1 On-Site Hedge Baseline'!$B$1:$U$257,12,FALSE))))</f>
        <v/>
      </c>
      <c r="M157" s="315" t="str">
        <f t="shared" si="23"/>
        <v/>
      </c>
      <c r="N157" s="362" t="str">
        <f>IFERROR(IF(B157="","",INDEX('G-6 Hedgerow Data'!$AN$3:$AZ$15,MATCH(C157,'G-6 Hedgerow Data'!$AM$3:$AM$15,0),MATCH(M157,'G-6 Hedgerow Data'!$AN$2:$AZ$2,0))),"")</f>
        <v/>
      </c>
      <c r="O157" s="363" t="str">
        <f t="shared" si="18"/>
        <v/>
      </c>
      <c r="P157" s="417" t="str">
        <f>IF(B157="","",VLOOKUP(B157,'B-1 On-Site Hedge Baseline'!$B$10:T402,16,FALSE))</f>
        <v/>
      </c>
      <c r="Q157" s="362" t="str">
        <f>IF(M157="","",VLOOKUP(M157,'G-6 Hedgerow Data'!$B$2:$AG$15,2,FALSE))</f>
        <v/>
      </c>
      <c r="R157" s="363" t="str">
        <f>IF(M157="","",VLOOKUP(M157,'G-6 Hedgerow Data'!$B$2:$AG$15,3,FALSE))</f>
        <v/>
      </c>
      <c r="S157" s="125"/>
      <c r="T157" s="401" t="str">
        <f>IFERROR(VLOOKUP(S157,'G-1 All Habitats'!$Z$2:$AA$9,2,FALSE),"")</f>
        <v/>
      </c>
      <c r="U157" s="122"/>
      <c r="V157" s="382" t="str">
        <f>IF(U157="","",IF(VLOOKUP(U157,'G-3 Multipliers'!$L$3:$N$6,2,FALSE)=0,"Spatial Data Missing ⚠",VLOOKUP(U157,'G-3 Multipliers'!$L$3:$N$6,2,FALSE)))</f>
        <v/>
      </c>
      <c r="W157" s="386" t="str">
        <f>IF(U157="","",IF(VLOOKUP(U157,'G-3 Multipliers'!$L$3:$N$6,3,FALSE)=0,"Spatial Data Missing ⚠",VLOOKUP(U157,'G-3 Multipliers'!$L$3:$N$6,3,FALSE)))</f>
        <v/>
      </c>
      <c r="X157" s="362" t="str">
        <f>IFERROR(IF(OR(LEFT(O157,5)="Error",LEFT(N157,5)="Error",T157="Error"),"Check Data ⚠",IF(F157&lt;R157,INDEX('G-6 Hedgerow Data'!$S$3:$AE$14,MATCH(C157,'G-6 Hedgerow Data'!$B$3:$B$14,0),MATCH(M157,'G-6 Hedgerow Data'!$S$2:$AE$2,0)),INDEX('G-6 Hedgerow Data'!$K$3:$Q$14,MATCH(M157,'G-6 Hedgerow Data'!$B$3:$B$14,0),MATCH(O157,'G-6 Hedgerow Data'!$K$2:$Q$2,0)))),"")</f>
        <v/>
      </c>
      <c r="Y157" s="159"/>
      <c r="Z157" s="159"/>
      <c r="AA157" s="370" t="str">
        <f t="shared" si="19"/>
        <v/>
      </c>
      <c r="AB157" s="383" t="str">
        <f t="shared" si="20"/>
        <v/>
      </c>
      <c r="AC157" s="384" t="str">
        <f t="shared" si="16"/>
        <v/>
      </c>
      <c r="AD157" s="398" t="str">
        <f>IF(M157="","",VLOOKUP(M157,'G-6 Hedgerow Data'!$B$3:$AG$15,31,FALSE))</f>
        <v/>
      </c>
      <c r="AE157" s="370" t="str">
        <f t="shared" si="21"/>
        <v/>
      </c>
      <c r="AF157" s="370" t="str">
        <f t="shared" si="22"/>
        <v/>
      </c>
      <c r="AG157" s="386" t="str">
        <f>IFERROR(IF(O157="","",VLOOKUP(AD157,'G-3 Multipliers'!$P$3:$Q$6,2,FALSE)),"")</f>
        <v/>
      </c>
      <c r="AH157" s="376" t="str">
        <f t="shared" si="17"/>
        <v/>
      </c>
      <c r="AI157" s="188"/>
      <c r="AJ157" s="118"/>
      <c r="AK157" s="120"/>
      <c r="AT157" s="30" t="str">
        <f>IFERROR(INDEX('G-6 Hedgerow Data'!$BJ$3:$BJ$15,MATCH(M157,'G-6 Hedgerow Data'!$B$3:$B$15,0)),"")</f>
        <v/>
      </c>
    </row>
    <row r="158" spans="2:46" ht="15">
      <c r="B158" s="392" t="str">
        <f>'B-1 On-Site Hedge Baseline'!AK156</f>
        <v/>
      </c>
      <c r="C158" s="382" t="str">
        <f>IF(B158="","",IF(ISNA(VLOOKUP($B158,'B-1 On-Site Hedge Baseline'!$B$1:$L$257,3,FALSE)),"",(VLOOKUP($B158,'B-1 On-Site Hedge Baseline'!$B$1:$L$257,3,FALSE))))</f>
        <v/>
      </c>
      <c r="D158" s="382" t="str">
        <f>IF(B158="","",IF(ISNA(VLOOKUP($B158,'B-1 On-Site Hedge Baseline'!$B$1:$L$257,4,FALSE)),"",(VLOOKUP($B158,'B-1 On-Site Hedge Baseline'!$B$1:$L$257,4,FALSE))))</f>
        <v/>
      </c>
      <c r="E158" s="382" t="str">
        <f>IF(B158="","",IF(ISNA(VLOOKUP($B158,'B-1 On-Site Hedge Baseline'!$B$1:$L$257,5,FALSE)),"",(VLOOKUP($B158,'B-1 On-Site Hedge Baseline'!$B$1:$L$257,5,FALSE))))</f>
        <v/>
      </c>
      <c r="F158" s="382" t="str">
        <f>IF(B158="","",IF(ISNA(VLOOKUP($B158,'B-1 On-Site Hedge Baseline'!$B$1:$L$257,6,FALSE)),"",(VLOOKUP($B158,'B-1 On-Site Hedge Baseline'!$B$1:$L$257,6,FALSE))))</f>
        <v/>
      </c>
      <c r="G158" s="382" t="str">
        <f>IF(B158="","",IF(ISNA(VLOOKUP($B158,'B-1 On-Site Hedge Baseline'!$B$1:$L$257,7,FALSE)),"",(VLOOKUP($B158,'B-1 On-Site Hedge Baseline'!$B$1:$L$257,7,FALSE))))</f>
        <v/>
      </c>
      <c r="H158" s="382" t="str">
        <f>IF(B158="","",IF(ISNA(VLOOKUP($B158,'B-1 On-Site Hedge Baseline'!$B$1:$L$257,8,FALSE)),"",(VLOOKUP($B158,'B-1 On-Site Hedge Baseline'!$B$1:$L$257,8,FALSE))))</f>
        <v/>
      </c>
      <c r="I158" s="382" t="str">
        <f>IF(B158="","",IF(ISNA(VLOOKUP($B158,'B-1 On-Site Hedge Baseline'!$B$1:$L$257,10,FALSE)),"",(VLOOKUP($B158,'B-1 On-Site Hedge Baseline'!$B$1:$L$257,10,FALSE))))</f>
        <v/>
      </c>
      <c r="J158" s="382" t="str">
        <f>IF(B158="","",IF(ISNA(VLOOKUP($B158,'B-1 On-Site Hedge Baseline'!$B$1:$L$257,11,FALSE)),"",(VLOOKUP($B158,'B-1 On-Site Hedge Baseline'!$B$1:$L$257,11,FALSE))))</f>
        <v/>
      </c>
      <c r="K158" s="382" t="str">
        <f>IF(B158="","",IF(ISNA(VLOOKUP($B158,'B-1 On-Site Hedge Baseline'!$B$1:$U$257,13,FALSE)),"",(VLOOKUP($B158,'B-1 On-Site Hedge Baseline'!$B$1:$U$257,13,FALSE))))</f>
        <v/>
      </c>
      <c r="L158" s="386" t="str">
        <f>IF(B158="","",IF(ISNA(VLOOKUP($B158,'B-1 On-Site Hedge Baseline'!$B$1:$U$257,12,FALSE)),"",(VLOOKUP($B158,'B-1 On-Site Hedge Baseline'!$B$1:$U$257,12,FALSE))))</f>
        <v/>
      </c>
      <c r="M158" s="315" t="str">
        <f t="shared" si="23"/>
        <v/>
      </c>
      <c r="N158" s="362" t="str">
        <f>IFERROR(IF(B158="","",INDEX('G-6 Hedgerow Data'!$AN$3:$AZ$15,MATCH(C158,'G-6 Hedgerow Data'!$AM$3:$AM$15,0),MATCH(M158,'G-6 Hedgerow Data'!$AN$2:$AZ$2,0))),"")</f>
        <v/>
      </c>
      <c r="O158" s="363" t="str">
        <f t="shared" si="18"/>
        <v/>
      </c>
      <c r="P158" s="417" t="str">
        <f>IF(B158="","",VLOOKUP(B158,'B-1 On-Site Hedge Baseline'!$B$10:T403,16,FALSE))</f>
        <v/>
      </c>
      <c r="Q158" s="362" t="str">
        <f>IF(M158="","",VLOOKUP(M158,'G-6 Hedgerow Data'!$B$2:$AG$15,2,FALSE))</f>
        <v/>
      </c>
      <c r="R158" s="363" t="str">
        <f>IF(M158="","",VLOOKUP(M158,'G-6 Hedgerow Data'!$B$2:$AG$15,3,FALSE))</f>
        <v/>
      </c>
      <c r="S158" s="125"/>
      <c r="T158" s="401" t="str">
        <f>IFERROR(VLOOKUP(S158,'G-1 All Habitats'!$Z$2:$AA$9,2,FALSE),"")</f>
        <v/>
      </c>
      <c r="U158" s="122"/>
      <c r="V158" s="382" t="str">
        <f>IF(U158="","",IF(VLOOKUP(U158,'G-3 Multipliers'!$L$3:$N$6,2,FALSE)=0,"Spatial Data Missing ⚠",VLOOKUP(U158,'G-3 Multipliers'!$L$3:$N$6,2,FALSE)))</f>
        <v/>
      </c>
      <c r="W158" s="386" t="str">
        <f>IF(U158="","",IF(VLOOKUP(U158,'G-3 Multipliers'!$L$3:$N$6,3,FALSE)=0,"Spatial Data Missing ⚠",VLOOKUP(U158,'G-3 Multipliers'!$L$3:$N$6,3,FALSE)))</f>
        <v/>
      </c>
      <c r="X158" s="362" t="str">
        <f>IFERROR(IF(OR(LEFT(O158,5)="Error",LEFT(N158,5)="Error",T158="Error"),"Check Data ⚠",IF(F158&lt;R158,INDEX('G-6 Hedgerow Data'!$S$3:$AE$14,MATCH(C158,'G-6 Hedgerow Data'!$B$3:$B$14,0),MATCH(M158,'G-6 Hedgerow Data'!$S$2:$AE$2,0)),INDEX('G-6 Hedgerow Data'!$K$3:$Q$14,MATCH(M158,'G-6 Hedgerow Data'!$B$3:$B$14,0),MATCH(O158,'G-6 Hedgerow Data'!$K$2:$Q$2,0)))),"")</f>
        <v/>
      </c>
      <c r="Y158" s="159"/>
      <c r="Z158" s="159"/>
      <c r="AA158" s="370" t="str">
        <f t="shared" si="19"/>
        <v/>
      </c>
      <c r="AB158" s="383" t="str">
        <f t="shared" si="20"/>
        <v/>
      </c>
      <c r="AC158" s="384" t="str">
        <f t="shared" si="16"/>
        <v/>
      </c>
      <c r="AD158" s="398" t="str">
        <f>IF(M158="","",VLOOKUP(M158,'G-6 Hedgerow Data'!$B$3:$AG$15,31,FALSE))</f>
        <v/>
      </c>
      <c r="AE158" s="370" t="str">
        <f t="shared" si="21"/>
        <v/>
      </c>
      <c r="AF158" s="370" t="str">
        <f t="shared" si="22"/>
        <v/>
      </c>
      <c r="AG158" s="386" t="str">
        <f>IFERROR(IF(O158="","",VLOOKUP(AD158,'G-3 Multipliers'!$P$3:$Q$6,2,FALSE)),"")</f>
        <v/>
      </c>
      <c r="AH158" s="376" t="str">
        <f t="shared" si="17"/>
        <v/>
      </c>
      <c r="AI158" s="188"/>
      <c r="AJ158" s="118"/>
      <c r="AK158" s="120"/>
      <c r="AT158" s="30" t="str">
        <f>IFERROR(INDEX('G-6 Hedgerow Data'!$BJ$3:$BJ$15,MATCH(M158,'G-6 Hedgerow Data'!$B$3:$B$15,0)),"")</f>
        <v/>
      </c>
    </row>
    <row r="159" spans="2:46" ht="15">
      <c r="B159" s="392" t="str">
        <f>'B-1 On-Site Hedge Baseline'!AK157</f>
        <v/>
      </c>
      <c r="C159" s="382" t="str">
        <f>IF(B159="","",IF(ISNA(VLOOKUP($B159,'B-1 On-Site Hedge Baseline'!$B$1:$L$257,3,FALSE)),"",(VLOOKUP($B159,'B-1 On-Site Hedge Baseline'!$B$1:$L$257,3,FALSE))))</f>
        <v/>
      </c>
      <c r="D159" s="382" t="str">
        <f>IF(B159="","",IF(ISNA(VLOOKUP($B159,'B-1 On-Site Hedge Baseline'!$B$1:$L$257,4,FALSE)),"",(VLOOKUP($B159,'B-1 On-Site Hedge Baseline'!$B$1:$L$257,4,FALSE))))</f>
        <v/>
      </c>
      <c r="E159" s="382" t="str">
        <f>IF(B159="","",IF(ISNA(VLOOKUP($B159,'B-1 On-Site Hedge Baseline'!$B$1:$L$257,5,FALSE)),"",(VLOOKUP($B159,'B-1 On-Site Hedge Baseline'!$B$1:$L$257,5,FALSE))))</f>
        <v/>
      </c>
      <c r="F159" s="382" t="str">
        <f>IF(B159="","",IF(ISNA(VLOOKUP($B159,'B-1 On-Site Hedge Baseline'!$B$1:$L$257,6,FALSE)),"",(VLOOKUP($B159,'B-1 On-Site Hedge Baseline'!$B$1:$L$257,6,FALSE))))</f>
        <v/>
      </c>
      <c r="G159" s="382" t="str">
        <f>IF(B159="","",IF(ISNA(VLOOKUP($B159,'B-1 On-Site Hedge Baseline'!$B$1:$L$257,7,FALSE)),"",(VLOOKUP($B159,'B-1 On-Site Hedge Baseline'!$B$1:$L$257,7,FALSE))))</f>
        <v/>
      </c>
      <c r="H159" s="382" t="str">
        <f>IF(B159="","",IF(ISNA(VLOOKUP($B159,'B-1 On-Site Hedge Baseline'!$B$1:$L$257,8,FALSE)),"",(VLOOKUP($B159,'B-1 On-Site Hedge Baseline'!$B$1:$L$257,8,FALSE))))</f>
        <v/>
      </c>
      <c r="I159" s="382" t="str">
        <f>IF(B159="","",IF(ISNA(VLOOKUP($B159,'B-1 On-Site Hedge Baseline'!$B$1:$L$257,10,FALSE)),"",(VLOOKUP($B159,'B-1 On-Site Hedge Baseline'!$B$1:$L$257,10,FALSE))))</f>
        <v/>
      </c>
      <c r="J159" s="382" t="str">
        <f>IF(B159="","",IF(ISNA(VLOOKUP($B159,'B-1 On-Site Hedge Baseline'!$B$1:$L$257,11,FALSE)),"",(VLOOKUP($B159,'B-1 On-Site Hedge Baseline'!$B$1:$L$257,11,FALSE))))</f>
        <v/>
      </c>
      <c r="K159" s="382" t="str">
        <f>IF(B159="","",IF(ISNA(VLOOKUP($B159,'B-1 On-Site Hedge Baseline'!$B$1:$U$257,13,FALSE)),"",(VLOOKUP($B159,'B-1 On-Site Hedge Baseline'!$B$1:$U$257,13,FALSE))))</f>
        <v/>
      </c>
      <c r="L159" s="386" t="str">
        <f>IF(B159="","",IF(ISNA(VLOOKUP($B159,'B-1 On-Site Hedge Baseline'!$B$1:$U$257,12,FALSE)),"",(VLOOKUP($B159,'B-1 On-Site Hedge Baseline'!$B$1:$U$257,12,FALSE))))</f>
        <v/>
      </c>
      <c r="M159" s="315" t="str">
        <f t="shared" si="23"/>
        <v/>
      </c>
      <c r="N159" s="362" t="str">
        <f>IFERROR(IF(B159="","",INDEX('G-6 Hedgerow Data'!$AN$3:$AZ$15,MATCH(C159,'G-6 Hedgerow Data'!$AM$3:$AM$15,0),MATCH(M159,'G-6 Hedgerow Data'!$AN$2:$AZ$2,0))),"")</f>
        <v/>
      </c>
      <c r="O159" s="363" t="str">
        <f t="shared" si="18"/>
        <v/>
      </c>
      <c r="P159" s="417" t="str">
        <f>IF(B159="","",VLOOKUP(B159,'B-1 On-Site Hedge Baseline'!$B$10:T404,16,FALSE))</f>
        <v/>
      </c>
      <c r="Q159" s="362" t="str">
        <f>IF(M159="","",VLOOKUP(M159,'G-6 Hedgerow Data'!$B$2:$AG$15,2,FALSE))</f>
        <v/>
      </c>
      <c r="R159" s="363" t="str">
        <f>IF(M159="","",VLOOKUP(M159,'G-6 Hedgerow Data'!$B$2:$AG$15,3,FALSE))</f>
        <v/>
      </c>
      <c r="S159" s="125"/>
      <c r="T159" s="401" t="str">
        <f>IFERROR(VLOOKUP(S159,'G-1 All Habitats'!$Z$2:$AA$9,2,FALSE),"")</f>
        <v/>
      </c>
      <c r="U159" s="122"/>
      <c r="V159" s="382" t="str">
        <f>IF(U159="","",IF(VLOOKUP(U159,'G-3 Multipliers'!$L$3:$N$6,2,FALSE)=0,"Spatial Data Missing ⚠",VLOOKUP(U159,'G-3 Multipliers'!$L$3:$N$6,2,FALSE)))</f>
        <v/>
      </c>
      <c r="W159" s="386" t="str">
        <f>IF(U159="","",IF(VLOOKUP(U159,'G-3 Multipliers'!$L$3:$N$6,3,FALSE)=0,"Spatial Data Missing ⚠",VLOOKUP(U159,'G-3 Multipliers'!$L$3:$N$6,3,FALSE)))</f>
        <v/>
      </c>
      <c r="X159" s="362" t="str">
        <f>IFERROR(IF(OR(LEFT(O159,5)="Error",LEFT(N159,5)="Error",T159="Error"),"Check Data ⚠",IF(F159&lt;R159,INDEX('G-6 Hedgerow Data'!$S$3:$AE$14,MATCH(C159,'G-6 Hedgerow Data'!$B$3:$B$14,0),MATCH(M159,'G-6 Hedgerow Data'!$S$2:$AE$2,0)),INDEX('G-6 Hedgerow Data'!$K$3:$Q$14,MATCH(M159,'G-6 Hedgerow Data'!$B$3:$B$14,0),MATCH(O159,'G-6 Hedgerow Data'!$K$2:$Q$2,0)))),"")</f>
        <v/>
      </c>
      <c r="Y159" s="159"/>
      <c r="Z159" s="159"/>
      <c r="AA159" s="370" t="str">
        <f t="shared" si="19"/>
        <v/>
      </c>
      <c r="AB159" s="383" t="str">
        <f t="shared" si="20"/>
        <v/>
      </c>
      <c r="AC159" s="384" t="str">
        <f t="shared" si="16"/>
        <v/>
      </c>
      <c r="AD159" s="398" t="str">
        <f>IF(M159="","",VLOOKUP(M159,'G-6 Hedgerow Data'!$B$3:$AG$15,31,FALSE))</f>
        <v/>
      </c>
      <c r="AE159" s="370" t="str">
        <f t="shared" si="21"/>
        <v/>
      </c>
      <c r="AF159" s="370" t="str">
        <f t="shared" si="22"/>
        <v/>
      </c>
      <c r="AG159" s="386" t="str">
        <f>IFERROR(IF(O159="","",VLOOKUP(AD159,'G-3 Multipliers'!$P$3:$Q$6,2,FALSE)),"")</f>
        <v/>
      </c>
      <c r="AH159" s="376" t="str">
        <f t="shared" si="17"/>
        <v/>
      </c>
      <c r="AI159" s="188"/>
      <c r="AJ159" s="118"/>
      <c r="AK159" s="120"/>
      <c r="AT159" s="30" t="str">
        <f>IFERROR(INDEX('G-6 Hedgerow Data'!$BJ$3:$BJ$15,MATCH(M159,'G-6 Hedgerow Data'!$B$3:$B$15,0)),"")</f>
        <v/>
      </c>
    </row>
    <row r="160" spans="2:46" ht="15">
      <c r="B160" s="392" t="str">
        <f>'B-1 On-Site Hedge Baseline'!AK158</f>
        <v/>
      </c>
      <c r="C160" s="382" t="str">
        <f>IF(B160="","",IF(ISNA(VLOOKUP($B160,'B-1 On-Site Hedge Baseline'!$B$1:$L$257,3,FALSE)),"",(VLOOKUP($B160,'B-1 On-Site Hedge Baseline'!$B$1:$L$257,3,FALSE))))</f>
        <v/>
      </c>
      <c r="D160" s="382" t="str">
        <f>IF(B160="","",IF(ISNA(VLOOKUP($B160,'B-1 On-Site Hedge Baseline'!$B$1:$L$257,4,FALSE)),"",(VLOOKUP($B160,'B-1 On-Site Hedge Baseline'!$B$1:$L$257,4,FALSE))))</f>
        <v/>
      </c>
      <c r="E160" s="382" t="str">
        <f>IF(B160="","",IF(ISNA(VLOOKUP($B160,'B-1 On-Site Hedge Baseline'!$B$1:$L$257,5,FALSE)),"",(VLOOKUP($B160,'B-1 On-Site Hedge Baseline'!$B$1:$L$257,5,FALSE))))</f>
        <v/>
      </c>
      <c r="F160" s="382" t="str">
        <f>IF(B160="","",IF(ISNA(VLOOKUP($B160,'B-1 On-Site Hedge Baseline'!$B$1:$L$257,6,FALSE)),"",(VLOOKUP($B160,'B-1 On-Site Hedge Baseline'!$B$1:$L$257,6,FALSE))))</f>
        <v/>
      </c>
      <c r="G160" s="382" t="str">
        <f>IF(B160="","",IF(ISNA(VLOOKUP($B160,'B-1 On-Site Hedge Baseline'!$B$1:$L$257,7,FALSE)),"",(VLOOKUP($B160,'B-1 On-Site Hedge Baseline'!$B$1:$L$257,7,FALSE))))</f>
        <v/>
      </c>
      <c r="H160" s="382" t="str">
        <f>IF(B160="","",IF(ISNA(VLOOKUP($B160,'B-1 On-Site Hedge Baseline'!$B$1:$L$257,8,FALSE)),"",(VLOOKUP($B160,'B-1 On-Site Hedge Baseline'!$B$1:$L$257,8,FALSE))))</f>
        <v/>
      </c>
      <c r="I160" s="382" t="str">
        <f>IF(B160="","",IF(ISNA(VLOOKUP($B160,'B-1 On-Site Hedge Baseline'!$B$1:$L$257,10,FALSE)),"",(VLOOKUP($B160,'B-1 On-Site Hedge Baseline'!$B$1:$L$257,10,FALSE))))</f>
        <v/>
      </c>
      <c r="J160" s="382" t="str">
        <f>IF(B160="","",IF(ISNA(VLOOKUP($B160,'B-1 On-Site Hedge Baseline'!$B$1:$L$257,11,FALSE)),"",(VLOOKUP($B160,'B-1 On-Site Hedge Baseline'!$B$1:$L$257,11,FALSE))))</f>
        <v/>
      </c>
      <c r="K160" s="382" t="str">
        <f>IF(B160="","",IF(ISNA(VLOOKUP($B160,'B-1 On-Site Hedge Baseline'!$B$1:$U$257,13,FALSE)),"",(VLOOKUP($B160,'B-1 On-Site Hedge Baseline'!$B$1:$U$257,13,FALSE))))</f>
        <v/>
      </c>
      <c r="L160" s="386" t="str">
        <f>IF(B160="","",IF(ISNA(VLOOKUP($B160,'B-1 On-Site Hedge Baseline'!$B$1:$U$257,12,FALSE)),"",(VLOOKUP($B160,'B-1 On-Site Hedge Baseline'!$B$1:$U$257,12,FALSE))))</f>
        <v/>
      </c>
      <c r="M160" s="315" t="str">
        <f t="shared" si="23"/>
        <v/>
      </c>
      <c r="N160" s="362" t="str">
        <f>IFERROR(IF(B160="","",INDEX('G-6 Hedgerow Data'!$AN$3:$AZ$15,MATCH(C160,'G-6 Hedgerow Data'!$AM$3:$AM$15,0),MATCH(M160,'G-6 Hedgerow Data'!$AN$2:$AZ$2,0))),"")</f>
        <v/>
      </c>
      <c r="O160" s="363" t="str">
        <f t="shared" si="18"/>
        <v/>
      </c>
      <c r="P160" s="417" t="str">
        <f>IF(B160="","",VLOOKUP(B160,'B-1 On-Site Hedge Baseline'!$B$10:T405,16,FALSE))</f>
        <v/>
      </c>
      <c r="Q160" s="362" t="str">
        <f>IF(M160="","",VLOOKUP(M160,'G-6 Hedgerow Data'!$B$2:$AG$15,2,FALSE))</f>
        <v/>
      </c>
      <c r="R160" s="363" t="str">
        <f>IF(M160="","",VLOOKUP(M160,'G-6 Hedgerow Data'!$B$2:$AG$15,3,FALSE))</f>
        <v/>
      </c>
      <c r="S160" s="125"/>
      <c r="T160" s="401" t="str">
        <f>IFERROR(VLOOKUP(S160,'G-1 All Habitats'!$Z$2:$AA$9,2,FALSE),"")</f>
        <v/>
      </c>
      <c r="U160" s="122"/>
      <c r="V160" s="382" t="str">
        <f>IF(U160="","",IF(VLOOKUP(U160,'G-3 Multipliers'!$L$3:$N$6,2,FALSE)=0,"Spatial Data Missing ⚠",VLOOKUP(U160,'G-3 Multipliers'!$L$3:$N$6,2,FALSE)))</f>
        <v/>
      </c>
      <c r="W160" s="386" t="str">
        <f>IF(U160="","",IF(VLOOKUP(U160,'G-3 Multipliers'!$L$3:$N$6,3,FALSE)=0,"Spatial Data Missing ⚠",VLOOKUP(U160,'G-3 Multipliers'!$L$3:$N$6,3,FALSE)))</f>
        <v/>
      </c>
      <c r="X160" s="362" t="str">
        <f>IFERROR(IF(OR(LEFT(O160,5)="Error",LEFT(N160,5)="Error",T160="Error"),"Check Data ⚠",IF(F160&lt;R160,INDEX('G-6 Hedgerow Data'!$S$3:$AE$14,MATCH(C160,'G-6 Hedgerow Data'!$B$3:$B$14,0),MATCH(M160,'G-6 Hedgerow Data'!$S$2:$AE$2,0)),INDEX('G-6 Hedgerow Data'!$K$3:$Q$14,MATCH(M160,'G-6 Hedgerow Data'!$B$3:$B$14,0),MATCH(O160,'G-6 Hedgerow Data'!$K$2:$Q$2,0)))),"")</f>
        <v/>
      </c>
      <c r="Y160" s="159"/>
      <c r="Z160" s="159"/>
      <c r="AA160" s="370" t="str">
        <f t="shared" si="19"/>
        <v/>
      </c>
      <c r="AB160" s="383" t="str">
        <f t="shared" si="20"/>
        <v/>
      </c>
      <c r="AC160" s="384" t="str">
        <f t="shared" si="16"/>
        <v/>
      </c>
      <c r="AD160" s="398" t="str">
        <f>IF(M160="","",VLOOKUP(M160,'G-6 Hedgerow Data'!$B$3:$AG$15,31,FALSE))</f>
        <v/>
      </c>
      <c r="AE160" s="370" t="str">
        <f t="shared" si="21"/>
        <v/>
      </c>
      <c r="AF160" s="370" t="str">
        <f t="shared" si="22"/>
        <v/>
      </c>
      <c r="AG160" s="386" t="str">
        <f>IFERROR(IF(O160="","",VLOOKUP(AD160,'G-3 Multipliers'!$P$3:$Q$6,2,FALSE)),"")</f>
        <v/>
      </c>
      <c r="AH160" s="376" t="str">
        <f t="shared" si="17"/>
        <v/>
      </c>
      <c r="AI160" s="188"/>
      <c r="AJ160" s="118"/>
      <c r="AK160" s="120"/>
      <c r="AT160" s="30" t="str">
        <f>IFERROR(INDEX('G-6 Hedgerow Data'!$BJ$3:$BJ$15,MATCH(M160,'G-6 Hedgerow Data'!$B$3:$B$15,0)),"")</f>
        <v/>
      </c>
    </row>
    <row r="161" spans="2:46" ht="15">
      <c r="B161" s="392" t="str">
        <f>'B-1 On-Site Hedge Baseline'!AK159</f>
        <v/>
      </c>
      <c r="C161" s="382" t="str">
        <f>IF(B161="","",IF(ISNA(VLOOKUP($B161,'B-1 On-Site Hedge Baseline'!$B$1:$L$257,3,FALSE)),"",(VLOOKUP($B161,'B-1 On-Site Hedge Baseline'!$B$1:$L$257,3,FALSE))))</f>
        <v/>
      </c>
      <c r="D161" s="382" t="str">
        <f>IF(B161="","",IF(ISNA(VLOOKUP($B161,'B-1 On-Site Hedge Baseline'!$B$1:$L$257,4,FALSE)),"",(VLOOKUP($B161,'B-1 On-Site Hedge Baseline'!$B$1:$L$257,4,FALSE))))</f>
        <v/>
      </c>
      <c r="E161" s="382" t="str">
        <f>IF(B161="","",IF(ISNA(VLOOKUP($B161,'B-1 On-Site Hedge Baseline'!$B$1:$L$257,5,FALSE)),"",(VLOOKUP($B161,'B-1 On-Site Hedge Baseline'!$B$1:$L$257,5,FALSE))))</f>
        <v/>
      </c>
      <c r="F161" s="382" t="str">
        <f>IF(B161="","",IF(ISNA(VLOOKUP($B161,'B-1 On-Site Hedge Baseline'!$B$1:$L$257,6,FALSE)),"",(VLOOKUP($B161,'B-1 On-Site Hedge Baseline'!$B$1:$L$257,6,FALSE))))</f>
        <v/>
      </c>
      <c r="G161" s="382" t="str">
        <f>IF(B161="","",IF(ISNA(VLOOKUP($B161,'B-1 On-Site Hedge Baseline'!$B$1:$L$257,7,FALSE)),"",(VLOOKUP($B161,'B-1 On-Site Hedge Baseline'!$B$1:$L$257,7,FALSE))))</f>
        <v/>
      </c>
      <c r="H161" s="382" t="str">
        <f>IF(B161="","",IF(ISNA(VLOOKUP($B161,'B-1 On-Site Hedge Baseline'!$B$1:$L$257,8,FALSE)),"",(VLOOKUP($B161,'B-1 On-Site Hedge Baseline'!$B$1:$L$257,8,FALSE))))</f>
        <v/>
      </c>
      <c r="I161" s="382" t="str">
        <f>IF(B161="","",IF(ISNA(VLOOKUP($B161,'B-1 On-Site Hedge Baseline'!$B$1:$L$257,10,FALSE)),"",(VLOOKUP($B161,'B-1 On-Site Hedge Baseline'!$B$1:$L$257,10,FALSE))))</f>
        <v/>
      </c>
      <c r="J161" s="382" t="str">
        <f>IF(B161="","",IF(ISNA(VLOOKUP($B161,'B-1 On-Site Hedge Baseline'!$B$1:$L$257,11,FALSE)),"",(VLOOKUP($B161,'B-1 On-Site Hedge Baseline'!$B$1:$L$257,11,FALSE))))</f>
        <v/>
      </c>
      <c r="K161" s="382" t="str">
        <f>IF(B161="","",IF(ISNA(VLOOKUP($B161,'B-1 On-Site Hedge Baseline'!$B$1:$U$257,13,FALSE)),"",(VLOOKUP($B161,'B-1 On-Site Hedge Baseline'!$B$1:$U$257,13,FALSE))))</f>
        <v/>
      </c>
      <c r="L161" s="386" t="str">
        <f>IF(B161="","",IF(ISNA(VLOOKUP($B161,'B-1 On-Site Hedge Baseline'!$B$1:$U$257,12,FALSE)),"",(VLOOKUP($B161,'B-1 On-Site Hedge Baseline'!$B$1:$U$257,12,FALSE))))</f>
        <v/>
      </c>
      <c r="M161" s="315" t="str">
        <f t="shared" si="23"/>
        <v/>
      </c>
      <c r="N161" s="362" t="str">
        <f>IFERROR(IF(B161="","",INDEX('G-6 Hedgerow Data'!$AN$3:$AZ$15,MATCH(C161,'G-6 Hedgerow Data'!$AM$3:$AM$15,0),MATCH(M161,'G-6 Hedgerow Data'!$AN$2:$AZ$2,0))),"")</f>
        <v/>
      </c>
      <c r="O161" s="363" t="str">
        <f t="shared" si="18"/>
        <v/>
      </c>
      <c r="P161" s="417" t="str">
        <f>IF(B161="","",VLOOKUP(B161,'B-1 On-Site Hedge Baseline'!$B$10:T406,16,FALSE))</f>
        <v/>
      </c>
      <c r="Q161" s="362" t="str">
        <f>IF(M161="","",VLOOKUP(M161,'G-6 Hedgerow Data'!$B$2:$AG$15,2,FALSE))</f>
        <v/>
      </c>
      <c r="R161" s="363" t="str">
        <f>IF(M161="","",VLOOKUP(M161,'G-6 Hedgerow Data'!$B$2:$AG$15,3,FALSE))</f>
        <v/>
      </c>
      <c r="S161" s="125"/>
      <c r="T161" s="401" t="str">
        <f>IFERROR(VLOOKUP(S161,'G-1 All Habitats'!$Z$2:$AA$9,2,FALSE),"")</f>
        <v/>
      </c>
      <c r="U161" s="122"/>
      <c r="V161" s="382" t="str">
        <f>IF(U161="","",IF(VLOOKUP(U161,'G-3 Multipliers'!$L$3:$N$6,2,FALSE)=0,"Spatial Data Missing ⚠",VLOOKUP(U161,'G-3 Multipliers'!$L$3:$N$6,2,FALSE)))</f>
        <v/>
      </c>
      <c r="W161" s="386" t="str">
        <f>IF(U161="","",IF(VLOOKUP(U161,'G-3 Multipliers'!$L$3:$N$6,3,FALSE)=0,"Spatial Data Missing ⚠",VLOOKUP(U161,'G-3 Multipliers'!$L$3:$N$6,3,FALSE)))</f>
        <v/>
      </c>
      <c r="X161" s="362" t="str">
        <f>IFERROR(IF(OR(LEFT(O161,5)="Error",LEFT(N161,5)="Error",T161="Error"),"Check Data ⚠",IF(F161&lt;R161,INDEX('G-6 Hedgerow Data'!$S$3:$AE$14,MATCH(C161,'G-6 Hedgerow Data'!$B$3:$B$14,0),MATCH(M161,'G-6 Hedgerow Data'!$S$2:$AE$2,0)),INDEX('G-6 Hedgerow Data'!$K$3:$Q$14,MATCH(M161,'G-6 Hedgerow Data'!$B$3:$B$14,0),MATCH(O161,'G-6 Hedgerow Data'!$K$2:$Q$2,0)))),"")</f>
        <v/>
      </c>
      <c r="Y161" s="159"/>
      <c r="Z161" s="159"/>
      <c r="AA161" s="370" t="str">
        <f t="shared" si="19"/>
        <v/>
      </c>
      <c r="AB161" s="383" t="str">
        <f t="shared" si="20"/>
        <v/>
      </c>
      <c r="AC161" s="384" t="str">
        <f t="shared" si="16"/>
        <v/>
      </c>
      <c r="AD161" s="398" t="str">
        <f>IF(M161="","",VLOOKUP(M161,'G-6 Hedgerow Data'!$B$3:$AG$15,31,FALSE))</f>
        <v/>
      </c>
      <c r="AE161" s="370" t="str">
        <f t="shared" si="21"/>
        <v/>
      </c>
      <c r="AF161" s="370" t="str">
        <f t="shared" si="22"/>
        <v/>
      </c>
      <c r="AG161" s="386" t="str">
        <f>IFERROR(IF(O161="","",VLOOKUP(AD161,'G-3 Multipliers'!$P$3:$Q$6,2,FALSE)),"")</f>
        <v/>
      </c>
      <c r="AH161" s="376" t="str">
        <f t="shared" si="17"/>
        <v/>
      </c>
      <c r="AI161" s="188"/>
      <c r="AJ161" s="118"/>
      <c r="AK161" s="120"/>
      <c r="AT161" s="30" t="str">
        <f>IFERROR(INDEX('G-6 Hedgerow Data'!$BJ$3:$BJ$15,MATCH(M161,'G-6 Hedgerow Data'!$B$3:$B$15,0)),"")</f>
        <v/>
      </c>
    </row>
    <row r="162" spans="2:46" ht="15">
      <c r="B162" s="392" t="str">
        <f>'B-1 On-Site Hedge Baseline'!AK160</f>
        <v/>
      </c>
      <c r="C162" s="382" t="str">
        <f>IF(B162="","",IF(ISNA(VLOOKUP($B162,'B-1 On-Site Hedge Baseline'!$B$1:$L$257,3,FALSE)),"",(VLOOKUP($B162,'B-1 On-Site Hedge Baseline'!$B$1:$L$257,3,FALSE))))</f>
        <v/>
      </c>
      <c r="D162" s="382" t="str">
        <f>IF(B162="","",IF(ISNA(VLOOKUP($B162,'B-1 On-Site Hedge Baseline'!$B$1:$L$257,4,FALSE)),"",(VLOOKUP($B162,'B-1 On-Site Hedge Baseline'!$B$1:$L$257,4,FALSE))))</f>
        <v/>
      </c>
      <c r="E162" s="382" t="str">
        <f>IF(B162="","",IF(ISNA(VLOOKUP($B162,'B-1 On-Site Hedge Baseline'!$B$1:$L$257,5,FALSE)),"",(VLOOKUP($B162,'B-1 On-Site Hedge Baseline'!$B$1:$L$257,5,FALSE))))</f>
        <v/>
      </c>
      <c r="F162" s="382" t="str">
        <f>IF(B162="","",IF(ISNA(VLOOKUP($B162,'B-1 On-Site Hedge Baseline'!$B$1:$L$257,6,FALSE)),"",(VLOOKUP($B162,'B-1 On-Site Hedge Baseline'!$B$1:$L$257,6,FALSE))))</f>
        <v/>
      </c>
      <c r="G162" s="382" t="str">
        <f>IF(B162="","",IF(ISNA(VLOOKUP($B162,'B-1 On-Site Hedge Baseline'!$B$1:$L$257,7,FALSE)),"",(VLOOKUP($B162,'B-1 On-Site Hedge Baseline'!$B$1:$L$257,7,FALSE))))</f>
        <v/>
      </c>
      <c r="H162" s="382" t="str">
        <f>IF(B162="","",IF(ISNA(VLOOKUP($B162,'B-1 On-Site Hedge Baseline'!$B$1:$L$257,8,FALSE)),"",(VLOOKUP($B162,'B-1 On-Site Hedge Baseline'!$B$1:$L$257,8,FALSE))))</f>
        <v/>
      </c>
      <c r="I162" s="382" t="str">
        <f>IF(B162="","",IF(ISNA(VLOOKUP($B162,'B-1 On-Site Hedge Baseline'!$B$1:$L$257,10,FALSE)),"",(VLOOKUP($B162,'B-1 On-Site Hedge Baseline'!$B$1:$L$257,10,FALSE))))</f>
        <v/>
      </c>
      <c r="J162" s="382" t="str">
        <f>IF(B162="","",IF(ISNA(VLOOKUP($B162,'B-1 On-Site Hedge Baseline'!$B$1:$L$257,11,FALSE)),"",(VLOOKUP($B162,'B-1 On-Site Hedge Baseline'!$B$1:$L$257,11,FALSE))))</f>
        <v/>
      </c>
      <c r="K162" s="382" t="str">
        <f>IF(B162="","",IF(ISNA(VLOOKUP($B162,'B-1 On-Site Hedge Baseline'!$B$1:$U$257,13,FALSE)),"",(VLOOKUP($B162,'B-1 On-Site Hedge Baseline'!$B$1:$U$257,13,FALSE))))</f>
        <v/>
      </c>
      <c r="L162" s="386" t="str">
        <f>IF(B162="","",IF(ISNA(VLOOKUP($B162,'B-1 On-Site Hedge Baseline'!$B$1:$U$257,12,FALSE)),"",(VLOOKUP($B162,'B-1 On-Site Hedge Baseline'!$B$1:$U$257,12,FALSE))))</f>
        <v/>
      </c>
      <c r="M162" s="315" t="str">
        <f t="shared" si="23"/>
        <v/>
      </c>
      <c r="N162" s="362" t="str">
        <f>IFERROR(IF(B162="","",INDEX('G-6 Hedgerow Data'!$AN$3:$AZ$15,MATCH(C162,'G-6 Hedgerow Data'!$AM$3:$AM$15,0),MATCH(M162,'G-6 Hedgerow Data'!$AN$2:$AZ$2,0))),"")</f>
        <v/>
      </c>
      <c r="O162" s="363" t="str">
        <f t="shared" si="18"/>
        <v/>
      </c>
      <c r="P162" s="417" t="str">
        <f>IF(B162="","",VLOOKUP(B162,'B-1 On-Site Hedge Baseline'!$B$10:T407,16,FALSE))</f>
        <v/>
      </c>
      <c r="Q162" s="362" t="str">
        <f>IF(M162="","",VLOOKUP(M162,'G-6 Hedgerow Data'!$B$2:$AG$15,2,FALSE))</f>
        <v/>
      </c>
      <c r="R162" s="363" t="str">
        <f>IF(M162="","",VLOOKUP(M162,'G-6 Hedgerow Data'!$B$2:$AG$15,3,FALSE))</f>
        <v/>
      </c>
      <c r="S162" s="125"/>
      <c r="T162" s="401" t="str">
        <f>IFERROR(VLOOKUP(S162,'G-1 All Habitats'!$Z$2:$AA$9,2,FALSE),"")</f>
        <v/>
      </c>
      <c r="U162" s="122"/>
      <c r="V162" s="382" t="str">
        <f>IF(U162="","",IF(VLOOKUP(U162,'G-3 Multipliers'!$L$3:$N$6,2,FALSE)=0,"Spatial Data Missing ⚠",VLOOKUP(U162,'G-3 Multipliers'!$L$3:$N$6,2,FALSE)))</f>
        <v/>
      </c>
      <c r="W162" s="386" t="str">
        <f>IF(U162="","",IF(VLOOKUP(U162,'G-3 Multipliers'!$L$3:$N$6,3,FALSE)=0,"Spatial Data Missing ⚠",VLOOKUP(U162,'G-3 Multipliers'!$L$3:$N$6,3,FALSE)))</f>
        <v/>
      </c>
      <c r="X162" s="362" t="str">
        <f>IFERROR(IF(OR(LEFT(O162,5)="Error",LEFT(N162,5)="Error",T162="Error"),"Check Data ⚠",IF(F162&lt;R162,INDEX('G-6 Hedgerow Data'!$S$3:$AE$14,MATCH(C162,'G-6 Hedgerow Data'!$B$3:$B$14,0),MATCH(M162,'G-6 Hedgerow Data'!$S$2:$AE$2,0)),INDEX('G-6 Hedgerow Data'!$K$3:$Q$14,MATCH(M162,'G-6 Hedgerow Data'!$B$3:$B$14,0),MATCH(O162,'G-6 Hedgerow Data'!$K$2:$Q$2,0)))),"")</f>
        <v/>
      </c>
      <c r="Y162" s="159"/>
      <c r="Z162" s="159"/>
      <c r="AA162" s="370" t="str">
        <f t="shared" si="19"/>
        <v/>
      </c>
      <c r="AB162" s="383" t="str">
        <f t="shared" si="20"/>
        <v/>
      </c>
      <c r="AC162" s="384" t="str">
        <f t="shared" si="16"/>
        <v/>
      </c>
      <c r="AD162" s="398" t="str">
        <f>IF(M162="","",VLOOKUP(M162,'G-6 Hedgerow Data'!$B$3:$AG$15,31,FALSE))</f>
        <v/>
      </c>
      <c r="AE162" s="370" t="str">
        <f t="shared" si="21"/>
        <v/>
      </c>
      <c r="AF162" s="370" t="str">
        <f t="shared" si="22"/>
        <v/>
      </c>
      <c r="AG162" s="386" t="str">
        <f>IFERROR(IF(O162="","",VLOOKUP(AD162,'G-3 Multipliers'!$P$3:$Q$6,2,FALSE)),"")</f>
        <v/>
      </c>
      <c r="AH162" s="376" t="str">
        <f t="shared" si="17"/>
        <v/>
      </c>
      <c r="AI162" s="188"/>
      <c r="AJ162" s="118"/>
      <c r="AK162" s="120"/>
      <c r="AT162" s="30" t="str">
        <f>IFERROR(INDEX('G-6 Hedgerow Data'!$BJ$3:$BJ$15,MATCH(M162,'G-6 Hedgerow Data'!$B$3:$B$15,0)),"")</f>
        <v/>
      </c>
    </row>
    <row r="163" spans="2:46" ht="15">
      <c r="B163" s="392" t="str">
        <f>'B-1 On-Site Hedge Baseline'!AK161</f>
        <v/>
      </c>
      <c r="C163" s="382" t="str">
        <f>IF(B163="","",IF(ISNA(VLOOKUP($B163,'B-1 On-Site Hedge Baseline'!$B$1:$L$257,3,FALSE)),"",(VLOOKUP($B163,'B-1 On-Site Hedge Baseline'!$B$1:$L$257,3,FALSE))))</f>
        <v/>
      </c>
      <c r="D163" s="382" t="str">
        <f>IF(B163="","",IF(ISNA(VLOOKUP($B163,'B-1 On-Site Hedge Baseline'!$B$1:$L$257,4,FALSE)),"",(VLOOKUP($B163,'B-1 On-Site Hedge Baseline'!$B$1:$L$257,4,FALSE))))</f>
        <v/>
      </c>
      <c r="E163" s="382" t="str">
        <f>IF(B163="","",IF(ISNA(VLOOKUP($B163,'B-1 On-Site Hedge Baseline'!$B$1:$L$257,5,FALSE)),"",(VLOOKUP($B163,'B-1 On-Site Hedge Baseline'!$B$1:$L$257,5,FALSE))))</f>
        <v/>
      </c>
      <c r="F163" s="382" t="str">
        <f>IF(B163="","",IF(ISNA(VLOOKUP($B163,'B-1 On-Site Hedge Baseline'!$B$1:$L$257,6,FALSE)),"",(VLOOKUP($B163,'B-1 On-Site Hedge Baseline'!$B$1:$L$257,6,FALSE))))</f>
        <v/>
      </c>
      <c r="G163" s="382" t="str">
        <f>IF(B163="","",IF(ISNA(VLOOKUP($B163,'B-1 On-Site Hedge Baseline'!$B$1:$L$257,7,FALSE)),"",(VLOOKUP($B163,'B-1 On-Site Hedge Baseline'!$B$1:$L$257,7,FALSE))))</f>
        <v/>
      </c>
      <c r="H163" s="382" t="str">
        <f>IF(B163="","",IF(ISNA(VLOOKUP($B163,'B-1 On-Site Hedge Baseline'!$B$1:$L$257,8,FALSE)),"",(VLOOKUP($B163,'B-1 On-Site Hedge Baseline'!$B$1:$L$257,8,FALSE))))</f>
        <v/>
      </c>
      <c r="I163" s="382" t="str">
        <f>IF(B163="","",IF(ISNA(VLOOKUP($B163,'B-1 On-Site Hedge Baseline'!$B$1:$L$257,10,FALSE)),"",(VLOOKUP($B163,'B-1 On-Site Hedge Baseline'!$B$1:$L$257,10,FALSE))))</f>
        <v/>
      </c>
      <c r="J163" s="382" t="str">
        <f>IF(B163="","",IF(ISNA(VLOOKUP($B163,'B-1 On-Site Hedge Baseline'!$B$1:$L$257,11,FALSE)),"",(VLOOKUP($B163,'B-1 On-Site Hedge Baseline'!$B$1:$L$257,11,FALSE))))</f>
        <v/>
      </c>
      <c r="K163" s="382" t="str">
        <f>IF(B163="","",IF(ISNA(VLOOKUP($B163,'B-1 On-Site Hedge Baseline'!$B$1:$U$257,13,FALSE)),"",(VLOOKUP($B163,'B-1 On-Site Hedge Baseline'!$B$1:$U$257,13,FALSE))))</f>
        <v/>
      </c>
      <c r="L163" s="386" t="str">
        <f>IF(B163="","",IF(ISNA(VLOOKUP($B163,'B-1 On-Site Hedge Baseline'!$B$1:$U$257,12,FALSE)),"",(VLOOKUP($B163,'B-1 On-Site Hedge Baseline'!$B$1:$U$257,12,FALSE))))</f>
        <v/>
      </c>
      <c r="M163" s="315" t="str">
        <f t="shared" si="23"/>
        <v/>
      </c>
      <c r="N163" s="362" t="str">
        <f>IFERROR(IF(B163="","",INDEX('G-6 Hedgerow Data'!$AN$3:$AZ$15,MATCH(C163,'G-6 Hedgerow Data'!$AM$3:$AM$15,0),MATCH(M163,'G-6 Hedgerow Data'!$AN$2:$AZ$2,0))),"")</f>
        <v/>
      </c>
      <c r="O163" s="363" t="str">
        <f t="shared" si="18"/>
        <v/>
      </c>
      <c r="P163" s="417" t="str">
        <f>IF(B163="","",VLOOKUP(B163,'B-1 On-Site Hedge Baseline'!$B$10:T408,16,FALSE))</f>
        <v/>
      </c>
      <c r="Q163" s="362" t="str">
        <f>IF(M163="","",VLOOKUP(M163,'G-6 Hedgerow Data'!$B$2:$AG$15,2,FALSE))</f>
        <v/>
      </c>
      <c r="R163" s="363" t="str">
        <f>IF(M163="","",VLOOKUP(M163,'G-6 Hedgerow Data'!$B$2:$AG$15,3,FALSE))</f>
        <v/>
      </c>
      <c r="S163" s="125"/>
      <c r="T163" s="401" t="str">
        <f>IFERROR(VLOOKUP(S163,'G-1 All Habitats'!$Z$2:$AA$9,2,FALSE),"")</f>
        <v/>
      </c>
      <c r="U163" s="122"/>
      <c r="V163" s="382" t="str">
        <f>IF(U163="","",IF(VLOOKUP(U163,'G-3 Multipliers'!$L$3:$N$6,2,FALSE)=0,"Spatial Data Missing ⚠",VLOOKUP(U163,'G-3 Multipliers'!$L$3:$N$6,2,FALSE)))</f>
        <v/>
      </c>
      <c r="W163" s="386" t="str">
        <f>IF(U163="","",IF(VLOOKUP(U163,'G-3 Multipliers'!$L$3:$N$6,3,FALSE)=0,"Spatial Data Missing ⚠",VLOOKUP(U163,'G-3 Multipliers'!$L$3:$N$6,3,FALSE)))</f>
        <v/>
      </c>
      <c r="X163" s="362" t="str">
        <f>IFERROR(IF(OR(LEFT(O163,5)="Error",LEFT(N163,5)="Error",T163="Error"),"Check Data ⚠",IF(F163&lt;R163,INDEX('G-6 Hedgerow Data'!$S$3:$AE$14,MATCH(C163,'G-6 Hedgerow Data'!$B$3:$B$14,0),MATCH(M163,'G-6 Hedgerow Data'!$S$2:$AE$2,0)),INDEX('G-6 Hedgerow Data'!$K$3:$Q$14,MATCH(M163,'G-6 Hedgerow Data'!$B$3:$B$14,0),MATCH(O163,'G-6 Hedgerow Data'!$K$2:$Q$2,0)))),"")</f>
        <v/>
      </c>
      <c r="Y163" s="159"/>
      <c r="Z163" s="159"/>
      <c r="AA163" s="370" t="str">
        <f t="shared" si="19"/>
        <v/>
      </c>
      <c r="AB163" s="383" t="str">
        <f t="shared" si="20"/>
        <v/>
      </c>
      <c r="AC163" s="384" t="str">
        <f t="shared" si="16"/>
        <v/>
      </c>
      <c r="AD163" s="398" t="str">
        <f>IF(M163="","",VLOOKUP(M163,'G-6 Hedgerow Data'!$B$3:$AG$15,31,FALSE))</f>
        <v/>
      </c>
      <c r="AE163" s="370" t="str">
        <f t="shared" si="21"/>
        <v/>
      </c>
      <c r="AF163" s="370" t="str">
        <f t="shared" si="22"/>
        <v/>
      </c>
      <c r="AG163" s="386" t="str">
        <f>IFERROR(IF(O163="","",VLOOKUP(AD163,'G-3 Multipliers'!$P$3:$Q$6,2,FALSE)),"")</f>
        <v/>
      </c>
      <c r="AH163" s="376" t="str">
        <f t="shared" si="17"/>
        <v/>
      </c>
      <c r="AI163" s="188"/>
      <c r="AJ163" s="118"/>
      <c r="AK163" s="120"/>
      <c r="AT163" s="30" t="str">
        <f>IFERROR(INDEX('G-6 Hedgerow Data'!$BJ$3:$BJ$15,MATCH(M163,'G-6 Hedgerow Data'!$B$3:$B$15,0)),"")</f>
        <v/>
      </c>
    </row>
    <row r="164" spans="2:46" ht="15">
      <c r="B164" s="392" t="str">
        <f>'B-1 On-Site Hedge Baseline'!AK162</f>
        <v/>
      </c>
      <c r="C164" s="382" t="str">
        <f>IF(B164="","",IF(ISNA(VLOOKUP($B164,'B-1 On-Site Hedge Baseline'!$B$1:$L$257,3,FALSE)),"",(VLOOKUP($B164,'B-1 On-Site Hedge Baseline'!$B$1:$L$257,3,FALSE))))</f>
        <v/>
      </c>
      <c r="D164" s="382" t="str">
        <f>IF(B164="","",IF(ISNA(VLOOKUP($B164,'B-1 On-Site Hedge Baseline'!$B$1:$L$257,4,FALSE)),"",(VLOOKUP($B164,'B-1 On-Site Hedge Baseline'!$B$1:$L$257,4,FALSE))))</f>
        <v/>
      </c>
      <c r="E164" s="382" t="str">
        <f>IF(B164="","",IF(ISNA(VLOOKUP($B164,'B-1 On-Site Hedge Baseline'!$B$1:$L$257,5,FALSE)),"",(VLOOKUP($B164,'B-1 On-Site Hedge Baseline'!$B$1:$L$257,5,FALSE))))</f>
        <v/>
      </c>
      <c r="F164" s="382" t="str">
        <f>IF(B164="","",IF(ISNA(VLOOKUP($B164,'B-1 On-Site Hedge Baseline'!$B$1:$L$257,6,FALSE)),"",(VLOOKUP($B164,'B-1 On-Site Hedge Baseline'!$B$1:$L$257,6,FALSE))))</f>
        <v/>
      </c>
      <c r="G164" s="382" t="str">
        <f>IF(B164="","",IF(ISNA(VLOOKUP($B164,'B-1 On-Site Hedge Baseline'!$B$1:$L$257,7,FALSE)),"",(VLOOKUP($B164,'B-1 On-Site Hedge Baseline'!$B$1:$L$257,7,FALSE))))</f>
        <v/>
      </c>
      <c r="H164" s="382" t="str">
        <f>IF(B164="","",IF(ISNA(VLOOKUP($B164,'B-1 On-Site Hedge Baseline'!$B$1:$L$257,8,FALSE)),"",(VLOOKUP($B164,'B-1 On-Site Hedge Baseline'!$B$1:$L$257,8,FALSE))))</f>
        <v/>
      </c>
      <c r="I164" s="382" t="str">
        <f>IF(B164="","",IF(ISNA(VLOOKUP($B164,'B-1 On-Site Hedge Baseline'!$B$1:$L$257,10,FALSE)),"",(VLOOKUP($B164,'B-1 On-Site Hedge Baseline'!$B$1:$L$257,10,FALSE))))</f>
        <v/>
      </c>
      <c r="J164" s="382" t="str">
        <f>IF(B164="","",IF(ISNA(VLOOKUP($B164,'B-1 On-Site Hedge Baseline'!$B$1:$L$257,11,FALSE)),"",(VLOOKUP($B164,'B-1 On-Site Hedge Baseline'!$B$1:$L$257,11,FALSE))))</f>
        <v/>
      </c>
      <c r="K164" s="382" t="str">
        <f>IF(B164="","",IF(ISNA(VLOOKUP($B164,'B-1 On-Site Hedge Baseline'!$B$1:$U$257,13,FALSE)),"",(VLOOKUP($B164,'B-1 On-Site Hedge Baseline'!$B$1:$U$257,13,FALSE))))</f>
        <v/>
      </c>
      <c r="L164" s="386" t="str">
        <f>IF(B164="","",IF(ISNA(VLOOKUP($B164,'B-1 On-Site Hedge Baseline'!$B$1:$U$257,12,FALSE)),"",(VLOOKUP($B164,'B-1 On-Site Hedge Baseline'!$B$1:$U$257,12,FALSE))))</f>
        <v/>
      </c>
      <c r="M164" s="315" t="str">
        <f t="shared" si="23"/>
        <v/>
      </c>
      <c r="N164" s="362" t="str">
        <f>IFERROR(IF(B164="","",INDEX('G-6 Hedgerow Data'!$AN$3:$AZ$15,MATCH(C164,'G-6 Hedgerow Data'!$AM$3:$AM$15,0),MATCH(M164,'G-6 Hedgerow Data'!$AN$2:$AZ$2,0))),"")</f>
        <v/>
      </c>
      <c r="O164" s="363" t="str">
        <f t="shared" si="18"/>
        <v/>
      </c>
      <c r="P164" s="417" t="str">
        <f>IF(B164="","",VLOOKUP(B164,'B-1 On-Site Hedge Baseline'!$B$10:T409,16,FALSE))</f>
        <v/>
      </c>
      <c r="Q164" s="362" t="str">
        <f>IF(M164="","",VLOOKUP(M164,'G-6 Hedgerow Data'!$B$2:$AG$15,2,FALSE))</f>
        <v/>
      </c>
      <c r="R164" s="363" t="str">
        <f>IF(M164="","",VLOOKUP(M164,'G-6 Hedgerow Data'!$B$2:$AG$15,3,FALSE))</f>
        <v/>
      </c>
      <c r="S164" s="125"/>
      <c r="T164" s="401" t="str">
        <f>IFERROR(VLOOKUP(S164,'G-1 All Habitats'!$Z$2:$AA$9,2,FALSE),"")</f>
        <v/>
      </c>
      <c r="U164" s="122"/>
      <c r="V164" s="382" t="str">
        <f>IF(U164="","",IF(VLOOKUP(U164,'G-3 Multipliers'!$L$3:$N$6,2,FALSE)=0,"Spatial Data Missing ⚠",VLOOKUP(U164,'G-3 Multipliers'!$L$3:$N$6,2,FALSE)))</f>
        <v/>
      </c>
      <c r="W164" s="386" t="str">
        <f>IF(U164="","",IF(VLOOKUP(U164,'G-3 Multipliers'!$L$3:$N$6,3,FALSE)=0,"Spatial Data Missing ⚠",VLOOKUP(U164,'G-3 Multipliers'!$L$3:$N$6,3,FALSE)))</f>
        <v/>
      </c>
      <c r="X164" s="362" t="str">
        <f>IFERROR(IF(OR(LEFT(O164,5)="Error",LEFT(N164,5)="Error",T164="Error"),"Check Data ⚠",IF(F164&lt;R164,INDEX('G-6 Hedgerow Data'!$S$3:$AE$14,MATCH(C164,'G-6 Hedgerow Data'!$B$3:$B$14,0),MATCH(M164,'G-6 Hedgerow Data'!$S$2:$AE$2,0)),INDEX('G-6 Hedgerow Data'!$K$3:$Q$14,MATCH(M164,'G-6 Hedgerow Data'!$B$3:$B$14,0),MATCH(O164,'G-6 Hedgerow Data'!$K$2:$Q$2,0)))),"")</f>
        <v/>
      </c>
      <c r="Y164" s="159"/>
      <c r="Z164" s="159"/>
      <c r="AA164" s="370" t="str">
        <f t="shared" si="19"/>
        <v/>
      </c>
      <c r="AB164" s="383" t="str">
        <f t="shared" si="20"/>
        <v/>
      </c>
      <c r="AC164" s="384" t="str">
        <f t="shared" si="16"/>
        <v/>
      </c>
      <c r="AD164" s="398" t="str">
        <f>IF(M164="","",VLOOKUP(M164,'G-6 Hedgerow Data'!$B$3:$AG$15,31,FALSE))</f>
        <v/>
      </c>
      <c r="AE164" s="370" t="str">
        <f t="shared" si="21"/>
        <v/>
      </c>
      <c r="AF164" s="370" t="str">
        <f t="shared" si="22"/>
        <v/>
      </c>
      <c r="AG164" s="386" t="str">
        <f>IFERROR(IF(O164="","",VLOOKUP(AD164,'G-3 Multipliers'!$P$3:$Q$6,2,FALSE)),"")</f>
        <v/>
      </c>
      <c r="AH164" s="376" t="str">
        <f t="shared" si="17"/>
        <v/>
      </c>
      <c r="AI164" s="188"/>
      <c r="AJ164" s="118"/>
      <c r="AK164" s="120"/>
      <c r="AT164" s="30" t="str">
        <f>IFERROR(INDEX('G-6 Hedgerow Data'!$BJ$3:$BJ$15,MATCH(M164,'G-6 Hedgerow Data'!$B$3:$B$15,0)),"")</f>
        <v/>
      </c>
    </row>
    <row r="165" spans="2:46" ht="15">
      <c r="B165" s="392" t="str">
        <f>'B-1 On-Site Hedge Baseline'!AK163</f>
        <v/>
      </c>
      <c r="C165" s="382" t="str">
        <f>IF(B165="","",IF(ISNA(VLOOKUP($B165,'B-1 On-Site Hedge Baseline'!$B$1:$L$257,3,FALSE)),"",(VLOOKUP($B165,'B-1 On-Site Hedge Baseline'!$B$1:$L$257,3,FALSE))))</f>
        <v/>
      </c>
      <c r="D165" s="382" t="str">
        <f>IF(B165="","",IF(ISNA(VLOOKUP($B165,'B-1 On-Site Hedge Baseline'!$B$1:$L$257,4,FALSE)),"",(VLOOKUP($B165,'B-1 On-Site Hedge Baseline'!$B$1:$L$257,4,FALSE))))</f>
        <v/>
      </c>
      <c r="E165" s="382" t="str">
        <f>IF(B165="","",IF(ISNA(VLOOKUP($B165,'B-1 On-Site Hedge Baseline'!$B$1:$L$257,5,FALSE)),"",(VLOOKUP($B165,'B-1 On-Site Hedge Baseline'!$B$1:$L$257,5,FALSE))))</f>
        <v/>
      </c>
      <c r="F165" s="382" t="str">
        <f>IF(B165="","",IF(ISNA(VLOOKUP($B165,'B-1 On-Site Hedge Baseline'!$B$1:$L$257,6,FALSE)),"",(VLOOKUP($B165,'B-1 On-Site Hedge Baseline'!$B$1:$L$257,6,FALSE))))</f>
        <v/>
      </c>
      <c r="G165" s="382" t="str">
        <f>IF(B165="","",IF(ISNA(VLOOKUP($B165,'B-1 On-Site Hedge Baseline'!$B$1:$L$257,7,FALSE)),"",(VLOOKUP($B165,'B-1 On-Site Hedge Baseline'!$B$1:$L$257,7,FALSE))))</f>
        <v/>
      </c>
      <c r="H165" s="382" t="str">
        <f>IF(B165="","",IF(ISNA(VLOOKUP($B165,'B-1 On-Site Hedge Baseline'!$B$1:$L$257,8,FALSE)),"",(VLOOKUP($B165,'B-1 On-Site Hedge Baseline'!$B$1:$L$257,8,FALSE))))</f>
        <v/>
      </c>
      <c r="I165" s="382" t="str">
        <f>IF(B165="","",IF(ISNA(VLOOKUP($B165,'B-1 On-Site Hedge Baseline'!$B$1:$L$257,10,FALSE)),"",(VLOOKUP($B165,'B-1 On-Site Hedge Baseline'!$B$1:$L$257,10,FALSE))))</f>
        <v/>
      </c>
      <c r="J165" s="382" t="str">
        <f>IF(B165="","",IF(ISNA(VLOOKUP($B165,'B-1 On-Site Hedge Baseline'!$B$1:$L$257,11,FALSE)),"",(VLOOKUP($B165,'B-1 On-Site Hedge Baseline'!$B$1:$L$257,11,FALSE))))</f>
        <v/>
      </c>
      <c r="K165" s="382" t="str">
        <f>IF(B165="","",IF(ISNA(VLOOKUP($B165,'B-1 On-Site Hedge Baseline'!$B$1:$U$257,13,FALSE)),"",(VLOOKUP($B165,'B-1 On-Site Hedge Baseline'!$B$1:$U$257,13,FALSE))))</f>
        <v/>
      </c>
      <c r="L165" s="386" t="str">
        <f>IF(B165="","",IF(ISNA(VLOOKUP($B165,'B-1 On-Site Hedge Baseline'!$B$1:$U$257,12,FALSE)),"",(VLOOKUP($B165,'B-1 On-Site Hedge Baseline'!$B$1:$U$257,12,FALSE))))</f>
        <v/>
      </c>
      <c r="M165" s="315" t="str">
        <f t="shared" si="23"/>
        <v/>
      </c>
      <c r="N165" s="362" t="str">
        <f>IFERROR(IF(B165="","",INDEX('G-6 Hedgerow Data'!$AN$3:$AZ$15,MATCH(C165,'G-6 Hedgerow Data'!$AM$3:$AM$15,0),MATCH(M165,'G-6 Hedgerow Data'!$AN$2:$AZ$2,0))),"")</f>
        <v/>
      </c>
      <c r="O165" s="363" t="str">
        <f t="shared" si="18"/>
        <v/>
      </c>
      <c r="P165" s="417" t="str">
        <f>IF(B165="","",VLOOKUP(B165,'B-1 On-Site Hedge Baseline'!$B$10:T410,16,FALSE))</f>
        <v/>
      </c>
      <c r="Q165" s="362" t="str">
        <f>IF(M165="","",VLOOKUP(M165,'G-6 Hedgerow Data'!$B$2:$AG$15,2,FALSE))</f>
        <v/>
      </c>
      <c r="R165" s="363" t="str">
        <f>IF(M165="","",VLOOKUP(M165,'G-6 Hedgerow Data'!$B$2:$AG$15,3,FALSE))</f>
        <v/>
      </c>
      <c r="S165" s="125"/>
      <c r="T165" s="401" t="str">
        <f>IFERROR(VLOOKUP(S165,'G-1 All Habitats'!$Z$2:$AA$9,2,FALSE),"")</f>
        <v/>
      </c>
      <c r="U165" s="122"/>
      <c r="V165" s="382" t="str">
        <f>IF(U165="","",IF(VLOOKUP(U165,'G-3 Multipliers'!$L$3:$N$6,2,FALSE)=0,"Spatial Data Missing ⚠",VLOOKUP(U165,'G-3 Multipliers'!$L$3:$N$6,2,FALSE)))</f>
        <v/>
      </c>
      <c r="W165" s="386" t="str">
        <f>IF(U165="","",IF(VLOOKUP(U165,'G-3 Multipliers'!$L$3:$N$6,3,FALSE)=0,"Spatial Data Missing ⚠",VLOOKUP(U165,'G-3 Multipliers'!$L$3:$N$6,3,FALSE)))</f>
        <v/>
      </c>
      <c r="X165" s="362" t="str">
        <f>IFERROR(IF(OR(LEFT(O165,5)="Error",LEFT(N165,5)="Error",T165="Error"),"Check Data ⚠",IF(F165&lt;R165,INDEX('G-6 Hedgerow Data'!$S$3:$AE$14,MATCH(C165,'G-6 Hedgerow Data'!$B$3:$B$14,0),MATCH(M165,'G-6 Hedgerow Data'!$S$2:$AE$2,0)),INDEX('G-6 Hedgerow Data'!$K$3:$Q$14,MATCH(M165,'G-6 Hedgerow Data'!$B$3:$B$14,0),MATCH(O165,'G-6 Hedgerow Data'!$K$2:$Q$2,0)))),"")</f>
        <v/>
      </c>
      <c r="Y165" s="159"/>
      <c r="Z165" s="159"/>
      <c r="AA165" s="370" t="str">
        <f t="shared" si="19"/>
        <v/>
      </c>
      <c r="AB165" s="383" t="str">
        <f t="shared" si="20"/>
        <v/>
      </c>
      <c r="AC165" s="384" t="str">
        <f t="shared" si="16"/>
        <v/>
      </c>
      <c r="AD165" s="398" t="str">
        <f>IF(M165="","",VLOOKUP(M165,'G-6 Hedgerow Data'!$B$3:$AG$15,31,FALSE))</f>
        <v/>
      </c>
      <c r="AE165" s="370" t="str">
        <f t="shared" si="21"/>
        <v/>
      </c>
      <c r="AF165" s="370" t="str">
        <f t="shared" si="22"/>
        <v/>
      </c>
      <c r="AG165" s="386" t="str">
        <f>IFERROR(IF(O165="","",VLOOKUP(AD165,'G-3 Multipliers'!$P$3:$Q$6,2,FALSE)),"")</f>
        <v/>
      </c>
      <c r="AH165" s="376" t="str">
        <f t="shared" si="17"/>
        <v/>
      </c>
      <c r="AI165" s="188"/>
      <c r="AJ165" s="118"/>
      <c r="AK165" s="120"/>
      <c r="AT165" s="30" t="str">
        <f>IFERROR(INDEX('G-6 Hedgerow Data'!$BJ$3:$BJ$15,MATCH(M165,'G-6 Hedgerow Data'!$B$3:$B$15,0)),"")</f>
        <v/>
      </c>
    </row>
    <row r="166" spans="2:46" ht="15">
      <c r="B166" s="392" t="str">
        <f>'B-1 On-Site Hedge Baseline'!AK164</f>
        <v/>
      </c>
      <c r="C166" s="382" t="str">
        <f>IF(B166="","",IF(ISNA(VLOOKUP($B166,'B-1 On-Site Hedge Baseline'!$B$1:$L$257,3,FALSE)),"",(VLOOKUP($B166,'B-1 On-Site Hedge Baseline'!$B$1:$L$257,3,FALSE))))</f>
        <v/>
      </c>
      <c r="D166" s="382" t="str">
        <f>IF(B166="","",IF(ISNA(VLOOKUP($B166,'B-1 On-Site Hedge Baseline'!$B$1:$L$257,4,FALSE)),"",(VLOOKUP($B166,'B-1 On-Site Hedge Baseline'!$B$1:$L$257,4,FALSE))))</f>
        <v/>
      </c>
      <c r="E166" s="382" t="str">
        <f>IF(B166="","",IF(ISNA(VLOOKUP($B166,'B-1 On-Site Hedge Baseline'!$B$1:$L$257,5,FALSE)),"",(VLOOKUP($B166,'B-1 On-Site Hedge Baseline'!$B$1:$L$257,5,FALSE))))</f>
        <v/>
      </c>
      <c r="F166" s="382" t="str">
        <f>IF(B166="","",IF(ISNA(VLOOKUP($B166,'B-1 On-Site Hedge Baseline'!$B$1:$L$257,6,FALSE)),"",(VLOOKUP($B166,'B-1 On-Site Hedge Baseline'!$B$1:$L$257,6,FALSE))))</f>
        <v/>
      </c>
      <c r="G166" s="382" t="str">
        <f>IF(B166="","",IF(ISNA(VLOOKUP($B166,'B-1 On-Site Hedge Baseline'!$B$1:$L$257,7,FALSE)),"",(VLOOKUP($B166,'B-1 On-Site Hedge Baseline'!$B$1:$L$257,7,FALSE))))</f>
        <v/>
      </c>
      <c r="H166" s="382" t="str">
        <f>IF(B166="","",IF(ISNA(VLOOKUP($B166,'B-1 On-Site Hedge Baseline'!$B$1:$L$257,8,FALSE)),"",(VLOOKUP($B166,'B-1 On-Site Hedge Baseline'!$B$1:$L$257,8,FALSE))))</f>
        <v/>
      </c>
      <c r="I166" s="382" t="str">
        <f>IF(B166="","",IF(ISNA(VLOOKUP($B166,'B-1 On-Site Hedge Baseline'!$B$1:$L$257,10,FALSE)),"",(VLOOKUP($B166,'B-1 On-Site Hedge Baseline'!$B$1:$L$257,10,FALSE))))</f>
        <v/>
      </c>
      <c r="J166" s="382" t="str">
        <f>IF(B166="","",IF(ISNA(VLOOKUP($B166,'B-1 On-Site Hedge Baseline'!$B$1:$L$257,11,FALSE)),"",(VLOOKUP($B166,'B-1 On-Site Hedge Baseline'!$B$1:$L$257,11,FALSE))))</f>
        <v/>
      </c>
      <c r="K166" s="382" t="str">
        <f>IF(B166="","",IF(ISNA(VLOOKUP($B166,'B-1 On-Site Hedge Baseline'!$B$1:$U$257,13,FALSE)),"",(VLOOKUP($B166,'B-1 On-Site Hedge Baseline'!$B$1:$U$257,13,FALSE))))</f>
        <v/>
      </c>
      <c r="L166" s="386" t="str">
        <f>IF(B166="","",IF(ISNA(VLOOKUP($B166,'B-1 On-Site Hedge Baseline'!$B$1:$U$257,12,FALSE)),"",(VLOOKUP($B166,'B-1 On-Site Hedge Baseline'!$B$1:$U$257,12,FALSE))))</f>
        <v/>
      </c>
      <c r="M166" s="315" t="str">
        <f t="shared" si="23"/>
        <v/>
      </c>
      <c r="N166" s="362" t="str">
        <f>IFERROR(IF(B166="","",INDEX('G-6 Hedgerow Data'!$AN$3:$AZ$15,MATCH(C166,'G-6 Hedgerow Data'!$AM$3:$AM$15,0),MATCH(M166,'G-6 Hedgerow Data'!$AN$2:$AZ$2,0))),"")</f>
        <v/>
      </c>
      <c r="O166" s="363" t="str">
        <f t="shared" si="18"/>
        <v/>
      </c>
      <c r="P166" s="417" t="str">
        <f>IF(B166="","",VLOOKUP(B166,'B-1 On-Site Hedge Baseline'!$B$10:T411,16,FALSE))</f>
        <v/>
      </c>
      <c r="Q166" s="362" t="str">
        <f>IF(M166="","",VLOOKUP(M166,'G-6 Hedgerow Data'!$B$2:$AG$15,2,FALSE))</f>
        <v/>
      </c>
      <c r="R166" s="363" t="str">
        <f>IF(M166="","",VLOOKUP(M166,'G-6 Hedgerow Data'!$B$2:$AG$15,3,FALSE))</f>
        <v/>
      </c>
      <c r="S166" s="125"/>
      <c r="T166" s="401" t="str">
        <f>IFERROR(VLOOKUP(S166,'G-1 All Habitats'!$Z$2:$AA$9,2,FALSE),"")</f>
        <v/>
      </c>
      <c r="U166" s="122"/>
      <c r="V166" s="382" t="str">
        <f>IF(U166="","",IF(VLOOKUP(U166,'G-3 Multipliers'!$L$3:$N$6,2,FALSE)=0,"Spatial Data Missing ⚠",VLOOKUP(U166,'G-3 Multipliers'!$L$3:$N$6,2,FALSE)))</f>
        <v/>
      </c>
      <c r="W166" s="386" t="str">
        <f>IF(U166="","",IF(VLOOKUP(U166,'G-3 Multipliers'!$L$3:$N$6,3,FALSE)=0,"Spatial Data Missing ⚠",VLOOKUP(U166,'G-3 Multipliers'!$L$3:$N$6,3,FALSE)))</f>
        <v/>
      </c>
      <c r="X166" s="362" t="str">
        <f>IFERROR(IF(OR(LEFT(O166,5)="Error",LEFT(N166,5)="Error",T166="Error"),"Check Data ⚠",IF(F166&lt;R166,INDEX('G-6 Hedgerow Data'!$S$3:$AE$14,MATCH(C166,'G-6 Hedgerow Data'!$B$3:$B$14,0),MATCH(M166,'G-6 Hedgerow Data'!$S$2:$AE$2,0)),INDEX('G-6 Hedgerow Data'!$K$3:$Q$14,MATCH(M166,'G-6 Hedgerow Data'!$B$3:$B$14,0),MATCH(O166,'G-6 Hedgerow Data'!$K$2:$Q$2,0)))),"")</f>
        <v/>
      </c>
      <c r="Y166" s="159"/>
      <c r="Z166" s="159"/>
      <c r="AA166" s="370" t="str">
        <f t="shared" si="19"/>
        <v/>
      </c>
      <c r="AB166" s="383" t="str">
        <f t="shared" si="20"/>
        <v/>
      </c>
      <c r="AC166" s="384" t="str">
        <f t="shared" si="16"/>
        <v/>
      </c>
      <c r="AD166" s="398" t="str">
        <f>IF(M166="","",VLOOKUP(M166,'G-6 Hedgerow Data'!$B$3:$AG$15,31,FALSE))</f>
        <v/>
      </c>
      <c r="AE166" s="370" t="str">
        <f t="shared" si="21"/>
        <v/>
      </c>
      <c r="AF166" s="370" t="str">
        <f t="shared" si="22"/>
        <v/>
      </c>
      <c r="AG166" s="386" t="str">
        <f>IFERROR(IF(O166="","",VLOOKUP(AD166,'G-3 Multipliers'!$P$3:$Q$6,2,FALSE)),"")</f>
        <v/>
      </c>
      <c r="AH166" s="376" t="str">
        <f t="shared" si="17"/>
        <v/>
      </c>
      <c r="AI166" s="188"/>
      <c r="AJ166" s="118"/>
      <c r="AK166" s="120"/>
      <c r="AT166" s="30" t="str">
        <f>IFERROR(INDEX('G-6 Hedgerow Data'!$BJ$3:$BJ$15,MATCH(M166,'G-6 Hedgerow Data'!$B$3:$B$15,0)),"")</f>
        <v/>
      </c>
    </row>
    <row r="167" spans="2:46" ht="15">
      <c r="B167" s="392" t="str">
        <f>'B-1 On-Site Hedge Baseline'!AK165</f>
        <v/>
      </c>
      <c r="C167" s="382" t="str">
        <f>IF(B167="","",IF(ISNA(VLOOKUP($B167,'B-1 On-Site Hedge Baseline'!$B$1:$L$257,3,FALSE)),"",(VLOOKUP($B167,'B-1 On-Site Hedge Baseline'!$B$1:$L$257,3,FALSE))))</f>
        <v/>
      </c>
      <c r="D167" s="382" t="str">
        <f>IF(B167="","",IF(ISNA(VLOOKUP($B167,'B-1 On-Site Hedge Baseline'!$B$1:$L$257,4,FALSE)),"",(VLOOKUP($B167,'B-1 On-Site Hedge Baseline'!$B$1:$L$257,4,FALSE))))</f>
        <v/>
      </c>
      <c r="E167" s="382" t="str">
        <f>IF(B167="","",IF(ISNA(VLOOKUP($B167,'B-1 On-Site Hedge Baseline'!$B$1:$L$257,5,FALSE)),"",(VLOOKUP($B167,'B-1 On-Site Hedge Baseline'!$B$1:$L$257,5,FALSE))))</f>
        <v/>
      </c>
      <c r="F167" s="382" t="str">
        <f>IF(B167="","",IF(ISNA(VLOOKUP($B167,'B-1 On-Site Hedge Baseline'!$B$1:$L$257,6,FALSE)),"",(VLOOKUP($B167,'B-1 On-Site Hedge Baseline'!$B$1:$L$257,6,FALSE))))</f>
        <v/>
      </c>
      <c r="G167" s="382" t="str">
        <f>IF(B167="","",IF(ISNA(VLOOKUP($B167,'B-1 On-Site Hedge Baseline'!$B$1:$L$257,7,FALSE)),"",(VLOOKUP($B167,'B-1 On-Site Hedge Baseline'!$B$1:$L$257,7,FALSE))))</f>
        <v/>
      </c>
      <c r="H167" s="382" t="str">
        <f>IF(B167="","",IF(ISNA(VLOOKUP($B167,'B-1 On-Site Hedge Baseline'!$B$1:$L$257,8,FALSE)),"",(VLOOKUP($B167,'B-1 On-Site Hedge Baseline'!$B$1:$L$257,8,FALSE))))</f>
        <v/>
      </c>
      <c r="I167" s="382" t="str">
        <f>IF(B167="","",IF(ISNA(VLOOKUP($B167,'B-1 On-Site Hedge Baseline'!$B$1:$L$257,10,FALSE)),"",(VLOOKUP($B167,'B-1 On-Site Hedge Baseline'!$B$1:$L$257,10,FALSE))))</f>
        <v/>
      </c>
      <c r="J167" s="382" t="str">
        <f>IF(B167="","",IF(ISNA(VLOOKUP($B167,'B-1 On-Site Hedge Baseline'!$B$1:$L$257,11,FALSE)),"",(VLOOKUP($B167,'B-1 On-Site Hedge Baseline'!$B$1:$L$257,11,FALSE))))</f>
        <v/>
      </c>
      <c r="K167" s="382" t="str">
        <f>IF(B167="","",IF(ISNA(VLOOKUP($B167,'B-1 On-Site Hedge Baseline'!$B$1:$U$257,13,FALSE)),"",(VLOOKUP($B167,'B-1 On-Site Hedge Baseline'!$B$1:$U$257,13,FALSE))))</f>
        <v/>
      </c>
      <c r="L167" s="386" t="str">
        <f>IF(B167="","",IF(ISNA(VLOOKUP($B167,'B-1 On-Site Hedge Baseline'!$B$1:$U$257,12,FALSE)),"",(VLOOKUP($B167,'B-1 On-Site Hedge Baseline'!$B$1:$U$257,12,FALSE))))</f>
        <v/>
      </c>
      <c r="M167" s="315" t="str">
        <f t="shared" si="23"/>
        <v/>
      </c>
      <c r="N167" s="362" t="str">
        <f>IFERROR(IF(B167="","",INDEX('G-6 Hedgerow Data'!$AN$3:$AZ$15,MATCH(C167,'G-6 Hedgerow Data'!$AM$3:$AM$15,0),MATCH(M167,'G-6 Hedgerow Data'!$AN$2:$AZ$2,0))),"")</f>
        <v/>
      </c>
      <c r="O167" s="363" t="str">
        <f t="shared" si="18"/>
        <v/>
      </c>
      <c r="P167" s="417" t="str">
        <f>IF(B167="","",VLOOKUP(B167,'B-1 On-Site Hedge Baseline'!$B$10:T412,16,FALSE))</f>
        <v/>
      </c>
      <c r="Q167" s="362" t="str">
        <f>IF(M167="","",VLOOKUP(M167,'G-6 Hedgerow Data'!$B$2:$AG$15,2,FALSE))</f>
        <v/>
      </c>
      <c r="R167" s="363" t="str">
        <f>IF(M167="","",VLOOKUP(M167,'G-6 Hedgerow Data'!$B$2:$AG$15,3,FALSE))</f>
        <v/>
      </c>
      <c r="S167" s="125"/>
      <c r="T167" s="401" t="str">
        <f>IFERROR(VLOOKUP(S167,'G-1 All Habitats'!$Z$2:$AA$9,2,FALSE),"")</f>
        <v/>
      </c>
      <c r="U167" s="122"/>
      <c r="V167" s="382" t="str">
        <f>IF(U167="","",IF(VLOOKUP(U167,'G-3 Multipliers'!$L$3:$N$6,2,FALSE)=0,"Spatial Data Missing ⚠",VLOOKUP(U167,'G-3 Multipliers'!$L$3:$N$6,2,FALSE)))</f>
        <v/>
      </c>
      <c r="W167" s="386" t="str">
        <f>IF(U167="","",IF(VLOOKUP(U167,'G-3 Multipliers'!$L$3:$N$6,3,FALSE)=0,"Spatial Data Missing ⚠",VLOOKUP(U167,'G-3 Multipliers'!$L$3:$N$6,3,FALSE)))</f>
        <v/>
      </c>
      <c r="X167" s="362" t="str">
        <f>IFERROR(IF(OR(LEFT(O167,5)="Error",LEFT(N167,5)="Error",T167="Error"),"Check Data ⚠",IF(F167&lt;R167,INDEX('G-6 Hedgerow Data'!$S$3:$AE$14,MATCH(C167,'G-6 Hedgerow Data'!$B$3:$B$14,0),MATCH(M167,'G-6 Hedgerow Data'!$S$2:$AE$2,0)),INDEX('G-6 Hedgerow Data'!$K$3:$Q$14,MATCH(M167,'G-6 Hedgerow Data'!$B$3:$B$14,0),MATCH(O167,'G-6 Hedgerow Data'!$K$2:$Q$2,0)))),"")</f>
        <v/>
      </c>
      <c r="Y167" s="159"/>
      <c r="Z167" s="159"/>
      <c r="AA167" s="370" t="str">
        <f t="shared" si="19"/>
        <v/>
      </c>
      <c r="AB167" s="383" t="str">
        <f t="shared" si="20"/>
        <v/>
      </c>
      <c r="AC167" s="384" t="str">
        <f t="shared" si="16"/>
        <v/>
      </c>
      <c r="AD167" s="398" t="str">
        <f>IF(M167="","",VLOOKUP(M167,'G-6 Hedgerow Data'!$B$3:$AG$15,31,FALSE))</f>
        <v/>
      </c>
      <c r="AE167" s="370" t="str">
        <f t="shared" si="21"/>
        <v/>
      </c>
      <c r="AF167" s="370" t="str">
        <f t="shared" si="22"/>
        <v/>
      </c>
      <c r="AG167" s="386" t="str">
        <f>IFERROR(IF(O167="","",VLOOKUP(AD167,'G-3 Multipliers'!$P$3:$Q$6,2,FALSE)),"")</f>
        <v/>
      </c>
      <c r="AH167" s="376" t="str">
        <f t="shared" si="17"/>
        <v/>
      </c>
      <c r="AI167" s="188"/>
      <c r="AJ167" s="118"/>
      <c r="AK167" s="120"/>
      <c r="AT167" s="30" t="str">
        <f>IFERROR(INDEX('G-6 Hedgerow Data'!$BJ$3:$BJ$15,MATCH(M167,'G-6 Hedgerow Data'!$B$3:$B$15,0)),"")</f>
        <v/>
      </c>
    </row>
    <row r="168" spans="2:46" ht="15">
      <c r="B168" s="392" t="str">
        <f>'B-1 On-Site Hedge Baseline'!AK166</f>
        <v/>
      </c>
      <c r="C168" s="382" t="str">
        <f>IF(B168="","",IF(ISNA(VLOOKUP($B168,'B-1 On-Site Hedge Baseline'!$B$1:$L$257,3,FALSE)),"",(VLOOKUP($B168,'B-1 On-Site Hedge Baseline'!$B$1:$L$257,3,FALSE))))</f>
        <v/>
      </c>
      <c r="D168" s="382" t="str">
        <f>IF(B168="","",IF(ISNA(VLOOKUP($B168,'B-1 On-Site Hedge Baseline'!$B$1:$L$257,4,FALSE)),"",(VLOOKUP($B168,'B-1 On-Site Hedge Baseline'!$B$1:$L$257,4,FALSE))))</f>
        <v/>
      </c>
      <c r="E168" s="382" t="str">
        <f>IF(B168="","",IF(ISNA(VLOOKUP($B168,'B-1 On-Site Hedge Baseline'!$B$1:$L$257,5,FALSE)),"",(VLOOKUP($B168,'B-1 On-Site Hedge Baseline'!$B$1:$L$257,5,FALSE))))</f>
        <v/>
      </c>
      <c r="F168" s="382" t="str">
        <f>IF(B168="","",IF(ISNA(VLOOKUP($B168,'B-1 On-Site Hedge Baseline'!$B$1:$L$257,6,FALSE)),"",(VLOOKUP($B168,'B-1 On-Site Hedge Baseline'!$B$1:$L$257,6,FALSE))))</f>
        <v/>
      </c>
      <c r="G168" s="382" t="str">
        <f>IF(B168="","",IF(ISNA(VLOOKUP($B168,'B-1 On-Site Hedge Baseline'!$B$1:$L$257,7,FALSE)),"",(VLOOKUP($B168,'B-1 On-Site Hedge Baseline'!$B$1:$L$257,7,FALSE))))</f>
        <v/>
      </c>
      <c r="H168" s="382" t="str">
        <f>IF(B168="","",IF(ISNA(VLOOKUP($B168,'B-1 On-Site Hedge Baseline'!$B$1:$L$257,8,FALSE)),"",(VLOOKUP($B168,'B-1 On-Site Hedge Baseline'!$B$1:$L$257,8,FALSE))))</f>
        <v/>
      </c>
      <c r="I168" s="382" t="str">
        <f>IF(B168="","",IF(ISNA(VLOOKUP($B168,'B-1 On-Site Hedge Baseline'!$B$1:$L$257,10,FALSE)),"",(VLOOKUP($B168,'B-1 On-Site Hedge Baseline'!$B$1:$L$257,10,FALSE))))</f>
        <v/>
      </c>
      <c r="J168" s="382" t="str">
        <f>IF(B168="","",IF(ISNA(VLOOKUP($B168,'B-1 On-Site Hedge Baseline'!$B$1:$L$257,11,FALSE)),"",(VLOOKUP($B168,'B-1 On-Site Hedge Baseline'!$B$1:$L$257,11,FALSE))))</f>
        <v/>
      </c>
      <c r="K168" s="382" t="str">
        <f>IF(B168="","",IF(ISNA(VLOOKUP($B168,'B-1 On-Site Hedge Baseline'!$B$1:$U$257,13,FALSE)),"",(VLOOKUP($B168,'B-1 On-Site Hedge Baseline'!$B$1:$U$257,13,FALSE))))</f>
        <v/>
      </c>
      <c r="L168" s="386" t="str">
        <f>IF(B168="","",IF(ISNA(VLOOKUP($B168,'B-1 On-Site Hedge Baseline'!$B$1:$U$257,12,FALSE)),"",(VLOOKUP($B168,'B-1 On-Site Hedge Baseline'!$B$1:$U$257,12,FALSE))))</f>
        <v/>
      </c>
      <c r="M168" s="315" t="str">
        <f t="shared" si="23"/>
        <v/>
      </c>
      <c r="N168" s="362" t="str">
        <f>IFERROR(IF(B168="","",INDEX('G-6 Hedgerow Data'!$AN$3:$AZ$15,MATCH(C168,'G-6 Hedgerow Data'!$AM$3:$AM$15,0),MATCH(M168,'G-6 Hedgerow Data'!$AN$2:$AZ$2,0))),"")</f>
        <v/>
      </c>
      <c r="O168" s="363" t="str">
        <f t="shared" si="18"/>
        <v/>
      </c>
      <c r="P168" s="417" t="str">
        <f>IF(B168="","",VLOOKUP(B168,'B-1 On-Site Hedge Baseline'!$B$10:T413,16,FALSE))</f>
        <v/>
      </c>
      <c r="Q168" s="362" t="str">
        <f>IF(M168="","",VLOOKUP(M168,'G-6 Hedgerow Data'!$B$2:$AG$15,2,FALSE))</f>
        <v/>
      </c>
      <c r="R168" s="363" t="str">
        <f>IF(M168="","",VLOOKUP(M168,'G-6 Hedgerow Data'!$B$2:$AG$15,3,FALSE))</f>
        <v/>
      </c>
      <c r="S168" s="125"/>
      <c r="T168" s="401" t="str">
        <f>IFERROR(VLOOKUP(S168,'G-1 All Habitats'!$Z$2:$AA$9,2,FALSE),"")</f>
        <v/>
      </c>
      <c r="U168" s="122"/>
      <c r="V168" s="382" t="str">
        <f>IF(U168="","",IF(VLOOKUP(U168,'G-3 Multipliers'!$L$3:$N$6,2,FALSE)=0,"Spatial Data Missing ⚠",VLOOKUP(U168,'G-3 Multipliers'!$L$3:$N$6,2,FALSE)))</f>
        <v/>
      </c>
      <c r="W168" s="386" t="str">
        <f>IF(U168="","",IF(VLOOKUP(U168,'G-3 Multipliers'!$L$3:$N$6,3,FALSE)=0,"Spatial Data Missing ⚠",VLOOKUP(U168,'G-3 Multipliers'!$L$3:$N$6,3,FALSE)))</f>
        <v/>
      </c>
      <c r="X168" s="362" t="str">
        <f>IFERROR(IF(OR(LEFT(O168,5)="Error",LEFT(N168,5)="Error",T168="Error"),"Check Data ⚠",IF(F168&lt;R168,INDEX('G-6 Hedgerow Data'!$S$3:$AE$14,MATCH(C168,'G-6 Hedgerow Data'!$B$3:$B$14,0),MATCH(M168,'G-6 Hedgerow Data'!$S$2:$AE$2,0)),INDEX('G-6 Hedgerow Data'!$K$3:$Q$14,MATCH(M168,'G-6 Hedgerow Data'!$B$3:$B$14,0),MATCH(O168,'G-6 Hedgerow Data'!$K$2:$Q$2,0)))),"")</f>
        <v/>
      </c>
      <c r="Y168" s="159"/>
      <c r="Z168" s="159"/>
      <c r="AA168" s="370" t="str">
        <f t="shared" si="19"/>
        <v/>
      </c>
      <c r="AB168" s="383" t="str">
        <f t="shared" si="20"/>
        <v/>
      </c>
      <c r="AC168" s="384" t="str">
        <f t="shared" si="16"/>
        <v/>
      </c>
      <c r="AD168" s="398" t="str">
        <f>IF(M168="","",VLOOKUP(M168,'G-6 Hedgerow Data'!$B$3:$AG$15,31,FALSE))</f>
        <v/>
      </c>
      <c r="AE168" s="370" t="str">
        <f t="shared" si="21"/>
        <v/>
      </c>
      <c r="AF168" s="370" t="str">
        <f t="shared" si="22"/>
        <v/>
      </c>
      <c r="AG168" s="386" t="str">
        <f>IFERROR(IF(O168="","",VLOOKUP(AD168,'G-3 Multipliers'!$P$3:$Q$6,2,FALSE)),"")</f>
        <v/>
      </c>
      <c r="AH168" s="376" t="str">
        <f t="shared" si="17"/>
        <v/>
      </c>
      <c r="AI168" s="188"/>
      <c r="AJ168" s="118"/>
      <c r="AK168" s="120"/>
      <c r="AT168" s="30" t="str">
        <f>IFERROR(INDEX('G-6 Hedgerow Data'!$BJ$3:$BJ$15,MATCH(M168,'G-6 Hedgerow Data'!$B$3:$B$15,0)),"")</f>
        <v/>
      </c>
    </row>
    <row r="169" spans="2:46" ht="15">
      <c r="B169" s="392" t="str">
        <f>'B-1 On-Site Hedge Baseline'!AK167</f>
        <v/>
      </c>
      <c r="C169" s="382" t="str">
        <f>IF(B169="","",IF(ISNA(VLOOKUP($B169,'B-1 On-Site Hedge Baseline'!$B$1:$L$257,3,FALSE)),"",(VLOOKUP($B169,'B-1 On-Site Hedge Baseline'!$B$1:$L$257,3,FALSE))))</f>
        <v/>
      </c>
      <c r="D169" s="382" t="str">
        <f>IF(B169="","",IF(ISNA(VLOOKUP($B169,'B-1 On-Site Hedge Baseline'!$B$1:$L$257,4,FALSE)),"",(VLOOKUP($B169,'B-1 On-Site Hedge Baseline'!$B$1:$L$257,4,FALSE))))</f>
        <v/>
      </c>
      <c r="E169" s="382" t="str">
        <f>IF(B169="","",IF(ISNA(VLOOKUP($B169,'B-1 On-Site Hedge Baseline'!$B$1:$L$257,5,FALSE)),"",(VLOOKUP($B169,'B-1 On-Site Hedge Baseline'!$B$1:$L$257,5,FALSE))))</f>
        <v/>
      </c>
      <c r="F169" s="382" t="str">
        <f>IF(B169="","",IF(ISNA(VLOOKUP($B169,'B-1 On-Site Hedge Baseline'!$B$1:$L$257,6,FALSE)),"",(VLOOKUP($B169,'B-1 On-Site Hedge Baseline'!$B$1:$L$257,6,FALSE))))</f>
        <v/>
      </c>
      <c r="G169" s="382" t="str">
        <f>IF(B169="","",IF(ISNA(VLOOKUP($B169,'B-1 On-Site Hedge Baseline'!$B$1:$L$257,7,FALSE)),"",(VLOOKUP($B169,'B-1 On-Site Hedge Baseline'!$B$1:$L$257,7,FALSE))))</f>
        <v/>
      </c>
      <c r="H169" s="382" t="str">
        <f>IF(B169="","",IF(ISNA(VLOOKUP($B169,'B-1 On-Site Hedge Baseline'!$B$1:$L$257,8,FALSE)),"",(VLOOKUP($B169,'B-1 On-Site Hedge Baseline'!$B$1:$L$257,8,FALSE))))</f>
        <v/>
      </c>
      <c r="I169" s="382" t="str">
        <f>IF(B169="","",IF(ISNA(VLOOKUP($B169,'B-1 On-Site Hedge Baseline'!$B$1:$L$257,10,FALSE)),"",(VLOOKUP($B169,'B-1 On-Site Hedge Baseline'!$B$1:$L$257,10,FALSE))))</f>
        <v/>
      </c>
      <c r="J169" s="382" t="str">
        <f>IF(B169="","",IF(ISNA(VLOOKUP($B169,'B-1 On-Site Hedge Baseline'!$B$1:$L$257,11,FALSE)),"",(VLOOKUP($B169,'B-1 On-Site Hedge Baseline'!$B$1:$L$257,11,FALSE))))</f>
        <v/>
      </c>
      <c r="K169" s="382" t="str">
        <f>IF(B169="","",IF(ISNA(VLOOKUP($B169,'B-1 On-Site Hedge Baseline'!$B$1:$U$257,13,FALSE)),"",(VLOOKUP($B169,'B-1 On-Site Hedge Baseline'!$B$1:$U$257,13,FALSE))))</f>
        <v/>
      </c>
      <c r="L169" s="386" t="str">
        <f>IF(B169="","",IF(ISNA(VLOOKUP($B169,'B-1 On-Site Hedge Baseline'!$B$1:$U$257,12,FALSE)),"",(VLOOKUP($B169,'B-1 On-Site Hedge Baseline'!$B$1:$U$257,12,FALSE))))</f>
        <v/>
      </c>
      <c r="M169" s="315" t="str">
        <f t="shared" si="23"/>
        <v/>
      </c>
      <c r="N169" s="362" t="str">
        <f>IFERROR(IF(B169="","",INDEX('G-6 Hedgerow Data'!$AN$3:$AZ$15,MATCH(C169,'G-6 Hedgerow Data'!$AM$3:$AM$15,0),MATCH(M169,'G-6 Hedgerow Data'!$AN$2:$AZ$2,0))),"")</f>
        <v/>
      </c>
      <c r="O169" s="363" t="str">
        <f t="shared" si="18"/>
        <v/>
      </c>
      <c r="P169" s="417" t="str">
        <f>IF(B169="","",VLOOKUP(B169,'B-1 On-Site Hedge Baseline'!$B$10:T414,16,FALSE))</f>
        <v/>
      </c>
      <c r="Q169" s="362" t="str">
        <f>IF(M169="","",VLOOKUP(M169,'G-6 Hedgerow Data'!$B$2:$AG$15,2,FALSE))</f>
        <v/>
      </c>
      <c r="R169" s="363" t="str">
        <f>IF(M169="","",VLOOKUP(M169,'G-6 Hedgerow Data'!$B$2:$AG$15,3,FALSE))</f>
        <v/>
      </c>
      <c r="S169" s="125"/>
      <c r="T169" s="401" t="str">
        <f>IFERROR(VLOOKUP(S169,'G-1 All Habitats'!$Z$2:$AA$9,2,FALSE),"")</f>
        <v/>
      </c>
      <c r="U169" s="122"/>
      <c r="V169" s="382" t="str">
        <f>IF(U169="","",IF(VLOOKUP(U169,'G-3 Multipliers'!$L$3:$N$6,2,FALSE)=0,"Spatial Data Missing ⚠",VLOOKUP(U169,'G-3 Multipliers'!$L$3:$N$6,2,FALSE)))</f>
        <v/>
      </c>
      <c r="W169" s="386" t="str">
        <f>IF(U169="","",IF(VLOOKUP(U169,'G-3 Multipliers'!$L$3:$N$6,3,FALSE)=0,"Spatial Data Missing ⚠",VLOOKUP(U169,'G-3 Multipliers'!$L$3:$N$6,3,FALSE)))</f>
        <v/>
      </c>
      <c r="X169" s="362" t="str">
        <f>IFERROR(IF(OR(LEFT(O169,5)="Error",LEFT(N169,5)="Error",T169="Error"),"Check Data ⚠",IF(F169&lt;R169,INDEX('G-6 Hedgerow Data'!$S$3:$AE$14,MATCH(C169,'G-6 Hedgerow Data'!$B$3:$B$14,0),MATCH(M169,'G-6 Hedgerow Data'!$S$2:$AE$2,0)),INDEX('G-6 Hedgerow Data'!$K$3:$Q$14,MATCH(M169,'G-6 Hedgerow Data'!$B$3:$B$14,0),MATCH(O169,'G-6 Hedgerow Data'!$K$2:$Q$2,0)))),"")</f>
        <v/>
      </c>
      <c r="Y169" s="159"/>
      <c r="Z169" s="159"/>
      <c r="AA169" s="370" t="str">
        <f t="shared" si="19"/>
        <v/>
      </c>
      <c r="AB169" s="383" t="str">
        <f t="shared" si="20"/>
        <v/>
      </c>
      <c r="AC169" s="384" t="str">
        <f t="shared" si="16"/>
        <v/>
      </c>
      <c r="AD169" s="398" t="str">
        <f>IF(M169="","",VLOOKUP(M169,'G-6 Hedgerow Data'!$B$3:$AG$15,31,FALSE))</f>
        <v/>
      </c>
      <c r="AE169" s="370" t="str">
        <f t="shared" si="21"/>
        <v/>
      </c>
      <c r="AF169" s="370" t="str">
        <f t="shared" si="22"/>
        <v/>
      </c>
      <c r="AG169" s="386" t="str">
        <f>IFERROR(IF(O169="","",VLOOKUP(AD169,'G-3 Multipliers'!$P$3:$Q$6,2,FALSE)),"")</f>
        <v/>
      </c>
      <c r="AH169" s="376" t="str">
        <f t="shared" si="17"/>
        <v/>
      </c>
      <c r="AI169" s="188"/>
      <c r="AJ169" s="118"/>
      <c r="AK169" s="120"/>
      <c r="AT169" s="30" t="str">
        <f>IFERROR(INDEX('G-6 Hedgerow Data'!$BJ$3:$BJ$15,MATCH(M169,'G-6 Hedgerow Data'!$B$3:$B$15,0)),"")</f>
        <v/>
      </c>
    </row>
    <row r="170" spans="2:46" ht="15">
      <c r="B170" s="392" t="str">
        <f>'B-1 On-Site Hedge Baseline'!AK168</f>
        <v/>
      </c>
      <c r="C170" s="382" t="str">
        <f>IF(B170="","",IF(ISNA(VLOOKUP($B170,'B-1 On-Site Hedge Baseline'!$B$1:$L$257,3,FALSE)),"",(VLOOKUP($B170,'B-1 On-Site Hedge Baseline'!$B$1:$L$257,3,FALSE))))</f>
        <v/>
      </c>
      <c r="D170" s="382" t="str">
        <f>IF(B170="","",IF(ISNA(VLOOKUP($B170,'B-1 On-Site Hedge Baseline'!$B$1:$L$257,4,FALSE)),"",(VLOOKUP($B170,'B-1 On-Site Hedge Baseline'!$B$1:$L$257,4,FALSE))))</f>
        <v/>
      </c>
      <c r="E170" s="382" t="str">
        <f>IF(B170="","",IF(ISNA(VLOOKUP($B170,'B-1 On-Site Hedge Baseline'!$B$1:$L$257,5,FALSE)),"",(VLOOKUP($B170,'B-1 On-Site Hedge Baseline'!$B$1:$L$257,5,FALSE))))</f>
        <v/>
      </c>
      <c r="F170" s="382" t="str">
        <f>IF(B170="","",IF(ISNA(VLOOKUP($B170,'B-1 On-Site Hedge Baseline'!$B$1:$L$257,6,FALSE)),"",(VLOOKUP($B170,'B-1 On-Site Hedge Baseline'!$B$1:$L$257,6,FALSE))))</f>
        <v/>
      </c>
      <c r="G170" s="382" t="str">
        <f>IF(B170="","",IF(ISNA(VLOOKUP($B170,'B-1 On-Site Hedge Baseline'!$B$1:$L$257,7,FALSE)),"",(VLOOKUP($B170,'B-1 On-Site Hedge Baseline'!$B$1:$L$257,7,FALSE))))</f>
        <v/>
      </c>
      <c r="H170" s="382" t="str">
        <f>IF(B170="","",IF(ISNA(VLOOKUP($B170,'B-1 On-Site Hedge Baseline'!$B$1:$L$257,8,FALSE)),"",(VLOOKUP($B170,'B-1 On-Site Hedge Baseline'!$B$1:$L$257,8,FALSE))))</f>
        <v/>
      </c>
      <c r="I170" s="382" t="str">
        <f>IF(B170="","",IF(ISNA(VLOOKUP($B170,'B-1 On-Site Hedge Baseline'!$B$1:$L$257,10,FALSE)),"",(VLOOKUP($B170,'B-1 On-Site Hedge Baseline'!$B$1:$L$257,10,FALSE))))</f>
        <v/>
      </c>
      <c r="J170" s="382" t="str">
        <f>IF(B170="","",IF(ISNA(VLOOKUP($B170,'B-1 On-Site Hedge Baseline'!$B$1:$L$257,11,FALSE)),"",(VLOOKUP($B170,'B-1 On-Site Hedge Baseline'!$B$1:$L$257,11,FALSE))))</f>
        <v/>
      </c>
      <c r="K170" s="382" t="str">
        <f>IF(B170="","",IF(ISNA(VLOOKUP($B170,'B-1 On-Site Hedge Baseline'!$B$1:$U$257,13,FALSE)),"",(VLOOKUP($B170,'B-1 On-Site Hedge Baseline'!$B$1:$U$257,13,FALSE))))</f>
        <v/>
      </c>
      <c r="L170" s="386" t="str">
        <f>IF(B170="","",IF(ISNA(VLOOKUP($B170,'B-1 On-Site Hedge Baseline'!$B$1:$U$257,12,FALSE)),"",(VLOOKUP($B170,'B-1 On-Site Hedge Baseline'!$B$1:$U$257,12,FALSE))))</f>
        <v/>
      </c>
      <c r="M170" s="315" t="str">
        <f t="shared" si="23"/>
        <v/>
      </c>
      <c r="N170" s="362" t="str">
        <f>IFERROR(IF(B170="","",INDEX('G-6 Hedgerow Data'!$AN$3:$AZ$15,MATCH(C170,'G-6 Hedgerow Data'!$AM$3:$AM$15,0),MATCH(M170,'G-6 Hedgerow Data'!$AN$2:$AZ$2,0))),"")</f>
        <v/>
      </c>
      <c r="O170" s="363" t="str">
        <f t="shared" si="18"/>
        <v/>
      </c>
      <c r="P170" s="417" t="str">
        <f>IF(B170="","",VLOOKUP(B170,'B-1 On-Site Hedge Baseline'!$B$10:T415,16,FALSE))</f>
        <v/>
      </c>
      <c r="Q170" s="362" t="str">
        <f>IF(M170="","",VLOOKUP(M170,'G-6 Hedgerow Data'!$B$2:$AG$15,2,FALSE))</f>
        <v/>
      </c>
      <c r="R170" s="363" t="str">
        <f>IF(M170="","",VLOOKUP(M170,'G-6 Hedgerow Data'!$B$2:$AG$15,3,FALSE))</f>
        <v/>
      </c>
      <c r="S170" s="125"/>
      <c r="T170" s="401" t="str">
        <f>IFERROR(VLOOKUP(S170,'G-1 All Habitats'!$Z$2:$AA$9,2,FALSE),"")</f>
        <v/>
      </c>
      <c r="U170" s="122"/>
      <c r="V170" s="382" t="str">
        <f>IF(U170="","",IF(VLOOKUP(U170,'G-3 Multipliers'!$L$3:$N$6,2,FALSE)=0,"Spatial Data Missing ⚠",VLOOKUP(U170,'G-3 Multipliers'!$L$3:$N$6,2,FALSE)))</f>
        <v/>
      </c>
      <c r="W170" s="386" t="str">
        <f>IF(U170="","",IF(VLOOKUP(U170,'G-3 Multipliers'!$L$3:$N$6,3,FALSE)=0,"Spatial Data Missing ⚠",VLOOKUP(U170,'G-3 Multipliers'!$L$3:$N$6,3,FALSE)))</f>
        <v/>
      </c>
      <c r="X170" s="362" t="str">
        <f>IFERROR(IF(OR(LEFT(O170,5)="Error",LEFT(N170,5)="Error",T170="Error"),"Check Data ⚠",IF(F170&lt;R170,INDEX('G-6 Hedgerow Data'!$S$3:$AE$14,MATCH(C170,'G-6 Hedgerow Data'!$B$3:$B$14,0),MATCH(M170,'G-6 Hedgerow Data'!$S$2:$AE$2,0)),INDEX('G-6 Hedgerow Data'!$K$3:$Q$14,MATCH(M170,'G-6 Hedgerow Data'!$B$3:$B$14,0),MATCH(O170,'G-6 Hedgerow Data'!$K$2:$Q$2,0)))),"")</f>
        <v/>
      </c>
      <c r="Y170" s="159"/>
      <c r="Z170" s="159"/>
      <c r="AA170" s="370" t="str">
        <f t="shared" si="19"/>
        <v/>
      </c>
      <c r="AB170" s="383" t="str">
        <f t="shared" si="20"/>
        <v/>
      </c>
      <c r="AC170" s="384" t="str">
        <f t="shared" si="16"/>
        <v/>
      </c>
      <c r="AD170" s="398" t="str">
        <f>IF(M170="","",VLOOKUP(M170,'G-6 Hedgerow Data'!$B$3:$AG$15,31,FALSE))</f>
        <v/>
      </c>
      <c r="AE170" s="370" t="str">
        <f t="shared" si="21"/>
        <v/>
      </c>
      <c r="AF170" s="370" t="str">
        <f t="shared" si="22"/>
        <v/>
      </c>
      <c r="AG170" s="386" t="str">
        <f>IFERROR(IF(O170="","",VLOOKUP(AD170,'G-3 Multipliers'!$P$3:$Q$6,2,FALSE)),"")</f>
        <v/>
      </c>
      <c r="AH170" s="376" t="str">
        <f t="shared" si="17"/>
        <v/>
      </c>
      <c r="AI170" s="188"/>
      <c r="AJ170" s="118"/>
      <c r="AK170" s="120"/>
      <c r="AT170" s="30" t="str">
        <f>IFERROR(INDEX('G-6 Hedgerow Data'!$BJ$3:$BJ$15,MATCH(M170,'G-6 Hedgerow Data'!$B$3:$B$15,0)),"")</f>
        <v/>
      </c>
    </row>
    <row r="171" spans="2:46" ht="15">
      <c r="B171" s="392" t="str">
        <f>'B-1 On-Site Hedge Baseline'!AK169</f>
        <v/>
      </c>
      <c r="C171" s="382" t="str">
        <f>IF(B171="","",IF(ISNA(VLOOKUP($B171,'B-1 On-Site Hedge Baseline'!$B$1:$L$257,3,FALSE)),"",(VLOOKUP($B171,'B-1 On-Site Hedge Baseline'!$B$1:$L$257,3,FALSE))))</f>
        <v/>
      </c>
      <c r="D171" s="382" t="str">
        <f>IF(B171="","",IF(ISNA(VLOOKUP($B171,'B-1 On-Site Hedge Baseline'!$B$1:$L$257,4,FALSE)),"",(VLOOKUP($B171,'B-1 On-Site Hedge Baseline'!$B$1:$L$257,4,FALSE))))</f>
        <v/>
      </c>
      <c r="E171" s="382" t="str">
        <f>IF(B171="","",IF(ISNA(VLOOKUP($B171,'B-1 On-Site Hedge Baseline'!$B$1:$L$257,5,FALSE)),"",(VLOOKUP($B171,'B-1 On-Site Hedge Baseline'!$B$1:$L$257,5,FALSE))))</f>
        <v/>
      </c>
      <c r="F171" s="382" t="str">
        <f>IF(B171="","",IF(ISNA(VLOOKUP($B171,'B-1 On-Site Hedge Baseline'!$B$1:$L$257,6,FALSE)),"",(VLOOKUP($B171,'B-1 On-Site Hedge Baseline'!$B$1:$L$257,6,FALSE))))</f>
        <v/>
      </c>
      <c r="G171" s="382" t="str">
        <f>IF(B171="","",IF(ISNA(VLOOKUP($B171,'B-1 On-Site Hedge Baseline'!$B$1:$L$257,7,FALSE)),"",(VLOOKUP($B171,'B-1 On-Site Hedge Baseline'!$B$1:$L$257,7,FALSE))))</f>
        <v/>
      </c>
      <c r="H171" s="382" t="str">
        <f>IF(B171="","",IF(ISNA(VLOOKUP($B171,'B-1 On-Site Hedge Baseline'!$B$1:$L$257,8,FALSE)),"",(VLOOKUP($B171,'B-1 On-Site Hedge Baseline'!$B$1:$L$257,8,FALSE))))</f>
        <v/>
      </c>
      <c r="I171" s="382" t="str">
        <f>IF(B171="","",IF(ISNA(VLOOKUP($B171,'B-1 On-Site Hedge Baseline'!$B$1:$L$257,10,FALSE)),"",(VLOOKUP($B171,'B-1 On-Site Hedge Baseline'!$B$1:$L$257,10,FALSE))))</f>
        <v/>
      </c>
      <c r="J171" s="382" t="str">
        <f>IF(B171="","",IF(ISNA(VLOOKUP($B171,'B-1 On-Site Hedge Baseline'!$B$1:$L$257,11,FALSE)),"",(VLOOKUP($B171,'B-1 On-Site Hedge Baseline'!$B$1:$L$257,11,FALSE))))</f>
        <v/>
      </c>
      <c r="K171" s="382" t="str">
        <f>IF(B171="","",IF(ISNA(VLOOKUP($B171,'B-1 On-Site Hedge Baseline'!$B$1:$U$257,13,FALSE)),"",(VLOOKUP($B171,'B-1 On-Site Hedge Baseline'!$B$1:$U$257,13,FALSE))))</f>
        <v/>
      </c>
      <c r="L171" s="386" t="str">
        <f>IF(B171="","",IF(ISNA(VLOOKUP($B171,'B-1 On-Site Hedge Baseline'!$B$1:$U$257,12,FALSE)),"",(VLOOKUP($B171,'B-1 On-Site Hedge Baseline'!$B$1:$U$257,12,FALSE))))</f>
        <v/>
      </c>
      <c r="M171" s="315" t="str">
        <f t="shared" si="23"/>
        <v/>
      </c>
      <c r="N171" s="362" t="str">
        <f>IFERROR(IF(B171="","",INDEX('G-6 Hedgerow Data'!$AN$3:$AZ$15,MATCH(C171,'G-6 Hedgerow Data'!$AM$3:$AM$15,0),MATCH(M171,'G-6 Hedgerow Data'!$AN$2:$AZ$2,0))),"")</f>
        <v/>
      </c>
      <c r="O171" s="363" t="str">
        <f t="shared" si="18"/>
        <v/>
      </c>
      <c r="P171" s="417" t="str">
        <f>IF(B171="","",VLOOKUP(B171,'B-1 On-Site Hedge Baseline'!$B$10:T416,16,FALSE))</f>
        <v/>
      </c>
      <c r="Q171" s="362" t="str">
        <f>IF(M171="","",VLOOKUP(M171,'G-6 Hedgerow Data'!$B$2:$AG$15,2,FALSE))</f>
        <v/>
      </c>
      <c r="R171" s="363" t="str">
        <f>IF(M171="","",VLOOKUP(M171,'G-6 Hedgerow Data'!$B$2:$AG$15,3,FALSE))</f>
        <v/>
      </c>
      <c r="S171" s="125"/>
      <c r="T171" s="401" t="str">
        <f>IFERROR(VLOOKUP(S171,'G-1 All Habitats'!$Z$2:$AA$9,2,FALSE),"")</f>
        <v/>
      </c>
      <c r="U171" s="122"/>
      <c r="V171" s="382" t="str">
        <f>IF(U171="","",IF(VLOOKUP(U171,'G-3 Multipliers'!$L$3:$N$6,2,FALSE)=0,"Spatial Data Missing ⚠",VLOOKUP(U171,'G-3 Multipliers'!$L$3:$N$6,2,FALSE)))</f>
        <v/>
      </c>
      <c r="W171" s="386" t="str">
        <f>IF(U171="","",IF(VLOOKUP(U171,'G-3 Multipliers'!$L$3:$N$6,3,FALSE)=0,"Spatial Data Missing ⚠",VLOOKUP(U171,'G-3 Multipliers'!$L$3:$N$6,3,FALSE)))</f>
        <v/>
      </c>
      <c r="X171" s="362" t="str">
        <f>IFERROR(IF(OR(LEFT(O171,5)="Error",LEFT(N171,5)="Error",T171="Error"),"Check Data ⚠",IF(F171&lt;R171,INDEX('G-6 Hedgerow Data'!$S$3:$AE$14,MATCH(C171,'G-6 Hedgerow Data'!$B$3:$B$14,0),MATCH(M171,'G-6 Hedgerow Data'!$S$2:$AE$2,0)),INDEX('G-6 Hedgerow Data'!$K$3:$Q$14,MATCH(M171,'G-6 Hedgerow Data'!$B$3:$B$14,0),MATCH(O171,'G-6 Hedgerow Data'!$K$2:$Q$2,0)))),"")</f>
        <v/>
      </c>
      <c r="Y171" s="159"/>
      <c r="Z171" s="159"/>
      <c r="AA171" s="370" t="str">
        <f t="shared" si="19"/>
        <v/>
      </c>
      <c r="AB171" s="383" t="str">
        <f t="shared" si="20"/>
        <v/>
      </c>
      <c r="AC171" s="384" t="str">
        <f t="shared" si="16"/>
        <v/>
      </c>
      <c r="AD171" s="398" t="str">
        <f>IF(M171="","",VLOOKUP(M171,'G-6 Hedgerow Data'!$B$3:$AG$15,31,FALSE))</f>
        <v/>
      </c>
      <c r="AE171" s="370" t="str">
        <f t="shared" si="21"/>
        <v/>
      </c>
      <c r="AF171" s="370" t="str">
        <f t="shared" si="22"/>
        <v/>
      </c>
      <c r="AG171" s="386" t="str">
        <f>IFERROR(IF(O171="","",VLOOKUP(AD171,'G-3 Multipliers'!$P$3:$Q$6,2,FALSE)),"")</f>
        <v/>
      </c>
      <c r="AH171" s="376" t="str">
        <f t="shared" si="17"/>
        <v/>
      </c>
      <c r="AI171" s="188"/>
      <c r="AJ171" s="118"/>
      <c r="AK171" s="120"/>
      <c r="AT171" s="30" t="str">
        <f>IFERROR(INDEX('G-6 Hedgerow Data'!$BJ$3:$BJ$15,MATCH(M171,'G-6 Hedgerow Data'!$B$3:$B$15,0)),"")</f>
        <v/>
      </c>
    </row>
    <row r="172" spans="2:46" ht="15">
      <c r="B172" s="392" t="str">
        <f>'B-1 On-Site Hedge Baseline'!AK170</f>
        <v/>
      </c>
      <c r="C172" s="382" t="str">
        <f>IF(B172="","",IF(ISNA(VLOOKUP($B172,'B-1 On-Site Hedge Baseline'!$B$1:$L$257,3,FALSE)),"",(VLOOKUP($B172,'B-1 On-Site Hedge Baseline'!$B$1:$L$257,3,FALSE))))</f>
        <v/>
      </c>
      <c r="D172" s="382" t="str">
        <f>IF(B172="","",IF(ISNA(VLOOKUP($B172,'B-1 On-Site Hedge Baseline'!$B$1:$L$257,4,FALSE)),"",(VLOOKUP($B172,'B-1 On-Site Hedge Baseline'!$B$1:$L$257,4,FALSE))))</f>
        <v/>
      </c>
      <c r="E172" s="382" t="str">
        <f>IF(B172="","",IF(ISNA(VLOOKUP($B172,'B-1 On-Site Hedge Baseline'!$B$1:$L$257,5,FALSE)),"",(VLOOKUP($B172,'B-1 On-Site Hedge Baseline'!$B$1:$L$257,5,FALSE))))</f>
        <v/>
      </c>
      <c r="F172" s="382" t="str">
        <f>IF(B172="","",IF(ISNA(VLOOKUP($B172,'B-1 On-Site Hedge Baseline'!$B$1:$L$257,6,FALSE)),"",(VLOOKUP($B172,'B-1 On-Site Hedge Baseline'!$B$1:$L$257,6,FALSE))))</f>
        <v/>
      </c>
      <c r="G172" s="382" t="str">
        <f>IF(B172="","",IF(ISNA(VLOOKUP($B172,'B-1 On-Site Hedge Baseline'!$B$1:$L$257,7,FALSE)),"",(VLOOKUP($B172,'B-1 On-Site Hedge Baseline'!$B$1:$L$257,7,FALSE))))</f>
        <v/>
      </c>
      <c r="H172" s="382" t="str">
        <f>IF(B172="","",IF(ISNA(VLOOKUP($B172,'B-1 On-Site Hedge Baseline'!$B$1:$L$257,8,FALSE)),"",(VLOOKUP($B172,'B-1 On-Site Hedge Baseline'!$B$1:$L$257,8,FALSE))))</f>
        <v/>
      </c>
      <c r="I172" s="382" t="str">
        <f>IF(B172="","",IF(ISNA(VLOOKUP($B172,'B-1 On-Site Hedge Baseline'!$B$1:$L$257,10,FALSE)),"",(VLOOKUP($B172,'B-1 On-Site Hedge Baseline'!$B$1:$L$257,10,FALSE))))</f>
        <v/>
      </c>
      <c r="J172" s="382" t="str">
        <f>IF(B172="","",IF(ISNA(VLOOKUP($B172,'B-1 On-Site Hedge Baseline'!$B$1:$L$257,11,FALSE)),"",(VLOOKUP($B172,'B-1 On-Site Hedge Baseline'!$B$1:$L$257,11,FALSE))))</f>
        <v/>
      </c>
      <c r="K172" s="382" t="str">
        <f>IF(B172="","",IF(ISNA(VLOOKUP($B172,'B-1 On-Site Hedge Baseline'!$B$1:$U$257,13,FALSE)),"",(VLOOKUP($B172,'B-1 On-Site Hedge Baseline'!$B$1:$U$257,13,FALSE))))</f>
        <v/>
      </c>
      <c r="L172" s="386" t="str">
        <f>IF(B172="","",IF(ISNA(VLOOKUP($B172,'B-1 On-Site Hedge Baseline'!$B$1:$U$257,12,FALSE)),"",(VLOOKUP($B172,'B-1 On-Site Hedge Baseline'!$B$1:$U$257,12,FALSE))))</f>
        <v/>
      </c>
      <c r="M172" s="315" t="str">
        <f t="shared" si="23"/>
        <v/>
      </c>
      <c r="N172" s="362" t="str">
        <f>IFERROR(IF(B172="","",INDEX('G-6 Hedgerow Data'!$AN$3:$AZ$15,MATCH(C172,'G-6 Hedgerow Data'!$AM$3:$AM$15,0),MATCH(M172,'G-6 Hedgerow Data'!$AN$2:$AZ$2,0))),"")</f>
        <v/>
      </c>
      <c r="O172" s="363" t="str">
        <f t="shared" si="18"/>
        <v/>
      </c>
      <c r="P172" s="417" t="str">
        <f>IF(B172="","",VLOOKUP(B172,'B-1 On-Site Hedge Baseline'!$B$10:T417,16,FALSE))</f>
        <v/>
      </c>
      <c r="Q172" s="362" t="str">
        <f>IF(M172="","",VLOOKUP(M172,'G-6 Hedgerow Data'!$B$2:$AG$15,2,FALSE))</f>
        <v/>
      </c>
      <c r="R172" s="363" t="str">
        <f>IF(M172="","",VLOOKUP(M172,'G-6 Hedgerow Data'!$B$2:$AG$15,3,FALSE))</f>
        <v/>
      </c>
      <c r="S172" s="125"/>
      <c r="T172" s="401" t="str">
        <f>IFERROR(VLOOKUP(S172,'G-1 All Habitats'!$Z$2:$AA$9,2,FALSE),"")</f>
        <v/>
      </c>
      <c r="U172" s="122"/>
      <c r="V172" s="382" t="str">
        <f>IF(U172="","",IF(VLOOKUP(U172,'G-3 Multipliers'!$L$3:$N$6,2,FALSE)=0,"Spatial Data Missing ⚠",VLOOKUP(U172,'G-3 Multipliers'!$L$3:$N$6,2,FALSE)))</f>
        <v/>
      </c>
      <c r="W172" s="386" t="str">
        <f>IF(U172="","",IF(VLOOKUP(U172,'G-3 Multipliers'!$L$3:$N$6,3,FALSE)=0,"Spatial Data Missing ⚠",VLOOKUP(U172,'G-3 Multipliers'!$L$3:$N$6,3,FALSE)))</f>
        <v/>
      </c>
      <c r="X172" s="362" t="str">
        <f>IFERROR(IF(OR(LEFT(O172,5)="Error",LEFT(N172,5)="Error",T172="Error"),"Check Data ⚠",IF(F172&lt;R172,INDEX('G-6 Hedgerow Data'!$S$3:$AE$14,MATCH(C172,'G-6 Hedgerow Data'!$B$3:$B$14,0),MATCH(M172,'G-6 Hedgerow Data'!$S$2:$AE$2,0)),INDEX('G-6 Hedgerow Data'!$K$3:$Q$14,MATCH(M172,'G-6 Hedgerow Data'!$B$3:$B$14,0),MATCH(O172,'G-6 Hedgerow Data'!$K$2:$Q$2,0)))),"")</f>
        <v/>
      </c>
      <c r="Y172" s="159"/>
      <c r="Z172" s="159"/>
      <c r="AA172" s="370" t="str">
        <f t="shared" si="19"/>
        <v/>
      </c>
      <c r="AB172" s="383" t="str">
        <f t="shared" si="20"/>
        <v/>
      </c>
      <c r="AC172" s="384" t="str">
        <f t="shared" si="16"/>
        <v/>
      </c>
      <c r="AD172" s="398" t="str">
        <f>IF(M172="","",VLOOKUP(M172,'G-6 Hedgerow Data'!$B$3:$AG$15,31,FALSE))</f>
        <v/>
      </c>
      <c r="AE172" s="370" t="str">
        <f t="shared" si="21"/>
        <v/>
      </c>
      <c r="AF172" s="370" t="str">
        <f t="shared" si="22"/>
        <v/>
      </c>
      <c r="AG172" s="386" t="str">
        <f>IFERROR(IF(O172="","",VLOOKUP(AD172,'G-3 Multipliers'!$P$3:$Q$6,2,FALSE)),"")</f>
        <v/>
      </c>
      <c r="AH172" s="376" t="str">
        <f t="shared" si="17"/>
        <v/>
      </c>
      <c r="AI172" s="188"/>
      <c r="AJ172" s="118"/>
      <c r="AK172" s="120"/>
      <c r="AT172" s="30" t="str">
        <f>IFERROR(INDEX('G-6 Hedgerow Data'!$BJ$3:$BJ$15,MATCH(M172,'G-6 Hedgerow Data'!$B$3:$B$15,0)),"")</f>
        <v/>
      </c>
    </row>
    <row r="173" spans="2:46" ht="15">
      <c r="B173" s="392" t="str">
        <f>'B-1 On-Site Hedge Baseline'!AK171</f>
        <v/>
      </c>
      <c r="C173" s="382" t="str">
        <f>IF(B173="","",IF(ISNA(VLOOKUP($B173,'B-1 On-Site Hedge Baseline'!$B$1:$L$257,3,FALSE)),"",(VLOOKUP($B173,'B-1 On-Site Hedge Baseline'!$B$1:$L$257,3,FALSE))))</f>
        <v/>
      </c>
      <c r="D173" s="382" t="str">
        <f>IF(B173="","",IF(ISNA(VLOOKUP($B173,'B-1 On-Site Hedge Baseline'!$B$1:$L$257,4,FALSE)),"",(VLOOKUP($B173,'B-1 On-Site Hedge Baseline'!$B$1:$L$257,4,FALSE))))</f>
        <v/>
      </c>
      <c r="E173" s="382" t="str">
        <f>IF(B173="","",IF(ISNA(VLOOKUP($B173,'B-1 On-Site Hedge Baseline'!$B$1:$L$257,5,FALSE)),"",(VLOOKUP($B173,'B-1 On-Site Hedge Baseline'!$B$1:$L$257,5,FALSE))))</f>
        <v/>
      </c>
      <c r="F173" s="382" t="str">
        <f>IF(B173="","",IF(ISNA(VLOOKUP($B173,'B-1 On-Site Hedge Baseline'!$B$1:$L$257,6,FALSE)),"",(VLOOKUP($B173,'B-1 On-Site Hedge Baseline'!$B$1:$L$257,6,FALSE))))</f>
        <v/>
      </c>
      <c r="G173" s="382" t="str">
        <f>IF(B173="","",IF(ISNA(VLOOKUP($B173,'B-1 On-Site Hedge Baseline'!$B$1:$L$257,7,FALSE)),"",(VLOOKUP($B173,'B-1 On-Site Hedge Baseline'!$B$1:$L$257,7,FALSE))))</f>
        <v/>
      </c>
      <c r="H173" s="382" t="str">
        <f>IF(B173="","",IF(ISNA(VLOOKUP($B173,'B-1 On-Site Hedge Baseline'!$B$1:$L$257,8,FALSE)),"",(VLOOKUP($B173,'B-1 On-Site Hedge Baseline'!$B$1:$L$257,8,FALSE))))</f>
        <v/>
      </c>
      <c r="I173" s="382" t="str">
        <f>IF(B173="","",IF(ISNA(VLOOKUP($B173,'B-1 On-Site Hedge Baseline'!$B$1:$L$257,10,FALSE)),"",(VLOOKUP($B173,'B-1 On-Site Hedge Baseline'!$B$1:$L$257,10,FALSE))))</f>
        <v/>
      </c>
      <c r="J173" s="382" t="str">
        <f>IF(B173="","",IF(ISNA(VLOOKUP($B173,'B-1 On-Site Hedge Baseline'!$B$1:$L$257,11,FALSE)),"",(VLOOKUP($B173,'B-1 On-Site Hedge Baseline'!$B$1:$L$257,11,FALSE))))</f>
        <v/>
      </c>
      <c r="K173" s="382" t="str">
        <f>IF(B173="","",IF(ISNA(VLOOKUP($B173,'B-1 On-Site Hedge Baseline'!$B$1:$U$257,13,FALSE)),"",(VLOOKUP($B173,'B-1 On-Site Hedge Baseline'!$B$1:$U$257,13,FALSE))))</f>
        <v/>
      </c>
      <c r="L173" s="386" t="str">
        <f>IF(B173="","",IF(ISNA(VLOOKUP($B173,'B-1 On-Site Hedge Baseline'!$B$1:$U$257,12,FALSE)),"",(VLOOKUP($B173,'B-1 On-Site Hedge Baseline'!$B$1:$U$257,12,FALSE))))</f>
        <v/>
      </c>
      <c r="M173" s="315" t="str">
        <f t="shared" si="23"/>
        <v/>
      </c>
      <c r="N173" s="362" t="str">
        <f>IFERROR(IF(B173="","",INDEX('G-6 Hedgerow Data'!$AN$3:$AZ$15,MATCH(C173,'G-6 Hedgerow Data'!$AM$3:$AM$15,0),MATCH(M173,'G-6 Hedgerow Data'!$AN$2:$AZ$2,0))),"")</f>
        <v/>
      </c>
      <c r="O173" s="363" t="str">
        <f t="shared" si="18"/>
        <v/>
      </c>
      <c r="P173" s="417" t="str">
        <f>IF(B173="","",VLOOKUP(B173,'B-1 On-Site Hedge Baseline'!$B$10:T418,16,FALSE))</f>
        <v/>
      </c>
      <c r="Q173" s="362" t="str">
        <f>IF(M173="","",VLOOKUP(M173,'G-6 Hedgerow Data'!$B$2:$AG$15,2,FALSE))</f>
        <v/>
      </c>
      <c r="R173" s="363" t="str">
        <f>IF(M173="","",VLOOKUP(M173,'G-6 Hedgerow Data'!$B$2:$AG$15,3,FALSE))</f>
        <v/>
      </c>
      <c r="S173" s="125"/>
      <c r="T173" s="401" t="str">
        <f>IFERROR(VLOOKUP(S173,'G-1 All Habitats'!$Z$2:$AA$9,2,FALSE),"")</f>
        <v/>
      </c>
      <c r="U173" s="122"/>
      <c r="V173" s="382" t="str">
        <f>IF(U173="","",IF(VLOOKUP(U173,'G-3 Multipliers'!$L$3:$N$6,2,FALSE)=0,"Spatial Data Missing ⚠",VLOOKUP(U173,'G-3 Multipliers'!$L$3:$N$6,2,FALSE)))</f>
        <v/>
      </c>
      <c r="W173" s="386" t="str">
        <f>IF(U173="","",IF(VLOOKUP(U173,'G-3 Multipliers'!$L$3:$N$6,3,FALSE)=0,"Spatial Data Missing ⚠",VLOOKUP(U173,'G-3 Multipliers'!$L$3:$N$6,3,FALSE)))</f>
        <v/>
      </c>
      <c r="X173" s="362" t="str">
        <f>IFERROR(IF(OR(LEFT(O173,5)="Error",LEFT(N173,5)="Error",T173="Error"),"Check Data ⚠",IF(F173&lt;R173,INDEX('G-6 Hedgerow Data'!$S$3:$AE$14,MATCH(C173,'G-6 Hedgerow Data'!$B$3:$B$14,0),MATCH(M173,'G-6 Hedgerow Data'!$S$2:$AE$2,0)),INDEX('G-6 Hedgerow Data'!$K$3:$Q$14,MATCH(M173,'G-6 Hedgerow Data'!$B$3:$B$14,0),MATCH(O173,'G-6 Hedgerow Data'!$K$2:$Q$2,0)))),"")</f>
        <v/>
      </c>
      <c r="Y173" s="159"/>
      <c r="Z173" s="159"/>
      <c r="AA173" s="370" t="str">
        <f t="shared" si="19"/>
        <v/>
      </c>
      <c r="AB173" s="383" t="str">
        <f t="shared" si="20"/>
        <v/>
      </c>
      <c r="AC173" s="384" t="str">
        <f t="shared" si="16"/>
        <v/>
      </c>
      <c r="AD173" s="398" t="str">
        <f>IF(M173="","",VLOOKUP(M173,'G-6 Hedgerow Data'!$B$3:$AG$15,31,FALSE))</f>
        <v/>
      </c>
      <c r="AE173" s="370" t="str">
        <f t="shared" si="21"/>
        <v/>
      </c>
      <c r="AF173" s="370" t="str">
        <f t="shared" si="22"/>
        <v/>
      </c>
      <c r="AG173" s="386" t="str">
        <f>IFERROR(IF(O173="","",VLOOKUP(AD173,'G-3 Multipliers'!$P$3:$Q$6,2,FALSE)),"")</f>
        <v/>
      </c>
      <c r="AH173" s="376" t="str">
        <f t="shared" si="17"/>
        <v/>
      </c>
      <c r="AI173" s="188"/>
      <c r="AJ173" s="118"/>
      <c r="AK173" s="120"/>
      <c r="AT173" s="30" t="str">
        <f>IFERROR(INDEX('G-6 Hedgerow Data'!$BJ$3:$BJ$15,MATCH(M173,'G-6 Hedgerow Data'!$B$3:$B$15,0)),"")</f>
        <v/>
      </c>
    </row>
    <row r="174" spans="2:46" ht="15">
      <c r="B174" s="392" t="str">
        <f>'B-1 On-Site Hedge Baseline'!AK172</f>
        <v/>
      </c>
      <c r="C174" s="382" t="str">
        <f>IF(B174="","",IF(ISNA(VLOOKUP($B174,'B-1 On-Site Hedge Baseline'!$B$1:$L$257,3,FALSE)),"",(VLOOKUP($B174,'B-1 On-Site Hedge Baseline'!$B$1:$L$257,3,FALSE))))</f>
        <v/>
      </c>
      <c r="D174" s="382" t="str">
        <f>IF(B174="","",IF(ISNA(VLOOKUP($B174,'B-1 On-Site Hedge Baseline'!$B$1:$L$257,4,FALSE)),"",(VLOOKUP($B174,'B-1 On-Site Hedge Baseline'!$B$1:$L$257,4,FALSE))))</f>
        <v/>
      </c>
      <c r="E174" s="382" t="str">
        <f>IF(B174="","",IF(ISNA(VLOOKUP($B174,'B-1 On-Site Hedge Baseline'!$B$1:$L$257,5,FALSE)),"",(VLOOKUP($B174,'B-1 On-Site Hedge Baseline'!$B$1:$L$257,5,FALSE))))</f>
        <v/>
      </c>
      <c r="F174" s="382" t="str">
        <f>IF(B174="","",IF(ISNA(VLOOKUP($B174,'B-1 On-Site Hedge Baseline'!$B$1:$L$257,6,FALSE)),"",(VLOOKUP($B174,'B-1 On-Site Hedge Baseline'!$B$1:$L$257,6,FALSE))))</f>
        <v/>
      </c>
      <c r="G174" s="382" t="str">
        <f>IF(B174="","",IF(ISNA(VLOOKUP($B174,'B-1 On-Site Hedge Baseline'!$B$1:$L$257,7,FALSE)),"",(VLOOKUP($B174,'B-1 On-Site Hedge Baseline'!$B$1:$L$257,7,FALSE))))</f>
        <v/>
      </c>
      <c r="H174" s="382" t="str">
        <f>IF(B174="","",IF(ISNA(VLOOKUP($B174,'B-1 On-Site Hedge Baseline'!$B$1:$L$257,8,FALSE)),"",(VLOOKUP($B174,'B-1 On-Site Hedge Baseline'!$B$1:$L$257,8,FALSE))))</f>
        <v/>
      </c>
      <c r="I174" s="382" t="str">
        <f>IF(B174="","",IF(ISNA(VLOOKUP($B174,'B-1 On-Site Hedge Baseline'!$B$1:$L$257,10,FALSE)),"",(VLOOKUP($B174,'B-1 On-Site Hedge Baseline'!$B$1:$L$257,10,FALSE))))</f>
        <v/>
      </c>
      <c r="J174" s="382" t="str">
        <f>IF(B174="","",IF(ISNA(VLOOKUP($B174,'B-1 On-Site Hedge Baseline'!$B$1:$L$257,11,FALSE)),"",(VLOOKUP($B174,'B-1 On-Site Hedge Baseline'!$B$1:$L$257,11,FALSE))))</f>
        <v/>
      </c>
      <c r="K174" s="382" t="str">
        <f>IF(B174="","",IF(ISNA(VLOOKUP($B174,'B-1 On-Site Hedge Baseline'!$B$1:$U$257,13,FALSE)),"",(VLOOKUP($B174,'B-1 On-Site Hedge Baseline'!$B$1:$U$257,13,FALSE))))</f>
        <v/>
      </c>
      <c r="L174" s="386" t="str">
        <f>IF(B174="","",IF(ISNA(VLOOKUP($B174,'B-1 On-Site Hedge Baseline'!$B$1:$U$257,12,FALSE)),"",(VLOOKUP($B174,'B-1 On-Site Hedge Baseline'!$B$1:$U$257,12,FALSE))))</f>
        <v/>
      </c>
      <c r="M174" s="315" t="str">
        <f t="shared" si="23"/>
        <v/>
      </c>
      <c r="N174" s="362" t="str">
        <f>IFERROR(IF(B174="","",INDEX('G-6 Hedgerow Data'!$AN$3:$AZ$15,MATCH(C174,'G-6 Hedgerow Data'!$AM$3:$AM$15,0),MATCH(M174,'G-6 Hedgerow Data'!$AN$2:$AZ$2,0))),"")</f>
        <v/>
      </c>
      <c r="O174" s="363" t="str">
        <f t="shared" si="18"/>
        <v/>
      </c>
      <c r="P174" s="417" t="str">
        <f>IF(B174="","",VLOOKUP(B174,'B-1 On-Site Hedge Baseline'!$B$10:T419,16,FALSE))</f>
        <v/>
      </c>
      <c r="Q174" s="362" t="str">
        <f>IF(M174="","",VLOOKUP(M174,'G-6 Hedgerow Data'!$B$2:$AG$15,2,FALSE))</f>
        <v/>
      </c>
      <c r="R174" s="363" t="str">
        <f>IF(M174="","",VLOOKUP(M174,'G-6 Hedgerow Data'!$B$2:$AG$15,3,FALSE))</f>
        <v/>
      </c>
      <c r="S174" s="125"/>
      <c r="T174" s="401" t="str">
        <f>IFERROR(VLOOKUP(S174,'G-1 All Habitats'!$Z$2:$AA$9,2,FALSE),"")</f>
        <v/>
      </c>
      <c r="U174" s="122"/>
      <c r="V174" s="382" t="str">
        <f>IF(U174="","",IF(VLOOKUP(U174,'G-3 Multipliers'!$L$3:$N$6,2,FALSE)=0,"Spatial Data Missing ⚠",VLOOKUP(U174,'G-3 Multipliers'!$L$3:$N$6,2,FALSE)))</f>
        <v/>
      </c>
      <c r="W174" s="386" t="str">
        <f>IF(U174="","",IF(VLOOKUP(U174,'G-3 Multipliers'!$L$3:$N$6,3,FALSE)=0,"Spatial Data Missing ⚠",VLOOKUP(U174,'G-3 Multipliers'!$L$3:$N$6,3,FALSE)))</f>
        <v/>
      </c>
      <c r="X174" s="362" t="str">
        <f>IFERROR(IF(OR(LEFT(O174,5)="Error",LEFT(N174,5)="Error",T174="Error"),"Check Data ⚠",IF(F174&lt;R174,INDEX('G-6 Hedgerow Data'!$S$3:$AE$14,MATCH(C174,'G-6 Hedgerow Data'!$B$3:$B$14,0),MATCH(M174,'G-6 Hedgerow Data'!$S$2:$AE$2,0)),INDEX('G-6 Hedgerow Data'!$K$3:$Q$14,MATCH(M174,'G-6 Hedgerow Data'!$B$3:$B$14,0),MATCH(O174,'G-6 Hedgerow Data'!$K$2:$Q$2,0)))),"")</f>
        <v/>
      </c>
      <c r="Y174" s="159"/>
      <c r="Z174" s="159"/>
      <c r="AA174" s="370" t="str">
        <f t="shared" si="19"/>
        <v/>
      </c>
      <c r="AB174" s="383" t="str">
        <f t="shared" si="20"/>
        <v/>
      </c>
      <c r="AC174" s="384" t="str">
        <f t="shared" si="16"/>
        <v/>
      </c>
      <c r="AD174" s="398" t="str">
        <f>IF(M174="","",VLOOKUP(M174,'G-6 Hedgerow Data'!$B$3:$AG$15,31,FALSE))</f>
        <v/>
      </c>
      <c r="AE174" s="370" t="str">
        <f t="shared" si="21"/>
        <v/>
      </c>
      <c r="AF174" s="370" t="str">
        <f t="shared" si="22"/>
        <v/>
      </c>
      <c r="AG174" s="386" t="str">
        <f>IFERROR(IF(O174="","",VLOOKUP(AD174,'G-3 Multipliers'!$P$3:$Q$6,2,FALSE)),"")</f>
        <v/>
      </c>
      <c r="AH174" s="376" t="str">
        <f t="shared" si="17"/>
        <v/>
      </c>
      <c r="AI174" s="188"/>
      <c r="AJ174" s="118"/>
      <c r="AK174" s="120"/>
      <c r="AT174" s="30" t="str">
        <f>IFERROR(INDEX('G-6 Hedgerow Data'!$BJ$3:$BJ$15,MATCH(M174,'G-6 Hedgerow Data'!$B$3:$B$15,0)),"")</f>
        <v/>
      </c>
    </row>
    <row r="175" spans="2:46" ht="15">
      <c r="B175" s="392" t="str">
        <f>'B-1 On-Site Hedge Baseline'!AK173</f>
        <v/>
      </c>
      <c r="C175" s="382" t="str">
        <f>IF(B175="","",IF(ISNA(VLOOKUP($B175,'B-1 On-Site Hedge Baseline'!$B$1:$L$257,3,FALSE)),"",(VLOOKUP($B175,'B-1 On-Site Hedge Baseline'!$B$1:$L$257,3,FALSE))))</f>
        <v/>
      </c>
      <c r="D175" s="382" t="str">
        <f>IF(B175="","",IF(ISNA(VLOOKUP($B175,'B-1 On-Site Hedge Baseline'!$B$1:$L$257,4,FALSE)),"",(VLOOKUP($B175,'B-1 On-Site Hedge Baseline'!$B$1:$L$257,4,FALSE))))</f>
        <v/>
      </c>
      <c r="E175" s="382" t="str">
        <f>IF(B175="","",IF(ISNA(VLOOKUP($B175,'B-1 On-Site Hedge Baseline'!$B$1:$L$257,5,FALSE)),"",(VLOOKUP($B175,'B-1 On-Site Hedge Baseline'!$B$1:$L$257,5,FALSE))))</f>
        <v/>
      </c>
      <c r="F175" s="382" t="str">
        <f>IF(B175="","",IF(ISNA(VLOOKUP($B175,'B-1 On-Site Hedge Baseline'!$B$1:$L$257,6,FALSE)),"",(VLOOKUP($B175,'B-1 On-Site Hedge Baseline'!$B$1:$L$257,6,FALSE))))</f>
        <v/>
      </c>
      <c r="G175" s="382" t="str">
        <f>IF(B175="","",IF(ISNA(VLOOKUP($B175,'B-1 On-Site Hedge Baseline'!$B$1:$L$257,7,FALSE)),"",(VLOOKUP($B175,'B-1 On-Site Hedge Baseline'!$B$1:$L$257,7,FALSE))))</f>
        <v/>
      </c>
      <c r="H175" s="382" t="str">
        <f>IF(B175="","",IF(ISNA(VLOOKUP($B175,'B-1 On-Site Hedge Baseline'!$B$1:$L$257,8,FALSE)),"",(VLOOKUP($B175,'B-1 On-Site Hedge Baseline'!$B$1:$L$257,8,FALSE))))</f>
        <v/>
      </c>
      <c r="I175" s="382" t="str">
        <f>IF(B175="","",IF(ISNA(VLOOKUP($B175,'B-1 On-Site Hedge Baseline'!$B$1:$L$257,10,FALSE)),"",(VLOOKUP($B175,'B-1 On-Site Hedge Baseline'!$B$1:$L$257,10,FALSE))))</f>
        <v/>
      </c>
      <c r="J175" s="382" t="str">
        <f>IF(B175="","",IF(ISNA(VLOOKUP($B175,'B-1 On-Site Hedge Baseline'!$B$1:$L$257,11,FALSE)),"",(VLOOKUP($B175,'B-1 On-Site Hedge Baseline'!$B$1:$L$257,11,FALSE))))</f>
        <v/>
      </c>
      <c r="K175" s="382" t="str">
        <f>IF(B175="","",IF(ISNA(VLOOKUP($B175,'B-1 On-Site Hedge Baseline'!$B$1:$U$257,13,FALSE)),"",(VLOOKUP($B175,'B-1 On-Site Hedge Baseline'!$B$1:$U$257,13,FALSE))))</f>
        <v/>
      </c>
      <c r="L175" s="386" t="str">
        <f>IF(B175="","",IF(ISNA(VLOOKUP($B175,'B-1 On-Site Hedge Baseline'!$B$1:$U$257,12,FALSE)),"",(VLOOKUP($B175,'B-1 On-Site Hedge Baseline'!$B$1:$U$257,12,FALSE))))</f>
        <v/>
      </c>
      <c r="M175" s="315" t="str">
        <f t="shared" si="23"/>
        <v/>
      </c>
      <c r="N175" s="362" t="str">
        <f>IFERROR(IF(B175="","",INDEX('G-6 Hedgerow Data'!$AN$3:$AZ$15,MATCH(C175,'G-6 Hedgerow Data'!$AM$3:$AM$15,0),MATCH(M175,'G-6 Hedgerow Data'!$AN$2:$AZ$2,0))),"")</f>
        <v/>
      </c>
      <c r="O175" s="363" t="str">
        <f t="shared" si="18"/>
        <v/>
      </c>
      <c r="P175" s="417" t="str">
        <f>IF(B175="","",VLOOKUP(B175,'B-1 On-Site Hedge Baseline'!$B$10:T420,16,FALSE))</f>
        <v/>
      </c>
      <c r="Q175" s="362" t="str">
        <f>IF(M175="","",VLOOKUP(M175,'G-6 Hedgerow Data'!$B$2:$AG$15,2,FALSE))</f>
        <v/>
      </c>
      <c r="R175" s="363" t="str">
        <f>IF(M175="","",VLOOKUP(M175,'G-6 Hedgerow Data'!$B$2:$AG$15,3,FALSE))</f>
        <v/>
      </c>
      <c r="S175" s="125"/>
      <c r="T175" s="401" t="str">
        <f>IFERROR(VLOOKUP(S175,'G-1 All Habitats'!$Z$2:$AA$9,2,FALSE),"")</f>
        <v/>
      </c>
      <c r="U175" s="122"/>
      <c r="V175" s="382" t="str">
        <f>IF(U175="","",IF(VLOOKUP(U175,'G-3 Multipliers'!$L$3:$N$6,2,FALSE)=0,"Spatial Data Missing ⚠",VLOOKUP(U175,'G-3 Multipliers'!$L$3:$N$6,2,FALSE)))</f>
        <v/>
      </c>
      <c r="W175" s="386" t="str">
        <f>IF(U175="","",IF(VLOOKUP(U175,'G-3 Multipliers'!$L$3:$N$6,3,FALSE)=0,"Spatial Data Missing ⚠",VLOOKUP(U175,'G-3 Multipliers'!$L$3:$N$6,3,FALSE)))</f>
        <v/>
      </c>
      <c r="X175" s="362" t="str">
        <f>IFERROR(IF(OR(LEFT(O175,5)="Error",LEFT(N175,5)="Error",T175="Error"),"Check Data ⚠",IF(F175&lt;R175,INDEX('G-6 Hedgerow Data'!$S$3:$AE$14,MATCH(C175,'G-6 Hedgerow Data'!$B$3:$B$14,0),MATCH(M175,'G-6 Hedgerow Data'!$S$2:$AE$2,0)),INDEX('G-6 Hedgerow Data'!$K$3:$Q$14,MATCH(M175,'G-6 Hedgerow Data'!$B$3:$B$14,0),MATCH(O175,'G-6 Hedgerow Data'!$K$2:$Q$2,0)))),"")</f>
        <v/>
      </c>
      <c r="Y175" s="159"/>
      <c r="Z175" s="159"/>
      <c r="AA175" s="370" t="str">
        <f t="shared" si="19"/>
        <v/>
      </c>
      <c r="AB175" s="383" t="str">
        <f t="shared" si="20"/>
        <v/>
      </c>
      <c r="AC175" s="384" t="str">
        <f t="shared" si="16"/>
        <v/>
      </c>
      <c r="AD175" s="398" t="str">
        <f>IF(M175="","",VLOOKUP(M175,'G-6 Hedgerow Data'!$B$3:$AG$15,31,FALSE))</f>
        <v/>
      </c>
      <c r="AE175" s="370" t="str">
        <f t="shared" si="21"/>
        <v/>
      </c>
      <c r="AF175" s="370" t="str">
        <f t="shared" si="22"/>
        <v/>
      </c>
      <c r="AG175" s="386" t="str">
        <f>IFERROR(IF(O175="","",VLOOKUP(AD175,'G-3 Multipliers'!$P$3:$Q$6,2,FALSE)),"")</f>
        <v/>
      </c>
      <c r="AH175" s="376" t="str">
        <f t="shared" si="17"/>
        <v/>
      </c>
      <c r="AI175" s="188"/>
      <c r="AJ175" s="118"/>
      <c r="AK175" s="120"/>
      <c r="AT175" s="30" t="str">
        <f>IFERROR(INDEX('G-6 Hedgerow Data'!$BJ$3:$BJ$15,MATCH(M175,'G-6 Hedgerow Data'!$B$3:$B$15,0)),"")</f>
        <v/>
      </c>
    </row>
    <row r="176" spans="2:46" ht="15">
      <c r="B176" s="392" t="str">
        <f>'B-1 On-Site Hedge Baseline'!AK174</f>
        <v/>
      </c>
      <c r="C176" s="382" t="str">
        <f>IF(B176="","",IF(ISNA(VLOOKUP($B176,'B-1 On-Site Hedge Baseline'!$B$1:$L$257,3,FALSE)),"",(VLOOKUP($B176,'B-1 On-Site Hedge Baseline'!$B$1:$L$257,3,FALSE))))</f>
        <v/>
      </c>
      <c r="D176" s="382" t="str">
        <f>IF(B176="","",IF(ISNA(VLOOKUP($B176,'B-1 On-Site Hedge Baseline'!$B$1:$L$257,4,FALSE)),"",(VLOOKUP($B176,'B-1 On-Site Hedge Baseline'!$B$1:$L$257,4,FALSE))))</f>
        <v/>
      </c>
      <c r="E176" s="382" t="str">
        <f>IF(B176="","",IF(ISNA(VLOOKUP($B176,'B-1 On-Site Hedge Baseline'!$B$1:$L$257,5,FALSE)),"",(VLOOKUP($B176,'B-1 On-Site Hedge Baseline'!$B$1:$L$257,5,FALSE))))</f>
        <v/>
      </c>
      <c r="F176" s="382" t="str">
        <f>IF(B176="","",IF(ISNA(VLOOKUP($B176,'B-1 On-Site Hedge Baseline'!$B$1:$L$257,6,FALSE)),"",(VLOOKUP($B176,'B-1 On-Site Hedge Baseline'!$B$1:$L$257,6,FALSE))))</f>
        <v/>
      </c>
      <c r="G176" s="382" t="str">
        <f>IF(B176="","",IF(ISNA(VLOOKUP($B176,'B-1 On-Site Hedge Baseline'!$B$1:$L$257,7,FALSE)),"",(VLOOKUP($B176,'B-1 On-Site Hedge Baseline'!$B$1:$L$257,7,FALSE))))</f>
        <v/>
      </c>
      <c r="H176" s="382" t="str">
        <f>IF(B176="","",IF(ISNA(VLOOKUP($B176,'B-1 On-Site Hedge Baseline'!$B$1:$L$257,8,FALSE)),"",(VLOOKUP($B176,'B-1 On-Site Hedge Baseline'!$B$1:$L$257,8,FALSE))))</f>
        <v/>
      </c>
      <c r="I176" s="382" t="str">
        <f>IF(B176="","",IF(ISNA(VLOOKUP($B176,'B-1 On-Site Hedge Baseline'!$B$1:$L$257,10,FALSE)),"",(VLOOKUP($B176,'B-1 On-Site Hedge Baseline'!$B$1:$L$257,10,FALSE))))</f>
        <v/>
      </c>
      <c r="J176" s="382" t="str">
        <f>IF(B176="","",IF(ISNA(VLOOKUP($B176,'B-1 On-Site Hedge Baseline'!$B$1:$L$257,11,FALSE)),"",(VLOOKUP($B176,'B-1 On-Site Hedge Baseline'!$B$1:$L$257,11,FALSE))))</f>
        <v/>
      </c>
      <c r="K176" s="382" t="str">
        <f>IF(B176="","",IF(ISNA(VLOOKUP($B176,'B-1 On-Site Hedge Baseline'!$B$1:$U$257,13,FALSE)),"",(VLOOKUP($B176,'B-1 On-Site Hedge Baseline'!$B$1:$U$257,13,FALSE))))</f>
        <v/>
      </c>
      <c r="L176" s="386" t="str">
        <f>IF(B176="","",IF(ISNA(VLOOKUP($B176,'B-1 On-Site Hedge Baseline'!$B$1:$U$257,12,FALSE)),"",(VLOOKUP($B176,'B-1 On-Site Hedge Baseline'!$B$1:$U$257,12,FALSE))))</f>
        <v/>
      </c>
      <c r="M176" s="315" t="str">
        <f t="shared" si="23"/>
        <v/>
      </c>
      <c r="N176" s="362" t="str">
        <f>IFERROR(IF(B176="","",INDEX('G-6 Hedgerow Data'!$AN$3:$AZ$15,MATCH(C176,'G-6 Hedgerow Data'!$AM$3:$AM$15,0),MATCH(M176,'G-6 Hedgerow Data'!$AN$2:$AZ$2,0))),"")</f>
        <v/>
      </c>
      <c r="O176" s="363" t="str">
        <f t="shared" si="18"/>
        <v/>
      </c>
      <c r="P176" s="417" t="str">
        <f>IF(B176="","",VLOOKUP(B176,'B-1 On-Site Hedge Baseline'!$B$10:T421,16,FALSE))</f>
        <v/>
      </c>
      <c r="Q176" s="362" t="str">
        <f>IF(M176="","",VLOOKUP(M176,'G-6 Hedgerow Data'!$B$2:$AG$15,2,FALSE))</f>
        <v/>
      </c>
      <c r="R176" s="363" t="str">
        <f>IF(M176="","",VLOOKUP(M176,'G-6 Hedgerow Data'!$B$2:$AG$15,3,FALSE))</f>
        <v/>
      </c>
      <c r="S176" s="125"/>
      <c r="T176" s="401" t="str">
        <f>IFERROR(VLOOKUP(S176,'G-1 All Habitats'!$Z$2:$AA$9,2,FALSE),"")</f>
        <v/>
      </c>
      <c r="U176" s="122"/>
      <c r="V176" s="382" t="str">
        <f>IF(U176="","",IF(VLOOKUP(U176,'G-3 Multipliers'!$L$3:$N$6,2,FALSE)=0,"Spatial Data Missing ⚠",VLOOKUP(U176,'G-3 Multipliers'!$L$3:$N$6,2,FALSE)))</f>
        <v/>
      </c>
      <c r="W176" s="386" t="str">
        <f>IF(U176="","",IF(VLOOKUP(U176,'G-3 Multipliers'!$L$3:$N$6,3,FALSE)=0,"Spatial Data Missing ⚠",VLOOKUP(U176,'G-3 Multipliers'!$L$3:$N$6,3,FALSE)))</f>
        <v/>
      </c>
      <c r="X176" s="362" t="str">
        <f>IFERROR(IF(OR(LEFT(O176,5)="Error",LEFT(N176,5)="Error",T176="Error"),"Check Data ⚠",IF(F176&lt;R176,INDEX('G-6 Hedgerow Data'!$S$3:$AE$14,MATCH(C176,'G-6 Hedgerow Data'!$B$3:$B$14,0),MATCH(M176,'G-6 Hedgerow Data'!$S$2:$AE$2,0)),INDEX('G-6 Hedgerow Data'!$K$3:$Q$14,MATCH(M176,'G-6 Hedgerow Data'!$B$3:$B$14,0),MATCH(O176,'G-6 Hedgerow Data'!$K$2:$Q$2,0)))),"")</f>
        <v/>
      </c>
      <c r="Y176" s="159"/>
      <c r="Z176" s="159"/>
      <c r="AA176" s="370" t="str">
        <f t="shared" si="19"/>
        <v/>
      </c>
      <c r="AB176" s="383" t="str">
        <f t="shared" si="20"/>
        <v/>
      </c>
      <c r="AC176" s="384" t="str">
        <f t="shared" si="16"/>
        <v/>
      </c>
      <c r="AD176" s="398" t="str">
        <f>IF(M176="","",VLOOKUP(M176,'G-6 Hedgerow Data'!$B$3:$AG$15,31,FALSE))</f>
        <v/>
      </c>
      <c r="AE176" s="370" t="str">
        <f t="shared" si="21"/>
        <v/>
      </c>
      <c r="AF176" s="370" t="str">
        <f t="shared" si="22"/>
        <v/>
      </c>
      <c r="AG176" s="386" t="str">
        <f>IFERROR(IF(O176="","",VLOOKUP(AD176,'G-3 Multipliers'!$P$3:$Q$6,2,FALSE)),"")</f>
        <v/>
      </c>
      <c r="AH176" s="376" t="str">
        <f t="shared" si="17"/>
        <v/>
      </c>
      <c r="AI176" s="188"/>
      <c r="AJ176" s="118"/>
      <c r="AK176" s="120"/>
      <c r="AT176" s="30" t="str">
        <f>IFERROR(INDEX('G-6 Hedgerow Data'!$BJ$3:$BJ$15,MATCH(M176,'G-6 Hedgerow Data'!$B$3:$B$15,0)),"")</f>
        <v/>
      </c>
    </row>
    <row r="177" spans="2:46" ht="15">
      <c r="B177" s="392" t="str">
        <f>'B-1 On-Site Hedge Baseline'!AK175</f>
        <v/>
      </c>
      <c r="C177" s="382" t="str">
        <f>IF(B177="","",IF(ISNA(VLOOKUP($B177,'B-1 On-Site Hedge Baseline'!$B$1:$L$257,3,FALSE)),"",(VLOOKUP($B177,'B-1 On-Site Hedge Baseline'!$B$1:$L$257,3,FALSE))))</f>
        <v/>
      </c>
      <c r="D177" s="382" t="str">
        <f>IF(B177="","",IF(ISNA(VLOOKUP($B177,'B-1 On-Site Hedge Baseline'!$B$1:$L$257,4,FALSE)),"",(VLOOKUP($B177,'B-1 On-Site Hedge Baseline'!$B$1:$L$257,4,FALSE))))</f>
        <v/>
      </c>
      <c r="E177" s="382" t="str">
        <f>IF(B177="","",IF(ISNA(VLOOKUP($B177,'B-1 On-Site Hedge Baseline'!$B$1:$L$257,5,FALSE)),"",(VLOOKUP($B177,'B-1 On-Site Hedge Baseline'!$B$1:$L$257,5,FALSE))))</f>
        <v/>
      </c>
      <c r="F177" s="382" t="str">
        <f>IF(B177="","",IF(ISNA(VLOOKUP($B177,'B-1 On-Site Hedge Baseline'!$B$1:$L$257,6,FALSE)),"",(VLOOKUP($B177,'B-1 On-Site Hedge Baseline'!$B$1:$L$257,6,FALSE))))</f>
        <v/>
      </c>
      <c r="G177" s="382" t="str">
        <f>IF(B177="","",IF(ISNA(VLOOKUP($B177,'B-1 On-Site Hedge Baseline'!$B$1:$L$257,7,FALSE)),"",(VLOOKUP($B177,'B-1 On-Site Hedge Baseline'!$B$1:$L$257,7,FALSE))))</f>
        <v/>
      </c>
      <c r="H177" s="382" t="str">
        <f>IF(B177="","",IF(ISNA(VLOOKUP($B177,'B-1 On-Site Hedge Baseline'!$B$1:$L$257,8,FALSE)),"",(VLOOKUP($B177,'B-1 On-Site Hedge Baseline'!$B$1:$L$257,8,FALSE))))</f>
        <v/>
      </c>
      <c r="I177" s="382" t="str">
        <f>IF(B177="","",IF(ISNA(VLOOKUP($B177,'B-1 On-Site Hedge Baseline'!$B$1:$L$257,10,FALSE)),"",(VLOOKUP($B177,'B-1 On-Site Hedge Baseline'!$B$1:$L$257,10,FALSE))))</f>
        <v/>
      </c>
      <c r="J177" s="382" t="str">
        <f>IF(B177="","",IF(ISNA(VLOOKUP($B177,'B-1 On-Site Hedge Baseline'!$B$1:$L$257,11,FALSE)),"",(VLOOKUP($B177,'B-1 On-Site Hedge Baseline'!$B$1:$L$257,11,FALSE))))</f>
        <v/>
      </c>
      <c r="K177" s="382" t="str">
        <f>IF(B177="","",IF(ISNA(VLOOKUP($B177,'B-1 On-Site Hedge Baseline'!$B$1:$U$257,13,FALSE)),"",(VLOOKUP($B177,'B-1 On-Site Hedge Baseline'!$B$1:$U$257,13,FALSE))))</f>
        <v/>
      </c>
      <c r="L177" s="386" t="str">
        <f>IF(B177="","",IF(ISNA(VLOOKUP($B177,'B-1 On-Site Hedge Baseline'!$B$1:$U$257,12,FALSE)),"",(VLOOKUP($B177,'B-1 On-Site Hedge Baseline'!$B$1:$U$257,12,FALSE))))</f>
        <v/>
      </c>
      <c r="M177" s="315" t="str">
        <f t="shared" si="23"/>
        <v/>
      </c>
      <c r="N177" s="362" t="str">
        <f>IFERROR(IF(B177="","",INDEX('G-6 Hedgerow Data'!$AN$3:$AZ$15,MATCH(C177,'G-6 Hedgerow Data'!$AM$3:$AM$15,0),MATCH(M177,'G-6 Hedgerow Data'!$AN$2:$AZ$2,0))),"")</f>
        <v/>
      </c>
      <c r="O177" s="363" t="str">
        <f t="shared" si="18"/>
        <v/>
      </c>
      <c r="P177" s="417" t="str">
        <f>IF(B177="","",VLOOKUP(B177,'B-1 On-Site Hedge Baseline'!$B$10:T422,16,FALSE))</f>
        <v/>
      </c>
      <c r="Q177" s="362" t="str">
        <f>IF(M177="","",VLOOKUP(M177,'G-6 Hedgerow Data'!$B$2:$AG$15,2,FALSE))</f>
        <v/>
      </c>
      <c r="R177" s="363" t="str">
        <f>IF(M177="","",VLOOKUP(M177,'G-6 Hedgerow Data'!$B$2:$AG$15,3,FALSE))</f>
        <v/>
      </c>
      <c r="S177" s="125"/>
      <c r="T177" s="401" t="str">
        <f>IFERROR(VLOOKUP(S177,'G-1 All Habitats'!$Z$2:$AA$9,2,FALSE),"")</f>
        <v/>
      </c>
      <c r="U177" s="122"/>
      <c r="V177" s="382" t="str">
        <f>IF(U177="","",IF(VLOOKUP(U177,'G-3 Multipliers'!$L$3:$N$6,2,FALSE)=0,"Spatial Data Missing ⚠",VLOOKUP(U177,'G-3 Multipliers'!$L$3:$N$6,2,FALSE)))</f>
        <v/>
      </c>
      <c r="W177" s="386" t="str">
        <f>IF(U177="","",IF(VLOOKUP(U177,'G-3 Multipliers'!$L$3:$N$6,3,FALSE)=0,"Spatial Data Missing ⚠",VLOOKUP(U177,'G-3 Multipliers'!$L$3:$N$6,3,FALSE)))</f>
        <v/>
      </c>
      <c r="X177" s="362" t="str">
        <f>IFERROR(IF(OR(LEFT(O177,5)="Error",LEFT(N177,5)="Error",T177="Error"),"Check Data ⚠",IF(F177&lt;R177,INDEX('G-6 Hedgerow Data'!$S$3:$AE$14,MATCH(C177,'G-6 Hedgerow Data'!$B$3:$B$14,0),MATCH(M177,'G-6 Hedgerow Data'!$S$2:$AE$2,0)),INDEX('G-6 Hedgerow Data'!$K$3:$Q$14,MATCH(M177,'G-6 Hedgerow Data'!$B$3:$B$14,0),MATCH(O177,'G-6 Hedgerow Data'!$K$2:$Q$2,0)))),"")</f>
        <v/>
      </c>
      <c r="Y177" s="159"/>
      <c r="Z177" s="159"/>
      <c r="AA177" s="370" t="str">
        <f t="shared" si="19"/>
        <v/>
      </c>
      <c r="AB177" s="383" t="str">
        <f t="shared" si="20"/>
        <v/>
      </c>
      <c r="AC177" s="384" t="str">
        <f t="shared" si="16"/>
        <v/>
      </c>
      <c r="AD177" s="398" t="str">
        <f>IF(M177="","",VLOOKUP(M177,'G-6 Hedgerow Data'!$B$3:$AG$15,31,FALSE))</f>
        <v/>
      </c>
      <c r="AE177" s="370" t="str">
        <f t="shared" si="21"/>
        <v/>
      </c>
      <c r="AF177" s="370" t="str">
        <f t="shared" si="22"/>
        <v/>
      </c>
      <c r="AG177" s="386" t="str">
        <f>IFERROR(IF(O177="","",VLOOKUP(AD177,'G-3 Multipliers'!$P$3:$Q$6,2,FALSE)),"")</f>
        <v/>
      </c>
      <c r="AH177" s="376" t="str">
        <f t="shared" si="17"/>
        <v/>
      </c>
      <c r="AI177" s="188"/>
      <c r="AJ177" s="118"/>
      <c r="AK177" s="120"/>
      <c r="AT177" s="30" t="str">
        <f>IFERROR(INDEX('G-6 Hedgerow Data'!$BJ$3:$BJ$15,MATCH(M177,'G-6 Hedgerow Data'!$B$3:$B$15,0)),"")</f>
        <v/>
      </c>
    </row>
    <row r="178" spans="2:46" ht="15">
      <c r="B178" s="392" t="str">
        <f>'B-1 On-Site Hedge Baseline'!AK176</f>
        <v/>
      </c>
      <c r="C178" s="382" t="str">
        <f>IF(B178="","",IF(ISNA(VLOOKUP($B178,'B-1 On-Site Hedge Baseline'!$B$1:$L$257,3,FALSE)),"",(VLOOKUP($B178,'B-1 On-Site Hedge Baseline'!$B$1:$L$257,3,FALSE))))</f>
        <v/>
      </c>
      <c r="D178" s="382" t="str">
        <f>IF(B178="","",IF(ISNA(VLOOKUP($B178,'B-1 On-Site Hedge Baseline'!$B$1:$L$257,4,FALSE)),"",(VLOOKUP($B178,'B-1 On-Site Hedge Baseline'!$B$1:$L$257,4,FALSE))))</f>
        <v/>
      </c>
      <c r="E178" s="382" t="str">
        <f>IF(B178="","",IF(ISNA(VLOOKUP($B178,'B-1 On-Site Hedge Baseline'!$B$1:$L$257,5,FALSE)),"",(VLOOKUP($B178,'B-1 On-Site Hedge Baseline'!$B$1:$L$257,5,FALSE))))</f>
        <v/>
      </c>
      <c r="F178" s="382" t="str">
        <f>IF(B178="","",IF(ISNA(VLOOKUP($B178,'B-1 On-Site Hedge Baseline'!$B$1:$L$257,6,FALSE)),"",(VLOOKUP($B178,'B-1 On-Site Hedge Baseline'!$B$1:$L$257,6,FALSE))))</f>
        <v/>
      </c>
      <c r="G178" s="382" t="str">
        <f>IF(B178="","",IF(ISNA(VLOOKUP($B178,'B-1 On-Site Hedge Baseline'!$B$1:$L$257,7,FALSE)),"",(VLOOKUP($B178,'B-1 On-Site Hedge Baseline'!$B$1:$L$257,7,FALSE))))</f>
        <v/>
      </c>
      <c r="H178" s="382" t="str">
        <f>IF(B178="","",IF(ISNA(VLOOKUP($B178,'B-1 On-Site Hedge Baseline'!$B$1:$L$257,8,FALSE)),"",(VLOOKUP($B178,'B-1 On-Site Hedge Baseline'!$B$1:$L$257,8,FALSE))))</f>
        <v/>
      </c>
      <c r="I178" s="382" t="str">
        <f>IF(B178="","",IF(ISNA(VLOOKUP($B178,'B-1 On-Site Hedge Baseline'!$B$1:$L$257,10,FALSE)),"",(VLOOKUP($B178,'B-1 On-Site Hedge Baseline'!$B$1:$L$257,10,FALSE))))</f>
        <v/>
      </c>
      <c r="J178" s="382" t="str">
        <f>IF(B178="","",IF(ISNA(VLOOKUP($B178,'B-1 On-Site Hedge Baseline'!$B$1:$L$257,11,FALSE)),"",(VLOOKUP($B178,'B-1 On-Site Hedge Baseline'!$B$1:$L$257,11,FALSE))))</f>
        <v/>
      </c>
      <c r="K178" s="382" t="str">
        <f>IF(B178="","",IF(ISNA(VLOOKUP($B178,'B-1 On-Site Hedge Baseline'!$B$1:$U$257,13,FALSE)),"",(VLOOKUP($B178,'B-1 On-Site Hedge Baseline'!$B$1:$U$257,13,FALSE))))</f>
        <v/>
      </c>
      <c r="L178" s="386" t="str">
        <f>IF(B178="","",IF(ISNA(VLOOKUP($B178,'B-1 On-Site Hedge Baseline'!$B$1:$U$257,12,FALSE)),"",(VLOOKUP($B178,'B-1 On-Site Hedge Baseline'!$B$1:$U$257,12,FALSE))))</f>
        <v/>
      </c>
      <c r="M178" s="315" t="str">
        <f t="shared" si="23"/>
        <v/>
      </c>
      <c r="N178" s="362" t="str">
        <f>IFERROR(IF(B178="","",INDEX('G-6 Hedgerow Data'!$AN$3:$AZ$15,MATCH(C178,'G-6 Hedgerow Data'!$AM$3:$AM$15,0),MATCH(M178,'G-6 Hedgerow Data'!$AN$2:$AZ$2,0))),"")</f>
        <v/>
      </c>
      <c r="O178" s="363" t="str">
        <f t="shared" si="18"/>
        <v/>
      </c>
      <c r="P178" s="417" t="str">
        <f>IF(B178="","",VLOOKUP(B178,'B-1 On-Site Hedge Baseline'!$B$10:T423,16,FALSE))</f>
        <v/>
      </c>
      <c r="Q178" s="362" t="str">
        <f>IF(M178="","",VLOOKUP(M178,'G-6 Hedgerow Data'!$B$2:$AG$15,2,FALSE))</f>
        <v/>
      </c>
      <c r="R178" s="363" t="str">
        <f>IF(M178="","",VLOOKUP(M178,'G-6 Hedgerow Data'!$B$2:$AG$15,3,FALSE))</f>
        <v/>
      </c>
      <c r="S178" s="125"/>
      <c r="T178" s="401" t="str">
        <f>IFERROR(VLOOKUP(S178,'G-1 All Habitats'!$Z$2:$AA$9,2,FALSE),"")</f>
        <v/>
      </c>
      <c r="U178" s="122"/>
      <c r="V178" s="382" t="str">
        <f>IF(U178="","",IF(VLOOKUP(U178,'G-3 Multipliers'!$L$3:$N$6,2,FALSE)=0,"Spatial Data Missing ⚠",VLOOKUP(U178,'G-3 Multipliers'!$L$3:$N$6,2,FALSE)))</f>
        <v/>
      </c>
      <c r="W178" s="386" t="str">
        <f>IF(U178="","",IF(VLOOKUP(U178,'G-3 Multipliers'!$L$3:$N$6,3,FALSE)=0,"Spatial Data Missing ⚠",VLOOKUP(U178,'G-3 Multipliers'!$L$3:$N$6,3,FALSE)))</f>
        <v/>
      </c>
      <c r="X178" s="362" t="str">
        <f>IFERROR(IF(OR(LEFT(O178,5)="Error",LEFT(N178,5)="Error",T178="Error"),"Check Data ⚠",IF(F178&lt;R178,INDEX('G-6 Hedgerow Data'!$S$3:$AE$14,MATCH(C178,'G-6 Hedgerow Data'!$B$3:$B$14,0),MATCH(M178,'G-6 Hedgerow Data'!$S$2:$AE$2,0)),INDEX('G-6 Hedgerow Data'!$K$3:$Q$14,MATCH(M178,'G-6 Hedgerow Data'!$B$3:$B$14,0),MATCH(O178,'G-6 Hedgerow Data'!$K$2:$Q$2,0)))),"")</f>
        <v/>
      </c>
      <c r="Y178" s="159"/>
      <c r="Z178" s="159"/>
      <c r="AA178" s="370" t="str">
        <f t="shared" si="19"/>
        <v/>
      </c>
      <c r="AB178" s="383" t="str">
        <f t="shared" si="20"/>
        <v/>
      </c>
      <c r="AC178" s="384" t="str">
        <f t="shared" si="16"/>
        <v/>
      </c>
      <c r="AD178" s="398" t="str">
        <f>IF(M178="","",VLOOKUP(M178,'G-6 Hedgerow Data'!$B$3:$AG$15,31,FALSE))</f>
        <v/>
      </c>
      <c r="AE178" s="370" t="str">
        <f t="shared" si="21"/>
        <v/>
      </c>
      <c r="AF178" s="370" t="str">
        <f t="shared" si="22"/>
        <v/>
      </c>
      <c r="AG178" s="386" t="str">
        <f>IFERROR(IF(O178="","",VLOOKUP(AD178,'G-3 Multipliers'!$P$3:$Q$6,2,FALSE)),"")</f>
        <v/>
      </c>
      <c r="AH178" s="376" t="str">
        <f t="shared" si="17"/>
        <v/>
      </c>
      <c r="AI178" s="188"/>
      <c r="AJ178" s="118"/>
      <c r="AK178" s="120"/>
      <c r="AT178" s="30" t="str">
        <f>IFERROR(INDEX('G-6 Hedgerow Data'!$BJ$3:$BJ$15,MATCH(M178,'G-6 Hedgerow Data'!$B$3:$B$15,0)),"")</f>
        <v/>
      </c>
    </row>
    <row r="179" spans="2:46" ht="15">
      <c r="B179" s="392" t="str">
        <f>'B-1 On-Site Hedge Baseline'!AK177</f>
        <v/>
      </c>
      <c r="C179" s="382" t="str">
        <f>IF(B179="","",IF(ISNA(VLOOKUP($B179,'B-1 On-Site Hedge Baseline'!$B$1:$L$257,3,FALSE)),"",(VLOOKUP($B179,'B-1 On-Site Hedge Baseline'!$B$1:$L$257,3,FALSE))))</f>
        <v/>
      </c>
      <c r="D179" s="382" t="str">
        <f>IF(B179="","",IF(ISNA(VLOOKUP($B179,'B-1 On-Site Hedge Baseline'!$B$1:$L$257,4,FALSE)),"",(VLOOKUP($B179,'B-1 On-Site Hedge Baseline'!$B$1:$L$257,4,FALSE))))</f>
        <v/>
      </c>
      <c r="E179" s="382" t="str">
        <f>IF(B179="","",IF(ISNA(VLOOKUP($B179,'B-1 On-Site Hedge Baseline'!$B$1:$L$257,5,FALSE)),"",(VLOOKUP($B179,'B-1 On-Site Hedge Baseline'!$B$1:$L$257,5,FALSE))))</f>
        <v/>
      </c>
      <c r="F179" s="382" t="str">
        <f>IF(B179="","",IF(ISNA(VLOOKUP($B179,'B-1 On-Site Hedge Baseline'!$B$1:$L$257,6,FALSE)),"",(VLOOKUP($B179,'B-1 On-Site Hedge Baseline'!$B$1:$L$257,6,FALSE))))</f>
        <v/>
      </c>
      <c r="G179" s="382" t="str">
        <f>IF(B179="","",IF(ISNA(VLOOKUP($B179,'B-1 On-Site Hedge Baseline'!$B$1:$L$257,7,FALSE)),"",(VLOOKUP($B179,'B-1 On-Site Hedge Baseline'!$B$1:$L$257,7,FALSE))))</f>
        <v/>
      </c>
      <c r="H179" s="382" t="str">
        <f>IF(B179="","",IF(ISNA(VLOOKUP($B179,'B-1 On-Site Hedge Baseline'!$B$1:$L$257,8,FALSE)),"",(VLOOKUP($B179,'B-1 On-Site Hedge Baseline'!$B$1:$L$257,8,FALSE))))</f>
        <v/>
      </c>
      <c r="I179" s="382" t="str">
        <f>IF(B179="","",IF(ISNA(VLOOKUP($B179,'B-1 On-Site Hedge Baseline'!$B$1:$L$257,10,FALSE)),"",(VLOOKUP($B179,'B-1 On-Site Hedge Baseline'!$B$1:$L$257,10,FALSE))))</f>
        <v/>
      </c>
      <c r="J179" s="382" t="str">
        <f>IF(B179="","",IF(ISNA(VLOOKUP($B179,'B-1 On-Site Hedge Baseline'!$B$1:$L$257,11,FALSE)),"",(VLOOKUP($B179,'B-1 On-Site Hedge Baseline'!$B$1:$L$257,11,FALSE))))</f>
        <v/>
      </c>
      <c r="K179" s="382" t="str">
        <f>IF(B179="","",IF(ISNA(VLOOKUP($B179,'B-1 On-Site Hedge Baseline'!$B$1:$U$257,13,FALSE)),"",(VLOOKUP($B179,'B-1 On-Site Hedge Baseline'!$B$1:$U$257,13,FALSE))))</f>
        <v/>
      </c>
      <c r="L179" s="386" t="str">
        <f>IF(B179="","",IF(ISNA(VLOOKUP($B179,'B-1 On-Site Hedge Baseline'!$B$1:$U$257,12,FALSE)),"",(VLOOKUP($B179,'B-1 On-Site Hedge Baseline'!$B$1:$U$257,12,FALSE))))</f>
        <v/>
      </c>
      <c r="M179" s="315" t="str">
        <f t="shared" si="23"/>
        <v/>
      </c>
      <c r="N179" s="362" t="str">
        <f>IFERROR(IF(B179="","",INDEX('G-6 Hedgerow Data'!$AN$3:$AZ$15,MATCH(C179,'G-6 Hedgerow Data'!$AM$3:$AM$15,0),MATCH(M179,'G-6 Hedgerow Data'!$AN$2:$AZ$2,0))),"")</f>
        <v/>
      </c>
      <c r="O179" s="363" t="str">
        <f t="shared" si="18"/>
        <v/>
      </c>
      <c r="P179" s="417" t="str">
        <f>IF(B179="","",VLOOKUP(B179,'B-1 On-Site Hedge Baseline'!$B$10:T424,16,FALSE))</f>
        <v/>
      </c>
      <c r="Q179" s="362" t="str">
        <f>IF(M179="","",VLOOKUP(M179,'G-6 Hedgerow Data'!$B$2:$AG$15,2,FALSE))</f>
        <v/>
      </c>
      <c r="R179" s="363" t="str">
        <f>IF(M179="","",VLOOKUP(M179,'G-6 Hedgerow Data'!$B$2:$AG$15,3,FALSE))</f>
        <v/>
      </c>
      <c r="S179" s="125"/>
      <c r="T179" s="401" t="str">
        <f>IFERROR(VLOOKUP(S179,'G-1 All Habitats'!$Z$2:$AA$9,2,FALSE),"")</f>
        <v/>
      </c>
      <c r="U179" s="122"/>
      <c r="V179" s="382" t="str">
        <f>IF(U179="","",IF(VLOOKUP(U179,'G-3 Multipliers'!$L$3:$N$6,2,FALSE)=0,"Spatial Data Missing ⚠",VLOOKUP(U179,'G-3 Multipliers'!$L$3:$N$6,2,FALSE)))</f>
        <v/>
      </c>
      <c r="W179" s="386" t="str">
        <f>IF(U179="","",IF(VLOOKUP(U179,'G-3 Multipliers'!$L$3:$N$6,3,FALSE)=0,"Spatial Data Missing ⚠",VLOOKUP(U179,'G-3 Multipliers'!$L$3:$N$6,3,FALSE)))</f>
        <v/>
      </c>
      <c r="X179" s="362" t="str">
        <f>IFERROR(IF(OR(LEFT(O179,5)="Error",LEFT(N179,5)="Error",T179="Error"),"Check Data ⚠",IF(F179&lt;R179,INDEX('G-6 Hedgerow Data'!$S$3:$AE$14,MATCH(C179,'G-6 Hedgerow Data'!$B$3:$B$14,0),MATCH(M179,'G-6 Hedgerow Data'!$S$2:$AE$2,0)),INDEX('G-6 Hedgerow Data'!$K$3:$Q$14,MATCH(M179,'G-6 Hedgerow Data'!$B$3:$B$14,0),MATCH(O179,'G-6 Hedgerow Data'!$K$2:$Q$2,0)))),"")</f>
        <v/>
      </c>
      <c r="Y179" s="159"/>
      <c r="Z179" s="159"/>
      <c r="AA179" s="370" t="str">
        <f t="shared" si="19"/>
        <v/>
      </c>
      <c r="AB179" s="383" t="str">
        <f t="shared" si="20"/>
        <v/>
      </c>
      <c r="AC179" s="384" t="str">
        <f t="shared" si="16"/>
        <v/>
      </c>
      <c r="AD179" s="398" t="str">
        <f>IF(M179="","",VLOOKUP(M179,'G-6 Hedgerow Data'!$B$3:$AG$15,31,FALSE))</f>
        <v/>
      </c>
      <c r="AE179" s="370" t="str">
        <f t="shared" si="21"/>
        <v/>
      </c>
      <c r="AF179" s="370" t="str">
        <f t="shared" si="22"/>
        <v/>
      </c>
      <c r="AG179" s="386" t="str">
        <f>IFERROR(IF(O179="","",VLOOKUP(AD179,'G-3 Multipliers'!$P$3:$Q$6,2,FALSE)),"")</f>
        <v/>
      </c>
      <c r="AH179" s="376" t="str">
        <f t="shared" si="17"/>
        <v/>
      </c>
      <c r="AI179" s="188"/>
      <c r="AJ179" s="118"/>
      <c r="AK179" s="120"/>
      <c r="AT179" s="30" t="str">
        <f>IFERROR(INDEX('G-6 Hedgerow Data'!$BJ$3:$BJ$15,MATCH(M179,'G-6 Hedgerow Data'!$B$3:$B$15,0)),"")</f>
        <v/>
      </c>
    </row>
    <row r="180" spans="2:46" ht="15">
      <c r="B180" s="392" t="str">
        <f>'B-1 On-Site Hedge Baseline'!AK178</f>
        <v/>
      </c>
      <c r="C180" s="382" t="str">
        <f>IF(B180="","",IF(ISNA(VLOOKUP($B180,'B-1 On-Site Hedge Baseline'!$B$1:$L$257,3,FALSE)),"",(VLOOKUP($B180,'B-1 On-Site Hedge Baseline'!$B$1:$L$257,3,FALSE))))</f>
        <v/>
      </c>
      <c r="D180" s="382" t="str">
        <f>IF(B180="","",IF(ISNA(VLOOKUP($B180,'B-1 On-Site Hedge Baseline'!$B$1:$L$257,4,FALSE)),"",(VLOOKUP($B180,'B-1 On-Site Hedge Baseline'!$B$1:$L$257,4,FALSE))))</f>
        <v/>
      </c>
      <c r="E180" s="382" t="str">
        <f>IF(B180="","",IF(ISNA(VLOOKUP($B180,'B-1 On-Site Hedge Baseline'!$B$1:$L$257,5,FALSE)),"",(VLOOKUP($B180,'B-1 On-Site Hedge Baseline'!$B$1:$L$257,5,FALSE))))</f>
        <v/>
      </c>
      <c r="F180" s="382" t="str">
        <f>IF(B180="","",IF(ISNA(VLOOKUP($B180,'B-1 On-Site Hedge Baseline'!$B$1:$L$257,6,FALSE)),"",(VLOOKUP($B180,'B-1 On-Site Hedge Baseline'!$B$1:$L$257,6,FALSE))))</f>
        <v/>
      </c>
      <c r="G180" s="382" t="str">
        <f>IF(B180="","",IF(ISNA(VLOOKUP($B180,'B-1 On-Site Hedge Baseline'!$B$1:$L$257,7,FALSE)),"",(VLOOKUP($B180,'B-1 On-Site Hedge Baseline'!$B$1:$L$257,7,FALSE))))</f>
        <v/>
      </c>
      <c r="H180" s="382" t="str">
        <f>IF(B180="","",IF(ISNA(VLOOKUP($B180,'B-1 On-Site Hedge Baseline'!$B$1:$L$257,8,FALSE)),"",(VLOOKUP($B180,'B-1 On-Site Hedge Baseline'!$B$1:$L$257,8,FALSE))))</f>
        <v/>
      </c>
      <c r="I180" s="382" t="str">
        <f>IF(B180="","",IF(ISNA(VLOOKUP($B180,'B-1 On-Site Hedge Baseline'!$B$1:$L$257,10,FALSE)),"",(VLOOKUP($B180,'B-1 On-Site Hedge Baseline'!$B$1:$L$257,10,FALSE))))</f>
        <v/>
      </c>
      <c r="J180" s="382" t="str">
        <f>IF(B180="","",IF(ISNA(VLOOKUP($B180,'B-1 On-Site Hedge Baseline'!$B$1:$L$257,11,FALSE)),"",(VLOOKUP($B180,'B-1 On-Site Hedge Baseline'!$B$1:$L$257,11,FALSE))))</f>
        <v/>
      </c>
      <c r="K180" s="382" t="str">
        <f>IF(B180="","",IF(ISNA(VLOOKUP($B180,'B-1 On-Site Hedge Baseline'!$B$1:$U$257,13,FALSE)),"",(VLOOKUP($B180,'B-1 On-Site Hedge Baseline'!$B$1:$U$257,13,FALSE))))</f>
        <v/>
      </c>
      <c r="L180" s="386" t="str">
        <f>IF(B180="","",IF(ISNA(VLOOKUP($B180,'B-1 On-Site Hedge Baseline'!$B$1:$U$257,12,FALSE)),"",(VLOOKUP($B180,'B-1 On-Site Hedge Baseline'!$B$1:$U$257,12,FALSE))))</f>
        <v/>
      </c>
      <c r="M180" s="315" t="str">
        <f t="shared" si="23"/>
        <v/>
      </c>
      <c r="N180" s="362" t="str">
        <f>IFERROR(IF(B180="","",INDEX('G-6 Hedgerow Data'!$AN$3:$AZ$15,MATCH(C180,'G-6 Hedgerow Data'!$AM$3:$AM$15,0),MATCH(M180,'G-6 Hedgerow Data'!$AN$2:$AZ$2,0))),"")</f>
        <v/>
      </c>
      <c r="O180" s="363" t="str">
        <f t="shared" si="18"/>
        <v/>
      </c>
      <c r="P180" s="417" t="str">
        <f>IF(B180="","",VLOOKUP(B180,'B-1 On-Site Hedge Baseline'!$B$10:T425,16,FALSE))</f>
        <v/>
      </c>
      <c r="Q180" s="362" t="str">
        <f>IF(M180="","",VLOOKUP(M180,'G-6 Hedgerow Data'!$B$2:$AG$15,2,FALSE))</f>
        <v/>
      </c>
      <c r="R180" s="363" t="str">
        <f>IF(M180="","",VLOOKUP(M180,'G-6 Hedgerow Data'!$B$2:$AG$15,3,FALSE))</f>
        <v/>
      </c>
      <c r="S180" s="125"/>
      <c r="T180" s="401" t="str">
        <f>IFERROR(VLOOKUP(S180,'G-1 All Habitats'!$Z$2:$AA$9,2,FALSE),"")</f>
        <v/>
      </c>
      <c r="U180" s="122"/>
      <c r="V180" s="382" t="str">
        <f>IF(U180="","",IF(VLOOKUP(U180,'G-3 Multipliers'!$L$3:$N$6,2,FALSE)=0,"Spatial Data Missing ⚠",VLOOKUP(U180,'G-3 Multipliers'!$L$3:$N$6,2,FALSE)))</f>
        <v/>
      </c>
      <c r="W180" s="386" t="str">
        <f>IF(U180="","",IF(VLOOKUP(U180,'G-3 Multipliers'!$L$3:$N$6,3,FALSE)=0,"Spatial Data Missing ⚠",VLOOKUP(U180,'G-3 Multipliers'!$L$3:$N$6,3,FALSE)))</f>
        <v/>
      </c>
      <c r="X180" s="362" t="str">
        <f>IFERROR(IF(OR(LEFT(O180,5)="Error",LEFT(N180,5)="Error",T180="Error"),"Check Data ⚠",IF(F180&lt;R180,INDEX('G-6 Hedgerow Data'!$S$3:$AE$14,MATCH(C180,'G-6 Hedgerow Data'!$B$3:$B$14,0),MATCH(M180,'G-6 Hedgerow Data'!$S$2:$AE$2,0)),INDEX('G-6 Hedgerow Data'!$K$3:$Q$14,MATCH(M180,'G-6 Hedgerow Data'!$B$3:$B$14,0),MATCH(O180,'G-6 Hedgerow Data'!$K$2:$Q$2,0)))),"")</f>
        <v/>
      </c>
      <c r="Y180" s="159"/>
      <c r="Z180" s="159"/>
      <c r="AA180" s="370" t="str">
        <f t="shared" si="19"/>
        <v/>
      </c>
      <c r="AB180" s="383" t="str">
        <f t="shared" si="20"/>
        <v/>
      </c>
      <c r="AC180" s="384" t="str">
        <f t="shared" si="16"/>
        <v/>
      </c>
      <c r="AD180" s="398" t="str">
        <f>IF(M180="","",VLOOKUP(M180,'G-6 Hedgerow Data'!$B$3:$AG$15,31,FALSE))</f>
        <v/>
      </c>
      <c r="AE180" s="370" t="str">
        <f t="shared" si="21"/>
        <v/>
      </c>
      <c r="AF180" s="370" t="str">
        <f t="shared" si="22"/>
        <v/>
      </c>
      <c r="AG180" s="386" t="str">
        <f>IFERROR(IF(O180="","",VLOOKUP(AD180,'G-3 Multipliers'!$P$3:$Q$6,2,FALSE)),"")</f>
        <v/>
      </c>
      <c r="AH180" s="376" t="str">
        <f t="shared" si="17"/>
        <v/>
      </c>
      <c r="AI180" s="188"/>
      <c r="AJ180" s="118"/>
      <c r="AK180" s="120"/>
      <c r="AT180" s="30" t="str">
        <f>IFERROR(INDEX('G-6 Hedgerow Data'!$BJ$3:$BJ$15,MATCH(M180,'G-6 Hedgerow Data'!$B$3:$B$15,0)),"")</f>
        <v/>
      </c>
    </row>
    <row r="181" spans="2:46" ht="15">
      <c r="B181" s="392" t="str">
        <f>'B-1 On-Site Hedge Baseline'!AK179</f>
        <v/>
      </c>
      <c r="C181" s="382" t="str">
        <f>IF(B181="","",IF(ISNA(VLOOKUP($B181,'B-1 On-Site Hedge Baseline'!$B$1:$L$257,3,FALSE)),"",(VLOOKUP($B181,'B-1 On-Site Hedge Baseline'!$B$1:$L$257,3,FALSE))))</f>
        <v/>
      </c>
      <c r="D181" s="382" t="str">
        <f>IF(B181="","",IF(ISNA(VLOOKUP($B181,'B-1 On-Site Hedge Baseline'!$B$1:$L$257,4,FALSE)),"",(VLOOKUP($B181,'B-1 On-Site Hedge Baseline'!$B$1:$L$257,4,FALSE))))</f>
        <v/>
      </c>
      <c r="E181" s="382" t="str">
        <f>IF(B181="","",IF(ISNA(VLOOKUP($B181,'B-1 On-Site Hedge Baseline'!$B$1:$L$257,5,FALSE)),"",(VLOOKUP($B181,'B-1 On-Site Hedge Baseline'!$B$1:$L$257,5,FALSE))))</f>
        <v/>
      </c>
      <c r="F181" s="382" t="str">
        <f>IF(B181="","",IF(ISNA(VLOOKUP($B181,'B-1 On-Site Hedge Baseline'!$B$1:$L$257,6,FALSE)),"",(VLOOKUP($B181,'B-1 On-Site Hedge Baseline'!$B$1:$L$257,6,FALSE))))</f>
        <v/>
      </c>
      <c r="G181" s="382" t="str">
        <f>IF(B181="","",IF(ISNA(VLOOKUP($B181,'B-1 On-Site Hedge Baseline'!$B$1:$L$257,7,FALSE)),"",(VLOOKUP($B181,'B-1 On-Site Hedge Baseline'!$B$1:$L$257,7,FALSE))))</f>
        <v/>
      </c>
      <c r="H181" s="382" t="str">
        <f>IF(B181="","",IF(ISNA(VLOOKUP($B181,'B-1 On-Site Hedge Baseline'!$B$1:$L$257,8,FALSE)),"",(VLOOKUP($B181,'B-1 On-Site Hedge Baseline'!$B$1:$L$257,8,FALSE))))</f>
        <v/>
      </c>
      <c r="I181" s="382" t="str">
        <f>IF(B181="","",IF(ISNA(VLOOKUP($B181,'B-1 On-Site Hedge Baseline'!$B$1:$L$257,10,FALSE)),"",(VLOOKUP($B181,'B-1 On-Site Hedge Baseline'!$B$1:$L$257,10,FALSE))))</f>
        <v/>
      </c>
      <c r="J181" s="382" t="str">
        <f>IF(B181="","",IF(ISNA(VLOOKUP($B181,'B-1 On-Site Hedge Baseline'!$B$1:$L$257,11,FALSE)),"",(VLOOKUP($B181,'B-1 On-Site Hedge Baseline'!$B$1:$L$257,11,FALSE))))</f>
        <v/>
      </c>
      <c r="K181" s="382" t="str">
        <f>IF(B181="","",IF(ISNA(VLOOKUP($B181,'B-1 On-Site Hedge Baseline'!$B$1:$U$257,13,FALSE)),"",(VLOOKUP($B181,'B-1 On-Site Hedge Baseline'!$B$1:$U$257,13,FALSE))))</f>
        <v/>
      </c>
      <c r="L181" s="386" t="str">
        <f>IF(B181="","",IF(ISNA(VLOOKUP($B181,'B-1 On-Site Hedge Baseline'!$B$1:$U$257,12,FALSE)),"",(VLOOKUP($B181,'B-1 On-Site Hedge Baseline'!$B$1:$U$257,12,FALSE))))</f>
        <v/>
      </c>
      <c r="M181" s="315" t="str">
        <f t="shared" si="23"/>
        <v/>
      </c>
      <c r="N181" s="362" t="str">
        <f>IFERROR(IF(B181="","",INDEX('G-6 Hedgerow Data'!$AN$3:$AZ$15,MATCH(C181,'G-6 Hedgerow Data'!$AM$3:$AM$15,0),MATCH(M181,'G-6 Hedgerow Data'!$AN$2:$AZ$2,0))),"")</f>
        <v/>
      </c>
      <c r="O181" s="363" t="str">
        <f t="shared" si="18"/>
        <v/>
      </c>
      <c r="P181" s="417" t="str">
        <f>IF(B181="","",VLOOKUP(B181,'B-1 On-Site Hedge Baseline'!$B$10:T426,16,FALSE))</f>
        <v/>
      </c>
      <c r="Q181" s="362" t="str">
        <f>IF(M181="","",VLOOKUP(M181,'G-6 Hedgerow Data'!$B$2:$AG$15,2,FALSE))</f>
        <v/>
      </c>
      <c r="R181" s="363" t="str">
        <f>IF(M181="","",VLOOKUP(M181,'G-6 Hedgerow Data'!$B$2:$AG$15,3,FALSE))</f>
        <v/>
      </c>
      <c r="S181" s="125"/>
      <c r="T181" s="401" t="str">
        <f>IFERROR(VLOOKUP(S181,'G-1 All Habitats'!$Z$2:$AA$9,2,FALSE),"")</f>
        <v/>
      </c>
      <c r="U181" s="122"/>
      <c r="V181" s="382" t="str">
        <f>IF(U181="","",IF(VLOOKUP(U181,'G-3 Multipliers'!$L$3:$N$6,2,FALSE)=0,"Spatial Data Missing ⚠",VLOOKUP(U181,'G-3 Multipliers'!$L$3:$N$6,2,FALSE)))</f>
        <v/>
      </c>
      <c r="W181" s="386" t="str">
        <f>IF(U181="","",IF(VLOOKUP(U181,'G-3 Multipliers'!$L$3:$N$6,3,FALSE)=0,"Spatial Data Missing ⚠",VLOOKUP(U181,'G-3 Multipliers'!$L$3:$N$6,3,FALSE)))</f>
        <v/>
      </c>
      <c r="X181" s="362" t="str">
        <f>IFERROR(IF(OR(LEFT(O181,5)="Error",LEFT(N181,5)="Error",T181="Error"),"Check Data ⚠",IF(F181&lt;R181,INDEX('G-6 Hedgerow Data'!$S$3:$AE$14,MATCH(C181,'G-6 Hedgerow Data'!$B$3:$B$14,0),MATCH(M181,'G-6 Hedgerow Data'!$S$2:$AE$2,0)),INDEX('G-6 Hedgerow Data'!$K$3:$Q$14,MATCH(M181,'G-6 Hedgerow Data'!$B$3:$B$14,0),MATCH(O181,'G-6 Hedgerow Data'!$K$2:$Q$2,0)))),"")</f>
        <v/>
      </c>
      <c r="Y181" s="159"/>
      <c r="Z181" s="159"/>
      <c r="AA181" s="370" t="str">
        <f t="shared" si="19"/>
        <v/>
      </c>
      <c r="AB181" s="383" t="str">
        <f t="shared" si="20"/>
        <v/>
      </c>
      <c r="AC181" s="384" t="str">
        <f t="shared" si="16"/>
        <v/>
      </c>
      <c r="AD181" s="398" t="str">
        <f>IF(M181="","",VLOOKUP(M181,'G-6 Hedgerow Data'!$B$3:$AG$15,31,FALSE))</f>
        <v/>
      </c>
      <c r="AE181" s="370" t="str">
        <f t="shared" si="21"/>
        <v/>
      </c>
      <c r="AF181" s="370" t="str">
        <f t="shared" si="22"/>
        <v/>
      </c>
      <c r="AG181" s="386" t="str">
        <f>IFERROR(IF(O181="","",VLOOKUP(AD181,'G-3 Multipliers'!$P$3:$Q$6,2,FALSE)),"")</f>
        <v/>
      </c>
      <c r="AH181" s="376" t="str">
        <f t="shared" si="17"/>
        <v/>
      </c>
      <c r="AI181" s="188"/>
      <c r="AJ181" s="118"/>
      <c r="AK181" s="120"/>
      <c r="AT181" s="30" t="str">
        <f>IFERROR(INDEX('G-6 Hedgerow Data'!$BJ$3:$BJ$15,MATCH(M181,'G-6 Hedgerow Data'!$B$3:$B$15,0)),"")</f>
        <v/>
      </c>
    </row>
    <row r="182" spans="2:46" ht="15">
      <c r="B182" s="392" t="str">
        <f>'B-1 On-Site Hedge Baseline'!AK180</f>
        <v/>
      </c>
      <c r="C182" s="382" t="str">
        <f>IF(B182="","",IF(ISNA(VLOOKUP($B182,'B-1 On-Site Hedge Baseline'!$B$1:$L$257,3,FALSE)),"",(VLOOKUP($B182,'B-1 On-Site Hedge Baseline'!$B$1:$L$257,3,FALSE))))</f>
        <v/>
      </c>
      <c r="D182" s="382" t="str">
        <f>IF(B182="","",IF(ISNA(VLOOKUP($B182,'B-1 On-Site Hedge Baseline'!$B$1:$L$257,4,FALSE)),"",(VLOOKUP($B182,'B-1 On-Site Hedge Baseline'!$B$1:$L$257,4,FALSE))))</f>
        <v/>
      </c>
      <c r="E182" s="382" t="str">
        <f>IF(B182="","",IF(ISNA(VLOOKUP($B182,'B-1 On-Site Hedge Baseline'!$B$1:$L$257,5,FALSE)),"",(VLOOKUP($B182,'B-1 On-Site Hedge Baseline'!$B$1:$L$257,5,FALSE))))</f>
        <v/>
      </c>
      <c r="F182" s="382" t="str">
        <f>IF(B182="","",IF(ISNA(VLOOKUP($B182,'B-1 On-Site Hedge Baseline'!$B$1:$L$257,6,FALSE)),"",(VLOOKUP($B182,'B-1 On-Site Hedge Baseline'!$B$1:$L$257,6,FALSE))))</f>
        <v/>
      </c>
      <c r="G182" s="382" t="str">
        <f>IF(B182="","",IF(ISNA(VLOOKUP($B182,'B-1 On-Site Hedge Baseline'!$B$1:$L$257,7,FALSE)),"",(VLOOKUP($B182,'B-1 On-Site Hedge Baseline'!$B$1:$L$257,7,FALSE))))</f>
        <v/>
      </c>
      <c r="H182" s="382" t="str">
        <f>IF(B182="","",IF(ISNA(VLOOKUP($B182,'B-1 On-Site Hedge Baseline'!$B$1:$L$257,8,FALSE)),"",(VLOOKUP($B182,'B-1 On-Site Hedge Baseline'!$B$1:$L$257,8,FALSE))))</f>
        <v/>
      </c>
      <c r="I182" s="382" t="str">
        <f>IF(B182="","",IF(ISNA(VLOOKUP($B182,'B-1 On-Site Hedge Baseline'!$B$1:$L$257,10,FALSE)),"",(VLOOKUP($B182,'B-1 On-Site Hedge Baseline'!$B$1:$L$257,10,FALSE))))</f>
        <v/>
      </c>
      <c r="J182" s="382" t="str">
        <f>IF(B182="","",IF(ISNA(VLOOKUP($B182,'B-1 On-Site Hedge Baseline'!$B$1:$L$257,11,FALSE)),"",(VLOOKUP($B182,'B-1 On-Site Hedge Baseline'!$B$1:$L$257,11,FALSE))))</f>
        <v/>
      </c>
      <c r="K182" s="382" t="str">
        <f>IF(B182="","",IF(ISNA(VLOOKUP($B182,'B-1 On-Site Hedge Baseline'!$B$1:$U$257,13,FALSE)),"",(VLOOKUP($B182,'B-1 On-Site Hedge Baseline'!$B$1:$U$257,13,FALSE))))</f>
        <v/>
      </c>
      <c r="L182" s="386" t="str">
        <f>IF(B182="","",IF(ISNA(VLOOKUP($B182,'B-1 On-Site Hedge Baseline'!$B$1:$U$257,12,FALSE)),"",(VLOOKUP($B182,'B-1 On-Site Hedge Baseline'!$B$1:$U$257,12,FALSE))))</f>
        <v/>
      </c>
      <c r="M182" s="315" t="str">
        <f t="shared" si="23"/>
        <v/>
      </c>
      <c r="N182" s="362" t="str">
        <f>IFERROR(IF(B182="","",INDEX('G-6 Hedgerow Data'!$AN$3:$AZ$15,MATCH(C182,'G-6 Hedgerow Data'!$AM$3:$AM$15,0),MATCH(M182,'G-6 Hedgerow Data'!$AN$2:$AZ$2,0))),"")</f>
        <v/>
      </c>
      <c r="O182" s="363" t="str">
        <f t="shared" si="18"/>
        <v/>
      </c>
      <c r="P182" s="417" t="str">
        <f>IF(B182="","",VLOOKUP(B182,'B-1 On-Site Hedge Baseline'!$B$10:T427,16,FALSE))</f>
        <v/>
      </c>
      <c r="Q182" s="362" t="str">
        <f>IF(M182="","",VLOOKUP(M182,'G-6 Hedgerow Data'!$B$2:$AG$15,2,FALSE))</f>
        <v/>
      </c>
      <c r="R182" s="363" t="str">
        <f>IF(M182="","",VLOOKUP(M182,'G-6 Hedgerow Data'!$B$2:$AG$15,3,FALSE))</f>
        <v/>
      </c>
      <c r="S182" s="125"/>
      <c r="T182" s="401" t="str">
        <f>IFERROR(VLOOKUP(S182,'G-1 All Habitats'!$Z$2:$AA$9,2,FALSE),"")</f>
        <v/>
      </c>
      <c r="U182" s="122"/>
      <c r="V182" s="382" t="str">
        <f>IF(U182="","",IF(VLOOKUP(U182,'G-3 Multipliers'!$L$3:$N$6,2,FALSE)=0,"Spatial Data Missing ⚠",VLOOKUP(U182,'G-3 Multipliers'!$L$3:$N$6,2,FALSE)))</f>
        <v/>
      </c>
      <c r="W182" s="386" t="str">
        <f>IF(U182="","",IF(VLOOKUP(U182,'G-3 Multipliers'!$L$3:$N$6,3,FALSE)=0,"Spatial Data Missing ⚠",VLOOKUP(U182,'G-3 Multipliers'!$L$3:$N$6,3,FALSE)))</f>
        <v/>
      </c>
      <c r="X182" s="362" t="str">
        <f>IFERROR(IF(OR(LEFT(O182,5)="Error",LEFT(N182,5)="Error",T182="Error"),"Check Data ⚠",IF(F182&lt;R182,INDEX('G-6 Hedgerow Data'!$S$3:$AE$14,MATCH(C182,'G-6 Hedgerow Data'!$B$3:$B$14,0),MATCH(M182,'G-6 Hedgerow Data'!$S$2:$AE$2,0)),INDEX('G-6 Hedgerow Data'!$K$3:$Q$14,MATCH(M182,'G-6 Hedgerow Data'!$B$3:$B$14,0),MATCH(O182,'G-6 Hedgerow Data'!$K$2:$Q$2,0)))),"")</f>
        <v/>
      </c>
      <c r="Y182" s="159"/>
      <c r="Z182" s="159"/>
      <c r="AA182" s="370" t="str">
        <f t="shared" si="19"/>
        <v/>
      </c>
      <c r="AB182" s="383" t="str">
        <f t="shared" si="20"/>
        <v/>
      </c>
      <c r="AC182" s="384" t="str">
        <f t="shared" si="16"/>
        <v/>
      </c>
      <c r="AD182" s="398" t="str">
        <f>IF(M182="","",VLOOKUP(M182,'G-6 Hedgerow Data'!$B$3:$AG$15,31,FALSE))</f>
        <v/>
      </c>
      <c r="AE182" s="370" t="str">
        <f t="shared" si="21"/>
        <v/>
      </c>
      <c r="AF182" s="370" t="str">
        <f t="shared" si="22"/>
        <v/>
      </c>
      <c r="AG182" s="386" t="str">
        <f>IFERROR(IF(O182="","",VLOOKUP(AD182,'G-3 Multipliers'!$P$3:$Q$6,2,FALSE)),"")</f>
        <v/>
      </c>
      <c r="AH182" s="376" t="str">
        <f t="shared" si="17"/>
        <v/>
      </c>
      <c r="AI182" s="188"/>
      <c r="AJ182" s="118"/>
      <c r="AK182" s="120"/>
      <c r="AT182" s="30" t="str">
        <f>IFERROR(INDEX('G-6 Hedgerow Data'!$BJ$3:$BJ$15,MATCH(M182,'G-6 Hedgerow Data'!$B$3:$B$15,0)),"")</f>
        <v/>
      </c>
    </row>
    <row r="183" spans="2:46" ht="15">
      <c r="B183" s="392" t="str">
        <f>'B-1 On-Site Hedge Baseline'!AK181</f>
        <v/>
      </c>
      <c r="C183" s="382" t="str">
        <f>IF(B183="","",IF(ISNA(VLOOKUP($B183,'B-1 On-Site Hedge Baseline'!$B$1:$L$257,3,FALSE)),"",(VLOOKUP($B183,'B-1 On-Site Hedge Baseline'!$B$1:$L$257,3,FALSE))))</f>
        <v/>
      </c>
      <c r="D183" s="382" t="str">
        <f>IF(B183="","",IF(ISNA(VLOOKUP($B183,'B-1 On-Site Hedge Baseline'!$B$1:$L$257,4,FALSE)),"",(VLOOKUP($B183,'B-1 On-Site Hedge Baseline'!$B$1:$L$257,4,FALSE))))</f>
        <v/>
      </c>
      <c r="E183" s="382" t="str">
        <f>IF(B183="","",IF(ISNA(VLOOKUP($B183,'B-1 On-Site Hedge Baseline'!$B$1:$L$257,5,FALSE)),"",(VLOOKUP($B183,'B-1 On-Site Hedge Baseline'!$B$1:$L$257,5,FALSE))))</f>
        <v/>
      </c>
      <c r="F183" s="382" t="str">
        <f>IF(B183="","",IF(ISNA(VLOOKUP($B183,'B-1 On-Site Hedge Baseline'!$B$1:$L$257,6,FALSE)),"",(VLOOKUP($B183,'B-1 On-Site Hedge Baseline'!$B$1:$L$257,6,FALSE))))</f>
        <v/>
      </c>
      <c r="G183" s="382" t="str">
        <f>IF(B183="","",IF(ISNA(VLOOKUP($B183,'B-1 On-Site Hedge Baseline'!$B$1:$L$257,7,FALSE)),"",(VLOOKUP($B183,'B-1 On-Site Hedge Baseline'!$B$1:$L$257,7,FALSE))))</f>
        <v/>
      </c>
      <c r="H183" s="382" t="str">
        <f>IF(B183="","",IF(ISNA(VLOOKUP($B183,'B-1 On-Site Hedge Baseline'!$B$1:$L$257,8,FALSE)),"",(VLOOKUP($B183,'B-1 On-Site Hedge Baseline'!$B$1:$L$257,8,FALSE))))</f>
        <v/>
      </c>
      <c r="I183" s="382" t="str">
        <f>IF(B183="","",IF(ISNA(VLOOKUP($B183,'B-1 On-Site Hedge Baseline'!$B$1:$L$257,10,FALSE)),"",(VLOOKUP($B183,'B-1 On-Site Hedge Baseline'!$B$1:$L$257,10,FALSE))))</f>
        <v/>
      </c>
      <c r="J183" s="382" t="str">
        <f>IF(B183="","",IF(ISNA(VLOOKUP($B183,'B-1 On-Site Hedge Baseline'!$B$1:$L$257,11,FALSE)),"",(VLOOKUP($B183,'B-1 On-Site Hedge Baseline'!$B$1:$L$257,11,FALSE))))</f>
        <v/>
      </c>
      <c r="K183" s="382" t="str">
        <f>IF(B183="","",IF(ISNA(VLOOKUP($B183,'B-1 On-Site Hedge Baseline'!$B$1:$U$257,13,FALSE)),"",(VLOOKUP($B183,'B-1 On-Site Hedge Baseline'!$B$1:$U$257,13,FALSE))))</f>
        <v/>
      </c>
      <c r="L183" s="386" t="str">
        <f>IF(B183="","",IF(ISNA(VLOOKUP($B183,'B-1 On-Site Hedge Baseline'!$B$1:$U$257,12,FALSE)),"",(VLOOKUP($B183,'B-1 On-Site Hedge Baseline'!$B$1:$U$257,12,FALSE))))</f>
        <v/>
      </c>
      <c r="M183" s="315" t="str">
        <f t="shared" si="23"/>
        <v/>
      </c>
      <c r="N183" s="362" t="str">
        <f>IFERROR(IF(B183="","",INDEX('G-6 Hedgerow Data'!$AN$3:$AZ$15,MATCH(C183,'G-6 Hedgerow Data'!$AM$3:$AM$15,0),MATCH(M183,'G-6 Hedgerow Data'!$AN$2:$AZ$2,0))),"")</f>
        <v/>
      </c>
      <c r="O183" s="363" t="str">
        <f t="shared" si="18"/>
        <v/>
      </c>
      <c r="P183" s="417" t="str">
        <f>IF(B183="","",VLOOKUP(B183,'B-1 On-Site Hedge Baseline'!$B$10:T428,16,FALSE))</f>
        <v/>
      </c>
      <c r="Q183" s="362" t="str">
        <f>IF(M183="","",VLOOKUP(M183,'G-6 Hedgerow Data'!$B$2:$AG$15,2,FALSE))</f>
        <v/>
      </c>
      <c r="R183" s="363" t="str">
        <f>IF(M183="","",VLOOKUP(M183,'G-6 Hedgerow Data'!$B$2:$AG$15,3,FALSE))</f>
        <v/>
      </c>
      <c r="S183" s="125"/>
      <c r="T183" s="401" t="str">
        <f>IFERROR(VLOOKUP(S183,'G-1 All Habitats'!$Z$2:$AA$9,2,FALSE),"")</f>
        <v/>
      </c>
      <c r="U183" s="122"/>
      <c r="V183" s="382" t="str">
        <f>IF(U183="","",IF(VLOOKUP(U183,'G-3 Multipliers'!$L$3:$N$6,2,FALSE)=0,"Spatial Data Missing ⚠",VLOOKUP(U183,'G-3 Multipliers'!$L$3:$N$6,2,FALSE)))</f>
        <v/>
      </c>
      <c r="W183" s="386" t="str">
        <f>IF(U183="","",IF(VLOOKUP(U183,'G-3 Multipliers'!$L$3:$N$6,3,FALSE)=0,"Spatial Data Missing ⚠",VLOOKUP(U183,'G-3 Multipliers'!$L$3:$N$6,3,FALSE)))</f>
        <v/>
      </c>
      <c r="X183" s="362" t="str">
        <f>IFERROR(IF(OR(LEFT(O183,5)="Error",LEFT(N183,5)="Error",T183="Error"),"Check Data ⚠",IF(F183&lt;R183,INDEX('G-6 Hedgerow Data'!$S$3:$AE$14,MATCH(C183,'G-6 Hedgerow Data'!$B$3:$B$14,0),MATCH(M183,'G-6 Hedgerow Data'!$S$2:$AE$2,0)),INDEX('G-6 Hedgerow Data'!$K$3:$Q$14,MATCH(M183,'G-6 Hedgerow Data'!$B$3:$B$14,0),MATCH(O183,'G-6 Hedgerow Data'!$K$2:$Q$2,0)))),"")</f>
        <v/>
      </c>
      <c r="Y183" s="159"/>
      <c r="Z183" s="159"/>
      <c r="AA183" s="370" t="str">
        <f t="shared" si="19"/>
        <v/>
      </c>
      <c r="AB183" s="383" t="str">
        <f t="shared" si="20"/>
        <v/>
      </c>
      <c r="AC183" s="384" t="str">
        <f t="shared" si="16"/>
        <v/>
      </c>
      <c r="AD183" s="398" t="str">
        <f>IF(M183="","",VLOOKUP(M183,'G-6 Hedgerow Data'!$B$3:$AG$15,31,FALSE))</f>
        <v/>
      </c>
      <c r="AE183" s="370" t="str">
        <f t="shared" si="21"/>
        <v/>
      </c>
      <c r="AF183" s="370" t="str">
        <f t="shared" si="22"/>
        <v/>
      </c>
      <c r="AG183" s="386" t="str">
        <f>IFERROR(IF(O183="","",VLOOKUP(AD183,'G-3 Multipliers'!$P$3:$Q$6,2,FALSE)),"")</f>
        <v/>
      </c>
      <c r="AH183" s="376" t="str">
        <f t="shared" si="17"/>
        <v/>
      </c>
      <c r="AI183" s="188"/>
      <c r="AJ183" s="118"/>
      <c r="AK183" s="120"/>
      <c r="AT183" s="30" t="str">
        <f>IFERROR(INDEX('G-6 Hedgerow Data'!$BJ$3:$BJ$15,MATCH(M183,'G-6 Hedgerow Data'!$B$3:$B$15,0)),"")</f>
        <v/>
      </c>
    </row>
    <row r="184" spans="2:46" ht="15">
      <c r="B184" s="392" t="str">
        <f>'B-1 On-Site Hedge Baseline'!AK182</f>
        <v/>
      </c>
      <c r="C184" s="382" t="str">
        <f>IF(B184="","",IF(ISNA(VLOOKUP($B184,'B-1 On-Site Hedge Baseline'!$B$1:$L$257,3,FALSE)),"",(VLOOKUP($B184,'B-1 On-Site Hedge Baseline'!$B$1:$L$257,3,FALSE))))</f>
        <v/>
      </c>
      <c r="D184" s="382" t="str">
        <f>IF(B184="","",IF(ISNA(VLOOKUP($B184,'B-1 On-Site Hedge Baseline'!$B$1:$L$257,4,FALSE)),"",(VLOOKUP($B184,'B-1 On-Site Hedge Baseline'!$B$1:$L$257,4,FALSE))))</f>
        <v/>
      </c>
      <c r="E184" s="382" t="str">
        <f>IF(B184="","",IF(ISNA(VLOOKUP($B184,'B-1 On-Site Hedge Baseline'!$B$1:$L$257,5,FALSE)),"",(VLOOKUP($B184,'B-1 On-Site Hedge Baseline'!$B$1:$L$257,5,FALSE))))</f>
        <v/>
      </c>
      <c r="F184" s="382" t="str">
        <f>IF(B184="","",IF(ISNA(VLOOKUP($B184,'B-1 On-Site Hedge Baseline'!$B$1:$L$257,6,FALSE)),"",(VLOOKUP($B184,'B-1 On-Site Hedge Baseline'!$B$1:$L$257,6,FALSE))))</f>
        <v/>
      </c>
      <c r="G184" s="382" t="str">
        <f>IF(B184="","",IF(ISNA(VLOOKUP($B184,'B-1 On-Site Hedge Baseline'!$B$1:$L$257,7,FALSE)),"",(VLOOKUP($B184,'B-1 On-Site Hedge Baseline'!$B$1:$L$257,7,FALSE))))</f>
        <v/>
      </c>
      <c r="H184" s="382" t="str">
        <f>IF(B184="","",IF(ISNA(VLOOKUP($B184,'B-1 On-Site Hedge Baseline'!$B$1:$L$257,8,FALSE)),"",(VLOOKUP($B184,'B-1 On-Site Hedge Baseline'!$B$1:$L$257,8,FALSE))))</f>
        <v/>
      </c>
      <c r="I184" s="382" t="str">
        <f>IF(B184="","",IF(ISNA(VLOOKUP($B184,'B-1 On-Site Hedge Baseline'!$B$1:$L$257,10,FALSE)),"",(VLOOKUP($B184,'B-1 On-Site Hedge Baseline'!$B$1:$L$257,10,FALSE))))</f>
        <v/>
      </c>
      <c r="J184" s="382" t="str">
        <f>IF(B184="","",IF(ISNA(VLOOKUP($B184,'B-1 On-Site Hedge Baseline'!$B$1:$L$257,11,FALSE)),"",(VLOOKUP($B184,'B-1 On-Site Hedge Baseline'!$B$1:$L$257,11,FALSE))))</f>
        <v/>
      </c>
      <c r="K184" s="382" t="str">
        <f>IF(B184="","",IF(ISNA(VLOOKUP($B184,'B-1 On-Site Hedge Baseline'!$B$1:$U$257,13,FALSE)),"",(VLOOKUP($B184,'B-1 On-Site Hedge Baseline'!$B$1:$U$257,13,FALSE))))</f>
        <v/>
      </c>
      <c r="L184" s="386" t="str">
        <f>IF(B184="","",IF(ISNA(VLOOKUP($B184,'B-1 On-Site Hedge Baseline'!$B$1:$U$257,12,FALSE)),"",(VLOOKUP($B184,'B-1 On-Site Hedge Baseline'!$B$1:$U$257,12,FALSE))))</f>
        <v/>
      </c>
      <c r="M184" s="315" t="str">
        <f t="shared" si="23"/>
        <v/>
      </c>
      <c r="N184" s="362" t="str">
        <f>IFERROR(IF(B184="","",INDEX('G-6 Hedgerow Data'!$AN$3:$AZ$15,MATCH(C184,'G-6 Hedgerow Data'!$AM$3:$AM$15,0),MATCH(M184,'G-6 Hedgerow Data'!$AN$2:$AZ$2,0))),"")</f>
        <v/>
      </c>
      <c r="O184" s="363" t="str">
        <f t="shared" si="18"/>
        <v/>
      </c>
      <c r="P184" s="417" t="str">
        <f>IF(B184="","",VLOOKUP(B184,'B-1 On-Site Hedge Baseline'!$B$10:T429,16,FALSE))</f>
        <v/>
      </c>
      <c r="Q184" s="362" t="str">
        <f>IF(M184="","",VLOOKUP(M184,'G-6 Hedgerow Data'!$B$2:$AG$15,2,FALSE))</f>
        <v/>
      </c>
      <c r="R184" s="363" t="str">
        <f>IF(M184="","",VLOOKUP(M184,'G-6 Hedgerow Data'!$B$2:$AG$15,3,FALSE))</f>
        <v/>
      </c>
      <c r="S184" s="125"/>
      <c r="T184" s="401" t="str">
        <f>IFERROR(VLOOKUP(S184,'G-1 All Habitats'!$Z$2:$AA$9,2,FALSE),"")</f>
        <v/>
      </c>
      <c r="U184" s="122"/>
      <c r="V184" s="382" t="str">
        <f>IF(U184="","",IF(VLOOKUP(U184,'G-3 Multipliers'!$L$3:$N$6,2,FALSE)=0,"Spatial Data Missing ⚠",VLOOKUP(U184,'G-3 Multipliers'!$L$3:$N$6,2,FALSE)))</f>
        <v/>
      </c>
      <c r="W184" s="386" t="str">
        <f>IF(U184="","",IF(VLOOKUP(U184,'G-3 Multipliers'!$L$3:$N$6,3,FALSE)=0,"Spatial Data Missing ⚠",VLOOKUP(U184,'G-3 Multipliers'!$L$3:$N$6,3,FALSE)))</f>
        <v/>
      </c>
      <c r="X184" s="362" t="str">
        <f>IFERROR(IF(OR(LEFT(O184,5)="Error",LEFT(N184,5)="Error",T184="Error"),"Check Data ⚠",IF(F184&lt;R184,INDEX('G-6 Hedgerow Data'!$S$3:$AE$14,MATCH(C184,'G-6 Hedgerow Data'!$B$3:$B$14,0),MATCH(M184,'G-6 Hedgerow Data'!$S$2:$AE$2,0)),INDEX('G-6 Hedgerow Data'!$K$3:$Q$14,MATCH(M184,'G-6 Hedgerow Data'!$B$3:$B$14,0),MATCH(O184,'G-6 Hedgerow Data'!$K$2:$Q$2,0)))),"")</f>
        <v/>
      </c>
      <c r="Y184" s="159"/>
      <c r="Z184" s="159"/>
      <c r="AA184" s="370" t="str">
        <f t="shared" si="19"/>
        <v/>
      </c>
      <c r="AB184" s="383" t="str">
        <f t="shared" si="20"/>
        <v/>
      </c>
      <c r="AC184" s="384" t="str">
        <f t="shared" si="16"/>
        <v/>
      </c>
      <c r="AD184" s="398" t="str">
        <f>IF(M184="","",VLOOKUP(M184,'G-6 Hedgerow Data'!$B$3:$AG$15,31,FALSE))</f>
        <v/>
      </c>
      <c r="AE184" s="370" t="str">
        <f t="shared" si="21"/>
        <v/>
      </c>
      <c r="AF184" s="370" t="str">
        <f t="shared" si="22"/>
        <v/>
      </c>
      <c r="AG184" s="386" t="str">
        <f>IFERROR(IF(O184="","",VLOOKUP(AD184,'G-3 Multipliers'!$P$3:$Q$6,2,FALSE)),"")</f>
        <v/>
      </c>
      <c r="AH184" s="376" t="str">
        <f t="shared" si="17"/>
        <v/>
      </c>
      <c r="AI184" s="188"/>
      <c r="AJ184" s="118"/>
      <c r="AK184" s="120"/>
      <c r="AT184" s="30" t="str">
        <f>IFERROR(INDEX('G-6 Hedgerow Data'!$BJ$3:$BJ$15,MATCH(M184,'G-6 Hedgerow Data'!$B$3:$B$15,0)),"")</f>
        <v/>
      </c>
    </row>
    <row r="185" spans="2:46" ht="15">
      <c r="B185" s="392" t="str">
        <f>'B-1 On-Site Hedge Baseline'!AK183</f>
        <v/>
      </c>
      <c r="C185" s="382" t="str">
        <f>IF(B185="","",IF(ISNA(VLOOKUP($B185,'B-1 On-Site Hedge Baseline'!$B$1:$L$257,3,FALSE)),"",(VLOOKUP($B185,'B-1 On-Site Hedge Baseline'!$B$1:$L$257,3,FALSE))))</f>
        <v/>
      </c>
      <c r="D185" s="382" t="str">
        <f>IF(B185="","",IF(ISNA(VLOOKUP($B185,'B-1 On-Site Hedge Baseline'!$B$1:$L$257,4,FALSE)),"",(VLOOKUP($B185,'B-1 On-Site Hedge Baseline'!$B$1:$L$257,4,FALSE))))</f>
        <v/>
      </c>
      <c r="E185" s="382" t="str">
        <f>IF(B185="","",IF(ISNA(VLOOKUP($B185,'B-1 On-Site Hedge Baseline'!$B$1:$L$257,5,FALSE)),"",(VLOOKUP($B185,'B-1 On-Site Hedge Baseline'!$B$1:$L$257,5,FALSE))))</f>
        <v/>
      </c>
      <c r="F185" s="382" t="str">
        <f>IF(B185="","",IF(ISNA(VLOOKUP($B185,'B-1 On-Site Hedge Baseline'!$B$1:$L$257,6,FALSE)),"",(VLOOKUP($B185,'B-1 On-Site Hedge Baseline'!$B$1:$L$257,6,FALSE))))</f>
        <v/>
      </c>
      <c r="G185" s="382" t="str">
        <f>IF(B185="","",IF(ISNA(VLOOKUP($B185,'B-1 On-Site Hedge Baseline'!$B$1:$L$257,7,FALSE)),"",(VLOOKUP($B185,'B-1 On-Site Hedge Baseline'!$B$1:$L$257,7,FALSE))))</f>
        <v/>
      </c>
      <c r="H185" s="382" t="str">
        <f>IF(B185="","",IF(ISNA(VLOOKUP($B185,'B-1 On-Site Hedge Baseline'!$B$1:$L$257,8,FALSE)),"",(VLOOKUP($B185,'B-1 On-Site Hedge Baseline'!$B$1:$L$257,8,FALSE))))</f>
        <v/>
      </c>
      <c r="I185" s="382" t="str">
        <f>IF(B185="","",IF(ISNA(VLOOKUP($B185,'B-1 On-Site Hedge Baseline'!$B$1:$L$257,10,FALSE)),"",(VLOOKUP($B185,'B-1 On-Site Hedge Baseline'!$B$1:$L$257,10,FALSE))))</f>
        <v/>
      </c>
      <c r="J185" s="382" t="str">
        <f>IF(B185="","",IF(ISNA(VLOOKUP($B185,'B-1 On-Site Hedge Baseline'!$B$1:$L$257,11,FALSE)),"",(VLOOKUP($B185,'B-1 On-Site Hedge Baseline'!$B$1:$L$257,11,FALSE))))</f>
        <v/>
      </c>
      <c r="K185" s="382" t="str">
        <f>IF(B185="","",IF(ISNA(VLOOKUP($B185,'B-1 On-Site Hedge Baseline'!$B$1:$U$257,13,FALSE)),"",(VLOOKUP($B185,'B-1 On-Site Hedge Baseline'!$B$1:$U$257,13,FALSE))))</f>
        <v/>
      </c>
      <c r="L185" s="386" t="str">
        <f>IF(B185="","",IF(ISNA(VLOOKUP($B185,'B-1 On-Site Hedge Baseline'!$B$1:$U$257,12,FALSE)),"",(VLOOKUP($B185,'B-1 On-Site Hedge Baseline'!$B$1:$U$257,12,FALSE))))</f>
        <v/>
      </c>
      <c r="M185" s="315" t="str">
        <f t="shared" si="23"/>
        <v/>
      </c>
      <c r="N185" s="362" t="str">
        <f>IFERROR(IF(B185="","",INDEX('G-6 Hedgerow Data'!$AN$3:$AZ$15,MATCH(C185,'G-6 Hedgerow Data'!$AM$3:$AM$15,0),MATCH(M185,'G-6 Hedgerow Data'!$AN$2:$AZ$2,0))),"")</f>
        <v/>
      </c>
      <c r="O185" s="363" t="str">
        <f t="shared" si="18"/>
        <v/>
      </c>
      <c r="P185" s="417" t="str">
        <f>IF(B185="","",VLOOKUP(B185,'B-1 On-Site Hedge Baseline'!$B$10:T430,16,FALSE))</f>
        <v/>
      </c>
      <c r="Q185" s="362" t="str">
        <f>IF(M185="","",VLOOKUP(M185,'G-6 Hedgerow Data'!$B$2:$AG$15,2,FALSE))</f>
        <v/>
      </c>
      <c r="R185" s="363" t="str">
        <f>IF(M185="","",VLOOKUP(M185,'G-6 Hedgerow Data'!$B$2:$AG$15,3,FALSE))</f>
        <v/>
      </c>
      <c r="S185" s="125"/>
      <c r="T185" s="401" t="str">
        <f>IFERROR(VLOOKUP(S185,'G-1 All Habitats'!$Z$2:$AA$9,2,FALSE),"")</f>
        <v/>
      </c>
      <c r="U185" s="122"/>
      <c r="V185" s="382" t="str">
        <f>IF(U185="","",IF(VLOOKUP(U185,'G-3 Multipliers'!$L$3:$N$6,2,FALSE)=0,"Spatial Data Missing ⚠",VLOOKUP(U185,'G-3 Multipliers'!$L$3:$N$6,2,FALSE)))</f>
        <v/>
      </c>
      <c r="W185" s="386" t="str">
        <f>IF(U185="","",IF(VLOOKUP(U185,'G-3 Multipliers'!$L$3:$N$6,3,FALSE)=0,"Spatial Data Missing ⚠",VLOOKUP(U185,'G-3 Multipliers'!$L$3:$N$6,3,FALSE)))</f>
        <v/>
      </c>
      <c r="X185" s="362" t="str">
        <f>IFERROR(IF(OR(LEFT(O185,5)="Error",LEFT(N185,5)="Error",T185="Error"),"Check Data ⚠",IF(F185&lt;R185,INDEX('G-6 Hedgerow Data'!$S$3:$AE$14,MATCH(C185,'G-6 Hedgerow Data'!$B$3:$B$14,0),MATCH(M185,'G-6 Hedgerow Data'!$S$2:$AE$2,0)),INDEX('G-6 Hedgerow Data'!$K$3:$Q$14,MATCH(M185,'G-6 Hedgerow Data'!$B$3:$B$14,0),MATCH(O185,'G-6 Hedgerow Data'!$K$2:$Q$2,0)))),"")</f>
        <v/>
      </c>
      <c r="Y185" s="159"/>
      <c r="Z185" s="159"/>
      <c r="AA185" s="370" t="str">
        <f t="shared" si="19"/>
        <v/>
      </c>
      <c r="AB185" s="383" t="str">
        <f t="shared" si="20"/>
        <v/>
      </c>
      <c r="AC185" s="384" t="str">
        <f t="shared" si="16"/>
        <v/>
      </c>
      <c r="AD185" s="398" t="str">
        <f>IF(M185="","",VLOOKUP(M185,'G-6 Hedgerow Data'!$B$3:$AG$15,31,FALSE))</f>
        <v/>
      </c>
      <c r="AE185" s="370" t="str">
        <f t="shared" si="21"/>
        <v/>
      </c>
      <c r="AF185" s="370" t="str">
        <f t="shared" si="22"/>
        <v/>
      </c>
      <c r="AG185" s="386" t="str">
        <f>IFERROR(IF(O185="","",VLOOKUP(AD185,'G-3 Multipliers'!$P$3:$Q$6,2,FALSE)),"")</f>
        <v/>
      </c>
      <c r="AH185" s="376" t="str">
        <f t="shared" si="17"/>
        <v/>
      </c>
      <c r="AI185" s="188"/>
      <c r="AJ185" s="118"/>
      <c r="AK185" s="120"/>
      <c r="AT185" s="30" t="str">
        <f>IFERROR(INDEX('G-6 Hedgerow Data'!$BJ$3:$BJ$15,MATCH(M185,'G-6 Hedgerow Data'!$B$3:$B$15,0)),"")</f>
        <v/>
      </c>
    </row>
    <row r="186" spans="2:46" ht="15">
      <c r="B186" s="392" t="str">
        <f>'B-1 On-Site Hedge Baseline'!AK184</f>
        <v/>
      </c>
      <c r="C186" s="382" t="str">
        <f>IF(B186="","",IF(ISNA(VLOOKUP($B186,'B-1 On-Site Hedge Baseline'!$B$1:$L$257,3,FALSE)),"",(VLOOKUP($B186,'B-1 On-Site Hedge Baseline'!$B$1:$L$257,3,FALSE))))</f>
        <v/>
      </c>
      <c r="D186" s="382" t="str">
        <f>IF(B186="","",IF(ISNA(VLOOKUP($B186,'B-1 On-Site Hedge Baseline'!$B$1:$L$257,4,FALSE)),"",(VLOOKUP($B186,'B-1 On-Site Hedge Baseline'!$B$1:$L$257,4,FALSE))))</f>
        <v/>
      </c>
      <c r="E186" s="382" t="str">
        <f>IF(B186="","",IF(ISNA(VLOOKUP($B186,'B-1 On-Site Hedge Baseline'!$B$1:$L$257,5,FALSE)),"",(VLOOKUP($B186,'B-1 On-Site Hedge Baseline'!$B$1:$L$257,5,FALSE))))</f>
        <v/>
      </c>
      <c r="F186" s="382" t="str">
        <f>IF(B186="","",IF(ISNA(VLOOKUP($B186,'B-1 On-Site Hedge Baseline'!$B$1:$L$257,6,FALSE)),"",(VLOOKUP($B186,'B-1 On-Site Hedge Baseline'!$B$1:$L$257,6,FALSE))))</f>
        <v/>
      </c>
      <c r="G186" s="382" t="str">
        <f>IF(B186="","",IF(ISNA(VLOOKUP($B186,'B-1 On-Site Hedge Baseline'!$B$1:$L$257,7,FALSE)),"",(VLOOKUP($B186,'B-1 On-Site Hedge Baseline'!$B$1:$L$257,7,FALSE))))</f>
        <v/>
      </c>
      <c r="H186" s="382" t="str">
        <f>IF(B186="","",IF(ISNA(VLOOKUP($B186,'B-1 On-Site Hedge Baseline'!$B$1:$L$257,8,FALSE)),"",(VLOOKUP($B186,'B-1 On-Site Hedge Baseline'!$B$1:$L$257,8,FALSE))))</f>
        <v/>
      </c>
      <c r="I186" s="382" t="str">
        <f>IF(B186="","",IF(ISNA(VLOOKUP($B186,'B-1 On-Site Hedge Baseline'!$B$1:$L$257,10,FALSE)),"",(VLOOKUP($B186,'B-1 On-Site Hedge Baseline'!$B$1:$L$257,10,FALSE))))</f>
        <v/>
      </c>
      <c r="J186" s="382" t="str">
        <f>IF(B186="","",IF(ISNA(VLOOKUP($B186,'B-1 On-Site Hedge Baseline'!$B$1:$L$257,11,FALSE)),"",(VLOOKUP($B186,'B-1 On-Site Hedge Baseline'!$B$1:$L$257,11,FALSE))))</f>
        <v/>
      </c>
      <c r="K186" s="382" t="str">
        <f>IF(B186="","",IF(ISNA(VLOOKUP($B186,'B-1 On-Site Hedge Baseline'!$B$1:$U$257,13,FALSE)),"",(VLOOKUP($B186,'B-1 On-Site Hedge Baseline'!$B$1:$U$257,13,FALSE))))</f>
        <v/>
      </c>
      <c r="L186" s="386" t="str">
        <f>IF(B186="","",IF(ISNA(VLOOKUP($B186,'B-1 On-Site Hedge Baseline'!$B$1:$U$257,12,FALSE)),"",(VLOOKUP($B186,'B-1 On-Site Hedge Baseline'!$B$1:$U$257,12,FALSE))))</f>
        <v/>
      </c>
      <c r="M186" s="315" t="str">
        <f t="shared" si="23"/>
        <v/>
      </c>
      <c r="N186" s="362" t="str">
        <f>IFERROR(IF(B186="","",INDEX('G-6 Hedgerow Data'!$AN$3:$AZ$15,MATCH(C186,'G-6 Hedgerow Data'!$AM$3:$AM$15,0),MATCH(M186,'G-6 Hedgerow Data'!$AN$2:$AZ$2,0))),"")</f>
        <v/>
      </c>
      <c r="O186" s="363" t="str">
        <f t="shared" si="18"/>
        <v/>
      </c>
      <c r="P186" s="417" t="str">
        <f>IF(B186="","",VLOOKUP(B186,'B-1 On-Site Hedge Baseline'!$B$10:T431,16,FALSE))</f>
        <v/>
      </c>
      <c r="Q186" s="362" t="str">
        <f>IF(M186="","",VLOOKUP(M186,'G-6 Hedgerow Data'!$B$2:$AG$15,2,FALSE))</f>
        <v/>
      </c>
      <c r="R186" s="363" t="str">
        <f>IF(M186="","",VLOOKUP(M186,'G-6 Hedgerow Data'!$B$2:$AG$15,3,FALSE))</f>
        <v/>
      </c>
      <c r="S186" s="125"/>
      <c r="T186" s="401" t="str">
        <f>IFERROR(VLOOKUP(S186,'G-1 All Habitats'!$Z$2:$AA$9,2,FALSE),"")</f>
        <v/>
      </c>
      <c r="U186" s="122"/>
      <c r="V186" s="382" t="str">
        <f>IF(U186="","",IF(VLOOKUP(U186,'G-3 Multipliers'!$L$3:$N$6,2,FALSE)=0,"Spatial Data Missing ⚠",VLOOKUP(U186,'G-3 Multipliers'!$L$3:$N$6,2,FALSE)))</f>
        <v/>
      </c>
      <c r="W186" s="386" t="str">
        <f>IF(U186="","",IF(VLOOKUP(U186,'G-3 Multipliers'!$L$3:$N$6,3,FALSE)=0,"Spatial Data Missing ⚠",VLOOKUP(U186,'G-3 Multipliers'!$L$3:$N$6,3,FALSE)))</f>
        <v/>
      </c>
      <c r="X186" s="362" t="str">
        <f>IFERROR(IF(OR(LEFT(O186,5)="Error",LEFT(N186,5)="Error",T186="Error"),"Check Data ⚠",IF(F186&lt;R186,INDEX('G-6 Hedgerow Data'!$S$3:$AE$14,MATCH(C186,'G-6 Hedgerow Data'!$B$3:$B$14,0),MATCH(M186,'G-6 Hedgerow Data'!$S$2:$AE$2,0)),INDEX('G-6 Hedgerow Data'!$K$3:$Q$14,MATCH(M186,'G-6 Hedgerow Data'!$B$3:$B$14,0),MATCH(O186,'G-6 Hedgerow Data'!$K$2:$Q$2,0)))),"")</f>
        <v/>
      </c>
      <c r="Y186" s="159"/>
      <c r="Z186" s="159"/>
      <c r="AA186" s="370" t="str">
        <f t="shared" si="19"/>
        <v/>
      </c>
      <c r="AB186" s="383" t="str">
        <f t="shared" si="20"/>
        <v/>
      </c>
      <c r="AC186" s="384" t="str">
        <f t="shared" si="16"/>
        <v/>
      </c>
      <c r="AD186" s="398" t="str">
        <f>IF(M186="","",VLOOKUP(M186,'G-6 Hedgerow Data'!$B$3:$AG$15,31,FALSE))</f>
        <v/>
      </c>
      <c r="AE186" s="370" t="str">
        <f t="shared" si="21"/>
        <v/>
      </c>
      <c r="AF186" s="370" t="str">
        <f t="shared" si="22"/>
        <v/>
      </c>
      <c r="AG186" s="386" t="str">
        <f>IFERROR(IF(O186="","",VLOOKUP(AD186,'G-3 Multipliers'!$P$3:$Q$6,2,FALSE)),"")</f>
        <v/>
      </c>
      <c r="AH186" s="376" t="str">
        <f t="shared" si="17"/>
        <v/>
      </c>
      <c r="AI186" s="188"/>
      <c r="AJ186" s="118"/>
      <c r="AK186" s="120"/>
      <c r="AT186" s="30" t="str">
        <f>IFERROR(INDEX('G-6 Hedgerow Data'!$BJ$3:$BJ$15,MATCH(M186,'G-6 Hedgerow Data'!$B$3:$B$15,0)),"")</f>
        <v/>
      </c>
    </row>
    <row r="187" spans="2:46" ht="15">
      <c r="B187" s="392" t="str">
        <f>'B-1 On-Site Hedge Baseline'!AK185</f>
        <v/>
      </c>
      <c r="C187" s="382" t="str">
        <f>IF(B187="","",IF(ISNA(VLOOKUP($B187,'B-1 On-Site Hedge Baseline'!$B$1:$L$257,3,FALSE)),"",(VLOOKUP($B187,'B-1 On-Site Hedge Baseline'!$B$1:$L$257,3,FALSE))))</f>
        <v/>
      </c>
      <c r="D187" s="382" t="str">
        <f>IF(B187="","",IF(ISNA(VLOOKUP($B187,'B-1 On-Site Hedge Baseline'!$B$1:$L$257,4,FALSE)),"",(VLOOKUP($B187,'B-1 On-Site Hedge Baseline'!$B$1:$L$257,4,FALSE))))</f>
        <v/>
      </c>
      <c r="E187" s="382" t="str">
        <f>IF(B187="","",IF(ISNA(VLOOKUP($B187,'B-1 On-Site Hedge Baseline'!$B$1:$L$257,5,FALSE)),"",(VLOOKUP($B187,'B-1 On-Site Hedge Baseline'!$B$1:$L$257,5,FALSE))))</f>
        <v/>
      </c>
      <c r="F187" s="382" t="str">
        <f>IF(B187="","",IF(ISNA(VLOOKUP($B187,'B-1 On-Site Hedge Baseline'!$B$1:$L$257,6,FALSE)),"",(VLOOKUP($B187,'B-1 On-Site Hedge Baseline'!$B$1:$L$257,6,FALSE))))</f>
        <v/>
      </c>
      <c r="G187" s="382" t="str">
        <f>IF(B187="","",IF(ISNA(VLOOKUP($B187,'B-1 On-Site Hedge Baseline'!$B$1:$L$257,7,FALSE)),"",(VLOOKUP($B187,'B-1 On-Site Hedge Baseline'!$B$1:$L$257,7,FALSE))))</f>
        <v/>
      </c>
      <c r="H187" s="382" t="str">
        <f>IF(B187="","",IF(ISNA(VLOOKUP($B187,'B-1 On-Site Hedge Baseline'!$B$1:$L$257,8,FALSE)),"",(VLOOKUP($B187,'B-1 On-Site Hedge Baseline'!$B$1:$L$257,8,FALSE))))</f>
        <v/>
      </c>
      <c r="I187" s="382" t="str">
        <f>IF(B187="","",IF(ISNA(VLOOKUP($B187,'B-1 On-Site Hedge Baseline'!$B$1:$L$257,10,FALSE)),"",(VLOOKUP($B187,'B-1 On-Site Hedge Baseline'!$B$1:$L$257,10,FALSE))))</f>
        <v/>
      </c>
      <c r="J187" s="382" t="str">
        <f>IF(B187="","",IF(ISNA(VLOOKUP($B187,'B-1 On-Site Hedge Baseline'!$B$1:$L$257,11,FALSE)),"",(VLOOKUP($B187,'B-1 On-Site Hedge Baseline'!$B$1:$L$257,11,FALSE))))</f>
        <v/>
      </c>
      <c r="K187" s="382" t="str">
        <f>IF(B187="","",IF(ISNA(VLOOKUP($B187,'B-1 On-Site Hedge Baseline'!$B$1:$U$257,13,FALSE)),"",(VLOOKUP($B187,'B-1 On-Site Hedge Baseline'!$B$1:$U$257,13,FALSE))))</f>
        <v/>
      </c>
      <c r="L187" s="386" t="str">
        <f>IF(B187="","",IF(ISNA(VLOOKUP($B187,'B-1 On-Site Hedge Baseline'!$B$1:$U$257,12,FALSE)),"",(VLOOKUP($B187,'B-1 On-Site Hedge Baseline'!$B$1:$U$257,12,FALSE))))</f>
        <v/>
      </c>
      <c r="M187" s="315" t="str">
        <f t="shared" si="23"/>
        <v/>
      </c>
      <c r="N187" s="362" t="str">
        <f>IFERROR(IF(B187="","",INDEX('G-6 Hedgerow Data'!$AN$3:$AZ$15,MATCH(C187,'G-6 Hedgerow Data'!$AM$3:$AM$15,0),MATCH(M187,'G-6 Hedgerow Data'!$AN$2:$AZ$2,0))),"")</f>
        <v/>
      </c>
      <c r="O187" s="363" t="str">
        <f t="shared" si="18"/>
        <v/>
      </c>
      <c r="P187" s="417" t="str">
        <f>IF(B187="","",VLOOKUP(B187,'B-1 On-Site Hedge Baseline'!$B$10:T432,16,FALSE))</f>
        <v/>
      </c>
      <c r="Q187" s="362" t="str">
        <f>IF(M187="","",VLOOKUP(M187,'G-6 Hedgerow Data'!$B$2:$AG$15,2,FALSE))</f>
        <v/>
      </c>
      <c r="R187" s="363" t="str">
        <f>IF(M187="","",VLOOKUP(M187,'G-6 Hedgerow Data'!$B$2:$AG$15,3,FALSE))</f>
        <v/>
      </c>
      <c r="S187" s="125"/>
      <c r="T187" s="401" t="str">
        <f>IFERROR(VLOOKUP(S187,'G-1 All Habitats'!$Z$2:$AA$9,2,FALSE),"")</f>
        <v/>
      </c>
      <c r="U187" s="122"/>
      <c r="V187" s="382" t="str">
        <f>IF(U187="","",IF(VLOOKUP(U187,'G-3 Multipliers'!$L$3:$N$6,2,FALSE)=0,"Spatial Data Missing ⚠",VLOOKUP(U187,'G-3 Multipliers'!$L$3:$N$6,2,FALSE)))</f>
        <v/>
      </c>
      <c r="W187" s="386" t="str">
        <f>IF(U187="","",IF(VLOOKUP(U187,'G-3 Multipliers'!$L$3:$N$6,3,FALSE)=0,"Spatial Data Missing ⚠",VLOOKUP(U187,'G-3 Multipliers'!$L$3:$N$6,3,FALSE)))</f>
        <v/>
      </c>
      <c r="X187" s="362" t="str">
        <f>IFERROR(IF(OR(LEFT(O187,5)="Error",LEFT(N187,5)="Error",T187="Error"),"Check Data ⚠",IF(F187&lt;R187,INDEX('G-6 Hedgerow Data'!$S$3:$AE$14,MATCH(C187,'G-6 Hedgerow Data'!$B$3:$B$14,0),MATCH(M187,'G-6 Hedgerow Data'!$S$2:$AE$2,0)),INDEX('G-6 Hedgerow Data'!$K$3:$Q$14,MATCH(M187,'G-6 Hedgerow Data'!$B$3:$B$14,0),MATCH(O187,'G-6 Hedgerow Data'!$K$2:$Q$2,0)))),"")</f>
        <v/>
      </c>
      <c r="Y187" s="159"/>
      <c r="Z187" s="159"/>
      <c r="AA187" s="370" t="str">
        <f t="shared" si="19"/>
        <v/>
      </c>
      <c r="AB187" s="383" t="str">
        <f t="shared" si="20"/>
        <v/>
      </c>
      <c r="AC187" s="384" t="str">
        <f t="shared" si="16"/>
        <v/>
      </c>
      <c r="AD187" s="398" t="str">
        <f>IF(M187="","",VLOOKUP(M187,'G-6 Hedgerow Data'!$B$3:$AG$15,31,FALSE))</f>
        <v/>
      </c>
      <c r="AE187" s="370" t="str">
        <f t="shared" si="21"/>
        <v/>
      </c>
      <c r="AF187" s="370" t="str">
        <f t="shared" si="22"/>
        <v/>
      </c>
      <c r="AG187" s="386" t="str">
        <f>IFERROR(IF(O187="","",VLOOKUP(AD187,'G-3 Multipliers'!$P$3:$Q$6,2,FALSE)),"")</f>
        <v/>
      </c>
      <c r="AH187" s="376" t="str">
        <f t="shared" si="17"/>
        <v/>
      </c>
      <c r="AI187" s="188"/>
      <c r="AJ187" s="118"/>
      <c r="AK187" s="120"/>
      <c r="AT187" s="30" t="str">
        <f>IFERROR(INDEX('G-6 Hedgerow Data'!$BJ$3:$BJ$15,MATCH(M187,'G-6 Hedgerow Data'!$B$3:$B$15,0)),"")</f>
        <v/>
      </c>
    </row>
    <row r="188" spans="2:46" ht="15">
      <c r="B188" s="392" t="str">
        <f>'B-1 On-Site Hedge Baseline'!AK186</f>
        <v/>
      </c>
      <c r="C188" s="382" t="str">
        <f>IF(B188="","",IF(ISNA(VLOOKUP($B188,'B-1 On-Site Hedge Baseline'!$B$1:$L$257,3,FALSE)),"",(VLOOKUP($B188,'B-1 On-Site Hedge Baseline'!$B$1:$L$257,3,FALSE))))</f>
        <v/>
      </c>
      <c r="D188" s="382" t="str">
        <f>IF(B188="","",IF(ISNA(VLOOKUP($B188,'B-1 On-Site Hedge Baseline'!$B$1:$L$257,4,FALSE)),"",(VLOOKUP($B188,'B-1 On-Site Hedge Baseline'!$B$1:$L$257,4,FALSE))))</f>
        <v/>
      </c>
      <c r="E188" s="382" t="str">
        <f>IF(B188="","",IF(ISNA(VLOOKUP($B188,'B-1 On-Site Hedge Baseline'!$B$1:$L$257,5,FALSE)),"",(VLOOKUP($B188,'B-1 On-Site Hedge Baseline'!$B$1:$L$257,5,FALSE))))</f>
        <v/>
      </c>
      <c r="F188" s="382" t="str">
        <f>IF(B188="","",IF(ISNA(VLOOKUP($B188,'B-1 On-Site Hedge Baseline'!$B$1:$L$257,6,FALSE)),"",(VLOOKUP($B188,'B-1 On-Site Hedge Baseline'!$B$1:$L$257,6,FALSE))))</f>
        <v/>
      </c>
      <c r="G188" s="382" t="str">
        <f>IF(B188="","",IF(ISNA(VLOOKUP($B188,'B-1 On-Site Hedge Baseline'!$B$1:$L$257,7,FALSE)),"",(VLOOKUP($B188,'B-1 On-Site Hedge Baseline'!$B$1:$L$257,7,FALSE))))</f>
        <v/>
      </c>
      <c r="H188" s="382" t="str">
        <f>IF(B188="","",IF(ISNA(VLOOKUP($B188,'B-1 On-Site Hedge Baseline'!$B$1:$L$257,8,FALSE)),"",(VLOOKUP($B188,'B-1 On-Site Hedge Baseline'!$B$1:$L$257,8,FALSE))))</f>
        <v/>
      </c>
      <c r="I188" s="382" t="str">
        <f>IF(B188="","",IF(ISNA(VLOOKUP($B188,'B-1 On-Site Hedge Baseline'!$B$1:$L$257,10,FALSE)),"",(VLOOKUP($B188,'B-1 On-Site Hedge Baseline'!$B$1:$L$257,10,FALSE))))</f>
        <v/>
      </c>
      <c r="J188" s="382" t="str">
        <f>IF(B188="","",IF(ISNA(VLOOKUP($B188,'B-1 On-Site Hedge Baseline'!$B$1:$L$257,11,FALSE)),"",(VLOOKUP($B188,'B-1 On-Site Hedge Baseline'!$B$1:$L$257,11,FALSE))))</f>
        <v/>
      </c>
      <c r="K188" s="382" t="str">
        <f>IF(B188="","",IF(ISNA(VLOOKUP($B188,'B-1 On-Site Hedge Baseline'!$B$1:$U$257,13,FALSE)),"",(VLOOKUP($B188,'B-1 On-Site Hedge Baseline'!$B$1:$U$257,13,FALSE))))</f>
        <v/>
      </c>
      <c r="L188" s="386" t="str">
        <f>IF(B188="","",IF(ISNA(VLOOKUP($B188,'B-1 On-Site Hedge Baseline'!$B$1:$U$257,12,FALSE)),"",(VLOOKUP($B188,'B-1 On-Site Hedge Baseline'!$B$1:$U$257,12,FALSE))))</f>
        <v/>
      </c>
      <c r="M188" s="315" t="str">
        <f t="shared" si="23"/>
        <v/>
      </c>
      <c r="N188" s="362" t="str">
        <f>IFERROR(IF(B188="","",INDEX('G-6 Hedgerow Data'!$AN$3:$AZ$15,MATCH(C188,'G-6 Hedgerow Data'!$AM$3:$AM$15,0),MATCH(M188,'G-6 Hedgerow Data'!$AN$2:$AZ$2,0))),"")</f>
        <v/>
      </c>
      <c r="O188" s="363" t="str">
        <f t="shared" si="18"/>
        <v/>
      </c>
      <c r="P188" s="417" t="str">
        <f>IF(B188="","",VLOOKUP(B188,'B-1 On-Site Hedge Baseline'!$B$10:T433,16,FALSE))</f>
        <v/>
      </c>
      <c r="Q188" s="362" t="str">
        <f>IF(M188="","",VLOOKUP(M188,'G-6 Hedgerow Data'!$B$2:$AG$15,2,FALSE))</f>
        <v/>
      </c>
      <c r="R188" s="363" t="str">
        <f>IF(M188="","",VLOOKUP(M188,'G-6 Hedgerow Data'!$B$2:$AG$15,3,FALSE))</f>
        <v/>
      </c>
      <c r="S188" s="125"/>
      <c r="T188" s="401" t="str">
        <f>IFERROR(VLOOKUP(S188,'G-1 All Habitats'!$Z$2:$AA$9,2,FALSE),"")</f>
        <v/>
      </c>
      <c r="U188" s="122"/>
      <c r="V188" s="382" t="str">
        <f>IF(U188="","",IF(VLOOKUP(U188,'G-3 Multipliers'!$L$3:$N$6,2,FALSE)=0,"Spatial Data Missing ⚠",VLOOKUP(U188,'G-3 Multipliers'!$L$3:$N$6,2,FALSE)))</f>
        <v/>
      </c>
      <c r="W188" s="386" t="str">
        <f>IF(U188="","",IF(VLOOKUP(U188,'G-3 Multipliers'!$L$3:$N$6,3,FALSE)=0,"Spatial Data Missing ⚠",VLOOKUP(U188,'G-3 Multipliers'!$L$3:$N$6,3,FALSE)))</f>
        <v/>
      </c>
      <c r="X188" s="362" t="str">
        <f>IFERROR(IF(OR(LEFT(O188,5)="Error",LEFT(N188,5)="Error",T188="Error"),"Check Data ⚠",IF(F188&lt;R188,INDEX('G-6 Hedgerow Data'!$S$3:$AE$14,MATCH(C188,'G-6 Hedgerow Data'!$B$3:$B$14,0),MATCH(M188,'G-6 Hedgerow Data'!$S$2:$AE$2,0)),INDEX('G-6 Hedgerow Data'!$K$3:$Q$14,MATCH(M188,'G-6 Hedgerow Data'!$B$3:$B$14,0),MATCH(O188,'G-6 Hedgerow Data'!$K$2:$Q$2,0)))),"")</f>
        <v/>
      </c>
      <c r="Y188" s="159"/>
      <c r="Z188" s="159"/>
      <c r="AA188" s="370" t="str">
        <f t="shared" si="19"/>
        <v/>
      </c>
      <c r="AB188" s="383" t="str">
        <f t="shared" si="20"/>
        <v/>
      </c>
      <c r="AC188" s="384" t="str">
        <f t="shared" si="16"/>
        <v/>
      </c>
      <c r="AD188" s="398" t="str">
        <f>IF(M188="","",VLOOKUP(M188,'G-6 Hedgerow Data'!$B$3:$AG$15,31,FALSE))</f>
        <v/>
      </c>
      <c r="AE188" s="370" t="str">
        <f t="shared" si="21"/>
        <v/>
      </c>
      <c r="AF188" s="370" t="str">
        <f t="shared" si="22"/>
        <v/>
      </c>
      <c r="AG188" s="386" t="str">
        <f>IFERROR(IF(O188="","",VLOOKUP(AD188,'G-3 Multipliers'!$P$3:$Q$6,2,FALSE)),"")</f>
        <v/>
      </c>
      <c r="AH188" s="376" t="str">
        <f t="shared" si="17"/>
        <v/>
      </c>
      <c r="AI188" s="188"/>
      <c r="AJ188" s="118"/>
      <c r="AK188" s="120"/>
      <c r="AT188" s="30" t="str">
        <f>IFERROR(INDEX('G-6 Hedgerow Data'!$BJ$3:$BJ$15,MATCH(M188,'G-6 Hedgerow Data'!$B$3:$B$15,0)),"")</f>
        <v/>
      </c>
    </row>
    <row r="189" spans="2:46" ht="15">
      <c r="B189" s="392" t="str">
        <f>'B-1 On-Site Hedge Baseline'!AK187</f>
        <v/>
      </c>
      <c r="C189" s="382" t="str">
        <f>IF(B189="","",IF(ISNA(VLOOKUP($B189,'B-1 On-Site Hedge Baseline'!$B$1:$L$257,3,FALSE)),"",(VLOOKUP($B189,'B-1 On-Site Hedge Baseline'!$B$1:$L$257,3,FALSE))))</f>
        <v/>
      </c>
      <c r="D189" s="382" t="str">
        <f>IF(B189="","",IF(ISNA(VLOOKUP($B189,'B-1 On-Site Hedge Baseline'!$B$1:$L$257,4,FALSE)),"",(VLOOKUP($B189,'B-1 On-Site Hedge Baseline'!$B$1:$L$257,4,FALSE))))</f>
        <v/>
      </c>
      <c r="E189" s="382" t="str">
        <f>IF(B189="","",IF(ISNA(VLOOKUP($B189,'B-1 On-Site Hedge Baseline'!$B$1:$L$257,5,FALSE)),"",(VLOOKUP($B189,'B-1 On-Site Hedge Baseline'!$B$1:$L$257,5,FALSE))))</f>
        <v/>
      </c>
      <c r="F189" s="382" t="str">
        <f>IF(B189="","",IF(ISNA(VLOOKUP($B189,'B-1 On-Site Hedge Baseline'!$B$1:$L$257,6,FALSE)),"",(VLOOKUP($B189,'B-1 On-Site Hedge Baseline'!$B$1:$L$257,6,FALSE))))</f>
        <v/>
      </c>
      <c r="G189" s="382" t="str">
        <f>IF(B189="","",IF(ISNA(VLOOKUP($B189,'B-1 On-Site Hedge Baseline'!$B$1:$L$257,7,FALSE)),"",(VLOOKUP($B189,'B-1 On-Site Hedge Baseline'!$B$1:$L$257,7,FALSE))))</f>
        <v/>
      </c>
      <c r="H189" s="382" t="str">
        <f>IF(B189="","",IF(ISNA(VLOOKUP($B189,'B-1 On-Site Hedge Baseline'!$B$1:$L$257,8,FALSE)),"",(VLOOKUP($B189,'B-1 On-Site Hedge Baseline'!$B$1:$L$257,8,FALSE))))</f>
        <v/>
      </c>
      <c r="I189" s="382" t="str">
        <f>IF(B189="","",IF(ISNA(VLOOKUP($B189,'B-1 On-Site Hedge Baseline'!$B$1:$L$257,10,FALSE)),"",(VLOOKUP($B189,'B-1 On-Site Hedge Baseline'!$B$1:$L$257,10,FALSE))))</f>
        <v/>
      </c>
      <c r="J189" s="382" t="str">
        <f>IF(B189="","",IF(ISNA(VLOOKUP($B189,'B-1 On-Site Hedge Baseline'!$B$1:$L$257,11,FALSE)),"",(VLOOKUP($B189,'B-1 On-Site Hedge Baseline'!$B$1:$L$257,11,FALSE))))</f>
        <v/>
      </c>
      <c r="K189" s="382" t="str">
        <f>IF(B189="","",IF(ISNA(VLOOKUP($B189,'B-1 On-Site Hedge Baseline'!$B$1:$U$257,13,FALSE)),"",(VLOOKUP($B189,'B-1 On-Site Hedge Baseline'!$B$1:$U$257,13,FALSE))))</f>
        <v/>
      </c>
      <c r="L189" s="386" t="str">
        <f>IF(B189="","",IF(ISNA(VLOOKUP($B189,'B-1 On-Site Hedge Baseline'!$B$1:$U$257,12,FALSE)),"",(VLOOKUP($B189,'B-1 On-Site Hedge Baseline'!$B$1:$U$257,12,FALSE))))</f>
        <v/>
      </c>
      <c r="M189" s="315" t="str">
        <f t="shared" si="23"/>
        <v/>
      </c>
      <c r="N189" s="362" t="str">
        <f>IFERROR(IF(B189="","",INDEX('G-6 Hedgerow Data'!$AN$3:$AZ$15,MATCH(C189,'G-6 Hedgerow Data'!$AM$3:$AM$15,0),MATCH(M189,'G-6 Hedgerow Data'!$AN$2:$AZ$2,0))),"")</f>
        <v/>
      </c>
      <c r="O189" s="363" t="str">
        <f t="shared" si="18"/>
        <v/>
      </c>
      <c r="P189" s="417" t="str">
        <f>IF(B189="","",VLOOKUP(B189,'B-1 On-Site Hedge Baseline'!$B$10:T434,16,FALSE))</f>
        <v/>
      </c>
      <c r="Q189" s="362" t="str">
        <f>IF(M189="","",VLOOKUP(M189,'G-6 Hedgerow Data'!$B$2:$AG$15,2,FALSE))</f>
        <v/>
      </c>
      <c r="R189" s="363" t="str">
        <f>IF(M189="","",VLOOKUP(M189,'G-6 Hedgerow Data'!$B$2:$AG$15,3,FALSE))</f>
        <v/>
      </c>
      <c r="S189" s="125"/>
      <c r="T189" s="401" t="str">
        <f>IFERROR(VLOOKUP(S189,'G-1 All Habitats'!$Z$2:$AA$9,2,FALSE),"")</f>
        <v/>
      </c>
      <c r="U189" s="122"/>
      <c r="V189" s="382" t="str">
        <f>IF(U189="","",IF(VLOOKUP(U189,'G-3 Multipliers'!$L$3:$N$6,2,FALSE)=0,"Spatial Data Missing ⚠",VLOOKUP(U189,'G-3 Multipliers'!$L$3:$N$6,2,FALSE)))</f>
        <v/>
      </c>
      <c r="W189" s="386" t="str">
        <f>IF(U189="","",IF(VLOOKUP(U189,'G-3 Multipliers'!$L$3:$N$6,3,FALSE)=0,"Spatial Data Missing ⚠",VLOOKUP(U189,'G-3 Multipliers'!$L$3:$N$6,3,FALSE)))</f>
        <v/>
      </c>
      <c r="X189" s="362" t="str">
        <f>IFERROR(IF(OR(LEFT(O189,5)="Error",LEFT(N189,5)="Error",T189="Error"),"Check Data ⚠",IF(F189&lt;R189,INDEX('G-6 Hedgerow Data'!$S$3:$AE$14,MATCH(C189,'G-6 Hedgerow Data'!$B$3:$B$14,0),MATCH(M189,'G-6 Hedgerow Data'!$S$2:$AE$2,0)),INDEX('G-6 Hedgerow Data'!$K$3:$Q$14,MATCH(M189,'G-6 Hedgerow Data'!$B$3:$B$14,0),MATCH(O189,'G-6 Hedgerow Data'!$K$2:$Q$2,0)))),"")</f>
        <v/>
      </c>
      <c r="Y189" s="159"/>
      <c r="Z189" s="159"/>
      <c r="AA189" s="370" t="str">
        <f t="shared" si="19"/>
        <v/>
      </c>
      <c r="AB189" s="383" t="str">
        <f t="shared" si="20"/>
        <v/>
      </c>
      <c r="AC189" s="384" t="str">
        <f t="shared" si="16"/>
        <v/>
      </c>
      <c r="AD189" s="398" t="str">
        <f>IF(M189="","",VLOOKUP(M189,'G-6 Hedgerow Data'!$B$3:$AG$15,31,FALSE))</f>
        <v/>
      </c>
      <c r="AE189" s="370" t="str">
        <f t="shared" si="21"/>
        <v/>
      </c>
      <c r="AF189" s="370" t="str">
        <f t="shared" si="22"/>
        <v/>
      </c>
      <c r="AG189" s="386" t="str">
        <f>IFERROR(IF(O189="","",VLOOKUP(AD189,'G-3 Multipliers'!$P$3:$Q$6,2,FALSE)),"")</f>
        <v/>
      </c>
      <c r="AH189" s="376" t="str">
        <f t="shared" si="17"/>
        <v/>
      </c>
      <c r="AI189" s="188"/>
      <c r="AJ189" s="118"/>
      <c r="AK189" s="120"/>
      <c r="AT189" s="30" t="str">
        <f>IFERROR(INDEX('G-6 Hedgerow Data'!$BJ$3:$BJ$15,MATCH(M189,'G-6 Hedgerow Data'!$B$3:$B$15,0)),"")</f>
        <v/>
      </c>
    </row>
    <row r="190" spans="2:46" ht="15">
      <c r="B190" s="392" t="str">
        <f>'B-1 On-Site Hedge Baseline'!AK188</f>
        <v/>
      </c>
      <c r="C190" s="382" t="str">
        <f>IF(B190="","",IF(ISNA(VLOOKUP($B190,'B-1 On-Site Hedge Baseline'!$B$1:$L$257,3,FALSE)),"",(VLOOKUP($B190,'B-1 On-Site Hedge Baseline'!$B$1:$L$257,3,FALSE))))</f>
        <v/>
      </c>
      <c r="D190" s="382" t="str">
        <f>IF(B190="","",IF(ISNA(VLOOKUP($B190,'B-1 On-Site Hedge Baseline'!$B$1:$L$257,4,FALSE)),"",(VLOOKUP($B190,'B-1 On-Site Hedge Baseline'!$B$1:$L$257,4,FALSE))))</f>
        <v/>
      </c>
      <c r="E190" s="382" t="str">
        <f>IF(B190="","",IF(ISNA(VLOOKUP($B190,'B-1 On-Site Hedge Baseline'!$B$1:$L$257,5,FALSE)),"",(VLOOKUP($B190,'B-1 On-Site Hedge Baseline'!$B$1:$L$257,5,FALSE))))</f>
        <v/>
      </c>
      <c r="F190" s="382" t="str">
        <f>IF(B190="","",IF(ISNA(VLOOKUP($B190,'B-1 On-Site Hedge Baseline'!$B$1:$L$257,6,FALSE)),"",(VLOOKUP($B190,'B-1 On-Site Hedge Baseline'!$B$1:$L$257,6,FALSE))))</f>
        <v/>
      </c>
      <c r="G190" s="382" t="str">
        <f>IF(B190="","",IF(ISNA(VLOOKUP($B190,'B-1 On-Site Hedge Baseline'!$B$1:$L$257,7,FALSE)),"",(VLOOKUP($B190,'B-1 On-Site Hedge Baseline'!$B$1:$L$257,7,FALSE))))</f>
        <v/>
      </c>
      <c r="H190" s="382" t="str">
        <f>IF(B190="","",IF(ISNA(VLOOKUP($B190,'B-1 On-Site Hedge Baseline'!$B$1:$L$257,8,FALSE)),"",(VLOOKUP($B190,'B-1 On-Site Hedge Baseline'!$B$1:$L$257,8,FALSE))))</f>
        <v/>
      </c>
      <c r="I190" s="382" t="str">
        <f>IF(B190="","",IF(ISNA(VLOOKUP($B190,'B-1 On-Site Hedge Baseline'!$B$1:$L$257,10,FALSE)),"",(VLOOKUP($B190,'B-1 On-Site Hedge Baseline'!$B$1:$L$257,10,FALSE))))</f>
        <v/>
      </c>
      <c r="J190" s="382" t="str">
        <f>IF(B190="","",IF(ISNA(VLOOKUP($B190,'B-1 On-Site Hedge Baseline'!$B$1:$L$257,11,FALSE)),"",(VLOOKUP($B190,'B-1 On-Site Hedge Baseline'!$B$1:$L$257,11,FALSE))))</f>
        <v/>
      </c>
      <c r="K190" s="382" t="str">
        <f>IF(B190="","",IF(ISNA(VLOOKUP($B190,'B-1 On-Site Hedge Baseline'!$B$1:$U$257,13,FALSE)),"",(VLOOKUP($B190,'B-1 On-Site Hedge Baseline'!$B$1:$U$257,13,FALSE))))</f>
        <v/>
      </c>
      <c r="L190" s="386" t="str">
        <f>IF(B190="","",IF(ISNA(VLOOKUP($B190,'B-1 On-Site Hedge Baseline'!$B$1:$U$257,12,FALSE)),"",(VLOOKUP($B190,'B-1 On-Site Hedge Baseline'!$B$1:$U$257,12,FALSE))))</f>
        <v/>
      </c>
      <c r="M190" s="315" t="str">
        <f t="shared" si="23"/>
        <v/>
      </c>
      <c r="N190" s="362" t="str">
        <f>IFERROR(IF(B190="","",INDEX('G-6 Hedgerow Data'!$AN$3:$AZ$15,MATCH(C190,'G-6 Hedgerow Data'!$AM$3:$AM$15,0),MATCH(M190,'G-6 Hedgerow Data'!$AN$2:$AZ$2,0))),"")</f>
        <v/>
      </c>
      <c r="O190" s="363" t="str">
        <f t="shared" si="18"/>
        <v/>
      </c>
      <c r="P190" s="417" t="str">
        <f>IF(B190="","",VLOOKUP(B190,'B-1 On-Site Hedge Baseline'!$B$10:T435,16,FALSE))</f>
        <v/>
      </c>
      <c r="Q190" s="362" t="str">
        <f>IF(M190="","",VLOOKUP(M190,'G-6 Hedgerow Data'!$B$2:$AG$15,2,FALSE))</f>
        <v/>
      </c>
      <c r="R190" s="363" t="str">
        <f>IF(M190="","",VLOOKUP(M190,'G-6 Hedgerow Data'!$B$2:$AG$15,3,FALSE))</f>
        <v/>
      </c>
      <c r="S190" s="125"/>
      <c r="T190" s="401" t="str">
        <f>IFERROR(VLOOKUP(S190,'G-1 All Habitats'!$Z$2:$AA$9,2,FALSE),"")</f>
        <v/>
      </c>
      <c r="U190" s="122"/>
      <c r="V190" s="382" t="str">
        <f>IF(U190="","",IF(VLOOKUP(U190,'G-3 Multipliers'!$L$3:$N$6,2,FALSE)=0,"Spatial Data Missing ⚠",VLOOKUP(U190,'G-3 Multipliers'!$L$3:$N$6,2,FALSE)))</f>
        <v/>
      </c>
      <c r="W190" s="386" t="str">
        <f>IF(U190="","",IF(VLOOKUP(U190,'G-3 Multipliers'!$L$3:$N$6,3,FALSE)=0,"Spatial Data Missing ⚠",VLOOKUP(U190,'G-3 Multipliers'!$L$3:$N$6,3,FALSE)))</f>
        <v/>
      </c>
      <c r="X190" s="362" t="str">
        <f>IFERROR(IF(OR(LEFT(O190,5)="Error",LEFT(N190,5)="Error",T190="Error"),"Check Data ⚠",IF(F190&lt;R190,INDEX('G-6 Hedgerow Data'!$S$3:$AE$14,MATCH(C190,'G-6 Hedgerow Data'!$B$3:$B$14,0),MATCH(M190,'G-6 Hedgerow Data'!$S$2:$AE$2,0)),INDEX('G-6 Hedgerow Data'!$K$3:$Q$14,MATCH(M190,'G-6 Hedgerow Data'!$B$3:$B$14,0),MATCH(O190,'G-6 Hedgerow Data'!$K$2:$Q$2,0)))),"")</f>
        <v/>
      </c>
      <c r="Y190" s="159"/>
      <c r="Z190" s="159"/>
      <c r="AA190" s="370" t="str">
        <f t="shared" si="19"/>
        <v/>
      </c>
      <c r="AB190" s="383" t="str">
        <f t="shared" si="20"/>
        <v/>
      </c>
      <c r="AC190" s="384" t="str">
        <f t="shared" si="16"/>
        <v/>
      </c>
      <c r="AD190" s="398" t="str">
        <f>IF(M190="","",VLOOKUP(M190,'G-6 Hedgerow Data'!$B$3:$AG$15,31,FALSE))</f>
        <v/>
      </c>
      <c r="AE190" s="370" t="str">
        <f t="shared" si="21"/>
        <v/>
      </c>
      <c r="AF190" s="370" t="str">
        <f t="shared" si="22"/>
        <v/>
      </c>
      <c r="AG190" s="386" t="str">
        <f>IFERROR(IF(O190="","",VLOOKUP(AD190,'G-3 Multipliers'!$P$3:$Q$6,2,FALSE)),"")</f>
        <v/>
      </c>
      <c r="AH190" s="376" t="str">
        <f t="shared" si="17"/>
        <v/>
      </c>
      <c r="AI190" s="188"/>
      <c r="AJ190" s="118"/>
      <c r="AK190" s="120"/>
      <c r="AT190" s="30" t="str">
        <f>IFERROR(INDEX('G-6 Hedgerow Data'!$BJ$3:$BJ$15,MATCH(M190,'G-6 Hedgerow Data'!$B$3:$B$15,0)),"")</f>
        <v/>
      </c>
    </row>
    <row r="191" spans="2:46" ht="15">
      <c r="B191" s="392" t="str">
        <f>'B-1 On-Site Hedge Baseline'!AK189</f>
        <v/>
      </c>
      <c r="C191" s="382" t="str">
        <f>IF(B191="","",IF(ISNA(VLOOKUP($B191,'B-1 On-Site Hedge Baseline'!$B$1:$L$257,3,FALSE)),"",(VLOOKUP($B191,'B-1 On-Site Hedge Baseline'!$B$1:$L$257,3,FALSE))))</f>
        <v/>
      </c>
      <c r="D191" s="382" t="str">
        <f>IF(B191="","",IF(ISNA(VLOOKUP($B191,'B-1 On-Site Hedge Baseline'!$B$1:$L$257,4,FALSE)),"",(VLOOKUP($B191,'B-1 On-Site Hedge Baseline'!$B$1:$L$257,4,FALSE))))</f>
        <v/>
      </c>
      <c r="E191" s="382" t="str">
        <f>IF(B191="","",IF(ISNA(VLOOKUP($B191,'B-1 On-Site Hedge Baseline'!$B$1:$L$257,5,FALSE)),"",(VLOOKUP($B191,'B-1 On-Site Hedge Baseline'!$B$1:$L$257,5,FALSE))))</f>
        <v/>
      </c>
      <c r="F191" s="382" t="str">
        <f>IF(B191="","",IF(ISNA(VLOOKUP($B191,'B-1 On-Site Hedge Baseline'!$B$1:$L$257,6,FALSE)),"",(VLOOKUP($B191,'B-1 On-Site Hedge Baseline'!$B$1:$L$257,6,FALSE))))</f>
        <v/>
      </c>
      <c r="G191" s="382" t="str">
        <f>IF(B191="","",IF(ISNA(VLOOKUP($B191,'B-1 On-Site Hedge Baseline'!$B$1:$L$257,7,FALSE)),"",(VLOOKUP($B191,'B-1 On-Site Hedge Baseline'!$B$1:$L$257,7,FALSE))))</f>
        <v/>
      </c>
      <c r="H191" s="382" t="str">
        <f>IF(B191="","",IF(ISNA(VLOOKUP($B191,'B-1 On-Site Hedge Baseline'!$B$1:$L$257,8,FALSE)),"",(VLOOKUP($B191,'B-1 On-Site Hedge Baseline'!$B$1:$L$257,8,FALSE))))</f>
        <v/>
      </c>
      <c r="I191" s="382" t="str">
        <f>IF(B191="","",IF(ISNA(VLOOKUP($B191,'B-1 On-Site Hedge Baseline'!$B$1:$L$257,10,FALSE)),"",(VLOOKUP($B191,'B-1 On-Site Hedge Baseline'!$B$1:$L$257,10,FALSE))))</f>
        <v/>
      </c>
      <c r="J191" s="382" t="str">
        <f>IF(B191="","",IF(ISNA(VLOOKUP($B191,'B-1 On-Site Hedge Baseline'!$B$1:$L$257,11,FALSE)),"",(VLOOKUP($B191,'B-1 On-Site Hedge Baseline'!$B$1:$L$257,11,FALSE))))</f>
        <v/>
      </c>
      <c r="K191" s="382" t="str">
        <f>IF(B191="","",IF(ISNA(VLOOKUP($B191,'B-1 On-Site Hedge Baseline'!$B$1:$U$257,13,FALSE)),"",(VLOOKUP($B191,'B-1 On-Site Hedge Baseline'!$B$1:$U$257,13,FALSE))))</f>
        <v/>
      </c>
      <c r="L191" s="386" t="str">
        <f>IF(B191="","",IF(ISNA(VLOOKUP($B191,'B-1 On-Site Hedge Baseline'!$B$1:$U$257,12,FALSE)),"",(VLOOKUP($B191,'B-1 On-Site Hedge Baseline'!$B$1:$U$257,12,FALSE))))</f>
        <v/>
      </c>
      <c r="M191" s="315" t="str">
        <f t="shared" si="23"/>
        <v/>
      </c>
      <c r="N191" s="362" t="str">
        <f>IFERROR(IF(B191="","",INDEX('G-6 Hedgerow Data'!$AN$3:$AZ$15,MATCH(C191,'G-6 Hedgerow Data'!$AM$3:$AM$15,0),MATCH(M191,'G-6 Hedgerow Data'!$AN$2:$AZ$2,0))),"")</f>
        <v/>
      </c>
      <c r="O191" s="363" t="str">
        <f t="shared" si="18"/>
        <v/>
      </c>
      <c r="P191" s="417" t="str">
        <f>IF(B191="","",VLOOKUP(B191,'B-1 On-Site Hedge Baseline'!$B$10:T436,16,FALSE))</f>
        <v/>
      </c>
      <c r="Q191" s="362" t="str">
        <f>IF(M191="","",VLOOKUP(M191,'G-6 Hedgerow Data'!$B$2:$AG$15,2,FALSE))</f>
        <v/>
      </c>
      <c r="R191" s="363" t="str">
        <f>IF(M191="","",VLOOKUP(M191,'G-6 Hedgerow Data'!$B$2:$AG$15,3,FALSE))</f>
        <v/>
      </c>
      <c r="S191" s="125"/>
      <c r="T191" s="401" t="str">
        <f>IFERROR(VLOOKUP(S191,'G-1 All Habitats'!$Z$2:$AA$9,2,FALSE),"")</f>
        <v/>
      </c>
      <c r="U191" s="122"/>
      <c r="V191" s="382" t="str">
        <f>IF(U191="","",IF(VLOOKUP(U191,'G-3 Multipliers'!$L$3:$N$6,2,FALSE)=0,"Spatial Data Missing ⚠",VLOOKUP(U191,'G-3 Multipliers'!$L$3:$N$6,2,FALSE)))</f>
        <v/>
      </c>
      <c r="W191" s="386" t="str">
        <f>IF(U191="","",IF(VLOOKUP(U191,'G-3 Multipliers'!$L$3:$N$6,3,FALSE)=0,"Spatial Data Missing ⚠",VLOOKUP(U191,'G-3 Multipliers'!$L$3:$N$6,3,FALSE)))</f>
        <v/>
      </c>
      <c r="X191" s="362" t="str">
        <f>IFERROR(IF(OR(LEFT(O191,5)="Error",LEFT(N191,5)="Error",T191="Error"),"Check Data ⚠",IF(F191&lt;R191,INDEX('G-6 Hedgerow Data'!$S$3:$AE$14,MATCH(C191,'G-6 Hedgerow Data'!$B$3:$B$14,0),MATCH(M191,'G-6 Hedgerow Data'!$S$2:$AE$2,0)),INDEX('G-6 Hedgerow Data'!$K$3:$Q$14,MATCH(M191,'G-6 Hedgerow Data'!$B$3:$B$14,0),MATCH(O191,'G-6 Hedgerow Data'!$K$2:$Q$2,0)))),"")</f>
        <v/>
      </c>
      <c r="Y191" s="159"/>
      <c r="Z191" s="159"/>
      <c r="AA191" s="370" t="str">
        <f t="shared" si="19"/>
        <v/>
      </c>
      <c r="AB191" s="383" t="str">
        <f t="shared" si="20"/>
        <v/>
      </c>
      <c r="AC191" s="384" t="str">
        <f t="shared" si="16"/>
        <v/>
      </c>
      <c r="AD191" s="398" t="str">
        <f>IF(M191="","",VLOOKUP(M191,'G-6 Hedgerow Data'!$B$3:$AG$15,31,FALSE))</f>
        <v/>
      </c>
      <c r="AE191" s="370" t="str">
        <f t="shared" si="21"/>
        <v/>
      </c>
      <c r="AF191" s="370" t="str">
        <f t="shared" si="22"/>
        <v/>
      </c>
      <c r="AG191" s="386" t="str">
        <f>IFERROR(IF(O191="","",VLOOKUP(AD191,'G-3 Multipliers'!$P$3:$Q$6,2,FALSE)),"")</f>
        <v/>
      </c>
      <c r="AH191" s="376" t="str">
        <f t="shared" si="17"/>
        <v/>
      </c>
      <c r="AI191" s="188"/>
      <c r="AJ191" s="118"/>
      <c r="AK191" s="120"/>
      <c r="AT191" s="30" t="str">
        <f>IFERROR(INDEX('G-6 Hedgerow Data'!$BJ$3:$BJ$15,MATCH(M191,'G-6 Hedgerow Data'!$B$3:$B$15,0)),"")</f>
        <v/>
      </c>
    </row>
    <row r="192" spans="2:46" ht="15">
      <c r="B192" s="392" t="str">
        <f>'B-1 On-Site Hedge Baseline'!AK190</f>
        <v/>
      </c>
      <c r="C192" s="382" t="str">
        <f>IF(B192="","",IF(ISNA(VLOOKUP($B192,'B-1 On-Site Hedge Baseline'!$B$1:$L$257,3,FALSE)),"",(VLOOKUP($B192,'B-1 On-Site Hedge Baseline'!$B$1:$L$257,3,FALSE))))</f>
        <v/>
      </c>
      <c r="D192" s="382" t="str">
        <f>IF(B192="","",IF(ISNA(VLOOKUP($B192,'B-1 On-Site Hedge Baseline'!$B$1:$L$257,4,FALSE)),"",(VLOOKUP($B192,'B-1 On-Site Hedge Baseline'!$B$1:$L$257,4,FALSE))))</f>
        <v/>
      </c>
      <c r="E192" s="382" t="str">
        <f>IF(B192="","",IF(ISNA(VLOOKUP($B192,'B-1 On-Site Hedge Baseline'!$B$1:$L$257,5,FALSE)),"",(VLOOKUP($B192,'B-1 On-Site Hedge Baseline'!$B$1:$L$257,5,FALSE))))</f>
        <v/>
      </c>
      <c r="F192" s="382" t="str">
        <f>IF(B192="","",IF(ISNA(VLOOKUP($B192,'B-1 On-Site Hedge Baseline'!$B$1:$L$257,6,FALSE)),"",(VLOOKUP($B192,'B-1 On-Site Hedge Baseline'!$B$1:$L$257,6,FALSE))))</f>
        <v/>
      </c>
      <c r="G192" s="382" t="str">
        <f>IF(B192="","",IF(ISNA(VLOOKUP($B192,'B-1 On-Site Hedge Baseline'!$B$1:$L$257,7,FALSE)),"",(VLOOKUP($B192,'B-1 On-Site Hedge Baseline'!$B$1:$L$257,7,FALSE))))</f>
        <v/>
      </c>
      <c r="H192" s="382" t="str">
        <f>IF(B192="","",IF(ISNA(VLOOKUP($B192,'B-1 On-Site Hedge Baseline'!$B$1:$L$257,8,FALSE)),"",(VLOOKUP($B192,'B-1 On-Site Hedge Baseline'!$B$1:$L$257,8,FALSE))))</f>
        <v/>
      </c>
      <c r="I192" s="382" t="str">
        <f>IF(B192="","",IF(ISNA(VLOOKUP($B192,'B-1 On-Site Hedge Baseline'!$B$1:$L$257,10,FALSE)),"",(VLOOKUP($B192,'B-1 On-Site Hedge Baseline'!$B$1:$L$257,10,FALSE))))</f>
        <v/>
      </c>
      <c r="J192" s="382" t="str">
        <f>IF(B192="","",IF(ISNA(VLOOKUP($B192,'B-1 On-Site Hedge Baseline'!$B$1:$L$257,11,FALSE)),"",(VLOOKUP($B192,'B-1 On-Site Hedge Baseline'!$B$1:$L$257,11,FALSE))))</f>
        <v/>
      </c>
      <c r="K192" s="382" t="str">
        <f>IF(B192="","",IF(ISNA(VLOOKUP($B192,'B-1 On-Site Hedge Baseline'!$B$1:$U$257,13,FALSE)),"",(VLOOKUP($B192,'B-1 On-Site Hedge Baseline'!$B$1:$U$257,13,FALSE))))</f>
        <v/>
      </c>
      <c r="L192" s="386" t="str">
        <f>IF(B192="","",IF(ISNA(VLOOKUP($B192,'B-1 On-Site Hedge Baseline'!$B$1:$U$257,12,FALSE)),"",(VLOOKUP($B192,'B-1 On-Site Hedge Baseline'!$B$1:$U$257,12,FALSE))))</f>
        <v/>
      </c>
      <c r="M192" s="315" t="str">
        <f t="shared" si="23"/>
        <v/>
      </c>
      <c r="N192" s="362" t="str">
        <f>IFERROR(IF(B192="","",INDEX('G-6 Hedgerow Data'!$AN$3:$AZ$15,MATCH(C192,'G-6 Hedgerow Data'!$AM$3:$AM$15,0),MATCH(M192,'G-6 Hedgerow Data'!$AN$2:$AZ$2,0))),"")</f>
        <v/>
      </c>
      <c r="O192" s="363" t="str">
        <f t="shared" si="18"/>
        <v/>
      </c>
      <c r="P192" s="417" t="str">
        <f>IF(B192="","",VLOOKUP(B192,'B-1 On-Site Hedge Baseline'!$B$10:T437,16,FALSE))</f>
        <v/>
      </c>
      <c r="Q192" s="362" t="str">
        <f>IF(M192="","",VLOOKUP(M192,'G-6 Hedgerow Data'!$B$2:$AG$15,2,FALSE))</f>
        <v/>
      </c>
      <c r="R192" s="363" t="str">
        <f>IF(M192="","",VLOOKUP(M192,'G-6 Hedgerow Data'!$B$2:$AG$15,3,FALSE))</f>
        <v/>
      </c>
      <c r="S192" s="125"/>
      <c r="T192" s="401" t="str">
        <f>IFERROR(VLOOKUP(S192,'G-1 All Habitats'!$Z$2:$AA$9,2,FALSE),"")</f>
        <v/>
      </c>
      <c r="U192" s="122"/>
      <c r="V192" s="382" t="str">
        <f>IF(U192="","",IF(VLOOKUP(U192,'G-3 Multipliers'!$L$3:$N$6,2,FALSE)=0,"Spatial Data Missing ⚠",VLOOKUP(U192,'G-3 Multipliers'!$L$3:$N$6,2,FALSE)))</f>
        <v/>
      </c>
      <c r="W192" s="386" t="str">
        <f>IF(U192="","",IF(VLOOKUP(U192,'G-3 Multipliers'!$L$3:$N$6,3,FALSE)=0,"Spatial Data Missing ⚠",VLOOKUP(U192,'G-3 Multipliers'!$L$3:$N$6,3,FALSE)))</f>
        <v/>
      </c>
      <c r="X192" s="362" t="str">
        <f>IFERROR(IF(OR(LEFT(O192,5)="Error",LEFT(N192,5)="Error",T192="Error"),"Check Data ⚠",IF(F192&lt;R192,INDEX('G-6 Hedgerow Data'!$S$3:$AE$14,MATCH(C192,'G-6 Hedgerow Data'!$B$3:$B$14,0),MATCH(M192,'G-6 Hedgerow Data'!$S$2:$AE$2,0)),INDEX('G-6 Hedgerow Data'!$K$3:$Q$14,MATCH(M192,'G-6 Hedgerow Data'!$B$3:$B$14,0),MATCH(O192,'G-6 Hedgerow Data'!$K$2:$Q$2,0)))),"")</f>
        <v/>
      </c>
      <c r="Y192" s="159"/>
      <c r="Z192" s="159"/>
      <c r="AA192" s="370" t="str">
        <f t="shared" si="19"/>
        <v/>
      </c>
      <c r="AB192" s="383" t="str">
        <f t="shared" si="20"/>
        <v/>
      </c>
      <c r="AC192" s="384" t="str">
        <f t="shared" si="16"/>
        <v/>
      </c>
      <c r="AD192" s="398" t="str">
        <f>IF(M192="","",VLOOKUP(M192,'G-6 Hedgerow Data'!$B$3:$AG$15,31,FALSE))</f>
        <v/>
      </c>
      <c r="AE192" s="370" t="str">
        <f t="shared" si="21"/>
        <v/>
      </c>
      <c r="AF192" s="370" t="str">
        <f t="shared" si="22"/>
        <v/>
      </c>
      <c r="AG192" s="386" t="str">
        <f>IFERROR(IF(O192="","",VLOOKUP(AD192,'G-3 Multipliers'!$P$3:$Q$6,2,FALSE)),"")</f>
        <v/>
      </c>
      <c r="AH192" s="376" t="str">
        <f t="shared" si="17"/>
        <v/>
      </c>
      <c r="AI192" s="188"/>
      <c r="AJ192" s="118"/>
      <c r="AK192" s="120"/>
      <c r="AT192" s="30" t="str">
        <f>IFERROR(INDEX('G-6 Hedgerow Data'!$BJ$3:$BJ$15,MATCH(M192,'G-6 Hedgerow Data'!$B$3:$B$15,0)),"")</f>
        <v/>
      </c>
    </row>
    <row r="193" spans="2:46" ht="15">
      <c r="B193" s="392" t="str">
        <f>'B-1 On-Site Hedge Baseline'!AK191</f>
        <v/>
      </c>
      <c r="C193" s="382" t="str">
        <f>IF(B193="","",IF(ISNA(VLOOKUP($B193,'B-1 On-Site Hedge Baseline'!$B$1:$L$257,3,FALSE)),"",(VLOOKUP($B193,'B-1 On-Site Hedge Baseline'!$B$1:$L$257,3,FALSE))))</f>
        <v/>
      </c>
      <c r="D193" s="382" t="str">
        <f>IF(B193="","",IF(ISNA(VLOOKUP($B193,'B-1 On-Site Hedge Baseline'!$B$1:$L$257,4,FALSE)),"",(VLOOKUP($B193,'B-1 On-Site Hedge Baseline'!$B$1:$L$257,4,FALSE))))</f>
        <v/>
      </c>
      <c r="E193" s="382" t="str">
        <f>IF(B193="","",IF(ISNA(VLOOKUP($B193,'B-1 On-Site Hedge Baseline'!$B$1:$L$257,5,FALSE)),"",(VLOOKUP($B193,'B-1 On-Site Hedge Baseline'!$B$1:$L$257,5,FALSE))))</f>
        <v/>
      </c>
      <c r="F193" s="382" t="str">
        <f>IF(B193="","",IF(ISNA(VLOOKUP($B193,'B-1 On-Site Hedge Baseline'!$B$1:$L$257,6,FALSE)),"",(VLOOKUP($B193,'B-1 On-Site Hedge Baseline'!$B$1:$L$257,6,FALSE))))</f>
        <v/>
      </c>
      <c r="G193" s="382" t="str">
        <f>IF(B193="","",IF(ISNA(VLOOKUP($B193,'B-1 On-Site Hedge Baseline'!$B$1:$L$257,7,FALSE)),"",(VLOOKUP($B193,'B-1 On-Site Hedge Baseline'!$B$1:$L$257,7,FALSE))))</f>
        <v/>
      </c>
      <c r="H193" s="382" t="str">
        <f>IF(B193="","",IF(ISNA(VLOOKUP($B193,'B-1 On-Site Hedge Baseline'!$B$1:$L$257,8,FALSE)),"",(VLOOKUP($B193,'B-1 On-Site Hedge Baseline'!$B$1:$L$257,8,FALSE))))</f>
        <v/>
      </c>
      <c r="I193" s="382" t="str">
        <f>IF(B193="","",IF(ISNA(VLOOKUP($B193,'B-1 On-Site Hedge Baseline'!$B$1:$L$257,10,FALSE)),"",(VLOOKUP($B193,'B-1 On-Site Hedge Baseline'!$B$1:$L$257,10,FALSE))))</f>
        <v/>
      </c>
      <c r="J193" s="382" t="str">
        <f>IF(B193="","",IF(ISNA(VLOOKUP($B193,'B-1 On-Site Hedge Baseline'!$B$1:$L$257,11,FALSE)),"",(VLOOKUP($B193,'B-1 On-Site Hedge Baseline'!$B$1:$L$257,11,FALSE))))</f>
        <v/>
      </c>
      <c r="K193" s="382" t="str">
        <f>IF(B193="","",IF(ISNA(VLOOKUP($B193,'B-1 On-Site Hedge Baseline'!$B$1:$U$257,13,FALSE)),"",(VLOOKUP($B193,'B-1 On-Site Hedge Baseline'!$B$1:$U$257,13,FALSE))))</f>
        <v/>
      </c>
      <c r="L193" s="386" t="str">
        <f>IF(B193="","",IF(ISNA(VLOOKUP($B193,'B-1 On-Site Hedge Baseline'!$B$1:$U$257,12,FALSE)),"",(VLOOKUP($B193,'B-1 On-Site Hedge Baseline'!$B$1:$U$257,12,FALSE))))</f>
        <v/>
      </c>
      <c r="M193" s="315" t="str">
        <f t="shared" si="23"/>
        <v/>
      </c>
      <c r="N193" s="362" t="str">
        <f>IFERROR(IF(B193="","",INDEX('G-6 Hedgerow Data'!$AN$3:$AZ$15,MATCH(C193,'G-6 Hedgerow Data'!$AM$3:$AM$15,0),MATCH(M193,'G-6 Hedgerow Data'!$AN$2:$AZ$2,0))),"")</f>
        <v/>
      </c>
      <c r="O193" s="363" t="str">
        <f t="shared" si="18"/>
        <v/>
      </c>
      <c r="P193" s="417" t="str">
        <f>IF(B193="","",VLOOKUP(B193,'B-1 On-Site Hedge Baseline'!$B$10:T438,16,FALSE))</f>
        <v/>
      </c>
      <c r="Q193" s="362" t="str">
        <f>IF(M193="","",VLOOKUP(M193,'G-6 Hedgerow Data'!$B$2:$AG$15,2,FALSE))</f>
        <v/>
      </c>
      <c r="R193" s="363" t="str">
        <f>IF(M193="","",VLOOKUP(M193,'G-6 Hedgerow Data'!$B$2:$AG$15,3,FALSE))</f>
        <v/>
      </c>
      <c r="S193" s="125"/>
      <c r="T193" s="401" t="str">
        <f>IFERROR(VLOOKUP(S193,'G-1 All Habitats'!$Z$2:$AA$9,2,FALSE),"")</f>
        <v/>
      </c>
      <c r="U193" s="122"/>
      <c r="V193" s="382" t="str">
        <f>IF(U193="","",IF(VLOOKUP(U193,'G-3 Multipliers'!$L$3:$N$6,2,FALSE)=0,"Spatial Data Missing ⚠",VLOOKUP(U193,'G-3 Multipliers'!$L$3:$N$6,2,FALSE)))</f>
        <v/>
      </c>
      <c r="W193" s="386" t="str">
        <f>IF(U193="","",IF(VLOOKUP(U193,'G-3 Multipliers'!$L$3:$N$6,3,FALSE)=0,"Spatial Data Missing ⚠",VLOOKUP(U193,'G-3 Multipliers'!$L$3:$N$6,3,FALSE)))</f>
        <v/>
      </c>
      <c r="X193" s="362" t="str">
        <f>IFERROR(IF(OR(LEFT(O193,5)="Error",LEFT(N193,5)="Error",T193="Error"),"Check Data ⚠",IF(F193&lt;R193,INDEX('G-6 Hedgerow Data'!$S$3:$AE$14,MATCH(C193,'G-6 Hedgerow Data'!$B$3:$B$14,0),MATCH(M193,'G-6 Hedgerow Data'!$S$2:$AE$2,0)),INDEX('G-6 Hedgerow Data'!$K$3:$Q$14,MATCH(M193,'G-6 Hedgerow Data'!$B$3:$B$14,0),MATCH(O193,'G-6 Hedgerow Data'!$K$2:$Q$2,0)))),"")</f>
        <v/>
      </c>
      <c r="Y193" s="159"/>
      <c r="Z193" s="159"/>
      <c r="AA193" s="370" t="str">
        <f t="shared" si="19"/>
        <v/>
      </c>
      <c r="AB193" s="383" t="str">
        <f t="shared" si="20"/>
        <v/>
      </c>
      <c r="AC193" s="384" t="str">
        <f t="shared" si="16"/>
        <v/>
      </c>
      <c r="AD193" s="398" t="str">
        <f>IF(M193="","",VLOOKUP(M193,'G-6 Hedgerow Data'!$B$3:$AG$15,31,FALSE))</f>
        <v/>
      </c>
      <c r="AE193" s="370" t="str">
        <f t="shared" si="21"/>
        <v/>
      </c>
      <c r="AF193" s="370" t="str">
        <f t="shared" si="22"/>
        <v/>
      </c>
      <c r="AG193" s="386" t="str">
        <f>IFERROR(IF(O193="","",VLOOKUP(AD193,'G-3 Multipliers'!$P$3:$Q$6,2,FALSE)),"")</f>
        <v/>
      </c>
      <c r="AH193" s="376" t="str">
        <f t="shared" si="17"/>
        <v/>
      </c>
      <c r="AI193" s="188"/>
      <c r="AJ193" s="118"/>
      <c r="AK193" s="120"/>
      <c r="AT193" s="30" t="str">
        <f>IFERROR(INDEX('G-6 Hedgerow Data'!$BJ$3:$BJ$15,MATCH(M193,'G-6 Hedgerow Data'!$B$3:$B$15,0)),"")</f>
        <v/>
      </c>
    </row>
    <row r="194" spans="2:46" ht="15">
      <c r="B194" s="392" t="str">
        <f>'B-1 On-Site Hedge Baseline'!AK192</f>
        <v/>
      </c>
      <c r="C194" s="382" t="str">
        <f>IF(B194="","",IF(ISNA(VLOOKUP($B194,'B-1 On-Site Hedge Baseline'!$B$1:$L$257,3,FALSE)),"",(VLOOKUP($B194,'B-1 On-Site Hedge Baseline'!$B$1:$L$257,3,FALSE))))</f>
        <v/>
      </c>
      <c r="D194" s="382" t="str">
        <f>IF(B194="","",IF(ISNA(VLOOKUP($B194,'B-1 On-Site Hedge Baseline'!$B$1:$L$257,4,FALSE)),"",(VLOOKUP($B194,'B-1 On-Site Hedge Baseline'!$B$1:$L$257,4,FALSE))))</f>
        <v/>
      </c>
      <c r="E194" s="382" t="str">
        <f>IF(B194="","",IF(ISNA(VLOOKUP($B194,'B-1 On-Site Hedge Baseline'!$B$1:$L$257,5,FALSE)),"",(VLOOKUP($B194,'B-1 On-Site Hedge Baseline'!$B$1:$L$257,5,FALSE))))</f>
        <v/>
      </c>
      <c r="F194" s="382" t="str">
        <f>IF(B194="","",IF(ISNA(VLOOKUP($B194,'B-1 On-Site Hedge Baseline'!$B$1:$L$257,6,FALSE)),"",(VLOOKUP($B194,'B-1 On-Site Hedge Baseline'!$B$1:$L$257,6,FALSE))))</f>
        <v/>
      </c>
      <c r="G194" s="382" t="str">
        <f>IF(B194="","",IF(ISNA(VLOOKUP($B194,'B-1 On-Site Hedge Baseline'!$B$1:$L$257,7,FALSE)),"",(VLOOKUP($B194,'B-1 On-Site Hedge Baseline'!$B$1:$L$257,7,FALSE))))</f>
        <v/>
      </c>
      <c r="H194" s="382" t="str">
        <f>IF(B194="","",IF(ISNA(VLOOKUP($B194,'B-1 On-Site Hedge Baseline'!$B$1:$L$257,8,FALSE)),"",(VLOOKUP($B194,'B-1 On-Site Hedge Baseline'!$B$1:$L$257,8,FALSE))))</f>
        <v/>
      </c>
      <c r="I194" s="382" t="str">
        <f>IF(B194="","",IF(ISNA(VLOOKUP($B194,'B-1 On-Site Hedge Baseline'!$B$1:$L$257,10,FALSE)),"",(VLOOKUP($B194,'B-1 On-Site Hedge Baseline'!$B$1:$L$257,10,FALSE))))</f>
        <v/>
      </c>
      <c r="J194" s="382" t="str">
        <f>IF(B194="","",IF(ISNA(VLOOKUP($B194,'B-1 On-Site Hedge Baseline'!$B$1:$L$257,11,FALSE)),"",(VLOOKUP($B194,'B-1 On-Site Hedge Baseline'!$B$1:$L$257,11,FALSE))))</f>
        <v/>
      </c>
      <c r="K194" s="382" t="str">
        <f>IF(B194="","",IF(ISNA(VLOOKUP($B194,'B-1 On-Site Hedge Baseline'!$B$1:$U$257,13,FALSE)),"",(VLOOKUP($B194,'B-1 On-Site Hedge Baseline'!$B$1:$U$257,13,FALSE))))</f>
        <v/>
      </c>
      <c r="L194" s="386" t="str">
        <f>IF(B194="","",IF(ISNA(VLOOKUP($B194,'B-1 On-Site Hedge Baseline'!$B$1:$U$257,12,FALSE)),"",(VLOOKUP($B194,'B-1 On-Site Hedge Baseline'!$B$1:$U$257,12,FALSE))))</f>
        <v/>
      </c>
      <c r="M194" s="315" t="str">
        <f t="shared" si="23"/>
        <v/>
      </c>
      <c r="N194" s="362" t="str">
        <f>IFERROR(IF(B194="","",INDEX('G-6 Hedgerow Data'!$AN$3:$AZ$15,MATCH(C194,'G-6 Hedgerow Data'!$AM$3:$AM$15,0),MATCH(M194,'G-6 Hedgerow Data'!$AN$2:$AZ$2,0))),"")</f>
        <v/>
      </c>
      <c r="O194" s="363" t="str">
        <f t="shared" si="18"/>
        <v/>
      </c>
      <c r="P194" s="417" t="str">
        <f>IF(B194="","",VLOOKUP(B194,'B-1 On-Site Hedge Baseline'!$B$10:T439,16,FALSE))</f>
        <v/>
      </c>
      <c r="Q194" s="362" t="str">
        <f>IF(M194="","",VLOOKUP(M194,'G-6 Hedgerow Data'!$B$2:$AG$15,2,FALSE))</f>
        <v/>
      </c>
      <c r="R194" s="363" t="str">
        <f>IF(M194="","",VLOOKUP(M194,'G-6 Hedgerow Data'!$B$2:$AG$15,3,FALSE))</f>
        <v/>
      </c>
      <c r="S194" s="125"/>
      <c r="T194" s="401" t="str">
        <f>IFERROR(VLOOKUP(S194,'G-1 All Habitats'!$Z$2:$AA$9,2,FALSE),"")</f>
        <v/>
      </c>
      <c r="U194" s="122"/>
      <c r="V194" s="382" t="str">
        <f>IF(U194="","",IF(VLOOKUP(U194,'G-3 Multipliers'!$L$3:$N$6,2,FALSE)=0,"Spatial Data Missing ⚠",VLOOKUP(U194,'G-3 Multipliers'!$L$3:$N$6,2,FALSE)))</f>
        <v/>
      </c>
      <c r="W194" s="386" t="str">
        <f>IF(U194="","",IF(VLOOKUP(U194,'G-3 Multipliers'!$L$3:$N$6,3,FALSE)=0,"Spatial Data Missing ⚠",VLOOKUP(U194,'G-3 Multipliers'!$L$3:$N$6,3,FALSE)))</f>
        <v/>
      </c>
      <c r="X194" s="362" t="str">
        <f>IFERROR(IF(OR(LEFT(O194,5)="Error",LEFT(N194,5)="Error",T194="Error"),"Check Data ⚠",IF(F194&lt;R194,INDEX('G-6 Hedgerow Data'!$S$3:$AE$14,MATCH(C194,'G-6 Hedgerow Data'!$B$3:$B$14,0),MATCH(M194,'G-6 Hedgerow Data'!$S$2:$AE$2,0)),INDEX('G-6 Hedgerow Data'!$K$3:$Q$14,MATCH(M194,'G-6 Hedgerow Data'!$B$3:$B$14,0),MATCH(O194,'G-6 Hedgerow Data'!$K$2:$Q$2,0)))),"")</f>
        <v/>
      </c>
      <c r="Y194" s="159"/>
      <c r="Z194" s="159"/>
      <c r="AA194" s="370" t="str">
        <f t="shared" si="19"/>
        <v/>
      </c>
      <c r="AB194" s="383" t="str">
        <f t="shared" si="20"/>
        <v/>
      </c>
      <c r="AC194" s="384" t="str">
        <f t="shared" si="16"/>
        <v/>
      </c>
      <c r="AD194" s="398" t="str">
        <f>IF(M194="","",VLOOKUP(M194,'G-6 Hedgerow Data'!$B$3:$AG$15,31,FALSE))</f>
        <v/>
      </c>
      <c r="AE194" s="370" t="str">
        <f t="shared" si="21"/>
        <v/>
      </c>
      <c r="AF194" s="370" t="str">
        <f t="shared" si="22"/>
        <v/>
      </c>
      <c r="AG194" s="386" t="str">
        <f>IFERROR(IF(O194="","",VLOOKUP(AD194,'G-3 Multipliers'!$P$3:$Q$6,2,FALSE)),"")</f>
        <v/>
      </c>
      <c r="AH194" s="376" t="str">
        <f t="shared" si="17"/>
        <v/>
      </c>
      <c r="AI194" s="188"/>
      <c r="AJ194" s="118"/>
      <c r="AK194" s="120"/>
      <c r="AT194" s="30" t="str">
        <f>IFERROR(INDEX('G-6 Hedgerow Data'!$BJ$3:$BJ$15,MATCH(M194,'G-6 Hedgerow Data'!$B$3:$B$15,0)),"")</f>
        <v/>
      </c>
    </row>
    <row r="195" spans="2:46" ht="15">
      <c r="B195" s="392" t="str">
        <f>'B-1 On-Site Hedge Baseline'!AK193</f>
        <v/>
      </c>
      <c r="C195" s="382" t="str">
        <f>IF(B195="","",IF(ISNA(VLOOKUP($B195,'B-1 On-Site Hedge Baseline'!$B$1:$L$257,3,FALSE)),"",(VLOOKUP($B195,'B-1 On-Site Hedge Baseline'!$B$1:$L$257,3,FALSE))))</f>
        <v/>
      </c>
      <c r="D195" s="382" t="str">
        <f>IF(B195="","",IF(ISNA(VLOOKUP($B195,'B-1 On-Site Hedge Baseline'!$B$1:$L$257,4,FALSE)),"",(VLOOKUP($B195,'B-1 On-Site Hedge Baseline'!$B$1:$L$257,4,FALSE))))</f>
        <v/>
      </c>
      <c r="E195" s="382" t="str">
        <f>IF(B195="","",IF(ISNA(VLOOKUP($B195,'B-1 On-Site Hedge Baseline'!$B$1:$L$257,5,FALSE)),"",(VLOOKUP($B195,'B-1 On-Site Hedge Baseline'!$B$1:$L$257,5,FALSE))))</f>
        <v/>
      </c>
      <c r="F195" s="382" t="str">
        <f>IF(B195="","",IF(ISNA(VLOOKUP($B195,'B-1 On-Site Hedge Baseline'!$B$1:$L$257,6,FALSE)),"",(VLOOKUP($B195,'B-1 On-Site Hedge Baseline'!$B$1:$L$257,6,FALSE))))</f>
        <v/>
      </c>
      <c r="G195" s="382" t="str">
        <f>IF(B195="","",IF(ISNA(VLOOKUP($B195,'B-1 On-Site Hedge Baseline'!$B$1:$L$257,7,FALSE)),"",(VLOOKUP($B195,'B-1 On-Site Hedge Baseline'!$B$1:$L$257,7,FALSE))))</f>
        <v/>
      </c>
      <c r="H195" s="382" t="str">
        <f>IF(B195="","",IF(ISNA(VLOOKUP($B195,'B-1 On-Site Hedge Baseline'!$B$1:$L$257,8,FALSE)),"",(VLOOKUP($B195,'B-1 On-Site Hedge Baseline'!$B$1:$L$257,8,FALSE))))</f>
        <v/>
      </c>
      <c r="I195" s="382" t="str">
        <f>IF(B195="","",IF(ISNA(VLOOKUP($B195,'B-1 On-Site Hedge Baseline'!$B$1:$L$257,10,FALSE)),"",(VLOOKUP($B195,'B-1 On-Site Hedge Baseline'!$B$1:$L$257,10,FALSE))))</f>
        <v/>
      </c>
      <c r="J195" s="382" t="str">
        <f>IF(B195="","",IF(ISNA(VLOOKUP($B195,'B-1 On-Site Hedge Baseline'!$B$1:$L$257,11,FALSE)),"",(VLOOKUP($B195,'B-1 On-Site Hedge Baseline'!$B$1:$L$257,11,FALSE))))</f>
        <v/>
      </c>
      <c r="K195" s="382" t="str">
        <f>IF(B195="","",IF(ISNA(VLOOKUP($B195,'B-1 On-Site Hedge Baseline'!$B$1:$U$257,13,FALSE)),"",(VLOOKUP($B195,'B-1 On-Site Hedge Baseline'!$B$1:$U$257,13,FALSE))))</f>
        <v/>
      </c>
      <c r="L195" s="386" t="str">
        <f>IF(B195="","",IF(ISNA(VLOOKUP($B195,'B-1 On-Site Hedge Baseline'!$B$1:$U$257,12,FALSE)),"",(VLOOKUP($B195,'B-1 On-Site Hedge Baseline'!$B$1:$U$257,12,FALSE))))</f>
        <v/>
      </c>
      <c r="M195" s="315" t="str">
        <f t="shared" si="23"/>
        <v/>
      </c>
      <c r="N195" s="362" t="str">
        <f>IFERROR(IF(B195="","",INDEX('G-6 Hedgerow Data'!$AN$3:$AZ$15,MATCH(C195,'G-6 Hedgerow Data'!$AM$3:$AM$15,0),MATCH(M195,'G-6 Hedgerow Data'!$AN$2:$AZ$2,0))),"")</f>
        <v/>
      </c>
      <c r="O195" s="363" t="str">
        <f t="shared" si="18"/>
        <v/>
      </c>
      <c r="P195" s="417" t="str">
        <f>IF(B195="","",VLOOKUP(B195,'B-1 On-Site Hedge Baseline'!$B$10:T440,16,FALSE))</f>
        <v/>
      </c>
      <c r="Q195" s="362" t="str">
        <f>IF(M195="","",VLOOKUP(M195,'G-6 Hedgerow Data'!$B$2:$AG$15,2,FALSE))</f>
        <v/>
      </c>
      <c r="R195" s="363" t="str">
        <f>IF(M195="","",VLOOKUP(M195,'G-6 Hedgerow Data'!$B$2:$AG$15,3,FALSE))</f>
        <v/>
      </c>
      <c r="S195" s="125"/>
      <c r="T195" s="401" t="str">
        <f>IFERROR(VLOOKUP(S195,'G-1 All Habitats'!$Z$2:$AA$9,2,FALSE),"")</f>
        <v/>
      </c>
      <c r="U195" s="122"/>
      <c r="V195" s="382" t="str">
        <f>IF(U195="","",IF(VLOOKUP(U195,'G-3 Multipliers'!$L$3:$N$6,2,FALSE)=0,"Spatial Data Missing ⚠",VLOOKUP(U195,'G-3 Multipliers'!$L$3:$N$6,2,FALSE)))</f>
        <v/>
      </c>
      <c r="W195" s="386" t="str">
        <f>IF(U195="","",IF(VLOOKUP(U195,'G-3 Multipliers'!$L$3:$N$6,3,FALSE)=0,"Spatial Data Missing ⚠",VLOOKUP(U195,'G-3 Multipliers'!$L$3:$N$6,3,FALSE)))</f>
        <v/>
      </c>
      <c r="X195" s="362" t="str">
        <f>IFERROR(IF(OR(LEFT(O195,5)="Error",LEFT(N195,5)="Error",T195="Error"),"Check Data ⚠",IF(F195&lt;R195,INDEX('G-6 Hedgerow Data'!$S$3:$AE$14,MATCH(C195,'G-6 Hedgerow Data'!$B$3:$B$14,0),MATCH(M195,'G-6 Hedgerow Data'!$S$2:$AE$2,0)),INDEX('G-6 Hedgerow Data'!$K$3:$Q$14,MATCH(M195,'G-6 Hedgerow Data'!$B$3:$B$14,0),MATCH(O195,'G-6 Hedgerow Data'!$K$2:$Q$2,0)))),"")</f>
        <v/>
      </c>
      <c r="Y195" s="159"/>
      <c r="Z195" s="159"/>
      <c r="AA195" s="370" t="str">
        <f t="shared" si="19"/>
        <v/>
      </c>
      <c r="AB195" s="383" t="str">
        <f t="shared" si="20"/>
        <v/>
      </c>
      <c r="AC195" s="384" t="str">
        <f t="shared" si="16"/>
        <v/>
      </c>
      <c r="AD195" s="398" t="str">
        <f>IF(M195="","",VLOOKUP(M195,'G-6 Hedgerow Data'!$B$3:$AG$15,31,FALSE))</f>
        <v/>
      </c>
      <c r="AE195" s="370" t="str">
        <f t="shared" si="21"/>
        <v/>
      </c>
      <c r="AF195" s="370" t="str">
        <f t="shared" si="22"/>
        <v/>
      </c>
      <c r="AG195" s="386" t="str">
        <f>IFERROR(IF(O195="","",VLOOKUP(AD195,'G-3 Multipliers'!$P$3:$Q$6,2,FALSE)),"")</f>
        <v/>
      </c>
      <c r="AH195" s="376" t="str">
        <f t="shared" si="17"/>
        <v/>
      </c>
      <c r="AI195" s="188"/>
      <c r="AJ195" s="118"/>
      <c r="AK195" s="120"/>
      <c r="AT195" s="30" t="str">
        <f>IFERROR(INDEX('G-6 Hedgerow Data'!$BJ$3:$BJ$15,MATCH(M195,'G-6 Hedgerow Data'!$B$3:$B$15,0)),"")</f>
        <v/>
      </c>
    </row>
    <row r="196" spans="2:46" ht="15">
      <c r="B196" s="392" t="str">
        <f>'B-1 On-Site Hedge Baseline'!AK194</f>
        <v/>
      </c>
      <c r="C196" s="382" t="str">
        <f>IF(B196="","",IF(ISNA(VLOOKUP($B196,'B-1 On-Site Hedge Baseline'!$B$1:$L$257,3,FALSE)),"",(VLOOKUP($B196,'B-1 On-Site Hedge Baseline'!$B$1:$L$257,3,FALSE))))</f>
        <v/>
      </c>
      <c r="D196" s="382" t="str">
        <f>IF(B196="","",IF(ISNA(VLOOKUP($B196,'B-1 On-Site Hedge Baseline'!$B$1:$L$257,4,FALSE)),"",(VLOOKUP($B196,'B-1 On-Site Hedge Baseline'!$B$1:$L$257,4,FALSE))))</f>
        <v/>
      </c>
      <c r="E196" s="382" t="str">
        <f>IF(B196="","",IF(ISNA(VLOOKUP($B196,'B-1 On-Site Hedge Baseline'!$B$1:$L$257,5,FALSE)),"",(VLOOKUP($B196,'B-1 On-Site Hedge Baseline'!$B$1:$L$257,5,FALSE))))</f>
        <v/>
      </c>
      <c r="F196" s="382" t="str">
        <f>IF(B196="","",IF(ISNA(VLOOKUP($B196,'B-1 On-Site Hedge Baseline'!$B$1:$L$257,6,FALSE)),"",(VLOOKUP($B196,'B-1 On-Site Hedge Baseline'!$B$1:$L$257,6,FALSE))))</f>
        <v/>
      </c>
      <c r="G196" s="382" t="str">
        <f>IF(B196="","",IF(ISNA(VLOOKUP($B196,'B-1 On-Site Hedge Baseline'!$B$1:$L$257,7,FALSE)),"",(VLOOKUP($B196,'B-1 On-Site Hedge Baseline'!$B$1:$L$257,7,FALSE))))</f>
        <v/>
      </c>
      <c r="H196" s="382" t="str">
        <f>IF(B196="","",IF(ISNA(VLOOKUP($B196,'B-1 On-Site Hedge Baseline'!$B$1:$L$257,8,FALSE)),"",(VLOOKUP($B196,'B-1 On-Site Hedge Baseline'!$B$1:$L$257,8,FALSE))))</f>
        <v/>
      </c>
      <c r="I196" s="382" t="str">
        <f>IF(B196="","",IF(ISNA(VLOOKUP($B196,'B-1 On-Site Hedge Baseline'!$B$1:$L$257,10,FALSE)),"",(VLOOKUP($B196,'B-1 On-Site Hedge Baseline'!$B$1:$L$257,10,FALSE))))</f>
        <v/>
      </c>
      <c r="J196" s="382" t="str">
        <f>IF(B196="","",IF(ISNA(VLOOKUP($B196,'B-1 On-Site Hedge Baseline'!$B$1:$L$257,11,FALSE)),"",(VLOOKUP($B196,'B-1 On-Site Hedge Baseline'!$B$1:$L$257,11,FALSE))))</f>
        <v/>
      </c>
      <c r="K196" s="382" t="str">
        <f>IF(B196="","",IF(ISNA(VLOOKUP($B196,'B-1 On-Site Hedge Baseline'!$B$1:$U$257,13,FALSE)),"",(VLOOKUP($B196,'B-1 On-Site Hedge Baseline'!$B$1:$U$257,13,FALSE))))</f>
        <v/>
      </c>
      <c r="L196" s="386" t="str">
        <f>IF(B196="","",IF(ISNA(VLOOKUP($B196,'B-1 On-Site Hedge Baseline'!$B$1:$U$257,12,FALSE)),"",(VLOOKUP($B196,'B-1 On-Site Hedge Baseline'!$B$1:$U$257,12,FALSE))))</f>
        <v/>
      </c>
      <c r="M196" s="315" t="str">
        <f t="shared" si="23"/>
        <v/>
      </c>
      <c r="N196" s="362" t="str">
        <f>IFERROR(IF(B196="","",INDEX('G-6 Hedgerow Data'!$AN$3:$AZ$15,MATCH(C196,'G-6 Hedgerow Data'!$AM$3:$AM$15,0),MATCH(M196,'G-6 Hedgerow Data'!$AN$2:$AZ$2,0))),"")</f>
        <v/>
      </c>
      <c r="O196" s="363" t="str">
        <f t="shared" si="18"/>
        <v/>
      </c>
      <c r="P196" s="417" t="str">
        <f>IF(B196="","",VLOOKUP(B196,'B-1 On-Site Hedge Baseline'!$B$10:T441,16,FALSE))</f>
        <v/>
      </c>
      <c r="Q196" s="362" t="str">
        <f>IF(M196="","",VLOOKUP(M196,'G-6 Hedgerow Data'!$B$2:$AG$15,2,FALSE))</f>
        <v/>
      </c>
      <c r="R196" s="363" t="str">
        <f>IF(M196="","",VLOOKUP(M196,'G-6 Hedgerow Data'!$B$2:$AG$15,3,FALSE))</f>
        <v/>
      </c>
      <c r="S196" s="125"/>
      <c r="T196" s="401" t="str">
        <f>IFERROR(VLOOKUP(S196,'G-1 All Habitats'!$Z$2:$AA$9,2,FALSE),"")</f>
        <v/>
      </c>
      <c r="U196" s="122"/>
      <c r="V196" s="382" t="str">
        <f>IF(U196="","",IF(VLOOKUP(U196,'G-3 Multipliers'!$L$3:$N$6,2,FALSE)=0,"Spatial Data Missing ⚠",VLOOKUP(U196,'G-3 Multipliers'!$L$3:$N$6,2,FALSE)))</f>
        <v/>
      </c>
      <c r="W196" s="386" t="str">
        <f>IF(U196="","",IF(VLOOKUP(U196,'G-3 Multipliers'!$L$3:$N$6,3,FALSE)=0,"Spatial Data Missing ⚠",VLOOKUP(U196,'G-3 Multipliers'!$L$3:$N$6,3,FALSE)))</f>
        <v/>
      </c>
      <c r="X196" s="362" t="str">
        <f>IFERROR(IF(OR(LEFT(O196,5)="Error",LEFT(N196,5)="Error",T196="Error"),"Check Data ⚠",IF(F196&lt;R196,INDEX('G-6 Hedgerow Data'!$S$3:$AE$14,MATCH(C196,'G-6 Hedgerow Data'!$B$3:$B$14,0),MATCH(M196,'G-6 Hedgerow Data'!$S$2:$AE$2,0)),INDEX('G-6 Hedgerow Data'!$K$3:$Q$14,MATCH(M196,'G-6 Hedgerow Data'!$B$3:$B$14,0),MATCH(O196,'G-6 Hedgerow Data'!$K$2:$Q$2,0)))),"")</f>
        <v/>
      </c>
      <c r="Y196" s="159"/>
      <c r="Z196" s="159"/>
      <c r="AA196" s="370" t="str">
        <f t="shared" si="19"/>
        <v/>
      </c>
      <c r="AB196" s="383" t="str">
        <f t="shared" si="20"/>
        <v/>
      </c>
      <c r="AC196" s="384" t="str">
        <f t="shared" si="16"/>
        <v/>
      </c>
      <c r="AD196" s="398" t="str">
        <f>IF(M196="","",VLOOKUP(M196,'G-6 Hedgerow Data'!$B$3:$AG$15,31,FALSE))</f>
        <v/>
      </c>
      <c r="AE196" s="370" t="str">
        <f t="shared" si="21"/>
        <v/>
      </c>
      <c r="AF196" s="370" t="str">
        <f t="shared" si="22"/>
        <v/>
      </c>
      <c r="AG196" s="386" t="str">
        <f>IFERROR(IF(O196="","",VLOOKUP(AD196,'G-3 Multipliers'!$P$3:$Q$6,2,FALSE)),"")</f>
        <v/>
      </c>
      <c r="AH196" s="376" t="str">
        <f t="shared" si="17"/>
        <v/>
      </c>
      <c r="AI196" s="188"/>
      <c r="AJ196" s="118"/>
      <c r="AK196" s="120"/>
      <c r="AT196" s="30" t="str">
        <f>IFERROR(INDEX('G-6 Hedgerow Data'!$BJ$3:$BJ$15,MATCH(M196,'G-6 Hedgerow Data'!$B$3:$B$15,0)),"")</f>
        <v/>
      </c>
    </row>
    <row r="197" spans="2:46" ht="15">
      <c r="B197" s="392" t="str">
        <f>'B-1 On-Site Hedge Baseline'!AK195</f>
        <v/>
      </c>
      <c r="C197" s="382" t="str">
        <f>IF(B197="","",IF(ISNA(VLOOKUP($B197,'B-1 On-Site Hedge Baseline'!$B$1:$L$257,3,FALSE)),"",(VLOOKUP($B197,'B-1 On-Site Hedge Baseline'!$B$1:$L$257,3,FALSE))))</f>
        <v/>
      </c>
      <c r="D197" s="382" t="str">
        <f>IF(B197="","",IF(ISNA(VLOOKUP($B197,'B-1 On-Site Hedge Baseline'!$B$1:$L$257,4,FALSE)),"",(VLOOKUP($B197,'B-1 On-Site Hedge Baseline'!$B$1:$L$257,4,FALSE))))</f>
        <v/>
      </c>
      <c r="E197" s="382" t="str">
        <f>IF(B197="","",IF(ISNA(VLOOKUP($B197,'B-1 On-Site Hedge Baseline'!$B$1:$L$257,5,FALSE)),"",(VLOOKUP($B197,'B-1 On-Site Hedge Baseline'!$B$1:$L$257,5,FALSE))))</f>
        <v/>
      </c>
      <c r="F197" s="382" t="str">
        <f>IF(B197="","",IF(ISNA(VLOOKUP($B197,'B-1 On-Site Hedge Baseline'!$B$1:$L$257,6,FALSE)),"",(VLOOKUP($B197,'B-1 On-Site Hedge Baseline'!$B$1:$L$257,6,FALSE))))</f>
        <v/>
      </c>
      <c r="G197" s="382" t="str">
        <f>IF(B197="","",IF(ISNA(VLOOKUP($B197,'B-1 On-Site Hedge Baseline'!$B$1:$L$257,7,FALSE)),"",(VLOOKUP($B197,'B-1 On-Site Hedge Baseline'!$B$1:$L$257,7,FALSE))))</f>
        <v/>
      </c>
      <c r="H197" s="382" t="str">
        <f>IF(B197="","",IF(ISNA(VLOOKUP($B197,'B-1 On-Site Hedge Baseline'!$B$1:$L$257,8,FALSE)),"",(VLOOKUP($B197,'B-1 On-Site Hedge Baseline'!$B$1:$L$257,8,FALSE))))</f>
        <v/>
      </c>
      <c r="I197" s="382" t="str">
        <f>IF(B197="","",IF(ISNA(VLOOKUP($B197,'B-1 On-Site Hedge Baseline'!$B$1:$L$257,10,FALSE)),"",(VLOOKUP($B197,'B-1 On-Site Hedge Baseline'!$B$1:$L$257,10,FALSE))))</f>
        <v/>
      </c>
      <c r="J197" s="382" t="str">
        <f>IF(B197="","",IF(ISNA(VLOOKUP($B197,'B-1 On-Site Hedge Baseline'!$B$1:$L$257,11,FALSE)),"",(VLOOKUP($B197,'B-1 On-Site Hedge Baseline'!$B$1:$L$257,11,FALSE))))</f>
        <v/>
      </c>
      <c r="K197" s="382" t="str">
        <f>IF(B197="","",IF(ISNA(VLOOKUP($B197,'B-1 On-Site Hedge Baseline'!$B$1:$U$257,13,FALSE)),"",(VLOOKUP($B197,'B-1 On-Site Hedge Baseline'!$B$1:$U$257,13,FALSE))))</f>
        <v/>
      </c>
      <c r="L197" s="386" t="str">
        <f>IF(B197="","",IF(ISNA(VLOOKUP($B197,'B-1 On-Site Hedge Baseline'!$B$1:$U$257,12,FALSE)),"",(VLOOKUP($B197,'B-1 On-Site Hedge Baseline'!$B$1:$U$257,12,FALSE))))</f>
        <v/>
      </c>
      <c r="M197" s="315" t="str">
        <f t="shared" si="23"/>
        <v/>
      </c>
      <c r="N197" s="362" t="str">
        <f>IFERROR(IF(B197="","",INDEX('G-6 Hedgerow Data'!$AN$3:$AZ$15,MATCH(C197,'G-6 Hedgerow Data'!$AM$3:$AM$15,0),MATCH(M197,'G-6 Hedgerow Data'!$AN$2:$AZ$2,0))),"")</f>
        <v/>
      </c>
      <c r="O197" s="363" t="str">
        <f t="shared" si="18"/>
        <v/>
      </c>
      <c r="P197" s="417" t="str">
        <f>IF(B197="","",VLOOKUP(B197,'B-1 On-Site Hedge Baseline'!$B$10:T442,16,FALSE))</f>
        <v/>
      </c>
      <c r="Q197" s="362" t="str">
        <f>IF(M197="","",VLOOKUP(M197,'G-6 Hedgerow Data'!$B$2:$AG$15,2,FALSE))</f>
        <v/>
      </c>
      <c r="R197" s="363" t="str">
        <f>IF(M197="","",VLOOKUP(M197,'G-6 Hedgerow Data'!$B$2:$AG$15,3,FALSE))</f>
        <v/>
      </c>
      <c r="S197" s="125"/>
      <c r="T197" s="401" t="str">
        <f>IFERROR(VLOOKUP(S197,'G-1 All Habitats'!$Z$2:$AA$9,2,FALSE),"")</f>
        <v/>
      </c>
      <c r="U197" s="122"/>
      <c r="V197" s="382" t="str">
        <f>IF(U197="","",IF(VLOOKUP(U197,'G-3 Multipliers'!$L$3:$N$6,2,FALSE)=0,"Spatial Data Missing ⚠",VLOOKUP(U197,'G-3 Multipliers'!$L$3:$N$6,2,FALSE)))</f>
        <v/>
      </c>
      <c r="W197" s="386" t="str">
        <f>IF(U197="","",IF(VLOOKUP(U197,'G-3 Multipliers'!$L$3:$N$6,3,FALSE)=0,"Spatial Data Missing ⚠",VLOOKUP(U197,'G-3 Multipliers'!$L$3:$N$6,3,FALSE)))</f>
        <v/>
      </c>
      <c r="X197" s="362" t="str">
        <f>IFERROR(IF(OR(LEFT(O197,5)="Error",LEFT(N197,5)="Error",T197="Error"),"Check Data ⚠",IF(F197&lt;R197,INDEX('G-6 Hedgerow Data'!$S$3:$AE$14,MATCH(C197,'G-6 Hedgerow Data'!$B$3:$B$14,0),MATCH(M197,'G-6 Hedgerow Data'!$S$2:$AE$2,0)),INDEX('G-6 Hedgerow Data'!$K$3:$Q$14,MATCH(M197,'G-6 Hedgerow Data'!$B$3:$B$14,0),MATCH(O197,'G-6 Hedgerow Data'!$K$2:$Q$2,0)))),"")</f>
        <v/>
      </c>
      <c r="Y197" s="159"/>
      <c r="Z197" s="159"/>
      <c r="AA197" s="370" t="str">
        <f t="shared" si="19"/>
        <v/>
      </c>
      <c r="AB197" s="383" t="str">
        <f t="shared" si="20"/>
        <v/>
      </c>
      <c r="AC197" s="384" t="str">
        <f t="shared" si="16"/>
        <v/>
      </c>
      <c r="AD197" s="398" t="str">
        <f>IF(M197="","",VLOOKUP(M197,'G-6 Hedgerow Data'!$B$3:$AG$15,31,FALSE))</f>
        <v/>
      </c>
      <c r="AE197" s="370" t="str">
        <f t="shared" si="21"/>
        <v/>
      </c>
      <c r="AF197" s="370" t="str">
        <f t="shared" si="22"/>
        <v/>
      </c>
      <c r="AG197" s="386" t="str">
        <f>IFERROR(IF(O197="","",VLOOKUP(AD197,'G-3 Multipliers'!$P$3:$Q$6,2,FALSE)),"")</f>
        <v/>
      </c>
      <c r="AH197" s="376" t="str">
        <f t="shared" si="17"/>
        <v/>
      </c>
      <c r="AI197" s="188"/>
      <c r="AJ197" s="118"/>
      <c r="AK197" s="120"/>
      <c r="AT197" s="30" t="str">
        <f>IFERROR(INDEX('G-6 Hedgerow Data'!$BJ$3:$BJ$15,MATCH(M197,'G-6 Hedgerow Data'!$B$3:$B$15,0)),"")</f>
        <v/>
      </c>
    </row>
    <row r="198" spans="2:46" ht="15">
      <c r="B198" s="392" t="str">
        <f>'B-1 On-Site Hedge Baseline'!AK196</f>
        <v/>
      </c>
      <c r="C198" s="382" t="str">
        <f>IF(B198="","",IF(ISNA(VLOOKUP($B198,'B-1 On-Site Hedge Baseline'!$B$1:$L$257,3,FALSE)),"",(VLOOKUP($B198,'B-1 On-Site Hedge Baseline'!$B$1:$L$257,3,FALSE))))</f>
        <v/>
      </c>
      <c r="D198" s="382" t="str">
        <f>IF(B198="","",IF(ISNA(VLOOKUP($B198,'B-1 On-Site Hedge Baseline'!$B$1:$L$257,4,FALSE)),"",(VLOOKUP($B198,'B-1 On-Site Hedge Baseline'!$B$1:$L$257,4,FALSE))))</f>
        <v/>
      </c>
      <c r="E198" s="382" t="str">
        <f>IF(B198="","",IF(ISNA(VLOOKUP($B198,'B-1 On-Site Hedge Baseline'!$B$1:$L$257,5,FALSE)),"",(VLOOKUP($B198,'B-1 On-Site Hedge Baseline'!$B$1:$L$257,5,FALSE))))</f>
        <v/>
      </c>
      <c r="F198" s="382" t="str">
        <f>IF(B198="","",IF(ISNA(VLOOKUP($B198,'B-1 On-Site Hedge Baseline'!$B$1:$L$257,6,FALSE)),"",(VLOOKUP($B198,'B-1 On-Site Hedge Baseline'!$B$1:$L$257,6,FALSE))))</f>
        <v/>
      </c>
      <c r="G198" s="382" t="str">
        <f>IF(B198="","",IF(ISNA(VLOOKUP($B198,'B-1 On-Site Hedge Baseline'!$B$1:$L$257,7,FALSE)),"",(VLOOKUP($B198,'B-1 On-Site Hedge Baseline'!$B$1:$L$257,7,FALSE))))</f>
        <v/>
      </c>
      <c r="H198" s="382" t="str">
        <f>IF(B198="","",IF(ISNA(VLOOKUP($B198,'B-1 On-Site Hedge Baseline'!$B$1:$L$257,8,FALSE)),"",(VLOOKUP($B198,'B-1 On-Site Hedge Baseline'!$B$1:$L$257,8,FALSE))))</f>
        <v/>
      </c>
      <c r="I198" s="382" t="str">
        <f>IF(B198="","",IF(ISNA(VLOOKUP($B198,'B-1 On-Site Hedge Baseline'!$B$1:$L$257,10,FALSE)),"",(VLOOKUP($B198,'B-1 On-Site Hedge Baseline'!$B$1:$L$257,10,FALSE))))</f>
        <v/>
      </c>
      <c r="J198" s="382" t="str">
        <f>IF(B198="","",IF(ISNA(VLOOKUP($B198,'B-1 On-Site Hedge Baseline'!$B$1:$L$257,11,FALSE)),"",(VLOOKUP($B198,'B-1 On-Site Hedge Baseline'!$B$1:$L$257,11,FALSE))))</f>
        <v/>
      </c>
      <c r="K198" s="382" t="str">
        <f>IF(B198="","",IF(ISNA(VLOOKUP($B198,'B-1 On-Site Hedge Baseline'!$B$1:$U$257,13,FALSE)),"",(VLOOKUP($B198,'B-1 On-Site Hedge Baseline'!$B$1:$U$257,13,FALSE))))</f>
        <v/>
      </c>
      <c r="L198" s="386" t="str">
        <f>IF(B198="","",IF(ISNA(VLOOKUP($B198,'B-1 On-Site Hedge Baseline'!$B$1:$U$257,12,FALSE)),"",(VLOOKUP($B198,'B-1 On-Site Hedge Baseline'!$B$1:$U$257,12,FALSE))))</f>
        <v/>
      </c>
      <c r="M198" s="315" t="str">
        <f t="shared" si="23"/>
        <v/>
      </c>
      <c r="N198" s="362" t="str">
        <f>IFERROR(IF(B198="","",INDEX('G-6 Hedgerow Data'!$AN$3:$AZ$15,MATCH(C198,'G-6 Hedgerow Data'!$AM$3:$AM$15,0),MATCH(M198,'G-6 Hedgerow Data'!$AN$2:$AZ$2,0))),"")</f>
        <v/>
      </c>
      <c r="O198" s="363" t="str">
        <f t="shared" si="18"/>
        <v/>
      </c>
      <c r="P198" s="417" t="str">
        <f>IF(B198="","",VLOOKUP(B198,'B-1 On-Site Hedge Baseline'!$B$10:T443,16,FALSE))</f>
        <v/>
      </c>
      <c r="Q198" s="362" t="str">
        <f>IF(M198="","",VLOOKUP(M198,'G-6 Hedgerow Data'!$B$2:$AG$15,2,FALSE))</f>
        <v/>
      </c>
      <c r="R198" s="363" t="str">
        <f>IF(M198="","",VLOOKUP(M198,'G-6 Hedgerow Data'!$B$2:$AG$15,3,FALSE))</f>
        <v/>
      </c>
      <c r="S198" s="125"/>
      <c r="T198" s="401" t="str">
        <f>IFERROR(VLOOKUP(S198,'G-1 All Habitats'!$Z$2:$AA$9,2,FALSE),"")</f>
        <v/>
      </c>
      <c r="U198" s="122"/>
      <c r="V198" s="382" t="str">
        <f>IF(U198="","",IF(VLOOKUP(U198,'G-3 Multipliers'!$L$3:$N$6,2,FALSE)=0,"Spatial Data Missing ⚠",VLOOKUP(U198,'G-3 Multipliers'!$L$3:$N$6,2,FALSE)))</f>
        <v/>
      </c>
      <c r="W198" s="386" t="str">
        <f>IF(U198="","",IF(VLOOKUP(U198,'G-3 Multipliers'!$L$3:$N$6,3,FALSE)=0,"Spatial Data Missing ⚠",VLOOKUP(U198,'G-3 Multipliers'!$L$3:$N$6,3,FALSE)))</f>
        <v/>
      </c>
      <c r="X198" s="362" t="str">
        <f>IFERROR(IF(OR(LEFT(O198,5)="Error",LEFT(N198,5)="Error",T198="Error"),"Check Data ⚠",IF(F198&lt;R198,INDEX('G-6 Hedgerow Data'!$S$3:$AE$14,MATCH(C198,'G-6 Hedgerow Data'!$B$3:$B$14,0),MATCH(M198,'G-6 Hedgerow Data'!$S$2:$AE$2,0)),INDEX('G-6 Hedgerow Data'!$K$3:$Q$14,MATCH(M198,'G-6 Hedgerow Data'!$B$3:$B$14,0),MATCH(O198,'G-6 Hedgerow Data'!$K$2:$Q$2,0)))),"")</f>
        <v/>
      </c>
      <c r="Y198" s="159"/>
      <c r="Z198" s="159"/>
      <c r="AA198" s="370" t="str">
        <f t="shared" si="19"/>
        <v/>
      </c>
      <c r="AB198" s="383" t="str">
        <f t="shared" si="20"/>
        <v/>
      </c>
      <c r="AC198" s="384" t="str">
        <f t="shared" si="16"/>
        <v/>
      </c>
      <c r="AD198" s="398" t="str">
        <f>IF(M198="","",VLOOKUP(M198,'G-6 Hedgerow Data'!$B$3:$AG$15,31,FALSE))</f>
        <v/>
      </c>
      <c r="AE198" s="370" t="str">
        <f t="shared" si="21"/>
        <v/>
      </c>
      <c r="AF198" s="370" t="str">
        <f t="shared" si="22"/>
        <v/>
      </c>
      <c r="AG198" s="386" t="str">
        <f>IFERROR(IF(O198="","",VLOOKUP(AD198,'G-3 Multipliers'!$P$3:$Q$6,2,FALSE)),"")</f>
        <v/>
      </c>
      <c r="AH198" s="376" t="str">
        <f t="shared" si="17"/>
        <v/>
      </c>
      <c r="AI198" s="188"/>
      <c r="AJ198" s="118"/>
      <c r="AK198" s="120"/>
      <c r="AT198" s="30" t="str">
        <f>IFERROR(INDEX('G-6 Hedgerow Data'!$BJ$3:$BJ$15,MATCH(M198,'G-6 Hedgerow Data'!$B$3:$B$15,0)),"")</f>
        <v/>
      </c>
    </row>
    <row r="199" spans="2:46" ht="15">
      <c r="B199" s="392" t="str">
        <f>'B-1 On-Site Hedge Baseline'!AK197</f>
        <v/>
      </c>
      <c r="C199" s="382" t="str">
        <f>IF(B199="","",IF(ISNA(VLOOKUP($B199,'B-1 On-Site Hedge Baseline'!$B$1:$L$257,3,FALSE)),"",(VLOOKUP($B199,'B-1 On-Site Hedge Baseline'!$B$1:$L$257,3,FALSE))))</f>
        <v/>
      </c>
      <c r="D199" s="382" t="str">
        <f>IF(B199="","",IF(ISNA(VLOOKUP($B199,'B-1 On-Site Hedge Baseline'!$B$1:$L$257,4,FALSE)),"",(VLOOKUP($B199,'B-1 On-Site Hedge Baseline'!$B$1:$L$257,4,FALSE))))</f>
        <v/>
      </c>
      <c r="E199" s="382" t="str">
        <f>IF(B199="","",IF(ISNA(VLOOKUP($B199,'B-1 On-Site Hedge Baseline'!$B$1:$L$257,5,FALSE)),"",(VLOOKUP($B199,'B-1 On-Site Hedge Baseline'!$B$1:$L$257,5,FALSE))))</f>
        <v/>
      </c>
      <c r="F199" s="382" t="str">
        <f>IF(B199="","",IF(ISNA(VLOOKUP($B199,'B-1 On-Site Hedge Baseline'!$B$1:$L$257,6,FALSE)),"",(VLOOKUP($B199,'B-1 On-Site Hedge Baseline'!$B$1:$L$257,6,FALSE))))</f>
        <v/>
      </c>
      <c r="G199" s="382" t="str">
        <f>IF(B199="","",IF(ISNA(VLOOKUP($B199,'B-1 On-Site Hedge Baseline'!$B$1:$L$257,7,FALSE)),"",(VLOOKUP($B199,'B-1 On-Site Hedge Baseline'!$B$1:$L$257,7,FALSE))))</f>
        <v/>
      </c>
      <c r="H199" s="382" t="str">
        <f>IF(B199="","",IF(ISNA(VLOOKUP($B199,'B-1 On-Site Hedge Baseline'!$B$1:$L$257,8,FALSE)),"",(VLOOKUP($B199,'B-1 On-Site Hedge Baseline'!$B$1:$L$257,8,FALSE))))</f>
        <v/>
      </c>
      <c r="I199" s="382" t="str">
        <f>IF(B199="","",IF(ISNA(VLOOKUP($B199,'B-1 On-Site Hedge Baseline'!$B$1:$L$257,10,FALSE)),"",(VLOOKUP($B199,'B-1 On-Site Hedge Baseline'!$B$1:$L$257,10,FALSE))))</f>
        <v/>
      </c>
      <c r="J199" s="382" t="str">
        <f>IF(B199="","",IF(ISNA(VLOOKUP($B199,'B-1 On-Site Hedge Baseline'!$B$1:$L$257,11,FALSE)),"",(VLOOKUP($B199,'B-1 On-Site Hedge Baseline'!$B$1:$L$257,11,FALSE))))</f>
        <v/>
      </c>
      <c r="K199" s="382" t="str">
        <f>IF(B199="","",IF(ISNA(VLOOKUP($B199,'B-1 On-Site Hedge Baseline'!$B$1:$U$257,13,FALSE)),"",(VLOOKUP($B199,'B-1 On-Site Hedge Baseline'!$B$1:$U$257,13,FALSE))))</f>
        <v/>
      </c>
      <c r="L199" s="386" t="str">
        <f>IF(B199="","",IF(ISNA(VLOOKUP($B199,'B-1 On-Site Hedge Baseline'!$B$1:$U$257,12,FALSE)),"",(VLOOKUP($B199,'B-1 On-Site Hedge Baseline'!$B$1:$U$257,12,FALSE))))</f>
        <v/>
      </c>
      <c r="M199" s="315" t="str">
        <f t="shared" si="23"/>
        <v/>
      </c>
      <c r="N199" s="362" t="str">
        <f>IFERROR(IF(B199="","",INDEX('G-6 Hedgerow Data'!$AN$3:$AZ$15,MATCH(C199,'G-6 Hedgerow Data'!$AM$3:$AM$15,0),MATCH(M199,'G-6 Hedgerow Data'!$AN$2:$AZ$2,0))),"")</f>
        <v/>
      </c>
      <c r="O199" s="363" t="str">
        <f t="shared" si="18"/>
        <v/>
      </c>
      <c r="P199" s="417" t="str">
        <f>IF(B199="","",VLOOKUP(B199,'B-1 On-Site Hedge Baseline'!$B$10:T444,16,FALSE))</f>
        <v/>
      </c>
      <c r="Q199" s="362" t="str">
        <f>IF(M199="","",VLOOKUP(M199,'G-6 Hedgerow Data'!$B$2:$AG$15,2,FALSE))</f>
        <v/>
      </c>
      <c r="R199" s="363" t="str">
        <f>IF(M199="","",VLOOKUP(M199,'G-6 Hedgerow Data'!$B$2:$AG$15,3,FALSE))</f>
        <v/>
      </c>
      <c r="S199" s="125"/>
      <c r="T199" s="401" t="str">
        <f>IFERROR(VLOOKUP(S199,'G-1 All Habitats'!$Z$2:$AA$9,2,FALSE),"")</f>
        <v/>
      </c>
      <c r="U199" s="122"/>
      <c r="V199" s="382" t="str">
        <f>IF(U199="","",IF(VLOOKUP(U199,'G-3 Multipliers'!$L$3:$N$6,2,FALSE)=0,"Spatial Data Missing ⚠",VLOOKUP(U199,'G-3 Multipliers'!$L$3:$N$6,2,FALSE)))</f>
        <v/>
      </c>
      <c r="W199" s="386" t="str">
        <f>IF(U199="","",IF(VLOOKUP(U199,'G-3 Multipliers'!$L$3:$N$6,3,FALSE)=0,"Spatial Data Missing ⚠",VLOOKUP(U199,'G-3 Multipliers'!$L$3:$N$6,3,FALSE)))</f>
        <v/>
      </c>
      <c r="X199" s="362" t="str">
        <f>IFERROR(IF(OR(LEFT(O199,5)="Error",LEFT(N199,5)="Error",T199="Error"),"Check Data ⚠",IF(F199&lt;R199,INDEX('G-6 Hedgerow Data'!$S$3:$AE$14,MATCH(C199,'G-6 Hedgerow Data'!$B$3:$B$14,0),MATCH(M199,'G-6 Hedgerow Data'!$S$2:$AE$2,0)),INDEX('G-6 Hedgerow Data'!$K$3:$Q$14,MATCH(M199,'G-6 Hedgerow Data'!$B$3:$B$14,0),MATCH(O199,'G-6 Hedgerow Data'!$K$2:$Q$2,0)))),"")</f>
        <v/>
      </c>
      <c r="Y199" s="159"/>
      <c r="Z199" s="159"/>
      <c r="AA199" s="370" t="str">
        <f t="shared" si="19"/>
        <v/>
      </c>
      <c r="AB199" s="383" t="str">
        <f t="shared" si="20"/>
        <v/>
      </c>
      <c r="AC199" s="384" t="str">
        <f t="shared" si="16"/>
        <v/>
      </c>
      <c r="AD199" s="398" t="str">
        <f>IF(M199="","",VLOOKUP(M199,'G-6 Hedgerow Data'!$B$3:$AG$15,31,FALSE))</f>
        <v/>
      </c>
      <c r="AE199" s="370" t="str">
        <f t="shared" si="21"/>
        <v/>
      </c>
      <c r="AF199" s="370" t="str">
        <f t="shared" si="22"/>
        <v/>
      </c>
      <c r="AG199" s="386" t="str">
        <f>IFERROR(IF(O199="","",VLOOKUP(AD199,'G-3 Multipliers'!$P$3:$Q$6,2,FALSE)),"")</f>
        <v/>
      </c>
      <c r="AH199" s="376" t="str">
        <f t="shared" si="17"/>
        <v/>
      </c>
      <c r="AI199" s="188"/>
      <c r="AJ199" s="118"/>
      <c r="AK199" s="120"/>
      <c r="AT199" s="30" t="str">
        <f>IFERROR(INDEX('G-6 Hedgerow Data'!$BJ$3:$BJ$15,MATCH(M199,'G-6 Hedgerow Data'!$B$3:$B$15,0)),"")</f>
        <v/>
      </c>
    </row>
    <row r="200" spans="2:46" ht="15">
      <c r="B200" s="392" t="str">
        <f>'B-1 On-Site Hedge Baseline'!AK198</f>
        <v/>
      </c>
      <c r="C200" s="382" t="str">
        <f>IF(B200="","",IF(ISNA(VLOOKUP($B200,'B-1 On-Site Hedge Baseline'!$B$1:$L$257,3,FALSE)),"",(VLOOKUP($B200,'B-1 On-Site Hedge Baseline'!$B$1:$L$257,3,FALSE))))</f>
        <v/>
      </c>
      <c r="D200" s="382" t="str">
        <f>IF(B200="","",IF(ISNA(VLOOKUP($B200,'B-1 On-Site Hedge Baseline'!$B$1:$L$257,4,FALSE)),"",(VLOOKUP($B200,'B-1 On-Site Hedge Baseline'!$B$1:$L$257,4,FALSE))))</f>
        <v/>
      </c>
      <c r="E200" s="382" t="str">
        <f>IF(B200="","",IF(ISNA(VLOOKUP($B200,'B-1 On-Site Hedge Baseline'!$B$1:$L$257,5,FALSE)),"",(VLOOKUP($B200,'B-1 On-Site Hedge Baseline'!$B$1:$L$257,5,FALSE))))</f>
        <v/>
      </c>
      <c r="F200" s="382" t="str">
        <f>IF(B200="","",IF(ISNA(VLOOKUP($B200,'B-1 On-Site Hedge Baseline'!$B$1:$L$257,6,FALSE)),"",(VLOOKUP($B200,'B-1 On-Site Hedge Baseline'!$B$1:$L$257,6,FALSE))))</f>
        <v/>
      </c>
      <c r="G200" s="382" t="str">
        <f>IF(B200="","",IF(ISNA(VLOOKUP($B200,'B-1 On-Site Hedge Baseline'!$B$1:$L$257,7,FALSE)),"",(VLOOKUP($B200,'B-1 On-Site Hedge Baseline'!$B$1:$L$257,7,FALSE))))</f>
        <v/>
      </c>
      <c r="H200" s="382" t="str">
        <f>IF(B200="","",IF(ISNA(VLOOKUP($B200,'B-1 On-Site Hedge Baseline'!$B$1:$L$257,8,FALSE)),"",(VLOOKUP($B200,'B-1 On-Site Hedge Baseline'!$B$1:$L$257,8,FALSE))))</f>
        <v/>
      </c>
      <c r="I200" s="382" t="str">
        <f>IF(B200="","",IF(ISNA(VLOOKUP($B200,'B-1 On-Site Hedge Baseline'!$B$1:$L$257,10,FALSE)),"",(VLOOKUP($B200,'B-1 On-Site Hedge Baseline'!$B$1:$L$257,10,FALSE))))</f>
        <v/>
      </c>
      <c r="J200" s="382" t="str">
        <f>IF(B200="","",IF(ISNA(VLOOKUP($B200,'B-1 On-Site Hedge Baseline'!$B$1:$L$257,11,FALSE)),"",(VLOOKUP($B200,'B-1 On-Site Hedge Baseline'!$B$1:$L$257,11,FALSE))))</f>
        <v/>
      </c>
      <c r="K200" s="382" t="str">
        <f>IF(B200="","",IF(ISNA(VLOOKUP($B200,'B-1 On-Site Hedge Baseline'!$B$1:$U$257,13,FALSE)),"",(VLOOKUP($B200,'B-1 On-Site Hedge Baseline'!$B$1:$U$257,13,FALSE))))</f>
        <v/>
      </c>
      <c r="L200" s="386" t="str">
        <f>IF(B200="","",IF(ISNA(VLOOKUP($B200,'B-1 On-Site Hedge Baseline'!$B$1:$U$257,12,FALSE)),"",(VLOOKUP($B200,'B-1 On-Site Hedge Baseline'!$B$1:$U$257,12,FALSE))))</f>
        <v/>
      </c>
      <c r="M200" s="315" t="str">
        <f t="shared" si="23"/>
        <v/>
      </c>
      <c r="N200" s="362" t="str">
        <f>IFERROR(IF(B200="","",INDEX('G-6 Hedgerow Data'!$AN$3:$AZ$15,MATCH(C200,'G-6 Hedgerow Data'!$AM$3:$AM$15,0),MATCH(M200,'G-6 Hedgerow Data'!$AN$2:$AZ$2,0))),"")</f>
        <v/>
      </c>
      <c r="O200" s="363" t="str">
        <f t="shared" si="18"/>
        <v/>
      </c>
      <c r="P200" s="417" t="str">
        <f>IF(B200="","",VLOOKUP(B200,'B-1 On-Site Hedge Baseline'!$B$10:T445,16,FALSE))</f>
        <v/>
      </c>
      <c r="Q200" s="362" t="str">
        <f>IF(M200="","",VLOOKUP(M200,'G-6 Hedgerow Data'!$B$2:$AG$15,2,FALSE))</f>
        <v/>
      </c>
      <c r="R200" s="363" t="str">
        <f>IF(M200="","",VLOOKUP(M200,'G-6 Hedgerow Data'!$B$2:$AG$15,3,FALSE))</f>
        <v/>
      </c>
      <c r="S200" s="125"/>
      <c r="T200" s="401" t="str">
        <f>IFERROR(VLOOKUP(S200,'G-1 All Habitats'!$Z$2:$AA$9,2,FALSE),"")</f>
        <v/>
      </c>
      <c r="U200" s="122"/>
      <c r="V200" s="382" t="str">
        <f>IF(U200="","",IF(VLOOKUP(U200,'G-3 Multipliers'!$L$3:$N$6,2,FALSE)=0,"Spatial Data Missing ⚠",VLOOKUP(U200,'G-3 Multipliers'!$L$3:$N$6,2,FALSE)))</f>
        <v/>
      </c>
      <c r="W200" s="386" t="str">
        <f>IF(U200="","",IF(VLOOKUP(U200,'G-3 Multipliers'!$L$3:$N$6,3,FALSE)=0,"Spatial Data Missing ⚠",VLOOKUP(U200,'G-3 Multipliers'!$L$3:$N$6,3,FALSE)))</f>
        <v/>
      </c>
      <c r="X200" s="362" t="str">
        <f>IFERROR(IF(OR(LEFT(O200,5)="Error",LEFT(N200,5)="Error",T200="Error"),"Check Data ⚠",IF(F200&lt;R200,INDEX('G-6 Hedgerow Data'!$S$3:$AE$14,MATCH(C200,'G-6 Hedgerow Data'!$B$3:$B$14,0),MATCH(M200,'G-6 Hedgerow Data'!$S$2:$AE$2,0)),INDEX('G-6 Hedgerow Data'!$K$3:$Q$14,MATCH(M200,'G-6 Hedgerow Data'!$B$3:$B$14,0),MATCH(O200,'G-6 Hedgerow Data'!$K$2:$Q$2,0)))),"")</f>
        <v/>
      </c>
      <c r="Y200" s="159"/>
      <c r="Z200" s="159"/>
      <c r="AA200" s="370" t="str">
        <f t="shared" si="19"/>
        <v/>
      </c>
      <c r="AB200" s="383" t="str">
        <f t="shared" si="20"/>
        <v/>
      </c>
      <c r="AC200" s="384" t="str">
        <f t="shared" si="16"/>
        <v/>
      </c>
      <c r="AD200" s="398" t="str">
        <f>IF(M200="","",VLOOKUP(M200,'G-6 Hedgerow Data'!$B$3:$AG$15,31,FALSE))</f>
        <v/>
      </c>
      <c r="AE200" s="370" t="str">
        <f t="shared" si="21"/>
        <v/>
      </c>
      <c r="AF200" s="370" t="str">
        <f t="shared" si="22"/>
        <v/>
      </c>
      <c r="AG200" s="386" t="str">
        <f>IFERROR(IF(O200="","",VLOOKUP(AD200,'G-3 Multipliers'!$P$3:$Q$6,2,FALSE)),"")</f>
        <v/>
      </c>
      <c r="AH200" s="376" t="str">
        <f t="shared" si="17"/>
        <v/>
      </c>
      <c r="AI200" s="188"/>
      <c r="AJ200" s="118"/>
      <c r="AK200" s="120"/>
      <c r="AT200" s="30" t="str">
        <f>IFERROR(INDEX('G-6 Hedgerow Data'!$BJ$3:$BJ$15,MATCH(M200,'G-6 Hedgerow Data'!$B$3:$B$15,0)),"")</f>
        <v/>
      </c>
    </row>
    <row r="201" spans="2:46" ht="15">
      <c r="B201" s="392" t="str">
        <f>'B-1 On-Site Hedge Baseline'!AK199</f>
        <v/>
      </c>
      <c r="C201" s="382" t="str">
        <f>IF(B201="","",IF(ISNA(VLOOKUP($B201,'B-1 On-Site Hedge Baseline'!$B$1:$L$257,3,FALSE)),"",(VLOOKUP($B201,'B-1 On-Site Hedge Baseline'!$B$1:$L$257,3,FALSE))))</f>
        <v/>
      </c>
      <c r="D201" s="382" t="str">
        <f>IF(B201="","",IF(ISNA(VLOOKUP($B201,'B-1 On-Site Hedge Baseline'!$B$1:$L$257,4,FALSE)),"",(VLOOKUP($B201,'B-1 On-Site Hedge Baseline'!$B$1:$L$257,4,FALSE))))</f>
        <v/>
      </c>
      <c r="E201" s="382" t="str">
        <f>IF(B201="","",IF(ISNA(VLOOKUP($B201,'B-1 On-Site Hedge Baseline'!$B$1:$L$257,5,FALSE)),"",(VLOOKUP($B201,'B-1 On-Site Hedge Baseline'!$B$1:$L$257,5,FALSE))))</f>
        <v/>
      </c>
      <c r="F201" s="382" t="str">
        <f>IF(B201="","",IF(ISNA(VLOOKUP($B201,'B-1 On-Site Hedge Baseline'!$B$1:$L$257,6,FALSE)),"",(VLOOKUP($B201,'B-1 On-Site Hedge Baseline'!$B$1:$L$257,6,FALSE))))</f>
        <v/>
      </c>
      <c r="G201" s="382" t="str">
        <f>IF(B201="","",IF(ISNA(VLOOKUP($B201,'B-1 On-Site Hedge Baseline'!$B$1:$L$257,7,FALSE)),"",(VLOOKUP($B201,'B-1 On-Site Hedge Baseline'!$B$1:$L$257,7,FALSE))))</f>
        <v/>
      </c>
      <c r="H201" s="382" t="str">
        <f>IF(B201="","",IF(ISNA(VLOOKUP($B201,'B-1 On-Site Hedge Baseline'!$B$1:$L$257,8,FALSE)),"",(VLOOKUP($B201,'B-1 On-Site Hedge Baseline'!$B$1:$L$257,8,FALSE))))</f>
        <v/>
      </c>
      <c r="I201" s="382" t="str">
        <f>IF(B201="","",IF(ISNA(VLOOKUP($B201,'B-1 On-Site Hedge Baseline'!$B$1:$L$257,10,FALSE)),"",(VLOOKUP($B201,'B-1 On-Site Hedge Baseline'!$B$1:$L$257,10,FALSE))))</f>
        <v/>
      </c>
      <c r="J201" s="382" t="str">
        <f>IF(B201="","",IF(ISNA(VLOOKUP($B201,'B-1 On-Site Hedge Baseline'!$B$1:$L$257,11,FALSE)),"",(VLOOKUP($B201,'B-1 On-Site Hedge Baseline'!$B$1:$L$257,11,FALSE))))</f>
        <v/>
      </c>
      <c r="K201" s="382" t="str">
        <f>IF(B201="","",IF(ISNA(VLOOKUP($B201,'B-1 On-Site Hedge Baseline'!$B$1:$U$257,13,FALSE)),"",(VLOOKUP($B201,'B-1 On-Site Hedge Baseline'!$B$1:$U$257,13,FALSE))))</f>
        <v/>
      </c>
      <c r="L201" s="386" t="str">
        <f>IF(B201="","",IF(ISNA(VLOOKUP($B201,'B-1 On-Site Hedge Baseline'!$B$1:$U$257,12,FALSE)),"",(VLOOKUP($B201,'B-1 On-Site Hedge Baseline'!$B$1:$U$257,12,FALSE))))</f>
        <v/>
      </c>
      <c r="M201" s="315" t="str">
        <f t="shared" si="23"/>
        <v/>
      </c>
      <c r="N201" s="362" t="str">
        <f>IFERROR(IF(B201="","",INDEX('G-6 Hedgerow Data'!$AN$3:$AZ$15,MATCH(C201,'G-6 Hedgerow Data'!$AM$3:$AM$15,0),MATCH(M201,'G-6 Hedgerow Data'!$AN$2:$AZ$2,0))),"")</f>
        <v/>
      </c>
      <c r="O201" s="363" t="str">
        <f t="shared" si="18"/>
        <v/>
      </c>
      <c r="P201" s="417" t="str">
        <f>IF(B201="","",VLOOKUP(B201,'B-1 On-Site Hedge Baseline'!$B$10:T446,16,FALSE))</f>
        <v/>
      </c>
      <c r="Q201" s="362" t="str">
        <f>IF(M201="","",VLOOKUP(M201,'G-6 Hedgerow Data'!$B$2:$AG$15,2,FALSE))</f>
        <v/>
      </c>
      <c r="R201" s="363" t="str">
        <f>IF(M201="","",VLOOKUP(M201,'G-6 Hedgerow Data'!$B$2:$AG$15,3,FALSE))</f>
        <v/>
      </c>
      <c r="S201" s="125"/>
      <c r="T201" s="401" t="str">
        <f>IFERROR(VLOOKUP(S201,'G-1 All Habitats'!$Z$2:$AA$9,2,FALSE),"")</f>
        <v/>
      </c>
      <c r="U201" s="122"/>
      <c r="V201" s="382" t="str">
        <f>IF(U201="","",IF(VLOOKUP(U201,'G-3 Multipliers'!$L$3:$N$6,2,FALSE)=0,"Spatial Data Missing ⚠",VLOOKUP(U201,'G-3 Multipliers'!$L$3:$N$6,2,FALSE)))</f>
        <v/>
      </c>
      <c r="W201" s="386" t="str">
        <f>IF(U201="","",IF(VLOOKUP(U201,'G-3 Multipliers'!$L$3:$N$6,3,FALSE)=0,"Spatial Data Missing ⚠",VLOOKUP(U201,'G-3 Multipliers'!$L$3:$N$6,3,FALSE)))</f>
        <v/>
      </c>
      <c r="X201" s="362" t="str">
        <f>IFERROR(IF(OR(LEFT(O201,5)="Error",LEFT(N201,5)="Error",T201="Error"),"Check Data ⚠",IF(F201&lt;R201,INDEX('G-6 Hedgerow Data'!$S$3:$AE$14,MATCH(C201,'G-6 Hedgerow Data'!$B$3:$B$14,0),MATCH(M201,'G-6 Hedgerow Data'!$S$2:$AE$2,0)),INDEX('G-6 Hedgerow Data'!$K$3:$Q$14,MATCH(M201,'G-6 Hedgerow Data'!$B$3:$B$14,0),MATCH(O201,'G-6 Hedgerow Data'!$K$2:$Q$2,0)))),"")</f>
        <v/>
      </c>
      <c r="Y201" s="159"/>
      <c r="Z201" s="159"/>
      <c r="AA201" s="370" t="str">
        <f t="shared" si="19"/>
        <v/>
      </c>
      <c r="AB201" s="383" t="str">
        <f t="shared" si="20"/>
        <v/>
      </c>
      <c r="AC201" s="384" t="str">
        <f t="shared" si="16"/>
        <v/>
      </c>
      <c r="AD201" s="398" t="str">
        <f>IF(M201="","",VLOOKUP(M201,'G-6 Hedgerow Data'!$B$3:$AG$15,31,FALSE))</f>
        <v/>
      </c>
      <c r="AE201" s="370" t="str">
        <f t="shared" si="21"/>
        <v/>
      </c>
      <c r="AF201" s="370" t="str">
        <f t="shared" si="22"/>
        <v/>
      </c>
      <c r="AG201" s="386" t="str">
        <f>IFERROR(IF(O201="","",VLOOKUP(AD201,'G-3 Multipliers'!$P$3:$Q$6,2,FALSE)),"")</f>
        <v/>
      </c>
      <c r="AH201" s="376" t="str">
        <f t="shared" si="17"/>
        <v/>
      </c>
      <c r="AI201" s="188"/>
      <c r="AJ201" s="118"/>
      <c r="AK201" s="120"/>
      <c r="AT201" s="30" t="str">
        <f>IFERROR(INDEX('G-6 Hedgerow Data'!$BJ$3:$BJ$15,MATCH(M201,'G-6 Hedgerow Data'!$B$3:$B$15,0)),"")</f>
        <v/>
      </c>
    </row>
    <row r="202" spans="2:46" ht="15">
      <c r="B202" s="392" t="str">
        <f>'B-1 On-Site Hedge Baseline'!AK200</f>
        <v/>
      </c>
      <c r="C202" s="382" t="str">
        <f>IF(B202="","",IF(ISNA(VLOOKUP($B202,'B-1 On-Site Hedge Baseline'!$B$1:$L$257,3,FALSE)),"",(VLOOKUP($B202,'B-1 On-Site Hedge Baseline'!$B$1:$L$257,3,FALSE))))</f>
        <v/>
      </c>
      <c r="D202" s="382" t="str">
        <f>IF(B202="","",IF(ISNA(VLOOKUP($B202,'B-1 On-Site Hedge Baseline'!$B$1:$L$257,4,FALSE)),"",(VLOOKUP($B202,'B-1 On-Site Hedge Baseline'!$B$1:$L$257,4,FALSE))))</f>
        <v/>
      </c>
      <c r="E202" s="382" t="str">
        <f>IF(B202="","",IF(ISNA(VLOOKUP($B202,'B-1 On-Site Hedge Baseline'!$B$1:$L$257,5,FALSE)),"",(VLOOKUP($B202,'B-1 On-Site Hedge Baseline'!$B$1:$L$257,5,FALSE))))</f>
        <v/>
      </c>
      <c r="F202" s="382" t="str">
        <f>IF(B202="","",IF(ISNA(VLOOKUP($B202,'B-1 On-Site Hedge Baseline'!$B$1:$L$257,6,FALSE)),"",(VLOOKUP($B202,'B-1 On-Site Hedge Baseline'!$B$1:$L$257,6,FALSE))))</f>
        <v/>
      </c>
      <c r="G202" s="382" t="str">
        <f>IF(B202="","",IF(ISNA(VLOOKUP($B202,'B-1 On-Site Hedge Baseline'!$B$1:$L$257,7,FALSE)),"",(VLOOKUP($B202,'B-1 On-Site Hedge Baseline'!$B$1:$L$257,7,FALSE))))</f>
        <v/>
      </c>
      <c r="H202" s="382" t="str">
        <f>IF(B202="","",IF(ISNA(VLOOKUP($B202,'B-1 On-Site Hedge Baseline'!$B$1:$L$257,8,FALSE)),"",(VLOOKUP($B202,'B-1 On-Site Hedge Baseline'!$B$1:$L$257,8,FALSE))))</f>
        <v/>
      </c>
      <c r="I202" s="382" t="str">
        <f>IF(B202="","",IF(ISNA(VLOOKUP($B202,'B-1 On-Site Hedge Baseline'!$B$1:$L$257,10,FALSE)),"",(VLOOKUP($B202,'B-1 On-Site Hedge Baseline'!$B$1:$L$257,10,FALSE))))</f>
        <v/>
      </c>
      <c r="J202" s="382" t="str">
        <f>IF(B202="","",IF(ISNA(VLOOKUP($B202,'B-1 On-Site Hedge Baseline'!$B$1:$L$257,11,FALSE)),"",(VLOOKUP($B202,'B-1 On-Site Hedge Baseline'!$B$1:$L$257,11,FALSE))))</f>
        <v/>
      </c>
      <c r="K202" s="382" t="str">
        <f>IF(B202="","",IF(ISNA(VLOOKUP($B202,'B-1 On-Site Hedge Baseline'!$B$1:$U$257,13,FALSE)),"",(VLOOKUP($B202,'B-1 On-Site Hedge Baseline'!$B$1:$U$257,13,FALSE))))</f>
        <v/>
      </c>
      <c r="L202" s="386" t="str">
        <f>IF(B202="","",IF(ISNA(VLOOKUP($B202,'B-1 On-Site Hedge Baseline'!$B$1:$U$257,12,FALSE)),"",(VLOOKUP($B202,'B-1 On-Site Hedge Baseline'!$B$1:$U$257,12,FALSE))))</f>
        <v/>
      </c>
      <c r="M202" s="315" t="str">
        <f t="shared" si="23"/>
        <v/>
      </c>
      <c r="N202" s="362" t="str">
        <f>IFERROR(IF(B202="","",INDEX('G-6 Hedgerow Data'!$AN$3:$AZ$15,MATCH(C202,'G-6 Hedgerow Data'!$AM$3:$AM$15,0),MATCH(M202,'G-6 Hedgerow Data'!$AN$2:$AZ$2,0))),"")</f>
        <v/>
      </c>
      <c r="O202" s="363" t="str">
        <f t="shared" si="18"/>
        <v/>
      </c>
      <c r="P202" s="417" t="str">
        <f>IF(B202="","",VLOOKUP(B202,'B-1 On-Site Hedge Baseline'!$B$10:T447,16,FALSE))</f>
        <v/>
      </c>
      <c r="Q202" s="362" t="str">
        <f>IF(M202="","",VLOOKUP(M202,'G-6 Hedgerow Data'!$B$2:$AG$15,2,FALSE))</f>
        <v/>
      </c>
      <c r="R202" s="363" t="str">
        <f>IF(M202="","",VLOOKUP(M202,'G-6 Hedgerow Data'!$B$2:$AG$15,3,FALSE))</f>
        <v/>
      </c>
      <c r="S202" s="125"/>
      <c r="T202" s="401" t="str">
        <f>IFERROR(VLOOKUP(S202,'G-1 All Habitats'!$Z$2:$AA$9,2,FALSE),"")</f>
        <v/>
      </c>
      <c r="U202" s="122"/>
      <c r="V202" s="382" t="str">
        <f>IF(U202="","",IF(VLOOKUP(U202,'G-3 Multipliers'!$L$3:$N$6,2,FALSE)=0,"Spatial Data Missing ⚠",VLOOKUP(U202,'G-3 Multipliers'!$L$3:$N$6,2,FALSE)))</f>
        <v/>
      </c>
      <c r="W202" s="386" t="str">
        <f>IF(U202="","",IF(VLOOKUP(U202,'G-3 Multipliers'!$L$3:$N$6,3,FALSE)=0,"Spatial Data Missing ⚠",VLOOKUP(U202,'G-3 Multipliers'!$L$3:$N$6,3,FALSE)))</f>
        <v/>
      </c>
      <c r="X202" s="362" t="str">
        <f>IFERROR(IF(OR(LEFT(O202,5)="Error",LEFT(N202,5)="Error",T202="Error"),"Check Data ⚠",IF(F202&lt;R202,INDEX('G-6 Hedgerow Data'!$S$3:$AE$14,MATCH(C202,'G-6 Hedgerow Data'!$B$3:$B$14,0),MATCH(M202,'G-6 Hedgerow Data'!$S$2:$AE$2,0)),INDEX('G-6 Hedgerow Data'!$K$3:$Q$14,MATCH(M202,'G-6 Hedgerow Data'!$B$3:$B$14,0),MATCH(O202,'G-6 Hedgerow Data'!$K$2:$Q$2,0)))),"")</f>
        <v/>
      </c>
      <c r="Y202" s="159"/>
      <c r="Z202" s="159"/>
      <c r="AA202" s="370" t="str">
        <f t="shared" si="19"/>
        <v/>
      </c>
      <c r="AB202" s="383" t="str">
        <f t="shared" si="20"/>
        <v/>
      </c>
      <c r="AC202" s="384" t="str">
        <f t="shared" si="16"/>
        <v/>
      </c>
      <c r="AD202" s="398" t="str">
        <f>IF(M202="","",VLOOKUP(M202,'G-6 Hedgerow Data'!$B$3:$AG$15,31,FALSE))</f>
        <v/>
      </c>
      <c r="AE202" s="370" t="str">
        <f t="shared" si="21"/>
        <v/>
      </c>
      <c r="AF202" s="370" t="str">
        <f t="shared" si="22"/>
        <v/>
      </c>
      <c r="AG202" s="386" t="str">
        <f>IFERROR(IF(O202="","",VLOOKUP(AD202,'G-3 Multipliers'!$P$3:$Q$6,2,FALSE)),"")</f>
        <v/>
      </c>
      <c r="AH202" s="376" t="str">
        <f t="shared" si="17"/>
        <v/>
      </c>
      <c r="AI202" s="188"/>
      <c r="AJ202" s="118"/>
      <c r="AK202" s="120"/>
      <c r="AT202" s="30" t="str">
        <f>IFERROR(INDEX('G-6 Hedgerow Data'!$BJ$3:$BJ$15,MATCH(M202,'G-6 Hedgerow Data'!$B$3:$B$15,0)),"")</f>
        <v/>
      </c>
    </row>
    <row r="203" spans="2:46" ht="15">
      <c r="B203" s="392" t="str">
        <f>'B-1 On-Site Hedge Baseline'!AK201</f>
        <v/>
      </c>
      <c r="C203" s="382" t="str">
        <f>IF(B203="","",IF(ISNA(VLOOKUP($B203,'B-1 On-Site Hedge Baseline'!$B$1:$L$257,3,FALSE)),"",(VLOOKUP($B203,'B-1 On-Site Hedge Baseline'!$B$1:$L$257,3,FALSE))))</f>
        <v/>
      </c>
      <c r="D203" s="382" t="str">
        <f>IF(B203="","",IF(ISNA(VLOOKUP($B203,'B-1 On-Site Hedge Baseline'!$B$1:$L$257,4,FALSE)),"",(VLOOKUP($B203,'B-1 On-Site Hedge Baseline'!$B$1:$L$257,4,FALSE))))</f>
        <v/>
      </c>
      <c r="E203" s="382" t="str">
        <f>IF(B203="","",IF(ISNA(VLOOKUP($B203,'B-1 On-Site Hedge Baseline'!$B$1:$L$257,5,FALSE)),"",(VLOOKUP($B203,'B-1 On-Site Hedge Baseline'!$B$1:$L$257,5,FALSE))))</f>
        <v/>
      </c>
      <c r="F203" s="382" t="str">
        <f>IF(B203="","",IF(ISNA(VLOOKUP($B203,'B-1 On-Site Hedge Baseline'!$B$1:$L$257,6,FALSE)),"",(VLOOKUP($B203,'B-1 On-Site Hedge Baseline'!$B$1:$L$257,6,FALSE))))</f>
        <v/>
      </c>
      <c r="G203" s="382" t="str">
        <f>IF(B203="","",IF(ISNA(VLOOKUP($B203,'B-1 On-Site Hedge Baseline'!$B$1:$L$257,7,FALSE)),"",(VLOOKUP($B203,'B-1 On-Site Hedge Baseline'!$B$1:$L$257,7,FALSE))))</f>
        <v/>
      </c>
      <c r="H203" s="382" t="str">
        <f>IF(B203="","",IF(ISNA(VLOOKUP($B203,'B-1 On-Site Hedge Baseline'!$B$1:$L$257,8,FALSE)),"",(VLOOKUP($B203,'B-1 On-Site Hedge Baseline'!$B$1:$L$257,8,FALSE))))</f>
        <v/>
      </c>
      <c r="I203" s="382" t="str">
        <f>IF(B203="","",IF(ISNA(VLOOKUP($B203,'B-1 On-Site Hedge Baseline'!$B$1:$L$257,10,FALSE)),"",(VLOOKUP($B203,'B-1 On-Site Hedge Baseline'!$B$1:$L$257,10,FALSE))))</f>
        <v/>
      </c>
      <c r="J203" s="382" t="str">
        <f>IF(B203="","",IF(ISNA(VLOOKUP($B203,'B-1 On-Site Hedge Baseline'!$B$1:$L$257,11,FALSE)),"",(VLOOKUP($B203,'B-1 On-Site Hedge Baseline'!$B$1:$L$257,11,FALSE))))</f>
        <v/>
      </c>
      <c r="K203" s="382" t="str">
        <f>IF(B203="","",IF(ISNA(VLOOKUP($B203,'B-1 On-Site Hedge Baseline'!$B$1:$U$257,13,FALSE)),"",(VLOOKUP($B203,'B-1 On-Site Hedge Baseline'!$B$1:$U$257,13,FALSE))))</f>
        <v/>
      </c>
      <c r="L203" s="386" t="str">
        <f>IF(B203="","",IF(ISNA(VLOOKUP($B203,'B-1 On-Site Hedge Baseline'!$B$1:$U$257,12,FALSE)),"",(VLOOKUP($B203,'B-1 On-Site Hedge Baseline'!$B$1:$U$257,12,FALSE))))</f>
        <v/>
      </c>
      <c r="M203" s="315" t="str">
        <f t="shared" si="23"/>
        <v/>
      </c>
      <c r="N203" s="362" t="str">
        <f>IFERROR(IF(B203="","",INDEX('G-6 Hedgerow Data'!$AN$3:$AZ$15,MATCH(C203,'G-6 Hedgerow Data'!$AM$3:$AM$15,0),MATCH(M203,'G-6 Hedgerow Data'!$AN$2:$AZ$2,0))),"")</f>
        <v/>
      </c>
      <c r="O203" s="363" t="str">
        <f t="shared" si="18"/>
        <v/>
      </c>
      <c r="P203" s="417" t="str">
        <f>IF(B203="","",VLOOKUP(B203,'B-1 On-Site Hedge Baseline'!$B$10:T448,16,FALSE))</f>
        <v/>
      </c>
      <c r="Q203" s="362" t="str">
        <f>IF(M203="","",VLOOKUP(M203,'G-6 Hedgerow Data'!$B$2:$AG$15,2,FALSE))</f>
        <v/>
      </c>
      <c r="R203" s="363" t="str">
        <f>IF(M203="","",VLOOKUP(M203,'G-6 Hedgerow Data'!$B$2:$AG$15,3,FALSE))</f>
        <v/>
      </c>
      <c r="S203" s="125"/>
      <c r="T203" s="401" t="str">
        <f>IFERROR(VLOOKUP(S203,'G-1 All Habitats'!$Z$2:$AA$9,2,FALSE),"")</f>
        <v/>
      </c>
      <c r="U203" s="122"/>
      <c r="V203" s="382" t="str">
        <f>IF(U203="","",IF(VLOOKUP(U203,'G-3 Multipliers'!$L$3:$N$6,2,FALSE)=0,"Spatial Data Missing ⚠",VLOOKUP(U203,'G-3 Multipliers'!$L$3:$N$6,2,FALSE)))</f>
        <v/>
      </c>
      <c r="W203" s="386" t="str">
        <f>IF(U203="","",IF(VLOOKUP(U203,'G-3 Multipliers'!$L$3:$N$6,3,FALSE)=0,"Spatial Data Missing ⚠",VLOOKUP(U203,'G-3 Multipliers'!$L$3:$N$6,3,FALSE)))</f>
        <v/>
      </c>
      <c r="X203" s="362" t="str">
        <f>IFERROR(IF(OR(LEFT(O203,5)="Error",LEFT(N203,5)="Error",T203="Error"),"Check Data ⚠",IF(F203&lt;R203,INDEX('G-6 Hedgerow Data'!$S$3:$AE$14,MATCH(C203,'G-6 Hedgerow Data'!$B$3:$B$14,0),MATCH(M203,'G-6 Hedgerow Data'!$S$2:$AE$2,0)),INDEX('G-6 Hedgerow Data'!$K$3:$Q$14,MATCH(M203,'G-6 Hedgerow Data'!$B$3:$B$14,0),MATCH(O203,'G-6 Hedgerow Data'!$K$2:$Q$2,0)))),"")</f>
        <v/>
      </c>
      <c r="Y203" s="159"/>
      <c r="Z203" s="159"/>
      <c r="AA203" s="370" t="str">
        <f t="shared" si="19"/>
        <v/>
      </c>
      <c r="AB203" s="383" t="str">
        <f t="shared" si="20"/>
        <v/>
      </c>
      <c r="AC203" s="384" t="str">
        <f t="shared" si="16"/>
        <v/>
      </c>
      <c r="AD203" s="398" t="str">
        <f>IF(M203="","",VLOOKUP(M203,'G-6 Hedgerow Data'!$B$3:$AG$15,31,FALSE))</f>
        <v/>
      </c>
      <c r="AE203" s="370" t="str">
        <f t="shared" si="21"/>
        <v/>
      </c>
      <c r="AF203" s="370" t="str">
        <f t="shared" si="22"/>
        <v/>
      </c>
      <c r="AG203" s="386" t="str">
        <f>IFERROR(IF(O203="","",VLOOKUP(AD203,'G-3 Multipliers'!$P$3:$Q$6,2,FALSE)),"")</f>
        <v/>
      </c>
      <c r="AH203" s="376" t="str">
        <f t="shared" si="17"/>
        <v/>
      </c>
      <c r="AI203" s="188"/>
      <c r="AJ203" s="118"/>
      <c r="AK203" s="120"/>
      <c r="AT203" s="30" t="str">
        <f>IFERROR(INDEX('G-6 Hedgerow Data'!$BJ$3:$BJ$15,MATCH(M203,'G-6 Hedgerow Data'!$B$3:$B$15,0)),"")</f>
        <v/>
      </c>
    </row>
    <row r="204" spans="2:46" ht="15">
      <c r="B204" s="392" t="str">
        <f>'B-1 On-Site Hedge Baseline'!AK202</f>
        <v/>
      </c>
      <c r="C204" s="382" t="str">
        <f>IF(B204="","",IF(ISNA(VLOOKUP($B204,'B-1 On-Site Hedge Baseline'!$B$1:$L$257,3,FALSE)),"",(VLOOKUP($B204,'B-1 On-Site Hedge Baseline'!$B$1:$L$257,3,FALSE))))</f>
        <v/>
      </c>
      <c r="D204" s="382" t="str">
        <f>IF(B204="","",IF(ISNA(VLOOKUP($B204,'B-1 On-Site Hedge Baseline'!$B$1:$L$257,4,FALSE)),"",(VLOOKUP($B204,'B-1 On-Site Hedge Baseline'!$B$1:$L$257,4,FALSE))))</f>
        <v/>
      </c>
      <c r="E204" s="382" t="str">
        <f>IF(B204="","",IF(ISNA(VLOOKUP($B204,'B-1 On-Site Hedge Baseline'!$B$1:$L$257,5,FALSE)),"",(VLOOKUP($B204,'B-1 On-Site Hedge Baseline'!$B$1:$L$257,5,FALSE))))</f>
        <v/>
      </c>
      <c r="F204" s="382" t="str">
        <f>IF(B204="","",IF(ISNA(VLOOKUP($B204,'B-1 On-Site Hedge Baseline'!$B$1:$L$257,6,FALSE)),"",(VLOOKUP($B204,'B-1 On-Site Hedge Baseline'!$B$1:$L$257,6,FALSE))))</f>
        <v/>
      </c>
      <c r="G204" s="382" t="str">
        <f>IF(B204="","",IF(ISNA(VLOOKUP($B204,'B-1 On-Site Hedge Baseline'!$B$1:$L$257,7,FALSE)),"",(VLOOKUP($B204,'B-1 On-Site Hedge Baseline'!$B$1:$L$257,7,FALSE))))</f>
        <v/>
      </c>
      <c r="H204" s="382" t="str">
        <f>IF(B204="","",IF(ISNA(VLOOKUP($B204,'B-1 On-Site Hedge Baseline'!$B$1:$L$257,8,FALSE)),"",(VLOOKUP($B204,'B-1 On-Site Hedge Baseline'!$B$1:$L$257,8,FALSE))))</f>
        <v/>
      </c>
      <c r="I204" s="382" t="str">
        <f>IF(B204="","",IF(ISNA(VLOOKUP($B204,'B-1 On-Site Hedge Baseline'!$B$1:$L$257,10,FALSE)),"",(VLOOKUP($B204,'B-1 On-Site Hedge Baseline'!$B$1:$L$257,10,FALSE))))</f>
        <v/>
      </c>
      <c r="J204" s="382" t="str">
        <f>IF(B204="","",IF(ISNA(VLOOKUP($B204,'B-1 On-Site Hedge Baseline'!$B$1:$L$257,11,FALSE)),"",(VLOOKUP($B204,'B-1 On-Site Hedge Baseline'!$B$1:$L$257,11,FALSE))))</f>
        <v/>
      </c>
      <c r="K204" s="382" t="str">
        <f>IF(B204="","",IF(ISNA(VLOOKUP($B204,'B-1 On-Site Hedge Baseline'!$B$1:$U$257,13,FALSE)),"",(VLOOKUP($B204,'B-1 On-Site Hedge Baseline'!$B$1:$U$257,13,FALSE))))</f>
        <v/>
      </c>
      <c r="L204" s="386" t="str">
        <f>IF(B204="","",IF(ISNA(VLOOKUP($B204,'B-1 On-Site Hedge Baseline'!$B$1:$U$257,12,FALSE)),"",(VLOOKUP($B204,'B-1 On-Site Hedge Baseline'!$B$1:$U$257,12,FALSE))))</f>
        <v/>
      </c>
      <c r="M204" s="315" t="str">
        <f t="shared" si="23"/>
        <v/>
      </c>
      <c r="N204" s="362" t="str">
        <f>IFERROR(IF(B204="","",INDEX('G-6 Hedgerow Data'!$AN$3:$AZ$15,MATCH(C204,'G-6 Hedgerow Data'!$AM$3:$AM$15,0),MATCH(M204,'G-6 Hedgerow Data'!$AN$2:$AZ$2,0))),"")</f>
        <v/>
      </c>
      <c r="O204" s="363" t="str">
        <f t="shared" si="18"/>
        <v/>
      </c>
      <c r="P204" s="417" t="str">
        <f>IF(B204="","",VLOOKUP(B204,'B-1 On-Site Hedge Baseline'!$B$10:T449,16,FALSE))</f>
        <v/>
      </c>
      <c r="Q204" s="362" t="str">
        <f>IF(M204="","",VLOOKUP(M204,'G-6 Hedgerow Data'!$B$2:$AG$15,2,FALSE))</f>
        <v/>
      </c>
      <c r="R204" s="363" t="str">
        <f>IF(M204="","",VLOOKUP(M204,'G-6 Hedgerow Data'!$B$2:$AG$15,3,FALSE))</f>
        <v/>
      </c>
      <c r="S204" s="125"/>
      <c r="T204" s="401" t="str">
        <f>IFERROR(VLOOKUP(S204,'G-1 All Habitats'!$Z$2:$AA$9,2,FALSE),"")</f>
        <v/>
      </c>
      <c r="U204" s="122"/>
      <c r="V204" s="382" t="str">
        <f>IF(U204="","",IF(VLOOKUP(U204,'G-3 Multipliers'!$L$3:$N$6,2,FALSE)=0,"Spatial Data Missing ⚠",VLOOKUP(U204,'G-3 Multipliers'!$L$3:$N$6,2,FALSE)))</f>
        <v/>
      </c>
      <c r="W204" s="386" t="str">
        <f>IF(U204="","",IF(VLOOKUP(U204,'G-3 Multipliers'!$L$3:$N$6,3,FALSE)=0,"Spatial Data Missing ⚠",VLOOKUP(U204,'G-3 Multipliers'!$L$3:$N$6,3,FALSE)))</f>
        <v/>
      </c>
      <c r="X204" s="362" t="str">
        <f>IFERROR(IF(OR(LEFT(O204,5)="Error",LEFT(N204,5)="Error",T204="Error"),"Check Data ⚠",IF(F204&lt;R204,INDEX('G-6 Hedgerow Data'!$S$3:$AE$14,MATCH(C204,'G-6 Hedgerow Data'!$B$3:$B$14,0),MATCH(M204,'G-6 Hedgerow Data'!$S$2:$AE$2,0)),INDEX('G-6 Hedgerow Data'!$K$3:$Q$14,MATCH(M204,'G-6 Hedgerow Data'!$B$3:$B$14,0),MATCH(O204,'G-6 Hedgerow Data'!$K$2:$Q$2,0)))),"")</f>
        <v/>
      </c>
      <c r="Y204" s="159"/>
      <c r="Z204" s="159"/>
      <c r="AA204" s="370" t="str">
        <f t="shared" si="19"/>
        <v/>
      </c>
      <c r="AB204" s="383" t="str">
        <f t="shared" si="20"/>
        <v/>
      </c>
      <c r="AC204" s="384" t="str">
        <f t="shared" ref="AC204:AC257" si="24">IF(OR(S204="",M204=""),"",IF(LEFT(AB204,5)="Error ▲","Check Data ⚠",IF(AB204="Check Data ⚠","Check Data ⚠",VLOOKUP(AB204,TemporalMultipliers,3,FALSE))))</f>
        <v/>
      </c>
      <c r="AD204" s="398" t="str">
        <f>IF(M204="","",VLOOKUP(M204,'G-6 Hedgerow Data'!$B$3:$AG$15,31,FALSE))</f>
        <v/>
      </c>
      <c r="AE204" s="370" t="str">
        <f t="shared" si="21"/>
        <v/>
      </c>
      <c r="AF204" s="370" t="str">
        <f t="shared" si="22"/>
        <v/>
      </c>
      <c r="AG204" s="386" t="str">
        <f>IFERROR(IF(O204="","",VLOOKUP(AD204,'G-3 Multipliers'!$P$3:$Q$6,2,FALSE)),"")</f>
        <v/>
      </c>
      <c r="AH204" s="376" t="str">
        <f t="shared" ref="AH204:AH257" si="25">IFERROR(IF(OR(M204="",S204="",U204=""),"",(((((P204*R204*T204)-(P204*F204*H204))*(AG204*AC204))+(P204*F204*H204))*(W204))),"")</f>
        <v/>
      </c>
      <c r="AI204" s="188"/>
      <c r="AJ204" s="118"/>
      <c r="AK204" s="120"/>
      <c r="AT204" s="30" t="str">
        <f>IFERROR(INDEX('G-6 Hedgerow Data'!$BJ$3:$BJ$15,MATCH(M204,'G-6 Hedgerow Data'!$B$3:$B$15,0)),"")</f>
        <v/>
      </c>
    </row>
    <row r="205" spans="2:46" ht="15">
      <c r="B205" s="392" t="str">
        <f>'B-1 On-Site Hedge Baseline'!AK203</f>
        <v/>
      </c>
      <c r="C205" s="382" t="str">
        <f>IF(B205="","",IF(ISNA(VLOOKUP($B205,'B-1 On-Site Hedge Baseline'!$B$1:$L$257,3,FALSE)),"",(VLOOKUP($B205,'B-1 On-Site Hedge Baseline'!$B$1:$L$257,3,FALSE))))</f>
        <v/>
      </c>
      <c r="D205" s="382" t="str">
        <f>IF(B205="","",IF(ISNA(VLOOKUP($B205,'B-1 On-Site Hedge Baseline'!$B$1:$L$257,4,FALSE)),"",(VLOOKUP($B205,'B-1 On-Site Hedge Baseline'!$B$1:$L$257,4,FALSE))))</f>
        <v/>
      </c>
      <c r="E205" s="382" t="str">
        <f>IF(B205="","",IF(ISNA(VLOOKUP($B205,'B-1 On-Site Hedge Baseline'!$B$1:$L$257,5,FALSE)),"",(VLOOKUP($B205,'B-1 On-Site Hedge Baseline'!$B$1:$L$257,5,FALSE))))</f>
        <v/>
      </c>
      <c r="F205" s="382" t="str">
        <f>IF(B205="","",IF(ISNA(VLOOKUP($B205,'B-1 On-Site Hedge Baseline'!$B$1:$L$257,6,FALSE)),"",(VLOOKUP($B205,'B-1 On-Site Hedge Baseline'!$B$1:$L$257,6,FALSE))))</f>
        <v/>
      </c>
      <c r="G205" s="382" t="str">
        <f>IF(B205="","",IF(ISNA(VLOOKUP($B205,'B-1 On-Site Hedge Baseline'!$B$1:$L$257,7,FALSE)),"",(VLOOKUP($B205,'B-1 On-Site Hedge Baseline'!$B$1:$L$257,7,FALSE))))</f>
        <v/>
      </c>
      <c r="H205" s="382" t="str">
        <f>IF(B205="","",IF(ISNA(VLOOKUP($B205,'B-1 On-Site Hedge Baseline'!$B$1:$L$257,8,FALSE)),"",(VLOOKUP($B205,'B-1 On-Site Hedge Baseline'!$B$1:$L$257,8,FALSE))))</f>
        <v/>
      </c>
      <c r="I205" s="382" t="str">
        <f>IF(B205="","",IF(ISNA(VLOOKUP($B205,'B-1 On-Site Hedge Baseline'!$B$1:$L$257,10,FALSE)),"",(VLOOKUP($B205,'B-1 On-Site Hedge Baseline'!$B$1:$L$257,10,FALSE))))</f>
        <v/>
      </c>
      <c r="J205" s="382" t="str">
        <f>IF(B205="","",IF(ISNA(VLOOKUP($B205,'B-1 On-Site Hedge Baseline'!$B$1:$L$257,11,FALSE)),"",(VLOOKUP($B205,'B-1 On-Site Hedge Baseline'!$B$1:$L$257,11,FALSE))))</f>
        <v/>
      </c>
      <c r="K205" s="382" t="str">
        <f>IF(B205="","",IF(ISNA(VLOOKUP($B205,'B-1 On-Site Hedge Baseline'!$B$1:$U$257,13,FALSE)),"",(VLOOKUP($B205,'B-1 On-Site Hedge Baseline'!$B$1:$U$257,13,FALSE))))</f>
        <v/>
      </c>
      <c r="L205" s="386" t="str">
        <f>IF(B205="","",IF(ISNA(VLOOKUP($B205,'B-1 On-Site Hedge Baseline'!$B$1:$U$257,12,FALSE)),"",(VLOOKUP($B205,'B-1 On-Site Hedge Baseline'!$B$1:$U$257,12,FALSE))))</f>
        <v/>
      </c>
      <c r="M205" s="315" t="str">
        <f t="shared" si="23"/>
        <v/>
      </c>
      <c r="N205" s="362" t="str">
        <f>IFERROR(IF(B205="","",INDEX('G-6 Hedgerow Data'!$AN$3:$AZ$15,MATCH(C205,'G-6 Hedgerow Data'!$AM$3:$AM$15,0),MATCH(M205,'G-6 Hedgerow Data'!$AN$2:$AZ$2,0))),"")</f>
        <v/>
      </c>
      <c r="O205" s="363" t="str">
        <f t="shared" ref="O205:O257" si="26">IFERROR(IF(B205="","",IF(AND(LEFT(C205,55)&lt;&gt;LEFT(M205,55),N205="High - High"),"Error - Not like for like ▲",IF(H205&gt;T205,"Error - Can not reduce condition ▲",IF(AND(F205=R205,H205=T205),"Error - No enhancement ▲",IF(AND(C205&lt;&gt;M205,F205&lt;R205),"Lower Distinctiveness Habitat"&amp;" - "&amp;S205,G205&amp;" - "&amp;S205))))),"")</f>
        <v/>
      </c>
      <c r="P205" s="417" t="str">
        <f>IF(B205="","",VLOOKUP(B205,'B-1 On-Site Hedge Baseline'!$B$10:T450,16,FALSE))</f>
        <v/>
      </c>
      <c r="Q205" s="362" t="str">
        <f>IF(M205="","",VLOOKUP(M205,'G-6 Hedgerow Data'!$B$2:$AG$15,2,FALSE))</f>
        <v/>
      </c>
      <c r="R205" s="363" t="str">
        <f>IF(M205="","",VLOOKUP(M205,'G-6 Hedgerow Data'!$B$2:$AG$15,3,FALSE))</f>
        <v/>
      </c>
      <c r="S205" s="125"/>
      <c r="T205" s="401" t="str">
        <f>IFERROR(VLOOKUP(S205,'G-1 All Habitats'!$Z$2:$AA$9,2,FALSE),"")</f>
        <v/>
      </c>
      <c r="U205" s="122"/>
      <c r="V205" s="382" t="str">
        <f>IF(U205="","",IF(VLOOKUP(U205,'G-3 Multipliers'!$L$3:$N$6,2,FALSE)=0,"Spatial Data Missing ⚠",VLOOKUP(U205,'G-3 Multipliers'!$L$3:$N$6,2,FALSE)))</f>
        <v/>
      </c>
      <c r="W205" s="386" t="str">
        <f>IF(U205="","",IF(VLOOKUP(U205,'G-3 Multipliers'!$L$3:$N$6,3,FALSE)=0,"Spatial Data Missing ⚠",VLOOKUP(U205,'G-3 Multipliers'!$L$3:$N$6,3,FALSE)))</f>
        <v/>
      </c>
      <c r="X205" s="362" t="str">
        <f>IFERROR(IF(OR(LEFT(O205,5)="Error",LEFT(N205,5)="Error",T205="Error"),"Check Data ⚠",IF(F205&lt;R205,INDEX('G-6 Hedgerow Data'!$S$3:$AE$14,MATCH(C205,'G-6 Hedgerow Data'!$B$3:$B$14,0),MATCH(M205,'G-6 Hedgerow Data'!$S$2:$AE$2,0)),INDEX('G-6 Hedgerow Data'!$K$3:$Q$14,MATCH(M205,'G-6 Hedgerow Data'!$B$3:$B$14,0),MATCH(O205,'G-6 Hedgerow Data'!$K$2:$Q$2,0)))),"")</f>
        <v/>
      </c>
      <c r="Y205" s="159"/>
      <c r="Z205" s="159"/>
      <c r="AA205" s="370" t="str">
        <f t="shared" ref="AA205:AA257" si="27">IF(X205="Check Data ⚠","Check Data ⚠",IF(M205="","",IF(AND(Y205&gt;0,Z205&gt;0),"Error -both advance and delayed habitat creation ▲",IF(AND(OR(Y205="Habitat already in target condition",X205&lt;=Y205),Z205=0),"Check details - Is there evidence that habitat has reached target condition? ⚠",IF(X205="","",IF(Y205&gt;0,"Check details - Is there evidence habitat creation started/in place? ⚠",IF(Z205&gt;0,"Check details- Delay in starting habitat in required condition? ⚠","Standard time to target condition applied")))))))</f>
        <v/>
      </c>
      <c r="AB205" s="383" t="str">
        <f t="shared" ref="AB205:AB257" si="28">IF(X205="","",IF(AA205="Check Data ⚠","Check Data ⚠",IF(Y205="30+",0,IF(Z205="30+","30+ ⚠",IF(X205+Z205&gt;30,"30+ 'C-1 Site River Baseline'!",IF(AA205="Error -both advance and delayed habitat creation ▲","Check Data ⚠",IF(X205+Z205-Y205&gt;0,X205+Z205-Y205,IF(X205-Y205&lt;=0,0,))))))))</f>
        <v/>
      </c>
      <c r="AC205" s="384" t="str">
        <f t="shared" si="24"/>
        <v/>
      </c>
      <c r="AD205" s="398" t="str">
        <f>IF(M205="","",VLOOKUP(M205,'G-6 Hedgerow Data'!$B$3:$AG$15,31,FALSE))</f>
        <v/>
      </c>
      <c r="AE205" s="370" t="str">
        <f t="shared" ref="AE205:AE257" si="29">IF(M205="","",IF(OR(LEFT(AA205,5)="Error ▲",AA205="Check Data ⚠"),"Check Data ⚠",IF(X205="","",IF($AA205="Check details - Is there evidence that habitat has reached target condition? ⚠","Low Difficulty - only applicable if all habitat created before losses ⚠","Standard difficulty applied"))))</f>
        <v/>
      </c>
      <c r="AF205" s="370" t="str">
        <f t="shared" ref="AF205:AF257" si="30">(IF(AND(AE205="Standard difficulty applied",X205&gt;Y205),AD205,IF(AND(AE205="Low Difficulty - only applicable if all habitat created before losses ⚠",Y205&gt;=X205),"Low",AD205)))</f>
        <v/>
      </c>
      <c r="AG205" s="386" t="str">
        <f>IFERROR(IF(O205="","",VLOOKUP(AD205,'G-3 Multipliers'!$P$3:$Q$6,2,FALSE)),"")</f>
        <v/>
      </c>
      <c r="AH205" s="376" t="str">
        <f t="shared" si="25"/>
        <v/>
      </c>
      <c r="AI205" s="188"/>
      <c r="AJ205" s="118"/>
      <c r="AK205" s="120"/>
      <c r="AT205" s="30" t="str">
        <f>IFERROR(INDEX('G-6 Hedgerow Data'!$BJ$3:$BJ$15,MATCH(M205,'G-6 Hedgerow Data'!$B$3:$B$15,0)),"")</f>
        <v/>
      </c>
    </row>
    <row r="206" spans="2:46" ht="15">
      <c r="B206" s="392" t="str">
        <f>'B-1 On-Site Hedge Baseline'!AK204</f>
        <v/>
      </c>
      <c r="C206" s="382" t="str">
        <f>IF(B206="","",IF(ISNA(VLOOKUP($B206,'B-1 On-Site Hedge Baseline'!$B$1:$L$257,3,FALSE)),"",(VLOOKUP($B206,'B-1 On-Site Hedge Baseline'!$B$1:$L$257,3,FALSE))))</f>
        <v/>
      </c>
      <c r="D206" s="382" t="str">
        <f>IF(B206="","",IF(ISNA(VLOOKUP($B206,'B-1 On-Site Hedge Baseline'!$B$1:$L$257,4,FALSE)),"",(VLOOKUP($B206,'B-1 On-Site Hedge Baseline'!$B$1:$L$257,4,FALSE))))</f>
        <v/>
      </c>
      <c r="E206" s="382" t="str">
        <f>IF(B206="","",IF(ISNA(VLOOKUP($B206,'B-1 On-Site Hedge Baseline'!$B$1:$L$257,5,FALSE)),"",(VLOOKUP($B206,'B-1 On-Site Hedge Baseline'!$B$1:$L$257,5,FALSE))))</f>
        <v/>
      </c>
      <c r="F206" s="382" t="str">
        <f>IF(B206="","",IF(ISNA(VLOOKUP($B206,'B-1 On-Site Hedge Baseline'!$B$1:$L$257,6,FALSE)),"",(VLOOKUP($B206,'B-1 On-Site Hedge Baseline'!$B$1:$L$257,6,FALSE))))</f>
        <v/>
      </c>
      <c r="G206" s="382" t="str">
        <f>IF(B206="","",IF(ISNA(VLOOKUP($B206,'B-1 On-Site Hedge Baseline'!$B$1:$L$257,7,FALSE)),"",(VLOOKUP($B206,'B-1 On-Site Hedge Baseline'!$B$1:$L$257,7,FALSE))))</f>
        <v/>
      </c>
      <c r="H206" s="382" t="str">
        <f>IF(B206="","",IF(ISNA(VLOOKUP($B206,'B-1 On-Site Hedge Baseline'!$B$1:$L$257,8,FALSE)),"",(VLOOKUP($B206,'B-1 On-Site Hedge Baseline'!$B$1:$L$257,8,FALSE))))</f>
        <v/>
      </c>
      <c r="I206" s="382" t="str">
        <f>IF(B206="","",IF(ISNA(VLOOKUP($B206,'B-1 On-Site Hedge Baseline'!$B$1:$L$257,10,FALSE)),"",(VLOOKUP($B206,'B-1 On-Site Hedge Baseline'!$B$1:$L$257,10,FALSE))))</f>
        <v/>
      </c>
      <c r="J206" s="382" t="str">
        <f>IF(B206="","",IF(ISNA(VLOOKUP($B206,'B-1 On-Site Hedge Baseline'!$B$1:$L$257,11,FALSE)),"",(VLOOKUP($B206,'B-1 On-Site Hedge Baseline'!$B$1:$L$257,11,FALSE))))</f>
        <v/>
      </c>
      <c r="K206" s="382" t="str">
        <f>IF(B206="","",IF(ISNA(VLOOKUP($B206,'B-1 On-Site Hedge Baseline'!$B$1:$U$257,13,FALSE)),"",(VLOOKUP($B206,'B-1 On-Site Hedge Baseline'!$B$1:$U$257,13,FALSE))))</f>
        <v/>
      </c>
      <c r="L206" s="386" t="str">
        <f>IF(B206="","",IF(ISNA(VLOOKUP($B206,'B-1 On-Site Hedge Baseline'!$B$1:$U$257,12,FALSE)),"",(VLOOKUP($B206,'B-1 On-Site Hedge Baseline'!$B$1:$U$257,12,FALSE))))</f>
        <v/>
      </c>
      <c r="M206" s="315" t="str">
        <f t="shared" ref="M206:M257" si="31">IF(B206="","",C206)</f>
        <v/>
      </c>
      <c r="N206" s="362" t="str">
        <f>IFERROR(IF(B206="","",INDEX('G-6 Hedgerow Data'!$AN$3:$AZ$15,MATCH(C206,'G-6 Hedgerow Data'!$AM$3:$AM$15,0),MATCH(M206,'G-6 Hedgerow Data'!$AN$2:$AZ$2,0))),"")</f>
        <v/>
      </c>
      <c r="O206" s="363" t="str">
        <f t="shared" si="26"/>
        <v/>
      </c>
      <c r="P206" s="417" t="str">
        <f>IF(B206="","",VLOOKUP(B206,'B-1 On-Site Hedge Baseline'!$B$10:T451,16,FALSE))</f>
        <v/>
      </c>
      <c r="Q206" s="362" t="str">
        <f>IF(M206="","",VLOOKUP(M206,'G-6 Hedgerow Data'!$B$2:$AG$15,2,FALSE))</f>
        <v/>
      </c>
      <c r="R206" s="363" t="str">
        <f>IF(M206="","",VLOOKUP(M206,'G-6 Hedgerow Data'!$B$2:$AG$15,3,FALSE))</f>
        <v/>
      </c>
      <c r="S206" s="125"/>
      <c r="T206" s="401" t="str">
        <f>IFERROR(VLOOKUP(S206,'G-1 All Habitats'!$Z$2:$AA$9,2,FALSE),"")</f>
        <v/>
      </c>
      <c r="U206" s="122"/>
      <c r="V206" s="382" t="str">
        <f>IF(U206="","",IF(VLOOKUP(U206,'G-3 Multipliers'!$L$3:$N$6,2,FALSE)=0,"Spatial Data Missing ⚠",VLOOKUP(U206,'G-3 Multipliers'!$L$3:$N$6,2,FALSE)))</f>
        <v/>
      </c>
      <c r="W206" s="386" t="str">
        <f>IF(U206="","",IF(VLOOKUP(U206,'G-3 Multipliers'!$L$3:$N$6,3,FALSE)=0,"Spatial Data Missing ⚠",VLOOKUP(U206,'G-3 Multipliers'!$L$3:$N$6,3,FALSE)))</f>
        <v/>
      </c>
      <c r="X206" s="362" t="str">
        <f>IFERROR(IF(OR(LEFT(O206,5)="Error",LEFT(N206,5)="Error",T206="Error"),"Check Data ⚠",IF(F206&lt;R206,INDEX('G-6 Hedgerow Data'!$S$3:$AE$14,MATCH(C206,'G-6 Hedgerow Data'!$B$3:$B$14,0),MATCH(M206,'G-6 Hedgerow Data'!$S$2:$AE$2,0)),INDEX('G-6 Hedgerow Data'!$K$3:$Q$14,MATCH(M206,'G-6 Hedgerow Data'!$B$3:$B$14,0),MATCH(O206,'G-6 Hedgerow Data'!$K$2:$Q$2,0)))),"")</f>
        <v/>
      </c>
      <c r="Y206" s="159"/>
      <c r="Z206" s="159"/>
      <c r="AA206" s="370" t="str">
        <f t="shared" si="27"/>
        <v/>
      </c>
      <c r="AB206" s="383" t="str">
        <f t="shared" si="28"/>
        <v/>
      </c>
      <c r="AC206" s="384" t="str">
        <f t="shared" si="24"/>
        <v/>
      </c>
      <c r="AD206" s="398" t="str">
        <f>IF(M206="","",VLOOKUP(M206,'G-6 Hedgerow Data'!$B$3:$AG$15,31,FALSE))</f>
        <v/>
      </c>
      <c r="AE206" s="370" t="str">
        <f t="shared" si="29"/>
        <v/>
      </c>
      <c r="AF206" s="370" t="str">
        <f t="shared" si="30"/>
        <v/>
      </c>
      <c r="AG206" s="386" t="str">
        <f>IFERROR(IF(O206="","",VLOOKUP(AD206,'G-3 Multipliers'!$P$3:$Q$6,2,FALSE)),"")</f>
        <v/>
      </c>
      <c r="AH206" s="376" t="str">
        <f t="shared" si="25"/>
        <v/>
      </c>
      <c r="AI206" s="188"/>
      <c r="AJ206" s="118"/>
      <c r="AK206" s="120"/>
      <c r="AT206" s="30" t="str">
        <f>IFERROR(INDEX('G-6 Hedgerow Data'!$BJ$3:$BJ$15,MATCH(M206,'G-6 Hedgerow Data'!$B$3:$B$15,0)),"")</f>
        <v/>
      </c>
    </row>
    <row r="207" spans="2:46" ht="15">
      <c r="B207" s="392" t="str">
        <f>'B-1 On-Site Hedge Baseline'!AK205</f>
        <v/>
      </c>
      <c r="C207" s="382" t="str">
        <f>IF(B207="","",IF(ISNA(VLOOKUP($B207,'B-1 On-Site Hedge Baseline'!$B$1:$L$257,3,FALSE)),"",(VLOOKUP($B207,'B-1 On-Site Hedge Baseline'!$B$1:$L$257,3,FALSE))))</f>
        <v/>
      </c>
      <c r="D207" s="382" t="str">
        <f>IF(B207="","",IF(ISNA(VLOOKUP($B207,'B-1 On-Site Hedge Baseline'!$B$1:$L$257,4,FALSE)),"",(VLOOKUP($B207,'B-1 On-Site Hedge Baseline'!$B$1:$L$257,4,FALSE))))</f>
        <v/>
      </c>
      <c r="E207" s="382" t="str">
        <f>IF(B207="","",IF(ISNA(VLOOKUP($B207,'B-1 On-Site Hedge Baseline'!$B$1:$L$257,5,FALSE)),"",(VLOOKUP($B207,'B-1 On-Site Hedge Baseline'!$B$1:$L$257,5,FALSE))))</f>
        <v/>
      </c>
      <c r="F207" s="382" t="str">
        <f>IF(B207="","",IF(ISNA(VLOOKUP($B207,'B-1 On-Site Hedge Baseline'!$B$1:$L$257,6,FALSE)),"",(VLOOKUP($B207,'B-1 On-Site Hedge Baseline'!$B$1:$L$257,6,FALSE))))</f>
        <v/>
      </c>
      <c r="G207" s="382" t="str">
        <f>IF(B207="","",IF(ISNA(VLOOKUP($B207,'B-1 On-Site Hedge Baseline'!$B$1:$L$257,7,FALSE)),"",(VLOOKUP($B207,'B-1 On-Site Hedge Baseline'!$B$1:$L$257,7,FALSE))))</f>
        <v/>
      </c>
      <c r="H207" s="382" t="str">
        <f>IF(B207="","",IF(ISNA(VLOOKUP($B207,'B-1 On-Site Hedge Baseline'!$B$1:$L$257,8,FALSE)),"",(VLOOKUP($B207,'B-1 On-Site Hedge Baseline'!$B$1:$L$257,8,FALSE))))</f>
        <v/>
      </c>
      <c r="I207" s="382" t="str">
        <f>IF(B207="","",IF(ISNA(VLOOKUP($B207,'B-1 On-Site Hedge Baseline'!$B$1:$L$257,10,FALSE)),"",(VLOOKUP($B207,'B-1 On-Site Hedge Baseline'!$B$1:$L$257,10,FALSE))))</f>
        <v/>
      </c>
      <c r="J207" s="382" t="str">
        <f>IF(B207="","",IF(ISNA(VLOOKUP($B207,'B-1 On-Site Hedge Baseline'!$B$1:$L$257,11,FALSE)),"",(VLOOKUP($B207,'B-1 On-Site Hedge Baseline'!$B$1:$L$257,11,FALSE))))</f>
        <v/>
      </c>
      <c r="K207" s="382" t="str">
        <f>IF(B207="","",IF(ISNA(VLOOKUP($B207,'B-1 On-Site Hedge Baseline'!$B$1:$U$257,13,FALSE)),"",(VLOOKUP($B207,'B-1 On-Site Hedge Baseline'!$B$1:$U$257,13,FALSE))))</f>
        <v/>
      </c>
      <c r="L207" s="386" t="str">
        <f>IF(B207="","",IF(ISNA(VLOOKUP($B207,'B-1 On-Site Hedge Baseline'!$B$1:$U$257,12,FALSE)),"",(VLOOKUP($B207,'B-1 On-Site Hedge Baseline'!$B$1:$U$257,12,FALSE))))</f>
        <v/>
      </c>
      <c r="M207" s="315" t="str">
        <f t="shared" si="31"/>
        <v/>
      </c>
      <c r="N207" s="362" t="str">
        <f>IFERROR(IF(B207="","",INDEX('G-6 Hedgerow Data'!$AN$3:$AZ$15,MATCH(C207,'G-6 Hedgerow Data'!$AM$3:$AM$15,0),MATCH(M207,'G-6 Hedgerow Data'!$AN$2:$AZ$2,0))),"")</f>
        <v/>
      </c>
      <c r="O207" s="363" t="str">
        <f t="shared" si="26"/>
        <v/>
      </c>
      <c r="P207" s="417" t="str">
        <f>IF(B207="","",VLOOKUP(B207,'B-1 On-Site Hedge Baseline'!$B$10:T452,16,FALSE))</f>
        <v/>
      </c>
      <c r="Q207" s="362" t="str">
        <f>IF(M207="","",VLOOKUP(M207,'G-6 Hedgerow Data'!$B$2:$AG$15,2,FALSE))</f>
        <v/>
      </c>
      <c r="R207" s="363" t="str">
        <f>IF(M207="","",VLOOKUP(M207,'G-6 Hedgerow Data'!$B$2:$AG$15,3,FALSE))</f>
        <v/>
      </c>
      <c r="S207" s="125"/>
      <c r="T207" s="401" t="str">
        <f>IFERROR(VLOOKUP(S207,'G-1 All Habitats'!$Z$2:$AA$9,2,FALSE),"")</f>
        <v/>
      </c>
      <c r="U207" s="122"/>
      <c r="V207" s="382" t="str">
        <f>IF(U207="","",IF(VLOOKUP(U207,'G-3 Multipliers'!$L$3:$N$6,2,FALSE)=0,"Spatial Data Missing ⚠",VLOOKUP(U207,'G-3 Multipliers'!$L$3:$N$6,2,FALSE)))</f>
        <v/>
      </c>
      <c r="W207" s="386" t="str">
        <f>IF(U207="","",IF(VLOOKUP(U207,'G-3 Multipliers'!$L$3:$N$6,3,FALSE)=0,"Spatial Data Missing ⚠",VLOOKUP(U207,'G-3 Multipliers'!$L$3:$N$6,3,FALSE)))</f>
        <v/>
      </c>
      <c r="X207" s="362" t="str">
        <f>IFERROR(IF(OR(LEFT(O207,5)="Error",LEFT(N207,5)="Error",T207="Error"),"Check Data ⚠",IF(F207&lt;R207,INDEX('G-6 Hedgerow Data'!$S$3:$AE$14,MATCH(C207,'G-6 Hedgerow Data'!$B$3:$B$14,0),MATCH(M207,'G-6 Hedgerow Data'!$S$2:$AE$2,0)),INDEX('G-6 Hedgerow Data'!$K$3:$Q$14,MATCH(M207,'G-6 Hedgerow Data'!$B$3:$B$14,0),MATCH(O207,'G-6 Hedgerow Data'!$K$2:$Q$2,0)))),"")</f>
        <v/>
      </c>
      <c r="Y207" s="159"/>
      <c r="Z207" s="159"/>
      <c r="AA207" s="370" t="str">
        <f t="shared" si="27"/>
        <v/>
      </c>
      <c r="AB207" s="383" t="str">
        <f t="shared" si="28"/>
        <v/>
      </c>
      <c r="AC207" s="384" t="str">
        <f t="shared" si="24"/>
        <v/>
      </c>
      <c r="AD207" s="398" t="str">
        <f>IF(M207="","",VLOOKUP(M207,'G-6 Hedgerow Data'!$B$3:$AG$15,31,FALSE))</f>
        <v/>
      </c>
      <c r="AE207" s="370" t="str">
        <f t="shared" si="29"/>
        <v/>
      </c>
      <c r="AF207" s="370" t="str">
        <f t="shared" si="30"/>
        <v/>
      </c>
      <c r="AG207" s="386" t="str">
        <f>IFERROR(IF(O207="","",VLOOKUP(AD207,'G-3 Multipliers'!$P$3:$Q$6,2,FALSE)),"")</f>
        <v/>
      </c>
      <c r="AH207" s="376" t="str">
        <f t="shared" si="25"/>
        <v/>
      </c>
      <c r="AI207" s="188"/>
      <c r="AJ207" s="118"/>
      <c r="AK207" s="120"/>
      <c r="AT207" s="30" t="str">
        <f>IFERROR(INDEX('G-6 Hedgerow Data'!$BJ$3:$BJ$15,MATCH(M207,'G-6 Hedgerow Data'!$B$3:$B$15,0)),"")</f>
        <v/>
      </c>
    </row>
    <row r="208" spans="2:46" ht="15">
      <c r="B208" s="392" t="str">
        <f>'B-1 On-Site Hedge Baseline'!AK206</f>
        <v/>
      </c>
      <c r="C208" s="382" t="str">
        <f>IF(B208="","",IF(ISNA(VLOOKUP($B208,'B-1 On-Site Hedge Baseline'!$B$1:$L$257,3,FALSE)),"",(VLOOKUP($B208,'B-1 On-Site Hedge Baseline'!$B$1:$L$257,3,FALSE))))</f>
        <v/>
      </c>
      <c r="D208" s="382" t="str">
        <f>IF(B208="","",IF(ISNA(VLOOKUP($B208,'B-1 On-Site Hedge Baseline'!$B$1:$L$257,4,FALSE)),"",(VLOOKUP($B208,'B-1 On-Site Hedge Baseline'!$B$1:$L$257,4,FALSE))))</f>
        <v/>
      </c>
      <c r="E208" s="382" t="str">
        <f>IF(B208="","",IF(ISNA(VLOOKUP($B208,'B-1 On-Site Hedge Baseline'!$B$1:$L$257,5,FALSE)),"",(VLOOKUP($B208,'B-1 On-Site Hedge Baseline'!$B$1:$L$257,5,FALSE))))</f>
        <v/>
      </c>
      <c r="F208" s="382" t="str">
        <f>IF(B208="","",IF(ISNA(VLOOKUP($B208,'B-1 On-Site Hedge Baseline'!$B$1:$L$257,6,FALSE)),"",(VLOOKUP($B208,'B-1 On-Site Hedge Baseline'!$B$1:$L$257,6,FALSE))))</f>
        <v/>
      </c>
      <c r="G208" s="382" t="str">
        <f>IF(B208="","",IF(ISNA(VLOOKUP($B208,'B-1 On-Site Hedge Baseline'!$B$1:$L$257,7,FALSE)),"",(VLOOKUP($B208,'B-1 On-Site Hedge Baseline'!$B$1:$L$257,7,FALSE))))</f>
        <v/>
      </c>
      <c r="H208" s="382" t="str">
        <f>IF(B208="","",IF(ISNA(VLOOKUP($B208,'B-1 On-Site Hedge Baseline'!$B$1:$L$257,8,FALSE)),"",(VLOOKUP($B208,'B-1 On-Site Hedge Baseline'!$B$1:$L$257,8,FALSE))))</f>
        <v/>
      </c>
      <c r="I208" s="382" t="str">
        <f>IF(B208="","",IF(ISNA(VLOOKUP($B208,'B-1 On-Site Hedge Baseline'!$B$1:$L$257,10,FALSE)),"",(VLOOKUP($B208,'B-1 On-Site Hedge Baseline'!$B$1:$L$257,10,FALSE))))</f>
        <v/>
      </c>
      <c r="J208" s="382" t="str">
        <f>IF(B208="","",IF(ISNA(VLOOKUP($B208,'B-1 On-Site Hedge Baseline'!$B$1:$L$257,11,FALSE)),"",(VLOOKUP($B208,'B-1 On-Site Hedge Baseline'!$B$1:$L$257,11,FALSE))))</f>
        <v/>
      </c>
      <c r="K208" s="382" t="str">
        <f>IF(B208="","",IF(ISNA(VLOOKUP($B208,'B-1 On-Site Hedge Baseline'!$B$1:$U$257,13,FALSE)),"",(VLOOKUP($B208,'B-1 On-Site Hedge Baseline'!$B$1:$U$257,13,FALSE))))</f>
        <v/>
      </c>
      <c r="L208" s="386" t="str">
        <f>IF(B208="","",IF(ISNA(VLOOKUP($B208,'B-1 On-Site Hedge Baseline'!$B$1:$U$257,12,FALSE)),"",(VLOOKUP($B208,'B-1 On-Site Hedge Baseline'!$B$1:$U$257,12,FALSE))))</f>
        <v/>
      </c>
      <c r="M208" s="315" t="str">
        <f t="shared" si="31"/>
        <v/>
      </c>
      <c r="N208" s="362" t="str">
        <f>IFERROR(IF(B208="","",INDEX('G-6 Hedgerow Data'!$AN$3:$AZ$15,MATCH(C208,'G-6 Hedgerow Data'!$AM$3:$AM$15,0),MATCH(M208,'G-6 Hedgerow Data'!$AN$2:$AZ$2,0))),"")</f>
        <v/>
      </c>
      <c r="O208" s="363" t="str">
        <f t="shared" si="26"/>
        <v/>
      </c>
      <c r="P208" s="417" t="str">
        <f>IF(B208="","",VLOOKUP(B208,'B-1 On-Site Hedge Baseline'!$B$10:T453,16,FALSE))</f>
        <v/>
      </c>
      <c r="Q208" s="362" t="str">
        <f>IF(M208="","",VLOOKUP(M208,'G-6 Hedgerow Data'!$B$2:$AG$15,2,FALSE))</f>
        <v/>
      </c>
      <c r="R208" s="363" t="str">
        <f>IF(M208="","",VLOOKUP(M208,'G-6 Hedgerow Data'!$B$2:$AG$15,3,FALSE))</f>
        <v/>
      </c>
      <c r="S208" s="125"/>
      <c r="T208" s="401" t="str">
        <f>IFERROR(VLOOKUP(S208,'G-1 All Habitats'!$Z$2:$AA$9,2,FALSE),"")</f>
        <v/>
      </c>
      <c r="U208" s="122"/>
      <c r="V208" s="382" t="str">
        <f>IF(U208="","",IF(VLOOKUP(U208,'G-3 Multipliers'!$L$3:$N$6,2,FALSE)=0,"Spatial Data Missing ⚠",VLOOKUP(U208,'G-3 Multipliers'!$L$3:$N$6,2,FALSE)))</f>
        <v/>
      </c>
      <c r="W208" s="386" t="str">
        <f>IF(U208="","",IF(VLOOKUP(U208,'G-3 Multipliers'!$L$3:$N$6,3,FALSE)=0,"Spatial Data Missing ⚠",VLOOKUP(U208,'G-3 Multipliers'!$L$3:$N$6,3,FALSE)))</f>
        <v/>
      </c>
      <c r="X208" s="362" t="str">
        <f>IFERROR(IF(OR(LEFT(O208,5)="Error",LEFT(N208,5)="Error",T208="Error"),"Check Data ⚠",IF(F208&lt;R208,INDEX('G-6 Hedgerow Data'!$S$3:$AE$14,MATCH(C208,'G-6 Hedgerow Data'!$B$3:$B$14,0),MATCH(M208,'G-6 Hedgerow Data'!$S$2:$AE$2,0)),INDEX('G-6 Hedgerow Data'!$K$3:$Q$14,MATCH(M208,'G-6 Hedgerow Data'!$B$3:$B$14,0),MATCH(O208,'G-6 Hedgerow Data'!$K$2:$Q$2,0)))),"")</f>
        <v/>
      </c>
      <c r="Y208" s="159"/>
      <c r="Z208" s="159"/>
      <c r="AA208" s="370" t="str">
        <f t="shared" si="27"/>
        <v/>
      </c>
      <c r="AB208" s="383" t="str">
        <f t="shared" si="28"/>
        <v/>
      </c>
      <c r="AC208" s="384" t="str">
        <f t="shared" si="24"/>
        <v/>
      </c>
      <c r="AD208" s="398" t="str">
        <f>IF(M208="","",VLOOKUP(M208,'G-6 Hedgerow Data'!$B$3:$AG$15,31,FALSE))</f>
        <v/>
      </c>
      <c r="AE208" s="370" t="str">
        <f t="shared" si="29"/>
        <v/>
      </c>
      <c r="AF208" s="370" t="str">
        <f t="shared" si="30"/>
        <v/>
      </c>
      <c r="AG208" s="386" t="str">
        <f>IFERROR(IF(O208="","",VLOOKUP(AD208,'G-3 Multipliers'!$P$3:$Q$6,2,FALSE)),"")</f>
        <v/>
      </c>
      <c r="AH208" s="376" t="str">
        <f t="shared" si="25"/>
        <v/>
      </c>
      <c r="AI208" s="188"/>
      <c r="AJ208" s="118"/>
      <c r="AK208" s="120"/>
      <c r="AT208" s="30" t="str">
        <f>IFERROR(INDEX('G-6 Hedgerow Data'!$BJ$3:$BJ$15,MATCH(M208,'G-6 Hedgerow Data'!$B$3:$B$15,0)),"")</f>
        <v/>
      </c>
    </row>
    <row r="209" spans="2:46" ht="15">
      <c r="B209" s="392" t="str">
        <f>'B-1 On-Site Hedge Baseline'!AK207</f>
        <v/>
      </c>
      <c r="C209" s="382" t="str">
        <f>IF(B209="","",IF(ISNA(VLOOKUP($B209,'B-1 On-Site Hedge Baseline'!$B$1:$L$257,3,FALSE)),"",(VLOOKUP($B209,'B-1 On-Site Hedge Baseline'!$B$1:$L$257,3,FALSE))))</f>
        <v/>
      </c>
      <c r="D209" s="382" t="str">
        <f>IF(B209="","",IF(ISNA(VLOOKUP($B209,'B-1 On-Site Hedge Baseline'!$B$1:$L$257,4,FALSE)),"",(VLOOKUP($B209,'B-1 On-Site Hedge Baseline'!$B$1:$L$257,4,FALSE))))</f>
        <v/>
      </c>
      <c r="E209" s="382" t="str">
        <f>IF(B209="","",IF(ISNA(VLOOKUP($B209,'B-1 On-Site Hedge Baseline'!$B$1:$L$257,5,FALSE)),"",(VLOOKUP($B209,'B-1 On-Site Hedge Baseline'!$B$1:$L$257,5,FALSE))))</f>
        <v/>
      </c>
      <c r="F209" s="382" t="str">
        <f>IF(B209="","",IF(ISNA(VLOOKUP($B209,'B-1 On-Site Hedge Baseline'!$B$1:$L$257,6,FALSE)),"",(VLOOKUP($B209,'B-1 On-Site Hedge Baseline'!$B$1:$L$257,6,FALSE))))</f>
        <v/>
      </c>
      <c r="G209" s="382" t="str">
        <f>IF(B209="","",IF(ISNA(VLOOKUP($B209,'B-1 On-Site Hedge Baseline'!$B$1:$L$257,7,FALSE)),"",(VLOOKUP($B209,'B-1 On-Site Hedge Baseline'!$B$1:$L$257,7,FALSE))))</f>
        <v/>
      </c>
      <c r="H209" s="382" t="str">
        <f>IF(B209="","",IF(ISNA(VLOOKUP($B209,'B-1 On-Site Hedge Baseline'!$B$1:$L$257,8,FALSE)),"",(VLOOKUP($B209,'B-1 On-Site Hedge Baseline'!$B$1:$L$257,8,FALSE))))</f>
        <v/>
      </c>
      <c r="I209" s="382" t="str">
        <f>IF(B209="","",IF(ISNA(VLOOKUP($B209,'B-1 On-Site Hedge Baseline'!$B$1:$L$257,10,FALSE)),"",(VLOOKUP($B209,'B-1 On-Site Hedge Baseline'!$B$1:$L$257,10,FALSE))))</f>
        <v/>
      </c>
      <c r="J209" s="382" t="str">
        <f>IF(B209="","",IF(ISNA(VLOOKUP($B209,'B-1 On-Site Hedge Baseline'!$B$1:$L$257,11,FALSE)),"",(VLOOKUP($B209,'B-1 On-Site Hedge Baseline'!$B$1:$L$257,11,FALSE))))</f>
        <v/>
      </c>
      <c r="K209" s="382" t="str">
        <f>IF(B209="","",IF(ISNA(VLOOKUP($B209,'B-1 On-Site Hedge Baseline'!$B$1:$U$257,13,FALSE)),"",(VLOOKUP($B209,'B-1 On-Site Hedge Baseline'!$B$1:$U$257,13,FALSE))))</f>
        <v/>
      </c>
      <c r="L209" s="386" t="str">
        <f>IF(B209="","",IF(ISNA(VLOOKUP($B209,'B-1 On-Site Hedge Baseline'!$B$1:$U$257,12,FALSE)),"",(VLOOKUP($B209,'B-1 On-Site Hedge Baseline'!$B$1:$U$257,12,FALSE))))</f>
        <v/>
      </c>
      <c r="M209" s="315" t="str">
        <f t="shared" si="31"/>
        <v/>
      </c>
      <c r="N209" s="362" t="str">
        <f>IFERROR(IF(B209="","",INDEX('G-6 Hedgerow Data'!$AN$3:$AZ$15,MATCH(C209,'G-6 Hedgerow Data'!$AM$3:$AM$15,0),MATCH(M209,'G-6 Hedgerow Data'!$AN$2:$AZ$2,0))),"")</f>
        <v/>
      </c>
      <c r="O209" s="363" t="str">
        <f t="shared" si="26"/>
        <v/>
      </c>
      <c r="P209" s="417" t="str">
        <f>IF(B209="","",VLOOKUP(B209,'B-1 On-Site Hedge Baseline'!$B$10:T454,16,FALSE))</f>
        <v/>
      </c>
      <c r="Q209" s="362" t="str">
        <f>IF(M209="","",VLOOKUP(M209,'G-6 Hedgerow Data'!$B$2:$AG$15,2,FALSE))</f>
        <v/>
      </c>
      <c r="R209" s="363" t="str">
        <f>IF(M209="","",VLOOKUP(M209,'G-6 Hedgerow Data'!$B$2:$AG$15,3,FALSE))</f>
        <v/>
      </c>
      <c r="S209" s="125"/>
      <c r="T209" s="401" t="str">
        <f>IFERROR(VLOOKUP(S209,'G-1 All Habitats'!$Z$2:$AA$9,2,FALSE),"")</f>
        <v/>
      </c>
      <c r="U209" s="122"/>
      <c r="V209" s="382" t="str">
        <f>IF(U209="","",IF(VLOOKUP(U209,'G-3 Multipliers'!$L$3:$N$6,2,FALSE)=0,"Spatial Data Missing ⚠",VLOOKUP(U209,'G-3 Multipliers'!$L$3:$N$6,2,FALSE)))</f>
        <v/>
      </c>
      <c r="W209" s="386" t="str">
        <f>IF(U209="","",IF(VLOOKUP(U209,'G-3 Multipliers'!$L$3:$N$6,3,FALSE)=0,"Spatial Data Missing ⚠",VLOOKUP(U209,'G-3 Multipliers'!$L$3:$N$6,3,FALSE)))</f>
        <v/>
      </c>
      <c r="X209" s="362" t="str">
        <f>IFERROR(IF(OR(LEFT(O209,5)="Error",LEFT(N209,5)="Error",T209="Error"),"Check Data ⚠",IF(F209&lt;R209,INDEX('G-6 Hedgerow Data'!$S$3:$AE$14,MATCH(C209,'G-6 Hedgerow Data'!$B$3:$B$14,0),MATCH(M209,'G-6 Hedgerow Data'!$S$2:$AE$2,0)),INDEX('G-6 Hedgerow Data'!$K$3:$Q$14,MATCH(M209,'G-6 Hedgerow Data'!$B$3:$B$14,0),MATCH(O209,'G-6 Hedgerow Data'!$K$2:$Q$2,0)))),"")</f>
        <v/>
      </c>
      <c r="Y209" s="159"/>
      <c r="Z209" s="159"/>
      <c r="AA209" s="370" t="str">
        <f t="shared" si="27"/>
        <v/>
      </c>
      <c r="AB209" s="383" t="str">
        <f t="shared" si="28"/>
        <v/>
      </c>
      <c r="AC209" s="384" t="str">
        <f t="shared" si="24"/>
        <v/>
      </c>
      <c r="AD209" s="398" t="str">
        <f>IF(M209="","",VLOOKUP(M209,'G-6 Hedgerow Data'!$B$3:$AG$15,31,FALSE))</f>
        <v/>
      </c>
      <c r="AE209" s="370" t="str">
        <f t="shared" si="29"/>
        <v/>
      </c>
      <c r="AF209" s="370" t="str">
        <f t="shared" si="30"/>
        <v/>
      </c>
      <c r="AG209" s="386" t="str">
        <f>IFERROR(IF(O209="","",VLOOKUP(AD209,'G-3 Multipliers'!$P$3:$Q$6,2,FALSE)),"")</f>
        <v/>
      </c>
      <c r="AH209" s="376" t="str">
        <f t="shared" si="25"/>
        <v/>
      </c>
      <c r="AI209" s="188"/>
      <c r="AJ209" s="118"/>
      <c r="AK209" s="120"/>
      <c r="AT209" s="30" t="str">
        <f>IFERROR(INDEX('G-6 Hedgerow Data'!$BJ$3:$BJ$15,MATCH(M209,'G-6 Hedgerow Data'!$B$3:$B$15,0)),"")</f>
        <v/>
      </c>
    </row>
    <row r="210" spans="2:46" ht="15">
      <c r="B210" s="392" t="str">
        <f>'B-1 On-Site Hedge Baseline'!AK208</f>
        <v/>
      </c>
      <c r="C210" s="382" t="str">
        <f>IF(B210="","",IF(ISNA(VLOOKUP($B210,'B-1 On-Site Hedge Baseline'!$B$1:$L$257,3,FALSE)),"",(VLOOKUP($B210,'B-1 On-Site Hedge Baseline'!$B$1:$L$257,3,FALSE))))</f>
        <v/>
      </c>
      <c r="D210" s="382" t="str">
        <f>IF(B210="","",IF(ISNA(VLOOKUP($B210,'B-1 On-Site Hedge Baseline'!$B$1:$L$257,4,FALSE)),"",(VLOOKUP($B210,'B-1 On-Site Hedge Baseline'!$B$1:$L$257,4,FALSE))))</f>
        <v/>
      </c>
      <c r="E210" s="382" t="str">
        <f>IF(B210="","",IF(ISNA(VLOOKUP($B210,'B-1 On-Site Hedge Baseline'!$B$1:$L$257,5,FALSE)),"",(VLOOKUP($B210,'B-1 On-Site Hedge Baseline'!$B$1:$L$257,5,FALSE))))</f>
        <v/>
      </c>
      <c r="F210" s="382" t="str">
        <f>IF(B210="","",IF(ISNA(VLOOKUP($B210,'B-1 On-Site Hedge Baseline'!$B$1:$L$257,6,FALSE)),"",(VLOOKUP($B210,'B-1 On-Site Hedge Baseline'!$B$1:$L$257,6,FALSE))))</f>
        <v/>
      </c>
      <c r="G210" s="382" t="str">
        <f>IF(B210="","",IF(ISNA(VLOOKUP($B210,'B-1 On-Site Hedge Baseline'!$B$1:$L$257,7,FALSE)),"",(VLOOKUP($B210,'B-1 On-Site Hedge Baseline'!$B$1:$L$257,7,FALSE))))</f>
        <v/>
      </c>
      <c r="H210" s="382" t="str">
        <f>IF(B210="","",IF(ISNA(VLOOKUP($B210,'B-1 On-Site Hedge Baseline'!$B$1:$L$257,8,FALSE)),"",(VLOOKUP($B210,'B-1 On-Site Hedge Baseline'!$B$1:$L$257,8,FALSE))))</f>
        <v/>
      </c>
      <c r="I210" s="382" t="str">
        <f>IF(B210="","",IF(ISNA(VLOOKUP($B210,'B-1 On-Site Hedge Baseline'!$B$1:$L$257,10,FALSE)),"",(VLOOKUP($B210,'B-1 On-Site Hedge Baseline'!$B$1:$L$257,10,FALSE))))</f>
        <v/>
      </c>
      <c r="J210" s="382" t="str">
        <f>IF(B210="","",IF(ISNA(VLOOKUP($B210,'B-1 On-Site Hedge Baseline'!$B$1:$L$257,11,FALSE)),"",(VLOOKUP($B210,'B-1 On-Site Hedge Baseline'!$B$1:$L$257,11,FALSE))))</f>
        <v/>
      </c>
      <c r="K210" s="382" t="str">
        <f>IF(B210="","",IF(ISNA(VLOOKUP($B210,'B-1 On-Site Hedge Baseline'!$B$1:$U$257,13,FALSE)),"",(VLOOKUP($B210,'B-1 On-Site Hedge Baseline'!$B$1:$U$257,13,FALSE))))</f>
        <v/>
      </c>
      <c r="L210" s="386" t="str">
        <f>IF(B210="","",IF(ISNA(VLOOKUP($B210,'B-1 On-Site Hedge Baseline'!$B$1:$U$257,12,FALSE)),"",(VLOOKUP($B210,'B-1 On-Site Hedge Baseline'!$B$1:$U$257,12,FALSE))))</f>
        <v/>
      </c>
      <c r="M210" s="315" t="str">
        <f t="shared" si="31"/>
        <v/>
      </c>
      <c r="N210" s="362" t="str">
        <f>IFERROR(IF(B210="","",INDEX('G-6 Hedgerow Data'!$AN$3:$AZ$15,MATCH(C210,'G-6 Hedgerow Data'!$AM$3:$AM$15,0),MATCH(M210,'G-6 Hedgerow Data'!$AN$2:$AZ$2,0))),"")</f>
        <v/>
      </c>
      <c r="O210" s="363" t="str">
        <f t="shared" si="26"/>
        <v/>
      </c>
      <c r="P210" s="417" t="str">
        <f>IF(B210="","",VLOOKUP(B210,'B-1 On-Site Hedge Baseline'!$B$10:T455,16,FALSE))</f>
        <v/>
      </c>
      <c r="Q210" s="362" t="str">
        <f>IF(M210="","",VLOOKUP(M210,'G-6 Hedgerow Data'!$B$2:$AG$15,2,FALSE))</f>
        <v/>
      </c>
      <c r="R210" s="363" t="str">
        <f>IF(M210="","",VLOOKUP(M210,'G-6 Hedgerow Data'!$B$2:$AG$15,3,FALSE))</f>
        <v/>
      </c>
      <c r="S210" s="125"/>
      <c r="T210" s="401" t="str">
        <f>IFERROR(VLOOKUP(S210,'G-1 All Habitats'!$Z$2:$AA$9,2,FALSE),"")</f>
        <v/>
      </c>
      <c r="U210" s="122"/>
      <c r="V210" s="382" t="str">
        <f>IF(U210="","",IF(VLOOKUP(U210,'G-3 Multipliers'!$L$3:$N$6,2,FALSE)=0,"Spatial Data Missing ⚠",VLOOKUP(U210,'G-3 Multipliers'!$L$3:$N$6,2,FALSE)))</f>
        <v/>
      </c>
      <c r="W210" s="386" t="str">
        <f>IF(U210="","",IF(VLOOKUP(U210,'G-3 Multipliers'!$L$3:$N$6,3,FALSE)=0,"Spatial Data Missing ⚠",VLOOKUP(U210,'G-3 Multipliers'!$L$3:$N$6,3,FALSE)))</f>
        <v/>
      </c>
      <c r="X210" s="362" t="str">
        <f>IFERROR(IF(OR(LEFT(O210,5)="Error",LEFT(N210,5)="Error",T210="Error"),"Check Data ⚠",IF(F210&lt;R210,INDEX('G-6 Hedgerow Data'!$S$3:$AE$14,MATCH(C210,'G-6 Hedgerow Data'!$B$3:$B$14,0),MATCH(M210,'G-6 Hedgerow Data'!$S$2:$AE$2,0)),INDEX('G-6 Hedgerow Data'!$K$3:$Q$14,MATCH(M210,'G-6 Hedgerow Data'!$B$3:$B$14,0),MATCH(O210,'G-6 Hedgerow Data'!$K$2:$Q$2,0)))),"")</f>
        <v/>
      </c>
      <c r="Y210" s="159"/>
      <c r="Z210" s="159"/>
      <c r="AA210" s="370" t="str">
        <f t="shared" si="27"/>
        <v/>
      </c>
      <c r="AB210" s="383" t="str">
        <f t="shared" si="28"/>
        <v/>
      </c>
      <c r="AC210" s="384" t="str">
        <f t="shared" si="24"/>
        <v/>
      </c>
      <c r="AD210" s="398" t="str">
        <f>IF(M210="","",VLOOKUP(M210,'G-6 Hedgerow Data'!$B$3:$AG$15,31,FALSE))</f>
        <v/>
      </c>
      <c r="AE210" s="370" t="str">
        <f t="shared" si="29"/>
        <v/>
      </c>
      <c r="AF210" s="370" t="str">
        <f t="shared" si="30"/>
        <v/>
      </c>
      <c r="AG210" s="386" t="str">
        <f>IFERROR(IF(O210="","",VLOOKUP(AD210,'G-3 Multipliers'!$P$3:$Q$6,2,FALSE)),"")</f>
        <v/>
      </c>
      <c r="AH210" s="376" t="str">
        <f t="shared" si="25"/>
        <v/>
      </c>
      <c r="AI210" s="188"/>
      <c r="AJ210" s="118"/>
      <c r="AK210" s="120"/>
      <c r="AT210" s="30" t="str">
        <f>IFERROR(INDEX('G-6 Hedgerow Data'!$BJ$3:$BJ$15,MATCH(M210,'G-6 Hedgerow Data'!$B$3:$B$15,0)),"")</f>
        <v/>
      </c>
    </row>
    <row r="211" spans="2:46" ht="15">
      <c r="B211" s="392" t="str">
        <f>'B-1 On-Site Hedge Baseline'!AK209</f>
        <v/>
      </c>
      <c r="C211" s="382" t="str">
        <f>IF(B211="","",IF(ISNA(VLOOKUP($B211,'B-1 On-Site Hedge Baseline'!$B$1:$L$257,3,FALSE)),"",(VLOOKUP($B211,'B-1 On-Site Hedge Baseline'!$B$1:$L$257,3,FALSE))))</f>
        <v/>
      </c>
      <c r="D211" s="382" t="str">
        <f>IF(B211="","",IF(ISNA(VLOOKUP($B211,'B-1 On-Site Hedge Baseline'!$B$1:$L$257,4,FALSE)),"",(VLOOKUP($B211,'B-1 On-Site Hedge Baseline'!$B$1:$L$257,4,FALSE))))</f>
        <v/>
      </c>
      <c r="E211" s="382" t="str">
        <f>IF(B211="","",IF(ISNA(VLOOKUP($B211,'B-1 On-Site Hedge Baseline'!$B$1:$L$257,5,FALSE)),"",(VLOOKUP($B211,'B-1 On-Site Hedge Baseline'!$B$1:$L$257,5,FALSE))))</f>
        <v/>
      </c>
      <c r="F211" s="382" t="str">
        <f>IF(B211="","",IF(ISNA(VLOOKUP($B211,'B-1 On-Site Hedge Baseline'!$B$1:$L$257,6,FALSE)),"",(VLOOKUP($B211,'B-1 On-Site Hedge Baseline'!$B$1:$L$257,6,FALSE))))</f>
        <v/>
      </c>
      <c r="G211" s="382" t="str">
        <f>IF(B211="","",IF(ISNA(VLOOKUP($B211,'B-1 On-Site Hedge Baseline'!$B$1:$L$257,7,FALSE)),"",(VLOOKUP($B211,'B-1 On-Site Hedge Baseline'!$B$1:$L$257,7,FALSE))))</f>
        <v/>
      </c>
      <c r="H211" s="382" t="str">
        <f>IF(B211="","",IF(ISNA(VLOOKUP($B211,'B-1 On-Site Hedge Baseline'!$B$1:$L$257,8,FALSE)),"",(VLOOKUP($B211,'B-1 On-Site Hedge Baseline'!$B$1:$L$257,8,FALSE))))</f>
        <v/>
      </c>
      <c r="I211" s="382" t="str">
        <f>IF(B211="","",IF(ISNA(VLOOKUP($B211,'B-1 On-Site Hedge Baseline'!$B$1:$L$257,10,FALSE)),"",(VLOOKUP($B211,'B-1 On-Site Hedge Baseline'!$B$1:$L$257,10,FALSE))))</f>
        <v/>
      </c>
      <c r="J211" s="382" t="str">
        <f>IF(B211="","",IF(ISNA(VLOOKUP($B211,'B-1 On-Site Hedge Baseline'!$B$1:$L$257,11,FALSE)),"",(VLOOKUP($B211,'B-1 On-Site Hedge Baseline'!$B$1:$L$257,11,FALSE))))</f>
        <v/>
      </c>
      <c r="K211" s="382" t="str">
        <f>IF(B211="","",IF(ISNA(VLOOKUP($B211,'B-1 On-Site Hedge Baseline'!$B$1:$U$257,13,FALSE)),"",(VLOOKUP($B211,'B-1 On-Site Hedge Baseline'!$B$1:$U$257,13,FALSE))))</f>
        <v/>
      </c>
      <c r="L211" s="386" t="str">
        <f>IF(B211="","",IF(ISNA(VLOOKUP($B211,'B-1 On-Site Hedge Baseline'!$B$1:$U$257,12,FALSE)),"",(VLOOKUP($B211,'B-1 On-Site Hedge Baseline'!$B$1:$U$257,12,FALSE))))</f>
        <v/>
      </c>
      <c r="M211" s="315" t="str">
        <f t="shared" si="31"/>
        <v/>
      </c>
      <c r="N211" s="362" t="str">
        <f>IFERROR(IF(B211="","",INDEX('G-6 Hedgerow Data'!$AN$3:$AZ$15,MATCH(C211,'G-6 Hedgerow Data'!$AM$3:$AM$15,0),MATCH(M211,'G-6 Hedgerow Data'!$AN$2:$AZ$2,0))),"")</f>
        <v/>
      </c>
      <c r="O211" s="363" t="str">
        <f t="shared" si="26"/>
        <v/>
      </c>
      <c r="P211" s="417" t="str">
        <f>IF(B211="","",VLOOKUP(B211,'B-1 On-Site Hedge Baseline'!$B$10:T456,16,FALSE))</f>
        <v/>
      </c>
      <c r="Q211" s="362" t="str">
        <f>IF(M211="","",VLOOKUP(M211,'G-6 Hedgerow Data'!$B$2:$AG$15,2,FALSE))</f>
        <v/>
      </c>
      <c r="R211" s="363" t="str">
        <f>IF(M211="","",VLOOKUP(M211,'G-6 Hedgerow Data'!$B$2:$AG$15,3,FALSE))</f>
        <v/>
      </c>
      <c r="S211" s="125"/>
      <c r="T211" s="401" t="str">
        <f>IFERROR(VLOOKUP(S211,'G-1 All Habitats'!$Z$2:$AA$9,2,FALSE),"")</f>
        <v/>
      </c>
      <c r="U211" s="122"/>
      <c r="V211" s="382" t="str">
        <f>IF(U211="","",IF(VLOOKUP(U211,'G-3 Multipliers'!$L$3:$N$6,2,FALSE)=0,"Spatial Data Missing ⚠",VLOOKUP(U211,'G-3 Multipliers'!$L$3:$N$6,2,FALSE)))</f>
        <v/>
      </c>
      <c r="W211" s="386" t="str">
        <f>IF(U211="","",IF(VLOOKUP(U211,'G-3 Multipliers'!$L$3:$N$6,3,FALSE)=0,"Spatial Data Missing ⚠",VLOOKUP(U211,'G-3 Multipliers'!$L$3:$N$6,3,FALSE)))</f>
        <v/>
      </c>
      <c r="X211" s="362" t="str">
        <f>IFERROR(IF(OR(LEFT(O211,5)="Error",LEFT(N211,5)="Error",T211="Error"),"Check Data ⚠",IF(F211&lt;R211,INDEX('G-6 Hedgerow Data'!$S$3:$AE$14,MATCH(C211,'G-6 Hedgerow Data'!$B$3:$B$14,0),MATCH(M211,'G-6 Hedgerow Data'!$S$2:$AE$2,0)),INDEX('G-6 Hedgerow Data'!$K$3:$Q$14,MATCH(M211,'G-6 Hedgerow Data'!$B$3:$B$14,0),MATCH(O211,'G-6 Hedgerow Data'!$K$2:$Q$2,0)))),"")</f>
        <v/>
      </c>
      <c r="Y211" s="159"/>
      <c r="Z211" s="159"/>
      <c r="AA211" s="370" t="str">
        <f t="shared" si="27"/>
        <v/>
      </c>
      <c r="AB211" s="383" t="str">
        <f t="shared" si="28"/>
        <v/>
      </c>
      <c r="AC211" s="384" t="str">
        <f t="shared" si="24"/>
        <v/>
      </c>
      <c r="AD211" s="398" t="str">
        <f>IF(M211="","",VLOOKUP(M211,'G-6 Hedgerow Data'!$B$3:$AG$15,31,FALSE))</f>
        <v/>
      </c>
      <c r="AE211" s="370" t="str">
        <f t="shared" si="29"/>
        <v/>
      </c>
      <c r="AF211" s="370" t="str">
        <f t="shared" si="30"/>
        <v/>
      </c>
      <c r="AG211" s="386" t="str">
        <f>IFERROR(IF(O211="","",VLOOKUP(AD211,'G-3 Multipliers'!$P$3:$Q$6,2,FALSE)),"")</f>
        <v/>
      </c>
      <c r="AH211" s="376" t="str">
        <f t="shared" si="25"/>
        <v/>
      </c>
      <c r="AI211" s="188"/>
      <c r="AJ211" s="118"/>
      <c r="AK211" s="120"/>
      <c r="AT211" s="30" t="str">
        <f>IFERROR(INDEX('G-6 Hedgerow Data'!$BJ$3:$BJ$15,MATCH(M211,'G-6 Hedgerow Data'!$B$3:$B$15,0)),"")</f>
        <v/>
      </c>
    </row>
    <row r="212" spans="2:46" ht="15">
      <c r="B212" s="392" t="str">
        <f>'B-1 On-Site Hedge Baseline'!AK210</f>
        <v/>
      </c>
      <c r="C212" s="382" t="str">
        <f>IF(B212="","",IF(ISNA(VLOOKUP($B212,'B-1 On-Site Hedge Baseline'!$B$1:$L$257,3,FALSE)),"",(VLOOKUP($B212,'B-1 On-Site Hedge Baseline'!$B$1:$L$257,3,FALSE))))</f>
        <v/>
      </c>
      <c r="D212" s="382" t="str">
        <f>IF(B212="","",IF(ISNA(VLOOKUP($B212,'B-1 On-Site Hedge Baseline'!$B$1:$L$257,4,FALSE)),"",(VLOOKUP($B212,'B-1 On-Site Hedge Baseline'!$B$1:$L$257,4,FALSE))))</f>
        <v/>
      </c>
      <c r="E212" s="382" t="str">
        <f>IF(B212="","",IF(ISNA(VLOOKUP($B212,'B-1 On-Site Hedge Baseline'!$B$1:$L$257,5,FALSE)),"",(VLOOKUP($B212,'B-1 On-Site Hedge Baseline'!$B$1:$L$257,5,FALSE))))</f>
        <v/>
      </c>
      <c r="F212" s="382" t="str">
        <f>IF(B212="","",IF(ISNA(VLOOKUP($B212,'B-1 On-Site Hedge Baseline'!$B$1:$L$257,6,FALSE)),"",(VLOOKUP($B212,'B-1 On-Site Hedge Baseline'!$B$1:$L$257,6,FALSE))))</f>
        <v/>
      </c>
      <c r="G212" s="382" t="str">
        <f>IF(B212="","",IF(ISNA(VLOOKUP($B212,'B-1 On-Site Hedge Baseline'!$B$1:$L$257,7,FALSE)),"",(VLOOKUP($B212,'B-1 On-Site Hedge Baseline'!$B$1:$L$257,7,FALSE))))</f>
        <v/>
      </c>
      <c r="H212" s="382" t="str">
        <f>IF(B212="","",IF(ISNA(VLOOKUP($B212,'B-1 On-Site Hedge Baseline'!$B$1:$L$257,8,FALSE)),"",(VLOOKUP($B212,'B-1 On-Site Hedge Baseline'!$B$1:$L$257,8,FALSE))))</f>
        <v/>
      </c>
      <c r="I212" s="382" t="str">
        <f>IF(B212="","",IF(ISNA(VLOOKUP($B212,'B-1 On-Site Hedge Baseline'!$B$1:$L$257,10,FALSE)),"",(VLOOKUP($B212,'B-1 On-Site Hedge Baseline'!$B$1:$L$257,10,FALSE))))</f>
        <v/>
      </c>
      <c r="J212" s="382" t="str">
        <f>IF(B212="","",IF(ISNA(VLOOKUP($B212,'B-1 On-Site Hedge Baseline'!$B$1:$L$257,11,FALSE)),"",(VLOOKUP($B212,'B-1 On-Site Hedge Baseline'!$B$1:$L$257,11,FALSE))))</f>
        <v/>
      </c>
      <c r="K212" s="382" t="str">
        <f>IF(B212="","",IF(ISNA(VLOOKUP($B212,'B-1 On-Site Hedge Baseline'!$B$1:$U$257,13,FALSE)),"",(VLOOKUP($B212,'B-1 On-Site Hedge Baseline'!$B$1:$U$257,13,FALSE))))</f>
        <v/>
      </c>
      <c r="L212" s="386" t="str">
        <f>IF(B212="","",IF(ISNA(VLOOKUP($B212,'B-1 On-Site Hedge Baseline'!$B$1:$U$257,12,FALSE)),"",(VLOOKUP($B212,'B-1 On-Site Hedge Baseline'!$B$1:$U$257,12,FALSE))))</f>
        <v/>
      </c>
      <c r="M212" s="315" t="str">
        <f t="shared" si="31"/>
        <v/>
      </c>
      <c r="N212" s="362" t="str">
        <f>IFERROR(IF(B212="","",INDEX('G-6 Hedgerow Data'!$AN$3:$AZ$15,MATCH(C212,'G-6 Hedgerow Data'!$AM$3:$AM$15,0),MATCH(M212,'G-6 Hedgerow Data'!$AN$2:$AZ$2,0))),"")</f>
        <v/>
      </c>
      <c r="O212" s="363" t="str">
        <f t="shared" si="26"/>
        <v/>
      </c>
      <c r="P212" s="417" t="str">
        <f>IF(B212="","",VLOOKUP(B212,'B-1 On-Site Hedge Baseline'!$B$10:T457,16,FALSE))</f>
        <v/>
      </c>
      <c r="Q212" s="362" t="str">
        <f>IF(M212="","",VLOOKUP(M212,'G-6 Hedgerow Data'!$B$2:$AG$15,2,FALSE))</f>
        <v/>
      </c>
      <c r="R212" s="363" t="str">
        <f>IF(M212="","",VLOOKUP(M212,'G-6 Hedgerow Data'!$B$2:$AG$15,3,FALSE))</f>
        <v/>
      </c>
      <c r="S212" s="125"/>
      <c r="T212" s="401" t="str">
        <f>IFERROR(VLOOKUP(S212,'G-1 All Habitats'!$Z$2:$AA$9,2,FALSE),"")</f>
        <v/>
      </c>
      <c r="U212" s="122"/>
      <c r="V212" s="382" t="str">
        <f>IF(U212="","",IF(VLOOKUP(U212,'G-3 Multipliers'!$L$3:$N$6,2,FALSE)=0,"Spatial Data Missing ⚠",VLOOKUP(U212,'G-3 Multipliers'!$L$3:$N$6,2,FALSE)))</f>
        <v/>
      </c>
      <c r="W212" s="386" t="str">
        <f>IF(U212="","",IF(VLOOKUP(U212,'G-3 Multipliers'!$L$3:$N$6,3,FALSE)=0,"Spatial Data Missing ⚠",VLOOKUP(U212,'G-3 Multipliers'!$L$3:$N$6,3,FALSE)))</f>
        <v/>
      </c>
      <c r="X212" s="362" t="str">
        <f>IFERROR(IF(OR(LEFT(O212,5)="Error",LEFT(N212,5)="Error",T212="Error"),"Check Data ⚠",IF(F212&lt;R212,INDEX('G-6 Hedgerow Data'!$S$3:$AE$14,MATCH(C212,'G-6 Hedgerow Data'!$B$3:$B$14,0),MATCH(M212,'G-6 Hedgerow Data'!$S$2:$AE$2,0)),INDEX('G-6 Hedgerow Data'!$K$3:$Q$14,MATCH(M212,'G-6 Hedgerow Data'!$B$3:$B$14,0),MATCH(O212,'G-6 Hedgerow Data'!$K$2:$Q$2,0)))),"")</f>
        <v/>
      </c>
      <c r="Y212" s="159"/>
      <c r="Z212" s="159"/>
      <c r="AA212" s="370" t="str">
        <f t="shared" si="27"/>
        <v/>
      </c>
      <c r="AB212" s="383" t="str">
        <f t="shared" si="28"/>
        <v/>
      </c>
      <c r="AC212" s="384" t="str">
        <f t="shared" si="24"/>
        <v/>
      </c>
      <c r="AD212" s="398" t="str">
        <f>IF(M212="","",VLOOKUP(M212,'G-6 Hedgerow Data'!$B$3:$AG$15,31,FALSE))</f>
        <v/>
      </c>
      <c r="AE212" s="370" t="str">
        <f t="shared" si="29"/>
        <v/>
      </c>
      <c r="AF212" s="370" t="str">
        <f t="shared" si="30"/>
        <v/>
      </c>
      <c r="AG212" s="386" t="str">
        <f>IFERROR(IF(O212="","",VLOOKUP(AD212,'G-3 Multipliers'!$P$3:$Q$6,2,FALSE)),"")</f>
        <v/>
      </c>
      <c r="AH212" s="376" t="str">
        <f t="shared" si="25"/>
        <v/>
      </c>
      <c r="AI212" s="188"/>
      <c r="AJ212" s="118"/>
      <c r="AK212" s="120"/>
      <c r="AT212" s="30" t="str">
        <f>IFERROR(INDEX('G-6 Hedgerow Data'!$BJ$3:$BJ$15,MATCH(M212,'G-6 Hedgerow Data'!$B$3:$B$15,0)),"")</f>
        <v/>
      </c>
    </row>
    <row r="213" spans="2:46" ht="15">
      <c r="B213" s="392" t="str">
        <f>'B-1 On-Site Hedge Baseline'!AK211</f>
        <v/>
      </c>
      <c r="C213" s="382" t="str">
        <f>IF(B213="","",IF(ISNA(VLOOKUP($B213,'B-1 On-Site Hedge Baseline'!$B$1:$L$257,3,FALSE)),"",(VLOOKUP($B213,'B-1 On-Site Hedge Baseline'!$B$1:$L$257,3,FALSE))))</f>
        <v/>
      </c>
      <c r="D213" s="382" t="str">
        <f>IF(B213="","",IF(ISNA(VLOOKUP($B213,'B-1 On-Site Hedge Baseline'!$B$1:$L$257,4,FALSE)),"",(VLOOKUP($B213,'B-1 On-Site Hedge Baseline'!$B$1:$L$257,4,FALSE))))</f>
        <v/>
      </c>
      <c r="E213" s="382" t="str">
        <f>IF(B213="","",IF(ISNA(VLOOKUP($B213,'B-1 On-Site Hedge Baseline'!$B$1:$L$257,5,FALSE)),"",(VLOOKUP($B213,'B-1 On-Site Hedge Baseline'!$B$1:$L$257,5,FALSE))))</f>
        <v/>
      </c>
      <c r="F213" s="382" t="str">
        <f>IF(B213="","",IF(ISNA(VLOOKUP($B213,'B-1 On-Site Hedge Baseline'!$B$1:$L$257,6,FALSE)),"",(VLOOKUP($B213,'B-1 On-Site Hedge Baseline'!$B$1:$L$257,6,FALSE))))</f>
        <v/>
      </c>
      <c r="G213" s="382" t="str">
        <f>IF(B213="","",IF(ISNA(VLOOKUP($B213,'B-1 On-Site Hedge Baseline'!$B$1:$L$257,7,FALSE)),"",(VLOOKUP($B213,'B-1 On-Site Hedge Baseline'!$B$1:$L$257,7,FALSE))))</f>
        <v/>
      </c>
      <c r="H213" s="382" t="str">
        <f>IF(B213="","",IF(ISNA(VLOOKUP($B213,'B-1 On-Site Hedge Baseline'!$B$1:$L$257,8,FALSE)),"",(VLOOKUP($B213,'B-1 On-Site Hedge Baseline'!$B$1:$L$257,8,FALSE))))</f>
        <v/>
      </c>
      <c r="I213" s="382" t="str">
        <f>IF(B213="","",IF(ISNA(VLOOKUP($B213,'B-1 On-Site Hedge Baseline'!$B$1:$L$257,10,FALSE)),"",(VLOOKUP($B213,'B-1 On-Site Hedge Baseline'!$B$1:$L$257,10,FALSE))))</f>
        <v/>
      </c>
      <c r="J213" s="382" t="str">
        <f>IF(B213="","",IF(ISNA(VLOOKUP($B213,'B-1 On-Site Hedge Baseline'!$B$1:$L$257,11,FALSE)),"",(VLOOKUP($B213,'B-1 On-Site Hedge Baseline'!$B$1:$L$257,11,FALSE))))</f>
        <v/>
      </c>
      <c r="K213" s="382" t="str">
        <f>IF(B213="","",IF(ISNA(VLOOKUP($B213,'B-1 On-Site Hedge Baseline'!$B$1:$U$257,13,FALSE)),"",(VLOOKUP($B213,'B-1 On-Site Hedge Baseline'!$B$1:$U$257,13,FALSE))))</f>
        <v/>
      </c>
      <c r="L213" s="386" t="str">
        <f>IF(B213="","",IF(ISNA(VLOOKUP($B213,'B-1 On-Site Hedge Baseline'!$B$1:$U$257,12,FALSE)),"",(VLOOKUP($B213,'B-1 On-Site Hedge Baseline'!$B$1:$U$257,12,FALSE))))</f>
        <v/>
      </c>
      <c r="M213" s="315" t="str">
        <f t="shared" si="31"/>
        <v/>
      </c>
      <c r="N213" s="362" t="str">
        <f>IFERROR(IF(B213="","",INDEX('G-6 Hedgerow Data'!$AN$3:$AZ$15,MATCH(C213,'G-6 Hedgerow Data'!$AM$3:$AM$15,0),MATCH(M213,'G-6 Hedgerow Data'!$AN$2:$AZ$2,0))),"")</f>
        <v/>
      </c>
      <c r="O213" s="363" t="str">
        <f t="shared" si="26"/>
        <v/>
      </c>
      <c r="P213" s="417" t="str">
        <f>IF(B213="","",VLOOKUP(B213,'B-1 On-Site Hedge Baseline'!$B$10:T458,16,FALSE))</f>
        <v/>
      </c>
      <c r="Q213" s="362" t="str">
        <f>IF(M213="","",VLOOKUP(M213,'G-6 Hedgerow Data'!$B$2:$AG$15,2,FALSE))</f>
        <v/>
      </c>
      <c r="R213" s="363" t="str">
        <f>IF(M213="","",VLOOKUP(M213,'G-6 Hedgerow Data'!$B$2:$AG$15,3,FALSE))</f>
        <v/>
      </c>
      <c r="S213" s="125"/>
      <c r="T213" s="401" t="str">
        <f>IFERROR(VLOOKUP(S213,'G-1 All Habitats'!$Z$2:$AA$9,2,FALSE),"")</f>
        <v/>
      </c>
      <c r="U213" s="122"/>
      <c r="V213" s="382" t="str">
        <f>IF(U213="","",IF(VLOOKUP(U213,'G-3 Multipliers'!$L$3:$N$6,2,FALSE)=0,"Spatial Data Missing ⚠",VLOOKUP(U213,'G-3 Multipliers'!$L$3:$N$6,2,FALSE)))</f>
        <v/>
      </c>
      <c r="W213" s="386" t="str">
        <f>IF(U213="","",IF(VLOOKUP(U213,'G-3 Multipliers'!$L$3:$N$6,3,FALSE)=0,"Spatial Data Missing ⚠",VLOOKUP(U213,'G-3 Multipliers'!$L$3:$N$6,3,FALSE)))</f>
        <v/>
      </c>
      <c r="X213" s="362" t="str">
        <f>IFERROR(IF(OR(LEFT(O213,5)="Error",LEFT(N213,5)="Error",T213="Error"),"Check Data ⚠",IF(F213&lt;R213,INDEX('G-6 Hedgerow Data'!$S$3:$AE$14,MATCH(C213,'G-6 Hedgerow Data'!$B$3:$B$14,0),MATCH(M213,'G-6 Hedgerow Data'!$S$2:$AE$2,0)),INDEX('G-6 Hedgerow Data'!$K$3:$Q$14,MATCH(M213,'G-6 Hedgerow Data'!$B$3:$B$14,0),MATCH(O213,'G-6 Hedgerow Data'!$K$2:$Q$2,0)))),"")</f>
        <v/>
      </c>
      <c r="Y213" s="159"/>
      <c r="Z213" s="159"/>
      <c r="AA213" s="370" t="str">
        <f t="shared" si="27"/>
        <v/>
      </c>
      <c r="AB213" s="383" t="str">
        <f t="shared" si="28"/>
        <v/>
      </c>
      <c r="AC213" s="384" t="str">
        <f t="shared" si="24"/>
        <v/>
      </c>
      <c r="AD213" s="398" t="str">
        <f>IF(M213="","",VLOOKUP(M213,'G-6 Hedgerow Data'!$B$3:$AG$15,31,FALSE))</f>
        <v/>
      </c>
      <c r="AE213" s="370" t="str">
        <f t="shared" si="29"/>
        <v/>
      </c>
      <c r="AF213" s="370" t="str">
        <f t="shared" si="30"/>
        <v/>
      </c>
      <c r="AG213" s="386" t="str">
        <f>IFERROR(IF(O213="","",VLOOKUP(AD213,'G-3 Multipliers'!$P$3:$Q$6,2,FALSE)),"")</f>
        <v/>
      </c>
      <c r="AH213" s="376" t="str">
        <f t="shared" si="25"/>
        <v/>
      </c>
      <c r="AI213" s="188"/>
      <c r="AJ213" s="118"/>
      <c r="AK213" s="120"/>
      <c r="AT213" s="30" t="str">
        <f>IFERROR(INDEX('G-6 Hedgerow Data'!$BJ$3:$BJ$15,MATCH(M213,'G-6 Hedgerow Data'!$B$3:$B$15,0)),"")</f>
        <v/>
      </c>
    </row>
    <row r="214" spans="2:46" ht="15">
      <c r="B214" s="392" t="str">
        <f>'B-1 On-Site Hedge Baseline'!AK212</f>
        <v/>
      </c>
      <c r="C214" s="382" t="str">
        <f>IF(B214="","",IF(ISNA(VLOOKUP($B214,'B-1 On-Site Hedge Baseline'!$B$1:$L$257,3,FALSE)),"",(VLOOKUP($B214,'B-1 On-Site Hedge Baseline'!$B$1:$L$257,3,FALSE))))</f>
        <v/>
      </c>
      <c r="D214" s="382" t="str">
        <f>IF(B214="","",IF(ISNA(VLOOKUP($B214,'B-1 On-Site Hedge Baseline'!$B$1:$L$257,4,FALSE)),"",(VLOOKUP($B214,'B-1 On-Site Hedge Baseline'!$B$1:$L$257,4,FALSE))))</f>
        <v/>
      </c>
      <c r="E214" s="382" t="str">
        <f>IF(B214="","",IF(ISNA(VLOOKUP($B214,'B-1 On-Site Hedge Baseline'!$B$1:$L$257,5,FALSE)),"",(VLOOKUP($B214,'B-1 On-Site Hedge Baseline'!$B$1:$L$257,5,FALSE))))</f>
        <v/>
      </c>
      <c r="F214" s="382" t="str">
        <f>IF(B214="","",IF(ISNA(VLOOKUP($B214,'B-1 On-Site Hedge Baseline'!$B$1:$L$257,6,FALSE)),"",(VLOOKUP($B214,'B-1 On-Site Hedge Baseline'!$B$1:$L$257,6,FALSE))))</f>
        <v/>
      </c>
      <c r="G214" s="382" t="str">
        <f>IF(B214="","",IF(ISNA(VLOOKUP($B214,'B-1 On-Site Hedge Baseline'!$B$1:$L$257,7,FALSE)),"",(VLOOKUP($B214,'B-1 On-Site Hedge Baseline'!$B$1:$L$257,7,FALSE))))</f>
        <v/>
      </c>
      <c r="H214" s="382" t="str">
        <f>IF(B214="","",IF(ISNA(VLOOKUP($B214,'B-1 On-Site Hedge Baseline'!$B$1:$L$257,8,FALSE)),"",(VLOOKUP($B214,'B-1 On-Site Hedge Baseline'!$B$1:$L$257,8,FALSE))))</f>
        <v/>
      </c>
      <c r="I214" s="382" t="str">
        <f>IF(B214="","",IF(ISNA(VLOOKUP($B214,'B-1 On-Site Hedge Baseline'!$B$1:$L$257,10,FALSE)),"",(VLOOKUP($B214,'B-1 On-Site Hedge Baseline'!$B$1:$L$257,10,FALSE))))</f>
        <v/>
      </c>
      <c r="J214" s="382" t="str">
        <f>IF(B214="","",IF(ISNA(VLOOKUP($B214,'B-1 On-Site Hedge Baseline'!$B$1:$L$257,11,FALSE)),"",(VLOOKUP($B214,'B-1 On-Site Hedge Baseline'!$B$1:$L$257,11,FALSE))))</f>
        <v/>
      </c>
      <c r="K214" s="382" t="str">
        <f>IF(B214="","",IF(ISNA(VLOOKUP($B214,'B-1 On-Site Hedge Baseline'!$B$1:$U$257,13,FALSE)),"",(VLOOKUP($B214,'B-1 On-Site Hedge Baseline'!$B$1:$U$257,13,FALSE))))</f>
        <v/>
      </c>
      <c r="L214" s="386" t="str">
        <f>IF(B214="","",IF(ISNA(VLOOKUP($B214,'B-1 On-Site Hedge Baseline'!$B$1:$U$257,12,FALSE)),"",(VLOOKUP($B214,'B-1 On-Site Hedge Baseline'!$B$1:$U$257,12,FALSE))))</f>
        <v/>
      </c>
      <c r="M214" s="315" t="str">
        <f t="shared" si="31"/>
        <v/>
      </c>
      <c r="N214" s="362" t="str">
        <f>IFERROR(IF(B214="","",INDEX('G-6 Hedgerow Data'!$AN$3:$AZ$15,MATCH(C214,'G-6 Hedgerow Data'!$AM$3:$AM$15,0),MATCH(M214,'G-6 Hedgerow Data'!$AN$2:$AZ$2,0))),"")</f>
        <v/>
      </c>
      <c r="O214" s="363" t="str">
        <f t="shared" si="26"/>
        <v/>
      </c>
      <c r="P214" s="417" t="str">
        <f>IF(B214="","",VLOOKUP(B214,'B-1 On-Site Hedge Baseline'!$B$10:T459,16,FALSE))</f>
        <v/>
      </c>
      <c r="Q214" s="362" t="str">
        <f>IF(M214="","",VLOOKUP(M214,'G-6 Hedgerow Data'!$B$2:$AG$15,2,FALSE))</f>
        <v/>
      </c>
      <c r="R214" s="363" t="str">
        <f>IF(M214="","",VLOOKUP(M214,'G-6 Hedgerow Data'!$B$2:$AG$15,3,FALSE))</f>
        <v/>
      </c>
      <c r="S214" s="125"/>
      <c r="T214" s="401" t="str">
        <f>IFERROR(VLOOKUP(S214,'G-1 All Habitats'!$Z$2:$AA$9,2,FALSE),"")</f>
        <v/>
      </c>
      <c r="U214" s="122"/>
      <c r="V214" s="382" t="str">
        <f>IF(U214="","",IF(VLOOKUP(U214,'G-3 Multipliers'!$L$3:$N$6,2,FALSE)=0,"Spatial Data Missing ⚠",VLOOKUP(U214,'G-3 Multipliers'!$L$3:$N$6,2,FALSE)))</f>
        <v/>
      </c>
      <c r="W214" s="386" t="str">
        <f>IF(U214="","",IF(VLOOKUP(U214,'G-3 Multipliers'!$L$3:$N$6,3,FALSE)=0,"Spatial Data Missing ⚠",VLOOKUP(U214,'G-3 Multipliers'!$L$3:$N$6,3,FALSE)))</f>
        <v/>
      </c>
      <c r="X214" s="362" t="str">
        <f>IFERROR(IF(OR(LEFT(O214,5)="Error",LEFT(N214,5)="Error",T214="Error"),"Check Data ⚠",IF(F214&lt;R214,INDEX('G-6 Hedgerow Data'!$S$3:$AE$14,MATCH(C214,'G-6 Hedgerow Data'!$B$3:$B$14,0),MATCH(M214,'G-6 Hedgerow Data'!$S$2:$AE$2,0)),INDEX('G-6 Hedgerow Data'!$K$3:$Q$14,MATCH(M214,'G-6 Hedgerow Data'!$B$3:$B$14,0),MATCH(O214,'G-6 Hedgerow Data'!$K$2:$Q$2,0)))),"")</f>
        <v/>
      </c>
      <c r="Y214" s="159"/>
      <c r="Z214" s="159"/>
      <c r="AA214" s="370" t="str">
        <f t="shared" si="27"/>
        <v/>
      </c>
      <c r="AB214" s="383" t="str">
        <f t="shared" si="28"/>
        <v/>
      </c>
      <c r="AC214" s="384" t="str">
        <f t="shared" si="24"/>
        <v/>
      </c>
      <c r="AD214" s="398" t="str">
        <f>IF(M214="","",VLOOKUP(M214,'G-6 Hedgerow Data'!$B$3:$AG$15,31,FALSE))</f>
        <v/>
      </c>
      <c r="AE214" s="370" t="str">
        <f t="shared" si="29"/>
        <v/>
      </c>
      <c r="AF214" s="370" t="str">
        <f t="shared" si="30"/>
        <v/>
      </c>
      <c r="AG214" s="386" t="str">
        <f>IFERROR(IF(O214="","",VLOOKUP(AD214,'G-3 Multipliers'!$P$3:$Q$6,2,FALSE)),"")</f>
        <v/>
      </c>
      <c r="AH214" s="376" t="str">
        <f t="shared" si="25"/>
        <v/>
      </c>
      <c r="AI214" s="188"/>
      <c r="AJ214" s="118"/>
      <c r="AK214" s="120"/>
      <c r="AT214" s="30" t="str">
        <f>IFERROR(INDEX('G-6 Hedgerow Data'!$BJ$3:$BJ$15,MATCH(M214,'G-6 Hedgerow Data'!$B$3:$B$15,0)),"")</f>
        <v/>
      </c>
    </row>
    <row r="215" spans="2:46" ht="15">
      <c r="B215" s="392" t="str">
        <f>'B-1 On-Site Hedge Baseline'!AK213</f>
        <v/>
      </c>
      <c r="C215" s="382" t="str">
        <f>IF(B215="","",IF(ISNA(VLOOKUP($B215,'B-1 On-Site Hedge Baseline'!$B$1:$L$257,3,FALSE)),"",(VLOOKUP($B215,'B-1 On-Site Hedge Baseline'!$B$1:$L$257,3,FALSE))))</f>
        <v/>
      </c>
      <c r="D215" s="382" t="str">
        <f>IF(B215="","",IF(ISNA(VLOOKUP($B215,'B-1 On-Site Hedge Baseline'!$B$1:$L$257,4,FALSE)),"",(VLOOKUP($B215,'B-1 On-Site Hedge Baseline'!$B$1:$L$257,4,FALSE))))</f>
        <v/>
      </c>
      <c r="E215" s="382" t="str">
        <f>IF(B215="","",IF(ISNA(VLOOKUP($B215,'B-1 On-Site Hedge Baseline'!$B$1:$L$257,5,FALSE)),"",(VLOOKUP($B215,'B-1 On-Site Hedge Baseline'!$B$1:$L$257,5,FALSE))))</f>
        <v/>
      </c>
      <c r="F215" s="382" t="str">
        <f>IF(B215="","",IF(ISNA(VLOOKUP($B215,'B-1 On-Site Hedge Baseline'!$B$1:$L$257,6,FALSE)),"",(VLOOKUP($B215,'B-1 On-Site Hedge Baseline'!$B$1:$L$257,6,FALSE))))</f>
        <v/>
      </c>
      <c r="G215" s="382" t="str">
        <f>IF(B215="","",IF(ISNA(VLOOKUP($B215,'B-1 On-Site Hedge Baseline'!$B$1:$L$257,7,FALSE)),"",(VLOOKUP($B215,'B-1 On-Site Hedge Baseline'!$B$1:$L$257,7,FALSE))))</f>
        <v/>
      </c>
      <c r="H215" s="382" t="str">
        <f>IF(B215="","",IF(ISNA(VLOOKUP($B215,'B-1 On-Site Hedge Baseline'!$B$1:$L$257,8,FALSE)),"",(VLOOKUP($B215,'B-1 On-Site Hedge Baseline'!$B$1:$L$257,8,FALSE))))</f>
        <v/>
      </c>
      <c r="I215" s="382" t="str">
        <f>IF(B215="","",IF(ISNA(VLOOKUP($B215,'B-1 On-Site Hedge Baseline'!$B$1:$L$257,10,FALSE)),"",(VLOOKUP($B215,'B-1 On-Site Hedge Baseline'!$B$1:$L$257,10,FALSE))))</f>
        <v/>
      </c>
      <c r="J215" s="382" t="str">
        <f>IF(B215="","",IF(ISNA(VLOOKUP($B215,'B-1 On-Site Hedge Baseline'!$B$1:$L$257,11,FALSE)),"",(VLOOKUP($B215,'B-1 On-Site Hedge Baseline'!$B$1:$L$257,11,FALSE))))</f>
        <v/>
      </c>
      <c r="K215" s="382" t="str">
        <f>IF(B215="","",IF(ISNA(VLOOKUP($B215,'B-1 On-Site Hedge Baseline'!$B$1:$U$257,13,FALSE)),"",(VLOOKUP($B215,'B-1 On-Site Hedge Baseline'!$B$1:$U$257,13,FALSE))))</f>
        <v/>
      </c>
      <c r="L215" s="386" t="str">
        <f>IF(B215="","",IF(ISNA(VLOOKUP($B215,'B-1 On-Site Hedge Baseline'!$B$1:$U$257,12,FALSE)),"",(VLOOKUP($B215,'B-1 On-Site Hedge Baseline'!$B$1:$U$257,12,FALSE))))</f>
        <v/>
      </c>
      <c r="M215" s="315" t="str">
        <f t="shared" si="31"/>
        <v/>
      </c>
      <c r="N215" s="362" t="str">
        <f>IFERROR(IF(B215="","",INDEX('G-6 Hedgerow Data'!$AN$3:$AZ$15,MATCH(C215,'G-6 Hedgerow Data'!$AM$3:$AM$15,0),MATCH(M215,'G-6 Hedgerow Data'!$AN$2:$AZ$2,0))),"")</f>
        <v/>
      </c>
      <c r="O215" s="363" t="str">
        <f t="shared" si="26"/>
        <v/>
      </c>
      <c r="P215" s="417" t="str">
        <f>IF(B215="","",VLOOKUP(B215,'B-1 On-Site Hedge Baseline'!$B$10:T460,16,FALSE))</f>
        <v/>
      </c>
      <c r="Q215" s="362" t="str">
        <f>IF(M215="","",VLOOKUP(M215,'G-6 Hedgerow Data'!$B$2:$AG$15,2,FALSE))</f>
        <v/>
      </c>
      <c r="R215" s="363" t="str">
        <f>IF(M215="","",VLOOKUP(M215,'G-6 Hedgerow Data'!$B$2:$AG$15,3,FALSE))</f>
        <v/>
      </c>
      <c r="S215" s="125"/>
      <c r="T215" s="401" t="str">
        <f>IFERROR(VLOOKUP(S215,'G-1 All Habitats'!$Z$2:$AA$9,2,FALSE),"")</f>
        <v/>
      </c>
      <c r="U215" s="122"/>
      <c r="V215" s="382" t="str">
        <f>IF(U215="","",IF(VLOOKUP(U215,'G-3 Multipliers'!$L$3:$N$6,2,FALSE)=0,"Spatial Data Missing ⚠",VLOOKUP(U215,'G-3 Multipliers'!$L$3:$N$6,2,FALSE)))</f>
        <v/>
      </c>
      <c r="W215" s="386" t="str">
        <f>IF(U215="","",IF(VLOOKUP(U215,'G-3 Multipliers'!$L$3:$N$6,3,FALSE)=0,"Spatial Data Missing ⚠",VLOOKUP(U215,'G-3 Multipliers'!$L$3:$N$6,3,FALSE)))</f>
        <v/>
      </c>
      <c r="X215" s="362" t="str">
        <f>IFERROR(IF(OR(LEFT(O215,5)="Error",LEFT(N215,5)="Error",T215="Error"),"Check Data ⚠",IF(F215&lt;R215,INDEX('G-6 Hedgerow Data'!$S$3:$AE$14,MATCH(C215,'G-6 Hedgerow Data'!$B$3:$B$14,0),MATCH(M215,'G-6 Hedgerow Data'!$S$2:$AE$2,0)),INDEX('G-6 Hedgerow Data'!$K$3:$Q$14,MATCH(M215,'G-6 Hedgerow Data'!$B$3:$B$14,0),MATCH(O215,'G-6 Hedgerow Data'!$K$2:$Q$2,0)))),"")</f>
        <v/>
      </c>
      <c r="Y215" s="159"/>
      <c r="Z215" s="159"/>
      <c r="AA215" s="370" t="str">
        <f t="shared" si="27"/>
        <v/>
      </c>
      <c r="AB215" s="383" t="str">
        <f t="shared" si="28"/>
        <v/>
      </c>
      <c r="AC215" s="384" t="str">
        <f t="shared" si="24"/>
        <v/>
      </c>
      <c r="AD215" s="398" t="str">
        <f>IF(M215="","",VLOOKUP(M215,'G-6 Hedgerow Data'!$B$3:$AG$15,31,FALSE))</f>
        <v/>
      </c>
      <c r="AE215" s="370" t="str">
        <f t="shared" si="29"/>
        <v/>
      </c>
      <c r="AF215" s="370" t="str">
        <f t="shared" si="30"/>
        <v/>
      </c>
      <c r="AG215" s="386" t="str">
        <f>IFERROR(IF(O215="","",VLOOKUP(AD215,'G-3 Multipliers'!$P$3:$Q$6,2,FALSE)),"")</f>
        <v/>
      </c>
      <c r="AH215" s="376" t="str">
        <f t="shared" si="25"/>
        <v/>
      </c>
      <c r="AI215" s="188"/>
      <c r="AJ215" s="118"/>
      <c r="AK215" s="120"/>
      <c r="AT215" s="30" t="str">
        <f>IFERROR(INDEX('G-6 Hedgerow Data'!$BJ$3:$BJ$15,MATCH(M215,'G-6 Hedgerow Data'!$B$3:$B$15,0)),"")</f>
        <v/>
      </c>
    </row>
    <row r="216" spans="2:46" ht="15">
      <c r="B216" s="392" t="str">
        <f>'B-1 On-Site Hedge Baseline'!AK214</f>
        <v/>
      </c>
      <c r="C216" s="382" t="str">
        <f>IF(B216="","",IF(ISNA(VLOOKUP($B216,'B-1 On-Site Hedge Baseline'!$B$1:$L$257,3,FALSE)),"",(VLOOKUP($B216,'B-1 On-Site Hedge Baseline'!$B$1:$L$257,3,FALSE))))</f>
        <v/>
      </c>
      <c r="D216" s="382" t="str">
        <f>IF(B216="","",IF(ISNA(VLOOKUP($B216,'B-1 On-Site Hedge Baseline'!$B$1:$L$257,4,FALSE)),"",(VLOOKUP($B216,'B-1 On-Site Hedge Baseline'!$B$1:$L$257,4,FALSE))))</f>
        <v/>
      </c>
      <c r="E216" s="382" t="str">
        <f>IF(B216="","",IF(ISNA(VLOOKUP($B216,'B-1 On-Site Hedge Baseline'!$B$1:$L$257,5,FALSE)),"",(VLOOKUP($B216,'B-1 On-Site Hedge Baseline'!$B$1:$L$257,5,FALSE))))</f>
        <v/>
      </c>
      <c r="F216" s="382" t="str">
        <f>IF(B216="","",IF(ISNA(VLOOKUP($B216,'B-1 On-Site Hedge Baseline'!$B$1:$L$257,6,FALSE)),"",(VLOOKUP($B216,'B-1 On-Site Hedge Baseline'!$B$1:$L$257,6,FALSE))))</f>
        <v/>
      </c>
      <c r="G216" s="382" t="str">
        <f>IF(B216="","",IF(ISNA(VLOOKUP($B216,'B-1 On-Site Hedge Baseline'!$B$1:$L$257,7,FALSE)),"",(VLOOKUP($B216,'B-1 On-Site Hedge Baseline'!$B$1:$L$257,7,FALSE))))</f>
        <v/>
      </c>
      <c r="H216" s="382" t="str">
        <f>IF(B216="","",IF(ISNA(VLOOKUP($B216,'B-1 On-Site Hedge Baseline'!$B$1:$L$257,8,FALSE)),"",(VLOOKUP($B216,'B-1 On-Site Hedge Baseline'!$B$1:$L$257,8,FALSE))))</f>
        <v/>
      </c>
      <c r="I216" s="382" t="str">
        <f>IF(B216="","",IF(ISNA(VLOOKUP($B216,'B-1 On-Site Hedge Baseline'!$B$1:$L$257,10,FALSE)),"",(VLOOKUP($B216,'B-1 On-Site Hedge Baseline'!$B$1:$L$257,10,FALSE))))</f>
        <v/>
      </c>
      <c r="J216" s="382" t="str">
        <f>IF(B216="","",IF(ISNA(VLOOKUP($B216,'B-1 On-Site Hedge Baseline'!$B$1:$L$257,11,FALSE)),"",(VLOOKUP($B216,'B-1 On-Site Hedge Baseline'!$B$1:$L$257,11,FALSE))))</f>
        <v/>
      </c>
      <c r="K216" s="382" t="str">
        <f>IF(B216="","",IF(ISNA(VLOOKUP($B216,'B-1 On-Site Hedge Baseline'!$B$1:$U$257,13,FALSE)),"",(VLOOKUP($B216,'B-1 On-Site Hedge Baseline'!$B$1:$U$257,13,FALSE))))</f>
        <v/>
      </c>
      <c r="L216" s="386" t="str">
        <f>IF(B216="","",IF(ISNA(VLOOKUP($B216,'B-1 On-Site Hedge Baseline'!$B$1:$U$257,12,FALSE)),"",(VLOOKUP($B216,'B-1 On-Site Hedge Baseline'!$B$1:$U$257,12,FALSE))))</f>
        <v/>
      </c>
      <c r="M216" s="315" t="str">
        <f t="shared" si="31"/>
        <v/>
      </c>
      <c r="N216" s="362" t="str">
        <f>IFERROR(IF(B216="","",INDEX('G-6 Hedgerow Data'!$AN$3:$AZ$15,MATCH(C216,'G-6 Hedgerow Data'!$AM$3:$AM$15,0),MATCH(M216,'G-6 Hedgerow Data'!$AN$2:$AZ$2,0))),"")</f>
        <v/>
      </c>
      <c r="O216" s="363" t="str">
        <f t="shared" si="26"/>
        <v/>
      </c>
      <c r="P216" s="417" t="str">
        <f>IF(B216="","",VLOOKUP(B216,'B-1 On-Site Hedge Baseline'!$B$10:T461,16,FALSE))</f>
        <v/>
      </c>
      <c r="Q216" s="362" t="str">
        <f>IF(M216="","",VLOOKUP(M216,'G-6 Hedgerow Data'!$B$2:$AG$15,2,FALSE))</f>
        <v/>
      </c>
      <c r="R216" s="363" t="str">
        <f>IF(M216="","",VLOOKUP(M216,'G-6 Hedgerow Data'!$B$2:$AG$15,3,FALSE))</f>
        <v/>
      </c>
      <c r="S216" s="125"/>
      <c r="T216" s="401" t="str">
        <f>IFERROR(VLOOKUP(S216,'G-1 All Habitats'!$Z$2:$AA$9,2,FALSE),"")</f>
        <v/>
      </c>
      <c r="U216" s="122"/>
      <c r="V216" s="382" t="str">
        <f>IF(U216="","",IF(VLOOKUP(U216,'G-3 Multipliers'!$L$3:$N$6,2,FALSE)=0,"Spatial Data Missing ⚠",VLOOKUP(U216,'G-3 Multipliers'!$L$3:$N$6,2,FALSE)))</f>
        <v/>
      </c>
      <c r="W216" s="386" t="str">
        <f>IF(U216="","",IF(VLOOKUP(U216,'G-3 Multipliers'!$L$3:$N$6,3,FALSE)=0,"Spatial Data Missing ⚠",VLOOKUP(U216,'G-3 Multipliers'!$L$3:$N$6,3,FALSE)))</f>
        <v/>
      </c>
      <c r="X216" s="362" t="str">
        <f>IFERROR(IF(OR(LEFT(O216,5)="Error",LEFT(N216,5)="Error",T216="Error"),"Check Data ⚠",IF(F216&lt;R216,INDEX('G-6 Hedgerow Data'!$S$3:$AE$14,MATCH(C216,'G-6 Hedgerow Data'!$B$3:$B$14,0),MATCH(M216,'G-6 Hedgerow Data'!$S$2:$AE$2,0)),INDEX('G-6 Hedgerow Data'!$K$3:$Q$14,MATCH(M216,'G-6 Hedgerow Data'!$B$3:$B$14,0),MATCH(O216,'G-6 Hedgerow Data'!$K$2:$Q$2,0)))),"")</f>
        <v/>
      </c>
      <c r="Y216" s="159"/>
      <c r="Z216" s="159"/>
      <c r="AA216" s="370" t="str">
        <f t="shared" si="27"/>
        <v/>
      </c>
      <c r="AB216" s="383" t="str">
        <f t="shared" si="28"/>
        <v/>
      </c>
      <c r="AC216" s="384" t="str">
        <f t="shared" si="24"/>
        <v/>
      </c>
      <c r="AD216" s="398" t="str">
        <f>IF(M216="","",VLOOKUP(M216,'G-6 Hedgerow Data'!$B$3:$AG$15,31,FALSE))</f>
        <v/>
      </c>
      <c r="AE216" s="370" t="str">
        <f t="shared" si="29"/>
        <v/>
      </c>
      <c r="AF216" s="370" t="str">
        <f t="shared" si="30"/>
        <v/>
      </c>
      <c r="AG216" s="386" t="str">
        <f>IFERROR(IF(O216="","",VLOOKUP(AD216,'G-3 Multipliers'!$P$3:$Q$6,2,FALSE)),"")</f>
        <v/>
      </c>
      <c r="AH216" s="376" t="str">
        <f t="shared" si="25"/>
        <v/>
      </c>
      <c r="AI216" s="188"/>
      <c r="AJ216" s="118"/>
      <c r="AK216" s="120"/>
      <c r="AT216" s="30" t="str">
        <f>IFERROR(INDEX('G-6 Hedgerow Data'!$BJ$3:$BJ$15,MATCH(M216,'G-6 Hedgerow Data'!$B$3:$B$15,0)),"")</f>
        <v/>
      </c>
    </row>
    <row r="217" spans="2:46" ht="15">
      <c r="B217" s="392" t="str">
        <f>'B-1 On-Site Hedge Baseline'!AK215</f>
        <v/>
      </c>
      <c r="C217" s="382" t="str">
        <f>IF(B217="","",IF(ISNA(VLOOKUP($B217,'B-1 On-Site Hedge Baseline'!$B$1:$L$257,3,FALSE)),"",(VLOOKUP($B217,'B-1 On-Site Hedge Baseline'!$B$1:$L$257,3,FALSE))))</f>
        <v/>
      </c>
      <c r="D217" s="382" t="str">
        <f>IF(B217="","",IF(ISNA(VLOOKUP($B217,'B-1 On-Site Hedge Baseline'!$B$1:$L$257,4,FALSE)),"",(VLOOKUP($B217,'B-1 On-Site Hedge Baseline'!$B$1:$L$257,4,FALSE))))</f>
        <v/>
      </c>
      <c r="E217" s="382" t="str">
        <f>IF(B217="","",IF(ISNA(VLOOKUP($B217,'B-1 On-Site Hedge Baseline'!$B$1:$L$257,5,FALSE)),"",(VLOOKUP($B217,'B-1 On-Site Hedge Baseline'!$B$1:$L$257,5,FALSE))))</f>
        <v/>
      </c>
      <c r="F217" s="382" t="str">
        <f>IF(B217="","",IF(ISNA(VLOOKUP($B217,'B-1 On-Site Hedge Baseline'!$B$1:$L$257,6,FALSE)),"",(VLOOKUP($B217,'B-1 On-Site Hedge Baseline'!$B$1:$L$257,6,FALSE))))</f>
        <v/>
      </c>
      <c r="G217" s="382" t="str">
        <f>IF(B217="","",IF(ISNA(VLOOKUP($B217,'B-1 On-Site Hedge Baseline'!$B$1:$L$257,7,FALSE)),"",(VLOOKUP($B217,'B-1 On-Site Hedge Baseline'!$B$1:$L$257,7,FALSE))))</f>
        <v/>
      </c>
      <c r="H217" s="382" t="str">
        <f>IF(B217="","",IF(ISNA(VLOOKUP($B217,'B-1 On-Site Hedge Baseline'!$B$1:$L$257,8,FALSE)),"",(VLOOKUP($B217,'B-1 On-Site Hedge Baseline'!$B$1:$L$257,8,FALSE))))</f>
        <v/>
      </c>
      <c r="I217" s="382" t="str">
        <f>IF(B217="","",IF(ISNA(VLOOKUP($B217,'B-1 On-Site Hedge Baseline'!$B$1:$L$257,10,FALSE)),"",(VLOOKUP($B217,'B-1 On-Site Hedge Baseline'!$B$1:$L$257,10,FALSE))))</f>
        <v/>
      </c>
      <c r="J217" s="382" t="str">
        <f>IF(B217="","",IF(ISNA(VLOOKUP($B217,'B-1 On-Site Hedge Baseline'!$B$1:$L$257,11,FALSE)),"",(VLOOKUP($B217,'B-1 On-Site Hedge Baseline'!$B$1:$L$257,11,FALSE))))</f>
        <v/>
      </c>
      <c r="K217" s="382" t="str">
        <f>IF(B217="","",IF(ISNA(VLOOKUP($B217,'B-1 On-Site Hedge Baseline'!$B$1:$U$257,13,FALSE)),"",(VLOOKUP($B217,'B-1 On-Site Hedge Baseline'!$B$1:$U$257,13,FALSE))))</f>
        <v/>
      </c>
      <c r="L217" s="386" t="str">
        <f>IF(B217="","",IF(ISNA(VLOOKUP($B217,'B-1 On-Site Hedge Baseline'!$B$1:$U$257,12,FALSE)),"",(VLOOKUP($B217,'B-1 On-Site Hedge Baseline'!$B$1:$U$257,12,FALSE))))</f>
        <v/>
      </c>
      <c r="M217" s="315" t="str">
        <f t="shared" si="31"/>
        <v/>
      </c>
      <c r="N217" s="362" t="str">
        <f>IFERROR(IF(B217="","",INDEX('G-6 Hedgerow Data'!$AN$3:$AZ$15,MATCH(C217,'G-6 Hedgerow Data'!$AM$3:$AM$15,0),MATCH(M217,'G-6 Hedgerow Data'!$AN$2:$AZ$2,0))),"")</f>
        <v/>
      </c>
      <c r="O217" s="363" t="str">
        <f t="shared" si="26"/>
        <v/>
      </c>
      <c r="P217" s="417" t="str">
        <f>IF(B217="","",VLOOKUP(B217,'B-1 On-Site Hedge Baseline'!$B$10:T462,16,FALSE))</f>
        <v/>
      </c>
      <c r="Q217" s="362" t="str">
        <f>IF(M217="","",VLOOKUP(M217,'G-6 Hedgerow Data'!$B$2:$AG$15,2,FALSE))</f>
        <v/>
      </c>
      <c r="R217" s="363" t="str">
        <f>IF(M217="","",VLOOKUP(M217,'G-6 Hedgerow Data'!$B$2:$AG$15,3,FALSE))</f>
        <v/>
      </c>
      <c r="S217" s="125"/>
      <c r="T217" s="401" t="str">
        <f>IFERROR(VLOOKUP(S217,'G-1 All Habitats'!$Z$2:$AA$9,2,FALSE),"")</f>
        <v/>
      </c>
      <c r="U217" s="122"/>
      <c r="V217" s="382" t="str">
        <f>IF(U217="","",IF(VLOOKUP(U217,'G-3 Multipliers'!$L$3:$N$6,2,FALSE)=0,"Spatial Data Missing ⚠",VLOOKUP(U217,'G-3 Multipliers'!$L$3:$N$6,2,FALSE)))</f>
        <v/>
      </c>
      <c r="W217" s="386" t="str">
        <f>IF(U217="","",IF(VLOOKUP(U217,'G-3 Multipliers'!$L$3:$N$6,3,FALSE)=0,"Spatial Data Missing ⚠",VLOOKUP(U217,'G-3 Multipliers'!$L$3:$N$6,3,FALSE)))</f>
        <v/>
      </c>
      <c r="X217" s="362" t="str">
        <f>IFERROR(IF(OR(LEFT(O217,5)="Error",LEFT(N217,5)="Error",T217="Error"),"Check Data ⚠",IF(F217&lt;R217,INDEX('G-6 Hedgerow Data'!$S$3:$AE$14,MATCH(C217,'G-6 Hedgerow Data'!$B$3:$B$14,0),MATCH(M217,'G-6 Hedgerow Data'!$S$2:$AE$2,0)),INDEX('G-6 Hedgerow Data'!$K$3:$Q$14,MATCH(M217,'G-6 Hedgerow Data'!$B$3:$B$14,0),MATCH(O217,'G-6 Hedgerow Data'!$K$2:$Q$2,0)))),"")</f>
        <v/>
      </c>
      <c r="Y217" s="159"/>
      <c r="Z217" s="159"/>
      <c r="AA217" s="370" t="str">
        <f t="shared" si="27"/>
        <v/>
      </c>
      <c r="AB217" s="383" t="str">
        <f t="shared" si="28"/>
        <v/>
      </c>
      <c r="AC217" s="384" t="str">
        <f t="shared" si="24"/>
        <v/>
      </c>
      <c r="AD217" s="398" t="str">
        <f>IF(M217="","",VLOOKUP(M217,'G-6 Hedgerow Data'!$B$3:$AG$15,31,FALSE))</f>
        <v/>
      </c>
      <c r="AE217" s="370" t="str">
        <f t="shared" si="29"/>
        <v/>
      </c>
      <c r="AF217" s="370" t="str">
        <f t="shared" si="30"/>
        <v/>
      </c>
      <c r="AG217" s="386" t="str">
        <f>IFERROR(IF(O217="","",VLOOKUP(AD217,'G-3 Multipliers'!$P$3:$Q$6,2,FALSE)),"")</f>
        <v/>
      </c>
      <c r="AH217" s="376" t="str">
        <f t="shared" si="25"/>
        <v/>
      </c>
      <c r="AI217" s="188"/>
      <c r="AJ217" s="118"/>
      <c r="AK217" s="120"/>
      <c r="AT217" s="30" t="str">
        <f>IFERROR(INDEX('G-6 Hedgerow Data'!$BJ$3:$BJ$15,MATCH(M217,'G-6 Hedgerow Data'!$B$3:$B$15,0)),"")</f>
        <v/>
      </c>
    </row>
    <row r="218" spans="2:46" ht="15">
      <c r="B218" s="392" t="str">
        <f>'B-1 On-Site Hedge Baseline'!AK216</f>
        <v/>
      </c>
      <c r="C218" s="382" t="str">
        <f>IF(B218="","",IF(ISNA(VLOOKUP($B218,'B-1 On-Site Hedge Baseline'!$B$1:$L$257,3,FALSE)),"",(VLOOKUP($B218,'B-1 On-Site Hedge Baseline'!$B$1:$L$257,3,FALSE))))</f>
        <v/>
      </c>
      <c r="D218" s="382" t="str">
        <f>IF(B218="","",IF(ISNA(VLOOKUP($B218,'B-1 On-Site Hedge Baseline'!$B$1:$L$257,4,FALSE)),"",(VLOOKUP($B218,'B-1 On-Site Hedge Baseline'!$B$1:$L$257,4,FALSE))))</f>
        <v/>
      </c>
      <c r="E218" s="382" t="str">
        <f>IF(B218="","",IF(ISNA(VLOOKUP($B218,'B-1 On-Site Hedge Baseline'!$B$1:$L$257,5,FALSE)),"",(VLOOKUP($B218,'B-1 On-Site Hedge Baseline'!$B$1:$L$257,5,FALSE))))</f>
        <v/>
      </c>
      <c r="F218" s="382" t="str">
        <f>IF(B218="","",IF(ISNA(VLOOKUP($B218,'B-1 On-Site Hedge Baseline'!$B$1:$L$257,6,FALSE)),"",(VLOOKUP($B218,'B-1 On-Site Hedge Baseline'!$B$1:$L$257,6,FALSE))))</f>
        <v/>
      </c>
      <c r="G218" s="382" t="str">
        <f>IF(B218="","",IF(ISNA(VLOOKUP($B218,'B-1 On-Site Hedge Baseline'!$B$1:$L$257,7,FALSE)),"",(VLOOKUP($B218,'B-1 On-Site Hedge Baseline'!$B$1:$L$257,7,FALSE))))</f>
        <v/>
      </c>
      <c r="H218" s="382" t="str">
        <f>IF(B218="","",IF(ISNA(VLOOKUP($B218,'B-1 On-Site Hedge Baseline'!$B$1:$L$257,8,FALSE)),"",(VLOOKUP($B218,'B-1 On-Site Hedge Baseline'!$B$1:$L$257,8,FALSE))))</f>
        <v/>
      </c>
      <c r="I218" s="382" t="str">
        <f>IF(B218="","",IF(ISNA(VLOOKUP($B218,'B-1 On-Site Hedge Baseline'!$B$1:$L$257,10,FALSE)),"",(VLOOKUP($B218,'B-1 On-Site Hedge Baseline'!$B$1:$L$257,10,FALSE))))</f>
        <v/>
      </c>
      <c r="J218" s="382" t="str">
        <f>IF(B218="","",IF(ISNA(VLOOKUP($B218,'B-1 On-Site Hedge Baseline'!$B$1:$L$257,11,FALSE)),"",(VLOOKUP($B218,'B-1 On-Site Hedge Baseline'!$B$1:$L$257,11,FALSE))))</f>
        <v/>
      </c>
      <c r="K218" s="382" t="str">
        <f>IF(B218="","",IF(ISNA(VLOOKUP($B218,'B-1 On-Site Hedge Baseline'!$B$1:$U$257,13,FALSE)),"",(VLOOKUP($B218,'B-1 On-Site Hedge Baseline'!$B$1:$U$257,13,FALSE))))</f>
        <v/>
      </c>
      <c r="L218" s="386" t="str">
        <f>IF(B218="","",IF(ISNA(VLOOKUP($B218,'B-1 On-Site Hedge Baseline'!$B$1:$U$257,12,FALSE)),"",(VLOOKUP($B218,'B-1 On-Site Hedge Baseline'!$B$1:$U$257,12,FALSE))))</f>
        <v/>
      </c>
      <c r="M218" s="315" t="str">
        <f t="shared" si="31"/>
        <v/>
      </c>
      <c r="N218" s="362" t="str">
        <f>IFERROR(IF(B218="","",INDEX('G-6 Hedgerow Data'!$AN$3:$AZ$15,MATCH(C218,'G-6 Hedgerow Data'!$AM$3:$AM$15,0),MATCH(M218,'G-6 Hedgerow Data'!$AN$2:$AZ$2,0))),"")</f>
        <v/>
      </c>
      <c r="O218" s="363" t="str">
        <f t="shared" si="26"/>
        <v/>
      </c>
      <c r="P218" s="417" t="str">
        <f>IF(B218="","",VLOOKUP(B218,'B-1 On-Site Hedge Baseline'!$B$10:T463,16,FALSE))</f>
        <v/>
      </c>
      <c r="Q218" s="362" t="str">
        <f>IF(M218="","",VLOOKUP(M218,'G-6 Hedgerow Data'!$B$2:$AG$15,2,FALSE))</f>
        <v/>
      </c>
      <c r="R218" s="363" t="str">
        <f>IF(M218="","",VLOOKUP(M218,'G-6 Hedgerow Data'!$B$2:$AG$15,3,FALSE))</f>
        <v/>
      </c>
      <c r="S218" s="125"/>
      <c r="T218" s="401" t="str">
        <f>IFERROR(VLOOKUP(S218,'G-1 All Habitats'!$Z$2:$AA$9,2,FALSE),"")</f>
        <v/>
      </c>
      <c r="U218" s="122"/>
      <c r="V218" s="382" t="str">
        <f>IF(U218="","",IF(VLOOKUP(U218,'G-3 Multipliers'!$L$3:$N$6,2,FALSE)=0,"Spatial Data Missing ⚠",VLOOKUP(U218,'G-3 Multipliers'!$L$3:$N$6,2,FALSE)))</f>
        <v/>
      </c>
      <c r="W218" s="386" t="str">
        <f>IF(U218="","",IF(VLOOKUP(U218,'G-3 Multipliers'!$L$3:$N$6,3,FALSE)=0,"Spatial Data Missing ⚠",VLOOKUP(U218,'G-3 Multipliers'!$L$3:$N$6,3,FALSE)))</f>
        <v/>
      </c>
      <c r="X218" s="362" t="str">
        <f>IFERROR(IF(OR(LEFT(O218,5)="Error",LEFT(N218,5)="Error",T218="Error"),"Check Data ⚠",IF(F218&lt;R218,INDEX('G-6 Hedgerow Data'!$S$3:$AE$14,MATCH(C218,'G-6 Hedgerow Data'!$B$3:$B$14,0),MATCH(M218,'G-6 Hedgerow Data'!$S$2:$AE$2,0)),INDEX('G-6 Hedgerow Data'!$K$3:$Q$14,MATCH(M218,'G-6 Hedgerow Data'!$B$3:$B$14,0),MATCH(O218,'G-6 Hedgerow Data'!$K$2:$Q$2,0)))),"")</f>
        <v/>
      </c>
      <c r="Y218" s="159"/>
      <c r="Z218" s="159"/>
      <c r="AA218" s="370" t="str">
        <f t="shared" si="27"/>
        <v/>
      </c>
      <c r="AB218" s="383" t="str">
        <f t="shared" si="28"/>
        <v/>
      </c>
      <c r="AC218" s="384" t="str">
        <f t="shared" si="24"/>
        <v/>
      </c>
      <c r="AD218" s="398" t="str">
        <f>IF(M218="","",VLOOKUP(M218,'G-6 Hedgerow Data'!$B$3:$AG$15,31,FALSE))</f>
        <v/>
      </c>
      <c r="AE218" s="370" t="str">
        <f t="shared" si="29"/>
        <v/>
      </c>
      <c r="AF218" s="370" t="str">
        <f t="shared" si="30"/>
        <v/>
      </c>
      <c r="AG218" s="386" t="str">
        <f>IFERROR(IF(O218="","",VLOOKUP(AD218,'G-3 Multipliers'!$P$3:$Q$6,2,FALSE)),"")</f>
        <v/>
      </c>
      <c r="AH218" s="376" t="str">
        <f t="shared" si="25"/>
        <v/>
      </c>
      <c r="AI218" s="188"/>
      <c r="AJ218" s="118"/>
      <c r="AK218" s="120"/>
      <c r="AT218" s="30" t="str">
        <f>IFERROR(INDEX('G-6 Hedgerow Data'!$BJ$3:$BJ$15,MATCH(M218,'G-6 Hedgerow Data'!$B$3:$B$15,0)),"")</f>
        <v/>
      </c>
    </row>
    <row r="219" spans="2:46" ht="15">
      <c r="B219" s="392" t="str">
        <f>'B-1 On-Site Hedge Baseline'!AK217</f>
        <v/>
      </c>
      <c r="C219" s="382" t="str">
        <f>IF(B219="","",IF(ISNA(VLOOKUP($B219,'B-1 On-Site Hedge Baseline'!$B$1:$L$257,3,FALSE)),"",(VLOOKUP($B219,'B-1 On-Site Hedge Baseline'!$B$1:$L$257,3,FALSE))))</f>
        <v/>
      </c>
      <c r="D219" s="382" t="str">
        <f>IF(B219="","",IF(ISNA(VLOOKUP($B219,'B-1 On-Site Hedge Baseline'!$B$1:$L$257,4,FALSE)),"",(VLOOKUP($B219,'B-1 On-Site Hedge Baseline'!$B$1:$L$257,4,FALSE))))</f>
        <v/>
      </c>
      <c r="E219" s="382" t="str">
        <f>IF(B219="","",IF(ISNA(VLOOKUP($B219,'B-1 On-Site Hedge Baseline'!$B$1:$L$257,5,FALSE)),"",(VLOOKUP($B219,'B-1 On-Site Hedge Baseline'!$B$1:$L$257,5,FALSE))))</f>
        <v/>
      </c>
      <c r="F219" s="382" t="str">
        <f>IF(B219="","",IF(ISNA(VLOOKUP($B219,'B-1 On-Site Hedge Baseline'!$B$1:$L$257,6,FALSE)),"",(VLOOKUP($B219,'B-1 On-Site Hedge Baseline'!$B$1:$L$257,6,FALSE))))</f>
        <v/>
      </c>
      <c r="G219" s="382" t="str">
        <f>IF(B219="","",IF(ISNA(VLOOKUP($B219,'B-1 On-Site Hedge Baseline'!$B$1:$L$257,7,FALSE)),"",(VLOOKUP($B219,'B-1 On-Site Hedge Baseline'!$B$1:$L$257,7,FALSE))))</f>
        <v/>
      </c>
      <c r="H219" s="382" t="str">
        <f>IF(B219="","",IF(ISNA(VLOOKUP($B219,'B-1 On-Site Hedge Baseline'!$B$1:$L$257,8,FALSE)),"",(VLOOKUP($B219,'B-1 On-Site Hedge Baseline'!$B$1:$L$257,8,FALSE))))</f>
        <v/>
      </c>
      <c r="I219" s="382" t="str">
        <f>IF(B219="","",IF(ISNA(VLOOKUP($B219,'B-1 On-Site Hedge Baseline'!$B$1:$L$257,10,FALSE)),"",(VLOOKUP($B219,'B-1 On-Site Hedge Baseline'!$B$1:$L$257,10,FALSE))))</f>
        <v/>
      </c>
      <c r="J219" s="382" t="str">
        <f>IF(B219="","",IF(ISNA(VLOOKUP($B219,'B-1 On-Site Hedge Baseline'!$B$1:$L$257,11,FALSE)),"",(VLOOKUP($B219,'B-1 On-Site Hedge Baseline'!$B$1:$L$257,11,FALSE))))</f>
        <v/>
      </c>
      <c r="K219" s="382" t="str">
        <f>IF(B219="","",IF(ISNA(VLOOKUP($B219,'B-1 On-Site Hedge Baseline'!$B$1:$U$257,13,FALSE)),"",(VLOOKUP($B219,'B-1 On-Site Hedge Baseline'!$B$1:$U$257,13,FALSE))))</f>
        <v/>
      </c>
      <c r="L219" s="386" t="str">
        <f>IF(B219="","",IF(ISNA(VLOOKUP($B219,'B-1 On-Site Hedge Baseline'!$B$1:$U$257,12,FALSE)),"",(VLOOKUP($B219,'B-1 On-Site Hedge Baseline'!$B$1:$U$257,12,FALSE))))</f>
        <v/>
      </c>
      <c r="M219" s="315" t="str">
        <f t="shared" si="31"/>
        <v/>
      </c>
      <c r="N219" s="362" t="str">
        <f>IFERROR(IF(B219="","",INDEX('G-6 Hedgerow Data'!$AN$3:$AZ$15,MATCH(C219,'G-6 Hedgerow Data'!$AM$3:$AM$15,0),MATCH(M219,'G-6 Hedgerow Data'!$AN$2:$AZ$2,0))),"")</f>
        <v/>
      </c>
      <c r="O219" s="363" t="str">
        <f t="shared" si="26"/>
        <v/>
      </c>
      <c r="P219" s="417" t="str">
        <f>IF(B219="","",VLOOKUP(B219,'B-1 On-Site Hedge Baseline'!$B$10:T464,16,FALSE))</f>
        <v/>
      </c>
      <c r="Q219" s="362" t="str">
        <f>IF(M219="","",VLOOKUP(M219,'G-6 Hedgerow Data'!$B$2:$AG$15,2,FALSE))</f>
        <v/>
      </c>
      <c r="R219" s="363" t="str">
        <f>IF(M219="","",VLOOKUP(M219,'G-6 Hedgerow Data'!$B$2:$AG$15,3,FALSE))</f>
        <v/>
      </c>
      <c r="S219" s="125"/>
      <c r="T219" s="401" t="str">
        <f>IFERROR(VLOOKUP(S219,'G-1 All Habitats'!$Z$2:$AA$9,2,FALSE),"")</f>
        <v/>
      </c>
      <c r="U219" s="122"/>
      <c r="V219" s="382" t="str">
        <f>IF(U219="","",IF(VLOOKUP(U219,'G-3 Multipliers'!$L$3:$N$6,2,FALSE)=0,"Spatial Data Missing ⚠",VLOOKUP(U219,'G-3 Multipliers'!$L$3:$N$6,2,FALSE)))</f>
        <v/>
      </c>
      <c r="W219" s="386" t="str">
        <f>IF(U219="","",IF(VLOOKUP(U219,'G-3 Multipliers'!$L$3:$N$6,3,FALSE)=0,"Spatial Data Missing ⚠",VLOOKUP(U219,'G-3 Multipliers'!$L$3:$N$6,3,FALSE)))</f>
        <v/>
      </c>
      <c r="X219" s="362" t="str">
        <f>IFERROR(IF(OR(LEFT(O219,5)="Error",LEFT(N219,5)="Error",T219="Error"),"Check Data ⚠",IF(F219&lt;R219,INDEX('G-6 Hedgerow Data'!$S$3:$AE$14,MATCH(C219,'G-6 Hedgerow Data'!$B$3:$B$14,0),MATCH(M219,'G-6 Hedgerow Data'!$S$2:$AE$2,0)),INDEX('G-6 Hedgerow Data'!$K$3:$Q$14,MATCH(M219,'G-6 Hedgerow Data'!$B$3:$B$14,0),MATCH(O219,'G-6 Hedgerow Data'!$K$2:$Q$2,0)))),"")</f>
        <v/>
      </c>
      <c r="Y219" s="159"/>
      <c r="Z219" s="159"/>
      <c r="AA219" s="370" t="str">
        <f t="shared" si="27"/>
        <v/>
      </c>
      <c r="AB219" s="383" t="str">
        <f t="shared" si="28"/>
        <v/>
      </c>
      <c r="AC219" s="384" t="str">
        <f t="shared" si="24"/>
        <v/>
      </c>
      <c r="AD219" s="398" t="str">
        <f>IF(M219="","",VLOOKUP(M219,'G-6 Hedgerow Data'!$B$3:$AG$15,31,FALSE))</f>
        <v/>
      </c>
      <c r="AE219" s="370" t="str">
        <f t="shared" si="29"/>
        <v/>
      </c>
      <c r="AF219" s="370" t="str">
        <f t="shared" si="30"/>
        <v/>
      </c>
      <c r="AG219" s="386" t="str">
        <f>IFERROR(IF(O219="","",VLOOKUP(AD219,'G-3 Multipliers'!$P$3:$Q$6,2,FALSE)),"")</f>
        <v/>
      </c>
      <c r="AH219" s="376" t="str">
        <f t="shared" si="25"/>
        <v/>
      </c>
      <c r="AI219" s="188"/>
      <c r="AJ219" s="118"/>
      <c r="AK219" s="120"/>
      <c r="AT219" s="30" t="str">
        <f>IFERROR(INDEX('G-6 Hedgerow Data'!$BJ$3:$BJ$15,MATCH(M219,'G-6 Hedgerow Data'!$B$3:$B$15,0)),"")</f>
        <v/>
      </c>
    </row>
    <row r="220" spans="2:46" ht="15">
      <c r="B220" s="392" t="str">
        <f>'B-1 On-Site Hedge Baseline'!AK218</f>
        <v/>
      </c>
      <c r="C220" s="382" t="str">
        <f>IF(B220="","",IF(ISNA(VLOOKUP($B220,'B-1 On-Site Hedge Baseline'!$B$1:$L$257,3,FALSE)),"",(VLOOKUP($B220,'B-1 On-Site Hedge Baseline'!$B$1:$L$257,3,FALSE))))</f>
        <v/>
      </c>
      <c r="D220" s="382" t="str">
        <f>IF(B220="","",IF(ISNA(VLOOKUP($B220,'B-1 On-Site Hedge Baseline'!$B$1:$L$257,4,FALSE)),"",(VLOOKUP($B220,'B-1 On-Site Hedge Baseline'!$B$1:$L$257,4,FALSE))))</f>
        <v/>
      </c>
      <c r="E220" s="382" t="str">
        <f>IF(B220="","",IF(ISNA(VLOOKUP($B220,'B-1 On-Site Hedge Baseline'!$B$1:$L$257,5,FALSE)),"",(VLOOKUP($B220,'B-1 On-Site Hedge Baseline'!$B$1:$L$257,5,FALSE))))</f>
        <v/>
      </c>
      <c r="F220" s="382" t="str">
        <f>IF(B220="","",IF(ISNA(VLOOKUP($B220,'B-1 On-Site Hedge Baseline'!$B$1:$L$257,6,FALSE)),"",(VLOOKUP($B220,'B-1 On-Site Hedge Baseline'!$B$1:$L$257,6,FALSE))))</f>
        <v/>
      </c>
      <c r="G220" s="382" t="str">
        <f>IF(B220="","",IF(ISNA(VLOOKUP($B220,'B-1 On-Site Hedge Baseline'!$B$1:$L$257,7,FALSE)),"",(VLOOKUP($B220,'B-1 On-Site Hedge Baseline'!$B$1:$L$257,7,FALSE))))</f>
        <v/>
      </c>
      <c r="H220" s="382" t="str">
        <f>IF(B220="","",IF(ISNA(VLOOKUP($B220,'B-1 On-Site Hedge Baseline'!$B$1:$L$257,8,FALSE)),"",(VLOOKUP($B220,'B-1 On-Site Hedge Baseline'!$B$1:$L$257,8,FALSE))))</f>
        <v/>
      </c>
      <c r="I220" s="382" t="str">
        <f>IF(B220="","",IF(ISNA(VLOOKUP($B220,'B-1 On-Site Hedge Baseline'!$B$1:$L$257,10,FALSE)),"",(VLOOKUP($B220,'B-1 On-Site Hedge Baseline'!$B$1:$L$257,10,FALSE))))</f>
        <v/>
      </c>
      <c r="J220" s="382" t="str">
        <f>IF(B220="","",IF(ISNA(VLOOKUP($B220,'B-1 On-Site Hedge Baseline'!$B$1:$L$257,11,FALSE)),"",(VLOOKUP($B220,'B-1 On-Site Hedge Baseline'!$B$1:$L$257,11,FALSE))))</f>
        <v/>
      </c>
      <c r="K220" s="382" t="str">
        <f>IF(B220="","",IF(ISNA(VLOOKUP($B220,'B-1 On-Site Hedge Baseline'!$B$1:$U$257,13,FALSE)),"",(VLOOKUP($B220,'B-1 On-Site Hedge Baseline'!$B$1:$U$257,13,FALSE))))</f>
        <v/>
      </c>
      <c r="L220" s="386" t="str">
        <f>IF(B220="","",IF(ISNA(VLOOKUP($B220,'B-1 On-Site Hedge Baseline'!$B$1:$U$257,12,FALSE)),"",(VLOOKUP($B220,'B-1 On-Site Hedge Baseline'!$B$1:$U$257,12,FALSE))))</f>
        <v/>
      </c>
      <c r="M220" s="315" t="str">
        <f t="shared" si="31"/>
        <v/>
      </c>
      <c r="N220" s="362" t="str">
        <f>IFERROR(IF(B220="","",INDEX('G-6 Hedgerow Data'!$AN$3:$AZ$15,MATCH(C220,'G-6 Hedgerow Data'!$AM$3:$AM$15,0),MATCH(M220,'G-6 Hedgerow Data'!$AN$2:$AZ$2,0))),"")</f>
        <v/>
      </c>
      <c r="O220" s="363" t="str">
        <f t="shared" si="26"/>
        <v/>
      </c>
      <c r="P220" s="417" t="str">
        <f>IF(B220="","",VLOOKUP(B220,'B-1 On-Site Hedge Baseline'!$B$10:T465,16,FALSE))</f>
        <v/>
      </c>
      <c r="Q220" s="362" t="str">
        <f>IF(M220="","",VLOOKUP(M220,'G-6 Hedgerow Data'!$B$2:$AG$15,2,FALSE))</f>
        <v/>
      </c>
      <c r="R220" s="363" t="str">
        <f>IF(M220="","",VLOOKUP(M220,'G-6 Hedgerow Data'!$B$2:$AG$15,3,FALSE))</f>
        <v/>
      </c>
      <c r="S220" s="125"/>
      <c r="T220" s="401" t="str">
        <f>IFERROR(VLOOKUP(S220,'G-1 All Habitats'!$Z$2:$AA$9,2,FALSE),"")</f>
        <v/>
      </c>
      <c r="U220" s="122"/>
      <c r="V220" s="382" t="str">
        <f>IF(U220="","",IF(VLOOKUP(U220,'G-3 Multipliers'!$L$3:$N$6,2,FALSE)=0,"Spatial Data Missing ⚠",VLOOKUP(U220,'G-3 Multipliers'!$L$3:$N$6,2,FALSE)))</f>
        <v/>
      </c>
      <c r="W220" s="386" t="str">
        <f>IF(U220="","",IF(VLOOKUP(U220,'G-3 Multipliers'!$L$3:$N$6,3,FALSE)=0,"Spatial Data Missing ⚠",VLOOKUP(U220,'G-3 Multipliers'!$L$3:$N$6,3,FALSE)))</f>
        <v/>
      </c>
      <c r="X220" s="362" t="str">
        <f>IFERROR(IF(OR(LEFT(O220,5)="Error",LEFT(N220,5)="Error",T220="Error"),"Check Data ⚠",IF(F220&lt;R220,INDEX('G-6 Hedgerow Data'!$S$3:$AE$14,MATCH(C220,'G-6 Hedgerow Data'!$B$3:$B$14,0),MATCH(M220,'G-6 Hedgerow Data'!$S$2:$AE$2,0)),INDEX('G-6 Hedgerow Data'!$K$3:$Q$14,MATCH(M220,'G-6 Hedgerow Data'!$B$3:$B$14,0),MATCH(O220,'G-6 Hedgerow Data'!$K$2:$Q$2,0)))),"")</f>
        <v/>
      </c>
      <c r="Y220" s="159"/>
      <c r="Z220" s="159"/>
      <c r="AA220" s="370" t="str">
        <f t="shared" si="27"/>
        <v/>
      </c>
      <c r="AB220" s="383" t="str">
        <f t="shared" si="28"/>
        <v/>
      </c>
      <c r="AC220" s="384" t="str">
        <f t="shared" si="24"/>
        <v/>
      </c>
      <c r="AD220" s="398" t="str">
        <f>IF(M220="","",VLOOKUP(M220,'G-6 Hedgerow Data'!$B$3:$AG$15,31,FALSE))</f>
        <v/>
      </c>
      <c r="AE220" s="370" t="str">
        <f t="shared" si="29"/>
        <v/>
      </c>
      <c r="AF220" s="370" t="str">
        <f t="shared" si="30"/>
        <v/>
      </c>
      <c r="AG220" s="386" t="str">
        <f>IFERROR(IF(O220="","",VLOOKUP(AD220,'G-3 Multipliers'!$P$3:$Q$6,2,FALSE)),"")</f>
        <v/>
      </c>
      <c r="AH220" s="376" t="str">
        <f t="shared" si="25"/>
        <v/>
      </c>
      <c r="AI220" s="188"/>
      <c r="AJ220" s="118"/>
      <c r="AK220" s="120"/>
      <c r="AT220" s="30" t="str">
        <f>IFERROR(INDEX('G-6 Hedgerow Data'!$BJ$3:$BJ$15,MATCH(M220,'G-6 Hedgerow Data'!$B$3:$B$15,0)),"")</f>
        <v/>
      </c>
    </row>
    <row r="221" spans="2:46" ht="15">
      <c r="B221" s="392" t="str">
        <f>'B-1 On-Site Hedge Baseline'!AK219</f>
        <v/>
      </c>
      <c r="C221" s="382" t="str">
        <f>IF(B221="","",IF(ISNA(VLOOKUP($B221,'B-1 On-Site Hedge Baseline'!$B$1:$L$257,3,FALSE)),"",(VLOOKUP($B221,'B-1 On-Site Hedge Baseline'!$B$1:$L$257,3,FALSE))))</f>
        <v/>
      </c>
      <c r="D221" s="382" t="str">
        <f>IF(B221="","",IF(ISNA(VLOOKUP($B221,'B-1 On-Site Hedge Baseline'!$B$1:$L$257,4,FALSE)),"",(VLOOKUP($B221,'B-1 On-Site Hedge Baseline'!$B$1:$L$257,4,FALSE))))</f>
        <v/>
      </c>
      <c r="E221" s="382" t="str">
        <f>IF(B221="","",IF(ISNA(VLOOKUP($B221,'B-1 On-Site Hedge Baseline'!$B$1:$L$257,5,FALSE)),"",(VLOOKUP($B221,'B-1 On-Site Hedge Baseline'!$B$1:$L$257,5,FALSE))))</f>
        <v/>
      </c>
      <c r="F221" s="382" t="str">
        <f>IF(B221="","",IF(ISNA(VLOOKUP($B221,'B-1 On-Site Hedge Baseline'!$B$1:$L$257,6,FALSE)),"",(VLOOKUP($B221,'B-1 On-Site Hedge Baseline'!$B$1:$L$257,6,FALSE))))</f>
        <v/>
      </c>
      <c r="G221" s="382" t="str">
        <f>IF(B221="","",IF(ISNA(VLOOKUP($B221,'B-1 On-Site Hedge Baseline'!$B$1:$L$257,7,FALSE)),"",(VLOOKUP($B221,'B-1 On-Site Hedge Baseline'!$B$1:$L$257,7,FALSE))))</f>
        <v/>
      </c>
      <c r="H221" s="382" t="str">
        <f>IF(B221="","",IF(ISNA(VLOOKUP($B221,'B-1 On-Site Hedge Baseline'!$B$1:$L$257,8,FALSE)),"",(VLOOKUP($B221,'B-1 On-Site Hedge Baseline'!$B$1:$L$257,8,FALSE))))</f>
        <v/>
      </c>
      <c r="I221" s="382" t="str">
        <f>IF(B221="","",IF(ISNA(VLOOKUP($B221,'B-1 On-Site Hedge Baseline'!$B$1:$L$257,10,FALSE)),"",(VLOOKUP($B221,'B-1 On-Site Hedge Baseline'!$B$1:$L$257,10,FALSE))))</f>
        <v/>
      </c>
      <c r="J221" s="382" t="str">
        <f>IF(B221="","",IF(ISNA(VLOOKUP($B221,'B-1 On-Site Hedge Baseline'!$B$1:$L$257,11,FALSE)),"",(VLOOKUP($B221,'B-1 On-Site Hedge Baseline'!$B$1:$L$257,11,FALSE))))</f>
        <v/>
      </c>
      <c r="K221" s="382" t="str">
        <f>IF(B221="","",IF(ISNA(VLOOKUP($B221,'B-1 On-Site Hedge Baseline'!$B$1:$U$257,13,FALSE)),"",(VLOOKUP($B221,'B-1 On-Site Hedge Baseline'!$B$1:$U$257,13,FALSE))))</f>
        <v/>
      </c>
      <c r="L221" s="386" t="str">
        <f>IF(B221="","",IF(ISNA(VLOOKUP($B221,'B-1 On-Site Hedge Baseline'!$B$1:$U$257,12,FALSE)),"",(VLOOKUP($B221,'B-1 On-Site Hedge Baseline'!$B$1:$U$257,12,FALSE))))</f>
        <v/>
      </c>
      <c r="M221" s="315" t="str">
        <f t="shared" si="31"/>
        <v/>
      </c>
      <c r="N221" s="362" t="str">
        <f>IFERROR(IF(B221="","",INDEX('G-6 Hedgerow Data'!$AN$3:$AZ$15,MATCH(C221,'G-6 Hedgerow Data'!$AM$3:$AM$15,0),MATCH(M221,'G-6 Hedgerow Data'!$AN$2:$AZ$2,0))),"")</f>
        <v/>
      </c>
      <c r="O221" s="363" t="str">
        <f t="shared" si="26"/>
        <v/>
      </c>
      <c r="P221" s="417" t="str">
        <f>IF(B221="","",VLOOKUP(B221,'B-1 On-Site Hedge Baseline'!$B$10:T466,16,FALSE))</f>
        <v/>
      </c>
      <c r="Q221" s="362" t="str">
        <f>IF(M221="","",VLOOKUP(M221,'G-6 Hedgerow Data'!$B$2:$AG$15,2,FALSE))</f>
        <v/>
      </c>
      <c r="R221" s="363" t="str">
        <f>IF(M221="","",VLOOKUP(M221,'G-6 Hedgerow Data'!$B$2:$AG$15,3,FALSE))</f>
        <v/>
      </c>
      <c r="S221" s="125"/>
      <c r="T221" s="401" t="str">
        <f>IFERROR(VLOOKUP(S221,'G-1 All Habitats'!$Z$2:$AA$9,2,FALSE),"")</f>
        <v/>
      </c>
      <c r="U221" s="122"/>
      <c r="V221" s="382" t="str">
        <f>IF(U221="","",IF(VLOOKUP(U221,'G-3 Multipliers'!$L$3:$N$6,2,FALSE)=0,"Spatial Data Missing ⚠",VLOOKUP(U221,'G-3 Multipliers'!$L$3:$N$6,2,FALSE)))</f>
        <v/>
      </c>
      <c r="W221" s="386" t="str">
        <f>IF(U221="","",IF(VLOOKUP(U221,'G-3 Multipliers'!$L$3:$N$6,3,FALSE)=0,"Spatial Data Missing ⚠",VLOOKUP(U221,'G-3 Multipliers'!$L$3:$N$6,3,FALSE)))</f>
        <v/>
      </c>
      <c r="X221" s="362" t="str">
        <f>IFERROR(IF(OR(LEFT(O221,5)="Error",LEFT(N221,5)="Error",T221="Error"),"Check Data ⚠",IF(F221&lt;R221,INDEX('G-6 Hedgerow Data'!$S$3:$AE$14,MATCH(C221,'G-6 Hedgerow Data'!$B$3:$B$14,0),MATCH(M221,'G-6 Hedgerow Data'!$S$2:$AE$2,0)),INDEX('G-6 Hedgerow Data'!$K$3:$Q$14,MATCH(M221,'G-6 Hedgerow Data'!$B$3:$B$14,0),MATCH(O221,'G-6 Hedgerow Data'!$K$2:$Q$2,0)))),"")</f>
        <v/>
      </c>
      <c r="Y221" s="159"/>
      <c r="Z221" s="159"/>
      <c r="AA221" s="370" t="str">
        <f t="shared" si="27"/>
        <v/>
      </c>
      <c r="AB221" s="383" t="str">
        <f t="shared" si="28"/>
        <v/>
      </c>
      <c r="AC221" s="384" t="str">
        <f t="shared" si="24"/>
        <v/>
      </c>
      <c r="AD221" s="398" t="str">
        <f>IF(M221="","",VLOOKUP(M221,'G-6 Hedgerow Data'!$B$3:$AG$15,31,FALSE))</f>
        <v/>
      </c>
      <c r="AE221" s="370" t="str">
        <f t="shared" si="29"/>
        <v/>
      </c>
      <c r="AF221" s="370" t="str">
        <f t="shared" si="30"/>
        <v/>
      </c>
      <c r="AG221" s="386" t="str">
        <f>IFERROR(IF(O221="","",VLOOKUP(AD221,'G-3 Multipliers'!$P$3:$Q$6,2,FALSE)),"")</f>
        <v/>
      </c>
      <c r="AH221" s="376" t="str">
        <f t="shared" si="25"/>
        <v/>
      </c>
      <c r="AI221" s="188"/>
      <c r="AJ221" s="118"/>
      <c r="AK221" s="120"/>
      <c r="AT221" s="30" t="str">
        <f>IFERROR(INDEX('G-6 Hedgerow Data'!$BJ$3:$BJ$15,MATCH(M221,'G-6 Hedgerow Data'!$B$3:$B$15,0)),"")</f>
        <v/>
      </c>
    </row>
    <row r="222" spans="2:46" ht="15">
      <c r="B222" s="392" t="str">
        <f>'B-1 On-Site Hedge Baseline'!AK220</f>
        <v/>
      </c>
      <c r="C222" s="382" t="str">
        <f>IF(B222="","",IF(ISNA(VLOOKUP($B222,'B-1 On-Site Hedge Baseline'!$B$1:$L$257,3,FALSE)),"",(VLOOKUP($B222,'B-1 On-Site Hedge Baseline'!$B$1:$L$257,3,FALSE))))</f>
        <v/>
      </c>
      <c r="D222" s="382" t="str">
        <f>IF(B222="","",IF(ISNA(VLOOKUP($B222,'B-1 On-Site Hedge Baseline'!$B$1:$L$257,4,FALSE)),"",(VLOOKUP($B222,'B-1 On-Site Hedge Baseline'!$B$1:$L$257,4,FALSE))))</f>
        <v/>
      </c>
      <c r="E222" s="382" t="str">
        <f>IF(B222="","",IF(ISNA(VLOOKUP($B222,'B-1 On-Site Hedge Baseline'!$B$1:$L$257,5,FALSE)),"",(VLOOKUP($B222,'B-1 On-Site Hedge Baseline'!$B$1:$L$257,5,FALSE))))</f>
        <v/>
      </c>
      <c r="F222" s="382" t="str">
        <f>IF(B222="","",IF(ISNA(VLOOKUP($B222,'B-1 On-Site Hedge Baseline'!$B$1:$L$257,6,FALSE)),"",(VLOOKUP($B222,'B-1 On-Site Hedge Baseline'!$B$1:$L$257,6,FALSE))))</f>
        <v/>
      </c>
      <c r="G222" s="382" t="str">
        <f>IF(B222="","",IF(ISNA(VLOOKUP($B222,'B-1 On-Site Hedge Baseline'!$B$1:$L$257,7,FALSE)),"",(VLOOKUP($B222,'B-1 On-Site Hedge Baseline'!$B$1:$L$257,7,FALSE))))</f>
        <v/>
      </c>
      <c r="H222" s="382" t="str">
        <f>IF(B222="","",IF(ISNA(VLOOKUP($B222,'B-1 On-Site Hedge Baseline'!$B$1:$L$257,8,FALSE)),"",(VLOOKUP($B222,'B-1 On-Site Hedge Baseline'!$B$1:$L$257,8,FALSE))))</f>
        <v/>
      </c>
      <c r="I222" s="382" t="str">
        <f>IF(B222="","",IF(ISNA(VLOOKUP($B222,'B-1 On-Site Hedge Baseline'!$B$1:$L$257,10,FALSE)),"",(VLOOKUP($B222,'B-1 On-Site Hedge Baseline'!$B$1:$L$257,10,FALSE))))</f>
        <v/>
      </c>
      <c r="J222" s="382" t="str">
        <f>IF(B222="","",IF(ISNA(VLOOKUP($B222,'B-1 On-Site Hedge Baseline'!$B$1:$L$257,11,FALSE)),"",(VLOOKUP($B222,'B-1 On-Site Hedge Baseline'!$B$1:$L$257,11,FALSE))))</f>
        <v/>
      </c>
      <c r="K222" s="382" t="str">
        <f>IF(B222="","",IF(ISNA(VLOOKUP($B222,'B-1 On-Site Hedge Baseline'!$B$1:$U$257,13,FALSE)),"",(VLOOKUP($B222,'B-1 On-Site Hedge Baseline'!$B$1:$U$257,13,FALSE))))</f>
        <v/>
      </c>
      <c r="L222" s="386" t="str">
        <f>IF(B222="","",IF(ISNA(VLOOKUP($B222,'B-1 On-Site Hedge Baseline'!$B$1:$U$257,12,FALSE)),"",(VLOOKUP($B222,'B-1 On-Site Hedge Baseline'!$B$1:$U$257,12,FALSE))))</f>
        <v/>
      </c>
      <c r="M222" s="315" t="str">
        <f t="shared" si="31"/>
        <v/>
      </c>
      <c r="N222" s="362" t="str">
        <f>IFERROR(IF(B222="","",INDEX('G-6 Hedgerow Data'!$AN$3:$AZ$15,MATCH(C222,'G-6 Hedgerow Data'!$AM$3:$AM$15,0),MATCH(M222,'G-6 Hedgerow Data'!$AN$2:$AZ$2,0))),"")</f>
        <v/>
      </c>
      <c r="O222" s="363" t="str">
        <f t="shared" si="26"/>
        <v/>
      </c>
      <c r="P222" s="417" t="str">
        <f>IF(B222="","",VLOOKUP(B222,'B-1 On-Site Hedge Baseline'!$B$10:T467,16,FALSE))</f>
        <v/>
      </c>
      <c r="Q222" s="362" t="str">
        <f>IF(M222="","",VLOOKUP(M222,'G-6 Hedgerow Data'!$B$2:$AG$15,2,FALSE))</f>
        <v/>
      </c>
      <c r="R222" s="363" t="str">
        <f>IF(M222="","",VLOOKUP(M222,'G-6 Hedgerow Data'!$B$2:$AG$15,3,FALSE))</f>
        <v/>
      </c>
      <c r="S222" s="125"/>
      <c r="T222" s="401" t="str">
        <f>IFERROR(VLOOKUP(S222,'G-1 All Habitats'!$Z$2:$AA$9,2,FALSE),"")</f>
        <v/>
      </c>
      <c r="U222" s="122"/>
      <c r="V222" s="382" t="str">
        <f>IF(U222="","",IF(VLOOKUP(U222,'G-3 Multipliers'!$L$3:$N$6,2,FALSE)=0,"Spatial Data Missing ⚠",VLOOKUP(U222,'G-3 Multipliers'!$L$3:$N$6,2,FALSE)))</f>
        <v/>
      </c>
      <c r="W222" s="386" t="str">
        <f>IF(U222="","",IF(VLOOKUP(U222,'G-3 Multipliers'!$L$3:$N$6,3,FALSE)=0,"Spatial Data Missing ⚠",VLOOKUP(U222,'G-3 Multipliers'!$L$3:$N$6,3,FALSE)))</f>
        <v/>
      </c>
      <c r="X222" s="362" t="str">
        <f>IFERROR(IF(OR(LEFT(O222,5)="Error",LEFT(N222,5)="Error",T222="Error"),"Check Data ⚠",IF(F222&lt;R222,INDEX('G-6 Hedgerow Data'!$S$3:$AE$14,MATCH(C222,'G-6 Hedgerow Data'!$B$3:$B$14,0),MATCH(M222,'G-6 Hedgerow Data'!$S$2:$AE$2,0)),INDEX('G-6 Hedgerow Data'!$K$3:$Q$14,MATCH(M222,'G-6 Hedgerow Data'!$B$3:$B$14,0),MATCH(O222,'G-6 Hedgerow Data'!$K$2:$Q$2,0)))),"")</f>
        <v/>
      </c>
      <c r="Y222" s="159"/>
      <c r="Z222" s="159"/>
      <c r="AA222" s="370" t="str">
        <f t="shared" si="27"/>
        <v/>
      </c>
      <c r="AB222" s="383" t="str">
        <f t="shared" si="28"/>
        <v/>
      </c>
      <c r="AC222" s="384" t="str">
        <f t="shared" si="24"/>
        <v/>
      </c>
      <c r="AD222" s="398" t="str">
        <f>IF(M222="","",VLOOKUP(M222,'G-6 Hedgerow Data'!$B$3:$AG$15,31,FALSE))</f>
        <v/>
      </c>
      <c r="AE222" s="370" t="str">
        <f t="shared" si="29"/>
        <v/>
      </c>
      <c r="AF222" s="370" t="str">
        <f t="shared" si="30"/>
        <v/>
      </c>
      <c r="AG222" s="386" t="str">
        <f>IFERROR(IF(O222="","",VLOOKUP(AD222,'G-3 Multipliers'!$P$3:$Q$6,2,FALSE)),"")</f>
        <v/>
      </c>
      <c r="AH222" s="376" t="str">
        <f t="shared" si="25"/>
        <v/>
      </c>
      <c r="AI222" s="188"/>
      <c r="AJ222" s="118"/>
      <c r="AK222" s="120"/>
      <c r="AT222" s="30" t="str">
        <f>IFERROR(INDEX('G-6 Hedgerow Data'!$BJ$3:$BJ$15,MATCH(M222,'G-6 Hedgerow Data'!$B$3:$B$15,0)),"")</f>
        <v/>
      </c>
    </row>
    <row r="223" spans="2:46" ht="15">
      <c r="B223" s="392" t="str">
        <f>'B-1 On-Site Hedge Baseline'!AK221</f>
        <v/>
      </c>
      <c r="C223" s="382" t="str">
        <f>IF(B223="","",IF(ISNA(VLOOKUP($B223,'B-1 On-Site Hedge Baseline'!$B$1:$L$257,3,FALSE)),"",(VLOOKUP($B223,'B-1 On-Site Hedge Baseline'!$B$1:$L$257,3,FALSE))))</f>
        <v/>
      </c>
      <c r="D223" s="382" t="str">
        <f>IF(B223="","",IF(ISNA(VLOOKUP($B223,'B-1 On-Site Hedge Baseline'!$B$1:$L$257,4,FALSE)),"",(VLOOKUP($B223,'B-1 On-Site Hedge Baseline'!$B$1:$L$257,4,FALSE))))</f>
        <v/>
      </c>
      <c r="E223" s="382" t="str">
        <f>IF(B223="","",IF(ISNA(VLOOKUP($B223,'B-1 On-Site Hedge Baseline'!$B$1:$L$257,5,FALSE)),"",(VLOOKUP($B223,'B-1 On-Site Hedge Baseline'!$B$1:$L$257,5,FALSE))))</f>
        <v/>
      </c>
      <c r="F223" s="382" t="str">
        <f>IF(B223="","",IF(ISNA(VLOOKUP($B223,'B-1 On-Site Hedge Baseline'!$B$1:$L$257,6,FALSE)),"",(VLOOKUP($B223,'B-1 On-Site Hedge Baseline'!$B$1:$L$257,6,FALSE))))</f>
        <v/>
      </c>
      <c r="G223" s="382" t="str">
        <f>IF(B223="","",IF(ISNA(VLOOKUP($B223,'B-1 On-Site Hedge Baseline'!$B$1:$L$257,7,FALSE)),"",(VLOOKUP($B223,'B-1 On-Site Hedge Baseline'!$B$1:$L$257,7,FALSE))))</f>
        <v/>
      </c>
      <c r="H223" s="382" t="str">
        <f>IF(B223="","",IF(ISNA(VLOOKUP($B223,'B-1 On-Site Hedge Baseline'!$B$1:$L$257,8,FALSE)),"",(VLOOKUP($B223,'B-1 On-Site Hedge Baseline'!$B$1:$L$257,8,FALSE))))</f>
        <v/>
      </c>
      <c r="I223" s="382" t="str">
        <f>IF(B223="","",IF(ISNA(VLOOKUP($B223,'B-1 On-Site Hedge Baseline'!$B$1:$L$257,10,FALSE)),"",(VLOOKUP($B223,'B-1 On-Site Hedge Baseline'!$B$1:$L$257,10,FALSE))))</f>
        <v/>
      </c>
      <c r="J223" s="382" t="str">
        <f>IF(B223="","",IF(ISNA(VLOOKUP($B223,'B-1 On-Site Hedge Baseline'!$B$1:$L$257,11,FALSE)),"",(VLOOKUP($B223,'B-1 On-Site Hedge Baseline'!$B$1:$L$257,11,FALSE))))</f>
        <v/>
      </c>
      <c r="K223" s="382" t="str">
        <f>IF(B223="","",IF(ISNA(VLOOKUP($B223,'B-1 On-Site Hedge Baseline'!$B$1:$U$257,13,FALSE)),"",(VLOOKUP($B223,'B-1 On-Site Hedge Baseline'!$B$1:$U$257,13,FALSE))))</f>
        <v/>
      </c>
      <c r="L223" s="386" t="str">
        <f>IF(B223="","",IF(ISNA(VLOOKUP($B223,'B-1 On-Site Hedge Baseline'!$B$1:$U$257,12,FALSE)),"",(VLOOKUP($B223,'B-1 On-Site Hedge Baseline'!$B$1:$U$257,12,FALSE))))</f>
        <v/>
      </c>
      <c r="M223" s="315" t="str">
        <f t="shared" si="31"/>
        <v/>
      </c>
      <c r="N223" s="362" t="str">
        <f>IFERROR(IF(B223="","",INDEX('G-6 Hedgerow Data'!$AN$3:$AZ$15,MATCH(C223,'G-6 Hedgerow Data'!$AM$3:$AM$15,0),MATCH(M223,'G-6 Hedgerow Data'!$AN$2:$AZ$2,0))),"")</f>
        <v/>
      </c>
      <c r="O223" s="363" t="str">
        <f t="shared" si="26"/>
        <v/>
      </c>
      <c r="P223" s="417" t="str">
        <f>IF(B223="","",VLOOKUP(B223,'B-1 On-Site Hedge Baseline'!$B$10:T468,16,FALSE))</f>
        <v/>
      </c>
      <c r="Q223" s="362" t="str">
        <f>IF(M223="","",VLOOKUP(M223,'G-6 Hedgerow Data'!$B$2:$AG$15,2,FALSE))</f>
        <v/>
      </c>
      <c r="R223" s="363" t="str">
        <f>IF(M223="","",VLOOKUP(M223,'G-6 Hedgerow Data'!$B$2:$AG$15,3,FALSE))</f>
        <v/>
      </c>
      <c r="S223" s="125"/>
      <c r="T223" s="401" t="str">
        <f>IFERROR(VLOOKUP(S223,'G-1 All Habitats'!$Z$2:$AA$9,2,FALSE),"")</f>
        <v/>
      </c>
      <c r="U223" s="122"/>
      <c r="V223" s="382" t="str">
        <f>IF(U223="","",IF(VLOOKUP(U223,'G-3 Multipliers'!$L$3:$N$6,2,FALSE)=0,"Spatial Data Missing ⚠",VLOOKUP(U223,'G-3 Multipliers'!$L$3:$N$6,2,FALSE)))</f>
        <v/>
      </c>
      <c r="W223" s="386" t="str">
        <f>IF(U223="","",IF(VLOOKUP(U223,'G-3 Multipliers'!$L$3:$N$6,3,FALSE)=0,"Spatial Data Missing ⚠",VLOOKUP(U223,'G-3 Multipliers'!$L$3:$N$6,3,FALSE)))</f>
        <v/>
      </c>
      <c r="X223" s="362" t="str">
        <f>IFERROR(IF(OR(LEFT(O223,5)="Error",LEFT(N223,5)="Error",T223="Error"),"Check Data ⚠",IF(F223&lt;R223,INDEX('G-6 Hedgerow Data'!$S$3:$AE$14,MATCH(C223,'G-6 Hedgerow Data'!$B$3:$B$14,0),MATCH(M223,'G-6 Hedgerow Data'!$S$2:$AE$2,0)),INDEX('G-6 Hedgerow Data'!$K$3:$Q$14,MATCH(M223,'G-6 Hedgerow Data'!$B$3:$B$14,0),MATCH(O223,'G-6 Hedgerow Data'!$K$2:$Q$2,0)))),"")</f>
        <v/>
      </c>
      <c r="Y223" s="159"/>
      <c r="Z223" s="159"/>
      <c r="AA223" s="370" t="str">
        <f t="shared" si="27"/>
        <v/>
      </c>
      <c r="AB223" s="383" t="str">
        <f t="shared" si="28"/>
        <v/>
      </c>
      <c r="AC223" s="384" t="str">
        <f t="shared" si="24"/>
        <v/>
      </c>
      <c r="AD223" s="398" t="str">
        <f>IF(M223="","",VLOOKUP(M223,'G-6 Hedgerow Data'!$B$3:$AG$15,31,FALSE))</f>
        <v/>
      </c>
      <c r="AE223" s="370" t="str">
        <f t="shared" si="29"/>
        <v/>
      </c>
      <c r="AF223" s="370" t="str">
        <f t="shared" si="30"/>
        <v/>
      </c>
      <c r="AG223" s="386" t="str">
        <f>IFERROR(IF(O223="","",VLOOKUP(AD223,'G-3 Multipliers'!$P$3:$Q$6,2,FALSE)),"")</f>
        <v/>
      </c>
      <c r="AH223" s="376" t="str">
        <f t="shared" si="25"/>
        <v/>
      </c>
      <c r="AI223" s="188"/>
      <c r="AJ223" s="118"/>
      <c r="AK223" s="120"/>
      <c r="AT223" s="30" t="str">
        <f>IFERROR(INDEX('G-6 Hedgerow Data'!$BJ$3:$BJ$15,MATCH(M223,'G-6 Hedgerow Data'!$B$3:$B$15,0)),"")</f>
        <v/>
      </c>
    </row>
    <row r="224" spans="2:46" ht="15">
      <c r="B224" s="392" t="str">
        <f>'B-1 On-Site Hedge Baseline'!AK222</f>
        <v/>
      </c>
      <c r="C224" s="382" t="str">
        <f>IF(B224="","",IF(ISNA(VLOOKUP($B224,'B-1 On-Site Hedge Baseline'!$B$1:$L$257,3,FALSE)),"",(VLOOKUP($B224,'B-1 On-Site Hedge Baseline'!$B$1:$L$257,3,FALSE))))</f>
        <v/>
      </c>
      <c r="D224" s="382" t="str">
        <f>IF(B224="","",IF(ISNA(VLOOKUP($B224,'B-1 On-Site Hedge Baseline'!$B$1:$L$257,4,FALSE)),"",(VLOOKUP($B224,'B-1 On-Site Hedge Baseline'!$B$1:$L$257,4,FALSE))))</f>
        <v/>
      </c>
      <c r="E224" s="382" t="str">
        <f>IF(B224="","",IF(ISNA(VLOOKUP($B224,'B-1 On-Site Hedge Baseline'!$B$1:$L$257,5,FALSE)),"",(VLOOKUP($B224,'B-1 On-Site Hedge Baseline'!$B$1:$L$257,5,FALSE))))</f>
        <v/>
      </c>
      <c r="F224" s="382" t="str">
        <f>IF(B224="","",IF(ISNA(VLOOKUP($B224,'B-1 On-Site Hedge Baseline'!$B$1:$L$257,6,FALSE)),"",(VLOOKUP($B224,'B-1 On-Site Hedge Baseline'!$B$1:$L$257,6,FALSE))))</f>
        <v/>
      </c>
      <c r="G224" s="382" t="str">
        <f>IF(B224="","",IF(ISNA(VLOOKUP($B224,'B-1 On-Site Hedge Baseline'!$B$1:$L$257,7,FALSE)),"",(VLOOKUP($B224,'B-1 On-Site Hedge Baseline'!$B$1:$L$257,7,FALSE))))</f>
        <v/>
      </c>
      <c r="H224" s="382" t="str">
        <f>IF(B224="","",IF(ISNA(VLOOKUP($B224,'B-1 On-Site Hedge Baseline'!$B$1:$L$257,8,FALSE)),"",(VLOOKUP($B224,'B-1 On-Site Hedge Baseline'!$B$1:$L$257,8,FALSE))))</f>
        <v/>
      </c>
      <c r="I224" s="382" t="str">
        <f>IF(B224="","",IF(ISNA(VLOOKUP($B224,'B-1 On-Site Hedge Baseline'!$B$1:$L$257,10,FALSE)),"",(VLOOKUP($B224,'B-1 On-Site Hedge Baseline'!$B$1:$L$257,10,FALSE))))</f>
        <v/>
      </c>
      <c r="J224" s="382" t="str">
        <f>IF(B224="","",IF(ISNA(VLOOKUP($B224,'B-1 On-Site Hedge Baseline'!$B$1:$L$257,11,FALSE)),"",(VLOOKUP($B224,'B-1 On-Site Hedge Baseline'!$B$1:$L$257,11,FALSE))))</f>
        <v/>
      </c>
      <c r="K224" s="382" t="str">
        <f>IF(B224="","",IF(ISNA(VLOOKUP($B224,'B-1 On-Site Hedge Baseline'!$B$1:$U$257,13,FALSE)),"",(VLOOKUP($B224,'B-1 On-Site Hedge Baseline'!$B$1:$U$257,13,FALSE))))</f>
        <v/>
      </c>
      <c r="L224" s="386" t="str">
        <f>IF(B224="","",IF(ISNA(VLOOKUP($B224,'B-1 On-Site Hedge Baseline'!$B$1:$U$257,12,FALSE)),"",(VLOOKUP($B224,'B-1 On-Site Hedge Baseline'!$B$1:$U$257,12,FALSE))))</f>
        <v/>
      </c>
      <c r="M224" s="315" t="str">
        <f t="shared" si="31"/>
        <v/>
      </c>
      <c r="N224" s="362" t="str">
        <f>IFERROR(IF(B224="","",INDEX('G-6 Hedgerow Data'!$AN$3:$AZ$15,MATCH(C224,'G-6 Hedgerow Data'!$AM$3:$AM$15,0),MATCH(M224,'G-6 Hedgerow Data'!$AN$2:$AZ$2,0))),"")</f>
        <v/>
      </c>
      <c r="O224" s="363" t="str">
        <f t="shared" si="26"/>
        <v/>
      </c>
      <c r="P224" s="417" t="str">
        <f>IF(B224="","",VLOOKUP(B224,'B-1 On-Site Hedge Baseline'!$B$10:T469,16,FALSE))</f>
        <v/>
      </c>
      <c r="Q224" s="362" t="str">
        <f>IF(M224="","",VLOOKUP(M224,'G-6 Hedgerow Data'!$B$2:$AG$15,2,FALSE))</f>
        <v/>
      </c>
      <c r="R224" s="363" t="str">
        <f>IF(M224="","",VLOOKUP(M224,'G-6 Hedgerow Data'!$B$2:$AG$15,3,FALSE))</f>
        <v/>
      </c>
      <c r="S224" s="125"/>
      <c r="T224" s="401" t="str">
        <f>IFERROR(VLOOKUP(S224,'G-1 All Habitats'!$Z$2:$AA$9,2,FALSE),"")</f>
        <v/>
      </c>
      <c r="U224" s="122"/>
      <c r="V224" s="382" t="str">
        <f>IF(U224="","",IF(VLOOKUP(U224,'G-3 Multipliers'!$L$3:$N$6,2,FALSE)=0,"Spatial Data Missing ⚠",VLOOKUP(U224,'G-3 Multipliers'!$L$3:$N$6,2,FALSE)))</f>
        <v/>
      </c>
      <c r="W224" s="386" t="str">
        <f>IF(U224="","",IF(VLOOKUP(U224,'G-3 Multipliers'!$L$3:$N$6,3,FALSE)=0,"Spatial Data Missing ⚠",VLOOKUP(U224,'G-3 Multipliers'!$L$3:$N$6,3,FALSE)))</f>
        <v/>
      </c>
      <c r="X224" s="362" t="str">
        <f>IFERROR(IF(OR(LEFT(O224,5)="Error",LEFT(N224,5)="Error",T224="Error"),"Check Data ⚠",IF(F224&lt;R224,INDEX('G-6 Hedgerow Data'!$S$3:$AE$14,MATCH(C224,'G-6 Hedgerow Data'!$B$3:$B$14,0),MATCH(M224,'G-6 Hedgerow Data'!$S$2:$AE$2,0)),INDEX('G-6 Hedgerow Data'!$K$3:$Q$14,MATCH(M224,'G-6 Hedgerow Data'!$B$3:$B$14,0),MATCH(O224,'G-6 Hedgerow Data'!$K$2:$Q$2,0)))),"")</f>
        <v/>
      </c>
      <c r="Y224" s="159"/>
      <c r="Z224" s="159"/>
      <c r="AA224" s="370" t="str">
        <f t="shared" si="27"/>
        <v/>
      </c>
      <c r="AB224" s="383" t="str">
        <f t="shared" si="28"/>
        <v/>
      </c>
      <c r="AC224" s="384" t="str">
        <f t="shared" si="24"/>
        <v/>
      </c>
      <c r="AD224" s="398" t="str">
        <f>IF(M224="","",VLOOKUP(M224,'G-6 Hedgerow Data'!$B$3:$AG$15,31,FALSE))</f>
        <v/>
      </c>
      <c r="AE224" s="370" t="str">
        <f t="shared" si="29"/>
        <v/>
      </c>
      <c r="AF224" s="370" t="str">
        <f t="shared" si="30"/>
        <v/>
      </c>
      <c r="AG224" s="386" t="str">
        <f>IFERROR(IF(O224="","",VLOOKUP(AD224,'G-3 Multipliers'!$P$3:$Q$6,2,FALSE)),"")</f>
        <v/>
      </c>
      <c r="AH224" s="376" t="str">
        <f t="shared" si="25"/>
        <v/>
      </c>
      <c r="AI224" s="188"/>
      <c r="AJ224" s="118"/>
      <c r="AK224" s="120"/>
      <c r="AT224" s="30" t="str">
        <f>IFERROR(INDEX('G-6 Hedgerow Data'!$BJ$3:$BJ$15,MATCH(M224,'G-6 Hedgerow Data'!$B$3:$B$15,0)),"")</f>
        <v/>
      </c>
    </row>
    <row r="225" spans="2:46" ht="15">
      <c r="B225" s="392" t="str">
        <f>'B-1 On-Site Hedge Baseline'!AK223</f>
        <v/>
      </c>
      <c r="C225" s="382" t="str">
        <f>IF(B225="","",IF(ISNA(VLOOKUP($B225,'B-1 On-Site Hedge Baseline'!$B$1:$L$257,3,FALSE)),"",(VLOOKUP($B225,'B-1 On-Site Hedge Baseline'!$B$1:$L$257,3,FALSE))))</f>
        <v/>
      </c>
      <c r="D225" s="382" t="str">
        <f>IF(B225="","",IF(ISNA(VLOOKUP($B225,'B-1 On-Site Hedge Baseline'!$B$1:$L$257,4,FALSE)),"",(VLOOKUP($B225,'B-1 On-Site Hedge Baseline'!$B$1:$L$257,4,FALSE))))</f>
        <v/>
      </c>
      <c r="E225" s="382" t="str">
        <f>IF(B225="","",IF(ISNA(VLOOKUP($B225,'B-1 On-Site Hedge Baseline'!$B$1:$L$257,5,FALSE)),"",(VLOOKUP($B225,'B-1 On-Site Hedge Baseline'!$B$1:$L$257,5,FALSE))))</f>
        <v/>
      </c>
      <c r="F225" s="382" t="str">
        <f>IF(B225="","",IF(ISNA(VLOOKUP($B225,'B-1 On-Site Hedge Baseline'!$B$1:$L$257,6,FALSE)),"",(VLOOKUP($B225,'B-1 On-Site Hedge Baseline'!$B$1:$L$257,6,FALSE))))</f>
        <v/>
      </c>
      <c r="G225" s="382" t="str">
        <f>IF(B225="","",IF(ISNA(VLOOKUP($B225,'B-1 On-Site Hedge Baseline'!$B$1:$L$257,7,FALSE)),"",(VLOOKUP($B225,'B-1 On-Site Hedge Baseline'!$B$1:$L$257,7,FALSE))))</f>
        <v/>
      </c>
      <c r="H225" s="382" t="str">
        <f>IF(B225="","",IF(ISNA(VLOOKUP($B225,'B-1 On-Site Hedge Baseline'!$B$1:$L$257,8,FALSE)),"",(VLOOKUP($B225,'B-1 On-Site Hedge Baseline'!$B$1:$L$257,8,FALSE))))</f>
        <v/>
      </c>
      <c r="I225" s="382" t="str">
        <f>IF(B225="","",IF(ISNA(VLOOKUP($B225,'B-1 On-Site Hedge Baseline'!$B$1:$L$257,10,FALSE)),"",(VLOOKUP($B225,'B-1 On-Site Hedge Baseline'!$B$1:$L$257,10,FALSE))))</f>
        <v/>
      </c>
      <c r="J225" s="382" t="str">
        <f>IF(B225="","",IF(ISNA(VLOOKUP($B225,'B-1 On-Site Hedge Baseline'!$B$1:$L$257,11,FALSE)),"",(VLOOKUP($B225,'B-1 On-Site Hedge Baseline'!$B$1:$L$257,11,FALSE))))</f>
        <v/>
      </c>
      <c r="K225" s="382" t="str">
        <f>IF(B225="","",IF(ISNA(VLOOKUP($B225,'B-1 On-Site Hedge Baseline'!$B$1:$U$257,13,FALSE)),"",(VLOOKUP($B225,'B-1 On-Site Hedge Baseline'!$B$1:$U$257,13,FALSE))))</f>
        <v/>
      </c>
      <c r="L225" s="386" t="str">
        <f>IF(B225="","",IF(ISNA(VLOOKUP($B225,'B-1 On-Site Hedge Baseline'!$B$1:$U$257,12,FALSE)),"",(VLOOKUP($B225,'B-1 On-Site Hedge Baseline'!$B$1:$U$257,12,FALSE))))</f>
        <v/>
      </c>
      <c r="M225" s="315" t="str">
        <f t="shared" si="31"/>
        <v/>
      </c>
      <c r="N225" s="362" t="str">
        <f>IFERROR(IF(B225="","",INDEX('G-6 Hedgerow Data'!$AN$3:$AZ$15,MATCH(C225,'G-6 Hedgerow Data'!$AM$3:$AM$15,0),MATCH(M225,'G-6 Hedgerow Data'!$AN$2:$AZ$2,0))),"")</f>
        <v/>
      </c>
      <c r="O225" s="363" t="str">
        <f t="shared" si="26"/>
        <v/>
      </c>
      <c r="P225" s="417" t="str">
        <f>IF(B225="","",VLOOKUP(B225,'B-1 On-Site Hedge Baseline'!$B$10:T470,16,FALSE))</f>
        <v/>
      </c>
      <c r="Q225" s="362" t="str">
        <f>IF(M225="","",VLOOKUP(M225,'G-6 Hedgerow Data'!$B$2:$AG$15,2,FALSE))</f>
        <v/>
      </c>
      <c r="R225" s="363" t="str">
        <f>IF(M225="","",VLOOKUP(M225,'G-6 Hedgerow Data'!$B$2:$AG$15,3,FALSE))</f>
        <v/>
      </c>
      <c r="S225" s="125"/>
      <c r="T225" s="401" t="str">
        <f>IFERROR(VLOOKUP(S225,'G-1 All Habitats'!$Z$2:$AA$9,2,FALSE),"")</f>
        <v/>
      </c>
      <c r="U225" s="122"/>
      <c r="V225" s="382" t="str">
        <f>IF(U225="","",IF(VLOOKUP(U225,'G-3 Multipliers'!$L$3:$N$6,2,FALSE)=0,"Spatial Data Missing ⚠",VLOOKUP(U225,'G-3 Multipliers'!$L$3:$N$6,2,FALSE)))</f>
        <v/>
      </c>
      <c r="W225" s="386" t="str">
        <f>IF(U225="","",IF(VLOOKUP(U225,'G-3 Multipliers'!$L$3:$N$6,3,FALSE)=0,"Spatial Data Missing ⚠",VLOOKUP(U225,'G-3 Multipliers'!$L$3:$N$6,3,FALSE)))</f>
        <v/>
      </c>
      <c r="X225" s="362" t="str">
        <f>IFERROR(IF(OR(LEFT(O225,5)="Error",LEFT(N225,5)="Error",T225="Error"),"Check Data ⚠",IF(F225&lt;R225,INDEX('G-6 Hedgerow Data'!$S$3:$AE$14,MATCH(C225,'G-6 Hedgerow Data'!$B$3:$B$14,0),MATCH(M225,'G-6 Hedgerow Data'!$S$2:$AE$2,0)),INDEX('G-6 Hedgerow Data'!$K$3:$Q$14,MATCH(M225,'G-6 Hedgerow Data'!$B$3:$B$14,0),MATCH(O225,'G-6 Hedgerow Data'!$K$2:$Q$2,0)))),"")</f>
        <v/>
      </c>
      <c r="Y225" s="159"/>
      <c r="Z225" s="159"/>
      <c r="AA225" s="370" t="str">
        <f t="shared" si="27"/>
        <v/>
      </c>
      <c r="AB225" s="383" t="str">
        <f t="shared" si="28"/>
        <v/>
      </c>
      <c r="AC225" s="384" t="str">
        <f t="shared" si="24"/>
        <v/>
      </c>
      <c r="AD225" s="398" t="str">
        <f>IF(M225="","",VLOOKUP(M225,'G-6 Hedgerow Data'!$B$3:$AG$15,31,FALSE))</f>
        <v/>
      </c>
      <c r="AE225" s="370" t="str">
        <f t="shared" si="29"/>
        <v/>
      </c>
      <c r="AF225" s="370" t="str">
        <f t="shared" si="30"/>
        <v/>
      </c>
      <c r="AG225" s="386" t="str">
        <f>IFERROR(IF(O225="","",VLOOKUP(AD225,'G-3 Multipliers'!$P$3:$Q$6,2,FALSE)),"")</f>
        <v/>
      </c>
      <c r="AH225" s="376" t="str">
        <f t="shared" si="25"/>
        <v/>
      </c>
      <c r="AI225" s="188"/>
      <c r="AJ225" s="118"/>
      <c r="AK225" s="120"/>
      <c r="AT225" s="30" t="str">
        <f>IFERROR(INDEX('G-6 Hedgerow Data'!$BJ$3:$BJ$15,MATCH(M225,'G-6 Hedgerow Data'!$B$3:$B$15,0)),"")</f>
        <v/>
      </c>
    </row>
    <row r="226" spans="2:46" ht="15">
      <c r="B226" s="392" t="str">
        <f>'B-1 On-Site Hedge Baseline'!AK224</f>
        <v/>
      </c>
      <c r="C226" s="382" t="str">
        <f>IF(B226="","",IF(ISNA(VLOOKUP($B226,'B-1 On-Site Hedge Baseline'!$B$1:$L$257,3,FALSE)),"",(VLOOKUP($B226,'B-1 On-Site Hedge Baseline'!$B$1:$L$257,3,FALSE))))</f>
        <v/>
      </c>
      <c r="D226" s="382" t="str">
        <f>IF(B226="","",IF(ISNA(VLOOKUP($B226,'B-1 On-Site Hedge Baseline'!$B$1:$L$257,4,FALSE)),"",(VLOOKUP($B226,'B-1 On-Site Hedge Baseline'!$B$1:$L$257,4,FALSE))))</f>
        <v/>
      </c>
      <c r="E226" s="382" t="str">
        <f>IF(B226="","",IF(ISNA(VLOOKUP($B226,'B-1 On-Site Hedge Baseline'!$B$1:$L$257,5,FALSE)),"",(VLOOKUP($B226,'B-1 On-Site Hedge Baseline'!$B$1:$L$257,5,FALSE))))</f>
        <v/>
      </c>
      <c r="F226" s="382" t="str">
        <f>IF(B226="","",IF(ISNA(VLOOKUP($B226,'B-1 On-Site Hedge Baseline'!$B$1:$L$257,6,FALSE)),"",(VLOOKUP($B226,'B-1 On-Site Hedge Baseline'!$B$1:$L$257,6,FALSE))))</f>
        <v/>
      </c>
      <c r="G226" s="382" t="str">
        <f>IF(B226="","",IF(ISNA(VLOOKUP($B226,'B-1 On-Site Hedge Baseline'!$B$1:$L$257,7,FALSE)),"",(VLOOKUP($B226,'B-1 On-Site Hedge Baseline'!$B$1:$L$257,7,FALSE))))</f>
        <v/>
      </c>
      <c r="H226" s="382" t="str">
        <f>IF(B226="","",IF(ISNA(VLOOKUP($B226,'B-1 On-Site Hedge Baseline'!$B$1:$L$257,8,FALSE)),"",(VLOOKUP($B226,'B-1 On-Site Hedge Baseline'!$B$1:$L$257,8,FALSE))))</f>
        <v/>
      </c>
      <c r="I226" s="382" t="str">
        <f>IF(B226="","",IF(ISNA(VLOOKUP($B226,'B-1 On-Site Hedge Baseline'!$B$1:$L$257,10,FALSE)),"",(VLOOKUP($B226,'B-1 On-Site Hedge Baseline'!$B$1:$L$257,10,FALSE))))</f>
        <v/>
      </c>
      <c r="J226" s="382" t="str">
        <f>IF(B226="","",IF(ISNA(VLOOKUP($B226,'B-1 On-Site Hedge Baseline'!$B$1:$L$257,11,FALSE)),"",(VLOOKUP($B226,'B-1 On-Site Hedge Baseline'!$B$1:$L$257,11,FALSE))))</f>
        <v/>
      </c>
      <c r="K226" s="382" t="str">
        <f>IF(B226="","",IF(ISNA(VLOOKUP($B226,'B-1 On-Site Hedge Baseline'!$B$1:$U$257,13,FALSE)),"",(VLOOKUP($B226,'B-1 On-Site Hedge Baseline'!$B$1:$U$257,13,FALSE))))</f>
        <v/>
      </c>
      <c r="L226" s="386" t="str">
        <f>IF(B226="","",IF(ISNA(VLOOKUP($B226,'B-1 On-Site Hedge Baseline'!$B$1:$U$257,12,FALSE)),"",(VLOOKUP($B226,'B-1 On-Site Hedge Baseline'!$B$1:$U$257,12,FALSE))))</f>
        <v/>
      </c>
      <c r="M226" s="315" t="str">
        <f t="shared" si="31"/>
        <v/>
      </c>
      <c r="N226" s="362" t="str">
        <f>IFERROR(IF(B226="","",INDEX('G-6 Hedgerow Data'!$AN$3:$AZ$15,MATCH(C226,'G-6 Hedgerow Data'!$AM$3:$AM$15,0),MATCH(M226,'G-6 Hedgerow Data'!$AN$2:$AZ$2,0))),"")</f>
        <v/>
      </c>
      <c r="O226" s="363" t="str">
        <f t="shared" si="26"/>
        <v/>
      </c>
      <c r="P226" s="417" t="str">
        <f>IF(B226="","",VLOOKUP(B226,'B-1 On-Site Hedge Baseline'!$B$10:T471,16,FALSE))</f>
        <v/>
      </c>
      <c r="Q226" s="362" t="str">
        <f>IF(M226="","",VLOOKUP(M226,'G-6 Hedgerow Data'!$B$2:$AG$15,2,FALSE))</f>
        <v/>
      </c>
      <c r="R226" s="363" t="str">
        <f>IF(M226="","",VLOOKUP(M226,'G-6 Hedgerow Data'!$B$2:$AG$15,3,FALSE))</f>
        <v/>
      </c>
      <c r="S226" s="125"/>
      <c r="T226" s="401" t="str">
        <f>IFERROR(VLOOKUP(S226,'G-1 All Habitats'!$Z$2:$AA$9,2,FALSE),"")</f>
        <v/>
      </c>
      <c r="U226" s="122"/>
      <c r="V226" s="382" t="str">
        <f>IF(U226="","",IF(VLOOKUP(U226,'G-3 Multipliers'!$L$3:$N$6,2,FALSE)=0,"Spatial Data Missing ⚠",VLOOKUP(U226,'G-3 Multipliers'!$L$3:$N$6,2,FALSE)))</f>
        <v/>
      </c>
      <c r="W226" s="386" t="str">
        <f>IF(U226="","",IF(VLOOKUP(U226,'G-3 Multipliers'!$L$3:$N$6,3,FALSE)=0,"Spatial Data Missing ⚠",VLOOKUP(U226,'G-3 Multipliers'!$L$3:$N$6,3,FALSE)))</f>
        <v/>
      </c>
      <c r="X226" s="362" t="str">
        <f>IFERROR(IF(OR(LEFT(O226,5)="Error",LEFT(N226,5)="Error",T226="Error"),"Check Data ⚠",IF(F226&lt;R226,INDEX('G-6 Hedgerow Data'!$S$3:$AE$14,MATCH(C226,'G-6 Hedgerow Data'!$B$3:$B$14,0),MATCH(M226,'G-6 Hedgerow Data'!$S$2:$AE$2,0)),INDEX('G-6 Hedgerow Data'!$K$3:$Q$14,MATCH(M226,'G-6 Hedgerow Data'!$B$3:$B$14,0),MATCH(O226,'G-6 Hedgerow Data'!$K$2:$Q$2,0)))),"")</f>
        <v/>
      </c>
      <c r="Y226" s="159"/>
      <c r="Z226" s="159"/>
      <c r="AA226" s="370" t="str">
        <f t="shared" si="27"/>
        <v/>
      </c>
      <c r="AB226" s="383" t="str">
        <f t="shared" si="28"/>
        <v/>
      </c>
      <c r="AC226" s="384" t="str">
        <f t="shared" si="24"/>
        <v/>
      </c>
      <c r="AD226" s="398" t="str">
        <f>IF(M226="","",VLOOKUP(M226,'G-6 Hedgerow Data'!$B$3:$AG$15,31,FALSE))</f>
        <v/>
      </c>
      <c r="AE226" s="370" t="str">
        <f t="shared" si="29"/>
        <v/>
      </c>
      <c r="AF226" s="370" t="str">
        <f t="shared" si="30"/>
        <v/>
      </c>
      <c r="AG226" s="386" t="str">
        <f>IFERROR(IF(O226="","",VLOOKUP(AD226,'G-3 Multipliers'!$P$3:$Q$6,2,FALSE)),"")</f>
        <v/>
      </c>
      <c r="AH226" s="376" t="str">
        <f t="shared" si="25"/>
        <v/>
      </c>
      <c r="AI226" s="188"/>
      <c r="AJ226" s="118"/>
      <c r="AK226" s="120"/>
      <c r="AT226" s="30" t="str">
        <f>IFERROR(INDEX('G-6 Hedgerow Data'!$BJ$3:$BJ$15,MATCH(M226,'G-6 Hedgerow Data'!$B$3:$B$15,0)),"")</f>
        <v/>
      </c>
    </row>
    <row r="227" spans="2:46" ht="15">
      <c r="B227" s="392" t="str">
        <f>'B-1 On-Site Hedge Baseline'!AK225</f>
        <v/>
      </c>
      <c r="C227" s="382" t="str">
        <f>IF(B227="","",IF(ISNA(VLOOKUP($B227,'B-1 On-Site Hedge Baseline'!$B$1:$L$257,3,FALSE)),"",(VLOOKUP($B227,'B-1 On-Site Hedge Baseline'!$B$1:$L$257,3,FALSE))))</f>
        <v/>
      </c>
      <c r="D227" s="382" t="str">
        <f>IF(B227="","",IF(ISNA(VLOOKUP($B227,'B-1 On-Site Hedge Baseline'!$B$1:$L$257,4,FALSE)),"",(VLOOKUP($B227,'B-1 On-Site Hedge Baseline'!$B$1:$L$257,4,FALSE))))</f>
        <v/>
      </c>
      <c r="E227" s="382" t="str">
        <f>IF(B227="","",IF(ISNA(VLOOKUP($B227,'B-1 On-Site Hedge Baseline'!$B$1:$L$257,5,FALSE)),"",(VLOOKUP($B227,'B-1 On-Site Hedge Baseline'!$B$1:$L$257,5,FALSE))))</f>
        <v/>
      </c>
      <c r="F227" s="382" t="str">
        <f>IF(B227="","",IF(ISNA(VLOOKUP($B227,'B-1 On-Site Hedge Baseline'!$B$1:$L$257,6,FALSE)),"",(VLOOKUP($B227,'B-1 On-Site Hedge Baseline'!$B$1:$L$257,6,FALSE))))</f>
        <v/>
      </c>
      <c r="G227" s="382" t="str">
        <f>IF(B227="","",IF(ISNA(VLOOKUP($B227,'B-1 On-Site Hedge Baseline'!$B$1:$L$257,7,FALSE)),"",(VLOOKUP($B227,'B-1 On-Site Hedge Baseline'!$B$1:$L$257,7,FALSE))))</f>
        <v/>
      </c>
      <c r="H227" s="382" t="str">
        <f>IF(B227="","",IF(ISNA(VLOOKUP($B227,'B-1 On-Site Hedge Baseline'!$B$1:$L$257,8,FALSE)),"",(VLOOKUP($B227,'B-1 On-Site Hedge Baseline'!$B$1:$L$257,8,FALSE))))</f>
        <v/>
      </c>
      <c r="I227" s="382" t="str">
        <f>IF(B227="","",IF(ISNA(VLOOKUP($B227,'B-1 On-Site Hedge Baseline'!$B$1:$L$257,10,FALSE)),"",(VLOOKUP($B227,'B-1 On-Site Hedge Baseline'!$B$1:$L$257,10,FALSE))))</f>
        <v/>
      </c>
      <c r="J227" s="382" t="str">
        <f>IF(B227="","",IF(ISNA(VLOOKUP($B227,'B-1 On-Site Hedge Baseline'!$B$1:$L$257,11,FALSE)),"",(VLOOKUP($B227,'B-1 On-Site Hedge Baseline'!$B$1:$L$257,11,FALSE))))</f>
        <v/>
      </c>
      <c r="K227" s="382" t="str">
        <f>IF(B227="","",IF(ISNA(VLOOKUP($B227,'B-1 On-Site Hedge Baseline'!$B$1:$U$257,13,FALSE)),"",(VLOOKUP($B227,'B-1 On-Site Hedge Baseline'!$B$1:$U$257,13,FALSE))))</f>
        <v/>
      </c>
      <c r="L227" s="386" t="str">
        <f>IF(B227="","",IF(ISNA(VLOOKUP($B227,'B-1 On-Site Hedge Baseline'!$B$1:$U$257,12,FALSE)),"",(VLOOKUP($B227,'B-1 On-Site Hedge Baseline'!$B$1:$U$257,12,FALSE))))</f>
        <v/>
      </c>
      <c r="M227" s="315" t="str">
        <f t="shared" si="31"/>
        <v/>
      </c>
      <c r="N227" s="362" t="str">
        <f>IFERROR(IF(B227="","",INDEX('G-6 Hedgerow Data'!$AN$3:$AZ$15,MATCH(C227,'G-6 Hedgerow Data'!$AM$3:$AM$15,0),MATCH(M227,'G-6 Hedgerow Data'!$AN$2:$AZ$2,0))),"")</f>
        <v/>
      </c>
      <c r="O227" s="363" t="str">
        <f t="shared" si="26"/>
        <v/>
      </c>
      <c r="P227" s="417" t="str">
        <f>IF(B227="","",VLOOKUP(B227,'B-1 On-Site Hedge Baseline'!$B$10:T472,16,FALSE))</f>
        <v/>
      </c>
      <c r="Q227" s="362" t="str">
        <f>IF(M227="","",VLOOKUP(M227,'G-6 Hedgerow Data'!$B$2:$AG$15,2,FALSE))</f>
        <v/>
      </c>
      <c r="R227" s="363" t="str">
        <f>IF(M227="","",VLOOKUP(M227,'G-6 Hedgerow Data'!$B$2:$AG$15,3,FALSE))</f>
        <v/>
      </c>
      <c r="S227" s="125"/>
      <c r="T227" s="401" t="str">
        <f>IFERROR(VLOOKUP(S227,'G-1 All Habitats'!$Z$2:$AA$9,2,FALSE),"")</f>
        <v/>
      </c>
      <c r="U227" s="122"/>
      <c r="V227" s="382" t="str">
        <f>IF(U227="","",IF(VLOOKUP(U227,'G-3 Multipliers'!$L$3:$N$6,2,FALSE)=0,"Spatial Data Missing ⚠",VLOOKUP(U227,'G-3 Multipliers'!$L$3:$N$6,2,FALSE)))</f>
        <v/>
      </c>
      <c r="W227" s="386" t="str">
        <f>IF(U227="","",IF(VLOOKUP(U227,'G-3 Multipliers'!$L$3:$N$6,3,FALSE)=0,"Spatial Data Missing ⚠",VLOOKUP(U227,'G-3 Multipliers'!$L$3:$N$6,3,FALSE)))</f>
        <v/>
      </c>
      <c r="X227" s="362" t="str">
        <f>IFERROR(IF(OR(LEFT(O227,5)="Error",LEFT(N227,5)="Error",T227="Error"),"Check Data ⚠",IF(F227&lt;R227,INDEX('G-6 Hedgerow Data'!$S$3:$AE$14,MATCH(C227,'G-6 Hedgerow Data'!$B$3:$B$14,0),MATCH(M227,'G-6 Hedgerow Data'!$S$2:$AE$2,0)),INDEX('G-6 Hedgerow Data'!$K$3:$Q$14,MATCH(M227,'G-6 Hedgerow Data'!$B$3:$B$14,0),MATCH(O227,'G-6 Hedgerow Data'!$K$2:$Q$2,0)))),"")</f>
        <v/>
      </c>
      <c r="Y227" s="159"/>
      <c r="Z227" s="159"/>
      <c r="AA227" s="370" t="str">
        <f t="shared" si="27"/>
        <v/>
      </c>
      <c r="AB227" s="383" t="str">
        <f t="shared" si="28"/>
        <v/>
      </c>
      <c r="AC227" s="384" t="str">
        <f t="shared" si="24"/>
        <v/>
      </c>
      <c r="AD227" s="398" t="str">
        <f>IF(M227="","",VLOOKUP(M227,'G-6 Hedgerow Data'!$B$3:$AG$15,31,FALSE))</f>
        <v/>
      </c>
      <c r="AE227" s="370" t="str">
        <f t="shared" si="29"/>
        <v/>
      </c>
      <c r="AF227" s="370" t="str">
        <f t="shared" si="30"/>
        <v/>
      </c>
      <c r="AG227" s="386" t="str">
        <f>IFERROR(IF(O227="","",VLOOKUP(AD227,'G-3 Multipliers'!$P$3:$Q$6,2,FALSE)),"")</f>
        <v/>
      </c>
      <c r="AH227" s="376" t="str">
        <f t="shared" si="25"/>
        <v/>
      </c>
      <c r="AI227" s="188"/>
      <c r="AJ227" s="118"/>
      <c r="AK227" s="120"/>
      <c r="AT227" s="30" t="str">
        <f>IFERROR(INDEX('G-6 Hedgerow Data'!$BJ$3:$BJ$15,MATCH(M227,'G-6 Hedgerow Data'!$B$3:$B$15,0)),"")</f>
        <v/>
      </c>
    </row>
    <row r="228" spans="2:46" ht="15">
      <c r="B228" s="392" t="str">
        <f>'B-1 On-Site Hedge Baseline'!AK226</f>
        <v/>
      </c>
      <c r="C228" s="382" t="str">
        <f>IF(B228="","",IF(ISNA(VLOOKUP($B228,'B-1 On-Site Hedge Baseline'!$B$1:$L$257,3,FALSE)),"",(VLOOKUP($B228,'B-1 On-Site Hedge Baseline'!$B$1:$L$257,3,FALSE))))</f>
        <v/>
      </c>
      <c r="D228" s="382" t="str">
        <f>IF(B228="","",IF(ISNA(VLOOKUP($B228,'B-1 On-Site Hedge Baseline'!$B$1:$L$257,4,FALSE)),"",(VLOOKUP($B228,'B-1 On-Site Hedge Baseline'!$B$1:$L$257,4,FALSE))))</f>
        <v/>
      </c>
      <c r="E228" s="382" t="str">
        <f>IF(B228="","",IF(ISNA(VLOOKUP($B228,'B-1 On-Site Hedge Baseline'!$B$1:$L$257,5,FALSE)),"",(VLOOKUP($B228,'B-1 On-Site Hedge Baseline'!$B$1:$L$257,5,FALSE))))</f>
        <v/>
      </c>
      <c r="F228" s="382" t="str">
        <f>IF(B228="","",IF(ISNA(VLOOKUP($B228,'B-1 On-Site Hedge Baseline'!$B$1:$L$257,6,FALSE)),"",(VLOOKUP($B228,'B-1 On-Site Hedge Baseline'!$B$1:$L$257,6,FALSE))))</f>
        <v/>
      </c>
      <c r="G228" s="382" t="str">
        <f>IF(B228="","",IF(ISNA(VLOOKUP($B228,'B-1 On-Site Hedge Baseline'!$B$1:$L$257,7,FALSE)),"",(VLOOKUP($B228,'B-1 On-Site Hedge Baseline'!$B$1:$L$257,7,FALSE))))</f>
        <v/>
      </c>
      <c r="H228" s="382" t="str">
        <f>IF(B228="","",IF(ISNA(VLOOKUP($B228,'B-1 On-Site Hedge Baseline'!$B$1:$L$257,8,FALSE)),"",(VLOOKUP($B228,'B-1 On-Site Hedge Baseline'!$B$1:$L$257,8,FALSE))))</f>
        <v/>
      </c>
      <c r="I228" s="382" t="str">
        <f>IF(B228="","",IF(ISNA(VLOOKUP($B228,'B-1 On-Site Hedge Baseline'!$B$1:$L$257,10,FALSE)),"",(VLOOKUP($B228,'B-1 On-Site Hedge Baseline'!$B$1:$L$257,10,FALSE))))</f>
        <v/>
      </c>
      <c r="J228" s="382" t="str">
        <f>IF(B228="","",IF(ISNA(VLOOKUP($B228,'B-1 On-Site Hedge Baseline'!$B$1:$L$257,11,FALSE)),"",(VLOOKUP($B228,'B-1 On-Site Hedge Baseline'!$B$1:$L$257,11,FALSE))))</f>
        <v/>
      </c>
      <c r="K228" s="382" t="str">
        <f>IF(B228="","",IF(ISNA(VLOOKUP($B228,'B-1 On-Site Hedge Baseline'!$B$1:$U$257,13,FALSE)),"",(VLOOKUP($B228,'B-1 On-Site Hedge Baseline'!$B$1:$U$257,13,FALSE))))</f>
        <v/>
      </c>
      <c r="L228" s="386" t="str">
        <f>IF(B228="","",IF(ISNA(VLOOKUP($B228,'B-1 On-Site Hedge Baseline'!$B$1:$U$257,12,FALSE)),"",(VLOOKUP($B228,'B-1 On-Site Hedge Baseline'!$B$1:$U$257,12,FALSE))))</f>
        <v/>
      </c>
      <c r="M228" s="315" t="str">
        <f t="shared" si="31"/>
        <v/>
      </c>
      <c r="N228" s="362" t="str">
        <f>IFERROR(IF(B228="","",INDEX('G-6 Hedgerow Data'!$AN$3:$AZ$15,MATCH(C228,'G-6 Hedgerow Data'!$AM$3:$AM$15,0),MATCH(M228,'G-6 Hedgerow Data'!$AN$2:$AZ$2,0))),"")</f>
        <v/>
      </c>
      <c r="O228" s="363" t="str">
        <f t="shared" si="26"/>
        <v/>
      </c>
      <c r="P228" s="417" t="str">
        <f>IF(B228="","",VLOOKUP(B228,'B-1 On-Site Hedge Baseline'!$B$10:T473,16,FALSE))</f>
        <v/>
      </c>
      <c r="Q228" s="362" t="str">
        <f>IF(M228="","",VLOOKUP(M228,'G-6 Hedgerow Data'!$B$2:$AG$15,2,FALSE))</f>
        <v/>
      </c>
      <c r="R228" s="363" t="str">
        <f>IF(M228="","",VLOOKUP(M228,'G-6 Hedgerow Data'!$B$2:$AG$15,3,FALSE))</f>
        <v/>
      </c>
      <c r="S228" s="125"/>
      <c r="T228" s="401" t="str">
        <f>IFERROR(VLOOKUP(S228,'G-1 All Habitats'!$Z$2:$AA$9,2,FALSE),"")</f>
        <v/>
      </c>
      <c r="U228" s="122"/>
      <c r="V228" s="382" t="str">
        <f>IF(U228="","",IF(VLOOKUP(U228,'G-3 Multipliers'!$L$3:$N$6,2,FALSE)=0,"Spatial Data Missing ⚠",VLOOKUP(U228,'G-3 Multipliers'!$L$3:$N$6,2,FALSE)))</f>
        <v/>
      </c>
      <c r="W228" s="386" t="str">
        <f>IF(U228="","",IF(VLOOKUP(U228,'G-3 Multipliers'!$L$3:$N$6,3,FALSE)=0,"Spatial Data Missing ⚠",VLOOKUP(U228,'G-3 Multipliers'!$L$3:$N$6,3,FALSE)))</f>
        <v/>
      </c>
      <c r="X228" s="362" t="str">
        <f>IFERROR(IF(OR(LEFT(O228,5)="Error",LEFT(N228,5)="Error",T228="Error"),"Check Data ⚠",IF(F228&lt;R228,INDEX('G-6 Hedgerow Data'!$S$3:$AE$14,MATCH(C228,'G-6 Hedgerow Data'!$B$3:$B$14,0),MATCH(M228,'G-6 Hedgerow Data'!$S$2:$AE$2,0)),INDEX('G-6 Hedgerow Data'!$K$3:$Q$14,MATCH(M228,'G-6 Hedgerow Data'!$B$3:$B$14,0),MATCH(O228,'G-6 Hedgerow Data'!$K$2:$Q$2,0)))),"")</f>
        <v/>
      </c>
      <c r="Y228" s="159"/>
      <c r="Z228" s="159"/>
      <c r="AA228" s="370" t="str">
        <f t="shared" si="27"/>
        <v/>
      </c>
      <c r="AB228" s="383" t="str">
        <f t="shared" si="28"/>
        <v/>
      </c>
      <c r="AC228" s="384" t="str">
        <f t="shared" si="24"/>
        <v/>
      </c>
      <c r="AD228" s="398" t="str">
        <f>IF(M228="","",VLOOKUP(M228,'G-6 Hedgerow Data'!$B$3:$AG$15,31,FALSE))</f>
        <v/>
      </c>
      <c r="AE228" s="370" t="str">
        <f t="shared" si="29"/>
        <v/>
      </c>
      <c r="AF228" s="370" t="str">
        <f t="shared" si="30"/>
        <v/>
      </c>
      <c r="AG228" s="386" t="str">
        <f>IFERROR(IF(O228="","",VLOOKUP(AD228,'G-3 Multipliers'!$P$3:$Q$6,2,FALSE)),"")</f>
        <v/>
      </c>
      <c r="AH228" s="376" t="str">
        <f t="shared" si="25"/>
        <v/>
      </c>
      <c r="AI228" s="188"/>
      <c r="AJ228" s="118"/>
      <c r="AK228" s="120"/>
      <c r="AT228" s="30" t="str">
        <f>IFERROR(INDEX('G-6 Hedgerow Data'!$BJ$3:$BJ$15,MATCH(M228,'G-6 Hedgerow Data'!$B$3:$B$15,0)),"")</f>
        <v/>
      </c>
    </row>
    <row r="229" spans="2:46" ht="15">
      <c r="B229" s="392" t="str">
        <f>'B-1 On-Site Hedge Baseline'!AK227</f>
        <v/>
      </c>
      <c r="C229" s="382" t="str">
        <f>IF(B229="","",IF(ISNA(VLOOKUP($B229,'B-1 On-Site Hedge Baseline'!$B$1:$L$257,3,FALSE)),"",(VLOOKUP($B229,'B-1 On-Site Hedge Baseline'!$B$1:$L$257,3,FALSE))))</f>
        <v/>
      </c>
      <c r="D229" s="382" t="str">
        <f>IF(B229="","",IF(ISNA(VLOOKUP($B229,'B-1 On-Site Hedge Baseline'!$B$1:$L$257,4,FALSE)),"",(VLOOKUP($B229,'B-1 On-Site Hedge Baseline'!$B$1:$L$257,4,FALSE))))</f>
        <v/>
      </c>
      <c r="E229" s="382" t="str">
        <f>IF(B229="","",IF(ISNA(VLOOKUP($B229,'B-1 On-Site Hedge Baseline'!$B$1:$L$257,5,FALSE)),"",(VLOOKUP($B229,'B-1 On-Site Hedge Baseline'!$B$1:$L$257,5,FALSE))))</f>
        <v/>
      </c>
      <c r="F229" s="382" t="str">
        <f>IF(B229="","",IF(ISNA(VLOOKUP($B229,'B-1 On-Site Hedge Baseline'!$B$1:$L$257,6,FALSE)),"",(VLOOKUP($B229,'B-1 On-Site Hedge Baseline'!$B$1:$L$257,6,FALSE))))</f>
        <v/>
      </c>
      <c r="G229" s="382" t="str">
        <f>IF(B229="","",IF(ISNA(VLOOKUP($B229,'B-1 On-Site Hedge Baseline'!$B$1:$L$257,7,FALSE)),"",(VLOOKUP($B229,'B-1 On-Site Hedge Baseline'!$B$1:$L$257,7,FALSE))))</f>
        <v/>
      </c>
      <c r="H229" s="382" t="str">
        <f>IF(B229="","",IF(ISNA(VLOOKUP($B229,'B-1 On-Site Hedge Baseline'!$B$1:$L$257,8,FALSE)),"",(VLOOKUP($B229,'B-1 On-Site Hedge Baseline'!$B$1:$L$257,8,FALSE))))</f>
        <v/>
      </c>
      <c r="I229" s="382" t="str">
        <f>IF(B229="","",IF(ISNA(VLOOKUP($B229,'B-1 On-Site Hedge Baseline'!$B$1:$L$257,10,FALSE)),"",(VLOOKUP($B229,'B-1 On-Site Hedge Baseline'!$B$1:$L$257,10,FALSE))))</f>
        <v/>
      </c>
      <c r="J229" s="382" t="str">
        <f>IF(B229="","",IF(ISNA(VLOOKUP($B229,'B-1 On-Site Hedge Baseline'!$B$1:$L$257,11,FALSE)),"",(VLOOKUP($B229,'B-1 On-Site Hedge Baseline'!$B$1:$L$257,11,FALSE))))</f>
        <v/>
      </c>
      <c r="K229" s="382" t="str">
        <f>IF(B229="","",IF(ISNA(VLOOKUP($B229,'B-1 On-Site Hedge Baseline'!$B$1:$U$257,13,FALSE)),"",(VLOOKUP($B229,'B-1 On-Site Hedge Baseline'!$B$1:$U$257,13,FALSE))))</f>
        <v/>
      </c>
      <c r="L229" s="386" t="str">
        <f>IF(B229="","",IF(ISNA(VLOOKUP($B229,'B-1 On-Site Hedge Baseline'!$B$1:$U$257,12,FALSE)),"",(VLOOKUP($B229,'B-1 On-Site Hedge Baseline'!$B$1:$U$257,12,FALSE))))</f>
        <v/>
      </c>
      <c r="M229" s="315" t="str">
        <f t="shared" si="31"/>
        <v/>
      </c>
      <c r="N229" s="362" t="str">
        <f>IFERROR(IF(B229="","",INDEX('G-6 Hedgerow Data'!$AN$3:$AZ$15,MATCH(C229,'G-6 Hedgerow Data'!$AM$3:$AM$15,0),MATCH(M229,'G-6 Hedgerow Data'!$AN$2:$AZ$2,0))),"")</f>
        <v/>
      </c>
      <c r="O229" s="363" t="str">
        <f t="shared" si="26"/>
        <v/>
      </c>
      <c r="P229" s="417" t="str">
        <f>IF(B229="","",VLOOKUP(B229,'B-1 On-Site Hedge Baseline'!$B$10:T474,16,FALSE))</f>
        <v/>
      </c>
      <c r="Q229" s="362" t="str">
        <f>IF(M229="","",VLOOKUP(M229,'G-6 Hedgerow Data'!$B$2:$AG$15,2,FALSE))</f>
        <v/>
      </c>
      <c r="R229" s="363" t="str">
        <f>IF(M229="","",VLOOKUP(M229,'G-6 Hedgerow Data'!$B$2:$AG$15,3,FALSE))</f>
        <v/>
      </c>
      <c r="S229" s="125"/>
      <c r="T229" s="401" t="str">
        <f>IFERROR(VLOOKUP(S229,'G-1 All Habitats'!$Z$2:$AA$9,2,FALSE),"")</f>
        <v/>
      </c>
      <c r="U229" s="122"/>
      <c r="V229" s="382" t="str">
        <f>IF(U229="","",IF(VLOOKUP(U229,'G-3 Multipliers'!$L$3:$N$6,2,FALSE)=0,"Spatial Data Missing ⚠",VLOOKUP(U229,'G-3 Multipliers'!$L$3:$N$6,2,FALSE)))</f>
        <v/>
      </c>
      <c r="W229" s="386" t="str">
        <f>IF(U229="","",IF(VLOOKUP(U229,'G-3 Multipliers'!$L$3:$N$6,3,FALSE)=0,"Spatial Data Missing ⚠",VLOOKUP(U229,'G-3 Multipliers'!$L$3:$N$6,3,FALSE)))</f>
        <v/>
      </c>
      <c r="X229" s="362" t="str">
        <f>IFERROR(IF(OR(LEFT(O229,5)="Error",LEFT(N229,5)="Error",T229="Error"),"Check Data ⚠",IF(F229&lt;R229,INDEX('G-6 Hedgerow Data'!$S$3:$AE$14,MATCH(C229,'G-6 Hedgerow Data'!$B$3:$B$14,0),MATCH(M229,'G-6 Hedgerow Data'!$S$2:$AE$2,0)),INDEX('G-6 Hedgerow Data'!$K$3:$Q$14,MATCH(M229,'G-6 Hedgerow Data'!$B$3:$B$14,0),MATCH(O229,'G-6 Hedgerow Data'!$K$2:$Q$2,0)))),"")</f>
        <v/>
      </c>
      <c r="Y229" s="159"/>
      <c r="Z229" s="159"/>
      <c r="AA229" s="370" t="str">
        <f t="shared" si="27"/>
        <v/>
      </c>
      <c r="AB229" s="383" t="str">
        <f t="shared" si="28"/>
        <v/>
      </c>
      <c r="AC229" s="384" t="str">
        <f t="shared" si="24"/>
        <v/>
      </c>
      <c r="AD229" s="398" t="str">
        <f>IF(M229="","",VLOOKUP(M229,'G-6 Hedgerow Data'!$B$3:$AG$15,31,FALSE))</f>
        <v/>
      </c>
      <c r="AE229" s="370" t="str">
        <f t="shared" si="29"/>
        <v/>
      </c>
      <c r="AF229" s="370" t="str">
        <f t="shared" si="30"/>
        <v/>
      </c>
      <c r="AG229" s="386" t="str">
        <f>IFERROR(IF(O229="","",VLOOKUP(AD229,'G-3 Multipliers'!$P$3:$Q$6,2,FALSE)),"")</f>
        <v/>
      </c>
      <c r="AH229" s="376" t="str">
        <f t="shared" si="25"/>
        <v/>
      </c>
      <c r="AI229" s="188"/>
      <c r="AJ229" s="118"/>
      <c r="AK229" s="120"/>
      <c r="AT229" s="30" t="str">
        <f>IFERROR(INDEX('G-6 Hedgerow Data'!$BJ$3:$BJ$15,MATCH(M229,'G-6 Hedgerow Data'!$B$3:$B$15,0)),"")</f>
        <v/>
      </c>
    </row>
    <row r="230" spans="2:46" ht="15">
      <c r="B230" s="392" t="str">
        <f>'B-1 On-Site Hedge Baseline'!AK228</f>
        <v/>
      </c>
      <c r="C230" s="382" t="str">
        <f>IF(B230="","",IF(ISNA(VLOOKUP($B230,'B-1 On-Site Hedge Baseline'!$B$1:$L$257,3,FALSE)),"",(VLOOKUP($B230,'B-1 On-Site Hedge Baseline'!$B$1:$L$257,3,FALSE))))</f>
        <v/>
      </c>
      <c r="D230" s="382" t="str">
        <f>IF(B230="","",IF(ISNA(VLOOKUP($B230,'B-1 On-Site Hedge Baseline'!$B$1:$L$257,4,FALSE)),"",(VLOOKUP($B230,'B-1 On-Site Hedge Baseline'!$B$1:$L$257,4,FALSE))))</f>
        <v/>
      </c>
      <c r="E230" s="382" t="str">
        <f>IF(B230="","",IF(ISNA(VLOOKUP($B230,'B-1 On-Site Hedge Baseline'!$B$1:$L$257,5,FALSE)),"",(VLOOKUP($B230,'B-1 On-Site Hedge Baseline'!$B$1:$L$257,5,FALSE))))</f>
        <v/>
      </c>
      <c r="F230" s="382" t="str">
        <f>IF(B230="","",IF(ISNA(VLOOKUP($B230,'B-1 On-Site Hedge Baseline'!$B$1:$L$257,6,FALSE)),"",(VLOOKUP($B230,'B-1 On-Site Hedge Baseline'!$B$1:$L$257,6,FALSE))))</f>
        <v/>
      </c>
      <c r="G230" s="382" t="str">
        <f>IF(B230="","",IF(ISNA(VLOOKUP($B230,'B-1 On-Site Hedge Baseline'!$B$1:$L$257,7,FALSE)),"",(VLOOKUP($B230,'B-1 On-Site Hedge Baseline'!$B$1:$L$257,7,FALSE))))</f>
        <v/>
      </c>
      <c r="H230" s="382" t="str">
        <f>IF(B230="","",IF(ISNA(VLOOKUP($B230,'B-1 On-Site Hedge Baseline'!$B$1:$L$257,8,FALSE)),"",(VLOOKUP($B230,'B-1 On-Site Hedge Baseline'!$B$1:$L$257,8,FALSE))))</f>
        <v/>
      </c>
      <c r="I230" s="382" t="str">
        <f>IF(B230="","",IF(ISNA(VLOOKUP($B230,'B-1 On-Site Hedge Baseline'!$B$1:$L$257,10,FALSE)),"",(VLOOKUP($B230,'B-1 On-Site Hedge Baseline'!$B$1:$L$257,10,FALSE))))</f>
        <v/>
      </c>
      <c r="J230" s="382" t="str">
        <f>IF(B230="","",IF(ISNA(VLOOKUP($B230,'B-1 On-Site Hedge Baseline'!$B$1:$L$257,11,FALSE)),"",(VLOOKUP($B230,'B-1 On-Site Hedge Baseline'!$B$1:$L$257,11,FALSE))))</f>
        <v/>
      </c>
      <c r="K230" s="382" t="str">
        <f>IF(B230="","",IF(ISNA(VLOOKUP($B230,'B-1 On-Site Hedge Baseline'!$B$1:$U$257,13,FALSE)),"",(VLOOKUP($B230,'B-1 On-Site Hedge Baseline'!$B$1:$U$257,13,FALSE))))</f>
        <v/>
      </c>
      <c r="L230" s="386" t="str">
        <f>IF(B230="","",IF(ISNA(VLOOKUP($B230,'B-1 On-Site Hedge Baseline'!$B$1:$U$257,12,FALSE)),"",(VLOOKUP($B230,'B-1 On-Site Hedge Baseline'!$B$1:$U$257,12,FALSE))))</f>
        <v/>
      </c>
      <c r="M230" s="315" t="str">
        <f t="shared" si="31"/>
        <v/>
      </c>
      <c r="N230" s="362" t="str">
        <f>IFERROR(IF(B230="","",INDEX('G-6 Hedgerow Data'!$AN$3:$AZ$15,MATCH(C230,'G-6 Hedgerow Data'!$AM$3:$AM$15,0),MATCH(M230,'G-6 Hedgerow Data'!$AN$2:$AZ$2,0))),"")</f>
        <v/>
      </c>
      <c r="O230" s="363" t="str">
        <f t="shared" si="26"/>
        <v/>
      </c>
      <c r="P230" s="417" t="str">
        <f>IF(B230="","",VLOOKUP(B230,'B-1 On-Site Hedge Baseline'!$B$10:T475,16,FALSE))</f>
        <v/>
      </c>
      <c r="Q230" s="362" t="str">
        <f>IF(M230="","",VLOOKUP(M230,'G-6 Hedgerow Data'!$B$2:$AG$15,2,FALSE))</f>
        <v/>
      </c>
      <c r="R230" s="363" t="str">
        <f>IF(M230="","",VLOOKUP(M230,'G-6 Hedgerow Data'!$B$2:$AG$15,3,FALSE))</f>
        <v/>
      </c>
      <c r="S230" s="125"/>
      <c r="T230" s="401" t="str">
        <f>IFERROR(VLOOKUP(S230,'G-1 All Habitats'!$Z$2:$AA$9,2,FALSE),"")</f>
        <v/>
      </c>
      <c r="U230" s="122"/>
      <c r="V230" s="382" t="str">
        <f>IF(U230="","",IF(VLOOKUP(U230,'G-3 Multipliers'!$L$3:$N$6,2,FALSE)=0,"Spatial Data Missing ⚠",VLOOKUP(U230,'G-3 Multipliers'!$L$3:$N$6,2,FALSE)))</f>
        <v/>
      </c>
      <c r="W230" s="386" t="str">
        <f>IF(U230="","",IF(VLOOKUP(U230,'G-3 Multipliers'!$L$3:$N$6,3,FALSE)=0,"Spatial Data Missing ⚠",VLOOKUP(U230,'G-3 Multipliers'!$L$3:$N$6,3,FALSE)))</f>
        <v/>
      </c>
      <c r="X230" s="362" t="str">
        <f>IFERROR(IF(OR(LEFT(O230,5)="Error",LEFT(N230,5)="Error",T230="Error"),"Check Data ⚠",IF(F230&lt;R230,INDEX('G-6 Hedgerow Data'!$S$3:$AE$14,MATCH(C230,'G-6 Hedgerow Data'!$B$3:$B$14,0),MATCH(M230,'G-6 Hedgerow Data'!$S$2:$AE$2,0)),INDEX('G-6 Hedgerow Data'!$K$3:$Q$14,MATCH(M230,'G-6 Hedgerow Data'!$B$3:$B$14,0),MATCH(O230,'G-6 Hedgerow Data'!$K$2:$Q$2,0)))),"")</f>
        <v/>
      </c>
      <c r="Y230" s="159"/>
      <c r="Z230" s="159"/>
      <c r="AA230" s="370" t="str">
        <f t="shared" si="27"/>
        <v/>
      </c>
      <c r="AB230" s="383" t="str">
        <f t="shared" si="28"/>
        <v/>
      </c>
      <c r="AC230" s="384" t="str">
        <f t="shared" si="24"/>
        <v/>
      </c>
      <c r="AD230" s="398" t="str">
        <f>IF(M230="","",VLOOKUP(M230,'G-6 Hedgerow Data'!$B$3:$AG$15,31,FALSE))</f>
        <v/>
      </c>
      <c r="AE230" s="370" t="str">
        <f t="shared" si="29"/>
        <v/>
      </c>
      <c r="AF230" s="370" t="str">
        <f t="shared" si="30"/>
        <v/>
      </c>
      <c r="AG230" s="386" t="str">
        <f>IFERROR(IF(O230="","",VLOOKUP(AD230,'G-3 Multipliers'!$P$3:$Q$6,2,FALSE)),"")</f>
        <v/>
      </c>
      <c r="AH230" s="376" t="str">
        <f t="shared" si="25"/>
        <v/>
      </c>
      <c r="AI230" s="188"/>
      <c r="AJ230" s="118"/>
      <c r="AK230" s="120"/>
      <c r="AT230" s="30" t="str">
        <f>IFERROR(INDEX('G-6 Hedgerow Data'!$BJ$3:$BJ$15,MATCH(M230,'G-6 Hedgerow Data'!$B$3:$B$15,0)),"")</f>
        <v/>
      </c>
    </row>
    <row r="231" spans="2:46" ht="15">
      <c r="B231" s="392" t="str">
        <f>'B-1 On-Site Hedge Baseline'!AK229</f>
        <v/>
      </c>
      <c r="C231" s="382" t="str">
        <f>IF(B231="","",IF(ISNA(VLOOKUP($B231,'B-1 On-Site Hedge Baseline'!$B$1:$L$257,3,FALSE)),"",(VLOOKUP($B231,'B-1 On-Site Hedge Baseline'!$B$1:$L$257,3,FALSE))))</f>
        <v/>
      </c>
      <c r="D231" s="382" t="str">
        <f>IF(B231="","",IF(ISNA(VLOOKUP($B231,'B-1 On-Site Hedge Baseline'!$B$1:$L$257,4,FALSE)),"",(VLOOKUP($B231,'B-1 On-Site Hedge Baseline'!$B$1:$L$257,4,FALSE))))</f>
        <v/>
      </c>
      <c r="E231" s="382" t="str">
        <f>IF(B231="","",IF(ISNA(VLOOKUP($B231,'B-1 On-Site Hedge Baseline'!$B$1:$L$257,5,FALSE)),"",(VLOOKUP($B231,'B-1 On-Site Hedge Baseline'!$B$1:$L$257,5,FALSE))))</f>
        <v/>
      </c>
      <c r="F231" s="382" t="str">
        <f>IF(B231="","",IF(ISNA(VLOOKUP($B231,'B-1 On-Site Hedge Baseline'!$B$1:$L$257,6,FALSE)),"",(VLOOKUP($B231,'B-1 On-Site Hedge Baseline'!$B$1:$L$257,6,FALSE))))</f>
        <v/>
      </c>
      <c r="G231" s="382" t="str">
        <f>IF(B231="","",IF(ISNA(VLOOKUP($B231,'B-1 On-Site Hedge Baseline'!$B$1:$L$257,7,FALSE)),"",(VLOOKUP($B231,'B-1 On-Site Hedge Baseline'!$B$1:$L$257,7,FALSE))))</f>
        <v/>
      </c>
      <c r="H231" s="382" t="str">
        <f>IF(B231="","",IF(ISNA(VLOOKUP($B231,'B-1 On-Site Hedge Baseline'!$B$1:$L$257,8,FALSE)),"",(VLOOKUP($B231,'B-1 On-Site Hedge Baseline'!$B$1:$L$257,8,FALSE))))</f>
        <v/>
      </c>
      <c r="I231" s="382" t="str">
        <f>IF(B231="","",IF(ISNA(VLOOKUP($B231,'B-1 On-Site Hedge Baseline'!$B$1:$L$257,10,FALSE)),"",(VLOOKUP($B231,'B-1 On-Site Hedge Baseline'!$B$1:$L$257,10,FALSE))))</f>
        <v/>
      </c>
      <c r="J231" s="382" t="str">
        <f>IF(B231="","",IF(ISNA(VLOOKUP($B231,'B-1 On-Site Hedge Baseline'!$B$1:$L$257,11,FALSE)),"",(VLOOKUP($B231,'B-1 On-Site Hedge Baseline'!$B$1:$L$257,11,FALSE))))</f>
        <v/>
      </c>
      <c r="K231" s="382" t="str">
        <f>IF(B231="","",IF(ISNA(VLOOKUP($B231,'B-1 On-Site Hedge Baseline'!$B$1:$U$257,13,FALSE)),"",(VLOOKUP($B231,'B-1 On-Site Hedge Baseline'!$B$1:$U$257,13,FALSE))))</f>
        <v/>
      </c>
      <c r="L231" s="386" t="str">
        <f>IF(B231="","",IF(ISNA(VLOOKUP($B231,'B-1 On-Site Hedge Baseline'!$B$1:$U$257,12,FALSE)),"",(VLOOKUP($B231,'B-1 On-Site Hedge Baseline'!$B$1:$U$257,12,FALSE))))</f>
        <v/>
      </c>
      <c r="M231" s="315" t="str">
        <f t="shared" si="31"/>
        <v/>
      </c>
      <c r="N231" s="362" t="str">
        <f>IFERROR(IF(B231="","",INDEX('G-6 Hedgerow Data'!$AN$3:$AZ$15,MATCH(C231,'G-6 Hedgerow Data'!$AM$3:$AM$15,0),MATCH(M231,'G-6 Hedgerow Data'!$AN$2:$AZ$2,0))),"")</f>
        <v/>
      </c>
      <c r="O231" s="363" t="str">
        <f t="shared" si="26"/>
        <v/>
      </c>
      <c r="P231" s="417" t="str">
        <f>IF(B231="","",VLOOKUP(B231,'B-1 On-Site Hedge Baseline'!$B$10:T476,16,FALSE))</f>
        <v/>
      </c>
      <c r="Q231" s="362" t="str">
        <f>IF(M231="","",VLOOKUP(M231,'G-6 Hedgerow Data'!$B$2:$AG$15,2,FALSE))</f>
        <v/>
      </c>
      <c r="R231" s="363" t="str">
        <f>IF(M231="","",VLOOKUP(M231,'G-6 Hedgerow Data'!$B$2:$AG$15,3,FALSE))</f>
        <v/>
      </c>
      <c r="S231" s="125"/>
      <c r="T231" s="401" t="str">
        <f>IFERROR(VLOOKUP(S231,'G-1 All Habitats'!$Z$2:$AA$9,2,FALSE),"")</f>
        <v/>
      </c>
      <c r="U231" s="122"/>
      <c r="V231" s="382" t="str">
        <f>IF(U231="","",IF(VLOOKUP(U231,'G-3 Multipliers'!$L$3:$N$6,2,FALSE)=0,"Spatial Data Missing ⚠",VLOOKUP(U231,'G-3 Multipliers'!$L$3:$N$6,2,FALSE)))</f>
        <v/>
      </c>
      <c r="W231" s="386" t="str">
        <f>IF(U231="","",IF(VLOOKUP(U231,'G-3 Multipliers'!$L$3:$N$6,3,FALSE)=0,"Spatial Data Missing ⚠",VLOOKUP(U231,'G-3 Multipliers'!$L$3:$N$6,3,FALSE)))</f>
        <v/>
      </c>
      <c r="X231" s="362" t="str">
        <f>IFERROR(IF(OR(LEFT(O231,5)="Error",LEFT(N231,5)="Error",T231="Error"),"Check Data ⚠",IF(F231&lt;R231,INDEX('G-6 Hedgerow Data'!$S$3:$AE$14,MATCH(C231,'G-6 Hedgerow Data'!$B$3:$B$14,0),MATCH(M231,'G-6 Hedgerow Data'!$S$2:$AE$2,0)),INDEX('G-6 Hedgerow Data'!$K$3:$Q$14,MATCH(M231,'G-6 Hedgerow Data'!$B$3:$B$14,0),MATCH(O231,'G-6 Hedgerow Data'!$K$2:$Q$2,0)))),"")</f>
        <v/>
      </c>
      <c r="Y231" s="159"/>
      <c r="Z231" s="159"/>
      <c r="AA231" s="370" t="str">
        <f t="shared" si="27"/>
        <v/>
      </c>
      <c r="AB231" s="383" t="str">
        <f t="shared" si="28"/>
        <v/>
      </c>
      <c r="AC231" s="384" t="str">
        <f t="shared" si="24"/>
        <v/>
      </c>
      <c r="AD231" s="398" t="str">
        <f>IF(M231="","",VLOOKUP(M231,'G-6 Hedgerow Data'!$B$3:$AG$15,31,FALSE))</f>
        <v/>
      </c>
      <c r="AE231" s="370" t="str">
        <f t="shared" si="29"/>
        <v/>
      </c>
      <c r="AF231" s="370" t="str">
        <f t="shared" si="30"/>
        <v/>
      </c>
      <c r="AG231" s="386" t="str">
        <f>IFERROR(IF(O231="","",VLOOKUP(AD231,'G-3 Multipliers'!$P$3:$Q$6,2,FALSE)),"")</f>
        <v/>
      </c>
      <c r="AH231" s="376" t="str">
        <f t="shared" si="25"/>
        <v/>
      </c>
      <c r="AI231" s="188"/>
      <c r="AJ231" s="118"/>
      <c r="AK231" s="120"/>
      <c r="AT231" s="30" t="str">
        <f>IFERROR(INDEX('G-6 Hedgerow Data'!$BJ$3:$BJ$15,MATCH(M231,'G-6 Hedgerow Data'!$B$3:$B$15,0)),"")</f>
        <v/>
      </c>
    </row>
    <row r="232" spans="2:46" ht="15">
      <c r="B232" s="392" t="str">
        <f>'B-1 On-Site Hedge Baseline'!AK230</f>
        <v/>
      </c>
      <c r="C232" s="382" t="str">
        <f>IF(B232="","",IF(ISNA(VLOOKUP($B232,'B-1 On-Site Hedge Baseline'!$B$1:$L$257,3,FALSE)),"",(VLOOKUP($B232,'B-1 On-Site Hedge Baseline'!$B$1:$L$257,3,FALSE))))</f>
        <v/>
      </c>
      <c r="D232" s="382" t="str">
        <f>IF(B232="","",IF(ISNA(VLOOKUP($B232,'B-1 On-Site Hedge Baseline'!$B$1:$L$257,4,FALSE)),"",(VLOOKUP($B232,'B-1 On-Site Hedge Baseline'!$B$1:$L$257,4,FALSE))))</f>
        <v/>
      </c>
      <c r="E232" s="382" t="str">
        <f>IF(B232="","",IF(ISNA(VLOOKUP($B232,'B-1 On-Site Hedge Baseline'!$B$1:$L$257,5,FALSE)),"",(VLOOKUP($B232,'B-1 On-Site Hedge Baseline'!$B$1:$L$257,5,FALSE))))</f>
        <v/>
      </c>
      <c r="F232" s="382" t="str">
        <f>IF(B232="","",IF(ISNA(VLOOKUP($B232,'B-1 On-Site Hedge Baseline'!$B$1:$L$257,6,FALSE)),"",(VLOOKUP($B232,'B-1 On-Site Hedge Baseline'!$B$1:$L$257,6,FALSE))))</f>
        <v/>
      </c>
      <c r="G232" s="382" t="str">
        <f>IF(B232="","",IF(ISNA(VLOOKUP($B232,'B-1 On-Site Hedge Baseline'!$B$1:$L$257,7,FALSE)),"",(VLOOKUP($B232,'B-1 On-Site Hedge Baseline'!$B$1:$L$257,7,FALSE))))</f>
        <v/>
      </c>
      <c r="H232" s="382" t="str">
        <f>IF(B232="","",IF(ISNA(VLOOKUP($B232,'B-1 On-Site Hedge Baseline'!$B$1:$L$257,8,FALSE)),"",(VLOOKUP($B232,'B-1 On-Site Hedge Baseline'!$B$1:$L$257,8,FALSE))))</f>
        <v/>
      </c>
      <c r="I232" s="382" t="str">
        <f>IF(B232="","",IF(ISNA(VLOOKUP($B232,'B-1 On-Site Hedge Baseline'!$B$1:$L$257,10,FALSE)),"",(VLOOKUP($B232,'B-1 On-Site Hedge Baseline'!$B$1:$L$257,10,FALSE))))</f>
        <v/>
      </c>
      <c r="J232" s="382" t="str">
        <f>IF(B232="","",IF(ISNA(VLOOKUP($B232,'B-1 On-Site Hedge Baseline'!$B$1:$L$257,11,FALSE)),"",(VLOOKUP($B232,'B-1 On-Site Hedge Baseline'!$B$1:$L$257,11,FALSE))))</f>
        <v/>
      </c>
      <c r="K232" s="382" t="str">
        <f>IF(B232="","",IF(ISNA(VLOOKUP($B232,'B-1 On-Site Hedge Baseline'!$B$1:$U$257,13,FALSE)),"",(VLOOKUP($B232,'B-1 On-Site Hedge Baseline'!$B$1:$U$257,13,FALSE))))</f>
        <v/>
      </c>
      <c r="L232" s="386" t="str">
        <f>IF(B232="","",IF(ISNA(VLOOKUP($B232,'B-1 On-Site Hedge Baseline'!$B$1:$U$257,12,FALSE)),"",(VLOOKUP($B232,'B-1 On-Site Hedge Baseline'!$B$1:$U$257,12,FALSE))))</f>
        <v/>
      </c>
      <c r="M232" s="315" t="str">
        <f t="shared" si="31"/>
        <v/>
      </c>
      <c r="N232" s="362" t="str">
        <f>IFERROR(IF(B232="","",INDEX('G-6 Hedgerow Data'!$AN$3:$AZ$15,MATCH(C232,'G-6 Hedgerow Data'!$AM$3:$AM$15,0),MATCH(M232,'G-6 Hedgerow Data'!$AN$2:$AZ$2,0))),"")</f>
        <v/>
      </c>
      <c r="O232" s="363" t="str">
        <f t="shared" si="26"/>
        <v/>
      </c>
      <c r="P232" s="417" t="str">
        <f>IF(B232="","",VLOOKUP(B232,'B-1 On-Site Hedge Baseline'!$B$10:T477,16,FALSE))</f>
        <v/>
      </c>
      <c r="Q232" s="362" t="str">
        <f>IF(M232="","",VLOOKUP(M232,'G-6 Hedgerow Data'!$B$2:$AG$15,2,FALSE))</f>
        <v/>
      </c>
      <c r="R232" s="363" t="str">
        <f>IF(M232="","",VLOOKUP(M232,'G-6 Hedgerow Data'!$B$2:$AG$15,3,FALSE))</f>
        <v/>
      </c>
      <c r="S232" s="125"/>
      <c r="T232" s="401" t="str">
        <f>IFERROR(VLOOKUP(S232,'G-1 All Habitats'!$Z$2:$AA$9,2,FALSE),"")</f>
        <v/>
      </c>
      <c r="U232" s="122"/>
      <c r="V232" s="382" t="str">
        <f>IF(U232="","",IF(VLOOKUP(U232,'G-3 Multipliers'!$L$3:$N$6,2,FALSE)=0,"Spatial Data Missing ⚠",VLOOKUP(U232,'G-3 Multipliers'!$L$3:$N$6,2,FALSE)))</f>
        <v/>
      </c>
      <c r="W232" s="386" t="str">
        <f>IF(U232="","",IF(VLOOKUP(U232,'G-3 Multipliers'!$L$3:$N$6,3,FALSE)=0,"Spatial Data Missing ⚠",VLOOKUP(U232,'G-3 Multipliers'!$L$3:$N$6,3,FALSE)))</f>
        <v/>
      </c>
      <c r="X232" s="362" t="str">
        <f>IFERROR(IF(OR(LEFT(O232,5)="Error",LEFT(N232,5)="Error",T232="Error"),"Check Data ⚠",IF(F232&lt;R232,INDEX('G-6 Hedgerow Data'!$S$3:$AE$14,MATCH(C232,'G-6 Hedgerow Data'!$B$3:$B$14,0),MATCH(M232,'G-6 Hedgerow Data'!$S$2:$AE$2,0)),INDEX('G-6 Hedgerow Data'!$K$3:$Q$14,MATCH(M232,'G-6 Hedgerow Data'!$B$3:$B$14,0),MATCH(O232,'G-6 Hedgerow Data'!$K$2:$Q$2,0)))),"")</f>
        <v/>
      </c>
      <c r="Y232" s="159"/>
      <c r="Z232" s="159"/>
      <c r="AA232" s="370" t="str">
        <f t="shared" si="27"/>
        <v/>
      </c>
      <c r="AB232" s="383" t="str">
        <f t="shared" si="28"/>
        <v/>
      </c>
      <c r="AC232" s="384" t="str">
        <f t="shared" si="24"/>
        <v/>
      </c>
      <c r="AD232" s="398" t="str">
        <f>IF(M232="","",VLOOKUP(M232,'G-6 Hedgerow Data'!$B$3:$AG$15,31,FALSE))</f>
        <v/>
      </c>
      <c r="AE232" s="370" t="str">
        <f t="shared" si="29"/>
        <v/>
      </c>
      <c r="AF232" s="370" t="str">
        <f t="shared" si="30"/>
        <v/>
      </c>
      <c r="AG232" s="386" t="str">
        <f>IFERROR(IF(O232="","",VLOOKUP(AD232,'G-3 Multipliers'!$P$3:$Q$6,2,FALSE)),"")</f>
        <v/>
      </c>
      <c r="AH232" s="376" t="str">
        <f t="shared" si="25"/>
        <v/>
      </c>
      <c r="AI232" s="188"/>
      <c r="AJ232" s="118"/>
      <c r="AK232" s="120"/>
      <c r="AT232" s="30" t="str">
        <f>IFERROR(INDEX('G-6 Hedgerow Data'!$BJ$3:$BJ$15,MATCH(M232,'G-6 Hedgerow Data'!$B$3:$B$15,0)),"")</f>
        <v/>
      </c>
    </row>
    <row r="233" spans="2:46" ht="15">
      <c r="B233" s="392" t="str">
        <f>'B-1 On-Site Hedge Baseline'!AK231</f>
        <v/>
      </c>
      <c r="C233" s="382" t="str">
        <f>IF(B233="","",IF(ISNA(VLOOKUP($B233,'B-1 On-Site Hedge Baseline'!$B$1:$L$257,3,FALSE)),"",(VLOOKUP($B233,'B-1 On-Site Hedge Baseline'!$B$1:$L$257,3,FALSE))))</f>
        <v/>
      </c>
      <c r="D233" s="382" t="str">
        <f>IF(B233="","",IF(ISNA(VLOOKUP($B233,'B-1 On-Site Hedge Baseline'!$B$1:$L$257,4,FALSE)),"",(VLOOKUP($B233,'B-1 On-Site Hedge Baseline'!$B$1:$L$257,4,FALSE))))</f>
        <v/>
      </c>
      <c r="E233" s="382" t="str">
        <f>IF(B233="","",IF(ISNA(VLOOKUP($B233,'B-1 On-Site Hedge Baseline'!$B$1:$L$257,5,FALSE)),"",(VLOOKUP($B233,'B-1 On-Site Hedge Baseline'!$B$1:$L$257,5,FALSE))))</f>
        <v/>
      </c>
      <c r="F233" s="382" t="str">
        <f>IF(B233="","",IF(ISNA(VLOOKUP($B233,'B-1 On-Site Hedge Baseline'!$B$1:$L$257,6,FALSE)),"",(VLOOKUP($B233,'B-1 On-Site Hedge Baseline'!$B$1:$L$257,6,FALSE))))</f>
        <v/>
      </c>
      <c r="G233" s="382" t="str">
        <f>IF(B233="","",IF(ISNA(VLOOKUP($B233,'B-1 On-Site Hedge Baseline'!$B$1:$L$257,7,FALSE)),"",(VLOOKUP($B233,'B-1 On-Site Hedge Baseline'!$B$1:$L$257,7,FALSE))))</f>
        <v/>
      </c>
      <c r="H233" s="382" t="str">
        <f>IF(B233="","",IF(ISNA(VLOOKUP($B233,'B-1 On-Site Hedge Baseline'!$B$1:$L$257,8,FALSE)),"",(VLOOKUP($B233,'B-1 On-Site Hedge Baseline'!$B$1:$L$257,8,FALSE))))</f>
        <v/>
      </c>
      <c r="I233" s="382" t="str">
        <f>IF(B233="","",IF(ISNA(VLOOKUP($B233,'B-1 On-Site Hedge Baseline'!$B$1:$L$257,10,FALSE)),"",(VLOOKUP($B233,'B-1 On-Site Hedge Baseline'!$B$1:$L$257,10,FALSE))))</f>
        <v/>
      </c>
      <c r="J233" s="382" t="str">
        <f>IF(B233="","",IF(ISNA(VLOOKUP($B233,'B-1 On-Site Hedge Baseline'!$B$1:$L$257,11,FALSE)),"",(VLOOKUP($B233,'B-1 On-Site Hedge Baseline'!$B$1:$L$257,11,FALSE))))</f>
        <v/>
      </c>
      <c r="K233" s="382" t="str">
        <f>IF(B233="","",IF(ISNA(VLOOKUP($B233,'B-1 On-Site Hedge Baseline'!$B$1:$U$257,13,FALSE)),"",(VLOOKUP($B233,'B-1 On-Site Hedge Baseline'!$B$1:$U$257,13,FALSE))))</f>
        <v/>
      </c>
      <c r="L233" s="386" t="str">
        <f>IF(B233="","",IF(ISNA(VLOOKUP($B233,'B-1 On-Site Hedge Baseline'!$B$1:$U$257,12,FALSE)),"",(VLOOKUP($B233,'B-1 On-Site Hedge Baseline'!$B$1:$U$257,12,FALSE))))</f>
        <v/>
      </c>
      <c r="M233" s="315" t="str">
        <f t="shared" si="31"/>
        <v/>
      </c>
      <c r="N233" s="362" t="str">
        <f>IFERROR(IF(B233="","",INDEX('G-6 Hedgerow Data'!$AN$3:$AZ$15,MATCH(C233,'G-6 Hedgerow Data'!$AM$3:$AM$15,0),MATCH(M233,'G-6 Hedgerow Data'!$AN$2:$AZ$2,0))),"")</f>
        <v/>
      </c>
      <c r="O233" s="363" t="str">
        <f t="shared" si="26"/>
        <v/>
      </c>
      <c r="P233" s="417" t="str">
        <f>IF(B233="","",VLOOKUP(B233,'B-1 On-Site Hedge Baseline'!$B$10:T478,16,FALSE))</f>
        <v/>
      </c>
      <c r="Q233" s="362" t="str">
        <f>IF(M233="","",VLOOKUP(M233,'G-6 Hedgerow Data'!$B$2:$AG$15,2,FALSE))</f>
        <v/>
      </c>
      <c r="R233" s="363" t="str">
        <f>IF(M233="","",VLOOKUP(M233,'G-6 Hedgerow Data'!$B$2:$AG$15,3,FALSE))</f>
        <v/>
      </c>
      <c r="S233" s="125"/>
      <c r="T233" s="401" t="str">
        <f>IFERROR(VLOOKUP(S233,'G-1 All Habitats'!$Z$2:$AA$9,2,FALSE),"")</f>
        <v/>
      </c>
      <c r="U233" s="122"/>
      <c r="V233" s="382" t="str">
        <f>IF(U233="","",IF(VLOOKUP(U233,'G-3 Multipliers'!$L$3:$N$6,2,FALSE)=0,"Spatial Data Missing ⚠",VLOOKUP(U233,'G-3 Multipliers'!$L$3:$N$6,2,FALSE)))</f>
        <v/>
      </c>
      <c r="W233" s="386" t="str">
        <f>IF(U233="","",IF(VLOOKUP(U233,'G-3 Multipliers'!$L$3:$N$6,3,FALSE)=0,"Spatial Data Missing ⚠",VLOOKUP(U233,'G-3 Multipliers'!$L$3:$N$6,3,FALSE)))</f>
        <v/>
      </c>
      <c r="X233" s="362" t="str">
        <f>IFERROR(IF(OR(LEFT(O233,5)="Error",LEFT(N233,5)="Error",T233="Error"),"Check Data ⚠",IF(F233&lt;R233,INDEX('G-6 Hedgerow Data'!$S$3:$AE$14,MATCH(C233,'G-6 Hedgerow Data'!$B$3:$B$14,0),MATCH(M233,'G-6 Hedgerow Data'!$S$2:$AE$2,0)),INDEX('G-6 Hedgerow Data'!$K$3:$Q$14,MATCH(M233,'G-6 Hedgerow Data'!$B$3:$B$14,0),MATCH(O233,'G-6 Hedgerow Data'!$K$2:$Q$2,0)))),"")</f>
        <v/>
      </c>
      <c r="Y233" s="159"/>
      <c r="Z233" s="159"/>
      <c r="AA233" s="370" t="str">
        <f t="shared" si="27"/>
        <v/>
      </c>
      <c r="AB233" s="383" t="str">
        <f t="shared" si="28"/>
        <v/>
      </c>
      <c r="AC233" s="384" t="str">
        <f t="shared" si="24"/>
        <v/>
      </c>
      <c r="AD233" s="398" t="str">
        <f>IF(M233="","",VLOOKUP(M233,'G-6 Hedgerow Data'!$B$3:$AG$15,31,FALSE))</f>
        <v/>
      </c>
      <c r="AE233" s="370" t="str">
        <f t="shared" si="29"/>
        <v/>
      </c>
      <c r="AF233" s="370" t="str">
        <f t="shared" si="30"/>
        <v/>
      </c>
      <c r="AG233" s="386" t="str">
        <f>IFERROR(IF(O233="","",VLOOKUP(AD233,'G-3 Multipliers'!$P$3:$Q$6,2,FALSE)),"")</f>
        <v/>
      </c>
      <c r="AH233" s="376" t="str">
        <f t="shared" si="25"/>
        <v/>
      </c>
      <c r="AI233" s="188"/>
      <c r="AJ233" s="118"/>
      <c r="AK233" s="120"/>
      <c r="AT233" s="30" t="str">
        <f>IFERROR(INDEX('G-6 Hedgerow Data'!$BJ$3:$BJ$15,MATCH(M233,'G-6 Hedgerow Data'!$B$3:$B$15,0)),"")</f>
        <v/>
      </c>
    </row>
    <row r="234" spans="2:46" ht="15">
      <c r="B234" s="392" t="str">
        <f>'B-1 On-Site Hedge Baseline'!AK232</f>
        <v/>
      </c>
      <c r="C234" s="382" t="str">
        <f>IF(B234="","",IF(ISNA(VLOOKUP($B234,'B-1 On-Site Hedge Baseline'!$B$1:$L$257,3,FALSE)),"",(VLOOKUP($B234,'B-1 On-Site Hedge Baseline'!$B$1:$L$257,3,FALSE))))</f>
        <v/>
      </c>
      <c r="D234" s="382" t="str">
        <f>IF(B234="","",IF(ISNA(VLOOKUP($B234,'B-1 On-Site Hedge Baseline'!$B$1:$L$257,4,FALSE)),"",(VLOOKUP($B234,'B-1 On-Site Hedge Baseline'!$B$1:$L$257,4,FALSE))))</f>
        <v/>
      </c>
      <c r="E234" s="382" t="str">
        <f>IF(B234="","",IF(ISNA(VLOOKUP($B234,'B-1 On-Site Hedge Baseline'!$B$1:$L$257,5,FALSE)),"",(VLOOKUP($B234,'B-1 On-Site Hedge Baseline'!$B$1:$L$257,5,FALSE))))</f>
        <v/>
      </c>
      <c r="F234" s="382" t="str">
        <f>IF(B234="","",IF(ISNA(VLOOKUP($B234,'B-1 On-Site Hedge Baseline'!$B$1:$L$257,6,FALSE)),"",(VLOOKUP($B234,'B-1 On-Site Hedge Baseline'!$B$1:$L$257,6,FALSE))))</f>
        <v/>
      </c>
      <c r="G234" s="382" t="str">
        <f>IF(B234="","",IF(ISNA(VLOOKUP($B234,'B-1 On-Site Hedge Baseline'!$B$1:$L$257,7,FALSE)),"",(VLOOKUP($B234,'B-1 On-Site Hedge Baseline'!$B$1:$L$257,7,FALSE))))</f>
        <v/>
      </c>
      <c r="H234" s="382" t="str">
        <f>IF(B234="","",IF(ISNA(VLOOKUP($B234,'B-1 On-Site Hedge Baseline'!$B$1:$L$257,8,FALSE)),"",(VLOOKUP($B234,'B-1 On-Site Hedge Baseline'!$B$1:$L$257,8,FALSE))))</f>
        <v/>
      </c>
      <c r="I234" s="382" t="str">
        <f>IF(B234="","",IF(ISNA(VLOOKUP($B234,'B-1 On-Site Hedge Baseline'!$B$1:$L$257,10,FALSE)),"",(VLOOKUP($B234,'B-1 On-Site Hedge Baseline'!$B$1:$L$257,10,FALSE))))</f>
        <v/>
      </c>
      <c r="J234" s="382" t="str">
        <f>IF(B234="","",IF(ISNA(VLOOKUP($B234,'B-1 On-Site Hedge Baseline'!$B$1:$L$257,11,FALSE)),"",(VLOOKUP($B234,'B-1 On-Site Hedge Baseline'!$B$1:$L$257,11,FALSE))))</f>
        <v/>
      </c>
      <c r="K234" s="382" t="str">
        <f>IF(B234="","",IF(ISNA(VLOOKUP($B234,'B-1 On-Site Hedge Baseline'!$B$1:$U$257,13,FALSE)),"",(VLOOKUP($B234,'B-1 On-Site Hedge Baseline'!$B$1:$U$257,13,FALSE))))</f>
        <v/>
      </c>
      <c r="L234" s="386" t="str">
        <f>IF(B234="","",IF(ISNA(VLOOKUP($B234,'B-1 On-Site Hedge Baseline'!$B$1:$U$257,12,FALSE)),"",(VLOOKUP($B234,'B-1 On-Site Hedge Baseline'!$B$1:$U$257,12,FALSE))))</f>
        <v/>
      </c>
      <c r="M234" s="315" t="str">
        <f t="shared" si="31"/>
        <v/>
      </c>
      <c r="N234" s="362" t="str">
        <f>IFERROR(IF(B234="","",INDEX('G-6 Hedgerow Data'!$AN$3:$AZ$15,MATCH(C234,'G-6 Hedgerow Data'!$AM$3:$AM$15,0),MATCH(M234,'G-6 Hedgerow Data'!$AN$2:$AZ$2,0))),"")</f>
        <v/>
      </c>
      <c r="O234" s="363" t="str">
        <f t="shared" si="26"/>
        <v/>
      </c>
      <c r="P234" s="417" t="str">
        <f>IF(B234="","",VLOOKUP(B234,'B-1 On-Site Hedge Baseline'!$B$10:T479,16,FALSE))</f>
        <v/>
      </c>
      <c r="Q234" s="362" t="str">
        <f>IF(M234="","",VLOOKUP(M234,'G-6 Hedgerow Data'!$B$2:$AG$15,2,FALSE))</f>
        <v/>
      </c>
      <c r="R234" s="363" t="str">
        <f>IF(M234="","",VLOOKUP(M234,'G-6 Hedgerow Data'!$B$2:$AG$15,3,FALSE))</f>
        <v/>
      </c>
      <c r="S234" s="125"/>
      <c r="T234" s="401" t="str">
        <f>IFERROR(VLOOKUP(S234,'G-1 All Habitats'!$Z$2:$AA$9,2,FALSE),"")</f>
        <v/>
      </c>
      <c r="U234" s="122"/>
      <c r="V234" s="382" t="str">
        <f>IF(U234="","",IF(VLOOKUP(U234,'G-3 Multipliers'!$L$3:$N$6,2,FALSE)=0,"Spatial Data Missing ⚠",VLOOKUP(U234,'G-3 Multipliers'!$L$3:$N$6,2,FALSE)))</f>
        <v/>
      </c>
      <c r="W234" s="386" t="str">
        <f>IF(U234="","",IF(VLOOKUP(U234,'G-3 Multipliers'!$L$3:$N$6,3,FALSE)=0,"Spatial Data Missing ⚠",VLOOKUP(U234,'G-3 Multipliers'!$L$3:$N$6,3,FALSE)))</f>
        <v/>
      </c>
      <c r="X234" s="362" t="str">
        <f>IFERROR(IF(OR(LEFT(O234,5)="Error",LEFT(N234,5)="Error",T234="Error"),"Check Data ⚠",IF(F234&lt;R234,INDEX('G-6 Hedgerow Data'!$S$3:$AE$14,MATCH(C234,'G-6 Hedgerow Data'!$B$3:$B$14,0),MATCH(M234,'G-6 Hedgerow Data'!$S$2:$AE$2,0)),INDEX('G-6 Hedgerow Data'!$K$3:$Q$14,MATCH(M234,'G-6 Hedgerow Data'!$B$3:$B$14,0),MATCH(O234,'G-6 Hedgerow Data'!$K$2:$Q$2,0)))),"")</f>
        <v/>
      </c>
      <c r="Y234" s="159"/>
      <c r="Z234" s="159"/>
      <c r="AA234" s="370" t="str">
        <f t="shared" si="27"/>
        <v/>
      </c>
      <c r="AB234" s="383" t="str">
        <f t="shared" si="28"/>
        <v/>
      </c>
      <c r="AC234" s="384" t="str">
        <f t="shared" si="24"/>
        <v/>
      </c>
      <c r="AD234" s="398" t="str">
        <f>IF(M234="","",VLOOKUP(M234,'G-6 Hedgerow Data'!$B$3:$AG$15,31,FALSE))</f>
        <v/>
      </c>
      <c r="AE234" s="370" t="str">
        <f t="shared" si="29"/>
        <v/>
      </c>
      <c r="AF234" s="370" t="str">
        <f t="shared" si="30"/>
        <v/>
      </c>
      <c r="AG234" s="386" t="str">
        <f>IFERROR(IF(O234="","",VLOOKUP(AD234,'G-3 Multipliers'!$P$3:$Q$6,2,FALSE)),"")</f>
        <v/>
      </c>
      <c r="AH234" s="376" t="str">
        <f t="shared" si="25"/>
        <v/>
      </c>
      <c r="AI234" s="188"/>
      <c r="AJ234" s="118"/>
      <c r="AK234" s="120"/>
      <c r="AT234" s="30" t="str">
        <f>IFERROR(INDEX('G-6 Hedgerow Data'!$BJ$3:$BJ$15,MATCH(M234,'G-6 Hedgerow Data'!$B$3:$B$15,0)),"")</f>
        <v/>
      </c>
    </row>
    <row r="235" spans="2:46" ht="15">
      <c r="B235" s="392" t="str">
        <f>'B-1 On-Site Hedge Baseline'!AK233</f>
        <v/>
      </c>
      <c r="C235" s="382" t="str">
        <f>IF(B235="","",IF(ISNA(VLOOKUP($B235,'B-1 On-Site Hedge Baseline'!$B$1:$L$257,3,FALSE)),"",(VLOOKUP($B235,'B-1 On-Site Hedge Baseline'!$B$1:$L$257,3,FALSE))))</f>
        <v/>
      </c>
      <c r="D235" s="382" t="str">
        <f>IF(B235="","",IF(ISNA(VLOOKUP($B235,'B-1 On-Site Hedge Baseline'!$B$1:$L$257,4,FALSE)),"",(VLOOKUP($B235,'B-1 On-Site Hedge Baseline'!$B$1:$L$257,4,FALSE))))</f>
        <v/>
      </c>
      <c r="E235" s="382" t="str">
        <f>IF(B235="","",IF(ISNA(VLOOKUP($B235,'B-1 On-Site Hedge Baseline'!$B$1:$L$257,5,FALSE)),"",(VLOOKUP($B235,'B-1 On-Site Hedge Baseline'!$B$1:$L$257,5,FALSE))))</f>
        <v/>
      </c>
      <c r="F235" s="382" t="str">
        <f>IF(B235="","",IF(ISNA(VLOOKUP($B235,'B-1 On-Site Hedge Baseline'!$B$1:$L$257,6,FALSE)),"",(VLOOKUP($B235,'B-1 On-Site Hedge Baseline'!$B$1:$L$257,6,FALSE))))</f>
        <v/>
      </c>
      <c r="G235" s="382" t="str">
        <f>IF(B235="","",IF(ISNA(VLOOKUP($B235,'B-1 On-Site Hedge Baseline'!$B$1:$L$257,7,FALSE)),"",(VLOOKUP($B235,'B-1 On-Site Hedge Baseline'!$B$1:$L$257,7,FALSE))))</f>
        <v/>
      </c>
      <c r="H235" s="382" t="str">
        <f>IF(B235="","",IF(ISNA(VLOOKUP($B235,'B-1 On-Site Hedge Baseline'!$B$1:$L$257,8,FALSE)),"",(VLOOKUP($B235,'B-1 On-Site Hedge Baseline'!$B$1:$L$257,8,FALSE))))</f>
        <v/>
      </c>
      <c r="I235" s="382" t="str">
        <f>IF(B235="","",IF(ISNA(VLOOKUP($B235,'B-1 On-Site Hedge Baseline'!$B$1:$L$257,10,FALSE)),"",(VLOOKUP($B235,'B-1 On-Site Hedge Baseline'!$B$1:$L$257,10,FALSE))))</f>
        <v/>
      </c>
      <c r="J235" s="382" t="str">
        <f>IF(B235="","",IF(ISNA(VLOOKUP($B235,'B-1 On-Site Hedge Baseline'!$B$1:$L$257,11,FALSE)),"",(VLOOKUP($B235,'B-1 On-Site Hedge Baseline'!$B$1:$L$257,11,FALSE))))</f>
        <v/>
      </c>
      <c r="K235" s="382" t="str">
        <f>IF(B235="","",IF(ISNA(VLOOKUP($B235,'B-1 On-Site Hedge Baseline'!$B$1:$U$257,13,FALSE)),"",(VLOOKUP($B235,'B-1 On-Site Hedge Baseline'!$B$1:$U$257,13,FALSE))))</f>
        <v/>
      </c>
      <c r="L235" s="386" t="str">
        <f>IF(B235="","",IF(ISNA(VLOOKUP($B235,'B-1 On-Site Hedge Baseline'!$B$1:$U$257,12,FALSE)),"",(VLOOKUP($B235,'B-1 On-Site Hedge Baseline'!$B$1:$U$257,12,FALSE))))</f>
        <v/>
      </c>
      <c r="M235" s="315" t="str">
        <f t="shared" si="31"/>
        <v/>
      </c>
      <c r="N235" s="362" t="str">
        <f>IFERROR(IF(B235="","",INDEX('G-6 Hedgerow Data'!$AN$3:$AZ$15,MATCH(C235,'G-6 Hedgerow Data'!$AM$3:$AM$15,0),MATCH(M235,'G-6 Hedgerow Data'!$AN$2:$AZ$2,0))),"")</f>
        <v/>
      </c>
      <c r="O235" s="363" t="str">
        <f t="shared" si="26"/>
        <v/>
      </c>
      <c r="P235" s="417" t="str">
        <f>IF(B235="","",VLOOKUP(B235,'B-1 On-Site Hedge Baseline'!$B$10:T480,16,FALSE))</f>
        <v/>
      </c>
      <c r="Q235" s="362" t="str">
        <f>IF(M235="","",VLOOKUP(M235,'G-6 Hedgerow Data'!$B$2:$AG$15,2,FALSE))</f>
        <v/>
      </c>
      <c r="R235" s="363" t="str">
        <f>IF(M235="","",VLOOKUP(M235,'G-6 Hedgerow Data'!$B$2:$AG$15,3,FALSE))</f>
        <v/>
      </c>
      <c r="S235" s="125"/>
      <c r="T235" s="401" t="str">
        <f>IFERROR(VLOOKUP(S235,'G-1 All Habitats'!$Z$2:$AA$9,2,FALSE),"")</f>
        <v/>
      </c>
      <c r="U235" s="122"/>
      <c r="V235" s="382" t="str">
        <f>IF(U235="","",IF(VLOOKUP(U235,'G-3 Multipliers'!$L$3:$N$6,2,FALSE)=0,"Spatial Data Missing ⚠",VLOOKUP(U235,'G-3 Multipliers'!$L$3:$N$6,2,FALSE)))</f>
        <v/>
      </c>
      <c r="W235" s="386" t="str">
        <f>IF(U235="","",IF(VLOOKUP(U235,'G-3 Multipliers'!$L$3:$N$6,3,FALSE)=0,"Spatial Data Missing ⚠",VLOOKUP(U235,'G-3 Multipliers'!$L$3:$N$6,3,FALSE)))</f>
        <v/>
      </c>
      <c r="X235" s="362" t="str">
        <f>IFERROR(IF(OR(LEFT(O235,5)="Error",LEFT(N235,5)="Error",T235="Error"),"Check Data ⚠",IF(F235&lt;R235,INDEX('G-6 Hedgerow Data'!$S$3:$AE$14,MATCH(C235,'G-6 Hedgerow Data'!$B$3:$B$14,0),MATCH(M235,'G-6 Hedgerow Data'!$S$2:$AE$2,0)),INDEX('G-6 Hedgerow Data'!$K$3:$Q$14,MATCH(M235,'G-6 Hedgerow Data'!$B$3:$B$14,0),MATCH(O235,'G-6 Hedgerow Data'!$K$2:$Q$2,0)))),"")</f>
        <v/>
      </c>
      <c r="Y235" s="159"/>
      <c r="Z235" s="159"/>
      <c r="AA235" s="370" t="str">
        <f t="shared" si="27"/>
        <v/>
      </c>
      <c r="AB235" s="383" t="str">
        <f t="shared" si="28"/>
        <v/>
      </c>
      <c r="AC235" s="384" t="str">
        <f t="shared" si="24"/>
        <v/>
      </c>
      <c r="AD235" s="398" t="str">
        <f>IF(M235="","",VLOOKUP(M235,'G-6 Hedgerow Data'!$B$3:$AG$15,31,FALSE))</f>
        <v/>
      </c>
      <c r="AE235" s="370" t="str">
        <f t="shared" si="29"/>
        <v/>
      </c>
      <c r="AF235" s="370" t="str">
        <f t="shared" si="30"/>
        <v/>
      </c>
      <c r="AG235" s="386" t="str">
        <f>IFERROR(IF(O235="","",VLOOKUP(AD235,'G-3 Multipliers'!$P$3:$Q$6,2,FALSE)),"")</f>
        <v/>
      </c>
      <c r="AH235" s="376" t="str">
        <f t="shared" si="25"/>
        <v/>
      </c>
      <c r="AI235" s="188"/>
      <c r="AJ235" s="118"/>
      <c r="AK235" s="120"/>
      <c r="AT235" s="30" t="str">
        <f>IFERROR(INDEX('G-6 Hedgerow Data'!$BJ$3:$BJ$15,MATCH(M235,'G-6 Hedgerow Data'!$B$3:$B$15,0)),"")</f>
        <v/>
      </c>
    </row>
    <row r="236" spans="2:46" ht="15">
      <c r="B236" s="392" t="str">
        <f>'B-1 On-Site Hedge Baseline'!AK234</f>
        <v/>
      </c>
      <c r="C236" s="382" t="str">
        <f>IF(B236="","",IF(ISNA(VLOOKUP($B236,'B-1 On-Site Hedge Baseline'!$B$1:$L$257,3,FALSE)),"",(VLOOKUP($B236,'B-1 On-Site Hedge Baseline'!$B$1:$L$257,3,FALSE))))</f>
        <v/>
      </c>
      <c r="D236" s="382" t="str">
        <f>IF(B236="","",IF(ISNA(VLOOKUP($B236,'B-1 On-Site Hedge Baseline'!$B$1:$L$257,4,FALSE)),"",(VLOOKUP($B236,'B-1 On-Site Hedge Baseline'!$B$1:$L$257,4,FALSE))))</f>
        <v/>
      </c>
      <c r="E236" s="382" t="str">
        <f>IF(B236="","",IF(ISNA(VLOOKUP($B236,'B-1 On-Site Hedge Baseline'!$B$1:$L$257,5,FALSE)),"",(VLOOKUP($B236,'B-1 On-Site Hedge Baseline'!$B$1:$L$257,5,FALSE))))</f>
        <v/>
      </c>
      <c r="F236" s="382" t="str">
        <f>IF(B236="","",IF(ISNA(VLOOKUP($B236,'B-1 On-Site Hedge Baseline'!$B$1:$L$257,6,FALSE)),"",(VLOOKUP($B236,'B-1 On-Site Hedge Baseline'!$B$1:$L$257,6,FALSE))))</f>
        <v/>
      </c>
      <c r="G236" s="382" t="str">
        <f>IF(B236="","",IF(ISNA(VLOOKUP($B236,'B-1 On-Site Hedge Baseline'!$B$1:$L$257,7,FALSE)),"",(VLOOKUP($B236,'B-1 On-Site Hedge Baseline'!$B$1:$L$257,7,FALSE))))</f>
        <v/>
      </c>
      <c r="H236" s="382" t="str">
        <f>IF(B236="","",IF(ISNA(VLOOKUP($B236,'B-1 On-Site Hedge Baseline'!$B$1:$L$257,8,FALSE)),"",(VLOOKUP($B236,'B-1 On-Site Hedge Baseline'!$B$1:$L$257,8,FALSE))))</f>
        <v/>
      </c>
      <c r="I236" s="382" t="str">
        <f>IF(B236="","",IF(ISNA(VLOOKUP($B236,'B-1 On-Site Hedge Baseline'!$B$1:$L$257,10,FALSE)),"",(VLOOKUP($B236,'B-1 On-Site Hedge Baseline'!$B$1:$L$257,10,FALSE))))</f>
        <v/>
      </c>
      <c r="J236" s="382" t="str">
        <f>IF(B236="","",IF(ISNA(VLOOKUP($B236,'B-1 On-Site Hedge Baseline'!$B$1:$L$257,11,FALSE)),"",(VLOOKUP($B236,'B-1 On-Site Hedge Baseline'!$B$1:$L$257,11,FALSE))))</f>
        <v/>
      </c>
      <c r="K236" s="382" t="str">
        <f>IF(B236="","",IF(ISNA(VLOOKUP($B236,'B-1 On-Site Hedge Baseline'!$B$1:$U$257,13,FALSE)),"",(VLOOKUP($B236,'B-1 On-Site Hedge Baseline'!$B$1:$U$257,13,FALSE))))</f>
        <v/>
      </c>
      <c r="L236" s="386" t="str">
        <f>IF(B236="","",IF(ISNA(VLOOKUP($B236,'B-1 On-Site Hedge Baseline'!$B$1:$U$257,12,FALSE)),"",(VLOOKUP($B236,'B-1 On-Site Hedge Baseline'!$B$1:$U$257,12,FALSE))))</f>
        <v/>
      </c>
      <c r="M236" s="315" t="str">
        <f t="shared" si="31"/>
        <v/>
      </c>
      <c r="N236" s="362" t="str">
        <f>IFERROR(IF(B236="","",INDEX('G-6 Hedgerow Data'!$AN$3:$AZ$15,MATCH(C236,'G-6 Hedgerow Data'!$AM$3:$AM$15,0),MATCH(M236,'G-6 Hedgerow Data'!$AN$2:$AZ$2,0))),"")</f>
        <v/>
      </c>
      <c r="O236" s="363" t="str">
        <f t="shared" si="26"/>
        <v/>
      </c>
      <c r="P236" s="417" t="str">
        <f>IF(B236="","",VLOOKUP(B236,'B-1 On-Site Hedge Baseline'!$B$10:T481,16,FALSE))</f>
        <v/>
      </c>
      <c r="Q236" s="362" t="str">
        <f>IF(M236="","",VLOOKUP(M236,'G-6 Hedgerow Data'!$B$2:$AG$15,2,FALSE))</f>
        <v/>
      </c>
      <c r="R236" s="363" t="str">
        <f>IF(M236="","",VLOOKUP(M236,'G-6 Hedgerow Data'!$B$2:$AG$15,3,FALSE))</f>
        <v/>
      </c>
      <c r="S236" s="125"/>
      <c r="T236" s="401" t="str">
        <f>IFERROR(VLOOKUP(S236,'G-1 All Habitats'!$Z$2:$AA$9,2,FALSE),"")</f>
        <v/>
      </c>
      <c r="U236" s="122"/>
      <c r="V236" s="382" t="str">
        <f>IF(U236="","",IF(VLOOKUP(U236,'G-3 Multipliers'!$L$3:$N$6,2,FALSE)=0,"Spatial Data Missing ⚠",VLOOKUP(U236,'G-3 Multipliers'!$L$3:$N$6,2,FALSE)))</f>
        <v/>
      </c>
      <c r="W236" s="386" t="str">
        <f>IF(U236="","",IF(VLOOKUP(U236,'G-3 Multipliers'!$L$3:$N$6,3,FALSE)=0,"Spatial Data Missing ⚠",VLOOKUP(U236,'G-3 Multipliers'!$L$3:$N$6,3,FALSE)))</f>
        <v/>
      </c>
      <c r="X236" s="362" t="str">
        <f>IFERROR(IF(OR(LEFT(O236,5)="Error",LEFT(N236,5)="Error",T236="Error"),"Check Data ⚠",IF(F236&lt;R236,INDEX('G-6 Hedgerow Data'!$S$3:$AE$14,MATCH(C236,'G-6 Hedgerow Data'!$B$3:$B$14,0),MATCH(M236,'G-6 Hedgerow Data'!$S$2:$AE$2,0)),INDEX('G-6 Hedgerow Data'!$K$3:$Q$14,MATCH(M236,'G-6 Hedgerow Data'!$B$3:$B$14,0),MATCH(O236,'G-6 Hedgerow Data'!$K$2:$Q$2,0)))),"")</f>
        <v/>
      </c>
      <c r="Y236" s="159"/>
      <c r="Z236" s="159"/>
      <c r="AA236" s="370" t="str">
        <f t="shared" si="27"/>
        <v/>
      </c>
      <c r="AB236" s="383" t="str">
        <f t="shared" si="28"/>
        <v/>
      </c>
      <c r="AC236" s="384" t="str">
        <f t="shared" si="24"/>
        <v/>
      </c>
      <c r="AD236" s="398" t="str">
        <f>IF(M236="","",VLOOKUP(M236,'G-6 Hedgerow Data'!$B$3:$AG$15,31,FALSE))</f>
        <v/>
      </c>
      <c r="AE236" s="370" t="str">
        <f t="shared" si="29"/>
        <v/>
      </c>
      <c r="AF236" s="370" t="str">
        <f t="shared" si="30"/>
        <v/>
      </c>
      <c r="AG236" s="386" t="str">
        <f>IFERROR(IF(O236="","",VLOOKUP(AD236,'G-3 Multipliers'!$P$3:$Q$6,2,FALSE)),"")</f>
        <v/>
      </c>
      <c r="AH236" s="376" t="str">
        <f t="shared" si="25"/>
        <v/>
      </c>
      <c r="AI236" s="188"/>
      <c r="AJ236" s="118"/>
      <c r="AK236" s="120"/>
      <c r="AT236" s="30" t="str">
        <f>IFERROR(INDEX('G-6 Hedgerow Data'!$BJ$3:$BJ$15,MATCH(M236,'G-6 Hedgerow Data'!$B$3:$B$15,0)),"")</f>
        <v/>
      </c>
    </row>
    <row r="237" spans="2:46" ht="15">
      <c r="B237" s="392" t="str">
        <f>'B-1 On-Site Hedge Baseline'!AK235</f>
        <v/>
      </c>
      <c r="C237" s="382" t="str">
        <f>IF(B237="","",IF(ISNA(VLOOKUP($B237,'B-1 On-Site Hedge Baseline'!$B$1:$L$257,3,FALSE)),"",(VLOOKUP($B237,'B-1 On-Site Hedge Baseline'!$B$1:$L$257,3,FALSE))))</f>
        <v/>
      </c>
      <c r="D237" s="382" t="str">
        <f>IF(B237="","",IF(ISNA(VLOOKUP($B237,'B-1 On-Site Hedge Baseline'!$B$1:$L$257,4,FALSE)),"",(VLOOKUP($B237,'B-1 On-Site Hedge Baseline'!$B$1:$L$257,4,FALSE))))</f>
        <v/>
      </c>
      <c r="E237" s="382" t="str">
        <f>IF(B237="","",IF(ISNA(VLOOKUP($B237,'B-1 On-Site Hedge Baseline'!$B$1:$L$257,5,FALSE)),"",(VLOOKUP($B237,'B-1 On-Site Hedge Baseline'!$B$1:$L$257,5,FALSE))))</f>
        <v/>
      </c>
      <c r="F237" s="382" t="str">
        <f>IF(B237="","",IF(ISNA(VLOOKUP($B237,'B-1 On-Site Hedge Baseline'!$B$1:$L$257,6,FALSE)),"",(VLOOKUP($B237,'B-1 On-Site Hedge Baseline'!$B$1:$L$257,6,FALSE))))</f>
        <v/>
      </c>
      <c r="G237" s="382" t="str">
        <f>IF(B237="","",IF(ISNA(VLOOKUP($B237,'B-1 On-Site Hedge Baseline'!$B$1:$L$257,7,FALSE)),"",(VLOOKUP($B237,'B-1 On-Site Hedge Baseline'!$B$1:$L$257,7,FALSE))))</f>
        <v/>
      </c>
      <c r="H237" s="382" t="str">
        <f>IF(B237="","",IF(ISNA(VLOOKUP($B237,'B-1 On-Site Hedge Baseline'!$B$1:$L$257,8,FALSE)),"",(VLOOKUP($B237,'B-1 On-Site Hedge Baseline'!$B$1:$L$257,8,FALSE))))</f>
        <v/>
      </c>
      <c r="I237" s="382" t="str">
        <f>IF(B237="","",IF(ISNA(VLOOKUP($B237,'B-1 On-Site Hedge Baseline'!$B$1:$L$257,10,FALSE)),"",(VLOOKUP($B237,'B-1 On-Site Hedge Baseline'!$B$1:$L$257,10,FALSE))))</f>
        <v/>
      </c>
      <c r="J237" s="382" t="str">
        <f>IF(B237="","",IF(ISNA(VLOOKUP($B237,'B-1 On-Site Hedge Baseline'!$B$1:$L$257,11,FALSE)),"",(VLOOKUP($B237,'B-1 On-Site Hedge Baseline'!$B$1:$L$257,11,FALSE))))</f>
        <v/>
      </c>
      <c r="K237" s="382" t="str">
        <f>IF(B237="","",IF(ISNA(VLOOKUP($B237,'B-1 On-Site Hedge Baseline'!$B$1:$U$257,13,FALSE)),"",(VLOOKUP($B237,'B-1 On-Site Hedge Baseline'!$B$1:$U$257,13,FALSE))))</f>
        <v/>
      </c>
      <c r="L237" s="386" t="str">
        <f>IF(B237="","",IF(ISNA(VLOOKUP($B237,'B-1 On-Site Hedge Baseline'!$B$1:$U$257,12,FALSE)),"",(VLOOKUP($B237,'B-1 On-Site Hedge Baseline'!$B$1:$U$257,12,FALSE))))</f>
        <v/>
      </c>
      <c r="M237" s="315" t="str">
        <f t="shared" si="31"/>
        <v/>
      </c>
      <c r="N237" s="362" t="str">
        <f>IFERROR(IF(B237="","",INDEX('G-6 Hedgerow Data'!$AN$3:$AZ$15,MATCH(C237,'G-6 Hedgerow Data'!$AM$3:$AM$15,0),MATCH(M237,'G-6 Hedgerow Data'!$AN$2:$AZ$2,0))),"")</f>
        <v/>
      </c>
      <c r="O237" s="363" t="str">
        <f t="shared" si="26"/>
        <v/>
      </c>
      <c r="P237" s="417" t="str">
        <f>IF(B237="","",VLOOKUP(B237,'B-1 On-Site Hedge Baseline'!$B$10:T482,16,FALSE))</f>
        <v/>
      </c>
      <c r="Q237" s="362" t="str">
        <f>IF(M237="","",VLOOKUP(M237,'G-6 Hedgerow Data'!$B$2:$AG$15,2,FALSE))</f>
        <v/>
      </c>
      <c r="R237" s="363" t="str">
        <f>IF(M237="","",VLOOKUP(M237,'G-6 Hedgerow Data'!$B$2:$AG$15,3,FALSE))</f>
        <v/>
      </c>
      <c r="S237" s="125"/>
      <c r="T237" s="401" t="str">
        <f>IFERROR(VLOOKUP(S237,'G-1 All Habitats'!$Z$2:$AA$9,2,FALSE),"")</f>
        <v/>
      </c>
      <c r="U237" s="122"/>
      <c r="V237" s="382" t="str">
        <f>IF(U237="","",IF(VLOOKUP(U237,'G-3 Multipliers'!$L$3:$N$6,2,FALSE)=0,"Spatial Data Missing ⚠",VLOOKUP(U237,'G-3 Multipliers'!$L$3:$N$6,2,FALSE)))</f>
        <v/>
      </c>
      <c r="W237" s="386" t="str">
        <f>IF(U237="","",IF(VLOOKUP(U237,'G-3 Multipliers'!$L$3:$N$6,3,FALSE)=0,"Spatial Data Missing ⚠",VLOOKUP(U237,'G-3 Multipliers'!$L$3:$N$6,3,FALSE)))</f>
        <v/>
      </c>
      <c r="X237" s="362" t="str">
        <f>IFERROR(IF(OR(LEFT(O237,5)="Error",LEFT(N237,5)="Error",T237="Error"),"Check Data ⚠",IF(F237&lt;R237,INDEX('G-6 Hedgerow Data'!$S$3:$AE$14,MATCH(C237,'G-6 Hedgerow Data'!$B$3:$B$14,0),MATCH(M237,'G-6 Hedgerow Data'!$S$2:$AE$2,0)),INDEX('G-6 Hedgerow Data'!$K$3:$Q$14,MATCH(M237,'G-6 Hedgerow Data'!$B$3:$B$14,0),MATCH(O237,'G-6 Hedgerow Data'!$K$2:$Q$2,0)))),"")</f>
        <v/>
      </c>
      <c r="Y237" s="159"/>
      <c r="Z237" s="159"/>
      <c r="AA237" s="370" t="str">
        <f t="shared" si="27"/>
        <v/>
      </c>
      <c r="AB237" s="383" t="str">
        <f t="shared" si="28"/>
        <v/>
      </c>
      <c r="AC237" s="384" t="str">
        <f t="shared" si="24"/>
        <v/>
      </c>
      <c r="AD237" s="398" t="str">
        <f>IF(M237="","",VLOOKUP(M237,'G-6 Hedgerow Data'!$B$3:$AG$15,31,FALSE))</f>
        <v/>
      </c>
      <c r="AE237" s="370" t="str">
        <f t="shared" si="29"/>
        <v/>
      </c>
      <c r="AF237" s="370" t="str">
        <f t="shared" si="30"/>
        <v/>
      </c>
      <c r="AG237" s="386" t="str">
        <f>IFERROR(IF(O237="","",VLOOKUP(AD237,'G-3 Multipliers'!$P$3:$Q$6,2,FALSE)),"")</f>
        <v/>
      </c>
      <c r="AH237" s="376" t="str">
        <f t="shared" si="25"/>
        <v/>
      </c>
      <c r="AI237" s="188"/>
      <c r="AJ237" s="118"/>
      <c r="AK237" s="120"/>
      <c r="AT237" s="30" t="str">
        <f>IFERROR(INDEX('G-6 Hedgerow Data'!$BJ$3:$BJ$15,MATCH(M237,'G-6 Hedgerow Data'!$B$3:$B$15,0)),"")</f>
        <v/>
      </c>
    </row>
    <row r="238" spans="2:46" ht="15">
      <c r="B238" s="392" t="str">
        <f>'B-1 On-Site Hedge Baseline'!AK236</f>
        <v/>
      </c>
      <c r="C238" s="382" t="str">
        <f>IF(B238="","",IF(ISNA(VLOOKUP($B238,'B-1 On-Site Hedge Baseline'!$B$1:$L$257,3,FALSE)),"",(VLOOKUP($B238,'B-1 On-Site Hedge Baseline'!$B$1:$L$257,3,FALSE))))</f>
        <v/>
      </c>
      <c r="D238" s="382" t="str">
        <f>IF(B238="","",IF(ISNA(VLOOKUP($B238,'B-1 On-Site Hedge Baseline'!$B$1:$L$257,4,FALSE)),"",(VLOOKUP($B238,'B-1 On-Site Hedge Baseline'!$B$1:$L$257,4,FALSE))))</f>
        <v/>
      </c>
      <c r="E238" s="382" t="str">
        <f>IF(B238="","",IF(ISNA(VLOOKUP($B238,'B-1 On-Site Hedge Baseline'!$B$1:$L$257,5,FALSE)),"",(VLOOKUP($B238,'B-1 On-Site Hedge Baseline'!$B$1:$L$257,5,FALSE))))</f>
        <v/>
      </c>
      <c r="F238" s="382" t="str">
        <f>IF(B238="","",IF(ISNA(VLOOKUP($B238,'B-1 On-Site Hedge Baseline'!$B$1:$L$257,6,FALSE)),"",(VLOOKUP($B238,'B-1 On-Site Hedge Baseline'!$B$1:$L$257,6,FALSE))))</f>
        <v/>
      </c>
      <c r="G238" s="382" t="str">
        <f>IF(B238="","",IF(ISNA(VLOOKUP($B238,'B-1 On-Site Hedge Baseline'!$B$1:$L$257,7,FALSE)),"",(VLOOKUP($B238,'B-1 On-Site Hedge Baseline'!$B$1:$L$257,7,FALSE))))</f>
        <v/>
      </c>
      <c r="H238" s="382" t="str">
        <f>IF(B238="","",IF(ISNA(VLOOKUP($B238,'B-1 On-Site Hedge Baseline'!$B$1:$L$257,8,FALSE)),"",(VLOOKUP($B238,'B-1 On-Site Hedge Baseline'!$B$1:$L$257,8,FALSE))))</f>
        <v/>
      </c>
      <c r="I238" s="382" t="str">
        <f>IF(B238="","",IF(ISNA(VLOOKUP($B238,'B-1 On-Site Hedge Baseline'!$B$1:$L$257,10,FALSE)),"",(VLOOKUP($B238,'B-1 On-Site Hedge Baseline'!$B$1:$L$257,10,FALSE))))</f>
        <v/>
      </c>
      <c r="J238" s="382" t="str">
        <f>IF(B238="","",IF(ISNA(VLOOKUP($B238,'B-1 On-Site Hedge Baseline'!$B$1:$L$257,11,FALSE)),"",(VLOOKUP($B238,'B-1 On-Site Hedge Baseline'!$B$1:$L$257,11,FALSE))))</f>
        <v/>
      </c>
      <c r="K238" s="382" t="str">
        <f>IF(B238="","",IF(ISNA(VLOOKUP($B238,'B-1 On-Site Hedge Baseline'!$B$1:$U$257,13,FALSE)),"",(VLOOKUP($B238,'B-1 On-Site Hedge Baseline'!$B$1:$U$257,13,FALSE))))</f>
        <v/>
      </c>
      <c r="L238" s="386" t="str">
        <f>IF(B238="","",IF(ISNA(VLOOKUP($B238,'B-1 On-Site Hedge Baseline'!$B$1:$U$257,12,FALSE)),"",(VLOOKUP($B238,'B-1 On-Site Hedge Baseline'!$B$1:$U$257,12,FALSE))))</f>
        <v/>
      </c>
      <c r="M238" s="315" t="str">
        <f t="shared" si="31"/>
        <v/>
      </c>
      <c r="N238" s="362" t="str">
        <f>IFERROR(IF(B238="","",INDEX('G-6 Hedgerow Data'!$AN$3:$AZ$15,MATCH(C238,'G-6 Hedgerow Data'!$AM$3:$AM$15,0),MATCH(M238,'G-6 Hedgerow Data'!$AN$2:$AZ$2,0))),"")</f>
        <v/>
      </c>
      <c r="O238" s="363" t="str">
        <f t="shared" si="26"/>
        <v/>
      </c>
      <c r="P238" s="417" t="str">
        <f>IF(B238="","",VLOOKUP(B238,'B-1 On-Site Hedge Baseline'!$B$10:T483,16,FALSE))</f>
        <v/>
      </c>
      <c r="Q238" s="362" t="str">
        <f>IF(M238="","",VLOOKUP(M238,'G-6 Hedgerow Data'!$B$2:$AG$15,2,FALSE))</f>
        <v/>
      </c>
      <c r="R238" s="363" t="str">
        <f>IF(M238="","",VLOOKUP(M238,'G-6 Hedgerow Data'!$B$2:$AG$15,3,FALSE))</f>
        <v/>
      </c>
      <c r="S238" s="125"/>
      <c r="T238" s="401" t="str">
        <f>IFERROR(VLOOKUP(S238,'G-1 All Habitats'!$Z$2:$AA$9,2,FALSE),"")</f>
        <v/>
      </c>
      <c r="U238" s="122"/>
      <c r="V238" s="382" t="str">
        <f>IF(U238="","",IF(VLOOKUP(U238,'G-3 Multipliers'!$L$3:$N$6,2,FALSE)=0,"Spatial Data Missing ⚠",VLOOKUP(U238,'G-3 Multipliers'!$L$3:$N$6,2,FALSE)))</f>
        <v/>
      </c>
      <c r="W238" s="386" t="str">
        <f>IF(U238="","",IF(VLOOKUP(U238,'G-3 Multipliers'!$L$3:$N$6,3,FALSE)=0,"Spatial Data Missing ⚠",VLOOKUP(U238,'G-3 Multipliers'!$L$3:$N$6,3,FALSE)))</f>
        <v/>
      </c>
      <c r="X238" s="362" t="str">
        <f>IFERROR(IF(OR(LEFT(O238,5)="Error",LEFT(N238,5)="Error",T238="Error"),"Check Data ⚠",IF(F238&lt;R238,INDEX('G-6 Hedgerow Data'!$S$3:$AE$14,MATCH(C238,'G-6 Hedgerow Data'!$B$3:$B$14,0),MATCH(M238,'G-6 Hedgerow Data'!$S$2:$AE$2,0)),INDEX('G-6 Hedgerow Data'!$K$3:$Q$14,MATCH(M238,'G-6 Hedgerow Data'!$B$3:$B$14,0),MATCH(O238,'G-6 Hedgerow Data'!$K$2:$Q$2,0)))),"")</f>
        <v/>
      </c>
      <c r="Y238" s="159"/>
      <c r="Z238" s="159"/>
      <c r="AA238" s="370" t="str">
        <f t="shared" si="27"/>
        <v/>
      </c>
      <c r="AB238" s="383" t="str">
        <f t="shared" si="28"/>
        <v/>
      </c>
      <c r="AC238" s="384" t="str">
        <f t="shared" si="24"/>
        <v/>
      </c>
      <c r="AD238" s="398" t="str">
        <f>IF(M238="","",VLOOKUP(M238,'G-6 Hedgerow Data'!$B$3:$AG$15,31,FALSE))</f>
        <v/>
      </c>
      <c r="AE238" s="370" t="str">
        <f t="shared" si="29"/>
        <v/>
      </c>
      <c r="AF238" s="370" t="str">
        <f t="shared" si="30"/>
        <v/>
      </c>
      <c r="AG238" s="386" t="str">
        <f>IFERROR(IF(O238="","",VLOOKUP(AD238,'G-3 Multipliers'!$P$3:$Q$6,2,FALSE)),"")</f>
        <v/>
      </c>
      <c r="AH238" s="376" t="str">
        <f t="shared" si="25"/>
        <v/>
      </c>
      <c r="AI238" s="188"/>
      <c r="AJ238" s="118"/>
      <c r="AK238" s="120"/>
      <c r="AT238" s="30" t="str">
        <f>IFERROR(INDEX('G-6 Hedgerow Data'!$BJ$3:$BJ$15,MATCH(M238,'G-6 Hedgerow Data'!$B$3:$B$15,0)),"")</f>
        <v/>
      </c>
    </row>
    <row r="239" spans="2:46" ht="15">
      <c r="B239" s="392" t="str">
        <f>'B-1 On-Site Hedge Baseline'!AK237</f>
        <v/>
      </c>
      <c r="C239" s="382" t="str">
        <f>IF(B239="","",IF(ISNA(VLOOKUP($B239,'B-1 On-Site Hedge Baseline'!$B$1:$L$257,3,FALSE)),"",(VLOOKUP($B239,'B-1 On-Site Hedge Baseline'!$B$1:$L$257,3,FALSE))))</f>
        <v/>
      </c>
      <c r="D239" s="382" t="str">
        <f>IF(B239="","",IF(ISNA(VLOOKUP($B239,'B-1 On-Site Hedge Baseline'!$B$1:$L$257,4,FALSE)),"",(VLOOKUP($B239,'B-1 On-Site Hedge Baseline'!$B$1:$L$257,4,FALSE))))</f>
        <v/>
      </c>
      <c r="E239" s="382" t="str">
        <f>IF(B239="","",IF(ISNA(VLOOKUP($B239,'B-1 On-Site Hedge Baseline'!$B$1:$L$257,5,FALSE)),"",(VLOOKUP($B239,'B-1 On-Site Hedge Baseline'!$B$1:$L$257,5,FALSE))))</f>
        <v/>
      </c>
      <c r="F239" s="382" t="str">
        <f>IF(B239="","",IF(ISNA(VLOOKUP($B239,'B-1 On-Site Hedge Baseline'!$B$1:$L$257,6,FALSE)),"",(VLOOKUP($B239,'B-1 On-Site Hedge Baseline'!$B$1:$L$257,6,FALSE))))</f>
        <v/>
      </c>
      <c r="G239" s="382" t="str">
        <f>IF(B239="","",IF(ISNA(VLOOKUP($B239,'B-1 On-Site Hedge Baseline'!$B$1:$L$257,7,FALSE)),"",(VLOOKUP($B239,'B-1 On-Site Hedge Baseline'!$B$1:$L$257,7,FALSE))))</f>
        <v/>
      </c>
      <c r="H239" s="382" t="str">
        <f>IF(B239="","",IF(ISNA(VLOOKUP($B239,'B-1 On-Site Hedge Baseline'!$B$1:$L$257,8,FALSE)),"",(VLOOKUP($B239,'B-1 On-Site Hedge Baseline'!$B$1:$L$257,8,FALSE))))</f>
        <v/>
      </c>
      <c r="I239" s="382" t="str">
        <f>IF(B239="","",IF(ISNA(VLOOKUP($B239,'B-1 On-Site Hedge Baseline'!$B$1:$L$257,10,FALSE)),"",(VLOOKUP($B239,'B-1 On-Site Hedge Baseline'!$B$1:$L$257,10,FALSE))))</f>
        <v/>
      </c>
      <c r="J239" s="382" t="str">
        <f>IF(B239="","",IF(ISNA(VLOOKUP($B239,'B-1 On-Site Hedge Baseline'!$B$1:$L$257,11,FALSE)),"",(VLOOKUP($B239,'B-1 On-Site Hedge Baseline'!$B$1:$L$257,11,FALSE))))</f>
        <v/>
      </c>
      <c r="K239" s="382" t="str">
        <f>IF(B239="","",IF(ISNA(VLOOKUP($B239,'B-1 On-Site Hedge Baseline'!$B$1:$U$257,13,FALSE)),"",(VLOOKUP($B239,'B-1 On-Site Hedge Baseline'!$B$1:$U$257,13,FALSE))))</f>
        <v/>
      </c>
      <c r="L239" s="386" t="str">
        <f>IF(B239="","",IF(ISNA(VLOOKUP($B239,'B-1 On-Site Hedge Baseline'!$B$1:$U$257,12,FALSE)),"",(VLOOKUP($B239,'B-1 On-Site Hedge Baseline'!$B$1:$U$257,12,FALSE))))</f>
        <v/>
      </c>
      <c r="M239" s="315" t="str">
        <f t="shared" si="31"/>
        <v/>
      </c>
      <c r="N239" s="362" t="str">
        <f>IFERROR(IF(B239="","",INDEX('G-6 Hedgerow Data'!$AN$3:$AZ$15,MATCH(C239,'G-6 Hedgerow Data'!$AM$3:$AM$15,0),MATCH(M239,'G-6 Hedgerow Data'!$AN$2:$AZ$2,0))),"")</f>
        <v/>
      </c>
      <c r="O239" s="363" t="str">
        <f t="shared" si="26"/>
        <v/>
      </c>
      <c r="P239" s="417" t="str">
        <f>IF(B239="","",VLOOKUP(B239,'B-1 On-Site Hedge Baseline'!$B$10:T484,16,FALSE))</f>
        <v/>
      </c>
      <c r="Q239" s="362" t="str">
        <f>IF(M239="","",VLOOKUP(M239,'G-6 Hedgerow Data'!$B$2:$AG$15,2,FALSE))</f>
        <v/>
      </c>
      <c r="R239" s="363" t="str">
        <f>IF(M239="","",VLOOKUP(M239,'G-6 Hedgerow Data'!$B$2:$AG$15,3,FALSE))</f>
        <v/>
      </c>
      <c r="S239" s="125"/>
      <c r="T239" s="401" t="str">
        <f>IFERROR(VLOOKUP(S239,'G-1 All Habitats'!$Z$2:$AA$9,2,FALSE),"")</f>
        <v/>
      </c>
      <c r="U239" s="122"/>
      <c r="V239" s="382" t="str">
        <f>IF(U239="","",IF(VLOOKUP(U239,'G-3 Multipliers'!$L$3:$N$6,2,FALSE)=0,"Spatial Data Missing ⚠",VLOOKUP(U239,'G-3 Multipliers'!$L$3:$N$6,2,FALSE)))</f>
        <v/>
      </c>
      <c r="W239" s="386" t="str">
        <f>IF(U239="","",IF(VLOOKUP(U239,'G-3 Multipliers'!$L$3:$N$6,3,FALSE)=0,"Spatial Data Missing ⚠",VLOOKUP(U239,'G-3 Multipliers'!$L$3:$N$6,3,FALSE)))</f>
        <v/>
      </c>
      <c r="X239" s="362" t="str">
        <f>IFERROR(IF(OR(LEFT(O239,5)="Error",LEFT(N239,5)="Error",T239="Error"),"Check Data ⚠",IF(F239&lt;R239,INDEX('G-6 Hedgerow Data'!$S$3:$AE$14,MATCH(C239,'G-6 Hedgerow Data'!$B$3:$B$14,0),MATCH(M239,'G-6 Hedgerow Data'!$S$2:$AE$2,0)),INDEX('G-6 Hedgerow Data'!$K$3:$Q$14,MATCH(M239,'G-6 Hedgerow Data'!$B$3:$B$14,0),MATCH(O239,'G-6 Hedgerow Data'!$K$2:$Q$2,0)))),"")</f>
        <v/>
      </c>
      <c r="Y239" s="159"/>
      <c r="Z239" s="159"/>
      <c r="AA239" s="370" t="str">
        <f t="shared" si="27"/>
        <v/>
      </c>
      <c r="AB239" s="383" t="str">
        <f t="shared" si="28"/>
        <v/>
      </c>
      <c r="AC239" s="384" t="str">
        <f t="shared" si="24"/>
        <v/>
      </c>
      <c r="AD239" s="398" t="str">
        <f>IF(M239="","",VLOOKUP(M239,'G-6 Hedgerow Data'!$B$3:$AG$15,31,FALSE))</f>
        <v/>
      </c>
      <c r="AE239" s="370" t="str">
        <f t="shared" si="29"/>
        <v/>
      </c>
      <c r="AF239" s="370" t="str">
        <f t="shared" si="30"/>
        <v/>
      </c>
      <c r="AG239" s="386" t="str">
        <f>IFERROR(IF(O239="","",VLOOKUP(AD239,'G-3 Multipliers'!$P$3:$Q$6,2,FALSE)),"")</f>
        <v/>
      </c>
      <c r="AH239" s="376" t="str">
        <f t="shared" si="25"/>
        <v/>
      </c>
      <c r="AI239" s="188"/>
      <c r="AJ239" s="118"/>
      <c r="AK239" s="120"/>
      <c r="AT239" s="30" t="str">
        <f>IFERROR(INDEX('G-6 Hedgerow Data'!$BJ$3:$BJ$15,MATCH(M239,'G-6 Hedgerow Data'!$B$3:$B$15,0)),"")</f>
        <v/>
      </c>
    </row>
    <row r="240" spans="2:46" ht="15">
      <c r="B240" s="392" t="str">
        <f>'B-1 On-Site Hedge Baseline'!AK238</f>
        <v/>
      </c>
      <c r="C240" s="382" t="str">
        <f>IF(B240="","",IF(ISNA(VLOOKUP($B240,'B-1 On-Site Hedge Baseline'!$B$1:$L$257,3,FALSE)),"",(VLOOKUP($B240,'B-1 On-Site Hedge Baseline'!$B$1:$L$257,3,FALSE))))</f>
        <v/>
      </c>
      <c r="D240" s="382" t="str">
        <f>IF(B240="","",IF(ISNA(VLOOKUP($B240,'B-1 On-Site Hedge Baseline'!$B$1:$L$257,4,FALSE)),"",(VLOOKUP($B240,'B-1 On-Site Hedge Baseline'!$B$1:$L$257,4,FALSE))))</f>
        <v/>
      </c>
      <c r="E240" s="382" t="str">
        <f>IF(B240="","",IF(ISNA(VLOOKUP($B240,'B-1 On-Site Hedge Baseline'!$B$1:$L$257,5,FALSE)),"",(VLOOKUP($B240,'B-1 On-Site Hedge Baseline'!$B$1:$L$257,5,FALSE))))</f>
        <v/>
      </c>
      <c r="F240" s="382" t="str">
        <f>IF(B240="","",IF(ISNA(VLOOKUP($B240,'B-1 On-Site Hedge Baseline'!$B$1:$L$257,6,FALSE)),"",(VLOOKUP($B240,'B-1 On-Site Hedge Baseline'!$B$1:$L$257,6,FALSE))))</f>
        <v/>
      </c>
      <c r="G240" s="382" t="str">
        <f>IF(B240="","",IF(ISNA(VLOOKUP($B240,'B-1 On-Site Hedge Baseline'!$B$1:$L$257,7,FALSE)),"",(VLOOKUP($B240,'B-1 On-Site Hedge Baseline'!$B$1:$L$257,7,FALSE))))</f>
        <v/>
      </c>
      <c r="H240" s="382" t="str">
        <f>IF(B240="","",IF(ISNA(VLOOKUP($B240,'B-1 On-Site Hedge Baseline'!$B$1:$L$257,8,FALSE)),"",(VLOOKUP($B240,'B-1 On-Site Hedge Baseline'!$B$1:$L$257,8,FALSE))))</f>
        <v/>
      </c>
      <c r="I240" s="382" t="str">
        <f>IF(B240="","",IF(ISNA(VLOOKUP($B240,'B-1 On-Site Hedge Baseline'!$B$1:$L$257,10,FALSE)),"",(VLOOKUP($B240,'B-1 On-Site Hedge Baseline'!$B$1:$L$257,10,FALSE))))</f>
        <v/>
      </c>
      <c r="J240" s="382" t="str">
        <f>IF(B240="","",IF(ISNA(VLOOKUP($B240,'B-1 On-Site Hedge Baseline'!$B$1:$L$257,11,FALSE)),"",(VLOOKUP($B240,'B-1 On-Site Hedge Baseline'!$B$1:$L$257,11,FALSE))))</f>
        <v/>
      </c>
      <c r="K240" s="382" t="str">
        <f>IF(B240="","",IF(ISNA(VLOOKUP($B240,'B-1 On-Site Hedge Baseline'!$B$1:$U$257,13,FALSE)),"",(VLOOKUP($B240,'B-1 On-Site Hedge Baseline'!$B$1:$U$257,13,FALSE))))</f>
        <v/>
      </c>
      <c r="L240" s="386" t="str">
        <f>IF(B240="","",IF(ISNA(VLOOKUP($B240,'B-1 On-Site Hedge Baseline'!$B$1:$U$257,12,FALSE)),"",(VLOOKUP($B240,'B-1 On-Site Hedge Baseline'!$B$1:$U$257,12,FALSE))))</f>
        <v/>
      </c>
      <c r="M240" s="315" t="str">
        <f t="shared" si="31"/>
        <v/>
      </c>
      <c r="N240" s="362" t="str">
        <f>IFERROR(IF(B240="","",INDEX('G-6 Hedgerow Data'!$AN$3:$AZ$15,MATCH(C240,'G-6 Hedgerow Data'!$AM$3:$AM$15,0),MATCH(M240,'G-6 Hedgerow Data'!$AN$2:$AZ$2,0))),"")</f>
        <v/>
      </c>
      <c r="O240" s="363" t="str">
        <f t="shared" si="26"/>
        <v/>
      </c>
      <c r="P240" s="417" t="str">
        <f>IF(B240="","",VLOOKUP(B240,'B-1 On-Site Hedge Baseline'!$B$10:T485,16,FALSE))</f>
        <v/>
      </c>
      <c r="Q240" s="362" t="str">
        <f>IF(M240="","",VLOOKUP(M240,'G-6 Hedgerow Data'!$B$2:$AG$15,2,FALSE))</f>
        <v/>
      </c>
      <c r="R240" s="363" t="str">
        <f>IF(M240="","",VLOOKUP(M240,'G-6 Hedgerow Data'!$B$2:$AG$15,3,FALSE))</f>
        <v/>
      </c>
      <c r="S240" s="125"/>
      <c r="T240" s="401" t="str">
        <f>IFERROR(VLOOKUP(S240,'G-1 All Habitats'!$Z$2:$AA$9,2,FALSE),"")</f>
        <v/>
      </c>
      <c r="U240" s="122"/>
      <c r="V240" s="382" t="str">
        <f>IF(U240="","",IF(VLOOKUP(U240,'G-3 Multipliers'!$L$3:$N$6,2,FALSE)=0,"Spatial Data Missing ⚠",VLOOKUP(U240,'G-3 Multipliers'!$L$3:$N$6,2,FALSE)))</f>
        <v/>
      </c>
      <c r="W240" s="386" t="str">
        <f>IF(U240="","",IF(VLOOKUP(U240,'G-3 Multipliers'!$L$3:$N$6,3,FALSE)=0,"Spatial Data Missing ⚠",VLOOKUP(U240,'G-3 Multipliers'!$L$3:$N$6,3,FALSE)))</f>
        <v/>
      </c>
      <c r="X240" s="362" t="str">
        <f>IFERROR(IF(OR(LEFT(O240,5)="Error",LEFT(N240,5)="Error",T240="Error"),"Check Data ⚠",IF(F240&lt;R240,INDEX('G-6 Hedgerow Data'!$S$3:$AE$14,MATCH(C240,'G-6 Hedgerow Data'!$B$3:$B$14,0),MATCH(M240,'G-6 Hedgerow Data'!$S$2:$AE$2,0)),INDEX('G-6 Hedgerow Data'!$K$3:$Q$14,MATCH(M240,'G-6 Hedgerow Data'!$B$3:$B$14,0),MATCH(O240,'G-6 Hedgerow Data'!$K$2:$Q$2,0)))),"")</f>
        <v/>
      </c>
      <c r="Y240" s="159"/>
      <c r="Z240" s="159"/>
      <c r="AA240" s="370" t="str">
        <f t="shared" si="27"/>
        <v/>
      </c>
      <c r="AB240" s="383" t="str">
        <f t="shared" si="28"/>
        <v/>
      </c>
      <c r="AC240" s="384" t="str">
        <f t="shared" si="24"/>
        <v/>
      </c>
      <c r="AD240" s="398" t="str">
        <f>IF(M240="","",VLOOKUP(M240,'G-6 Hedgerow Data'!$B$3:$AG$15,31,FALSE))</f>
        <v/>
      </c>
      <c r="AE240" s="370" t="str">
        <f t="shared" si="29"/>
        <v/>
      </c>
      <c r="AF240" s="370" t="str">
        <f t="shared" si="30"/>
        <v/>
      </c>
      <c r="AG240" s="386" t="str">
        <f>IFERROR(IF(O240="","",VLOOKUP(AD240,'G-3 Multipliers'!$P$3:$Q$6,2,FALSE)),"")</f>
        <v/>
      </c>
      <c r="AH240" s="376" t="str">
        <f t="shared" si="25"/>
        <v/>
      </c>
      <c r="AI240" s="188"/>
      <c r="AJ240" s="118"/>
      <c r="AK240" s="120"/>
      <c r="AT240" s="30" t="str">
        <f>IFERROR(INDEX('G-6 Hedgerow Data'!$BJ$3:$BJ$15,MATCH(M240,'G-6 Hedgerow Data'!$B$3:$B$15,0)),"")</f>
        <v/>
      </c>
    </row>
    <row r="241" spans="2:46" ht="15">
      <c r="B241" s="392" t="str">
        <f>'B-1 On-Site Hedge Baseline'!AK239</f>
        <v/>
      </c>
      <c r="C241" s="382" t="str">
        <f>IF(B241="","",IF(ISNA(VLOOKUP($B241,'B-1 On-Site Hedge Baseline'!$B$1:$L$257,3,FALSE)),"",(VLOOKUP($B241,'B-1 On-Site Hedge Baseline'!$B$1:$L$257,3,FALSE))))</f>
        <v/>
      </c>
      <c r="D241" s="382" t="str">
        <f>IF(B241="","",IF(ISNA(VLOOKUP($B241,'B-1 On-Site Hedge Baseline'!$B$1:$L$257,4,FALSE)),"",(VLOOKUP($B241,'B-1 On-Site Hedge Baseline'!$B$1:$L$257,4,FALSE))))</f>
        <v/>
      </c>
      <c r="E241" s="382" t="str">
        <f>IF(B241="","",IF(ISNA(VLOOKUP($B241,'B-1 On-Site Hedge Baseline'!$B$1:$L$257,5,FALSE)),"",(VLOOKUP($B241,'B-1 On-Site Hedge Baseline'!$B$1:$L$257,5,FALSE))))</f>
        <v/>
      </c>
      <c r="F241" s="382" t="str">
        <f>IF(B241="","",IF(ISNA(VLOOKUP($B241,'B-1 On-Site Hedge Baseline'!$B$1:$L$257,6,FALSE)),"",(VLOOKUP($B241,'B-1 On-Site Hedge Baseline'!$B$1:$L$257,6,FALSE))))</f>
        <v/>
      </c>
      <c r="G241" s="382" t="str">
        <f>IF(B241="","",IF(ISNA(VLOOKUP($B241,'B-1 On-Site Hedge Baseline'!$B$1:$L$257,7,FALSE)),"",(VLOOKUP($B241,'B-1 On-Site Hedge Baseline'!$B$1:$L$257,7,FALSE))))</f>
        <v/>
      </c>
      <c r="H241" s="382" t="str">
        <f>IF(B241="","",IF(ISNA(VLOOKUP($B241,'B-1 On-Site Hedge Baseline'!$B$1:$L$257,8,FALSE)),"",(VLOOKUP($B241,'B-1 On-Site Hedge Baseline'!$B$1:$L$257,8,FALSE))))</f>
        <v/>
      </c>
      <c r="I241" s="382" t="str">
        <f>IF(B241="","",IF(ISNA(VLOOKUP($B241,'B-1 On-Site Hedge Baseline'!$B$1:$L$257,10,FALSE)),"",(VLOOKUP($B241,'B-1 On-Site Hedge Baseline'!$B$1:$L$257,10,FALSE))))</f>
        <v/>
      </c>
      <c r="J241" s="382" t="str">
        <f>IF(B241="","",IF(ISNA(VLOOKUP($B241,'B-1 On-Site Hedge Baseline'!$B$1:$L$257,11,FALSE)),"",(VLOOKUP($B241,'B-1 On-Site Hedge Baseline'!$B$1:$L$257,11,FALSE))))</f>
        <v/>
      </c>
      <c r="K241" s="382" t="str">
        <f>IF(B241="","",IF(ISNA(VLOOKUP($B241,'B-1 On-Site Hedge Baseline'!$B$1:$U$257,13,FALSE)),"",(VLOOKUP($B241,'B-1 On-Site Hedge Baseline'!$B$1:$U$257,13,FALSE))))</f>
        <v/>
      </c>
      <c r="L241" s="386" t="str">
        <f>IF(B241="","",IF(ISNA(VLOOKUP($B241,'B-1 On-Site Hedge Baseline'!$B$1:$U$257,12,FALSE)),"",(VLOOKUP($B241,'B-1 On-Site Hedge Baseline'!$B$1:$U$257,12,FALSE))))</f>
        <v/>
      </c>
      <c r="M241" s="315" t="str">
        <f t="shared" si="31"/>
        <v/>
      </c>
      <c r="N241" s="362" t="str">
        <f>IFERROR(IF(B241="","",INDEX('G-6 Hedgerow Data'!$AN$3:$AZ$15,MATCH(C241,'G-6 Hedgerow Data'!$AM$3:$AM$15,0),MATCH(M241,'G-6 Hedgerow Data'!$AN$2:$AZ$2,0))),"")</f>
        <v/>
      </c>
      <c r="O241" s="363" t="str">
        <f t="shared" si="26"/>
        <v/>
      </c>
      <c r="P241" s="417" t="str">
        <f>IF(B241="","",VLOOKUP(B241,'B-1 On-Site Hedge Baseline'!$B$10:T486,16,FALSE))</f>
        <v/>
      </c>
      <c r="Q241" s="362" t="str">
        <f>IF(M241="","",VLOOKUP(M241,'G-6 Hedgerow Data'!$B$2:$AG$15,2,FALSE))</f>
        <v/>
      </c>
      <c r="R241" s="363" t="str">
        <f>IF(M241="","",VLOOKUP(M241,'G-6 Hedgerow Data'!$B$2:$AG$15,3,FALSE))</f>
        <v/>
      </c>
      <c r="S241" s="125"/>
      <c r="T241" s="401" t="str">
        <f>IFERROR(VLOOKUP(S241,'G-1 All Habitats'!$Z$2:$AA$9,2,FALSE),"")</f>
        <v/>
      </c>
      <c r="U241" s="122"/>
      <c r="V241" s="382" t="str">
        <f>IF(U241="","",IF(VLOOKUP(U241,'G-3 Multipliers'!$L$3:$N$6,2,FALSE)=0,"Spatial Data Missing ⚠",VLOOKUP(U241,'G-3 Multipliers'!$L$3:$N$6,2,FALSE)))</f>
        <v/>
      </c>
      <c r="W241" s="386" t="str">
        <f>IF(U241="","",IF(VLOOKUP(U241,'G-3 Multipliers'!$L$3:$N$6,3,FALSE)=0,"Spatial Data Missing ⚠",VLOOKUP(U241,'G-3 Multipliers'!$L$3:$N$6,3,FALSE)))</f>
        <v/>
      </c>
      <c r="X241" s="362" t="str">
        <f>IFERROR(IF(OR(LEFT(O241,5)="Error",LEFT(N241,5)="Error",T241="Error"),"Check Data ⚠",IF(F241&lt;R241,INDEX('G-6 Hedgerow Data'!$S$3:$AE$14,MATCH(C241,'G-6 Hedgerow Data'!$B$3:$B$14,0),MATCH(M241,'G-6 Hedgerow Data'!$S$2:$AE$2,0)),INDEX('G-6 Hedgerow Data'!$K$3:$Q$14,MATCH(M241,'G-6 Hedgerow Data'!$B$3:$B$14,0),MATCH(O241,'G-6 Hedgerow Data'!$K$2:$Q$2,0)))),"")</f>
        <v/>
      </c>
      <c r="Y241" s="159"/>
      <c r="Z241" s="159"/>
      <c r="AA241" s="370" t="str">
        <f t="shared" si="27"/>
        <v/>
      </c>
      <c r="AB241" s="383" t="str">
        <f t="shared" si="28"/>
        <v/>
      </c>
      <c r="AC241" s="384" t="str">
        <f t="shared" si="24"/>
        <v/>
      </c>
      <c r="AD241" s="398" t="str">
        <f>IF(M241="","",VLOOKUP(M241,'G-6 Hedgerow Data'!$B$3:$AG$15,31,FALSE))</f>
        <v/>
      </c>
      <c r="AE241" s="370" t="str">
        <f t="shared" si="29"/>
        <v/>
      </c>
      <c r="AF241" s="370" t="str">
        <f t="shared" si="30"/>
        <v/>
      </c>
      <c r="AG241" s="386" t="str">
        <f>IFERROR(IF(O241="","",VLOOKUP(AD241,'G-3 Multipliers'!$P$3:$Q$6,2,FALSE)),"")</f>
        <v/>
      </c>
      <c r="AH241" s="376" t="str">
        <f t="shared" si="25"/>
        <v/>
      </c>
      <c r="AI241" s="188"/>
      <c r="AJ241" s="118"/>
      <c r="AK241" s="120"/>
      <c r="AT241" s="30" t="str">
        <f>IFERROR(INDEX('G-6 Hedgerow Data'!$BJ$3:$BJ$15,MATCH(M241,'G-6 Hedgerow Data'!$B$3:$B$15,0)),"")</f>
        <v/>
      </c>
    </row>
    <row r="242" spans="2:46" ht="15">
      <c r="B242" s="392" t="str">
        <f>'B-1 On-Site Hedge Baseline'!AK240</f>
        <v/>
      </c>
      <c r="C242" s="382" t="str">
        <f>IF(B242="","",IF(ISNA(VLOOKUP($B242,'B-1 On-Site Hedge Baseline'!$B$1:$L$257,3,FALSE)),"",(VLOOKUP($B242,'B-1 On-Site Hedge Baseline'!$B$1:$L$257,3,FALSE))))</f>
        <v/>
      </c>
      <c r="D242" s="382" t="str">
        <f>IF(B242="","",IF(ISNA(VLOOKUP($B242,'B-1 On-Site Hedge Baseline'!$B$1:$L$257,4,FALSE)),"",(VLOOKUP($B242,'B-1 On-Site Hedge Baseline'!$B$1:$L$257,4,FALSE))))</f>
        <v/>
      </c>
      <c r="E242" s="382" t="str">
        <f>IF(B242="","",IF(ISNA(VLOOKUP($B242,'B-1 On-Site Hedge Baseline'!$B$1:$L$257,5,FALSE)),"",(VLOOKUP($B242,'B-1 On-Site Hedge Baseline'!$B$1:$L$257,5,FALSE))))</f>
        <v/>
      </c>
      <c r="F242" s="382" t="str">
        <f>IF(B242="","",IF(ISNA(VLOOKUP($B242,'B-1 On-Site Hedge Baseline'!$B$1:$L$257,6,FALSE)),"",(VLOOKUP($B242,'B-1 On-Site Hedge Baseline'!$B$1:$L$257,6,FALSE))))</f>
        <v/>
      </c>
      <c r="G242" s="382" t="str">
        <f>IF(B242="","",IF(ISNA(VLOOKUP($B242,'B-1 On-Site Hedge Baseline'!$B$1:$L$257,7,FALSE)),"",(VLOOKUP($B242,'B-1 On-Site Hedge Baseline'!$B$1:$L$257,7,FALSE))))</f>
        <v/>
      </c>
      <c r="H242" s="382" t="str">
        <f>IF(B242="","",IF(ISNA(VLOOKUP($B242,'B-1 On-Site Hedge Baseline'!$B$1:$L$257,8,FALSE)),"",(VLOOKUP($B242,'B-1 On-Site Hedge Baseline'!$B$1:$L$257,8,FALSE))))</f>
        <v/>
      </c>
      <c r="I242" s="382" t="str">
        <f>IF(B242="","",IF(ISNA(VLOOKUP($B242,'B-1 On-Site Hedge Baseline'!$B$1:$L$257,10,FALSE)),"",(VLOOKUP($B242,'B-1 On-Site Hedge Baseline'!$B$1:$L$257,10,FALSE))))</f>
        <v/>
      </c>
      <c r="J242" s="382" t="str">
        <f>IF(B242="","",IF(ISNA(VLOOKUP($B242,'B-1 On-Site Hedge Baseline'!$B$1:$L$257,11,FALSE)),"",(VLOOKUP($B242,'B-1 On-Site Hedge Baseline'!$B$1:$L$257,11,FALSE))))</f>
        <v/>
      </c>
      <c r="K242" s="382" t="str">
        <f>IF(B242="","",IF(ISNA(VLOOKUP($B242,'B-1 On-Site Hedge Baseline'!$B$1:$U$257,13,FALSE)),"",(VLOOKUP($B242,'B-1 On-Site Hedge Baseline'!$B$1:$U$257,13,FALSE))))</f>
        <v/>
      </c>
      <c r="L242" s="386" t="str">
        <f>IF(B242="","",IF(ISNA(VLOOKUP($B242,'B-1 On-Site Hedge Baseline'!$B$1:$U$257,12,FALSE)),"",(VLOOKUP($B242,'B-1 On-Site Hedge Baseline'!$B$1:$U$257,12,FALSE))))</f>
        <v/>
      </c>
      <c r="M242" s="315" t="str">
        <f t="shared" si="31"/>
        <v/>
      </c>
      <c r="N242" s="362" t="str">
        <f>IFERROR(IF(B242="","",INDEX('G-6 Hedgerow Data'!$AN$3:$AZ$15,MATCH(C242,'G-6 Hedgerow Data'!$AM$3:$AM$15,0),MATCH(M242,'G-6 Hedgerow Data'!$AN$2:$AZ$2,0))),"")</f>
        <v/>
      </c>
      <c r="O242" s="363" t="str">
        <f t="shared" si="26"/>
        <v/>
      </c>
      <c r="P242" s="417" t="str">
        <f>IF(B242="","",VLOOKUP(B242,'B-1 On-Site Hedge Baseline'!$B$10:T487,16,FALSE))</f>
        <v/>
      </c>
      <c r="Q242" s="362" t="str">
        <f>IF(M242="","",VLOOKUP(M242,'G-6 Hedgerow Data'!$B$2:$AG$15,2,FALSE))</f>
        <v/>
      </c>
      <c r="R242" s="363" t="str">
        <f>IF(M242="","",VLOOKUP(M242,'G-6 Hedgerow Data'!$B$2:$AG$15,3,FALSE))</f>
        <v/>
      </c>
      <c r="S242" s="125"/>
      <c r="T242" s="401" t="str">
        <f>IFERROR(VLOOKUP(S242,'G-1 All Habitats'!$Z$2:$AA$9,2,FALSE),"")</f>
        <v/>
      </c>
      <c r="U242" s="122"/>
      <c r="V242" s="382" t="str">
        <f>IF(U242="","",IF(VLOOKUP(U242,'G-3 Multipliers'!$L$3:$N$6,2,FALSE)=0,"Spatial Data Missing ⚠",VLOOKUP(U242,'G-3 Multipliers'!$L$3:$N$6,2,FALSE)))</f>
        <v/>
      </c>
      <c r="W242" s="386" t="str">
        <f>IF(U242="","",IF(VLOOKUP(U242,'G-3 Multipliers'!$L$3:$N$6,3,FALSE)=0,"Spatial Data Missing ⚠",VLOOKUP(U242,'G-3 Multipliers'!$L$3:$N$6,3,FALSE)))</f>
        <v/>
      </c>
      <c r="X242" s="362" t="str">
        <f>IFERROR(IF(OR(LEFT(O242,5)="Error",LEFT(N242,5)="Error",T242="Error"),"Check Data ⚠",IF(F242&lt;R242,INDEX('G-6 Hedgerow Data'!$S$3:$AE$14,MATCH(C242,'G-6 Hedgerow Data'!$B$3:$B$14,0),MATCH(M242,'G-6 Hedgerow Data'!$S$2:$AE$2,0)),INDEX('G-6 Hedgerow Data'!$K$3:$Q$14,MATCH(M242,'G-6 Hedgerow Data'!$B$3:$B$14,0),MATCH(O242,'G-6 Hedgerow Data'!$K$2:$Q$2,0)))),"")</f>
        <v/>
      </c>
      <c r="Y242" s="159"/>
      <c r="Z242" s="159"/>
      <c r="AA242" s="370" t="str">
        <f t="shared" si="27"/>
        <v/>
      </c>
      <c r="AB242" s="383" t="str">
        <f t="shared" si="28"/>
        <v/>
      </c>
      <c r="AC242" s="384" t="str">
        <f t="shared" si="24"/>
        <v/>
      </c>
      <c r="AD242" s="398" t="str">
        <f>IF(M242="","",VLOOKUP(M242,'G-6 Hedgerow Data'!$B$3:$AG$15,31,FALSE))</f>
        <v/>
      </c>
      <c r="AE242" s="370" t="str">
        <f t="shared" si="29"/>
        <v/>
      </c>
      <c r="AF242" s="370" t="str">
        <f t="shared" si="30"/>
        <v/>
      </c>
      <c r="AG242" s="386" t="str">
        <f>IFERROR(IF(O242="","",VLOOKUP(AD242,'G-3 Multipliers'!$P$3:$Q$6,2,FALSE)),"")</f>
        <v/>
      </c>
      <c r="AH242" s="376" t="str">
        <f t="shared" si="25"/>
        <v/>
      </c>
      <c r="AI242" s="188"/>
      <c r="AJ242" s="118"/>
      <c r="AK242" s="120"/>
      <c r="AT242" s="30" t="str">
        <f>IFERROR(INDEX('G-6 Hedgerow Data'!$BJ$3:$BJ$15,MATCH(M242,'G-6 Hedgerow Data'!$B$3:$B$15,0)),"")</f>
        <v/>
      </c>
    </row>
    <row r="243" spans="2:46" ht="15">
      <c r="B243" s="392" t="str">
        <f>'B-1 On-Site Hedge Baseline'!AK241</f>
        <v/>
      </c>
      <c r="C243" s="382" t="str">
        <f>IF(B243="","",IF(ISNA(VLOOKUP($B243,'B-1 On-Site Hedge Baseline'!$B$1:$L$257,3,FALSE)),"",(VLOOKUP($B243,'B-1 On-Site Hedge Baseline'!$B$1:$L$257,3,FALSE))))</f>
        <v/>
      </c>
      <c r="D243" s="382" t="str">
        <f>IF(B243="","",IF(ISNA(VLOOKUP($B243,'B-1 On-Site Hedge Baseline'!$B$1:$L$257,4,FALSE)),"",(VLOOKUP($B243,'B-1 On-Site Hedge Baseline'!$B$1:$L$257,4,FALSE))))</f>
        <v/>
      </c>
      <c r="E243" s="382" t="str">
        <f>IF(B243="","",IF(ISNA(VLOOKUP($B243,'B-1 On-Site Hedge Baseline'!$B$1:$L$257,5,FALSE)),"",(VLOOKUP($B243,'B-1 On-Site Hedge Baseline'!$B$1:$L$257,5,FALSE))))</f>
        <v/>
      </c>
      <c r="F243" s="382" t="str">
        <f>IF(B243="","",IF(ISNA(VLOOKUP($B243,'B-1 On-Site Hedge Baseline'!$B$1:$L$257,6,FALSE)),"",(VLOOKUP($B243,'B-1 On-Site Hedge Baseline'!$B$1:$L$257,6,FALSE))))</f>
        <v/>
      </c>
      <c r="G243" s="382" t="str">
        <f>IF(B243="","",IF(ISNA(VLOOKUP($B243,'B-1 On-Site Hedge Baseline'!$B$1:$L$257,7,FALSE)),"",(VLOOKUP($B243,'B-1 On-Site Hedge Baseline'!$B$1:$L$257,7,FALSE))))</f>
        <v/>
      </c>
      <c r="H243" s="382" t="str">
        <f>IF(B243="","",IF(ISNA(VLOOKUP($B243,'B-1 On-Site Hedge Baseline'!$B$1:$L$257,8,FALSE)),"",(VLOOKUP($B243,'B-1 On-Site Hedge Baseline'!$B$1:$L$257,8,FALSE))))</f>
        <v/>
      </c>
      <c r="I243" s="382" t="str">
        <f>IF(B243="","",IF(ISNA(VLOOKUP($B243,'B-1 On-Site Hedge Baseline'!$B$1:$L$257,10,FALSE)),"",(VLOOKUP($B243,'B-1 On-Site Hedge Baseline'!$B$1:$L$257,10,FALSE))))</f>
        <v/>
      </c>
      <c r="J243" s="382" t="str">
        <f>IF(B243="","",IF(ISNA(VLOOKUP($B243,'B-1 On-Site Hedge Baseline'!$B$1:$L$257,11,FALSE)),"",(VLOOKUP($B243,'B-1 On-Site Hedge Baseline'!$B$1:$L$257,11,FALSE))))</f>
        <v/>
      </c>
      <c r="K243" s="382" t="str">
        <f>IF(B243="","",IF(ISNA(VLOOKUP($B243,'B-1 On-Site Hedge Baseline'!$B$1:$U$257,13,FALSE)),"",(VLOOKUP($B243,'B-1 On-Site Hedge Baseline'!$B$1:$U$257,13,FALSE))))</f>
        <v/>
      </c>
      <c r="L243" s="386" t="str">
        <f>IF(B243="","",IF(ISNA(VLOOKUP($B243,'B-1 On-Site Hedge Baseline'!$B$1:$U$257,12,FALSE)),"",(VLOOKUP($B243,'B-1 On-Site Hedge Baseline'!$B$1:$U$257,12,FALSE))))</f>
        <v/>
      </c>
      <c r="M243" s="315" t="str">
        <f t="shared" si="31"/>
        <v/>
      </c>
      <c r="N243" s="362" t="str">
        <f>IFERROR(IF(B243="","",INDEX('G-6 Hedgerow Data'!$AN$3:$AZ$15,MATCH(C243,'G-6 Hedgerow Data'!$AM$3:$AM$15,0),MATCH(M243,'G-6 Hedgerow Data'!$AN$2:$AZ$2,0))),"")</f>
        <v/>
      </c>
      <c r="O243" s="363" t="str">
        <f t="shared" si="26"/>
        <v/>
      </c>
      <c r="P243" s="417" t="str">
        <f>IF(B243="","",VLOOKUP(B243,'B-1 On-Site Hedge Baseline'!$B$10:T488,16,FALSE))</f>
        <v/>
      </c>
      <c r="Q243" s="362" t="str">
        <f>IF(M243="","",VLOOKUP(M243,'G-6 Hedgerow Data'!$B$2:$AG$15,2,FALSE))</f>
        <v/>
      </c>
      <c r="R243" s="363" t="str">
        <f>IF(M243="","",VLOOKUP(M243,'G-6 Hedgerow Data'!$B$2:$AG$15,3,FALSE))</f>
        <v/>
      </c>
      <c r="S243" s="125"/>
      <c r="T243" s="401" t="str">
        <f>IFERROR(VLOOKUP(S243,'G-1 All Habitats'!$Z$2:$AA$9,2,FALSE),"")</f>
        <v/>
      </c>
      <c r="U243" s="122"/>
      <c r="V243" s="382" t="str">
        <f>IF(U243="","",IF(VLOOKUP(U243,'G-3 Multipliers'!$L$3:$N$6,2,FALSE)=0,"Spatial Data Missing ⚠",VLOOKUP(U243,'G-3 Multipliers'!$L$3:$N$6,2,FALSE)))</f>
        <v/>
      </c>
      <c r="W243" s="386" t="str">
        <f>IF(U243="","",IF(VLOOKUP(U243,'G-3 Multipliers'!$L$3:$N$6,3,FALSE)=0,"Spatial Data Missing ⚠",VLOOKUP(U243,'G-3 Multipliers'!$L$3:$N$6,3,FALSE)))</f>
        <v/>
      </c>
      <c r="X243" s="362" t="str">
        <f>IFERROR(IF(OR(LEFT(O243,5)="Error",LEFT(N243,5)="Error",T243="Error"),"Check Data ⚠",IF(F243&lt;R243,INDEX('G-6 Hedgerow Data'!$S$3:$AE$14,MATCH(C243,'G-6 Hedgerow Data'!$B$3:$B$14,0),MATCH(M243,'G-6 Hedgerow Data'!$S$2:$AE$2,0)),INDEX('G-6 Hedgerow Data'!$K$3:$Q$14,MATCH(M243,'G-6 Hedgerow Data'!$B$3:$B$14,0),MATCH(O243,'G-6 Hedgerow Data'!$K$2:$Q$2,0)))),"")</f>
        <v/>
      </c>
      <c r="Y243" s="159"/>
      <c r="Z243" s="159"/>
      <c r="AA243" s="370" t="str">
        <f t="shared" si="27"/>
        <v/>
      </c>
      <c r="AB243" s="383" t="str">
        <f t="shared" si="28"/>
        <v/>
      </c>
      <c r="AC243" s="384" t="str">
        <f t="shared" si="24"/>
        <v/>
      </c>
      <c r="AD243" s="398" t="str">
        <f>IF(M243="","",VLOOKUP(M243,'G-6 Hedgerow Data'!$B$3:$AG$15,31,FALSE))</f>
        <v/>
      </c>
      <c r="AE243" s="370" t="str">
        <f t="shared" si="29"/>
        <v/>
      </c>
      <c r="AF243" s="370" t="str">
        <f t="shared" si="30"/>
        <v/>
      </c>
      <c r="AG243" s="386" t="str">
        <f>IFERROR(IF(O243="","",VLOOKUP(AD243,'G-3 Multipliers'!$P$3:$Q$6,2,FALSE)),"")</f>
        <v/>
      </c>
      <c r="AH243" s="376" t="str">
        <f t="shared" si="25"/>
        <v/>
      </c>
      <c r="AI243" s="188"/>
      <c r="AJ243" s="118"/>
      <c r="AK243" s="120"/>
      <c r="AT243" s="30" t="str">
        <f>IFERROR(INDEX('G-6 Hedgerow Data'!$BJ$3:$BJ$15,MATCH(M243,'G-6 Hedgerow Data'!$B$3:$B$15,0)),"")</f>
        <v/>
      </c>
    </row>
    <row r="244" spans="2:46" ht="15">
      <c r="B244" s="392" t="str">
        <f>'B-1 On-Site Hedge Baseline'!AK242</f>
        <v/>
      </c>
      <c r="C244" s="382" t="str">
        <f>IF(B244="","",IF(ISNA(VLOOKUP($B244,'B-1 On-Site Hedge Baseline'!$B$1:$L$257,3,FALSE)),"",(VLOOKUP($B244,'B-1 On-Site Hedge Baseline'!$B$1:$L$257,3,FALSE))))</f>
        <v/>
      </c>
      <c r="D244" s="382" t="str">
        <f>IF(B244="","",IF(ISNA(VLOOKUP($B244,'B-1 On-Site Hedge Baseline'!$B$1:$L$257,4,FALSE)),"",(VLOOKUP($B244,'B-1 On-Site Hedge Baseline'!$B$1:$L$257,4,FALSE))))</f>
        <v/>
      </c>
      <c r="E244" s="382" t="str">
        <f>IF(B244="","",IF(ISNA(VLOOKUP($B244,'B-1 On-Site Hedge Baseline'!$B$1:$L$257,5,FALSE)),"",(VLOOKUP($B244,'B-1 On-Site Hedge Baseline'!$B$1:$L$257,5,FALSE))))</f>
        <v/>
      </c>
      <c r="F244" s="382" t="str">
        <f>IF(B244="","",IF(ISNA(VLOOKUP($B244,'B-1 On-Site Hedge Baseline'!$B$1:$L$257,6,FALSE)),"",(VLOOKUP($B244,'B-1 On-Site Hedge Baseline'!$B$1:$L$257,6,FALSE))))</f>
        <v/>
      </c>
      <c r="G244" s="382" t="str">
        <f>IF(B244="","",IF(ISNA(VLOOKUP($B244,'B-1 On-Site Hedge Baseline'!$B$1:$L$257,7,FALSE)),"",(VLOOKUP($B244,'B-1 On-Site Hedge Baseline'!$B$1:$L$257,7,FALSE))))</f>
        <v/>
      </c>
      <c r="H244" s="382" t="str">
        <f>IF(B244="","",IF(ISNA(VLOOKUP($B244,'B-1 On-Site Hedge Baseline'!$B$1:$L$257,8,FALSE)),"",(VLOOKUP($B244,'B-1 On-Site Hedge Baseline'!$B$1:$L$257,8,FALSE))))</f>
        <v/>
      </c>
      <c r="I244" s="382" t="str">
        <f>IF(B244="","",IF(ISNA(VLOOKUP($B244,'B-1 On-Site Hedge Baseline'!$B$1:$L$257,10,FALSE)),"",(VLOOKUP($B244,'B-1 On-Site Hedge Baseline'!$B$1:$L$257,10,FALSE))))</f>
        <v/>
      </c>
      <c r="J244" s="382" t="str">
        <f>IF(B244="","",IF(ISNA(VLOOKUP($B244,'B-1 On-Site Hedge Baseline'!$B$1:$L$257,11,FALSE)),"",(VLOOKUP($B244,'B-1 On-Site Hedge Baseline'!$B$1:$L$257,11,FALSE))))</f>
        <v/>
      </c>
      <c r="K244" s="382" t="str">
        <f>IF(B244="","",IF(ISNA(VLOOKUP($B244,'B-1 On-Site Hedge Baseline'!$B$1:$U$257,13,FALSE)),"",(VLOOKUP($B244,'B-1 On-Site Hedge Baseline'!$B$1:$U$257,13,FALSE))))</f>
        <v/>
      </c>
      <c r="L244" s="386" t="str">
        <f>IF(B244="","",IF(ISNA(VLOOKUP($B244,'B-1 On-Site Hedge Baseline'!$B$1:$U$257,12,FALSE)),"",(VLOOKUP($B244,'B-1 On-Site Hedge Baseline'!$B$1:$U$257,12,FALSE))))</f>
        <v/>
      </c>
      <c r="M244" s="315" t="str">
        <f t="shared" si="31"/>
        <v/>
      </c>
      <c r="N244" s="362" t="str">
        <f>IFERROR(IF(B244="","",INDEX('G-6 Hedgerow Data'!$AN$3:$AZ$15,MATCH(C244,'G-6 Hedgerow Data'!$AM$3:$AM$15,0),MATCH(M244,'G-6 Hedgerow Data'!$AN$2:$AZ$2,0))),"")</f>
        <v/>
      </c>
      <c r="O244" s="363" t="str">
        <f t="shared" si="26"/>
        <v/>
      </c>
      <c r="P244" s="417" t="str">
        <f>IF(B244="","",VLOOKUP(B244,'B-1 On-Site Hedge Baseline'!$B$10:T489,16,FALSE))</f>
        <v/>
      </c>
      <c r="Q244" s="362" t="str">
        <f>IF(M244="","",VLOOKUP(M244,'G-6 Hedgerow Data'!$B$2:$AG$15,2,FALSE))</f>
        <v/>
      </c>
      <c r="R244" s="363" t="str">
        <f>IF(M244="","",VLOOKUP(M244,'G-6 Hedgerow Data'!$B$2:$AG$15,3,FALSE))</f>
        <v/>
      </c>
      <c r="S244" s="125"/>
      <c r="T244" s="401" t="str">
        <f>IFERROR(VLOOKUP(S244,'G-1 All Habitats'!$Z$2:$AA$9,2,FALSE),"")</f>
        <v/>
      </c>
      <c r="U244" s="122"/>
      <c r="V244" s="382" t="str">
        <f>IF(U244="","",IF(VLOOKUP(U244,'G-3 Multipliers'!$L$3:$N$6,2,FALSE)=0,"Spatial Data Missing ⚠",VLOOKUP(U244,'G-3 Multipliers'!$L$3:$N$6,2,FALSE)))</f>
        <v/>
      </c>
      <c r="W244" s="386" t="str">
        <f>IF(U244="","",IF(VLOOKUP(U244,'G-3 Multipliers'!$L$3:$N$6,3,FALSE)=0,"Spatial Data Missing ⚠",VLOOKUP(U244,'G-3 Multipliers'!$L$3:$N$6,3,FALSE)))</f>
        <v/>
      </c>
      <c r="X244" s="362" t="str">
        <f>IFERROR(IF(OR(LEFT(O244,5)="Error",LEFT(N244,5)="Error",T244="Error"),"Check Data ⚠",IF(F244&lt;R244,INDEX('G-6 Hedgerow Data'!$S$3:$AE$14,MATCH(C244,'G-6 Hedgerow Data'!$B$3:$B$14,0),MATCH(M244,'G-6 Hedgerow Data'!$S$2:$AE$2,0)),INDEX('G-6 Hedgerow Data'!$K$3:$Q$14,MATCH(M244,'G-6 Hedgerow Data'!$B$3:$B$14,0),MATCH(O244,'G-6 Hedgerow Data'!$K$2:$Q$2,0)))),"")</f>
        <v/>
      </c>
      <c r="Y244" s="159"/>
      <c r="Z244" s="159"/>
      <c r="AA244" s="370" t="str">
        <f t="shared" si="27"/>
        <v/>
      </c>
      <c r="AB244" s="383" t="str">
        <f t="shared" si="28"/>
        <v/>
      </c>
      <c r="AC244" s="384" t="str">
        <f t="shared" si="24"/>
        <v/>
      </c>
      <c r="AD244" s="398" t="str">
        <f>IF(M244="","",VLOOKUP(M244,'G-6 Hedgerow Data'!$B$3:$AG$15,31,FALSE))</f>
        <v/>
      </c>
      <c r="AE244" s="370" t="str">
        <f t="shared" si="29"/>
        <v/>
      </c>
      <c r="AF244" s="370" t="str">
        <f t="shared" si="30"/>
        <v/>
      </c>
      <c r="AG244" s="386" t="str">
        <f>IFERROR(IF(O244="","",VLOOKUP(AD244,'G-3 Multipliers'!$P$3:$Q$6,2,FALSE)),"")</f>
        <v/>
      </c>
      <c r="AH244" s="376" t="str">
        <f t="shared" si="25"/>
        <v/>
      </c>
      <c r="AI244" s="188"/>
      <c r="AJ244" s="118"/>
      <c r="AK244" s="120"/>
      <c r="AT244" s="30" t="str">
        <f>IFERROR(INDEX('G-6 Hedgerow Data'!$BJ$3:$BJ$15,MATCH(M244,'G-6 Hedgerow Data'!$B$3:$B$15,0)),"")</f>
        <v/>
      </c>
    </row>
    <row r="245" spans="2:46" ht="15">
      <c r="B245" s="392" t="str">
        <f>'B-1 On-Site Hedge Baseline'!AK243</f>
        <v/>
      </c>
      <c r="C245" s="382" t="str">
        <f>IF(B245="","",IF(ISNA(VLOOKUP($B245,'B-1 On-Site Hedge Baseline'!$B$1:$L$257,3,FALSE)),"",(VLOOKUP($B245,'B-1 On-Site Hedge Baseline'!$B$1:$L$257,3,FALSE))))</f>
        <v/>
      </c>
      <c r="D245" s="382" t="str">
        <f>IF(B245="","",IF(ISNA(VLOOKUP($B245,'B-1 On-Site Hedge Baseline'!$B$1:$L$257,4,FALSE)),"",(VLOOKUP($B245,'B-1 On-Site Hedge Baseline'!$B$1:$L$257,4,FALSE))))</f>
        <v/>
      </c>
      <c r="E245" s="382" t="str">
        <f>IF(B245="","",IF(ISNA(VLOOKUP($B245,'B-1 On-Site Hedge Baseline'!$B$1:$L$257,5,FALSE)),"",(VLOOKUP($B245,'B-1 On-Site Hedge Baseline'!$B$1:$L$257,5,FALSE))))</f>
        <v/>
      </c>
      <c r="F245" s="382" t="str">
        <f>IF(B245="","",IF(ISNA(VLOOKUP($B245,'B-1 On-Site Hedge Baseline'!$B$1:$L$257,6,FALSE)),"",(VLOOKUP($B245,'B-1 On-Site Hedge Baseline'!$B$1:$L$257,6,FALSE))))</f>
        <v/>
      </c>
      <c r="G245" s="382" t="str">
        <f>IF(B245="","",IF(ISNA(VLOOKUP($B245,'B-1 On-Site Hedge Baseline'!$B$1:$L$257,7,FALSE)),"",(VLOOKUP($B245,'B-1 On-Site Hedge Baseline'!$B$1:$L$257,7,FALSE))))</f>
        <v/>
      </c>
      <c r="H245" s="382" t="str">
        <f>IF(B245="","",IF(ISNA(VLOOKUP($B245,'B-1 On-Site Hedge Baseline'!$B$1:$L$257,8,FALSE)),"",(VLOOKUP($B245,'B-1 On-Site Hedge Baseline'!$B$1:$L$257,8,FALSE))))</f>
        <v/>
      </c>
      <c r="I245" s="382" t="str">
        <f>IF(B245="","",IF(ISNA(VLOOKUP($B245,'B-1 On-Site Hedge Baseline'!$B$1:$L$257,10,FALSE)),"",(VLOOKUP($B245,'B-1 On-Site Hedge Baseline'!$B$1:$L$257,10,FALSE))))</f>
        <v/>
      </c>
      <c r="J245" s="382" t="str">
        <f>IF(B245="","",IF(ISNA(VLOOKUP($B245,'B-1 On-Site Hedge Baseline'!$B$1:$L$257,11,FALSE)),"",(VLOOKUP($B245,'B-1 On-Site Hedge Baseline'!$B$1:$L$257,11,FALSE))))</f>
        <v/>
      </c>
      <c r="K245" s="382" t="str">
        <f>IF(B245="","",IF(ISNA(VLOOKUP($B245,'B-1 On-Site Hedge Baseline'!$B$1:$U$257,13,FALSE)),"",(VLOOKUP($B245,'B-1 On-Site Hedge Baseline'!$B$1:$U$257,13,FALSE))))</f>
        <v/>
      </c>
      <c r="L245" s="386" t="str">
        <f>IF(B245="","",IF(ISNA(VLOOKUP($B245,'B-1 On-Site Hedge Baseline'!$B$1:$U$257,12,FALSE)),"",(VLOOKUP($B245,'B-1 On-Site Hedge Baseline'!$B$1:$U$257,12,FALSE))))</f>
        <v/>
      </c>
      <c r="M245" s="315" t="str">
        <f t="shared" si="31"/>
        <v/>
      </c>
      <c r="N245" s="362" t="str">
        <f>IFERROR(IF(B245="","",INDEX('G-6 Hedgerow Data'!$AN$3:$AZ$15,MATCH(C245,'G-6 Hedgerow Data'!$AM$3:$AM$15,0),MATCH(M245,'G-6 Hedgerow Data'!$AN$2:$AZ$2,0))),"")</f>
        <v/>
      </c>
      <c r="O245" s="363" t="str">
        <f t="shared" si="26"/>
        <v/>
      </c>
      <c r="P245" s="417" t="str">
        <f>IF(B245="","",VLOOKUP(B245,'B-1 On-Site Hedge Baseline'!$B$10:T490,16,FALSE))</f>
        <v/>
      </c>
      <c r="Q245" s="362" t="str">
        <f>IF(M245="","",VLOOKUP(M245,'G-6 Hedgerow Data'!$B$2:$AG$15,2,FALSE))</f>
        <v/>
      </c>
      <c r="R245" s="363" t="str">
        <f>IF(M245="","",VLOOKUP(M245,'G-6 Hedgerow Data'!$B$2:$AG$15,3,FALSE))</f>
        <v/>
      </c>
      <c r="S245" s="125"/>
      <c r="T245" s="401" t="str">
        <f>IFERROR(VLOOKUP(S245,'G-1 All Habitats'!$Z$2:$AA$9,2,FALSE),"")</f>
        <v/>
      </c>
      <c r="U245" s="122"/>
      <c r="V245" s="382" t="str">
        <f>IF(U245="","",IF(VLOOKUP(U245,'G-3 Multipliers'!$L$3:$N$6,2,FALSE)=0,"Spatial Data Missing ⚠",VLOOKUP(U245,'G-3 Multipliers'!$L$3:$N$6,2,FALSE)))</f>
        <v/>
      </c>
      <c r="W245" s="386" t="str">
        <f>IF(U245="","",IF(VLOOKUP(U245,'G-3 Multipliers'!$L$3:$N$6,3,FALSE)=0,"Spatial Data Missing ⚠",VLOOKUP(U245,'G-3 Multipliers'!$L$3:$N$6,3,FALSE)))</f>
        <v/>
      </c>
      <c r="X245" s="362" t="str">
        <f>IFERROR(IF(OR(LEFT(O245,5)="Error",LEFT(N245,5)="Error",T245="Error"),"Check Data ⚠",IF(F245&lt;R245,INDEX('G-6 Hedgerow Data'!$S$3:$AE$14,MATCH(C245,'G-6 Hedgerow Data'!$B$3:$B$14,0),MATCH(M245,'G-6 Hedgerow Data'!$S$2:$AE$2,0)),INDEX('G-6 Hedgerow Data'!$K$3:$Q$14,MATCH(M245,'G-6 Hedgerow Data'!$B$3:$B$14,0),MATCH(O245,'G-6 Hedgerow Data'!$K$2:$Q$2,0)))),"")</f>
        <v/>
      </c>
      <c r="Y245" s="159"/>
      <c r="Z245" s="159"/>
      <c r="AA245" s="370" t="str">
        <f t="shared" si="27"/>
        <v/>
      </c>
      <c r="AB245" s="383" t="str">
        <f t="shared" si="28"/>
        <v/>
      </c>
      <c r="AC245" s="384" t="str">
        <f t="shared" si="24"/>
        <v/>
      </c>
      <c r="AD245" s="398" t="str">
        <f>IF(M245="","",VLOOKUP(M245,'G-6 Hedgerow Data'!$B$3:$AG$15,31,FALSE))</f>
        <v/>
      </c>
      <c r="AE245" s="370" t="str">
        <f t="shared" si="29"/>
        <v/>
      </c>
      <c r="AF245" s="370" t="str">
        <f t="shared" si="30"/>
        <v/>
      </c>
      <c r="AG245" s="386" t="str">
        <f>IFERROR(IF(O245="","",VLOOKUP(AD245,'G-3 Multipliers'!$P$3:$Q$6,2,FALSE)),"")</f>
        <v/>
      </c>
      <c r="AH245" s="376" t="str">
        <f t="shared" si="25"/>
        <v/>
      </c>
      <c r="AI245" s="188"/>
      <c r="AJ245" s="118"/>
      <c r="AK245" s="120"/>
      <c r="AT245" s="30" t="str">
        <f>IFERROR(INDEX('G-6 Hedgerow Data'!$BJ$3:$BJ$15,MATCH(M245,'G-6 Hedgerow Data'!$B$3:$B$15,0)),"")</f>
        <v/>
      </c>
    </row>
    <row r="246" spans="2:46" ht="15">
      <c r="B246" s="392" t="str">
        <f>'B-1 On-Site Hedge Baseline'!AK244</f>
        <v/>
      </c>
      <c r="C246" s="382" t="str">
        <f>IF(B246="","",IF(ISNA(VLOOKUP($B246,'B-1 On-Site Hedge Baseline'!$B$1:$L$257,3,FALSE)),"",(VLOOKUP($B246,'B-1 On-Site Hedge Baseline'!$B$1:$L$257,3,FALSE))))</f>
        <v/>
      </c>
      <c r="D246" s="382" t="str">
        <f>IF(B246="","",IF(ISNA(VLOOKUP($B246,'B-1 On-Site Hedge Baseline'!$B$1:$L$257,4,FALSE)),"",(VLOOKUP($B246,'B-1 On-Site Hedge Baseline'!$B$1:$L$257,4,FALSE))))</f>
        <v/>
      </c>
      <c r="E246" s="382" t="str">
        <f>IF(B246="","",IF(ISNA(VLOOKUP($B246,'B-1 On-Site Hedge Baseline'!$B$1:$L$257,5,FALSE)),"",(VLOOKUP($B246,'B-1 On-Site Hedge Baseline'!$B$1:$L$257,5,FALSE))))</f>
        <v/>
      </c>
      <c r="F246" s="382" t="str">
        <f>IF(B246="","",IF(ISNA(VLOOKUP($B246,'B-1 On-Site Hedge Baseline'!$B$1:$L$257,6,FALSE)),"",(VLOOKUP($B246,'B-1 On-Site Hedge Baseline'!$B$1:$L$257,6,FALSE))))</f>
        <v/>
      </c>
      <c r="G246" s="382" t="str">
        <f>IF(B246="","",IF(ISNA(VLOOKUP($B246,'B-1 On-Site Hedge Baseline'!$B$1:$L$257,7,FALSE)),"",(VLOOKUP($B246,'B-1 On-Site Hedge Baseline'!$B$1:$L$257,7,FALSE))))</f>
        <v/>
      </c>
      <c r="H246" s="382" t="str">
        <f>IF(B246="","",IF(ISNA(VLOOKUP($B246,'B-1 On-Site Hedge Baseline'!$B$1:$L$257,8,FALSE)),"",(VLOOKUP($B246,'B-1 On-Site Hedge Baseline'!$B$1:$L$257,8,FALSE))))</f>
        <v/>
      </c>
      <c r="I246" s="382" t="str">
        <f>IF(B246="","",IF(ISNA(VLOOKUP($B246,'B-1 On-Site Hedge Baseline'!$B$1:$L$257,10,FALSE)),"",(VLOOKUP($B246,'B-1 On-Site Hedge Baseline'!$B$1:$L$257,10,FALSE))))</f>
        <v/>
      </c>
      <c r="J246" s="382" t="str">
        <f>IF(B246="","",IF(ISNA(VLOOKUP($B246,'B-1 On-Site Hedge Baseline'!$B$1:$L$257,11,FALSE)),"",(VLOOKUP($B246,'B-1 On-Site Hedge Baseline'!$B$1:$L$257,11,FALSE))))</f>
        <v/>
      </c>
      <c r="K246" s="382" t="str">
        <f>IF(B246="","",IF(ISNA(VLOOKUP($B246,'B-1 On-Site Hedge Baseline'!$B$1:$U$257,13,FALSE)),"",(VLOOKUP($B246,'B-1 On-Site Hedge Baseline'!$B$1:$U$257,13,FALSE))))</f>
        <v/>
      </c>
      <c r="L246" s="386" t="str">
        <f>IF(B246="","",IF(ISNA(VLOOKUP($B246,'B-1 On-Site Hedge Baseline'!$B$1:$U$257,12,FALSE)),"",(VLOOKUP($B246,'B-1 On-Site Hedge Baseline'!$B$1:$U$257,12,FALSE))))</f>
        <v/>
      </c>
      <c r="M246" s="315" t="str">
        <f t="shared" si="31"/>
        <v/>
      </c>
      <c r="N246" s="362" t="str">
        <f>IFERROR(IF(B246="","",INDEX('G-6 Hedgerow Data'!$AN$3:$AZ$15,MATCH(C246,'G-6 Hedgerow Data'!$AM$3:$AM$15,0),MATCH(M246,'G-6 Hedgerow Data'!$AN$2:$AZ$2,0))),"")</f>
        <v/>
      </c>
      <c r="O246" s="363" t="str">
        <f t="shared" si="26"/>
        <v/>
      </c>
      <c r="P246" s="417" t="str">
        <f>IF(B246="","",VLOOKUP(B246,'B-1 On-Site Hedge Baseline'!$B$10:T491,16,FALSE))</f>
        <v/>
      </c>
      <c r="Q246" s="362" t="str">
        <f>IF(M246="","",VLOOKUP(M246,'G-6 Hedgerow Data'!$B$2:$AG$15,2,FALSE))</f>
        <v/>
      </c>
      <c r="R246" s="363" t="str">
        <f>IF(M246="","",VLOOKUP(M246,'G-6 Hedgerow Data'!$B$2:$AG$15,3,FALSE))</f>
        <v/>
      </c>
      <c r="S246" s="125"/>
      <c r="T246" s="401" t="str">
        <f>IFERROR(VLOOKUP(S246,'G-1 All Habitats'!$Z$2:$AA$9,2,FALSE),"")</f>
        <v/>
      </c>
      <c r="U246" s="122"/>
      <c r="V246" s="382" t="str">
        <f>IF(U246="","",IF(VLOOKUP(U246,'G-3 Multipliers'!$L$3:$N$6,2,FALSE)=0,"Spatial Data Missing ⚠",VLOOKUP(U246,'G-3 Multipliers'!$L$3:$N$6,2,FALSE)))</f>
        <v/>
      </c>
      <c r="W246" s="386" t="str">
        <f>IF(U246="","",IF(VLOOKUP(U246,'G-3 Multipliers'!$L$3:$N$6,3,FALSE)=0,"Spatial Data Missing ⚠",VLOOKUP(U246,'G-3 Multipliers'!$L$3:$N$6,3,FALSE)))</f>
        <v/>
      </c>
      <c r="X246" s="362" t="str">
        <f>IFERROR(IF(OR(LEFT(O246,5)="Error",LEFT(N246,5)="Error",T246="Error"),"Check Data ⚠",IF(F246&lt;R246,INDEX('G-6 Hedgerow Data'!$S$3:$AE$14,MATCH(C246,'G-6 Hedgerow Data'!$B$3:$B$14,0),MATCH(M246,'G-6 Hedgerow Data'!$S$2:$AE$2,0)),INDEX('G-6 Hedgerow Data'!$K$3:$Q$14,MATCH(M246,'G-6 Hedgerow Data'!$B$3:$B$14,0),MATCH(O246,'G-6 Hedgerow Data'!$K$2:$Q$2,0)))),"")</f>
        <v/>
      </c>
      <c r="Y246" s="159"/>
      <c r="Z246" s="159"/>
      <c r="AA246" s="370" t="str">
        <f t="shared" si="27"/>
        <v/>
      </c>
      <c r="AB246" s="383" t="str">
        <f t="shared" si="28"/>
        <v/>
      </c>
      <c r="AC246" s="384" t="str">
        <f t="shared" si="24"/>
        <v/>
      </c>
      <c r="AD246" s="398" t="str">
        <f>IF(M246="","",VLOOKUP(M246,'G-6 Hedgerow Data'!$B$3:$AG$15,31,FALSE))</f>
        <v/>
      </c>
      <c r="AE246" s="370" t="str">
        <f t="shared" si="29"/>
        <v/>
      </c>
      <c r="AF246" s="370" t="str">
        <f t="shared" si="30"/>
        <v/>
      </c>
      <c r="AG246" s="386" t="str">
        <f>IFERROR(IF(O246="","",VLOOKUP(AD246,'G-3 Multipliers'!$P$3:$Q$6,2,FALSE)),"")</f>
        <v/>
      </c>
      <c r="AH246" s="376" t="str">
        <f t="shared" si="25"/>
        <v/>
      </c>
      <c r="AI246" s="188"/>
      <c r="AJ246" s="118"/>
      <c r="AK246" s="120"/>
      <c r="AT246" s="30" t="str">
        <f>IFERROR(INDEX('G-6 Hedgerow Data'!$BJ$3:$BJ$15,MATCH(M246,'G-6 Hedgerow Data'!$B$3:$B$15,0)),"")</f>
        <v/>
      </c>
    </row>
    <row r="247" spans="2:46" ht="15">
      <c r="B247" s="392" t="str">
        <f>'B-1 On-Site Hedge Baseline'!AK245</f>
        <v/>
      </c>
      <c r="C247" s="382" t="str">
        <f>IF(B247="","",IF(ISNA(VLOOKUP($B247,'B-1 On-Site Hedge Baseline'!$B$1:$L$257,3,FALSE)),"",(VLOOKUP($B247,'B-1 On-Site Hedge Baseline'!$B$1:$L$257,3,FALSE))))</f>
        <v/>
      </c>
      <c r="D247" s="382" t="str">
        <f>IF(B247="","",IF(ISNA(VLOOKUP($B247,'B-1 On-Site Hedge Baseline'!$B$1:$L$257,4,FALSE)),"",(VLOOKUP($B247,'B-1 On-Site Hedge Baseline'!$B$1:$L$257,4,FALSE))))</f>
        <v/>
      </c>
      <c r="E247" s="382" t="str">
        <f>IF(B247="","",IF(ISNA(VLOOKUP($B247,'B-1 On-Site Hedge Baseline'!$B$1:$L$257,5,FALSE)),"",(VLOOKUP($B247,'B-1 On-Site Hedge Baseline'!$B$1:$L$257,5,FALSE))))</f>
        <v/>
      </c>
      <c r="F247" s="382" t="str">
        <f>IF(B247="","",IF(ISNA(VLOOKUP($B247,'B-1 On-Site Hedge Baseline'!$B$1:$L$257,6,FALSE)),"",(VLOOKUP($B247,'B-1 On-Site Hedge Baseline'!$B$1:$L$257,6,FALSE))))</f>
        <v/>
      </c>
      <c r="G247" s="382" t="str">
        <f>IF(B247="","",IF(ISNA(VLOOKUP($B247,'B-1 On-Site Hedge Baseline'!$B$1:$L$257,7,FALSE)),"",(VLOOKUP($B247,'B-1 On-Site Hedge Baseline'!$B$1:$L$257,7,FALSE))))</f>
        <v/>
      </c>
      <c r="H247" s="382" t="str">
        <f>IF(B247="","",IF(ISNA(VLOOKUP($B247,'B-1 On-Site Hedge Baseline'!$B$1:$L$257,8,FALSE)),"",(VLOOKUP($B247,'B-1 On-Site Hedge Baseline'!$B$1:$L$257,8,FALSE))))</f>
        <v/>
      </c>
      <c r="I247" s="382" t="str">
        <f>IF(B247="","",IF(ISNA(VLOOKUP($B247,'B-1 On-Site Hedge Baseline'!$B$1:$L$257,10,FALSE)),"",(VLOOKUP($B247,'B-1 On-Site Hedge Baseline'!$B$1:$L$257,10,FALSE))))</f>
        <v/>
      </c>
      <c r="J247" s="382" t="str">
        <f>IF(B247="","",IF(ISNA(VLOOKUP($B247,'B-1 On-Site Hedge Baseline'!$B$1:$L$257,11,FALSE)),"",(VLOOKUP($B247,'B-1 On-Site Hedge Baseline'!$B$1:$L$257,11,FALSE))))</f>
        <v/>
      </c>
      <c r="K247" s="382" t="str">
        <f>IF(B247="","",IF(ISNA(VLOOKUP($B247,'B-1 On-Site Hedge Baseline'!$B$1:$U$257,13,FALSE)),"",(VLOOKUP($B247,'B-1 On-Site Hedge Baseline'!$B$1:$U$257,13,FALSE))))</f>
        <v/>
      </c>
      <c r="L247" s="386" t="str">
        <f>IF(B247="","",IF(ISNA(VLOOKUP($B247,'B-1 On-Site Hedge Baseline'!$B$1:$U$257,12,FALSE)),"",(VLOOKUP($B247,'B-1 On-Site Hedge Baseline'!$B$1:$U$257,12,FALSE))))</f>
        <v/>
      </c>
      <c r="M247" s="315" t="str">
        <f t="shared" si="31"/>
        <v/>
      </c>
      <c r="N247" s="362" t="str">
        <f>IFERROR(IF(B247="","",INDEX('G-6 Hedgerow Data'!$AN$3:$AZ$15,MATCH(C247,'G-6 Hedgerow Data'!$AM$3:$AM$15,0),MATCH(M247,'G-6 Hedgerow Data'!$AN$2:$AZ$2,0))),"")</f>
        <v/>
      </c>
      <c r="O247" s="363" t="str">
        <f t="shared" si="26"/>
        <v/>
      </c>
      <c r="P247" s="417" t="str">
        <f>IF(B247="","",VLOOKUP(B247,'B-1 On-Site Hedge Baseline'!$B$10:T492,16,FALSE))</f>
        <v/>
      </c>
      <c r="Q247" s="362" t="str">
        <f>IF(M247="","",VLOOKUP(M247,'G-6 Hedgerow Data'!$B$2:$AG$15,2,FALSE))</f>
        <v/>
      </c>
      <c r="R247" s="363" t="str">
        <f>IF(M247="","",VLOOKUP(M247,'G-6 Hedgerow Data'!$B$2:$AG$15,3,FALSE))</f>
        <v/>
      </c>
      <c r="S247" s="125"/>
      <c r="T247" s="401" t="str">
        <f>IFERROR(VLOOKUP(S247,'G-1 All Habitats'!$Z$2:$AA$9,2,FALSE),"")</f>
        <v/>
      </c>
      <c r="U247" s="122"/>
      <c r="V247" s="382" t="str">
        <f>IF(U247="","",IF(VLOOKUP(U247,'G-3 Multipliers'!$L$3:$N$6,2,FALSE)=0,"Spatial Data Missing ⚠",VLOOKUP(U247,'G-3 Multipliers'!$L$3:$N$6,2,FALSE)))</f>
        <v/>
      </c>
      <c r="W247" s="386" t="str">
        <f>IF(U247="","",IF(VLOOKUP(U247,'G-3 Multipliers'!$L$3:$N$6,3,FALSE)=0,"Spatial Data Missing ⚠",VLOOKUP(U247,'G-3 Multipliers'!$L$3:$N$6,3,FALSE)))</f>
        <v/>
      </c>
      <c r="X247" s="362" t="str">
        <f>IFERROR(IF(OR(LEFT(O247,5)="Error",LEFT(N247,5)="Error",T247="Error"),"Check Data ⚠",IF(F247&lt;R247,INDEX('G-6 Hedgerow Data'!$S$3:$AE$14,MATCH(C247,'G-6 Hedgerow Data'!$B$3:$B$14,0),MATCH(M247,'G-6 Hedgerow Data'!$S$2:$AE$2,0)),INDEX('G-6 Hedgerow Data'!$K$3:$Q$14,MATCH(M247,'G-6 Hedgerow Data'!$B$3:$B$14,0),MATCH(O247,'G-6 Hedgerow Data'!$K$2:$Q$2,0)))),"")</f>
        <v/>
      </c>
      <c r="Y247" s="159"/>
      <c r="Z247" s="159"/>
      <c r="AA247" s="370" t="str">
        <f t="shared" si="27"/>
        <v/>
      </c>
      <c r="AB247" s="383" t="str">
        <f t="shared" si="28"/>
        <v/>
      </c>
      <c r="AC247" s="384" t="str">
        <f t="shared" si="24"/>
        <v/>
      </c>
      <c r="AD247" s="398" t="str">
        <f>IF(M247="","",VLOOKUP(M247,'G-6 Hedgerow Data'!$B$3:$AG$15,31,FALSE))</f>
        <v/>
      </c>
      <c r="AE247" s="370" t="str">
        <f t="shared" si="29"/>
        <v/>
      </c>
      <c r="AF247" s="370" t="str">
        <f t="shared" si="30"/>
        <v/>
      </c>
      <c r="AG247" s="386" t="str">
        <f>IFERROR(IF(O247="","",VLOOKUP(AD247,'G-3 Multipliers'!$P$3:$Q$6,2,FALSE)),"")</f>
        <v/>
      </c>
      <c r="AH247" s="376" t="str">
        <f t="shared" si="25"/>
        <v/>
      </c>
      <c r="AI247" s="188"/>
      <c r="AJ247" s="118"/>
      <c r="AK247" s="120"/>
      <c r="AT247" s="30" t="str">
        <f>IFERROR(INDEX('G-6 Hedgerow Data'!$BJ$3:$BJ$15,MATCH(M247,'G-6 Hedgerow Data'!$B$3:$B$15,0)),"")</f>
        <v/>
      </c>
    </row>
    <row r="248" spans="2:46" ht="15">
      <c r="B248" s="392" t="str">
        <f>'B-1 On-Site Hedge Baseline'!AK246</f>
        <v/>
      </c>
      <c r="C248" s="382" t="str">
        <f>IF(B248="","",IF(ISNA(VLOOKUP($B248,'B-1 On-Site Hedge Baseline'!$B$1:$L$257,3,FALSE)),"",(VLOOKUP($B248,'B-1 On-Site Hedge Baseline'!$B$1:$L$257,3,FALSE))))</f>
        <v/>
      </c>
      <c r="D248" s="382" t="str">
        <f>IF(B248="","",IF(ISNA(VLOOKUP($B248,'B-1 On-Site Hedge Baseline'!$B$1:$L$257,4,FALSE)),"",(VLOOKUP($B248,'B-1 On-Site Hedge Baseline'!$B$1:$L$257,4,FALSE))))</f>
        <v/>
      </c>
      <c r="E248" s="382" t="str">
        <f>IF(B248="","",IF(ISNA(VLOOKUP($B248,'B-1 On-Site Hedge Baseline'!$B$1:$L$257,5,FALSE)),"",(VLOOKUP($B248,'B-1 On-Site Hedge Baseline'!$B$1:$L$257,5,FALSE))))</f>
        <v/>
      </c>
      <c r="F248" s="382" t="str">
        <f>IF(B248="","",IF(ISNA(VLOOKUP($B248,'B-1 On-Site Hedge Baseline'!$B$1:$L$257,6,FALSE)),"",(VLOOKUP($B248,'B-1 On-Site Hedge Baseline'!$B$1:$L$257,6,FALSE))))</f>
        <v/>
      </c>
      <c r="G248" s="382" t="str">
        <f>IF(B248="","",IF(ISNA(VLOOKUP($B248,'B-1 On-Site Hedge Baseline'!$B$1:$L$257,7,FALSE)),"",(VLOOKUP($B248,'B-1 On-Site Hedge Baseline'!$B$1:$L$257,7,FALSE))))</f>
        <v/>
      </c>
      <c r="H248" s="382" t="str">
        <f>IF(B248="","",IF(ISNA(VLOOKUP($B248,'B-1 On-Site Hedge Baseline'!$B$1:$L$257,8,FALSE)),"",(VLOOKUP($B248,'B-1 On-Site Hedge Baseline'!$B$1:$L$257,8,FALSE))))</f>
        <v/>
      </c>
      <c r="I248" s="382" t="str">
        <f>IF(B248="","",IF(ISNA(VLOOKUP($B248,'B-1 On-Site Hedge Baseline'!$B$1:$L$257,10,FALSE)),"",(VLOOKUP($B248,'B-1 On-Site Hedge Baseline'!$B$1:$L$257,10,FALSE))))</f>
        <v/>
      </c>
      <c r="J248" s="382" t="str">
        <f>IF(B248="","",IF(ISNA(VLOOKUP($B248,'B-1 On-Site Hedge Baseline'!$B$1:$L$257,11,FALSE)),"",(VLOOKUP($B248,'B-1 On-Site Hedge Baseline'!$B$1:$L$257,11,FALSE))))</f>
        <v/>
      </c>
      <c r="K248" s="382" t="str">
        <f>IF(B248="","",IF(ISNA(VLOOKUP($B248,'B-1 On-Site Hedge Baseline'!$B$1:$U$257,13,FALSE)),"",(VLOOKUP($B248,'B-1 On-Site Hedge Baseline'!$B$1:$U$257,13,FALSE))))</f>
        <v/>
      </c>
      <c r="L248" s="386" t="str">
        <f>IF(B248="","",IF(ISNA(VLOOKUP($B248,'B-1 On-Site Hedge Baseline'!$B$1:$U$257,12,FALSE)),"",(VLOOKUP($B248,'B-1 On-Site Hedge Baseline'!$B$1:$U$257,12,FALSE))))</f>
        <v/>
      </c>
      <c r="M248" s="315" t="str">
        <f t="shared" si="31"/>
        <v/>
      </c>
      <c r="N248" s="362" t="str">
        <f>IFERROR(IF(B248="","",INDEX('G-6 Hedgerow Data'!$AN$3:$AZ$15,MATCH(C248,'G-6 Hedgerow Data'!$AM$3:$AM$15,0),MATCH(M248,'G-6 Hedgerow Data'!$AN$2:$AZ$2,0))),"")</f>
        <v/>
      </c>
      <c r="O248" s="363" t="str">
        <f t="shared" si="26"/>
        <v/>
      </c>
      <c r="P248" s="417" t="str">
        <f>IF(B248="","",VLOOKUP(B248,'B-1 On-Site Hedge Baseline'!$B$10:T493,16,FALSE))</f>
        <v/>
      </c>
      <c r="Q248" s="362" t="str">
        <f>IF(M248="","",VLOOKUP(M248,'G-6 Hedgerow Data'!$B$2:$AG$15,2,FALSE))</f>
        <v/>
      </c>
      <c r="R248" s="363" t="str">
        <f>IF(M248="","",VLOOKUP(M248,'G-6 Hedgerow Data'!$B$2:$AG$15,3,FALSE))</f>
        <v/>
      </c>
      <c r="S248" s="125"/>
      <c r="T248" s="401" t="str">
        <f>IFERROR(VLOOKUP(S248,'G-1 All Habitats'!$Z$2:$AA$9,2,FALSE),"")</f>
        <v/>
      </c>
      <c r="U248" s="122"/>
      <c r="V248" s="382" t="str">
        <f>IF(U248="","",IF(VLOOKUP(U248,'G-3 Multipliers'!$L$3:$N$6,2,FALSE)=0,"Spatial Data Missing ⚠",VLOOKUP(U248,'G-3 Multipliers'!$L$3:$N$6,2,FALSE)))</f>
        <v/>
      </c>
      <c r="W248" s="386" t="str">
        <f>IF(U248="","",IF(VLOOKUP(U248,'G-3 Multipliers'!$L$3:$N$6,3,FALSE)=0,"Spatial Data Missing ⚠",VLOOKUP(U248,'G-3 Multipliers'!$L$3:$N$6,3,FALSE)))</f>
        <v/>
      </c>
      <c r="X248" s="362" t="str">
        <f>IFERROR(IF(OR(LEFT(O248,5)="Error",LEFT(N248,5)="Error",T248="Error"),"Check Data ⚠",IF(F248&lt;R248,INDEX('G-6 Hedgerow Data'!$S$3:$AE$14,MATCH(C248,'G-6 Hedgerow Data'!$B$3:$B$14,0),MATCH(M248,'G-6 Hedgerow Data'!$S$2:$AE$2,0)),INDEX('G-6 Hedgerow Data'!$K$3:$Q$14,MATCH(M248,'G-6 Hedgerow Data'!$B$3:$B$14,0),MATCH(O248,'G-6 Hedgerow Data'!$K$2:$Q$2,0)))),"")</f>
        <v/>
      </c>
      <c r="Y248" s="159"/>
      <c r="Z248" s="159"/>
      <c r="AA248" s="370" t="str">
        <f t="shared" si="27"/>
        <v/>
      </c>
      <c r="AB248" s="383" t="str">
        <f t="shared" si="28"/>
        <v/>
      </c>
      <c r="AC248" s="384" t="str">
        <f t="shared" si="24"/>
        <v/>
      </c>
      <c r="AD248" s="398" t="str">
        <f>IF(M248="","",VLOOKUP(M248,'G-6 Hedgerow Data'!$B$3:$AG$15,31,FALSE))</f>
        <v/>
      </c>
      <c r="AE248" s="370" t="str">
        <f t="shared" si="29"/>
        <v/>
      </c>
      <c r="AF248" s="370" t="str">
        <f t="shared" si="30"/>
        <v/>
      </c>
      <c r="AG248" s="386" t="str">
        <f>IFERROR(IF(O248="","",VLOOKUP(AD248,'G-3 Multipliers'!$P$3:$Q$6,2,FALSE)),"")</f>
        <v/>
      </c>
      <c r="AH248" s="376" t="str">
        <f t="shared" si="25"/>
        <v/>
      </c>
      <c r="AI248" s="188"/>
      <c r="AJ248" s="118"/>
      <c r="AK248" s="120"/>
      <c r="AT248" s="30" t="str">
        <f>IFERROR(INDEX('G-6 Hedgerow Data'!$BJ$3:$BJ$15,MATCH(M248,'G-6 Hedgerow Data'!$B$3:$B$15,0)),"")</f>
        <v/>
      </c>
    </row>
    <row r="249" spans="2:46" ht="15">
      <c r="B249" s="392" t="str">
        <f>'B-1 On-Site Hedge Baseline'!AK247</f>
        <v/>
      </c>
      <c r="C249" s="382" t="str">
        <f>IF(B249="","",IF(ISNA(VLOOKUP($B249,'B-1 On-Site Hedge Baseline'!$B$1:$L$257,3,FALSE)),"",(VLOOKUP($B249,'B-1 On-Site Hedge Baseline'!$B$1:$L$257,3,FALSE))))</f>
        <v/>
      </c>
      <c r="D249" s="382" t="str">
        <f>IF(B249="","",IF(ISNA(VLOOKUP($B249,'B-1 On-Site Hedge Baseline'!$B$1:$L$257,4,FALSE)),"",(VLOOKUP($B249,'B-1 On-Site Hedge Baseline'!$B$1:$L$257,4,FALSE))))</f>
        <v/>
      </c>
      <c r="E249" s="382" t="str">
        <f>IF(B249="","",IF(ISNA(VLOOKUP($B249,'B-1 On-Site Hedge Baseline'!$B$1:$L$257,5,FALSE)),"",(VLOOKUP($B249,'B-1 On-Site Hedge Baseline'!$B$1:$L$257,5,FALSE))))</f>
        <v/>
      </c>
      <c r="F249" s="382" t="str">
        <f>IF(B249="","",IF(ISNA(VLOOKUP($B249,'B-1 On-Site Hedge Baseline'!$B$1:$L$257,6,FALSE)),"",(VLOOKUP($B249,'B-1 On-Site Hedge Baseline'!$B$1:$L$257,6,FALSE))))</f>
        <v/>
      </c>
      <c r="G249" s="382" t="str">
        <f>IF(B249="","",IF(ISNA(VLOOKUP($B249,'B-1 On-Site Hedge Baseline'!$B$1:$L$257,7,FALSE)),"",(VLOOKUP($B249,'B-1 On-Site Hedge Baseline'!$B$1:$L$257,7,FALSE))))</f>
        <v/>
      </c>
      <c r="H249" s="382" t="str">
        <f>IF(B249="","",IF(ISNA(VLOOKUP($B249,'B-1 On-Site Hedge Baseline'!$B$1:$L$257,8,FALSE)),"",(VLOOKUP($B249,'B-1 On-Site Hedge Baseline'!$B$1:$L$257,8,FALSE))))</f>
        <v/>
      </c>
      <c r="I249" s="382" t="str">
        <f>IF(B249="","",IF(ISNA(VLOOKUP($B249,'B-1 On-Site Hedge Baseline'!$B$1:$L$257,10,FALSE)),"",(VLOOKUP($B249,'B-1 On-Site Hedge Baseline'!$B$1:$L$257,10,FALSE))))</f>
        <v/>
      </c>
      <c r="J249" s="382" t="str">
        <f>IF(B249="","",IF(ISNA(VLOOKUP($B249,'B-1 On-Site Hedge Baseline'!$B$1:$L$257,11,FALSE)),"",(VLOOKUP($B249,'B-1 On-Site Hedge Baseline'!$B$1:$L$257,11,FALSE))))</f>
        <v/>
      </c>
      <c r="K249" s="382" t="str">
        <f>IF(B249="","",IF(ISNA(VLOOKUP($B249,'B-1 On-Site Hedge Baseline'!$B$1:$U$257,13,FALSE)),"",(VLOOKUP($B249,'B-1 On-Site Hedge Baseline'!$B$1:$U$257,13,FALSE))))</f>
        <v/>
      </c>
      <c r="L249" s="386" t="str">
        <f>IF(B249="","",IF(ISNA(VLOOKUP($B249,'B-1 On-Site Hedge Baseline'!$B$1:$U$257,12,FALSE)),"",(VLOOKUP($B249,'B-1 On-Site Hedge Baseline'!$B$1:$U$257,12,FALSE))))</f>
        <v/>
      </c>
      <c r="M249" s="315" t="str">
        <f t="shared" si="31"/>
        <v/>
      </c>
      <c r="N249" s="362" t="str">
        <f>IFERROR(IF(B249="","",INDEX('G-6 Hedgerow Data'!$AN$3:$AZ$15,MATCH(C249,'G-6 Hedgerow Data'!$AM$3:$AM$15,0),MATCH(M249,'G-6 Hedgerow Data'!$AN$2:$AZ$2,0))),"")</f>
        <v/>
      </c>
      <c r="O249" s="363" t="str">
        <f t="shared" si="26"/>
        <v/>
      </c>
      <c r="P249" s="417" t="str">
        <f>IF(B249="","",VLOOKUP(B249,'B-1 On-Site Hedge Baseline'!$B$10:T494,16,FALSE))</f>
        <v/>
      </c>
      <c r="Q249" s="362" t="str">
        <f>IF(M249="","",VLOOKUP(M249,'G-6 Hedgerow Data'!$B$2:$AG$15,2,FALSE))</f>
        <v/>
      </c>
      <c r="R249" s="363" t="str">
        <f>IF(M249="","",VLOOKUP(M249,'G-6 Hedgerow Data'!$B$2:$AG$15,3,FALSE))</f>
        <v/>
      </c>
      <c r="S249" s="125"/>
      <c r="T249" s="401" t="str">
        <f>IFERROR(VLOOKUP(S249,'G-1 All Habitats'!$Z$2:$AA$9,2,FALSE),"")</f>
        <v/>
      </c>
      <c r="U249" s="122"/>
      <c r="V249" s="382" t="str">
        <f>IF(U249="","",IF(VLOOKUP(U249,'G-3 Multipliers'!$L$3:$N$6,2,FALSE)=0,"Spatial Data Missing ⚠",VLOOKUP(U249,'G-3 Multipliers'!$L$3:$N$6,2,FALSE)))</f>
        <v/>
      </c>
      <c r="W249" s="386" t="str">
        <f>IF(U249="","",IF(VLOOKUP(U249,'G-3 Multipliers'!$L$3:$N$6,3,FALSE)=0,"Spatial Data Missing ⚠",VLOOKUP(U249,'G-3 Multipliers'!$L$3:$N$6,3,FALSE)))</f>
        <v/>
      </c>
      <c r="X249" s="362" t="str">
        <f>IFERROR(IF(OR(LEFT(O249,5)="Error",LEFT(N249,5)="Error",T249="Error"),"Check Data ⚠",IF(F249&lt;R249,INDEX('G-6 Hedgerow Data'!$S$3:$AE$14,MATCH(C249,'G-6 Hedgerow Data'!$B$3:$B$14,0),MATCH(M249,'G-6 Hedgerow Data'!$S$2:$AE$2,0)),INDEX('G-6 Hedgerow Data'!$K$3:$Q$14,MATCH(M249,'G-6 Hedgerow Data'!$B$3:$B$14,0),MATCH(O249,'G-6 Hedgerow Data'!$K$2:$Q$2,0)))),"")</f>
        <v/>
      </c>
      <c r="Y249" s="159"/>
      <c r="Z249" s="159"/>
      <c r="AA249" s="370" t="str">
        <f t="shared" si="27"/>
        <v/>
      </c>
      <c r="AB249" s="383" t="str">
        <f t="shared" si="28"/>
        <v/>
      </c>
      <c r="AC249" s="384" t="str">
        <f t="shared" si="24"/>
        <v/>
      </c>
      <c r="AD249" s="398" t="str">
        <f>IF(M249="","",VLOOKUP(M249,'G-6 Hedgerow Data'!$B$3:$AG$15,31,FALSE))</f>
        <v/>
      </c>
      <c r="AE249" s="370" t="str">
        <f t="shared" si="29"/>
        <v/>
      </c>
      <c r="AF249" s="370" t="str">
        <f t="shared" si="30"/>
        <v/>
      </c>
      <c r="AG249" s="386" t="str">
        <f>IFERROR(IF(O249="","",VLOOKUP(AD249,'G-3 Multipliers'!$P$3:$Q$6,2,FALSE)),"")</f>
        <v/>
      </c>
      <c r="AH249" s="376" t="str">
        <f t="shared" si="25"/>
        <v/>
      </c>
      <c r="AI249" s="188"/>
      <c r="AJ249" s="118"/>
      <c r="AK249" s="120"/>
      <c r="AT249" s="30" t="str">
        <f>IFERROR(INDEX('G-6 Hedgerow Data'!$BJ$3:$BJ$15,MATCH(M249,'G-6 Hedgerow Data'!$B$3:$B$15,0)),"")</f>
        <v/>
      </c>
    </row>
    <row r="250" spans="2:46" ht="15">
      <c r="B250" s="392" t="str">
        <f>'B-1 On-Site Hedge Baseline'!AK248</f>
        <v/>
      </c>
      <c r="C250" s="382" t="str">
        <f>IF(B250="","",IF(ISNA(VLOOKUP($B250,'B-1 On-Site Hedge Baseline'!$B$1:$L$257,3,FALSE)),"",(VLOOKUP($B250,'B-1 On-Site Hedge Baseline'!$B$1:$L$257,3,FALSE))))</f>
        <v/>
      </c>
      <c r="D250" s="382" t="str">
        <f>IF(B250="","",IF(ISNA(VLOOKUP($B250,'B-1 On-Site Hedge Baseline'!$B$1:$L$257,4,FALSE)),"",(VLOOKUP($B250,'B-1 On-Site Hedge Baseline'!$B$1:$L$257,4,FALSE))))</f>
        <v/>
      </c>
      <c r="E250" s="382" t="str">
        <f>IF(B250="","",IF(ISNA(VLOOKUP($B250,'B-1 On-Site Hedge Baseline'!$B$1:$L$257,5,FALSE)),"",(VLOOKUP($B250,'B-1 On-Site Hedge Baseline'!$B$1:$L$257,5,FALSE))))</f>
        <v/>
      </c>
      <c r="F250" s="382" t="str">
        <f>IF(B250="","",IF(ISNA(VLOOKUP($B250,'B-1 On-Site Hedge Baseline'!$B$1:$L$257,6,FALSE)),"",(VLOOKUP($B250,'B-1 On-Site Hedge Baseline'!$B$1:$L$257,6,FALSE))))</f>
        <v/>
      </c>
      <c r="G250" s="382" t="str">
        <f>IF(B250="","",IF(ISNA(VLOOKUP($B250,'B-1 On-Site Hedge Baseline'!$B$1:$L$257,7,FALSE)),"",(VLOOKUP($B250,'B-1 On-Site Hedge Baseline'!$B$1:$L$257,7,FALSE))))</f>
        <v/>
      </c>
      <c r="H250" s="382" t="str">
        <f>IF(B250="","",IF(ISNA(VLOOKUP($B250,'B-1 On-Site Hedge Baseline'!$B$1:$L$257,8,FALSE)),"",(VLOOKUP($B250,'B-1 On-Site Hedge Baseline'!$B$1:$L$257,8,FALSE))))</f>
        <v/>
      </c>
      <c r="I250" s="382" t="str">
        <f>IF(B250="","",IF(ISNA(VLOOKUP($B250,'B-1 On-Site Hedge Baseline'!$B$1:$L$257,10,FALSE)),"",(VLOOKUP($B250,'B-1 On-Site Hedge Baseline'!$B$1:$L$257,10,FALSE))))</f>
        <v/>
      </c>
      <c r="J250" s="382" t="str">
        <f>IF(B250="","",IF(ISNA(VLOOKUP($B250,'B-1 On-Site Hedge Baseline'!$B$1:$L$257,11,FALSE)),"",(VLOOKUP($B250,'B-1 On-Site Hedge Baseline'!$B$1:$L$257,11,FALSE))))</f>
        <v/>
      </c>
      <c r="K250" s="382" t="str">
        <f>IF(B250="","",IF(ISNA(VLOOKUP($B250,'B-1 On-Site Hedge Baseline'!$B$1:$U$257,13,FALSE)),"",(VLOOKUP($B250,'B-1 On-Site Hedge Baseline'!$B$1:$U$257,13,FALSE))))</f>
        <v/>
      </c>
      <c r="L250" s="386" t="str">
        <f>IF(B250="","",IF(ISNA(VLOOKUP($B250,'B-1 On-Site Hedge Baseline'!$B$1:$U$257,12,FALSE)),"",(VLOOKUP($B250,'B-1 On-Site Hedge Baseline'!$B$1:$U$257,12,FALSE))))</f>
        <v/>
      </c>
      <c r="M250" s="315" t="str">
        <f t="shared" si="31"/>
        <v/>
      </c>
      <c r="N250" s="362" t="str">
        <f>IFERROR(IF(B250="","",INDEX('G-6 Hedgerow Data'!$AN$3:$AZ$15,MATCH(C250,'G-6 Hedgerow Data'!$AM$3:$AM$15,0),MATCH(M250,'G-6 Hedgerow Data'!$AN$2:$AZ$2,0))),"")</f>
        <v/>
      </c>
      <c r="O250" s="363" t="str">
        <f t="shared" si="26"/>
        <v/>
      </c>
      <c r="P250" s="417" t="str">
        <f>IF(B250="","",VLOOKUP(B250,'B-1 On-Site Hedge Baseline'!$B$10:T495,16,FALSE))</f>
        <v/>
      </c>
      <c r="Q250" s="362" t="str">
        <f>IF(M250="","",VLOOKUP(M250,'G-6 Hedgerow Data'!$B$2:$AG$15,2,FALSE))</f>
        <v/>
      </c>
      <c r="R250" s="363" t="str">
        <f>IF(M250="","",VLOOKUP(M250,'G-6 Hedgerow Data'!$B$2:$AG$15,3,FALSE))</f>
        <v/>
      </c>
      <c r="S250" s="125"/>
      <c r="T250" s="401" t="str">
        <f>IFERROR(VLOOKUP(S250,'G-1 All Habitats'!$Z$2:$AA$9,2,FALSE),"")</f>
        <v/>
      </c>
      <c r="U250" s="122"/>
      <c r="V250" s="382" t="str">
        <f>IF(U250="","",IF(VLOOKUP(U250,'G-3 Multipliers'!$L$3:$N$6,2,FALSE)=0,"Spatial Data Missing ⚠",VLOOKUP(U250,'G-3 Multipliers'!$L$3:$N$6,2,FALSE)))</f>
        <v/>
      </c>
      <c r="W250" s="386" t="str">
        <f>IF(U250="","",IF(VLOOKUP(U250,'G-3 Multipliers'!$L$3:$N$6,3,FALSE)=0,"Spatial Data Missing ⚠",VLOOKUP(U250,'G-3 Multipliers'!$L$3:$N$6,3,FALSE)))</f>
        <v/>
      </c>
      <c r="X250" s="362" t="str">
        <f>IFERROR(IF(OR(LEFT(O250,5)="Error",LEFT(N250,5)="Error",T250="Error"),"Check Data ⚠",IF(F250&lt;R250,INDEX('G-6 Hedgerow Data'!$S$3:$AE$14,MATCH(C250,'G-6 Hedgerow Data'!$B$3:$B$14,0),MATCH(M250,'G-6 Hedgerow Data'!$S$2:$AE$2,0)),INDEX('G-6 Hedgerow Data'!$K$3:$Q$14,MATCH(M250,'G-6 Hedgerow Data'!$B$3:$B$14,0),MATCH(O250,'G-6 Hedgerow Data'!$K$2:$Q$2,0)))),"")</f>
        <v/>
      </c>
      <c r="Y250" s="159"/>
      <c r="Z250" s="159"/>
      <c r="AA250" s="370" t="str">
        <f t="shared" si="27"/>
        <v/>
      </c>
      <c r="AB250" s="383" t="str">
        <f t="shared" si="28"/>
        <v/>
      </c>
      <c r="AC250" s="384" t="str">
        <f t="shared" si="24"/>
        <v/>
      </c>
      <c r="AD250" s="398" t="str">
        <f>IF(M250="","",VLOOKUP(M250,'G-6 Hedgerow Data'!$B$3:$AG$15,31,FALSE))</f>
        <v/>
      </c>
      <c r="AE250" s="370" t="str">
        <f t="shared" si="29"/>
        <v/>
      </c>
      <c r="AF250" s="370" t="str">
        <f t="shared" si="30"/>
        <v/>
      </c>
      <c r="AG250" s="386" t="str">
        <f>IFERROR(IF(O250="","",VLOOKUP(AD250,'G-3 Multipliers'!$P$3:$Q$6,2,FALSE)),"")</f>
        <v/>
      </c>
      <c r="AH250" s="376" t="str">
        <f t="shared" si="25"/>
        <v/>
      </c>
      <c r="AI250" s="188"/>
      <c r="AJ250" s="118"/>
      <c r="AK250" s="120"/>
      <c r="AT250" s="30" t="str">
        <f>IFERROR(INDEX('G-6 Hedgerow Data'!$BJ$3:$BJ$15,MATCH(M250,'G-6 Hedgerow Data'!$B$3:$B$15,0)),"")</f>
        <v/>
      </c>
    </row>
    <row r="251" spans="2:46" ht="15">
      <c r="B251" s="392" t="str">
        <f>'B-1 On-Site Hedge Baseline'!AK249</f>
        <v/>
      </c>
      <c r="C251" s="382" t="str">
        <f>IF(B251="","",IF(ISNA(VLOOKUP($B251,'B-1 On-Site Hedge Baseline'!$B$1:$L$257,3,FALSE)),"",(VLOOKUP($B251,'B-1 On-Site Hedge Baseline'!$B$1:$L$257,3,FALSE))))</f>
        <v/>
      </c>
      <c r="D251" s="382" t="str">
        <f>IF(B251="","",IF(ISNA(VLOOKUP($B251,'B-1 On-Site Hedge Baseline'!$B$1:$L$257,4,FALSE)),"",(VLOOKUP($B251,'B-1 On-Site Hedge Baseline'!$B$1:$L$257,4,FALSE))))</f>
        <v/>
      </c>
      <c r="E251" s="382" t="str">
        <f>IF(B251="","",IF(ISNA(VLOOKUP($B251,'B-1 On-Site Hedge Baseline'!$B$1:$L$257,5,FALSE)),"",(VLOOKUP($B251,'B-1 On-Site Hedge Baseline'!$B$1:$L$257,5,FALSE))))</f>
        <v/>
      </c>
      <c r="F251" s="382" t="str">
        <f>IF(B251="","",IF(ISNA(VLOOKUP($B251,'B-1 On-Site Hedge Baseline'!$B$1:$L$257,6,FALSE)),"",(VLOOKUP($B251,'B-1 On-Site Hedge Baseline'!$B$1:$L$257,6,FALSE))))</f>
        <v/>
      </c>
      <c r="G251" s="382" t="str">
        <f>IF(B251="","",IF(ISNA(VLOOKUP($B251,'B-1 On-Site Hedge Baseline'!$B$1:$L$257,7,FALSE)),"",(VLOOKUP($B251,'B-1 On-Site Hedge Baseline'!$B$1:$L$257,7,FALSE))))</f>
        <v/>
      </c>
      <c r="H251" s="382" t="str">
        <f>IF(B251="","",IF(ISNA(VLOOKUP($B251,'B-1 On-Site Hedge Baseline'!$B$1:$L$257,8,FALSE)),"",(VLOOKUP($B251,'B-1 On-Site Hedge Baseline'!$B$1:$L$257,8,FALSE))))</f>
        <v/>
      </c>
      <c r="I251" s="382" t="str">
        <f>IF(B251="","",IF(ISNA(VLOOKUP($B251,'B-1 On-Site Hedge Baseline'!$B$1:$L$257,10,FALSE)),"",(VLOOKUP($B251,'B-1 On-Site Hedge Baseline'!$B$1:$L$257,10,FALSE))))</f>
        <v/>
      </c>
      <c r="J251" s="382" t="str">
        <f>IF(B251="","",IF(ISNA(VLOOKUP($B251,'B-1 On-Site Hedge Baseline'!$B$1:$L$257,11,FALSE)),"",(VLOOKUP($B251,'B-1 On-Site Hedge Baseline'!$B$1:$L$257,11,FALSE))))</f>
        <v/>
      </c>
      <c r="K251" s="382" t="str">
        <f>IF(B251="","",IF(ISNA(VLOOKUP($B251,'B-1 On-Site Hedge Baseline'!$B$1:$U$257,13,FALSE)),"",(VLOOKUP($B251,'B-1 On-Site Hedge Baseline'!$B$1:$U$257,13,FALSE))))</f>
        <v/>
      </c>
      <c r="L251" s="386" t="str">
        <f>IF(B251="","",IF(ISNA(VLOOKUP($B251,'B-1 On-Site Hedge Baseline'!$B$1:$U$257,12,FALSE)),"",(VLOOKUP($B251,'B-1 On-Site Hedge Baseline'!$B$1:$U$257,12,FALSE))))</f>
        <v/>
      </c>
      <c r="M251" s="315" t="str">
        <f t="shared" si="31"/>
        <v/>
      </c>
      <c r="N251" s="362" t="str">
        <f>IFERROR(IF(B251="","",INDEX('G-6 Hedgerow Data'!$AN$3:$AZ$15,MATCH(C251,'G-6 Hedgerow Data'!$AM$3:$AM$15,0),MATCH(M251,'G-6 Hedgerow Data'!$AN$2:$AZ$2,0))),"")</f>
        <v/>
      </c>
      <c r="O251" s="363" t="str">
        <f t="shared" si="26"/>
        <v/>
      </c>
      <c r="P251" s="417" t="str">
        <f>IF(B251="","",VLOOKUP(B251,'B-1 On-Site Hedge Baseline'!$B$10:T496,16,FALSE))</f>
        <v/>
      </c>
      <c r="Q251" s="362" t="str">
        <f>IF(M251="","",VLOOKUP(M251,'G-6 Hedgerow Data'!$B$2:$AG$15,2,FALSE))</f>
        <v/>
      </c>
      <c r="R251" s="363" t="str">
        <f>IF(M251="","",VLOOKUP(M251,'G-6 Hedgerow Data'!$B$2:$AG$15,3,FALSE))</f>
        <v/>
      </c>
      <c r="S251" s="125"/>
      <c r="T251" s="401" t="str">
        <f>IFERROR(VLOOKUP(S251,'G-1 All Habitats'!$Z$2:$AA$9,2,FALSE),"")</f>
        <v/>
      </c>
      <c r="U251" s="122"/>
      <c r="V251" s="382" t="str">
        <f>IF(U251="","",IF(VLOOKUP(U251,'G-3 Multipliers'!$L$3:$N$6,2,FALSE)=0,"Spatial Data Missing ⚠",VLOOKUP(U251,'G-3 Multipliers'!$L$3:$N$6,2,FALSE)))</f>
        <v/>
      </c>
      <c r="W251" s="386" t="str">
        <f>IF(U251="","",IF(VLOOKUP(U251,'G-3 Multipliers'!$L$3:$N$6,3,FALSE)=0,"Spatial Data Missing ⚠",VLOOKUP(U251,'G-3 Multipliers'!$L$3:$N$6,3,FALSE)))</f>
        <v/>
      </c>
      <c r="X251" s="362" t="str">
        <f>IFERROR(IF(OR(LEFT(O251,5)="Error",LEFT(N251,5)="Error",T251="Error"),"Check Data ⚠",IF(F251&lt;R251,INDEX('G-6 Hedgerow Data'!$S$3:$AE$14,MATCH(C251,'G-6 Hedgerow Data'!$B$3:$B$14,0),MATCH(M251,'G-6 Hedgerow Data'!$S$2:$AE$2,0)),INDEX('G-6 Hedgerow Data'!$K$3:$Q$14,MATCH(M251,'G-6 Hedgerow Data'!$B$3:$B$14,0),MATCH(O251,'G-6 Hedgerow Data'!$K$2:$Q$2,0)))),"")</f>
        <v/>
      </c>
      <c r="Y251" s="159"/>
      <c r="Z251" s="159"/>
      <c r="AA251" s="370" t="str">
        <f t="shared" si="27"/>
        <v/>
      </c>
      <c r="AB251" s="383" t="str">
        <f t="shared" si="28"/>
        <v/>
      </c>
      <c r="AC251" s="384" t="str">
        <f t="shared" si="24"/>
        <v/>
      </c>
      <c r="AD251" s="398" t="str">
        <f>IF(M251="","",VLOOKUP(M251,'G-6 Hedgerow Data'!$B$3:$AG$15,31,FALSE))</f>
        <v/>
      </c>
      <c r="AE251" s="370" t="str">
        <f t="shared" si="29"/>
        <v/>
      </c>
      <c r="AF251" s="370" t="str">
        <f t="shared" si="30"/>
        <v/>
      </c>
      <c r="AG251" s="386" t="str">
        <f>IFERROR(IF(O251="","",VLOOKUP(AD251,'G-3 Multipliers'!$P$3:$Q$6,2,FALSE)),"")</f>
        <v/>
      </c>
      <c r="AH251" s="376" t="str">
        <f t="shared" si="25"/>
        <v/>
      </c>
      <c r="AI251" s="188"/>
      <c r="AJ251" s="118"/>
      <c r="AK251" s="120"/>
      <c r="AT251" s="30" t="str">
        <f>IFERROR(INDEX('G-6 Hedgerow Data'!$BJ$3:$BJ$15,MATCH(M251,'G-6 Hedgerow Data'!$B$3:$B$15,0)),"")</f>
        <v/>
      </c>
    </row>
    <row r="252" spans="2:46" ht="15">
      <c r="B252" s="392" t="str">
        <f>'B-1 On-Site Hedge Baseline'!AK250</f>
        <v/>
      </c>
      <c r="C252" s="382" t="str">
        <f>IF(B252="","",IF(ISNA(VLOOKUP($B252,'B-1 On-Site Hedge Baseline'!$B$1:$L$257,3,FALSE)),"",(VLOOKUP($B252,'B-1 On-Site Hedge Baseline'!$B$1:$L$257,3,FALSE))))</f>
        <v/>
      </c>
      <c r="D252" s="382" t="str">
        <f>IF(B252="","",IF(ISNA(VLOOKUP($B252,'B-1 On-Site Hedge Baseline'!$B$1:$L$257,4,FALSE)),"",(VLOOKUP($B252,'B-1 On-Site Hedge Baseline'!$B$1:$L$257,4,FALSE))))</f>
        <v/>
      </c>
      <c r="E252" s="382" t="str">
        <f>IF(B252="","",IF(ISNA(VLOOKUP($B252,'B-1 On-Site Hedge Baseline'!$B$1:$L$257,5,FALSE)),"",(VLOOKUP($B252,'B-1 On-Site Hedge Baseline'!$B$1:$L$257,5,FALSE))))</f>
        <v/>
      </c>
      <c r="F252" s="382" t="str">
        <f>IF(B252="","",IF(ISNA(VLOOKUP($B252,'B-1 On-Site Hedge Baseline'!$B$1:$L$257,6,FALSE)),"",(VLOOKUP($B252,'B-1 On-Site Hedge Baseline'!$B$1:$L$257,6,FALSE))))</f>
        <v/>
      </c>
      <c r="G252" s="382" t="str">
        <f>IF(B252="","",IF(ISNA(VLOOKUP($B252,'B-1 On-Site Hedge Baseline'!$B$1:$L$257,7,FALSE)),"",(VLOOKUP($B252,'B-1 On-Site Hedge Baseline'!$B$1:$L$257,7,FALSE))))</f>
        <v/>
      </c>
      <c r="H252" s="382" t="str">
        <f>IF(B252="","",IF(ISNA(VLOOKUP($B252,'B-1 On-Site Hedge Baseline'!$B$1:$L$257,8,FALSE)),"",(VLOOKUP($B252,'B-1 On-Site Hedge Baseline'!$B$1:$L$257,8,FALSE))))</f>
        <v/>
      </c>
      <c r="I252" s="382" t="str">
        <f>IF(B252="","",IF(ISNA(VLOOKUP($B252,'B-1 On-Site Hedge Baseline'!$B$1:$L$257,10,FALSE)),"",(VLOOKUP($B252,'B-1 On-Site Hedge Baseline'!$B$1:$L$257,10,FALSE))))</f>
        <v/>
      </c>
      <c r="J252" s="382" t="str">
        <f>IF(B252="","",IF(ISNA(VLOOKUP($B252,'B-1 On-Site Hedge Baseline'!$B$1:$L$257,11,FALSE)),"",(VLOOKUP($B252,'B-1 On-Site Hedge Baseline'!$B$1:$L$257,11,FALSE))))</f>
        <v/>
      </c>
      <c r="K252" s="382" t="str">
        <f>IF(B252="","",IF(ISNA(VLOOKUP($B252,'B-1 On-Site Hedge Baseline'!$B$1:$U$257,13,FALSE)),"",(VLOOKUP($B252,'B-1 On-Site Hedge Baseline'!$B$1:$U$257,13,FALSE))))</f>
        <v/>
      </c>
      <c r="L252" s="386" t="str">
        <f>IF(B252="","",IF(ISNA(VLOOKUP($B252,'B-1 On-Site Hedge Baseline'!$B$1:$U$257,12,FALSE)),"",(VLOOKUP($B252,'B-1 On-Site Hedge Baseline'!$B$1:$U$257,12,FALSE))))</f>
        <v/>
      </c>
      <c r="M252" s="315" t="str">
        <f t="shared" si="31"/>
        <v/>
      </c>
      <c r="N252" s="362" t="str">
        <f>IFERROR(IF(B252="","",INDEX('G-6 Hedgerow Data'!$AN$3:$AZ$15,MATCH(C252,'G-6 Hedgerow Data'!$AM$3:$AM$15,0),MATCH(M252,'G-6 Hedgerow Data'!$AN$2:$AZ$2,0))),"")</f>
        <v/>
      </c>
      <c r="O252" s="363" t="str">
        <f t="shared" si="26"/>
        <v/>
      </c>
      <c r="P252" s="417" t="str">
        <f>IF(B252="","",VLOOKUP(B252,'B-1 On-Site Hedge Baseline'!$B$10:T497,16,FALSE))</f>
        <v/>
      </c>
      <c r="Q252" s="362" t="str">
        <f>IF(M252="","",VLOOKUP(M252,'G-6 Hedgerow Data'!$B$2:$AG$15,2,FALSE))</f>
        <v/>
      </c>
      <c r="R252" s="363" t="str">
        <f>IF(M252="","",VLOOKUP(M252,'G-6 Hedgerow Data'!$B$2:$AG$15,3,FALSE))</f>
        <v/>
      </c>
      <c r="S252" s="125"/>
      <c r="T252" s="401" t="str">
        <f>IFERROR(VLOOKUP(S252,'G-1 All Habitats'!$Z$2:$AA$9,2,FALSE),"")</f>
        <v/>
      </c>
      <c r="U252" s="122"/>
      <c r="V252" s="382" t="str">
        <f>IF(U252="","",IF(VLOOKUP(U252,'G-3 Multipliers'!$L$3:$N$6,2,FALSE)=0,"Spatial Data Missing ⚠",VLOOKUP(U252,'G-3 Multipliers'!$L$3:$N$6,2,FALSE)))</f>
        <v/>
      </c>
      <c r="W252" s="386" t="str">
        <f>IF(U252="","",IF(VLOOKUP(U252,'G-3 Multipliers'!$L$3:$N$6,3,FALSE)=0,"Spatial Data Missing ⚠",VLOOKUP(U252,'G-3 Multipliers'!$L$3:$N$6,3,FALSE)))</f>
        <v/>
      </c>
      <c r="X252" s="362" t="str">
        <f>IFERROR(IF(OR(LEFT(O252,5)="Error",LEFT(N252,5)="Error",T252="Error"),"Check Data ⚠",IF(F252&lt;R252,INDEX('G-6 Hedgerow Data'!$S$3:$AE$14,MATCH(C252,'G-6 Hedgerow Data'!$B$3:$B$14,0),MATCH(M252,'G-6 Hedgerow Data'!$S$2:$AE$2,0)),INDEX('G-6 Hedgerow Data'!$K$3:$Q$14,MATCH(M252,'G-6 Hedgerow Data'!$B$3:$B$14,0),MATCH(O252,'G-6 Hedgerow Data'!$K$2:$Q$2,0)))),"")</f>
        <v/>
      </c>
      <c r="Y252" s="159"/>
      <c r="Z252" s="159"/>
      <c r="AA252" s="370" t="str">
        <f t="shared" si="27"/>
        <v/>
      </c>
      <c r="AB252" s="383" t="str">
        <f t="shared" si="28"/>
        <v/>
      </c>
      <c r="AC252" s="384" t="str">
        <f t="shared" si="24"/>
        <v/>
      </c>
      <c r="AD252" s="398" t="str">
        <f>IF(M252="","",VLOOKUP(M252,'G-6 Hedgerow Data'!$B$3:$AG$15,31,FALSE))</f>
        <v/>
      </c>
      <c r="AE252" s="370" t="str">
        <f t="shared" si="29"/>
        <v/>
      </c>
      <c r="AF252" s="370" t="str">
        <f t="shared" si="30"/>
        <v/>
      </c>
      <c r="AG252" s="386" t="str">
        <f>IFERROR(IF(O252="","",VLOOKUP(AD252,'G-3 Multipliers'!$P$3:$Q$6,2,FALSE)),"")</f>
        <v/>
      </c>
      <c r="AH252" s="376" t="str">
        <f t="shared" si="25"/>
        <v/>
      </c>
      <c r="AI252" s="188"/>
      <c r="AJ252" s="118"/>
      <c r="AK252" s="120"/>
      <c r="AT252" s="30" t="str">
        <f>IFERROR(INDEX('G-6 Hedgerow Data'!$BJ$3:$BJ$15,MATCH(M252,'G-6 Hedgerow Data'!$B$3:$B$15,0)),"")</f>
        <v/>
      </c>
    </row>
    <row r="253" spans="2:46" ht="15">
      <c r="B253" s="392" t="str">
        <f>'B-1 On-Site Hedge Baseline'!AK251</f>
        <v/>
      </c>
      <c r="C253" s="382" t="str">
        <f>IF(B253="","",IF(ISNA(VLOOKUP($B253,'B-1 On-Site Hedge Baseline'!$B$1:$L$257,3,FALSE)),"",(VLOOKUP($B253,'B-1 On-Site Hedge Baseline'!$B$1:$L$257,3,FALSE))))</f>
        <v/>
      </c>
      <c r="D253" s="382" t="str">
        <f>IF(B253="","",IF(ISNA(VLOOKUP($B253,'B-1 On-Site Hedge Baseline'!$B$1:$L$257,4,FALSE)),"",(VLOOKUP($B253,'B-1 On-Site Hedge Baseline'!$B$1:$L$257,4,FALSE))))</f>
        <v/>
      </c>
      <c r="E253" s="382" t="str">
        <f>IF(B253="","",IF(ISNA(VLOOKUP($B253,'B-1 On-Site Hedge Baseline'!$B$1:$L$257,5,FALSE)),"",(VLOOKUP($B253,'B-1 On-Site Hedge Baseline'!$B$1:$L$257,5,FALSE))))</f>
        <v/>
      </c>
      <c r="F253" s="382" t="str">
        <f>IF(B253="","",IF(ISNA(VLOOKUP($B253,'B-1 On-Site Hedge Baseline'!$B$1:$L$257,6,FALSE)),"",(VLOOKUP($B253,'B-1 On-Site Hedge Baseline'!$B$1:$L$257,6,FALSE))))</f>
        <v/>
      </c>
      <c r="G253" s="382" t="str">
        <f>IF(B253="","",IF(ISNA(VLOOKUP($B253,'B-1 On-Site Hedge Baseline'!$B$1:$L$257,7,FALSE)),"",(VLOOKUP($B253,'B-1 On-Site Hedge Baseline'!$B$1:$L$257,7,FALSE))))</f>
        <v/>
      </c>
      <c r="H253" s="382" t="str">
        <f>IF(B253="","",IF(ISNA(VLOOKUP($B253,'B-1 On-Site Hedge Baseline'!$B$1:$L$257,8,FALSE)),"",(VLOOKUP($B253,'B-1 On-Site Hedge Baseline'!$B$1:$L$257,8,FALSE))))</f>
        <v/>
      </c>
      <c r="I253" s="382" t="str">
        <f>IF(B253="","",IF(ISNA(VLOOKUP($B253,'B-1 On-Site Hedge Baseline'!$B$1:$L$257,10,FALSE)),"",(VLOOKUP($B253,'B-1 On-Site Hedge Baseline'!$B$1:$L$257,10,FALSE))))</f>
        <v/>
      </c>
      <c r="J253" s="382" t="str">
        <f>IF(B253="","",IF(ISNA(VLOOKUP($B253,'B-1 On-Site Hedge Baseline'!$B$1:$L$257,11,FALSE)),"",(VLOOKUP($B253,'B-1 On-Site Hedge Baseline'!$B$1:$L$257,11,FALSE))))</f>
        <v/>
      </c>
      <c r="K253" s="382" t="str">
        <f>IF(B253="","",IF(ISNA(VLOOKUP($B253,'B-1 On-Site Hedge Baseline'!$B$1:$U$257,13,FALSE)),"",(VLOOKUP($B253,'B-1 On-Site Hedge Baseline'!$B$1:$U$257,13,FALSE))))</f>
        <v/>
      </c>
      <c r="L253" s="386" t="str">
        <f>IF(B253="","",IF(ISNA(VLOOKUP($B253,'B-1 On-Site Hedge Baseline'!$B$1:$U$257,12,FALSE)),"",(VLOOKUP($B253,'B-1 On-Site Hedge Baseline'!$B$1:$U$257,12,FALSE))))</f>
        <v/>
      </c>
      <c r="M253" s="315" t="str">
        <f t="shared" si="31"/>
        <v/>
      </c>
      <c r="N253" s="362" t="str">
        <f>IFERROR(IF(B253="","",INDEX('G-6 Hedgerow Data'!$AN$3:$AZ$15,MATCH(C253,'G-6 Hedgerow Data'!$AM$3:$AM$15,0),MATCH(M253,'G-6 Hedgerow Data'!$AN$2:$AZ$2,0))),"")</f>
        <v/>
      </c>
      <c r="O253" s="363" t="str">
        <f t="shared" si="26"/>
        <v/>
      </c>
      <c r="P253" s="417" t="str">
        <f>IF(B253="","",VLOOKUP(B253,'B-1 On-Site Hedge Baseline'!$B$10:T498,16,FALSE))</f>
        <v/>
      </c>
      <c r="Q253" s="362" t="str">
        <f>IF(M253="","",VLOOKUP(M253,'G-6 Hedgerow Data'!$B$2:$AG$15,2,FALSE))</f>
        <v/>
      </c>
      <c r="R253" s="363" t="str">
        <f>IF(M253="","",VLOOKUP(M253,'G-6 Hedgerow Data'!$B$2:$AG$15,3,FALSE))</f>
        <v/>
      </c>
      <c r="S253" s="125"/>
      <c r="T253" s="401" t="str">
        <f>IFERROR(VLOOKUP(S253,'G-1 All Habitats'!$Z$2:$AA$9,2,FALSE),"")</f>
        <v/>
      </c>
      <c r="U253" s="122"/>
      <c r="V253" s="382" t="str">
        <f>IF(U253="","",IF(VLOOKUP(U253,'G-3 Multipliers'!$L$3:$N$6,2,FALSE)=0,"Spatial Data Missing ⚠",VLOOKUP(U253,'G-3 Multipliers'!$L$3:$N$6,2,FALSE)))</f>
        <v/>
      </c>
      <c r="W253" s="386" t="str">
        <f>IF(U253="","",IF(VLOOKUP(U253,'G-3 Multipliers'!$L$3:$N$6,3,FALSE)=0,"Spatial Data Missing ⚠",VLOOKUP(U253,'G-3 Multipliers'!$L$3:$N$6,3,FALSE)))</f>
        <v/>
      </c>
      <c r="X253" s="362" t="str">
        <f>IFERROR(IF(OR(LEFT(O253,5)="Error",LEFT(N253,5)="Error",T253="Error"),"Check Data ⚠",IF(F253&lt;R253,INDEX('G-6 Hedgerow Data'!$S$3:$AE$14,MATCH(C253,'G-6 Hedgerow Data'!$B$3:$B$14,0),MATCH(M253,'G-6 Hedgerow Data'!$S$2:$AE$2,0)),INDEX('G-6 Hedgerow Data'!$K$3:$Q$14,MATCH(M253,'G-6 Hedgerow Data'!$B$3:$B$14,0),MATCH(O253,'G-6 Hedgerow Data'!$K$2:$Q$2,0)))),"")</f>
        <v/>
      </c>
      <c r="Y253" s="159"/>
      <c r="Z253" s="159"/>
      <c r="AA253" s="370" t="str">
        <f t="shared" si="27"/>
        <v/>
      </c>
      <c r="AB253" s="383" t="str">
        <f t="shared" si="28"/>
        <v/>
      </c>
      <c r="AC253" s="384" t="str">
        <f t="shared" si="24"/>
        <v/>
      </c>
      <c r="AD253" s="398" t="str">
        <f>IF(M253="","",VLOOKUP(M253,'G-6 Hedgerow Data'!$B$3:$AG$15,31,FALSE))</f>
        <v/>
      </c>
      <c r="AE253" s="370" t="str">
        <f t="shared" si="29"/>
        <v/>
      </c>
      <c r="AF253" s="370" t="str">
        <f t="shared" si="30"/>
        <v/>
      </c>
      <c r="AG253" s="386" t="str">
        <f>IFERROR(IF(O253="","",VLOOKUP(AD253,'G-3 Multipliers'!$P$3:$Q$6,2,FALSE)),"")</f>
        <v/>
      </c>
      <c r="AH253" s="376" t="str">
        <f t="shared" si="25"/>
        <v/>
      </c>
      <c r="AI253" s="188"/>
      <c r="AJ253" s="118"/>
      <c r="AK253" s="120"/>
      <c r="AT253" s="30" t="str">
        <f>IFERROR(INDEX('G-6 Hedgerow Data'!$BJ$3:$BJ$15,MATCH(M253,'G-6 Hedgerow Data'!$B$3:$B$15,0)),"")</f>
        <v/>
      </c>
    </row>
    <row r="254" spans="2:46" ht="15">
      <c r="B254" s="392" t="str">
        <f>'B-1 On-Site Hedge Baseline'!AK252</f>
        <v/>
      </c>
      <c r="C254" s="382" t="str">
        <f>IF(B254="","",IF(ISNA(VLOOKUP($B254,'B-1 On-Site Hedge Baseline'!$B$1:$L$257,3,FALSE)),"",(VLOOKUP($B254,'B-1 On-Site Hedge Baseline'!$B$1:$L$257,3,FALSE))))</f>
        <v/>
      </c>
      <c r="D254" s="382" t="str">
        <f>IF(B254="","",IF(ISNA(VLOOKUP($B254,'B-1 On-Site Hedge Baseline'!$B$1:$L$257,4,FALSE)),"",(VLOOKUP($B254,'B-1 On-Site Hedge Baseline'!$B$1:$L$257,4,FALSE))))</f>
        <v/>
      </c>
      <c r="E254" s="382" t="str">
        <f>IF(B254="","",IF(ISNA(VLOOKUP($B254,'B-1 On-Site Hedge Baseline'!$B$1:$L$257,5,FALSE)),"",(VLOOKUP($B254,'B-1 On-Site Hedge Baseline'!$B$1:$L$257,5,FALSE))))</f>
        <v/>
      </c>
      <c r="F254" s="382" t="str">
        <f>IF(B254="","",IF(ISNA(VLOOKUP($B254,'B-1 On-Site Hedge Baseline'!$B$1:$L$257,6,FALSE)),"",(VLOOKUP($B254,'B-1 On-Site Hedge Baseline'!$B$1:$L$257,6,FALSE))))</f>
        <v/>
      </c>
      <c r="G254" s="382" t="str">
        <f>IF(B254="","",IF(ISNA(VLOOKUP($B254,'B-1 On-Site Hedge Baseline'!$B$1:$L$257,7,FALSE)),"",(VLOOKUP($B254,'B-1 On-Site Hedge Baseline'!$B$1:$L$257,7,FALSE))))</f>
        <v/>
      </c>
      <c r="H254" s="382" t="str">
        <f>IF(B254="","",IF(ISNA(VLOOKUP($B254,'B-1 On-Site Hedge Baseline'!$B$1:$L$257,8,FALSE)),"",(VLOOKUP($B254,'B-1 On-Site Hedge Baseline'!$B$1:$L$257,8,FALSE))))</f>
        <v/>
      </c>
      <c r="I254" s="382" t="str">
        <f>IF(B254="","",IF(ISNA(VLOOKUP($B254,'B-1 On-Site Hedge Baseline'!$B$1:$L$257,10,FALSE)),"",(VLOOKUP($B254,'B-1 On-Site Hedge Baseline'!$B$1:$L$257,10,FALSE))))</f>
        <v/>
      </c>
      <c r="J254" s="382" t="str">
        <f>IF(B254="","",IF(ISNA(VLOOKUP($B254,'B-1 On-Site Hedge Baseline'!$B$1:$L$257,11,FALSE)),"",(VLOOKUP($B254,'B-1 On-Site Hedge Baseline'!$B$1:$L$257,11,FALSE))))</f>
        <v/>
      </c>
      <c r="K254" s="382" t="str">
        <f>IF(B254="","",IF(ISNA(VLOOKUP($B254,'B-1 On-Site Hedge Baseline'!$B$1:$U$257,13,FALSE)),"",(VLOOKUP($B254,'B-1 On-Site Hedge Baseline'!$B$1:$U$257,13,FALSE))))</f>
        <v/>
      </c>
      <c r="L254" s="386" t="str">
        <f>IF(B254="","",IF(ISNA(VLOOKUP($B254,'B-1 On-Site Hedge Baseline'!$B$1:$U$257,12,FALSE)),"",(VLOOKUP($B254,'B-1 On-Site Hedge Baseline'!$B$1:$U$257,12,FALSE))))</f>
        <v/>
      </c>
      <c r="M254" s="315" t="str">
        <f t="shared" si="31"/>
        <v/>
      </c>
      <c r="N254" s="362" t="str">
        <f>IFERROR(IF(B254="","",INDEX('G-6 Hedgerow Data'!$AN$3:$AZ$15,MATCH(C254,'G-6 Hedgerow Data'!$AM$3:$AM$15,0),MATCH(M254,'G-6 Hedgerow Data'!$AN$2:$AZ$2,0))),"")</f>
        <v/>
      </c>
      <c r="O254" s="363" t="str">
        <f t="shared" si="26"/>
        <v/>
      </c>
      <c r="P254" s="417" t="str">
        <f>IF(B254="","",VLOOKUP(B254,'B-1 On-Site Hedge Baseline'!$B$10:T499,16,FALSE))</f>
        <v/>
      </c>
      <c r="Q254" s="362" t="str">
        <f>IF(M254="","",VLOOKUP(M254,'G-6 Hedgerow Data'!$B$2:$AG$15,2,FALSE))</f>
        <v/>
      </c>
      <c r="R254" s="363" t="str">
        <f>IF(M254="","",VLOOKUP(M254,'G-6 Hedgerow Data'!$B$2:$AG$15,3,FALSE))</f>
        <v/>
      </c>
      <c r="S254" s="125"/>
      <c r="T254" s="401" t="str">
        <f>IFERROR(VLOOKUP(S254,'G-1 All Habitats'!$Z$2:$AA$9,2,FALSE),"")</f>
        <v/>
      </c>
      <c r="U254" s="122"/>
      <c r="V254" s="382" t="str">
        <f>IF(U254="","",IF(VLOOKUP(U254,'G-3 Multipliers'!$L$3:$N$6,2,FALSE)=0,"Spatial Data Missing ⚠",VLOOKUP(U254,'G-3 Multipliers'!$L$3:$N$6,2,FALSE)))</f>
        <v/>
      </c>
      <c r="W254" s="386" t="str">
        <f>IF(U254="","",IF(VLOOKUP(U254,'G-3 Multipliers'!$L$3:$N$6,3,FALSE)=0,"Spatial Data Missing ⚠",VLOOKUP(U254,'G-3 Multipliers'!$L$3:$N$6,3,FALSE)))</f>
        <v/>
      </c>
      <c r="X254" s="362" t="str">
        <f>IFERROR(IF(OR(LEFT(O254,5)="Error",LEFT(N254,5)="Error",T254="Error"),"Check Data ⚠",IF(F254&lt;R254,INDEX('G-6 Hedgerow Data'!$S$3:$AE$14,MATCH(C254,'G-6 Hedgerow Data'!$B$3:$B$14,0),MATCH(M254,'G-6 Hedgerow Data'!$S$2:$AE$2,0)),INDEX('G-6 Hedgerow Data'!$K$3:$Q$14,MATCH(M254,'G-6 Hedgerow Data'!$B$3:$B$14,0),MATCH(O254,'G-6 Hedgerow Data'!$K$2:$Q$2,0)))),"")</f>
        <v/>
      </c>
      <c r="Y254" s="159"/>
      <c r="Z254" s="159"/>
      <c r="AA254" s="370" t="str">
        <f t="shared" si="27"/>
        <v/>
      </c>
      <c r="AB254" s="383" t="str">
        <f t="shared" si="28"/>
        <v/>
      </c>
      <c r="AC254" s="384" t="str">
        <f t="shared" si="24"/>
        <v/>
      </c>
      <c r="AD254" s="398" t="str">
        <f>IF(M254="","",VLOOKUP(M254,'G-6 Hedgerow Data'!$B$3:$AG$15,31,FALSE))</f>
        <v/>
      </c>
      <c r="AE254" s="370" t="str">
        <f t="shared" si="29"/>
        <v/>
      </c>
      <c r="AF254" s="370" t="str">
        <f t="shared" si="30"/>
        <v/>
      </c>
      <c r="AG254" s="386" t="str">
        <f>IFERROR(IF(O254="","",VLOOKUP(AD254,'G-3 Multipliers'!$P$3:$Q$6,2,FALSE)),"")</f>
        <v/>
      </c>
      <c r="AH254" s="376" t="str">
        <f t="shared" si="25"/>
        <v/>
      </c>
      <c r="AI254" s="188"/>
      <c r="AJ254" s="118"/>
      <c r="AK254" s="120"/>
      <c r="AT254" s="30" t="str">
        <f>IFERROR(INDEX('G-6 Hedgerow Data'!$BJ$3:$BJ$15,MATCH(M254,'G-6 Hedgerow Data'!$B$3:$B$15,0)),"")</f>
        <v/>
      </c>
    </row>
    <row r="255" spans="2:46" ht="15">
      <c r="B255" s="392" t="str">
        <f>'B-1 On-Site Hedge Baseline'!AK253</f>
        <v/>
      </c>
      <c r="C255" s="382" t="str">
        <f>IF(B255="","",IF(ISNA(VLOOKUP($B255,'B-1 On-Site Hedge Baseline'!$B$1:$L$257,3,FALSE)),"",(VLOOKUP($B255,'B-1 On-Site Hedge Baseline'!$B$1:$L$257,3,FALSE))))</f>
        <v/>
      </c>
      <c r="D255" s="382" t="str">
        <f>IF(B255="","",IF(ISNA(VLOOKUP($B255,'B-1 On-Site Hedge Baseline'!$B$1:$L$257,4,FALSE)),"",(VLOOKUP($B255,'B-1 On-Site Hedge Baseline'!$B$1:$L$257,4,FALSE))))</f>
        <v/>
      </c>
      <c r="E255" s="382" t="str">
        <f>IF(B255="","",IF(ISNA(VLOOKUP($B255,'B-1 On-Site Hedge Baseline'!$B$1:$L$257,5,FALSE)),"",(VLOOKUP($B255,'B-1 On-Site Hedge Baseline'!$B$1:$L$257,5,FALSE))))</f>
        <v/>
      </c>
      <c r="F255" s="382" t="str">
        <f>IF(B255="","",IF(ISNA(VLOOKUP($B255,'B-1 On-Site Hedge Baseline'!$B$1:$L$257,6,FALSE)),"",(VLOOKUP($B255,'B-1 On-Site Hedge Baseline'!$B$1:$L$257,6,FALSE))))</f>
        <v/>
      </c>
      <c r="G255" s="382" t="str">
        <f>IF(B255="","",IF(ISNA(VLOOKUP($B255,'B-1 On-Site Hedge Baseline'!$B$1:$L$257,7,FALSE)),"",(VLOOKUP($B255,'B-1 On-Site Hedge Baseline'!$B$1:$L$257,7,FALSE))))</f>
        <v/>
      </c>
      <c r="H255" s="382" t="str">
        <f>IF(B255="","",IF(ISNA(VLOOKUP($B255,'B-1 On-Site Hedge Baseline'!$B$1:$L$257,8,FALSE)),"",(VLOOKUP($B255,'B-1 On-Site Hedge Baseline'!$B$1:$L$257,8,FALSE))))</f>
        <v/>
      </c>
      <c r="I255" s="382" t="str">
        <f>IF(B255="","",IF(ISNA(VLOOKUP($B255,'B-1 On-Site Hedge Baseline'!$B$1:$L$257,10,FALSE)),"",(VLOOKUP($B255,'B-1 On-Site Hedge Baseline'!$B$1:$L$257,10,FALSE))))</f>
        <v/>
      </c>
      <c r="J255" s="382" t="str">
        <f>IF(B255="","",IF(ISNA(VLOOKUP($B255,'B-1 On-Site Hedge Baseline'!$B$1:$L$257,11,FALSE)),"",(VLOOKUP($B255,'B-1 On-Site Hedge Baseline'!$B$1:$L$257,11,FALSE))))</f>
        <v/>
      </c>
      <c r="K255" s="382" t="str">
        <f>IF(B255="","",IF(ISNA(VLOOKUP($B255,'B-1 On-Site Hedge Baseline'!$B$1:$U$257,13,FALSE)),"",(VLOOKUP($B255,'B-1 On-Site Hedge Baseline'!$B$1:$U$257,13,FALSE))))</f>
        <v/>
      </c>
      <c r="L255" s="386" t="str">
        <f>IF(B255="","",IF(ISNA(VLOOKUP($B255,'B-1 On-Site Hedge Baseline'!$B$1:$U$257,12,FALSE)),"",(VLOOKUP($B255,'B-1 On-Site Hedge Baseline'!$B$1:$U$257,12,FALSE))))</f>
        <v/>
      </c>
      <c r="M255" s="315" t="str">
        <f t="shared" si="31"/>
        <v/>
      </c>
      <c r="N255" s="362" t="str">
        <f>IFERROR(IF(B255="","",INDEX('G-6 Hedgerow Data'!$AN$3:$AZ$15,MATCH(C255,'G-6 Hedgerow Data'!$AM$3:$AM$15,0),MATCH(M255,'G-6 Hedgerow Data'!$AN$2:$AZ$2,0))),"")</f>
        <v/>
      </c>
      <c r="O255" s="363" t="str">
        <f t="shared" si="26"/>
        <v/>
      </c>
      <c r="P255" s="417" t="str">
        <f>IF(B255="","",VLOOKUP(B255,'B-1 On-Site Hedge Baseline'!$B$10:T500,16,FALSE))</f>
        <v/>
      </c>
      <c r="Q255" s="362" t="str">
        <f>IF(M255="","",VLOOKUP(M255,'G-6 Hedgerow Data'!$B$2:$AG$15,2,FALSE))</f>
        <v/>
      </c>
      <c r="R255" s="363" t="str">
        <f>IF(M255="","",VLOOKUP(M255,'G-6 Hedgerow Data'!$B$2:$AG$15,3,FALSE))</f>
        <v/>
      </c>
      <c r="S255" s="125"/>
      <c r="T255" s="401" t="str">
        <f>IFERROR(VLOOKUP(S255,'G-1 All Habitats'!$Z$2:$AA$9,2,FALSE),"")</f>
        <v/>
      </c>
      <c r="U255" s="122"/>
      <c r="V255" s="382" t="str">
        <f>IF(U255="","",IF(VLOOKUP(U255,'G-3 Multipliers'!$L$3:$N$6,2,FALSE)=0,"Spatial Data Missing ⚠",VLOOKUP(U255,'G-3 Multipliers'!$L$3:$N$6,2,FALSE)))</f>
        <v/>
      </c>
      <c r="W255" s="386" t="str">
        <f>IF(U255="","",IF(VLOOKUP(U255,'G-3 Multipliers'!$L$3:$N$6,3,FALSE)=0,"Spatial Data Missing ⚠",VLOOKUP(U255,'G-3 Multipliers'!$L$3:$N$6,3,FALSE)))</f>
        <v/>
      </c>
      <c r="X255" s="362" t="str">
        <f>IFERROR(IF(OR(LEFT(O255,5)="Error",LEFT(N255,5)="Error",T255="Error"),"Check Data ⚠",IF(F255&lt;R255,INDEX('G-6 Hedgerow Data'!$S$3:$AE$14,MATCH(C255,'G-6 Hedgerow Data'!$B$3:$B$14,0),MATCH(M255,'G-6 Hedgerow Data'!$S$2:$AE$2,0)),INDEX('G-6 Hedgerow Data'!$K$3:$Q$14,MATCH(M255,'G-6 Hedgerow Data'!$B$3:$B$14,0),MATCH(O255,'G-6 Hedgerow Data'!$K$2:$Q$2,0)))),"")</f>
        <v/>
      </c>
      <c r="Y255" s="159"/>
      <c r="Z255" s="159"/>
      <c r="AA255" s="370" t="str">
        <f t="shared" si="27"/>
        <v/>
      </c>
      <c r="AB255" s="383" t="str">
        <f t="shared" si="28"/>
        <v/>
      </c>
      <c r="AC255" s="384" t="str">
        <f t="shared" si="24"/>
        <v/>
      </c>
      <c r="AD255" s="398" t="str">
        <f>IF(M255="","",VLOOKUP(M255,'G-6 Hedgerow Data'!$B$3:$AG$15,31,FALSE))</f>
        <v/>
      </c>
      <c r="AE255" s="370" t="str">
        <f t="shared" si="29"/>
        <v/>
      </c>
      <c r="AF255" s="370" t="str">
        <f t="shared" si="30"/>
        <v/>
      </c>
      <c r="AG255" s="386" t="str">
        <f>IFERROR(IF(O255="","",VLOOKUP(AD255,'G-3 Multipliers'!$P$3:$Q$6,2,FALSE)),"")</f>
        <v/>
      </c>
      <c r="AH255" s="376" t="str">
        <f t="shared" si="25"/>
        <v/>
      </c>
      <c r="AI255" s="188"/>
      <c r="AJ255" s="118"/>
      <c r="AK255" s="120"/>
      <c r="AT255" s="30" t="str">
        <f>IFERROR(INDEX('G-6 Hedgerow Data'!$BJ$3:$BJ$15,MATCH(M255,'G-6 Hedgerow Data'!$B$3:$B$15,0)),"")</f>
        <v/>
      </c>
    </row>
    <row r="256" spans="2:46" ht="15">
      <c r="B256" s="392" t="str">
        <f>'B-1 On-Site Hedge Baseline'!AK254</f>
        <v/>
      </c>
      <c r="C256" s="382" t="str">
        <f>IF(B256="","",IF(ISNA(VLOOKUP($B256,'B-1 On-Site Hedge Baseline'!$B$1:$L$257,3,FALSE)),"",(VLOOKUP($B256,'B-1 On-Site Hedge Baseline'!$B$1:$L$257,3,FALSE))))</f>
        <v/>
      </c>
      <c r="D256" s="382" t="str">
        <f>IF(B256="","",IF(ISNA(VLOOKUP($B256,'B-1 On-Site Hedge Baseline'!$B$1:$L$257,4,FALSE)),"",(VLOOKUP($B256,'B-1 On-Site Hedge Baseline'!$B$1:$L$257,4,FALSE))))</f>
        <v/>
      </c>
      <c r="E256" s="382" t="str">
        <f>IF(B256="","",IF(ISNA(VLOOKUP($B256,'B-1 On-Site Hedge Baseline'!$B$1:$L$257,5,FALSE)),"",(VLOOKUP($B256,'B-1 On-Site Hedge Baseline'!$B$1:$L$257,5,FALSE))))</f>
        <v/>
      </c>
      <c r="F256" s="382" t="str">
        <f>IF(B256="","",IF(ISNA(VLOOKUP($B256,'B-1 On-Site Hedge Baseline'!$B$1:$L$257,6,FALSE)),"",(VLOOKUP($B256,'B-1 On-Site Hedge Baseline'!$B$1:$L$257,6,FALSE))))</f>
        <v/>
      </c>
      <c r="G256" s="382" t="str">
        <f>IF(B256="","",IF(ISNA(VLOOKUP($B256,'B-1 On-Site Hedge Baseline'!$B$1:$L$257,7,FALSE)),"",(VLOOKUP($B256,'B-1 On-Site Hedge Baseline'!$B$1:$L$257,7,FALSE))))</f>
        <v/>
      </c>
      <c r="H256" s="382" t="str">
        <f>IF(B256="","",IF(ISNA(VLOOKUP($B256,'B-1 On-Site Hedge Baseline'!$B$1:$L$257,8,FALSE)),"",(VLOOKUP($B256,'B-1 On-Site Hedge Baseline'!$B$1:$L$257,8,FALSE))))</f>
        <v/>
      </c>
      <c r="I256" s="382" t="str">
        <f>IF(B256="","",IF(ISNA(VLOOKUP($B256,'B-1 On-Site Hedge Baseline'!$B$1:$L$257,10,FALSE)),"",(VLOOKUP($B256,'B-1 On-Site Hedge Baseline'!$B$1:$L$257,10,FALSE))))</f>
        <v/>
      </c>
      <c r="J256" s="382" t="str">
        <f>IF(B256="","",IF(ISNA(VLOOKUP($B256,'B-1 On-Site Hedge Baseline'!$B$1:$L$257,11,FALSE)),"",(VLOOKUP($B256,'B-1 On-Site Hedge Baseline'!$B$1:$L$257,11,FALSE))))</f>
        <v/>
      </c>
      <c r="K256" s="382" t="str">
        <f>IF(B256="","",IF(ISNA(VLOOKUP($B256,'B-1 On-Site Hedge Baseline'!$B$1:$U$257,13,FALSE)),"",(VLOOKUP($B256,'B-1 On-Site Hedge Baseline'!$B$1:$U$257,13,FALSE))))</f>
        <v/>
      </c>
      <c r="L256" s="386" t="str">
        <f>IF(B256="","",IF(ISNA(VLOOKUP($B256,'B-1 On-Site Hedge Baseline'!$B$1:$U$257,12,FALSE)),"",(VLOOKUP($B256,'B-1 On-Site Hedge Baseline'!$B$1:$U$257,12,FALSE))))</f>
        <v/>
      </c>
      <c r="M256" s="315" t="str">
        <f t="shared" si="31"/>
        <v/>
      </c>
      <c r="N256" s="362" t="str">
        <f>IFERROR(IF(B256="","",INDEX('G-6 Hedgerow Data'!$AN$3:$AZ$15,MATCH(C256,'G-6 Hedgerow Data'!$AM$3:$AM$15,0),MATCH(M256,'G-6 Hedgerow Data'!$AN$2:$AZ$2,0))),"")</f>
        <v/>
      </c>
      <c r="O256" s="363" t="str">
        <f t="shared" si="26"/>
        <v/>
      </c>
      <c r="P256" s="417" t="str">
        <f>IF(B256="","",VLOOKUP(B256,'B-1 On-Site Hedge Baseline'!$B$10:T501,16,FALSE))</f>
        <v/>
      </c>
      <c r="Q256" s="362" t="str">
        <f>IF(M256="","",VLOOKUP(M256,'G-6 Hedgerow Data'!$B$2:$AG$15,2,FALSE))</f>
        <v/>
      </c>
      <c r="R256" s="363" t="str">
        <f>IF(M256="","",VLOOKUP(M256,'G-6 Hedgerow Data'!$B$2:$AG$15,3,FALSE))</f>
        <v/>
      </c>
      <c r="S256" s="125"/>
      <c r="T256" s="401" t="str">
        <f>IFERROR(VLOOKUP(S256,'G-1 All Habitats'!$Z$2:$AA$9,2,FALSE),"")</f>
        <v/>
      </c>
      <c r="U256" s="122"/>
      <c r="V256" s="382" t="str">
        <f>IF(U256="","",IF(VLOOKUP(U256,'G-3 Multipliers'!$L$3:$N$6,2,FALSE)=0,"Spatial Data Missing ⚠",VLOOKUP(U256,'G-3 Multipliers'!$L$3:$N$6,2,FALSE)))</f>
        <v/>
      </c>
      <c r="W256" s="386" t="str">
        <f>IF(U256="","",IF(VLOOKUP(U256,'G-3 Multipliers'!$L$3:$N$6,3,FALSE)=0,"Spatial Data Missing ⚠",VLOOKUP(U256,'G-3 Multipliers'!$L$3:$N$6,3,FALSE)))</f>
        <v/>
      </c>
      <c r="X256" s="362" t="str">
        <f>IFERROR(IF(OR(LEFT(O256,5)="Error",LEFT(N256,5)="Error",T256="Error"),"Check Data ⚠",IF(F256&lt;R256,INDEX('G-6 Hedgerow Data'!$S$3:$AE$14,MATCH(C256,'G-6 Hedgerow Data'!$B$3:$B$14,0),MATCH(M256,'G-6 Hedgerow Data'!$S$2:$AE$2,0)),INDEX('G-6 Hedgerow Data'!$K$3:$Q$14,MATCH(M256,'G-6 Hedgerow Data'!$B$3:$B$14,0),MATCH(O256,'G-6 Hedgerow Data'!$K$2:$Q$2,0)))),"")</f>
        <v/>
      </c>
      <c r="Y256" s="159"/>
      <c r="Z256" s="159"/>
      <c r="AA256" s="370" t="str">
        <f t="shared" si="27"/>
        <v/>
      </c>
      <c r="AB256" s="383" t="str">
        <f t="shared" si="28"/>
        <v/>
      </c>
      <c r="AC256" s="384" t="str">
        <f t="shared" si="24"/>
        <v/>
      </c>
      <c r="AD256" s="398" t="str">
        <f>IF(M256="","",VLOOKUP(M256,'G-6 Hedgerow Data'!$B$3:$AG$15,31,FALSE))</f>
        <v/>
      </c>
      <c r="AE256" s="370" t="str">
        <f t="shared" si="29"/>
        <v/>
      </c>
      <c r="AF256" s="370" t="str">
        <f t="shared" si="30"/>
        <v/>
      </c>
      <c r="AG256" s="386" t="str">
        <f>IFERROR(IF(O256="","",VLOOKUP(AD256,'G-3 Multipliers'!$P$3:$Q$6,2,FALSE)),"")</f>
        <v/>
      </c>
      <c r="AH256" s="376" t="str">
        <f t="shared" si="25"/>
        <v/>
      </c>
      <c r="AI256" s="188"/>
      <c r="AJ256" s="118"/>
      <c r="AK256" s="120"/>
      <c r="AT256" s="30" t="str">
        <f>IFERROR(INDEX('G-6 Hedgerow Data'!$BJ$3:$BJ$15,MATCH(M256,'G-6 Hedgerow Data'!$B$3:$B$15,0)),"")</f>
        <v/>
      </c>
    </row>
    <row r="257" spans="2:46" ht="15.75" thickBot="1">
      <c r="B257" s="392" t="str">
        <f>'B-1 On-Site Hedge Baseline'!AK255</f>
        <v/>
      </c>
      <c r="C257" s="371" t="str">
        <f>IF(B257="","",IF(ISNA(VLOOKUP($B257,'B-1 On-Site Hedge Baseline'!$B$1:$L$257,3,FALSE)),"",(VLOOKUP($B257,'B-1 On-Site Hedge Baseline'!$B$1:$L$257,3,FALSE))))</f>
        <v/>
      </c>
      <c r="D257" s="371" t="str">
        <f>IF(B257="","",IF(ISNA(VLOOKUP($B257,'B-1 On-Site Hedge Baseline'!$B$1:$L$257,4,FALSE)),"",(VLOOKUP($B257,'B-1 On-Site Hedge Baseline'!$B$1:$L$257,4,FALSE))))</f>
        <v/>
      </c>
      <c r="E257" s="371" t="str">
        <f>IF(B257="","",IF(ISNA(VLOOKUP($B257,'B-1 On-Site Hedge Baseline'!$B$1:$L$257,5,FALSE)),"",(VLOOKUP($B257,'B-1 On-Site Hedge Baseline'!$B$1:$L$257,5,FALSE))))</f>
        <v/>
      </c>
      <c r="F257" s="371" t="str">
        <f>IF(B257="","",IF(ISNA(VLOOKUP($B257,'B-1 On-Site Hedge Baseline'!$B$1:$L$257,6,FALSE)),"",(VLOOKUP($B257,'B-1 On-Site Hedge Baseline'!$B$1:$L$257,6,FALSE))))</f>
        <v/>
      </c>
      <c r="G257" s="371" t="str">
        <f>IF(B257="","",IF(ISNA(VLOOKUP($B257,'B-1 On-Site Hedge Baseline'!$B$1:$L$257,7,FALSE)),"",(VLOOKUP($B257,'B-1 On-Site Hedge Baseline'!$B$1:$L$257,7,FALSE))))</f>
        <v/>
      </c>
      <c r="H257" s="371" t="str">
        <f>IF(B257="","",IF(ISNA(VLOOKUP($B257,'B-1 On-Site Hedge Baseline'!$B$1:$L$257,8,FALSE)),"",(VLOOKUP($B257,'B-1 On-Site Hedge Baseline'!$B$1:$L$257,8,FALSE))))</f>
        <v/>
      </c>
      <c r="I257" s="371" t="str">
        <f>IF(B257="","",IF(ISNA(VLOOKUP($B257,'B-1 On-Site Hedge Baseline'!$B$1:$L$257,10,FALSE)),"",(VLOOKUP($B257,'B-1 On-Site Hedge Baseline'!$B$1:$L$257,10,FALSE))))</f>
        <v/>
      </c>
      <c r="J257" s="371" t="str">
        <f>IF(B257="","",IF(ISNA(VLOOKUP($B257,'B-1 On-Site Hedge Baseline'!$B$1:$L$257,11,FALSE)),"",(VLOOKUP($B257,'B-1 On-Site Hedge Baseline'!$B$1:$L$257,11,FALSE))))</f>
        <v/>
      </c>
      <c r="K257" s="371" t="str">
        <f>IF(B257="","",IF(ISNA(VLOOKUP($B257,'B-1 On-Site Hedge Baseline'!$B$1:$U$257,13,FALSE)),"",(VLOOKUP($B257,'B-1 On-Site Hedge Baseline'!$B$1:$U$257,13,FALSE))))</f>
        <v/>
      </c>
      <c r="L257" s="365" t="str">
        <f>IF(B257="","",IF(ISNA(VLOOKUP($B257,'B-1 On-Site Hedge Baseline'!$B$1:$U$257,12,FALSE)),"",(VLOOKUP($B257,'B-1 On-Site Hedge Baseline'!$B$1:$U$257,12,FALSE))))</f>
        <v/>
      </c>
      <c r="M257" s="315" t="str">
        <f t="shared" si="31"/>
        <v/>
      </c>
      <c r="N257" s="362" t="str">
        <f>IFERROR(IF(B257="","",INDEX('G-6 Hedgerow Data'!$AN$3:$AZ$15,MATCH(C257,'G-6 Hedgerow Data'!$AM$3:$AM$15,0),MATCH(M257,'G-6 Hedgerow Data'!$AN$2:$AZ$2,0))),"")</f>
        <v/>
      </c>
      <c r="O257" s="363" t="str">
        <f t="shared" si="26"/>
        <v/>
      </c>
      <c r="P257" s="418" t="str">
        <f>IF(B257="","",VLOOKUP(B257,'B-1 On-Site Hedge Baseline'!$B$10:T502,16,FALSE))</f>
        <v/>
      </c>
      <c r="Q257" s="364" t="str">
        <f>IF(M257="","",VLOOKUP(M257,'G-6 Hedgerow Data'!$B$2:$AG$15,2,FALSE))</f>
        <v/>
      </c>
      <c r="R257" s="363" t="str">
        <f>IF(M257="","",VLOOKUP(M257,'G-6 Hedgerow Data'!$B$2:$AG$15,3,FALSE))</f>
        <v/>
      </c>
      <c r="S257" s="218"/>
      <c r="T257" s="401" t="str">
        <f>IFERROR(VLOOKUP(S257,'G-1 All Habitats'!$Z$2:$AA$9,2,FALSE),"")</f>
        <v/>
      </c>
      <c r="U257" s="129"/>
      <c r="V257" s="371" t="str">
        <f>IF(U257="","",IF(VLOOKUP(U257,'G-3 Multipliers'!$L$3:$N$6,2,FALSE)=0,"Spatial Data Missing ⚠",VLOOKUP(U257,'G-3 Multipliers'!$L$3:$N$6,2,FALSE)))</f>
        <v/>
      </c>
      <c r="W257" s="365" t="str">
        <f>IF(U257="","",IF(VLOOKUP(U257,'G-3 Multipliers'!$L$3:$N$6,3,FALSE)=0,"Spatial Data Missing ⚠",VLOOKUP(U257,'G-3 Multipliers'!$L$3:$N$6,3,FALSE)))</f>
        <v/>
      </c>
      <c r="X257" s="362" t="str">
        <f>IFERROR(IF(OR(LEFT(O257,5)="Error",LEFT(N257,5)="Error",T257="Error"),"Check Data ⚠",IF(F257&lt;R257,INDEX('G-6 Hedgerow Data'!$S$3:$AE$14,MATCH(C257,'G-6 Hedgerow Data'!$B$3:$B$14,0),MATCH(M257,'G-6 Hedgerow Data'!$S$2:$AE$2,0)),INDEX('G-6 Hedgerow Data'!$K$3:$Q$14,MATCH(M257,'G-6 Hedgerow Data'!$B$3:$B$14,0),MATCH(O257,'G-6 Hedgerow Data'!$K$2:$Q$2,0)))),"")</f>
        <v/>
      </c>
      <c r="Y257" s="159"/>
      <c r="Z257" s="168"/>
      <c r="AA257" s="370" t="str">
        <f t="shared" si="27"/>
        <v/>
      </c>
      <c r="AB257" s="383" t="str">
        <f t="shared" si="28"/>
        <v/>
      </c>
      <c r="AC257" s="384" t="str">
        <f t="shared" si="24"/>
        <v/>
      </c>
      <c r="AD257" s="364" t="str">
        <f>IF(M257="","",VLOOKUP(M257,'G-6 Hedgerow Data'!$B$3:$AG$15,31,FALSE))</f>
        <v/>
      </c>
      <c r="AE257" s="370" t="str">
        <f t="shared" si="29"/>
        <v/>
      </c>
      <c r="AF257" s="370" t="str">
        <f t="shared" si="30"/>
        <v/>
      </c>
      <c r="AG257" s="365" t="str">
        <f>IFERROR(IF(O257="","",VLOOKUP(AD257,'G-3 Multipliers'!$P$3:$Q$6,2,FALSE)),"")</f>
        <v/>
      </c>
      <c r="AH257" s="345" t="str">
        <f t="shared" si="25"/>
        <v/>
      </c>
      <c r="AI257" s="130"/>
      <c r="AJ257" s="131"/>
      <c r="AK257" s="683"/>
      <c r="AT257" s="30" t="str">
        <f>IFERROR(INDEX('G-6 Hedgerow Data'!$BJ$3:$BJ$15,MATCH(M257,'G-6 Hedgerow Data'!$B$3:$B$15,0)),"")</f>
        <v/>
      </c>
    </row>
    <row r="258" spans="2:46" ht="15.75" thickBot="1">
      <c r="B258" s="34"/>
      <c r="C258" s="34"/>
      <c r="D258" s="34"/>
      <c r="E258" s="34"/>
      <c r="F258" s="34"/>
      <c r="G258" s="34"/>
      <c r="H258" s="34"/>
      <c r="I258" s="34"/>
      <c r="J258" s="34"/>
      <c r="K258" s="34"/>
      <c r="L258" s="34"/>
      <c r="M258" s="34"/>
      <c r="N258" s="34"/>
      <c r="O258" s="322"/>
      <c r="P258" s="366">
        <f>SUM(P12:P257)</f>
        <v>0</v>
      </c>
      <c r="Q258" s="34"/>
      <c r="R258" s="34"/>
      <c r="S258" s="34"/>
      <c r="T258" s="34"/>
      <c r="U258" s="34"/>
      <c r="V258" s="34"/>
      <c r="W258" s="34"/>
      <c r="X258" s="34"/>
      <c r="Y258" s="34"/>
      <c r="Z258" s="34"/>
      <c r="AA258" s="34"/>
      <c r="AB258" s="34"/>
      <c r="AC258" s="34"/>
      <c r="AD258" s="34"/>
      <c r="AE258" s="34"/>
      <c r="AF258" s="321"/>
      <c r="AG258" s="321"/>
      <c r="AH258" s="366">
        <f>SUM(AH12:AH257)</f>
        <v>0</v>
      </c>
      <c r="AI258" s="34"/>
      <c r="AJ258" s="34"/>
    </row>
    <row r="259" spans="2:46" ht="15"/>
    <row r="260" spans="2:46" ht="15"/>
    <row r="261" spans="2:46" ht="15"/>
    <row r="262" spans="2:46" ht="15"/>
    <row r="263" spans="2:46" ht="15"/>
    <row r="264" spans="2:46" ht="15"/>
    <row r="265" spans="2:46" ht="15"/>
    <row r="266" spans="2:46" ht="15"/>
  </sheetData>
  <sheetProtection algorithmName="SHA-512" hashValue="tMaYWxNgN4WzaV2DAJY1cE4pIrNc13hA9MfZ280rwXeaU5rMhPfbM6nPlq/j2KtcHvvF+QE/xWSZv2+7MEBSZQ==" saltValue="gAtPXVOI/s5c/v9jsrULAw==" spinCount="100000" sheet="1" objects="1" scenarios="1"/>
  <dataConsolidate/>
  <customSheetViews>
    <customSheetView guid="{8BDA793C-C9C5-4FC6-A0A5-F1109F6D4F22}" state="hidden">
      <pane ySplit="11" topLeftCell="A12" activePane="bottomLeft" state="frozen"/>
      <selection pane="bottomLeft" activeCell="D14" sqref="D14"/>
    </customSheetView>
  </customSheetViews>
  <mergeCells count="19">
    <mergeCell ref="O3:P3"/>
    <mergeCell ref="O4:P4"/>
    <mergeCell ref="O5:P5"/>
    <mergeCell ref="AH10:AH11"/>
    <mergeCell ref="AI10:AJ10"/>
    <mergeCell ref="C10:L10"/>
    <mergeCell ref="U10:W10"/>
    <mergeCell ref="B2:D2"/>
    <mergeCell ref="B3:D4"/>
    <mergeCell ref="M9:AG9"/>
    <mergeCell ref="X10:AC10"/>
    <mergeCell ref="AD10:AG10"/>
    <mergeCell ref="N10:O10"/>
    <mergeCell ref="P10:P11"/>
    <mergeCell ref="M10:M11"/>
    <mergeCell ref="Q10:R10"/>
    <mergeCell ref="S10:T10"/>
    <mergeCell ref="X2:AC4"/>
    <mergeCell ref="N2:P2"/>
  </mergeCells>
  <conditionalFormatting sqref="AH258">
    <cfRule type="containsText" dxfId="454" priority="38" operator="containsText" text="Existing Value Not Required">
      <formula>NOT(ISERROR(SEARCH("Existing Value Not Required",AH258)))</formula>
    </cfRule>
    <cfRule type="containsText" dxfId="453" priority="39" operator="containsText" text="Existing Value Required">
      <formula>NOT(ISERROR(SEARCH("Existing Value Required",AH258)))</formula>
    </cfRule>
  </conditionalFormatting>
  <conditionalFormatting sqref="AH12:AH257">
    <cfRule type="containsText" dxfId="452" priority="34" operator="containsText" text="Existing Value Not Required">
      <formula>NOT(ISERROR(SEARCH("Existing Value Not Required",AH12)))</formula>
    </cfRule>
    <cfRule type="containsText" dxfId="451" priority="35" operator="containsText" text="Existing Value Required">
      <formula>NOT(ISERROR(SEARCH("Existing Value Required",AH12)))</formula>
    </cfRule>
  </conditionalFormatting>
  <conditionalFormatting sqref="L12:L257">
    <cfRule type="cellIs" dxfId="450" priority="31" operator="equal">
      <formula>"Same distinctiveness band or better"</formula>
    </cfRule>
    <cfRule type="cellIs" dxfId="449" priority="32" operator="equal">
      <formula>"Like for like or better"</formula>
    </cfRule>
    <cfRule type="cellIs" dxfId="448" priority="33" operator="equal">
      <formula>"Like for Like"</formula>
    </cfRule>
  </conditionalFormatting>
  <conditionalFormatting sqref="N12:N257">
    <cfRule type="beginsWith" dxfId="447" priority="30" operator="beginsWith" text="Error">
      <formula>LEFT(N12,LEN("Error"))="Error"</formula>
    </cfRule>
  </conditionalFormatting>
  <conditionalFormatting sqref="O12:O257">
    <cfRule type="beginsWith" dxfId="446" priority="29" operator="beginsWith" text="Error">
      <formula>LEFT(O12,LEN("Error"))="Error"</formula>
    </cfRule>
  </conditionalFormatting>
  <conditionalFormatting sqref="V12:V257">
    <cfRule type="containsText" dxfId="445" priority="28" operator="containsText" text="Spatial">
      <formula>NOT(ISERROR(SEARCH("Spatial",V12)))</formula>
    </cfRule>
  </conditionalFormatting>
  <conditionalFormatting sqref="W12:W257">
    <cfRule type="containsText" dxfId="444" priority="27" operator="containsText" text="Spatial">
      <formula>NOT(ISERROR(SEARCH("Spatial",W12)))</formula>
    </cfRule>
  </conditionalFormatting>
  <conditionalFormatting sqref="X12:X257">
    <cfRule type="containsText" dxfId="443" priority="25" operator="containsText" text="Error">
      <formula>NOT(ISERROR(SEARCH("Error",X12)))</formula>
    </cfRule>
    <cfRule type="containsText" dxfId="442" priority="26" operator="containsText" text="Check">
      <formula>NOT(ISERROR(SEARCH("Check",X12)))</formula>
    </cfRule>
  </conditionalFormatting>
  <conditionalFormatting sqref="AA12:AA257">
    <cfRule type="containsText" dxfId="441" priority="23" operator="containsText" text="Error">
      <formula>NOT(ISERROR(SEARCH("Error",AA12)))</formula>
    </cfRule>
    <cfRule type="containsText" dxfId="440" priority="24" operator="containsText" text="Check">
      <formula>NOT(ISERROR(SEARCH("Check",AA12)))</formula>
    </cfRule>
  </conditionalFormatting>
  <conditionalFormatting sqref="AB12:AB257">
    <cfRule type="cellIs" dxfId="439" priority="15" operator="equal">
      <formula>"30+ ⚠"</formula>
    </cfRule>
    <cfRule type="containsText" dxfId="438" priority="21" operator="containsText" text="Error">
      <formula>NOT(ISERROR(SEARCH("Error",AB12)))</formula>
    </cfRule>
    <cfRule type="containsText" dxfId="437" priority="22" operator="containsText" text="Check">
      <formula>NOT(ISERROR(SEARCH("Check",AB12)))</formula>
    </cfRule>
  </conditionalFormatting>
  <conditionalFormatting sqref="AC12:AC257">
    <cfRule type="containsText" dxfId="436" priority="19" operator="containsText" text="Error">
      <formula>NOT(ISERROR(SEARCH("Error",AC12)))</formula>
    </cfRule>
    <cfRule type="containsText" dxfId="435" priority="20" operator="containsText" text="Check">
      <formula>NOT(ISERROR(SEARCH("Check",AC12)))</formula>
    </cfRule>
  </conditionalFormatting>
  <conditionalFormatting sqref="AE12:AE257">
    <cfRule type="beginsWith" dxfId="434" priority="17" operator="beginsWith" text="No - Low Difficulty">
      <formula>LEFT(AE12,LEN("No - Low Difficulty"))="No - Low Difficulty"</formula>
    </cfRule>
    <cfRule type="containsText" dxfId="433" priority="18" operator="containsText" text="Check">
      <formula>NOT(ISERROR(SEARCH("Check",AE12)))</formula>
    </cfRule>
  </conditionalFormatting>
  <conditionalFormatting sqref="X5:AB6 X2">
    <cfRule type="containsText" dxfId="432" priority="16" operator="containsText" text="Note">
      <formula>NOT(ISERROR(SEARCH("Note",X2)))</formula>
    </cfRule>
  </conditionalFormatting>
  <conditionalFormatting sqref="O3">
    <cfRule type="containsText" dxfId="431" priority="13" operator="containsText" text="Error">
      <formula>NOT(ISERROR(SEARCH("Error",O3)))</formula>
    </cfRule>
    <cfRule type="containsText" dxfId="430" priority="14" operator="containsText" text="Check">
      <formula>NOT(ISERROR(SEARCH("Check",O3)))</formula>
    </cfRule>
  </conditionalFormatting>
  <conditionalFormatting sqref="O4">
    <cfRule type="containsText" dxfId="429" priority="2" operator="containsText" text="Error">
      <formula>NOT(ISERROR(SEARCH("Error",O4)))</formula>
    </cfRule>
    <cfRule type="containsText" dxfId="428" priority="3" operator="containsText" text="Check">
      <formula>NOT(ISERROR(SEARCH("Check",O4)))</formula>
    </cfRule>
  </conditionalFormatting>
  <conditionalFormatting sqref="O5">
    <cfRule type="containsText" dxfId="427" priority="7" operator="containsText" text="No">
      <formula>NOT(ISERROR(SEARCH("No",O5)))</formula>
    </cfRule>
    <cfRule type="containsText" dxfId="426" priority="8" operator="containsText" text="Yes">
      <formula>NOT(ISERROR(SEARCH("Yes",O5)))</formula>
    </cfRule>
  </conditionalFormatting>
  <conditionalFormatting sqref="T12:T257">
    <cfRule type="containsText" dxfId="425" priority="6" operator="containsText" text="Not possible">
      <formula>NOT(ISERROR(SEARCH("Not possible",T12)))</formula>
    </cfRule>
  </conditionalFormatting>
  <conditionalFormatting sqref="O4:P4">
    <cfRule type="cellIs" dxfId="424" priority="4" operator="equal">
      <formula>0</formula>
    </cfRule>
    <cfRule type="cellIs" dxfId="423" priority="5" operator="lessThan">
      <formula>0</formula>
    </cfRule>
  </conditionalFormatting>
  <conditionalFormatting sqref="O3:P5">
    <cfRule type="containsText" dxfId="422" priority="1" operator="containsText" text="N/A">
      <formula>NOT(ISERROR(SEARCH("N/A",O3)))</formula>
    </cfRule>
  </conditionalFormatting>
  <dataValidations count="1">
    <dataValidation type="list" allowBlank="1" showInputMessage="1" showErrorMessage="1" sqref="S12:S257" xr:uid="{00000000-0002-0000-1400-000000000000}">
      <formula1>INDIRECT(AT12)</formula1>
    </dataValidation>
  </dataValidations>
  <pageMargins left="0.7" right="0.7" top="0.75" bottom="0.75" header="0.3" footer="0.3"/>
  <pageSetup paperSize="9" orientation="portrait" horizontalDpi="90" verticalDpi="90" r:id="rId1"/>
  <drawing r:id="rId2"/>
  <extLst>
    <ext xmlns:x14="http://schemas.microsoft.com/office/spreadsheetml/2009/9/main" uri="{78C0D931-6437-407d-A8EE-F0AAD7539E65}">
      <x14:conditionalFormattings>
        <x14:conditionalFormatting xmlns:xm="http://schemas.microsoft.com/office/excel/2006/main">
          <x14:cfRule type="cellIs" priority="438" operator="lessThan" id="{648A280C-F032-4F50-9520-A2A1C0C475E3}">
            <xm:f>Start!$F$22</xm:f>
            <x14:dxf>
              <font>
                <color rgb="FF383745"/>
              </font>
              <fill>
                <patternFill>
                  <bgColor rgb="FFFFC000"/>
                </patternFill>
              </fill>
            </x14:dxf>
          </x14:cfRule>
          <x14:cfRule type="cellIs" priority="439" operator="greaterThanOrEqual" id="{FDF2F180-0A36-4F80-9EA9-1F5FD6D5BE0F}">
            <xm:f>Start!$F$22</xm:f>
            <x14:dxf>
              <font>
                <color rgb="FF383745"/>
              </font>
              <fill>
                <patternFill>
                  <bgColor rgb="FF92D050"/>
                </patternFill>
              </fill>
            </x14:dxf>
          </x14:cfRule>
          <xm:sqref>O4:P4</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00000000-0002-0000-1400-000001000000}">
          <x14:formula1>
            <xm:f>'G-6 Hedgerow Data'!$B$3:$B$15</xm:f>
          </x14:formula1>
          <xm:sqref>M12:M257</xm:sqref>
        </x14:dataValidation>
        <x14:dataValidation type="list" allowBlank="1" showInputMessage="1" showErrorMessage="1" xr:uid="{00000000-0002-0000-1400-000002000000}">
          <x14:formula1>
            <xm:f>'G-3 Multipliers'!$L$4:$L$6</xm:f>
          </x14:formula1>
          <xm:sqref>U12:U257</xm:sqref>
        </x14:dataValidation>
        <x14:dataValidation type="list" allowBlank="1" showInputMessage="1" showErrorMessage="1" xr:uid="{00000000-0002-0000-1400-000003000000}">
          <x14:formula1>
            <xm:f>'G-4 Temporal multipliers'!$A$42:$A$73</xm:f>
          </x14:formula1>
          <xm:sqref>Y12:Z257</xm:sqref>
        </x14:dataValidation>
      </x14:dataValidations>
    </ext>
  </extLst>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30">
    <tabColor rgb="FF663300"/>
  </sheetPr>
  <dimension ref="A1:XFD272"/>
  <sheetViews>
    <sheetView showGridLines="0" zoomScale="80" zoomScaleNormal="80" workbookViewId="0"/>
  </sheetViews>
  <sheetFormatPr defaultColWidth="2.42578125" defaultRowHeight="0" customHeight="1" zeroHeight="1"/>
  <cols>
    <col min="1" max="1" width="5" style="30" customWidth="1"/>
    <col min="2" max="2" width="11.42578125" style="30" customWidth="1"/>
    <col min="3" max="3" width="9.5703125" style="30" bestFit="1" customWidth="1"/>
    <col min="4" max="4" width="53.7109375" style="30" bestFit="1" customWidth="1"/>
    <col min="5" max="5" width="8.7109375" style="30" customWidth="1"/>
    <col min="6" max="6" width="17.5703125" style="30" customWidth="1"/>
    <col min="7" max="7" width="9.42578125" style="30" customWidth="1"/>
    <col min="8" max="8" width="13.7109375" style="30" customWidth="1"/>
    <col min="9" max="9" width="9" style="30" customWidth="1"/>
    <col min="10" max="10" width="41.7109375" style="30" customWidth="1"/>
    <col min="11" max="11" width="14.5703125" style="30" customWidth="1"/>
    <col min="12" max="12" width="13.5703125" style="30" customWidth="1"/>
    <col min="13" max="13" width="21.28515625" style="30" bestFit="1" customWidth="1"/>
    <col min="14" max="14" width="14.28515625" style="30" hidden="1" customWidth="1"/>
    <col min="15" max="15" width="76.7109375" style="30" customWidth="1"/>
    <col min="16" max="16" width="17.5703125" style="30" hidden="1" customWidth="1"/>
    <col min="17" max="17" width="13.28515625" style="30" customWidth="1"/>
    <col min="18" max="18" width="3.7109375" style="30" customWidth="1"/>
    <col min="19" max="19" width="10.28515625" style="30" bestFit="1" customWidth="1"/>
    <col min="20" max="20" width="11.7109375" style="30" customWidth="1"/>
    <col min="21" max="21" width="10.5703125" style="30" customWidth="1"/>
    <col min="22" max="22" width="11.7109375" style="30" customWidth="1"/>
    <col min="23" max="23" width="13.5703125" style="30" customWidth="1"/>
    <col min="24" max="24" width="8.28515625" style="30" customWidth="1"/>
    <col min="25" max="25" width="23.28515625" style="30" bestFit="1" customWidth="1"/>
    <col min="26" max="26" width="23.42578125" style="30" bestFit="1" customWidth="1"/>
    <col min="27" max="27" width="12.42578125" style="30" customWidth="1"/>
    <col min="28" max="28" width="12.7109375" style="30" customWidth="1"/>
    <col min="29" max="29" width="8.7109375" style="30" customWidth="1"/>
    <col min="30" max="50" width="0" style="30" hidden="1" customWidth="1"/>
    <col min="51" max="51" width="10.5703125" style="30" hidden="1" customWidth="1"/>
    <col min="52" max="16362" width="0" style="30" hidden="1" customWidth="1"/>
    <col min="16363" max="16383" width="2.42578125" style="30"/>
    <col min="16384" max="16384" width="4.5703125" style="542" customWidth="1"/>
  </cols>
  <sheetData>
    <row r="1" spans="2:51 16384:16384" ht="15.75" customHeight="1" thickBot="1"/>
    <row r="2" spans="2:51 16384:16384" ht="15.75" customHeight="1" thickBot="1">
      <c r="B2" s="1554" t="str">
        <f>CONCATENATE("Project Name:", " ", Start!F12, "     ", "Map Reference:", " ", Start!F66)</f>
        <v xml:space="preserve">Project Name: Grove Farm Solar     Map Reference: </v>
      </c>
      <c r="C2" s="1555"/>
      <c r="D2" s="1556"/>
      <c r="F2" s="1404" t="s">
        <v>380</v>
      </c>
      <c r="G2" s="1405"/>
      <c r="H2" s="1405"/>
      <c r="I2" s="1405"/>
      <c r="J2" s="1406"/>
      <c r="K2" s="309"/>
      <c r="L2" s="309"/>
      <c r="M2" s="309"/>
    </row>
    <row r="3" spans="2:51 16384:16384" ht="15.75" customHeight="1">
      <c r="B3" s="1130" t="str">
        <f ca="1">MID(CELL("filename",A1),FIND("]",CELL("filename",A1))+1,256)</f>
        <v>E-1 Off-Site Hedge Baseline</v>
      </c>
      <c r="C3" s="1131"/>
      <c r="D3" s="1132"/>
      <c r="F3" s="1505" t="s">
        <v>263</v>
      </c>
      <c r="G3" s="1506"/>
      <c r="H3" s="1506"/>
      <c r="I3" s="1501">
        <f>'Headline Results'!H48</f>
        <v>16.669627715952004</v>
      </c>
      <c r="J3" s="1502"/>
    </row>
    <row r="4" spans="2:51 16384:16384" ht="15.75" customHeight="1" thickBot="1">
      <c r="B4" s="1133"/>
      <c r="C4" s="1134"/>
      <c r="D4" s="1135"/>
      <c r="F4" s="1583" t="s">
        <v>265</v>
      </c>
      <c r="G4" s="1584"/>
      <c r="H4" s="1584"/>
      <c r="I4" s="1577">
        <f>'Headline Results'!H52</f>
        <v>1.0264549086177341</v>
      </c>
      <c r="J4" s="1578"/>
    </row>
    <row r="5" spans="2:51 16384:16384" ht="22.5" customHeight="1" thickBot="1">
      <c r="F5" s="1582" t="s">
        <v>267</v>
      </c>
      <c r="G5" s="1579"/>
      <c r="H5" s="1579"/>
      <c r="I5" s="1579" t="str" cm="1">
        <f t="array" ref="I5">IF(OR('Trading Summary Hedgerows'!G5:H8="No ▲"), "No - check trading summary ▲", "Yes ✓")</f>
        <v>Yes ✓</v>
      </c>
      <c r="J5" s="1580"/>
    </row>
    <row r="6" spans="2:51 16384:16384" ht="28.9" customHeight="1"/>
    <row r="7" spans="2:51 16384:16384" ht="15.75" customHeight="1" thickBot="1">
      <c r="B7" s="102"/>
      <c r="C7" s="102"/>
      <c r="D7" s="101"/>
    </row>
    <row r="8" spans="2:51 16384:16384" s="33" customFormat="1" ht="31.15" customHeight="1" thickBot="1">
      <c r="B8" s="32"/>
      <c r="C8" s="1573" t="s">
        <v>381</v>
      </c>
      <c r="D8" s="1574"/>
      <c r="E8" s="1575"/>
      <c r="F8" s="1573" t="s">
        <v>269</v>
      </c>
      <c r="G8" s="1575"/>
      <c r="H8" s="1573" t="s">
        <v>357</v>
      </c>
      <c r="I8" s="1575"/>
      <c r="J8" s="1573" t="s">
        <v>271</v>
      </c>
      <c r="K8" s="1574"/>
      <c r="L8" s="1575"/>
      <c r="M8" s="1537" t="s">
        <v>272</v>
      </c>
      <c r="N8" s="134" t="s">
        <v>273</v>
      </c>
      <c r="O8" s="1535" t="s">
        <v>358</v>
      </c>
      <c r="P8" s="1536"/>
      <c r="Q8" s="134" t="s">
        <v>273</v>
      </c>
      <c r="R8" s="107"/>
      <c r="S8" s="1407" t="s">
        <v>274</v>
      </c>
      <c r="T8" s="1408"/>
      <c r="U8" s="1408"/>
      <c r="V8" s="1408"/>
      <c r="W8" s="1408"/>
      <c r="X8" s="1409"/>
      <c r="Y8" s="1407" t="s">
        <v>276</v>
      </c>
      <c r="Z8" s="1409"/>
      <c r="XFD8" s="543"/>
    </row>
    <row r="9" spans="2:51 16384:16384" ht="45" customHeight="1" thickBot="1">
      <c r="B9" s="719" t="s">
        <v>339</v>
      </c>
      <c r="C9" s="132" t="s">
        <v>382</v>
      </c>
      <c r="D9" s="811" t="s">
        <v>161</v>
      </c>
      <c r="E9" s="752" t="s">
        <v>34</v>
      </c>
      <c r="F9" s="132" t="s">
        <v>269</v>
      </c>
      <c r="G9" s="752" t="s">
        <v>286</v>
      </c>
      <c r="H9" s="132" t="s">
        <v>270</v>
      </c>
      <c r="I9" s="752" t="s">
        <v>286</v>
      </c>
      <c r="J9" s="132" t="s">
        <v>271</v>
      </c>
      <c r="K9" s="811" t="s">
        <v>271</v>
      </c>
      <c r="L9" s="752" t="s">
        <v>317</v>
      </c>
      <c r="M9" s="1570"/>
      <c r="N9" s="169" t="s">
        <v>400</v>
      </c>
      <c r="O9" s="853" t="s">
        <v>361</v>
      </c>
      <c r="P9" s="866" t="s">
        <v>358</v>
      </c>
      <c r="Q9" s="169" t="s">
        <v>383</v>
      </c>
      <c r="R9" s="107"/>
      <c r="S9" s="867" t="s">
        <v>384</v>
      </c>
      <c r="T9" s="868" t="s">
        <v>385</v>
      </c>
      <c r="U9" s="869" t="s">
        <v>386</v>
      </c>
      <c r="V9" s="869" t="s">
        <v>387</v>
      </c>
      <c r="W9" s="869" t="s">
        <v>388</v>
      </c>
      <c r="X9" s="870" t="s">
        <v>294</v>
      </c>
      <c r="Y9" s="867" t="s">
        <v>295</v>
      </c>
      <c r="Z9" s="870" t="s">
        <v>296</v>
      </c>
      <c r="AA9" s="43" t="s">
        <v>297</v>
      </c>
      <c r="AB9" s="43" t="s">
        <v>363</v>
      </c>
      <c r="AE9" s="101" t="s">
        <v>280</v>
      </c>
      <c r="AH9" s="124" t="s">
        <v>300</v>
      </c>
      <c r="AI9" s="124" t="s">
        <v>301</v>
      </c>
      <c r="AK9" s="124" t="s">
        <v>303</v>
      </c>
      <c r="AM9" s="124" t="s">
        <v>300</v>
      </c>
      <c r="AN9" s="124" t="s">
        <v>301</v>
      </c>
      <c r="AY9" s="869" t="s">
        <v>386</v>
      </c>
    </row>
    <row r="10" spans="2:51 16384:16384" ht="15">
      <c r="B10" s="104">
        <v>1</v>
      </c>
      <c r="C10" s="842"/>
      <c r="D10" s="812"/>
      <c r="E10" s="860"/>
      <c r="F10" s="443" t="str">
        <f>IF(D10="","",VLOOKUP(D10,'G-6 Hedgerow Data'!$B$2:$AG$15,2,FALSE))</f>
        <v/>
      </c>
      <c r="G10" s="790" t="str">
        <f>IF(D10="","",VLOOKUP(D10,'G-6 Hedgerow Data'!$B$2:$AG$15,3,FALSE))</f>
        <v/>
      </c>
      <c r="H10" s="841"/>
      <c r="I10" s="790" t="str">
        <f>IFERROR(IF(AND(F10="V.Low",OR(H10="Good",H10="Moderate")),"Error ▲",VLOOKUP(H10,'G-1 All Habitats'!$Z$2:$AA$9,2,FALSE)),"")</f>
        <v/>
      </c>
      <c r="J10" s="841"/>
      <c r="K10" s="367" t="str">
        <f>IF(J10="","",IF(VLOOKUP(J10,'G-3 Multipliers'!$L$3:$N$6,2,FALSE)=0,"Spatial Data Missing ⚠",VLOOKUP(J10,'G-3 Multipliers'!$L$3:$N$6,2,FALSE)))</f>
        <v/>
      </c>
      <c r="L10" s="790" t="str">
        <f>IF(J10="","",IF(VLOOKUP(J10,'G-3 Multipliers'!$L$3:$N$6,3,FALSE)=0,"Spatial Data Missing ⚠",VLOOKUP(J10,'G-3 Multipliers'!$L$3:$N$6,3,FALSE)))</f>
        <v/>
      </c>
      <c r="M10" s="453" t="str">
        <f>IF(D10="","",VLOOKUP(D10,'G-6 Hedgerow Data'!$B$1:$AH$15,33,FALSE))</f>
        <v/>
      </c>
      <c r="N10" s="794" t="str">
        <f>IFERROR(E10*G10*I10*L10*P10,"")</f>
        <v/>
      </c>
      <c r="O10" s="578"/>
      <c r="P10" s="792" t="str">
        <f>IF(O10="","",IF(VLOOKUP(O10,'G-3 Multipliers'!$S$3:$T$10,2,FALSE)=0,"Spatial Data Missing ⚠",VLOOKUP(O10,'G-3 Multipliers'!$S$3:$T$10,2,FALSE)))</f>
        <v/>
      </c>
      <c r="Q10" s="794" t="str">
        <f>IFERROR(IF(O10="", "", E10*G10*I10*L10),"")</f>
        <v/>
      </c>
      <c r="R10" s="32"/>
      <c r="S10" s="114"/>
      <c r="T10" s="125"/>
      <c r="U10" s="370" t="str">
        <f>IFERROR(S10*G10*I10*L10,"")</f>
        <v/>
      </c>
      <c r="V10" s="370" t="str">
        <f>IFERROR(T10*G10*I10*L10,"")</f>
        <v/>
      </c>
      <c r="W10" s="374" t="str">
        <f>IF(D10="","",IF(E10&lt;S10+T10,"Error in Lengths ▲",E10-S10-T10))</f>
        <v/>
      </c>
      <c r="X10" s="378" t="str">
        <f>IF(OR(E10="",N10=""),"",IF(E10&lt;S10+T10,"Error in Lengths",Q10-U10-V10))</f>
        <v/>
      </c>
      <c r="Y10" s="117"/>
      <c r="Z10" s="118"/>
      <c r="AA10" s="118"/>
      <c r="AB10" s="118"/>
      <c r="AE10" s="30" t="str">
        <f>IFERROR(INDEX('G-6 Hedgerow Data'!$BJ$3:$BJ$15,MATCH(D10,'G-6 Hedgerow Data'!$B$3:$B$15,0)),"")</f>
        <v/>
      </c>
      <c r="AH10" s="124" t="str">
        <f t="shared" ref="AH10:AH73" si="0">IF(D10="","",IF(S10&gt;0,TRUE,FALSE))</f>
        <v/>
      </c>
      <c r="AI10" s="124" t="str">
        <f t="shared" ref="AI10:AI73" si="1">IF(D10="","",IF(T10&gt;0,TRUE,FALSE))</f>
        <v/>
      </c>
      <c r="AK10" s="124">
        <v>1</v>
      </c>
      <c r="AM10" s="124" t="str">
        <f t="array" ref="AM10">IFERROR(INDEX($AK$10:$AK$258, MATCH(0, IF(TRUE=$AH$10:$AH$258, COUNTIF($AM9:$AM$9, $AK$10:$AK$258), ""), 0)),"")</f>
        <v/>
      </c>
      <c r="AN10" s="124" t="str">
        <f t="array" ref="AN10">IFERROR(INDEX($AK$10:$AK$258, MATCH(0, IF(TRUE=$AI$10:$AI$258, COUNTIF($AN9:$AN$9, $AK$10:$AK$258), ""), 0)),"")</f>
        <v/>
      </c>
      <c r="AY10" s="370" t="str">
        <f>IFERROR(S10*G10*I10*L10*P10,"")</f>
        <v/>
      </c>
    </row>
    <row r="11" spans="2:51 16384:16384" ht="15">
      <c r="B11" s="110">
        <v>2</v>
      </c>
      <c r="C11" s="165"/>
      <c r="D11" s="63"/>
      <c r="E11" s="139"/>
      <c r="F11" s="362" t="str">
        <f>IF(D11="","",VLOOKUP(D11,'G-6 Hedgerow Data'!$B$2:$AG$15,2,FALSE))</f>
        <v/>
      </c>
      <c r="G11" s="363" t="str">
        <f>IF(D11="","",VLOOKUP(D11,'G-6 Hedgerow Data'!$B$2:$AG$15,3,FALSE))</f>
        <v/>
      </c>
      <c r="H11" s="114"/>
      <c r="I11" s="363" t="str">
        <f>IFERROR(IF(AND(F11="V.Low",OR(H11="Good",H11="Moderate")),"Error ▲",VLOOKUP(H11,'G-1 All Habitats'!$Z$2:$AA$9,2,FALSE)),"")</f>
        <v/>
      </c>
      <c r="J11" s="114"/>
      <c r="K11" s="382" t="str">
        <f>IF(J11="","",IF(VLOOKUP(J11,'G-3 Multipliers'!$L$3:$N$6,2,FALSE)=0,"Spatial Data Missing ⚠",VLOOKUP(J11,'G-3 Multipliers'!$L$3:$N$6,2,FALSE)))</f>
        <v/>
      </c>
      <c r="L11" s="386" t="str">
        <f>IF(J11="","",IF(VLOOKUP(J11,'G-3 Multipliers'!$L$3:$N$6,3,FALSE)=0,"Spatial Data Missing ⚠",VLOOKUP(J11,'G-3 Multipliers'!$L$3:$N$6,3,FALSE)))</f>
        <v/>
      </c>
      <c r="M11" s="425" t="str">
        <f>IF(D11="","",VLOOKUP(D11,'G-6 Hedgerow Data'!$B$1:$AH$15,33,FALSE))</f>
        <v/>
      </c>
      <c r="N11" s="376" t="str">
        <f t="shared" ref="N11:N74" si="2">IFERROR(E11*G11*I11*L11*P11,"")</f>
        <v/>
      </c>
      <c r="O11" s="516"/>
      <c r="P11" s="368" t="str">
        <f>IF(O11="","",IF(VLOOKUP(O11,'G-3 Multipliers'!$S$3:$T$10,2,FALSE)=0,"Spatial Data Missing ⚠",VLOOKUP(O11,'G-3 Multipliers'!$S$3:$T$10,2,FALSE)))</f>
        <v/>
      </c>
      <c r="Q11" s="376" t="str">
        <f t="shared" ref="Q11:Q74" si="3">IFERROR(IF(O11="", "", E11*G11*I11*L11),"")</f>
        <v/>
      </c>
      <c r="R11" s="32"/>
      <c r="S11" s="122"/>
      <c r="T11" s="125"/>
      <c r="U11" s="370" t="str">
        <f t="shared" ref="U11:U74" si="4">IFERROR(S11*G11*I11*L11,"")</f>
        <v/>
      </c>
      <c r="V11" s="370" t="str">
        <f t="shared" ref="V11:V74" si="5">IFERROR(T11*G11*I11*L11,"")</f>
        <v/>
      </c>
      <c r="W11" s="374" t="str">
        <f t="shared" ref="W11:W74" si="6">IF(D11="","",IF(E11&lt;S11+T11,"Error in Lengths ▲",E11-S11-T11))</f>
        <v/>
      </c>
      <c r="X11" s="378" t="str">
        <f t="shared" ref="X11:X74" si="7">IF(OR(E11="",N11=""),"",IF(E11&lt;S11+T11,"Error in Lengths",Q11-U11-V11))</f>
        <v/>
      </c>
      <c r="Y11" s="119"/>
      <c r="Z11" s="120"/>
      <c r="AA11" s="120"/>
      <c r="AB11" s="120"/>
      <c r="AE11" s="30" t="str">
        <f>IFERROR(INDEX('G-6 Hedgerow Data'!$BJ$3:$BJ$15,MATCH(D11,'G-6 Hedgerow Data'!$B$3:$B$15,0)),"")</f>
        <v/>
      </c>
      <c r="AH11" s="124" t="str">
        <f t="shared" si="0"/>
        <v/>
      </c>
      <c r="AI11" s="124" t="str">
        <f t="shared" si="1"/>
        <v/>
      </c>
      <c r="AK11" s="124">
        <v>2</v>
      </c>
      <c r="AM11" s="124" t="str">
        <f t="array" ref="AM11">IFERROR(INDEX($AK$10:$AK$258, MATCH(0, IF(TRUE=$AH$10:$AH$258, COUNTIF($AM$9:$AM10, $AK$10:$AK$258), ""), 0)),"")</f>
        <v/>
      </c>
      <c r="AN11" s="124" t="str">
        <f t="array" ref="AN11">IFERROR(INDEX($AK$10:$AK$258, MATCH(0, IF(TRUE=$AI$10:$AI$258, COUNTIF($AN$9:$AN10, $AK$10:$AK$258), ""), 0)),"")</f>
        <v/>
      </c>
      <c r="AY11" s="370" t="str">
        <f t="shared" ref="AY11:AY74" si="8">IFERROR(S11*G11*I11*L11*P11,"")</f>
        <v/>
      </c>
    </row>
    <row r="12" spans="2:51 16384:16384" ht="15">
      <c r="B12" s="110">
        <v>3</v>
      </c>
      <c r="C12" s="165"/>
      <c r="D12" s="63"/>
      <c r="E12" s="139"/>
      <c r="F12" s="362" t="str">
        <f>IF(D12="","",VLOOKUP(D12,'G-6 Hedgerow Data'!$B$2:$AG$15,2,FALSE))</f>
        <v/>
      </c>
      <c r="G12" s="363" t="str">
        <f>IF(D12="","",VLOOKUP(D12,'G-6 Hedgerow Data'!$B$2:$AG$15,3,FALSE))</f>
        <v/>
      </c>
      <c r="H12" s="114"/>
      <c r="I12" s="363" t="str">
        <f>IFERROR(IF(AND(F12="V.Low",OR(H12="Good",H12="Moderate")),"Error ▲",VLOOKUP(H12,'G-1 All Habitats'!$Z$2:$AA$9,2,FALSE)),"")</f>
        <v/>
      </c>
      <c r="J12" s="114"/>
      <c r="K12" s="382" t="str">
        <f>IF(J12="","",IF(VLOOKUP(J12,'G-3 Multipliers'!$L$3:$N$6,2,FALSE)=0,"Spatial Data Missing ⚠",VLOOKUP(J12,'G-3 Multipliers'!$L$3:$N$6,2,FALSE)))</f>
        <v/>
      </c>
      <c r="L12" s="386" t="str">
        <f>IF(J12="","",IF(VLOOKUP(J12,'G-3 Multipliers'!$L$3:$N$6,3,FALSE)=0,"Spatial Data Missing ⚠",VLOOKUP(J12,'G-3 Multipliers'!$L$3:$N$6,3,FALSE)))</f>
        <v/>
      </c>
      <c r="M12" s="425" t="str">
        <f>IF(D12="","",VLOOKUP(D12,'G-6 Hedgerow Data'!$B$1:$AH$15,33,FALSE))</f>
        <v/>
      </c>
      <c r="N12" s="376" t="str">
        <f t="shared" si="2"/>
        <v/>
      </c>
      <c r="O12" s="516"/>
      <c r="P12" s="368" t="str">
        <f>IF(O12="","",IF(VLOOKUP(O12,'G-3 Multipliers'!$S$3:$T$10,2,FALSE)=0,"Spatial Data Missing ⚠",VLOOKUP(O12,'G-3 Multipliers'!$S$3:$T$10,2,FALSE)))</f>
        <v/>
      </c>
      <c r="Q12" s="376" t="str">
        <f t="shared" si="3"/>
        <v/>
      </c>
      <c r="R12" s="32"/>
      <c r="S12" s="122"/>
      <c r="T12" s="125"/>
      <c r="U12" s="370" t="str">
        <f t="shared" si="4"/>
        <v/>
      </c>
      <c r="V12" s="370" t="str">
        <f t="shared" si="5"/>
        <v/>
      </c>
      <c r="W12" s="374" t="str">
        <f t="shared" si="6"/>
        <v/>
      </c>
      <c r="X12" s="378" t="str">
        <f t="shared" si="7"/>
        <v/>
      </c>
      <c r="Y12" s="119"/>
      <c r="Z12" s="120"/>
      <c r="AA12" s="120"/>
      <c r="AB12" s="120"/>
      <c r="AE12" s="30" t="str">
        <f>IFERROR(INDEX('G-6 Hedgerow Data'!$BJ$3:$BJ$15,MATCH(D12,'G-6 Hedgerow Data'!$B$3:$B$15,0)),"")</f>
        <v/>
      </c>
      <c r="AH12" s="124" t="str">
        <f t="shared" si="0"/>
        <v/>
      </c>
      <c r="AI12" s="124" t="str">
        <f t="shared" si="1"/>
        <v/>
      </c>
      <c r="AK12" s="124">
        <v>3</v>
      </c>
      <c r="AM12" s="124" t="str">
        <f t="array" ref="AM12">IFERROR(INDEX($AK$10:$AK$258, MATCH(0, IF(TRUE=$AH$10:$AH$258, COUNTIF($AM$9:$AM11, $AK$10:$AK$258), ""), 0)),"")</f>
        <v/>
      </c>
      <c r="AN12" s="124" t="str">
        <f t="array" ref="AN12">IFERROR(INDEX($AK$10:$AK$258, MATCH(0, IF(TRUE=$AI$10:$AI$258, COUNTIF($AN$9:$AN11, $AK$10:$AK$258), ""), 0)),"")</f>
        <v/>
      </c>
      <c r="AY12" s="370" t="str">
        <f t="shared" si="8"/>
        <v/>
      </c>
    </row>
    <row r="13" spans="2:51 16384:16384" ht="15">
      <c r="B13" s="110">
        <v>4</v>
      </c>
      <c r="C13" s="165"/>
      <c r="D13" s="63"/>
      <c r="E13" s="139"/>
      <c r="F13" s="362" t="str">
        <f>IF(D13="","",VLOOKUP(D13,'G-6 Hedgerow Data'!$B$2:$AG$15,2,FALSE))</f>
        <v/>
      </c>
      <c r="G13" s="363" t="str">
        <f>IF(D13="","",VLOOKUP(D13,'G-6 Hedgerow Data'!$B$2:$AG$15,3,FALSE))</f>
        <v/>
      </c>
      <c r="H13" s="114"/>
      <c r="I13" s="363" t="str">
        <f>IFERROR(IF(AND(F13="V.Low",OR(H13="Good",H13="Moderate")),"Error ▲",VLOOKUP(H13,'G-1 All Habitats'!$Z$2:$AA$9,2,FALSE)),"")</f>
        <v/>
      </c>
      <c r="J13" s="114"/>
      <c r="K13" s="382" t="str">
        <f>IF(J13="","",IF(VLOOKUP(J13,'G-3 Multipliers'!$L$3:$N$6,2,FALSE)=0,"Spatial Data Missing ⚠",VLOOKUP(J13,'G-3 Multipliers'!$L$3:$N$6,2,FALSE)))</f>
        <v/>
      </c>
      <c r="L13" s="386" t="str">
        <f>IF(J13="","",IF(VLOOKUP(J13,'G-3 Multipliers'!$L$3:$N$6,3,FALSE)=0,"Spatial Data Missing ⚠",VLOOKUP(J13,'G-3 Multipliers'!$L$3:$N$6,3,FALSE)))</f>
        <v/>
      </c>
      <c r="M13" s="425" t="str">
        <f>IF(D13="","",VLOOKUP(D13,'G-6 Hedgerow Data'!$B$1:$AH$15,33,FALSE))</f>
        <v/>
      </c>
      <c r="N13" s="376" t="str">
        <f t="shared" si="2"/>
        <v/>
      </c>
      <c r="O13" s="516"/>
      <c r="P13" s="368" t="str">
        <f>IF(O13="","",IF(VLOOKUP(O13,'G-3 Multipliers'!$S$3:$T$10,2,FALSE)=0,"Spatial Data Missing ⚠",VLOOKUP(O13,'G-3 Multipliers'!$S$3:$T$10,2,FALSE)))</f>
        <v/>
      </c>
      <c r="Q13" s="376" t="str">
        <f t="shared" si="3"/>
        <v/>
      </c>
      <c r="R13" s="32"/>
      <c r="S13" s="122"/>
      <c r="T13" s="125"/>
      <c r="U13" s="370" t="str">
        <f t="shared" si="4"/>
        <v/>
      </c>
      <c r="V13" s="370" t="str">
        <f t="shared" si="5"/>
        <v/>
      </c>
      <c r="W13" s="374" t="str">
        <f t="shared" si="6"/>
        <v/>
      </c>
      <c r="X13" s="378" t="str">
        <f t="shared" si="7"/>
        <v/>
      </c>
      <c r="Y13" s="119"/>
      <c r="Z13" s="120"/>
      <c r="AA13" s="120"/>
      <c r="AB13" s="120"/>
      <c r="AE13" s="30" t="str">
        <f>IFERROR(INDEX('G-6 Hedgerow Data'!$BJ$3:$BJ$15,MATCH(D13,'G-6 Hedgerow Data'!$B$3:$B$15,0)),"")</f>
        <v/>
      </c>
      <c r="AH13" s="124" t="str">
        <f t="shared" si="0"/>
        <v/>
      </c>
      <c r="AI13" s="124" t="str">
        <f t="shared" si="1"/>
        <v/>
      </c>
      <c r="AK13" s="124">
        <v>4</v>
      </c>
      <c r="AM13" s="124" t="str">
        <f t="array" ref="AM13">IFERROR(INDEX($AK$10:$AK$258, MATCH(0, IF(TRUE=$AH$10:$AH$258, COUNTIF($AM$9:$AM12, $AK$10:$AK$258), ""), 0)),"")</f>
        <v/>
      </c>
      <c r="AN13" s="124" t="str">
        <f t="array" ref="AN13">IFERROR(INDEX($AK$10:$AK$258, MATCH(0, IF(TRUE=$AI$10:$AI$258, COUNTIF($AN$9:$AN12, $AK$10:$AK$258), ""), 0)),"")</f>
        <v/>
      </c>
      <c r="AY13" s="370" t="str">
        <f t="shared" si="8"/>
        <v/>
      </c>
    </row>
    <row r="14" spans="2:51 16384:16384" ht="15">
      <c r="B14" s="110">
        <v>5</v>
      </c>
      <c r="C14" s="165"/>
      <c r="D14" s="159"/>
      <c r="E14" s="53"/>
      <c r="F14" s="362" t="str">
        <f>IF(D14="","",VLOOKUP(D14,'G-6 Hedgerow Data'!$B$2:$AG$15,2,FALSE))</f>
        <v/>
      </c>
      <c r="G14" s="363" t="str">
        <f>IF(D14="","",VLOOKUP(D14,'G-6 Hedgerow Data'!$B$2:$AG$15,3,FALSE))</f>
        <v/>
      </c>
      <c r="H14" s="114"/>
      <c r="I14" s="363" t="str">
        <f>IFERROR(IF(AND(F14="V.Low",OR(H14="Good",H14="Moderate")),"Error ▲",VLOOKUP(H14,'G-1 All Habitats'!$Z$2:$AA$9,2,FALSE)),"")</f>
        <v/>
      </c>
      <c r="J14" s="114"/>
      <c r="K14" s="382" t="str">
        <f>IF(J14="","",IF(VLOOKUP(J14,'G-3 Multipliers'!$L$3:$N$6,2,FALSE)=0,"Spatial Data Missing ⚠",VLOOKUP(J14,'G-3 Multipliers'!$L$3:$N$6,2,FALSE)))</f>
        <v/>
      </c>
      <c r="L14" s="386" t="str">
        <f>IF(J14="","",IF(VLOOKUP(J14,'G-3 Multipliers'!$L$3:$N$6,3,FALSE)=0,"Spatial Data Missing ⚠",VLOOKUP(J14,'G-3 Multipliers'!$L$3:$N$6,3,FALSE)))</f>
        <v/>
      </c>
      <c r="M14" s="425" t="str">
        <f>IF(D14="","",VLOOKUP(D14,'G-6 Hedgerow Data'!$B$1:$AH$15,33,FALSE))</f>
        <v/>
      </c>
      <c r="N14" s="376" t="str">
        <f t="shared" si="2"/>
        <v/>
      </c>
      <c r="O14" s="516"/>
      <c r="P14" s="368" t="str">
        <f>IF(O14="","",IF(VLOOKUP(O14,'G-3 Multipliers'!$S$3:$T$10,2,FALSE)=0,"Spatial Data Missing ⚠",VLOOKUP(O14,'G-3 Multipliers'!$S$3:$T$10,2,FALSE)))</f>
        <v/>
      </c>
      <c r="Q14" s="376" t="str">
        <f t="shared" si="3"/>
        <v/>
      </c>
      <c r="R14" s="32"/>
      <c r="S14" s="122"/>
      <c r="T14" s="125"/>
      <c r="U14" s="370" t="str">
        <f t="shared" si="4"/>
        <v/>
      </c>
      <c r="V14" s="370" t="str">
        <f t="shared" si="5"/>
        <v/>
      </c>
      <c r="W14" s="374" t="str">
        <f t="shared" si="6"/>
        <v/>
      </c>
      <c r="X14" s="378" t="str">
        <f t="shared" si="7"/>
        <v/>
      </c>
      <c r="Y14" s="119"/>
      <c r="Z14" s="120"/>
      <c r="AA14" s="120"/>
      <c r="AB14" s="120"/>
      <c r="AE14" s="30" t="str">
        <f>IFERROR(INDEX('G-6 Hedgerow Data'!$BJ$3:$BJ$15,MATCH(D14,'G-6 Hedgerow Data'!$B$3:$B$15,0)),"")</f>
        <v/>
      </c>
      <c r="AH14" s="124" t="str">
        <f t="shared" si="0"/>
        <v/>
      </c>
      <c r="AI14" s="124" t="str">
        <f t="shared" si="1"/>
        <v/>
      </c>
      <c r="AK14" s="124">
        <v>5</v>
      </c>
      <c r="AM14" s="124" t="str">
        <f t="array" ref="AM14">IFERROR(INDEX($AK$10:$AK$258, MATCH(0, IF(TRUE=$AH$10:$AH$258, COUNTIF($AM$9:$AM13, $AK$10:$AK$258), ""), 0)),"")</f>
        <v/>
      </c>
      <c r="AN14" s="124" t="str">
        <f t="array" ref="AN14">IFERROR(INDEX($AK$10:$AK$258, MATCH(0, IF(TRUE=$AI$10:$AI$258, COUNTIF($AN$9:$AN13, $AK$10:$AK$258), ""), 0)),"")</f>
        <v/>
      </c>
      <c r="AY14" s="370" t="str">
        <f t="shared" si="8"/>
        <v/>
      </c>
    </row>
    <row r="15" spans="2:51 16384:16384" ht="15">
      <c r="B15" s="110">
        <v>6</v>
      </c>
      <c r="C15" s="165"/>
      <c r="D15" s="159"/>
      <c r="E15" s="53"/>
      <c r="F15" s="362" t="str">
        <f>IF(D15="","",VLOOKUP(D15,'G-6 Hedgerow Data'!$B$2:$AG$15,2,FALSE))</f>
        <v/>
      </c>
      <c r="G15" s="363" t="str">
        <f>IF(D15="","",VLOOKUP(D15,'G-6 Hedgerow Data'!$B$2:$AG$15,3,FALSE))</f>
        <v/>
      </c>
      <c r="H15" s="114"/>
      <c r="I15" s="363" t="str">
        <f>IFERROR(IF(AND(F15="V.Low",OR(H15="Good",H15="Moderate")),"Error ▲",VLOOKUP(H15,'G-1 All Habitats'!$Z$2:$AA$9,2,FALSE)),"")</f>
        <v/>
      </c>
      <c r="J15" s="114"/>
      <c r="K15" s="382" t="str">
        <f>IF(J15="","",IF(VLOOKUP(J15,'G-3 Multipliers'!$L$3:$N$6,2,FALSE)=0,"Spatial Data Missing ⚠",VLOOKUP(J15,'G-3 Multipliers'!$L$3:$N$6,2,FALSE)))</f>
        <v/>
      </c>
      <c r="L15" s="386" t="str">
        <f>IF(J15="","",IF(VLOOKUP(J15,'G-3 Multipliers'!$L$3:$N$6,3,FALSE)=0,"Spatial Data Missing ⚠",VLOOKUP(J15,'G-3 Multipliers'!$L$3:$N$6,3,FALSE)))</f>
        <v/>
      </c>
      <c r="M15" s="425" t="str">
        <f>IF(D15="","",VLOOKUP(D15,'G-6 Hedgerow Data'!$B$1:$AH$15,33,FALSE))</f>
        <v/>
      </c>
      <c r="N15" s="376" t="str">
        <f t="shared" si="2"/>
        <v/>
      </c>
      <c r="O15" s="516"/>
      <c r="P15" s="368" t="str">
        <f>IF(O15="","",IF(VLOOKUP(O15,'G-3 Multipliers'!$S$3:$T$10,2,FALSE)=0,"Spatial Data Missing ⚠",VLOOKUP(O15,'G-3 Multipliers'!$S$3:$T$10,2,FALSE)))</f>
        <v/>
      </c>
      <c r="Q15" s="376" t="str">
        <f t="shared" si="3"/>
        <v/>
      </c>
      <c r="R15" s="32"/>
      <c r="S15" s="122"/>
      <c r="T15" s="125"/>
      <c r="U15" s="370" t="str">
        <f t="shared" si="4"/>
        <v/>
      </c>
      <c r="V15" s="370" t="str">
        <f t="shared" si="5"/>
        <v/>
      </c>
      <c r="W15" s="374" t="str">
        <f t="shared" si="6"/>
        <v/>
      </c>
      <c r="X15" s="378" t="str">
        <f t="shared" si="7"/>
        <v/>
      </c>
      <c r="Y15" s="119"/>
      <c r="Z15" s="120"/>
      <c r="AA15" s="120"/>
      <c r="AB15" s="120"/>
      <c r="AE15" s="30" t="str">
        <f>IFERROR(INDEX('G-6 Hedgerow Data'!$BJ$3:$BJ$15,MATCH(D15,'G-6 Hedgerow Data'!$B$3:$B$15,0)),"")</f>
        <v/>
      </c>
      <c r="AH15" s="124" t="str">
        <f t="shared" si="0"/>
        <v/>
      </c>
      <c r="AI15" s="124" t="str">
        <f t="shared" si="1"/>
        <v/>
      </c>
      <c r="AK15" s="124">
        <v>6</v>
      </c>
      <c r="AM15" s="124" t="str">
        <f t="array" ref="AM15">IFERROR(INDEX($AK$10:$AK$258, MATCH(0, IF(TRUE=$AH$10:$AH$258, COUNTIF($AM$9:$AM14, $AK$10:$AK$258), ""), 0)),"")</f>
        <v/>
      </c>
      <c r="AN15" s="124" t="str">
        <f t="array" ref="AN15">IFERROR(INDEX($AK$10:$AK$258, MATCH(0, IF(TRUE=$AI$10:$AI$258, COUNTIF($AN$9:$AN14, $AK$10:$AK$258), ""), 0)),"")</f>
        <v/>
      </c>
      <c r="AY15" s="370" t="str">
        <f t="shared" si="8"/>
        <v/>
      </c>
    </row>
    <row r="16" spans="2:51 16384:16384" ht="15">
      <c r="B16" s="110">
        <v>7</v>
      </c>
      <c r="C16" s="165"/>
      <c r="D16" s="159"/>
      <c r="E16" s="53"/>
      <c r="F16" s="362" t="str">
        <f>IF(D16="","",VLOOKUP(D16,'G-6 Hedgerow Data'!$B$2:$AG$15,2,FALSE))</f>
        <v/>
      </c>
      <c r="G16" s="363" t="str">
        <f>IF(D16="","",VLOOKUP(D16,'G-6 Hedgerow Data'!$B$2:$AG$15,3,FALSE))</f>
        <v/>
      </c>
      <c r="H16" s="114"/>
      <c r="I16" s="363" t="str">
        <f>IFERROR(IF(AND(F16="V.Low",OR(H16="Good",H16="Moderate")),"Error ▲",VLOOKUP(H16,'G-1 All Habitats'!$Z$2:$AA$9,2,FALSE)),"")</f>
        <v/>
      </c>
      <c r="J16" s="114"/>
      <c r="K16" s="382" t="str">
        <f>IF(J16="","",IF(VLOOKUP(J16,'G-3 Multipliers'!$L$3:$N$6,2,FALSE)=0,"Spatial Data Missing ⚠",VLOOKUP(J16,'G-3 Multipliers'!$L$3:$N$6,2,FALSE)))</f>
        <v/>
      </c>
      <c r="L16" s="386" t="str">
        <f>IF(J16="","",IF(VLOOKUP(J16,'G-3 Multipliers'!$L$3:$N$6,3,FALSE)=0,"Spatial Data Missing ⚠",VLOOKUP(J16,'G-3 Multipliers'!$L$3:$N$6,3,FALSE)))</f>
        <v/>
      </c>
      <c r="M16" s="425" t="str">
        <f>IF(D16="","",VLOOKUP(D16,'G-6 Hedgerow Data'!$B$1:$AH$15,33,FALSE))</f>
        <v/>
      </c>
      <c r="N16" s="376" t="str">
        <f t="shared" si="2"/>
        <v/>
      </c>
      <c r="O16" s="516"/>
      <c r="P16" s="368" t="str">
        <f>IF(O16="","",IF(VLOOKUP(O16,'G-3 Multipliers'!$S$3:$T$10,2,FALSE)=0,"Spatial Data Missing ⚠",VLOOKUP(O16,'G-3 Multipliers'!$S$3:$T$10,2,FALSE)))</f>
        <v/>
      </c>
      <c r="Q16" s="376" t="str">
        <f t="shared" si="3"/>
        <v/>
      </c>
      <c r="R16" s="32"/>
      <c r="S16" s="122"/>
      <c r="T16" s="125"/>
      <c r="U16" s="370" t="str">
        <f t="shared" si="4"/>
        <v/>
      </c>
      <c r="V16" s="370" t="str">
        <f t="shared" si="5"/>
        <v/>
      </c>
      <c r="W16" s="374" t="str">
        <f t="shared" si="6"/>
        <v/>
      </c>
      <c r="X16" s="378" t="str">
        <f t="shared" si="7"/>
        <v/>
      </c>
      <c r="Y16" s="119"/>
      <c r="Z16" s="120"/>
      <c r="AA16" s="120"/>
      <c r="AB16" s="120"/>
      <c r="AE16" s="30" t="str">
        <f>IFERROR(INDEX('G-6 Hedgerow Data'!$BJ$3:$BJ$15,MATCH(D16,'G-6 Hedgerow Data'!$B$3:$B$15,0)),"")</f>
        <v/>
      </c>
      <c r="AH16" s="124" t="str">
        <f t="shared" si="0"/>
        <v/>
      </c>
      <c r="AI16" s="124" t="str">
        <f t="shared" si="1"/>
        <v/>
      </c>
      <c r="AK16" s="124">
        <v>7</v>
      </c>
      <c r="AM16" s="124" t="str">
        <f t="array" ref="AM16">IFERROR(INDEX($AK$10:$AK$258, MATCH(0, IF(TRUE=$AH$10:$AH$258, COUNTIF($AM$9:$AM15, $AK$10:$AK$258), ""), 0)),"")</f>
        <v/>
      </c>
      <c r="AN16" s="124" t="str">
        <f t="array" ref="AN16">IFERROR(INDEX($AK$10:$AK$258, MATCH(0, IF(TRUE=$AI$10:$AI$258, COUNTIF($AN$9:$AN15, $AK$10:$AK$258), ""), 0)),"")</f>
        <v/>
      </c>
      <c r="AY16" s="370" t="str">
        <f t="shared" si="8"/>
        <v/>
      </c>
    </row>
    <row r="17" spans="2:51" ht="15">
      <c r="B17" s="110">
        <v>8</v>
      </c>
      <c r="C17" s="165"/>
      <c r="D17" s="159"/>
      <c r="E17" s="53"/>
      <c r="F17" s="362" t="str">
        <f>IF(D17="","",VLOOKUP(D17,'G-6 Hedgerow Data'!$B$2:$AG$15,2,FALSE))</f>
        <v/>
      </c>
      <c r="G17" s="363" t="str">
        <f>IF(D17="","",VLOOKUP(D17,'G-6 Hedgerow Data'!$B$2:$AG$15,3,FALSE))</f>
        <v/>
      </c>
      <c r="H17" s="114"/>
      <c r="I17" s="363" t="str">
        <f>IFERROR(IF(AND(F17="V.Low",OR(H17="Good",H17="Moderate")),"Error ▲",VLOOKUP(H17,'G-1 All Habitats'!$Z$2:$AA$9,2,FALSE)),"")</f>
        <v/>
      </c>
      <c r="J17" s="114"/>
      <c r="K17" s="382" t="str">
        <f>IF(J17="","",IF(VLOOKUP(J17,'G-3 Multipliers'!$L$3:$N$6,2,FALSE)=0,"Spatial Data Missing ⚠",VLOOKUP(J17,'G-3 Multipliers'!$L$3:$N$6,2,FALSE)))</f>
        <v/>
      </c>
      <c r="L17" s="386" t="str">
        <f>IF(J17="","",IF(VLOOKUP(J17,'G-3 Multipliers'!$L$3:$N$6,3,FALSE)=0,"Spatial Data Missing ⚠",VLOOKUP(J17,'G-3 Multipliers'!$L$3:$N$6,3,FALSE)))</f>
        <v/>
      </c>
      <c r="M17" s="425" t="str">
        <f>IF(D17="","",VLOOKUP(D17,'G-6 Hedgerow Data'!$B$1:$AH$15,33,FALSE))</f>
        <v/>
      </c>
      <c r="N17" s="376" t="str">
        <f t="shared" si="2"/>
        <v/>
      </c>
      <c r="O17" s="516"/>
      <c r="P17" s="368" t="str">
        <f>IF(O17="","",IF(VLOOKUP(O17,'G-3 Multipliers'!$S$3:$T$10,2,FALSE)=0,"Spatial Data Missing ⚠",VLOOKUP(O17,'G-3 Multipliers'!$S$3:$T$10,2,FALSE)))</f>
        <v/>
      </c>
      <c r="Q17" s="376" t="str">
        <f t="shared" si="3"/>
        <v/>
      </c>
      <c r="R17" s="32"/>
      <c r="S17" s="122"/>
      <c r="T17" s="125"/>
      <c r="U17" s="370" t="str">
        <f t="shared" si="4"/>
        <v/>
      </c>
      <c r="V17" s="370" t="str">
        <f t="shared" si="5"/>
        <v/>
      </c>
      <c r="W17" s="374" t="str">
        <f t="shared" si="6"/>
        <v/>
      </c>
      <c r="X17" s="378" t="str">
        <f t="shared" si="7"/>
        <v/>
      </c>
      <c r="Y17" s="119"/>
      <c r="Z17" s="120"/>
      <c r="AA17" s="120"/>
      <c r="AB17" s="120"/>
      <c r="AE17" s="30" t="str">
        <f>IFERROR(INDEX('G-6 Hedgerow Data'!$BJ$3:$BJ$15,MATCH(D17,'G-6 Hedgerow Data'!$B$3:$B$15,0)),"")</f>
        <v/>
      </c>
      <c r="AH17" s="124" t="str">
        <f t="shared" si="0"/>
        <v/>
      </c>
      <c r="AI17" s="124" t="str">
        <f t="shared" si="1"/>
        <v/>
      </c>
      <c r="AK17" s="124">
        <v>8</v>
      </c>
      <c r="AM17" s="124" t="str">
        <f t="array" ref="AM17">IFERROR(INDEX($AK$10:$AK$258, MATCH(0, IF(TRUE=$AH$10:$AH$258, COUNTIF($AM$9:$AM16, $AK$10:$AK$258), ""), 0)),"")</f>
        <v/>
      </c>
      <c r="AN17" s="124" t="str">
        <f t="array" ref="AN17">IFERROR(INDEX($AK$10:$AK$258, MATCH(0, IF(TRUE=$AI$10:$AI$258, COUNTIF($AN$9:$AN16, $AK$10:$AK$258), ""), 0)),"")</f>
        <v/>
      </c>
      <c r="AY17" s="370" t="str">
        <f t="shared" si="8"/>
        <v/>
      </c>
    </row>
    <row r="18" spans="2:51" ht="15">
      <c r="B18" s="110">
        <v>9</v>
      </c>
      <c r="C18" s="165"/>
      <c r="D18" s="159"/>
      <c r="E18" s="139"/>
      <c r="F18" s="362" t="str">
        <f>IF(D18="","",VLOOKUP(D18,'G-6 Hedgerow Data'!$B$2:$AG$15,2,FALSE))</f>
        <v/>
      </c>
      <c r="G18" s="363" t="str">
        <f>IF(D18="","",VLOOKUP(D18,'G-6 Hedgerow Data'!$B$2:$AG$15,3,FALSE))</f>
        <v/>
      </c>
      <c r="H18" s="114"/>
      <c r="I18" s="363" t="str">
        <f>IFERROR(IF(AND(F18="V.Low",OR(H18="Good",H18="Moderate")),"Error ▲",VLOOKUP(H18,'G-1 All Habitats'!$Z$2:$AA$9,2,FALSE)),"")</f>
        <v/>
      </c>
      <c r="J18" s="114"/>
      <c r="K18" s="382" t="str">
        <f>IF(J18="","",IF(VLOOKUP(J18,'G-3 Multipliers'!$L$3:$N$6,2,FALSE)=0,"Spatial Data Missing ⚠",VLOOKUP(J18,'G-3 Multipliers'!$L$3:$N$6,2,FALSE)))</f>
        <v/>
      </c>
      <c r="L18" s="386" t="str">
        <f>IF(J18="","",IF(VLOOKUP(J18,'G-3 Multipliers'!$L$3:$N$6,3,FALSE)=0,"Spatial Data Missing ⚠",VLOOKUP(J18,'G-3 Multipliers'!$L$3:$N$6,3,FALSE)))</f>
        <v/>
      </c>
      <c r="M18" s="425" t="str">
        <f>IF(D18="","",VLOOKUP(D18,'G-6 Hedgerow Data'!$B$1:$AH$15,33,FALSE))</f>
        <v/>
      </c>
      <c r="N18" s="376" t="str">
        <f t="shared" si="2"/>
        <v/>
      </c>
      <c r="O18" s="516"/>
      <c r="P18" s="368" t="str">
        <f>IF(O18="","",IF(VLOOKUP(O18,'G-3 Multipliers'!$S$3:$T$10,2,FALSE)=0,"Spatial Data Missing ⚠",VLOOKUP(O18,'G-3 Multipliers'!$S$3:$T$10,2,FALSE)))</f>
        <v/>
      </c>
      <c r="Q18" s="376" t="str">
        <f t="shared" si="3"/>
        <v/>
      </c>
      <c r="R18" s="32"/>
      <c r="S18" s="122"/>
      <c r="T18" s="125"/>
      <c r="U18" s="370" t="str">
        <f t="shared" si="4"/>
        <v/>
      </c>
      <c r="V18" s="370" t="str">
        <f t="shared" si="5"/>
        <v/>
      </c>
      <c r="W18" s="374" t="str">
        <f t="shared" si="6"/>
        <v/>
      </c>
      <c r="X18" s="378" t="str">
        <f t="shared" si="7"/>
        <v/>
      </c>
      <c r="Y18" s="119"/>
      <c r="Z18" s="120"/>
      <c r="AA18" s="120"/>
      <c r="AB18" s="120"/>
      <c r="AE18" s="30" t="str">
        <f>IFERROR(INDEX('G-6 Hedgerow Data'!$BJ$3:$BJ$15,MATCH(D18,'G-6 Hedgerow Data'!$B$3:$B$15,0)),"")</f>
        <v/>
      </c>
      <c r="AH18" s="124" t="str">
        <f t="shared" si="0"/>
        <v/>
      </c>
      <c r="AI18" s="124" t="str">
        <f t="shared" si="1"/>
        <v/>
      </c>
      <c r="AK18" s="124">
        <v>9</v>
      </c>
      <c r="AM18" s="124" t="str">
        <f t="array" ref="AM18">IFERROR(INDEX($AK$10:$AK$258, MATCH(0, IF(TRUE=$AH$10:$AH$258, COUNTIF($AM$9:$AM17, $AK$10:$AK$258), ""), 0)),"")</f>
        <v/>
      </c>
      <c r="AN18" s="124" t="str">
        <f t="array" ref="AN18">IFERROR(INDEX($AK$10:$AK$258, MATCH(0, IF(TRUE=$AI$10:$AI$258, COUNTIF($AN$9:$AN17, $AK$10:$AK$258), ""), 0)),"")</f>
        <v/>
      </c>
      <c r="AY18" s="370" t="str">
        <f t="shared" si="8"/>
        <v/>
      </c>
    </row>
    <row r="19" spans="2:51" ht="15">
      <c r="B19" s="110">
        <v>10</v>
      </c>
      <c r="C19" s="165"/>
      <c r="D19" s="159"/>
      <c r="E19" s="139"/>
      <c r="F19" s="362" t="str">
        <f>IF(D19="","",VLOOKUP(D19,'G-6 Hedgerow Data'!$B$2:$AG$15,2,FALSE))</f>
        <v/>
      </c>
      <c r="G19" s="363" t="str">
        <f>IF(D19="","",VLOOKUP(D19,'G-6 Hedgerow Data'!$B$2:$AG$15,3,FALSE))</f>
        <v/>
      </c>
      <c r="H19" s="114"/>
      <c r="I19" s="363" t="str">
        <f>IFERROR(IF(AND(F19="V.Low",OR(H19="Good",H19="Moderate")),"Error ▲",VLOOKUP(H19,'G-1 All Habitats'!$Z$2:$AA$9,2,FALSE)),"")</f>
        <v/>
      </c>
      <c r="J19" s="114"/>
      <c r="K19" s="382" t="str">
        <f>IF(J19="","",IF(VLOOKUP(J19,'G-3 Multipliers'!$L$3:$N$6,2,FALSE)=0,"Spatial Data Missing ⚠",VLOOKUP(J19,'G-3 Multipliers'!$L$3:$N$6,2,FALSE)))</f>
        <v/>
      </c>
      <c r="L19" s="386" t="str">
        <f>IF(J19="","",IF(VLOOKUP(J19,'G-3 Multipliers'!$L$3:$N$6,3,FALSE)=0,"Spatial Data Missing ⚠",VLOOKUP(J19,'G-3 Multipliers'!$L$3:$N$6,3,FALSE)))</f>
        <v/>
      </c>
      <c r="M19" s="425" t="str">
        <f>IF(D19="","",VLOOKUP(D19,'G-6 Hedgerow Data'!$B$1:$AH$15,33,FALSE))</f>
        <v/>
      </c>
      <c r="N19" s="376" t="str">
        <f t="shared" si="2"/>
        <v/>
      </c>
      <c r="O19" s="516"/>
      <c r="P19" s="368" t="str">
        <f>IF(O19="","",IF(VLOOKUP(O19,'G-3 Multipliers'!$S$3:$T$10,2,FALSE)=0,"Spatial Data Missing ⚠",VLOOKUP(O19,'G-3 Multipliers'!$S$3:$T$10,2,FALSE)))</f>
        <v/>
      </c>
      <c r="Q19" s="376" t="str">
        <f t="shared" si="3"/>
        <v/>
      </c>
      <c r="R19" s="32"/>
      <c r="S19" s="122"/>
      <c r="T19" s="125"/>
      <c r="U19" s="370" t="str">
        <f t="shared" si="4"/>
        <v/>
      </c>
      <c r="V19" s="370" t="str">
        <f t="shared" si="5"/>
        <v/>
      </c>
      <c r="W19" s="374" t="str">
        <f t="shared" si="6"/>
        <v/>
      </c>
      <c r="X19" s="378" t="str">
        <f t="shared" si="7"/>
        <v/>
      </c>
      <c r="Y19" s="119"/>
      <c r="Z19" s="120"/>
      <c r="AA19" s="120"/>
      <c r="AB19" s="120"/>
      <c r="AE19" s="30" t="str">
        <f>IFERROR(INDEX('G-6 Hedgerow Data'!$BJ$3:$BJ$15,MATCH(D19,'G-6 Hedgerow Data'!$B$3:$B$15,0)),"")</f>
        <v/>
      </c>
      <c r="AH19" s="124" t="str">
        <f t="shared" si="0"/>
        <v/>
      </c>
      <c r="AI19" s="124" t="str">
        <f t="shared" si="1"/>
        <v/>
      </c>
      <c r="AK19" s="124">
        <v>10</v>
      </c>
      <c r="AM19" s="124" t="str">
        <f t="array" ref="AM19">IFERROR(INDEX($AK$10:$AK$258, MATCH(0, IF(TRUE=$AH$10:$AH$258, COUNTIF($AM$9:$AM18, $AK$10:$AK$258), ""), 0)),"")</f>
        <v/>
      </c>
      <c r="AN19" s="124" t="str">
        <f t="array" ref="AN19">IFERROR(INDEX($AK$10:$AK$258, MATCH(0, IF(TRUE=$AI$10:$AI$258, COUNTIF($AN$9:$AN18, $AK$10:$AK$258), ""), 0)),"")</f>
        <v/>
      </c>
      <c r="AY19" s="370" t="str">
        <f t="shared" si="8"/>
        <v/>
      </c>
    </row>
    <row r="20" spans="2:51" ht="15">
      <c r="B20" s="110">
        <v>11</v>
      </c>
      <c r="C20" s="165"/>
      <c r="D20" s="159"/>
      <c r="E20" s="139"/>
      <c r="F20" s="362" t="str">
        <f>IF(D20="","",VLOOKUP(D20,'G-6 Hedgerow Data'!$B$2:$AG$15,2,FALSE))</f>
        <v/>
      </c>
      <c r="G20" s="363" t="str">
        <f>IF(D20="","",VLOOKUP(D20,'G-6 Hedgerow Data'!$B$2:$AG$15,3,FALSE))</f>
        <v/>
      </c>
      <c r="H20" s="114"/>
      <c r="I20" s="363" t="str">
        <f>IFERROR(IF(AND(F20="V.Low",OR(H20="Good",H20="Moderate")),"Error ▲",VLOOKUP(H20,'G-1 All Habitats'!$Z$2:$AA$9,2,FALSE)),"")</f>
        <v/>
      </c>
      <c r="J20" s="114"/>
      <c r="K20" s="382" t="str">
        <f>IF(J20="","",IF(VLOOKUP(J20,'G-3 Multipliers'!$L$3:$N$6,2,FALSE)=0,"Spatial Data Missing ⚠",VLOOKUP(J20,'G-3 Multipliers'!$L$3:$N$6,2,FALSE)))</f>
        <v/>
      </c>
      <c r="L20" s="386" t="str">
        <f>IF(J20="","",IF(VLOOKUP(J20,'G-3 Multipliers'!$L$3:$N$6,3,FALSE)=0,"Spatial Data Missing ⚠",VLOOKUP(J20,'G-3 Multipliers'!$L$3:$N$6,3,FALSE)))</f>
        <v/>
      </c>
      <c r="M20" s="425" t="str">
        <f>IF(D20="","",VLOOKUP(D20,'G-6 Hedgerow Data'!$B$1:$AH$15,33,FALSE))</f>
        <v/>
      </c>
      <c r="N20" s="376" t="str">
        <f t="shared" si="2"/>
        <v/>
      </c>
      <c r="O20" s="516"/>
      <c r="P20" s="368" t="str">
        <f>IF(O20="","",IF(VLOOKUP(O20,'G-3 Multipliers'!$S$3:$T$10,2,FALSE)=0,"Spatial Data Missing ⚠",VLOOKUP(O20,'G-3 Multipliers'!$S$3:$T$10,2,FALSE)))</f>
        <v/>
      </c>
      <c r="Q20" s="376" t="str">
        <f t="shared" si="3"/>
        <v/>
      </c>
      <c r="R20" s="32"/>
      <c r="S20" s="122"/>
      <c r="T20" s="125"/>
      <c r="U20" s="370" t="str">
        <f t="shared" si="4"/>
        <v/>
      </c>
      <c r="V20" s="370" t="str">
        <f t="shared" si="5"/>
        <v/>
      </c>
      <c r="W20" s="374" t="str">
        <f t="shared" si="6"/>
        <v/>
      </c>
      <c r="X20" s="378" t="str">
        <f t="shared" si="7"/>
        <v/>
      </c>
      <c r="Y20" s="119"/>
      <c r="Z20" s="120"/>
      <c r="AA20" s="120"/>
      <c r="AB20" s="120"/>
      <c r="AE20" s="30" t="str">
        <f>IFERROR(INDEX('G-6 Hedgerow Data'!$BJ$3:$BJ$15,MATCH(D20,'G-6 Hedgerow Data'!$B$3:$B$15,0)),"")</f>
        <v/>
      </c>
      <c r="AH20" s="124" t="str">
        <f t="shared" si="0"/>
        <v/>
      </c>
      <c r="AI20" s="124" t="str">
        <f t="shared" si="1"/>
        <v/>
      </c>
      <c r="AK20" s="124">
        <v>11</v>
      </c>
      <c r="AM20" s="124" t="str">
        <f t="array" ref="AM20">IFERROR(INDEX($AK$10:$AK$258, MATCH(0, IF(TRUE=$AH$10:$AH$258, COUNTIF($AM$9:$AM19, $AK$10:$AK$258), ""), 0)),"")</f>
        <v/>
      </c>
      <c r="AN20" s="124" t="str">
        <f t="array" ref="AN20">IFERROR(INDEX($AK$10:$AK$258, MATCH(0, IF(TRUE=$AI$10:$AI$258, COUNTIF($AN$9:$AN19, $AK$10:$AK$258), ""), 0)),"")</f>
        <v/>
      </c>
      <c r="AY20" s="370" t="str">
        <f t="shared" si="8"/>
        <v/>
      </c>
    </row>
    <row r="21" spans="2:51" ht="15">
      <c r="B21" s="110">
        <v>12</v>
      </c>
      <c r="C21" s="165"/>
      <c r="D21" s="159"/>
      <c r="E21" s="139"/>
      <c r="F21" s="362" t="str">
        <f>IF(D21="","",VLOOKUP(D21,'G-6 Hedgerow Data'!$B$2:$AG$15,2,FALSE))</f>
        <v/>
      </c>
      <c r="G21" s="363" t="str">
        <f>IF(D21="","",VLOOKUP(D21,'G-6 Hedgerow Data'!$B$2:$AG$15,3,FALSE))</f>
        <v/>
      </c>
      <c r="H21" s="114"/>
      <c r="I21" s="363" t="str">
        <f>IFERROR(IF(AND(F21="V.Low",OR(H21="Good",H21="Moderate")),"Error ▲",VLOOKUP(H21,'G-1 All Habitats'!$Z$2:$AA$9,2,FALSE)),"")</f>
        <v/>
      </c>
      <c r="J21" s="114"/>
      <c r="K21" s="382" t="str">
        <f>IF(J21="","",IF(VLOOKUP(J21,'G-3 Multipliers'!$L$3:$N$6,2,FALSE)=0,"Spatial Data Missing ⚠",VLOOKUP(J21,'G-3 Multipliers'!$L$3:$N$6,2,FALSE)))</f>
        <v/>
      </c>
      <c r="L21" s="386" t="str">
        <f>IF(J21="","",IF(VLOOKUP(J21,'G-3 Multipliers'!$L$3:$N$6,3,FALSE)=0,"Spatial Data Missing ⚠",VLOOKUP(J21,'G-3 Multipliers'!$L$3:$N$6,3,FALSE)))</f>
        <v/>
      </c>
      <c r="M21" s="425" t="str">
        <f>IF(D21="","",VLOOKUP(D21,'G-6 Hedgerow Data'!$B$1:$AH$15,33,FALSE))</f>
        <v/>
      </c>
      <c r="N21" s="376" t="str">
        <f t="shared" si="2"/>
        <v/>
      </c>
      <c r="O21" s="516"/>
      <c r="P21" s="368" t="str">
        <f>IF(O21="","",IF(VLOOKUP(O21,'G-3 Multipliers'!$S$3:$T$10,2,FALSE)=0,"Spatial Data Missing ⚠",VLOOKUP(O21,'G-3 Multipliers'!$S$3:$T$10,2,FALSE)))</f>
        <v/>
      </c>
      <c r="Q21" s="376" t="str">
        <f t="shared" si="3"/>
        <v/>
      </c>
      <c r="R21" s="32"/>
      <c r="S21" s="122"/>
      <c r="T21" s="125"/>
      <c r="U21" s="370" t="str">
        <f t="shared" si="4"/>
        <v/>
      </c>
      <c r="V21" s="370" t="str">
        <f t="shared" si="5"/>
        <v/>
      </c>
      <c r="W21" s="374" t="str">
        <f t="shared" si="6"/>
        <v/>
      </c>
      <c r="X21" s="378" t="str">
        <f t="shared" si="7"/>
        <v/>
      </c>
      <c r="Y21" s="119"/>
      <c r="Z21" s="120"/>
      <c r="AA21" s="120"/>
      <c r="AB21" s="120"/>
      <c r="AE21" s="30" t="str">
        <f>IFERROR(INDEX('G-6 Hedgerow Data'!$BJ$3:$BJ$15,MATCH(D21,'G-6 Hedgerow Data'!$B$3:$B$15,0)),"")</f>
        <v/>
      </c>
      <c r="AH21" s="124" t="str">
        <f t="shared" si="0"/>
        <v/>
      </c>
      <c r="AI21" s="124" t="str">
        <f t="shared" si="1"/>
        <v/>
      </c>
      <c r="AK21" s="124">
        <v>12</v>
      </c>
      <c r="AM21" s="124" t="str">
        <f t="array" ref="AM21">IFERROR(INDEX($AK$10:$AK$258, MATCH(0, IF(TRUE=$AH$10:$AH$258, COUNTIF($AM$9:$AM20, $AK$10:$AK$258), ""), 0)),"")</f>
        <v/>
      </c>
      <c r="AN21" s="124" t="str">
        <f t="array" ref="AN21">IFERROR(INDEX($AK$10:$AK$258, MATCH(0, IF(TRUE=$AI$10:$AI$258, COUNTIF($AN$9:$AN20, $AK$10:$AK$258), ""), 0)),"")</f>
        <v/>
      </c>
      <c r="AY21" s="370" t="str">
        <f t="shared" si="8"/>
        <v/>
      </c>
    </row>
    <row r="22" spans="2:51" ht="15">
      <c r="B22" s="110">
        <v>13</v>
      </c>
      <c r="C22" s="165"/>
      <c r="D22" s="159"/>
      <c r="E22" s="139"/>
      <c r="F22" s="362" t="str">
        <f>IF(D22="","",VLOOKUP(D22,'G-6 Hedgerow Data'!$B$2:$AG$15,2,FALSE))</f>
        <v/>
      </c>
      <c r="G22" s="363" t="str">
        <f>IF(D22="","",VLOOKUP(D22,'G-6 Hedgerow Data'!$B$2:$AG$15,3,FALSE))</f>
        <v/>
      </c>
      <c r="H22" s="114"/>
      <c r="I22" s="363" t="str">
        <f>IFERROR(IF(AND(F22="V.Low",OR(H22="Good",H22="Moderate")),"Error ▲",VLOOKUP(H22,'G-1 All Habitats'!$Z$2:$AA$9,2,FALSE)),"")</f>
        <v/>
      </c>
      <c r="J22" s="114"/>
      <c r="K22" s="382" t="str">
        <f>IF(J22="","",IF(VLOOKUP(J22,'G-3 Multipliers'!$L$3:$N$6,2,FALSE)=0,"Spatial Data Missing ⚠",VLOOKUP(J22,'G-3 Multipliers'!$L$3:$N$6,2,FALSE)))</f>
        <v/>
      </c>
      <c r="L22" s="386" t="str">
        <f>IF(J22="","",IF(VLOOKUP(J22,'G-3 Multipliers'!$L$3:$N$6,3,FALSE)=0,"Spatial Data Missing ⚠",VLOOKUP(J22,'G-3 Multipliers'!$L$3:$N$6,3,FALSE)))</f>
        <v/>
      </c>
      <c r="M22" s="425" t="str">
        <f>IF(D22="","",VLOOKUP(D22,'G-6 Hedgerow Data'!$B$1:$AH$15,33,FALSE))</f>
        <v/>
      </c>
      <c r="N22" s="376" t="str">
        <f t="shared" si="2"/>
        <v/>
      </c>
      <c r="O22" s="516"/>
      <c r="P22" s="368" t="str">
        <f>IF(O22="","",IF(VLOOKUP(O22,'G-3 Multipliers'!$S$3:$T$10,2,FALSE)=0,"Spatial Data Missing ⚠",VLOOKUP(O22,'G-3 Multipliers'!$S$3:$T$10,2,FALSE)))</f>
        <v/>
      </c>
      <c r="Q22" s="376" t="str">
        <f t="shared" si="3"/>
        <v/>
      </c>
      <c r="R22" s="32"/>
      <c r="S22" s="122"/>
      <c r="T22" s="125"/>
      <c r="U22" s="370" t="str">
        <f t="shared" si="4"/>
        <v/>
      </c>
      <c r="V22" s="370" t="str">
        <f t="shared" si="5"/>
        <v/>
      </c>
      <c r="W22" s="374" t="str">
        <f t="shared" si="6"/>
        <v/>
      </c>
      <c r="X22" s="378" t="str">
        <f t="shared" si="7"/>
        <v/>
      </c>
      <c r="Y22" s="119"/>
      <c r="Z22" s="120"/>
      <c r="AA22" s="120"/>
      <c r="AB22" s="120"/>
      <c r="AE22" s="30" t="str">
        <f>IFERROR(INDEX('G-6 Hedgerow Data'!$BJ$3:$BJ$15,MATCH(D22,'G-6 Hedgerow Data'!$B$3:$B$15,0)),"")</f>
        <v/>
      </c>
      <c r="AH22" s="124" t="str">
        <f t="shared" si="0"/>
        <v/>
      </c>
      <c r="AI22" s="124" t="str">
        <f t="shared" si="1"/>
        <v/>
      </c>
      <c r="AK22" s="124">
        <v>13</v>
      </c>
      <c r="AM22" s="124" t="str">
        <f t="array" ref="AM22">IFERROR(INDEX($AK$10:$AK$258, MATCH(0, IF(TRUE=$AH$10:$AH$258, COUNTIF($AM$9:$AM21, $AK$10:$AK$258), ""), 0)),"")</f>
        <v/>
      </c>
      <c r="AN22" s="124" t="str">
        <f t="array" ref="AN22">IFERROR(INDEX($AK$10:$AK$258, MATCH(0, IF(TRUE=$AI$10:$AI$258, COUNTIF($AN$9:$AN21, $AK$10:$AK$258), ""), 0)),"")</f>
        <v/>
      </c>
      <c r="AY22" s="370" t="str">
        <f t="shared" si="8"/>
        <v/>
      </c>
    </row>
    <row r="23" spans="2:51" ht="15">
      <c r="B23" s="110">
        <v>14</v>
      </c>
      <c r="C23" s="165"/>
      <c r="D23" s="63"/>
      <c r="E23" s="139"/>
      <c r="F23" s="362" t="str">
        <f>IF(D23="","",VLOOKUP(D23,'G-6 Hedgerow Data'!$B$2:$AG$15,2,FALSE))</f>
        <v/>
      </c>
      <c r="G23" s="363" t="str">
        <f>IF(D23="","",VLOOKUP(D23,'G-6 Hedgerow Data'!$B$2:$AG$15,3,FALSE))</f>
        <v/>
      </c>
      <c r="H23" s="114"/>
      <c r="I23" s="363" t="str">
        <f>IFERROR(IF(AND(F23="V.Low",OR(H23="Good",H23="Moderate")),"Error ▲",VLOOKUP(H23,'G-1 All Habitats'!$Z$2:$AA$9,2,FALSE)),"")</f>
        <v/>
      </c>
      <c r="J23" s="114"/>
      <c r="K23" s="382" t="str">
        <f>IF(J23="","",IF(VLOOKUP(J23,'G-3 Multipliers'!$L$3:$N$6,2,FALSE)=0,"Spatial Data Missing ⚠",VLOOKUP(J23,'G-3 Multipliers'!$L$3:$N$6,2,FALSE)))</f>
        <v/>
      </c>
      <c r="L23" s="386" t="str">
        <f>IF(J23="","",IF(VLOOKUP(J23,'G-3 Multipliers'!$L$3:$N$6,3,FALSE)=0,"Spatial Data Missing ⚠",VLOOKUP(J23,'G-3 Multipliers'!$L$3:$N$6,3,FALSE)))</f>
        <v/>
      </c>
      <c r="M23" s="425" t="str">
        <f>IF(D23="","",VLOOKUP(D23,'G-6 Hedgerow Data'!$B$1:$AH$15,33,FALSE))</f>
        <v/>
      </c>
      <c r="N23" s="376" t="str">
        <f t="shared" si="2"/>
        <v/>
      </c>
      <c r="O23" s="516"/>
      <c r="P23" s="368" t="str">
        <f>IF(O23="","",IF(VLOOKUP(O23,'G-3 Multipliers'!$S$3:$T$10,2,FALSE)=0,"Spatial Data Missing ⚠",VLOOKUP(O23,'G-3 Multipliers'!$S$3:$T$10,2,FALSE)))</f>
        <v/>
      </c>
      <c r="Q23" s="376" t="str">
        <f t="shared" si="3"/>
        <v/>
      </c>
      <c r="R23" s="32"/>
      <c r="S23" s="122"/>
      <c r="T23" s="125"/>
      <c r="U23" s="370" t="str">
        <f t="shared" si="4"/>
        <v/>
      </c>
      <c r="V23" s="370" t="str">
        <f t="shared" si="5"/>
        <v/>
      </c>
      <c r="W23" s="374" t="str">
        <f t="shared" si="6"/>
        <v/>
      </c>
      <c r="X23" s="378" t="str">
        <f t="shared" si="7"/>
        <v/>
      </c>
      <c r="Y23" s="119"/>
      <c r="Z23" s="120"/>
      <c r="AA23" s="120"/>
      <c r="AB23" s="120"/>
      <c r="AE23" s="30" t="str">
        <f>IFERROR(INDEX('G-6 Hedgerow Data'!$BJ$3:$BJ$15,MATCH(D23,'G-6 Hedgerow Data'!$B$3:$B$15,0)),"")</f>
        <v/>
      </c>
      <c r="AH23" s="124" t="str">
        <f t="shared" si="0"/>
        <v/>
      </c>
      <c r="AI23" s="124" t="str">
        <f t="shared" si="1"/>
        <v/>
      </c>
      <c r="AK23" s="124">
        <v>14</v>
      </c>
      <c r="AM23" s="124" t="str">
        <f t="array" ref="AM23">IFERROR(INDEX($AK$10:$AK$258, MATCH(0, IF(TRUE=$AH$10:$AH$258, COUNTIF($AM$9:$AM22, $AK$10:$AK$258), ""), 0)),"")</f>
        <v/>
      </c>
      <c r="AN23" s="124" t="str">
        <f t="array" ref="AN23">IFERROR(INDEX($AK$10:$AK$258, MATCH(0, IF(TRUE=$AI$10:$AI$258, COUNTIF($AN$9:$AN22, $AK$10:$AK$258), ""), 0)),"")</f>
        <v/>
      </c>
      <c r="AY23" s="370" t="str">
        <f t="shared" si="8"/>
        <v/>
      </c>
    </row>
    <row r="24" spans="2:51" ht="15">
      <c r="B24" s="110">
        <v>15</v>
      </c>
      <c r="C24" s="165"/>
      <c r="D24" s="63"/>
      <c r="E24" s="139"/>
      <c r="F24" s="362" t="str">
        <f>IF(D24="","",VLOOKUP(D24,'G-6 Hedgerow Data'!$B$2:$AG$15,2,FALSE))</f>
        <v/>
      </c>
      <c r="G24" s="363" t="str">
        <f>IF(D24="","",VLOOKUP(D24,'G-6 Hedgerow Data'!$B$2:$AG$15,3,FALSE))</f>
        <v/>
      </c>
      <c r="H24" s="114"/>
      <c r="I24" s="363" t="str">
        <f>IFERROR(IF(AND(F24="V.Low",OR(H24="Good",H24="Moderate")),"Error ▲",VLOOKUP(H24,'G-1 All Habitats'!$Z$2:$AA$9,2,FALSE)),"")</f>
        <v/>
      </c>
      <c r="J24" s="114"/>
      <c r="K24" s="382" t="str">
        <f>IF(J24="","",IF(VLOOKUP(J24,'G-3 Multipliers'!$L$3:$N$6,2,FALSE)=0,"Spatial Data Missing ⚠",VLOOKUP(J24,'G-3 Multipliers'!$L$3:$N$6,2,FALSE)))</f>
        <v/>
      </c>
      <c r="L24" s="386" t="str">
        <f>IF(J24="","",IF(VLOOKUP(J24,'G-3 Multipliers'!$L$3:$N$6,3,FALSE)=0,"Spatial Data Missing ⚠",VLOOKUP(J24,'G-3 Multipliers'!$L$3:$N$6,3,FALSE)))</f>
        <v/>
      </c>
      <c r="M24" s="425" t="str">
        <f>IF(D24="","",VLOOKUP(D24,'G-6 Hedgerow Data'!$B$1:$AH$15,33,FALSE))</f>
        <v/>
      </c>
      <c r="N24" s="376" t="str">
        <f t="shared" si="2"/>
        <v/>
      </c>
      <c r="O24" s="516"/>
      <c r="P24" s="368" t="str">
        <f>IF(O24="","",IF(VLOOKUP(O24,'G-3 Multipliers'!$S$3:$T$10,2,FALSE)=0,"Spatial Data Missing ⚠",VLOOKUP(O24,'G-3 Multipliers'!$S$3:$T$10,2,FALSE)))</f>
        <v/>
      </c>
      <c r="Q24" s="376" t="str">
        <f t="shared" si="3"/>
        <v/>
      </c>
      <c r="R24" s="32"/>
      <c r="S24" s="122"/>
      <c r="T24" s="125"/>
      <c r="U24" s="370" t="str">
        <f t="shared" si="4"/>
        <v/>
      </c>
      <c r="V24" s="370" t="str">
        <f t="shared" si="5"/>
        <v/>
      </c>
      <c r="W24" s="374" t="str">
        <f t="shared" si="6"/>
        <v/>
      </c>
      <c r="X24" s="378" t="str">
        <f t="shared" si="7"/>
        <v/>
      </c>
      <c r="Y24" s="119"/>
      <c r="Z24" s="120"/>
      <c r="AA24" s="120"/>
      <c r="AB24" s="120"/>
      <c r="AE24" s="30" t="str">
        <f>IFERROR(INDEX('G-6 Hedgerow Data'!$BJ$3:$BJ$15,MATCH(D24,'G-6 Hedgerow Data'!$B$3:$B$15,0)),"")</f>
        <v/>
      </c>
      <c r="AH24" s="124" t="str">
        <f t="shared" si="0"/>
        <v/>
      </c>
      <c r="AI24" s="124" t="str">
        <f t="shared" si="1"/>
        <v/>
      </c>
      <c r="AK24" s="124">
        <v>15</v>
      </c>
      <c r="AM24" s="124" t="str">
        <f t="array" ref="AM24">IFERROR(INDEX($AK$10:$AK$258, MATCH(0, IF(TRUE=$AH$10:$AH$258, COUNTIF($AM$9:$AM23, $AK$10:$AK$258), ""), 0)),"")</f>
        <v/>
      </c>
      <c r="AN24" s="124" t="str">
        <f t="array" ref="AN24">IFERROR(INDEX($AK$10:$AK$258, MATCH(0, IF(TRUE=$AI$10:$AI$258, COUNTIF($AN$9:$AN23, $AK$10:$AK$258), ""), 0)),"")</f>
        <v/>
      </c>
      <c r="AY24" s="370" t="str">
        <f t="shared" si="8"/>
        <v/>
      </c>
    </row>
    <row r="25" spans="2:51" ht="15">
      <c r="B25" s="110">
        <v>16</v>
      </c>
      <c r="C25" s="165"/>
      <c r="D25" s="63"/>
      <c r="E25" s="139"/>
      <c r="F25" s="362" t="str">
        <f>IF(D25="","",VLOOKUP(D25,'G-6 Hedgerow Data'!$B$2:$AG$15,2,FALSE))</f>
        <v/>
      </c>
      <c r="G25" s="363" t="str">
        <f>IF(D25="","",VLOOKUP(D25,'G-6 Hedgerow Data'!$B$2:$AG$15,3,FALSE))</f>
        <v/>
      </c>
      <c r="H25" s="114"/>
      <c r="I25" s="363" t="str">
        <f>IFERROR(IF(AND(F25="V.Low",OR(H25="Good",H25="Moderate")),"Error ▲",VLOOKUP(H25,'G-1 All Habitats'!$Z$2:$AA$9,2,FALSE)),"")</f>
        <v/>
      </c>
      <c r="J25" s="114"/>
      <c r="K25" s="382" t="str">
        <f>IF(J25="","",IF(VLOOKUP(J25,'G-3 Multipliers'!$L$3:$N$6,2,FALSE)=0,"Spatial Data Missing ⚠",VLOOKUP(J25,'G-3 Multipliers'!$L$3:$N$6,2,FALSE)))</f>
        <v/>
      </c>
      <c r="L25" s="386" t="str">
        <f>IF(J25="","",IF(VLOOKUP(J25,'G-3 Multipliers'!$L$3:$N$6,3,FALSE)=0,"Spatial Data Missing ⚠",VLOOKUP(J25,'G-3 Multipliers'!$L$3:$N$6,3,FALSE)))</f>
        <v/>
      </c>
      <c r="M25" s="425" t="str">
        <f>IF(D25="","",VLOOKUP(D25,'G-6 Hedgerow Data'!$B$1:$AH$15,33,FALSE))</f>
        <v/>
      </c>
      <c r="N25" s="376" t="str">
        <f t="shared" si="2"/>
        <v/>
      </c>
      <c r="O25" s="516"/>
      <c r="P25" s="368" t="str">
        <f>IF(O25="","",IF(VLOOKUP(O25,'G-3 Multipliers'!$S$3:$T$10,2,FALSE)=0,"Spatial Data Missing ⚠",VLOOKUP(O25,'G-3 Multipliers'!$S$3:$T$10,2,FALSE)))</f>
        <v/>
      </c>
      <c r="Q25" s="376" t="str">
        <f t="shared" si="3"/>
        <v/>
      </c>
      <c r="R25" s="32"/>
      <c r="S25" s="122"/>
      <c r="T25" s="125"/>
      <c r="U25" s="370" t="str">
        <f t="shared" si="4"/>
        <v/>
      </c>
      <c r="V25" s="370" t="str">
        <f t="shared" si="5"/>
        <v/>
      </c>
      <c r="W25" s="374" t="str">
        <f t="shared" si="6"/>
        <v/>
      </c>
      <c r="X25" s="378" t="str">
        <f t="shared" si="7"/>
        <v/>
      </c>
      <c r="Y25" s="119"/>
      <c r="Z25" s="120"/>
      <c r="AA25" s="120"/>
      <c r="AB25" s="120"/>
      <c r="AE25" s="30" t="str">
        <f>IFERROR(INDEX('G-6 Hedgerow Data'!$BJ$3:$BJ$15,MATCH(D25,'G-6 Hedgerow Data'!$B$3:$B$15,0)),"")</f>
        <v/>
      </c>
      <c r="AH25" s="124" t="str">
        <f t="shared" si="0"/>
        <v/>
      </c>
      <c r="AI25" s="124" t="str">
        <f t="shared" si="1"/>
        <v/>
      </c>
      <c r="AK25" s="124">
        <v>16</v>
      </c>
      <c r="AM25" s="124" t="str">
        <f t="array" ref="AM25">IFERROR(INDEX($AK$10:$AK$258, MATCH(0, IF(TRUE=$AH$10:$AH$258, COUNTIF($AM$9:$AM24, $AK$10:$AK$258), ""), 0)),"")</f>
        <v/>
      </c>
      <c r="AN25" s="124" t="str">
        <f t="array" ref="AN25">IFERROR(INDEX($AK$10:$AK$258, MATCH(0, IF(TRUE=$AI$10:$AI$258, COUNTIF($AN$9:$AN24, $AK$10:$AK$258), ""), 0)),"")</f>
        <v/>
      </c>
      <c r="AY25" s="370" t="str">
        <f t="shared" si="8"/>
        <v/>
      </c>
    </row>
    <row r="26" spans="2:51" ht="15">
      <c r="B26" s="110">
        <v>17</v>
      </c>
      <c r="C26" s="165"/>
      <c r="D26" s="63"/>
      <c r="E26" s="139"/>
      <c r="F26" s="362" t="str">
        <f>IF(D26="","",VLOOKUP(D26,'G-6 Hedgerow Data'!$B$2:$AG$15,2,FALSE))</f>
        <v/>
      </c>
      <c r="G26" s="363" t="str">
        <f>IF(D26="","",VLOOKUP(D26,'G-6 Hedgerow Data'!$B$2:$AG$15,3,FALSE))</f>
        <v/>
      </c>
      <c r="H26" s="114"/>
      <c r="I26" s="363" t="str">
        <f>IFERROR(IF(AND(F26="V.Low",OR(H26="Good",H26="Moderate")),"Error ▲",VLOOKUP(H26,'G-1 All Habitats'!$Z$2:$AA$9,2,FALSE)),"")</f>
        <v/>
      </c>
      <c r="J26" s="114"/>
      <c r="K26" s="382" t="str">
        <f>IF(J26="","",IF(VLOOKUP(J26,'G-3 Multipliers'!$L$3:$N$6,2,FALSE)=0,"Spatial Data Missing ⚠",VLOOKUP(J26,'G-3 Multipliers'!$L$3:$N$6,2,FALSE)))</f>
        <v/>
      </c>
      <c r="L26" s="386" t="str">
        <f>IF(J26="","",IF(VLOOKUP(J26,'G-3 Multipliers'!$L$3:$N$6,3,FALSE)=0,"Spatial Data Missing ⚠",VLOOKUP(J26,'G-3 Multipliers'!$L$3:$N$6,3,FALSE)))</f>
        <v/>
      </c>
      <c r="M26" s="425" t="str">
        <f>IF(D26="","",VLOOKUP(D26,'G-6 Hedgerow Data'!$B$1:$AH$15,33,FALSE))</f>
        <v/>
      </c>
      <c r="N26" s="376" t="str">
        <f t="shared" si="2"/>
        <v/>
      </c>
      <c r="O26" s="516"/>
      <c r="P26" s="368" t="str">
        <f>IF(O26="","",IF(VLOOKUP(O26,'G-3 Multipliers'!$S$3:$T$10,2,FALSE)=0,"Spatial Data Missing ⚠",VLOOKUP(O26,'G-3 Multipliers'!$S$3:$T$10,2,FALSE)))</f>
        <v/>
      </c>
      <c r="Q26" s="376" t="str">
        <f t="shared" si="3"/>
        <v/>
      </c>
      <c r="R26" s="32"/>
      <c r="S26" s="122"/>
      <c r="T26" s="125"/>
      <c r="U26" s="370" t="str">
        <f t="shared" si="4"/>
        <v/>
      </c>
      <c r="V26" s="370" t="str">
        <f t="shared" si="5"/>
        <v/>
      </c>
      <c r="W26" s="374" t="str">
        <f t="shared" si="6"/>
        <v/>
      </c>
      <c r="X26" s="378" t="str">
        <f t="shared" si="7"/>
        <v/>
      </c>
      <c r="Y26" s="119"/>
      <c r="Z26" s="120"/>
      <c r="AA26" s="120"/>
      <c r="AB26" s="120"/>
      <c r="AE26" s="30" t="str">
        <f>IFERROR(INDEX('G-6 Hedgerow Data'!$BJ$3:$BJ$15,MATCH(D26,'G-6 Hedgerow Data'!$B$3:$B$15,0)),"")</f>
        <v/>
      </c>
      <c r="AH26" s="124" t="str">
        <f t="shared" si="0"/>
        <v/>
      </c>
      <c r="AI26" s="124" t="str">
        <f t="shared" si="1"/>
        <v/>
      </c>
      <c r="AK26" s="124">
        <v>17</v>
      </c>
      <c r="AM26" s="124" t="str">
        <f t="array" ref="AM26">IFERROR(INDEX($AK$10:$AK$258, MATCH(0, IF(TRUE=$AH$10:$AH$258, COUNTIF($AM$9:$AM25, $AK$10:$AK$258), ""), 0)),"")</f>
        <v/>
      </c>
      <c r="AN26" s="124" t="str">
        <f t="array" ref="AN26">IFERROR(INDEX($AK$10:$AK$258, MATCH(0, IF(TRUE=$AI$10:$AI$258, COUNTIF($AN$9:$AN25, $AK$10:$AK$258), ""), 0)),"")</f>
        <v/>
      </c>
      <c r="AY26" s="370" t="str">
        <f t="shared" si="8"/>
        <v/>
      </c>
    </row>
    <row r="27" spans="2:51" ht="15">
      <c r="B27" s="110">
        <v>18</v>
      </c>
      <c r="C27" s="165"/>
      <c r="D27" s="159"/>
      <c r="E27" s="139"/>
      <c r="F27" s="362" t="str">
        <f>IF(D27="","",VLOOKUP(D27,'G-6 Hedgerow Data'!$B$2:$AG$15,2,FALSE))</f>
        <v/>
      </c>
      <c r="G27" s="363" t="str">
        <f>IF(D27="","",VLOOKUP(D27,'G-6 Hedgerow Data'!$B$2:$AG$15,3,FALSE))</f>
        <v/>
      </c>
      <c r="H27" s="114"/>
      <c r="I27" s="363" t="str">
        <f>IFERROR(IF(AND(F27="V.Low",OR(H27="Good",H27="Moderate")),"Error ▲",VLOOKUP(H27,'G-1 All Habitats'!$Z$2:$AA$9,2,FALSE)),"")</f>
        <v/>
      </c>
      <c r="J27" s="114"/>
      <c r="K27" s="382" t="str">
        <f>IF(J27="","",IF(VLOOKUP(J27,'G-3 Multipliers'!$L$3:$N$6,2,FALSE)=0,"Spatial Data Missing ⚠",VLOOKUP(J27,'G-3 Multipliers'!$L$3:$N$6,2,FALSE)))</f>
        <v/>
      </c>
      <c r="L27" s="386" t="str">
        <f>IF(J27="","",IF(VLOOKUP(J27,'G-3 Multipliers'!$L$3:$N$6,3,FALSE)=0,"Spatial Data Missing ⚠",VLOOKUP(J27,'G-3 Multipliers'!$L$3:$N$6,3,FALSE)))</f>
        <v/>
      </c>
      <c r="M27" s="425" t="str">
        <f>IF(D27="","",VLOOKUP(D27,'G-6 Hedgerow Data'!$B$1:$AH$15,33,FALSE))</f>
        <v/>
      </c>
      <c r="N27" s="376" t="str">
        <f t="shared" si="2"/>
        <v/>
      </c>
      <c r="O27" s="516"/>
      <c r="P27" s="368" t="str">
        <f>IF(O27="","",IF(VLOOKUP(O27,'G-3 Multipliers'!$S$3:$T$10,2,FALSE)=0,"Spatial Data Missing ⚠",VLOOKUP(O27,'G-3 Multipliers'!$S$3:$T$10,2,FALSE)))</f>
        <v/>
      </c>
      <c r="Q27" s="376" t="str">
        <f t="shared" si="3"/>
        <v/>
      </c>
      <c r="R27" s="32"/>
      <c r="S27" s="122"/>
      <c r="T27" s="125"/>
      <c r="U27" s="370" t="str">
        <f t="shared" si="4"/>
        <v/>
      </c>
      <c r="V27" s="370" t="str">
        <f t="shared" si="5"/>
        <v/>
      </c>
      <c r="W27" s="374" t="str">
        <f t="shared" si="6"/>
        <v/>
      </c>
      <c r="X27" s="378" t="str">
        <f t="shared" si="7"/>
        <v/>
      </c>
      <c r="Y27" s="119"/>
      <c r="Z27" s="120"/>
      <c r="AA27" s="120"/>
      <c r="AB27" s="120"/>
      <c r="AE27" s="30" t="str">
        <f>IFERROR(INDEX('G-6 Hedgerow Data'!$BJ$3:$BJ$15,MATCH(D27,'G-6 Hedgerow Data'!$B$3:$B$15,0)),"")</f>
        <v/>
      </c>
      <c r="AH27" s="124" t="str">
        <f t="shared" si="0"/>
        <v/>
      </c>
      <c r="AI27" s="124" t="str">
        <f t="shared" si="1"/>
        <v/>
      </c>
      <c r="AK27" s="124">
        <v>18</v>
      </c>
      <c r="AM27" s="124" t="str">
        <f t="array" ref="AM27">IFERROR(INDEX($AK$10:$AK$258, MATCH(0, IF(TRUE=$AH$10:$AH$258, COUNTIF($AM$9:$AM26, $AK$10:$AK$258), ""), 0)),"")</f>
        <v/>
      </c>
      <c r="AN27" s="124" t="str">
        <f t="array" ref="AN27">IFERROR(INDEX($AK$10:$AK$258, MATCH(0, IF(TRUE=$AI$10:$AI$258, COUNTIF($AN$9:$AN26, $AK$10:$AK$258), ""), 0)),"")</f>
        <v/>
      </c>
      <c r="AY27" s="370" t="str">
        <f t="shared" si="8"/>
        <v/>
      </c>
    </row>
    <row r="28" spans="2:51" ht="15">
      <c r="B28" s="110">
        <v>19</v>
      </c>
      <c r="C28" s="165"/>
      <c r="D28" s="159"/>
      <c r="E28" s="139"/>
      <c r="F28" s="362" t="str">
        <f>IF(D28="","",VLOOKUP(D28,'G-6 Hedgerow Data'!$B$2:$AG$15,2,FALSE))</f>
        <v/>
      </c>
      <c r="G28" s="363" t="str">
        <f>IF(D28="","",VLOOKUP(D28,'G-6 Hedgerow Data'!$B$2:$AG$15,3,FALSE))</f>
        <v/>
      </c>
      <c r="H28" s="114"/>
      <c r="I28" s="363" t="str">
        <f>IFERROR(IF(AND(F28="V.Low",OR(H28="Good",H28="Moderate")),"Error ▲",VLOOKUP(H28,'G-1 All Habitats'!$Z$2:$AA$9,2,FALSE)),"")</f>
        <v/>
      </c>
      <c r="J28" s="114"/>
      <c r="K28" s="382" t="str">
        <f>IF(J28="","",IF(VLOOKUP(J28,'G-3 Multipliers'!$L$3:$N$6,2,FALSE)=0,"Spatial Data Missing ⚠",VLOOKUP(J28,'G-3 Multipliers'!$L$3:$N$6,2,FALSE)))</f>
        <v/>
      </c>
      <c r="L28" s="386" t="str">
        <f>IF(J28="","",IF(VLOOKUP(J28,'G-3 Multipliers'!$L$3:$N$6,3,FALSE)=0,"Spatial Data Missing ⚠",VLOOKUP(J28,'G-3 Multipliers'!$L$3:$N$6,3,FALSE)))</f>
        <v/>
      </c>
      <c r="M28" s="425" t="str">
        <f>IF(D28="","",VLOOKUP(D28,'G-6 Hedgerow Data'!$B$1:$AH$15,33,FALSE))</f>
        <v/>
      </c>
      <c r="N28" s="376" t="str">
        <f t="shared" si="2"/>
        <v/>
      </c>
      <c r="O28" s="516"/>
      <c r="P28" s="368" t="str">
        <f>IF(O28="","",IF(VLOOKUP(O28,'G-3 Multipliers'!$S$3:$T$10,2,FALSE)=0,"Spatial Data Missing ⚠",VLOOKUP(O28,'G-3 Multipliers'!$S$3:$T$10,2,FALSE)))</f>
        <v/>
      </c>
      <c r="Q28" s="376" t="str">
        <f t="shared" si="3"/>
        <v/>
      </c>
      <c r="R28" s="32"/>
      <c r="S28" s="122"/>
      <c r="T28" s="125"/>
      <c r="U28" s="370" t="str">
        <f t="shared" si="4"/>
        <v/>
      </c>
      <c r="V28" s="370" t="str">
        <f t="shared" si="5"/>
        <v/>
      </c>
      <c r="W28" s="374" t="str">
        <f t="shared" si="6"/>
        <v/>
      </c>
      <c r="X28" s="378" t="str">
        <f t="shared" si="7"/>
        <v/>
      </c>
      <c r="Y28" s="119"/>
      <c r="Z28" s="120"/>
      <c r="AA28" s="120"/>
      <c r="AB28" s="120"/>
      <c r="AE28" s="30" t="str">
        <f>IFERROR(INDEX('G-6 Hedgerow Data'!$BJ$3:$BJ$15,MATCH(D28,'G-6 Hedgerow Data'!$B$3:$B$15,0)),"")</f>
        <v/>
      </c>
      <c r="AH28" s="124" t="str">
        <f t="shared" si="0"/>
        <v/>
      </c>
      <c r="AI28" s="124" t="str">
        <f t="shared" si="1"/>
        <v/>
      </c>
      <c r="AK28" s="124">
        <v>19</v>
      </c>
      <c r="AM28" s="124" t="str">
        <f t="array" ref="AM28">IFERROR(INDEX($AK$10:$AK$258, MATCH(0, IF(TRUE=$AH$10:$AH$258, COUNTIF($AM$9:$AM27, $AK$10:$AK$258), ""), 0)),"")</f>
        <v/>
      </c>
      <c r="AN28" s="124" t="str">
        <f t="array" ref="AN28">IFERROR(INDEX($AK$10:$AK$258, MATCH(0, IF(TRUE=$AI$10:$AI$258, COUNTIF($AN$9:$AN27, $AK$10:$AK$258), ""), 0)),"")</f>
        <v/>
      </c>
      <c r="AY28" s="370" t="str">
        <f t="shared" si="8"/>
        <v/>
      </c>
    </row>
    <row r="29" spans="2:51" ht="15">
      <c r="B29" s="110">
        <v>20</v>
      </c>
      <c r="C29" s="165"/>
      <c r="D29" s="159"/>
      <c r="E29" s="139"/>
      <c r="F29" s="362" t="str">
        <f>IF(D29="","",VLOOKUP(D29,'G-6 Hedgerow Data'!$B$2:$AG$15,2,FALSE))</f>
        <v/>
      </c>
      <c r="G29" s="363" t="str">
        <f>IF(D29="","",VLOOKUP(D29,'G-6 Hedgerow Data'!$B$2:$AG$15,3,FALSE))</f>
        <v/>
      </c>
      <c r="H29" s="114"/>
      <c r="I29" s="363" t="str">
        <f>IFERROR(IF(AND(F29="V.Low",OR(H29="Good",H29="Moderate")),"Error ▲",VLOOKUP(H29,'G-1 All Habitats'!$Z$2:$AA$9,2,FALSE)),"")</f>
        <v/>
      </c>
      <c r="J29" s="114"/>
      <c r="K29" s="382" t="str">
        <f>IF(J29="","",IF(VLOOKUP(J29,'G-3 Multipliers'!$L$3:$N$6,2,FALSE)=0,"Spatial Data Missing ⚠",VLOOKUP(J29,'G-3 Multipliers'!$L$3:$N$6,2,FALSE)))</f>
        <v/>
      </c>
      <c r="L29" s="386" t="str">
        <f>IF(J29="","",IF(VLOOKUP(J29,'G-3 Multipliers'!$L$3:$N$6,3,FALSE)=0,"Spatial Data Missing ⚠",VLOOKUP(J29,'G-3 Multipliers'!$L$3:$N$6,3,FALSE)))</f>
        <v/>
      </c>
      <c r="M29" s="425" t="str">
        <f>IF(D29="","",VLOOKUP(D29,'G-6 Hedgerow Data'!$B$1:$AH$15,33,FALSE))</f>
        <v/>
      </c>
      <c r="N29" s="376" t="str">
        <f t="shared" si="2"/>
        <v/>
      </c>
      <c r="O29" s="516"/>
      <c r="P29" s="368" t="str">
        <f>IF(O29="","",IF(VLOOKUP(O29,'G-3 Multipliers'!$S$3:$T$10,2,FALSE)=0,"Spatial Data Missing ⚠",VLOOKUP(O29,'G-3 Multipliers'!$S$3:$T$10,2,FALSE)))</f>
        <v/>
      </c>
      <c r="Q29" s="376" t="str">
        <f t="shared" si="3"/>
        <v/>
      </c>
      <c r="R29" s="32"/>
      <c r="S29" s="122"/>
      <c r="T29" s="125"/>
      <c r="U29" s="370" t="str">
        <f t="shared" si="4"/>
        <v/>
      </c>
      <c r="V29" s="370" t="str">
        <f t="shared" si="5"/>
        <v/>
      </c>
      <c r="W29" s="374" t="str">
        <f t="shared" si="6"/>
        <v/>
      </c>
      <c r="X29" s="378" t="str">
        <f t="shared" si="7"/>
        <v/>
      </c>
      <c r="Y29" s="119"/>
      <c r="Z29" s="120"/>
      <c r="AA29" s="120"/>
      <c r="AB29" s="120"/>
      <c r="AE29" s="30" t="str">
        <f>IFERROR(INDEX('G-6 Hedgerow Data'!$BJ$3:$BJ$15,MATCH(D29,'G-6 Hedgerow Data'!$B$3:$B$15,0)),"")</f>
        <v/>
      </c>
      <c r="AH29" s="124" t="str">
        <f t="shared" si="0"/>
        <v/>
      </c>
      <c r="AI29" s="124" t="str">
        <f t="shared" si="1"/>
        <v/>
      </c>
      <c r="AK29" s="124">
        <v>20</v>
      </c>
      <c r="AM29" s="124" t="str">
        <f t="array" ref="AM29">IFERROR(INDEX($AK$10:$AK$258, MATCH(0, IF(TRUE=$AH$10:$AH$258, COUNTIF($AM$9:$AM28, $AK$10:$AK$258), ""), 0)),"")</f>
        <v/>
      </c>
      <c r="AN29" s="124" t="str">
        <f t="array" ref="AN29">IFERROR(INDEX($AK$10:$AK$258, MATCH(0, IF(TRUE=$AI$10:$AI$258, COUNTIF($AN$9:$AN28, $AK$10:$AK$258), ""), 0)),"")</f>
        <v/>
      </c>
      <c r="AY29" s="370" t="str">
        <f t="shared" si="8"/>
        <v/>
      </c>
    </row>
    <row r="30" spans="2:51" ht="15">
      <c r="B30" s="110">
        <v>21</v>
      </c>
      <c r="C30" s="165"/>
      <c r="D30" s="159"/>
      <c r="E30" s="139"/>
      <c r="F30" s="362" t="str">
        <f>IF(D30="","",VLOOKUP(D30,'G-6 Hedgerow Data'!$B$2:$AG$15,2,FALSE))</f>
        <v/>
      </c>
      <c r="G30" s="363" t="str">
        <f>IF(D30="","",VLOOKUP(D30,'G-6 Hedgerow Data'!$B$2:$AG$15,3,FALSE))</f>
        <v/>
      </c>
      <c r="H30" s="114"/>
      <c r="I30" s="363" t="str">
        <f>IFERROR(IF(AND(F30="V.Low",OR(H30="Good",H30="Moderate")),"Error ▲",VLOOKUP(H30,'G-1 All Habitats'!$Z$2:$AA$9,2,FALSE)),"")</f>
        <v/>
      </c>
      <c r="J30" s="114"/>
      <c r="K30" s="382" t="str">
        <f>IF(J30="","",IF(VLOOKUP(J30,'G-3 Multipliers'!$L$3:$N$6,2,FALSE)=0,"Spatial Data Missing ⚠",VLOOKUP(J30,'G-3 Multipliers'!$L$3:$N$6,2,FALSE)))</f>
        <v/>
      </c>
      <c r="L30" s="386" t="str">
        <f>IF(J30="","",IF(VLOOKUP(J30,'G-3 Multipliers'!$L$3:$N$6,3,FALSE)=0,"Spatial Data Missing ⚠",VLOOKUP(J30,'G-3 Multipliers'!$L$3:$N$6,3,FALSE)))</f>
        <v/>
      </c>
      <c r="M30" s="425" t="str">
        <f>IF(D30="","",VLOOKUP(D30,'G-6 Hedgerow Data'!$B$1:$AH$15,33,FALSE))</f>
        <v/>
      </c>
      <c r="N30" s="376" t="str">
        <f t="shared" si="2"/>
        <v/>
      </c>
      <c r="O30" s="516"/>
      <c r="P30" s="368" t="str">
        <f>IF(O30="","",IF(VLOOKUP(O30,'G-3 Multipliers'!$S$3:$T$10,2,FALSE)=0,"Spatial Data Missing ⚠",VLOOKUP(O30,'G-3 Multipliers'!$S$3:$T$10,2,FALSE)))</f>
        <v/>
      </c>
      <c r="Q30" s="376" t="str">
        <f t="shared" si="3"/>
        <v/>
      </c>
      <c r="R30" s="32"/>
      <c r="S30" s="122"/>
      <c r="T30" s="125"/>
      <c r="U30" s="370" t="str">
        <f t="shared" si="4"/>
        <v/>
      </c>
      <c r="V30" s="370" t="str">
        <f t="shared" si="5"/>
        <v/>
      </c>
      <c r="W30" s="374" t="str">
        <f t="shared" si="6"/>
        <v/>
      </c>
      <c r="X30" s="378" t="str">
        <f t="shared" si="7"/>
        <v/>
      </c>
      <c r="Y30" s="119"/>
      <c r="Z30" s="120"/>
      <c r="AA30" s="120"/>
      <c r="AB30" s="120"/>
      <c r="AE30" s="30" t="str">
        <f>IFERROR(INDEX('G-6 Hedgerow Data'!$BJ$3:$BJ$15,MATCH(D30,'G-6 Hedgerow Data'!$B$3:$B$15,0)),"")</f>
        <v/>
      </c>
      <c r="AH30" s="124" t="str">
        <f t="shared" si="0"/>
        <v/>
      </c>
      <c r="AI30" s="124" t="str">
        <f t="shared" si="1"/>
        <v/>
      </c>
      <c r="AK30" s="124">
        <v>21</v>
      </c>
      <c r="AM30" s="124" t="str">
        <f t="array" ref="AM30">IFERROR(INDEX($AK$10:$AK$258, MATCH(0, IF(TRUE=$AH$10:$AH$258, COUNTIF($AM$9:$AM29, $AK$10:$AK$258), ""), 0)),"")</f>
        <v/>
      </c>
      <c r="AN30" s="124" t="str">
        <f t="array" ref="AN30">IFERROR(INDEX($AK$10:$AK$258, MATCH(0, IF(TRUE=$AI$10:$AI$258, COUNTIF($AN$9:$AN29, $AK$10:$AK$258), ""), 0)),"")</f>
        <v/>
      </c>
      <c r="AY30" s="370" t="str">
        <f t="shared" si="8"/>
        <v/>
      </c>
    </row>
    <row r="31" spans="2:51" ht="15">
      <c r="B31" s="110">
        <v>22</v>
      </c>
      <c r="C31" s="165"/>
      <c r="D31" s="159"/>
      <c r="E31" s="53"/>
      <c r="F31" s="362" t="str">
        <f>IF(D31="","",VLOOKUP(D31,'G-6 Hedgerow Data'!$B$2:$AG$15,2,FALSE))</f>
        <v/>
      </c>
      <c r="G31" s="363" t="str">
        <f>IF(D31="","",VLOOKUP(D31,'G-6 Hedgerow Data'!$B$2:$AG$15,3,FALSE))</f>
        <v/>
      </c>
      <c r="H31" s="114"/>
      <c r="I31" s="363" t="str">
        <f>IFERROR(IF(AND(F31="V.Low",OR(H31="Good",H31="Moderate")),"Error ▲",VLOOKUP(H31,'G-1 All Habitats'!$Z$2:$AA$9,2,FALSE)),"")</f>
        <v/>
      </c>
      <c r="J31" s="114"/>
      <c r="K31" s="382" t="str">
        <f>IF(J31="","",IF(VLOOKUP(J31,'G-3 Multipliers'!$L$3:$N$6,2,FALSE)=0,"Spatial Data Missing ⚠",VLOOKUP(J31,'G-3 Multipliers'!$L$3:$N$6,2,FALSE)))</f>
        <v/>
      </c>
      <c r="L31" s="386" t="str">
        <f>IF(J31="","",IF(VLOOKUP(J31,'G-3 Multipliers'!$L$3:$N$6,3,FALSE)=0,"Spatial Data Missing ⚠",VLOOKUP(J31,'G-3 Multipliers'!$L$3:$N$6,3,FALSE)))</f>
        <v/>
      </c>
      <c r="M31" s="425" t="str">
        <f>IF(D31="","",VLOOKUP(D31,'G-6 Hedgerow Data'!$B$1:$AH$15,33,FALSE))</f>
        <v/>
      </c>
      <c r="N31" s="376" t="str">
        <f t="shared" si="2"/>
        <v/>
      </c>
      <c r="O31" s="516"/>
      <c r="P31" s="368" t="str">
        <f>IF(O31="","",IF(VLOOKUP(O31,'G-3 Multipliers'!$S$3:$T$10,2,FALSE)=0,"Spatial Data Missing ⚠",VLOOKUP(O31,'G-3 Multipliers'!$S$3:$T$10,2,FALSE)))</f>
        <v/>
      </c>
      <c r="Q31" s="376" t="str">
        <f t="shared" si="3"/>
        <v/>
      </c>
      <c r="R31" s="32"/>
      <c r="S31" s="122"/>
      <c r="T31" s="125"/>
      <c r="U31" s="370" t="str">
        <f t="shared" si="4"/>
        <v/>
      </c>
      <c r="V31" s="370" t="str">
        <f t="shared" si="5"/>
        <v/>
      </c>
      <c r="W31" s="374" t="str">
        <f t="shared" si="6"/>
        <v/>
      </c>
      <c r="X31" s="378" t="str">
        <f t="shared" si="7"/>
        <v/>
      </c>
      <c r="Y31" s="119"/>
      <c r="Z31" s="120"/>
      <c r="AA31" s="120"/>
      <c r="AB31" s="120"/>
      <c r="AE31" s="30" t="str">
        <f>IFERROR(INDEX('G-6 Hedgerow Data'!$BJ$3:$BJ$15,MATCH(D31,'G-6 Hedgerow Data'!$B$3:$B$15,0)),"")</f>
        <v/>
      </c>
      <c r="AH31" s="124" t="str">
        <f t="shared" si="0"/>
        <v/>
      </c>
      <c r="AI31" s="124" t="str">
        <f t="shared" si="1"/>
        <v/>
      </c>
      <c r="AK31" s="124">
        <v>22</v>
      </c>
      <c r="AM31" s="124" t="str">
        <f t="array" ref="AM31">IFERROR(INDEX($AK$10:$AK$258, MATCH(0, IF(TRUE=$AH$10:$AH$258, COUNTIF($AM$9:$AM30, $AK$10:$AK$258), ""), 0)),"")</f>
        <v/>
      </c>
      <c r="AN31" s="124" t="str">
        <f t="array" ref="AN31">IFERROR(INDEX($AK$10:$AK$258, MATCH(0, IF(TRUE=$AI$10:$AI$258, COUNTIF($AN$9:$AN30, $AK$10:$AK$258), ""), 0)),"")</f>
        <v/>
      </c>
      <c r="AY31" s="370" t="str">
        <f t="shared" si="8"/>
        <v/>
      </c>
    </row>
    <row r="32" spans="2:51" ht="15">
      <c r="B32" s="110">
        <v>23</v>
      </c>
      <c r="C32" s="165"/>
      <c r="D32" s="159"/>
      <c r="E32" s="53"/>
      <c r="F32" s="362" t="str">
        <f>IF(D32="","",VLOOKUP(D32,'G-6 Hedgerow Data'!$B$2:$AG$15,2,FALSE))</f>
        <v/>
      </c>
      <c r="G32" s="363" t="str">
        <f>IF(D32="","",VLOOKUP(D32,'G-6 Hedgerow Data'!$B$2:$AG$15,3,FALSE))</f>
        <v/>
      </c>
      <c r="H32" s="114"/>
      <c r="I32" s="363" t="str">
        <f>IFERROR(IF(AND(F32="V.Low",OR(H32="Good",H32="Moderate")),"Error ▲",VLOOKUP(H32,'G-1 All Habitats'!$Z$2:$AA$9,2,FALSE)),"")</f>
        <v/>
      </c>
      <c r="J32" s="114"/>
      <c r="K32" s="382" t="str">
        <f>IF(J32="","",IF(VLOOKUP(J32,'G-3 Multipliers'!$L$3:$N$6,2,FALSE)=0,"Spatial Data Missing ⚠",VLOOKUP(J32,'G-3 Multipliers'!$L$3:$N$6,2,FALSE)))</f>
        <v/>
      </c>
      <c r="L32" s="386" t="str">
        <f>IF(J32="","",IF(VLOOKUP(J32,'G-3 Multipliers'!$L$3:$N$6,3,FALSE)=0,"Spatial Data Missing ⚠",VLOOKUP(J32,'G-3 Multipliers'!$L$3:$N$6,3,FALSE)))</f>
        <v/>
      </c>
      <c r="M32" s="425" t="str">
        <f>IF(D32="","",VLOOKUP(D32,'G-6 Hedgerow Data'!$B$1:$AH$15,33,FALSE))</f>
        <v/>
      </c>
      <c r="N32" s="376" t="str">
        <f t="shared" si="2"/>
        <v/>
      </c>
      <c r="O32" s="516"/>
      <c r="P32" s="368" t="str">
        <f>IF(O32="","",IF(VLOOKUP(O32,'G-3 Multipliers'!$S$3:$T$10,2,FALSE)=0,"Spatial Data Missing ⚠",VLOOKUP(O32,'G-3 Multipliers'!$S$3:$T$10,2,FALSE)))</f>
        <v/>
      </c>
      <c r="Q32" s="376" t="str">
        <f t="shared" si="3"/>
        <v/>
      </c>
      <c r="R32" s="32"/>
      <c r="S32" s="122"/>
      <c r="T32" s="125"/>
      <c r="U32" s="370" t="str">
        <f t="shared" si="4"/>
        <v/>
      </c>
      <c r="V32" s="370" t="str">
        <f t="shared" si="5"/>
        <v/>
      </c>
      <c r="W32" s="374" t="str">
        <f t="shared" si="6"/>
        <v/>
      </c>
      <c r="X32" s="378" t="str">
        <f t="shared" si="7"/>
        <v/>
      </c>
      <c r="Y32" s="119"/>
      <c r="Z32" s="120"/>
      <c r="AA32" s="120"/>
      <c r="AB32" s="120"/>
      <c r="AE32" s="30" t="str">
        <f>IFERROR(INDEX('G-6 Hedgerow Data'!$BJ$3:$BJ$15,MATCH(D32,'G-6 Hedgerow Data'!$B$3:$B$15,0)),"")</f>
        <v/>
      </c>
      <c r="AH32" s="124" t="str">
        <f t="shared" si="0"/>
        <v/>
      </c>
      <c r="AI32" s="124" t="str">
        <f t="shared" si="1"/>
        <v/>
      </c>
      <c r="AK32" s="124">
        <v>23</v>
      </c>
      <c r="AM32" s="124" t="str">
        <f t="array" ref="AM32">IFERROR(INDEX($AK$10:$AK$258, MATCH(0, IF(TRUE=$AH$10:$AH$258, COUNTIF($AM$9:$AM31, $AK$10:$AK$258), ""), 0)),"")</f>
        <v/>
      </c>
      <c r="AN32" s="124" t="str">
        <f t="array" ref="AN32">IFERROR(INDEX($AK$10:$AK$258, MATCH(0, IF(TRUE=$AI$10:$AI$258, COUNTIF($AN$9:$AN31, $AK$10:$AK$258), ""), 0)),"")</f>
        <v/>
      </c>
      <c r="AY32" s="370" t="str">
        <f t="shared" si="8"/>
        <v/>
      </c>
    </row>
    <row r="33" spans="2:51" ht="15">
      <c r="B33" s="110">
        <v>24</v>
      </c>
      <c r="C33" s="165"/>
      <c r="D33" s="159"/>
      <c r="E33" s="53"/>
      <c r="F33" s="362" t="str">
        <f>IF(D33="","",VLOOKUP(D33,'G-6 Hedgerow Data'!$B$2:$AG$15,2,FALSE))</f>
        <v/>
      </c>
      <c r="G33" s="363" t="str">
        <f>IF(D33="","",VLOOKUP(D33,'G-6 Hedgerow Data'!$B$2:$AG$15,3,FALSE))</f>
        <v/>
      </c>
      <c r="H33" s="114"/>
      <c r="I33" s="363" t="str">
        <f>IFERROR(IF(AND(F33="V.Low",OR(H33="Good",H33="Moderate")),"Error ▲",VLOOKUP(H33,'G-1 All Habitats'!$Z$2:$AA$9,2,FALSE)),"")</f>
        <v/>
      </c>
      <c r="J33" s="114"/>
      <c r="K33" s="382" t="str">
        <f>IF(J33="","",IF(VLOOKUP(J33,'G-3 Multipliers'!$L$3:$N$6,2,FALSE)=0,"Spatial Data Missing ⚠",VLOOKUP(J33,'G-3 Multipliers'!$L$3:$N$6,2,FALSE)))</f>
        <v/>
      </c>
      <c r="L33" s="386" t="str">
        <f>IF(J33="","",IF(VLOOKUP(J33,'G-3 Multipliers'!$L$3:$N$6,3,FALSE)=0,"Spatial Data Missing ⚠",VLOOKUP(J33,'G-3 Multipliers'!$L$3:$N$6,3,FALSE)))</f>
        <v/>
      </c>
      <c r="M33" s="425" t="str">
        <f>IF(D33="","",VLOOKUP(D33,'G-6 Hedgerow Data'!$B$1:$AH$15,33,FALSE))</f>
        <v/>
      </c>
      <c r="N33" s="376" t="str">
        <f t="shared" si="2"/>
        <v/>
      </c>
      <c r="O33" s="516"/>
      <c r="P33" s="368" t="str">
        <f>IF(O33="","",IF(VLOOKUP(O33,'G-3 Multipliers'!$S$3:$T$10,2,FALSE)=0,"Spatial Data Missing ⚠",VLOOKUP(O33,'G-3 Multipliers'!$S$3:$T$10,2,FALSE)))</f>
        <v/>
      </c>
      <c r="Q33" s="376" t="str">
        <f t="shared" si="3"/>
        <v/>
      </c>
      <c r="R33" s="32"/>
      <c r="S33" s="122"/>
      <c r="T33" s="125"/>
      <c r="U33" s="370" t="str">
        <f t="shared" si="4"/>
        <v/>
      </c>
      <c r="V33" s="370" t="str">
        <f t="shared" si="5"/>
        <v/>
      </c>
      <c r="W33" s="374" t="str">
        <f t="shared" si="6"/>
        <v/>
      </c>
      <c r="X33" s="378" t="str">
        <f t="shared" si="7"/>
        <v/>
      </c>
      <c r="Y33" s="119"/>
      <c r="Z33" s="120"/>
      <c r="AA33" s="120"/>
      <c r="AB33" s="120"/>
      <c r="AE33" s="30" t="str">
        <f>IFERROR(INDEX('G-6 Hedgerow Data'!$BJ$3:$BJ$15,MATCH(D33,'G-6 Hedgerow Data'!$B$3:$B$15,0)),"")</f>
        <v/>
      </c>
      <c r="AH33" s="124" t="str">
        <f t="shared" si="0"/>
        <v/>
      </c>
      <c r="AI33" s="124" t="str">
        <f t="shared" si="1"/>
        <v/>
      </c>
      <c r="AK33" s="124">
        <v>24</v>
      </c>
      <c r="AM33" s="124" t="str">
        <f t="array" ref="AM33">IFERROR(INDEX($AK$10:$AK$258, MATCH(0, IF(TRUE=$AH$10:$AH$258, COUNTIF($AM$9:$AM32, $AK$10:$AK$258), ""), 0)),"")</f>
        <v/>
      </c>
      <c r="AN33" s="124" t="str">
        <f t="array" ref="AN33">IFERROR(INDEX($AK$10:$AK$258, MATCH(0, IF(TRUE=$AI$10:$AI$258, COUNTIF($AN$9:$AN32, $AK$10:$AK$258), ""), 0)),"")</f>
        <v/>
      </c>
      <c r="AY33" s="370" t="str">
        <f t="shared" si="8"/>
        <v/>
      </c>
    </row>
    <row r="34" spans="2:51" ht="15">
      <c r="B34" s="110">
        <v>25</v>
      </c>
      <c r="C34" s="165"/>
      <c r="D34" s="159"/>
      <c r="E34" s="53"/>
      <c r="F34" s="362" t="str">
        <f>IF(D34="","",VLOOKUP(D34,'G-6 Hedgerow Data'!$B$2:$AG$15,2,FALSE))</f>
        <v/>
      </c>
      <c r="G34" s="363" t="str">
        <f>IF(D34="","",VLOOKUP(D34,'G-6 Hedgerow Data'!$B$2:$AG$15,3,FALSE))</f>
        <v/>
      </c>
      <c r="H34" s="114"/>
      <c r="I34" s="363" t="str">
        <f>IFERROR(IF(AND(F34="V.Low",OR(H34="Good",H34="Moderate")),"Error ▲",VLOOKUP(H34,'G-1 All Habitats'!$Z$2:$AA$9,2,FALSE)),"")</f>
        <v/>
      </c>
      <c r="J34" s="114"/>
      <c r="K34" s="382" t="str">
        <f>IF(J34="","",IF(VLOOKUP(J34,'G-3 Multipliers'!$L$3:$N$6,2,FALSE)=0,"Spatial Data Missing ⚠",VLOOKUP(J34,'G-3 Multipliers'!$L$3:$N$6,2,FALSE)))</f>
        <v/>
      </c>
      <c r="L34" s="386" t="str">
        <f>IF(J34="","",IF(VLOOKUP(J34,'G-3 Multipliers'!$L$3:$N$6,3,FALSE)=0,"Spatial Data Missing ⚠",VLOOKUP(J34,'G-3 Multipliers'!$L$3:$N$6,3,FALSE)))</f>
        <v/>
      </c>
      <c r="M34" s="425" t="str">
        <f>IF(D34="","",VLOOKUP(D34,'G-6 Hedgerow Data'!$B$1:$AH$15,33,FALSE))</f>
        <v/>
      </c>
      <c r="N34" s="376" t="str">
        <f t="shared" si="2"/>
        <v/>
      </c>
      <c r="O34" s="516"/>
      <c r="P34" s="368" t="str">
        <f>IF(O34="","",IF(VLOOKUP(O34,'G-3 Multipliers'!$S$3:$T$10,2,FALSE)=0,"Spatial Data Missing ⚠",VLOOKUP(O34,'G-3 Multipliers'!$S$3:$T$10,2,FALSE)))</f>
        <v/>
      </c>
      <c r="Q34" s="376" t="str">
        <f t="shared" si="3"/>
        <v/>
      </c>
      <c r="R34" s="32"/>
      <c r="S34" s="122"/>
      <c r="T34" s="125"/>
      <c r="U34" s="370" t="str">
        <f t="shared" si="4"/>
        <v/>
      </c>
      <c r="V34" s="370" t="str">
        <f t="shared" si="5"/>
        <v/>
      </c>
      <c r="W34" s="374" t="str">
        <f t="shared" si="6"/>
        <v/>
      </c>
      <c r="X34" s="378" t="str">
        <f t="shared" si="7"/>
        <v/>
      </c>
      <c r="Y34" s="119"/>
      <c r="Z34" s="120"/>
      <c r="AA34" s="120"/>
      <c r="AB34" s="120"/>
      <c r="AE34" s="30" t="str">
        <f>IFERROR(INDEX('G-6 Hedgerow Data'!$BJ$3:$BJ$15,MATCH(D34,'G-6 Hedgerow Data'!$B$3:$B$15,0)),"")</f>
        <v/>
      </c>
      <c r="AH34" s="124" t="str">
        <f t="shared" si="0"/>
        <v/>
      </c>
      <c r="AI34" s="124" t="str">
        <f t="shared" si="1"/>
        <v/>
      </c>
      <c r="AK34" s="124">
        <v>25</v>
      </c>
      <c r="AM34" s="124" t="str">
        <f t="array" ref="AM34">IFERROR(INDEX($AK$10:$AK$258, MATCH(0, IF(TRUE=$AH$10:$AH$258, COUNTIF($AM$9:$AM33, $AK$10:$AK$258), ""), 0)),"")</f>
        <v/>
      </c>
      <c r="AN34" s="124" t="str">
        <f t="array" ref="AN34">IFERROR(INDEX($AK$10:$AK$258, MATCH(0, IF(TRUE=$AI$10:$AI$258, COUNTIF($AN$9:$AN33, $AK$10:$AK$258), ""), 0)),"")</f>
        <v/>
      </c>
      <c r="AY34" s="370" t="str">
        <f t="shared" si="8"/>
        <v/>
      </c>
    </row>
    <row r="35" spans="2:51" ht="15">
      <c r="B35" s="110">
        <v>26</v>
      </c>
      <c r="C35" s="165"/>
      <c r="D35" s="159"/>
      <c r="E35" s="139"/>
      <c r="F35" s="362" t="str">
        <f>IF(D35="","",VLOOKUP(D35,'G-6 Hedgerow Data'!$B$2:$AG$15,2,FALSE))</f>
        <v/>
      </c>
      <c r="G35" s="363" t="str">
        <f>IF(D35="","",VLOOKUP(D35,'G-6 Hedgerow Data'!$B$2:$AG$15,3,FALSE))</f>
        <v/>
      </c>
      <c r="H35" s="114"/>
      <c r="I35" s="363" t="str">
        <f>IFERROR(IF(AND(F35="V.Low",OR(H35="Good",H35="Moderate")),"Error ▲",VLOOKUP(H35,'G-1 All Habitats'!$Z$2:$AA$9,2,FALSE)),"")</f>
        <v/>
      </c>
      <c r="J35" s="114"/>
      <c r="K35" s="382" t="str">
        <f>IF(J35="","",IF(VLOOKUP(J35,'G-3 Multipliers'!$L$3:$N$6,2,FALSE)=0,"Spatial Data Missing ⚠",VLOOKUP(J35,'G-3 Multipliers'!$L$3:$N$6,2,FALSE)))</f>
        <v/>
      </c>
      <c r="L35" s="386" t="str">
        <f>IF(J35="","",IF(VLOOKUP(J35,'G-3 Multipliers'!$L$3:$N$6,3,FALSE)=0,"Spatial Data Missing ⚠",VLOOKUP(J35,'G-3 Multipliers'!$L$3:$N$6,3,FALSE)))</f>
        <v/>
      </c>
      <c r="M35" s="425" t="str">
        <f>IF(D35="","",VLOOKUP(D35,'G-6 Hedgerow Data'!$B$1:$AH$15,33,FALSE))</f>
        <v/>
      </c>
      <c r="N35" s="376" t="str">
        <f t="shared" si="2"/>
        <v/>
      </c>
      <c r="O35" s="516"/>
      <c r="P35" s="368" t="str">
        <f>IF(O35="","",IF(VLOOKUP(O35,'G-3 Multipliers'!$S$3:$T$10,2,FALSE)=0,"Spatial Data Missing ⚠",VLOOKUP(O35,'G-3 Multipliers'!$S$3:$T$10,2,FALSE)))</f>
        <v/>
      </c>
      <c r="Q35" s="376" t="str">
        <f t="shared" si="3"/>
        <v/>
      </c>
      <c r="R35" s="32"/>
      <c r="S35" s="122"/>
      <c r="T35" s="125"/>
      <c r="U35" s="370" t="str">
        <f t="shared" si="4"/>
        <v/>
      </c>
      <c r="V35" s="370" t="str">
        <f t="shared" si="5"/>
        <v/>
      </c>
      <c r="W35" s="374" t="str">
        <f t="shared" si="6"/>
        <v/>
      </c>
      <c r="X35" s="378" t="str">
        <f t="shared" si="7"/>
        <v/>
      </c>
      <c r="Y35" s="119"/>
      <c r="Z35" s="120"/>
      <c r="AA35" s="120"/>
      <c r="AB35" s="120"/>
      <c r="AE35" s="30" t="str">
        <f>IFERROR(INDEX('G-6 Hedgerow Data'!$BJ$3:$BJ$15,MATCH(D35,'G-6 Hedgerow Data'!$B$3:$B$15,0)),"")</f>
        <v/>
      </c>
      <c r="AH35" s="124" t="str">
        <f t="shared" si="0"/>
        <v/>
      </c>
      <c r="AI35" s="124" t="str">
        <f t="shared" si="1"/>
        <v/>
      </c>
      <c r="AK35" s="124">
        <v>26</v>
      </c>
      <c r="AM35" s="124" t="str">
        <f t="array" ref="AM35">IFERROR(INDEX($AK$10:$AK$258, MATCH(0, IF(TRUE=$AH$10:$AH$258, COUNTIF($AM$9:$AM34, $AK$10:$AK$258), ""), 0)),"")</f>
        <v/>
      </c>
      <c r="AN35" s="124" t="str">
        <f t="array" ref="AN35">IFERROR(INDEX($AK$10:$AK$258, MATCH(0, IF(TRUE=$AI$10:$AI$258, COUNTIF($AN$9:$AN34, $AK$10:$AK$258), ""), 0)),"")</f>
        <v/>
      </c>
      <c r="AY35" s="370" t="str">
        <f t="shared" si="8"/>
        <v/>
      </c>
    </row>
    <row r="36" spans="2:51" ht="15">
      <c r="B36" s="110">
        <v>27</v>
      </c>
      <c r="C36" s="165"/>
      <c r="D36" s="165"/>
      <c r="E36" s="121"/>
      <c r="F36" s="362" t="str">
        <f>IF(D36="","",VLOOKUP(D36,'G-6 Hedgerow Data'!$B$2:$AG$15,2,FALSE))</f>
        <v/>
      </c>
      <c r="G36" s="363" t="str">
        <f>IF(D36="","",VLOOKUP(D36,'G-6 Hedgerow Data'!$B$2:$AG$15,3,FALSE))</f>
        <v/>
      </c>
      <c r="H36" s="114"/>
      <c r="I36" s="363" t="str">
        <f>IFERROR(IF(AND(F36="V.Low",OR(H36="Good",H36="Moderate")),"Error ▲",VLOOKUP(H36,'G-1 All Habitats'!$Z$2:$AA$9,2,FALSE)),"")</f>
        <v/>
      </c>
      <c r="J36" s="122"/>
      <c r="K36" s="382" t="str">
        <f>IF(J36="","",IF(VLOOKUP(J36,'G-3 Multipliers'!$L$3:$N$6,2,FALSE)=0,"Spatial Data Missing ⚠",VLOOKUP(J36,'G-3 Multipliers'!$L$3:$N$6,2,FALSE)))</f>
        <v/>
      </c>
      <c r="L36" s="386" t="str">
        <f>IF(J36="","",IF(VLOOKUP(J36,'G-3 Multipliers'!$L$3:$N$6,3,FALSE)=0,"Spatial Data Missing ⚠",VLOOKUP(J36,'G-3 Multipliers'!$L$3:$N$6,3,FALSE)))</f>
        <v/>
      </c>
      <c r="M36" s="425" t="str">
        <f>IF(D36="","",VLOOKUP(D36,'G-6 Hedgerow Data'!$B$1:$AH$15,33,FALSE))</f>
        <v/>
      </c>
      <c r="N36" s="376" t="str">
        <f t="shared" si="2"/>
        <v/>
      </c>
      <c r="O36" s="516"/>
      <c r="P36" s="368" t="str">
        <f>IF(O36="","",IF(VLOOKUP(O36,'G-3 Multipliers'!$S$3:$T$10,2,FALSE)=0,"Spatial Data Missing ⚠",VLOOKUP(O36,'G-3 Multipliers'!$S$3:$T$10,2,FALSE)))</f>
        <v/>
      </c>
      <c r="Q36" s="376" t="str">
        <f t="shared" si="3"/>
        <v/>
      </c>
      <c r="R36" s="32"/>
      <c r="S36" s="114"/>
      <c r="T36" s="125"/>
      <c r="U36" s="370" t="str">
        <f t="shared" si="4"/>
        <v/>
      </c>
      <c r="V36" s="370" t="str">
        <f t="shared" si="5"/>
        <v/>
      </c>
      <c r="W36" s="374" t="str">
        <f t="shared" si="6"/>
        <v/>
      </c>
      <c r="X36" s="378" t="str">
        <f t="shared" si="7"/>
        <v/>
      </c>
      <c r="Y36" s="119"/>
      <c r="Z36" s="120"/>
      <c r="AA36" s="120"/>
      <c r="AB36" s="120"/>
      <c r="AE36" s="30" t="str">
        <f>IFERROR(INDEX('G-6 Hedgerow Data'!$BJ$3:$BJ$15,MATCH(D36,'G-6 Hedgerow Data'!$B$3:$B$15,0)),"")</f>
        <v/>
      </c>
      <c r="AH36" s="124" t="str">
        <f t="shared" si="0"/>
        <v/>
      </c>
      <c r="AI36" s="124" t="str">
        <f t="shared" si="1"/>
        <v/>
      </c>
      <c r="AK36" s="124">
        <v>27</v>
      </c>
      <c r="AM36" s="124" t="str">
        <f t="array" ref="AM36">IFERROR(INDEX($AK$10:$AK$258, MATCH(0, IF(TRUE=$AH$10:$AH$258, COUNTIF($AM$9:$AM35, $AK$10:$AK$258), ""), 0)),"")</f>
        <v/>
      </c>
      <c r="AN36" s="124" t="str">
        <f t="array" ref="AN36">IFERROR(INDEX($AK$10:$AK$258, MATCH(0, IF(TRUE=$AI$10:$AI$258, COUNTIF($AN$9:$AN35, $AK$10:$AK$258), ""), 0)),"")</f>
        <v/>
      </c>
      <c r="AY36" s="370" t="str">
        <f t="shared" si="8"/>
        <v/>
      </c>
    </row>
    <row r="37" spans="2:51" ht="15">
      <c r="B37" s="110">
        <v>28</v>
      </c>
      <c r="C37" s="165"/>
      <c r="D37" s="165"/>
      <c r="E37" s="121"/>
      <c r="F37" s="362" t="str">
        <f>IF(D37="","",VLOOKUP(D37,'G-6 Hedgerow Data'!$B$2:$AG$15,2,FALSE))</f>
        <v/>
      </c>
      <c r="G37" s="363" t="str">
        <f>IF(D37="","",VLOOKUP(D37,'G-6 Hedgerow Data'!$B$2:$AG$15,3,FALSE))</f>
        <v/>
      </c>
      <c r="H37" s="114"/>
      <c r="I37" s="363" t="str">
        <f>IFERROR(IF(AND(F37="V.Low",OR(H37="Good",H37="Moderate")),"Error ▲",VLOOKUP(H37,'G-1 All Habitats'!$Z$2:$AA$9,2,FALSE)),"")</f>
        <v/>
      </c>
      <c r="J37" s="122"/>
      <c r="K37" s="382" t="str">
        <f>IF(J37="","",IF(VLOOKUP(J37,'G-3 Multipliers'!$L$3:$N$6,2,FALSE)=0,"Spatial Data Missing ⚠",VLOOKUP(J37,'G-3 Multipliers'!$L$3:$N$6,2,FALSE)))</f>
        <v/>
      </c>
      <c r="L37" s="386" t="str">
        <f>IF(J37="","",IF(VLOOKUP(J37,'G-3 Multipliers'!$L$3:$N$6,3,FALSE)=0,"Spatial Data Missing ⚠",VLOOKUP(J37,'G-3 Multipliers'!$L$3:$N$6,3,FALSE)))</f>
        <v/>
      </c>
      <c r="M37" s="425" t="str">
        <f>IF(D37="","",VLOOKUP(D37,'G-6 Hedgerow Data'!$B$1:$AH$15,33,FALSE))</f>
        <v/>
      </c>
      <c r="N37" s="376" t="str">
        <f t="shared" si="2"/>
        <v/>
      </c>
      <c r="O37" s="516"/>
      <c r="P37" s="368" t="str">
        <f>IF(O37="","",IF(VLOOKUP(O37,'G-3 Multipliers'!$S$3:$T$10,2,FALSE)=0,"Spatial Data Missing ⚠",VLOOKUP(O37,'G-3 Multipliers'!$S$3:$T$10,2,FALSE)))</f>
        <v/>
      </c>
      <c r="Q37" s="376" t="str">
        <f t="shared" si="3"/>
        <v/>
      </c>
      <c r="R37" s="32"/>
      <c r="S37" s="114"/>
      <c r="T37" s="125"/>
      <c r="U37" s="370" t="str">
        <f t="shared" si="4"/>
        <v/>
      </c>
      <c r="V37" s="370" t="str">
        <f t="shared" si="5"/>
        <v/>
      </c>
      <c r="W37" s="374" t="str">
        <f t="shared" si="6"/>
        <v/>
      </c>
      <c r="X37" s="378" t="str">
        <f t="shared" si="7"/>
        <v/>
      </c>
      <c r="Y37" s="119"/>
      <c r="Z37" s="120"/>
      <c r="AA37" s="120"/>
      <c r="AB37" s="120"/>
      <c r="AE37" s="30" t="str">
        <f>IFERROR(INDEX('G-6 Hedgerow Data'!$BJ$3:$BJ$15,MATCH(D37,'G-6 Hedgerow Data'!$B$3:$B$15,0)),"")</f>
        <v/>
      </c>
      <c r="AH37" s="124" t="str">
        <f t="shared" si="0"/>
        <v/>
      </c>
      <c r="AI37" s="124" t="str">
        <f t="shared" si="1"/>
        <v/>
      </c>
      <c r="AK37" s="124">
        <v>28</v>
      </c>
      <c r="AM37" s="124" t="str">
        <f t="array" ref="AM37">IFERROR(INDEX($AK$10:$AK$258, MATCH(0, IF(TRUE=$AH$10:$AH$258, COUNTIF($AM$9:$AM36, $AK$10:$AK$258), ""), 0)),"")</f>
        <v/>
      </c>
      <c r="AN37" s="124" t="str">
        <f t="array" ref="AN37">IFERROR(INDEX($AK$10:$AK$258, MATCH(0, IF(TRUE=$AI$10:$AI$258, COUNTIF($AN$9:$AN36, $AK$10:$AK$258), ""), 0)),"")</f>
        <v/>
      </c>
      <c r="AY37" s="370" t="str">
        <f t="shared" si="8"/>
        <v/>
      </c>
    </row>
    <row r="38" spans="2:51" ht="15">
      <c r="B38" s="110">
        <v>29</v>
      </c>
      <c r="C38" s="165"/>
      <c r="D38" s="165"/>
      <c r="E38" s="121"/>
      <c r="F38" s="362" t="str">
        <f>IF(D38="","",VLOOKUP(D38,'G-6 Hedgerow Data'!$B$2:$AG$15,2,FALSE))</f>
        <v/>
      </c>
      <c r="G38" s="363" t="str">
        <f>IF(D38="","",VLOOKUP(D38,'G-6 Hedgerow Data'!$B$2:$AG$15,3,FALSE))</f>
        <v/>
      </c>
      <c r="H38" s="114"/>
      <c r="I38" s="363" t="str">
        <f>IFERROR(IF(AND(F38="V.Low",OR(H38="Good",H38="Moderate")),"Error ▲",VLOOKUP(H38,'G-1 All Habitats'!$Z$2:$AA$9,2,FALSE)),"")</f>
        <v/>
      </c>
      <c r="J38" s="122"/>
      <c r="K38" s="382" t="str">
        <f>IF(J38="","",IF(VLOOKUP(J38,'G-3 Multipliers'!$L$3:$N$6,2,FALSE)=0,"Spatial Data Missing ⚠",VLOOKUP(J38,'G-3 Multipliers'!$L$3:$N$6,2,FALSE)))</f>
        <v/>
      </c>
      <c r="L38" s="386" t="str">
        <f>IF(J38="","",IF(VLOOKUP(J38,'G-3 Multipliers'!$L$3:$N$6,3,FALSE)=0,"Spatial Data Missing ⚠",VLOOKUP(J38,'G-3 Multipliers'!$L$3:$N$6,3,FALSE)))</f>
        <v/>
      </c>
      <c r="M38" s="425" t="str">
        <f>IF(D38="","",VLOOKUP(D38,'G-6 Hedgerow Data'!$B$1:$AH$15,33,FALSE))</f>
        <v/>
      </c>
      <c r="N38" s="376" t="str">
        <f t="shared" si="2"/>
        <v/>
      </c>
      <c r="O38" s="516"/>
      <c r="P38" s="368" t="str">
        <f>IF(O38="","",IF(VLOOKUP(O38,'G-3 Multipliers'!$S$3:$T$10,2,FALSE)=0,"Spatial Data Missing ⚠",VLOOKUP(O38,'G-3 Multipliers'!$S$3:$T$10,2,FALSE)))</f>
        <v/>
      </c>
      <c r="Q38" s="376" t="str">
        <f t="shared" si="3"/>
        <v/>
      </c>
      <c r="R38" s="32"/>
      <c r="S38" s="114"/>
      <c r="T38" s="125"/>
      <c r="U38" s="370" t="str">
        <f t="shared" si="4"/>
        <v/>
      </c>
      <c r="V38" s="370" t="str">
        <f t="shared" si="5"/>
        <v/>
      </c>
      <c r="W38" s="374" t="str">
        <f t="shared" si="6"/>
        <v/>
      </c>
      <c r="X38" s="378" t="str">
        <f t="shared" si="7"/>
        <v/>
      </c>
      <c r="Y38" s="119"/>
      <c r="Z38" s="120"/>
      <c r="AA38" s="120"/>
      <c r="AB38" s="120"/>
      <c r="AE38" s="30" t="str">
        <f>IFERROR(INDEX('G-6 Hedgerow Data'!$BJ$3:$BJ$15,MATCH(D38,'G-6 Hedgerow Data'!$B$3:$B$15,0)),"")</f>
        <v/>
      </c>
      <c r="AH38" s="124" t="str">
        <f t="shared" si="0"/>
        <v/>
      </c>
      <c r="AI38" s="124" t="str">
        <f t="shared" si="1"/>
        <v/>
      </c>
      <c r="AK38" s="124">
        <v>29</v>
      </c>
      <c r="AM38" s="124" t="str">
        <f t="array" ref="AM38">IFERROR(INDEX($AK$10:$AK$258, MATCH(0, IF(TRUE=$AH$10:$AH$258, COUNTIF($AM$9:$AM37, $AK$10:$AK$258), ""), 0)),"")</f>
        <v/>
      </c>
      <c r="AN38" s="124" t="str">
        <f t="array" ref="AN38">IFERROR(INDEX($AK$10:$AK$258, MATCH(0, IF(TRUE=$AI$10:$AI$258, COUNTIF($AN$9:$AN37, $AK$10:$AK$258), ""), 0)),"")</f>
        <v/>
      </c>
      <c r="AY38" s="370" t="str">
        <f t="shared" si="8"/>
        <v/>
      </c>
    </row>
    <row r="39" spans="2:51" ht="15">
      <c r="B39" s="110">
        <v>30</v>
      </c>
      <c r="C39" s="165"/>
      <c r="D39" s="165"/>
      <c r="E39" s="121"/>
      <c r="F39" s="362" t="str">
        <f>IF(D39="","",VLOOKUP(D39,'G-6 Hedgerow Data'!$B$2:$AG$15,2,FALSE))</f>
        <v/>
      </c>
      <c r="G39" s="363" t="str">
        <f>IF(D39="","",VLOOKUP(D39,'G-6 Hedgerow Data'!$B$2:$AG$15,3,FALSE))</f>
        <v/>
      </c>
      <c r="H39" s="114"/>
      <c r="I39" s="363" t="str">
        <f>IFERROR(IF(AND(F39="V.Low",OR(H39="Good",H39="Moderate")),"Error ▲",VLOOKUP(H39,'G-1 All Habitats'!$Z$2:$AA$9,2,FALSE)),"")</f>
        <v/>
      </c>
      <c r="J39" s="122"/>
      <c r="K39" s="382" t="str">
        <f>IF(J39="","",IF(VLOOKUP(J39,'G-3 Multipliers'!$L$3:$N$6,2,FALSE)=0,"Spatial Data Missing ⚠",VLOOKUP(J39,'G-3 Multipliers'!$L$3:$N$6,2,FALSE)))</f>
        <v/>
      </c>
      <c r="L39" s="386" t="str">
        <f>IF(J39="","",IF(VLOOKUP(J39,'G-3 Multipliers'!$L$3:$N$6,3,FALSE)=0,"Spatial Data Missing ⚠",VLOOKUP(J39,'G-3 Multipliers'!$L$3:$N$6,3,FALSE)))</f>
        <v/>
      </c>
      <c r="M39" s="425" t="str">
        <f>IF(D39="","",VLOOKUP(D39,'G-6 Hedgerow Data'!$B$1:$AH$15,33,FALSE))</f>
        <v/>
      </c>
      <c r="N39" s="376" t="str">
        <f t="shared" si="2"/>
        <v/>
      </c>
      <c r="O39" s="516"/>
      <c r="P39" s="368" t="str">
        <f>IF(O39="","",IF(VLOOKUP(O39,'G-3 Multipliers'!$S$3:$T$10,2,FALSE)=0,"Spatial Data Missing ⚠",VLOOKUP(O39,'G-3 Multipliers'!$S$3:$T$10,2,FALSE)))</f>
        <v/>
      </c>
      <c r="Q39" s="376" t="str">
        <f t="shared" si="3"/>
        <v/>
      </c>
      <c r="R39" s="32"/>
      <c r="S39" s="114"/>
      <c r="T39" s="125"/>
      <c r="U39" s="370" t="str">
        <f t="shared" si="4"/>
        <v/>
      </c>
      <c r="V39" s="370" t="str">
        <f t="shared" si="5"/>
        <v/>
      </c>
      <c r="W39" s="374" t="str">
        <f t="shared" si="6"/>
        <v/>
      </c>
      <c r="X39" s="378" t="str">
        <f t="shared" si="7"/>
        <v/>
      </c>
      <c r="Y39" s="119"/>
      <c r="Z39" s="120"/>
      <c r="AA39" s="120"/>
      <c r="AB39" s="120"/>
      <c r="AE39" s="30" t="str">
        <f>IFERROR(INDEX('G-6 Hedgerow Data'!$BJ$3:$BJ$15,MATCH(D39,'G-6 Hedgerow Data'!$B$3:$B$15,0)),"")</f>
        <v/>
      </c>
      <c r="AH39" s="124" t="str">
        <f t="shared" si="0"/>
        <v/>
      </c>
      <c r="AI39" s="124" t="str">
        <f t="shared" si="1"/>
        <v/>
      </c>
      <c r="AK39" s="124">
        <v>30</v>
      </c>
      <c r="AM39" s="124" t="str">
        <f t="array" ref="AM39">IFERROR(INDEX($AK$10:$AK$258, MATCH(0, IF(TRUE=$AH$10:$AH$258, COUNTIF($AM$9:$AM38, $AK$10:$AK$258), ""), 0)),"")</f>
        <v/>
      </c>
      <c r="AN39" s="124" t="str">
        <f t="array" ref="AN39">IFERROR(INDEX($AK$10:$AK$258, MATCH(0, IF(TRUE=$AI$10:$AI$258, COUNTIF($AN$9:$AN38, $AK$10:$AK$258), ""), 0)),"")</f>
        <v/>
      </c>
      <c r="AY39" s="370" t="str">
        <f t="shared" si="8"/>
        <v/>
      </c>
    </row>
    <row r="40" spans="2:51" ht="15">
      <c r="B40" s="110">
        <v>31</v>
      </c>
      <c r="C40" s="165"/>
      <c r="D40" s="165"/>
      <c r="E40" s="121"/>
      <c r="F40" s="362" t="str">
        <f>IF(D40="","",VLOOKUP(D40,'G-6 Hedgerow Data'!$B$2:$AG$15,2,FALSE))</f>
        <v/>
      </c>
      <c r="G40" s="363" t="str">
        <f>IF(D40="","",VLOOKUP(D40,'G-6 Hedgerow Data'!$B$2:$AG$15,3,FALSE))</f>
        <v/>
      </c>
      <c r="H40" s="114"/>
      <c r="I40" s="363" t="str">
        <f>IFERROR(IF(AND(F40="V.Low",OR(H40="Good",H40="Moderate")),"Error ▲",VLOOKUP(H40,'G-1 All Habitats'!$Z$2:$AA$9,2,FALSE)),"")</f>
        <v/>
      </c>
      <c r="J40" s="122"/>
      <c r="K40" s="382" t="str">
        <f>IF(J40="","",IF(VLOOKUP(J40,'G-3 Multipliers'!$L$3:$N$6,2,FALSE)=0,"Spatial Data Missing ⚠",VLOOKUP(J40,'G-3 Multipliers'!$L$3:$N$6,2,FALSE)))</f>
        <v/>
      </c>
      <c r="L40" s="386" t="str">
        <f>IF(J40="","",IF(VLOOKUP(J40,'G-3 Multipliers'!$L$3:$N$6,3,FALSE)=0,"Spatial Data Missing ⚠",VLOOKUP(J40,'G-3 Multipliers'!$L$3:$N$6,3,FALSE)))</f>
        <v/>
      </c>
      <c r="M40" s="425" t="str">
        <f>IF(D40="","",VLOOKUP(D40,'G-6 Hedgerow Data'!$B$1:$AH$15,33,FALSE))</f>
        <v/>
      </c>
      <c r="N40" s="376" t="str">
        <f t="shared" si="2"/>
        <v/>
      </c>
      <c r="O40" s="516"/>
      <c r="P40" s="368" t="str">
        <f>IF(O40="","",IF(VLOOKUP(O40,'G-3 Multipliers'!$S$3:$T$10,2,FALSE)=0,"Spatial Data Missing ⚠",VLOOKUP(O40,'G-3 Multipliers'!$S$3:$T$10,2,FALSE)))</f>
        <v/>
      </c>
      <c r="Q40" s="376" t="str">
        <f t="shared" si="3"/>
        <v/>
      </c>
      <c r="R40" s="32"/>
      <c r="S40" s="114"/>
      <c r="T40" s="125"/>
      <c r="U40" s="370" t="str">
        <f t="shared" si="4"/>
        <v/>
      </c>
      <c r="V40" s="370" t="str">
        <f t="shared" si="5"/>
        <v/>
      </c>
      <c r="W40" s="374" t="str">
        <f t="shared" si="6"/>
        <v/>
      </c>
      <c r="X40" s="378" t="str">
        <f t="shared" si="7"/>
        <v/>
      </c>
      <c r="Y40" s="119"/>
      <c r="Z40" s="120"/>
      <c r="AA40" s="120"/>
      <c r="AB40" s="120"/>
      <c r="AE40" s="30" t="str">
        <f>IFERROR(INDEX('G-6 Hedgerow Data'!$BJ$3:$BJ$15,MATCH(D40,'G-6 Hedgerow Data'!$B$3:$B$15,0)),"")</f>
        <v/>
      </c>
      <c r="AH40" s="124" t="str">
        <f t="shared" si="0"/>
        <v/>
      </c>
      <c r="AI40" s="124" t="str">
        <f t="shared" si="1"/>
        <v/>
      </c>
      <c r="AK40" s="124">
        <v>31</v>
      </c>
      <c r="AM40" s="124" t="str">
        <f t="array" ref="AM40">IFERROR(INDEX($AK$10:$AK$258, MATCH(0, IF(TRUE=$AH$10:$AH$258, COUNTIF($AM$9:$AM39, $AK$10:$AK$258), ""), 0)),"")</f>
        <v/>
      </c>
      <c r="AN40" s="124" t="str">
        <f t="array" ref="AN40">IFERROR(INDEX($AK$10:$AK$258, MATCH(0, IF(TRUE=$AI$10:$AI$258, COUNTIF($AN$9:$AN39, $AK$10:$AK$258), ""), 0)),"")</f>
        <v/>
      </c>
      <c r="AY40" s="370" t="str">
        <f t="shared" si="8"/>
        <v/>
      </c>
    </row>
    <row r="41" spans="2:51" ht="15">
      <c r="B41" s="110">
        <v>32</v>
      </c>
      <c r="C41" s="165"/>
      <c r="D41" s="165"/>
      <c r="E41" s="121"/>
      <c r="F41" s="362" t="str">
        <f>IF(D41="","",VLOOKUP(D41,'G-6 Hedgerow Data'!$B$2:$AG$15,2,FALSE))</f>
        <v/>
      </c>
      <c r="G41" s="363" t="str">
        <f>IF(D41="","",VLOOKUP(D41,'G-6 Hedgerow Data'!$B$2:$AG$15,3,FALSE))</f>
        <v/>
      </c>
      <c r="H41" s="114"/>
      <c r="I41" s="363" t="str">
        <f>IFERROR(IF(AND(F41="V.Low",OR(H41="Good",H41="Moderate")),"Error ▲",VLOOKUP(H41,'G-1 All Habitats'!$Z$2:$AA$9,2,FALSE)),"")</f>
        <v/>
      </c>
      <c r="J41" s="122"/>
      <c r="K41" s="382" t="str">
        <f>IF(J41="","",IF(VLOOKUP(J41,'G-3 Multipliers'!$L$3:$N$6,2,FALSE)=0,"Spatial Data Missing ⚠",VLOOKUP(J41,'G-3 Multipliers'!$L$3:$N$6,2,FALSE)))</f>
        <v/>
      </c>
      <c r="L41" s="386" t="str">
        <f>IF(J41="","",IF(VLOOKUP(J41,'G-3 Multipliers'!$L$3:$N$6,3,FALSE)=0,"Spatial Data Missing ⚠",VLOOKUP(J41,'G-3 Multipliers'!$L$3:$N$6,3,FALSE)))</f>
        <v/>
      </c>
      <c r="M41" s="425" t="str">
        <f>IF(D41="","",VLOOKUP(D41,'G-6 Hedgerow Data'!$B$1:$AH$15,33,FALSE))</f>
        <v/>
      </c>
      <c r="N41" s="376" t="str">
        <f t="shared" si="2"/>
        <v/>
      </c>
      <c r="O41" s="516"/>
      <c r="P41" s="368" t="str">
        <f>IF(O41="","",IF(VLOOKUP(O41,'G-3 Multipliers'!$S$3:$T$10,2,FALSE)=0,"Spatial Data Missing ⚠",VLOOKUP(O41,'G-3 Multipliers'!$S$3:$T$10,2,FALSE)))</f>
        <v/>
      </c>
      <c r="Q41" s="376" t="str">
        <f t="shared" si="3"/>
        <v/>
      </c>
      <c r="R41" s="32"/>
      <c r="S41" s="114"/>
      <c r="T41" s="125"/>
      <c r="U41" s="370" t="str">
        <f t="shared" si="4"/>
        <v/>
      </c>
      <c r="V41" s="370" t="str">
        <f t="shared" si="5"/>
        <v/>
      </c>
      <c r="W41" s="374" t="str">
        <f t="shared" si="6"/>
        <v/>
      </c>
      <c r="X41" s="378" t="str">
        <f t="shared" si="7"/>
        <v/>
      </c>
      <c r="Y41" s="119"/>
      <c r="Z41" s="120"/>
      <c r="AA41" s="120"/>
      <c r="AB41" s="120"/>
      <c r="AE41" s="30" t="str">
        <f>IFERROR(INDEX('G-6 Hedgerow Data'!$BJ$3:$BJ$15,MATCH(D41,'G-6 Hedgerow Data'!$B$3:$B$15,0)),"")</f>
        <v/>
      </c>
      <c r="AH41" s="124" t="str">
        <f t="shared" si="0"/>
        <v/>
      </c>
      <c r="AI41" s="124" t="str">
        <f t="shared" si="1"/>
        <v/>
      </c>
      <c r="AK41" s="124">
        <v>32</v>
      </c>
      <c r="AM41" s="124" t="str">
        <f t="array" ref="AM41">IFERROR(INDEX($AK$10:$AK$258, MATCH(0, IF(TRUE=$AH$10:$AH$258, COUNTIF($AM$9:$AM40, $AK$10:$AK$258), ""), 0)),"")</f>
        <v/>
      </c>
      <c r="AN41" s="124" t="str">
        <f t="array" ref="AN41">IFERROR(INDEX($AK$10:$AK$258, MATCH(0, IF(TRUE=$AI$10:$AI$258, COUNTIF($AN$9:$AN40, $AK$10:$AK$258), ""), 0)),"")</f>
        <v/>
      </c>
      <c r="AY41" s="370" t="str">
        <f t="shared" si="8"/>
        <v/>
      </c>
    </row>
    <row r="42" spans="2:51" ht="15">
      <c r="B42" s="110">
        <v>33</v>
      </c>
      <c r="C42" s="165"/>
      <c r="D42" s="165"/>
      <c r="E42" s="121"/>
      <c r="F42" s="362" t="str">
        <f>IF(D42="","",VLOOKUP(D42,'G-6 Hedgerow Data'!$B$2:$AG$15,2,FALSE))</f>
        <v/>
      </c>
      <c r="G42" s="363" t="str">
        <f>IF(D42="","",VLOOKUP(D42,'G-6 Hedgerow Data'!$B$2:$AG$15,3,FALSE))</f>
        <v/>
      </c>
      <c r="H42" s="114"/>
      <c r="I42" s="363" t="str">
        <f>IFERROR(IF(AND(F42="V.Low",OR(H42="Good",H42="Moderate")),"Error ▲",VLOOKUP(H42,'G-1 All Habitats'!$Z$2:$AA$9,2,FALSE)),"")</f>
        <v/>
      </c>
      <c r="J42" s="122"/>
      <c r="K42" s="382" t="str">
        <f>IF(J42="","",IF(VLOOKUP(J42,'G-3 Multipliers'!$L$3:$N$6,2,FALSE)=0,"Spatial Data Missing ⚠",VLOOKUP(J42,'G-3 Multipliers'!$L$3:$N$6,2,FALSE)))</f>
        <v/>
      </c>
      <c r="L42" s="386" t="str">
        <f>IF(J42="","",IF(VLOOKUP(J42,'G-3 Multipliers'!$L$3:$N$6,3,FALSE)=0,"Spatial Data Missing ⚠",VLOOKUP(J42,'G-3 Multipliers'!$L$3:$N$6,3,FALSE)))</f>
        <v/>
      </c>
      <c r="M42" s="425" t="str">
        <f>IF(D42="","",VLOOKUP(D42,'G-6 Hedgerow Data'!$B$1:$AH$15,33,FALSE))</f>
        <v/>
      </c>
      <c r="N42" s="376" t="str">
        <f t="shared" si="2"/>
        <v/>
      </c>
      <c r="O42" s="516"/>
      <c r="P42" s="368" t="str">
        <f>IF(O42="","",IF(VLOOKUP(O42,'G-3 Multipliers'!$S$3:$T$10,2,FALSE)=0,"Spatial Data Missing ⚠",VLOOKUP(O42,'G-3 Multipliers'!$S$3:$T$10,2,FALSE)))</f>
        <v/>
      </c>
      <c r="Q42" s="376" t="str">
        <f t="shared" si="3"/>
        <v/>
      </c>
      <c r="R42" s="32"/>
      <c r="S42" s="114"/>
      <c r="T42" s="125"/>
      <c r="U42" s="370" t="str">
        <f t="shared" si="4"/>
        <v/>
      </c>
      <c r="V42" s="370" t="str">
        <f t="shared" si="5"/>
        <v/>
      </c>
      <c r="W42" s="374" t="str">
        <f t="shared" si="6"/>
        <v/>
      </c>
      <c r="X42" s="378" t="str">
        <f t="shared" si="7"/>
        <v/>
      </c>
      <c r="Y42" s="119"/>
      <c r="Z42" s="120"/>
      <c r="AA42" s="120"/>
      <c r="AB42" s="120"/>
      <c r="AE42" s="30" t="str">
        <f>IFERROR(INDEX('G-6 Hedgerow Data'!$BJ$3:$BJ$15,MATCH(D42,'G-6 Hedgerow Data'!$B$3:$B$15,0)),"")</f>
        <v/>
      </c>
      <c r="AH42" s="124" t="str">
        <f t="shared" si="0"/>
        <v/>
      </c>
      <c r="AI42" s="124" t="str">
        <f t="shared" si="1"/>
        <v/>
      </c>
      <c r="AK42" s="124">
        <v>33</v>
      </c>
      <c r="AM42" s="124" t="str">
        <f t="array" ref="AM42">IFERROR(INDEX($AK$10:$AK$258, MATCH(0, IF(TRUE=$AH$10:$AH$258, COUNTIF($AM$9:$AM41, $AK$10:$AK$258), ""), 0)),"")</f>
        <v/>
      </c>
      <c r="AN42" s="124" t="str">
        <f t="array" ref="AN42">IFERROR(INDEX($AK$10:$AK$258, MATCH(0, IF(TRUE=$AI$10:$AI$258, COUNTIF($AN$9:$AN41, $AK$10:$AK$258), ""), 0)),"")</f>
        <v/>
      </c>
      <c r="AY42" s="370" t="str">
        <f t="shared" si="8"/>
        <v/>
      </c>
    </row>
    <row r="43" spans="2:51" ht="15">
      <c r="B43" s="110">
        <v>34</v>
      </c>
      <c r="C43" s="165"/>
      <c r="D43" s="165"/>
      <c r="E43" s="121"/>
      <c r="F43" s="362" t="str">
        <f>IF(D43="","",VLOOKUP(D43,'G-6 Hedgerow Data'!$B$2:$AG$15,2,FALSE))</f>
        <v/>
      </c>
      <c r="G43" s="363" t="str">
        <f>IF(D43="","",VLOOKUP(D43,'G-6 Hedgerow Data'!$B$2:$AG$15,3,FALSE))</f>
        <v/>
      </c>
      <c r="H43" s="114"/>
      <c r="I43" s="363" t="str">
        <f>IFERROR(IF(AND(F43="V.Low",OR(H43="Good",H43="Moderate")),"Error ▲",VLOOKUP(H43,'G-1 All Habitats'!$Z$2:$AA$9,2,FALSE)),"")</f>
        <v/>
      </c>
      <c r="J43" s="122"/>
      <c r="K43" s="382" t="str">
        <f>IF(J43="","",IF(VLOOKUP(J43,'G-3 Multipliers'!$L$3:$N$6,2,FALSE)=0,"Spatial Data Missing ⚠",VLOOKUP(J43,'G-3 Multipliers'!$L$3:$N$6,2,FALSE)))</f>
        <v/>
      </c>
      <c r="L43" s="386" t="str">
        <f>IF(J43="","",IF(VLOOKUP(J43,'G-3 Multipliers'!$L$3:$N$6,3,FALSE)=0,"Spatial Data Missing ⚠",VLOOKUP(J43,'G-3 Multipliers'!$L$3:$N$6,3,FALSE)))</f>
        <v/>
      </c>
      <c r="M43" s="425" t="str">
        <f>IF(D43="","",VLOOKUP(D43,'G-6 Hedgerow Data'!$B$1:$AH$15,33,FALSE))</f>
        <v/>
      </c>
      <c r="N43" s="376" t="str">
        <f t="shared" si="2"/>
        <v/>
      </c>
      <c r="O43" s="516"/>
      <c r="P43" s="368" t="str">
        <f>IF(O43="","",IF(VLOOKUP(O43,'G-3 Multipliers'!$S$3:$T$10,2,FALSE)=0,"Spatial Data Missing ⚠",VLOOKUP(O43,'G-3 Multipliers'!$S$3:$T$10,2,FALSE)))</f>
        <v/>
      </c>
      <c r="Q43" s="376" t="str">
        <f t="shared" si="3"/>
        <v/>
      </c>
      <c r="R43" s="32"/>
      <c r="S43" s="114"/>
      <c r="T43" s="125"/>
      <c r="U43" s="370" t="str">
        <f t="shared" si="4"/>
        <v/>
      </c>
      <c r="V43" s="370" t="str">
        <f t="shared" si="5"/>
        <v/>
      </c>
      <c r="W43" s="374" t="str">
        <f t="shared" si="6"/>
        <v/>
      </c>
      <c r="X43" s="378" t="str">
        <f t="shared" si="7"/>
        <v/>
      </c>
      <c r="Y43" s="119"/>
      <c r="Z43" s="120"/>
      <c r="AA43" s="120"/>
      <c r="AB43" s="120"/>
      <c r="AE43" s="30" t="str">
        <f>IFERROR(INDEX('G-6 Hedgerow Data'!$BJ$3:$BJ$15,MATCH(D43,'G-6 Hedgerow Data'!$B$3:$B$15,0)),"")</f>
        <v/>
      </c>
      <c r="AH43" s="124" t="str">
        <f t="shared" si="0"/>
        <v/>
      </c>
      <c r="AI43" s="124" t="str">
        <f t="shared" si="1"/>
        <v/>
      </c>
      <c r="AK43" s="124">
        <v>34</v>
      </c>
      <c r="AM43" s="124" t="str">
        <f t="array" ref="AM43">IFERROR(INDEX($AK$10:$AK$258, MATCH(0, IF(TRUE=$AH$10:$AH$258, COUNTIF($AM$9:$AM42, $AK$10:$AK$258), ""), 0)),"")</f>
        <v/>
      </c>
      <c r="AN43" s="124" t="str">
        <f t="array" ref="AN43">IFERROR(INDEX($AK$10:$AK$258, MATCH(0, IF(TRUE=$AI$10:$AI$258, COUNTIF($AN$9:$AN42, $AK$10:$AK$258), ""), 0)),"")</f>
        <v/>
      </c>
      <c r="AY43" s="370" t="str">
        <f t="shared" si="8"/>
        <v/>
      </c>
    </row>
    <row r="44" spans="2:51" ht="15">
      <c r="B44" s="110">
        <v>35</v>
      </c>
      <c r="C44" s="165"/>
      <c r="D44" s="165"/>
      <c r="E44" s="121"/>
      <c r="F44" s="362" t="str">
        <f>IF(D44="","",VLOOKUP(D44,'G-6 Hedgerow Data'!$B$2:$AG$15,2,FALSE))</f>
        <v/>
      </c>
      <c r="G44" s="363" t="str">
        <f>IF(D44="","",VLOOKUP(D44,'G-6 Hedgerow Data'!$B$2:$AG$15,3,FALSE))</f>
        <v/>
      </c>
      <c r="H44" s="114"/>
      <c r="I44" s="363" t="str">
        <f>IFERROR(IF(AND(F44="V.Low",OR(H44="Good",H44="Moderate")),"Error ▲",VLOOKUP(H44,'G-1 All Habitats'!$Z$2:$AA$9,2,FALSE)),"")</f>
        <v/>
      </c>
      <c r="J44" s="122"/>
      <c r="K44" s="382" t="str">
        <f>IF(J44="","",IF(VLOOKUP(J44,'G-3 Multipliers'!$L$3:$N$6,2,FALSE)=0,"Spatial Data Missing ⚠",VLOOKUP(J44,'G-3 Multipliers'!$L$3:$N$6,2,FALSE)))</f>
        <v/>
      </c>
      <c r="L44" s="386" t="str">
        <f>IF(J44="","",IF(VLOOKUP(J44,'G-3 Multipliers'!$L$3:$N$6,3,FALSE)=0,"Spatial Data Missing ⚠",VLOOKUP(J44,'G-3 Multipliers'!$L$3:$N$6,3,FALSE)))</f>
        <v/>
      </c>
      <c r="M44" s="425" t="str">
        <f>IF(D44="","",VLOOKUP(D44,'G-6 Hedgerow Data'!$B$1:$AH$15,33,FALSE))</f>
        <v/>
      </c>
      <c r="N44" s="376" t="str">
        <f t="shared" si="2"/>
        <v/>
      </c>
      <c r="O44" s="516"/>
      <c r="P44" s="368" t="str">
        <f>IF(O44="","",IF(VLOOKUP(O44,'G-3 Multipliers'!$S$3:$T$10,2,FALSE)=0,"Spatial Data Missing ⚠",VLOOKUP(O44,'G-3 Multipliers'!$S$3:$T$10,2,FALSE)))</f>
        <v/>
      </c>
      <c r="Q44" s="376" t="str">
        <f t="shared" si="3"/>
        <v/>
      </c>
      <c r="R44" s="32"/>
      <c r="S44" s="114"/>
      <c r="T44" s="125"/>
      <c r="U44" s="370" t="str">
        <f t="shared" si="4"/>
        <v/>
      </c>
      <c r="V44" s="370" t="str">
        <f t="shared" si="5"/>
        <v/>
      </c>
      <c r="W44" s="374" t="str">
        <f t="shared" si="6"/>
        <v/>
      </c>
      <c r="X44" s="378" t="str">
        <f t="shared" si="7"/>
        <v/>
      </c>
      <c r="Y44" s="119"/>
      <c r="Z44" s="120"/>
      <c r="AA44" s="120"/>
      <c r="AB44" s="120"/>
      <c r="AE44" s="30" t="str">
        <f>IFERROR(INDEX('G-6 Hedgerow Data'!$BJ$3:$BJ$15,MATCH(D44,'G-6 Hedgerow Data'!$B$3:$B$15,0)),"")</f>
        <v/>
      </c>
      <c r="AH44" s="124" t="str">
        <f t="shared" si="0"/>
        <v/>
      </c>
      <c r="AI44" s="124" t="str">
        <f t="shared" si="1"/>
        <v/>
      </c>
      <c r="AK44" s="124">
        <v>35</v>
      </c>
      <c r="AM44" s="124" t="str">
        <f t="array" ref="AM44">IFERROR(INDEX($AK$10:$AK$258, MATCH(0, IF(TRUE=$AH$10:$AH$258, COUNTIF($AM$9:$AM43, $AK$10:$AK$258), ""), 0)),"")</f>
        <v/>
      </c>
      <c r="AN44" s="124" t="str">
        <f t="array" ref="AN44">IFERROR(INDEX($AK$10:$AK$258, MATCH(0, IF(TRUE=$AI$10:$AI$258, COUNTIF($AN$9:$AN43, $AK$10:$AK$258), ""), 0)),"")</f>
        <v/>
      </c>
      <c r="AY44" s="370" t="str">
        <f t="shared" si="8"/>
        <v/>
      </c>
    </row>
    <row r="45" spans="2:51" ht="15">
      <c r="B45" s="110">
        <v>36</v>
      </c>
      <c r="C45" s="165"/>
      <c r="D45" s="165"/>
      <c r="E45" s="121"/>
      <c r="F45" s="362" t="str">
        <f>IF(D45="","",VLOOKUP(D45,'G-6 Hedgerow Data'!$B$2:$AG$15,2,FALSE))</f>
        <v/>
      </c>
      <c r="G45" s="363" t="str">
        <f>IF(D45="","",VLOOKUP(D45,'G-6 Hedgerow Data'!$B$2:$AG$15,3,FALSE))</f>
        <v/>
      </c>
      <c r="H45" s="114"/>
      <c r="I45" s="363" t="str">
        <f>IFERROR(IF(AND(F45="V.Low",OR(H45="Good",H45="Moderate")),"Error ▲",VLOOKUP(H45,'G-1 All Habitats'!$Z$2:$AA$9,2,FALSE)),"")</f>
        <v/>
      </c>
      <c r="J45" s="122"/>
      <c r="K45" s="382" t="str">
        <f>IF(J45="","",IF(VLOOKUP(J45,'G-3 Multipliers'!$L$3:$N$6,2,FALSE)=0,"Spatial Data Missing ⚠",VLOOKUP(J45,'G-3 Multipliers'!$L$3:$N$6,2,FALSE)))</f>
        <v/>
      </c>
      <c r="L45" s="386" t="str">
        <f>IF(J45="","",IF(VLOOKUP(J45,'G-3 Multipliers'!$L$3:$N$6,3,FALSE)=0,"Spatial Data Missing ⚠",VLOOKUP(J45,'G-3 Multipliers'!$L$3:$N$6,3,FALSE)))</f>
        <v/>
      </c>
      <c r="M45" s="425" t="str">
        <f>IF(D45="","",VLOOKUP(D45,'G-6 Hedgerow Data'!$B$1:$AH$15,33,FALSE))</f>
        <v/>
      </c>
      <c r="N45" s="376" t="str">
        <f t="shared" si="2"/>
        <v/>
      </c>
      <c r="O45" s="516"/>
      <c r="P45" s="368" t="str">
        <f>IF(O45="","",IF(VLOOKUP(O45,'G-3 Multipliers'!$S$3:$T$10,2,FALSE)=0,"Spatial Data Missing ⚠",VLOOKUP(O45,'G-3 Multipliers'!$S$3:$T$10,2,FALSE)))</f>
        <v/>
      </c>
      <c r="Q45" s="376" t="str">
        <f t="shared" si="3"/>
        <v/>
      </c>
      <c r="R45" s="32"/>
      <c r="S45" s="114"/>
      <c r="T45" s="125"/>
      <c r="U45" s="370" t="str">
        <f t="shared" si="4"/>
        <v/>
      </c>
      <c r="V45" s="370" t="str">
        <f t="shared" si="5"/>
        <v/>
      </c>
      <c r="W45" s="374" t="str">
        <f t="shared" si="6"/>
        <v/>
      </c>
      <c r="X45" s="378" t="str">
        <f t="shared" si="7"/>
        <v/>
      </c>
      <c r="Y45" s="119"/>
      <c r="Z45" s="120"/>
      <c r="AA45" s="120"/>
      <c r="AB45" s="120"/>
      <c r="AE45" s="30" t="str">
        <f>IFERROR(INDEX('G-6 Hedgerow Data'!$BJ$3:$BJ$15,MATCH(D45,'G-6 Hedgerow Data'!$B$3:$B$15,0)),"")</f>
        <v/>
      </c>
      <c r="AH45" s="124" t="str">
        <f t="shared" si="0"/>
        <v/>
      </c>
      <c r="AI45" s="124" t="str">
        <f t="shared" si="1"/>
        <v/>
      </c>
      <c r="AK45" s="124">
        <v>36</v>
      </c>
      <c r="AM45" s="124" t="str">
        <f t="array" ref="AM45">IFERROR(INDEX($AK$10:$AK$258, MATCH(0, IF(TRUE=$AH$10:$AH$258, COUNTIF($AM$9:$AM44, $AK$10:$AK$258), ""), 0)),"")</f>
        <v/>
      </c>
      <c r="AN45" s="124" t="str">
        <f t="array" ref="AN45">IFERROR(INDEX($AK$10:$AK$258, MATCH(0, IF(TRUE=$AI$10:$AI$258, COUNTIF($AN$9:$AN44, $AK$10:$AK$258), ""), 0)),"")</f>
        <v/>
      </c>
      <c r="AY45" s="370" t="str">
        <f t="shared" si="8"/>
        <v/>
      </c>
    </row>
    <row r="46" spans="2:51" ht="15">
      <c r="B46" s="110">
        <v>37</v>
      </c>
      <c r="C46" s="165"/>
      <c r="D46" s="165"/>
      <c r="E46" s="121"/>
      <c r="F46" s="362" t="str">
        <f>IF(D46="","",VLOOKUP(D46,'G-6 Hedgerow Data'!$B$2:$AG$15,2,FALSE))</f>
        <v/>
      </c>
      <c r="G46" s="363" t="str">
        <f>IF(D46="","",VLOOKUP(D46,'G-6 Hedgerow Data'!$B$2:$AG$15,3,FALSE))</f>
        <v/>
      </c>
      <c r="H46" s="114"/>
      <c r="I46" s="363" t="str">
        <f>IFERROR(IF(AND(F46="V.Low",OR(H46="Good",H46="Moderate")),"Error ▲",VLOOKUP(H46,'G-1 All Habitats'!$Z$2:$AA$9,2,FALSE)),"")</f>
        <v/>
      </c>
      <c r="J46" s="122"/>
      <c r="K46" s="382" t="str">
        <f>IF(J46="","",IF(VLOOKUP(J46,'G-3 Multipliers'!$L$3:$N$6,2,FALSE)=0,"Spatial Data Missing ⚠",VLOOKUP(J46,'G-3 Multipliers'!$L$3:$N$6,2,FALSE)))</f>
        <v/>
      </c>
      <c r="L46" s="386" t="str">
        <f>IF(J46="","",IF(VLOOKUP(J46,'G-3 Multipliers'!$L$3:$N$6,3,FALSE)=0,"Spatial Data Missing ⚠",VLOOKUP(J46,'G-3 Multipliers'!$L$3:$N$6,3,FALSE)))</f>
        <v/>
      </c>
      <c r="M46" s="425" t="str">
        <f>IF(D46="","",VLOOKUP(D46,'G-6 Hedgerow Data'!$B$1:$AH$15,33,FALSE))</f>
        <v/>
      </c>
      <c r="N46" s="376" t="str">
        <f t="shared" si="2"/>
        <v/>
      </c>
      <c r="O46" s="516"/>
      <c r="P46" s="368" t="str">
        <f>IF(O46="","",IF(VLOOKUP(O46,'G-3 Multipliers'!$S$3:$T$10,2,FALSE)=0,"Spatial Data Missing ⚠",VLOOKUP(O46,'G-3 Multipliers'!$S$3:$T$10,2,FALSE)))</f>
        <v/>
      </c>
      <c r="Q46" s="376" t="str">
        <f t="shared" si="3"/>
        <v/>
      </c>
      <c r="R46" s="32"/>
      <c r="S46" s="114"/>
      <c r="T46" s="125"/>
      <c r="U46" s="370" t="str">
        <f t="shared" si="4"/>
        <v/>
      </c>
      <c r="V46" s="370" t="str">
        <f t="shared" si="5"/>
        <v/>
      </c>
      <c r="W46" s="374" t="str">
        <f t="shared" si="6"/>
        <v/>
      </c>
      <c r="X46" s="378" t="str">
        <f t="shared" si="7"/>
        <v/>
      </c>
      <c r="Y46" s="119"/>
      <c r="Z46" s="120"/>
      <c r="AA46" s="120"/>
      <c r="AB46" s="120"/>
      <c r="AE46" s="30" t="str">
        <f>IFERROR(INDEX('G-6 Hedgerow Data'!$BJ$3:$BJ$15,MATCH(D46,'G-6 Hedgerow Data'!$B$3:$B$15,0)),"")</f>
        <v/>
      </c>
      <c r="AH46" s="124" t="str">
        <f t="shared" si="0"/>
        <v/>
      </c>
      <c r="AI46" s="124" t="str">
        <f t="shared" si="1"/>
        <v/>
      </c>
      <c r="AK46" s="124">
        <v>37</v>
      </c>
      <c r="AM46" s="124" t="str">
        <f t="array" ref="AM46">IFERROR(INDEX($AK$10:$AK$258, MATCH(0, IF(TRUE=$AH$10:$AH$258, COUNTIF($AM$9:$AM45, $AK$10:$AK$258), ""), 0)),"")</f>
        <v/>
      </c>
      <c r="AN46" s="124" t="str">
        <f t="array" ref="AN46">IFERROR(INDEX($AK$10:$AK$258, MATCH(0, IF(TRUE=$AI$10:$AI$258, COUNTIF($AN$9:$AN45, $AK$10:$AK$258), ""), 0)),"")</f>
        <v/>
      </c>
      <c r="AY46" s="370" t="str">
        <f t="shared" si="8"/>
        <v/>
      </c>
    </row>
    <row r="47" spans="2:51" ht="15">
      <c r="B47" s="110">
        <v>38</v>
      </c>
      <c r="C47" s="165"/>
      <c r="D47" s="165"/>
      <c r="E47" s="121"/>
      <c r="F47" s="362" t="str">
        <f>IF(D47="","",VLOOKUP(D47,'G-6 Hedgerow Data'!$B$2:$AG$15,2,FALSE))</f>
        <v/>
      </c>
      <c r="G47" s="363" t="str">
        <f>IF(D47="","",VLOOKUP(D47,'G-6 Hedgerow Data'!$B$2:$AG$15,3,FALSE))</f>
        <v/>
      </c>
      <c r="H47" s="114"/>
      <c r="I47" s="363" t="str">
        <f>IFERROR(IF(AND(F47="V.Low",OR(H47="Good",H47="Moderate")),"Error ▲",VLOOKUP(H47,'G-1 All Habitats'!$Z$2:$AA$9,2,FALSE)),"")</f>
        <v/>
      </c>
      <c r="J47" s="122"/>
      <c r="K47" s="382" t="str">
        <f>IF(J47="","",IF(VLOOKUP(J47,'G-3 Multipliers'!$L$3:$N$6,2,FALSE)=0,"Spatial Data Missing ⚠",VLOOKUP(J47,'G-3 Multipliers'!$L$3:$N$6,2,FALSE)))</f>
        <v/>
      </c>
      <c r="L47" s="386" t="str">
        <f>IF(J47="","",IF(VLOOKUP(J47,'G-3 Multipliers'!$L$3:$N$6,3,FALSE)=0,"Spatial Data Missing ⚠",VLOOKUP(J47,'G-3 Multipliers'!$L$3:$N$6,3,FALSE)))</f>
        <v/>
      </c>
      <c r="M47" s="425" t="str">
        <f>IF(D47="","",VLOOKUP(D47,'G-6 Hedgerow Data'!$B$1:$AH$15,33,FALSE))</f>
        <v/>
      </c>
      <c r="N47" s="376" t="str">
        <f t="shared" si="2"/>
        <v/>
      </c>
      <c r="O47" s="516"/>
      <c r="P47" s="368" t="str">
        <f>IF(O47="","",IF(VLOOKUP(O47,'G-3 Multipliers'!$S$3:$T$10,2,FALSE)=0,"Spatial Data Missing ⚠",VLOOKUP(O47,'G-3 Multipliers'!$S$3:$T$10,2,FALSE)))</f>
        <v/>
      </c>
      <c r="Q47" s="376" t="str">
        <f t="shared" si="3"/>
        <v/>
      </c>
      <c r="R47" s="32"/>
      <c r="S47" s="114"/>
      <c r="T47" s="125"/>
      <c r="U47" s="370" t="str">
        <f t="shared" si="4"/>
        <v/>
      </c>
      <c r="V47" s="370" t="str">
        <f t="shared" si="5"/>
        <v/>
      </c>
      <c r="W47" s="374" t="str">
        <f t="shared" si="6"/>
        <v/>
      </c>
      <c r="X47" s="378" t="str">
        <f t="shared" si="7"/>
        <v/>
      </c>
      <c r="Y47" s="119"/>
      <c r="Z47" s="120"/>
      <c r="AA47" s="120"/>
      <c r="AB47" s="120"/>
      <c r="AE47" s="30" t="str">
        <f>IFERROR(INDEX('G-6 Hedgerow Data'!$BJ$3:$BJ$15,MATCH(D47,'G-6 Hedgerow Data'!$B$3:$B$15,0)),"")</f>
        <v/>
      </c>
      <c r="AH47" s="124" t="str">
        <f t="shared" si="0"/>
        <v/>
      </c>
      <c r="AI47" s="124" t="str">
        <f t="shared" si="1"/>
        <v/>
      </c>
      <c r="AK47" s="124">
        <v>38</v>
      </c>
      <c r="AM47" s="124" t="str">
        <f t="array" ref="AM47">IFERROR(INDEX($AK$10:$AK$258, MATCH(0, IF(TRUE=$AH$10:$AH$258, COUNTIF($AM$9:$AM46, $AK$10:$AK$258), ""), 0)),"")</f>
        <v/>
      </c>
      <c r="AN47" s="124" t="str">
        <f t="array" ref="AN47">IFERROR(INDEX($AK$10:$AK$258, MATCH(0, IF(TRUE=$AI$10:$AI$258, COUNTIF($AN$9:$AN46, $AK$10:$AK$258), ""), 0)),"")</f>
        <v/>
      </c>
      <c r="AY47" s="370" t="str">
        <f t="shared" si="8"/>
        <v/>
      </c>
    </row>
    <row r="48" spans="2:51" ht="15">
      <c r="B48" s="110">
        <v>39</v>
      </c>
      <c r="C48" s="165"/>
      <c r="D48" s="165"/>
      <c r="E48" s="121"/>
      <c r="F48" s="362" t="str">
        <f>IF(D48="","",VLOOKUP(D48,'G-6 Hedgerow Data'!$B$2:$AG$15,2,FALSE))</f>
        <v/>
      </c>
      <c r="G48" s="363" t="str">
        <f>IF(D48="","",VLOOKUP(D48,'G-6 Hedgerow Data'!$B$2:$AG$15,3,FALSE))</f>
        <v/>
      </c>
      <c r="H48" s="114"/>
      <c r="I48" s="363" t="str">
        <f>IFERROR(IF(AND(F48="V.Low",OR(H48="Good",H48="Moderate")),"Error ▲",VLOOKUP(H48,'G-1 All Habitats'!$Z$2:$AA$9,2,FALSE)),"")</f>
        <v/>
      </c>
      <c r="J48" s="122"/>
      <c r="K48" s="382" t="str">
        <f>IF(J48="","",IF(VLOOKUP(J48,'G-3 Multipliers'!$L$3:$N$6,2,FALSE)=0,"Spatial Data Missing ⚠",VLOOKUP(J48,'G-3 Multipliers'!$L$3:$N$6,2,FALSE)))</f>
        <v/>
      </c>
      <c r="L48" s="386" t="str">
        <f>IF(J48="","",IF(VLOOKUP(J48,'G-3 Multipliers'!$L$3:$N$6,3,FALSE)=0,"Spatial Data Missing ⚠",VLOOKUP(J48,'G-3 Multipliers'!$L$3:$N$6,3,FALSE)))</f>
        <v/>
      </c>
      <c r="M48" s="425" t="str">
        <f>IF(D48="","",VLOOKUP(D48,'G-6 Hedgerow Data'!$B$1:$AH$15,33,FALSE))</f>
        <v/>
      </c>
      <c r="N48" s="376" t="str">
        <f t="shared" si="2"/>
        <v/>
      </c>
      <c r="O48" s="516"/>
      <c r="P48" s="368" t="str">
        <f>IF(O48="","",IF(VLOOKUP(O48,'G-3 Multipliers'!$S$3:$T$10,2,FALSE)=0,"Spatial Data Missing ⚠",VLOOKUP(O48,'G-3 Multipliers'!$S$3:$T$10,2,FALSE)))</f>
        <v/>
      </c>
      <c r="Q48" s="376" t="str">
        <f t="shared" si="3"/>
        <v/>
      </c>
      <c r="R48" s="32"/>
      <c r="S48" s="114"/>
      <c r="T48" s="125"/>
      <c r="U48" s="370" t="str">
        <f t="shared" si="4"/>
        <v/>
      </c>
      <c r="V48" s="370" t="str">
        <f t="shared" si="5"/>
        <v/>
      </c>
      <c r="W48" s="374" t="str">
        <f t="shared" si="6"/>
        <v/>
      </c>
      <c r="X48" s="378" t="str">
        <f t="shared" si="7"/>
        <v/>
      </c>
      <c r="Y48" s="119"/>
      <c r="Z48" s="120"/>
      <c r="AA48" s="120"/>
      <c r="AB48" s="120"/>
      <c r="AE48" s="30" t="str">
        <f>IFERROR(INDEX('G-6 Hedgerow Data'!$BJ$3:$BJ$15,MATCH(D48,'G-6 Hedgerow Data'!$B$3:$B$15,0)),"")</f>
        <v/>
      </c>
      <c r="AH48" s="124" t="str">
        <f t="shared" si="0"/>
        <v/>
      </c>
      <c r="AI48" s="124" t="str">
        <f t="shared" si="1"/>
        <v/>
      </c>
      <c r="AK48" s="124">
        <v>39</v>
      </c>
      <c r="AM48" s="124" t="str">
        <f t="array" ref="AM48">IFERROR(INDEX($AK$10:$AK$258, MATCH(0, IF(TRUE=$AH$10:$AH$258, COUNTIF($AM$9:$AM47, $AK$10:$AK$258), ""), 0)),"")</f>
        <v/>
      </c>
      <c r="AN48" s="124" t="str">
        <f t="array" ref="AN48">IFERROR(INDEX($AK$10:$AK$258, MATCH(0, IF(TRUE=$AI$10:$AI$258, COUNTIF($AN$9:$AN47, $AK$10:$AK$258), ""), 0)),"")</f>
        <v/>
      </c>
      <c r="AY48" s="370" t="str">
        <f t="shared" si="8"/>
        <v/>
      </c>
    </row>
    <row r="49" spans="2:51" ht="15">
      <c r="B49" s="110">
        <v>40</v>
      </c>
      <c r="C49" s="165"/>
      <c r="D49" s="165"/>
      <c r="E49" s="121"/>
      <c r="F49" s="362" t="str">
        <f>IF(D49="","",VLOOKUP(D49,'G-6 Hedgerow Data'!$B$2:$AG$15,2,FALSE))</f>
        <v/>
      </c>
      <c r="G49" s="363" t="str">
        <f>IF(D49="","",VLOOKUP(D49,'G-6 Hedgerow Data'!$B$2:$AG$15,3,FALSE))</f>
        <v/>
      </c>
      <c r="H49" s="114"/>
      <c r="I49" s="363" t="str">
        <f>IFERROR(IF(AND(F49="V.Low",OR(H49="Good",H49="Moderate")),"Error ▲",VLOOKUP(H49,'G-1 All Habitats'!$Z$2:$AA$9,2,FALSE)),"")</f>
        <v/>
      </c>
      <c r="J49" s="122"/>
      <c r="K49" s="382" t="str">
        <f>IF(J49="","",IF(VLOOKUP(J49,'G-3 Multipliers'!$L$3:$N$6,2,FALSE)=0,"Spatial Data Missing ⚠",VLOOKUP(J49,'G-3 Multipliers'!$L$3:$N$6,2,FALSE)))</f>
        <v/>
      </c>
      <c r="L49" s="386" t="str">
        <f>IF(J49="","",IF(VLOOKUP(J49,'G-3 Multipliers'!$L$3:$N$6,3,FALSE)=0,"Spatial Data Missing ⚠",VLOOKUP(J49,'G-3 Multipliers'!$L$3:$N$6,3,FALSE)))</f>
        <v/>
      </c>
      <c r="M49" s="425" t="str">
        <f>IF(D49="","",VLOOKUP(D49,'G-6 Hedgerow Data'!$B$1:$AH$15,33,FALSE))</f>
        <v/>
      </c>
      <c r="N49" s="376" t="str">
        <f t="shared" si="2"/>
        <v/>
      </c>
      <c r="O49" s="516"/>
      <c r="P49" s="368" t="str">
        <f>IF(O49="","",IF(VLOOKUP(O49,'G-3 Multipliers'!$S$3:$T$10,2,FALSE)=0,"Spatial Data Missing ⚠",VLOOKUP(O49,'G-3 Multipliers'!$S$3:$T$10,2,FALSE)))</f>
        <v/>
      </c>
      <c r="Q49" s="376" t="str">
        <f t="shared" si="3"/>
        <v/>
      </c>
      <c r="R49" s="32"/>
      <c r="S49" s="114"/>
      <c r="T49" s="125"/>
      <c r="U49" s="370" t="str">
        <f t="shared" si="4"/>
        <v/>
      </c>
      <c r="V49" s="370" t="str">
        <f t="shared" si="5"/>
        <v/>
      </c>
      <c r="W49" s="374" t="str">
        <f t="shared" si="6"/>
        <v/>
      </c>
      <c r="X49" s="378" t="str">
        <f t="shared" si="7"/>
        <v/>
      </c>
      <c r="Y49" s="119"/>
      <c r="Z49" s="120"/>
      <c r="AA49" s="120"/>
      <c r="AB49" s="120"/>
      <c r="AE49" s="30" t="str">
        <f>IFERROR(INDEX('G-6 Hedgerow Data'!$BJ$3:$BJ$15,MATCH(D49,'G-6 Hedgerow Data'!$B$3:$B$15,0)),"")</f>
        <v/>
      </c>
      <c r="AH49" s="124" t="str">
        <f t="shared" si="0"/>
        <v/>
      </c>
      <c r="AI49" s="124" t="str">
        <f t="shared" si="1"/>
        <v/>
      </c>
      <c r="AK49" s="124">
        <v>40</v>
      </c>
      <c r="AM49" s="124" t="str">
        <f t="array" ref="AM49">IFERROR(INDEX($AK$10:$AK$258, MATCH(0, IF(TRUE=$AH$10:$AH$258, COUNTIF($AM$9:$AM48, $AK$10:$AK$258), ""), 0)),"")</f>
        <v/>
      </c>
      <c r="AN49" s="124" t="str">
        <f t="array" ref="AN49">IFERROR(INDEX($AK$10:$AK$258, MATCH(0, IF(TRUE=$AI$10:$AI$258, COUNTIF($AN$9:$AN48, $AK$10:$AK$258), ""), 0)),"")</f>
        <v/>
      </c>
      <c r="AY49" s="370" t="str">
        <f t="shared" si="8"/>
        <v/>
      </c>
    </row>
    <row r="50" spans="2:51" ht="15">
      <c r="B50" s="110">
        <v>41</v>
      </c>
      <c r="C50" s="165"/>
      <c r="D50" s="165"/>
      <c r="E50" s="121"/>
      <c r="F50" s="362" t="str">
        <f>IF(D50="","",VLOOKUP(D50,'G-6 Hedgerow Data'!$B$2:$AG$15,2,FALSE))</f>
        <v/>
      </c>
      <c r="G50" s="363" t="str">
        <f>IF(D50="","",VLOOKUP(D50,'G-6 Hedgerow Data'!$B$2:$AG$15,3,FALSE))</f>
        <v/>
      </c>
      <c r="H50" s="114"/>
      <c r="I50" s="363" t="str">
        <f>IFERROR(IF(AND(F50="V.Low",OR(H50="Good",H50="Moderate")),"Error ▲",VLOOKUP(H50,'G-1 All Habitats'!$Z$2:$AA$9,2,FALSE)),"")</f>
        <v/>
      </c>
      <c r="J50" s="122"/>
      <c r="K50" s="382" t="str">
        <f>IF(J50="","",IF(VLOOKUP(J50,'G-3 Multipliers'!$L$3:$N$6,2,FALSE)=0,"Spatial Data Missing ⚠",VLOOKUP(J50,'G-3 Multipliers'!$L$3:$N$6,2,FALSE)))</f>
        <v/>
      </c>
      <c r="L50" s="386" t="str">
        <f>IF(J50="","",IF(VLOOKUP(J50,'G-3 Multipliers'!$L$3:$N$6,3,FALSE)=0,"Spatial Data Missing ⚠",VLOOKUP(J50,'G-3 Multipliers'!$L$3:$N$6,3,FALSE)))</f>
        <v/>
      </c>
      <c r="M50" s="425" t="str">
        <f>IF(D50="","",VLOOKUP(D50,'G-6 Hedgerow Data'!$B$1:$AH$15,33,FALSE))</f>
        <v/>
      </c>
      <c r="N50" s="376" t="str">
        <f t="shared" si="2"/>
        <v/>
      </c>
      <c r="O50" s="516"/>
      <c r="P50" s="368" t="str">
        <f>IF(O50="","",IF(VLOOKUP(O50,'G-3 Multipliers'!$S$3:$T$10,2,FALSE)=0,"Spatial Data Missing ⚠",VLOOKUP(O50,'G-3 Multipliers'!$S$3:$T$10,2,FALSE)))</f>
        <v/>
      </c>
      <c r="Q50" s="376" t="str">
        <f t="shared" si="3"/>
        <v/>
      </c>
      <c r="R50" s="32"/>
      <c r="S50" s="114"/>
      <c r="T50" s="125"/>
      <c r="U50" s="370" t="str">
        <f t="shared" si="4"/>
        <v/>
      </c>
      <c r="V50" s="370" t="str">
        <f t="shared" si="5"/>
        <v/>
      </c>
      <c r="W50" s="374" t="str">
        <f t="shared" si="6"/>
        <v/>
      </c>
      <c r="X50" s="378" t="str">
        <f t="shared" si="7"/>
        <v/>
      </c>
      <c r="Y50" s="119"/>
      <c r="Z50" s="120"/>
      <c r="AA50" s="120"/>
      <c r="AB50" s="120"/>
      <c r="AE50" s="30" t="str">
        <f>IFERROR(INDEX('G-6 Hedgerow Data'!$BJ$3:$BJ$15,MATCH(D50,'G-6 Hedgerow Data'!$B$3:$B$15,0)),"")</f>
        <v/>
      </c>
      <c r="AH50" s="124" t="str">
        <f t="shared" si="0"/>
        <v/>
      </c>
      <c r="AI50" s="124" t="str">
        <f t="shared" si="1"/>
        <v/>
      </c>
      <c r="AK50" s="124">
        <v>41</v>
      </c>
      <c r="AM50" s="124" t="str">
        <f t="array" ref="AM50">IFERROR(INDEX($AK$10:$AK$258, MATCH(0, IF(TRUE=$AH$10:$AH$258, COUNTIF($AM$9:$AM49, $AK$10:$AK$258), ""), 0)),"")</f>
        <v/>
      </c>
      <c r="AN50" s="124" t="str">
        <f t="array" ref="AN50">IFERROR(INDEX($AK$10:$AK$258, MATCH(0, IF(TRUE=$AI$10:$AI$258, COUNTIF($AN$9:$AN49, $AK$10:$AK$258), ""), 0)),"")</f>
        <v/>
      </c>
      <c r="AY50" s="370" t="str">
        <f t="shared" si="8"/>
        <v/>
      </c>
    </row>
    <row r="51" spans="2:51" ht="15">
      <c r="B51" s="110">
        <v>42</v>
      </c>
      <c r="C51" s="165"/>
      <c r="D51" s="165"/>
      <c r="E51" s="121"/>
      <c r="F51" s="362" t="str">
        <f>IF(D51="","",VLOOKUP(D51,'G-6 Hedgerow Data'!$B$2:$AG$15,2,FALSE))</f>
        <v/>
      </c>
      <c r="G51" s="363" t="str">
        <f>IF(D51="","",VLOOKUP(D51,'G-6 Hedgerow Data'!$B$2:$AG$15,3,FALSE))</f>
        <v/>
      </c>
      <c r="H51" s="114"/>
      <c r="I51" s="363" t="str">
        <f>IFERROR(IF(AND(F51="V.Low",OR(H51="Good",H51="Moderate")),"Error ▲",VLOOKUP(H51,'G-1 All Habitats'!$Z$2:$AA$9,2,FALSE)),"")</f>
        <v/>
      </c>
      <c r="J51" s="122"/>
      <c r="K51" s="382" t="str">
        <f>IF(J51="","",IF(VLOOKUP(J51,'G-3 Multipliers'!$L$3:$N$6,2,FALSE)=0,"Spatial Data Missing ⚠",VLOOKUP(J51,'G-3 Multipliers'!$L$3:$N$6,2,FALSE)))</f>
        <v/>
      </c>
      <c r="L51" s="386" t="str">
        <f>IF(J51="","",IF(VLOOKUP(J51,'G-3 Multipliers'!$L$3:$N$6,3,FALSE)=0,"Spatial Data Missing ⚠",VLOOKUP(J51,'G-3 Multipliers'!$L$3:$N$6,3,FALSE)))</f>
        <v/>
      </c>
      <c r="M51" s="425" t="str">
        <f>IF(D51="","",VLOOKUP(D51,'G-6 Hedgerow Data'!$B$1:$AH$15,33,FALSE))</f>
        <v/>
      </c>
      <c r="N51" s="376" t="str">
        <f t="shared" si="2"/>
        <v/>
      </c>
      <c r="O51" s="516"/>
      <c r="P51" s="368" t="str">
        <f>IF(O51="","",IF(VLOOKUP(O51,'G-3 Multipliers'!$S$3:$T$10,2,FALSE)=0,"Spatial Data Missing ⚠",VLOOKUP(O51,'G-3 Multipliers'!$S$3:$T$10,2,FALSE)))</f>
        <v/>
      </c>
      <c r="Q51" s="376" t="str">
        <f t="shared" si="3"/>
        <v/>
      </c>
      <c r="R51" s="32"/>
      <c r="S51" s="114"/>
      <c r="T51" s="125"/>
      <c r="U51" s="370" t="str">
        <f t="shared" si="4"/>
        <v/>
      </c>
      <c r="V51" s="370" t="str">
        <f t="shared" si="5"/>
        <v/>
      </c>
      <c r="W51" s="374" t="str">
        <f t="shared" si="6"/>
        <v/>
      </c>
      <c r="X51" s="378" t="str">
        <f t="shared" si="7"/>
        <v/>
      </c>
      <c r="Y51" s="119"/>
      <c r="Z51" s="120"/>
      <c r="AA51" s="120"/>
      <c r="AB51" s="120"/>
      <c r="AE51" s="30" t="str">
        <f>IFERROR(INDEX('G-6 Hedgerow Data'!$BJ$3:$BJ$15,MATCH(D51,'G-6 Hedgerow Data'!$B$3:$B$15,0)),"")</f>
        <v/>
      </c>
      <c r="AH51" s="124" t="str">
        <f t="shared" si="0"/>
        <v/>
      </c>
      <c r="AI51" s="124" t="str">
        <f t="shared" si="1"/>
        <v/>
      </c>
      <c r="AK51" s="124">
        <v>42</v>
      </c>
      <c r="AM51" s="124" t="str">
        <f t="array" ref="AM51">IFERROR(INDEX($AK$10:$AK$258, MATCH(0, IF(TRUE=$AH$10:$AH$258, COUNTIF($AM$9:$AM50, $AK$10:$AK$258), ""), 0)),"")</f>
        <v/>
      </c>
      <c r="AN51" s="124" t="str">
        <f t="array" ref="AN51">IFERROR(INDEX($AK$10:$AK$258, MATCH(0, IF(TRUE=$AI$10:$AI$258, COUNTIF($AN$9:$AN50, $AK$10:$AK$258), ""), 0)),"")</f>
        <v/>
      </c>
      <c r="AY51" s="370" t="str">
        <f t="shared" si="8"/>
        <v/>
      </c>
    </row>
    <row r="52" spans="2:51" ht="15">
      <c r="B52" s="110">
        <v>43</v>
      </c>
      <c r="C52" s="165"/>
      <c r="D52" s="165"/>
      <c r="E52" s="121"/>
      <c r="F52" s="362" t="str">
        <f>IF(D52="","",VLOOKUP(D52,'G-6 Hedgerow Data'!$B$2:$AG$15,2,FALSE))</f>
        <v/>
      </c>
      <c r="G52" s="363" t="str">
        <f>IF(D52="","",VLOOKUP(D52,'G-6 Hedgerow Data'!$B$2:$AG$15,3,FALSE))</f>
        <v/>
      </c>
      <c r="H52" s="114"/>
      <c r="I52" s="363" t="str">
        <f>IFERROR(IF(AND(F52="V.Low",OR(H52="Good",H52="Moderate")),"Error ▲",VLOOKUP(H52,'G-1 All Habitats'!$Z$2:$AA$9,2,FALSE)),"")</f>
        <v/>
      </c>
      <c r="J52" s="122"/>
      <c r="K52" s="382" t="str">
        <f>IF(J52="","",IF(VLOOKUP(J52,'G-3 Multipliers'!$L$3:$N$6,2,FALSE)=0,"Spatial Data Missing ⚠",VLOOKUP(J52,'G-3 Multipliers'!$L$3:$N$6,2,FALSE)))</f>
        <v/>
      </c>
      <c r="L52" s="386" t="str">
        <f>IF(J52="","",IF(VLOOKUP(J52,'G-3 Multipliers'!$L$3:$N$6,3,FALSE)=0,"Spatial Data Missing ⚠",VLOOKUP(J52,'G-3 Multipliers'!$L$3:$N$6,3,FALSE)))</f>
        <v/>
      </c>
      <c r="M52" s="425" t="str">
        <f>IF(D52="","",VLOOKUP(D52,'G-6 Hedgerow Data'!$B$1:$AH$15,33,FALSE))</f>
        <v/>
      </c>
      <c r="N52" s="376" t="str">
        <f t="shared" si="2"/>
        <v/>
      </c>
      <c r="O52" s="516"/>
      <c r="P52" s="368" t="str">
        <f>IF(O52="","",IF(VLOOKUP(O52,'G-3 Multipliers'!$S$3:$T$10,2,FALSE)=0,"Spatial Data Missing ⚠",VLOOKUP(O52,'G-3 Multipliers'!$S$3:$T$10,2,FALSE)))</f>
        <v/>
      </c>
      <c r="Q52" s="376" t="str">
        <f t="shared" si="3"/>
        <v/>
      </c>
      <c r="R52" s="32"/>
      <c r="S52" s="114"/>
      <c r="T52" s="125"/>
      <c r="U52" s="370" t="str">
        <f t="shared" si="4"/>
        <v/>
      </c>
      <c r="V52" s="370" t="str">
        <f t="shared" si="5"/>
        <v/>
      </c>
      <c r="W52" s="374" t="str">
        <f t="shared" si="6"/>
        <v/>
      </c>
      <c r="X52" s="378" t="str">
        <f t="shared" si="7"/>
        <v/>
      </c>
      <c r="Y52" s="119"/>
      <c r="Z52" s="120"/>
      <c r="AA52" s="120"/>
      <c r="AB52" s="120"/>
      <c r="AE52" s="30" t="str">
        <f>IFERROR(INDEX('G-6 Hedgerow Data'!$BJ$3:$BJ$15,MATCH(D52,'G-6 Hedgerow Data'!$B$3:$B$15,0)),"")</f>
        <v/>
      </c>
      <c r="AH52" s="124" t="str">
        <f t="shared" si="0"/>
        <v/>
      </c>
      <c r="AI52" s="124" t="str">
        <f t="shared" si="1"/>
        <v/>
      </c>
      <c r="AK52" s="124">
        <v>43</v>
      </c>
      <c r="AM52" s="124" t="str">
        <f t="array" ref="AM52">IFERROR(INDEX($AK$10:$AK$258, MATCH(0, IF(TRUE=$AH$10:$AH$258, COUNTIF($AM$9:$AM51, $AK$10:$AK$258), ""), 0)),"")</f>
        <v/>
      </c>
      <c r="AN52" s="124" t="str">
        <f t="array" ref="AN52">IFERROR(INDEX($AK$10:$AK$258, MATCH(0, IF(TRUE=$AI$10:$AI$258, COUNTIF($AN$9:$AN51, $AK$10:$AK$258), ""), 0)),"")</f>
        <v/>
      </c>
      <c r="AY52" s="370" t="str">
        <f t="shared" si="8"/>
        <v/>
      </c>
    </row>
    <row r="53" spans="2:51" ht="15">
      <c r="B53" s="110">
        <v>44</v>
      </c>
      <c r="C53" s="165"/>
      <c r="D53" s="165"/>
      <c r="E53" s="121"/>
      <c r="F53" s="362" t="str">
        <f>IF(D53="","",VLOOKUP(D53,'G-6 Hedgerow Data'!$B$2:$AG$15,2,FALSE))</f>
        <v/>
      </c>
      <c r="G53" s="363" t="str">
        <f>IF(D53="","",VLOOKUP(D53,'G-6 Hedgerow Data'!$B$2:$AG$15,3,FALSE))</f>
        <v/>
      </c>
      <c r="H53" s="114"/>
      <c r="I53" s="363" t="str">
        <f>IFERROR(IF(AND(F53="V.Low",OR(H53="Good",H53="Moderate")),"Error ▲",VLOOKUP(H53,'G-1 All Habitats'!$Z$2:$AA$9,2,FALSE)),"")</f>
        <v/>
      </c>
      <c r="J53" s="122"/>
      <c r="K53" s="382" t="str">
        <f>IF(J53="","",IF(VLOOKUP(J53,'G-3 Multipliers'!$L$3:$N$6,2,FALSE)=0,"Spatial Data Missing ⚠",VLOOKUP(J53,'G-3 Multipliers'!$L$3:$N$6,2,FALSE)))</f>
        <v/>
      </c>
      <c r="L53" s="386" t="str">
        <f>IF(J53="","",IF(VLOOKUP(J53,'G-3 Multipliers'!$L$3:$N$6,3,FALSE)=0,"Spatial Data Missing ⚠",VLOOKUP(J53,'G-3 Multipliers'!$L$3:$N$6,3,FALSE)))</f>
        <v/>
      </c>
      <c r="M53" s="425" t="str">
        <f>IF(D53="","",VLOOKUP(D53,'G-6 Hedgerow Data'!$B$1:$AH$15,33,FALSE))</f>
        <v/>
      </c>
      <c r="N53" s="376" t="str">
        <f t="shared" si="2"/>
        <v/>
      </c>
      <c r="O53" s="516"/>
      <c r="P53" s="368" t="str">
        <f>IF(O53="","",IF(VLOOKUP(O53,'G-3 Multipliers'!$S$3:$T$10,2,FALSE)=0,"Spatial Data Missing ⚠",VLOOKUP(O53,'G-3 Multipliers'!$S$3:$T$10,2,FALSE)))</f>
        <v/>
      </c>
      <c r="Q53" s="376" t="str">
        <f t="shared" si="3"/>
        <v/>
      </c>
      <c r="R53" s="32"/>
      <c r="S53" s="114"/>
      <c r="T53" s="125"/>
      <c r="U53" s="370" t="str">
        <f t="shared" si="4"/>
        <v/>
      </c>
      <c r="V53" s="370" t="str">
        <f t="shared" si="5"/>
        <v/>
      </c>
      <c r="W53" s="374" t="str">
        <f t="shared" si="6"/>
        <v/>
      </c>
      <c r="X53" s="378" t="str">
        <f t="shared" si="7"/>
        <v/>
      </c>
      <c r="Y53" s="119"/>
      <c r="Z53" s="120"/>
      <c r="AA53" s="120"/>
      <c r="AB53" s="120"/>
      <c r="AE53" s="30" t="str">
        <f>IFERROR(INDEX('G-6 Hedgerow Data'!$BJ$3:$BJ$15,MATCH(D53,'G-6 Hedgerow Data'!$B$3:$B$15,0)),"")</f>
        <v/>
      </c>
      <c r="AH53" s="124" t="str">
        <f t="shared" si="0"/>
        <v/>
      </c>
      <c r="AI53" s="124" t="str">
        <f t="shared" si="1"/>
        <v/>
      </c>
      <c r="AK53" s="124">
        <v>44</v>
      </c>
      <c r="AM53" s="124" t="str">
        <f t="array" ref="AM53">IFERROR(INDEX($AK$10:$AK$258, MATCH(0, IF(TRUE=$AH$10:$AH$258, COUNTIF($AM$9:$AM52, $AK$10:$AK$258), ""), 0)),"")</f>
        <v/>
      </c>
      <c r="AN53" s="124" t="str">
        <f t="array" ref="AN53">IFERROR(INDEX($AK$10:$AK$258, MATCH(0, IF(TRUE=$AI$10:$AI$258, COUNTIF($AN$9:$AN52, $AK$10:$AK$258), ""), 0)),"")</f>
        <v/>
      </c>
      <c r="AY53" s="370" t="str">
        <f t="shared" si="8"/>
        <v/>
      </c>
    </row>
    <row r="54" spans="2:51" ht="15">
      <c r="B54" s="110">
        <v>45</v>
      </c>
      <c r="C54" s="165"/>
      <c r="D54" s="165"/>
      <c r="E54" s="121"/>
      <c r="F54" s="362" t="str">
        <f>IF(D54="","",VLOOKUP(D54,'G-6 Hedgerow Data'!$B$2:$AG$15,2,FALSE))</f>
        <v/>
      </c>
      <c r="G54" s="363" t="str">
        <f>IF(D54="","",VLOOKUP(D54,'G-6 Hedgerow Data'!$B$2:$AG$15,3,FALSE))</f>
        <v/>
      </c>
      <c r="H54" s="114"/>
      <c r="I54" s="363" t="str">
        <f>IFERROR(IF(AND(F54="V.Low",OR(H54="Good",H54="Moderate")),"Error ▲",VLOOKUP(H54,'G-1 All Habitats'!$Z$2:$AA$9,2,FALSE)),"")</f>
        <v/>
      </c>
      <c r="J54" s="122"/>
      <c r="K54" s="382" t="str">
        <f>IF(J54="","",IF(VLOOKUP(J54,'G-3 Multipliers'!$L$3:$N$6,2,FALSE)=0,"Spatial Data Missing ⚠",VLOOKUP(J54,'G-3 Multipliers'!$L$3:$N$6,2,FALSE)))</f>
        <v/>
      </c>
      <c r="L54" s="386" t="str">
        <f>IF(J54="","",IF(VLOOKUP(J54,'G-3 Multipliers'!$L$3:$N$6,3,FALSE)=0,"Spatial Data Missing ⚠",VLOOKUP(J54,'G-3 Multipliers'!$L$3:$N$6,3,FALSE)))</f>
        <v/>
      </c>
      <c r="M54" s="425" t="str">
        <f>IF(D54="","",VLOOKUP(D54,'G-6 Hedgerow Data'!$B$1:$AH$15,33,FALSE))</f>
        <v/>
      </c>
      <c r="N54" s="376" t="str">
        <f t="shared" si="2"/>
        <v/>
      </c>
      <c r="O54" s="516"/>
      <c r="P54" s="368" t="str">
        <f>IF(O54="","",IF(VLOOKUP(O54,'G-3 Multipliers'!$S$3:$T$10,2,FALSE)=0,"Spatial Data Missing ⚠",VLOOKUP(O54,'G-3 Multipliers'!$S$3:$T$10,2,FALSE)))</f>
        <v/>
      </c>
      <c r="Q54" s="376" t="str">
        <f t="shared" si="3"/>
        <v/>
      </c>
      <c r="R54" s="32"/>
      <c r="S54" s="114"/>
      <c r="T54" s="125"/>
      <c r="U54" s="370" t="str">
        <f t="shared" si="4"/>
        <v/>
      </c>
      <c r="V54" s="370" t="str">
        <f t="shared" si="5"/>
        <v/>
      </c>
      <c r="W54" s="374" t="str">
        <f t="shared" si="6"/>
        <v/>
      </c>
      <c r="X54" s="378" t="str">
        <f t="shared" si="7"/>
        <v/>
      </c>
      <c r="Y54" s="119"/>
      <c r="Z54" s="120"/>
      <c r="AA54" s="120"/>
      <c r="AB54" s="120"/>
      <c r="AE54" s="30" t="str">
        <f>IFERROR(INDEX('G-6 Hedgerow Data'!$BJ$3:$BJ$15,MATCH(D54,'G-6 Hedgerow Data'!$B$3:$B$15,0)),"")</f>
        <v/>
      </c>
      <c r="AH54" s="124" t="str">
        <f t="shared" si="0"/>
        <v/>
      </c>
      <c r="AI54" s="124" t="str">
        <f t="shared" si="1"/>
        <v/>
      </c>
      <c r="AK54" s="124">
        <v>45</v>
      </c>
      <c r="AM54" s="124" t="str">
        <f t="array" ref="AM54">IFERROR(INDEX($AK$10:$AK$258, MATCH(0, IF(TRUE=$AH$10:$AH$258, COUNTIF($AM$9:$AM53, $AK$10:$AK$258), ""), 0)),"")</f>
        <v/>
      </c>
      <c r="AN54" s="124" t="str">
        <f t="array" ref="AN54">IFERROR(INDEX($AK$10:$AK$258, MATCH(0, IF(TRUE=$AI$10:$AI$258, COUNTIF($AN$9:$AN53, $AK$10:$AK$258), ""), 0)),"")</f>
        <v/>
      </c>
      <c r="AY54" s="370" t="str">
        <f t="shared" si="8"/>
        <v/>
      </c>
    </row>
    <row r="55" spans="2:51" ht="15">
      <c r="B55" s="110">
        <v>46</v>
      </c>
      <c r="C55" s="165"/>
      <c r="D55" s="165"/>
      <c r="E55" s="121"/>
      <c r="F55" s="362" t="str">
        <f>IF(D55="","",VLOOKUP(D55,'G-6 Hedgerow Data'!$B$2:$AG$15,2,FALSE))</f>
        <v/>
      </c>
      <c r="G55" s="363" t="str">
        <f>IF(D55="","",VLOOKUP(D55,'G-6 Hedgerow Data'!$B$2:$AG$15,3,FALSE))</f>
        <v/>
      </c>
      <c r="H55" s="114"/>
      <c r="I55" s="363" t="str">
        <f>IFERROR(IF(AND(F55="V.Low",OR(H55="Good",H55="Moderate")),"Error ▲",VLOOKUP(H55,'G-1 All Habitats'!$Z$2:$AA$9,2,FALSE)),"")</f>
        <v/>
      </c>
      <c r="J55" s="122"/>
      <c r="K55" s="382" t="str">
        <f>IF(J55="","",IF(VLOOKUP(J55,'G-3 Multipliers'!$L$3:$N$6,2,FALSE)=0,"Spatial Data Missing ⚠",VLOOKUP(J55,'G-3 Multipliers'!$L$3:$N$6,2,FALSE)))</f>
        <v/>
      </c>
      <c r="L55" s="386" t="str">
        <f>IF(J55="","",IF(VLOOKUP(J55,'G-3 Multipliers'!$L$3:$N$6,3,FALSE)=0,"Spatial Data Missing ⚠",VLOOKUP(J55,'G-3 Multipliers'!$L$3:$N$6,3,FALSE)))</f>
        <v/>
      </c>
      <c r="M55" s="425" t="str">
        <f>IF(D55="","",VLOOKUP(D55,'G-6 Hedgerow Data'!$B$1:$AH$15,33,FALSE))</f>
        <v/>
      </c>
      <c r="N55" s="376" t="str">
        <f t="shared" si="2"/>
        <v/>
      </c>
      <c r="O55" s="516"/>
      <c r="P55" s="368" t="str">
        <f>IF(O55="","",IF(VLOOKUP(O55,'G-3 Multipliers'!$S$3:$T$10,2,FALSE)=0,"Spatial Data Missing ⚠",VLOOKUP(O55,'G-3 Multipliers'!$S$3:$T$10,2,FALSE)))</f>
        <v/>
      </c>
      <c r="Q55" s="376" t="str">
        <f t="shared" si="3"/>
        <v/>
      </c>
      <c r="R55" s="32"/>
      <c r="S55" s="114"/>
      <c r="T55" s="125"/>
      <c r="U55" s="370" t="str">
        <f t="shared" si="4"/>
        <v/>
      </c>
      <c r="V55" s="370" t="str">
        <f t="shared" si="5"/>
        <v/>
      </c>
      <c r="W55" s="374" t="str">
        <f t="shared" si="6"/>
        <v/>
      </c>
      <c r="X55" s="378" t="str">
        <f t="shared" si="7"/>
        <v/>
      </c>
      <c r="Y55" s="119"/>
      <c r="Z55" s="120"/>
      <c r="AA55" s="120"/>
      <c r="AB55" s="120"/>
      <c r="AE55" s="30" t="str">
        <f>IFERROR(INDEX('G-6 Hedgerow Data'!$BJ$3:$BJ$15,MATCH(D55,'G-6 Hedgerow Data'!$B$3:$B$15,0)),"")</f>
        <v/>
      </c>
      <c r="AH55" s="124" t="str">
        <f t="shared" si="0"/>
        <v/>
      </c>
      <c r="AI55" s="124" t="str">
        <f t="shared" si="1"/>
        <v/>
      </c>
      <c r="AK55" s="124">
        <v>46</v>
      </c>
      <c r="AM55" s="124" t="str">
        <f t="array" ref="AM55">IFERROR(INDEX($AK$10:$AK$258, MATCH(0, IF(TRUE=$AH$10:$AH$258, COUNTIF($AM$9:$AM54, $AK$10:$AK$258), ""), 0)),"")</f>
        <v/>
      </c>
      <c r="AN55" s="124" t="str">
        <f t="array" ref="AN55">IFERROR(INDEX($AK$10:$AK$258, MATCH(0, IF(TRUE=$AI$10:$AI$258, COUNTIF($AN$9:$AN54, $AK$10:$AK$258), ""), 0)),"")</f>
        <v/>
      </c>
      <c r="AY55" s="370" t="str">
        <f t="shared" si="8"/>
        <v/>
      </c>
    </row>
    <row r="56" spans="2:51" ht="15">
      <c r="B56" s="110">
        <v>47</v>
      </c>
      <c r="C56" s="165"/>
      <c r="D56" s="165"/>
      <c r="E56" s="121"/>
      <c r="F56" s="362" t="str">
        <f>IF(D56="","",VLOOKUP(D56,'G-6 Hedgerow Data'!$B$2:$AG$15,2,FALSE))</f>
        <v/>
      </c>
      <c r="G56" s="363" t="str">
        <f>IF(D56="","",VLOOKUP(D56,'G-6 Hedgerow Data'!$B$2:$AG$15,3,FALSE))</f>
        <v/>
      </c>
      <c r="H56" s="114"/>
      <c r="I56" s="363" t="str">
        <f>IFERROR(IF(AND(F56="V.Low",OR(H56="Good",H56="Moderate")),"Error ▲",VLOOKUP(H56,'G-1 All Habitats'!$Z$2:$AA$9,2,FALSE)),"")</f>
        <v/>
      </c>
      <c r="J56" s="122"/>
      <c r="K56" s="382" t="str">
        <f>IF(J56="","",IF(VLOOKUP(J56,'G-3 Multipliers'!$L$3:$N$6,2,FALSE)=0,"Spatial Data Missing ⚠",VLOOKUP(J56,'G-3 Multipliers'!$L$3:$N$6,2,FALSE)))</f>
        <v/>
      </c>
      <c r="L56" s="386" t="str">
        <f>IF(J56="","",IF(VLOOKUP(J56,'G-3 Multipliers'!$L$3:$N$6,3,FALSE)=0,"Spatial Data Missing ⚠",VLOOKUP(J56,'G-3 Multipliers'!$L$3:$N$6,3,FALSE)))</f>
        <v/>
      </c>
      <c r="M56" s="425" t="str">
        <f>IF(D56="","",VLOOKUP(D56,'G-6 Hedgerow Data'!$B$1:$AH$15,33,FALSE))</f>
        <v/>
      </c>
      <c r="N56" s="376" t="str">
        <f t="shared" si="2"/>
        <v/>
      </c>
      <c r="O56" s="516"/>
      <c r="P56" s="368" t="str">
        <f>IF(O56="","",IF(VLOOKUP(O56,'G-3 Multipliers'!$S$3:$T$10,2,FALSE)=0,"Spatial Data Missing ⚠",VLOOKUP(O56,'G-3 Multipliers'!$S$3:$T$10,2,FALSE)))</f>
        <v/>
      </c>
      <c r="Q56" s="376" t="str">
        <f t="shared" si="3"/>
        <v/>
      </c>
      <c r="R56" s="32"/>
      <c r="S56" s="114"/>
      <c r="T56" s="125"/>
      <c r="U56" s="370" t="str">
        <f t="shared" si="4"/>
        <v/>
      </c>
      <c r="V56" s="370" t="str">
        <f t="shared" si="5"/>
        <v/>
      </c>
      <c r="W56" s="374" t="str">
        <f t="shared" si="6"/>
        <v/>
      </c>
      <c r="X56" s="378" t="str">
        <f t="shared" si="7"/>
        <v/>
      </c>
      <c r="Y56" s="119"/>
      <c r="Z56" s="120"/>
      <c r="AA56" s="120"/>
      <c r="AB56" s="120"/>
      <c r="AE56" s="30" t="str">
        <f>IFERROR(INDEX('G-6 Hedgerow Data'!$BJ$3:$BJ$15,MATCH(D56,'G-6 Hedgerow Data'!$B$3:$B$15,0)),"")</f>
        <v/>
      </c>
      <c r="AH56" s="124" t="str">
        <f t="shared" si="0"/>
        <v/>
      </c>
      <c r="AI56" s="124" t="str">
        <f t="shared" si="1"/>
        <v/>
      </c>
      <c r="AK56" s="124">
        <v>47</v>
      </c>
      <c r="AM56" s="124" t="str">
        <f t="array" ref="AM56">IFERROR(INDEX($AK$10:$AK$258, MATCH(0, IF(TRUE=$AH$10:$AH$258, COUNTIF($AM$9:$AM55, $AK$10:$AK$258), ""), 0)),"")</f>
        <v/>
      </c>
      <c r="AN56" s="124" t="str">
        <f t="array" ref="AN56">IFERROR(INDEX($AK$10:$AK$258, MATCH(0, IF(TRUE=$AI$10:$AI$258, COUNTIF($AN$9:$AN55, $AK$10:$AK$258), ""), 0)),"")</f>
        <v/>
      </c>
      <c r="AY56" s="370" t="str">
        <f t="shared" si="8"/>
        <v/>
      </c>
    </row>
    <row r="57" spans="2:51" ht="15">
      <c r="B57" s="110">
        <v>48</v>
      </c>
      <c r="C57" s="165"/>
      <c r="D57" s="165"/>
      <c r="E57" s="121"/>
      <c r="F57" s="362" t="str">
        <f>IF(D57="","",VLOOKUP(D57,'G-6 Hedgerow Data'!$B$2:$AG$15,2,FALSE))</f>
        <v/>
      </c>
      <c r="G57" s="363" t="str">
        <f>IF(D57="","",VLOOKUP(D57,'G-6 Hedgerow Data'!$B$2:$AG$15,3,FALSE))</f>
        <v/>
      </c>
      <c r="H57" s="114"/>
      <c r="I57" s="363" t="str">
        <f>IFERROR(IF(AND(F57="V.Low",OR(H57="Good",H57="Moderate")),"Error ▲",VLOOKUP(H57,'G-1 All Habitats'!$Z$2:$AA$9,2,FALSE)),"")</f>
        <v/>
      </c>
      <c r="J57" s="122"/>
      <c r="K57" s="382" t="str">
        <f>IF(J57="","",IF(VLOOKUP(J57,'G-3 Multipliers'!$L$3:$N$6,2,FALSE)=0,"Spatial Data Missing ⚠",VLOOKUP(J57,'G-3 Multipliers'!$L$3:$N$6,2,FALSE)))</f>
        <v/>
      </c>
      <c r="L57" s="386" t="str">
        <f>IF(J57="","",IF(VLOOKUP(J57,'G-3 Multipliers'!$L$3:$N$6,3,FALSE)=0,"Spatial Data Missing ⚠",VLOOKUP(J57,'G-3 Multipliers'!$L$3:$N$6,3,FALSE)))</f>
        <v/>
      </c>
      <c r="M57" s="425" t="str">
        <f>IF(D57="","",VLOOKUP(D57,'G-6 Hedgerow Data'!$B$1:$AH$15,33,FALSE))</f>
        <v/>
      </c>
      <c r="N57" s="376" t="str">
        <f t="shared" si="2"/>
        <v/>
      </c>
      <c r="O57" s="516"/>
      <c r="P57" s="368" t="str">
        <f>IF(O57="","",IF(VLOOKUP(O57,'G-3 Multipliers'!$S$3:$T$10,2,FALSE)=0,"Spatial Data Missing ⚠",VLOOKUP(O57,'G-3 Multipliers'!$S$3:$T$10,2,FALSE)))</f>
        <v/>
      </c>
      <c r="Q57" s="376" t="str">
        <f t="shared" si="3"/>
        <v/>
      </c>
      <c r="R57" s="32"/>
      <c r="S57" s="114"/>
      <c r="T57" s="125"/>
      <c r="U57" s="370" t="str">
        <f t="shared" si="4"/>
        <v/>
      </c>
      <c r="V57" s="370" t="str">
        <f t="shared" si="5"/>
        <v/>
      </c>
      <c r="W57" s="374" t="str">
        <f t="shared" si="6"/>
        <v/>
      </c>
      <c r="X57" s="378" t="str">
        <f t="shared" si="7"/>
        <v/>
      </c>
      <c r="Y57" s="119"/>
      <c r="Z57" s="120"/>
      <c r="AA57" s="120"/>
      <c r="AB57" s="120"/>
      <c r="AE57" s="30" t="str">
        <f>IFERROR(INDEX('G-6 Hedgerow Data'!$BJ$3:$BJ$15,MATCH(D57,'G-6 Hedgerow Data'!$B$3:$B$15,0)),"")</f>
        <v/>
      </c>
      <c r="AH57" s="124" t="str">
        <f t="shared" si="0"/>
        <v/>
      </c>
      <c r="AI57" s="124" t="str">
        <f t="shared" si="1"/>
        <v/>
      </c>
      <c r="AK57" s="124">
        <v>48</v>
      </c>
      <c r="AM57" s="124" t="str">
        <f t="array" ref="AM57">IFERROR(INDEX($AK$10:$AK$258, MATCH(0, IF(TRUE=$AH$10:$AH$258, COUNTIF($AM$9:$AM56, $AK$10:$AK$258), ""), 0)),"")</f>
        <v/>
      </c>
      <c r="AN57" s="124" t="str">
        <f t="array" ref="AN57">IFERROR(INDEX($AK$10:$AK$258, MATCH(0, IF(TRUE=$AI$10:$AI$258, COUNTIF($AN$9:$AN56, $AK$10:$AK$258), ""), 0)),"")</f>
        <v/>
      </c>
      <c r="AY57" s="370" t="str">
        <f t="shared" si="8"/>
        <v/>
      </c>
    </row>
    <row r="58" spans="2:51" ht="15">
      <c r="B58" s="110">
        <v>49</v>
      </c>
      <c r="C58" s="165"/>
      <c r="D58" s="165"/>
      <c r="E58" s="121"/>
      <c r="F58" s="362" t="str">
        <f>IF(D58="","",VLOOKUP(D58,'G-6 Hedgerow Data'!$B$2:$AG$15,2,FALSE))</f>
        <v/>
      </c>
      <c r="G58" s="363" t="str">
        <f>IF(D58="","",VLOOKUP(D58,'G-6 Hedgerow Data'!$B$2:$AG$15,3,FALSE))</f>
        <v/>
      </c>
      <c r="H58" s="114"/>
      <c r="I58" s="363" t="str">
        <f>IFERROR(IF(AND(F58="V.Low",OR(H58="Good",H58="Moderate")),"Error ▲",VLOOKUP(H58,'G-1 All Habitats'!$Z$2:$AA$9,2,FALSE)),"")</f>
        <v/>
      </c>
      <c r="J58" s="122"/>
      <c r="K58" s="382" t="str">
        <f>IF(J58="","",IF(VLOOKUP(J58,'G-3 Multipliers'!$L$3:$N$6,2,FALSE)=0,"Spatial Data Missing ⚠",VLOOKUP(J58,'G-3 Multipliers'!$L$3:$N$6,2,FALSE)))</f>
        <v/>
      </c>
      <c r="L58" s="386" t="str">
        <f>IF(J58="","",IF(VLOOKUP(J58,'G-3 Multipliers'!$L$3:$N$6,3,FALSE)=0,"Spatial Data Missing ⚠",VLOOKUP(J58,'G-3 Multipliers'!$L$3:$N$6,3,FALSE)))</f>
        <v/>
      </c>
      <c r="M58" s="425" t="str">
        <f>IF(D58="","",VLOOKUP(D58,'G-6 Hedgerow Data'!$B$1:$AH$15,33,FALSE))</f>
        <v/>
      </c>
      <c r="N58" s="376" t="str">
        <f t="shared" si="2"/>
        <v/>
      </c>
      <c r="O58" s="516"/>
      <c r="P58" s="368" t="str">
        <f>IF(O58="","",IF(VLOOKUP(O58,'G-3 Multipliers'!$S$3:$T$10,2,FALSE)=0,"Spatial Data Missing ⚠",VLOOKUP(O58,'G-3 Multipliers'!$S$3:$T$10,2,FALSE)))</f>
        <v/>
      </c>
      <c r="Q58" s="376" t="str">
        <f t="shared" si="3"/>
        <v/>
      </c>
      <c r="R58" s="32"/>
      <c r="S58" s="114"/>
      <c r="T58" s="125"/>
      <c r="U58" s="370" t="str">
        <f t="shared" si="4"/>
        <v/>
      </c>
      <c r="V58" s="370" t="str">
        <f t="shared" si="5"/>
        <v/>
      </c>
      <c r="W58" s="374" t="str">
        <f t="shared" si="6"/>
        <v/>
      </c>
      <c r="X58" s="378" t="str">
        <f t="shared" si="7"/>
        <v/>
      </c>
      <c r="Y58" s="119"/>
      <c r="Z58" s="120"/>
      <c r="AA58" s="120"/>
      <c r="AB58" s="120"/>
      <c r="AE58" s="30" t="str">
        <f>IFERROR(INDEX('G-6 Hedgerow Data'!$BJ$3:$BJ$15,MATCH(D58,'G-6 Hedgerow Data'!$B$3:$B$15,0)),"")</f>
        <v/>
      </c>
      <c r="AH58" s="124" t="str">
        <f t="shared" si="0"/>
        <v/>
      </c>
      <c r="AI58" s="124" t="str">
        <f t="shared" si="1"/>
        <v/>
      </c>
      <c r="AK58" s="124">
        <v>49</v>
      </c>
      <c r="AM58" s="124" t="str">
        <f t="array" ref="AM58">IFERROR(INDEX($AK$10:$AK$258, MATCH(0, IF(TRUE=$AH$10:$AH$258, COUNTIF($AM$9:$AM57, $AK$10:$AK$258), ""), 0)),"")</f>
        <v/>
      </c>
      <c r="AN58" s="124" t="str">
        <f t="array" ref="AN58">IFERROR(INDEX($AK$10:$AK$258, MATCH(0, IF(TRUE=$AI$10:$AI$258, COUNTIF($AN$9:$AN57, $AK$10:$AK$258), ""), 0)),"")</f>
        <v/>
      </c>
      <c r="AY58" s="370" t="str">
        <f t="shared" si="8"/>
        <v/>
      </c>
    </row>
    <row r="59" spans="2:51" ht="15">
      <c r="B59" s="110">
        <v>50</v>
      </c>
      <c r="C59" s="165"/>
      <c r="D59" s="165"/>
      <c r="E59" s="121"/>
      <c r="F59" s="362" t="str">
        <f>IF(D59="","",VLOOKUP(D59,'G-6 Hedgerow Data'!$B$2:$AG$15,2,FALSE))</f>
        <v/>
      </c>
      <c r="G59" s="363" t="str">
        <f>IF(D59="","",VLOOKUP(D59,'G-6 Hedgerow Data'!$B$2:$AG$15,3,FALSE))</f>
        <v/>
      </c>
      <c r="H59" s="114"/>
      <c r="I59" s="363" t="str">
        <f>IFERROR(IF(AND(F59="V.Low",OR(H59="Good",H59="Moderate")),"Error ▲",VLOOKUP(H59,'G-1 All Habitats'!$Z$2:$AA$9,2,FALSE)),"")</f>
        <v/>
      </c>
      <c r="J59" s="122"/>
      <c r="K59" s="382" t="str">
        <f>IF(J59="","",IF(VLOOKUP(J59,'G-3 Multipliers'!$L$3:$N$6,2,FALSE)=0,"Spatial Data Missing ⚠",VLOOKUP(J59,'G-3 Multipliers'!$L$3:$N$6,2,FALSE)))</f>
        <v/>
      </c>
      <c r="L59" s="386" t="str">
        <f>IF(J59="","",IF(VLOOKUP(J59,'G-3 Multipliers'!$L$3:$N$6,3,FALSE)=0,"Spatial Data Missing ⚠",VLOOKUP(J59,'G-3 Multipliers'!$L$3:$N$6,3,FALSE)))</f>
        <v/>
      </c>
      <c r="M59" s="425" t="str">
        <f>IF(D59="","",VLOOKUP(D59,'G-6 Hedgerow Data'!$B$1:$AH$15,33,FALSE))</f>
        <v/>
      </c>
      <c r="N59" s="376" t="str">
        <f t="shared" si="2"/>
        <v/>
      </c>
      <c r="O59" s="516"/>
      <c r="P59" s="368" t="str">
        <f>IF(O59="","",IF(VLOOKUP(O59,'G-3 Multipliers'!$S$3:$T$10,2,FALSE)=0,"Spatial Data Missing ⚠",VLOOKUP(O59,'G-3 Multipliers'!$S$3:$T$10,2,FALSE)))</f>
        <v/>
      </c>
      <c r="Q59" s="376" t="str">
        <f t="shared" si="3"/>
        <v/>
      </c>
      <c r="R59" s="32"/>
      <c r="S59" s="114"/>
      <c r="T59" s="125"/>
      <c r="U59" s="370" t="str">
        <f t="shared" si="4"/>
        <v/>
      </c>
      <c r="V59" s="370" t="str">
        <f t="shared" si="5"/>
        <v/>
      </c>
      <c r="W59" s="374" t="str">
        <f t="shared" si="6"/>
        <v/>
      </c>
      <c r="X59" s="378" t="str">
        <f t="shared" si="7"/>
        <v/>
      </c>
      <c r="Y59" s="119"/>
      <c r="Z59" s="120"/>
      <c r="AA59" s="120"/>
      <c r="AB59" s="120"/>
      <c r="AE59" s="30" t="str">
        <f>IFERROR(INDEX('G-6 Hedgerow Data'!$BJ$3:$BJ$15,MATCH(D59,'G-6 Hedgerow Data'!$B$3:$B$15,0)),"")</f>
        <v/>
      </c>
      <c r="AH59" s="124" t="str">
        <f t="shared" si="0"/>
        <v/>
      </c>
      <c r="AI59" s="124" t="str">
        <f t="shared" si="1"/>
        <v/>
      </c>
      <c r="AK59" s="124">
        <v>50</v>
      </c>
      <c r="AM59" s="124" t="str">
        <f t="array" ref="AM59">IFERROR(INDEX($AK$10:$AK$258, MATCH(0, IF(TRUE=$AH$10:$AH$258, COUNTIF($AM$9:$AM58, $AK$10:$AK$258), ""), 0)),"")</f>
        <v/>
      </c>
      <c r="AN59" s="124" t="str">
        <f t="array" ref="AN59">IFERROR(INDEX($AK$10:$AK$258, MATCH(0, IF(TRUE=$AI$10:$AI$258, COUNTIF($AN$9:$AN58, $AK$10:$AK$258), ""), 0)),"")</f>
        <v/>
      </c>
      <c r="AY59" s="370" t="str">
        <f t="shared" si="8"/>
        <v/>
      </c>
    </row>
    <row r="60" spans="2:51" ht="15">
      <c r="B60" s="110">
        <v>51</v>
      </c>
      <c r="C60" s="165"/>
      <c r="D60" s="165"/>
      <c r="E60" s="121"/>
      <c r="F60" s="362" t="str">
        <f>IF(D60="","",VLOOKUP(D60,'G-6 Hedgerow Data'!$B$2:$AG$15,2,FALSE))</f>
        <v/>
      </c>
      <c r="G60" s="363" t="str">
        <f>IF(D60="","",VLOOKUP(D60,'G-6 Hedgerow Data'!$B$2:$AG$15,3,FALSE))</f>
        <v/>
      </c>
      <c r="H60" s="114"/>
      <c r="I60" s="363" t="str">
        <f>IFERROR(IF(AND(F60="V.Low",OR(H60="Good",H60="Moderate")),"Error ▲",VLOOKUP(H60,'G-1 All Habitats'!$Z$2:$AA$9,2,FALSE)),"")</f>
        <v/>
      </c>
      <c r="J60" s="122"/>
      <c r="K60" s="382" t="str">
        <f>IF(J60="","",IF(VLOOKUP(J60,'G-3 Multipliers'!$L$3:$N$6,2,FALSE)=0,"Spatial Data Missing ⚠",VLOOKUP(J60,'G-3 Multipliers'!$L$3:$N$6,2,FALSE)))</f>
        <v/>
      </c>
      <c r="L60" s="386" t="str">
        <f>IF(J60="","",IF(VLOOKUP(J60,'G-3 Multipliers'!$L$3:$N$6,3,FALSE)=0,"Spatial Data Missing ⚠",VLOOKUP(J60,'G-3 Multipliers'!$L$3:$N$6,3,FALSE)))</f>
        <v/>
      </c>
      <c r="M60" s="425" t="str">
        <f>IF(D60="","",VLOOKUP(D60,'G-6 Hedgerow Data'!$B$1:$AH$15,33,FALSE))</f>
        <v/>
      </c>
      <c r="N60" s="376" t="str">
        <f t="shared" si="2"/>
        <v/>
      </c>
      <c r="O60" s="516"/>
      <c r="P60" s="368" t="str">
        <f>IF(O60="","",IF(VLOOKUP(O60,'G-3 Multipliers'!$S$3:$T$10,2,FALSE)=0,"Spatial Data Missing ⚠",VLOOKUP(O60,'G-3 Multipliers'!$S$3:$T$10,2,FALSE)))</f>
        <v/>
      </c>
      <c r="Q60" s="376" t="str">
        <f t="shared" si="3"/>
        <v/>
      </c>
      <c r="R60" s="32"/>
      <c r="S60" s="114"/>
      <c r="T60" s="125"/>
      <c r="U60" s="370" t="str">
        <f t="shared" si="4"/>
        <v/>
      </c>
      <c r="V60" s="370" t="str">
        <f t="shared" si="5"/>
        <v/>
      </c>
      <c r="W60" s="374" t="str">
        <f t="shared" si="6"/>
        <v/>
      </c>
      <c r="X60" s="378" t="str">
        <f t="shared" si="7"/>
        <v/>
      </c>
      <c r="Y60" s="119"/>
      <c r="Z60" s="120"/>
      <c r="AA60" s="120"/>
      <c r="AB60" s="120"/>
      <c r="AE60" s="30" t="str">
        <f>IFERROR(INDEX('G-6 Hedgerow Data'!$BJ$3:$BJ$15,MATCH(D60,'G-6 Hedgerow Data'!$B$3:$B$15,0)),"")</f>
        <v/>
      </c>
      <c r="AH60" s="124" t="str">
        <f t="shared" si="0"/>
        <v/>
      </c>
      <c r="AI60" s="124" t="str">
        <f t="shared" si="1"/>
        <v/>
      </c>
      <c r="AK60" s="124">
        <v>51</v>
      </c>
      <c r="AM60" s="124" t="str">
        <f t="array" ref="AM60">IFERROR(INDEX($AK$10:$AK$258, MATCH(0, IF(TRUE=$AH$10:$AH$258, COUNTIF($AM$9:$AM59, $AK$10:$AK$258), ""), 0)),"")</f>
        <v/>
      </c>
      <c r="AN60" s="124" t="str">
        <f t="array" ref="AN60">IFERROR(INDEX($AK$10:$AK$258, MATCH(0, IF(TRUE=$AI$10:$AI$258, COUNTIF($AN$9:$AN59, $AK$10:$AK$258), ""), 0)),"")</f>
        <v/>
      </c>
      <c r="AY60" s="370" t="str">
        <f t="shared" si="8"/>
        <v/>
      </c>
    </row>
    <row r="61" spans="2:51" ht="15">
      <c r="B61" s="110">
        <v>52</v>
      </c>
      <c r="C61" s="165"/>
      <c r="D61" s="165"/>
      <c r="E61" s="121"/>
      <c r="F61" s="362" t="str">
        <f>IF(D61="","",VLOOKUP(D61,'G-6 Hedgerow Data'!$B$2:$AG$15,2,FALSE))</f>
        <v/>
      </c>
      <c r="G61" s="363" t="str">
        <f>IF(D61="","",VLOOKUP(D61,'G-6 Hedgerow Data'!$B$2:$AG$15,3,FALSE))</f>
        <v/>
      </c>
      <c r="H61" s="114"/>
      <c r="I61" s="363" t="str">
        <f>IFERROR(IF(AND(F61="V.Low",OR(H61="Good",H61="Moderate")),"Error ▲",VLOOKUP(H61,'G-1 All Habitats'!$Z$2:$AA$9,2,FALSE)),"")</f>
        <v/>
      </c>
      <c r="J61" s="122"/>
      <c r="K61" s="382" t="str">
        <f>IF(J61="","",IF(VLOOKUP(J61,'G-3 Multipliers'!$L$3:$N$6,2,FALSE)=0,"Spatial Data Missing ⚠",VLOOKUP(J61,'G-3 Multipliers'!$L$3:$N$6,2,FALSE)))</f>
        <v/>
      </c>
      <c r="L61" s="386" t="str">
        <f>IF(J61="","",IF(VLOOKUP(J61,'G-3 Multipliers'!$L$3:$N$6,3,FALSE)=0,"Spatial Data Missing ⚠",VLOOKUP(J61,'G-3 Multipliers'!$L$3:$N$6,3,FALSE)))</f>
        <v/>
      </c>
      <c r="M61" s="425" t="str">
        <f>IF(D61="","",VLOOKUP(D61,'G-6 Hedgerow Data'!$B$1:$AH$15,33,FALSE))</f>
        <v/>
      </c>
      <c r="N61" s="376" t="str">
        <f t="shared" si="2"/>
        <v/>
      </c>
      <c r="O61" s="516"/>
      <c r="P61" s="368" t="str">
        <f>IF(O61="","",IF(VLOOKUP(O61,'G-3 Multipliers'!$S$3:$T$10,2,FALSE)=0,"Spatial Data Missing ⚠",VLOOKUP(O61,'G-3 Multipliers'!$S$3:$T$10,2,FALSE)))</f>
        <v/>
      </c>
      <c r="Q61" s="376" t="str">
        <f t="shared" si="3"/>
        <v/>
      </c>
      <c r="R61" s="32"/>
      <c r="S61" s="114"/>
      <c r="T61" s="125"/>
      <c r="U61" s="370" t="str">
        <f t="shared" si="4"/>
        <v/>
      </c>
      <c r="V61" s="370" t="str">
        <f t="shared" si="5"/>
        <v/>
      </c>
      <c r="W61" s="374" t="str">
        <f t="shared" si="6"/>
        <v/>
      </c>
      <c r="X61" s="378" t="str">
        <f t="shared" si="7"/>
        <v/>
      </c>
      <c r="Y61" s="119"/>
      <c r="Z61" s="120"/>
      <c r="AA61" s="120"/>
      <c r="AB61" s="120"/>
      <c r="AE61" s="30" t="str">
        <f>IFERROR(INDEX('G-6 Hedgerow Data'!$BJ$3:$BJ$15,MATCH(D61,'G-6 Hedgerow Data'!$B$3:$B$15,0)),"")</f>
        <v/>
      </c>
      <c r="AH61" s="124" t="str">
        <f t="shared" si="0"/>
        <v/>
      </c>
      <c r="AI61" s="124" t="str">
        <f t="shared" si="1"/>
        <v/>
      </c>
      <c r="AK61" s="124">
        <v>52</v>
      </c>
      <c r="AM61" s="124" t="str">
        <f t="array" ref="AM61">IFERROR(INDEX($AK$10:$AK$258, MATCH(0, IF(TRUE=$AH$10:$AH$258, COUNTIF($AM$9:$AM60, $AK$10:$AK$258), ""), 0)),"")</f>
        <v/>
      </c>
      <c r="AN61" s="124" t="str">
        <f t="array" ref="AN61">IFERROR(INDEX($AK$10:$AK$258, MATCH(0, IF(TRUE=$AI$10:$AI$258, COUNTIF($AN$9:$AN60, $AK$10:$AK$258), ""), 0)),"")</f>
        <v/>
      </c>
      <c r="AY61" s="370" t="str">
        <f t="shared" si="8"/>
        <v/>
      </c>
    </row>
    <row r="62" spans="2:51" ht="15">
      <c r="B62" s="110">
        <v>53</v>
      </c>
      <c r="C62" s="165"/>
      <c r="D62" s="165"/>
      <c r="E62" s="121"/>
      <c r="F62" s="362" t="str">
        <f>IF(D62="","",VLOOKUP(D62,'G-6 Hedgerow Data'!$B$2:$AG$15,2,FALSE))</f>
        <v/>
      </c>
      <c r="G62" s="363" t="str">
        <f>IF(D62="","",VLOOKUP(D62,'G-6 Hedgerow Data'!$B$2:$AG$15,3,FALSE))</f>
        <v/>
      </c>
      <c r="H62" s="114"/>
      <c r="I62" s="363" t="str">
        <f>IFERROR(IF(AND(F62="V.Low",OR(H62="Good",H62="Moderate")),"Error ▲",VLOOKUP(H62,'G-1 All Habitats'!$Z$2:$AA$9,2,FALSE)),"")</f>
        <v/>
      </c>
      <c r="J62" s="122"/>
      <c r="K62" s="382" t="str">
        <f>IF(J62="","",IF(VLOOKUP(J62,'G-3 Multipliers'!$L$3:$N$6,2,FALSE)=0,"Spatial Data Missing ⚠",VLOOKUP(J62,'G-3 Multipliers'!$L$3:$N$6,2,FALSE)))</f>
        <v/>
      </c>
      <c r="L62" s="386" t="str">
        <f>IF(J62="","",IF(VLOOKUP(J62,'G-3 Multipliers'!$L$3:$N$6,3,FALSE)=0,"Spatial Data Missing ⚠",VLOOKUP(J62,'G-3 Multipliers'!$L$3:$N$6,3,FALSE)))</f>
        <v/>
      </c>
      <c r="M62" s="425" t="str">
        <f>IF(D62="","",VLOOKUP(D62,'G-6 Hedgerow Data'!$B$1:$AH$15,33,FALSE))</f>
        <v/>
      </c>
      <c r="N62" s="376" t="str">
        <f t="shared" si="2"/>
        <v/>
      </c>
      <c r="O62" s="516"/>
      <c r="P62" s="368" t="str">
        <f>IF(O62="","",IF(VLOOKUP(O62,'G-3 Multipliers'!$S$3:$T$10,2,FALSE)=0,"Spatial Data Missing ⚠",VLOOKUP(O62,'G-3 Multipliers'!$S$3:$T$10,2,FALSE)))</f>
        <v/>
      </c>
      <c r="Q62" s="376" t="str">
        <f t="shared" si="3"/>
        <v/>
      </c>
      <c r="R62" s="32"/>
      <c r="S62" s="114"/>
      <c r="T62" s="125"/>
      <c r="U62" s="370" t="str">
        <f t="shared" si="4"/>
        <v/>
      </c>
      <c r="V62" s="370" t="str">
        <f t="shared" si="5"/>
        <v/>
      </c>
      <c r="W62" s="374" t="str">
        <f t="shared" si="6"/>
        <v/>
      </c>
      <c r="X62" s="378" t="str">
        <f t="shared" si="7"/>
        <v/>
      </c>
      <c r="Y62" s="119"/>
      <c r="Z62" s="120"/>
      <c r="AA62" s="120"/>
      <c r="AB62" s="120"/>
      <c r="AE62" s="30" t="str">
        <f>IFERROR(INDEX('G-6 Hedgerow Data'!$BJ$3:$BJ$15,MATCH(D62,'G-6 Hedgerow Data'!$B$3:$B$15,0)),"")</f>
        <v/>
      </c>
      <c r="AH62" s="124" t="str">
        <f t="shared" si="0"/>
        <v/>
      </c>
      <c r="AI62" s="124" t="str">
        <f t="shared" si="1"/>
        <v/>
      </c>
      <c r="AK62" s="124">
        <v>53</v>
      </c>
      <c r="AM62" s="124" t="str">
        <f t="array" ref="AM62">IFERROR(INDEX($AK$10:$AK$258, MATCH(0, IF(TRUE=$AH$10:$AH$258, COUNTIF($AM$9:$AM61, $AK$10:$AK$258), ""), 0)),"")</f>
        <v/>
      </c>
      <c r="AN62" s="124" t="str">
        <f t="array" ref="AN62">IFERROR(INDEX($AK$10:$AK$258, MATCH(0, IF(TRUE=$AI$10:$AI$258, COUNTIF($AN$9:$AN61, $AK$10:$AK$258), ""), 0)),"")</f>
        <v/>
      </c>
      <c r="AY62" s="370" t="str">
        <f t="shared" si="8"/>
        <v/>
      </c>
    </row>
    <row r="63" spans="2:51" ht="15">
      <c r="B63" s="110">
        <v>54</v>
      </c>
      <c r="C63" s="165"/>
      <c r="D63" s="165"/>
      <c r="E63" s="121"/>
      <c r="F63" s="362" t="str">
        <f>IF(D63="","",VLOOKUP(D63,'G-6 Hedgerow Data'!$B$2:$AG$15,2,FALSE))</f>
        <v/>
      </c>
      <c r="G63" s="363" t="str">
        <f>IF(D63="","",VLOOKUP(D63,'G-6 Hedgerow Data'!$B$2:$AG$15,3,FALSE))</f>
        <v/>
      </c>
      <c r="H63" s="114"/>
      <c r="I63" s="363" t="str">
        <f>IFERROR(IF(AND(F63="V.Low",OR(H63="Good",H63="Moderate")),"Error ▲",VLOOKUP(H63,'G-1 All Habitats'!$Z$2:$AA$9,2,FALSE)),"")</f>
        <v/>
      </c>
      <c r="J63" s="122"/>
      <c r="K63" s="382" t="str">
        <f>IF(J63="","",IF(VLOOKUP(J63,'G-3 Multipliers'!$L$3:$N$6,2,FALSE)=0,"Spatial Data Missing ⚠",VLOOKUP(J63,'G-3 Multipliers'!$L$3:$N$6,2,FALSE)))</f>
        <v/>
      </c>
      <c r="L63" s="386" t="str">
        <f>IF(J63="","",IF(VLOOKUP(J63,'G-3 Multipliers'!$L$3:$N$6,3,FALSE)=0,"Spatial Data Missing ⚠",VLOOKUP(J63,'G-3 Multipliers'!$L$3:$N$6,3,FALSE)))</f>
        <v/>
      </c>
      <c r="M63" s="425" t="str">
        <f>IF(D63="","",VLOOKUP(D63,'G-6 Hedgerow Data'!$B$1:$AH$15,33,FALSE))</f>
        <v/>
      </c>
      <c r="N63" s="376" t="str">
        <f t="shared" si="2"/>
        <v/>
      </c>
      <c r="O63" s="516"/>
      <c r="P63" s="368" t="str">
        <f>IF(O63="","",IF(VLOOKUP(O63,'G-3 Multipliers'!$S$3:$T$10,2,FALSE)=0,"Spatial Data Missing ⚠",VLOOKUP(O63,'G-3 Multipliers'!$S$3:$T$10,2,FALSE)))</f>
        <v/>
      </c>
      <c r="Q63" s="376" t="str">
        <f t="shared" si="3"/>
        <v/>
      </c>
      <c r="R63" s="32"/>
      <c r="S63" s="114"/>
      <c r="T63" s="125"/>
      <c r="U63" s="370" t="str">
        <f t="shared" si="4"/>
        <v/>
      </c>
      <c r="V63" s="370" t="str">
        <f t="shared" si="5"/>
        <v/>
      </c>
      <c r="W63" s="374" t="str">
        <f t="shared" si="6"/>
        <v/>
      </c>
      <c r="X63" s="378" t="str">
        <f t="shared" si="7"/>
        <v/>
      </c>
      <c r="Y63" s="119"/>
      <c r="Z63" s="120"/>
      <c r="AA63" s="120"/>
      <c r="AB63" s="120"/>
      <c r="AE63" s="30" t="str">
        <f>IFERROR(INDEX('G-6 Hedgerow Data'!$BJ$3:$BJ$15,MATCH(D63,'G-6 Hedgerow Data'!$B$3:$B$15,0)),"")</f>
        <v/>
      </c>
      <c r="AH63" s="124" t="str">
        <f t="shared" si="0"/>
        <v/>
      </c>
      <c r="AI63" s="124" t="str">
        <f t="shared" si="1"/>
        <v/>
      </c>
      <c r="AK63" s="124">
        <v>54</v>
      </c>
      <c r="AM63" s="124" t="str">
        <f t="array" ref="AM63">IFERROR(INDEX($AK$10:$AK$258, MATCH(0, IF(TRUE=$AH$10:$AH$258, COUNTIF($AM$9:$AM62, $AK$10:$AK$258), ""), 0)),"")</f>
        <v/>
      </c>
      <c r="AN63" s="124" t="str">
        <f t="array" ref="AN63">IFERROR(INDEX($AK$10:$AK$258, MATCH(0, IF(TRUE=$AI$10:$AI$258, COUNTIF($AN$9:$AN62, $AK$10:$AK$258), ""), 0)),"")</f>
        <v/>
      </c>
      <c r="AY63" s="370" t="str">
        <f t="shared" si="8"/>
        <v/>
      </c>
    </row>
    <row r="64" spans="2:51" ht="15">
      <c r="B64" s="110">
        <v>55</v>
      </c>
      <c r="C64" s="165"/>
      <c r="D64" s="165"/>
      <c r="E64" s="121"/>
      <c r="F64" s="362" t="str">
        <f>IF(D64="","",VLOOKUP(D64,'G-6 Hedgerow Data'!$B$2:$AG$15,2,FALSE))</f>
        <v/>
      </c>
      <c r="G64" s="363" t="str">
        <f>IF(D64="","",VLOOKUP(D64,'G-6 Hedgerow Data'!$B$2:$AG$15,3,FALSE))</f>
        <v/>
      </c>
      <c r="H64" s="114"/>
      <c r="I64" s="363" t="str">
        <f>IFERROR(IF(AND(F64="V.Low",OR(H64="Good",H64="Moderate")),"Error ▲",VLOOKUP(H64,'G-1 All Habitats'!$Z$2:$AA$9,2,FALSE)),"")</f>
        <v/>
      </c>
      <c r="J64" s="122"/>
      <c r="K64" s="382" t="str">
        <f>IF(J64="","",IF(VLOOKUP(J64,'G-3 Multipliers'!$L$3:$N$6,2,FALSE)=0,"Spatial Data Missing ⚠",VLOOKUP(J64,'G-3 Multipliers'!$L$3:$N$6,2,FALSE)))</f>
        <v/>
      </c>
      <c r="L64" s="386" t="str">
        <f>IF(J64="","",IF(VLOOKUP(J64,'G-3 Multipliers'!$L$3:$N$6,3,FALSE)=0,"Spatial Data Missing ⚠",VLOOKUP(J64,'G-3 Multipliers'!$L$3:$N$6,3,FALSE)))</f>
        <v/>
      </c>
      <c r="M64" s="425" t="str">
        <f>IF(D64="","",VLOOKUP(D64,'G-6 Hedgerow Data'!$B$1:$AH$15,33,FALSE))</f>
        <v/>
      </c>
      <c r="N64" s="376" t="str">
        <f t="shared" si="2"/>
        <v/>
      </c>
      <c r="O64" s="516"/>
      <c r="P64" s="368" t="str">
        <f>IF(O64="","",IF(VLOOKUP(O64,'G-3 Multipliers'!$S$3:$T$10,2,FALSE)=0,"Spatial Data Missing ⚠",VLOOKUP(O64,'G-3 Multipliers'!$S$3:$T$10,2,FALSE)))</f>
        <v/>
      </c>
      <c r="Q64" s="376" t="str">
        <f t="shared" si="3"/>
        <v/>
      </c>
      <c r="R64" s="32"/>
      <c r="S64" s="114"/>
      <c r="T64" s="125"/>
      <c r="U64" s="370" t="str">
        <f t="shared" si="4"/>
        <v/>
      </c>
      <c r="V64" s="370" t="str">
        <f t="shared" si="5"/>
        <v/>
      </c>
      <c r="W64" s="374" t="str">
        <f t="shared" si="6"/>
        <v/>
      </c>
      <c r="X64" s="378" t="str">
        <f t="shared" si="7"/>
        <v/>
      </c>
      <c r="Y64" s="119"/>
      <c r="Z64" s="120"/>
      <c r="AA64" s="120"/>
      <c r="AB64" s="120"/>
      <c r="AE64" s="30" t="str">
        <f>IFERROR(INDEX('G-6 Hedgerow Data'!$BJ$3:$BJ$15,MATCH(D64,'G-6 Hedgerow Data'!$B$3:$B$15,0)),"")</f>
        <v/>
      </c>
      <c r="AH64" s="124" t="str">
        <f t="shared" si="0"/>
        <v/>
      </c>
      <c r="AI64" s="124" t="str">
        <f t="shared" si="1"/>
        <v/>
      </c>
      <c r="AK64" s="124">
        <v>55</v>
      </c>
      <c r="AM64" s="124" t="str">
        <f t="array" ref="AM64">IFERROR(INDEX($AK$10:$AK$258, MATCH(0, IF(TRUE=$AH$10:$AH$258, COUNTIF($AM$9:$AM63, $AK$10:$AK$258), ""), 0)),"")</f>
        <v/>
      </c>
      <c r="AN64" s="124" t="str">
        <f t="array" ref="AN64">IFERROR(INDEX($AK$10:$AK$258, MATCH(0, IF(TRUE=$AI$10:$AI$258, COUNTIF($AN$9:$AN63, $AK$10:$AK$258), ""), 0)),"")</f>
        <v/>
      </c>
      <c r="AY64" s="370" t="str">
        <f t="shared" si="8"/>
        <v/>
      </c>
    </row>
    <row r="65" spans="2:51" ht="15">
      <c r="B65" s="110">
        <v>56</v>
      </c>
      <c r="C65" s="165"/>
      <c r="D65" s="165"/>
      <c r="E65" s="121"/>
      <c r="F65" s="362" t="str">
        <f>IF(D65="","",VLOOKUP(D65,'G-6 Hedgerow Data'!$B$2:$AG$15,2,FALSE))</f>
        <v/>
      </c>
      <c r="G65" s="363" t="str">
        <f>IF(D65="","",VLOOKUP(D65,'G-6 Hedgerow Data'!$B$2:$AG$15,3,FALSE))</f>
        <v/>
      </c>
      <c r="H65" s="114"/>
      <c r="I65" s="363" t="str">
        <f>IFERROR(IF(AND(F65="V.Low",OR(H65="Good",H65="Moderate")),"Error ▲",VLOOKUP(H65,'G-1 All Habitats'!$Z$2:$AA$9,2,FALSE)),"")</f>
        <v/>
      </c>
      <c r="J65" s="122"/>
      <c r="K65" s="382" t="str">
        <f>IF(J65="","",IF(VLOOKUP(J65,'G-3 Multipliers'!$L$3:$N$6,2,FALSE)=0,"Spatial Data Missing ⚠",VLOOKUP(J65,'G-3 Multipliers'!$L$3:$N$6,2,FALSE)))</f>
        <v/>
      </c>
      <c r="L65" s="386" t="str">
        <f>IF(J65="","",IF(VLOOKUP(J65,'G-3 Multipliers'!$L$3:$N$6,3,FALSE)=0,"Spatial Data Missing ⚠",VLOOKUP(J65,'G-3 Multipliers'!$L$3:$N$6,3,FALSE)))</f>
        <v/>
      </c>
      <c r="M65" s="425" t="str">
        <f>IF(D65="","",VLOOKUP(D65,'G-6 Hedgerow Data'!$B$1:$AH$15,33,FALSE))</f>
        <v/>
      </c>
      <c r="N65" s="376" t="str">
        <f t="shared" si="2"/>
        <v/>
      </c>
      <c r="O65" s="516"/>
      <c r="P65" s="368" t="str">
        <f>IF(O65="","",IF(VLOOKUP(O65,'G-3 Multipliers'!$S$3:$T$10,2,FALSE)=0,"Spatial Data Missing ⚠",VLOOKUP(O65,'G-3 Multipliers'!$S$3:$T$10,2,FALSE)))</f>
        <v/>
      </c>
      <c r="Q65" s="376" t="str">
        <f t="shared" si="3"/>
        <v/>
      </c>
      <c r="R65" s="32"/>
      <c r="S65" s="114"/>
      <c r="T65" s="125"/>
      <c r="U65" s="370" t="str">
        <f t="shared" si="4"/>
        <v/>
      </c>
      <c r="V65" s="370" t="str">
        <f t="shared" si="5"/>
        <v/>
      </c>
      <c r="W65" s="374" t="str">
        <f t="shared" si="6"/>
        <v/>
      </c>
      <c r="X65" s="378" t="str">
        <f t="shared" si="7"/>
        <v/>
      </c>
      <c r="Y65" s="119"/>
      <c r="Z65" s="120"/>
      <c r="AA65" s="120"/>
      <c r="AB65" s="120"/>
      <c r="AE65" s="30" t="str">
        <f>IFERROR(INDEX('G-6 Hedgerow Data'!$BJ$3:$BJ$15,MATCH(D65,'G-6 Hedgerow Data'!$B$3:$B$15,0)),"")</f>
        <v/>
      </c>
      <c r="AH65" s="124" t="str">
        <f t="shared" si="0"/>
        <v/>
      </c>
      <c r="AI65" s="124" t="str">
        <f t="shared" si="1"/>
        <v/>
      </c>
      <c r="AK65" s="124">
        <v>56</v>
      </c>
      <c r="AM65" s="124" t="str">
        <f t="array" ref="AM65">IFERROR(INDEX($AK$10:$AK$258, MATCH(0, IF(TRUE=$AH$10:$AH$258, COUNTIF($AM$9:$AM64, $AK$10:$AK$258), ""), 0)),"")</f>
        <v/>
      </c>
      <c r="AN65" s="124" t="str">
        <f t="array" ref="AN65">IFERROR(INDEX($AK$10:$AK$258, MATCH(0, IF(TRUE=$AI$10:$AI$258, COUNTIF($AN$9:$AN64, $AK$10:$AK$258), ""), 0)),"")</f>
        <v/>
      </c>
      <c r="AY65" s="370" t="str">
        <f t="shared" si="8"/>
        <v/>
      </c>
    </row>
    <row r="66" spans="2:51" ht="15">
      <c r="B66" s="110">
        <v>57</v>
      </c>
      <c r="C66" s="165"/>
      <c r="D66" s="165"/>
      <c r="E66" s="121"/>
      <c r="F66" s="362" t="str">
        <f>IF(D66="","",VLOOKUP(D66,'G-6 Hedgerow Data'!$B$2:$AG$15,2,FALSE))</f>
        <v/>
      </c>
      <c r="G66" s="363" t="str">
        <f>IF(D66="","",VLOOKUP(D66,'G-6 Hedgerow Data'!$B$2:$AG$15,3,FALSE))</f>
        <v/>
      </c>
      <c r="H66" s="114"/>
      <c r="I66" s="363" t="str">
        <f>IFERROR(IF(AND(F66="V.Low",OR(H66="Good",H66="Moderate")),"Error ▲",VLOOKUP(H66,'G-1 All Habitats'!$Z$2:$AA$9,2,FALSE)),"")</f>
        <v/>
      </c>
      <c r="J66" s="122"/>
      <c r="K66" s="382" t="str">
        <f>IF(J66="","",IF(VLOOKUP(J66,'G-3 Multipliers'!$L$3:$N$6,2,FALSE)=0,"Spatial Data Missing ⚠",VLOOKUP(J66,'G-3 Multipliers'!$L$3:$N$6,2,FALSE)))</f>
        <v/>
      </c>
      <c r="L66" s="386" t="str">
        <f>IF(J66="","",IF(VLOOKUP(J66,'G-3 Multipliers'!$L$3:$N$6,3,FALSE)=0,"Spatial Data Missing ⚠",VLOOKUP(J66,'G-3 Multipliers'!$L$3:$N$6,3,FALSE)))</f>
        <v/>
      </c>
      <c r="M66" s="425" t="str">
        <f>IF(D66="","",VLOOKUP(D66,'G-6 Hedgerow Data'!$B$1:$AH$15,33,FALSE))</f>
        <v/>
      </c>
      <c r="N66" s="376" t="str">
        <f t="shared" si="2"/>
        <v/>
      </c>
      <c r="O66" s="516"/>
      <c r="P66" s="368" t="str">
        <f>IF(O66="","",IF(VLOOKUP(O66,'G-3 Multipliers'!$S$3:$T$10,2,FALSE)=0,"Spatial Data Missing ⚠",VLOOKUP(O66,'G-3 Multipliers'!$S$3:$T$10,2,FALSE)))</f>
        <v/>
      </c>
      <c r="Q66" s="376" t="str">
        <f t="shared" si="3"/>
        <v/>
      </c>
      <c r="R66" s="32"/>
      <c r="S66" s="114"/>
      <c r="T66" s="125"/>
      <c r="U66" s="370" t="str">
        <f t="shared" si="4"/>
        <v/>
      </c>
      <c r="V66" s="370" t="str">
        <f t="shared" si="5"/>
        <v/>
      </c>
      <c r="W66" s="374" t="str">
        <f t="shared" si="6"/>
        <v/>
      </c>
      <c r="X66" s="378" t="str">
        <f t="shared" si="7"/>
        <v/>
      </c>
      <c r="Y66" s="119"/>
      <c r="Z66" s="120"/>
      <c r="AA66" s="120"/>
      <c r="AB66" s="120"/>
      <c r="AE66" s="30" t="str">
        <f>IFERROR(INDEX('G-6 Hedgerow Data'!$BJ$3:$BJ$15,MATCH(D66,'G-6 Hedgerow Data'!$B$3:$B$15,0)),"")</f>
        <v/>
      </c>
      <c r="AH66" s="124" t="str">
        <f t="shared" si="0"/>
        <v/>
      </c>
      <c r="AI66" s="124" t="str">
        <f t="shared" si="1"/>
        <v/>
      </c>
      <c r="AK66" s="124">
        <v>57</v>
      </c>
      <c r="AM66" s="124" t="str">
        <f t="array" ref="AM66">IFERROR(INDEX($AK$10:$AK$258, MATCH(0, IF(TRUE=$AH$10:$AH$258, COUNTIF($AM$9:$AM65, $AK$10:$AK$258), ""), 0)),"")</f>
        <v/>
      </c>
      <c r="AN66" s="124" t="str">
        <f t="array" ref="AN66">IFERROR(INDEX($AK$10:$AK$258, MATCH(0, IF(TRUE=$AI$10:$AI$258, COUNTIF($AN$9:$AN65, $AK$10:$AK$258), ""), 0)),"")</f>
        <v/>
      </c>
      <c r="AY66" s="370" t="str">
        <f t="shared" si="8"/>
        <v/>
      </c>
    </row>
    <row r="67" spans="2:51" ht="15">
      <c r="B67" s="110">
        <v>58</v>
      </c>
      <c r="C67" s="165"/>
      <c r="D67" s="165"/>
      <c r="E67" s="121"/>
      <c r="F67" s="362" t="str">
        <f>IF(D67="","",VLOOKUP(D67,'G-6 Hedgerow Data'!$B$2:$AG$15,2,FALSE))</f>
        <v/>
      </c>
      <c r="G67" s="363" t="str">
        <f>IF(D67="","",VLOOKUP(D67,'G-6 Hedgerow Data'!$B$2:$AG$15,3,FALSE))</f>
        <v/>
      </c>
      <c r="H67" s="114"/>
      <c r="I67" s="363" t="str">
        <f>IFERROR(IF(AND(F67="V.Low",OR(H67="Good",H67="Moderate")),"Error ▲",VLOOKUP(H67,'G-1 All Habitats'!$Z$2:$AA$9,2,FALSE)),"")</f>
        <v/>
      </c>
      <c r="J67" s="122"/>
      <c r="K67" s="382" t="str">
        <f>IF(J67="","",IF(VLOOKUP(J67,'G-3 Multipliers'!$L$3:$N$6,2,FALSE)=0,"Spatial Data Missing ⚠",VLOOKUP(J67,'G-3 Multipliers'!$L$3:$N$6,2,FALSE)))</f>
        <v/>
      </c>
      <c r="L67" s="386" t="str">
        <f>IF(J67="","",IF(VLOOKUP(J67,'G-3 Multipliers'!$L$3:$N$6,3,FALSE)=0,"Spatial Data Missing ⚠",VLOOKUP(J67,'G-3 Multipliers'!$L$3:$N$6,3,FALSE)))</f>
        <v/>
      </c>
      <c r="M67" s="425" t="str">
        <f>IF(D67="","",VLOOKUP(D67,'G-6 Hedgerow Data'!$B$1:$AH$15,33,FALSE))</f>
        <v/>
      </c>
      <c r="N67" s="376" t="str">
        <f t="shared" si="2"/>
        <v/>
      </c>
      <c r="O67" s="516"/>
      <c r="P67" s="368" t="str">
        <f>IF(O67="","",IF(VLOOKUP(O67,'G-3 Multipliers'!$S$3:$T$10,2,FALSE)=0,"Spatial Data Missing ⚠",VLOOKUP(O67,'G-3 Multipliers'!$S$3:$T$10,2,FALSE)))</f>
        <v/>
      </c>
      <c r="Q67" s="376" t="str">
        <f t="shared" si="3"/>
        <v/>
      </c>
      <c r="R67" s="32"/>
      <c r="S67" s="114"/>
      <c r="T67" s="125"/>
      <c r="U67" s="370" t="str">
        <f t="shared" si="4"/>
        <v/>
      </c>
      <c r="V67" s="370" t="str">
        <f t="shared" si="5"/>
        <v/>
      </c>
      <c r="W67" s="374" t="str">
        <f t="shared" si="6"/>
        <v/>
      </c>
      <c r="X67" s="378" t="str">
        <f t="shared" si="7"/>
        <v/>
      </c>
      <c r="Y67" s="119"/>
      <c r="Z67" s="120"/>
      <c r="AA67" s="120"/>
      <c r="AB67" s="120"/>
      <c r="AE67" s="30" t="str">
        <f>IFERROR(INDEX('G-6 Hedgerow Data'!$BJ$3:$BJ$15,MATCH(D67,'G-6 Hedgerow Data'!$B$3:$B$15,0)),"")</f>
        <v/>
      </c>
      <c r="AH67" s="124" t="str">
        <f t="shared" si="0"/>
        <v/>
      </c>
      <c r="AI67" s="124" t="str">
        <f t="shared" si="1"/>
        <v/>
      </c>
      <c r="AK67" s="124">
        <v>58</v>
      </c>
      <c r="AM67" s="124" t="str">
        <f t="array" ref="AM67">IFERROR(INDEX($AK$10:$AK$258, MATCH(0, IF(TRUE=$AH$10:$AH$258, COUNTIF($AM$9:$AM66, $AK$10:$AK$258), ""), 0)),"")</f>
        <v/>
      </c>
      <c r="AN67" s="124" t="str">
        <f t="array" ref="AN67">IFERROR(INDEX($AK$10:$AK$258, MATCH(0, IF(TRUE=$AI$10:$AI$258, COUNTIF($AN$9:$AN66, $AK$10:$AK$258), ""), 0)),"")</f>
        <v/>
      </c>
      <c r="AY67" s="370" t="str">
        <f t="shared" si="8"/>
        <v/>
      </c>
    </row>
    <row r="68" spans="2:51" ht="15">
      <c r="B68" s="110">
        <v>59</v>
      </c>
      <c r="C68" s="165"/>
      <c r="D68" s="165"/>
      <c r="E68" s="121"/>
      <c r="F68" s="362" t="str">
        <f>IF(D68="","",VLOOKUP(D68,'G-6 Hedgerow Data'!$B$2:$AG$15,2,FALSE))</f>
        <v/>
      </c>
      <c r="G68" s="363" t="str">
        <f>IF(D68="","",VLOOKUP(D68,'G-6 Hedgerow Data'!$B$2:$AG$15,3,FALSE))</f>
        <v/>
      </c>
      <c r="H68" s="114"/>
      <c r="I68" s="363" t="str">
        <f>IFERROR(IF(AND(F68="V.Low",OR(H68="Good",H68="Moderate")),"Error ▲",VLOOKUP(H68,'G-1 All Habitats'!$Z$2:$AA$9,2,FALSE)),"")</f>
        <v/>
      </c>
      <c r="J68" s="122"/>
      <c r="K68" s="382" t="str">
        <f>IF(J68="","",IF(VLOOKUP(J68,'G-3 Multipliers'!$L$3:$N$6,2,FALSE)=0,"Spatial Data Missing ⚠",VLOOKUP(J68,'G-3 Multipliers'!$L$3:$N$6,2,FALSE)))</f>
        <v/>
      </c>
      <c r="L68" s="386" t="str">
        <f>IF(J68="","",IF(VLOOKUP(J68,'G-3 Multipliers'!$L$3:$N$6,3,FALSE)=0,"Spatial Data Missing ⚠",VLOOKUP(J68,'G-3 Multipliers'!$L$3:$N$6,3,FALSE)))</f>
        <v/>
      </c>
      <c r="M68" s="425" t="str">
        <f>IF(D68="","",VLOOKUP(D68,'G-6 Hedgerow Data'!$B$1:$AH$15,33,FALSE))</f>
        <v/>
      </c>
      <c r="N68" s="376" t="str">
        <f t="shared" si="2"/>
        <v/>
      </c>
      <c r="O68" s="516"/>
      <c r="P68" s="368" t="str">
        <f>IF(O68="","",IF(VLOOKUP(O68,'G-3 Multipliers'!$S$3:$T$10,2,FALSE)=0,"Spatial Data Missing ⚠",VLOOKUP(O68,'G-3 Multipliers'!$S$3:$T$10,2,FALSE)))</f>
        <v/>
      </c>
      <c r="Q68" s="376" t="str">
        <f t="shared" si="3"/>
        <v/>
      </c>
      <c r="R68" s="32"/>
      <c r="S68" s="114"/>
      <c r="T68" s="125"/>
      <c r="U68" s="370" t="str">
        <f t="shared" si="4"/>
        <v/>
      </c>
      <c r="V68" s="370" t="str">
        <f t="shared" si="5"/>
        <v/>
      </c>
      <c r="W68" s="374" t="str">
        <f t="shared" si="6"/>
        <v/>
      </c>
      <c r="X68" s="378" t="str">
        <f t="shared" si="7"/>
        <v/>
      </c>
      <c r="Y68" s="119"/>
      <c r="Z68" s="120"/>
      <c r="AA68" s="120"/>
      <c r="AB68" s="120"/>
      <c r="AE68" s="30" t="str">
        <f>IFERROR(INDEX('G-6 Hedgerow Data'!$BJ$3:$BJ$15,MATCH(D68,'G-6 Hedgerow Data'!$B$3:$B$15,0)),"")</f>
        <v/>
      </c>
      <c r="AH68" s="124" t="str">
        <f t="shared" si="0"/>
        <v/>
      </c>
      <c r="AI68" s="124" t="str">
        <f t="shared" si="1"/>
        <v/>
      </c>
      <c r="AK68" s="124">
        <v>59</v>
      </c>
      <c r="AM68" s="124" t="str">
        <f t="array" ref="AM68">IFERROR(INDEX($AK$10:$AK$258, MATCH(0, IF(TRUE=$AH$10:$AH$258, COUNTIF($AM$9:$AM67, $AK$10:$AK$258), ""), 0)),"")</f>
        <v/>
      </c>
      <c r="AN68" s="124" t="str">
        <f t="array" ref="AN68">IFERROR(INDEX($AK$10:$AK$258, MATCH(0, IF(TRUE=$AI$10:$AI$258, COUNTIF($AN$9:$AN67, $AK$10:$AK$258), ""), 0)),"")</f>
        <v/>
      </c>
      <c r="AY68" s="370" t="str">
        <f t="shared" si="8"/>
        <v/>
      </c>
    </row>
    <row r="69" spans="2:51" ht="15">
      <c r="B69" s="110">
        <v>60</v>
      </c>
      <c r="C69" s="165"/>
      <c r="D69" s="165"/>
      <c r="E69" s="121"/>
      <c r="F69" s="362" t="str">
        <f>IF(D69="","",VLOOKUP(D69,'G-6 Hedgerow Data'!$B$2:$AG$15,2,FALSE))</f>
        <v/>
      </c>
      <c r="G69" s="363" t="str">
        <f>IF(D69="","",VLOOKUP(D69,'G-6 Hedgerow Data'!$B$2:$AG$15,3,FALSE))</f>
        <v/>
      </c>
      <c r="H69" s="114"/>
      <c r="I69" s="363" t="str">
        <f>IFERROR(IF(AND(F69="V.Low",OR(H69="Good",H69="Moderate")),"Error ▲",VLOOKUP(H69,'G-1 All Habitats'!$Z$2:$AA$9,2,FALSE)),"")</f>
        <v/>
      </c>
      <c r="J69" s="122"/>
      <c r="K69" s="382" t="str">
        <f>IF(J69="","",IF(VLOOKUP(J69,'G-3 Multipliers'!$L$3:$N$6,2,FALSE)=0,"Spatial Data Missing ⚠",VLOOKUP(J69,'G-3 Multipliers'!$L$3:$N$6,2,FALSE)))</f>
        <v/>
      </c>
      <c r="L69" s="386" t="str">
        <f>IF(J69="","",IF(VLOOKUP(J69,'G-3 Multipliers'!$L$3:$N$6,3,FALSE)=0,"Spatial Data Missing ⚠",VLOOKUP(J69,'G-3 Multipliers'!$L$3:$N$6,3,FALSE)))</f>
        <v/>
      </c>
      <c r="M69" s="425" t="str">
        <f>IF(D69="","",VLOOKUP(D69,'G-6 Hedgerow Data'!$B$1:$AH$15,33,FALSE))</f>
        <v/>
      </c>
      <c r="N69" s="376" t="str">
        <f t="shared" si="2"/>
        <v/>
      </c>
      <c r="O69" s="516"/>
      <c r="P69" s="368" t="str">
        <f>IF(O69="","",IF(VLOOKUP(O69,'G-3 Multipliers'!$S$3:$T$10,2,FALSE)=0,"Spatial Data Missing ⚠",VLOOKUP(O69,'G-3 Multipliers'!$S$3:$T$10,2,FALSE)))</f>
        <v/>
      </c>
      <c r="Q69" s="376" t="str">
        <f t="shared" si="3"/>
        <v/>
      </c>
      <c r="R69" s="32"/>
      <c r="S69" s="114"/>
      <c r="T69" s="125"/>
      <c r="U69" s="370" t="str">
        <f t="shared" si="4"/>
        <v/>
      </c>
      <c r="V69" s="370" t="str">
        <f t="shared" si="5"/>
        <v/>
      </c>
      <c r="W69" s="374" t="str">
        <f t="shared" si="6"/>
        <v/>
      </c>
      <c r="X69" s="378" t="str">
        <f t="shared" si="7"/>
        <v/>
      </c>
      <c r="Y69" s="119"/>
      <c r="Z69" s="120"/>
      <c r="AA69" s="120"/>
      <c r="AB69" s="120"/>
      <c r="AE69" s="30" t="str">
        <f>IFERROR(INDEX('G-6 Hedgerow Data'!$BJ$3:$BJ$15,MATCH(D69,'G-6 Hedgerow Data'!$B$3:$B$15,0)),"")</f>
        <v/>
      </c>
      <c r="AH69" s="124" t="str">
        <f t="shared" si="0"/>
        <v/>
      </c>
      <c r="AI69" s="124" t="str">
        <f t="shared" si="1"/>
        <v/>
      </c>
      <c r="AK69" s="124">
        <v>60</v>
      </c>
      <c r="AM69" s="124" t="str">
        <f t="array" ref="AM69">IFERROR(INDEX($AK$10:$AK$258, MATCH(0, IF(TRUE=$AH$10:$AH$258, COUNTIF($AM$9:$AM68, $AK$10:$AK$258), ""), 0)),"")</f>
        <v/>
      </c>
      <c r="AN69" s="124" t="str">
        <f t="array" ref="AN69">IFERROR(INDEX($AK$10:$AK$258, MATCH(0, IF(TRUE=$AI$10:$AI$258, COUNTIF($AN$9:$AN68, $AK$10:$AK$258), ""), 0)),"")</f>
        <v/>
      </c>
      <c r="AY69" s="370" t="str">
        <f t="shared" si="8"/>
        <v/>
      </c>
    </row>
    <row r="70" spans="2:51" ht="15">
      <c r="B70" s="110">
        <v>61</v>
      </c>
      <c r="C70" s="165"/>
      <c r="D70" s="165"/>
      <c r="E70" s="121"/>
      <c r="F70" s="362" t="str">
        <f>IF(D70="","",VLOOKUP(D70,'G-6 Hedgerow Data'!$B$2:$AG$15,2,FALSE))</f>
        <v/>
      </c>
      <c r="G70" s="363" t="str">
        <f>IF(D70="","",VLOOKUP(D70,'G-6 Hedgerow Data'!$B$2:$AG$15,3,FALSE))</f>
        <v/>
      </c>
      <c r="H70" s="114"/>
      <c r="I70" s="363" t="str">
        <f>IFERROR(IF(AND(F70="V.Low",OR(H70="Good",H70="Moderate")),"Error ▲",VLOOKUP(H70,'G-1 All Habitats'!$Z$2:$AA$9,2,FALSE)),"")</f>
        <v/>
      </c>
      <c r="J70" s="122"/>
      <c r="K70" s="382" t="str">
        <f>IF(J70="","",IF(VLOOKUP(J70,'G-3 Multipliers'!$L$3:$N$6,2,FALSE)=0,"Spatial Data Missing ⚠",VLOOKUP(J70,'G-3 Multipliers'!$L$3:$N$6,2,FALSE)))</f>
        <v/>
      </c>
      <c r="L70" s="386" t="str">
        <f>IF(J70="","",IF(VLOOKUP(J70,'G-3 Multipliers'!$L$3:$N$6,3,FALSE)=0,"Spatial Data Missing ⚠",VLOOKUP(J70,'G-3 Multipliers'!$L$3:$N$6,3,FALSE)))</f>
        <v/>
      </c>
      <c r="M70" s="425" t="str">
        <f>IF(D70="","",VLOOKUP(D70,'G-6 Hedgerow Data'!$B$1:$AH$15,33,FALSE))</f>
        <v/>
      </c>
      <c r="N70" s="376" t="str">
        <f t="shared" si="2"/>
        <v/>
      </c>
      <c r="O70" s="516"/>
      <c r="P70" s="368" t="str">
        <f>IF(O70="","",IF(VLOOKUP(O70,'G-3 Multipliers'!$S$3:$T$10,2,FALSE)=0,"Spatial Data Missing ⚠",VLOOKUP(O70,'G-3 Multipliers'!$S$3:$T$10,2,FALSE)))</f>
        <v/>
      </c>
      <c r="Q70" s="376" t="str">
        <f t="shared" si="3"/>
        <v/>
      </c>
      <c r="R70" s="32"/>
      <c r="S70" s="114"/>
      <c r="T70" s="125"/>
      <c r="U70" s="370" t="str">
        <f t="shared" si="4"/>
        <v/>
      </c>
      <c r="V70" s="370" t="str">
        <f t="shared" si="5"/>
        <v/>
      </c>
      <c r="W70" s="374" t="str">
        <f t="shared" si="6"/>
        <v/>
      </c>
      <c r="X70" s="378" t="str">
        <f t="shared" si="7"/>
        <v/>
      </c>
      <c r="Y70" s="119"/>
      <c r="Z70" s="120"/>
      <c r="AA70" s="120"/>
      <c r="AB70" s="120"/>
      <c r="AE70" s="30" t="str">
        <f>IFERROR(INDEX('G-6 Hedgerow Data'!$BJ$3:$BJ$15,MATCH(D70,'G-6 Hedgerow Data'!$B$3:$B$15,0)),"")</f>
        <v/>
      </c>
      <c r="AH70" s="124" t="str">
        <f t="shared" si="0"/>
        <v/>
      </c>
      <c r="AI70" s="124" t="str">
        <f t="shared" si="1"/>
        <v/>
      </c>
      <c r="AK70" s="124">
        <v>61</v>
      </c>
      <c r="AM70" s="124" t="str">
        <f t="array" ref="AM70">IFERROR(INDEX($AK$10:$AK$258, MATCH(0, IF(TRUE=$AH$10:$AH$258, COUNTIF($AM$9:$AM69, $AK$10:$AK$258), ""), 0)),"")</f>
        <v/>
      </c>
      <c r="AN70" s="124" t="str">
        <f t="array" ref="AN70">IFERROR(INDEX($AK$10:$AK$258, MATCH(0, IF(TRUE=$AI$10:$AI$258, COUNTIF($AN$9:$AN69, $AK$10:$AK$258), ""), 0)),"")</f>
        <v/>
      </c>
      <c r="AY70" s="370" t="str">
        <f t="shared" si="8"/>
        <v/>
      </c>
    </row>
    <row r="71" spans="2:51" ht="15">
      <c r="B71" s="110">
        <v>62</v>
      </c>
      <c r="C71" s="165"/>
      <c r="D71" s="165"/>
      <c r="E71" s="121"/>
      <c r="F71" s="362" t="str">
        <f>IF(D71="","",VLOOKUP(D71,'G-6 Hedgerow Data'!$B$2:$AG$15,2,FALSE))</f>
        <v/>
      </c>
      <c r="G71" s="363" t="str">
        <f>IF(D71="","",VLOOKUP(D71,'G-6 Hedgerow Data'!$B$2:$AG$15,3,FALSE))</f>
        <v/>
      </c>
      <c r="H71" s="114"/>
      <c r="I71" s="363" t="str">
        <f>IFERROR(IF(AND(F71="V.Low",OR(H71="Good",H71="Moderate")),"Error ▲",VLOOKUP(H71,'G-1 All Habitats'!$Z$2:$AA$9,2,FALSE)),"")</f>
        <v/>
      </c>
      <c r="J71" s="122"/>
      <c r="K71" s="382" t="str">
        <f>IF(J71="","",IF(VLOOKUP(J71,'G-3 Multipliers'!$L$3:$N$6,2,FALSE)=0,"Spatial Data Missing ⚠",VLOOKUP(J71,'G-3 Multipliers'!$L$3:$N$6,2,FALSE)))</f>
        <v/>
      </c>
      <c r="L71" s="386" t="str">
        <f>IF(J71="","",IF(VLOOKUP(J71,'G-3 Multipliers'!$L$3:$N$6,3,FALSE)=0,"Spatial Data Missing ⚠",VLOOKUP(J71,'G-3 Multipliers'!$L$3:$N$6,3,FALSE)))</f>
        <v/>
      </c>
      <c r="M71" s="425" t="str">
        <f>IF(D71="","",VLOOKUP(D71,'G-6 Hedgerow Data'!$B$1:$AH$15,33,FALSE))</f>
        <v/>
      </c>
      <c r="N71" s="376" t="str">
        <f t="shared" si="2"/>
        <v/>
      </c>
      <c r="O71" s="516"/>
      <c r="P71" s="368" t="str">
        <f>IF(O71="","",IF(VLOOKUP(O71,'G-3 Multipliers'!$S$3:$T$10,2,FALSE)=0,"Spatial Data Missing ⚠",VLOOKUP(O71,'G-3 Multipliers'!$S$3:$T$10,2,FALSE)))</f>
        <v/>
      </c>
      <c r="Q71" s="376" t="str">
        <f t="shared" si="3"/>
        <v/>
      </c>
      <c r="R71" s="32"/>
      <c r="S71" s="114"/>
      <c r="T71" s="125"/>
      <c r="U71" s="370" t="str">
        <f t="shared" si="4"/>
        <v/>
      </c>
      <c r="V71" s="370" t="str">
        <f t="shared" si="5"/>
        <v/>
      </c>
      <c r="W71" s="374" t="str">
        <f t="shared" si="6"/>
        <v/>
      </c>
      <c r="X71" s="378" t="str">
        <f t="shared" si="7"/>
        <v/>
      </c>
      <c r="Y71" s="119"/>
      <c r="Z71" s="120"/>
      <c r="AA71" s="120"/>
      <c r="AB71" s="120"/>
      <c r="AE71" s="30" t="str">
        <f>IFERROR(INDEX('G-6 Hedgerow Data'!$BJ$3:$BJ$15,MATCH(D71,'G-6 Hedgerow Data'!$B$3:$B$15,0)),"")</f>
        <v/>
      </c>
      <c r="AH71" s="124" t="str">
        <f t="shared" si="0"/>
        <v/>
      </c>
      <c r="AI71" s="124" t="str">
        <f t="shared" si="1"/>
        <v/>
      </c>
      <c r="AK71" s="124">
        <v>62</v>
      </c>
      <c r="AM71" s="124" t="str">
        <f t="array" ref="AM71">IFERROR(INDEX($AK$10:$AK$258, MATCH(0, IF(TRUE=$AH$10:$AH$258, COUNTIF($AM$9:$AM70, $AK$10:$AK$258), ""), 0)),"")</f>
        <v/>
      </c>
      <c r="AN71" s="124" t="str">
        <f t="array" ref="AN71">IFERROR(INDEX($AK$10:$AK$258, MATCH(0, IF(TRUE=$AI$10:$AI$258, COUNTIF($AN$9:$AN70, $AK$10:$AK$258), ""), 0)),"")</f>
        <v/>
      </c>
      <c r="AY71" s="370" t="str">
        <f t="shared" si="8"/>
        <v/>
      </c>
    </row>
    <row r="72" spans="2:51" ht="15">
      <c r="B72" s="110">
        <v>63</v>
      </c>
      <c r="C72" s="165"/>
      <c r="D72" s="165"/>
      <c r="E72" s="121"/>
      <c r="F72" s="362" t="str">
        <f>IF(D72="","",VLOOKUP(D72,'G-6 Hedgerow Data'!$B$2:$AG$15,2,FALSE))</f>
        <v/>
      </c>
      <c r="G72" s="363" t="str">
        <f>IF(D72="","",VLOOKUP(D72,'G-6 Hedgerow Data'!$B$2:$AG$15,3,FALSE))</f>
        <v/>
      </c>
      <c r="H72" s="114"/>
      <c r="I72" s="363" t="str">
        <f>IFERROR(IF(AND(F72="V.Low",OR(H72="Good",H72="Moderate")),"Error ▲",VLOOKUP(H72,'G-1 All Habitats'!$Z$2:$AA$9,2,FALSE)),"")</f>
        <v/>
      </c>
      <c r="J72" s="122"/>
      <c r="K72" s="382" t="str">
        <f>IF(J72="","",IF(VLOOKUP(J72,'G-3 Multipliers'!$L$3:$N$6,2,FALSE)=0,"Spatial Data Missing ⚠",VLOOKUP(J72,'G-3 Multipliers'!$L$3:$N$6,2,FALSE)))</f>
        <v/>
      </c>
      <c r="L72" s="386" t="str">
        <f>IF(J72="","",IF(VLOOKUP(J72,'G-3 Multipliers'!$L$3:$N$6,3,FALSE)=0,"Spatial Data Missing ⚠",VLOOKUP(J72,'G-3 Multipliers'!$L$3:$N$6,3,FALSE)))</f>
        <v/>
      </c>
      <c r="M72" s="425" t="str">
        <f>IF(D72="","",VLOOKUP(D72,'G-6 Hedgerow Data'!$B$1:$AH$15,33,FALSE))</f>
        <v/>
      </c>
      <c r="N72" s="376" t="str">
        <f t="shared" si="2"/>
        <v/>
      </c>
      <c r="O72" s="516"/>
      <c r="P72" s="368" t="str">
        <f>IF(O72="","",IF(VLOOKUP(O72,'G-3 Multipliers'!$S$3:$T$10,2,FALSE)=0,"Spatial Data Missing ⚠",VLOOKUP(O72,'G-3 Multipliers'!$S$3:$T$10,2,FALSE)))</f>
        <v/>
      </c>
      <c r="Q72" s="376" t="str">
        <f t="shared" si="3"/>
        <v/>
      </c>
      <c r="R72" s="32"/>
      <c r="S72" s="114"/>
      <c r="T72" s="125"/>
      <c r="U72" s="370" t="str">
        <f t="shared" si="4"/>
        <v/>
      </c>
      <c r="V72" s="370" t="str">
        <f t="shared" si="5"/>
        <v/>
      </c>
      <c r="W72" s="374" t="str">
        <f t="shared" si="6"/>
        <v/>
      </c>
      <c r="X72" s="378" t="str">
        <f t="shared" si="7"/>
        <v/>
      </c>
      <c r="Y72" s="119"/>
      <c r="Z72" s="120"/>
      <c r="AA72" s="120"/>
      <c r="AB72" s="120"/>
      <c r="AE72" s="30" t="str">
        <f>IFERROR(INDEX('G-6 Hedgerow Data'!$BJ$3:$BJ$15,MATCH(D72,'G-6 Hedgerow Data'!$B$3:$B$15,0)),"")</f>
        <v/>
      </c>
      <c r="AH72" s="124" t="str">
        <f t="shared" si="0"/>
        <v/>
      </c>
      <c r="AI72" s="124" t="str">
        <f t="shared" si="1"/>
        <v/>
      </c>
      <c r="AK72" s="124">
        <v>63</v>
      </c>
      <c r="AM72" s="124" t="str">
        <f t="array" ref="AM72">IFERROR(INDEX($AK$10:$AK$258, MATCH(0, IF(TRUE=$AH$10:$AH$258, COUNTIF($AM$9:$AM71, $AK$10:$AK$258), ""), 0)),"")</f>
        <v/>
      </c>
      <c r="AN72" s="124" t="str">
        <f t="array" ref="AN72">IFERROR(INDEX($AK$10:$AK$258, MATCH(0, IF(TRUE=$AI$10:$AI$258, COUNTIF($AN$9:$AN71, $AK$10:$AK$258), ""), 0)),"")</f>
        <v/>
      </c>
      <c r="AY72" s="370" t="str">
        <f t="shared" si="8"/>
        <v/>
      </c>
    </row>
    <row r="73" spans="2:51" ht="15">
      <c r="B73" s="110">
        <v>64</v>
      </c>
      <c r="C73" s="165"/>
      <c r="D73" s="165"/>
      <c r="E73" s="121"/>
      <c r="F73" s="362" t="str">
        <f>IF(D73="","",VLOOKUP(D73,'G-6 Hedgerow Data'!$B$2:$AG$15,2,FALSE))</f>
        <v/>
      </c>
      <c r="G73" s="363" t="str">
        <f>IF(D73="","",VLOOKUP(D73,'G-6 Hedgerow Data'!$B$2:$AG$15,3,FALSE))</f>
        <v/>
      </c>
      <c r="H73" s="114"/>
      <c r="I73" s="363" t="str">
        <f>IFERROR(IF(AND(F73="V.Low",OR(H73="Good",H73="Moderate")),"Error ▲",VLOOKUP(H73,'G-1 All Habitats'!$Z$2:$AA$9,2,FALSE)),"")</f>
        <v/>
      </c>
      <c r="J73" s="122"/>
      <c r="K73" s="382" t="str">
        <f>IF(J73="","",IF(VLOOKUP(J73,'G-3 Multipliers'!$L$3:$N$6,2,FALSE)=0,"Spatial Data Missing ⚠",VLOOKUP(J73,'G-3 Multipliers'!$L$3:$N$6,2,FALSE)))</f>
        <v/>
      </c>
      <c r="L73" s="386" t="str">
        <f>IF(J73="","",IF(VLOOKUP(J73,'G-3 Multipliers'!$L$3:$N$6,3,FALSE)=0,"Spatial Data Missing ⚠",VLOOKUP(J73,'G-3 Multipliers'!$L$3:$N$6,3,FALSE)))</f>
        <v/>
      </c>
      <c r="M73" s="425" t="str">
        <f>IF(D73="","",VLOOKUP(D73,'G-6 Hedgerow Data'!$B$1:$AH$15,33,FALSE))</f>
        <v/>
      </c>
      <c r="N73" s="376" t="str">
        <f t="shared" si="2"/>
        <v/>
      </c>
      <c r="O73" s="516"/>
      <c r="P73" s="368" t="str">
        <f>IF(O73="","",IF(VLOOKUP(O73,'G-3 Multipliers'!$S$3:$T$10,2,FALSE)=0,"Spatial Data Missing ⚠",VLOOKUP(O73,'G-3 Multipliers'!$S$3:$T$10,2,FALSE)))</f>
        <v/>
      </c>
      <c r="Q73" s="376" t="str">
        <f t="shared" si="3"/>
        <v/>
      </c>
      <c r="R73" s="32"/>
      <c r="S73" s="114"/>
      <c r="T73" s="125"/>
      <c r="U73" s="370" t="str">
        <f t="shared" si="4"/>
        <v/>
      </c>
      <c r="V73" s="370" t="str">
        <f t="shared" si="5"/>
        <v/>
      </c>
      <c r="W73" s="374" t="str">
        <f t="shared" si="6"/>
        <v/>
      </c>
      <c r="X73" s="378" t="str">
        <f t="shared" si="7"/>
        <v/>
      </c>
      <c r="Y73" s="119"/>
      <c r="Z73" s="120"/>
      <c r="AA73" s="120"/>
      <c r="AB73" s="120"/>
      <c r="AE73" s="30" t="str">
        <f>IFERROR(INDEX('G-6 Hedgerow Data'!$BJ$3:$BJ$15,MATCH(D73,'G-6 Hedgerow Data'!$B$3:$B$15,0)),"")</f>
        <v/>
      </c>
      <c r="AH73" s="124" t="str">
        <f t="shared" si="0"/>
        <v/>
      </c>
      <c r="AI73" s="124" t="str">
        <f t="shared" si="1"/>
        <v/>
      </c>
      <c r="AK73" s="124">
        <v>64</v>
      </c>
      <c r="AM73" s="124" t="str">
        <f t="array" ref="AM73">IFERROR(INDEX($AK$10:$AK$258, MATCH(0, IF(TRUE=$AH$10:$AH$258, COUNTIF($AM$9:$AM72, $AK$10:$AK$258), ""), 0)),"")</f>
        <v/>
      </c>
      <c r="AN73" s="124" t="str">
        <f t="array" ref="AN73">IFERROR(INDEX($AK$10:$AK$258, MATCH(0, IF(TRUE=$AI$10:$AI$258, COUNTIF($AN$9:$AN72, $AK$10:$AK$258), ""), 0)),"")</f>
        <v/>
      </c>
      <c r="AY73" s="370" t="str">
        <f t="shared" si="8"/>
        <v/>
      </c>
    </row>
    <row r="74" spans="2:51" ht="15">
      <c r="B74" s="110">
        <v>65</v>
      </c>
      <c r="C74" s="165"/>
      <c r="D74" s="165"/>
      <c r="E74" s="121"/>
      <c r="F74" s="362" t="str">
        <f>IF(D74="","",VLOOKUP(D74,'G-6 Hedgerow Data'!$B$2:$AG$15,2,FALSE))</f>
        <v/>
      </c>
      <c r="G74" s="363" t="str">
        <f>IF(D74="","",VLOOKUP(D74,'G-6 Hedgerow Data'!$B$2:$AG$15,3,FALSE))</f>
        <v/>
      </c>
      <c r="H74" s="114"/>
      <c r="I74" s="363" t="str">
        <f>IFERROR(IF(AND(F74="V.Low",OR(H74="Good",H74="Moderate")),"Error ▲",VLOOKUP(H74,'G-1 All Habitats'!$Z$2:$AA$9,2,FALSE)),"")</f>
        <v/>
      </c>
      <c r="J74" s="122"/>
      <c r="K74" s="382" t="str">
        <f>IF(J74="","",IF(VLOOKUP(J74,'G-3 Multipliers'!$L$3:$N$6,2,FALSE)=0,"Spatial Data Missing ⚠",VLOOKUP(J74,'G-3 Multipliers'!$L$3:$N$6,2,FALSE)))</f>
        <v/>
      </c>
      <c r="L74" s="386" t="str">
        <f>IF(J74="","",IF(VLOOKUP(J74,'G-3 Multipliers'!$L$3:$N$6,3,FALSE)=0,"Spatial Data Missing ⚠",VLOOKUP(J74,'G-3 Multipliers'!$L$3:$N$6,3,FALSE)))</f>
        <v/>
      </c>
      <c r="M74" s="425" t="str">
        <f>IF(D74="","",VLOOKUP(D74,'G-6 Hedgerow Data'!$B$1:$AH$15,33,FALSE))</f>
        <v/>
      </c>
      <c r="N74" s="376" t="str">
        <f t="shared" si="2"/>
        <v/>
      </c>
      <c r="O74" s="516"/>
      <c r="P74" s="368" t="str">
        <f>IF(O74="","",IF(VLOOKUP(O74,'G-3 Multipliers'!$S$3:$T$10,2,FALSE)=0,"Spatial Data Missing ⚠",VLOOKUP(O74,'G-3 Multipliers'!$S$3:$T$10,2,FALSE)))</f>
        <v/>
      </c>
      <c r="Q74" s="376" t="str">
        <f t="shared" si="3"/>
        <v/>
      </c>
      <c r="R74" s="32"/>
      <c r="S74" s="114"/>
      <c r="T74" s="125"/>
      <c r="U74" s="370" t="str">
        <f t="shared" si="4"/>
        <v/>
      </c>
      <c r="V74" s="370" t="str">
        <f t="shared" si="5"/>
        <v/>
      </c>
      <c r="W74" s="374" t="str">
        <f t="shared" si="6"/>
        <v/>
      </c>
      <c r="X74" s="378" t="str">
        <f t="shared" si="7"/>
        <v/>
      </c>
      <c r="Y74" s="119"/>
      <c r="Z74" s="120"/>
      <c r="AA74" s="120"/>
      <c r="AB74" s="120"/>
      <c r="AE74" s="30" t="str">
        <f>IFERROR(INDEX('G-6 Hedgerow Data'!$BJ$3:$BJ$15,MATCH(D74,'G-6 Hedgerow Data'!$B$3:$B$15,0)),"")</f>
        <v/>
      </c>
      <c r="AH74" s="124" t="str">
        <f t="shared" ref="AH74:AH137" si="9">IF(D74="","",IF(S74&gt;0,TRUE,FALSE))</f>
        <v/>
      </c>
      <c r="AI74" s="124" t="str">
        <f t="shared" ref="AI74:AI137" si="10">IF(D74="","",IF(T74&gt;0,TRUE,FALSE))</f>
        <v/>
      </c>
      <c r="AK74" s="124">
        <v>65</v>
      </c>
      <c r="AM74" s="124" t="str">
        <f t="array" ref="AM74">IFERROR(INDEX($AK$10:$AK$258, MATCH(0, IF(TRUE=$AH$10:$AH$258, COUNTIF($AM$9:$AM73, $AK$10:$AK$258), ""), 0)),"")</f>
        <v/>
      </c>
      <c r="AN74" s="124" t="str">
        <f t="array" ref="AN74">IFERROR(INDEX($AK$10:$AK$258, MATCH(0, IF(TRUE=$AI$10:$AI$258, COUNTIF($AN$9:$AN73, $AK$10:$AK$258), ""), 0)),"")</f>
        <v/>
      </c>
      <c r="AY74" s="370" t="str">
        <f t="shared" si="8"/>
        <v/>
      </c>
    </row>
    <row r="75" spans="2:51" ht="15">
      <c r="B75" s="110">
        <v>66</v>
      </c>
      <c r="C75" s="165"/>
      <c r="D75" s="165"/>
      <c r="E75" s="121"/>
      <c r="F75" s="362" t="str">
        <f>IF(D75="","",VLOOKUP(D75,'G-6 Hedgerow Data'!$B$2:$AG$15,2,FALSE))</f>
        <v/>
      </c>
      <c r="G75" s="363" t="str">
        <f>IF(D75="","",VLOOKUP(D75,'G-6 Hedgerow Data'!$B$2:$AG$15,3,FALSE))</f>
        <v/>
      </c>
      <c r="H75" s="114"/>
      <c r="I75" s="363" t="str">
        <f>IFERROR(IF(AND(F75="V.Low",OR(H75="Good",H75="Moderate")),"Error ▲",VLOOKUP(H75,'G-1 All Habitats'!$Z$2:$AA$9,2,FALSE)),"")</f>
        <v/>
      </c>
      <c r="J75" s="122"/>
      <c r="K75" s="382" t="str">
        <f>IF(J75="","",IF(VLOOKUP(J75,'G-3 Multipliers'!$L$3:$N$6,2,FALSE)=0,"Spatial Data Missing ⚠",VLOOKUP(J75,'G-3 Multipliers'!$L$3:$N$6,2,FALSE)))</f>
        <v/>
      </c>
      <c r="L75" s="386" t="str">
        <f>IF(J75="","",IF(VLOOKUP(J75,'G-3 Multipliers'!$L$3:$N$6,3,FALSE)=0,"Spatial Data Missing ⚠",VLOOKUP(J75,'G-3 Multipliers'!$L$3:$N$6,3,FALSE)))</f>
        <v/>
      </c>
      <c r="M75" s="425" t="str">
        <f>IF(D75="","",VLOOKUP(D75,'G-6 Hedgerow Data'!$B$1:$AH$15,33,FALSE))</f>
        <v/>
      </c>
      <c r="N75" s="376" t="str">
        <f t="shared" ref="N75:N138" si="11">IFERROR(E75*G75*I75*L75*P75,"")</f>
        <v/>
      </c>
      <c r="O75" s="516"/>
      <c r="P75" s="368" t="str">
        <f>IF(O75="","",IF(VLOOKUP(O75,'G-3 Multipliers'!$S$3:$T$10,2,FALSE)=0,"Spatial Data Missing ⚠",VLOOKUP(O75,'G-3 Multipliers'!$S$3:$T$10,2,FALSE)))</f>
        <v/>
      </c>
      <c r="Q75" s="376" t="str">
        <f t="shared" ref="Q75:Q138" si="12">IFERROR(IF(O75="", "", E75*G75*I75*L75),"")</f>
        <v/>
      </c>
      <c r="R75" s="32"/>
      <c r="S75" s="114"/>
      <c r="T75" s="125"/>
      <c r="U75" s="370" t="str">
        <f t="shared" ref="U75:U138" si="13">IFERROR(S75*G75*I75*L75,"")</f>
        <v/>
      </c>
      <c r="V75" s="370" t="str">
        <f t="shared" ref="V75:V138" si="14">IFERROR(T75*G75*I75*L75,"")</f>
        <v/>
      </c>
      <c r="W75" s="374" t="str">
        <f t="shared" ref="W75:W138" si="15">IF(D75="","",IF(E75&lt;S75+T75,"Error in Lengths ▲",E75-S75-T75))</f>
        <v/>
      </c>
      <c r="X75" s="378" t="str">
        <f t="shared" ref="X75:X138" si="16">IF(OR(E75="",N75=""),"",IF(E75&lt;S75+T75,"Error in Lengths",Q75-U75-V75))</f>
        <v/>
      </c>
      <c r="Y75" s="119"/>
      <c r="Z75" s="120"/>
      <c r="AA75" s="120"/>
      <c r="AB75" s="120"/>
      <c r="AE75" s="30" t="str">
        <f>IFERROR(INDEX('G-6 Hedgerow Data'!$BJ$3:$BJ$15,MATCH(D75,'G-6 Hedgerow Data'!$B$3:$B$15,0)),"")</f>
        <v/>
      </c>
      <c r="AH75" s="124" t="str">
        <f t="shared" si="9"/>
        <v/>
      </c>
      <c r="AI75" s="124" t="str">
        <f t="shared" si="10"/>
        <v/>
      </c>
      <c r="AK75" s="124">
        <v>66</v>
      </c>
      <c r="AM75" s="124" t="str">
        <f t="array" ref="AM75">IFERROR(INDEX($AK$10:$AK$258, MATCH(0, IF(TRUE=$AH$10:$AH$258, COUNTIF($AM$9:$AM74, $AK$10:$AK$258), ""), 0)),"")</f>
        <v/>
      </c>
      <c r="AN75" s="124" t="str">
        <f t="array" ref="AN75">IFERROR(INDEX($AK$10:$AK$258, MATCH(0, IF(TRUE=$AI$10:$AI$258, COUNTIF($AN$9:$AN74, $AK$10:$AK$258), ""), 0)),"")</f>
        <v/>
      </c>
      <c r="AY75" s="370" t="str">
        <f t="shared" ref="AY75:AY138" si="17">IFERROR(S75*G75*I75*L75*P75,"")</f>
        <v/>
      </c>
    </row>
    <row r="76" spans="2:51" ht="15">
      <c r="B76" s="110">
        <v>67</v>
      </c>
      <c r="C76" s="165"/>
      <c r="D76" s="165"/>
      <c r="E76" s="121"/>
      <c r="F76" s="362" t="str">
        <f>IF(D76="","",VLOOKUP(D76,'G-6 Hedgerow Data'!$B$2:$AG$15,2,FALSE))</f>
        <v/>
      </c>
      <c r="G76" s="363" t="str">
        <f>IF(D76="","",VLOOKUP(D76,'G-6 Hedgerow Data'!$B$2:$AG$15,3,FALSE))</f>
        <v/>
      </c>
      <c r="H76" s="114"/>
      <c r="I76" s="363" t="str">
        <f>IFERROR(IF(AND(F76="V.Low",OR(H76="Good",H76="Moderate")),"Error ▲",VLOOKUP(H76,'G-1 All Habitats'!$Z$2:$AA$9,2,FALSE)),"")</f>
        <v/>
      </c>
      <c r="J76" s="122"/>
      <c r="K76" s="382" t="str">
        <f>IF(J76="","",IF(VLOOKUP(J76,'G-3 Multipliers'!$L$3:$N$6,2,FALSE)=0,"Spatial Data Missing ⚠",VLOOKUP(J76,'G-3 Multipliers'!$L$3:$N$6,2,FALSE)))</f>
        <v/>
      </c>
      <c r="L76" s="386" t="str">
        <f>IF(J76="","",IF(VLOOKUP(J76,'G-3 Multipliers'!$L$3:$N$6,3,FALSE)=0,"Spatial Data Missing ⚠",VLOOKUP(J76,'G-3 Multipliers'!$L$3:$N$6,3,FALSE)))</f>
        <v/>
      </c>
      <c r="M76" s="425" t="str">
        <f>IF(D76="","",VLOOKUP(D76,'G-6 Hedgerow Data'!$B$1:$AH$15,33,FALSE))</f>
        <v/>
      </c>
      <c r="N76" s="376" t="str">
        <f t="shared" si="11"/>
        <v/>
      </c>
      <c r="O76" s="516"/>
      <c r="P76" s="368" t="str">
        <f>IF(O76="","",IF(VLOOKUP(O76,'G-3 Multipliers'!$S$3:$T$10,2,FALSE)=0,"Spatial Data Missing ⚠",VLOOKUP(O76,'G-3 Multipliers'!$S$3:$T$10,2,FALSE)))</f>
        <v/>
      </c>
      <c r="Q76" s="376" t="str">
        <f t="shared" si="12"/>
        <v/>
      </c>
      <c r="R76" s="32"/>
      <c r="S76" s="114"/>
      <c r="T76" s="125"/>
      <c r="U76" s="370" t="str">
        <f t="shared" si="13"/>
        <v/>
      </c>
      <c r="V76" s="370" t="str">
        <f t="shared" si="14"/>
        <v/>
      </c>
      <c r="W76" s="374" t="str">
        <f t="shared" si="15"/>
        <v/>
      </c>
      <c r="X76" s="378" t="str">
        <f t="shared" si="16"/>
        <v/>
      </c>
      <c r="Y76" s="119"/>
      <c r="Z76" s="120"/>
      <c r="AA76" s="120"/>
      <c r="AB76" s="120"/>
      <c r="AE76" s="30" t="str">
        <f>IFERROR(INDEX('G-6 Hedgerow Data'!$BJ$3:$BJ$15,MATCH(D76,'G-6 Hedgerow Data'!$B$3:$B$15,0)),"")</f>
        <v/>
      </c>
      <c r="AH76" s="124" t="str">
        <f t="shared" si="9"/>
        <v/>
      </c>
      <c r="AI76" s="124" t="str">
        <f t="shared" si="10"/>
        <v/>
      </c>
      <c r="AK76" s="124">
        <v>67</v>
      </c>
      <c r="AM76" s="124" t="str">
        <f t="array" ref="AM76">IFERROR(INDEX($AK$10:$AK$258, MATCH(0, IF(TRUE=$AH$10:$AH$258, COUNTIF($AM$9:$AM75, $AK$10:$AK$258), ""), 0)),"")</f>
        <v/>
      </c>
      <c r="AN76" s="124" t="str">
        <f t="array" ref="AN76">IFERROR(INDEX($AK$10:$AK$258, MATCH(0, IF(TRUE=$AI$10:$AI$258, COUNTIF($AN$9:$AN75, $AK$10:$AK$258), ""), 0)),"")</f>
        <v/>
      </c>
      <c r="AY76" s="370" t="str">
        <f t="shared" si="17"/>
        <v/>
      </c>
    </row>
    <row r="77" spans="2:51" ht="15">
      <c r="B77" s="110">
        <v>68</v>
      </c>
      <c r="C77" s="165"/>
      <c r="D77" s="165"/>
      <c r="E77" s="121"/>
      <c r="F77" s="362" t="str">
        <f>IF(D77="","",VLOOKUP(D77,'G-6 Hedgerow Data'!$B$2:$AG$15,2,FALSE))</f>
        <v/>
      </c>
      <c r="G77" s="363" t="str">
        <f>IF(D77="","",VLOOKUP(D77,'G-6 Hedgerow Data'!$B$2:$AG$15,3,FALSE))</f>
        <v/>
      </c>
      <c r="H77" s="114"/>
      <c r="I77" s="363" t="str">
        <f>IFERROR(IF(AND(F77="V.Low",OR(H77="Good",H77="Moderate")),"Error ▲",VLOOKUP(H77,'G-1 All Habitats'!$Z$2:$AA$9,2,FALSE)),"")</f>
        <v/>
      </c>
      <c r="J77" s="122"/>
      <c r="K77" s="382" t="str">
        <f>IF(J77="","",IF(VLOOKUP(J77,'G-3 Multipliers'!$L$3:$N$6,2,FALSE)=0,"Spatial Data Missing ⚠",VLOOKUP(J77,'G-3 Multipliers'!$L$3:$N$6,2,FALSE)))</f>
        <v/>
      </c>
      <c r="L77" s="386" t="str">
        <f>IF(J77="","",IF(VLOOKUP(J77,'G-3 Multipliers'!$L$3:$N$6,3,FALSE)=0,"Spatial Data Missing ⚠",VLOOKUP(J77,'G-3 Multipliers'!$L$3:$N$6,3,FALSE)))</f>
        <v/>
      </c>
      <c r="M77" s="425" t="str">
        <f>IF(D77="","",VLOOKUP(D77,'G-6 Hedgerow Data'!$B$1:$AH$15,33,FALSE))</f>
        <v/>
      </c>
      <c r="N77" s="376" t="str">
        <f t="shared" si="11"/>
        <v/>
      </c>
      <c r="O77" s="516"/>
      <c r="P77" s="368" t="str">
        <f>IF(O77="","",IF(VLOOKUP(O77,'G-3 Multipliers'!$S$3:$T$10,2,FALSE)=0,"Spatial Data Missing ⚠",VLOOKUP(O77,'G-3 Multipliers'!$S$3:$T$10,2,FALSE)))</f>
        <v/>
      </c>
      <c r="Q77" s="376" t="str">
        <f t="shared" si="12"/>
        <v/>
      </c>
      <c r="R77" s="32"/>
      <c r="S77" s="114"/>
      <c r="T77" s="125"/>
      <c r="U77" s="370" t="str">
        <f t="shared" si="13"/>
        <v/>
      </c>
      <c r="V77" s="370" t="str">
        <f t="shared" si="14"/>
        <v/>
      </c>
      <c r="W77" s="374" t="str">
        <f t="shared" si="15"/>
        <v/>
      </c>
      <c r="X77" s="378" t="str">
        <f t="shared" si="16"/>
        <v/>
      </c>
      <c r="Y77" s="119"/>
      <c r="Z77" s="120"/>
      <c r="AA77" s="120"/>
      <c r="AB77" s="120"/>
      <c r="AE77" s="30" t="str">
        <f>IFERROR(INDEX('G-6 Hedgerow Data'!$BJ$3:$BJ$15,MATCH(D77,'G-6 Hedgerow Data'!$B$3:$B$15,0)),"")</f>
        <v/>
      </c>
      <c r="AH77" s="124" t="str">
        <f t="shared" si="9"/>
        <v/>
      </c>
      <c r="AI77" s="124" t="str">
        <f t="shared" si="10"/>
        <v/>
      </c>
      <c r="AK77" s="124">
        <v>68</v>
      </c>
      <c r="AM77" s="124" t="str">
        <f t="array" ref="AM77">IFERROR(INDEX($AK$10:$AK$258, MATCH(0, IF(TRUE=$AH$10:$AH$258, COUNTIF($AM$9:$AM76, $AK$10:$AK$258), ""), 0)),"")</f>
        <v/>
      </c>
      <c r="AN77" s="124" t="str">
        <f t="array" ref="AN77">IFERROR(INDEX($AK$10:$AK$258, MATCH(0, IF(TRUE=$AI$10:$AI$258, COUNTIF($AN$9:$AN76, $AK$10:$AK$258), ""), 0)),"")</f>
        <v/>
      </c>
      <c r="AY77" s="370" t="str">
        <f t="shared" si="17"/>
        <v/>
      </c>
    </row>
    <row r="78" spans="2:51" ht="15">
      <c r="B78" s="110">
        <v>69</v>
      </c>
      <c r="C78" s="165"/>
      <c r="D78" s="165"/>
      <c r="E78" s="121"/>
      <c r="F78" s="362" t="str">
        <f>IF(D78="","",VLOOKUP(D78,'G-6 Hedgerow Data'!$B$2:$AG$15,2,FALSE))</f>
        <v/>
      </c>
      <c r="G78" s="363" t="str">
        <f>IF(D78="","",VLOOKUP(D78,'G-6 Hedgerow Data'!$B$2:$AG$15,3,FALSE))</f>
        <v/>
      </c>
      <c r="H78" s="114"/>
      <c r="I78" s="363" t="str">
        <f>IFERROR(IF(AND(F78="V.Low",OR(H78="Good",H78="Moderate")),"Error ▲",VLOOKUP(H78,'G-1 All Habitats'!$Z$2:$AA$9,2,FALSE)),"")</f>
        <v/>
      </c>
      <c r="J78" s="122"/>
      <c r="K78" s="382" t="str">
        <f>IF(J78="","",IF(VLOOKUP(J78,'G-3 Multipliers'!$L$3:$N$6,2,FALSE)=0,"Spatial Data Missing ⚠",VLOOKUP(J78,'G-3 Multipliers'!$L$3:$N$6,2,FALSE)))</f>
        <v/>
      </c>
      <c r="L78" s="386" t="str">
        <f>IF(J78="","",IF(VLOOKUP(J78,'G-3 Multipliers'!$L$3:$N$6,3,FALSE)=0,"Spatial Data Missing ⚠",VLOOKUP(J78,'G-3 Multipliers'!$L$3:$N$6,3,FALSE)))</f>
        <v/>
      </c>
      <c r="M78" s="425" t="str">
        <f>IF(D78="","",VLOOKUP(D78,'G-6 Hedgerow Data'!$B$1:$AH$15,33,FALSE))</f>
        <v/>
      </c>
      <c r="N78" s="376" t="str">
        <f t="shared" si="11"/>
        <v/>
      </c>
      <c r="O78" s="516"/>
      <c r="P78" s="368" t="str">
        <f>IF(O78="","",IF(VLOOKUP(O78,'G-3 Multipliers'!$S$3:$T$10,2,FALSE)=0,"Spatial Data Missing ⚠",VLOOKUP(O78,'G-3 Multipliers'!$S$3:$T$10,2,FALSE)))</f>
        <v/>
      </c>
      <c r="Q78" s="376" t="str">
        <f t="shared" si="12"/>
        <v/>
      </c>
      <c r="R78" s="32"/>
      <c r="S78" s="114"/>
      <c r="T78" s="125"/>
      <c r="U78" s="370" t="str">
        <f t="shared" si="13"/>
        <v/>
      </c>
      <c r="V78" s="370" t="str">
        <f t="shared" si="14"/>
        <v/>
      </c>
      <c r="W78" s="374" t="str">
        <f t="shared" si="15"/>
        <v/>
      </c>
      <c r="X78" s="378" t="str">
        <f t="shared" si="16"/>
        <v/>
      </c>
      <c r="Y78" s="119"/>
      <c r="Z78" s="120"/>
      <c r="AA78" s="120"/>
      <c r="AB78" s="120"/>
      <c r="AE78" s="30" t="str">
        <f>IFERROR(INDEX('G-6 Hedgerow Data'!$BJ$3:$BJ$15,MATCH(D78,'G-6 Hedgerow Data'!$B$3:$B$15,0)),"")</f>
        <v/>
      </c>
      <c r="AH78" s="124" t="str">
        <f t="shared" si="9"/>
        <v/>
      </c>
      <c r="AI78" s="124" t="str">
        <f t="shared" si="10"/>
        <v/>
      </c>
      <c r="AK78" s="124">
        <v>69</v>
      </c>
      <c r="AM78" s="124" t="str">
        <f t="array" ref="AM78">IFERROR(INDEX($AK$10:$AK$258, MATCH(0, IF(TRUE=$AH$10:$AH$258, COUNTIF($AM$9:$AM77, $AK$10:$AK$258), ""), 0)),"")</f>
        <v/>
      </c>
      <c r="AN78" s="124" t="str">
        <f t="array" ref="AN78">IFERROR(INDEX($AK$10:$AK$258, MATCH(0, IF(TRUE=$AI$10:$AI$258, COUNTIF($AN$9:$AN77, $AK$10:$AK$258), ""), 0)),"")</f>
        <v/>
      </c>
      <c r="AY78" s="370" t="str">
        <f t="shared" si="17"/>
        <v/>
      </c>
    </row>
    <row r="79" spans="2:51" ht="15">
      <c r="B79" s="110">
        <v>70</v>
      </c>
      <c r="C79" s="165"/>
      <c r="D79" s="165"/>
      <c r="E79" s="121"/>
      <c r="F79" s="362" t="str">
        <f>IF(D79="","",VLOOKUP(D79,'G-6 Hedgerow Data'!$B$2:$AG$15,2,FALSE))</f>
        <v/>
      </c>
      <c r="G79" s="363" t="str">
        <f>IF(D79="","",VLOOKUP(D79,'G-6 Hedgerow Data'!$B$2:$AG$15,3,FALSE))</f>
        <v/>
      </c>
      <c r="H79" s="114"/>
      <c r="I79" s="363" t="str">
        <f>IFERROR(IF(AND(F79="V.Low",OR(H79="Good",H79="Moderate")),"Error ▲",VLOOKUP(H79,'G-1 All Habitats'!$Z$2:$AA$9,2,FALSE)),"")</f>
        <v/>
      </c>
      <c r="J79" s="122"/>
      <c r="K79" s="382" t="str">
        <f>IF(J79="","",IF(VLOOKUP(J79,'G-3 Multipliers'!$L$3:$N$6,2,FALSE)=0,"Spatial Data Missing ⚠",VLOOKUP(J79,'G-3 Multipliers'!$L$3:$N$6,2,FALSE)))</f>
        <v/>
      </c>
      <c r="L79" s="386" t="str">
        <f>IF(J79="","",IF(VLOOKUP(J79,'G-3 Multipliers'!$L$3:$N$6,3,FALSE)=0,"Spatial Data Missing ⚠",VLOOKUP(J79,'G-3 Multipliers'!$L$3:$N$6,3,FALSE)))</f>
        <v/>
      </c>
      <c r="M79" s="425" t="str">
        <f>IF(D79="","",VLOOKUP(D79,'G-6 Hedgerow Data'!$B$1:$AH$15,33,FALSE))</f>
        <v/>
      </c>
      <c r="N79" s="376" t="str">
        <f t="shared" si="11"/>
        <v/>
      </c>
      <c r="O79" s="516"/>
      <c r="P79" s="368" t="str">
        <f>IF(O79="","",IF(VLOOKUP(O79,'G-3 Multipliers'!$S$3:$T$10,2,FALSE)=0,"Spatial Data Missing ⚠",VLOOKUP(O79,'G-3 Multipliers'!$S$3:$T$10,2,FALSE)))</f>
        <v/>
      </c>
      <c r="Q79" s="376" t="str">
        <f t="shared" si="12"/>
        <v/>
      </c>
      <c r="R79" s="32"/>
      <c r="S79" s="114"/>
      <c r="T79" s="125"/>
      <c r="U79" s="370" t="str">
        <f t="shared" si="13"/>
        <v/>
      </c>
      <c r="V79" s="370" t="str">
        <f t="shared" si="14"/>
        <v/>
      </c>
      <c r="W79" s="374" t="str">
        <f t="shared" si="15"/>
        <v/>
      </c>
      <c r="X79" s="378" t="str">
        <f t="shared" si="16"/>
        <v/>
      </c>
      <c r="Y79" s="119"/>
      <c r="Z79" s="120"/>
      <c r="AA79" s="120"/>
      <c r="AB79" s="120"/>
      <c r="AE79" s="30" t="str">
        <f>IFERROR(INDEX('G-6 Hedgerow Data'!$BJ$3:$BJ$15,MATCH(D79,'G-6 Hedgerow Data'!$B$3:$B$15,0)),"")</f>
        <v/>
      </c>
      <c r="AH79" s="124" t="str">
        <f t="shared" si="9"/>
        <v/>
      </c>
      <c r="AI79" s="124" t="str">
        <f t="shared" si="10"/>
        <v/>
      </c>
      <c r="AK79" s="124">
        <v>70</v>
      </c>
      <c r="AM79" s="124" t="str">
        <f t="array" ref="AM79">IFERROR(INDEX($AK$10:$AK$258, MATCH(0, IF(TRUE=$AH$10:$AH$258, COUNTIF($AM$9:$AM78, $AK$10:$AK$258), ""), 0)),"")</f>
        <v/>
      </c>
      <c r="AN79" s="124" t="str">
        <f t="array" ref="AN79">IFERROR(INDEX($AK$10:$AK$258, MATCH(0, IF(TRUE=$AI$10:$AI$258, COUNTIF($AN$9:$AN78, $AK$10:$AK$258), ""), 0)),"")</f>
        <v/>
      </c>
      <c r="AY79" s="370" t="str">
        <f t="shared" si="17"/>
        <v/>
      </c>
    </row>
    <row r="80" spans="2:51" ht="15">
      <c r="B80" s="110">
        <v>71</v>
      </c>
      <c r="C80" s="165"/>
      <c r="D80" s="165"/>
      <c r="E80" s="121"/>
      <c r="F80" s="362" t="str">
        <f>IF(D80="","",VLOOKUP(D80,'G-6 Hedgerow Data'!$B$2:$AG$15,2,FALSE))</f>
        <v/>
      </c>
      <c r="G80" s="363" t="str">
        <f>IF(D80="","",VLOOKUP(D80,'G-6 Hedgerow Data'!$B$2:$AG$15,3,FALSE))</f>
        <v/>
      </c>
      <c r="H80" s="114"/>
      <c r="I80" s="363" t="str">
        <f>IFERROR(IF(AND(F80="V.Low",OR(H80="Good",H80="Moderate")),"Error ▲",VLOOKUP(H80,'G-1 All Habitats'!$Z$2:$AA$9,2,FALSE)),"")</f>
        <v/>
      </c>
      <c r="J80" s="122"/>
      <c r="K80" s="382" t="str">
        <f>IF(J80="","",IF(VLOOKUP(J80,'G-3 Multipliers'!$L$3:$N$6,2,FALSE)=0,"Spatial Data Missing ⚠",VLOOKUP(J80,'G-3 Multipliers'!$L$3:$N$6,2,FALSE)))</f>
        <v/>
      </c>
      <c r="L80" s="386" t="str">
        <f>IF(J80="","",IF(VLOOKUP(J80,'G-3 Multipliers'!$L$3:$N$6,3,FALSE)=0,"Spatial Data Missing ⚠",VLOOKUP(J80,'G-3 Multipliers'!$L$3:$N$6,3,FALSE)))</f>
        <v/>
      </c>
      <c r="M80" s="425" t="str">
        <f>IF(D80="","",VLOOKUP(D80,'G-6 Hedgerow Data'!$B$1:$AH$15,33,FALSE))</f>
        <v/>
      </c>
      <c r="N80" s="376" t="str">
        <f t="shared" si="11"/>
        <v/>
      </c>
      <c r="O80" s="516"/>
      <c r="P80" s="368" t="str">
        <f>IF(O80="","",IF(VLOOKUP(O80,'G-3 Multipliers'!$S$3:$T$10,2,FALSE)=0,"Spatial Data Missing ⚠",VLOOKUP(O80,'G-3 Multipliers'!$S$3:$T$10,2,FALSE)))</f>
        <v/>
      </c>
      <c r="Q80" s="376" t="str">
        <f t="shared" si="12"/>
        <v/>
      </c>
      <c r="R80" s="32"/>
      <c r="S80" s="114"/>
      <c r="T80" s="125"/>
      <c r="U80" s="370" t="str">
        <f t="shared" si="13"/>
        <v/>
      </c>
      <c r="V80" s="370" t="str">
        <f t="shared" si="14"/>
        <v/>
      </c>
      <c r="W80" s="374" t="str">
        <f t="shared" si="15"/>
        <v/>
      </c>
      <c r="X80" s="378" t="str">
        <f t="shared" si="16"/>
        <v/>
      </c>
      <c r="Y80" s="119"/>
      <c r="Z80" s="120"/>
      <c r="AA80" s="120"/>
      <c r="AB80" s="120"/>
      <c r="AE80" s="30" t="str">
        <f>IFERROR(INDEX('G-6 Hedgerow Data'!$BJ$3:$BJ$15,MATCH(D80,'G-6 Hedgerow Data'!$B$3:$B$15,0)),"")</f>
        <v/>
      </c>
      <c r="AH80" s="124" t="str">
        <f t="shared" si="9"/>
        <v/>
      </c>
      <c r="AI80" s="124" t="str">
        <f t="shared" si="10"/>
        <v/>
      </c>
      <c r="AK80" s="124">
        <v>71</v>
      </c>
      <c r="AM80" s="124" t="str">
        <f t="array" ref="AM80">IFERROR(INDEX($AK$10:$AK$258, MATCH(0, IF(TRUE=$AH$10:$AH$258, COUNTIF($AM$9:$AM79, $AK$10:$AK$258), ""), 0)),"")</f>
        <v/>
      </c>
      <c r="AN80" s="124" t="str">
        <f t="array" ref="AN80">IFERROR(INDEX($AK$10:$AK$258, MATCH(0, IF(TRUE=$AI$10:$AI$258, COUNTIF($AN$9:$AN79, $AK$10:$AK$258), ""), 0)),"")</f>
        <v/>
      </c>
      <c r="AY80" s="370" t="str">
        <f t="shared" si="17"/>
        <v/>
      </c>
    </row>
    <row r="81" spans="2:51" ht="15">
      <c r="B81" s="110">
        <v>72</v>
      </c>
      <c r="C81" s="165"/>
      <c r="D81" s="165"/>
      <c r="E81" s="121"/>
      <c r="F81" s="362" t="str">
        <f>IF(D81="","",VLOOKUP(D81,'G-6 Hedgerow Data'!$B$2:$AG$15,2,FALSE))</f>
        <v/>
      </c>
      <c r="G81" s="363" t="str">
        <f>IF(D81="","",VLOOKUP(D81,'G-6 Hedgerow Data'!$B$2:$AG$15,3,FALSE))</f>
        <v/>
      </c>
      <c r="H81" s="114"/>
      <c r="I81" s="363" t="str">
        <f>IFERROR(IF(AND(F81="V.Low",OR(H81="Good",H81="Moderate")),"Error ▲",VLOOKUP(H81,'G-1 All Habitats'!$Z$2:$AA$9,2,FALSE)),"")</f>
        <v/>
      </c>
      <c r="J81" s="122"/>
      <c r="K81" s="382" t="str">
        <f>IF(J81="","",IF(VLOOKUP(J81,'G-3 Multipliers'!$L$3:$N$6,2,FALSE)=0,"Spatial Data Missing ⚠",VLOOKUP(J81,'G-3 Multipliers'!$L$3:$N$6,2,FALSE)))</f>
        <v/>
      </c>
      <c r="L81" s="386" t="str">
        <f>IF(J81="","",IF(VLOOKUP(J81,'G-3 Multipliers'!$L$3:$N$6,3,FALSE)=0,"Spatial Data Missing ⚠",VLOOKUP(J81,'G-3 Multipliers'!$L$3:$N$6,3,FALSE)))</f>
        <v/>
      </c>
      <c r="M81" s="425" t="str">
        <f>IF(D81="","",VLOOKUP(D81,'G-6 Hedgerow Data'!$B$1:$AH$15,33,FALSE))</f>
        <v/>
      </c>
      <c r="N81" s="376" t="str">
        <f t="shared" si="11"/>
        <v/>
      </c>
      <c r="O81" s="516"/>
      <c r="P81" s="368" t="str">
        <f>IF(O81="","",IF(VLOOKUP(O81,'G-3 Multipliers'!$S$3:$T$10,2,FALSE)=0,"Spatial Data Missing ⚠",VLOOKUP(O81,'G-3 Multipliers'!$S$3:$T$10,2,FALSE)))</f>
        <v/>
      </c>
      <c r="Q81" s="376" t="str">
        <f t="shared" si="12"/>
        <v/>
      </c>
      <c r="R81" s="32"/>
      <c r="S81" s="114"/>
      <c r="T81" s="125"/>
      <c r="U81" s="370" t="str">
        <f t="shared" si="13"/>
        <v/>
      </c>
      <c r="V81" s="370" t="str">
        <f t="shared" si="14"/>
        <v/>
      </c>
      <c r="W81" s="374" t="str">
        <f t="shared" si="15"/>
        <v/>
      </c>
      <c r="X81" s="378" t="str">
        <f t="shared" si="16"/>
        <v/>
      </c>
      <c r="Y81" s="119"/>
      <c r="Z81" s="120"/>
      <c r="AA81" s="120"/>
      <c r="AB81" s="120"/>
      <c r="AE81" s="30" t="str">
        <f>IFERROR(INDEX('G-6 Hedgerow Data'!$BJ$3:$BJ$15,MATCH(D81,'G-6 Hedgerow Data'!$B$3:$B$15,0)),"")</f>
        <v/>
      </c>
      <c r="AH81" s="124" t="str">
        <f t="shared" si="9"/>
        <v/>
      </c>
      <c r="AI81" s="124" t="str">
        <f t="shared" si="10"/>
        <v/>
      </c>
      <c r="AK81" s="124">
        <v>72</v>
      </c>
      <c r="AM81" s="124" t="str">
        <f t="array" ref="AM81">IFERROR(INDEX($AK$10:$AK$258, MATCH(0, IF(TRUE=$AH$10:$AH$258, COUNTIF($AM$9:$AM80, $AK$10:$AK$258), ""), 0)),"")</f>
        <v/>
      </c>
      <c r="AN81" s="124" t="str">
        <f t="array" ref="AN81">IFERROR(INDEX($AK$10:$AK$258, MATCH(0, IF(TRUE=$AI$10:$AI$258, COUNTIF($AN$9:$AN80, $AK$10:$AK$258), ""), 0)),"")</f>
        <v/>
      </c>
      <c r="AY81" s="370" t="str">
        <f t="shared" si="17"/>
        <v/>
      </c>
    </row>
    <row r="82" spans="2:51" ht="15">
      <c r="B82" s="110">
        <v>73</v>
      </c>
      <c r="C82" s="165"/>
      <c r="D82" s="165"/>
      <c r="E82" s="121"/>
      <c r="F82" s="362" t="str">
        <f>IF(D82="","",VLOOKUP(D82,'G-6 Hedgerow Data'!$B$2:$AG$15,2,FALSE))</f>
        <v/>
      </c>
      <c r="G82" s="363" t="str">
        <f>IF(D82="","",VLOOKUP(D82,'G-6 Hedgerow Data'!$B$2:$AG$15,3,FALSE))</f>
        <v/>
      </c>
      <c r="H82" s="114"/>
      <c r="I82" s="363" t="str">
        <f>IFERROR(IF(AND(F82="V.Low",OR(H82="Good",H82="Moderate")),"Error ▲",VLOOKUP(H82,'G-1 All Habitats'!$Z$2:$AA$9,2,FALSE)),"")</f>
        <v/>
      </c>
      <c r="J82" s="122"/>
      <c r="K82" s="382" t="str">
        <f>IF(J82="","",IF(VLOOKUP(J82,'G-3 Multipliers'!$L$3:$N$6,2,FALSE)=0,"Spatial Data Missing ⚠",VLOOKUP(J82,'G-3 Multipliers'!$L$3:$N$6,2,FALSE)))</f>
        <v/>
      </c>
      <c r="L82" s="386" t="str">
        <f>IF(J82="","",IF(VLOOKUP(J82,'G-3 Multipliers'!$L$3:$N$6,3,FALSE)=0,"Spatial Data Missing ⚠",VLOOKUP(J82,'G-3 Multipliers'!$L$3:$N$6,3,FALSE)))</f>
        <v/>
      </c>
      <c r="M82" s="425" t="str">
        <f>IF(D82="","",VLOOKUP(D82,'G-6 Hedgerow Data'!$B$1:$AH$15,33,FALSE))</f>
        <v/>
      </c>
      <c r="N82" s="376" t="str">
        <f t="shared" si="11"/>
        <v/>
      </c>
      <c r="O82" s="516"/>
      <c r="P82" s="368" t="str">
        <f>IF(O82="","",IF(VLOOKUP(O82,'G-3 Multipliers'!$S$3:$T$10,2,FALSE)=0,"Spatial Data Missing ⚠",VLOOKUP(O82,'G-3 Multipliers'!$S$3:$T$10,2,FALSE)))</f>
        <v/>
      </c>
      <c r="Q82" s="376" t="str">
        <f t="shared" si="12"/>
        <v/>
      </c>
      <c r="R82" s="32"/>
      <c r="S82" s="114"/>
      <c r="T82" s="125"/>
      <c r="U82" s="370" t="str">
        <f t="shared" si="13"/>
        <v/>
      </c>
      <c r="V82" s="370" t="str">
        <f t="shared" si="14"/>
        <v/>
      </c>
      <c r="W82" s="374" t="str">
        <f t="shared" si="15"/>
        <v/>
      </c>
      <c r="X82" s="378" t="str">
        <f t="shared" si="16"/>
        <v/>
      </c>
      <c r="Y82" s="119"/>
      <c r="Z82" s="120"/>
      <c r="AA82" s="120"/>
      <c r="AB82" s="120"/>
      <c r="AE82" s="30" t="str">
        <f>IFERROR(INDEX('G-6 Hedgerow Data'!$BJ$3:$BJ$15,MATCH(D82,'G-6 Hedgerow Data'!$B$3:$B$15,0)),"")</f>
        <v/>
      </c>
      <c r="AH82" s="124" t="str">
        <f t="shared" si="9"/>
        <v/>
      </c>
      <c r="AI82" s="124" t="str">
        <f t="shared" si="10"/>
        <v/>
      </c>
      <c r="AK82" s="124">
        <v>73</v>
      </c>
      <c r="AM82" s="124" t="str">
        <f t="array" ref="AM82">IFERROR(INDEX($AK$10:$AK$258, MATCH(0, IF(TRUE=$AH$10:$AH$258, COUNTIF($AM$9:$AM81, $AK$10:$AK$258), ""), 0)),"")</f>
        <v/>
      </c>
      <c r="AN82" s="124" t="str">
        <f t="array" ref="AN82">IFERROR(INDEX($AK$10:$AK$258, MATCH(0, IF(TRUE=$AI$10:$AI$258, COUNTIF($AN$9:$AN81, $AK$10:$AK$258), ""), 0)),"")</f>
        <v/>
      </c>
      <c r="AY82" s="370" t="str">
        <f t="shared" si="17"/>
        <v/>
      </c>
    </row>
    <row r="83" spans="2:51" ht="15">
      <c r="B83" s="110">
        <v>74</v>
      </c>
      <c r="C83" s="165"/>
      <c r="D83" s="165"/>
      <c r="E83" s="121"/>
      <c r="F83" s="362" t="str">
        <f>IF(D83="","",VLOOKUP(D83,'G-6 Hedgerow Data'!$B$2:$AG$15,2,FALSE))</f>
        <v/>
      </c>
      <c r="G83" s="363" t="str">
        <f>IF(D83="","",VLOOKUP(D83,'G-6 Hedgerow Data'!$B$2:$AG$15,3,FALSE))</f>
        <v/>
      </c>
      <c r="H83" s="114"/>
      <c r="I83" s="363" t="str">
        <f>IFERROR(IF(AND(F83="V.Low",OR(H83="Good",H83="Moderate")),"Error ▲",VLOOKUP(H83,'G-1 All Habitats'!$Z$2:$AA$9,2,FALSE)),"")</f>
        <v/>
      </c>
      <c r="J83" s="122"/>
      <c r="K83" s="382" t="str">
        <f>IF(J83="","",IF(VLOOKUP(J83,'G-3 Multipliers'!$L$3:$N$6,2,FALSE)=0,"Spatial Data Missing ⚠",VLOOKUP(J83,'G-3 Multipliers'!$L$3:$N$6,2,FALSE)))</f>
        <v/>
      </c>
      <c r="L83" s="386" t="str">
        <f>IF(J83="","",IF(VLOOKUP(J83,'G-3 Multipliers'!$L$3:$N$6,3,FALSE)=0,"Spatial Data Missing ⚠",VLOOKUP(J83,'G-3 Multipliers'!$L$3:$N$6,3,FALSE)))</f>
        <v/>
      </c>
      <c r="M83" s="425" t="str">
        <f>IF(D83="","",VLOOKUP(D83,'G-6 Hedgerow Data'!$B$1:$AH$15,33,FALSE))</f>
        <v/>
      </c>
      <c r="N83" s="376" t="str">
        <f t="shared" si="11"/>
        <v/>
      </c>
      <c r="O83" s="516"/>
      <c r="P83" s="368" t="str">
        <f>IF(O83="","",IF(VLOOKUP(O83,'G-3 Multipliers'!$S$3:$T$10,2,FALSE)=0,"Spatial Data Missing ⚠",VLOOKUP(O83,'G-3 Multipliers'!$S$3:$T$10,2,FALSE)))</f>
        <v/>
      </c>
      <c r="Q83" s="376" t="str">
        <f t="shared" si="12"/>
        <v/>
      </c>
      <c r="R83" s="32"/>
      <c r="S83" s="114"/>
      <c r="T83" s="125"/>
      <c r="U83" s="370" t="str">
        <f t="shared" si="13"/>
        <v/>
      </c>
      <c r="V83" s="370" t="str">
        <f t="shared" si="14"/>
        <v/>
      </c>
      <c r="W83" s="374" t="str">
        <f t="shared" si="15"/>
        <v/>
      </c>
      <c r="X83" s="378" t="str">
        <f t="shared" si="16"/>
        <v/>
      </c>
      <c r="Y83" s="119"/>
      <c r="Z83" s="120"/>
      <c r="AA83" s="120"/>
      <c r="AB83" s="120"/>
      <c r="AE83" s="30" t="str">
        <f>IFERROR(INDEX('G-6 Hedgerow Data'!$BJ$3:$BJ$15,MATCH(D83,'G-6 Hedgerow Data'!$B$3:$B$15,0)),"")</f>
        <v/>
      </c>
      <c r="AH83" s="124" t="str">
        <f t="shared" si="9"/>
        <v/>
      </c>
      <c r="AI83" s="124" t="str">
        <f t="shared" si="10"/>
        <v/>
      </c>
      <c r="AK83" s="124">
        <v>74</v>
      </c>
      <c r="AM83" s="124" t="str">
        <f t="array" ref="AM83">IFERROR(INDEX($AK$10:$AK$258, MATCH(0, IF(TRUE=$AH$10:$AH$258, COUNTIF($AM$9:$AM82, $AK$10:$AK$258), ""), 0)),"")</f>
        <v/>
      </c>
      <c r="AN83" s="124" t="str">
        <f t="array" ref="AN83">IFERROR(INDEX($AK$10:$AK$258, MATCH(0, IF(TRUE=$AI$10:$AI$258, COUNTIF($AN$9:$AN82, $AK$10:$AK$258), ""), 0)),"")</f>
        <v/>
      </c>
      <c r="AY83" s="370" t="str">
        <f t="shared" si="17"/>
        <v/>
      </c>
    </row>
    <row r="84" spans="2:51" ht="15">
      <c r="B84" s="110">
        <v>75</v>
      </c>
      <c r="C84" s="165"/>
      <c r="D84" s="165"/>
      <c r="E84" s="121"/>
      <c r="F84" s="362" t="str">
        <f>IF(D84="","",VLOOKUP(D84,'G-6 Hedgerow Data'!$B$2:$AG$15,2,FALSE))</f>
        <v/>
      </c>
      <c r="G84" s="363" t="str">
        <f>IF(D84="","",VLOOKUP(D84,'G-6 Hedgerow Data'!$B$2:$AG$15,3,FALSE))</f>
        <v/>
      </c>
      <c r="H84" s="114"/>
      <c r="I84" s="363" t="str">
        <f>IFERROR(IF(AND(F84="V.Low",OR(H84="Good",H84="Moderate")),"Error ▲",VLOOKUP(H84,'G-1 All Habitats'!$Z$2:$AA$9,2,FALSE)),"")</f>
        <v/>
      </c>
      <c r="J84" s="122"/>
      <c r="K84" s="382" t="str">
        <f>IF(J84="","",IF(VLOOKUP(J84,'G-3 Multipliers'!$L$3:$N$6,2,FALSE)=0,"Spatial Data Missing ⚠",VLOOKUP(J84,'G-3 Multipliers'!$L$3:$N$6,2,FALSE)))</f>
        <v/>
      </c>
      <c r="L84" s="386" t="str">
        <f>IF(J84="","",IF(VLOOKUP(J84,'G-3 Multipliers'!$L$3:$N$6,3,FALSE)=0,"Spatial Data Missing ⚠",VLOOKUP(J84,'G-3 Multipliers'!$L$3:$N$6,3,FALSE)))</f>
        <v/>
      </c>
      <c r="M84" s="425" t="str">
        <f>IF(D84="","",VLOOKUP(D84,'G-6 Hedgerow Data'!$B$1:$AH$15,33,FALSE))</f>
        <v/>
      </c>
      <c r="N84" s="376" t="str">
        <f t="shared" si="11"/>
        <v/>
      </c>
      <c r="O84" s="516"/>
      <c r="P84" s="368" t="str">
        <f>IF(O84="","",IF(VLOOKUP(O84,'G-3 Multipliers'!$S$3:$T$10,2,FALSE)=0,"Spatial Data Missing ⚠",VLOOKUP(O84,'G-3 Multipliers'!$S$3:$T$10,2,FALSE)))</f>
        <v/>
      </c>
      <c r="Q84" s="376" t="str">
        <f t="shared" si="12"/>
        <v/>
      </c>
      <c r="R84" s="32"/>
      <c r="S84" s="114"/>
      <c r="T84" s="125"/>
      <c r="U84" s="370" t="str">
        <f t="shared" si="13"/>
        <v/>
      </c>
      <c r="V84" s="370" t="str">
        <f t="shared" si="14"/>
        <v/>
      </c>
      <c r="W84" s="374" t="str">
        <f t="shared" si="15"/>
        <v/>
      </c>
      <c r="X84" s="378" t="str">
        <f t="shared" si="16"/>
        <v/>
      </c>
      <c r="Y84" s="119"/>
      <c r="Z84" s="120"/>
      <c r="AA84" s="120"/>
      <c r="AB84" s="120"/>
      <c r="AE84" s="30" t="str">
        <f>IFERROR(INDEX('G-6 Hedgerow Data'!$BJ$3:$BJ$15,MATCH(D84,'G-6 Hedgerow Data'!$B$3:$B$15,0)),"")</f>
        <v/>
      </c>
      <c r="AH84" s="124" t="str">
        <f t="shared" si="9"/>
        <v/>
      </c>
      <c r="AI84" s="124" t="str">
        <f t="shared" si="10"/>
        <v/>
      </c>
      <c r="AK84" s="124">
        <v>75</v>
      </c>
      <c r="AM84" s="124" t="str">
        <f t="array" ref="AM84">IFERROR(INDEX($AK$10:$AK$258, MATCH(0, IF(TRUE=$AH$10:$AH$258, COUNTIF($AM$9:$AM83, $AK$10:$AK$258), ""), 0)),"")</f>
        <v/>
      </c>
      <c r="AN84" s="124" t="str">
        <f t="array" ref="AN84">IFERROR(INDEX($AK$10:$AK$258, MATCH(0, IF(TRUE=$AI$10:$AI$258, COUNTIF($AN$9:$AN83, $AK$10:$AK$258), ""), 0)),"")</f>
        <v/>
      </c>
      <c r="AY84" s="370" t="str">
        <f t="shared" si="17"/>
        <v/>
      </c>
    </row>
    <row r="85" spans="2:51" ht="15">
      <c r="B85" s="110">
        <v>76</v>
      </c>
      <c r="C85" s="165"/>
      <c r="D85" s="165"/>
      <c r="E85" s="121"/>
      <c r="F85" s="362" t="str">
        <f>IF(D85="","",VLOOKUP(D85,'G-6 Hedgerow Data'!$B$2:$AG$15,2,FALSE))</f>
        <v/>
      </c>
      <c r="G85" s="363" t="str">
        <f>IF(D85="","",VLOOKUP(D85,'G-6 Hedgerow Data'!$B$2:$AG$15,3,FALSE))</f>
        <v/>
      </c>
      <c r="H85" s="114"/>
      <c r="I85" s="363" t="str">
        <f>IFERROR(IF(AND(F85="V.Low",OR(H85="Good",H85="Moderate")),"Error ▲",VLOOKUP(H85,'G-1 All Habitats'!$Z$2:$AA$9,2,FALSE)),"")</f>
        <v/>
      </c>
      <c r="J85" s="122"/>
      <c r="K85" s="382" t="str">
        <f>IF(J85="","",IF(VLOOKUP(J85,'G-3 Multipliers'!$L$3:$N$6,2,FALSE)=0,"Spatial Data Missing ⚠",VLOOKUP(J85,'G-3 Multipliers'!$L$3:$N$6,2,FALSE)))</f>
        <v/>
      </c>
      <c r="L85" s="386" t="str">
        <f>IF(J85="","",IF(VLOOKUP(J85,'G-3 Multipliers'!$L$3:$N$6,3,FALSE)=0,"Spatial Data Missing ⚠",VLOOKUP(J85,'G-3 Multipliers'!$L$3:$N$6,3,FALSE)))</f>
        <v/>
      </c>
      <c r="M85" s="425" t="str">
        <f>IF(D85="","",VLOOKUP(D85,'G-6 Hedgerow Data'!$B$1:$AH$15,33,FALSE))</f>
        <v/>
      </c>
      <c r="N85" s="376" t="str">
        <f t="shared" si="11"/>
        <v/>
      </c>
      <c r="O85" s="516"/>
      <c r="P85" s="368" t="str">
        <f>IF(O85="","",IF(VLOOKUP(O85,'G-3 Multipliers'!$S$3:$T$10,2,FALSE)=0,"Spatial Data Missing ⚠",VLOOKUP(O85,'G-3 Multipliers'!$S$3:$T$10,2,FALSE)))</f>
        <v/>
      </c>
      <c r="Q85" s="376" t="str">
        <f t="shared" si="12"/>
        <v/>
      </c>
      <c r="R85" s="32"/>
      <c r="S85" s="114"/>
      <c r="T85" s="125"/>
      <c r="U85" s="370" t="str">
        <f t="shared" si="13"/>
        <v/>
      </c>
      <c r="V85" s="370" t="str">
        <f t="shared" si="14"/>
        <v/>
      </c>
      <c r="W85" s="374" t="str">
        <f t="shared" si="15"/>
        <v/>
      </c>
      <c r="X85" s="378" t="str">
        <f t="shared" si="16"/>
        <v/>
      </c>
      <c r="Y85" s="119"/>
      <c r="Z85" s="120"/>
      <c r="AA85" s="120"/>
      <c r="AB85" s="120"/>
      <c r="AE85" s="30" t="str">
        <f>IFERROR(INDEX('G-6 Hedgerow Data'!$BJ$3:$BJ$15,MATCH(D85,'G-6 Hedgerow Data'!$B$3:$B$15,0)),"")</f>
        <v/>
      </c>
      <c r="AH85" s="124" t="str">
        <f t="shared" si="9"/>
        <v/>
      </c>
      <c r="AI85" s="124" t="str">
        <f t="shared" si="10"/>
        <v/>
      </c>
      <c r="AK85" s="124">
        <v>76</v>
      </c>
      <c r="AM85" s="124" t="str">
        <f t="array" ref="AM85">IFERROR(INDEX($AK$10:$AK$258, MATCH(0, IF(TRUE=$AH$10:$AH$258, COUNTIF($AM$9:$AM84, $AK$10:$AK$258), ""), 0)),"")</f>
        <v/>
      </c>
      <c r="AN85" s="124" t="str">
        <f t="array" ref="AN85">IFERROR(INDEX($AK$10:$AK$258, MATCH(0, IF(TRUE=$AI$10:$AI$258, COUNTIF($AN$9:$AN84, $AK$10:$AK$258), ""), 0)),"")</f>
        <v/>
      </c>
      <c r="AY85" s="370" t="str">
        <f t="shared" si="17"/>
        <v/>
      </c>
    </row>
    <row r="86" spans="2:51" ht="15">
      <c r="B86" s="110">
        <v>77</v>
      </c>
      <c r="C86" s="165"/>
      <c r="D86" s="165"/>
      <c r="E86" s="121"/>
      <c r="F86" s="362" t="str">
        <f>IF(D86="","",VLOOKUP(D86,'G-6 Hedgerow Data'!$B$2:$AG$15,2,FALSE))</f>
        <v/>
      </c>
      <c r="G86" s="363" t="str">
        <f>IF(D86="","",VLOOKUP(D86,'G-6 Hedgerow Data'!$B$2:$AG$15,3,FALSE))</f>
        <v/>
      </c>
      <c r="H86" s="114"/>
      <c r="I86" s="363" t="str">
        <f>IFERROR(IF(AND(F86="V.Low",OR(H86="Good",H86="Moderate")),"Error ▲",VLOOKUP(H86,'G-1 All Habitats'!$Z$2:$AA$9,2,FALSE)),"")</f>
        <v/>
      </c>
      <c r="J86" s="122"/>
      <c r="K86" s="382" t="str">
        <f>IF(J86="","",IF(VLOOKUP(J86,'G-3 Multipliers'!$L$3:$N$6,2,FALSE)=0,"Spatial Data Missing ⚠",VLOOKUP(J86,'G-3 Multipliers'!$L$3:$N$6,2,FALSE)))</f>
        <v/>
      </c>
      <c r="L86" s="386" t="str">
        <f>IF(J86="","",IF(VLOOKUP(J86,'G-3 Multipliers'!$L$3:$N$6,3,FALSE)=0,"Spatial Data Missing ⚠",VLOOKUP(J86,'G-3 Multipliers'!$L$3:$N$6,3,FALSE)))</f>
        <v/>
      </c>
      <c r="M86" s="425" t="str">
        <f>IF(D86="","",VLOOKUP(D86,'G-6 Hedgerow Data'!$B$1:$AH$15,33,FALSE))</f>
        <v/>
      </c>
      <c r="N86" s="376" t="str">
        <f t="shared" si="11"/>
        <v/>
      </c>
      <c r="O86" s="516"/>
      <c r="P86" s="368" t="str">
        <f>IF(O86="","",IF(VLOOKUP(O86,'G-3 Multipliers'!$S$3:$T$10,2,FALSE)=0,"Spatial Data Missing ⚠",VLOOKUP(O86,'G-3 Multipliers'!$S$3:$T$10,2,FALSE)))</f>
        <v/>
      </c>
      <c r="Q86" s="376" t="str">
        <f t="shared" si="12"/>
        <v/>
      </c>
      <c r="R86" s="32"/>
      <c r="S86" s="114"/>
      <c r="T86" s="125"/>
      <c r="U86" s="370" t="str">
        <f t="shared" si="13"/>
        <v/>
      </c>
      <c r="V86" s="370" t="str">
        <f t="shared" si="14"/>
        <v/>
      </c>
      <c r="W86" s="374" t="str">
        <f t="shared" si="15"/>
        <v/>
      </c>
      <c r="X86" s="378" t="str">
        <f t="shared" si="16"/>
        <v/>
      </c>
      <c r="Y86" s="119"/>
      <c r="Z86" s="120"/>
      <c r="AA86" s="120"/>
      <c r="AB86" s="120"/>
      <c r="AE86" s="30" t="str">
        <f>IFERROR(INDEX('G-6 Hedgerow Data'!$BJ$3:$BJ$15,MATCH(D86,'G-6 Hedgerow Data'!$B$3:$B$15,0)),"")</f>
        <v/>
      </c>
      <c r="AH86" s="124" t="str">
        <f t="shared" si="9"/>
        <v/>
      </c>
      <c r="AI86" s="124" t="str">
        <f t="shared" si="10"/>
        <v/>
      </c>
      <c r="AK86" s="124">
        <v>77</v>
      </c>
      <c r="AM86" s="124" t="str">
        <f t="array" ref="AM86">IFERROR(INDEX($AK$10:$AK$258, MATCH(0, IF(TRUE=$AH$10:$AH$258, COUNTIF($AM$9:$AM85, $AK$10:$AK$258), ""), 0)),"")</f>
        <v/>
      </c>
      <c r="AN86" s="124" t="str">
        <f t="array" ref="AN86">IFERROR(INDEX($AK$10:$AK$258, MATCH(0, IF(TRUE=$AI$10:$AI$258, COUNTIF($AN$9:$AN85, $AK$10:$AK$258), ""), 0)),"")</f>
        <v/>
      </c>
      <c r="AY86" s="370" t="str">
        <f t="shared" si="17"/>
        <v/>
      </c>
    </row>
    <row r="87" spans="2:51" ht="15">
      <c r="B87" s="110">
        <v>78</v>
      </c>
      <c r="C87" s="165"/>
      <c r="D87" s="165"/>
      <c r="E87" s="121"/>
      <c r="F87" s="362" t="str">
        <f>IF(D87="","",VLOOKUP(D87,'G-6 Hedgerow Data'!$B$2:$AG$15,2,FALSE))</f>
        <v/>
      </c>
      <c r="G87" s="363" t="str">
        <f>IF(D87="","",VLOOKUP(D87,'G-6 Hedgerow Data'!$B$2:$AG$15,3,FALSE))</f>
        <v/>
      </c>
      <c r="H87" s="114"/>
      <c r="I87" s="363" t="str">
        <f>IFERROR(IF(AND(F87="V.Low",OR(H87="Good",H87="Moderate")),"Error ▲",VLOOKUP(H87,'G-1 All Habitats'!$Z$2:$AA$9,2,FALSE)),"")</f>
        <v/>
      </c>
      <c r="J87" s="122"/>
      <c r="K87" s="382" t="str">
        <f>IF(J87="","",IF(VLOOKUP(J87,'G-3 Multipliers'!$L$3:$N$6,2,FALSE)=0,"Spatial Data Missing ⚠",VLOOKUP(J87,'G-3 Multipliers'!$L$3:$N$6,2,FALSE)))</f>
        <v/>
      </c>
      <c r="L87" s="386" t="str">
        <f>IF(J87="","",IF(VLOOKUP(J87,'G-3 Multipliers'!$L$3:$N$6,3,FALSE)=0,"Spatial Data Missing ⚠",VLOOKUP(J87,'G-3 Multipliers'!$L$3:$N$6,3,FALSE)))</f>
        <v/>
      </c>
      <c r="M87" s="425" t="str">
        <f>IF(D87="","",VLOOKUP(D87,'G-6 Hedgerow Data'!$B$1:$AH$15,33,FALSE))</f>
        <v/>
      </c>
      <c r="N87" s="376" t="str">
        <f t="shared" si="11"/>
        <v/>
      </c>
      <c r="O87" s="516"/>
      <c r="P87" s="368" t="str">
        <f>IF(O87="","",IF(VLOOKUP(O87,'G-3 Multipliers'!$S$3:$T$10,2,FALSE)=0,"Spatial Data Missing ⚠",VLOOKUP(O87,'G-3 Multipliers'!$S$3:$T$10,2,FALSE)))</f>
        <v/>
      </c>
      <c r="Q87" s="376" t="str">
        <f t="shared" si="12"/>
        <v/>
      </c>
      <c r="R87" s="32"/>
      <c r="S87" s="114"/>
      <c r="T87" s="125"/>
      <c r="U87" s="370" t="str">
        <f t="shared" si="13"/>
        <v/>
      </c>
      <c r="V87" s="370" t="str">
        <f t="shared" si="14"/>
        <v/>
      </c>
      <c r="W87" s="374" t="str">
        <f t="shared" si="15"/>
        <v/>
      </c>
      <c r="X87" s="378" t="str">
        <f t="shared" si="16"/>
        <v/>
      </c>
      <c r="Y87" s="119"/>
      <c r="Z87" s="120"/>
      <c r="AA87" s="120"/>
      <c r="AB87" s="120"/>
      <c r="AE87" s="30" t="str">
        <f>IFERROR(INDEX('G-6 Hedgerow Data'!$BJ$3:$BJ$15,MATCH(D87,'G-6 Hedgerow Data'!$B$3:$B$15,0)),"")</f>
        <v/>
      </c>
      <c r="AH87" s="124" t="str">
        <f t="shared" si="9"/>
        <v/>
      </c>
      <c r="AI87" s="124" t="str">
        <f t="shared" si="10"/>
        <v/>
      </c>
      <c r="AK87" s="124">
        <v>78</v>
      </c>
      <c r="AM87" s="124" t="str">
        <f t="array" ref="AM87">IFERROR(INDEX($AK$10:$AK$258, MATCH(0, IF(TRUE=$AH$10:$AH$258, COUNTIF($AM$9:$AM86, $AK$10:$AK$258), ""), 0)),"")</f>
        <v/>
      </c>
      <c r="AN87" s="124" t="str">
        <f t="array" ref="AN87">IFERROR(INDEX($AK$10:$AK$258, MATCH(0, IF(TRUE=$AI$10:$AI$258, COUNTIF($AN$9:$AN86, $AK$10:$AK$258), ""), 0)),"")</f>
        <v/>
      </c>
      <c r="AY87" s="370" t="str">
        <f t="shared" si="17"/>
        <v/>
      </c>
    </row>
    <row r="88" spans="2:51" ht="15">
      <c r="B88" s="110">
        <v>79</v>
      </c>
      <c r="C88" s="165"/>
      <c r="D88" s="165"/>
      <c r="E88" s="121"/>
      <c r="F88" s="362" t="str">
        <f>IF(D88="","",VLOOKUP(D88,'G-6 Hedgerow Data'!$B$2:$AG$15,2,FALSE))</f>
        <v/>
      </c>
      <c r="G88" s="363" t="str">
        <f>IF(D88="","",VLOOKUP(D88,'G-6 Hedgerow Data'!$B$2:$AG$15,3,FALSE))</f>
        <v/>
      </c>
      <c r="H88" s="114"/>
      <c r="I88" s="363" t="str">
        <f>IFERROR(IF(AND(F88="V.Low",OR(H88="Good",H88="Moderate")),"Error ▲",VLOOKUP(H88,'G-1 All Habitats'!$Z$2:$AA$9,2,FALSE)),"")</f>
        <v/>
      </c>
      <c r="J88" s="122"/>
      <c r="K88" s="382" t="str">
        <f>IF(J88="","",IF(VLOOKUP(J88,'G-3 Multipliers'!$L$3:$N$6,2,FALSE)=0,"Spatial Data Missing ⚠",VLOOKUP(J88,'G-3 Multipliers'!$L$3:$N$6,2,FALSE)))</f>
        <v/>
      </c>
      <c r="L88" s="386" t="str">
        <f>IF(J88="","",IF(VLOOKUP(J88,'G-3 Multipliers'!$L$3:$N$6,3,FALSE)=0,"Spatial Data Missing ⚠",VLOOKUP(J88,'G-3 Multipliers'!$L$3:$N$6,3,FALSE)))</f>
        <v/>
      </c>
      <c r="M88" s="425" t="str">
        <f>IF(D88="","",VLOOKUP(D88,'G-6 Hedgerow Data'!$B$1:$AH$15,33,FALSE))</f>
        <v/>
      </c>
      <c r="N88" s="376" t="str">
        <f t="shared" si="11"/>
        <v/>
      </c>
      <c r="O88" s="516"/>
      <c r="P88" s="368" t="str">
        <f>IF(O88="","",IF(VLOOKUP(O88,'G-3 Multipliers'!$S$3:$T$10,2,FALSE)=0,"Spatial Data Missing ⚠",VLOOKUP(O88,'G-3 Multipliers'!$S$3:$T$10,2,FALSE)))</f>
        <v/>
      </c>
      <c r="Q88" s="376" t="str">
        <f t="shared" si="12"/>
        <v/>
      </c>
      <c r="R88" s="32"/>
      <c r="S88" s="114"/>
      <c r="T88" s="125"/>
      <c r="U88" s="370" t="str">
        <f t="shared" si="13"/>
        <v/>
      </c>
      <c r="V88" s="370" t="str">
        <f t="shared" si="14"/>
        <v/>
      </c>
      <c r="W88" s="374" t="str">
        <f t="shared" si="15"/>
        <v/>
      </c>
      <c r="X88" s="378" t="str">
        <f t="shared" si="16"/>
        <v/>
      </c>
      <c r="Y88" s="119"/>
      <c r="Z88" s="120"/>
      <c r="AA88" s="120"/>
      <c r="AB88" s="120"/>
      <c r="AE88" s="30" t="str">
        <f>IFERROR(INDEX('G-6 Hedgerow Data'!$BJ$3:$BJ$15,MATCH(D88,'G-6 Hedgerow Data'!$B$3:$B$15,0)),"")</f>
        <v/>
      </c>
      <c r="AH88" s="124" t="str">
        <f t="shared" si="9"/>
        <v/>
      </c>
      <c r="AI88" s="124" t="str">
        <f t="shared" si="10"/>
        <v/>
      </c>
      <c r="AK88" s="124">
        <v>79</v>
      </c>
      <c r="AM88" s="124" t="str">
        <f t="array" ref="AM88">IFERROR(INDEX($AK$10:$AK$258, MATCH(0, IF(TRUE=$AH$10:$AH$258, COUNTIF($AM$9:$AM87, $AK$10:$AK$258), ""), 0)),"")</f>
        <v/>
      </c>
      <c r="AN88" s="124" t="str">
        <f t="array" ref="AN88">IFERROR(INDEX($AK$10:$AK$258, MATCH(0, IF(TRUE=$AI$10:$AI$258, COUNTIF($AN$9:$AN87, $AK$10:$AK$258), ""), 0)),"")</f>
        <v/>
      </c>
      <c r="AY88" s="370" t="str">
        <f t="shared" si="17"/>
        <v/>
      </c>
    </row>
    <row r="89" spans="2:51" ht="15">
      <c r="B89" s="110">
        <v>80</v>
      </c>
      <c r="C89" s="165"/>
      <c r="D89" s="165"/>
      <c r="E89" s="121"/>
      <c r="F89" s="362" t="str">
        <f>IF(D89="","",VLOOKUP(D89,'G-6 Hedgerow Data'!$B$2:$AG$15,2,FALSE))</f>
        <v/>
      </c>
      <c r="G89" s="363" t="str">
        <f>IF(D89="","",VLOOKUP(D89,'G-6 Hedgerow Data'!$B$2:$AG$15,3,FALSE))</f>
        <v/>
      </c>
      <c r="H89" s="114"/>
      <c r="I89" s="363" t="str">
        <f>IFERROR(IF(AND(F89="V.Low",OR(H89="Good",H89="Moderate")),"Error ▲",VLOOKUP(H89,'G-1 All Habitats'!$Z$2:$AA$9,2,FALSE)),"")</f>
        <v/>
      </c>
      <c r="J89" s="122"/>
      <c r="K89" s="382" t="str">
        <f>IF(J89="","",IF(VLOOKUP(J89,'G-3 Multipliers'!$L$3:$N$6,2,FALSE)=0,"Spatial Data Missing ⚠",VLOOKUP(J89,'G-3 Multipliers'!$L$3:$N$6,2,FALSE)))</f>
        <v/>
      </c>
      <c r="L89" s="386" t="str">
        <f>IF(J89="","",IF(VLOOKUP(J89,'G-3 Multipliers'!$L$3:$N$6,3,FALSE)=0,"Spatial Data Missing ⚠",VLOOKUP(J89,'G-3 Multipliers'!$L$3:$N$6,3,FALSE)))</f>
        <v/>
      </c>
      <c r="M89" s="425" t="str">
        <f>IF(D89="","",VLOOKUP(D89,'G-6 Hedgerow Data'!$B$1:$AH$15,33,FALSE))</f>
        <v/>
      </c>
      <c r="N89" s="376" t="str">
        <f t="shared" si="11"/>
        <v/>
      </c>
      <c r="O89" s="516"/>
      <c r="P89" s="368" t="str">
        <f>IF(O89="","",IF(VLOOKUP(O89,'G-3 Multipliers'!$S$3:$T$10,2,FALSE)=0,"Spatial Data Missing ⚠",VLOOKUP(O89,'G-3 Multipliers'!$S$3:$T$10,2,FALSE)))</f>
        <v/>
      </c>
      <c r="Q89" s="376" t="str">
        <f t="shared" si="12"/>
        <v/>
      </c>
      <c r="R89" s="32"/>
      <c r="S89" s="114"/>
      <c r="T89" s="125"/>
      <c r="U89" s="370" t="str">
        <f t="shared" si="13"/>
        <v/>
      </c>
      <c r="V89" s="370" t="str">
        <f t="shared" si="14"/>
        <v/>
      </c>
      <c r="W89" s="374" t="str">
        <f t="shared" si="15"/>
        <v/>
      </c>
      <c r="X89" s="378" t="str">
        <f t="shared" si="16"/>
        <v/>
      </c>
      <c r="Y89" s="119"/>
      <c r="Z89" s="120"/>
      <c r="AA89" s="120"/>
      <c r="AB89" s="120"/>
      <c r="AE89" s="30" t="str">
        <f>IFERROR(INDEX('G-6 Hedgerow Data'!$BJ$3:$BJ$15,MATCH(D89,'G-6 Hedgerow Data'!$B$3:$B$15,0)),"")</f>
        <v/>
      </c>
      <c r="AH89" s="124" t="str">
        <f t="shared" si="9"/>
        <v/>
      </c>
      <c r="AI89" s="124" t="str">
        <f t="shared" si="10"/>
        <v/>
      </c>
      <c r="AK89" s="124">
        <v>80</v>
      </c>
      <c r="AM89" s="124" t="str">
        <f t="array" ref="AM89">IFERROR(INDEX($AK$10:$AK$258, MATCH(0, IF(TRUE=$AH$10:$AH$258, COUNTIF($AM$9:$AM88, $AK$10:$AK$258), ""), 0)),"")</f>
        <v/>
      </c>
      <c r="AN89" s="124" t="str">
        <f t="array" ref="AN89">IFERROR(INDEX($AK$10:$AK$258, MATCH(0, IF(TRUE=$AI$10:$AI$258, COUNTIF($AN$9:$AN88, $AK$10:$AK$258), ""), 0)),"")</f>
        <v/>
      </c>
      <c r="AY89" s="370" t="str">
        <f t="shared" si="17"/>
        <v/>
      </c>
    </row>
    <row r="90" spans="2:51" ht="15">
      <c r="B90" s="110">
        <v>81</v>
      </c>
      <c r="C90" s="165"/>
      <c r="D90" s="165"/>
      <c r="E90" s="121"/>
      <c r="F90" s="362" t="str">
        <f>IF(D90="","",VLOOKUP(D90,'G-6 Hedgerow Data'!$B$2:$AG$15,2,FALSE))</f>
        <v/>
      </c>
      <c r="G90" s="363" t="str">
        <f>IF(D90="","",VLOOKUP(D90,'G-6 Hedgerow Data'!$B$2:$AG$15,3,FALSE))</f>
        <v/>
      </c>
      <c r="H90" s="114"/>
      <c r="I90" s="363" t="str">
        <f>IFERROR(IF(AND(F90="V.Low",OR(H90="Good",H90="Moderate")),"Error ▲",VLOOKUP(H90,'G-1 All Habitats'!$Z$2:$AA$9,2,FALSE)),"")</f>
        <v/>
      </c>
      <c r="J90" s="122"/>
      <c r="K90" s="382" t="str">
        <f>IF(J90="","",IF(VLOOKUP(J90,'G-3 Multipliers'!$L$3:$N$6,2,FALSE)=0,"Spatial Data Missing ⚠",VLOOKUP(J90,'G-3 Multipliers'!$L$3:$N$6,2,FALSE)))</f>
        <v/>
      </c>
      <c r="L90" s="386" t="str">
        <f>IF(J90="","",IF(VLOOKUP(J90,'G-3 Multipliers'!$L$3:$N$6,3,FALSE)=0,"Spatial Data Missing ⚠",VLOOKUP(J90,'G-3 Multipliers'!$L$3:$N$6,3,FALSE)))</f>
        <v/>
      </c>
      <c r="M90" s="425" t="str">
        <f>IF(D90="","",VLOOKUP(D90,'G-6 Hedgerow Data'!$B$1:$AH$15,33,FALSE))</f>
        <v/>
      </c>
      <c r="N90" s="376" t="str">
        <f t="shared" si="11"/>
        <v/>
      </c>
      <c r="O90" s="516"/>
      <c r="P90" s="368" t="str">
        <f>IF(O90="","",IF(VLOOKUP(O90,'G-3 Multipliers'!$S$3:$T$10,2,FALSE)=0,"Spatial Data Missing ⚠",VLOOKUP(O90,'G-3 Multipliers'!$S$3:$T$10,2,FALSE)))</f>
        <v/>
      </c>
      <c r="Q90" s="376" t="str">
        <f t="shared" si="12"/>
        <v/>
      </c>
      <c r="R90" s="32"/>
      <c r="S90" s="114"/>
      <c r="T90" s="125"/>
      <c r="U90" s="370" t="str">
        <f t="shared" si="13"/>
        <v/>
      </c>
      <c r="V90" s="370" t="str">
        <f t="shared" si="14"/>
        <v/>
      </c>
      <c r="W90" s="374" t="str">
        <f t="shared" si="15"/>
        <v/>
      </c>
      <c r="X90" s="378" t="str">
        <f t="shared" si="16"/>
        <v/>
      </c>
      <c r="Y90" s="119"/>
      <c r="Z90" s="120"/>
      <c r="AA90" s="120"/>
      <c r="AB90" s="120"/>
      <c r="AE90" s="30" t="str">
        <f>IFERROR(INDEX('G-6 Hedgerow Data'!$BJ$3:$BJ$15,MATCH(D90,'G-6 Hedgerow Data'!$B$3:$B$15,0)),"")</f>
        <v/>
      </c>
      <c r="AH90" s="124" t="str">
        <f t="shared" si="9"/>
        <v/>
      </c>
      <c r="AI90" s="124" t="str">
        <f t="shared" si="10"/>
        <v/>
      </c>
      <c r="AK90" s="124">
        <v>81</v>
      </c>
      <c r="AM90" s="124" t="str">
        <f t="array" ref="AM90">IFERROR(INDEX($AK$10:$AK$258, MATCH(0, IF(TRUE=$AH$10:$AH$258, COUNTIF($AM$9:$AM89, $AK$10:$AK$258), ""), 0)),"")</f>
        <v/>
      </c>
      <c r="AN90" s="124" t="str">
        <f t="array" ref="AN90">IFERROR(INDEX($AK$10:$AK$258, MATCH(0, IF(TRUE=$AI$10:$AI$258, COUNTIF($AN$9:$AN89, $AK$10:$AK$258), ""), 0)),"")</f>
        <v/>
      </c>
      <c r="AY90" s="370" t="str">
        <f t="shared" si="17"/>
        <v/>
      </c>
    </row>
    <row r="91" spans="2:51" ht="15">
      <c r="B91" s="110">
        <v>82</v>
      </c>
      <c r="C91" s="165"/>
      <c r="D91" s="165"/>
      <c r="E91" s="121"/>
      <c r="F91" s="362" t="str">
        <f>IF(D91="","",VLOOKUP(D91,'G-6 Hedgerow Data'!$B$2:$AG$15,2,FALSE))</f>
        <v/>
      </c>
      <c r="G91" s="363" t="str">
        <f>IF(D91="","",VLOOKUP(D91,'G-6 Hedgerow Data'!$B$2:$AG$15,3,FALSE))</f>
        <v/>
      </c>
      <c r="H91" s="114"/>
      <c r="I91" s="363" t="str">
        <f>IFERROR(IF(AND(F91="V.Low",OR(H91="Good",H91="Moderate")),"Error ▲",VLOOKUP(H91,'G-1 All Habitats'!$Z$2:$AA$9,2,FALSE)),"")</f>
        <v/>
      </c>
      <c r="J91" s="122"/>
      <c r="K91" s="382" t="str">
        <f>IF(J91="","",IF(VLOOKUP(J91,'G-3 Multipliers'!$L$3:$N$6,2,FALSE)=0,"Spatial Data Missing ⚠",VLOOKUP(J91,'G-3 Multipliers'!$L$3:$N$6,2,FALSE)))</f>
        <v/>
      </c>
      <c r="L91" s="386" t="str">
        <f>IF(J91="","",IF(VLOOKUP(J91,'G-3 Multipliers'!$L$3:$N$6,3,FALSE)=0,"Spatial Data Missing ⚠",VLOOKUP(J91,'G-3 Multipliers'!$L$3:$N$6,3,FALSE)))</f>
        <v/>
      </c>
      <c r="M91" s="425" t="str">
        <f>IF(D91="","",VLOOKUP(D91,'G-6 Hedgerow Data'!$B$1:$AH$15,33,FALSE))</f>
        <v/>
      </c>
      <c r="N91" s="376" t="str">
        <f t="shared" si="11"/>
        <v/>
      </c>
      <c r="O91" s="516"/>
      <c r="P91" s="368" t="str">
        <f>IF(O91="","",IF(VLOOKUP(O91,'G-3 Multipliers'!$S$3:$T$10,2,FALSE)=0,"Spatial Data Missing ⚠",VLOOKUP(O91,'G-3 Multipliers'!$S$3:$T$10,2,FALSE)))</f>
        <v/>
      </c>
      <c r="Q91" s="376" t="str">
        <f t="shared" si="12"/>
        <v/>
      </c>
      <c r="R91" s="32"/>
      <c r="S91" s="114"/>
      <c r="T91" s="125"/>
      <c r="U91" s="370" t="str">
        <f t="shared" si="13"/>
        <v/>
      </c>
      <c r="V91" s="370" t="str">
        <f t="shared" si="14"/>
        <v/>
      </c>
      <c r="W91" s="374" t="str">
        <f t="shared" si="15"/>
        <v/>
      </c>
      <c r="X91" s="378" t="str">
        <f t="shared" si="16"/>
        <v/>
      </c>
      <c r="Y91" s="119"/>
      <c r="Z91" s="120"/>
      <c r="AA91" s="120"/>
      <c r="AB91" s="120"/>
      <c r="AE91" s="30" t="str">
        <f>IFERROR(INDEX('G-6 Hedgerow Data'!$BJ$3:$BJ$15,MATCH(D91,'G-6 Hedgerow Data'!$B$3:$B$15,0)),"")</f>
        <v/>
      </c>
      <c r="AH91" s="124" t="str">
        <f t="shared" si="9"/>
        <v/>
      </c>
      <c r="AI91" s="124" t="str">
        <f t="shared" si="10"/>
        <v/>
      </c>
      <c r="AK91" s="124">
        <v>82</v>
      </c>
      <c r="AM91" s="124" t="str">
        <f t="array" ref="AM91">IFERROR(INDEX($AK$10:$AK$258, MATCH(0, IF(TRUE=$AH$10:$AH$258, COUNTIF($AM$9:$AM90, $AK$10:$AK$258), ""), 0)),"")</f>
        <v/>
      </c>
      <c r="AN91" s="124" t="str">
        <f t="array" ref="AN91">IFERROR(INDEX($AK$10:$AK$258, MATCH(0, IF(TRUE=$AI$10:$AI$258, COUNTIF($AN$9:$AN90, $AK$10:$AK$258), ""), 0)),"")</f>
        <v/>
      </c>
      <c r="AY91" s="370" t="str">
        <f t="shared" si="17"/>
        <v/>
      </c>
    </row>
    <row r="92" spans="2:51" ht="15">
      <c r="B92" s="110">
        <v>83</v>
      </c>
      <c r="C92" s="165"/>
      <c r="D92" s="165"/>
      <c r="E92" s="121"/>
      <c r="F92" s="362" t="str">
        <f>IF(D92="","",VLOOKUP(D92,'G-6 Hedgerow Data'!$B$2:$AG$15,2,FALSE))</f>
        <v/>
      </c>
      <c r="G92" s="363" t="str">
        <f>IF(D92="","",VLOOKUP(D92,'G-6 Hedgerow Data'!$B$2:$AG$15,3,FALSE))</f>
        <v/>
      </c>
      <c r="H92" s="114"/>
      <c r="I92" s="363" t="str">
        <f>IFERROR(IF(AND(F92="V.Low",OR(H92="Good",H92="Moderate")),"Error ▲",VLOOKUP(H92,'G-1 All Habitats'!$Z$2:$AA$9,2,FALSE)),"")</f>
        <v/>
      </c>
      <c r="J92" s="122"/>
      <c r="K92" s="382" t="str">
        <f>IF(J92="","",IF(VLOOKUP(J92,'G-3 Multipliers'!$L$3:$N$6,2,FALSE)=0,"Spatial Data Missing ⚠",VLOOKUP(J92,'G-3 Multipliers'!$L$3:$N$6,2,FALSE)))</f>
        <v/>
      </c>
      <c r="L92" s="386" t="str">
        <f>IF(J92="","",IF(VLOOKUP(J92,'G-3 Multipliers'!$L$3:$N$6,3,FALSE)=0,"Spatial Data Missing ⚠",VLOOKUP(J92,'G-3 Multipliers'!$L$3:$N$6,3,FALSE)))</f>
        <v/>
      </c>
      <c r="M92" s="425" t="str">
        <f>IF(D92="","",VLOOKUP(D92,'G-6 Hedgerow Data'!$B$1:$AH$15,33,FALSE))</f>
        <v/>
      </c>
      <c r="N92" s="376" t="str">
        <f t="shared" si="11"/>
        <v/>
      </c>
      <c r="O92" s="516"/>
      <c r="P92" s="368" t="str">
        <f>IF(O92="","",IF(VLOOKUP(O92,'G-3 Multipliers'!$S$3:$T$10,2,FALSE)=0,"Spatial Data Missing ⚠",VLOOKUP(O92,'G-3 Multipliers'!$S$3:$T$10,2,FALSE)))</f>
        <v/>
      </c>
      <c r="Q92" s="376" t="str">
        <f t="shared" si="12"/>
        <v/>
      </c>
      <c r="R92" s="32"/>
      <c r="S92" s="114"/>
      <c r="T92" s="125"/>
      <c r="U92" s="370" t="str">
        <f t="shared" si="13"/>
        <v/>
      </c>
      <c r="V92" s="370" t="str">
        <f t="shared" si="14"/>
        <v/>
      </c>
      <c r="W92" s="374" t="str">
        <f t="shared" si="15"/>
        <v/>
      </c>
      <c r="X92" s="378" t="str">
        <f t="shared" si="16"/>
        <v/>
      </c>
      <c r="Y92" s="119"/>
      <c r="Z92" s="120"/>
      <c r="AA92" s="120"/>
      <c r="AB92" s="120"/>
      <c r="AE92" s="30" t="str">
        <f>IFERROR(INDEX('G-6 Hedgerow Data'!$BJ$3:$BJ$15,MATCH(D92,'G-6 Hedgerow Data'!$B$3:$B$15,0)),"")</f>
        <v/>
      </c>
      <c r="AH92" s="124" t="str">
        <f t="shared" si="9"/>
        <v/>
      </c>
      <c r="AI92" s="124" t="str">
        <f t="shared" si="10"/>
        <v/>
      </c>
      <c r="AK92" s="124">
        <v>83</v>
      </c>
      <c r="AM92" s="124" t="str">
        <f t="array" ref="AM92">IFERROR(INDEX($AK$10:$AK$258, MATCH(0, IF(TRUE=$AH$10:$AH$258, COUNTIF($AM$9:$AM91, $AK$10:$AK$258), ""), 0)),"")</f>
        <v/>
      </c>
      <c r="AN92" s="124" t="str">
        <f t="array" ref="AN92">IFERROR(INDEX($AK$10:$AK$258, MATCH(0, IF(TRUE=$AI$10:$AI$258, COUNTIF($AN$9:$AN91, $AK$10:$AK$258), ""), 0)),"")</f>
        <v/>
      </c>
      <c r="AY92" s="370" t="str">
        <f t="shared" si="17"/>
        <v/>
      </c>
    </row>
    <row r="93" spans="2:51" ht="15">
      <c r="B93" s="110">
        <v>84</v>
      </c>
      <c r="C93" s="165"/>
      <c r="D93" s="165"/>
      <c r="E93" s="121"/>
      <c r="F93" s="362" t="str">
        <f>IF(D93="","",VLOOKUP(D93,'G-6 Hedgerow Data'!$B$2:$AG$15,2,FALSE))</f>
        <v/>
      </c>
      <c r="G93" s="363" t="str">
        <f>IF(D93="","",VLOOKUP(D93,'G-6 Hedgerow Data'!$B$2:$AG$15,3,FALSE))</f>
        <v/>
      </c>
      <c r="H93" s="114"/>
      <c r="I93" s="363" t="str">
        <f>IFERROR(IF(AND(F93="V.Low",OR(H93="Good",H93="Moderate")),"Error ▲",VLOOKUP(H93,'G-1 All Habitats'!$Z$2:$AA$9,2,FALSE)),"")</f>
        <v/>
      </c>
      <c r="J93" s="122"/>
      <c r="K93" s="382" t="str">
        <f>IF(J93="","",IF(VLOOKUP(J93,'G-3 Multipliers'!$L$3:$N$6,2,FALSE)=0,"Spatial Data Missing ⚠",VLOOKUP(J93,'G-3 Multipliers'!$L$3:$N$6,2,FALSE)))</f>
        <v/>
      </c>
      <c r="L93" s="386" t="str">
        <f>IF(J93="","",IF(VLOOKUP(J93,'G-3 Multipliers'!$L$3:$N$6,3,FALSE)=0,"Spatial Data Missing ⚠",VLOOKUP(J93,'G-3 Multipliers'!$L$3:$N$6,3,FALSE)))</f>
        <v/>
      </c>
      <c r="M93" s="425" t="str">
        <f>IF(D93="","",VLOOKUP(D93,'G-6 Hedgerow Data'!$B$1:$AH$15,33,FALSE))</f>
        <v/>
      </c>
      <c r="N93" s="376" t="str">
        <f t="shared" si="11"/>
        <v/>
      </c>
      <c r="O93" s="516"/>
      <c r="P93" s="368" t="str">
        <f>IF(O93="","",IF(VLOOKUP(O93,'G-3 Multipliers'!$S$3:$T$10,2,FALSE)=0,"Spatial Data Missing ⚠",VLOOKUP(O93,'G-3 Multipliers'!$S$3:$T$10,2,FALSE)))</f>
        <v/>
      </c>
      <c r="Q93" s="376" t="str">
        <f t="shared" si="12"/>
        <v/>
      </c>
      <c r="R93" s="32"/>
      <c r="S93" s="114"/>
      <c r="T93" s="125"/>
      <c r="U93" s="370" t="str">
        <f t="shared" si="13"/>
        <v/>
      </c>
      <c r="V93" s="370" t="str">
        <f t="shared" si="14"/>
        <v/>
      </c>
      <c r="W93" s="374" t="str">
        <f t="shared" si="15"/>
        <v/>
      </c>
      <c r="X93" s="378" t="str">
        <f t="shared" si="16"/>
        <v/>
      </c>
      <c r="Y93" s="119"/>
      <c r="Z93" s="120"/>
      <c r="AA93" s="120"/>
      <c r="AB93" s="120"/>
      <c r="AE93" s="30" t="str">
        <f>IFERROR(INDEX('G-6 Hedgerow Data'!$BJ$3:$BJ$15,MATCH(D93,'G-6 Hedgerow Data'!$B$3:$B$15,0)),"")</f>
        <v/>
      </c>
      <c r="AH93" s="124" t="str">
        <f t="shared" si="9"/>
        <v/>
      </c>
      <c r="AI93" s="124" t="str">
        <f t="shared" si="10"/>
        <v/>
      </c>
      <c r="AK93" s="124">
        <v>84</v>
      </c>
      <c r="AM93" s="124" t="str">
        <f t="array" ref="AM93">IFERROR(INDEX($AK$10:$AK$258, MATCH(0, IF(TRUE=$AH$10:$AH$258, COUNTIF($AM$9:$AM92, $AK$10:$AK$258), ""), 0)),"")</f>
        <v/>
      </c>
      <c r="AN93" s="124" t="str">
        <f t="array" ref="AN93">IFERROR(INDEX($AK$10:$AK$258, MATCH(0, IF(TRUE=$AI$10:$AI$258, COUNTIF($AN$9:$AN92, $AK$10:$AK$258), ""), 0)),"")</f>
        <v/>
      </c>
      <c r="AY93" s="370" t="str">
        <f t="shared" si="17"/>
        <v/>
      </c>
    </row>
    <row r="94" spans="2:51" ht="15">
      <c r="B94" s="110">
        <v>85</v>
      </c>
      <c r="C94" s="165"/>
      <c r="D94" s="165"/>
      <c r="E94" s="121"/>
      <c r="F94" s="362" t="str">
        <f>IF(D94="","",VLOOKUP(D94,'G-6 Hedgerow Data'!$B$2:$AG$15,2,FALSE))</f>
        <v/>
      </c>
      <c r="G94" s="363" t="str">
        <f>IF(D94="","",VLOOKUP(D94,'G-6 Hedgerow Data'!$B$2:$AG$15,3,FALSE))</f>
        <v/>
      </c>
      <c r="H94" s="114"/>
      <c r="I94" s="363" t="str">
        <f>IFERROR(IF(AND(F94="V.Low",OR(H94="Good",H94="Moderate")),"Error ▲",VLOOKUP(H94,'G-1 All Habitats'!$Z$2:$AA$9,2,FALSE)),"")</f>
        <v/>
      </c>
      <c r="J94" s="122"/>
      <c r="K94" s="382" t="str">
        <f>IF(J94="","",IF(VLOOKUP(J94,'G-3 Multipliers'!$L$3:$N$6,2,FALSE)=0,"Spatial Data Missing ⚠",VLOOKUP(J94,'G-3 Multipliers'!$L$3:$N$6,2,FALSE)))</f>
        <v/>
      </c>
      <c r="L94" s="386" t="str">
        <f>IF(J94="","",IF(VLOOKUP(J94,'G-3 Multipliers'!$L$3:$N$6,3,FALSE)=0,"Spatial Data Missing ⚠",VLOOKUP(J94,'G-3 Multipliers'!$L$3:$N$6,3,FALSE)))</f>
        <v/>
      </c>
      <c r="M94" s="425" t="str">
        <f>IF(D94="","",VLOOKUP(D94,'G-6 Hedgerow Data'!$B$1:$AH$15,33,FALSE))</f>
        <v/>
      </c>
      <c r="N94" s="376" t="str">
        <f t="shared" si="11"/>
        <v/>
      </c>
      <c r="O94" s="516"/>
      <c r="P94" s="368" t="str">
        <f>IF(O94="","",IF(VLOOKUP(O94,'G-3 Multipliers'!$S$3:$T$10,2,FALSE)=0,"Spatial Data Missing ⚠",VLOOKUP(O94,'G-3 Multipliers'!$S$3:$T$10,2,FALSE)))</f>
        <v/>
      </c>
      <c r="Q94" s="376" t="str">
        <f t="shared" si="12"/>
        <v/>
      </c>
      <c r="R94" s="32"/>
      <c r="S94" s="114"/>
      <c r="T94" s="125"/>
      <c r="U94" s="370" t="str">
        <f t="shared" si="13"/>
        <v/>
      </c>
      <c r="V94" s="370" t="str">
        <f t="shared" si="14"/>
        <v/>
      </c>
      <c r="W94" s="374" t="str">
        <f t="shared" si="15"/>
        <v/>
      </c>
      <c r="X94" s="378" t="str">
        <f t="shared" si="16"/>
        <v/>
      </c>
      <c r="Y94" s="119"/>
      <c r="Z94" s="120"/>
      <c r="AA94" s="120"/>
      <c r="AB94" s="120"/>
      <c r="AE94" s="30" t="str">
        <f>IFERROR(INDEX('G-6 Hedgerow Data'!$BJ$3:$BJ$15,MATCH(D94,'G-6 Hedgerow Data'!$B$3:$B$15,0)),"")</f>
        <v/>
      </c>
      <c r="AH94" s="124" t="str">
        <f t="shared" si="9"/>
        <v/>
      </c>
      <c r="AI94" s="124" t="str">
        <f t="shared" si="10"/>
        <v/>
      </c>
      <c r="AK94" s="124">
        <v>85</v>
      </c>
      <c r="AM94" s="124" t="str">
        <f t="array" ref="AM94">IFERROR(INDEX($AK$10:$AK$258, MATCH(0, IF(TRUE=$AH$10:$AH$258, COUNTIF($AM$9:$AM93, $AK$10:$AK$258), ""), 0)),"")</f>
        <v/>
      </c>
      <c r="AN94" s="124" t="str">
        <f t="array" ref="AN94">IFERROR(INDEX($AK$10:$AK$258, MATCH(0, IF(TRUE=$AI$10:$AI$258, COUNTIF($AN$9:$AN93, $AK$10:$AK$258), ""), 0)),"")</f>
        <v/>
      </c>
      <c r="AY94" s="370" t="str">
        <f t="shared" si="17"/>
        <v/>
      </c>
    </row>
    <row r="95" spans="2:51" ht="15">
      <c r="B95" s="110">
        <v>86</v>
      </c>
      <c r="C95" s="165"/>
      <c r="D95" s="165"/>
      <c r="E95" s="121"/>
      <c r="F95" s="362" t="str">
        <f>IF(D95="","",VLOOKUP(D95,'G-6 Hedgerow Data'!$B$2:$AG$15,2,FALSE))</f>
        <v/>
      </c>
      <c r="G95" s="363" t="str">
        <f>IF(D95="","",VLOOKUP(D95,'G-6 Hedgerow Data'!$B$2:$AG$15,3,FALSE))</f>
        <v/>
      </c>
      <c r="H95" s="114"/>
      <c r="I95" s="363" t="str">
        <f>IFERROR(IF(AND(F95="V.Low",OR(H95="Good",H95="Moderate")),"Error ▲",VLOOKUP(H95,'G-1 All Habitats'!$Z$2:$AA$9,2,FALSE)),"")</f>
        <v/>
      </c>
      <c r="J95" s="122"/>
      <c r="K95" s="382" t="str">
        <f>IF(J95="","",IF(VLOOKUP(J95,'G-3 Multipliers'!$L$3:$N$6,2,FALSE)=0,"Spatial Data Missing ⚠",VLOOKUP(J95,'G-3 Multipliers'!$L$3:$N$6,2,FALSE)))</f>
        <v/>
      </c>
      <c r="L95" s="386" t="str">
        <f>IF(J95="","",IF(VLOOKUP(J95,'G-3 Multipliers'!$L$3:$N$6,3,FALSE)=0,"Spatial Data Missing ⚠",VLOOKUP(J95,'G-3 Multipliers'!$L$3:$N$6,3,FALSE)))</f>
        <v/>
      </c>
      <c r="M95" s="425" t="str">
        <f>IF(D95="","",VLOOKUP(D95,'G-6 Hedgerow Data'!$B$1:$AH$15,33,FALSE))</f>
        <v/>
      </c>
      <c r="N95" s="376" t="str">
        <f t="shared" si="11"/>
        <v/>
      </c>
      <c r="O95" s="516"/>
      <c r="P95" s="368" t="str">
        <f>IF(O95="","",IF(VLOOKUP(O95,'G-3 Multipliers'!$S$3:$T$10,2,FALSE)=0,"Spatial Data Missing ⚠",VLOOKUP(O95,'G-3 Multipliers'!$S$3:$T$10,2,FALSE)))</f>
        <v/>
      </c>
      <c r="Q95" s="376" t="str">
        <f t="shared" si="12"/>
        <v/>
      </c>
      <c r="R95" s="32"/>
      <c r="S95" s="114"/>
      <c r="T95" s="125"/>
      <c r="U95" s="370" t="str">
        <f t="shared" si="13"/>
        <v/>
      </c>
      <c r="V95" s="370" t="str">
        <f t="shared" si="14"/>
        <v/>
      </c>
      <c r="W95" s="374" t="str">
        <f t="shared" si="15"/>
        <v/>
      </c>
      <c r="X95" s="378" t="str">
        <f t="shared" si="16"/>
        <v/>
      </c>
      <c r="Y95" s="119"/>
      <c r="Z95" s="120"/>
      <c r="AA95" s="120"/>
      <c r="AB95" s="120"/>
      <c r="AE95" s="30" t="str">
        <f>IFERROR(INDEX('G-6 Hedgerow Data'!$BJ$3:$BJ$15,MATCH(D95,'G-6 Hedgerow Data'!$B$3:$B$15,0)),"")</f>
        <v/>
      </c>
      <c r="AH95" s="124" t="str">
        <f t="shared" si="9"/>
        <v/>
      </c>
      <c r="AI95" s="124" t="str">
        <f t="shared" si="10"/>
        <v/>
      </c>
      <c r="AK95" s="124">
        <v>86</v>
      </c>
      <c r="AM95" s="124" t="str">
        <f t="array" ref="AM95">IFERROR(INDEX($AK$10:$AK$258, MATCH(0, IF(TRUE=$AH$10:$AH$258, COUNTIF($AM$9:$AM94, $AK$10:$AK$258), ""), 0)),"")</f>
        <v/>
      </c>
      <c r="AN95" s="124" t="str">
        <f t="array" ref="AN95">IFERROR(INDEX($AK$10:$AK$258, MATCH(0, IF(TRUE=$AI$10:$AI$258, COUNTIF($AN$9:$AN94, $AK$10:$AK$258), ""), 0)),"")</f>
        <v/>
      </c>
      <c r="AY95" s="370" t="str">
        <f t="shared" si="17"/>
        <v/>
      </c>
    </row>
    <row r="96" spans="2:51" ht="15">
      <c r="B96" s="110">
        <v>87</v>
      </c>
      <c r="C96" s="165"/>
      <c r="D96" s="165"/>
      <c r="E96" s="121"/>
      <c r="F96" s="362" t="str">
        <f>IF(D96="","",VLOOKUP(D96,'G-6 Hedgerow Data'!$B$2:$AG$15,2,FALSE))</f>
        <v/>
      </c>
      <c r="G96" s="363" t="str">
        <f>IF(D96="","",VLOOKUP(D96,'G-6 Hedgerow Data'!$B$2:$AG$15,3,FALSE))</f>
        <v/>
      </c>
      <c r="H96" s="114"/>
      <c r="I96" s="363" t="str">
        <f>IFERROR(IF(AND(F96="V.Low",OR(H96="Good",H96="Moderate")),"Error ▲",VLOOKUP(H96,'G-1 All Habitats'!$Z$2:$AA$9,2,FALSE)),"")</f>
        <v/>
      </c>
      <c r="J96" s="122"/>
      <c r="K96" s="382" t="str">
        <f>IF(J96="","",IF(VLOOKUP(J96,'G-3 Multipliers'!$L$3:$N$6,2,FALSE)=0,"Spatial Data Missing ⚠",VLOOKUP(J96,'G-3 Multipliers'!$L$3:$N$6,2,FALSE)))</f>
        <v/>
      </c>
      <c r="L96" s="386" t="str">
        <f>IF(J96="","",IF(VLOOKUP(J96,'G-3 Multipliers'!$L$3:$N$6,3,FALSE)=0,"Spatial Data Missing ⚠",VLOOKUP(J96,'G-3 Multipliers'!$L$3:$N$6,3,FALSE)))</f>
        <v/>
      </c>
      <c r="M96" s="425" t="str">
        <f>IF(D96="","",VLOOKUP(D96,'G-6 Hedgerow Data'!$B$1:$AH$15,33,FALSE))</f>
        <v/>
      </c>
      <c r="N96" s="376" t="str">
        <f t="shared" si="11"/>
        <v/>
      </c>
      <c r="O96" s="516"/>
      <c r="P96" s="368" t="str">
        <f>IF(O96="","",IF(VLOOKUP(O96,'G-3 Multipliers'!$S$3:$T$10,2,FALSE)=0,"Spatial Data Missing ⚠",VLOOKUP(O96,'G-3 Multipliers'!$S$3:$T$10,2,FALSE)))</f>
        <v/>
      </c>
      <c r="Q96" s="376" t="str">
        <f t="shared" si="12"/>
        <v/>
      </c>
      <c r="R96" s="32"/>
      <c r="S96" s="114"/>
      <c r="T96" s="125"/>
      <c r="U96" s="370" t="str">
        <f t="shared" si="13"/>
        <v/>
      </c>
      <c r="V96" s="370" t="str">
        <f t="shared" si="14"/>
        <v/>
      </c>
      <c r="W96" s="374" t="str">
        <f t="shared" si="15"/>
        <v/>
      </c>
      <c r="X96" s="378" t="str">
        <f t="shared" si="16"/>
        <v/>
      </c>
      <c r="Y96" s="119"/>
      <c r="Z96" s="120"/>
      <c r="AA96" s="120"/>
      <c r="AB96" s="120"/>
      <c r="AE96" s="30" t="str">
        <f>IFERROR(INDEX('G-6 Hedgerow Data'!$BJ$3:$BJ$15,MATCH(D96,'G-6 Hedgerow Data'!$B$3:$B$15,0)),"")</f>
        <v/>
      </c>
      <c r="AH96" s="124" t="str">
        <f t="shared" si="9"/>
        <v/>
      </c>
      <c r="AI96" s="124" t="str">
        <f t="shared" si="10"/>
        <v/>
      </c>
      <c r="AK96" s="124">
        <v>87</v>
      </c>
      <c r="AM96" s="124" t="str">
        <f t="array" ref="AM96">IFERROR(INDEX($AK$10:$AK$258, MATCH(0, IF(TRUE=$AH$10:$AH$258, COUNTIF($AM$9:$AM95, $AK$10:$AK$258), ""), 0)),"")</f>
        <v/>
      </c>
      <c r="AN96" s="124" t="str">
        <f t="array" ref="AN96">IFERROR(INDEX($AK$10:$AK$258, MATCH(0, IF(TRUE=$AI$10:$AI$258, COUNTIF($AN$9:$AN95, $AK$10:$AK$258), ""), 0)),"")</f>
        <v/>
      </c>
      <c r="AY96" s="370" t="str">
        <f t="shared" si="17"/>
        <v/>
      </c>
    </row>
    <row r="97" spans="2:51" ht="15">
      <c r="B97" s="110">
        <v>88</v>
      </c>
      <c r="C97" s="165"/>
      <c r="D97" s="165"/>
      <c r="E97" s="121"/>
      <c r="F97" s="362" t="str">
        <f>IF(D97="","",VLOOKUP(D97,'G-6 Hedgerow Data'!$B$2:$AG$15,2,FALSE))</f>
        <v/>
      </c>
      <c r="G97" s="363" t="str">
        <f>IF(D97="","",VLOOKUP(D97,'G-6 Hedgerow Data'!$B$2:$AG$15,3,FALSE))</f>
        <v/>
      </c>
      <c r="H97" s="114"/>
      <c r="I97" s="363" t="str">
        <f>IFERROR(IF(AND(F97="V.Low",OR(H97="Good",H97="Moderate")),"Error ▲",VLOOKUP(H97,'G-1 All Habitats'!$Z$2:$AA$9,2,FALSE)),"")</f>
        <v/>
      </c>
      <c r="J97" s="122"/>
      <c r="K97" s="382" t="str">
        <f>IF(J97="","",IF(VLOOKUP(J97,'G-3 Multipliers'!$L$3:$N$6,2,FALSE)=0,"Spatial Data Missing ⚠",VLOOKUP(J97,'G-3 Multipliers'!$L$3:$N$6,2,FALSE)))</f>
        <v/>
      </c>
      <c r="L97" s="386" t="str">
        <f>IF(J97="","",IF(VLOOKUP(J97,'G-3 Multipliers'!$L$3:$N$6,3,FALSE)=0,"Spatial Data Missing ⚠",VLOOKUP(J97,'G-3 Multipliers'!$L$3:$N$6,3,FALSE)))</f>
        <v/>
      </c>
      <c r="M97" s="425" t="str">
        <f>IF(D97="","",VLOOKUP(D97,'G-6 Hedgerow Data'!$B$1:$AH$15,33,FALSE))</f>
        <v/>
      </c>
      <c r="N97" s="376" t="str">
        <f t="shared" si="11"/>
        <v/>
      </c>
      <c r="O97" s="516"/>
      <c r="P97" s="368" t="str">
        <f>IF(O97="","",IF(VLOOKUP(O97,'G-3 Multipliers'!$S$3:$T$10,2,FALSE)=0,"Spatial Data Missing ⚠",VLOOKUP(O97,'G-3 Multipliers'!$S$3:$T$10,2,FALSE)))</f>
        <v/>
      </c>
      <c r="Q97" s="376" t="str">
        <f t="shared" si="12"/>
        <v/>
      </c>
      <c r="R97" s="32"/>
      <c r="S97" s="114"/>
      <c r="T97" s="125"/>
      <c r="U97" s="370" t="str">
        <f t="shared" si="13"/>
        <v/>
      </c>
      <c r="V97" s="370" t="str">
        <f t="shared" si="14"/>
        <v/>
      </c>
      <c r="W97" s="374" t="str">
        <f t="shared" si="15"/>
        <v/>
      </c>
      <c r="X97" s="378" t="str">
        <f t="shared" si="16"/>
        <v/>
      </c>
      <c r="Y97" s="119"/>
      <c r="Z97" s="120"/>
      <c r="AA97" s="120"/>
      <c r="AB97" s="120"/>
      <c r="AE97" s="30" t="str">
        <f>IFERROR(INDEX('G-6 Hedgerow Data'!$BJ$3:$BJ$15,MATCH(D97,'G-6 Hedgerow Data'!$B$3:$B$15,0)),"")</f>
        <v/>
      </c>
      <c r="AH97" s="124" t="str">
        <f t="shared" si="9"/>
        <v/>
      </c>
      <c r="AI97" s="124" t="str">
        <f t="shared" si="10"/>
        <v/>
      </c>
      <c r="AK97" s="124">
        <v>88</v>
      </c>
      <c r="AM97" s="124" t="str">
        <f t="array" ref="AM97">IFERROR(INDEX($AK$10:$AK$258, MATCH(0, IF(TRUE=$AH$10:$AH$258, COUNTIF($AM$9:$AM96, $AK$10:$AK$258), ""), 0)),"")</f>
        <v/>
      </c>
      <c r="AN97" s="124" t="str">
        <f t="array" ref="AN97">IFERROR(INDEX($AK$10:$AK$258, MATCH(0, IF(TRUE=$AI$10:$AI$258, COUNTIF($AN$9:$AN96, $AK$10:$AK$258), ""), 0)),"")</f>
        <v/>
      </c>
      <c r="AY97" s="370" t="str">
        <f t="shared" si="17"/>
        <v/>
      </c>
    </row>
    <row r="98" spans="2:51" ht="15">
      <c r="B98" s="110">
        <v>89</v>
      </c>
      <c r="C98" s="165"/>
      <c r="D98" s="165"/>
      <c r="E98" s="121"/>
      <c r="F98" s="362" t="str">
        <f>IF(D98="","",VLOOKUP(D98,'G-6 Hedgerow Data'!$B$2:$AG$15,2,FALSE))</f>
        <v/>
      </c>
      <c r="G98" s="363" t="str">
        <f>IF(D98="","",VLOOKUP(D98,'G-6 Hedgerow Data'!$B$2:$AG$15,3,FALSE))</f>
        <v/>
      </c>
      <c r="H98" s="114"/>
      <c r="I98" s="363" t="str">
        <f>IFERROR(IF(AND(F98="V.Low",OR(H98="Good",H98="Moderate")),"Error ▲",VLOOKUP(H98,'G-1 All Habitats'!$Z$2:$AA$9,2,FALSE)),"")</f>
        <v/>
      </c>
      <c r="J98" s="122"/>
      <c r="K98" s="382" t="str">
        <f>IF(J98="","",IF(VLOOKUP(J98,'G-3 Multipliers'!$L$3:$N$6,2,FALSE)=0,"Spatial Data Missing ⚠",VLOOKUP(J98,'G-3 Multipliers'!$L$3:$N$6,2,FALSE)))</f>
        <v/>
      </c>
      <c r="L98" s="386" t="str">
        <f>IF(J98="","",IF(VLOOKUP(J98,'G-3 Multipliers'!$L$3:$N$6,3,FALSE)=0,"Spatial Data Missing ⚠",VLOOKUP(J98,'G-3 Multipliers'!$L$3:$N$6,3,FALSE)))</f>
        <v/>
      </c>
      <c r="M98" s="425" t="str">
        <f>IF(D98="","",VLOOKUP(D98,'G-6 Hedgerow Data'!$B$1:$AH$15,33,FALSE))</f>
        <v/>
      </c>
      <c r="N98" s="376" t="str">
        <f t="shared" si="11"/>
        <v/>
      </c>
      <c r="O98" s="516"/>
      <c r="P98" s="368" t="str">
        <f>IF(O98="","",IF(VLOOKUP(O98,'G-3 Multipliers'!$S$3:$T$10,2,FALSE)=0,"Spatial Data Missing ⚠",VLOOKUP(O98,'G-3 Multipliers'!$S$3:$T$10,2,FALSE)))</f>
        <v/>
      </c>
      <c r="Q98" s="376" t="str">
        <f t="shared" si="12"/>
        <v/>
      </c>
      <c r="R98" s="32"/>
      <c r="S98" s="114"/>
      <c r="T98" s="125"/>
      <c r="U98" s="370" t="str">
        <f t="shared" si="13"/>
        <v/>
      </c>
      <c r="V98" s="370" t="str">
        <f t="shared" si="14"/>
        <v/>
      </c>
      <c r="W98" s="374" t="str">
        <f t="shared" si="15"/>
        <v/>
      </c>
      <c r="X98" s="378" t="str">
        <f t="shared" si="16"/>
        <v/>
      </c>
      <c r="Y98" s="119"/>
      <c r="Z98" s="120"/>
      <c r="AA98" s="120"/>
      <c r="AB98" s="120"/>
      <c r="AE98" s="30" t="str">
        <f>IFERROR(INDEX('G-6 Hedgerow Data'!$BJ$3:$BJ$15,MATCH(D98,'G-6 Hedgerow Data'!$B$3:$B$15,0)),"")</f>
        <v/>
      </c>
      <c r="AH98" s="124" t="str">
        <f t="shared" si="9"/>
        <v/>
      </c>
      <c r="AI98" s="124" t="str">
        <f t="shared" si="10"/>
        <v/>
      </c>
      <c r="AK98" s="124">
        <v>89</v>
      </c>
      <c r="AM98" s="124" t="str">
        <f t="array" ref="AM98">IFERROR(INDEX($AK$10:$AK$258, MATCH(0, IF(TRUE=$AH$10:$AH$258, COUNTIF($AM$9:$AM97, $AK$10:$AK$258), ""), 0)),"")</f>
        <v/>
      </c>
      <c r="AN98" s="124" t="str">
        <f t="array" ref="AN98">IFERROR(INDEX($AK$10:$AK$258, MATCH(0, IF(TRUE=$AI$10:$AI$258, COUNTIF($AN$9:$AN97, $AK$10:$AK$258), ""), 0)),"")</f>
        <v/>
      </c>
      <c r="AY98" s="370" t="str">
        <f t="shared" si="17"/>
        <v/>
      </c>
    </row>
    <row r="99" spans="2:51" ht="15">
      <c r="B99" s="110">
        <v>90</v>
      </c>
      <c r="C99" s="165"/>
      <c r="D99" s="165"/>
      <c r="E99" s="121"/>
      <c r="F99" s="362" t="str">
        <f>IF(D99="","",VLOOKUP(D99,'G-6 Hedgerow Data'!$B$2:$AG$15,2,FALSE))</f>
        <v/>
      </c>
      <c r="G99" s="363" t="str">
        <f>IF(D99="","",VLOOKUP(D99,'G-6 Hedgerow Data'!$B$2:$AG$15,3,FALSE))</f>
        <v/>
      </c>
      <c r="H99" s="114"/>
      <c r="I99" s="363" t="str">
        <f>IFERROR(IF(AND(F99="V.Low",OR(H99="Good",H99="Moderate")),"Error ▲",VLOOKUP(H99,'G-1 All Habitats'!$Z$2:$AA$9,2,FALSE)),"")</f>
        <v/>
      </c>
      <c r="J99" s="122"/>
      <c r="K99" s="382" t="str">
        <f>IF(J99="","",IF(VLOOKUP(J99,'G-3 Multipliers'!$L$3:$N$6,2,FALSE)=0,"Spatial Data Missing ⚠",VLOOKUP(J99,'G-3 Multipliers'!$L$3:$N$6,2,FALSE)))</f>
        <v/>
      </c>
      <c r="L99" s="386" t="str">
        <f>IF(J99="","",IF(VLOOKUP(J99,'G-3 Multipliers'!$L$3:$N$6,3,FALSE)=0,"Spatial Data Missing ⚠",VLOOKUP(J99,'G-3 Multipliers'!$L$3:$N$6,3,FALSE)))</f>
        <v/>
      </c>
      <c r="M99" s="425" t="str">
        <f>IF(D99="","",VLOOKUP(D99,'G-6 Hedgerow Data'!$B$1:$AH$15,33,FALSE))</f>
        <v/>
      </c>
      <c r="N99" s="376" t="str">
        <f t="shared" si="11"/>
        <v/>
      </c>
      <c r="O99" s="516"/>
      <c r="P99" s="368" t="str">
        <f>IF(O99="","",IF(VLOOKUP(O99,'G-3 Multipliers'!$S$3:$T$10,2,FALSE)=0,"Spatial Data Missing ⚠",VLOOKUP(O99,'G-3 Multipliers'!$S$3:$T$10,2,FALSE)))</f>
        <v/>
      </c>
      <c r="Q99" s="376" t="str">
        <f t="shared" si="12"/>
        <v/>
      </c>
      <c r="R99" s="32"/>
      <c r="S99" s="114"/>
      <c r="T99" s="125"/>
      <c r="U99" s="370" t="str">
        <f t="shared" si="13"/>
        <v/>
      </c>
      <c r="V99" s="370" t="str">
        <f t="shared" si="14"/>
        <v/>
      </c>
      <c r="W99" s="374" t="str">
        <f t="shared" si="15"/>
        <v/>
      </c>
      <c r="X99" s="378" t="str">
        <f t="shared" si="16"/>
        <v/>
      </c>
      <c r="Y99" s="119"/>
      <c r="Z99" s="120"/>
      <c r="AA99" s="120"/>
      <c r="AB99" s="120"/>
      <c r="AE99" s="30" t="str">
        <f>IFERROR(INDEX('G-6 Hedgerow Data'!$BJ$3:$BJ$15,MATCH(D99,'G-6 Hedgerow Data'!$B$3:$B$15,0)),"")</f>
        <v/>
      </c>
      <c r="AH99" s="124" t="str">
        <f t="shared" si="9"/>
        <v/>
      </c>
      <c r="AI99" s="124" t="str">
        <f t="shared" si="10"/>
        <v/>
      </c>
      <c r="AK99" s="124">
        <v>90</v>
      </c>
      <c r="AM99" s="124" t="str">
        <f t="array" ref="AM99">IFERROR(INDEX($AK$10:$AK$258, MATCH(0, IF(TRUE=$AH$10:$AH$258, COUNTIF($AM$9:$AM98, $AK$10:$AK$258), ""), 0)),"")</f>
        <v/>
      </c>
      <c r="AN99" s="124" t="str">
        <f t="array" ref="AN99">IFERROR(INDEX($AK$10:$AK$258, MATCH(0, IF(TRUE=$AI$10:$AI$258, COUNTIF($AN$9:$AN98, $AK$10:$AK$258), ""), 0)),"")</f>
        <v/>
      </c>
      <c r="AY99" s="370" t="str">
        <f t="shared" si="17"/>
        <v/>
      </c>
    </row>
    <row r="100" spans="2:51" ht="15">
      <c r="B100" s="110">
        <v>91</v>
      </c>
      <c r="C100" s="165"/>
      <c r="D100" s="165"/>
      <c r="E100" s="121"/>
      <c r="F100" s="362" t="str">
        <f>IF(D100="","",VLOOKUP(D100,'G-6 Hedgerow Data'!$B$2:$AG$15,2,FALSE))</f>
        <v/>
      </c>
      <c r="G100" s="363" t="str">
        <f>IF(D100="","",VLOOKUP(D100,'G-6 Hedgerow Data'!$B$2:$AG$15,3,FALSE))</f>
        <v/>
      </c>
      <c r="H100" s="114"/>
      <c r="I100" s="363" t="str">
        <f>IFERROR(IF(AND(F100="V.Low",OR(H100="Good",H100="Moderate")),"Error ▲",VLOOKUP(H100,'G-1 All Habitats'!$Z$2:$AA$9,2,FALSE)),"")</f>
        <v/>
      </c>
      <c r="J100" s="122"/>
      <c r="K100" s="382" t="str">
        <f>IF(J100="","",IF(VLOOKUP(J100,'G-3 Multipliers'!$L$3:$N$6,2,FALSE)=0,"Spatial Data Missing ⚠",VLOOKUP(J100,'G-3 Multipliers'!$L$3:$N$6,2,FALSE)))</f>
        <v/>
      </c>
      <c r="L100" s="386" t="str">
        <f>IF(J100="","",IF(VLOOKUP(J100,'G-3 Multipliers'!$L$3:$N$6,3,FALSE)=0,"Spatial Data Missing ⚠",VLOOKUP(J100,'G-3 Multipliers'!$L$3:$N$6,3,FALSE)))</f>
        <v/>
      </c>
      <c r="M100" s="425" t="str">
        <f>IF(D100="","",VLOOKUP(D100,'G-6 Hedgerow Data'!$B$1:$AH$15,33,FALSE))</f>
        <v/>
      </c>
      <c r="N100" s="376" t="str">
        <f t="shared" si="11"/>
        <v/>
      </c>
      <c r="O100" s="516"/>
      <c r="P100" s="368" t="str">
        <f>IF(O100="","",IF(VLOOKUP(O100,'G-3 Multipliers'!$S$3:$T$10,2,FALSE)=0,"Spatial Data Missing ⚠",VLOOKUP(O100,'G-3 Multipliers'!$S$3:$T$10,2,FALSE)))</f>
        <v/>
      </c>
      <c r="Q100" s="376" t="str">
        <f t="shared" si="12"/>
        <v/>
      </c>
      <c r="R100" s="32"/>
      <c r="S100" s="114"/>
      <c r="T100" s="125"/>
      <c r="U100" s="370" t="str">
        <f t="shared" si="13"/>
        <v/>
      </c>
      <c r="V100" s="370" t="str">
        <f t="shared" si="14"/>
        <v/>
      </c>
      <c r="W100" s="374" t="str">
        <f t="shared" si="15"/>
        <v/>
      </c>
      <c r="X100" s="378" t="str">
        <f t="shared" si="16"/>
        <v/>
      </c>
      <c r="Y100" s="119"/>
      <c r="Z100" s="120"/>
      <c r="AA100" s="120"/>
      <c r="AB100" s="120"/>
      <c r="AE100" s="30" t="str">
        <f>IFERROR(INDEX('G-6 Hedgerow Data'!$BJ$3:$BJ$15,MATCH(D100,'G-6 Hedgerow Data'!$B$3:$B$15,0)),"")</f>
        <v/>
      </c>
      <c r="AH100" s="124" t="str">
        <f t="shared" si="9"/>
        <v/>
      </c>
      <c r="AI100" s="124" t="str">
        <f t="shared" si="10"/>
        <v/>
      </c>
      <c r="AK100" s="124">
        <v>91</v>
      </c>
      <c r="AM100" s="124" t="str">
        <f t="array" ref="AM100">IFERROR(INDEX($AK$10:$AK$258, MATCH(0, IF(TRUE=$AH$10:$AH$258, COUNTIF($AM$9:$AM99, $AK$10:$AK$258), ""), 0)),"")</f>
        <v/>
      </c>
      <c r="AN100" s="124" t="str">
        <f t="array" ref="AN100">IFERROR(INDEX($AK$10:$AK$258, MATCH(0, IF(TRUE=$AI$10:$AI$258, COUNTIF($AN$9:$AN99, $AK$10:$AK$258), ""), 0)),"")</f>
        <v/>
      </c>
      <c r="AY100" s="370" t="str">
        <f t="shared" si="17"/>
        <v/>
      </c>
    </row>
    <row r="101" spans="2:51" ht="15">
      <c r="B101" s="110">
        <v>92</v>
      </c>
      <c r="C101" s="165"/>
      <c r="D101" s="165"/>
      <c r="E101" s="121"/>
      <c r="F101" s="362" t="str">
        <f>IF(D101="","",VLOOKUP(D101,'G-6 Hedgerow Data'!$B$2:$AG$15,2,FALSE))</f>
        <v/>
      </c>
      <c r="G101" s="363" t="str">
        <f>IF(D101="","",VLOOKUP(D101,'G-6 Hedgerow Data'!$B$2:$AG$15,3,FALSE))</f>
        <v/>
      </c>
      <c r="H101" s="114"/>
      <c r="I101" s="363" t="str">
        <f>IFERROR(IF(AND(F101="V.Low",OR(H101="Good",H101="Moderate")),"Error ▲",VLOOKUP(H101,'G-1 All Habitats'!$Z$2:$AA$9,2,FALSE)),"")</f>
        <v/>
      </c>
      <c r="J101" s="122"/>
      <c r="K101" s="382" t="str">
        <f>IF(J101="","",IF(VLOOKUP(J101,'G-3 Multipliers'!$L$3:$N$6,2,FALSE)=0,"Spatial Data Missing ⚠",VLOOKUP(J101,'G-3 Multipliers'!$L$3:$N$6,2,FALSE)))</f>
        <v/>
      </c>
      <c r="L101" s="386" t="str">
        <f>IF(J101="","",IF(VLOOKUP(J101,'G-3 Multipliers'!$L$3:$N$6,3,FALSE)=0,"Spatial Data Missing ⚠",VLOOKUP(J101,'G-3 Multipliers'!$L$3:$N$6,3,FALSE)))</f>
        <v/>
      </c>
      <c r="M101" s="425" t="str">
        <f>IF(D101="","",VLOOKUP(D101,'G-6 Hedgerow Data'!$B$1:$AH$15,33,FALSE))</f>
        <v/>
      </c>
      <c r="N101" s="376" t="str">
        <f t="shared" si="11"/>
        <v/>
      </c>
      <c r="O101" s="516"/>
      <c r="P101" s="368" t="str">
        <f>IF(O101="","",IF(VLOOKUP(O101,'G-3 Multipliers'!$S$3:$T$10,2,FALSE)=0,"Spatial Data Missing ⚠",VLOOKUP(O101,'G-3 Multipliers'!$S$3:$T$10,2,FALSE)))</f>
        <v/>
      </c>
      <c r="Q101" s="376" t="str">
        <f t="shared" si="12"/>
        <v/>
      </c>
      <c r="R101" s="32"/>
      <c r="S101" s="114"/>
      <c r="T101" s="125"/>
      <c r="U101" s="370" t="str">
        <f t="shared" si="13"/>
        <v/>
      </c>
      <c r="V101" s="370" t="str">
        <f t="shared" si="14"/>
        <v/>
      </c>
      <c r="W101" s="374" t="str">
        <f t="shared" si="15"/>
        <v/>
      </c>
      <c r="X101" s="378" t="str">
        <f t="shared" si="16"/>
        <v/>
      </c>
      <c r="Y101" s="119"/>
      <c r="Z101" s="120"/>
      <c r="AA101" s="120"/>
      <c r="AB101" s="120"/>
      <c r="AE101" s="30" t="str">
        <f>IFERROR(INDEX('G-6 Hedgerow Data'!$BJ$3:$BJ$15,MATCH(D101,'G-6 Hedgerow Data'!$B$3:$B$15,0)),"")</f>
        <v/>
      </c>
      <c r="AH101" s="124" t="str">
        <f t="shared" si="9"/>
        <v/>
      </c>
      <c r="AI101" s="124" t="str">
        <f t="shared" si="10"/>
        <v/>
      </c>
      <c r="AK101" s="124">
        <v>92</v>
      </c>
      <c r="AM101" s="124" t="str">
        <f t="array" ref="AM101">IFERROR(INDEX($AK$10:$AK$258, MATCH(0, IF(TRUE=$AH$10:$AH$258, COUNTIF($AM$9:$AM100, $AK$10:$AK$258), ""), 0)),"")</f>
        <v/>
      </c>
      <c r="AN101" s="124" t="str">
        <f t="array" ref="AN101">IFERROR(INDEX($AK$10:$AK$258, MATCH(0, IF(TRUE=$AI$10:$AI$258, COUNTIF($AN$9:$AN100, $AK$10:$AK$258), ""), 0)),"")</f>
        <v/>
      </c>
      <c r="AY101" s="370" t="str">
        <f t="shared" si="17"/>
        <v/>
      </c>
    </row>
    <row r="102" spans="2:51" ht="15">
      <c r="B102" s="110">
        <v>93</v>
      </c>
      <c r="C102" s="165"/>
      <c r="D102" s="165"/>
      <c r="E102" s="121"/>
      <c r="F102" s="362" t="str">
        <f>IF(D102="","",VLOOKUP(D102,'G-6 Hedgerow Data'!$B$2:$AG$15,2,FALSE))</f>
        <v/>
      </c>
      <c r="G102" s="363" t="str">
        <f>IF(D102="","",VLOOKUP(D102,'G-6 Hedgerow Data'!$B$2:$AG$15,3,FALSE))</f>
        <v/>
      </c>
      <c r="H102" s="114"/>
      <c r="I102" s="363" t="str">
        <f>IFERROR(IF(AND(F102="V.Low",OR(H102="Good",H102="Moderate")),"Error ▲",VLOOKUP(H102,'G-1 All Habitats'!$Z$2:$AA$9,2,FALSE)),"")</f>
        <v/>
      </c>
      <c r="J102" s="122"/>
      <c r="K102" s="382" t="str">
        <f>IF(J102="","",IF(VLOOKUP(J102,'G-3 Multipliers'!$L$3:$N$6,2,FALSE)=0,"Spatial Data Missing ⚠",VLOOKUP(J102,'G-3 Multipliers'!$L$3:$N$6,2,FALSE)))</f>
        <v/>
      </c>
      <c r="L102" s="386" t="str">
        <f>IF(J102="","",IF(VLOOKUP(J102,'G-3 Multipliers'!$L$3:$N$6,3,FALSE)=0,"Spatial Data Missing ⚠",VLOOKUP(J102,'G-3 Multipliers'!$L$3:$N$6,3,FALSE)))</f>
        <v/>
      </c>
      <c r="M102" s="425" t="str">
        <f>IF(D102="","",VLOOKUP(D102,'G-6 Hedgerow Data'!$B$1:$AH$15,33,FALSE))</f>
        <v/>
      </c>
      <c r="N102" s="376" t="str">
        <f t="shared" si="11"/>
        <v/>
      </c>
      <c r="O102" s="516"/>
      <c r="P102" s="368" t="str">
        <f>IF(O102="","",IF(VLOOKUP(O102,'G-3 Multipliers'!$S$3:$T$10,2,FALSE)=0,"Spatial Data Missing ⚠",VLOOKUP(O102,'G-3 Multipliers'!$S$3:$T$10,2,FALSE)))</f>
        <v/>
      </c>
      <c r="Q102" s="376" t="str">
        <f t="shared" si="12"/>
        <v/>
      </c>
      <c r="R102" s="32"/>
      <c r="S102" s="114"/>
      <c r="T102" s="125"/>
      <c r="U102" s="370" t="str">
        <f t="shared" si="13"/>
        <v/>
      </c>
      <c r="V102" s="370" t="str">
        <f t="shared" si="14"/>
        <v/>
      </c>
      <c r="W102" s="374" t="str">
        <f t="shared" si="15"/>
        <v/>
      </c>
      <c r="X102" s="378" t="str">
        <f t="shared" si="16"/>
        <v/>
      </c>
      <c r="Y102" s="119"/>
      <c r="Z102" s="120"/>
      <c r="AA102" s="120"/>
      <c r="AB102" s="120"/>
      <c r="AE102" s="30" t="str">
        <f>IFERROR(INDEX('G-6 Hedgerow Data'!$BJ$3:$BJ$15,MATCH(D102,'G-6 Hedgerow Data'!$B$3:$B$15,0)),"")</f>
        <v/>
      </c>
      <c r="AH102" s="124" t="str">
        <f t="shared" si="9"/>
        <v/>
      </c>
      <c r="AI102" s="124" t="str">
        <f t="shared" si="10"/>
        <v/>
      </c>
      <c r="AK102" s="124">
        <v>93</v>
      </c>
      <c r="AM102" s="124" t="str">
        <f t="array" ref="AM102">IFERROR(INDEX($AK$10:$AK$258, MATCH(0, IF(TRUE=$AH$10:$AH$258, COUNTIF($AM$9:$AM101, $AK$10:$AK$258), ""), 0)),"")</f>
        <v/>
      </c>
      <c r="AN102" s="124" t="str">
        <f t="array" ref="AN102">IFERROR(INDEX($AK$10:$AK$258, MATCH(0, IF(TRUE=$AI$10:$AI$258, COUNTIF($AN$9:$AN101, $AK$10:$AK$258), ""), 0)),"")</f>
        <v/>
      </c>
      <c r="AY102" s="370" t="str">
        <f t="shared" si="17"/>
        <v/>
      </c>
    </row>
    <row r="103" spans="2:51" ht="15">
      <c r="B103" s="110">
        <v>94</v>
      </c>
      <c r="C103" s="165"/>
      <c r="D103" s="165"/>
      <c r="E103" s="121"/>
      <c r="F103" s="362" t="str">
        <f>IF(D103="","",VLOOKUP(D103,'G-6 Hedgerow Data'!$B$2:$AG$15,2,FALSE))</f>
        <v/>
      </c>
      <c r="G103" s="363" t="str">
        <f>IF(D103="","",VLOOKUP(D103,'G-6 Hedgerow Data'!$B$2:$AG$15,3,FALSE))</f>
        <v/>
      </c>
      <c r="H103" s="114"/>
      <c r="I103" s="363" t="str">
        <f>IFERROR(IF(AND(F103="V.Low",OR(H103="Good",H103="Moderate")),"Error ▲",VLOOKUP(H103,'G-1 All Habitats'!$Z$2:$AA$9,2,FALSE)),"")</f>
        <v/>
      </c>
      <c r="J103" s="122"/>
      <c r="K103" s="382" t="str">
        <f>IF(J103="","",IF(VLOOKUP(J103,'G-3 Multipliers'!$L$3:$N$6,2,FALSE)=0,"Spatial Data Missing ⚠",VLOOKUP(J103,'G-3 Multipliers'!$L$3:$N$6,2,FALSE)))</f>
        <v/>
      </c>
      <c r="L103" s="386" t="str">
        <f>IF(J103="","",IF(VLOOKUP(J103,'G-3 Multipliers'!$L$3:$N$6,3,FALSE)=0,"Spatial Data Missing ⚠",VLOOKUP(J103,'G-3 Multipliers'!$L$3:$N$6,3,FALSE)))</f>
        <v/>
      </c>
      <c r="M103" s="425" t="str">
        <f>IF(D103="","",VLOOKUP(D103,'G-6 Hedgerow Data'!$B$1:$AH$15,33,FALSE))</f>
        <v/>
      </c>
      <c r="N103" s="376" t="str">
        <f t="shared" si="11"/>
        <v/>
      </c>
      <c r="O103" s="516"/>
      <c r="P103" s="368" t="str">
        <f>IF(O103="","",IF(VLOOKUP(O103,'G-3 Multipliers'!$S$3:$T$10,2,FALSE)=0,"Spatial Data Missing ⚠",VLOOKUP(O103,'G-3 Multipliers'!$S$3:$T$10,2,FALSE)))</f>
        <v/>
      </c>
      <c r="Q103" s="376" t="str">
        <f t="shared" si="12"/>
        <v/>
      </c>
      <c r="R103" s="32"/>
      <c r="S103" s="114"/>
      <c r="T103" s="125"/>
      <c r="U103" s="370" t="str">
        <f t="shared" si="13"/>
        <v/>
      </c>
      <c r="V103" s="370" t="str">
        <f t="shared" si="14"/>
        <v/>
      </c>
      <c r="W103" s="374" t="str">
        <f t="shared" si="15"/>
        <v/>
      </c>
      <c r="X103" s="378" t="str">
        <f t="shared" si="16"/>
        <v/>
      </c>
      <c r="Y103" s="119"/>
      <c r="Z103" s="120"/>
      <c r="AA103" s="120"/>
      <c r="AB103" s="120"/>
      <c r="AE103" s="30" t="str">
        <f>IFERROR(INDEX('G-6 Hedgerow Data'!$BJ$3:$BJ$15,MATCH(D103,'G-6 Hedgerow Data'!$B$3:$B$15,0)),"")</f>
        <v/>
      </c>
      <c r="AH103" s="124" t="str">
        <f t="shared" si="9"/>
        <v/>
      </c>
      <c r="AI103" s="124" t="str">
        <f t="shared" si="10"/>
        <v/>
      </c>
      <c r="AK103" s="124">
        <v>94</v>
      </c>
      <c r="AM103" s="124" t="str">
        <f t="array" ref="AM103">IFERROR(INDEX($AK$10:$AK$258, MATCH(0, IF(TRUE=$AH$10:$AH$258, COUNTIF($AM$9:$AM102, $AK$10:$AK$258), ""), 0)),"")</f>
        <v/>
      </c>
      <c r="AN103" s="124" t="str">
        <f t="array" ref="AN103">IFERROR(INDEX($AK$10:$AK$258, MATCH(0, IF(TRUE=$AI$10:$AI$258, COUNTIF($AN$9:$AN102, $AK$10:$AK$258), ""), 0)),"")</f>
        <v/>
      </c>
      <c r="AY103" s="370" t="str">
        <f t="shared" si="17"/>
        <v/>
      </c>
    </row>
    <row r="104" spans="2:51" ht="15">
      <c r="B104" s="110">
        <v>95</v>
      </c>
      <c r="C104" s="165"/>
      <c r="D104" s="165"/>
      <c r="E104" s="121"/>
      <c r="F104" s="362" t="str">
        <f>IF(D104="","",VLOOKUP(D104,'G-6 Hedgerow Data'!$B$2:$AG$15,2,FALSE))</f>
        <v/>
      </c>
      <c r="G104" s="363" t="str">
        <f>IF(D104="","",VLOOKUP(D104,'G-6 Hedgerow Data'!$B$2:$AG$15,3,FALSE))</f>
        <v/>
      </c>
      <c r="H104" s="114"/>
      <c r="I104" s="363" t="str">
        <f>IFERROR(IF(AND(F104="V.Low",OR(H104="Good",H104="Moderate")),"Error ▲",VLOOKUP(H104,'G-1 All Habitats'!$Z$2:$AA$9,2,FALSE)),"")</f>
        <v/>
      </c>
      <c r="J104" s="122"/>
      <c r="K104" s="382" t="str">
        <f>IF(J104="","",IF(VLOOKUP(J104,'G-3 Multipliers'!$L$3:$N$6,2,FALSE)=0,"Spatial Data Missing ⚠",VLOOKUP(J104,'G-3 Multipliers'!$L$3:$N$6,2,FALSE)))</f>
        <v/>
      </c>
      <c r="L104" s="386" t="str">
        <f>IF(J104="","",IF(VLOOKUP(J104,'G-3 Multipliers'!$L$3:$N$6,3,FALSE)=0,"Spatial Data Missing ⚠",VLOOKUP(J104,'G-3 Multipliers'!$L$3:$N$6,3,FALSE)))</f>
        <v/>
      </c>
      <c r="M104" s="425" t="str">
        <f>IF(D104="","",VLOOKUP(D104,'G-6 Hedgerow Data'!$B$1:$AH$15,33,FALSE))</f>
        <v/>
      </c>
      <c r="N104" s="376" t="str">
        <f t="shared" si="11"/>
        <v/>
      </c>
      <c r="O104" s="516"/>
      <c r="P104" s="368" t="str">
        <f>IF(O104="","",IF(VLOOKUP(O104,'G-3 Multipliers'!$S$3:$T$10,2,FALSE)=0,"Spatial Data Missing ⚠",VLOOKUP(O104,'G-3 Multipliers'!$S$3:$T$10,2,FALSE)))</f>
        <v/>
      </c>
      <c r="Q104" s="376" t="str">
        <f t="shared" si="12"/>
        <v/>
      </c>
      <c r="R104" s="32"/>
      <c r="S104" s="114"/>
      <c r="T104" s="125"/>
      <c r="U104" s="370" t="str">
        <f t="shared" si="13"/>
        <v/>
      </c>
      <c r="V104" s="370" t="str">
        <f t="shared" si="14"/>
        <v/>
      </c>
      <c r="W104" s="374" t="str">
        <f t="shared" si="15"/>
        <v/>
      </c>
      <c r="X104" s="378" t="str">
        <f t="shared" si="16"/>
        <v/>
      </c>
      <c r="Y104" s="119"/>
      <c r="Z104" s="120"/>
      <c r="AA104" s="120"/>
      <c r="AB104" s="120"/>
      <c r="AE104" s="30" t="str">
        <f>IFERROR(INDEX('G-6 Hedgerow Data'!$BJ$3:$BJ$15,MATCH(D104,'G-6 Hedgerow Data'!$B$3:$B$15,0)),"")</f>
        <v/>
      </c>
      <c r="AH104" s="124" t="str">
        <f t="shared" si="9"/>
        <v/>
      </c>
      <c r="AI104" s="124" t="str">
        <f t="shared" si="10"/>
        <v/>
      </c>
      <c r="AK104" s="124">
        <v>95</v>
      </c>
      <c r="AM104" s="124" t="str">
        <f t="array" ref="AM104">IFERROR(INDEX($AK$10:$AK$258, MATCH(0, IF(TRUE=$AH$10:$AH$258, COUNTIF($AM$9:$AM103, $AK$10:$AK$258), ""), 0)),"")</f>
        <v/>
      </c>
      <c r="AN104" s="124" t="str">
        <f t="array" ref="AN104">IFERROR(INDEX($AK$10:$AK$258, MATCH(0, IF(TRUE=$AI$10:$AI$258, COUNTIF($AN$9:$AN103, $AK$10:$AK$258), ""), 0)),"")</f>
        <v/>
      </c>
      <c r="AY104" s="370" t="str">
        <f t="shared" si="17"/>
        <v/>
      </c>
    </row>
    <row r="105" spans="2:51" ht="15">
      <c r="B105" s="110">
        <v>96</v>
      </c>
      <c r="C105" s="165"/>
      <c r="D105" s="165"/>
      <c r="E105" s="121"/>
      <c r="F105" s="362" t="str">
        <f>IF(D105="","",VLOOKUP(D105,'G-6 Hedgerow Data'!$B$2:$AG$15,2,FALSE))</f>
        <v/>
      </c>
      <c r="G105" s="363" t="str">
        <f>IF(D105="","",VLOOKUP(D105,'G-6 Hedgerow Data'!$B$2:$AG$15,3,FALSE))</f>
        <v/>
      </c>
      <c r="H105" s="114"/>
      <c r="I105" s="363" t="str">
        <f>IFERROR(IF(AND(F105="V.Low",OR(H105="Good",H105="Moderate")),"Error ▲",VLOOKUP(H105,'G-1 All Habitats'!$Z$2:$AA$9,2,FALSE)),"")</f>
        <v/>
      </c>
      <c r="J105" s="122"/>
      <c r="K105" s="382" t="str">
        <f>IF(J105="","",IF(VLOOKUP(J105,'G-3 Multipliers'!$L$3:$N$6,2,FALSE)=0,"Spatial Data Missing ⚠",VLOOKUP(J105,'G-3 Multipliers'!$L$3:$N$6,2,FALSE)))</f>
        <v/>
      </c>
      <c r="L105" s="386" t="str">
        <f>IF(J105="","",IF(VLOOKUP(J105,'G-3 Multipliers'!$L$3:$N$6,3,FALSE)=0,"Spatial Data Missing ⚠",VLOOKUP(J105,'G-3 Multipliers'!$L$3:$N$6,3,FALSE)))</f>
        <v/>
      </c>
      <c r="M105" s="425" t="str">
        <f>IF(D105="","",VLOOKUP(D105,'G-6 Hedgerow Data'!$B$1:$AH$15,33,FALSE))</f>
        <v/>
      </c>
      <c r="N105" s="376" t="str">
        <f t="shared" si="11"/>
        <v/>
      </c>
      <c r="O105" s="516"/>
      <c r="P105" s="368" t="str">
        <f>IF(O105="","",IF(VLOOKUP(O105,'G-3 Multipliers'!$S$3:$T$10,2,FALSE)=0,"Spatial Data Missing ⚠",VLOOKUP(O105,'G-3 Multipliers'!$S$3:$T$10,2,FALSE)))</f>
        <v/>
      </c>
      <c r="Q105" s="376" t="str">
        <f t="shared" si="12"/>
        <v/>
      </c>
      <c r="R105" s="32"/>
      <c r="S105" s="114"/>
      <c r="T105" s="125"/>
      <c r="U105" s="370" t="str">
        <f t="shared" si="13"/>
        <v/>
      </c>
      <c r="V105" s="370" t="str">
        <f t="shared" si="14"/>
        <v/>
      </c>
      <c r="W105" s="374" t="str">
        <f t="shared" si="15"/>
        <v/>
      </c>
      <c r="X105" s="378" t="str">
        <f t="shared" si="16"/>
        <v/>
      </c>
      <c r="Y105" s="119"/>
      <c r="Z105" s="120"/>
      <c r="AA105" s="120"/>
      <c r="AB105" s="120"/>
      <c r="AE105" s="30" t="str">
        <f>IFERROR(INDEX('G-6 Hedgerow Data'!$BJ$3:$BJ$15,MATCH(D105,'G-6 Hedgerow Data'!$B$3:$B$15,0)),"")</f>
        <v/>
      </c>
      <c r="AH105" s="124" t="str">
        <f t="shared" si="9"/>
        <v/>
      </c>
      <c r="AI105" s="124" t="str">
        <f t="shared" si="10"/>
        <v/>
      </c>
      <c r="AK105" s="124">
        <v>96</v>
      </c>
      <c r="AM105" s="124" t="str">
        <f t="array" ref="AM105">IFERROR(INDEX($AK$10:$AK$258, MATCH(0, IF(TRUE=$AH$10:$AH$258, COUNTIF($AM$9:$AM104, $AK$10:$AK$258), ""), 0)),"")</f>
        <v/>
      </c>
      <c r="AN105" s="124" t="str">
        <f t="array" ref="AN105">IFERROR(INDEX($AK$10:$AK$258, MATCH(0, IF(TRUE=$AI$10:$AI$258, COUNTIF($AN$9:$AN104, $AK$10:$AK$258), ""), 0)),"")</f>
        <v/>
      </c>
      <c r="AY105" s="370" t="str">
        <f t="shared" si="17"/>
        <v/>
      </c>
    </row>
    <row r="106" spans="2:51" ht="15">
      <c r="B106" s="110">
        <v>97</v>
      </c>
      <c r="C106" s="165"/>
      <c r="D106" s="165"/>
      <c r="E106" s="121"/>
      <c r="F106" s="362" t="str">
        <f>IF(D106="","",VLOOKUP(D106,'G-6 Hedgerow Data'!$B$2:$AG$15,2,FALSE))</f>
        <v/>
      </c>
      <c r="G106" s="363" t="str">
        <f>IF(D106="","",VLOOKUP(D106,'G-6 Hedgerow Data'!$B$2:$AG$15,3,FALSE))</f>
        <v/>
      </c>
      <c r="H106" s="114"/>
      <c r="I106" s="363" t="str">
        <f>IFERROR(IF(AND(F106="V.Low",OR(H106="Good",H106="Moderate")),"Error ▲",VLOOKUP(H106,'G-1 All Habitats'!$Z$2:$AA$9,2,FALSE)),"")</f>
        <v/>
      </c>
      <c r="J106" s="122"/>
      <c r="K106" s="382" t="str">
        <f>IF(J106="","",IF(VLOOKUP(J106,'G-3 Multipliers'!$L$3:$N$6,2,FALSE)=0,"Spatial Data Missing ⚠",VLOOKUP(J106,'G-3 Multipliers'!$L$3:$N$6,2,FALSE)))</f>
        <v/>
      </c>
      <c r="L106" s="386" t="str">
        <f>IF(J106="","",IF(VLOOKUP(J106,'G-3 Multipliers'!$L$3:$N$6,3,FALSE)=0,"Spatial Data Missing ⚠",VLOOKUP(J106,'G-3 Multipliers'!$L$3:$N$6,3,FALSE)))</f>
        <v/>
      </c>
      <c r="M106" s="425" t="str">
        <f>IF(D106="","",VLOOKUP(D106,'G-6 Hedgerow Data'!$B$1:$AH$15,33,FALSE))</f>
        <v/>
      </c>
      <c r="N106" s="376" t="str">
        <f t="shared" si="11"/>
        <v/>
      </c>
      <c r="O106" s="516"/>
      <c r="P106" s="368" t="str">
        <f>IF(O106="","",IF(VLOOKUP(O106,'G-3 Multipliers'!$S$3:$T$10,2,FALSE)=0,"Spatial Data Missing ⚠",VLOOKUP(O106,'G-3 Multipliers'!$S$3:$T$10,2,FALSE)))</f>
        <v/>
      </c>
      <c r="Q106" s="376" t="str">
        <f t="shared" si="12"/>
        <v/>
      </c>
      <c r="R106" s="32"/>
      <c r="S106" s="114"/>
      <c r="T106" s="125"/>
      <c r="U106" s="370" t="str">
        <f t="shared" si="13"/>
        <v/>
      </c>
      <c r="V106" s="370" t="str">
        <f t="shared" si="14"/>
        <v/>
      </c>
      <c r="W106" s="374" t="str">
        <f t="shared" si="15"/>
        <v/>
      </c>
      <c r="X106" s="378" t="str">
        <f t="shared" si="16"/>
        <v/>
      </c>
      <c r="Y106" s="119"/>
      <c r="Z106" s="120"/>
      <c r="AA106" s="120"/>
      <c r="AB106" s="120"/>
      <c r="AE106" s="30" t="str">
        <f>IFERROR(INDEX('G-6 Hedgerow Data'!$BJ$3:$BJ$15,MATCH(D106,'G-6 Hedgerow Data'!$B$3:$B$15,0)),"")</f>
        <v/>
      </c>
      <c r="AH106" s="124" t="str">
        <f t="shared" si="9"/>
        <v/>
      </c>
      <c r="AI106" s="124" t="str">
        <f t="shared" si="10"/>
        <v/>
      </c>
      <c r="AK106" s="124">
        <v>97</v>
      </c>
      <c r="AM106" s="124" t="str">
        <f t="array" ref="AM106">IFERROR(INDEX($AK$10:$AK$258, MATCH(0, IF(TRUE=$AH$10:$AH$258, COUNTIF($AM$9:$AM105, $AK$10:$AK$258), ""), 0)),"")</f>
        <v/>
      </c>
      <c r="AN106" s="124" t="str">
        <f t="array" ref="AN106">IFERROR(INDEX($AK$10:$AK$258, MATCH(0, IF(TRUE=$AI$10:$AI$258, COUNTIF($AN$9:$AN105, $AK$10:$AK$258), ""), 0)),"")</f>
        <v/>
      </c>
      <c r="AY106" s="370" t="str">
        <f t="shared" si="17"/>
        <v/>
      </c>
    </row>
    <row r="107" spans="2:51" ht="15">
      <c r="B107" s="110">
        <v>98</v>
      </c>
      <c r="C107" s="165"/>
      <c r="D107" s="165"/>
      <c r="E107" s="121"/>
      <c r="F107" s="362" t="str">
        <f>IF(D107="","",VLOOKUP(D107,'G-6 Hedgerow Data'!$B$2:$AG$15,2,FALSE))</f>
        <v/>
      </c>
      <c r="G107" s="363" t="str">
        <f>IF(D107="","",VLOOKUP(D107,'G-6 Hedgerow Data'!$B$2:$AG$15,3,FALSE))</f>
        <v/>
      </c>
      <c r="H107" s="114"/>
      <c r="I107" s="363" t="str">
        <f>IFERROR(IF(AND(F107="V.Low",OR(H107="Good",H107="Moderate")),"Error ▲",VLOOKUP(H107,'G-1 All Habitats'!$Z$2:$AA$9,2,FALSE)),"")</f>
        <v/>
      </c>
      <c r="J107" s="122"/>
      <c r="K107" s="382" t="str">
        <f>IF(J107="","",IF(VLOOKUP(J107,'G-3 Multipliers'!$L$3:$N$6,2,FALSE)=0,"Spatial Data Missing ⚠",VLOOKUP(J107,'G-3 Multipliers'!$L$3:$N$6,2,FALSE)))</f>
        <v/>
      </c>
      <c r="L107" s="386" t="str">
        <f>IF(J107="","",IF(VLOOKUP(J107,'G-3 Multipliers'!$L$3:$N$6,3,FALSE)=0,"Spatial Data Missing ⚠",VLOOKUP(J107,'G-3 Multipliers'!$L$3:$N$6,3,FALSE)))</f>
        <v/>
      </c>
      <c r="M107" s="425" t="str">
        <f>IF(D107="","",VLOOKUP(D107,'G-6 Hedgerow Data'!$B$1:$AH$15,33,FALSE))</f>
        <v/>
      </c>
      <c r="N107" s="376" t="str">
        <f t="shared" si="11"/>
        <v/>
      </c>
      <c r="O107" s="516"/>
      <c r="P107" s="368" t="str">
        <f>IF(O107="","",IF(VLOOKUP(O107,'G-3 Multipliers'!$S$3:$T$10,2,FALSE)=0,"Spatial Data Missing ⚠",VLOOKUP(O107,'G-3 Multipliers'!$S$3:$T$10,2,FALSE)))</f>
        <v/>
      </c>
      <c r="Q107" s="376" t="str">
        <f t="shared" si="12"/>
        <v/>
      </c>
      <c r="R107" s="32"/>
      <c r="S107" s="114"/>
      <c r="T107" s="125"/>
      <c r="U107" s="370" t="str">
        <f t="shared" si="13"/>
        <v/>
      </c>
      <c r="V107" s="370" t="str">
        <f t="shared" si="14"/>
        <v/>
      </c>
      <c r="W107" s="374" t="str">
        <f t="shared" si="15"/>
        <v/>
      </c>
      <c r="X107" s="378" t="str">
        <f t="shared" si="16"/>
        <v/>
      </c>
      <c r="Y107" s="119"/>
      <c r="Z107" s="120"/>
      <c r="AA107" s="120"/>
      <c r="AB107" s="120"/>
      <c r="AE107" s="30" t="str">
        <f>IFERROR(INDEX('G-6 Hedgerow Data'!$BJ$3:$BJ$15,MATCH(D107,'G-6 Hedgerow Data'!$B$3:$B$15,0)),"")</f>
        <v/>
      </c>
      <c r="AH107" s="124" t="str">
        <f t="shared" si="9"/>
        <v/>
      </c>
      <c r="AI107" s="124" t="str">
        <f t="shared" si="10"/>
        <v/>
      </c>
      <c r="AK107" s="124">
        <v>98</v>
      </c>
      <c r="AM107" s="124" t="str">
        <f t="array" ref="AM107">IFERROR(INDEX($AK$10:$AK$258, MATCH(0, IF(TRUE=$AH$10:$AH$258, COUNTIF($AM$9:$AM106, $AK$10:$AK$258), ""), 0)),"")</f>
        <v/>
      </c>
      <c r="AN107" s="124" t="str">
        <f t="array" ref="AN107">IFERROR(INDEX($AK$10:$AK$258, MATCH(0, IF(TRUE=$AI$10:$AI$258, COUNTIF($AN$9:$AN106, $AK$10:$AK$258), ""), 0)),"")</f>
        <v/>
      </c>
      <c r="AY107" s="370" t="str">
        <f t="shared" si="17"/>
        <v/>
      </c>
    </row>
    <row r="108" spans="2:51" ht="15">
      <c r="B108" s="110">
        <v>99</v>
      </c>
      <c r="C108" s="165"/>
      <c r="D108" s="165"/>
      <c r="E108" s="121"/>
      <c r="F108" s="362" t="str">
        <f>IF(D108="","",VLOOKUP(D108,'G-6 Hedgerow Data'!$B$2:$AG$15,2,FALSE))</f>
        <v/>
      </c>
      <c r="G108" s="363" t="str">
        <f>IF(D108="","",VLOOKUP(D108,'G-6 Hedgerow Data'!$B$2:$AG$15,3,FALSE))</f>
        <v/>
      </c>
      <c r="H108" s="114"/>
      <c r="I108" s="363" t="str">
        <f>IFERROR(IF(AND(F108="V.Low",OR(H108="Good",H108="Moderate")),"Error ▲",VLOOKUP(H108,'G-1 All Habitats'!$Z$2:$AA$9,2,FALSE)),"")</f>
        <v/>
      </c>
      <c r="J108" s="122"/>
      <c r="K108" s="382" t="str">
        <f>IF(J108="","",IF(VLOOKUP(J108,'G-3 Multipliers'!$L$3:$N$6,2,FALSE)=0,"Spatial Data Missing ⚠",VLOOKUP(J108,'G-3 Multipliers'!$L$3:$N$6,2,FALSE)))</f>
        <v/>
      </c>
      <c r="L108" s="386" t="str">
        <f>IF(J108="","",IF(VLOOKUP(J108,'G-3 Multipliers'!$L$3:$N$6,3,FALSE)=0,"Spatial Data Missing ⚠",VLOOKUP(J108,'G-3 Multipliers'!$L$3:$N$6,3,FALSE)))</f>
        <v/>
      </c>
      <c r="M108" s="425" t="str">
        <f>IF(D108="","",VLOOKUP(D108,'G-6 Hedgerow Data'!$B$1:$AH$15,33,FALSE))</f>
        <v/>
      </c>
      <c r="N108" s="376" t="str">
        <f t="shared" si="11"/>
        <v/>
      </c>
      <c r="O108" s="516"/>
      <c r="P108" s="368" t="str">
        <f>IF(O108="","",IF(VLOOKUP(O108,'G-3 Multipliers'!$S$3:$T$10,2,FALSE)=0,"Spatial Data Missing ⚠",VLOOKUP(O108,'G-3 Multipliers'!$S$3:$T$10,2,FALSE)))</f>
        <v/>
      </c>
      <c r="Q108" s="376" t="str">
        <f t="shared" si="12"/>
        <v/>
      </c>
      <c r="R108" s="32"/>
      <c r="S108" s="114"/>
      <c r="T108" s="125"/>
      <c r="U108" s="370" t="str">
        <f t="shared" si="13"/>
        <v/>
      </c>
      <c r="V108" s="370" t="str">
        <f t="shared" si="14"/>
        <v/>
      </c>
      <c r="W108" s="374" t="str">
        <f t="shared" si="15"/>
        <v/>
      </c>
      <c r="X108" s="378" t="str">
        <f t="shared" si="16"/>
        <v/>
      </c>
      <c r="Y108" s="119"/>
      <c r="Z108" s="120"/>
      <c r="AA108" s="120"/>
      <c r="AB108" s="120"/>
      <c r="AE108" s="30" t="str">
        <f>IFERROR(INDEX('G-6 Hedgerow Data'!$BJ$3:$BJ$15,MATCH(D108,'G-6 Hedgerow Data'!$B$3:$B$15,0)),"")</f>
        <v/>
      </c>
      <c r="AH108" s="124" t="str">
        <f t="shared" si="9"/>
        <v/>
      </c>
      <c r="AI108" s="124" t="str">
        <f t="shared" si="10"/>
        <v/>
      </c>
      <c r="AK108" s="124">
        <v>99</v>
      </c>
      <c r="AM108" s="124" t="str">
        <f t="array" ref="AM108">IFERROR(INDEX($AK$10:$AK$258, MATCH(0, IF(TRUE=$AH$10:$AH$258, COUNTIF($AM$9:$AM107, $AK$10:$AK$258), ""), 0)),"")</f>
        <v/>
      </c>
      <c r="AN108" s="124" t="str">
        <f t="array" ref="AN108">IFERROR(INDEX($AK$10:$AK$258, MATCH(0, IF(TRUE=$AI$10:$AI$258, COUNTIF($AN$9:$AN107, $AK$10:$AK$258), ""), 0)),"")</f>
        <v/>
      </c>
      <c r="AY108" s="370" t="str">
        <f t="shared" si="17"/>
        <v/>
      </c>
    </row>
    <row r="109" spans="2:51" ht="15">
      <c r="B109" s="110">
        <v>100</v>
      </c>
      <c r="C109" s="165"/>
      <c r="D109" s="165"/>
      <c r="E109" s="121"/>
      <c r="F109" s="362" t="str">
        <f>IF(D109="","",VLOOKUP(D109,'G-6 Hedgerow Data'!$B$2:$AG$15,2,FALSE))</f>
        <v/>
      </c>
      <c r="G109" s="363" t="str">
        <f>IF(D109="","",VLOOKUP(D109,'G-6 Hedgerow Data'!$B$2:$AG$15,3,FALSE))</f>
        <v/>
      </c>
      <c r="H109" s="114"/>
      <c r="I109" s="363" t="str">
        <f>IFERROR(IF(AND(F109="V.Low",OR(H109="Good",H109="Moderate")),"Error ▲",VLOOKUP(H109,'G-1 All Habitats'!$Z$2:$AA$9,2,FALSE)),"")</f>
        <v/>
      </c>
      <c r="J109" s="122"/>
      <c r="K109" s="382" t="str">
        <f>IF(J109="","",IF(VLOOKUP(J109,'G-3 Multipliers'!$L$3:$N$6,2,FALSE)=0,"Spatial Data Missing ⚠",VLOOKUP(J109,'G-3 Multipliers'!$L$3:$N$6,2,FALSE)))</f>
        <v/>
      </c>
      <c r="L109" s="386" t="str">
        <f>IF(J109="","",IF(VLOOKUP(J109,'G-3 Multipliers'!$L$3:$N$6,3,FALSE)=0,"Spatial Data Missing ⚠",VLOOKUP(J109,'G-3 Multipliers'!$L$3:$N$6,3,FALSE)))</f>
        <v/>
      </c>
      <c r="M109" s="425" t="str">
        <f>IF(D109="","",VLOOKUP(D109,'G-6 Hedgerow Data'!$B$1:$AH$15,33,FALSE))</f>
        <v/>
      </c>
      <c r="N109" s="376" t="str">
        <f t="shared" si="11"/>
        <v/>
      </c>
      <c r="O109" s="516"/>
      <c r="P109" s="368" t="str">
        <f>IF(O109="","",IF(VLOOKUP(O109,'G-3 Multipliers'!$S$3:$T$10,2,FALSE)=0,"Spatial Data Missing ⚠",VLOOKUP(O109,'G-3 Multipliers'!$S$3:$T$10,2,FALSE)))</f>
        <v/>
      </c>
      <c r="Q109" s="376" t="str">
        <f t="shared" si="12"/>
        <v/>
      </c>
      <c r="R109" s="32"/>
      <c r="S109" s="114"/>
      <c r="T109" s="125"/>
      <c r="U109" s="370" t="str">
        <f t="shared" si="13"/>
        <v/>
      </c>
      <c r="V109" s="370" t="str">
        <f t="shared" si="14"/>
        <v/>
      </c>
      <c r="W109" s="374" t="str">
        <f t="shared" si="15"/>
        <v/>
      </c>
      <c r="X109" s="378" t="str">
        <f t="shared" si="16"/>
        <v/>
      </c>
      <c r="Y109" s="119"/>
      <c r="Z109" s="120"/>
      <c r="AA109" s="120"/>
      <c r="AB109" s="120"/>
      <c r="AE109" s="30" t="str">
        <f>IFERROR(INDEX('G-6 Hedgerow Data'!$BJ$3:$BJ$15,MATCH(D109,'G-6 Hedgerow Data'!$B$3:$B$15,0)),"")</f>
        <v/>
      </c>
      <c r="AH109" s="124" t="str">
        <f t="shared" si="9"/>
        <v/>
      </c>
      <c r="AI109" s="124" t="str">
        <f t="shared" si="10"/>
        <v/>
      </c>
      <c r="AK109" s="124">
        <v>100</v>
      </c>
      <c r="AM109" s="124" t="str">
        <f t="array" ref="AM109">IFERROR(INDEX($AK$10:$AK$258, MATCH(0, IF(TRUE=$AH$10:$AH$258, COUNTIF($AM$9:$AM108, $AK$10:$AK$258), ""), 0)),"")</f>
        <v/>
      </c>
      <c r="AN109" s="124" t="str">
        <f t="array" ref="AN109">IFERROR(INDEX($AK$10:$AK$258, MATCH(0, IF(TRUE=$AI$10:$AI$258, COUNTIF($AN$9:$AN108, $AK$10:$AK$258), ""), 0)),"")</f>
        <v/>
      </c>
      <c r="AY109" s="370" t="str">
        <f t="shared" si="17"/>
        <v/>
      </c>
    </row>
    <row r="110" spans="2:51" ht="15">
      <c r="B110" s="110">
        <v>101</v>
      </c>
      <c r="C110" s="165"/>
      <c r="D110" s="165"/>
      <c r="E110" s="121"/>
      <c r="F110" s="362" t="str">
        <f>IF(D110="","",VLOOKUP(D110,'G-6 Hedgerow Data'!$B$2:$AG$15,2,FALSE))</f>
        <v/>
      </c>
      <c r="G110" s="363" t="str">
        <f>IF(D110="","",VLOOKUP(D110,'G-6 Hedgerow Data'!$B$2:$AG$15,3,FALSE))</f>
        <v/>
      </c>
      <c r="H110" s="114"/>
      <c r="I110" s="363" t="str">
        <f>IFERROR(IF(AND(F110="V.Low",OR(H110="Good",H110="Moderate")),"Error ▲",VLOOKUP(H110,'G-1 All Habitats'!$Z$2:$AA$9,2,FALSE)),"")</f>
        <v/>
      </c>
      <c r="J110" s="122"/>
      <c r="K110" s="382" t="str">
        <f>IF(J110="","",IF(VLOOKUP(J110,'G-3 Multipliers'!$L$3:$N$6,2,FALSE)=0,"Spatial Data Missing ⚠",VLOOKUP(J110,'G-3 Multipliers'!$L$3:$N$6,2,FALSE)))</f>
        <v/>
      </c>
      <c r="L110" s="386" t="str">
        <f>IF(J110="","",IF(VLOOKUP(J110,'G-3 Multipliers'!$L$3:$N$6,3,FALSE)=0,"Spatial Data Missing ⚠",VLOOKUP(J110,'G-3 Multipliers'!$L$3:$N$6,3,FALSE)))</f>
        <v/>
      </c>
      <c r="M110" s="425" t="str">
        <f>IF(D110="","",VLOOKUP(D110,'G-6 Hedgerow Data'!$B$1:$AH$15,33,FALSE))</f>
        <v/>
      </c>
      <c r="N110" s="376" t="str">
        <f t="shared" si="11"/>
        <v/>
      </c>
      <c r="O110" s="516"/>
      <c r="P110" s="368" t="str">
        <f>IF(O110="","",IF(VLOOKUP(O110,'G-3 Multipliers'!$S$3:$T$10,2,FALSE)=0,"Spatial Data Missing ⚠",VLOOKUP(O110,'G-3 Multipliers'!$S$3:$T$10,2,FALSE)))</f>
        <v/>
      </c>
      <c r="Q110" s="376" t="str">
        <f t="shared" si="12"/>
        <v/>
      </c>
      <c r="R110" s="32"/>
      <c r="S110" s="114"/>
      <c r="T110" s="125"/>
      <c r="U110" s="370" t="str">
        <f t="shared" si="13"/>
        <v/>
      </c>
      <c r="V110" s="370" t="str">
        <f t="shared" si="14"/>
        <v/>
      </c>
      <c r="W110" s="374" t="str">
        <f t="shared" si="15"/>
        <v/>
      </c>
      <c r="X110" s="378" t="str">
        <f t="shared" si="16"/>
        <v/>
      </c>
      <c r="Y110" s="119"/>
      <c r="Z110" s="120"/>
      <c r="AA110" s="120"/>
      <c r="AB110" s="120"/>
      <c r="AE110" s="30" t="str">
        <f>IFERROR(INDEX('G-6 Hedgerow Data'!$BJ$3:$BJ$15,MATCH(D110,'G-6 Hedgerow Data'!$B$3:$B$15,0)),"")</f>
        <v/>
      </c>
      <c r="AH110" s="124" t="str">
        <f t="shared" si="9"/>
        <v/>
      </c>
      <c r="AI110" s="124" t="str">
        <f t="shared" si="10"/>
        <v/>
      </c>
      <c r="AK110" s="124">
        <v>101</v>
      </c>
      <c r="AM110" s="124" t="str">
        <f t="array" ref="AM110">IFERROR(INDEX($AK$10:$AK$258, MATCH(0, IF(TRUE=$AH$10:$AH$258, COUNTIF($AM$9:$AM109, $AK$10:$AK$258), ""), 0)),"")</f>
        <v/>
      </c>
      <c r="AN110" s="124" t="str">
        <f t="array" ref="AN110">IFERROR(INDEX($AK$10:$AK$258, MATCH(0, IF(TRUE=$AI$10:$AI$258, COUNTIF($AN$9:$AN109, $AK$10:$AK$258), ""), 0)),"")</f>
        <v/>
      </c>
      <c r="AY110" s="370" t="str">
        <f t="shared" si="17"/>
        <v/>
      </c>
    </row>
    <row r="111" spans="2:51" ht="15">
      <c r="B111" s="110">
        <v>102</v>
      </c>
      <c r="C111" s="165"/>
      <c r="D111" s="165"/>
      <c r="E111" s="121"/>
      <c r="F111" s="362" t="str">
        <f>IF(D111="","",VLOOKUP(D111,'G-6 Hedgerow Data'!$B$2:$AG$15,2,FALSE))</f>
        <v/>
      </c>
      <c r="G111" s="363" t="str">
        <f>IF(D111="","",VLOOKUP(D111,'G-6 Hedgerow Data'!$B$2:$AG$15,3,FALSE))</f>
        <v/>
      </c>
      <c r="H111" s="114"/>
      <c r="I111" s="363" t="str">
        <f>IFERROR(IF(AND(F111="V.Low",OR(H111="Good",H111="Moderate")),"Error ▲",VLOOKUP(H111,'G-1 All Habitats'!$Z$2:$AA$9,2,FALSE)),"")</f>
        <v/>
      </c>
      <c r="J111" s="122"/>
      <c r="K111" s="382" t="str">
        <f>IF(J111="","",IF(VLOOKUP(J111,'G-3 Multipliers'!$L$3:$N$6,2,FALSE)=0,"Spatial Data Missing ⚠",VLOOKUP(J111,'G-3 Multipliers'!$L$3:$N$6,2,FALSE)))</f>
        <v/>
      </c>
      <c r="L111" s="386" t="str">
        <f>IF(J111="","",IF(VLOOKUP(J111,'G-3 Multipliers'!$L$3:$N$6,3,FALSE)=0,"Spatial Data Missing ⚠",VLOOKUP(J111,'G-3 Multipliers'!$L$3:$N$6,3,FALSE)))</f>
        <v/>
      </c>
      <c r="M111" s="425" t="str">
        <f>IF(D111="","",VLOOKUP(D111,'G-6 Hedgerow Data'!$B$1:$AH$15,33,FALSE))</f>
        <v/>
      </c>
      <c r="N111" s="376" t="str">
        <f t="shared" si="11"/>
        <v/>
      </c>
      <c r="O111" s="516"/>
      <c r="P111" s="368" t="str">
        <f>IF(O111="","",IF(VLOOKUP(O111,'G-3 Multipliers'!$S$3:$T$10,2,FALSE)=0,"Spatial Data Missing ⚠",VLOOKUP(O111,'G-3 Multipliers'!$S$3:$T$10,2,FALSE)))</f>
        <v/>
      </c>
      <c r="Q111" s="376" t="str">
        <f t="shared" si="12"/>
        <v/>
      </c>
      <c r="R111" s="32"/>
      <c r="S111" s="114"/>
      <c r="T111" s="125"/>
      <c r="U111" s="370" t="str">
        <f t="shared" si="13"/>
        <v/>
      </c>
      <c r="V111" s="370" t="str">
        <f t="shared" si="14"/>
        <v/>
      </c>
      <c r="W111" s="374" t="str">
        <f t="shared" si="15"/>
        <v/>
      </c>
      <c r="X111" s="378" t="str">
        <f t="shared" si="16"/>
        <v/>
      </c>
      <c r="Y111" s="119"/>
      <c r="Z111" s="120"/>
      <c r="AA111" s="120"/>
      <c r="AB111" s="120"/>
      <c r="AE111" s="30" t="str">
        <f>IFERROR(INDEX('G-6 Hedgerow Data'!$BJ$3:$BJ$15,MATCH(D111,'G-6 Hedgerow Data'!$B$3:$B$15,0)),"")</f>
        <v/>
      </c>
      <c r="AH111" s="124" t="str">
        <f t="shared" si="9"/>
        <v/>
      </c>
      <c r="AI111" s="124" t="str">
        <f t="shared" si="10"/>
        <v/>
      </c>
      <c r="AK111" s="124">
        <v>102</v>
      </c>
      <c r="AM111" s="124" t="str">
        <f t="array" ref="AM111">IFERROR(INDEX($AK$10:$AK$258, MATCH(0, IF(TRUE=$AH$10:$AH$258, COUNTIF($AM$9:$AM110, $AK$10:$AK$258), ""), 0)),"")</f>
        <v/>
      </c>
      <c r="AN111" s="124" t="str">
        <f t="array" ref="AN111">IFERROR(INDEX($AK$10:$AK$258, MATCH(0, IF(TRUE=$AI$10:$AI$258, COUNTIF($AN$9:$AN110, $AK$10:$AK$258), ""), 0)),"")</f>
        <v/>
      </c>
      <c r="AY111" s="370" t="str">
        <f t="shared" si="17"/>
        <v/>
      </c>
    </row>
    <row r="112" spans="2:51" ht="15">
      <c r="B112" s="110">
        <v>103</v>
      </c>
      <c r="C112" s="165"/>
      <c r="D112" s="165"/>
      <c r="E112" s="121"/>
      <c r="F112" s="362" t="str">
        <f>IF(D112="","",VLOOKUP(D112,'G-6 Hedgerow Data'!$B$2:$AG$15,2,FALSE))</f>
        <v/>
      </c>
      <c r="G112" s="363" t="str">
        <f>IF(D112="","",VLOOKUP(D112,'G-6 Hedgerow Data'!$B$2:$AG$15,3,FALSE))</f>
        <v/>
      </c>
      <c r="H112" s="114"/>
      <c r="I112" s="363" t="str">
        <f>IFERROR(IF(AND(F112="V.Low",OR(H112="Good",H112="Moderate")),"Error ▲",VLOOKUP(H112,'G-1 All Habitats'!$Z$2:$AA$9,2,FALSE)),"")</f>
        <v/>
      </c>
      <c r="J112" s="122"/>
      <c r="K112" s="382" t="str">
        <f>IF(J112="","",IF(VLOOKUP(J112,'G-3 Multipliers'!$L$3:$N$6,2,FALSE)=0,"Spatial Data Missing ⚠",VLOOKUP(J112,'G-3 Multipliers'!$L$3:$N$6,2,FALSE)))</f>
        <v/>
      </c>
      <c r="L112" s="386" t="str">
        <f>IF(J112="","",IF(VLOOKUP(J112,'G-3 Multipliers'!$L$3:$N$6,3,FALSE)=0,"Spatial Data Missing ⚠",VLOOKUP(J112,'G-3 Multipliers'!$L$3:$N$6,3,FALSE)))</f>
        <v/>
      </c>
      <c r="M112" s="425" t="str">
        <f>IF(D112="","",VLOOKUP(D112,'G-6 Hedgerow Data'!$B$1:$AH$15,33,FALSE))</f>
        <v/>
      </c>
      <c r="N112" s="376" t="str">
        <f t="shared" si="11"/>
        <v/>
      </c>
      <c r="O112" s="516"/>
      <c r="P112" s="368" t="str">
        <f>IF(O112="","",IF(VLOOKUP(O112,'G-3 Multipliers'!$S$3:$T$10,2,FALSE)=0,"Spatial Data Missing ⚠",VLOOKUP(O112,'G-3 Multipliers'!$S$3:$T$10,2,FALSE)))</f>
        <v/>
      </c>
      <c r="Q112" s="376" t="str">
        <f t="shared" si="12"/>
        <v/>
      </c>
      <c r="R112" s="32"/>
      <c r="S112" s="114"/>
      <c r="T112" s="125"/>
      <c r="U112" s="370" t="str">
        <f t="shared" si="13"/>
        <v/>
      </c>
      <c r="V112" s="370" t="str">
        <f t="shared" si="14"/>
        <v/>
      </c>
      <c r="W112" s="374" t="str">
        <f t="shared" si="15"/>
        <v/>
      </c>
      <c r="X112" s="378" t="str">
        <f t="shared" si="16"/>
        <v/>
      </c>
      <c r="Y112" s="119"/>
      <c r="Z112" s="120"/>
      <c r="AA112" s="120"/>
      <c r="AB112" s="120"/>
      <c r="AE112" s="30" t="str">
        <f>IFERROR(INDEX('G-6 Hedgerow Data'!$BJ$3:$BJ$15,MATCH(D112,'G-6 Hedgerow Data'!$B$3:$B$15,0)),"")</f>
        <v/>
      </c>
      <c r="AH112" s="124" t="str">
        <f t="shared" si="9"/>
        <v/>
      </c>
      <c r="AI112" s="124" t="str">
        <f t="shared" si="10"/>
        <v/>
      </c>
      <c r="AK112" s="124">
        <v>103</v>
      </c>
      <c r="AM112" s="124" t="str">
        <f t="array" ref="AM112">IFERROR(INDEX($AK$10:$AK$258, MATCH(0, IF(TRUE=$AH$10:$AH$258, COUNTIF($AM$9:$AM111, $AK$10:$AK$258), ""), 0)),"")</f>
        <v/>
      </c>
      <c r="AN112" s="124" t="str">
        <f t="array" ref="AN112">IFERROR(INDEX($AK$10:$AK$258, MATCH(0, IF(TRUE=$AI$10:$AI$258, COUNTIF($AN$9:$AN111, $AK$10:$AK$258), ""), 0)),"")</f>
        <v/>
      </c>
      <c r="AY112" s="370" t="str">
        <f t="shared" si="17"/>
        <v/>
      </c>
    </row>
    <row r="113" spans="2:51" ht="15">
      <c r="B113" s="110">
        <v>104</v>
      </c>
      <c r="C113" s="165"/>
      <c r="D113" s="165"/>
      <c r="E113" s="121"/>
      <c r="F113" s="362" t="str">
        <f>IF(D113="","",VLOOKUP(D113,'G-6 Hedgerow Data'!$B$2:$AG$15,2,FALSE))</f>
        <v/>
      </c>
      <c r="G113" s="363" t="str">
        <f>IF(D113="","",VLOOKUP(D113,'G-6 Hedgerow Data'!$B$2:$AG$15,3,FALSE))</f>
        <v/>
      </c>
      <c r="H113" s="114"/>
      <c r="I113" s="363" t="str">
        <f>IFERROR(IF(AND(F113="V.Low",OR(H113="Good",H113="Moderate")),"Error ▲",VLOOKUP(H113,'G-1 All Habitats'!$Z$2:$AA$9,2,FALSE)),"")</f>
        <v/>
      </c>
      <c r="J113" s="122"/>
      <c r="K113" s="382" t="str">
        <f>IF(J113="","",IF(VLOOKUP(J113,'G-3 Multipliers'!$L$3:$N$6,2,FALSE)=0,"Spatial Data Missing ⚠",VLOOKUP(J113,'G-3 Multipliers'!$L$3:$N$6,2,FALSE)))</f>
        <v/>
      </c>
      <c r="L113" s="386" t="str">
        <f>IF(J113="","",IF(VLOOKUP(J113,'G-3 Multipliers'!$L$3:$N$6,3,FALSE)=0,"Spatial Data Missing ⚠",VLOOKUP(J113,'G-3 Multipliers'!$L$3:$N$6,3,FALSE)))</f>
        <v/>
      </c>
      <c r="M113" s="425" t="str">
        <f>IF(D113="","",VLOOKUP(D113,'G-6 Hedgerow Data'!$B$1:$AH$15,33,FALSE))</f>
        <v/>
      </c>
      <c r="N113" s="376" t="str">
        <f t="shared" si="11"/>
        <v/>
      </c>
      <c r="O113" s="516"/>
      <c r="P113" s="368" t="str">
        <f>IF(O113="","",IF(VLOOKUP(O113,'G-3 Multipliers'!$S$3:$T$10,2,FALSE)=0,"Spatial Data Missing ⚠",VLOOKUP(O113,'G-3 Multipliers'!$S$3:$T$10,2,FALSE)))</f>
        <v/>
      </c>
      <c r="Q113" s="376" t="str">
        <f t="shared" si="12"/>
        <v/>
      </c>
      <c r="R113" s="32"/>
      <c r="S113" s="114"/>
      <c r="T113" s="125"/>
      <c r="U113" s="370" t="str">
        <f t="shared" si="13"/>
        <v/>
      </c>
      <c r="V113" s="370" t="str">
        <f t="shared" si="14"/>
        <v/>
      </c>
      <c r="W113" s="374" t="str">
        <f t="shared" si="15"/>
        <v/>
      </c>
      <c r="X113" s="378" t="str">
        <f t="shared" si="16"/>
        <v/>
      </c>
      <c r="Y113" s="119"/>
      <c r="Z113" s="120"/>
      <c r="AA113" s="120"/>
      <c r="AB113" s="120"/>
      <c r="AE113" s="30" t="str">
        <f>IFERROR(INDEX('G-6 Hedgerow Data'!$BJ$3:$BJ$15,MATCH(D113,'G-6 Hedgerow Data'!$B$3:$B$15,0)),"")</f>
        <v/>
      </c>
      <c r="AH113" s="124" t="str">
        <f t="shared" si="9"/>
        <v/>
      </c>
      <c r="AI113" s="124" t="str">
        <f t="shared" si="10"/>
        <v/>
      </c>
      <c r="AK113" s="124">
        <v>104</v>
      </c>
      <c r="AM113" s="124" t="str">
        <f t="array" ref="AM113">IFERROR(INDEX($AK$10:$AK$258, MATCH(0, IF(TRUE=$AH$10:$AH$258, COUNTIF($AM$9:$AM112, $AK$10:$AK$258), ""), 0)),"")</f>
        <v/>
      </c>
      <c r="AN113" s="124" t="str">
        <f t="array" ref="AN113">IFERROR(INDEX($AK$10:$AK$258, MATCH(0, IF(TRUE=$AI$10:$AI$258, COUNTIF($AN$9:$AN112, $AK$10:$AK$258), ""), 0)),"")</f>
        <v/>
      </c>
      <c r="AY113" s="370" t="str">
        <f t="shared" si="17"/>
        <v/>
      </c>
    </row>
    <row r="114" spans="2:51" ht="15">
      <c r="B114" s="110">
        <v>105</v>
      </c>
      <c r="C114" s="165"/>
      <c r="D114" s="165"/>
      <c r="E114" s="121"/>
      <c r="F114" s="362" t="str">
        <f>IF(D114="","",VLOOKUP(D114,'G-6 Hedgerow Data'!$B$2:$AG$15,2,FALSE))</f>
        <v/>
      </c>
      <c r="G114" s="363" t="str">
        <f>IF(D114="","",VLOOKUP(D114,'G-6 Hedgerow Data'!$B$2:$AG$15,3,FALSE))</f>
        <v/>
      </c>
      <c r="H114" s="114"/>
      <c r="I114" s="363" t="str">
        <f>IFERROR(IF(AND(F114="V.Low",OR(H114="Good",H114="Moderate")),"Error ▲",VLOOKUP(H114,'G-1 All Habitats'!$Z$2:$AA$9,2,FALSE)),"")</f>
        <v/>
      </c>
      <c r="J114" s="122"/>
      <c r="K114" s="382" t="str">
        <f>IF(J114="","",IF(VLOOKUP(J114,'G-3 Multipliers'!$L$3:$N$6,2,FALSE)=0,"Spatial Data Missing ⚠",VLOOKUP(J114,'G-3 Multipliers'!$L$3:$N$6,2,FALSE)))</f>
        <v/>
      </c>
      <c r="L114" s="386" t="str">
        <f>IF(J114="","",IF(VLOOKUP(J114,'G-3 Multipliers'!$L$3:$N$6,3,FALSE)=0,"Spatial Data Missing ⚠",VLOOKUP(J114,'G-3 Multipliers'!$L$3:$N$6,3,FALSE)))</f>
        <v/>
      </c>
      <c r="M114" s="425" t="str">
        <f>IF(D114="","",VLOOKUP(D114,'G-6 Hedgerow Data'!$B$1:$AH$15,33,FALSE))</f>
        <v/>
      </c>
      <c r="N114" s="376" t="str">
        <f t="shared" si="11"/>
        <v/>
      </c>
      <c r="O114" s="516"/>
      <c r="P114" s="368" t="str">
        <f>IF(O114="","",IF(VLOOKUP(O114,'G-3 Multipliers'!$S$3:$T$10,2,FALSE)=0,"Spatial Data Missing ⚠",VLOOKUP(O114,'G-3 Multipliers'!$S$3:$T$10,2,FALSE)))</f>
        <v/>
      </c>
      <c r="Q114" s="376" t="str">
        <f t="shared" si="12"/>
        <v/>
      </c>
      <c r="R114" s="32"/>
      <c r="S114" s="114"/>
      <c r="T114" s="125"/>
      <c r="U114" s="370" t="str">
        <f t="shared" si="13"/>
        <v/>
      </c>
      <c r="V114" s="370" t="str">
        <f t="shared" si="14"/>
        <v/>
      </c>
      <c r="W114" s="374" t="str">
        <f t="shared" si="15"/>
        <v/>
      </c>
      <c r="X114" s="378" t="str">
        <f t="shared" si="16"/>
        <v/>
      </c>
      <c r="Y114" s="119"/>
      <c r="Z114" s="120"/>
      <c r="AA114" s="120"/>
      <c r="AB114" s="120"/>
      <c r="AE114" s="30" t="str">
        <f>IFERROR(INDEX('G-6 Hedgerow Data'!$BJ$3:$BJ$15,MATCH(D114,'G-6 Hedgerow Data'!$B$3:$B$15,0)),"")</f>
        <v/>
      </c>
      <c r="AH114" s="124" t="str">
        <f t="shared" si="9"/>
        <v/>
      </c>
      <c r="AI114" s="124" t="str">
        <f t="shared" si="10"/>
        <v/>
      </c>
      <c r="AK114" s="124">
        <v>105</v>
      </c>
      <c r="AM114" s="124" t="str">
        <f t="array" ref="AM114">IFERROR(INDEX($AK$10:$AK$258, MATCH(0, IF(TRUE=$AH$10:$AH$258, COUNTIF($AM$9:$AM113, $AK$10:$AK$258), ""), 0)),"")</f>
        <v/>
      </c>
      <c r="AN114" s="124" t="str">
        <f t="array" ref="AN114">IFERROR(INDEX($AK$10:$AK$258, MATCH(0, IF(TRUE=$AI$10:$AI$258, COUNTIF($AN$9:$AN113, $AK$10:$AK$258), ""), 0)),"")</f>
        <v/>
      </c>
      <c r="AY114" s="370" t="str">
        <f t="shared" si="17"/>
        <v/>
      </c>
    </row>
    <row r="115" spans="2:51" ht="15">
      <c r="B115" s="110">
        <v>106</v>
      </c>
      <c r="C115" s="165"/>
      <c r="D115" s="165"/>
      <c r="E115" s="121"/>
      <c r="F115" s="362" t="str">
        <f>IF(D115="","",VLOOKUP(D115,'G-6 Hedgerow Data'!$B$2:$AG$15,2,FALSE))</f>
        <v/>
      </c>
      <c r="G115" s="363" t="str">
        <f>IF(D115="","",VLOOKUP(D115,'G-6 Hedgerow Data'!$B$2:$AG$15,3,FALSE))</f>
        <v/>
      </c>
      <c r="H115" s="114"/>
      <c r="I115" s="363" t="str">
        <f>IFERROR(IF(AND(F115="V.Low",OR(H115="Good",H115="Moderate")),"Error ▲",VLOOKUP(H115,'G-1 All Habitats'!$Z$2:$AA$9,2,FALSE)),"")</f>
        <v/>
      </c>
      <c r="J115" s="122"/>
      <c r="K115" s="382" t="str">
        <f>IF(J115="","",IF(VLOOKUP(J115,'G-3 Multipliers'!$L$3:$N$6,2,FALSE)=0,"Spatial Data Missing ⚠",VLOOKUP(J115,'G-3 Multipliers'!$L$3:$N$6,2,FALSE)))</f>
        <v/>
      </c>
      <c r="L115" s="386" t="str">
        <f>IF(J115="","",IF(VLOOKUP(J115,'G-3 Multipliers'!$L$3:$N$6,3,FALSE)=0,"Spatial Data Missing ⚠",VLOOKUP(J115,'G-3 Multipliers'!$L$3:$N$6,3,FALSE)))</f>
        <v/>
      </c>
      <c r="M115" s="425" t="str">
        <f>IF(D115="","",VLOOKUP(D115,'G-6 Hedgerow Data'!$B$1:$AH$15,33,FALSE))</f>
        <v/>
      </c>
      <c r="N115" s="376" t="str">
        <f t="shared" si="11"/>
        <v/>
      </c>
      <c r="O115" s="516"/>
      <c r="P115" s="368" t="str">
        <f>IF(O115="","",IF(VLOOKUP(O115,'G-3 Multipliers'!$S$3:$T$10,2,FALSE)=0,"Spatial Data Missing ⚠",VLOOKUP(O115,'G-3 Multipliers'!$S$3:$T$10,2,FALSE)))</f>
        <v/>
      </c>
      <c r="Q115" s="376" t="str">
        <f t="shared" si="12"/>
        <v/>
      </c>
      <c r="R115" s="32"/>
      <c r="S115" s="114"/>
      <c r="T115" s="125"/>
      <c r="U115" s="370" t="str">
        <f t="shared" si="13"/>
        <v/>
      </c>
      <c r="V115" s="370" t="str">
        <f t="shared" si="14"/>
        <v/>
      </c>
      <c r="W115" s="374" t="str">
        <f t="shared" si="15"/>
        <v/>
      </c>
      <c r="X115" s="378" t="str">
        <f t="shared" si="16"/>
        <v/>
      </c>
      <c r="Y115" s="119"/>
      <c r="Z115" s="120"/>
      <c r="AA115" s="120"/>
      <c r="AB115" s="120"/>
      <c r="AE115" s="30" t="str">
        <f>IFERROR(INDEX('G-6 Hedgerow Data'!$BJ$3:$BJ$15,MATCH(D115,'G-6 Hedgerow Data'!$B$3:$B$15,0)),"")</f>
        <v/>
      </c>
      <c r="AH115" s="124" t="str">
        <f t="shared" si="9"/>
        <v/>
      </c>
      <c r="AI115" s="124" t="str">
        <f t="shared" si="10"/>
        <v/>
      </c>
      <c r="AK115" s="124">
        <v>106</v>
      </c>
      <c r="AM115" s="124" t="str">
        <f t="array" ref="AM115">IFERROR(INDEX($AK$10:$AK$258, MATCH(0, IF(TRUE=$AH$10:$AH$258, COUNTIF($AM$9:$AM114, $AK$10:$AK$258), ""), 0)),"")</f>
        <v/>
      </c>
      <c r="AN115" s="124" t="str">
        <f t="array" ref="AN115">IFERROR(INDEX($AK$10:$AK$258, MATCH(0, IF(TRUE=$AI$10:$AI$258, COUNTIF($AN$9:$AN114, $AK$10:$AK$258), ""), 0)),"")</f>
        <v/>
      </c>
      <c r="AY115" s="370" t="str">
        <f t="shared" si="17"/>
        <v/>
      </c>
    </row>
    <row r="116" spans="2:51" ht="15">
      <c r="B116" s="110">
        <v>107</v>
      </c>
      <c r="C116" s="165"/>
      <c r="D116" s="165"/>
      <c r="E116" s="121"/>
      <c r="F116" s="362" t="str">
        <f>IF(D116="","",VLOOKUP(D116,'G-6 Hedgerow Data'!$B$2:$AG$15,2,FALSE))</f>
        <v/>
      </c>
      <c r="G116" s="363" t="str">
        <f>IF(D116="","",VLOOKUP(D116,'G-6 Hedgerow Data'!$B$2:$AG$15,3,FALSE))</f>
        <v/>
      </c>
      <c r="H116" s="114"/>
      <c r="I116" s="363" t="str">
        <f>IFERROR(IF(AND(F116="V.Low",OR(H116="Good",H116="Moderate")),"Error ▲",VLOOKUP(H116,'G-1 All Habitats'!$Z$2:$AA$9,2,FALSE)),"")</f>
        <v/>
      </c>
      <c r="J116" s="122"/>
      <c r="K116" s="382" t="str">
        <f>IF(J116="","",IF(VLOOKUP(J116,'G-3 Multipliers'!$L$3:$N$6,2,FALSE)=0,"Spatial Data Missing ⚠",VLOOKUP(J116,'G-3 Multipliers'!$L$3:$N$6,2,FALSE)))</f>
        <v/>
      </c>
      <c r="L116" s="386" t="str">
        <f>IF(J116="","",IF(VLOOKUP(J116,'G-3 Multipliers'!$L$3:$N$6,3,FALSE)=0,"Spatial Data Missing ⚠",VLOOKUP(J116,'G-3 Multipliers'!$L$3:$N$6,3,FALSE)))</f>
        <v/>
      </c>
      <c r="M116" s="425" t="str">
        <f>IF(D116="","",VLOOKUP(D116,'G-6 Hedgerow Data'!$B$1:$AH$15,33,FALSE))</f>
        <v/>
      </c>
      <c r="N116" s="376" t="str">
        <f t="shared" si="11"/>
        <v/>
      </c>
      <c r="O116" s="516"/>
      <c r="P116" s="368" t="str">
        <f>IF(O116="","",IF(VLOOKUP(O116,'G-3 Multipliers'!$S$3:$T$10,2,FALSE)=0,"Spatial Data Missing ⚠",VLOOKUP(O116,'G-3 Multipliers'!$S$3:$T$10,2,FALSE)))</f>
        <v/>
      </c>
      <c r="Q116" s="376" t="str">
        <f t="shared" si="12"/>
        <v/>
      </c>
      <c r="R116" s="32"/>
      <c r="S116" s="114"/>
      <c r="T116" s="125"/>
      <c r="U116" s="370" t="str">
        <f t="shared" si="13"/>
        <v/>
      </c>
      <c r="V116" s="370" t="str">
        <f t="shared" si="14"/>
        <v/>
      </c>
      <c r="W116" s="374" t="str">
        <f t="shared" si="15"/>
        <v/>
      </c>
      <c r="X116" s="378" t="str">
        <f t="shared" si="16"/>
        <v/>
      </c>
      <c r="Y116" s="119"/>
      <c r="Z116" s="120"/>
      <c r="AA116" s="120"/>
      <c r="AB116" s="120"/>
      <c r="AE116" s="30" t="str">
        <f>IFERROR(INDEX('G-6 Hedgerow Data'!$BJ$3:$BJ$15,MATCH(D116,'G-6 Hedgerow Data'!$B$3:$B$15,0)),"")</f>
        <v/>
      </c>
      <c r="AH116" s="124" t="str">
        <f t="shared" si="9"/>
        <v/>
      </c>
      <c r="AI116" s="124" t="str">
        <f t="shared" si="10"/>
        <v/>
      </c>
      <c r="AK116" s="124">
        <v>107</v>
      </c>
      <c r="AM116" s="124" t="str">
        <f t="array" ref="AM116">IFERROR(INDEX($AK$10:$AK$258, MATCH(0, IF(TRUE=$AH$10:$AH$258, COUNTIF($AM$9:$AM115, $AK$10:$AK$258), ""), 0)),"")</f>
        <v/>
      </c>
      <c r="AN116" s="124" t="str">
        <f t="array" ref="AN116">IFERROR(INDEX($AK$10:$AK$258, MATCH(0, IF(TRUE=$AI$10:$AI$258, COUNTIF($AN$9:$AN115, $AK$10:$AK$258), ""), 0)),"")</f>
        <v/>
      </c>
      <c r="AY116" s="370" t="str">
        <f t="shared" si="17"/>
        <v/>
      </c>
    </row>
    <row r="117" spans="2:51" ht="15">
      <c r="B117" s="110">
        <v>108</v>
      </c>
      <c r="C117" s="165"/>
      <c r="D117" s="165"/>
      <c r="E117" s="121"/>
      <c r="F117" s="362" t="str">
        <f>IF(D117="","",VLOOKUP(D117,'G-6 Hedgerow Data'!$B$2:$AG$15,2,FALSE))</f>
        <v/>
      </c>
      <c r="G117" s="363" t="str">
        <f>IF(D117="","",VLOOKUP(D117,'G-6 Hedgerow Data'!$B$2:$AG$15,3,FALSE))</f>
        <v/>
      </c>
      <c r="H117" s="114"/>
      <c r="I117" s="363" t="str">
        <f>IFERROR(IF(AND(F117="V.Low",OR(H117="Good",H117="Moderate")),"Error ▲",VLOOKUP(H117,'G-1 All Habitats'!$Z$2:$AA$9,2,FALSE)),"")</f>
        <v/>
      </c>
      <c r="J117" s="122"/>
      <c r="K117" s="382" t="str">
        <f>IF(J117="","",IF(VLOOKUP(J117,'G-3 Multipliers'!$L$3:$N$6,2,FALSE)=0,"Spatial Data Missing ⚠",VLOOKUP(J117,'G-3 Multipliers'!$L$3:$N$6,2,FALSE)))</f>
        <v/>
      </c>
      <c r="L117" s="386" t="str">
        <f>IF(J117="","",IF(VLOOKUP(J117,'G-3 Multipliers'!$L$3:$N$6,3,FALSE)=0,"Spatial Data Missing ⚠",VLOOKUP(J117,'G-3 Multipliers'!$L$3:$N$6,3,FALSE)))</f>
        <v/>
      </c>
      <c r="M117" s="425" t="str">
        <f>IF(D117="","",VLOOKUP(D117,'G-6 Hedgerow Data'!$B$1:$AH$15,33,FALSE))</f>
        <v/>
      </c>
      <c r="N117" s="376" t="str">
        <f t="shared" si="11"/>
        <v/>
      </c>
      <c r="O117" s="516"/>
      <c r="P117" s="368" t="str">
        <f>IF(O117="","",IF(VLOOKUP(O117,'G-3 Multipliers'!$S$3:$T$10,2,FALSE)=0,"Spatial Data Missing ⚠",VLOOKUP(O117,'G-3 Multipliers'!$S$3:$T$10,2,FALSE)))</f>
        <v/>
      </c>
      <c r="Q117" s="376" t="str">
        <f t="shared" si="12"/>
        <v/>
      </c>
      <c r="R117" s="32"/>
      <c r="S117" s="114"/>
      <c r="T117" s="125"/>
      <c r="U117" s="370" t="str">
        <f t="shared" si="13"/>
        <v/>
      </c>
      <c r="V117" s="370" t="str">
        <f t="shared" si="14"/>
        <v/>
      </c>
      <c r="W117" s="374" t="str">
        <f t="shared" si="15"/>
        <v/>
      </c>
      <c r="X117" s="378" t="str">
        <f t="shared" si="16"/>
        <v/>
      </c>
      <c r="Y117" s="119"/>
      <c r="Z117" s="120"/>
      <c r="AA117" s="120"/>
      <c r="AB117" s="120"/>
      <c r="AE117" s="30" t="str">
        <f>IFERROR(INDEX('G-6 Hedgerow Data'!$BJ$3:$BJ$15,MATCH(D117,'G-6 Hedgerow Data'!$B$3:$B$15,0)),"")</f>
        <v/>
      </c>
      <c r="AH117" s="124" t="str">
        <f t="shared" si="9"/>
        <v/>
      </c>
      <c r="AI117" s="124" t="str">
        <f t="shared" si="10"/>
        <v/>
      </c>
      <c r="AK117" s="124">
        <v>108</v>
      </c>
      <c r="AM117" s="124" t="str">
        <f t="array" ref="AM117">IFERROR(INDEX($AK$10:$AK$258, MATCH(0, IF(TRUE=$AH$10:$AH$258, COUNTIF($AM$9:$AM116, $AK$10:$AK$258), ""), 0)),"")</f>
        <v/>
      </c>
      <c r="AN117" s="124" t="str">
        <f t="array" ref="AN117">IFERROR(INDEX($AK$10:$AK$258, MATCH(0, IF(TRUE=$AI$10:$AI$258, COUNTIF($AN$9:$AN116, $AK$10:$AK$258), ""), 0)),"")</f>
        <v/>
      </c>
      <c r="AY117" s="370" t="str">
        <f t="shared" si="17"/>
        <v/>
      </c>
    </row>
    <row r="118" spans="2:51" ht="15">
      <c r="B118" s="110">
        <v>109</v>
      </c>
      <c r="C118" s="165"/>
      <c r="D118" s="165"/>
      <c r="E118" s="121"/>
      <c r="F118" s="362" t="str">
        <f>IF(D118="","",VLOOKUP(D118,'G-6 Hedgerow Data'!$B$2:$AG$15,2,FALSE))</f>
        <v/>
      </c>
      <c r="G118" s="363" t="str">
        <f>IF(D118="","",VLOOKUP(D118,'G-6 Hedgerow Data'!$B$2:$AG$15,3,FALSE))</f>
        <v/>
      </c>
      <c r="H118" s="114"/>
      <c r="I118" s="363" t="str">
        <f>IFERROR(IF(AND(F118="V.Low",OR(H118="Good",H118="Moderate")),"Error ▲",VLOOKUP(H118,'G-1 All Habitats'!$Z$2:$AA$9,2,FALSE)),"")</f>
        <v/>
      </c>
      <c r="J118" s="122"/>
      <c r="K118" s="382" t="str">
        <f>IF(J118="","",IF(VLOOKUP(J118,'G-3 Multipliers'!$L$3:$N$6,2,FALSE)=0,"Spatial Data Missing ⚠",VLOOKUP(J118,'G-3 Multipliers'!$L$3:$N$6,2,FALSE)))</f>
        <v/>
      </c>
      <c r="L118" s="386" t="str">
        <f>IF(J118="","",IF(VLOOKUP(J118,'G-3 Multipliers'!$L$3:$N$6,3,FALSE)=0,"Spatial Data Missing ⚠",VLOOKUP(J118,'G-3 Multipliers'!$L$3:$N$6,3,FALSE)))</f>
        <v/>
      </c>
      <c r="M118" s="425" t="str">
        <f>IF(D118="","",VLOOKUP(D118,'G-6 Hedgerow Data'!$B$1:$AH$15,33,FALSE))</f>
        <v/>
      </c>
      <c r="N118" s="376" t="str">
        <f t="shared" si="11"/>
        <v/>
      </c>
      <c r="O118" s="516"/>
      <c r="P118" s="368" t="str">
        <f>IF(O118="","",IF(VLOOKUP(O118,'G-3 Multipliers'!$S$3:$T$10,2,FALSE)=0,"Spatial Data Missing ⚠",VLOOKUP(O118,'G-3 Multipliers'!$S$3:$T$10,2,FALSE)))</f>
        <v/>
      </c>
      <c r="Q118" s="376" t="str">
        <f t="shared" si="12"/>
        <v/>
      </c>
      <c r="R118" s="32"/>
      <c r="S118" s="114"/>
      <c r="T118" s="125"/>
      <c r="U118" s="370" t="str">
        <f t="shared" si="13"/>
        <v/>
      </c>
      <c r="V118" s="370" t="str">
        <f t="shared" si="14"/>
        <v/>
      </c>
      <c r="W118" s="374" t="str">
        <f t="shared" si="15"/>
        <v/>
      </c>
      <c r="X118" s="378" t="str">
        <f t="shared" si="16"/>
        <v/>
      </c>
      <c r="Y118" s="119"/>
      <c r="Z118" s="120"/>
      <c r="AA118" s="120"/>
      <c r="AB118" s="120"/>
      <c r="AE118" s="30" t="str">
        <f>IFERROR(INDEX('G-6 Hedgerow Data'!$BJ$3:$BJ$15,MATCH(D118,'G-6 Hedgerow Data'!$B$3:$B$15,0)),"")</f>
        <v/>
      </c>
      <c r="AH118" s="124" t="str">
        <f t="shared" si="9"/>
        <v/>
      </c>
      <c r="AI118" s="124" t="str">
        <f t="shared" si="10"/>
        <v/>
      </c>
      <c r="AK118" s="124">
        <v>109</v>
      </c>
      <c r="AM118" s="124" t="str">
        <f t="array" ref="AM118">IFERROR(INDEX($AK$10:$AK$258, MATCH(0, IF(TRUE=$AH$10:$AH$258, COUNTIF($AM$9:$AM117, $AK$10:$AK$258), ""), 0)),"")</f>
        <v/>
      </c>
      <c r="AN118" s="124" t="str">
        <f t="array" ref="AN118">IFERROR(INDEX($AK$10:$AK$258, MATCH(0, IF(TRUE=$AI$10:$AI$258, COUNTIF($AN$9:$AN117, $AK$10:$AK$258), ""), 0)),"")</f>
        <v/>
      </c>
      <c r="AY118" s="370" t="str">
        <f t="shared" si="17"/>
        <v/>
      </c>
    </row>
    <row r="119" spans="2:51" ht="15">
      <c r="B119" s="110">
        <v>110</v>
      </c>
      <c r="C119" s="165"/>
      <c r="D119" s="165"/>
      <c r="E119" s="121"/>
      <c r="F119" s="362" t="str">
        <f>IF(D119="","",VLOOKUP(D119,'G-6 Hedgerow Data'!$B$2:$AG$15,2,FALSE))</f>
        <v/>
      </c>
      <c r="G119" s="363" t="str">
        <f>IF(D119="","",VLOOKUP(D119,'G-6 Hedgerow Data'!$B$2:$AG$15,3,FALSE))</f>
        <v/>
      </c>
      <c r="H119" s="114"/>
      <c r="I119" s="363" t="str">
        <f>IFERROR(IF(AND(F119="V.Low",OR(H119="Good",H119="Moderate")),"Error ▲",VLOOKUP(H119,'G-1 All Habitats'!$Z$2:$AA$9,2,FALSE)),"")</f>
        <v/>
      </c>
      <c r="J119" s="122"/>
      <c r="K119" s="382" t="str">
        <f>IF(J119="","",IF(VLOOKUP(J119,'G-3 Multipliers'!$L$3:$N$6,2,FALSE)=0,"Spatial Data Missing ⚠",VLOOKUP(J119,'G-3 Multipliers'!$L$3:$N$6,2,FALSE)))</f>
        <v/>
      </c>
      <c r="L119" s="386" t="str">
        <f>IF(J119="","",IF(VLOOKUP(J119,'G-3 Multipliers'!$L$3:$N$6,3,FALSE)=0,"Spatial Data Missing ⚠",VLOOKUP(J119,'G-3 Multipliers'!$L$3:$N$6,3,FALSE)))</f>
        <v/>
      </c>
      <c r="M119" s="425" t="str">
        <f>IF(D119="","",VLOOKUP(D119,'G-6 Hedgerow Data'!$B$1:$AH$15,33,FALSE))</f>
        <v/>
      </c>
      <c r="N119" s="376" t="str">
        <f t="shared" si="11"/>
        <v/>
      </c>
      <c r="O119" s="516"/>
      <c r="P119" s="368" t="str">
        <f>IF(O119="","",IF(VLOOKUP(O119,'G-3 Multipliers'!$S$3:$T$10,2,FALSE)=0,"Spatial Data Missing ⚠",VLOOKUP(O119,'G-3 Multipliers'!$S$3:$T$10,2,FALSE)))</f>
        <v/>
      </c>
      <c r="Q119" s="376" t="str">
        <f t="shared" si="12"/>
        <v/>
      </c>
      <c r="R119" s="32"/>
      <c r="S119" s="114"/>
      <c r="T119" s="125"/>
      <c r="U119" s="370" t="str">
        <f t="shared" si="13"/>
        <v/>
      </c>
      <c r="V119" s="370" t="str">
        <f t="shared" si="14"/>
        <v/>
      </c>
      <c r="W119" s="374" t="str">
        <f t="shared" si="15"/>
        <v/>
      </c>
      <c r="X119" s="378" t="str">
        <f t="shared" si="16"/>
        <v/>
      </c>
      <c r="Y119" s="119"/>
      <c r="Z119" s="120"/>
      <c r="AA119" s="120"/>
      <c r="AB119" s="120"/>
      <c r="AE119" s="30" t="str">
        <f>IFERROR(INDEX('G-6 Hedgerow Data'!$BJ$3:$BJ$15,MATCH(D119,'G-6 Hedgerow Data'!$B$3:$B$15,0)),"")</f>
        <v/>
      </c>
      <c r="AH119" s="124" t="str">
        <f t="shared" si="9"/>
        <v/>
      </c>
      <c r="AI119" s="124" t="str">
        <f t="shared" si="10"/>
        <v/>
      </c>
      <c r="AK119" s="124">
        <v>110</v>
      </c>
      <c r="AM119" s="124" t="str">
        <f t="array" ref="AM119">IFERROR(INDEX($AK$10:$AK$258, MATCH(0, IF(TRUE=$AH$10:$AH$258, COUNTIF($AM$9:$AM118, $AK$10:$AK$258), ""), 0)),"")</f>
        <v/>
      </c>
      <c r="AN119" s="124" t="str">
        <f t="array" ref="AN119">IFERROR(INDEX($AK$10:$AK$258, MATCH(0, IF(TRUE=$AI$10:$AI$258, COUNTIF($AN$9:$AN118, $AK$10:$AK$258), ""), 0)),"")</f>
        <v/>
      </c>
      <c r="AY119" s="370" t="str">
        <f t="shared" si="17"/>
        <v/>
      </c>
    </row>
    <row r="120" spans="2:51" ht="15">
      <c r="B120" s="110">
        <v>111</v>
      </c>
      <c r="C120" s="165"/>
      <c r="D120" s="165"/>
      <c r="E120" s="121"/>
      <c r="F120" s="362" t="str">
        <f>IF(D120="","",VLOOKUP(D120,'G-6 Hedgerow Data'!$B$2:$AG$15,2,FALSE))</f>
        <v/>
      </c>
      <c r="G120" s="363" t="str">
        <f>IF(D120="","",VLOOKUP(D120,'G-6 Hedgerow Data'!$B$2:$AG$15,3,FALSE))</f>
        <v/>
      </c>
      <c r="H120" s="114"/>
      <c r="I120" s="363" t="str">
        <f>IFERROR(IF(AND(F120="V.Low",OR(H120="Good",H120="Moderate")),"Error ▲",VLOOKUP(H120,'G-1 All Habitats'!$Z$2:$AA$9,2,FALSE)),"")</f>
        <v/>
      </c>
      <c r="J120" s="122"/>
      <c r="K120" s="382" t="str">
        <f>IF(J120="","",IF(VLOOKUP(J120,'G-3 Multipliers'!$L$3:$N$6,2,FALSE)=0,"Spatial Data Missing ⚠",VLOOKUP(J120,'G-3 Multipliers'!$L$3:$N$6,2,FALSE)))</f>
        <v/>
      </c>
      <c r="L120" s="386" t="str">
        <f>IF(J120="","",IF(VLOOKUP(J120,'G-3 Multipliers'!$L$3:$N$6,3,FALSE)=0,"Spatial Data Missing ⚠",VLOOKUP(J120,'G-3 Multipliers'!$L$3:$N$6,3,FALSE)))</f>
        <v/>
      </c>
      <c r="M120" s="425" t="str">
        <f>IF(D120="","",VLOOKUP(D120,'G-6 Hedgerow Data'!$B$1:$AH$15,33,FALSE))</f>
        <v/>
      </c>
      <c r="N120" s="376" t="str">
        <f t="shared" si="11"/>
        <v/>
      </c>
      <c r="O120" s="516"/>
      <c r="P120" s="368" t="str">
        <f>IF(O120="","",IF(VLOOKUP(O120,'G-3 Multipliers'!$S$3:$T$10,2,FALSE)=0,"Spatial Data Missing ⚠",VLOOKUP(O120,'G-3 Multipliers'!$S$3:$T$10,2,FALSE)))</f>
        <v/>
      </c>
      <c r="Q120" s="376" t="str">
        <f t="shared" si="12"/>
        <v/>
      </c>
      <c r="R120" s="32"/>
      <c r="S120" s="114"/>
      <c r="T120" s="125"/>
      <c r="U120" s="370" t="str">
        <f t="shared" si="13"/>
        <v/>
      </c>
      <c r="V120" s="370" t="str">
        <f t="shared" si="14"/>
        <v/>
      </c>
      <c r="W120" s="374" t="str">
        <f t="shared" si="15"/>
        <v/>
      </c>
      <c r="X120" s="378" t="str">
        <f t="shared" si="16"/>
        <v/>
      </c>
      <c r="Y120" s="119"/>
      <c r="Z120" s="120"/>
      <c r="AA120" s="120"/>
      <c r="AB120" s="120"/>
      <c r="AE120" s="30" t="str">
        <f>IFERROR(INDEX('G-6 Hedgerow Data'!$BJ$3:$BJ$15,MATCH(D120,'G-6 Hedgerow Data'!$B$3:$B$15,0)),"")</f>
        <v/>
      </c>
      <c r="AH120" s="124" t="str">
        <f t="shared" si="9"/>
        <v/>
      </c>
      <c r="AI120" s="124" t="str">
        <f t="shared" si="10"/>
        <v/>
      </c>
      <c r="AK120" s="124">
        <v>111</v>
      </c>
      <c r="AM120" s="124" t="str">
        <f t="array" ref="AM120">IFERROR(INDEX($AK$10:$AK$258, MATCH(0, IF(TRUE=$AH$10:$AH$258, COUNTIF($AM$9:$AM119, $AK$10:$AK$258), ""), 0)),"")</f>
        <v/>
      </c>
      <c r="AN120" s="124" t="str">
        <f t="array" ref="AN120">IFERROR(INDEX($AK$10:$AK$258, MATCH(0, IF(TRUE=$AI$10:$AI$258, COUNTIF($AN$9:$AN119, $AK$10:$AK$258), ""), 0)),"")</f>
        <v/>
      </c>
      <c r="AY120" s="370" t="str">
        <f t="shared" si="17"/>
        <v/>
      </c>
    </row>
    <row r="121" spans="2:51" ht="15">
      <c r="B121" s="110">
        <v>112</v>
      </c>
      <c r="C121" s="165"/>
      <c r="D121" s="165"/>
      <c r="E121" s="121"/>
      <c r="F121" s="362" t="str">
        <f>IF(D121="","",VLOOKUP(D121,'G-6 Hedgerow Data'!$B$2:$AG$15,2,FALSE))</f>
        <v/>
      </c>
      <c r="G121" s="363" t="str">
        <f>IF(D121="","",VLOOKUP(D121,'G-6 Hedgerow Data'!$B$2:$AG$15,3,FALSE))</f>
        <v/>
      </c>
      <c r="H121" s="114"/>
      <c r="I121" s="363" t="str">
        <f>IFERROR(IF(AND(F121="V.Low",OR(H121="Good",H121="Moderate")),"Error ▲",VLOOKUP(H121,'G-1 All Habitats'!$Z$2:$AA$9,2,FALSE)),"")</f>
        <v/>
      </c>
      <c r="J121" s="122"/>
      <c r="K121" s="382" t="str">
        <f>IF(J121="","",IF(VLOOKUP(J121,'G-3 Multipliers'!$L$3:$N$6,2,FALSE)=0,"Spatial Data Missing ⚠",VLOOKUP(J121,'G-3 Multipliers'!$L$3:$N$6,2,FALSE)))</f>
        <v/>
      </c>
      <c r="L121" s="386" t="str">
        <f>IF(J121="","",IF(VLOOKUP(J121,'G-3 Multipliers'!$L$3:$N$6,3,FALSE)=0,"Spatial Data Missing ⚠",VLOOKUP(J121,'G-3 Multipliers'!$L$3:$N$6,3,FALSE)))</f>
        <v/>
      </c>
      <c r="M121" s="425" t="str">
        <f>IF(D121="","",VLOOKUP(D121,'G-6 Hedgerow Data'!$B$1:$AH$15,33,FALSE))</f>
        <v/>
      </c>
      <c r="N121" s="376" t="str">
        <f t="shared" si="11"/>
        <v/>
      </c>
      <c r="O121" s="516"/>
      <c r="P121" s="368" t="str">
        <f>IF(O121="","",IF(VLOOKUP(O121,'G-3 Multipliers'!$S$3:$T$10,2,FALSE)=0,"Spatial Data Missing ⚠",VLOOKUP(O121,'G-3 Multipliers'!$S$3:$T$10,2,FALSE)))</f>
        <v/>
      </c>
      <c r="Q121" s="376" t="str">
        <f t="shared" si="12"/>
        <v/>
      </c>
      <c r="R121" s="32"/>
      <c r="S121" s="114"/>
      <c r="T121" s="125"/>
      <c r="U121" s="370" t="str">
        <f t="shared" si="13"/>
        <v/>
      </c>
      <c r="V121" s="370" t="str">
        <f t="shared" si="14"/>
        <v/>
      </c>
      <c r="W121" s="374" t="str">
        <f t="shared" si="15"/>
        <v/>
      </c>
      <c r="X121" s="378" t="str">
        <f t="shared" si="16"/>
        <v/>
      </c>
      <c r="Y121" s="119"/>
      <c r="Z121" s="120"/>
      <c r="AA121" s="120"/>
      <c r="AB121" s="120"/>
      <c r="AE121" s="30" t="str">
        <f>IFERROR(INDEX('G-6 Hedgerow Data'!$BJ$3:$BJ$15,MATCH(D121,'G-6 Hedgerow Data'!$B$3:$B$15,0)),"")</f>
        <v/>
      </c>
      <c r="AH121" s="124" t="str">
        <f t="shared" si="9"/>
        <v/>
      </c>
      <c r="AI121" s="124" t="str">
        <f t="shared" si="10"/>
        <v/>
      </c>
      <c r="AK121" s="124">
        <v>112</v>
      </c>
      <c r="AM121" s="124" t="str">
        <f t="array" ref="AM121">IFERROR(INDEX($AK$10:$AK$258, MATCH(0, IF(TRUE=$AH$10:$AH$258, COUNTIF($AM$9:$AM120, $AK$10:$AK$258), ""), 0)),"")</f>
        <v/>
      </c>
      <c r="AN121" s="124" t="str">
        <f t="array" ref="AN121">IFERROR(INDEX($AK$10:$AK$258, MATCH(0, IF(TRUE=$AI$10:$AI$258, COUNTIF($AN$9:$AN120, $AK$10:$AK$258), ""), 0)),"")</f>
        <v/>
      </c>
      <c r="AY121" s="370" t="str">
        <f t="shared" si="17"/>
        <v/>
      </c>
    </row>
    <row r="122" spans="2:51" ht="15">
      <c r="B122" s="110">
        <v>113</v>
      </c>
      <c r="C122" s="165"/>
      <c r="D122" s="165"/>
      <c r="E122" s="121"/>
      <c r="F122" s="362" t="str">
        <f>IF(D122="","",VLOOKUP(D122,'G-6 Hedgerow Data'!$B$2:$AG$15,2,FALSE))</f>
        <v/>
      </c>
      <c r="G122" s="363" t="str">
        <f>IF(D122="","",VLOOKUP(D122,'G-6 Hedgerow Data'!$B$2:$AG$15,3,FALSE))</f>
        <v/>
      </c>
      <c r="H122" s="114"/>
      <c r="I122" s="363" t="str">
        <f>IFERROR(IF(AND(F122="V.Low",OR(H122="Good",H122="Moderate")),"Error ▲",VLOOKUP(H122,'G-1 All Habitats'!$Z$2:$AA$9,2,FALSE)),"")</f>
        <v/>
      </c>
      <c r="J122" s="122"/>
      <c r="K122" s="382" t="str">
        <f>IF(J122="","",IF(VLOOKUP(J122,'G-3 Multipliers'!$L$3:$N$6,2,FALSE)=0,"Spatial Data Missing ⚠",VLOOKUP(J122,'G-3 Multipliers'!$L$3:$N$6,2,FALSE)))</f>
        <v/>
      </c>
      <c r="L122" s="386" t="str">
        <f>IF(J122="","",IF(VLOOKUP(J122,'G-3 Multipliers'!$L$3:$N$6,3,FALSE)=0,"Spatial Data Missing ⚠",VLOOKUP(J122,'G-3 Multipliers'!$L$3:$N$6,3,FALSE)))</f>
        <v/>
      </c>
      <c r="M122" s="425" t="str">
        <f>IF(D122="","",VLOOKUP(D122,'G-6 Hedgerow Data'!$B$1:$AH$15,33,FALSE))</f>
        <v/>
      </c>
      <c r="N122" s="376" t="str">
        <f t="shared" si="11"/>
        <v/>
      </c>
      <c r="O122" s="516"/>
      <c r="P122" s="368" t="str">
        <f>IF(O122="","",IF(VLOOKUP(O122,'G-3 Multipliers'!$S$3:$T$10,2,FALSE)=0,"Spatial Data Missing ⚠",VLOOKUP(O122,'G-3 Multipliers'!$S$3:$T$10,2,FALSE)))</f>
        <v/>
      </c>
      <c r="Q122" s="376" t="str">
        <f t="shared" si="12"/>
        <v/>
      </c>
      <c r="R122" s="32"/>
      <c r="S122" s="114"/>
      <c r="T122" s="125"/>
      <c r="U122" s="370" t="str">
        <f t="shared" si="13"/>
        <v/>
      </c>
      <c r="V122" s="370" t="str">
        <f t="shared" si="14"/>
        <v/>
      </c>
      <c r="W122" s="374" t="str">
        <f t="shared" si="15"/>
        <v/>
      </c>
      <c r="X122" s="378" t="str">
        <f t="shared" si="16"/>
        <v/>
      </c>
      <c r="Y122" s="119"/>
      <c r="Z122" s="120"/>
      <c r="AA122" s="120"/>
      <c r="AB122" s="120"/>
      <c r="AE122" s="30" t="str">
        <f>IFERROR(INDEX('G-6 Hedgerow Data'!$BJ$3:$BJ$15,MATCH(D122,'G-6 Hedgerow Data'!$B$3:$B$15,0)),"")</f>
        <v/>
      </c>
      <c r="AH122" s="124" t="str">
        <f t="shared" si="9"/>
        <v/>
      </c>
      <c r="AI122" s="124" t="str">
        <f t="shared" si="10"/>
        <v/>
      </c>
      <c r="AK122" s="124">
        <v>113</v>
      </c>
      <c r="AM122" s="124" t="str">
        <f t="array" ref="AM122">IFERROR(INDEX($AK$10:$AK$258, MATCH(0, IF(TRUE=$AH$10:$AH$258, COUNTIF($AM$9:$AM121, $AK$10:$AK$258), ""), 0)),"")</f>
        <v/>
      </c>
      <c r="AN122" s="124" t="str">
        <f t="array" ref="AN122">IFERROR(INDEX($AK$10:$AK$258, MATCH(0, IF(TRUE=$AI$10:$AI$258, COUNTIF($AN$9:$AN121, $AK$10:$AK$258), ""), 0)),"")</f>
        <v/>
      </c>
      <c r="AY122" s="370" t="str">
        <f t="shared" si="17"/>
        <v/>
      </c>
    </row>
    <row r="123" spans="2:51" ht="15">
      <c r="B123" s="110">
        <v>114</v>
      </c>
      <c r="C123" s="165"/>
      <c r="D123" s="165"/>
      <c r="E123" s="121"/>
      <c r="F123" s="362" t="str">
        <f>IF(D123="","",VLOOKUP(D123,'G-6 Hedgerow Data'!$B$2:$AG$15,2,FALSE))</f>
        <v/>
      </c>
      <c r="G123" s="363" t="str">
        <f>IF(D123="","",VLOOKUP(D123,'G-6 Hedgerow Data'!$B$2:$AG$15,3,FALSE))</f>
        <v/>
      </c>
      <c r="H123" s="114"/>
      <c r="I123" s="363" t="str">
        <f>IFERROR(IF(AND(F123="V.Low",OR(H123="Good",H123="Moderate")),"Error ▲",VLOOKUP(H123,'G-1 All Habitats'!$Z$2:$AA$9,2,FALSE)),"")</f>
        <v/>
      </c>
      <c r="J123" s="122"/>
      <c r="K123" s="382" t="str">
        <f>IF(J123="","",IF(VLOOKUP(J123,'G-3 Multipliers'!$L$3:$N$6,2,FALSE)=0,"Spatial Data Missing ⚠",VLOOKUP(J123,'G-3 Multipliers'!$L$3:$N$6,2,FALSE)))</f>
        <v/>
      </c>
      <c r="L123" s="386" t="str">
        <f>IF(J123="","",IF(VLOOKUP(J123,'G-3 Multipliers'!$L$3:$N$6,3,FALSE)=0,"Spatial Data Missing ⚠",VLOOKUP(J123,'G-3 Multipliers'!$L$3:$N$6,3,FALSE)))</f>
        <v/>
      </c>
      <c r="M123" s="425" t="str">
        <f>IF(D123="","",VLOOKUP(D123,'G-6 Hedgerow Data'!$B$1:$AH$15,33,FALSE))</f>
        <v/>
      </c>
      <c r="N123" s="376" t="str">
        <f t="shared" si="11"/>
        <v/>
      </c>
      <c r="O123" s="516"/>
      <c r="P123" s="368" t="str">
        <f>IF(O123="","",IF(VLOOKUP(O123,'G-3 Multipliers'!$S$3:$T$10,2,FALSE)=0,"Spatial Data Missing ⚠",VLOOKUP(O123,'G-3 Multipliers'!$S$3:$T$10,2,FALSE)))</f>
        <v/>
      </c>
      <c r="Q123" s="376" t="str">
        <f t="shared" si="12"/>
        <v/>
      </c>
      <c r="R123" s="32"/>
      <c r="S123" s="114"/>
      <c r="T123" s="125"/>
      <c r="U123" s="370" t="str">
        <f t="shared" si="13"/>
        <v/>
      </c>
      <c r="V123" s="370" t="str">
        <f t="shared" si="14"/>
        <v/>
      </c>
      <c r="W123" s="374" t="str">
        <f t="shared" si="15"/>
        <v/>
      </c>
      <c r="X123" s="378" t="str">
        <f t="shared" si="16"/>
        <v/>
      </c>
      <c r="Y123" s="119"/>
      <c r="Z123" s="120"/>
      <c r="AA123" s="120"/>
      <c r="AB123" s="120"/>
      <c r="AE123" s="30" t="str">
        <f>IFERROR(INDEX('G-6 Hedgerow Data'!$BJ$3:$BJ$15,MATCH(D123,'G-6 Hedgerow Data'!$B$3:$B$15,0)),"")</f>
        <v/>
      </c>
      <c r="AH123" s="124" t="str">
        <f t="shared" si="9"/>
        <v/>
      </c>
      <c r="AI123" s="124" t="str">
        <f t="shared" si="10"/>
        <v/>
      </c>
      <c r="AK123" s="124">
        <v>114</v>
      </c>
      <c r="AM123" s="124" t="str">
        <f t="array" ref="AM123">IFERROR(INDEX($AK$10:$AK$258, MATCH(0, IF(TRUE=$AH$10:$AH$258, COUNTIF($AM$9:$AM122, $AK$10:$AK$258), ""), 0)),"")</f>
        <v/>
      </c>
      <c r="AN123" s="124" t="str">
        <f t="array" ref="AN123">IFERROR(INDEX($AK$10:$AK$258, MATCH(0, IF(TRUE=$AI$10:$AI$258, COUNTIF($AN$9:$AN122, $AK$10:$AK$258), ""), 0)),"")</f>
        <v/>
      </c>
      <c r="AY123" s="370" t="str">
        <f t="shared" si="17"/>
        <v/>
      </c>
    </row>
    <row r="124" spans="2:51" ht="15">
      <c r="B124" s="110">
        <v>115</v>
      </c>
      <c r="C124" s="165"/>
      <c r="D124" s="165"/>
      <c r="E124" s="121"/>
      <c r="F124" s="362" t="str">
        <f>IF(D124="","",VLOOKUP(D124,'G-6 Hedgerow Data'!$B$2:$AG$15,2,FALSE))</f>
        <v/>
      </c>
      <c r="G124" s="363" t="str">
        <f>IF(D124="","",VLOOKUP(D124,'G-6 Hedgerow Data'!$B$2:$AG$15,3,FALSE))</f>
        <v/>
      </c>
      <c r="H124" s="114"/>
      <c r="I124" s="363" t="str">
        <f>IFERROR(IF(AND(F124="V.Low",OR(H124="Good",H124="Moderate")),"Error ▲",VLOOKUP(H124,'G-1 All Habitats'!$Z$2:$AA$9,2,FALSE)),"")</f>
        <v/>
      </c>
      <c r="J124" s="122"/>
      <c r="K124" s="382" t="str">
        <f>IF(J124="","",IF(VLOOKUP(J124,'G-3 Multipliers'!$L$3:$N$6,2,FALSE)=0,"Spatial Data Missing ⚠",VLOOKUP(J124,'G-3 Multipliers'!$L$3:$N$6,2,FALSE)))</f>
        <v/>
      </c>
      <c r="L124" s="386" t="str">
        <f>IF(J124="","",IF(VLOOKUP(J124,'G-3 Multipliers'!$L$3:$N$6,3,FALSE)=0,"Spatial Data Missing ⚠",VLOOKUP(J124,'G-3 Multipliers'!$L$3:$N$6,3,FALSE)))</f>
        <v/>
      </c>
      <c r="M124" s="425" t="str">
        <f>IF(D124="","",VLOOKUP(D124,'G-6 Hedgerow Data'!$B$1:$AH$15,33,FALSE))</f>
        <v/>
      </c>
      <c r="N124" s="376" t="str">
        <f t="shared" si="11"/>
        <v/>
      </c>
      <c r="O124" s="516"/>
      <c r="P124" s="368" t="str">
        <f>IF(O124="","",IF(VLOOKUP(O124,'G-3 Multipliers'!$S$3:$T$10,2,FALSE)=0,"Spatial Data Missing ⚠",VLOOKUP(O124,'G-3 Multipliers'!$S$3:$T$10,2,FALSE)))</f>
        <v/>
      </c>
      <c r="Q124" s="376" t="str">
        <f t="shared" si="12"/>
        <v/>
      </c>
      <c r="R124" s="32"/>
      <c r="S124" s="114"/>
      <c r="T124" s="125"/>
      <c r="U124" s="370" t="str">
        <f t="shared" si="13"/>
        <v/>
      </c>
      <c r="V124" s="370" t="str">
        <f t="shared" si="14"/>
        <v/>
      </c>
      <c r="W124" s="374" t="str">
        <f t="shared" si="15"/>
        <v/>
      </c>
      <c r="X124" s="378" t="str">
        <f t="shared" si="16"/>
        <v/>
      </c>
      <c r="Y124" s="119"/>
      <c r="Z124" s="120"/>
      <c r="AA124" s="120"/>
      <c r="AB124" s="120"/>
      <c r="AE124" s="30" t="str">
        <f>IFERROR(INDEX('G-6 Hedgerow Data'!$BJ$3:$BJ$15,MATCH(D124,'G-6 Hedgerow Data'!$B$3:$B$15,0)),"")</f>
        <v/>
      </c>
      <c r="AH124" s="124" t="str">
        <f t="shared" si="9"/>
        <v/>
      </c>
      <c r="AI124" s="124" t="str">
        <f t="shared" si="10"/>
        <v/>
      </c>
      <c r="AK124" s="124">
        <v>115</v>
      </c>
      <c r="AM124" s="124" t="str">
        <f t="array" ref="AM124">IFERROR(INDEX($AK$10:$AK$258, MATCH(0, IF(TRUE=$AH$10:$AH$258, COUNTIF($AM$9:$AM123, $AK$10:$AK$258), ""), 0)),"")</f>
        <v/>
      </c>
      <c r="AN124" s="124" t="str">
        <f t="array" ref="AN124">IFERROR(INDEX($AK$10:$AK$258, MATCH(0, IF(TRUE=$AI$10:$AI$258, COUNTIF($AN$9:$AN123, $AK$10:$AK$258), ""), 0)),"")</f>
        <v/>
      </c>
      <c r="AY124" s="370" t="str">
        <f t="shared" si="17"/>
        <v/>
      </c>
    </row>
    <row r="125" spans="2:51" ht="15">
      <c r="B125" s="110">
        <v>116</v>
      </c>
      <c r="C125" s="165"/>
      <c r="D125" s="165"/>
      <c r="E125" s="121"/>
      <c r="F125" s="362" t="str">
        <f>IF(D125="","",VLOOKUP(D125,'G-6 Hedgerow Data'!$B$2:$AG$15,2,FALSE))</f>
        <v/>
      </c>
      <c r="G125" s="363" t="str">
        <f>IF(D125="","",VLOOKUP(D125,'G-6 Hedgerow Data'!$B$2:$AG$15,3,FALSE))</f>
        <v/>
      </c>
      <c r="H125" s="114"/>
      <c r="I125" s="363" t="str">
        <f>IFERROR(IF(AND(F125="V.Low",OR(H125="Good",H125="Moderate")),"Error ▲",VLOOKUP(H125,'G-1 All Habitats'!$Z$2:$AA$9,2,FALSE)),"")</f>
        <v/>
      </c>
      <c r="J125" s="122"/>
      <c r="K125" s="382" t="str">
        <f>IF(J125="","",IF(VLOOKUP(J125,'G-3 Multipliers'!$L$3:$N$6,2,FALSE)=0,"Spatial Data Missing ⚠",VLOOKUP(J125,'G-3 Multipliers'!$L$3:$N$6,2,FALSE)))</f>
        <v/>
      </c>
      <c r="L125" s="386" t="str">
        <f>IF(J125="","",IF(VLOOKUP(J125,'G-3 Multipliers'!$L$3:$N$6,3,FALSE)=0,"Spatial Data Missing ⚠",VLOOKUP(J125,'G-3 Multipliers'!$L$3:$N$6,3,FALSE)))</f>
        <v/>
      </c>
      <c r="M125" s="425" t="str">
        <f>IF(D125="","",VLOOKUP(D125,'G-6 Hedgerow Data'!$B$1:$AH$15,33,FALSE))</f>
        <v/>
      </c>
      <c r="N125" s="376" t="str">
        <f t="shared" si="11"/>
        <v/>
      </c>
      <c r="O125" s="516"/>
      <c r="P125" s="368" t="str">
        <f>IF(O125="","",IF(VLOOKUP(O125,'G-3 Multipliers'!$S$3:$T$10,2,FALSE)=0,"Spatial Data Missing ⚠",VLOOKUP(O125,'G-3 Multipliers'!$S$3:$T$10,2,FALSE)))</f>
        <v/>
      </c>
      <c r="Q125" s="376" t="str">
        <f t="shared" si="12"/>
        <v/>
      </c>
      <c r="R125" s="32"/>
      <c r="S125" s="114"/>
      <c r="T125" s="125"/>
      <c r="U125" s="370" t="str">
        <f t="shared" si="13"/>
        <v/>
      </c>
      <c r="V125" s="370" t="str">
        <f t="shared" si="14"/>
        <v/>
      </c>
      <c r="W125" s="374" t="str">
        <f t="shared" si="15"/>
        <v/>
      </c>
      <c r="X125" s="378" t="str">
        <f t="shared" si="16"/>
        <v/>
      </c>
      <c r="Y125" s="119"/>
      <c r="Z125" s="120"/>
      <c r="AA125" s="120"/>
      <c r="AB125" s="120"/>
      <c r="AE125" s="30" t="str">
        <f>IFERROR(INDEX('G-6 Hedgerow Data'!$BJ$3:$BJ$15,MATCH(D125,'G-6 Hedgerow Data'!$B$3:$B$15,0)),"")</f>
        <v/>
      </c>
      <c r="AH125" s="124" t="str">
        <f t="shared" si="9"/>
        <v/>
      </c>
      <c r="AI125" s="124" t="str">
        <f t="shared" si="10"/>
        <v/>
      </c>
      <c r="AK125" s="124">
        <v>116</v>
      </c>
      <c r="AM125" s="124" t="str">
        <f t="array" ref="AM125">IFERROR(INDEX($AK$10:$AK$258, MATCH(0, IF(TRUE=$AH$10:$AH$258, COUNTIF($AM$9:$AM124, $AK$10:$AK$258), ""), 0)),"")</f>
        <v/>
      </c>
      <c r="AN125" s="124" t="str">
        <f t="array" ref="AN125">IFERROR(INDEX($AK$10:$AK$258, MATCH(0, IF(TRUE=$AI$10:$AI$258, COUNTIF($AN$9:$AN124, $AK$10:$AK$258), ""), 0)),"")</f>
        <v/>
      </c>
      <c r="AY125" s="370" t="str">
        <f t="shared" si="17"/>
        <v/>
      </c>
    </row>
    <row r="126" spans="2:51" ht="15">
      <c r="B126" s="110">
        <v>117</v>
      </c>
      <c r="C126" s="165"/>
      <c r="D126" s="165"/>
      <c r="E126" s="121"/>
      <c r="F126" s="362" t="str">
        <f>IF(D126="","",VLOOKUP(D126,'G-6 Hedgerow Data'!$B$2:$AG$15,2,FALSE))</f>
        <v/>
      </c>
      <c r="G126" s="363" t="str">
        <f>IF(D126="","",VLOOKUP(D126,'G-6 Hedgerow Data'!$B$2:$AG$15,3,FALSE))</f>
        <v/>
      </c>
      <c r="H126" s="114"/>
      <c r="I126" s="363" t="str">
        <f>IFERROR(IF(AND(F126="V.Low",OR(H126="Good",H126="Moderate")),"Error ▲",VLOOKUP(H126,'G-1 All Habitats'!$Z$2:$AA$9,2,FALSE)),"")</f>
        <v/>
      </c>
      <c r="J126" s="122"/>
      <c r="K126" s="382" t="str">
        <f>IF(J126="","",IF(VLOOKUP(J126,'G-3 Multipliers'!$L$3:$N$6,2,FALSE)=0,"Spatial Data Missing ⚠",VLOOKUP(J126,'G-3 Multipliers'!$L$3:$N$6,2,FALSE)))</f>
        <v/>
      </c>
      <c r="L126" s="386" t="str">
        <f>IF(J126="","",IF(VLOOKUP(J126,'G-3 Multipliers'!$L$3:$N$6,3,FALSE)=0,"Spatial Data Missing ⚠",VLOOKUP(J126,'G-3 Multipliers'!$L$3:$N$6,3,FALSE)))</f>
        <v/>
      </c>
      <c r="M126" s="425" t="str">
        <f>IF(D126="","",VLOOKUP(D126,'G-6 Hedgerow Data'!$B$1:$AH$15,33,FALSE))</f>
        <v/>
      </c>
      <c r="N126" s="376" t="str">
        <f t="shared" si="11"/>
        <v/>
      </c>
      <c r="O126" s="516"/>
      <c r="P126" s="368" t="str">
        <f>IF(O126="","",IF(VLOOKUP(O126,'G-3 Multipliers'!$S$3:$T$10,2,FALSE)=0,"Spatial Data Missing ⚠",VLOOKUP(O126,'G-3 Multipliers'!$S$3:$T$10,2,FALSE)))</f>
        <v/>
      </c>
      <c r="Q126" s="376" t="str">
        <f t="shared" si="12"/>
        <v/>
      </c>
      <c r="R126" s="32"/>
      <c r="S126" s="114"/>
      <c r="T126" s="125"/>
      <c r="U126" s="370" t="str">
        <f t="shared" si="13"/>
        <v/>
      </c>
      <c r="V126" s="370" t="str">
        <f t="shared" si="14"/>
        <v/>
      </c>
      <c r="W126" s="374" t="str">
        <f t="shared" si="15"/>
        <v/>
      </c>
      <c r="X126" s="378" t="str">
        <f t="shared" si="16"/>
        <v/>
      </c>
      <c r="Y126" s="119"/>
      <c r="Z126" s="120"/>
      <c r="AA126" s="120"/>
      <c r="AB126" s="120"/>
      <c r="AE126" s="30" t="str">
        <f>IFERROR(INDEX('G-6 Hedgerow Data'!$BJ$3:$BJ$15,MATCH(D126,'G-6 Hedgerow Data'!$B$3:$B$15,0)),"")</f>
        <v/>
      </c>
      <c r="AH126" s="124" t="str">
        <f t="shared" si="9"/>
        <v/>
      </c>
      <c r="AI126" s="124" t="str">
        <f t="shared" si="10"/>
        <v/>
      </c>
      <c r="AK126" s="124">
        <v>117</v>
      </c>
      <c r="AM126" s="124" t="str">
        <f t="array" ref="AM126">IFERROR(INDEX($AK$10:$AK$258, MATCH(0, IF(TRUE=$AH$10:$AH$258, COUNTIF($AM$9:$AM125, $AK$10:$AK$258), ""), 0)),"")</f>
        <v/>
      </c>
      <c r="AN126" s="124" t="str">
        <f t="array" ref="AN126">IFERROR(INDEX($AK$10:$AK$258, MATCH(0, IF(TRUE=$AI$10:$AI$258, COUNTIF($AN$9:$AN125, $AK$10:$AK$258), ""), 0)),"")</f>
        <v/>
      </c>
      <c r="AY126" s="370" t="str">
        <f t="shared" si="17"/>
        <v/>
      </c>
    </row>
    <row r="127" spans="2:51" ht="15">
      <c r="B127" s="110">
        <v>118</v>
      </c>
      <c r="C127" s="165"/>
      <c r="D127" s="165"/>
      <c r="E127" s="121"/>
      <c r="F127" s="362" t="str">
        <f>IF(D127="","",VLOOKUP(D127,'G-6 Hedgerow Data'!$B$2:$AG$15,2,FALSE))</f>
        <v/>
      </c>
      <c r="G127" s="363" t="str">
        <f>IF(D127="","",VLOOKUP(D127,'G-6 Hedgerow Data'!$B$2:$AG$15,3,FALSE))</f>
        <v/>
      </c>
      <c r="H127" s="114"/>
      <c r="I127" s="363" t="str">
        <f>IFERROR(IF(AND(F127="V.Low",OR(H127="Good",H127="Moderate")),"Error ▲",VLOOKUP(H127,'G-1 All Habitats'!$Z$2:$AA$9,2,FALSE)),"")</f>
        <v/>
      </c>
      <c r="J127" s="122"/>
      <c r="K127" s="382" t="str">
        <f>IF(J127="","",IF(VLOOKUP(J127,'G-3 Multipliers'!$L$3:$N$6,2,FALSE)=0,"Spatial Data Missing ⚠",VLOOKUP(J127,'G-3 Multipliers'!$L$3:$N$6,2,FALSE)))</f>
        <v/>
      </c>
      <c r="L127" s="386" t="str">
        <f>IF(J127="","",IF(VLOOKUP(J127,'G-3 Multipliers'!$L$3:$N$6,3,FALSE)=0,"Spatial Data Missing ⚠",VLOOKUP(J127,'G-3 Multipliers'!$L$3:$N$6,3,FALSE)))</f>
        <v/>
      </c>
      <c r="M127" s="425" t="str">
        <f>IF(D127="","",VLOOKUP(D127,'G-6 Hedgerow Data'!$B$1:$AH$15,33,FALSE))</f>
        <v/>
      </c>
      <c r="N127" s="376" t="str">
        <f t="shared" si="11"/>
        <v/>
      </c>
      <c r="O127" s="516"/>
      <c r="P127" s="368" t="str">
        <f>IF(O127="","",IF(VLOOKUP(O127,'G-3 Multipliers'!$S$3:$T$10,2,FALSE)=0,"Spatial Data Missing ⚠",VLOOKUP(O127,'G-3 Multipliers'!$S$3:$T$10,2,FALSE)))</f>
        <v/>
      </c>
      <c r="Q127" s="376" t="str">
        <f t="shared" si="12"/>
        <v/>
      </c>
      <c r="R127" s="32"/>
      <c r="S127" s="114"/>
      <c r="T127" s="125"/>
      <c r="U127" s="370" t="str">
        <f t="shared" si="13"/>
        <v/>
      </c>
      <c r="V127" s="370" t="str">
        <f t="shared" si="14"/>
        <v/>
      </c>
      <c r="W127" s="374" t="str">
        <f t="shared" si="15"/>
        <v/>
      </c>
      <c r="X127" s="378" t="str">
        <f t="shared" si="16"/>
        <v/>
      </c>
      <c r="Y127" s="119"/>
      <c r="Z127" s="120"/>
      <c r="AA127" s="120"/>
      <c r="AB127" s="120"/>
      <c r="AE127" s="30" t="str">
        <f>IFERROR(INDEX('G-6 Hedgerow Data'!$BJ$3:$BJ$15,MATCH(D127,'G-6 Hedgerow Data'!$B$3:$B$15,0)),"")</f>
        <v/>
      </c>
      <c r="AH127" s="124" t="str">
        <f t="shared" si="9"/>
        <v/>
      </c>
      <c r="AI127" s="124" t="str">
        <f t="shared" si="10"/>
        <v/>
      </c>
      <c r="AK127" s="124">
        <v>118</v>
      </c>
      <c r="AM127" s="124" t="str">
        <f t="array" ref="AM127">IFERROR(INDEX($AK$10:$AK$258, MATCH(0, IF(TRUE=$AH$10:$AH$258, COUNTIF($AM$9:$AM126, $AK$10:$AK$258), ""), 0)),"")</f>
        <v/>
      </c>
      <c r="AN127" s="124" t="str">
        <f t="array" ref="AN127">IFERROR(INDEX($AK$10:$AK$258, MATCH(0, IF(TRUE=$AI$10:$AI$258, COUNTIF($AN$9:$AN126, $AK$10:$AK$258), ""), 0)),"")</f>
        <v/>
      </c>
      <c r="AY127" s="370" t="str">
        <f t="shared" si="17"/>
        <v/>
      </c>
    </row>
    <row r="128" spans="2:51" ht="15">
      <c r="B128" s="110">
        <v>119</v>
      </c>
      <c r="C128" s="165"/>
      <c r="D128" s="165"/>
      <c r="E128" s="121"/>
      <c r="F128" s="362" t="str">
        <f>IF(D128="","",VLOOKUP(D128,'G-6 Hedgerow Data'!$B$2:$AG$15,2,FALSE))</f>
        <v/>
      </c>
      <c r="G128" s="363" t="str">
        <f>IF(D128="","",VLOOKUP(D128,'G-6 Hedgerow Data'!$B$2:$AG$15,3,FALSE))</f>
        <v/>
      </c>
      <c r="H128" s="114"/>
      <c r="I128" s="363" t="str">
        <f>IFERROR(IF(AND(F128="V.Low",OR(H128="Good",H128="Moderate")),"Error ▲",VLOOKUP(H128,'G-1 All Habitats'!$Z$2:$AA$9,2,FALSE)),"")</f>
        <v/>
      </c>
      <c r="J128" s="122"/>
      <c r="K128" s="382" t="str">
        <f>IF(J128="","",IF(VLOOKUP(J128,'G-3 Multipliers'!$L$3:$N$6,2,FALSE)=0,"Spatial Data Missing ⚠",VLOOKUP(J128,'G-3 Multipliers'!$L$3:$N$6,2,FALSE)))</f>
        <v/>
      </c>
      <c r="L128" s="386" t="str">
        <f>IF(J128="","",IF(VLOOKUP(J128,'G-3 Multipliers'!$L$3:$N$6,3,FALSE)=0,"Spatial Data Missing ⚠",VLOOKUP(J128,'G-3 Multipliers'!$L$3:$N$6,3,FALSE)))</f>
        <v/>
      </c>
      <c r="M128" s="425" t="str">
        <f>IF(D128="","",VLOOKUP(D128,'G-6 Hedgerow Data'!$B$1:$AH$15,33,FALSE))</f>
        <v/>
      </c>
      <c r="N128" s="376" t="str">
        <f t="shared" si="11"/>
        <v/>
      </c>
      <c r="O128" s="516"/>
      <c r="P128" s="368" t="str">
        <f>IF(O128="","",IF(VLOOKUP(O128,'G-3 Multipliers'!$S$3:$T$10,2,FALSE)=0,"Spatial Data Missing ⚠",VLOOKUP(O128,'G-3 Multipliers'!$S$3:$T$10,2,FALSE)))</f>
        <v/>
      </c>
      <c r="Q128" s="376" t="str">
        <f t="shared" si="12"/>
        <v/>
      </c>
      <c r="R128" s="32"/>
      <c r="S128" s="114"/>
      <c r="T128" s="125"/>
      <c r="U128" s="370" t="str">
        <f t="shared" si="13"/>
        <v/>
      </c>
      <c r="V128" s="370" t="str">
        <f t="shared" si="14"/>
        <v/>
      </c>
      <c r="W128" s="374" t="str">
        <f t="shared" si="15"/>
        <v/>
      </c>
      <c r="X128" s="378" t="str">
        <f t="shared" si="16"/>
        <v/>
      </c>
      <c r="Y128" s="119"/>
      <c r="Z128" s="120"/>
      <c r="AA128" s="120"/>
      <c r="AB128" s="120"/>
      <c r="AE128" s="30" t="str">
        <f>IFERROR(INDEX('G-6 Hedgerow Data'!$BJ$3:$BJ$15,MATCH(D128,'G-6 Hedgerow Data'!$B$3:$B$15,0)),"")</f>
        <v/>
      </c>
      <c r="AH128" s="124" t="str">
        <f t="shared" si="9"/>
        <v/>
      </c>
      <c r="AI128" s="124" t="str">
        <f t="shared" si="10"/>
        <v/>
      </c>
      <c r="AK128" s="124">
        <v>119</v>
      </c>
      <c r="AM128" s="124" t="str">
        <f t="array" ref="AM128">IFERROR(INDEX($AK$10:$AK$258, MATCH(0, IF(TRUE=$AH$10:$AH$258, COUNTIF($AM$9:$AM127, $AK$10:$AK$258), ""), 0)),"")</f>
        <v/>
      </c>
      <c r="AN128" s="124" t="str">
        <f t="array" ref="AN128">IFERROR(INDEX($AK$10:$AK$258, MATCH(0, IF(TRUE=$AI$10:$AI$258, COUNTIF($AN$9:$AN127, $AK$10:$AK$258), ""), 0)),"")</f>
        <v/>
      </c>
      <c r="AY128" s="370" t="str">
        <f t="shared" si="17"/>
        <v/>
      </c>
    </row>
    <row r="129" spans="2:51" ht="15">
      <c r="B129" s="110">
        <v>120</v>
      </c>
      <c r="C129" s="165"/>
      <c r="D129" s="165"/>
      <c r="E129" s="121"/>
      <c r="F129" s="362" t="str">
        <f>IF(D129="","",VLOOKUP(D129,'G-6 Hedgerow Data'!$B$2:$AG$15,2,FALSE))</f>
        <v/>
      </c>
      <c r="G129" s="363" t="str">
        <f>IF(D129="","",VLOOKUP(D129,'G-6 Hedgerow Data'!$B$2:$AG$15,3,FALSE))</f>
        <v/>
      </c>
      <c r="H129" s="114"/>
      <c r="I129" s="363" t="str">
        <f>IFERROR(IF(AND(F129="V.Low",OR(H129="Good",H129="Moderate")),"Error ▲",VLOOKUP(H129,'G-1 All Habitats'!$Z$2:$AA$9,2,FALSE)),"")</f>
        <v/>
      </c>
      <c r="J129" s="122"/>
      <c r="K129" s="382" t="str">
        <f>IF(J129="","",IF(VLOOKUP(J129,'G-3 Multipliers'!$L$3:$N$6,2,FALSE)=0,"Spatial Data Missing ⚠",VLOOKUP(J129,'G-3 Multipliers'!$L$3:$N$6,2,FALSE)))</f>
        <v/>
      </c>
      <c r="L129" s="386" t="str">
        <f>IF(J129="","",IF(VLOOKUP(J129,'G-3 Multipliers'!$L$3:$N$6,3,FALSE)=0,"Spatial Data Missing ⚠",VLOOKUP(J129,'G-3 Multipliers'!$L$3:$N$6,3,FALSE)))</f>
        <v/>
      </c>
      <c r="M129" s="425" t="str">
        <f>IF(D129="","",VLOOKUP(D129,'G-6 Hedgerow Data'!$B$1:$AH$15,33,FALSE))</f>
        <v/>
      </c>
      <c r="N129" s="376" t="str">
        <f t="shared" si="11"/>
        <v/>
      </c>
      <c r="O129" s="516"/>
      <c r="P129" s="368" t="str">
        <f>IF(O129="","",IF(VLOOKUP(O129,'G-3 Multipliers'!$S$3:$T$10,2,FALSE)=0,"Spatial Data Missing ⚠",VLOOKUP(O129,'G-3 Multipliers'!$S$3:$T$10,2,FALSE)))</f>
        <v/>
      </c>
      <c r="Q129" s="376" t="str">
        <f t="shared" si="12"/>
        <v/>
      </c>
      <c r="R129" s="32"/>
      <c r="S129" s="114"/>
      <c r="T129" s="125"/>
      <c r="U129" s="370" t="str">
        <f t="shared" si="13"/>
        <v/>
      </c>
      <c r="V129" s="370" t="str">
        <f t="shared" si="14"/>
        <v/>
      </c>
      <c r="W129" s="374" t="str">
        <f t="shared" si="15"/>
        <v/>
      </c>
      <c r="X129" s="378" t="str">
        <f t="shared" si="16"/>
        <v/>
      </c>
      <c r="Y129" s="119"/>
      <c r="Z129" s="120"/>
      <c r="AA129" s="120"/>
      <c r="AB129" s="120"/>
      <c r="AE129" s="30" t="str">
        <f>IFERROR(INDEX('G-6 Hedgerow Data'!$BJ$3:$BJ$15,MATCH(D129,'G-6 Hedgerow Data'!$B$3:$B$15,0)),"")</f>
        <v/>
      </c>
      <c r="AH129" s="124" t="str">
        <f t="shared" si="9"/>
        <v/>
      </c>
      <c r="AI129" s="124" t="str">
        <f t="shared" si="10"/>
        <v/>
      </c>
      <c r="AK129" s="124">
        <v>120</v>
      </c>
      <c r="AM129" s="124" t="str">
        <f t="array" ref="AM129">IFERROR(INDEX($AK$10:$AK$258, MATCH(0, IF(TRUE=$AH$10:$AH$258, COUNTIF($AM$9:$AM128, $AK$10:$AK$258), ""), 0)),"")</f>
        <v/>
      </c>
      <c r="AN129" s="124" t="str">
        <f t="array" ref="AN129">IFERROR(INDEX($AK$10:$AK$258, MATCH(0, IF(TRUE=$AI$10:$AI$258, COUNTIF($AN$9:$AN128, $AK$10:$AK$258), ""), 0)),"")</f>
        <v/>
      </c>
      <c r="AY129" s="370" t="str">
        <f t="shared" si="17"/>
        <v/>
      </c>
    </row>
    <row r="130" spans="2:51" ht="15">
      <c r="B130" s="110">
        <v>121</v>
      </c>
      <c r="C130" s="165"/>
      <c r="D130" s="165"/>
      <c r="E130" s="121"/>
      <c r="F130" s="362" t="str">
        <f>IF(D130="","",VLOOKUP(D130,'G-6 Hedgerow Data'!$B$2:$AG$15,2,FALSE))</f>
        <v/>
      </c>
      <c r="G130" s="363" t="str">
        <f>IF(D130="","",VLOOKUP(D130,'G-6 Hedgerow Data'!$B$2:$AG$15,3,FALSE))</f>
        <v/>
      </c>
      <c r="H130" s="114"/>
      <c r="I130" s="363" t="str">
        <f>IFERROR(IF(AND(F130="V.Low",OR(H130="Good",H130="Moderate")),"Error ▲",VLOOKUP(H130,'G-1 All Habitats'!$Z$2:$AA$9,2,FALSE)),"")</f>
        <v/>
      </c>
      <c r="J130" s="122"/>
      <c r="K130" s="382" t="str">
        <f>IF(J130="","",IF(VLOOKUP(J130,'G-3 Multipliers'!$L$3:$N$6,2,FALSE)=0,"Spatial Data Missing ⚠",VLOOKUP(J130,'G-3 Multipliers'!$L$3:$N$6,2,FALSE)))</f>
        <v/>
      </c>
      <c r="L130" s="386" t="str">
        <f>IF(J130="","",IF(VLOOKUP(J130,'G-3 Multipliers'!$L$3:$N$6,3,FALSE)=0,"Spatial Data Missing ⚠",VLOOKUP(J130,'G-3 Multipliers'!$L$3:$N$6,3,FALSE)))</f>
        <v/>
      </c>
      <c r="M130" s="425" t="str">
        <f>IF(D130="","",VLOOKUP(D130,'G-6 Hedgerow Data'!$B$1:$AH$15,33,FALSE))</f>
        <v/>
      </c>
      <c r="N130" s="376" t="str">
        <f t="shared" si="11"/>
        <v/>
      </c>
      <c r="O130" s="516"/>
      <c r="P130" s="368" t="str">
        <f>IF(O130="","",IF(VLOOKUP(O130,'G-3 Multipliers'!$S$3:$T$10,2,FALSE)=0,"Spatial Data Missing ⚠",VLOOKUP(O130,'G-3 Multipliers'!$S$3:$T$10,2,FALSE)))</f>
        <v/>
      </c>
      <c r="Q130" s="376" t="str">
        <f t="shared" si="12"/>
        <v/>
      </c>
      <c r="R130" s="32"/>
      <c r="S130" s="114"/>
      <c r="T130" s="125"/>
      <c r="U130" s="370" t="str">
        <f t="shared" si="13"/>
        <v/>
      </c>
      <c r="V130" s="370" t="str">
        <f t="shared" si="14"/>
        <v/>
      </c>
      <c r="W130" s="374" t="str">
        <f t="shared" si="15"/>
        <v/>
      </c>
      <c r="X130" s="378" t="str">
        <f t="shared" si="16"/>
        <v/>
      </c>
      <c r="Y130" s="119"/>
      <c r="Z130" s="120"/>
      <c r="AA130" s="120"/>
      <c r="AB130" s="120"/>
      <c r="AE130" s="30" t="str">
        <f>IFERROR(INDEX('G-6 Hedgerow Data'!$BJ$3:$BJ$15,MATCH(D130,'G-6 Hedgerow Data'!$B$3:$B$15,0)),"")</f>
        <v/>
      </c>
      <c r="AH130" s="124" t="str">
        <f t="shared" si="9"/>
        <v/>
      </c>
      <c r="AI130" s="124" t="str">
        <f t="shared" si="10"/>
        <v/>
      </c>
      <c r="AK130" s="124">
        <v>121</v>
      </c>
      <c r="AM130" s="124" t="str">
        <f t="array" ref="AM130">IFERROR(INDEX($AK$10:$AK$258, MATCH(0, IF(TRUE=$AH$10:$AH$258, COUNTIF($AM$9:$AM129, $AK$10:$AK$258), ""), 0)),"")</f>
        <v/>
      </c>
      <c r="AN130" s="124" t="str">
        <f t="array" ref="AN130">IFERROR(INDEX($AK$10:$AK$258, MATCH(0, IF(TRUE=$AI$10:$AI$258, COUNTIF($AN$9:$AN129, $AK$10:$AK$258), ""), 0)),"")</f>
        <v/>
      </c>
      <c r="AY130" s="370" t="str">
        <f t="shared" si="17"/>
        <v/>
      </c>
    </row>
    <row r="131" spans="2:51" ht="15">
      <c r="B131" s="110">
        <v>122</v>
      </c>
      <c r="C131" s="165"/>
      <c r="D131" s="165"/>
      <c r="E131" s="121"/>
      <c r="F131" s="362" t="str">
        <f>IF(D131="","",VLOOKUP(D131,'G-6 Hedgerow Data'!$B$2:$AG$15,2,FALSE))</f>
        <v/>
      </c>
      <c r="G131" s="363" t="str">
        <f>IF(D131="","",VLOOKUP(D131,'G-6 Hedgerow Data'!$B$2:$AG$15,3,FALSE))</f>
        <v/>
      </c>
      <c r="H131" s="114"/>
      <c r="I131" s="363" t="str">
        <f>IFERROR(IF(AND(F131="V.Low",OR(H131="Good",H131="Moderate")),"Error ▲",VLOOKUP(H131,'G-1 All Habitats'!$Z$2:$AA$9,2,FALSE)),"")</f>
        <v/>
      </c>
      <c r="J131" s="122"/>
      <c r="K131" s="382" t="str">
        <f>IF(J131="","",IF(VLOOKUP(J131,'G-3 Multipliers'!$L$3:$N$6,2,FALSE)=0,"Spatial Data Missing ⚠",VLOOKUP(J131,'G-3 Multipliers'!$L$3:$N$6,2,FALSE)))</f>
        <v/>
      </c>
      <c r="L131" s="386" t="str">
        <f>IF(J131="","",IF(VLOOKUP(J131,'G-3 Multipliers'!$L$3:$N$6,3,FALSE)=0,"Spatial Data Missing ⚠",VLOOKUP(J131,'G-3 Multipliers'!$L$3:$N$6,3,FALSE)))</f>
        <v/>
      </c>
      <c r="M131" s="425" t="str">
        <f>IF(D131="","",VLOOKUP(D131,'G-6 Hedgerow Data'!$B$1:$AH$15,33,FALSE))</f>
        <v/>
      </c>
      <c r="N131" s="376" t="str">
        <f t="shared" si="11"/>
        <v/>
      </c>
      <c r="O131" s="516"/>
      <c r="P131" s="368" t="str">
        <f>IF(O131="","",IF(VLOOKUP(O131,'G-3 Multipliers'!$S$3:$T$10,2,FALSE)=0,"Spatial Data Missing ⚠",VLOOKUP(O131,'G-3 Multipliers'!$S$3:$T$10,2,FALSE)))</f>
        <v/>
      </c>
      <c r="Q131" s="376" t="str">
        <f t="shared" si="12"/>
        <v/>
      </c>
      <c r="R131" s="32"/>
      <c r="S131" s="114"/>
      <c r="T131" s="125"/>
      <c r="U131" s="370" t="str">
        <f t="shared" si="13"/>
        <v/>
      </c>
      <c r="V131" s="370" t="str">
        <f t="shared" si="14"/>
        <v/>
      </c>
      <c r="W131" s="374" t="str">
        <f t="shared" si="15"/>
        <v/>
      </c>
      <c r="X131" s="378" t="str">
        <f t="shared" si="16"/>
        <v/>
      </c>
      <c r="Y131" s="119"/>
      <c r="Z131" s="120"/>
      <c r="AA131" s="120"/>
      <c r="AB131" s="120"/>
      <c r="AE131" s="30" t="str">
        <f>IFERROR(INDEX('G-6 Hedgerow Data'!$BJ$3:$BJ$15,MATCH(D131,'G-6 Hedgerow Data'!$B$3:$B$15,0)),"")</f>
        <v/>
      </c>
      <c r="AH131" s="124" t="str">
        <f t="shared" si="9"/>
        <v/>
      </c>
      <c r="AI131" s="124" t="str">
        <f t="shared" si="10"/>
        <v/>
      </c>
      <c r="AK131" s="124">
        <v>122</v>
      </c>
      <c r="AM131" s="124" t="str">
        <f t="array" ref="AM131">IFERROR(INDEX($AK$10:$AK$258, MATCH(0, IF(TRUE=$AH$10:$AH$258, COUNTIF($AM$9:$AM130, $AK$10:$AK$258), ""), 0)),"")</f>
        <v/>
      </c>
      <c r="AN131" s="124" t="str">
        <f t="array" ref="AN131">IFERROR(INDEX($AK$10:$AK$258, MATCH(0, IF(TRUE=$AI$10:$AI$258, COUNTIF($AN$9:$AN130, $AK$10:$AK$258), ""), 0)),"")</f>
        <v/>
      </c>
      <c r="AY131" s="370" t="str">
        <f t="shared" si="17"/>
        <v/>
      </c>
    </row>
    <row r="132" spans="2:51" ht="15">
      <c r="B132" s="110">
        <v>123</v>
      </c>
      <c r="C132" s="165"/>
      <c r="D132" s="165"/>
      <c r="E132" s="121"/>
      <c r="F132" s="362" t="str">
        <f>IF(D132="","",VLOOKUP(D132,'G-6 Hedgerow Data'!$B$2:$AG$15,2,FALSE))</f>
        <v/>
      </c>
      <c r="G132" s="363" t="str">
        <f>IF(D132="","",VLOOKUP(D132,'G-6 Hedgerow Data'!$B$2:$AG$15,3,FALSE))</f>
        <v/>
      </c>
      <c r="H132" s="114"/>
      <c r="I132" s="363" t="str">
        <f>IFERROR(IF(AND(F132="V.Low",OR(H132="Good",H132="Moderate")),"Error ▲",VLOOKUP(H132,'G-1 All Habitats'!$Z$2:$AA$9,2,FALSE)),"")</f>
        <v/>
      </c>
      <c r="J132" s="122"/>
      <c r="K132" s="382" t="str">
        <f>IF(J132="","",IF(VLOOKUP(J132,'G-3 Multipliers'!$L$3:$N$6,2,FALSE)=0,"Spatial Data Missing ⚠",VLOOKUP(J132,'G-3 Multipliers'!$L$3:$N$6,2,FALSE)))</f>
        <v/>
      </c>
      <c r="L132" s="386" t="str">
        <f>IF(J132="","",IF(VLOOKUP(J132,'G-3 Multipliers'!$L$3:$N$6,3,FALSE)=0,"Spatial Data Missing ⚠",VLOOKUP(J132,'G-3 Multipliers'!$L$3:$N$6,3,FALSE)))</f>
        <v/>
      </c>
      <c r="M132" s="425" t="str">
        <f>IF(D132="","",VLOOKUP(D132,'G-6 Hedgerow Data'!$B$1:$AH$15,33,FALSE))</f>
        <v/>
      </c>
      <c r="N132" s="376" t="str">
        <f t="shared" si="11"/>
        <v/>
      </c>
      <c r="O132" s="516"/>
      <c r="P132" s="368" t="str">
        <f>IF(O132="","",IF(VLOOKUP(O132,'G-3 Multipliers'!$S$3:$T$10,2,FALSE)=0,"Spatial Data Missing ⚠",VLOOKUP(O132,'G-3 Multipliers'!$S$3:$T$10,2,FALSE)))</f>
        <v/>
      </c>
      <c r="Q132" s="376" t="str">
        <f t="shared" si="12"/>
        <v/>
      </c>
      <c r="R132" s="32"/>
      <c r="S132" s="114"/>
      <c r="T132" s="125"/>
      <c r="U132" s="370" t="str">
        <f t="shared" si="13"/>
        <v/>
      </c>
      <c r="V132" s="370" t="str">
        <f t="shared" si="14"/>
        <v/>
      </c>
      <c r="W132" s="374" t="str">
        <f t="shared" si="15"/>
        <v/>
      </c>
      <c r="X132" s="378" t="str">
        <f t="shared" si="16"/>
        <v/>
      </c>
      <c r="Y132" s="119"/>
      <c r="Z132" s="120"/>
      <c r="AA132" s="120"/>
      <c r="AB132" s="120"/>
      <c r="AE132" s="30" t="str">
        <f>IFERROR(INDEX('G-6 Hedgerow Data'!$BJ$3:$BJ$15,MATCH(D132,'G-6 Hedgerow Data'!$B$3:$B$15,0)),"")</f>
        <v/>
      </c>
      <c r="AH132" s="124" t="str">
        <f t="shared" si="9"/>
        <v/>
      </c>
      <c r="AI132" s="124" t="str">
        <f t="shared" si="10"/>
        <v/>
      </c>
      <c r="AK132" s="124">
        <v>123</v>
      </c>
      <c r="AM132" s="124" t="str">
        <f t="array" ref="AM132">IFERROR(INDEX($AK$10:$AK$258, MATCH(0, IF(TRUE=$AH$10:$AH$258, COUNTIF($AM$9:$AM131, $AK$10:$AK$258), ""), 0)),"")</f>
        <v/>
      </c>
      <c r="AN132" s="124" t="str">
        <f t="array" ref="AN132">IFERROR(INDEX($AK$10:$AK$258, MATCH(0, IF(TRUE=$AI$10:$AI$258, COUNTIF($AN$9:$AN131, $AK$10:$AK$258), ""), 0)),"")</f>
        <v/>
      </c>
      <c r="AY132" s="370" t="str">
        <f t="shared" si="17"/>
        <v/>
      </c>
    </row>
    <row r="133" spans="2:51" ht="15">
      <c r="B133" s="110">
        <v>124</v>
      </c>
      <c r="C133" s="165"/>
      <c r="D133" s="165"/>
      <c r="E133" s="121"/>
      <c r="F133" s="362" t="str">
        <f>IF(D133="","",VLOOKUP(D133,'G-6 Hedgerow Data'!$B$2:$AG$15,2,FALSE))</f>
        <v/>
      </c>
      <c r="G133" s="363" t="str">
        <f>IF(D133="","",VLOOKUP(D133,'G-6 Hedgerow Data'!$B$2:$AG$15,3,FALSE))</f>
        <v/>
      </c>
      <c r="H133" s="114"/>
      <c r="I133" s="363" t="str">
        <f>IFERROR(IF(AND(F133="V.Low",OR(H133="Good",H133="Moderate")),"Error ▲",VLOOKUP(H133,'G-1 All Habitats'!$Z$2:$AA$9,2,FALSE)),"")</f>
        <v/>
      </c>
      <c r="J133" s="122"/>
      <c r="K133" s="382" t="str">
        <f>IF(J133="","",IF(VLOOKUP(J133,'G-3 Multipliers'!$L$3:$N$6,2,FALSE)=0,"Spatial Data Missing ⚠",VLOOKUP(J133,'G-3 Multipliers'!$L$3:$N$6,2,FALSE)))</f>
        <v/>
      </c>
      <c r="L133" s="386" t="str">
        <f>IF(J133="","",IF(VLOOKUP(J133,'G-3 Multipliers'!$L$3:$N$6,3,FALSE)=0,"Spatial Data Missing ⚠",VLOOKUP(J133,'G-3 Multipliers'!$L$3:$N$6,3,FALSE)))</f>
        <v/>
      </c>
      <c r="M133" s="425" t="str">
        <f>IF(D133="","",VLOOKUP(D133,'G-6 Hedgerow Data'!$B$1:$AH$15,33,FALSE))</f>
        <v/>
      </c>
      <c r="N133" s="376" t="str">
        <f t="shared" si="11"/>
        <v/>
      </c>
      <c r="O133" s="516"/>
      <c r="P133" s="368" t="str">
        <f>IF(O133="","",IF(VLOOKUP(O133,'G-3 Multipliers'!$S$3:$T$10,2,FALSE)=0,"Spatial Data Missing ⚠",VLOOKUP(O133,'G-3 Multipliers'!$S$3:$T$10,2,FALSE)))</f>
        <v/>
      </c>
      <c r="Q133" s="376" t="str">
        <f t="shared" si="12"/>
        <v/>
      </c>
      <c r="R133" s="32"/>
      <c r="S133" s="114"/>
      <c r="T133" s="125"/>
      <c r="U133" s="370" t="str">
        <f t="shared" si="13"/>
        <v/>
      </c>
      <c r="V133" s="370" t="str">
        <f t="shared" si="14"/>
        <v/>
      </c>
      <c r="W133" s="374" t="str">
        <f t="shared" si="15"/>
        <v/>
      </c>
      <c r="X133" s="378" t="str">
        <f t="shared" si="16"/>
        <v/>
      </c>
      <c r="Y133" s="119"/>
      <c r="Z133" s="120"/>
      <c r="AA133" s="120"/>
      <c r="AB133" s="120"/>
      <c r="AE133" s="30" t="str">
        <f>IFERROR(INDEX('G-6 Hedgerow Data'!$BJ$3:$BJ$15,MATCH(D133,'G-6 Hedgerow Data'!$B$3:$B$15,0)),"")</f>
        <v/>
      </c>
      <c r="AH133" s="124" t="str">
        <f t="shared" si="9"/>
        <v/>
      </c>
      <c r="AI133" s="124" t="str">
        <f t="shared" si="10"/>
        <v/>
      </c>
      <c r="AK133" s="124">
        <v>124</v>
      </c>
      <c r="AM133" s="124" t="str">
        <f t="array" ref="AM133">IFERROR(INDEX($AK$10:$AK$258, MATCH(0, IF(TRUE=$AH$10:$AH$258, COUNTIF($AM$9:$AM132, $AK$10:$AK$258), ""), 0)),"")</f>
        <v/>
      </c>
      <c r="AN133" s="124" t="str">
        <f t="array" ref="AN133">IFERROR(INDEX($AK$10:$AK$258, MATCH(0, IF(TRUE=$AI$10:$AI$258, COUNTIF($AN$9:$AN132, $AK$10:$AK$258), ""), 0)),"")</f>
        <v/>
      </c>
      <c r="AY133" s="370" t="str">
        <f t="shared" si="17"/>
        <v/>
      </c>
    </row>
    <row r="134" spans="2:51" ht="15">
      <c r="B134" s="110">
        <v>125</v>
      </c>
      <c r="C134" s="165"/>
      <c r="D134" s="165"/>
      <c r="E134" s="121"/>
      <c r="F134" s="362" t="str">
        <f>IF(D134="","",VLOOKUP(D134,'G-6 Hedgerow Data'!$B$2:$AG$15,2,FALSE))</f>
        <v/>
      </c>
      <c r="G134" s="363" t="str">
        <f>IF(D134="","",VLOOKUP(D134,'G-6 Hedgerow Data'!$B$2:$AG$15,3,FALSE))</f>
        <v/>
      </c>
      <c r="H134" s="114"/>
      <c r="I134" s="363" t="str">
        <f>IFERROR(IF(AND(F134="V.Low",OR(H134="Good",H134="Moderate")),"Error ▲",VLOOKUP(H134,'G-1 All Habitats'!$Z$2:$AA$9,2,FALSE)),"")</f>
        <v/>
      </c>
      <c r="J134" s="122"/>
      <c r="K134" s="382" t="str">
        <f>IF(J134="","",IF(VLOOKUP(J134,'G-3 Multipliers'!$L$3:$N$6,2,FALSE)=0,"Spatial Data Missing ⚠",VLOOKUP(J134,'G-3 Multipliers'!$L$3:$N$6,2,FALSE)))</f>
        <v/>
      </c>
      <c r="L134" s="386" t="str">
        <f>IF(J134="","",IF(VLOOKUP(J134,'G-3 Multipliers'!$L$3:$N$6,3,FALSE)=0,"Spatial Data Missing ⚠",VLOOKUP(J134,'G-3 Multipliers'!$L$3:$N$6,3,FALSE)))</f>
        <v/>
      </c>
      <c r="M134" s="425" t="str">
        <f>IF(D134="","",VLOOKUP(D134,'G-6 Hedgerow Data'!$B$1:$AH$15,33,FALSE))</f>
        <v/>
      </c>
      <c r="N134" s="376" t="str">
        <f t="shared" si="11"/>
        <v/>
      </c>
      <c r="O134" s="516"/>
      <c r="P134" s="368" t="str">
        <f>IF(O134="","",IF(VLOOKUP(O134,'G-3 Multipliers'!$S$3:$T$10,2,FALSE)=0,"Spatial Data Missing ⚠",VLOOKUP(O134,'G-3 Multipliers'!$S$3:$T$10,2,FALSE)))</f>
        <v/>
      </c>
      <c r="Q134" s="376" t="str">
        <f t="shared" si="12"/>
        <v/>
      </c>
      <c r="R134" s="32"/>
      <c r="S134" s="114"/>
      <c r="T134" s="125"/>
      <c r="U134" s="370" t="str">
        <f t="shared" si="13"/>
        <v/>
      </c>
      <c r="V134" s="370" t="str">
        <f t="shared" si="14"/>
        <v/>
      </c>
      <c r="W134" s="374" t="str">
        <f t="shared" si="15"/>
        <v/>
      </c>
      <c r="X134" s="378" t="str">
        <f t="shared" si="16"/>
        <v/>
      </c>
      <c r="Y134" s="119"/>
      <c r="Z134" s="120"/>
      <c r="AA134" s="120"/>
      <c r="AB134" s="120"/>
      <c r="AE134" s="30" t="str">
        <f>IFERROR(INDEX('G-6 Hedgerow Data'!$BJ$3:$BJ$15,MATCH(D134,'G-6 Hedgerow Data'!$B$3:$B$15,0)),"")</f>
        <v/>
      </c>
      <c r="AH134" s="124" t="str">
        <f t="shared" si="9"/>
        <v/>
      </c>
      <c r="AI134" s="124" t="str">
        <f t="shared" si="10"/>
        <v/>
      </c>
      <c r="AK134" s="124">
        <v>125</v>
      </c>
      <c r="AM134" s="124" t="str">
        <f t="array" ref="AM134">IFERROR(INDEX($AK$10:$AK$258, MATCH(0, IF(TRUE=$AH$10:$AH$258, COUNTIF($AM$9:$AM133, $AK$10:$AK$258), ""), 0)),"")</f>
        <v/>
      </c>
      <c r="AN134" s="124" t="str">
        <f t="array" ref="AN134">IFERROR(INDEX($AK$10:$AK$258, MATCH(0, IF(TRUE=$AI$10:$AI$258, COUNTIF($AN$9:$AN133, $AK$10:$AK$258), ""), 0)),"")</f>
        <v/>
      </c>
      <c r="AY134" s="370" t="str">
        <f t="shared" si="17"/>
        <v/>
      </c>
    </row>
    <row r="135" spans="2:51" ht="15">
      <c r="B135" s="110">
        <v>126</v>
      </c>
      <c r="C135" s="165"/>
      <c r="D135" s="165"/>
      <c r="E135" s="121"/>
      <c r="F135" s="362" t="str">
        <f>IF(D135="","",VLOOKUP(D135,'G-6 Hedgerow Data'!$B$2:$AG$15,2,FALSE))</f>
        <v/>
      </c>
      <c r="G135" s="363" t="str">
        <f>IF(D135="","",VLOOKUP(D135,'G-6 Hedgerow Data'!$B$2:$AG$15,3,FALSE))</f>
        <v/>
      </c>
      <c r="H135" s="114"/>
      <c r="I135" s="363" t="str">
        <f>IFERROR(IF(AND(F135="V.Low",OR(H135="Good",H135="Moderate")),"Error ▲",VLOOKUP(H135,'G-1 All Habitats'!$Z$2:$AA$9,2,FALSE)),"")</f>
        <v/>
      </c>
      <c r="J135" s="122"/>
      <c r="K135" s="382" t="str">
        <f>IF(J135="","",IF(VLOOKUP(J135,'G-3 Multipliers'!$L$3:$N$6,2,FALSE)=0,"Spatial Data Missing ⚠",VLOOKUP(J135,'G-3 Multipliers'!$L$3:$N$6,2,FALSE)))</f>
        <v/>
      </c>
      <c r="L135" s="386" t="str">
        <f>IF(J135="","",IF(VLOOKUP(J135,'G-3 Multipliers'!$L$3:$N$6,3,FALSE)=0,"Spatial Data Missing ⚠",VLOOKUP(J135,'G-3 Multipliers'!$L$3:$N$6,3,FALSE)))</f>
        <v/>
      </c>
      <c r="M135" s="425" t="str">
        <f>IF(D135="","",VLOOKUP(D135,'G-6 Hedgerow Data'!$B$1:$AH$15,33,FALSE))</f>
        <v/>
      </c>
      <c r="N135" s="376" t="str">
        <f t="shared" si="11"/>
        <v/>
      </c>
      <c r="O135" s="516"/>
      <c r="P135" s="368" t="str">
        <f>IF(O135="","",IF(VLOOKUP(O135,'G-3 Multipliers'!$S$3:$T$10,2,FALSE)=0,"Spatial Data Missing ⚠",VLOOKUP(O135,'G-3 Multipliers'!$S$3:$T$10,2,FALSE)))</f>
        <v/>
      </c>
      <c r="Q135" s="376" t="str">
        <f t="shared" si="12"/>
        <v/>
      </c>
      <c r="R135" s="32"/>
      <c r="S135" s="114"/>
      <c r="T135" s="125"/>
      <c r="U135" s="370" t="str">
        <f t="shared" si="13"/>
        <v/>
      </c>
      <c r="V135" s="370" t="str">
        <f t="shared" si="14"/>
        <v/>
      </c>
      <c r="W135" s="374" t="str">
        <f t="shared" si="15"/>
        <v/>
      </c>
      <c r="X135" s="378" t="str">
        <f t="shared" si="16"/>
        <v/>
      </c>
      <c r="Y135" s="119"/>
      <c r="Z135" s="120"/>
      <c r="AA135" s="120"/>
      <c r="AB135" s="120"/>
      <c r="AE135" s="30" t="str">
        <f>IFERROR(INDEX('G-6 Hedgerow Data'!$BJ$3:$BJ$15,MATCH(D135,'G-6 Hedgerow Data'!$B$3:$B$15,0)),"")</f>
        <v/>
      </c>
      <c r="AH135" s="124" t="str">
        <f t="shared" si="9"/>
        <v/>
      </c>
      <c r="AI135" s="124" t="str">
        <f t="shared" si="10"/>
        <v/>
      </c>
      <c r="AK135" s="124">
        <v>126</v>
      </c>
      <c r="AM135" s="124" t="str">
        <f t="array" ref="AM135">IFERROR(INDEX($AK$10:$AK$258, MATCH(0, IF(TRUE=$AH$10:$AH$258, COUNTIF($AM$9:$AM134, $AK$10:$AK$258), ""), 0)),"")</f>
        <v/>
      </c>
      <c r="AN135" s="124" t="str">
        <f t="array" ref="AN135">IFERROR(INDEX($AK$10:$AK$258, MATCH(0, IF(TRUE=$AI$10:$AI$258, COUNTIF($AN$9:$AN134, $AK$10:$AK$258), ""), 0)),"")</f>
        <v/>
      </c>
      <c r="AY135" s="370" t="str">
        <f t="shared" si="17"/>
        <v/>
      </c>
    </row>
    <row r="136" spans="2:51" ht="15">
      <c r="B136" s="110">
        <v>127</v>
      </c>
      <c r="C136" s="165"/>
      <c r="D136" s="165"/>
      <c r="E136" s="121"/>
      <c r="F136" s="362" t="str">
        <f>IF(D136="","",VLOOKUP(D136,'G-6 Hedgerow Data'!$B$2:$AG$15,2,FALSE))</f>
        <v/>
      </c>
      <c r="G136" s="363" t="str">
        <f>IF(D136="","",VLOOKUP(D136,'G-6 Hedgerow Data'!$B$2:$AG$15,3,FALSE))</f>
        <v/>
      </c>
      <c r="H136" s="114"/>
      <c r="I136" s="363" t="str">
        <f>IFERROR(IF(AND(F136="V.Low",OR(H136="Good",H136="Moderate")),"Error ▲",VLOOKUP(H136,'G-1 All Habitats'!$Z$2:$AA$9,2,FALSE)),"")</f>
        <v/>
      </c>
      <c r="J136" s="122"/>
      <c r="K136" s="382" t="str">
        <f>IF(J136="","",IF(VLOOKUP(J136,'G-3 Multipliers'!$L$3:$N$6,2,FALSE)=0,"Spatial Data Missing ⚠",VLOOKUP(J136,'G-3 Multipliers'!$L$3:$N$6,2,FALSE)))</f>
        <v/>
      </c>
      <c r="L136" s="386" t="str">
        <f>IF(J136="","",IF(VLOOKUP(J136,'G-3 Multipliers'!$L$3:$N$6,3,FALSE)=0,"Spatial Data Missing ⚠",VLOOKUP(J136,'G-3 Multipliers'!$L$3:$N$6,3,FALSE)))</f>
        <v/>
      </c>
      <c r="M136" s="425" t="str">
        <f>IF(D136="","",VLOOKUP(D136,'G-6 Hedgerow Data'!$B$1:$AH$15,33,FALSE))</f>
        <v/>
      </c>
      <c r="N136" s="376" t="str">
        <f t="shared" si="11"/>
        <v/>
      </c>
      <c r="O136" s="516"/>
      <c r="P136" s="368" t="str">
        <f>IF(O136="","",IF(VLOOKUP(O136,'G-3 Multipliers'!$S$3:$T$10,2,FALSE)=0,"Spatial Data Missing ⚠",VLOOKUP(O136,'G-3 Multipliers'!$S$3:$T$10,2,FALSE)))</f>
        <v/>
      </c>
      <c r="Q136" s="376" t="str">
        <f t="shared" si="12"/>
        <v/>
      </c>
      <c r="R136" s="32"/>
      <c r="S136" s="114"/>
      <c r="T136" s="125"/>
      <c r="U136" s="370" t="str">
        <f t="shared" si="13"/>
        <v/>
      </c>
      <c r="V136" s="370" t="str">
        <f t="shared" si="14"/>
        <v/>
      </c>
      <c r="W136" s="374" t="str">
        <f t="shared" si="15"/>
        <v/>
      </c>
      <c r="X136" s="378" t="str">
        <f t="shared" si="16"/>
        <v/>
      </c>
      <c r="Y136" s="119"/>
      <c r="Z136" s="120"/>
      <c r="AA136" s="120"/>
      <c r="AB136" s="120"/>
      <c r="AE136" s="30" t="str">
        <f>IFERROR(INDEX('G-6 Hedgerow Data'!$BJ$3:$BJ$15,MATCH(D136,'G-6 Hedgerow Data'!$B$3:$B$15,0)),"")</f>
        <v/>
      </c>
      <c r="AH136" s="124" t="str">
        <f t="shared" si="9"/>
        <v/>
      </c>
      <c r="AI136" s="124" t="str">
        <f t="shared" si="10"/>
        <v/>
      </c>
      <c r="AK136" s="124">
        <v>127</v>
      </c>
      <c r="AM136" s="124" t="str">
        <f t="array" ref="AM136">IFERROR(INDEX($AK$10:$AK$258, MATCH(0, IF(TRUE=$AH$10:$AH$258, COUNTIF($AM$9:$AM135, $AK$10:$AK$258), ""), 0)),"")</f>
        <v/>
      </c>
      <c r="AN136" s="124" t="str">
        <f t="array" ref="AN136">IFERROR(INDEX($AK$10:$AK$258, MATCH(0, IF(TRUE=$AI$10:$AI$258, COUNTIF($AN$9:$AN135, $AK$10:$AK$258), ""), 0)),"")</f>
        <v/>
      </c>
      <c r="AY136" s="370" t="str">
        <f t="shared" si="17"/>
        <v/>
      </c>
    </row>
    <row r="137" spans="2:51" ht="15">
      <c r="B137" s="110">
        <v>128</v>
      </c>
      <c r="C137" s="165"/>
      <c r="D137" s="165"/>
      <c r="E137" s="121"/>
      <c r="F137" s="362" t="str">
        <f>IF(D137="","",VLOOKUP(D137,'G-6 Hedgerow Data'!$B$2:$AG$15,2,FALSE))</f>
        <v/>
      </c>
      <c r="G137" s="363" t="str">
        <f>IF(D137="","",VLOOKUP(D137,'G-6 Hedgerow Data'!$B$2:$AG$15,3,FALSE))</f>
        <v/>
      </c>
      <c r="H137" s="114"/>
      <c r="I137" s="363" t="str">
        <f>IFERROR(IF(AND(F137="V.Low",OR(H137="Good",H137="Moderate")),"Error ▲",VLOOKUP(H137,'G-1 All Habitats'!$Z$2:$AA$9,2,FALSE)),"")</f>
        <v/>
      </c>
      <c r="J137" s="122"/>
      <c r="K137" s="382" t="str">
        <f>IF(J137="","",IF(VLOOKUP(J137,'G-3 Multipliers'!$L$3:$N$6,2,FALSE)=0,"Spatial Data Missing ⚠",VLOOKUP(J137,'G-3 Multipliers'!$L$3:$N$6,2,FALSE)))</f>
        <v/>
      </c>
      <c r="L137" s="386" t="str">
        <f>IF(J137="","",IF(VLOOKUP(J137,'G-3 Multipliers'!$L$3:$N$6,3,FALSE)=0,"Spatial Data Missing ⚠",VLOOKUP(J137,'G-3 Multipliers'!$L$3:$N$6,3,FALSE)))</f>
        <v/>
      </c>
      <c r="M137" s="425" t="str">
        <f>IF(D137="","",VLOOKUP(D137,'G-6 Hedgerow Data'!$B$1:$AH$15,33,FALSE))</f>
        <v/>
      </c>
      <c r="N137" s="376" t="str">
        <f t="shared" si="11"/>
        <v/>
      </c>
      <c r="O137" s="516"/>
      <c r="P137" s="368" t="str">
        <f>IF(O137="","",IF(VLOOKUP(O137,'G-3 Multipliers'!$S$3:$T$10,2,FALSE)=0,"Spatial Data Missing ⚠",VLOOKUP(O137,'G-3 Multipliers'!$S$3:$T$10,2,FALSE)))</f>
        <v/>
      </c>
      <c r="Q137" s="376" t="str">
        <f t="shared" si="12"/>
        <v/>
      </c>
      <c r="R137" s="32"/>
      <c r="S137" s="114"/>
      <c r="T137" s="125"/>
      <c r="U137" s="370" t="str">
        <f t="shared" si="13"/>
        <v/>
      </c>
      <c r="V137" s="370" t="str">
        <f t="shared" si="14"/>
        <v/>
      </c>
      <c r="W137" s="374" t="str">
        <f t="shared" si="15"/>
        <v/>
      </c>
      <c r="X137" s="378" t="str">
        <f t="shared" si="16"/>
        <v/>
      </c>
      <c r="Y137" s="119"/>
      <c r="Z137" s="120"/>
      <c r="AA137" s="120"/>
      <c r="AB137" s="120"/>
      <c r="AE137" s="30" t="str">
        <f>IFERROR(INDEX('G-6 Hedgerow Data'!$BJ$3:$BJ$15,MATCH(D137,'G-6 Hedgerow Data'!$B$3:$B$15,0)),"")</f>
        <v/>
      </c>
      <c r="AH137" s="124" t="str">
        <f t="shared" si="9"/>
        <v/>
      </c>
      <c r="AI137" s="124" t="str">
        <f t="shared" si="10"/>
        <v/>
      </c>
      <c r="AK137" s="124">
        <v>128</v>
      </c>
      <c r="AM137" s="124" t="str">
        <f t="array" ref="AM137">IFERROR(INDEX($AK$10:$AK$258, MATCH(0, IF(TRUE=$AH$10:$AH$258, COUNTIF($AM$9:$AM136, $AK$10:$AK$258), ""), 0)),"")</f>
        <v/>
      </c>
      <c r="AN137" s="124" t="str">
        <f t="array" ref="AN137">IFERROR(INDEX($AK$10:$AK$258, MATCH(0, IF(TRUE=$AI$10:$AI$258, COUNTIF($AN$9:$AN136, $AK$10:$AK$258), ""), 0)),"")</f>
        <v/>
      </c>
      <c r="AY137" s="370" t="str">
        <f t="shared" si="17"/>
        <v/>
      </c>
    </row>
    <row r="138" spans="2:51" ht="15">
      <c r="B138" s="110">
        <v>129</v>
      </c>
      <c r="C138" s="165"/>
      <c r="D138" s="165"/>
      <c r="E138" s="121"/>
      <c r="F138" s="362" t="str">
        <f>IF(D138="","",VLOOKUP(D138,'G-6 Hedgerow Data'!$B$2:$AG$15,2,FALSE))</f>
        <v/>
      </c>
      <c r="G138" s="363" t="str">
        <f>IF(D138="","",VLOOKUP(D138,'G-6 Hedgerow Data'!$B$2:$AG$15,3,FALSE))</f>
        <v/>
      </c>
      <c r="H138" s="114"/>
      <c r="I138" s="363" t="str">
        <f>IFERROR(IF(AND(F138="V.Low",OR(H138="Good",H138="Moderate")),"Error ▲",VLOOKUP(H138,'G-1 All Habitats'!$Z$2:$AA$9,2,FALSE)),"")</f>
        <v/>
      </c>
      <c r="J138" s="122"/>
      <c r="K138" s="382" t="str">
        <f>IF(J138="","",IF(VLOOKUP(J138,'G-3 Multipliers'!$L$3:$N$6,2,FALSE)=0,"Spatial Data Missing ⚠",VLOOKUP(J138,'G-3 Multipliers'!$L$3:$N$6,2,FALSE)))</f>
        <v/>
      </c>
      <c r="L138" s="386" t="str">
        <f>IF(J138="","",IF(VLOOKUP(J138,'G-3 Multipliers'!$L$3:$N$6,3,FALSE)=0,"Spatial Data Missing ⚠",VLOOKUP(J138,'G-3 Multipliers'!$L$3:$N$6,3,FALSE)))</f>
        <v/>
      </c>
      <c r="M138" s="425" t="str">
        <f>IF(D138="","",VLOOKUP(D138,'G-6 Hedgerow Data'!$B$1:$AH$15,33,FALSE))</f>
        <v/>
      </c>
      <c r="N138" s="376" t="str">
        <f t="shared" si="11"/>
        <v/>
      </c>
      <c r="O138" s="516"/>
      <c r="P138" s="368" t="str">
        <f>IF(O138="","",IF(VLOOKUP(O138,'G-3 Multipliers'!$S$3:$T$10,2,FALSE)=0,"Spatial Data Missing ⚠",VLOOKUP(O138,'G-3 Multipliers'!$S$3:$T$10,2,FALSE)))</f>
        <v/>
      </c>
      <c r="Q138" s="376" t="str">
        <f t="shared" si="12"/>
        <v/>
      </c>
      <c r="R138" s="32"/>
      <c r="S138" s="114"/>
      <c r="T138" s="125"/>
      <c r="U138" s="370" t="str">
        <f t="shared" si="13"/>
        <v/>
      </c>
      <c r="V138" s="370" t="str">
        <f t="shared" si="14"/>
        <v/>
      </c>
      <c r="W138" s="374" t="str">
        <f t="shared" si="15"/>
        <v/>
      </c>
      <c r="X138" s="378" t="str">
        <f t="shared" si="16"/>
        <v/>
      </c>
      <c r="Y138" s="119"/>
      <c r="Z138" s="120"/>
      <c r="AA138" s="120"/>
      <c r="AB138" s="120"/>
      <c r="AE138" s="30" t="str">
        <f>IFERROR(INDEX('G-6 Hedgerow Data'!$BJ$3:$BJ$15,MATCH(D138,'G-6 Hedgerow Data'!$B$3:$B$15,0)),"")</f>
        <v/>
      </c>
      <c r="AH138" s="124" t="str">
        <f t="shared" ref="AH138:AH201" si="18">IF(D138="","",IF(S138&gt;0,TRUE,FALSE))</f>
        <v/>
      </c>
      <c r="AI138" s="124" t="str">
        <f t="shared" ref="AI138:AI201" si="19">IF(D138="","",IF(T138&gt;0,TRUE,FALSE))</f>
        <v/>
      </c>
      <c r="AK138" s="124">
        <v>129</v>
      </c>
      <c r="AM138" s="124" t="str">
        <f t="array" ref="AM138">IFERROR(INDEX($AK$10:$AK$258, MATCH(0, IF(TRUE=$AH$10:$AH$258, COUNTIF($AM$9:$AM137, $AK$10:$AK$258), ""), 0)),"")</f>
        <v/>
      </c>
      <c r="AN138" s="124" t="str">
        <f t="array" ref="AN138">IFERROR(INDEX($AK$10:$AK$258, MATCH(0, IF(TRUE=$AI$10:$AI$258, COUNTIF($AN$9:$AN137, $AK$10:$AK$258), ""), 0)),"")</f>
        <v/>
      </c>
      <c r="AY138" s="370" t="str">
        <f t="shared" si="17"/>
        <v/>
      </c>
    </row>
    <row r="139" spans="2:51" ht="15">
      <c r="B139" s="110">
        <v>130</v>
      </c>
      <c r="C139" s="165"/>
      <c r="D139" s="165"/>
      <c r="E139" s="121"/>
      <c r="F139" s="362" t="str">
        <f>IF(D139="","",VLOOKUP(D139,'G-6 Hedgerow Data'!$B$2:$AG$15,2,FALSE))</f>
        <v/>
      </c>
      <c r="G139" s="363" t="str">
        <f>IF(D139="","",VLOOKUP(D139,'G-6 Hedgerow Data'!$B$2:$AG$15,3,FALSE))</f>
        <v/>
      </c>
      <c r="H139" s="114"/>
      <c r="I139" s="363" t="str">
        <f>IFERROR(IF(AND(F139="V.Low",OR(H139="Good",H139="Moderate")),"Error ▲",VLOOKUP(H139,'G-1 All Habitats'!$Z$2:$AA$9,2,FALSE)),"")</f>
        <v/>
      </c>
      <c r="J139" s="122"/>
      <c r="K139" s="382" t="str">
        <f>IF(J139="","",IF(VLOOKUP(J139,'G-3 Multipliers'!$L$3:$N$6,2,FALSE)=0,"Spatial Data Missing ⚠",VLOOKUP(J139,'G-3 Multipliers'!$L$3:$N$6,2,FALSE)))</f>
        <v/>
      </c>
      <c r="L139" s="386" t="str">
        <f>IF(J139="","",IF(VLOOKUP(J139,'G-3 Multipliers'!$L$3:$N$6,3,FALSE)=0,"Spatial Data Missing ⚠",VLOOKUP(J139,'G-3 Multipliers'!$L$3:$N$6,3,FALSE)))</f>
        <v/>
      </c>
      <c r="M139" s="425" t="str">
        <f>IF(D139="","",VLOOKUP(D139,'G-6 Hedgerow Data'!$B$1:$AH$15,33,FALSE))</f>
        <v/>
      </c>
      <c r="N139" s="376" t="str">
        <f t="shared" ref="N139:N202" si="20">IFERROR(E139*G139*I139*L139*P139,"")</f>
        <v/>
      </c>
      <c r="O139" s="516"/>
      <c r="P139" s="368" t="str">
        <f>IF(O139="","",IF(VLOOKUP(O139,'G-3 Multipliers'!$S$3:$T$10,2,FALSE)=0,"Spatial Data Missing ⚠",VLOOKUP(O139,'G-3 Multipliers'!$S$3:$T$10,2,FALSE)))</f>
        <v/>
      </c>
      <c r="Q139" s="376" t="str">
        <f t="shared" ref="Q139:Q202" si="21">IFERROR(IF(O139="", "", E139*G139*I139*L139),"")</f>
        <v/>
      </c>
      <c r="R139" s="32"/>
      <c r="S139" s="114"/>
      <c r="T139" s="125"/>
      <c r="U139" s="370" t="str">
        <f t="shared" ref="U139:U202" si="22">IFERROR(S139*G139*I139*L139,"")</f>
        <v/>
      </c>
      <c r="V139" s="370" t="str">
        <f t="shared" ref="V139:V202" si="23">IFERROR(T139*G139*I139*L139,"")</f>
        <v/>
      </c>
      <c r="W139" s="374" t="str">
        <f t="shared" ref="W139:W202" si="24">IF(D139="","",IF(E139&lt;S139+T139,"Error in Lengths ▲",E139-S139-T139))</f>
        <v/>
      </c>
      <c r="X139" s="378" t="str">
        <f t="shared" ref="X139:X202" si="25">IF(OR(E139="",N139=""),"",IF(E139&lt;S139+T139,"Error in Lengths",Q139-U139-V139))</f>
        <v/>
      </c>
      <c r="Y139" s="119"/>
      <c r="Z139" s="120"/>
      <c r="AA139" s="120"/>
      <c r="AB139" s="120"/>
      <c r="AE139" s="30" t="str">
        <f>IFERROR(INDEX('G-6 Hedgerow Data'!$BJ$3:$BJ$15,MATCH(D139,'G-6 Hedgerow Data'!$B$3:$B$15,0)),"")</f>
        <v/>
      </c>
      <c r="AH139" s="124" t="str">
        <f t="shared" si="18"/>
        <v/>
      </c>
      <c r="AI139" s="124" t="str">
        <f t="shared" si="19"/>
        <v/>
      </c>
      <c r="AK139" s="124">
        <v>130</v>
      </c>
      <c r="AM139" s="124" t="str">
        <f t="array" ref="AM139">IFERROR(INDEX($AK$10:$AK$258, MATCH(0, IF(TRUE=$AH$10:$AH$258, COUNTIF($AM$9:$AM138, $AK$10:$AK$258), ""), 0)),"")</f>
        <v/>
      </c>
      <c r="AN139" s="124" t="str">
        <f t="array" ref="AN139">IFERROR(INDEX($AK$10:$AK$258, MATCH(0, IF(TRUE=$AI$10:$AI$258, COUNTIF($AN$9:$AN138, $AK$10:$AK$258), ""), 0)),"")</f>
        <v/>
      </c>
      <c r="AY139" s="370" t="str">
        <f t="shared" ref="AY139:AY202" si="26">IFERROR(S139*G139*I139*L139*P139,"")</f>
        <v/>
      </c>
    </row>
    <row r="140" spans="2:51" ht="15">
      <c r="B140" s="110">
        <v>131</v>
      </c>
      <c r="C140" s="165"/>
      <c r="D140" s="165"/>
      <c r="E140" s="121"/>
      <c r="F140" s="362" t="str">
        <f>IF(D140="","",VLOOKUP(D140,'G-6 Hedgerow Data'!$B$2:$AG$15,2,FALSE))</f>
        <v/>
      </c>
      <c r="G140" s="363" t="str">
        <f>IF(D140="","",VLOOKUP(D140,'G-6 Hedgerow Data'!$B$2:$AG$15,3,FALSE))</f>
        <v/>
      </c>
      <c r="H140" s="114"/>
      <c r="I140" s="363" t="str">
        <f>IFERROR(IF(AND(F140="V.Low",OR(H140="Good",H140="Moderate")),"Error ▲",VLOOKUP(H140,'G-1 All Habitats'!$Z$2:$AA$9,2,FALSE)),"")</f>
        <v/>
      </c>
      <c r="J140" s="122"/>
      <c r="K140" s="382" t="str">
        <f>IF(J140="","",IF(VLOOKUP(J140,'G-3 Multipliers'!$L$3:$N$6,2,FALSE)=0,"Spatial Data Missing ⚠",VLOOKUP(J140,'G-3 Multipliers'!$L$3:$N$6,2,FALSE)))</f>
        <v/>
      </c>
      <c r="L140" s="386" t="str">
        <f>IF(J140="","",IF(VLOOKUP(J140,'G-3 Multipliers'!$L$3:$N$6,3,FALSE)=0,"Spatial Data Missing ⚠",VLOOKUP(J140,'G-3 Multipliers'!$L$3:$N$6,3,FALSE)))</f>
        <v/>
      </c>
      <c r="M140" s="425" t="str">
        <f>IF(D140="","",VLOOKUP(D140,'G-6 Hedgerow Data'!$B$1:$AH$15,33,FALSE))</f>
        <v/>
      </c>
      <c r="N140" s="376" t="str">
        <f t="shared" si="20"/>
        <v/>
      </c>
      <c r="O140" s="516"/>
      <c r="P140" s="368" t="str">
        <f>IF(O140="","",IF(VLOOKUP(O140,'G-3 Multipliers'!$S$3:$T$10,2,FALSE)=0,"Spatial Data Missing ⚠",VLOOKUP(O140,'G-3 Multipliers'!$S$3:$T$10,2,FALSE)))</f>
        <v/>
      </c>
      <c r="Q140" s="376" t="str">
        <f t="shared" si="21"/>
        <v/>
      </c>
      <c r="R140" s="32"/>
      <c r="S140" s="114"/>
      <c r="T140" s="125"/>
      <c r="U140" s="370" t="str">
        <f t="shared" si="22"/>
        <v/>
      </c>
      <c r="V140" s="370" t="str">
        <f t="shared" si="23"/>
        <v/>
      </c>
      <c r="W140" s="374" t="str">
        <f t="shared" si="24"/>
        <v/>
      </c>
      <c r="X140" s="378" t="str">
        <f t="shared" si="25"/>
        <v/>
      </c>
      <c r="Y140" s="119"/>
      <c r="Z140" s="120"/>
      <c r="AA140" s="120"/>
      <c r="AB140" s="120"/>
      <c r="AE140" s="30" t="str">
        <f>IFERROR(INDEX('G-6 Hedgerow Data'!$BJ$3:$BJ$15,MATCH(D140,'G-6 Hedgerow Data'!$B$3:$B$15,0)),"")</f>
        <v/>
      </c>
      <c r="AH140" s="124" t="str">
        <f t="shared" si="18"/>
        <v/>
      </c>
      <c r="AI140" s="124" t="str">
        <f t="shared" si="19"/>
        <v/>
      </c>
      <c r="AK140" s="124">
        <v>131</v>
      </c>
      <c r="AM140" s="124" t="str">
        <f t="array" ref="AM140">IFERROR(INDEX($AK$10:$AK$258, MATCH(0, IF(TRUE=$AH$10:$AH$258, COUNTIF($AM$9:$AM139, $AK$10:$AK$258), ""), 0)),"")</f>
        <v/>
      </c>
      <c r="AN140" s="124" t="str">
        <f t="array" ref="AN140">IFERROR(INDEX($AK$10:$AK$258, MATCH(0, IF(TRUE=$AI$10:$AI$258, COUNTIF($AN$9:$AN139, $AK$10:$AK$258), ""), 0)),"")</f>
        <v/>
      </c>
      <c r="AY140" s="370" t="str">
        <f t="shared" si="26"/>
        <v/>
      </c>
    </row>
    <row r="141" spans="2:51" ht="15">
      <c r="B141" s="110">
        <v>132</v>
      </c>
      <c r="C141" s="165"/>
      <c r="D141" s="165"/>
      <c r="E141" s="121"/>
      <c r="F141" s="362" t="str">
        <f>IF(D141="","",VLOOKUP(D141,'G-6 Hedgerow Data'!$B$2:$AG$15,2,FALSE))</f>
        <v/>
      </c>
      <c r="G141" s="363" t="str">
        <f>IF(D141="","",VLOOKUP(D141,'G-6 Hedgerow Data'!$B$2:$AG$15,3,FALSE))</f>
        <v/>
      </c>
      <c r="H141" s="114"/>
      <c r="I141" s="363" t="str">
        <f>IFERROR(IF(AND(F141="V.Low",OR(H141="Good",H141="Moderate")),"Error ▲",VLOOKUP(H141,'G-1 All Habitats'!$Z$2:$AA$9,2,FALSE)),"")</f>
        <v/>
      </c>
      <c r="J141" s="122"/>
      <c r="K141" s="382" t="str">
        <f>IF(J141="","",IF(VLOOKUP(J141,'G-3 Multipliers'!$L$3:$N$6,2,FALSE)=0,"Spatial Data Missing ⚠",VLOOKUP(J141,'G-3 Multipliers'!$L$3:$N$6,2,FALSE)))</f>
        <v/>
      </c>
      <c r="L141" s="386" t="str">
        <f>IF(J141="","",IF(VLOOKUP(J141,'G-3 Multipliers'!$L$3:$N$6,3,FALSE)=0,"Spatial Data Missing ⚠",VLOOKUP(J141,'G-3 Multipliers'!$L$3:$N$6,3,FALSE)))</f>
        <v/>
      </c>
      <c r="M141" s="425" t="str">
        <f>IF(D141="","",VLOOKUP(D141,'G-6 Hedgerow Data'!$B$1:$AH$15,33,FALSE))</f>
        <v/>
      </c>
      <c r="N141" s="376" t="str">
        <f t="shared" si="20"/>
        <v/>
      </c>
      <c r="O141" s="516"/>
      <c r="P141" s="368" t="str">
        <f>IF(O141="","",IF(VLOOKUP(O141,'G-3 Multipliers'!$S$3:$T$10,2,FALSE)=0,"Spatial Data Missing ⚠",VLOOKUP(O141,'G-3 Multipliers'!$S$3:$T$10,2,FALSE)))</f>
        <v/>
      </c>
      <c r="Q141" s="376" t="str">
        <f t="shared" si="21"/>
        <v/>
      </c>
      <c r="R141" s="32"/>
      <c r="S141" s="114"/>
      <c r="T141" s="125"/>
      <c r="U141" s="370" t="str">
        <f t="shared" si="22"/>
        <v/>
      </c>
      <c r="V141" s="370" t="str">
        <f t="shared" si="23"/>
        <v/>
      </c>
      <c r="W141" s="374" t="str">
        <f t="shared" si="24"/>
        <v/>
      </c>
      <c r="X141" s="378" t="str">
        <f t="shared" si="25"/>
        <v/>
      </c>
      <c r="Y141" s="119"/>
      <c r="Z141" s="120"/>
      <c r="AA141" s="120"/>
      <c r="AB141" s="120"/>
      <c r="AE141" s="30" t="str">
        <f>IFERROR(INDEX('G-6 Hedgerow Data'!$BJ$3:$BJ$15,MATCH(D141,'G-6 Hedgerow Data'!$B$3:$B$15,0)),"")</f>
        <v/>
      </c>
      <c r="AH141" s="124" t="str">
        <f t="shared" si="18"/>
        <v/>
      </c>
      <c r="AI141" s="124" t="str">
        <f t="shared" si="19"/>
        <v/>
      </c>
      <c r="AK141" s="124">
        <v>132</v>
      </c>
      <c r="AM141" s="124" t="str">
        <f t="array" ref="AM141">IFERROR(INDEX($AK$10:$AK$258, MATCH(0, IF(TRUE=$AH$10:$AH$258, COUNTIF($AM$9:$AM140, $AK$10:$AK$258), ""), 0)),"")</f>
        <v/>
      </c>
      <c r="AN141" s="124" t="str">
        <f t="array" ref="AN141">IFERROR(INDEX($AK$10:$AK$258, MATCH(0, IF(TRUE=$AI$10:$AI$258, COUNTIF($AN$9:$AN140, $AK$10:$AK$258), ""), 0)),"")</f>
        <v/>
      </c>
      <c r="AY141" s="370" t="str">
        <f t="shared" si="26"/>
        <v/>
      </c>
    </row>
    <row r="142" spans="2:51" ht="15">
      <c r="B142" s="110">
        <v>133</v>
      </c>
      <c r="C142" s="165"/>
      <c r="D142" s="165"/>
      <c r="E142" s="121"/>
      <c r="F142" s="362" t="str">
        <f>IF(D142="","",VLOOKUP(D142,'G-6 Hedgerow Data'!$B$2:$AG$15,2,FALSE))</f>
        <v/>
      </c>
      <c r="G142" s="363" t="str">
        <f>IF(D142="","",VLOOKUP(D142,'G-6 Hedgerow Data'!$B$2:$AG$15,3,FALSE))</f>
        <v/>
      </c>
      <c r="H142" s="114"/>
      <c r="I142" s="363" t="str">
        <f>IFERROR(IF(AND(F142="V.Low",OR(H142="Good",H142="Moderate")),"Error ▲",VLOOKUP(H142,'G-1 All Habitats'!$Z$2:$AA$9,2,FALSE)),"")</f>
        <v/>
      </c>
      <c r="J142" s="122"/>
      <c r="K142" s="382" t="str">
        <f>IF(J142="","",IF(VLOOKUP(J142,'G-3 Multipliers'!$L$3:$N$6,2,FALSE)=0,"Spatial Data Missing ⚠",VLOOKUP(J142,'G-3 Multipliers'!$L$3:$N$6,2,FALSE)))</f>
        <v/>
      </c>
      <c r="L142" s="386" t="str">
        <f>IF(J142="","",IF(VLOOKUP(J142,'G-3 Multipliers'!$L$3:$N$6,3,FALSE)=0,"Spatial Data Missing ⚠",VLOOKUP(J142,'G-3 Multipliers'!$L$3:$N$6,3,FALSE)))</f>
        <v/>
      </c>
      <c r="M142" s="425" t="str">
        <f>IF(D142="","",VLOOKUP(D142,'G-6 Hedgerow Data'!$B$1:$AH$15,33,FALSE))</f>
        <v/>
      </c>
      <c r="N142" s="376" t="str">
        <f t="shared" si="20"/>
        <v/>
      </c>
      <c r="O142" s="516"/>
      <c r="P142" s="368" t="str">
        <f>IF(O142="","",IF(VLOOKUP(O142,'G-3 Multipliers'!$S$3:$T$10,2,FALSE)=0,"Spatial Data Missing ⚠",VLOOKUP(O142,'G-3 Multipliers'!$S$3:$T$10,2,FALSE)))</f>
        <v/>
      </c>
      <c r="Q142" s="376" t="str">
        <f t="shared" si="21"/>
        <v/>
      </c>
      <c r="R142" s="32"/>
      <c r="S142" s="114"/>
      <c r="T142" s="125"/>
      <c r="U142" s="370" t="str">
        <f t="shared" si="22"/>
        <v/>
      </c>
      <c r="V142" s="370" t="str">
        <f t="shared" si="23"/>
        <v/>
      </c>
      <c r="W142" s="374" t="str">
        <f t="shared" si="24"/>
        <v/>
      </c>
      <c r="X142" s="378" t="str">
        <f t="shared" si="25"/>
        <v/>
      </c>
      <c r="Y142" s="119"/>
      <c r="Z142" s="120"/>
      <c r="AA142" s="120"/>
      <c r="AB142" s="120"/>
      <c r="AE142" s="30" t="str">
        <f>IFERROR(INDEX('G-6 Hedgerow Data'!$BJ$3:$BJ$15,MATCH(D142,'G-6 Hedgerow Data'!$B$3:$B$15,0)),"")</f>
        <v/>
      </c>
      <c r="AH142" s="124" t="str">
        <f t="shared" si="18"/>
        <v/>
      </c>
      <c r="AI142" s="124" t="str">
        <f t="shared" si="19"/>
        <v/>
      </c>
      <c r="AK142" s="124">
        <v>133</v>
      </c>
      <c r="AM142" s="124" t="str">
        <f t="array" ref="AM142">IFERROR(INDEX($AK$10:$AK$258, MATCH(0, IF(TRUE=$AH$10:$AH$258, COUNTIF($AM$9:$AM141, $AK$10:$AK$258), ""), 0)),"")</f>
        <v/>
      </c>
      <c r="AN142" s="124" t="str">
        <f t="array" ref="AN142">IFERROR(INDEX($AK$10:$AK$258, MATCH(0, IF(TRUE=$AI$10:$AI$258, COUNTIF($AN$9:$AN141, $AK$10:$AK$258), ""), 0)),"")</f>
        <v/>
      </c>
      <c r="AY142" s="370" t="str">
        <f t="shared" si="26"/>
        <v/>
      </c>
    </row>
    <row r="143" spans="2:51" ht="15">
      <c r="B143" s="110">
        <v>134</v>
      </c>
      <c r="C143" s="165"/>
      <c r="D143" s="165"/>
      <c r="E143" s="121"/>
      <c r="F143" s="362" t="str">
        <f>IF(D143="","",VLOOKUP(D143,'G-6 Hedgerow Data'!$B$2:$AG$15,2,FALSE))</f>
        <v/>
      </c>
      <c r="G143" s="363" t="str">
        <f>IF(D143="","",VLOOKUP(D143,'G-6 Hedgerow Data'!$B$2:$AG$15,3,FALSE))</f>
        <v/>
      </c>
      <c r="H143" s="114"/>
      <c r="I143" s="363" t="str">
        <f>IFERROR(IF(AND(F143="V.Low",OR(H143="Good",H143="Moderate")),"Error ▲",VLOOKUP(H143,'G-1 All Habitats'!$Z$2:$AA$9,2,FALSE)),"")</f>
        <v/>
      </c>
      <c r="J143" s="122"/>
      <c r="K143" s="382" t="str">
        <f>IF(J143="","",IF(VLOOKUP(J143,'G-3 Multipliers'!$L$3:$N$6,2,FALSE)=0,"Spatial Data Missing ⚠",VLOOKUP(J143,'G-3 Multipliers'!$L$3:$N$6,2,FALSE)))</f>
        <v/>
      </c>
      <c r="L143" s="386" t="str">
        <f>IF(J143="","",IF(VLOOKUP(J143,'G-3 Multipliers'!$L$3:$N$6,3,FALSE)=0,"Spatial Data Missing ⚠",VLOOKUP(J143,'G-3 Multipliers'!$L$3:$N$6,3,FALSE)))</f>
        <v/>
      </c>
      <c r="M143" s="425" t="str">
        <f>IF(D143="","",VLOOKUP(D143,'G-6 Hedgerow Data'!$B$1:$AH$15,33,FALSE))</f>
        <v/>
      </c>
      <c r="N143" s="376" t="str">
        <f t="shared" si="20"/>
        <v/>
      </c>
      <c r="O143" s="516"/>
      <c r="P143" s="368" t="str">
        <f>IF(O143="","",IF(VLOOKUP(O143,'G-3 Multipliers'!$S$3:$T$10,2,FALSE)=0,"Spatial Data Missing ⚠",VLOOKUP(O143,'G-3 Multipliers'!$S$3:$T$10,2,FALSE)))</f>
        <v/>
      </c>
      <c r="Q143" s="376" t="str">
        <f t="shared" si="21"/>
        <v/>
      </c>
      <c r="R143" s="32"/>
      <c r="S143" s="114"/>
      <c r="T143" s="125"/>
      <c r="U143" s="370" t="str">
        <f t="shared" si="22"/>
        <v/>
      </c>
      <c r="V143" s="370" t="str">
        <f t="shared" si="23"/>
        <v/>
      </c>
      <c r="W143" s="374" t="str">
        <f t="shared" si="24"/>
        <v/>
      </c>
      <c r="X143" s="378" t="str">
        <f t="shared" si="25"/>
        <v/>
      </c>
      <c r="Y143" s="119"/>
      <c r="Z143" s="120"/>
      <c r="AA143" s="120"/>
      <c r="AB143" s="120"/>
      <c r="AE143" s="30" t="str">
        <f>IFERROR(INDEX('G-6 Hedgerow Data'!$BJ$3:$BJ$15,MATCH(D143,'G-6 Hedgerow Data'!$B$3:$B$15,0)),"")</f>
        <v/>
      </c>
      <c r="AH143" s="124" t="str">
        <f t="shared" si="18"/>
        <v/>
      </c>
      <c r="AI143" s="124" t="str">
        <f t="shared" si="19"/>
        <v/>
      </c>
      <c r="AK143" s="124">
        <v>134</v>
      </c>
      <c r="AM143" s="124" t="str">
        <f t="array" ref="AM143">IFERROR(INDEX($AK$10:$AK$258, MATCH(0, IF(TRUE=$AH$10:$AH$258, COUNTIF($AM$9:$AM142, $AK$10:$AK$258), ""), 0)),"")</f>
        <v/>
      </c>
      <c r="AN143" s="124" t="str">
        <f t="array" ref="AN143">IFERROR(INDEX($AK$10:$AK$258, MATCH(0, IF(TRUE=$AI$10:$AI$258, COUNTIF($AN$9:$AN142, $AK$10:$AK$258), ""), 0)),"")</f>
        <v/>
      </c>
      <c r="AY143" s="370" t="str">
        <f t="shared" si="26"/>
        <v/>
      </c>
    </row>
    <row r="144" spans="2:51" ht="15">
      <c r="B144" s="110">
        <v>135</v>
      </c>
      <c r="C144" s="165"/>
      <c r="D144" s="165"/>
      <c r="E144" s="121"/>
      <c r="F144" s="362" t="str">
        <f>IF(D144="","",VLOOKUP(D144,'G-6 Hedgerow Data'!$B$2:$AG$15,2,FALSE))</f>
        <v/>
      </c>
      <c r="G144" s="363" t="str">
        <f>IF(D144="","",VLOOKUP(D144,'G-6 Hedgerow Data'!$B$2:$AG$15,3,FALSE))</f>
        <v/>
      </c>
      <c r="H144" s="114"/>
      <c r="I144" s="363" t="str">
        <f>IFERROR(IF(AND(F144="V.Low",OR(H144="Good",H144="Moderate")),"Error ▲",VLOOKUP(H144,'G-1 All Habitats'!$Z$2:$AA$9,2,FALSE)),"")</f>
        <v/>
      </c>
      <c r="J144" s="122"/>
      <c r="K144" s="382" t="str">
        <f>IF(J144="","",IF(VLOOKUP(J144,'G-3 Multipliers'!$L$3:$N$6,2,FALSE)=0,"Spatial Data Missing ⚠",VLOOKUP(J144,'G-3 Multipliers'!$L$3:$N$6,2,FALSE)))</f>
        <v/>
      </c>
      <c r="L144" s="386" t="str">
        <f>IF(J144="","",IF(VLOOKUP(J144,'G-3 Multipliers'!$L$3:$N$6,3,FALSE)=0,"Spatial Data Missing ⚠",VLOOKUP(J144,'G-3 Multipliers'!$L$3:$N$6,3,FALSE)))</f>
        <v/>
      </c>
      <c r="M144" s="425" t="str">
        <f>IF(D144="","",VLOOKUP(D144,'G-6 Hedgerow Data'!$B$1:$AH$15,33,FALSE))</f>
        <v/>
      </c>
      <c r="N144" s="376" t="str">
        <f t="shared" si="20"/>
        <v/>
      </c>
      <c r="O144" s="516"/>
      <c r="P144" s="368" t="str">
        <f>IF(O144="","",IF(VLOOKUP(O144,'G-3 Multipliers'!$S$3:$T$10,2,FALSE)=0,"Spatial Data Missing ⚠",VLOOKUP(O144,'G-3 Multipliers'!$S$3:$T$10,2,FALSE)))</f>
        <v/>
      </c>
      <c r="Q144" s="376" t="str">
        <f t="shared" si="21"/>
        <v/>
      </c>
      <c r="R144" s="32"/>
      <c r="S144" s="114"/>
      <c r="T144" s="125"/>
      <c r="U144" s="370" t="str">
        <f t="shared" si="22"/>
        <v/>
      </c>
      <c r="V144" s="370" t="str">
        <f t="shared" si="23"/>
        <v/>
      </c>
      <c r="W144" s="374" t="str">
        <f t="shared" si="24"/>
        <v/>
      </c>
      <c r="X144" s="378" t="str">
        <f t="shared" si="25"/>
        <v/>
      </c>
      <c r="Y144" s="119"/>
      <c r="Z144" s="120"/>
      <c r="AA144" s="120"/>
      <c r="AB144" s="120"/>
      <c r="AE144" s="30" t="str">
        <f>IFERROR(INDEX('G-6 Hedgerow Data'!$BJ$3:$BJ$15,MATCH(D144,'G-6 Hedgerow Data'!$B$3:$B$15,0)),"")</f>
        <v/>
      </c>
      <c r="AH144" s="124" t="str">
        <f t="shared" si="18"/>
        <v/>
      </c>
      <c r="AI144" s="124" t="str">
        <f t="shared" si="19"/>
        <v/>
      </c>
      <c r="AK144" s="124">
        <v>135</v>
      </c>
      <c r="AM144" s="124" t="str">
        <f t="array" ref="AM144">IFERROR(INDEX($AK$10:$AK$258, MATCH(0, IF(TRUE=$AH$10:$AH$258, COUNTIF($AM$9:$AM143, $AK$10:$AK$258), ""), 0)),"")</f>
        <v/>
      </c>
      <c r="AN144" s="124" t="str">
        <f t="array" ref="AN144">IFERROR(INDEX($AK$10:$AK$258, MATCH(0, IF(TRUE=$AI$10:$AI$258, COUNTIF($AN$9:$AN143, $AK$10:$AK$258), ""), 0)),"")</f>
        <v/>
      </c>
      <c r="AY144" s="370" t="str">
        <f t="shared" si="26"/>
        <v/>
      </c>
    </row>
    <row r="145" spans="2:51" ht="15">
      <c r="B145" s="110">
        <v>136</v>
      </c>
      <c r="C145" s="165"/>
      <c r="D145" s="165"/>
      <c r="E145" s="121"/>
      <c r="F145" s="362" t="str">
        <f>IF(D145="","",VLOOKUP(D145,'G-6 Hedgerow Data'!$B$2:$AG$15,2,FALSE))</f>
        <v/>
      </c>
      <c r="G145" s="363" t="str">
        <f>IF(D145="","",VLOOKUP(D145,'G-6 Hedgerow Data'!$B$2:$AG$15,3,FALSE))</f>
        <v/>
      </c>
      <c r="H145" s="114"/>
      <c r="I145" s="363" t="str">
        <f>IFERROR(IF(AND(F145="V.Low",OR(H145="Good",H145="Moderate")),"Error ▲",VLOOKUP(H145,'G-1 All Habitats'!$Z$2:$AA$9,2,FALSE)),"")</f>
        <v/>
      </c>
      <c r="J145" s="122"/>
      <c r="K145" s="382" t="str">
        <f>IF(J145="","",IF(VLOOKUP(J145,'G-3 Multipliers'!$L$3:$N$6,2,FALSE)=0,"Spatial Data Missing ⚠",VLOOKUP(J145,'G-3 Multipliers'!$L$3:$N$6,2,FALSE)))</f>
        <v/>
      </c>
      <c r="L145" s="386" t="str">
        <f>IF(J145="","",IF(VLOOKUP(J145,'G-3 Multipliers'!$L$3:$N$6,3,FALSE)=0,"Spatial Data Missing ⚠",VLOOKUP(J145,'G-3 Multipliers'!$L$3:$N$6,3,FALSE)))</f>
        <v/>
      </c>
      <c r="M145" s="425" t="str">
        <f>IF(D145="","",VLOOKUP(D145,'G-6 Hedgerow Data'!$B$1:$AH$15,33,FALSE))</f>
        <v/>
      </c>
      <c r="N145" s="376" t="str">
        <f t="shared" si="20"/>
        <v/>
      </c>
      <c r="O145" s="516"/>
      <c r="P145" s="368" t="str">
        <f>IF(O145="","",IF(VLOOKUP(O145,'G-3 Multipliers'!$S$3:$T$10,2,FALSE)=0,"Spatial Data Missing ⚠",VLOOKUP(O145,'G-3 Multipliers'!$S$3:$T$10,2,FALSE)))</f>
        <v/>
      </c>
      <c r="Q145" s="376" t="str">
        <f t="shared" si="21"/>
        <v/>
      </c>
      <c r="R145" s="32"/>
      <c r="S145" s="114"/>
      <c r="T145" s="125"/>
      <c r="U145" s="370" t="str">
        <f t="shared" si="22"/>
        <v/>
      </c>
      <c r="V145" s="370" t="str">
        <f t="shared" si="23"/>
        <v/>
      </c>
      <c r="W145" s="374" t="str">
        <f t="shared" si="24"/>
        <v/>
      </c>
      <c r="X145" s="378" t="str">
        <f t="shared" si="25"/>
        <v/>
      </c>
      <c r="Y145" s="119"/>
      <c r="Z145" s="120"/>
      <c r="AA145" s="120"/>
      <c r="AB145" s="120"/>
      <c r="AE145" s="30" t="str">
        <f>IFERROR(INDEX('G-6 Hedgerow Data'!$BJ$3:$BJ$15,MATCH(D145,'G-6 Hedgerow Data'!$B$3:$B$15,0)),"")</f>
        <v/>
      </c>
      <c r="AH145" s="124" t="str">
        <f t="shared" si="18"/>
        <v/>
      </c>
      <c r="AI145" s="124" t="str">
        <f t="shared" si="19"/>
        <v/>
      </c>
      <c r="AK145" s="124">
        <v>136</v>
      </c>
      <c r="AM145" s="124" t="str">
        <f t="array" ref="AM145">IFERROR(INDEX($AK$10:$AK$258, MATCH(0, IF(TRUE=$AH$10:$AH$258, COUNTIF($AM$9:$AM144, $AK$10:$AK$258), ""), 0)),"")</f>
        <v/>
      </c>
      <c r="AN145" s="124" t="str">
        <f t="array" ref="AN145">IFERROR(INDEX($AK$10:$AK$258, MATCH(0, IF(TRUE=$AI$10:$AI$258, COUNTIF($AN$9:$AN144, $AK$10:$AK$258), ""), 0)),"")</f>
        <v/>
      </c>
      <c r="AY145" s="370" t="str">
        <f t="shared" si="26"/>
        <v/>
      </c>
    </row>
    <row r="146" spans="2:51" ht="15">
      <c r="B146" s="110">
        <v>137</v>
      </c>
      <c r="C146" s="165"/>
      <c r="D146" s="165"/>
      <c r="E146" s="121"/>
      <c r="F146" s="362" t="str">
        <f>IF(D146="","",VLOOKUP(D146,'G-6 Hedgerow Data'!$B$2:$AG$15,2,FALSE))</f>
        <v/>
      </c>
      <c r="G146" s="363" t="str">
        <f>IF(D146="","",VLOOKUP(D146,'G-6 Hedgerow Data'!$B$2:$AG$15,3,FALSE))</f>
        <v/>
      </c>
      <c r="H146" s="114"/>
      <c r="I146" s="363" t="str">
        <f>IFERROR(IF(AND(F146="V.Low",OR(H146="Good",H146="Moderate")),"Error ▲",VLOOKUP(H146,'G-1 All Habitats'!$Z$2:$AA$9,2,FALSE)),"")</f>
        <v/>
      </c>
      <c r="J146" s="122"/>
      <c r="K146" s="382" t="str">
        <f>IF(J146="","",IF(VLOOKUP(J146,'G-3 Multipliers'!$L$3:$N$6,2,FALSE)=0,"Spatial Data Missing ⚠",VLOOKUP(J146,'G-3 Multipliers'!$L$3:$N$6,2,FALSE)))</f>
        <v/>
      </c>
      <c r="L146" s="386" t="str">
        <f>IF(J146="","",IF(VLOOKUP(J146,'G-3 Multipliers'!$L$3:$N$6,3,FALSE)=0,"Spatial Data Missing ⚠",VLOOKUP(J146,'G-3 Multipliers'!$L$3:$N$6,3,FALSE)))</f>
        <v/>
      </c>
      <c r="M146" s="425" t="str">
        <f>IF(D146="","",VLOOKUP(D146,'G-6 Hedgerow Data'!$B$1:$AH$15,33,FALSE))</f>
        <v/>
      </c>
      <c r="N146" s="376" t="str">
        <f t="shared" si="20"/>
        <v/>
      </c>
      <c r="O146" s="516"/>
      <c r="P146" s="368" t="str">
        <f>IF(O146="","",IF(VLOOKUP(O146,'G-3 Multipliers'!$S$3:$T$10,2,FALSE)=0,"Spatial Data Missing ⚠",VLOOKUP(O146,'G-3 Multipliers'!$S$3:$T$10,2,FALSE)))</f>
        <v/>
      </c>
      <c r="Q146" s="376" t="str">
        <f t="shared" si="21"/>
        <v/>
      </c>
      <c r="R146" s="32"/>
      <c r="S146" s="114"/>
      <c r="T146" s="125"/>
      <c r="U146" s="370" t="str">
        <f t="shared" si="22"/>
        <v/>
      </c>
      <c r="V146" s="370" t="str">
        <f t="shared" si="23"/>
        <v/>
      </c>
      <c r="W146" s="374" t="str">
        <f t="shared" si="24"/>
        <v/>
      </c>
      <c r="X146" s="378" t="str">
        <f t="shared" si="25"/>
        <v/>
      </c>
      <c r="Y146" s="119"/>
      <c r="Z146" s="120"/>
      <c r="AA146" s="120"/>
      <c r="AB146" s="120"/>
      <c r="AE146" s="30" t="str">
        <f>IFERROR(INDEX('G-6 Hedgerow Data'!$BJ$3:$BJ$15,MATCH(D146,'G-6 Hedgerow Data'!$B$3:$B$15,0)),"")</f>
        <v/>
      </c>
      <c r="AH146" s="124" t="str">
        <f t="shared" si="18"/>
        <v/>
      </c>
      <c r="AI146" s="124" t="str">
        <f t="shared" si="19"/>
        <v/>
      </c>
      <c r="AK146" s="124">
        <v>137</v>
      </c>
      <c r="AM146" s="124" t="str">
        <f t="array" ref="AM146">IFERROR(INDEX($AK$10:$AK$258, MATCH(0, IF(TRUE=$AH$10:$AH$258, COUNTIF($AM$9:$AM145, $AK$10:$AK$258), ""), 0)),"")</f>
        <v/>
      </c>
      <c r="AN146" s="124" t="str">
        <f t="array" ref="AN146">IFERROR(INDEX($AK$10:$AK$258, MATCH(0, IF(TRUE=$AI$10:$AI$258, COUNTIF($AN$9:$AN145, $AK$10:$AK$258), ""), 0)),"")</f>
        <v/>
      </c>
      <c r="AY146" s="370" t="str">
        <f t="shared" si="26"/>
        <v/>
      </c>
    </row>
    <row r="147" spans="2:51" ht="15">
      <c r="B147" s="110">
        <v>138</v>
      </c>
      <c r="C147" s="165"/>
      <c r="D147" s="165"/>
      <c r="E147" s="121"/>
      <c r="F147" s="362" t="str">
        <f>IF(D147="","",VLOOKUP(D147,'G-6 Hedgerow Data'!$B$2:$AG$15,2,FALSE))</f>
        <v/>
      </c>
      <c r="G147" s="363" t="str">
        <f>IF(D147="","",VLOOKUP(D147,'G-6 Hedgerow Data'!$B$2:$AG$15,3,FALSE))</f>
        <v/>
      </c>
      <c r="H147" s="114"/>
      <c r="I147" s="363" t="str">
        <f>IFERROR(IF(AND(F147="V.Low",OR(H147="Good",H147="Moderate")),"Error ▲",VLOOKUP(H147,'G-1 All Habitats'!$Z$2:$AA$9,2,FALSE)),"")</f>
        <v/>
      </c>
      <c r="J147" s="122"/>
      <c r="K147" s="382" t="str">
        <f>IF(J147="","",IF(VLOOKUP(J147,'G-3 Multipliers'!$L$3:$N$6,2,FALSE)=0,"Spatial Data Missing ⚠",VLOOKUP(J147,'G-3 Multipliers'!$L$3:$N$6,2,FALSE)))</f>
        <v/>
      </c>
      <c r="L147" s="386" t="str">
        <f>IF(J147="","",IF(VLOOKUP(J147,'G-3 Multipliers'!$L$3:$N$6,3,FALSE)=0,"Spatial Data Missing ⚠",VLOOKUP(J147,'G-3 Multipliers'!$L$3:$N$6,3,FALSE)))</f>
        <v/>
      </c>
      <c r="M147" s="425" t="str">
        <f>IF(D147="","",VLOOKUP(D147,'G-6 Hedgerow Data'!$B$1:$AH$15,33,FALSE))</f>
        <v/>
      </c>
      <c r="N147" s="376" t="str">
        <f t="shared" si="20"/>
        <v/>
      </c>
      <c r="O147" s="516"/>
      <c r="P147" s="368" t="str">
        <f>IF(O147="","",IF(VLOOKUP(O147,'G-3 Multipliers'!$S$3:$T$10,2,FALSE)=0,"Spatial Data Missing ⚠",VLOOKUP(O147,'G-3 Multipliers'!$S$3:$T$10,2,FALSE)))</f>
        <v/>
      </c>
      <c r="Q147" s="376" t="str">
        <f t="shared" si="21"/>
        <v/>
      </c>
      <c r="R147" s="32"/>
      <c r="S147" s="114"/>
      <c r="T147" s="125"/>
      <c r="U147" s="370" t="str">
        <f t="shared" si="22"/>
        <v/>
      </c>
      <c r="V147" s="370" t="str">
        <f t="shared" si="23"/>
        <v/>
      </c>
      <c r="W147" s="374" t="str">
        <f t="shared" si="24"/>
        <v/>
      </c>
      <c r="X147" s="378" t="str">
        <f t="shared" si="25"/>
        <v/>
      </c>
      <c r="Y147" s="119"/>
      <c r="Z147" s="120"/>
      <c r="AA147" s="120"/>
      <c r="AB147" s="120"/>
      <c r="AE147" s="30" t="str">
        <f>IFERROR(INDEX('G-6 Hedgerow Data'!$BJ$3:$BJ$15,MATCH(D147,'G-6 Hedgerow Data'!$B$3:$B$15,0)),"")</f>
        <v/>
      </c>
      <c r="AH147" s="124" t="str">
        <f t="shared" si="18"/>
        <v/>
      </c>
      <c r="AI147" s="124" t="str">
        <f t="shared" si="19"/>
        <v/>
      </c>
      <c r="AK147" s="124">
        <v>138</v>
      </c>
      <c r="AM147" s="124" t="str">
        <f t="array" ref="AM147">IFERROR(INDEX($AK$10:$AK$258, MATCH(0, IF(TRUE=$AH$10:$AH$258, COUNTIF($AM$9:$AM146, $AK$10:$AK$258), ""), 0)),"")</f>
        <v/>
      </c>
      <c r="AN147" s="124" t="str">
        <f t="array" ref="AN147">IFERROR(INDEX($AK$10:$AK$258, MATCH(0, IF(TRUE=$AI$10:$AI$258, COUNTIF($AN$9:$AN146, $AK$10:$AK$258), ""), 0)),"")</f>
        <v/>
      </c>
      <c r="AY147" s="370" t="str">
        <f t="shared" si="26"/>
        <v/>
      </c>
    </row>
    <row r="148" spans="2:51" ht="15">
      <c r="B148" s="110">
        <v>139</v>
      </c>
      <c r="C148" s="165"/>
      <c r="D148" s="165"/>
      <c r="E148" s="121"/>
      <c r="F148" s="362" t="str">
        <f>IF(D148="","",VLOOKUP(D148,'G-6 Hedgerow Data'!$B$2:$AG$15,2,FALSE))</f>
        <v/>
      </c>
      <c r="G148" s="363" t="str">
        <f>IF(D148="","",VLOOKUP(D148,'G-6 Hedgerow Data'!$B$2:$AG$15,3,FALSE))</f>
        <v/>
      </c>
      <c r="H148" s="114"/>
      <c r="I148" s="363" t="str">
        <f>IFERROR(IF(AND(F148="V.Low",OR(H148="Good",H148="Moderate")),"Error ▲",VLOOKUP(H148,'G-1 All Habitats'!$Z$2:$AA$9,2,FALSE)),"")</f>
        <v/>
      </c>
      <c r="J148" s="122"/>
      <c r="K148" s="382" t="str">
        <f>IF(J148="","",IF(VLOOKUP(J148,'G-3 Multipliers'!$L$3:$N$6,2,FALSE)=0,"Spatial Data Missing ⚠",VLOOKUP(J148,'G-3 Multipliers'!$L$3:$N$6,2,FALSE)))</f>
        <v/>
      </c>
      <c r="L148" s="386" t="str">
        <f>IF(J148="","",IF(VLOOKUP(J148,'G-3 Multipliers'!$L$3:$N$6,3,FALSE)=0,"Spatial Data Missing ⚠",VLOOKUP(J148,'G-3 Multipliers'!$L$3:$N$6,3,FALSE)))</f>
        <v/>
      </c>
      <c r="M148" s="425" t="str">
        <f>IF(D148="","",VLOOKUP(D148,'G-6 Hedgerow Data'!$B$1:$AH$15,33,FALSE))</f>
        <v/>
      </c>
      <c r="N148" s="376" t="str">
        <f t="shared" si="20"/>
        <v/>
      </c>
      <c r="O148" s="516"/>
      <c r="P148" s="368" t="str">
        <f>IF(O148="","",IF(VLOOKUP(O148,'G-3 Multipliers'!$S$3:$T$10,2,FALSE)=0,"Spatial Data Missing ⚠",VLOOKUP(O148,'G-3 Multipliers'!$S$3:$T$10,2,FALSE)))</f>
        <v/>
      </c>
      <c r="Q148" s="376" t="str">
        <f t="shared" si="21"/>
        <v/>
      </c>
      <c r="R148" s="32"/>
      <c r="S148" s="114"/>
      <c r="T148" s="125"/>
      <c r="U148" s="370" t="str">
        <f t="shared" si="22"/>
        <v/>
      </c>
      <c r="V148" s="370" t="str">
        <f t="shared" si="23"/>
        <v/>
      </c>
      <c r="W148" s="374" t="str">
        <f t="shared" si="24"/>
        <v/>
      </c>
      <c r="X148" s="378" t="str">
        <f t="shared" si="25"/>
        <v/>
      </c>
      <c r="Y148" s="119"/>
      <c r="Z148" s="120"/>
      <c r="AA148" s="120"/>
      <c r="AB148" s="120"/>
      <c r="AE148" s="30" t="str">
        <f>IFERROR(INDEX('G-6 Hedgerow Data'!$BJ$3:$BJ$15,MATCH(D148,'G-6 Hedgerow Data'!$B$3:$B$15,0)),"")</f>
        <v/>
      </c>
      <c r="AH148" s="124" t="str">
        <f t="shared" si="18"/>
        <v/>
      </c>
      <c r="AI148" s="124" t="str">
        <f t="shared" si="19"/>
        <v/>
      </c>
      <c r="AK148" s="124">
        <v>139</v>
      </c>
      <c r="AM148" s="124" t="str">
        <f t="array" ref="AM148">IFERROR(INDEX($AK$10:$AK$258, MATCH(0, IF(TRUE=$AH$10:$AH$258, COUNTIF($AM$9:$AM147, $AK$10:$AK$258), ""), 0)),"")</f>
        <v/>
      </c>
      <c r="AN148" s="124" t="str">
        <f t="array" ref="AN148">IFERROR(INDEX($AK$10:$AK$258, MATCH(0, IF(TRUE=$AI$10:$AI$258, COUNTIF($AN$9:$AN147, $AK$10:$AK$258), ""), 0)),"")</f>
        <v/>
      </c>
      <c r="AY148" s="370" t="str">
        <f t="shared" si="26"/>
        <v/>
      </c>
    </row>
    <row r="149" spans="2:51" ht="15">
      <c r="B149" s="110">
        <v>140</v>
      </c>
      <c r="C149" s="165"/>
      <c r="D149" s="165"/>
      <c r="E149" s="121"/>
      <c r="F149" s="362" t="str">
        <f>IF(D149="","",VLOOKUP(D149,'G-6 Hedgerow Data'!$B$2:$AG$15,2,FALSE))</f>
        <v/>
      </c>
      <c r="G149" s="363" t="str">
        <f>IF(D149="","",VLOOKUP(D149,'G-6 Hedgerow Data'!$B$2:$AG$15,3,FALSE))</f>
        <v/>
      </c>
      <c r="H149" s="114"/>
      <c r="I149" s="363" t="str">
        <f>IFERROR(IF(AND(F149="V.Low",OR(H149="Good",H149="Moderate")),"Error ▲",VLOOKUP(H149,'G-1 All Habitats'!$Z$2:$AA$9,2,FALSE)),"")</f>
        <v/>
      </c>
      <c r="J149" s="122"/>
      <c r="K149" s="382" t="str">
        <f>IF(J149="","",IF(VLOOKUP(J149,'G-3 Multipliers'!$L$3:$N$6,2,FALSE)=0,"Spatial Data Missing ⚠",VLOOKUP(J149,'G-3 Multipliers'!$L$3:$N$6,2,FALSE)))</f>
        <v/>
      </c>
      <c r="L149" s="386" t="str">
        <f>IF(J149="","",IF(VLOOKUP(J149,'G-3 Multipliers'!$L$3:$N$6,3,FALSE)=0,"Spatial Data Missing ⚠",VLOOKUP(J149,'G-3 Multipliers'!$L$3:$N$6,3,FALSE)))</f>
        <v/>
      </c>
      <c r="M149" s="425" t="str">
        <f>IF(D149="","",VLOOKUP(D149,'G-6 Hedgerow Data'!$B$1:$AH$15,33,FALSE))</f>
        <v/>
      </c>
      <c r="N149" s="376" t="str">
        <f t="shared" si="20"/>
        <v/>
      </c>
      <c r="O149" s="516"/>
      <c r="P149" s="368" t="str">
        <f>IF(O149="","",IF(VLOOKUP(O149,'G-3 Multipliers'!$S$3:$T$10,2,FALSE)=0,"Spatial Data Missing ⚠",VLOOKUP(O149,'G-3 Multipliers'!$S$3:$T$10,2,FALSE)))</f>
        <v/>
      </c>
      <c r="Q149" s="376" t="str">
        <f t="shared" si="21"/>
        <v/>
      </c>
      <c r="R149" s="32"/>
      <c r="S149" s="114"/>
      <c r="T149" s="125"/>
      <c r="U149" s="370" t="str">
        <f t="shared" si="22"/>
        <v/>
      </c>
      <c r="V149" s="370" t="str">
        <f t="shared" si="23"/>
        <v/>
      </c>
      <c r="W149" s="374" t="str">
        <f t="shared" si="24"/>
        <v/>
      </c>
      <c r="X149" s="378" t="str">
        <f t="shared" si="25"/>
        <v/>
      </c>
      <c r="Y149" s="119"/>
      <c r="Z149" s="120"/>
      <c r="AA149" s="120"/>
      <c r="AB149" s="120"/>
      <c r="AE149" s="30" t="str">
        <f>IFERROR(INDEX('G-6 Hedgerow Data'!$BJ$3:$BJ$15,MATCH(D149,'G-6 Hedgerow Data'!$B$3:$B$15,0)),"")</f>
        <v/>
      </c>
      <c r="AH149" s="124" t="str">
        <f t="shared" si="18"/>
        <v/>
      </c>
      <c r="AI149" s="124" t="str">
        <f t="shared" si="19"/>
        <v/>
      </c>
      <c r="AK149" s="124">
        <v>140</v>
      </c>
      <c r="AM149" s="124" t="str">
        <f t="array" ref="AM149">IFERROR(INDEX($AK$10:$AK$258, MATCH(0, IF(TRUE=$AH$10:$AH$258, COUNTIF($AM$9:$AM148, $AK$10:$AK$258), ""), 0)),"")</f>
        <v/>
      </c>
      <c r="AN149" s="124" t="str">
        <f t="array" ref="AN149">IFERROR(INDEX($AK$10:$AK$258, MATCH(0, IF(TRUE=$AI$10:$AI$258, COUNTIF($AN$9:$AN148, $AK$10:$AK$258), ""), 0)),"")</f>
        <v/>
      </c>
      <c r="AY149" s="370" t="str">
        <f t="shared" si="26"/>
        <v/>
      </c>
    </row>
    <row r="150" spans="2:51" ht="15">
      <c r="B150" s="110">
        <v>141</v>
      </c>
      <c r="C150" s="165"/>
      <c r="D150" s="165"/>
      <c r="E150" s="121"/>
      <c r="F150" s="362" t="str">
        <f>IF(D150="","",VLOOKUP(D150,'G-6 Hedgerow Data'!$B$2:$AG$15,2,FALSE))</f>
        <v/>
      </c>
      <c r="G150" s="363" t="str">
        <f>IF(D150="","",VLOOKUP(D150,'G-6 Hedgerow Data'!$B$2:$AG$15,3,FALSE))</f>
        <v/>
      </c>
      <c r="H150" s="114"/>
      <c r="I150" s="363" t="str">
        <f>IFERROR(IF(AND(F150="V.Low",OR(H150="Good",H150="Moderate")),"Error ▲",VLOOKUP(H150,'G-1 All Habitats'!$Z$2:$AA$9,2,FALSE)),"")</f>
        <v/>
      </c>
      <c r="J150" s="122"/>
      <c r="K150" s="382" t="str">
        <f>IF(J150="","",IF(VLOOKUP(J150,'G-3 Multipliers'!$L$3:$N$6,2,FALSE)=0,"Spatial Data Missing ⚠",VLOOKUP(J150,'G-3 Multipliers'!$L$3:$N$6,2,FALSE)))</f>
        <v/>
      </c>
      <c r="L150" s="386" t="str">
        <f>IF(J150="","",IF(VLOOKUP(J150,'G-3 Multipliers'!$L$3:$N$6,3,FALSE)=0,"Spatial Data Missing ⚠",VLOOKUP(J150,'G-3 Multipliers'!$L$3:$N$6,3,FALSE)))</f>
        <v/>
      </c>
      <c r="M150" s="425" t="str">
        <f>IF(D150="","",VLOOKUP(D150,'G-6 Hedgerow Data'!$B$1:$AH$15,33,FALSE))</f>
        <v/>
      </c>
      <c r="N150" s="376" t="str">
        <f t="shared" si="20"/>
        <v/>
      </c>
      <c r="O150" s="516"/>
      <c r="P150" s="368" t="str">
        <f>IF(O150="","",IF(VLOOKUP(O150,'G-3 Multipliers'!$S$3:$T$10,2,FALSE)=0,"Spatial Data Missing ⚠",VLOOKUP(O150,'G-3 Multipliers'!$S$3:$T$10,2,FALSE)))</f>
        <v/>
      </c>
      <c r="Q150" s="376" t="str">
        <f t="shared" si="21"/>
        <v/>
      </c>
      <c r="R150" s="32"/>
      <c r="S150" s="114"/>
      <c r="T150" s="125"/>
      <c r="U150" s="370" t="str">
        <f t="shared" si="22"/>
        <v/>
      </c>
      <c r="V150" s="370" t="str">
        <f t="shared" si="23"/>
        <v/>
      </c>
      <c r="W150" s="374" t="str">
        <f t="shared" si="24"/>
        <v/>
      </c>
      <c r="X150" s="378" t="str">
        <f t="shared" si="25"/>
        <v/>
      </c>
      <c r="Y150" s="119"/>
      <c r="Z150" s="120"/>
      <c r="AA150" s="120"/>
      <c r="AB150" s="120"/>
      <c r="AE150" s="30" t="str">
        <f>IFERROR(INDEX('G-6 Hedgerow Data'!$BJ$3:$BJ$15,MATCH(D150,'G-6 Hedgerow Data'!$B$3:$B$15,0)),"")</f>
        <v/>
      </c>
      <c r="AH150" s="124" t="str">
        <f t="shared" si="18"/>
        <v/>
      </c>
      <c r="AI150" s="124" t="str">
        <f t="shared" si="19"/>
        <v/>
      </c>
      <c r="AK150" s="124">
        <v>141</v>
      </c>
      <c r="AM150" s="124" t="str">
        <f t="array" ref="AM150">IFERROR(INDEX($AK$10:$AK$258, MATCH(0, IF(TRUE=$AH$10:$AH$258, COUNTIF($AM$9:$AM149, $AK$10:$AK$258), ""), 0)),"")</f>
        <v/>
      </c>
      <c r="AN150" s="124" t="str">
        <f t="array" ref="AN150">IFERROR(INDEX($AK$10:$AK$258, MATCH(0, IF(TRUE=$AI$10:$AI$258, COUNTIF($AN$9:$AN149, $AK$10:$AK$258), ""), 0)),"")</f>
        <v/>
      </c>
      <c r="AY150" s="370" t="str">
        <f t="shared" si="26"/>
        <v/>
      </c>
    </row>
    <row r="151" spans="2:51" ht="15">
      <c r="B151" s="110">
        <v>142</v>
      </c>
      <c r="C151" s="165"/>
      <c r="D151" s="165"/>
      <c r="E151" s="121"/>
      <c r="F151" s="362" t="str">
        <f>IF(D151="","",VLOOKUP(D151,'G-6 Hedgerow Data'!$B$2:$AG$15,2,FALSE))</f>
        <v/>
      </c>
      <c r="G151" s="363" t="str">
        <f>IF(D151="","",VLOOKUP(D151,'G-6 Hedgerow Data'!$B$2:$AG$15,3,FALSE))</f>
        <v/>
      </c>
      <c r="H151" s="114"/>
      <c r="I151" s="363" t="str">
        <f>IFERROR(IF(AND(F151="V.Low",OR(H151="Good",H151="Moderate")),"Error ▲",VLOOKUP(H151,'G-1 All Habitats'!$Z$2:$AA$9,2,FALSE)),"")</f>
        <v/>
      </c>
      <c r="J151" s="122"/>
      <c r="K151" s="382" t="str">
        <f>IF(J151="","",IF(VLOOKUP(J151,'G-3 Multipliers'!$L$3:$N$6,2,FALSE)=0,"Spatial Data Missing ⚠",VLOOKUP(J151,'G-3 Multipliers'!$L$3:$N$6,2,FALSE)))</f>
        <v/>
      </c>
      <c r="L151" s="386" t="str">
        <f>IF(J151="","",IF(VLOOKUP(J151,'G-3 Multipliers'!$L$3:$N$6,3,FALSE)=0,"Spatial Data Missing ⚠",VLOOKUP(J151,'G-3 Multipliers'!$L$3:$N$6,3,FALSE)))</f>
        <v/>
      </c>
      <c r="M151" s="425" t="str">
        <f>IF(D151="","",VLOOKUP(D151,'G-6 Hedgerow Data'!$B$1:$AH$15,33,FALSE))</f>
        <v/>
      </c>
      <c r="N151" s="376" t="str">
        <f t="shared" si="20"/>
        <v/>
      </c>
      <c r="O151" s="516"/>
      <c r="P151" s="368" t="str">
        <f>IF(O151="","",IF(VLOOKUP(O151,'G-3 Multipliers'!$S$3:$T$10,2,FALSE)=0,"Spatial Data Missing ⚠",VLOOKUP(O151,'G-3 Multipliers'!$S$3:$T$10,2,FALSE)))</f>
        <v/>
      </c>
      <c r="Q151" s="376" t="str">
        <f t="shared" si="21"/>
        <v/>
      </c>
      <c r="R151" s="32"/>
      <c r="S151" s="114"/>
      <c r="T151" s="125"/>
      <c r="U151" s="370" t="str">
        <f t="shared" si="22"/>
        <v/>
      </c>
      <c r="V151" s="370" t="str">
        <f t="shared" si="23"/>
        <v/>
      </c>
      <c r="W151" s="374" t="str">
        <f t="shared" si="24"/>
        <v/>
      </c>
      <c r="X151" s="378" t="str">
        <f t="shared" si="25"/>
        <v/>
      </c>
      <c r="Y151" s="119"/>
      <c r="Z151" s="120"/>
      <c r="AA151" s="120"/>
      <c r="AB151" s="120"/>
      <c r="AE151" s="30" t="str">
        <f>IFERROR(INDEX('G-6 Hedgerow Data'!$BJ$3:$BJ$15,MATCH(D151,'G-6 Hedgerow Data'!$B$3:$B$15,0)),"")</f>
        <v/>
      </c>
      <c r="AH151" s="124" t="str">
        <f t="shared" si="18"/>
        <v/>
      </c>
      <c r="AI151" s="124" t="str">
        <f t="shared" si="19"/>
        <v/>
      </c>
      <c r="AK151" s="124">
        <v>142</v>
      </c>
      <c r="AM151" s="124" t="str">
        <f t="array" ref="AM151">IFERROR(INDEX($AK$10:$AK$258, MATCH(0, IF(TRUE=$AH$10:$AH$258, COUNTIF($AM$9:$AM150, $AK$10:$AK$258), ""), 0)),"")</f>
        <v/>
      </c>
      <c r="AN151" s="124" t="str">
        <f t="array" ref="AN151">IFERROR(INDEX($AK$10:$AK$258, MATCH(0, IF(TRUE=$AI$10:$AI$258, COUNTIF($AN$9:$AN150, $AK$10:$AK$258), ""), 0)),"")</f>
        <v/>
      </c>
      <c r="AY151" s="370" t="str">
        <f t="shared" si="26"/>
        <v/>
      </c>
    </row>
    <row r="152" spans="2:51" ht="15">
      <c r="B152" s="110">
        <v>143</v>
      </c>
      <c r="C152" s="165"/>
      <c r="D152" s="165"/>
      <c r="E152" s="121"/>
      <c r="F152" s="362" t="str">
        <f>IF(D152="","",VLOOKUP(D152,'G-6 Hedgerow Data'!$B$2:$AG$15,2,FALSE))</f>
        <v/>
      </c>
      <c r="G152" s="363" t="str">
        <f>IF(D152="","",VLOOKUP(D152,'G-6 Hedgerow Data'!$B$2:$AG$15,3,FALSE))</f>
        <v/>
      </c>
      <c r="H152" s="114"/>
      <c r="I152" s="363" t="str">
        <f>IFERROR(IF(AND(F152="V.Low",OR(H152="Good",H152="Moderate")),"Error ▲",VLOOKUP(H152,'G-1 All Habitats'!$Z$2:$AA$9,2,FALSE)),"")</f>
        <v/>
      </c>
      <c r="J152" s="122"/>
      <c r="K152" s="382" t="str">
        <f>IF(J152="","",IF(VLOOKUP(J152,'G-3 Multipliers'!$L$3:$N$6,2,FALSE)=0,"Spatial Data Missing ⚠",VLOOKUP(J152,'G-3 Multipliers'!$L$3:$N$6,2,FALSE)))</f>
        <v/>
      </c>
      <c r="L152" s="386" t="str">
        <f>IF(J152="","",IF(VLOOKUP(J152,'G-3 Multipliers'!$L$3:$N$6,3,FALSE)=0,"Spatial Data Missing ⚠",VLOOKUP(J152,'G-3 Multipliers'!$L$3:$N$6,3,FALSE)))</f>
        <v/>
      </c>
      <c r="M152" s="425" t="str">
        <f>IF(D152="","",VLOOKUP(D152,'G-6 Hedgerow Data'!$B$1:$AH$15,33,FALSE))</f>
        <v/>
      </c>
      <c r="N152" s="376" t="str">
        <f t="shared" si="20"/>
        <v/>
      </c>
      <c r="O152" s="516"/>
      <c r="P152" s="368" t="str">
        <f>IF(O152="","",IF(VLOOKUP(O152,'G-3 Multipliers'!$S$3:$T$10,2,FALSE)=0,"Spatial Data Missing ⚠",VLOOKUP(O152,'G-3 Multipliers'!$S$3:$T$10,2,FALSE)))</f>
        <v/>
      </c>
      <c r="Q152" s="376" t="str">
        <f t="shared" si="21"/>
        <v/>
      </c>
      <c r="R152" s="32"/>
      <c r="S152" s="114"/>
      <c r="T152" s="125"/>
      <c r="U152" s="370" t="str">
        <f t="shared" si="22"/>
        <v/>
      </c>
      <c r="V152" s="370" t="str">
        <f t="shared" si="23"/>
        <v/>
      </c>
      <c r="W152" s="374" t="str">
        <f t="shared" si="24"/>
        <v/>
      </c>
      <c r="X152" s="378" t="str">
        <f t="shared" si="25"/>
        <v/>
      </c>
      <c r="Y152" s="119"/>
      <c r="Z152" s="120"/>
      <c r="AA152" s="120"/>
      <c r="AB152" s="120"/>
      <c r="AE152" s="30" t="str">
        <f>IFERROR(INDEX('G-6 Hedgerow Data'!$BJ$3:$BJ$15,MATCH(D152,'G-6 Hedgerow Data'!$B$3:$B$15,0)),"")</f>
        <v/>
      </c>
      <c r="AH152" s="124" t="str">
        <f t="shared" si="18"/>
        <v/>
      </c>
      <c r="AI152" s="124" t="str">
        <f t="shared" si="19"/>
        <v/>
      </c>
      <c r="AK152" s="124">
        <v>143</v>
      </c>
      <c r="AM152" s="124" t="str">
        <f t="array" ref="AM152">IFERROR(INDEX($AK$10:$AK$258, MATCH(0, IF(TRUE=$AH$10:$AH$258, COUNTIF($AM$9:$AM151, $AK$10:$AK$258), ""), 0)),"")</f>
        <v/>
      </c>
      <c r="AN152" s="124" t="str">
        <f t="array" ref="AN152">IFERROR(INDEX($AK$10:$AK$258, MATCH(0, IF(TRUE=$AI$10:$AI$258, COUNTIF($AN$9:$AN151, $AK$10:$AK$258), ""), 0)),"")</f>
        <v/>
      </c>
      <c r="AY152" s="370" t="str">
        <f t="shared" si="26"/>
        <v/>
      </c>
    </row>
    <row r="153" spans="2:51" ht="15">
      <c r="B153" s="110">
        <v>144</v>
      </c>
      <c r="C153" s="165"/>
      <c r="D153" s="165"/>
      <c r="E153" s="121"/>
      <c r="F153" s="362" t="str">
        <f>IF(D153="","",VLOOKUP(D153,'G-6 Hedgerow Data'!$B$2:$AG$15,2,FALSE))</f>
        <v/>
      </c>
      <c r="G153" s="363" t="str">
        <f>IF(D153="","",VLOOKUP(D153,'G-6 Hedgerow Data'!$B$2:$AG$15,3,FALSE))</f>
        <v/>
      </c>
      <c r="H153" s="114"/>
      <c r="I153" s="363" t="str">
        <f>IFERROR(IF(AND(F153="V.Low",OR(H153="Good",H153="Moderate")),"Error ▲",VLOOKUP(H153,'G-1 All Habitats'!$Z$2:$AA$9,2,FALSE)),"")</f>
        <v/>
      </c>
      <c r="J153" s="122"/>
      <c r="K153" s="382" t="str">
        <f>IF(J153="","",IF(VLOOKUP(J153,'G-3 Multipliers'!$L$3:$N$6,2,FALSE)=0,"Spatial Data Missing ⚠",VLOOKUP(J153,'G-3 Multipliers'!$L$3:$N$6,2,FALSE)))</f>
        <v/>
      </c>
      <c r="L153" s="386" t="str">
        <f>IF(J153="","",IF(VLOOKUP(J153,'G-3 Multipliers'!$L$3:$N$6,3,FALSE)=0,"Spatial Data Missing ⚠",VLOOKUP(J153,'G-3 Multipliers'!$L$3:$N$6,3,FALSE)))</f>
        <v/>
      </c>
      <c r="M153" s="425" t="str">
        <f>IF(D153="","",VLOOKUP(D153,'G-6 Hedgerow Data'!$B$1:$AH$15,33,FALSE))</f>
        <v/>
      </c>
      <c r="N153" s="376" t="str">
        <f t="shared" si="20"/>
        <v/>
      </c>
      <c r="O153" s="516"/>
      <c r="P153" s="368" t="str">
        <f>IF(O153="","",IF(VLOOKUP(O153,'G-3 Multipliers'!$S$3:$T$10,2,FALSE)=0,"Spatial Data Missing ⚠",VLOOKUP(O153,'G-3 Multipliers'!$S$3:$T$10,2,FALSE)))</f>
        <v/>
      </c>
      <c r="Q153" s="376" t="str">
        <f t="shared" si="21"/>
        <v/>
      </c>
      <c r="R153" s="32"/>
      <c r="S153" s="114"/>
      <c r="T153" s="125"/>
      <c r="U153" s="370" t="str">
        <f t="shared" si="22"/>
        <v/>
      </c>
      <c r="V153" s="370" t="str">
        <f t="shared" si="23"/>
        <v/>
      </c>
      <c r="W153" s="374" t="str">
        <f t="shared" si="24"/>
        <v/>
      </c>
      <c r="X153" s="378" t="str">
        <f t="shared" si="25"/>
        <v/>
      </c>
      <c r="Y153" s="119"/>
      <c r="Z153" s="120"/>
      <c r="AA153" s="120"/>
      <c r="AB153" s="120"/>
      <c r="AE153" s="30" t="str">
        <f>IFERROR(INDEX('G-6 Hedgerow Data'!$BJ$3:$BJ$15,MATCH(D153,'G-6 Hedgerow Data'!$B$3:$B$15,0)),"")</f>
        <v/>
      </c>
      <c r="AH153" s="124" t="str">
        <f t="shared" si="18"/>
        <v/>
      </c>
      <c r="AI153" s="124" t="str">
        <f t="shared" si="19"/>
        <v/>
      </c>
      <c r="AK153" s="124">
        <v>144</v>
      </c>
      <c r="AM153" s="124" t="str">
        <f t="array" ref="AM153">IFERROR(INDEX($AK$10:$AK$258, MATCH(0, IF(TRUE=$AH$10:$AH$258, COUNTIF($AM$9:$AM152, $AK$10:$AK$258), ""), 0)),"")</f>
        <v/>
      </c>
      <c r="AN153" s="124" t="str">
        <f t="array" ref="AN153">IFERROR(INDEX($AK$10:$AK$258, MATCH(0, IF(TRUE=$AI$10:$AI$258, COUNTIF($AN$9:$AN152, $AK$10:$AK$258), ""), 0)),"")</f>
        <v/>
      </c>
      <c r="AY153" s="370" t="str">
        <f t="shared" si="26"/>
        <v/>
      </c>
    </row>
    <row r="154" spans="2:51" ht="15">
      <c r="B154" s="110">
        <v>145</v>
      </c>
      <c r="C154" s="165"/>
      <c r="D154" s="165"/>
      <c r="E154" s="121"/>
      <c r="F154" s="362" t="str">
        <f>IF(D154="","",VLOOKUP(D154,'G-6 Hedgerow Data'!$B$2:$AG$15,2,FALSE))</f>
        <v/>
      </c>
      <c r="G154" s="363" t="str">
        <f>IF(D154="","",VLOOKUP(D154,'G-6 Hedgerow Data'!$B$2:$AG$15,3,FALSE))</f>
        <v/>
      </c>
      <c r="H154" s="114"/>
      <c r="I154" s="363" t="str">
        <f>IFERROR(IF(AND(F154="V.Low",OR(H154="Good",H154="Moderate")),"Error ▲",VLOOKUP(H154,'G-1 All Habitats'!$Z$2:$AA$9,2,FALSE)),"")</f>
        <v/>
      </c>
      <c r="J154" s="122"/>
      <c r="K154" s="382" t="str">
        <f>IF(J154="","",IF(VLOOKUP(J154,'G-3 Multipliers'!$L$3:$N$6,2,FALSE)=0,"Spatial Data Missing ⚠",VLOOKUP(J154,'G-3 Multipliers'!$L$3:$N$6,2,FALSE)))</f>
        <v/>
      </c>
      <c r="L154" s="386" t="str">
        <f>IF(J154="","",IF(VLOOKUP(J154,'G-3 Multipliers'!$L$3:$N$6,3,FALSE)=0,"Spatial Data Missing ⚠",VLOOKUP(J154,'G-3 Multipliers'!$L$3:$N$6,3,FALSE)))</f>
        <v/>
      </c>
      <c r="M154" s="425" t="str">
        <f>IF(D154="","",VLOOKUP(D154,'G-6 Hedgerow Data'!$B$1:$AH$15,33,FALSE))</f>
        <v/>
      </c>
      <c r="N154" s="376" t="str">
        <f t="shared" si="20"/>
        <v/>
      </c>
      <c r="O154" s="516"/>
      <c r="P154" s="368" t="str">
        <f>IF(O154="","",IF(VLOOKUP(O154,'G-3 Multipliers'!$S$3:$T$10,2,FALSE)=0,"Spatial Data Missing ⚠",VLOOKUP(O154,'G-3 Multipliers'!$S$3:$T$10,2,FALSE)))</f>
        <v/>
      </c>
      <c r="Q154" s="376" t="str">
        <f t="shared" si="21"/>
        <v/>
      </c>
      <c r="R154" s="32"/>
      <c r="S154" s="114"/>
      <c r="T154" s="125"/>
      <c r="U154" s="370" t="str">
        <f t="shared" si="22"/>
        <v/>
      </c>
      <c r="V154" s="370" t="str">
        <f t="shared" si="23"/>
        <v/>
      </c>
      <c r="W154" s="374" t="str">
        <f t="shared" si="24"/>
        <v/>
      </c>
      <c r="X154" s="378" t="str">
        <f t="shared" si="25"/>
        <v/>
      </c>
      <c r="Y154" s="119"/>
      <c r="Z154" s="120"/>
      <c r="AA154" s="120"/>
      <c r="AB154" s="120"/>
      <c r="AE154" s="30" t="str">
        <f>IFERROR(INDEX('G-6 Hedgerow Data'!$BJ$3:$BJ$15,MATCH(D154,'G-6 Hedgerow Data'!$B$3:$B$15,0)),"")</f>
        <v/>
      </c>
      <c r="AH154" s="124" t="str">
        <f t="shared" si="18"/>
        <v/>
      </c>
      <c r="AI154" s="124" t="str">
        <f t="shared" si="19"/>
        <v/>
      </c>
      <c r="AK154" s="124">
        <v>145</v>
      </c>
      <c r="AM154" s="124" t="str">
        <f t="array" ref="AM154">IFERROR(INDEX($AK$10:$AK$258, MATCH(0, IF(TRUE=$AH$10:$AH$258, COUNTIF($AM$9:$AM153, $AK$10:$AK$258), ""), 0)),"")</f>
        <v/>
      </c>
      <c r="AN154" s="124" t="str">
        <f t="array" ref="AN154">IFERROR(INDEX($AK$10:$AK$258, MATCH(0, IF(TRUE=$AI$10:$AI$258, COUNTIF($AN$9:$AN153, $AK$10:$AK$258), ""), 0)),"")</f>
        <v/>
      </c>
      <c r="AY154" s="370" t="str">
        <f t="shared" si="26"/>
        <v/>
      </c>
    </row>
    <row r="155" spans="2:51" ht="15">
      <c r="B155" s="110">
        <v>146</v>
      </c>
      <c r="C155" s="165"/>
      <c r="D155" s="165"/>
      <c r="E155" s="121"/>
      <c r="F155" s="362" t="str">
        <f>IF(D155="","",VLOOKUP(D155,'G-6 Hedgerow Data'!$B$2:$AG$15,2,FALSE))</f>
        <v/>
      </c>
      <c r="G155" s="363" t="str">
        <f>IF(D155="","",VLOOKUP(D155,'G-6 Hedgerow Data'!$B$2:$AG$15,3,FALSE))</f>
        <v/>
      </c>
      <c r="H155" s="114"/>
      <c r="I155" s="363" t="str">
        <f>IFERROR(IF(AND(F155="V.Low",OR(H155="Good",H155="Moderate")),"Error ▲",VLOOKUP(H155,'G-1 All Habitats'!$Z$2:$AA$9,2,FALSE)),"")</f>
        <v/>
      </c>
      <c r="J155" s="122"/>
      <c r="K155" s="382" t="str">
        <f>IF(J155="","",IF(VLOOKUP(J155,'G-3 Multipliers'!$L$3:$N$6,2,FALSE)=0,"Spatial Data Missing ⚠",VLOOKUP(J155,'G-3 Multipliers'!$L$3:$N$6,2,FALSE)))</f>
        <v/>
      </c>
      <c r="L155" s="386" t="str">
        <f>IF(J155="","",IF(VLOOKUP(J155,'G-3 Multipliers'!$L$3:$N$6,3,FALSE)=0,"Spatial Data Missing ⚠",VLOOKUP(J155,'G-3 Multipliers'!$L$3:$N$6,3,FALSE)))</f>
        <v/>
      </c>
      <c r="M155" s="425" t="str">
        <f>IF(D155="","",VLOOKUP(D155,'G-6 Hedgerow Data'!$B$1:$AH$15,33,FALSE))</f>
        <v/>
      </c>
      <c r="N155" s="376" t="str">
        <f t="shared" si="20"/>
        <v/>
      </c>
      <c r="O155" s="516"/>
      <c r="P155" s="368" t="str">
        <f>IF(O155="","",IF(VLOOKUP(O155,'G-3 Multipliers'!$S$3:$T$10,2,FALSE)=0,"Spatial Data Missing ⚠",VLOOKUP(O155,'G-3 Multipliers'!$S$3:$T$10,2,FALSE)))</f>
        <v/>
      </c>
      <c r="Q155" s="376" t="str">
        <f t="shared" si="21"/>
        <v/>
      </c>
      <c r="R155" s="32"/>
      <c r="S155" s="114"/>
      <c r="T155" s="125"/>
      <c r="U155" s="370" t="str">
        <f t="shared" si="22"/>
        <v/>
      </c>
      <c r="V155" s="370" t="str">
        <f t="shared" si="23"/>
        <v/>
      </c>
      <c r="W155" s="374" t="str">
        <f t="shared" si="24"/>
        <v/>
      </c>
      <c r="X155" s="378" t="str">
        <f t="shared" si="25"/>
        <v/>
      </c>
      <c r="Y155" s="119"/>
      <c r="Z155" s="120"/>
      <c r="AA155" s="120"/>
      <c r="AB155" s="120"/>
      <c r="AE155" s="30" t="str">
        <f>IFERROR(INDEX('G-6 Hedgerow Data'!$BJ$3:$BJ$15,MATCH(D155,'G-6 Hedgerow Data'!$B$3:$B$15,0)),"")</f>
        <v/>
      </c>
      <c r="AH155" s="124" t="str">
        <f t="shared" si="18"/>
        <v/>
      </c>
      <c r="AI155" s="124" t="str">
        <f t="shared" si="19"/>
        <v/>
      </c>
      <c r="AK155" s="124">
        <v>146</v>
      </c>
      <c r="AM155" s="124" t="str">
        <f t="array" ref="AM155">IFERROR(INDEX($AK$10:$AK$258, MATCH(0, IF(TRUE=$AH$10:$AH$258, COUNTIF($AM$9:$AM154, $AK$10:$AK$258), ""), 0)),"")</f>
        <v/>
      </c>
      <c r="AN155" s="124" t="str">
        <f t="array" ref="AN155">IFERROR(INDEX($AK$10:$AK$258, MATCH(0, IF(TRUE=$AI$10:$AI$258, COUNTIF($AN$9:$AN154, $AK$10:$AK$258), ""), 0)),"")</f>
        <v/>
      </c>
      <c r="AY155" s="370" t="str">
        <f t="shared" si="26"/>
        <v/>
      </c>
    </row>
    <row r="156" spans="2:51" ht="15">
      <c r="B156" s="110">
        <v>147</v>
      </c>
      <c r="C156" s="165"/>
      <c r="D156" s="165"/>
      <c r="E156" s="121"/>
      <c r="F156" s="362" t="str">
        <f>IF(D156="","",VLOOKUP(D156,'G-6 Hedgerow Data'!$B$2:$AG$15,2,FALSE))</f>
        <v/>
      </c>
      <c r="G156" s="363" t="str">
        <f>IF(D156="","",VLOOKUP(D156,'G-6 Hedgerow Data'!$B$2:$AG$15,3,FALSE))</f>
        <v/>
      </c>
      <c r="H156" s="114"/>
      <c r="I156" s="363" t="str">
        <f>IFERROR(IF(AND(F156="V.Low",OR(H156="Good",H156="Moderate")),"Error ▲",VLOOKUP(H156,'G-1 All Habitats'!$Z$2:$AA$9,2,FALSE)),"")</f>
        <v/>
      </c>
      <c r="J156" s="122"/>
      <c r="K156" s="382" t="str">
        <f>IF(J156="","",IF(VLOOKUP(J156,'G-3 Multipliers'!$L$3:$N$6,2,FALSE)=0,"Spatial Data Missing ⚠",VLOOKUP(J156,'G-3 Multipliers'!$L$3:$N$6,2,FALSE)))</f>
        <v/>
      </c>
      <c r="L156" s="386" t="str">
        <f>IF(J156="","",IF(VLOOKUP(J156,'G-3 Multipliers'!$L$3:$N$6,3,FALSE)=0,"Spatial Data Missing ⚠",VLOOKUP(J156,'G-3 Multipliers'!$L$3:$N$6,3,FALSE)))</f>
        <v/>
      </c>
      <c r="M156" s="425" t="str">
        <f>IF(D156="","",VLOOKUP(D156,'G-6 Hedgerow Data'!$B$1:$AH$15,33,FALSE))</f>
        <v/>
      </c>
      <c r="N156" s="376" t="str">
        <f t="shared" si="20"/>
        <v/>
      </c>
      <c r="O156" s="516"/>
      <c r="P156" s="368" t="str">
        <f>IF(O156="","",IF(VLOOKUP(O156,'G-3 Multipliers'!$S$3:$T$10,2,FALSE)=0,"Spatial Data Missing ⚠",VLOOKUP(O156,'G-3 Multipliers'!$S$3:$T$10,2,FALSE)))</f>
        <v/>
      </c>
      <c r="Q156" s="376" t="str">
        <f t="shared" si="21"/>
        <v/>
      </c>
      <c r="R156" s="32"/>
      <c r="S156" s="114"/>
      <c r="T156" s="125"/>
      <c r="U156" s="370" t="str">
        <f t="shared" si="22"/>
        <v/>
      </c>
      <c r="V156" s="370" t="str">
        <f t="shared" si="23"/>
        <v/>
      </c>
      <c r="W156" s="374" t="str">
        <f t="shared" si="24"/>
        <v/>
      </c>
      <c r="X156" s="378" t="str">
        <f t="shared" si="25"/>
        <v/>
      </c>
      <c r="Y156" s="119"/>
      <c r="Z156" s="120"/>
      <c r="AA156" s="120"/>
      <c r="AB156" s="120"/>
      <c r="AE156" s="30" t="str">
        <f>IFERROR(INDEX('G-6 Hedgerow Data'!$BJ$3:$BJ$15,MATCH(D156,'G-6 Hedgerow Data'!$B$3:$B$15,0)),"")</f>
        <v/>
      </c>
      <c r="AH156" s="124" t="str">
        <f t="shared" si="18"/>
        <v/>
      </c>
      <c r="AI156" s="124" t="str">
        <f t="shared" si="19"/>
        <v/>
      </c>
      <c r="AK156" s="124">
        <v>147</v>
      </c>
      <c r="AM156" s="124" t="str">
        <f t="array" ref="AM156">IFERROR(INDEX($AK$10:$AK$258, MATCH(0, IF(TRUE=$AH$10:$AH$258, COUNTIF($AM$9:$AM155, $AK$10:$AK$258), ""), 0)),"")</f>
        <v/>
      </c>
      <c r="AN156" s="124" t="str">
        <f t="array" ref="AN156">IFERROR(INDEX($AK$10:$AK$258, MATCH(0, IF(TRUE=$AI$10:$AI$258, COUNTIF($AN$9:$AN155, $AK$10:$AK$258), ""), 0)),"")</f>
        <v/>
      </c>
      <c r="AY156" s="370" t="str">
        <f t="shared" si="26"/>
        <v/>
      </c>
    </row>
    <row r="157" spans="2:51" ht="15">
      <c r="B157" s="110">
        <v>148</v>
      </c>
      <c r="C157" s="165"/>
      <c r="D157" s="165"/>
      <c r="E157" s="121"/>
      <c r="F157" s="362" t="str">
        <f>IF(D157="","",VLOOKUP(D157,'G-6 Hedgerow Data'!$B$2:$AG$15,2,FALSE))</f>
        <v/>
      </c>
      <c r="G157" s="363" t="str">
        <f>IF(D157="","",VLOOKUP(D157,'G-6 Hedgerow Data'!$B$2:$AG$15,3,FALSE))</f>
        <v/>
      </c>
      <c r="H157" s="114"/>
      <c r="I157" s="363" t="str">
        <f>IFERROR(IF(AND(F157="V.Low",OR(H157="Good",H157="Moderate")),"Error ▲",VLOOKUP(H157,'G-1 All Habitats'!$Z$2:$AA$9,2,FALSE)),"")</f>
        <v/>
      </c>
      <c r="J157" s="122"/>
      <c r="K157" s="382" t="str">
        <f>IF(J157="","",IF(VLOOKUP(J157,'G-3 Multipliers'!$L$3:$N$6,2,FALSE)=0,"Spatial Data Missing ⚠",VLOOKUP(J157,'G-3 Multipliers'!$L$3:$N$6,2,FALSE)))</f>
        <v/>
      </c>
      <c r="L157" s="386" t="str">
        <f>IF(J157="","",IF(VLOOKUP(J157,'G-3 Multipliers'!$L$3:$N$6,3,FALSE)=0,"Spatial Data Missing ⚠",VLOOKUP(J157,'G-3 Multipliers'!$L$3:$N$6,3,FALSE)))</f>
        <v/>
      </c>
      <c r="M157" s="425" t="str">
        <f>IF(D157="","",VLOOKUP(D157,'G-6 Hedgerow Data'!$B$1:$AH$15,33,FALSE))</f>
        <v/>
      </c>
      <c r="N157" s="376" t="str">
        <f t="shared" si="20"/>
        <v/>
      </c>
      <c r="O157" s="516"/>
      <c r="P157" s="368" t="str">
        <f>IF(O157="","",IF(VLOOKUP(O157,'G-3 Multipliers'!$S$3:$T$10,2,FALSE)=0,"Spatial Data Missing ⚠",VLOOKUP(O157,'G-3 Multipliers'!$S$3:$T$10,2,FALSE)))</f>
        <v/>
      </c>
      <c r="Q157" s="376" t="str">
        <f t="shared" si="21"/>
        <v/>
      </c>
      <c r="R157" s="32"/>
      <c r="S157" s="114"/>
      <c r="T157" s="125"/>
      <c r="U157" s="370" t="str">
        <f t="shared" si="22"/>
        <v/>
      </c>
      <c r="V157" s="370" t="str">
        <f t="shared" si="23"/>
        <v/>
      </c>
      <c r="W157" s="374" t="str">
        <f t="shared" si="24"/>
        <v/>
      </c>
      <c r="X157" s="378" t="str">
        <f t="shared" si="25"/>
        <v/>
      </c>
      <c r="Y157" s="119"/>
      <c r="Z157" s="120"/>
      <c r="AA157" s="120"/>
      <c r="AB157" s="120"/>
      <c r="AE157" s="30" t="str">
        <f>IFERROR(INDEX('G-6 Hedgerow Data'!$BJ$3:$BJ$15,MATCH(D157,'G-6 Hedgerow Data'!$B$3:$B$15,0)),"")</f>
        <v/>
      </c>
      <c r="AH157" s="124" t="str">
        <f t="shared" si="18"/>
        <v/>
      </c>
      <c r="AI157" s="124" t="str">
        <f t="shared" si="19"/>
        <v/>
      </c>
      <c r="AK157" s="124">
        <v>148</v>
      </c>
      <c r="AM157" s="124" t="str">
        <f t="array" ref="AM157">IFERROR(INDEX($AK$10:$AK$258, MATCH(0, IF(TRUE=$AH$10:$AH$258, COUNTIF($AM$9:$AM156, $AK$10:$AK$258), ""), 0)),"")</f>
        <v/>
      </c>
      <c r="AN157" s="124" t="str">
        <f t="array" ref="AN157">IFERROR(INDEX($AK$10:$AK$258, MATCH(0, IF(TRUE=$AI$10:$AI$258, COUNTIF($AN$9:$AN156, $AK$10:$AK$258), ""), 0)),"")</f>
        <v/>
      </c>
      <c r="AY157" s="370" t="str">
        <f t="shared" si="26"/>
        <v/>
      </c>
    </row>
    <row r="158" spans="2:51" ht="15">
      <c r="B158" s="110">
        <v>149</v>
      </c>
      <c r="C158" s="165"/>
      <c r="D158" s="165"/>
      <c r="E158" s="121"/>
      <c r="F158" s="362" t="str">
        <f>IF(D158="","",VLOOKUP(D158,'G-6 Hedgerow Data'!$B$2:$AG$15,2,FALSE))</f>
        <v/>
      </c>
      <c r="G158" s="363" t="str">
        <f>IF(D158="","",VLOOKUP(D158,'G-6 Hedgerow Data'!$B$2:$AG$15,3,FALSE))</f>
        <v/>
      </c>
      <c r="H158" s="114"/>
      <c r="I158" s="363" t="str">
        <f>IFERROR(IF(AND(F158="V.Low",OR(H158="Good",H158="Moderate")),"Error ▲",VLOOKUP(H158,'G-1 All Habitats'!$Z$2:$AA$9,2,FALSE)),"")</f>
        <v/>
      </c>
      <c r="J158" s="122"/>
      <c r="K158" s="382" t="str">
        <f>IF(J158="","",IF(VLOOKUP(J158,'G-3 Multipliers'!$L$3:$N$6,2,FALSE)=0,"Spatial Data Missing ⚠",VLOOKUP(J158,'G-3 Multipliers'!$L$3:$N$6,2,FALSE)))</f>
        <v/>
      </c>
      <c r="L158" s="386" t="str">
        <f>IF(J158="","",IF(VLOOKUP(J158,'G-3 Multipliers'!$L$3:$N$6,3,FALSE)=0,"Spatial Data Missing ⚠",VLOOKUP(J158,'G-3 Multipliers'!$L$3:$N$6,3,FALSE)))</f>
        <v/>
      </c>
      <c r="M158" s="425" t="str">
        <f>IF(D158="","",VLOOKUP(D158,'G-6 Hedgerow Data'!$B$1:$AH$15,33,FALSE))</f>
        <v/>
      </c>
      <c r="N158" s="376" t="str">
        <f t="shared" si="20"/>
        <v/>
      </c>
      <c r="O158" s="516"/>
      <c r="P158" s="368" t="str">
        <f>IF(O158="","",IF(VLOOKUP(O158,'G-3 Multipliers'!$S$3:$T$10,2,FALSE)=0,"Spatial Data Missing ⚠",VLOOKUP(O158,'G-3 Multipliers'!$S$3:$T$10,2,FALSE)))</f>
        <v/>
      </c>
      <c r="Q158" s="376" t="str">
        <f t="shared" si="21"/>
        <v/>
      </c>
      <c r="R158" s="32"/>
      <c r="S158" s="114"/>
      <c r="T158" s="125"/>
      <c r="U158" s="370" t="str">
        <f t="shared" si="22"/>
        <v/>
      </c>
      <c r="V158" s="370" t="str">
        <f t="shared" si="23"/>
        <v/>
      </c>
      <c r="W158" s="374" t="str">
        <f t="shared" si="24"/>
        <v/>
      </c>
      <c r="X158" s="378" t="str">
        <f t="shared" si="25"/>
        <v/>
      </c>
      <c r="Y158" s="119"/>
      <c r="Z158" s="120"/>
      <c r="AA158" s="120"/>
      <c r="AB158" s="120"/>
      <c r="AE158" s="30" t="str">
        <f>IFERROR(INDEX('G-6 Hedgerow Data'!$BJ$3:$BJ$15,MATCH(D158,'G-6 Hedgerow Data'!$B$3:$B$15,0)),"")</f>
        <v/>
      </c>
      <c r="AH158" s="124" t="str">
        <f t="shared" si="18"/>
        <v/>
      </c>
      <c r="AI158" s="124" t="str">
        <f t="shared" si="19"/>
        <v/>
      </c>
      <c r="AK158" s="124">
        <v>149</v>
      </c>
      <c r="AM158" s="124" t="str">
        <f t="array" ref="AM158">IFERROR(INDEX($AK$10:$AK$258, MATCH(0, IF(TRUE=$AH$10:$AH$258, COUNTIF($AM$9:$AM157, $AK$10:$AK$258), ""), 0)),"")</f>
        <v/>
      </c>
      <c r="AN158" s="124" t="str">
        <f t="array" ref="AN158">IFERROR(INDEX($AK$10:$AK$258, MATCH(0, IF(TRUE=$AI$10:$AI$258, COUNTIF($AN$9:$AN157, $AK$10:$AK$258), ""), 0)),"")</f>
        <v/>
      </c>
      <c r="AY158" s="370" t="str">
        <f t="shared" si="26"/>
        <v/>
      </c>
    </row>
    <row r="159" spans="2:51" ht="15">
      <c r="B159" s="110">
        <v>150</v>
      </c>
      <c r="C159" s="165"/>
      <c r="D159" s="165"/>
      <c r="E159" s="121"/>
      <c r="F159" s="362" t="str">
        <f>IF(D159="","",VLOOKUP(D159,'G-6 Hedgerow Data'!$B$2:$AG$15,2,FALSE))</f>
        <v/>
      </c>
      <c r="G159" s="363" t="str">
        <f>IF(D159="","",VLOOKUP(D159,'G-6 Hedgerow Data'!$B$2:$AG$15,3,FALSE))</f>
        <v/>
      </c>
      <c r="H159" s="114"/>
      <c r="I159" s="363" t="str">
        <f>IFERROR(IF(AND(F159="V.Low",OR(H159="Good",H159="Moderate")),"Error ▲",VLOOKUP(H159,'G-1 All Habitats'!$Z$2:$AA$9,2,FALSE)),"")</f>
        <v/>
      </c>
      <c r="J159" s="122"/>
      <c r="K159" s="382" t="str">
        <f>IF(J159="","",IF(VLOOKUP(J159,'G-3 Multipliers'!$L$3:$N$6,2,FALSE)=0,"Spatial Data Missing ⚠",VLOOKUP(J159,'G-3 Multipliers'!$L$3:$N$6,2,FALSE)))</f>
        <v/>
      </c>
      <c r="L159" s="386" t="str">
        <f>IF(J159="","",IF(VLOOKUP(J159,'G-3 Multipliers'!$L$3:$N$6,3,FALSE)=0,"Spatial Data Missing ⚠",VLOOKUP(J159,'G-3 Multipliers'!$L$3:$N$6,3,FALSE)))</f>
        <v/>
      </c>
      <c r="M159" s="425" t="str">
        <f>IF(D159="","",VLOOKUP(D159,'G-6 Hedgerow Data'!$B$1:$AH$15,33,FALSE))</f>
        <v/>
      </c>
      <c r="N159" s="376" t="str">
        <f t="shared" si="20"/>
        <v/>
      </c>
      <c r="O159" s="516"/>
      <c r="P159" s="368" t="str">
        <f>IF(O159="","",IF(VLOOKUP(O159,'G-3 Multipliers'!$S$3:$T$10,2,FALSE)=0,"Spatial Data Missing ⚠",VLOOKUP(O159,'G-3 Multipliers'!$S$3:$T$10,2,FALSE)))</f>
        <v/>
      </c>
      <c r="Q159" s="376" t="str">
        <f t="shared" si="21"/>
        <v/>
      </c>
      <c r="R159" s="32"/>
      <c r="S159" s="114"/>
      <c r="T159" s="125"/>
      <c r="U159" s="370" t="str">
        <f t="shared" si="22"/>
        <v/>
      </c>
      <c r="V159" s="370" t="str">
        <f t="shared" si="23"/>
        <v/>
      </c>
      <c r="W159" s="374" t="str">
        <f t="shared" si="24"/>
        <v/>
      </c>
      <c r="X159" s="378" t="str">
        <f t="shared" si="25"/>
        <v/>
      </c>
      <c r="Y159" s="119"/>
      <c r="Z159" s="120"/>
      <c r="AA159" s="120"/>
      <c r="AB159" s="120"/>
      <c r="AE159" s="30" t="str">
        <f>IFERROR(INDEX('G-6 Hedgerow Data'!$BJ$3:$BJ$15,MATCH(D159,'G-6 Hedgerow Data'!$B$3:$B$15,0)),"")</f>
        <v/>
      </c>
      <c r="AH159" s="124" t="str">
        <f t="shared" si="18"/>
        <v/>
      </c>
      <c r="AI159" s="124" t="str">
        <f t="shared" si="19"/>
        <v/>
      </c>
      <c r="AK159" s="124">
        <v>150</v>
      </c>
      <c r="AM159" s="124" t="str">
        <f t="array" ref="AM159">IFERROR(INDEX($AK$10:$AK$258, MATCH(0, IF(TRUE=$AH$10:$AH$258, COUNTIF($AM$9:$AM158, $AK$10:$AK$258), ""), 0)),"")</f>
        <v/>
      </c>
      <c r="AN159" s="124" t="str">
        <f t="array" ref="AN159">IFERROR(INDEX($AK$10:$AK$258, MATCH(0, IF(TRUE=$AI$10:$AI$258, COUNTIF($AN$9:$AN158, $AK$10:$AK$258), ""), 0)),"")</f>
        <v/>
      </c>
      <c r="AY159" s="370" t="str">
        <f t="shared" si="26"/>
        <v/>
      </c>
    </row>
    <row r="160" spans="2:51" ht="15">
      <c r="B160" s="110">
        <v>151</v>
      </c>
      <c r="C160" s="165"/>
      <c r="D160" s="165"/>
      <c r="E160" s="121"/>
      <c r="F160" s="362" t="str">
        <f>IF(D160="","",VLOOKUP(D160,'G-6 Hedgerow Data'!$B$2:$AG$15,2,FALSE))</f>
        <v/>
      </c>
      <c r="G160" s="363" t="str">
        <f>IF(D160="","",VLOOKUP(D160,'G-6 Hedgerow Data'!$B$2:$AG$15,3,FALSE))</f>
        <v/>
      </c>
      <c r="H160" s="114"/>
      <c r="I160" s="363" t="str">
        <f>IFERROR(IF(AND(F160="V.Low",OR(H160="Good",H160="Moderate")),"Error ▲",VLOOKUP(H160,'G-1 All Habitats'!$Z$2:$AA$9,2,FALSE)),"")</f>
        <v/>
      </c>
      <c r="J160" s="122"/>
      <c r="K160" s="382" t="str">
        <f>IF(J160="","",IF(VLOOKUP(J160,'G-3 Multipliers'!$L$3:$N$6,2,FALSE)=0,"Spatial Data Missing ⚠",VLOOKUP(J160,'G-3 Multipliers'!$L$3:$N$6,2,FALSE)))</f>
        <v/>
      </c>
      <c r="L160" s="386" t="str">
        <f>IF(J160="","",IF(VLOOKUP(J160,'G-3 Multipliers'!$L$3:$N$6,3,FALSE)=0,"Spatial Data Missing ⚠",VLOOKUP(J160,'G-3 Multipliers'!$L$3:$N$6,3,FALSE)))</f>
        <v/>
      </c>
      <c r="M160" s="425" t="str">
        <f>IF(D160="","",VLOOKUP(D160,'G-6 Hedgerow Data'!$B$1:$AH$15,33,FALSE))</f>
        <v/>
      </c>
      <c r="N160" s="376" t="str">
        <f t="shared" si="20"/>
        <v/>
      </c>
      <c r="O160" s="516"/>
      <c r="P160" s="368" t="str">
        <f>IF(O160="","",IF(VLOOKUP(O160,'G-3 Multipliers'!$S$3:$T$10,2,FALSE)=0,"Spatial Data Missing ⚠",VLOOKUP(O160,'G-3 Multipliers'!$S$3:$T$10,2,FALSE)))</f>
        <v/>
      </c>
      <c r="Q160" s="376" t="str">
        <f t="shared" si="21"/>
        <v/>
      </c>
      <c r="R160" s="32"/>
      <c r="S160" s="114"/>
      <c r="T160" s="125"/>
      <c r="U160" s="370" t="str">
        <f t="shared" si="22"/>
        <v/>
      </c>
      <c r="V160" s="370" t="str">
        <f t="shared" si="23"/>
        <v/>
      </c>
      <c r="W160" s="374" t="str">
        <f t="shared" si="24"/>
        <v/>
      </c>
      <c r="X160" s="378" t="str">
        <f t="shared" si="25"/>
        <v/>
      </c>
      <c r="Y160" s="119"/>
      <c r="Z160" s="120"/>
      <c r="AA160" s="120"/>
      <c r="AB160" s="120"/>
      <c r="AE160" s="30" t="str">
        <f>IFERROR(INDEX('G-6 Hedgerow Data'!$BJ$3:$BJ$15,MATCH(D160,'G-6 Hedgerow Data'!$B$3:$B$15,0)),"")</f>
        <v/>
      </c>
      <c r="AH160" s="124" t="str">
        <f t="shared" si="18"/>
        <v/>
      </c>
      <c r="AI160" s="124" t="str">
        <f t="shared" si="19"/>
        <v/>
      </c>
      <c r="AK160" s="124">
        <v>151</v>
      </c>
      <c r="AM160" s="124" t="str">
        <f t="array" ref="AM160">IFERROR(INDEX($AK$10:$AK$258, MATCH(0, IF(TRUE=$AH$10:$AH$258, COUNTIF($AM$9:$AM159, $AK$10:$AK$258), ""), 0)),"")</f>
        <v/>
      </c>
      <c r="AN160" s="124" t="str">
        <f t="array" ref="AN160">IFERROR(INDEX($AK$10:$AK$258, MATCH(0, IF(TRUE=$AI$10:$AI$258, COUNTIF($AN$9:$AN159, $AK$10:$AK$258), ""), 0)),"")</f>
        <v/>
      </c>
      <c r="AY160" s="370" t="str">
        <f t="shared" si="26"/>
        <v/>
      </c>
    </row>
    <row r="161" spans="2:51" ht="15">
      <c r="B161" s="110">
        <v>152</v>
      </c>
      <c r="C161" s="165"/>
      <c r="D161" s="165"/>
      <c r="E161" s="121"/>
      <c r="F161" s="362" t="str">
        <f>IF(D161="","",VLOOKUP(D161,'G-6 Hedgerow Data'!$B$2:$AG$15,2,FALSE))</f>
        <v/>
      </c>
      <c r="G161" s="363" t="str">
        <f>IF(D161="","",VLOOKUP(D161,'G-6 Hedgerow Data'!$B$2:$AG$15,3,FALSE))</f>
        <v/>
      </c>
      <c r="H161" s="114"/>
      <c r="I161" s="363" t="str">
        <f>IFERROR(IF(AND(F161="V.Low",OR(H161="Good",H161="Moderate")),"Error ▲",VLOOKUP(H161,'G-1 All Habitats'!$Z$2:$AA$9,2,FALSE)),"")</f>
        <v/>
      </c>
      <c r="J161" s="122"/>
      <c r="K161" s="382" t="str">
        <f>IF(J161="","",IF(VLOOKUP(J161,'G-3 Multipliers'!$L$3:$N$6,2,FALSE)=0,"Spatial Data Missing ⚠",VLOOKUP(J161,'G-3 Multipliers'!$L$3:$N$6,2,FALSE)))</f>
        <v/>
      </c>
      <c r="L161" s="386" t="str">
        <f>IF(J161="","",IF(VLOOKUP(J161,'G-3 Multipliers'!$L$3:$N$6,3,FALSE)=0,"Spatial Data Missing ⚠",VLOOKUP(J161,'G-3 Multipliers'!$L$3:$N$6,3,FALSE)))</f>
        <v/>
      </c>
      <c r="M161" s="425" t="str">
        <f>IF(D161="","",VLOOKUP(D161,'G-6 Hedgerow Data'!$B$1:$AH$15,33,FALSE))</f>
        <v/>
      </c>
      <c r="N161" s="376" t="str">
        <f t="shared" si="20"/>
        <v/>
      </c>
      <c r="O161" s="516"/>
      <c r="P161" s="368" t="str">
        <f>IF(O161="","",IF(VLOOKUP(O161,'G-3 Multipliers'!$S$3:$T$10,2,FALSE)=0,"Spatial Data Missing ⚠",VLOOKUP(O161,'G-3 Multipliers'!$S$3:$T$10,2,FALSE)))</f>
        <v/>
      </c>
      <c r="Q161" s="376" t="str">
        <f t="shared" si="21"/>
        <v/>
      </c>
      <c r="R161" s="32"/>
      <c r="S161" s="114"/>
      <c r="T161" s="125"/>
      <c r="U161" s="370" t="str">
        <f t="shared" si="22"/>
        <v/>
      </c>
      <c r="V161" s="370" t="str">
        <f t="shared" si="23"/>
        <v/>
      </c>
      <c r="W161" s="374" t="str">
        <f t="shared" si="24"/>
        <v/>
      </c>
      <c r="X161" s="378" t="str">
        <f t="shared" si="25"/>
        <v/>
      </c>
      <c r="Y161" s="119"/>
      <c r="Z161" s="120"/>
      <c r="AA161" s="120"/>
      <c r="AB161" s="120"/>
      <c r="AE161" s="30" t="str">
        <f>IFERROR(INDEX('G-6 Hedgerow Data'!$BJ$3:$BJ$15,MATCH(D161,'G-6 Hedgerow Data'!$B$3:$B$15,0)),"")</f>
        <v/>
      </c>
      <c r="AH161" s="124" t="str">
        <f t="shared" si="18"/>
        <v/>
      </c>
      <c r="AI161" s="124" t="str">
        <f t="shared" si="19"/>
        <v/>
      </c>
      <c r="AK161" s="124">
        <v>152</v>
      </c>
      <c r="AM161" s="124" t="str">
        <f t="array" ref="AM161">IFERROR(INDEX($AK$10:$AK$258, MATCH(0, IF(TRUE=$AH$10:$AH$258, COUNTIF($AM$9:$AM160, $AK$10:$AK$258), ""), 0)),"")</f>
        <v/>
      </c>
      <c r="AN161" s="124" t="str">
        <f t="array" ref="AN161">IFERROR(INDEX($AK$10:$AK$258, MATCH(0, IF(TRUE=$AI$10:$AI$258, COUNTIF($AN$9:$AN160, $AK$10:$AK$258), ""), 0)),"")</f>
        <v/>
      </c>
      <c r="AY161" s="370" t="str">
        <f t="shared" si="26"/>
        <v/>
      </c>
    </row>
    <row r="162" spans="2:51" ht="15">
      <c r="B162" s="110">
        <v>153</v>
      </c>
      <c r="C162" s="165"/>
      <c r="D162" s="165"/>
      <c r="E162" s="121"/>
      <c r="F162" s="362" t="str">
        <f>IF(D162="","",VLOOKUP(D162,'G-6 Hedgerow Data'!$B$2:$AG$15,2,FALSE))</f>
        <v/>
      </c>
      <c r="G162" s="363" t="str">
        <f>IF(D162="","",VLOOKUP(D162,'G-6 Hedgerow Data'!$B$2:$AG$15,3,FALSE))</f>
        <v/>
      </c>
      <c r="H162" s="114"/>
      <c r="I162" s="363" t="str">
        <f>IFERROR(IF(AND(F162="V.Low",OR(H162="Good",H162="Moderate")),"Error ▲",VLOOKUP(H162,'G-1 All Habitats'!$Z$2:$AA$9,2,FALSE)),"")</f>
        <v/>
      </c>
      <c r="J162" s="122"/>
      <c r="K162" s="382" t="str">
        <f>IF(J162="","",IF(VLOOKUP(J162,'G-3 Multipliers'!$L$3:$N$6,2,FALSE)=0,"Spatial Data Missing ⚠",VLOOKUP(J162,'G-3 Multipliers'!$L$3:$N$6,2,FALSE)))</f>
        <v/>
      </c>
      <c r="L162" s="386" t="str">
        <f>IF(J162="","",IF(VLOOKUP(J162,'G-3 Multipliers'!$L$3:$N$6,3,FALSE)=0,"Spatial Data Missing ⚠",VLOOKUP(J162,'G-3 Multipliers'!$L$3:$N$6,3,FALSE)))</f>
        <v/>
      </c>
      <c r="M162" s="425" t="str">
        <f>IF(D162="","",VLOOKUP(D162,'G-6 Hedgerow Data'!$B$1:$AH$15,33,FALSE))</f>
        <v/>
      </c>
      <c r="N162" s="376" t="str">
        <f t="shared" si="20"/>
        <v/>
      </c>
      <c r="O162" s="516"/>
      <c r="P162" s="368" t="str">
        <f>IF(O162="","",IF(VLOOKUP(O162,'G-3 Multipliers'!$S$3:$T$10,2,FALSE)=0,"Spatial Data Missing ⚠",VLOOKUP(O162,'G-3 Multipliers'!$S$3:$T$10,2,FALSE)))</f>
        <v/>
      </c>
      <c r="Q162" s="376" t="str">
        <f t="shared" si="21"/>
        <v/>
      </c>
      <c r="R162" s="32"/>
      <c r="S162" s="114"/>
      <c r="T162" s="125"/>
      <c r="U162" s="370" t="str">
        <f t="shared" si="22"/>
        <v/>
      </c>
      <c r="V162" s="370" t="str">
        <f t="shared" si="23"/>
        <v/>
      </c>
      <c r="W162" s="374" t="str">
        <f t="shared" si="24"/>
        <v/>
      </c>
      <c r="X162" s="378" t="str">
        <f t="shared" si="25"/>
        <v/>
      </c>
      <c r="Y162" s="119"/>
      <c r="Z162" s="120"/>
      <c r="AA162" s="120"/>
      <c r="AB162" s="120"/>
      <c r="AE162" s="30" t="str">
        <f>IFERROR(INDEX('G-6 Hedgerow Data'!$BJ$3:$BJ$15,MATCH(D162,'G-6 Hedgerow Data'!$B$3:$B$15,0)),"")</f>
        <v/>
      </c>
      <c r="AH162" s="124" t="str">
        <f t="shared" si="18"/>
        <v/>
      </c>
      <c r="AI162" s="124" t="str">
        <f t="shared" si="19"/>
        <v/>
      </c>
      <c r="AK162" s="124">
        <v>153</v>
      </c>
      <c r="AM162" s="124" t="str">
        <f t="array" ref="AM162">IFERROR(INDEX($AK$10:$AK$258, MATCH(0, IF(TRUE=$AH$10:$AH$258, COUNTIF($AM$9:$AM161, $AK$10:$AK$258), ""), 0)),"")</f>
        <v/>
      </c>
      <c r="AN162" s="124" t="str">
        <f t="array" ref="AN162">IFERROR(INDEX($AK$10:$AK$258, MATCH(0, IF(TRUE=$AI$10:$AI$258, COUNTIF($AN$9:$AN161, $AK$10:$AK$258), ""), 0)),"")</f>
        <v/>
      </c>
      <c r="AY162" s="370" t="str">
        <f t="shared" si="26"/>
        <v/>
      </c>
    </row>
    <row r="163" spans="2:51" ht="15">
      <c r="B163" s="110">
        <v>154</v>
      </c>
      <c r="C163" s="165"/>
      <c r="D163" s="165"/>
      <c r="E163" s="121"/>
      <c r="F163" s="362" t="str">
        <f>IF(D163="","",VLOOKUP(D163,'G-6 Hedgerow Data'!$B$2:$AG$15,2,FALSE))</f>
        <v/>
      </c>
      <c r="G163" s="363" t="str">
        <f>IF(D163="","",VLOOKUP(D163,'G-6 Hedgerow Data'!$B$2:$AG$15,3,FALSE))</f>
        <v/>
      </c>
      <c r="H163" s="114"/>
      <c r="I163" s="363" t="str">
        <f>IFERROR(IF(AND(F163="V.Low",OR(H163="Good",H163="Moderate")),"Error ▲",VLOOKUP(H163,'G-1 All Habitats'!$Z$2:$AA$9,2,FALSE)),"")</f>
        <v/>
      </c>
      <c r="J163" s="122"/>
      <c r="K163" s="382" t="str">
        <f>IF(J163="","",IF(VLOOKUP(J163,'G-3 Multipliers'!$L$3:$N$6,2,FALSE)=0,"Spatial Data Missing ⚠",VLOOKUP(J163,'G-3 Multipliers'!$L$3:$N$6,2,FALSE)))</f>
        <v/>
      </c>
      <c r="L163" s="386" t="str">
        <f>IF(J163="","",IF(VLOOKUP(J163,'G-3 Multipliers'!$L$3:$N$6,3,FALSE)=0,"Spatial Data Missing ⚠",VLOOKUP(J163,'G-3 Multipliers'!$L$3:$N$6,3,FALSE)))</f>
        <v/>
      </c>
      <c r="M163" s="425" t="str">
        <f>IF(D163="","",VLOOKUP(D163,'G-6 Hedgerow Data'!$B$1:$AH$15,33,FALSE))</f>
        <v/>
      </c>
      <c r="N163" s="376" t="str">
        <f t="shared" si="20"/>
        <v/>
      </c>
      <c r="O163" s="516"/>
      <c r="P163" s="368" t="str">
        <f>IF(O163="","",IF(VLOOKUP(O163,'G-3 Multipliers'!$S$3:$T$10,2,FALSE)=0,"Spatial Data Missing ⚠",VLOOKUP(O163,'G-3 Multipliers'!$S$3:$T$10,2,FALSE)))</f>
        <v/>
      </c>
      <c r="Q163" s="376" t="str">
        <f t="shared" si="21"/>
        <v/>
      </c>
      <c r="R163" s="32"/>
      <c r="S163" s="114"/>
      <c r="T163" s="125"/>
      <c r="U163" s="370" t="str">
        <f t="shared" si="22"/>
        <v/>
      </c>
      <c r="V163" s="370" t="str">
        <f t="shared" si="23"/>
        <v/>
      </c>
      <c r="W163" s="374" t="str">
        <f t="shared" si="24"/>
        <v/>
      </c>
      <c r="X163" s="378" t="str">
        <f t="shared" si="25"/>
        <v/>
      </c>
      <c r="Y163" s="119"/>
      <c r="Z163" s="120"/>
      <c r="AA163" s="120"/>
      <c r="AB163" s="120"/>
      <c r="AE163" s="30" t="str">
        <f>IFERROR(INDEX('G-6 Hedgerow Data'!$BJ$3:$BJ$15,MATCH(D163,'G-6 Hedgerow Data'!$B$3:$B$15,0)),"")</f>
        <v/>
      </c>
      <c r="AH163" s="124" t="str">
        <f t="shared" si="18"/>
        <v/>
      </c>
      <c r="AI163" s="124" t="str">
        <f t="shared" si="19"/>
        <v/>
      </c>
      <c r="AK163" s="124">
        <v>154</v>
      </c>
      <c r="AM163" s="124" t="str">
        <f t="array" ref="AM163">IFERROR(INDEX($AK$10:$AK$258, MATCH(0, IF(TRUE=$AH$10:$AH$258, COUNTIF($AM$9:$AM162, $AK$10:$AK$258), ""), 0)),"")</f>
        <v/>
      </c>
      <c r="AN163" s="124" t="str">
        <f t="array" ref="AN163">IFERROR(INDEX($AK$10:$AK$258, MATCH(0, IF(TRUE=$AI$10:$AI$258, COUNTIF($AN$9:$AN162, $AK$10:$AK$258), ""), 0)),"")</f>
        <v/>
      </c>
      <c r="AY163" s="370" t="str">
        <f t="shared" si="26"/>
        <v/>
      </c>
    </row>
    <row r="164" spans="2:51" ht="15">
      <c r="B164" s="110">
        <v>155</v>
      </c>
      <c r="C164" s="165"/>
      <c r="D164" s="165"/>
      <c r="E164" s="121"/>
      <c r="F164" s="362" t="str">
        <f>IF(D164="","",VLOOKUP(D164,'G-6 Hedgerow Data'!$B$2:$AG$15,2,FALSE))</f>
        <v/>
      </c>
      <c r="G164" s="363" t="str">
        <f>IF(D164="","",VLOOKUP(D164,'G-6 Hedgerow Data'!$B$2:$AG$15,3,FALSE))</f>
        <v/>
      </c>
      <c r="H164" s="114"/>
      <c r="I164" s="363" t="str">
        <f>IFERROR(IF(AND(F164="V.Low",OR(H164="Good",H164="Moderate")),"Error ▲",VLOOKUP(H164,'G-1 All Habitats'!$Z$2:$AA$9,2,FALSE)),"")</f>
        <v/>
      </c>
      <c r="J164" s="122"/>
      <c r="K164" s="382" t="str">
        <f>IF(J164="","",IF(VLOOKUP(J164,'G-3 Multipliers'!$L$3:$N$6,2,FALSE)=0,"Spatial Data Missing ⚠",VLOOKUP(J164,'G-3 Multipliers'!$L$3:$N$6,2,FALSE)))</f>
        <v/>
      </c>
      <c r="L164" s="386" t="str">
        <f>IF(J164="","",IF(VLOOKUP(J164,'G-3 Multipliers'!$L$3:$N$6,3,FALSE)=0,"Spatial Data Missing ⚠",VLOOKUP(J164,'G-3 Multipliers'!$L$3:$N$6,3,FALSE)))</f>
        <v/>
      </c>
      <c r="M164" s="425" t="str">
        <f>IF(D164="","",VLOOKUP(D164,'G-6 Hedgerow Data'!$B$1:$AH$15,33,FALSE))</f>
        <v/>
      </c>
      <c r="N164" s="376" t="str">
        <f t="shared" si="20"/>
        <v/>
      </c>
      <c r="O164" s="516"/>
      <c r="P164" s="368" t="str">
        <f>IF(O164="","",IF(VLOOKUP(O164,'G-3 Multipliers'!$S$3:$T$10,2,FALSE)=0,"Spatial Data Missing ⚠",VLOOKUP(O164,'G-3 Multipliers'!$S$3:$T$10,2,FALSE)))</f>
        <v/>
      </c>
      <c r="Q164" s="376" t="str">
        <f t="shared" si="21"/>
        <v/>
      </c>
      <c r="R164" s="32"/>
      <c r="S164" s="114"/>
      <c r="T164" s="125"/>
      <c r="U164" s="370" t="str">
        <f t="shared" si="22"/>
        <v/>
      </c>
      <c r="V164" s="370" t="str">
        <f t="shared" si="23"/>
        <v/>
      </c>
      <c r="W164" s="374" t="str">
        <f t="shared" si="24"/>
        <v/>
      </c>
      <c r="X164" s="378" t="str">
        <f t="shared" si="25"/>
        <v/>
      </c>
      <c r="Y164" s="119"/>
      <c r="Z164" s="120"/>
      <c r="AA164" s="120"/>
      <c r="AB164" s="120"/>
      <c r="AE164" s="30" t="str">
        <f>IFERROR(INDEX('G-6 Hedgerow Data'!$BJ$3:$BJ$15,MATCH(D164,'G-6 Hedgerow Data'!$B$3:$B$15,0)),"")</f>
        <v/>
      </c>
      <c r="AH164" s="124" t="str">
        <f t="shared" si="18"/>
        <v/>
      </c>
      <c r="AI164" s="124" t="str">
        <f t="shared" si="19"/>
        <v/>
      </c>
      <c r="AK164" s="124">
        <v>155</v>
      </c>
      <c r="AM164" s="124" t="str">
        <f t="array" ref="AM164">IFERROR(INDEX($AK$10:$AK$258, MATCH(0, IF(TRUE=$AH$10:$AH$258, COUNTIF($AM$9:$AM163, $AK$10:$AK$258), ""), 0)),"")</f>
        <v/>
      </c>
      <c r="AN164" s="124" t="str">
        <f t="array" ref="AN164">IFERROR(INDEX($AK$10:$AK$258, MATCH(0, IF(TRUE=$AI$10:$AI$258, COUNTIF($AN$9:$AN163, $AK$10:$AK$258), ""), 0)),"")</f>
        <v/>
      </c>
      <c r="AY164" s="370" t="str">
        <f t="shared" si="26"/>
        <v/>
      </c>
    </row>
    <row r="165" spans="2:51" ht="15">
      <c r="B165" s="110">
        <v>156</v>
      </c>
      <c r="C165" s="165"/>
      <c r="D165" s="165"/>
      <c r="E165" s="121"/>
      <c r="F165" s="362" t="str">
        <f>IF(D165="","",VLOOKUP(D165,'G-6 Hedgerow Data'!$B$2:$AG$15,2,FALSE))</f>
        <v/>
      </c>
      <c r="G165" s="363" t="str">
        <f>IF(D165="","",VLOOKUP(D165,'G-6 Hedgerow Data'!$B$2:$AG$15,3,FALSE))</f>
        <v/>
      </c>
      <c r="H165" s="114"/>
      <c r="I165" s="363" t="str">
        <f>IFERROR(IF(AND(F165="V.Low",OR(H165="Good",H165="Moderate")),"Error ▲",VLOOKUP(H165,'G-1 All Habitats'!$Z$2:$AA$9,2,FALSE)),"")</f>
        <v/>
      </c>
      <c r="J165" s="122"/>
      <c r="K165" s="382" t="str">
        <f>IF(J165="","",IF(VLOOKUP(J165,'G-3 Multipliers'!$L$3:$N$6,2,FALSE)=0,"Spatial Data Missing ⚠",VLOOKUP(J165,'G-3 Multipliers'!$L$3:$N$6,2,FALSE)))</f>
        <v/>
      </c>
      <c r="L165" s="386" t="str">
        <f>IF(J165="","",IF(VLOOKUP(J165,'G-3 Multipliers'!$L$3:$N$6,3,FALSE)=0,"Spatial Data Missing ⚠",VLOOKUP(J165,'G-3 Multipliers'!$L$3:$N$6,3,FALSE)))</f>
        <v/>
      </c>
      <c r="M165" s="425" t="str">
        <f>IF(D165="","",VLOOKUP(D165,'G-6 Hedgerow Data'!$B$1:$AH$15,33,FALSE))</f>
        <v/>
      </c>
      <c r="N165" s="376" t="str">
        <f t="shared" si="20"/>
        <v/>
      </c>
      <c r="O165" s="516"/>
      <c r="P165" s="368" t="str">
        <f>IF(O165="","",IF(VLOOKUP(O165,'G-3 Multipliers'!$S$3:$T$10,2,FALSE)=0,"Spatial Data Missing ⚠",VLOOKUP(O165,'G-3 Multipliers'!$S$3:$T$10,2,FALSE)))</f>
        <v/>
      </c>
      <c r="Q165" s="376" t="str">
        <f t="shared" si="21"/>
        <v/>
      </c>
      <c r="R165" s="32"/>
      <c r="S165" s="114"/>
      <c r="T165" s="125"/>
      <c r="U165" s="370" t="str">
        <f t="shared" si="22"/>
        <v/>
      </c>
      <c r="V165" s="370" t="str">
        <f t="shared" si="23"/>
        <v/>
      </c>
      <c r="W165" s="374" t="str">
        <f t="shared" si="24"/>
        <v/>
      </c>
      <c r="X165" s="378" t="str">
        <f t="shared" si="25"/>
        <v/>
      </c>
      <c r="Y165" s="119"/>
      <c r="Z165" s="120"/>
      <c r="AA165" s="120"/>
      <c r="AB165" s="120"/>
      <c r="AE165" s="30" t="str">
        <f>IFERROR(INDEX('G-6 Hedgerow Data'!$BJ$3:$BJ$15,MATCH(D165,'G-6 Hedgerow Data'!$B$3:$B$15,0)),"")</f>
        <v/>
      </c>
      <c r="AH165" s="124" t="str">
        <f t="shared" si="18"/>
        <v/>
      </c>
      <c r="AI165" s="124" t="str">
        <f t="shared" si="19"/>
        <v/>
      </c>
      <c r="AK165" s="124">
        <v>156</v>
      </c>
      <c r="AM165" s="124" t="str">
        <f t="array" ref="AM165">IFERROR(INDEX($AK$10:$AK$258, MATCH(0, IF(TRUE=$AH$10:$AH$258, COUNTIF($AM$9:$AM164, $AK$10:$AK$258), ""), 0)),"")</f>
        <v/>
      </c>
      <c r="AN165" s="124" t="str">
        <f t="array" ref="AN165">IFERROR(INDEX($AK$10:$AK$258, MATCH(0, IF(TRUE=$AI$10:$AI$258, COUNTIF($AN$9:$AN164, $AK$10:$AK$258), ""), 0)),"")</f>
        <v/>
      </c>
      <c r="AY165" s="370" t="str">
        <f t="shared" si="26"/>
        <v/>
      </c>
    </row>
    <row r="166" spans="2:51" ht="15">
      <c r="B166" s="110">
        <v>157</v>
      </c>
      <c r="C166" s="165"/>
      <c r="D166" s="165"/>
      <c r="E166" s="121"/>
      <c r="F166" s="362" t="str">
        <f>IF(D166="","",VLOOKUP(D166,'G-6 Hedgerow Data'!$B$2:$AG$15,2,FALSE))</f>
        <v/>
      </c>
      <c r="G166" s="363" t="str">
        <f>IF(D166="","",VLOOKUP(D166,'G-6 Hedgerow Data'!$B$2:$AG$15,3,FALSE))</f>
        <v/>
      </c>
      <c r="H166" s="114"/>
      <c r="I166" s="363" t="str">
        <f>IFERROR(IF(AND(F166="V.Low",OR(H166="Good",H166="Moderate")),"Error ▲",VLOOKUP(H166,'G-1 All Habitats'!$Z$2:$AA$9,2,FALSE)),"")</f>
        <v/>
      </c>
      <c r="J166" s="122"/>
      <c r="K166" s="382" t="str">
        <f>IF(J166="","",IF(VLOOKUP(J166,'G-3 Multipliers'!$L$3:$N$6,2,FALSE)=0,"Spatial Data Missing ⚠",VLOOKUP(J166,'G-3 Multipliers'!$L$3:$N$6,2,FALSE)))</f>
        <v/>
      </c>
      <c r="L166" s="386" t="str">
        <f>IF(J166="","",IF(VLOOKUP(J166,'G-3 Multipliers'!$L$3:$N$6,3,FALSE)=0,"Spatial Data Missing ⚠",VLOOKUP(J166,'G-3 Multipliers'!$L$3:$N$6,3,FALSE)))</f>
        <v/>
      </c>
      <c r="M166" s="425" t="str">
        <f>IF(D166="","",VLOOKUP(D166,'G-6 Hedgerow Data'!$B$1:$AH$15,33,FALSE))</f>
        <v/>
      </c>
      <c r="N166" s="376" t="str">
        <f t="shared" si="20"/>
        <v/>
      </c>
      <c r="O166" s="516"/>
      <c r="P166" s="368" t="str">
        <f>IF(O166="","",IF(VLOOKUP(O166,'G-3 Multipliers'!$S$3:$T$10,2,FALSE)=0,"Spatial Data Missing ⚠",VLOOKUP(O166,'G-3 Multipliers'!$S$3:$T$10,2,FALSE)))</f>
        <v/>
      </c>
      <c r="Q166" s="376" t="str">
        <f t="shared" si="21"/>
        <v/>
      </c>
      <c r="R166" s="32"/>
      <c r="S166" s="114"/>
      <c r="T166" s="125"/>
      <c r="U166" s="370" t="str">
        <f t="shared" si="22"/>
        <v/>
      </c>
      <c r="V166" s="370" t="str">
        <f t="shared" si="23"/>
        <v/>
      </c>
      <c r="W166" s="374" t="str">
        <f t="shared" si="24"/>
        <v/>
      </c>
      <c r="X166" s="378" t="str">
        <f t="shared" si="25"/>
        <v/>
      </c>
      <c r="Y166" s="119"/>
      <c r="Z166" s="120"/>
      <c r="AA166" s="120"/>
      <c r="AB166" s="120"/>
      <c r="AE166" s="30" t="str">
        <f>IFERROR(INDEX('G-6 Hedgerow Data'!$BJ$3:$BJ$15,MATCH(D166,'G-6 Hedgerow Data'!$B$3:$B$15,0)),"")</f>
        <v/>
      </c>
      <c r="AH166" s="124" t="str">
        <f t="shared" si="18"/>
        <v/>
      </c>
      <c r="AI166" s="124" t="str">
        <f t="shared" si="19"/>
        <v/>
      </c>
      <c r="AK166" s="124">
        <v>157</v>
      </c>
      <c r="AM166" s="124" t="str">
        <f t="array" ref="AM166">IFERROR(INDEX($AK$10:$AK$258, MATCH(0, IF(TRUE=$AH$10:$AH$258, COUNTIF($AM$9:$AM165, $AK$10:$AK$258), ""), 0)),"")</f>
        <v/>
      </c>
      <c r="AN166" s="124" t="str">
        <f t="array" ref="AN166">IFERROR(INDEX($AK$10:$AK$258, MATCH(0, IF(TRUE=$AI$10:$AI$258, COUNTIF($AN$9:$AN165, $AK$10:$AK$258), ""), 0)),"")</f>
        <v/>
      </c>
      <c r="AY166" s="370" t="str">
        <f t="shared" si="26"/>
        <v/>
      </c>
    </row>
    <row r="167" spans="2:51" ht="15">
      <c r="B167" s="110">
        <v>158</v>
      </c>
      <c r="C167" s="165"/>
      <c r="D167" s="165"/>
      <c r="E167" s="121"/>
      <c r="F167" s="362" t="str">
        <f>IF(D167="","",VLOOKUP(D167,'G-6 Hedgerow Data'!$B$2:$AG$15,2,FALSE))</f>
        <v/>
      </c>
      <c r="G167" s="363" t="str">
        <f>IF(D167="","",VLOOKUP(D167,'G-6 Hedgerow Data'!$B$2:$AG$15,3,FALSE))</f>
        <v/>
      </c>
      <c r="H167" s="114"/>
      <c r="I167" s="363" t="str">
        <f>IFERROR(IF(AND(F167="V.Low",OR(H167="Good",H167="Moderate")),"Error ▲",VLOOKUP(H167,'G-1 All Habitats'!$Z$2:$AA$9,2,FALSE)),"")</f>
        <v/>
      </c>
      <c r="J167" s="122"/>
      <c r="K167" s="382" t="str">
        <f>IF(J167="","",IF(VLOOKUP(J167,'G-3 Multipliers'!$L$3:$N$6,2,FALSE)=0,"Spatial Data Missing ⚠",VLOOKUP(J167,'G-3 Multipliers'!$L$3:$N$6,2,FALSE)))</f>
        <v/>
      </c>
      <c r="L167" s="386" t="str">
        <f>IF(J167="","",IF(VLOOKUP(J167,'G-3 Multipliers'!$L$3:$N$6,3,FALSE)=0,"Spatial Data Missing ⚠",VLOOKUP(J167,'G-3 Multipliers'!$L$3:$N$6,3,FALSE)))</f>
        <v/>
      </c>
      <c r="M167" s="425" t="str">
        <f>IF(D167="","",VLOOKUP(D167,'G-6 Hedgerow Data'!$B$1:$AH$15,33,FALSE))</f>
        <v/>
      </c>
      <c r="N167" s="376" t="str">
        <f t="shared" si="20"/>
        <v/>
      </c>
      <c r="O167" s="516"/>
      <c r="P167" s="368" t="str">
        <f>IF(O167="","",IF(VLOOKUP(O167,'G-3 Multipliers'!$S$3:$T$10,2,FALSE)=0,"Spatial Data Missing ⚠",VLOOKUP(O167,'G-3 Multipliers'!$S$3:$T$10,2,FALSE)))</f>
        <v/>
      </c>
      <c r="Q167" s="376" t="str">
        <f t="shared" si="21"/>
        <v/>
      </c>
      <c r="R167" s="32"/>
      <c r="S167" s="114"/>
      <c r="T167" s="125"/>
      <c r="U167" s="370" t="str">
        <f t="shared" si="22"/>
        <v/>
      </c>
      <c r="V167" s="370" t="str">
        <f t="shared" si="23"/>
        <v/>
      </c>
      <c r="W167" s="374" t="str">
        <f t="shared" si="24"/>
        <v/>
      </c>
      <c r="X167" s="378" t="str">
        <f t="shared" si="25"/>
        <v/>
      </c>
      <c r="Y167" s="119"/>
      <c r="Z167" s="120"/>
      <c r="AA167" s="120"/>
      <c r="AB167" s="120"/>
      <c r="AE167" s="30" t="str">
        <f>IFERROR(INDEX('G-6 Hedgerow Data'!$BJ$3:$BJ$15,MATCH(D167,'G-6 Hedgerow Data'!$B$3:$B$15,0)),"")</f>
        <v/>
      </c>
      <c r="AH167" s="124" t="str">
        <f t="shared" si="18"/>
        <v/>
      </c>
      <c r="AI167" s="124" t="str">
        <f t="shared" si="19"/>
        <v/>
      </c>
      <c r="AK167" s="124">
        <v>158</v>
      </c>
      <c r="AM167" s="124" t="str">
        <f t="array" ref="AM167">IFERROR(INDEX($AK$10:$AK$258, MATCH(0, IF(TRUE=$AH$10:$AH$258, COUNTIF($AM$9:$AM166, $AK$10:$AK$258), ""), 0)),"")</f>
        <v/>
      </c>
      <c r="AN167" s="124" t="str">
        <f t="array" ref="AN167">IFERROR(INDEX($AK$10:$AK$258, MATCH(0, IF(TRUE=$AI$10:$AI$258, COUNTIF($AN$9:$AN166, $AK$10:$AK$258), ""), 0)),"")</f>
        <v/>
      </c>
      <c r="AY167" s="370" t="str">
        <f t="shared" si="26"/>
        <v/>
      </c>
    </row>
    <row r="168" spans="2:51" ht="15">
      <c r="B168" s="110">
        <v>159</v>
      </c>
      <c r="C168" s="165"/>
      <c r="D168" s="165"/>
      <c r="E168" s="121"/>
      <c r="F168" s="362" t="str">
        <f>IF(D168="","",VLOOKUP(D168,'G-6 Hedgerow Data'!$B$2:$AG$15,2,FALSE))</f>
        <v/>
      </c>
      <c r="G168" s="363" t="str">
        <f>IF(D168="","",VLOOKUP(D168,'G-6 Hedgerow Data'!$B$2:$AG$15,3,FALSE))</f>
        <v/>
      </c>
      <c r="H168" s="114"/>
      <c r="I168" s="363" t="str">
        <f>IFERROR(IF(AND(F168="V.Low",OR(H168="Good",H168="Moderate")),"Error ▲",VLOOKUP(H168,'G-1 All Habitats'!$Z$2:$AA$9,2,FALSE)),"")</f>
        <v/>
      </c>
      <c r="J168" s="122"/>
      <c r="K168" s="382" t="str">
        <f>IF(J168="","",IF(VLOOKUP(J168,'G-3 Multipliers'!$L$3:$N$6,2,FALSE)=0,"Spatial Data Missing ⚠",VLOOKUP(J168,'G-3 Multipliers'!$L$3:$N$6,2,FALSE)))</f>
        <v/>
      </c>
      <c r="L168" s="386" t="str">
        <f>IF(J168="","",IF(VLOOKUP(J168,'G-3 Multipliers'!$L$3:$N$6,3,FALSE)=0,"Spatial Data Missing ⚠",VLOOKUP(J168,'G-3 Multipliers'!$L$3:$N$6,3,FALSE)))</f>
        <v/>
      </c>
      <c r="M168" s="425" t="str">
        <f>IF(D168="","",VLOOKUP(D168,'G-6 Hedgerow Data'!$B$1:$AH$15,33,FALSE))</f>
        <v/>
      </c>
      <c r="N168" s="376" t="str">
        <f t="shared" si="20"/>
        <v/>
      </c>
      <c r="O168" s="516"/>
      <c r="P168" s="368" t="str">
        <f>IF(O168="","",IF(VLOOKUP(O168,'G-3 Multipliers'!$S$3:$T$10,2,FALSE)=0,"Spatial Data Missing ⚠",VLOOKUP(O168,'G-3 Multipliers'!$S$3:$T$10,2,FALSE)))</f>
        <v/>
      </c>
      <c r="Q168" s="376" t="str">
        <f t="shared" si="21"/>
        <v/>
      </c>
      <c r="R168" s="32"/>
      <c r="S168" s="114"/>
      <c r="T168" s="125"/>
      <c r="U168" s="370" t="str">
        <f t="shared" si="22"/>
        <v/>
      </c>
      <c r="V168" s="370" t="str">
        <f t="shared" si="23"/>
        <v/>
      </c>
      <c r="W168" s="374" t="str">
        <f t="shared" si="24"/>
        <v/>
      </c>
      <c r="X168" s="378" t="str">
        <f t="shared" si="25"/>
        <v/>
      </c>
      <c r="Y168" s="119"/>
      <c r="Z168" s="120"/>
      <c r="AA168" s="120"/>
      <c r="AB168" s="120"/>
      <c r="AE168" s="30" t="str">
        <f>IFERROR(INDEX('G-6 Hedgerow Data'!$BJ$3:$BJ$15,MATCH(D168,'G-6 Hedgerow Data'!$B$3:$B$15,0)),"")</f>
        <v/>
      </c>
      <c r="AH168" s="124" t="str">
        <f t="shared" si="18"/>
        <v/>
      </c>
      <c r="AI168" s="124" t="str">
        <f t="shared" si="19"/>
        <v/>
      </c>
      <c r="AK168" s="124">
        <v>159</v>
      </c>
      <c r="AM168" s="124" t="str">
        <f t="array" ref="AM168">IFERROR(INDEX($AK$10:$AK$258, MATCH(0, IF(TRUE=$AH$10:$AH$258, COUNTIF($AM$9:$AM167, $AK$10:$AK$258), ""), 0)),"")</f>
        <v/>
      </c>
      <c r="AN168" s="124" t="str">
        <f t="array" ref="AN168">IFERROR(INDEX($AK$10:$AK$258, MATCH(0, IF(TRUE=$AI$10:$AI$258, COUNTIF($AN$9:$AN167, $AK$10:$AK$258), ""), 0)),"")</f>
        <v/>
      </c>
      <c r="AY168" s="370" t="str">
        <f t="shared" si="26"/>
        <v/>
      </c>
    </row>
    <row r="169" spans="2:51" ht="15">
      <c r="B169" s="110">
        <v>160</v>
      </c>
      <c r="C169" s="165"/>
      <c r="D169" s="165"/>
      <c r="E169" s="121"/>
      <c r="F169" s="362" t="str">
        <f>IF(D169="","",VLOOKUP(D169,'G-6 Hedgerow Data'!$B$2:$AG$15,2,FALSE))</f>
        <v/>
      </c>
      <c r="G169" s="363" t="str">
        <f>IF(D169="","",VLOOKUP(D169,'G-6 Hedgerow Data'!$B$2:$AG$15,3,FALSE))</f>
        <v/>
      </c>
      <c r="H169" s="114"/>
      <c r="I169" s="363" t="str">
        <f>IFERROR(IF(AND(F169="V.Low",OR(H169="Good",H169="Moderate")),"Error ▲",VLOOKUP(H169,'G-1 All Habitats'!$Z$2:$AA$9,2,FALSE)),"")</f>
        <v/>
      </c>
      <c r="J169" s="122"/>
      <c r="K169" s="382" t="str">
        <f>IF(J169="","",IF(VLOOKUP(J169,'G-3 Multipliers'!$L$3:$N$6,2,FALSE)=0,"Spatial Data Missing ⚠",VLOOKUP(J169,'G-3 Multipliers'!$L$3:$N$6,2,FALSE)))</f>
        <v/>
      </c>
      <c r="L169" s="386" t="str">
        <f>IF(J169="","",IF(VLOOKUP(J169,'G-3 Multipliers'!$L$3:$N$6,3,FALSE)=0,"Spatial Data Missing ⚠",VLOOKUP(J169,'G-3 Multipliers'!$L$3:$N$6,3,FALSE)))</f>
        <v/>
      </c>
      <c r="M169" s="425" t="str">
        <f>IF(D169="","",VLOOKUP(D169,'G-6 Hedgerow Data'!$B$1:$AH$15,33,FALSE))</f>
        <v/>
      </c>
      <c r="N169" s="376" t="str">
        <f t="shared" si="20"/>
        <v/>
      </c>
      <c r="O169" s="516"/>
      <c r="P169" s="368" t="str">
        <f>IF(O169="","",IF(VLOOKUP(O169,'G-3 Multipliers'!$S$3:$T$10,2,FALSE)=0,"Spatial Data Missing ⚠",VLOOKUP(O169,'G-3 Multipliers'!$S$3:$T$10,2,FALSE)))</f>
        <v/>
      </c>
      <c r="Q169" s="376" t="str">
        <f t="shared" si="21"/>
        <v/>
      </c>
      <c r="R169" s="32"/>
      <c r="S169" s="114"/>
      <c r="T169" s="125"/>
      <c r="U169" s="370" t="str">
        <f t="shared" si="22"/>
        <v/>
      </c>
      <c r="V169" s="370" t="str">
        <f t="shared" si="23"/>
        <v/>
      </c>
      <c r="W169" s="374" t="str">
        <f t="shared" si="24"/>
        <v/>
      </c>
      <c r="X169" s="378" t="str">
        <f t="shared" si="25"/>
        <v/>
      </c>
      <c r="Y169" s="119"/>
      <c r="Z169" s="120"/>
      <c r="AA169" s="120"/>
      <c r="AB169" s="120"/>
      <c r="AE169" s="30" t="str">
        <f>IFERROR(INDEX('G-6 Hedgerow Data'!$BJ$3:$BJ$15,MATCH(D169,'G-6 Hedgerow Data'!$B$3:$B$15,0)),"")</f>
        <v/>
      </c>
      <c r="AH169" s="124" t="str">
        <f t="shared" si="18"/>
        <v/>
      </c>
      <c r="AI169" s="124" t="str">
        <f t="shared" si="19"/>
        <v/>
      </c>
      <c r="AK169" s="124">
        <v>160</v>
      </c>
      <c r="AM169" s="124" t="str">
        <f t="array" ref="AM169">IFERROR(INDEX($AK$10:$AK$258, MATCH(0, IF(TRUE=$AH$10:$AH$258, COUNTIF($AM$9:$AM168, $AK$10:$AK$258), ""), 0)),"")</f>
        <v/>
      </c>
      <c r="AN169" s="124" t="str">
        <f t="array" ref="AN169">IFERROR(INDEX($AK$10:$AK$258, MATCH(0, IF(TRUE=$AI$10:$AI$258, COUNTIF($AN$9:$AN168, $AK$10:$AK$258), ""), 0)),"")</f>
        <v/>
      </c>
      <c r="AY169" s="370" t="str">
        <f t="shared" si="26"/>
        <v/>
      </c>
    </row>
    <row r="170" spans="2:51" ht="15">
      <c r="B170" s="110">
        <v>161</v>
      </c>
      <c r="C170" s="165"/>
      <c r="D170" s="165"/>
      <c r="E170" s="121"/>
      <c r="F170" s="362" t="str">
        <f>IF(D170="","",VLOOKUP(D170,'G-6 Hedgerow Data'!$B$2:$AG$15,2,FALSE))</f>
        <v/>
      </c>
      <c r="G170" s="363" t="str">
        <f>IF(D170="","",VLOOKUP(D170,'G-6 Hedgerow Data'!$B$2:$AG$15,3,FALSE))</f>
        <v/>
      </c>
      <c r="H170" s="114"/>
      <c r="I170" s="363" t="str">
        <f>IFERROR(IF(AND(F170="V.Low",OR(H170="Good",H170="Moderate")),"Error ▲",VLOOKUP(H170,'G-1 All Habitats'!$Z$2:$AA$9,2,FALSE)),"")</f>
        <v/>
      </c>
      <c r="J170" s="122"/>
      <c r="K170" s="382" t="str">
        <f>IF(J170="","",IF(VLOOKUP(J170,'G-3 Multipliers'!$L$3:$N$6,2,FALSE)=0,"Spatial Data Missing ⚠",VLOOKUP(J170,'G-3 Multipliers'!$L$3:$N$6,2,FALSE)))</f>
        <v/>
      </c>
      <c r="L170" s="386" t="str">
        <f>IF(J170="","",IF(VLOOKUP(J170,'G-3 Multipliers'!$L$3:$N$6,3,FALSE)=0,"Spatial Data Missing ⚠",VLOOKUP(J170,'G-3 Multipliers'!$L$3:$N$6,3,FALSE)))</f>
        <v/>
      </c>
      <c r="M170" s="425" t="str">
        <f>IF(D170="","",VLOOKUP(D170,'G-6 Hedgerow Data'!$B$1:$AH$15,33,FALSE))</f>
        <v/>
      </c>
      <c r="N170" s="376" t="str">
        <f t="shared" si="20"/>
        <v/>
      </c>
      <c r="O170" s="516"/>
      <c r="P170" s="368" t="str">
        <f>IF(O170="","",IF(VLOOKUP(O170,'G-3 Multipliers'!$S$3:$T$10,2,FALSE)=0,"Spatial Data Missing ⚠",VLOOKUP(O170,'G-3 Multipliers'!$S$3:$T$10,2,FALSE)))</f>
        <v/>
      </c>
      <c r="Q170" s="376" t="str">
        <f t="shared" si="21"/>
        <v/>
      </c>
      <c r="R170" s="32"/>
      <c r="S170" s="114"/>
      <c r="T170" s="125"/>
      <c r="U170" s="370" t="str">
        <f t="shared" si="22"/>
        <v/>
      </c>
      <c r="V170" s="370" t="str">
        <f t="shared" si="23"/>
        <v/>
      </c>
      <c r="W170" s="374" t="str">
        <f t="shared" si="24"/>
        <v/>
      </c>
      <c r="X170" s="378" t="str">
        <f t="shared" si="25"/>
        <v/>
      </c>
      <c r="Y170" s="119"/>
      <c r="Z170" s="120"/>
      <c r="AA170" s="120"/>
      <c r="AB170" s="120"/>
      <c r="AE170" s="30" t="str">
        <f>IFERROR(INDEX('G-6 Hedgerow Data'!$BJ$3:$BJ$15,MATCH(D170,'G-6 Hedgerow Data'!$B$3:$B$15,0)),"")</f>
        <v/>
      </c>
      <c r="AH170" s="124" t="str">
        <f t="shared" si="18"/>
        <v/>
      </c>
      <c r="AI170" s="124" t="str">
        <f t="shared" si="19"/>
        <v/>
      </c>
      <c r="AK170" s="124">
        <v>161</v>
      </c>
      <c r="AM170" s="124" t="str">
        <f t="array" ref="AM170">IFERROR(INDEX($AK$10:$AK$258, MATCH(0, IF(TRUE=$AH$10:$AH$258, COUNTIF($AM$9:$AM169, $AK$10:$AK$258), ""), 0)),"")</f>
        <v/>
      </c>
      <c r="AN170" s="124" t="str">
        <f t="array" ref="AN170">IFERROR(INDEX($AK$10:$AK$258, MATCH(0, IF(TRUE=$AI$10:$AI$258, COUNTIF($AN$9:$AN169, $AK$10:$AK$258), ""), 0)),"")</f>
        <v/>
      </c>
      <c r="AY170" s="370" t="str">
        <f t="shared" si="26"/>
        <v/>
      </c>
    </row>
    <row r="171" spans="2:51" ht="15">
      <c r="B171" s="110">
        <v>162</v>
      </c>
      <c r="C171" s="165"/>
      <c r="D171" s="165"/>
      <c r="E171" s="121"/>
      <c r="F171" s="362" t="str">
        <f>IF(D171="","",VLOOKUP(D171,'G-6 Hedgerow Data'!$B$2:$AG$15,2,FALSE))</f>
        <v/>
      </c>
      <c r="G171" s="363" t="str">
        <f>IF(D171="","",VLOOKUP(D171,'G-6 Hedgerow Data'!$B$2:$AG$15,3,FALSE))</f>
        <v/>
      </c>
      <c r="H171" s="114"/>
      <c r="I171" s="363" t="str">
        <f>IFERROR(IF(AND(F171="V.Low",OR(H171="Good",H171="Moderate")),"Error ▲",VLOOKUP(H171,'G-1 All Habitats'!$Z$2:$AA$9,2,FALSE)),"")</f>
        <v/>
      </c>
      <c r="J171" s="122"/>
      <c r="K171" s="382" t="str">
        <f>IF(J171="","",IF(VLOOKUP(J171,'G-3 Multipliers'!$L$3:$N$6,2,FALSE)=0,"Spatial Data Missing ⚠",VLOOKUP(J171,'G-3 Multipliers'!$L$3:$N$6,2,FALSE)))</f>
        <v/>
      </c>
      <c r="L171" s="386" t="str">
        <f>IF(J171="","",IF(VLOOKUP(J171,'G-3 Multipliers'!$L$3:$N$6,3,FALSE)=0,"Spatial Data Missing ⚠",VLOOKUP(J171,'G-3 Multipliers'!$L$3:$N$6,3,FALSE)))</f>
        <v/>
      </c>
      <c r="M171" s="425" t="str">
        <f>IF(D171="","",VLOOKUP(D171,'G-6 Hedgerow Data'!$B$1:$AH$15,33,FALSE))</f>
        <v/>
      </c>
      <c r="N171" s="376" t="str">
        <f t="shared" si="20"/>
        <v/>
      </c>
      <c r="O171" s="516"/>
      <c r="P171" s="368" t="str">
        <f>IF(O171="","",IF(VLOOKUP(O171,'G-3 Multipliers'!$S$3:$T$10,2,FALSE)=0,"Spatial Data Missing ⚠",VLOOKUP(O171,'G-3 Multipliers'!$S$3:$T$10,2,FALSE)))</f>
        <v/>
      </c>
      <c r="Q171" s="376" t="str">
        <f t="shared" si="21"/>
        <v/>
      </c>
      <c r="R171" s="32"/>
      <c r="S171" s="114"/>
      <c r="T171" s="125"/>
      <c r="U171" s="370" t="str">
        <f t="shared" si="22"/>
        <v/>
      </c>
      <c r="V171" s="370" t="str">
        <f t="shared" si="23"/>
        <v/>
      </c>
      <c r="W171" s="374" t="str">
        <f t="shared" si="24"/>
        <v/>
      </c>
      <c r="X171" s="378" t="str">
        <f t="shared" si="25"/>
        <v/>
      </c>
      <c r="Y171" s="119"/>
      <c r="Z171" s="120"/>
      <c r="AA171" s="120"/>
      <c r="AB171" s="120"/>
      <c r="AE171" s="30" t="str">
        <f>IFERROR(INDEX('G-6 Hedgerow Data'!$BJ$3:$BJ$15,MATCH(D171,'G-6 Hedgerow Data'!$B$3:$B$15,0)),"")</f>
        <v/>
      </c>
      <c r="AH171" s="124" t="str">
        <f t="shared" si="18"/>
        <v/>
      </c>
      <c r="AI171" s="124" t="str">
        <f t="shared" si="19"/>
        <v/>
      </c>
      <c r="AK171" s="124">
        <v>162</v>
      </c>
      <c r="AM171" s="124" t="str">
        <f t="array" ref="AM171">IFERROR(INDEX($AK$10:$AK$258, MATCH(0, IF(TRUE=$AH$10:$AH$258, COUNTIF($AM$9:$AM170, $AK$10:$AK$258), ""), 0)),"")</f>
        <v/>
      </c>
      <c r="AN171" s="124" t="str">
        <f t="array" ref="AN171">IFERROR(INDEX($AK$10:$AK$258, MATCH(0, IF(TRUE=$AI$10:$AI$258, COUNTIF($AN$9:$AN170, $AK$10:$AK$258), ""), 0)),"")</f>
        <v/>
      </c>
      <c r="AY171" s="370" t="str">
        <f t="shared" si="26"/>
        <v/>
      </c>
    </row>
    <row r="172" spans="2:51" ht="15">
      <c r="B172" s="110">
        <v>163</v>
      </c>
      <c r="C172" s="165"/>
      <c r="D172" s="165"/>
      <c r="E172" s="121"/>
      <c r="F172" s="362" t="str">
        <f>IF(D172="","",VLOOKUP(D172,'G-6 Hedgerow Data'!$B$2:$AG$15,2,FALSE))</f>
        <v/>
      </c>
      <c r="G172" s="363" t="str">
        <f>IF(D172="","",VLOOKUP(D172,'G-6 Hedgerow Data'!$B$2:$AG$15,3,FALSE))</f>
        <v/>
      </c>
      <c r="H172" s="114"/>
      <c r="I172" s="363" t="str">
        <f>IFERROR(IF(AND(F172="V.Low",OR(H172="Good",H172="Moderate")),"Error ▲",VLOOKUP(H172,'G-1 All Habitats'!$Z$2:$AA$9,2,FALSE)),"")</f>
        <v/>
      </c>
      <c r="J172" s="122"/>
      <c r="K172" s="382" t="str">
        <f>IF(J172="","",IF(VLOOKUP(J172,'G-3 Multipliers'!$L$3:$N$6,2,FALSE)=0,"Spatial Data Missing ⚠",VLOOKUP(J172,'G-3 Multipliers'!$L$3:$N$6,2,FALSE)))</f>
        <v/>
      </c>
      <c r="L172" s="386" t="str">
        <f>IF(J172="","",IF(VLOOKUP(J172,'G-3 Multipliers'!$L$3:$N$6,3,FALSE)=0,"Spatial Data Missing ⚠",VLOOKUP(J172,'G-3 Multipliers'!$L$3:$N$6,3,FALSE)))</f>
        <v/>
      </c>
      <c r="M172" s="425" t="str">
        <f>IF(D172="","",VLOOKUP(D172,'G-6 Hedgerow Data'!$B$1:$AH$15,33,FALSE))</f>
        <v/>
      </c>
      <c r="N172" s="376" t="str">
        <f t="shared" si="20"/>
        <v/>
      </c>
      <c r="O172" s="516"/>
      <c r="P172" s="368" t="str">
        <f>IF(O172="","",IF(VLOOKUP(O172,'G-3 Multipliers'!$S$3:$T$10,2,FALSE)=0,"Spatial Data Missing ⚠",VLOOKUP(O172,'G-3 Multipliers'!$S$3:$T$10,2,FALSE)))</f>
        <v/>
      </c>
      <c r="Q172" s="376" t="str">
        <f t="shared" si="21"/>
        <v/>
      </c>
      <c r="R172" s="32"/>
      <c r="S172" s="114"/>
      <c r="T172" s="125"/>
      <c r="U172" s="370" t="str">
        <f t="shared" si="22"/>
        <v/>
      </c>
      <c r="V172" s="370" t="str">
        <f t="shared" si="23"/>
        <v/>
      </c>
      <c r="W172" s="374" t="str">
        <f t="shared" si="24"/>
        <v/>
      </c>
      <c r="X172" s="378" t="str">
        <f t="shared" si="25"/>
        <v/>
      </c>
      <c r="Y172" s="119"/>
      <c r="Z172" s="120"/>
      <c r="AA172" s="120"/>
      <c r="AB172" s="120"/>
      <c r="AE172" s="30" t="str">
        <f>IFERROR(INDEX('G-6 Hedgerow Data'!$BJ$3:$BJ$15,MATCH(D172,'G-6 Hedgerow Data'!$B$3:$B$15,0)),"")</f>
        <v/>
      </c>
      <c r="AH172" s="124" t="str">
        <f t="shared" si="18"/>
        <v/>
      </c>
      <c r="AI172" s="124" t="str">
        <f t="shared" si="19"/>
        <v/>
      </c>
      <c r="AK172" s="124">
        <v>163</v>
      </c>
      <c r="AM172" s="124" t="str">
        <f t="array" ref="AM172">IFERROR(INDEX($AK$10:$AK$258, MATCH(0, IF(TRUE=$AH$10:$AH$258, COUNTIF($AM$9:$AM171, $AK$10:$AK$258), ""), 0)),"")</f>
        <v/>
      </c>
      <c r="AN172" s="124" t="str">
        <f t="array" ref="AN172">IFERROR(INDEX($AK$10:$AK$258, MATCH(0, IF(TRUE=$AI$10:$AI$258, COUNTIF($AN$9:$AN171, $AK$10:$AK$258), ""), 0)),"")</f>
        <v/>
      </c>
      <c r="AY172" s="370" t="str">
        <f t="shared" si="26"/>
        <v/>
      </c>
    </row>
    <row r="173" spans="2:51" ht="15">
      <c r="B173" s="110">
        <v>164</v>
      </c>
      <c r="C173" s="165"/>
      <c r="D173" s="165"/>
      <c r="E173" s="121"/>
      <c r="F173" s="362" t="str">
        <f>IF(D173="","",VLOOKUP(D173,'G-6 Hedgerow Data'!$B$2:$AG$15,2,FALSE))</f>
        <v/>
      </c>
      <c r="G173" s="363" t="str">
        <f>IF(D173="","",VLOOKUP(D173,'G-6 Hedgerow Data'!$B$2:$AG$15,3,FALSE))</f>
        <v/>
      </c>
      <c r="H173" s="114"/>
      <c r="I173" s="363" t="str">
        <f>IFERROR(IF(AND(F173="V.Low",OR(H173="Good",H173="Moderate")),"Error ▲",VLOOKUP(H173,'G-1 All Habitats'!$Z$2:$AA$9,2,FALSE)),"")</f>
        <v/>
      </c>
      <c r="J173" s="122"/>
      <c r="K173" s="382" t="str">
        <f>IF(J173="","",IF(VLOOKUP(J173,'G-3 Multipliers'!$L$3:$N$6,2,FALSE)=0,"Spatial Data Missing ⚠",VLOOKUP(J173,'G-3 Multipliers'!$L$3:$N$6,2,FALSE)))</f>
        <v/>
      </c>
      <c r="L173" s="386" t="str">
        <f>IF(J173="","",IF(VLOOKUP(J173,'G-3 Multipliers'!$L$3:$N$6,3,FALSE)=0,"Spatial Data Missing ⚠",VLOOKUP(J173,'G-3 Multipliers'!$L$3:$N$6,3,FALSE)))</f>
        <v/>
      </c>
      <c r="M173" s="425" t="str">
        <f>IF(D173="","",VLOOKUP(D173,'G-6 Hedgerow Data'!$B$1:$AH$15,33,FALSE))</f>
        <v/>
      </c>
      <c r="N173" s="376" t="str">
        <f t="shared" si="20"/>
        <v/>
      </c>
      <c r="O173" s="516"/>
      <c r="P173" s="368" t="str">
        <f>IF(O173="","",IF(VLOOKUP(O173,'G-3 Multipliers'!$S$3:$T$10,2,FALSE)=0,"Spatial Data Missing ⚠",VLOOKUP(O173,'G-3 Multipliers'!$S$3:$T$10,2,FALSE)))</f>
        <v/>
      </c>
      <c r="Q173" s="376" t="str">
        <f t="shared" si="21"/>
        <v/>
      </c>
      <c r="R173" s="32"/>
      <c r="S173" s="114"/>
      <c r="T173" s="125"/>
      <c r="U173" s="370" t="str">
        <f t="shared" si="22"/>
        <v/>
      </c>
      <c r="V173" s="370" t="str">
        <f t="shared" si="23"/>
        <v/>
      </c>
      <c r="W173" s="374" t="str">
        <f t="shared" si="24"/>
        <v/>
      </c>
      <c r="X173" s="378" t="str">
        <f t="shared" si="25"/>
        <v/>
      </c>
      <c r="Y173" s="119"/>
      <c r="Z173" s="120"/>
      <c r="AA173" s="120"/>
      <c r="AB173" s="120"/>
      <c r="AE173" s="30" t="str">
        <f>IFERROR(INDEX('G-6 Hedgerow Data'!$BJ$3:$BJ$15,MATCH(D173,'G-6 Hedgerow Data'!$B$3:$B$15,0)),"")</f>
        <v/>
      </c>
      <c r="AH173" s="124" t="str">
        <f t="shared" si="18"/>
        <v/>
      </c>
      <c r="AI173" s="124" t="str">
        <f t="shared" si="19"/>
        <v/>
      </c>
      <c r="AK173" s="124">
        <v>164</v>
      </c>
      <c r="AM173" s="124" t="str">
        <f t="array" ref="AM173">IFERROR(INDEX($AK$10:$AK$258, MATCH(0, IF(TRUE=$AH$10:$AH$258, COUNTIF($AM$9:$AM172, $AK$10:$AK$258), ""), 0)),"")</f>
        <v/>
      </c>
      <c r="AN173" s="124" t="str">
        <f t="array" ref="AN173">IFERROR(INDEX($AK$10:$AK$258, MATCH(0, IF(TRUE=$AI$10:$AI$258, COUNTIF($AN$9:$AN172, $AK$10:$AK$258), ""), 0)),"")</f>
        <v/>
      </c>
      <c r="AY173" s="370" t="str">
        <f t="shared" si="26"/>
        <v/>
      </c>
    </row>
    <row r="174" spans="2:51" ht="15">
      <c r="B174" s="110">
        <v>165</v>
      </c>
      <c r="C174" s="165"/>
      <c r="D174" s="165"/>
      <c r="E174" s="121"/>
      <c r="F174" s="362" t="str">
        <f>IF(D174="","",VLOOKUP(D174,'G-6 Hedgerow Data'!$B$2:$AG$15,2,FALSE))</f>
        <v/>
      </c>
      <c r="G174" s="363" t="str">
        <f>IF(D174="","",VLOOKUP(D174,'G-6 Hedgerow Data'!$B$2:$AG$15,3,FALSE))</f>
        <v/>
      </c>
      <c r="H174" s="114"/>
      <c r="I174" s="363" t="str">
        <f>IFERROR(IF(AND(F174="V.Low",OR(H174="Good",H174="Moderate")),"Error ▲",VLOOKUP(H174,'G-1 All Habitats'!$Z$2:$AA$9,2,FALSE)),"")</f>
        <v/>
      </c>
      <c r="J174" s="122"/>
      <c r="K174" s="382" t="str">
        <f>IF(J174="","",IF(VLOOKUP(J174,'G-3 Multipliers'!$L$3:$N$6,2,FALSE)=0,"Spatial Data Missing ⚠",VLOOKUP(J174,'G-3 Multipliers'!$L$3:$N$6,2,FALSE)))</f>
        <v/>
      </c>
      <c r="L174" s="386" t="str">
        <f>IF(J174="","",IF(VLOOKUP(J174,'G-3 Multipliers'!$L$3:$N$6,3,FALSE)=0,"Spatial Data Missing ⚠",VLOOKUP(J174,'G-3 Multipliers'!$L$3:$N$6,3,FALSE)))</f>
        <v/>
      </c>
      <c r="M174" s="425" t="str">
        <f>IF(D174="","",VLOOKUP(D174,'G-6 Hedgerow Data'!$B$1:$AH$15,33,FALSE))</f>
        <v/>
      </c>
      <c r="N174" s="376" t="str">
        <f t="shared" si="20"/>
        <v/>
      </c>
      <c r="O174" s="516"/>
      <c r="P174" s="368" t="str">
        <f>IF(O174="","",IF(VLOOKUP(O174,'G-3 Multipliers'!$S$3:$T$10,2,FALSE)=0,"Spatial Data Missing ⚠",VLOOKUP(O174,'G-3 Multipliers'!$S$3:$T$10,2,FALSE)))</f>
        <v/>
      </c>
      <c r="Q174" s="376" t="str">
        <f t="shared" si="21"/>
        <v/>
      </c>
      <c r="R174" s="32"/>
      <c r="S174" s="114"/>
      <c r="T174" s="125"/>
      <c r="U174" s="370" t="str">
        <f t="shared" si="22"/>
        <v/>
      </c>
      <c r="V174" s="370" t="str">
        <f t="shared" si="23"/>
        <v/>
      </c>
      <c r="W174" s="374" t="str">
        <f t="shared" si="24"/>
        <v/>
      </c>
      <c r="X174" s="378" t="str">
        <f t="shared" si="25"/>
        <v/>
      </c>
      <c r="Y174" s="119"/>
      <c r="Z174" s="120"/>
      <c r="AA174" s="120"/>
      <c r="AB174" s="120"/>
      <c r="AE174" s="30" t="str">
        <f>IFERROR(INDEX('G-6 Hedgerow Data'!$BJ$3:$BJ$15,MATCH(D174,'G-6 Hedgerow Data'!$B$3:$B$15,0)),"")</f>
        <v/>
      </c>
      <c r="AH174" s="124" t="str">
        <f t="shared" si="18"/>
        <v/>
      </c>
      <c r="AI174" s="124" t="str">
        <f t="shared" si="19"/>
        <v/>
      </c>
      <c r="AK174" s="124">
        <v>165</v>
      </c>
      <c r="AM174" s="124" t="str">
        <f t="array" ref="AM174">IFERROR(INDEX($AK$10:$AK$258, MATCH(0, IF(TRUE=$AH$10:$AH$258, COUNTIF($AM$9:$AM173, $AK$10:$AK$258), ""), 0)),"")</f>
        <v/>
      </c>
      <c r="AN174" s="124" t="str">
        <f t="array" ref="AN174">IFERROR(INDEX($AK$10:$AK$258, MATCH(0, IF(TRUE=$AI$10:$AI$258, COUNTIF($AN$9:$AN173, $AK$10:$AK$258), ""), 0)),"")</f>
        <v/>
      </c>
      <c r="AY174" s="370" t="str">
        <f t="shared" si="26"/>
        <v/>
      </c>
    </row>
    <row r="175" spans="2:51" ht="15">
      <c r="B175" s="110">
        <v>166</v>
      </c>
      <c r="C175" s="165"/>
      <c r="D175" s="165"/>
      <c r="E175" s="121"/>
      <c r="F175" s="362" t="str">
        <f>IF(D175="","",VLOOKUP(D175,'G-6 Hedgerow Data'!$B$2:$AG$15,2,FALSE))</f>
        <v/>
      </c>
      <c r="G175" s="363" t="str">
        <f>IF(D175="","",VLOOKUP(D175,'G-6 Hedgerow Data'!$B$2:$AG$15,3,FALSE))</f>
        <v/>
      </c>
      <c r="H175" s="114"/>
      <c r="I175" s="363" t="str">
        <f>IFERROR(IF(AND(F175="V.Low",OR(H175="Good",H175="Moderate")),"Error ▲",VLOOKUP(H175,'G-1 All Habitats'!$Z$2:$AA$9,2,FALSE)),"")</f>
        <v/>
      </c>
      <c r="J175" s="122"/>
      <c r="K175" s="382" t="str">
        <f>IF(J175="","",IF(VLOOKUP(J175,'G-3 Multipliers'!$L$3:$N$6,2,FALSE)=0,"Spatial Data Missing ⚠",VLOOKUP(J175,'G-3 Multipliers'!$L$3:$N$6,2,FALSE)))</f>
        <v/>
      </c>
      <c r="L175" s="386" t="str">
        <f>IF(J175="","",IF(VLOOKUP(J175,'G-3 Multipliers'!$L$3:$N$6,3,FALSE)=0,"Spatial Data Missing ⚠",VLOOKUP(J175,'G-3 Multipliers'!$L$3:$N$6,3,FALSE)))</f>
        <v/>
      </c>
      <c r="M175" s="425" t="str">
        <f>IF(D175="","",VLOOKUP(D175,'G-6 Hedgerow Data'!$B$1:$AH$15,33,FALSE))</f>
        <v/>
      </c>
      <c r="N175" s="376" t="str">
        <f t="shared" si="20"/>
        <v/>
      </c>
      <c r="O175" s="516"/>
      <c r="P175" s="368" t="str">
        <f>IF(O175="","",IF(VLOOKUP(O175,'G-3 Multipliers'!$S$3:$T$10,2,FALSE)=0,"Spatial Data Missing ⚠",VLOOKUP(O175,'G-3 Multipliers'!$S$3:$T$10,2,FALSE)))</f>
        <v/>
      </c>
      <c r="Q175" s="376" t="str">
        <f t="shared" si="21"/>
        <v/>
      </c>
      <c r="R175" s="32"/>
      <c r="S175" s="114"/>
      <c r="T175" s="125"/>
      <c r="U175" s="370" t="str">
        <f t="shared" si="22"/>
        <v/>
      </c>
      <c r="V175" s="370" t="str">
        <f t="shared" si="23"/>
        <v/>
      </c>
      <c r="W175" s="374" t="str">
        <f t="shared" si="24"/>
        <v/>
      </c>
      <c r="X175" s="378" t="str">
        <f t="shared" si="25"/>
        <v/>
      </c>
      <c r="Y175" s="119"/>
      <c r="Z175" s="120"/>
      <c r="AA175" s="120"/>
      <c r="AB175" s="120"/>
      <c r="AE175" s="30" t="str">
        <f>IFERROR(INDEX('G-6 Hedgerow Data'!$BJ$3:$BJ$15,MATCH(D175,'G-6 Hedgerow Data'!$B$3:$B$15,0)),"")</f>
        <v/>
      </c>
      <c r="AH175" s="124" t="str">
        <f t="shared" si="18"/>
        <v/>
      </c>
      <c r="AI175" s="124" t="str">
        <f t="shared" si="19"/>
        <v/>
      </c>
      <c r="AK175" s="124">
        <v>166</v>
      </c>
      <c r="AM175" s="124" t="str">
        <f t="array" ref="AM175">IFERROR(INDEX($AK$10:$AK$258, MATCH(0, IF(TRUE=$AH$10:$AH$258, COUNTIF($AM$9:$AM174, $AK$10:$AK$258), ""), 0)),"")</f>
        <v/>
      </c>
      <c r="AN175" s="124" t="str">
        <f t="array" ref="AN175">IFERROR(INDEX($AK$10:$AK$258, MATCH(0, IF(TRUE=$AI$10:$AI$258, COUNTIF($AN$9:$AN174, $AK$10:$AK$258), ""), 0)),"")</f>
        <v/>
      </c>
      <c r="AY175" s="370" t="str">
        <f t="shared" si="26"/>
        <v/>
      </c>
    </row>
    <row r="176" spans="2:51" ht="15">
      <c r="B176" s="110">
        <v>167</v>
      </c>
      <c r="C176" s="165"/>
      <c r="D176" s="165"/>
      <c r="E176" s="121"/>
      <c r="F176" s="362" t="str">
        <f>IF(D176="","",VLOOKUP(D176,'G-6 Hedgerow Data'!$B$2:$AG$15,2,FALSE))</f>
        <v/>
      </c>
      <c r="G176" s="363" t="str">
        <f>IF(D176="","",VLOOKUP(D176,'G-6 Hedgerow Data'!$B$2:$AG$15,3,FALSE))</f>
        <v/>
      </c>
      <c r="H176" s="114"/>
      <c r="I176" s="363" t="str">
        <f>IFERROR(IF(AND(F176="V.Low",OR(H176="Good",H176="Moderate")),"Error ▲",VLOOKUP(H176,'G-1 All Habitats'!$Z$2:$AA$9,2,FALSE)),"")</f>
        <v/>
      </c>
      <c r="J176" s="122"/>
      <c r="K176" s="382" t="str">
        <f>IF(J176="","",IF(VLOOKUP(J176,'G-3 Multipliers'!$L$3:$N$6,2,FALSE)=0,"Spatial Data Missing ⚠",VLOOKUP(J176,'G-3 Multipliers'!$L$3:$N$6,2,FALSE)))</f>
        <v/>
      </c>
      <c r="L176" s="386" t="str">
        <f>IF(J176="","",IF(VLOOKUP(J176,'G-3 Multipliers'!$L$3:$N$6,3,FALSE)=0,"Spatial Data Missing ⚠",VLOOKUP(J176,'G-3 Multipliers'!$L$3:$N$6,3,FALSE)))</f>
        <v/>
      </c>
      <c r="M176" s="425" t="str">
        <f>IF(D176="","",VLOOKUP(D176,'G-6 Hedgerow Data'!$B$1:$AH$15,33,FALSE))</f>
        <v/>
      </c>
      <c r="N176" s="376" t="str">
        <f t="shared" si="20"/>
        <v/>
      </c>
      <c r="O176" s="516"/>
      <c r="P176" s="368" t="str">
        <f>IF(O176="","",IF(VLOOKUP(O176,'G-3 Multipliers'!$S$3:$T$10,2,FALSE)=0,"Spatial Data Missing ⚠",VLOOKUP(O176,'G-3 Multipliers'!$S$3:$T$10,2,FALSE)))</f>
        <v/>
      </c>
      <c r="Q176" s="376" t="str">
        <f t="shared" si="21"/>
        <v/>
      </c>
      <c r="R176" s="32"/>
      <c r="S176" s="114"/>
      <c r="T176" s="125"/>
      <c r="U176" s="370" t="str">
        <f t="shared" si="22"/>
        <v/>
      </c>
      <c r="V176" s="370" t="str">
        <f t="shared" si="23"/>
        <v/>
      </c>
      <c r="W176" s="374" t="str">
        <f t="shared" si="24"/>
        <v/>
      </c>
      <c r="X176" s="378" t="str">
        <f t="shared" si="25"/>
        <v/>
      </c>
      <c r="Y176" s="119"/>
      <c r="Z176" s="120"/>
      <c r="AA176" s="120"/>
      <c r="AB176" s="120"/>
      <c r="AE176" s="30" t="str">
        <f>IFERROR(INDEX('G-6 Hedgerow Data'!$BJ$3:$BJ$15,MATCH(D176,'G-6 Hedgerow Data'!$B$3:$B$15,0)),"")</f>
        <v/>
      </c>
      <c r="AH176" s="124" t="str">
        <f t="shared" si="18"/>
        <v/>
      </c>
      <c r="AI176" s="124" t="str">
        <f t="shared" si="19"/>
        <v/>
      </c>
      <c r="AK176" s="124">
        <v>167</v>
      </c>
      <c r="AM176" s="124" t="str">
        <f t="array" ref="AM176">IFERROR(INDEX($AK$10:$AK$258, MATCH(0, IF(TRUE=$AH$10:$AH$258, COUNTIF($AM$9:$AM175, $AK$10:$AK$258), ""), 0)),"")</f>
        <v/>
      </c>
      <c r="AN176" s="124" t="str">
        <f t="array" ref="AN176">IFERROR(INDEX($AK$10:$AK$258, MATCH(0, IF(TRUE=$AI$10:$AI$258, COUNTIF($AN$9:$AN175, $AK$10:$AK$258), ""), 0)),"")</f>
        <v/>
      </c>
      <c r="AY176" s="370" t="str">
        <f t="shared" si="26"/>
        <v/>
      </c>
    </row>
    <row r="177" spans="2:51" ht="15">
      <c r="B177" s="110">
        <v>168</v>
      </c>
      <c r="C177" s="165"/>
      <c r="D177" s="165"/>
      <c r="E177" s="121"/>
      <c r="F177" s="362" t="str">
        <f>IF(D177="","",VLOOKUP(D177,'G-6 Hedgerow Data'!$B$2:$AG$15,2,FALSE))</f>
        <v/>
      </c>
      <c r="G177" s="363" t="str">
        <f>IF(D177="","",VLOOKUP(D177,'G-6 Hedgerow Data'!$B$2:$AG$15,3,FALSE))</f>
        <v/>
      </c>
      <c r="H177" s="114"/>
      <c r="I177" s="363" t="str">
        <f>IFERROR(IF(AND(F177="V.Low",OR(H177="Good",H177="Moderate")),"Error ▲",VLOOKUP(H177,'G-1 All Habitats'!$Z$2:$AA$9,2,FALSE)),"")</f>
        <v/>
      </c>
      <c r="J177" s="122"/>
      <c r="K177" s="382" t="str">
        <f>IF(J177="","",IF(VLOOKUP(J177,'G-3 Multipliers'!$L$3:$N$6,2,FALSE)=0,"Spatial Data Missing ⚠",VLOOKUP(J177,'G-3 Multipliers'!$L$3:$N$6,2,FALSE)))</f>
        <v/>
      </c>
      <c r="L177" s="386" t="str">
        <f>IF(J177="","",IF(VLOOKUP(J177,'G-3 Multipliers'!$L$3:$N$6,3,FALSE)=0,"Spatial Data Missing ⚠",VLOOKUP(J177,'G-3 Multipliers'!$L$3:$N$6,3,FALSE)))</f>
        <v/>
      </c>
      <c r="M177" s="425" t="str">
        <f>IF(D177="","",VLOOKUP(D177,'G-6 Hedgerow Data'!$B$1:$AH$15,33,FALSE))</f>
        <v/>
      </c>
      <c r="N177" s="376" t="str">
        <f t="shared" si="20"/>
        <v/>
      </c>
      <c r="O177" s="516"/>
      <c r="P177" s="368" t="str">
        <f>IF(O177="","",IF(VLOOKUP(O177,'G-3 Multipliers'!$S$3:$T$10,2,FALSE)=0,"Spatial Data Missing ⚠",VLOOKUP(O177,'G-3 Multipliers'!$S$3:$T$10,2,FALSE)))</f>
        <v/>
      </c>
      <c r="Q177" s="376" t="str">
        <f t="shared" si="21"/>
        <v/>
      </c>
      <c r="R177" s="32"/>
      <c r="S177" s="114"/>
      <c r="T177" s="125"/>
      <c r="U177" s="370" t="str">
        <f t="shared" si="22"/>
        <v/>
      </c>
      <c r="V177" s="370" t="str">
        <f t="shared" si="23"/>
        <v/>
      </c>
      <c r="W177" s="374" t="str">
        <f t="shared" si="24"/>
        <v/>
      </c>
      <c r="X177" s="378" t="str">
        <f t="shared" si="25"/>
        <v/>
      </c>
      <c r="Y177" s="119"/>
      <c r="Z177" s="120"/>
      <c r="AA177" s="120"/>
      <c r="AB177" s="120"/>
      <c r="AE177" s="30" t="str">
        <f>IFERROR(INDEX('G-6 Hedgerow Data'!$BJ$3:$BJ$15,MATCH(D177,'G-6 Hedgerow Data'!$B$3:$B$15,0)),"")</f>
        <v/>
      </c>
      <c r="AH177" s="124" t="str">
        <f t="shared" si="18"/>
        <v/>
      </c>
      <c r="AI177" s="124" t="str">
        <f t="shared" si="19"/>
        <v/>
      </c>
      <c r="AK177" s="124">
        <v>168</v>
      </c>
      <c r="AM177" s="124" t="str">
        <f t="array" ref="AM177">IFERROR(INDEX($AK$10:$AK$258, MATCH(0, IF(TRUE=$AH$10:$AH$258, COUNTIF($AM$9:$AM176, $AK$10:$AK$258), ""), 0)),"")</f>
        <v/>
      </c>
      <c r="AN177" s="124" t="str">
        <f t="array" ref="AN177">IFERROR(INDEX($AK$10:$AK$258, MATCH(0, IF(TRUE=$AI$10:$AI$258, COUNTIF($AN$9:$AN176, $AK$10:$AK$258), ""), 0)),"")</f>
        <v/>
      </c>
      <c r="AY177" s="370" t="str">
        <f t="shared" si="26"/>
        <v/>
      </c>
    </row>
    <row r="178" spans="2:51" ht="15">
      <c r="B178" s="110">
        <v>169</v>
      </c>
      <c r="C178" s="165"/>
      <c r="D178" s="165"/>
      <c r="E178" s="121"/>
      <c r="F178" s="362" t="str">
        <f>IF(D178="","",VLOOKUP(D178,'G-6 Hedgerow Data'!$B$2:$AG$15,2,FALSE))</f>
        <v/>
      </c>
      <c r="G178" s="363" t="str">
        <f>IF(D178="","",VLOOKUP(D178,'G-6 Hedgerow Data'!$B$2:$AG$15,3,FALSE))</f>
        <v/>
      </c>
      <c r="H178" s="114"/>
      <c r="I178" s="363" t="str">
        <f>IFERROR(IF(AND(F178="V.Low",OR(H178="Good",H178="Moderate")),"Error ▲",VLOOKUP(H178,'G-1 All Habitats'!$Z$2:$AA$9,2,FALSE)),"")</f>
        <v/>
      </c>
      <c r="J178" s="122"/>
      <c r="K178" s="382" t="str">
        <f>IF(J178="","",IF(VLOOKUP(J178,'G-3 Multipliers'!$L$3:$N$6,2,FALSE)=0,"Spatial Data Missing ⚠",VLOOKUP(J178,'G-3 Multipliers'!$L$3:$N$6,2,FALSE)))</f>
        <v/>
      </c>
      <c r="L178" s="386" t="str">
        <f>IF(J178="","",IF(VLOOKUP(J178,'G-3 Multipliers'!$L$3:$N$6,3,FALSE)=0,"Spatial Data Missing ⚠",VLOOKUP(J178,'G-3 Multipliers'!$L$3:$N$6,3,FALSE)))</f>
        <v/>
      </c>
      <c r="M178" s="425" t="str">
        <f>IF(D178="","",VLOOKUP(D178,'G-6 Hedgerow Data'!$B$1:$AH$15,33,FALSE))</f>
        <v/>
      </c>
      <c r="N178" s="376" t="str">
        <f t="shared" si="20"/>
        <v/>
      </c>
      <c r="O178" s="516"/>
      <c r="P178" s="368" t="str">
        <f>IF(O178="","",IF(VLOOKUP(O178,'G-3 Multipliers'!$S$3:$T$10,2,FALSE)=0,"Spatial Data Missing ⚠",VLOOKUP(O178,'G-3 Multipliers'!$S$3:$T$10,2,FALSE)))</f>
        <v/>
      </c>
      <c r="Q178" s="376" t="str">
        <f t="shared" si="21"/>
        <v/>
      </c>
      <c r="R178" s="32"/>
      <c r="S178" s="114"/>
      <c r="T178" s="125"/>
      <c r="U178" s="370" t="str">
        <f t="shared" si="22"/>
        <v/>
      </c>
      <c r="V178" s="370" t="str">
        <f t="shared" si="23"/>
        <v/>
      </c>
      <c r="W178" s="374" t="str">
        <f t="shared" si="24"/>
        <v/>
      </c>
      <c r="X178" s="378" t="str">
        <f t="shared" si="25"/>
        <v/>
      </c>
      <c r="Y178" s="119"/>
      <c r="Z178" s="120"/>
      <c r="AA178" s="120"/>
      <c r="AB178" s="120"/>
      <c r="AE178" s="30" t="str">
        <f>IFERROR(INDEX('G-6 Hedgerow Data'!$BJ$3:$BJ$15,MATCH(D178,'G-6 Hedgerow Data'!$B$3:$B$15,0)),"")</f>
        <v/>
      </c>
      <c r="AH178" s="124" t="str">
        <f t="shared" si="18"/>
        <v/>
      </c>
      <c r="AI178" s="124" t="str">
        <f t="shared" si="19"/>
        <v/>
      </c>
      <c r="AK178" s="124">
        <v>169</v>
      </c>
      <c r="AM178" s="124" t="str">
        <f t="array" ref="AM178">IFERROR(INDEX($AK$10:$AK$258, MATCH(0, IF(TRUE=$AH$10:$AH$258, COUNTIF($AM$9:$AM177, $AK$10:$AK$258), ""), 0)),"")</f>
        <v/>
      </c>
      <c r="AN178" s="124" t="str">
        <f t="array" ref="AN178">IFERROR(INDEX($AK$10:$AK$258, MATCH(0, IF(TRUE=$AI$10:$AI$258, COUNTIF($AN$9:$AN177, $AK$10:$AK$258), ""), 0)),"")</f>
        <v/>
      </c>
      <c r="AY178" s="370" t="str">
        <f t="shared" si="26"/>
        <v/>
      </c>
    </row>
    <row r="179" spans="2:51" ht="15">
      <c r="B179" s="110">
        <v>170</v>
      </c>
      <c r="C179" s="165"/>
      <c r="D179" s="165"/>
      <c r="E179" s="121"/>
      <c r="F179" s="362" t="str">
        <f>IF(D179="","",VLOOKUP(D179,'G-6 Hedgerow Data'!$B$2:$AG$15,2,FALSE))</f>
        <v/>
      </c>
      <c r="G179" s="363" t="str">
        <f>IF(D179="","",VLOOKUP(D179,'G-6 Hedgerow Data'!$B$2:$AG$15,3,FALSE))</f>
        <v/>
      </c>
      <c r="H179" s="114"/>
      <c r="I179" s="363" t="str">
        <f>IFERROR(IF(AND(F179="V.Low",OR(H179="Good",H179="Moderate")),"Error ▲",VLOOKUP(H179,'G-1 All Habitats'!$Z$2:$AA$9,2,FALSE)),"")</f>
        <v/>
      </c>
      <c r="J179" s="122"/>
      <c r="K179" s="382" t="str">
        <f>IF(J179="","",IF(VLOOKUP(J179,'G-3 Multipliers'!$L$3:$N$6,2,FALSE)=0,"Spatial Data Missing ⚠",VLOOKUP(J179,'G-3 Multipliers'!$L$3:$N$6,2,FALSE)))</f>
        <v/>
      </c>
      <c r="L179" s="386" t="str">
        <f>IF(J179="","",IF(VLOOKUP(J179,'G-3 Multipliers'!$L$3:$N$6,3,FALSE)=0,"Spatial Data Missing ⚠",VLOOKUP(J179,'G-3 Multipliers'!$L$3:$N$6,3,FALSE)))</f>
        <v/>
      </c>
      <c r="M179" s="425" t="str">
        <f>IF(D179="","",VLOOKUP(D179,'G-6 Hedgerow Data'!$B$1:$AH$15,33,FALSE))</f>
        <v/>
      </c>
      <c r="N179" s="376" t="str">
        <f t="shared" si="20"/>
        <v/>
      </c>
      <c r="O179" s="516"/>
      <c r="P179" s="368" t="str">
        <f>IF(O179="","",IF(VLOOKUP(O179,'G-3 Multipliers'!$S$3:$T$10,2,FALSE)=0,"Spatial Data Missing ⚠",VLOOKUP(O179,'G-3 Multipliers'!$S$3:$T$10,2,FALSE)))</f>
        <v/>
      </c>
      <c r="Q179" s="376" t="str">
        <f t="shared" si="21"/>
        <v/>
      </c>
      <c r="R179" s="32"/>
      <c r="S179" s="114"/>
      <c r="T179" s="125"/>
      <c r="U179" s="370" t="str">
        <f t="shared" si="22"/>
        <v/>
      </c>
      <c r="V179" s="370" t="str">
        <f t="shared" si="23"/>
        <v/>
      </c>
      <c r="W179" s="374" t="str">
        <f t="shared" si="24"/>
        <v/>
      </c>
      <c r="X179" s="378" t="str">
        <f t="shared" si="25"/>
        <v/>
      </c>
      <c r="Y179" s="119"/>
      <c r="Z179" s="120"/>
      <c r="AA179" s="120"/>
      <c r="AB179" s="120"/>
      <c r="AE179" s="30" t="str">
        <f>IFERROR(INDEX('G-6 Hedgerow Data'!$BJ$3:$BJ$15,MATCH(D179,'G-6 Hedgerow Data'!$B$3:$B$15,0)),"")</f>
        <v/>
      </c>
      <c r="AH179" s="124" t="str">
        <f t="shared" si="18"/>
        <v/>
      </c>
      <c r="AI179" s="124" t="str">
        <f t="shared" si="19"/>
        <v/>
      </c>
      <c r="AK179" s="124">
        <v>170</v>
      </c>
      <c r="AM179" s="124" t="str">
        <f t="array" ref="AM179">IFERROR(INDEX($AK$10:$AK$258, MATCH(0, IF(TRUE=$AH$10:$AH$258, COUNTIF($AM$9:$AM178, $AK$10:$AK$258), ""), 0)),"")</f>
        <v/>
      </c>
      <c r="AN179" s="124" t="str">
        <f t="array" ref="AN179">IFERROR(INDEX($AK$10:$AK$258, MATCH(0, IF(TRUE=$AI$10:$AI$258, COUNTIF($AN$9:$AN178, $AK$10:$AK$258), ""), 0)),"")</f>
        <v/>
      </c>
      <c r="AY179" s="370" t="str">
        <f t="shared" si="26"/>
        <v/>
      </c>
    </row>
    <row r="180" spans="2:51" ht="15">
      <c r="B180" s="110">
        <v>171</v>
      </c>
      <c r="C180" s="165"/>
      <c r="D180" s="165"/>
      <c r="E180" s="121"/>
      <c r="F180" s="362" t="str">
        <f>IF(D180="","",VLOOKUP(D180,'G-6 Hedgerow Data'!$B$2:$AG$15,2,FALSE))</f>
        <v/>
      </c>
      <c r="G180" s="363" t="str">
        <f>IF(D180="","",VLOOKUP(D180,'G-6 Hedgerow Data'!$B$2:$AG$15,3,FALSE))</f>
        <v/>
      </c>
      <c r="H180" s="114"/>
      <c r="I180" s="363" t="str">
        <f>IFERROR(IF(AND(F180="V.Low",OR(H180="Good",H180="Moderate")),"Error ▲",VLOOKUP(H180,'G-1 All Habitats'!$Z$2:$AA$9,2,FALSE)),"")</f>
        <v/>
      </c>
      <c r="J180" s="122"/>
      <c r="K180" s="382" t="str">
        <f>IF(J180="","",IF(VLOOKUP(J180,'G-3 Multipliers'!$L$3:$N$6,2,FALSE)=0,"Spatial Data Missing ⚠",VLOOKUP(J180,'G-3 Multipliers'!$L$3:$N$6,2,FALSE)))</f>
        <v/>
      </c>
      <c r="L180" s="386" t="str">
        <f>IF(J180="","",IF(VLOOKUP(J180,'G-3 Multipliers'!$L$3:$N$6,3,FALSE)=0,"Spatial Data Missing ⚠",VLOOKUP(J180,'G-3 Multipliers'!$L$3:$N$6,3,FALSE)))</f>
        <v/>
      </c>
      <c r="M180" s="425" t="str">
        <f>IF(D180="","",VLOOKUP(D180,'G-6 Hedgerow Data'!$B$1:$AH$15,33,FALSE))</f>
        <v/>
      </c>
      <c r="N180" s="376" t="str">
        <f t="shared" si="20"/>
        <v/>
      </c>
      <c r="O180" s="516"/>
      <c r="P180" s="368" t="str">
        <f>IF(O180="","",IF(VLOOKUP(O180,'G-3 Multipliers'!$S$3:$T$10,2,FALSE)=0,"Spatial Data Missing ⚠",VLOOKUP(O180,'G-3 Multipliers'!$S$3:$T$10,2,FALSE)))</f>
        <v/>
      </c>
      <c r="Q180" s="376" t="str">
        <f t="shared" si="21"/>
        <v/>
      </c>
      <c r="R180" s="32"/>
      <c r="S180" s="114"/>
      <c r="T180" s="125"/>
      <c r="U180" s="370" t="str">
        <f t="shared" si="22"/>
        <v/>
      </c>
      <c r="V180" s="370" t="str">
        <f t="shared" si="23"/>
        <v/>
      </c>
      <c r="W180" s="374" t="str">
        <f t="shared" si="24"/>
        <v/>
      </c>
      <c r="X180" s="378" t="str">
        <f t="shared" si="25"/>
        <v/>
      </c>
      <c r="Y180" s="119"/>
      <c r="Z180" s="120"/>
      <c r="AA180" s="120"/>
      <c r="AB180" s="120"/>
      <c r="AE180" s="30" t="str">
        <f>IFERROR(INDEX('G-6 Hedgerow Data'!$BJ$3:$BJ$15,MATCH(D180,'G-6 Hedgerow Data'!$B$3:$B$15,0)),"")</f>
        <v/>
      </c>
      <c r="AH180" s="124" t="str">
        <f t="shared" si="18"/>
        <v/>
      </c>
      <c r="AI180" s="124" t="str">
        <f t="shared" si="19"/>
        <v/>
      </c>
      <c r="AK180" s="124">
        <v>171</v>
      </c>
      <c r="AM180" s="124" t="str">
        <f t="array" ref="AM180">IFERROR(INDEX($AK$10:$AK$258, MATCH(0, IF(TRUE=$AH$10:$AH$258, COUNTIF($AM$9:$AM179, $AK$10:$AK$258), ""), 0)),"")</f>
        <v/>
      </c>
      <c r="AN180" s="124" t="str">
        <f t="array" ref="AN180">IFERROR(INDEX($AK$10:$AK$258, MATCH(0, IF(TRUE=$AI$10:$AI$258, COUNTIF($AN$9:$AN179, $AK$10:$AK$258), ""), 0)),"")</f>
        <v/>
      </c>
      <c r="AY180" s="370" t="str">
        <f t="shared" si="26"/>
        <v/>
      </c>
    </row>
    <row r="181" spans="2:51" ht="15">
      <c r="B181" s="110">
        <v>172</v>
      </c>
      <c r="C181" s="165"/>
      <c r="D181" s="165"/>
      <c r="E181" s="121"/>
      <c r="F181" s="362" t="str">
        <f>IF(D181="","",VLOOKUP(D181,'G-6 Hedgerow Data'!$B$2:$AG$15,2,FALSE))</f>
        <v/>
      </c>
      <c r="G181" s="363" t="str">
        <f>IF(D181="","",VLOOKUP(D181,'G-6 Hedgerow Data'!$B$2:$AG$15,3,FALSE))</f>
        <v/>
      </c>
      <c r="H181" s="114"/>
      <c r="I181" s="363" t="str">
        <f>IFERROR(IF(AND(F181="V.Low",OR(H181="Good",H181="Moderate")),"Error ▲",VLOOKUP(H181,'G-1 All Habitats'!$Z$2:$AA$9,2,FALSE)),"")</f>
        <v/>
      </c>
      <c r="J181" s="122"/>
      <c r="K181" s="382" t="str">
        <f>IF(J181="","",IF(VLOOKUP(J181,'G-3 Multipliers'!$L$3:$N$6,2,FALSE)=0,"Spatial Data Missing ⚠",VLOOKUP(J181,'G-3 Multipliers'!$L$3:$N$6,2,FALSE)))</f>
        <v/>
      </c>
      <c r="L181" s="386" t="str">
        <f>IF(J181="","",IF(VLOOKUP(J181,'G-3 Multipliers'!$L$3:$N$6,3,FALSE)=0,"Spatial Data Missing ⚠",VLOOKUP(J181,'G-3 Multipliers'!$L$3:$N$6,3,FALSE)))</f>
        <v/>
      </c>
      <c r="M181" s="425" t="str">
        <f>IF(D181="","",VLOOKUP(D181,'G-6 Hedgerow Data'!$B$1:$AH$15,33,FALSE))</f>
        <v/>
      </c>
      <c r="N181" s="376" t="str">
        <f t="shared" si="20"/>
        <v/>
      </c>
      <c r="O181" s="516"/>
      <c r="P181" s="368" t="str">
        <f>IF(O181="","",IF(VLOOKUP(O181,'G-3 Multipliers'!$S$3:$T$10,2,FALSE)=0,"Spatial Data Missing ⚠",VLOOKUP(O181,'G-3 Multipliers'!$S$3:$T$10,2,FALSE)))</f>
        <v/>
      </c>
      <c r="Q181" s="376" t="str">
        <f t="shared" si="21"/>
        <v/>
      </c>
      <c r="R181" s="32"/>
      <c r="S181" s="114"/>
      <c r="T181" s="125"/>
      <c r="U181" s="370" t="str">
        <f t="shared" si="22"/>
        <v/>
      </c>
      <c r="V181" s="370" t="str">
        <f t="shared" si="23"/>
        <v/>
      </c>
      <c r="W181" s="374" t="str">
        <f t="shared" si="24"/>
        <v/>
      </c>
      <c r="X181" s="378" t="str">
        <f t="shared" si="25"/>
        <v/>
      </c>
      <c r="Y181" s="119"/>
      <c r="Z181" s="120"/>
      <c r="AA181" s="120"/>
      <c r="AB181" s="120"/>
      <c r="AE181" s="30" t="str">
        <f>IFERROR(INDEX('G-6 Hedgerow Data'!$BJ$3:$BJ$15,MATCH(D181,'G-6 Hedgerow Data'!$B$3:$B$15,0)),"")</f>
        <v/>
      </c>
      <c r="AH181" s="124" t="str">
        <f t="shared" si="18"/>
        <v/>
      </c>
      <c r="AI181" s="124" t="str">
        <f t="shared" si="19"/>
        <v/>
      </c>
      <c r="AK181" s="124">
        <v>172</v>
      </c>
      <c r="AM181" s="124" t="str">
        <f t="array" ref="AM181">IFERROR(INDEX($AK$10:$AK$258, MATCH(0, IF(TRUE=$AH$10:$AH$258, COUNTIF($AM$9:$AM180, $AK$10:$AK$258), ""), 0)),"")</f>
        <v/>
      </c>
      <c r="AN181" s="124" t="str">
        <f t="array" ref="AN181">IFERROR(INDEX($AK$10:$AK$258, MATCH(0, IF(TRUE=$AI$10:$AI$258, COUNTIF($AN$9:$AN180, $AK$10:$AK$258), ""), 0)),"")</f>
        <v/>
      </c>
      <c r="AY181" s="370" t="str">
        <f t="shared" si="26"/>
        <v/>
      </c>
    </row>
    <row r="182" spans="2:51" ht="15">
      <c r="B182" s="110">
        <v>173</v>
      </c>
      <c r="C182" s="165"/>
      <c r="D182" s="165"/>
      <c r="E182" s="121"/>
      <c r="F182" s="362" t="str">
        <f>IF(D182="","",VLOOKUP(D182,'G-6 Hedgerow Data'!$B$2:$AG$15,2,FALSE))</f>
        <v/>
      </c>
      <c r="G182" s="363" t="str">
        <f>IF(D182="","",VLOOKUP(D182,'G-6 Hedgerow Data'!$B$2:$AG$15,3,FALSE))</f>
        <v/>
      </c>
      <c r="H182" s="114"/>
      <c r="I182" s="363" t="str">
        <f>IFERROR(IF(AND(F182="V.Low",OR(H182="Good",H182="Moderate")),"Error ▲",VLOOKUP(H182,'G-1 All Habitats'!$Z$2:$AA$9,2,FALSE)),"")</f>
        <v/>
      </c>
      <c r="J182" s="122"/>
      <c r="K182" s="382" t="str">
        <f>IF(J182="","",IF(VLOOKUP(J182,'G-3 Multipliers'!$L$3:$N$6,2,FALSE)=0,"Spatial Data Missing ⚠",VLOOKUP(J182,'G-3 Multipliers'!$L$3:$N$6,2,FALSE)))</f>
        <v/>
      </c>
      <c r="L182" s="386" t="str">
        <f>IF(J182="","",IF(VLOOKUP(J182,'G-3 Multipliers'!$L$3:$N$6,3,FALSE)=0,"Spatial Data Missing ⚠",VLOOKUP(J182,'G-3 Multipliers'!$L$3:$N$6,3,FALSE)))</f>
        <v/>
      </c>
      <c r="M182" s="425" t="str">
        <f>IF(D182="","",VLOOKUP(D182,'G-6 Hedgerow Data'!$B$1:$AH$15,33,FALSE))</f>
        <v/>
      </c>
      <c r="N182" s="376" t="str">
        <f t="shared" si="20"/>
        <v/>
      </c>
      <c r="O182" s="516"/>
      <c r="P182" s="368" t="str">
        <f>IF(O182="","",IF(VLOOKUP(O182,'G-3 Multipliers'!$S$3:$T$10,2,FALSE)=0,"Spatial Data Missing ⚠",VLOOKUP(O182,'G-3 Multipliers'!$S$3:$T$10,2,FALSE)))</f>
        <v/>
      </c>
      <c r="Q182" s="376" t="str">
        <f t="shared" si="21"/>
        <v/>
      </c>
      <c r="R182" s="32"/>
      <c r="S182" s="114"/>
      <c r="T182" s="125"/>
      <c r="U182" s="370" t="str">
        <f t="shared" si="22"/>
        <v/>
      </c>
      <c r="V182" s="370" t="str">
        <f t="shared" si="23"/>
        <v/>
      </c>
      <c r="W182" s="374" t="str">
        <f t="shared" si="24"/>
        <v/>
      </c>
      <c r="X182" s="378" t="str">
        <f t="shared" si="25"/>
        <v/>
      </c>
      <c r="Y182" s="119"/>
      <c r="Z182" s="120"/>
      <c r="AA182" s="120"/>
      <c r="AB182" s="120"/>
      <c r="AE182" s="30" t="str">
        <f>IFERROR(INDEX('G-6 Hedgerow Data'!$BJ$3:$BJ$15,MATCH(D182,'G-6 Hedgerow Data'!$B$3:$B$15,0)),"")</f>
        <v/>
      </c>
      <c r="AH182" s="124" t="str">
        <f t="shared" si="18"/>
        <v/>
      </c>
      <c r="AI182" s="124" t="str">
        <f t="shared" si="19"/>
        <v/>
      </c>
      <c r="AK182" s="124">
        <v>173</v>
      </c>
      <c r="AM182" s="124" t="str">
        <f t="array" ref="AM182">IFERROR(INDEX($AK$10:$AK$258, MATCH(0, IF(TRUE=$AH$10:$AH$258, COUNTIF($AM$9:$AM181, $AK$10:$AK$258), ""), 0)),"")</f>
        <v/>
      </c>
      <c r="AN182" s="124" t="str">
        <f t="array" ref="AN182">IFERROR(INDEX($AK$10:$AK$258, MATCH(0, IF(TRUE=$AI$10:$AI$258, COUNTIF($AN$9:$AN181, $AK$10:$AK$258), ""), 0)),"")</f>
        <v/>
      </c>
      <c r="AY182" s="370" t="str">
        <f t="shared" si="26"/>
        <v/>
      </c>
    </row>
    <row r="183" spans="2:51" ht="15">
      <c r="B183" s="110">
        <v>174</v>
      </c>
      <c r="C183" s="165"/>
      <c r="D183" s="165"/>
      <c r="E183" s="121"/>
      <c r="F183" s="362" t="str">
        <f>IF(D183="","",VLOOKUP(D183,'G-6 Hedgerow Data'!$B$2:$AG$15,2,FALSE))</f>
        <v/>
      </c>
      <c r="G183" s="363" t="str">
        <f>IF(D183="","",VLOOKUP(D183,'G-6 Hedgerow Data'!$B$2:$AG$15,3,FALSE))</f>
        <v/>
      </c>
      <c r="H183" s="114"/>
      <c r="I183" s="363" t="str">
        <f>IFERROR(IF(AND(F183="V.Low",OR(H183="Good",H183="Moderate")),"Error ▲",VLOOKUP(H183,'G-1 All Habitats'!$Z$2:$AA$9,2,FALSE)),"")</f>
        <v/>
      </c>
      <c r="J183" s="122"/>
      <c r="K183" s="382" t="str">
        <f>IF(J183="","",IF(VLOOKUP(J183,'G-3 Multipliers'!$L$3:$N$6,2,FALSE)=0,"Spatial Data Missing ⚠",VLOOKUP(J183,'G-3 Multipliers'!$L$3:$N$6,2,FALSE)))</f>
        <v/>
      </c>
      <c r="L183" s="386" t="str">
        <f>IF(J183="","",IF(VLOOKUP(J183,'G-3 Multipliers'!$L$3:$N$6,3,FALSE)=0,"Spatial Data Missing ⚠",VLOOKUP(J183,'G-3 Multipliers'!$L$3:$N$6,3,FALSE)))</f>
        <v/>
      </c>
      <c r="M183" s="425" t="str">
        <f>IF(D183="","",VLOOKUP(D183,'G-6 Hedgerow Data'!$B$1:$AH$15,33,FALSE))</f>
        <v/>
      </c>
      <c r="N183" s="376" t="str">
        <f t="shared" si="20"/>
        <v/>
      </c>
      <c r="O183" s="516"/>
      <c r="P183" s="368" t="str">
        <f>IF(O183="","",IF(VLOOKUP(O183,'G-3 Multipliers'!$S$3:$T$10,2,FALSE)=0,"Spatial Data Missing ⚠",VLOOKUP(O183,'G-3 Multipliers'!$S$3:$T$10,2,FALSE)))</f>
        <v/>
      </c>
      <c r="Q183" s="376" t="str">
        <f t="shared" si="21"/>
        <v/>
      </c>
      <c r="R183" s="32"/>
      <c r="S183" s="114"/>
      <c r="T183" s="125"/>
      <c r="U183" s="370" t="str">
        <f t="shared" si="22"/>
        <v/>
      </c>
      <c r="V183" s="370" t="str">
        <f t="shared" si="23"/>
        <v/>
      </c>
      <c r="W183" s="374" t="str">
        <f t="shared" si="24"/>
        <v/>
      </c>
      <c r="X183" s="378" t="str">
        <f t="shared" si="25"/>
        <v/>
      </c>
      <c r="Y183" s="119"/>
      <c r="Z183" s="120"/>
      <c r="AA183" s="120"/>
      <c r="AB183" s="120"/>
      <c r="AE183" s="30" t="str">
        <f>IFERROR(INDEX('G-6 Hedgerow Data'!$BJ$3:$BJ$15,MATCH(D183,'G-6 Hedgerow Data'!$B$3:$B$15,0)),"")</f>
        <v/>
      </c>
      <c r="AH183" s="124" t="str">
        <f t="shared" si="18"/>
        <v/>
      </c>
      <c r="AI183" s="124" t="str">
        <f t="shared" si="19"/>
        <v/>
      </c>
      <c r="AK183" s="124">
        <v>174</v>
      </c>
      <c r="AM183" s="124" t="str">
        <f t="array" ref="AM183">IFERROR(INDEX($AK$10:$AK$258, MATCH(0, IF(TRUE=$AH$10:$AH$258, COUNTIF($AM$9:$AM182, $AK$10:$AK$258), ""), 0)),"")</f>
        <v/>
      </c>
      <c r="AN183" s="124" t="str">
        <f t="array" ref="AN183">IFERROR(INDEX($AK$10:$AK$258, MATCH(0, IF(TRUE=$AI$10:$AI$258, COUNTIF($AN$9:$AN182, $AK$10:$AK$258), ""), 0)),"")</f>
        <v/>
      </c>
      <c r="AY183" s="370" t="str">
        <f t="shared" si="26"/>
        <v/>
      </c>
    </row>
    <row r="184" spans="2:51" ht="15">
      <c r="B184" s="110">
        <v>175</v>
      </c>
      <c r="C184" s="165"/>
      <c r="D184" s="165"/>
      <c r="E184" s="121"/>
      <c r="F184" s="362" t="str">
        <f>IF(D184="","",VLOOKUP(D184,'G-6 Hedgerow Data'!$B$2:$AG$15,2,FALSE))</f>
        <v/>
      </c>
      <c r="G184" s="363" t="str">
        <f>IF(D184="","",VLOOKUP(D184,'G-6 Hedgerow Data'!$B$2:$AG$15,3,FALSE))</f>
        <v/>
      </c>
      <c r="H184" s="114"/>
      <c r="I184" s="363" t="str">
        <f>IFERROR(IF(AND(F184="V.Low",OR(H184="Good",H184="Moderate")),"Error ▲",VLOOKUP(H184,'G-1 All Habitats'!$Z$2:$AA$9,2,FALSE)),"")</f>
        <v/>
      </c>
      <c r="J184" s="122"/>
      <c r="K184" s="382" t="str">
        <f>IF(J184="","",IF(VLOOKUP(J184,'G-3 Multipliers'!$L$3:$N$6,2,FALSE)=0,"Spatial Data Missing ⚠",VLOOKUP(J184,'G-3 Multipliers'!$L$3:$N$6,2,FALSE)))</f>
        <v/>
      </c>
      <c r="L184" s="386" t="str">
        <f>IF(J184="","",IF(VLOOKUP(J184,'G-3 Multipliers'!$L$3:$N$6,3,FALSE)=0,"Spatial Data Missing ⚠",VLOOKUP(J184,'G-3 Multipliers'!$L$3:$N$6,3,FALSE)))</f>
        <v/>
      </c>
      <c r="M184" s="425" t="str">
        <f>IF(D184="","",VLOOKUP(D184,'G-6 Hedgerow Data'!$B$1:$AH$15,33,FALSE))</f>
        <v/>
      </c>
      <c r="N184" s="376" t="str">
        <f t="shared" si="20"/>
        <v/>
      </c>
      <c r="O184" s="516"/>
      <c r="P184" s="368" t="str">
        <f>IF(O184="","",IF(VLOOKUP(O184,'G-3 Multipliers'!$S$3:$T$10,2,FALSE)=0,"Spatial Data Missing ⚠",VLOOKUP(O184,'G-3 Multipliers'!$S$3:$T$10,2,FALSE)))</f>
        <v/>
      </c>
      <c r="Q184" s="376" t="str">
        <f t="shared" si="21"/>
        <v/>
      </c>
      <c r="R184" s="32"/>
      <c r="S184" s="114"/>
      <c r="T184" s="125"/>
      <c r="U184" s="370" t="str">
        <f t="shared" si="22"/>
        <v/>
      </c>
      <c r="V184" s="370" t="str">
        <f t="shared" si="23"/>
        <v/>
      </c>
      <c r="W184" s="374" t="str">
        <f t="shared" si="24"/>
        <v/>
      </c>
      <c r="X184" s="378" t="str">
        <f t="shared" si="25"/>
        <v/>
      </c>
      <c r="Y184" s="119"/>
      <c r="Z184" s="120"/>
      <c r="AA184" s="120"/>
      <c r="AB184" s="120"/>
      <c r="AE184" s="30" t="str">
        <f>IFERROR(INDEX('G-6 Hedgerow Data'!$BJ$3:$BJ$15,MATCH(D184,'G-6 Hedgerow Data'!$B$3:$B$15,0)),"")</f>
        <v/>
      </c>
      <c r="AH184" s="124" t="str">
        <f t="shared" si="18"/>
        <v/>
      </c>
      <c r="AI184" s="124" t="str">
        <f t="shared" si="19"/>
        <v/>
      </c>
      <c r="AK184" s="124">
        <v>175</v>
      </c>
      <c r="AM184" s="124" t="str">
        <f t="array" ref="AM184">IFERROR(INDEX($AK$10:$AK$258, MATCH(0, IF(TRUE=$AH$10:$AH$258, COUNTIF($AM$9:$AM183, $AK$10:$AK$258), ""), 0)),"")</f>
        <v/>
      </c>
      <c r="AN184" s="124" t="str">
        <f t="array" ref="AN184">IFERROR(INDEX($AK$10:$AK$258, MATCH(0, IF(TRUE=$AI$10:$AI$258, COUNTIF($AN$9:$AN183, $AK$10:$AK$258), ""), 0)),"")</f>
        <v/>
      </c>
      <c r="AY184" s="370" t="str">
        <f t="shared" si="26"/>
        <v/>
      </c>
    </row>
    <row r="185" spans="2:51" ht="15">
      <c r="B185" s="110">
        <v>176</v>
      </c>
      <c r="C185" s="165"/>
      <c r="D185" s="165"/>
      <c r="E185" s="121"/>
      <c r="F185" s="362" t="str">
        <f>IF(D185="","",VLOOKUP(D185,'G-6 Hedgerow Data'!$B$2:$AG$15,2,FALSE))</f>
        <v/>
      </c>
      <c r="G185" s="363" t="str">
        <f>IF(D185="","",VLOOKUP(D185,'G-6 Hedgerow Data'!$B$2:$AG$15,3,FALSE))</f>
        <v/>
      </c>
      <c r="H185" s="114"/>
      <c r="I185" s="363" t="str">
        <f>IFERROR(IF(AND(F185="V.Low",OR(H185="Good",H185="Moderate")),"Error ▲",VLOOKUP(H185,'G-1 All Habitats'!$Z$2:$AA$9,2,FALSE)),"")</f>
        <v/>
      </c>
      <c r="J185" s="122"/>
      <c r="K185" s="382" t="str">
        <f>IF(J185="","",IF(VLOOKUP(J185,'G-3 Multipliers'!$L$3:$N$6,2,FALSE)=0,"Spatial Data Missing ⚠",VLOOKUP(J185,'G-3 Multipliers'!$L$3:$N$6,2,FALSE)))</f>
        <v/>
      </c>
      <c r="L185" s="386" t="str">
        <f>IF(J185="","",IF(VLOOKUP(J185,'G-3 Multipliers'!$L$3:$N$6,3,FALSE)=0,"Spatial Data Missing ⚠",VLOOKUP(J185,'G-3 Multipliers'!$L$3:$N$6,3,FALSE)))</f>
        <v/>
      </c>
      <c r="M185" s="425" t="str">
        <f>IF(D185="","",VLOOKUP(D185,'G-6 Hedgerow Data'!$B$1:$AH$15,33,FALSE))</f>
        <v/>
      </c>
      <c r="N185" s="376" t="str">
        <f t="shared" si="20"/>
        <v/>
      </c>
      <c r="O185" s="516"/>
      <c r="P185" s="368" t="str">
        <f>IF(O185="","",IF(VLOOKUP(O185,'G-3 Multipliers'!$S$3:$T$10,2,FALSE)=0,"Spatial Data Missing ⚠",VLOOKUP(O185,'G-3 Multipliers'!$S$3:$T$10,2,FALSE)))</f>
        <v/>
      </c>
      <c r="Q185" s="376" t="str">
        <f t="shared" si="21"/>
        <v/>
      </c>
      <c r="R185" s="32"/>
      <c r="S185" s="114"/>
      <c r="T185" s="125"/>
      <c r="U185" s="370" t="str">
        <f t="shared" si="22"/>
        <v/>
      </c>
      <c r="V185" s="370" t="str">
        <f t="shared" si="23"/>
        <v/>
      </c>
      <c r="W185" s="374" t="str">
        <f t="shared" si="24"/>
        <v/>
      </c>
      <c r="X185" s="378" t="str">
        <f t="shared" si="25"/>
        <v/>
      </c>
      <c r="Y185" s="119"/>
      <c r="Z185" s="120"/>
      <c r="AA185" s="120"/>
      <c r="AB185" s="120"/>
      <c r="AE185" s="30" t="str">
        <f>IFERROR(INDEX('G-6 Hedgerow Data'!$BJ$3:$BJ$15,MATCH(D185,'G-6 Hedgerow Data'!$B$3:$B$15,0)),"")</f>
        <v/>
      </c>
      <c r="AH185" s="124" t="str">
        <f t="shared" si="18"/>
        <v/>
      </c>
      <c r="AI185" s="124" t="str">
        <f t="shared" si="19"/>
        <v/>
      </c>
      <c r="AK185" s="124">
        <v>176</v>
      </c>
      <c r="AM185" s="124" t="str">
        <f t="array" ref="AM185">IFERROR(INDEX($AK$10:$AK$258, MATCH(0, IF(TRUE=$AH$10:$AH$258, COUNTIF($AM$9:$AM184, $AK$10:$AK$258), ""), 0)),"")</f>
        <v/>
      </c>
      <c r="AN185" s="124" t="str">
        <f t="array" ref="AN185">IFERROR(INDEX($AK$10:$AK$258, MATCH(0, IF(TRUE=$AI$10:$AI$258, COUNTIF($AN$9:$AN184, $AK$10:$AK$258), ""), 0)),"")</f>
        <v/>
      </c>
      <c r="AY185" s="370" t="str">
        <f t="shared" si="26"/>
        <v/>
      </c>
    </row>
    <row r="186" spans="2:51" ht="15">
      <c r="B186" s="110">
        <v>177</v>
      </c>
      <c r="C186" s="165"/>
      <c r="D186" s="165"/>
      <c r="E186" s="121"/>
      <c r="F186" s="362" t="str">
        <f>IF(D186="","",VLOOKUP(D186,'G-6 Hedgerow Data'!$B$2:$AG$15,2,FALSE))</f>
        <v/>
      </c>
      <c r="G186" s="363" t="str">
        <f>IF(D186="","",VLOOKUP(D186,'G-6 Hedgerow Data'!$B$2:$AG$15,3,FALSE))</f>
        <v/>
      </c>
      <c r="H186" s="114"/>
      <c r="I186" s="363" t="str">
        <f>IFERROR(IF(AND(F186="V.Low",OR(H186="Good",H186="Moderate")),"Error ▲",VLOOKUP(H186,'G-1 All Habitats'!$Z$2:$AA$9,2,FALSE)),"")</f>
        <v/>
      </c>
      <c r="J186" s="122"/>
      <c r="K186" s="382" t="str">
        <f>IF(J186="","",IF(VLOOKUP(J186,'G-3 Multipliers'!$L$3:$N$6,2,FALSE)=0,"Spatial Data Missing ⚠",VLOOKUP(J186,'G-3 Multipliers'!$L$3:$N$6,2,FALSE)))</f>
        <v/>
      </c>
      <c r="L186" s="386" t="str">
        <f>IF(J186="","",IF(VLOOKUP(J186,'G-3 Multipliers'!$L$3:$N$6,3,FALSE)=0,"Spatial Data Missing ⚠",VLOOKUP(J186,'G-3 Multipliers'!$L$3:$N$6,3,FALSE)))</f>
        <v/>
      </c>
      <c r="M186" s="425" t="str">
        <f>IF(D186="","",VLOOKUP(D186,'G-6 Hedgerow Data'!$B$1:$AH$15,33,FALSE))</f>
        <v/>
      </c>
      <c r="N186" s="376" t="str">
        <f t="shared" si="20"/>
        <v/>
      </c>
      <c r="O186" s="516"/>
      <c r="P186" s="368" t="str">
        <f>IF(O186="","",IF(VLOOKUP(O186,'G-3 Multipliers'!$S$3:$T$10,2,FALSE)=0,"Spatial Data Missing ⚠",VLOOKUP(O186,'G-3 Multipliers'!$S$3:$T$10,2,FALSE)))</f>
        <v/>
      </c>
      <c r="Q186" s="376" t="str">
        <f t="shared" si="21"/>
        <v/>
      </c>
      <c r="R186" s="32"/>
      <c r="S186" s="114"/>
      <c r="T186" s="125"/>
      <c r="U186" s="370" t="str">
        <f t="shared" si="22"/>
        <v/>
      </c>
      <c r="V186" s="370" t="str">
        <f t="shared" si="23"/>
        <v/>
      </c>
      <c r="W186" s="374" t="str">
        <f t="shared" si="24"/>
        <v/>
      </c>
      <c r="X186" s="378" t="str">
        <f t="shared" si="25"/>
        <v/>
      </c>
      <c r="Y186" s="119"/>
      <c r="Z186" s="120"/>
      <c r="AA186" s="120"/>
      <c r="AB186" s="120"/>
      <c r="AE186" s="30" t="str">
        <f>IFERROR(INDEX('G-6 Hedgerow Data'!$BJ$3:$BJ$15,MATCH(D186,'G-6 Hedgerow Data'!$B$3:$B$15,0)),"")</f>
        <v/>
      </c>
      <c r="AH186" s="124" t="str">
        <f t="shared" si="18"/>
        <v/>
      </c>
      <c r="AI186" s="124" t="str">
        <f t="shared" si="19"/>
        <v/>
      </c>
      <c r="AK186" s="124">
        <v>177</v>
      </c>
      <c r="AM186" s="124" t="str">
        <f t="array" ref="AM186">IFERROR(INDEX($AK$10:$AK$258, MATCH(0, IF(TRUE=$AH$10:$AH$258, COUNTIF($AM$9:$AM185, $AK$10:$AK$258), ""), 0)),"")</f>
        <v/>
      </c>
      <c r="AN186" s="124" t="str">
        <f t="array" ref="AN186">IFERROR(INDEX($AK$10:$AK$258, MATCH(0, IF(TRUE=$AI$10:$AI$258, COUNTIF($AN$9:$AN185, $AK$10:$AK$258), ""), 0)),"")</f>
        <v/>
      </c>
      <c r="AY186" s="370" t="str">
        <f t="shared" si="26"/>
        <v/>
      </c>
    </row>
    <row r="187" spans="2:51" ht="15">
      <c r="B187" s="110">
        <v>178</v>
      </c>
      <c r="C187" s="165"/>
      <c r="D187" s="165"/>
      <c r="E187" s="121"/>
      <c r="F187" s="362" t="str">
        <f>IF(D187="","",VLOOKUP(D187,'G-6 Hedgerow Data'!$B$2:$AG$15,2,FALSE))</f>
        <v/>
      </c>
      <c r="G187" s="363" t="str">
        <f>IF(D187="","",VLOOKUP(D187,'G-6 Hedgerow Data'!$B$2:$AG$15,3,FALSE))</f>
        <v/>
      </c>
      <c r="H187" s="114"/>
      <c r="I187" s="363" t="str">
        <f>IFERROR(IF(AND(F187="V.Low",OR(H187="Good",H187="Moderate")),"Error ▲",VLOOKUP(H187,'G-1 All Habitats'!$Z$2:$AA$9,2,FALSE)),"")</f>
        <v/>
      </c>
      <c r="J187" s="122"/>
      <c r="K187" s="382" t="str">
        <f>IF(J187="","",IF(VLOOKUP(J187,'G-3 Multipliers'!$L$3:$N$6,2,FALSE)=0,"Spatial Data Missing ⚠",VLOOKUP(J187,'G-3 Multipliers'!$L$3:$N$6,2,FALSE)))</f>
        <v/>
      </c>
      <c r="L187" s="386" t="str">
        <f>IF(J187="","",IF(VLOOKUP(J187,'G-3 Multipliers'!$L$3:$N$6,3,FALSE)=0,"Spatial Data Missing ⚠",VLOOKUP(J187,'G-3 Multipliers'!$L$3:$N$6,3,FALSE)))</f>
        <v/>
      </c>
      <c r="M187" s="425" t="str">
        <f>IF(D187="","",VLOOKUP(D187,'G-6 Hedgerow Data'!$B$1:$AH$15,33,FALSE))</f>
        <v/>
      </c>
      <c r="N187" s="376" t="str">
        <f t="shared" si="20"/>
        <v/>
      </c>
      <c r="O187" s="516"/>
      <c r="P187" s="368" t="str">
        <f>IF(O187="","",IF(VLOOKUP(O187,'G-3 Multipliers'!$S$3:$T$10,2,FALSE)=0,"Spatial Data Missing ⚠",VLOOKUP(O187,'G-3 Multipliers'!$S$3:$T$10,2,FALSE)))</f>
        <v/>
      </c>
      <c r="Q187" s="376" t="str">
        <f t="shared" si="21"/>
        <v/>
      </c>
      <c r="R187" s="32"/>
      <c r="S187" s="114"/>
      <c r="T187" s="125"/>
      <c r="U187" s="370" t="str">
        <f t="shared" si="22"/>
        <v/>
      </c>
      <c r="V187" s="370" t="str">
        <f t="shared" si="23"/>
        <v/>
      </c>
      <c r="W187" s="374" t="str">
        <f t="shared" si="24"/>
        <v/>
      </c>
      <c r="X187" s="378" t="str">
        <f t="shared" si="25"/>
        <v/>
      </c>
      <c r="Y187" s="119"/>
      <c r="Z187" s="120"/>
      <c r="AA187" s="120"/>
      <c r="AB187" s="120"/>
      <c r="AE187" s="30" t="str">
        <f>IFERROR(INDEX('G-6 Hedgerow Data'!$BJ$3:$BJ$15,MATCH(D187,'G-6 Hedgerow Data'!$B$3:$B$15,0)),"")</f>
        <v/>
      </c>
      <c r="AH187" s="124" t="str">
        <f t="shared" si="18"/>
        <v/>
      </c>
      <c r="AI187" s="124" t="str">
        <f t="shared" si="19"/>
        <v/>
      </c>
      <c r="AK187" s="124">
        <v>178</v>
      </c>
      <c r="AM187" s="124" t="str">
        <f t="array" ref="AM187">IFERROR(INDEX($AK$10:$AK$258, MATCH(0, IF(TRUE=$AH$10:$AH$258, COUNTIF($AM$9:$AM186, $AK$10:$AK$258), ""), 0)),"")</f>
        <v/>
      </c>
      <c r="AN187" s="124" t="str">
        <f t="array" ref="AN187">IFERROR(INDEX($AK$10:$AK$258, MATCH(0, IF(TRUE=$AI$10:$AI$258, COUNTIF($AN$9:$AN186, $AK$10:$AK$258), ""), 0)),"")</f>
        <v/>
      </c>
      <c r="AY187" s="370" t="str">
        <f t="shared" si="26"/>
        <v/>
      </c>
    </row>
    <row r="188" spans="2:51" ht="15">
      <c r="B188" s="110">
        <v>179</v>
      </c>
      <c r="C188" s="165"/>
      <c r="D188" s="165"/>
      <c r="E188" s="121"/>
      <c r="F188" s="362" t="str">
        <f>IF(D188="","",VLOOKUP(D188,'G-6 Hedgerow Data'!$B$2:$AG$15,2,FALSE))</f>
        <v/>
      </c>
      <c r="G188" s="363" t="str">
        <f>IF(D188="","",VLOOKUP(D188,'G-6 Hedgerow Data'!$B$2:$AG$15,3,FALSE))</f>
        <v/>
      </c>
      <c r="H188" s="114"/>
      <c r="I188" s="363" t="str">
        <f>IFERROR(IF(AND(F188="V.Low",OR(H188="Good",H188="Moderate")),"Error ▲",VLOOKUP(H188,'G-1 All Habitats'!$Z$2:$AA$9,2,FALSE)),"")</f>
        <v/>
      </c>
      <c r="J188" s="122"/>
      <c r="K188" s="382" t="str">
        <f>IF(J188="","",IF(VLOOKUP(J188,'G-3 Multipliers'!$L$3:$N$6,2,FALSE)=0,"Spatial Data Missing ⚠",VLOOKUP(J188,'G-3 Multipliers'!$L$3:$N$6,2,FALSE)))</f>
        <v/>
      </c>
      <c r="L188" s="386" t="str">
        <f>IF(J188="","",IF(VLOOKUP(J188,'G-3 Multipliers'!$L$3:$N$6,3,FALSE)=0,"Spatial Data Missing ⚠",VLOOKUP(J188,'G-3 Multipliers'!$L$3:$N$6,3,FALSE)))</f>
        <v/>
      </c>
      <c r="M188" s="425" t="str">
        <f>IF(D188="","",VLOOKUP(D188,'G-6 Hedgerow Data'!$B$1:$AH$15,33,FALSE))</f>
        <v/>
      </c>
      <c r="N188" s="376" t="str">
        <f t="shared" si="20"/>
        <v/>
      </c>
      <c r="O188" s="516"/>
      <c r="P188" s="368" t="str">
        <f>IF(O188="","",IF(VLOOKUP(O188,'G-3 Multipliers'!$S$3:$T$10,2,FALSE)=0,"Spatial Data Missing ⚠",VLOOKUP(O188,'G-3 Multipliers'!$S$3:$T$10,2,FALSE)))</f>
        <v/>
      </c>
      <c r="Q188" s="376" t="str">
        <f t="shared" si="21"/>
        <v/>
      </c>
      <c r="R188" s="32"/>
      <c r="S188" s="114"/>
      <c r="T188" s="125"/>
      <c r="U188" s="370" t="str">
        <f t="shared" si="22"/>
        <v/>
      </c>
      <c r="V188" s="370" t="str">
        <f t="shared" si="23"/>
        <v/>
      </c>
      <c r="W188" s="374" t="str">
        <f t="shared" si="24"/>
        <v/>
      </c>
      <c r="X188" s="378" t="str">
        <f t="shared" si="25"/>
        <v/>
      </c>
      <c r="Y188" s="119"/>
      <c r="Z188" s="120"/>
      <c r="AA188" s="120"/>
      <c r="AB188" s="120"/>
      <c r="AE188" s="30" t="str">
        <f>IFERROR(INDEX('G-6 Hedgerow Data'!$BJ$3:$BJ$15,MATCH(D188,'G-6 Hedgerow Data'!$B$3:$B$15,0)),"")</f>
        <v/>
      </c>
      <c r="AH188" s="124" t="str">
        <f t="shared" si="18"/>
        <v/>
      </c>
      <c r="AI188" s="124" t="str">
        <f t="shared" si="19"/>
        <v/>
      </c>
      <c r="AK188" s="124">
        <v>179</v>
      </c>
      <c r="AM188" s="124" t="str">
        <f t="array" ref="AM188">IFERROR(INDEX($AK$10:$AK$258, MATCH(0, IF(TRUE=$AH$10:$AH$258, COUNTIF($AM$9:$AM187, $AK$10:$AK$258), ""), 0)),"")</f>
        <v/>
      </c>
      <c r="AN188" s="124" t="str">
        <f t="array" ref="AN188">IFERROR(INDEX($AK$10:$AK$258, MATCH(0, IF(TRUE=$AI$10:$AI$258, COUNTIF($AN$9:$AN187, $AK$10:$AK$258), ""), 0)),"")</f>
        <v/>
      </c>
      <c r="AY188" s="370" t="str">
        <f t="shared" si="26"/>
        <v/>
      </c>
    </row>
    <row r="189" spans="2:51" ht="15">
      <c r="B189" s="110">
        <v>180</v>
      </c>
      <c r="C189" s="165"/>
      <c r="D189" s="165"/>
      <c r="E189" s="121"/>
      <c r="F189" s="362" t="str">
        <f>IF(D189="","",VLOOKUP(D189,'G-6 Hedgerow Data'!$B$2:$AG$15,2,FALSE))</f>
        <v/>
      </c>
      <c r="G189" s="363" t="str">
        <f>IF(D189="","",VLOOKUP(D189,'G-6 Hedgerow Data'!$B$2:$AG$15,3,FALSE))</f>
        <v/>
      </c>
      <c r="H189" s="114"/>
      <c r="I189" s="363" t="str">
        <f>IFERROR(IF(AND(F189="V.Low",OR(H189="Good",H189="Moderate")),"Error ▲",VLOOKUP(H189,'G-1 All Habitats'!$Z$2:$AA$9,2,FALSE)),"")</f>
        <v/>
      </c>
      <c r="J189" s="122"/>
      <c r="K189" s="382" t="str">
        <f>IF(J189="","",IF(VLOOKUP(J189,'G-3 Multipliers'!$L$3:$N$6,2,FALSE)=0,"Spatial Data Missing ⚠",VLOOKUP(J189,'G-3 Multipliers'!$L$3:$N$6,2,FALSE)))</f>
        <v/>
      </c>
      <c r="L189" s="386" t="str">
        <f>IF(J189="","",IF(VLOOKUP(J189,'G-3 Multipliers'!$L$3:$N$6,3,FALSE)=0,"Spatial Data Missing ⚠",VLOOKUP(J189,'G-3 Multipliers'!$L$3:$N$6,3,FALSE)))</f>
        <v/>
      </c>
      <c r="M189" s="425" t="str">
        <f>IF(D189="","",VLOOKUP(D189,'G-6 Hedgerow Data'!$B$1:$AH$15,33,FALSE))</f>
        <v/>
      </c>
      <c r="N189" s="376" t="str">
        <f t="shared" si="20"/>
        <v/>
      </c>
      <c r="O189" s="516"/>
      <c r="P189" s="368" t="str">
        <f>IF(O189="","",IF(VLOOKUP(O189,'G-3 Multipliers'!$S$3:$T$10,2,FALSE)=0,"Spatial Data Missing ⚠",VLOOKUP(O189,'G-3 Multipliers'!$S$3:$T$10,2,FALSE)))</f>
        <v/>
      </c>
      <c r="Q189" s="376" t="str">
        <f t="shared" si="21"/>
        <v/>
      </c>
      <c r="R189" s="32"/>
      <c r="S189" s="114"/>
      <c r="T189" s="125"/>
      <c r="U189" s="370" t="str">
        <f t="shared" si="22"/>
        <v/>
      </c>
      <c r="V189" s="370" t="str">
        <f t="shared" si="23"/>
        <v/>
      </c>
      <c r="W189" s="374" t="str">
        <f t="shared" si="24"/>
        <v/>
      </c>
      <c r="X189" s="378" t="str">
        <f t="shared" si="25"/>
        <v/>
      </c>
      <c r="Y189" s="119"/>
      <c r="Z189" s="120"/>
      <c r="AA189" s="120"/>
      <c r="AB189" s="120"/>
      <c r="AE189" s="30" t="str">
        <f>IFERROR(INDEX('G-6 Hedgerow Data'!$BJ$3:$BJ$15,MATCH(D189,'G-6 Hedgerow Data'!$B$3:$B$15,0)),"")</f>
        <v/>
      </c>
      <c r="AH189" s="124" t="str">
        <f t="shared" si="18"/>
        <v/>
      </c>
      <c r="AI189" s="124" t="str">
        <f t="shared" si="19"/>
        <v/>
      </c>
      <c r="AK189" s="124">
        <v>180</v>
      </c>
      <c r="AM189" s="124" t="str">
        <f t="array" ref="AM189">IFERROR(INDEX($AK$10:$AK$258, MATCH(0, IF(TRUE=$AH$10:$AH$258, COUNTIF($AM$9:$AM188, $AK$10:$AK$258), ""), 0)),"")</f>
        <v/>
      </c>
      <c r="AN189" s="124" t="str">
        <f t="array" ref="AN189">IFERROR(INDEX($AK$10:$AK$258, MATCH(0, IF(TRUE=$AI$10:$AI$258, COUNTIF($AN$9:$AN188, $AK$10:$AK$258), ""), 0)),"")</f>
        <v/>
      </c>
      <c r="AY189" s="370" t="str">
        <f t="shared" si="26"/>
        <v/>
      </c>
    </row>
    <row r="190" spans="2:51" ht="15">
      <c r="B190" s="110">
        <v>181</v>
      </c>
      <c r="C190" s="165"/>
      <c r="D190" s="165"/>
      <c r="E190" s="121"/>
      <c r="F190" s="362" t="str">
        <f>IF(D190="","",VLOOKUP(D190,'G-6 Hedgerow Data'!$B$2:$AG$15,2,FALSE))</f>
        <v/>
      </c>
      <c r="G190" s="363" t="str">
        <f>IF(D190="","",VLOOKUP(D190,'G-6 Hedgerow Data'!$B$2:$AG$15,3,FALSE))</f>
        <v/>
      </c>
      <c r="H190" s="114"/>
      <c r="I190" s="363" t="str">
        <f>IFERROR(IF(AND(F190="V.Low",OR(H190="Good",H190="Moderate")),"Error ▲",VLOOKUP(H190,'G-1 All Habitats'!$Z$2:$AA$9,2,FALSE)),"")</f>
        <v/>
      </c>
      <c r="J190" s="122"/>
      <c r="K190" s="382" t="str">
        <f>IF(J190="","",IF(VLOOKUP(J190,'G-3 Multipliers'!$L$3:$N$6,2,FALSE)=0,"Spatial Data Missing ⚠",VLOOKUP(J190,'G-3 Multipliers'!$L$3:$N$6,2,FALSE)))</f>
        <v/>
      </c>
      <c r="L190" s="386" t="str">
        <f>IF(J190="","",IF(VLOOKUP(J190,'G-3 Multipliers'!$L$3:$N$6,3,FALSE)=0,"Spatial Data Missing ⚠",VLOOKUP(J190,'G-3 Multipliers'!$L$3:$N$6,3,FALSE)))</f>
        <v/>
      </c>
      <c r="M190" s="425" t="str">
        <f>IF(D190="","",VLOOKUP(D190,'G-6 Hedgerow Data'!$B$1:$AH$15,33,FALSE))</f>
        <v/>
      </c>
      <c r="N190" s="376" t="str">
        <f t="shared" si="20"/>
        <v/>
      </c>
      <c r="O190" s="516"/>
      <c r="P190" s="368" t="str">
        <f>IF(O190="","",IF(VLOOKUP(O190,'G-3 Multipliers'!$S$3:$T$10,2,FALSE)=0,"Spatial Data Missing ⚠",VLOOKUP(O190,'G-3 Multipliers'!$S$3:$T$10,2,FALSE)))</f>
        <v/>
      </c>
      <c r="Q190" s="376" t="str">
        <f t="shared" si="21"/>
        <v/>
      </c>
      <c r="R190" s="32"/>
      <c r="S190" s="114"/>
      <c r="T190" s="125"/>
      <c r="U190" s="370" t="str">
        <f t="shared" si="22"/>
        <v/>
      </c>
      <c r="V190" s="370" t="str">
        <f t="shared" si="23"/>
        <v/>
      </c>
      <c r="W190" s="374" t="str">
        <f t="shared" si="24"/>
        <v/>
      </c>
      <c r="X190" s="378" t="str">
        <f t="shared" si="25"/>
        <v/>
      </c>
      <c r="Y190" s="119"/>
      <c r="Z190" s="120"/>
      <c r="AA190" s="120"/>
      <c r="AB190" s="120"/>
      <c r="AE190" s="30" t="str">
        <f>IFERROR(INDEX('G-6 Hedgerow Data'!$BJ$3:$BJ$15,MATCH(D190,'G-6 Hedgerow Data'!$B$3:$B$15,0)),"")</f>
        <v/>
      </c>
      <c r="AH190" s="124" t="str">
        <f t="shared" si="18"/>
        <v/>
      </c>
      <c r="AI190" s="124" t="str">
        <f t="shared" si="19"/>
        <v/>
      </c>
      <c r="AK190" s="124">
        <v>181</v>
      </c>
      <c r="AM190" s="124" t="str">
        <f t="array" ref="AM190">IFERROR(INDEX($AK$10:$AK$258, MATCH(0, IF(TRUE=$AH$10:$AH$258, COUNTIF($AM$9:$AM189, $AK$10:$AK$258), ""), 0)),"")</f>
        <v/>
      </c>
      <c r="AN190" s="124" t="str">
        <f t="array" ref="AN190">IFERROR(INDEX($AK$10:$AK$258, MATCH(0, IF(TRUE=$AI$10:$AI$258, COUNTIF($AN$9:$AN189, $AK$10:$AK$258), ""), 0)),"")</f>
        <v/>
      </c>
      <c r="AY190" s="370" t="str">
        <f t="shared" si="26"/>
        <v/>
      </c>
    </row>
    <row r="191" spans="2:51" ht="15">
      <c r="B191" s="110">
        <v>182</v>
      </c>
      <c r="C191" s="165"/>
      <c r="D191" s="165"/>
      <c r="E191" s="121"/>
      <c r="F191" s="362" t="str">
        <f>IF(D191="","",VLOOKUP(D191,'G-6 Hedgerow Data'!$B$2:$AG$15,2,FALSE))</f>
        <v/>
      </c>
      <c r="G191" s="363" t="str">
        <f>IF(D191="","",VLOOKUP(D191,'G-6 Hedgerow Data'!$B$2:$AG$15,3,FALSE))</f>
        <v/>
      </c>
      <c r="H191" s="114"/>
      <c r="I191" s="363" t="str">
        <f>IFERROR(IF(AND(F191="V.Low",OR(H191="Good",H191="Moderate")),"Error ▲",VLOOKUP(H191,'G-1 All Habitats'!$Z$2:$AA$9,2,FALSE)),"")</f>
        <v/>
      </c>
      <c r="J191" s="122"/>
      <c r="K191" s="382" t="str">
        <f>IF(J191="","",IF(VLOOKUP(J191,'G-3 Multipliers'!$L$3:$N$6,2,FALSE)=0,"Spatial Data Missing ⚠",VLOOKUP(J191,'G-3 Multipliers'!$L$3:$N$6,2,FALSE)))</f>
        <v/>
      </c>
      <c r="L191" s="386" t="str">
        <f>IF(J191="","",IF(VLOOKUP(J191,'G-3 Multipliers'!$L$3:$N$6,3,FALSE)=0,"Spatial Data Missing ⚠",VLOOKUP(J191,'G-3 Multipliers'!$L$3:$N$6,3,FALSE)))</f>
        <v/>
      </c>
      <c r="M191" s="425" t="str">
        <f>IF(D191="","",VLOOKUP(D191,'G-6 Hedgerow Data'!$B$1:$AH$15,33,FALSE))</f>
        <v/>
      </c>
      <c r="N191" s="376" t="str">
        <f t="shared" si="20"/>
        <v/>
      </c>
      <c r="O191" s="516"/>
      <c r="P191" s="368" t="str">
        <f>IF(O191="","",IF(VLOOKUP(O191,'G-3 Multipliers'!$S$3:$T$10,2,FALSE)=0,"Spatial Data Missing ⚠",VLOOKUP(O191,'G-3 Multipliers'!$S$3:$T$10,2,FALSE)))</f>
        <v/>
      </c>
      <c r="Q191" s="376" t="str">
        <f t="shared" si="21"/>
        <v/>
      </c>
      <c r="R191" s="32"/>
      <c r="S191" s="114"/>
      <c r="T191" s="125"/>
      <c r="U191" s="370" t="str">
        <f t="shared" si="22"/>
        <v/>
      </c>
      <c r="V191" s="370" t="str">
        <f t="shared" si="23"/>
        <v/>
      </c>
      <c r="W191" s="374" t="str">
        <f t="shared" si="24"/>
        <v/>
      </c>
      <c r="X191" s="378" t="str">
        <f t="shared" si="25"/>
        <v/>
      </c>
      <c r="Y191" s="119"/>
      <c r="Z191" s="120"/>
      <c r="AA191" s="120"/>
      <c r="AB191" s="120"/>
      <c r="AE191" s="30" t="str">
        <f>IFERROR(INDEX('G-6 Hedgerow Data'!$BJ$3:$BJ$15,MATCH(D191,'G-6 Hedgerow Data'!$B$3:$B$15,0)),"")</f>
        <v/>
      </c>
      <c r="AH191" s="124" t="str">
        <f t="shared" si="18"/>
        <v/>
      </c>
      <c r="AI191" s="124" t="str">
        <f t="shared" si="19"/>
        <v/>
      </c>
      <c r="AK191" s="124">
        <v>182</v>
      </c>
      <c r="AM191" s="124" t="str">
        <f t="array" ref="AM191">IFERROR(INDEX($AK$10:$AK$258, MATCH(0, IF(TRUE=$AH$10:$AH$258, COUNTIF($AM$9:$AM190, $AK$10:$AK$258), ""), 0)),"")</f>
        <v/>
      </c>
      <c r="AN191" s="124" t="str">
        <f t="array" ref="AN191">IFERROR(INDEX($AK$10:$AK$258, MATCH(0, IF(TRUE=$AI$10:$AI$258, COUNTIF($AN$9:$AN190, $AK$10:$AK$258), ""), 0)),"")</f>
        <v/>
      </c>
      <c r="AY191" s="370" t="str">
        <f t="shared" si="26"/>
        <v/>
      </c>
    </row>
    <row r="192" spans="2:51" ht="15">
      <c r="B192" s="110">
        <v>183</v>
      </c>
      <c r="C192" s="165"/>
      <c r="D192" s="165"/>
      <c r="E192" s="121"/>
      <c r="F192" s="362" t="str">
        <f>IF(D192="","",VLOOKUP(D192,'G-6 Hedgerow Data'!$B$2:$AG$15,2,FALSE))</f>
        <v/>
      </c>
      <c r="G192" s="363" t="str">
        <f>IF(D192="","",VLOOKUP(D192,'G-6 Hedgerow Data'!$B$2:$AG$15,3,FALSE))</f>
        <v/>
      </c>
      <c r="H192" s="114"/>
      <c r="I192" s="363" t="str">
        <f>IFERROR(IF(AND(F192="V.Low",OR(H192="Good",H192="Moderate")),"Error ▲",VLOOKUP(H192,'G-1 All Habitats'!$Z$2:$AA$9,2,FALSE)),"")</f>
        <v/>
      </c>
      <c r="J192" s="122"/>
      <c r="K192" s="382" t="str">
        <f>IF(J192="","",IF(VLOOKUP(J192,'G-3 Multipliers'!$L$3:$N$6,2,FALSE)=0,"Spatial Data Missing ⚠",VLOOKUP(J192,'G-3 Multipliers'!$L$3:$N$6,2,FALSE)))</f>
        <v/>
      </c>
      <c r="L192" s="386" t="str">
        <f>IF(J192="","",IF(VLOOKUP(J192,'G-3 Multipliers'!$L$3:$N$6,3,FALSE)=0,"Spatial Data Missing ⚠",VLOOKUP(J192,'G-3 Multipliers'!$L$3:$N$6,3,FALSE)))</f>
        <v/>
      </c>
      <c r="M192" s="425" t="str">
        <f>IF(D192="","",VLOOKUP(D192,'G-6 Hedgerow Data'!$B$1:$AH$15,33,FALSE))</f>
        <v/>
      </c>
      <c r="N192" s="376" t="str">
        <f t="shared" si="20"/>
        <v/>
      </c>
      <c r="O192" s="516"/>
      <c r="P192" s="368" t="str">
        <f>IF(O192="","",IF(VLOOKUP(O192,'G-3 Multipliers'!$S$3:$T$10,2,FALSE)=0,"Spatial Data Missing ⚠",VLOOKUP(O192,'G-3 Multipliers'!$S$3:$T$10,2,FALSE)))</f>
        <v/>
      </c>
      <c r="Q192" s="376" t="str">
        <f t="shared" si="21"/>
        <v/>
      </c>
      <c r="R192" s="32"/>
      <c r="S192" s="114"/>
      <c r="T192" s="125"/>
      <c r="U192" s="370" t="str">
        <f t="shared" si="22"/>
        <v/>
      </c>
      <c r="V192" s="370" t="str">
        <f t="shared" si="23"/>
        <v/>
      </c>
      <c r="W192" s="374" t="str">
        <f t="shared" si="24"/>
        <v/>
      </c>
      <c r="X192" s="378" t="str">
        <f t="shared" si="25"/>
        <v/>
      </c>
      <c r="Y192" s="119"/>
      <c r="Z192" s="120"/>
      <c r="AA192" s="120"/>
      <c r="AB192" s="120"/>
      <c r="AE192" s="30" t="str">
        <f>IFERROR(INDEX('G-6 Hedgerow Data'!$BJ$3:$BJ$15,MATCH(D192,'G-6 Hedgerow Data'!$B$3:$B$15,0)),"")</f>
        <v/>
      </c>
      <c r="AH192" s="124" t="str">
        <f t="shared" si="18"/>
        <v/>
      </c>
      <c r="AI192" s="124" t="str">
        <f t="shared" si="19"/>
        <v/>
      </c>
      <c r="AK192" s="124">
        <v>183</v>
      </c>
      <c r="AM192" s="124" t="str">
        <f t="array" ref="AM192">IFERROR(INDEX($AK$10:$AK$258, MATCH(0, IF(TRUE=$AH$10:$AH$258, COUNTIF($AM$9:$AM191, $AK$10:$AK$258), ""), 0)),"")</f>
        <v/>
      </c>
      <c r="AN192" s="124" t="str">
        <f t="array" ref="AN192">IFERROR(INDEX($AK$10:$AK$258, MATCH(0, IF(TRUE=$AI$10:$AI$258, COUNTIF($AN$9:$AN191, $AK$10:$AK$258), ""), 0)),"")</f>
        <v/>
      </c>
      <c r="AY192" s="370" t="str">
        <f t="shared" si="26"/>
        <v/>
      </c>
    </row>
    <row r="193" spans="2:51" ht="15">
      <c r="B193" s="110">
        <v>184</v>
      </c>
      <c r="C193" s="165"/>
      <c r="D193" s="165"/>
      <c r="E193" s="121"/>
      <c r="F193" s="362" t="str">
        <f>IF(D193="","",VLOOKUP(D193,'G-6 Hedgerow Data'!$B$2:$AG$15,2,FALSE))</f>
        <v/>
      </c>
      <c r="G193" s="363" t="str">
        <f>IF(D193="","",VLOOKUP(D193,'G-6 Hedgerow Data'!$B$2:$AG$15,3,FALSE))</f>
        <v/>
      </c>
      <c r="H193" s="114"/>
      <c r="I193" s="363" t="str">
        <f>IFERROR(IF(AND(F193="V.Low",OR(H193="Good",H193="Moderate")),"Error ▲",VLOOKUP(H193,'G-1 All Habitats'!$Z$2:$AA$9,2,FALSE)),"")</f>
        <v/>
      </c>
      <c r="J193" s="122"/>
      <c r="K193" s="382" t="str">
        <f>IF(J193="","",IF(VLOOKUP(J193,'G-3 Multipliers'!$L$3:$N$6,2,FALSE)=0,"Spatial Data Missing ⚠",VLOOKUP(J193,'G-3 Multipliers'!$L$3:$N$6,2,FALSE)))</f>
        <v/>
      </c>
      <c r="L193" s="386" t="str">
        <f>IF(J193="","",IF(VLOOKUP(J193,'G-3 Multipliers'!$L$3:$N$6,3,FALSE)=0,"Spatial Data Missing ⚠",VLOOKUP(J193,'G-3 Multipliers'!$L$3:$N$6,3,FALSE)))</f>
        <v/>
      </c>
      <c r="M193" s="425" t="str">
        <f>IF(D193="","",VLOOKUP(D193,'G-6 Hedgerow Data'!$B$1:$AH$15,33,FALSE))</f>
        <v/>
      </c>
      <c r="N193" s="376" t="str">
        <f t="shared" si="20"/>
        <v/>
      </c>
      <c r="O193" s="516"/>
      <c r="P193" s="368" t="str">
        <f>IF(O193="","",IF(VLOOKUP(O193,'G-3 Multipliers'!$S$3:$T$10,2,FALSE)=0,"Spatial Data Missing ⚠",VLOOKUP(O193,'G-3 Multipliers'!$S$3:$T$10,2,FALSE)))</f>
        <v/>
      </c>
      <c r="Q193" s="376" t="str">
        <f t="shared" si="21"/>
        <v/>
      </c>
      <c r="R193" s="32"/>
      <c r="S193" s="114"/>
      <c r="T193" s="125"/>
      <c r="U193" s="370" t="str">
        <f t="shared" si="22"/>
        <v/>
      </c>
      <c r="V193" s="370" t="str">
        <f t="shared" si="23"/>
        <v/>
      </c>
      <c r="W193" s="374" t="str">
        <f t="shared" si="24"/>
        <v/>
      </c>
      <c r="X193" s="378" t="str">
        <f t="shared" si="25"/>
        <v/>
      </c>
      <c r="Y193" s="119"/>
      <c r="Z193" s="120"/>
      <c r="AA193" s="120"/>
      <c r="AB193" s="120"/>
      <c r="AE193" s="30" t="str">
        <f>IFERROR(INDEX('G-6 Hedgerow Data'!$BJ$3:$BJ$15,MATCH(D193,'G-6 Hedgerow Data'!$B$3:$B$15,0)),"")</f>
        <v/>
      </c>
      <c r="AH193" s="124" t="str">
        <f t="shared" si="18"/>
        <v/>
      </c>
      <c r="AI193" s="124" t="str">
        <f t="shared" si="19"/>
        <v/>
      </c>
      <c r="AK193" s="124">
        <v>184</v>
      </c>
      <c r="AM193" s="124" t="str">
        <f t="array" ref="AM193">IFERROR(INDEX($AK$10:$AK$258, MATCH(0, IF(TRUE=$AH$10:$AH$258, COUNTIF($AM$9:$AM192, $AK$10:$AK$258), ""), 0)),"")</f>
        <v/>
      </c>
      <c r="AN193" s="124" t="str">
        <f t="array" ref="AN193">IFERROR(INDEX($AK$10:$AK$258, MATCH(0, IF(TRUE=$AI$10:$AI$258, COUNTIF($AN$9:$AN192, $AK$10:$AK$258), ""), 0)),"")</f>
        <v/>
      </c>
      <c r="AY193" s="370" t="str">
        <f t="shared" si="26"/>
        <v/>
      </c>
    </row>
    <row r="194" spans="2:51" ht="15">
      <c r="B194" s="110">
        <v>185</v>
      </c>
      <c r="C194" s="165"/>
      <c r="D194" s="165"/>
      <c r="E194" s="121"/>
      <c r="F194" s="362" t="str">
        <f>IF(D194="","",VLOOKUP(D194,'G-6 Hedgerow Data'!$B$2:$AG$15,2,FALSE))</f>
        <v/>
      </c>
      <c r="G194" s="363" t="str">
        <f>IF(D194="","",VLOOKUP(D194,'G-6 Hedgerow Data'!$B$2:$AG$15,3,FALSE))</f>
        <v/>
      </c>
      <c r="H194" s="114"/>
      <c r="I194" s="363" t="str">
        <f>IFERROR(IF(AND(F194="V.Low",OR(H194="Good",H194="Moderate")),"Error ▲",VLOOKUP(H194,'G-1 All Habitats'!$Z$2:$AA$9,2,FALSE)),"")</f>
        <v/>
      </c>
      <c r="J194" s="122"/>
      <c r="K194" s="382" t="str">
        <f>IF(J194="","",IF(VLOOKUP(J194,'G-3 Multipliers'!$L$3:$N$6,2,FALSE)=0,"Spatial Data Missing ⚠",VLOOKUP(J194,'G-3 Multipliers'!$L$3:$N$6,2,FALSE)))</f>
        <v/>
      </c>
      <c r="L194" s="386" t="str">
        <f>IF(J194="","",IF(VLOOKUP(J194,'G-3 Multipliers'!$L$3:$N$6,3,FALSE)=0,"Spatial Data Missing ⚠",VLOOKUP(J194,'G-3 Multipliers'!$L$3:$N$6,3,FALSE)))</f>
        <v/>
      </c>
      <c r="M194" s="425" t="str">
        <f>IF(D194="","",VLOOKUP(D194,'G-6 Hedgerow Data'!$B$1:$AH$15,33,FALSE))</f>
        <v/>
      </c>
      <c r="N194" s="376" t="str">
        <f t="shared" si="20"/>
        <v/>
      </c>
      <c r="O194" s="516"/>
      <c r="P194" s="368" t="str">
        <f>IF(O194="","",IF(VLOOKUP(O194,'G-3 Multipliers'!$S$3:$T$10,2,FALSE)=0,"Spatial Data Missing ⚠",VLOOKUP(O194,'G-3 Multipliers'!$S$3:$T$10,2,FALSE)))</f>
        <v/>
      </c>
      <c r="Q194" s="376" t="str">
        <f t="shared" si="21"/>
        <v/>
      </c>
      <c r="R194" s="32"/>
      <c r="S194" s="114"/>
      <c r="T194" s="125"/>
      <c r="U194" s="370" t="str">
        <f t="shared" si="22"/>
        <v/>
      </c>
      <c r="V194" s="370" t="str">
        <f t="shared" si="23"/>
        <v/>
      </c>
      <c r="W194" s="374" t="str">
        <f t="shared" si="24"/>
        <v/>
      </c>
      <c r="X194" s="378" t="str">
        <f t="shared" si="25"/>
        <v/>
      </c>
      <c r="Y194" s="119"/>
      <c r="Z194" s="120"/>
      <c r="AA194" s="120"/>
      <c r="AB194" s="120"/>
      <c r="AE194" s="30" t="str">
        <f>IFERROR(INDEX('G-6 Hedgerow Data'!$BJ$3:$BJ$15,MATCH(D194,'G-6 Hedgerow Data'!$B$3:$B$15,0)),"")</f>
        <v/>
      </c>
      <c r="AH194" s="124" t="str">
        <f t="shared" si="18"/>
        <v/>
      </c>
      <c r="AI194" s="124" t="str">
        <f t="shared" si="19"/>
        <v/>
      </c>
      <c r="AK194" s="124">
        <v>185</v>
      </c>
      <c r="AM194" s="124" t="str">
        <f t="array" ref="AM194">IFERROR(INDEX($AK$10:$AK$258, MATCH(0, IF(TRUE=$AH$10:$AH$258, COUNTIF($AM$9:$AM193, $AK$10:$AK$258), ""), 0)),"")</f>
        <v/>
      </c>
      <c r="AN194" s="124" t="str">
        <f t="array" ref="AN194">IFERROR(INDEX($AK$10:$AK$258, MATCH(0, IF(TRUE=$AI$10:$AI$258, COUNTIF($AN$9:$AN193, $AK$10:$AK$258), ""), 0)),"")</f>
        <v/>
      </c>
      <c r="AY194" s="370" t="str">
        <f t="shared" si="26"/>
        <v/>
      </c>
    </row>
    <row r="195" spans="2:51" ht="15">
      <c r="B195" s="110">
        <v>186</v>
      </c>
      <c r="C195" s="165"/>
      <c r="D195" s="165"/>
      <c r="E195" s="121"/>
      <c r="F195" s="362" t="str">
        <f>IF(D195="","",VLOOKUP(D195,'G-6 Hedgerow Data'!$B$2:$AG$15,2,FALSE))</f>
        <v/>
      </c>
      <c r="G195" s="363" t="str">
        <f>IF(D195="","",VLOOKUP(D195,'G-6 Hedgerow Data'!$B$2:$AG$15,3,FALSE))</f>
        <v/>
      </c>
      <c r="H195" s="114"/>
      <c r="I195" s="363" t="str">
        <f>IFERROR(IF(AND(F195="V.Low",OR(H195="Good",H195="Moderate")),"Error ▲",VLOOKUP(H195,'G-1 All Habitats'!$Z$2:$AA$9,2,FALSE)),"")</f>
        <v/>
      </c>
      <c r="J195" s="122"/>
      <c r="K195" s="382" t="str">
        <f>IF(J195="","",IF(VLOOKUP(J195,'G-3 Multipliers'!$L$3:$N$6,2,FALSE)=0,"Spatial Data Missing ⚠",VLOOKUP(J195,'G-3 Multipliers'!$L$3:$N$6,2,FALSE)))</f>
        <v/>
      </c>
      <c r="L195" s="386" t="str">
        <f>IF(J195="","",IF(VLOOKUP(J195,'G-3 Multipliers'!$L$3:$N$6,3,FALSE)=0,"Spatial Data Missing ⚠",VLOOKUP(J195,'G-3 Multipliers'!$L$3:$N$6,3,FALSE)))</f>
        <v/>
      </c>
      <c r="M195" s="425" t="str">
        <f>IF(D195="","",VLOOKUP(D195,'G-6 Hedgerow Data'!$B$1:$AH$15,33,FALSE))</f>
        <v/>
      </c>
      <c r="N195" s="376" t="str">
        <f t="shared" si="20"/>
        <v/>
      </c>
      <c r="O195" s="516"/>
      <c r="P195" s="368" t="str">
        <f>IF(O195="","",IF(VLOOKUP(O195,'G-3 Multipliers'!$S$3:$T$10,2,FALSE)=0,"Spatial Data Missing ⚠",VLOOKUP(O195,'G-3 Multipliers'!$S$3:$T$10,2,FALSE)))</f>
        <v/>
      </c>
      <c r="Q195" s="376" t="str">
        <f t="shared" si="21"/>
        <v/>
      </c>
      <c r="R195" s="32"/>
      <c r="S195" s="114"/>
      <c r="T195" s="125"/>
      <c r="U195" s="370" t="str">
        <f t="shared" si="22"/>
        <v/>
      </c>
      <c r="V195" s="370" t="str">
        <f t="shared" si="23"/>
        <v/>
      </c>
      <c r="W195" s="374" t="str">
        <f t="shared" si="24"/>
        <v/>
      </c>
      <c r="X195" s="378" t="str">
        <f t="shared" si="25"/>
        <v/>
      </c>
      <c r="Y195" s="119"/>
      <c r="Z195" s="120"/>
      <c r="AA195" s="120"/>
      <c r="AB195" s="120"/>
      <c r="AE195" s="30" t="str">
        <f>IFERROR(INDEX('G-6 Hedgerow Data'!$BJ$3:$BJ$15,MATCH(D195,'G-6 Hedgerow Data'!$B$3:$B$15,0)),"")</f>
        <v/>
      </c>
      <c r="AH195" s="124" t="str">
        <f t="shared" si="18"/>
        <v/>
      </c>
      <c r="AI195" s="124" t="str">
        <f t="shared" si="19"/>
        <v/>
      </c>
      <c r="AK195" s="124">
        <v>186</v>
      </c>
      <c r="AM195" s="124" t="str">
        <f t="array" ref="AM195">IFERROR(INDEX($AK$10:$AK$258, MATCH(0, IF(TRUE=$AH$10:$AH$258, COUNTIF($AM$9:$AM194, $AK$10:$AK$258), ""), 0)),"")</f>
        <v/>
      </c>
      <c r="AN195" s="124" t="str">
        <f t="array" ref="AN195">IFERROR(INDEX($AK$10:$AK$258, MATCH(0, IF(TRUE=$AI$10:$AI$258, COUNTIF($AN$9:$AN194, $AK$10:$AK$258), ""), 0)),"")</f>
        <v/>
      </c>
      <c r="AY195" s="370" t="str">
        <f t="shared" si="26"/>
        <v/>
      </c>
    </row>
    <row r="196" spans="2:51" ht="15">
      <c r="B196" s="110">
        <v>187</v>
      </c>
      <c r="C196" s="165"/>
      <c r="D196" s="165"/>
      <c r="E196" s="121"/>
      <c r="F196" s="362" t="str">
        <f>IF(D196="","",VLOOKUP(D196,'G-6 Hedgerow Data'!$B$2:$AG$15,2,FALSE))</f>
        <v/>
      </c>
      <c r="G196" s="363" t="str">
        <f>IF(D196="","",VLOOKUP(D196,'G-6 Hedgerow Data'!$B$2:$AG$15,3,FALSE))</f>
        <v/>
      </c>
      <c r="H196" s="114"/>
      <c r="I196" s="363" t="str">
        <f>IFERROR(IF(AND(F196="V.Low",OR(H196="Good",H196="Moderate")),"Error ▲",VLOOKUP(H196,'G-1 All Habitats'!$Z$2:$AA$9,2,FALSE)),"")</f>
        <v/>
      </c>
      <c r="J196" s="122"/>
      <c r="K196" s="382" t="str">
        <f>IF(J196="","",IF(VLOOKUP(J196,'G-3 Multipliers'!$L$3:$N$6,2,FALSE)=0,"Spatial Data Missing ⚠",VLOOKUP(J196,'G-3 Multipliers'!$L$3:$N$6,2,FALSE)))</f>
        <v/>
      </c>
      <c r="L196" s="386" t="str">
        <f>IF(J196="","",IF(VLOOKUP(J196,'G-3 Multipliers'!$L$3:$N$6,3,FALSE)=0,"Spatial Data Missing ⚠",VLOOKUP(J196,'G-3 Multipliers'!$L$3:$N$6,3,FALSE)))</f>
        <v/>
      </c>
      <c r="M196" s="425" t="str">
        <f>IF(D196="","",VLOOKUP(D196,'G-6 Hedgerow Data'!$B$1:$AH$15,33,FALSE))</f>
        <v/>
      </c>
      <c r="N196" s="376" t="str">
        <f t="shared" si="20"/>
        <v/>
      </c>
      <c r="O196" s="516"/>
      <c r="P196" s="368" t="str">
        <f>IF(O196="","",IF(VLOOKUP(O196,'G-3 Multipliers'!$S$3:$T$10,2,FALSE)=0,"Spatial Data Missing ⚠",VLOOKUP(O196,'G-3 Multipliers'!$S$3:$T$10,2,FALSE)))</f>
        <v/>
      </c>
      <c r="Q196" s="376" t="str">
        <f t="shared" si="21"/>
        <v/>
      </c>
      <c r="R196" s="32"/>
      <c r="S196" s="114"/>
      <c r="T196" s="125"/>
      <c r="U196" s="370" t="str">
        <f t="shared" si="22"/>
        <v/>
      </c>
      <c r="V196" s="370" t="str">
        <f t="shared" si="23"/>
        <v/>
      </c>
      <c r="W196" s="374" t="str">
        <f t="shared" si="24"/>
        <v/>
      </c>
      <c r="X196" s="378" t="str">
        <f t="shared" si="25"/>
        <v/>
      </c>
      <c r="Y196" s="119"/>
      <c r="Z196" s="120"/>
      <c r="AA196" s="120"/>
      <c r="AB196" s="120"/>
      <c r="AE196" s="30" t="str">
        <f>IFERROR(INDEX('G-6 Hedgerow Data'!$BJ$3:$BJ$15,MATCH(D196,'G-6 Hedgerow Data'!$B$3:$B$15,0)),"")</f>
        <v/>
      </c>
      <c r="AH196" s="124" t="str">
        <f t="shared" si="18"/>
        <v/>
      </c>
      <c r="AI196" s="124" t="str">
        <f t="shared" si="19"/>
        <v/>
      </c>
      <c r="AK196" s="124">
        <v>187</v>
      </c>
      <c r="AM196" s="124" t="str">
        <f t="array" ref="AM196">IFERROR(INDEX($AK$10:$AK$258, MATCH(0, IF(TRUE=$AH$10:$AH$258, COUNTIF($AM$9:$AM195, $AK$10:$AK$258), ""), 0)),"")</f>
        <v/>
      </c>
      <c r="AN196" s="124" t="str">
        <f t="array" ref="AN196">IFERROR(INDEX($AK$10:$AK$258, MATCH(0, IF(TRUE=$AI$10:$AI$258, COUNTIF($AN$9:$AN195, $AK$10:$AK$258), ""), 0)),"")</f>
        <v/>
      </c>
      <c r="AY196" s="370" t="str">
        <f t="shared" si="26"/>
        <v/>
      </c>
    </row>
    <row r="197" spans="2:51" ht="15">
      <c r="B197" s="110">
        <v>188</v>
      </c>
      <c r="C197" s="165"/>
      <c r="D197" s="165"/>
      <c r="E197" s="121"/>
      <c r="F197" s="362" t="str">
        <f>IF(D197="","",VLOOKUP(D197,'G-6 Hedgerow Data'!$B$2:$AG$15,2,FALSE))</f>
        <v/>
      </c>
      <c r="G197" s="363" t="str">
        <f>IF(D197="","",VLOOKUP(D197,'G-6 Hedgerow Data'!$B$2:$AG$15,3,FALSE))</f>
        <v/>
      </c>
      <c r="H197" s="114"/>
      <c r="I197" s="363" t="str">
        <f>IFERROR(IF(AND(F197="V.Low",OR(H197="Good",H197="Moderate")),"Error ▲",VLOOKUP(H197,'G-1 All Habitats'!$Z$2:$AA$9,2,FALSE)),"")</f>
        <v/>
      </c>
      <c r="J197" s="122"/>
      <c r="K197" s="382" t="str">
        <f>IF(J197="","",IF(VLOOKUP(J197,'G-3 Multipliers'!$L$3:$N$6,2,FALSE)=0,"Spatial Data Missing ⚠",VLOOKUP(J197,'G-3 Multipliers'!$L$3:$N$6,2,FALSE)))</f>
        <v/>
      </c>
      <c r="L197" s="386" t="str">
        <f>IF(J197="","",IF(VLOOKUP(J197,'G-3 Multipliers'!$L$3:$N$6,3,FALSE)=0,"Spatial Data Missing ⚠",VLOOKUP(J197,'G-3 Multipliers'!$L$3:$N$6,3,FALSE)))</f>
        <v/>
      </c>
      <c r="M197" s="425" t="str">
        <f>IF(D197="","",VLOOKUP(D197,'G-6 Hedgerow Data'!$B$1:$AH$15,33,FALSE))</f>
        <v/>
      </c>
      <c r="N197" s="376" t="str">
        <f t="shared" si="20"/>
        <v/>
      </c>
      <c r="O197" s="516"/>
      <c r="P197" s="368" t="str">
        <f>IF(O197="","",IF(VLOOKUP(O197,'G-3 Multipliers'!$S$3:$T$10,2,FALSE)=0,"Spatial Data Missing ⚠",VLOOKUP(O197,'G-3 Multipliers'!$S$3:$T$10,2,FALSE)))</f>
        <v/>
      </c>
      <c r="Q197" s="376" t="str">
        <f t="shared" si="21"/>
        <v/>
      </c>
      <c r="R197" s="32"/>
      <c r="S197" s="114"/>
      <c r="T197" s="125"/>
      <c r="U197" s="370" t="str">
        <f t="shared" si="22"/>
        <v/>
      </c>
      <c r="V197" s="370" t="str">
        <f t="shared" si="23"/>
        <v/>
      </c>
      <c r="W197" s="374" t="str">
        <f t="shared" si="24"/>
        <v/>
      </c>
      <c r="X197" s="378" t="str">
        <f t="shared" si="25"/>
        <v/>
      </c>
      <c r="Y197" s="119"/>
      <c r="Z197" s="120"/>
      <c r="AA197" s="120"/>
      <c r="AB197" s="120"/>
      <c r="AE197" s="30" t="str">
        <f>IFERROR(INDEX('G-6 Hedgerow Data'!$BJ$3:$BJ$15,MATCH(D197,'G-6 Hedgerow Data'!$B$3:$B$15,0)),"")</f>
        <v/>
      </c>
      <c r="AH197" s="124" t="str">
        <f t="shared" si="18"/>
        <v/>
      </c>
      <c r="AI197" s="124" t="str">
        <f t="shared" si="19"/>
        <v/>
      </c>
      <c r="AK197" s="124">
        <v>188</v>
      </c>
      <c r="AM197" s="124" t="str">
        <f t="array" ref="AM197">IFERROR(INDEX($AK$10:$AK$258, MATCH(0, IF(TRUE=$AH$10:$AH$258, COUNTIF($AM$9:$AM196, $AK$10:$AK$258), ""), 0)),"")</f>
        <v/>
      </c>
      <c r="AN197" s="124" t="str">
        <f t="array" ref="AN197">IFERROR(INDEX($AK$10:$AK$258, MATCH(0, IF(TRUE=$AI$10:$AI$258, COUNTIF($AN$9:$AN196, $AK$10:$AK$258), ""), 0)),"")</f>
        <v/>
      </c>
      <c r="AY197" s="370" t="str">
        <f t="shared" si="26"/>
        <v/>
      </c>
    </row>
    <row r="198" spans="2:51" ht="15">
      <c r="B198" s="110">
        <v>189</v>
      </c>
      <c r="C198" s="165"/>
      <c r="D198" s="165"/>
      <c r="E198" s="121"/>
      <c r="F198" s="362" t="str">
        <f>IF(D198="","",VLOOKUP(D198,'G-6 Hedgerow Data'!$B$2:$AG$15,2,FALSE))</f>
        <v/>
      </c>
      <c r="G198" s="363" t="str">
        <f>IF(D198="","",VLOOKUP(D198,'G-6 Hedgerow Data'!$B$2:$AG$15,3,FALSE))</f>
        <v/>
      </c>
      <c r="H198" s="114"/>
      <c r="I198" s="363" t="str">
        <f>IFERROR(IF(AND(F198="V.Low",OR(H198="Good",H198="Moderate")),"Error ▲",VLOOKUP(H198,'G-1 All Habitats'!$Z$2:$AA$9,2,FALSE)),"")</f>
        <v/>
      </c>
      <c r="J198" s="122"/>
      <c r="K198" s="382" t="str">
        <f>IF(J198="","",IF(VLOOKUP(J198,'G-3 Multipliers'!$L$3:$N$6,2,FALSE)=0,"Spatial Data Missing ⚠",VLOOKUP(J198,'G-3 Multipliers'!$L$3:$N$6,2,FALSE)))</f>
        <v/>
      </c>
      <c r="L198" s="386" t="str">
        <f>IF(J198="","",IF(VLOOKUP(J198,'G-3 Multipliers'!$L$3:$N$6,3,FALSE)=0,"Spatial Data Missing ⚠",VLOOKUP(J198,'G-3 Multipliers'!$L$3:$N$6,3,FALSE)))</f>
        <v/>
      </c>
      <c r="M198" s="425" t="str">
        <f>IF(D198="","",VLOOKUP(D198,'G-6 Hedgerow Data'!$B$1:$AH$15,33,FALSE))</f>
        <v/>
      </c>
      <c r="N198" s="376" t="str">
        <f t="shared" si="20"/>
        <v/>
      </c>
      <c r="O198" s="516"/>
      <c r="P198" s="368" t="str">
        <f>IF(O198="","",IF(VLOOKUP(O198,'G-3 Multipliers'!$S$3:$T$10,2,FALSE)=0,"Spatial Data Missing ⚠",VLOOKUP(O198,'G-3 Multipliers'!$S$3:$T$10,2,FALSE)))</f>
        <v/>
      </c>
      <c r="Q198" s="376" t="str">
        <f t="shared" si="21"/>
        <v/>
      </c>
      <c r="R198" s="32"/>
      <c r="S198" s="114"/>
      <c r="T198" s="125"/>
      <c r="U198" s="370" t="str">
        <f t="shared" si="22"/>
        <v/>
      </c>
      <c r="V198" s="370" t="str">
        <f t="shared" si="23"/>
        <v/>
      </c>
      <c r="W198" s="374" t="str">
        <f t="shared" si="24"/>
        <v/>
      </c>
      <c r="X198" s="378" t="str">
        <f t="shared" si="25"/>
        <v/>
      </c>
      <c r="Y198" s="119"/>
      <c r="Z198" s="120"/>
      <c r="AA198" s="120"/>
      <c r="AB198" s="120"/>
      <c r="AE198" s="30" t="str">
        <f>IFERROR(INDEX('G-6 Hedgerow Data'!$BJ$3:$BJ$15,MATCH(D198,'G-6 Hedgerow Data'!$B$3:$B$15,0)),"")</f>
        <v/>
      </c>
      <c r="AH198" s="124" t="str">
        <f t="shared" si="18"/>
        <v/>
      </c>
      <c r="AI198" s="124" t="str">
        <f t="shared" si="19"/>
        <v/>
      </c>
      <c r="AK198" s="124">
        <v>189</v>
      </c>
      <c r="AM198" s="124" t="str">
        <f t="array" ref="AM198">IFERROR(INDEX($AK$10:$AK$258, MATCH(0, IF(TRUE=$AH$10:$AH$258, COUNTIF($AM$9:$AM197, $AK$10:$AK$258), ""), 0)),"")</f>
        <v/>
      </c>
      <c r="AN198" s="124" t="str">
        <f t="array" ref="AN198">IFERROR(INDEX($AK$10:$AK$258, MATCH(0, IF(TRUE=$AI$10:$AI$258, COUNTIF($AN$9:$AN197, $AK$10:$AK$258), ""), 0)),"")</f>
        <v/>
      </c>
      <c r="AY198" s="370" t="str">
        <f t="shared" si="26"/>
        <v/>
      </c>
    </row>
    <row r="199" spans="2:51" ht="15">
      <c r="B199" s="110">
        <v>190</v>
      </c>
      <c r="C199" s="165"/>
      <c r="D199" s="165"/>
      <c r="E199" s="121"/>
      <c r="F199" s="362" t="str">
        <f>IF(D199="","",VLOOKUP(D199,'G-6 Hedgerow Data'!$B$2:$AG$15,2,FALSE))</f>
        <v/>
      </c>
      <c r="G199" s="363" t="str">
        <f>IF(D199="","",VLOOKUP(D199,'G-6 Hedgerow Data'!$B$2:$AG$15,3,FALSE))</f>
        <v/>
      </c>
      <c r="H199" s="114"/>
      <c r="I199" s="363" t="str">
        <f>IFERROR(IF(AND(F199="V.Low",OR(H199="Good",H199="Moderate")),"Error ▲",VLOOKUP(H199,'G-1 All Habitats'!$Z$2:$AA$9,2,FALSE)),"")</f>
        <v/>
      </c>
      <c r="J199" s="122"/>
      <c r="K199" s="382" t="str">
        <f>IF(J199="","",IF(VLOOKUP(J199,'G-3 Multipliers'!$L$3:$N$6,2,FALSE)=0,"Spatial Data Missing ⚠",VLOOKUP(J199,'G-3 Multipliers'!$L$3:$N$6,2,FALSE)))</f>
        <v/>
      </c>
      <c r="L199" s="386" t="str">
        <f>IF(J199="","",IF(VLOOKUP(J199,'G-3 Multipliers'!$L$3:$N$6,3,FALSE)=0,"Spatial Data Missing ⚠",VLOOKUP(J199,'G-3 Multipliers'!$L$3:$N$6,3,FALSE)))</f>
        <v/>
      </c>
      <c r="M199" s="425" t="str">
        <f>IF(D199="","",VLOOKUP(D199,'G-6 Hedgerow Data'!$B$1:$AH$15,33,FALSE))</f>
        <v/>
      </c>
      <c r="N199" s="376" t="str">
        <f t="shared" si="20"/>
        <v/>
      </c>
      <c r="O199" s="516"/>
      <c r="P199" s="368" t="str">
        <f>IF(O199="","",IF(VLOOKUP(O199,'G-3 Multipliers'!$S$3:$T$10,2,FALSE)=0,"Spatial Data Missing ⚠",VLOOKUP(O199,'G-3 Multipliers'!$S$3:$T$10,2,FALSE)))</f>
        <v/>
      </c>
      <c r="Q199" s="376" t="str">
        <f t="shared" si="21"/>
        <v/>
      </c>
      <c r="R199" s="32"/>
      <c r="S199" s="114"/>
      <c r="T199" s="125"/>
      <c r="U199" s="370" t="str">
        <f t="shared" si="22"/>
        <v/>
      </c>
      <c r="V199" s="370" t="str">
        <f t="shared" si="23"/>
        <v/>
      </c>
      <c r="W199" s="374" t="str">
        <f t="shared" si="24"/>
        <v/>
      </c>
      <c r="X199" s="378" t="str">
        <f t="shared" si="25"/>
        <v/>
      </c>
      <c r="Y199" s="119"/>
      <c r="Z199" s="120"/>
      <c r="AA199" s="120"/>
      <c r="AB199" s="120"/>
      <c r="AE199" s="30" t="str">
        <f>IFERROR(INDEX('G-6 Hedgerow Data'!$BJ$3:$BJ$15,MATCH(D199,'G-6 Hedgerow Data'!$B$3:$B$15,0)),"")</f>
        <v/>
      </c>
      <c r="AH199" s="124" t="str">
        <f t="shared" si="18"/>
        <v/>
      </c>
      <c r="AI199" s="124" t="str">
        <f t="shared" si="19"/>
        <v/>
      </c>
      <c r="AK199" s="124">
        <v>190</v>
      </c>
      <c r="AM199" s="124" t="str">
        <f t="array" ref="AM199">IFERROR(INDEX($AK$10:$AK$258, MATCH(0, IF(TRUE=$AH$10:$AH$258, COUNTIF($AM$9:$AM198, $AK$10:$AK$258), ""), 0)),"")</f>
        <v/>
      </c>
      <c r="AN199" s="124" t="str">
        <f t="array" ref="AN199">IFERROR(INDEX($AK$10:$AK$258, MATCH(0, IF(TRUE=$AI$10:$AI$258, COUNTIF($AN$9:$AN198, $AK$10:$AK$258), ""), 0)),"")</f>
        <v/>
      </c>
      <c r="AY199" s="370" t="str">
        <f t="shared" si="26"/>
        <v/>
      </c>
    </row>
    <row r="200" spans="2:51" ht="15">
      <c r="B200" s="110">
        <v>191</v>
      </c>
      <c r="C200" s="165"/>
      <c r="D200" s="165"/>
      <c r="E200" s="121"/>
      <c r="F200" s="362" t="str">
        <f>IF(D200="","",VLOOKUP(D200,'G-6 Hedgerow Data'!$B$2:$AG$15,2,FALSE))</f>
        <v/>
      </c>
      <c r="G200" s="363" t="str">
        <f>IF(D200="","",VLOOKUP(D200,'G-6 Hedgerow Data'!$B$2:$AG$15,3,FALSE))</f>
        <v/>
      </c>
      <c r="H200" s="114"/>
      <c r="I200" s="363" t="str">
        <f>IFERROR(IF(AND(F200="V.Low",OR(H200="Good",H200="Moderate")),"Error ▲",VLOOKUP(H200,'G-1 All Habitats'!$Z$2:$AA$9,2,FALSE)),"")</f>
        <v/>
      </c>
      <c r="J200" s="122"/>
      <c r="K200" s="382" t="str">
        <f>IF(J200="","",IF(VLOOKUP(J200,'G-3 Multipliers'!$L$3:$N$6,2,FALSE)=0,"Spatial Data Missing ⚠",VLOOKUP(J200,'G-3 Multipliers'!$L$3:$N$6,2,FALSE)))</f>
        <v/>
      </c>
      <c r="L200" s="386" t="str">
        <f>IF(J200="","",IF(VLOOKUP(J200,'G-3 Multipliers'!$L$3:$N$6,3,FALSE)=0,"Spatial Data Missing ⚠",VLOOKUP(J200,'G-3 Multipliers'!$L$3:$N$6,3,FALSE)))</f>
        <v/>
      </c>
      <c r="M200" s="425" t="str">
        <f>IF(D200="","",VLOOKUP(D200,'G-6 Hedgerow Data'!$B$1:$AH$15,33,FALSE))</f>
        <v/>
      </c>
      <c r="N200" s="376" t="str">
        <f t="shared" si="20"/>
        <v/>
      </c>
      <c r="O200" s="516"/>
      <c r="P200" s="368" t="str">
        <f>IF(O200="","",IF(VLOOKUP(O200,'G-3 Multipliers'!$S$3:$T$10,2,FALSE)=0,"Spatial Data Missing ⚠",VLOOKUP(O200,'G-3 Multipliers'!$S$3:$T$10,2,FALSE)))</f>
        <v/>
      </c>
      <c r="Q200" s="376" t="str">
        <f t="shared" si="21"/>
        <v/>
      </c>
      <c r="R200" s="32"/>
      <c r="S200" s="114"/>
      <c r="T200" s="125"/>
      <c r="U200" s="370" t="str">
        <f t="shared" si="22"/>
        <v/>
      </c>
      <c r="V200" s="370" t="str">
        <f t="shared" si="23"/>
        <v/>
      </c>
      <c r="W200" s="374" t="str">
        <f t="shared" si="24"/>
        <v/>
      </c>
      <c r="X200" s="378" t="str">
        <f t="shared" si="25"/>
        <v/>
      </c>
      <c r="Y200" s="119"/>
      <c r="Z200" s="120"/>
      <c r="AA200" s="120"/>
      <c r="AB200" s="120"/>
      <c r="AE200" s="30" t="str">
        <f>IFERROR(INDEX('G-6 Hedgerow Data'!$BJ$3:$BJ$15,MATCH(D200,'G-6 Hedgerow Data'!$B$3:$B$15,0)),"")</f>
        <v/>
      </c>
      <c r="AH200" s="124" t="str">
        <f t="shared" si="18"/>
        <v/>
      </c>
      <c r="AI200" s="124" t="str">
        <f t="shared" si="19"/>
        <v/>
      </c>
      <c r="AK200" s="124">
        <v>191</v>
      </c>
      <c r="AM200" s="124" t="str">
        <f t="array" ref="AM200">IFERROR(INDEX($AK$10:$AK$258, MATCH(0, IF(TRUE=$AH$10:$AH$258, COUNTIF($AM$9:$AM199, $AK$10:$AK$258), ""), 0)),"")</f>
        <v/>
      </c>
      <c r="AN200" s="124" t="str">
        <f t="array" ref="AN200">IFERROR(INDEX($AK$10:$AK$258, MATCH(0, IF(TRUE=$AI$10:$AI$258, COUNTIF($AN$9:$AN199, $AK$10:$AK$258), ""), 0)),"")</f>
        <v/>
      </c>
      <c r="AY200" s="370" t="str">
        <f t="shared" si="26"/>
        <v/>
      </c>
    </row>
    <row r="201" spans="2:51" ht="15">
      <c r="B201" s="110">
        <v>192</v>
      </c>
      <c r="C201" s="165"/>
      <c r="D201" s="165"/>
      <c r="E201" s="121"/>
      <c r="F201" s="362" t="str">
        <f>IF(D201="","",VLOOKUP(D201,'G-6 Hedgerow Data'!$B$2:$AG$15,2,FALSE))</f>
        <v/>
      </c>
      <c r="G201" s="363" t="str">
        <f>IF(D201="","",VLOOKUP(D201,'G-6 Hedgerow Data'!$B$2:$AG$15,3,FALSE))</f>
        <v/>
      </c>
      <c r="H201" s="114"/>
      <c r="I201" s="363" t="str">
        <f>IFERROR(IF(AND(F201="V.Low",OR(H201="Good",H201="Moderate")),"Error ▲",VLOOKUP(H201,'G-1 All Habitats'!$Z$2:$AA$9,2,FALSE)),"")</f>
        <v/>
      </c>
      <c r="J201" s="122"/>
      <c r="K201" s="382" t="str">
        <f>IF(J201="","",IF(VLOOKUP(J201,'G-3 Multipliers'!$L$3:$N$6,2,FALSE)=0,"Spatial Data Missing ⚠",VLOOKUP(J201,'G-3 Multipliers'!$L$3:$N$6,2,FALSE)))</f>
        <v/>
      </c>
      <c r="L201" s="386" t="str">
        <f>IF(J201="","",IF(VLOOKUP(J201,'G-3 Multipliers'!$L$3:$N$6,3,FALSE)=0,"Spatial Data Missing ⚠",VLOOKUP(J201,'G-3 Multipliers'!$L$3:$N$6,3,FALSE)))</f>
        <v/>
      </c>
      <c r="M201" s="425" t="str">
        <f>IF(D201="","",VLOOKUP(D201,'G-6 Hedgerow Data'!$B$1:$AH$15,33,FALSE))</f>
        <v/>
      </c>
      <c r="N201" s="376" t="str">
        <f t="shared" si="20"/>
        <v/>
      </c>
      <c r="O201" s="516"/>
      <c r="P201" s="368" t="str">
        <f>IF(O201="","",IF(VLOOKUP(O201,'G-3 Multipliers'!$S$3:$T$10,2,FALSE)=0,"Spatial Data Missing ⚠",VLOOKUP(O201,'G-3 Multipliers'!$S$3:$T$10,2,FALSE)))</f>
        <v/>
      </c>
      <c r="Q201" s="376" t="str">
        <f t="shared" si="21"/>
        <v/>
      </c>
      <c r="R201" s="32"/>
      <c r="S201" s="114"/>
      <c r="T201" s="125"/>
      <c r="U201" s="370" t="str">
        <f t="shared" si="22"/>
        <v/>
      </c>
      <c r="V201" s="370" t="str">
        <f t="shared" si="23"/>
        <v/>
      </c>
      <c r="W201" s="374" t="str">
        <f t="shared" si="24"/>
        <v/>
      </c>
      <c r="X201" s="378" t="str">
        <f t="shared" si="25"/>
        <v/>
      </c>
      <c r="Y201" s="119"/>
      <c r="Z201" s="120"/>
      <c r="AA201" s="120"/>
      <c r="AB201" s="120"/>
      <c r="AE201" s="30" t="str">
        <f>IFERROR(INDEX('G-6 Hedgerow Data'!$BJ$3:$BJ$15,MATCH(D201,'G-6 Hedgerow Data'!$B$3:$B$15,0)),"")</f>
        <v/>
      </c>
      <c r="AH201" s="124" t="str">
        <f t="shared" si="18"/>
        <v/>
      </c>
      <c r="AI201" s="124" t="str">
        <f t="shared" si="19"/>
        <v/>
      </c>
      <c r="AK201" s="124">
        <v>192</v>
      </c>
      <c r="AM201" s="124" t="str">
        <f t="array" ref="AM201">IFERROR(INDEX($AK$10:$AK$258, MATCH(0, IF(TRUE=$AH$10:$AH$258, COUNTIF($AM$9:$AM200, $AK$10:$AK$258), ""), 0)),"")</f>
        <v/>
      </c>
      <c r="AN201" s="124" t="str">
        <f t="array" ref="AN201">IFERROR(INDEX($AK$10:$AK$258, MATCH(0, IF(TRUE=$AI$10:$AI$258, COUNTIF($AN$9:$AN200, $AK$10:$AK$258), ""), 0)),"")</f>
        <v/>
      </c>
      <c r="AY201" s="370" t="str">
        <f t="shared" si="26"/>
        <v/>
      </c>
    </row>
    <row r="202" spans="2:51" ht="15">
      <c r="B202" s="110">
        <v>193</v>
      </c>
      <c r="C202" s="165"/>
      <c r="D202" s="165"/>
      <c r="E202" s="121"/>
      <c r="F202" s="362" t="str">
        <f>IF(D202="","",VLOOKUP(D202,'G-6 Hedgerow Data'!$B$2:$AG$15,2,FALSE))</f>
        <v/>
      </c>
      <c r="G202" s="363" t="str">
        <f>IF(D202="","",VLOOKUP(D202,'G-6 Hedgerow Data'!$B$2:$AG$15,3,FALSE))</f>
        <v/>
      </c>
      <c r="H202" s="114"/>
      <c r="I202" s="363" t="str">
        <f>IFERROR(IF(AND(F202="V.Low",OR(H202="Good",H202="Moderate")),"Error ▲",VLOOKUP(H202,'G-1 All Habitats'!$Z$2:$AA$9,2,FALSE)),"")</f>
        <v/>
      </c>
      <c r="J202" s="122"/>
      <c r="K202" s="382" t="str">
        <f>IF(J202="","",IF(VLOOKUP(J202,'G-3 Multipliers'!$L$3:$N$6,2,FALSE)=0,"Spatial Data Missing ⚠",VLOOKUP(J202,'G-3 Multipliers'!$L$3:$N$6,2,FALSE)))</f>
        <v/>
      </c>
      <c r="L202" s="386" t="str">
        <f>IF(J202="","",IF(VLOOKUP(J202,'G-3 Multipliers'!$L$3:$N$6,3,FALSE)=0,"Spatial Data Missing ⚠",VLOOKUP(J202,'G-3 Multipliers'!$L$3:$N$6,3,FALSE)))</f>
        <v/>
      </c>
      <c r="M202" s="425" t="str">
        <f>IF(D202="","",VLOOKUP(D202,'G-6 Hedgerow Data'!$B$1:$AH$15,33,FALSE))</f>
        <v/>
      </c>
      <c r="N202" s="376" t="str">
        <f t="shared" si="20"/>
        <v/>
      </c>
      <c r="O202" s="516"/>
      <c r="P202" s="368" t="str">
        <f>IF(O202="","",IF(VLOOKUP(O202,'G-3 Multipliers'!$S$3:$T$10,2,FALSE)=0,"Spatial Data Missing ⚠",VLOOKUP(O202,'G-3 Multipliers'!$S$3:$T$10,2,FALSE)))</f>
        <v/>
      </c>
      <c r="Q202" s="376" t="str">
        <f t="shared" si="21"/>
        <v/>
      </c>
      <c r="R202" s="32"/>
      <c r="S202" s="114"/>
      <c r="T202" s="125"/>
      <c r="U202" s="370" t="str">
        <f t="shared" si="22"/>
        <v/>
      </c>
      <c r="V202" s="370" t="str">
        <f t="shared" si="23"/>
        <v/>
      </c>
      <c r="W202" s="374" t="str">
        <f t="shared" si="24"/>
        <v/>
      </c>
      <c r="X202" s="378" t="str">
        <f t="shared" si="25"/>
        <v/>
      </c>
      <c r="Y202" s="119"/>
      <c r="Z202" s="120"/>
      <c r="AA202" s="120"/>
      <c r="AB202" s="120"/>
      <c r="AE202" s="30" t="str">
        <f>IFERROR(INDEX('G-6 Hedgerow Data'!$BJ$3:$BJ$15,MATCH(D202,'G-6 Hedgerow Data'!$B$3:$B$15,0)),"")</f>
        <v/>
      </c>
      <c r="AH202" s="124" t="str">
        <f t="shared" ref="AH202:AH257" si="27">IF(D202="","",IF(S202&gt;0,TRUE,FALSE))</f>
        <v/>
      </c>
      <c r="AI202" s="124" t="str">
        <f t="shared" ref="AI202:AI257" si="28">IF(D202="","",IF(T202&gt;0,TRUE,FALSE))</f>
        <v/>
      </c>
      <c r="AK202" s="124">
        <v>193</v>
      </c>
      <c r="AM202" s="124" t="str">
        <f t="array" ref="AM202">IFERROR(INDEX($AK$10:$AK$258, MATCH(0, IF(TRUE=$AH$10:$AH$258, COUNTIF($AM$9:$AM201, $AK$10:$AK$258), ""), 0)),"")</f>
        <v/>
      </c>
      <c r="AN202" s="124" t="str">
        <f t="array" ref="AN202">IFERROR(INDEX($AK$10:$AK$258, MATCH(0, IF(TRUE=$AI$10:$AI$258, COUNTIF($AN$9:$AN201, $AK$10:$AK$258), ""), 0)),"")</f>
        <v/>
      </c>
      <c r="AY202" s="370" t="str">
        <f t="shared" si="26"/>
        <v/>
      </c>
    </row>
    <row r="203" spans="2:51" ht="15">
      <c r="B203" s="110">
        <v>194</v>
      </c>
      <c r="C203" s="165"/>
      <c r="D203" s="165"/>
      <c r="E203" s="121"/>
      <c r="F203" s="362" t="str">
        <f>IF(D203="","",VLOOKUP(D203,'G-6 Hedgerow Data'!$B$2:$AG$15,2,FALSE))</f>
        <v/>
      </c>
      <c r="G203" s="363" t="str">
        <f>IF(D203="","",VLOOKUP(D203,'G-6 Hedgerow Data'!$B$2:$AG$15,3,FALSE))</f>
        <v/>
      </c>
      <c r="H203" s="114"/>
      <c r="I203" s="363" t="str">
        <f>IFERROR(IF(AND(F203="V.Low",OR(H203="Good",H203="Moderate")),"Error ▲",VLOOKUP(H203,'G-1 All Habitats'!$Z$2:$AA$9,2,FALSE)),"")</f>
        <v/>
      </c>
      <c r="J203" s="122"/>
      <c r="K203" s="382" t="str">
        <f>IF(J203="","",IF(VLOOKUP(J203,'G-3 Multipliers'!$L$3:$N$6,2,FALSE)=0,"Spatial Data Missing ⚠",VLOOKUP(J203,'G-3 Multipliers'!$L$3:$N$6,2,FALSE)))</f>
        <v/>
      </c>
      <c r="L203" s="386" t="str">
        <f>IF(J203="","",IF(VLOOKUP(J203,'G-3 Multipliers'!$L$3:$N$6,3,FALSE)=0,"Spatial Data Missing ⚠",VLOOKUP(J203,'G-3 Multipliers'!$L$3:$N$6,3,FALSE)))</f>
        <v/>
      </c>
      <c r="M203" s="425" t="str">
        <f>IF(D203="","",VLOOKUP(D203,'G-6 Hedgerow Data'!$B$1:$AH$15,33,FALSE))</f>
        <v/>
      </c>
      <c r="N203" s="376" t="str">
        <f t="shared" ref="N203:N257" si="29">IFERROR(E203*G203*I203*L203*P203,"")</f>
        <v/>
      </c>
      <c r="O203" s="516"/>
      <c r="P203" s="368" t="str">
        <f>IF(O203="","",IF(VLOOKUP(O203,'G-3 Multipliers'!$S$3:$T$10,2,FALSE)=0,"Spatial Data Missing ⚠",VLOOKUP(O203,'G-3 Multipliers'!$S$3:$T$10,2,FALSE)))</f>
        <v/>
      </c>
      <c r="Q203" s="376" t="str">
        <f t="shared" ref="Q203:Q257" si="30">IFERROR(IF(O203="", "", E203*G203*I203*L203),"")</f>
        <v/>
      </c>
      <c r="R203" s="32"/>
      <c r="S203" s="114"/>
      <c r="T203" s="125"/>
      <c r="U203" s="370" t="str">
        <f t="shared" ref="U203:U257" si="31">IFERROR(S203*G203*I203*L203,"")</f>
        <v/>
      </c>
      <c r="V203" s="370" t="str">
        <f t="shared" ref="V203:V257" si="32">IFERROR(T203*G203*I203*L203,"")</f>
        <v/>
      </c>
      <c r="W203" s="374" t="str">
        <f t="shared" ref="W203:W257" si="33">IF(D203="","",IF(E203&lt;S203+T203,"Error in Lengths ▲",E203-S203-T203))</f>
        <v/>
      </c>
      <c r="X203" s="378" t="str">
        <f t="shared" ref="X203:X257" si="34">IF(OR(E203="",N203=""),"",IF(E203&lt;S203+T203,"Error in Lengths",Q203-U203-V203))</f>
        <v/>
      </c>
      <c r="Y203" s="119"/>
      <c r="Z203" s="120"/>
      <c r="AA203" s="120"/>
      <c r="AB203" s="120"/>
      <c r="AE203" s="30" t="str">
        <f>IFERROR(INDEX('G-6 Hedgerow Data'!$BJ$3:$BJ$15,MATCH(D203,'G-6 Hedgerow Data'!$B$3:$B$15,0)),"")</f>
        <v/>
      </c>
      <c r="AH203" s="124" t="str">
        <f t="shared" si="27"/>
        <v/>
      </c>
      <c r="AI203" s="124" t="str">
        <f t="shared" si="28"/>
        <v/>
      </c>
      <c r="AK203" s="124">
        <v>194</v>
      </c>
      <c r="AM203" s="124" t="str">
        <f t="array" ref="AM203">IFERROR(INDEX($AK$10:$AK$258, MATCH(0, IF(TRUE=$AH$10:$AH$258, COUNTIF($AM$9:$AM202, $AK$10:$AK$258), ""), 0)),"")</f>
        <v/>
      </c>
      <c r="AN203" s="124" t="str">
        <f t="array" ref="AN203">IFERROR(INDEX($AK$10:$AK$258, MATCH(0, IF(TRUE=$AI$10:$AI$258, COUNTIF($AN$9:$AN202, $AK$10:$AK$258), ""), 0)),"")</f>
        <v/>
      </c>
      <c r="AY203" s="370" t="str">
        <f t="shared" ref="AY203:AY257" si="35">IFERROR(S203*G203*I203*L203*P203,"")</f>
        <v/>
      </c>
    </row>
    <row r="204" spans="2:51" ht="15">
      <c r="B204" s="110">
        <v>195</v>
      </c>
      <c r="C204" s="165"/>
      <c r="D204" s="165"/>
      <c r="E204" s="121"/>
      <c r="F204" s="362" t="str">
        <f>IF(D204="","",VLOOKUP(D204,'G-6 Hedgerow Data'!$B$2:$AG$15,2,FALSE))</f>
        <v/>
      </c>
      <c r="G204" s="363" t="str">
        <f>IF(D204="","",VLOOKUP(D204,'G-6 Hedgerow Data'!$B$2:$AG$15,3,FALSE))</f>
        <v/>
      </c>
      <c r="H204" s="114"/>
      <c r="I204" s="363" t="str">
        <f>IFERROR(IF(AND(F204="V.Low",OR(H204="Good",H204="Moderate")),"Error ▲",VLOOKUP(H204,'G-1 All Habitats'!$Z$2:$AA$9,2,FALSE)),"")</f>
        <v/>
      </c>
      <c r="J204" s="122"/>
      <c r="K204" s="382" t="str">
        <f>IF(J204="","",IF(VLOOKUP(J204,'G-3 Multipliers'!$L$3:$N$6,2,FALSE)=0,"Spatial Data Missing ⚠",VLOOKUP(J204,'G-3 Multipliers'!$L$3:$N$6,2,FALSE)))</f>
        <v/>
      </c>
      <c r="L204" s="386" t="str">
        <f>IF(J204="","",IF(VLOOKUP(J204,'G-3 Multipliers'!$L$3:$N$6,3,FALSE)=0,"Spatial Data Missing ⚠",VLOOKUP(J204,'G-3 Multipliers'!$L$3:$N$6,3,FALSE)))</f>
        <v/>
      </c>
      <c r="M204" s="425" t="str">
        <f>IF(D204="","",VLOOKUP(D204,'G-6 Hedgerow Data'!$B$1:$AH$15,33,FALSE))</f>
        <v/>
      </c>
      <c r="N204" s="376" t="str">
        <f t="shared" si="29"/>
        <v/>
      </c>
      <c r="O204" s="516"/>
      <c r="P204" s="368" t="str">
        <f>IF(O204="","",IF(VLOOKUP(O204,'G-3 Multipliers'!$S$3:$T$10,2,FALSE)=0,"Spatial Data Missing ⚠",VLOOKUP(O204,'G-3 Multipliers'!$S$3:$T$10,2,FALSE)))</f>
        <v/>
      </c>
      <c r="Q204" s="376" t="str">
        <f t="shared" si="30"/>
        <v/>
      </c>
      <c r="R204" s="32"/>
      <c r="S204" s="114"/>
      <c r="T204" s="125"/>
      <c r="U204" s="370" t="str">
        <f t="shared" si="31"/>
        <v/>
      </c>
      <c r="V204" s="370" t="str">
        <f t="shared" si="32"/>
        <v/>
      </c>
      <c r="W204" s="374" t="str">
        <f t="shared" si="33"/>
        <v/>
      </c>
      <c r="X204" s="378" t="str">
        <f t="shared" si="34"/>
        <v/>
      </c>
      <c r="Y204" s="119"/>
      <c r="Z204" s="120"/>
      <c r="AA204" s="120"/>
      <c r="AB204" s="120"/>
      <c r="AE204" s="30" t="str">
        <f>IFERROR(INDEX('G-6 Hedgerow Data'!$BJ$3:$BJ$15,MATCH(D204,'G-6 Hedgerow Data'!$B$3:$B$15,0)),"")</f>
        <v/>
      </c>
      <c r="AH204" s="124" t="str">
        <f t="shared" si="27"/>
        <v/>
      </c>
      <c r="AI204" s="124" t="str">
        <f t="shared" si="28"/>
        <v/>
      </c>
      <c r="AK204" s="124">
        <v>195</v>
      </c>
      <c r="AM204" s="124" t="str">
        <f t="array" ref="AM204">IFERROR(INDEX($AK$10:$AK$258, MATCH(0, IF(TRUE=$AH$10:$AH$258, COUNTIF($AM$9:$AM203, $AK$10:$AK$258), ""), 0)),"")</f>
        <v/>
      </c>
      <c r="AN204" s="124" t="str">
        <f t="array" ref="AN204">IFERROR(INDEX($AK$10:$AK$258, MATCH(0, IF(TRUE=$AI$10:$AI$258, COUNTIF($AN$9:$AN203, $AK$10:$AK$258), ""), 0)),"")</f>
        <v/>
      </c>
      <c r="AY204" s="370" t="str">
        <f t="shared" si="35"/>
        <v/>
      </c>
    </row>
    <row r="205" spans="2:51" ht="15">
      <c r="B205" s="110">
        <v>196</v>
      </c>
      <c r="C205" s="165"/>
      <c r="D205" s="165"/>
      <c r="E205" s="121"/>
      <c r="F205" s="362" t="str">
        <f>IF(D205="","",VLOOKUP(D205,'G-6 Hedgerow Data'!$B$2:$AG$15,2,FALSE))</f>
        <v/>
      </c>
      <c r="G205" s="363" t="str">
        <f>IF(D205="","",VLOOKUP(D205,'G-6 Hedgerow Data'!$B$2:$AG$15,3,FALSE))</f>
        <v/>
      </c>
      <c r="H205" s="114"/>
      <c r="I205" s="363" t="str">
        <f>IFERROR(IF(AND(F205="V.Low",OR(H205="Good",H205="Moderate")),"Error ▲",VLOOKUP(H205,'G-1 All Habitats'!$Z$2:$AA$9,2,FALSE)),"")</f>
        <v/>
      </c>
      <c r="J205" s="122"/>
      <c r="K205" s="382" t="str">
        <f>IF(J205="","",IF(VLOOKUP(J205,'G-3 Multipliers'!$L$3:$N$6,2,FALSE)=0,"Spatial Data Missing ⚠",VLOOKUP(J205,'G-3 Multipliers'!$L$3:$N$6,2,FALSE)))</f>
        <v/>
      </c>
      <c r="L205" s="386" t="str">
        <f>IF(J205="","",IF(VLOOKUP(J205,'G-3 Multipliers'!$L$3:$N$6,3,FALSE)=0,"Spatial Data Missing ⚠",VLOOKUP(J205,'G-3 Multipliers'!$L$3:$N$6,3,FALSE)))</f>
        <v/>
      </c>
      <c r="M205" s="425" t="str">
        <f>IF(D205="","",VLOOKUP(D205,'G-6 Hedgerow Data'!$B$1:$AH$15,33,FALSE))</f>
        <v/>
      </c>
      <c r="N205" s="376" t="str">
        <f t="shared" si="29"/>
        <v/>
      </c>
      <c r="O205" s="516"/>
      <c r="P205" s="368" t="str">
        <f>IF(O205="","",IF(VLOOKUP(O205,'G-3 Multipliers'!$S$3:$T$10,2,FALSE)=0,"Spatial Data Missing ⚠",VLOOKUP(O205,'G-3 Multipliers'!$S$3:$T$10,2,FALSE)))</f>
        <v/>
      </c>
      <c r="Q205" s="376" t="str">
        <f t="shared" si="30"/>
        <v/>
      </c>
      <c r="R205" s="32"/>
      <c r="S205" s="114"/>
      <c r="T205" s="125"/>
      <c r="U205" s="370" t="str">
        <f t="shared" si="31"/>
        <v/>
      </c>
      <c r="V205" s="370" t="str">
        <f t="shared" si="32"/>
        <v/>
      </c>
      <c r="W205" s="374" t="str">
        <f t="shared" si="33"/>
        <v/>
      </c>
      <c r="X205" s="378" t="str">
        <f t="shared" si="34"/>
        <v/>
      </c>
      <c r="Y205" s="119"/>
      <c r="Z205" s="120"/>
      <c r="AA205" s="120"/>
      <c r="AB205" s="120"/>
      <c r="AE205" s="30" t="str">
        <f>IFERROR(INDEX('G-6 Hedgerow Data'!$BJ$3:$BJ$15,MATCH(D205,'G-6 Hedgerow Data'!$B$3:$B$15,0)),"")</f>
        <v/>
      </c>
      <c r="AH205" s="124" t="str">
        <f t="shared" si="27"/>
        <v/>
      </c>
      <c r="AI205" s="124" t="str">
        <f t="shared" si="28"/>
        <v/>
      </c>
      <c r="AK205" s="124">
        <v>196</v>
      </c>
      <c r="AM205" s="124" t="str">
        <f t="array" ref="AM205">IFERROR(INDEX($AK$10:$AK$258, MATCH(0, IF(TRUE=$AH$10:$AH$258, COUNTIF($AM$9:$AM204, $AK$10:$AK$258), ""), 0)),"")</f>
        <v/>
      </c>
      <c r="AN205" s="124" t="str">
        <f t="array" ref="AN205">IFERROR(INDEX($AK$10:$AK$258, MATCH(0, IF(TRUE=$AI$10:$AI$258, COUNTIF($AN$9:$AN204, $AK$10:$AK$258), ""), 0)),"")</f>
        <v/>
      </c>
      <c r="AY205" s="370" t="str">
        <f t="shared" si="35"/>
        <v/>
      </c>
    </row>
    <row r="206" spans="2:51" ht="15">
      <c r="B206" s="110">
        <v>197</v>
      </c>
      <c r="C206" s="165"/>
      <c r="D206" s="165"/>
      <c r="E206" s="121"/>
      <c r="F206" s="362" t="str">
        <f>IF(D206="","",VLOOKUP(D206,'G-6 Hedgerow Data'!$B$2:$AG$15,2,FALSE))</f>
        <v/>
      </c>
      <c r="G206" s="363" t="str">
        <f>IF(D206="","",VLOOKUP(D206,'G-6 Hedgerow Data'!$B$2:$AG$15,3,FALSE))</f>
        <v/>
      </c>
      <c r="H206" s="114"/>
      <c r="I206" s="363" t="str">
        <f>IFERROR(IF(AND(F206="V.Low",OR(H206="Good",H206="Moderate")),"Error ▲",VLOOKUP(H206,'G-1 All Habitats'!$Z$2:$AA$9,2,FALSE)),"")</f>
        <v/>
      </c>
      <c r="J206" s="122"/>
      <c r="K206" s="382" t="str">
        <f>IF(J206="","",IF(VLOOKUP(J206,'G-3 Multipliers'!$L$3:$N$6,2,FALSE)=0,"Spatial Data Missing ⚠",VLOOKUP(J206,'G-3 Multipliers'!$L$3:$N$6,2,FALSE)))</f>
        <v/>
      </c>
      <c r="L206" s="386" t="str">
        <f>IF(J206="","",IF(VLOOKUP(J206,'G-3 Multipliers'!$L$3:$N$6,3,FALSE)=0,"Spatial Data Missing ⚠",VLOOKUP(J206,'G-3 Multipliers'!$L$3:$N$6,3,FALSE)))</f>
        <v/>
      </c>
      <c r="M206" s="425" t="str">
        <f>IF(D206="","",VLOOKUP(D206,'G-6 Hedgerow Data'!$B$1:$AH$15,33,FALSE))</f>
        <v/>
      </c>
      <c r="N206" s="376" t="str">
        <f t="shared" si="29"/>
        <v/>
      </c>
      <c r="O206" s="516"/>
      <c r="P206" s="368" t="str">
        <f>IF(O206="","",IF(VLOOKUP(O206,'G-3 Multipliers'!$S$3:$T$10,2,FALSE)=0,"Spatial Data Missing ⚠",VLOOKUP(O206,'G-3 Multipliers'!$S$3:$T$10,2,FALSE)))</f>
        <v/>
      </c>
      <c r="Q206" s="376" t="str">
        <f t="shared" si="30"/>
        <v/>
      </c>
      <c r="R206" s="32"/>
      <c r="S206" s="114"/>
      <c r="T206" s="125"/>
      <c r="U206" s="370" t="str">
        <f t="shared" si="31"/>
        <v/>
      </c>
      <c r="V206" s="370" t="str">
        <f t="shared" si="32"/>
        <v/>
      </c>
      <c r="W206" s="374" t="str">
        <f t="shared" si="33"/>
        <v/>
      </c>
      <c r="X206" s="378" t="str">
        <f t="shared" si="34"/>
        <v/>
      </c>
      <c r="Y206" s="119"/>
      <c r="Z206" s="120"/>
      <c r="AA206" s="120"/>
      <c r="AB206" s="120"/>
      <c r="AE206" s="30" t="str">
        <f>IFERROR(INDEX('G-6 Hedgerow Data'!$BJ$3:$BJ$15,MATCH(D206,'G-6 Hedgerow Data'!$B$3:$B$15,0)),"")</f>
        <v/>
      </c>
      <c r="AH206" s="124" t="str">
        <f t="shared" si="27"/>
        <v/>
      </c>
      <c r="AI206" s="124" t="str">
        <f t="shared" si="28"/>
        <v/>
      </c>
      <c r="AK206" s="124">
        <v>197</v>
      </c>
      <c r="AM206" s="124" t="str">
        <f t="array" ref="AM206">IFERROR(INDEX($AK$10:$AK$258, MATCH(0, IF(TRUE=$AH$10:$AH$258, COUNTIF($AM$9:$AM205, $AK$10:$AK$258), ""), 0)),"")</f>
        <v/>
      </c>
      <c r="AN206" s="124" t="str">
        <f t="array" ref="AN206">IFERROR(INDEX($AK$10:$AK$258, MATCH(0, IF(TRUE=$AI$10:$AI$258, COUNTIF($AN$9:$AN205, $AK$10:$AK$258), ""), 0)),"")</f>
        <v/>
      </c>
      <c r="AY206" s="370" t="str">
        <f t="shared" si="35"/>
        <v/>
      </c>
    </row>
    <row r="207" spans="2:51" ht="15">
      <c r="B207" s="110">
        <v>198</v>
      </c>
      <c r="C207" s="165"/>
      <c r="D207" s="165"/>
      <c r="E207" s="121"/>
      <c r="F207" s="362" t="str">
        <f>IF(D207="","",VLOOKUP(D207,'G-6 Hedgerow Data'!$B$2:$AG$15,2,FALSE))</f>
        <v/>
      </c>
      <c r="G207" s="363" t="str">
        <f>IF(D207="","",VLOOKUP(D207,'G-6 Hedgerow Data'!$B$2:$AG$15,3,FALSE))</f>
        <v/>
      </c>
      <c r="H207" s="114"/>
      <c r="I207" s="363" t="str">
        <f>IFERROR(IF(AND(F207="V.Low",OR(H207="Good",H207="Moderate")),"Error ▲",VLOOKUP(H207,'G-1 All Habitats'!$Z$2:$AA$9,2,FALSE)),"")</f>
        <v/>
      </c>
      <c r="J207" s="122"/>
      <c r="K207" s="382" t="str">
        <f>IF(J207="","",IF(VLOOKUP(J207,'G-3 Multipliers'!$L$3:$N$6,2,FALSE)=0,"Spatial Data Missing ⚠",VLOOKUP(J207,'G-3 Multipliers'!$L$3:$N$6,2,FALSE)))</f>
        <v/>
      </c>
      <c r="L207" s="386" t="str">
        <f>IF(J207="","",IF(VLOOKUP(J207,'G-3 Multipliers'!$L$3:$N$6,3,FALSE)=0,"Spatial Data Missing ⚠",VLOOKUP(J207,'G-3 Multipliers'!$L$3:$N$6,3,FALSE)))</f>
        <v/>
      </c>
      <c r="M207" s="425" t="str">
        <f>IF(D207="","",VLOOKUP(D207,'G-6 Hedgerow Data'!$B$1:$AH$15,33,FALSE))</f>
        <v/>
      </c>
      <c r="N207" s="376" t="str">
        <f t="shared" si="29"/>
        <v/>
      </c>
      <c r="O207" s="516"/>
      <c r="P207" s="368" t="str">
        <f>IF(O207="","",IF(VLOOKUP(O207,'G-3 Multipliers'!$S$3:$T$10,2,FALSE)=0,"Spatial Data Missing ⚠",VLOOKUP(O207,'G-3 Multipliers'!$S$3:$T$10,2,FALSE)))</f>
        <v/>
      </c>
      <c r="Q207" s="376" t="str">
        <f t="shared" si="30"/>
        <v/>
      </c>
      <c r="R207" s="32"/>
      <c r="S207" s="114"/>
      <c r="T207" s="125"/>
      <c r="U207" s="370" t="str">
        <f t="shared" si="31"/>
        <v/>
      </c>
      <c r="V207" s="370" t="str">
        <f t="shared" si="32"/>
        <v/>
      </c>
      <c r="W207" s="374" t="str">
        <f t="shared" si="33"/>
        <v/>
      </c>
      <c r="X207" s="378" t="str">
        <f t="shared" si="34"/>
        <v/>
      </c>
      <c r="Y207" s="119"/>
      <c r="Z207" s="120"/>
      <c r="AA207" s="120"/>
      <c r="AB207" s="120"/>
      <c r="AE207" s="30" t="str">
        <f>IFERROR(INDEX('G-6 Hedgerow Data'!$BJ$3:$BJ$15,MATCH(D207,'G-6 Hedgerow Data'!$B$3:$B$15,0)),"")</f>
        <v/>
      </c>
      <c r="AH207" s="124" t="str">
        <f t="shared" si="27"/>
        <v/>
      </c>
      <c r="AI207" s="124" t="str">
        <f t="shared" si="28"/>
        <v/>
      </c>
      <c r="AK207" s="124">
        <v>198</v>
      </c>
      <c r="AM207" s="124" t="str">
        <f t="array" ref="AM207">IFERROR(INDEX($AK$10:$AK$258, MATCH(0, IF(TRUE=$AH$10:$AH$258, COUNTIF($AM$9:$AM206, $AK$10:$AK$258), ""), 0)),"")</f>
        <v/>
      </c>
      <c r="AN207" s="124" t="str">
        <f t="array" ref="AN207">IFERROR(INDEX($AK$10:$AK$258, MATCH(0, IF(TRUE=$AI$10:$AI$258, COUNTIF($AN$9:$AN206, $AK$10:$AK$258), ""), 0)),"")</f>
        <v/>
      </c>
      <c r="AY207" s="370" t="str">
        <f t="shared" si="35"/>
        <v/>
      </c>
    </row>
    <row r="208" spans="2:51" ht="15">
      <c r="B208" s="110">
        <v>199</v>
      </c>
      <c r="C208" s="165"/>
      <c r="D208" s="165"/>
      <c r="E208" s="121"/>
      <c r="F208" s="362" t="str">
        <f>IF(D208="","",VLOOKUP(D208,'G-6 Hedgerow Data'!$B$2:$AG$15,2,FALSE))</f>
        <v/>
      </c>
      <c r="G208" s="363" t="str">
        <f>IF(D208="","",VLOOKUP(D208,'G-6 Hedgerow Data'!$B$2:$AG$15,3,FALSE))</f>
        <v/>
      </c>
      <c r="H208" s="114"/>
      <c r="I208" s="363" t="str">
        <f>IFERROR(IF(AND(F208="V.Low",OR(H208="Good",H208="Moderate")),"Error ▲",VLOOKUP(H208,'G-1 All Habitats'!$Z$2:$AA$9,2,FALSE)),"")</f>
        <v/>
      </c>
      <c r="J208" s="122"/>
      <c r="K208" s="382" t="str">
        <f>IF(J208="","",IF(VLOOKUP(J208,'G-3 Multipliers'!$L$3:$N$6,2,FALSE)=0,"Spatial Data Missing ⚠",VLOOKUP(J208,'G-3 Multipliers'!$L$3:$N$6,2,FALSE)))</f>
        <v/>
      </c>
      <c r="L208" s="386" t="str">
        <f>IF(J208="","",IF(VLOOKUP(J208,'G-3 Multipliers'!$L$3:$N$6,3,FALSE)=0,"Spatial Data Missing ⚠",VLOOKUP(J208,'G-3 Multipliers'!$L$3:$N$6,3,FALSE)))</f>
        <v/>
      </c>
      <c r="M208" s="425" t="str">
        <f>IF(D208="","",VLOOKUP(D208,'G-6 Hedgerow Data'!$B$1:$AH$15,33,FALSE))</f>
        <v/>
      </c>
      <c r="N208" s="376" t="str">
        <f t="shared" si="29"/>
        <v/>
      </c>
      <c r="O208" s="516"/>
      <c r="P208" s="368" t="str">
        <f>IF(O208="","",IF(VLOOKUP(O208,'G-3 Multipliers'!$S$3:$T$10,2,FALSE)=0,"Spatial Data Missing ⚠",VLOOKUP(O208,'G-3 Multipliers'!$S$3:$T$10,2,FALSE)))</f>
        <v/>
      </c>
      <c r="Q208" s="376" t="str">
        <f t="shared" si="30"/>
        <v/>
      </c>
      <c r="R208" s="32"/>
      <c r="S208" s="114"/>
      <c r="T208" s="125"/>
      <c r="U208" s="370" t="str">
        <f t="shared" si="31"/>
        <v/>
      </c>
      <c r="V208" s="370" t="str">
        <f t="shared" si="32"/>
        <v/>
      </c>
      <c r="W208" s="374" t="str">
        <f t="shared" si="33"/>
        <v/>
      </c>
      <c r="X208" s="378" t="str">
        <f t="shared" si="34"/>
        <v/>
      </c>
      <c r="Y208" s="119"/>
      <c r="Z208" s="120"/>
      <c r="AA208" s="120"/>
      <c r="AB208" s="120"/>
      <c r="AE208" s="30" t="str">
        <f>IFERROR(INDEX('G-6 Hedgerow Data'!$BJ$3:$BJ$15,MATCH(D208,'G-6 Hedgerow Data'!$B$3:$B$15,0)),"")</f>
        <v/>
      </c>
      <c r="AH208" s="124" t="str">
        <f t="shared" si="27"/>
        <v/>
      </c>
      <c r="AI208" s="124" t="str">
        <f t="shared" si="28"/>
        <v/>
      </c>
      <c r="AK208" s="124">
        <v>199</v>
      </c>
      <c r="AM208" s="124" t="str">
        <f t="array" ref="AM208">IFERROR(INDEX($AK$10:$AK$258, MATCH(0, IF(TRUE=$AH$10:$AH$258, COUNTIF($AM$9:$AM207, $AK$10:$AK$258), ""), 0)),"")</f>
        <v/>
      </c>
      <c r="AN208" s="124" t="str">
        <f t="array" ref="AN208">IFERROR(INDEX($AK$10:$AK$258, MATCH(0, IF(TRUE=$AI$10:$AI$258, COUNTIF($AN$9:$AN207, $AK$10:$AK$258), ""), 0)),"")</f>
        <v/>
      </c>
      <c r="AY208" s="370" t="str">
        <f t="shared" si="35"/>
        <v/>
      </c>
    </row>
    <row r="209" spans="2:51" ht="15">
      <c r="B209" s="110">
        <v>200</v>
      </c>
      <c r="C209" s="165"/>
      <c r="D209" s="165"/>
      <c r="E209" s="121"/>
      <c r="F209" s="362" t="str">
        <f>IF(D209="","",VLOOKUP(D209,'G-6 Hedgerow Data'!$B$2:$AG$15,2,FALSE))</f>
        <v/>
      </c>
      <c r="G209" s="363" t="str">
        <f>IF(D209="","",VLOOKUP(D209,'G-6 Hedgerow Data'!$B$2:$AG$15,3,FALSE))</f>
        <v/>
      </c>
      <c r="H209" s="114"/>
      <c r="I209" s="363" t="str">
        <f>IFERROR(IF(AND(F209="V.Low",OR(H209="Good",H209="Moderate")),"Error ▲",VLOOKUP(H209,'G-1 All Habitats'!$Z$2:$AA$9,2,FALSE)),"")</f>
        <v/>
      </c>
      <c r="J209" s="122"/>
      <c r="K209" s="382" t="str">
        <f>IF(J209="","",IF(VLOOKUP(J209,'G-3 Multipliers'!$L$3:$N$6,2,FALSE)=0,"Spatial Data Missing ⚠",VLOOKUP(J209,'G-3 Multipliers'!$L$3:$N$6,2,FALSE)))</f>
        <v/>
      </c>
      <c r="L209" s="386" t="str">
        <f>IF(J209="","",IF(VLOOKUP(J209,'G-3 Multipliers'!$L$3:$N$6,3,FALSE)=0,"Spatial Data Missing ⚠",VLOOKUP(J209,'G-3 Multipliers'!$L$3:$N$6,3,FALSE)))</f>
        <v/>
      </c>
      <c r="M209" s="425" t="str">
        <f>IF(D209="","",VLOOKUP(D209,'G-6 Hedgerow Data'!$B$1:$AH$15,33,FALSE))</f>
        <v/>
      </c>
      <c r="N209" s="376" t="str">
        <f t="shared" si="29"/>
        <v/>
      </c>
      <c r="O209" s="516"/>
      <c r="P209" s="368" t="str">
        <f>IF(O209="","",IF(VLOOKUP(O209,'G-3 Multipliers'!$S$3:$T$10,2,FALSE)=0,"Spatial Data Missing ⚠",VLOOKUP(O209,'G-3 Multipliers'!$S$3:$T$10,2,FALSE)))</f>
        <v/>
      </c>
      <c r="Q209" s="376" t="str">
        <f t="shared" si="30"/>
        <v/>
      </c>
      <c r="R209" s="32"/>
      <c r="S209" s="114"/>
      <c r="T209" s="125"/>
      <c r="U209" s="370" t="str">
        <f t="shared" si="31"/>
        <v/>
      </c>
      <c r="V209" s="370" t="str">
        <f t="shared" si="32"/>
        <v/>
      </c>
      <c r="W209" s="374" t="str">
        <f t="shared" si="33"/>
        <v/>
      </c>
      <c r="X209" s="378" t="str">
        <f t="shared" si="34"/>
        <v/>
      </c>
      <c r="Y209" s="119"/>
      <c r="Z209" s="120"/>
      <c r="AA209" s="120"/>
      <c r="AB209" s="120"/>
      <c r="AE209" s="30" t="str">
        <f>IFERROR(INDEX('G-6 Hedgerow Data'!$BJ$3:$BJ$15,MATCH(D209,'G-6 Hedgerow Data'!$B$3:$B$15,0)),"")</f>
        <v/>
      </c>
      <c r="AH209" s="124" t="str">
        <f t="shared" si="27"/>
        <v/>
      </c>
      <c r="AI209" s="124" t="str">
        <f t="shared" si="28"/>
        <v/>
      </c>
      <c r="AK209" s="124">
        <v>200</v>
      </c>
      <c r="AM209" s="124" t="str">
        <f t="array" ref="AM209">IFERROR(INDEX($AK$10:$AK$258, MATCH(0, IF(TRUE=$AH$10:$AH$258, COUNTIF($AM$9:$AM208, $AK$10:$AK$258), ""), 0)),"")</f>
        <v/>
      </c>
      <c r="AN209" s="124" t="str">
        <f t="array" ref="AN209">IFERROR(INDEX($AK$10:$AK$258, MATCH(0, IF(TRUE=$AI$10:$AI$258, COUNTIF($AN$9:$AN208, $AK$10:$AK$258), ""), 0)),"")</f>
        <v/>
      </c>
      <c r="AY209" s="370" t="str">
        <f t="shared" si="35"/>
        <v/>
      </c>
    </row>
    <row r="210" spans="2:51" ht="15">
      <c r="B210" s="110">
        <v>201</v>
      </c>
      <c r="C210" s="165"/>
      <c r="D210" s="165"/>
      <c r="E210" s="121"/>
      <c r="F210" s="362" t="str">
        <f>IF(D210="","",VLOOKUP(D210,'G-6 Hedgerow Data'!$B$2:$AG$15,2,FALSE))</f>
        <v/>
      </c>
      <c r="G210" s="363" t="str">
        <f>IF(D210="","",VLOOKUP(D210,'G-6 Hedgerow Data'!$B$2:$AG$15,3,FALSE))</f>
        <v/>
      </c>
      <c r="H210" s="114"/>
      <c r="I210" s="363" t="str">
        <f>IFERROR(IF(AND(F210="V.Low",OR(H210="Good",H210="Moderate")),"Error ▲",VLOOKUP(H210,'G-1 All Habitats'!$Z$2:$AA$9,2,FALSE)),"")</f>
        <v/>
      </c>
      <c r="J210" s="122"/>
      <c r="K210" s="382" t="str">
        <f>IF(J210="","",IF(VLOOKUP(J210,'G-3 Multipliers'!$L$3:$N$6,2,FALSE)=0,"Spatial Data Missing ⚠",VLOOKUP(J210,'G-3 Multipliers'!$L$3:$N$6,2,FALSE)))</f>
        <v/>
      </c>
      <c r="L210" s="386" t="str">
        <f>IF(J210="","",IF(VLOOKUP(J210,'G-3 Multipliers'!$L$3:$N$6,3,FALSE)=0,"Spatial Data Missing ⚠",VLOOKUP(J210,'G-3 Multipliers'!$L$3:$N$6,3,FALSE)))</f>
        <v/>
      </c>
      <c r="M210" s="425" t="str">
        <f>IF(D210="","",VLOOKUP(D210,'G-6 Hedgerow Data'!$B$1:$AH$15,33,FALSE))</f>
        <v/>
      </c>
      <c r="N210" s="376" t="str">
        <f t="shared" si="29"/>
        <v/>
      </c>
      <c r="O210" s="516"/>
      <c r="P210" s="368" t="str">
        <f>IF(O210="","",IF(VLOOKUP(O210,'G-3 Multipliers'!$S$3:$T$10,2,FALSE)=0,"Spatial Data Missing ⚠",VLOOKUP(O210,'G-3 Multipliers'!$S$3:$T$10,2,FALSE)))</f>
        <v/>
      </c>
      <c r="Q210" s="376" t="str">
        <f t="shared" si="30"/>
        <v/>
      </c>
      <c r="R210" s="32"/>
      <c r="S210" s="114"/>
      <c r="T210" s="125"/>
      <c r="U210" s="370" t="str">
        <f t="shared" si="31"/>
        <v/>
      </c>
      <c r="V210" s="370" t="str">
        <f t="shared" si="32"/>
        <v/>
      </c>
      <c r="W210" s="374" t="str">
        <f t="shared" si="33"/>
        <v/>
      </c>
      <c r="X210" s="378" t="str">
        <f t="shared" si="34"/>
        <v/>
      </c>
      <c r="Y210" s="119"/>
      <c r="Z210" s="120"/>
      <c r="AA210" s="120"/>
      <c r="AB210" s="120"/>
      <c r="AE210" s="30" t="str">
        <f>IFERROR(INDEX('G-6 Hedgerow Data'!$BJ$3:$BJ$15,MATCH(D210,'G-6 Hedgerow Data'!$B$3:$B$15,0)),"")</f>
        <v/>
      </c>
      <c r="AH210" s="124" t="str">
        <f t="shared" si="27"/>
        <v/>
      </c>
      <c r="AI210" s="124" t="str">
        <f t="shared" si="28"/>
        <v/>
      </c>
      <c r="AK210" s="124">
        <v>201</v>
      </c>
      <c r="AM210" s="124" t="str">
        <f t="array" ref="AM210">IFERROR(INDEX($AK$10:$AK$258, MATCH(0, IF(TRUE=$AH$10:$AH$258, COUNTIF($AM$9:$AM209, $AK$10:$AK$258), ""), 0)),"")</f>
        <v/>
      </c>
      <c r="AN210" s="124" t="str">
        <f t="array" ref="AN210">IFERROR(INDEX($AK$10:$AK$258, MATCH(0, IF(TRUE=$AI$10:$AI$258, COUNTIF($AN$9:$AN209, $AK$10:$AK$258), ""), 0)),"")</f>
        <v/>
      </c>
      <c r="AY210" s="370" t="str">
        <f t="shared" si="35"/>
        <v/>
      </c>
    </row>
    <row r="211" spans="2:51" ht="15">
      <c r="B211" s="110">
        <v>202</v>
      </c>
      <c r="C211" s="165"/>
      <c r="D211" s="165"/>
      <c r="E211" s="121"/>
      <c r="F211" s="362" t="str">
        <f>IF(D211="","",VLOOKUP(D211,'G-6 Hedgerow Data'!$B$2:$AG$15,2,FALSE))</f>
        <v/>
      </c>
      <c r="G211" s="363" t="str">
        <f>IF(D211="","",VLOOKUP(D211,'G-6 Hedgerow Data'!$B$2:$AG$15,3,FALSE))</f>
        <v/>
      </c>
      <c r="H211" s="114"/>
      <c r="I211" s="363" t="str">
        <f>IFERROR(IF(AND(F211="V.Low",OR(H211="Good",H211="Moderate")),"Error ▲",VLOOKUP(H211,'G-1 All Habitats'!$Z$2:$AA$9,2,FALSE)),"")</f>
        <v/>
      </c>
      <c r="J211" s="122"/>
      <c r="K211" s="382" t="str">
        <f>IF(J211="","",IF(VLOOKUP(J211,'G-3 Multipliers'!$L$3:$N$6,2,FALSE)=0,"Spatial Data Missing ⚠",VLOOKUP(J211,'G-3 Multipliers'!$L$3:$N$6,2,FALSE)))</f>
        <v/>
      </c>
      <c r="L211" s="386" t="str">
        <f>IF(J211="","",IF(VLOOKUP(J211,'G-3 Multipliers'!$L$3:$N$6,3,FALSE)=0,"Spatial Data Missing ⚠",VLOOKUP(J211,'G-3 Multipliers'!$L$3:$N$6,3,FALSE)))</f>
        <v/>
      </c>
      <c r="M211" s="425" t="str">
        <f>IF(D211="","",VLOOKUP(D211,'G-6 Hedgerow Data'!$B$1:$AH$15,33,FALSE))</f>
        <v/>
      </c>
      <c r="N211" s="376" t="str">
        <f t="shared" si="29"/>
        <v/>
      </c>
      <c r="O211" s="516"/>
      <c r="P211" s="368" t="str">
        <f>IF(O211="","",IF(VLOOKUP(O211,'G-3 Multipliers'!$S$3:$T$10,2,FALSE)=0,"Spatial Data Missing ⚠",VLOOKUP(O211,'G-3 Multipliers'!$S$3:$T$10,2,FALSE)))</f>
        <v/>
      </c>
      <c r="Q211" s="376" t="str">
        <f t="shared" si="30"/>
        <v/>
      </c>
      <c r="R211" s="32"/>
      <c r="S211" s="114"/>
      <c r="T211" s="125"/>
      <c r="U211" s="370" t="str">
        <f t="shared" si="31"/>
        <v/>
      </c>
      <c r="V211" s="370" t="str">
        <f t="shared" si="32"/>
        <v/>
      </c>
      <c r="W211" s="374" t="str">
        <f t="shared" si="33"/>
        <v/>
      </c>
      <c r="X211" s="378" t="str">
        <f t="shared" si="34"/>
        <v/>
      </c>
      <c r="Y211" s="119"/>
      <c r="Z211" s="120"/>
      <c r="AA211" s="120"/>
      <c r="AB211" s="120"/>
      <c r="AE211" s="30" t="str">
        <f>IFERROR(INDEX('G-6 Hedgerow Data'!$BJ$3:$BJ$15,MATCH(D211,'G-6 Hedgerow Data'!$B$3:$B$15,0)),"")</f>
        <v/>
      </c>
      <c r="AH211" s="124" t="str">
        <f t="shared" si="27"/>
        <v/>
      </c>
      <c r="AI211" s="124" t="str">
        <f t="shared" si="28"/>
        <v/>
      </c>
      <c r="AK211" s="124">
        <v>202</v>
      </c>
      <c r="AM211" s="124" t="str">
        <f t="array" ref="AM211">IFERROR(INDEX($AK$10:$AK$258, MATCH(0, IF(TRUE=$AH$10:$AH$258, COUNTIF($AM$9:$AM210, $AK$10:$AK$258), ""), 0)),"")</f>
        <v/>
      </c>
      <c r="AN211" s="124" t="str">
        <f t="array" ref="AN211">IFERROR(INDEX($AK$10:$AK$258, MATCH(0, IF(TRUE=$AI$10:$AI$258, COUNTIF($AN$9:$AN210, $AK$10:$AK$258), ""), 0)),"")</f>
        <v/>
      </c>
      <c r="AY211" s="370" t="str">
        <f t="shared" si="35"/>
        <v/>
      </c>
    </row>
    <row r="212" spans="2:51" ht="15">
      <c r="B212" s="110">
        <v>203</v>
      </c>
      <c r="C212" s="165"/>
      <c r="D212" s="165"/>
      <c r="E212" s="121"/>
      <c r="F212" s="362" t="str">
        <f>IF(D212="","",VLOOKUP(D212,'G-6 Hedgerow Data'!$B$2:$AG$15,2,FALSE))</f>
        <v/>
      </c>
      <c r="G212" s="363" t="str">
        <f>IF(D212="","",VLOOKUP(D212,'G-6 Hedgerow Data'!$B$2:$AG$15,3,FALSE))</f>
        <v/>
      </c>
      <c r="H212" s="114"/>
      <c r="I212" s="363" t="str">
        <f>IFERROR(IF(AND(F212="V.Low",OR(H212="Good",H212="Moderate")),"Error ▲",VLOOKUP(H212,'G-1 All Habitats'!$Z$2:$AA$9,2,FALSE)),"")</f>
        <v/>
      </c>
      <c r="J212" s="122"/>
      <c r="K212" s="382" t="str">
        <f>IF(J212="","",IF(VLOOKUP(J212,'G-3 Multipliers'!$L$3:$N$6,2,FALSE)=0,"Spatial Data Missing ⚠",VLOOKUP(J212,'G-3 Multipliers'!$L$3:$N$6,2,FALSE)))</f>
        <v/>
      </c>
      <c r="L212" s="386" t="str">
        <f>IF(J212="","",IF(VLOOKUP(J212,'G-3 Multipliers'!$L$3:$N$6,3,FALSE)=0,"Spatial Data Missing ⚠",VLOOKUP(J212,'G-3 Multipliers'!$L$3:$N$6,3,FALSE)))</f>
        <v/>
      </c>
      <c r="M212" s="425" t="str">
        <f>IF(D212="","",VLOOKUP(D212,'G-6 Hedgerow Data'!$B$1:$AH$15,33,FALSE))</f>
        <v/>
      </c>
      <c r="N212" s="376" t="str">
        <f t="shared" si="29"/>
        <v/>
      </c>
      <c r="O212" s="516"/>
      <c r="P212" s="368" t="str">
        <f>IF(O212="","",IF(VLOOKUP(O212,'G-3 Multipliers'!$S$3:$T$10,2,FALSE)=0,"Spatial Data Missing ⚠",VLOOKUP(O212,'G-3 Multipliers'!$S$3:$T$10,2,FALSE)))</f>
        <v/>
      </c>
      <c r="Q212" s="376" t="str">
        <f t="shared" si="30"/>
        <v/>
      </c>
      <c r="R212" s="32"/>
      <c r="S212" s="114"/>
      <c r="T212" s="125"/>
      <c r="U212" s="370" t="str">
        <f t="shared" si="31"/>
        <v/>
      </c>
      <c r="V212" s="370" t="str">
        <f t="shared" si="32"/>
        <v/>
      </c>
      <c r="W212" s="374" t="str">
        <f t="shared" si="33"/>
        <v/>
      </c>
      <c r="X212" s="378" t="str">
        <f t="shared" si="34"/>
        <v/>
      </c>
      <c r="Y212" s="119"/>
      <c r="Z212" s="120"/>
      <c r="AA212" s="120"/>
      <c r="AB212" s="120"/>
      <c r="AE212" s="30" t="str">
        <f>IFERROR(INDEX('G-6 Hedgerow Data'!$BJ$3:$BJ$15,MATCH(D212,'G-6 Hedgerow Data'!$B$3:$B$15,0)),"")</f>
        <v/>
      </c>
      <c r="AH212" s="124" t="str">
        <f t="shared" si="27"/>
        <v/>
      </c>
      <c r="AI212" s="124" t="str">
        <f t="shared" si="28"/>
        <v/>
      </c>
      <c r="AK212" s="124">
        <v>203</v>
      </c>
      <c r="AM212" s="124" t="str">
        <f t="array" ref="AM212">IFERROR(INDEX($AK$10:$AK$258, MATCH(0, IF(TRUE=$AH$10:$AH$258, COUNTIF($AM$9:$AM211, $AK$10:$AK$258), ""), 0)),"")</f>
        <v/>
      </c>
      <c r="AN212" s="124" t="str">
        <f t="array" ref="AN212">IFERROR(INDEX($AK$10:$AK$258, MATCH(0, IF(TRUE=$AI$10:$AI$258, COUNTIF($AN$9:$AN211, $AK$10:$AK$258), ""), 0)),"")</f>
        <v/>
      </c>
      <c r="AY212" s="370" t="str">
        <f t="shared" si="35"/>
        <v/>
      </c>
    </row>
    <row r="213" spans="2:51" ht="15">
      <c r="B213" s="110">
        <v>204</v>
      </c>
      <c r="C213" s="165"/>
      <c r="D213" s="165"/>
      <c r="E213" s="121"/>
      <c r="F213" s="362" t="str">
        <f>IF(D213="","",VLOOKUP(D213,'G-6 Hedgerow Data'!$B$2:$AG$15,2,FALSE))</f>
        <v/>
      </c>
      <c r="G213" s="363" t="str">
        <f>IF(D213="","",VLOOKUP(D213,'G-6 Hedgerow Data'!$B$2:$AG$15,3,FALSE))</f>
        <v/>
      </c>
      <c r="H213" s="114"/>
      <c r="I213" s="363" t="str">
        <f>IFERROR(IF(AND(F213="V.Low",OR(H213="Good",H213="Moderate")),"Error ▲",VLOOKUP(H213,'G-1 All Habitats'!$Z$2:$AA$9,2,FALSE)),"")</f>
        <v/>
      </c>
      <c r="J213" s="122"/>
      <c r="K213" s="382" t="str">
        <f>IF(J213="","",IF(VLOOKUP(J213,'G-3 Multipliers'!$L$3:$N$6,2,FALSE)=0,"Spatial Data Missing ⚠",VLOOKUP(J213,'G-3 Multipliers'!$L$3:$N$6,2,FALSE)))</f>
        <v/>
      </c>
      <c r="L213" s="386" t="str">
        <f>IF(J213="","",IF(VLOOKUP(J213,'G-3 Multipliers'!$L$3:$N$6,3,FALSE)=0,"Spatial Data Missing ⚠",VLOOKUP(J213,'G-3 Multipliers'!$L$3:$N$6,3,FALSE)))</f>
        <v/>
      </c>
      <c r="M213" s="425" t="str">
        <f>IF(D213="","",VLOOKUP(D213,'G-6 Hedgerow Data'!$B$1:$AH$15,33,FALSE))</f>
        <v/>
      </c>
      <c r="N213" s="376" t="str">
        <f t="shared" si="29"/>
        <v/>
      </c>
      <c r="O213" s="516"/>
      <c r="P213" s="368" t="str">
        <f>IF(O213="","",IF(VLOOKUP(O213,'G-3 Multipliers'!$S$3:$T$10,2,FALSE)=0,"Spatial Data Missing ⚠",VLOOKUP(O213,'G-3 Multipliers'!$S$3:$T$10,2,FALSE)))</f>
        <v/>
      </c>
      <c r="Q213" s="376" t="str">
        <f t="shared" si="30"/>
        <v/>
      </c>
      <c r="R213" s="32"/>
      <c r="S213" s="114"/>
      <c r="T213" s="125"/>
      <c r="U213" s="370" t="str">
        <f t="shared" si="31"/>
        <v/>
      </c>
      <c r="V213" s="370" t="str">
        <f t="shared" si="32"/>
        <v/>
      </c>
      <c r="W213" s="374" t="str">
        <f t="shared" si="33"/>
        <v/>
      </c>
      <c r="X213" s="378" t="str">
        <f t="shared" si="34"/>
        <v/>
      </c>
      <c r="Y213" s="119"/>
      <c r="Z213" s="120"/>
      <c r="AA213" s="120"/>
      <c r="AB213" s="120"/>
      <c r="AE213" s="30" t="str">
        <f>IFERROR(INDEX('G-6 Hedgerow Data'!$BJ$3:$BJ$15,MATCH(D213,'G-6 Hedgerow Data'!$B$3:$B$15,0)),"")</f>
        <v/>
      </c>
      <c r="AH213" s="124" t="str">
        <f t="shared" si="27"/>
        <v/>
      </c>
      <c r="AI213" s="124" t="str">
        <f t="shared" si="28"/>
        <v/>
      </c>
      <c r="AK213" s="124">
        <v>204</v>
      </c>
      <c r="AM213" s="124" t="str">
        <f t="array" ref="AM213">IFERROR(INDEX($AK$10:$AK$258, MATCH(0, IF(TRUE=$AH$10:$AH$258, COUNTIF($AM$9:$AM212, $AK$10:$AK$258), ""), 0)),"")</f>
        <v/>
      </c>
      <c r="AN213" s="124" t="str">
        <f t="array" ref="AN213">IFERROR(INDEX($AK$10:$AK$258, MATCH(0, IF(TRUE=$AI$10:$AI$258, COUNTIF($AN$9:$AN212, $AK$10:$AK$258), ""), 0)),"")</f>
        <v/>
      </c>
      <c r="AY213" s="370" t="str">
        <f t="shared" si="35"/>
        <v/>
      </c>
    </row>
    <row r="214" spans="2:51" ht="15">
      <c r="B214" s="110">
        <v>205</v>
      </c>
      <c r="C214" s="165"/>
      <c r="D214" s="165"/>
      <c r="E214" s="121"/>
      <c r="F214" s="362" t="str">
        <f>IF(D214="","",VLOOKUP(D214,'G-6 Hedgerow Data'!$B$2:$AG$15,2,FALSE))</f>
        <v/>
      </c>
      <c r="G214" s="363" t="str">
        <f>IF(D214="","",VLOOKUP(D214,'G-6 Hedgerow Data'!$B$2:$AG$15,3,FALSE))</f>
        <v/>
      </c>
      <c r="H214" s="114"/>
      <c r="I214" s="363" t="str">
        <f>IFERROR(IF(AND(F214="V.Low",OR(H214="Good",H214="Moderate")),"Error ▲",VLOOKUP(H214,'G-1 All Habitats'!$Z$2:$AA$9,2,FALSE)),"")</f>
        <v/>
      </c>
      <c r="J214" s="122"/>
      <c r="K214" s="382" t="str">
        <f>IF(J214="","",IF(VLOOKUP(J214,'G-3 Multipliers'!$L$3:$N$6,2,FALSE)=0,"Spatial Data Missing ⚠",VLOOKUP(J214,'G-3 Multipliers'!$L$3:$N$6,2,FALSE)))</f>
        <v/>
      </c>
      <c r="L214" s="386" t="str">
        <f>IF(J214="","",IF(VLOOKUP(J214,'G-3 Multipliers'!$L$3:$N$6,3,FALSE)=0,"Spatial Data Missing ⚠",VLOOKUP(J214,'G-3 Multipliers'!$L$3:$N$6,3,FALSE)))</f>
        <v/>
      </c>
      <c r="M214" s="425" t="str">
        <f>IF(D214="","",VLOOKUP(D214,'G-6 Hedgerow Data'!$B$1:$AH$15,33,FALSE))</f>
        <v/>
      </c>
      <c r="N214" s="376" t="str">
        <f t="shared" si="29"/>
        <v/>
      </c>
      <c r="O214" s="516"/>
      <c r="P214" s="368" t="str">
        <f>IF(O214="","",IF(VLOOKUP(O214,'G-3 Multipliers'!$S$3:$T$10,2,FALSE)=0,"Spatial Data Missing ⚠",VLOOKUP(O214,'G-3 Multipliers'!$S$3:$T$10,2,FALSE)))</f>
        <v/>
      </c>
      <c r="Q214" s="376" t="str">
        <f t="shared" si="30"/>
        <v/>
      </c>
      <c r="R214" s="32"/>
      <c r="S214" s="114"/>
      <c r="T214" s="125"/>
      <c r="U214" s="370" t="str">
        <f t="shared" si="31"/>
        <v/>
      </c>
      <c r="V214" s="370" t="str">
        <f t="shared" si="32"/>
        <v/>
      </c>
      <c r="W214" s="374" t="str">
        <f t="shared" si="33"/>
        <v/>
      </c>
      <c r="X214" s="378" t="str">
        <f t="shared" si="34"/>
        <v/>
      </c>
      <c r="Y214" s="119"/>
      <c r="Z214" s="120"/>
      <c r="AA214" s="120"/>
      <c r="AB214" s="120"/>
      <c r="AE214" s="30" t="str">
        <f>IFERROR(INDEX('G-6 Hedgerow Data'!$BJ$3:$BJ$15,MATCH(D214,'G-6 Hedgerow Data'!$B$3:$B$15,0)),"")</f>
        <v/>
      </c>
      <c r="AH214" s="124" t="str">
        <f t="shared" si="27"/>
        <v/>
      </c>
      <c r="AI214" s="124" t="str">
        <f t="shared" si="28"/>
        <v/>
      </c>
      <c r="AK214" s="124">
        <v>205</v>
      </c>
      <c r="AM214" s="124" t="str">
        <f t="array" ref="AM214">IFERROR(INDEX($AK$10:$AK$258, MATCH(0, IF(TRUE=$AH$10:$AH$258, COUNTIF($AM$9:$AM213, $AK$10:$AK$258), ""), 0)),"")</f>
        <v/>
      </c>
      <c r="AN214" s="124" t="str">
        <f t="array" ref="AN214">IFERROR(INDEX($AK$10:$AK$258, MATCH(0, IF(TRUE=$AI$10:$AI$258, COUNTIF($AN$9:$AN213, $AK$10:$AK$258), ""), 0)),"")</f>
        <v/>
      </c>
      <c r="AY214" s="370" t="str">
        <f t="shared" si="35"/>
        <v/>
      </c>
    </row>
    <row r="215" spans="2:51" ht="15">
      <c r="B215" s="110">
        <v>206</v>
      </c>
      <c r="C215" s="165"/>
      <c r="D215" s="165"/>
      <c r="E215" s="121"/>
      <c r="F215" s="362" t="str">
        <f>IF(D215="","",VLOOKUP(D215,'G-6 Hedgerow Data'!$B$2:$AG$15,2,FALSE))</f>
        <v/>
      </c>
      <c r="G215" s="363" t="str">
        <f>IF(D215="","",VLOOKUP(D215,'G-6 Hedgerow Data'!$B$2:$AG$15,3,FALSE))</f>
        <v/>
      </c>
      <c r="H215" s="114"/>
      <c r="I215" s="363" t="str">
        <f>IFERROR(IF(AND(F215="V.Low",OR(H215="Good",H215="Moderate")),"Error ▲",VLOOKUP(H215,'G-1 All Habitats'!$Z$2:$AA$9,2,FALSE)),"")</f>
        <v/>
      </c>
      <c r="J215" s="122"/>
      <c r="K215" s="382" t="str">
        <f>IF(J215="","",IF(VLOOKUP(J215,'G-3 Multipliers'!$L$3:$N$6,2,FALSE)=0,"Spatial Data Missing ⚠",VLOOKUP(J215,'G-3 Multipliers'!$L$3:$N$6,2,FALSE)))</f>
        <v/>
      </c>
      <c r="L215" s="386" t="str">
        <f>IF(J215="","",IF(VLOOKUP(J215,'G-3 Multipliers'!$L$3:$N$6,3,FALSE)=0,"Spatial Data Missing ⚠",VLOOKUP(J215,'G-3 Multipliers'!$L$3:$N$6,3,FALSE)))</f>
        <v/>
      </c>
      <c r="M215" s="425" t="str">
        <f>IF(D215="","",VLOOKUP(D215,'G-6 Hedgerow Data'!$B$1:$AH$15,33,FALSE))</f>
        <v/>
      </c>
      <c r="N215" s="376" t="str">
        <f t="shared" si="29"/>
        <v/>
      </c>
      <c r="O215" s="516"/>
      <c r="P215" s="368" t="str">
        <f>IF(O215="","",IF(VLOOKUP(O215,'G-3 Multipliers'!$S$3:$T$10,2,FALSE)=0,"Spatial Data Missing ⚠",VLOOKUP(O215,'G-3 Multipliers'!$S$3:$T$10,2,FALSE)))</f>
        <v/>
      </c>
      <c r="Q215" s="376" t="str">
        <f t="shared" si="30"/>
        <v/>
      </c>
      <c r="R215" s="32"/>
      <c r="S215" s="114"/>
      <c r="T215" s="125"/>
      <c r="U215" s="370" t="str">
        <f t="shared" si="31"/>
        <v/>
      </c>
      <c r="V215" s="370" t="str">
        <f t="shared" si="32"/>
        <v/>
      </c>
      <c r="W215" s="374" t="str">
        <f t="shared" si="33"/>
        <v/>
      </c>
      <c r="X215" s="378" t="str">
        <f t="shared" si="34"/>
        <v/>
      </c>
      <c r="Y215" s="119"/>
      <c r="Z215" s="120"/>
      <c r="AA215" s="120"/>
      <c r="AB215" s="120"/>
      <c r="AE215" s="30" t="str">
        <f>IFERROR(INDEX('G-6 Hedgerow Data'!$BJ$3:$BJ$15,MATCH(D215,'G-6 Hedgerow Data'!$B$3:$B$15,0)),"")</f>
        <v/>
      </c>
      <c r="AH215" s="124" t="str">
        <f t="shared" si="27"/>
        <v/>
      </c>
      <c r="AI215" s="124" t="str">
        <f t="shared" si="28"/>
        <v/>
      </c>
      <c r="AK215" s="124">
        <v>206</v>
      </c>
      <c r="AM215" s="124" t="str">
        <f t="array" ref="AM215">IFERROR(INDEX($AK$10:$AK$258, MATCH(0, IF(TRUE=$AH$10:$AH$258, COUNTIF($AM$9:$AM214, $AK$10:$AK$258), ""), 0)),"")</f>
        <v/>
      </c>
      <c r="AN215" s="124" t="str">
        <f t="array" ref="AN215">IFERROR(INDEX($AK$10:$AK$258, MATCH(0, IF(TRUE=$AI$10:$AI$258, COUNTIF($AN$9:$AN214, $AK$10:$AK$258), ""), 0)),"")</f>
        <v/>
      </c>
      <c r="AY215" s="370" t="str">
        <f t="shared" si="35"/>
        <v/>
      </c>
    </row>
    <row r="216" spans="2:51" ht="15">
      <c r="B216" s="110">
        <v>207</v>
      </c>
      <c r="C216" s="165"/>
      <c r="D216" s="165"/>
      <c r="E216" s="121"/>
      <c r="F216" s="362" t="str">
        <f>IF(D216="","",VLOOKUP(D216,'G-6 Hedgerow Data'!$B$2:$AG$15,2,FALSE))</f>
        <v/>
      </c>
      <c r="G216" s="363" t="str">
        <f>IF(D216="","",VLOOKUP(D216,'G-6 Hedgerow Data'!$B$2:$AG$15,3,FALSE))</f>
        <v/>
      </c>
      <c r="H216" s="114"/>
      <c r="I216" s="363" t="str">
        <f>IFERROR(IF(AND(F216="V.Low",OR(H216="Good",H216="Moderate")),"Error ▲",VLOOKUP(H216,'G-1 All Habitats'!$Z$2:$AA$9,2,FALSE)),"")</f>
        <v/>
      </c>
      <c r="J216" s="122"/>
      <c r="K216" s="382" t="str">
        <f>IF(J216="","",IF(VLOOKUP(J216,'G-3 Multipliers'!$L$3:$N$6,2,FALSE)=0,"Spatial Data Missing ⚠",VLOOKUP(J216,'G-3 Multipliers'!$L$3:$N$6,2,FALSE)))</f>
        <v/>
      </c>
      <c r="L216" s="386" t="str">
        <f>IF(J216="","",IF(VLOOKUP(J216,'G-3 Multipliers'!$L$3:$N$6,3,FALSE)=0,"Spatial Data Missing ⚠",VLOOKUP(J216,'G-3 Multipliers'!$L$3:$N$6,3,FALSE)))</f>
        <v/>
      </c>
      <c r="M216" s="425" t="str">
        <f>IF(D216="","",VLOOKUP(D216,'G-6 Hedgerow Data'!$B$1:$AH$15,33,FALSE))</f>
        <v/>
      </c>
      <c r="N216" s="376" t="str">
        <f t="shared" si="29"/>
        <v/>
      </c>
      <c r="O216" s="516"/>
      <c r="P216" s="368" t="str">
        <f>IF(O216="","",IF(VLOOKUP(O216,'G-3 Multipliers'!$S$3:$T$10,2,FALSE)=0,"Spatial Data Missing ⚠",VLOOKUP(O216,'G-3 Multipliers'!$S$3:$T$10,2,FALSE)))</f>
        <v/>
      </c>
      <c r="Q216" s="376" t="str">
        <f t="shared" si="30"/>
        <v/>
      </c>
      <c r="R216" s="32"/>
      <c r="S216" s="114"/>
      <c r="T216" s="125"/>
      <c r="U216" s="370" t="str">
        <f t="shared" si="31"/>
        <v/>
      </c>
      <c r="V216" s="370" t="str">
        <f t="shared" si="32"/>
        <v/>
      </c>
      <c r="W216" s="374" t="str">
        <f t="shared" si="33"/>
        <v/>
      </c>
      <c r="X216" s="378" t="str">
        <f t="shared" si="34"/>
        <v/>
      </c>
      <c r="Y216" s="119"/>
      <c r="Z216" s="120"/>
      <c r="AA216" s="120"/>
      <c r="AB216" s="120"/>
      <c r="AE216" s="30" t="str">
        <f>IFERROR(INDEX('G-6 Hedgerow Data'!$BJ$3:$BJ$15,MATCH(D216,'G-6 Hedgerow Data'!$B$3:$B$15,0)),"")</f>
        <v/>
      </c>
      <c r="AH216" s="124" t="str">
        <f t="shared" si="27"/>
        <v/>
      </c>
      <c r="AI216" s="124" t="str">
        <f t="shared" si="28"/>
        <v/>
      </c>
      <c r="AK216" s="124">
        <v>207</v>
      </c>
      <c r="AM216" s="124" t="str">
        <f t="array" ref="AM216">IFERROR(INDEX($AK$10:$AK$258, MATCH(0, IF(TRUE=$AH$10:$AH$258, COUNTIF($AM$9:$AM215, $AK$10:$AK$258), ""), 0)),"")</f>
        <v/>
      </c>
      <c r="AN216" s="124" t="str">
        <f t="array" ref="AN216">IFERROR(INDEX($AK$10:$AK$258, MATCH(0, IF(TRUE=$AI$10:$AI$258, COUNTIF($AN$9:$AN215, $AK$10:$AK$258), ""), 0)),"")</f>
        <v/>
      </c>
      <c r="AY216" s="370" t="str">
        <f t="shared" si="35"/>
        <v/>
      </c>
    </row>
    <row r="217" spans="2:51" ht="15">
      <c r="B217" s="110">
        <v>208</v>
      </c>
      <c r="C217" s="165"/>
      <c r="D217" s="165"/>
      <c r="E217" s="121"/>
      <c r="F217" s="362" t="str">
        <f>IF(D217="","",VLOOKUP(D217,'G-6 Hedgerow Data'!$B$2:$AG$15,2,FALSE))</f>
        <v/>
      </c>
      <c r="G217" s="363" t="str">
        <f>IF(D217="","",VLOOKUP(D217,'G-6 Hedgerow Data'!$B$2:$AG$15,3,FALSE))</f>
        <v/>
      </c>
      <c r="H217" s="114"/>
      <c r="I217" s="363" t="str">
        <f>IFERROR(IF(AND(F217="V.Low",OR(H217="Good",H217="Moderate")),"Error ▲",VLOOKUP(H217,'G-1 All Habitats'!$Z$2:$AA$9,2,FALSE)),"")</f>
        <v/>
      </c>
      <c r="J217" s="122"/>
      <c r="K217" s="382" t="str">
        <f>IF(J217="","",IF(VLOOKUP(J217,'G-3 Multipliers'!$L$3:$N$6,2,FALSE)=0,"Spatial Data Missing ⚠",VLOOKUP(J217,'G-3 Multipliers'!$L$3:$N$6,2,FALSE)))</f>
        <v/>
      </c>
      <c r="L217" s="386" t="str">
        <f>IF(J217="","",IF(VLOOKUP(J217,'G-3 Multipliers'!$L$3:$N$6,3,FALSE)=0,"Spatial Data Missing ⚠",VLOOKUP(J217,'G-3 Multipliers'!$L$3:$N$6,3,FALSE)))</f>
        <v/>
      </c>
      <c r="M217" s="425" t="str">
        <f>IF(D217="","",VLOOKUP(D217,'G-6 Hedgerow Data'!$B$1:$AH$15,33,FALSE))</f>
        <v/>
      </c>
      <c r="N217" s="376" t="str">
        <f t="shared" si="29"/>
        <v/>
      </c>
      <c r="O217" s="516"/>
      <c r="P217" s="368" t="str">
        <f>IF(O217="","",IF(VLOOKUP(O217,'G-3 Multipliers'!$S$3:$T$10,2,FALSE)=0,"Spatial Data Missing ⚠",VLOOKUP(O217,'G-3 Multipliers'!$S$3:$T$10,2,FALSE)))</f>
        <v/>
      </c>
      <c r="Q217" s="376" t="str">
        <f t="shared" si="30"/>
        <v/>
      </c>
      <c r="R217" s="32"/>
      <c r="S217" s="114"/>
      <c r="T217" s="125"/>
      <c r="U217" s="370" t="str">
        <f t="shared" si="31"/>
        <v/>
      </c>
      <c r="V217" s="370" t="str">
        <f t="shared" si="32"/>
        <v/>
      </c>
      <c r="W217" s="374" t="str">
        <f t="shared" si="33"/>
        <v/>
      </c>
      <c r="X217" s="378" t="str">
        <f t="shared" si="34"/>
        <v/>
      </c>
      <c r="Y217" s="119"/>
      <c r="Z217" s="120"/>
      <c r="AA217" s="120"/>
      <c r="AB217" s="120"/>
      <c r="AE217" s="30" t="str">
        <f>IFERROR(INDEX('G-6 Hedgerow Data'!$BJ$3:$BJ$15,MATCH(D217,'G-6 Hedgerow Data'!$B$3:$B$15,0)),"")</f>
        <v/>
      </c>
      <c r="AH217" s="124" t="str">
        <f t="shared" si="27"/>
        <v/>
      </c>
      <c r="AI217" s="124" t="str">
        <f t="shared" si="28"/>
        <v/>
      </c>
      <c r="AK217" s="124">
        <v>208</v>
      </c>
      <c r="AM217" s="124" t="str">
        <f t="array" ref="AM217">IFERROR(INDEX($AK$10:$AK$258, MATCH(0, IF(TRUE=$AH$10:$AH$258, COUNTIF($AM$9:$AM216, $AK$10:$AK$258), ""), 0)),"")</f>
        <v/>
      </c>
      <c r="AN217" s="124" t="str">
        <f t="array" ref="AN217">IFERROR(INDEX($AK$10:$AK$258, MATCH(0, IF(TRUE=$AI$10:$AI$258, COUNTIF($AN$9:$AN216, $AK$10:$AK$258), ""), 0)),"")</f>
        <v/>
      </c>
      <c r="AY217" s="370" t="str">
        <f t="shared" si="35"/>
        <v/>
      </c>
    </row>
    <row r="218" spans="2:51" ht="15">
      <c r="B218" s="110">
        <v>209</v>
      </c>
      <c r="C218" s="165"/>
      <c r="D218" s="165"/>
      <c r="E218" s="121"/>
      <c r="F218" s="362" t="str">
        <f>IF(D218="","",VLOOKUP(D218,'G-6 Hedgerow Data'!$B$2:$AG$15,2,FALSE))</f>
        <v/>
      </c>
      <c r="G218" s="363" t="str">
        <f>IF(D218="","",VLOOKUP(D218,'G-6 Hedgerow Data'!$B$2:$AG$15,3,FALSE))</f>
        <v/>
      </c>
      <c r="H218" s="114"/>
      <c r="I218" s="363" t="str">
        <f>IFERROR(IF(AND(F218="V.Low",OR(H218="Good",H218="Moderate")),"Error ▲",VLOOKUP(H218,'G-1 All Habitats'!$Z$2:$AA$9,2,FALSE)),"")</f>
        <v/>
      </c>
      <c r="J218" s="122"/>
      <c r="K218" s="382" t="str">
        <f>IF(J218="","",IF(VLOOKUP(J218,'G-3 Multipliers'!$L$3:$N$6,2,FALSE)=0,"Spatial Data Missing ⚠",VLOOKUP(J218,'G-3 Multipliers'!$L$3:$N$6,2,FALSE)))</f>
        <v/>
      </c>
      <c r="L218" s="386" t="str">
        <f>IF(J218="","",IF(VLOOKUP(J218,'G-3 Multipliers'!$L$3:$N$6,3,FALSE)=0,"Spatial Data Missing ⚠",VLOOKUP(J218,'G-3 Multipliers'!$L$3:$N$6,3,FALSE)))</f>
        <v/>
      </c>
      <c r="M218" s="425" t="str">
        <f>IF(D218="","",VLOOKUP(D218,'G-6 Hedgerow Data'!$B$1:$AH$15,33,FALSE))</f>
        <v/>
      </c>
      <c r="N218" s="376" t="str">
        <f t="shared" si="29"/>
        <v/>
      </c>
      <c r="O218" s="516"/>
      <c r="P218" s="368" t="str">
        <f>IF(O218="","",IF(VLOOKUP(O218,'G-3 Multipliers'!$S$3:$T$10,2,FALSE)=0,"Spatial Data Missing ⚠",VLOOKUP(O218,'G-3 Multipliers'!$S$3:$T$10,2,FALSE)))</f>
        <v/>
      </c>
      <c r="Q218" s="376" t="str">
        <f t="shared" si="30"/>
        <v/>
      </c>
      <c r="R218" s="32"/>
      <c r="S218" s="114"/>
      <c r="T218" s="125"/>
      <c r="U218" s="370" t="str">
        <f t="shared" si="31"/>
        <v/>
      </c>
      <c r="V218" s="370" t="str">
        <f t="shared" si="32"/>
        <v/>
      </c>
      <c r="W218" s="374" t="str">
        <f t="shared" si="33"/>
        <v/>
      </c>
      <c r="X218" s="378" t="str">
        <f t="shared" si="34"/>
        <v/>
      </c>
      <c r="Y218" s="119"/>
      <c r="Z218" s="120"/>
      <c r="AA218" s="120"/>
      <c r="AB218" s="120"/>
      <c r="AE218" s="30" t="str">
        <f>IFERROR(INDEX('G-6 Hedgerow Data'!$BJ$3:$BJ$15,MATCH(D218,'G-6 Hedgerow Data'!$B$3:$B$15,0)),"")</f>
        <v/>
      </c>
      <c r="AH218" s="124" t="str">
        <f t="shared" si="27"/>
        <v/>
      </c>
      <c r="AI218" s="124" t="str">
        <f t="shared" si="28"/>
        <v/>
      </c>
      <c r="AK218" s="124">
        <v>209</v>
      </c>
      <c r="AM218" s="124" t="str">
        <f t="array" ref="AM218">IFERROR(INDEX($AK$10:$AK$258, MATCH(0, IF(TRUE=$AH$10:$AH$258, COUNTIF($AM$9:$AM217, $AK$10:$AK$258), ""), 0)),"")</f>
        <v/>
      </c>
      <c r="AN218" s="124" t="str">
        <f t="array" ref="AN218">IFERROR(INDEX($AK$10:$AK$258, MATCH(0, IF(TRUE=$AI$10:$AI$258, COUNTIF($AN$9:$AN217, $AK$10:$AK$258), ""), 0)),"")</f>
        <v/>
      </c>
      <c r="AY218" s="370" t="str">
        <f t="shared" si="35"/>
        <v/>
      </c>
    </row>
    <row r="219" spans="2:51" ht="15">
      <c r="B219" s="110">
        <v>210</v>
      </c>
      <c r="C219" s="165"/>
      <c r="D219" s="165"/>
      <c r="E219" s="121"/>
      <c r="F219" s="362" t="str">
        <f>IF(D219="","",VLOOKUP(D219,'G-6 Hedgerow Data'!$B$2:$AG$15,2,FALSE))</f>
        <v/>
      </c>
      <c r="G219" s="363" t="str">
        <f>IF(D219="","",VLOOKUP(D219,'G-6 Hedgerow Data'!$B$2:$AG$15,3,FALSE))</f>
        <v/>
      </c>
      <c r="H219" s="114"/>
      <c r="I219" s="363" t="str">
        <f>IFERROR(IF(AND(F219="V.Low",OR(H219="Good",H219="Moderate")),"Error ▲",VLOOKUP(H219,'G-1 All Habitats'!$Z$2:$AA$9,2,FALSE)),"")</f>
        <v/>
      </c>
      <c r="J219" s="122"/>
      <c r="K219" s="382" t="str">
        <f>IF(J219="","",IF(VLOOKUP(J219,'G-3 Multipliers'!$L$3:$N$6,2,FALSE)=0,"Spatial Data Missing ⚠",VLOOKUP(J219,'G-3 Multipliers'!$L$3:$N$6,2,FALSE)))</f>
        <v/>
      </c>
      <c r="L219" s="386" t="str">
        <f>IF(J219="","",IF(VLOOKUP(J219,'G-3 Multipliers'!$L$3:$N$6,3,FALSE)=0,"Spatial Data Missing ⚠",VLOOKUP(J219,'G-3 Multipliers'!$L$3:$N$6,3,FALSE)))</f>
        <v/>
      </c>
      <c r="M219" s="425" t="str">
        <f>IF(D219="","",VLOOKUP(D219,'G-6 Hedgerow Data'!$B$1:$AH$15,33,FALSE))</f>
        <v/>
      </c>
      <c r="N219" s="376" t="str">
        <f t="shared" si="29"/>
        <v/>
      </c>
      <c r="O219" s="516"/>
      <c r="P219" s="368" t="str">
        <f>IF(O219="","",IF(VLOOKUP(O219,'G-3 Multipliers'!$S$3:$T$10,2,FALSE)=0,"Spatial Data Missing ⚠",VLOOKUP(O219,'G-3 Multipliers'!$S$3:$T$10,2,FALSE)))</f>
        <v/>
      </c>
      <c r="Q219" s="376" t="str">
        <f t="shared" si="30"/>
        <v/>
      </c>
      <c r="R219" s="32"/>
      <c r="S219" s="114"/>
      <c r="T219" s="125"/>
      <c r="U219" s="370" t="str">
        <f t="shared" si="31"/>
        <v/>
      </c>
      <c r="V219" s="370" t="str">
        <f t="shared" si="32"/>
        <v/>
      </c>
      <c r="W219" s="374" t="str">
        <f t="shared" si="33"/>
        <v/>
      </c>
      <c r="X219" s="378" t="str">
        <f t="shared" si="34"/>
        <v/>
      </c>
      <c r="Y219" s="119"/>
      <c r="Z219" s="120"/>
      <c r="AA219" s="120"/>
      <c r="AB219" s="120"/>
      <c r="AE219" s="30" t="str">
        <f>IFERROR(INDEX('G-6 Hedgerow Data'!$BJ$3:$BJ$15,MATCH(D219,'G-6 Hedgerow Data'!$B$3:$B$15,0)),"")</f>
        <v/>
      </c>
      <c r="AH219" s="124" t="str">
        <f t="shared" si="27"/>
        <v/>
      </c>
      <c r="AI219" s="124" t="str">
        <f t="shared" si="28"/>
        <v/>
      </c>
      <c r="AK219" s="124">
        <v>210</v>
      </c>
      <c r="AM219" s="124" t="str">
        <f t="array" ref="AM219">IFERROR(INDEX($AK$10:$AK$258, MATCH(0, IF(TRUE=$AH$10:$AH$258, COUNTIF($AM$9:$AM218, $AK$10:$AK$258), ""), 0)),"")</f>
        <v/>
      </c>
      <c r="AN219" s="124" t="str">
        <f t="array" ref="AN219">IFERROR(INDEX($AK$10:$AK$258, MATCH(0, IF(TRUE=$AI$10:$AI$258, COUNTIF($AN$9:$AN218, $AK$10:$AK$258), ""), 0)),"")</f>
        <v/>
      </c>
      <c r="AY219" s="370" t="str">
        <f t="shared" si="35"/>
        <v/>
      </c>
    </row>
    <row r="220" spans="2:51" ht="15">
      <c r="B220" s="110">
        <v>211</v>
      </c>
      <c r="C220" s="165"/>
      <c r="D220" s="165"/>
      <c r="E220" s="121"/>
      <c r="F220" s="362" t="str">
        <f>IF(D220="","",VLOOKUP(D220,'G-6 Hedgerow Data'!$B$2:$AG$15,2,FALSE))</f>
        <v/>
      </c>
      <c r="G220" s="363" t="str">
        <f>IF(D220="","",VLOOKUP(D220,'G-6 Hedgerow Data'!$B$2:$AG$15,3,FALSE))</f>
        <v/>
      </c>
      <c r="H220" s="114"/>
      <c r="I220" s="363" t="str">
        <f>IFERROR(IF(AND(F220="V.Low",OR(H220="Good",H220="Moderate")),"Error ▲",VLOOKUP(H220,'G-1 All Habitats'!$Z$2:$AA$9,2,FALSE)),"")</f>
        <v/>
      </c>
      <c r="J220" s="122"/>
      <c r="K220" s="382" t="str">
        <f>IF(J220="","",IF(VLOOKUP(J220,'G-3 Multipliers'!$L$3:$N$6,2,FALSE)=0,"Spatial Data Missing ⚠",VLOOKUP(J220,'G-3 Multipliers'!$L$3:$N$6,2,FALSE)))</f>
        <v/>
      </c>
      <c r="L220" s="386" t="str">
        <f>IF(J220="","",IF(VLOOKUP(J220,'G-3 Multipliers'!$L$3:$N$6,3,FALSE)=0,"Spatial Data Missing ⚠",VLOOKUP(J220,'G-3 Multipliers'!$L$3:$N$6,3,FALSE)))</f>
        <v/>
      </c>
      <c r="M220" s="425" t="str">
        <f>IF(D220="","",VLOOKUP(D220,'G-6 Hedgerow Data'!$B$1:$AH$15,33,FALSE))</f>
        <v/>
      </c>
      <c r="N220" s="376" t="str">
        <f t="shared" si="29"/>
        <v/>
      </c>
      <c r="O220" s="516"/>
      <c r="P220" s="368" t="str">
        <f>IF(O220="","",IF(VLOOKUP(O220,'G-3 Multipliers'!$S$3:$T$10,2,FALSE)=0,"Spatial Data Missing ⚠",VLOOKUP(O220,'G-3 Multipliers'!$S$3:$T$10,2,FALSE)))</f>
        <v/>
      </c>
      <c r="Q220" s="376" t="str">
        <f t="shared" si="30"/>
        <v/>
      </c>
      <c r="R220" s="32"/>
      <c r="S220" s="114"/>
      <c r="T220" s="125"/>
      <c r="U220" s="370" t="str">
        <f t="shared" si="31"/>
        <v/>
      </c>
      <c r="V220" s="370" t="str">
        <f t="shared" si="32"/>
        <v/>
      </c>
      <c r="W220" s="374" t="str">
        <f t="shared" si="33"/>
        <v/>
      </c>
      <c r="X220" s="378" t="str">
        <f t="shared" si="34"/>
        <v/>
      </c>
      <c r="Y220" s="119"/>
      <c r="Z220" s="120"/>
      <c r="AA220" s="120"/>
      <c r="AB220" s="120"/>
      <c r="AE220" s="30" t="str">
        <f>IFERROR(INDEX('G-6 Hedgerow Data'!$BJ$3:$BJ$15,MATCH(D220,'G-6 Hedgerow Data'!$B$3:$B$15,0)),"")</f>
        <v/>
      </c>
      <c r="AH220" s="124" t="str">
        <f t="shared" si="27"/>
        <v/>
      </c>
      <c r="AI220" s="124" t="str">
        <f t="shared" si="28"/>
        <v/>
      </c>
      <c r="AK220" s="124">
        <v>211</v>
      </c>
      <c r="AM220" s="124" t="str">
        <f t="array" ref="AM220">IFERROR(INDEX($AK$10:$AK$258, MATCH(0, IF(TRUE=$AH$10:$AH$258, COUNTIF($AM$9:$AM219, $AK$10:$AK$258), ""), 0)),"")</f>
        <v/>
      </c>
      <c r="AN220" s="124" t="str">
        <f t="array" ref="AN220">IFERROR(INDEX($AK$10:$AK$258, MATCH(0, IF(TRUE=$AI$10:$AI$258, COUNTIF($AN$9:$AN219, $AK$10:$AK$258), ""), 0)),"")</f>
        <v/>
      </c>
      <c r="AY220" s="370" t="str">
        <f t="shared" si="35"/>
        <v/>
      </c>
    </row>
    <row r="221" spans="2:51" ht="15">
      <c r="B221" s="110">
        <v>212</v>
      </c>
      <c r="C221" s="165"/>
      <c r="D221" s="165"/>
      <c r="E221" s="121"/>
      <c r="F221" s="362" t="str">
        <f>IF(D221="","",VLOOKUP(D221,'G-6 Hedgerow Data'!$B$2:$AG$15,2,FALSE))</f>
        <v/>
      </c>
      <c r="G221" s="363" t="str">
        <f>IF(D221="","",VLOOKUP(D221,'G-6 Hedgerow Data'!$B$2:$AG$15,3,FALSE))</f>
        <v/>
      </c>
      <c r="H221" s="114"/>
      <c r="I221" s="363" t="str">
        <f>IFERROR(IF(AND(F221="V.Low",OR(H221="Good",H221="Moderate")),"Error ▲",VLOOKUP(H221,'G-1 All Habitats'!$Z$2:$AA$9,2,FALSE)),"")</f>
        <v/>
      </c>
      <c r="J221" s="122"/>
      <c r="K221" s="382" t="str">
        <f>IF(J221="","",IF(VLOOKUP(J221,'G-3 Multipliers'!$L$3:$N$6,2,FALSE)=0,"Spatial Data Missing ⚠",VLOOKUP(J221,'G-3 Multipliers'!$L$3:$N$6,2,FALSE)))</f>
        <v/>
      </c>
      <c r="L221" s="386" t="str">
        <f>IF(J221="","",IF(VLOOKUP(J221,'G-3 Multipliers'!$L$3:$N$6,3,FALSE)=0,"Spatial Data Missing ⚠",VLOOKUP(J221,'G-3 Multipliers'!$L$3:$N$6,3,FALSE)))</f>
        <v/>
      </c>
      <c r="M221" s="425" t="str">
        <f>IF(D221="","",VLOOKUP(D221,'G-6 Hedgerow Data'!$B$1:$AH$15,33,FALSE))</f>
        <v/>
      </c>
      <c r="N221" s="376" t="str">
        <f t="shared" si="29"/>
        <v/>
      </c>
      <c r="O221" s="516"/>
      <c r="P221" s="368" t="str">
        <f>IF(O221="","",IF(VLOOKUP(O221,'G-3 Multipliers'!$S$3:$T$10,2,FALSE)=0,"Spatial Data Missing ⚠",VLOOKUP(O221,'G-3 Multipliers'!$S$3:$T$10,2,FALSE)))</f>
        <v/>
      </c>
      <c r="Q221" s="376" t="str">
        <f t="shared" si="30"/>
        <v/>
      </c>
      <c r="R221" s="32"/>
      <c r="S221" s="114"/>
      <c r="T221" s="125"/>
      <c r="U221" s="370" t="str">
        <f t="shared" si="31"/>
        <v/>
      </c>
      <c r="V221" s="370" t="str">
        <f t="shared" si="32"/>
        <v/>
      </c>
      <c r="W221" s="374" t="str">
        <f t="shared" si="33"/>
        <v/>
      </c>
      <c r="X221" s="378" t="str">
        <f t="shared" si="34"/>
        <v/>
      </c>
      <c r="Y221" s="119"/>
      <c r="Z221" s="120"/>
      <c r="AA221" s="120"/>
      <c r="AB221" s="120"/>
      <c r="AE221" s="30" t="str">
        <f>IFERROR(INDEX('G-6 Hedgerow Data'!$BJ$3:$BJ$15,MATCH(D221,'G-6 Hedgerow Data'!$B$3:$B$15,0)),"")</f>
        <v/>
      </c>
      <c r="AH221" s="124" t="str">
        <f t="shared" si="27"/>
        <v/>
      </c>
      <c r="AI221" s="124" t="str">
        <f t="shared" si="28"/>
        <v/>
      </c>
      <c r="AK221" s="124">
        <v>212</v>
      </c>
      <c r="AM221" s="124" t="str">
        <f t="array" ref="AM221">IFERROR(INDEX($AK$10:$AK$258, MATCH(0, IF(TRUE=$AH$10:$AH$258, COUNTIF($AM$9:$AM220, $AK$10:$AK$258), ""), 0)),"")</f>
        <v/>
      </c>
      <c r="AN221" s="124" t="str">
        <f t="array" ref="AN221">IFERROR(INDEX($AK$10:$AK$258, MATCH(0, IF(TRUE=$AI$10:$AI$258, COUNTIF($AN$9:$AN220, $AK$10:$AK$258), ""), 0)),"")</f>
        <v/>
      </c>
      <c r="AY221" s="370" t="str">
        <f t="shared" si="35"/>
        <v/>
      </c>
    </row>
    <row r="222" spans="2:51" ht="15">
      <c r="B222" s="110">
        <v>213</v>
      </c>
      <c r="C222" s="165"/>
      <c r="D222" s="165"/>
      <c r="E222" s="121"/>
      <c r="F222" s="362" t="str">
        <f>IF(D222="","",VLOOKUP(D222,'G-6 Hedgerow Data'!$B$2:$AG$15,2,FALSE))</f>
        <v/>
      </c>
      <c r="G222" s="363" t="str">
        <f>IF(D222="","",VLOOKUP(D222,'G-6 Hedgerow Data'!$B$2:$AG$15,3,FALSE))</f>
        <v/>
      </c>
      <c r="H222" s="114"/>
      <c r="I222" s="363" t="str">
        <f>IFERROR(IF(AND(F222="V.Low",OR(H222="Good",H222="Moderate")),"Error ▲",VLOOKUP(H222,'G-1 All Habitats'!$Z$2:$AA$9,2,FALSE)),"")</f>
        <v/>
      </c>
      <c r="J222" s="122"/>
      <c r="K222" s="382" t="str">
        <f>IF(J222="","",IF(VLOOKUP(J222,'G-3 Multipliers'!$L$3:$N$6,2,FALSE)=0,"Spatial Data Missing ⚠",VLOOKUP(J222,'G-3 Multipliers'!$L$3:$N$6,2,FALSE)))</f>
        <v/>
      </c>
      <c r="L222" s="386" t="str">
        <f>IF(J222="","",IF(VLOOKUP(J222,'G-3 Multipliers'!$L$3:$N$6,3,FALSE)=0,"Spatial Data Missing ⚠",VLOOKUP(J222,'G-3 Multipliers'!$L$3:$N$6,3,FALSE)))</f>
        <v/>
      </c>
      <c r="M222" s="425" t="str">
        <f>IF(D222="","",VLOOKUP(D222,'G-6 Hedgerow Data'!$B$1:$AH$15,33,FALSE))</f>
        <v/>
      </c>
      <c r="N222" s="376" t="str">
        <f t="shared" si="29"/>
        <v/>
      </c>
      <c r="O222" s="516"/>
      <c r="P222" s="368" t="str">
        <f>IF(O222="","",IF(VLOOKUP(O222,'G-3 Multipliers'!$S$3:$T$10,2,FALSE)=0,"Spatial Data Missing ⚠",VLOOKUP(O222,'G-3 Multipliers'!$S$3:$T$10,2,FALSE)))</f>
        <v/>
      </c>
      <c r="Q222" s="376" t="str">
        <f t="shared" si="30"/>
        <v/>
      </c>
      <c r="R222" s="32"/>
      <c r="S222" s="114"/>
      <c r="T222" s="125"/>
      <c r="U222" s="370" t="str">
        <f t="shared" si="31"/>
        <v/>
      </c>
      <c r="V222" s="370" t="str">
        <f t="shared" si="32"/>
        <v/>
      </c>
      <c r="W222" s="374" t="str">
        <f t="shared" si="33"/>
        <v/>
      </c>
      <c r="X222" s="378" t="str">
        <f t="shared" si="34"/>
        <v/>
      </c>
      <c r="Y222" s="119"/>
      <c r="Z222" s="120"/>
      <c r="AA222" s="120"/>
      <c r="AB222" s="120"/>
      <c r="AE222" s="30" t="str">
        <f>IFERROR(INDEX('G-6 Hedgerow Data'!$BJ$3:$BJ$15,MATCH(D222,'G-6 Hedgerow Data'!$B$3:$B$15,0)),"")</f>
        <v/>
      </c>
      <c r="AH222" s="124" t="str">
        <f t="shared" si="27"/>
        <v/>
      </c>
      <c r="AI222" s="124" t="str">
        <f t="shared" si="28"/>
        <v/>
      </c>
      <c r="AK222" s="124">
        <v>213</v>
      </c>
      <c r="AM222" s="124" t="str">
        <f t="array" ref="AM222">IFERROR(INDEX($AK$10:$AK$258, MATCH(0, IF(TRUE=$AH$10:$AH$258, COUNTIF($AM$9:$AM221, $AK$10:$AK$258), ""), 0)),"")</f>
        <v/>
      </c>
      <c r="AN222" s="124" t="str">
        <f t="array" ref="AN222">IFERROR(INDEX($AK$10:$AK$258, MATCH(0, IF(TRUE=$AI$10:$AI$258, COUNTIF($AN$9:$AN221, $AK$10:$AK$258), ""), 0)),"")</f>
        <v/>
      </c>
      <c r="AY222" s="370" t="str">
        <f t="shared" si="35"/>
        <v/>
      </c>
    </row>
    <row r="223" spans="2:51" ht="15">
      <c r="B223" s="110">
        <v>214</v>
      </c>
      <c r="C223" s="165"/>
      <c r="D223" s="165"/>
      <c r="E223" s="121"/>
      <c r="F223" s="362" t="str">
        <f>IF(D223="","",VLOOKUP(D223,'G-6 Hedgerow Data'!$B$2:$AG$15,2,FALSE))</f>
        <v/>
      </c>
      <c r="G223" s="363" t="str">
        <f>IF(D223="","",VLOOKUP(D223,'G-6 Hedgerow Data'!$B$2:$AG$15,3,FALSE))</f>
        <v/>
      </c>
      <c r="H223" s="114"/>
      <c r="I223" s="363" t="str">
        <f>IFERROR(IF(AND(F223="V.Low",OR(H223="Good",H223="Moderate")),"Error ▲",VLOOKUP(H223,'G-1 All Habitats'!$Z$2:$AA$9,2,FALSE)),"")</f>
        <v/>
      </c>
      <c r="J223" s="122"/>
      <c r="K223" s="382" t="str">
        <f>IF(J223="","",IF(VLOOKUP(J223,'G-3 Multipliers'!$L$3:$N$6,2,FALSE)=0,"Spatial Data Missing ⚠",VLOOKUP(J223,'G-3 Multipliers'!$L$3:$N$6,2,FALSE)))</f>
        <v/>
      </c>
      <c r="L223" s="386" t="str">
        <f>IF(J223="","",IF(VLOOKUP(J223,'G-3 Multipliers'!$L$3:$N$6,3,FALSE)=0,"Spatial Data Missing ⚠",VLOOKUP(J223,'G-3 Multipliers'!$L$3:$N$6,3,FALSE)))</f>
        <v/>
      </c>
      <c r="M223" s="425" t="str">
        <f>IF(D223="","",VLOOKUP(D223,'G-6 Hedgerow Data'!$B$1:$AH$15,33,FALSE))</f>
        <v/>
      </c>
      <c r="N223" s="376" t="str">
        <f t="shared" si="29"/>
        <v/>
      </c>
      <c r="O223" s="516"/>
      <c r="P223" s="368" t="str">
        <f>IF(O223="","",IF(VLOOKUP(O223,'G-3 Multipliers'!$S$3:$T$10,2,FALSE)=0,"Spatial Data Missing ⚠",VLOOKUP(O223,'G-3 Multipliers'!$S$3:$T$10,2,FALSE)))</f>
        <v/>
      </c>
      <c r="Q223" s="376" t="str">
        <f t="shared" si="30"/>
        <v/>
      </c>
      <c r="R223" s="32"/>
      <c r="S223" s="114"/>
      <c r="T223" s="125"/>
      <c r="U223" s="370" t="str">
        <f t="shared" si="31"/>
        <v/>
      </c>
      <c r="V223" s="370" t="str">
        <f t="shared" si="32"/>
        <v/>
      </c>
      <c r="W223" s="374" t="str">
        <f t="shared" si="33"/>
        <v/>
      </c>
      <c r="X223" s="378" t="str">
        <f t="shared" si="34"/>
        <v/>
      </c>
      <c r="Y223" s="119"/>
      <c r="Z223" s="120"/>
      <c r="AA223" s="120"/>
      <c r="AB223" s="120"/>
      <c r="AE223" s="30" t="str">
        <f>IFERROR(INDEX('G-6 Hedgerow Data'!$BJ$3:$BJ$15,MATCH(D223,'G-6 Hedgerow Data'!$B$3:$B$15,0)),"")</f>
        <v/>
      </c>
      <c r="AH223" s="124" t="str">
        <f t="shared" si="27"/>
        <v/>
      </c>
      <c r="AI223" s="124" t="str">
        <f t="shared" si="28"/>
        <v/>
      </c>
      <c r="AK223" s="124">
        <v>214</v>
      </c>
      <c r="AM223" s="124" t="str">
        <f t="array" ref="AM223">IFERROR(INDEX($AK$10:$AK$258, MATCH(0, IF(TRUE=$AH$10:$AH$258, COUNTIF($AM$9:$AM222, $AK$10:$AK$258), ""), 0)),"")</f>
        <v/>
      </c>
      <c r="AN223" s="124" t="str">
        <f t="array" ref="AN223">IFERROR(INDEX($AK$10:$AK$258, MATCH(0, IF(TRUE=$AI$10:$AI$258, COUNTIF($AN$9:$AN222, $AK$10:$AK$258), ""), 0)),"")</f>
        <v/>
      </c>
      <c r="AY223" s="370" t="str">
        <f t="shared" si="35"/>
        <v/>
      </c>
    </row>
    <row r="224" spans="2:51" ht="15">
      <c r="B224" s="110">
        <v>215</v>
      </c>
      <c r="C224" s="165"/>
      <c r="D224" s="165"/>
      <c r="E224" s="121"/>
      <c r="F224" s="362" t="str">
        <f>IF(D224="","",VLOOKUP(D224,'G-6 Hedgerow Data'!$B$2:$AG$15,2,FALSE))</f>
        <v/>
      </c>
      <c r="G224" s="363" t="str">
        <f>IF(D224="","",VLOOKUP(D224,'G-6 Hedgerow Data'!$B$2:$AG$15,3,FALSE))</f>
        <v/>
      </c>
      <c r="H224" s="114"/>
      <c r="I224" s="363" t="str">
        <f>IFERROR(IF(AND(F224="V.Low",OR(H224="Good",H224="Moderate")),"Error ▲",VLOOKUP(H224,'G-1 All Habitats'!$Z$2:$AA$9,2,FALSE)),"")</f>
        <v/>
      </c>
      <c r="J224" s="122"/>
      <c r="K224" s="382" t="str">
        <f>IF(J224="","",IF(VLOOKUP(J224,'G-3 Multipliers'!$L$3:$N$6,2,FALSE)=0,"Spatial Data Missing ⚠",VLOOKUP(J224,'G-3 Multipliers'!$L$3:$N$6,2,FALSE)))</f>
        <v/>
      </c>
      <c r="L224" s="386" t="str">
        <f>IF(J224="","",IF(VLOOKUP(J224,'G-3 Multipliers'!$L$3:$N$6,3,FALSE)=0,"Spatial Data Missing ⚠",VLOOKUP(J224,'G-3 Multipliers'!$L$3:$N$6,3,FALSE)))</f>
        <v/>
      </c>
      <c r="M224" s="425" t="str">
        <f>IF(D224="","",VLOOKUP(D224,'G-6 Hedgerow Data'!$B$1:$AH$15,33,FALSE))</f>
        <v/>
      </c>
      <c r="N224" s="376" t="str">
        <f t="shared" si="29"/>
        <v/>
      </c>
      <c r="O224" s="516"/>
      <c r="P224" s="368" t="str">
        <f>IF(O224="","",IF(VLOOKUP(O224,'G-3 Multipliers'!$S$3:$T$10,2,FALSE)=0,"Spatial Data Missing ⚠",VLOOKUP(O224,'G-3 Multipliers'!$S$3:$T$10,2,FALSE)))</f>
        <v/>
      </c>
      <c r="Q224" s="376" t="str">
        <f t="shared" si="30"/>
        <v/>
      </c>
      <c r="R224" s="32"/>
      <c r="S224" s="114"/>
      <c r="T224" s="125"/>
      <c r="U224" s="370" t="str">
        <f t="shared" si="31"/>
        <v/>
      </c>
      <c r="V224" s="370" t="str">
        <f t="shared" si="32"/>
        <v/>
      </c>
      <c r="W224" s="374" t="str">
        <f t="shared" si="33"/>
        <v/>
      </c>
      <c r="X224" s="378" t="str">
        <f t="shared" si="34"/>
        <v/>
      </c>
      <c r="Y224" s="119"/>
      <c r="Z224" s="120"/>
      <c r="AA224" s="120"/>
      <c r="AB224" s="120"/>
      <c r="AE224" s="30" t="str">
        <f>IFERROR(INDEX('G-6 Hedgerow Data'!$BJ$3:$BJ$15,MATCH(D224,'G-6 Hedgerow Data'!$B$3:$B$15,0)),"")</f>
        <v/>
      </c>
      <c r="AH224" s="124" t="str">
        <f t="shared" si="27"/>
        <v/>
      </c>
      <c r="AI224" s="124" t="str">
        <f t="shared" si="28"/>
        <v/>
      </c>
      <c r="AK224" s="124">
        <v>215</v>
      </c>
      <c r="AM224" s="124" t="str">
        <f t="array" ref="AM224">IFERROR(INDEX($AK$10:$AK$258, MATCH(0, IF(TRUE=$AH$10:$AH$258, COUNTIF($AM$9:$AM223, $AK$10:$AK$258), ""), 0)),"")</f>
        <v/>
      </c>
      <c r="AN224" s="124" t="str">
        <f t="array" ref="AN224">IFERROR(INDEX($AK$10:$AK$258, MATCH(0, IF(TRUE=$AI$10:$AI$258, COUNTIF($AN$9:$AN223, $AK$10:$AK$258), ""), 0)),"")</f>
        <v/>
      </c>
      <c r="AY224" s="370" t="str">
        <f t="shared" si="35"/>
        <v/>
      </c>
    </row>
    <row r="225" spans="2:51" ht="15">
      <c r="B225" s="110">
        <v>216</v>
      </c>
      <c r="C225" s="165"/>
      <c r="D225" s="165"/>
      <c r="E225" s="121"/>
      <c r="F225" s="362" t="str">
        <f>IF(D225="","",VLOOKUP(D225,'G-6 Hedgerow Data'!$B$2:$AG$15,2,FALSE))</f>
        <v/>
      </c>
      <c r="G225" s="363" t="str">
        <f>IF(D225="","",VLOOKUP(D225,'G-6 Hedgerow Data'!$B$2:$AG$15,3,FALSE))</f>
        <v/>
      </c>
      <c r="H225" s="114"/>
      <c r="I225" s="363" t="str">
        <f>IFERROR(IF(AND(F225="V.Low",OR(H225="Good",H225="Moderate")),"Error ▲",VLOOKUP(H225,'G-1 All Habitats'!$Z$2:$AA$9,2,FALSE)),"")</f>
        <v/>
      </c>
      <c r="J225" s="122"/>
      <c r="K225" s="382" t="str">
        <f>IF(J225="","",IF(VLOOKUP(J225,'G-3 Multipliers'!$L$3:$N$6,2,FALSE)=0,"Spatial Data Missing ⚠",VLOOKUP(J225,'G-3 Multipliers'!$L$3:$N$6,2,FALSE)))</f>
        <v/>
      </c>
      <c r="L225" s="386" t="str">
        <f>IF(J225="","",IF(VLOOKUP(J225,'G-3 Multipliers'!$L$3:$N$6,3,FALSE)=0,"Spatial Data Missing ⚠",VLOOKUP(J225,'G-3 Multipliers'!$L$3:$N$6,3,FALSE)))</f>
        <v/>
      </c>
      <c r="M225" s="425" t="str">
        <f>IF(D225="","",VLOOKUP(D225,'G-6 Hedgerow Data'!$B$1:$AH$15,33,FALSE))</f>
        <v/>
      </c>
      <c r="N225" s="376" t="str">
        <f t="shared" si="29"/>
        <v/>
      </c>
      <c r="O225" s="516"/>
      <c r="P225" s="368" t="str">
        <f>IF(O225="","",IF(VLOOKUP(O225,'G-3 Multipliers'!$S$3:$T$10,2,FALSE)=0,"Spatial Data Missing ⚠",VLOOKUP(O225,'G-3 Multipliers'!$S$3:$T$10,2,FALSE)))</f>
        <v/>
      </c>
      <c r="Q225" s="376" t="str">
        <f t="shared" si="30"/>
        <v/>
      </c>
      <c r="R225" s="32"/>
      <c r="S225" s="114"/>
      <c r="T225" s="125"/>
      <c r="U225" s="370" t="str">
        <f t="shared" si="31"/>
        <v/>
      </c>
      <c r="V225" s="370" t="str">
        <f t="shared" si="32"/>
        <v/>
      </c>
      <c r="W225" s="374" t="str">
        <f t="shared" si="33"/>
        <v/>
      </c>
      <c r="X225" s="378" t="str">
        <f t="shared" si="34"/>
        <v/>
      </c>
      <c r="Y225" s="119"/>
      <c r="Z225" s="120"/>
      <c r="AA225" s="120"/>
      <c r="AB225" s="120"/>
      <c r="AE225" s="30" t="str">
        <f>IFERROR(INDEX('G-6 Hedgerow Data'!$BJ$3:$BJ$15,MATCH(D225,'G-6 Hedgerow Data'!$B$3:$B$15,0)),"")</f>
        <v/>
      </c>
      <c r="AH225" s="124" t="str">
        <f t="shared" si="27"/>
        <v/>
      </c>
      <c r="AI225" s="124" t="str">
        <f t="shared" si="28"/>
        <v/>
      </c>
      <c r="AK225" s="124">
        <v>216</v>
      </c>
      <c r="AM225" s="124" t="str">
        <f t="array" ref="AM225">IFERROR(INDEX($AK$10:$AK$258, MATCH(0, IF(TRUE=$AH$10:$AH$258, COUNTIF($AM$9:$AM224, $AK$10:$AK$258), ""), 0)),"")</f>
        <v/>
      </c>
      <c r="AN225" s="124" t="str">
        <f t="array" ref="AN225">IFERROR(INDEX($AK$10:$AK$258, MATCH(0, IF(TRUE=$AI$10:$AI$258, COUNTIF($AN$9:$AN224, $AK$10:$AK$258), ""), 0)),"")</f>
        <v/>
      </c>
      <c r="AY225" s="370" t="str">
        <f t="shared" si="35"/>
        <v/>
      </c>
    </row>
    <row r="226" spans="2:51" ht="15">
      <c r="B226" s="110">
        <v>217</v>
      </c>
      <c r="C226" s="165"/>
      <c r="D226" s="165"/>
      <c r="E226" s="121"/>
      <c r="F226" s="362" t="str">
        <f>IF(D226="","",VLOOKUP(D226,'G-6 Hedgerow Data'!$B$2:$AG$15,2,FALSE))</f>
        <v/>
      </c>
      <c r="G226" s="363" t="str">
        <f>IF(D226="","",VLOOKUP(D226,'G-6 Hedgerow Data'!$B$2:$AG$15,3,FALSE))</f>
        <v/>
      </c>
      <c r="H226" s="114"/>
      <c r="I226" s="363" t="str">
        <f>IFERROR(IF(AND(F226="V.Low",OR(H226="Good",H226="Moderate")),"Error ▲",VLOOKUP(H226,'G-1 All Habitats'!$Z$2:$AA$9,2,FALSE)),"")</f>
        <v/>
      </c>
      <c r="J226" s="122"/>
      <c r="K226" s="382" t="str">
        <f>IF(J226="","",IF(VLOOKUP(J226,'G-3 Multipliers'!$L$3:$N$6,2,FALSE)=0,"Spatial Data Missing ⚠",VLOOKUP(J226,'G-3 Multipliers'!$L$3:$N$6,2,FALSE)))</f>
        <v/>
      </c>
      <c r="L226" s="386" t="str">
        <f>IF(J226="","",IF(VLOOKUP(J226,'G-3 Multipliers'!$L$3:$N$6,3,FALSE)=0,"Spatial Data Missing ⚠",VLOOKUP(J226,'G-3 Multipliers'!$L$3:$N$6,3,FALSE)))</f>
        <v/>
      </c>
      <c r="M226" s="425" t="str">
        <f>IF(D226="","",VLOOKUP(D226,'G-6 Hedgerow Data'!$B$1:$AH$15,33,FALSE))</f>
        <v/>
      </c>
      <c r="N226" s="376" t="str">
        <f t="shared" si="29"/>
        <v/>
      </c>
      <c r="O226" s="516"/>
      <c r="P226" s="368" t="str">
        <f>IF(O226="","",IF(VLOOKUP(O226,'G-3 Multipliers'!$S$3:$T$10,2,FALSE)=0,"Spatial Data Missing ⚠",VLOOKUP(O226,'G-3 Multipliers'!$S$3:$T$10,2,FALSE)))</f>
        <v/>
      </c>
      <c r="Q226" s="376" t="str">
        <f t="shared" si="30"/>
        <v/>
      </c>
      <c r="R226" s="32"/>
      <c r="S226" s="114"/>
      <c r="T226" s="125"/>
      <c r="U226" s="370" t="str">
        <f t="shared" si="31"/>
        <v/>
      </c>
      <c r="V226" s="370" t="str">
        <f t="shared" si="32"/>
        <v/>
      </c>
      <c r="W226" s="374" t="str">
        <f t="shared" si="33"/>
        <v/>
      </c>
      <c r="X226" s="378" t="str">
        <f t="shared" si="34"/>
        <v/>
      </c>
      <c r="Y226" s="119"/>
      <c r="Z226" s="120"/>
      <c r="AA226" s="120"/>
      <c r="AB226" s="120"/>
      <c r="AE226" s="30" t="str">
        <f>IFERROR(INDEX('G-6 Hedgerow Data'!$BJ$3:$BJ$15,MATCH(D226,'G-6 Hedgerow Data'!$B$3:$B$15,0)),"")</f>
        <v/>
      </c>
      <c r="AH226" s="124" t="str">
        <f t="shared" si="27"/>
        <v/>
      </c>
      <c r="AI226" s="124" t="str">
        <f t="shared" si="28"/>
        <v/>
      </c>
      <c r="AK226" s="124">
        <v>217</v>
      </c>
      <c r="AM226" s="124" t="str">
        <f t="array" ref="AM226">IFERROR(INDEX($AK$10:$AK$258, MATCH(0, IF(TRUE=$AH$10:$AH$258, COUNTIF($AM$9:$AM225, $AK$10:$AK$258), ""), 0)),"")</f>
        <v/>
      </c>
      <c r="AN226" s="124" t="str">
        <f t="array" ref="AN226">IFERROR(INDEX($AK$10:$AK$258, MATCH(0, IF(TRUE=$AI$10:$AI$258, COUNTIF($AN$9:$AN225, $AK$10:$AK$258), ""), 0)),"")</f>
        <v/>
      </c>
      <c r="AY226" s="370" t="str">
        <f t="shared" si="35"/>
        <v/>
      </c>
    </row>
    <row r="227" spans="2:51" ht="15">
      <c r="B227" s="110">
        <v>218</v>
      </c>
      <c r="C227" s="165"/>
      <c r="D227" s="165"/>
      <c r="E227" s="121"/>
      <c r="F227" s="362" t="str">
        <f>IF(D227="","",VLOOKUP(D227,'G-6 Hedgerow Data'!$B$2:$AG$15,2,FALSE))</f>
        <v/>
      </c>
      <c r="G227" s="363" t="str">
        <f>IF(D227="","",VLOOKUP(D227,'G-6 Hedgerow Data'!$B$2:$AG$15,3,FALSE))</f>
        <v/>
      </c>
      <c r="H227" s="114"/>
      <c r="I227" s="363" t="str">
        <f>IFERROR(IF(AND(F227="V.Low",OR(H227="Good",H227="Moderate")),"Error ▲",VLOOKUP(H227,'G-1 All Habitats'!$Z$2:$AA$9,2,FALSE)),"")</f>
        <v/>
      </c>
      <c r="J227" s="122"/>
      <c r="K227" s="382" t="str">
        <f>IF(J227="","",IF(VLOOKUP(J227,'G-3 Multipliers'!$L$3:$N$6,2,FALSE)=0,"Spatial Data Missing ⚠",VLOOKUP(J227,'G-3 Multipliers'!$L$3:$N$6,2,FALSE)))</f>
        <v/>
      </c>
      <c r="L227" s="386" t="str">
        <f>IF(J227="","",IF(VLOOKUP(J227,'G-3 Multipliers'!$L$3:$N$6,3,FALSE)=0,"Spatial Data Missing ⚠",VLOOKUP(J227,'G-3 Multipliers'!$L$3:$N$6,3,FALSE)))</f>
        <v/>
      </c>
      <c r="M227" s="425" t="str">
        <f>IF(D227="","",VLOOKUP(D227,'G-6 Hedgerow Data'!$B$1:$AH$15,33,FALSE))</f>
        <v/>
      </c>
      <c r="N227" s="376" t="str">
        <f t="shared" si="29"/>
        <v/>
      </c>
      <c r="O227" s="516"/>
      <c r="P227" s="368" t="str">
        <f>IF(O227="","",IF(VLOOKUP(O227,'G-3 Multipliers'!$S$3:$T$10,2,FALSE)=0,"Spatial Data Missing ⚠",VLOOKUP(O227,'G-3 Multipliers'!$S$3:$T$10,2,FALSE)))</f>
        <v/>
      </c>
      <c r="Q227" s="376" t="str">
        <f t="shared" si="30"/>
        <v/>
      </c>
      <c r="R227" s="32"/>
      <c r="S227" s="114"/>
      <c r="T227" s="125"/>
      <c r="U227" s="370" t="str">
        <f t="shared" si="31"/>
        <v/>
      </c>
      <c r="V227" s="370" t="str">
        <f t="shared" si="32"/>
        <v/>
      </c>
      <c r="W227" s="374" t="str">
        <f t="shared" si="33"/>
        <v/>
      </c>
      <c r="X227" s="378" t="str">
        <f t="shared" si="34"/>
        <v/>
      </c>
      <c r="Y227" s="119"/>
      <c r="Z227" s="120"/>
      <c r="AA227" s="120"/>
      <c r="AB227" s="120"/>
      <c r="AE227" s="30" t="str">
        <f>IFERROR(INDEX('G-6 Hedgerow Data'!$BJ$3:$BJ$15,MATCH(D227,'G-6 Hedgerow Data'!$B$3:$B$15,0)),"")</f>
        <v/>
      </c>
      <c r="AH227" s="124" t="str">
        <f t="shared" si="27"/>
        <v/>
      </c>
      <c r="AI227" s="124" t="str">
        <f t="shared" si="28"/>
        <v/>
      </c>
      <c r="AK227" s="124">
        <v>218</v>
      </c>
      <c r="AM227" s="124" t="str">
        <f t="array" ref="AM227">IFERROR(INDEX($AK$10:$AK$258, MATCH(0, IF(TRUE=$AH$10:$AH$258, COUNTIF($AM$9:$AM226, $AK$10:$AK$258), ""), 0)),"")</f>
        <v/>
      </c>
      <c r="AN227" s="124" t="str">
        <f t="array" ref="AN227">IFERROR(INDEX($AK$10:$AK$258, MATCH(0, IF(TRUE=$AI$10:$AI$258, COUNTIF($AN$9:$AN226, $AK$10:$AK$258), ""), 0)),"")</f>
        <v/>
      </c>
      <c r="AY227" s="370" t="str">
        <f t="shared" si="35"/>
        <v/>
      </c>
    </row>
    <row r="228" spans="2:51" ht="15">
      <c r="B228" s="110">
        <v>219</v>
      </c>
      <c r="C228" s="165"/>
      <c r="D228" s="165"/>
      <c r="E228" s="121"/>
      <c r="F228" s="362" t="str">
        <f>IF(D228="","",VLOOKUP(D228,'G-6 Hedgerow Data'!$B$2:$AG$15,2,FALSE))</f>
        <v/>
      </c>
      <c r="G228" s="363" t="str">
        <f>IF(D228="","",VLOOKUP(D228,'G-6 Hedgerow Data'!$B$2:$AG$15,3,FALSE))</f>
        <v/>
      </c>
      <c r="H228" s="114"/>
      <c r="I228" s="363" t="str">
        <f>IFERROR(IF(AND(F228="V.Low",OR(H228="Good",H228="Moderate")),"Error ▲",VLOOKUP(H228,'G-1 All Habitats'!$Z$2:$AA$9,2,FALSE)),"")</f>
        <v/>
      </c>
      <c r="J228" s="122"/>
      <c r="K228" s="382" t="str">
        <f>IF(J228="","",IF(VLOOKUP(J228,'G-3 Multipliers'!$L$3:$N$6,2,FALSE)=0,"Spatial Data Missing ⚠",VLOOKUP(J228,'G-3 Multipliers'!$L$3:$N$6,2,FALSE)))</f>
        <v/>
      </c>
      <c r="L228" s="386" t="str">
        <f>IF(J228="","",IF(VLOOKUP(J228,'G-3 Multipliers'!$L$3:$N$6,3,FALSE)=0,"Spatial Data Missing ⚠",VLOOKUP(J228,'G-3 Multipliers'!$L$3:$N$6,3,FALSE)))</f>
        <v/>
      </c>
      <c r="M228" s="425" t="str">
        <f>IF(D228="","",VLOOKUP(D228,'G-6 Hedgerow Data'!$B$1:$AH$15,33,FALSE))</f>
        <v/>
      </c>
      <c r="N228" s="376" t="str">
        <f t="shared" si="29"/>
        <v/>
      </c>
      <c r="O228" s="516"/>
      <c r="P228" s="368" t="str">
        <f>IF(O228="","",IF(VLOOKUP(O228,'G-3 Multipliers'!$S$3:$T$10,2,FALSE)=0,"Spatial Data Missing ⚠",VLOOKUP(O228,'G-3 Multipliers'!$S$3:$T$10,2,FALSE)))</f>
        <v/>
      </c>
      <c r="Q228" s="376" t="str">
        <f t="shared" si="30"/>
        <v/>
      </c>
      <c r="R228" s="32"/>
      <c r="S228" s="114"/>
      <c r="T228" s="125"/>
      <c r="U228" s="370" t="str">
        <f t="shared" si="31"/>
        <v/>
      </c>
      <c r="V228" s="370" t="str">
        <f t="shared" si="32"/>
        <v/>
      </c>
      <c r="W228" s="374" t="str">
        <f t="shared" si="33"/>
        <v/>
      </c>
      <c r="X228" s="378" t="str">
        <f t="shared" si="34"/>
        <v/>
      </c>
      <c r="Y228" s="119"/>
      <c r="Z228" s="120"/>
      <c r="AA228" s="120"/>
      <c r="AB228" s="120"/>
      <c r="AE228" s="30" t="str">
        <f>IFERROR(INDEX('G-6 Hedgerow Data'!$BJ$3:$BJ$15,MATCH(D228,'G-6 Hedgerow Data'!$B$3:$B$15,0)),"")</f>
        <v/>
      </c>
      <c r="AH228" s="124" t="str">
        <f t="shared" si="27"/>
        <v/>
      </c>
      <c r="AI228" s="124" t="str">
        <f t="shared" si="28"/>
        <v/>
      </c>
      <c r="AK228" s="124">
        <v>219</v>
      </c>
      <c r="AM228" s="124" t="str">
        <f t="array" ref="AM228">IFERROR(INDEX($AK$10:$AK$258, MATCH(0, IF(TRUE=$AH$10:$AH$258, COUNTIF($AM$9:$AM227, $AK$10:$AK$258), ""), 0)),"")</f>
        <v/>
      </c>
      <c r="AN228" s="124" t="str">
        <f t="array" ref="AN228">IFERROR(INDEX($AK$10:$AK$258, MATCH(0, IF(TRUE=$AI$10:$AI$258, COUNTIF($AN$9:$AN227, $AK$10:$AK$258), ""), 0)),"")</f>
        <v/>
      </c>
      <c r="AY228" s="370" t="str">
        <f t="shared" si="35"/>
        <v/>
      </c>
    </row>
    <row r="229" spans="2:51" ht="15">
      <c r="B229" s="110">
        <v>220</v>
      </c>
      <c r="C229" s="165"/>
      <c r="D229" s="165"/>
      <c r="E229" s="121"/>
      <c r="F229" s="362" t="str">
        <f>IF(D229="","",VLOOKUP(D229,'G-6 Hedgerow Data'!$B$2:$AG$15,2,FALSE))</f>
        <v/>
      </c>
      <c r="G229" s="363" t="str">
        <f>IF(D229="","",VLOOKUP(D229,'G-6 Hedgerow Data'!$B$2:$AG$15,3,FALSE))</f>
        <v/>
      </c>
      <c r="H229" s="114"/>
      <c r="I229" s="363" t="str">
        <f>IFERROR(IF(AND(F229="V.Low",OR(H229="Good",H229="Moderate")),"Error ▲",VLOOKUP(H229,'G-1 All Habitats'!$Z$2:$AA$9,2,FALSE)),"")</f>
        <v/>
      </c>
      <c r="J229" s="122"/>
      <c r="K229" s="382" t="str">
        <f>IF(J229="","",IF(VLOOKUP(J229,'G-3 Multipliers'!$L$3:$N$6,2,FALSE)=0,"Spatial Data Missing ⚠",VLOOKUP(J229,'G-3 Multipliers'!$L$3:$N$6,2,FALSE)))</f>
        <v/>
      </c>
      <c r="L229" s="386" t="str">
        <f>IF(J229="","",IF(VLOOKUP(J229,'G-3 Multipliers'!$L$3:$N$6,3,FALSE)=0,"Spatial Data Missing ⚠",VLOOKUP(J229,'G-3 Multipliers'!$L$3:$N$6,3,FALSE)))</f>
        <v/>
      </c>
      <c r="M229" s="425" t="str">
        <f>IF(D229="","",VLOOKUP(D229,'G-6 Hedgerow Data'!$B$1:$AH$15,33,FALSE))</f>
        <v/>
      </c>
      <c r="N229" s="376" t="str">
        <f t="shared" si="29"/>
        <v/>
      </c>
      <c r="O229" s="516"/>
      <c r="P229" s="368" t="str">
        <f>IF(O229="","",IF(VLOOKUP(O229,'G-3 Multipliers'!$S$3:$T$10,2,FALSE)=0,"Spatial Data Missing ⚠",VLOOKUP(O229,'G-3 Multipliers'!$S$3:$T$10,2,FALSE)))</f>
        <v/>
      </c>
      <c r="Q229" s="376" t="str">
        <f t="shared" si="30"/>
        <v/>
      </c>
      <c r="R229" s="32"/>
      <c r="S229" s="114"/>
      <c r="T229" s="125"/>
      <c r="U229" s="370" t="str">
        <f t="shared" si="31"/>
        <v/>
      </c>
      <c r="V229" s="370" t="str">
        <f t="shared" si="32"/>
        <v/>
      </c>
      <c r="W229" s="374" t="str">
        <f t="shared" si="33"/>
        <v/>
      </c>
      <c r="X229" s="378" t="str">
        <f t="shared" si="34"/>
        <v/>
      </c>
      <c r="Y229" s="119"/>
      <c r="Z229" s="120"/>
      <c r="AA229" s="120"/>
      <c r="AB229" s="120"/>
      <c r="AE229" s="30" t="str">
        <f>IFERROR(INDEX('G-6 Hedgerow Data'!$BJ$3:$BJ$15,MATCH(D229,'G-6 Hedgerow Data'!$B$3:$B$15,0)),"")</f>
        <v/>
      </c>
      <c r="AH229" s="124" t="str">
        <f t="shared" si="27"/>
        <v/>
      </c>
      <c r="AI229" s="124" t="str">
        <f t="shared" si="28"/>
        <v/>
      </c>
      <c r="AK229" s="124">
        <v>220</v>
      </c>
      <c r="AM229" s="124" t="str">
        <f t="array" ref="AM229">IFERROR(INDEX($AK$10:$AK$258, MATCH(0, IF(TRUE=$AH$10:$AH$258, COUNTIF($AM$9:$AM228, $AK$10:$AK$258), ""), 0)),"")</f>
        <v/>
      </c>
      <c r="AN229" s="124" t="str">
        <f t="array" ref="AN229">IFERROR(INDEX($AK$10:$AK$258, MATCH(0, IF(TRUE=$AI$10:$AI$258, COUNTIF($AN$9:$AN228, $AK$10:$AK$258), ""), 0)),"")</f>
        <v/>
      </c>
      <c r="AY229" s="370" t="str">
        <f t="shared" si="35"/>
        <v/>
      </c>
    </row>
    <row r="230" spans="2:51" ht="15">
      <c r="B230" s="110">
        <v>221</v>
      </c>
      <c r="C230" s="165"/>
      <c r="D230" s="165"/>
      <c r="E230" s="121"/>
      <c r="F230" s="362" t="str">
        <f>IF(D230="","",VLOOKUP(D230,'G-6 Hedgerow Data'!$B$2:$AG$15,2,FALSE))</f>
        <v/>
      </c>
      <c r="G230" s="363" t="str">
        <f>IF(D230="","",VLOOKUP(D230,'G-6 Hedgerow Data'!$B$2:$AG$15,3,FALSE))</f>
        <v/>
      </c>
      <c r="H230" s="114"/>
      <c r="I230" s="363" t="str">
        <f>IFERROR(IF(AND(F230="V.Low",OR(H230="Good",H230="Moderate")),"Error ▲",VLOOKUP(H230,'G-1 All Habitats'!$Z$2:$AA$9,2,FALSE)),"")</f>
        <v/>
      </c>
      <c r="J230" s="122"/>
      <c r="K230" s="382" t="str">
        <f>IF(J230="","",IF(VLOOKUP(J230,'G-3 Multipliers'!$L$3:$N$6,2,FALSE)=0,"Spatial Data Missing ⚠",VLOOKUP(J230,'G-3 Multipliers'!$L$3:$N$6,2,FALSE)))</f>
        <v/>
      </c>
      <c r="L230" s="386" t="str">
        <f>IF(J230="","",IF(VLOOKUP(J230,'G-3 Multipliers'!$L$3:$N$6,3,FALSE)=0,"Spatial Data Missing ⚠",VLOOKUP(J230,'G-3 Multipliers'!$L$3:$N$6,3,FALSE)))</f>
        <v/>
      </c>
      <c r="M230" s="425" t="str">
        <f>IF(D230="","",VLOOKUP(D230,'G-6 Hedgerow Data'!$B$1:$AH$15,33,FALSE))</f>
        <v/>
      </c>
      <c r="N230" s="376" t="str">
        <f t="shared" si="29"/>
        <v/>
      </c>
      <c r="O230" s="516"/>
      <c r="P230" s="368" t="str">
        <f>IF(O230="","",IF(VLOOKUP(O230,'G-3 Multipliers'!$S$3:$T$10,2,FALSE)=0,"Spatial Data Missing ⚠",VLOOKUP(O230,'G-3 Multipliers'!$S$3:$T$10,2,FALSE)))</f>
        <v/>
      </c>
      <c r="Q230" s="376" t="str">
        <f t="shared" si="30"/>
        <v/>
      </c>
      <c r="R230" s="32"/>
      <c r="S230" s="114"/>
      <c r="T230" s="125"/>
      <c r="U230" s="370" t="str">
        <f t="shared" si="31"/>
        <v/>
      </c>
      <c r="V230" s="370" t="str">
        <f t="shared" si="32"/>
        <v/>
      </c>
      <c r="W230" s="374" t="str">
        <f t="shared" si="33"/>
        <v/>
      </c>
      <c r="X230" s="378" t="str">
        <f t="shared" si="34"/>
        <v/>
      </c>
      <c r="Y230" s="119"/>
      <c r="Z230" s="120"/>
      <c r="AA230" s="120"/>
      <c r="AB230" s="120"/>
      <c r="AE230" s="30" t="str">
        <f>IFERROR(INDEX('G-6 Hedgerow Data'!$BJ$3:$BJ$15,MATCH(D230,'G-6 Hedgerow Data'!$B$3:$B$15,0)),"")</f>
        <v/>
      </c>
      <c r="AH230" s="124" t="str">
        <f t="shared" si="27"/>
        <v/>
      </c>
      <c r="AI230" s="124" t="str">
        <f t="shared" si="28"/>
        <v/>
      </c>
      <c r="AK230" s="124">
        <v>221</v>
      </c>
      <c r="AM230" s="124" t="str">
        <f t="array" ref="AM230">IFERROR(INDEX($AK$10:$AK$258, MATCH(0, IF(TRUE=$AH$10:$AH$258, COUNTIF($AM$9:$AM229, $AK$10:$AK$258), ""), 0)),"")</f>
        <v/>
      </c>
      <c r="AN230" s="124" t="str">
        <f t="array" ref="AN230">IFERROR(INDEX($AK$10:$AK$258, MATCH(0, IF(TRUE=$AI$10:$AI$258, COUNTIF($AN$9:$AN229, $AK$10:$AK$258), ""), 0)),"")</f>
        <v/>
      </c>
      <c r="AY230" s="370" t="str">
        <f t="shared" si="35"/>
        <v/>
      </c>
    </row>
    <row r="231" spans="2:51" ht="15">
      <c r="B231" s="110">
        <v>222</v>
      </c>
      <c r="C231" s="165"/>
      <c r="D231" s="165"/>
      <c r="E231" s="121"/>
      <c r="F231" s="362" t="str">
        <f>IF(D231="","",VLOOKUP(D231,'G-6 Hedgerow Data'!$B$2:$AG$15,2,FALSE))</f>
        <v/>
      </c>
      <c r="G231" s="363" t="str">
        <f>IF(D231="","",VLOOKUP(D231,'G-6 Hedgerow Data'!$B$2:$AG$15,3,FALSE))</f>
        <v/>
      </c>
      <c r="H231" s="114"/>
      <c r="I231" s="363" t="str">
        <f>IFERROR(IF(AND(F231="V.Low",OR(H231="Good",H231="Moderate")),"Error ▲",VLOOKUP(H231,'G-1 All Habitats'!$Z$2:$AA$9,2,FALSE)),"")</f>
        <v/>
      </c>
      <c r="J231" s="122"/>
      <c r="K231" s="382" t="str">
        <f>IF(J231="","",IF(VLOOKUP(J231,'G-3 Multipliers'!$L$3:$N$6,2,FALSE)=0,"Spatial Data Missing ⚠",VLOOKUP(J231,'G-3 Multipliers'!$L$3:$N$6,2,FALSE)))</f>
        <v/>
      </c>
      <c r="L231" s="386" t="str">
        <f>IF(J231="","",IF(VLOOKUP(J231,'G-3 Multipliers'!$L$3:$N$6,3,FALSE)=0,"Spatial Data Missing ⚠",VLOOKUP(J231,'G-3 Multipliers'!$L$3:$N$6,3,FALSE)))</f>
        <v/>
      </c>
      <c r="M231" s="425" t="str">
        <f>IF(D231="","",VLOOKUP(D231,'G-6 Hedgerow Data'!$B$1:$AH$15,33,FALSE))</f>
        <v/>
      </c>
      <c r="N231" s="376" t="str">
        <f t="shared" si="29"/>
        <v/>
      </c>
      <c r="O231" s="516"/>
      <c r="P231" s="368" t="str">
        <f>IF(O231="","",IF(VLOOKUP(O231,'G-3 Multipliers'!$S$3:$T$10,2,FALSE)=0,"Spatial Data Missing ⚠",VLOOKUP(O231,'G-3 Multipliers'!$S$3:$T$10,2,FALSE)))</f>
        <v/>
      </c>
      <c r="Q231" s="376" t="str">
        <f t="shared" si="30"/>
        <v/>
      </c>
      <c r="R231" s="32"/>
      <c r="S231" s="114"/>
      <c r="T231" s="125"/>
      <c r="U231" s="370" t="str">
        <f t="shared" si="31"/>
        <v/>
      </c>
      <c r="V231" s="370" t="str">
        <f t="shared" si="32"/>
        <v/>
      </c>
      <c r="W231" s="374" t="str">
        <f t="shared" si="33"/>
        <v/>
      </c>
      <c r="X231" s="378" t="str">
        <f t="shared" si="34"/>
        <v/>
      </c>
      <c r="Y231" s="119"/>
      <c r="Z231" s="120"/>
      <c r="AA231" s="120"/>
      <c r="AB231" s="120"/>
      <c r="AE231" s="30" t="str">
        <f>IFERROR(INDEX('G-6 Hedgerow Data'!$BJ$3:$BJ$15,MATCH(D231,'G-6 Hedgerow Data'!$B$3:$B$15,0)),"")</f>
        <v/>
      </c>
      <c r="AH231" s="124" t="str">
        <f t="shared" si="27"/>
        <v/>
      </c>
      <c r="AI231" s="124" t="str">
        <f t="shared" si="28"/>
        <v/>
      </c>
      <c r="AK231" s="124">
        <v>222</v>
      </c>
      <c r="AM231" s="124" t="str">
        <f t="array" ref="AM231">IFERROR(INDEX($AK$10:$AK$258, MATCH(0, IF(TRUE=$AH$10:$AH$258, COUNTIF($AM$9:$AM230, $AK$10:$AK$258), ""), 0)),"")</f>
        <v/>
      </c>
      <c r="AN231" s="124" t="str">
        <f t="array" ref="AN231">IFERROR(INDEX($AK$10:$AK$258, MATCH(0, IF(TRUE=$AI$10:$AI$258, COUNTIF($AN$9:$AN230, $AK$10:$AK$258), ""), 0)),"")</f>
        <v/>
      </c>
      <c r="AY231" s="370" t="str">
        <f t="shared" si="35"/>
        <v/>
      </c>
    </row>
    <row r="232" spans="2:51" ht="15">
      <c r="B232" s="110">
        <v>223</v>
      </c>
      <c r="C232" s="165"/>
      <c r="D232" s="165"/>
      <c r="E232" s="121"/>
      <c r="F232" s="362" t="str">
        <f>IF(D232="","",VLOOKUP(D232,'G-6 Hedgerow Data'!$B$2:$AG$15,2,FALSE))</f>
        <v/>
      </c>
      <c r="G232" s="363" t="str">
        <f>IF(D232="","",VLOOKUP(D232,'G-6 Hedgerow Data'!$B$2:$AG$15,3,FALSE))</f>
        <v/>
      </c>
      <c r="H232" s="114"/>
      <c r="I232" s="363" t="str">
        <f>IFERROR(IF(AND(F232="V.Low",OR(H232="Good",H232="Moderate")),"Error ▲",VLOOKUP(H232,'G-1 All Habitats'!$Z$2:$AA$9,2,FALSE)),"")</f>
        <v/>
      </c>
      <c r="J232" s="122"/>
      <c r="K232" s="382" t="str">
        <f>IF(J232="","",IF(VLOOKUP(J232,'G-3 Multipliers'!$L$3:$N$6,2,FALSE)=0,"Spatial Data Missing ⚠",VLOOKUP(J232,'G-3 Multipliers'!$L$3:$N$6,2,FALSE)))</f>
        <v/>
      </c>
      <c r="L232" s="386" t="str">
        <f>IF(J232="","",IF(VLOOKUP(J232,'G-3 Multipliers'!$L$3:$N$6,3,FALSE)=0,"Spatial Data Missing ⚠",VLOOKUP(J232,'G-3 Multipliers'!$L$3:$N$6,3,FALSE)))</f>
        <v/>
      </c>
      <c r="M232" s="425" t="str">
        <f>IF(D232="","",VLOOKUP(D232,'G-6 Hedgerow Data'!$B$1:$AH$15,33,FALSE))</f>
        <v/>
      </c>
      <c r="N232" s="376" t="str">
        <f t="shared" si="29"/>
        <v/>
      </c>
      <c r="O232" s="516"/>
      <c r="P232" s="368" t="str">
        <f>IF(O232="","",IF(VLOOKUP(O232,'G-3 Multipliers'!$S$3:$T$10,2,FALSE)=0,"Spatial Data Missing ⚠",VLOOKUP(O232,'G-3 Multipliers'!$S$3:$T$10,2,FALSE)))</f>
        <v/>
      </c>
      <c r="Q232" s="376" t="str">
        <f t="shared" si="30"/>
        <v/>
      </c>
      <c r="R232" s="32"/>
      <c r="S232" s="114"/>
      <c r="T232" s="125"/>
      <c r="U232" s="370" t="str">
        <f t="shared" si="31"/>
        <v/>
      </c>
      <c r="V232" s="370" t="str">
        <f t="shared" si="32"/>
        <v/>
      </c>
      <c r="W232" s="374" t="str">
        <f t="shared" si="33"/>
        <v/>
      </c>
      <c r="X232" s="378" t="str">
        <f t="shared" si="34"/>
        <v/>
      </c>
      <c r="Y232" s="119"/>
      <c r="Z232" s="120"/>
      <c r="AA232" s="120"/>
      <c r="AB232" s="120"/>
      <c r="AE232" s="30" t="str">
        <f>IFERROR(INDEX('G-6 Hedgerow Data'!$BJ$3:$BJ$15,MATCH(D232,'G-6 Hedgerow Data'!$B$3:$B$15,0)),"")</f>
        <v/>
      </c>
      <c r="AH232" s="124" t="str">
        <f t="shared" si="27"/>
        <v/>
      </c>
      <c r="AI232" s="124" t="str">
        <f t="shared" si="28"/>
        <v/>
      </c>
      <c r="AK232" s="124">
        <v>223</v>
      </c>
      <c r="AM232" s="124" t="str">
        <f t="array" ref="AM232">IFERROR(INDEX($AK$10:$AK$258, MATCH(0, IF(TRUE=$AH$10:$AH$258, COUNTIF($AM$9:$AM231, $AK$10:$AK$258), ""), 0)),"")</f>
        <v/>
      </c>
      <c r="AN232" s="124" t="str">
        <f t="array" ref="AN232">IFERROR(INDEX($AK$10:$AK$258, MATCH(0, IF(TRUE=$AI$10:$AI$258, COUNTIF($AN$9:$AN231, $AK$10:$AK$258), ""), 0)),"")</f>
        <v/>
      </c>
      <c r="AY232" s="370" t="str">
        <f t="shared" si="35"/>
        <v/>
      </c>
    </row>
    <row r="233" spans="2:51" ht="15">
      <c r="B233" s="110">
        <v>224</v>
      </c>
      <c r="C233" s="165"/>
      <c r="D233" s="165"/>
      <c r="E233" s="121"/>
      <c r="F233" s="362" t="str">
        <f>IF(D233="","",VLOOKUP(D233,'G-6 Hedgerow Data'!$B$2:$AG$15,2,FALSE))</f>
        <v/>
      </c>
      <c r="G233" s="363" t="str">
        <f>IF(D233="","",VLOOKUP(D233,'G-6 Hedgerow Data'!$B$2:$AG$15,3,FALSE))</f>
        <v/>
      </c>
      <c r="H233" s="114"/>
      <c r="I233" s="363" t="str">
        <f>IFERROR(IF(AND(F233="V.Low",OR(H233="Good",H233="Moderate")),"Error ▲",VLOOKUP(H233,'G-1 All Habitats'!$Z$2:$AA$9,2,FALSE)),"")</f>
        <v/>
      </c>
      <c r="J233" s="122"/>
      <c r="K233" s="382" t="str">
        <f>IF(J233="","",IF(VLOOKUP(J233,'G-3 Multipliers'!$L$3:$N$6,2,FALSE)=0,"Spatial Data Missing ⚠",VLOOKUP(J233,'G-3 Multipliers'!$L$3:$N$6,2,FALSE)))</f>
        <v/>
      </c>
      <c r="L233" s="386" t="str">
        <f>IF(J233="","",IF(VLOOKUP(J233,'G-3 Multipliers'!$L$3:$N$6,3,FALSE)=0,"Spatial Data Missing ⚠",VLOOKUP(J233,'G-3 Multipliers'!$L$3:$N$6,3,FALSE)))</f>
        <v/>
      </c>
      <c r="M233" s="425" t="str">
        <f>IF(D233="","",VLOOKUP(D233,'G-6 Hedgerow Data'!$B$1:$AH$15,33,FALSE))</f>
        <v/>
      </c>
      <c r="N233" s="376" t="str">
        <f t="shared" si="29"/>
        <v/>
      </c>
      <c r="O233" s="516"/>
      <c r="P233" s="368" t="str">
        <f>IF(O233="","",IF(VLOOKUP(O233,'G-3 Multipliers'!$S$3:$T$10,2,FALSE)=0,"Spatial Data Missing ⚠",VLOOKUP(O233,'G-3 Multipliers'!$S$3:$T$10,2,FALSE)))</f>
        <v/>
      </c>
      <c r="Q233" s="376" t="str">
        <f t="shared" si="30"/>
        <v/>
      </c>
      <c r="R233" s="32"/>
      <c r="S233" s="114"/>
      <c r="T233" s="125"/>
      <c r="U233" s="370" t="str">
        <f t="shared" si="31"/>
        <v/>
      </c>
      <c r="V233" s="370" t="str">
        <f t="shared" si="32"/>
        <v/>
      </c>
      <c r="W233" s="374" t="str">
        <f t="shared" si="33"/>
        <v/>
      </c>
      <c r="X233" s="378" t="str">
        <f t="shared" si="34"/>
        <v/>
      </c>
      <c r="Y233" s="119"/>
      <c r="Z233" s="120"/>
      <c r="AA233" s="120"/>
      <c r="AB233" s="120"/>
      <c r="AE233" s="30" t="str">
        <f>IFERROR(INDEX('G-6 Hedgerow Data'!$BJ$3:$BJ$15,MATCH(D233,'G-6 Hedgerow Data'!$B$3:$B$15,0)),"")</f>
        <v/>
      </c>
      <c r="AH233" s="124" t="str">
        <f t="shared" si="27"/>
        <v/>
      </c>
      <c r="AI233" s="124" t="str">
        <f t="shared" si="28"/>
        <v/>
      </c>
      <c r="AK233" s="124">
        <v>224</v>
      </c>
      <c r="AM233" s="124" t="str">
        <f t="array" ref="AM233">IFERROR(INDEX($AK$10:$AK$258, MATCH(0, IF(TRUE=$AH$10:$AH$258, COUNTIF($AM$9:$AM232, $AK$10:$AK$258), ""), 0)),"")</f>
        <v/>
      </c>
      <c r="AN233" s="124" t="str">
        <f t="array" ref="AN233">IFERROR(INDEX($AK$10:$AK$258, MATCH(0, IF(TRUE=$AI$10:$AI$258, COUNTIF($AN$9:$AN232, $AK$10:$AK$258), ""), 0)),"")</f>
        <v/>
      </c>
      <c r="AY233" s="370" t="str">
        <f t="shared" si="35"/>
        <v/>
      </c>
    </row>
    <row r="234" spans="2:51" ht="15">
      <c r="B234" s="110">
        <v>225</v>
      </c>
      <c r="C234" s="165"/>
      <c r="D234" s="165"/>
      <c r="E234" s="121"/>
      <c r="F234" s="362" t="str">
        <f>IF(D234="","",VLOOKUP(D234,'G-6 Hedgerow Data'!$B$2:$AG$15,2,FALSE))</f>
        <v/>
      </c>
      <c r="G234" s="363" t="str">
        <f>IF(D234="","",VLOOKUP(D234,'G-6 Hedgerow Data'!$B$2:$AG$15,3,FALSE))</f>
        <v/>
      </c>
      <c r="H234" s="114"/>
      <c r="I234" s="363" t="str">
        <f>IFERROR(IF(AND(F234="V.Low",OR(H234="Good",H234="Moderate")),"Error ▲",VLOOKUP(H234,'G-1 All Habitats'!$Z$2:$AA$9,2,FALSE)),"")</f>
        <v/>
      </c>
      <c r="J234" s="122"/>
      <c r="K234" s="382" t="str">
        <f>IF(J234="","",IF(VLOOKUP(J234,'G-3 Multipliers'!$L$3:$N$6,2,FALSE)=0,"Spatial Data Missing ⚠",VLOOKUP(J234,'G-3 Multipliers'!$L$3:$N$6,2,FALSE)))</f>
        <v/>
      </c>
      <c r="L234" s="386" t="str">
        <f>IF(J234="","",IF(VLOOKUP(J234,'G-3 Multipliers'!$L$3:$N$6,3,FALSE)=0,"Spatial Data Missing ⚠",VLOOKUP(J234,'G-3 Multipliers'!$L$3:$N$6,3,FALSE)))</f>
        <v/>
      </c>
      <c r="M234" s="425" t="str">
        <f>IF(D234="","",VLOOKUP(D234,'G-6 Hedgerow Data'!$B$1:$AH$15,33,FALSE))</f>
        <v/>
      </c>
      <c r="N234" s="376" t="str">
        <f t="shared" si="29"/>
        <v/>
      </c>
      <c r="O234" s="516"/>
      <c r="P234" s="368" t="str">
        <f>IF(O234="","",IF(VLOOKUP(O234,'G-3 Multipliers'!$S$3:$T$10,2,FALSE)=0,"Spatial Data Missing ⚠",VLOOKUP(O234,'G-3 Multipliers'!$S$3:$T$10,2,FALSE)))</f>
        <v/>
      </c>
      <c r="Q234" s="376" t="str">
        <f t="shared" si="30"/>
        <v/>
      </c>
      <c r="R234" s="32"/>
      <c r="S234" s="114"/>
      <c r="T234" s="125"/>
      <c r="U234" s="370" t="str">
        <f t="shared" si="31"/>
        <v/>
      </c>
      <c r="V234" s="370" t="str">
        <f t="shared" si="32"/>
        <v/>
      </c>
      <c r="W234" s="374" t="str">
        <f t="shared" si="33"/>
        <v/>
      </c>
      <c r="X234" s="378" t="str">
        <f t="shared" si="34"/>
        <v/>
      </c>
      <c r="Y234" s="119"/>
      <c r="Z234" s="120"/>
      <c r="AA234" s="120"/>
      <c r="AB234" s="120"/>
      <c r="AE234" s="30" t="str">
        <f>IFERROR(INDEX('G-6 Hedgerow Data'!$BJ$3:$BJ$15,MATCH(D234,'G-6 Hedgerow Data'!$B$3:$B$15,0)),"")</f>
        <v/>
      </c>
      <c r="AH234" s="124" t="str">
        <f t="shared" si="27"/>
        <v/>
      </c>
      <c r="AI234" s="124" t="str">
        <f t="shared" si="28"/>
        <v/>
      </c>
      <c r="AK234" s="124">
        <v>225</v>
      </c>
      <c r="AM234" s="124" t="str">
        <f t="array" ref="AM234">IFERROR(INDEX($AK$10:$AK$258, MATCH(0, IF(TRUE=$AH$10:$AH$258, COUNTIF($AM$9:$AM233, $AK$10:$AK$258), ""), 0)),"")</f>
        <v/>
      </c>
      <c r="AN234" s="124" t="str">
        <f t="array" ref="AN234">IFERROR(INDEX($AK$10:$AK$258, MATCH(0, IF(TRUE=$AI$10:$AI$258, COUNTIF($AN$9:$AN233, $AK$10:$AK$258), ""), 0)),"")</f>
        <v/>
      </c>
      <c r="AY234" s="370" t="str">
        <f t="shared" si="35"/>
        <v/>
      </c>
    </row>
    <row r="235" spans="2:51" ht="15">
      <c r="B235" s="110">
        <v>226</v>
      </c>
      <c r="C235" s="165"/>
      <c r="D235" s="165"/>
      <c r="E235" s="121"/>
      <c r="F235" s="362" t="str">
        <f>IF(D235="","",VLOOKUP(D235,'G-6 Hedgerow Data'!$B$2:$AG$15,2,FALSE))</f>
        <v/>
      </c>
      <c r="G235" s="363" t="str">
        <f>IF(D235="","",VLOOKUP(D235,'G-6 Hedgerow Data'!$B$2:$AG$15,3,FALSE))</f>
        <v/>
      </c>
      <c r="H235" s="114"/>
      <c r="I235" s="363" t="str">
        <f>IFERROR(IF(AND(F235="V.Low",OR(H235="Good",H235="Moderate")),"Error ▲",VLOOKUP(H235,'G-1 All Habitats'!$Z$2:$AA$9,2,FALSE)),"")</f>
        <v/>
      </c>
      <c r="J235" s="122"/>
      <c r="K235" s="382" t="str">
        <f>IF(J235="","",IF(VLOOKUP(J235,'G-3 Multipliers'!$L$3:$N$6,2,FALSE)=0,"Spatial Data Missing ⚠",VLOOKUP(J235,'G-3 Multipliers'!$L$3:$N$6,2,FALSE)))</f>
        <v/>
      </c>
      <c r="L235" s="386" t="str">
        <f>IF(J235="","",IF(VLOOKUP(J235,'G-3 Multipliers'!$L$3:$N$6,3,FALSE)=0,"Spatial Data Missing ⚠",VLOOKUP(J235,'G-3 Multipliers'!$L$3:$N$6,3,FALSE)))</f>
        <v/>
      </c>
      <c r="M235" s="425" t="str">
        <f>IF(D235="","",VLOOKUP(D235,'G-6 Hedgerow Data'!$B$1:$AH$15,33,FALSE))</f>
        <v/>
      </c>
      <c r="N235" s="376" t="str">
        <f t="shared" si="29"/>
        <v/>
      </c>
      <c r="O235" s="516"/>
      <c r="P235" s="368" t="str">
        <f>IF(O235="","",IF(VLOOKUP(O235,'G-3 Multipliers'!$S$3:$T$10,2,FALSE)=0,"Spatial Data Missing ⚠",VLOOKUP(O235,'G-3 Multipliers'!$S$3:$T$10,2,FALSE)))</f>
        <v/>
      </c>
      <c r="Q235" s="376" t="str">
        <f t="shared" si="30"/>
        <v/>
      </c>
      <c r="R235" s="32"/>
      <c r="S235" s="114"/>
      <c r="T235" s="125"/>
      <c r="U235" s="370" t="str">
        <f t="shared" si="31"/>
        <v/>
      </c>
      <c r="V235" s="370" t="str">
        <f t="shared" si="32"/>
        <v/>
      </c>
      <c r="W235" s="374" t="str">
        <f t="shared" si="33"/>
        <v/>
      </c>
      <c r="X235" s="378" t="str">
        <f t="shared" si="34"/>
        <v/>
      </c>
      <c r="Y235" s="119"/>
      <c r="Z235" s="120"/>
      <c r="AA235" s="120"/>
      <c r="AB235" s="120"/>
      <c r="AE235" s="30" t="str">
        <f>IFERROR(INDEX('G-6 Hedgerow Data'!$BJ$3:$BJ$15,MATCH(D235,'G-6 Hedgerow Data'!$B$3:$B$15,0)),"")</f>
        <v/>
      </c>
      <c r="AH235" s="124" t="str">
        <f t="shared" si="27"/>
        <v/>
      </c>
      <c r="AI235" s="124" t="str">
        <f t="shared" si="28"/>
        <v/>
      </c>
      <c r="AK235" s="124">
        <v>226</v>
      </c>
      <c r="AM235" s="124" t="str">
        <f t="array" ref="AM235">IFERROR(INDEX($AK$10:$AK$258, MATCH(0, IF(TRUE=$AH$10:$AH$258, COUNTIF($AM$9:$AM234, $AK$10:$AK$258), ""), 0)),"")</f>
        <v/>
      </c>
      <c r="AN235" s="124" t="str">
        <f t="array" ref="AN235">IFERROR(INDEX($AK$10:$AK$258, MATCH(0, IF(TRUE=$AI$10:$AI$258, COUNTIF($AN$9:$AN234, $AK$10:$AK$258), ""), 0)),"")</f>
        <v/>
      </c>
      <c r="AY235" s="370" t="str">
        <f t="shared" si="35"/>
        <v/>
      </c>
    </row>
    <row r="236" spans="2:51" ht="15">
      <c r="B236" s="110">
        <v>227</v>
      </c>
      <c r="C236" s="165"/>
      <c r="D236" s="165"/>
      <c r="E236" s="121"/>
      <c r="F236" s="362" t="str">
        <f>IF(D236="","",VLOOKUP(D236,'G-6 Hedgerow Data'!$B$2:$AG$15,2,FALSE))</f>
        <v/>
      </c>
      <c r="G236" s="363" t="str">
        <f>IF(D236="","",VLOOKUP(D236,'G-6 Hedgerow Data'!$B$2:$AG$15,3,FALSE))</f>
        <v/>
      </c>
      <c r="H236" s="114"/>
      <c r="I236" s="363" t="str">
        <f>IFERROR(IF(AND(F236="V.Low",OR(H236="Good",H236="Moderate")),"Error ▲",VLOOKUP(H236,'G-1 All Habitats'!$Z$2:$AA$9,2,FALSE)),"")</f>
        <v/>
      </c>
      <c r="J236" s="122"/>
      <c r="K236" s="382" t="str">
        <f>IF(J236="","",IF(VLOOKUP(J236,'G-3 Multipliers'!$L$3:$N$6,2,FALSE)=0,"Spatial Data Missing ⚠",VLOOKUP(J236,'G-3 Multipliers'!$L$3:$N$6,2,FALSE)))</f>
        <v/>
      </c>
      <c r="L236" s="386" t="str">
        <f>IF(J236="","",IF(VLOOKUP(J236,'G-3 Multipliers'!$L$3:$N$6,3,FALSE)=0,"Spatial Data Missing ⚠",VLOOKUP(J236,'G-3 Multipliers'!$L$3:$N$6,3,FALSE)))</f>
        <v/>
      </c>
      <c r="M236" s="425" t="str">
        <f>IF(D236="","",VLOOKUP(D236,'G-6 Hedgerow Data'!$B$1:$AH$15,33,FALSE))</f>
        <v/>
      </c>
      <c r="N236" s="376" t="str">
        <f t="shared" si="29"/>
        <v/>
      </c>
      <c r="O236" s="516"/>
      <c r="P236" s="368" t="str">
        <f>IF(O236="","",IF(VLOOKUP(O236,'G-3 Multipliers'!$S$3:$T$10,2,FALSE)=0,"Spatial Data Missing ⚠",VLOOKUP(O236,'G-3 Multipliers'!$S$3:$T$10,2,FALSE)))</f>
        <v/>
      </c>
      <c r="Q236" s="376" t="str">
        <f t="shared" si="30"/>
        <v/>
      </c>
      <c r="R236" s="32"/>
      <c r="S236" s="114"/>
      <c r="T236" s="125"/>
      <c r="U236" s="370" t="str">
        <f t="shared" si="31"/>
        <v/>
      </c>
      <c r="V236" s="370" t="str">
        <f t="shared" si="32"/>
        <v/>
      </c>
      <c r="W236" s="374" t="str">
        <f t="shared" si="33"/>
        <v/>
      </c>
      <c r="X236" s="378" t="str">
        <f t="shared" si="34"/>
        <v/>
      </c>
      <c r="Y236" s="119"/>
      <c r="Z236" s="120"/>
      <c r="AA236" s="120"/>
      <c r="AB236" s="120"/>
      <c r="AE236" s="30" t="str">
        <f>IFERROR(INDEX('G-6 Hedgerow Data'!$BJ$3:$BJ$15,MATCH(D236,'G-6 Hedgerow Data'!$B$3:$B$15,0)),"")</f>
        <v/>
      </c>
      <c r="AH236" s="124" t="str">
        <f t="shared" si="27"/>
        <v/>
      </c>
      <c r="AI236" s="124" t="str">
        <f t="shared" si="28"/>
        <v/>
      </c>
      <c r="AK236" s="124">
        <v>227</v>
      </c>
      <c r="AM236" s="124" t="str">
        <f t="array" ref="AM236">IFERROR(INDEX($AK$10:$AK$258, MATCH(0, IF(TRUE=$AH$10:$AH$258, COUNTIF($AM$9:$AM235, $AK$10:$AK$258), ""), 0)),"")</f>
        <v/>
      </c>
      <c r="AN236" s="124" t="str">
        <f t="array" ref="AN236">IFERROR(INDEX($AK$10:$AK$258, MATCH(0, IF(TRUE=$AI$10:$AI$258, COUNTIF($AN$9:$AN235, $AK$10:$AK$258), ""), 0)),"")</f>
        <v/>
      </c>
      <c r="AY236" s="370" t="str">
        <f t="shared" si="35"/>
        <v/>
      </c>
    </row>
    <row r="237" spans="2:51" ht="15">
      <c r="B237" s="110">
        <v>228</v>
      </c>
      <c r="C237" s="165"/>
      <c r="D237" s="165"/>
      <c r="E237" s="121"/>
      <c r="F237" s="362" t="str">
        <f>IF(D237="","",VLOOKUP(D237,'G-6 Hedgerow Data'!$B$2:$AG$15,2,FALSE))</f>
        <v/>
      </c>
      <c r="G237" s="363" t="str">
        <f>IF(D237="","",VLOOKUP(D237,'G-6 Hedgerow Data'!$B$2:$AG$15,3,FALSE))</f>
        <v/>
      </c>
      <c r="H237" s="114"/>
      <c r="I237" s="363" t="str">
        <f>IFERROR(IF(AND(F237="V.Low",OR(H237="Good",H237="Moderate")),"Error ▲",VLOOKUP(H237,'G-1 All Habitats'!$Z$2:$AA$9,2,FALSE)),"")</f>
        <v/>
      </c>
      <c r="J237" s="122"/>
      <c r="K237" s="382" t="str">
        <f>IF(J237="","",IF(VLOOKUP(J237,'G-3 Multipliers'!$L$3:$N$6,2,FALSE)=0,"Spatial Data Missing ⚠",VLOOKUP(J237,'G-3 Multipliers'!$L$3:$N$6,2,FALSE)))</f>
        <v/>
      </c>
      <c r="L237" s="386" t="str">
        <f>IF(J237="","",IF(VLOOKUP(J237,'G-3 Multipliers'!$L$3:$N$6,3,FALSE)=0,"Spatial Data Missing ⚠",VLOOKUP(J237,'G-3 Multipliers'!$L$3:$N$6,3,FALSE)))</f>
        <v/>
      </c>
      <c r="M237" s="425" t="str">
        <f>IF(D237="","",VLOOKUP(D237,'G-6 Hedgerow Data'!$B$1:$AH$15,33,FALSE))</f>
        <v/>
      </c>
      <c r="N237" s="376" t="str">
        <f t="shared" si="29"/>
        <v/>
      </c>
      <c r="O237" s="516"/>
      <c r="P237" s="368" t="str">
        <f>IF(O237="","",IF(VLOOKUP(O237,'G-3 Multipliers'!$S$3:$T$10,2,FALSE)=0,"Spatial Data Missing ⚠",VLOOKUP(O237,'G-3 Multipliers'!$S$3:$T$10,2,FALSE)))</f>
        <v/>
      </c>
      <c r="Q237" s="376" t="str">
        <f t="shared" si="30"/>
        <v/>
      </c>
      <c r="R237" s="32"/>
      <c r="S237" s="114"/>
      <c r="T237" s="125"/>
      <c r="U237" s="370" t="str">
        <f t="shared" si="31"/>
        <v/>
      </c>
      <c r="V237" s="370" t="str">
        <f t="shared" si="32"/>
        <v/>
      </c>
      <c r="W237" s="374" t="str">
        <f t="shared" si="33"/>
        <v/>
      </c>
      <c r="X237" s="378" t="str">
        <f t="shared" si="34"/>
        <v/>
      </c>
      <c r="Y237" s="119"/>
      <c r="Z237" s="120"/>
      <c r="AA237" s="120"/>
      <c r="AB237" s="120"/>
      <c r="AE237" s="30" t="str">
        <f>IFERROR(INDEX('G-6 Hedgerow Data'!$BJ$3:$BJ$15,MATCH(D237,'G-6 Hedgerow Data'!$B$3:$B$15,0)),"")</f>
        <v/>
      </c>
      <c r="AH237" s="124" t="str">
        <f t="shared" si="27"/>
        <v/>
      </c>
      <c r="AI237" s="124" t="str">
        <f t="shared" si="28"/>
        <v/>
      </c>
      <c r="AK237" s="124">
        <v>228</v>
      </c>
      <c r="AM237" s="124" t="str">
        <f t="array" ref="AM237">IFERROR(INDEX($AK$10:$AK$258, MATCH(0, IF(TRUE=$AH$10:$AH$258, COUNTIF($AM$9:$AM236, $AK$10:$AK$258), ""), 0)),"")</f>
        <v/>
      </c>
      <c r="AN237" s="124" t="str">
        <f t="array" ref="AN237">IFERROR(INDEX($AK$10:$AK$258, MATCH(0, IF(TRUE=$AI$10:$AI$258, COUNTIF($AN$9:$AN236, $AK$10:$AK$258), ""), 0)),"")</f>
        <v/>
      </c>
      <c r="AY237" s="370" t="str">
        <f t="shared" si="35"/>
        <v/>
      </c>
    </row>
    <row r="238" spans="2:51" ht="15">
      <c r="B238" s="110">
        <v>229</v>
      </c>
      <c r="C238" s="165"/>
      <c r="D238" s="165"/>
      <c r="E238" s="121"/>
      <c r="F238" s="362" t="str">
        <f>IF(D238="","",VLOOKUP(D238,'G-6 Hedgerow Data'!$B$2:$AG$15,2,FALSE))</f>
        <v/>
      </c>
      <c r="G238" s="363" t="str">
        <f>IF(D238="","",VLOOKUP(D238,'G-6 Hedgerow Data'!$B$2:$AG$15,3,FALSE))</f>
        <v/>
      </c>
      <c r="H238" s="114"/>
      <c r="I238" s="363" t="str">
        <f>IFERROR(IF(AND(F238="V.Low",OR(H238="Good",H238="Moderate")),"Error ▲",VLOOKUP(H238,'G-1 All Habitats'!$Z$2:$AA$9,2,FALSE)),"")</f>
        <v/>
      </c>
      <c r="J238" s="122"/>
      <c r="K238" s="382" t="str">
        <f>IF(J238="","",IF(VLOOKUP(J238,'G-3 Multipliers'!$L$3:$N$6,2,FALSE)=0,"Spatial Data Missing ⚠",VLOOKUP(J238,'G-3 Multipliers'!$L$3:$N$6,2,FALSE)))</f>
        <v/>
      </c>
      <c r="L238" s="386" t="str">
        <f>IF(J238="","",IF(VLOOKUP(J238,'G-3 Multipliers'!$L$3:$N$6,3,FALSE)=0,"Spatial Data Missing ⚠",VLOOKUP(J238,'G-3 Multipliers'!$L$3:$N$6,3,FALSE)))</f>
        <v/>
      </c>
      <c r="M238" s="425" t="str">
        <f>IF(D238="","",VLOOKUP(D238,'G-6 Hedgerow Data'!$B$1:$AH$15,33,FALSE))</f>
        <v/>
      </c>
      <c r="N238" s="376" t="str">
        <f t="shared" si="29"/>
        <v/>
      </c>
      <c r="O238" s="516"/>
      <c r="P238" s="368" t="str">
        <f>IF(O238="","",IF(VLOOKUP(O238,'G-3 Multipliers'!$S$3:$T$10,2,FALSE)=0,"Spatial Data Missing ⚠",VLOOKUP(O238,'G-3 Multipliers'!$S$3:$T$10,2,FALSE)))</f>
        <v/>
      </c>
      <c r="Q238" s="376" t="str">
        <f t="shared" si="30"/>
        <v/>
      </c>
      <c r="R238" s="32"/>
      <c r="S238" s="114"/>
      <c r="T238" s="125"/>
      <c r="U238" s="370" t="str">
        <f t="shared" si="31"/>
        <v/>
      </c>
      <c r="V238" s="370" t="str">
        <f t="shared" si="32"/>
        <v/>
      </c>
      <c r="W238" s="374" t="str">
        <f t="shared" si="33"/>
        <v/>
      </c>
      <c r="X238" s="378" t="str">
        <f t="shared" si="34"/>
        <v/>
      </c>
      <c r="Y238" s="119"/>
      <c r="Z238" s="120"/>
      <c r="AA238" s="120"/>
      <c r="AB238" s="120"/>
      <c r="AE238" s="30" t="str">
        <f>IFERROR(INDEX('G-6 Hedgerow Data'!$BJ$3:$BJ$15,MATCH(D238,'G-6 Hedgerow Data'!$B$3:$B$15,0)),"")</f>
        <v/>
      </c>
      <c r="AH238" s="124" t="str">
        <f t="shared" si="27"/>
        <v/>
      </c>
      <c r="AI238" s="124" t="str">
        <f t="shared" si="28"/>
        <v/>
      </c>
      <c r="AK238" s="124">
        <v>229</v>
      </c>
      <c r="AM238" s="124" t="str">
        <f t="array" ref="AM238">IFERROR(INDEX($AK$10:$AK$258, MATCH(0, IF(TRUE=$AH$10:$AH$258, COUNTIF($AM$9:$AM237, $AK$10:$AK$258), ""), 0)),"")</f>
        <v/>
      </c>
      <c r="AN238" s="124" t="str">
        <f t="array" ref="AN238">IFERROR(INDEX($AK$10:$AK$258, MATCH(0, IF(TRUE=$AI$10:$AI$258, COUNTIF($AN$9:$AN237, $AK$10:$AK$258), ""), 0)),"")</f>
        <v/>
      </c>
      <c r="AY238" s="370" t="str">
        <f t="shared" si="35"/>
        <v/>
      </c>
    </row>
    <row r="239" spans="2:51" ht="15">
      <c r="B239" s="110">
        <v>230</v>
      </c>
      <c r="C239" s="165"/>
      <c r="D239" s="165"/>
      <c r="E239" s="121"/>
      <c r="F239" s="362" t="str">
        <f>IF(D239="","",VLOOKUP(D239,'G-6 Hedgerow Data'!$B$2:$AG$15,2,FALSE))</f>
        <v/>
      </c>
      <c r="G239" s="363" t="str">
        <f>IF(D239="","",VLOOKUP(D239,'G-6 Hedgerow Data'!$B$2:$AG$15,3,FALSE))</f>
        <v/>
      </c>
      <c r="H239" s="114"/>
      <c r="I239" s="363" t="str">
        <f>IFERROR(IF(AND(F239="V.Low",OR(H239="Good",H239="Moderate")),"Error ▲",VLOOKUP(H239,'G-1 All Habitats'!$Z$2:$AA$9,2,FALSE)),"")</f>
        <v/>
      </c>
      <c r="J239" s="122"/>
      <c r="K239" s="382" t="str">
        <f>IF(J239="","",IF(VLOOKUP(J239,'G-3 Multipliers'!$L$3:$N$6,2,FALSE)=0,"Spatial Data Missing ⚠",VLOOKUP(J239,'G-3 Multipliers'!$L$3:$N$6,2,FALSE)))</f>
        <v/>
      </c>
      <c r="L239" s="386" t="str">
        <f>IF(J239="","",IF(VLOOKUP(J239,'G-3 Multipliers'!$L$3:$N$6,3,FALSE)=0,"Spatial Data Missing ⚠",VLOOKUP(J239,'G-3 Multipliers'!$L$3:$N$6,3,FALSE)))</f>
        <v/>
      </c>
      <c r="M239" s="425" t="str">
        <f>IF(D239="","",VLOOKUP(D239,'G-6 Hedgerow Data'!$B$1:$AH$15,33,FALSE))</f>
        <v/>
      </c>
      <c r="N239" s="376" t="str">
        <f t="shared" si="29"/>
        <v/>
      </c>
      <c r="O239" s="516"/>
      <c r="P239" s="368" t="str">
        <f>IF(O239="","",IF(VLOOKUP(O239,'G-3 Multipliers'!$S$3:$T$10,2,FALSE)=0,"Spatial Data Missing ⚠",VLOOKUP(O239,'G-3 Multipliers'!$S$3:$T$10,2,FALSE)))</f>
        <v/>
      </c>
      <c r="Q239" s="376" t="str">
        <f t="shared" si="30"/>
        <v/>
      </c>
      <c r="R239" s="32"/>
      <c r="S239" s="114"/>
      <c r="T239" s="125"/>
      <c r="U239" s="370" t="str">
        <f t="shared" si="31"/>
        <v/>
      </c>
      <c r="V239" s="370" t="str">
        <f t="shared" si="32"/>
        <v/>
      </c>
      <c r="W239" s="374" t="str">
        <f t="shared" si="33"/>
        <v/>
      </c>
      <c r="X239" s="378" t="str">
        <f t="shared" si="34"/>
        <v/>
      </c>
      <c r="Y239" s="119"/>
      <c r="Z239" s="120"/>
      <c r="AA239" s="120"/>
      <c r="AB239" s="120"/>
      <c r="AE239" s="30" t="str">
        <f>IFERROR(INDEX('G-6 Hedgerow Data'!$BJ$3:$BJ$15,MATCH(D239,'G-6 Hedgerow Data'!$B$3:$B$15,0)),"")</f>
        <v/>
      </c>
      <c r="AH239" s="124" t="str">
        <f t="shared" si="27"/>
        <v/>
      </c>
      <c r="AI239" s="124" t="str">
        <f t="shared" si="28"/>
        <v/>
      </c>
      <c r="AK239" s="124">
        <v>230</v>
      </c>
      <c r="AM239" s="124" t="str">
        <f t="array" ref="AM239">IFERROR(INDEX($AK$10:$AK$258, MATCH(0, IF(TRUE=$AH$10:$AH$258, COUNTIF($AM$9:$AM238, $AK$10:$AK$258), ""), 0)),"")</f>
        <v/>
      </c>
      <c r="AN239" s="124" t="str">
        <f t="array" ref="AN239">IFERROR(INDEX($AK$10:$AK$258, MATCH(0, IF(TRUE=$AI$10:$AI$258, COUNTIF($AN$9:$AN238, $AK$10:$AK$258), ""), 0)),"")</f>
        <v/>
      </c>
      <c r="AY239" s="370" t="str">
        <f t="shared" si="35"/>
        <v/>
      </c>
    </row>
    <row r="240" spans="2:51" ht="15">
      <c r="B240" s="110">
        <v>231</v>
      </c>
      <c r="C240" s="165"/>
      <c r="D240" s="165"/>
      <c r="E240" s="121"/>
      <c r="F240" s="362" t="str">
        <f>IF(D240="","",VLOOKUP(D240,'G-6 Hedgerow Data'!$B$2:$AG$15,2,FALSE))</f>
        <v/>
      </c>
      <c r="G240" s="363" t="str">
        <f>IF(D240="","",VLOOKUP(D240,'G-6 Hedgerow Data'!$B$2:$AG$15,3,FALSE))</f>
        <v/>
      </c>
      <c r="H240" s="114"/>
      <c r="I240" s="363" t="str">
        <f>IFERROR(IF(AND(F240="V.Low",OR(H240="Good",H240="Moderate")),"Error ▲",VLOOKUP(H240,'G-1 All Habitats'!$Z$2:$AA$9,2,FALSE)),"")</f>
        <v/>
      </c>
      <c r="J240" s="122"/>
      <c r="K240" s="382" t="str">
        <f>IF(J240="","",IF(VLOOKUP(J240,'G-3 Multipliers'!$L$3:$N$6,2,FALSE)=0,"Spatial Data Missing ⚠",VLOOKUP(J240,'G-3 Multipliers'!$L$3:$N$6,2,FALSE)))</f>
        <v/>
      </c>
      <c r="L240" s="386" t="str">
        <f>IF(J240="","",IF(VLOOKUP(J240,'G-3 Multipliers'!$L$3:$N$6,3,FALSE)=0,"Spatial Data Missing ⚠",VLOOKUP(J240,'G-3 Multipliers'!$L$3:$N$6,3,FALSE)))</f>
        <v/>
      </c>
      <c r="M240" s="425" t="str">
        <f>IF(D240="","",VLOOKUP(D240,'G-6 Hedgerow Data'!$B$1:$AH$15,33,FALSE))</f>
        <v/>
      </c>
      <c r="N240" s="376" t="str">
        <f t="shared" si="29"/>
        <v/>
      </c>
      <c r="O240" s="516"/>
      <c r="P240" s="368" t="str">
        <f>IF(O240="","",IF(VLOOKUP(O240,'G-3 Multipliers'!$S$3:$T$10,2,FALSE)=0,"Spatial Data Missing ⚠",VLOOKUP(O240,'G-3 Multipliers'!$S$3:$T$10,2,FALSE)))</f>
        <v/>
      </c>
      <c r="Q240" s="376" t="str">
        <f t="shared" si="30"/>
        <v/>
      </c>
      <c r="R240" s="32"/>
      <c r="S240" s="114"/>
      <c r="T240" s="125"/>
      <c r="U240" s="370" t="str">
        <f t="shared" si="31"/>
        <v/>
      </c>
      <c r="V240" s="370" t="str">
        <f t="shared" si="32"/>
        <v/>
      </c>
      <c r="W240" s="374" t="str">
        <f t="shared" si="33"/>
        <v/>
      </c>
      <c r="X240" s="378" t="str">
        <f t="shared" si="34"/>
        <v/>
      </c>
      <c r="Y240" s="119"/>
      <c r="Z240" s="120"/>
      <c r="AA240" s="120"/>
      <c r="AB240" s="120"/>
      <c r="AE240" s="30" t="str">
        <f>IFERROR(INDEX('G-6 Hedgerow Data'!$BJ$3:$BJ$15,MATCH(D240,'G-6 Hedgerow Data'!$B$3:$B$15,0)),"")</f>
        <v/>
      </c>
      <c r="AH240" s="124" t="str">
        <f t="shared" si="27"/>
        <v/>
      </c>
      <c r="AI240" s="124" t="str">
        <f t="shared" si="28"/>
        <v/>
      </c>
      <c r="AK240" s="124">
        <v>231</v>
      </c>
      <c r="AM240" s="124" t="str">
        <f t="array" ref="AM240">IFERROR(INDEX($AK$10:$AK$258, MATCH(0, IF(TRUE=$AH$10:$AH$258, COUNTIF($AM$9:$AM239, $AK$10:$AK$258), ""), 0)),"")</f>
        <v/>
      </c>
      <c r="AN240" s="124" t="str">
        <f t="array" ref="AN240">IFERROR(INDEX($AK$10:$AK$258, MATCH(0, IF(TRUE=$AI$10:$AI$258, COUNTIF($AN$9:$AN239, $AK$10:$AK$258), ""), 0)),"")</f>
        <v/>
      </c>
      <c r="AY240" s="370" t="str">
        <f t="shared" si="35"/>
        <v/>
      </c>
    </row>
    <row r="241" spans="2:51" ht="15">
      <c r="B241" s="110">
        <v>232</v>
      </c>
      <c r="C241" s="165"/>
      <c r="D241" s="165"/>
      <c r="E241" s="121"/>
      <c r="F241" s="362" t="str">
        <f>IF(D241="","",VLOOKUP(D241,'G-6 Hedgerow Data'!$B$2:$AG$15,2,FALSE))</f>
        <v/>
      </c>
      <c r="G241" s="363" t="str">
        <f>IF(D241="","",VLOOKUP(D241,'G-6 Hedgerow Data'!$B$2:$AG$15,3,FALSE))</f>
        <v/>
      </c>
      <c r="H241" s="114"/>
      <c r="I241" s="363" t="str">
        <f>IFERROR(IF(AND(F241="V.Low",OR(H241="Good",H241="Moderate")),"Error ▲",VLOOKUP(H241,'G-1 All Habitats'!$Z$2:$AA$9,2,FALSE)),"")</f>
        <v/>
      </c>
      <c r="J241" s="122"/>
      <c r="K241" s="382" t="str">
        <f>IF(J241="","",IF(VLOOKUP(J241,'G-3 Multipliers'!$L$3:$N$6,2,FALSE)=0,"Spatial Data Missing ⚠",VLOOKUP(J241,'G-3 Multipliers'!$L$3:$N$6,2,FALSE)))</f>
        <v/>
      </c>
      <c r="L241" s="386" t="str">
        <f>IF(J241="","",IF(VLOOKUP(J241,'G-3 Multipliers'!$L$3:$N$6,3,FALSE)=0,"Spatial Data Missing ⚠",VLOOKUP(J241,'G-3 Multipliers'!$L$3:$N$6,3,FALSE)))</f>
        <v/>
      </c>
      <c r="M241" s="425" t="str">
        <f>IF(D241="","",VLOOKUP(D241,'G-6 Hedgerow Data'!$B$1:$AH$15,33,FALSE))</f>
        <v/>
      </c>
      <c r="N241" s="376" t="str">
        <f t="shared" si="29"/>
        <v/>
      </c>
      <c r="O241" s="516"/>
      <c r="P241" s="368" t="str">
        <f>IF(O241="","",IF(VLOOKUP(O241,'G-3 Multipliers'!$S$3:$T$10,2,FALSE)=0,"Spatial Data Missing ⚠",VLOOKUP(O241,'G-3 Multipliers'!$S$3:$T$10,2,FALSE)))</f>
        <v/>
      </c>
      <c r="Q241" s="376" t="str">
        <f t="shared" si="30"/>
        <v/>
      </c>
      <c r="R241" s="32"/>
      <c r="S241" s="114"/>
      <c r="T241" s="125"/>
      <c r="U241" s="370" t="str">
        <f t="shared" si="31"/>
        <v/>
      </c>
      <c r="V241" s="370" t="str">
        <f t="shared" si="32"/>
        <v/>
      </c>
      <c r="W241" s="374" t="str">
        <f t="shared" si="33"/>
        <v/>
      </c>
      <c r="X241" s="378" t="str">
        <f t="shared" si="34"/>
        <v/>
      </c>
      <c r="Y241" s="119"/>
      <c r="Z241" s="120"/>
      <c r="AA241" s="120"/>
      <c r="AB241" s="120"/>
      <c r="AE241" s="30" t="str">
        <f>IFERROR(INDEX('G-6 Hedgerow Data'!$BJ$3:$BJ$15,MATCH(D241,'G-6 Hedgerow Data'!$B$3:$B$15,0)),"")</f>
        <v/>
      </c>
      <c r="AH241" s="124" t="str">
        <f t="shared" si="27"/>
        <v/>
      </c>
      <c r="AI241" s="124" t="str">
        <f t="shared" si="28"/>
        <v/>
      </c>
      <c r="AK241" s="124">
        <v>232</v>
      </c>
      <c r="AM241" s="124" t="str">
        <f t="array" ref="AM241">IFERROR(INDEX($AK$10:$AK$258, MATCH(0, IF(TRUE=$AH$10:$AH$258, COUNTIF($AM$9:$AM240, $AK$10:$AK$258), ""), 0)),"")</f>
        <v/>
      </c>
      <c r="AN241" s="124" t="str">
        <f t="array" ref="AN241">IFERROR(INDEX($AK$10:$AK$258, MATCH(0, IF(TRUE=$AI$10:$AI$258, COUNTIF($AN$9:$AN240, $AK$10:$AK$258), ""), 0)),"")</f>
        <v/>
      </c>
      <c r="AY241" s="370" t="str">
        <f t="shared" si="35"/>
        <v/>
      </c>
    </row>
    <row r="242" spans="2:51" ht="15">
      <c r="B242" s="110">
        <v>233</v>
      </c>
      <c r="C242" s="165"/>
      <c r="D242" s="165"/>
      <c r="E242" s="121"/>
      <c r="F242" s="362" t="str">
        <f>IF(D242="","",VLOOKUP(D242,'G-6 Hedgerow Data'!$B$2:$AG$15,2,FALSE))</f>
        <v/>
      </c>
      <c r="G242" s="363" t="str">
        <f>IF(D242="","",VLOOKUP(D242,'G-6 Hedgerow Data'!$B$2:$AG$15,3,FALSE))</f>
        <v/>
      </c>
      <c r="H242" s="114"/>
      <c r="I242" s="363" t="str">
        <f>IFERROR(IF(AND(F242="V.Low",OR(H242="Good",H242="Moderate")),"Error ▲",VLOOKUP(H242,'G-1 All Habitats'!$Z$2:$AA$9,2,FALSE)),"")</f>
        <v/>
      </c>
      <c r="J242" s="122"/>
      <c r="K242" s="382" t="str">
        <f>IF(J242="","",IF(VLOOKUP(J242,'G-3 Multipliers'!$L$3:$N$6,2,FALSE)=0,"Spatial Data Missing ⚠",VLOOKUP(J242,'G-3 Multipliers'!$L$3:$N$6,2,FALSE)))</f>
        <v/>
      </c>
      <c r="L242" s="386" t="str">
        <f>IF(J242="","",IF(VLOOKUP(J242,'G-3 Multipliers'!$L$3:$N$6,3,FALSE)=0,"Spatial Data Missing ⚠",VLOOKUP(J242,'G-3 Multipliers'!$L$3:$N$6,3,FALSE)))</f>
        <v/>
      </c>
      <c r="M242" s="425" t="str">
        <f>IF(D242="","",VLOOKUP(D242,'G-6 Hedgerow Data'!$B$1:$AH$15,33,FALSE))</f>
        <v/>
      </c>
      <c r="N242" s="376" t="str">
        <f t="shared" si="29"/>
        <v/>
      </c>
      <c r="O242" s="516"/>
      <c r="P242" s="368" t="str">
        <f>IF(O242="","",IF(VLOOKUP(O242,'G-3 Multipliers'!$S$3:$T$10,2,FALSE)=0,"Spatial Data Missing ⚠",VLOOKUP(O242,'G-3 Multipliers'!$S$3:$T$10,2,FALSE)))</f>
        <v/>
      </c>
      <c r="Q242" s="376" t="str">
        <f t="shared" si="30"/>
        <v/>
      </c>
      <c r="R242" s="32"/>
      <c r="S242" s="114"/>
      <c r="T242" s="125"/>
      <c r="U242" s="370" t="str">
        <f t="shared" si="31"/>
        <v/>
      </c>
      <c r="V242" s="370" t="str">
        <f t="shared" si="32"/>
        <v/>
      </c>
      <c r="W242" s="374" t="str">
        <f t="shared" si="33"/>
        <v/>
      </c>
      <c r="X242" s="378" t="str">
        <f t="shared" si="34"/>
        <v/>
      </c>
      <c r="Y242" s="119"/>
      <c r="Z242" s="120"/>
      <c r="AA242" s="120"/>
      <c r="AB242" s="120"/>
      <c r="AE242" s="30" t="str">
        <f>IFERROR(INDEX('G-6 Hedgerow Data'!$BJ$3:$BJ$15,MATCH(D242,'G-6 Hedgerow Data'!$B$3:$B$15,0)),"")</f>
        <v/>
      </c>
      <c r="AH242" s="124" t="str">
        <f t="shared" si="27"/>
        <v/>
      </c>
      <c r="AI242" s="124" t="str">
        <f t="shared" si="28"/>
        <v/>
      </c>
      <c r="AK242" s="124">
        <v>233</v>
      </c>
      <c r="AM242" s="124" t="str">
        <f t="array" ref="AM242">IFERROR(INDEX($AK$10:$AK$258, MATCH(0, IF(TRUE=$AH$10:$AH$258, COUNTIF($AM$9:$AM241, $AK$10:$AK$258), ""), 0)),"")</f>
        <v/>
      </c>
      <c r="AN242" s="124" t="str">
        <f t="array" ref="AN242">IFERROR(INDEX($AK$10:$AK$258, MATCH(0, IF(TRUE=$AI$10:$AI$258, COUNTIF($AN$9:$AN241, $AK$10:$AK$258), ""), 0)),"")</f>
        <v/>
      </c>
      <c r="AY242" s="370" t="str">
        <f t="shared" si="35"/>
        <v/>
      </c>
    </row>
    <row r="243" spans="2:51" ht="15">
      <c r="B243" s="110">
        <v>234</v>
      </c>
      <c r="C243" s="165"/>
      <c r="D243" s="165"/>
      <c r="E243" s="121"/>
      <c r="F243" s="362" t="str">
        <f>IF(D243="","",VLOOKUP(D243,'G-6 Hedgerow Data'!$B$2:$AG$15,2,FALSE))</f>
        <v/>
      </c>
      <c r="G243" s="363" t="str">
        <f>IF(D243="","",VLOOKUP(D243,'G-6 Hedgerow Data'!$B$2:$AG$15,3,FALSE))</f>
        <v/>
      </c>
      <c r="H243" s="114"/>
      <c r="I243" s="363" t="str">
        <f>IFERROR(IF(AND(F243="V.Low",OR(H243="Good",H243="Moderate")),"Error ▲",VLOOKUP(H243,'G-1 All Habitats'!$Z$2:$AA$9,2,FALSE)),"")</f>
        <v/>
      </c>
      <c r="J243" s="122"/>
      <c r="K243" s="382" t="str">
        <f>IF(J243="","",IF(VLOOKUP(J243,'G-3 Multipliers'!$L$3:$N$6,2,FALSE)=0,"Spatial Data Missing ⚠",VLOOKUP(J243,'G-3 Multipliers'!$L$3:$N$6,2,FALSE)))</f>
        <v/>
      </c>
      <c r="L243" s="386" t="str">
        <f>IF(J243="","",IF(VLOOKUP(J243,'G-3 Multipliers'!$L$3:$N$6,3,FALSE)=0,"Spatial Data Missing ⚠",VLOOKUP(J243,'G-3 Multipliers'!$L$3:$N$6,3,FALSE)))</f>
        <v/>
      </c>
      <c r="M243" s="425" t="str">
        <f>IF(D243="","",VLOOKUP(D243,'G-6 Hedgerow Data'!$B$1:$AH$15,33,FALSE))</f>
        <v/>
      </c>
      <c r="N243" s="376" t="str">
        <f t="shared" si="29"/>
        <v/>
      </c>
      <c r="O243" s="516"/>
      <c r="P243" s="368" t="str">
        <f>IF(O243="","",IF(VLOOKUP(O243,'G-3 Multipliers'!$S$3:$T$10,2,FALSE)=0,"Spatial Data Missing ⚠",VLOOKUP(O243,'G-3 Multipliers'!$S$3:$T$10,2,FALSE)))</f>
        <v/>
      </c>
      <c r="Q243" s="376" t="str">
        <f t="shared" si="30"/>
        <v/>
      </c>
      <c r="R243" s="32"/>
      <c r="S243" s="114"/>
      <c r="T243" s="125"/>
      <c r="U243" s="370" t="str">
        <f t="shared" si="31"/>
        <v/>
      </c>
      <c r="V243" s="370" t="str">
        <f t="shared" si="32"/>
        <v/>
      </c>
      <c r="W243" s="374" t="str">
        <f t="shared" si="33"/>
        <v/>
      </c>
      <c r="X243" s="378" t="str">
        <f t="shared" si="34"/>
        <v/>
      </c>
      <c r="Y243" s="119"/>
      <c r="Z243" s="120"/>
      <c r="AA243" s="120"/>
      <c r="AB243" s="120"/>
      <c r="AE243" s="30" t="str">
        <f>IFERROR(INDEX('G-6 Hedgerow Data'!$BJ$3:$BJ$15,MATCH(D243,'G-6 Hedgerow Data'!$B$3:$B$15,0)),"")</f>
        <v/>
      </c>
      <c r="AH243" s="124" t="str">
        <f t="shared" si="27"/>
        <v/>
      </c>
      <c r="AI243" s="124" t="str">
        <f t="shared" si="28"/>
        <v/>
      </c>
      <c r="AK243" s="124">
        <v>234</v>
      </c>
      <c r="AM243" s="124" t="str">
        <f t="array" ref="AM243">IFERROR(INDEX($AK$10:$AK$258, MATCH(0, IF(TRUE=$AH$10:$AH$258, COUNTIF($AM$9:$AM242, $AK$10:$AK$258), ""), 0)),"")</f>
        <v/>
      </c>
      <c r="AN243" s="124" t="str">
        <f t="array" ref="AN243">IFERROR(INDEX($AK$10:$AK$258, MATCH(0, IF(TRUE=$AI$10:$AI$258, COUNTIF($AN$9:$AN242, $AK$10:$AK$258), ""), 0)),"")</f>
        <v/>
      </c>
      <c r="AY243" s="370" t="str">
        <f t="shared" si="35"/>
        <v/>
      </c>
    </row>
    <row r="244" spans="2:51" ht="15">
      <c r="B244" s="110">
        <v>235</v>
      </c>
      <c r="C244" s="165"/>
      <c r="D244" s="165"/>
      <c r="E244" s="121"/>
      <c r="F244" s="362" t="str">
        <f>IF(D244="","",VLOOKUP(D244,'G-6 Hedgerow Data'!$B$2:$AG$15,2,FALSE))</f>
        <v/>
      </c>
      <c r="G244" s="363" t="str">
        <f>IF(D244="","",VLOOKUP(D244,'G-6 Hedgerow Data'!$B$2:$AG$15,3,FALSE))</f>
        <v/>
      </c>
      <c r="H244" s="114"/>
      <c r="I244" s="363" t="str">
        <f>IFERROR(IF(AND(F244="V.Low",OR(H244="Good",H244="Moderate")),"Error ▲",VLOOKUP(H244,'G-1 All Habitats'!$Z$2:$AA$9,2,FALSE)),"")</f>
        <v/>
      </c>
      <c r="J244" s="122"/>
      <c r="K244" s="382" t="str">
        <f>IF(J244="","",IF(VLOOKUP(J244,'G-3 Multipliers'!$L$3:$N$6,2,FALSE)=0,"Spatial Data Missing ⚠",VLOOKUP(J244,'G-3 Multipliers'!$L$3:$N$6,2,FALSE)))</f>
        <v/>
      </c>
      <c r="L244" s="386" t="str">
        <f>IF(J244="","",IF(VLOOKUP(J244,'G-3 Multipliers'!$L$3:$N$6,3,FALSE)=0,"Spatial Data Missing ⚠",VLOOKUP(J244,'G-3 Multipliers'!$L$3:$N$6,3,FALSE)))</f>
        <v/>
      </c>
      <c r="M244" s="425" t="str">
        <f>IF(D244="","",VLOOKUP(D244,'G-6 Hedgerow Data'!$B$1:$AH$15,33,FALSE))</f>
        <v/>
      </c>
      <c r="N244" s="376" t="str">
        <f t="shared" si="29"/>
        <v/>
      </c>
      <c r="O244" s="516"/>
      <c r="P244" s="368" t="str">
        <f>IF(O244="","",IF(VLOOKUP(O244,'G-3 Multipliers'!$S$3:$T$10,2,FALSE)=0,"Spatial Data Missing ⚠",VLOOKUP(O244,'G-3 Multipliers'!$S$3:$T$10,2,FALSE)))</f>
        <v/>
      </c>
      <c r="Q244" s="376" t="str">
        <f t="shared" si="30"/>
        <v/>
      </c>
      <c r="R244" s="32"/>
      <c r="S244" s="114"/>
      <c r="T244" s="125"/>
      <c r="U244" s="370" t="str">
        <f t="shared" si="31"/>
        <v/>
      </c>
      <c r="V244" s="370" t="str">
        <f t="shared" si="32"/>
        <v/>
      </c>
      <c r="W244" s="374" t="str">
        <f t="shared" si="33"/>
        <v/>
      </c>
      <c r="X244" s="378" t="str">
        <f t="shared" si="34"/>
        <v/>
      </c>
      <c r="Y244" s="119"/>
      <c r="Z244" s="120"/>
      <c r="AA244" s="120"/>
      <c r="AB244" s="120"/>
      <c r="AE244" s="30" t="str">
        <f>IFERROR(INDEX('G-6 Hedgerow Data'!$BJ$3:$BJ$15,MATCH(D244,'G-6 Hedgerow Data'!$B$3:$B$15,0)),"")</f>
        <v/>
      </c>
      <c r="AH244" s="124" t="str">
        <f t="shared" si="27"/>
        <v/>
      </c>
      <c r="AI244" s="124" t="str">
        <f t="shared" si="28"/>
        <v/>
      </c>
      <c r="AK244" s="124">
        <v>235</v>
      </c>
      <c r="AM244" s="124" t="str">
        <f t="array" ref="AM244">IFERROR(INDEX($AK$10:$AK$258, MATCH(0, IF(TRUE=$AH$10:$AH$258, COUNTIF($AM$9:$AM243, $AK$10:$AK$258), ""), 0)),"")</f>
        <v/>
      </c>
      <c r="AN244" s="124" t="str">
        <f t="array" ref="AN244">IFERROR(INDEX($AK$10:$AK$258, MATCH(0, IF(TRUE=$AI$10:$AI$258, COUNTIF($AN$9:$AN243, $AK$10:$AK$258), ""), 0)),"")</f>
        <v/>
      </c>
      <c r="AY244" s="370" t="str">
        <f t="shared" si="35"/>
        <v/>
      </c>
    </row>
    <row r="245" spans="2:51" ht="15">
      <c r="B245" s="110">
        <v>236</v>
      </c>
      <c r="C245" s="165"/>
      <c r="D245" s="165"/>
      <c r="E245" s="121"/>
      <c r="F245" s="362" t="str">
        <f>IF(D245="","",VLOOKUP(D245,'G-6 Hedgerow Data'!$B$2:$AG$15,2,FALSE))</f>
        <v/>
      </c>
      <c r="G245" s="363" t="str">
        <f>IF(D245="","",VLOOKUP(D245,'G-6 Hedgerow Data'!$B$2:$AG$15,3,FALSE))</f>
        <v/>
      </c>
      <c r="H245" s="114"/>
      <c r="I245" s="363" t="str">
        <f>IFERROR(IF(AND(F245="V.Low",OR(H245="Good",H245="Moderate")),"Error ▲",VLOOKUP(H245,'G-1 All Habitats'!$Z$2:$AA$9,2,FALSE)),"")</f>
        <v/>
      </c>
      <c r="J245" s="122"/>
      <c r="K245" s="382" t="str">
        <f>IF(J245="","",IF(VLOOKUP(J245,'G-3 Multipliers'!$L$3:$N$6,2,FALSE)=0,"Spatial Data Missing ⚠",VLOOKUP(J245,'G-3 Multipliers'!$L$3:$N$6,2,FALSE)))</f>
        <v/>
      </c>
      <c r="L245" s="386" t="str">
        <f>IF(J245="","",IF(VLOOKUP(J245,'G-3 Multipliers'!$L$3:$N$6,3,FALSE)=0,"Spatial Data Missing ⚠",VLOOKUP(J245,'G-3 Multipliers'!$L$3:$N$6,3,FALSE)))</f>
        <v/>
      </c>
      <c r="M245" s="425" t="str">
        <f>IF(D245="","",VLOOKUP(D245,'G-6 Hedgerow Data'!$B$1:$AH$15,33,FALSE))</f>
        <v/>
      </c>
      <c r="N245" s="376" t="str">
        <f t="shared" si="29"/>
        <v/>
      </c>
      <c r="O245" s="516"/>
      <c r="P245" s="368" t="str">
        <f>IF(O245="","",IF(VLOOKUP(O245,'G-3 Multipliers'!$S$3:$T$10,2,FALSE)=0,"Spatial Data Missing ⚠",VLOOKUP(O245,'G-3 Multipliers'!$S$3:$T$10,2,FALSE)))</f>
        <v/>
      </c>
      <c r="Q245" s="376" t="str">
        <f t="shared" si="30"/>
        <v/>
      </c>
      <c r="R245" s="32"/>
      <c r="S245" s="114"/>
      <c r="T245" s="125"/>
      <c r="U245" s="370" t="str">
        <f t="shared" si="31"/>
        <v/>
      </c>
      <c r="V245" s="370" t="str">
        <f t="shared" si="32"/>
        <v/>
      </c>
      <c r="W245" s="374" t="str">
        <f t="shared" si="33"/>
        <v/>
      </c>
      <c r="X245" s="378" t="str">
        <f t="shared" si="34"/>
        <v/>
      </c>
      <c r="Y245" s="119"/>
      <c r="Z245" s="120"/>
      <c r="AA245" s="120"/>
      <c r="AB245" s="120"/>
      <c r="AE245" s="30" t="str">
        <f>IFERROR(INDEX('G-6 Hedgerow Data'!$BJ$3:$BJ$15,MATCH(D245,'G-6 Hedgerow Data'!$B$3:$B$15,0)),"")</f>
        <v/>
      </c>
      <c r="AH245" s="124" t="str">
        <f t="shared" si="27"/>
        <v/>
      </c>
      <c r="AI245" s="124" t="str">
        <f t="shared" si="28"/>
        <v/>
      </c>
      <c r="AK245" s="124">
        <v>236</v>
      </c>
      <c r="AM245" s="124" t="str">
        <f t="array" ref="AM245">IFERROR(INDEX($AK$10:$AK$258, MATCH(0, IF(TRUE=$AH$10:$AH$258, COUNTIF($AM$9:$AM244, $AK$10:$AK$258), ""), 0)),"")</f>
        <v/>
      </c>
      <c r="AN245" s="124" t="str">
        <f t="array" ref="AN245">IFERROR(INDEX($AK$10:$AK$258, MATCH(0, IF(TRUE=$AI$10:$AI$258, COUNTIF($AN$9:$AN244, $AK$10:$AK$258), ""), 0)),"")</f>
        <v/>
      </c>
      <c r="AY245" s="370" t="str">
        <f t="shared" si="35"/>
        <v/>
      </c>
    </row>
    <row r="246" spans="2:51" ht="15">
      <c r="B246" s="110">
        <v>237</v>
      </c>
      <c r="C246" s="165"/>
      <c r="D246" s="165"/>
      <c r="E246" s="121"/>
      <c r="F246" s="362" t="str">
        <f>IF(D246="","",VLOOKUP(D246,'G-6 Hedgerow Data'!$B$2:$AG$15,2,FALSE))</f>
        <v/>
      </c>
      <c r="G246" s="363" t="str">
        <f>IF(D246="","",VLOOKUP(D246,'G-6 Hedgerow Data'!$B$2:$AG$15,3,FALSE))</f>
        <v/>
      </c>
      <c r="H246" s="114"/>
      <c r="I246" s="363" t="str">
        <f>IFERROR(IF(AND(F246="V.Low",OR(H246="Good",H246="Moderate")),"Error ▲",VLOOKUP(H246,'G-1 All Habitats'!$Z$2:$AA$9,2,FALSE)),"")</f>
        <v/>
      </c>
      <c r="J246" s="122"/>
      <c r="K246" s="382" t="str">
        <f>IF(J246="","",IF(VLOOKUP(J246,'G-3 Multipliers'!$L$3:$N$6,2,FALSE)=0,"Spatial Data Missing ⚠",VLOOKUP(J246,'G-3 Multipliers'!$L$3:$N$6,2,FALSE)))</f>
        <v/>
      </c>
      <c r="L246" s="386" t="str">
        <f>IF(J246="","",IF(VLOOKUP(J246,'G-3 Multipliers'!$L$3:$N$6,3,FALSE)=0,"Spatial Data Missing ⚠",VLOOKUP(J246,'G-3 Multipliers'!$L$3:$N$6,3,FALSE)))</f>
        <v/>
      </c>
      <c r="M246" s="425" t="str">
        <f>IF(D246="","",VLOOKUP(D246,'G-6 Hedgerow Data'!$B$1:$AH$15,33,FALSE))</f>
        <v/>
      </c>
      <c r="N246" s="376" t="str">
        <f t="shared" si="29"/>
        <v/>
      </c>
      <c r="O246" s="516"/>
      <c r="P246" s="368" t="str">
        <f>IF(O246="","",IF(VLOOKUP(O246,'G-3 Multipliers'!$S$3:$T$10,2,FALSE)=0,"Spatial Data Missing ⚠",VLOOKUP(O246,'G-3 Multipliers'!$S$3:$T$10,2,FALSE)))</f>
        <v/>
      </c>
      <c r="Q246" s="376" t="str">
        <f t="shared" si="30"/>
        <v/>
      </c>
      <c r="R246" s="32"/>
      <c r="S246" s="114"/>
      <c r="T246" s="125"/>
      <c r="U246" s="370" t="str">
        <f t="shared" si="31"/>
        <v/>
      </c>
      <c r="V246" s="370" t="str">
        <f t="shared" si="32"/>
        <v/>
      </c>
      <c r="W246" s="374" t="str">
        <f t="shared" si="33"/>
        <v/>
      </c>
      <c r="X246" s="378" t="str">
        <f t="shared" si="34"/>
        <v/>
      </c>
      <c r="Y246" s="119"/>
      <c r="Z246" s="120"/>
      <c r="AA246" s="120"/>
      <c r="AB246" s="120"/>
      <c r="AE246" s="30" t="str">
        <f>IFERROR(INDEX('G-6 Hedgerow Data'!$BJ$3:$BJ$15,MATCH(D246,'G-6 Hedgerow Data'!$B$3:$B$15,0)),"")</f>
        <v/>
      </c>
      <c r="AH246" s="124" t="str">
        <f t="shared" si="27"/>
        <v/>
      </c>
      <c r="AI246" s="124" t="str">
        <f t="shared" si="28"/>
        <v/>
      </c>
      <c r="AK246" s="124">
        <v>237</v>
      </c>
      <c r="AM246" s="124" t="str">
        <f t="array" ref="AM246">IFERROR(INDEX($AK$10:$AK$258, MATCH(0, IF(TRUE=$AH$10:$AH$258, COUNTIF($AM$9:$AM245, $AK$10:$AK$258), ""), 0)),"")</f>
        <v/>
      </c>
      <c r="AN246" s="124" t="str">
        <f t="array" ref="AN246">IFERROR(INDEX($AK$10:$AK$258, MATCH(0, IF(TRUE=$AI$10:$AI$258, COUNTIF($AN$9:$AN245, $AK$10:$AK$258), ""), 0)),"")</f>
        <v/>
      </c>
      <c r="AY246" s="370" t="str">
        <f t="shared" si="35"/>
        <v/>
      </c>
    </row>
    <row r="247" spans="2:51" ht="15">
      <c r="B247" s="110">
        <v>238</v>
      </c>
      <c r="C247" s="165"/>
      <c r="D247" s="165"/>
      <c r="E247" s="121"/>
      <c r="F247" s="362" t="str">
        <f>IF(D247="","",VLOOKUP(D247,'G-6 Hedgerow Data'!$B$2:$AG$15,2,FALSE))</f>
        <v/>
      </c>
      <c r="G247" s="363" t="str">
        <f>IF(D247="","",VLOOKUP(D247,'G-6 Hedgerow Data'!$B$2:$AG$15,3,FALSE))</f>
        <v/>
      </c>
      <c r="H247" s="114"/>
      <c r="I247" s="363" t="str">
        <f>IFERROR(IF(AND(F247="V.Low",OR(H247="Good",H247="Moderate")),"Error ▲",VLOOKUP(H247,'G-1 All Habitats'!$Z$2:$AA$9,2,FALSE)),"")</f>
        <v/>
      </c>
      <c r="J247" s="122"/>
      <c r="K247" s="382" t="str">
        <f>IF(J247="","",IF(VLOOKUP(J247,'G-3 Multipliers'!$L$3:$N$6,2,FALSE)=0,"Spatial Data Missing ⚠",VLOOKUP(J247,'G-3 Multipliers'!$L$3:$N$6,2,FALSE)))</f>
        <v/>
      </c>
      <c r="L247" s="386" t="str">
        <f>IF(J247="","",IF(VLOOKUP(J247,'G-3 Multipliers'!$L$3:$N$6,3,FALSE)=0,"Spatial Data Missing ⚠",VLOOKUP(J247,'G-3 Multipliers'!$L$3:$N$6,3,FALSE)))</f>
        <v/>
      </c>
      <c r="M247" s="425" t="str">
        <f>IF(D247="","",VLOOKUP(D247,'G-6 Hedgerow Data'!$B$1:$AH$15,33,FALSE))</f>
        <v/>
      </c>
      <c r="N247" s="376" t="str">
        <f t="shared" si="29"/>
        <v/>
      </c>
      <c r="O247" s="516"/>
      <c r="P247" s="368" t="str">
        <f>IF(O247="","",IF(VLOOKUP(O247,'G-3 Multipliers'!$S$3:$T$10,2,FALSE)=0,"Spatial Data Missing ⚠",VLOOKUP(O247,'G-3 Multipliers'!$S$3:$T$10,2,FALSE)))</f>
        <v/>
      </c>
      <c r="Q247" s="376" t="str">
        <f t="shared" si="30"/>
        <v/>
      </c>
      <c r="R247" s="32"/>
      <c r="S247" s="114"/>
      <c r="T247" s="125"/>
      <c r="U247" s="370" t="str">
        <f t="shared" si="31"/>
        <v/>
      </c>
      <c r="V247" s="370" t="str">
        <f t="shared" si="32"/>
        <v/>
      </c>
      <c r="W247" s="374" t="str">
        <f t="shared" si="33"/>
        <v/>
      </c>
      <c r="X247" s="378" t="str">
        <f t="shared" si="34"/>
        <v/>
      </c>
      <c r="Y247" s="119"/>
      <c r="Z247" s="120"/>
      <c r="AA247" s="120"/>
      <c r="AB247" s="120"/>
      <c r="AE247" s="30" t="str">
        <f>IFERROR(INDEX('G-6 Hedgerow Data'!$BJ$3:$BJ$15,MATCH(D247,'G-6 Hedgerow Data'!$B$3:$B$15,0)),"")</f>
        <v/>
      </c>
      <c r="AH247" s="124" t="str">
        <f t="shared" si="27"/>
        <v/>
      </c>
      <c r="AI247" s="124" t="str">
        <f t="shared" si="28"/>
        <v/>
      </c>
      <c r="AK247" s="124">
        <v>238</v>
      </c>
      <c r="AM247" s="124" t="str">
        <f t="array" ref="AM247">IFERROR(INDEX($AK$10:$AK$258, MATCH(0, IF(TRUE=$AH$10:$AH$258, COUNTIF($AM$9:$AM246, $AK$10:$AK$258), ""), 0)),"")</f>
        <v/>
      </c>
      <c r="AN247" s="124" t="str">
        <f t="array" ref="AN247">IFERROR(INDEX($AK$10:$AK$258, MATCH(0, IF(TRUE=$AI$10:$AI$258, COUNTIF($AN$9:$AN246, $AK$10:$AK$258), ""), 0)),"")</f>
        <v/>
      </c>
      <c r="AY247" s="370" t="str">
        <f t="shared" si="35"/>
        <v/>
      </c>
    </row>
    <row r="248" spans="2:51" ht="15">
      <c r="B248" s="110">
        <v>239</v>
      </c>
      <c r="C248" s="165"/>
      <c r="D248" s="165"/>
      <c r="E248" s="121"/>
      <c r="F248" s="362" t="str">
        <f>IF(D248="","",VLOOKUP(D248,'G-6 Hedgerow Data'!$B$2:$AG$15,2,FALSE))</f>
        <v/>
      </c>
      <c r="G248" s="363" t="str">
        <f>IF(D248="","",VLOOKUP(D248,'G-6 Hedgerow Data'!$B$2:$AG$15,3,FALSE))</f>
        <v/>
      </c>
      <c r="H248" s="114"/>
      <c r="I248" s="363" t="str">
        <f>IFERROR(IF(AND(F248="V.Low",OR(H248="Good",H248="Moderate")),"Error ▲",VLOOKUP(H248,'G-1 All Habitats'!$Z$2:$AA$9,2,FALSE)),"")</f>
        <v/>
      </c>
      <c r="J248" s="122"/>
      <c r="K248" s="382" t="str">
        <f>IF(J248="","",IF(VLOOKUP(J248,'G-3 Multipliers'!$L$3:$N$6,2,FALSE)=0,"Spatial Data Missing ⚠",VLOOKUP(J248,'G-3 Multipliers'!$L$3:$N$6,2,FALSE)))</f>
        <v/>
      </c>
      <c r="L248" s="386" t="str">
        <f>IF(J248="","",IF(VLOOKUP(J248,'G-3 Multipliers'!$L$3:$N$6,3,FALSE)=0,"Spatial Data Missing ⚠",VLOOKUP(J248,'G-3 Multipliers'!$L$3:$N$6,3,FALSE)))</f>
        <v/>
      </c>
      <c r="M248" s="425" t="str">
        <f>IF(D248="","",VLOOKUP(D248,'G-6 Hedgerow Data'!$B$1:$AH$15,33,FALSE))</f>
        <v/>
      </c>
      <c r="N248" s="376" t="str">
        <f t="shared" si="29"/>
        <v/>
      </c>
      <c r="O248" s="516"/>
      <c r="P248" s="368" t="str">
        <f>IF(O248="","",IF(VLOOKUP(O248,'G-3 Multipliers'!$S$3:$T$10,2,FALSE)=0,"Spatial Data Missing ⚠",VLOOKUP(O248,'G-3 Multipliers'!$S$3:$T$10,2,FALSE)))</f>
        <v/>
      </c>
      <c r="Q248" s="376" t="str">
        <f t="shared" si="30"/>
        <v/>
      </c>
      <c r="R248" s="32"/>
      <c r="S248" s="114"/>
      <c r="T248" s="125"/>
      <c r="U248" s="370" t="str">
        <f t="shared" si="31"/>
        <v/>
      </c>
      <c r="V248" s="370" t="str">
        <f t="shared" si="32"/>
        <v/>
      </c>
      <c r="W248" s="374" t="str">
        <f t="shared" si="33"/>
        <v/>
      </c>
      <c r="X248" s="378" t="str">
        <f t="shared" si="34"/>
        <v/>
      </c>
      <c r="Y248" s="119"/>
      <c r="Z248" s="120"/>
      <c r="AA248" s="120"/>
      <c r="AB248" s="120"/>
      <c r="AE248" s="30" t="str">
        <f>IFERROR(INDEX('G-6 Hedgerow Data'!$BJ$3:$BJ$15,MATCH(D248,'G-6 Hedgerow Data'!$B$3:$B$15,0)),"")</f>
        <v/>
      </c>
      <c r="AH248" s="124" t="str">
        <f t="shared" si="27"/>
        <v/>
      </c>
      <c r="AI248" s="124" t="str">
        <f t="shared" si="28"/>
        <v/>
      </c>
      <c r="AK248" s="124">
        <v>239</v>
      </c>
      <c r="AM248" s="124" t="str">
        <f t="array" ref="AM248">IFERROR(INDEX($AK$10:$AK$258, MATCH(0, IF(TRUE=$AH$10:$AH$258, COUNTIF($AM$9:$AM247, $AK$10:$AK$258), ""), 0)),"")</f>
        <v/>
      </c>
      <c r="AN248" s="124" t="str">
        <f t="array" ref="AN248">IFERROR(INDEX($AK$10:$AK$258, MATCH(0, IF(TRUE=$AI$10:$AI$258, COUNTIF($AN$9:$AN247, $AK$10:$AK$258), ""), 0)),"")</f>
        <v/>
      </c>
      <c r="AY248" s="370" t="str">
        <f t="shared" si="35"/>
        <v/>
      </c>
    </row>
    <row r="249" spans="2:51" ht="15">
      <c r="B249" s="110">
        <v>240</v>
      </c>
      <c r="C249" s="165"/>
      <c r="D249" s="165"/>
      <c r="E249" s="121"/>
      <c r="F249" s="362" t="str">
        <f>IF(D249="","",VLOOKUP(D249,'G-6 Hedgerow Data'!$B$2:$AG$15,2,FALSE))</f>
        <v/>
      </c>
      <c r="G249" s="363" t="str">
        <f>IF(D249="","",VLOOKUP(D249,'G-6 Hedgerow Data'!$B$2:$AG$15,3,FALSE))</f>
        <v/>
      </c>
      <c r="H249" s="114"/>
      <c r="I249" s="363" t="str">
        <f>IFERROR(IF(AND(F249="V.Low",OR(H249="Good",H249="Moderate")),"Error ▲",VLOOKUP(H249,'G-1 All Habitats'!$Z$2:$AA$9,2,FALSE)),"")</f>
        <v/>
      </c>
      <c r="J249" s="122"/>
      <c r="K249" s="382" t="str">
        <f>IF(J249="","",IF(VLOOKUP(J249,'G-3 Multipliers'!$L$3:$N$6,2,FALSE)=0,"Spatial Data Missing ⚠",VLOOKUP(J249,'G-3 Multipliers'!$L$3:$N$6,2,FALSE)))</f>
        <v/>
      </c>
      <c r="L249" s="386" t="str">
        <f>IF(J249="","",IF(VLOOKUP(J249,'G-3 Multipliers'!$L$3:$N$6,3,FALSE)=0,"Spatial Data Missing ⚠",VLOOKUP(J249,'G-3 Multipliers'!$L$3:$N$6,3,FALSE)))</f>
        <v/>
      </c>
      <c r="M249" s="425" t="str">
        <f>IF(D249="","",VLOOKUP(D249,'G-6 Hedgerow Data'!$B$1:$AH$15,33,FALSE))</f>
        <v/>
      </c>
      <c r="N249" s="376" t="str">
        <f t="shared" si="29"/>
        <v/>
      </c>
      <c r="O249" s="516"/>
      <c r="P249" s="368" t="str">
        <f>IF(O249="","",IF(VLOOKUP(O249,'G-3 Multipliers'!$S$3:$T$10,2,FALSE)=0,"Spatial Data Missing ⚠",VLOOKUP(O249,'G-3 Multipliers'!$S$3:$T$10,2,FALSE)))</f>
        <v/>
      </c>
      <c r="Q249" s="376" t="str">
        <f t="shared" si="30"/>
        <v/>
      </c>
      <c r="R249" s="32"/>
      <c r="S249" s="114"/>
      <c r="T249" s="125"/>
      <c r="U249" s="370" t="str">
        <f t="shared" si="31"/>
        <v/>
      </c>
      <c r="V249" s="370" t="str">
        <f t="shared" si="32"/>
        <v/>
      </c>
      <c r="W249" s="374" t="str">
        <f t="shared" si="33"/>
        <v/>
      </c>
      <c r="X249" s="378" t="str">
        <f t="shared" si="34"/>
        <v/>
      </c>
      <c r="Y249" s="119"/>
      <c r="Z249" s="120"/>
      <c r="AA249" s="120"/>
      <c r="AB249" s="120"/>
      <c r="AE249" s="30" t="str">
        <f>IFERROR(INDEX('G-6 Hedgerow Data'!$BJ$3:$BJ$15,MATCH(D249,'G-6 Hedgerow Data'!$B$3:$B$15,0)),"")</f>
        <v/>
      </c>
      <c r="AH249" s="124" t="str">
        <f t="shared" si="27"/>
        <v/>
      </c>
      <c r="AI249" s="124" t="str">
        <f t="shared" si="28"/>
        <v/>
      </c>
      <c r="AK249" s="124">
        <v>240</v>
      </c>
      <c r="AM249" s="124" t="str">
        <f t="array" ref="AM249">IFERROR(INDEX($AK$10:$AK$258, MATCH(0, IF(TRUE=$AH$10:$AH$258, COUNTIF($AM$9:$AM248, $AK$10:$AK$258), ""), 0)),"")</f>
        <v/>
      </c>
      <c r="AN249" s="124" t="str">
        <f t="array" ref="AN249">IFERROR(INDEX($AK$10:$AK$258, MATCH(0, IF(TRUE=$AI$10:$AI$258, COUNTIF($AN$9:$AN248, $AK$10:$AK$258), ""), 0)),"")</f>
        <v/>
      </c>
      <c r="AY249" s="370" t="str">
        <f t="shared" si="35"/>
        <v/>
      </c>
    </row>
    <row r="250" spans="2:51" ht="15">
      <c r="B250" s="110">
        <v>241</v>
      </c>
      <c r="C250" s="165"/>
      <c r="D250" s="165"/>
      <c r="E250" s="121"/>
      <c r="F250" s="362" t="str">
        <f>IF(D250="","",VLOOKUP(D250,'G-6 Hedgerow Data'!$B$2:$AG$15,2,FALSE))</f>
        <v/>
      </c>
      <c r="G250" s="363" t="str">
        <f>IF(D250="","",VLOOKUP(D250,'G-6 Hedgerow Data'!$B$2:$AG$15,3,FALSE))</f>
        <v/>
      </c>
      <c r="H250" s="114"/>
      <c r="I250" s="363" t="str">
        <f>IFERROR(IF(AND(F250="V.Low",OR(H250="Good",H250="Moderate")),"Error ▲",VLOOKUP(H250,'G-1 All Habitats'!$Z$2:$AA$9,2,FALSE)),"")</f>
        <v/>
      </c>
      <c r="J250" s="122"/>
      <c r="K250" s="382" t="str">
        <f>IF(J250="","",IF(VLOOKUP(J250,'G-3 Multipliers'!$L$3:$N$6,2,FALSE)=0,"Spatial Data Missing ⚠",VLOOKUP(J250,'G-3 Multipliers'!$L$3:$N$6,2,FALSE)))</f>
        <v/>
      </c>
      <c r="L250" s="386" t="str">
        <f>IF(J250="","",IF(VLOOKUP(J250,'G-3 Multipliers'!$L$3:$N$6,3,FALSE)=0,"Spatial Data Missing ⚠",VLOOKUP(J250,'G-3 Multipliers'!$L$3:$N$6,3,FALSE)))</f>
        <v/>
      </c>
      <c r="M250" s="425" t="str">
        <f>IF(D250="","",VLOOKUP(D250,'G-6 Hedgerow Data'!$B$1:$AH$15,33,FALSE))</f>
        <v/>
      </c>
      <c r="N250" s="376" t="str">
        <f t="shared" si="29"/>
        <v/>
      </c>
      <c r="O250" s="516"/>
      <c r="P250" s="368" t="str">
        <f>IF(O250="","",IF(VLOOKUP(O250,'G-3 Multipliers'!$S$3:$T$10,2,FALSE)=0,"Spatial Data Missing ⚠",VLOOKUP(O250,'G-3 Multipliers'!$S$3:$T$10,2,FALSE)))</f>
        <v/>
      </c>
      <c r="Q250" s="376" t="str">
        <f t="shared" si="30"/>
        <v/>
      </c>
      <c r="R250" s="32"/>
      <c r="S250" s="114"/>
      <c r="T250" s="125"/>
      <c r="U250" s="370" t="str">
        <f t="shared" si="31"/>
        <v/>
      </c>
      <c r="V250" s="370" t="str">
        <f t="shared" si="32"/>
        <v/>
      </c>
      <c r="W250" s="374" t="str">
        <f t="shared" si="33"/>
        <v/>
      </c>
      <c r="X250" s="378" t="str">
        <f t="shared" si="34"/>
        <v/>
      </c>
      <c r="Y250" s="119"/>
      <c r="Z250" s="120"/>
      <c r="AA250" s="120"/>
      <c r="AB250" s="120"/>
      <c r="AE250" s="30" t="str">
        <f>IFERROR(INDEX('G-6 Hedgerow Data'!$BJ$3:$BJ$15,MATCH(D250,'G-6 Hedgerow Data'!$B$3:$B$15,0)),"")</f>
        <v/>
      </c>
      <c r="AH250" s="124" t="str">
        <f t="shared" si="27"/>
        <v/>
      </c>
      <c r="AI250" s="124" t="str">
        <f t="shared" si="28"/>
        <v/>
      </c>
      <c r="AK250" s="124">
        <v>241</v>
      </c>
      <c r="AM250" s="124" t="str">
        <f t="array" ref="AM250">IFERROR(INDEX($AK$10:$AK$258, MATCH(0, IF(TRUE=$AH$10:$AH$258, COUNTIF($AM$9:$AM249, $AK$10:$AK$258), ""), 0)),"")</f>
        <v/>
      </c>
      <c r="AN250" s="124" t="str">
        <f t="array" ref="AN250">IFERROR(INDEX($AK$10:$AK$258, MATCH(0, IF(TRUE=$AI$10:$AI$258, COUNTIF($AN$9:$AN249, $AK$10:$AK$258), ""), 0)),"")</f>
        <v/>
      </c>
      <c r="AY250" s="370" t="str">
        <f t="shared" si="35"/>
        <v/>
      </c>
    </row>
    <row r="251" spans="2:51" ht="15">
      <c r="B251" s="110">
        <v>242</v>
      </c>
      <c r="C251" s="165"/>
      <c r="D251" s="165"/>
      <c r="E251" s="121"/>
      <c r="F251" s="362" t="str">
        <f>IF(D251="","",VLOOKUP(D251,'G-6 Hedgerow Data'!$B$2:$AG$15,2,FALSE))</f>
        <v/>
      </c>
      <c r="G251" s="363" t="str">
        <f>IF(D251="","",VLOOKUP(D251,'G-6 Hedgerow Data'!$B$2:$AG$15,3,FALSE))</f>
        <v/>
      </c>
      <c r="H251" s="114"/>
      <c r="I251" s="363" t="str">
        <f>IFERROR(IF(AND(F251="V.Low",OR(H251="Good",H251="Moderate")),"Error ▲",VLOOKUP(H251,'G-1 All Habitats'!$Z$2:$AA$9,2,FALSE)),"")</f>
        <v/>
      </c>
      <c r="J251" s="122"/>
      <c r="K251" s="382" t="str">
        <f>IF(J251="","",IF(VLOOKUP(J251,'G-3 Multipliers'!$L$3:$N$6,2,FALSE)=0,"Spatial Data Missing ⚠",VLOOKUP(J251,'G-3 Multipliers'!$L$3:$N$6,2,FALSE)))</f>
        <v/>
      </c>
      <c r="L251" s="386" t="str">
        <f>IF(J251="","",IF(VLOOKUP(J251,'G-3 Multipliers'!$L$3:$N$6,3,FALSE)=0,"Spatial Data Missing ⚠",VLOOKUP(J251,'G-3 Multipliers'!$L$3:$N$6,3,FALSE)))</f>
        <v/>
      </c>
      <c r="M251" s="425" t="str">
        <f>IF(D251="","",VLOOKUP(D251,'G-6 Hedgerow Data'!$B$1:$AH$15,33,FALSE))</f>
        <v/>
      </c>
      <c r="N251" s="376" t="str">
        <f t="shared" si="29"/>
        <v/>
      </c>
      <c r="O251" s="516"/>
      <c r="P251" s="368" t="str">
        <f>IF(O251="","",IF(VLOOKUP(O251,'G-3 Multipliers'!$S$3:$T$10,2,FALSE)=0,"Spatial Data Missing ⚠",VLOOKUP(O251,'G-3 Multipliers'!$S$3:$T$10,2,FALSE)))</f>
        <v/>
      </c>
      <c r="Q251" s="376" t="str">
        <f t="shared" si="30"/>
        <v/>
      </c>
      <c r="R251" s="32"/>
      <c r="S251" s="114"/>
      <c r="T251" s="125"/>
      <c r="U251" s="370" t="str">
        <f t="shared" si="31"/>
        <v/>
      </c>
      <c r="V251" s="370" t="str">
        <f t="shared" si="32"/>
        <v/>
      </c>
      <c r="W251" s="374" t="str">
        <f t="shared" si="33"/>
        <v/>
      </c>
      <c r="X251" s="378" t="str">
        <f t="shared" si="34"/>
        <v/>
      </c>
      <c r="Y251" s="119"/>
      <c r="Z251" s="120"/>
      <c r="AA251" s="120"/>
      <c r="AB251" s="120"/>
      <c r="AE251" s="30" t="str">
        <f>IFERROR(INDEX('G-6 Hedgerow Data'!$BJ$3:$BJ$15,MATCH(D251,'G-6 Hedgerow Data'!$B$3:$B$15,0)),"")</f>
        <v/>
      </c>
      <c r="AH251" s="124" t="str">
        <f t="shared" si="27"/>
        <v/>
      </c>
      <c r="AI251" s="124" t="str">
        <f t="shared" si="28"/>
        <v/>
      </c>
      <c r="AK251" s="124">
        <v>242</v>
      </c>
      <c r="AM251" s="124" t="str">
        <f t="array" ref="AM251">IFERROR(INDEX($AK$10:$AK$258, MATCH(0, IF(TRUE=$AH$10:$AH$258, COUNTIF($AM$9:$AM250, $AK$10:$AK$258), ""), 0)),"")</f>
        <v/>
      </c>
      <c r="AN251" s="124" t="str">
        <f t="array" ref="AN251">IFERROR(INDEX($AK$10:$AK$258, MATCH(0, IF(TRUE=$AI$10:$AI$258, COUNTIF($AN$9:$AN250, $AK$10:$AK$258), ""), 0)),"")</f>
        <v/>
      </c>
      <c r="AY251" s="370" t="str">
        <f t="shared" si="35"/>
        <v/>
      </c>
    </row>
    <row r="252" spans="2:51" ht="15">
      <c r="B252" s="110">
        <v>243</v>
      </c>
      <c r="C252" s="165"/>
      <c r="D252" s="165"/>
      <c r="E252" s="121"/>
      <c r="F252" s="362" t="str">
        <f>IF(D252="","",VLOOKUP(D252,'G-6 Hedgerow Data'!$B$2:$AG$15,2,FALSE))</f>
        <v/>
      </c>
      <c r="G252" s="363" t="str">
        <f>IF(D252="","",VLOOKUP(D252,'G-6 Hedgerow Data'!$B$2:$AG$15,3,FALSE))</f>
        <v/>
      </c>
      <c r="H252" s="114"/>
      <c r="I252" s="363" t="str">
        <f>IFERROR(IF(AND(F252="V.Low",OR(H252="Good",H252="Moderate")),"Error ▲",VLOOKUP(H252,'G-1 All Habitats'!$Z$2:$AA$9,2,FALSE)),"")</f>
        <v/>
      </c>
      <c r="J252" s="122"/>
      <c r="K252" s="382" t="str">
        <f>IF(J252="","",IF(VLOOKUP(J252,'G-3 Multipliers'!$L$3:$N$6,2,FALSE)=0,"Spatial Data Missing ⚠",VLOOKUP(J252,'G-3 Multipliers'!$L$3:$N$6,2,FALSE)))</f>
        <v/>
      </c>
      <c r="L252" s="386" t="str">
        <f>IF(J252="","",IF(VLOOKUP(J252,'G-3 Multipliers'!$L$3:$N$6,3,FALSE)=0,"Spatial Data Missing ⚠",VLOOKUP(J252,'G-3 Multipliers'!$L$3:$N$6,3,FALSE)))</f>
        <v/>
      </c>
      <c r="M252" s="425" t="str">
        <f>IF(D252="","",VLOOKUP(D252,'G-6 Hedgerow Data'!$B$1:$AH$15,33,FALSE))</f>
        <v/>
      </c>
      <c r="N252" s="376" t="str">
        <f t="shared" si="29"/>
        <v/>
      </c>
      <c r="O252" s="516"/>
      <c r="P252" s="368" t="str">
        <f>IF(O252="","",IF(VLOOKUP(O252,'G-3 Multipliers'!$S$3:$T$10,2,FALSE)=0,"Spatial Data Missing ⚠",VLOOKUP(O252,'G-3 Multipliers'!$S$3:$T$10,2,FALSE)))</f>
        <v/>
      </c>
      <c r="Q252" s="376" t="str">
        <f t="shared" si="30"/>
        <v/>
      </c>
      <c r="R252" s="32"/>
      <c r="S252" s="114"/>
      <c r="T252" s="125"/>
      <c r="U252" s="370" t="str">
        <f t="shared" si="31"/>
        <v/>
      </c>
      <c r="V252" s="370" t="str">
        <f t="shared" si="32"/>
        <v/>
      </c>
      <c r="W252" s="374" t="str">
        <f t="shared" si="33"/>
        <v/>
      </c>
      <c r="X252" s="378" t="str">
        <f t="shared" si="34"/>
        <v/>
      </c>
      <c r="Y252" s="119"/>
      <c r="Z252" s="120"/>
      <c r="AA252" s="120"/>
      <c r="AB252" s="120"/>
      <c r="AE252" s="30" t="str">
        <f>IFERROR(INDEX('G-6 Hedgerow Data'!$BJ$3:$BJ$15,MATCH(D252,'G-6 Hedgerow Data'!$B$3:$B$15,0)),"")</f>
        <v/>
      </c>
      <c r="AH252" s="124" t="str">
        <f t="shared" si="27"/>
        <v/>
      </c>
      <c r="AI252" s="124" t="str">
        <f t="shared" si="28"/>
        <v/>
      </c>
      <c r="AK252" s="124">
        <v>243</v>
      </c>
      <c r="AM252" s="124" t="str">
        <f t="array" ref="AM252">IFERROR(INDEX($AK$10:$AK$258, MATCH(0, IF(TRUE=$AH$10:$AH$258, COUNTIF($AM$9:$AM251, $AK$10:$AK$258), ""), 0)),"")</f>
        <v/>
      </c>
      <c r="AN252" s="124" t="str">
        <f t="array" ref="AN252">IFERROR(INDEX($AK$10:$AK$258, MATCH(0, IF(TRUE=$AI$10:$AI$258, COUNTIF($AN$9:$AN251, $AK$10:$AK$258), ""), 0)),"")</f>
        <v/>
      </c>
      <c r="AY252" s="370" t="str">
        <f t="shared" si="35"/>
        <v/>
      </c>
    </row>
    <row r="253" spans="2:51" ht="15">
      <c r="B253" s="110">
        <v>244</v>
      </c>
      <c r="C253" s="165"/>
      <c r="D253" s="165"/>
      <c r="E253" s="121"/>
      <c r="F253" s="362" t="str">
        <f>IF(D253="","",VLOOKUP(D253,'G-6 Hedgerow Data'!$B$2:$AG$15,2,FALSE))</f>
        <v/>
      </c>
      <c r="G253" s="363" t="str">
        <f>IF(D253="","",VLOOKUP(D253,'G-6 Hedgerow Data'!$B$2:$AG$15,3,FALSE))</f>
        <v/>
      </c>
      <c r="H253" s="114"/>
      <c r="I253" s="363" t="str">
        <f>IFERROR(IF(AND(F253="V.Low",OR(H253="Good",H253="Moderate")),"Error ▲",VLOOKUP(H253,'G-1 All Habitats'!$Z$2:$AA$9,2,FALSE)),"")</f>
        <v/>
      </c>
      <c r="J253" s="122"/>
      <c r="K253" s="382" t="str">
        <f>IF(J253="","",IF(VLOOKUP(J253,'G-3 Multipliers'!$L$3:$N$6,2,FALSE)=0,"Spatial Data Missing ⚠",VLOOKUP(J253,'G-3 Multipliers'!$L$3:$N$6,2,FALSE)))</f>
        <v/>
      </c>
      <c r="L253" s="386" t="str">
        <f>IF(J253="","",IF(VLOOKUP(J253,'G-3 Multipliers'!$L$3:$N$6,3,FALSE)=0,"Spatial Data Missing ⚠",VLOOKUP(J253,'G-3 Multipliers'!$L$3:$N$6,3,FALSE)))</f>
        <v/>
      </c>
      <c r="M253" s="425" t="str">
        <f>IF(D253="","",VLOOKUP(D253,'G-6 Hedgerow Data'!$B$1:$AH$15,33,FALSE))</f>
        <v/>
      </c>
      <c r="N253" s="376" t="str">
        <f t="shared" si="29"/>
        <v/>
      </c>
      <c r="O253" s="516"/>
      <c r="P253" s="368" t="str">
        <f>IF(O253="","",IF(VLOOKUP(O253,'G-3 Multipliers'!$S$3:$T$10,2,FALSE)=0,"Spatial Data Missing ⚠",VLOOKUP(O253,'G-3 Multipliers'!$S$3:$T$10,2,FALSE)))</f>
        <v/>
      </c>
      <c r="Q253" s="376" t="str">
        <f t="shared" si="30"/>
        <v/>
      </c>
      <c r="R253" s="32"/>
      <c r="S253" s="114"/>
      <c r="T253" s="125"/>
      <c r="U253" s="370" t="str">
        <f t="shared" si="31"/>
        <v/>
      </c>
      <c r="V253" s="370" t="str">
        <f t="shared" si="32"/>
        <v/>
      </c>
      <c r="W253" s="374" t="str">
        <f t="shared" si="33"/>
        <v/>
      </c>
      <c r="X253" s="378" t="str">
        <f t="shared" si="34"/>
        <v/>
      </c>
      <c r="Y253" s="119"/>
      <c r="Z253" s="120"/>
      <c r="AA253" s="120"/>
      <c r="AB253" s="120"/>
      <c r="AE253" s="30" t="str">
        <f>IFERROR(INDEX('G-6 Hedgerow Data'!$BJ$3:$BJ$15,MATCH(D253,'G-6 Hedgerow Data'!$B$3:$B$15,0)),"")</f>
        <v/>
      </c>
      <c r="AH253" s="124" t="str">
        <f t="shared" si="27"/>
        <v/>
      </c>
      <c r="AI253" s="124" t="str">
        <f t="shared" si="28"/>
        <v/>
      </c>
      <c r="AK253" s="124">
        <v>244</v>
      </c>
      <c r="AM253" s="124" t="str">
        <f t="array" ref="AM253">IFERROR(INDEX($AK$10:$AK$258, MATCH(0, IF(TRUE=$AH$10:$AH$258, COUNTIF($AM$9:$AM252, $AK$10:$AK$258), ""), 0)),"")</f>
        <v/>
      </c>
      <c r="AN253" s="124" t="str">
        <f t="array" ref="AN253">IFERROR(INDEX($AK$10:$AK$258, MATCH(0, IF(TRUE=$AI$10:$AI$258, COUNTIF($AN$9:$AN252, $AK$10:$AK$258), ""), 0)),"")</f>
        <v/>
      </c>
      <c r="AY253" s="370" t="str">
        <f t="shared" si="35"/>
        <v/>
      </c>
    </row>
    <row r="254" spans="2:51" ht="15">
      <c r="B254" s="110">
        <v>245</v>
      </c>
      <c r="C254" s="165"/>
      <c r="D254" s="165"/>
      <c r="E254" s="121"/>
      <c r="F254" s="362" t="str">
        <f>IF(D254="","",VLOOKUP(D254,'G-6 Hedgerow Data'!$B$2:$AG$15,2,FALSE))</f>
        <v/>
      </c>
      <c r="G254" s="363" t="str">
        <f>IF(D254="","",VLOOKUP(D254,'G-6 Hedgerow Data'!$B$2:$AG$15,3,FALSE))</f>
        <v/>
      </c>
      <c r="H254" s="114"/>
      <c r="I254" s="363" t="str">
        <f>IFERROR(IF(AND(F254="V.Low",OR(H254="Good",H254="Moderate")),"Error ▲",VLOOKUP(H254,'G-1 All Habitats'!$Z$2:$AA$9,2,FALSE)),"")</f>
        <v/>
      </c>
      <c r="J254" s="122"/>
      <c r="K254" s="382" t="str">
        <f>IF(J254="","",IF(VLOOKUP(J254,'G-3 Multipliers'!$L$3:$N$6,2,FALSE)=0,"Spatial Data Missing ⚠",VLOOKUP(J254,'G-3 Multipliers'!$L$3:$N$6,2,FALSE)))</f>
        <v/>
      </c>
      <c r="L254" s="386" t="str">
        <f>IF(J254="","",IF(VLOOKUP(J254,'G-3 Multipliers'!$L$3:$N$6,3,FALSE)=0,"Spatial Data Missing ⚠",VLOOKUP(J254,'G-3 Multipliers'!$L$3:$N$6,3,FALSE)))</f>
        <v/>
      </c>
      <c r="M254" s="425" t="str">
        <f>IF(D254="","",VLOOKUP(D254,'G-6 Hedgerow Data'!$B$1:$AH$15,33,FALSE))</f>
        <v/>
      </c>
      <c r="N254" s="376" t="str">
        <f t="shared" si="29"/>
        <v/>
      </c>
      <c r="O254" s="516"/>
      <c r="P254" s="368" t="str">
        <f>IF(O254="","",IF(VLOOKUP(O254,'G-3 Multipliers'!$S$3:$T$10,2,FALSE)=0,"Spatial Data Missing ⚠",VLOOKUP(O254,'G-3 Multipliers'!$S$3:$T$10,2,FALSE)))</f>
        <v/>
      </c>
      <c r="Q254" s="376" t="str">
        <f t="shared" si="30"/>
        <v/>
      </c>
      <c r="R254" s="32"/>
      <c r="S254" s="114"/>
      <c r="T254" s="125"/>
      <c r="U254" s="370" t="str">
        <f t="shared" si="31"/>
        <v/>
      </c>
      <c r="V254" s="370" t="str">
        <f t="shared" si="32"/>
        <v/>
      </c>
      <c r="W254" s="374" t="str">
        <f t="shared" si="33"/>
        <v/>
      </c>
      <c r="X254" s="378" t="str">
        <f t="shared" si="34"/>
        <v/>
      </c>
      <c r="Y254" s="119"/>
      <c r="Z254" s="120"/>
      <c r="AA254" s="120"/>
      <c r="AB254" s="120"/>
      <c r="AE254" s="30" t="str">
        <f>IFERROR(INDEX('G-6 Hedgerow Data'!$BJ$3:$BJ$15,MATCH(D254,'G-6 Hedgerow Data'!$B$3:$B$15,0)),"")</f>
        <v/>
      </c>
      <c r="AH254" s="124" t="str">
        <f t="shared" si="27"/>
        <v/>
      </c>
      <c r="AI254" s="124" t="str">
        <f t="shared" si="28"/>
        <v/>
      </c>
      <c r="AK254" s="124">
        <v>245</v>
      </c>
      <c r="AM254" s="124" t="str">
        <f t="array" ref="AM254">IFERROR(INDEX($AK$10:$AK$258, MATCH(0, IF(TRUE=$AH$10:$AH$258, COUNTIF($AM$9:$AM253, $AK$10:$AK$258), ""), 0)),"")</f>
        <v/>
      </c>
      <c r="AN254" s="124" t="str">
        <f t="array" ref="AN254">IFERROR(INDEX($AK$10:$AK$258, MATCH(0, IF(TRUE=$AI$10:$AI$258, COUNTIF($AN$9:$AN253, $AK$10:$AK$258), ""), 0)),"")</f>
        <v/>
      </c>
      <c r="AY254" s="370" t="str">
        <f t="shared" si="35"/>
        <v/>
      </c>
    </row>
    <row r="255" spans="2:51" ht="15">
      <c r="B255" s="110">
        <v>246</v>
      </c>
      <c r="C255" s="165"/>
      <c r="D255" s="165"/>
      <c r="E255" s="121"/>
      <c r="F255" s="362" t="str">
        <f>IF(D255="","",VLOOKUP(D255,'G-6 Hedgerow Data'!$B$2:$AG$15,2,FALSE))</f>
        <v/>
      </c>
      <c r="G255" s="363" t="str">
        <f>IF(D255="","",VLOOKUP(D255,'G-6 Hedgerow Data'!$B$2:$AG$15,3,FALSE))</f>
        <v/>
      </c>
      <c r="H255" s="114"/>
      <c r="I255" s="363" t="str">
        <f>IFERROR(IF(AND(F255="V.Low",OR(H255="Good",H255="Moderate")),"Error ▲",VLOOKUP(H255,'G-1 All Habitats'!$Z$2:$AA$9,2,FALSE)),"")</f>
        <v/>
      </c>
      <c r="J255" s="122"/>
      <c r="K255" s="382" t="str">
        <f>IF(J255="","",IF(VLOOKUP(J255,'G-3 Multipliers'!$L$3:$N$6,2,FALSE)=0,"Spatial Data Missing ⚠",VLOOKUP(J255,'G-3 Multipliers'!$L$3:$N$6,2,FALSE)))</f>
        <v/>
      </c>
      <c r="L255" s="386" t="str">
        <f>IF(J255="","",IF(VLOOKUP(J255,'G-3 Multipliers'!$L$3:$N$6,3,FALSE)=0,"Spatial Data Missing ⚠",VLOOKUP(J255,'G-3 Multipliers'!$L$3:$N$6,3,FALSE)))</f>
        <v/>
      </c>
      <c r="M255" s="425" t="str">
        <f>IF(D255="","",VLOOKUP(D255,'G-6 Hedgerow Data'!$B$1:$AH$15,33,FALSE))</f>
        <v/>
      </c>
      <c r="N255" s="376" t="str">
        <f t="shared" si="29"/>
        <v/>
      </c>
      <c r="O255" s="516"/>
      <c r="P255" s="368" t="str">
        <f>IF(O255="","",IF(VLOOKUP(O255,'G-3 Multipliers'!$S$3:$T$10,2,FALSE)=0,"Spatial Data Missing ⚠",VLOOKUP(O255,'G-3 Multipliers'!$S$3:$T$10,2,FALSE)))</f>
        <v/>
      </c>
      <c r="Q255" s="376" t="str">
        <f t="shared" si="30"/>
        <v/>
      </c>
      <c r="R255" s="32"/>
      <c r="S255" s="114"/>
      <c r="T255" s="125"/>
      <c r="U255" s="370" t="str">
        <f t="shared" si="31"/>
        <v/>
      </c>
      <c r="V255" s="370" t="str">
        <f t="shared" si="32"/>
        <v/>
      </c>
      <c r="W255" s="374" t="str">
        <f t="shared" si="33"/>
        <v/>
      </c>
      <c r="X255" s="378" t="str">
        <f t="shared" si="34"/>
        <v/>
      </c>
      <c r="Y255" s="119"/>
      <c r="Z255" s="120"/>
      <c r="AA255" s="689"/>
      <c r="AB255" s="120"/>
      <c r="AE255" s="30" t="str">
        <f>IFERROR(INDEX('G-6 Hedgerow Data'!$BJ$3:$BJ$15,MATCH(D255,'G-6 Hedgerow Data'!$B$3:$B$15,0)),"")</f>
        <v/>
      </c>
      <c r="AH255" s="124" t="str">
        <f t="shared" si="27"/>
        <v/>
      </c>
      <c r="AI255" s="124" t="str">
        <f t="shared" si="28"/>
        <v/>
      </c>
      <c r="AK255" s="124">
        <v>246</v>
      </c>
      <c r="AM255" s="124" t="str">
        <f t="array" ref="AM255">IFERROR(INDEX($AK$10:$AK$258, MATCH(0, IF(TRUE=$AH$10:$AH$258, COUNTIF($AM$9:$AM254, $AK$10:$AK$258), ""), 0)),"")</f>
        <v/>
      </c>
      <c r="AN255" s="124" t="str">
        <f t="array" ref="AN255">IFERROR(INDEX($AK$10:$AK$258, MATCH(0, IF(TRUE=$AI$10:$AI$258, COUNTIF($AN$9:$AN254, $AK$10:$AK$258), ""), 0)),"")</f>
        <v/>
      </c>
      <c r="AY255" s="370" t="str">
        <f t="shared" si="35"/>
        <v/>
      </c>
    </row>
    <row r="256" spans="2:51" ht="15">
      <c r="B256" s="110">
        <v>247</v>
      </c>
      <c r="C256" s="165"/>
      <c r="D256" s="165"/>
      <c r="E256" s="121"/>
      <c r="F256" s="362" t="str">
        <f>IF(D256="","",VLOOKUP(D256,'G-6 Hedgerow Data'!$B$2:$AG$15,2,FALSE))</f>
        <v/>
      </c>
      <c r="G256" s="363" t="str">
        <f>IF(D256="","",VLOOKUP(D256,'G-6 Hedgerow Data'!$B$2:$AG$15,3,FALSE))</f>
        <v/>
      </c>
      <c r="H256" s="114"/>
      <c r="I256" s="363" t="str">
        <f>IFERROR(IF(AND(F256="V.Low",OR(H256="Good",H256="Moderate")),"Error ▲",VLOOKUP(H256,'G-1 All Habitats'!$Z$2:$AA$9,2,FALSE)),"")</f>
        <v/>
      </c>
      <c r="J256" s="122"/>
      <c r="K256" s="382" t="str">
        <f>IF(J256="","",IF(VLOOKUP(J256,'G-3 Multipliers'!$L$3:$N$6,2,FALSE)=0,"Spatial Data Missing ⚠",VLOOKUP(J256,'G-3 Multipliers'!$L$3:$N$6,2,FALSE)))</f>
        <v/>
      </c>
      <c r="L256" s="386" t="str">
        <f>IF(J256="","",IF(VLOOKUP(J256,'G-3 Multipliers'!$L$3:$N$6,3,FALSE)=0,"Spatial Data Missing ⚠",VLOOKUP(J256,'G-3 Multipliers'!$L$3:$N$6,3,FALSE)))</f>
        <v/>
      </c>
      <c r="M256" s="425" t="str">
        <f>IF(D256="","",VLOOKUP(D256,'G-6 Hedgerow Data'!$B$1:$AH$15,33,FALSE))</f>
        <v/>
      </c>
      <c r="N256" s="376" t="str">
        <f t="shared" si="29"/>
        <v/>
      </c>
      <c r="O256" s="516"/>
      <c r="P256" s="368" t="str">
        <f>IF(O256="","",IF(VLOOKUP(O256,'G-3 Multipliers'!$S$3:$T$10,2,FALSE)=0,"Spatial Data Missing ⚠",VLOOKUP(O256,'G-3 Multipliers'!$S$3:$T$10,2,FALSE)))</f>
        <v/>
      </c>
      <c r="Q256" s="376" t="str">
        <f t="shared" si="30"/>
        <v/>
      </c>
      <c r="R256" s="32"/>
      <c r="S256" s="114"/>
      <c r="T256" s="125"/>
      <c r="U256" s="370" t="str">
        <f t="shared" si="31"/>
        <v/>
      </c>
      <c r="V256" s="370" t="str">
        <f t="shared" si="32"/>
        <v/>
      </c>
      <c r="W256" s="374" t="str">
        <f t="shared" si="33"/>
        <v/>
      </c>
      <c r="X256" s="378" t="str">
        <f t="shared" si="34"/>
        <v/>
      </c>
      <c r="Y256" s="119"/>
      <c r="Z256" s="120"/>
      <c r="AA256" s="118"/>
      <c r="AB256" s="118"/>
      <c r="AE256" s="30" t="str">
        <f>IFERROR(INDEX('G-6 Hedgerow Data'!$BJ$3:$BJ$15,MATCH(D256,'G-6 Hedgerow Data'!$B$3:$B$15,0)),"")</f>
        <v/>
      </c>
      <c r="AH256" s="124" t="str">
        <f t="shared" si="27"/>
        <v/>
      </c>
      <c r="AI256" s="124" t="str">
        <f t="shared" si="28"/>
        <v/>
      </c>
      <c r="AK256" s="124">
        <v>247</v>
      </c>
      <c r="AM256" s="124" t="str">
        <f t="array" ref="AM256">IFERROR(INDEX($AK$10:$AK$258, MATCH(0, IF(TRUE=$AH$10:$AH$258, COUNTIF($AM$9:$AM255, $AK$10:$AK$258), ""), 0)),"")</f>
        <v/>
      </c>
      <c r="AN256" s="124" t="str">
        <f t="array" ref="AN256">IFERROR(INDEX($AK$10:$AK$258, MATCH(0, IF(TRUE=$AI$10:$AI$258, COUNTIF($AN$9:$AN255, $AK$10:$AK$258), ""), 0)),"")</f>
        <v/>
      </c>
      <c r="AY256" s="370" t="str">
        <f t="shared" si="35"/>
        <v/>
      </c>
    </row>
    <row r="257" spans="2:51" ht="15.75" thickBot="1">
      <c r="B257" s="126">
        <v>248</v>
      </c>
      <c r="C257" s="168"/>
      <c r="D257" s="168"/>
      <c r="E257" s="128"/>
      <c r="F257" s="796" t="str">
        <f>IF(D257="","",VLOOKUP(D257,'G-6 Hedgerow Data'!$B$2:$AG$15,2,FALSE))</f>
        <v/>
      </c>
      <c r="G257" s="797" t="str">
        <f>IF(D257="","",VLOOKUP(D257,'G-6 Hedgerow Data'!$B$2:$AG$15,3,FALSE))</f>
        <v/>
      </c>
      <c r="H257" s="872"/>
      <c r="I257" s="797" t="str">
        <f>IFERROR(IF(AND(F257="V.Low",OR(H257="Good",H257="Moderate")),"Error ▲",VLOOKUP(H257,'G-1 All Habitats'!$Z$2:$AA$9,2,FALSE)),"")</f>
        <v/>
      </c>
      <c r="J257" s="129"/>
      <c r="K257" s="371" t="str">
        <f>IF(J257="","",IF(VLOOKUP(J257,'G-3 Multipliers'!$L$3:$N$6,2,FALSE)=0,"Spatial Data Missing ⚠",VLOOKUP(J257,'G-3 Multipliers'!$L$3:$N$6,2,FALSE)))</f>
        <v/>
      </c>
      <c r="L257" s="365" t="str">
        <f>IF(J257="","",IF(VLOOKUP(J257,'G-3 Multipliers'!$L$3:$N$6,3,FALSE)=0,"Spatial Data Missing ⚠",VLOOKUP(J257,'G-3 Multipliers'!$L$3:$N$6,3,FALSE)))</f>
        <v/>
      </c>
      <c r="M257" s="580" t="str">
        <f>IF(D257="","",VLOOKUP(D257,'G-6 Hedgerow Data'!$B$1:$AH$15,33,FALSE))</f>
        <v/>
      </c>
      <c r="N257" s="345" t="str">
        <f t="shared" si="29"/>
        <v/>
      </c>
      <c r="O257" s="579"/>
      <c r="P257" s="818" t="str">
        <f>IF(O257="","",IF(VLOOKUP(O257,'G-3 Multipliers'!$S$3:$T$10,2,FALSE)=0,"Spatial Data Missing ⚠",VLOOKUP(O257,'G-3 Multipliers'!$S$3:$T$10,2,FALSE)))</f>
        <v/>
      </c>
      <c r="Q257" s="345" t="str">
        <f t="shared" si="30"/>
        <v/>
      </c>
      <c r="R257" s="32"/>
      <c r="S257" s="313"/>
      <c r="T257" s="314"/>
      <c r="U257" s="466" t="str">
        <f t="shared" si="31"/>
        <v/>
      </c>
      <c r="V257" s="466" t="str">
        <f t="shared" si="32"/>
        <v/>
      </c>
      <c r="W257" s="374" t="str">
        <f t="shared" si="33"/>
        <v/>
      </c>
      <c r="X257" s="378" t="str">
        <f t="shared" si="34"/>
        <v/>
      </c>
      <c r="Y257" s="130"/>
      <c r="Z257" s="131"/>
      <c r="AA257" s="683"/>
      <c r="AB257" s="131"/>
      <c r="AE257" s="30" t="str">
        <f>IFERROR(INDEX('G-6 Hedgerow Data'!$BJ$3:$BJ$15,MATCH(D257,'G-6 Hedgerow Data'!$B$3:$B$15,0)),"")</f>
        <v/>
      </c>
      <c r="AH257" s="124" t="str">
        <f t="shared" si="27"/>
        <v/>
      </c>
      <c r="AI257" s="124" t="str">
        <f t="shared" si="28"/>
        <v/>
      </c>
      <c r="AK257" s="124">
        <v>248</v>
      </c>
      <c r="AM257" s="124" t="str">
        <f t="array" ref="AM257">IFERROR(INDEX($AK$10:$AK$258, MATCH(0, IF(TRUE=$AH$10:$AH$258, COUNTIF($AM$9:$AM256, $AK$10:$AK$258), ""), 0)),"")</f>
        <v/>
      </c>
      <c r="AN257" s="124" t="str">
        <f t="array" ref="AN257">IFERROR(INDEX($AK$10:$AK$258, MATCH(0, IF(TRUE=$AI$10:$AI$258, COUNTIF($AN$9:$AN256, $AK$10:$AK$258), ""), 0)),"")</f>
        <v/>
      </c>
      <c r="AY257" s="370" t="str">
        <f t="shared" si="35"/>
        <v/>
      </c>
    </row>
    <row r="258" spans="2:51" ht="15.75" thickBot="1">
      <c r="D258" s="859"/>
      <c r="E258" s="412">
        <f>SUM(E10:E257)</f>
        <v>0</v>
      </c>
      <c r="M258" s="107"/>
      <c r="N258" s="871">
        <f>SUM(N10:N257)</f>
        <v>0</v>
      </c>
      <c r="O258" s="65"/>
      <c r="P258" s="544"/>
      <c r="Q258" s="414">
        <f>SUM(Q10:Q257)</f>
        <v>0</v>
      </c>
      <c r="R258" s="133"/>
      <c r="S258" s="379">
        <f t="shared" ref="S258:X258" si="36">SUM(S10:S257)</f>
        <v>0</v>
      </c>
      <c r="T258" s="380">
        <f t="shared" si="36"/>
        <v>0</v>
      </c>
      <c r="U258" s="380" cm="1">
        <f t="array" ref="U258">IF(OR(W10:W257="Error in Lengths ▲",U10:U257="Error"),"Error ▲",SUM(U10:U257))</f>
        <v>0</v>
      </c>
      <c r="V258" s="380" cm="1">
        <f t="array" ref="V258">IF(OR(W10:W257="Error in Lengths ▲",V10:V257="Error"),"Error ▲",SUM(V10:V257))</f>
        <v>0</v>
      </c>
      <c r="W258" s="380">
        <f t="shared" si="36"/>
        <v>0</v>
      </c>
      <c r="X258" s="377">
        <f t="shared" si="36"/>
        <v>0</v>
      </c>
      <c r="AY258" s="380" cm="1">
        <f t="array" ref="AY258">IF(OR(W10:W257="Error in Lengths ▲",U10:U257="Error"),"Error ▲",SUM(AY10:AY257))</f>
        <v>0</v>
      </c>
    </row>
    <row r="259" spans="2:51" ht="15">
      <c r="R259" s="133"/>
      <c r="S259" s="133"/>
      <c r="T259" s="133"/>
      <c r="U259" s="133"/>
      <c r="V259" s="133"/>
      <c r="W259" s="133"/>
      <c r="X259" s="133"/>
      <c r="AY259" s="133"/>
    </row>
    <row r="260" spans="2:51" ht="15">
      <c r="B260" s="102"/>
      <c r="C260" s="102"/>
    </row>
    <row r="261" spans="2:51" ht="15">
      <c r="B261" s="102"/>
      <c r="C261" s="102"/>
    </row>
    <row r="262" spans="2:51" ht="15">
      <c r="B262" s="102"/>
      <c r="C262" s="102"/>
    </row>
    <row r="263" spans="2:51" ht="15">
      <c r="B263" s="102"/>
      <c r="C263" s="102"/>
    </row>
    <row r="264" spans="2:51" ht="15">
      <c r="B264" s="102"/>
      <c r="C264" s="102"/>
    </row>
    <row r="265" spans="2:51" ht="15">
      <c r="B265" s="102"/>
      <c r="C265" s="102"/>
    </row>
    <row r="266" spans="2:51" ht="15">
      <c r="B266" s="102"/>
      <c r="C266" s="102"/>
    </row>
    <row r="267" spans="2:51" ht="15" hidden="1">
      <c r="B267" s="102"/>
      <c r="C267" s="102"/>
    </row>
    <row r="268" spans="2:51" ht="15" hidden="1">
      <c r="B268" s="102"/>
      <c r="C268" s="102"/>
    </row>
    <row r="269" spans="2:51" ht="15" hidden="1">
      <c r="B269" s="102"/>
      <c r="C269" s="102"/>
    </row>
    <row r="270" spans="2:51" ht="15" hidden="1">
      <c r="B270" s="102"/>
      <c r="C270" s="102"/>
    </row>
    <row r="271" spans="2:51" ht="15" hidden="1">
      <c r="B271" s="102"/>
      <c r="C271" s="102"/>
    </row>
    <row r="272" spans="2:51" ht="15" hidden="1">
      <c r="B272" s="102"/>
      <c r="C272" s="102"/>
    </row>
  </sheetData>
  <sheetProtection algorithmName="SHA-512" hashValue="EibFLIoNCEa9MuUSO2kyP66xF2WLll3KrvgPX14u9yA2rcJG7Kb6MyyLBmBHhCNl23Hm7vMD1BcTILiDlWIRZw==" saltValue="foWEiZXrHnQH47hWPnilUw==" spinCount="100000" sheet="1" objects="1" scenarios="1"/>
  <customSheetViews>
    <customSheetView guid="{8BDA793C-C9C5-4FC6-A0A5-F1109F6D4F22}" state="hidden">
      <pane ySplit="9" topLeftCell="A10" activePane="bottomLeft" state="frozen"/>
      <selection pane="bottomLeft" activeCell="D14" sqref="D14"/>
    </customSheetView>
  </customSheetViews>
  <mergeCells count="17">
    <mergeCell ref="O8:P8"/>
    <mergeCell ref="B2:D2"/>
    <mergeCell ref="F2:J2"/>
    <mergeCell ref="Y8:Z8"/>
    <mergeCell ref="C8:E8"/>
    <mergeCell ref="F8:G8"/>
    <mergeCell ref="H8:I8"/>
    <mergeCell ref="B3:D4"/>
    <mergeCell ref="J8:L8"/>
    <mergeCell ref="S8:X8"/>
    <mergeCell ref="M8:M9"/>
    <mergeCell ref="F3:H3"/>
    <mergeCell ref="F4:H4"/>
    <mergeCell ref="I3:J3"/>
    <mergeCell ref="I4:J4"/>
    <mergeCell ref="F5:H5"/>
    <mergeCell ref="I5:J5"/>
  </mergeCells>
  <conditionalFormatting sqref="I10:I257">
    <cfRule type="containsText" dxfId="419" priority="43" operator="containsText" text="Error">
      <formula>NOT(ISERROR(SEARCH("Error",I10)))</formula>
    </cfRule>
  </conditionalFormatting>
  <conditionalFormatting sqref="J9:L9 J36:L257 K10:L35">
    <cfRule type="containsText" dxfId="418" priority="42" operator="containsText" text="Spatial">
      <formula>NOT(ISERROR(SEARCH("Spatial",J9)))</formula>
    </cfRule>
  </conditionalFormatting>
  <conditionalFormatting sqref="M10:M257">
    <cfRule type="cellIs" dxfId="417" priority="39" operator="equal">
      <formula>"Like for like or better"</formula>
    </cfRule>
    <cfRule type="cellIs" dxfId="416" priority="40" operator="equal">
      <formula>"Like for like"</formula>
    </cfRule>
    <cfRule type="containsText" dxfId="415" priority="41" operator="containsText" text="Same distinctiveness">
      <formula>NOT(ISERROR(SEARCH("Same distinctiveness",M10)))</formula>
    </cfRule>
  </conditionalFormatting>
  <conditionalFormatting sqref="W10:X257">
    <cfRule type="containsText" dxfId="414" priority="38" operator="containsText" text="Error">
      <formula>NOT(ISERROR(SEARCH("Error",W10)))</formula>
    </cfRule>
  </conditionalFormatting>
  <conditionalFormatting sqref="I3">
    <cfRule type="containsText" dxfId="413" priority="36" operator="containsText" text="Error">
      <formula>NOT(ISERROR(SEARCH("Error",I3)))</formula>
    </cfRule>
    <cfRule type="containsText" dxfId="412" priority="37" operator="containsText" text="Check">
      <formula>NOT(ISERROR(SEARCH("Check",I3)))</formula>
    </cfRule>
  </conditionalFormatting>
  <conditionalFormatting sqref="I4">
    <cfRule type="containsText" dxfId="411" priority="4" operator="containsText" text="Error">
      <formula>NOT(ISERROR(SEARCH("Error",I4)))</formula>
    </cfRule>
    <cfRule type="containsText" dxfId="410" priority="5" operator="containsText" text="Check">
      <formula>NOT(ISERROR(SEARCH("Check",I4)))</formula>
    </cfRule>
  </conditionalFormatting>
  <conditionalFormatting sqref="I5">
    <cfRule type="containsText" dxfId="409" priority="30" operator="containsText" text="No">
      <formula>NOT(ISERROR(SEARCH("No",I5)))</formula>
    </cfRule>
    <cfRule type="containsText" dxfId="408" priority="31" operator="containsText" text="Yes">
      <formula>NOT(ISERROR(SEARCH("Yes",I5)))</formula>
    </cfRule>
  </conditionalFormatting>
  <conditionalFormatting sqref="O10:O257">
    <cfRule type="containsText" dxfId="407" priority="28" operator="containsText" text="Existing Value Not Required">
      <formula>NOT(ISERROR(SEARCH("Existing Value Not Required",O10)))</formula>
    </cfRule>
    <cfRule type="containsText" dxfId="406" priority="29" operator="containsText" text="Existing Value Required">
      <formula>NOT(ISERROR(SEARCH("Existing Value Required",O10)))</formula>
    </cfRule>
  </conditionalFormatting>
  <conditionalFormatting sqref="O10:P10 P11:P255 O11:O257">
    <cfRule type="containsText" dxfId="405" priority="24" operator="containsText" text="Check">
      <formula>NOT(ISERROR(SEARCH("Check",O10)))</formula>
    </cfRule>
    <cfRule type="containsText" dxfId="404" priority="25" operator="containsText" text="Error">
      <formula>NOT(ISERROR(SEARCH("Error",O10)))</formula>
    </cfRule>
  </conditionalFormatting>
  <conditionalFormatting sqref="P10:P255">
    <cfRule type="containsText" dxfId="403" priority="23" operator="containsText" text="Spatial">
      <formula>NOT(ISERROR(SEARCH("Spatial",P10)))</formula>
    </cfRule>
  </conditionalFormatting>
  <conditionalFormatting sqref="P256">
    <cfRule type="containsText" dxfId="402" priority="13" operator="containsText" text="Check">
      <formula>NOT(ISERROR(SEARCH("Check",P256)))</formula>
    </cfRule>
    <cfRule type="containsText" dxfId="401" priority="14" operator="containsText" text="Error">
      <formula>NOT(ISERROR(SEARCH("Error",P256)))</formula>
    </cfRule>
  </conditionalFormatting>
  <conditionalFormatting sqref="P256">
    <cfRule type="containsText" dxfId="400" priority="12" operator="containsText" text="Spatial">
      <formula>NOT(ISERROR(SEARCH("Spatial",P256)))</formula>
    </cfRule>
  </conditionalFormatting>
  <conditionalFormatting sqref="P257">
    <cfRule type="containsText" dxfId="399" priority="10" operator="containsText" text="Check">
      <formula>NOT(ISERROR(SEARCH("Check",P257)))</formula>
    </cfRule>
    <cfRule type="containsText" dxfId="398" priority="11" operator="containsText" text="Error">
      <formula>NOT(ISERROR(SEARCH("Error",P257)))</formula>
    </cfRule>
  </conditionalFormatting>
  <conditionalFormatting sqref="P257">
    <cfRule type="containsText" dxfId="397" priority="9" operator="containsText" text="Spatial">
      <formula>NOT(ISERROR(SEARCH("Spatial",P257)))</formula>
    </cfRule>
  </conditionalFormatting>
  <conditionalFormatting sqref="I10:I257">
    <cfRule type="containsText" dxfId="396" priority="8" operator="containsText" text="Not possible">
      <formula>NOT(ISERROR(SEARCH("Not possible",I10)))</formula>
    </cfRule>
  </conditionalFormatting>
  <conditionalFormatting sqref="U258:V258">
    <cfRule type="containsText" dxfId="395" priority="7" operator="containsText" text="Error">
      <formula>NOT(ISERROR(SEARCH("Error",U258)))</formula>
    </cfRule>
  </conditionalFormatting>
  <conditionalFormatting sqref="I4:J4">
    <cfRule type="cellIs" dxfId="394" priority="3" operator="equal">
      <formula>0</formula>
    </cfRule>
    <cfRule type="cellIs" dxfId="393" priority="6" operator="lessThan">
      <formula>0</formula>
    </cfRule>
  </conditionalFormatting>
  <conditionalFormatting sqref="AY258">
    <cfRule type="containsText" dxfId="392" priority="2" operator="containsText" text="Error">
      <formula>NOT(ISERROR(SEARCH("Error",AY258)))</formula>
    </cfRule>
  </conditionalFormatting>
  <conditionalFormatting sqref="I3:J5">
    <cfRule type="containsText" dxfId="391" priority="1" operator="containsText" text="N/A">
      <formula>NOT(ISERROR(SEARCH("N/A",I3)))</formula>
    </cfRule>
  </conditionalFormatting>
  <dataValidations count="1">
    <dataValidation type="list" allowBlank="1" showInputMessage="1" showErrorMessage="1" sqref="H10:H257" xr:uid="{00000000-0002-0000-1100-000000000000}">
      <formula1>INDIRECT(AE10)</formula1>
    </dataValidation>
  </dataValidations>
  <pageMargins left="0.7" right="0.7" top="0.75" bottom="0.75" header="0.3" footer="0.3"/>
  <pageSetup paperSize="9" orientation="portrait" horizontalDpi="90" verticalDpi="90" r:id="rId1"/>
  <drawing r:id="rId2"/>
  <extLst>
    <ext xmlns:x14="http://schemas.microsoft.com/office/spreadsheetml/2009/9/main" uri="{78C0D931-6437-407d-A8EE-F0AAD7539E65}">
      <x14:conditionalFormattings>
        <x14:conditionalFormatting xmlns:xm="http://schemas.microsoft.com/office/excel/2006/main">
          <x14:cfRule type="cellIs" priority="441" operator="lessThan" id="{800F3E3C-3EA1-44B0-B5B6-6ED146EB03B0}">
            <xm:f>Start!$F$22</xm:f>
            <x14:dxf>
              <font>
                <color rgb="FF383745"/>
              </font>
              <fill>
                <patternFill>
                  <bgColor rgb="FFFFC000"/>
                </patternFill>
              </fill>
            </x14:dxf>
          </x14:cfRule>
          <x14:cfRule type="cellIs" priority="442" operator="greaterThanOrEqual" id="{3A29FFBC-D47F-4F11-AF58-32BA6D20C2BD}">
            <xm:f>Start!$F$22</xm:f>
            <x14:dxf>
              <font>
                <color rgb="FF383745"/>
              </font>
              <fill>
                <patternFill>
                  <bgColor rgb="FF92D050"/>
                </patternFill>
              </fill>
            </x14:dxf>
          </x14:cfRule>
          <xm:sqref>I4:J4</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00000000-0002-0000-1100-000001000000}">
          <x14:formula1>
            <xm:f>'G-6 Hedgerow Data'!$B$3:$B$15</xm:f>
          </x14:formula1>
          <xm:sqref>D10:D257</xm:sqref>
        </x14:dataValidation>
        <x14:dataValidation type="list" allowBlank="1" showErrorMessage="1" prompt=" _x000a_" xr:uid="{00000000-0002-0000-1100-000002000000}">
          <x14:formula1>
            <xm:f>'G-3 Multipliers'!$L$4:$L$6</xm:f>
          </x14:formula1>
          <xm:sqref>J10:J257</xm:sqref>
        </x14:dataValidation>
        <x14:dataValidation type="list" allowBlank="1" showInputMessage="1" showErrorMessage="1" xr:uid="{B6E470A3-A6F3-46D7-9AEA-19E7F9062841}">
          <x14:formula1>
            <xm:f>'G-3 Multipliers'!$S$4:$S$7</xm:f>
          </x14:formula1>
          <xm:sqref>O10:O257</xm:sqref>
        </x14:dataValidation>
      </x14:dataValidations>
    </ext>
  </extLst>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33">
    <tabColor rgb="FF663300"/>
  </sheetPr>
  <dimension ref="A1:AH268"/>
  <sheetViews>
    <sheetView showGridLines="0" zoomScale="80" zoomScaleNormal="80" workbookViewId="0">
      <pane ySplit="11" topLeftCell="A12" activePane="bottomLeft" state="frozen"/>
      <selection pane="bottomLeft"/>
    </sheetView>
  </sheetViews>
  <sheetFormatPr defaultColWidth="0" defaultRowHeight="0" customHeight="1" zeroHeight="1"/>
  <cols>
    <col min="1" max="1" width="2.7109375" style="30" customWidth="1"/>
    <col min="2" max="2" width="11.28515625" style="30" customWidth="1"/>
    <col min="3" max="3" width="9.28515625" style="30" customWidth="1"/>
    <col min="4" max="4" width="60.7109375" style="30" customWidth="1"/>
    <col min="5" max="5" width="10.28515625" style="30" customWidth="1"/>
    <col min="6" max="6" width="19.28515625" style="30" customWidth="1"/>
    <col min="7" max="7" width="11.7109375" style="30" customWidth="1"/>
    <col min="8" max="8" width="11.5703125" style="30" customWidth="1"/>
    <col min="9" max="9" width="12.5703125" style="30" customWidth="1"/>
    <col min="10" max="10" width="41.7109375" style="30" customWidth="1"/>
    <col min="11" max="11" width="21.28515625" style="30" customWidth="1"/>
    <col min="12" max="12" width="12.28515625" style="30" customWidth="1"/>
    <col min="13" max="13" width="73.42578125" style="30" customWidth="1"/>
    <col min="14" max="14" width="8.28515625" style="30" hidden="1" customWidth="1"/>
    <col min="15" max="17" width="17.7109375" style="30" customWidth="1"/>
    <col min="18" max="18" width="35.5703125" style="30" customWidth="1"/>
    <col min="19" max="19" width="17.7109375" style="30" customWidth="1"/>
    <col min="20" max="20" width="15.28515625" style="30" customWidth="1"/>
    <col min="21" max="21" width="15.5703125" style="30" customWidth="1"/>
    <col min="22" max="22" width="25.28515625" style="30" customWidth="1"/>
    <col min="23" max="23" width="10.7109375" style="30" customWidth="1"/>
    <col min="24" max="24" width="12.5703125" style="30" customWidth="1"/>
    <col min="25" max="25" width="8.28515625" style="30" hidden="1" customWidth="1"/>
    <col min="26" max="26" width="12.7109375" style="30" customWidth="1"/>
    <col min="27" max="28" width="42.5703125" style="30" customWidth="1"/>
    <col min="29" max="29" width="14.7109375" style="30" customWidth="1"/>
    <col min="30" max="30" width="14" style="30" customWidth="1"/>
    <col min="31" max="31" width="8.7109375" style="30" customWidth="1"/>
    <col min="32" max="32" width="10.5703125" style="30" customWidth="1"/>
    <col min="33" max="33" width="10.5703125" style="30" hidden="1" customWidth="1"/>
    <col min="34" max="34" width="15.7109375" style="30" hidden="1" customWidth="1"/>
    <col min="35" max="35" width="8.7109375" style="30" hidden="1" customWidth="1"/>
    <col min="36" max="16384" width="8.7109375" style="30" hidden="1"/>
  </cols>
  <sheetData>
    <row r="1" spans="2:34" ht="15.75" customHeight="1" thickBot="1"/>
    <row r="2" spans="2:34" ht="15.75" customHeight="1" thickBot="1">
      <c r="B2" s="1554" t="str">
        <f>CONCATENATE("Project Name:", " ", Start!F12, "     ", "Map Reference:", " ", Start!K66)</f>
        <v xml:space="preserve">Project Name: Grove Farm Solar     Map Reference: </v>
      </c>
      <c r="C2" s="1555"/>
      <c r="D2" s="1555"/>
      <c r="E2" s="1556"/>
      <c r="I2" s="309"/>
      <c r="J2" s="1404" t="s">
        <v>380</v>
      </c>
      <c r="K2" s="1405"/>
      <c r="L2" s="1405"/>
      <c r="M2" s="1406"/>
      <c r="O2" s="1463" t="str">
        <f>IF(OR(COUNTIF($O$12:O259,"*30+*")&gt;0,COUNTIF($S$12:S259,"*30+*")&gt;0),"Note; Habitat selected has a time to target condition greater than 30 years. Non standard agreement may be required. ⚠","")</f>
        <v/>
      </c>
      <c r="P2" s="1463"/>
      <c r="Q2" s="1463"/>
      <c r="R2" s="1463"/>
      <c r="S2" s="1463"/>
      <c r="T2" s="1463"/>
    </row>
    <row r="3" spans="2:34" ht="15.75" customHeight="1" thickBot="1">
      <c r="B3" s="1557" t="str">
        <f ca="1">MID(CELL("filename",A1),FIND("]",CELL("filename",A1))+1,256)</f>
        <v>E-2 Off-Site Hedge Creation</v>
      </c>
      <c r="C3" s="1558"/>
      <c r="D3" s="1558"/>
      <c r="E3" s="1559"/>
      <c r="I3" s="509"/>
      <c r="J3" s="1505" t="s">
        <v>263</v>
      </c>
      <c r="K3" s="1506"/>
      <c r="L3" s="1506"/>
      <c r="M3" s="512">
        <f>'Headline Results'!H48</f>
        <v>16.669627715952004</v>
      </c>
      <c r="O3" s="1463"/>
      <c r="P3" s="1463"/>
      <c r="Q3" s="1463"/>
      <c r="R3" s="1463"/>
      <c r="S3" s="1463"/>
      <c r="T3" s="1463"/>
    </row>
    <row r="4" spans="2:34" ht="15.75" customHeight="1" thickBot="1">
      <c r="B4" s="1557"/>
      <c r="C4" s="1558"/>
      <c r="D4" s="1558"/>
      <c r="E4" s="1559"/>
      <c r="I4" s="509"/>
      <c r="J4" s="1583" t="s">
        <v>265</v>
      </c>
      <c r="K4" s="1584"/>
      <c r="L4" s="1584"/>
      <c r="M4" s="513">
        <f>'Headline Results'!H52</f>
        <v>1.0264549086177341</v>
      </c>
      <c r="O4" s="1463"/>
      <c r="P4" s="1463"/>
      <c r="Q4" s="1463"/>
      <c r="R4" s="1463"/>
      <c r="S4" s="1463"/>
      <c r="T4" s="1463"/>
    </row>
    <row r="5" spans="2:34" ht="15.75" customHeight="1" thickBot="1">
      <c r="J5" s="1582" t="s">
        <v>267</v>
      </c>
      <c r="K5" s="1579"/>
      <c r="L5" s="1579"/>
      <c r="M5" s="504" t="str" cm="1">
        <f t="array" ref="M5">IF(OR('Trading Summary Hedgerows'!G5:H8="No ▲"), "No - check trading summary ▲", "Yes ✓")</f>
        <v>Yes ✓</v>
      </c>
      <c r="N5" s="509"/>
      <c r="O5" s="1463"/>
      <c r="P5" s="1463"/>
      <c r="Q5" s="1463"/>
      <c r="R5" s="1463"/>
      <c r="S5" s="1463"/>
      <c r="T5" s="1463"/>
    </row>
    <row r="6" spans="2:34" ht="15.75" customHeight="1">
      <c r="O6" s="312"/>
      <c r="P6" s="312"/>
      <c r="Q6" s="312"/>
      <c r="R6" s="312"/>
      <c r="S6" s="312"/>
    </row>
    <row r="7" spans="2:34" ht="15.75" customHeight="1">
      <c r="B7" s="102"/>
      <c r="C7" s="102"/>
    </row>
    <row r="8" spans="2:34" ht="15">
      <c r="J8" s="101"/>
      <c r="K8" s="101"/>
      <c r="L8" s="101"/>
      <c r="M8" s="101"/>
      <c r="N8" s="101"/>
      <c r="O8" s="101"/>
      <c r="P8" s="101"/>
      <c r="Q8" s="101"/>
      <c r="R8" s="101"/>
      <c r="S8" s="101"/>
      <c r="T8" s="101"/>
      <c r="V8" s="101"/>
      <c r="W8" s="101"/>
      <c r="X8" s="101"/>
    </row>
    <row r="9" spans="2:34" ht="15.75" customHeight="1" thickBot="1">
      <c r="J9" s="101"/>
      <c r="K9" s="101"/>
      <c r="L9" s="101"/>
      <c r="M9" s="107"/>
      <c r="N9" s="107"/>
      <c r="O9" s="163"/>
      <c r="P9" s="163"/>
      <c r="Q9" s="163"/>
      <c r="R9" s="163"/>
      <c r="S9" s="163"/>
      <c r="T9" s="163"/>
      <c r="U9" s="163"/>
      <c r="V9" s="163"/>
      <c r="W9" s="163"/>
      <c r="X9" s="163"/>
    </row>
    <row r="10" spans="2:34" s="33" customFormat="1" ht="40.15" customHeight="1" thickBot="1">
      <c r="B10" s="32"/>
      <c r="C10" s="32"/>
      <c r="D10" s="1573" t="s">
        <v>389</v>
      </c>
      <c r="E10" s="1575"/>
      <c r="F10" s="1315" t="s">
        <v>269</v>
      </c>
      <c r="G10" s="1317"/>
      <c r="H10" s="1317" t="s">
        <v>357</v>
      </c>
      <c r="I10" s="1313"/>
      <c r="J10" s="1573" t="s">
        <v>271</v>
      </c>
      <c r="K10" s="1574"/>
      <c r="L10" s="1575"/>
      <c r="M10" s="1315" t="s">
        <v>358</v>
      </c>
      <c r="N10" s="1317"/>
      <c r="O10" s="1317" t="s">
        <v>314</v>
      </c>
      <c r="P10" s="1317"/>
      <c r="Q10" s="1317"/>
      <c r="R10" s="1317"/>
      <c r="S10" s="1317"/>
      <c r="T10" s="1317"/>
      <c r="U10" s="1317" t="s">
        <v>337</v>
      </c>
      <c r="V10" s="1317"/>
      <c r="W10" s="1317"/>
      <c r="X10" s="1313"/>
      <c r="Y10" s="1537" t="s">
        <v>401</v>
      </c>
      <c r="Z10" s="1537" t="s">
        <v>390</v>
      </c>
      <c r="AA10" s="1573" t="s">
        <v>276</v>
      </c>
      <c r="AB10" s="1575"/>
    </row>
    <row r="11" spans="2:34" ht="57.75" thickBot="1">
      <c r="B11" s="719" t="s">
        <v>339</v>
      </c>
      <c r="C11" s="719" t="s">
        <v>391</v>
      </c>
      <c r="D11" s="132" t="s">
        <v>33</v>
      </c>
      <c r="E11" s="752" t="s">
        <v>34</v>
      </c>
      <c r="F11" s="132" t="s">
        <v>269</v>
      </c>
      <c r="G11" s="752" t="s">
        <v>286</v>
      </c>
      <c r="H11" s="873" t="s">
        <v>270</v>
      </c>
      <c r="I11" s="752" t="s">
        <v>286</v>
      </c>
      <c r="J11" s="132" t="s">
        <v>271</v>
      </c>
      <c r="K11" s="811" t="s">
        <v>271</v>
      </c>
      <c r="L11" s="752" t="s">
        <v>317</v>
      </c>
      <c r="M11" s="132" t="s">
        <v>361</v>
      </c>
      <c r="N11" s="752" t="s">
        <v>358</v>
      </c>
      <c r="O11" s="132" t="s">
        <v>392</v>
      </c>
      <c r="P11" s="811" t="s">
        <v>370</v>
      </c>
      <c r="Q11" s="811" t="s">
        <v>320</v>
      </c>
      <c r="R11" s="811" t="s">
        <v>321</v>
      </c>
      <c r="S11" s="811" t="s">
        <v>322</v>
      </c>
      <c r="T11" s="752" t="s">
        <v>397</v>
      </c>
      <c r="U11" s="132" t="s">
        <v>324</v>
      </c>
      <c r="V11" s="811" t="s">
        <v>325</v>
      </c>
      <c r="W11" s="811" t="s">
        <v>326</v>
      </c>
      <c r="X11" s="752" t="s">
        <v>327</v>
      </c>
      <c r="Y11" s="1594"/>
      <c r="Z11" s="1594"/>
      <c r="AA11" s="126" t="s">
        <v>295</v>
      </c>
      <c r="AB11" s="861" t="s">
        <v>296</v>
      </c>
      <c r="AC11" s="43" t="s">
        <v>297</v>
      </c>
      <c r="AD11" s="43" t="s">
        <v>363</v>
      </c>
      <c r="AH11" s="101" t="s">
        <v>280</v>
      </c>
    </row>
    <row r="12" spans="2:34" ht="15">
      <c r="B12" s="291">
        <v>1</v>
      </c>
      <c r="C12" s="216"/>
      <c r="D12" s="159"/>
      <c r="E12" s="139"/>
      <c r="F12" s="362" t="str">
        <f>IF(D12="","",VLOOKUP(D12,'G-6 Hedgerow Data'!$B$2:$AG$15,2,FALSE))</f>
        <v/>
      </c>
      <c r="G12" s="363" t="str">
        <f>IF(D12="","",VLOOKUP(D12,'G-6 Hedgerow Data'!$B$2:$AG$15,3,FALSE))</f>
        <v/>
      </c>
      <c r="H12" s="55"/>
      <c r="I12" s="363" t="str">
        <f>IFERROR(IF(AND(F12="V.Low",OR(H12="Good",H12="Moderate")),"Error ▲",VLOOKUP(H12,'G-1 All Habitats'!$Z$2:$AA$9,2,FALSE)),"")</f>
        <v/>
      </c>
      <c r="J12" s="54"/>
      <c r="K12" s="370" t="str">
        <f>IF(J12="","",IF(VLOOKUP(J12,'G-3 Multipliers'!$L$3:$N$6,2,FALSE)=0,"Spatial Data Missing",VLOOKUP(J12,'G-3 Multipliers'!$L$3:$N$6,2,FALSE)))</f>
        <v/>
      </c>
      <c r="L12" s="363" t="str">
        <f>IF(J12="","",IF(VLOOKUP(J12,'G-3 Multipliers'!$L$3:$N$6,3,FALSE)=0,"Spatial Data Missing",VLOOKUP(J12,'G-3 Multipliers'!$L$3:$N$6,3,FALSE)))</f>
        <v/>
      </c>
      <c r="M12" s="160"/>
      <c r="N12" s="363" t="str">
        <f>IF(M12="","",IF(VLOOKUP(M12,'G-3 Multipliers'!$S$3:$T$10,2,FALSE)=0,"Spatial Data Missing ⚠",VLOOKUP(M12,'G-3 Multipliers'!$S$3:$T$10,2,FALSE)))</f>
        <v/>
      </c>
      <c r="O12" s="362" t="str">
        <f>IF(OR(D12="",H12=""),"",(INDEX('G-6 Hedgerow Data'!$E$3:$I$15,MATCH(D12,'G-6 Hedgerow Data'!$B$3:$B$15,0),MATCH(H12,'G-6 Hedgerow Data'!$E$2:$I$2,0))))</f>
        <v/>
      </c>
      <c r="P12" s="159"/>
      <c r="Q12" s="159"/>
      <c r="R12" s="370" t="str">
        <f>IF(D12="","",IF(AND(P12&gt;0,Q12&gt;0),"Error -both advance and delayed habitat creation ▲",IF(AND(OR(P12="Habitat already in target condition",O12&lt;=P12),Q12=0),"Check details - Is there evidence that habitat has reached target condition? ⚠",IF(O12="","",IF(P12&gt;0,"Check details - Is there evidence habitat creation started/in place? ⚠",IF(Q12&gt;0,"Check details- Delay in starting habitat in required condition?","Standard time to target condition applied"))))))</f>
        <v/>
      </c>
      <c r="S12" s="383" t="str">
        <f>IF(O12="","",IF(R12="Error -both advance and delayed habitat creation ▲","Check Data ⚠",IF(OR(P12="30+",P12="Habitat already in target condition"),0,IF(Q12="30+","30+",IF(AND(O12="30+",OR(P12="",P12=0)),"30+",IF(AND(O12="30+",P12&gt;0),30-P12,IF(O12+Q12&gt;30,"30+",IF(O12+Q12-P12&gt;0,O12+Q12-P12,IF(O12-P12&lt;0,0,O12+Q12-P12)))))))))</f>
        <v/>
      </c>
      <c r="T12" s="384" t="str">
        <f t="shared" ref="T12:T75" si="0">IF(D12="","",IF(S12="Check Data ⚠","Check Data ⚠",VLOOKUP(S12,TemporalMultipliers,3,FALSE)))</f>
        <v/>
      </c>
      <c r="U12" s="362" t="str">
        <f>IF(D12="","",VLOOKUP(D12,'G-6 Hedgerow Data'!$B$3:$AG$15,31,FALSE))</f>
        <v/>
      </c>
      <c r="V12" s="370" t="str">
        <f>IF(D12="","",IF(S12="Check Data ⚠","Check Data ⚠",IF(H12="","",IF($R12="Check details - Is there evidence that habitat has reached target condition? ⚠","Low Difficulty - only applicable if all habitat created before losses","Standard difficulty applied"))))</f>
        <v/>
      </c>
      <c r="W12" s="370" t="str">
        <f>(IF(AND(V12="Standard difficulty applied",O12&gt;P12),U12,IF(AND(V12="Low Difficulty - only applicable if all habitat created before losses",P12&gt;=O12),"Low",U12)))</f>
        <v/>
      </c>
      <c r="X12" s="363" t="str">
        <f>IF(F12="","",VLOOKUP(U12,'G-3 Multipliers'!$P$3:$Q$6,2,FALSE))</f>
        <v/>
      </c>
      <c r="Y12" s="390" t="str">
        <f>IFERROR(E12*G12*I12*L12*T12*X12*N12,"")</f>
        <v/>
      </c>
      <c r="Z12" s="390" t="str">
        <f>IFERROR(IF(M12="","", E12*G12*I12*L12*T12*X12),"")</f>
        <v/>
      </c>
      <c r="AA12" s="117"/>
      <c r="AB12" s="118"/>
      <c r="AC12" s="118"/>
      <c r="AD12" s="118"/>
      <c r="AH12" s="30" t="str">
        <f>IFERROR(INDEX('G-6 Hedgerow Data'!$BJ$3:$BJ$15,MATCH(D12,'G-6 Hedgerow Data'!$B$3:$B$15,0)),"")</f>
        <v/>
      </c>
    </row>
    <row r="13" spans="2:34" ht="15">
      <c r="B13" s="110">
        <v>2</v>
      </c>
      <c r="C13" s="216"/>
      <c r="D13" s="159"/>
      <c r="E13" s="139"/>
      <c r="F13" s="362" t="str">
        <f>IF(D13="","",VLOOKUP(D13,'G-6 Hedgerow Data'!$B$2:$AG$15,2,FALSE))</f>
        <v/>
      </c>
      <c r="G13" s="386" t="str">
        <f>IF(D13="","",VLOOKUP(D13,'G-6 Hedgerow Data'!$B$2:$AG$15,3,FALSE))</f>
        <v/>
      </c>
      <c r="H13" s="55"/>
      <c r="I13" s="363" t="str">
        <f>IFERROR(IF(AND(F13="V.Low",OR(H13="Good",H13="Moderate")),"Error ▲",VLOOKUP(H13,'G-1 All Habitats'!$Z$2:$AA$9,2,FALSE)),"")</f>
        <v/>
      </c>
      <c r="J13" s="115"/>
      <c r="K13" s="382" t="str">
        <f>IF(J13="","",IF(VLOOKUP(J13,'G-3 Multipliers'!$L$3:$N$6,2,FALSE)=0,"Spatial Data Missing",VLOOKUP(J13,'G-3 Multipliers'!$L$3:$N$6,2,FALSE)))</f>
        <v/>
      </c>
      <c r="L13" s="386" t="str">
        <f>IF(J13="","",IF(VLOOKUP(J13,'G-3 Multipliers'!$L$3:$N$6,3,FALSE)=0,"Spatial Data Missing",VLOOKUP(J13,'G-3 Multipliers'!$L$3:$N$6,3,FALSE)))</f>
        <v/>
      </c>
      <c r="M13" s="160"/>
      <c r="N13" s="363" t="str">
        <f>IF(M13="","",IF(VLOOKUP(M13,'G-3 Multipliers'!$S$3:$T$10,2,FALSE)=0,"Spatial Data Missing ⚠",VLOOKUP(M13,'G-3 Multipliers'!$S$3:$T$10,2,FALSE)))</f>
        <v/>
      </c>
      <c r="O13" s="362" t="str">
        <f>IF(OR(D13="",H13=""),"",(INDEX('G-6 Hedgerow Data'!$E$3:$I$15,MATCH(D13,'G-6 Hedgerow Data'!$B$3:$B$15,0),MATCH(H13,'G-6 Hedgerow Data'!$E$2:$I$2,0))))</f>
        <v/>
      </c>
      <c r="P13" s="159"/>
      <c r="Q13" s="159"/>
      <c r="R13" s="370" t="str">
        <f t="shared" ref="R13:R76" si="1">IF(D13="","",IF(AND(P13&gt;0,Q13&gt;0),"Error -both advance and delayed habitat creation ▲",IF(AND(OR(P13="Habitat already in target condition",O13&lt;=P13),Q13=0),"Check details - Is there evidence that habitat has reached target condition? ⚠",IF(O13="","",IF(P13&gt;0,"Check details - Is there evidence habitat creation started/in place? ⚠",IF(Q13&gt;0,"Check details- Delay in starting habitat in required condition? ⚠","Standard time to target condition applied"))))))</f>
        <v/>
      </c>
      <c r="S13" s="383" t="str">
        <f t="shared" ref="S13:S76" si="2">IF(O13="","",IF(R13="Error -both advance and delayed habitat creation ▲","Check Data ⚠",IF(OR(P13="30+",P13="Habitat already in target condition"),0,IF(Q13="30+","30+",IF(AND(O13="30+",OR(P13="",P13=0)),"30+",IF(AND(O13="30+",P13&gt;0),30-P13,IF(O13+Q13&gt;30,"30+",IF(O13+Q13-P13&gt;0,O13+Q13-P13,IF(O13-P13&lt;0,0,O13+Q13-P13)))))))))</f>
        <v/>
      </c>
      <c r="T13" s="384" t="str">
        <f t="shared" si="0"/>
        <v/>
      </c>
      <c r="U13" s="398" t="str">
        <f>IF(D13="","",VLOOKUP(D13,'G-6 Hedgerow Data'!$B$3:$AG$15,31,FALSE))</f>
        <v/>
      </c>
      <c r="V13" s="382" t="str">
        <f t="shared" ref="V13:V76" si="3">IF(D13="","",IF(S13="Check Data ⚠","Check Data ⚠",IF(H13="","",IF($R13="Check details - Is there evidence that habitat has reached target condition? ⚠","Low Difficulty - only applicable if all habitat created before losses","Standard difficulty applied"))))</f>
        <v/>
      </c>
      <c r="W13" s="382" t="str">
        <f t="shared" ref="W13:W76" si="4">(IF(AND(V13="Standard difficulty applied",O13&gt;P13),U13,IF(AND(V13="Low Difficulty - only applicable if all habitat created before losses",P13&gt;=O13),"Low",U13)))</f>
        <v/>
      </c>
      <c r="X13" s="386" t="str">
        <f>IF(F13="","",VLOOKUP(U13,'G-3 Multipliers'!$P$3:$Q$6,2,FALSE))</f>
        <v/>
      </c>
      <c r="Y13" s="390" t="str">
        <f t="shared" ref="Y13:Y76" si="5">IFERROR(E13*G13*I13*L13*T13*X13*N13,"")</f>
        <v/>
      </c>
      <c r="Z13" s="390" t="str">
        <f t="shared" ref="Z13:Z76" si="6">IFERROR(IF(M13="","", E13*G13*I13*L13*T13*X13),"")</f>
        <v/>
      </c>
      <c r="AA13" s="117"/>
      <c r="AB13" s="118"/>
      <c r="AC13" s="120"/>
      <c r="AD13" s="120"/>
      <c r="AH13" s="30" t="str">
        <f>IFERROR(INDEX('G-6 Hedgerow Data'!$BJ$3:$BJ$15,MATCH(D13,'G-6 Hedgerow Data'!$B$3:$B$15,0)),"")</f>
        <v/>
      </c>
    </row>
    <row r="14" spans="2:34" ht="15">
      <c r="B14" s="110">
        <v>3</v>
      </c>
      <c r="C14" s="216"/>
      <c r="D14" s="159"/>
      <c r="E14" s="139"/>
      <c r="F14" s="362" t="str">
        <f>IF(D14="","",VLOOKUP(D14,'G-6 Hedgerow Data'!$B$2:$AG$15,2,FALSE))</f>
        <v/>
      </c>
      <c r="G14" s="386" t="str">
        <f>IF(D14="","",VLOOKUP(D14,'G-6 Hedgerow Data'!$B$2:$AG$15,3,FALSE))</f>
        <v/>
      </c>
      <c r="H14" s="55"/>
      <c r="I14" s="363" t="str">
        <f>IFERROR(IF(AND(F14="V.Low",OR(H14="Good",H14="Moderate")),"Error ▲",VLOOKUP(H14,'G-1 All Habitats'!$Z$2:$AA$9,2,FALSE)),"")</f>
        <v/>
      </c>
      <c r="J14" s="115"/>
      <c r="K14" s="382" t="str">
        <f>IF(J14="","",IF(VLOOKUP(J14,'G-3 Multipliers'!$L$3:$N$6,2,FALSE)=0,"Spatial Data Missing",VLOOKUP(J14,'G-3 Multipliers'!$L$3:$N$6,2,FALSE)))</f>
        <v/>
      </c>
      <c r="L14" s="386" t="str">
        <f>IF(J14="","",IF(VLOOKUP(J14,'G-3 Multipliers'!$L$3:$N$6,3,FALSE)=0,"Spatial Data Missing",VLOOKUP(J14,'G-3 Multipliers'!$L$3:$N$6,3,FALSE)))</f>
        <v/>
      </c>
      <c r="M14" s="160"/>
      <c r="N14" s="363" t="str">
        <f>IF(M14="","",IF(VLOOKUP(M14,'G-3 Multipliers'!$S$3:$T$10,2,FALSE)=0,"Spatial Data Missing ⚠",VLOOKUP(M14,'G-3 Multipliers'!$S$3:$T$10,2,FALSE)))</f>
        <v/>
      </c>
      <c r="O14" s="362" t="str">
        <f>IF(OR(D14="",H14=""),"",(INDEX('G-6 Hedgerow Data'!$E$3:$I$15,MATCH(D14,'G-6 Hedgerow Data'!$B$3:$B$15,0),MATCH(H14,'G-6 Hedgerow Data'!$E$2:$I$2,0))))</f>
        <v/>
      </c>
      <c r="P14" s="159"/>
      <c r="Q14" s="159"/>
      <c r="R14" s="370" t="str">
        <f t="shared" si="1"/>
        <v/>
      </c>
      <c r="S14" s="383" t="str">
        <f t="shared" si="2"/>
        <v/>
      </c>
      <c r="T14" s="384" t="str">
        <f t="shared" si="0"/>
        <v/>
      </c>
      <c r="U14" s="398" t="str">
        <f>IF(D14="","",VLOOKUP(D14,'G-6 Hedgerow Data'!$B$3:$AG$15,31,FALSE))</f>
        <v/>
      </c>
      <c r="V14" s="382" t="str">
        <f t="shared" si="3"/>
        <v/>
      </c>
      <c r="W14" s="382" t="str">
        <f t="shared" si="4"/>
        <v/>
      </c>
      <c r="X14" s="386" t="str">
        <f>IF(F14="","",VLOOKUP(U14,'G-3 Multipliers'!$P$3:$Q$6,2,FALSE))</f>
        <v/>
      </c>
      <c r="Y14" s="390" t="str">
        <f t="shared" si="5"/>
        <v/>
      </c>
      <c r="Z14" s="390" t="str">
        <f t="shared" si="6"/>
        <v/>
      </c>
      <c r="AA14" s="117"/>
      <c r="AB14" s="118"/>
      <c r="AC14" s="120"/>
      <c r="AD14" s="120"/>
      <c r="AH14" s="30" t="str">
        <f>IFERROR(INDEX('G-6 Hedgerow Data'!$BJ$3:$BJ$15,MATCH(D14,'G-6 Hedgerow Data'!$B$3:$B$15,0)),"")</f>
        <v/>
      </c>
    </row>
    <row r="15" spans="2:34" ht="15">
      <c r="B15" s="110">
        <v>4</v>
      </c>
      <c r="C15" s="216"/>
      <c r="D15" s="159"/>
      <c r="E15" s="139"/>
      <c r="F15" s="362" t="str">
        <f>IF(D15="","",VLOOKUP(D15,'G-6 Hedgerow Data'!$B$2:$AG$15,2,FALSE))</f>
        <v/>
      </c>
      <c r="G15" s="386" t="str">
        <f>IF(D15="","",VLOOKUP(D15,'G-6 Hedgerow Data'!$B$2:$AG$15,3,FALSE))</f>
        <v/>
      </c>
      <c r="H15" s="55"/>
      <c r="I15" s="363" t="str">
        <f>IFERROR(IF(AND(F15="V.Low",OR(H15="Good",H15="Moderate")),"Error ▲",VLOOKUP(H15,'G-1 All Habitats'!$Z$2:$AA$9,2,FALSE)),"")</f>
        <v/>
      </c>
      <c r="J15" s="115"/>
      <c r="K15" s="382" t="str">
        <f>IF(J15="","",IF(VLOOKUP(J15,'G-3 Multipliers'!$L$3:$N$6,2,FALSE)=0,"Spatial Data Missing",VLOOKUP(J15,'G-3 Multipliers'!$L$3:$N$6,2,FALSE)))</f>
        <v/>
      </c>
      <c r="L15" s="386" t="str">
        <f>IF(J15="","",IF(VLOOKUP(J15,'G-3 Multipliers'!$L$3:$N$6,3,FALSE)=0,"Spatial Data Missing",VLOOKUP(J15,'G-3 Multipliers'!$L$3:$N$6,3,FALSE)))</f>
        <v/>
      </c>
      <c r="M15" s="160"/>
      <c r="N15" s="363" t="str">
        <f>IF(M15="","",IF(VLOOKUP(M15,'G-3 Multipliers'!$S$3:$T$10,2,FALSE)=0,"Spatial Data Missing ⚠",VLOOKUP(M15,'G-3 Multipliers'!$S$3:$T$10,2,FALSE)))</f>
        <v/>
      </c>
      <c r="O15" s="362" t="str">
        <f>IF(OR(D15="",H15=""),"",(INDEX('G-6 Hedgerow Data'!$E$3:$I$15,MATCH(D15,'G-6 Hedgerow Data'!$B$3:$B$15,0),MATCH(H15,'G-6 Hedgerow Data'!$E$2:$I$2,0))))</f>
        <v/>
      </c>
      <c r="P15" s="159"/>
      <c r="Q15" s="159"/>
      <c r="R15" s="370" t="str">
        <f t="shared" si="1"/>
        <v/>
      </c>
      <c r="S15" s="383" t="str">
        <f t="shared" si="2"/>
        <v/>
      </c>
      <c r="T15" s="384" t="str">
        <f t="shared" si="0"/>
        <v/>
      </c>
      <c r="U15" s="398" t="str">
        <f>IF(D15="","",VLOOKUP(D15,'G-6 Hedgerow Data'!$B$3:$AG$15,31,FALSE))</f>
        <v/>
      </c>
      <c r="V15" s="382" t="str">
        <f t="shared" si="3"/>
        <v/>
      </c>
      <c r="W15" s="382" t="str">
        <f t="shared" si="4"/>
        <v/>
      </c>
      <c r="X15" s="386" t="str">
        <f>IF(F15="","",VLOOKUP(U15,'G-3 Multipliers'!$P$3:$Q$6,2,FALSE))</f>
        <v/>
      </c>
      <c r="Y15" s="390" t="str">
        <f t="shared" si="5"/>
        <v/>
      </c>
      <c r="Z15" s="390" t="str">
        <f t="shared" si="6"/>
        <v/>
      </c>
      <c r="AA15" s="117"/>
      <c r="AB15" s="118"/>
      <c r="AC15" s="120"/>
      <c r="AD15" s="120"/>
      <c r="AH15" s="30" t="str">
        <f>IFERROR(INDEX('G-6 Hedgerow Data'!$BJ$3:$BJ$15,MATCH(D15,'G-6 Hedgerow Data'!$B$3:$B$15,0)),"")</f>
        <v/>
      </c>
    </row>
    <row r="16" spans="2:34" ht="15">
      <c r="B16" s="110">
        <v>5</v>
      </c>
      <c r="C16" s="216"/>
      <c r="D16" s="159"/>
      <c r="E16" s="139"/>
      <c r="F16" s="362" t="str">
        <f>IF(D16="","",VLOOKUP(D16,'G-6 Hedgerow Data'!$B$2:$AG$15,2,FALSE))</f>
        <v/>
      </c>
      <c r="G16" s="386" t="str">
        <f>IF(D16="","",VLOOKUP(D16,'G-6 Hedgerow Data'!$B$2:$AG$15,3,FALSE))</f>
        <v/>
      </c>
      <c r="H16" s="55"/>
      <c r="I16" s="363" t="str">
        <f>IFERROR(IF(AND(F16="V.Low",OR(H16="Good",H16="Moderate")),"Error ▲",VLOOKUP(H16,'G-1 All Habitats'!$Z$2:$AA$9,2,FALSE)),"")</f>
        <v/>
      </c>
      <c r="J16" s="115"/>
      <c r="K16" s="382" t="str">
        <f>IF(J16="","",IF(VLOOKUP(J16,'G-3 Multipliers'!$L$3:$N$6,2,FALSE)=0,"Spatial Data Missing",VLOOKUP(J16,'G-3 Multipliers'!$L$3:$N$6,2,FALSE)))</f>
        <v/>
      </c>
      <c r="L16" s="386" t="str">
        <f>IF(J16="","",IF(VLOOKUP(J16,'G-3 Multipliers'!$L$3:$N$6,3,FALSE)=0,"Spatial Data Missing",VLOOKUP(J16,'G-3 Multipliers'!$L$3:$N$6,3,FALSE)))</f>
        <v/>
      </c>
      <c r="M16" s="160"/>
      <c r="N16" s="363" t="str">
        <f>IF(M16="","",IF(VLOOKUP(M16,'G-3 Multipliers'!$S$3:$T$10,2,FALSE)=0,"Spatial Data Missing ⚠",VLOOKUP(M16,'G-3 Multipliers'!$S$3:$T$10,2,FALSE)))</f>
        <v/>
      </c>
      <c r="O16" s="362" t="str">
        <f>IF(OR(D16="",H16=""),"",(INDEX('G-6 Hedgerow Data'!$E$3:$I$15,MATCH(D16,'G-6 Hedgerow Data'!$B$3:$B$15,0),MATCH(H16,'G-6 Hedgerow Data'!$E$2:$I$2,0))))</f>
        <v/>
      </c>
      <c r="P16" s="159"/>
      <c r="Q16" s="159"/>
      <c r="R16" s="370" t="str">
        <f t="shared" si="1"/>
        <v/>
      </c>
      <c r="S16" s="383" t="str">
        <f t="shared" si="2"/>
        <v/>
      </c>
      <c r="T16" s="384" t="str">
        <f t="shared" si="0"/>
        <v/>
      </c>
      <c r="U16" s="398" t="str">
        <f>IF(D16="","",VLOOKUP(D16,'G-6 Hedgerow Data'!$B$3:$AG$15,31,FALSE))</f>
        <v/>
      </c>
      <c r="V16" s="382" t="str">
        <f t="shared" si="3"/>
        <v/>
      </c>
      <c r="W16" s="382" t="str">
        <f t="shared" si="4"/>
        <v/>
      </c>
      <c r="X16" s="386" t="str">
        <f>IF(F16="","",VLOOKUP(U16,'G-3 Multipliers'!$P$3:$Q$6,2,FALSE))</f>
        <v/>
      </c>
      <c r="Y16" s="390" t="str">
        <f t="shared" si="5"/>
        <v/>
      </c>
      <c r="Z16" s="390" t="str">
        <f t="shared" si="6"/>
        <v/>
      </c>
      <c r="AA16" s="117"/>
      <c r="AB16" s="118"/>
      <c r="AC16" s="120"/>
      <c r="AD16" s="120"/>
      <c r="AH16" s="30" t="str">
        <f>IFERROR(INDEX('G-6 Hedgerow Data'!$BJ$3:$BJ$15,MATCH(D16,'G-6 Hedgerow Data'!$B$3:$B$15,0)),"")</f>
        <v/>
      </c>
    </row>
    <row r="17" spans="2:34" ht="15">
      <c r="B17" s="110">
        <v>6</v>
      </c>
      <c r="C17" s="216"/>
      <c r="D17" s="159"/>
      <c r="E17" s="139"/>
      <c r="F17" s="362" t="str">
        <f>IF(D17="","",VLOOKUP(D17,'G-6 Hedgerow Data'!$B$2:$AG$15,2,FALSE))</f>
        <v/>
      </c>
      <c r="G17" s="386" t="str">
        <f>IF(D17="","",VLOOKUP(D17,'G-6 Hedgerow Data'!$B$2:$AG$15,3,FALSE))</f>
        <v/>
      </c>
      <c r="H17" s="55"/>
      <c r="I17" s="363" t="str">
        <f>IFERROR(IF(AND(F17="V.Low",OR(H17="Good",H17="Moderate")),"Error ▲",VLOOKUP(H17,'G-1 All Habitats'!$Z$2:$AA$9,2,FALSE)),"")</f>
        <v/>
      </c>
      <c r="J17" s="115"/>
      <c r="K17" s="382" t="str">
        <f>IF(J17="","",IF(VLOOKUP(J17,'G-3 Multipliers'!$L$3:$N$6,2,FALSE)=0,"Spatial Data Missing",VLOOKUP(J17,'G-3 Multipliers'!$L$3:$N$6,2,FALSE)))</f>
        <v/>
      </c>
      <c r="L17" s="386" t="str">
        <f>IF(J17="","",IF(VLOOKUP(J17,'G-3 Multipliers'!$L$3:$N$6,3,FALSE)=0,"Spatial Data Missing",VLOOKUP(J17,'G-3 Multipliers'!$L$3:$N$6,3,FALSE)))</f>
        <v/>
      </c>
      <c r="M17" s="160"/>
      <c r="N17" s="363" t="str">
        <f>IF(M17="","",IF(VLOOKUP(M17,'G-3 Multipliers'!$S$3:$T$10,2,FALSE)=0,"Spatial Data Missing ⚠",VLOOKUP(M17,'G-3 Multipliers'!$S$3:$T$10,2,FALSE)))</f>
        <v/>
      </c>
      <c r="O17" s="362" t="str">
        <f>IF(OR(D17="",H17=""),"",(INDEX('G-6 Hedgerow Data'!$E$3:$I$15,MATCH(D17,'G-6 Hedgerow Data'!$B$3:$B$15,0),MATCH(H17,'G-6 Hedgerow Data'!$E$2:$I$2,0))))</f>
        <v/>
      </c>
      <c r="P17" s="159"/>
      <c r="Q17" s="159"/>
      <c r="R17" s="370" t="str">
        <f t="shared" si="1"/>
        <v/>
      </c>
      <c r="S17" s="383" t="str">
        <f t="shared" si="2"/>
        <v/>
      </c>
      <c r="T17" s="384" t="str">
        <f t="shared" si="0"/>
        <v/>
      </c>
      <c r="U17" s="398" t="str">
        <f>IF(D17="","",VLOOKUP(D17,'G-6 Hedgerow Data'!$B$3:$AG$15,31,FALSE))</f>
        <v/>
      </c>
      <c r="V17" s="382" t="str">
        <f t="shared" si="3"/>
        <v/>
      </c>
      <c r="W17" s="382" t="str">
        <f t="shared" si="4"/>
        <v/>
      </c>
      <c r="X17" s="386" t="str">
        <f>IF(F17="","",VLOOKUP(U17,'G-3 Multipliers'!$P$3:$Q$6,2,FALSE))</f>
        <v/>
      </c>
      <c r="Y17" s="390" t="str">
        <f t="shared" si="5"/>
        <v/>
      </c>
      <c r="Z17" s="390" t="str">
        <f t="shared" si="6"/>
        <v/>
      </c>
      <c r="AA17" s="117"/>
      <c r="AB17" s="118"/>
      <c r="AC17" s="120"/>
      <c r="AD17" s="120"/>
      <c r="AH17" s="30" t="str">
        <f>IFERROR(INDEX('G-6 Hedgerow Data'!$BJ$3:$BJ$15,MATCH(D17,'G-6 Hedgerow Data'!$B$3:$B$15,0)),"")</f>
        <v/>
      </c>
    </row>
    <row r="18" spans="2:34" ht="15">
      <c r="B18" s="110">
        <v>7</v>
      </c>
      <c r="C18" s="216"/>
      <c r="D18" s="159"/>
      <c r="E18" s="139"/>
      <c r="F18" s="362" t="str">
        <f>IF(D18="","",VLOOKUP(D18,'G-6 Hedgerow Data'!$B$2:$AG$15,2,FALSE))</f>
        <v/>
      </c>
      <c r="G18" s="386" t="str">
        <f>IF(D18="","",VLOOKUP(D18,'G-6 Hedgerow Data'!$B$2:$AG$15,3,FALSE))</f>
        <v/>
      </c>
      <c r="H18" s="55"/>
      <c r="I18" s="363" t="str">
        <f>IFERROR(IF(AND(F18="V.Low",OR(H18="Good",H18="Moderate")),"Error ▲",VLOOKUP(H18,'G-1 All Habitats'!$Z$2:$AA$9,2,FALSE)),"")</f>
        <v/>
      </c>
      <c r="J18" s="115"/>
      <c r="K18" s="382" t="str">
        <f>IF(J18="","",IF(VLOOKUP(J18,'G-3 Multipliers'!$L$3:$N$6,2,FALSE)=0,"Spatial Data Missing",VLOOKUP(J18,'G-3 Multipliers'!$L$3:$N$6,2,FALSE)))</f>
        <v/>
      </c>
      <c r="L18" s="386" t="str">
        <f>IF(J18="","",IF(VLOOKUP(J18,'G-3 Multipliers'!$L$3:$N$6,3,FALSE)=0,"Spatial Data Missing",VLOOKUP(J18,'G-3 Multipliers'!$L$3:$N$6,3,FALSE)))</f>
        <v/>
      </c>
      <c r="M18" s="160"/>
      <c r="N18" s="363" t="str">
        <f>IF(M18="","",IF(VLOOKUP(M18,'G-3 Multipliers'!$S$3:$T$10,2,FALSE)=0,"Spatial Data Missing ⚠",VLOOKUP(M18,'G-3 Multipliers'!$S$3:$T$10,2,FALSE)))</f>
        <v/>
      </c>
      <c r="O18" s="362" t="str">
        <f>IF(OR(D18="",H18=""),"",(INDEX('G-6 Hedgerow Data'!$E$3:$I$15,MATCH(D18,'G-6 Hedgerow Data'!$B$3:$B$15,0),MATCH(H18,'G-6 Hedgerow Data'!$E$2:$I$2,0))))</f>
        <v/>
      </c>
      <c r="P18" s="159"/>
      <c r="Q18" s="159"/>
      <c r="R18" s="370" t="str">
        <f t="shared" si="1"/>
        <v/>
      </c>
      <c r="S18" s="383" t="str">
        <f t="shared" si="2"/>
        <v/>
      </c>
      <c r="T18" s="384" t="str">
        <f t="shared" si="0"/>
        <v/>
      </c>
      <c r="U18" s="398" t="str">
        <f>IF(D18="","",VLOOKUP(D18,'G-6 Hedgerow Data'!$B$3:$AG$15,31,FALSE))</f>
        <v/>
      </c>
      <c r="V18" s="382" t="str">
        <f t="shared" si="3"/>
        <v/>
      </c>
      <c r="W18" s="382" t="str">
        <f t="shared" si="4"/>
        <v/>
      </c>
      <c r="X18" s="386" t="str">
        <f>IF(F18="","",VLOOKUP(U18,'G-3 Multipliers'!$P$3:$Q$6,2,FALSE))</f>
        <v/>
      </c>
      <c r="Y18" s="390" t="str">
        <f t="shared" si="5"/>
        <v/>
      </c>
      <c r="Z18" s="390" t="str">
        <f t="shared" si="6"/>
        <v/>
      </c>
      <c r="AA18" s="117"/>
      <c r="AB18" s="118"/>
      <c r="AC18" s="120"/>
      <c r="AD18" s="120"/>
      <c r="AH18" s="30" t="str">
        <f>IFERROR(INDEX('G-6 Hedgerow Data'!$BJ$3:$BJ$15,MATCH(D18,'G-6 Hedgerow Data'!$B$3:$B$15,0)),"")</f>
        <v/>
      </c>
    </row>
    <row r="19" spans="2:34" ht="15">
      <c r="B19" s="110">
        <v>8</v>
      </c>
      <c r="C19" s="216"/>
      <c r="D19" s="159"/>
      <c r="E19" s="139"/>
      <c r="F19" s="362" t="str">
        <f>IF(D19="","",VLOOKUP(D19,'G-6 Hedgerow Data'!$B$2:$AG$15,2,FALSE))</f>
        <v/>
      </c>
      <c r="G19" s="386" t="str">
        <f>IF(D19="","",VLOOKUP(D19,'G-6 Hedgerow Data'!$B$2:$AG$15,3,FALSE))</f>
        <v/>
      </c>
      <c r="H19" s="55"/>
      <c r="I19" s="363" t="str">
        <f>IFERROR(IF(AND(F19="V.Low",OR(H19="Good",H19="Moderate")),"Error ▲",VLOOKUP(H19,'G-1 All Habitats'!$Z$2:$AA$9,2,FALSE)),"")</f>
        <v/>
      </c>
      <c r="J19" s="115"/>
      <c r="K19" s="382" t="str">
        <f>IF(J19="","",IF(VLOOKUP(J19,'G-3 Multipliers'!$L$3:$N$6,2,FALSE)=0,"Spatial Data Missing",VLOOKUP(J19,'G-3 Multipliers'!$L$3:$N$6,2,FALSE)))</f>
        <v/>
      </c>
      <c r="L19" s="386" t="str">
        <f>IF(J19="","",IF(VLOOKUP(J19,'G-3 Multipliers'!$L$3:$N$6,3,FALSE)=0,"Spatial Data Missing",VLOOKUP(J19,'G-3 Multipliers'!$L$3:$N$6,3,FALSE)))</f>
        <v/>
      </c>
      <c r="M19" s="160"/>
      <c r="N19" s="363" t="str">
        <f>IF(M19="","",IF(VLOOKUP(M19,'G-3 Multipliers'!$S$3:$T$10,2,FALSE)=0,"Spatial Data Missing ⚠",VLOOKUP(M19,'G-3 Multipliers'!$S$3:$T$10,2,FALSE)))</f>
        <v/>
      </c>
      <c r="O19" s="362" t="str">
        <f>IF(OR(D19="",H19=""),"",(INDEX('G-6 Hedgerow Data'!$E$3:$I$15,MATCH(D19,'G-6 Hedgerow Data'!$B$3:$B$15,0),MATCH(H19,'G-6 Hedgerow Data'!$E$2:$I$2,0))))</f>
        <v/>
      </c>
      <c r="P19" s="159"/>
      <c r="Q19" s="159"/>
      <c r="R19" s="370" t="str">
        <f t="shared" si="1"/>
        <v/>
      </c>
      <c r="S19" s="383" t="str">
        <f t="shared" si="2"/>
        <v/>
      </c>
      <c r="T19" s="384" t="str">
        <f t="shared" si="0"/>
        <v/>
      </c>
      <c r="U19" s="398" t="str">
        <f>IF(D19="","",VLOOKUP(D19,'G-6 Hedgerow Data'!$B$3:$AG$15,31,FALSE))</f>
        <v/>
      </c>
      <c r="V19" s="382" t="str">
        <f t="shared" si="3"/>
        <v/>
      </c>
      <c r="W19" s="382" t="str">
        <f t="shared" si="4"/>
        <v/>
      </c>
      <c r="X19" s="386" t="str">
        <f>IF(F19="","",VLOOKUP(U19,'G-3 Multipliers'!$P$3:$Q$6,2,FALSE))</f>
        <v/>
      </c>
      <c r="Y19" s="390" t="str">
        <f t="shared" si="5"/>
        <v/>
      </c>
      <c r="Z19" s="390" t="str">
        <f t="shared" si="6"/>
        <v/>
      </c>
      <c r="AA19" s="117"/>
      <c r="AB19" s="118"/>
      <c r="AC19" s="120"/>
      <c r="AD19" s="120"/>
      <c r="AH19" s="30" t="str">
        <f>IFERROR(INDEX('G-6 Hedgerow Data'!$BJ$3:$BJ$15,MATCH(D19,'G-6 Hedgerow Data'!$B$3:$B$15,0)),"")</f>
        <v/>
      </c>
    </row>
    <row r="20" spans="2:34" ht="15">
      <c r="B20" s="110">
        <v>9</v>
      </c>
      <c r="C20" s="216"/>
      <c r="D20" s="159"/>
      <c r="E20" s="139"/>
      <c r="F20" s="362" t="str">
        <f>IF(D20="","",VLOOKUP(D20,'G-6 Hedgerow Data'!$B$2:$AG$15,2,FALSE))</f>
        <v/>
      </c>
      <c r="G20" s="386" t="str">
        <f>IF(D20="","",VLOOKUP(D20,'G-6 Hedgerow Data'!$B$2:$AG$15,3,FALSE))</f>
        <v/>
      </c>
      <c r="H20" s="55"/>
      <c r="I20" s="363" t="str">
        <f>IFERROR(IF(AND(F20="V.Low",OR(H20="Good",H20="Moderate")),"Error ▲",VLOOKUP(H20,'G-1 All Habitats'!$Z$2:$AA$9,2,FALSE)),"")</f>
        <v/>
      </c>
      <c r="J20" s="115"/>
      <c r="K20" s="382" t="str">
        <f>IF(J20="","",IF(VLOOKUP(J20,'G-3 Multipliers'!$L$3:$N$6,2,FALSE)=0,"Spatial Data Missing",VLOOKUP(J20,'G-3 Multipliers'!$L$3:$N$6,2,FALSE)))</f>
        <v/>
      </c>
      <c r="L20" s="386" t="str">
        <f>IF(J20="","",IF(VLOOKUP(J20,'G-3 Multipliers'!$L$3:$N$6,3,FALSE)=0,"Spatial Data Missing",VLOOKUP(J20,'G-3 Multipliers'!$L$3:$N$6,3,FALSE)))</f>
        <v/>
      </c>
      <c r="M20" s="160"/>
      <c r="N20" s="363" t="str">
        <f>IF(M20="","",IF(VLOOKUP(M20,'G-3 Multipliers'!$S$3:$T$10,2,FALSE)=0,"Spatial Data Missing ⚠",VLOOKUP(M20,'G-3 Multipliers'!$S$3:$T$10,2,FALSE)))</f>
        <v/>
      </c>
      <c r="O20" s="362" t="str">
        <f>IF(OR(D20="",H20=""),"",(INDEX('G-6 Hedgerow Data'!$E$3:$I$15,MATCH(D20,'G-6 Hedgerow Data'!$B$3:$B$15,0),MATCH(H20,'G-6 Hedgerow Data'!$E$2:$I$2,0))))</f>
        <v/>
      </c>
      <c r="P20" s="159"/>
      <c r="Q20" s="159"/>
      <c r="R20" s="370" t="str">
        <f t="shared" si="1"/>
        <v/>
      </c>
      <c r="S20" s="383" t="str">
        <f t="shared" si="2"/>
        <v/>
      </c>
      <c r="T20" s="384" t="str">
        <f t="shared" si="0"/>
        <v/>
      </c>
      <c r="U20" s="398" t="str">
        <f>IF(D20="","",VLOOKUP(D20,'G-6 Hedgerow Data'!$B$3:$AG$15,31,FALSE))</f>
        <v/>
      </c>
      <c r="V20" s="382" t="str">
        <f t="shared" si="3"/>
        <v/>
      </c>
      <c r="W20" s="382" t="str">
        <f t="shared" si="4"/>
        <v/>
      </c>
      <c r="X20" s="386" t="str">
        <f>IF(F20="","",VLOOKUP(U20,'G-3 Multipliers'!$P$3:$Q$6,2,FALSE))</f>
        <v/>
      </c>
      <c r="Y20" s="390" t="str">
        <f t="shared" si="5"/>
        <v/>
      </c>
      <c r="Z20" s="390" t="str">
        <f t="shared" si="6"/>
        <v/>
      </c>
      <c r="AA20" s="117"/>
      <c r="AB20" s="118"/>
      <c r="AC20" s="120"/>
      <c r="AD20" s="120"/>
      <c r="AH20" s="30" t="str">
        <f>IFERROR(INDEX('G-6 Hedgerow Data'!$BJ$3:$BJ$15,MATCH(D20,'G-6 Hedgerow Data'!$B$3:$B$15,0)),"")</f>
        <v/>
      </c>
    </row>
    <row r="21" spans="2:34" ht="15">
      <c r="B21" s="110">
        <v>10</v>
      </c>
      <c r="C21" s="216"/>
      <c r="D21" s="159"/>
      <c r="E21" s="139"/>
      <c r="F21" s="362" t="str">
        <f>IF(D21="","",VLOOKUP(D21,'G-6 Hedgerow Data'!$B$2:$AG$15,2,FALSE))</f>
        <v/>
      </c>
      <c r="G21" s="386" t="str">
        <f>IF(D21="","",VLOOKUP(D21,'G-6 Hedgerow Data'!$B$2:$AG$15,3,FALSE))</f>
        <v/>
      </c>
      <c r="H21" s="55"/>
      <c r="I21" s="363" t="str">
        <f>IFERROR(IF(AND(F21="V.Low",OR(H21="Good",H21="Moderate")),"Error ▲",VLOOKUP(H21,'G-1 All Habitats'!$Z$2:$AA$9,2,FALSE)),"")</f>
        <v/>
      </c>
      <c r="J21" s="115"/>
      <c r="K21" s="382" t="str">
        <f>IF(J21="","",IF(VLOOKUP(J21,'G-3 Multipliers'!$L$3:$N$6,2,FALSE)=0,"Spatial Data Missing",VLOOKUP(J21,'G-3 Multipliers'!$L$3:$N$6,2,FALSE)))</f>
        <v/>
      </c>
      <c r="L21" s="386" t="str">
        <f>IF(J21="","",IF(VLOOKUP(J21,'G-3 Multipliers'!$L$3:$N$6,3,FALSE)=0,"Spatial Data Missing",VLOOKUP(J21,'G-3 Multipliers'!$L$3:$N$6,3,FALSE)))</f>
        <v/>
      </c>
      <c r="M21" s="160"/>
      <c r="N21" s="363" t="str">
        <f>IF(M21="","",IF(VLOOKUP(M21,'G-3 Multipliers'!$S$3:$T$10,2,FALSE)=0,"Spatial Data Missing ⚠",VLOOKUP(M21,'G-3 Multipliers'!$S$3:$T$10,2,FALSE)))</f>
        <v/>
      </c>
      <c r="O21" s="362" t="str">
        <f>IF(OR(D21="",H21=""),"",(INDEX('G-6 Hedgerow Data'!$E$3:$I$15,MATCH(D21,'G-6 Hedgerow Data'!$B$3:$B$15,0),MATCH(H21,'G-6 Hedgerow Data'!$E$2:$I$2,0))))</f>
        <v/>
      </c>
      <c r="P21" s="159"/>
      <c r="Q21" s="159"/>
      <c r="R21" s="370" t="str">
        <f t="shared" si="1"/>
        <v/>
      </c>
      <c r="S21" s="383" t="str">
        <f t="shared" si="2"/>
        <v/>
      </c>
      <c r="T21" s="384" t="str">
        <f t="shared" si="0"/>
        <v/>
      </c>
      <c r="U21" s="398" t="str">
        <f>IF(D21="","",VLOOKUP(D21,'G-6 Hedgerow Data'!$B$3:$AG$15,31,FALSE))</f>
        <v/>
      </c>
      <c r="V21" s="382" t="str">
        <f t="shared" si="3"/>
        <v/>
      </c>
      <c r="W21" s="382" t="str">
        <f t="shared" si="4"/>
        <v/>
      </c>
      <c r="X21" s="386" t="str">
        <f>IF(F21="","",VLOOKUP(U21,'G-3 Multipliers'!$P$3:$Q$6,2,FALSE))</f>
        <v/>
      </c>
      <c r="Y21" s="390" t="str">
        <f t="shared" si="5"/>
        <v/>
      </c>
      <c r="Z21" s="390" t="str">
        <f t="shared" si="6"/>
        <v/>
      </c>
      <c r="AA21" s="117"/>
      <c r="AB21" s="118"/>
      <c r="AC21" s="120"/>
      <c r="AD21" s="120"/>
      <c r="AH21" s="30" t="str">
        <f>IFERROR(INDEX('G-6 Hedgerow Data'!$BJ$3:$BJ$15,MATCH(D21,'G-6 Hedgerow Data'!$B$3:$B$15,0)),"")</f>
        <v/>
      </c>
    </row>
    <row r="22" spans="2:34" ht="15">
      <c r="B22" s="110">
        <v>11</v>
      </c>
      <c r="C22" s="216"/>
      <c r="D22" s="159"/>
      <c r="E22" s="139"/>
      <c r="F22" s="362" t="str">
        <f>IF(D22="","",VLOOKUP(D22,'G-6 Hedgerow Data'!$B$2:$AG$15,2,FALSE))</f>
        <v/>
      </c>
      <c r="G22" s="386" t="str">
        <f>IF(D22="","",VLOOKUP(D22,'G-6 Hedgerow Data'!$B$2:$AG$15,3,FALSE))</f>
        <v/>
      </c>
      <c r="H22" s="55"/>
      <c r="I22" s="363" t="str">
        <f>IFERROR(IF(AND(F22="V.Low",OR(H22="Good",H22="Moderate")),"Error ▲",VLOOKUP(H22,'G-1 All Habitats'!$Z$2:$AA$9,2,FALSE)),"")</f>
        <v/>
      </c>
      <c r="J22" s="115"/>
      <c r="K22" s="382" t="str">
        <f>IF(J22="","",IF(VLOOKUP(J22,'G-3 Multipliers'!$L$3:$N$6,2,FALSE)=0,"Spatial Data Missing",VLOOKUP(J22,'G-3 Multipliers'!$L$3:$N$6,2,FALSE)))</f>
        <v/>
      </c>
      <c r="L22" s="386" t="str">
        <f>IF(J22="","",IF(VLOOKUP(J22,'G-3 Multipliers'!$L$3:$N$6,3,FALSE)=0,"Spatial Data Missing",VLOOKUP(J22,'G-3 Multipliers'!$L$3:$N$6,3,FALSE)))</f>
        <v/>
      </c>
      <c r="M22" s="160"/>
      <c r="N22" s="363" t="str">
        <f>IF(M22="","",IF(VLOOKUP(M22,'G-3 Multipliers'!$S$3:$T$10,2,FALSE)=0,"Spatial Data Missing ⚠",VLOOKUP(M22,'G-3 Multipliers'!$S$3:$T$10,2,FALSE)))</f>
        <v/>
      </c>
      <c r="O22" s="362" t="str">
        <f>IF(OR(D22="",H22=""),"",(INDEX('G-6 Hedgerow Data'!$E$3:$I$15,MATCH(D22,'G-6 Hedgerow Data'!$B$3:$B$15,0),MATCH(H22,'G-6 Hedgerow Data'!$E$2:$I$2,0))))</f>
        <v/>
      </c>
      <c r="P22" s="159"/>
      <c r="Q22" s="159"/>
      <c r="R22" s="370" t="str">
        <f t="shared" si="1"/>
        <v/>
      </c>
      <c r="S22" s="383" t="str">
        <f t="shared" si="2"/>
        <v/>
      </c>
      <c r="T22" s="384" t="str">
        <f t="shared" si="0"/>
        <v/>
      </c>
      <c r="U22" s="398" t="str">
        <f>IF(D22="","",VLOOKUP(D22,'G-6 Hedgerow Data'!$B$3:$AG$15,31,FALSE))</f>
        <v/>
      </c>
      <c r="V22" s="382" t="str">
        <f t="shared" si="3"/>
        <v/>
      </c>
      <c r="W22" s="382" t="str">
        <f t="shared" si="4"/>
        <v/>
      </c>
      <c r="X22" s="386" t="str">
        <f>IF(F22="","",VLOOKUP(U22,'G-3 Multipliers'!$P$3:$Q$6,2,FALSE))</f>
        <v/>
      </c>
      <c r="Y22" s="390" t="str">
        <f t="shared" si="5"/>
        <v/>
      </c>
      <c r="Z22" s="390" t="str">
        <f t="shared" si="6"/>
        <v/>
      </c>
      <c r="AA22" s="117"/>
      <c r="AB22" s="118"/>
      <c r="AC22" s="120"/>
      <c r="AD22" s="120"/>
      <c r="AH22" s="30" t="str">
        <f>IFERROR(INDEX('G-6 Hedgerow Data'!$BJ$3:$BJ$15,MATCH(D22,'G-6 Hedgerow Data'!$B$3:$B$15,0)),"")</f>
        <v/>
      </c>
    </row>
    <row r="23" spans="2:34" ht="15">
      <c r="B23" s="110">
        <v>12</v>
      </c>
      <c r="C23" s="216"/>
      <c r="D23" s="159"/>
      <c r="E23" s="139"/>
      <c r="F23" s="362" t="str">
        <f>IF(D23="","",VLOOKUP(D23,'G-6 Hedgerow Data'!$B$2:$AG$15,2,FALSE))</f>
        <v/>
      </c>
      <c r="G23" s="386" t="str">
        <f>IF(D23="","",VLOOKUP(D23,'G-6 Hedgerow Data'!$B$2:$AG$15,3,FALSE))</f>
        <v/>
      </c>
      <c r="H23" s="55"/>
      <c r="I23" s="363" t="str">
        <f>IFERROR(IF(AND(F23="V.Low",OR(H23="Good",H23="Moderate")),"Error ▲",VLOOKUP(H23,'G-1 All Habitats'!$Z$2:$AA$9,2,FALSE)),"")</f>
        <v/>
      </c>
      <c r="J23" s="115"/>
      <c r="K23" s="382" t="str">
        <f>IF(J23="","",IF(VLOOKUP(J23,'G-3 Multipliers'!$L$3:$N$6,2,FALSE)=0,"Spatial Data Missing",VLOOKUP(J23,'G-3 Multipliers'!$L$3:$N$6,2,FALSE)))</f>
        <v/>
      </c>
      <c r="L23" s="386" t="str">
        <f>IF(J23="","",IF(VLOOKUP(J23,'G-3 Multipliers'!$L$3:$N$6,3,FALSE)=0,"Spatial Data Missing",VLOOKUP(J23,'G-3 Multipliers'!$L$3:$N$6,3,FALSE)))</f>
        <v/>
      </c>
      <c r="M23" s="160"/>
      <c r="N23" s="363" t="str">
        <f>IF(M23="","",IF(VLOOKUP(M23,'G-3 Multipliers'!$S$3:$T$10,2,FALSE)=0,"Spatial Data Missing ⚠",VLOOKUP(M23,'G-3 Multipliers'!$S$3:$T$10,2,FALSE)))</f>
        <v/>
      </c>
      <c r="O23" s="362" t="str">
        <f>IF(OR(D23="",H23=""),"",(INDEX('G-6 Hedgerow Data'!$E$3:$I$15,MATCH(D23,'G-6 Hedgerow Data'!$B$3:$B$15,0),MATCH(H23,'G-6 Hedgerow Data'!$E$2:$I$2,0))))</f>
        <v/>
      </c>
      <c r="P23" s="159"/>
      <c r="Q23" s="159"/>
      <c r="R23" s="370" t="str">
        <f t="shared" si="1"/>
        <v/>
      </c>
      <c r="S23" s="383" t="str">
        <f t="shared" si="2"/>
        <v/>
      </c>
      <c r="T23" s="384" t="str">
        <f t="shared" si="0"/>
        <v/>
      </c>
      <c r="U23" s="398" t="str">
        <f>IF(D23="","",VLOOKUP(D23,'G-6 Hedgerow Data'!$B$3:$AG$15,31,FALSE))</f>
        <v/>
      </c>
      <c r="V23" s="382" t="str">
        <f t="shared" si="3"/>
        <v/>
      </c>
      <c r="W23" s="382" t="str">
        <f t="shared" si="4"/>
        <v/>
      </c>
      <c r="X23" s="386" t="str">
        <f>IF(F23="","",VLOOKUP(U23,'G-3 Multipliers'!$P$3:$Q$6,2,FALSE))</f>
        <v/>
      </c>
      <c r="Y23" s="390" t="str">
        <f t="shared" si="5"/>
        <v/>
      </c>
      <c r="Z23" s="390" t="str">
        <f t="shared" si="6"/>
        <v/>
      </c>
      <c r="AA23" s="117"/>
      <c r="AB23" s="118"/>
      <c r="AC23" s="120"/>
      <c r="AD23" s="120"/>
      <c r="AH23" s="30" t="str">
        <f>IFERROR(INDEX('G-6 Hedgerow Data'!$BJ$3:$BJ$15,MATCH(D23,'G-6 Hedgerow Data'!$B$3:$B$15,0)),"")</f>
        <v/>
      </c>
    </row>
    <row r="24" spans="2:34" ht="15">
      <c r="B24" s="110">
        <v>13</v>
      </c>
      <c r="C24" s="216"/>
      <c r="D24" s="159"/>
      <c r="E24" s="139"/>
      <c r="F24" s="362" t="str">
        <f>IF(D24="","",VLOOKUP(D24,'G-6 Hedgerow Data'!$B$2:$AG$15,2,FALSE))</f>
        <v/>
      </c>
      <c r="G24" s="386" t="str">
        <f>IF(D24="","",VLOOKUP(D24,'G-6 Hedgerow Data'!$B$2:$AG$15,3,FALSE))</f>
        <v/>
      </c>
      <c r="H24" s="55"/>
      <c r="I24" s="363" t="str">
        <f>IFERROR(IF(AND(F24="V.Low",OR(H24="Good",H24="Moderate")),"Error ▲",VLOOKUP(H24,'G-1 All Habitats'!$Z$2:$AA$9,2,FALSE)),"")</f>
        <v/>
      </c>
      <c r="J24" s="115"/>
      <c r="K24" s="382" t="str">
        <f>IF(J24="","",IF(VLOOKUP(J24,'G-3 Multipliers'!$L$3:$N$6,2,FALSE)=0,"Spatial Data Missing",VLOOKUP(J24,'G-3 Multipliers'!$L$3:$N$6,2,FALSE)))</f>
        <v/>
      </c>
      <c r="L24" s="386" t="str">
        <f>IF(J24="","",IF(VLOOKUP(J24,'G-3 Multipliers'!$L$3:$N$6,3,FALSE)=0,"Spatial Data Missing",VLOOKUP(J24,'G-3 Multipliers'!$L$3:$N$6,3,FALSE)))</f>
        <v/>
      </c>
      <c r="M24" s="160"/>
      <c r="N24" s="363" t="str">
        <f>IF(M24="","",IF(VLOOKUP(M24,'G-3 Multipliers'!$S$3:$T$10,2,FALSE)=0,"Spatial Data Missing ⚠",VLOOKUP(M24,'G-3 Multipliers'!$S$3:$T$10,2,FALSE)))</f>
        <v/>
      </c>
      <c r="O24" s="362" t="str">
        <f>IF(OR(D24="",H24=""),"",(INDEX('G-6 Hedgerow Data'!$E$3:$I$15,MATCH(D24,'G-6 Hedgerow Data'!$B$3:$B$15,0),MATCH(H24,'G-6 Hedgerow Data'!$E$2:$I$2,0))))</f>
        <v/>
      </c>
      <c r="P24" s="159"/>
      <c r="Q24" s="159"/>
      <c r="R24" s="370" t="str">
        <f t="shared" si="1"/>
        <v/>
      </c>
      <c r="S24" s="383" t="str">
        <f t="shared" si="2"/>
        <v/>
      </c>
      <c r="T24" s="384" t="str">
        <f t="shared" si="0"/>
        <v/>
      </c>
      <c r="U24" s="398" t="str">
        <f>IF(D24="","",VLOOKUP(D24,'G-6 Hedgerow Data'!$B$3:$AG$15,31,FALSE))</f>
        <v/>
      </c>
      <c r="V24" s="382" t="str">
        <f t="shared" si="3"/>
        <v/>
      </c>
      <c r="W24" s="382" t="str">
        <f t="shared" si="4"/>
        <v/>
      </c>
      <c r="X24" s="386" t="str">
        <f>IF(F24="","",VLOOKUP(U24,'G-3 Multipliers'!$P$3:$Q$6,2,FALSE))</f>
        <v/>
      </c>
      <c r="Y24" s="390" t="str">
        <f t="shared" si="5"/>
        <v/>
      </c>
      <c r="Z24" s="390" t="str">
        <f t="shared" si="6"/>
        <v/>
      </c>
      <c r="AA24" s="117"/>
      <c r="AB24" s="118"/>
      <c r="AC24" s="120"/>
      <c r="AD24" s="120"/>
      <c r="AH24" s="30" t="str">
        <f>IFERROR(INDEX('G-6 Hedgerow Data'!$BJ$3:$BJ$15,MATCH(D24,'G-6 Hedgerow Data'!$B$3:$B$15,0)),"")</f>
        <v/>
      </c>
    </row>
    <row r="25" spans="2:34" ht="15">
      <c r="B25" s="110">
        <v>14</v>
      </c>
      <c r="C25" s="216"/>
      <c r="D25" s="159"/>
      <c r="E25" s="139"/>
      <c r="F25" s="362" t="str">
        <f>IF(D25="","",VLOOKUP(D25,'G-6 Hedgerow Data'!$B$2:$AG$15,2,FALSE))</f>
        <v/>
      </c>
      <c r="G25" s="386" t="str">
        <f>IF(D25="","",VLOOKUP(D25,'G-6 Hedgerow Data'!$B$2:$AG$15,3,FALSE))</f>
        <v/>
      </c>
      <c r="H25" s="55"/>
      <c r="I25" s="363" t="str">
        <f>IFERROR(IF(AND(F25="V.Low",OR(H25="Good",H25="Moderate")),"Error ▲",VLOOKUP(H25,'G-1 All Habitats'!$Z$2:$AA$9,2,FALSE)),"")</f>
        <v/>
      </c>
      <c r="J25" s="115"/>
      <c r="K25" s="382" t="str">
        <f>IF(J25="","",IF(VLOOKUP(J25,'G-3 Multipliers'!$L$3:$N$6,2,FALSE)=0,"Spatial Data Missing",VLOOKUP(J25,'G-3 Multipliers'!$L$3:$N$6,2,FALSE)))</f>
        <v/>
      </c>
      <c r="L25" s="386" t="str">
        <f>IF(J25="","",IF(VLOOKUP(J25,'G-3 Multipliers'!$L$3:$N$6,3,FALSE)=0,"Spatial Data Missing",VLOOKUP(J25,'G-3 Multipliers'!$L$3:$N$6,3,FALSE)))</f>
        <v/>
      </c>
      <c r="M25" s="160"/>
      <c r="N25" s="363" t="str">
        <f>IF(M25="","",IF(VLOOKUP(M25,'G-3 Multipliers'!$S$3:$T$10,2,FALSE)=0,"Spatial Data Missing ⚠",VLOOKUP(M25,'G-3 Multipliers'!$S$3:$T$10,2,FALSE)))</f>
        <v/>
      </c>
      <c r="O25" s="362" t="str">
        <f>IF(OR(D25="",H25=""),"",(INDEX('G-6 Hedgerow Data'!$E$3:$I$15,MATCH(D25,'G-6 Hedgerow Data'!$B$3:$B$15,0),MATCH(H25,'G-6 Hedgerow Data'!$E$2:$I$2,0))))</f>
        <v/>
      </c>
      <c r="P25" s="159"/>
      <c r="Q25" s="159"/>
      <c r="R25" s="370" t="str">
        <f t="shared" si="1"/>
        <v/>
      </c>
      <c r="S25" s="383" t="str">
        <f t="shared" si="2"/>
        <v/>
      </c>
      <c r="T25" s="384" t="str">
        <f t="shared" si="0"/>
        <v/>
      </c>
      <c r="U25" s="398" t="str">
        <f>IF(D25="","",VLOOKUP(D25,'G-6 Hedgerow Data'!$B$3:$AG$15,31,FALSE))</f>
        <v/>
      </c>
      <c r="V25" s="382" t="str">
        <f t="shared" si="3"/>
        <v/>
      </c>
      <c r="W25" s="382" t="str">
        <f t="shared" si="4"/>
        <v/>
      </c>
      <c r="X25" s="386" t="str">
        <f>IF(F25="","",VLOOKUP(U25,'G-3 Multipliers'!$P$3:$Q$6,2,FALSE))</f>
        <v/>
      </c>
      <c r="Y25" s="390" t="str">
        <f t="shared" si="5"/>
        <v/>
      </c>
      <c r="Z25" s="390" t="str">
        <f t="shared" si="6"/>
        <v/>
      </c>
      <c r="AA25" s="117"/>
      <c r="AB25" s="118"/>
      <c r="AC25" s="120"/>
      <c r="AD25" s="120"/>
      <c r="AH25" s="30" t="str">
        <f>IFERROR(INDEX('G-6 Hedgerow Data'!$BJ$3:$BJ$15,MATCH(D25,'G-6 Hedgerow Data'!$B$3:$B$15,0)),"")</f>
        <v/>
      </c>
    </row>
    <row r="26" spans="2:34" ht="15">
      <c r="B26" s="110">
        <v>15</v>
      </c>
      <c r="C26" s="216"/>
      <c r="D26" s="159"/>
      <c r="E26" s="139"/>
      <c r="F26" s="362" t="str">
        <f>IF(D26="","",VLOOKUP(D26,'G-6 Hedgerow Data'!$B$2:$AG$15,2,FALSE))</f>
        <v/>
      </c>
      <c r="G26" s="386" t="str">
        <f>IF(D26="","",VLOOKUP(D26,'G-6 Hedgerow Data'!$B$2:$AG$15,3,FALSE))</f>
        <v/>
      </c>
      <c r="H26" s="55"/>
      <c r="I26" s="363" t="str">
        <f>IFERROR(IF(AND(F26="V.Low",OR(H26="Good",H26="Moderate")),"Error ▲",VLOOKUP(H26,'G-1 All Habitats'!$Z$2:$AA$9,2,FALSE)),"")</f>
        <v/>
      </c>
      <c r="J26" s="115"/>
      <c r="K26" s="382" t="str">
        <f>IF(J26="","",IF(VLOOKUP(J26,'G-3 Multipliers'!$L$3:$N$6,2,FALSE)=0,"Spatial Data Missing",VLOOKUP(J26,'G-3 Multipliers'!$L$3:$N$6,2,FALSE)))</f>
        <v/>
      </c>
      <c r="L26" s="386" t="str">
        <f>IF(J26="","",IF(VLOOKUP(J26,'G-3 Multipliers'!$L$3:$N$6,3,FALSE)=0,"Spatial Data Missing",VLOOKUP(J26,'G-3 Multipliers'!$L$3:$N$6,3,FALSE)))</f>
        <v/>
      </c>
      <c r="M26" s="160"/>
      <c r="N26" s="363" t="str">
        <f>IF(M26="","",IF(VLOOKUP(M26,'G-3 Multipliers'!$S$3:$T$10,2,FALSE)=0,"Spatial Data Missing ⚠",VLOOKUP(M26,'G-3 Multipliers'!$S$3:$T$10,2,FALSE)))</f>
        <v/>
      </c>
      <c r="O26" s="362" t="str">
        <f>IF(OR(D26="",H26=""),"",(INDEX('G-6 Hedgerow Data'!$E$3:$I$15,MATCH(D26,'G-6 Hedgerow Data'!$B$3:$B$15,0),MATCH(H26,'G-6 Hedgerow Data'!$E$2:$I$2,0))))</f>
        <v/>
      </c>
      <c r="P26" s="159"/>
      <c r="Q26" s="159"/>
      <c r="R26" s="370" t="str">
        <f t="shared" si="1"/>
        <v/>
      </c>
      <c r="S26" s="383" t="str">
        <f t="shared" si="2"/>
        <v/>
      </c>
      <c r="T26" s="384" t="str">
        <f t="shared" si="0"/>
        <v/>
      </c>
      <c r="U26" s="398" t="str">
        <f>IF(D26="","",VLOOKUP(D26,'G-6 Hedgerow Data'!$B$3:$AG$15,31,FALSE))</f>
        <v/>
      </c>
      <c r="V26" s="382" t="str">
        <f t="shared" si="3"/>
        <v/>
      </c>
      <c r="W26" s="382" t="str">
        <f t="shared" si="4"/>
        <v/>
      </c>
      <c r="X26" s="386" t="str">
        <f>IF(F26="","",VLOOKUP(U26,'G-3 Multipliers'!$P$3:$Q$6,2,FALSE))</f>
        <v/>
      </c>
      <c r="Y26" s="390" t="str">
        <f t="shared" si="5"/>
        <v/>
      </c>
      <c r="Z26" s="390" t="str">
        <f t="shared" si="6"/>
        <v/>
      </c>
      <c r="AA26" s="117"/>
      <c r="AB26" s="118"/>
      <c r="AC26" s="120"/>
      <c r="AD26" s="120"/>
      <c r="AH26" s="30" t="str">
        <f>IFERROR(INDEX('G-6 Hedgerow Data'!$BJ$3:$BJ$15,MATCH(D26,'G-6 Hedgerow Data'!$B$3:$B$15,0)),"")</f>
        <v/>
      </c>
    </row>
    <row r="27" spans="2:34" ht="15">
      <c r="B27" s="110">
        <v>16</v>
      </c>
      <c r="C27" s="216"/>
      <c r="D27" s="159"/>
      <c r="E27" s="139"/>
      <c r="F27" s="362" t="str">
        <f>IF(D27="","",VLOOKUP(D27,'G-6 Hedgerow Data'!$B$2:$AG$15,2,FALSE))</f>
        <v/>
      </c>
      <c r="G27" s="386" t="str">
        <f>IF(D27="","",VLOOKUP(D27,'G-6 Hedgerow Data'!$B$2:$AG$15,3,FALSE))</f>
        <v/>
      </c>
      <c r="H27" s="55"/>
      <c r="I27" s="363" t="str">
        <f>IFERROR(IF(AND(F27="V.Low",OR(H27="Good",H27="Moderate")),"Error ▲",VLOOKUP(H27,'G-1 All Habitats'!$Z$2:$AA$9,2,FALSE)),"")</f>
        <v/>
      </c>
      <c r="J27" s="115"/>
      <c r="K27" s="382" t="str">
        <f>IF(J27="","",IF(VLOOKUP(J27,'G-3 Multipliers'!$L$3:$N$6,2,FALSE)=0,"Spatial Data Missing",VLOOKUP(J27,'G-3 Multipliers'!$L$3:$N$6,2,FALSE)))</f>
        <v/>
      </c>
      <c r="L27" s="386" t="str">
        <f>IF(J27="","",IF(VLOOKUP(J27,'G-3 Multipliers'!$L$3:$N$6,3,FALSE)=0,"Spatial Data Missing",VLOOKUP(J27,'G-3 Multipliers'!$L$3:$N$6,3,FALSE)))</f>
        <v/>
      </c>
      <c r="M27" s="160"/>
      <c r="N27" s="363" t="str">
        <f>IF(M27="","",IF(VLOOKUP(M27,'G-3 Multipliers'!$S$3:$T$10,2,FALSE)=0,"Spatial Data Missing ⚠",VLOOKUP(M27,'G-3 Multipliers'!$S$3:$T$10,2,FALSE)))</f>
        <v/>
      </c>
      <c r="O27" s="362" t="str">
        <f>IF(OR(D27="",H27=""),"",(INDEX('G-6 Hedgerow Data'!$E$3:$I$15,MATCH(D27,'G-6 Hedgerow Data'!$B$3:$B$15,0),MATCH(H27,'G-6 Hedgerow Data'!$E$2:$I$2,0))))</f>
        <v/>
      </c>
      <c r="P27" s="159"/>
      <c r="Q27" s="159"/>
      <c r="R27" s="370" t="str">
        <f t="shared" si="1"/>
        <v/>
      </c>
      <c r="S27" s="383" t="str">
        <f t="shared" si="2"/>
        <v/>
      </c>
      <c r="T27" s="384" t="str">
        <f t="shared" si="0"/>
        <v/>
      </c>
      <c r="U27" s="398" t="str">
        <f>IF(D27="","",VLOOKUP(D27,'G-6 Hedgerow Data'!$B$3:$AG$15,31,FALSE))</f>
        <v/>
      </c>
      <c r="V27" s="382" t="str">
        <f t="shared" si="3"/>
        <v/>
      </c>
      <c r="W27" s="382" t="str">
        <f t="shared" si="4"/>
        <v/>
      </c>
      <c r="X27" s="386" t="str">
        <f>IF(F27="","",VLOOKUP(U27,'G-3 Multipliers'!$P$3:$Q$6,2,FALSE))</f>
        <v/>
      </c>
      <c r="Y27" s="390" t="str">
        <f t="shared" si="5"/>
        <v/>
      </c>
      <c r="Z27" s="390" t="str">
        <f t="shared" si="6"/>
        <v/>
      </c>
      <c r="AA27" s="117"/>
      <c r="AB27" s="118"/>
      <c r="AC27" s="120"/>
      <c r="AD27" s="120"/>
      <c r="AH27" s="30" t="str">
        <f>IFERROR(INDEX('G-6 Hedgerow Data'!$BJ$3:$BJ$15,MATCH(D27,'G-6 Hedgerow Data'!$B$3:$B$15,0)),"")</f>
        <v/>
      </c>
    </row>
    <row r="28" spans="2:34" ht="15">
      <c r="B28" s="110">
        <v>17</v>
      </c>
      <c r="C28" s="216"/>
      <c r="D28" s="63"/>
      <c r="E28" s="165"/>
      <c r="F28" s="362" t="str">
        <f>IF(D28="","",VLOOKUP(D28,'G-6 Hedgerow Data'!$B$2:$AG$15,2,FALSE))</f>
        <v/>
      </c>
      <c r="G28" s="386" t="str">
        <f>IF(D28="","",VLOOKUP(D28,'G-6 Hedgerow Data'!$B$2:$AG$15,3,FALSE))</f>
        <v/>
      </c>
      <c r="H28" s="55"/>
      <c r="I28" s="363" t="str">
        <f>IFERROR(IF(AND(F28="V.Low",OR(H28="Good",H28="Moderate")),"Error ▲",VLOOKUP(H28,'G-1 All Habitats'!$Z$2:$AA$9,2,FALSE)),"")</f>
        <v/>
      </c>
      <c r="J28" s="115"/>
      <c r="K28" s="382" t="str">
        <f>IF(J28="","",IF(VLOOKUP(J28,'G-3 Multipliers'!$L$3:$N$6,2,FALSE)=0,"Spatial Data Missing",VLOOKUP(J28,'G-3 Multipliers'!$L$3:$N$6,2,FALSE)))</f>
        <v/>
      </c>
      <c r="L28" s="386" t="str">
        <f>IF(J28="","",IF(VLOOKUP(J28,'G-3 Multipliers'!$L$3:$N$6,3,FALSE)=0,"Spatial Data Missing",VLOOKUP(J28,'G-3 Multipliers'!$L$3:$N$6,3,FALSE)))</f>
        <v/>
      </c>
      <c r="M28" s="160"/>
      <c r="N28" s="363" t="str">
        <f>IF(M28="","",IF(VLOOKUP(M28,'G-3 Multipliers'!$S$3:$T$10,2,FALSE)=0,"Spatial Data Missing ⚠",VLOOKUP(M28,'G-3 Multipliers'!$S$3:$T$10,2,FALSE)))</f>
        <v/>
      </c>
      <c r="O28" s="362" t="str">
        <f>IF(OR(D28="",H28=""),"",(INDEX('G-6 Hedgerow Data'!$E$3:$I$15,MATCH(D28,'G-6 Hedgerow Data'!$B$3:$B$15,0),MATCH(H28,'G-6 Hedgerow Data'!$E$2:$I$2,0))))</f>
        <v/>
      </c>
      <c r="P28" s="159"/>
      <c r="Q28" s="159"/>
      <c r="R28" s="370" t="str">
        <f t="shared" si="1"/>
        <v/>
      </c>
      <c r="S28" s="383" t="str">
        <f t="shared" si="2"/>
        <v/>
      </c>
      <c r="T28" s="384" t="str">
        <f t="shared" si="0"/>
        <v/>
      </c>
      <c r="U28" s="398" t="str">
        <f>IF(D28="","",VLOOKUP(D28,'G-6 Hedgerow Data'!$B$3:$AG$15,31,FALSE))</f>
        <v/>
      </c>
      <c r="V28" s="382" t="str">
        <f t="shared" si="3"/>
        <v/>
      </c>
      <c r="W28" s="382" t="str">
        <f t="shared" si="4"/>
        <v/>
      </c>
      <c r="X28" s="386" t="str">
        <f>IF(F28="","",VLOOKUP(U28,'G-3 Multipliers'!$P$3:$Q$6,2,FALSE))</f>
        <v/>
      </c>
      <c r="Y28" s="390" t="str">
        <f t="shared" si="5"/>
        <v/>
      </c>
      <c r="Z28" s="390" t="str">
        <f t="shared" si="6"/>
        <v/>
      </c>
      <c r="AA28" s="117"/>
      <c r="AB28" s="118"/>
      <c r="AC28" s="120"/>
      <c r="AD28" s="120"/>
      <c r="AH28" s="30" t="str">
        <f>IFERROR(INDEX('G-6 Hedgerow Data'!$BJ$3:$BJ$15,MATCH(D28,'G-6 Hedgerow Data'!$B$3:$B$15,0)),"")</f>
        <v/>
      </c>
    </row>
    <row r="29" spans="2:34" ht="15">
      <c r="B29" s="110">
        <v>18</v>
      </c>
      <c r="C29" s="216"/>
      <c r="D29" s="63"/>
      <c r="E29" s="165"/>
      <c r="F29" s="362" t="str">
        <f>IF(D29="","",VLOOKUP(D29,'G-6 Hedgerow Data'!$B$2:$AG$15,2,FALSE))</f>
        <v/>
      </c>
      <c r="G29" s="386" t="str">
        <f>IF(D29="","",VLOOKUP(D29,'G-6 Hedgerow Data'!$B$2:$AG$15,3,FALSE))</f>
        <v/>
      </c>
      <c r="H29" s="55"/>
      <c r="I29" s="363" t="str">
        <f>IFERROR(IF(AND(F29="V.Low",OR(H29="Good",H29="Moderate")),"Error ▲",VLOOKUP(H29,'G-1 All Habitats'!$Z$2:$AA$9,2,FALSE)),"")</f>
        <v/>
      </c>
      <c r="J29" s="115"/>
      <c r="K29" s="382" t="str">
        <f>IF(J29="","",IF(VLOOKUP(J29,'G-3 Multipliers'!$L$3:$N$6,2,FALSE)=0,"Spatial Data Missing",VLOOKUP(J29,'G-3 Multipliers'!$L$3:$N$6,2,FALSE)))</f>
        <v/>
      </c>
      <c r="L29" s="386" t="str">
        <f>IF(J29="","",IF(VLOOKUP(J29,'G-3 Multipliers'!$L$3:$N$6,3,FALSE)=0,"Spatial Data Missing",VLOOKUP(J29,'G-3 Multipliers'!$L$3:$N$6,3,FALSE)))</f>
        <v/>
      </c>
      <c r="M29" s="160"/>
      <c r="N29" s="363" t="str">
        <f>IF(M29="","",IF(VLOOKUP(M29,'G-3 Multipliers'!$S$3:$T$10,2,FALSE)=0,"Spatial Data Missing ⚠",VLOOKUP(M29,'G-3 Multipliers'!$S$3:$T$10,2,FALSE)))</f>
        <v/>
      </c>
      <c r="O29" s="362" t="str">
        <f>IF(OR(D29="",H29=""),"",(INDEX('G-6 Hedgerow Data'!$E$3:$I$15,MATCH(D29,'G-6 Hedgerow Data'!$B$3:$B$15,0),MATCH(H29,'G-6 Hedgerow Data'!$E$2:$I$2,0))))</f>
        <v/>
      </c>
      <c r="P29" s="159"/>
      <c r="Q29" s="159"/>
      <c r="R29" s="370" t="str">
        <f t="shared" si="1"/>
        <v/>
      </c>
      <c r="S29" s="383" t="str">
        <f t="shared" si="2"/>
        <v/>
      </c>
      <c r="T29" s="384" t="str">
        <f t="shared" si="0"/>
        <v/>
      </c>
      <c r="U29" s="398" t="str">
        <f>IF(D29="","",VLOOKUP(D29,'G-6 Hedgerow Data'!$B$3:$AG$15,31,FALSE))</f>
        <v/>
      </c>
      <c r="V29" s="382" t="str">
        <f t="shared" si="3"/>
        <v/>
      </c>
      <c r="W29" s="382" t="str">
        <f t="shared" si="4"/>
        <v/>
      </c>
      <c r="X29" s="386" t="str">
        <f>IF(F29="","",VLOOKUP(U29,'G-3 Multipliers'!$P$3:$Q$6,2,FALSE))</f>
        <v/>
      </c>
      <c r="Y29" s="390" t="str">
        <f t="shared" si="5"/>
        <v/>
      </c>
      <c r="Z29" s="390" t="str">
        <f t="shared" si="6"/>
        <v/>
      </c>
      <c r="AA29" s="117"/>
      <c r="AB29" s="118"/>
      <c r="AC29" s="120"/>
      <c r="AD29" s="120"/>
      <c r="AH29" s="30" t="str">
        <f>IFERROR(INDEX('G-6 Hedgerow Data'!$BJ$3:$BJ$15,MATCH(D29,'G-6 Hedgerow Data'!$B$3:$B$15,0)),"")</f>
        <v/>
      </c>
    </row>
    <row r="30" spans="2:34" ht="15">
      <c r="B30" s="110">
        <v>19</v>
      </c>
      <c r="C30" s="216"/>
      <c r="D30" s="63"/>
      <c r="E30" s="165"/>
      <c r="F30" s="362" t="str">
        <f>IF(D30="","",VLOOKUP(D30,'G-6 Hedgerow Data'!$B$2:$AG$15,2,FALSE))</f>
        <v/>
      </c>
      <c r="G30" s="386" t="str">
        <f>IF(D30="","",VLOOKUP(D30,'G-6 Hedgerow Data'!$B$2:$AG$15,3,FALSE))</f>
        <v/>
      </c>
      <c r="H30" s="55"/>
      <c r="I30" s="363" t="str">
        <f>IFERROR(IF(AND(F30="V.Low",OR(H30="Good",H30="Moderate")),"Error ▲",VLOOKUP(H30,'G-1 All Habitats'!$Z$2:$AA$9,2,FALSE)),"")</f>
        <v/>
      </c>
      <c r="J30" s="115"/>
      <c r="K30" s="382" t="str">
        <f>IF(J30="","",IF(VLOOKUP(J30,'G-3 Multipliers'!$L$3:$N$6,2,FALSE)=0,"Spatial Data Missing",VLOOKUP(J30,'G-3 Multipliers'!$L$3:$N$6,2,FALSE)))</f>
        <v/>
      </c>
      <c r="L30" s="386" t="str">
        <f>IF(J30="","",IF(VLOOKUP(J30,'G-3 Multipliers'!$L$3:$N$6,3,FALSE)=0,"Spatial Data Missing",VLOOKUP(J30,'G-3 Multipliers'!$L$3:$N$6,3,FALSE)))</f>
        <v/>
      </c>
      <c r="M30" s="160"/>
      <c r="N30" s="363" t="str">
        <f>IF(M30="","",IF(VLOOKUP(M30,'G-3 Multipliers'!$S$3:$T$10,2,FALSE)=0,"Spatial Data Missing ⚠",VLOOKUP(M30,'G-3 Multipliers'!$S$3:$T$10,2,FALSE)))</f>
        <v/>
      </c>
      <c r="O30" s="362" t="str">
        <f>IF(OR(D30="",H30=""),"",(INDEX('G-6 Hedgerow Data'!$E$3:$I$15,MATCH(D30,'G-6 Hedgerow Data'!$B$3:$B$15,0),MATCH(H30,'G-6 Hedgerow Data'!$E$2:$I$2,0))))</f>
        <v/>
      </c>
      <c r="P30" s="159"/>
      <c r="Q30" s="159"/>
      <c r="R30" s="370" t="str">
        <f t="shared" si="1"/>
        <v/>
      </c>
      <c r="S30" s="383" t="str">
        <f t="shared" si="2"/>
        <v/>
      </c>
      <c r="T30" s="384" t="str">
        <f t="shared" si="0"/>
        <v/>
      </c>
      <c r="U30" s="398" t="str">
        <f>IF(D30="","",VLOOKUP(D30,'G-6 Hedgerow Data'!$B$3:$AG$15,31,FALSE))</f>
        <v/>
      </c>
      <c r="V30" s="382" t="str">
        <f t="shared" si="3"/>
        <v/>
      </c>
      <c r="W30" s="382" t="str">
        <f t="shared" si="4"/>
        <v/>
      </c>
      <c r="X30" s="386" t="str">
        <f>IF(F30="","",VLOOKUP(U30,'G-3 Multipliers'!$P$3:$Q$6,2,FALSE))</f>
        <v/>
      </c>
      <c r="Y30" s="390" t="str">
        <f t="shared" si="5"/>
        <v/>
      </c>
      <c r="Z30" s="390" t="str">
        <f t="shared" si="6"/>
        <v/>
      </c>
      <c r="AA30" s="117"/>
      <c r="AB30" s="118"/>
      <c r="AC30" s="120"/>
      <c r="AD30" s="120"/>
      <c r="AH30" s="30" t="str">
        <f>IFERROR(INDEX('G-6 Hedgerow Data'!$BJ$3:$BJ$15,MATCH(D30,'G-6 Hedgerow Data'!$B$3:$B$15,0)),"")</f>
        <v/>
      </c>
    </row>
    <row r="31" spans="2:34" ht="15">
      <c r="B31" s="110">
        <v>20</v>
      </c>
      <c r="C31" s="216"/>
      <c r="D31" s="63"/>
      <c r="E31" s="165"/>
      <c r="F31" s="362" t="str">
        <f>IF(D31="","",VLOOKUP(D31,'G-6 Hedgerow Data'!$B$2:$AG$15,2,FALSE))</f>
        <v/>
      </c>
      <c r="G31" s="386" t="str">
        <f>IF(D31="","",VLOOKUP(D31,'G-6 Hedgerow Data'!$B$2:$AG$15,3,FALSE))</f>
        <v/>
      </c>
      <c r="H31" s="55"/>
      <c r="I31" s="363" t="str">
        <f>IFERROR(IF(AND(F31="V.Low",OR(H31="Good",H31="Moderate")),"Error ▲",VLOOKUP(H31,'G-1 All Habitats'!$Z$2:$AA$9,2,FALSE)),"")</f>
        <v/>
      </c>
      <c r="J31" s="115"/>
      <c r="K31" s="382" t="str">
        <f>IF(J31="","",IF(VLOOKUP(J31,'G-3 Multipliers'!$L$3:$N$6,2,FALSE)=0,"Spatial Data Missing",VLOOKUP(J31,'G-3 Multipliers'!$L$3:$N$6,2,FALSE)))</f>
        <v/>
      </c>
      <c r="L31" s="386" t="str">
        <f>IF(J31="","",IF(VLOOKUP(J31,'G-3 Multipliers'!$L$3:$N$6,3,FALSE)=0,"Spatial Data Missing",VLOOKUP(J31,'G-3 Multipliers'!$L$3:$N$6,3,FALSE)))</f>
        <v/>
      </c>
      <c r="M31" s="160"/>
      <c r="N31" s="363" t="str">
        <f>IF(M31="","",IF(VLOOKUP(M31,'G-3 Multipliers'!$S$3:$T$10,2,FALSE)=0,"Spatial Data Missing ⚠",VLOOKUP(M31,'G-3 Multipliers'!$S$3:$T$10,2,FALSE)))</f>
        <v/>
      </c>
      <c r="O31" s="362" t="str">
        <f>IF(OR(D31="",H31=""),"",(INDEX('G-6 Hedgerow Data'!$E$3:$I$15,MATCH(D31,'G-6 Hedgerow Data'!$B$3:$B$15,0),MATCH(H31,'G-6 Hedgerow Data'!$E$2:$I$2,0))))</f>
        <v/>
      </c>
      <c r="P31" s="159"/>
      <c r="Q31" s="159"/>
      <c r="R31" s="370" t="str">
        <f t="shared" si="1"/>
        <v/>
      </c>
      <c r="S31" s="383" t="str">
        <f t="shared" si="2"/>
        <v/>
      </c>
      <c r="T31" s="384" t="str">
        <f t="shared" si="0"/>
        <v/>
      </c>
      <c r="U31" s="398" t="str">
        <f>IF(D31="","",VLOOKUP(D31,'G-6 Hedgerow Data'!$B$3:$AG$15,31,FALSE))</f>
        <v/>
      </c>
      <c r="V31" s="382" t="str">
        <f t="shared" si="3"/>
        <v/>
      </c>
      <c r="W31" s="382" t="str">
        <f t="shared" si="4"/>
        <v/>
      </c>
      <c r="X31" s="386" t="str">
        <f>IF(F31="","",VLOOKUP(U31,'G-3 Multipliers'!$P$3:$Q$6,2,FALSE))</f>
        <v/>
      </c>
      <c r="Y31" s="390" t="str">
        <f t="shared" si="5"/>
        <v/>
      </c>
      <c r="Z31" s="390" t="str">
        <f t="shared" si="6"/>
        <v/>
      </c>
      <c r="AA31" s="117"/>
      <c r="AB31" s="118"/>
      <c r="AC31" s="120"/>
      <c r="AD31" s="120"/>
      <c r="AH31" s="30" t="str">
        <f>IFERROR(INDEX('G-6 Hedgerow Data'!$BJ$3:$BJ$15,MATCH(D31,'G-6 Hedgerow Data'!$B$3:$B$15,0)),"")</f>
        <v/>
      </c>
    </row>
    <row r="32" spans="2:34" ht="15">
      <c r="B32" s="110">
        <v>21</v>
      </c>
      <c r="C32" s="216"/>
      <c r="D32" s="63"/>
      <c r="E32" s="165"/>
      <c r="F32" s="362" t="str">
        <f>IF(D32="","",VLOOKUP(D32,'G-6 Hedgerow Data'!$B$2:$AG$15,2,FALSE))</f>
        <v/>
      </c>
      <c r="G32" s="386" t="str">
        <f>IF(D32="","",VLOOKUP(D32,'G-6 Hedgerow Data'!$B$2:$AG$15,3,FALSE))</f>
        <v/>
      </c>
      <c r="H32" s="55"/>
      <c r="I32" s="363" t="str">
        <f>IFERROR(IF(AND(F32="V.Low",OR(H32="Good",H32="Moderate")),"Error ▲",VLOOKUP(H32,'G-1 All Habitats'!$Z$2:$AA$9,2,FALSE)),"")</f>
        <v/>
      </c>
      <c r="J32" s="115"/>
      <c r="K32" s="382" t="str">
        <f>IF(J32="","",IF(VLOOKUP(J32,'G-3 Multipliers'!$L$3:$N$6,2,FALSE)=0,"Spatial Data Missing",VLOOKUP(J32,'G-3 Multipliers'!$L$3:$N$6,2,FALSE)))</f>
        <v/>
      </c>
      <c r="L32" s="386" t="str">
        <f>IF(J32="","",IF(VLOOKUP(J32,'G-3 Multipliers'!$L$3:$N$6,3,FALSE)=0,"Spatial Data Missing",VLOOKUP(J32,'G-3 Multipliers'!$L$3:$N$6,3,FALSE)))</f>
        <v/>
      </c>
      <c r="M32" s="160"/>
      <c r="N32" s="363" t="str">
        <f>IF(M32="","",IF(VLOOKUP(M32,'G-3 Multipliers'!$S$3:$T$10,2,FALSE)=0,"Spatial Data Missing ⚠",VLOOKUP(M32,'G-3 Multipliers'!$S$3:$T$10,2,FALSE)))</f>
        <v/>
      </c>
      <c r="O32" s="362" t="str">
        <f>IF(OR(D32="",H32=""),"",(INDEX('G-6 Hedgerow Data'!$E$3:$I$15,MATCH(D32,'G-6 Hedgerow Data'!$B$3:$B$15,0),MATCH(H32,'G-6 Hedgerow Data'!$E$2:$I$2,0))))</f>
        <v/>
      </c>
      <c r="P32" s="159"/>
      <c r="Q32" s="159"/>
      <c r="R32" s="370" t="str">
        <f t="shared" si="1"/>
        <v/>
      </c>
      <c r="S32" s="383" t="str">
        <f t="shared" si="2"/>
        <v/>
      </c>
      <c r="T32" s="384" t="str">
        <f t="shared" si="0"/>
        <v/>
      </c>
      <c r="U32" s="398" t="str">
        <f>IF(D32="","",VLOOKUP(D32,'G-6 Hedgerow Data'!$B$3:$AG$15,31,FALSE))</f>
        <v/>
      </c>
      <c r="V32" s="382" t="str">
        <f t="shared" si="3"/>
        <v/>
      </c>
      <c r="W32" s="382" t="str">
        <f t="shared" si="4"/>
        <v/>
      </c>
      <c r="X32" s="386" t="str">
        <f>IF(F32="","",VLOOKUP(U32,'G-3 Multipliers'!$P$3:$Q$6,2,FALSE))</f>
        <v/>
      </c>
      <c r="Y32" s="390" t="str">
        <f t="shared" si="5"/>
        <v/>
      </c>
      <c r="Z32" s="390" t="str">
        <f t="shared" si="6"/>
        <v/>
      </c>
      <c r="AA32" s="117"/>
      <c r="AB32" s="118"/>
      <c r="AC32" s="120"/>
      <c r="AD32" s="120"/>
      <c r="AH32" s="30" t="str">
        <f>IFERROR(INDEX('G-6 Hedgerow Data'!$BJ$3:$BJ$15,MATCH(D32,'G-6 Hedgerow Data'!$B$3:$B$15,0)),"")</f>
        <v/>
      </c>
    </row>
    <row r="33" spans="2:34" ht="15">
      <c r="B33" s="110">
        <v>22</v>
      </c>
      <c r="C33" s="216"/>
      <c r="D33" s="63"/>
      <c r="E33" s="165"/>
      <c r="F33" s="362" t="str">
        <f>IF(D33="","",VLOOKUP(D33,'G-6 Hedgerow Data'!$B$2:$AG$15,2,FALSE))</f>
        <v/>
      </c>
      <c r="G33" s="386" t="str">
        <f>IF(D33="","",VLOOKUP(D33,'G-6 Hedgerow Data'!$B$2:$AG$15,3,FALSE))</f>
        <v/>
      </c>
      <c r="H33" s="55"/>
      <c r="I33" s="363" t="str">
        <f>IFERROR(IF(AND(F33="V.Low",OR(H33="Good",H33="Moderate")),"Error ▲",VLOOKUP(H33,'G-1 All Habitats'!$Z$2:$AA$9,2,FALSE)),"")</f>
        <v/>
      </c>
      <c r="J33" s="115"/>
      <c r="K33" s="382" t="str">
        <f>IF(J33="","",IF(VLOOKUP(J33,'G-3 Multipliers'!$L$3:$N$6,2,FALSE)=0,"Spatial Data Missing",VLOOKUP(J33,'G-3 Multipliers'!$L$3:$N$6,2,FALSE)))</f>
        <v/>
      </c>
      <c r="L33" s="386" t="str">
        <f>IF(J33="","",IF(VLOOKUP(J33,'G-3 Multipliers'!$L$3:$N$6,3,FALSE)=0,"Spatial Data Missing",VLOOKUP(J33,'G-3 Multipliers'!$L$3:$N$6,3,FALSE)))</f>
        <v/>
      </c>
      <c r="M33" s="160"/>
      <c r="N33" s="363" t="str">
        <f>IF(M33="","",IF(VLOOKUP(M33,'G-3 Multipliers'!$S$3:$T$10,2,FALSE)=0,"Spatial Data Missing ⚠",VLOOKUP(M33,'G-3 Multipliers'!$S$3:$T$10,2,FALSE)))</f>
        <v/>
      </c>
      <c r="O33" s="362" t="str">
        <f>IF(OR(D33="",H33=""),"",(INDEX('G-6 Hedgerow Data'!$E$3:$I$15,MATCH(D33,'G-6 Hedgerow Data'!$B$3:$B$15,0),MATCH(H33,'G-6 Hedgerow Data'!$E$2:$I$2,0))))</f>
        <v/>
      </c>
      <c r="P33" s="159"/>
      <c r="Q33" s="159"/>
      <c r="R33" s="370" t="str">
        <f t="shared" si="1"/>
        <v/>
      </c>
      <c r="S33" s="383" t="str">
        <f t="shared" si="2"/>
        <v/>
      </c>
      <c r="T33" s="384" t="str">
        <f t="shared" si="0"/>
        <v/>
      </c>
      <c r="U33" s="398" t="str">
        <f>IF(D33="","",VLOOKUP(D33,'G-6 Hedgerow Data'!$B$3:$AG$15,31,FALSE))</f>
        <v/>
      </c>
      <c r="V33" s="382" t="str">
        <f t="shared" si="3"/>
        <v/>
      </c>
      <c r="W33" s="382" t="str">
        <f t="shared" si="4"/>
        <v/>
      </c>
      <c r="X33" s="386" t="str">
        <f>IF(F33="","",VLOOKUP(U33,'G-3 Multipliers'!$P$3:$Q$6,2,FALSE))</f>
        <v/>
      </c>
      <c r="Y33" s="390" t="str">
        <f t="shared" si="5"/>
        <v/>
      </c>
      <c r="Z33" s="390" t="str">
        <f t="shared" si="6"/>
        <v/>
      </c>
      <c r="AA33" s="117"/>
      <c r="AB33" s="118"/>
      <c r="AC33" s="120"/>
      <c r="AD33" s="120"/>
      <c r="AH33" s="30" t="str">
        <f>IFERROR(INDEX('G-6 Hedgerow Data'!$BJ$3:$BJ$15,MATCH(D33,'G-6 Hedgerow Data'!$B$3:$B$15,0)),"")</f>
        <v/>
      </c>
    </row>
    <row r="34" spans="2:34" ht="15">
      <c r="B34" s="110">
        <v>23</v>
      </c>
      <c r="C34" s="216"/>
      <c r="D34" s="63"/>
      <c r="E34" s="165"/>
      <c r="F34" s="362" t="str">
        <f>IF(D34="","",VLOOKUP(D34,'G-6 Hedgerow Data'!$B$2:$AG$15,2,FALSE))</f>
        <v/>
      </c>
      <c r="G34" s="386" t="str">
        <f>IF(D34="","",VLOOKUP(D34,'G-6 Hedgerow Data'!$B$2:$AG$15,3,FALSE))</f>
        <v/>
      </c>
      <c r="H34" s="55"/>
      <c r="I34" s="363" t="str">
        <f>IFERROR(IF(AND(F34="V.Low",OR(H34="Good",H34="Moderate")),"Error ▲",VLOOKUP(H34,'G-1 All Habitats'!$Z$2:$AA$9,2,FALSE)),"")</f>
        <v/>
      </c>
      <c r="J34" s="115"/>
      <c r="K34" s="382" t="str">
        <f>IF(J34="","",IF(VLOOKUP(J34,'G-3 Multipliers'!$L$3:$N$6,2,FALSE)=0,"Spatial Data Missing",VLOOKUP(J34,'G-3 Multipliers'!$L$3:$N$6,2,FALSE)))</f>
        <v/>
      </c>
      <c r="L34" s="386" t="str">
        <f>IF(J34="","",IF(VLOOKUP(J34,'G-3 Multipliers'!$L$3:$N$6,3,FALSE)=0,"Spatial Data Missing",VLOOKUP(J34,'G-3 Multipliers'!$L$3:$N$6,3,FALSE)))</f>
        <v/>
      </c>
      <c r="M34" s="160"/>
      <c r="N34" s="363" t="str">
        <f>IF(M34="","",IF(VLOOKUP(M34,'G-3 Multipliers'!$S$3:$T$10,2,FALSE)=0,"Spatial Data Missing ⚠",VLOOKUP(M34,'G-3 Multipliers'!$S$3:$T$10,2,FALSE)))</f>
        <v/>
      </c>
      <c r="O34" s="362" t="str">
        <f>IF(OR(D34="",H34=""),"",(INDEX('G-6 Hedgerow Data'!$E$3:$I$15,MATCH(D34,'G-6 Hedgerow Data'!$B$3:$B$15,0),MATCH(H34,'G-6 Hedgerow Data'!$E$2:$I$2,0))))</f>
        <v/>
      </c>
      <c r="P34" s="159"/>
      <c r="Q34" s="159"/>
      <c r="R34" s="370" t="str">
        <f t="shared" si="1"/>
        <v/>
      </c>
      <c r="S34" s="383" t="str">
        <f t="shared" si="2"/>
        <v/>
      </c>
      <c r="T34" s="384" t="str">
        <f t="shared" si="0"/>
        <v/>
      </c>
      <c r="U34" s="398" t="str">
        <f>IF(D34="","",VLOOKUP(D34,'G-6 Hedgerow Data'!$B$3:$AG$15,31,FALSE))</f>
        <v/>
      </c>
      <c r="V34" s="382" t="str">
        <f t="shared" si="3"/>
        <v/>
      </c>
      <c r="W34" s="382" t="str">
        <f t="shared" si="4"/>
        <v/>
      </c>
      <c r="X34" s="386" t="str">
        <f>IF(F34="","",VLOOKUP(U34,'G-3 Multipliers'!$P$3:$Q$6,2,FALSE))</f>
        <v/>
      </c>
      <c r="Y34" s="390" t="str">
        <f t="shared" si="5"/>
        <v/>
      </c>
      <c r="Z34" s="390" t="str">
        <f t="shared" si="6"/>
        <v/>
      </c>
      <c r="AA34" s="117"/>
      <c r="AB34" s="118"/>
      <c r="AC34" s="120"/>
      <c r="AD34" s="120"/>
      <c r="AH34" s="30" t="str">
        <f>IFERROR(INDEX('G-6 Hedgerow Data'!$BJ$3:$BJ$15,MATCH(D34,'G-6 Hedgerow Data'!$B$3:$B$15,0)),"")</f>
        <v/>
      </c>
    </row>
    <row r="35" spans="2:34" ht="15">
      <c r="B35" s="110">
        <v>24</v>
      </c>
      <c r="C35" s="216"/>
      <c r="D35" s="63"/>
      <c r="E35" s="165"/>
      <c r="F35" s="362" t="str">
        <f>IF(D35="","",VLOOKUP(D35,'G-6 Hedgerow Data'!$B$2:$AG$15,2,FALSE))</f>
        <v/>
      </c>
      <c r="G35" s="386" t="str">
        <f>IF(D35="","",VLOOKUP(D35,'G-6 Hedgerow Data'!$B$2:$AG$15,3,FALSE))</f>
        <v/>
      </c>
      <c r="H35" s="55"/>
      <c r="I35" s="363" t="str">
        <f>IFERROR(IF(AND(F35="V.Low",OR(H35="Good",H35="Moderate")),"Error ▲",VLOOKUP(H35,'G-1 All Habitats'!$Z$2:$AA$9,2,FALSE)),"")</f>
        <v/>
      </c>
      <c r="J35" s="115"/>
      <c r="K35" s="382" t="str">
        <f>IF(J35="","",IF(VLOOKUP(J35,'G-3 Multipliers'!$L$3:$N$6,2,FALSE)=0,"Spatial Data Missing",VLOOKUP(J35,'G-3 Multipliers'!$L$3:$N$6,2,FALSE)))</f>
        <v/>
      </c>
      <c r="L35" s="386" t="str">
        <f>IF(J35="","",IF(VLOOKUP(J35,'G-3 Multipliers'!$L$3:$N$6,3,FALSE)=0,"Spatial Data Missing",VLOOKUP(J35,'G-3 Multipliers'!$L$3:$N$6,3,FALSE)))</f>
        <v/>
      </c>
      <c r="M35" s="160"/>
      <c r="N35" s="363" t="str">
        <f>IF(M35="","",IF(VLOOKUP(M35,'G-3 Multipliers'!$S$3:$T$10,2,FALSE)=0,"Spatial Data Missing ⚠",VLOOKUP(M35,'G-3 Multipliers'!$S$3:$T$10,2,FALSE)))</f>
        <v/>
      </c>
      <c r="O35" s="362" t="str">
        <f>IF(OR(D35="",H35=""),"",(INDEX('G-6 Hedgerow Data'!$E$3:$I$15,MATCH(D35,'G-6 Hedgerow Data'!$B$3:$B$15,0),MATCH(H35,'G-6 Hedgerow Data'!$E$2:$I$2,0))))</f>
        <v/>
      </c>
      <c r="P35" s="159"/>
      <c r="Q35" s="159"/>
      <c r="R35" s="370" t="str">
        <f t="shared" si="1"/>
        <v/>
      </c>
      <c r="S35" s="383" t="str">
        <f t="shared" si="2"/>
        <v/>
      </c>
      <c r="T35" s="384" t="str">
        <f t="shared" si="0"/>
        <v/>
      </c>
      <c r="U35" s="398" t="str">
        <f>IF(D35="","",VLOOKUP(D35,'G-6 Hedgerow Data'!$B$3:$AG$15,31,FALSE))</f>
        <v/>
      </c>
      <c r="V35" s="382" t="str">
        <f t="shared" si="3"/>
        <v/>
      </c>
      <c r="W35" s="382" t="str">
        <f t="shared" si="4"/>
        <v/>
      </c>
      <c r="X35" s="386" t="str">
        <f>IF(F35="","",VLOOKUP(U35,'G-3 Multipliers'!$P$3:$Q$6,2,FALSE))</f>
        <v/>
      </c>
      <c r="Y35" s="390" t="str">
        <f t="shared" si="5"/>
        <v/>
      </c>
      <c r="Z35" s="390" t="str">
        <f t="shared" si="6"/>
        <v/>
      </c>
      <c r="AA35" s="117"/>
      <c r="AB35" s="118"/>
      <c r="AC35" s="120"/>
      <c r="AD35" s="120"/>
      <c r="AH35" s="30" t="str">
        <f>IFERROR(INDEX('G-6 Hedgerow Data'!$BJ$3:$BJ$15,MATCH(D35,'G-6 Hedgerow Data'!$B$3:$B$15,0)),"")</f>
        <v/>
      </c>
    </row>
    <row r="36" spans="2:34" ht="15">
      <c r="B36" s="110">
        <v>25</v>
      </c>
      <c r="C36" s="216"/>
      <c r="D36" s="63"/>
      <c r="E36" s="165"/>
      <c r="F36" s="362" t="str">
        <f>IF(D36="","",VLOOKUP(D36,'G-6 Hedgerow Data'!$B$2:$AG$15,2,FALSE))</f>
        <v/>
      </c>
      <c r="G36" s="386" t="str">
        <f>IF(D36="","",VLOOKUP(D36,'G-6 Hedgerow Data'!$B$2:$AG$15,3,FALSE))</f>
        <v/>
      </c>
      <c r="H36" s="55"/>
      <c r="I36" s="363" t="str">
        <f>IFERROR(IF(AND(F36="V.Low",OR(H36="Good",H36="Moderate")),"Error ▲",VLOOKUP(H36,'G-1 All Habitats'!$Z$2:$AA$9,2,FALSE)),"")</f>
        <v/>
      </c>
      <c r="J36" s="115"/>
      <c r="K36" s="382" t="str">
        <f>IF(J36="","",IF(VLOOKUP(J36,'G-3 Multipliers'!$L$3:$N$6,2,FALSE)=0,"Spatial Data Missing",VLOOKUP(J36,'G-3 Multipliers'!$L$3:$N$6,2,FALSE)))</f>
        <v/>
      </c>
      <c r="L36" s="386" t="str">
        <f>IF(J36="","",IF(VLOOKUP(J36,'G-3 Multipliers'!$L$3:$N$6,3,FALSE)=0,"Spatial Data Missing",VLOOKUP(J36,'G-3 Multipliers'!$L$3:$N$6,3,FALSE)))</f>
        <v/>
      </c>
      <c r="M36" s="160"/>
      <c r="N36" s="363" t="str">
        <f>IF(M36="","",IF(VLOOKUP(M36,'G-3 Multipliers'!$S$3:$T$10,2,FALSE)=0,"Spatial Data Missing ⚠",VLOOKUP(M36,'G-3 Multipliers'!$S$3:$T$10,2,FALSE)))</f>
        <v/>
      </c>
      <c r="O36" s="362" t="str">
        <f>IF(OR(D36="",H36=""),"",(INDEX('G-6 Hedgerow Data'!$E$3:$I$15,MATCH(D36,'G-6 Hedgerow Data'!$B$3:$B$15,0),MATCH(H36,'G-6 Hedgerow Data'!$E$2:$I$2,0))))</f>
        <v/>
      </c>
      <c r="P36" s="159"/>
      <c r="Q36" s="159"/>
      <c r="R36" s="370" t="str">
        <f t="shared" si="1"/>
        <v/>
      </c>
      <c r="S36" s="383" t="str">
        <f t="shared" si="2"/>
        <v/>
      </c>
      <c r="T36" s="384" t="str">
        <f t="shared" si="0"/>
        <v/>
      </c>
      <c r="U36" s="398" t="str">
        <f>IF(D36="","",VLOOKUP(D36,'G-6 Hedgerow Data'!$B$3:$AG$15,31,FALSE))</f>
        <v/>
      </c>
      <c r="V36" s="382" t="str">
        <f t="shared" si="3"/>
        <v/>
      </c>
      <c r="W36" s="382" t="str">
        <f t="shared" si="4"/>
        <v/>
      </c>
      <c r="X36" s="386" t="str">
        <f>IF(F36="","",VLOOKUP(U36,'G-3 Multipliers'!$P$3:$Q$6,2,FALSE))</f>
        <v/>
      </c>
      <c r="Y36" s="390" t="str">
        <f t="shared" si="5"/>
        <v/>
      </c>
      <c r="Z36" s="390" t="str">
        <f t="shared" si="6"/>
        <v/>
      </c>
      <c r="AA36" s="117"/>
      <c r="AB36" s="118"/>
      <c r="AC36" s="120"/>
      <c r="AD36" s="120"/>
      <c r="AH36" s="30" t="str">
        <f>IFERROR(INDEX('G-6 Hedgerow Data'!$BJ$3:$BJ$15,MATCH(D36,'G-6 Hedgerow Data'!$B$3:$B$15,0)),"")</f>
        <v/>
      </c>
    </row>
    <row r="37" spans="2:34" ht="15">
      <c r="B37" s="110">
        <v>26</v>
      </c>
      <c r="C37" s="216"/>
      <c r="D37" s="63"/>
      <c r="E37" s="165"/>
      <c r="F37" s="362" t="str">
        <f>IF(D37="","",VLOOKUP(D37,'G-6 Hedgerow Data'!$B$2:$AG$15,2,FALSE))</f>
        <v/>
      </c>
      <c r="G37" s="386" t="str">
        <f>IF(D37="","",VLOOKUP(D37,'G-6 Hedgerow Data'!$B$2:$AG$15,3,FALSE))</f>
        <v/>
      </c>
      <c r="H37" s="55"/>
      <c r="I37" s="363" t="str">
        <f>IFERROR(IF(AND(F37="V.Low",OR(H37="Good",H37="Moderate")),"Error ▲",VLOOKUP(H37,'G-1 All Habitats'!$Z$2:$AA$9,2,FALSE)),"")</f>
        <v/>
      </c>
      <c r="J37" s="115"/>
      <c r="K37" s="382" t="str">
        <f>IF(J37="","",IF(VLOOKUP(J37,'G-3 Multipliers'!$L$3:$N$6,2,FALSE)=0,"Spatial Data Missing",VLOOKUP(J37,'G-3 Multipliers'!$L$3:$N$6,2,FALSE)))</f>
        <v/>
      </c>
      <c r="L37" s="386" t="str">
        <f>IF(J37="","",IF(VLOOKUP(J37,'G-3 Multipliers'!$L$3:$N$6,3,FALSE)=0,"Spatial Data Missing",VLOOKUP(J37,'G-3 Multipliers'!$L$3:$N$6,3,FALSE)))</f>
        <v/>
      </c>
      <c r="M37" s="160"/>
      <c r="N37" s="363" t="str">
        <f>IF(M37="","",IF(VLOOKUP(M37,'G-3 Multipliers'!$S$3:$T$10,2,FALSE)=0,"Spatial Data Missing ⚠",VLOOKUP(M37,'G-3 Multipliers'!$S$3:$T$10,2,FALSE)))</f>
        <v/>
      </c>
      <c r="O37" s="362" t="str">
        <f>IF(OR(D37="",H37=""),"",(INDEX('G-6 Hedgerow Data'!$E$3:$I$15,MATCH(D37,'G-6 Hedgerow Data'!$B$3:$B$15,0),MATCH(H37,'G-6 Hedgerow Data'!$E$2:$I$2,0))))</f>
        <v/>
      </c>
      <c r="P37" s="159"/>
      <c r="Q37" s="159"/>
      <c r="R37" s="370" t="str">
        <f t="shared" si="1"/>
        <v/>
      </c>
      <c r="S37" s="383" t="str">
        <f t="shared" si="2"/>
        <v/>
      </c>
      <c r="T37" s="384" t="str">
        <f t="shared" si="0"/>
        <v/>
      </c>
      <c r="U37" s="398" t="str">
        <f>IF(D37="","",VLOOKUP(D37,'G-6 Hedgerow Data'!$B$3:$AG$15,31,FALSE))</f>
        <v/>
      </c>
      <c r="V37" s="382" t="str">
        <f t="shared" si="3"/>
        <v/>
      </c>
      <c r="W37" s="382" t="str">
        <f t="shared" si="4"/>
        <v/>
      </c>
      <c r="X37" s="386" t="str">
        <f>IF(F37="","",VLOOKUP(U37,'G-3 Multipliers'!$P$3:$Q$6,2,FALSE))</f>
        <v/>
      </c>
      <c r="Y37" s="390" t="str">
        <f t="shared" si="5"/>
        <v/>
      </c>
      <c r="Z37" s="390" t="str">
        <f t="shared" si="6"/>
        <v/>
      </c>
      <c r="AA37" s="117"/>
      <c r="AB37" s="118"/>
      <c r="AC37" s="120"/>
      <c r="AD37" s="120"/>
      <c r="AH37" s="30" t="str">
        <f>IFERROR(INDEX('G-6 Hedgerow Data'!$BJ$3:$BJ$15,MATCH(D37,'G-6 Hedgerow Data'!$B$3:$B$15,0)),"")</f>
        <v/>
      </c>
    </row>
    <row r="38" spans="2:34" ht="15">
      <c r="B38" s="110">
        <v>27</v>
      </c>
      <c r="C38" s="216"/>
      <c r="D38" s="63"/>
      <c r="E38" s="165"/>
      <c r="F38" s="362" t="str">
        <f>IF(D38="","",VLOOKUP(D38,'G-6 Hedgerow Data'!$B$2:$AG$15,2,FALSE))</f>
        <v/>
      </c>
      <c r="G38" s="386" t="str">
        <f>IF(D38="","",VLOOKUP(D38,'G-6 Hedgerow Data'!$B$2:$AG$15,3,FALSE))</f>
        <v/>
      </c>
      <c r="H38" s="55"/>
      <c r="I38" s="363" t="str">
        <f>IFERROR(IF(AND(F38="V.Low",OR(H38="Good",H38="Moderate")),"Error ▲",VLOOKUP(H38,'G-1 All Habitats'!$Z$2:$AA$9,2,FALSE)),"")</f>
        <v/>
      </c>
      <c r="J38" s="115"/>
      <c r="K38" s="382" t="str">
        <f>IF(J38="","",IF(VLOOKUP(J38,'G-3 Multipliers'!$L$3:$N$6,2,FALSE)=0,"Spatial Data Missing",VLOOKUP(J38,'G-3 Multipliers'!$L$3:$N$6,2,FALSE)))</f>
        <v/>
      </c>
      <c r="L38" s="386" t="str">
        <f>IF(J38="","",IF(VLOOKUP(J38,'G-3 Multipliers'!$L$3:$N$6,3,FALSE)=0,"Spatial Data Missing",VLOOKUP(J38,'G-3 Multipliers'!$L$3:$N$6,3,FALSE)))</f>
        <v/>
      </c>
      <c r="M38" s="160"/>
      <c r="N38" s="363" t="str">
        <f>IF(M38="","",IF(VLOOKUP(M38,'G-3 Multipliers'!$S$3:$T$10,2,FALSE)=0,"Spatial Data Missing ⚠",VLOOKUP(M38,'G-3 Multipliers'!$S$3:$T$10,2,FALSE)))</f>
        <v/>
      </c>
      <c r="O38" s="362" t="str">
        <f>IF(OR(D38="",H38=""),"",(INDEX('G-6 Hedgerow Data'!$E$3:$I$15,MATCH(D38,'G-6 Hedgerow Data'!$B$3:$B$15,0),MATCH(H38,'G-6 Hedgerow Data'!$E$2:$I$2,0))))</f>
        <v/>
      </c>
      <c r="P38" s="159"/>
      <c r="Q38" s="159"/>
      <c r="R38" s="370" t="str">
        <f t="shared" si="1"/>
        <v/>
      </c>
      <c r="S38" s="383" t="str">
        <f t="shared" si="2"/>
        <v/>
      </c>
      <c r="T38" s="384" t="str">
        <f t="shared" si="0"/>
        <v/>
      </c>
      <c r="U38" s="398" t="str">
        <f>IF(D38="","",VLOOKUP(D38,'G-6 Hedgerow Data'!$B$3:$AG$15,31,FALSE))</f>
        <v/>
      </c>
      <c r="V38" s="382" t="str">
        <f t="shared" si="3"/>
        <v/>
      </c>
      <c r="W38" s="382" t="str">
        <f t="shared" si="4"/>
        <v/>
      </c>
      <c r="X38" s="386" t="str">
        <f>IF(F38="","",VLOOKUP(U38,'G-3 Multipliers'!$P$3:$Q$6,2,FALSE))</f>
        <v/>
      </c>
      <c r="Y38" s="390" t="str">
        <f t="shared" si="5"/>
        <v/>
      </c>
      <c r="Z38" s="390" t="str">
        <f t="shared" si="6"/>
        <v/>
      </c>
      <c r="AA38" s="117"/>
      <c r="AB38" s="118"/>
      <c r="AC38" s="120"/>
      <c r="AD38" s="120"/>
      <c r="AH38" s="30" t="str">
        <f>IFERROR(INDEX('G-6 Hedgerow Data'!$BJ$3:$BJ$15,MATCH(D38,'G-6 Hedgerow Data'!$B$3:$B$15,0)),"")</f>
        <v/>
      </c>
    </row>
    <row r="39" spans="2:34" ht="15">
      <c r="B39" s="110">
        <v>28</v>
      </c>
      <c r="C39" s="216"/>
      <c r="D39" s="63"/>
      <c r="E39" s="165"/>
      <c r="F39" s="362" t="str">
        <f>IF(D39="","",VLOOKUP(D39,'G-6 Hedgerow Data'!$B$2:$AG$15,2,FALSE))</f>
        <v/>
      </c>
      <c r="G39" s="386" t="str">
        <f>IF(D39="","",VLOOKUP(D39,'G-6 Hedgerow Data'!$B$2:$AG$15,3,FALSE))</f>
        <v/>
      </c>
      <c r="H39" s="55"/>
      <c r="I39" s="363" t="str">
        <f>IFERROR(IF(AND(F39="V.Low",OR(H39="Good",H39="Moderate")),"Error ▲",VLOOKUP(H39,'G-1 All Habitats'!$Z$2:$AA$9,2,FALSE)),"")</f>
        <v/>
      </c>
      <c r="J39" s="115"/>
      <c r="K39" s="382" t="str">
        <f>IF(J39="","",IF(VLOOKUP(J39,'G-3 Multipliers'!$L$3:$N$6,2,FALSE)=0,"Spatial Data Missing",VLOOKUP(J39,'G-3 Multipliers'!$L$3:$N$6,2,FALSE)))</f>
        <v/>
      </c>
      <c r="L39" s="386" t="str">
        <f>IF(J39="","",IF(VLOOKUP(J39,'G-3 Multipliers'!$L$3:$N$6,3,FALSE)=0,"Spatial Data Missing",VLOOKUP(J39,'G-3 Multipliers'!$L$3:$N$6,3,FALSE)))</f>
        <v/>
      </c>
      <c r="M39" s="160"/>
      <c r="N39" s="363" t="str">
        <f>IF(M39="","",IF(VLOOKUP(M39,'G-3 Multipliers'!$S$3:$T$10,2,FALSE)=0,"Spatial Data Missing ⚠",VLOOKUP(M39,'G-3 Multipliers'!$S$3:$T$10,2,FALSE)))</f>
        <v/>
      </c>
      <c r="O39" s="362" t="str">
        <f>IF(OR(D39="",H39=""),"",(INDEX('G-6 Hedgerow Data'!$E$3:$I$15,MATCH(D39,'G-6 Hedgerow Data'!$B$3:$B$15,0),MATCH(H39,'G-6 Hedgerow Data'!$E$2:$I$2,0))))</f>
        <v/>
      </c>
      <c r="P39" s="159"/>
      <c r="Q39" s="159"/>
      <c r="R39" s="370" t="str">
        <f t="shared" si="1"/>
        <v/>
      </c>
      <c r="S39" s="383" t="str">
        <f t="shared" si="2"/>
        <v/>
      </c>
      <c r="T39" s="384" t="str">
        <f t="shared" si="0"/>
        <v/>
      </c>
      <c r="U39" s="398" t="str">
        <f>IF(D39="","",VLOOKUP(D39,'G-6 Hedgerow Data'!$B$3:$AG$15,31,FALSE))</f>
        <v/>
      </c>
      <c r="V39" s="382" t="str">
        <f t="shared" si="3"/>
        <v/>
      </c>
      <c r="W39" s="382" t="str">
        <f t="shared" si="4"/>
        <v/>
      </c>
      <c r="X39" s="386" t="str">
        <f>IF(F39="","",VLOOKUP(U39,'G-3 Multipliers'!$P$3:$Q$6,2,FALSE))</f>
        <v/>
      </c>
      <c r="Y39" s="390" t="str">
        <f t="shared" si="5"/>
        <v/>
      </c>
      <c r="Z39" s="390" t="str">
        <f t="shared" si="6"/>
        <v/>
      </c>
      <c r="AA39" s="117"/>
      <c r="AB39" s="118"/>
      <c r="AC39" s="120"/>
      <c r="AD39" s="120"/>
      <c r="AH39" s="30" t="str">
        <f>IFERROR(INDEX('G-6 Hedgerow Data'!$BJ$3:$BJ$15,MATCH(D39,'G-6 Hedgerow Data'!$B$3:$B$15,0)),"")</f>
        <v/>
      </c>
    </row>
    <row r="40" spans="2:34" ht="15">
      <c r="B40" s="110">
        <v>29</v>
      </c>
      <c r="C40" s="216"/>
      <c r="D40" s="63"/>
      <c r="E40" s="165"/>
      <c r="F40" s="362" t="str">
        <f>IF(D40="","",VLOOKUP(D40,'G-6 Hedgerow Data'!$B$2:$AG$15,2,FALSE))</f>
        <v/>
      </c>
      <c r="G40" s="386" t="str">
        <f>IF(D40="","",VLOOKUP(D40,'G-6 Hedgerow Data'!$B$2:$AG$15,3,FALSE))</f>
        <v/>
      </c>
      <c r="H40" s="55"/>
      <c r="I40" s="363" t="str">
        <f>IFERROR(IF(AND(F40="V.Low",OR(H40="Good",H40="Moderate")),"Error ▲",VLOOKUP(H40,'G-1 All Habitats'!$Z$2:$AA$9,2,FALSE)),"")</f>
        <v/>
      </c>
      <c r="J40" s="115"/>
      <c r="K40" s="382" t="str">
        <f>IF(J40="","",IF(VLOOKUP(J40,'G-3 Multipliers'!$L$3:$N$6,2,FALSE)=0,"Spatial Data Missing",VLOOKUP(J40,'G-3 Multipliers'!$L$3:$N$6,2,FALSE)))</f>
        <v/>
      </c>
      <c r="L40" s="386" t="str">
        <f>IF(J40="","",IF(VLOOKUP(J40,'G-3 Multipliers'!$L$3:$N$6,3,FALSE)=0,"Spatial Data Missing",VLOOKUP(J40,'G-3 Multipliers'!$L$3:$N$6,3,FALSE)))</f>
        <v/>
      </c>
      <c r="M40" s="160"/>
      <c r="N40" s="363" t="str">
        <f>IF(M40="","",IF(VLOOKUP(M40,'G-3 Multipliers'!$S$3:$T$10,2,FALSE)=0,"Spatial Data Missing ⚠",VLOOKUP(M40,'G-3 Multipliers'!$S$3:$T$10,2,FALSE)))</f>
        <v/>
      </c>
      <c r="O40" s="362" t="str">
        <f>IF(OR(D40="",H40=""),"",(INDEX('G-6 Hedgerow Data'!$E$3:$I$15,MATCH(D40,'G-6 Hedgerow Data'!$B$3:$B$15,0),MATCH(H40,'G-6 Hedgerow Data'!$E$2:$I$2,0))))</f>
        <v/>
      </c>
      <c r="P40" s="159"/>
      <c r="Q40" s="159"/>
      <c r="R40" s="370" t="str">
        <f t="shared" si="1"/>
        <v/>
      </c>
      <c r="S40" s="383" t="str">
        <f t="shared" si="2"/>
        <v/>
      </c>
      <c r="T40" s="384" t="str">
        <f t="shared" si="0"/>
        <v/>
      </c>
      <c r="U40" s="398" t="str">
        <f>IF(D40="","",VLOOKUP(D40,'G-6 Hedgerow Data'!$B$3:$AG$15,31,FALSE))</f>
        <v/>
      </c>
      <c r="V40" s="382" t="str">
        <f t="shared" si="3"/>
        <v/>
      </c>
      <c r="W40" s="382" t="str">
        <f t="shared" si="4"/>
        <v/>
      </c>
      <c r="X40" s="386" t="str">
        <f>IF(F40="","",VLOOKUP(U40,'G-3 Multipliers'!$P$3:$Q$6,2,FALSE))</f>
        <v/>
      </c>
      <c r="Y40" s="390" t="str">
        <f t="shared" si="5"/>
        <v/>
      </c>
      <c r="Z40" s="390" t="str">
        <f t="shared" si="6"/>
        <v/>
      </c>
      <c r="AA40" s="117"/>
      <c r="AB40" s="118"/>
      <c r="AC40" s="120"/>
      <c r="AD40" s="120"/>
      <c r="AH40" s="30" t="str">
        <f>IFERROR(INDEX('G-6 Hedgerow Data'!$BJ$3:$BJ$15,MATCH(D40,'G-6 Hedgerow Data'!$B$3:$B$15,0)),"")</f>
        <v/>
      </c>
    </row>
    <row r="41" spans="2:34" ht="15">
      <c r="B41" s="110">
        <v>30</v>
      </c>
      <c r="C41" s="216"/>
      <c r="D41" s="63"/>
      <c r="E41" s="165"/>
      <c r="F41" s="362" t="str">
        <f>IF(D41="","",VLOOKUP(D41,'G-6 Hedgerow Data'!$B$2:$AG$15,2,FALSE))</f>
        <v/>
      </c>
      <c r="G41" s="386" t="str">
        <f>IF(D41="","",VLOOKUP(D41,'G-6 Hedgerow Data'!$B$2:$AG$15,3,FALSE))</f>
        <v/>
      </c>
      <c r="H41" s="55"/>
      <c r="I41" s="363" t="str">
        <f>IFERROR(IF(AND(F41="V.Low",OR(H41="Good",H41="Moderate")),"Error ▲",VLOOKUP(H41,'G-1 All Habitats'!$Z$2:$AA$9,2,FALSE)),"")</f>
        <v/>
      </c>
      <c r="J41" s="115"/>
      <c r="K41" s="382" t="str">
        <f>IF(J41="","",IF(VLOOKUP(J41,'G-3 Multipliers'!$L$3:$N$6,2,FALSE)=0,"Spatial Data Missing",VLOOKUP(J41,'G-3 Multipliers'!$L$3:$N$6,2,FALSE)))</f>
        <v/>
      </c>
      <c r="L41" s="386" t="str">
        <f>IF(J41="","",IF(VLOOKUP(J41,'G-3 Multipliers'!$L$3:$N$6,3,FALSE)=0,"Spatial Data Missing",VLOOKUP(J41,'G-3 Multipliers'!$L$3:$N$6,3,FALSE)))</f>
        <v/>
      </c>
      <c r="M41" s="160"/>
      <c r="N41" s="363" t="str">
        <f>IF(M41="","",IF(VLOOKUP(M41,'G-3 Multipliers'!$S$3:$T$10,2,FALSE)=0,"Spatial Data Missing ⚠",VLOOKUP(M41,'G-3 Multipliers'!$S$3:$T$10,2,FALSE)))</f>
        <v/>
      </c>
      <c r="O41" s="362" t="str">
        <f>IF(OR(D41="",H41=""),"",(INDEX('G-6 Hedgerow Data'!$E$3:$I$15,MATCH(D41,'G-6 Hedgerow Data'!$B$3:$B$15,0),MATCH(H41,'G-6 Hedgerow Data'!$E$2:$I$2,0))))</f>
        <v/>
      </c>
      <c r="P41" s="159"/>
      <c r="Q41" s="159"/>
      <c r="R41" s="370" t="str">
        <f t="shared" si="1"/>
        <v/>
      </c>
      <c r="S41" s="383" t="str">
        <f t="shared" si="2"/>
        <v/>
      </c>
      <c r="T41" s="384" t="str">
        <f t="shared" si="0"/>
        <v/>
      </c>
      <c r="U41" s="398" t="str">
        <f>IF(D41="","",VLOOKUP(D41,'G-6 Hedgerow Data'!$B$3:$AG$15,31,FALSE))</f>
        <v/>
      </c>
      <c r="V41" s="382" t="str">
        <f t="shared" si="3"/>
        <v/>
      </c>
      <c r="W41" s="382" t="str">
        <f t="shared" si="4"/>
        <v/>
      </c>
      <c r="X41" s="386" t="str">
        <f>IF(F41="","",VLOOKUP(U41,'G-3 Multipliers'!$P$3:$Q$6,2,FALSE))</f>
        <v/>
      </c>
      <c r="Y41" s="390" t="str">
        <f t="shared" si="5"/>
        <v/>
      </c>
      <c r="Z41" s="390" t="str">
        <f t="shared" si="6"/>
        <v/>
      </c>
      <c r="AA41" s="117"/>
      <c r="AB41" s="118"/>
      <c r="AC41" s="120"/>
      <c r="AD41" s="120"/>
      <c r="AH41" s="30" t="str">
        <f>IFERROR(INDEX('G-6 Hedgerow Data'!$BJ$3:$BJ$15,MATCH(D41,'G-6 Hedgerow Data'!$B$3:$B$15,0)),"")</f>
        <v/>
      </c>
    </row>
    <row r="42" spans="2:34" ht="15">
      <c r="B42" s="110">
        <v>31</v>
      </c>
      <c r="C42" s="216"/>
      <c r="D42" s="63"/>
      <c r="E42" s="165"/>
      <c r="F42" s="362" t="str">
        <f>IF(D42="","",VLOOKUP(D42,'G-6 Hedgerow Data'!$B$2:$AG$15,2,FALSE))</f>
        <v/>
      </c>
      <c r="G42" s="386" t="str">
        <f>IF(D42="","",VLOOKUP(D42,'G-6 Hedgerow Data'!$B$2:$AG$15,3,FALSE))</f>
        <v/>
      </c>
      <c r="H42" s="55"/>
      <c r="I42" s="363" t="str">
        <f>IFERROR(IF(AND(F42="V.Low",OR(H42="Good",H42="Moderate")),"Error ▲",VLOOKUP(H42,'G-1 All Habitats'!$Z$2:$AA$9,2,FALSE)),"")</f>
        <v/>
      </c>
      <c r="J42" s="115"/>
      <c r="K42" s="382" t="str">
        <f>IF(J42="","",IF(VLOOKUP(J42,'G-3 Multipliers'!$L$3:$N$6,2,FALSE)=0,"Spatial Data Missing",VLOOKUP(J42,'G-3 Multipliers'!$L$3:$N$6,2,FALSE)))</f>
        <v/>
      </c>
      <c r="L42" s="386" t="str">
        <f>IF(J42="","",IF(VLOOKUP(J42,'G-3 Multipliers'!$L$3:$N$6,3,FALSE)=0,"Spatial Data Missing",VLOOKUP(J42,'G-3 Multipliers'!$L$3:$N$6,3,FALSE)))</f>
        <v/>
      </c>
      <c r="M42" s="160"/>
      <c r="N42" s="363" t="str">
        <f>IF(M42="","",IF(VLOOKUP(M42,'G-3 Multipliers'!$S$3:$T$10,2,FALSE)=0,"Spatial Data Missing ⚠",VLOOKUP(M42,'G-3 Multipliers'!$S$3:$T$10,2,FALSE)))</f>
        <v/>
      </c>
      <c r="O42" s="362" t="str">
        <f>IF(OR(D42="",H42=""),"",(INDEX('G-6 Hedgerow Data'!$E$3:$I$15,MATCH(D42,'G-6 Hedgerow Data'!$B$3:$B$15,0),MATCH(H42,'G-6 Hedgerow Data'!$E$2:$I$2,0))))</f>
        <v/>
      </c>
      <c r="P42" s="159"/>
      <c r="Q42" s="159"/>
      <c r="R42" s="370" t="str">
        <f t="shared" si="1"/>
        <v/>
      </c>
      <c r="S42" s="383" t="str">
        <f t="shared" si="2"/>
        <v/>
      </c>
      <c r="T42" s="384" t="str">
        <f t="shared" si="0"/>
        <v/>
      </c>
      <c r="U42" s="398" t="str">
        <f>IF(D42="","",VLOOKUP(D42,'G-6 Hedgerow Data'!$B$3:$AG$15,31,FALSE))</f>
        <v/>
      </c>
      <c r="V42" s="382" t="str">
        <f t="shared" si="3"/>
        <v/>
      </c>
      <c r="W42" s="382" t="str">
        <f t="shared" si="4"/>
        <v/>
      </c>
      <c r="X42" s="386" t="str">
        <f>IF(F42="","",VLOOKUP(U42,'G-3 Multipliers'!$P$3:$Q$6,2,FALSE))</f>
        <v/>
      </c>
      <c r="Y42" s="390" t="str">
        <f t="shared" si="5"/>
        <v/>
      </c>
      <c r="Z42" s="390" t="str">
        <f t="shared" si="6"/>
        <v/>
      </c>
      <c r="AA42" s="117"/>
      <c r="AB42" s="118"/>
      <c r="AC42" s="120"/>
      <c r="AD42" s="120"/>
      <c r="AH42" s="30" t="str">
        <f>IFERROR(INDEX('G-6 Hedgerow Data'!$BJ$3:$BJ$15,MATCH(D42,'G-6 Hedgerow Data'!$B$3:$B$15,0)),"")</f>
        <v/>
      </c>
    </row>
    <row r="43" spans="2:34" ht="15">
      <c r="B43" s="110">
        <v>32</v>
      </c>
      <c r="C43" s="216"/>
      <c r="D43" s="63"/>
      <c r="E43" s="165"/>
      <c r="F43" s="362" t="str">
        <f>IF(D43="","",VLOOKUP(D43,'G-6 Hedgerow Data'!$B$2:$AG$15,2,FALSE))</f>
        <v/>
      </c>
      <c r="G43" s="386" t="str">
        <f>IF(D43="","",VLOOKUP(D43,'G-6 Hedgerow Data'!$B$2:$AG$15,3,FALSE))</f>
        <v/>
      </c>
      <c r="H43" s="55"/>
      <c r="I43" s="363" t="str">
        <f>IFERROR(IF(AND(F43="V.Low",OR(H43="Good",H43="Moderate")),"Error ▲",VLOOKUP(H43,'G-1 All Habitats'!$Z$2:$AA$9,2,FALSE)),"")</f>
        <v/>
      </c>
      <c r="J43" s="115"/>
      <c r="K43" s="382" t="str">
        <f>IF(J43="","",IF(VLOOKUP(J43,'G-3 Multipliers'!$L$3:$N$6,2,FALSE)=0,"Spatial Data Missing",VLOOKUP(J43,'G-3 Multipliers'!$L$3:$N$6,2,FALSE)))</f>
        <v/>
      </c>
      <c r="L43" s="386" t="str">
        <f>IF(J43="","",IF(VLOOKUP(J43,'G-3 Multipliers'!$L$3:$N$6,3,FALSE)=0,"Spatial Data Missing",VLOOKUP(J43,'G-3 Multipliers'!$L$3:$N$6,3,FALSE)))</f>
        <v/>
      </c>
      <c r="M43" s="160"/>
      <c r="N43" s="363" t="str">
        <f>IF(M43="","",IF(VLOOKUP(M43,'G-3 Multipliers'!$S$3:$T$10,2,FALSE)=0,"Spatial Data Missing ⚠",VLOOKUP(M43,'G-3 Multipliers'!$S$3:$T$10,2,FALSE)))</f>
        <v/>
      </c>
      <c r="O43" s="362" t="str">
        <f>IF(OR(D43="",H43=""),"",(INDEX('G-6 Hedgerow Data'!$E$3:$I$15,MATCH(D43,'G-6 Hedgerow Data'!$B$3:$B$15,0),MATCH(H43,'G-6 Hedgerow Data'!$E$2:$I$2,0))))</f>
        <v/>
      </c>
      <c r="P43" s="159"/>
      <c r="Q43" s="159"/>
      <c r="R43" s="370" t="str">
        <f t="shared" si="1"/>
        <v/>
      </c>
      <c r="S43" s="383" t="str">
        <f t="shared" si="2"/>
        <v/>
      </c>
      <c r="T43" s="384" t="str">
        <f t="shared" si="0"/>
        <v/>
      </c>
      <c r="U43" s="398" t="str">
        <f>IF(D43="","",VLOOKUP(D43,'G-6 Hedgerow Data'!$B$3:$AG$15,31,FALSE))</f>
        <v/>
      </c>
      <c r="V43" s="382" t="str">
        <f t="shared" si="3"/>
        <v/>
      </c>
      <c r="W43" s="382" t="str">
        <f t="shared" si="4"/>
        <v/>
      </c>
      <c r="X43" s="386" t="str">
        <f>IF(F43="","",VLOOKUP(U43,'G-3 Multipliers'!$P$3:$Q$6,2,FALSE))</f>
        <v/>
      </c>
      <c r="Y43" s="390" t="str">
        <f t="shared" si="5"/>
        <v/>
      </c>
      <c r="Z43" s="390" t="str">
        <f t="shared" si="6"/>
        <v/>
      </c>
      <c r="AA43" s="117"/>
      <c r="AB43" s="118"/>
      <c r="AC43" s="120"/>
      <c r="AD43" s="120"/>
      <c r="AH43" s="30" t="str">
        <f>IFERROR(INDEX('G-6 Hedgerow Data'!$BJ$3:$BJ$15,MATCH(D43,'G-6 Hedgerow Data'!$B$3:$B$15,0)),"")</f>
        <v/>
      </c>
    </row>
    <row r="44" spans="2:34" ht="15">
      <c r="B44" s="110">
        <v>33</v>
      </c>
      <c r="C44" s="216"/>
      <c r="D44" s="63"/>
      <c r="E44" s="165"/>
      <c r="F44" s="362" t="str">
        <f>IF(D44="","",VLOOKUP(D44,'G-6 Hedgerow Data'!$B$2:$AG$15,2,FALSE))</f>
        <v/>
      </c>
      <c r="G44" s="386" t="str">
        <f>IF(D44="","",VLOOKUP(D44,'G-6 Hedgerow Data'!$B$2:$AG$15,3,FALSE))</f>
        <v/>
      </c>
      <c r="H44" s="55"/>
      <c r="I44" s="363" t="str">
        <f>IFERROR(IF(AND(F44="V.Low",OR(H44="Good",H44="Moderate")),"Error ▲",VLOOKUP(H44,'G-1 All Habitats'!$Z$2:$AA$9,2,FALSE)),"")</f>
        <v/>
      </c>
      <c r="J44" s="115"/>
      <c r="K44" s="382" t="str">
        <f>IF(J44="","",IF(VLOOKUP(J44,'G-3 Multipliers'!$L$3:$N$6,2,FALSE)=0,"Spatial Data Missing",VLOOKUP(J44,'G-3 Multipliers'!$L$3:$N$6,2,FALSE)))</f>
        <v/>
      </c>
      <c r="L44" s="386" t="str">
        <f>IF(J44="","",IF(VLOOKUP(J44,'G-3 Multipliers'!$L$3:$N$6,3,FALSE)=0,"Spatial Data Missing",VLOOKUP(J44,'G-3 Multipliers'!$L$3:$N$6,3,FALSE)))</f>
        <v/>
      </c>
      <c r="M44" s="160"/>
      <c r="N44" s="363" t="str">
        <f>IF(M44="","",IF(VLOOKUP(M44,'G-3 Multipliers'!$S$3:$T$10,2,FALSE)=0,"Spatial Data Missing ⚠",VLOOKUP(M44,'G-3 Multipliers'!$S$3:$T$10,2,FALSE)))</f>
        <v/>
      </c>
      <c r="O44" s="362" t="str">
        <f>IF(OR(D44="",H44=""),"",(INDEX('G-6 Hedgerow Data'!$E$3:$I$15,MATCH(D44,'G-6 Hedgerow Data'!$B$3:$B$15,0),MATCH(H44,'G-6 Hedgerow Data'!$E$2:$I$2,0))))</f>
        <v/>
      </c>
      <c r="P44" s="159"/>
      <c r="Q44" s="159"/>
      <c r="R44" s="370" t="str">
        <f t="shared" si="1"/>
        <v/>
      </c>
      <c r="S44" s="383" t="str">
        <f t="shared" si="2"/>
        <v/>
      </c>
      <c r="T44" s="384" t="str">
        <f t="shared" si="0"/>
        <v/>
      </c>
      <c r="U44" s="398" t="str">
        <f>IF(D44="","",VLOOKUP(D44,'G-6 Hedgerow Data'!$B$3:$AG$15,31,FALSE))</f>
        <v/>
      </c>
      <c r="V44" s="382" t="str">
        <f t="shared" si="3"/>
        <v/>
      </c>
      <c r="W44" s="382" t="str">
        <f t="shared" si="4"/>
        <v/>
      </c>
      <c r="X44" s="386" t="str">
        <f>IF(F44="","",VLOOKUP(U44,'G-3 Multipliers'!$P$3:$Q$6,2,FALSE))</f>
        <v/>
      </c>
      <c r="Y44" s="390" t="str">
        <f t="shared" si="5"/>
        <v/>
      </c>
      <c r="Z44" s="390" t="str">
        <f t="shared" si="6"/>
        <v/>
      </c>
      <c r="AA44" s="117"/>
      <c r="AB44" s="118"/>
      <c r="AC44" s="120"/>
      <c r="AD44" s="120"/>
      <c r="AH44" s="30" t="str">
        <f>IFERROR(INDEX('G-6 Hedgerow Data'!$BJ$3:$BJ$15,MATCH(D44,'G-6 Hedgerow Data'!$B$3:$B$15,0)),"")</f>
        <v/>
      </c>
    </row>
    <row r="45" spans="2:34" ht="15">
      <c r="B45" s="110">
        <v>34</v>
      </c>
      <c r="C45" s="216"/>
      <c r="D45" s="63"/>
      <c r="E45" s="165"/>
      <c r="F45" s="362" t="str">
        <f>IF(D45="","",VLOOKUP(D45,'G-6 Hedgerow Data'!$B$2:$AG$15,2,FALSE))</f>
        <v/>
      </c>
      <c r="G45" s="386" t="str">
        <f>IF(D45="","",VLOOKUP(D45,'G-6 Hedgerow Data'!$B$2:$AG$15,3,FALSE))</f>
        <v/>
      </c>
      <c r="H45" s="55"/>
      <c r="I45" s="363" t="str">
        <f>IFERROR(IF(AND(F45="V.Low",OR(H45="Good",H45="Moderate")),"Error ▲",VLOOKUP(H45,'G-1 All Habitats'!$Z$2:$AA$9,2,FALSE)),"")</f>
        <v/>
      </c>
      <c r="J45" s="115"/>
      <c r="K45" s="382" t="str">
        <f>IF(J45="","",IF(VLOOKUP(J45,'G-3 Multipliers'!$L$3:$N$6,2,FALSE)=0,"Spatial Data Missing",VLOOKUP(J45,'G-3 Multipliers'!$L$3:$N$6,2,FALSE)))</f>
        <v/>
      </c>
      <c r="L45" s="386" t="str">
        <f>IF(J45="","",IF(VLOOKUP(J45,'G-3 Multipliers'!$L$3:$N$6,3,FALSE)=0,"Spatial Data Missing",VLOOKUP(J45,'G-3 Multipliers'!$L$3:$N$6,3,FALSE)))</f>
        <v/>
      </c>
      <c r="M45" s="160"/>
      <c r="N45" s="363" t="str">
        <f>IF(M45="","",IF(VLOOKUP(M45,'G-3 Multipliers'!$S$3:$T$10,2,FALSE)=0,"Spatial Data Missing ⚠",VLOOKUP(M45,'G-3 Multipliers'!$S$3:$T$10,2,FALSE)))</f>
        <v/>
      </c>
      <c r="O45" s="362" t="str">
        <f>IF(OR(D45="",H45=""),"",(INDEX('G-6 Hedgerow Data'!$E$3:$I$15,MATCH(D45,'G-6 Hedgerow Data'!$B$3:$B$15,0),MATCH(H45,'G-6 Hedgerow Data'!$E$2:$I$2,0))))</f>
        <v/>
      </c>
      <c r="P45" s="159"/>
      <c r="Q45" s="159"/>
      <c r="R45" s="370" t="str">
        <f t="shared" si="1"/>
        <v/>
      </c>
      <c r="S45" s="383" t="str">
        <f t="shared" si="2"/>
        <v/>
      </c>
      <c r="T45" s="384" t="str">
        <f t="shared" si="0"/>
        <v/>
      </c>
      <c r="U45" s="398" t="str">
        <f>IF(D45="","",VLOOKUP(D45,'G-6 Hedgerow Data'!$B$3:$AG$15,31,FALSE))</f>
        <v/>
      </c>
      <c r="V45" s="382" t="str">
        <f t="shared" si="3"/>
        <v/>
      </c>
      <c r="W45" s="382" t="str">
        <f t="shared" si="4"/>
        <v/>
      </c>
      <c r="X45" s="386" t="str">
        <f>IF(F45="","",VLOOKUP(U45,'G-3 Multipliers'!$P$3:$Q$6,2,FALSE))</f>
        <v/>
      </c>
      <c r="Y45" s="390" t="str">
        <f t="shared" si="5"/>
        <v/>
      </c>
      <c r="Z45" s="390" t="str">
        <f t="shared" si="6"/>
        <v/>
      </c>
      <c r="AA45" s="117"/>
      <c r="AB45" s="118"/>
      <c r="AC45" s="120"/>
      <c r="AD45" s="120"/>
      <c r="AH45" s="30" t="str">
        <f>IFERROR(INDEX('G-6 Hedgerow Data'!$BJ$3:$BJ$15,MATCH(D45,'G-6 Hedgerow Data'!$B$3:$B$15,0)),"")</f>
        <v/>
      </c>
    </row>
    <row r="46" spans="2:34" ht="15">
      <c r="B46" s="110">
        <v>35</v>
      </c>
      <c r="C46" s="216"/>
      <c r="D46" s="63"/>
      <c r="E46" s="165"/>
      <c r="F46" s="362" t="str">
        <f>IF(D46="","",VLOOKUP(D46,'G-6 Hedgerow Data'!$B$2:$AG$15,2,FALSE))</f>
        <v/>
      </c>
      <c r="G46" s="386" t="str">
        <f>IF(D46="","",VLOOKUP(D46,'G-6 Hedgerow Data'!$B$2:$AG$15,3,FALSE))</f>
        <v/>
      </c>
      <c r="H46" s="55"/>
      <c r="I46" s="363" t="str">
        <f>IFERROR(IF(AND(F46="V.Low",OR(H46="Good",H46="Moderate")),"Error ▲",VLOOKUP(H46,'G-1 All Habitats'!$Z$2:$AA$9,2,FALSE)),"")</f>
        <v/>
      </c>
      <c r="J46" s="115"/>
      <c r="K46" s="382" t="str">
        <f>IF(J46="","",IF(VLOOKUP(J46,'G-3 Multipliers'!$L$3:$N$6,2,FALSE)=0,"Spatial Data Missing",VLOOKUP(J46,'G-3 Multipliers'!$L$3:$N$6,2,FALSE)))</f>
        <v/>
      </c>
      <c r="L46" s="386" t="str">
        <f>IF(J46="","",IF(VLOOKUP(J46,'G-3 Multipliers'!$L$3:$N$6,3,FALSE)=0,"Spatial Data Missing",VLOOKUP(J46,'G-3 Multipliers'!$L$3:$N$6,3,FALSE)))</f>
        <v/>
      </c>
      <c r="M46" s="160"/>
      <c r="N46" s="363" t="str">
        <f>IF(M46="","",IF(VLOOKUP(M46,'G-3 Multipliers'!$S$3:$T$10,2,FALSE)=0,"Spatial Data Missing ⚠",VLOOKUP(M46,'G-3 Multipliers'!$S$3:$T$10,2,FALSE)))</f>
        <v/>
      </c>
      <c r="O46" s="362" t="str">
        <f>IF(OR(D46="",H46=""),"",(INDEX('G-6 Hedgerow Data'!$E$3:$I$15,MATCH(D46,'G-6 Hedgerow Data'!$B$3:$B$15,0),MATCH(H46,'G-6 Hedgerow Data'!$E$2:$I$2,0))))</f>
        <v/>
      </c>
      <c r="P46" s="159"/>
      <c r="Q46" s="159"/>
      <c r="R46" s="370" t="str">
        <f t="shared" si="1"/>
        <v/>
      </c>
      <c r="S46" s="383" t="str">
        <f t="shared" si="2"/>
        <v/>
      </c>
      <c r="T46" s="384" t="str">
        <f t="shared" si="0"/>
        <v/>
      </c>
      <c r="U46" s="398" t="str">
        <f>IF(D46="","",VLOOKUP(D46,'G-6 Hedgerow Data'!$B$3:$AG$15,31,FALSE))</f>
        <v/>
      </c>
      <c r="V46" s="382" t="str">
        <f t="shared" si="3"/>
        <v/>
      </c>
      <c r="W46" s="382" t="str">
        <f t="shared" si="4"/>
        <v/>
      </c>
      <c r="X46" s="386" t="str">
        <f>IF(F46="","",VLOOKUP(U46,'G-3 Multipliers'!$P$3:$Q$6,2,FALSE))</f>
        <v/>
      </c>
      <c r="Y46" s="390" t="str">
        <f t="shared" si="5"/>
        <v/>
      </c>
      <c r="Z46" s="390" t="str">
        <f t="shared" si="6"/>
        <v/>
      </c>
      <c r="AA46" s="117"/>
      <c r="AB46" s="118"/>
      <c r="AC46" s="120"/>
      <c r="AD46" s="120"/>
      <c r="AH46" s="30" t="str">
        <f>IFERROR(INDEX('G-6 Hedgerow Data'!$BJ$3:$BJ$15,MATCH(D46,'G-6 Hedgerow Data'!$B$3:$B$15,0)),"")</f>
        <v/>
      </c>
    </row>
    <row r="47" spans="2:34" ht="15">
      <c r="B47" s="110">
        <v>36</v>
      </c>
      <c r="C47" s="216"/>
      <c r="D47" s="63"/>
      <c r="E47" s="165"/>
      <c r="F47" s="362" t="str">
        <f>IF(D47="","",VLOOKUP(D47,'G-6 Hedgerow Data'!$B$2:$AG$15,2,FALSE))</f>
        <v/>
      </c>
      <c r="G47" s="386" t="str">
        <f>IF(D47="","",VLOOKUP(D47,'G-6 Hedgerow Data'!$B$2:$AG$15,3,FALSE))</f>
        <v/>
      </c>
      <c r="H47" s="55"/>
      <c r="I47" s="363" t="str">
        <f>IFERROR(IF(AND(F47="V.Low",OR(H47="Good",H47="Moderate")),"Error ▲",VLOOKUP(H47,'G-1 All Habitats'!$Z$2:$AA$9,2,FALSE)),"")</f>
        <v/>
      </c>
      <c r="J47" s="115"/>
      <c r="K47" s="382" t="str">
        <f>IF(J47="","",IF(VLOOKUP(J47,'G-3 Multipliers'!$L$3:$N$6,2,FALSE)=0,"Spatial Data Missing",VLOOKUP(J47,'G-3 Multipliers'!$L$3:$N$6,2,FALSE)))</f>
        <v/>
      </c>
      <c r="L47" s="386" t="str">
        <f>IF(J47="","",IF(VLOOKUP(J47,'G-3 Multipliers'!$L$3:$N$6,3,FALSE)=0,"Spatial Data Missing",VLOOKUP(J47,'G-3 Multipliers'!$L$3:$N$6,3,FALSE)))</f>
        <v/>
      </c>
      <c r="M47" s="160"/>
      <c r="N47" s="363" t="str">
        <f>IF(M47="","",IF(VLOOKUP(M47,'G-3 Multipliers'!$S$3:$T$10,2,FALSE)=0,"Spatial Data Missing ⚠",VLOOKUP(M47,'G-3 Multipliers'!$S$3:$T$10,2,FALSE)))</f>
        <v/>
      </c>
      <c r="O47" s="362" t="str">
        <f>IF(OR(D47="",H47=""),"",(INDEX('G-6 Hedgerow Data'!$E$3:$I$15,MATCH(D47,'G-6 Hedgerow Data'!$B$3:$B$15,0),MATCH(H47,'G-6 Hedgerow Data'!$E$2:$I$2,0))))</f>
        <v/>
      </c>
      <c r="P47" s="159"/>
      <c r="Q47" s="159"/>
      <c r="R47" s="370" t="str">
        <f t="shared" si="1"/>
        <v/>
      </c>
      <c r="S47" s="383" t="str">
        <f t="shared" si="2"/>
        <v/>
      </c>
      <c r="T47" s="384" t="str">
        <f t="shared" si="0"/>
        <v/>
      </c>
      <c r="U47" s="398" t="str">
        <f>IF(D47="","",VLOOKUP(D47,'G-6 Hedgerow Data'!$B$3:$AG$15,31,FALSE))</f>
        <v/>
      </c>
      <c r="V47" s="382" t="str">
        <f t="shared" si="3"/>
        <v/>
      </c>
      <c r="W47" s="382" t="str">
        <f t="shared" si="4"/>
        <v/>
      </c>
      <c r="X47" s="386" t="str">
        <f>IF(F47="","",VLOOKUP(U47,'G-3 Multipliers'!$P$3:$Q$6,2,FALSE))</f>
        <v/>
      </c>
      <c r="Y47" s="390" t="str">
        <f t="shared" si="5"/>
        <v/>
      </c>
      <c r="Z47" s="390" t="str">
        <f t="shared" si="6"/>
        <v/>
      </c>
      <c r="AA47" s="117"/>
      <c r="AB47" s="118"/>
      <c r="AC47" s="120"/>
      <c r="AD47" s="120"/>
      <c r="AH47" s="30" t="str">
        <f>IFERROR(INDEX('G-6 Hedgerow Data'!$BJ$3:$BJ$15,MATCH(D47,'G-6 Hedgerow Data'!$B$3:$B$15,0)),"")</f>
        <v/>
      </c>
    </row>
    <row r="48" spans="2:34" ht="15">
      <c r="B48" s="110">
        <v>37</v>
      </c>
      <c r="C48" s="216"/>
      <c r="D48" s="63"/>
      <c r="E48" s="165"/>
      <c r="F48" s="362" t="str">
        <f>IF(D48="","",VLOOKUP(D48,'G-6 Hedgerow Data'!$B$2:$AG$15,2,FALSE))</f>
        <v/>
      </c>
      <c r="G48" s="386" t="str">
        <f>IF(D48="","",VLOOKUP(D48,'G-6 Hedgerow Data'!$B$2:$AG$15,3,FALSE))</f>
        <v/>
      </c>
      <c r="H48" s="55"/>
      <c r="I48" s="363" t="str">
        <f>IFERROR(IF(AND(F48="V.Low",OR(H48="Good",H48="Moderate")),"Error ▲",VLOOKUP(H48,'G-1 All Habitats'!$Z$2:$AA$9,2,FALSE)),"")</f>
        <v/>
      </c>
      <c r="J48" s="115"/>
      <c r="K48" s="382" t="str">
        <f>IF(J48="","",IF(VLOOKUP(J48,'G-3 Multipliers'!$L$3:$N$6,2,FALSE)=0,"Spatial Data Missing",VLOOKUP(J48,'G-3 Multipliers'!$L$3:$N$6,2,FALSE)))</f>
        <v/>
      </c>
      <c r="L48" s="386" t="str">
        <f>IF(J48="","",IF(VLOOKUP(J48,'G-3 Multipliers'!$L$3:$N$6,3,FALSE)=0,"Spatial Data Missing",VLOOKUP(J48,'G-3 Multipliers'!$L$3:$N$6,3,FALSE)))</f>
        <v/>
      </c>
      <c r="M48" s="160"/>
      <c r="N48" s="363" t="str">
        <f>IF(M48="","",IF(VLOOKUP(M48,'G-3 Multipliers'!$S$3:$T$10,2,FALSE)=0,"Spatial Data Missing ⚠",VLOOKUP(M48,'G-3 Multipliers'!$S$3:$T$10,2,FALSE)))</f>
        <v/>
      </c>
      <c r="O48" s="362" t="str">
        <f>IF(OR(D48="",H48=""),"",(INDEX('G-6 Hedgerow Data'!$E$3:$I$15,MATCH(D48,'G-6 Hedgerow Data'!$B$3:$B$15,0),MATCH(H48,'G-6 Hedgerow Data'!$E$2:$I$2,0))))</f>
        <v/>
      </c>
      <c r="P48" s="159"/>
      <c r="Q48" s="159"/>
      <c r="R48" s="370" t="str">
        <f t="shared" si="1"/>
        <v/>
      </c>
      <c r="S48" s="383" t="str">
        <f t="shared" si="2"/>
        <v/>
      </c>
      <c r="T48" s="384" t="str">
        <f t="shared" si="0"/>
        <v/>
      </c>
      <c r="U48" s="398" t="str">
        <f>IF(D48="","",VLOOKUP(D48,'G-6 Hedgerow Data'!$B$3:$AG$15,31,FALSE))</f>
        <v/>
      </c>
      <c r="V48" s="382" t="str">
        <f t="shared" si="3"/>
        <v/>
      </c>
      <c r="W48" s="382" t="str">
        <f t="shared" si="4"/>
        <v/>
      </c>
      <c r="X48" s="386" t="str">
        <f>IF(F48="","",VLOOKUP(U48,'G-3 Multipliers'!$P$3:$Q$6,2,FALSE))</f>
        <v/>
      </c>
      <c r="Y48" s="390" t="str">
        <f t="shared" si="5"/>
        <v/>
      </c>
      <c r="Z48" s="390" t="str">
        <f t="shared" si="6"/>
        <v/>
      </c>
      <c r="AA48" s="117"/>
      <c r="AB48" s="118"/>
      <c r="AC48" s="120"/>
      <c r="AD48" s="120"/>
      <c r="AH48" s="30" t="str">
        <f>IFERROR(INDEX('G-6 Hedgerow Data'!$BJ$3:$BJ$15,MATCH(D48,'G-6 Hedgerow Data'!$B$3:$B$15,0)),"")</f>
        <v/>
      </c>
    </row>
    <row r="49" spans="2:34" ht="15">
      <c r="B49" s="110">
        <v>38</v>
      </c>
      <c r="C49" s="216"/>
      <c r="D49" s="63"/>
      <c r="E49" s="165"/>
      <c r="F49" s="362" t="str">
        <f>IF(D49="","",VLOOKUP(D49,'G-6 Hedgerow Data'!$B$2:$AG$15,2,FALSE))</f>
        <v/>
      </c>
      <c r="G49" s="386" t="str">
        <f>IF(D49="","",VLOOKUP(D49,'G-6 Hedgerow Data'!$B$2:$AG$15,3,FALSE))</f>
        <v/>
      </c>
      <c r="H49" s="55"/>
      <c r="I49" s="363" t="str">
        <f>IFERROR(IF(AND(F49="V.Low",OR(H49="Good",H49="Moderate")),"Error ▲",VLOOKUP(H49,'G-1 All Habitats'!$Z$2:$AA$9,2,FALSE)),"")</f>
        <v/>
      </c>
      <c r="J49" s="115"/>
      <c r="K49" s="382" t="str">
        <f>IF(J49="","",IF(VLOOKUP(J49,'G-3 Multipliers'!$L$3:$N$6,2,FALSE)=0,"Spatial Data Missing",VLOOKUP(J49,'G-3 Multipliers'!$L$3:$N$6,2,FALSE)))</f>
        <v/>
      </c>
      <c r="L49" s="386" t="str">
        <f>IF(J49="","",IF(VLOOKUP(J49,'G-3 Multipliers'!$L$3:$N$6,3,FALSE)=0,"Spatial Data Missing",VLOOKUP(J49,'G-3 Multipliers'!$L$3:$N$6,3,FALSE)))</f>
        <v/>
      </c>
      <c r="M49" s="160"/>
      <c r="N49" s="363" t="str">
        <f>IF(M49="","",IF(VLOOKUP(M49,'G-3 Multipliers'!$S$3:$T$10,2,FALSE)=0,"Spatial Data Missing ⚠",VLOOKUP(M49,'G-3 Multipliers'!$S$3:$T$10,2,FALSE)))</f>
        <v/>
      </c>
      <c r="O49" s="362" t="str">
        <f>IF(OR(D49="",H49=""),"",(INDEX('G-6 Hedgerow Data'!$E$3:$I$15,MATCH(D49,'G-6 Hedgerow Data'!$B$3:$B$15,0),MATCH(H49,'G-6 Hedgerow Data'!$E$2:$I$2,0))))</f>
        <v/>
      </c>
      <c r="P49" s="159"/>
      <c r="Q49" s="159"/>
      <c r="R49" s="370" t="str">
        <f t="shared" si="1"/>
        <v/>
      </c>
      <c r="S49" s="383" t="str">
        <f t="shared" si="2"/>
        <v/>
      </c>
      <c r="T49" s="384" t="str">
        <f t="shared" si="0"/>
        <v/>
      </c>
      <c r="U49" s="398" t="str">
        <f>IF(D49="","",VLOOKUP(D49,'G-6 Hedgerow Data'!$B$3:$AG$15,31,FALSE))</f>
        <v/>
      </c>
      <c r="V49" s="382" t="str">
        <f t="shared" si="3"/>
        <v/>
      </c>
      <c r="W49" s="382" t="str">
        <f t="shared" si="4"/>
        <v/>
      </c>
      <c r="X49" s="386" t="str">
        <f>IF(F49="","",VLOOKUP(U49,'G-3 Multipliers'!$P$3:$Q$6,2,FALSE))</f>
        <v/>
      </c>
      <c r="Y49" s="390" t="str">
        <f t="shared" si="5"/>
        <v/>
      </c>
      <c r="Z49" s="390" t="str">
        <f t="shared" si="6"/>
        <v/>
      </c>
      <c r="AA49" s="117"/>
      <c r="AB49" s="118"/>
      <c r="AC49" s="120"/>
      <c r="AD49" s="120"/>
      <c r="AH49" s="30" t="str">
        <f>IFERROR(INDEX('G-6 Hedgerow Data'!$BJ$3:$BJ$15,MATCH(D49,'G-6 Hedgerow Data'!$B$3:$B$15,0)),"")</f>
        <v/>
      </c>
    </row>
    <row r="50" spans="2:34" ht="15">
      <c r="B50" s="110">
        <v>39</v>
      </c>
      <c r="C50" s="216"/>
      <c r="D50" s="63"/>
      <c r="E50" s="165"/>
      <c r="F50" s="362" t="str">
        <f>IF(D50="","",VLOOKUP(D50,'G-6 Hedgerow Data'!$B$2:$AG$15,2,FALSE))</f>
        <v/>
      </c>
      <c r="G50" s="386" t="str">
        <f>IF(D50="","",VLOOKUP(D50,'G-6 Hedgerow Data'!$B$2:$AG$15,3,FALSE))</f>
        <v/>
      </c>
      <c r="H50" s="55"/>
      <c r="I50" s="363" t="str">
        <f>IFERROR(IF(AND(F50="V.Low",OR(H50="Good",H50="Moderate")),"Error ▲",VLOOKUP(H50,'G-1 All Habitats'!$Z$2:$AA$9,2,FALSE)),"")</f>
        <v/>
      </c>
      <c r="J50" s="115"/>
      <c r="K50" s="382" t="str">
        <f>IF(J50="","",IF(VLOOKUP(J50,'G-3 Multipliers'!$L$3:$N$6,2,FALSE)=0,"Spatial Data Missing",VLOOKUP(J50,'G-3 Multipliers'!$L$3:$N$6,2,FALSE)))</f>
        <v/>
      </c>
      <c r="L50" s="386" t="str">
        <f>IF(J50="","",IF(VLOOKUP(J50,'G-3 Multipliers'!$L$3:$N$6,3,FALSE)=0,"Spatial Data Missing",VLOOKUP(J50,'G-3 Multipliers'!$L$3:$N$6,3,FALSE)))</f>
        <v/>
      </c>
      <c r="M50" s="160"/>
      <c r="N50" s="363" t="str">
        <f>IF(M50="","",IF(VLOOKUP(M50,'G-3 Multipliers'!$S$3:$T$10,2,FALSE)=0,"Spatial Data Missing ⚠",VLOOKUP(M50,'G-3 Multipliers'!$S$3:$T$10,2,FALSE)))</f>
        <v/>
      </c>
      <c r="O50" s="362" t="str">
        <f>IF(OR(D50="",H50=""),"",(INDEX('G-6 Hedgerow Data'!$E$3:$I$15,MATCH(D50,'G-6 Hedgerow Data'!$B$3:$B$15,0),MATCH(H50,'G-6 Hedgerow Data'!$E$2:$I$2,0))))</f>
        <v/>
      </c>
      <c r="P50" s="159"/>
      <c r="Q50" s="159"/>
      <c r="R50" s="370" t="str">
        <f t="shared" si="1"/>
        <v/>
      </c>
      <c r="S50" s="383" t="str">
        <f t="shared" si="2"/>
        <v/>
      </c>
      <c r="T50" s="384" t="str">
        <f t="shared" si="0"/>
        <v/>
      </c>
      <c r="U50" s="398" t="str">
        <f>IF(D50="","",VLOOKUP(D50,'G-6 Hedgerow Data'!$B$3:$AG$15,31,FALSE))</f>
        <v/>
      </c>
      <c r="V50" s="382" t="str">
        <f t="shared" si="3"/>
        <v/>
      </c>
      <c r="W50" s="382" t="str">
        <f t="shared" si="4"/>
        <v/>
      </c>
      <c r="X50" s="386" t="str">
        <f>IF(F50="","",VLOOKUP(U50,'G-3 Multipliers'!$P$3:$Q$6,2,FALSE))</f>
        <v/>
      </c>
      <c r="Y50" s="390" t="str">
        <f t="shared" si="5"/>
        <v/>
      </c>
      <c r="Z50" s="390" t="str">
        <f t="shared" si="6"/>
        <v/>
      </c>
      <c r="AA50" s="117"/>
      <c r="AB50" s="118"/>
      <c r="AC50" s="120"/>
      <c r="AD50" s="120"/>
      <c r="AH50" s="30" t="str">
        <f>IFERROR(INDEX('G-6 Hedgerow Data'!$BJ$3:$BJ$15,MATCH(D50,'G-6 Hedgerow Data'!$B$3:$B$15,0)),"")</f>
        <v/>
      </c>
    </row>
    <row r="51" spans="2:34" ht="15">
      <c r="B51" s="110">
        <v>40</v>
      </c>
      <c r="C51" s="216"/>
      <c r="D51" s="63"/>
      <c r="E51" s="165"/>
      <c r="F51" s="362" t="str">
        <f>IF(D51="","",VLOOKUP(D51,'G-6 Hedgerow Data'!$B$2:$AG$15,2,FALSE))</f>
        <v/>
      </c>
      <c r="G51" s="386" t="str">
        <f>IF(D51="","",VLOOKUP(D51,'G-6 Hedgerow Data'!$B$2:$AG$15,3,FALSE))</f>
        <v/>
      </c>
      <c r="H51" s="55"/>
      <c r="I51" s="363" t="str">
        <f>IFERROR(IF(AND(F51="V.Low",OR(H51="Good",H51="Moderate")),"Error ▲",VLOOKUP(H51,'G-1 All Habitats'!$Z$2:$AA$9,2,FALSE)),"")</f>
        <v/>
      </c>
      <c r="J51" s="115"/>
      <c r="K51" s="382" t="str">
        <f>IF(J51="","",IF(VLOOKUP(J51,'G-3 Multipliers'!$L$3:$N$6,2,FALSE)=0,"Spatial Data Missing",VLOOKUP(J51,'G-3 Multipliers'!$L$3:$N$6,2,FALSE)))</f>
        <v/>
      </c>
      <c r="L51" s="386" t="str">
        <f>IF(J51="","",IF(VLOOKUP(J51,'G-3 Multipliers'!$L$3:$N$6,3,FALSE)=0,"Spatial Data Missing",VLOOKUP(J51,'G-3 Multipliers'!$L$3:$N$6,3,FALSE)))</f>
        <v/>
      </c>
      <c r="M51" s="160"/>
      <c r="N51" s="363" t="str">
        <f>IF(M51="","",IF(VLOOKUP(M51,'G-3 Multipliers'!$S$3:$T$10,2,FALSE)=0,"Spatial Data Missing ⚠",VLOOKUP(M51,'G-3 Multipliers'!$S$3:$T$10,2,FALSE)))</f>
        <v/>
      </c>
      <c r="O51" s="362" t="str">
        <f>IF(OR(D51="",H51=""),"",(INDEX('G-6 Hedgerow Data'!$E$3:$I$15,MATCH(D51,'G-6 Hedgerow Data'!$B$3:$B$15,0),MATCH(H51,'G-6 Hedgerow Data'!$E$2:$I$2,0))))</f>
        <v/>
      </c>
      <c r="P51" s="159"/>
      <c r="Q51" s="159"/>
      <c r="R51" s="370" t="str">
        <f t="shared" si="1"/>
        <v/>
      </c>
      <c r="S51" s="383" t="str">
        <f t="shared" si="2"/>
        <v/>
      </c>
      <c r="T51" s="384" t="str">
        <f t="shared" si="0"/>
        <v/>
      </c>
      <c r="U51" s="398" t="str">
        <f>IF(D51="","",VLOOKUP(D51,'G-6 Hedgerow Data'!$B$3:$AG$15,31,FALSE))</f>
        <v/>
      </c>
      <c r="V51" s="382" t="str">
        <f t="shared" si="3"/>
        <v/>
      </c>
      <c r="W51" s="382" t="str">
        <f t="shared" si="4"/>
        <v/>
      </c>
      <c r="X51" s="386" t="str">
        <f>IF(F51="","",VLOOKUP(U51,'G-3 Multipliers'!$P$3:$Q$6,2,FALSE))</f>
        <v/>
      </c>
      <c r="Y51" s="390" t="str">
        <f t="shared" si="5"/>
        <v/>
      </c>
      <c r="Z51" s="390" t="str">
        <f t="shared" si="6"/>
        <v/>
      </c>
      <c r="AA51" s="117"/>
      <c r="AB51" s="118"/>
      <c r="AC51" s="120"/>
      <c r="AD51" s="120"/>
      <c r="AH51" s="30" t="str">
        <f>IFERROR(INDEX('G-6 Hedgerow Data'!$BJ$3:$BJ$15,MATCH(D51,'G-6 Hedgerow Data'!$B$3:$B$15,0)),"")</f>
        <v/>
      </c>
    </row>
    <row r="52" spans="2:34" ht="15">
      <c r="B52" s="110">
        <v>41</v>
      </c>
      <c r="C52" s="216"/>
      <c r="D52" s="63"/>
      <c r="E52" s="165"/>
      <c r="F52" s="362" t="str">
        <f>IF(D52="","",VLOOKUP(D52,'G-6 Hedgerow Data'!$B$2:$AG$15,2,FALSE))</f>
        <v/>
      </c>
      <c r="G52" s="386" t="str">
        <f>IF(D52="","",VLOOKUP(D52,'G-6 Hedgerow Data'!$B$2:$AG$15,3,FALSE))</f>
        <v/>
      </c>
      <c r="H52" s="55"/>
      <c r="I52" s="363" t="str">
        <f>IFERROR(IF(AND(F52="V.Low",OR(H52="Good",H52="Moderate")),"Error ▲",VLOOKUP(H52,'G-1 All Habitats'!$Z$2:$AA$9,2,FALSE)),"")</f>
        <v/>
      </c>
      <c r="J52" s="115"/>
      <c r="K52" s="382" t="str">
        <f>IF(J52="","",IF(VLOOKUP(J52,'G-3 Multipliers'!$L$3:$N$6,2,FALSE)=0,"Spatial Data Missing",VLOOKUP(J52,'G-3 Multipliers'!$L$3:$N$6,2,FALSE)))</f>
        <v/>
      </c>
      <c r="L52" s="386" t="str">
        <f>IF(J52="","",IF(VLOOKUP(J52,'G-3 Multipliers'!$L$3:$N$6,3,FALSE)=0,"Spatial Data Missing",VLOOKUP(J52,'G-3 Multipliers'!$L$3:$N$6,3,FALSE)))</f>
        <v/>
      </c>
      <c r="M52" s="160"/>
      <c r="N52" s="363" t="str">
        <f>IF(M52="","",IF(VLOOKUP(M52,'G-3 Multipliers'!$S$3:$T$10,2,FALSE)=0,"Spatial Data Missing ⚠",VLOOKUP(M52,'G-3 Multipliers'!$S$3:$T$10,2,FALSE)))</f>
        <v/>
      </c>
      <c r="O52" s="362" t="str">
        <f>IF(OR(D52="",H52=""),"",(INDEX('G-6 Hedgerow Data'!$E$3:$I$15,MATCH(D52,'G-6 Hedgerow Data'!$B$3:$B$15,0),MATCH(H52,'G-6 Hedgerow Data'!$E$2:$I$2,0))))</f>
        <v/>
      </c>
      <c r="P52" s="159"/>
      <c r="Q52" s="159"/>
      <c r="R52" s="370" t="str">
        <f t="shared" si="1"/>
        <v/>
      </c>
      <c r="S52" s="383" t="str">
        <f t="shared" si="2"/>
        <v/>
      </c>
      <c r="T52" s="384" t="str">
        <f t="shared" si="0"/>
        <v/>
      </c>
      <c r="U52" s="398" t="str">
        <f>IF(D52="","",VLOOKUP(D52,'G-6 Hedgerow Data'!$B$3:$AG$15,31,FALSE))</f>
        <v/>
      </c>
      <c r="V52" s="382" t="str">
        <f t="shared" si="3"/>
        <v/>
      </c>
      <c r="W52" s="382" t="str">
        <f t="shared" si="4"/>
        <v/>
      </c>
      <c r="X52" s="386" t="str">
        <f>IF(F52="","",VLOOKUP(U52,'G-3 Multipliers'!$P$3:$Q$6,2,FALSE))</f>
        <v/>
      </c>
      <c r="Y52" s="390" t="str">
        <f t="shared" si="5"/>
        <v/>
      </c>
      <c r="Z52" s="390" t="str">
        <f t="shared" si="6"/>
        <v/>
      </c>
      <c r="AA52" s="117"/>
      <c r="AB52" s="118"/>
      <c r="AC52" s="120"/>
      <c r="AD52" s="120"/>
      <c r="AH52" s="30" t="str">
        <f>IFERROR(INDEX('G-6 Hedgerow Data'!$BJ$3:$BJ$15,MATCH(D52,'G-6 Hedgerow Data'!$B$3:$B$15,0)),"")</f>
        <v/>
      </c>
    </row>
    <row r="53" spans="2:34" ht="15">
      <c r="B53" s="110">
        <v>42</v>
      </c>
      <c r="C53" s="216"/>
      <c r="D53" s="63"/>
      <c r="E53" s="165"/>
      <c r="F53" s="362" t="str">
        <f>IF(D53="","",VLOOKUP(D53,'G-6 Hedgerow Data'!$B$2:$AG$15,2,FALSE))</f>
        <v/>
      </c>
      <c r="G53" s="386" t="str">
        <f>IF(D53="","",VLOOKUP(D53,'G-6 Hedgerow Data'!$B$2:$AG$15,3,FALSE))</f>
        <v/>
      </c>
      <c r="H53" s="55"/>
      <c r="I53" s="363" t="str">
        <f>IFERROR(IF(AND(F53="V.Low",OR(H53="Good",H53="Moderate")),"Error ▲",VLOOKUP(H53,'G-1 All Habitats'!$Z$2:$AA$9,2,FALSE)),"")</f>
        <v/>
      </c>
      <c r="J53" s="115"/>
      <c r="K53" s="382" t="str">
        <f>IF(J53="","",IF(VLOOKUP(J53,'G-3 Multipliers'!$L$3:$N$6,2,FALSE)=0,"Spatial Data Missing",VLOOKUP(J53,'G-3 Multipliers'!$L$3:$N$6,2,FALSE)))</f>
        <v/>
      </c>
      <c r="L53" s="386" t="str">
        <f>IF(J53="","",IF(VLOOKUP(J53,'G-3 Multipliers'!$L$3:$N$6,3,FALSE)=0,"Spatial Data Missing",VLOOKUP(J53,'G-3 Multipliers'!$L$3:$N$6,3,FALSE)))</f>
        <v/>
      </c>
      <c r="M53" s="160"/>
      <c r="N53" s="363" t="str">
        <f>IF(M53="","",IF(VLOOKUP(M53,'G-3 Multipliers'!$S$3:$T$10,2,FALSE)=0,"Spatial Data Missing ⚠",VLOOKUP(M53,'G-3 Multipliers'!$S$3:$T$10,2,FALSE)))</f>
        <v/>
      </c>
      <c r="O53" s="362" t="str">
        <f>IF(OR(D53="",H53=""),"",(INDEX('G-6 Hedgerow Data'!$E$3:$I$15,MATCH(D53,'G-6 Hedgerow Data'!$B$3:$B$15,0),MATCH(H53,'G-6 Hedgerow Data'!$E$2:$I$2,0))))</f>
        <v/>
      </c>
      <c r="P53" s="159"/>
      <c r="Q53" s="159"/>
      <c r="R53" s="370" t="str">
        <f t="shared" si="1"/>
        <v/>
      </c>
      <c r="S53" s="383" t="str">
        <f t="shared" si="2"/>
        <v/>
      </c>
      <c r="T53" s="384" t="str">
        <f t="shared" si="0"/>
        <v/>
      </c>
      <c r="U53" s="398" t="str">
        <f>IF(D53="","",VLOOKUP(D53,'G-6 Hedgerow Data'!$B$3:$AG$15,31,FALSE))</f>
        <v/>
      </c>
      <c r="V53" s="382" t="str">
        <f t="shared" si="3"/>
        <v/>
      </c>
      <c r="W53" s="382" t="str">
        <f t="shared" si="4"/>
        <v/>
      </c>
      <c r="X53" s="386" t="str">
        <f>IF(F53="","",VLOOKUP(U53,'G-3 Multipliers'!$P$3:$Q$6,2,FALSE))</f>
        <v/>
      </c>
      <c r="Y53" s="390" t="str">
        <f t="shared" si="5"/>
        <v/>
      </c>
      <c r="Z53" s="390" t="str">
        <f t="shared" si="6"/>
        <v/>
      </c>
      <c r="AA53" s="117"/>
      <c r="AB53" s="118"/>
      <c r="AC53" s="120"/>
      <c r="AD53" s="120"/>
      <c r="AH53" s="30" t="str">
        <f>IFERROR(INDEX('G-6 Hedgerow Data'!$BJ$3:$BJ$15,MATCH(D53,'G-6 Hedgerow Data'!$B$3:$B$15,0)),"")</f>
        <v/>
      </c>
    </row>
    <row r="54" spans="2:34" ht="15">
      <c r="B54" s="110">
        <v>43</v>
      </c>
      <c r="C54" s="216"/>
      <c r="D54" s="63"/>
      <c r="E54" s="165"/>
      <c r="F54" s="362" t="str">
        <f>IF(D54="","",VLOOKUP(D54,'G-6 Hedgerow Data'!$B$2:$AG$15,2,FALSE))</f>
        <v/>
      </c>
      <c r="G54" s="386" t="str">
        <f>IF(D54="","",VLOOKUP(D54,'G-6 Hedgerow Data'!$B$2:$AG$15,3,FALSE))</f>
        <v/>
      </c>
      <c r="H54" s="55"/>
      <c r="I54" s="363" t="str">
        <f>IFERROR(IF(AND(F54="V.Low",OR(H54="Good",H54="Moderate")),"Error ▲",VLOOKUP(H54,'G-1 All Habitats'!$Z$2:$AA$9,2,FALSE)),"")</f>
        <v/>
      </c>
      <c r="J54" s="115"/>
      <c r="K54" s="382" t="str">
        <f>IF(J54="","",IF(VLOOKUP(J54,'G-3 Multipliers'!$L$3:$N$6,2,FALSE)=0,"Spatial Data Missing",VLOOKUP(J54,'G-3 Multipliers'!$L$3:$N$6,2,FALSE)))</f>
        <v/>
      </c>
      <c r="L54" s="386" t="str">
        <f>IF(J54="","",IF(VLOOKUP(J54,'G-3 Multipliers'!$L$3:$N$6,3,FALSE)=0,"Spatial Data Missing",VLOOKUP(J54,'G-3 Multipliers'!$L$3:$N$6,3,FALSE)))</f>
        <v/>
      </c>
      <c r="M54" s="160"/>
      <c r="N54" s="363" t="str">
        <f>IF(M54="","",IF(VLOOKUP(M54,'G-3 Multipliers'!$S$3:$T$10,2,FALSE)=0,"Spatial Data Missing ⚠",VLOOKUP(M54,'G-3 Multipliers'!$S$3:$T$10,2,FALSE)))</f>
        <v/>
      </c>
      <c r="O54" s="362" t="str">
        <f>IF(OR(D54="",H54=""),"",(INDEX('G-6 Hedgerow Data'!$E$3:$I$15,MATCH(D54,'G-6 Hedgerow Data'!$B$3:$B$15,0),MATCH(H54,'G-6 Hedgerow Data'!$E$2:$I$2,0))))</f>
        <v/>
      </c>
      <c r="P54" s="159"/>
      <c r="Q54" s="159"/>
      <c r="R54" s="370" t="str">
        <f t="shared" si="1"/>
        <v/>
      </c>
      <c r="S54" s="383" t="str">
        <f t="shared" si="2"/>
        <v/>
      </c>
      <c r="T54" s="384" t="str">
        <f t="shared" si="0"/>
        <v/>
      </c>
      <c r="U54" s="398" t="str">
        <f>IF(D54="","",VLOOKUP(D54,'G-6 Hedgerow Data'!$B$3:$AG$15,31,FALSE))</f>
        <v/>
      </c>
      <c r="V54" s="382" t="str">
        <f t="shared" si="3"/>
        <v/>
      </c>
      <c r="W54" s="382" t="str">
        <f t="shared" si="4"/>
        <v/>
      </c>
      <c r="X54" s="386" t="str">
        <f>IF(F54="","",VLOOKUP(U54,'G-3 Multipliers'!$P$3:$Q$6,2,FALSE))</f>
        <v/>
      </c>
      <c r="Y54" s="390" t="str">
        <f t="shared" si="5"/>
        <v/>
      </c>
      <c r="Z54" s="390" t="str">
        <f t="shared" si="6"/>
        <v/>
      </c>
      <c r="AA54" s="117"/>
      <c r="AB54" s="118"/>
      <c r="AC54" s="120"/>
      <c r="AD54" s="120"/>
      <c r="AH54" s="30" t="str">
        <f>IFERROR(INDEX('G-6 Hedgerow Data'!$BJ$3:$BJ$15,MATCH(D54,'G-6 Hedgerow Data'!$B$3:$B$15,0)),"")</f>
        <v/>
      </c>
    </row>
    <row r="55" spans="2:34" ht="15">
      <c r="B55" s="110">
        <v>44</v>
      </c>
      <c r="C55" s="216"/>
      <c r="D55" s="63"/>
      <c r="E55" s="165"/>
      <c r="F55" s="362" t="str">
        <f>IF(D55="","",VLOOKUP(D55,'G-6 Hedgerow Data'!$B$2:$AG$15,2,FALSE))</f>
        <v/>
      </c>
      <c r="G55" s="386" t="str">
        <f>IF(D55="","",VLOOKUP(D55,'G-6 Hedgerow Data'!$B$2:$AG$15,3,FALSE))</f>
        <v/>
      </c>
      <c r="H55" s="55"/>
      <c r="I55" s="363" t="str">
        <f>IFERROR(IF(AND(F55="V.Low",OR(H55="Good",H55="Moderate")),"Error ▲",VLOOKUP(H55,'G-1 All Habitats'!$Z$2:$AA$9,2,FALSE)),"")</f>
        <v/>
      </c>
      <c r="J55" s="115"/>
      <c r="K55" s="382" t="str">
        <f>IF(J55="","",IF(VLOOKUP(J55,'G-3 Multipliers'!$L$3:$N$6,2,FALSE)=0,"Spatial Data Missing",VLOOKUP(J55,'G-3 Multipliers'!$L$3:$N$6,2,FALSE)))</f>
        <v/>
      </c>
      <c r="L55" s="386" t="str">
        <f>IF(J55="","",IF(VLOOKUP(J55,'G-3 Multipliers'!$L$3:$N$6,3,FALSE)=0,"Spatial Data Missing",VLOOKUP(J55,'G-3 Multipliers'!$L$3:$N$6,3,FALSE)))</f>
        <v/>
      </c>
      <c r="M55" s="160"/>
      <c r="N55" s="363" t="str">
        <f>IF(M55="","",IF(VLOOKUP(M55,'G-3 Multipliers'!$S$3:$T$10,2,FALSE)=0,"Spatial Data Missing ⚠",VLOOKUP(M55,'G-3 Multipliers'!$S$3:$T$10,2,FALSE)))</f>
        <v/>
      </c>
      <c r="O55" s="362" t="str">
        <f>IF(OR(D55="",H55=""),"",(INDEX('G-6 Hedgerow Data'!$E$3:$I$15,MATCH(D55,'G-6 Hedgerow Data'!$B$3:$B$15,0),MATCH(H55,'G-6 Hedgerow Data'!$E$2:$I$2,0))))</f>
        <v/>
      </c>
      <c r="P55" s="159"/>
      <c r="Q55" s="159"/>
      <c r="R55" s="370" t="str">
        <f t="shared" si="1"/>
        <v/>
      </c>
      <c r="S55" s="383" t="str">
        <f t="shared" si="2"/>
        <v/>
      </c>
      <c r="T55" s="384" t="str">
        <f t="shared" si="0"/>
        <v/>
      </c>
      <c r="U55" s="398" t="str">
        <f>IF(D55="","",VLOOKUP(D55,'G-6 Hedgerow Data'!$B$3:$AG$15,31,FALSE))</f>
        <v/>
      </c>
      <c r="V55" s="382" t="str">
        <f t="shared" si="3"/>
        <v/>
      </c>
      <c r="W55" s="382" t="str">
        <f t="shared" si="4"/>
        <v/>
      </c>
      <c r="X55" s="386" t="str">
        <f>IF(F55="","",VLOOKUP(U55,'G-3 Multipliers'!$P$3:$Q$6,2,FALSE))</f>
        <v/>
      </c>
      <c r="Y55" s="390" t="str">
        <f t="shared" si="5"/>
        <v/>
      </c>
      <c r="Z55" s="390" t="str">
        <f t="shared" si="6"/>
        <v/>
      </c>
      <c r="AA55" s="117"/>
      <c r="AB55" s="118"/>
      <c r="AC55" s="120"/>
      <c r="AD55" s="120"/>
      <c r="AH55" s="30" t="str">
        <f>IFERROR(INDEX('G-6 Hedgerow Data'!$BJ$3:$BJ$15,MATCH(D55,'G-6 Hedgerow Data'!$B$3:$B$15,0)),"")</f>
        <v/>
      </c>
    </row>
    <row r="56" spans="2:34" ht="15">
      <c r="B56" s="110">
        <v>45</v>
      </c>
      <c r="C56" s="216"/>
      <c r="D56" s="63"/>
      <c r="E56" s="165"/>
      <c r="F56" s="362" t="str">
        <f>IF(D56="","",VLOOKUP(D56,'G-6 Hedgerow Data'!$B$2:$AG$15,2,FALSE))</f>
        <v/>
      </c>
      <c r="G56" s="386" t="str">
        <f>IF(D56="","",VLOOKUP(D56,'G-6 Hedgerow Data'!$B$2:$AG$15,3,FALSE))</f>
        <v/>
      </c>
      <c r="H56" s="55"/>
      <c r="I56" s="363" t="str">
        <f>IFERROR(IF(AND(F56="V.Low",OR(H56="Good",H56="Moderate")),"Error ▲",VLOOKUP(H56,'G-1 All Habitats'!$Z$2:$AA$9,2,FALSE)),"")</f>
        <v/>
      </c>
      <c r="J56" s="115"/>
      <c r="K56" s="382" t="str">
        <f>IF(J56="","",IF(VLOOKUP(J56,'G-3 Multipliers'!$L$3:$N$6,2,FALSE)=0,"Spatial Data Missing",VLOOKUP(J56,'G-3 Multipliers'!$L$3:$N$6,2,FALSE)))</f>
        <v/>
      </c>
      <c r="L56" s="386" t="str">
        <f>IF(J56="","",IF(VLOOKUP(J56,'G-3 Multipliers'!$L$3:$N$6,3,FALSE)=0,"Spatial Data Missing",VLOOKUP(J56,'G-3 Multipliers'!$L$3:$N$6,3,FALSE)))</f>
        <v/>
      </c>
      <c r="M56" s="160"/>
      <c r="N56" s="363" t="str">
        <f>IF(M56="","",IF(VLOOKUP(M56,'G-3 Multipliers'!$S$3:$T$10,2,FALSE)=0,"Spatial Data Missing ⚠",VLOOKUP(M56,'G-3 Multipliers'!$S$3:$T$10,2,FALSE)))</f>
        <v/>
      </c>
      <c r="O56" s="362" t="str">
        <f>IF(OR(D56="",H56=""),"",(INDEX('G-6 Hedgerow Data'!$E$3:$I$15,MATCH(D56,'G-6 Hedgerow Data'!$B$3:$B$15,0),MATCH(H56,'G-6 Hedgerow Data'!$E$2:$I$2,0))))</f>
        <v/>
      </c>
      <c r="P56" s="159"/>
      <c r="Q56" s="159"/>
      <c r="R56" s="370" t="str">
        <f t="shared" si="1"/>
        <v/>
      </c>
      <c r="S56" s="383" t="str">
        <f t="shared" si="2"/>
        <v/>
      </c>
      <c r="T56" s="384" t="str">
        <f t="shared" si="0"/>
        <v/>
      </c>
      <c r="U56" s="398" t="str">
        <f>IF(D56="","",VLOOKUP(D56,'G-6 Hedgerow Data'!$B$3:$AG$15,31,FALSE))</f>
        <v/>
      </c>
      <c r="V56" s="382" t="str">
        <f t="shared" si="3"/>
        <v/>
      </c>
      <c r="W56" s="382" t="str">
        <f t="shared" si="4"/>
        <v/>
      </c>
      <c r="X56" s="386" t="str">
        <f>IF(F56="","",VLOOKUP(U56,'G-3 Multipliers'!$P$3:$Q$6,2,FALSE))</f>
        <v/>
      </c>
      <c r="Y56" s="390" t="str">
        <f t="shared" si="5"/>
        <v/>
      </c>
      <c r="Z56" s="390" t="str">
        <f t="shared" si="6"/>
        <v/>
      </c>
      <c r="AA56" s="117"/>
      <c r="AB56" s="118"/>
      <c r="AC56" s="120"/>
      <c r="AD56" s="120"/>
      <c r="AH56" s="30" t="str">
        <f>IFERROR(INDEX('G-6 Hedgerow Data'!$BJ$3:$BJ$15,MATCH(D56,'G-6 Hedgerow Data'!$B$3:$B$15,0)),"")</f>
        <v/>
      </c>
    </row>
    <row r="57" spans="2:34" ht="15">
      <c r="B57" s="110">
        <v>46</v>
      </c>
      <c r="C57" s="216"/>
      <c r="D57" s="63"/>
      <c r="E57" s="165"/>
      <c r="F57" s="362" t="str">
        <f>IF(D57="","",VLOOKUP(D57,'G-6 Hedgerow Data'!$B$2:$AG$15,2,FALSE))</f>
        <v/>
      </c>
      <c r="G57" s="386" t="str">
        <f>IF(D57="","",VLOOKUP(D57,'G-6 Hedgerow Data'!$B$2:$AG$15,3,FALSE))</f>
        <v/>
      </c>
      <c r="H57" s="55"/>
      <c r="I57" s="363" t="str">
        <f>IFERROR(IF(AND(F57="V.Low",OR(H57="Good",H57="Moderate")),"Error ▲",VLOOKUP(H57,'G-1 All Habitats'!$Z$2:$AA$9,2,FALSE)),"")</f>
        <v/>
      </c>
      <c r="J57" s="115"/>
      <c r="K57" s="382" t="str">
        <f>IF(J57="","",IF(VLOOKUP(J57,'G-3 Multipliers'!$L$3:$N$6,2,FALSE)=0,"Spatial Data Missing",VLOOKUP(J57,'G-3 Multipliers'!$L$3:$N$6,2,FALSE)))</f>
        <v/>
      </c>
      <c r="L57" s="386" t="str">
        <f>IF(J57="","",IF(VLOOKUP(J57,'G-3 Multipliers'!$L$3:$N$6,3,FALSE)=0,"Spatial Data Missing",VLOOKUP(J57,'G-3 Multipliers'!$L$3:$N$6,3,FALSE)))</f>
        <v/>
      </c>
      <c r="M57" s="160"/>
      <c r="N57" s="363" t="str">
        <f>IF(M57="","",IF(VLOOKUP(M57,'G-3 Multipliers'!$S$3:$T$10,2,FALSE)=0,"Spatial Data Missing ⚠",VLOOKUP(M57,'G-3 Multipliers'!$S$3:$T$10,2,FALSE)))</f>
        <v/>
      </c>
      <c r="O57" s="362" t="str">
        <f>IF(OR(D57="",H57=""),"",(INDEX('G-6 Hedgerow Data'!$E$3:$I$15,MATCH(D57,'G-6 Hedgerow Data'!$B$3:$B$15,0),MATCH(H57,'G-6 Hedgerow Data'!$E$2:$I$2,0))))</f>
        <v/>
      </c>
      <c r="P57" s="159"/>
      <c r="Q57" s="159"/>
      <c r="R57" s="370" t="str">
        <f t="shared" si="1"/>
        <v/>
      </c>
      <c r="S57" s="383" t="str">
        <f t="shared" si="2"/>
        <v/>
      </c>
      <c r="T57" s="384" t="str">
        <f t="shared" si="0"/>
        <v/>
      </c>
      <c r="U57" s="398" t="str">
        <f>IF(D57="","",VLOOKUP(D57,'G-6 Hedgerow Data'!$B$3:$AG$15,31,FALSE))</f>
        <v/>
      </c>
      <c r="V57" s="382" t="str">
        <f t="shared" si="3"/>
        <v/>
      </c>
      <c r="W57" s="382" t="str">
        <f t="shared" si="4"/>
        <v/>
      </c>
      <c r="X57" s="386" t="str">
        <f>IF(F57="","",VLOOKUP(U57,'G-3 Multipliers'!$P$3:$Q$6,2,FALSE))</f>
        <v/>
      </c>
      <c r="Y57" s="390" t="str">
        <f t="shared" si="5"/>
        <v/>
      </c>
      <c r="Z57" s="390" t="str">
        <f t="shared" si="6"/>
        <v/>
      </c>
      <c r="AA57" s="117"/>
      <c r="AB57" s="118"/>
      <c r="AC57" s="120"/>
      <c r="AD57" s="120"/>
      <c r="AH57" s="30" t="str">
        <f>IFERROR(INDEX('G-6 Hedgerow Data'!$BJ$3:$BJ$15,MATCH(D57,'G-6 Hedgerow Data'!$B$3:$B$15,0)),"")</f>
        <v/>
      </c>
    </row>
    <row r="58" spans="2:34" ht="15">
      <c r="B58" s="110">
        <v>47</v>
      </c>
      <c r="C58" s="216"/>
      <c r="D58" s="63"/>
      <c r="E58" s="165"/>
      <c r="F58" s="362" t="str">
        <f>IF(D58="","",VLOOKUP(D58,'G-6 Hedgerow Data'!$B$2:$AG$15,2,FALSE))</f>
        <v/>
      </c>
      <c r="G58" s="386" t="str">
        <f>IF(D58="","",VLOOKUP(D58,'G-6 Hedgerow Data'!$B$2:$AG$15,3,FALSE))</f>
        <v/>
      </c>
      <c r="H58" s="55"/>
      <c r="I58" s="363" t="str">
        <f>IFERROR(IF(AND(F58="V.Low",OR(H58="Good",H58="Moderate")),"Error ▲",VLOOKUP(H58,'G-1 All Habitats'!$Z$2:$AA$9,2,FALSE)),"")</f>
        <v/>
      </c>
      <c r="J58" s="115"/>
      <c r="K58" s="382" t="str">
        <f>IF(J58="","",IF(VLOOKUP(J58,'G-3 Multipliers'!$L$3:$N$6,2,FALSE)=0,"Spatial Data Missing",VLOOKUP(J58,'G-3 Multipliers'!$L$3:$N$6,2,FALSE)))</f>
        <v/>
      </c>
      <c r="L58" s="386" t="str">
        <f>IF(J58="","",IF(VLOOKUP(J58,'G-3 Multipliers'!$L$3:$N$6,3,FALSE)=0,"Spatial Data Missing",VLOOKUP(J58,'G-3 Multipliers'!$L$3:$N$6,3,FALSE)))</f>
        <v/>
      </c>
      <c r="M58" s="160"/>
      <c r="N58" s="363" t="str">
        <f>IF(M58="","",IF(VLOOKUP(M58,'G-3 Multipliers'!$S$3:$T$10,2,FALSE)=0,"Spatial Data Missing ⚠",VLOOKUP(M58,'G-3 Multipliers'!$S$3:$T$10,2,FALSE)))</f>
        <v/>
      </c>
      <c r="O58" s="362" t="str">
        <f>IF(OR(D58="",H58=""),"",(INDEX('G-6 Hedgerow Data'!$E$3:$I$15,MATCH(D58,'G-6 Hedgerow Data'!$B$3:$B$15,0),MATCH(H58,'G-6 Hedgerow Data'!$E$2:$I$2,0))))</f>
        <v/>
      </c>
      <c r="P58" s="159"/>
      <c r="Q58" s="159"/>
      <c r="R58" s="370" t="str">
        <f t="shared" si="1"/>
        <v/>
      </c>
      <c r="S58" s="383" t="str">
        <f t="shared" si="2"/>
        <v/>
      </c>
      <c r="T58" s="384" t="str">
        <f t="shared" si="0"/>
        <v/>
      </c>
      <c r="U58" s="398" t="str">
        <f>IF(D58="","",VLOOKUP(D58,'G-6 Hedgerow Data'!$B$3:$AG$15,31,FALSE))</f>
        <v/>
      </c>
      <c r="V58" s="382" t="str">
        <f t="shared" si="3"/>
        <v/>
      </c>
      <c r="W58" s="382" t="str">
        <f t="shared" si="4"/>
        <v/>
      </c>
      <c r="X58" s="386" t="str">
        <f>IF(F58="","",VLOOKUP(U58,'G-3 Multipliers'!$P$3:$Q$6,2,FALSE))</f>
        <v/>
      </c>
      <c r="Y58" s="390" t="str">
        <f t="shared" si="5"/>
        <v/>
      </c>
      <c r="Z58" s="390" t="str">
        <f t="shared" si="6"/>
        <v/>
      </c>
      <c r="AA58" s="117"/>
      <c r="AB58" s="118"/>
      <c r="AC58" s="120"/>
      <c r="AD58" s="120"/>
      <c r="AH58" s="30" t="str">
        <f>IFERROR(INDEX('G-6 Hedgerow Data'!$BJ$3:$BJ$15,MATCH(D58,'G-6 Hedgerow Data'!$B$3:$B$15,0)),"")</f>
        <v/>
      </c>
    </row>
    <row r="59" spans="2:34" ht="15">
      <c r="B59" s="110">
        <v>48</v>
      </c>
      <c r="C59" s="216"/>
      <c r="D59" s="63"/>
      <c r="E59" s="165"/>
      <c r="F59" s="362" t="str">
        <f>IF(D59="","",VLOOKUP(D59,'G-6 Hedgerow Data'!$B$2:$AG$15,2,FALSE))</f>
        <v/>
      </c>
      <c r="G59" s="386" t="str">
        <f>IF(D59="","",VLOOKUP(D59,'G-6 Hedgerow Data'!$B$2:$AG$15,3,FALSE))</f>
        <v/>
      </c>
      <c r="H59" s="55"/>
      <c r="I59" s="363" t="str">
        <f>IFERROR(IF(AND(F59="V.Low",OR(H59="Good",H59="Moderate")),"Error ▲",VLOOKUP(H59,'G-1 All Habitats'!$Z$2:$AA$9,2,FALSE)),"")</f>
        <v/>
      </c>
      <c r="J59" s="115"/>
      <c r="K59" s="382" t="str">
        <f>IF(J59="","",IF(VLOOKUP(J59,'G-3 Multipliers'!$L$3:$N$6,2,FALSE)=0,"Spatial Data Missing",VLOOKUP(J59,'G-3 Multipliers'!$L$3:$N$6,2,FALSE)))</f>
        <v/>
      </c>
      <c r="L59" s="386" t="str">
        <f>IF(J59="","",IF(VLOOKUP(J59,'G-3 Multipliers'!$L$3:$N$6,3,FALSE)=0,"Spatial Data Missing",VLOOKUP(J59,'G-3 Multipliers'!$L$3:$N$6,3,FALSE)))</f>
        <v/>
      </c>
      <c r="M59" s="160"/>
      <c r="N59" s="363" t="str">
        <f>IF(M59="","",IF(VLOOKUP(M59,'G-3 Multipliers'!$S$3:$T$10,2,FALSE)=0,"Spatial Data Missing ⚠",VLOOKUP(M59,'G-3 Multipliers'!$S$3:$T$10,2,FALSE)))</f>
        <v/>
      </c>
      <c r="O59" s="362" t="str">
        <f>IF(OR(D59="",H59=""),"",(INDEX('G-6 Hedgerow Data'!$E$3:$I$15,MATCH(D59,'G-6 Hedgerow Data'!$B$3:$B$15,0),MATCH(H59,'G-6 Hedgerow Data'!$E$2:$I$2,0))))</f>
        <v/>
      </c>
      <c r="P59" s="159"/>
      <c r="Q59" s="159"/>
      <c r="R59" s="370" t="str">
        <f t="shared" si="1"/>
        <v/>
      </c>
      <c r="S59" s="383" t="str">
        <f t="shared" si="2"/>
        <v/>
      </c>
      <c r="T59" s="384" t="str">
        <f t="shared" si="0"/>
        <v/>
      </c>
      <c r="U59" s="398" t="str">
        <f>IF(D59="","",VLOOKUP(D59,'G-6 Hedgerow Data'!$B$3:$AG$15,31,FALSE))</f>
        <v/>
      </c>
      <c r="V59" s="382" t="str">
        <f t="shared" si="3"/>
        <v/>
      </c>
      <c r="W59" s="382" t="str">
        <f t="shared" si="4"/>
        <v/>
      </c>
      <c r="X59" s="386" t="str">
        <f>IF(F59="","",VLOOKUP(U59,'G-3 Multipliers'!$P$3:$Q$6,2,FALSE))</f>
        <v/>
      </c>
      <c r="Y59" s="390" t="str">
        <f t="shared" si="5"/>
        <v/>
      </c>
      <c r="Z59" s="390" t="str">
        <f t="shared" si="6"/>
        <v/>
      </c>
      <c r="AA59" s="117"/>
      <c r="AB59" s="118"/>
      <c r="AC59" s="120"/>
      <c r="AD59" s="120"/>
      <c r="AH59" s="30" t="str">
        <f>IFERROR(INDEX('G-6 Hedgerow Data'!$BJ$3:$BJ$15,MATCH(D59,'G-6 Hedgerow Data'!$B$3:$B$15,0)),"")</f>
        <v/>
      </c>
    </row>
    <row r="60" spans="2:34" ht="15">
      <c r="B60" s="110">
        <v>49</v>
      </c>
      <c r="C60" s="216"/>
      <c r="D60" s="63"/>
      <c r="E60" s="165"/>
      <c r="F60" s="362" t="str">
        <f>IF(D60="","",VLOOKUP(D60,'G-6 Hedgerow Data'!$B$2:$AG$15,2,FALSE))</f>
        <v/>
      </c>
      <c r="G60" s="386" t="str">
        <f>IF(D60="","",VLOOKUP(D60,'G-6 Hedgerow Data'!$B$2:$AG$15,3,FALSE))</f>
        <v/>
      </c>
      <c r="H60" s="55"/>
      <c r="I60" s="363" t="str">
        <f>IFERROR(IF(AND(F60="V.Low",OR(H60="Good",H60="Moderate")),"Error ▲",VLOOKUP(H60,'G-1 All Habitats'!$Z$2:$AA$9,2,FALSE)),"")</f>
        <v/>
      </c>
      <c r="J60" s="115"/>
      <c r="K60" s="382" t="str">
        <f>IF(J60="","",IF(VLOOKUP(J60,'G-3 Multipliers'!$L$3:$N$6,2,FALSE)=0,"Spatial Data Missing",VLOOKUP(J60,'G-3 Multipliers'!$L$3:$N$6,2,FALSE)))</f>
        <v/>
      </c>
      <c r="L60" s="386" t="str">
        <f>IF(J60="","",IF(VLOOKUP(J60,'G-3 Multipliers'!$L$3:$N$6,3,FALSE)=0,"Spatial Data Missing",VLOOKUP(J60,'G-3 Multipliers'!$L$3:$N$6,3,FALSE)))</f>
        <v/>
      </c>
      <c r="M60" s="160"/>
      <c r="N60" s="363" t="str">
        <f>IF(M60="","",IF(VLOOKUP(M60,'G-3 Multipliers'!$S$3:$T$10,2,FALSE)=0,"Spatial Data Missing ⚠",VLOOKUP(M60,'G-3 Multipliers'!$S$3:$T$10,2,FALSE)))</f>
        <v/>
      </c>
      <c r="O60" s="362" t="str">
        <f>IF(OR(D60="",H60=""),"",(INDEX('G-6 Hedgerow Data'!$E$3:$I$15,MATCH(D60,'G-6 Hedgerow Data'!$B$3:$B$15,0),MATCH(H60,'G-6 Hedgerow Data'!$E$2:$I$2,0))))</f>
        <v/>
      </c>
      <c r="P60" s="159"/>
      <c r="Q60" s="159"/>
      <c r="R60" s="370" t="str">
        <f t="shared" si="1"/>
        <v/>
      </c>
      <c r="S60" s="383" t="str">
        <f t="shared" si="2"/>
        <v/>
      </c>
      <c r="T60" s="384" t="str">
        <f t="shared" si="0"/>
        <v/>
      </c>
      <c r="U60" s="398" t="str">
        <f>IF(D60="","",VLOOKUP(D60,'G-6 Hedgerow Data'!$B$3:$AG$15,31,FALSE))</f>
        <v/>
      </c>
      <c r="V60" s="382" t="str">
        <f t="shared" si="3"/>
        <v/>
      </c>
      <c r="W60" s="382" t="str">
        <f t="shared" si="4"/>
        <v/>
      </c>
      <c r="X60" s="386" t="str">
        <f>IF(F60="","",VLOOKUP(U60,'G-3 Multipliers'!$P$3:$Q$6,2,FALSE))</f>
        <v/>
      </c>
      <c r="Y60" s="390" t="str">
        <f t="shared" si="5"/>
        <v/>
      </c>
      <c r="Z60" s="390" t="str">
        <f t="shared" si="6"/>
        <v/>
      </c>
      <c r="AA60" s="117"/>
      <c r="AB60" s="118"/>
      <c r="AC60" s="120"/>
      <c r="AD60" s="120"/>
      <c r="AH60" s="30" t="str">
        <f>IFERROR(INDEX('G-6 Hedgerow Data'!$BJ$3:$BJ$15,MATCH(D60,'G-6 Hedgerow Data'!$B$3:$B$15,0)),"")</f>
        <v/>
      </c>
    </row>
    <row r="61" spans="2:34" ht="15">
      <c r="B61" s="110">
        <v>50</v>
      </c>
      <c r="C61" s="216"/>
      <c r="D61" s="63"/>
      <c r="E61" s="165"/>
      <c r="F61" s="362" t="str">
        <f>IF(D61="","",VLOOKUP(D61,'G-6 Hedgerow Data'!$B$2:$AG$15,2,FALSE))</f>
        <v/>
      </c>
      <c r="G61" s="386" t="str">
        <f>IF(D61="","",VLOOKUP(D61,'G-6 Hedgerow Data'!$B$2:$AG$15,3,FALSE))</f>
        <v/>
      </c>
      <c r="H61" s="55"/>
      <c r="I61" s="363" t="str">
        <f>IFERROR(IF(AND(F61="V.Low",OR(H61="Good",H61="Moderate")),"Error ▲",VLOOKUP(H61,'G-1 All Habitats'!$Z$2:$AA$9,2,FALSE)),"")</f>
        <v/>
      </c>
      <c r="J61" s="115"/>
      <c r="K61" s="382" t="str">
        <f>IF(J61="","",IF(VLOOKUP(J61,'G-3 Multipliers'!$L$3:$N$6,2,FALSE)=0,"Spatial Data Missing",VLOOKUP(J61,'G-3 Multipliers'!$L$3:$N$6,2,FALSE)))</f>
        <v/>
      </c>
      <c r="L61" s="386" t="str">
        <f>IF(J61="","",IF(VLOOKUP(J61,'G-3 Multipliers'!$L$3:$N$6,3,FALSE)=0,"Spatial Data Missing",VLOOKUP(J61,'G-3 Multipliers'!$L$3:$N$6,3,FALSE)))</f>
        <v/>
      </c>
      <c r="M61" s="160"/>
      <c r="N61" s="363" t="str">
        <f>IF(M61="","",IF(VLOOKUP(M61,'G-3 Multipliers'!$S$3:$T$10,2,FALSE)=0,"Spatial Data Missing ⚠",VLOOKUP(M61,'G-3 Multipliers'!$S$3:$T$10,2,FALSE)))</f>
        <v/>
      </c>
      <c r="O61" s="362" t="str">
        <f>IF(OR(D61="",H61=""),"",(INDEX('G-6 Hedgerow Data'!$E$3:$I$15,MATCH(D61,'G-6 Hedgerow Data'!$B$3:$B$15,0),MATCH(H61,'G-6 Hedgerow Data'!$E$2:$I$2,0))))</f>
        <v/>
      </c>
      <c r="P61" s="159"/>
      <c r="Q61" s="159"/>
      <c r="R61" s="370" t="str">
        <f t="shared" si="1"/>
        <v/>
      </c>
      <c r="S61" s="383" t="str">
        <f t="shared" si="2"/>
        <v/>
      </c>
      <c r="T61" s="384" t="str">
        <f t="shared" si="0"/>
        <v/>
      </c>
      <c r="U61" s="398" t="str">
        <f>IF(D61="","",VLOOKUP(D61,'G-6 Hedgerow Data'!$B$3:$AG$15,31,FALSE))</f>
        <v/>
      </c>
      <c r="V61" s="382" t="str">
        <f t="shared" si="3"/>
        <v/>
      </c>
      <c r="W61" s="382" t="str">
        <f t="shared" si="4"/>
        <v/>
      </c>
      <c r="X61" s="386" t="str">
        <f>IF(F61="","",VLOOKUP(U61,'G-3 Multipliers'!$P$3:$Q$6,2,FALSE))</f>
        <v/>
      </c>
      <c r="Y61" s="390" t="str">
        <f t="shared" si="5"/>
        <v/>
      </c>
      <c r="Z61" s="390" t="str">
        <f t="shared" si="6"/>
        <v/>
      </c>
      <c r="AA61" s="117"/>
      <c r="AB61" s="118"/>
      <c r="AC61" s="120"/>
      <c r="AD61" s="120"/>
      <c r="AH61" s="30" t="str">
        <f>IFERROR(INDEX('G-6 Hedgerow Data'!$BJ$3:$BJ$15,MATCH(D61,'G-6 Hedgerow Data'!$B$3:$B$15,0)),"")</f>
        <v/>
      </c>
    </row>
    <row r="62" spans="2:34" ht="15">
      <c r="B62" s="110">
        <v>51</v>
      </c>
      <c r="C62" s="216"/>
      <c r="D62" s="63"/>
      <c r="E62" s="165"/>
      <c r="F62" s="362" t="str">
        <f>IF(D62="","",VLOOKUP(D62,'G-6 Hedgerow Data'!$B$2:$AG$15,2,FALSE))</f>
        <v/>
      </c>
      <c r="G62" s="386" t="str">
        <f>IF(D62="","",VLOOKUP(D62,'G-6 Hedgerow Data'!$B$2:$AG$15,3,FALSE))</f>
        <v/>
      </c>
      <c r="H62" s="55"/>
      <c r="I62" s="363" t="str">
        <f>IFERROR(IF(AND(F62="V.Low",OR(H62="Good",H62="Moderate")),"Error ▲",VLOOKUP(H62,'G-1 All Habitats'!$Z$2:$AA$9,2,FALSE)),"")</f>
        <v/>
      </c>
      <c r="J62" s="115"/>
      <c r="K62" s="382" t="str">
        <f>IF(J62="","",IF(VLOOKUP(J62,'G-3 Multipliers'!$L$3:$N$6,2,FALSE)=0,"Spatial Data Missing",VLOOKUP(J62,'G-3 Multipliers'!$L$3:$N$6,2,FALSE)))</f>
        <v/>
      </c>
      <c r="L62" s="386" t="str">
        <f>IF(J62="","",IF(VLOOKUP(J62,'G-3 Multipliers'!$L$3:$N$6,3,FALSE)=0,"Spatial Data Missing",VLOOKUP(J62,'G-3 Multipliers'!$L$3:$N$6,3,FALSE)))</f>
        <v/>
      </c>
      <c r="M62" s="160"/>
      <c r="N62" s="363" t="str">
        <f>IF(M62="","",IF(VLOOKUP(M62,'G-3 Multipliers'!$S$3:$T$10,2,FALSE)=0,"Spatial Data Missing ⚠",VLOOKUP(M62,'G-3 Multipliers'!$S$3:$T$10,2,FALSE)))</f>
        <v/>
      </c>
      <c r="O62" s="362" t="str">
        <f>IF(OR(D62="",H62=""),"",(INDEX('G-6 Hedgerow Data'!$E$3:$I$15,MATCH(D62,'G-6 Hedgerow Data'!$B$3:$B$15,0),MATCH(H62,'G-6 Hedgerow Data'!$E$2:$I$2,0))))</f>
        <v/>
      </c>
      <c r="P62" s="159"/>
      <c r="Q62" s="159"/>
      <c r="R62" s="370" t="str">
        <f t="shared" si="1"/>
        <v/>
      </c>
      <c r="S62" s="383" t="str">
        <f t="shared" si="2"/>
        <v/>
      </c>
      <c r="T62" s="384" t="str">
        <f t="shared" si="0"/>
        <v/>
      </c>
      <c r="U62" s="398" t="str">
        <f>IF(D62="","",VLOOKUP(D62,'G-6 Hedgerow Data'!$B$3:$AG$15,31,FALSE))</f>
        <v/>
      </c>
      <c r="V62" s="382" t="str">
        <f t="shared" si="3"/>
        <v/>
      </c>
      <c r="W62" s="382" t="str">
        <f t="shared" si="4"/>
        <v/>
      </c>
      <c r="X62" s="386" t="str">
        <f>IF(F62="","",VLOOKUP(U62,'G-3 Multipliers'!$P$3:$Q$6,2,FALSE))</f>
        <v/>
      </c>
      <c r="Y62" s="390" t="str">
        <f t="shared" si="5"/>
        <v/>
      </c>
      <c r="Z62" s="390" t="str">
        <f t="shared" si="6"/>
        <v/>
      </c>
      <c r="AA62" s="117"/>
      <c r="AB62" s="118"/>
      <c r="AC62" s="120"/>
      <c r="AD62" s="120"/>
      <c r="AH62" s="30" t="str">
        <f>IFERROR(INDEX('G-6 Hedgerow Data'!$BJ$3:$BJ$15,MATCH(D62,'G-6 Hedgerow Data'!$B$3:$B$15,0)),"")</f>
        <v/>
      </c>
    </row>
    <row r="63" spans="2:34" ht="15">
      <c r="B63" s="110">
        <v>52</v>
      </c>
      <c r="C63" s="216"/>
      <c r="D63" s="63"/>
      <c r="E63" s="165"/>
      <c r="F63" s="362" t="str">
        <f>IF(D63="","",VLOOKUP(D63,'G-6 Hedgerow Data'!$B$2:$AG$15,2,FALSE))</f>
        <v/>
      </c>
      <c r="G63" s="386" t="str">
        <f>IF(D63="","",VLOOKUP(D63,'G-6 Hedgerow Data'!$B$2:$AG$15,3,FALSE))</f>
        <v/>
      </c>
      <c r="H63" s="55"/>
      <c r="I63" s="363" t="str">
        <f>IFERROR(IF(AND(F63="V.Low",OR(H63="Good",H63="Moderate")),"Error ▲",VLOOKUP(H63,'G-1 All Habitats'!$Z$2:$AA$9,2,FALSE)),"")</f>
        <v/>
      </c>
      <c r="J63" s="115"/>
      <c r="K63" s="382" t="str">
        <f>IF(J63="","",IF(VLOOKUP(J63,'G-3 Multipliers'!$L$3:$N$6,2,FALSE)=0,"Spatial Data Missing",VLOOKUP(J63,'G-3 Multipliers'!$L$3:$N$6,2,FALSE)))</f>
        <v/>
      </c>
      <c r="L63" s="386" t="str">
        <f>IF(J63="","",IF(VLOOKUP(J63,'G-3 Multipliers'!$L$3:$N$6,3,FALSE)=0,"Spatial Data Missing",VLOOKUP(J63,'G-3 Multipliers'!$L$3:$N$6,3,FALSE)))</f>
        <v/>
      </c>
      <c r="M63" s="160"/>
      <c r="N63" s="363" t="str">
        <f>IF(M63="","",IF(VLOOKUP(M63,'G-3 Multipliers'!$S$3:$T$10,2,FALSE)=0,"Spatial Data Missing ⚠",VLOOKUP(M63,'G-3 Multipliers'!$S$3:$T$10,2,FALSE)))</f>
        <v/>
      </c>
      <c r="O63" s="362" t="str">
        <f>IF(OR(D63="",H63=""),"",(INDEX('G-6 Hedgerow Data'!$E$3:$I$15,MATCH(D63,'G-6 Hedgerow Data'!$B$3:$B$15,0),MATCH(H63,'G-6 Hedgerow Data'!$E$2:$I$2,0))))</f>
        <v/>
      </c>
      <c r="P63" s="159"/>
      <c r="Q63" s="159"/>
      <c r="R63" s="370" t="str">
        <f t="shared" si="1"/>
        <v/>
      </c>
      <c r="S63" s="383" t="str">
        <f t="shared" si="2"/>
        <v/>
      </c>
      <c r="T63" s="384" t="str">
        <f t="shared" si="0"/>
        <v/>
      </c>
      <c r="U63" s="398" t="str">
        <f>IF(D63="","",VLOOKUP(D63,'G-6 Hedgerow Data'!$B$3:$AG$15,31,FALSE))</f>
        <v/>
      </c>
      <c r="V63" s="382" t="str">
        <f t="shared" si="3"/>
        <v/>
      </c>
      <c r="W63" s="382" t="str">
        <f t="shared" si="4"/>
        <v/>
      </c>
      <c r="X63" s="386" t="str">
        <f>IF(F63="","",VLOOKUP(U63,'G-3 Multipliers'!$P$3:$Q$6,2,FALSE))</f>
        <v/>
      </c>
      <c r="Y63" s="390" t="str">
        <f t="shared" si="5"/>
        <v/>
      </c>
      <c r="Z63" s="390" t="str">
        <f t="shared" si="6"/>
        <v/>
      </c>
      <c r="AA63" s="117"/>
      <c r="AB63" s="118"/>
      <c r="AC63" s="120"/>
      <c r="AD63" s="120"/>
      <c r="AH63" s="30" t="str">
        <f>IFERROR(INDEX('G-6 Hedgerow Data'!$BJ$3:$BJ$15,MATCH(D63,'G-6 Hedgerow Data'!$B$3:$B$15,0)),"")</f>
        <v/>
      </c>
    </row>
    <row r="64" spans="2:34" ht="15">
      <c r="B64" s="110">
        <v>53</v>
      </c>
      <c r="C64" s="216"/>
      <c r="D64" s="63"/>
      <c r="E64" s="165"/>
      <c r="F64" s="362" t="str">
        <f>IF(D64="","",VLOOKUP(D64,'G-6 Hedgerow Data'!$B$2:$AG$15,2,FALSE))</f>
        <v/>
      </c>
      <c r="G64" s="386" t="str">
        <f>IF(D64="","",VLOOKUP(D64,'G-6 Hedgerow Data'!$B$2:$AG$15,3,FALSE))</f>
        <v/>
      </c>
      <c r="H64" s="55"/>
      <c r="I64" s="363" t="str">
        <f>IFERROR(IF(AND(F64="V.Low",OR(H64="Good",H64="Moderate")),"Error ▲",VLOOKUP(H64,'G-1 All Habitats'!$Z$2:$AA$9,2,FALSE)),"")</f>
        <v/>
      </c>
      <c r="J64" s="115"/>
      <c r="K64" s="382" t="str">
        <f>IF(J64="","",IF(VLOOKUP(J64,'G-3 Multipliers'!$L$3:$N$6,2,FALSE)=0,"Spatial Data Missing",VLOOKUP(J64,'G-3 Multipliers'!$L$3:$N$6,2,FALSE)))</f>
        <v/>
      </c>
      <c r="L64" s="386" t="str">
        <f>IF(J64="","",IF(VLOOKUP(J64,'G-3 Multipliers'!$L$3:$N$6,3,FALSE)=0,"Spatial Data Missing",VLOOKUP(J64,'G-3 Multipliers'!$L$3:$N$6,3,FALSE)))</f>
        <v/>
      </c>
      <c r="M64" s="160"/>
      <c r="N64" s="363" t="str">
        <f>IF(M64="","",IF(VLOOKUP(M64,'G-3 Multipliers'!$S$3:$T$10,2,FALSE)=0,"Spatial Data Missing ⚠",VLOOKUP(M64,'G-3 Multipliers'!$S$3:$T$10,2,FALSE)))</f>
        <v/>
      </c>
      <c r="O64" s="362" t="str">
        <f>IF(OR(D64="",H64=""),"",(INDEX('G-6 Hedgerow Data'!$E$3:$I$15,MATCH(D64,'G-6 Hedgerow Data'!$B$3:$B$15,0),MATCH(H64,'G-6 Hedgerow Data'!$E$2:$I$2,0))))</f>
        <v/>
      </c>
      <c r="P64" s="159"/>
      <c r="Q64" s="159"/>
      <c r="R64" s="370" t="str">
        <f t="shared" si="1"/>
        <v/>
      </c>
      <c r="S64" s="383" t="str">
        <f t="shared" si="2"/>
        <v/>
      </c>
      <c r="T64" s="384" t="str">
        <f t="shared" si="0"/>
        <v/>
      </c>
      <c r="U64" s="398" t="str">
        <f>IF(D64="","",VLOOKUP(D64,'G-6 Hedgerow Data'!$B$3:$AG$15,31,FALSE))</f>
        <v/>
      </c>
      <c r="V64" s="382" t="str">
        <f t="shared" si="3"/>
        <v/>
      </c>
      <c r="W64" s="382" t="str">
        <f t="shared" si="4"/>
        <v/>
      </c>
      <c r="X64" s="386" t="str">
        <f>IF(F64="","",VLOOKUP(U64,'G-3 Multipliers'!$P$3:$Q$6,2,FALSE))</f>
        <v/>
      </c>
      <c r="Y64" s="390" t="str">
        <f t="shared" si="5"/>
        <v/>
      </c>
      <c r="Z64" s="390" t="str">
        <f t="shared" si="6"/>
        <v/>
      </c>
      <c r="AA64" s="117"/>
      <c r="AB64" s="118"/>
      <c r="AC64" s="120"/>
      <c r="AD64" s="120"/>
      <c r="AH64" s="30" t="str">
        <f>IFERROR(INDEX('G-6 Hedgerow Data'!$BJ$3:$BJ$15,MATCH(D64,'G-6 Hedgerow Data'!$B$3:$B$15,0)),"")</f>
        <v/>
      </c>
    </row>
    <row r="65" spans="2:34" ht="15">
      <c r="B65" s="110">
        <v>54</v>
      </c>
      <c r="C65" s="216"/>
      <c r="D65" s="63"/>
      <c r="E65" s="165"/>
      <c r="F65" s="362" t="str">
        <f>IF(D65="","",VLOOKUP(D65,'G-6 Hedgerow Data'!$B$2:$AG$15,2,FALSE))</f>
        <v/>
      </c>
      <c r="G65" s="386" t="str">
        <f>IF(D65="","",VLOOKUP(D65,'G-6 Hedgerow Data'!$B$2:$AG$15,3,FALSE))</f>
        <v/>
      </c>
      <c r="H65" s="55"/>
      <c r="I65" s="363" t="str">
        <f>IFERROR(IF(AND(F65="V.Low",OR(H65="Good",H65="Moderate")),"Error ▲",VLOOKUP(H65,'G-1 All Habitats'!$Z$2:$AA$9,2,FALSE)),"")</f>
        <v/>
      </c>
      <c r="J65" s="115"/>
      <c r="K65" s="382" t="str">
        <f>IF(J65="","",IF(VLOOKUP(J65,'G-3 Multipliers'!$L$3:$N$6,2,FALSE)=0,"Spatial Data Missing",VLOOKUP(J65,'G-3 Multipliers'!$L$3:$N$6,2,FALSE)))</f>
        <v/>
      </c>
      <c r="L65" s="386" t="str">
        <f>IF(J65="","",IF(VLOOKUP(J65,'G-3 Multipliers'!$L$3:$N$6,3,FALSE)=0,"Spatial Data Missing",VLOOKUP(J65,'G-3 Multipliers'!$L$3:$N$6,3,FALSE)))</f>
        <v/>
      </c>
      <c r="M65" s="160"/>
      <c r="N65" s="363" t="str">
        <f>IF(M65="","",IF(VLOOKUP(M65,'G-3 Multipliers'!$S$3:$T$10,2,FALSE)=0,"Spatial Data Missing ⚠",VLOOKUP(M65,'G-3 Multipliers'!$S$3:$T$10,2,FALSE)))</f>
        <v/>
      </c>
      <c r="O65" s="362" t="str">
        <f>IF(OR(D65="",H65=""),"",(INDEX('G-6 Hedgerow Data'!$E$3:$I$15,MATCH(D65,'G-6 Hedgerow Data'!$B$3:$B$15,0),MATCH(H65,'G-6 Hedgerow Data'!$E$2:$I$2,0))))</f>
        <v/>
      </c>
      <c r="P65" s="159"/>
      <c r="Q65" s="159"/>
      <c r="R65" s="370" t="str">
        <f t="shared" si="1"/>
        <v/>
      </c>
      <c r="S65" s="383" t="str">
        <f t="shared" si="2"/>
        <v/>
      </c>
      <c r="T65" s="384" t="str">
        <f t="shared" si="0"/>
        <v/>
      </c>
      <c r="U65" s="398" t="str">
        <f>IF(D65="","",VLOOKUP(D65,'G-6 Hedgerow Data'!$B$3:$AG$15,31,FALSE))</f>
        <v/>
      </c>
      <c r="V65" s="382" t="str">
        <f t="shared" si="3"/>
        <v/>
      </c>
      <c r="W65" s="382" t="str">
        <f t="shared" si="4"/>
        <v/>
      </c>
      <c r="X65" s="386" t="str">
        <f>IF(F65="","",VLOOKUP(U65,'G-3 Multipliers'!$P$3:$Q$6,2,FALSE))</f>
        <v/>
      </c>
      <c r="Y65" s="390" t="str">
        <f t="shared" si="5"/>
        <v/>
      </c>
      <c r="Z65" s="390" t="str">
        <f t="shared" si="6"/>
        <v/>
      </c>
      <c r="AA65" s="117"/>
      <c r="AB65" s="118"/>
      <c r="AC65" s="120"/>
      <c r="AD65" s="120"/>
      <c r="AH65" s="30" t="str">
        <f>IFERROR(INDEX('G-6 Hedgerow Data'!$BJ$3:$BJ$15,MATCH(D65,'G-6 Hedgerow Data'!$B$3:$B$15,0)),"")</f>
        <v/>
      </c>
    </row>
    <row r="66" spans="2:34" ht="15">
      <c r="B66" s="110">
        <v>55</v>
      </c>
      <c r="C66" s="216"/>
      <c r="D66" s="63"/>
      <c r="E66" s="165"/>
      <c r="F66" s="362" t="str">
        <f>IF(D66="","",VLOOKUP(D66,'G-6 Hedgerow Data'!$B$2:$AG$15,2,FALSE))</f>
        <v/>
      </c>
      <c r="G66" s="386" t="str">
        <f>IF(D66="","",VLOOKUP(D66,'G-6 Hedgerow Data'!$B$2:$AG$15,3,FALSE))</f>
        <v/>
      </c>
      <c r="H66" s="55"/>
      <c r="I66" s="363" t="str">
        <f>IFERROR(IF(AND(F66="V.Low",OR(H66="Good",H66="Moderate")),"Error ▲",VLOOKUP(H66,'G-1 All Habitats'!$Z$2:$AA$9,2,FALSE)),"")</f>
        <v/>
      </c>
      <c r="J66" s="115"/>
      <c r="K66" s="382" t="str">
        <f>IF(J66="","",IF(VLOOKUP(J66,'G-3 Multipliers'!$L$3:$N$6,2,FALSE)=0,"Spatial Data Missing",VLOOKUP(J66,'G-3 Multipliers'!$L$3:$N$6,2,FALSE)))</f>
        <v/>
      </c>
      <c r="L66" s="386" t="str">
        <f>IF(J66="","",IF(VLOOKUP(J66,'G-3 Multipliers'!$L$3:$N$6,3,FALSE)=0,"Spatial Data Missing",VLOOKUP(J66,'G-3 Multipliers'!$L$3:$N$6,3,FALSE)))</f>
        <v/>
      </c>
      <c r="M66" s="160"/>
      <c r="N66" s="363" t="str">
        <f>IF(M66="","",IF(VLOOKUP(M66,'G-3 Multipliers'!$S$3:$T$10,2,FALSE)=0,"Spatial Data Missing ⚠",VLOOKUP(M66,'G-3 Multipliers'!$S$3:$T$10,2,FALSE)))</f>
        <v/>
      </c>
      <c r="O66" s="362" t="str">
        <f>IF(OR(D66="",H66=""),"",(INDEX('G-6 Hedgerow Data'!$E$3:$I$15,MATCH(D66,'G-6 Hedgerow Data'!$B$3:$B$15,0),MATCH(H66,'G-6 Hedgerow Data'!$E$2:$I$2,0))))</f>
        <v/>
      </c>
      <c r="P66" s="159"/>
      <c r="Q66" s="159"/>
      <c r="R66" s="370" t="str">
        <f t="shared" si="1"/>
        <v/>
      </c>
      <c r="S66" s="383" t="str">
        <f t="shared" si="2"/>
        <v/>
      </c>
      <c r="T66" s="384" t="str">
        <f t="shared" si="0"/>
        <v/>
      </c>
      <c r="U66" s="398" t="str">
        <f>IF(D66="","",VLOOKUP(D66,'G-6 Hedgerow Data'!$B$3:$AG$15,31,FALSE))</f>
        <v/>
      </c>
      <c r="V66" s="382" t="str">
        <f t="shared" si="3"/>
        <v/>
      </c>
      <c r="W66" s="382" t="str">
        <f t="shared" si="4"/>
        <v/>
      </c>
      <c r="X66" s="386" t="str">
        <f>IF(F66="","",VLOOKUP(U66,'G-3 Multipliers'!$P$3:$Q$6,2,FALSE))</f>
        <v/>
      </c>
      <c r="Y66" s="390" t="str">
        <f t="shared" si="5"/>
        <v/>
      </c>
      <c r="Z66" s="390" t="str">
        <f t="shared" si="6"/>
        <v/>
      </c>
      <c r="AA66" s="117"/>
      <c r="AB66" s="118"/>
      <c r="AC66" s="120"/>
      <c r="AD66" s="120"/>
      <c r="AH66" s="30" t="str">
        <f>IFERROR(INDEX('G-6 Hedgerow Data'!$BJ$3:$BJ$15,MATCH(D66,'G-6 Hedgerow Data'!$B$3:$B$15,0)),"")</f>
        <v/>
      </c>
    </row>
    <row r="67" spans="2:34" ht="15">
      <c r="B67" s="110">
        <v>56</v>
      </c>
      <c r="C67" s="216"/>
      <c r="D67" s="63"/>
      <c r="E67" s="165"/>
      <c r="F67" s="362" t="str">
        <f>IF(D67="","",VLOOKUP(D67,'G-6 Hedgerow Data'!$B$2:$AG$15,2,FALSE))</f>
        <v/>
      </c>
      <c r="G67" s="386" t="str">
        <f>IF(D67="","",VLOOKUP(D67,'G-6 Hedgerow Data'!$B$2:$AG$15,3,FALSE))</f>
        <v/>
      </c>
      <c r="H67" s="55"/>
      <c r="I67" s="363" t="str">
        <f>IFERROR(IF(AND(F67="V.Low",OR(H67="Good",H67="Moderate")),"Error ▲",VLOOKUP(H67,'G-1 All Habitats'!$Z$2:$AA$9,2,FALSE)),"")</f>
        <v/>
      </c>
      <c r="J67" s="115"/>
      <c r="K67" s="382" t="str">
        <f>IF(J67="","",IF(VLOOKUP(J67,'G-3 Multipliers'!$L$3:$N$6,2,FALSE)=0,"Spatial Data Missing",VLOOKUP(J67,'G-3 Multipliers'!$L$3:$N$6,2,FALSE)))</f>
        <v/>
      </c>
      <c r="L67" s="386" t="str">
        <f>IF(J67="","",IF(VLOOKUP(J67,'G-3 Multipliers'!$L$3:$N$6,3,FALSE)=0,"Spatial Data Missing",VLOOKUP(J67,'G-3 Multipliers'!$L$3:$N$6,3,FALSE)))</f>
        <v/>
      </c>
      <c r="M67" s="160"/>
      <c r="N67" s="363" t="str">
        <f>IF(M67="","",IF(VLOOKUP(M67,'G-3 Multipliers'!$S$3:$T$10,2,FALSE)=0,"Spatial Data Missing ⚠",VLOOKUP(M67,'G-3 Multipliers'!$S$3:$T$10,2,FALSE)))</f>
        <v/>
      </c>
      <c r="O67" s="362" t="str">
        <f>IF(OR(D67="",H67=""),"",(INDEX('G-6 Hedgerow Data'!$E$3:$I$15,MATCH(D67,'G-6 Hedgerow Data'!$B$3:$B$15,0),MATCH(H67,'G-6 Hedgerow Data'!$E$2:$I$2,0))))</f>
        <v/>
      </c>
      <c r="P67" s="159"/>
      <c r="Q67" s="159"/>
      <c r="R67" s="370" t="str">
        <f t="shared" si="1"/>
        <v/>
      </c>
      <c r="S67" s="383" t="str">
        <f t="shared" si="2"/>
        <v/>
      </c>
      <c r="T67" s="384" t="str">
        <f t="shared" si="0"/>
        <v/>
      </c>
      <c r="U67" s="398" t="str">
        <f>IF(D67="","",VLOOKUP(D67,'G-6 Hedgerow Data'!$B$3:$AG$15,31,FALSE))</f>
        <v/>
      </c>
      <c r="V67" s="382" t="str">
        <f t="shared" si="3"/>
        <v/>
      </c>
      <c r="W67" s="382" t="str">
        <f t="shared" si="4"/>
        <v/>
      </c>
      <c r="X67" s="386" t="str">
        <f>IF(F67="","",VLOOKUP(U67,'G-3 Multipliers'!$P$3:$Q$6,2,FALSE))</f>
        <v/>
      </c>
      <c r="Y67" s="390" t="str">
        <f t="shared" si="5"/>
        <v/>
      </c>
      <c r="Z67" s="390" t="str">
        <f t="shared" si="6"/>
        <v/>
      </c>
      <c r="AA67" s="117"/>
      <c r="AB67" s="118"/>
      <c r="AC67" s="120"/>
      <c r="AD67" s="120"/>
      <c r="AH67" s="30" t="str">
        <f>IFERROR(INDEX('G-6 Hedgerow Data'!$BJ$3:$BJ$15,MATCH(D67,'G-6 Hedgerow Data'!$B$3:$B$15,0)),"")</f>
        <v/>
      </c>
    </row>
    <row r="68" spans="2:34" ht="15">
      <c r="B68" s="110">
        <v>57</v>
      </c>
      <c r="C68" s="216"/>
      <c r="D68" s="63"/>
      <c r="E68" s="165"/>
      <c r="F68" s="362" t="str">
        <f>IF(D68="","",VLOOKUP(D68,'G-6 Hedgerow Data'!$B$2:$AG$15,2,FALSE))</f>
        <v/>
      </c>
      <c r="G68" s="386" t="str">
        <f>IF(D68="","",VLOOKUP(D68,'G-6 Hedgerow Data'!$B$2:$AG$15,3,FALSE))</f>
        <v/>
      </c>
      <c r="H68" s="55"/>
      <c r="I68" s="363" t="str">
        <f>IFERROR(IF(AND(F68="V.Low",OR(H68="Good",H68="Moderate")),"Error ▲",VLOOKUP(H68,'G-1 All Habitats'!$Z$2:$AA$9,2,FALSE)),"")</f>
        <v/>
      </c>
      <c r="J68" s="115"/>
      <c r="K68" s="382" t="str">
        <f>IF(J68="","",IF(VLOOKUP(J68,'G-3 Multipliers'!$L$3:$N$6,2,FALSE)=0,"Spatial Data Missing",VLOOKUP(J68,'G-3 Multipliers'!$L$3:$N$6,2,FALSE)))</f>
        <v/>
      </c>
      <c r="L68" s="386" t="str">
        <f>IF(J68="","",IF(VLOOKUP(J68,'G-3 Multipliers'!$L$3:$N$6,3,FALSE)=0,"Spatial Data Missing",VLOOKUP(J68,'G-3 Multipliers'!$L$3:$N$6,3,FALSE)))</f>
        <v/>
      </c>
      <c r="M68" s="160"/>
      <c r="N68" s="363" t="str">
        <f>IF(M68="","",IF(VLOOKUP(M68,'G-3 Multipliers'!$S$3:$T$10,2,FALSE)=0,"Spatial Data Missing ⚠",VLOOKUP(M68,'G-3 Multipliers'!$S$3:$T$10,2,FALSE)))</f>
        <v/>
      </c>
      <c r="O68" s="362" t="str">
        <f>IF(OR(D68="",H68=""),"",(INDEX('G-6 Hedgerow Data'!$E$3:$I$15,MATCH(D68,'G-6 Hedgerow Data'!$B$3:$B$15,0),MATCH(H68,'G-6 Hedgerow Data'!$E$2:$I$2,0))))</f>
        <v/>
      </c>
      <c r="P68" s="159"/>
      <c r="Q68" s="159"/>
      <c r="R68" s="370" t="str">
        <f t="shared" si="1"/>
        <v/>
      </c>
      <c r="S68" s="383" t="str">
        <f t="shared" si="2"/>
        <v/>
      </c>
      <c r="T68" s="384" t="str">
        <f t="shared" si="0"/>
        <v/>
      </c>
      <c r="U68" s="398" t="str">
        <f>IF(D68="","",VLOOKUP(D68,'G-6 Hedgerow Data'!$B$3:$AG$15,31,FALSE))</f>
        <v/>
      </c>
      <c r="V68" s="382" t="str">
        <f t="shared" si="3"/>
        <v/>
      </c>
      <c r="W68" s="382" t="str">
        <f t="shared" si="4"/>
        <v/>
      </c>
      <c r="X68" s="386" t="str">
        <f>IF(F68="","",VLOOKUP(U68,'G-3 Multipliers'!$P$3:$Q$6,2,FALSE))</f>
        <v/>
      </c>
      <c r="Y68" s="390" t="str">
        <f t="shared" si="5"/>
        <v/>
      </c>
      <c r="Z68" s="390" t="str">
        <f t="shared" si="6"/>
        <v/>
      </c>
      <c r="AA68" s="117"/>
      <c r="AB68" s="118"/>
      <c r="AC68" s="120"/>
      <c r="AD68" s="120"/>
      <c r="AH68" s="30" t="str">
        <f>IFERROR(INDEX('G-6 Hedgerow Data'!$BJ$3:$BJ$15,MATCH(D68,'G-6 Hedgerow Data'!$B$3:$B$15,0)),"")</f>
        <v/>
      </c>
    </row>
    <row r="69" spans="2:34" ht="15">
      <c r="B69" s="110">
        <v>58</v>
      </c>
      <c r="C69" s="216"/>
      <c r="D69" s="63"/>
      <c r="E69" s="165"/>
      <c r="F69" s="362" t="str">
        <f>IF(D69="","",VLOOKUP(D69,'G-6 Hedgerow Data'!$B$2:$AG$15,2,FALSE))</f>
        <v/>
      </c>
      <c r="G69" s="386" t="str">
        <f>IF(D69="","",VLOOKUP(D69,'G-6 Hedgerow Data'!$B$2:$AG$15,3,FALSE))</f>
        <v/>
      </c>
      <c r="H69" s="55"/>
      <c r="I69" s="363" t="str">
        <f>IFERROR(IF(AND(F69="V.Low",OR(H69="Good",H69="Moderate")),"Error ▲",VLOOKUP(H69,'G-1 All Habitats'!$Z$2:$AA$9,2,FALSE)),"")</f>
        <v/>
      </c>
      <c r="J69" s="115"/>
      <c r="K69" s="382" t="str">
        <f>IF(J69="","",IF(VLOOKUP(J69,'G-3 Multipliers'!$L$3:$N$6,2,FALSE)=0,"Spatial Data Missing",VLOOKUP(J69,'G-3 Multipliers'!$L$3:$N$6,2,FALSE)))</f>
        <v/>
      </c>
      <c r="L69" s="386" t="str">
        <f>IF(J69="","",IF(VLOOKUP(J69,'G-3 Multipliers'!$L$3:$N$6,3,FALSE)=0,"Spatial Data Missing",VLOOKUP(J69,'G-3 Multipliers'!$L$3:$N$6,3,FALSE)))</f>
        <v/>
      </c>
      <c r="M69" s="160"/>
      <c r="N69" s="363" t="str">
        <f>IF(M69="","",IF(VLOOKUP(M69,'G-3 Multipliers'!$S$3:$T$10,2,FALSE)=0,"Spatial Data Missing ⚠",VLOOKUP(M69,'G-3 Multipliers'!$S$3:$T$10,2,FALSE)))</f>
        <v/>
      </c>
      <c r="O69" s="362" t="str">
        <f>IF(OR(D69="",H69=""),"",(INDEX('G-6 Hedgerow Data'!$E$3:$I$15,MATCH(D69,'G-6 Hedgerow Data'!$B$3:$B$15,0),MATCH(H69,'G-6 Hedgerow Data'!$E$2:$I$2,0))))</f>
        <v/>
      </c>
      <c r="P69" s="159"/>
      <c r="Q69" s="159"/>
      <c r="R69" s="370" t="str">
        <f t="shared" si="1"/>
        <v/>
      </c>
      <c r="S69" s="383" t="str">
        <f t="shared" si="2"/>
        <v/>
      </c>
      <c r="T69" s="384" t="str">
        <f t="shared" si="0"/>
        <v/>
      </c>
      <c r="U69" s="398" t="str">
        <f>IF(D69="","",VLOOKUP(D69,'G-6 Hedgerow Data'!$B$3:$AG$15,31,FALSE))</f>
        <v/>
      </c>
      <c r="V69" s="382" t="str">
        <f t="shared" si="3"/>
        <v/>
      </c>
      <c r="W69" s="382" t="str">
        <f t="shared" si="4"/>
        <v/>
      </c>
      <c r="X69" s="386" t="str">
        <f>IF(F69="","",VLOOKUP(U69,'G-3 Multipliers'!$P$3:$Q$6,2,FALSE))</f>
        <v/>
      </c>
      <c r="Y69" s="390" t="str">
        <f t="shared" si="5"/>
        <v/>
      </c>
      <c r="Z69" s="390" t="str">
        <f t="shared" si="6"/>
        <v/>
      </c>
      <c r="AA69" s="117"/>
      <c r="AB69" s="118"/>
      <c r="AC69" s="120"/>
      <c r="AD69" s="120"/>
      <c r="AH69" s="30" t="str">
        <f>IFERROR(INDEX('G-6 Hedgerow Data'!$BJ$3:$BJ$15,MATCH(D69,'G-6 Hedgerow Data'!$B$3:$B$15,0)),"")</f>
        <v/>
      </c>
    </row>
    <row r="70" spans="2:34" ht="15">
      <c r="B70" s="110">
        <v>59</v>
      </c>
      <c r="C70" s="216"/>
      <c r="D70" s="63"/>
      <c r="E70" s="165"/>
      <c r="F70" s="362" t="str">
        <f>IF(D70="","",VLOOKUP(D70,'G-6 Hedgerow Data'!$B$2:$AG$15,2,FALSE))</f>
        <v/>
      </c>
      <c r="G70" s="386" t="str">
        <f>IF(D70="","",VLOOKUP(D70,'G-6 Hedgerow Data'!$B$2:$AG$15,3,FALSE))</f>
        <v/>
      </c>
      <c r="H70" s="55"/>
      <c r="I70" s="363" t="str">
        <f>IFERROR(IF(AND(F70="V.Low",OR(H70="Good",H70="Moderate")),"Error ▲",VLOOKUP(H70,'G-1 All Habitats'!$Z$2:$AA$9,2,FALSE)),"")</f>
        <v/>
      </c>
      <c r="J70" s="115"/>
      <c r="K70" s="382" t="str">
        <f>IF(J70="","",IF(VLOOKUP(J70,'G-3 Multipliers'!$L$3:$N$6,2,FALSE)=0,"Spatial Data Missing",VLOOKUP(J70,'G-3 Multipliers'!$L$3:$N$6,2,FALSE)))</f>
        <v/>
      </c>
      <c r="L70" s="386" t="str">
        <f>IF(J70="","",IF(VLOOKUP(J70,'G-3 Multipliers'!$L$3:$N$6,3,FALSE)=0,"Spatial Data Missing",VLOOKUP(J70,'G-3 Multipliers'!$L$3:$N$6,3,FALSE)))</f>
        <v/>
      </c>
      <c r="M70" s="160"/>
      <c r="N70" s="363" t="str">
        <f>IF(M70="","",IF(VLOOKUP(M70,'G-3 Multipliers'!$S$3:$T$10,2,FALSE)=0,"Spatial Data Missing ⚠",VLOOKUP(M70,'G-3 Multipliers'!$S$3:$T$10,2,FALSE)))</f>
        <v/>
      </c>
      <c r="O70" s="362" t="str">
        <f>IF(OR(D70="",H70=""),"",(INDEX('G-6 Hedgerow Data'!$E$3:$I$15,MATCH(D70,'G-6 Hedgerow Data'!$B$3:$B$15,0),MATCH(H70,'G-6 Hedgerow Data'!$E$2:$I$2,0))))</f>
        <v/>
      </c>
      <c r="P70" s="159"/>
      <c r="Q70" s="159"/>
      <c r="R70" s="370" t="str">
        <f t="shared" si="1"/>
        <v/>
      </c>
      <c r="S70" s="383" t="str">
        <f t="shared" si="2"/>
        <v/>
      </c>
      <c r="T70" s="384" t="str">
        <f t="shared" si="0"/>
        <v/>
      </c>
      <c r="U70" s="398" t="str">
        <f>IF(D70="","",VLOOKUP(D70,'G-6 Hedgerow Data'!$B$3:$AG$15,31,FALSE))</f>
        <v/>
      </c>
      <c r="V70" s="382" t="str">
        <f t="shared" si="3"/>
        <v/>
      </c>
      <c r="W70" s="382" t="str">
        <f t="shared" si="4"/>
        <v/>
      </c>
      <c r="X70" s="386" t="str">
        <f>IF(F70="","",VLOOKUP(U70,'G-3 Multipliers'!$P$3:$Q$6,2,FALSE))</f>
        <v/>
      </c>
      <c r="Y70" s="390" t="str">
        <f t="shared" si="5"/>
        <v/>
      </c>
      <c r="Z70" s="390" t="str">
        <f t="shared" si="6"/>
        <v/>
      </c>
      <c r="AA70" s="117"/>
      <c r="AB70" s="118"/>
      <c r="AC70" s="120"/>
      <c r="AD70" s="120"/>
      <c r="AH70" s="30" t="str">
        <f>IFERROR(INDEX('G-6 Hedgerow Data'!$BJ$3:$BJ$15,MATCH(D70,'G-6 Hedgerow Data'!$B$3:$B$15,0)),"")</f>
        <v/>
      </c>
    </row>
    <row r="71" spans="2:34" ht="15">
      <c r="B71" s="110">
        <v>60</v>
      </c>
      <c r="C71" s="216"/>
      <c r="D71" s="63"/>
      <c r="E71" s="165"/>
      <c r="F71" s="362" t="str">
        <f>IF(D71="","",VLOOKUP(D71,'G-6 Hedgerow Data'!$B$2:$AG$15,2,FALSE))</f>
        <v/>
      </c>
      <c r="G71" s="386" t="str">
        <f>IF(D71="","",VLOOKUP(D71,'G-6 Hedgerow Data'!$B$2:$AG$15,3,FALSE))</f>
        <v/>
      </c>
      <c r="H71" s="55"/>
      <c r="I71" s="363" t="str">
        <f>IFERROR(IF(AND(F71="V.Low",OR(H71="Good",H71="Moderate")),"Error ▲",VLOOKUP(H71,'G-1 All Habitats'!$Z$2:$AA$9,2,FALSE)),"")</f>
        <v/>
      </c>
      <c r="J71" s="115"/>
      <c r="K71" s="382" t="str">
        <f>IF(J71="","",IF(VLOOKUP(J71,'G-3 Multipliers'!$L$3:$N$6,2,FALSE)=0,"Spatial Data Missing",VLOOKUP(J71,'G-3 Multipliers'!$L$3:$N$6,2,FALSE)))</f>
        <v/>
      </c>
      <c r="L71" s="386" t="str">
        <f>IF(J71="","",IF(VLOOKUP(J71,'G-3 Multipliers'!$L$3:$N$6,3,FALSE)=0,"Spatial Data Missing",VLOOKUP(J71,'G-3 Multipliers'!$L$3:$N$6,3,FALSE)))</f>
        <v/>
      </c>
      <c r="M71" s="160"/>
      <c r="N71" s="363" t="str">
        <f>IF(M71="","",IF(VLOOKUP(M71,'G-3 Multipliers'!$S$3:$T$10,2,FALSE)=0,"Spatial Data Missing ⚠",VLOOKUP(M71,'G-3 Multipliers'!$S$3:$T$10,2,FALSE)))</f>
        <v/>
      </c>
      <c r="O71" s="362" t="str">
        <f>IF(OR(D71="",H71=""),"",(INDEX('G-6 Hedgerow Data'!$E$3:$I$15,MATCH(D71,'G-6 Hedgerow Data'!$B$3:$B$15,0),MATCH(H71,'G-6 Hedgerow Data'!$E$2:$I$2,0))))</f>
        <v/>
      </c>
      <c r="P71" s="159"/>
      <c r="Q71" s="159"/>
      <c r="R71" s="370" t="str">
        <f t="shared" si="1"/>
        <v/>
      </c>
      <c r="S71" s="383" t="str">
        <f t="shared" si="2"/>
        <v/>
      </c>
      <c r="T71" s="384" t="str">
        <f t="shared" si="0"/>
        <v/>
      </c>
      <c r="U71" s="398" t="str">
        <f>IF(D71="","",VLOOKUP(D71,'G-6 Hedgerow Data'!$B$3:$AG$15,31,FALSE))</f>
        <v/>
      </c>
      <c r="V71" s="382" t="str">
        <f t="shared" si="3"/>
        <v/>
      </c>
      <c r="W71" s="382" t="str">
        <f t="shared" si="4"/>
        <v/>
      </c>
      <c r="X71" s="386" t="str">
        <f>IF(F71="","",VLOOKUP(U71,'G-3 Multipliers'!$P$3:$Q$6,2,FALSE))</f>
        <v/>
      </c>
      <c r="Y71" s="390" t="str">
        <f t="shared" si="5"/>
        <v/>
      </c>
      <c r="Z71" s="390" t="str">
        <f t="shared" si="6"/>
        <v/>
      </c>
      <c r="AA71" s="117"/>
      <c r="AB71" s="118"/>
      <c r="AC71" s="120"/>
      <c r="AD71" s="120"/>
      <c r="AH71" s="30" t="str">
        <f>IFERROR(INDEX('G-6 Hedgerow Data'!$BJ$3:$BJ$15,MATCH(D71,'G-6 Hedgerow Data'!$B$3:$B$15,0)),"")</f>
        <v/>
      </c>
    </row>
    <row r="72" spans="2:34" ht="15">
      <c r="B72" s="110">
        <v>61</v>
      </c>
      <c r="C72" s="216"/>
      <c r="D72" s="63"/>
      <c r="E72" s="165"/>
      <c r="F72" s="362" t="str">
        <f>IF(D72="","",VLOOKUP(D72,'G-6 Hedgerow Data'!$B$2:$AG$15,2,FALSE))</f>
        <v/>
      </c>
      <c r="G72" s="386" t="str">
        <f>IF(D72="","",VLOOKUP(D72,'G-6 Hedgerow Data'!$B$2:$AG$15,3,FALSE))</f>
        <v/>
      </c>
      <c r="H72" s="55"/>
      <c r="I72" s="363" t="str">
        <f>IFERROR(IF(AND(F72="V.Low",OR(H72="Good",H72="Moderate")),"Error ▲",VLOOKUP(H72,'G-1 All Habitats'!$Z$2:$AA$9,2,FALSE)),"")</f>
        <v/>
      </c>
      <c r="J72" s="115"/>
      <c r="K72" s="382" t="str">
        <f>IF(J72="","",IF(VLOOKUP(J72,'G-3 Multipliers'!$L$3:$N$6,2,FALSE)=0,"Spatial Data Missing",VLOOKUP(J72,'G-3 Multipliers'!$L$3:$N$6,2,FALSE)))</f>
        <v/>
      </c>
      <c r="L72" s="386" t="str">
        <f>IF(J72="","",IF(VLOOKUP(J72,'G-3 Multipliers'!$L$3:$N$6,3,FALSE)=0,"Spatial Data Missing",VLOOKUP(J72,'G-3 Multipliers'!$L$3:$N$6,3,FALSE)))</f>
        <v/>
      </c>
      <c r="M72" s="160"/>
      <c r="N72" s="363" t="str">
        <f>IF(M72="","",IF(VLOOKUP(M72,'G-3 Multipliers'!$S$3:$T$10,2,FALSE)=0,"Spatial Data Missing ⚠",VLOOKUP(M72,'G-3 Multipliers'!$S$3:$T$10,2,FALSE)))</f>
        <v/>
      </c>
      <c r="O72" s="362" t="str">
        <f>IF(OR(D72="",H72=""),"",(INDEX('G-6 Hedgerow Data'!$E$3:$I$15,MATCH(D72,'G-6 Hedgerow Data'!$B$3:$B$15,0),MATCH(H72,'G-6 Hedgerow Data'!$E$2:$I$2,0))))</f>
        <v/>
      </c>
      <c r="P72" s="159"/>
      <c r="Q72" s="159"/>
      <c r="R72" s="370" t="str">
        <f t="shared" si="1"/>
        <v/>
      </c>
      <c r="S72" s="383" t="str">
        <f t="shared" si="2"/>
        <v/>
      </c>
      <c r="T72" s="384" t="str">
        <f t="shared" si="0"/>
        <v/>
      </c>
      <c r="U72" s="398" t="str">
        <f>IF(D72="","",VLOOKUP(D72,'G-6 Hedgerow Data'!$B$3:$AG$15,31,FALSE))</f>
        <v/>
      </c>
      <c r="V72" s="382" t="str">
        <f t="shared" si="3"/>
        <v/>
      </c>
      <c r="W72" s="382" t="str">
        <f t="shared" si="4"/>
        <v/>
      </c>
      <c r="X72" s="386" t="str">
        <f>IF(F72="","",VLOOKUP(U72,'G-3 Multipliers'!$P$3:$Q$6,2,FALSE))</f>
        <v/>
      </c>
      <c r="Y72" s="390" t="str">
        <f t="shared" si="5"/>
        <v/>
      </c>
      <c r="Z72" s="390" t="str">
        <f t="shared" si="6"/>
        <v/>
      </c>
      <c r="AA72" s="117"/>
      <c r="AB72" s="118"/>
      <c r="AC72" s="120"/>
      <c r="AD72" s="120"/>
      <c r="AH72" s="30" t="str">
        <f>IFERROR(INDEX('G-6 Hedgerow Data'!$BJ$3:$BJ$15,MATCH(D72,'G-6 Hedgerow Data'!$B$3:$B$15,0)),"")</f>
        <v/>
      </c>
    </row>
    <row r="73" spans="2:34" ht="15">
      <c r="B73" s="110">
        <v>62</v>
      </c>
      <c r="C73" s="216"/>
      <c r="D73" s="63"/>
      <c r="E73" s="165"/>
      <c r="F73" s="362" t="str">
        <f>IF(D73="","",VLOOKUP(D73,'G-6 Hedgerow Data'!$B$2:$AG$15,2,FALSE))</f>
        <v/>
      </c>
      <c r="G73" s="386" t="str">
        <f>IF(D73="","",VLOOKUP(D73,'G-6 Hedgerow Data'!$B$2:$AG$15,3,FALSE))</f>
        <v/>
      </c>
      <c r="H73" s="55"/>
      <c r="I73" s="363" t="str">
        <f>IFERROR(IF(AND(F73="V.Low",OR(H73="Good",H73="Moderate")),"Error ▲",VLOOKUP(H73,'G-1 All Habitats'!$Z$2:$AA$9,2,FALSE)),"")</f>
        <v/>
      </c>
      <c r="J73" s="115"/>
      <c r="K73" s="382" t="str">
        <f>IF(J73="","",IF(VLOOKUP(J73,'G-3 Multipliers'!$L$3:$N$6,2,FALSE)=0,"Spatial Data Missing",VLOOKUP(J73,'G-3 Multipliers'!$L$3:$N$6,2,FALSE)))</f>
        <v/>
      </c>
      <c r="L73" s="386" t="str">
        <f>IF(J73="","",IF(VLOOKUP(J73,'G-3 Multipliers'!$L$3:$N$6,3,FALSE)=0,"Spatial Data Missing",VLOOKUP(J73,'G-3 Multipliers'!$L$3:$N$6,3,FALSE)))</f>
        <v/>
      </c>
      <c r="M73" s="160"/>
      <c r="N73" s="363" t="str">
        <f>IF(M73="","",IF(VLOOKUP(M73,'G-3 Multipliers'!$S$3:$T$10,2,FALSE)=0,"Spatial Data Missing ⚠",VLOOKUP(M73,'G-3 Multipliers'!$S$3:$T$10,2,FALSE)))</f>
        <v/>
      </c>
      <c r="O73" s="362" t="str">
        <f>IF(OR(D73="",H73=""),"",(INDEX('G-6 Hedgerow Data'!$E$3:$I$15,MATCH(D73,'G-6 Hedgerow Data'!$B$3:$B$15,0),MATCH(H73,'G-6 Hedgerow Data'!$E$2:$I$2,0))))</f>
        <v/>
      </c>
      <c r="P73" s="159"/>
      <c r="Q73" s="159"/>
      <c r="R73" s="370" t="str">
        <f t="shared" si="1"/>
        <v/>
      </c>
      <c r="S73" s="383" t="str">
        <f t="shared" si="2"/>
        <v/>
      </c>
      <c r="T73" s="384" t="str">
        <f t="shared" si="0"/>
        <v/>
      </c>
      <c r="U73" s="398" t="str">
        <f>IF(D73="","",VLOOKUP(D73,'G-6 Hedgerow Data'!$B$3:$AG$15,31,FALSE))</f>
        <v/>
      </c>
      <c r="V73" s="382" t="str">
        <f t="shared" si="3"/>
        <v/>
      </c>
      <c r="W73" s="382" t="str">
        <f t="shared" si="4"/>
        <v/>
      </c>
      <c r="X73" s="386" t="str">
        <f>IF(F73="","",VLOOKUP(U73,'G-3 Multipliers'!$P$3:$Q$6,2,FALSE))</f>
        <v/>
      </c>
      <c r="Y73" s="390" t="str">
        <f t="shared" si="5"/>
        <v/>
      </c>
      <c r="Z73" s="390" t="str">
        <f t="shared" si="6"/>
        <v/>
      </c>
      <c r="AA73" s="117"/>
      <c r="AB73" s="118"/>
      <c r="AC73" s="120"/>
      <c r="AD73" s="120"/>
      <c r="AH73" s="30" t="str">
        <f>IFERROR(INDEX('G-6 Hedgerow Data'!$BJ$3:$BJ$15,MATCH(D73,'G-6 Hedgerow Data'!$B$3:$B$15,0)),"")</f>
        <v/>
      </c>
    </row>
    <row r="74" spans="2:34" ht="15">
      <c r="B74" s="110">
        <v>63</v>
      </c>
      <c r="C74" s="216"/>
      <c r="D74" s="63"/>
      <c r="E74" s="165"/>
      <c r="F74" s="362" t="str">
        <f>IF(D74="","",VLOOKUP(D74,'G-6 Hedgerow Data'!$B$2:$AG$15,2,FALSE))</f>
        <v/>
      </c>
      <c r="G74" s="386" t="str">
        <f>IF(D74="","",VLOOKUP(D74,'G-6 Hedgerow Data'!$B$2:$AG$15,3,FALSE))</f>
        <v/>
      </c>
      <c r="H74" s="55"/>
      <c r="I74" s="363" t="str">
        <f>IFERROR(IF(AND(F74="V.Low",OR(H74="Good",H74="Moderate")),"Error ▲",VLOOKUP(H74,'G-1 All Habitats'!$Z$2:$AA$9,2,FALSE)),"")</f>
        <v/>
      </c>
      <c r="J74" s="115"/>
      <c r="K74" s="382" t="str">
        <f>IF(J74="","",IF(VLOOKUP(J74,'G-3 Multipliers'!$L$3:$N$6,2,FALSE)=0,"Spatial Data Missing",VLOOKUP(J74,'G-3 Multipliers'!$L$3:$N$6,2,FALSE)))</f>
        <v/>
      </c>
      <c r="L74" s="386" t="str">
        <f>IF(J74="","",IF(VLOOKUP(J74,'G-3 Multipliers'!$L$3:$N$6,3,FALSE)=0,"Spatial Data Missing",VLOOKUP(J74,'G-3 Multipliers'!$L$3:$N$6,3,FALSE)))</f>
        <v/>
      </c>
      <c r="M74" s="160"/>
      <c r="N74" s="363" t="str">
        <f>IF(M74="","",IF(VLOOKUP(M74,'G-3 Multipliers'!$S$3:$T$10,2,FALSE)=0,"Spatial Data Missing ⚠",VLOOKUP(M74,'G-3 Multipliers'!$S$3:$T$10,2,FALSE)))</f>
        <v/>
      </c>
      <c r="O74" s="362" t="str">
        <f>IF(OR(D74="",H74=""),"",(INDEX('G-6 Hedgerow Data'!$E$3:$I$15,MATCH(D74,'G-6 Hedgerow Data'!$B$3:$B$15,0),MATCH(H74,'G-6 Hedgerow Data'!$E$2:$I$2,0))))</f>
        <v/>
      </c>
      <c r="P74" s="159"/>
      <c r="Q74" s="159"/>
      <c r="R74" s="370" t="str">
        <f t="shared" si="1"/>
        <v/>
      </c>
      <c r="S74" s="383" t="str">
        <f t="shared" si="2"/>
        <v/>
      </c>
      <c r="T74" s="384" t="str">
        <f t="shared" si="0"/>
        <v/>
      </c>
      <c r="U74" s="398" t="str">
        <f>IF(D74="","",VLOOKUP(D74,'G-6 Hedgerow Data'!$B$3:$AG$15,31,FALSE))</f>
        <v/>
      </c>
      <c r="V74" s="382" t="str">
        <f t="shared" si="3"/>
        <v/>
      </c>
      <c r="W74" s="382" t="str">
        <f t="shared" si="4"/>
        <v/>
      </c>
      <c r="X74" s="386" t="str">
        <f>IF(F74="","",VLOOKUP(U74,'G-3 Multipliers'!$P$3:$Q$6,2,FALSE))</f>
        <v/>
      </c>
      <c r="Y74" s="390" t="str">
        <f t="shared" si="5"/>
        <v/>
      </c>
      <c r="Z74" s="390" t="str">
        <f t="shared" si="6"/>
        <v/>
      </c>
      <c r="AA74" s="117"/>
      <c r="AB74" s="118"/>
      <c r="AC74" s="120"/>
      <c r="AD74" s="120"/>
      <c r="AH74" s="30" t="str">
        <f>IFERROR(INDEX('G-6 Hedgerow Data'!$BJ$3:$BJ$15,MATCH(D74,'G-6 Hedgerow Data'!$B$3:$B$15,0)),"")</f>
        <v/>
      </c>
    </row>
    <row r="75" spans="2:34" ht="15">
      <c r="B75" s="110">
        <v>64</v>
      </c>
      <c r="C75" s="216"/>
      <c r="D75" s="63"/>
      <c r="E75" s="165"/>
      <c r="F75" s="362" t="str">
        <f>IF(D75="","",VLOOKUP(D75,'G-6 Hedgerow Data'!$B$2:$AG$15,2,FALSE))</f>
        <v/>
      </c>
      <c r="G75" s="386" t="str">
        <f>IF(D75="","",VLOOKUP(D75,'G-6 Hedgerow Data'!$B$2:$AG$15,3,FALSE))</f>
        <v/>
      </c>
      <c r="H75" s="55"/>
      <c r="I75" s="363" t="str">
        <f>IFERROR(IF(AND(F75="V.Low",OR(H75="Good",H75="Moderate")),"Error ▲",VLOOKUP(H75,'G-1 All Habitats'!$Z$2:$AA$9,2,FALSE)),"")</f>
        <v/>
      </c>
      <c r="J75" s="115"/>
      <c r="K75" s="382" t="str">
        <f>IF(J75="","",IF(VLOOKUP(J75,'G-3 Multipliers'!$L$3:$N$6,2,FALSE)=0,"Spatial Data Missing",VLOOKUP(J75,'G-3 Multipliers'!$L$3:$N$6,2,FALSE)))</f>
        <v/>
      </c>
      <c r="L75" s="386" t="str">
        <f>IF(J75="","",IF(VLOOKUP(J75,'G-3 Multipliers'!$L$3:$N$6,3,FALSE)=0,"Spatial Data Missing",VLOOKUP(J75,'G-3 Multipliers'!$L$3:$N$6,3,FALSE)))</f>
        <v/>
      </c>
      <c r="M75" s="160"/>
      <c r="N75" s="363" t="str">
        <f>IF(M75="","",IF(VLOOKUP(M75,'G-3 Multipliers'!$S$3:$T$10,2,FALSE)=0,"Spatial Data Missing ⚠",VLOOKUP(M75,'G-3 Multipliers'!$S$3:$T$10,2,FALSE)))</f>
        <v/>
      </c>
      <c r="O75" s="362" t="str">
        <f>IF(OR(D75="",H75=""),"",(INDEX('G-6 Hedgerow Data'!$E$3:$I$15,MATCH(D75,'G-6 Hedgerow Data'!$B$3:$B$15,0),MATCH(H75,'G-6 Hedgerow Data'!$E$2:$I$2,0))))</f>
        <v/>
      </c>
      <c r="P75" s="159"/>
      <c r="Q75" s="159"/>
      <c r="R75" s="370" t="str">
        <f t="shared" si="1"/>
        <v/>
      </c>
      <c r="S75" s="383" t="str">
        <f t="shared" si="2"/>
        <v/>
      </c>
      <c r="T75" s="384" t="str">
        <f t="shared" si="0"/>
        <v/>
      </c>
      <c r="U75" s="398" t="str">
        <f>IF(D75="","",VLOOKUP(D75,'G-6 Hedgerow Data'!$B$3:$AG$15,31,FALSE))</f>
        <v/>
      </c>
      <c r="V75" s="382" t="str">
        <f t="shared" si="3"/>
        <v/>
      </c>
      <c r="W75" s="382" t="str">
        <f t="shared" si="4"/>
        <v/>
      </c>
      <c r="X75" s="386" t="str">
        <f>IF(F75="","",VLOOKUP(U75,'G-3 Multipliers'!$P$3:$Q$6,2,FALSE))</f>
        <v/>
      </c>
      <c r="Y75" s="390" t="str">
        <f t="shared" si="5"/>
        <v/>
      </c>
      <c r="Z75" s="390" t="str">
        <f t="shared" si="6"/>
        <v/>
      </c>
      <c r="AA75" s="117"/>
      <c r="AB75" s="118"/>
      <c r="AC75" s="120"/>
      <c r="AD75" s="120"/>
      <c r="AH75" s="30" t="str">
        <f>IFERROR(INDEX('G-6 Hedgerow Data'!$BJ$3:$BJ$15,MATCH(D75,'G-6 Hedgerow Data'!$B$3:$B$15,0)),"")</f>
        <v/>
      </c>
    </row>
    <row r="76" spans="2:34" ht="15">
      <c r="B76" s="110">
        <v>65</v>
      </c>
      <c r="C76" s="216"/>
      <c r="D76" s="63"/>
      <c r="E76" s="165"/>
      <c r="F76" s="362" t="str">
        <f>IF(D76="","",VLOOKUP(D76,'G-6 Hedgerow Data'!$B$2:$AG$15,2,FALSE))</f>
        <v/>
      </c>
      <c r="G76" s="386" t="str">
        <f>IF(D76="","",VLOOKUP(D76,'G-6 Hedgerow Data'!$B$2:$AG$15,3,FALSE))</f>
        <v/>
      </c>
      <c r="H76" s="55"/>
      <c r="I76" s="363" t="str">
        <f>IFERROR(IF(AND(F76="V.Low",OR(H76="Good",H76="Moderate")),"Error ▲",VLOOKUP(H76,'G-1 All Habitats'!$Z$2:$AA$9,2,FALSE)),"")</f>
        <v/>
      </c>
      <c r="J76" s="115"/>
      <c r="K76" s="382" t="str">
        <f>IF(J76="","",IF(VLOOKUP(J76,'G-3 Multipliers'!$L$3:$N$6,2,FALSE)=0,"Spatial Data Missing",VLOOKUP(J76,'G-3 Multipliers'!$L$3:$N$6,2,FALSE)))</f>
        <v/>
      </c>
      <c r="L76" s="386" t="str">
        <f>IF(J76="","",IF(VLOOKUP(J76,'G-3 Multipliers'!$L$3:$N$6,3,FALSE)=0,"Spatial Data Missing",VLOOKUP(J76,'G-3 Multipliers'!$L$3:$N$6,3,FALSE)))</f>
        <v/>
      </c>
      <c r="M76" s="160"/>
      <c r="N76" s="363" t="str">
        <f>IF(M76="","",IF(VLOOKUP(M76,'G-3 Multipliers'!$S$3:$T$10,2,FALSE)=0,"Spatial Data Missing ⚠",VLOOKUP(M76,'G-3 Multipliers'!$S$3:$T$10,2,FALSE)))</f>
        <v/>
      </c>
      <c r="O76" s="362" t="str">
        <f>IF(OR(D76="",H76=""),"",(INDEX('G-6 Hedgerow Data'!$E$3:$I$15,MATCH(D76,'G-6 Hedgerow Data'!$B$3:$B$15,0),MATCH(H76,'G-6 Hedgerow Data'!$E$2:$I$2,0))))</f>
        <v/>
      </c>
      <c r="P76" s="159"/>
      <c r="Q76" s="159"/>
      <c r="R76" s="370" t="str">
        <f t="shared" si="1"/>
        <v/>
      </c>
      <c r="S76" s="383" t="str">
        <f t="shared" si="2"/>
        <v/>
      </c>
      <c r="T76" s="384" t="str">
        <f t="shared" ref="T76:T139" si="7">IF(D76="","",IF(S76="Check Data ⚠","Check Data ⚠",VLOOKUP(S76,TemporalMultipliers,3,FALSE)))</f>
        <v/>
      </c>
      <c r="U76" s="398" t="str">
        <f>IF(D76="","",VLOOKUP(D76,'G-6 Hedgerow Data'!$B$3:$AG$15,31,FALSE))</f>
        <v/>
      </c>
      <c r="V76" s="382" t="str">
        <f t="shared" si="3"/>
        <v/>
      </c>
      <c r="W76" s="382" t="str">
        <f t="shared" si="4"/>
        <v/>
      </c>
      <c r="X76" s="386" t="str">
        <f>IF(F76="","",VLOOKUP(U76,'G-3 Multipliers'!$P$3:$Q$6,2,FALSE))</f>
        <v/>
      </c>
      <c r="Y76" s="390" t="str">
        <f t="shared" si="5"/>
        <v/>
      </c>
      <c r="Z76" s="390" t="str">
        <f t="shared" si="6"/>
        <v/>
      </c>
      <c r="AA76" s="117"/>
      <c r="AB76" s="118"/>
      <c r="AC76" s="120"/>
      <c r="AD76" s="120"/>
      <c r="AH76" s="30" t="str">
        <f>IFERROR(INDEX('G-6 Hedgerow Data'!$BJ$3:$BJ$15,MATCH(D76,'G-6 Hedgerow Data'!$B$3:$B$15,0)),"")</f>
        <v/>
      </c>
    </row>
    <row r="77" spans="2:34" ht="15">
      <c r="B77" s="110">
        <v>66</v>
      </c>
      <c r="C77" s="216"/>
      <c r="D77" s="63"/>
      <c r="E77" s="165"/>
      <c r="F77" s="362" t="str">
        <f>IF(D77="","",VLOOKUP(D77,'G-6 Hedgerow Data'!$B$2:$AG$15,2,FALSE))</f>
        <v/>
      </c>
      <c r="G77" s="386" t="str">
        <f>IF(D77="","",VLOOKUP(D77,'G-6 Hedgerow Data'!$B$2:$AG$15,3,FALSE))</f>
        <v/>
      </c>
      <c r="H77" s="55"/>
      <c r="I77" s="363" t="str">
        <f>IFERROR(IF(AND(F77="V.Low",OR(H77="Good",H77="Moderate")),"Error ▲",VLOOKUP(H77,'G-1 All Habitats'!$Z$2:$AA$9,2,FALSE)),"")</f>
        <v/>
      </c>
      <c r="J77" s="115"/>
      <c r="K77" s="382" t="str">
        <f>IF(J77="","",IF(VLOOKUP(J77,'G-3 Multipliers'!$L$3:$N$6,2,FALSE)=0,"Spatial Data Missing",VLOOKUP(J77,'G-3 Multipliers'!$L$3:$N$6,2,FALSE)))</f>
        <v/>
      </c>
      <c r="L77" s="386" t="str">
        <f>IF(J77="","",IF(VLOOKUP(J77,'G-3 Multipliers'!$L$3:$N$6,3,FALSE)=0,"Spatial Data Missing",VLOOKUP(J77,'G-3 Multipliers'!$L$3:$N$6,3,FALSE)))</f>
        <v/>
      </c>
      <c r="M77" s="160"/>
      <c r="N77" s="363" t="str">
        <f>IF(M77="","",IF(VLOOKUP(M77,'G-3 Multipliers'!$S$3:$T$10,2,FALSE)=0,"Spatial Data Missing ⚠",VLOOKUP(M77,'G-3 Multipliers'!$S$3:$T$10,2,FALSE)))</f>
        <v/>
      </c>
      <c r="O77" s="362" t="str">
        <f>IF(OR(D77="",H77=""),"",(INDEX('G-6 Hedgerow Data'!$E$3:$I$15,MATCH(D77,'G-6 Hedgerow Data'!$B$3:$B$15,0),MATCH(H77,'G-6 Hedgerow Data'!$E$2:$I$2,0))))</f>
        <v/>
      </c>
      <c r="P77" s="159"/>
      <c r="Q77" s="159"/>
      <c r="R77" s="370" t="str">
        <f t="shared" ref="R77:R140" si="8">IF(D77="","",IF(AND(P77&gt;0,Q77&gt;0),"Error -both advance and delayed habitat creation ▲",IF(AND(OR(P77="Habitat already in target condition",O77&lt;=P77),Q77=0),"Check details - Is there evidence that habitat has reached target condition? ⚠",IF(O77="","",IF(P77&gt;0,"Check details - Is there evidence habitat creation started/in place? ⚠",IF(Q77&gt;0,"Check details- Delay in starting habitat in required condition? ⚠","Standard time to target condition applied"))))))</f>
        <v/>
      </c>
      <c r="S77" s="383" t="str">
        <f t="shared" ref="S77:S140" si="9">IF(O77="","",IF(R77="Error -both advance and delayed habitat creation ▲","Check Data ⚠",IF(OR(P77="30+",P77="Habitat already in target condition"),0,IF(Q77="30+","30+",IF(AND(O77="30+",OR(P77="",P77=0)),"30+",IF(AND(O77="30+",P77&gt;0),30-P77,IF(O77+Q77&gt;30,"30+",IF(O77+Q77-P77&gt;0,O77+Q77-P77,IF(O77-P77&lt;0,0,O77+Q77-P77)))))))))</f>
        <v/>
      </c>
      <c r="T77" s="384" t="str">
        <f t="shared" si="7"/>
        <v/>
      </c>
      <c r="U77" s="398" t="str">
        <f>IF(D77="","",VLOOKUP(D77,'G-6 Hedgerow Data'!$B$3:$AG$15,31,FALSE))</f>
        <v/>
      </c>
      <c r="V77" s="382" t="str">
        <f t="shared" ref="V77:V140" si="10">IF(D77="","",IF(S77="Check Data ⚠","Check Data ⚠",IF(H77="","",IF($R77="Check details - Is there evidence that habitat has reached target condition? ⚠","Low Difficulty - only applicable if all habitat created before losses","Standard difficulty applied"))))</f>
        <v/>
      </c>
      <c r="W77" s="382" t="str">
        <f t="shared" ref="W77:W140" si="11">(IF(AND(V77="Standard difficulty applied",O77&gt;P77),U77,IF(AND(V77="Low Difficulty - only applicable if all habitat created before losses",P77&gt;=O77),"Low",U77)))</f>
        <v/>
      </c>
      <c r="X77" s="386" t="str">
        <f>IF(F77="","",VLOOKUP(U77,'G-3 Multipliers'!$P$3:$Q$6,2,FALSE))</f>
        <v/>
      </c>
      <c r="Y77" s="390" t="str">
        <f t="shared" ref="Y77:Y140" si="12">IFERROR(E77*G77*I77*L77*T77*X77*N77,"")</f>
        <v/>
      </c>
      <c r="Z77" s="390" t="str">
        <f t="shared" ref="Z77:Z140" si="13">IFERROR(IF(M77="","", E77*G77*I77*L77*T77*X77),"")</f>
        <v/>
      </c>
      <c r="AA77" s="117"/>
      <c r="AB77" s="118"/>
      <c r="AC77" s="120"/>
      <c r="AD77" s="120"/>
      <c r="AH77" s="30" t="str">
        <f>IFERROR(INDEX('G-6 Hedgerow Data'!$BJ$3:$BJ$15,MATCH(D77,'G-6 Hedgerow Data'!$B$3:$B$15,0)),"")</f>
        <v/>
      </c>
    </row>
    <row r="78" spans="2:34" ht="15">
      <c r="B78" s="110">
        <v>67</v>
      </c>
      <c r="C78" s="216"/>
      <c r="D78" s="63"/>
      <c r="E78" s="165"/>
      <c r="F78" s="362" t="str">
        <f>IF(D78="","",VLOOKUP(D78,'G-6 Hedgerow Data'!$B$2:$AG$15,2,FALSE))</f>
        <v/>
      </c>
      <c r="G78" s="386" t="str">
        <f>IF(D78="","",VLOOKUP(D78,'G-6 Hedgerow Data'!$B$2:$AG$15,3,FALSE))</f>
        <v/>
      </c>
      <c r="H78" s="55"/>
      <c r="I78" s="363" t="str">
        <f>IFERROR(IF(AND(F78="V.Low",OR(H78="Good",H78="Moderate")),"Error ▲",VLOOKUP(H78,'G-1 All Habitats'!$Z$2:$AA$9,2,FALSE)),"")</f>
        <v/>
      </c>
      <c r="J78" s="115"/>
      <c r="K78" s="382" t="str">
        <f>IF(J78="","",IF(VLOOKUP(J78,'G-3 Multipliers'!$L$3:$N$6,2,FALSE)=0,"Spatial Data Missing",VLOOKUP(J78,'G-3 Multipliers'!$L$3:$N$6,2,FALSE)))</f>
        <v/>
      </c>
      <c r="L78" s="386" t="str">
        <f>IF(J78="","",IF(VLOOKUP(J78,'G-3 Multipliers'!$L$3:$N$6,3,FALSE)=0,"Spatial Data Missing",VLOOKUP(J78,'G-3 Multipliers'!$L$3:$N$6,3,FALSE)))</f>
        <v/>
      </c>
      <c r="M78" s="160"/>
      <c r="N78" s="363" t="str">
        <f>IF(M78="","",IF(VLOOKUP(M78,'G-3 Multipliers'!$S$3:$T$10,2,FALSE)=0,"Spatial Data Missing ⚠",VLOOKUP(M78,'G-3 Multipliers'!$S$3:$T$10,2,FALSE)))</f>
        <v/>
      </c>
      <c r="O78" s="362" t="str">
        <f>IF(OR(D78="",H78=""),"",(INDEX('G-6 Hedgerow Data'!$E$3:$I$15,MATCH(D78,'G-6 Hedgerow Data'!$B$3:$B$15,0),MATCH(H78,'G-6 Hedgerow Data'!$E$2:$I$2,0))))</f>
        <v/>
      </c>
      <c r="P78" s="159"/>
      <c r="Q78" s="159"/>
      <c r="R78" s="370" t="str">
        <f t="shared" si="8"/>
        <v/>
      </c>
      <c r="S78" s="383" t="str">
        <f t="shared" si="9"/>
        <v/>
      </c>
      <c r="T78" s="384" t="str">
        <f t="shared" si="7"/>
        <v/>
      </c>
      <c r="U78" s="398" t="str">
        <f>IF(D78="","",VLOOKUP(D78,'G-6 Hedgerow Data'!$B$3:$AG$15,31,FALSE))</f>
        <v/>
      </c>
      <c r="V78" s="382" t="str">
        <f t="shared" si="10"/>
        <v/>
      </c>
      <c r="W78" s="382" t="str">
        <f t="shared" si="11"/>
        <v/>
      </c>
      <c r="X78" s="386" t="str">
        <f>IF(F78="","",VLOOKUP(U78,'G-3 Multipliers'!$P$3:$Q$6,2,FALSE))</f>
        <v/>
      </c>
      <c r="Y78" s="390" t="str">
        <f t="shared" si="12"/>
        <v/>
      </c>
      <c r="Z78" s="390" t="str">
        <f t="shared" si="13"/>
        <v/>
      </c>
      <c r="AA78" s="117"/>
      <c r="AB78" s="118"/>
      <c r="AC78" s="120"/>
      <c r="AD78" s="120"/>
      <c r="AH78" s="30" t="str">
        <f>IFERROR(INDEX('G-6 Hedgerow Data'!$BJ$3:$BJ$15,MATCH(D78,'G-6 Hedgerow Data'!$B$3:$B$15,0)),"")</f>
        <v/>
      </c>
    </row>
    <row r="79" spans="2:34" ht="15">
      <c r="B79" s="110">
        <v>68</v>
      </c>
      <c r="C79" s="216"/>
      <c r="D79" s="63"/>
      <c r="E79" s="165"/>
      <c r="F79" s="362" t="str">
        <f>IF(D79="","",VLOOKUP(D79,'G-6 Hedgerow Data'!$B$2:$AG$15,2,FALSE))</f>
        <v/>
      </c>
      <c r="G79" s="386" t="str">
        <f>IF(D79="","",VLOOKUP(D79,'G-6 Hedgerow Data'!$B$2:$AG$15,3,FALSE))</f>
        <v/>
      </c>
      <c r="H79" s="55"/>
      <c r="I79" s="363" t="str">
        <f>IFERROR(IF(AND(F79="V.Low",OR(H79="Good",H79="Moderate")),"Error ▲",VLOOKUP(H79,'G-1 All Habitats'!$Z$2:$AA$9,2,FALSE)),"")</f>
        <v/>
      </c>
      <c r="J79" s="115"/>
      <c r="K79" s="382" t="str">
        <f>IF(J79="","",IF(VLOOKUP(J79,'G-3 Multipliers'!$L$3:$N$6,2,FALSE)=0,"Spatial Data Missing",VLOOKUP(J79,'G-3 Multipliers'!$L$3:$N$6,2,FALSE)))</f>
        <v/>
      </c>
      <c r="L79" s="386" t="str">
        <f>IF(J79="","",IF(VLOOKUP(J79,'G-3 Multipliers'!$L$3:$N$6,3,FALSE)=0,"Spatial Data Missing",VLOOKUP(J79,'G-3 Multipliers'!$L$3:$N$6,3,FALSE)))</f>
        <v/>
      </c>
      <c r="M79" s="160"/>
      <c r="N79" s="363" t="str">
        <f>IF(M79="","",IF(VLOOKUP(M79,'G-3 Multipliers'!$S$3:$T$10,2,FALSE)=0,"Spatial Data Missing ⚠",VLOOKUP(M79,'G-3 Multipliers'!$S$3:$T$10,2,FALSE)))</f>
        <v/>
      </c>
      <c r="O79" s="362" t="str">
        <f>IF(OR(D79="",H79=""),"",(INDEX('G-6 Hedgerow Data'!$E$3:$I$15,MATCH(D79,'G-6 Hedgerow Data'!$B$3:$B$15,0),MATCH(H79,'G-6 Hedgerow Data'!$E$2:$I$2,0))))</f>
        <v/>
      </c>
      <c r="P79" s="159"/>
      <c r="Q79" s="159"/>
      <c r="R79" s="370" t="str">
        <f t="shared" si="8"/>
        <v/>
      </c>
      <c r="S79" s="383" t="str">
        <f t="shared" si="9"/>
        <v/>
      </c>
      <c r="T79" s="384" t="str">
        <f t="shared" si="7"/>
        <v/>
      </c>
      <c r="U79" s="398" t="str">
        <f>IF(D79="","",VLOOKUP(D79,'G-6 Hedgerow Data'!$B$3:$AG$15,31,FALSE))</f>
        <v/>
      </c>
      <c r="V79" s="382" t="str">
        <f t="shared" si="10"/>
        <v/>
      </c>
      <c r="W79" s="382" t="str">
        <f t="shared" si="11"/>
        <v/>
      </c>
      <c r="X79" s="386" t="str">
        <f>IF(F79="","",VLOOKUP(U79,'G-3 Multipliers'!$P$3:$Q$6,2,FALSE))</f>
        <v/>
      </c>
      <c r="Y79" s="390" t="str">
        <f t="shared" si="12"/>
        <v/>
      </c>
      <c r="Z79" s="390" t="str">
        <f t="shared" si="13"/>
        <v/>
      </c>
      <c r="AA79" s="117"/>
      <c r="AB79" s="118"/>
      <c r="AC79" s="120"/>
      <c r="AD79" s="120"/>
      <c r="AH79" s="30" t="str">
        <f>IFERROR(INDEX('G-6 Hedgerow Data'!$BJ$3:$BJ$15,MATCH(D79,'G-6 Hedgerow Data'!$B$3:$B$15,0)),"")</f>
        <v/>
      </c>
    </row>
    <row r="80" spans="2:34" ht="15">
      <c r="B80" s="110">
        <v>69</v>
      </c>
      <c r="C80" s="216"/>
      <c r="D80" s="63"/>
      <c r="E80" s="165"/>
      <c r="F80" s="362" t="str">
        <f>IF(D80="","",VLOOKUP(D80,'G-6 Hedgerow Data'!$B$2:$AG$15,2,FALSE))</f>
        <v/>
      </c>
      <c r="G80" s="386" t="str">
        <f>IF(D80="","",VLOOKUP(D80,'G-6 Hedgerow Data'!$B$2:$AG$15,3,FALSE))</f>
        <v/>
      </c>
      <c r="H80" s="55"/>
      <c r="I80" s="363" t="str">
        <f>IFERROR(IF(AND(F80="V.Low",OR(H80="Good",H80="Moderate")),"Error ▲",VLOOKUP(H80,'G-1 All Habitats'!$Z$2:$AA$9,2,FALSE)),"")</f>
        <v/>
      </c>
      <c r="J80" s="115"/>
      <c r="K80" s="382" t="str">
        <f>IF(J80="","",IF(VLOOKUP(J80,'G-3 Multipliers'!$L$3:$N$6,2,FALSE)=0,"Spatial Data Missing",VLOOKUP(J80,'G-3 Multipliers'!$L$3:$N$6,2,FALSE)))</f>
        <v/>
      </c>
      <c r="L80" s="386" t="str">
        <f>IF(J80="","",IF(VLOOKUP(J80,'G-3 Multipliers'!$L$3:$N$6,3,FALSE)=0,"Spatial Data Missing",VLOOKUP(J80,'G-3 Multipliers'!$L$3:$N$6,3,FALSE)))</f>
        <v/>
      </c>
      <c r="M80" s="160"/>
      <c r="N80" s="363" t="str">
        <f>IF(M80="","",IF(VLOOKUP(M80,'G-3 Multipliers'!$S$3:$T$10,2,FALSE)=0,"Spatial Data Missing ⚠",VLOOKUP(M80,'G-3 Multipliers'!$S$3:$T$10,2,FALSE)))</f>
        <v/>
      </c>
      <c r="O80" s="362" t="str">
        <f>IF(OR(D80="",H80=""),"",(INDEX('G-6 Hedgerow Data'!$E$3:$I$15,MATCH(D80,'G-6 Hedgerow Data'!$B$3:$B$15,0),MATCH(H80,'G-6 Hedgerow Data'!$E$2:$I$2,0))))</f>
        <v/>
      </c>
      <c r="P80" s="159"/>
      <c r="Q80" s="159"/>
      <c r="R80" s="370" t="str">
        <f t="shared" si="8"/>
        <v/>
      </c>
      <c r="S80" s="383" t="str">
        <f t="shared" si="9"/>
        <v/>
      </c>
      <c r="T80" s="384" t="str">
        <f t="shared" si="7"/>
        <v/>
      </c>
      <c r="U80" s="398" t="str">
        <f>IF(D80="","",VLOOKUP(D80,'G-6 Hedgerow Data'!$B$3:$AG$15,31,FALSE))</f>
        <v/>
      </c>
      <c r="V80" s="382" t="str">
        <f t="shared" si="10"/>
        <v/>
      </c>
      <c r="W80" s="382" t="str">
        <f t="shared" si="11"/>
        <v/>
      </c>
      <c r="X80" s="386" t="str">
        <f>IF(F80="","",VLOOKUP(U80,'G-3 Multipliers'!$P$3:$Q$6,2,FALSE))</f>
        <v/>
      </c>
      <c r="Y80" s="390" t="str">
        <f t="shared" si="12"/>
        <v/>
      </c>
      <c r="Z80" s="390" t="str">
        <f t="shared" si="13"/>
        <v/>
      </c>
      <c r="AA80" s="117"/>
      <c r="AB80" s="118"/>
      <c r="AC80" s="120"/>
      <c r="AD80" s="120"/>
      <c r="AH80" s="30" t="str">
        <f>IFERROR(INDEX('G-6 Hedgerow Data'!$BJ$3:$BJ$15,MATCH(D80,'G-6 Hedgerow Data'!$B$3:$B$15,0)),"")</f>
        <v/>
      </c>
    </row>
    <row r="81" spans="2:34" ht="15">
      <c r="B81" s="110">
        <v>70</v>
      </c>
      <c r="C81" s="216"/>
      <c r="D81" s="63"/>
      <c r="E81" s="165"/>
      <c r="F81" s="362" t="str">
        <f>IF(D81="","",VLOOKUP(D81,'G-6 Hedgerow Data'!$B$2:$AG$15,2,FALSE))</f>
        <v/>
      </c>
      <c r="G81" s="386" t="str">
        <f>IF(D81="","",VLOOKUP(D81,'G-6 Hedgerow Data'!$B$2:$AG$15,3,FALSE))</f>
        <v/>
      </c>
      <c r="H81" s="55"/>
      <c r="I81" s="363" t="str">
        <f>IFERROR(IF(AND(F81="V.Low",OR(H81="Good",H81="Moderate")),"Error ▲",VLOOKUP(H81,'G-1 All Habitats'!$Z$2:$AA$9,2,FALSE)),"")</f>
        <v/>
      </c>
      <c r="J81" s="115"/>
      <c r="K81" s="382" t="str">
        <f>IF(J81="","",IF(VLOOKUP(J81,'G-3 Multipliers'!$L$3:$N$6,2,FALSE)=0,"Spatial Data Missing",VLOOKUP(J81,'G-3 Multipliers'!$L$3:$N$6,2,FALSE)))</f>
        <v/>
      </c>
      <c r="L81" s="386" t="str">
        <f>IF(J81="","",IF(VLOOKUP(J81,'G-3 Multipliers'!$L$3:$N$6,3,FALSE)=0,"Spatial Data Missing",VLOOKUP(J81,'G-3 Multipliers'!$L$3:$N$6,3,FALSE)))</f>
        <v/>
      </c>
      <c r="M81" s="160"/>
      <c r="N81" s="363" t="str">
        <f>IF(M81="","",IF(VLOOKUP(M81,'G-3 Multipliers'!$S$3:$T$10,2,FALSE)=0,"Spatial Data Missing ⚠",VLOOKUP(M81,'G-3 Multipliers'!$S$3:$T$10,2,FALSE)))</f>
        <v/>
      </c>
      <c r="O81" s="362" t="str">
        <f>IF(OR(D81="",H81=""),"",(INDEX('G-6 Hedgerow Data'!$E$3:$I$15,MATCH(D81,'G-6 Hedgerow Data'!$B$3:$B$15,0),MATCH(H81,'G-6 Hedgerow Data'!$E$2:$I$2,0))))</f>
        <v/>
      </c>
      <c r="P81" s="159"/>
      <c r="Q81" s="159"/>
      <c r="R81" s="370" t="str">
        <f t="shared" si="8"/>
        <v/>
      </c>
      <c r="S81" s="383" t="str">
        <f t="shared" si="9"/>
        <v/>
      </c>
      <c r="T81" s="384" t="str">
        <f t="shared" si="7"/>
        <v/>
      </c>
      <c r="U81" s="398" t="str">
        <f>IF(D81="","",VLOOKUP(D81,'G-6 Hedgerow Data'!$B$3:$AG$15,31,FALSE))</f>
        <v/>
      </c>
      <c r="V81" s="382" t="str">
        <f t="shared" si="10"/>
        <v/>
      </c>
      <c r="W81" s="382" t="str">
        <f t="shared" si="11"/>
        <v/>
      </c>
      <c r="X81" s="386" t="str">
        <f>IF(F81="","",VLOOKUP(U81,'G-3 Multipliers'!$P$3:$Q$6,2,FALSE))</f>
        <v/>
      </c>
      <c r="Y81" s="390" t="str">
        <f t="shared" si="12"/>
        <v/>
      </c>
      <c r="Z81" s="390" t="str">
        <f t="shared" si="13"/>
        <v/>
      </c>
      <c r="AA81" s="117"/>
      <c r="AB81" s="118"/>
      <c r="AC81" s="120"/>
      <c r="AD81" s="120"/>
      <c r="AH81" s="30" t="str">
        <f>IFERROR(INDEX('G-6 Hedgerow Data'!$BJ$3:$BJ$15,MATCH(D81,'G-6 Hedgerow Data'!$B$3:$B$15,0)),"")</f>
        <v/>
      </c>
    </row>
    <row r="82" spans="2:34" ht="15">
      <c r="B82" s="110">
        <v>71</v>
      </c>
      <c r="C82" s="216"/>
      <c r="D82" s="63"/>
      <c r="E82" s="165"/>
      <c r="F82" s="362" t="str">
        <f>IF(D82="","",VLOOKUP(D82,'G-6 Hedgerow Data'!$B$2:$AG$15,2,FALSE))</f>
        <v/>
      </c>
      <c r="G82" s="386" t="str">
        <f>IF(D82="","",VLOOKUP(D82,'G-6 Hedgerow Data'!$B$2:$AG$15,3,FALSE))</f>
        <v/>
      </c>
      <c r="H82" s="55"/>
      <c r="I82" s="363" t="str">
        <f>IFERROR(IF(AND(F82="V.Low",OR(H82="Good",H82="Moderate")),"Error ▲",VLOOKUP(H82,'G-1 All Habitats'!$Z$2:$AA$9,2,FALSE)),"")</f>
        <v/>
      </c>
      <c r="J82" s="115"/>
      <c r="K82" s="382" t="str">
        <f>IF(J82="","",IF(VLOOKUP(J82,'G-3 Multipliers'!$L$3:$N$6,2,FALSE)=0,"Spatial Data Missing",VLOOKUP(J82,'G-3 Multipliers'!$L$3:$N$6,2,FALSE)))</f>
        <v/>
      </c>
      <c r="L82" s="386" t="str">
        <f>IF(J82="","",IF(VLOOKUP(J82,'G-3 Multipliers'!$L$3:$N$6,3,FALSE)=0,"Spatial Data Missing",VLOOKUP(J82,'G-3 Multipliers'!$L$3:$N$6,3,FALSE)))</f>
        <v/>
      </c>
      <c r="M82" s="160"/>
      <c r="N82" s="363" t="str">
        <f>IF(M82="","",IF(VLOOKUP(M82,'G-3 Multipliers'!$S$3:$T$10,2,FALSE)=0,"Spatial Data Missing ⚠",VLOOKUP(M82,'G-3 Multipliers'!$S$3:$T$10,2,FALSE)))</f>
        <v/>
      </c>
      <c r="O82" s="362" t="str">
        <f>IF(OR(D82="",H82=""),"",(INDEX('G-6 Hedgerow Data'!$E$3:$I$15,MATCH(D82,'G-6 Hedgerow Data'!$B$3:$B$15,0),MATCH(H82,'G-6 Hedgerow Data'!$E$2:$I$2,0))))</f>
        <v/>
      </c>
      <c r="P82" s="159"/>
      <c r="Q82" s="159"/>
      <c r="R82" s="370" t="str">
        <f t="shared" si="8"/>
        <v/>
      </c>
      <c r="S82" s="383" t="str">
        <f t="shared" si="9"/>
        <v/>
      </c>
      <c r="T82" s="384" t="str">
        <f t="shared" si="7"/>
        <v/>
      </c>
      <c r="U82" s="398" t="str">
        <f>IF(D82="","",VLOOKUP(D82,'G-6 Hedgerow Data'!$B$3:$AG$15,31,FALSE))</f>
        <v/>
      </c>
      <c r="V82" s="382" t="str">
        <f t="shared" si="10"/>
        <v/>
      </c>
      <c r="W82" s="382" t="str">
        <f t="shared" si="11"/>
        <v/>
      </c>
      <c r="X82" s="386" t="str">
        <f>IF(F82="","",VLOOKUP(U82,'G-3 Multipliers'!$P$3:$Q$6,2,FALSE))</f>
        <v/>
      </c>
      <c r="Y82" s="390" t="str">
        <f t="shared" si="12"/>
        <v/>
      </c>
      <c r="Z82" s="390" t="str">
        <f t="shared" si="13"/>
        <v/>
      </c>
      <c r="AA82" s="117"/>
      <c r="AB82" s="118"/>
      <c r="AC82" s="120"/>
      <c r="AD82" s="120"/>
      <c r="AH82" s="30" t="str">
        <f>IFERROR(INDEX('G-6 Hedgerow Data'!$BJ$3:$BJ$15,MATCH(D82,'G-6 Hedgerow Data'!$B$3:$B$15,0)),"")</f>
        <v/>
      </c>
    </row>
    <row r="83" spans="2:34" ht="15">
      <c r="B83" s="110">
        <v>72</v>
      </c>
      <c r="C83" s="216"/>
      <c r="D83" s="63"/>
      <c r="E83" s="165"/>
      <c r="F83" s="362" t="str">
        <f>IF(D83="","",VLOOKUP(D83,'G-6 Hedgerow Data'!$B$2:$AG$15,2,FALSE))</f>
        <v/>
      </c>
      <c r="G83" s="386" t="str">
        <f>IF(D83="","",VLOOKUP(D83,'G-6 Hedgerow Data'!$B$2:$AG$15,3,FALSE))</f>
        <v/>
      </c>
      <c r="H83" s="55"/>
      <c r="I83" s="363" t="str">
        <f>IFERROR(IF(AND(F83="V.Low",OR(H83="Good",H83="Moderate")),"Error ▲",VLOOKUP(H83,'G-1 All Habitats'!$Z$2:$AA$9,2,FALSE)),"")</f>
        <v/>
      </c>
      <c r="J83" s="115"/>
      <c r="K83" s="382" t="str">
        <f>IF(J83="","",IF(VLOOKUP(J83,'G-3 Multipliers'!$L$3:$N$6,2,FALSE)=0,"Spatial Data Missing",VLOOKUP(J83,'G-3 Multipliers'!$L$3:$N$6,2,FALSE)))</f>
        <v/>
      </c>
      <c r="L83" s="386" t="str">
        <f>IF(J83="","",IF(VLOOKUP(J83,'G-3 Multipliers'!$L$3:$N$6,3,FALSE)=0,"Spatial Data Missing",VLOOKUP(J83,'G-3 Multipliers'!$L$3:$N$6,3,FALSE)))</f>
        <v/>
      </c>
      <c r="M83" s="160"/>
      <c r="N83" s="363" t="str">
        <f>IF(M83="","",IF(VLOOKUP(M83,'G-3 Multipliers'!$S$3:$T$10,2,FALSE)=0,"Spatial Data Missing ⚠",VLOOKUP(M83,'G-3 Multipliers'!$S$3:$T$10,2,FALSE)))</f>
        <v/>
      </c>
      <c r="O83" s="362" t="str">
        <f>IF(OR(D83="",H83=""),"",(INDEX('G-6 Hedgerow Data'!$E$3:$I$15,MATCH(D83,'G-6 Hedgerow Data'!$B$3:$B$15,0),MATCH(H83,'G-6 Hedgerow Data'!$E$2:$I$2,0))))</f>
        <v/>
      </c>
      <c r="P83" s="159"/>
      <c r="Q83" s="159"/>
      <c r="R83" s="370" t="str">
        <f t="shared" si="8"/>
        <v/>
      </c>
      <c r="S83" s="383" t="str">
        <f t="shared" si="9"/>
        <v/>
      </c>
      <c r="T83" s="384" t="str">
        <f t="shared" si="7"/>
        <v/>
      </c>
      <c r="U83" s="398" t="str">
        <f>IF(D83="","",VLOOKUP(D83,'G-6 Hedgerow Data'!$B$3:$AG$15,31,FALSE))</f>
        <v/>
      </c>
      <c r="V83" s="382" t="str">
        <f t="shared" si="10"/>
        <v/>
      </c>
      <c r="W83" s="382" t="str">
        <f t="shared" si="11"/>
        <v/>
      </c>
      <c r="X83" s="386" t="str">
        <f>IF(F83="","",VLOOKUP(U83,'G-3 Multipliers'!$P$3:$Q$6,2,FALSE))</f>
        <v/>
      </c>
      <c r="Y83" s="390" t="str">
        <f t="shared" si="12"/>
        <v/>
      </c>
      <c r="Z83" s="390" t="str">
        <f t="shared" si="13"/>
        <v/>
      </c>
      <c r="AA83" s="117"/>
      <c r="AB83" s="118"/>
      <c r="AC83" s="120"/>
      <c r="AD83" s="120"/>
      <c r="AH83" s="30" t="str">
        <f>IFERROR(INDEX('G-6 Hedgerow Data'!$BJ$3:$BJ$15,MATCH(D83,'G-6 Hedgerow Data'!$B$3:$B$15,0)),"")</f>
        <v/>
      </c>
    </row>
    <row r="84" spans="2:34" ht="15">
      <c r="B84" s="110">
        <v>73</v>
      </c>
      <c r="C84" s="216"/>
      <c r="D84" s="63"/>
      <c r="E84" s="165"/>
      <c r="F84" s="362" t="str">
        <f>IF(D84="","",VLOOKUP(D84,'G-6 Hedgerow Data'!$B$2:$AG$15,2,FALSE))</f>
        <v/>
      </c>
      <c r="G84" s="386" t="str">
        <f>IF(D84="","",VLOOKUP(D84,'G-6 Hedgerow Data'!$B$2:$AG$15,3,FALSE))</f>
        <v/>
      </c>
      <c r="H84" s="55"/>
      <c r="I84" s="363" t="str">
        <f>IFERROR(IF(AND(F84="V.Low",OR(H84="Good",H84="Moderate")),"Error ▲",VLOOKUP(H84,'G-1 All Habitats'!$Z$2:$AA$9,2,FALSE)),"")</f>
        <v/>
      </c>
      <c r="J84" s="115"/>
      <c r="K84" s="382" t="str">
        <f>IF(J84="","",IF(VLOOKUP(J84,'G-3 Multipliers'!$L$3:$N$6,2,FALSE)=0,"Spatial Data Missing",VLOOKUP(J84,'G-3 Multipliers'!$L$3:$N$6,2,FALSE)))</f>
        <v/>
      </c>
      <c r="L84" s="386" t="str">
        <f>IF(J84="","",IF(VLOOKUP(J84,'G-3 Multipliers'!$L$3:$N$6,3,FALSE)=0,"Spatial Data Missing",VLOOKUP(J84,'G-3 Multipliers'!$L$3:$N$6,3,FALSE)))</f>
        <v/>
      </c>
      <c r="M84" s="160"/>
      <c r="N84" s="363" t="str">
        <f>IF(M84="","",IF(VLOOKUP(M84,'G-3 Multipliers'!$S$3:$T$10,2,FALSE)=0,"Spatial Data Missing ⚠",VLOOKUP(M84,'G-3 Multipliers'!$S$3:$T$10,2,FALSE)))</f>
        <v/>
      </c>
      <c r="O84" s="362" t="str">
        <f>IF(OR(D84="",H84=""),"",(INDEX('G-6 Hedgerow Data'!$E$3:$I$15,MATCH(D84,'G-6 Hedgerow Data'!$B$3:$B$15,0),MATCH(H84,'G-6 Hedgerow Data'!$E$2:$I$2,0))))</f>
        <v/>
      </c>
      <c r="P84" s="159"/>
      <c r="Q84" s="159"/>
      <c r="R84" s="370" t="str">
        <f t="shared" si="8"/>
        <v/>
      </c>
      <c r="S84" s="383" t="str">
        <f t="shared" si="9"/>
        <v/>
      </c>
      <c r="T84" s="384" t="str">
        <f t="shared" si="7"/>
        <v/>
      </c>
      <c r="U84" s="398" t="str">
        <f>IF(D84="","",VLOOKUP(D84,'G-6 Hedgerow Data'!$B$3:$AG$15,31,FALSE))</f>
        <v/>
      </c>
      <c r="V84" s="382" t="str">
        <f t="shared" si="10"/>
        <v/>
      </c>
      <c r="W84" s="382" t="str">
        <f t="shared" si="11"/>
        <v/>
      </c>
      <c r="X84" s="386" t="str">
        <f>IF(F84="","",VLOOKUP(U84,'G-3 Multipliers'!$P$3:$Q$6,2,FALSE))</f>
        <v/>
      </c>
      <c r="Y84" s="390" t="str">
        <f t="shared" si="12"/>
        <v/>
      </c>
      <c r="Z84" s="390" t="str">
        <f t="shared" si="13"/>
        <v/>
      </c>
      <c r="AA84" s="117"/>
      <c r="AB84" s="118"/>
      <c r="AC84" s="120"/>
      <c r="AD84" s="120"/>
      <c r="AH84" s="30" t="str">
        <f>IFERROR(INDEX('G-6 Hedgerow Data'!$BJ$3:$BJ$15,MATCH(D84,'G-6 Hedgerow Data'!$B$3:$B$15,0)),"")</f>
        <v/>
      </c>
    </row>
    <row r="85" spans="2:34" ht="15">
      <c r="B85" s="110">
        <v>74</v>
      </c>
      <c r="C85" s="216"/>
      <c r="D85" s="63"/>
      <c r="E85" s="165"/>
      <c r="F85" s="362" t="str">
        <f>IF(D85="","",VLOOKUP(D85,'G-6 Hedgerow Data'!$B$2:$AG$15,2,FALSE))</f>
        <v/>
      </c>
      <c r="G85" s="386" t="str">
        <f>IF(D85="","",VLOOKUP(D85,'G-6 Hedgerow Data'!$B$2:$AG$15,3,FALSE))</f>
        <v/>
      </c>
      <c r="H85" s="55"/>
      <c r="I85" s="363" t="str">
        <f>IFERROR(IF(AND(F85="V.Low",OR(H85="Good",H85="Moderate")),"Error ▲",VLOOKUP(H85,'G-1 All Habitats'!$Z$2:$AA$9,2,FALSE)),"")</f>
        <v/>
      </c>
      <c r="J85" s="115"/>
      <c r="K85" s="382" t="str">
        <f>IF(J85="","",IF(VLOOKUP(J85,'G-3 Multipliers'!$L$3:$N$6,2,FALSE)=0,"Spatial Data Missing",VLOOKUP(J85,'G-3 Multipliers'!$L$3:$N$6,2,FALSE)))</f>
        <v/>
      </c>
      <c r="L85" s="386" t="str">
        <f>IF(J85="","",IF(VLOOKUP(J85,'G-3 Multipliers'!$L$3:$N$6,3,FALSE)=0,"Spatial Data Missing",VLOOKUP(J85,'G-3 Multipliers'!$L$3:$N$6,3,FALSE)))</f>
        <v/>
      </c>
      <c r="M85" s="160"/>
      <c r="N85" s="363" t="str">
        <f>IF(M85="","",IF(VLOOKUP(M85,'G-3 Multipliers'!$S$3:$T$10,2,FALSE)=0,"Spatial Data Missing ⚠",VLOOKUP(M85,'G-3 Multipliers'!$S$3:$T$10,2,FALSE)))</f>
        <v/>
      </c>
      <c r="O85" s="362" t="str">
        <f>IF(OR(D85="",H85=""),"",(INDEX('G-6 Hedgerow Data'!$E$3:$I$15,MATCH(D85,'G-6 Hedgerow Data'!$B$3:$B$15,0),MATCH(H85,'G-6 Hedgerow Data'!$E$2:$I$2,0))))</f>
        <v/>
      </c>
      <c r="P85" s="159"/>
      <c r="Q85" s="159"/>
      <c r="R85" s="370" t="str">
        <f t="shared" si="8"/>
        <v/>
      </c>
      <c r="S85" s="383" t="str">
        <f t="shared" si="9"/>
        <v/>
      </c>
      <c r="T85" s="384" t="str">
        <f t="shared" si="7"/>
        <v/>
      </c>
      <c r="U85" s="398" t="str">
        <f>IF(D85="","",VLOOKUP(D85,'G-6 Hedgerow Data'!$B$3:$AG$15,31,FALSE))</f>
        <v/>
      </c>
      <c r="V85" s="382" t="str">
        <f t="shared" si="10"/>
        <v/>
      </c>
      <c r="W85" s="382" t="str">
        <f t="shared" si="11"/>
        <v/>
      </c>
      <c r="X85" s="386" t="str">
        <f>IF(F85="","",VLOOKUP(U85,'G-3 Multipliers'!$P$3:$Q$6,2,FALSE))</f>
        <v/>
      </c>
      <c r="Y85" s="390" t="str">
        <f t="shared" si="12"/>
        <v/>
      </c>
      <c r="Z85" s="390" t="str">
        <f t="shared" si="13"/>
        <v/>
      </c>
      <c r="AA85" s="117"/>
      <c r="AB85" s="118"/>
      <c r="AC85" s="120"/>
      <c r="AD85" s="120"/>
      <c r="AH85" s="30" t="str">
        <f>IFERROR(INDEX('G-6 Hedgerow Data'!$BJ$3:$BJ$15,MATCH(D85,'G-6 Hedgerow Data'!$B$3:$B$15,0)),"")</f>
        <v/>
      </c>
    </row>
    <row r="86" spans="2:34" ht="15">
      <c r="B86" s="110">
        <v>75</v>
      </c>
      <c r="C86" s="216"/>
      <c r="D86" s="63"/>
      <c r="E86" s="165"/>
      <c r="F86" s="362" t="str">
        <f>IF(D86="","",VLOOKUP(D86,'G-6 Hedgerow Data'!$B$2:$AG$15,2,FALSE))</f>
        <v/>
      </c>
      <c r="G86" s="386" t="str">
        <f>IF(D86="","",VLOOKUP(D86,'G-6 Hedgerow Data'!$B$2:$AG$15,3,FALSE))</f>
        <v/>
      </c>
      <c r="H86" s="55"/>
      <c r="I86" s="363" t="str">
        <f>IFERROR(IF(AND(F86="V.Low",OR(H86="Good",H86="Moderate")),"Error ▲",VLOOKUP(H86,'G-1 All Habitats'!$Z$2:$AA$9,2,FALSE)),"")</f>
        <v/>
      </c>
      <c r="J86" s="115"/>
      <c r="K86" s="382" t="str">
        <f>IF(J86="","",IF(VLOOKUP(J86,'G-3 Multipliers'!$L$3:$N$6,2,FALSE)=0,"Spatial Data Missing",VLOOKUP(J86,'G-3 Multipliers'!$L$3:$N$6,2,FALSE)))</f>
        <v/>
      </c>
      <c r="L86" s="386" t="str">
        <f>IF(J86="","",IF(VLOOKUP(J86,'G-3 Multipliers'!$L$3:$N$6,3,FALSE)=0,"Spatial Data Missing",VLOOKUP(J86,'G-3 Multipliers'!$L$3:$N$6,3,FALSE)))</f>
        <v/>
      </c>
      <c r="M86" s="160"/>
      <c r="N86" s="363" t="str">
        <f>IF(M86="","",IF(VLOOKUP(M86,'G-3 Multipliers'!$S$3:$T$10,2,FALSE)=0,"Spatial Data Missing ⚠",VLOOKUP(M86,'G-3 Multipliers'!$S$3:$T$10,2,FALSE)))</f>
        <v/>
      </c>
      <c r="O86" s="362" t="str">
        <f>IF(OR(D86="",H86=""),"",(INDEX('G-6 Hedgerow Data'!$E$3:$I$15,MATCH(D86,'G-6 Hedgerow Data'!$B$3:$B$15,0),MATCH(H86,'G-6 Hedgerow Data'!$E$2:$I$2,0))))</f>
        <v/>
      </c>
      <c r="P86" s="159"/>
      <c r="Q86" s="159"/>
      <c r="R86" s="370" t="str">
        <f t="shared" si="8"/>
        <v/>
      </c>
      <c r="S86" s="383" t="str">
        <f t="shared" si="9"/>
        <v/>
      </c>
      <c r="T86" s="384" t="str">
        <f t="shared" si="7"/>
        <v/>
      </c>
      <c r="U86" s="398" t="str">
        <f>IF(D86="","",VLOOKUP(D86,'G-6 Hedgerow Data'!$B$3:$AG$15,31,FALSE))</f>
        <v/>
      </c>
      <c r="V86" s="382" t="str">
        <f t="shared" si="10"/>
        <v/>
      </c>
      <c r="W86" s="382" t="str">
        <f t="shared" si="11"/>
        <v/>
      </c>
      <c r="X86" s="386" t="str">
        <f>IF(F86="","",VLOOKUP(U86,'G-3 Multipliers'!$P$3:$Q$6,2,FALSE))</f>
        <v/>
      </c>
      <c r="Y86" s="390" t="str">
        <f t="shared" si="12"/>
        <v/>
      </c>
      <c r="Z86" s="390" t="str">
        <f t="shared" si="13"/>
        <v/>
      </c>
      <c r="AA86" s="117"/>
      <c r="AB86" s="118"/>
      <c r="AC86" s="120"/>
      <c r="AD86" s="120"/>
      <c r="AH86" s="30" t="str">
        <f>IFERROR(INDEX('G-6 Hedgerow Data'!$BJ$3:$BJ$15,MATCH(D86,'G-6 Hedgerow Data'!$B$3:$B$15,0)),"")</f>
        <v/>
      </c>
    </row>
    <row r="87" spans="2:34" ht="15">
      <c r="B87" s="110">
        <v>76</v>
      </c>
      <c r="C87" s="216"/>
      <c r="D87" s="63"/>
      <c r="E87" s="165"/>
      <c r="F87" s="362" t="str">
        <f>IF(D87="","",VLOOKUP(D87,'G-6 Hedgerow Data'!$B$2:$AG$15,2,FALSE))</f>
        <v/>
      </c>
      <c r="G87" s="386" t="str">
        <f>IF(D87="","",VLOOKUP(D87,'G-6 Hedgerow Data'!$B$2:$AG$15,3,FALSE))</f>
        <v/>
      </c>
      <c r="H87" s="55"/>
      <c r="I87" s="363" t="str">
        <f>IFERROR(IF(AND(F87="V.Low",OR(H87="Good",H87="Moderate")),"Error ▲",VLOOKUP(H87,'G-1 All Habitats'!$Z$2:$AA$9,2,FALSE)),"")</f>
        <v/>
      </c>
      <c r="J87" s="115"/>
      <c r="K87" s="382" t="str">
        <f>IF(J87="","",IF(VLOOKUP(J87,'G-3 Multipliers'!$L$3:$N$6,2,FALSE)=0,"Spatial Data Missing",VLOOKUP(J87,'G-3 Multipliers'!$L$3:$N$6,2,FALSE)))</f>
        <v/>
      </c>
      <c r="L87" s="386" t="str">
        <f>IF(J87="","",IF(VLOOKUP(J87,'G-3 Multipliers'!$L$3:$N$6,3,FALSE)=0,"Spatial Data Missing",VLOOKUP(J87,'G-3 Multipliers'!$L$3:$N$6,3,FALSE)))</f>
        <v/>
      </c>
      <c r="M87" s="160"/>
      <c r="N87" s="363" t="str">
        <f>IF(M87="","",IF(VLOOKUP(M87,'G-3 Multipliers'!$S$3:$T$10,2,FALSE)=0,"Spatial Data Missing ⚠",VLOOKUP(M87,'G-3 Multipliers'!$S$3:$T$10,2,FALSE)))</f>
        <v/>
      </c>
      <c r="O87" s="362" t="str">
        <f>IF(OR(D87="",H87=""),"",(INDEX('G-6 Hedgerow Data'!$E$3:$I$15,MATCH(D87,'G-6 Hedgerow Data'!$B$3:$B$15,0),MATCH(H87,'G-6 Hedgerow Data'!$E$2:$I$2,0))))</f>
        <v/>
      </c>
      <c r="P87" s="159"/>
      <c r="Q87" s="159"/>
      <c r="R87" s="370" t="str">
        <f t="shared" si="8"/>
        <v/>
      </c>
      <c r="S87" s="383" t="str">
        <f t="shared" si="9"/>
        <v/>
      </c>
      <c r="T87" s="384" t="str">
        <f t="shared" si="7"/>
        <v/>
      </c>
      <c r="U87" s="398" t="str">
        <f>IF(D87="","",VLOOKUP(D87,'G-6 Hedgerow Data'!$B$3:$AG$15,31,FALSE))</f>
        <v/>
      </c>
      <c r="V87" s="382" t="str">
        <f t="shared" si="10"/>
        <v/>
      </c>
      <c r="W87" s="382" t="str">
        <f t="shared" si="11"/>
        <v/>
      </c>
      <c r="X87" s="386" t="str">
        <f>IF(F87="","",VLOOKUP(U87,'G-3 Multipliers'!$P$3:$Q$6,2,FALSE))</f>
        <v/>
      </c>
      <c r="Y87" s="390" t="str">
        <f t="shared" si="12"/>
        <v/>
      </c>
      <c r="Z87" s="390" t="str">
        <f t="shared" si="13"/>
        <v/>
      </c>
      <c r="AA87" s="117"/>
      <c r="AB87" s="118"/>
      <c r="AC87" s="120"/>
      <c r="AD87" s="120"/>
      <c r="AH87" s="30" t="str">
        <f>IFERROR(INDEX('G-6 Hedgerow Data'!$BJ$3:$BJ$15,MATCH(D87,'G-6 Hedgerow Data'!$B$3:$B$15,0)),"")</f>
        <v/>
      </c>
    </row>
    <row r="88" spans="2:34" ht="15">
      <c r="B88" s="110">
        <v>77</v>
      </c>
      <c r="C88" s="216"/>
      <c r="D88" s="63"/>
      <c r="E88" s="165"/>
      <c r="F88" s="362" t="str">
        <f>IF(D88="","",VLOOKUP(D88,'G-6 Hedgerow Data'!$B$2:$AG$15,2,FALSE))</f>
        <v/>
      </c>
      <c r="G88" s="386" t="str">
        <f>IF(D88="","",VLOOKUP(D88,'G-6 Hedgerow Data'!$B$2:$AG$15,3,FALSE))</f>
        <v/>
      </c>
      <c r="H88" s="55"/>
      <c r="I88" s="363" t="str">
        <f>IFERROR(IF(AND(F88="V.Low",OR(H88="Good",H88="Moderate")),"Error ▲",VLOOKUP(H88,'G-1 All Habitats'!$Z$2:$AA$9,2,FALSE)),"")</f>
        <v/>
      </c>
      <c r="J88" s="115"/>
      <c r="K88" s="382" t="str">
        <f>IF(J88="","",IF(VLOOKUP(J88,'G-3 Multipliers'!$L$3:$N$6,2,FALSE)=0,"Spatial Data Missing",VLOOKUP(J88,'G-3 Multipliers'!$L$3:$N$6,2,FALSE)))</f>
        <v/>
      </c>
      <c r="L88" s="386" t="str">
        <f>IF(J88="","",IF(VLOOKUP(J88,'G-3 Multipliers'!$L$3:$N$6,3,FALSE)=0,"Spatial Data Missing",VLOOKUP(J88,'G-3 Multipliers'!$L$3:$N$6,3,FALSE)))</f>
        <v/>
      </c>
      <c r="M88" s="160"/>
      <c r="N88" s="363" t="str">
        <f>IF(M88="","",IF(VLOOKUP(M88,'G-3 Multipliers'!$S$3:$T$10,2,FALSE)=0,"Spatial Data Missing ⚠",VLOOKUP(M88,'G-3 Multipliers'!$S$3:$T$10,2,FALSE)))</f>
        <v/>
      </c>
      <c r="O88" s="362" t="str">
        <f>IF(OR(D88="",H88=""),"",(INDEX('G-6 Hedgerow Data'!$E$3:$I$15,MATCH(D88,'G-6 Hedgerow Data'!$B$3:$B$15,0),MATCH(H88,'G-6 Hedgerow Data'!$E$2:$I$2,0))))</f>
        <v/>
      </c>
      <c r="P88" s="159"/>
      <c r="Q88" s="159"/>
      <c r="R88" s="370" t="str">
        <f t="shared" si="8"/>
        <v/>
      </c>
      <c r="S88" s="383" t="str">
        <f t="shared" si="9"/>
        <v/>
      </c>
      <c r="T88" s="384" t="str">
        <f t="shared" si="7"/>
        <v/>
      </c>
      <c r="U88" s="398" t="str">
        <f>IF(D88="","",VLOOKUP(D88,'G-6 Hedgerow Data'!$B$3:$AG$15,31,FALSE))</f>
        <v/>
      </c>
      <c r="V88" s="382" t="str">
        <f t="shared" si="10"/>
        <v/>
      </c>
      <c r="W88" s="382" t="str">
        <f t="shared" si="11"/>
        <v/>
      </c>
      <c r="X88" s="386" t="str">
        <f>IF(F88="","",VLOOKUP(U88,'G-3 Multipliers'!$P$3:$Q$6,2,FALSE))</f>
        <v/>
      </c>
      <c r="Y88" s="390" t="str">
        <f t="shared" si="12"/>
        <v/>
      </c>
      <c r="Z88" s="390" t="str">
        <f t="shared" si="13"/>
        <v/>
      </c>
      <c r="AA88" s="117"/>
      <c r="AB88" s="118"/>
      <c r="AC88" s="120"/>
      <c r="AD88" s="120"/>
      <c r="AH88" s="30" t="str">
        <f>IFERROR(INDEX('G-6 Hedgerow Data'!$BJ$3:$BJ$15,MATCH(D88,'G-6 Hedgerow Data'!$B$3:$B$15,0)),"")</f>
        <v/>
      </c>
    </row>
    <row r="89" spans="2:34" ht="15">
      <c r="B89" s="110">
        <v>78</v>
      </c>
      <c r="C89" s="216"/>
      <c r="D89" s="63"/>
      <c r="E89" s="165"/>
      <c r="F89" s="362" t="str">
        <f>IF(D89="","",VLOOKUP(D89,'G-6 Hedgerow Data'!$B$2:$AG$15,2,FALSE))</f>
        <v/>
      </c>
      <c r="G89" s="386" t="str">
        <f>IF(D89="","",VLOOKUP(D89,'G-6 Hedgerow Data'!$B$2:$AG$15,3,FALSE))</f>
        <v/>
      </c>
      <c r="H89" s="55"/>
      <c r="I89" s="363" t="str">
        <f>IFERROR(IF(AND(F89="V.Low",OR(H89="Good",H89="Moderate")),"Error ▲",VLOOKUP(H89,'G-1 All Habitats'!$Z$2:$AA$9,2,FALSE)),"")</f>
        <v/>
      </c>
      <c r="J89" s="115"/>
      <c r="K89" s="382" t="str">
        <f>IF(J89="","",IF(VLOOKUP(J89,'G-3 Multipliers'!$L$3:$N$6,2,FALSE)=0,"Spatial Data Missing",VLOOKUP(J89,'G-3 Multipliers'!$L$3:$N$6,2,FALSE)))</f>
        <v/>
      </c>
      <c r="L89" s="386" t="str">
        <f>IF(J89="","",IF(VLOOKUP(J89,'G-3 Multipliers'!$L$3:$N$6,3,FALSE)=0,"Spatial Data Missing",VLOOKUP(J89,'G-3 Multipliers'!$L$3:$N$6,3,FALSE)))</f>
        <v/>
      </c>
      <c r="M89" s="160"/>
      <c r="N89" s="363" t="str">
        <f>IF(M89="","",IF(VLOOKUP(M89,'G-3 Multipliers'!$S$3:$T$10,2,FALSE)=0,"Spatial Data Missing ⚠",VLOOKUP(M89,'G-3 Multipliers'!$S$3:$T$10,2,FALSE)))</f>
        <v/>
      </c>
      <c r="O89" s="362" t="str">
        <f>IF(OR(D89="",H89=""),"",(INDEX('G-6 Hedgerow Data'!$E$3:$I$15,MATCH(D89,'G-6 Hedgerow Data'!$B$3:$B$15,0),MATCH(H89,'G-6 Hedgerow Data'!$E$2:$I$2,0))))</f>
        <v/>
      </c>
      <c r="P89" s="159"/>
      <c r="Q89" s="159"/>
      <c r="R89" s="370" t="str">
        <f t="shared" si="8"/>
        <v/>
      </c>
      <c r="S89" s="383" t="str">
        <f t="shared" si="9"/>
        <v/>
      </c>
      <c r="T89" s="384" t="str">
        <f t="shared" si="7"/>
        <v/>
      </c>
      <c r="U89" s="398" t="str">
        <f>IF(D89="","",VLOOKUP(D89,'G-6 Hedgerow Data'!$B$3:$AG$15,31,FALSE))</f>
        <v/>
      </c>
      <c r="V89" s="382" t="str">
        <f t="shared" si="10"/>
        <v/>
      </c>
      <c r="W89" s="382" t="str">
        <f t="shared" si="11"/>
        <v/>
      </c>
      <c r="X89" s="386" t="str">
        <f>IF(F89="","",VLOOKUP(U89,'G-3 Multipliers'!$P$3:$Q$6,2,FALSE))</f>
        <v/>
      </c>
      <c r="Y89" s="390" t="str">
        <f t="shared" si="12"/>
        <v/>
      </c>
      <c r="Z89" s="390" t="str">
        <f t="shared" si="13"/>
        <v/>
      </c>
      <c r="AA89" s="117"/>
      <c r="AB89" s="118"/>
      <c r="AC89" s="120"/>
      <c r="AD89" s="120"/>
      <c r="AH89" s="30" t="str">
        <f>IFERROR(INDEX('G-6 Hedgerow Data'!$BJ$3:$BJ$15,MATCH(D89,'G-6 Hedgerow Data'!$B$3:$B$15,0)),"")</f>
        <v/>
      </c>
    </row>
    <row r="90" spans="2:34" ht="15">
      <c r="B90" s="110">
        <v>79</v>
      </c>
      <c r="C90" s="216"/>
      <c r="D90" s="63"/>
      <c r="E90" s="165"/>
      <c r="F90" s="362" t="str">
        <f>IF(D90="","",VLOOKUP(D90,'G-6 Hedgerow Data'!$B$2:$AG$15,2,FALSE))</f>
        <v/>
      </c>
      <c r="G90" s="386" t="str">
        <f>IF(D90="","",VLOOKUP(D90,'G-6 Hedgerow Data'!$B$2:$AG$15,3,FALSE))</f>
        <v/>
      </c>
      <c r="H90" s="55"/>
      <c r="I90" s="363" t="str">
        <f>IFERROR(IF(AND(F90="V.Low",OR(H90="Good",H90="Moderate")),"Error ▲",VLOOKUP(H90,'G-1 All Habitats'!$Z$2:$AA$9,2,FALSE)),"")</f>
        <v/>
      </c>
      <c r="J90" s="115"/>
      <c r="K90" s="382" t="str">
        <f>IF(J90="","",IF(VLOOKUP(J90,'G-3 Multipliers'!$L$3:$N$6,2,FALSE)=0,"Spatial Data Missing",VLOOKUP(J90,'G-3 Multipliers'!$L$3:$N$6,2,FALSE)))</f>
        <v/>
      </c>
      <c r="L90" s="386" t="str">
        <f>IF(J90="","",IF(VLOOKUP(J90,'G-3 Multipliers'!$L$3:$N$6,3,FALSE)=0,"Spatial Data Missing",VLOOKUP(J90,'G-3 Multipliers'!$L$3:$N$6,3,FALSE)))</f>
        <v/>
      </c>
      <c r="M90" s="160"/>
      <c r="N90" s="363" t="str">
        <f>IF(M90="","",IF(VLOOKUP(M90,'G-3 Multipliers'!$S$3:$T$10,2,FALSE)=0,"Spatial Data Missing ⚠",VLOOKUP(M90,'G-3 Multipliers'!$S$3:$T$10,2,FALSE)))</f>
        <v/>
      </c>
      <c r="O90" s="362" t="str">
        <f>IF(OR(D90="",H90=""),"",(INDEX('G-6 Hedgerow Data'!$E$3:$I$15,MATCH(D90,'G-6 Hedgerow Data'!$B$3:$B$15,0),MATCH(H90,'G-6 Hedgerow Data'!$E$2:$I$2,0))))</f>
        <v/>
      </c>
      <c r="P90" s="159"/>
      <c r="Q90" s="159"/>
      <c r="R90" s="370" t="str">
        <f t="shared" si="8"/>
        <v/>
      </c>
      <c r="S90" s="383" t="str">
        <f t="shared" si="9"/>
        <v/>
      </c>
      <c r="T90" s="384" t="str">
        <f t="shared" si="7"/>
        <v/>
      </c>
      <c r="U90" s="398" t="str">
        <f>IF(D90="","",VLOOKUP(D90,'G-6 Hedgerow Data'!$B$3:$AG$15,31,FALSE))</f>
        <v/>
      </c>
      <c r="V90" s="382" t="str">
        <f t="shared" si="10"/>
        <v/>
      </c>
      <c r="W90" s="382" t="str">
        <f t="shared" si="11"/>
        <v/>
      </c>
      <c r="X90" s="386" t="str">
        <f>IF(F90="","",VLOOKUP(U90,'G-3 Multipliers'!$P$3:$Q$6,2,FALSE))</f>
        <v/>
      </c>
      <c r="Y90" s="390" t="str">
        <f t="shared" si="12"/>
        <v/>
      </c>
      <c r="Z90" s="390" t="str">
        <f t="shared" si="13"/>
        <v/>
      </c>
      <c r="AA90" s="117"/>
      <c r="AB90" s="118"/>
      <c r="AC90" s="120"/>
      <c r="AD90" s="120"/>
      <c r="AH90" s="30" t="str">
        <f>IFERROR(INDEX('G-6 Hedgerow Data'!$BJ$3:$BJ$15,MATCH(D90,'G-6 Hedgerow Data'!$B$3:$B$15,0)),"")</f>
        <v/>
      </c>
    </row>
    <row r="91" spans="2:34" ht="15">
      <c r="B91" s="110">
        <v>80</v>
      </c>
      <c r="C91" s="216"/>
      <c r="D91" s="63"/>
      <c r="E91" s="165"/>
      <c r="F91" s="362" t="str">
        <f>IF(D91="","",VLOOKUP(D91,'G-6 Hedgerow Data'!$B$2:$AG$15,2,FALSE))</f>
        <v/>
      </c>
      <c r="G91" s="386" t="str">
        <f>IF(D91="","",VLOOKUP(D91,'G-6 Hedgerow Data'!$B$2:$AG$15,3,FALSE))</f>
        <v/>
      </c>
      <c r="H91" s="55"/>
      <c r="I91" s="363" t="str">
        <f>IFERROR(IF(AND(F91="V.Low",OR(H91="Good",H91="Moderate")),"Error ▲",VLOOKUP(H91,'G-1 All Habitats'!$Z$2:$AA$9,2,FALSE)),"")</f>
        <v/>
      </c>
      <c r="J91" s="115"/>
      <c r="K91" s="382" t="str">
        <f>IF(J91="","",IF(VLOOKUP(J91,'G-3 Multipliers'!$L$3:$N$6,2,FALSE)=0,"Spatial Data Missing",VLOOKUP(J91,'G-3 Multipliers'!$L$3:$N$6,2,FALSE)))</f>
        <v/>
      </c>
      <c r="L91" s="386" t="str">
        <f>IF(J91="","",IF(VLOOKUP(J91,'G-3 Multipliers'!$L$3:$N$6,3,FALSE)=0,"Spatial Data Missing",VLOOKUP(J91,'G-3 Multipliers'!$L$3:$N$6,3,FALSE)))</f>
        <v/>
      </c>
      <c r="M91" s="160"/>
      <c r="N91" s="363" t="str">
        <f>IF(M91="","",IF(VLOOKUP(M91,'G-3 Multipliers'!$S$3:$T$10,2,FALSE)=0,"Spatial Data Missing ⚠",VLOOKUP(M91,'G-3 Multipliers'!$S$3:$T$10,2,FALSE)))</f>
        <v/>
      </c>
      <c r="O91" s="362" t="str">
        <f>IF(OR(D91="",H91=""),"",(INDEX('G-6 Hedgerow Data'!$E$3:$I$15,MATCH(D91,'G-6 Hedgerow Data'!$B$3:$B$15,0),MATCH(H91,'G-6 Hedgerow Data'!$E$2:$I$2,0))))</f>
        <v/>
      </c>
      <c r="P91" s="159"/>
      <c r="Q91" s="159"/>
      <c r="R91" s="370" t="str">
        <f t="shared" si="8"/>
        <v/>
      </c>
      <c r="S91" s="383" t="str">
        <f t="shared" si="9"/>
        <v/>
      </c>
      <c r="T91" s="384" t="str">
        <f t="shared" si="7"/>
        <v/>
      </c>
      <c r="U91" s="398" t="str">
        <f>IF(D91="","",VLOOKUP(D91,'G-6 Hedgerow Data'!$B$3:$AG$15,31,FALSE))</f>
        <v/>
      </c>
      <c r="V91" s="382" t="str">
        <f t="shared" si="10"/>
        <v/>
      </c>
      <c r="W91" s="382" t="str">
        <f t="shared" si="11"/>
        <v/>
      </c>
      <c r="X91" s="386" t="str">
        <f>IF(F91="","",VLOOKUP(U91,'G-3 Multipliers'!$P$3:$Q$6,2,FALSE))</f>
        <v/>
      </c>
      <c r="Y91" s="390" t="str">
        <f t="shared" si="12"/>
        <v/>
      </c>
      <c r="Z91" s="390" t="str">
        <f t="shared" si="13"/>
        <v/>
      </c>
      <c r="AA91" s="117"/>
      <c r="AB91" s="118"/>
      <c r="AC91" s="120"/>
      <c r="AD91" s="120"/>
      <c r="AH91" s="30" t="str">
        <f>IFERROR(INDEX('G-6 Hedgerow Data'!$BJ$3:$BJ$15,MATCH(D91,'G-6 Hedgerow Data'!$B$3:$B$15,0)),"")</f>
        <v/>
      </c>
    </row>
    <row r="92" spans="2:34" ht="15">
      <c r="B92" s="110">
        <v>81</v>
      </c>
      <c r="C92" s="216"/>
      <c r="D92" s="63"/>
      <c r="E92" s="165"/>
      <c r="F92" s="362" t="str">
        <f>IF(D92="","",VLOOKUP(D92,'G-6 Hedgerow Data'!$B$2:$AG$15,2,FALSE))</f>
        <v/>
      </c>
      <c r="G92" s="386" t="str">
        <f>IF(D92="","",VLOOKUP(D92,'G-6 Hedgerow Data'!$B$2:$AG$15,3,FALSE))</f>
        <v/>
      </c>
      <c r="H92" s="55"/>
      <c r="I92" s="363" t="str">
        <f>IFERROR(IF(AND(F92="V.Low",OR(H92="Good",H92="Moderate")),"Error ▲",VLOOKUP(H92,'G-1 All Habitats'!$Z$2:$AA$9,2,FALSE)),"")</f>
        <v/>
      </c>
      <c r="J92" s="115"/>
      <c r="K92" s="382" t="str">
        <f>IF(J92="","",IF(VLOOKUP(J92,'G-3 Multipliers'!$L$3:$N$6,2,FALSE)=0,"Spatial Data Missing",VLOOKUP(J92,'G-3 Multipliers'!$L$3:$N$6,2,FALSE)))</f>
        <v/>
      </c>
      <c r="L92" s="386" t="str">
        <f>IF(J92="","",IF(VLOOKUP(J92,'G-3 Multipliers'!$L$3:$N$6,3,FALSE)=0,"Spatial Data Missing",VLOOKUP(J92,'G-3 Multipliers'!$L$3:$N$6,3,FALSE)))</f>
        <v/>
      </c>
      <c r="M92" s="160"/>
      <c r="N92" s="363" t="str">
        <f>IF(M92="","",IF(VLOOKUP(M92,'G-3 Multipliers'!$S$3:$T$10,2,FALSE)=0,"Spatial Data Missing ⚠",VLOOKUP(M92,'G-3 Multipliers'!$S$3:$T$10,2,FALSE)))</f>
        <v/>
      </c>
      <c r="O92" s="362" t="str">
        <f>IF(OR(D92="",H92=""),"",(INDEX('G-6 Hedgerow Data'!$E$3:$I$15,MATCH(D92,'G-6 Hedgerow Data'!$B$3:$B$15,0),MATCH(H92,'G-6 Hedgerow Data'!$E$2:$I$2,0))))</f>
        <v/>
      </c>
      <c r="P92" s="159"/>
      <c r="Q92" s="159"/>
      <c r="R92" s="370" t="str">
        <f t="shared" si="8"/>
        <v/>
      </c>
      <c r="S92" s="383" t="str">
        <f t="shared" si="9"/>
        <v/>
      </c>
      <c r="T92" s="384" t="str">
        <f t="shared" si="7"/>
        <v/>
      </c>
      <c r="U92" s="398" t="str">
        <f>IF(D92="","",VLOOKUP(D92,'G-6 Hedgerow Data'!$B$3:$AG$15,31,FALSE))</f>
        <v/>
      </c>
      <c r="V92" s="382" t="str">
        <f t="shared" si="10"/>
        <v/>
      </c>
      <c r="W92" s="382" t="str">
        <f t="shared" si="11"/>
        <v/>
      </c>
      <c r="X92" s="386" t="str">
        <f>IF(F92="","",VLOOKUP(U92,'G-3 Multipliers'!$P$3:$Q$6,2,FALSE))</f>
        <v/>
      </c>
      <c r="Y92" s="390" t="str">
        <f t="shared" si="12"/>
        <v/>
      </c>
      <c r="Z92" s="390" t="str">
        <f t="shared" si="13"/>
        <v/>
      </c>
      <c r="AA92" s="117"/>
      <c r="AB92" s="118"/>
      <c r="AC92" s="120"/>
      <c r="AD92" s="120"/>
      <c r="AH92" s="30" t="str">
        <f>IFERROR(INDEX('G-6 Hedgerow Data'!$BJ$3:$BJ$15,MATCH(D92,'G-6 Hedgerow Data'!$B$3:$B$15,0)),"")</f>
        <v/>
      </c>
    </row>
    <row r="93" spans="2:34" ht="15">
      <c r="B93" s="110">
        <v>82</v>
      </c>
      <c r="C93" s="216"/>
      <c r="D93" s="63"/>
      <c r="E93" s="165"/>
      <c r="F93" s="362" t="str">
        <f>IF(D93="","",VLOOKUP(D93,'G-6 Hedgerow Data'!$B$2:$AG$15,2,FALSE))</f>
        <v/>
      </c>
      <c r="G93" s="386" t="str">
        <f>IF(D93="","",VLOOKUP(D93,'G-6 Hedgerow Data'!$B$2:$AG$15,3,FALSE))</f>
        <v/>
      </c>
      <c r="H93" s="55"/>
      <c r="I93" s="363" t="str">
        <f>IFERROR(IF(AND(F93="V.Low",OR(H93="Good",H93="Moderate")),"Error ▲",VLOOKUP(H93,'G-1 All Habitats'!$Z$2:$AA$9,2,FALSE)),"")</f>
        <v/>
      </c>
      <c r="J93" s="115"/>
      <c r="K93" s="382" t="str">
        <f>IF(J93="","",IF(VLOOKUP(J93,'G-3 Multipliers'!$L$3:$N$6,2,FALSE)=0,"Spatial Data Missing",VLOOKUP(J93,'G-3 Multipliers'!$L$3:$N$6,2,FALSE)))</f>
        <v/>
      </c>
      <c r="L93" s="386" t="str">
        <f>IF(J93="","",IF(VLOOKUP(J93,'G-3 Multipliers'!$L$3:$N$6,3,FALSE)=0,"Spatial Data Missing",VLOOKUP(J93,'G-3 Multipliers'!$L$3:$N$6,3,FALSE)))</f>
        <v/>
      </c>
      <c r="M93" s="160"/>
      <c r="N93" s="363" t="str">
        <f>IF(M93="","",IF(VLOOKUP(M93,'G-3 Multipliers'!$S$3:$T$10,2,FALSE)=0,"Spatial Data Missing ⚠",VLOOKUP(M93,'G-3 Multipliers'!$S$3:$T$10,2,FALSE)))</f>
        <v/>
      </c>
      <c r="O93" s="362" t="str">
        <f>IF(OR(D93="",H93=""),"",(INDEX('G-6 Hedgerow Data'!$E$3:$I$15,MATCH(D93,'G-6 Hedgerow Data'!$B$3:$B$15,0),MATCH(H93,'G-6 Hedgerow Data'!$E$2:$I$2,0))))</f>
        <v/>
      </c>
      <c r="P93" s="159"/>
      <c r="Q93" s="159"/>
      <c r="R93" s="370" t="str">
        <f t="shared" si="8"/>
        <v/>
      </c>
      <c r="S93" s="383" t="str">
        <f t="shared" si="9"/>
        <v/>
      </c>
      <c r="T93" s="384" t="str">
        <f t="shared" si="7"/>
        <v/>
      </c>
      <c r="U93" s="398" t="str">
        <f>IF(D93="","",VLOOKUP(D93,'G-6 Hedgerow Data'!$B$3:$AG$15,31,FALSE))</f>
        <v/>
      </c>
      <c r="V93" s="382" t="str">
        <f t="shared" si="10"/>
        <v/>
      </c>
      <c r="W93" s="382" t="str">
        <f t="shared" si="11"/>
        <v/>
      </c>
      <c r="X93" s="386" t="str">
        <f>IF(F93="","",VLOOKUP(U93,'G-3 Multipliers'!$P$3:$Q$6,2,FALSE))</f>
        <v/>
      </c>
      <c r="Y93" s="390" t="str">
        <f t="shared" si="12"/>
        <v/>
      </c>
      <c r="Z93" s="390" t="str">
        <f t="shared" si="13"/>
        <v/>
      </c>
      <c r="AA93" s="117"/>
      <c r="AB93" s="118"/>
      <c r="AC93" s="120"/>
      <c r="AD93" s="120"/>
      <c r="AH93" s="30" t="str">
        <f>IFERROR(INDEX('G-6 Hedgerow Data'!$BJ$3:$BJ$15,MATCH(D93,'G-6 Hedgerow Data'!$B$3:$B$15,0)),"")</f>
        <v/>
      </c>
    </row>
    <row r="94" spans="2:34" ht="15">
      <c r="B94" s="110">
        <v>83</v>
      </c>
      <c r="C94" s="216"/>
      <c r="D94" s="63"/>
      <c r="E94" s="165"/>
      <c r="F94" s="362" t="str">
        <f>IF(D94="","",VLOOKUP(D94,'G-6 Hedgerow Data'!$B$2:$AG$15,2,FALSE))</f>
        <v/>
      </c>
      <c r="G94" s="386" t="str">
        <f>IF(D94="","",VLOOKUP(D94,'G-6 Hedgerow Data'!$B$2:$AG$15,3,FALSE))</f>
        <v/>
      </c>
      <c r="H94" s="55"/>
      <c r="I94" s="363" t="str">
        <f>IFERROR(IF(AND(F94="V.Low",OR(H94="Good",H94="Moderate")),"Error ▲",VLOOKUP(H94,'G-1 All Habitats'!$Z$2:$AA$9,2,FALSE)),"")</f>
        <v/>
      </c>
      <c r="J94" s="115"/>
      <c r="K94" s="382" t="str">
        <f>IF(J94="","",IF(VLOOKUP(J94,'G-3 Multipliers'!$L$3:$N$6,2,FALSE)=0,"Spatial Data Missing",VLOOKUP(J94,'G-3 Multipliers'!$L$3:$N$6,2,FALSE)))</f>
        <v/>
      </c>
      <c r="L94" s="386" t="str">
        <f>IF(J94="","",IF(VLOOKUP(J94,'G-3 Multipliers'!$L$3:$N$6,3,FALSE)=0,"Spatial Data Missing",VLOOKUP(J94,'G-3 Multipliers'!$L$3:$N$6,3,FALSE)))</f>
        <v/>
      </c>
      <c r="M94" s="160"/>
      <c r="N94" s="363" t="str">
        <f>IF(M94="","",IF(VLOOKUP(M94,'G-3 Multipliers'!$S$3:$T$10,2,FALSE)=0,"Spatial Data Missing ⚠",VLOOKUP(M94,'G-3 Multipliers'!$S$3:$T$10,2,FALSE)))</f>
        <v/>
      </c>
      <c r="O94" s="362" t="str">
        <f>IF(OR(D94="",H94=""),"",(INDEX('G-6 Hedgerow Data'!$E$3:$I$15,MATCH(D94,'G-6 Hedgerow Data'!$B$3:$B$15,0),MATCH(H94,'G-6 Hedgerow Data'!$E$2:$I$2,0))))</f>
        <v/>
      </c>
      <c r="P94" s="159"/>
      <c r="Q94" s="159"/>
      <c r="R94" s="370" t="str">
        <f t="shared" si="8"/>
        <v/>
      </c>
      <c r="S94" s="383" t="str">
        <f t="shared" si="9"/>
        <v/>
      </c>
      <c r="T94" s="384" t="str">
        <f t="shared" si="7"/>
        <v/>
      </c>
      <c r="U94" s="398" t="str">
        <f>IF(D94="","",VLOOKUP(D94,'G-6 Hedgerow Data'!$B$3:$AG$15,31,FALSE))</f>
        <v/>
      </c>
      <c r="V94" s="382" t="str">
        <f t="shared" si="10"/>
        <v/>
      </c>
      <c r="W94" s="382" t="str">
        <f t="shared" si="11"/>
        <v/>
      </c>
      <c r="X94" s="386" t="str">
        <f>IF(F94="","",VLOOKUP(U94,'G-3 Multipliers'!$P$3:$Q$6,2,FALSE))</f>
        <v/>
      </c>
      <c r="Y94" s="390" t="str">
        <f t="shared" si="12"/>
        <v/>
      </c>
      <c r="Z94" s="390" t="str">
        <f t="shared" si="13"/>
        <v/>
      </c>
      <c r="AA94" s="117"/>
      <c r="AB94" s="118"/>
      <c r="AC94" s="120"/>
      <c r="AD94" s="120"/>
      <c r="AH94" s="30" t="str">
        <f>IFERROR(INDEX('G-6 Hedgerow Data'!$BJ$3:$BJ$15,MATCH(D94,'G-6 Hedgerow Data'!$B$3:$B$15,0)),"")</f>
        <v/>
      </c>
    </row>
    <row r="95" spans="2:34" ht="15">
      <c r="B95" s="110">
        <v>84</v>
      </c>
      <c r="C95" s="216"/>
      <c r="D95" s="63"/>
      <c r="E95" s="165"/>
      <c r="F95" s="362" t="str">
        <f>IF(D95="","",VLOOKUP(D95,'G-6 Hedgerow Data'!$B$2:$AG$15,2,FALSE))</f>
        <v/>
      </c>
      <c r="G95" s="386" t="str">
        <f>IF(D95="","",VLOOKUP(D95,'G-6 Hedgerow Data'!$B$2:$AG$15,3,FALSE))</f>
        <v/>
      </c>
      <c r="H95" s="55"/>
      <c r="I95" s="363" t="str">
        <f>IFERROR(IF(AND(F95="V.Low",OR(H95="Good",H95="Moderate")),"Error ▲",VLOOKUP(H95,'G-1 All Habitats'!$Z$2:$AA$9,2,FALSE)),"")</f>
        <v/>
      </c>
      <c r="J95" s="115"/>
      <c r="K95" s="382" t="str">
        <f>IF(J95="","",IF(VLOOKUP(J95,'G-3 Multipliers'!$L$3:$N$6,2,FALSE)=0,"Spatial Data Missing",VLOOKUP(J95,'G-3 Multipliers'!$L$3:$N$6,2,FALSE)))</f>
        <v/>
      </c>
      <c r="L95" s="386" t="str">
        <f>IF(J95="","",IF(VLOOKUP(J95,'G-3 Multipliers'!$L$3:$N$6,3,FALSE)=0,"Spatial Data Missing",VLOOKUP(J95,'G-3 Multipliers'!$L$3:$N$6,3,FALSE)))</f>
        <v/>
      </c>
      <c r="M95" s="160"/>
      <c r="N95" s="363" t="str">
        <f>IF(M95="","",IF(VLOOKUP(M95,'G-3 Multipliers'!$S$3:$T$10,2,FALSE)=0,"Spatial Data Missing ⚠",VLOOKUP(M95,'G-3 Multipliers'!$S$3:$T$10,2,FALSE)))</f>
        <v/>
      </c>
      <c r="O95" s="362" t="str">
        <f>IF(OR(D95="",H95=""),"",(INDEX('G-6 Hedgerow Data'!$E$3:$I$15,MATCH(D95,'G-6 Hedgerow Data'!$B$3:$B$15,0),MATCH(H95,'G-6 Hedgerow Data'!$E$2:$I$2,0))))</f>
        <v/>
      </c>
      <c r="P95" s="159"/>
      <c r="Q95" s="159"/>
      <c r="R95" s="370" t="str">
        <f t="shared" si="8"/>
        <v/>
      </c>
      <c r="S95" s="383" t="str">
        <f t="shared" si="9"/>
        <v/>
      </c>
      <c r="T95" s="384" t="str">
        <f t="shared" si="7"/>
        <v/>
      </c>
      <c r="U95" s="398" t="str">
        <f>IF(D95="","",VLOOKUP(D95,'G-6 Hedgerow Data'!$B$3:$AG$15,31,FALSE))</f>
        <v/>
      </c>
      <c r="V95" s="382" t="str">
        <f t="shared" si="10"/>
        <v/>
      </c>
      <c r="W95" s="382" t="str">
        <f t="shared" si="11"/>
        <v/>
      </c>
      <c r="X95" s="386" t="str">
        <f>IF(F95="","",VLOOKUP(U95,'G-3 Multipliers'!$P$3:$Q$6,2,FALSE))</f>
        <v/>
      </c>
      <c r="Y95" s="390" t="str">
        <f t="shared" si="12"/>
        <v/>
      </c>
      <c r="Z95" s="390" t="str">
        <f t="shared" si="13"/>
        <v/>
      </c>
      <c r="AA95" s="117"/>
      <c r="AB95" s="118"/>
      <c r="AC95" s="120"/>
      <c r="AD95" s="120"/>
      <c r="AH95" s="30" t="str">
        <f>IFERROR(INDEX('G-6 Hedgerow Data'!$BJ$3:$BJ$15,MATCH(D95,'G-6 Hedgerow Data'!$B$3:$B$15,0)),"")</f>
        <v/>
      </c>
    </row>
    <row r="96" spans="2:34" ht="15">
      <c r="B96" s="110">
        <v>85</v>
      </c>
      <c r="C96" s="216"/>
      <c r="D96" s="63"/>
      <c r="E96" s="165"/>
      <c r="F96" s="362" t="str">
        <f>IF(D96="","",VLOOKUP(D96,'G-6 Hedgerow Data'!$B$2:$AG$15,2,FALSE))</f>
        <v/>
      </c>
      <c r="G96" s="386" t="str">
        <f>IF(D96="","",VLOOKUP(D96,'G-6 Hedgerow Data'!$B$2:$AG$15,3,FALSE))</f>
        <v/>
      </c>
      <c r="H96" s="55"/>
      <c r="I96" s="363" t="str">
        <f>IFERROR(IF(AND(F96="V.Low",OR(H96="Good",H96="Moderate")),"Error ▲",VLOOKUP(H96,'G-1 All Habitats'!$Z$2:$AA$9,2,FALSE)),"")</f>
        <v/>
      </c>
      <c r="J96" s="115"/>
      <c r="K96" s="382" t="str">
        <f>IF(J96="","",IF(VLOOKUP(J96,'G-3 Multipliers'!$L$3:$N$6,2,FALSE)=0,"Spatial Data Missing",VLOOKUP(J96,'G-3 Multipliers'!$L$3:$N$6,2,FALSE)))</f>
        <v/>
      </c>
      <c r="L96" s="386" t="str">
        <f>IF(J96="","",IF(VLOOKUP(J96,'G-3 Multipliers'!$L$3:$N$6,3,FALSE)=0,"Spatial Data Missing",VLOOKUP(J96,'G-3 Multipliers'!$L$3:$N$6,3,FALSE)))</f>
        <v/>
      </c>
      <c r="M96" s="160"/>
      <c r="N96" s="363" t="str">
        <f>IF(M96="","",IF(VLOOKUP(M96,'G-3 Multipliers'!$S$3:$T$10,2,FALSE)=0,"Spatial Data Missing ⚠",VLOOKUP(M96,'G-3 Multipliers'!$S$3:$T$10,2,FALSE)))</f>
        <v/>
      </c>
      <c r="O96" s="362" t="str">
        <f>IF(OR(D96="",H96=""),"",(INDEX('G-6 Hedgerow Data'!$E$3:$I$15,MATCH(D96,'G-6 Hedgerow Data'!$B$3:$B$15,0),MATCH(H96,'G-6 Hedgerow Data'!$E$2:$I$2,0))))</f>
        <v/>
      </c>
      <c r="P96" s="159"/>
      <c r="Q96" s="159"/>
      <c r="R96" s="370" t="str">
        <f t="shared" si="8"/>
        <v/>
      </c>
      <c r="S96" s="383" t="str">
        <f t="shared" si="9"/>
        <v/>
      </c>
      <c r="T96" s="384" t="str">
        <f t="shared" si="7"/>
        <v/>
      </c>
      <c r="U96" s="398" t="str">
        <f>IF(D96="","",VLOOKUP(D96,'G-6 Hedgerow Data'!$B$3:$AG$15,31,FALSE))</f>
        <v/>
      </c>
      <c r="V96" s="382" t="str">
        <f t="shared" si="10"/>
        <v/>
      </c>
      <c r="W96" s="382" t="str">
        <f t="shared" si="11"/>
        <v/>
      </c>
      <c r="X96" s="386" t="str">
        <f>IF(F96="","",VLOOKUP(U96,'G-3 Multipliers'!$P$3:$Q$6,2,FALSE))</f>
        <v/>
      </c>
      <c r="Y96" s="390" t="str">
        <f t="shared" si="12"/>
        <v/>
      </c>
      <c r="Z96" s="390" t="str">
        <f t="shared" si="13"/>
        <v/>
      </c>
      <c r="AA96" s="117"/>
      <c r="AB96" s="118"/>
      <c r="AC96" s="120"/>
      <c r="AD96" s="120"/>
      <c r="AH96" s="30" t="str">
        <f>IFERROR(INDEX('G-6 Hedgerow Data'!$BJ$3:$BJ$15,MATCH(D96,'G-6 Hedgerow Data'!$B$3:$B$15,0)),"")</f>
        <v/>
      </c>
    </row>
    <row r="97" spans="2:34" ht="15">
      <c r="B97" s="110">
        <v>86</v>
      </c>
      <c r="C97" s="216"/>
      <c r="D97" s="63"/>
      <c r="E97" s="165"/>
      <c r="F97" s="362" t="str">
        <f>IF(D97="","",VLOOKUP(D97,'G-6 Hedgerow Data'!$B$2:$AG$15,2,FALSE))</f>
        <v/>
      </c>
      <c r="G97" s="386" t="str">
        <f>IF(D97="","",VLOOKUP(D97,'G-6 Hedgerow Data'!$B$2:$AG$15,3,FALSE))</f>
        <v/>
      </c>
      <c r="H97" s="55"/>
      <c r="I97" s="363" t="str">
        <f>IFERROR(IF(AND(F97="V.Low",OR(H97="Good",H97="Moderate")),"Error ▲",VLOOKUP(H97,'G-1 All Habitats'!$Z$2:$AA$9,2,FALSE)),"")</f>
        <v/>
      </c>
      <c r="J97" s="115"/>
      <c r="K97" s="382" t="str">
        <f>IF(J97="","",IF(VLOOKUP(J97,'G-3 Multipliers'!$L$3:$N$6,2,FALSE)=0,"Spatial Data Missing",VLOOKUP(J97,'G-3 Multipliers'!$L$3:$N$6,2,FALSE)))</f>
        <v/>
      </c>
      <c r="L97" s="386" t="str">
        <f>IF(J97="","",IF(VLOOKUP(J97,'G-3 Multipliers'!$L$3:$N$6,3,FALSE)=0,"Spatial Data Missing",VLOOKUP(J97,'G-3 Multipliers'!$L$3:$N$6,3,FALSE)))</f>
        <v/>
      </c>
      <c r="M97" s="160"/>
      <c r="N97" s="363" t="str">
        <f>IF(M97="","",IF(VLOOKUP(M97,'G-3 Multipliers'!$S$3:$T$10,2,FALSE)=0,"Spatial Data Missing ⚠",VLOOKUP(M97,'G-3 Multipliers'!$S$3:$T$10,2,FALSE)))</f>
        <v/>
      </c>
      <c r="O97" s="362" t="str">
        <f>IF(OR(D97="",H97=""),"",(INDEX('G-6 Hedgerow Data'!$E$3:$I$15,MATCH(D97,'G-6 Hedgerow Data'!$B$3:$B$15,0),MATCH(H97,'G-6 Hedgerow Data'!$E$2:$I$2,0))))</f>
        <v/>
      </c>
      <c r="P97" s="159"/>
      <c r="Q97" s="159"/>
      <c r="R97" s="370" t="str">
        <f t="shared" si="8"/>
        <v/>
      </c>
      <c r="S97" s="383" t="str">
        <f t="shared" si="9"/>
        <v/>
      </c>
      <c r="T97" s="384" t="str">
        <f t="shared" si="7"/>
        <v/>
      </c>
      <c r="U97" s="398" t="str">
        <f>IF(D97="","",VLOOKUP(D97,'G-6 Hedgerow Data'!$B$3:$AG$15,31,FALSE))</f>
        <v/>
      </c>
      <c r="V97" s="382" t="str">
        <f t="shared" si="10"/>
        <v/>
      </c>
      <c r="W97" s="382" t="str">
        <f t="shared" si="11"/>
        <v/>
      </c>
      <c r="X97" s="386" t="str">
        <f>IF(F97="","",VLOOKUP(U97,'G-3 Multipliers'!$P$3:$Q$6,2,FALSE))</f>
        <v/>
      </c>
      <c r="Y97" s="390" t="str">
        <f t="shared" si="12"/>
        <v/>
      </c>
      <c r="Z97" s="390" t="str">
        <f t="shared" si="13"/>
        <v/>
      </c>
      <c r="AA97" s="117"/>
      <c r="AB97" s="118"/>
      <c r="AC97" s="120"/>
      <c r="AD97" s="120"/>
      <c r="AH97" s="30" t="str">
        <f>IFERROR(INDEX('G-6 Hedgerow Data'!$BJ$3:$BJ$15,MATCH(D97,'G-6 Hedgerow Data'!$B$3:$B$15,0)),"")</f>
        <v/>
      </c>
    </row>
    <row r="98" spans="2:34" ht="15">
      <c r="B98" s="110">
        <v>87</v>
      </c>
      <c r="C98" s="216"/>
      <c r="D98" s="63"/>
      <c r="E98" s="165"/>
      <c r="F98" s="362" t="str">
        <f>IF(D98="","",VLOOKUP(D98,'G-6 Hedgerow Data'!$B$2:$AG$15,2,FALSE))</f>
        <v/>
      </c>
      <c r="G98" s="386" t="str">
        <f>IF(D98="","",VLOOKUP(D98,'G-6 Hedgerow Data'!$B$2:$AG$15,3,FALSE))</f>
        <v/>
      </c>
      <c r="H98" s="55"/>
      <c r="I98" s="363" t="str">
        <f>IFERROR(IF(AND(F98="V.Low",OR(H98="Good",H98="Moderate")),"Error ▲",VLOOKUP(H98,'G-1 All Habitats'!$Z$2:$AA$9,2,FALSE)),"")</f>
        <v/>
      </c>
      <c r="J98" s="115"/>
      <c r="K98" s="382" t="str">
        <f>IF(J98="","",IF(VLOOKUP(J98,'G-3 Multipliers'!$L$3:$N$6,2,FALSE)=0,"Spatial Data Missing",VLOOKUP(J98,'G-3 Multipliers'!$L$3:$N$6,2,FALSE)))</f>
        <v/>
      </c>
      <c r="L98" s="386" t="str">
        <f>IF(J98="","",IF(VLOOKUP(J98,'G-3 Multipliers'!$L$3:$N$6,3,FALSE)=0,"Spatial Data Missing",VLOOKUP(J98,'G-3 Multipliers'!$L$3:$N$6,3,FALSE)))</f>
        <v/>
      </c>
      <c r="M98" s="160"/>
      <c r="N98" s="363" t="str">
        <f>IF(M98="","",IF(VLOOKUP(M98,'G-3 Multipliers'!$S$3:$T$10,2,FALSE)=0,"Spatial Data Missing ⚠",VLOOKUP(M98,'G-3 Multipliers'!$S$3:$T$10,2,FALSE)))</f>
        <v/>
      </c>
      <c r="O98" s="362" t="str">
        <f>IF(OR(D98="",H98=""),"",(INDEX('G-6 Hedgerow Data'!$E$3:$I$15,MATCH(D98,'G-6 Hedgerow Data'!$B$3:$B$15,0),MATCH(H98,'G-6 Hedgerow Data'!$E$2:$I$2,0))))</f>
        <v/>
      </c>
      <c r="P98" s="159"/>
      <c r="Q98" s="159"/>
      <c r="R98" s="370" t="str">
        <f t="shared" si="8"/>
        <v/>
      </c>
      <c r="S98" s="383" t="str">
        <f t="shared" si="9"/>
        <v/>
      </c>
      <c r="T98" s="384" t="str">
        <f t="shared" si="7"/>
        <v/>
      </c>
      <c r="U98" s="398" t="str">
        <f>IF(D98="","",VLOOKUP(D98,'G-6 Hedgerow Data'!$B$3:$AG$15,31,FALSE))</f>
        <v/>
      </c>
      <c r="V98" s="382" t="str">
        <f t="shared" si="10"/>
        <v/>
      </c>
      <c r="W98" s="382" t="str">
        <f t="shared" si="11"/>
        <v/>
      </c>
      <c r="X98" s="386" t="str">
        <f>IF(F98="","",VLOOKUP(U98,'G-3 Multipliers'!$P$3:$Q$6,2,FALSE))</f>
        <v/>
      </c>
      <c r="Y98" s="390" t="str">
        <f t="shared" si="12"/>
        <v/>
      </c>
      <c r="Z98" s="390" t="str">
        <f t="shared" si="13"/>
        <v/>
      </c>
      <c r="AA98" s="117"/>
      <c r="AB98" s="118"/>
      <c r="AC98" s="120"/>
      <c r="AD98" s="120"/>
      <c r="AH98" s="30" t="str">
        <f>IFERROR(INDEX('G-6 Hedgerow Data'!$BJ$3:$BJ$15,MATCH(D98,'G-6 Hedgerow Data'!$B$3:$B$15,0)),"")</f>
        <v/>
      </c>
    </row>
    <row r="99" spans="2:34" ht="15">
      <c r="B99" s="110">
        <v>88</v>
      </c>
      <c r="C99" s="216"/>
      <c r="D99" s="63"/>
      <c r="E99" s="165"/>
      <c r="F99" s="362" t="str">
        <f>IF(D99="","",VLOOKUP(D99,'G-6 Hedgerow Data'!$B$2:$AG$15,2,FALSE))</f>
        <v/>
      </c>
      <c r="G99" s="386" t="str">
        <f>IF(D99="","",VLOOKUP(D99,'G-6 Hedgerow Data'!$B$2:$AG$15,3,FALSE))</f>
        <v/>
      </c>
      <c r="H99" s="55"/>
      <c r="I99" s="363" t="str">
        <f>IFERROR(IF(AND(F99="V.Low",OR(H99="Good",H99="Moderate")),"Error ▲",VLOOKUP(H99,'G-1 All Habitats'!$Z$2:$AA$9,2,FALSE)),"")</f>
        <v/>
      </c>
      <c r="J99" s="115"/>
      <c r="K99" s="382" t="str">
        <f>IF(J99="","",IF(VLOOKUP(J99,'G-3 Multipliers'!$L$3:$N$6,2,FALSE)=0,"Spatial Data Missing",VLOOKUP(J99,'G-3 Multipliers'!$L$3:$N$6,2,FALSE)))</f>
        <v/>
      </c>
      <c r="L99" s="386" t="str">
        <f>IF(J99="","",IF(VLOOKUP(J99,'G-3 Multipliers'!$L$3:$N$6,3,FALSE)=0,"Spatial Data Missing",VLOOKUP(J99,'G-3 Multipliers'!$L$3:$N$6,3,FALSE)))</f>
        <v/>
      </c>
      <c r="M99" s="160"/>
      <c r="N99" s="363" t="str">
        <f>IF(M99="","",IF(VLOOKUP(M99,'G-3 Multipliers'!$S$3:$T$10,2,FALSE)=0,"Spatial Data Missing ⚠",VLOOKUP(M99,'G-3 Multipliers'!$S$3:$T$10,2,FALSE)))</f>
        <v/>
      </c>
      <c r="O99" s="362" t="str">
        <f>IF(OR(D99="",H99=""),"",(INDEX('G-6 Hedgerow Data'!$E$3:$I$15,MATCH(D99,'G-6 Hedgerow Data'!$B$3:$B$15,0),MATCH(H99,'G-6 Hedgerow Data'!$E$2:$I$2,0))))</f>
        <v/>
      </c>
      <c r="P99" s="159"/>
      <c r="Q99" s="159"/>
      <c r="R99" s="370" t="str">
        <f t="shared" si="8"/>
        <v/>
      </c>
      <c r="S99" s="383" t="str">
        <f t="shared" si="9"/>
        <v/>
      </c>
      <c r="T99" s="384" t="str">
        <f t="shared" si="7"/>
        <v/>
      </c>
      <c r="U99" s="398" t="str">
        <f>IF(D99="","",VLOOKUP(D99,'G-6 Hedgerow Data'!$B$3:$AG$15,31,FALSE))</f>
        <v/>
      </c>
      <c r="V99" s="382" t="str">
        <f t="shared" si="10"/>
        <v/>
      </c>
      <c r="W99" s="382" t="str">
        <f t="shared" si="11"/>
        <v/>
      </c>
      <c r="X99" s="386" t="str">
        <f>IF(F99="","",VLOOKUP(U99,'G-3 Multipliers'!$P$3:$Q$6,2,FALSE))</f>
        <v/>
      </c>
      <c r="Y99" s="390" t="str">
        <f t="shared" si="12"/>
        <v/>
      </c>
      <c r="Z99" s="390" t="str">
        <f t="shared" si="13"/>
        <v/>
      </c>
      <c r="AA99" s="117"/>
      <c r="AB99" s="118"/>
      <c r="AC99" s="120"/>
      <c r="AD99" s="120"/>
      <c r="AH99" s="30" t="str">
        <f>IFERROR(INDEX('G-6 Hedgerow Data'!$BJ$3:$BJ$15,MATCH(D99,'G-6 Hedgerow Data'!$B$3:$B$15,0)),"")</f>
        <v/>
      </c>
    </row>
    <row r="100" spans="2:34" ht="15">
      <c r="B100" s="110">
        <v>89</v>
      </c>
      <c r="C100" s="216"/>
      <c r="D100" s="63"/>
      <c r="E100" s="165"/>
      <c r="F100" s="362" t="str">
        <f>IF(D100="","",VLOOKUP(D100,'G-6 Hedgerow Data'!$B$2:$AG$15,2,FALSE))</f>
        <v/>
      </c>
      <c r="G100" s="386" t="str">
        <f>IF(D100="","",VLOOKUP(D100,'G-6 Hedgerow Data'!$B$2:$AG$15,3,FALSE))</f>
        <v/>
      </c>
      <c r="H100" s="55"/>
      <c r="I100" s="363" t="str">
        <f>IFERROR(IF(AND(F100="V.Low",OR(H100="Good",H100="Moderate")),"Error ▲",VLOOKUP(H100,'G-1 All Habitats'!$Z$2:$AA$9,2,FALSE)),"")</f>
        <v/>
      </c>
      <c r="J100" s="115"/>
      <c r="K100" s="382" t="str">
        <f>IF(J100="","",IF(VLOOKUP(J100,'G-3 Multipliers'!$L$3:$N$6,2,FALSE)=0,"Spatial Data Missing",VLOOKUP(J100,'G-3 Multipliers'!$L$3:$N$6,2,FALSE)))</f>
        <v/>
      </c>
      <c r="L100" s="386" t="str">
        <f>IF(J100="","",IF(VLOOKUP(J100,'G-3 Multipliers'!$L$3:$N$6,3,FALSE)=0,"Spatial Data Missing",VLOOKUP(J100,'G-3 Multipliers'!$L$3:$N$6,3,FALSE)))</f>
        <v/>
      </c>
      <c r="M100" s="160"/>
      <c r="N100" s="363" t="str">
        <f>IF(M100="","",IF(VLOOKUP(M100,'G-3 Multipliers'!$S$3:$T$10,2,FALSE)=0,"Spatial Data Missing ⚠",VLOOKUP(M100,'G-3 Multipliers'!$S$3:$T$10,2,FALSE)))</f>
        <v/>
      </c>
      <c r="O100" s="362" t="str">
        <f>IF(OR(D100="",H100=""),"",(INDEX('G-6 Hedgerow Data'!$E$3:$I$15,MATCH(D100,'G-6 Hedgerow Data'!$B$3:$B$15,0),MATCH(H100,'G-6 Hedgerow Data'!$E$2:$I$2,0))))</f>
        <v/>
      </c>
      <c r="P100" s="159"/>
      <c r="Q100" s="159"/>
      <c r="R100" s="370" t="str">
        <f t="shared" si="8"/>
        <v/>
      </c>
      <c r="S100" s="383" t="str">
        <f t="shared" si="9"/>
        <v/>
      </c>
      <c r="T100" s="384" t="str">
        <f t="shared" si="7"/>
        <v/>
      </c>
      <c r="U100" s="398" t="str">
        <f>IF(D100="","",VLOOKUP(D100,'G-6 Hedgerow Data'!$B$3:$AG$15,31,FALSE))</f>
        <v/>
      </c>
      <c r="V100" s="382" t="str">
        <f t="shared" si="10"/>
        <v/>
      </c>
      <c r="W100" s="382" t="str">
        <f t="shared" si="11"/>
        <v/>
      </c>
      <c r="X100" s="386" t="str">
        <f>IF(F100="","",VLOOKUP(U100,'G-3 Multipliers'!$P$3:$Q$6,2,FALSE))</f>
        <v/>
      </c>
      <c r="Y100" s="390" t="str">
        <f t="shared" si="12"/>
        <v/>
      </c>
      <c r="Z100" s="390" t="str">
        <f t="shared" si="13"/>
        <v/>
      </c>
      <c r="AA100" s="117"/>
      <c r="AB100" s="118"/>
      <c r="AC100" s="120"/>
      <c r="AD100" s="120"/>
      <c r="AH100" s="30" t="str">
        <f>IFERROR(INDEX('G-6 Hedgerow Data'!$BJ$3:$BJ$15,MATCH(D100,'G-6 Hedgerow Data'!$B$3:$B$15,0)),"")</f>
        <v/>
      </c>
    </row>
    <row r="101" spans="2:34" ht="15">
      <c r="B101" s="110">
        <v>90</v>
      </c>
      <c r="C101" s="216"/>
      <c r="D101" s="63"/>
      <c r="E101" s="165"/>
      <c r="F101" s="362" t="str">
        <f>IF(D101="","",VLOOKUP(D101,'G-6 Hedgerow Data'!$B$2:$AG$15,2,FALSE))</f>
        <v/>
      </c>
      <c r="G101" s="386" t="str">
        <f>IF(D101="","",VLOOKUP(D101,'G-6 Hedgerow Data'!$B$2:$AG$15,3,FALSE))</f>
        <v/>
      </c>
      <c r="H101" s="55"/>
      <c r="I101" s="363" t="str">
        <f>IFERROR(IF(AND(F101="V.Low",OR(H101="Good",H101="Moderate")),"Error ▲",VLOOKUP(H101,'G-1 All Habitats'!$Z$2:$AA$9,2,FALSE)),"")</f>
        <v/>
      </c>
      <c r="J101" s="115"/>
      <c r="K101" s="382" t="str">
        <f>IF(J101="","",IF(VLOOKUP(J101,'G-3 Multipliers'!$L$3:$N$6,2,FALSE)=0,"Spatial Data Missing",VLOOKUP(J101,'G-3 Multipliers'!$L$3:$N$6,2,FALSE)))</f>
        <v/>
      </c>
      <c r="L101" s="386" t="str">
        <f>IF(J101="","",IF(VLOOKUP(J101,'G-3 Multipliers'!$L$3:$N$6,3,FALSE)=0,"Spatial Data Missing",VLOOKUP(J101,'G-3 Multipliers'!$L$3:$N$6,3,FALSE)))</f>
        <v/>
      </c>
      <c r="M101" s="160"/>
      <c r="N101" s="363" t="str">
        <f>IF(M101="","",IF(VLOOKUP(M101,'G-3 Multipliers'!$S$3:$T$10,2,FALSE)=0,"Spatial Data Missing ⚠",VLOOKUP(M101,'G-3 Multipliers'!$S$3:$T$10,2,FALSE)))</f>
        <v/>
      </c>
      <c r="O101" s="362" t="str">
        <f>IF(OR(D101="",H101=""),"",(INDEX('G-6 Hedgerow Data'!$E$3:$I$15,MATCH(D101,'G-6 Hedgerow Data'!$B$3:$B$15,0),MATCH(H101,'G-6 Hedgerow Data'!$E$2:$I$2,0))))</f>
        <v/>
      </c>
      <c r="P101" s="159"/>
      <c r="Q101" s="159"/>
      <c r="R101" s="370" t="str">
        <f t="shared" si="8"/>
        <v/>
      </c>
      <c r="S101" s="383" t="str">
        <f t="shared" si="9"/>
        <v/>
      </c>
      <c r="T101" s="384" t="str">
        <f t="shared" si="7"/>
        <v/>
      </c>
      <c r="U101" s="398" t="str">
        <f>IF(D101="","",VLOOKUP(D101,'G-6 Hedgerow Data'!$B$3:$AG$15,31,FALSE))</f>
        <v/>
      </c>
      <c r="V101" s="382" t="str">
        <f t="shared" si="10"/>
        <v/>
      </c>
      <c r="W101" s="382" t="str">
        <f t="shared" si="11"/>
        <v/>
      </c>
      <c r="X101" s="386" t="str">
        <f>IF(F101="","",VLOOKUP(U101,'G-3 Multipliers'!$P$3:$Q$6,2,FALSE))</f>
        <v/>
      </c>
      <c r="Y101" s="390" t="str">
        <f t="shared" si="12"/>
        <v/>
      </c>
      <c r="Z101" s="390" t="str">
        <f t="shared" si="13"/>
        <v/>
      </c>
      <c r="AA101" s="117"/>
      <c r="AB101" s="118"/>
      <c r="AC101" s="120"/>
      <c r="AD101" s="120"/>
      <c r="AH101" s="30" t="str">
        <f>IFERROR(INDEX('G-6 Hedgerow Data'!$BJ$3:$BJ$15,MATCH(D101,'G-6 Hedgerow Data'!$B$3:$B$15,0)),"")</f>
        <v/>
      </c>
    </row>
    <row r="102" spans="2:34" ht="15">
      <c r="B102" s="110">
        <v>91</v>
      </c>
      <c r="C102" s="216"/>
      <c r="D102" s="63"/>
      <c r="E102" s="165"/>
      <c r="F102" s="362" t="str">
        <f>IF(D102="","",VLOOKUP(D102,'G-6 Hedgerow Data'!$B$2:$AG$15,2,FALSE))</f>
        <v/>
      </c>
      <c r="G102" s="386" t="str">
        <f>IF(D102="","",VLOOKUP(D102,'G-6 Hedgerow Data'!$B$2:$AG$15,3,FALSE))</f>
        <v/>
      </c>
      <c r="H102" s="55"/>
      <c r="I102" s="363" t="str">
        <f>IFERROR(IF(AND(F102="V.Low",OR(H102="Good",H102="Moderate")),"Error ▲",VLOOKUP(H102,'G-1 All Habitats'!$Z$2:$AA$9,2,FALSE)),"")</f>
        <v/>
      </c>
      <c r="J102" s="115"/>
      <c r="K102" s="382" t="str">
        <f>IF(J102="","",IF(VLOOKUP(J102,'G-3 Multipliers'!$L$3:$N$6,2,FALSE)=0,"Spatial Data Missing",VLOOKUP(J102,'G-3 Multipliers'!$L$3:$N$6,2,FALSE)))</f>
        <v/>
      </c>
      <c r="L102" s="386" t="str">
        <f>IF(J102="","",IF(VLOOKUP(J102,'G-3 Multipliers'!$L$3:$N$6,3,FALSE)=0,"Spatial Data Missing",VLOOKUP(J102,'G-3 Multipliers'!$L$3:$N$6,3,FALSE)))</f>
        <v/>
      </c>
      <c r="M102" s="160"/>
      <c r="N102" s="363" t="str">
        <f>IF(M102="","",IF(VLOOKUP(M102,'G-3 Multipliers'!$S$3:$T$10,2,FALSE)=0,"Spatial Data Missing ⚠",VLOOKUP(M102,'G-3 Multipliers'!$S$3:$T$10,2,FALSE)))</f>
        <v/>
      </c>
      <c r="O102" s="362" t="str">
        <f>IF(OR(D102="",H102=""),"",(INDEX('G-6 Hedgerow Data'!$E$3:$I$15,MATCH(D102,'G-6 Hedgerow Data'!$B$3:$B$15,0),MATCH(H102,'G-6 Hedgerow Data'!$E$2:$I$2,0))))</f>
        <v/>
      </c>
      <c r="P102" s="159"/>
      <c r="Q102" s="159"/>
      <c r="R102" s="370" t="str">
        <f t="shared" si="8"/>
        <v/>
      </c>
      <c r="S102" s="383" t="str">
        <f t="shared" si="9"/>
        <v/>
      </c>
      <c r="T102" s="384" t="str">
        <f t="shared" si="7"/>
        <v/>
      </c>
      <c r="U102" s="398" t="str">
        <f>IF(D102="","",VLOOKUP(D102,'G-6 Hedgerow Data'!$B$3:$AG$15,31,FALSE))</f>
        <v/>
      </c>
      <c r="V102" s="382" t="str">
        <f t="shared" si="10"/>
        <v/>
      </c>
      <c r="W102" s="382" t="str">
        <f t="shared" si="11"/>
        <v/>
      </c>
      <c r="X102" s="386" t="str">
        <f>IF(F102="","",VLOOKUP(U102,'G-3 Multipliers'!$P$3:$Q$6,2,FALSE))</f>
        <v/>
      </c>
      <c r="Y102" s="390" t="str">
        <f t="shared" si="12"/>
        <v/>
      </c>
      <c r="Z102" s="390" t="str">
        <f t="shared" si="13"/>
        <v/>
      </c>
      <c r="AA102" s="117"/>
      <c r="AB102" s="118"/>
      <c r="AC102" s="120"/>
      <c r="AD102" s="120"/>
      <c r="AH102" s="30" t="str">
        <f>IFERROR(INDEX('G-6 Hedgerow Data'!$BJ$3:$BJ$15,MATCH(D102,'G-6 Hedgerow Data'!$B$3:$B$15,0)),"")</f>
        <v/>
      </c>
    </row>
    <row r="103" spans="2:34" ht="15">
      <c r="B103" s="110">
        <v>92</v>
      </c>
      <c r="C103" s="216"/>
      <c r="D103" s="63"/>
      <c r="E103" s="165"/>
      <c r="F103" s="362" t="str">
        <f>IF(D103="","",VLOOKUP(D103,'G-6 Hedgerow Data'!$B$2:$AG$15,2,FALSE))</f>
        <v/>
      </c>
      <c r="G103" s="386" t="str">
        <f>IF(D103="","",VLOOKUP(D103,'G-6 Hedgerow Data'!$B$2:$AG$15,3,FALSE))</f>
        <v/>
      </c>
      <c r="H103" s="55"/>
      <c r="I103" s="363" t="str">
        <f>IFERROR(IF(AND(F103="V.Low",OR(H103="Good",H103="Moderate")),"Error ▲",VLOOKUP(H103,'G-1 All Habitats'!$Z$2:$AA$9,2,FALSE)),"")</f>
        <v/>
      </c>
      <c r="J103" s="115"/>
      <c r="K103" s="382" t="str">
        <f>IF(J103="","",IF(VLOOKUP(J103,'G-3 Multipliers'!$L$3:$N$6,2,FALSE)=0,"Spatial Data Missing",VLOOKUP(J103,'G-3 Multipliers'!$L$3:$N$6,2,FALSE)))</f>
        <v/>
      </c>
      <c r="L103" s="386" t="str">
        <f>IF(J103="","",IF(VLOOKUP(J103,'G-3 Multipliers'!$L$3:$N$6,3,FALSE)=0,"Spatial Data Missing",VLOOKUP(J103,'G-3 Multipliers'!$L$3:$N$6,3,FALSE)))</f>
        <v/>
      </c>
      <c r="M103" s="160"/>
      <c r="N103" s="363" t="str">
        <f>IF(M103="","",IF(VLOOKUP(M103,'G-3 Multipliers'!$S$3:$T$10,2,FALSE)=0,"Spatial Data Missing ⚠",VLOOKUP(M103,'G-3 Multipliers'!$S$3:$T$10,2,FALSE)))</f>
        <v/>
      </c>
      <c r="O103" s="362" t="str">
        <f>IF(OR(D103="",H103=""),"",(INDEX('G-6 Hedgerow Data'!$E$3:$I$15,MATCH(D103,'G-6 Hedgerow Data'!$B$3:$B$15,0),MATCH(H103,'G-6 Hedgerow Data'!$E$2:$I$2,0))))</f>
        <v/>
      </c>
      <c r="P103" s="159"/>
      <c r="Q103" s="159"/>
      <c r="R103" s="370" t="str">
        <f t="shared" si="8"/>
        <v/>
      </c>
      <c r="S103" s="383" t="str">
        <f t="shared" si="9"/>
        <v/>
      </c>
      <c r="T103" s="384" t="str">
        <f t="shared" si="7"/>
        <v/>
      </c>
      <c r="U103" s="398" t="str">
        <f>IF(D103="","",VLOOKUP(D103,'G-6 Hedgerow Data'!$B$3:$AG$15,31,FALSE))</f>
        <v/>
      </c>
      <c r="V103" s="382" t="str">
        <f t="shared" si="10"/>
        <v/>
      </c>
      <c r="W103" s="382" t="str">
        <f t="shared" si="11"/>
        <v/>
      </c>
      <c r="X103" s="386" t="str">
        <f>IF(F103="","",VLOOKUP(U103,'G-3 Multipliers'!$P$3:$Q$6,2,FALSE))</f>
        <v/>
      </c>
      <c r="Y103" s="390" t="str">
        <f t="shared" si="12"/>
        <v/>
      </c>
      <c r="Z103" s="390" t="str">
        <f t="shared" si="13"/>
        <v/>
      </c>
      <c r="AA103" s="117"/>
      <c r="AB103" s="118"/>
      <c r="AC103" s="120"/>
      <c r="AD103" s="120"/>
      <c r="AH103" s="30" t="str">
        <f>IFERROR(INDEX('G-6 Hedgerow Data'!$BJ$3:$BJ$15,MATCH(D103,'G-6 Hedgerow Data'!$B$3:$B$15,0)),"")</f>
        <v/>
      </c>
    </row>
    <row r="104" spans="2:34" ht="15">
      <c r="B104" s="110">
        <v>93</v>
      </c>
      <c r="C104" s="216"/>
      <c r="D104" s="63"/>
      <c r="E104" s="165"/>
      <c r="F104" s="362" t="str">
        <f>IF(D104="","",VLOOKUP(D104,'G-6 Hedgerow Data'!$B$2:$AG$15,2,FALSE))</f>
        <v/>
      </c>
      <c r="G104" s="386" t="str">
        <f>IF(D104="","",VLOOKUP(D104,'G-6 Hedgerow Data'!$B$2:$AG$15,3,FALSE))</f>
        <v/>
      </c>
      <c r="H104" s="55"/>
      <c r="I104" s="363" t="str">
        <f>IFERROR(IF(AND(F104="V.Low",OR(H104="Good",H104="Moderate")),"Error ▲",VLOOKUP(H104,'G-1 All Habitats'!$Z$2:$AA$9,2,FALSE)),"")</f>
        <v/>
      </c>
      <c r="J104" s="115"/>
      <c r="K104" s="382" t="str">
        <f>IF(J104="","",IF(VLOOKUP(J104,'G-3 Multipliers'!$L$3:$N$6,2,FALSE)=0,"Spatial Data Missing",VLOOKUP(J104,'G-3 Multipliers'!$L$3:$N$6,2,FALSE)))</f>
        <v/>
      </c>
      <c r="L104" s="386" t="str">
        <f>IF(J104="","",IF(VLOOKUP(J104,'G-3 Multipliers'!$L$3:$N$6,3,FALSE)=0,"Spatial Data Missing",VLOOKUP(J104,'G-3 Multipliers'!$L$3:$N$6,3,FALSE)))</f>
        <v/>
      </c>
      <c r="M104" s="160"/>
      <c r="N104" s="363" t="str">
        <f>IF(M104="","",IF(VLOOKUP(M104,'G-3 Multipliers'!$S$3:$T$10,2,FALSE)=0,"Spatial Data Missing ⚠",VLOOKUP(M104,'G-3 Multipliers'!$S$3:$T$10,2,FALSE)))</f>
        <v/>
      </c>
      <c r="O104" s="362" t="str">
        <f>IF(OR(D104="",H104=""),"",(INDEX('G-6 Hedgerow Data'!$E$3:$I$15,MATCH(D104,'G-6 Hedgerow Data'!$B$3:$B$15,0),MATCH(H104,'G-6 Hedgerow Data'!$E$2:$I$2,0))))</f>
        <v/>
      </c>
      <c r="P104" s="159"/>
      <c r="Q104" s="159"/>
      <c r="R104" s="370" t="str">
        <f t="shared" si="8"/>
        <v/>
      </c>
      <c r="S104" s="383" t="str">
        <f t="shared" si="9"/>
        <v/>
      </c>
      <c r="T104" s="384" t="str">
        <f t="shared" si="7"/>
        <v/>
      </c>
      <c r="U104" s="398" t="str">
        <f>IF(D104="","",VLOOKUP(D104,'G-6 Hedgerow Data'!$B$3:$AG$15,31,FALSE))</f>
        <v/>
      </c>
      <c r="V104" s="382" t="str">
        <f t="shared" si="10"/>
        <v/>
      </c>
      <c r="W104" s="382" t="str">
        <f t="shared" si="11"/>
        <v/>
      </c>
      <c r="X104" s="386" t="str">
        <f>IF(F104="","",VLOOKUP(U104,'G-3 Multipliers'!$P$3:$Q$6,2,FALSE))</f>
        <v/>
      </c>
      <c r="Y104" s="390" t="str">
        <f t="shared" si="12"/>
        <v/>
      </c>
      <c r="Z104" s="390" t="str">
        <f t="shared" si="13"/>
        <v/>
      </c>
      <c r="AA104" s="117"/>
      <c r="AB104" s="118"/>
      <c r="AC104" s="120"/>
      <c r="AD104" s="120"/>
      <c r="AH104" s="30" t="str">
        <f>IFERROR(INDEX('G-6 Hedgerow Data'!$BJ$3:$BJ$15,MATCH(D104,'G-6 Hedgerow Data'!$B$3:$B$15,0)),"")</f>
        <v/>
      </c>
    </row>
    <row r="105" spans="2:34" ht="15">
      <c r="B105" s="110">
        <v>94</v>
      </c>
      <c r="C105" s="216"/>
      <c r="D105" s="63"/>
      <c r="E105" s="165"/>
      <c r="F105" s="362" t="str">
        <f>IF(D105="","",VLOOKUP(D105,'G-6 Hedgerow Data'!$B$2:$AG$15,2,FALSE))</f>
        <v/>
      </c>
      <c r="G105" s="386" t="str">
        <f>IF(D105="","",VLOOKUP(D105,'G-6 Hedgerow Data'!$B$2:$AG$15,3,FALSE))</f>
        <v/>
      </c>
      <c r="H105" s="55"/>
      <c r="I105" s="363" t="str">
        <f>IFERROR(IF(AND(F105="V.Low",OR(H105="Good",H105="Moderate")),"Error ▲",VLOOKUP(H105,'G-1 All Habitats'!$Z$2:$AA$9,2,FALSE)),"")</f>
        <v/>
      </c>
      <c r="J105" s="115"/>
      <c r="K105" s="382" t="str">
        <f>IF(J105="","",IF(VLOOKUP(J105,'G-3 Multipliers'!$L$3:$N$6,2,FALSE)=0,"Spatial Data Missing",VLOOKUP(J105,'G-3 Multipliers'!$L$3:$N$6,2,FALSE)))</f>
        <v/>
      </c>
      <c r="L105" s="386" t="str">
        <f>IF(J105="","",IF(VLOOKUP(J105,'G-3 Multipliers'!$L$3:$N$6,3,FALSE)=0,"Spatial Data Missing",VLOOKUP(J105,'G-3 Multipliers'!$L$3:$N$6,3,FALSE)))</f>
        <v/>
      </c>
      <c r="M105" s="160"/>
      <c r="N105" s="363" t="str">
        <f>IF(M105="","",IF(VLOOKUP(M105,'G-3 Multipliers'!$S$3:$T$10,2,FALSE)=0,"Spatial Data Missing ⚠",VLOOKUP(M105,'G-3 Multipliers'!$S$3:$T$10,2,FALSE)))</f>
        <v/>
      </c>
      <c r="O105" s="362" t="str">
        <f>IF(OR(D105="",H105=""),"",(INDEX('G-6 Hedgerow Data'!$E$3:$I$15,MATCH(D105,'G-6 Hedgerow Data'!$B$3:$B$15,0),MATCH(H105,'G-6 Hedgerow Data'!$E$2:$I$2,0))))</f>
        <v/>
      </c>
      <c r="P105" s="159"/>
      <c r="Q105" s="159"/>
      <c r="R105" s="370" t="str">
        <f t="shared" si="8"/>
        <v/>
      </c>
      <c r="S105" s="383" t="str">
        <f t="shared" si="9"/>
        <v/>
      </c>
      <c r="T105" s="384" t="str">
        <f t="shared" si="7"/>
        <v/>
      </c>
      <c r="U105" s="398" t="str">
        <f>IF(D105="","",VLOOKUP(D105,'G-6 Hedgerow Data'!$B$3:$AG$15,31,FALSE))</f>
        <v/>
      </c>
      <c r="V105" s="382" t="str">
        <f t="shared" si="10"/>
        <v/>
      </c>
      <c r="W105" s="382" t="str">
        <f t="shared" si="11"/>
        <v/>
      </c>
      <c r="X105" s="386" t="str">
        <f>IF(F105="","",VLOOKUP(U105,'G-3 Multipliers'!$P$3:$Q$6,2,FALSE))</f>
        <v/>
      </c>
      <c r="Y105" s="390" t="str">
        <f t="shared" si="12"/>
        <v/>
      </c>
      <c r="Z105" s="390" t="str">
        <f t="shared" si="13"/>
        <v/>
      </c>
      <c r="AA105" s="117"/>
      <c r="AB105" s="118"/>
      <c r="AC105" s="120"/>
      <c r="AD105" s="120"/>
      <c r="AH105" s="30" t="str">
        <f>IFERROR(INDEX('G-6 Hedgerow Data'!$BJ$3:$BJ$15,MATCH(D105,'G-6 Hedgerow Data'!$B$3:$B$15,0)),"")</f>
        <v/>
      </c>
    </row>
    <row r="106" spans="2:34" ht="15">
      <c r="B106" s="110">
        <v>95</v>
      </c>
      <c r="C106" s="216"/>
      <c r="D106" s="63"/>
      <c r="E106" s="165"/>
      <c r="F106" s="362" t="str">
        <f>IF(D106="","",VLOOKUP(D106,'G-6 Hedgerow Data'!$B$2:$AG$15,2,FALSE))</f>
        <v/>
      </c>
      <c r="G106" s="386" t="str">
        <f>IF(D106="","",VLOOKUP(D106,'G-6 Hedgerow Data'!$B$2:$AG$15,3,FALSE))</f>
        <v/>
      </c>
      <c r="H106" s="55"/>
      <c r="I106" s="363" t="str">
        <f>IFERROR(IF(AND(F106="V.Low",OR(H106="Good",H106="Moderate")),"Error ▲",VLOOKUP(H106,'G-1 All Habitats'!$Z$2:$AA$9,2,FALSE)),"")</f>
        <v/>
      </c>
      <c r="J106" s="115"/>
      <c r="K106" s="382" t="str">
        <f>IF(J106="","",IF(VLOOKUP(J106,'G-3 Multipliers'!$L$3:$N$6,2,FALSE)=0,"Spatial Data Missing",VLOOKUP(J106,'G-3 Multipliers'!$L$3:$N$6,2,FALSE)))</f>
        <v/>
      </c>
      <c r="L106" s="386" t="str">
        <f>IF(J106="","",IF(VLOOKUP(J106,'G-3 Multipliers'!$L$3:$N$6,3,FALSE)=0,"Spatial Data Missing",VLOOKUP(J106,'G-3 Multipliers'!$L$3:$N$6,3,FALSE)))</f>
        <v/>
      </c>
      <c r="M106" s="160"/>
      <c r="N106" s="363" t="str">
        <f>IF(M106="","",IF(VLOOKUP(M106,'G-3 Multipliers'!$S$3:$T$10,2,FALSE)=0,"Spatial Data Missing ⚠",VLOOKUP(M106,'G-3 Multipliers'!$S$3:$T$10,2,FALSE)))</f>
        <v/>
      </c>
      <c r="O106" s="362" t="str">
        <f>IF(OR(D106="",H106=""),"",(INDEX('G-6 Hedgerow Data'!$E$3:$I$15,MATCH(D106,'G-6 Hedgerow Data'!$B$3:$B$15,0),MATCH(H106,'G-6 Hedgerow Data'!$E$2:$I$2,0))))</f>
        <v/>
      </c>
      <c r="P106" s="159"/>
      <c r="Q106" s="159"/>
      <c r="R106" s="370" t="str">
        <f t="shared" si="8"/>
        <v/>
      </c>
      <c r="S106" s="383" t="str">
        <f t="shared" si="9"/>
        <v/>
      </c>
      <c r="T106" s="384" t="str">
        <f t="shared" si="7"/>
        <v/>
      </c>
      <c r="U106" s="398" t="str">
        <f>IF(D106="","",VLOOKUP(D106,'G-6 Hedgerow Data'!$B$3:$AG$15,31,FALSE))</f>
        <v/>
      </c>
      <c r="V106" s="382" t="str">
        <f t="shared" si="10"/>
        <v/>
      </c>
      <c r="W106" s="382" t="str">
        <f t="shared" si="11"/>
        <v/>
      </c>
      <c r="X106" s="386" t="str">
        <f>IF(F106="","",VLOOKUP(U106,'G-3 Multipliers'!$P$3:$Q$6,2,FALSE))</f>
        <v/>
      </c>
      <c r="Y106" s="390" t="str">
        <f t="shared" si="12"/>
        <v/>
      </c>
      <c r="Z106" s="390" t="str">
        <f t="shared" si="13"/>
        <v/>
      </c>
      <c r="AA106" s="117"/>
      <c r="AB106" s="118"/>
      <c r="AC106" s="120"/>
      <c r="AD106" s="120"/>
      <c r="AH106" s="30" t="str">
        <f>IFERROR(INDEX('G-6 Hedgerow Data'!$BJ$3:$BJ$15,MATCH(D106,'G-6 Hedgerow Data'!$B$3:$B$15,0)),"")</f>
        <v/>
      </c>
    </row>
    <row r="107" spans="2:34" ht="15">
      <c r="B107" s="110">
        <v>96</v>
      </c>
      <c r="C107" s="216"/>
      <c r="D107" s="63"/>
      <c r="E107" s="165"/>
      <c r="F107" s="362" t="str">
        <f>IF(D107="","",VLOOKUP(D107,'G-6 Hedgerow Data'!$B$2:$AG$15,2,FALSE))</f>
        <v/>
      </c>
      <c r="G107" s="386" t="str">
        <f>IF(D107="","",VLOOKUP(D107,'G-6 Hedgerow Data'!$B$2:$AG$15,3,FALSE))</f>
        <v/>
      </c>
      <c r="H107" s="55"/>
      <c r="I107" s="363" t="str">
        <f>IFERROR(IF(AND(F107="V.Low",OR(H107="Good",H107="Moderate")),"Error ▲",VLOOKUP(H107,'G-1 All Habitats'!$Z$2:$AA$9,2,FALSE)),"")</f>
        <v/>
      </c>
      <c r="J107" s="115"/>
      <c r="K107" s="382" t="str">
        <f>IF(J107="","",IF(VLOOKUP(J107,'G-3 Multipliers'!$L$3:$N$6,2,FALSE)=0,"Spatial Data Missing",VLOOKUP(J107,'G-3 Multipliers'!$L$3:$N$6,2,FALSE)))</f>
        <v/>
      </c>
      <c r="L107" s="386" t="str">
        <f>IF(J107="","",IF(VLOOKUP(J107,'G-3 Multipliers'!$L$3:$N$6,3,FALSE)=0,"Spatial Data Missing",VLOOKUP(J107,'G-3 Multipliers'!$L$3:$N$6,3,FALSE)))</f>
        <v/>
      </c>
      <c r="M107" s="160"/>
      <c r="N107" s="363" t="str">
        <f>IF(M107="","",IF(VLOOKUP(M107,'G-3 Multipliers'!$S$3:$T$10,2,FALSE)=0,"Spatial Data Missing ⚠",VLOOKUP(M107,'G-3 Multipliers'!$S$3:$T$10,2,FALSE)))</f>
        <v/>
      </c>
      <c r="O107" s="362" t="str">
        <f>IF(OR(D107="",H107=""),"",(INDEX('G-6 Hedgerow Data'!$E$3:$I$15,MATCH(D107,'G-6 Hedgerow Data'!$B$3:$B$15,0),MATCH(H107,'G-6 Hedgerow Data'!$E$2:$I$2,0))))</f>
        <v/>
      </c>
      <c r="P107" s="159"/>
      <c r="Q107" s="159"/>
      <c r="R107" s="370" t="str">
        <f t="shared" si="8"/>
        <v/>
      </c>
      <c r="S107" s="383" t="str">
        <f t="shared" si="9"/>
        <v/>
      </c>
      <c r="T107" s="384" t="str">
        <f t="shared" si="7"/>
        <v/>
      </c>
      <c r="U107" s="398" t="str">
        <f>IF(D107="","",VLOOKUP(D107,'G-6 Hedgerow Data'!$B$3:$AG$15,31,FALSE))</f>
        <v/>
      </c>
      <c r="V107" s="382" t="str">
        <f t="shared" si="10"/>
        <v/>
      </c>
      <c r="W107" s="382" t="str">
        <f t="shared" si="11"/>
        <v/>
      </c>
      <c r="X107" s="386" t="str">
        <f>IF(F107="","",VLOOKUP(U107,'G-3 Multipliers'!$P$3:$Q$6,2,FALSE))</f>
        <v/>
      </c>
      <c r="Y107" s="390" t="str">
        <f t="shared" si="12"/>
        <v/>
      </c>
      <c r="Z107" s="390" t="str">
        <f t="shared" si="13"/>
        <v/>
      </c>
      <c r="AA107" s="117"/>
      <c r="AB107" s="118"/>
      <c r="AC107" s="120"/>
      <c r="AD107" s="120"/>
      <c r="AH107" s="30" t="str">
        <f>IFERROR(INDEX('G-6 Hedgerow Data'!$BJ$3:$BJ$15,MATCH(D107,'G-6 Hedgerow Data'!$B$3:$B$15,0)),"")</f>
        <v/>
      </c>
    </row>
    <row r="108" spans="2:34" ht="15">
      <c r="B108" s="110">
        <v>97</v>
      </c>
      <c r="C108" s="216"/>
      <c r="D108" s="63"/>
      <c r="E108" s="165"/>
      <c r="F108" s="362" t="str">
        <f>IF(D108="","",VLOOKUP(D108,'G-6 Hedgerow Data'!$B$2:$AG$15,2,FALSE))</f>
        <v/>
      </c>
      <c r="G108" s="386" t="str">
        <f>IF(D108="","",VLOOKUP(D108,'G-6 Hedgerow Data'!$B$2:$AG$15,3,FALSE))</f>
        <v/>
      </c>
      <c r="H108" s="55"/>
      <c r="I108" s="363" t="str">
        <f>IFERROR(IF(AND(F108="V.Low",OR(H108="Good",H108="Moderate")),"Error ▲",VLOOKUP(H108,'G-1 All Habitats'!$Z$2:$AA$9,2,FALSE)),"")</f>
        <v/>
      </c>
      <c r="J108" s="115"/>
      <c r="K108" s="382" t="str">
        <f>IF(J108="","",IF(VLOOKUP(J108,'G-3 Multipliers'!$L$3:$N$6,2,FALSE)=0,"Spatial Data Missing",VLOOKUP(J108,'G-3 Multipliers'!$L$3:$N$6,2,FALSE)))</f>
        <v/>
      </c>
      <c r="L108" s="386" t="str">
        <f>IF(J108="","",IF(VLOOKUP(J108,'G-3 Multipliers'!$L$3:$N$6,3,FALSE)=0,"Spatial Data Missing",VLOOKUP(J108,'G-3 Multipliers'!$L$3:$N$6,3,FALSE)))</f>
        <v/>
      </c>
      <c r="M108" s="160"/>
      <c r="N108" s="363" t="str">
        <f>IF(M108="","",IF(VLOOKUP(M108,'G-3 Multipliers'!$S$3:$T$10,2,FALSE)=0,"Spatial Data Missing ⚠",VLOOKUP(M108,'G-3 Multipliers'!$S$3:$T$10,2,FALSE)))</f>
        <v/>
      </c>
      <c r="O108" s="362" t="str">
        <f>IF(OR(D108="",H108=""),"",(INDEX('G-6 Hedgerow Data'!$E$3:$I$15,MATCH(D108,'G-6 Hedgerow Data'!$B$3:$B$15,0),MATCH(H108,'G-6 Hedgerow Data'!$E$2:$I$2,0))))</f>
        <v/>
      </c>
      <c r="P108" s="159"/>
      <c r="Q108" s="159"/>
      <c r="R108" s="370" t="str">
        <f t="shared" si="8"/>
        <v/>
      </c>
      <c r="S108" s="383" t="str">
        <f t="shared" si="9"/>
        <v/>
      </c>
      <c r="T108" s="384" t="str">
        <f t="shared" si="7"/>
        <v/>
      </c>
      <c r="U108" s="398" t="str">
        <f>IF(D108="","",VLOOKUP(D108,'G-6 Hedgerow Data'!$B$3:$AG$15,31,FALSE))</f>
        <v/>
      </c>
      <c r="V108" s="382" t="str">
        <f t="shared" si="10"/>
        <v/>
      </c>
      <c r="W108" s="382" t="str">
        <f t="shared" si="11"/>
        <v/>
      </c>
      <c r="X108" s="386" t="str">
        <f>IF(F108="","",VLOOKUP(U108,'G-3 Multipliers'!$P$3:$Q$6,2,FALSE))</f>
        <v/>
      </c>
      <c r="Y108" s="390" t="str">
        <f t="shared" si="12"/>
        <v/>
      </c>
      <c r="Z108" s="390" t="str">
        <f t="shared" si="13"/>
        <v/>
      </c>
      <c r="AA108" s="117"/>
      <c r="AB108" s="118"/>
      <c r="AC108" s="120"/>
      <c r="AD108" s="120"/>
      <c r="AH108" s="30" t="str">
        <f>IFERROR(INDEX('G-6 Hedgerow Data'!$BJ$3:$BJ$15,MATCH(D108,'G-6 Hedgerow Data'!$B$3:$B$15,0)),"")</f>
        <v/>
      </c>
    </row>
    <row r="109" spans="2:34" ht="15">
      <c r="B109" s="110">
        <v>98</v>
      </c>
      <c r="C109" s="216"/>
      <c r="D109" s="63"/>
      <c r="E109" s="165"/>
      <c r="F109" s="362" t="str">
        <f>IF(D109="","",VLOOKUP(D109,'G-6 Hedgerow Data'!$B$2:$AG$15,2,FALSE))</f>
        <v/>
      </c>
      <c r="G109" s="386" t="str">
        <f>IF(D109="","",VLOOKUP(D109,'G-6 Hedgerow Data'!$B$2:$AG$15,3,FALSE))</f>
        <v/>
      </c>
      <c r="H109" s="55"/>
      <c r="I109" s="363" t="str">
        <f>IFERROR(IF(AND(F109="V.Low",OR(H109="Good",H109="Moderate")),"Error ▲",VLOOKUP(H109,'G-1 All Habitats'!$Z$2:$AA$9,2,FALSE)),"")</f>
        <v/>
      </c>
      <c r="J109" s="115"/>
      <c r="K109" s="382" t="str">
        <f>IF(J109="","",IF(VLOOKUP(J109,'G-3 Multipliers'!$L$3:$N$6,2,FALSE)=0,"Spatial Data Missing",VLOOKUP(J109,'G-3 Multipliers'!$L$3:$N$6,2,FALSE)))</f>
        <v/>
      </c>
      <c r="L109" s="386" t="str">
        <f>IF(J109="","",IF(VLOOKUP(J109,'G-3 Multipliers'!$L$3:$N$6,3,FALSE)=0,"Spatial Data Missing",VLOOKUP(J109,'G-3 Multipliers'!$L$3:$N$6,3,FALSE)))</f>
        <v/>
      </c>
      <c r="M109" s="160"/>
      <c r="N109" s="363" t="str">
        <f>IF(M109="","",IF(VLOOKUP(M109,'G-3 Multipliers'!$S$3:$T$10,2,FALSE)=0,"Spatial Data Missing ⚠",VLOOKUP(M109,'G-3 Multipliers'!$S$3:$T$10,2,FALSE)))</f>
        <v/>
      </c>
      <c r="O109" s="362" t="str">
        <f>IF(OR(D109="",H109=""),"",(INDEX('G-6 Hedgerow Data'!$E$3:$I$15,MATCH(D109,'G-6 Hedgerow Data'!$B$3:$B$15,0),MATCH(H109,'G-6 Hedgerow Data'!$E$2:$I$2,0))))</f>
        <v/>
      </c>
      <c r="P109" s="159"/>
      <c r="Q109" s="159"/>
      <c r="R109" s="370" t="str">
        <f t="shared" si="8"/>
        <v/>
      </c>
      <c r="S109" s="383" t="str">
        <f t="shared" si="9"/>
        <v/>
      </c>
      <c r="T109" s="384" t="str">
        <f t="shared" si="7"/>
        <v/>
      </c>
      <c r="U109" s="398" t="str">
        <f>IF(D109="","",VLOOKUP(D109,'G-6 Hedgerow Data'!$B$3:$AG$15,31,FALSE))</f>
        <v/>
      </c>
      <c r="V109" s="382" t="str">
        <f t="shared" si="10"/>
        <v/>
      </c>
      <c r="W109" s="382" t="str">
        <f t="shared" si="11"/>
        <v/>
      </c>
      <c r="X109" s="386" t="str">
        <f>IF(F109="","",VLOOKUP(U109,'G-3 Multipliers'!$P$3:$Q$6,2,FALSE))</f>
        <v/>
      </c>
      <c r="Y109" s="390" t="str">
        <f t="shared" si="12"/>
        <v/>
      </c>
      <c r="Z109" s="390" t="str">
        <f t="shared" si="13"/>
        <v/>
      </c>
      <c r="AA109" s="117"/>
      <c r="AB109" s="118"/>
      <c r="AC109" s="120"/>
      <c r="AD109" s="120"/>
      <c r="AH109" s="30" t="str">
        <f>IFERROR(INDEX('G-6 Hedgerow Data'!$BJ$3:$BJ$15,MATCH(D109,'G-6 Hedgerow Data'!$B$3:$B$15,0)),"")</f>
        <v/>
      </c>
    </row>
    <row r="110" spans="2:34" ht="15">
      <c r="B110" s="110">
        <v>99</v>
      </c>
      <c r="C110" s="216"/>
      <c r="D110" s="63"/>
      <c r="E110" s="165"/>
      <c r="F110" s="362" t="str">
        <f>IF(D110="","",VLOOKUP(D110,'G-6 Hedgerow Data'!$B$2:$AG$15,2,FALSE))</f>
        <v/>
      </c>
      <c r="G110" s="386" t="str">
        <f>IF(D110="","",VLOOKUP(D110,'G-6 Hedgerow Data'!$B$2:$AG$15,3,FALSE))</f>
        <v/>
      </c>
      <c r="H110" s="55"/>
      <c r="I110" s="363" t="str">
        <f>IFERROR(IF(AND(F110="V.Low",OR(H110="Good",H110="Moderate")),"Error ▲",VLOOKUP(H110,'G-1 All Habitats'!$Z$2:$AA$9,2,FALSE)),"")</f>
        <v/>
      </c>
      <c r="J110" s="115"/>
      <c r="K110" s="382" t="str">
        <f>IF(J110="","",IF(VLOOKUP(J110,'G-3 Multipliers'!$L$3:$N$6,2,FALSE)=0,"Spatial Data Missing",VLOOKUP(J110,'G-3 Multipliers'!$L$3:$N$6,2,FALSE)))</f>
        <v/>
      </c>
      <c r="L110" s="386" t="str">
        <f>IF(J110="","",IF(VLOOKUP(J110,'G-3 Multipliers'!$L$3:$N$6,3,FALSE)=0,"Spatial Data Missing",VLOOKUP(J110,'G-3 Multipliers'!$L$3:$N$6,3,FALSE)))</f>
        <v/>
      </c>
      <c r="M110" s="160"/>
      <c r="N110" s="363" t="str">
        <f>IF(M110="","",IF(VLOOKUP(M110,'G-3 Multipliers'!$S$3:$T$10,2,FALSE)=0,"Spatial Data Missing ⚠",VLOOKUP(M110,'G-3 Multipliers'!$S$3:$T$10,2,FALSE)))</f>
        <v/>
      </c>
      <c r="O110" s="362" t="str">
        <f>IF(OR(D110="",H110=""),"",(INDEX('G-6 Hedgerow Data'!$E$3:$I$15,MATCH(D110,'G-6 Hedgerow Data'!$B$3:$B$15,0),MATCH(H110,'G-6 Hedgerow Data'!$E$2:$I$2,0))))</f>
        <v/>
      </c>
      <c r="P110" s="159"/>
      <c r="Q110" s="159"/>
      <c r="R110" s="370" t="str">
        <f t="shared" si="8"/>
        <v/>
      </c>
      <c r="S110" s="383" t="str">
        <f t="shared" si="9"/>
        <v/>
      </c>
      <c r="T110" s="384" t="str">
        <f t="shared" si="7"/>
        <v/>
      </c>
      <c r="U110" s="398" t="str">
        <f>IF(D110="","",VLOOKUP(D110,'G-6 Hedgerow Data'!$B$3:$AG$15,31,FALSE))</f>
        <v/>
      </c>
      <c r="V110" s="382" t="str">
        <f t="shared" si="10"/>
        <v/>
      </c>
      <c r="W110" s="382" t="str">
        <f t="shared" si="11"/>
        <v/>
      </c>
      <c r="X110" s="386" t="str">
        <f>IF(F110="","",VLOOKUP(U110,'G-3 Multipliers'!$P$3:$Q$6,2,FALSE))</f>
        <v/>
      </c>
      <c r="Y110" s="390" t="str">
        <f t="shared" si="12"/>
        <v/>
      </c>
      <c r="Z110" s="390" t="str">
        <f t="shared" si="13"/>
        <v/>
      </c>
      <c r="AA110" s="117"/>
      <c r="AB110" s="118"/>
      <c r="AC110" s="120"/>
      <c r="AD110" s="120"/>
      <c r="AH110" s="30" t="str">
        <f>IFERROR(INDEX('G-6 Hedgerow Data'!$BJ$3:$BJ$15,MATCH(D110,'G-6 Hedgerow Data'!$B$3:$B$15,0)),"")</f>
        <v/>
      </c>
    </row>
    <row r="111" spans="2:34" ht="15">
      <c r="B111" s="110">
        <v>100</v>
      </c>
      <c r="C111" s="216"/>
      <c r="D111" s="63"/>
      <c r="E111" s="165"/>
      <c r="F111" s="362" t="str">
        <f>IF(D111="","",VLOOKUP(D111,'G-6 Hedgerow Data'!$B$2:$AG$15,2,FALSE))</f>
        <v/>
      </c>
      <c r="G111" s="386" t="str">
        <f>IF(D111="","",VLOOKUP(D111,'G-6 Hedgerow Data'!$B$2:$AG$15,3,FALSE))</f>
        <v/>
      </c>
      <c r="H111" s="55"/>
      <c r="I111" s="363" t="str">
        <f>IFERROR(IF(AND(F111="V.Low",OR(H111="Good",H111="Moderate")),"Error ▲",VLOOKUP(H111,'G-1 All Habitats'!$Z$2:$AA$9,2,FALSE)),"")</f>
        <v/>
      </c>
      <c r="J111" s="115"/>
      <c r="K111" s="382" t="str">
        <f>IF(J111="","",IF(VLOOKUP(J111,'G-3 Multipliers'!$L$3:$N$6,2,FALSE)=0,"Spatial Data Missing",VLOOKUP(J111,'G-3 Multipliers'!$L$3:$N$6,2,FALSE)))</f>
        <v/>
      </c>
      <c r="L111" s="386" t="str">
        <f>IF(J111="","",IF(VLOOKUP(J111,'G-3 Multipliers'!$L$3:$N$6,3,FALSE)=0,"Spatial Data Missing",VLOOKUP(J111,'G-3 Multipliers'!$L$3:$N$6,3,FALSE)))</f>
        <v/>
      </c>
      <c r="M111" s="160"/>
      <c r="N111" s="363" t="str">
        <f>IF(M111="","",IF(VLOOKUP(M111,'G-3 Multipliers'!$S$3:$T$10,2,FALSE)=0,"Spatial Data Missing ⚠",VLOOKUP(M111,'G-3 Multipliers'!$S$3:$T$10,2,FALSE)))</f>
        <v/>
      </c>
      <c r="O111" s="362" t="str">
        <f>IF(OR(D111="",H111=""),"",(INDEX('G-6 Hedgerow Data'!$E$3:$I$15,MATCH(D111,'G-6 Hedgerow Data'!$B$3:$B$15,0),MATCH(H111,'G-6 Hedgerow Data'!$E$2:$I$2,0))))</f>
        <v/>
      </c>
      <c r="P111" s="159"/>
      <c r="Q111" s="159"/>
      <c r="R111" s="370" t="str">
        <f t="shared" si="8"/>
        <v/>
      </c>
      <c r="S111" s="383" t="str">
        <f t="shared" si="9"/>
        <v/>
      </c>
      <c r="T111" s="384" t="str">
        <f t="shared" si="7"/>
        <v/>
      </c>
      <c r="U111" s="398" t="str">
        <f>IF(D111="","",VLOOKUP(D111,'G-6 Hedgerow Data'!$B$3:$AG$15,31,FALSE))</f>
        <v/>
      </c>
      <c r="V111" s="382" t="str">
        <f t="shared" si="10"/>
        <v/>
      </c>
      <c r="W111" s="382" t="str">
        <f t="shared" si="11"/>
        <v/>
      </c>
      <c r="X111" s="386" t="str">
        <f>IF(F111="","",VLOOKUP(U111,'G-3 Multipliers'!$P$3:$Q$6,2,FALSE))</f>
        <v/>
      </c>
      <c r="Y111" s="390" t="str">
        <f t="shared" si="12"/>
        <v/>
      </c>
      <c r="Z111" s="390" t="str">
        <f t="shared" si="13"/>
        <v/>
      </c>
      <c r="AA111" s="117"/>
      <c r="AB111" s="118"/>
      <c r="AC111" s="120"/>
      <c r="AD111" s="120"/>
      <c r="AH111" s="30" t="str">
        <f>IFERROR(INDEX('G-6 Hedgerow Data'!$BJ$3:$BJ$15,MATCH(D111,'G-6 Hedgerow Data'!$B$3:$B$15,0)),"")</f>
        <v/>
      </c>
    </row>
    <row r="112" spans="2:34" ht="15">
      <c r="B112" s="110">
        <v>101</v>
      </c>
      <c r="C112" s="216"/>
      <c r="D112" s="63"/>
      <c r="E112" s="165"/>
      <c r="F112" s="362" t="str">
        <f>IF(D112="","",VLOOKUP(D112,'G-6 Hedgerow Data'!$B$2:$AG$15,2,FALSE))</f>
        <v/>
      </c>
      <c r="G112" s="386" t="str">
        <f>IF(D112="","",VLOOKUP(D112,'G-6 Hedgerow Data'!$B$2:$AG$15,3,FALSE))</f>
        <v/>
      </c>
      <c r="H112" s="55"/>
      <c r="I112" s="363" t="str">
        <f>IFERROR(IF(AND(F112="V.Low",OR(H112="Good",H112="Moderate")),"Error ▲",VLOOKUP(H112,'G-1 All Habitats'!$Z$2:$AA$9,2,FALSE)),"")</f>
        <v/>
      </c>
      <c r="J112" s="115"/>
      <c r="K112" s="382" t="str">
        <f>IF(J112="","",IF(VLOOKUP(J112,'G-3 Multipliers'!$L$3:$N$6,2,FALSE)=0,"Spatial Data Missing",VLOOKUP(J112,'G-3 Multipliers'!$L$3:$N$6,2,FALSE)))</f>
        <v/>
      </c>
      <c r="L112" s="386" t="str">
        <f>IF(J112="","",IF(VLOOKUP(J112,'G-3 Multipliers'!$L$3:$N$6,3,FALSE)=0,"Spatial Data Missing",VLOOKUP(J112,'G-3 Multipliers'!$L$3:$N$6,3,FALSE)))</f>
        <v/>
      </c>
      <c r="M112" s="160"/>
      <c r="N112" s="363" t="str">
        <f>IF(M112="","",IF(VLOOKUP(M112,'G-3 Multipliers'!$S$3:$T$10,2,FALSE)=0,"Spatial Data Missing ⚠",VLOOKUP(M112,'G-3 Multipliers'!$S$3:$T$10,2,FALSE)))</f>
        <v/>
      </c>
      <c r="O112" s="362" t="str">
        <f>IF(OR(D112="",H112=""),"",(INDEX('G-6 Hedgerow Data'!$E$3:$I$15,MATCH(D112,'G-6 Hedgerow Data'!$B$3:$B$15,0),MATCH(H112,'G-6 Hedgerow Data'!$E$2:$I$2,0))))</f>
        <v/>
      </c>
      <c r="P112" s="159"/>
      <c r="Q112" s="159"/>
      <c r="R112" s="370" t="str">
        <f t="shared" si="8"/>
        <v/>
      </c>
      <c r="S112" s="383" t="str">
        <f t="shared" si="9"/>
        <v/>
      </c>
      <c r="T112" s="384" t="str">
        <f t="shared" si="7"/>
        <v/>
      </c>
      <c r="U112" s="398" t="str">
        <f>IF(D112="","",VLOOKUP(D112,'G-6 Hedgerow Data'!$B$3:$AG$15,31,FALSE))</f>
        <v/>
      </c>
      <c r="V112" s="382" t="str">
        <f t="shared" si="10"/>
        <v/>
      </c>
      <c r="W112" s="382" t="str">
        <f t="shared" si="11"/>
        <v/>
      </c>
      <c r="X112" s="386" t="str">
        <f>IF(F112="","",VLOOKUP(U112,'G-3 Multipliers'!$P$3:$Q$6,2,FALSE))</f>
        <v/>
      </c>
      <c r="Y112" s="390" t="str">
        <f t="shared" si="12"/>
        <v/>
      </c>
      <c r="Z112" s="390" t="str">
        <f t="shared" si="13"/>
        <v/>
      </c>
      <c r="AA112" s="117"/>
      <c r="AB112" s="118"/>
      <c r="AC112" s="120"/>
      <c r="AD112" s="120"/>
      <c r="AH112" s="30" t="str">
        <f>IFERROR(INDEX('G-6 Hedgerow Data'!$BJ$3:$BJ$15,MATCH(D112,'G-6 Hedgerow Data'!$B$3:$B$15,0)),"")</f>
        <v/>
      </c>
    </row>
    <row r="113" spans="2:34" ht="15">
      <c r="B113" s="110">
        <v>102</v>
      </c>
      <c r="C113" s="216"/>
      <c r="D113" s="63"/>
      <c r="E113" s="165"/>
      <c r="F113" s="362" t="str">
        <f>IF(D113="","",VLOOKUP(D113,'G-6 Hedgerow Data'!$B$2:$AG$15,2,FALSE))</f>
        <v/>
      </c>
      <c r="G113" s="386" t="str">
        <f>IF(D113="","",VLOOKUP(D113,'G-6 Hedgerow Data'!$B$2:$AG$15,3,FALSE))</f>
        <v/>
      </c>
      <c r="H113" s="55"/>
      <c r="I113" s="363" t="str">
        <f>IFERROR(IF(AND(F113="V.Low",OR(H113="Good",H113="Moderate")),"Error ▲",VLOOKUP(H113,'G-1 All Habitats'!$Z$2:$AA$9,2,FALSE)),"")</f>
        <v/>
      </c>
      <c r="J113" s="115"/>
      <c r="K113" s="382" t="str">
        <f>IF(J113="","",IF(VLOOKUP(J113,'G-3 Multipliers'!$L$3:$N$6,2,FALSE)=0,"Spatial Data Missing",VLOOKUP(J113,'G-3 Multipliers'!$L$3:$N$6,2,FALSE)))</f>
        <v/>
      </c>
      <c r="L113" s="386" t="str">
        <f>IF(J113="","",IF(VLOOKUP(J113,'G-3 Multipliers'!$L$3:$N$6,3,FALSE)=0,"Spatial Data Missing",VLOOKUP(J113,'G-3 Multipliers'!$L$3:$N$6,3,FALSE)))</f>
        <v/>
      </c>
      <c r="M113" s="160"/>
      <c r="N113" s="363" t="str">
        <f>IF(M113="","",IF(VLOOKUP(M113,'G-3 Multipliers'!$S$3:$T$10,2,FALSE)=0,"Spatial Data Missing ⚠",VLOOKUP(M113,'G-3 Multipliers'!$S$3:$T$10,2,FALSE)))</f>
        <v/>
      </c>
      <c r="O113" s="362" t="str">
        <f>IF(OR(D113="",H113=""),"",(INDEX('G-6 Hedgerow Data'!$E$3:$I$15,MATCH(D113,'G-6 Hedgerow Data'!$B$3:$B$15,0),MATCH(H113,'G-6 Hedgerow Data'!$E$2:$I$2,0))))</f>
        <v/>
      </c>
      <c r="P113" s="159"/>
      <c r="Q113" s="159"/>
      <c r="R113" s="370" t="str">
        <f t="shared" si="8"/>
        <v/>
      </c>
      <c r="S113" s="383" t="str">
        <f t="shared" si="9"/>
        <v/>
      </c>
      <c r="T113" s="384" t="str">
        <f t="shared" si="7"/>
        <v/>
      </c>
      <c r="U113" s="398" t="str">
        <f>IF(D113="","",VLOOKUP(D113,'G-6 Hedgerow Data'!$B$3:$AG$15,31,FALSE))</f>
        <v/>
      </c>
      <c r="V113" s="382" t="str">
        <f t="shared" si="10"/>
        <v/>
      </c>
      <c r="W113" s="382" t="str">
        <f t="shared" si="11"/>
        <v/>
      </c>
      <c r="X113" s="386" t="str">
        <f>IF(F113="","",VLOOKUP(U113,'G-3 Multipliers'!$P$3:$Q$6,2,FALSE))</f>
        <v/>
      </c>
      <c r="Y113" s="390" t="str">
        <f t="shared" si="12"/>
        <v/>
      </c>
      <c r="Z113" s="390" t="str">
        <f t="shared" si="13"/>
        <v/>
      </c>
      <c r="AA113" s="117"/>
      <c r="AB113" s="118"/>
      <c r="AC113" s="120"/>
      <c r="AD113" s="120"/>
      <c r="AH113" s="30" t="str">
        <f>IFERROR(INDEX('G-6 Hedgerow Data'!$BJ$3:$BJ$15,MATCH(D113,'G-6 Hedgerow Data'!$B$3:$B$15,0)),"")</f>
        <v/>
      </c>
    </row>
    <row r="114" spans="2:34" ht="15">
      <c r="B114" s="110">
        <v>103</v>
      </c>
      <c r="C114" s="216"/>
      <c r="D114" s="63"/>
      <c r="E114" s="165"/>
      <c r="F114" s="362" t="str">
        <f>IF(D114="","",VLOOKUP(D114,'G-6 Hedgerow Data'!$B$2:$AG$15,2,FALSE))</f>
        <v/>
      </c>
      <c r="G114" s="386" t="str">
        <f>IF(D114="","",VLOOKUP(D114,'G-6 Hedgerow Data'!$B$2:$AG$15,3,FALSE))</f>
        <v/>
      </c>
      <c r="H114" s="55"/>
      <c r="I114" s="363" t="str">
        <f>IFERROR(IF(AND(F114="V.Low",OR(H114="Good",H114="Moderate")),"Error ▲",VLOOKUP(H114,'G-1 All Habitats'!$Z$2:$AA$9,2,FALSE)),"")</f>
        <v/>
      </c>
      <c r="J114" s="115"/>
      <c r="K114" s="382" t="str">
        <f>IF(J114="","",IF(VLOOKUP(J114,'G-3 Multipliers'!$L$3:$N$6,2,FALSE)=0,"Spatial Data Missing",VLOOKUP(J114,'G-3 Multipliers'!$L$3:$N$6,2,FALSE)))</f>
        <v/>
      </c>
      <c r="L114" s="386" t="str">
        <f>IF(J114="","",IF(VLOOKUP(J114,'G-3 Multipliers'!$L$3:$N$6,3,FALSE)=0,"Spatial Data Missing",VLOOKUP(J114,'G-3 Multipliers'!$L$3:$N$6,3,FALSE)))</f>
        <v/>
      </c>
      <c r="M114" s="160"/>
      <c r="N114" s="363" t="str">
        <f>IF(M114="","",IF(VLOOKUP(M114,'G-3 Multipliers'!$S$3:$T$10,2,FALSE)=0,"Spatial Data Missing ⚠",VLOOKUP(M114,'G-3 Multipliers'!$S$3:$T$10,2,FALSE)))</f>
        <v/>
      </c>
      <c r="O114" s="362" t="str">
        <f>IF(OR(D114="",H114=""),"",(INDEX('G-6 Hedgerow Data'!$E$3:$I$15,MATCH(D114,'G-6 Hedgerow Data'!$B$3:$B$15,0),MATCH(H114,'G-6 Hedgerow Data'!$E$2:$I$2,0))))</f>
        <v/>
      </c>
      <c r="P114" s="159"/>
      <c r="Q114" s="159"/>
      <c r="R114" s="370" t="str">
        <f t="shared" si="8"/>
        <v/>
      </c>
      <c r="S114" s="383" t="str">
        <f t="shared" si="9"/>
        <v/>
      </c>
      <c r="T114" s="384" t="str">
        <f t="shared" si="7"/>
        <v/>
      </c>
      <c r="U114" s="398" t="str">
        <f>IF(D114="","",VLOOKUP(D114,'G-6 Hedgerow Data'!$B$3:$AG$15,31,FALSE))</f>
        <v/>
      </c>
      <c r="V114" s="382" t="str">
        <f t="shared" si="10"/>
        <v/>
      </c>
      <c r="W114" s="382" t="str">
        <f t="shared" si="11"/>
        <v/>
      </c>
      <c r="X114" s="386" t="str">
        <f>IF(F114="","",VLOOKUP(U114,'G-3 Multipliers'!$P$3:$Q$6,2,FALSE))</f>
        <v/>
      </c>
      <c r="Y114" s="390" t="str">
        <f t="shared" si="12"/>
        <v/>
      </c>
      <c r="Z114" s="390" t="str">
        <f t="shared" si="13"/>
        <v/>
      </c>
      <c r="AA114" s="117"/>
      <c r="AB114" s="118"/>
      <c r="AC114" s="120"/>
      <c r="AD114" s="120"/>
      <c r="AH114" s="30" t="str">
        <f>IFERROR(INDEX('G-6 Hedgerow Data'!$BJ$3:$BJ$15,MATCH(D114,'G-6 Hedgerow Data'!$B$3:$B$15,0)),"")</f>
        <v/>
      </c>
    </row>
    <row r="115" spans="2:34" ht="15">
      <c r="B115" s="110">
        <v>104</v>
      </c>
      <c r="C115" s="216"/>
      <c r="D115" s="63"/>
      <c r="E115" s="165"/>
      <c r="F115" s="362" t="str">
        <f>IF(D115="","",VLOOKUP(D115,'G-6 Hedgerow Data'!$B$2:$AG$15,2,FALSE))</f>
        <v/>
      </c>
      <c r="G115" s="386" t="str">
        <f>IF(D115="","",VLOOKUP(D115,'G-6 Hedgerow Data'!$B$2:$AG$15,3,FALSE))</f>
        <v/>
      </c>
      <c r="H115" s="55"/>
      <c r="I115" s="363" t="str">
        <f>IFERROR(IF(AND(F115="V.Low",OR(H115="Good",H115="Moderate")),"Error ▲",VLOOKUP(H115,'G-1 All Habitats'!$Z$2:$AA$9,2,FALSE)),"")</f>
        <v/>
      </c>
      <c r="J115" s="115"/>
      <c r="K115" s="382" t="str">
        <f>IF(J115="","",IF(VLOOKUP(J115,'G-3 Multipliers'!$L$3:$N$6,2,FALSE)=0,"Spatial Data Missing",VLOOKUP(J115,'G-3 Multipliers'!$L$3:$N$6,2,FALSE)))</f>
        <v/>
      </c>
      <c r="L115" s="386" t="str">
        <f>IF(J115="","",IF(VLOOKUP(J115,'G-3 Multipliers'!$L$3:$N$6,3,FALSE)=0,"Spatial Data Missing",VLOOKUP(J115,'G-3 Multipliers'!$L$3:$N$6,3,FALSE)))</f>
        <v/>
      </c>
      <c r="M115" s="160"/>
      <c r="N115" s="363" t="str">
        <f>IF(M115="","",IF(VLOOKUP(M115,'G-3 Multipliers'!$S$3:$T$10,2,FALSE)=0,"Spatial Data Missing ⚠",VLOOKUP(M115,'G-3 Multipliers'!$S$3:$T$10,2,FALSE)))</f>
        <v/>
      </c>
      <c r="O115" s="362" t="str">
        <f>IF(OR(D115="",H115=""),"",(INDEX('G-6 Hedgerow Data'!$E$3:$I$15,MATCH(D115,'G-6 Hedgerow Data'!$B$3:$B$15,0),MATCH(H115,'G-6 Hedgerow Data'!$E$2:$I$2,0))))</f>
        <v/>
      </c>
      <c r="P115" s="159"/>
      <c r="Q115" s="159"/>
      <c r="R115" s="370" t="str">
        <f t="shared" si="8"/>
        <v/>
      </c>
      <c r="S115" s="383" t="str">
        <f t="shared" si="9"/>
        <v/>
      </c>
      <c r="T115" s="384" t="str">
        <f t="shared" si="7"/>
        <v/>
      </c>
      <c r="U115" s="398" t="str">
        <f>IF(D115="","",VLOOKUP(D115,'G-6 Hedgerow Data'!$B$3:$AG$15,31,FALSE))</f>
        <v/>
      </c>
      <c r="V115" s="382" t="str">
        <f t="shared" si="10"/>
        <v/>
      </c>
      <c r="W115" s="382" t="str">
        <f t="shared" si="11"/>
        <v/>
      </c>
      <c r="X115" s="386" t="str">
        <f>IF(F115="","",VLOOKUP(U115,'G-3 Multipliers'!$P$3:$Q$6,2,FALSE))</f>
        <v/>
      </c>
      <c r="Y115" s="390" t="str">
        <f t="shared" si="12"/>
        <v/>
      </c>
      <c r="Z115" s="390" t="str">
        <f t="shared" si="13"/>
        <v/>
      </c>
      <c r="AA115" s="117"/>
      <c r="AB115" s="118"/>
      <c r="AC115" s="120"/>
      <c r="AD115" s="120"/>
      <c r="AH115" s="30" t="str">
        <f>IFERROR(INDEX('G-6 Hedgerow Data'!$BJ$3:$BJ$15,MATCH(D115,'G-6 Hedgerow Data'!$B$3:$B$15,0)),"")</f>
        <v/>
      </c>
    </row>
    <row r="116" spans="2:34" ht="15">
      <c r="B116" s="110">
        <v>105</v>
      </c>
      <c r="C116" s="216"/>
      <c r="D116" s="63"/>
      <c r="E116" s="165"/>
      <c r="F116" s="362" t="str">
        <f>IF(D116="","",VLOOKUP(D116,'G-6 Hedgerow Data'!$B$2:$AG$15,2,FALSE))</f>
        <v/>
      </c>
      <c r="G116" s="386" t="str">
        <f>IF(D116="","",VLOOKUP(D116,'G-6 Hedgerow Data'!$B$2:$AG$15,3,FALSE))</f>
        <v/>
      </c>
      <c r="H116" s="55"/>
      <c r="I116" s="363" t="str">
        <f>IFERROR(IF(AND(F116="V.Low",OR(H116="Good",H116="Moderate")),"Error ▲",VLOOKUP(H116,'G-1 All Habitats'!$Z$2:$AA$9,2,FALSE)),"")</f>
        <v/>
      </c>
      <c r="J116" s="115"/>
      <c r="K116" s="382" t="str">
        <f>IF(J116="","",IF(VLOOKUP(J116,'G-3 Multipliers'!$L$3:$N$6,2,FALSE)=0,"Spatial Data Missing",VLOOKUP(J116,'G-3 Multipliers'!$L$3:$N$6,2,FALSE)))</f>
        <v/>
      </c>
      <c r="L116" s="386" t="str">
        <f>IF(J116="","",IF(VLOOKUP(J116,'G-3 Multipliers'!$L$3:$N$6,3,FALSE)=0,"Spatial Data Missing",VLOOKUP(J116,'G-3 Multipliers'!$L$3:$N$6,3,FALSE)))</f>
        <v/>
      </c>
      <c r="M116" s="160"/>
      <c r="N116" s="363" t="str">
        <f>IF(M116="","",IF(VLOOKUP(M116,'G-3 Multipliers'!$S$3:$T$10,2,FALSE)=0,"Spatial Data Missing ⚠",VLOOKUP(M116,'G-3 Multipliers'!$S$3:$T$10,2,FALSE)))</f>
        <v/>
      </c>
      <c r="O116" s="362" t="str">
        <f>IF(OR(D116="",H116=""),"",(INDEX('G-6 Hedgerow Data'!$E$3:$I$15,MATCH(D116,'G-6 Hedgerow Data'!$B$3:$B$15,0),MATCH(H116,'G-6 Hedgerow Data'!$E$2:$I$2,0))))</f>
        <v/>
      </c>
      <c r="P116" s="159"/>
      <c r="Q116" s="159"/>
      <c r="R116" s="370" t="str">
        <f t="shared" si="8"/>
        <v/>
      </c>
      <c r="S116" s="383" t="str">
        <f t="shared" si="9"/>
        <v/>
      </c>
      <c r="T116" s="384" t="str">
        <f t="shared" si="7"/>
        <v/>
      </c>
      <c r="U116" s="398" t="str">
        <f>IF(D116="","",VLOOKUP(D116,'G-6 Hedgerow Data'!$B$3:$AG$15,31,FALSE))</f>
        <v/>
      </c>
      <c r="V116" s="382" t="str">
        <f t="shared" si="10"/>
        <v/>
      </c>
      <c r="W116" s="382" t="str">
        <f t="shared" si="11"/>
        <v/>
      </c>
      <c r="X116" s="386" t="str">
        <f>IF(F116="","",VLOOKUP(U116,'G-3 Multipliers'!$P$3:$Q$6,2,FALSE))</f>
        <v/>
      </c>
      <c r="Y116" s="390" t="str">
        <f t="shared" si="12"/>
        <v/>
      </c>
      <c r="Z116" s="390" t="str">
        <f t="shared" si="13"/>
        <v/>
      </c>
      <c r="AA116" s="117"/>
      <c r="AB116" s="118"/>
      <c r="AC116" s="120"/>
      <c r="AD116" s="120"/>
      <c r="AH116" s="30" t="str">
        <f>IFERROR(INDEX('G-6 Hedgerow Data'!$BJ$3:$BJ$15,MATCH(D116,'G-6 Hedgerow Data'!$B$3:$B$15,0)),"")</f>
        <v/>
      </c>
    </row>
    <row r="117" spans="2:34" ht="15">
      <c r="B117" s="110">
        <v>106</v>
      </c>
      <c r="C117" s="216"/>
      <c r="D117" s="63"/>
      <c r="E117" s="165"/>
      <c r="F117" s="362" t="str">
        <f>IF(D117="","",VLOOKUP(D117,'G-6 Hedgerow Data'!$B$2:$AG$15,2,FALSE))</f>
        <v/>
      </c>
      <c r="G117" s="386" t="str">
        <f>IF(D117="","",VLOOKUP(D117,'G-6 Hedgerow Data'!$B$2:$AG$15,3,FALSE))</f>
        <v/>
      </c>
      <c r="H117" s="55"/>
      <c r="I117" s="363" t="str">
        <f>IFERROR(IF(AND(F117="V.Low",OR(H117="Good",H117="Moderate")),"Error ▲",VLOOKUP(H117,'G-1 All Habitats'!$Z$2:$AA$9,2,FALSE)),"")</f>
        <v/>
      </c>
      <c r="J117" s="115"/>
      <c r="K117" s="382" t="str">
        <f>IF(J117="","",IF(VLOOKUP(J117,'G-3 Multipliers'!$L$3:$N$6,2,FALSE)=0,"Spatial Data Missing",VLOOKUP(J117,'G-3 Multipliers'!$L$3:$N$6,2,FALSE)))</f>
        <v/>
      </c>
      <c r="L117" s="386" t="str">
        <f>IF(J117="","",IF(VLOOKUP(J117,'G-3 Multipliers'!$L$3:$N$6,3,FALSE)=0,"Spatial Data Missing",VLOOKUP(J117,'G-3 Multipliers'!$L$3:$N$6,3,FALSE)))</f>
        <v/>
      </c>
      <c r="M117" s="160"/>
      <c r="N117" s="363" t="str">
        <f>IF(M117="","",IF(VLOOKUP(M117,'G-3 Multipliers'!$S$3:$T$10,2,FALSE)=0,"Spatial Data Missing ⚠",VLOOKUP(M117,'G-3 Multipliers'!$S$3:$T$10,2,FALSE)))</f>
        <v/>
      </c>
      <c r="O117" s="362" t="str">
        <f>IF(OR(D117="",H117=""),"",(INDEX('G-6 Hedgerow Data'!$E$3:$I$15,MATCH(D117,'G-6 Hedgerow Data'!$B$3:$B$15,0),MATCH(H117,'G-6 Hedgerow Data'!$E$2:$I$2,0))))</f>
        <v/>
      </c>
      <c r="P117" s="159"/>
      <c r="Q117" s="159"/>
      <c r="R117" s="370" t="str">
        <f t="shared" si="8"/>
        <v/>
      </c>
      <c r="S117" s="383" t="str">
        <f t="shared" si="9"/>
        <v/>
      </c>
      <c r="T117" s="384" t="str">
        <f t="shared" si="7"/>
        <v/>
      </c>
      <c r="U117" s="398" t="str">
        <f>IF(D117="","",VLOOKUP(D117,'G-6 Hedgerow Data'!$B$3:$AG$15,31,FALSE))</f>
        <v/>
      </c>
      <c r="V117" s="382" t="str">
        <f t="shared" si="10"/>
        <v/>
      </c>
      <c r="W117" s="382" t="str">
        <f t="shared" si="11"/>
        <v/>
      </c>
      <c r="X117" s="386" t="str">
        <f>IF(F117="","",VLOOKUP(U117,'G-3 Multipliers'!$P$3:$Q$6,2,FALSE))</f>
        <v/>
      </c>
      <c r="Y117" s="390" t="str">
        <f t="shared" si="12"/>
        <v/>
      </c>
      <c r="Z117" s="390" t="str">
        <f t="shared" si="13"/>
        <v/>
      </c>
      <c r="AA117" s="117"/>
      <c r="AB117" s="118"/>
      <c r="AC117" s="120"/>
      <c r="AD117" s="120"/>
      <c r="AH117" s="30" t="str">
        <f>IFERROR(INDEX('G-6 Hedgerow Data'!$BJ$3:$BJ$15,MATCH(D117,'G-6 Hedgerow Data'!$B$3:$B$15,0)),"")</f>
        <v/>
      </c>
    </row>
    <row r="118" spans="2:34" ht="15">
      <c r="B118" s="110">
        <v>107</v>
      </c>
      <c r="C118" s="216"/>
      <c r="D118" s="63"/>
      <c r="E118" s="165"/>
      <c r="F118" s="362" t="str">
        <f>IF(D118="","",VLOOKUP(D118,'G-6 Hedgerow Data'!$B$2:$AG$15,2,FALSE))</f>
        <v/>
      </c>
      <c r="G118" s="386" t="str">
        <f>IF(D118="","",VLOOKUP(D118,'G-6 Hedgerow Data'!$B$2:$AG$15,3,FALSE))</f>
        <v/>
      </c>
      <c r="H118" s="55"/>
      <c r="I118" s="363" t="str">
        <f>IFERROR(IF(AND(F118="V.Low",OR(H118="Good",H118="Moderate")),"Error ▲",VLOOKUP(H118,'G-1 All Habitats'!$Z$2:$AA$9,2,FALSE)),"")</f>
        <v/>
      </c>
      <c r="J118" s="115"/>
      <c r="K118" s="382" t="str">
        <f>IF(J118="","",IF(VLOOKUP(J118,'G-3 Multipliers'!$L$3:$N$6,2,FALSE)=0,"Spatial Data Missing",VLOOKUP(J118,'G-3 Multipliers'!$L$3:$N$6,2,FALSE)))</f>
        <v/>
      </c>
      <c r="L118" s="386" t="str">
        <f>IF(J118="","",IF(VLOOKUP(J118,'G-3 Multipliers'!$L$3:$N$6,3,FALSE)=0,"Spatial Data Missing",VLOOKUP(J118,'G-3 Multipliers'!$L$3:$N$6,3,FALSE)))</f>
        <v/>
      </c>
      <c r="M118" s="160"/>
      <c r="N118" s="363" t="str">
        <f>IF(M118="","",IF(VLOOKUP(M118,'G-3 Multipliers'!$S$3:$T$10,2,FALSE)=0,"Spatial Data Missing ⚠",VLOOKUP(M118,'G-3 Multipliers'!$S$3:$T$10,2,FALSE)))</f>
        <v/>
      </c>
      <c r="O118" s="362" t="str">
        <f>IF(OR(D118="",H118=""),"",(INDEX('G-6 Hedgerow Data'!$E$3:$I$15,MATCH(D118,'G-6 Hedgerow Data'!$B$3:$B$15,0),MATCH(H118,'G-6 Hedgerow Data'!$E$2:$I$2,0))))</f>
        <v/>
      </c>
      <c r="P118" s="159"/>
      <c r="Q118" s="159"/>
      <c r="R118" s="370" t="str">
        <f t="shared" si="8"/>
        <v/>
      </c>
      <c r="S118" s="383" t="str">
        <f t="shared" si="9"/>
        <v/>
      </c>
      <c r="T118" s="384" t="str">
        <f t="shared" si="7"/>
        <v/>
      </c>
      <c r="U118" s="398" t="str">
        <f>IF(D118="","",VLOOKUP(D118,'G-6 Hedgerow Data'!$B$3:$AG$15,31,FALSE))</f>
        <v/>
      </c>
      <c r="V118" s="382" t="str">
        <f t="shared" si="10"/>
        <v/>
      </c>
      <c r="W118" s="382" t="str">
        <f t="shared" si="11"/>
        <v/>
      </c>
      <c r="X118" s="386" t="str">
        <f>IF(F118="","",VLOOKUP(U118,'G-3 Multipliers'!$P$3:$Q$6,2,FALSE))</f>
        <v/>
      </c>
      <c r="Y118" s="390" t="str">
        <f t="shared" si="12"/>
        <v/>
      </c>
      <c r="Z118" s="390" t="str">
        <f t="shared" si="13"/>
        <v/>
      </c>
      <c r="AA118" s="117"/>
      <c r="AB118" s="118"/>
      <c r="AC118" s="120"/>
      <c r="AD118" s="120"/>
      <c r="AH118" s="30" t="str">
        <f>IFERROR(INDEX('G-6 Hedgerow Data'!$BJ$3:$BJ$15,MATCH(D118,'G-6 Hedgerow Data'!$B$3:$B$15,0)),"")</f>
        <v/>
      </c>
    </row>
    <row r="119" spans="2:34" ht="15">
      <c r="B119" s="110">
        <v>108</v>
      </c>
      <c r="C119" s="216"/>
      <c r="D119" s="63"/>
      <c r="E119" s="165"/>
      <c r="F119" s="362" t="str">
        <f>IF(D119="","",VLOOKUP(D119,'G-6 Hedgerow Data'!$B$2:$AG$15,2,FALSE))</f>
        <v/>
      </c>
      <c r="G119" s="386" t="str">
        <f>IF(D119="","",VLOOKUP(D119,'G-6 Hedgerow Data'!$B$2:$AG$15,3,FALSE))</f>
        <v/>
      </c>
      <c r="H119" s="55"/>
      <c r="I119" s="363" t="str">
        <f>IFERROR(IF(AND(F119="V.Low",OR(H119="Good",H119="Moderate")),"Error ▲",VLOOKUP(H119,'G-1 All Habitats'!$Z$2:$AA$9,2,FALSE)),"")</f>
        <v/>
      </c>
      <c r="J119" s="115"/>
      <c r="K119" s="382" t="str">
        <f>IF(J119="","",IF(VLOOKUP(J119,'G-3 Multipliers'!$L$3:$N$6,2,FALSE)=0,"Spatial Data Missing",VLOOKUP(J119,'G-3 Multipliers'!$L$3:$N$6,2,FALSE)))</f>
        <v/>
      </c>
      <c r="L119" s="386" t="str">
        <f>IF(J119="","",IF(VLOOKUP(J119,'G-3 Multipliers'!$L$3:$N$6,3,FALSE)=0,"Spatial Data Missing",VLOOKUP(J119,'G-3 Multipliers'!$L$3:$N$6,3,FALSE)))</f>
        <v/>
      </c>
      <c r="M119" s="160"/>
      <c r="N119" s="363" t="str">
        <f>IF(M119="","",IF(VLOOKUP(M119,'G-3 Multipliers'!$S$3:$T$10,2,FALSE)=0,"Spatial Data Missing ⚠",VLOOKUP(M119,'G-3 Multipliers'!$S$3:$T$10,2,FALSE)))</f>
        <v/>
      </c>
      <c r="O119" s="362" t="str">
        <f>IF(OR(D119="",H119=""),"",(INDEX('G-6 Hedgerow Data'!$E$3:$I$15,MATCH(D119,'G-6 Hedgerow Data'!$B$3:$B$15,0),MATCH(H119,'G-6 Hedgerow Data'!$E$2:$I$2,0))))</f>
        <v/>
      </c>
      <c r="P119" s="159"/>
      <c r="Q119" s="159"/>
      <c r="R119" s="370" t="str">
        <f t="shared" si="8"/>
        <v/>
      </c>
      <c r="S119" s="383" t="str">
        <f t="shared" si="9"/>
        <v/>
      </c>
      <c r="T119" s="384" t="str">
        <f t="shared" si="7"/>
        <v/>
      </c>
      <c r="U119" s="398" t="str">
        <f>IF(D119="","",VLOOKUP(D119,'G-6 Hedgerow Data'!$B$3:$AG$15,31,FALSE))</f>
        <v/>
      </c>
      <c r="V119" s="382" t="str">
        <f t="shared" si="10"/>
        <v/>
      </c>
      <c r="W119" s="382" t="str">
        <f t="shared" si="11"/>
        <v/>
      </c>
      <c r="X119" s="386" t="str">
        <f>IF(F119="","",VLOOKUP(U119,'G-3 Multipliers'!$P$3:$Q$6,2,FALSE))</f>
        <v/>
      </c>
      <c r="Y119" s="390" t="str">
        <f t="shared" si="12"/>
        <v/>
      </c>
      <c r="Z119" s="390" t="str">
        <f t="shared" si="13"/>
        <v/>
      </c>
      <c r="AA119" s="117"/>
      <c r="AB119" s="118"/>
      <c r="AC119" s="120"/>
      <c r="AD119" s="120"/>
      <c r="AH119" s="30" t="str">
        <f>IFERROR(INDEX('G-6 Hedgerow Data'!$BJ$3:$BJ$15,MATCH(D119,'G-6 Hedgerow Data'!$B$3:$B$15,0)),"")</f>
        <v/>
      </c>
    </row>
    <row r="120" spans="2:34" ht="15">
      <c r="B120" s="110">
        <v>109</v>
      </c>
      <c r="C120" s="216"/>
      <c r="D120" s="63"/>
      <c r="E120" s="165"/>
      <c r="F120" s="362" t="str">
        <f>IF(D120="","",VLOOKUP(D120,'G-6 Hedgerow Data'!$B$2:$AG$15,2,FALSE))</f>
        <v/>
      </c>
      <c r="G120" s="386" t="str">
        <f>IF(D120="","",VLOOKUP(D120,'G-6 Hedgerow Data'!$B$2:$AG$15,3,FALSE))</f>
        <v/>
      </c>
      <c r="H120" s="55"/>
      <c r="I120" s="363" t="str">
        <f>IFERROR(IF(AND(F120="V.Low",OR(H120="Good",H120="Moderate")),"Error ▲",VLOOKUP(H120,'G-1 All Habitats'!$Z$2:$AA$9,2,FALSE)),"")</f>
        <v/>
      </c>
      <c r="J120" s="115"/>
      <c r="K120" s="382" t="str">
        <f>IF(J120="","",IF(VLOOKUP(J120,'G-3 Multipliers'!$L$3:$N$6,2,FALSE)=0,"Spatial Data Missing",VLOOKUP(J120,'G-3 Multipliers'!$L$3:$N$6,2,FALSE)))</f>
        <v/>
      </c>
      <c r="L120" s="386" t="str">
        <f>IF(J120="","",IF(VLOOKUP(J120,'G-3 Multipliers'!$L$3:$N$6,3,FALSE)=0,"Spatial Data Missing",VLOOKUP(J120,'G-3 Multipliers'!$L$3:$N$6,3,FALSE)))</f>
        <v/>
      </c>
      <c r="M120" s="160"/>
      <c r="N120" s="363" t="str">
        <f>IF(M120="","",IF(VLOOKUP(M120,'G-3 Multipliers'!$S$3:$T$10,2,FALSE)=0,"Spatial Data Missing ⚠",VLOOKUP(M120,'G-3 Multipliers'!$S$3:$T$10,2,FALSE)))</f>
        <v/>
      </c>
      <c r="O120" s="362" t="str">
        <f>IF(OR(D120="",H120=""),"",(INDEX('G-6 Hedgerow Data'!$E$3:$I$15,MATCH(D120,'G-6 Hedgerow Data'!$B$3:$B$15,0),MATCH(H120,'G-6 Hedgerow Data'!$E$2:$I$2,0))))</f>
        <v/>
      </c>
      <c r="P120" s="159"/>
      <c r="Q120" s="159"/>
      <c r="R120" s="370" t="str">
        <f t="shared" si="8"/>
        <v/>
      </c>
      <c r="S120" s="383" t="str">
        <f t="shared" si="9"/>
        <v/>
      </c>
      <c r="T120" s="384" t="str">
        <f t="shared" si="7"/>
        <v/>
      </c>
      <c r="U120" s="398" t="str">
        <f>IF(D120="","",VLOOKUP(D120,'G-6 Hedgerow Data'!$B$3:$AG$15,31,FALSE))</f>
        <v/>
      </c>
      <c r="V120" s="382" t="str">
        <f t="shared" si="10"/>
        <v/>
      </c>
      <c r="W120" s="382" t="str">
        <f t="shared" si="11"/>
        <v/>
      </c>
      <c r="X120" s="386" t="str">
        <f>IF(F120="","",VLOOKUP(U120,'G-3 Multipliers'!$P$3:$Q$6,2,FALSE))</f>
        <v/>
      </c>
      <c r="Y120" s="390" t="str">
        <f t="shared" si="12"/>
        <v/>
      </c>
      <c r="Z120" s="390" t="str">
        <f t="shared" si="13"/>
        <v/>
      </c>
      <c r="AA120" s="117"/>
      <c r="AB120" s="118"/>
      <c r="AC120" s="120"/>
      <c r="AD120" s="120"/>
      <c r="AH120" s="30" t="str">
        <f>IFERROR(INDEX('G-6 Hedgerow Data'!$BJ$3:$BJ$15,MATCH(D120,'G-6 Hedgerow Data'!$B$3:$B$15,0)),"")</f>
        <v/>
      </c>
    </row>
    <row r="121" spans="2:34" ht="15">
      <c r="B121" s="110">
        <v>110</v>
      </c>
      <c r="C121" s="216"/>
      <c r="D121" s="63"/>
      <c r="E121" s="165"/>
      <c r="F121" s="362" t="str">
        <f>IF(D121="","",VLOOKUP(D121,'G-6 Hedgerow Data'!$B$2:$AG$15,2,FALSE))</f>
        <v/>
      </c>
      <c r="G121" s="386" t="str">
        <f>IF(D121="","",VLOOKUP(D121,'G-6 Hedgerow Data'!$B$2:$AG$15,3,FALSE))</f>
        <v/>
      </c>
      <c r="H121" s="55"/>
      <c r="I121" s="363" t="str">
        <f>IFERROR(IF(AND(F121="V.Low",OR(H121="Good",H121="Moderate")),"Error ▲",VLOOKUP(H121,'G-1 All Habitats'!$Z$2:$AA$9,2,FALSE)),"")</f>
        <v/>
      </c>
      <c r="J121" s="115"/>
      <c r="K121" s="382" t="str">
        <f>IF(J121="","",IF(VLOOKUP(J121,'G-3 Multipliers'!$L$3:$N$6,2,FALSE)=0,"Spatial Data Missing",VLOOKUP(J121,'G-3 Multipliers'!$L$3:$N$6,2,FALSE)))</f>
        <v/>
      </c>
      <c r="L121" s="386" t="str">
        <f>IF(J121="","",IF(VLOOKUP(J121,'G-3 Multipliers'!$L$3:$N$6,3,FALSE)=0,"Spatial Data Missing",VLOOKUP(J121,'G-3 Multipliers'!$L$3:$N$6,3,FALSE)))</f>
        <v/>
      </c>
      <c r="M121" s="160"/>
      <c r="N121" s="363" t="str">
        <f>IF(M121="","",IF(VLOOKUP(M121,'G-3 Multipliers'!$S$3:$T$10,2,FALSE)=0,"Spatial Data Missing ⚠",VLOOKUP(M121,'G-3 Multipliers'!$S$3:$T$10,2,FALSE)))</f>
        <v/>
      </c>
      <c r="O121" s="362" t="str">
        <f>IF(OR(D121="",H121=""),"",(INDEX('G-6 Hedgerow Data'!$E$3:$I$15,MATCH(D121,'G-6 Hedgerow Data'!$B$3:$B$15,0),MATCH(H121,'G-6 Hedgerow Data'!$E$2:$I$2,0))))</f>
        <v/>
      </c>
      <c r="P121" s="159"/>
      <c r="Q121" s="159"/>
      <c r="R121" s="370" t="str">
        <f t="shared" si="8"/>
        <v/>
      </c>
      <c r="S121" s="383" t="str">
        <f t="shared" si="9"/>
        <v/>
      </c>
      <c r="T121" s="384" t="str">
        <f t="shared" si="7"/>
        <v/>
      </c>
      <c r="U121" s="398" t="str">
        <f>IF(D121="","",VLOOKUP(D121,'G-6 Hedgerow Data'!$B$3:$AG$15,31,FALSE))</f>
        <v/>
      </c>
      <c r="V121" s="382" t="str">
        <f t="shared" si="10"/>
        <v/>
      </c>
      <c r="W121" s="382" t="str">
        <f t="shared" si="11"/>
        <v/>
      </c>
      <c r="X121" s="386" t="str">
        <f>IF(F121="","",VLOOKUP(U121,'G-3 Multipliers'!$P$3:$Q$6,2,FALSE))</f>
        <v/>
      </c>
      <c r="Y121" s="390" t="str">
        <f t="shared" si="12"/>
        <v/>
      </c>
      <c r="Z121" s="390" t="str">
        <f t="shared" si="13"/>
        <v/>
      </c>
      <c r="AA121" s="117"/>
      <c r="AB121" s="118"/>
      <c r="AC121" s="120"/>
      <c r="AD121" s="120"/>
      <c r="AH121" s="30" t="str">
        <f>IFERROR(INDEX('G-6 Hedgerow Data'!$BJ$3:$BJ$15,MATCH(D121,'G-6 Hedgerow Data'!$B$3:$B$15,0)),"")</f>
        <v/>
      </c>
    </row>
    <row r="122" spans="2:34" ht="15">
      <c r="B122" s="110">
        <v>111</v>
      </c>
      <c r="C122" s="216"/>
      <c r="D122" s="63"/>
      <c r="E122" s="165"/>
      <c r="F122" s="362" t="str">
        <f>IF(D122="","",VLOOKUP(D122,'G-6 Hedgerow Data'!$B$2:$AG$15,2,FALSE))</f>
        <v/>
      </c>
      <c r="G122" s="386" t="str">
        <f>IF(D122="","",VLOOKUP(D122,'G-6 Hedgerow Data'!$B$2:$AG$15,3,FALSE))</f>
        <v/>
      </c>
      <c r="H122" s="55"/>
      <c r="I122" s="363" t="str">
        <f>IFERROR(IF(AND(F122="V.Low",OR(H122="Good",H122="Moderate")),"Error ▲",VLOOKUP(H122,'G-1 All Habitats'!$Z$2:$AA$9,2,FALSE)),"")</f>
        <v/>
      </c>
      <c r="J122" s="115"/>
      <c r="K122" s="382" t="str">
        <f>IF(J122="","",IF(VLOOKUP(J122,'G-3 Multipliers'!$L$3:$N$6,2,FALSE)=0,"Spatial Data Missing",VLOOKUP(J122,'G-3 Multipliers'!$L$3:$N$6,2,FALSE)))</f>
        <v/>
      </c>
      <c r="L122" s="386" t="str">
        <f>IF(J122="","",IF(VLOOKUP(J122,'G-3 Multipliers'!$L$3:$N$6,3,FALSE)=0,"Spatial Data Missing",VLOOKUP(J122,'G-3 Multipliers'!$L$3:$N$6,3,FALSE)))</f>
        <v/>
      </c>
      <c r="M122" s="160"/>
      <c r="N122" s="363" t="str">
        <f>IF(M122="","",IF(VLOOKUP(M122,'G-3 Multipliers'!$S$3:$T$10,2,FALSE)=0,"Spatial Data Missing ⚠",VLOOKUP(M122,'G-3 Multipliers'!$S$3:$T$10,2,FALSE)))</f>
        <v/>
      </c>
      <c r="O122" s="362" t="str">
        <f>IF(OR(D122="",H122=""),"",(INDEX('G-6 Hedgerow Data'!$E$3:$I$15,MATCH(D122,'G-6 Hedgerow Data'!$B$3:$B$15,0),MATCH(H122,'G-6 Hedgerow Data'!$E$2:$I$2,0))))</f>
        <v/>
      </c>
      <c r="P122" s="159"/>
      <c r="Q122" s="159"/>
      <c r="R122" s="370" t="str">
        <f t="shared" si="8"/>
        <v/>
      </c>
      <c r="S122" s="383" t="str">
        <f t="shared" si="9"/>
        <v/>
      </c>
      <c r="T122" s="384" t="str">
        <f t="shared" si="7"/>
        <v/>
      </c>
      <c r="U122" s="398" t="str">
        <f>IF(D122="","",VLOOKUP(D122,'G-6 Hedgerow Data'!$B$3:$AG$15,31,FALSE))</f>
        <v/>
      </c>
      <c r="V122" s="382" t="str">
        <f t="shared" si="10"/>
        <v/>
      </c>
      <c r="W122" s="382" t="str">
        <f t="shared" si="11"/>
        <v/>
      </c>
      <c r="X122" s="386" t="str">
        <f>IF(F122="","",VLOOKUP(U122,'G-3 Multipliers'!$P$3:$Q$6,2,FALSE))</f>
        <v/>
      </c>
      <c r="Y122" s="390" t="str">
        <f t="shared" si="12"/>
        <v/>
      </c>
      <c r="Z122" s="390" t="str">
        <f t="shared" si="13"/>
        <v/>
      </c>
      <c r="AA122" s="117"/>
      <c r="AB122" s="118"/>
      <c r="AC122" s="120"/>
      <c r="AD122" s="120"/>
      <c r="AH122" s="30" t="str">
        <f>IFERROR(INDEX('G-6 Hedgerow Data'!$BJ$3:$BJ$15,MATCH(D122,'G-6 Hedgerow Data'!$B$3:$B$15,0)),"")</f>
        <v/>
      </c>
    </row>
    <row r="123" spans="2:34" ht="15">
      <c r="B123" s="110">
        <v>112</v>
      </c>
      <c r="C123" s="216"/>
      <c r="D123" s="63"/>
      <c r="E123" s="165"/>
      <c r="F123" s="362" t="str">
        <f>IF(D123="","",VLOOKUP(D123,'G-6 Hedgerow Data'!$B$2:$AG$15,2,FALSE))</f>
        <v/>
      </c>
      <c r="G123" s="386" t="str">
        <f>IF(D123="","",VLOOKUP(D123,'G-6 Hedgerow Data'!$B$2:$AG$15,3,FALSE))</f>
        <v/>
      </c>
      <c r="H123" s="55"/>
      <c r="I123" s="363" t="str">
        <f>IFERROR(IF(AND(F123="V.Low",OR(H123="Good",H123="Moderate")),"Error ▲",VLOOKUP(H123,'G-1 All Habitats'!$Z$2:$AA$9,2,FALSE)),"")</f>
        <v/>
      </c>
      <c r="J123" s="115"/>
      <c r="K123" s="382" t="str">
        <f>IF(J123="","",IF(VLOOKUP(J123,'G-3 Multipliers'!$L$3:$N$6,2,FALSE)=0,"Spatial Data Missing",VLOOKUP(J123,'G-3 Multipliers'!$L$3:$N$6,2,FALSE)))</f>
        <v/>
      </c>
      <c r="L123" s="386" t="str">
        <f>IF(J123="","",IF(VLOOKUP(J123,'G-3 Multipliers'!$L$3:$N$6,3,FALSE)=0,"Spatial Data Missing",VLOOKUP(J123,'G-3 Multipliers'!$L$3:$N$6,3,FALSE)))</f>
        <v/>
      </c>
      <c r="M123" s="160"/>
      <c r="N123" s="363" t="str">
        <f>IF(M123="","",IF(VLOOKUP(M123,'G-3 Multipliers'!$S$3:$T$10,2,FALSE)=0,"Spatial Data Missing ⚠",VLOOKUP(M123,'G-3 Multipliers'!$S$3:$T$10,2,FALSE)))</f>
        <v/>
      </c>
      <c r="O123" s="362" t="str">
        <f>IF(OR(D123="",H123=""),"",(INDEX('G-6 Hedgerow Data'!$E$3:$I$15,MATCH(D123,'G-6 Hedgerow Data'!$B$3:$B$15,0),MATCH(H123,'G-6 Hedgerow Data'!$E$2:$I$2,0))))</f>
        <v/>
      </c>
      <c r="P123" s="159"/>
      <c r="Q123" s="159"/>
      <c r="R123" s="370" t="str">
        <f t="shared" si="8"/>
        <v/>
      </c>
      <c r="S123" s="383" t="str">
        <f t="shared" si="9"/>
        <v/>
      </c>
      <c r="T123" s="384" t="str">
        <f t="shared" si="7"/>
        <v/>
      </c>
      <c r="U123" s="398" t="str">
        <f>IF(D123="","",VLOOKUP(D123,'G-6 Hedgerow Data'!$B$3:$AG$15,31,FALSE))</f>
        <v/>
      </c>
      <c r="V123" s="382" t="str">
        <f t="shared" si="10"/>
        <v/>
      </c>
      <c r="W123" s="382" t="str">
        <f t="shared" si="11"/>
        <v/>
      </c>
      <c r="X123" s="386" t="str">
        <f>IF(F123="","",VLOOKUP(U123,'G-3 Multipliers'!$P$3:$Q$6,2,FALSE))</f>
        <v/>
      </c>
      <c r="Y123" s="390" t="str">
        <f t="shared" si="12"/>
        <v/>
      </c>
      <c r="Z123" s="390" t="str">
        <f t="shared" si="13"/>
        <v/>
      </c>
      <c r="AA123" s="117"/>
      <c r="AB123" s="118"/>
      <c r="AC123" s="120"/>
      <c r="AD123" s="120"/>
      <c r="AH123" s="30" t="str">
        <f>IFERROR(INDEX('G-6 Hedgerow Data'!$BJ$3:$BJ$15,MATCH(D123,'G-6 Hedgerow Data'!$B$3:$B$15,0)),"")</f>
        <v/>
      </c>
    </row>
    <row r="124" spans="2:34" ht="15">
      <c r="B124" s="110">
        <v>113</v>
      </c>
      <c r="C124" s="216"/>
      <c r="D124" s="63"/>
      <c r="E124" s="165"/>
      <c r="F124" s="362" t="str">
        <f>IF(D124="","",VLOOKUP(D124,'G-6 Hedgerow Data'!$B$2:$AG$15,2,FALSE))</f>
        <v/>
      </c>
      <c r="G124" s="386" t="str">
        <f>IF(D124="","",VLOOKUP(D124,'G-6 Hedgerow Data'!$B$2:$AG$15,3,FALSE))</f>
        <v/>
      </c>
      <c r="H124" s="55"/>
      <c r="I124" s="363" t="str">
        <f>IFERROR(IF(AND(F124="V.Low",OR(H124="Good",H124="Moderate")),"Error ▲",VLOOKUP(H124,'G-1 All Habitats'!$Z$2:$AA$9,2,FALSE)),"")</f>
        <v/>
      </c>
      <c r="J124" s="115"/>
      <c r="K124" s="382" t="str">
        <f>IF(J124="","",IF(VLOOKUP(J124,'G-3 Multipliers'!$L$3:$N$6,2,FALSE)=0,"Spatial Data Missing",VLOOKUP(J124,'G-3 Multipliers'!$L$3:$N$6,2,FALSE)))</f>
        <v/>
      </c>
      <c r="L124" s="386" t="str">
        <f>IF(J124="","",IF(VLOOKUP(J124,'G-3 Multipliers'!$L$3:$N$6,3,FALSE)=0,"Spatial Data Missing",VLOOKUP(J124,'G-3 Multipliers'!$L$3:$N$6,3,FALSE)))</f>
        <v/>
      </c>
      <c r="M124" s="160"/>
      <c r="N124" s="363" t="str">
        <f>IF(M124="","",IF(VLOOKUP(M124,'G-3 Multipliers'!$S$3:$T$10,2,FALSE)=0,"Spatial Data Missing ⚠",VLOOKUP(M124,'G-3 Multipliers'!$S$3:$T$10,2,FALSE)))</f>
        <v/>
      </c>
      <c r="O124" s="362" t="str">
        <f>IF(OR(D124="",H124=""),"",(INDEX('G-6 Hedgerow Data'!$E$3:$I$15,MATCH(D124,'G-6 Hedgerow Data'!$B$3:$B$15,0),MATCH(H124,'G-6 Hedgerow Data'!$E$2:$I$2,0))))</f>
        <v/>
      </c>
      <c r="P124" s="159"/>
      <c r="Q124" s="159"/>
      <c r="R124" s="370" t="str">
        <f t="shared" si="8"/>
        <v/>
      </c>
      <c r="S124" s="383" t="str">
        <f t="shared" si="9"/>
        <v/>
      </c>
      <c r="T124" s="384" t="str">
        <f t="shared" si="7"/>
        <v/>
      </c>
      <c r="U124" s="398" t="str">
        <f>IF(D124="","",VLOOKUP(D124,'G-6 Hedgerow Data'!$B$3:$AG$15,31,FALSE))</f>
        <v/>
      </c>
      <c r="V124" s="382" t="str">
        <f t="shared" si="10"/>
        <v/>
      </c>
      <c r="W124" s="382" t="str">
        <f t="shared" si="11"/>
        <v/>
      </c>
      <c r="X124" s="386" t="str">
        <f>IF(F124="","",VLOOKUP(U124,'G-3 Multipliers'!$P$3:$Q$6,2,FALSE))</f>
        <v/>
      </c>
      <c r="Y124" s="390" t="str">
        <f t="shared" si="12"/>
        <v/>
      </c>
      <c r="Z124" s="390" t="str">
        <f t="shared" si="13"/>
        <v/>
      </c>
      <c r="AA124" s="117"/>
      <c r="AB124" s="118"/>
      <c r="AC124" s="120"/>
      <c r="AD124" s="120"/>
      <c r="AH124" s="30" t="str">
        <f>IFERROR(INDEX('G-6 Hedgerow Data'!$BJ$3:$BJ$15,MATCH(D124,'G-6 Hedgerow Data'!$B$3:$B$15,0)),"")</f>
        <v/>
      </c>
    </row>
    <row r="125" spans="2:34" ht="15">
      <c r="B125" s="110">
        <v>114</v>
      </c>
      <c r="C125" s="216"/>
      <c r="D125" s="63"/>
      <c r="E125" s="165"/>
      <c r="F125" s="362" t="str">
        <f>IF(D125="","",VLOOKUP(D125,'G-6 Hedgerow Data'!$B$2:$AG$15,2,FALSE))</f>
        <v/>
      </c>
      <c r="G125" s="386" t="str">
        <f>IF(D125="","",VLOOKUP(D125,'G-6 Hedgerow Data'!$B$2:$AG$15,3,FALSE))</f>
        <v/>
      </c>
      <c r="H125" s="55"/>
      <c r="I125" s="363" t="str">
        <f>IFERROR(IF(AND(F125="V.Low",OR(H125="Good",H125="Moderate")),"Error ▲",VLOOKUP(H125,'G-1 All Habitats'!$Z$2:$AA$9,2,FALSE)),"")</f>
        <v/>
      </c>
      <c r="J125" s="115"/>
      <c r="K125" s="382" t="str">
        <f>IF(J125="","",IF(VLOOKUP(J125,'G-3 Multipliers'!$L$3:$N$6,2,FALSE)=0,"Spatial Data Missing",VLOOKUP(J125,'G-3 Multipliers'!$L$3:$N$6,2,FALSE)))</f>
        <v/>
      </c>
      <c r="L125" s="386" t="str">
        <f>IF(J125="","",IF(VLOOKUP(J125,'G-3 Multipliers'!$L$3:$N$6,3,FALSE)=0,"Spatial Data Missing",VLOOKUP(J125,'G-3 Multipliers'!$L$3:$N$6,3,FALSE)))</f>
        <v/>
      </c>
      <c r="M125" s="160"/>
      <c r="N125" s="363" t="str">
        <f>IF(M125="","",IF(VLOOKUP(M125,'G-3 Multipliers'!$S$3:$T$10,2,FALSE)=0,"Spatial Data Missing ⚠",VLOOKUP(M125,'G-3 Multipliers'!$S$3:$T$10,2,FALSE)))</f>
        <v/>
      </c>
      <c r="O125" s="362" t="str">
        <f>IF(OR(D125="",H125=""),"",(INDEX('G-6 Hedgerow Data'!$E$3:$I$15,MATCH(D125,'G-6 Hedgerow Data'!$B$3:$B$15,0),MATCH(H125,'G-6 Hedgerow Data'!$E$2:$I$2,0))))</f>
        <v/>
      </c>
      <c r="P125" s="159"/>
      <c r="Q125" s="159"/>
      <c r="R125" s="370" t="str">
        <f t="shared" si="8"/>
        <v/>
      </c>
      <c r="S125" s="383" t="str">
        <f t="shared" si="9"/>
        <v/>
      </c>
      <c r="T125" s="384" t="str">
        <f t="shared" si="7"/>
        <v/>
      </c>
      <c r="U125" s="398" t="str">
        <f>IF(D125="","",VLOOKUP(D125,'G-6 Hedgerow Data'!$B$3:$AG$15,31,FALSE))</f>
        <v/>
      </c>
      <c r="V125" s="382" t="str">
        <f t="shared" si="10"/>
        <v/>
      </c>
      <c r="W125" s="382" t="str">
        <f t="shared" si="11"/>
        <v/>
      </c>
      <c r="X125" s="386" t="str">
        <f>IF(F125="","",VLOOKUP(U125,'G-3 Multipliers'!$P$3:$Q$6,2,FALSE))</f>
        <v/>
      </c>
      <c r="Y125" s="390" t="str">
        <f t="shared" si="12"/>
        <v/>
      </c>
      <c r="Z125" s="390" t="str">
        <f t="shared" si="13"/>
        <v/>
      </c>
      <c r="AA125" s="117"/>
      <c r="AB125" s="118"/>
      <c r="AC125" s="120"/>
      <c r="AD125" s="120"/>
      <c r="AH125" s="30" t="str">
        <f>IFERROR(INDEX('G-6 Hedgerow Data'!$BJ$3:$BJ$15,MATCH(D125,'G-6 Hedgerow Data'!$B$3:$B$15,0)),"")</f>
        <v/>
      </c>
    </row>
    <row r="126" spans="2:34" ht="15">
      <c r="B126" s="110">
        <v>115</v>
      </c>
      <c r="C126" s="216"/>
      <c r="D126" s="63"/>
      <c r="E126" s="165"/>
      <c r="F126" s="362" t="str">
        <f>IF(D126="","",VLOOKUP(D126,'G-6 Hedgerow Data'!$B$2:$AG$15,2,FALSE))</f>
        <v/>
      </c>
      <c r="G126" s="386" t="str">
        <f>IF(D126="","",VLOOKUP(D126,'G-6 Hedgerow Data'!$B$2:$AG$15,3,FALSE))</f>
        <v/>
      </c>
      <c r="H126" s="55"/>
      <c r="I126" s="363" t="str">
        <f>IFERROR(IF(AND(F126="V.Low",OR(H126="Good",H126="Moderate")),"Error ▲",VLOOKUP(H126,'G-1 All Habitats'!$Z$2:$AA$9,2,FALSE)),"")</f>
        <v/>
      </c>
      <c r="J126" s="115"/>
      <c r="K126" s="382" t="str">
        <f>IF(J126="","",IF(VLOOKUP(J126,'G-3 Multipliers'!$L$3:$N$6,2,FALSE)=0,"Spatial Data Missing",VLOOKUP(J126,'G-3 Multipliers'!$L$3:$N$6,2,FALSE)))</f>
        <v/>
      </c>
      <c r="L126" s="386" t="str">
        <f>IF(J126="","",IF(VLOOKUP(J126,'G-3 Multipliers'!$L$3:$N$6,3,FALSE)=0,"Spatial Data Missing",VLOOKUP(J126,'G-3 Multipliers'!$L$3:$N$6,3,FALSE)))</f>
        <v/>
      </c>
      <c r="M126" s="160"/>
      <c r="N126" s="363" t="str">
        <f>IF(M126="","",IF(VLOOKUP(M126,'G-3 Multipliers'!$S$3:$T$10,2,FALSE)=0,"Spatial Data Missing ⚠",VLOOKUP(M126,'G-3 Multipliers'!$S$3:$T$10,2,FALSE)))</f>
        <v/>
      </c>
      <c r="O126" s="362" t="str">
        <f>IF(OR(D126="",H126=""),"",(INDEX('G-6 Hedgerow Data'!$E$3:$I$15,MATCH(D126,'G-6 Hedgerow Data'!$B$3:$B$15,0),MATCH(H126,'G-6 Hedgerow Data'!$E$2:$I$2,0))))</f>
        <v/>
      </c>
      <c r="P126" s="159"/>
      <c r="Q126" s="159"/>
      <c r="R126" s="370" t="str">
        <f t="shared" si="8"/>
        <v/>
      </c>
      <c r="S126" s="383" t="str">
        <f t="shared" si="9"/>
        <v/>
      </c>
      <c r="T126" s="384" t="str">
        <f t="shared" si="7"/>
        <v/>
      </c>
      <c r="U126" s="398" t="str">
        <f>IF(D126="","",VLOOKUP(D126,'G-6 Hedgerow Data'!$B$3:$AG$15,31,FALSE))</f>
        <v/>
      </c>
      <c r="V126" s="382" t="str">
        <f t="shared" si="10"/>
        <v/>
      </c>
      <c r="W126" s="382" t="str">
        <f t="shared" si="11"/>
        <v/>
      </c>
      <c r="X126" s="386" t="str">
        <f>IF(F126="","",VLOOKUP(U126,'G-3 Multipliers'!$P$3:$Q$6,2,FALSE))</f>
        <v/>
      </c>
      <c r="Y126" s="390" t="str">
        <f t="shared" si="12"/>
        <v/>
      </c>
      <c r="Z126" s="390" t="str">
        <f t="shared" si="13"/>
        <v/>
      </c>
      <c r="AA126" s="117"/>
      <c r="AB126" s="118"/>
      <c r="AC126" s="120"/>
      <c r="AD126" s="120"/>
      <c r="AH126" s="30" t="str">
        <f>IFERROR(INDEX('G-6 Hedgerow Data'!$BJ$3:$BJ$15,MATCH(D126,'G-6 Hedgerow Data'!$B$3:$B$15,0)),"")</f>
        <v/>
      </c>
    </row>
    <row r="127" spans="2:34" ht="15">
      <c r="B127" s="110">
        <v>116</v>
      </c>
      <c r="C127" s="216"/>
      <c r="D127" s="63"/>
      <c r="E127" s="165"/>
      <c r="F127" s="362" t="str">
        <f>IF(D127="","",VLOOKUP(D127,'G-6 Hedgerow Data'!$B$2:$AG$15,2,FALSE))</f>
        <v/>
      </c>
      <c r="G127" s="386" t="str">
        <f>IF(D127="","",VLOOKUP(D127,'G-6 Hedgerow Data'!$B$2:$AG$15,3,FALSE))</f>
        <v/>
      </c>
      <c r="H127" s="55"/>
      <c r="I127" s="363" t="str">
        <f>IFERROR(IF(AND(F127="V.Low",OR(H127="Good",H127="Moderate")),"Error ▲",VLOOKUP(H127,'G-1 All Habitats'!$Z$2:$AA$9,2,FALSE)),"")</f>
        <v/>
      </c>
      <c r="J127" s="115"/>
      <c r="K127" s="382" t="str">
        <f>IF(J127="","",IF(VLOOKUP(J127,'G-3 Multipliers'!$L$3:$N$6,2,FALSE)=0,"Spatial Data Missing",VLOOKUP(J127,'G-3 Multipliers'!$L$3:$N$6,2,FALSE)))</f>
        <v/>
      </c>
      <c r="L127" s="386" t="str">
        <f>IF(J127="","",IF(VLOOKUP(J127,'G-3 Multipliers'!$L$3:$N$6,3,FALSE)=0,"Spatial Data Missing",VLOOKUP(J127,'G-3 Multipliers'!$L$3:$N$6,3,FALSE)))</f>
        <v/>
      </c>
      <c r="M127" s="160"/>
      <c r="N127" s="363" t="str">
        <f>IF(M127="","",IF(VLOOKUP(M127,'G-3 Multipliers'!$S$3:$T$10,2,FALSE)=0,"Spatial Data Missing ⚠",VLOOKUP(M127,'G-3 Multipliers'!$S$3:$T$10,2,FALSE)))</f>
        <v/>
      </c>
      <c r="O127" s="362" t="str">
        <f>IF(OR(D127="",H127=""),"",(INDEX('G-6 Hedgerow Data'!$E$3:$I$15,MATCH(D127,'G-6 Hedgerow Data'!$B$3:$B$15,0),MATCH(H127,'G-6 Hedgerow Data'!$E$2:$I$2,0))))</f>
        <v/>
      </c>
      <c r="P127" s="159"/>
      <c r="Q127" s="159"/>
      <c r="R127" s="370" t="str">
        <f t="shared" si="8"/>
        <v/>
      </c>
      <c r="S127" s="383" t="str">
        <f t="shared" si="9"/>
        <v/>
      </c>
      <c r="T127" s="384" t="str">
        <f t="shared" si="7"/>
        <v/>
      </c>
      <c r="U127" s="398" t="str">
        <f>IF(D127="","",VLOOKUP(D127,'G-6 Hedgerow Data'!$B$3:$AG$15,31,FALSE))</f>
        <v/>
      </c>
      <c r="V127" s="382" t="str">
        <f t="shared" si="10"/>
        <v/>
      </c>
      <c r="W127" s="382" t="str">
        <f t="shared" si="11"/>
        <v/>
      </c>
      <c r="X127" s="386" t="str">
        <f>IF(F127="","",VLOOKUP(U127,'G-3 Multipliers'!$P$3:$Q$6,2,FALSE))</f>
        <v/>
      </c>
      <c r="Y127" s="390" t="str">
        <f t="shared" si="12"/>
        <v/>
      </c>
      <c r="Z127" s="390" t="str">
        <f t="shared" si="13"/>
        <v/>
      </c>
      <c r="AA127" s="117"/>
      <c r="AB127" s="118"/>
      <c r="AC127" s="120"/>
      <c r="AD127" s="120"/>
      <c r="AH127" s="30" t="str">
        <f>IFERROR(INDEX('G-6 Hedgerow Data'!$BJ$3:$BJ$15,MATCH(D127,'G-6 Hedgerow Data'!$B$3:$B$15,0)),"")</f>
        <v/>
      </c>
    </row>
    <row r="128" spans="2:34" ht="15">
      <c r="B128" s="110">
        <v>117</v>
      </c>
      <c r="C128" s="216"/>
      <c r="D128" s="63"/>
      <c r="E128" s="165"/>
      <c r="F128" s="362" t="str">
        <f>IF(D128="","",VLOOKUP(D128,'G-6 Hedgerow Data'!$B$2:$AG$15,2,FALSE))</f>
        <v/>
      </c>
      <c r="G128" s="386" t="str">
        <f>IF(D128="","",VLOOKUP(D128,'G-6 Hedgerow Data'!$B$2:$AG$15,3,FALSE))</f>
        <v/>
      </c>
      <c r="H128" s="55"/>
      <c r="I128" s="363" t="str">
        <f>IFERROR(IF(AND(F128="V.Low",OR(H128="Good",H128="Moderate")),"Error ▲",VLOOKUP(H128,'G-1 All Habitats'!$Z$2:$AA$9,2,FALSE)),"")</f>
        <v/>
      </c>
      <c r="J128" s="115"/>
      <c r="K128" s="382" t="str">
        <f>IF(J128="","",IF(VLOOKUP(J128,'G-3 Multipliers'!$L$3:$N$6,2,FALSE)=0,"Spatial Data Missing",VLOOKUP(J128,'G-3 Multipliers'!$L$3:$N$6,2,FALSE)))</f>
        <v/>
      </c>
      <c r="L128" s="386" t="str">
        <f>IF(J128="","",IF(VLOOKUP(J128,'G-3 Multipliers'!$L$3:$N$6,3,FALSE)=0,"Spatial Data Missing",VLOOKUP(J128,'G-3 Multipliers'!$L$3:$N$6,3,FALSE)))</f>
        <v/>
      </c>
      <c r="M128" s="160"/>
      <c r="N128" s="363" t="str">
        <f>IF(M128="","",IF(VLOOKUP(M128,'G-3 Multipliers'!$S$3:$T$10,2,FALSE)=0,"Spatial Data Missing ⚠",VLOOKUP(M128,'G-3 Multipliers'!$S$3:$T$10,2,FALSE)))</f>
        <v/>
      </c>
      <c r="O128" s="362" t="str">
        <f>IF(OR(D128="",H128=""),"",(INDEX('G-6 Hedgerow Data'!$E$3:$I$15,MATCH(D128,'G-6 Hedgerow Data'!$B$3:$B$15,0),MATCH(H128,'G-6 Hedgerow Data'!$E$2:$I$2,0))))</f>
        <v/>
      </c>
      <c r="P128" s="159"/>
      <c r="Q128" s="159"/>
      <c r="R128" s="370" t="str">
        <f t="shared" si="8"/>
        <v/>
      </c>
      <c r="S128" s="383" t="str">
        <f t="shared" si="9"/>
        <v/>
      </c>
      <c r="T128" s="384" t="str">
        <f t="shared" si="7"/>
        <v/>
      </c>
      <c r="U128" s="398" t="str">
        <f>IF(D128="","",VLOOKUP(D128,'G-6 Hedgerow Data'!$B$3:$AG$15,31,FALSE))</f>
        <v/>
      </c>
      <c r="V128" s="382" t="str">
        <f t="shared" si="10"/>
        <v/>
      </c>
      <c r="W128" s="382" t="str">
        <f t="shared" si="11"/>
        <v/>
      </c>
      <c r="X128" s="386" t="str">
        <f>IF(F128="","",VLOOKUP(U128,'G-3 Multipliers'!$P$3:$Q$6,2,FALSE))</f>
        <v/>
      </c>
      <c r="Y128" s="390" t="str">
        <f t="shared" si="12"/>
        <v/>
      </c>
      <c r="Z128" s="390" t="str">
        <f t="shared" si="13"/>
        <v/>
      </c>
      <c r="AA128" s="117"/>
      <c r="AB128" s="118"/>
      <c r="AC128" s="120"/>
      <c r="AD128" s="120"/>
      <c r="AH128" s="30" t="str">
        <f>IFERROR(INDEX('G-6 Hedgerow Data'!$BJ$3:$BJ$15,MATCH(D128,'G-6 Hedgerow Data'!$B$3:$B$15,0)),"")</f>
        <v/>
      </c>
    </row>
    <row r="129" spans="2:34" ht="15">
      <c r="B129" s="110">
        <v>118</v>
      </c>
      <c r="C129" s="216"/>
      <c r="D129" s="63"/>
      <c r="E129" s="165"/>
      <c r="F129" s="362" t="str">
        <f>IF(D129="","",VLOOKUP(D129,'G-6 Hedgerow Data'!$B$2:$AG$15,2,FALSE))</f>
        <v/>
      </c>
      <c r="G129" s="386" t="str">
        <f>IF(D129="","",VLOOKUP(D129,'G-6 Hedgerow Data'!$B$2:$AG$15,3,FALSE))</f>
        <v/>
      </c>
      <c r="H129" s="55"/>
      <c r="I129" s="363" t="str">
        <f>IFERROR(IF(AND(F129="V.Low",OR(H129="Good",H129="Moderate")),"Error ▲",VLOOKUP(H129,'G-1 All Habitats'!$Z$2:$AA$9,2,FALSE)),"")</f>
        <v/>
      </c>
      <c r="J129" s="115"/>
      <c r="K129" s="382" t="str">
        <f>IF(J129="","",IF(VLOOKUP(J129,'G-3 Multipliers'!$L$3:$N$6,2,FALSE)=0,"Spatial Data Missing",VLOOKUP(J129,'G-3 Multipliers'!$L$3:$N$6,2,FALSE)))</f>
        <v/>
      </c>
      <c r="L129" s="386" t="str">
        <f>IF(J129="","",IF(VLOOKUP(J129,'G-3 Multipliers'!$L$3:$N$6,3,FALSE)=0,"Spatial Data Missing",VLOOKUP(J129,'G-3 Multipliers'!$L$3:$N$6,3,FALSE)))</f>
        <v/>
      </c>
      <c r="M129" s="160"/>
      <c r="N129" s="363" t="str">
        <f>IF(M129="","",IF(VLOOKUP(M129,'G-3 Multipliers'!$S$3:$T$10,2,FALSE)=0,"Spatial Data Missing ⚠",VLOOKUP(M129,'G-3 Multipliers'!$S$3:$T$10,2,FALSE)))</f>
        <v/>
      </c>
      <c r="O129" s="362" t="str">
        <f>IF(OR(D129="",H129=""),"",(INDEX('G-6 Hedgerow Data'!$E$3:$I$15,MATCH(D129,'G-6 Hedgerow Data'!$B$3:$B$15,0),MATCH(H129,'G-6 Hedgerow Data'!$E$2:$I$2,0))))</f>
        <v/>
      </c>
      <c r="P129" s="159"/>
      <c r="Q129" s="159"/>
      <c r="R129" s="370" t="str">
        <f t="shared" si="8"/>
        <v/>
      </c>
      <c r="S129" s="383" t="str">
        <f t="shared" si="9"/>
        <v/>
      </c>
      <c r="T129" s="384" t="str">
        <f t="shared" si="7"/>
        <v/>
      </c>
      <c r="U129" s="398" t="str">
        <f>IF(D129="","",VLOOKUP(D129,'G-6 Hedgerow Data'!$B$3:$AG$15,31,FALSE))</f>
        <v/>
      </c>
      <c r="V129" s="382" t="str">
        <f t="shared" si="10"/>
        <v/>
      </c>
      <c r="W129" s="382" t="str">
        <f t="shared" si="11"/>
        <v/>
      </c>
      <c r="X129" s="386" t="str">
        <f>IF(F129="","",VLOOKUP(U129,'G-3 Multipliers'!$P$3:$Q$6,2,FALSE))</f>
        <v/>
      </c>
      <c r="Y129" s="390" t="str">
        <f t="shared" si="12"/>
        <v/>
      </c>
      <c r="Z129" s="390" t="str">
        <f t="shared" si="13"/>
        <v/>
      </c>
      <c r="AA129" s="117"/>
      <c r="AB129" s="118"/>
      <c r="AC129" s="120"/>
      <c r="AD129" s="120"/>
      <c r="AH129" s="30" t="str">
        <f>IFERROR(INDEX('G-6 Hedgerow Data'!$BJ$3:$BJ$15,MATCH(D129,'G-6 Hedgerow Data'!$B$3:$B$15,0)),"")</f>
        <v/>
      </c>
    </row>
    <row r="130" spans="2:34" ht="15">
      <c r="B130" s="110">
        <v>119</v>
      </c>
      <c r="C130" s="216"/>
      <c r="D130" s="63"/>
      <c r="E130" s="165"/>
      <c r="F130" s="362" t="str">
        <f>IF(D130="","",VLOOKUP(D130,'G-6 Hedgerow Data'!$B$2:$AG$15,2,FALSE))</f>
        <v/>
      </c>
      <c r="G130" s="386" t="str">
        <f>IF(D130="","",VLOOKUP(D130,'G-6 Hedgerow Data'!$B$2:$AG$15,3,FALSE))</f>
        <v/>
      </c>
      <c r="H130" s="55"/>
      <c r="I130" s="363" t="str">
        <f>IFERROR(IF(AND(F130="V.Low",OR(H130="Good",H130="Moderate")),"Error ▲",VLOOKUP(H130,'G-1 All Habitats'!$Z$2:$AA$9,2,FALSE)),"")</f>
        <v/>
      </c>
      <c r="J130" s="115"/>
      <c r="K130" s="382" t="str">
        <f>IF(J130="","",IF(VLOOKUP(J130,'G-3 Multipliers'!$L$3:$N$6,2,FALSE)=0,"Spatial Data Missing",VLOOKUP(J130,'G-3 Multipliers'!$L$3:$N$6,2,FALSE)))</f>
        <v/>
      </c>
      <c r="L130" s="386" t="str">
        <f>IF(J130="","",IF(VLOOKUP(J130,'G-3 Multipliers'!$L$3:$N$6,3,FALSE)=0,"Spatial Data Missing",VLOOKUP(J130,'G-3 Multipliers'!$L$3:$N$6,3,FALSE)))</f>
        <v/>
      </c>
      <c r="M130" s="160"/>
      <c r="N130" s="363" t="str">
        <f>IF(M130="","",IF(VLOOKUP(M130,'G-3 Multipliers'!$S$3:$T$10,2,FALSE)=0,"Spatial Data Missing ⚠",VLOOKUP(M130,'G-3 Multipliers'!$S$3:$T$10,2,FALSE)))</f>
        <v/>
      </c>
      <c r="O130" s="362" t="str">
        <f>IF(OR(D130="",H130=""),"",(INDEX('G-6 Hedgerow Data'!$E$3:$I$15,MATCH(D130,'G-6 Hedgerow Data'!$B$3:$B$15,0),MATCH(H130,'G-6 Hedgerow Data'!$E$2:$I$2,0))))</f>
        <v/>
      </c>
      <c r="P130" s="159"/>
      <c r="Q130" s="159"/>
      <c r="R130" s="370" t="str">
        <f t="shared" si="8"/>
        <v/>
      </c>
      <c r="S130" s="383" t="str">
        <f t="shared" si="9"/>
        <v/>
      </c>
      <c r="T130" s="384" t="str">
        <f t="shared" si="7"/>
        <v/>
      </c>
      <c r="U130" s="398" t="str">
        <f>IF(D130="","",VLOOKUP(D130,'G-6 Hedgerow Data'!$B$3:$AG$15,31,FALSE))</f>
        <v/>
      </c>
      <c r="V130" s="382" t="str">
        <f t="shared" si="10"/>
        <v/>
      </c>
      <c r="W130" s="382" t="str">
        <f t="shared" si="11"/>
        <v/>
      </c>
      <c r="X130" s="386" t="str">
        <f>IF(F130="","",VLOOKUP(U130,'G-3 Multipliers'!$P$3:$Q$6,2,FALSE))</f>
        <v/>
      </c>
      <c r="Y130" s="390" t="str">
        <f t="shared" si="12"/>
        <v/>
      </c>
      <c r="Z130" s="390" t="str">
        <f t="shared" si="13"/>
        <v/>
      </c>
      <c r="AA130" s="117"/>
      <c r="AB130" s="118"/>
      <c r="AC130" s="120"/>
      <c r="AD130" s="120"/>
      <c r="AH130" s="30" t="str">
        <f>IFERROR(INDEX('G-6 Hedgerow Data'!$BJ$3:$BJ$15,MATCH(D130,'G-6 Hedgerow Data'!$B$3:$B$15,0)),"")</f>
        <v/>
      </c>
    </row>
    <row r="131" spans="2:34" s="33" customFormat="1" ht="15">
      <c r="B131" s="110">
        <v>120</v>
      </c>
      <c r="C131" s="216"/>
      <c r="D131" s="63"/>
      <c r="E131" s="165"/>
      <c r="F131" s="362" t="str">
        <f>IF(D131="","",VLOOKUP(D131,'G-6 Hedgerow Data'!$B$2:$AG$15,2,FALSE))</f>
        <v/>
      </c>
      <c r="G131" s="386" t="str">
        <f>IF(D131="","",VLOOKUP(D131,'G-6 Hedgerow Data'!$B$2:$AG$15,3,FALSE))</f>
        <v/>
      </c>
      <c r="H131" s="55"/>
      <c r="I131" s="363" t="str">
        <f>IFERROR(IF(AND(F131="V.Low",OR(H131="Good",H131="Moderate")),"Error ▲",VLOOKUP(H131,'G-1 All Habitats'!$Z$2:$AA$9,2,FALSE)),"")</f>
        <v/>
      </c>
      <c r="J131" s="115"/>
      <c r="K131" s="382" t="str">
        <f>IF(J131="","",IF(VLOOKUP(J131,'G-3 Multipliers'!$L$3:$N$6,2,FALSE)=0,"Spatial Data Missing",VLOOKUP(J131,'G-3 Multipliers'!$L$3:$N$6,2,FALSE)))</f>
        <v/>
      </c>
      <c r="L131" s="386" t="str">
        <f>IF(J131="","",IF(VLOOKUP(J131,'G-3 Multipliers'!$L$3:$N$6,3,FALSE)=0,"Spatial Data Missing",VLOOKUP(J131,'G-3 Multipliers'!$L$3:$N$6,3,FALSE)))</f>
        <v/>
      </c>
      <c r="M131" s="160"/>
      <c r="N131" s="363" t="str">
        <f>IF(M131="","",IF(VLOOKUP(M131,'G-3 Multipliers'!$S$3:$T$10,2,FALSE)=0,"Spatial Data Missing ⚠",VLOOKUP(M131,'G-3 Multipliers'!$S$3:$T$10,2,FALSE)))</f>
        <v/>
      </c>
      <c r="O131" s="362" t="str">
        <f>IF(OR(D131="",H131=""),"",(INDEX('G-6 Hedgerow Data'!$E$3:$I$15,MATCH(D131,'G-6 Hedgerow Data'!$B$3:$B$15,0),MATCH(H131,'G-6 Hedgerow Data'!$E$2:$I$2,0))))</f>
        <v/>
      </c>
      <c r="P131" s="159"/>
      <c r="Q131" s="159"/>
      <c r="R131" s="370" t="str">
        <f t="shared" si="8"/>
        <v/>
      </c>
      <c r="S131" s="383" t="str">
        <f t="shared" si="9"/>
        <v/>
      </c>
      <c r="T131" s="384" t="str">
        <f t="shared" si="7"/>
        <v/>
      </c>
      <c r="U131" s="398" t="str">
        <f>IF(D131="","",VLOOKUP(D131,'G-6 Hedgerow Data'!$B$3:$AG$15,31,FALSE))</f>
        <v/>
      </c>
      <c r="V131" s="382" t="str">
        <f t="shared" si="10"/>
        <v/>
      </c>
      <c r="W131" s="382" t="str">
        <f t="shared" si="11"/>
        <v/>
      </c>
      <c r="X131" s="386" t="str">
        <f>IF(F131="","",VLOOKUP(U131,'G-3 Multipliers'!$P$3:$Q$6,2,FALSE))</f>
        <v/>
      </c>
      <c r="Y131" s="390" t="str">
        <f t="shared" si="12"/>
        <v/>
      </c>
      <c r="Z131" s="390" t="str">
        <f t="shared" si="13"/>
        <v/>
      </c>
      <c r="AA131" s="117"/>
      <c r="AB131" s="118"/>
      <c r="AC131" s="120"/>
      <c r="AD131" s="120"/>
      <c r="AH131" s="33" t="str">
        <f>IFERROR(INDEX('G-6 Hedgerow Data'!$BJ$3:$BJ$15,MATCH(D131,'G-6 Hedgerow Data'!$B$3:$B$15,0)),"")</f>
        <v/>
      </c>
    </row>
    <row r="132" spans="2:34" ht="15">
      <c r="B132" s="110">
        <v>121</v>
      </c>
      <c r="C132" s="216"/>
      <c r="D132" s="63"/>
      <c r="E132" s="165"/>
      <c r="F132" s="362" t="str">
        <f>IF(D132="","",VLOOKUP(D132,'G-6 Hedgerow Data'!$B$2:$AG$15,2,FALSE))</f>
        <v/>
      </c>
      <c r="G132" s="386" t="str">
        <f>IF(D132="","",VLOOKUP(D132,'G-6 Hedgerow Data'!$B$2:$AG$15,3,FALSE))</f>
        <v/>
      </c>
      <c r="H132" s="55"/>
      <c r="I132" s="363" t="str">
        <f>IFERROR(IF(AND(F132="V.Low",OR(H132="Good",H132="Moderate")),"Error ▲",VLOOKUP(H132,'G-1 All Habitats'!$Z$2:$AA$9,2,FALSE)),"")</f>
        <v/>
      </c>
      <c r="J132" s="115"/>
      <c r="K132" s="382" t="str">
        <f>IF(J132="","",IF(VLOOKUP(J132,'G-3 Multipliers'!$L$3:$N$6,2,FALSE)=0,"Spatial Data Missing",VLOOKUP(J132,'G-3 Multipliers'!$L$3:$N$6,2,FALSE)))</f>
        <v/>
      </c>
      <c r="L132" s="386" t="str">
        <f>IF(J132="","",IF(VLOOKUP(J132,'G-3 Multipliers'!$L$3:$N$6,3,FALSE)=0,"Spatial Data Missing",VLOOKUP(J132,'G-3 Multipliers'!$L$3:$N$6,3,FALSE)))</f>
        <v/>
      </c>
      <c r="M132" s="160"/>
      <c r="N132" s="363" t="str">
        <f>IF(M132="","",IF(VLOOKUP(M132,'G-3 Multipliers'!$S$3:$T$10,2,FALSE)=0,"Spatial Data Missing ⚠",VLOOKUP(M132,'G-3 Multipliers'!$S$3:$T$10,2,FALSE)))</f>
        <v/>
      </c>
      <c r="O132" s="362" t="str">
        <f>IF(OR(D132="",H132=""),"",(INDEX('G-6 Hedgerow Data'!$E$3:$I$15,MATCH(D132,'G-6 Hedgerow Data'!$B$3:$B$15,0),MATCH(H132,'G-6 Hedgerow Data'!$E$2:$I$2,0))))</f>
        <v/>
      </c>
      <c r="P132" s="159"/>
      <c r="Q132" s="159"/>
      <c r="R132" s="370" t="str">
        <f t="shared" si="8"/>
        <v/>
      </c>
      <c r="S132" s="383" t="str">
        <f t="shared" si="9"/>
        <v/>
      </c>
      <c r="T132" s="384" t="str">
        <f t="shared" si="7"/>
        <v/>
      </c>
      <c r="U132" s="398" t="str">
        <f>IF(D132="","",VLOOKUP(D132,'G-6 Hedgerow Data'!$B$3:$AG$15,31,FALSE))</f>
        <v/>
      </c>
      <c r="V132" s="382" t="str">
        <f t="shared" si="10"/>
        <v/>
      </c>
      <c r="W132" s="382" t="str">
        <f t="shared" si="11"/>
        <v/>
      </c>
      <c r="X132" s="386" t="str">
        <f>IF(F132="","",VLOOKUP(U132,'G-3 Multipliers'!$P$3:$Q$6,2,FALSE))</f>
        <v/>
      </c>
      <c r="Y132" s="390" t="str">
        <f t="shared" si="12"/>
        <v/>
      </c>
      <c r="Z132" s="390" t="str">
        <f t="shared" si="13"/>
        <v/>
      </c>
      <c r="AA132" s="117"/>
      <c r="AB132" s="118"/>
      <c r="AC132" s="120"/>
      <c r="AD132" s="120"/>
      <c r="AH132" s="30" t="str">
        <f>IFERROR(INDEX('G-6 Hedgerow Data'!$BJ$3:$BJ$15,MATCH(D132,'G-6 Hedgerow Data'!$B$3:$B$15,0)),"")</f>
        <v/>
      </c>
    </row>
    <row r="133" spans="2:34" ht="15">
      <c r="B133" s="110">
        <v>122</v>
      </c>
      <c r="C133" s="216"/>
      <c r="D133" s="63"/>
      <c r="E133" s="165"/>
      <c r="F133" s="362" t="str">
        <f>IF(D133="","",VLOOKUP(D133,'G-6 Hedgerow Data'!$B$2:$AG$15,2,FALSE))</f>
        <v/>
      </c>
      <c r="G133" s="386" t="str">
        <f>IF(D133="","",VLOOKUP(D133,'G-6 Hedgerow Data'!$B$2:$AG$15,3,FALSE))</f>
        <v/>
      </c>
      <c r="H133" s="55"/>
      <c r="I133" s="363" t="str">
        <f>IFERROR(IF(AND(F133="V.Low",OR(H133="Good",H133="Moderate")),"Error ▲",VLOOKUP(H133,'G-1 All Habitats'!$Z$2:$AA$9,2,FALSE)),"")</f>
        <v/>
      </c>
      <c r="J133" s="115"/>
      <c r="K133" s="382" t="str">
        <f>IF(J133="","",IF(VLOOKUP(J133,'G-3 Multipliers'!$L$3:$N$6,2,FALSE)=0,"Spatial Data Missing",VLOOKUP(J133,'G-3 Multipliers'!$L$3:$N$6,2,FALSE)))</f>
        <v/>
      </c>
      <c r="L133" s="386" t="str">
        <f>IF(J133="","",IF(VLOOKUP(J133,'G-3 Multipliers'!$L$3:$N$6,3,FALSE)=0,"Spatial Data Missing",VLOOKUP(J133,'G-3 Multipliers'!$L$3:$N$6,3,FALSE)))</f>
        <v/>
      </c>
      <c r="M133" s="160"/>
      <c r="N133" s="363" t="str">
        <f>IF(M133="","",IF(VLOOKUP(M133,'G-3 Multipliers'!$S$3:$T$10,2,FALSE)=0,"Spatial Data Missing ⚠",VLOOKUP(M133,'G-3 Multipliers'!$S$3:$T$10,2,FALSE)))</f>
        <v/>
      </c>
      <c r="O133" s="362" t="str">
        <f>IF(OR(D133="",H133=""),"",(INDEX('G-6 Hedgerow Data'!$E$3:$I$15,MATCH(D133,'G-6 Hedgerow Data'!$B$3:$B$15,0),MATCH(H133,'G-6 Hedgerow Data'!$E$2:$I$2,0))))</f>
        <v/>
      </c>
      <c r="P133" s="159"/>
      <c r="Q133" s="159"/>
      <c r="R133" s="370" t="str">
        <f t="shared" si="8"/>
        <v/>
      </c>
      <c r="S133" s="383" t="str">
        <f t="shared" si="9"/>
        <v/>
      </c>
      <c r="T133" s="384" t="str">
        <f t="shared" si="7"/>
        <v/>
      </c>
      <c r="U133" s="398" t="str">
        <f>IF(D133="","",VLOOKUP(D133,'G-6 Hedgerow Data'!$B$3:$AG$15,31,FALSE))</f>
        <v/>
      </c>
      <c r="V133" s="382" t="str">
        <f t="shared" si="10"/>
        <v/>
      </c>
      <c r="W133" s="382" t="str">
        <f t="shared" si="11"/>
        <v/>
      </c>
      <c r="X133" s="386" t="str">
        <f>IF(F133="","",VLOOKUP(U133,'G-3 Multipliers'!$P$3:$Q$6,2,FALSE))</f>
        <v/>
      </c>
      <c r="Y133" s="390" t="str">
        <f t="shared" si="12"/>
        <v/>
      </c>
      <c r="Z133" s="390" t="str">
        <f t="shared" si="13"/>
        <v/>
      </c>
      <c r="AA133" s="117"/>
      <c r="AB133" s="118"/>
      <c r="AC133" s="120"/>
      <c r="AD133" s="120"/>
      <c r="AH133" s="30" t="str">
        <f>IFERROR(INDEX('G-6 Hedgerow Data'!$BJ$3:$BJ$15,MATCH(D133,'G-6 Hedgerow Data'!$B$3:$B$15,0)),"")</f>
        <v/>
      </c>
    </row>
    <row r="134" spans="2:34" ht="15">
      <c r="B134" s="110">
        <v>123</v>
      </c>
      <c r="C134" s="216"/>
      <c r="D134" s="63"/>
      <c r="E134" s="165"/>
      <c r="F134" s="362" t="str">
        <f>IF(D134="","",VLOOKUP(D134,'G-6 Hedgerow Data'!$B$2:$AG$15,2,FALSE))</f>
        <v/>
      </c>
      <c r="G134" s="386" t="str">
        <f>IF(D134="","",VLOOKUP(D134,'G-6 Hedgerow Data'!$B$2:$AG$15,3,FALSE))</f>
        <v/>
      </c>
      <c r="H134" s="55"/>
      <c r="I134" s="363" t="str">
        <f>IFERROR(IF(AND(F134="V.Low",OR(H134="Good",H134="Moderate")),"Error ▲",VLOOKUP(H134,'G-1 All Habitats'!$Z$2:$AA$9,2,FALSE)),"")</f>
        <v/>
      </c>
      <c r="J134" s="115"/>
      <c r="K134" s="382" t="str">
        <f>IF(J134="","",IF(VLOOKUP(J134,'G-3 Multipliers'!$L$3:$N$6,2,FALSE)=0,"Spatial Data Missing",VLOOKUP(J134,'G-3 Multipliers'!$L$3:$N$6,2,FALSE)))</f>
        <v/>
      </c>
      <c r="L134" s="386" t="str">
        <f>IF(J134="","",IF(VLOOKUP(J134,'G-3 Multipliers'!$L$3:$N$6,3,FALSE)=0,"Spatial Data Missing",VLOOKUP(J134,'G-3 Multipliers'!$L$3:$N$6,3,FALSE)))</f>
        <v/>
      </c>
      <c r="M134" s="160"/>
      <c r="N134" s="363" t="str">
        <f>IF(M134="","",IF(VLOOKUP(M134,'G-3 Multipliers'!$S$3:$T$10,2,FALSE)=0,"Spatial Data Missing ⚠",VLOOKUP(M134,'G-3 Multipliers'!$S$3:$T$10,2,FALSE)))</f>
        <v/>
      </c>
      <c r="O134" s="362" t="str">
        <f>IF(OR(D134="",H134=""),"",(INDEX('G-6 Hedgerow Data'!$E$3:$I$15,MATCH(D134,'G-6 Hedgerow Data'!$B$3:$B$15,0),MATCH(H134,'G-6 Hedgerow Data'!$E$2:$I$2,0))))</f>
        <v/>
      </c>
      <c r="P134" s="159"/>
      <c r="Q134" s="159"/>
      <c r="R134" s="370" t="str">
        <f t="shared" si="8"/>
        <v/>
      </c>
      <c r="S134" s="383" t="str">
        <f t="shared" si="9"/>
        <v/>
      </c>
      <c r="T134" s="384" t="str">
        <f t="shared" si="7"/>
        <v/>
      </c>
      <c r="U134" s="398" t="str">
        <f>IF(D134="","",VLOOKUP(D134,'G-6 Hedgerow Data'!$B$3:$AG$15,31,FALSE))</f>
        <v/>
      </c>
      <c r="V134" s="382" t="str">
        <f t="shared" si="10"/>
        <v/>
      </c>
      <c r="W134" s="382" t="str">
        <f t="shared" si="11"/>
        <v/>
      </c>
      <c r="X134" s="386" t="str">
        <f>IF(F134="","",VLOOKUP(U134,'G-3 Multipliers'!$P$3:$Q$6,2,FALSE))</f>
        <v/>
      </c>
      <c r="Y134" s="390" t="str">
        <f t="shared" si="12"/>
        <v/>
      </c>
      <c r="Z134" s="390" t="str">
        <f t="shared" si="13"/>
        <v/>
      </c>
      <c r="AA134" s="117"/>
      <c r="AB134" s="118"/>
      <c r="AC134" s="120"/>
      <c r="AD134" s="120"/>
      <c r="AH134" s="30" t="str">
        <f>IFERROR(INDEX('G-6 Hedgerow Data'!$BJ$3:$BJ$15,MATCH(D134,'G-6 Hedgerow Data'!$B$3:$B$15,0)),"")</f>
        <v/>
      </c>
    </row>
    <row r="135" spans="2:34" ht="15">
      <c r="B135" s="110">
        <v>124</v>
      </c>
      <c r="C135" s="216"/>
      <c r="D135" s="63"/>
      <c r="E135" s="165"/>
      <c r="F135" s="362" t="str">
        <f>IF(D135="","",VLOOKUP(D135,'G-6 Hedgerow Data'!$B$2:$AG$15,2,FALSE))</f>
        <v/>
      </c>
      <c r="G135" s="386" t="str">
        <f>IF(D135="","",VLOOKUP(D135,'G-6 Hedgerow Data'!$B$2:$AG$15,3,FALSE))</f>
        <v/>
      </c>
      <c r="H135" s="55"/>
      <c r="I135" s="363" t="str">
        <f>IFERROR(IF(AND(F135="V.Low",OR(H135="Good",H135="Moderate")),"Error ▲",VLOOKUP(H135,'G-1 All Habitats'!$Z$2:$AA$9,2,FALSE)),"")</f>
        <v/>
      </c>
      <c r="J135" s="115"/>
      <c r="K135" s="382" t="str">
        <f>IF(J135="","",IF(VLOOKUP(J135,'G-3 Multipliers'!$L$3:$N$6,2,FALSE)=0,"Spatial Data Missing",VLOOKUP(J135,'G-3 Multipliers'!$L$3:$N$6,2,FALSE)))</f>
        <v/>
      </c>
      <c r="L135" s="386" t="str">
        <f>IF(J135="","",IF(VLOOKUP(J135,'G-3 Multipliers'!$L$3:$N$6,3,FALSE)=0,"Spatial Data Missing",VLOOKUP(J135,'G-3 Multipliers'!$L$3:$N$6,3,FALSE)))</f>
        <v/>
      </c>
      <c r="M135" s="160"/>
      <c r="N135" s="363" t="str">
        <f>IF(M135="","",IF(VLOOKUP(M135,'G-3 Multipliers'!$S$3:$T$10,2,FALSE)=0,"Spatial Data Missing ⚠",VLOOKUP(M135,'G-3 Multipliers'!$S$3:$T$10,2,FALSE)))</f>
        <v/>
      </c>
      <c r="O135" s="362" t="str">
        <f>IF(OR(D135="",H135=""),"",(INDEX('G-6 Hedgerow Data'!$E$3:$I$15,MATCH(D135,'G-6 Hedgerow Data'!$B$3:$B$15,0),MATCH(H135,'G-6 Hedgerow Data'!$E$2:$I$2,0))))</f>
        <v/>
      </c>
      <c r="P135" s="159"/>
      <c r="Q135" s="159"/>
      <c r="R135" s="370" t="str">
        <f t="shared" si="8"/>
        <v/>
      </c>
      <c r="S135" s="383" t="str">
        <f t="shared" si="9"/>
        <v/>
      </c>
      <c r="T135" s="384" t="str">
        <f t="shared" si="7"/>
        <v/>
      </c>
      <c r="U135" s="398" t="str">
        <f>IF(D135="","",VLOOKUP(D135,'G-6 Hedgerow Data'!$B$3:$AG$15,31,FALSE))</f>
        <v/>
      </c>
      <c r="V135" s="382" t="str">
        <f t="shared" si="10"/>
        <v/>
      </c>
      <c r="W135" s="382" t="str">
        <f t="shared" si="11"/>
        <v/>
      </c>
      <c r="X135" s="386" t="str">
        <f>IF(F135="","",VLOOKUP(U135,'G-3 Multipliers'!$P$3:$Q$6,2,FALSE))</f>
        <v/>
      </c>
      <c r="Y135" s="390" t="str">
        <f t="shared" si="12"/>
        <v/>
      </c>
      <c r="Z135" s="390" t="str">
        <f t="shared" si="13"/>
        <v/>
      </c>
      <c r="AA135" s="117"/>
      <c r="AB135" s="118"/>
      <c r="AC135" s="120"/>
      <c r="AD135" s="120"/>
      <c r="AH135" s="30" t="str">
        <f>IFERROR(INDEX('G-6 Hedgerow Data'!$BJ$3:$BJ$15,MATCH(D135,'G-6 Hedgerow Data'!$B$3:$B$15,0)),"")</f>
        <v/>
      </c>
    </row>
    <row r="136" spans="2:34" ht="15">
      <c r="B136" s="110">
        <v>125</v>
      </c>
      <c r="C136" s="216"/>
      <c r="D136" s="63"/>
      <c r="E136" s="165"/>
      <c r="F136" s="362" t="str">
        <f>IF(D136="","",VLOOKUP(D136,'G-6 Hedgerow Data'!$B$2:$AG$15,2,FALSE))</f>
        <v/>
      </c>
      <c r="G136" s="386" t="str">
        <f>IF(D136="","",VLOOKUP(D136,'G-6 Hedgerow Data'!$B$2:$AG$15,3,FALSE))</f>
        <v/>
      </c>
      <c r="H136" s="55"/>
      <c r="I136" s="363" t="str">
        <f>IFERROR(IF(AND(F136="V.Low",OR(H136="Good",H136="Moderate")),"Error ▲",VLOOKUP(H136,'G-1 All Habitats'!$Z$2:$AA$9,2,FALSE)),"")</f>
        <v/>
      </c>
      <c r="J136" s="115"/>
      <c r="K136" s="382" t="str">
        <f>IF(J136="","",IF(VLOOKUP(J136,'G-3 Multipliers'!$L$3:$N$6,2,FALSE)=0,"Spatial Data Missing",VLOOKUP(J136,'G-3 Multipliers'!$L$3:$N$6,2,FALSE)))</f>
        <v/>
      </c>
      <c r="L136" s="386" t="str">
        <f>IF(J136="","",IF(VLOOKUP(J136,'G-3 Multipliers'!$L$3:$N$6,3,FALSE)=0,"Spatial Data Missing",VLOOKUP(J136,'G-3 Multipliers'!$L$3:$N$6,3,FALSE)))</f>
        <v/>
      </c>
      <c r="M136" s="160"/>
      <c r="N136" s="363" t="str">
        <f>IF(M136="","",IF(VLOOKUP(M136,'G-3 Multipliers'!$S$3:$T$10,2,FALSE)=0,"Spatial Data Missing ⚠",VLOOKUP(M136,'G-3 Multipliers'!$S$3:$T$10,2,FALSE)))</f>
        <v/>
      </c>
      <c r="O136" s="362" t="str">
        <f>IF(OR(D136="",H136=""),"",(INDEX('G-6 Hedgerow Data'!$E$3:$I$15,MATCH(D136,'G-6 Hedgerow Data'!$B$3:$B$15,0),MATCH(H136,'G-6 Hedgerow Data'!$E$2:$I$2,0))))</f>
        <v/>
      </c>
      <c r="P136" s="159"/>
      <c r="Q136" s="159"/>
      <c r="R136" s="370" t="str">
        <f t="shared" si="8"/>
        <v/>
      </c>
      <c r="S136" s="383" t="str">
        <f t="shared" si="9"/>
        <v/>
      </c>
      <c r="T136" s="384" t="str">
        <f t="shared" si="7"/>
        <v/>
      </c>
      <c r="U136" s="398" t="str">
        <f>IF(D136="","",VLOOKUP(D136,'G-6 Hedgerow Data'!$B$3:$AG$15,31,FALSE))</f>
        <v/>
      </c>
      <c r="V136" s="382" t="str">
        <f t="shared" si="10"/>
        <v/>
      </c>
      <c r="W136" s="382" t="str">
        <f t="shared" si="11"/>
        <v/>
      </c>
      <c r="X136" s="386" t="str">
        <f>IF(F136="","",VLOOKUP(U136,'G-3 Multipliers'!$P$3:$Q$6,2,FALSE))</f>
        <v/>
      </c>
      <c r="Y136" s="390" t="str">
        <f t="shared" si="12"/>
        <v/>
      </c>
      <c r="Z136" s="390" t="str">
        <f t="shared" si="13"/>
        <v/>
      </c>
      <c r="AA136" s="117"/>
      <c r="AB136" s="118"/>
      <c r="AC136" s="120"/>
      <c r="AD136" s="120"/>
      <c r="AH136" s="30" t="str">
        <f>IFERROR(INDEX('G-6 Hedgerow Data'!$BJ$3:$BJ$15,MATCH(D136,'G-6 Hedgerow Data'!$B$3:$B$15,0)),"")</f>
        <v/>
      </c>
    </row>
    <row r="137" spans="2:34" ht="15">
      <c r="B137" s="110">
        <v>126</v>
      </c>
      <c r="C137" s="216"/>
      <c r="D137" s="63"/>
      <c r="E137" s="165"/>
      <c r="F137" s="362" t="str">
        <f>IF(D137="","",VLOOKUP(D137,'G-6 Hedgerow Data'!$B$2:$AG$15,2,FALSE))</f>
        <v/>
      </c>
      <c r="G137" s="386" t="str">
        <f>IF(D137="","",VLOOKUP(D137,'G-6 Hedgerow Data'!$B$2:$AG$15,3,FALSE))</f>
        <v/>
      </c>
      <c r="H137" s="55"/>
      <c r="I137" s="363" t="str">
        <f>IFERROR(IF(AND(F137="V.Low",OR(H137="Good",H137="Moderate")),"Error ▲",VLOOKUP(H137,'G-1 All Habitats'!$Z$2:$AA$9,2,FALSE)),"")</f>
        <v/>
      </c>
      <c r="J137" s="115"/>
      <c r="K137" s="382" t="str">
        <f>IF(J137="","",IF(VLOOKUP(J137,'G-3 Multipliers'!$L$3:$N$6,2,FALSE)=0,"Spatial Data Missing",VLOOKUP(J137,'G-3 Multipliers'!$L$3:$N$6,2,FALSE)))</f>
        <v/>
      </c>
      <c r="L137" s="386" t="str">
        <f>IF(J137="","",IF(VLOOKUP(J137,'G-3 Multipliers'!$L$3:$N$6,3,FALSE)=0,"Spatial Data Missing",VLOOKUP(J137,'G-3 Multipliers'!$L$3:$N$6,3,FALSE)))</f>
        <v/>
      </c>
      <c r="M137" s="160"/>
      <c r="N137" s="363" t="str">
        <f>IF(M137="","",IF(VLOOKUP(M137,'G-3 Multipliers'!$S$3:$T$10,2,FALSE)=0,"Spatial Data Missing ⚠",VLOOKUP(M137,'G-3 Multipliers'!$S$3:$T$10,2,FALSE)))</f>
        <v/>
      </c>
      <c r="O137" s="362" t="str">
        <f>IF(OR(D137="",H137=""),"",(INDEX('G-6 Hedgerow Data'!$E$3:$I$15,MATCH(D137,'G-6 Hedgerow Data'!$B$3:$B$15,0),MATCH(H137,'G-6 Hedgerow Data'!$E$2:$I$2,0))))</f>
        <v/>
      </c>
      <c r="P137" s="159"/>
      <c r="Q137" s="159"/>
      <c r="R137" s="370" t="str">
        <f t="shared" si="8"/>
        <v/>
      </c>
      <c r="S137" s="383" t="str">
        <f t="shared" si="9"/>
        <v/>
      </c>
      <c r="T137" s="384" t="str">
        <f t="shared" si="7"/>
        <v/>
      </c>
      <c r="U137" s="398" t="str">
        <f>IF(D137="","",VLOOKUP(D137,'G-6 Hedgerow Data'!$B$3:$AG$15,31,FALSE))</f>
        <v/>
      </c>
      <c r="V137" s="382" t="str">
        <f t="shared" si="10"/>
        <v/>
      </c>
      <c r="W137" s="382" t="str">
        <f t="shared" si="11"/>
        <v/>
      </c>
      <c r="X137" s="386" t="str">
        <f>IF(F137="","",VLOOKUP(U137,'G-3 Multipliers'!$P$3:$Q$6,2,FALSE))</f>
        <v/>
      </c>
      <c r="Y137" s="390" t="str">
        <f t="shared" si="12"/>
        <v/>
      </c>
      <c r="Z137" s="390" t="str">
        <f t="shared" si="13"/>
        <v/>
      </c>
      <c r="AA137" s="117"/>
      <c r="AB137" s="118"/>
      <c r="AC137" s="120"/>
      <c r="AD137" s="120"/>
      <c r="AH137" s="30" t="str">
        <f>IFERROR(INDEX('G-6 Hedgerow Data'!$BJ$3:$BJ$15,MATCH(D137,'G-6 Hedgerow Data'!$B$3:$B$15,0)),"")</f>
        <v/>
      </c>
    </row>
    <row r="138" spans="2:34" ht="15">
      <c r="B138" s="110">
        <v>127</v>
      </c>
      <c r="C138" s="216"/>
      <c r="D138" s="63"/>
      <c r="E138" s="165"/>
      <c r="F138" s="362" t="str">
        <f>IF(D138="","",VLOOKUP(D138,'G-6 Hedgerow Data'!$B$2:$AG$15,2,FALSE))</f>
        <v/>
      </c>
      <c r="G138" s="386" t="str">
        <f>IF(D138="","",VLOOKUP(D138,'G-6 Hedgerow Data'!$B$2:$AG$15,3,FALSE))</f>
        <v/>
      </c>
      <c r="H138" s="55"/>
      <c r="I138" s="363" t="str">
        <f>IFERROR(IF(AND(F138="V.Low",OR(H138="Good",H138="Moderate")),"Error ▲",VLOOKUP(H138,'G-1 All Habitats'!$Z$2:$AA$9,2,FALSE)),"")</f>
        <v/>
      </c>
      <c r="J138" s="115"/>
      <c r="K138" s="382" t="str">
        <f>IF(J138="","",IF(VLOOKUP(J138,'G-3 Multipliers'!$L$3:$N$6,2,FALSE)=0,"Spatial Data Missing",VLOOKUP(J138,'G-3 Multipliers'!$L$3:$N$6,2,FALSE)))</f>
        <v/>
      </c>
      <c r="L138" s="386" t="str">
        <f>IF(J138="","",IF(VLOOKUP(J138,'G-3 Multipliers'!$L$3:$N$6,3,FALSE)=0,"Spatial Data Missing",VLOOKUP(J138,'G-3 Multipliers'!$L$3:$N$6,3,FALSE)))</f>
        <v/>
      </c>
      <c r="M138" s="160"/>
      <c r="N138" s="363" t="str">
        <f>IF(M138="","",IF(VLOOKUP(M138,'G-3 Multipliers'!$S$3:$T$10,2,FALSE)=0,"Spatial Data Missing ⚠",VLOOKUP(M138,'G-3 Multipliers'!$S$3:$T$10,2,FALSE)))</f>
        <v/>
      </c>
      <c r="O138" s="362" t="str">
        <f>IF(OR(D138="",H138=""),"",(INDEX('G-6 Hedgerow Data'!$E$3:$I$15,MATCH(D138,'G-6 Hedgerow Data'!$B$3:$B$15,0),MATCH(H138,'G-6 Hedgerow Data'!$E$2:$I$2,0))))</f>
        <v/>
      </c>
      <c r="P138" s="159"/>
      <c r="Q138" s="159"/>
      <c r="R138" s="370" t="str">
        <f t="shared" si="8"/>
        <v/>
      </c>
      <c r="S138" s="383" t="str">
        <f t="shared" si="9"/>
        <v/>
      </c>
      <c r="T138" s="384" t="str">
        <f t="shared" si="7"/>
        <v/>
      </c>
      <c r="U138" s="398" t="str">
        <f>IF(D138="","",VLOOKUP(D138,'G-6 Hedgerow Data'!$B$3:$AG$15,31,FALSE))</f>
        <v/>
      </c>
      <c r="V138" s="382" t="str">
        <f t="shared" si="10"/>
        <v/>
      </c>
      <c r="W138" s="382" t="str">
        <f t="shared" si="11"/>
        <v/>
      </c>
      <c r="X138" s="386" t="str">
        <f>IF(F138="","",VLOOKUP(U138,'G-3 Multipliers'!$P$3:$Q$6,2,FALSE))</f>
        <v/>
      </c>
      <c r="Y138" s="390" t="str">
        <f t="shared" si="12"/>
        <v/>
      </c>
      <c r="Z138" s="390" t="str">
        <f t="shared" si="13"/>
        <v/>
      </c>
      <c r="AA138" s="117"/>
      <c r="AB138" s="118"/>
      <c r="AC138" s="120"/>
      <c r="AD138" s="120"/>
      <c r="AH138" s="30" t="str">
        <f>IFERROR(INDEX('G-6 Hedgerow Data'!$BJ$3:$BJ$15,MATCH(D138,'G-6 Hedgerow Data'!$B$3:$B$15,0)),"")</f>
        <v/>
      </c>
    </row>
    <row r="139" spans="2:34" ht="15">
      <c r="B139" s="110">
        <v>128</v>
      </c>
      <c r="C139" s="216"/>
      <c r="D139" s="63"/>
      <c r="E139" s="165"/>
      <c r="F139" s="362" t="str">
        <f>IF(D139="","",VLOOKUP(D139,'G-6 Hedgerow Data'!$B$2:$AG$15,2,FALSE))</f>
        <v/>
      </c>
      <c r="G139" s="386" t="str">
        <f>IF(D139="","",VLOOKUP(D139,'G-6 Hedgerow Data'!$B$2:$AG$15,3,FALSE))</f>
        <v/>
      </c>
      <c r="H139" s="55"/>
      <c r="I139" s="363" t="str">
        <f>IFERROR(IF(AND(F139="V.Low",OR(H139="Good",H139="Moderate")),"Error ▲",VLOOKUP(H139,'G-1 All Habitats'!$Z$2:$AA$9,2,FALSE)),"")</f>
        <v/>
      </c>
      <c r="J139" s="115"/>
      <c r="K139" s="382" t="str">
        <f>IF(J139="","",IF(VLOOKUP(J139,'G-3 Multipliers'!$L$3:$N$6,2,FALSE)=0,"Spatial Data Missing",VLOOKUP(J139,'G-3 Multipliers'!$L$3:$N$6,2,FALSE)))</f>
        <v/>
      </c>
      <c r="L139" s="386" t="str">
        <f>IF(J139="","",IF(VLOOKUP(J139,'G-3 Multipliers'!$L$3:$N$6,3,FALSE)=0,"Spatial Data Missing",VLOOKUP(J139,'G-3 Multipliers'!$L$3:$N$6,3,FALSE)))</f>
        <v/>
      </c>
      <c r="M139" s="160"/>
      <c r="N139" s="363" t="str">
        <f>IF(M139="","",IF(VLOOKUP(M139,'G-3 Multipliers'!$S$3:$T$10,2,FALSE)=0,"Spatial Data Missing ⚠",VLOOKUP(M139,'G-3 Multipliers'!$S$3:$T$10,2,FALSE)))</f>
        <v/>
      </c>
      <c r="O139" s="362" t="str">
        <f>IF(OR(D139="",H139=""),"",(INDEX('G-6 Hedgerow Data'!$E$3:$I$15,MATCH(D139,'G-6 Hedgerow Data'!$B$3:$B$15,0),MATCH(H139,'G-6 Hedgerow Data'!$E$2:$I$2,0))))</f>
        <v/>
      </c>
      <c r="P139" s="159"/>
      <c r="Q139" s="159"/>
      <c r="R139" s="370" t="str">
        <f t="shared" si="8"/>
        <v/>
      </c>
      <c r="S139" s="383" t="str">
        <f t="shared" si="9"/>
        <v/>
      </c>
      <c r="T139" s="384" t="str">
        <f t="shared" si="7"/>
        <v/>
      </c>
      <c r="U139" s="398" t="str">
        <f>IF(D139="","",VLOOKUP(D139,'G-6 Hedgerow Data'!$B$3:$AG$15,31,FALSE))</f>
        <v/>
      </c>
      <c r="V139" s="382" t="str">
        <f t="shared" si="10"/>
        <v/>
      </c>
      <c r="W139" s="382" t="str">
        <f t="shared" si="11"/>
        <v/>
      </c>
      <c r="X139" s="386" t="str">
        <f>IF(F139="","",VLOOKUP(U139,'G-3 Multipliers'!$P$3:$Q$6,2,FALSE))</f>
        <v/>
      </c>
      <c r="Y139" s="390" t="str">
        <f t="shared" si="12"/>
        <v/>
      </c>
      <c r="Z139" s="390" t="str">
        <f t="shared" si="13"/>
        <v/>
      </c>
      <c r="AA139" s="117"/>
      <c r="AB139" s="118"/>
      <c r="AC139" s="120"/>
      <c r="AD139" s="120"/>
      <c r="AH139" s="30" t="str">
        <f>IFERROR(INDEX('G-6 Hedgerow Data'!$BJ$3:$BJ$15,MATCH(D139,'G-6 Hedgerow Data'!$B$3:$B$15,0)),"")</f>
        <v/>
      </c>
    </row>
    <row r="140" spans="2:34" ht="15">
      <c r="B140" s="110">
        <v>129</v>
      </c>
      <c r="C140" s="216"/>
      <c r="D140" s="63"/>
      <c r="E140" s="165"/>
      <c r="F140" s="362" t="str">
        <f>IF(D140="","",VLOOKUP(D140,'G-6 Hedgerow Data'!$B$2:$AG$15,2,FALSE))</f>
        <v/>
      </c>
      <c r="G140" s="386" t="str">
        <f>IF(D140="","",VLOOKUP(D140,'G-6 Hedgerow Data'!$B$2:$AG$15,3,FALSE))</f>
        <v/>
      </c>
      <c r="H140" s="55"/>
      <c r="I140" s="363" t="str">
        <f>IFERROR(IF(AND(F140="V.Low",OR(H140="Good",H140="Moderate")),"Error ▲",VLOOKUP(H140,'G-1 All Habitats'!$Z$2:$AA$9,2,FALSE)),"")</f>
        <v/>
      </c>
      <c r="J140" s="115"/>
      <c r="K140" s="382" t="str">
        <f>IF(J140="","",IF(VLOOKUP(J140,'G-3 Multipliers'!$L$3:$N$6,2,FALSE)=0,"Spatial Data Missing",VLOOKUP(J140,'G-3 Multipliers'!$L$3:$N$6,2,FALSE)))</f>
        <v/>
      </c>
      <c r="L140" s="386" t="str">
        <f>IF(J140="","",IF(VLOOKUP(J140,'G-3 Multipliers'!$L$3:$N$6,3,FALSE)=0,"Spatial Data Missing",VLOOKUP(J140,'G-3 Multipliers'!$L$3:$N$6,3,FALSE)))</f>
        <v/>
      </c>
      <c r="M140" s="160"/>
      <c r="N140" s="363" t="str">
        <f>IF(M140="","",IF(VLOOKUP(M140,'G-3 Multipliers'!$S$3:$T$10,2,FALSE)=0,"Spatial Data Missing ⚠",VLOOKUP(M140,'G-3 Multipliers'!$S$3:$T$10,2,FALSE)))</f>
        <v/>
      </c>
      <c r="O140" s="362" t="str">
        <f>IF(OR(D140="",H140=""),"",(INDEX('G-6 Hedgerow Data'!$E$3:$I$15,MATCH(D140,'G-6 Hedgerow Data'!$B$3:$B$15,0),MATCH(H140,'G-6 Hedgerow Data'!$E$2:$I$2,0))))</f>
        <v/>
      </c>
      <c r="P140" s="159"/>
      <c r="Q140" s="159"/>
      <c r="R140" s="370" t="str">
        <f t="shared" si="8"/>
        <v/>
      </c>
      <c r="S140" s="383" t="str">
        <f t="shared" si="9"/>
        <v/>
      </c>
      <c r="T140" s="384" t="str">
        <f t="shared" ref="T140:T203" si="14">IF(D140="","",IF(S140="Check Data ⚠","Check Data ⚠",VLOOKUP(S140,TemporalMultipliers,3,FALSE)))</f>
        <v/>
      </c>
      <c r="U140" s="398" t="str">
        <f>IF(D140="","",VLOOKUP(D140,'G-6 Hedgerow Data'!$B$3:$AG$15,31,FALSE))</f>
        <v/>
      </c>
      <c r="V140" s="382" t="str">
        <f t="shared" si="10"/>
        <v/>
      </c>
      <c r="W140" s="382" t="str">
        <f t="shared" si="11"/>
        <v/>
      </c>
      <c r="X140" s="386" t="str">
        <f>IF(F140="","",VLOOKUP(U140,'G-3 Multipliers'!$P$3:$Q$6,2,FALSE))</f>
        <v/>
      </c>
      <c r="Y140" s="390" t="str">
        <f t="shared" si="12"/>
        <v/>
      </c>
      <c r="Z140" s="390" t="str">
        <f t="shared" si="13"/>
        <v/>
      </c>
      <c r="AA140" s="117"/>
      <c r="AB140" s="118"/>
      <c r="AC140" s="120"/>
      <c r="AD140" s="120"/>
      <c r="AH140" s="30" t="str">
        <f>IFERROR(INDEX('G-6 Hedgerow Data'!$BJ$3:$BJ$15,MATCH(D140,'G-6 Hedgerow Data'!$B$3:$B$15,0)),"")</f>
        <v/>
      </c>
    </row>
    <row r="141" spans="2:34" ht="15">
      <c r="B141" s="110">
        <v>130</v>
      </c>
      <c r="C141" s="216"/>
      <c r="D141" s="63"/>
      <c r="E141" s="165"/>
      <c r="F141" s="362" t="str">
        <f>IF(D141="","",VLOOKUP(D141,'G-6 Hedgerow Data'!$B$2:$AG$15,2,FALSE))</f>
        <v/>
      </c>
      <c r="G141" s="386" t="str">
        <f>IF(D141="","",VLOOKUP(D141,'G-6 Hedgerow Data'!$B$2:$AG$15,3,FALSE))</f>
        <v/>
      </c>
      <c r="H141" s="55"/>
      <c r="I141" s="363" t="str">
        <f>IFERROR(IF(AND(F141="V.Low",OR(H141="Good",H141="Moderate")),"Error ▲",VLOOKUP(H141,'G-1 All Habitats'!$Z$2:$AA$9,2,FALSE)),"")</f>
        <v/>
      </c>
      <c r="J141" s="115"/>
      <c r="K141" s="382" t="str">
        <f>IF(J141="","",IF(VLOOKUP(J141,'G-3 Multipliers'!$L$3:$N$6,2,FALSE)=0,"Spatial Data Missing",VLOOKUP(J141,'G-3 Multipliers'!$L$3:$N$6,2,FALSE)))</f>
        <v/>
      </c>
      <c r="L141" s="386" t="str">
        <f>IF(J141="","",IF(VLOOKUP(J141,'G-3 Multipliers'!$L$3:$N$6,3,FALSE)=0,"Spatial Data Missing",VLOOKUP(J141,'G-3 Multipliers'!$L$3:$N$6,3,FALSE)))</f>
        <v/>
      </c>
      <c r="M141" s="160"/>
      <c r="N141" s="363" t="str">
        <f>IF(M141="","",IF(VLOOKUP(M141,'G-3 Multipliers'!$S$3:$T$10,2,FALSE)=0,"Spatial Data Missing ⚠",VLOOKUP(M141,'G-3 Multipliers'!$S$3:$T$10,2,FALSE)))</f>
        <v/>
      </c>
      <c r="O141" s="362" t="str">
        <f>IF(OR(D141="",H141=""),"",(INDEX('G-6 Hedgerow Data'!$E$3:$I$15,MATCH(D141,'G-6 Hedgerow Data'!$B$3:$B$15,0),MATCH(H141,'G-6 Hedgerow Data'!$E$2:$I$2,0))))</f>
        <v/>
      </c>
      <c r="P141" s="159"/>
      <c r="Q141" s="159"/>
      <c r="R141" s="370" t="str">
        <f t="shared" ref="R141:R204" si="15">IF(D141="","",IF(AND(P141&gt;0,Q141&gt;0),"Error -both advance and delayed habitat creation ▲",IF(AND(OR(P141="Habitat already in target condition",O141&lt;=P141),Q141=0),"Check details - Is there evidence that habitat has reached target condition? ⚠",IF(O141="","",IF(P141&gt;0,"Check details - Is there evidence habitat creation started/in place? ⚠",IF(Q141&gt;0,"Check details- Delay in starting habitat in required condition? ⚠","Standard time to target condition applied"))))))</f>
        <v/>
      </c>
      <c r="S141" s="383" t="str">
        <f t="shared" ref="S141:S204" si="16">IF(O141="","",IF(R141="Error -both advance and delayed habitat creation ▲","Check Data ⚠",IF(OR(P141="30+",P141="Habitat already in target condition"),0,IF(Q141="30+","30+",IF(AND(O141="30+",OR(P141="",P141=0)),"30+",IF(AND(O141="30+",P141&gt;0),30-P141,IF(O141+Q141&gt;30,"30+",IF(O141+Q141-P141&gt;0,O141+Q141-P141,IF(O141-P141&lt;0,0,O141+Q141-P141)))))))))</f>
        <v/>
      </c>
      <c r="T141" s="384" t="str">
        <f t="shared" si="14"/>
        <v/>
      </c>
      <c r="U141" s="398" t="str">
        <f>IF(D141="","",VLOOKUP(D141,'G-6 Hedgerow Data'!$B$3:$AG$15,31,FALSE))</f>
        <v/>
      </c>
      <c r="V141" s="382" t="str">
        <f t="shared" ref="V141:V204" si="17">IF(D141="","",IF(S141="Check Data ⚠","Check Data ⚠",IF(H141="","",IF($R141="Check details - Is there evidence that habitat has reached target condition? ⚠","Low Difficulty - only applicable if all habitat created before losses","Standard difficulty applied"))))</f>
        <v/>
      </c>
      <c r="W141" s="382" t="str">
        <f t="shared" ref="W141:W204" si="18">(IF(AND(V141="Standard difficulty applied",O141&gt;P141),U141,IF(AND(V141="Low Difficulty - only applicable if all habitat created before losses",P141&gt;=O141),"Low",U141)))</f>
        <v/>
      </c>
      <c r="X141" s="386" t="str">
        <f>IF(F141="","",VLOOKUP(U141,'G-3 Multipliers'!$P$3:$Q$6,2,FALSE))</f>
        <v/>
      </c>
      <c r="Y141" s="390" t="str">
        <f t="shared" ref="Y141:Y204" si="19">IFERROR(E141*G141*I141*L141*T141*X141*N141,"")</f>
        <v/>
      </c>
      <c r="Z141" s="390" t="str">
        <f t="shared" ref="Z141:Z204" si="20">IFERROR(IF(M141="","", E141*G141*I141*L141*T141*X141),"")</f>
        <v/>
      </c>
      <c r="AA141" s="117"/>
      <c r="AB141" s="118"/>
      <c r="AC141" s="120"/>
      <c r="AD141" s="120"/>
      <c r="AH141" s="30" t="str">
        <f>IFERROR(INDEX('G-6 Hedgerow Data'!$BJ$3:$BJ$15,MATCH(D141,'G-6 Hedgerow Data'!$B$3:$B$15,0)),"")</f>
        <v/>
      </c>
    </row>
    <row r="142" spans="2:34" ht="15">
      <c r="B142" s="110">
        <v>131</v>
      </c>
      <c r="C142" s="216"/>
      <c r="D142" s="63"/>
      <c r="E142" s="165"/>
      <c r="F142" s="362" t="str">
        <f>IF(D142="","",VLOOKUP(D142,'G-6 Hedgerow Data'!$B$2:$AG$15,2,FALSE))</f>
        <v/>
      </c>
      <c r="G142" s="386" t="str">
        <f>IF(D142="","",VLOOKUP(D142,'G-6 Hedgerow Data'!$B$2:$AG$15,3,FALSE))</f>
        <v/>
      </c>
      <c r="H142" s="55"/>
      <c r="I142" s="363" t="str">
        <f>IFERROR(IF(AND(F142="V.Low",OR(H142="Good",H142="Moderate")),"Error ▲",VLOOKUP(H142,'G-1 All Habitats'!$Z$2:$AA$9,2,FALSE)),"")</f>
        <v/>
      </c>
      <c r="J142" s="115"/>
      <c r="K142" s="382" t="str">
        <f>IF(J142="","",IF(VLOOKUP(J142,'G-3 Multipliers'!$L$3:$N$6,2,FALSE)=0,"Spatial Data Missing",VLOOKUP(J142,'G-3 Multipliers'!$L$3:$N$6,2,FALSE)))</f>
        <v/>
      </c>
      <c r="L142" s="386" t="str">
        <f>IF(J142="","",IF(VLOOKUP(J142,'G-3 Multipliers'!$L$3:$N$6,3,FALSE)=0,"Spatial Data Missing",VLOOKUP(J142,'G-3 Multipliers'!$L$3:$N$6,3,FALSE)))</f>
        <v/>
      </c>
      <c r="M142" s="160"/>
      <c r="N142" s="363" t="str">
        <f>IF(M142="","",IF(VLOOKUP(M142,'G-3 Multipliers'!$S$3:$T$10,2,FALSE)=0,"Spatial Data Missing ⚠",VLOOKUP(M142,'G-3 Multipliers'!$S$3:$T$10,2,FALSE)))</f>
        <v/>
      </c>
      <c r="O142" s="362" t="str">
        <f>IF(OR(D142="",H142=""),"",(INDEX('G-6 Hedgerow Data'!$E$3:$I$15,MATCH(D142,'G-6 Hedgerow Data'!$B$3:$B$15,0),MATCH(H142,'G-6 Hedgerow Data'!$E$2:$I$2,0))))</f>
        <v/>
      </c>
      <c r="P142" s="159"/>
      <c r="Q142" s="159"/>
      <c r="R142" s="370" t="str">
        <f t="shared" si="15"/>
        <v/>
      </c>
      <c r="S142" s="383" t="str">
        <f t="shared" si="16"/>
        <v/>
      </c>
      <c r="T142" s="384" t="str">
        <f t="shared" si="14"/>
        <v/>
      </c>
      <c r="U142" s="398" t="str">
        <f>IF(D142="","",VLOOKUP(D142,'G-6 Hedgerow Data'!$B$3:$AG$15,31,FALSE))</f>
        <v/>
      </c>
      <c r="V142" s="382" t="str">
        <f t="shared" si="17"/>
        <v/>
      </c>
      <c r="W142" s="382" t="str">
        <f t="shared" si="18"/>
        <v/>
      </c>
      <c r="X142" s="386" t="str">
        <f>IF(F142="","",VLOOKUP(U142,'G-3 Multipliers'!$P$3:$Q$6,2,FALSE))</f>
        <v/>
      </c>
      <c r="Y142" s="390" t="str">
        <f t="shared" si="19"/>
        <v/>
      </c>
      <c r="Z142" s="390" t="str">
        <f t="shared" si="20"/>
        <v/>
      </c>
      <c r="AA142" s="117"/>
      <c r="AB142" s="118"/>
      <c r="AC142" s="120"/>
      <c r="AD142" s="120"/>
      <c r="AH142" s="30" t="str">
        <f>IFERROR(INDEX('G-6 Hedgerow Data'!$BJ$3:$BJ$15,MATCH(D142,'G-6 Hedgerow Data'!$B$3:$B$15,0)),"")</f>
        <v/>
      </c>
    </row>
    <row r="143" spans="2:34" ht="15">
      <c r="B143" s="110">
        <v>132</v>
      </c>
      <c r="C143" s="216"/>
      <c r="D143" s="63"/>
      <c r="E143" s="165"/>
      <c r="F143" s="362" t="str">
        <f>IF(D143="","",VLOOKUP(D143,'G-6 Hedgerow Data'!$B$2:$AG$15,2,FALSE))</f>
        <v/>
      </c>
      <c r="G143" s="386" t="str">
        <f>IF(D143="","",VLOOKUP(D143,'G-6 Hedgerow Data'!$B$2:$AG$15,3,FALSE))</f>
        <v/>
      </c>
      <c r="H143" s="55"/>
      <c r="I143" s="363" t="str">
        <f>IFERROR(IF(AND(F143="V.Low",OR(H143="Good",H143="Moderate")),"Error ▲",VLOOKUP(H143,'G-1 All Habitats'!$Z$2:$AA$9,2,FALSE)),"")</f>
        <v/>
      </c>
      <c r="J143" s="115"/>
      <c r="K143" s="382" t="str">
        <f>IF(J143="","",IF(VLOOKUP(J143,'G-3 Multipliers'!$L$3:$N$6,2,FALSE)=0,"Spatial Data Missing",VLOOKUP(J143,'G-3 Multipliers'!$L$3:$N$6,2,FALSE)))</f>
        <v/>
      </c>
      <c r="L143" s="386" t="str">
        <f>IF(J143="","",IF(VLOOKUP(J143,'G-3 Multipliers'!$L$3:$N$6,3,FALSE)=0,"Spatial Data Missing",VLOOKUP(J143,'G-3 Multipliers'!$L$3:$N$6,3,FALSE)))</f>
        <v/>
      </c>
      <c r="M143" s="160"/>
      <c r="N143" s="363" t="str">
        <f>IF(M143="","",IF(VLOOKUP(M143,'G-3 Multipliers'!$S$3:$T$10,2,FALSE)=0,"Spatial Data Missing ⚠",VLOOKUP(M143,'G-3 Multipliers'!$S$3:$T$10,2,FALSE)))</f>
        <v/>
      </c>
      <c r="O143" s="362" t="str">
        <f>IF(OR(D143="",H143=""),"",(INDEX('G-6 Hedgerow Data'!$E$3:$I$15,MATCH(D143,'G-6 Hedgerow Data'!$B$3:$B$15,0),MATCH(H143,'G-6 Hedgerow Data'!$E$2:$I$2,0))))</f>
        <v/>
      </c>
      <c r="P143" s="159"/>
      <c r="Q143" s="159"/>
      <c r="R143" s="370" t="str">
        <f t="shared" si="15"/>
        <v/>
      </c>
      <c r="S143" s="383" t="str">
        <f t="shared" si="16"/>
        <v/>
      </c>
      <c r="T143" s="384" t="str">
        <f t="shared" si="14"/>
        <v/>
      </c>
      <c r="U143" s="398" t="str">
        <f>IF(D143="","",VLOOKUP(D143,'G-6 Hedgerow Data'!$B$3:$AG$15,31,FALSE))</f>
        <v/>
      </c>
      <c r="V143" s="382" t="str">
        <f t="shared" si="17"/>
        <v/>
      </c>
      <c r="W143" s="382" t="str">
        <f t="shared" si="18"/>
        <v/>
      </c>
      <c r="X143" s="386" t="str">
        <f>IF(F143="","",VLOOKUP(U143,'G-3 Multipliers'!$P$3:$Q$6,2,FALSE))</f>
        <v/>
      </c>
      <c r="Y143" s="390" t="str">
        <f t="shared" si="19"/>
        <v/>
      </c>
      <c r="Z143" s="390" t="str">
        <f t="shared" si="20"/>
        <v/>
      </c>
      <c r="AA143" s="117"/>
      <c r="AB143" s="118"/>
      <c r="AC143" s="120"/>
      <c r="AD143" s="120"/>
      <c r="AH143" s="30" t="str">
        <f>IFERROR(INDEX('G-6 Hedgerow Data'!$BJ$3:$BJ$15,MATCH(D143,'G-6 Hedgerow Data'!$B$3:$B$15,0)),"")</f>
        <v/>
      </c>
    </row>
    <row r="144" spans="2:34" ht="15">
      <c r="B144" s="110">
        <v>133</v>
      </c>
      <c r="C144" s="216"/>
      <c r="D144" s="63"/>
      <c r="E144" s="165"/>
      <c r="F144" s="362" t="str">
        <f>IF(D144="","",VLOOKUP(D144,'G-6 Hedgerow Data'!$B$2:$AG$15,2,FALSE))</f>
        <v/>
      </c>
      <c r="G144" s="386" t="str">
        <f>IF(D144="","",VLOOKUP(D144,'G-6 Hedgerow Data'!$B$2:$AG$15,3,FALSE))</f>
        <v/>
      </c>
      <c r="H144" s="55"/>
      <c r="I144" s="363" t="str">
        <f>IFERROR(IF(AND(F144="V.Low",OR(H144="Good",H144="Moderate")),"Error ▲",VLOOKUP(H144,'G-1 All Habitats'!$Z$2:$AA$9,2,FALSE)),"")</f>
        <v/>
      </c>
      <c r="J144" s="115"/>
      <c r="K144" s="382" t="str">
        <f>IF(J144="","",IF(VLOOKUP(J144,'G-3 Multipliers'!$L$3:$N$6,2,FALSE)=0,"Spatial Data Missing",VLOOKUP(J144,'G-3 Multipliers'!$L$3:$N$6,2,FALSE)))</f>
        <v/>
      </c>
      <c r="L144" s="386" t="str">
        <f>IF(J144="","",IF(VLOOKUP(J144,'G-3 Multipliers'!$L$3:$N$6,3,FALSE)=0,"Spatial Data Missing",VLOOKUP(J144,'G-3 Multipliers'!$L$3:$N$6,3,FALSE)))</f>
        <v/>
      </c>
      <c r="M144" s="160"/>
      <c r="N144" s="363" t="str">
        <f>IF(M144="","",IF(VLOOKUP(M144,'G-3 Multipliers'!$S$3:$T$10,2,FALSE)=0,"Spatial Data Missing ⚠",VLOOKUP(M144,'G-3 Multipliers'!$S$3:$T$10,2,FALSE)))</f>
        <v/>
      </c>
      <c r="O144" s="362" t="str">
        <f>IF(OR(D144="",H144=""),"",(INDEX('G-6 Hedgerow Data'!$E$3:$I$15,MATCH(D144,'G-6 Hedgerow Data'!$B$3:$B$15,0),MATCH(H144,'G-6 Hedgerow Data'!$E$2:$I$2,0))))</f>
        <v/>
      </c>
      <c r="P144" s="159"/>
      <c r="Q144" s="159"/>
      <c r="R144" s="370" t="str">
        <f t="shared" si="15"/>
        <v/>
      </c>
      <c r="S144" s="383" t="str">
        <f t="shared" si="16"/>
        <v/>
      </c>
      <c r="T144" s="384" t="str">
        <f t="shared" si="14"/>
        <v/>
      </c>
      <c r="U144" s="398" t="str">
        <f>IF(D144="","",VLOOKUP(D144,'G-6 Hedgerow Data'!$B$3:$AG$15,31,FALSE))</f>
        <v/>
      </c>
      <c r="V144" s="382" t="str">
        <f t="shared" si="17"/>
        <v/>
      </c>
      <c r="W144" s="382" t="str">
        <f t="shared" si="18"/>
        <v/>
      </c>
      <c r="X144" s="386" t="str">
        <f>IF(F144="","",VLOOKUP(U144,'G-3 Multipliers'!$P$3:$Q$6,2,FALSE))</f>
        <v/>
      </c>
      <c r="Y144" s="390" t="str">
        <f t="shared" si="19"/>
        <v/>
      </c>
      <c r="Z144" s="390" t="str">
        <f t="shared" si="20"/>
        <v/>
      </c>
      <c r="AA144" s="117"/>
      <c r="AB144" s="118"/>
      <c r="AC144" s="120"/>
      <c r="AD144" s="120"/>
      <c r="AH144" s="30" t="str">
        <f>IFERROR(INDEX('G-6 Hedgerow Data'!$BJ$3:$BJ$15,MATCH(D144,'G-6 Hedgerow Data'!$B$3:$B$15,0)),"")</f>
        <v/>
      </c>
    </row>
    <row r="145" spans="2:34" ht="15">
      <c r="B145" s="110">
        <v>134</v>
      </c>
      <c r="C145" s="216"/>
      <c r="D145" s="63"/>
      <c r="E145" s="165"/>
      <c r="F145" s="362" t="str">
        <f>IF(D145="","",VLOOKUP(D145,'G-6 Hedgerow Data'!$B$2:$AG$15,2,FALSE))</f>
        <v/>
      </c>
      <c r="G145" s="386" t="str">
        <f>IF(D145="","",VLOOKUP(D145,'G-6 Hedgerow Data'!$B$2:$AG$15,3,FALSE))</f>
        <v/>
      </c>
      <c r="H145" s="55"/>
      <c r="I145" s="363" t="str">
        <f>IFERROR(IF(AND(F145="V.Low",OR(H145="Good",H145="Moderate")),"Error ▲",VLOOKUP(H145,'G-1 All Habitats'!$Z$2:$AA$9,2,FALSE)),"")</f>
        <v/>
      </c>
      <c r="J145" s="115"/>
      <c r="K145" s="382" t="str">
        <f>IF(J145="","",IF(VLOOKUP(J145,'G-3 Multipliers'!$L$3:$N$6,2,FALSE)=0,"Spatial Data Missing",VLOOKUP(J145,'G-3 Multipliers'!$L$3:$N$6,2,FALSE)))</f>
        <v/>
      </c>
      <c r="L145" s="386" t="str">
        <f>IF(J145="","",IF(VLOOKUP(J145,'G-3 Multipliers'!$L$3:$N$6,3,FALSE)=0,"Spatial Data Missing",VLOOKUP(J145,'G-3 Multipliers'!$L$3:$N$6,3,FALSE)))</f>
        <v/>
      </c>
      <c r="M145" s="160"/>
      <c r="N145" s="363" t="str">
        <f>IF(M145="","",IF(VLOOKUP(M145,'G-3 Multipliers'!$S$3:$T$10,2,FALSE)=0,"Spatial Data Missing ⚠",VLOOKUP(M145,'G-3 Multipliers'!$S$3:$T$10,2,FALSE)))</f>
        <v/>
      </c>
      <c r="O145" s="362" t="str">
        <f>IF(OR(D145="",H145=""),"",(INDEX('G-6 Hedgerow Data'!$E$3:$I$15,MATCH(D145,'G-6 Hedgerow Data'!$B$3:$B$15,0),MATCH(H145,'G-6 Hedgerow Data'!$E$2:$I$2,0))))</f>
        <v/>
      </c>
      <c r="P145" s="159"/>
      <c r="Q145" s="159"/>
      <c r="R145" s="370" t="str">
        <f t="shared" si="15"/>
        <v/>
      </c>
      <c r="S145" s="383" t="str">
        <f t="shared" si="16"/>
        <v/>
      </c>
      <c r="T145" s="384" t="str">
        <f t="shared" si="14"/>
        <v/>
      </c>
      <c r="U145" s="398" t="str">
        <f>IF(D145="","",VLOOKUP(D145,'G-6 Hedgerow Data'!$B$3:$AG$15,31,FALSE))</f>
        <v/>
      </c>
      <c r="V145" s="382" t="str">
        <f t="shared" si="17"/>
        <v/>
      </c>
      <c r="W145" s="382" t="str">
        <f t="shared" si="18"/>
        <v/>
      </c>
      <c r="X145" s="386" t="str">
        <f>IF(F145="","",VLOOKUP(U145,'G-3 Multipliers'!$P$3:$Q$6,2,FALSE))</f>
        <v/>
      </c>
      <c r="Y145" s="390" t="str">
        <f t="shared" si="19"/>
        <v/>
      </c>
      <c r="Z145" s="390" t="str">
        <f t="shared" si="20"/>
        <v/>
      </c>
      <c r="AA145" s="117"/>
      <c r="AB145" s="118"/>
      <c r="AC145" s="120"/>
      <c r="AD145" s="120"/>
      <c r="AH145" s="30" t="str">
        <f>IFERROR(INDEX('G-6 Hedgerow Data'!$BJ$3:$BJ$15,MATCH(D145,'G-6 Hedgerow Data'!$B$3:$B$15,0)),"")</f>
        <v/>
      </c>
    </row>
    <row r="146" spans="2:34" ht="15">
      <c r="B146" s="110">
        <v>135</v>
      </c>
      <c r="C146" s="216"/>
      <c r="D146" s="63"/>
      <c r="E146" s="165"/>
      <c r="F146" s="362" t="str">
        <f>IF(D146="","",VLOOKUP(D146,'G-6 Hedgerow Data'!$B$2:$AG$15,2,FALSE))</f>
        <v/>
      </c>
      <c r="G146" s="386" t="str">
        <f>IF(D146="","",VLOOKUP(D146,'G-6 Hedgerow Data'!$B$2:$AG$15,3,FALSE))</f>
        <v/>
      </c>
      <c r="H146" s="55"/>
      <c r="I146" s="363" t="str">
        <f>IFERROR(IF(AND(F146="V.Low",OR(H146="Good",H146="Moderate")),"Error ▲",VLOOKUP(H146,'G-1 All Habitats'!$Z$2:$AA$9,2,FALSE)),"")</f>
        <v/>
      </c>
      <c r="J146" s="115"/>
      <c r="K146" s="382" t="str">
        <f>IF(J146="","",IF(VLOOKUP(J146,'G-3 Multipliers'!$L$3:$N$6,2,FALSE)=0,"Spatial Data Missing",VLOOKUP(J146,'G-3 Multipliers'!$L$3:$N$6,2,FALSE)))</f>
        <v/>
      </c>
      <c r="L146" s="386" t="str">
        <f>IF(J146="","",IF(VLOOKUP(J146,'G-3 Multipliers'!$L$3:$N$6,3,FALSE)=0,"Spatial Data Missing",VLOOKUP(J146,'G-3 Multipliers'!$L$3:$N$6,3,FALSE)))</f>
        <v/>
      </c>
      <c r="M146" s="160"/>
      <c r="N146" s="363" t="str">
        <f>IF(M146="","",IF(VLOOKUP(M146,'G-3 Multipliers'!$S$3:$T$10,2,FALSE)=0,"Spatial Data Missing ⚠",VLOOKUP(M146,'G-3 Multipliers'!$S$3:$T$10,2,FALSE)))</f>
        <v/>
      </c>
      <c r="O146" s="362" t="str">
        <f>IF(OR(D146="",H146=""),"",(INDEX('G-6 Hedgerow Data'!$E$3:$I$15,MATCH(D146,'G-6 Hedgerow Data'!$B$3:$B$15,0),MATCH(H146,'G-6 Hedgerow Data'!$E$2:$I$2,0))))</f>
        <v/>
      </c>
      <c r="P146" s="159"/>
      <c r="Q146" s="159"/>
      <c r="R146" s="370" t="str">
        <f t="shared" si="15"/>
        <v/>
      </c>
      <c r="S146" s="383" t="str">
        <f t="shared" si="16"/>
        <v/>
      </c>
      <c r="T146" s="384" t="str">
        <f t="shared" si="14"/>
        <v/>
      </c>
      <c r="U146" s="398" t="str">
        <f>IF(D146="","",VLOOKUP(D146,'G-6 Hedgerow Data'!$B$3:$AG$15,31,FALSE))</f>
        <v/>
      </c>
      <c r="V146" s="382" t="str">
        <f t="shared" si="17"/>
        <v/>
      </c>
      <c r="W146" s="382" t="str">
        <f t="shared" si="18"/>
        <v/>
      </c>
      <c r="X146" s="386" t="str">
        <f>IF(F146="","",VLOOKUP(U146,'G-3 Multipliers'!$P$3:$Q$6,2,FALSE))</f>
        <v/>
      </c>
      <c r="Y146" s="390" t="str">
        <f t="shared" si="19"/>
        <v/>
      </c>
      <c r="Z146" s="390" t="str">
        <f t="shared" si="20"/>
        <v/>
      </c>
      <c r="AA146" s="117"/>
      <c r="AB146" s="118"/>
      <c r="AC146" s="120"/>
      <c r="AD146" s="120"/>
      <c r="AH146" s="30" t="str">
        <f>IFERROR(INDEX('G-6 Hedgerow Data'!$BJ$3:$BJ$15,MATCH(D146,'G-6 Hedgerow Data'!$B$3:$B$15,0)),"")</f>
        <v/>
      </c>
    </row>
    <row r="147" spans="2:34" ht="15">
      <c r="B147" s="110">
        <v>136</v>
      </c>
      <c r="C147" s="216"/>
      <c r="D147" s="63"/>
      <c r="E147" s="165"/>
      <c r="F147" s="362" t="str">
        <f>IF(D147="","",VLOOKUP(D147,'G-6 Hedgerow Data'!$B$2:$AG$15,2,FALSE))</f>
        <v/>
      </c>
      <c r="G147" s="386" t="str">
        <f>IF(D147="","",VLOOKUP(D147,'G-6 Hedgerow Data'!$B$2:$AG$15,3,FALSE))</f>
        <v/>
      </c>
      <c r="H147" s="55"/>
      <c r="I147" s="363" t="str">
        <f>IFERROR(IF(AND(F147="V.Low",OR(H147="Good",H147="Moderate")),"Error ▲",VLOOKUP(H147,'G-1 All Habitats'!$Z$2:$AA$9,2,FALSE)),"")</f>
        <v/>
      </c>
      <c r="J147" s="115"/>
      <c r="K147" s="382" t="str">
        <f>IF(J147="","",IF(VLOOKUP(J147,'G-3 Multipliers'!$L$3:$N$6,2,FALSE)=0,"Spatial Data Missing",VLOOKUP(J147,'G-3 Multipliers'!$L$3:$N$6,2,FALSE)))</f>
        <v/>
      </c>
      <c r="L147" s="386" t="str">
        <f>IF(J147="","",IF(VLOOKUP(J147,'G-3 Multipliers'!$L$3:$N$6,3,FALSE)=0,"Spatial Data Missing",VLOOKUP(J147,'G-3 Multipliers'!$L$3:$N$6,3,FALSE)))</f>
        <v/>
      </c>
      <c r="M147" s="160"/>
      <c r="N147" s="363" t="str">
        <f>IF(M147="","",IF(VLOOKUP(M147,'G-3 Multipliers'!$S$3:$T$10,2,FALSE)=0,"Spatial Data Missing ⚠",VLOOKUP(M147,'G-3 Multipliers'!$S$3:$T$10,2,FALSE)))</f>
        <v/>
      </c>
      <c r="O147" s="362" t="str">
        <f>IF(OR(D147="",H147=""),"",(INDEX('G-6 Hedgerow Data'!$E$3:$I$15,MATCH(D147,'G-6 Hedgerow Data'!$B$3:$B$15,0),MATCH(H147,'G-6 Hedgerow Data'!$E$2:$I$2,0))))</f>
        <v/>
      </c>
      <c r="P147" s="159"/>
      <c r="Q147" s="159"/>
      <c r="R147" s="370" t="str">
        <f t="shared" si="15"/>
        <v/>
      </c>
      <c r="S147" s="383" t="str">
        <f t="shared" si="16"/>
        <v/>
      </c>
      <c r="T147" s="384" t="str">
        <f t="shared" si="14"/>
        <v/>
      </c>
      <c r="U147" s="398" t="str">
        <f>IF(D147="","",VLOOKUP(D147,'G-6 Hedgerow Data'!$B$3:$AG$15,31,FALSE))</f>
        <v/>
      </c>
      <c r="V147" s="382" t="str">
        <f t="shared" si="17"/>
        <v/>
      </c>
      <c r="W147" s="382" t="str">
        <f t="shared" si="18"/>
        <v/>
      </c>
      <c r="X147" s="386" t="str">
        <f>IF(F147="","",VLOOKUP(U147,'G-3 Multipliers'!$P$3:$Q$6,2,FALSE))</f>
        <v/>
      </c>
      <c r="Y147" s="390" t="str">
        <f t="shared" si="19"/>
        <v/>
      </c>
      <c r="Z147" s="390" t="str">
        <f t="shared" si="20"/>
        <v/>
      </c>
      <c r="AA147" s="117"/>
      <c r="AB147" s="118"/>
      <c r="AC147" s="120"/>
      <c r="AD147" s="120"/>
      <c r="AH147" s="30" t="str">
        <f>IFERROR(INDEX('G-6 Hedgerow Data'!$BJ$3:$BJ$15,MATCH(D147,'G-6 Hedgerow Data'!$B$3:$B$15,0)),"")</f>
        <v/>
      </c>
    </row>
    <row r="148" spans="2:34" ht="15">
      <c r="B148" s="110">
        <v>137</v>
      </c>
      <c r="C148" s="216"/>
      <c r="D148" s="63"/>
      <c r="E148" s="165"/>
      <c r="F148" s="362" t="str">
        <f>IF(D148="","",VLOOKUP(D148,'G-6 Hedgerow Data'!$B$2:$AG$15,2,FALSE))</f>
        <v/>
      </c>
      <c r="G148" s="386" t="str">
        <f>IF(D148="","",VLOOKUP(D148,'G-6 Hedgerow Data'!$B$2:$AG$15,3,FALSE))</f>
        <v/>
      </c>
      <c r="H148" s="55"/>
      <c r="I148" s="363" t="str">
        <f>IFERROR(IF(AND(F148="V.Low",OR(H148="Good",H148="Moderate")),"Error ▲",VLOOKUP(H148,'G-1 All Habitats'!$Z$2:$AA$9,2,FALSE)),"")</f>
        <v/>
      </c>
      <c r="J148" s="115"/>
      <c r="K148" s="382" t="str">
        <f>IF(J148="","",IF(VLOOKUP(J148,'G-3 Multipliers'!$L$3:$N$6,2,FALSE)=0,"Spatial Data Missing",VLOOKUP(J148,'G-3 Multipliers'!$L$3:$N$6,2,FALSE)))</f>
        <v/>
      </c>
      <c r="L148" s="386" t="str">
        <f>IF(J148="","",IF(VLOOKUP(J148,'G-3 Multipliers'!$L$3:$N$6,3,FALSE)=0,"Spatial Data Missing",VLOOKUP(J148,'G-3 Multipliers'!$L$3:$N$6,3,FALSE)))</f>
        <v/>
      </c>
      <c r="M148" s="160"/>
      <c r="N148" s="363" t="str">
        <f>IF(M148="","",IF(VLOOKUP(M148,'G-3 Multipliers'!$S$3:$T$10,2,FALSE)=0,"Spatial Data Missing ⚠",VLOOKUP(M148,'G-3 Multipliers'!$S$3:$T$10,2,FALSE)))</f>
        <v/>
      </c>
      <c r="O148" s="362" t="str">
        <f>IF(OR(D148="",H148=""),"",(INDEX('G-6 Hedgerow Data'!$E$3:$I$15,MATCH(D148,'G-6 Hedgerow Data'!$B$3:$B$15,0),MATCH(H148,'G-6 Hedgerow Data'!$E$2:$I$2,0))))</f>
        <v/>
      </c>
      <c r="P148" s="159"/>
      <c r="Q148" s="159"/>
      <c r="R148" s="370" t="str">
        <f t="shared" si="15"/>
        <v/>
      </c>
      <c r="S148" s="383" t="str">
        <f t="shared" si="16"/>
        <v/>
      </c>
      <c r="T148" s="384" t="str">
        <f t="shared" si="14"/>
        <v/>
      </c>
      <c r="U148" s="398" t="str">
        <f>IF(D148="","",VLOOKUP(D148,'G-6 Hedgerow Data'!$B$3:$AG$15,31,FALSE))</f>
        <v/>
      </c>
      <c r="V148" s="382" t="str">
        <f t="shared" si="17"/>
        <v/>
      </c>
      <c r="W148" s="382" t="str">
        <f t="shared" si="18"/>
        <v/>
      </c>
      <c r="X148" s="386" t="str">
        <f>IF(F148="","",VLOOKUP(U148,'G-3 Multipliers'!$P$3:$Q$6,2,FALSE))</f>
        <v/>
      </c>
      <c r="Y148" s="390" t="str">
        <f t="shared" si="19"/>
        <v/>
      </c>
      <c r="Z148" s="390" t="str">
        <f t="shared" si="20"/>
        <v/>
      </c>
      <c r="AA148" s="117"/>
      <c r="AB148" s="118"/>
      <c r="AC148" s="120"/>
      <c r="AD148" s="120"/>
      <c r="AH148" s="30" t="str">
        <f>IFERROR(INDEX('G-6 Hedgerow Data'!$BJ$3:$BJ$15,MATCH(D148,'G-6 Hedgerow Data'!$B$3:$B$15,0)),"")</f>
        <v/>
      </c>
    </row>
    <row r="149" spans="2:34" ht="15">
      <c r="B149" s="110">
        <v>138</v>
      </c>
      <c r="C149" s="216"/>
      <c r="D149" s="63"/>
      <c r="E149" s="165"/>
      <c r="F149" s="362" t="str">
        <f>IF(D149="","",VLOOKUP(D149,'G-6 Hedgerow Data'!$B$2:$AG$15,2,FALSE))</f>
        <v/>
      </c>
      <c r="G149" s="386" t="str">
        <f>IF(D149="","",VLOOKUP(D149,'G-6 Hedgerow Data'!$B$2:$AG$15,3,FALSE))</f>
        <v/>
      </c>
      <c r="H149" s="55"/>
      <c r="I149" s="363" t="str">
        <f>IFERROR(IF(AND(F149="V.Low",OR(H149="Good",H149="Moderate")),"Error ▲",VLOOKUP(H149,'G-1 All Habitats'!$Z$2:$AA$9,2,FALSE)),"")</f>
        <v/>
      </c>
      <c r="J149" s="115"/>
      <c r="K149" s="382" t="str">
        <f>IF(J149="","",IF(VLOOKUP(J149,'G-3 Multipliers'!$L$3:$N$6,2,FALSE)=0,"Spatial Data Missing",VLOOKUP(J149,'G-3 Multipliers'!$L$3:$N$6,2,FALSE)))</f>
        <v/>
      </c>
      <c r="L149" s="386" t="str">
        <f>IF(J149="","",IF(VLOOKUP(J149,'G-3 Multipliers'!$L$3:$N$6,3,FALSE)=0,"Spatial Data Missing",VLOOKUP(J149,'G-3 Multipliers'!$L$3:$N$6,3,FALSE)))</f>
        <v/>
      </c>
      <c r="M149" s="160"/>
      <c r="N149" s="363" t="str">
        <f>IF(M149="","",IF(VLOOKUP(M149,'G-3 Multipliers'!$S$3:$T$10,2,FALSE)=0,"Spatial Data Missing ⚠",VLOOKUP(M149,'G-3 Multipliers'!$S$3:$T$10,2,FALSE)))</f>
        <v/>
      </c>
      <c r="O149" s="362" t="str">
        <f>IF(OR(D149="",H149=""),"",(INDEX('G-6 Hedgerow Data'!$E$3:$I$15,MATCH(D149,'G-6 Hedgerow Data'!$B$3:$B$15,0),MATCH(H149,'G-6 Hedgerow Data'!$E$2:$I$2,0))))</f>
        <v/>
      </c>
      <c r="P149" s="159"/>
      <c r="Q149" s="159"/>
      <c r="R149" s="370" t="str">
        <f t="shared" si="15"/>
        <v/>
      </c>
      <c r="S149" s="383" t="str">
        <f t="shared" si="16"/>
        <v/>
      </c>
      <c r="T149" s="384" t="str">
        <f t="shared" si="14"/>
        <v/>
      </c>
      <c r="U149" s="398" t="str">
        <f>IF(D149="","",VLOOKUP(D149,'G-6 Hedgerow Data'!$B$3:$AG$15,31,FALSE))</f>
        <v/>
      </c>
      <c r="V149" s="382" t="str">
        <f t="shared" si="17"/>
        <v/>
      </c>
      <c r="W149" s="382" t="str">
        <f t="shared" si="18"/>
        <v/>
      </c>
      <c r="X149" s="386" t="str">
        <f>IF(F149="","",VLOOKUP(U149,'G-3 Multipliers'!$P$3:$Q$6,2,FALSE))</f>
        <v/>
      </c>
      <c r="Y149" s="390" t="str">
        <f t="shared" si="19"/>
        <v/>
      </c>
      <c r="Z149" s="390" t="str">
        <f t="shared" si="20"/>
        <v/>
      </c>
      <c r="AA149" s="117"/>
      <c r="AB149" s="118"/>
      <c r="AC149" s="120"/>
      <c r="AD149" s="120"/>
      <c r="AH149" s="30" t="str">
        <f>IFERROR(INDEX('G-6 Hedgerow Data'!$BJ$3:$BJ$15,MATCH(D149,'G-6 Hedgerow Data'!$B$3:$B$15,0)),"")</f>
        <v/>
      </c>
    </row>
    <row r="150" spans="2:34" ht="15">
      <c r="B150" s="110">
        <v>139</v>
      </c>
      <c r="C150" s="216"/>
      <c r="D150" s="63"/>
      <c r="E150" s="165"/>
      <c r="F150" s="362" t="str">
        <f>IF(D150="","",VLOOKUP(D150,'G-6 Hedgerow Data'!$B$2:$AG$15,2,FALSE))</f>
        <v/>
      </c>
      <c r="G150" s="386" t="str">
        <f>IF(D150="","",VLOOKUP(D150,'G-6 Hedgerow Data'!$B$2:$AG$15,3,FALSE))</f>
        <v/>
      </c>
      <c r="H150" s="55"/>
      <c r="I150" s="363" t="str">
        <f>IFERROR(IF(AND(F150="V.Low",OR(H150="Good",H150="Moderate")),"Error ▲",VLOOKUP(H150,'G-1 All Habitats'!$Z$2:$AA$9,2,FALSE)),"")</f>
        <v/>
      </c>
      <c r="J150" s="115"/>
      <c r="K150" s="382" t="str">
        <f>IF(J150="","",IF(VLOOKUP(J150,'G-3 Multipliers'!$L$3:$N$6,2,FALSE)=0,"Spatial Data Missing",VLOOKUP(J150,'G-3 Multipliers'!$L$3:$N$6,2,FALSE)))</f>
        <v/>
      </c>
      <c r="L150" s="386" t="str">
        <f>IF(J150="","",IF(VLOOKUP(J150,'G-3 Multipliers'!$L$3:$N$6,3,FALSE)=0,"Spatial Data Missing",VLOOKUP(J150,'G-3 Multipliers'!$L$3:$N$6,3,FALSE)))</f>
        <v/>
      </c>
      <c r="M150" s="160"/>
      <c r="N150" s="363" t="str">
        <f>IF(M150="","",IF(VLOOKUP(M150,'G-3 Multipliers'!$S$3:$T$10,2,FALSE)=0,"Spatial Data Missing ⚠",VLOOKUP(M150,'G-3 Multipliers'!$S$3:$T$10,2,FALSE)))</f>
        <v/>
      </c>
      <c r="O150" s="362" t="str">
        <f>IF(OR(D150="",H150=""),"",(INDEX('G-6 Hedgerow Data'!$E$3:$I$15,MATCH(D150,'G-6 Hedgerow Data'!$B$3:$B$15,0),MATCH(H150,'G-6 Hedgerow Data'!$E$2:$I$2,0))))</f>
        <v/>
      </c>
      <c r="P150" s="159"/>
      <c r="Q150" s="159"/>
      <c r="R150" s="370" t="str">
        <f t="shared" si="15"/>
        <v/>
      </c>
      <c r="S150" s="383" t="str">
        <f t="shared" si="16"/>
        <v/>
      </c>
      <c r="T150" s="384" t="str">
        <f t="shared" si="14"/>
        <v/>
      </c>
      <c r="U150" s="398" t="str">
        <f>IF(D150="","",VLOOKUP(D150,'G-6 Hedgerow Data'!$B$3:$AG$15,31,FALSE))</f>
        <v/>
      </c>
      <c r="V150" s="382" t="str">
        <f t="shared" si="17"/>
        <v/>
      </c>
      <c r="W150" s="382" t="str">
        <f t="shared" si="18"/>
        <v/>
      </c>
      <c r="X150" s="386" t="str">
        <f>IF(F150="","",VLOOKUP(U150,'G-3 Multipliers'!$P$3:$Q$6,2,FALSE))</f>
        <v/>
      </c>
      <c r="Y150" s="390" t="str">
        <f t="shared" si="19"/>
        <v/>
      </c>
      <c r="Z150" s="390" t="str">
        <f t="shared" si="20"/>
        <v/>
      </c>
      <c r="AA150" s="117"/>
      <c r="AB150" s="118"/>
      <c r="AC150" s="120"/>
      <c r="AD150" s="120"/>
      <c r="AH150" s="30" t="str">
        <f>IFERROR(INDEX('G-6 Hedgerow Data'!$BJ$3:$BJ$15,MATCH(D150,'G-6 Hedgerow Data'!$B$3:$B$15,0)),"")</f>
        <v/>
      </c>
    </row>
    <row r="151" spans="2:34" ht="15">
      <c r="B151" s="110">
        <v>140</v>
      </c>
      <c r="C151" s="216"/>
      <c r="D151" s="63"/>
      <c r="E151" s="165"/>
      <c r="F151" s="362" t="str">
        <f>IF(D151="","",VLOOKUP(D151,'G-6 Hedgerow Data'!$B$2:$AG$15,2,FALSE))</f>
        <v/>
      </c>
      <c r="G151" s="386" t="str">
        <f>IF(D151="","",VLOOKUP(D151,'G-6 Hedgerow Data'!$B$2:$AG$15,3,FALSE))</f>
        <v/>
      </c>
      <c r="H151" s="55"/>
      <c r="I151" s="363" t="str">
        <f>IFERROR(IF(AND(F151="V.Low",OR(H151="Good",H151="Moderate")),"Error ▲",VLOOKUP(H151,'G-1 All Habitats'!$Z$2:$AA$9,2,FALSE)),"")</f>
        <v/>
      </c>
      <c r="J151" s="115"/>
      <c r="K151" s="382" t="str">
        <f>IF(J151="","",IF(VLOOKUP(J151,'G-3 Multipliers'!$L$3:$N$6,2,FALSE)=0,"Spatial Data Missing",VLOOKUP(J151,'G-3 Multipliers'!$L$3:$N$6,2,FALSE)))</f>
        <v/>
      </c>
      <c r="L151" s="386" t="str">
        <f>IF(J151="","",IF(VLOOKUP(J151,'G-3 Multipliers'!$L$3:$N$6,3,FALSE)=0,"Spatial Data Missing",VLOOKUP(J151,'G-3 Multipliers'!$L$3:$N$6,3,FALSE)))</f>
        <v/>
      </c>
      <c r="M151" s="160"/>
      <c r="N151" s="363" t="str">
        <f>IF(M151="","",IF(VLOOKUP(M151,'G-3 Multipliers'!$S$3:$T$10,2,FALSE)=0,"Spatial Data Missing ⚠",VLOOKUP(M151,'G-3 Multipliers'!$S$3:$T$10,2,FALSE)))</f>
        <v/>
      </c>
      <c r="O151" s="362" t="str">
        <f>IF(OR(D151="",H151=""),"",(INDEX('G-6 Hedgerow Data'!$E$3:$I$15,MATCH(D151,'G-6 Hedgerow Data'!$B$3:$B$15,0),MATCH(H151,'G-6 Hedgerow Data'!$E$2:$I$2,0))))</f>
        <v/>
      </c>
      <c r="P151" s="159"/>
      <c r="Q151" s="159"/>
      <c r="R151" s="370" t="str">
        <f t="shared" si="15"/>
        <v/>
      </c>
      <c r="S151" s="383" t="str">
        <f t="shared" si="16"/>
        <v/>
      </c>
      <c r="T151" s="384" t="str">
        <f t="shared" si="14"/>
        <v/>
      </c>
      <c r="U151" s="398" t="str">
        <f>IF(D151="","",VLOOKUP(D151,'G-6 Hedgerow Data'!$B$3:$AG$15,31,FALSE))</f>
        <v/>
      </c>
      <c r="V151" s="382" t="str">
        <f t="shared" si="17"/>
        <v/>
      </c>
      <c r="W151" s="382" t="str">
        <f t="shared" si="18"/>
        <v/>
      </c>
      <c r="X151" s="386" t="str">
        <f>IF(F151="","",VLOOKUP(U151,'G-3 Multipliers'!$P$3:$Q$6,2,FALSE))</f>
        <v/>
      </c>
      <c r="Y151" s="390" t="str">
        <f t="shared" si="19"/>
        <v/>
      </c>
      <c r="Z151" s="390" t="str">
        <f t="shared" si="20"/>
        <v/>
      </c>
      <c r="AA151" s="117"/>
      <c r="AB151" s="118"/>
      <c r="AC151" s="120"/>
      <c r="AD151" s="120"/>
      <c r="AH151" s="30" t="str">
        <f>IFERROR(INDEX('G-6 Hedgerow Data'!$BJ$3:$BJ$15,MATCH(D151,'G-6 Hedgerow Data'!$B$3:$B$15,0)),"")</f>
        <v/>
      </c>
    </row>
    <row r="152" spans="2:34" ht="15">
      <c r="B152" s="110">
        <v>141</v>
      </c>
      <c r="C152" s="216"/>
      <c r="D152" s="63"/>
      <c r="E152" s="165"/>
      <c r="F152" s="362" t="str">
        <f>IF(D152="","",VLOOKUP(D152,'G-6 Hedgerow Data'!$B$2:$AG$15,2,FALSE))</f>
        <v/>
      </c>
      <c r="G152" s="386" t="str">
        <f>IF(D152="","",VLOOKUP(D152,'G-6 Hedgerow Data'!$B$2:$AG$15,3,FALSE))</f>
        <v/>
      </c>
      <c r="H152" s="55"/>
      <c r="I152" s="363" t="str">
        <f>IFERROR(IF(AND(F152="V.Low",OR(H152="Good",H152="Moderate")),"Error ▲",VLOOKUP(H152,'G-1 All Habitats'!$Z$2:$AA$9,2,FALSE)),"")</f>
        <v/>
      </c>
      <c r="J152" s="115"/>
      <c r="K152" s="382" t="str">
        <f>IF(J152="","",IF(VLOOKUP(J152,'G-3 Multipliers'!$L$3:$N$6,2,FALSE)=0,"Spatial Data Missing",VLOOKUP(J152,'G-3 Multipliers'!$L$3:$N$6,2,FALSE)))</f>
        <v/>
      </c>
      <c r="L152" s="386" t="str">
        <f>IF(J152="","",IF(VLOOKUP(J152,'G-3 Multipliers'!$L$3:$N$6,3,FALSE)=0,"Spatial Data Missing",VLOOKUP(J152,'G-3 Multipliers'!$L$3:$N$6,3,FALSE)))</f>
        <v/>
      </c>
      <c r="M152" s="160"/>
      <c r="N152" s="363" t="str">
        <f>IF(M152="","",IF(VLOOKUP(M152,'G-3 Multipliers'!$S$3:$T$10,2,FALSE)=0,"Spatial Data Missing ⚠",VLOOKUP(M152,'G-3 Multipliers'!$S$3:$T$10,2,FALSE)))</f>
        <v/>
      </c>
      <c r="O152" s="362" t="str">
        <f>IF(OR(D152="",H152=""),"",(INDEX('G-6 Hedgerow Data'!$E$3:$I$15,MATCH(D152,'G-6 Hedgerow Data'!$B$3:$B$15,0),MATCH(H152,'G-6 Hedgerow Data'!$E$2:$I$2,0))))</f>
        <v/>
      </c>
      <c r="P152" s="159"/>
      <c r="Q152" s="159"/>
      <c r="R152" s="370" t="str">
        <f t="shared" si="15"/>
        <v/>
      </c>
      <c r="S152" s="383" t="str">
        <f t="shared" si="16"/>
        <v/>
      </c>
      <c r="T152" s="384" t="str">
        <f t="shared" si="14"/>
        <v/>
      </c>
      <c r="U152" s="398" t="str">
        <f>IF(D152="","",VLOOKUP(D152,'G-6 Hedgerow Data'!$B$3:$AG$15,31,FALSE))</f>
        <v/>
      </c>
      <c r="V152" s="382" t="str">
        <f t="shared" si="17"/>
        <v/>
      </c>
      <c r="W152" s="382" t="str">
        <f t="shared" si="18"/>
        <v/>
      </c>
      <c r="X152" s="386" t="str">
        <f>IF(F152="","",VLOOKUP(U152,'G-3 Multipliers'!$P$3:$Q$6,2,FALSE))</f>
        <v/>
      </c>
      <c r="Y152" s="390" t="str">
        <f t="shared" si="19"/>
        <v/>
      </c>
      <c r="Z152" s="390" t="str">
        <f t="shared" si="20"/>
        <v/>
      </c>
      <c r="AA152" s="117"/>
      <c r="AB152" s="118"/>
      <c r="AC152" s="120"/>
      <c r="AD152" s="120"/>
      <c r="AH152" s="30" t="str">
        <f>IFERROR(INDEX('G-6 Hedgerow Data'!$BJ$3:$BJ$15,MATCH(D152,'G-6 Hedgerow Data'!$B$3:$B$15,0)),"")</f>
        <v/>
      </c>
    </row>
    <row r="153" spans="2:34" ht="15">
      <c r="B153" s="110">
        <v>142</v>
      </c>
      <c r="C153" s="216"/>
      <c r="D153" s="63"/>
      <c r="E153" s="165"/>
      <c r="F153" s="362" t="str">
        <f>IF(D153="","",VLOOKUP(D153,'G-6 Hedgerow Data'!$B$2:$AG$15,2,FALSE))</f>
        <v/>
      </c>
      <c r="G153" s="386" t="str">
        <f>IF(D153="","",VLOOKUP(D153,'G-6 Hedgerow Data'!$B$2:$AG$15,3,FALSE))</f>
        <v/>
      </c>
      <c r="H153" s="55"/>
      <c r="I153" s="363" t="str">
        <f>IFERROR(IF(AND(F153="V.Low",OR(H153="Good",H153="Moderate")),"Error ▲",VLOOKUP(H153,'G-1 All Habitats'!$Z$2:$AA$9,2,FALSE)),"")</f>
        <v/>
      </c>
      <c r="J153" s="115"/>
      <c r="K153" s="382" t="str">
        <f>IF(J153="","",IF(VLOOKUP(J153,'G-3 Multipliers'!$L$3:$N$6,2,FALSE)=0,"Spatial Data Missing",VLOOKUP(J153,'G-3 Multipliers'!$L$3:$N$6,2,FALSE)))</f>
        <v/>
      </c>
      <c r="L153" s="386" t="str">
        <f>IF(J153="","",IF(VLOOKUP(J153,'G-3 Multipliers'!$L$3:$N$6,3,FALSE)=0,"Spatial Data Missing",VLOOKUP(J153,'G-3 Multipliers'!$L$3:$N$6,3,FALSE)))</f>
        <v/>
      </c>
      <c r="M153" s="160"/>
      <c r="N153" s="363" t="str">
        <f>IF(M153="","",IF(VLOOKUP(M153,'G-3 Multipliers'!$S$3:$T$10,2,FALSE)=0,"Spatial Data Missing ⚠",VLOOKUP(M153,'G-3 Multipliers'!$S$3:$T$10,2,FALSE)))</f>
        <v/>
      </c>
      <c r="O153" s="362" t="str">
        <f>IF(OR(D153="",H153=""),"",(INDEX('G-6 Hedgerow Data'!$E$3:$I$15,MATCH(D153,'G-6 Hedgerow Data'!$B$3:$B$15,0),MATCH(H153,'G-6 Hedgerow Data'!$E$2:$I$2,0))))</f>
        <v/>
      </c>
      <c r="P153" s="159"/>
      <c r="Q153" s="159"/>
      <c r="R153" s="370" t="str">
        <f t="shared" si="15"/>
        <v/>
      </c>
      <c r="S153" s="383" t="str">
        <f t="shared" si="16"/>
        <v/>
      </c>
      <c r="T153" s="384" t="str">
        <f t="shared" si="14"/>
        <v/>
      </c>
      <c r="U153" s="398" t="str">
        <f>IF(D153="","",VLOOKUP(D153,'G-6 Hedgerow Data'!$B$3:$AG$15,31,FALSE))</f>
        <v/>
      </c>
      <c r="V153" s="382" t="str">
        <f t="shared" si="17"/>
        <v/>
      </c>
      <c r="W153" s="382" t="str">
        <f t="shared" si="18"/>
        <v/>
      </c>
      <c r="X153" s="386" t="str">
        <f>IF(F153="","",VLOOKUP(U153,'G-3 Multipliers'!$P$3:$Q$6,2,FALSE))</f>
        <v/>
      </c>
      <c r="Y153" s="390" t="str">
        <f t="shared" si="19"/>
        <v/>
      </c>
      <c r="Z153" s="390" t="str">
        <f t="shared" si="20"/>
        <v/>
      </c>
      <c r="AA153" s="117"/>
      <c r="AB153" s="118"/>
      <c r="AC153" s="120"/>
      <c r="AD153" s="120"/>
      <c r="AH153" s="30" t="str">
        <f>IFERROR(INDEX('G-6 Hedgerow Data'!$BJ$3:$BJ$15,MATCH(D153,'G-6 Hedgerow Data'!$B$3:$B$15,0)),"")</f>
        <v/>
      </c>
    </row>
    <row r="154" spans="2:34" ht="15">
      <c r="B154" s="110">
        <v>143</v>
      </c>
      <c r="C154" s="216"/>
      <c r="D154" s="63"/>
      <c r="E154" s="165"/>
      <c r="F154" s="362" t="str">
        <f>IF(D154="","",VLOOKUP(D154,'G-6 Hedgerow Data'!$B$2:$AG$15,2,FALSE))</f>
        <v/>
      </c>
      <c r="G154" s="386" t="str">
        <f>IF(D154="","",VLOOKUP(D154,'G-6 Hedgerow Data'!$B$2:$AG$15,3,FALSE))</f>
        <v/>
      </c>
      <c r="H154" s="55"/>
      <c r="I154" s="363" t="str">
        <f>IFERROR(IF(AND(F154="V.Low",OR(H154="Good",H154="Moderate")),"Error ▲",VLOOKUP(H154,'G-1 All Habitats'!$Z$2:$AA$9,2,FALSE)),"")</f>
        <v/>
      </c>
      <c r="J154" s="115"/>
      <c r="K154" s="382" t="str">
        <f>IF(J154="","",IF(VLOOKUP(J154,'G-3 Multipliers'!$L$3:$N$6,2,FALSE)=0,"Spatial Data Missing",VLOOKUP(J154,'G-3 Multipliers'!$L$3:$N$6,2,FALSE)))</f>
        <v/>
      </c>
      <c r="L154" s="386" t="str">
        <f>IF(J154="","",IF(VLOOKUP(J154,'G-3 Multipliers'!$L$3:$N$6,3,FALSE)=0,"Spatial Data Missing",VLOOKUP(J154,'G-3 Multipliers'!$L$3:$N$6,3,FALSE)))</f>
        <v/>
      </c>
      <c r="M154" s="160"/>
      <c r="N154" s="363" t="str">
        <f>IF(M154="","",IF(VLOOKUP(M154,'G-3 Multipliers'!$S$3:$T$10,2,FALSE)=0,"Spatial Data Missing ⚠",VLOOKUP(M154,'G-3 Multipliers'!$S$3:$T$10,2,FALSE)))</f>
        <v/>
      </c>
      <c r="O154" s="362" t="str">
        <f>IF(OR(D154="",H154=""),"",(INDEX('G-6 Hedgerow Data'!$E$3:$I$15,MATCH(D154,'G-6 Hedgerow Data'!$B$3:$B$15,0),MATCH(H154,'G-6 Hedgerow Data'!$E$2:$I$2,0))))</f>
        <v/>
      </c>
      <c r="P154" s="159"/>
      <c r="Q154" s="159"/>
      <c r="R154" s="370" t="str">
        <f t="shared" si="15"/>
        <v/>
      </c>
      <c r="S154" s="383" t="str">
        <f t="shared" si="16"/>
        <v/>
      </c>
      <c r="T154" s="384" t="str">
        <f t="shared" si="14"/>
        <v/>
      </c>
      <c r="U154" s="398" t="str">
        <f>IF(D154="","",VLOOKUP(D154,'G-6 Hedgerow Data'!$B$3:$AG$15,31,FALSE))</f>
        <v/>
      </c>
      <c r="V154" s="382" t="str">
        <f t="shared" si="17"/>
        <v/>
      </c>
      <c r="W154" s="382" t="str">
        <f t="shared" si="18"/>
        <v/>
      </c>
      <c r="X154" s="386" t="str">
        <f>IF(F154="","",VLOOKUP(U154,'G-3 Multipliers'!$P$3:$Q$6,2,FALSE))</f>
        <v/>
      </c>
      <c r="Y154" s="390" t="str">
        <f t="shared" si="19"/>
        <v/>
      </c>
      <c r="Z154" s="390" t="str">
        <f t="shared" si="20"/>
        <v/>
      </c>
      <c r="AA154" s="117"/>
      <c r="AB154" s="118"/>
      <c r="AC154" s="120"/>
      <c r="AD154" s="120"/>
      <c r="AH154" s="30" t="str">
        <f>IFERROR(INDEX('G-6 Hedgerow Data'!$BJ$3:$BJ$15,MATCH(D154,'G-6 Hedgerow Data'!$B$3:$B$15,0)),"")</f>
        <v/>
      </c>
    </row>
    <row r="155" spans="2:34" ht="15">
      <c r="B155" s="110">
        <v>144</v>
      </c>
      <c r="C155" s="216"/>
      <c r="D155" s="63"/>
      <c r="E155" s="165"/>
      <c r="F155" s="362" t="str">
        <f>IF(D155="","",VLOOKUP(D155,'G-6 Hedgerow Data'!$B$2:$AG$15,2,FALSE))</f>
        <v/>
      </c>
      <c r="G155" s="386" t="str">
        <f>IF(D155="","",VLOOKUP(D155,'G-6 Hedgerow Data'!$B$2:$AG$15,3,FALSE))</f>
        <v/>
      </c>
      <c r="H155" s="55"/>
      <c r="I155" s="363" t="str">
        <f>IFERROR(IF(AND(F155="V.Low",OR(H155="Good",H155="Moderate")),"Error ▲",VLOOKUP(H155,'G-1 All Habitats'!$Z$2:$AA$9,2,FALSE)),"")</f>
        <v/>
      </c>
      <c r="J155" s="115"/>
      <c r="K155" s="382" t="str">
        <f>IF(J155="","",IF(VLOOKUP(J155,'G-3 Multipliers'!$L$3:$N$6,2,FALSE)=0,"Spatial Data Missing",VLOOKUP(J155,'G-3 Multipliers'!$L$3:$N$6,2,FALSE)))</f>
        <v/>
      </c>
      <c r="L155" s="386" t="str">
        <f>IF(J155="","",IF(VLOOKUP(J155,'G-3 Multipliers'!$L$3:$N$6,3,FALSE)=0,"Spatial Data Missing",VLOOKUP(J155,'G-3 Multipliers'!$L$3:$N$6,3,FALSE)))</f>
        <v/>
      </c>
      <c r="M155" s="160"/>
      <c r="N155" s="363" t="str">
        <f>IF(M155="","",IF(VLOOKUP(M155,'G-3 Multipliers'!$S$3:$T$10,2,FALSE)=0,"Spatial Data Missing ⚠",VLOOKUP(M155,'G-3 Multipliers'!$S$3:$T$10,2,FALSE)))</f>
        <v/>
      </c>
      <c r="O155" s="362" t="str">
        <f>IF(OR(D155="",H155=""),"",(INDEX('G-6 Hedgerow Data'!$E$3:$I$15,MATCH(D155,'G-6 Hedgerow Data'!$B$3:$B$15,0),MATCH(H155,'G-6 Hedgerow Data'!$E$2:$I$2,0))))</f>
        <v/>
      </c>
      <c r="P155" s="159"/>
      <c r="Q155" s="159"/>
      <c r="R155" s="370" t="str">
        <f t="shared" si="15"/>
        <v/>
      </c>
      <c r="S155" s="383" t="str">
        <f t="shared" si="16"/>
        <v/>
      </c>
      <c r="T155" s="384" t="str">
        <f t="shared" si="14"/>
        <v/>
      </c>
      <c r="U155" s="398" t="str">
        <f>IF(D155="","",VLOOKUP(D155,'G-6 Hedgerow Data'!$B$3:$AG$15,31,FALSE))</f>
        <v/>
      </c>
      <c r="V155" s="382" t="str">
        <f t="shared" si="17"/>
        <v/>
      </c>
      <c r="W155" s="382" t="str">
        <f t="shared" si="18"/>
        <v/>
      </c>
      <c r="X155" s="386" t="str">
        <f>IF(F155="","",VLOOKUP(U155,'G-3 Multipliers'!$P$3:$Q$6,2,FALSE))</f>
        <v/>
      </c>
      <c r="Y155" s="390" t="str">
        <f t="shared" si="19"/>
        <v/>
      </c>
      <c r="Z155" s="390" t="str">
        <f t="shared" si="20"/>
        <v/>
      </c>
      <c r="AA155" s="117"/>
      <c r="AB155" s="118"/>
      <c r="AC155" s="120"/>
      <c r="AD155" s="120"/>
      <c r="AH155" s="30" t="str">
        <f>IFERROR(INDEX('G-6 Hedgerow Data'!$BJ$3:$BJ$15,MATCH(D155,'G-6 Hedgerow Data'!$B$3:$B$15,0)),"")</f>
        <v/>
      </c>
    </row>
    <row r="156" spans="2:34" ht="15">
      <c r="B156" s="110">
        <v>145</v>
      </c>
      <c r="C156" s="216"/>
      <c r="D156" s="63"/>
      <c r="E156" s="165"/>
      <c r="F156" s="362" t="str">
        <f>IF(D156="","",VLOOKUP(D156,'G-6 Hedgerow Data'!$B$2:$AG$15,2,FALSE))</f>
        <v/>
      </c>
      <c r="G156" s="386" t="str">
        <f>IF(D156="","",VLOOKUP(D156,'G-6 Hedgerow Data'!$B$2:$AG$15,3,FALSE))</f>
        <v/>
      </c>
      <c r="H156" s="55"/>
      <c r="I156" s="363" t="str">
        <f>IFERROR(IF(AND(F156="V.Low",OR(H156="Good",H156="Moderate")),"Error ▲",VLOOKUP(H156,'G-1 All Habitats'!$Z$2:$AA$9,2,FALSE)),"")</f>
        <v/>
      </c>
      <c r="J156" s="115"/>
      <c r="K156" s="382" t="str">
        <f>IF(J156="","",IF(VLOOKUP(J156,'G-3 Multipliers'!$L$3:$N$6,2,FALSE)=0,"Spatial Data Missing",VLOOKUP(J156,'G-3 Multipliers'!$L$3:$N$6,2,FALSE)))</f>
        <v/>
      </c>
      <c r="L156" s="386" t="str">
        <f>IF(J156="","",IF(VLOOKUP(J156,'G-3 Multipliers'!$L$3:$N$6,3,FALSE)=0,"Spatial Data Missing",VLOOKUP(J156,'G-3 Multipliers'!$L$3:$N$6,3,FALSE)))</f>
        <v/>
      </c>
      <c r="M156" s="160"/>
      <c r="N156" s="363" t="str">
        <f>IF(M156="","",IF(VLOOKUP(M156,'G-3 Multipliers'!$S$3:$T$10,2,FALSE)=0,"Spatial Data Missing ⚠",VLOOKUP(M156,'G-3 Multipliers'!$S$3:$T$10,2,FALSE)))</f>
        <v/>
      </c>
      <c r="O156" s="362" t="str">
        <f>IF(OR(D156="",H156=""),"",(INDEX('G-6 Hedgerow Data'!$E$3:$I$15,MATCH(D156,'G-6 Hedgerow Data'!$B$3:$B$15,0),MATCH(H156,'G-6 Hedgerow Data'!$E$2:$I$2,0))))</f>
        <v/>
      </c>
      <c r="P156" s="159"/>
      <c r="Q156" s="159"/>
      <c r="R156" s="370" t="str">
        <f t="shared" si="15"/>
        <v/>
      </c>
      <c r="S156" s="383" t="str">
        <f t="shared" si="16"/>
        <v/>
      </c>
      <c r="T156" s="384" t="str">
        <f t="shared" si="14"/>
        <v/>
      </c>
      <c r="U156" s="398" t="str">
        <f>IF(D156="","",VLOOKUP(D156,'G-6 Hedgerow Data'!$B$3:$AG$15,31,FALSE))</f>
        <v/>
      </c>
      <c r="V156" s="382" t="str">
        <f t="shared" si="17"/>
        <v/>
      </c>
      <c r="W156" s="382" t="str">
        <f t="shared" si="18"/>
        <v/>
      </c>
      <c r="X156" s="386" t="str">
        <f>IF(F156="","",VLOOKUP(U156,'G-3 Multipliers'!$P$3:$Q$6,2,FALSE))</f>
        <v/>
      </c>
      <c r="Y156" s="390" t="str">
        <f t="shared" si="19"/>
        <v/>
      </c>
      <c r="Z156" s="390" t="str">
        <f t="shared" si="20"/>
        <v/>
      </c>
      <c r="AA156" s="117"/>
      <c r="AB156" s="118"/>
      <c r="AC156" s="120"/>
      <c r="AD156" s="120"/>
      <c r="AH156" s="30" t="str">
        <f>IFERROR(INDEX('G-6 Hedgerow Data'!$BJ$3:$BJ$15,MATCH(D156,'G-6 Hedgerow Data'!$B$3:$B$15,0)),"")</f>
        <v/>
      </c>
    </row>
    <row r="157" spans="2:34" ht="15">
      <c r="B157" s="110">
        <v>146</v>
      </c>
      <c r="C157" s="216"/>
      <c r="D157" s="63"/>
      <c r="E157" s="165"/>
      <c r="F157" s="362" t="str">
        <f>IF(D157="","",VLOOKUP(D157,'G-6 Hedgerow Data'!$B$2:$AG$15,2,FALSE))</f>
        <v/>
      </c>
      <c r="G157" s="386" t="str">
        <f>IF(D157="","",VLOOKUP(D157,'G-6 Hedgerow Data'!$B$2:$AG$15,3,FALSE))</f>
        <v/>
      </c>
      <c r="H157" s="55"/>
      <c r="I157" s="363" t="str">
        <f>IFERROR(IF(AND(F157="V.Low",OR(H157="Good",H157="Moderate")),"Error ▲",VLOOKUP(H157,'G-1 All Habitats'!$Z$2:$AA$9,2,FALSE)),"")</f>
        <v/>
      </c>
      <c r="J157" s="115"/>
      <c r="K157" s="382" t="str">
        <f>IF(J157="","",IF(VLOOKUP(J157,'G-3 Multipliers'!$L$3:$N$6,2,FALSE)=0,"Spatial Data Missing",VLOOKUP(J157,'G-3 Multipliers'!$L$3:$N$6,2,FALSE)))</f>
        <v/>
      </c>
      <c r="L157" s="386" t="str">
        <f>IF(J157="","",IF(VLOOKUP(J157,'G-3 Multipliers'!$L$3:$N$6,3,FALSE)=0,"Spatial Data Missing",VLOOKUP(J157,'G-3 Multipliers'!$L$3:$N$6,3,FALSE)))</f>
        <v/>
      </c>
      <c r="M157" s="160"/>
      <c r="N157" s="363" t="str">
        <f>IF(M157="","",IF(VLOOKUP(M157,'G-3 Multipliers'!$S$3:$T$10,2,FALSE)=0,"Spatial Data Missing ⚠",VLOOKUP(M157,'G-3 Multipliers'!$S$3:$T$10,2,FALSE)))</f>
        <v/>
      </c>
      <c r="O157" s="362" t="str">
        <f>IF(OR(D157="",H157=""),"",(INDEX('G-6 Hedgerow Data'!$E$3:$I$15,MATCH(D157,'G-6 Hedgerow Data'!$B$3:$B$15,0),MATCH(H157,'G-6 Hedgerow Data'!$E$2:$I$2,0))))</f>
        <v/>
      </c>
      <c r="P157" s="159"/>
      <c r="Q157" s="159"/>
      <c r="R157" s="370" t="str">
        <f t="shared" si="15"/>
        <v/>
      </c>
      <c r="S157" s="383" t="str">
        <f t="shared" si="16"/>
        <v/>
      </c>
      <c r="T157" s="384" t="str">
        <f t="shared" si="14"/>
        <v/>
      </c>
      <c r="U157" s="398" t="str">
        <f>IF(D157="","",VLOOKUP(D157,'G-6 Hedgerow Data'!$B$3:$AG$15,31,FALSE))</f>
        <v/>
      </c>
      <c r="V157" s="382" t="str">
        <f t="shared" si="17"/>
        <v/>
      </c>
      <c r="W157" s="382" t="str">
        <f t="shared" si="18"/>
        <v/>
      </c>
      <c r="X157" s="386" t="str">
        <f>IF(F157="","",VLOOKUP(U157,'G-3 Multipliers'!$P$3:$Q$6,2,FALSE))</f>
        <v/>
      </c>
      <c r="Y157" s="390" t="str">
        <f t="shared" si="19"/>
        <v/>
      </c>
      <c r="Z157" s="390" t="str">
        <f t="shared" si="20"/>
        <v/>
      </c>
      <c r="AA157" s="117"/>
      <c r="AB157" s="118"/>
      <c r="AC157" s="120"/>
      <c r="AD157" s="120"/>
      <c r="AH157" s="30" t="str">
        <f>IFERROR(INDEX('G-6 Hedgerow Data'!$BJ$3:$BJ$15,MATCH(D157,'G-6 Hedgerow Data'!$B$3:$B$15,0)),"")</f>
        <v/>
      </c>
    </row>
    <row r="158" spans="2:34" ht="15">
      <c r="B158" s="110">
        <v>147</v>
      </c>
      <c r="C158" s="216"/>
      <c r="D158" s="63"/>
      <c r="E158" s="165"/>
      <c r="F158" s="362" t="str">
        <f>IF(D158="","",VLOOKUP(D158,'G-6 Hedgerow Data'!$B$2:$AG$15,2,FALSE))</f>
        <v/>
      </c>
      <c r="G158" s="386" t="str">
        <f>IF(D158="","",VLOOKUP(D158,'G-6 Hedgerow Data'!$B$2:$AG$15,3,FALSE))</f>
        <v/>
      </c>
      <c r="H158" s="55"/>
      <c r="I158" s="363" t="str">
        <f>IFERROR(IF(AND(F158="V.Low",OR(H158="Good",H158="Moderate")),"Error ▲",VLOOKUP(H158,'G-1 All Habitats'!$Z$2:$AA$9,2,FALSE)),"")</f>
        <v/>
      </c>
      <c r="J158" s="115"/>
      <c r="K158" s="382" t="str">
        <f>IF(J158="","",IF(VLOOKUP(J158,'G-3 Multipliers'!$L$3:$N$6,2,FALSE)=0,"Spatial Data Missing",VLOOKUP(J158,'G-3 Multipliers'!$L$3:$N$6,2,FALSE)))</f>
        <v/>
      </c>
      <c r="L158" s="386" t="str">
        <f>IF(J158="","",IF(VLOOKUP(J158,'G-3 Multipliers'!$L$3:$N$6,3,FALSE)=0,"Spatial Data Missing",VLOOKUP(J158,'G-3 Multipliers'!$L$3:$N$6,3,FALSE)))</f>
        <v/>
      </c>
      <c r="M158" s="160"/>
      <c r="N158" s="363" t="str">
        <f>IF(M158="","",IF(VLOOKUP(M158,'G-3 Multipliers'!$S$3:$T$10,2,FALSE)=0,"Spatial Data Missing ⚠",VLOOKUP(M158,'G-3 Multipliers'!$S$3:$T$10,2,FALSE)))</f>
        <v/>
      </c>
      <c r="O158" s="362" t="str">
        <f>IF(OR(D158="",H158=""),"",(INDEX('G-6 Hedgerow Data'!$E$3:$I$15,MATCH(D158,'G-6 Hedgerow Data'!$B$3:$B$15,0),MATCH(H158,'G-6 Hedgerow Data'!$E$2:$I$2,0))))</f>
        <v/>
      </c>
      <c r="P158" s="159"/>
      <c r="Q158" s="159"/>
      <c r="R158" s="370" t="str">
        <f t="shared" si="15"/>
        <v/>
      </c>
      <c r="S158" s="383" t="str">
        <f t="shared" si="16"/>
        <v/>
      </c>
      <c r="T158" s="384" t="str">
        <f t="shared" si="14"/>
        <v/>
      </c>
      <c r="U158" s="398" t="str">
        <f>IF(D158="","",VLOOKUP(D158,'G-6 Hedgerow Data'!$B$3:$AG$15,31,FALSE))</f>
        <v/>
      </c>
      <c r="V158" s="382" t="str">
        <f t="shared" si="17"/>
        <v/>
      </c>
      <c r="W158" s="382" t="str">
        <f t="shared" si="18"/>
        <v/>
      </c>
      <c r="X158" s="386" t="str">
        <f>IF(F158="","",VLOOKUP(U158,'G-3 Multipliers'!$P$3:$Q$6,2,FALSE))</f>
        <v/>
      </c>
      <c r="Y158" s="390" t="str">
        <f t="shared" si="19"/>
        <v/>
      </c>
      <c r="Z158" s="390" t="str">
        <f t="shared" si="20"/>
        <v/>
      </c>
      <c r="AA158" s="117"/>
      <c r="AB158" s="118"/>
      <c r="AC158" s="120"/>
      <c r="AD158" s="120"/>
      <c r="AH158" s="30" t="str">
        <f>IFERROR(INDEX('G-6 Hedgerow Data'!$BJ$3:$BJ$15,MATCH(D158,'G-6 Hedgerow Data'!$B$3:$B$15,0)),"")</f>
        <v/>
      </c>
    </row>
    <row r="159" spans="2:34" ht="15">
      <c r="B159" s="110">
        <v>148</v>
      </c>
      <c r="C159" s="216"/>
      <c r="D159" s="63"/>
      <c r="E159" s="165"/>
      <c r="F159" s="362" t="str">
        <f>IF(D159="","",VLOOKUP(D159,'G-6 Hedgerow Data'!$B$2:$AG$15,2,FALSE))</f>
        <v/>
      </c>
      <c r="G159" s="386" t="str">
        <f>IF(D159="","",VLOOKUP(D159,'G-6 Hedgerow Data'!$B$2:$AG$15,3,FALSE))</f>
        <v/>
      </c>
      <c r="H159" s="55"/>
      <c r="I159" s="363" t="str">
        <f>IFERROR(IF(AND(F159="V.Low",OR(H159="Good",H159="Moderate")),"Error ▲",VLOOKUP(H159,'G-1 All Habitats'!$Z$2:$AA$9,2,FALSE)),"")</f>
        <v/>
      </c>
      <c r="J159" s="115"/>
      <c r="K159" s="382" t="str">
        <f>IF(J159="","",IF(VLOOKUP(J159,'G-3 Multipliers'!$L$3:$N$6,2,FALSE)=0,"Spatial Data Missing",VLOOKUP(J159,'G-3 Multipliers'!$L$3:$N$6,2,FALSE)))</f>
        <v/>
      </c>
      <c r="L159" s="386" t="str">
        <f>IF(J159="","",IF(VLOOKUP(J159,'G-3 Multipliers'!$L$3:$N$6,3,FALSE)=0,"Spatial Data Missing",VLOOKUP(J159,'G-3 Multipliers'!$L$3:$N$6,3,FALSE)))</f>
        <v/>
      </c>
      <c r="M159" s="160"/>
      <c r="N159" s="363" t="str">
        <f>IF(M159="","",IF(VLOOKUP(M159,'G-3 Multipliers'!$S$3:$T$10,2,FALSE)=0,"Spatial Data Missing ⚠",VLOOKUP(M159,'G-3 Multipliers'!$S$3:$T$10,2,FALSE)))</f>
        <v/>
      </c>
      <c r="O159" s="362" t="str">
        <f>IF(OR(D159="",H159=""),"",(INDEX('G-6 Hedgerow Data'!$E$3:$I$15,MATCH(D159,'G-6 Hedgerow Data'!$B$3:$B$15,0),MATCH(H159,'G-6 Hedgerow Data'!$E$2:$I$2,0))))</f>
        <v/>
      </c>
      <c r="P159" s="159"/>
      <c r="Q159" s="159"/>
      <c r="R159" s="370" t="str">
        <f t="shared" si="15"/>
        <v/>
      </c>
      <c r="S159" s="383" t="str">
        <f t="shared" si="16"/>
        <v/>
      </c>
      <c r="T159" s="384" t="str">
        <f t="shared" si="14"/>
        <v/>
      </c>
      <c r="U159" s="398" t="str">
        <f>IF(D159="","",VLOOKUP(D159,'G-6 Hedgerow Data'!$B$3:$AG$15,31,FALSE))</f>
        <v/>
      </c>
      <c r="V159" s="382" t="str">
        <f t="shared" si="17"/>
        <v/>
      </c>
      <c r="W159" s="382" t="str">
        <f t="shared" si="18"/>
        <v/>
      </c>
      <c r="X159" s="386" t="str">
        <f>IF(F159="","",VLOOKUP(U159,'G-3 Multipliers'!$P$3:$Q$6,2,FALSE))</f>
        <v/>
      </c>
      <c r="Y159" s="390" t="str">
        <f t="shared" si="19"/>
        <v/>
      </c>
      <c r="Z159" s="390" t="str">
        <f t="shared" si="20"/>
        <v/>
      </c>
      <c r="AA159" s="117"/>
      <c r="AB159" s="118"/>
      <c r="AC159" s="120"/>
      <c r="AD159" s="120"/>
      <c r="AH159" s="30" t="str">
        <f>IFERROR(INDEX('G-6 Hedgerow Data'!$BJ$3:$BJ$15,MATCH(D159,'G-6 Hedgerow Data'!$B$3:$B$15,0)),"")</f>
        <v/>
      </c>
    </row>
    <row r="160" spans="2:34" ht="15">
      <c r="B160" s="110">
        <v>149</v>
      </c>
      <c r="C160" s="216"/>
      <c r="D160" s="63"/>
      <c r="E160" s="165"/>
      <c r="F160" s="362" t="str">
        <f>IF(D160="","",VLOOKUP(D160,'G-6 Hedgerow Data'!$B$2:$AG$15,2,FALSE))</f>
        <v/>
      </c>
      <c r="G160" s="386" t="str">
        <f>IF(D160="","",VLOOKUP(D160,'G-6 Hedgerow Data'!$B$2:$AG$15,3,FALSE))</f>
        <v/>
      </c>
      <c r="H160" s="55"/>
      <c r="I160" s="363" t="str">
        <f>IFERROR(IF(AND(F160="V.Low",OR(H160="Good",H160="Moderate")),"Error ▲",VLOOKUP(H160,'G-1 All Habitats'!$Z$2:$AA$9,2,FALSE)),"")</f>
        <v/>
      </c>
      <c r="J160" s="115"/>
      <c r="K160" s="382" t="str">
        <f>IF(J160="","",IF(VLOOKUP(J160,'G-3 Multipliers'!$L$3:$N$6,2,FALSE)=0,"Spatial Data Missing",VLOOKUP(J160,'G-3 Multipliers'!$L$3:$N$6,2,FALSE)))</f>
        <v/>
      </c>
      <c r="L160" s="386" t="str">
        <f>IF(J160="","",IF(VLOOKUP(J160,'G-3 Multipliers'!$L$3:$N$6,3,FALSE)=0,"Spatial Data Missing",VLOOKUP(J160,'G-3 Multipliers'!$L$3:$N$6,3,FALSE)))</f>
        <v/>
      </c>
      <c r="M160" s="160"/>
      <c r="N160" s="363" t="str">
        <f>IF(M160="","",IF(VLOOKUP(M160,'G-3 Multipliers'!$S$3:$T$10,2,FALSE)=0,"Spatial Data Missing ⚠",VLOOKUP(M160,'G-3 Multipliers'!$S$3:$T$10,2,FALSE)))</f>
        <v/>
      </c>
      <c r="O160" s="362" t="str">
        <f>IF(OR(D160="",H160=""),"",(INDEX('G-6 Hedgerow Data'!$E$3:$I$15,MATCH(D160,'G-6 Hedgerow Data'!$B$3:$B$15,0),MATCH(H160,'G-6 Hedgerow Data'!$E$2:$I$2,0))))</f>
        <v/>
      </c>
      <c r="P160" s="159"/>
      <c r="Q160" s="159"/>
      <c r="R160" s="370" t="str">
        <f t="shared" si="15"/>
        <v/>
      </c>
      <c r="S160" s="383" t="str">
        <f t="shared" si="16"/>
        <v/>
      </c>
      <c r="T160" s="384" t="str">
        <f t="shared" si="14"/>
        <v/>
      </c>
      <c r="U160" s="398" t="str">
        <f>IF(D160="","",VLOOKUP(D160,'G-6 Hedgerow Data'!$B$3:$AG$15,31,FALSE))</f>
        <v/>
      </c>
      <c r="V160" s="382" t="str">
        <f t="shared" si="17"/>
        <v/>
      </c>
      <c r="W160" s="382" t="str">
        <f t="shared" si="18"/>
        <v/>
      </c>
      <c r="X160" s="386" t="str">
        <f>IF(F160="","",VLOOKUP(U160,'G-3 Multipliers'!$P$3:$Q$6,2,FALSE))</f>
        <v/>
      </c>
      <c r="Y160" s="390" t="str">
        <f t="shared" si="19"/>
        <v/>
      </c>
      <c r="Z160" s="390" t="str">
        <f t="shared" si="20"/>
        <v/>
      </c>
      <c r="AA160" s="117"/>
      <c r="AB160" s="118"/>
      <c r="AC160" s="120"/>
      <c r="AD160" s="120"/>
      <c r="AH160" s="30" t="str">
        <f>IFERROR(INDEX('G-6 Hedgerow Data'!$BJ$3:$BJ$15,MATCH(D160,'G-6 Hedgerow Data'!$B$3:$B$15,0)),"")</f>
        <v/>
      </c>
    </row>
    <row r="161" spans="2:34" ht="15">
      <c r="B161" s="110">
        <v>150</v>
      </c>
      <c r="C161" s="216"/>
      <c r="D161" s="63"/>
      <c r="E161" s="165"/>
      <c r="F161" s="362" t="str">
        <f>IF(D161="","",VLOOKUP(D161,'G-6 Hedgerow Data'!$B$2:$AG$15,2,FALSE))</f>
        <v/>
      </c>
      <c r="G161" s="386" t="str">
        <f>IF(D161="","",VLOOKUP(D161,'G-6 Hedgerow Data'!$B$2:$AG$15,3,FALSE))</f>
        <v/>
      </c>
      <c r="H161" s="55"/>
      <c r="I161" s="363" t="str">
        <f>IFERROR(IF(AND(F161="V.Low",OR(H161="Good",H161="Moderate")),"Error ▲",VLOOKUP(H161,'G-1 All Habitats'!$Z$2:$AA$9,2,FALSE)),"")</f>
        <v/>
      </c>
      <c r="J161" s="115"/>
      <c r="K161" s="382" t="str">
        <f>IF(J161="","",IF(VLOOKUP(J161,'G-3 Multipliers'!$L$3:$N$6,2,FALSE)=0,"Spatial Data Missing",VLOOKUP(J161,'G-3 Multipliers'!$L$3:$N$6,2,FALSE)))</f>
        <v/>
      </c>
      <c r="L161" s="386" t="str">
        <f>IF(J161="","",IF(VLOOKUP(J161,'G-3 Multipliers'!$L$3:$N$6,3,FALSE)=0,"Spatial Data Missing",VLOOKUP(J161,'G-3 Multipliers'!$L$3:$N$6,3,FALSE)))</f>
        <v/>
      </c>
      <c r="M161" s="160"/>
      <c r="N161" s="363" t="str">
        <f>IF(M161="","",IF(VLOOKUP(M161,'G-3 Multipliers'!$S$3:$T$10,2,FALSE)=0,"Spatial Data Missing ⚠",VLOOKUP(M161,'G-3 Multipliers'!$S$3:$T$10,2,FALSE)))</f>
        <v/>
      </c>
      <c r="O161" s="362" t="str">
        <f>IF(OR(D161="",H161=""),"",(INDEX('G-6 Hedgerow Data'!$E$3:$I$15,MATCH(D161,'G-6 Hedgerow Data'!$B$3:$B$15,0),MATCH(H161,'G-6 Hedgerow Data'!$E$2:$I$2,0))))</f>
        <v/>
      </c>
      <c r="P161" s="159"/>
      <c r="Q161" s="159"/>
      <c r="R161" s="370" t="str">
        <f t="shared" si="15"/>
        <v/>
      </c>
      <c r="S161" s="383" t="str">
        <f t="shared" si="16"/>
        <v/>
      </c>
      <c r="T161" s="384" t="str">
        <f t="shared" si="14"/>
        <v/>
      </c>
      <c r="U161" s="398" t="str">
        <f>IF(D161="","",VLOOKUP(D161,'G-6 Hedgerow Data'!$B$3:$AG$15,31,FALSE))</f>
        <v/>
      </c>
      <c r="V161" s="382" t="str">
        <f t="shared" si="17"/>
        <v/>
      </c>
      <c r="W161" s="382" t="str">
        <f t="shared" si="18"/>
        <v/>
      </c>
      <c r="X161" s="386" t="str">
        <f>IF(F161="","",VLOOKUP(U161,'G-3 Multipliers'!$P$3:$Q$6,2,FALSE))</f>
        <v/>
      </c>
      <c r="Y161" s="390" t="str">
        <f t="shared" si="19"/>
        <v/>
      </c>
      <c r="Z161" s="390" t="str">
        <f t="shared" si="20"/>
        <v/>
      </c>
      <c r="AA161" s="117"/>
      <c r="AB161" s="118"/>
      <c r="AC161" s="120"/>
      <c r="AD161" s="120"/>
      <c r="AH161" s="30" t="str">
        <f>IFERROR(INDEX('G-6 Hedgerow Data'!$BJ$3:$BJ$15,MATCH(D161,'G-6 Hedgerow Data'!$B$3:$B$15,0)),"")</f>
        <v/>
      </c>
    </row>
    <row r="162" spans="2:34" ht="15">
      <c r="B162" s="110">
        <v>151</v>
      </c>
      <c r="C162" s="216"/>
      <c r="D162" s="63"/>
      <c r="E162" s="165"/>
      <c r="F162" s="362" t="str">
        <f>IF(D162="","",VLOOKUP(D162,'G-6 Hedgerow Data'!$B$2:$AG$15,2,FALSE))</f>
        <v/>
      </c>
      <c r="G162" s="386" t="str">
        <f>IF(D162="","",VLOOKUP(D162,'G-6 Hedgerow Data'!$B$2:$AG$15,3,FALSE))</f>
        <v/>
      </c>
      <c r="H162" s="55"/>
      <c r="I162" s="363" t="str">
        <f>IFERROR(IF(AND(F162="V.Low",OR(H162="Good",H162="Moderate")),"Error ▲",VLOOKUP(H162,'G-1 All Habitats'!$Z$2:$AA$9,2,FALSE)),"")</f>
        <v/>
      </c>
      <c r="J162" s="115"/>
      <c r="K162" s="382" t="str">
        <f>IF(J162="","",IF(VLOOKUP(J162,'G-3 Multipliers'!$L$3:$N$6,2,FALSE)=0,"Spatial Data Missing",VLOOKUP(J162,'G-3 Multipliers'!$L$3:$N$6,2,FALSE)))</f>
        <v/>
      </c>
      <c r="L162" s="386" t="str">
        <f>IF(J162="","",IF(VLOOKUP(J162,'G-3 Multipliers'!$L$3:$N$6,3,FALSE)=0,"Spatial Data Missing",VLOOKUP(J162,'G-3 Multipliers'!$L$3:$N$6,3,FALSE)))</f>
        <v/>
      </c>
      <c r="M162" s="160"/>
      <c r="N162" s="363" t="str">
        <f>IF(M162="","",IF(VLOOKUP(M162,'G-3 Multipliers'!$S$3:$T$10,2,FALSE)=0,"Spatial Data Missing ⚠",VLOOKUP(M162,'G-3 Multipliers'!$S$3:$T$10,2,FALSE)))</f>
        <v/>
      </c>
      <c r="O162" s="362" t="str">
        <f>IF(OR(D162="",H162=""),"",(INDEX('G-6 Hedgerow Data'!$E$3:$I$15,MATCH(D162,'G-6 Hedgerow Data'!$B$3:$B$15,0),MATCH(H162,'G-6 Hedgerow Data'!$E$2:$I$2,0))))</f>
        <v/>
      </c>
      <c r="P162" s="159"/>
      <c r="Q162" s="159"/>
      <c r="R162" s="370" t="str">
        <f t="shared" si="15"/>
        <v/>
      </c>
      <c r="S162" s="383" t="str">
        <f t="shared" si="16"/>
        <v/>
      </c>
      <c r="T162" s="384" t="str">
        <f t="shared" si="14"/>
        <v/>
      </c>
      <c r="U162" s="398" t="str">
        <f>IF(D162="","",VLOOKUP(D162,'G-6 Hedgerow Data'!$B$3:$AG$15,31,FALSE))</f>
        <v/>
      </c>
      <c r="V162" s="382" t="str">
        <f t="shared" si="17"/>
        <v/>
      </c>
      <c r="W162" s="382" t="str">
        <f t="shared" si="18"/>
        <v/>
      </c>
      <c r="X162" s="386" t="str">
        <f>IF(F162="","",VLOOKUP(U162,'G-3 Multipliers'!$P$3:$Q$6,2,FALSE))</f>
        <v/>
      </c>
      <c r="Y162" s="390" t="str">
        <f t="shared" si="19"/>
        <v/>
      </c>
      <c r="Z162" s="390" t="str">
        <f t="shared" si="20"/>
        <v/>
      </c>
      <c r="AA162" s="117"/>
      <c r="AB162" s="118"/>
      <c r="AC162" s="120"/>
      <c r="AD162" s="120"/>
      <c r="AH162" s="30" t="str">
        <f>IFERROR(INDEX('G-6 Hedgerow Data'!$BJ$3:$BJ$15,MATCH(D162,'G-6 Hedgerow Data'!$B$3:$B$15,0)),"")</f>
        <v/>
      </c>
    </row>
    <row r="163" spans="2:34" ht="15">
      <c r="B163" s="110">
        <v>152</v>
      </c>
      <c r="C163" s="216"/>
      <c r="D163" s="63"/>
      <c r="E163" s="165"/>
      <c r="F163" s="362" t="str">
        <f>IF(D163="","",VLOOKUP(D163,'G-6 Hedgerow Data'!$B$2:$AG$15,2,FALSE))</f>
        <v/>
      </c>
      <c r="G163" s="386" t="str">
        <f>IF(D163="","",VLOOKUP(D163,'G-6 Hedgerow Data'!$B$2:$AG$15,3,FALSE))</f>
        <v/>
      </c>
      <c r="H163" s="55"/>
      <c r="I163" s="363" t="str">
        <f>IFERROR(IF(AND(F163="V.Low",OR(H163="Good",H163="Moderate")),"Error ▲",VLOOKUP(H163,'G-1 All Habitats'!$Z$2:$AA$9,2,FALSE)),"")</f>
        <v/>
      </c>
      <c r="J163" s="115"/>
      <c r="K163" s="382" t="str">
        <f>IF(J163="","",IF(VLOOKUP(J163,'G-3 Multipliers'!$L$3:$N$6,2,FALSE)=0,"Spatial Data Missing",VLOOKUP(J163,'G-3 Multipliers'!$L$3:$N$6,2,FALSE)))</f>
        <v/>
      </c>
      <c r="L163" s="386" t="str">
        <f>IF(J163="","",IF(VLOOKUP(J163,'G-3 Multipliers'!$L$3:$N$6,3,FALSE)=0,"Spatial Data Missing",VLOOKUP(J163,'G-3 Multipliers'!$L$3:$N$6,3,FALSE)))</f>
        <v/>
      </c>
      <c r="M163" s="160"/>
      <c r="N163" s="363" t="str">
        <f>IF(M163="","",IF(VLOOKUP(M163,'G-3 Multipliers'!$S$3:$T$10,2,FALSE)=0,"Spatial Data Missing ⚠",VLOOKUP(M163,'G-3 Multipliers'!$S$3:$T$10,2,FALSE)))</f>
        <v/>
      </c>
      <c r="O163" s="362" t="str">
        <f>IF(OR(D163="",H163=""),"",(INDEX('G-6 Hedgerow Data'!$E$3:$I$15,MATCH(D163,'G-6 Hedgerow Data'!$B$3:$B$15,0),MATCH(H163,'G-6 Hedgerow Data'!$E$2:$I$2,0))))</f>
        <v/>
      </c>
      <c r="P163" s="159"/>
      <c r="Q163" s="159"/>
      <c r="R163" s="370" t="str">
        <f t="shared" si="15"/>
        <v/>
      </c>
      <c r="S163" s="383" t="str">
        <f t="shared" si="16"/>
        <v/>
      </c>
      <c r="T163" s="384" t="str">
        <f t="shared" si="14"/>
        <v/>
      </c>
      <c r="U163" s="398" t="str">
        <f>IF(D163="","",VLOOKUP(D163,'G-6 Hedgerow Data'!$B$3:$AG$15,31,FALSE))</f>
        <v/>
      </c>
      <c r="V163" s="382" t="str">
        <f t="shared" si="17"/>
        <v/>
      </c>
      <c r="W163" s="382" t="str">
        <f t="shared" si="18"/>
        <v/>
      </c>
      <c r="X163" s="386" t="str">
        <f>IF(F163="","",VLOOKUP(U163,'G-3 Multipliers'!$P$3:$Q$6,2,FALSE))</f>
        <v/>
      </c>
      <c r="Y163" s="390" t="str">
        <f t="shared" si="19"/>
        <v/>
      </c>
      <c r="Z163" s="390" t="str">
        <f t="shared" si="20"/>
        <v/>
      </c>
      <c r="AA163" s="117"/>
      <c r="AB163" s="118"/>
      <c r="AC163" s="120"/>
      <c r="AD163" s="120"/>
      <c r="AH163" s="30" t="str">
        <f>IFERROR(INDEX('G-6 Hedgerow Data'!$BJ$3:$BJ$15,MATCH(D163,'G-6 Hedgerow Data'!$B$3:$B$15,0)),"")</f>
        <v/>
      </c>
    </row>
    <row r="164" spans="2:34" ht="15">
      <c r="B164" s="110">
        <v>153</v>
      </c>
      <c r="C164" s="216"/>
      <c r="D164" s="63"/>
      <c r="E164" s="165"/>
      <c r="F164" s="362" t="str">
        <f>IF(D164="","",VLOOKUP(D164,'G-6 Hedgerow Data'!$B$2:$AG$15,2,FALSE))</f>
        <v/>
      </c>
      <c r="G164" s="386" t="str">
        <f>IF(D164="","",VLOOKUP(D164,'G-6 Hedgerow Data'!$B$2:$AG$15,3,FALSE))</f>
        <v/>
      </c>
      <c r="H164" s="55"/>
      <c r="I164" s="363" t="str">
        <f>IFERROR(IF(AND(F164="V.Low",OR(H164="Good",H164="Moderate")),"Error ▲",VLOOKUP(H164,'G-1 All Habitats'!$Z$2:$AA$9,2,FALSE)),"")</f>
        <v/>
      </c>
      <c r="J164" s="115"/>
      <c r="K164" s="382" t="str">
        <f>IF(J164="","",IF(VLOOKUP(J164,'G-3 Multipliers'!$L$3:$N$6,2,FALSE)=0,"Spatial Data Missing",VLOOKUP(J164,'G-3 Multipliers'!$L$3:$N$6,2,FALSE)))</f>
        <v/>
      </c>
      <c r="L164" s="386" t="str">
        <f>IF(J164="","",IF(VLOOKUP(J164,'G-3 Multipliers'!$L$3:$N$6,3,FALSE)=0,"Spatial Data Missing",VLOOKUP(J164,'G-3 Multipliers'!$L$3:$N$6,3,FALSE)))</f>
        <v/>
      </c>
      <c r="M164" s="160"/>
      <c r="N164" s="363" t="str">
        <f>IF(M164="","",IF(VLOOKUP(M164,'G-3 Multipliers'!$S$3:$T$10,2,FALSE)=0,"Spatial Data Missing ⚠",VLOOKUP(M164,'G-3 Multipliers'!$S$3:$T$10,2,FALSE)))</f>
        <v/>
      </c>
      <c r="O164" s="362" t="str">
        <f>IF(OR(D164="",H164=""),"",(INDEX('G-6 Hedgerow Data'!$E$3:$I$15,MATCH(D164,'G-6 Hedgerow Data'!$B$3:$B$15,0),MATCH(H164,'G-6 Hedgerow Data'!$E$2:$I$2,0))))</f>
        <v/>
      </c>
      <c r="P164" s="159"/>
      <c r="Q164" s="159"/>
      <c r="R164" s="370" t="str">
        <f t="shared" si="15"/>
        <v/>
      </c>
      <c r="S164" s="383" t="str">
        <f t="shared" si="16"/>
        <v/>
      </c>
      <c r="T164" s="384" t="str">
        <f t="shared" si="14"/>
        <v/>
      </c>
      <c r="U164" s="398" t="str">
        <f>IF(D164="","",VLOOKUP(D164,'G-6 Hedgerow Data'!$B$3:$AG$15,31,FALSE))</f>
        <v/>
      </c>
      <c r="V164" s="382" t="str">
        <f t="shared" si="17"/>
        <v/>
      </c>
      <c r="W164" s="382" t="str">
        <f t="shared" si="18"/>
        <v/>
      </c>
      <c r="X164" s="386" t="str">
        <f>IF(F164="","",VLOOKUP(U164,'G-3 Multipliers'!$P$3:$Q$6,2,FALSE))</f>
        <v/>
      </c>
      <c r="Y164" s="390" t="str">
        <f t="shared" si="19"/>
        <v/>
      </c>
      <c r="Z164" s="390" t="str">
        <f t="shared" si="20"/>
        <v/>
      </c>
      <c r="AA164" s="117"/>
      <c r="AB164" s="118"/>
      <c r="AC164" s="120"/>
      <c r="AD164" s="120"/>
      <c r="AH164" s="30" t="str">
        <f>IFERROR(INDEX('G-6 Hedgerow Data'!$BJ$3:$BJ$15,MATCH(D164,'G-6 Hedgerow Data'!$B$3:$B$15,0)),"")</f>
        <v/>
      </c>
    </row>
    <row r="165" spans="2:34" ht="15">
      <c r="B165" s="110">
        <v>154</v>
      </c>
      <c r="C165" s="216"/>
      <c r="D165" s="63"/>
      <c r="E165" s="165"/>
      <c r="F165" s="362" t="str">
        <f>IF(D165="","",VLOOKUP(D165,'G-6 Hedgerow Data'!$B$2:$AG$15,2,FALSE))</f>
        <v/>
      </c>
      <c r="G165" s="386" t="str">
        <f>IF(D165="","",VLOOKUP(D165,'G-6 Hedgerow Data'!$B$2:$AG$15,3,FALSE))</f>
        <v/>
      </c>
      <c r="H165" s="55"/>
      <c r="I165" s="363" t="str">
        <f>IFERROR(IF(AND(F165="V.Low",OR(H165="Good",H165="Moderate")),"Error ▲",VLOOKUP(H165,'G-1 All Habitats'!$Z$2:$AA$9,2,FALSE)),"")</f>
        <v/>
      </c>
      <c r="J165" s="115"/>
      <c r="K165" s="382" t="str">
        <f>IF(J165="","",IF(VLOOKUP(J165,'G-3 Multipliers'!$L$3:$N$6,2,FALSE)=0,"Spatial Data Missing",VLOOKUP(J165,'G-3 Multipliers'!$L$3:$N$6,2,FALSE)))</f>
        <v/>
      </c>
      <c r="L165" s="386" t="str">
        <f>IF(J165="","",IF(VLOOKUP(J165,'G-3 Multipliers'!$L$3:$N$6,3,FALSE)=0,"Spatial Data Missing",VLOOKUP(J165,'G-3 Multipliers'!$L$3:$N$6,3,FALSE)))</f>
        <v/>
      </c>
      <c r="M165" s="160"/>
      <c r="N165" s="363" t="str">
        <f>IF(M165="","",IF(VLOOKUP(M165,'G-3 Multipliers'!$S$3:$T$10,2,FALSE)=0,"Spatial Data Missing ⚠",VLOOKUP(M165,'G-3 Multipliers'!$S$3:$T$10,2,FALSE)))</f>
        <v/>
      </c>
      <c r="O165" s="362" t="str">
        <f>IF(OR(D165="",H165=""),"",(INDEX('G-6 Hedgerow Data'!$E$3:$I$15,MATCH(D165,'G-6 Hedgerow Data'!$B$3:$B$15,0),MATCH(H165,'G-6 Hedgerow Data'!$E$2:$I$2,0))))</f>
        <v/>
      </c>
      <c r="P165" s="159"/>
      <c r="Q165" s="159"/>
      <c r="R165" s="370" t="str">
        <f t="shared" si="15"/>
        <v/>
      </c>
      <c r="S165" s="383" t="str">
        <f t="shared" si="16"/>
        <v/>
      </c>
      <c r="T165" s="384" t="str">
        <f t="shared" si="14"/>
        <v/>
      </c>
      <c r="U165" s="398" t="str">
        <f>IF(D165="","",VLOOKUP(D165,'G-6 Hedgerow Data'!$B$3:$AG$15,31,FALSE))</f>
        <v/>
      </c>
      <c r="V165" s="382" t="str">
        <f t="shared" si="17"/>
        <v/>
      </c>
      <c r="W165" s="382" t="str">
        <f t="shared" si="18"/>
        <v/>
      </c>
      <c r="X165" s="386" t="str">
        <f>IF(F165="","",VLOOKUP(U165,'G-3 Multipliers'!$P$3:$Q$6,2,FALSE))</f>
        <v/>
      </c>
      <c r="Y165" s="390" t="str">
        <f t="shared" si="19"/>
        <v/>
      </c>
      <c r="Z165" s="390" t="str">
        <f t="shared" si="20"/>
        <v/>
      </c>
      <c r="AA165" s="117"/>
      <c r="AB165" s="118"/>
      <c r="AC165" s="120"/>
      <c r="AD165" s="120"/>
      <c r="AH165" s="30" t="str">
        <f>IFERROR(INDEX('G-6 Hedgerow Data'!$BJ$3:$BJ$15,MATCH(D165,'G-6 Hedgerow Data'!$B$3:$B$15,0)),"")</f>
        <v/>
      </c>
    </row>
    <row r="166" spans="2:34" ht="15">
      <c r="B166" s="110">
        <v>155</v>
      </c>
      <c r="C166" s="216"/>
      <c r="D166" s="63"/>
      <c r="E166" s="165"/>
      <c r="F166" s="362" t="str">
        <f>IF(D166="","",VLOOKUP(D166,'G-6 Hedgerow Data'!$B$2:$AG$15,2,FALSE))</f>
        <v/>
      </c>
      <c r="G166" s="386" t="str">
        <f>IF(D166="","",VLOOKUP(D166,'G-6 Hedgerow Data'!$B$2:$AG$15,3,FALSE))</f>
        <v/>
      </c>
      <c r="H166" s="55"/>
      <c r="I166" s="363" t="str">
        <f>IFERROR(IF(AND(F166="V.Low",OR(H166="Good",H166="Moderate")),"Error ▲",VLOOKUP(H166,'G-1 All Habitats'!$Z$2:$AA$9,2,FALSE)),"")</f>
        <v/>
      </c>
      <c r="J166" s="115"/>
      <c r="K166" s="382" t="str">
        <f>IF(J166="","",IF(VLOOKUP(J166,'G-3 Multipliers'!$L$3:$N$6,2,FALSE)=0,"Spatial Data Missing",VLOOKUP(J166,'G-3 Multipliers'!$L$3:$N$6,2,FALSE)))</f>
        <v/>
      </c>
      <c r="L166" s="386" t="str">
        <f>IF(J166="","",IF(VLOOKUP(J166,'G-3 Multipliers'!$L$3:$N$6,3,FALSE)=0,"Spatial Data Missing",VLOOKUP(J166,'G-3 Multipliers'!$L$3:$N$6,3,FALSE)))</f>
        <v/>
      </c>
      <c r="M166" s="160"/>
      <c r="N166" s="363" t="str">
        <f>IF(M166="","",IF(VLOOKUP(M166,'G-3 Multipliers'!$S$3:$T$10,2,FALSE)=0,"Spatial Data Missing ⚠",VLOOKUP(M166,'G-3 Multipliers'!$S$3:$T$10,2,FALSE)))</f>
        <v/>
      </c>
      <c r="O166" s="362" t="str">
        <f>IF(OR(D166="",H166=""),"",(INDEX('G-6 Hedgerow Data'!$E$3:$I$15,MATCH(D166,'G-6 Hedgerow Data'!$B$3:$B$15,0),MATCH(H166,'G-6 Hedgerow Data'!$E$2:$I$2,0))))</f>
        <v/>
      </c>
      <c r="P166" s="159"/>
      <c r="Q166" s="159"/>
      <c r="R166" s="370" t="str">
        <f t="shared" si="15"/>
        <v/>
      </c>
      <c r="S166" s="383" t="str">
        <f t="shared" si="16"/>
        <v/>
      </c>
      <c r="T166" s="384" t="str">
        <f t="shared" si="14"/>
        <v/>
      </c>
      <c r="U166" s="398" t="str">
        <f>IF(D166="","",VLOOKUP(D166,'G-6 Hedgerow Data'!$B$3:$AG$15,31,FALSE))</f>
        <v/>
      </c>
      <c r="V166" s="382" t="str">
        <f t="shared" si="17"/>
        <v/>
      </c>
      <c r="W166" s="382" t="str">
        <f t="shared" si="18"/>
        <v/>
      </c>
      <c r="X166" s="386" t="str">
        <f>IF(F166="","",VLOOKUP(U166,'G-3 Multipliers'!$P$3:$Q$6,2,FALSE))</f>
        <v/>
      </c>
      <c r="Y166" s="390" t="str">
        <f t="shared" si="19"/>
        <v/>
      </c>
      <c r="Z166" s="390" t="str">
        <f t="shared" si="20"/>
        <v/>
      </c>
      <c r="AA166" s="117"/>
      <c r="AB166" s="118"/>
      <c r="AC166" s="120"/>
      <c r="AD166" s="120"/>
      <c r="AH166" s="30" t="str">
        <f>IFERROR(INDEX('G-6 Hedgerow Data'!$BJ$3:$BJ$15,MATCH(D166,'G-6 Hedgerow Data'!$B$3:$B$15,0)),"")</f>
        <v/>
      </c>
    </row>
    <row r="167" spans="2:34" ht="15">
      <c r="B167" s="110">
        <v>156</v>
      </c>
      <c r="C167" s="216"/>
      <c r="D167" s="63"/>
      <c r="E167" s="165"/>
      <c r="F167" s="362" t="str">
        <f>IF(D167="","",VLOOKUP(D167,'G-6 Hedgerow Data'!$B$2:$AG$15,2,FALSE))</f>
        <v/>
      </c>
      <c r="G167" s="386" t="str">
        <f>IF(D167="","",VLOOKUP(D167,'G-6 Hedgerow Data'!$B$2:$AG$15,3,FALSE))</f>
        <v/>
      </c>
      <c r="H167" s="55"/>
      <c r="I167" s="363" t="str">
        <f>IFERROR(IF(AND(F167="V.Low",OR(H167="Good",H167="Moderate")),"Error ▲",VLOOKUP(H167,'G-1 All Habitats'!$Z$2:$AA$9,2,FALSE)),"")</f>
        <v/>
      </c>
      <c r="J167" s="115"/>
      <c r="K167" s="382" t="str">
        <f>IF(J167="","",IF(VLOOKUP(J167,'G-3 Multipliers'!$L$3:$N$6,2,FALSE)=0,"Spatial Data Missing",VLOOKUP(J167,'G-3 Multipliers'!$L$3:$N$6,2,FALSE)))</f>
        <v/>
      </c>
      <c r="L167" s="386" t="str">
        <f>IF(J167="","",IF(VLOOKUP(J167,'G-3 Multipliers'!$L$3:$N$6,3,FALSE)=0,"Spatial Data Missing",VLOOKUP(J167,'G-3 Multipliers'!$L$3:$N$6,3,FALSE)))</f>
        <v/>
      </c>
      <c r="M167" s="160"/>
      <c r="N167" s="363" t="str">
        <f>IF(M167="","",IF(VLOOKUP(M167,'G-3 Multipliers'!$S$3:$T$10,2,FALSE)=0,"Spatial Data Missing ⚠",VLOOKUP(M167,'G-3 Multipliers'!$S$3:$T$10,2,FALSE)))</f>
        <v/>
      </c>
      <c r="O167" s="362" t="str">
        <f>IF(OR(D167="",H167=""),"",(INDEX('G-6 Hedgerow Data'!$E$3:$I$15,MATCH(D167,'G-6 Hedgerow Data'!$B$3:$B$15,0),MATCH(H167,'G-6 Hedgerow Data'!$E$2:$I$2,0))))</f>
        <v/>
      </c>
      <c r="P167" s="159"/>
      <c r="Q167" s="159"/>
      <c r="R167" s="370" t="str">
        <f t="shared" si="15"/>
        <v/>
      </c>
      <c r="S167" s="383" t="str">
        <f t="shared" si="16"/>
        <v/>
      </c>
      <c r="T167" s="384" t="str">
        <f t="shared" si="14"/>
        <v/>
      </c>
      <c r="U167" s="398" t="str">
        <f>IF(D167="","",VLOOKUP(D167,'G-6 Hedgerow Data'!$B$3:$AG$15,31,FALSE))</f>
        <v/>
      </c>
      <c r="V167" s="382" t="str">
        <f t="shared" si="17"/>
        <v/>
      </c>
      <c r="W167" s="382" t="str">
        <f t="shared" si="18"/>
        <v/>
      </c>
      <c r="X167" s="386" t="str">
        <f>IF(F167="","",VLOOKUP(U167,'G-3 Multipliers'!$P$3:$Q$6,2,FALSE))</f>
        <v/>
      </c>
      <c r="Y167" s="390" t="str">
        <f t="shared" si="19"/>
        <v/>
      </c>
      <c r="Z167" s="390" t="str">
        <f t="shared" si="20"/>
        <v/>
      </c>
      <c r="AA167" s="117"/>
      <c r="AB167" s="118"/>
      <c r="AC167" s="120"/>
      <c r="AD167" s="120"/>
      <c r="AH167" s="30" t="str">
        <f>IFERROR(INDEX('G-6 Hedgerow Data'!$BJ$3:$BJ$15,MATCH(D167,'G-6 Hedgerow Data'!$B$3:$B$15,0)),"")</f>
        <v/>
      </c>
    </row>
    <row r="168" spans="2:34" ht="15">
      <c r="B168" s="110">
        <v>157</v>
      </c>
      <c r="C168" s="216"/>
      <c r="D168" s="63"/>
      <c r="E168" s="165"/>
      <c r="F168" s="362" t="str">
        <f>IF(D168="","",VLOOKUP(D168,'G-6 Hedgerow Data'!$B$2:$AG$15,2,FALSE))</f>
        <v/>
      </c>
      <c r="G168" s="386" t="str">
        <f>IF(D168="","",VLOOKUP(D168,'G-6 Hedgerow Data'!$B$2:$AG$15,3,FALSE))</f>
        <v/>
      </c>
      <c r="H168" s="55"/>
      <c r="I168" s="363" t="str">
        <f>IFERROR(IF(AND(F168="V.Low",OR(H168="Good",H168="Moderate")),"Error ▲",VLOOKUP(H168,'G-1 All Habitats'!$Z$2:$AA$9,2,FALSE)),"")</f>
        <v/>
      </c>
      <c r="J168" s="115"/>
      <c r="K168" s="382" t="str">
        <f>IF(J168="","",IF(VLOOKUP(J168,'G-3 Multipliers'!$L$3:$N$6,2,FALSE)=0,"Spatial Data Missing",VLOOKUP(J168,'G-3 Multipliers'!$L$3:$N$6,2,FALSE)))</f>
        <v/>
      </c>
      <c r="L168" s="386" t="str">
        <f>IF(J168="","",IF(VLOOKUP(J168,'G-3 Multipliers'!$L$3:$N$6,3,FALSE)=0,"Spatial Data Missing",VLOOKUP(J168,'G-3 Multipliers'!$L$3:$N$6,3,FALSE)))</f>
        <v/>
      </c>
      <c r="M168" s="160"/>
      <c r="N168" s="363" t="str">
        <f>IF(M168="","",IF(VLOOKUP(M168,'G-3 Multipliers'!$S$3:$T$10,2,FALSE)=0,"Spatial Data Missing ⚠",VLOOKUP(M168,'G-3 Multipliers'!$S$3:$T$10,2,FALSE)))</f>
        <v/>
      </c>
      <c r="O168" s="362" t="str">
        <f>IF(OR(D168="",H168=""),"",(INDEX('G-6 Hedgerow Data'!$E$3:$I$15,MATCH(D168,'G-6 Hedgerow Data'!$B$3:$B$15,0),MATCH(H168,'G-6 Hedgerow Data'!$E$2:$I$2,0))))</f>
        <v/>
      </c>
      <c r="P168" s="159"/>
      <c r="Q168" s="159"/>
      <c r="R168" s="370" t="str">
        <f t="shared" si="15"/>
        <v/>
      </c>
      <c r="S168" s="383" t="str">
        <f t="shared" si="16"/>
        <v/>
      </c>
      <c r="T168" s="384" t="str">
        <f t="shared" si="14"/>
        <v/>
      </c>
      <c r="U168" s="398" t="str">
        <f>IF(D168="","",VLOOKUP(D168,'G-6 Hedgerow Data'!$B$3:$AG$15,31,FALSE))</f>
        <v/>
      </c>
      <c r="V168" s="382" t="str">
        <f t="shared" si="17"/>
        <v/>
      </c>
      <c r="W168" s="382" t="str">
        <f t="shared" si="18"/>
        <v/>
      </c>
      <c r="X168" s="386" t="str">
        <f>IF(F168="","",VLOOKUP(U168,'G-3 Multipliers'!$P$3:$Q$6,2,FALSE))</f>
        <v/>
      </c>
      <c r="Y168" s="390" t="str">
        <f t="shared" si="19"/>
        <v/>
      </c>
      <c r="Z168" s="390" t="str">
        <f t="shared" si="20"/>
        <v/>
      </c>
      <c r="AA168" s="117"/>
      <c r="AB168" s="118"/>
      <c r="AC168" s="120"/>
      <c r="AD168" s="120"/>
      <c r="AH168" s="30" t="str">
        <f>IFERROR(INDEX('G-6 Hedgerow Data'!$BJ$3:$BJ$15,MATCH(D168,'G-6 Hedgerow Data'!$B$3:$B$15,0)),"")</f>
        <v/>
      </c>
    </row>
    <row r="169" spans="2:34" ht="15">
      <c r="B169" s="110">
        <v>158</v>
      </c>
      <c r="C169" s="216"/>
      <c r="D169" s="63"/>
      <c r="E169" s="165"/>
      <c r="F169" s="362" t="str">
        <f>IF(D169="","",VLOOKUP(D169,'G-6 Hedgerow Data'!$B$2:$AG$15,2,FALSE))</f>
        <v/>
      </c>
      <c r="G169" s="386" t="str">
        <f>IF(D169="","",VLOOKUP(D169,'G-6 Hedgerow Data'!$B$2:$AG$15,3,FALSE))</f>
        <v/>
      </c>
      <c r="H169" s="55"/>
      <c r="I169" s="363" t="str">
        <f>IFERROR(IF(AND(F169="V.Low",OR(H169="Good",H169="Moderate")),"Error ▲",VLOOKUP(H169,'G-1 All Habitats'!$Z$2:$AA$9,2,FALSE)),"")</f>
        <v/>
      </c>
      <c r="J169" s="115"/>
      <c r="K169" s="382" t="str">
        <f>IF(J169="","",IF(VLOOKUP(J169,'G-3 Multipliers'!$L$3:$N$6,2,FALSE)=0,"Spatial Data Missing",VLOOKUP(J169,'G-3 Multipliers'!$L$3:$N$6,2,FALSE)))</f>
        <v/>
      </c>
      <c r="L169" s="386" t="str">
        <f>IF(J169="","",IF(VLOOKUP(J169,'G-3 Multipliers'!$L$3:$N$6,3,FALSE)=0,"Spatial Data Missing",VLOOKUP(J169,'G-3 Multipliers'!$L$3:$N$6,3,FALSE)))</f>
        <v/>
      </c>
      <c r="M169" s="160"/>
      <c r="N169" s="363" t="str">
        <f>IF(M169="","",IF(VLOOKUP(M169,'G-3 Multipliers'!$S$3:$T$10,2,FALSE)=0,"Spatial Data Missing ⚠",VLOOKUP(M169,'G-3 Multipliers'!$S$3:$T$10,2,FALSE)))</f>
        <v/>
      </c>
      <c r="O169" s="362" t="str">
        <f>IF(OR(D169="",H169=""),"",(INDEX('G-6 Hedgerow Data'!$E$3:$I$15,MATCH(D169,'G-6 Hedgerow Data'!$B$3:$B$15,0),MATCH(H169,'G-6 Hedgerow Data'!$E$2:$I$2,0))))</f>
        <v/>
      </c>
      <c r="P169" s="159"/>
      <c r="Q169" s="159"/>
      <c r="R169" s="370" t="str">
        <f t="shared" si="15"/>
        <v/>
      </c>
      <c r="S169" s="383" t="str">
        <f t="shared" si="16"/>
        <v/>
      </c>
      <c r="T169" s="384" t="str">
        <f t="shared" si="14"/>
        <v/>
      </c>
      <c r="U169" s="398" t="str">
        <f>IF(D169="","",VLOOKUP(D169,'G-6 Hedgerow Data'!$B$3:$AG$15,31,FALSE))</f>
        <v/>
      </c>
      <c r="V169" s="382" t="str">
        <f t="shared" si="17"/>
        <v/>
      </c>
      <c r="W169" s="382" t="str">
        <f t="shared" si="18"/>
        <v/>
      </c>
      <c r="X169" s="386" t="str">
        <f>IF(F169="","",VLOOKUP(U169,'G-3 Multipliers'!$P$3:$Q$6,2,FALSE))</f>
        <v/>
      </c>
      <c r="Y169" s="390" t="str">
        <f t="shared" si="19"/>
        <v/>
      </c>
      <c r="Z169" s="390" t="str">
        <f t="shared" si="20"/>
        <v/>
      </c>
      <c r="AA169" s="117"/>
      <c r="AB169" s="118"/>
      <c r="AC169" s="120"/>
      <c r="AD169" s="120"/>
      <c r="AH169" s="30" t="str">
        <f>IFERROR(INDEX('G-6 Hedgerow Data'!$BJ$3:$BJ$15,MATCH(D169,'G-6 Hedgerow Data'!$B$3:$B$15,0)),"")</f>
        <v/>
      </c>
    </row>
    <row r="170" spans="2:34" ht="15">
      <c r="B170" s="110">
        <v>159</v>
      </c>
      <c r="C170" s="216"/>
      <c r="D170" s="63"/>
      <c r="E170" s="165"/>
      <c r="F170" s="362" t="str">
        <f>IF(D170="","",VLOOKUP(D170,'G-6 Hedgerow Data'!$B$2:$AG$15,2,FALSE))</f>
        <v/>
      </c>
      <c r="G170" s="386" t="str">
        <f>IF(D170="","",VLOOKUP(D170,'G-6 Hedgerow Data'!$B$2:$AG$15,3,FALSE))</f>
        <v/>
      </c>
      <c r="H170" s="55"/>
      <c r="I170" s="363" t="str">
        <f>IFERROR(IF(AND(F170="V.Low",OR(H170="Good",H170="Moderate")),"Error ▲",VLOOKUP(H170,'G-1 All Habitats'!$Z$2:$AA$9,2,FALSE)),"")</f>
        <v/>
      </c>
      <c r="J170" s="115"/>
      <c r="K170" s="382" t="str">
        <f>IF(J170="","",IF(VLOOKUP(J170,'G-3 Multipliers'!$L$3:$N$6,2,FALSE)=0,"Spatial Data Missing",VLOOKUP(J170,'G-3 Multipliers'!$L$3:$N$6,2,FALSE)))</f>
        <v/>
      </c>
      <c r="L170" s="386" t="str">
        <f>IF(J170="","",IF(VLOOKUP(J170,'G-3 Multipliers'!$L$3:$N$6,3,FALSE)=0,"Spatial Data Missing",VLOOKUP(J170,'G-3 Multipliers'!$L$3:$N$6,3,FALSE)))</f>
        <v/>
      </c>
      <c r="M170" s="160"/>
      <c r="N170" s="363" t="str">
        <f>IF(M170="","",IF(VLOOKUP(M170,'G-3 Multipliers'!$S$3:$T$10,2,FALSE)=0,"Spatial Data Missing ⚠",VLOOKUP(M170,'G-3 Multipliers'!$S$3:$T$10,2,FALSE)))</f>
        <v/>
      </c>
      <c r="O170" s="362" t="str">
        <f>IF(OR(D170="",H170=""),"",(INDEX('G-6 Hedgerow Data'!$E$3:$I$15,MATCH(D170,'G-6 Hedgerow Data'!$B$3:$B$15,0),MATCH(H170,'G-6 Hedgerow Data'!$E$2:$I$2,0))))</f>
        <v/>
      </c>
      <c r="P170" s="159"/>
      <c r="Q170" s="159"/>
      <c r="R170" s="370" t="str">
        <f t="shared" si="15"/>
        <v/>
      </c>
      <c r="S170" s="383" t="str">
        <f t="shared" si="16"/>
        <v/>
      </c>
      <c r="T170" s="384" t="str">
        <f t="shared" si="14"/>
        <v/>
      </c>
      <c r="U170" s="398" t="str">
        <f>IF(D170="","",VLOOKUP(D170,'G-6 Hedgerow Data'!$B$3:$AG$15,31,FALSE))</f>
        <v/>
      </c>
      <c r="V170" s="382" t="str">
        <f t="shared" si="17"/>
        <v/>
      </c>
      <c r="W170" s="382" t="str">
        <f t="shared" si="18"/>
        <v/>
      </c>
      <c r="X170" s="386" t="str">
        <f>IF(F170="","",VLOOKUP(U170,'G-3 Multipliers'!$P$3:$Q$6,2,FALSE))</f>
        <v/>
      </c>
      <c r="Y170" s="390" t="str">
        <f t="shared" si="19"/>
        <v/>
      </c>
      <c r="Z170" s="390" t="str">
        <f t="shared" si="20"/>
        <v/>
      </c>
      <c r="AA170" s="117"/>
      <c r="AB170" s="118"/>
      <c r="AC170" s="120"/>
      <c r="AD170" s="120"/>
      <c r="AH170" s="30" t="str">
        <f>IFERROR(INDEX('G-6 Hedgerow Data'!$BJ$3:$BJ$15,MATCH(D170,'G-6 Hedgerow Data'!$B$3:$B$15,0)),"")</f>
        <v/>
      </c>
    </row>
    <row r="171" spans="2:34" ht="15">
      <c r="B171" s="110">
        <v>160</v>
      </c>
      <c r="C171" s="216"/>
      <c r="D171" s="63"/>
      <c r="E171" s="165"/>
      <c r="F171" s="362" t="str">
        <f>IF(D171="","",VLOOKUP(D171,'G-6 Hedgerow Data'!$B$2:$AG$15,2,FALSE))</f>
        <v/>
      </c>
      <c r="G171" s="386" t="str">
        <f>IF(D171="","",VLOOKUP(D171,'G-6 Hedgerow Data'!$B$2:$AG$15,3,FALSE))</f>
        <v/>
      </c>
      <c r="H171" s="55"/>
      <c r="I171" s="363" t="str">
        <f>IFERROR(IF(AND(F171="V.Low",OR(H171="Good",H171="Moderate")),"Error ▲",VLOOKUP(H171,'G-1 All Habitats'!$Z$2:$AA$9,2,FALSE)),"")</f>
        <v/>
      </c>
      <c r="J171" s="115"/>
      <c r="K171" s="382" t="str">
        <f>IF(J171="","",IF(VLOOKUP(J171,'G-3 Multipliers'!$L$3:$N$6,2,FALSE)=0,"Spatial Data Missing",VLOOKUP(J171,'G-3 Multipliers'!$L$3:$N$6,2,FALSE)))</f>
        <v/>
      </c>
      <c r="L171" s="386" t="str">
        <f>IF(J171="","",IF(VLOOKUP(J171,'G-3 Multipliers'!$L$3:$N$6,3,FALSE)=0,"Spatial Data Missing",VLOOKUP(J171,'G-3 Multipliers'!$L$3:$N$6,3,FALSE)))</f>
        <v/>
      </c>
      <c r="M171" s="160"/>
      <c r="N171" s="363" t="str">
        <f>IF(M171="","",IF(VLOOKUP(M171,'G-3 Multipliers'!$S$3:$T$10,2,FALSE)=0,"Spatial Data Missing ⚠",VLOOKUP(M171,'G-3 Multipliers'!$S$3:$T$10,2,FALSE)))</f>
        <v/>
      </c>
      <c r="O171" s="362" t="str">
        <f>IF(OR(D171="",H171=""),"",(INDEX('G-6 Hedgerow Data'!$E$3:$I$15,MATCH(D171,'G-6 Hedgerow Data'!$B$3:$B$15,0),MATCH(H171,'G-6 Hedgerow Data'!$E$2:$I$2,0))))</f>
        <v/>
      </c>
      <c r="P171" s="159"/>
      <c r="Q171" s="159"/>
      <c r="R171" s="370" t="str">
        <f t="shared" si="15"/>
        <v/>
      </c>
      <c r="S171" s="383" t="str">
        <f t="shared" si="16"/>
        <v/>
      </c>
      <c r="T171" s="384" t="str">
        <f t="shared" si="14"/>
        <v/>
      </c>
      <c r="U171" s="398" t="str">
        <f>IF(D171="","",VLOOKUP(D171,'G-6 Hedgerow Data'!$B$3:$AG$15,31,FALSE))</f>
        <v/>
      </c>
      <c r="V171" s="382" t="str">
        <f t="shared" si="17"/>
        <v/>
      </c>
      <c r="W171" s="382" t="str">
        <f t="shared" si="18"/>
        <v/>
      </c>
      <c r="X171" s="386" t="str">
        <f>IF(F171="","",VLOOKUP(U171,'G-3 Multipliers'!$P$3:$Q$6,2,FALSE))</f>
        <v/>
      </c>
      <c r="Y171" s="390" t="str">
        <f t="shared" si="19"/>
        <v/>
      </c>
      <c r="Z171" s="390" t="str">
        <f t="shared" si="20"/>
        <v/>
      </c>
      <c r="AA171" s="117"/>
      <c r="AB171" s="118"/>
      <c r="AC171" s="120"/>
      <c r="AD171" s="120"/>
      <c r="AH171" s="30" t="str">
        <f>IFERROR(INDEX('G-6 Hedgerow Data'!$BJ$3:$BJ$15,MATCH(D171,'G-6 Hedgerow Data'!$B$3:$B$15,0)),"")</f>
        <v/>
      </c>
    </row>
    <row r="172" spans="2:34" ht="15">
      <c r="B172" s="110">
        <v>161</v>
      </c>
      <c r="C172" s="216"/>
      <c r="D172" s="63"/>
      <c r="E172" s="165"/>
      <c r="F172" s="362" t="str">
        <f>IF(D172="","",VLOOKUP(D172,'G-6 Hedgerow Data'!$B$2:$AG$15,2,FALSE))</f>
        <v/>
      </c>
      <c r="G172" s="386" t="str">
        <f>IF(D172="","",VLOOKUP(D172,'G-6 Hedgerow Data'!$B$2:$AG$15,3,FALSE))</f>
        <v/>
      </c>
      <c r="H172" s="55"/>
      <c r="I172" s="363" t="str">
        <f>IFERROR(IF(AND(F172="V.Low",OR(H172="Good",H172="Moderate")),"Error ▲",VLOOKUP(H172,'G-1 All Habitats'!$Z$2:$AA$9,2,FALSE)),"")</f>
        <v/>
      </c>
      <c r="J172" s="115"/>
      <c r="K172" s="382" t="str">
        <f>IF(J172="","",IF(VLOOKUP(J172,'G-3 Multipliers'!$L$3:$N$6,2,FALSE)=0,"Spatial Data Missing",VLOOKUP(J172,'G-3 Multipliers'!$L$3:$N$6,2,FALSE)))</f>
        <v/>
      </c>
      <c r="L172" s="386" t="str">
        <f>IF(J172="","",IF(VLOOKUP(J172,'G-3 Multipliers'!$L$3:$N$6,3,FALSE)=0,"Spatial Data Missing",VLOOKUP(J172,'G-3 Multipliers'!$L$3:$N$6,3,FALSE)))</f>
        <v/>
      </c>
      <c r="M172" s="160"/>
      <c r="N172" s="363" t="str">
        <f>IF(M172="","",IF(VLOOKUP(M172,'G-3 Multipliers'!$S$3:$T$10,2,FALSE)=0,"Spatial Data Missing ⚠",VLOOKUP(M172,'G-3 Multipliers'!$S$3:$T$10,2,FALSE)))</f>
        <v/>
      </c>
      <c r="O172" s="362" t="str">
        <f>IF(OR(D172="",H172=""),"",(INDEX('G-6 Hedgerow Data'!$E$3:$I$15,MATCH(D172,'G-6 Hedgerow Data'!$B$3:$B$15,0),MATCH(H172,'G-6 Hedgerow Data'!$E$2:$I$2,0))))</f>
        <v/>
      </c>
      <c r="P172" s="159"/>
      <c r="Q172" s="159"/>
      <c r="R172" s="370" t="str">
        <f t="shared" si="15"/>
        <v/>
      </c>
      <c r="S172" s="383" t="str">
        <f t="shared" si="16"/>
        <v/>
      </c>
      <c r="T172" s="384" t="str">
        <f t="shared" si="14"/>
        <v/>
      </c>
      <c r="U172" s="398" t="str">
        <f>IF(D172="","",VLOOKUP(D172,'G-6 Hedgerow Data'!$B$3:$AG$15,31,FALSE))</f>
        <v/>
      </c>
      <c r="V172" s="382" t="str">
        <f t="shared" si="17"/>
        <v/>
      </c>
      <c r="W172" s="382" t="str">
        <f t="shared" si="18"/>
        <v/>
      </c>
      <c r="X172" s="386" t="str">
        <f>IF(F172="","",VLOOKUP(U172,'G-3 Multipliers'!$P$3:$Q$6,2,FALSE))</f>
        <v/>
      </c>
      <c r="Y172" s="390" t="str">
        <f t="shared" si="19"/>
        <v/>
      </c>
      <c r="Z172" s="390" t="str">
        <f t="shared" si="20"/>
        <v/>
      </c>
      <c r="AA172" s="117"/>
      <c r="AB172" s="118"/>
      <c r="AC172" s="120"/>
      <c r="AD172" s="120"/>
      <c r="AH172" s="30" t="str">
        <f>IFERROR(INDEX('G-6 Hedgerow Data'!$BJ$3:$BJ$15,MATCH(D172,'G-6 Hedgerow Data'!$B$3:$B$15,0)),"")</f>
        <v/>
      </c>
    </row>
    <row r="173" spans="2:34" ht="15">
      <c r="B173" s="110">
        <v>162</v>
      </c>
      <c r="C173" s="216"/>
      <c r="D173" s="63"/>
      <c r="E173" s="165"/>
      <c r="F173" s="362" t="str">
        <f>IF(D173="","",VLOOKUP(D173,'G-6 Hedgerow Data'!$B$2:$AG$15,2,FALSE))</f>
        <v/>
      </c>
      <c r="G173" s="386" t="str">
        <f>IF(D173="","",VLOOKUP(D173,'G-6 Hedgerow Data'!$B$2:$AG$15,3,FALSE))</f>
        <v/>
      </c>
      <c r="H173" s="55"/>
      <c r="I173" s="363" t="str">
        <f>IFERROR(IF(AND(F173="V.Low",OR(H173="Good",H173="Moderate")),"Error ▲",VLOOKUP(H173,'G-1 All Habitats'!$Z$2:$AA$9,2,FALSE)),"")</f>
        <v/>
      </c>
      <c r="J173" s="115"/>
      <c r="K173" s="382" t="str">
        <f>IF(J173="","",IF(VLOOKUP(J173,'G-3 Multipliers'!$L$3:$N$6,2,FALSE)=0,"Spatial Data Missing",VLOOKUP(J173,'G-3 Multipliers'!$L$3:$N$6,2,FALSE)))</f>
        <v/>
      </c>
      <c r="L173" s="386" t="str">
        <f>IF(J173="","",IF(VLOOKUP(J173,'G-3 Multipliers'!$L$3:$N$6,3,FALSE)=0,"Spatial Data Missing",VLOOKUP(J173,'G-3 Multipliers'!$L$3:$N$6,3,FALSE)))</f>
        <v/>
      </c>
      <c r="M173" s="160"/>
      <c r="N173" s="363" t="str">
        <f>IF(M173="","",IF(VLOOKUP(M173,'G-3 Multipliers'!$S$3:$T$10,2,FALSE)=0,"Spatial Data Missing ⚠",VLOOKUP(M173,'G-3 Multipliers'!$S$3:$T$10,2,FALSE)))</f>
        <v/>
      </c>
      <c r="O173" s="362" t="str">
        <f>IF(OR(D173="",H173=""),"",(INDEX('G-6 Hedgerow Data'!$E$3:$I$15,MATCH(D173,'G-6 Hedgerow Data'!$B$3:$B$15,0),MATCH(H173,'G-6 Hedgerow Data'!$E$2:$I$2,0))))</f>
        <v/>
      </c>
      <c r="P173" s="159"/>
      <c r="Q173" s="159"/>
      <c r="R173" s="370" t="str">
        <f t="shared" si="15"/>
        <v/>
      </c>
      <c r="S173" s="383" t="str">
        <f t="shared" si="16"/>
        <v/>
      </c>
      <c r="T173" s="384" t="str">
        <f t="shared" si="14"/>
        <v/>
      </c>
      <c r="U173" s="398" t="str">
        <f>IF(D173="","",VLOOKUP(D173,'G-6 Hedgerow Data'!$B$3:$AG$15,31,FALSE))</f>
        <v/>
      </c>
      <c r="V173" s="382" t="str">
        <f t="shared" si="17"/>
        <v/>
      </c>
      <c r="W173" s="382" t="str">
        <f t="shared" si="18"/>
        <v/>
      </c>
      <c r="X173" s="386" t="str">
        <f>IF(F173="","",VLOOKUP(U173,'G-3 Multipliers'!$P$3:$Q$6,2,FALSE))</f>
        <v/>
      </c>
      <c r="Y173" s="390" t="str">
        <f t="shared" si="19"/>
        <v/>
      </c>
      <c r="Z173" s="390" t="str">
        <f t="shared" si="20"/>
        <v/>
      </c>
      <c r="AA173" s="117"/>
      <c r="AB173" s="118"/>
      <c r="AC173" s="120"/>
      <c r="AD173" s="120"/>
      <c r="AH173" s="30" t="str">
        <f>IFERROR(INDEX('G-6 Hedgerow Data'!$BJ$3:$BJ$15,MATCH(D173,'G-6 Hedgerow Data'!$B$3:$B$15,0)),"")</f>
        <v/>
      </c>
    </row>
    <row r="174" spans="2:34" ht="15">
      <c r="B174" s="110">
        <v>163</v>
      </c>
      <c r="C174" s="216"/>
      <c r="D174" s="63"/>
      <c r="E174" s="165"/>
      <c r="F174" s="362" t="str">
        <f>IF(D174="","",VLOOKUP(D174,'G-6 Hedgerow Data'!$B$2:$AG$15,2,FALSE))</f>
        <v/>
      </c>
      <c r="G174" s="386" t="str">
        <f>IF(D174="","",VLOOKUP(D174,'G-6 Hedgerow Data'!$B$2:$AG$15,3,FALSE))</f>
        <v/>
      </c>
      <c r="H174" s="55"/>
      <c r="I174" s="363" t="str">
        <f>IFERROR(IF(AND(F174="V.Low",OR(H174="Good",H174="Moderate")),"Error ▲",VLOOKUP(H174,'G-1 All Habitats'!$Z$2:$AA$9,2,FALSE)),"")</f>
        <v/>
      </c>
      <c r="J174" s="115"/>
      <c r="K174" s="382" t="str">
        <f>IF(J174="","",IF(VLOOKUP(J174,'G-3 Multipliers'!$L$3:$N$6,2,FALSE)=0,"Spatial Data Missing",VLOOKUP(J174,'G-3 Multipliers'!$L$3:$N$6,2,FALSE)))</f>
        <v/>
      </c>
      <c r="L174" s="386" t="str">
        <f>IF(J174="","",IF(VLOOKUP(J174,'G-3 Multipliers'!$L$3:$N$6,3,FALSE)=0,"Spatial Data Missing",VLOOKUP(J174,'G-3 Multipliers'!$L$3:$N$6,3,FALSE)))</f>
        <v/>
      </c>
      <c r="M174" s="160"/>
      <c r="N174" s="363" t="str">
        <f>IF(M174="","",IF(VLOOKUP(M174,'G-3 Multipliers'!$S$3:$T$10,2,FALSE)=0,"Spatial Data Missing ⚠",VLOOKUP(M174,'G-3 Multipliers'!$S$3:$T$10,2,FALSE)))</f>
        <v/>
      </c>
      <c r="O174" s="362" t="str">
        <f>IF(OR(D174="",H174=""),"",(INDEX('G-6 Hedgerow Data'!$E$3:$I$15,MATCH(D174,'G-6 Hedgerow Data'!$B$3:$B$15,0),MATCH(H174,'G-6 Hedgerow Data'!$E$2:$I$2,0))))</f>
        <v/>
      </c>
      <c r="P174" s="159"/>
      <c r="Q174" s="159"/>
      <c r="R174" s="370" t="str">
        <f t="shared" si="15"/>
        <v/>
      </c>
      <c r="S174" s="383" t="str">
        <f t="shared" si="16"/>
        <v/>
      </c>
      <c r="T174" s="384" t="str">
        <f t="shared" si="14"/>
        <v/>
      </c>
      <c r="U174" s="398" t="str">
        <f>IF(D174="","",VLOOKUP(D174,'G-6 Hedgerow Data'!$B$3:$AG$15,31,FALSE))</f>
        <v/>
      </c>
      <c r="V174" s="382" t="str">
        <f t="shared" si="17"/>
        <v/>
      </c>
      <c r="W174" s="382" t="str">
        <f t="shared" si="18"/>
        <v/>
      </c>
      <c r="X174" s="386" t="str">
        <f>IF(F174="","",VLOOKUP(U174,'G-3 Multipliers'!$P$3:$Q$6,2,FALSE))</f>
        <v/>
      </c>
      <c r="Y174" s="390" t="str">
        <f t="shared" si="19"/>
        <v/>
      </c>
      <c r="Z174" s="390" t="str">
        <f t="shared" si="20"/>
        <v/>
      </c>
      <c r="AA174" s="117"/>
      <c r="AB174" s="118"/>
      <c r="AC174" s="120"/>
      <c r="AD174" s="120"/>
      <c r="AH174" s="30" t="str">
        <f>IFERROR(INDEX('G-6 Hedgerow Data'!$BJ$3:$BJ$15,MATCH(D174,'G-6 Hedgerow Data'!$B$3:$B$15,0)),"")</f>
        <v/>
      </c>
    </row>
    <row r="175" spans="2:34" ht="15">
      <c r="B175" s="110">
        <v>164</v>
      </c>
      <c r="C175" s="216"/>
      <c r="D175" s="63"/>
      <c r="E175" s="165"/>
      <c r="F175" s="362" t="str">
        <f>IF(D175="","",VLOOKUP(D175,'G-6 Hedgerow Data'!$B$2:$AG$15,2,FALSE))</f>
        <v/>
      </c>
      <c r="G175" s="386" t="str">
        <f>IF(D175="","",VLOOKUP(D175,'G-6 Hedgerow Data'!$B$2:$AG$15,3,FALSE))</f>
        <v/>
      </c>
      <c r="H175" s="55"/>
      <c r="I175" s="363" t="str">
        <f>IFERROR(IF(AND(F175="V.Low",OR(H175="Good",H175="Moderate")),"Error ▲",VLOOKUP(H175,'G-1 All Habitats'!$Z$2:$AA$9,2,FALSE)),"")</f>
        <v/>
      </c>
      <c r="J175" s="115"/>
      <c r="K175" s="382" t="str">
        <f>IF(J175="","",IF(VLOOKUP(J175,'G-3 Multipliers'!$L$3:$N$6,2,FALSE)=0,"Spatial Data Missing",VLOOKUP(J175,'G-3 Multipliers'!$L$3:$N$6,2,FALSE)))</f>
        <v/>
      </c>
      <c r="L175" s="386" t="str">
        <f>IF(J175="","",IF(VLOOKUP(J175,'G-3 Multipliers'!$L$3:$N$6,3,FALSE)=0,"Spatial Data Missing",VLOOKUP(J175,'G-3 Multipliers'!$L$3:$N$6,3,FALSE)))</f>
        <v/>
      </c>
      <c r="M175" s="160"/>
      <c r="N175" s="363" t="str">
        <f>IF(M175="","",IF(VLOOKUP(M175,'G-3 Multipliers'!$S$3:$T$10,2,FALSE)=0,"Spatial Data Missing ⚠",VLOOKUP(M175,'G-3 Multipliers'!$S$3:$T$10,2,FALSE)))</f>
        <v/>
      </c>
      <c r="O175" s="362" t="str">
        <f>IF(OR(D175="",H175=""),"",(INDEX('G-6 Hedgerow Data'!$E$3:$I$15,MATCH(D175,'G-6 Hedgerow Data'!$B$3:$B$15,0),MATCH(H175,'G-6 Hedgerow Data'!$E$2:$I$2,0))))</f>
        <v/>
      </c>
      <c r="P175" s="159"/>
      <c r="Q175" s="159"/>
      <c r="R175" s="370" t="str">
        <f t="shared" si="15"/>
        <v/>
      </c>
      <c r="S175" s="383" t="str">
        <f t="shared" si="16"/>
        <v/>
      </c>
      <c r="T175" s="384" t="str">
        <f t="shared" si="14"/>
        <v/>
      </c>
      <c r="U175" s="398" t="str">
        <f>IF(D175="","",VLOOKUP(D175,'G-6 Hedgerow Data'!$B$3:$AG$15,31,FALSE))</f>
        <v/>
      </c>
      <c r="V175" s="382" t="str">
        <f t="shared" si="17"/>
        <v/>
      </c>
      <c r="W175" s="382" t="str">
        <f t="shared" si="18"/>
        <v/>
      </c>
      <c r="X175" s="386" t="str">
        <f>IF(F175="","",VLOOKUP(U175,'G-3 Multipliers'!$P$3:$Q$6,2,FALSE))</f>
        <v/>
      </c>
      <c r="Y175" s="390" t="str">
        <f t="shared" si="19"/>
        <v/>
      </c>
      <c r="Z175" s="390" t="str">
        <f t="shared" si="20"/>
        <v/>
      </c>
      <c r="AA175" s="117"/>
      <c r="AB175" s="118"/>
      <c r="AC175" s="120"/>
      <c r="AD175" s="120"/>
      <c r="AH175" s="30" t="str">
        <f>IFERROR(INDEX('G-6 Hedgerow Data'!$BJ$3:$BJ$15,MATCH(D175,'G-6 Hedgerow Data'!$B$3:$B$15,0)),"")</f>
        <v/>
      </c>
    </row>
    <row r="176" spans="2:34" ht="15">
      <c r="B176" s="110">
        <v>165</v>
      </c>
      <c r="C176" s="216"/>
      <c r="D176" s="63"/>
      <c r="E176" s="165"/>
      <c r="F176" s="362" t="str">
        <f>IF(D176="","",VLOOKUP(D176,'G-6 Hedgerow Data'!$B$2:$AG$15,2,FALSE))</f>
        <v/>
      </c>
      <c r="G176" s="386" t="str">
        <f>IF(D176="","",VLOOKUP(D176,'G-6 Hedgerow Data'!$B$2:$AG$15,3,FALSE))</f>
        <v/>
      </c>
      <c r="H176" s="55"/>
      <c r="I176" s="363" t="str">
        <f>IFERROR(IF(AND(F176="V.Low",OR(H176="Good",H176="Moderate")),"Error ▲",VLOOKUP(H176,'G-1 All Habitats'!$Z$2:$AA$9,2,FALSE)),"")</f>
        <v/>
      </c>
      <c r="J176" s="115"/>
      <c r="K176" s="382" t="str">
        <f>IF(J176="","",IF(VLOOKUP(J176,'G-3 Multipliers'!$L$3:$N$6,2,FALSE)=0,"Spatial Data Missing",VLOOKUP(J176,'G-3 Multipliers'!$L$3:$N$6,2,FALSE)))</f>
        <v/>
      </c>
      <c r="L176" s="386" t="str">
        <f>IF(J176="","",IF(VLOOKUP(J176,'G-3 Multipliers'!$L$3:$N$6,3,FALSE)=0,"Spatial Data Missing",VLOOKUP(J176,'G-3 Multipliers'!$L$3:$N$6,3,FALSE)))</f>
        <v/>
      </c>
      <c r="M176" s="160"/>
      <c r="N176" s="363" t="str">
        <f>IF(M176="","",IF(VLOOKUP(M176,'G-3 Multipliers'!$S$3:$T$10,2,FALSE)=0,"Spatial Data Missing ⚠",VLOOKUP(M176,'G-3 Multipliers'!$S$3:$T$10,2,FALSE)))</f>
        <v/>
      </c>
      <c r="O176" s="362" t="str">
        <f>IF(OR(D176="",H176=""),"",(INDEX('G-6 Hedgerow Data'!$E$3:$I$15,MATCH(D176,'G-6 Hedgerow Data'!$B$3:$B$15,0),MATCH(H176,'G-6 Hedgerow Data'!$E$2:$I$2,0))))</f>
        <v/>
      </c>
      <c r="P176" s="159"/>
      <c r="Q176" s="159"/>
      <c r="R176" s="370" t="str">
        <f t="shared" si="15"/>
        <v/>
      </c>
      <c r="S176" s="383" t="str">
        <f t="shared" si="16"/>
        <v/>
      </c>
      <c r="T176" s="384" t="str">
        <f t="shared" si="14"/>
        <v/>
      </c>
      <c r="U176" s="398" t="str">
        <f>IF(D176="","",VLOOKUP(D176,'G-6 Hedgerow Data'!$B$3:$AG$15,31,FALSE))</f>
        <v/>
      </c>
      <c r="V176" s="382" t="str">
        <f t="shared" si="17"/>
        <v/>
      </c>
      <c r="W176" s="382" t="str">
        <f t="shared" si="18"/>
        <v/>
      </c>
      <c r="X176" s="386" t="str">
        <f>IF(F176="","",VLOOKUP(U176,'G-3 Multipliers'!$P$3:$Q$6,2,FALSE))</f>
        <v/>
      </c>
      <c r="Y176" s="390" t="str">
        <f t="shared" si="19"/>
        <v/>
      </c>
      <c r="Z176" s="390" t="str">
        <f t="shared" si="20"/>
        <v/>
      </c>
      <c r="AA176" s="117"/>
      <c r="AB176" s="118"/>
      <c r="AC176" s="120"/>
      <c r="AD176" s="120"/>
      <c r="AH176" s="30" t="str">
        <f>IFERROR(INDEX('G-6 Hedgerow Data'!$BJ$3:$BJ$15,MATCH(D176,'G-6 Hedgerow Data'!$B$3:$B$15,0)),"")</f>
        <v/>
      </c>
    </row>
    <row r="177" spans="2:34" ht="15">
      <c r="B177" s="110">
        <v>166</v>
      </c>
      <c r="C177" s="216"/>
      <c r="D177" s="63"/>
      <c r="E177" s="165"/>
      <c r="F177" s="362" t="str">
        <f>IF(D177="","",VLOOKUP(D177,'G-6 Hedgerow Data'!$B$2:$AG$15,2,FALSE))</f>
        <v/>
      </c>
      <c r="G177" s="386" t="str">
        <f>IF(D177="","",VLOOKUP(D177,'G-6 Hedgerow Data'!$B$2:$AG$15,3,FALSE))</f>
        <v/>
      </c>
      <c r="H177" s="55"/>
      <c r="I177" s="363" t="str">
        <f>IFERROR(IF(AND(F177="V.Low",OR(H177="Good",H177="Moderate")),"Error ▲",VLOOKUP(H177,'G-1 All Habitats'!$Z$2:$AA$9,2,FALSE)),"")</f>
        <v/>
      </c>
      <c r="J177" s="115"/>
      <c r="K177" s="382" t="str">
        <f>IF(J177="","",IF(VLOOKUP(J177,'G-3 Multipliers'!$L$3:$N$6,2,FALSE)=0,"Spatial Data Missing",VLOOKUP(J177,'G-3 Multipliers'!$L$3:$N$6,2,FALSE)))</f>
        <v/>
      </c>
      <c r="L177" s="386" t="str">
        <f>IF(J177="","",IF(VLOOKUP(J177,'G-3 Multipliers'!$L$3:$N$6,3,FALSE)=0,"Spatial Data Missing",VLOOKUP(J177,'G-3 Multipliers'!$L$3:$N$6,3,FALSE)))</f>
        <v/>
      </c>
      <c r="M177" s="160"/>
      <c r="N177" s="363" t="str">
        <f>IF(M177="","",IF(VLOOKUP(M177,'G-3 Multipliers'!$S$3:$T$10,2,FALSE)=0,"Spatial Data Missing ⚠",VLOOKUP(M177,'G-3 Multipliers'!$S$3:$T$10,2,FALSE)))</f>
        <v/>
      </c>
      <c r="O177" s="362" t="str">
        <f>IF(OR(D177="",H177=""),"",(INDEX('G-6 Hedgerow Data'!$E$3:$I$15,MATCH(D177,'G-6 Hedgerow Data'!$B$3:$B$15,0),MATCH(H177,'G-6 Hedgerow Data'!$E$2:$I$2,0))))</f>
        <v/>
      </c>
      <c r="P177" s="159"/>
      <c r="Q177" s="159"/>
      <c r="R177" s="370" t="str">
        <f t="shared" si="15"/>
        <v/>
      </c>
      <c r="S177" s="383" t="str">
        <f t="shared" si="16"/>
        <v/>
      </c>
      <c r="T177" s="384" t="str">
        <f t="shared" si="14"/>
        <v/>
      </c>
      <c r="U177" s="398" t="str">
        <f>IF(D177="","",VLOOKUP(D177,'G-6 Hedgerow Data'!$B$3:$AG$15,31,FALSE))</f>
        <v/>
      </c>
      <c r="V177" s="382" t="str">
        <f t="shared" si="17"/>
        <v/>
      </c>
      <c r="W177" s="382" t="str">
        <f t="shared" si="18"/>
        <v/>
      </c>
      <c r="X177" s="386" t="str">
        <f>IF(F177="","",VLOOKUP(U177,'G-3 Multipliers'!$P$3:$Q$6,2,FALSE))</f>
        <v/>
      </c>
      <c r="Y177" s="390" t="str">
        <f t="shared" si="19"/>
        <v/>
      </c>
      <c r="Z177" s="390" t="str">
        <f t="shared" si="20"/>
        <v/>
      </c>
      <c r="AA177" s="117"/>
      <c r="AB177" s="118"/>
      <c r="AC177" s="120"/>
      <c r="AD177" s="120"/>
      <c r="AH177" s="30" t="str">
        <f>IFERROR(INDEX('G-6 Hedgerow Data'!$BJ$3:$BJ$15,MATCH(D177,'G-6 Hedgerow Data'!$B$3:$B$15,0)),"")</f>
        <v/>
      </c>
    </row>
    <row r="178" spans="2:34" ht="15">
      <c r="B178" s="110">
        <v>167</v>
      </c>
      <c r="C178" s="216"/>
      <c r="D178" s="63"/>
      <c r="E178" s="165"/>
      <c r="F178" s="362" t="str">
        <f>IF(D178="","",VLOOKUP(D178,'G-6 Hedgerow Data'!$B$2:$AG$15,2,FALSE))</f>
        <v/>
      </c>
      <c r="G178" s="386" t="str">
        <f>IF(D178="","",VLOOKUP(D178,'G-6 Hedgerow Data'!$B$2:$AG$15,3,FALSE))</f>
        <v/>
      </c>
      <c r="H178" s="55"/>
      <c r="I178" s="363" t="str">
        <f>IFERROR(IF(AND(F178="V.Low",OR(H178="Good",H178="Moderate")),"Error ▲",VLOOKUP(H178,'G-1 All Habitats'!$Z$2:$AA$9,2,FALSE)),"")</f>
        <v/>
      </c>
      <c r="J178" s="115"/>
      <c r="K178" s="382" t="str">
        <f>IF(J178="","",IF(VLOOKUP(J178,'G-3 Multipliers'!$L$3:$N$6,2,FALSE)=0,"Spatial Data Missing",VLOOKUP(J178,'G-3 Multipliers'!$L$3:$N$6,2,FALSE)))</f>
        <v/>
      </c>
      <c r="L178" s="386" t="str">
        <f>IF(J178="","",IF(VLOOKUP(J178,'G-3 Multipliers'!$L$3:$N$6,3,FALSE)=0,"Spatial Data Missing",VLOOKUP(J178,'G-3 Multipliers'!$L$3:$N$6,3,FALSE)))</f>
        <v/>
      </c>
      <c r="M178" s="160"/>
      <c r="N178" s="363" t="str">
        <f>IF(M178="","",IF(VLOOKUP(M178,'G-3 Multipliers'!$S$3:$T$10,2,FALSE)=0,"Spatial Data Missing ⚠",VLOOKUP(M178,'G-3 Multipliers'!$S$3:$T$10,2,FALSE)))</f>
        <v/>
      </c>
      <c r="O178" s="362" t="str">
        <f>IF(OR(D178="",H178=""),"",(INDEX('G-6 Hedgerow Data'!$E$3:$I$15,MATCH(D178,'G-6 Hedgerow Data'!$B$3:$B$15,0),MATCH(H178,'G-6 Hedgerow Data'!$E$2:$I$2,0))))</f>
        <v/>
      </c>
      <c r="P178" s="159"/>
      <c r="Q178" s="159"/>
      <c r="R178" s="370" t="str">
        <f t="shared" si="15"/>
        <v/>
      </c>
      <c r="S178" s="383" t="str">
        <f t="shared" si="16"/>
        <v/>
      </c>
      <c r="T178" s="384" t="str">
        <f t="shared" si="14"/>
        <v/>
      </c>
      <c r="U178" s="398" t="str">
        <f>IF(D178="","",VLOOKUP(D178,'G-6 Hedgerow Data'!$B$3:$AG$15,31,FALSE))</f>
        <v/>
      </c>
      <c r="V178" s="382" t="str">
        <f t="shared" si="17"/>
        <v/>
      </c>
      <c r="W178" s="382" t="str">
        <f t="shared" si="18"/>
        <v/>
      </c>
      <c r="X178" s="386" t="str">
        <f>IF(F178="","",VLOOKUP(U178,'G-3 Multipliers'!$P$3:$Q$6,2,FALSE))</f>
        <v/>
      </c>
      <c r="Y178" s="390" t="str">
        <f t="shared" si="19"/>
        <v/>
      </c>
      <c r="Z178" s="390" t="str">
        <f t="shared" si="20"/>
        <v/>
      </c>
      <c r="AA178" s="117"/>
      <c r="AB178" s="118"/>
      <c r="AC178" s="120"/>
      <c r="AD178" s="120"/>
      <c r="AH178" s="30" t="str">
        <f>IFERROR(INDEX('G-6 Hedgerow Data'!$BJ$3:$BJ$15,MATCH(D178,'G-6 Hedgerow Data'!$B$3:$B$15,0)),"")</f>
        <v/>
      </c>
    </row>
    <row r="179" spans="2:34" ht="15">
      <c r="B179" s="110">
        <v>168</v>
      </c>
      <c r="C179" s="216"/>
      <c r="D179" s="63"/>
      <c r="E179" s="165"/>
      <c r="F179" s="362" t="str">
        <f>IF(D179="","",VLOOKUP(D179,'G-6 Hedgerow Data'!$B$2:$AG$15,2,FALSE))</f>
        <v/>
      </c>
      <c r="G179" s="386" t="str">
        <f>IF(D179="","",VLOOKUP(D179,'G-6 Hedgerow Data'!$B$2:$AG$15,3,FALSE))</f>
        <v/>
      </c>
      <c r="H179" s="55"/>
      <c r="I179" s="363" t="str">
        <f>IFERROR(IF(AND(F179="V.Low",OR(H179="Good",H179="Moderate")),"Error ▲",VLOOKUP(H179,'G-1 All Habitats'!$Z$2:$AA$9,2,FALSE)),"")</f>
        <v/>
      </c>
      <c r="J179" s="115"/>
      <c r="K179" s="382" t="str">
        <f>IF(J179="","",IF(VLOOKUP(J179,'G-3 Multipliers'!$L$3:$N$6,2,FALSE)=0,"Spatial Data Missing",VLOOKUP(J179,'G-3 Multipliers'!$L$3:$N$6,2,FALSE)))</f>
        <v/>
      </c>
      <c r="L179" s="386" t="str">
        <f>IF(J179="","",IF(VLOOKUP(J179,'G-3 Multipliers'!$L$3:$N$6,3,FALSE)=0,"Spatial Data Missing",VLOOKUP(J179,'G-3 Multipliers'!$L$3:$N$6,3,FALSE)))</f>
        <v/>
      </c>
      <c r="M179" s="160"/>
      <c r="N179" s="363" t="str">
        <f>IF(M179="","",IF(VLOOKUP(M179,'G-3 Multipliers'!$S$3:$T$10,2,FALSE)=0,"Spatial Data Missing ⚠",VLOOKUP(M179,'G-3 Multipliers'!$S$3:$T$10,2,FALSE)))</f>
        <v/>
      </c>
      <c r="O179" s="362" t="str">
        <f>IF(OR(D179="",H179=""),"",(INDEX('G-6 Hedgerow Data'!$E$3:$I$15,MATCH(D179,'G-6 Hedgerow Data'!$B$3:$B$15,0),MATCH(H179,'G-6 Hedgerow Data'!$E$2:$I$2,0))))</f>
        <v/>
      </c>
      <c r="P179" s="159"/>
      <c r="Q179" s="159"/>
      <c r="R179" s="370" t="str">
        <f t="shared" si="15"/>
        <v/>
      </c>
      <c r="S179" s="383" t="str">
        <f t="shared" si="16"/>
        <v/>
      </c>
      <c r="T179" s="384" t="str">
        <f t="shared" si="14"/>
        <v/>
      </c>
      <c r="U179" s="398" t="str">
        <f>IF(D179="","",VLOOKUP(D179,'G-6 Hedgerow Data'!$B$3:$AG$15,31,FALSE))</f>
        <v/>
      </c>
      <c r="V179" s="382" t="str">
        <f t="shared" si="17"/>
        <v/>
      </c>
      <c r="W179" s="382" t="str">
        <f t="shared" si="18"/>
        <v/>
      </c>
      <c r="X179" s="386" t="str">
        <f>IF(F179="","",VLOOKUP(U179,'G-3 Multipliers'!$P$3:$Q$6,2,FALSE))</f>
        <v/>
      </c>
      <c r="Y179" s="390" t="str">
        <f t="shared" si="19"/>
        <v/>
      </c>
      <c r="Z179" s="390" t="str">
        <f t="shared" si="20"/>
        <v/>
      </c>
      <c r="AA179" s="117"/>
      <c r="AB179" s="118"/>
      <c r="AC179" s="120"/>
      <c r="AD179" s="120"/>
      <c r="AH179" s="30" t="str">
        <f>IFERROR(INDEX('G-6 Hedgerow Data'!$BJ$3:$BJ$15,MATCH(D179,'G-6 Hedgerow Data'!$B$3:$B$15,0)),"")</f>
        <v/>
      </c>
    </row>
    <row r="180" spans="2:34" ht="15">
      <c r="B180" s="110">
        <v>169</v>
      </c>
      <c r="C180" s="216"/>
      <c r="D180" s="63"/>
      <c r="E180" s="165"/>
      <c r="F180" s="362" t="str">
        <f>IF(D180="","",VLOOKUP(D180,'G-6 Hedgerow Data'!$B$2:$AG$15,2,FALSE))</f>
        <v/>
      </c>
      <c r="G180" s="386" t="str">
        <f>IF(D180="","",VLOOKUP(D180,'G-6 Hedgerow Data'!$B$2:$AG$15,3,FALSE))</f>
        <v/>
      </c>
      <c r="H180" s="55"/>
      <c r="I180" s="363" t="str">
        <f>IFERROR(IF(AND(F180="V.Low",OR(H180="Good",H180="Moderate")),"Error ▲",VLOOKUP(H180,'G-1 All Habitats'!$Z$2:$AA$9,2,FALSE)),"")</f>
        <v/>
      </c>
      <c r="J180" s="115"/>
      <c r="K180" s="382" t="str">
        <f>IF(J180="","",IF(VLOOKUP(J180,'G-3 Multipliers'!$L$3:$N$6,2,FALSE)=0,"Spatial Data Missing",VLOOKUP(J180,'G-3 Multipliers'!$L$3:$N$6,2,FALSE)))</f>
        <v/>
      </c>
      <c r="L180" s="386" t="str">
        <f>IF(J180="","",IF(VLOOKUP(J180,'G-3 Multipliers'!$L$3:$N$6,3,FALSE)=0,"Spatial Data Missing",VLOOKUP(J180,'G-3 Multipliers'!$L$3:$N$6,3,FALSE)))</f>
        <v/>
      </c>
      <c r="M180" s="160"/>
      <c r="N180" s="363" t="str">
        <f>IF(M180="","",IF(VLOOKUP(M180,'G-3 Multipliers'!$S$3:$T$10,2,FALSE)=0,"Spatial Data Missing ⚠",VLOOKUP(M180,'G-3 Multipliers'!$S$3:$T$10,2,FALSE)))</f>
        <v/>
      </c>
      <c r="O180" s="362" t="str">
        <f>IF(OR(D180="",H180=""),"",(INDEX('G-6 Hedgerow Data'!$E$3:$I$15,MATCH(D180,'G-6 Hedgerow Data'!$B$3:$B$15,0),MATCH(H180,'G-6 Hedgerow Data'!$E$2:$I$2,0))))</f>
        <v/>
      </c>
      <c r="P180" s="159"/>
      <c r="Q180" s="159"/>
      <c r="R180" s="370" t="str">
        <f t="shared" si="15"/>
        <v/>
      </c>
      <c r="S180" s="383" t="str">
        <f t="shared" si="16"/>
        <v/>
      </c>
      <c r="T180" s="384" t="str">
        <f t="shared" si="14"/>
        <v/>
      </c>
      <c r="U180" s="398" t="str">
        <f>IF(D180="","",VLOOKUP(D180,'G-6 Hedgerow Data'!$B$3:$AG$15,31,FALSE))</f>
        <v/>
      </c>
      <c r="V180" s="382" t="str">
        <f t="shared" si="17"/>
        <v/>
      </c>
      <c r="W180" s="382" t="str">
        <f t="shared" si="18"/>
        <v/>
      </c>
      <c r="X180" s="386" t="str">
        <f>IF(F180="","",VLOOKUP(U180,'G-3 Multipliers'!$P$3:$Q$6,2,FALSE))</f>
        <v/>
      </c>
      <c r="Y180" s="390" t="str">
        <f t="shared" si="19"/>
        <v/>
      </c>
      <c r="Z180" s="390" t="str">
        <f t="shared" si="20"/>
        <v/>
      </c>
      <c r="AA180" s="117"/>
      <c r="AB180" s="118"/>
      <c r="AC180" s="120"/>
      <c r="AD180" s="120"/>
      <c r="AH180" s="30" t="str">
        <f>IFERROR(INDEX('G-6 Hedgerow Data'!$BJ$3:$BJ$15,MATCH(D180,'G-6 Hedgerow Data'!$B$3:$B$15,0)),"")</f>
        <v/>
      </c>
    </row>
    <row r="181" spans="2:34" ht="15">
      <c r="B181" s="110">
        <v>170</v>
      </c>
      <c r="C181" s="216"/>
      <c r="D181" s="63"/>
      <c r="E181" s="165"/>
      <c r="F181" s="362" t="str">
        <f>IF(D181="","",VLOOKUP(D181,'G-6 Hedgerow Data'!$B$2:$AG$15,2,FALSE))</f>
        <v/>
      </c>
      <c r="G181" s="386" t="str">
        <f>IF(D181="","",VLOOKUP(D181,'G-6 Hedgerow Data'!$B$2:$AG$15,3,FALSE))</f>
        <v/>
      </c>
      <c r="H181" s="55"/>
      <c r="I181" s="363" t="str">
        <f>IFERROR(IF(AND(F181="V.Low",OR(H181="Good",H181="Moderate")),"Error ▲",VLOOKUP(H181,'G-1 All Habitats'!$Z$2:$AA$9,2,FALSE)),"")</f>
        <v/>
      </c>
      <c r="J181" s="115"/>
      <c r="K181" s="382" t="str">
        <f>IF(J181="","",IF(VLOOKUP(J181,'G-3 Multipliers'!$L$3:$N$6,2,FALSE)=0,"Spatial Data Missing",VLOOKUP(J181,'G-3 Multipliers'!$L$3:$N$6,2,FALSE)))</f>
        <v/>
      </c>
      <c r="L181" s="386" t="str">
        <f>IF(J181="","",IF(VLOOKUP(J181,'G-3 Multipliers'!$L$3:$N$6,3,FALSE)=0,"Spatial Data Missing",VLOOKUP(J181,'G-3 Multipliers'!$L$3:$N$6,3,FALSE)))</f>
        <v/>
      </c>
      <c r="M181" s="160"/>
      <c r="N181" s="363" t="str">
        <f>IF(M181="","",IF(VLOOKUP(M181,'G-3 Multipliers'!$S$3:$T$10,2,FALSE)=0,"Spatial Data Missing ⚠",VLOOKUP(M181,'G-3 Multipliers'!$S$3:$T$10,2,FALSE)))</f>
        <v/>
      </c>
      <c r="O181" s="362" t="str">
        <f>IF(OR(D181="",H181=""),"",(INDEX('G-6 Hedgerow Data'!$E$3:$I$15,MATCH(D181,'G-6 Hedgerow Data'!$B$3:$B$15,0),MATCH(H181,'G-6 Hedgerow Data'!$E$2:$I$2,0))))</f>
        <v/>
      </c>
      <c r="P181" s="159"/>
      <c r="Q181" s="159"/>
      <c r="R181" s="370" t="str">
        <f t="shared" si="15"/>
        <v/>
      </c>
      <c r="S181" s="383" t="str">
        <f t="shared" si="16"/>
        <v/>
      </c>
      <c r="T181" s="384" t="str">
        <f t="shared" si="14"/>
        <v/>
      </c>
      <c r="U181" s="398" t="str">
        <f>IF(D181="","",VLOOKUP(D181,'G-6 Hedgerow Data'!$B$3:$AG$15,31,FALSE))</f>
        <v/>
      </c>
      <c r="V181" s="382" t="str">
        <f t="shared" si="17"/>
        <v/>
      </c>
      <c r="W181" s="382" t="str">
        <f t="shared" si="18"/>
        <v/>
      </c>
      <c r="X181" s="386" t="str">
        <f>IF(F181="","",VLOOKUP(U181,'G-3 Multipliers'!$P$3:$Q$6,2,FALSE))</f>
        <v/>
      </c>
      <c r="Y181" s="390" t="str">
        <f t="shared" si="19"/>
        <v/>
      </c>
      <c r="Z181" s="390" t="str">
        <f t="shared" si="20"/>
        <v/>
      </c>
      <c r="AA181" s="117"/>
      <c r="AB181" s="118"/>
      <c r="AC181" s="120"/>
      <c r="AD181" s="120"/>
      <c r="AH181" s="30" t="str">
        <f>IFERROR(INDEX('G-6 Hedgerow Data'!$BJ$3:$BJ$15,MATCH(D181,'G-6 Hedgerow Data'!$B$3:$B$15,0)),"")</f>
        <v/>
      </c>
    </row>
    <row r="182" spans="2:34" ht="15">
      <c r="B182" s="110">
        <v>171</v>
      </c>
      <c r="C182" s="216"/>
      <c r="D182" s="63"/>
      <c r="E182" s="165"/>
      <c r="F182" s="362" t="str">
        <f>IF(D182="","",VLOOKUP(D182,'G-6 Hedgerow Data'!$B$2:$AG$15,2,FALSE))</f>
        <v/>
      </c>
      <c r="G182" s="386" t="str">
        <f>IF(D182="","",VLOOKUP(D182,'G-6 Hedgerow Data'!$B$2:$AG$15,3,FALSE))</f>
        <v/>
      </c>
      <c r="H182" s="55"/>
      <c r="I182" s="363" t="str">
        <f>IFERROR(IF(AND(F182="V.Low",OR(H182="Good",H182="Moderate")),"Error ▲",VLOOKUP(H182,'G-1 All Habitats'!$Z$2:$AA$9,2,FALSE)),"")</f>
        <v/>
      </c>
      <c r="J182" s="115"/>
      <c r="K182" s="382" t="str">
        <f>IF(J182="","",IF(VLOOKUP(J182,'G-3 Multipliers'!$L$3:$N$6,2,FALSE)=0,"Spatial Data Missing",VLOOKUP(J182,'G-3 Multipliers'!$L$3:$N$6,2,FALSE)))</f>
        <v/>
      </c>
      <c r="L182" s="386" t="str">
        <f>IF(J182="","",IF(VLOOKUP(J182,'G-3 Multipliers'!$L$3:$N$6,3,FALSE)=0,"Spatial Data Missing",VLOOKUP(J182,'G-3 Multipliers'!$L$3:$N$6,3,FALSE)))</f>
        <v/>
      </c>
      <c r="M182" s="160"/>
      <c r="N182" s="363" t="str">
        <f>IF(M182="","",IF(VLOOKUP(M182,'G-3 Multipliers'!$S$3:$T$10,2,FALSE)=0,"Spatial Data Missing ⚠",VLOOKUP(M182,'G-3 Multipliers'!$S$3:$T$10,2,FALSE)))</f>
        <v/>
      </c>
      <c r="O182" s="362" t="str">
        <f>IF(OR(D182="",H182=""),"",(INDEX('G-6 Hedgerow Data'!$E$3:$I$15,MATCH(D182,'G-6 Hedgerow Data'!$B$3:$B$15,0),MATCH(H182,'G-6 Hedgerow Data'!$E$2:$I$2,0))))</f>
        <v/>
      </c>
      <c r="P182" s="159"/>
      <c r="Q182" s="159"/>
      <c r="R182" s="370" t="str">
        <f t="shared" si="15"/>
        <v/>
      </c>
      <c r="S182" s="383" t="str">
        <f t="shared" si="16"/>
        <v/>
      </c>
      <c r="T182" s="384" t="str">
        <f t="shared" si="14"/>
        <v/>
      </c>
      <c r="U182" s="398" t="str">
        <f>IF(D182="","",VLOOKUP(D182,'G-6 Hedgerow Data'!$B$3:$AG$15,31,FALSE))</f>
        <v/>
      </c>
      <c r="V182" s="382" t="str">
        <f t="shared" si="17"/>
        <v/>
      </c>
      <c r="W182" s="382" t="str">
        <f t="shared" si="18"/>
        <v/>
      </c>
      <c r="X182" s="386" t="str">
        <f>IF(F182="","",VLOOKUP(U182,'G-3 Multipliers'!$P$3:$Q$6,2,FALSE))</f>
        <v/>
      </c>
      <c r="Y182" s="390" t="str">
        <f t="shared" si="19"/>
        <v/>
      </c>
      <c r="Z182" s="390" t="str">
        <f t="shared" si="20"/>
        <v/>
      </c>
      <c r="AA182" s="117"/>
      <c r="AB182" s="118"/>
      <c r="AC182" s="120"/>
      <c r="AD182" s="120"/>
      <c r="AH182" s="30" t="str">
        <f>IFERROR(INDEX('G-6 Hedgerow Data'!$BJ$3:$BJ$15,MATCH(D182,'G-6 Hedgerow Data'!$B$3:$B$15,0)),"")</f>
        <v/>
      </c>
    </row>
    <row r="183" spans="2:34" ht="15">
      <c r="B183" s="110">
        <v>172</v>
      </c>
      <c r="C183" s="216"/>
      <c r="D183" s="63"/>
      <c r="E183" s="165"/>
      <c r="F183" s="362" t="str">
        <f>IF(D183="","",VLOOKUP(D183,'G-6 Hedgerow Data'!$B$2:$AG$15,2,FALSE))</f>
        <v/>
      </c>
      <c r="G183" s="386" t="str">
        <f>IF(D183="","",VLOOKUP(D183,'G-6 Hedgerow Data'!$B$2:$AG$15,3,FALSE))</f>
        <v/>
      </c>
      <c r="H183" s="55"/>
      <c r="I183" s="363" t="str">
        <f>IFERROR(IF(AND(F183="V.Low",OR(H183="Good",H183="Moderate")),"Error ▲",VLOOKUP(H183,'G-1 All Habitats'!$Z$2:$AA$9,2,FALSE)),"")</f>
        <v/>
      </c>
      <c r="J183" s="115"/>
      <c r="K183" s="382" t="str">
        <f>IF(J183="","",IF(VLOOKUP(J183,'G-3 Multipliers'!$L$3:$N$6,2,FALSE)=0,"Spatial Data Missing",VLOOKUP(J183,'G-3 Multipliers'!$L$3:$N$6,2,FALSE)))</f>
        <v/>
      </c>
      <c r="L183" s="386" t="str">
        <f>IF(J183="","",IF(VLOOKUP(J183,'G-3 Multipliers'!$L$3:$N$6,3,FALSE)=0,"Spatial Data Missing",VLOOKUP(J183,'G-3 Multipliers'!$L$3:$N$6,3,FALSE)))</f>
        <v/>
      </c>
      <c r="M183" s="160"/>
      <c r="N183" s="363" t="str">
        <f>IF(M183="","",IF(VLOOKUP(M183,'G-3 Multipliers'!$S$3:$T$10,2,FALSE)=0,"Spatial Data Missing ⚠",VLOOKUP(M183,'G-3 Multipliers'!$S$3:$T$10,2,FALSE)))</f>
        <v/>
      </c>
      <c r="O183" s="362" t="str">
        <f>IF(OR(D183="",H183=""),"",(INDEX('G-6 Hedgerow Data'!$E$3:$I$15,MATCH(D183,'G-6 Hedgerow Data'!$B$3:$B$15,0),MATCH(H183,'G-6 Hedgerow Data'!$E$2:$I$2,0))))</f>
        <v/>
      </c>
      <c r="P183" s="159"/>
      <c r="Q183" s="159"/>
      <c r="R183" s="370" t="str">
        <f t="shared" si="15"/>
        <v/>
      </c>
      <c r="S183" s="383" t="str">
        <f t="shared" si="16"/>
        <v/>
      </c>
      <c r="T183" s="384" t="str">
        <f t="shared" si="14"/>
        <v/>
      </c>
      <c r="U183" s="398" t="str">
        <f>IF(D183="","",VLOOKUP(D183,'G-6 Hedgerow Data'!$B$3:$AG$15,31,FALSE))</f>
        <v/>
      </c>
      <c r="V183" s="382" t="str">
        <f t="shared" si="17"/>
        <v/>
      </c>
      <c r="W183" s="382" t="str">
        <f t="shared" si="18"/>
        <v/>
      </c>
      <c r="X183" s="386" t="str">
        <f>IF(F183="","",VLOOKUP(U183,'G-3 Multipliers'!$P$3:$Q$6,2,FALSE))</f>
        <v/>
      </c>
      <c r="Y183" s="390" t="str">
        <f t="shared" si="19"/>
        <v/>
      </c>
      <c r="Z183" s="390" t="str">
        <f t="shared" si="20"/>
        <v/>
      </c>
      <c r="AA183" s="117"/>
      <c r="AB183" s="118"/>
      <c r="AC183" s="120"/>
      <c r="AD183" s="120"/>
      <c r="AH183" s="30" t="str">
        <f>IFERROR(INDEX('G-6 Hedgerow Data'!$BJ$3:$BJ$15,MATCH(D183,'G-6 Hedgerow Data'!$B$3:$B$15,0)),"")</f>
        <v/>
      </c>
    </row>
    <row r="184" spans="2:34" ht="15">
      <c r="B184" s="110">
        <v>173</v>
      </c>
      <c r="C184" s="216"/>
      <c r="D184" s="63"/>
      <c r="E184" s="165"/>
      <c r="F184" s="362" t="str">
        <f>IF(D184="","",VLOOKUP(D184,'G-6 Hedgerow Data'!$B$2:$AG$15,2,FALSE))</f>
        <v/>
      </c>
      <c r="G184" s="386" t="str">
        <f>IF(D184="","",VLOOKUP(D184,'G-6 Hedgerow Data'!$B$2:$AG$15,3,FALSE))</f>
        <v/>
      </c>
      <c r="H184" s="55"/>
      <c r="I184" s="363" t="str">
        <f>IFERROR(IF(AND(F184="V.Low",OR(H184="Good",H184="Moderate")),"Error ▲",VLOOKUP(H184,'G-1 All Habitats'!$Z$2:$AA$9,2,FALSE)),"")</f>
        <v/>
      </c>
      <c r="J184" s="115"/>
      <c r="K184" s="382" t="str">
        <f>IF(J184="","",IF(VLOOKUP(J184,'G-3 Multipliers'!$L$3:$N$6,2,FALSE)=0,"Spatial Data Missing",VLOOKUP(J184,'G-3 Multipliers'!$L$3:$N$6,2,FALSE)))</f>
        <v/>
      </c>
      <c r="L184" s="386" t="str">
        <f>IF(J184="","",IF(VLOOKUP(J184,'G-3 Multipliers'!$L$3:$N$6,3,FALSE)=0,"Spatial Data Missing",VLOOKUP(J184,'G-3 Multipliers'!$L$3:$N$6,3,FALSE)))</f>
        <v/>
      </c>
      <c r="M184" s="160"/>
      <c r="N184" s="363" t="str">
        <f>IF(M184="","",IF(VLOOKUP(M184,'G-3 Multipliers'!$S$3:$T$10,2,FALSE)=0,"Spatial Data Missing ⚠",VLOOKUP(M184,'G-3 Multipliers'!$S$3:$T$10,2,FALSE)))</f>
        <v/>
      </c>
      <c r="O184" s="362" t="str">
        <f>IF(OR(D184="",H184=""),"",(INDEX('G-6 Hedgerow Data'!$E$3:$I$15,MATCH(D184,'G-6 Hedgerow Data'!$B$3:$B$15,0),MATCH(H184,'G-6 Hedgerow Data'!$E$2:$I$2,0))))</f>
        <v/>
      </c>
      <c r="P184" s="159"/>
      <c r="Q184" s="159"/>
      <c r="R184" s="370" t="str">
        <f t="shared" si="15"/>
        <v/>
      </c>
      <c r="S184" s="383" t="str">
        <f t="shared" si="16"/>
        <v/>
      </c>
      <c r="T184" s="384" t="str">
        <f t="shared" si="14"/>
        <v/>
      </c>
      <c r="U184" s="398" t="str">
        <f>IF(D184="","",VLOOKUP(D184,'G-6 Hedgerow Data'!$B$3:$AG$15,31,FALSE))</f>
        <v/>
      </c>
      <c r="V184" s="382" t="str">
        <f t="shared" si="17"/>
        <v/>
      </c>
      <c r="W184" s="382" t="str">
        <f t="shared" si="18"/>
        <v/>
      </c>
      <c r="X184" s="386" t="str">
        <f>IF(F184="","",VLOOKUP(U184,'G-3 Multipliers'!$P$3:$Q$6,2,FALSE))</f>
        <v/>
      </c>
      <c r="Y184" s="390" t="str">
        <f t="shared" si="19"/>
        <v/>
      </c>
      <c r="Z184" s="390" t="str">
        <f t="shared" si="20"/>
        <v/>
      </c>
      <c r="AA184" s="117"/>
      <c r="AB184" s="118"/>
      <c r="AC184" s="120"/>
      <c r="AD184" s="120"/>
      <c r="AH184" s="30" t="str">
        <f>IFERROR(INDEX('G-6 Hedgerow Data'!$BJ$3:$BJ$15,MATCH(D184,'G-6 Hedgerow Data'!$B$3:$B$15,0)),"")</f>
        <v/>
      </c>
    </row>
    <row r="185" spans="2:34" ht="15">
      <c r="B185" s="110">
        <v>174</v>
      </c>
      <c r="C185" s="216"/>
      <c r="D185" s="63"/>
      <c r="E185" s="165"/>
      <c r="F185" s="362" t="str">
        <f>IF(D185="","",VLOOKUP(D185,'G-6 Hedgerow Data'!$B$2:$AG$15,2,FALSE))</f>
        <v/>
      </c>
      <c r="G185" s="386" t="str">
        <f>IF(D185="","",VLOOKUP(D185,'G-6 Hedgerow Data'!$B$2:$AG$15,3,FALSE))</f>
        <v/>
      </c>
      <c r="H185" s="55"/>
      <c r="I185" s="363" t="str">
        <f>IFERROR(IF(AND(F185="V.Low",OR(H185="Good",H185="Moderate")),"Error ▲",VLOOKUP(H185,'G-1 All Habitats'!$Z$2:$AA$9,2,FALSE)),"")</f>
        <v/>
      </c>
      <c r="J185" s="115"/>
      <c r="K185" s="382" t="str">
        <f>IF(J185="","",IF(VLOOKUP(J185,'G-3 Multipliers'!$L$3:$N$6,2,FALSE)=0,"Spatial Data Missing",VLOOKUP(J185,'G-3 Multipliers'!$L$3:$N$6,2,FALSE)))</f>
        <v/>
      </c>
      <c r="L185" s="386" t="str">
        <f>IF(J185="","",IF(VLOOKUP(J185,'G-3 Multipliers'!$L$3:$N$6,3,FALSE)=0,"Spatial Data Missing",VLOOKUP(J185,'G-3 Multipliers'!$L$3:$N$6,3,FALSE)))</f>
        <v/>
      </c>
      <c r="M185" s="160"/>
      <c r="N185" s="363" t="str">
        <f>IF(M185="","",IF(VLOOKUP(M185,'G-3 Multipliers'!$S$3:$T$10,2,FALSE)=0,"Spatial Data Missing ⚠",VLOOKUP(M185,'G-3 Multipliers'!$S$3:$T$10,2,FALSE)))</f>
        <v/>
      </c>
      <c r="O185" s="362" t="str">
        <f>IF(OR(D185="",H185=""),"",(INDEX('G-6 Hedgerow Data'!$E$3:$I$15,MATCH(D185,'G-6 Hedgerow Data'!$B$3:$B$15,0),MATCH(H185,'G-6 Hedgerow Data'!$E$2:$I$2,0))))</f>
        <v/>
      </c>
      <c r="P185" s="159"/>
      <c r="Q185" s="159"/>
      <c r="R185" s="370" t="str">
        <f t="shared" si="15"/>
        <v/>
      </c>
      <c r="S185" s="383" t="str">
        <f t="shared" si="16"/>
        <v/>
      </c>
      <c r="T185" s="384" t="str">
        <f t="shared" si="14"/>
        <v/>
      </c>
      <c r="U185" s="398" t="str">
        <f>IF(D185="","",VLOOKUP(D185,'G-6 Hedgerow Data'!$B$3:$AG$15,31,FALSE))</f>
        <v/>
      </c>
      <c r="V185" s="382" t="str">
        <f t="shared" si="17"/>
        <v/>
      </c>
      <c r="W185" s="382" t="str">
        <f t="shared" si="18"/>
        <v/>
      </c>
      <c r="X185" s="386" t="str">
        <f>IF(F185="","",VLOOKUP(U185,'G-3 Multipliers'!$P$3:$Q$6,2,FALSE))</f>
        <v/>
      </c>
      <c r="Y185" s="390" t="str">
        <f t="shared" si="19"/>
        <v/>
      </c>
      <c r="Z185" s="390" t="str">
        <f t="shared" si="20"/>
        <v/>
      </c>
      <c r="AA185" s="117"/>
      <c r="AB185" s="118"/>
      <c r="AC185" s="120"/>
      <c r="AD185" s="120"/>
      <c r="AH185" s="30" t="str">
        <f>IFERROR(INDEX('G-6 Hedgerow Data'!$BJ$3:$BJ$15,MATCH(D185,'G-6 Hedgerow Data'!$B$3:$B$15,0)),"")</f>
        <v/>
      </c>
    </row>
    <row r="186" spans="2:34" ht="15">
      <c r="B186" s="110">
        <v>175</v>
      </c>
      <c r="C186" s="216"/>
      <c r="D186" s="63"/>
      <c r="E186" s="165"/>
      <c r="F186" s="362" t="str">
        <f>IF(D186="","",VLOOKUP(D186,'G-6 Hedgerow Data'!$B$2:$AG$15,2,FALSE))</f>
        <v/>
      </c>
      <c r="G186" s="386" t="str">
        <f>IF(D186="","",VLOOKUP(D186,'G-6 Hedgerow Data'!$B$2:$AG$15,3,FALSE))</f>
        <v/>
      </c>
      <c r="H186" s="55"/>
      <c r="I186" s="363" t="str">
        <f>IFERROR(IF(AND(F186="V.Low",OR(H186="Good",H186="Moderate")),"Error ▲",VLOOKUP(H186,'G-1 All Habitats'!$Z$2:$AA$9,2,FALSE)),"")</f>
        <v/>
      </c>
      <c r="J186" s="115"/>
      <c r="K186" s="382" t="str">
        <f>IF(J186="","",IF(VLOOKUP(J186,'G-3 Multipliers'!$L$3:$N$6,2,FALSE)=0,"Spatial Data Missing",VLOOKUP(J186,'G-3 Multipliers'!$L$3:$N$6,2,FALSE)))</f>
        <v/>
      </c>
      <c r="L186" s="386" t="str">
        <f>IF(J186="","",IF(VLOOKUP(J186,'G-3 Multipliers'!$L$3:$N$6,3,FALSE)=0,"Spatial Data Missing",VLOOKUP(J186,'G-3 Multipliers'!$L$3:$N$6,3,FALSE)))</f>
        <v/>
      </c>
      <c r="M186" s="160"/>
      <c r="N186" s="363" t="str">
        <f>IF(M186="","",IF(VLOOKUP(M186,'G-3 Multipliers'!$S$3:$T$10,2,FALSE)=0,"Spatial Data Missing ⚠",VLOOKUP(M186,'G-3 Multipliers'!$S$3:$T$10,2,FALSE)))</f>
        <v/>
      </c>
      <c r="O186" s="362" t="str">
        <f>IF(OR(D186="",H186=""),"",(INDEX('G-6 Hedgerow Data'!$E$3:$I$15,MATCH(D186,'G-6 Hedgerow Data'!$B$3:$B$15,0),MATCH(H186,'G-6 Hedgerow Data'!$E$2:$I$2,0))))</f>
        <v/>
      </c>
      <c r="P186" s="159"/>
      <c r="Q186" s="159"/>
      <c r="R186" s="370" t="str">
        <f t="shared" si="15"/>
        <v/>
      </c>
      <c r="S186" s="383" t="str">
        <f t="shared" si="16"/>
        <v/>
      </c>
      <c r="T186" s="384" t="str">
        <f t="shared" si="14"/>
        <v/>
      </c>
      <c r="U186" s="398" t="str">
        <f>IF(D186="","",VLOOKUP(D186,'G-6 Hedgerow Data'!$B$3:$AG$15,31,FALSE))</f>
        <v/>
      </c>
      <c r="V186" s="382" t="str">
        <f t="shared" si="17"/>
        <v/>
      </c>
      <c r="W186" s="382" t="str">
        <f t="shared" si="18"/>
        <v/>
      </c>
      <c r="X186" s="386" t="str">
        <f>IF(F186="","",VLOOKUP(U186,'G-3 Multipliers'!$P$3:$Q$6,2,FALSE))</f>
        <v/>
      </c>
      <c r="Y186" s="390" t="str">
        <f t="shared" si="19"/>
        <v/>
      </c>
      <c r="Z186" s="390" t="str">
        <f t="shared" si="20"/>
        <v/>
      </c>
      <c r="AA186" s="117"/>
      <c r="AB186" s="118"/>
      <c r="AC186" s="120"/>
      <c r="AD186" s="120"/>
      <c r="AH186" s="30" t="str">
        <f>IFERROR(INDEX('G-6 Hedgerow Data'!$BJ$3:$BJ$15,MATCH(D186,'G-6 Hedgerow Data'!$B$3:$B$15,0)),"")</f>
        <v/>
      </c>
    </row>
    <row r="187" spans="2:34" ht="15">
      <c r="B187" s="110">
        <v>176</v>
      </c>
      <c r="C187" s="216"/>
      <c r="D187" s="63"/>
      <c r="E187" s="165"/>
      <c r="F187" s="362" t="str">
        <f>IF(D187="","",VLOOKUP(D187,'G-6 Hedgerow Data'!$B$2:$AG$15,2,FALSE))</f>
        <v/>
      </c>
      <c r="G187" s="386" t="str">
        <f>IF(D187="","",VLOOKUP(D187,'G-6 Hedgerow Data'!$B$2:$AG$15,3,FALSE))</f>
        <v/>
      </c>
      <c r="H187" s="55"/>
      <c r="I187" s="363" t="str">
        <f>IFERROR(IF(AND(F187="V.Low",OR(H187="Good",H187="Moderate")),"Error ▲",VLOOKUP(H187,'G-1 All Habitats'!$Z$2:$AA$9,2,FALSE)),"")</f>
        <v/>
      </c>
      <c r="J187" s="115"/>
      <c r="K187" s="382" t="str">
        <f>IF(J187="","",IF(VLOOKUP(J187,'G-3 Multipliers'!$L$3:$N$6,2,FALSE)=0,"Spatial Data Missing",VLOOKUP(J187,'G-3 Multipliers'!$L$3:$N$6,2,FALSE)))</f>
        <v/>
      </c>
      <c r="L187" s="386" t="str">
        <f>IF(J187="","",IF(VLOOKUP(J187,'G-3 Multipliers'!$L$3:$N$6,3,FALSE)=0,"Spatial Data Missing",VLOOKUP(J187,'G-3 Multipliers'!$L$3:$N$6,3,FALSE)))</f>
        <v/>
      </c>
      <c r="M187" s="160"/>
      <c r="N187" s="363" t="str">
        <f>IF(M187="","",IF(VLOOKUP(M187,'G-3 Multipliers'!$S$3:$T$10,2,FALSE)=0,"Spatial Data Missing ⚠",VLOOKUP(M187,'G-3 Multipliers'!$S$3:$T$10,2,FALSE)))</f>
        <v/>
      </c>
      <c r="O187" s="362" t="str">
        <f>IF(OR(D187="",H187=""),"",(INDEX('G-6 Hedgerow Data'!$E$3:$I$15,MATCH(D187,'G-6 Hedgerow Data'!$B$3:$B$15,0),MATCH(H187,'G-6 Hedgerow Data'!$E$2:$I$2,0))))</f>
        <v/>
      </c>
      <c r="P187" s="159"/>
      <c r="Q187" s="159"/>
      <c r="R187" s="370" t="str">
        <f t="shared" si="15"/>
        <v/>
      </c>
      <c r="S187" s="383" t="str">
        <f t="shared" si="16"/>
        <v/>
      </c>
      <c r="T187" s="384" t="str">
        <f t="shared" si="14"/>
        <v/>
      </c>
      <c r="U187" s="398" t="str">
        <f>IF(D187="","",VLOOKUP(D187,'G-6 Hedgerow Data'!$B$3:$AG$15,31,FALSE))</f>
        <v/>
      </c>
      <c r="V187" s="382" t="str">
        <f t="shared" si="17"/>
        <v/>
      </c>
      <c r="W187" s="382" t="str">
        <f t="shared" si="18"/>
        <v/>
      </c>
      <c r="X187" s="386" t="str">
        <f>IF(F187="","",VLOOKUP(U187,'G-3 Multipliers'!$P$3:$Q$6,2,FALSE))</f>
        <v/>
      </c>
      <c r="Y187" s="390" t="str">
        <f t="shared" si="19"/>
        <v/>
      </c>
      <c r="Z187" s="390" t="str">
        <f t="shared" si="20"/>
        <v/>
      </c>
      <c r="AA187" s="117"/>
      <c r="AB187" s="118"/>
      <c r="AC187" s="120"/>
      <c r="AD187" s="120"/>
      <c r="AH187" s="30" t="str">
        <f>IFERROR(INDEX('G-6 Hedgerow Data'!$BJ$3:$BJ$15,MATCH(D187,'G-6 Hedgerow Data'!$B$3:$B$15,0)),"")</f>
        <v/>
      </c>
    </row>
    <row r="188" spans="2:34" ht="15">
      <c r="B188" s="110">
        <v>177</v>
      </c>
      <c r="C188" s="216"/>
      <c r="D188" s="63"/>
      <c r="E188" s="165"/>
      <c r="F188" s="362" t="str">
        <f>IF(D188="","",VLOOKUP(D188,'G-6 Hedgerow Data'!$B$2:$AG$15,2,FALSE))</f>
        <v/>
      </c>
      <c r="G188" s="386" t="str">
        <f>IF(D188="","",VLOOKUP(D188,'G-6 Hedgerow Data'!$B$2:$AG$15,3,FALSE))</f>
        <v/>
      </c>
      <c r="H188" s="55"/>
      <c r="I188" s="363" t="str">
        <f>IFERROR(IF(AND(F188="V.Low",OR(H188="Good",H188="Moderate")),"Error ▲",VLOOKUP(H188,'G-1 All Habitats'!$Z$2:$AA$9,2,FALSE)),"")</f>
        <v/>
      </c>
      <c r="J188" s="115"/>
      <c r="K188" s="382" t="str">
        <f>IF(J188="","",IF(VLOOKUP(J188,'G-3 Multipliers'!$L$3:$N$6,2,FALSE)=0,"Spatial Data Missing",VLOOKUP(J188,'G-3 Multipliers'!$L$3:$N$6,2,FALSE)))</f>
        <v/>
      </c>
      <c r="L188" s="386" t="str">
        <f>IF(J188="","",IF(VLOOKUP(J188,'G-3 Multipliers'!$L$3:$N$6,3,FALSE)=0,"Spatial Data Missing",VLOOKUP(J188,'G-3 Multipliers'!$L$3:$N$6,3,FALSE)))</f>
        <v/>
      </c>
      <c r="M188" s="160"/>
      <c r="N188" s="363" t="str">
        <f>IF(M188="","",IF(VLOOKUP(M188,'G-3 Multipliers'!$S$3:$T$10,2,FALSE)=0,"Spatial Data Missing ⚠",VLOOKUP(M188,'G-3 Multipliers'!$S$3:$T$10,2,FALSE)))</f>
        <v/>
      </c>
      <c r="O188" s="362" t="str">
        <f>IF(OR(D188="",H188=""),"",(INDEX('G-6 Hedgerow Data'!$E$3:$I$15,MATCH(D188,'G-6 Hedgerow Data'!$B$3:$B$15,0),MATCH(H188,'G-6 Hedgerow Data'!$E$2:$I$2,0))))</f>
        <v/>
      </c>
      <c r="P188" s="159"/>
      <c r="Q188" s="159"/>
      <c r="R188" s="370" t="str">
        <f t="shared" si="15"/>
        <v/>
      </c>
      <c r="S188" s="383" t="str">
        <f t="shared" si="16"/>
        <v/>
      </c>
      <c r="T188" s="384" t="str">
        <f t="shared" si="14"/>
        <v/>
      </c>
      <c r="U188" s="398" t="str">
        <f>IF(D188="","",VLOOKUP(D188,'G-6 Hedgerow Data'!$B$3:$AG$15,31,FALSE))</f>
        <v/>
      </c>
      <c r="V188" s="382" t="str">
        <f t="shared" si="17"/>
        <v/>
      </c>
      <c r="W188" s="382" t="str">
        <f t="shared" si="18"/>
        <v/>
      </c>
      <c r="X188" s="386" t="str">
        <f>IF(F188="","",VLOOKUP(U188,'G-3 Multipliers'!$P$3:$Q$6,2,FALSE))</f>
        <v/>
      </c>
      <c r="Y188" s="390" t="str">
        <f t="shared" si="19"/>
        <v/>
      </c>
      <c r="Z188" s="390" t="str">
        <f t="shared" si="20"/>
        <v/>
      </c>
      <c r="AA188" s="117"/>
      <c r="AB188" s="118"/>
      <c r="AC188" s="120"/>
      <c r="AD188" s="120"/>
      <c r="AH188" s="30" t="str">
        <f>IFERROR(INDEX('G-6 Hedgerow Data'!$BJ$3:$BJ$15,MATCH(D188,'G-6 Hedgerow Data'!$B$3:$B$15,0)),"")</f>
        <v/>
      </c>
    </row>
    <row r="189" spans="2:34" ht="15">
      <c r="B189" s="110">
        <v>178</v>
      </c>
      <c r="C189" s="216"/>
      <c r="D189" s="63"/>
      <c r="E189" s="165"/>
      <c r="F189" s="362" t="str">
        <f>IF(D189="","",VLOOKUP(D189,'G-6 Hedgerow Data'!$B$2:$AG$15,2,FALSE))</f>
        <v/>
      </c>
      <c r="G189" s="386" t="str">
        <f>IF(D189="","",VLOOKUP(D189,'G-6 Hedgerow Data'!$B$2:$AG$15,3,FALSE))</f>
        <v/>
      </c>
      <c r="H189" s="55"/>
      <c r="I189" s="363" t="str">
        <f>IFERROR(IF(AND(F189="V.Low",OR(H189="Good",H189="Moderate")),"Error ▲",VLOOKUP(H189,'G-1 All Habitats'!$Z$2:$AA$9,2,FALSE)),"")</f>
        <v/>
      </c>
      <c r="J189" s="115"/>
      <c r="K189" s="382" t="str">
        <f>IF(J189="","",IF(VLOOKUP(J189,'G-3 Multipliers'!$L$3:$N$6,2,FALSE)=0,"Spatial Data Missing",VLOOKUP(J189,'G-3 Multipliers'!$L$3:$N$6,2,FALSE)))</f>
        <v/>
      </c>
      <c r="L189" s="386" t="str">
        <f>IF(J189="","",IF(VLOOKUP(J189,'G-3 Multipliers'!$L$3:$N$6,3,FALSE)=0,"Spatial Data Missing",VLOOKUP(J189,'G-3 Multipliers'!$L$3:$N$6,3,FALSE)))</f>
        <v/>
      </c>
      <c r="M189" s="160"/>
      <c r="N189" s="363" t="str">
        <f>IF(M189="","",IF(VLOOKUP(M189,'G-3 Multipliers'!$S$3:$T$10,2,FALSE)=0,"Spatial Data Missing ⚠",VLOOKUP(M189,'G-3 Multipliers'!$S$3:$T$10,2,FALSE)))</f>
        <v/>
      </c>
      <c r="O189" s="362" t="str">
        <f>IF(OR(D189="",H189=""),"",(INDEX('G-6 Hedgerow Data'!$E$3:$I$15,MATCH(D189,'G-6 Hedgerow Data'!$B$3:$B$15,0),MATCH(H189,'G-6 Hedgerow Data'!$E$2:$I$2,0))))</f>
        <v/>
      </c>
      <c r="P189" s="159"/>
      <c r="Q189" s="159"/>
      <c r="R189" s="370" t="str">
        <f t="shared" si="15"/>
        <v/>
      </c>
      <c r="S189" s="383" t="str">
        <f t="shared" si="16"/>
        <v/>
      </c>
      <c r="T189" s="384" t="str">
        <f t="shared" si="14"/>
        <v/>
      </c>
      <c r="U189" s="398" t="str">
        <f>IF(D189="","",VLOOKUP(D189,'G-6 Hedgerow Data'!$B$3:$AG$15,31,FALSE))</f>
        <v/>
      </c>
      <c r="V189" s="382" t="str">
        <f t="shared" si="17"/>
        <v/>
      </c>
      <c r="W189" s="382" t="str">
        <f t="shared" si="18"/>
        <v/>
      </c>
      <c r="X189" s="386" t="str">
        <f>IF(F189="","",VLOOKUP(U189,'G-3 Multipliers'!$P$3:$Q$6,2,FALSE))</f>
        <v/>
      </c>
      <c r="Y189" s="390" t="str">
        <f t="shared" si="19"/>
        <v/>
      </c>
      <c r="Z189" s="390" t="str">
        <f t="shared" si="20"/>
        <v/>
      </c>
      <c r="AA189" s="117"/>
      <c r="AB189" s="118"/>
      <c r="AC189" s="120"/>
      <c r="AD189" s="120"/>
      <c r="AH189" s="30" t="str">
        <f>IFERROR(INDEX('G-6 Hedgerow Data'!$BJ$3:$BJ$15,MATCH(D189,'G-6 Hedgerow Data'!$B$3:$B$15,0)),"")</f>
        <v/>
      </c>
    </row>
    <row r="190" spans="2:34" ht="15">
      <c r="B190" s="110">
        <v>179</v>
      </c>
      <c r="C190" s="216"/>
      <c r="D190" s="63"/>
      <c r="E190" s="165"/>
      <c r="F190" s="362" t="str">
        <f>IF(D190="","",VLOOKUP(D190,'G-6 Hedgerow Data'!$B$2:$AG$15,2,FALSE))</f>
        <v/>
      </c>
      <c r="G190" s="386" t="str">
        <f>IF(D190="","",VLOOKUP(D190,'G-6 Hedgerow Data'!$B$2:$AG$15,3,FALSE))</f>
        <v/>
      </c>
      <c r="H190" s="55"/>
      <c r="I190" s="363" t="str">
        <f>IFERROR(IF(AND(F190="V.Low",OR(H190="Good",H190="Moderate")),"Error ▲",VLOOKUP(H190,'G-1 All Habitats'!$Z$2:$AA$9,2,FALSE)),"")</f>
        <v/>
      </c>
      <c r="J190" s="115"/>
      <c r="K190" s="382" t="str">
        <f>IF(J190="","",IF(VLOOKUP(J190,'G-3 Multipliers'!$L$3:$N$6,2,FALSE)=0,"Spatial Data Missing",VLOOKUP(J190,'G-3 Multipliers'!$L$3:$N$6,2,FALSE)))</f>
        <v/>
      </c>
      <c r="L190" s="386" t="str">
        <f>IF(J190="","",IF(VLOOKUP(J190,'G-3 Multipliers'!$L$3:$N$6,3,FALSE)=0,"Spatial Data Missing",VLOOKUP(J190,'G-3 Multipliers'!$L$3:$N$6,3,FALSE)))</f>
        <v/>
      </c>
      <c r="M190" s="160"/>
      <c r="N190" s="363" t="str">
        <f>IF(M190="","",IF(VLOOKUP(M190,'G-3 Multipliers'!$S$3:$T$10,2,FALSE)=0,"Spatial Data Missing ⚠",VLOOKUP(M190,'G-3 Multipliers'!$S$3:$T$10,2,FALSE)))</f>
        <v/>
      </c>
      <c r="O190" s="362" t="str">
        <f>IF(OR(D190="",H190=""),"",(INDEX('G-6 Hedgerow Data'!$E$3:$I$15,MATCH(D190,'G-6 Hedgerow Data'!$B$3:$B$15,0),MATCH(H190,'G-6 Hedgerow Data'!$E$2:$I$2,0))))</f>
        <v/>
      </c>
      <c r="P190" s="159"/>
      <c r="Q190" s="159"/>
      <c r="R190" s="370" t="str">
        <f t="shared" si="15"/>
        <v/>
      </c>
      <c r="S190" s="383" t="str">
        <f t="shared" si="16"/>
        <v/>
      </c>
      <c r="T190" s="384" t="str">
        <f t="shared" si="14"/>
        <v/>
      </c>
      <c r="U190" s="398" t="str">
        <f>IF(D190="","",VLOOKUP(D190,'G-6 Hedgerow Data'!$B$3:$AG$15,31,FALSE))</f>
        <v/>
      </c>
      <c r="V190" s="382" t="str">
        <f t="shared" si="17"/>
        <v/>
      </c>
      <c r="W190" s="382" t="str">
        <f t="shared" si="18"/>
        <v/>
      </c>
      <c r="X190" s="386" t="str">
        <f>IF(F190="","",VLOOKUP(U190,'G-3 Multipliers'!$P$3:$Q$6,2,FALSE))</f>
        <v/>
      </c>
      <c r="Y190" s="390" t="str">
        <f t="shared" si="19"/>
        <v/>
      </c>
      <c r="Z190" s="390" t="str">
        <f t="shared" si="20"/>
        <v/>
      </c>
      <c r="AA190" s="117"/>
      <c r="AB190" s="118"/>
      <c r="AC190" s="120"/>
      <c r="AD190" s="120"/>
      <c r="AH190" s="30" t="str">
        <f>IFERROR(INDEX('G-6 Hedgerow Data'!$BJ$3:$BJ$15,MATCH(D190,'G-6 Hedgerow Data'!$B$3:$B$15,0)),"")</f>
        <v/>
      </c>
    </row>
    <row r="191" spans="2:34" ht="15">
      <c r="B191" s="110">
        <v>180</v>
      </c>
      <c r="C191" s="216"/>
      <c r="D191" s="63"/>
      <c r="E191" s="165"/>
      <c r="F191" s="362" t="str">
        <f>IF(D191="","",VLOOKUP(D191,'G-6 Hedgerow Data'!$B$2:$AG$15,2,FALSE))</f>
        <v/>
      </c>
      <c r="G191" s="386" t="str">
        <f>IF(D191="","",VLOOKUP(D191,'G-6 Hedgerow Data'!$B$2:$AG$15,3,FALSE))</f>
        <v/>
      </c>
      <c r="H191" s="55"/>
      <c r="I191" s="363" t="str">
        <f>IFERROR(IF(AND(F191="V.Low",OR(H191="Good",H191="Moderate")),"Error ▲",VLOOKUP(H191,'G-1 All Habitats'!$Z$2:$AA$9,2,FALSE)),"")</f>
        <v/>
      </c>
      <c r="J191" s="115"/>
      <c r="K191" s="382" t="str">
        <f>IF(J191="","",IF(VLOOKUP(J191,'G-3 Multipliers'!$L$3:$N$6,2,FALSE)=0,"Spatial Data Missing",VLOOKUP(J191,'G-3 Multipliers'!$L$3:$N$6,2,FALSE)))</f>
        <v/>
      </c>
      <c r="L191" s="386" t="str">
        <f>IF(J191="","",IF(VLOOKUP(J191,'G-3 Multipliers'!$L$3:$N$6,3,FALSE)=0,"Spatial Data Missing",VLOOKUP(J191,'G-3 Multipliers'!$L$3:$N$6,3,FALSE)))</f>
        <v/>
      </c>
      <c r="M191" s="160"/>
      <c r="N191" s="363" t="str">
        <f>IF(M191="","",IF(VLOOKUP(M191,'G-3 Multipliers'!$S$3:$T$10,2,FALSE)=0,"Spatial Data Missing ⚠",VLOOKUP(M191,'G-3 Multipliers'!$S$3:$T$10,2,FALSE)))</f>
        <v/>
      </c>
      <c r="O191" s="362" t="str">
        <f>IF(OR(D191="",H191=""),"",(INDEX('G-6 Hedgerow Data'!$E$3:$I$15,MATCH(D191,'G-6 Hedgerow Data'!$B$3:$B$15,0),MATCH(H191,'G-6 Hedgerow Data'!$E$2:$I$2,0))))</f>
        <v/>
      </c>
      <c r="P191" s="159"/>
      <c r="Q191" s="159"/>
      <c r="R191" s="370" t="str">
        <f t="shared" si="15"/>
        <v/>
      </c>
      <c r="S191" s="383" t="str">
        <f t="shared" si="16"/>
        <v/>
      </c>
      <c r="T191" s="384" t="str">
        <f t="shared" si="14"/>
        <v/>
      </c>
      <c r="U191" s="398" t="str">
        <f>IF(D191="","",VLOOKUP(D191,'G-6 Hedgerow Data'!$B$3:$AG$15,31,FALSE))</f>
        <v/>
      </c>
      <c r="V191" s="382" t="str">
        <f t="shared" si="17"/>
        <v/>
      </c>
      <c r="W191" s="382" t="str">
        <f t="shared" si="18"/>
        <v/>
      </c>
      <c r="X191" s="386" t="str">
        <f>IF(F191="","",VLOOKUP(U191,'G-3 Multipliers'!$P$3:$Q$6,2,FALSE))</f>
        <v/>
      </c>
      <c r="Y191" s="390" t="str">
        <f t="shared" si="19"/>
        <v/>
      </c>
      <c r="Z191" s="390" t="str">
        <f t="shared" si="20"/>
        <v/>
      </c>
      <c r="AA191" s="117"/>
      <c r="AB191" s="118"/>
      <c r="AC191" s="120"/>
      <c r="AD191" s="120"/>
      <c r="AH191" s="30" t="str">
        <f>IFERROR(INDEX('G-6 Hedgerow Data'!$BJ$3:$BJ$15,MATCH(D191,'G-6 Hedgerow Data'!$B$3:$B$15,0)),"")</f>
        <v/>
      </c>
    </row>
    <row r="192" spans="2:34" ht="15">
      <c r="B192" s="110">
        <v>181</v>
      </c>
      <c r="C192" s="216"/>
      <c r="D192" s="63"/>
      <c r="E192" s="165"/>
      <c r="F192" s="362" t="str">
        <f>IF(D192="","",VLOOKUP(D192,'G-6 Hedgerow Data'!$B$2:$AG$15,2,FALSE))</f>
        <v/>
      </c>
      <c r="G192" s="386" t="str">
        <f>IF(D192="","",VLOOKUP(D192,'G-6 Hedgerow Data'!$B$2:$AG$15,3,FALSE))</f>
        <v/>
      </c>
      <c r="H192" s="55"/>
      <c r="I192" s="363" t="str">
        <f>IFERROR(IF(AND(F192="V.Low",OR(H192="Good",H192="Moderate")),"Error ▲",VLOOKUP(H192,'G-1 All Habitats'!$Z$2:$AA$9,2,FALSE)),"")</f>
        <v/>
      </c>
      <c r="J192" s="115"/>
      <c r="K192" s="382" t="str">
        <f>IF(J192="","",IF(VLOOKUP(J192,'G-3 Multipliers'!$L$3:$N$6,2,FALSE)=0,"Spatial Data Missing",VLOOKUP(J192,'G-3 Multipliers'!$L$3:$N$6,2,FALSE)))</f>
        <v/>
      </c>
      <c r="L192" s="386" t="str">
        <f>IF(J192="","",IF(VLOOKUP(J192,'G-3 Multipliers'!$L$3:$N$6,3,FALSE)=0,"Spatial Data Missing",VLOOKUP(J192,'G-3 Multipliers'!$L$3:$N$6,3,FALSE)))</f>
        <v/>
      </c>
      <c r="M192" s="160"/>
      <c r="N192" s="363" t="str">
        <f>IF(M192="","",IF(VLOOKUP(M192,'G-3 Multipliers'!$S$3:$T$10,2,FALSE)=0,"Spatial Data Missing ⚠",VLOOKUP(M192,'G-3 Multipliers'!$S$3:$T$10,2,FALSE)))</f>
        <v/>
      </c>
      <c r="O192" s="362" t="str">
        <f>IF(OR(D192="",H192=""),"",(INDEX('G-6 Hedgerow Data'!$E$3:$I$15,MATCH(D192,'G-6 Hedgerow Data'!$B$3:$B$15,0),MATCH(H192,'G-6 Hedgerow Data'!$E$2:$I$2,0))))</f>
        <v/>
      </c>
      <c r="P192" s="159"/>
      <c r="Q192" s="159"/>
      <c r="R192" s="370" t="str">
        <f t="shared" si="15"/>
        <v/>
      </c>
      <c r="S192" s="383" t="str">
        <f t="shared" si="16"/>
        <v/>
      </c>
      <c r="T192" s="384" t="str">
        <f t="shared" si="14"/>
        <v/>
      </c>
      <c r="U192" s="398" t="str">
        <f>IF(D192="","",VLOOKUP(D192,'G-6 Hedgerow Data'!$B$3:$AG$15,31,FALSE))</f>
        <v/>
      </c>
      <c r="V192" s="382" t="str">
        <f t="shared" si="17"/>
        <v/>
      </c>
      <c r="W192" s="382" t="str">
        <f t="shared" si="18"/>
        <v/>
      </c>
      <c r="X192" s="386" t="str">
        <f>IF(F192="","",VLOOKUP(U192,'G-3 Multipliers'!$P$3:$Q$6,2,FALSE))</f>
        <v/>
      </c>
      <c r="Y192" s="390" t="str">
        <f t="shared" si="19"/>
        <v/>
      </c>
      <c r="Z192" s="390" t="str">
        <f t="shared" si="20"/>
        <v/>
      </c>
      <c r="AA192" s="117"/>
      <c r="AB192" s="118"/>
      <c r="AC192" s="120"/>
      <c r="AD192" s="120"/>
      <c r="AH192" s="30" t="str">
        <f>IFERROR(INDEX('G-6 Hedgerow Data'!$BJ$3:$BJ$15,MATCH(D192,'G-6 Hedgerow Data'!$B$3:$B$15,0)),"")</f>
        <v/>
      </c>
    </row>
    <row r="193" spans="2:34" ht="15">
      <c r="B193" s="110">
        <v>182</v>
      </c>
      <c r="C193" s="216"/>
      <c r="D193" s="63"/>
      <c r="E193" s="165"/>
      <c r="F193" s="362" t="str">
        <f>IF(D193="","",VLOOKUP(D193,'G-6 Hedgerow Data'!$B$2:$AG$15,2,FALSE))</f>
        <v/>
      </c>
      <c r="G193" s="386" t="str">
        <f>IF(D193="","",VLOOKUP(D193,'G-6 Hedgerow Data'!$B$2:$AG$15,3,FALSE))</f>
        <v/>
      </c>
      <c r="H193" s="55"/>
      <c r="I193" s="363" t="str">
        <f>IFERROR(IF(AND(F193="V.Low",OR(H193="Good",H193="Moderate")),"Error ▲",VLOOKUP(H193,'G-1 All Habitats'!$Z$2:$AA$9,2,FALSE)),"")</f>
        <v/>
      </c>
      <c r="J193" s="115"/>
      <c r="K193" s="382" t="str">
        <f>IF(J193="","",IF(VLOOKUP(J193,'G-3 Multipliers'!$L$3:$N$6,2,FALSE)=0,"Spatial Data Missing",VLOOKUP(J193,'G-3 Multipliers'!$L$3:$N$6,2,FALSE)))</f>
        <v/>
      </c>
      <c r="L193" s="386" t="str">
        <f>IF(J193="","",IF(VLOOKUP(J193,'G-3 Multipliers'!$L$3:$N$6,3,FALSE)=0,"Spatial Data Missing",VLOOKUP(J193,'G-3 Multipliers'!$L$3:$N$6,3,FALSE)))</f>
        <v/>
      </c>
      <c r="M193" s="160"/>
      <c r="N193" s="363" t="str">
        <f>IF(M193="","",IF(VLOOKUP(M193,'G-3 Multipliers'!$S$3:$T$10,2,FALSE)=0,"Spatial Data Missing ⚠",VLOOKUP(M193,'G-3 Multipliers'!$S$3:$T$10,2,FALSE)))</f>
        <v/>
      </c>
      <c r="O193" s="362" t="str">
        <f>IF(OR(D193="",H193=""),"",(INDEX('G-6 Hedgerow Data'!$E$3:$I$15,MATCH(D193,'G-6 Hedgerow Data'!$B$3:$B$15,0),MATCH(H193,'G-6 Hedgerow Data'!$E$2:$I$2,0))))</f>
        <v/>
      </c>
      <c r="P193" s="159"/>
      <c r="Q193" s="159"/>
      <c r="R193" s="370" t="str">
        <f t="shared" si="15"/>
        <v/>
      </c>
      <c r="S193" s="383" t="str">
        <f t="shared" si="16"/>
        <v/>
      </c>
      <c r="T193" s="384" t="str">
        <f t="shared" si="14"/>
        <v/>
      </c>
      <c r="U193" s="398" t="str">
        <f>IF(D193="","",VLOOKUP(D193,'G-6 Hedgerow Data'!$B$3:$AG$15,31,FALSE))</f>
        <v/>
      </c>
      <c r="V193" s="382" t="str">
        <f t="shared" si="17"/>
        <v/>
      </c>
      <c r="W193" s="382" t="str">
        <f t="shared" si="18"/>
        <v/>
      </c>
      <c r="X193" s="386" t="str">
        <f>IF(F193="","",VLOOKUP(U193,'G-3 Multipliers'!$P$3:$Q$6,2,FALSE))</f>
        <v/>
      </c>
      <c r="Y193" s="390" t="str">
        <f t="shared" si="19"/>
        <v/>
      </c>
      <c r="Z193" s="390" t="str">
        <f t="shared" si="20"/>
        <v/>
      </c>
      <c r="AA193" s="117"/>
      <c r="AB193" s="118"/>
      <c r="AC193" s="120"/>
      <c r="AD193" s="120"/>
      <c r="AH193" s="30" t="str">
        <f>IFERROR(INDEX('G-6 Hedgerow Data'!$BJ$3:$BJ$15,MATCH(D193,'G-6 Hedgerow Data'!$B$3:$B$15,0)),"")</f>
        <v/>
      </c>
    </row>
    <row r="194" spans="2:34" ht="15">
      <c r="B194" s="110">
        <v>183</v>
      </c>
      <c r="C194" s="216"/>
      <c r="D194" s="63"/>
      <c r="E194" s="165"/>
      <c r="F194" s="362" t="str">
        <f>IF(D194="","",VLOOKUP(D194,'G-6 Hedgerow Data'!$B$2:$AG$15,2,FALSE))</f>
        <v/>
      </c>
      <c r="G194" s="386" t="str">
        <f>IF(D194="","",VLOOKUP(D194,'G-6 Hedgerow Data'!$B$2:$AG$15,3,FALSE))</f>
        <v/>
      </c>
      <c r="H194" s="55"/>
      <c r="I194" s="363" t="str">
        <f>IFERROR(IF(AND(F194="V.Low",OR(H194="Good",H194="Moderate")),"Error ▲",VLOOKUP(H194,'G-1 All Habitats'!$Z$2:$AA$9,2,FALSE)),"")</f>
        <v/>
      </c>
      <c r="J194" s="115"/>
      <c r="K194" s="382" t="str">
        <f>IF(J194="","",IF(VLOOKUP(J194,'G-3 Multipliers'!$L$3:$N$6,2,FALSE)=0,"Spatial Data Missing",VLOOKUP(J194,'G-3 Multipliers'!$L$3:$N$6,2,FALSE)))</f>
        <v/>
      </c>
      <c r="L194" s="386" t="str">
        <f>IF(J194="","",IF(VLOOKUP(J194,'G-3 Multipliers'!$L$3:$N$6,3,FALSE)=0,"Spatial Data Missing",VLOOKUP(J194,'G-3 Multipliers'!$L$3:$N$6,3,FALSE)))</f>
        <v/>
      </c>
      <c r="M194" s="160"/>
      <c r="N194" s="363" t="str">
        <f>IF(M194="","",IF(VLOOKUP(M194,'G-3 Multipliers'!$S$3:$T$10,2,FALSE)=0,"Spatial Data Missing ⚠",VLOOKUP(M194,'G-3 Multipliers'!$S$3:$T$10,2,FALSE)))</f>
        <v/>
      </c>
      <c r="O194" s="362" t="str">
        <f>IF(OR(D194="",H194=""),"",(INDEX('G-6 Hedgerow Data'!$E$3:$I$15,MATCH(D194,'G-6 Hedgerow Data'!$B$3:$B$15,0),MATCH(H194,'G-6 Hedgerow Data'!$E$2:$I$2,0))))</f>
        <v/>
      </c>
      <c r="P194" s="159"/>
      <c r="Q194" s="159"/>
      <c r="R194" s="370" t="str">
        <f t="shared" si="15"/>
        <v/>
      </c>
      <c r="S194" s="383" t="str">
        <f t="shared" si="16"/>
        <v/>
      </c>
      <c r="T194" s="384" t="str">
        <f t="shared" si="14"/>
        <v/>
      </c>
      <c r="U194" s="398" t="str">
        <f>IF(D194="","",VLOOKUP(D194,'G-6 Hedgerow Data'!$B$3:$AG$15,31,FALSE))</f>
        <v/>
      </c>
      <c r="V194" s="382" t="str">
        <f t="shared" si="17"/>
        <v/>
      </c>
      <c r="W194" s="382" t="str">
        <f t="shared" si="18"/>
        <v/>
      </c>
      <c r="X194" s="386" t="str">
        <f>IF(F194="","",VLOOKUP(U194,'G-3 Multipliers'!$P$3:$Q$6,2,FALSE))</f>
        <v/>
      </c>
      <c r="Y194" s="390" t="str">
        <f t="shared" si="19"/>
        <v/>
      </c>
      <c r="Z194" s="390" t="str">
        <f t="shared" si="20"/>
        <v/>
      </c>
      <c r="AA194" s="117"/>
      <c r="AB194" s="118"/>
      <c r="AC194" s="120"/>
      <c r="AD194" s="120"/>
      <c r="AH194" s="30" t="str">
        <f>IFERROR(INDEX('G-6 Hedgerow Data'!$BJ$3:$BJ$15,MATCH(D194,'G-6 Hedgerow Data'!$B$3:$B$15,0)),"")</f>
        <v/>
      </c>
    </row>
    <row r="195" spans="2:34" ht="15">
      <c r="B195" s="110">
        <v>184</v>
      </c>
      <c r="C195" s="216"/>
      <c r="D195" s="63"/>
      <c r="E195" s="165"/>
      <c r="F195" s="362" t="str">
        <f>IF(D195="","",VLOOKUP(D195,'G-6 Hedgerow Data'!$B$2:$AG$15,2,FALSE))</f>
        <v/>
      </c>
      <c r="G195" s="386" t="str">
        <f>IF(D195="","",VLOOKUP(D195,'G-6 Hedgerow Data'!$B$2:$AG$15,3,FALSE))</f>
        <v/>
      </c>
      <c r="H195" s="55"/>
      <c r="I195" s="363" t="str">
        <f>IFERROR(IF(AND(F195="V.Low",OR(H195="Good",H195="Moderate")),"Error ▲",VLOOKUP(H195,'G-1 All Habitats'!$Z$2:$AA$9,2,FALSE)),"")</f>
        <v/>
      </c>
      <c r="J195" s="115"/>
      <c r="K195" s="382" t="str">
        <f>IF(J195="","",IF(VLOOKUP(J195,'G-3 Multipliers'!$L$3:$N$6,2,FALSE)=0,"Spatial Data Missing",VLOOKUP(J195,'G-3 Multipliers'!$L$3:$N$6,2,FALSE)))</f>
        <v/>
      </c>
      <c r="L195" s="386" t="str">
        <f>IF(J195="","",IF(VLOOKUP(J195,'G-3 Multipliers'!$L$3:$N$6,3,FALSE)=0,"Spatial Data Missing",VLOOKUP(J195,'G-3 Multipliers'!$L$3:$N$6,3,FALSE)))</f>
        <v/>
      </c>
      <c r="M195" s="160"/>
      <c r="N195" s="363" t="str">
        <f>IF(M195="","",IF(VLOOKUP(M195,'G-3 Multipliers'!$S$3:$T$10,2,FALSE)=0,"Spatial Data Missing ⚠",VLOOKUP(M195,'G-3 Multipliers'!$S$3:$T$10,2,FALSE)))</f>
        <v/>
      </c>
      <c r="O195" s="362" t="str">
        <f>IF(OR(D195="",H195=""),"",(INDEX('G-6 Hedgerow Data'!$E$3:$I$15,MATCH(D195,'G-6 Hedgerow Data'!$B$3:$B$15,0),MATCH(H195,'G-6 Hedgerow Data'!$E$2:$I$2,0))))</f>
        <v/>
      </c>
      <c r="P195" s="159"/>
      <c r="Q195" s="159"/>
      <c r="R195" s="370" t="str">
        <f t="shared" si="15"/>
        <v/>
      </c>
      <c r="S195" s="383" t="str">
        <f t="shared" si="16"/>
        <v/>
      </c>
      <c r="T195" s="384" t="str">
        <f t="shared" si="14"/>
        <v/>
      </c>
      <c r="U195" s="398" t="str">
        <f>IF(D195="","",VLOOKUP(D195,'G-6 Hedgerow Data'!$B$3:$AG$15,31,FALSE))</f>
        <v/>
      </c>
      <c r="V195" s="382" t="str">
        <f t="shared" si="17"/>
        <v/>
      </c>
      <c r="W195" s="382" t="str">
        <f t="shared" si="18"/>
        <v/>
      </c>
      <c r="X195" s="386" t="str">
        <f>IF(F195="","",VLOOKUP(U195,'G-3 Multipliers'!$P$3:$Q$6,2,FALSE))</f>
        <v/>
      </c>
      <c r="Y195" s="390" t="str">
        <f t="shared" si="19"/>
        <v/>
      </c>
      <c r="Z195" s="390" t="str">
        <f t="shared" si="20"/>
        <v/>
      </c>
      <c r="AA195" s="117"/>
      <c r="AB195" s="118"/>
      <c r="AC195" s="120"/>
      <c r="AD195" s="120"/>
      <c r="AH195" s="30" t="str">
        <f>IFERROR(INDEX('G-6 Hedgerow Data'!$BJ$3:$BJ$15,MATCH(D195,'G-6 Hedgerow Data'!$B$3:$B$15,0)),"")</f>
        <v/>
      </c>
    </row>
    <row r="196" spans="2:34" ht="15">
      <c r="B196" s="110">
        <v>185</v>
      </c>
      <c r="C196" s="216"/>
      <c r="D196" s="63"/>
      <c r="E196" s="165"/>
      <c r="F196" s="362" t="str">
        <f>IF(D196="","",VLOOKUP(D196,'G-6 Hedgerow Data'!$B$2:$AG$15,2,FALSE))</f>
        <v/>
      </c>
      <c r="G196" s="386" t="str">
        <f>IF(D196="","",VLOOKUP(D196,'G-6 Hedgerow Data'!$B$2:$AG$15,3,FALSE))</f>
        <v/>
      </c>
      <c r="H196" s="55"/>
      <c r="I196" s="363" t="str">
        <f>IFERROR(IF(AND(F196="V.Low",OR(H196="Good",H196="Moderate")),"Error ▲",VLOOKUP(H196,'G-1 All Habitats'!$Z$2:$AA$9,2,FALSE)),"")</f>
        <v/>
      </c>
      <c r="J196" s="115"/>
      <c r="K196" s="382" t="str">
        <f>IF(J196="","",IF(VLOOKUP(J196,'G-3 Multipliers'!$L$3:$N$6,2,FALSE)=0,"Spatial Data Missing",VLOOKUP(J196,'G-3 Multipliers'!$L$3:$N$6,2,FALSE)))</f>
        <v/>
      </c>
      <c r="L196" s="386" t="str">
        <f>IF(J196="","",IF(VLOOKUP(J196,'G-3 Multipliers'!$L$3:$N$6,3,FALSE)=0,"Spatial Data Missing",VLOOKUP(J196,'G-3 Multipliers'!$L$3:$N$6,3,FALSE)))</f>
        <v/>
      </c>
      <c r="M196" s="160"/>
      <c r="N196" s="363" t="str">
        <f>IF(M196="","",IF(VLOOKUP(M196,'G-3 Multipliers'!$S$3:$T$10,2,FALSE)=0,"Spatial Data Missing ⚠",VLOOKUP(M196,'G-3 Multipliers'!$S$3:$T$10,2,FALSE)))</f>
        <v/>
      </c>
      <c r="O196" s="362" t="str">
        <f>IF(OR(D196="",H196=""),"",(INDEX('G-6 Hedgerow Data'!$E$3:$I$15,MATCH(D196,'G-6 Hedgerow Data'!$B$3:$B$15,0),MATCH(H196,'G-6 Hedgerow Data'!$E$2:$I$2,0))))</f>
        <v/>
      </c>
      <c r="P196" s="159"/>
      <c r="Q196" s="159"/>
      <c r="R196" s="370" t="str">
        <f t="shared" si="15"/>
        <v/>
      </c>
      <c r="S196" s="383" t="str">
        <f t="shared" si="16"/>
        <v/>
      </c>
      <c r="T196" s="384" t="str">
        <f t="shared" si="14"/>
        <v/>
      </c>
      <c r="U196" s="398" t="str">
        <f>IF(D196="","",VLOOKUP(D196,'G-6 Hedgerow Data'!$B$3:$AG$15,31,FALSE))</f>
        <v/>
      </c>
      <c r="V196" s="382" t="str">
        <f t="shared" si="17"/>
        <v/>
      </c>
      <c r="W196" s="382" t="str">
        <f t="shared" si="18"/>
        <v/>
      </c>
      <c r="X196" s="386" t="str">
        <f>IF(F196="","",VLOOKUP(U196,'G-3 Multipliers'!$P$3:$Q$6,2,FALSE))</f>
        <v/>
      </c>
      <c r="Y196" s="390" t="str">
        <f t="shared" si="19"/>
        <v/>
      </c>
      <c r="Z196" s="390" t="str">
        <f t="shared" si="20"/>
        <v/>
      </c>
      <c r="AA196" s="117"/>
      <c r="AB196" s="118"/>
      <c r="AC196" s="120"/>
      <c r="AD196" s="120"/>
      <c r="AH196" s="30" t="str">
        <f>IFERROR(INDEX('G-6 Hedgerow Data'!$BJ$3:$BJ$15,MATCH(D196,'G-6 Hedgerow Data'!$B$3:$B$15,0)),"")</f>
        <v/>
      </c>
    </row>
    <row r="197" spans="2:34" ht="15">
      <c r="B197" s="110">
        <v>186</v>
      </c>
      <c r="C197" s="216"/>
      <c r="D197" s="63"/>
      <c r="E197" s="165"/>
      <c r="F197" s="362" t="str">
        <f>IF(D197="","",VLOOKUP(D197,'G-6 Hedgerow Data'!$B$2:$AG$15,2,FALSE))</f>
        <v/>
      </c>
      <c r="G197" s="386" t="str">
        <f>IF(D197="","",VLOOKUP(D197,'G-6 Hedgerow Data'!$B$2:$AG$15,3,FALSE))</f>
        <v/>
      </c>
      <c r="H197" s="55"/>
      <c r="I197" s="363" t="str">
        <f>IFERROR(IF(AND(F197="V.Low",OR(H197="Good",H197="Moderate")),"Error ▲",VLOOKUP(H197,'G-1 All Habitats'!$Z$2:$AA$9,2,FALSE)),"")</f>
        <v/>
      </c>
      <c r="J197" s="115"/>
      <c r="K197" s="382" t="str">
        <f>IF(J197="","",IF(VLOOKUP(J197,'G-3 Multipliers'!$L$3:$N$6,2,FALSE)=0,"Spatial Data Missing",VLOOKUP(J197,'G-3 Multipliers'!$L$3:$N$6,2,FALSE)))</f>
        <v/>
      </c>
      <c r="L197" s="386" t="str">
        <f>IF(J197="","",IF(VLOOKUP(J197,'G-3 Multipliers'!$L$3:$N$6,3,FALSE)=0,"Spatial Data Missing",VLOOKUP(J197,'G-3 Multipliers'!$L$3:$N$6,3,FALSE)))</f>
        <v/>
      </c>
      <c r="M197" s="160"/>
      <c r="N197" s="363" t="str">
        <f>IF(M197="","",IF(VLOOKUP(M197,'G-3 Multipliers'!$S$3:$T$10,2,FALSE)=0,"Spatial Data Missing ⚠",VLOOKUP(M197,'G-3 Multipliers'!$S$3:$T$10,2,FALSE)))</f>
        <v/>
      </c>
      <c r="O197" s="362" t="str">
        <f>IF(OR(D197="",H197=""),"",(INDEX('G-6 Hedgerow Data'!$E$3:$I$15,MATCH(D197,'G-6 Hedgerow Data'!$B$3:$B$15,0),MATCH(H197,'G-6 Hedgerow Data'!$E$2:$I$2,0))))</f>
        <v/>
      </c>
      <c r="P197" s="159"/>
      <c r="Q197" s="159"/>
      <c r="R197" s="370" t="str">
        <f t="shared" si="15"/>
        <v/>
      </c>
      <c r="S197" s="383" t="str">
        <f t="shared" si="16"/>
        <v/>
      </c>
      <c r="T197" s="384" t="str">
        <f t="shared" si="14"/>
        <v/>
      </c>
      <c r="U197" s="398" t="str">
        <f>IF(D197="","",VLOOKUP(D197,'G-6 Hedgerow Data'!$B$3:$AG$15,31,FALSE))</f>
        <v/>
      </c>
      <c r="V197" s="382" t="str">
        <f t="shared" si="17"/>
        <v/>
      </c>
      <c r="W197" s="382" t="str">
        <f t="shared" si="18"/>
        <v/>
      </c>
      <c r="X197" s="386" t="str">
        <f>IF(F197="","",VLOOKUP(U197,'G-3 Multipliers'!$P$3:$Q$6,2,FALSE))</f>
        <v/>
      </c>
      <c r="Y197" s="390" t="str">
        <f t="shared" si="19"/>
        <v/>
      </c>
      <c r="Z197" s="390" t="str">
        <f t="shared" si="20"/>
        <v/>
      </c>
      <c r="AA197" s="117"/>
      <c r="AB197" s="118"/>
      <c r="AC197" s="120"/>
      <c r="AD197" s="120"/>
      <c r="AH197" s="30" t="str">
        <f>IFERROR(INDEX('G-6 Hedgerow Data'!$BJ$3:$BJ$15,MATCH(D197,'G-6 Hedgerow Data'!$B$3:$B$15,0)),"")</f>
        <v/>
      </c>
    </row>
    <row r="198" spans="2:34" ht="15">
      <c r="B198" s="110">
        <v>187</v>
      </c>
      <c r="C198" s="216"/>
      <c r="D198" s="63"/>
      <c r="E198" s="165"/>
      <c r="F198" s="362" t="str">
        <f>IF(D198="","",VLOOKUP(D198,'G-6 Hedgerow Data'!$B$2:$AG$15,2,FALSE))</f>
        <v/>
      </c>
      <c r="G198" s="386" t="str">
        <f>IF(D198="","",VLOOKUP(D198,'G-6 Hedgerow Data'!$B$2:$AG$15,3,FALSE))</f>
        <v/>
      </c>
      <c r="H198" s="55"/>
      <c r="I198" s="363" t="str">
        <f>IFERROR(IF(AND(F198="V.Low",OR(H198="Good",H198="Moderate")),"Error ▲",VLOOKUP(H198,'G-1 All Habitats'!$Z$2:$AA$9,2,FALSE)),"")</f>
        <v/>
      </c>
      <c r="J198" s="115"/>
      <c r="K198" s="382" t="str">
        <f>IF(J198="","",IF(VLOOKUP(J198,'G-3 Multipliers'!$L$3:$N$6,2,FALSE)=0,"Spatial Data Missing",VLOOKUP(J198,'G-3 Multipliers'!$L$3:$N$6,2,FALSE)))</f>
        <v/>
      </c>
      <c r="L198" s="386" t="str">
        <f>IF(J198="","",IF(VLOOKUP(J198,'G-3 Multipliers'!$L$3:$N$6,3,FALSE)=0,"Spatial Data Missing",VLOOKUP(J198,'G-3 Multipliers'!$L$3:$N$6,3,FALSE)))</f>
        <v/>
      </c>
      <c r="M198" s="160"/>
      <c r="N198" s="363" t="str">
        <f>IF(M198="","",IF(VLOOKUP(M198,'G-3 Multipliers'!$S$3:$T$10,2,FALSE)=0,"Spatial Data Missing ⚠",VLOOKUP(M198,'G-3 Multipliers'!$S$3:$T$10,2,FALSE)))</f>
        <v/>
      </c>
      <c r="O198" s="362" t="str">
        <f>IF(OR(D198="",H198=""),"",(INDEX('G-6 Hedgerow Data'!$E$3:$I$15,MATCH(D198,'G-6 Hedgerow Data'!$B$3:$B$15,0),MATCH(H198,'G-6 Hedgerow Data'!$E$2:$I$2,0))))</f>
        <v/>
      </c>
      <c r="P198" s="159"/>
      <c r="Q198" s="159"/>
      <c r="R198" s="370" t="str">
        <f t="shared" si="15"/>
        <v/>
      </c>
      <c r="S198" s="383" t="str">
        <f t="shared" si="16"/>
        <v/>
      </c>
      <c r="T198" s="384" t="str">
        <f t="shared" si="14"/>
        <v/>
      </c>
      <c r="U198" s="398" t="str">
        <f>IF(D198="","",VLOOKUP(D198,'G-6 Hedgerow Data'!$B$3:$AG$15,31,FALSE))</f>
        <v/>
      </c>
      <c r="V198" s="382" t="str">
        <f t="shared" si="17"/>
        <v/>
      </c>
      <c r="W198" s="382" t="str">
        <f t="shared" si="18"/>
        <v/>
      </c>
      <c r="X198" s="386" t="str">
        <f>IF(F198="","",VLOOKUP(U198,'G-3 Multipliers'!$P$3:$Q$6,2,FALSE))</f>
        <v/>
      </c>
      <c r="Y198" s="390" t="str">
        <f t="shared" si="19"/>
        <v/>
      </c>
      <c r="Z198" s="390" t="str">
        <f t="shared" si="20"/>
        <v/>
      </c>
      <c r="AA198" s="117"/>
      <c r="AB198" s="118"/>
      <c r="AC198" s="120"/>
      <c r="AD198" s="120"/>
      <c r="AH198" s="30" t="str">
        <f>IFERROR(INDEX('G-6 Hedgerow Data'!$BJ$3:$BJ$15,MATCH(D198,'G-6 Hedgerow Data'!$B$3:$B$15,0)),"")</f>
        <v/>
      </c>
    </row>
    <row r="199" spans="2:34" ht="15">
      <c r="B199" s="110">
        <v>188</v>
      </c>
      <c r="C199" s="216"/>
      <c r="D199" s="63"/>
      <c r="E199" s="165"/>
      <c r="F199" s="362" t="str">
        <f>IF(D199="","",VLOOKUP(D199,'G-6 Hedgerow Data'!$B$2:$AG$15,2,FALSE))</f>
        <v/>
      </c>
      <c r="G199" s="386" t="str">
        <f>IF(D199="","",VLOOKUP(D199,'G-6 Hedgerow Data'!$B$2:$AG$15,3,FALSE))</f>
        <v/>
      </c>
      <c r="H199" s="55"/>
      <c r="I199" s="363" t="str">
        <f>IFERROR(IF(AND(F199="V.Low",OR(H199="Good",H199="Moderate")),"Error ▲",VLOOKUP(H199,'G-1 All Habitats'!$Z$2:$AA$9,2,FALSE)),"")</f>
        <v/>
      </c>
      <c r="J199" s="115"/>
      <c r="K199" s="382" t="str">
        <f>IF(J199="","",IF(VLOOKUP(J199,'G-3 Multipliers'!$L$3:$N$6,2,FALSE)=0,"Spatial Data Missing",VLOOKUP(J199,'G-3 Multipliers'!$L$3:$N$6,2,FALSE)))</f>
        <v/>
      </c>
      <c r="L199" s="386" t="str">
        <f>IF(J199="","",IF(VLOOKUP(J199,'G-3 Multipliers'!$L$3:$N$6,3,FALSE)=0,"Spatial Data Missing",VLOOKUP(J199,'G-3 Multipliers'!$L$3:$N$6,3,FALSE)))</f>
        <v/>
      </c>
      <c r="M199" s="160"/>
      <c r="N199" s="363" t="str">
        <f>IF(M199="","",IF(VLOOKUP(M199,'G-3 Multipliers'!$S$3:$T$10,2,FALSE)=0,"Spatial Data Missing ⚠",VLOOKUP(M199,'G-3 Multipliers'!$S$3:$T$10,2,FALSE)))</f>
        <v/>
      </c>
      <c r="O199" s="362" t="str">
        <f>IF(OR(D199="",H199=""),"",(INDEX('G-6 Hedgerow Data'!$E$3:$I$15,MATCH(D199,'G-6 Hedgerow Data'!$B$3:$B$15,0),MATCH(H199,'G-6 Hedgerow Data'!$E$2:$I$2,0))))</f>
        <v/>
      </c>
      <c r="P199" s="159"/>
      <c r="Q199" s="159"/>
      <c r="R199" s="370" t="str">
        <f t="shared" si="15"/>
        <v/>
      </c>
      <c r="S199" s="383" t="str">
        <f t="shared" si="16"/>
        <v/>
      </c>
      <c r="T199" s="384" t="str">
        <f t="shared" si="14"/>
        <v/>
      </c>
      <c r="U199" s="398" t="str">
        <f>IF(D199="","",VLOOKUP(D199,'G-6 Hedgerow Data'!$B$3:$AG$15,31,FALSE))</f>
        <v/>
      </c>
      <c r="V199" s="382" t="str">
        <f t="shared" si="17"/>
        <v/>
      </c>
      <c r="W199" s="382" t="str">
        <f t="shared" si="18"/>
        <v/>
      </c>
      <c r="X199" s="386" t="str">
        <f>IF(F199="","",VLOOKUP(U199,'G-3 Multipliers'!$P$3:$Q$6,2,FALSE))</f>
        <v/>
      </c>
      <c r="Y199" s="390" t="str">
        <f t="shared" si="19"/>
        <v/>
      </c>
      <c r="Z199" s="390" t="str">
        <f t="shared" si="20"/>
        <v/>
      </c>
      <c r="AA199" s="117"/>
      <c r="AB199" s="118"/>
      <c r="AC199" s="120"/>
      <c r="AD199" s="120"/>
      <c r="AH199" s="30" t="str">
        <f>IFERROR(INDEX('G-6 Hedgerow Data'!$BJ$3:$BJ$15,MATCH(D199,'G-6 Hedgerow Data'!$B$3:$B$15,0)),"")</f>
        <v/>
      </c>
    </row>
    <row r="200" spans="2:34" ht="15">
      <c r="B200" s="110">
        <v>189</v>
      </c>
      <c r="C200" s="216"/>
      <c r="D200" s="63"/>
      <c r="E200" s="165"/>
      <c r="F200" s="362" t="str">
        <f>IF(D200="","",VLOOKUP(D200,'G-6 Hedgerow Data'!$B$2:$AG$15,2,FALSE))</f>
        <v/>
      </c>
      <c r="G200" s="386" t="str">
        <f>IF(D200="","",VLOOKUP(D200,'G-6 Hedgerow Data'!$B$2:$AG$15,3,FALSE))</f>
        <v/>
      </c>
      <c r="H200" s="55"/>
      <c r="I200" s="363" t="str">
        <f>IFERROR(IF(AND(F200="V.Low",OR(H200="Good",H200="Moderate")),"Error ▲",VLOOKUP(H200,'G-1 All Habitats'!$Z$2:$AA$9,2,FALSE)),"")</f>
        <v/>
      </c>
      <c r="J200" s="115"/>
      <c r="K200" s="382" t="str">
        <f>IF(J200="","",IF(VLOOKUP(J200,'G-3 Multipliers'!$L$3:$N$6,2,FALSE)=0,"Spatial Data Missing",VLOOKUP(J200,'G-3 Multipliers'!$L$3:$N$6,2,FALSE)))</f>
        <v/>
      </c>
      <c r="L200" s="386" t="str">
        <f>IF(J200="","",IF(VLOOKUP(J200,'G-3 Multipliers'!$L$3:$N$6,3,FALSE)=0,"Spatial Data Missing",VLOOKUP(J200,'G-3 Multipliers'!$L$3:$N$6,3,FALSE)))</f>
        <v/>
      </c>
      <c r="M200" s="160"/>
      <c r="N200" s="363" t="str">
        <f>IF(M200="","",IF(VLOOKUP(M200,'G-3 Multipliers'!$S$3:$T$10,2,FALSE)=0,"Spatial Data Missing ⚠",VLOOKUP(M200,'G-3 Multipliers'!$S$3:$T$10,2,FALSE)))</f>
        <v/>
      </c>
      <c r="O200" s="362" t="str">
        <f>IF(OR(D200="",H200=""),"",(INDEX('G-6 Hedgerow Data'!$E$3:$I$15,MATCH(D200,'G-6 Hedgerow Data'!$B$3:$B$15,0),MATCH(H200,'G-6 Hedgerow Data'!$E$2:$I$2,0))))</f>
        <v/>
      </c>
      <c r="P200" s="159"/>
      <c r="Q200" s="159"/>
      <c r="R200" s="370" t="str">
        <f t="shared" si="15"/>
        <v/>
      </c>
      <c r="S200" s="383" t="str">
        <f t="shared" si="16"/>
        <v/>
      </c>
      <c r="T200" s="384" t="str">
        <f t="shared" si="14"/>
        <v/>
      </c>
      <c r="U200" s="398" t="str">
        <f>IF(D200="","",VLOOKUP(D200,'G-6 Hedgerow Data'!$B$3:$AG$15,31,FALSE))</f>
        <v/>
      </c>
      <c r="V200" s="382" t="str">
        <f t="shared" si="17"/>
        <v/>
      </c>
      <c r="W200" s="382" t="str">
        <f t="shared" si="18"/>
        <v/>
      </c>
      <c r="X200" s="386" t="str">
        <f>IF(F200="","",VLOOKUP(U200,'G-3 Multipliers'!$P$3:$Q$6,2,FALSE))</f>
        <v/>
      </c>
      <c r="Y200" s="390" t="str">
        <f t="shared" si="19"/>
        <v/>
      </c>
      <c r="Z200" s="390" t="str">
        <f t="shared" si="20"/>
        <v/>
      </c>
      <c r="AA200" s="117"/>
      <c r="AB200" s="118"/>
      <c r="AC200" s="120"/>
      <c r="AD200" s="120"/>
      <c r="AH200" s="30" t="str">
        <f>IFERROR(INDEX('G-6 Hedgerow Data'!$BJ$3:$BJ$15,MATCH(D200,'G-6 Hedgerow Data'!$B$3:$B$15,0)),"")</f>
        <v/>
      </c>
    </row>
    <row r="201" spans="2:34" ht="15">
      <c r="B201" s="110">
        <v>190</v>
      </c>
      <c r="C201" s="216"/>
      <c r="D201" s="63"/>
      <c r="E201" s="165"/>
      <c r="F201" s="362" t="str">
        <f>IF(D201="","",VLOOKUP(D201,'G-6 Hedgerow Data'!$B$2:$AG$15,2,FALSE))</f>
        <v/>
      </c>
      <c r="G201" s="386" t="str">
        <f>IF(D201="","",VLOOKUP(D201,'G-6 Hedgerow Data'!$B$2:$AG$15,3,FALSE))</f>
        <v/>
      </c>
      <c r="H201" s="55"/>
      <c r="I201" s="363" t="str">
        <f>IFERROR(IF(AND(F201="V.Low",OR(H201="Good",H201="Moderate")),"Error ▲",VLOOKUP(H201,'G-1 All Habitats'!$Z$2:$AA$9,2,FALSE)),"")</f>
        <v/>
      </c>
      <c r="J201" s="115"/>
      <c r="K201" s="382" t="str">
        <f>IF(J201="","",IF(VLOOKUP(J201,'G-3 Multipliers'!$L$3:$N$6,2,FALSE)=0,"Spatial Data Missing",VLOOKUP(J201,'G-3 Multipliers'!$L$3:$N$6,2,FALSE)))</f>
        <v/>
      </c>
      <c r="L201" s="386" t="str">
        <f>IF(J201="","",IF(VLOOKUP(J201,'G-3 Multipliers'!$L$3:$N$6,3,FALSE)=0,"Spatial Data Missing",VLOOKUP(J201,'G-3 Multipliers'!$L$3:$N$6,3,FALSE)))</f>
        <v/>
      </c>
      <c r="M201" s="160"/>
      <c r="N201" s="363" t="str">
        <f>IF(M201="","",IF(VLOOKUP(M201,'G-3 Multipliers'!$S$3:$T$10,2,FALSE)=0,"Spatial Data Missing ⚠",VLOOKUP(M201,'G-3 Multipliers'!$S$3:$T$10,2,FALSE)))</f>
        <v/>
      </c>
      <c r="O201" s="362" t="str">
        <f>IF(OR(D201="",H201=""),"",(INDEX('G-6 Hedgerow Data'!$E$3:$I$15,MATCH(D201,'G-6 Hedgerow Data'!$B$3:$B$15,0),MATCH(H201,'G-6 Hedgerow Data'!$E$2:$I$2,0))))</f>
        <v/>
      </c>
      <c r="P201" s="159"/>
      <c r="Q201" s="159"/>
      <c r="R201" s="370" t="str">
        <f t="shared" si="15"/>
        <v/>
      </c>
      <c r="S201" s="383" t="str">
        <f t="shared" si="16"/>
        <v/>
      </c>
      <c r="T201" s="384" t="str">
        <f t="shared" si="14"/>
        <v/>
      </c>
      <c r="U201" s="398" t="str">
        <f>IF(D201="","",VLOOKUP(D201,'G-6 Hedgerow Data'!$B$3:$AG$15,31,FALSE))</f>
        <v/>
      </c>
      <c r="V201" s="382" t="str">
        <f t="shared" si="17"/>
        <v/>
      </c>
      <c r="W201" s="382" t="str">
        <f t="shared" si="18"/>
        <v/>
      </c>
      <c r="X201" s="386" t="str">
        <f>IF(F201="","",VLOOKUP(U201,'G-3 Multipliers'!$P$3:$Q$6,2,FALSE))</f>
        <v/>
      </c>
      <c r="Y201" s="390" t="str">
        <f t="shared" si="19"/>
        <v/>
      </c>
      <c r="Z201" s="390" t="str">
        <f t="shared" si="20"/>
        <v/>
      </c>
      <c r="AA201" s="117"/>
      <c r="AB201" s="118"/>
      <c r="AC201" s="120"/>
      <c r="AD201" s="120"/>
      <c r="AH201" s="30" t="str">
        <f>IFERROR(INDEX('G-6 Hedgerow Data'!$BJ$3:$BJ$15,MATCH(D201,'G-6 Hedgerow Data'!$B$3:$B$15,0)),"")</f>
        <v/>
      </c>
    </row>
    <row r="202" spans="2:34" ht="15">
      <c r="B202" s="110">
        <v>191</v>
      </c>
      <c r="C202" s="216"/>
      <c r="D202" s="63"/>
      <c r="E202" s="165"/>
      <c r="F202" s="362" t="str">
        <f>IF(D202="","",VLOOKUP(D202,'G-6 Hedgerow Data'!$B$2:$AG$15,2,FALSE))</f>
        <v/>
      </c>
      <c r="G202" s="386" t="str">
        <f>IF(D202="","",VLOOKUP(D202,'G-6 Hedgerow Data'!$B$2:$AG$15,3,FALSE))</f>
        <v/>
      </c>
      <c r="H202" s="55"/>
      <c r="I202" s="363" t="str">
        <f>IFERROR(IF(AND(F202="V.Low",OR(H202="Good",H202="Moderate")),"Error ▲",VLOOKUP(H202,'G-1 All Habitats'!$Z$2:$AA$9,2,FALSE)),"")</f>
        <v/>
      </c>
      <c r="J202" s="115"/>
      <c r="K202" s="382" t="str">
        <f>IF(J202="","",IF(VLOOKUP(J202,'G-3 Multipliers'!$L$3:$N$6,2,FALSE)=0,"Spatial Data Missing",VLOOKUP(J202,'G-3 Multipliers'!$L$3:$N$6,2,FALSE)))</f>
        <v/>
      </c>
      <c r="L202" s="386" t="str">
        <f>IF(J202="","",IF(VLOOKUP(J202,'G-3 Multipliers'!$L$3:$N$6,3,FALSE)=0,"Spatial Data Missing",VLOOKUP(J202,'G-3 Multipliers'!$L$3:$N$6,3,FALSE)))</f>
        <v/>
      </c>
      <c r="M202" s="160"/>
      <c r="N202" s="363" t="str">
        <f>IF(M202="","",IF(VLOOKUP(M202,'G-3 Multipliers'!$S$3:$T$10,2,FALSE)=0,"Spatial Data Missing ⚠",VLOOKUP(M202,'G-3 Multipliers'!$S$3:$T$10,2,FALSE)))</f>
        <v/>
      </c>
      <c r="O202" s="362" t="str">
        <f>IF(OR(D202="",H202=""),"",(INDEX('G-6 Hedgerow Data'!$E$3:$I$15,MATCH(D202,'G-6 Hedgerow Data'!$B$3:$B$15,0),MATCH(H202,'G-6 Hedgerow Data'!$E$2:$I$2,0))))</f>
        <v/>
      </c>
      <c r="P202" s="159"/>
      <c r="Q202" s="159"/>
      <c r="R202" s="370" t="str">
        <f t="shared" si="15"/>
        <v/>
      </c>
      <c r="S202" s="383" t="str">
        <f t="shared" si="16"/>
        <v/>
      </c>
      <c r="T202" s="384" t="str">
        <f t="shared" si="14"/>
        <v/>
      </c>
      <c r="U202" s="398" t="str">
        <f>IF(D202="","",VLOOKUP(D202,'G-6 Hedgerow Data'!$B$3:$AG$15,31,FALSE))</f>
        <v/>
      </c>
      <c r="V202" s="382" t="str">
        <f t="shared" si="17"/>
        <v/>
      </c>
      <c r="W202" s="382" t="str">
        <f t="shared" si="18"/>
        <v/>
      </c>
      <c r="X202" s="386" t="str">
        <f>IF(F202="","",VLOOKUP(U202,'G-3 Multipliers'!$P$3:$Q$6,2,FALSE))</f>
        <v/>
      </c>
      <c r="Y202" s="390" t="str">
        <f t="shared" si="19"/>
        <v/>
      </c>
      <c r="Z202" s="390" t="str">
        <f t="shared" si="20"/>
        <v/>
      </c>
      <c r="AA202" s="117"/>
      <c r="AB202" s="118"/>
      <c r="AC202" s="120"/>
      <c r="AD202" s="120"/>
      <c r="AH202" s="30" t="str">
        <f>IFERROR(INDEX('G-6 Hedgerow Data'!$BJ$3:$BJ$15,MATCH(D202,'G-6 Hedgerow Data'!$B$3:$B$15,0)),"")</f>
        <v/>
      </c>
    </row>
    <row r="203" spans="2:34" ht="15">
      <c r="B203" s="110">
        <v>192</v>
      </c>
      <c r="C203" s="216"/>
      <c r="D203" s="63"/>
      <c r="E203" s="165"/>
      <c r="F203" s="362" t="str">
        <f>IF(D203="","",VLOOKUP(D203,'G-6 Hedgerow Data'!$B$2:$AG$15,2,FALSE))</f>
        <v/>
      </c>
      <c r="G203" s="386" t="str">
        <f>IF(D203="","",VLOOKUP(D203,'G-6 Hedgerow Data'!$B$2:$AG$15,3,FALSE))</f>
        <v/>
      </c>
      <c r="H203" s="55"/>
      <c r="I203" s="363" t="str">
        <f>IFERROR(IF(AND(F203="V.Low",OR(H203="Good",H203="Moderate")),"Error ▲",VLOOKUP(H203,'G-1 All Habitats'!$Z$2:$AA$9,2,FALSE)),"")</f>
        <v/>
      </c>
      <c r="J203" s="115"/>
      <c r="K203" s="382" t="str">
        <f>IF(J203="","",IF(VLOOKUP(J203,'G-3 Multipliers'!$L$3:$N$6,2,FALSE)=0,"Spatial Data Missing",VLOOKUP(J203,'G-3 Multipliers'!$L$3:$N$6,2,FALSE)))</f>
        <v/>
      </c>
      <c r="L203" s="386" t="str">
        <f>IF(J203="","",IF(VLOOKUP(J203,'G-3 Multipliers'!$L$3:$N$6,3,FALSE)=0,"Spatial Data Missing",VLOOKUP(J203,'G-3 Multipliers'!$L$3:$N$6,3,FALSE)))</f>
        <v/>
      </c>
      <c r="M203" s="160"/>
      <c r="N203" s="363" t="str">
        <f>IF(M203="","",IF(VLOOKUP(M203,'G-3 Multipliers'!$S$3:$T$10,2,FALSE)=0,"Spatial Data Missing ⚠",VLOOKUP(M203,'G-3 Multipliers'!$S$3:$T$10,2,FALSE)))</f>
        <v/>
      </c>
      <c r="O203" s="362" t="str">
        <f>IF(OR(D203="",H203=""),"",(INDEX('G-6 Hedgerow Data'!$E$3:$I$15,MATCH(D203,'G-6 Hedgerow Data'!$B$3:$B$15,0),MATCH(H203,'G-6 Hedgerow Data'!$E$2:$I$2,0))))</f>
        <v/>
      </c>
      <c r="P203" s="159"/>
      <c r="Q203" s="159"/>
      <c r="R203" s="370" t="str">
        <f t="shared" si="15"/>
        <v/>
      </c>
      <c r="S203" s="383" t="str">
        <f t="shared" si="16"/>
        <v/>
      </c>
      <c r="T203" s="384" t="str">
        <f t="shared" si="14"/>
        <v/>
      </c>
      <c r="U203" s="398" t="str">
        <f>IF(D203="","",VLOOKUP(D203,'G-6 Hedgerow Data'!$B$3:$AG$15,31,FALSE))</f>
        <v/>
      </c>
      <c r="V203" s="382" t="str">
        <f t="shared" si="17"/>
        <v/>
      </c>
      <c r="W203" s="382" t="str">
        <f t="shared" si="18"/>
        <v/>
      </c>
      <c r="X203" s="386" t="str">
        <f>IF(F203="","",VLOOKUP(U203,'G-3 Multipliers'!$P$3:$Q$6,2,FALSE))</f>
        <v/>
      </c>
      <c r="Y203" s="390" t="str">
        <f t="shared" si="19"/>
        <v/>
      </c>
      <c r="Z203" s="390" t="str">
        <f t="shared" si="20"/>
        <v/>
      </c>
      <c r="AA203" s="117"/>
      <c r="AB203" s="118"/>
      <c r="AC203" s="120"/>
      <c r="AD203" s="120"/>
      <c r="AH203" s="30" t="str">
        <f>IFERROR(INDEX('G-6 Hedgerow Data'!$BJ$3:$BJ$15,MATCH(D203,'G-6 Hedgerow Data'!$B$3:$B$15,0)),"")</f>
        <v/>
      </c>
    </row>
    <row r="204" spans="2:34" ht="15">
      <c r="B204" s="110">
        <v>193</v>
      </c>
      <c r="C204" s="216"/>
      <c r="D204" s="63"/>
      <c r="E204" s="165"/>
      <c r="F204" s="362" t="str">
        <f>IF(D204="","",VLOOKUP(D204,'G-6 Hedgerow Data'!$B$2:$AG$15,2,FALSE))</f>
        <v/>
      </c>
      <c r="G204" s="386" t="str">
        <f>IF(D204="","",VLOOKUP(D204,'G-6 Hedgerow Data'!$B$2:$AG$15,3,FALSE))</f>
        <v/>
      </c>
      <c r="H204" s="55"/>
      <c r="I204" s="363" t="str">
        <f>IFERROR(IF(AND(F204="V.Low",OR(H204="Good",H204="Moderate")),"Error ▲",VLOOKUP(H204,'G-1 All Habitats'!$Z$2:$AA$9,2,FALSE)),"")</f>
        <v/>
      </c>
      <c r="J204" s="115"/>
      <c r="K204" s="382" t="str">
        <f>IF(J204="","",IF(VLOOKUP(J204,'G-3 Multipliers'!$L$3:$N$6,2,FALSE)=0,"Spatial Data Missing",VLOOKUP(J204,'G-3 Multipliers'!$L$3:$N$6,2,FALSE)))</f>
        <v/>
      </c>
      <c r="L204" s="386" t="str">
        <f>IF(J204="","",IF(VLOOKUP(J204,'G-3 Multipliers'!$L$3:$N$6,3,FALSE)=0,"Spatial Data Missing",VLOOKUP(J204,'G-3 Multipliers'!$L$3:$N$6,3,FALSE)))</f>
        <v/>
      </c>
      <c r="M204" s="160"/>
      <c r="N204" s="363" t="str">
        <f>IF(M204="","",IF(VLOOKUP(M204,'G-3 Multipliers'!$S$3:$T$10,2,FALSE)=0,"Spatial Data Missing ⚠",VLOOKUP(M204,'G-3 Multipliers'!$S$3:$T$10,2,FALSE)))</f>
        <v/>
      </c>
      <c r="O204" s="362" t="str">
        <f>IF(OR(D204="",H204=""),"",(INDEX('G-6 Hedgerow Data'!$E$3:$I$15,MATCH(D204,'G-6 Hedgerow Data'!$B$3:$B$15,0),MATCH(H204,'G-6 Hedgerow Data'!$E$2:$I$2,0))))</f>
        <v/>
      </c>
      <c r="P204" s="159"/>
      <c r="Q204" s="159"/>
      <c r="R204" s="370" t="str">
        <f t="shared" si="15"/>
        <v/>
      </c>
      <c r="S204" s="383" t="str">
        <f t="shared" si="16"/>
        <v/>
      </c>
      <c r="T204" s="384" t="str">
        <f t="shared" ref="T204:T259" si="21">IF(D204="","",IF(S204="Check Data ⚠","Check Data ⚠",VLOOKUP(S204,TemporalMultipliers,3,FALSE)))</f>
        <v/>
      </c>
      <c r="U204" s="398" t="str">
        <f>IF(D204="","",VLOOKUP(D204,'G-6 Hedgerow Data'!$B$3:$AG$15,31,FALSE))</f>
        <v/>
      </c>
      <c r="V204" s="382" t="str">
        <f t="shared" si="17"/>
        <v/>
      </c>
      <c r="W204" s="382" t="str">
        <f t="shared" si="18"/>
        <v/>
      </c>
      <c r="X204" s="386" t="str">
        <f>IF(F204="","",VLOOKUP(U204,'G-3 Multipliers'!$P$3:$Q$6,2,FALSE))</f>
        <v/>
      </c>
      <c r="Y204" s="390" t="str">
        <f t="shared" si="19"/>
        <v/>
      </c>
      <c r="Z204" s="390" t="str">
        <f t="shared" si="20"/>
        <v/>
      </c>
      <c r="AA204" s="117"/>
      <c r="AB204" s="118"/>
      <c r="AC204" s="120"/>
      <c r="AD204" s="120"/>
      <c r="AH204" s="30" t="str">
        <f>IFERROR(INDEX('G-6 Hedgerow Data'!$BJ$3:$BJ$15,MATCH(D204,'G-6 Hedgerow Data'!$B$3:$B$15,0)),"")</f>
        <v/>
      </c>
    </row>
    <row r="205" spans="2:34" ht="15">
      <c r="B205" s="110">
        <v>194</v>
      </c>
      <c r="C205" s="216"/>
      <c r="D205" s="63"/>
      <c r="E205" s="165"/>
      <c r="F205" s="362" t="str">
        <f>IF(D205="","",VLOOKUP(D205,'G-6 Hedgerow Data'!$B$2:$AG$15,2,FALSE))</f>
        <v/>
      </c>
      <c r="G205" s="386" t="str">
        <f>IF(D205="","",VLOOKUP(D205,'G-6 Hedgerow Data'!$B$2:$AG$15,3,FALSE))</f>
        <v/>
      </c>
      <c r="H205" s="55"/>
      <c r="I205" s="363" t="str">
        <f>IFERROR(IF(AND(F205="V.Low",OR(H205="Good",H205="Moderate")),"Error ▲",VLOOKUP(H205,'G-1 All Habitats'!$Z$2:$AA$9,2,FALSE)),"")</f>
        <v/>
      </c>
      <c r="J205" s="115"/>
      <c r="K205" s="382" t="str">
        <f>IF(J205="","",IF(VLOOKUP(J205,'G-3 Multipliers'!$L$3:$N$6,2,FALSE)=0,"Spatial Data Missing",VLOOKUP(J205,'G-3 Multipliers'!$L$3:$N$6,2,FALSE)))</f>
        <v/>
      </c>
      <c r="L205" s="386" t="str">
        <f>IF(J205="","",IF(VLOOKUP(J205,'G-3 Multipliers'!$L$3:$N$6,3,FALSE)=0,"Spatial Data Missing",VLOOKUP(J205,'G-3 Multipliers'!$L$3:$N$6,3,FALSE)))</f>
        <v/>
      </c>
      <c r="M205" s="160"/>
      <c r="N205" s="363" t="str">
        <f>IF(M205="","",IF(VLOOKUP(M205,'G-3 Multipliers'!$S$3:$T$10,2,FALSE)=0,"Spatial Data Missing ⚠",VLOOKUP(M205,'G-3 Multipliers'!$S$3:$T$10,2,FALSE)))</f>
        <v/>
      </c>
      <c r="O205" s="362" t="str">
        <f>IF(OR(D205="",H205=""),"",(INDEX('G-6 Hedgerow Data'!$E$3:$I$15,MATCH(D205,'G-6 Hedgerow Data'!$B$3:$B$15,0),MATCH(H205,'G-6 Hedgerow Data'!$E$2:$I$2,0))))</f>
        <v/>
      </c>
      <c r="P205" s="159"/>
      <c r="Q205" s="159"/>
      <c r="R205" s="370" t="str">
        <f t="shared" ref="R205:R259" si="22">IF(D205="","",IF(AND(P205&gt;0,Q205&gt;0),"Error -both advance and delayed habitat creation ▲",IF(AND(OR(P205="Habitat already in target condition",O205&lt;=P205),Q205=0),"Check details - Is there evidence that habitat has reached target condition? ⚠",IF(O205="","",IF(P205&gt;0,"Check details - Is there evidence habitat creation started/in place? ⚠",IF(Q205&gt;0,"Check details- Delay in starting habitat in required condition? ⚠","Standard time to target condition applied"))))))</f>
        <v/>
      </c>
      <c r="S205" s="383" t="str">
        <f t="shared" ref="S205:S259" si="23">IF(O205="","",IF(R205="Error -both advance and delayed habitat creation ▲","Check Data ⚠",IF(OR(P205="30+",P205="Habitat already in target condition"),0,IF(Q205="30+","30+",IF(AND(O205="30+",OR(P205="",P205=0)),"30+",IF(AND(O205="30+",P205&gt;0),30-P205,IF(O205+Q205&gt;30,"30+",IF(O205+Q205-P205&gt;0,O205+Q205-P205,IF(O205-P205&lt;0,0,O205+Q205-P205)))))))))</f>
        <v/>
      </c>
      <c r="T205" s="384" t="str">
        <f t="shared" si="21"/>
        <v/>
      </c>
      <c r="U205" s="398" t="str">
        <f>IF(D205="","",VLOOKUP(D205,'G-6 Hedgerow Data'!$B$3:$AG$15,31,FALSE))</f>
        <v/>
      </c>
      <c r="V205" s="382" t="str">
        <f t="shared" ref="V205:V259" si="24">IF(D205="","",IF(S205="Check Data ⚠","Check Data ⚠",IF(H205="","",IF($R205="Check details - Is there evidence that habitat has reached target condition? ⚠","Low Difficulty - only applicable if all habitat created before losses","Standard difficulty applied"))))</f>
        <v/>
      </c>
      <c r="W205" s="382" t="str">
        <f t="shared" ref="W205:W259" si="25">(IF(AND(V205="Standard difficulty applied",O205&gt;P205),U205,IF(AND(V205="Low Difficulty - only applicable if all habitat created before losses",P205&gt;=O205),"Low",U205)))</f>
        <v/>
      </c>
      <c r="X205" s="386" t="str">
        <f>IF(F205="","",VLOOKUP(U205,'G-3 Multipliers'!$P$3:$Q$6,2,FALSE))</f>
        <v/>
      </c>
      <c r="Y205" s="390" t="str">
        <f t="shared" ref="Y205:Y259" si="26">IFERROR(E205*G205*I205*L205*T205*X205*N205,"")</f>
        <v/>
      </c>
      <c r="Z205" s="390" t="str">
        <f t="shared" ref="Z205:Z259" si="27">IFERROR(IF(M205="","", E205*G205*I205*L205*T205*X205),"")</f>
        <v/>
      </c>
      <c r="AA205" s="117"/>
      <c r="AB205" s="118"/>
      <c r="AC205" s="120"/>
      <c r="AD205" s="120"/>
      <c r="AH205" s="30" t="str">
        <f>IFERROR(INDEX('G-6 Hedgerow Data'!$BJ$3:$BJ$15,MATCH(D205,'G-6 Hedgerow Data'!$B$3:$B$15,0)),"")</f>
        <v/>
      </c>
    </row>
    <row r="206" spans="2:34" ht="15">
      <c r="B206" s="110">
        <v>195</v>
      </c>
      <c r="C206" s="216"/>
      <c r="D206" s="63"/>
      <c r="E206" s="165"/>
      <c r="F206" s="362" t="str">
        <f>IF(D206="","",VLOOKUP(D206,'G-6 Hedgerow Data'!$B$2:$AG$15,2,FALSE))</f>
        <v/>
      </c>
      <c r="G206" s="386" t="str">
        <f>IF(D206="","",VLOOKUP(D206,'G-6 Hedgerow Data'!$B$2:$AG$15,3,FALSE))</f>
        <v/>
      </c>
      <c r="H206" s="55"/>
      <c r="I206" s="363" t="str">
        <f>IFERROR(IF(AND(F206="V.Low",OR(H206="Good",H206="Moderate")),"Error ▲",VLOOKUP(H206,'G-1 All Habitats'!$Z$2:$AA$9,2,FALSE)),"")</f>
        <v/>
      </c>
      <c r="J206" s="115"/>
      <c r="K206" s="382" t="str">
        <f>IF(J206="","",IF(VLOOKUP(J206,'G-3 Multipliers'!$L$3:$N$6,2,FALSE)=0,"Spatial Data Missing",VLOOKUP(J206,'G-3 Multipliers'!$L$3:$N$6,2,FALSE)))</f>
        <v/>
      </c>
      <c r="L206" s="386" t="str">
        <f>IF(J206="","",IF(VLOOKUP(J206,'G-3 Multipliers'!$L$3:$N$6,3,FALSE)=0,"Spatial Data Missing",VLOOKUP(J206,'G-3 Multipliers'!$L$3:$N$6,3,FALSE)))</f>
        <v/>
      </c>
      <c r="M206" s="160"/>
      <c r="N206" s="363" t="str">
        <f>IF(M206="","",IF(VLOOKUP(M206,'G-3 Multipliers'!$S$3:$T$10,2,FALSE)=0,"Spatial Data Missing ⚠",VLOOKUP(M206,'G-3 Multipliers'!$S$3:$T$10,2,FALSE)))</f>
        <v/>
      </c>
      <c r="O206" s="362" t="str">
        <f>IF(OR(D206="",H206=""),"",(INDEX('G-6 Hedgerow Data'!$E$3:$I$15,MATCH(D206,'G-6 Hedgerow Data'!$B$3:$B$15,0),MATCH(H206,'G-6 Hedgerow Data'!$E$2:$I$2,0))))</f>
        <v/>
      </c>
      <c r="P206" s="159"/>
      <c r="Q206" s="159"/>
      <c r="R206" s="370" t="str">
        <f t="shared" si="22"/>
        <v/>
      </c>
      <c r="S206" s="383" t="str">
        <f t="shared" si="23"/>
        <v/>
      </c>
      <c r="T206" s="384" t="str">
        <f t="shared" si="21"/>
        <v/>
      </c>
      <c r="U206" s="398" t="str">
        <f>IF(D206="","",VLOOKUP(D206,'G-6 Hedgerow Data'!$B$3:$AG$15,31,FALSE))</f>
        <v/>
      </c>
      <c r="V206" s="382" t="str">
        <f t="shared" si="24"/>
        <v/>
      </c>
      <c r="W206" s="382" t="str">
        <f t="shared" si="25"/>
        <v/>
      </c>
      <c r="X206" s="386" t="str">
        <f>IF(F206="","",VLOOKUP(U206,'G-3 Multipliers'!$P$3:$Q$6,2,FALSE))</f>
        <v/>
      </c>
      <c r="Y206" s="390" t="str">
        <f t="shared" si="26"/>
        <v/>
      </c>
      <c r="Z206" s="390" t="str">
        <f t="shared" si="27"/>
        <v/>
      </c>
      <c r="AA206" s="117"/>
      <c r="AB206" s="118"/>
      <c r="AC206" s="120"/>
      <c r="AD206" s="120"/>
      <c r="AH206" s="30" t="str">
        <f>IFERROR(INDEX('G-6 Hedgerow Data'!$BJ$3:$BJ$15,MATCH(D206,'G-6 Hedgerow Data'!$B$3:$B$15,0)),"")</f>
        <v/>
      </c>
    </row>
    <row r="207" spans="2:34" ht="15">
      <c r="B207" s="110">
        <v>196</v>
      </c>
      <c r="C207" s="216"/>
      <c r="D207" s="63"/>
      <c r="E207" s="165"/>
      <c r="F207" s="362" t="str">
        <f>IF(D207="","",VLOOKUP(D207,'G-6 Hedgerow Data'!$B$2:$AG$15,2,FALSE))</f>
        <v/>
      </c>
      <c r="G207" s="386" t="str">
        <f>IF(D207="","",VLOOKUP(D207,'G-6 Hedgerow Data'!$B$2:$AG$15,3,FALSE))</f>
        <v/>
      </c>
      <c r="H207" s="55"/>
      <c r="I207" s="363" t="str">
        <f>IFERROR(IF(AND(F207="V.Low",OR(H207="Good",H207="Moderate")),"Error ▲",VLOOKUP(H207,'G-1 All Habitats'!$Z$2:$AA$9,2,FALSE)),"")</f>
        <v/>
      </c>
      <c r="J207" s="115"/>
      <c r="K207" s="382" t="str">
        <f>IF(J207="","",IF(VLOOKUP(J207,'G-3 Multipliers'!$L$3:$N$6,2,FALSE)=0,"Spatial Data Missing",VLOOKUP(J207,'G-3 Multipliers'!$L$3:$N$6,2,FALSE)))</f>
        <v/>
      </c>
      <c r="L207" s="386" t="str">
        <f>IF(J207="","",IF(VLOOKUP(J207,'G-3 Multipliers'!$L$3:$N$6,3,FALSE)=0,"Spatial Data Missing",VLOOKUP(J207,'G-3 Multipliers'!$L$3:$N$6,3,FALSE)))</f>
        <v/>
      </c>
      <c r="M207" s="160"/>
      <c r="N207" s="363" t="str">
        <f>IF(M207="","",IF(VLOOKUP(M207,'G-3 Multipliers'!$S$3:$T$10,2,FALSE)=0,"Spatial Data Missing ⚠",VLOOKUP(M207,'G-3 Multipliers'!$S$3:$T$10,2,FALSE)))</f>
        <v/>
      </c>
      <c r="O207" s="362" t="str">
        <f>IF(OR(D207="",H207=""),"",(INDEX('G-6 Hedgerow Data'!$E$3:$I$15,MATCH(D207,'G-6 Hedgerow Data'!$B$3:$B$15,0),MATCH(H207,'G-6 Hedgerow Data'!$E$2:$I$2,0))))</f>
        <v/>
      </c>
      <c r="P207" s="159"/>
      <c r="Q207" s="159"/>
      <c r="R207" s="370" t="str">
        <f t="shared" si="22"/>
        <v/>
      </c>
      <c r="S207" s="383" t="str">
        <f t="shared" si="23"/>
        <v/>
      </c>
      <c r="T207" s="384" t="str">
        <f t="shared" si="21"/>
        <v/>
      </c>
      <c r="U207" s="398" t="str">
        <f>IF(D207="","",VLOOKUP(D207,'G-6 Hedgerow Data'!$B$3:$AG$15,31,FALSE))</f>
        <v/>
      </c>
      <c r="V207" s="382" t="str">
        <f t="shared" si="24"/>
        <v/>
      </c>
      <c r="W207" s="382" t="str">
        <f t="shared" si="25"/>
        <v/>
      </c>
      <c r="X207" s="386" t="str">
        <f>IF(F207="","",VLOOKUP(U207,'G-3 Multipliers'!$P$3:$Q$6,2,FALSE))</f>
        <v/>
      </c>
      <c r="Y207" s="390" t="str">
        <f t="shared" si="26"/>
        <v/>
      </c>
      <c r="Z207" s="390" t="str">
        <f t="shared" si="27"/>
        <v/>
      </c>
      <c r="AA207" s="117"/>
      <c r="AB207" s="118"/>
      <c r="AC207" s="120"/>
      <c r="AD207" s="120"/>
      <c r="AH207" s="30" t="str">
        <f>IFERROR(INDEX('G-6 Hedgerow Data'!$BJ$3:$BJ$15,MATCH(D207,'G-6 Hedgerow Data'!$B$3:$B$15,0)),"")</f>
        <v/>
      </c>
    </row>
    <row r="208" spans="2:34" ht="15">
      <c r="B208" s="110">
        <v>197</v>
      </c>
      <c r="C208" s="216"/>
      <c r="D208" s="63"/>
      <c r="E208" s="165"/>
      <c r="F208" s="362" t="str">
        <f>IF(D208="","",VLOOKUP(D208,'G-6 Hedgerow Data'!$B$2:$AG$15,2,FALSE))</f>
        <v/>
      </c>
      <c r="G208" s="386" t="str">
        <f>IF(D208="","",VLOOKUP(D208,'G-6 Hedgerow Data'!$B$2:$AG$15,3,FALSE))</f>
        <v/>
      </c>
      <c r="H208" s="55"/>
      <c r="I208" s="363" t="str">
        <f>IFERROR(IF(AND(F208="V.Low",OR(H208="Good",H208="Moderate")),"Error ▲",VLOOKUP(H208,'G-1 All Habitats'!$Z$2:$AA$9,2,FALSE)),"")</f>
        <v/>
      </c>
      <c r="J208" s="115"/>
      <c r="K208" s="382" t="str">
        <f>IF(J208="","",IF(VLOOKUP(J208,'G-3 Multipliers'!$L$3:$N$6,2,FALSE)=0,"Spatial Data Missing",VLOOKUP(J208,'G-3 Multipliers'!$L$3:$N$6,2,FALSE)))</f>
        <v/>
      </c>
      <c r="L208" s="386" t="str">
        <f>IF(J208="","",IF(VLOOKUP(J208,'G-3 Multipliers'!$L$3:$N$6,3,FALSE)=0,"Spatial Data Missing",VLOOKUP(J208,'G-3 Multipliers'!$L$3:$N$6,3,FALSE)))</f>
        <v/>
      </c>
      <c r="M208" s="160"/>
      <c r="N208" s="363" t="str">
        <f>IF(M208="","",IF(VLOOKUP(M208,'G-3 Multipliers'!$S$3:$T$10,2,FALSE)=0,"Spatial Data Missing ⚠",VLOOKUP(M208,'G-3 Multipliers'!$S$3:$T$10,2,FALSE)))</f>
        <v/>
      </c>
      <c r="O208" s="362" t="str">
        <f>IF(OR(D208="",H208=""),"",(INDEX('G-6 Hedgerow Data'!$E$3:$I$15,MATCH(D208,'G-6 Hedgerow Data'!$B$3:$B$15,0),MATCH(H208,'G-6 Hedgerow Data'!$E$2:$I$2,0))))</f>
        <v/>
      </c>
      <c r="P208" s="159"/>
      <c r="Q208" s="159"/>
      <c r="R208" s="370" t="str">
        <f t="shared" si="22"/>
        <v/>
      </c>
      <c r="S208" s="383" t="str">
        <f t="shared" si="23"/>
        <v/>
      </c>
      <c r="T208" s="384" t="str">
        <f t="shared" si="21"/>
        <v/>
      </c>
      <c r="U208" s="398" t="str">
        <f>IF(D208="","",VLOOKUP(D208,'G-6 Hedgerow Data'!$B$3:$AG$15,31,FALSE))</f>
        <v/>
      </c>
      <c r="V208" s="382" t="str">
        <f t="shared" si="24"/>
        <v/>
      </c>
      <c r="W208" s="382" t="str">
        <f t="shared" si="25"/>
        <v/>
      </c>
      <c r="X208" s="386" t="str">
        <f>IF(F208="","",VLOOKUP(U208,'G-3 Multipliers'!$P$3:$Q$6,2,FALSE))</f>
        <v/>
      </c>
      <c r="Y208" s="390" t="str">
        <f t="shared" si="26"/>
        <v/>
      </c>
      <c r="Z208" s="390" t="str">
        <f t="shared" si="27"/>
        <v/>
      </c>
      <c r="AA208" s="117"/>
      <c r="AB208" s="118"/>
      <c r="AC208" s="120"/>
      <c r="AD208" s="120"/>
      <c r="AH208" s="30" t="str">
        <f>IFERROR(INDEX('G-6 Hedgerow Data'!$BJ$3:$BJ$15,MATCH(D208,'G-6 Hedgerow Data'!$B$3:$B$15,0)),"")</f>
        <v/>
      </c>
    </row>
    <row r="209" spans="2:34" ht="15">
      <c r="B209" s="110">
        <v>198</v>
      </c>
      <c r="C209" s="216"/>
      <c r="D209" s="63"/>
      <c r="E209" s="165"/>
      <c r="F209" s="362" t="str">
        <f>IF(D209="","",VLOOKUP(D209,'G-6 Hedgerow Data'!$B$2:$AG$15,2,FALSE))</f>
        <v/>
      </c>
      <c r="G209" s="386" t="str">
        <f>IF(D209="","",VLOOKUP(D209,'G-6 Hedgerow Data'!$B$2:$AG$15,3,FALSE))</f>
        <v/>
      </c>
      <c r="H209" s="55"/>
      <c r="I209" s="363" t="str">
        <f>IFERROR(IF(AND(F209="V.Low",OR(H209="Good",H209="Moderate")),"Error ▲",VLOOKUP(H209,'G-1 All Habitats'!$Z$2:$AA$9,2,FALSE)),"")</f>
        <v/>
      </c>
      <c r="J209" s="115"/>
      <c r="K209" s="382" t="str">
        <f>IF(J209="","",IF(VLOOKUP(J209,'G-3 Multipliers'!$L$3:$N$6,2,FALSE)=0,"Spatial Data Missing",VLOOKUP(J209,'G-3 Multipliers'!$L$3:$N$6,2,FALSE)))</f>
        <v/>
      </c>
      <c r="L209" s="386" t="str">
        <f>IF(J209="","",IF(VLOOKUP(J209,'G-3 Multipliers'!$L$3:$N$6,3,FALSE)=0,"Spatial Data Missing",VLOOKUP(J209,'G-3 Multipliers'!$L$3:$N$6,3,FALSE)))</f>
        <v/>
      </c>
      <c r="M209" s="160"/>
      <c r="N209" s="363" t="str">
        <f>IF(M209="","",IF(VLOOKUP(M209,'G-3 Multipliers'!$S$3:$T$10,2,FALSE)=0,"Spatial Data Missing ⚠",VLOOKUP(M209,'G-3 Multipliers'!$S$3:$T$10,2,FALSE)))</f>
        <v/>
      </c>
      <c r="O209" s="362" t="str">
        <f>IF(OR(D209="",H209=""),"",(INDEX('G-6 Hedgerow Data'!$E$3:$I$15,MATCH(D209,'G-6 Hedgerow Data'!$B$3:$B$15,0),MATCH(H209,'G-6 Hedgerow Data'!$E$2:$I$2,0))))</f>
        <v/>
      </c>
      <c r="P209" s="159"/>
      <c r="Q209" s="159"/>
      <c r="R209" s="370" t="str">
        <f t="shared" si="22"/>
        <v/>
      </c>
      <c r="S209" s="383" t="str">
        <f t="shared" si="23"/>
        <v/>
      </c>
      <c r="T209" s="384" t="str">
        <f t="shared" si="21"/>
        <v/>
      </c>
      <c r="U209" s="398" t="str">
        <f>IF(D209="","",VLOOKUP(D209,'G-6 Hedgerow Data'!$B$3:$AG$15,31,FALSE))</f>
        <v/>
      </c>
      <c r="V209" s="382" t="str">
        <f t="shared" si="24"/>
        <v/>
      </c>
      <c r="W209" s="382" t="str">
        <f t="shared" si="25"/>
        <v/>
      </c>
      <c r="X209" s="386" t="str">
        <f>IF(F209="","",VLOOKUP(U209,'G-3 Multipliers'!$P$3:$Q$6,2,FALSE))</f>
        <v/>
      </c>
      <c r="Y209" s="390" t="str">
        <f t="shared" si="26"/>
        <v/>
      </c>
      <c r="Z209" s="390" t="str">
        <f t="shared" si="27"/>
        <v/>
      </c>
      <c r="AA209" s="117"/>
      <c r="AB209" s="118"/>
      <c r="AC209" s="120"/>
      <c r="AD209" s="120"/>
      <c r="AH209" s="30" t="str">
        <f>IFERROR(INDEX('G-6 Hedgerow Data'!$BJ$3:$BJ$15,MATCH(D209,'G-6 Hedgerow Data'!$B$3:$B$15,0)),"")</f>
        <v/>
      </c>
    </row>
    <row r="210" spans="2:34" ht="15">
      <c r="B210" s="110">
        <v>199</v>
      </c>
      <c r="C210" s="216"/>
      <c r="D210" s="63"/>
      <c r="E210" s="165"/>
      <c r="F210" s="362" t="str">
        <f>IF(D210="","",VLOOKUP(D210,'G-6 Hedgerow Data'!$B$2:$AG$15,2,FALSE))</f>
        <v/>
      </c>
      <c r="G210" s="386" t="str">
        <f>IF(D210="","",VLOOKUP(D210,'G-6 Hedgerow Data'!$B$2:$AG$15,3,FALSE))</f>
        <v/>
      </c>
      <c r="H210" s="55"/>
      <c r="I210" s="363" t="str">
        <f>IFERROR(IF(AND(F210="V.Low",OR(H210="Good",H210="Moderate")),"Error ▲",VLOOKUP(H210,'G-1 All Habitats'!$Z$2:$AA$9,2,FALSE)),"")</f>
        <v/>
      </c>
      <c r="J210" s="115"/>
      <c r="K210" s="382" t="str">
        <f>IF(J210="","",IF(VLOOKUP(J210,'G-3 Multipliers'!$L$3:$N$6,2,FALSE)=0,"Spatial Data Missing",VLOOKUP(J210,'G-3 Multipliers'!$L$3:$N$6,2,FALSE)))</f>
        <v/>
      </c>
      <c r="L210" s="386" t="str">
        <f>IF(J210="","",IF(VLOOKUP(J210,'G-3 Multipliers'!$L$3:$N$6,3,FALSE)=0,"Spatial Data Missing",VLOOKUP(J210,'G-3 Multipliers'!$L$3:$N$6,3,FALSE)))</f>
        <v/>
      </c>
      <c r="M210" s="160"/>
      <c r="N210" s="363" t="str">
        <f>IF(M210="","",IF(VLOOKUP(M210,'G-3 Multipliers'!$S$3:$T$10,2,FALSE)=0,"Spatial Data Missing ⚠",VLOOKUP(M210,'G-3 Multipliers'!$S$3:$T$10,2,FALSE)))</f>
        <v/>
      </c>
      <c r="O210" s="362" t="str">
        <f>IF(OR(D210="",H210=""),"",(INDEX('G-6 Hedgerow Data'!$E$3:$I$15,MATCH(D210,'G-6 Hedgerow Data'!$B$3:$B$15,0),MATCH(H210,'G-6 Hedgerow Data'!$E$2:$I$2,0))))</f>
        <v/>
      </c>
      <c r="P210" s="159"/>
      <c r="Q210" s="159"/>
      <c r="R210" s="370" t="str">
        <f t="shared" si="22"/>
        <v/>
      </c>
      <c r="S210" s="383" t="str">
        <f t="shared" si="23"/>
        <v/>
      </c>
      <c r="T210" s="384" t="str">
        <f t="shared" si="21"/>
        <v/>
      </c>
      <c r="U210" s="398" t="str">
        <f>IF(D210="","",VLOOKUP(D210,'G-6 Hedgerow Data'!$B$3:$AG$15,31,FALSE))</f>
        <v/>
      </c>
      <c r="V210" s="382" t="str">
        <f t="shared" si="24"/>
        <v/>
      </c>
      <c r="W210" s="382" t="str">
        <f t="shared" si="25"/>
        <v/>
      </c>
      <c r="X210" s="386" t="str">
        <f>IF(F210="","",VLOOKUP(U210,'G-3 Multipliers'!$P$3:$Q$6,2,FALSE))</f>
        <v/>
      </c>
      <c r="Y210" s="390" t="str">
        <f t="shared" si="26"/>
        <v/>
      </c>
      <c r="Z210" s="390" t="str">
        <f t="shared" si="27"/>
        <v/>
      </c>
      <c r="AA210" s="117"/>
      <c r="AB210" s="118"/>
      <c r="AC210" s="120"/>
      <c r="AD210" s="120"/>
      <c r="AH210" s="30" t="str">
        <f>IFERROR(INDEX('G-6 Hedgerow Data'!$BJ$3:$BJ$15,MATCH(D210,'G-6 Hedgerow Data'!$B$3:$B$15,0)),"")</f>
        <v/>
      </c>
    </row>
    <row r="211" spans="2:34" ht="15">
      <c r="B211" s="110">
        <v>200</v>
      </c>
      <c r="C211" s="216"/>
      <c r="D211" s="63"/>
      <c r="E211" s="165"/>
      <c r="F211" s="362" t="str">
        <f>IF(D211="","",VLOOKUP(D211,'G-6 Hedgerow Data'!$B$2:$AG$15,2,FALSE))</f>
        <v/>
      </c>
      <c r="G211" s="386" t="str">
        <f>IF(D211="","",VLOOKUP(D211,'G-6 Hedgerow Data'!$B$2:$AG$15,3,FALSE))</f>
        <v/>
      </c>
      <c r="H211" s="55"/>
      <c r="I211" s="363" t="str">
        <f>IFERROR(IF(AND(F211="V.Low",OR(H211="Good",H211="Moderate")),"Error ▲",VLOOKUP(H211,'G-1 All Habitats'!$Z$2:$AA$9,2,FALSE)),"")</f>
        <v/>
      </c>
      <c r="J211" s="115"/>
      <c r="K211" s="382" t="str">
        <f>IF(J211="","",IF(VLOOKUP(J211,'G-3 Multipliers'!$L$3:$N$6,2,FALSE)=0,"Spatial Data Missing",VLOOKUP(J211,'G-3 Multipliers'!$L$3:$N$6,2,FALSE)))</f>
        <v/>
      </c>
      <c r="L211" s="386" t="str">
        <f>IF(J211="","",IF(VLOOKUP(J211,'G-3 Multipliers'!$L$3:$N$6,3,FALSE)=0,"Spatial Data Missing",VLOOKUP(J211,'G-3 Multipliers'!$L$3:$N$6,3,FALSE)))</f>
        <v/>
      </c>
      <c r="M211" s="160"/>
      <c r="N211" s="363" t="str">
        <f>IF(M211="","",IF(VLOOKUP(M211,'G-3 Multipliers'!$S$3:$T$10,2,FALSE)=0,"Spatial Data Missing ⚠",VLOOKUP(M211,'G-3 Multipliers'!$S$3:$T$10,2,FALSE)))</f>
        <v/>
      </c>
      <c r="O211" s="362" t="str">
        <f>IF(OR(D211="",H211=""),"",(INDEX('G-6 Hedgerow Data'!$E$3:$I$15,MATCH(D211,'G-6 Hedgerow Data'!$B$3:$B$15,0),MATCH(H211,'G-6 Hedgerow Data'!$E$2:$I$2,0))))</f>
        <v/>
      </c>
      <c r="P211" s="159"/>
      <c r="Q211" s="159"/>
      <c r="R211" s="370" t="str">
        <f t="shared" si="22"/>
        <v/>
      </c>
      <c r="S211" s="383" t="str">
        <f t="shared" si="23"/>
        <v/>
      </c>
      <c r="T211" s="384" t="str">
        <f t="shared" si="21"/>
        <v/>
      </c>
      <c r="U211" s="398" t="str">
        <f>IF(D211="","",VLOOKUP(D211,'G-6 Hedgerow Data'!$B$3:$AG$15,31,FALSE))</f>
        <v/>
      </c>
      <c r="V211" s="382" t="str">
        <f t="shared" si="24"/>
        <v/>
      </c>
      <c r="W211" s="382" t="str">
        <f t="shared" si="25"/>
        <v/>
      </c>
      <c r="X211" s="386" t="str">
        <f>IF(F211="","",VLOOKUP(U211,'G-3 Multipliers'!$P$3:$Q$6,2,FALSE))</f>
        <v/>
      </c>
      <c r="Y211" s="390" t="str">
        <f t="shared" si="26"/>
        <v/>
      </c>
      <c r="Z211" s="390" t="str">
        <f t="shared" si="27"/>
        <v/>
      </c>
      <c r="AA211" s="117"/>
      <c r="AB211" s="118"/>
      <c r="AC211" s="120"/>
      <c r="AD211" s="120"/>
      <c r="AH211" s="30" t="str">
        <f>IFERROR(INDEX('G-6 Hedgerow Data'!$BJ$3:$BJ$15,MATCH(D211,'G-6 Hedgerow Data'!$B$3:$B$15,0)),"")</f>
        <v/>
      </c>
    </row>
    <row r="212" spans="2:34" ht="15">
      <c r="B212" s="110">
        <v>201</v>
      </c>
      <c r="C212" s="216"/>
      <c r="D212" s="63"/>
      <c r="E212" s="165"/>
      <c r="F212" s="362" t="str">
        <f>IF(D212="","",VLOOKUP(D212,'G-6 Hedgerow Data'!$B$2:$AG$15,2,FALSE))</f>
        <v/>
      </c>
      <c r="G212" s="386" t="str">
        <f>IF(D212="","",VLOOKUP(D212,'G-6 Hedgerow Data'!$B$2:$AG$15,3,FALSE))</f>
        <v/>
      </c>
      <c r="H212" s="55"/>
      <c r="I212" s="363" t="str">
        <f>IFERROR(IF(AND(F212="V.Low",OR(H212="Good",H212="Moderate")),"Error ▲",VLOOKUP(H212,'G-1 All Habitats'!$Z$2:$AA$9,2,FALSE)),"")</f>
        <v/>
      </c>
      <c r="J212" s="115"/>
      <c r="K212" s="382" t="str">
        <f>IF(J212="","",IF(VLOOKUP(J212,'G-3 Multipliers'!$L$3:$N$6,2,FALSE)=0,"Spatial Data Missing",VLOOKUP(J212,'G-3 Multipliers'!$L$3:$N$6,2,FALSE)))</f>
        <v/>
      </c>
      <c r="L212" s="386" t="str">
        <f>IF(J212="","",IF(VLOOKUP(J212,'G-3 Multipliers'!$L$3:$N$6,3,FALSE)=0,"Spatial Data Missing",VLOOKUP(J212,'G-3 Multipliers'!$L$3:$N$6,3,FALSE)))</f>
        <v/>
      </c>
      <c r="M212" s="160"/>
      <c r="N212" s="363" t="str">
        <f>IF(M212="","",IF(VLOOKUP(M212,'G-3 Multipliers'!$S$3:$T$10,2,FALSE)=0,"Spatial Data Missing ⚠",VLOOKUP(M212,'G-3 Multipliers'!$S$3:$T$10,2,FALSE)))</f>
        <v/>
      </c>
      <c r="O212" s="362" t="str">
        <f>IF(OR(D212="",H212=""),"",(INDEX('G-6 Hedgerow Data'!$E$3:$I$15,MATCH(D212,'G-6 Hedgerow Data'!$B$3:$B$15,0),MATCH(H212,'G-6 Hedgerow Data'!$E$2:$I$2,0))))</f>
        <v/>
      </c>
      <c r="P212" s="159"/>
      <c r="Q212" s="159"/>
      <c r="R212" s="370" t="str">
        <f t="shared" si="22"/>
        <v/>
      </c>
      <c r="S212" s="383" t="str">
        <f t="shared" si="23"/>
        <v/>
      </c>
      <c r="T212" s="384" t="str">
        <f t="shared" si="21"/>
        <v/>
      </c>
      <c r="U212" s="398" t="str">
        <f>IF(D212="","",VLOOKUP(D212,'G-6 Hedgerow Data'!$B$3:$AG$15,31,FALSE))</f>
        <v/>
      </c>
      <c r="V212" s="382" t="str">
        <f t="shared" si="24"/>
        <v/>
      </c>
      <c r="W212" s="382" t="str">
        <f t="shared" si="25"/>
        <v/>
      </c>
      <c r="X212" s="386" t="str">
        <f>IF(F212="","",VLOOKUP(U212,'G-3 Multipliers'!$P$3:$Q$6,2,FALSE))</f>
        <v/>
      </c>
      <c r="Y212" s="390" t="str">
        <f t="shared" si="26"/>
        <v/>
      </c>
      <c r="Z212" s="390" t="str">
        <f t="shared" si="27"/>
        <v/>
      </c>
      <c r="AA212" s="117"/>
      <c r="AB212" s="118"/>
      <c r="AC212" s="120"/>
      <c r="AD212" s="120"/>
      <c r="AH212" s="30" t="str">
        <f>IFERROR(INDEX('G-6 Hedgerow Data'!$BJ$3:$BJ$15,MATCH(D212,'G-6 Hedgerow Data'!$B$3:$B$15,0)),"")</f>
        <v/>
      </c>
    </row>
    <row r="213" spans="2:34" ht="15">
      <c r="B213" s="110">
        <v>202</v>
      </c>
      <c r="C213" s="216"/>
      <c r="D213" s="63"/>
      <c r="E213" s="165"/>
      <c r="F213" s="362" t="str">
        <f>IF(D213="","",VLOOKUP(D213,'G-6 Hedgerow Data'!$B$2:$AG$15,2,FALSE))</f>
        <v/>
      </c>
      <c r="G213" s="386" t="str">
        <f>IF(D213="","",VLOOKUP(D213,'G-6 Hedgerow Data'!$B$2:$AG$15,3,FALSE))</f>
        <v/>
      </c>
      <c r="H213" s="55"/>
      <c r="I213" s="363" t="str">
        <f>IFERROR(IF(AND(F213="V.Low",OR(H213="Good",H213="Moderate")),"Error ▲",VLOOKUP(H213,'G-1 All Habitats'!$Z$2:$AA$9,2,FALSE)),"")</f>
        <v/>
      </c>
      <c r="J213" s="115"/>
      <c r="K213" s="382" t="str">
        <f>IF(J213="","",IF(VLOOKUP(J213,'G-3 Multipliers'!$L$3:$N$6,2,FALSE)=0,"Spatial Data Missing",VLOOKUP(J213,'G-3 Multipliers'!$L$3:$N$6,2,FALSE)))</f>
        <v/>
      </c>
      <c r="L213" s="386" t="str">
        <f>IF(J213="","",IF(VLOOKUP(J213,'G-3 Multipliers'!$L$3:$N$6,3,FALSE)=0,"Spatial Data Missing",VLOOKUP(J213,'G-3 Multipliers'!$L$3:$N$6,3,FALSE)))</f>
        <v/>
      </c>
      <c r="M213" s="160"/>
      <c r="N213" s="363" t="str">
        <f>IF(M213="","",IF(VLOOKUP(M213,'G-3 Multipliers'!$S$3:$T$10,2,FALSE)=0,"Spatial Data Missing ⚠",VLOOKUP(M213,'G-3 Multipliers'!$S$3:$T$10,2,FALSE)))</f>
        <v/>
      </c>
      <c r="O213" s="362" t="str">
        <f>IF(OR(D213="",H213=""),"",(INDEX('G-6 Hedgerow Data'!$E$3:$I$15,MATCH(D213,'G-6 Hedgerow Data'!$B$3:$B$15,0),MATCH(H213,'G-6 Hedgerow Data'!$E$2:$I$2,0))))</f>
        <v/>
      </c>
      <c r="P213" s="159"/>
      <c r="Q213" s="159"/>
      <c r="R213" s="370" t="str">
        <f t="shared" si="22"/>
        <v/>
      </c>
      <c r="S213" s="383" t="str">
        <f t="shared" si="23"/>
        <v/>
      </c>
      <c r="T213" s="384" t="str">
        <f t="shared" si="21"/>
        <v/>
      </c>
      <c r="U213" s="398" t="str">
        <f>IF(D213="","",VLOOKUP(D213,'G-6 Hedgerow Data'!$B$3:$AG$15,31,FALSE))</f>
        <v/>
      </c>
      <c r="V213" s="382" t="str">
        <f t="shared" si="24"/>
        <v/>
      </c>
      <c r="W213" s="382" t="str">
        <f t="shared" si="25"/>
        <v/>
      </c>
      <c r="X213" s="386" t="str">
        <f>IF(F213="","",VLOOKUP(U213,'G-3 Multipliers'!$P$3:$Q$6,2,FALSE))</f>
        <v/>
      </c>
      <c r="Y213" s="390" t="str">
        <f t="shared" si="26"/>
        <v/>
      </c>
      <c r="Z213" s="390" t="str">
        <f t="shared" si="27"/>
        <v/>
      </c>
      <c r="AA213" s="117"/>
      <c r="AB213" s="118"/>
      <c r="AC213" s="120"/>
      <c r="AD213" s="120"/>
      <c r="AH213" s="30" t="str">
        <f>IFERROR(INDEX('G-6 Hedgerow Data'!$BJ$3:$BJ$15,MATCH(D213,'G-6 Hedgerow Data'!$B$3:$B$15,0)),"")</f>
        <v/>
      </c>
    </row>
    <row r="214" spans="2:34" ht="15">
      <c r="B214" s="110">
        <v>203</v>
      </c>
      <c r="C214" s="216"/>
      <c r="D214" s="63"/>
      <c r="E214" s="165"/>
      <c r="F214" s="362" t="str">
        <f>IF(D214="","",VLOOKUP(D214,'G-6 Hedgerow Data'!$B$2:$AG$15,2,FALSE))</f>
        <v/>
      </c>
      <c r="G214" s="386" t="str">
        <f>IF(D214="","",VLOOKUP(D214,'G-6 Hedgerow Data'!$B$2:$AG$15,3,FALSE))</f>
        <v/>
      </c>
      <c r="H214" s="55"/>
      <c r="I214" s="363" t="str">
        <f>IFERROR(IF(AND(F214="V.Low",OR(H214="Good",H214="Moderate")),"Error ▲",VLOOKUP(H214,'G-1 All Habitats'!$Z$2:$AA$9,2,FALSE)),"")</f>
        <v/>
      </c>
      <c r="J214" s="115"/>
      <c r="K214" s="382" t="str">
        <f>IF(J214="","",IF(VLOOKUP(J214,'G-3 Multipliers'!$L$3:$N$6,2,FALSE)=0,"Spatial Data Missing",VLOOKUP(J214,'G-3 Multipliers'!$L$3:$N$6,2,FALSE)))</f>
        <v/>
      </c>
      <c r="L214" s="386" t="str">
        <f>IF(J214="","",IF(VLOOKUP(J214,'G-3 Multipliers'!$L$3:$N$6,3,FALSE)=0,"Spatial Data Missing",VLOOKUP(J214,'G-3 Multipliers'!$L$3:$N$6,3,FALSE)))</f>
        <v/>
      </c>
      <c r="M214" s="160"/>
      <c r="N214" s="363" t="str">
        <f>IF(M214="","",IF(VLOOKUP(M214,'G-3 Multipliers'!$S$3:$T$10,2,FALSE)=0,"Spatial Data Missing ⚠",VLOOKUP(M214,'G-3 Multipliers'!$S$3:$T$10,2,FALSE)))</f>
        <v/>
      </c>
      <c r="O214" s="362" t="str">
        <f>IF(OR(D214="",H214=""),"",(INDEX('G-6 Hedgerow Data'!$E$3:$I$15,MATCH(D214,'G-6 Hedgerow Data'!$B$3:$B$15,0),MATCH(H214,'G-6 Hedgerow Data'!$E$2:$I$2,0))))</f>
        <v/>
      </c>
      <c r="P214" s="159"/>
      <c r="Q214" s="159"/>
      <c r="R214" s="370" t="str">
        <f t="shared" si="22"/>
        <v/>
      </c>
      <c r="S214" s="383" t="str">
        <f t="shared" si="23"/>
        <v/>
      </c>
      <c r="T214" s="384" t="str">
        <f t="shared" si="21"/>
        <v/>
      </c>
      <c r="U214" s="398" t="str">
        <f>IF(D214="","",VLOOKUP(D214,'G-6 Hedgerow Data'!$B$3:$AG$15,31,FALSE))</f>
        <v/>
      </c>
      <c r="V214" s="382" t="str">
        <f t="shared" si="24"/>
        <v/>
      </c>
      <c r="W214" s="382" t="str">
        <f t="shared" si="25"/>
        <v/>
      </c>
      <c r="X214" s="386" t="str">
        <f>IF(F214="","",VLOOKUP(U214,'G-3 Multipliers'!$P$3:$Q$6,2,FALSE))</f>
        <v/>
      </c>
      <c r="Y214" s="390" t="str">
        <f t="shared" si="26"/>
        <v/>
      </c>
      <c r="Z214" s="390" t="str">
        <f t="shared" si="27"/>
        <v/>
      </c>
      <c r="AA214" s="117"/>
      <c r="AB214" s="118"/>
      <c r="AC214" s="120"/>
      <c r="AD214" s="120"/>
      <c r="AH214" s="30" t="str">
        <f>IFERROR(INDEX('G-6 Hedgerow Data'!$BJ$3:$BJ$15,MATCH(D214,'G-6 Hedgerow Data'!$B$3:$B$15,0)),"")</f>
        <v/>
      </c>
    </row>
    <row r="215" spans="2:34" ht="15">
      <c r="B215" s="110">
        <v>204</v>
      </c>
      <c r="C215" s="216"/>
      <c r="D215" s="63"/>
      <c r="E215" s="165"/>
      <c r="F215" s="362" t="str">
        <f>IF(D215="","",VLOOKUP(D215,'G-6 Hedgerow Data'!$B$2:$AG$15,2,FALSE))</f>
        <v/>
      </c>
      <c r="G215" s="386" t="str">
        <f>IF(D215="","",VLOOKUP(D215,'G-6 Hedgerow Data'!$B$2:$AG$15,3,FALSE))</f>
        <v/>
      </c>
      <c r="H215" s="55"/>
      <c r="I215" s="363" t="str">
        <f>IFERROR(IF(AND(F215="V.Low",OR(H215="Good",H215="Moderate")),"Error ▲",VLOOKUP(H215,'G-1 All Habitats'!$Z$2:$AA$9,2,FALSE)),"")</f>
        <v/>
      </c>
      <c r="J215" s="115"/>
      <c r="K215" s="382" t="str">
        <f>IF(J215="","",IF(VLOOKUP(J215,'G-3 Multipliers'!$L$3:$N$6,2,FALSE)=0,"Spatial Data Missing",VLOOKUP(J215,'G-3 Multipliers'!$L$3:$N$6,2,FALSE)))</f>
        <v/>
      </c>
      <c r="L215" s="386" t="str">
        <f>IF(J215="","",IF(VLOOKUP(J215,'G-3 Multipliers'!$L$3:$N$6,3,FALSE)=0,"Spatial Data Missing",VLOOKUP(J215,'G-3 Multipliers'!$L$3:$N$6,3,FALSE)))</f>
        <v/>
      </c>
      <c r="M215" s="160"/>
      <c r="N215" s="363" t="str">
        <f>IF(M215="","",IF(VLOOKUP(M215,'G-3 Multipliers'!$S$3:$T$10,2,FALSE)=0,"Spatial Data Missing ⚠",VLOOKUP(M215,'G-3 Multipliers'!$S$3:$T$10,2,FALSE)))</f>
        <v/>
      </c>
      <c r="O215" s="362" t="str">
        <f>IF(OR(D215="",H215=""),"",(INDEX('G-6 Hedgerow Data'!$E$3:$I$15,MATCH(D215,'G-6 Hedgerow Data'!$B$3:$B$15,0),MATCH(H215,'G-6 Hedgerow Data'!$E$2:$I$2,0))))</f>
        <v/>
      </c>
      <c r="P215" s="159"/>
      <c r="Q215" s="159"/>
      <c r="R215" s="370" t="str">
        <f t="shared" si="22"/>
        <v/>
      </c>
      <c r="S215" s="383" t="str">
        <f t="shared" si="23"/>
        <v/>
      </c>
      <c r="T215" s="384" t="str">
        <f t="shared" si="21"/>
        <v/>
      </c>
      <c r="U215" s="398" t="str">
        <f>IF(D215="","",VLOOKUP(D215,'G-6 Hedgerow Data'!$B$3:$AG$15,31,FALSE))</f>
        <v/>
      </c>
      <c r="V215" s="382" t="str">
        <f t="shared" si="24"/>
        <v/>
      </c>
      <c r="W215" s="382" t="str">
        <f t="shared" si="25"/>
        <v/>
      </c>
      <c r="X215" s="386" t="str">
        <f>IF(F215="","",VLOOKUP(U215,'G-3 Multipliers'!$P$3:$Q$6,2,FALSE))</f>
        <v/>
      </c>
      <c r="Y215" s="390" t="str">
        <f t="shared" si="26"/>
        <v/>
      </c>
      <c r="Z215" s="390" t="str">
        <f t="shared" si="27"/>
        <v/>
      </c>
      <c r="AA215" s="117"/>
      <c r="AB215" s="118"/>
      <c r="AC215" s="120"/>
      <c r="AD215" s="120"/>
      <c r="AH215" s="30" t="str">
        <f>IFERROR(INDEX('G-6 Hedgerow Data'!$BJ$3:$BJ$15,MATCH(D215,'G-6 Hedgerow Data'!$B$3:$B$15,0)),"")</f>
        <v/>
      </c>
    </row>
    <row r="216" spans="2:34" ht="15">
      <c r="B216" s="110">
        <v>205</v>
      </c>
      <c r="C216" s="216"/>
      <c r="D216" s="63"/>
      <c r="E216" s="165"/>
      <c r="F216" s="362" t="str">
        <f>IF(D216="","",VLOOKUP(D216,'G-6 Hedgerow Data'!$B$2:$AG$15,2,FALSE))</f>
        <v/>
      </c>
      <c r="G216" s="386" t="str">
        <f>IF(D216="","",VLOOKUP(D216,'G-6 Hedgerow Data'!$B$2:$AG$15,3,FALSE))</f>
        <v/>
      </c>
      <c r="H216" s="55"/>
      <c r="I216" s="363" t="str">
        <f>IFERROR(IF(AND(F216="V.Low",OR(H216="Good",H216="Moderate")),"Error ▲",VLOOKUP(H216,'G-1 All Habitats'!$Z$2:$AA$9,2,FALSE)),"")</f>
        <v/>
      </c>
      <c r="J216" s="115"/>
      <c r="K216" s="382" t="str">
        <f>IF(J216="","",IF(VLOOKUP(J216,'G-3 Multipliers'!$L$3:$N$6,2,FALSE)=0,"Spatial Data Missing",VLOOKUP(J216,'G-3 Multipliers'!$L$3:$N$6,2,FALSE)))</f>
        <v/>
      </c>
      <c r="L216" s="386" t="str">
        <f>IF(J216="","",IF(VLOOKUP(J216,'G-3 Multipliers'!$L$3:$N$6,3,FALSE)=0,"Spatial Data Missing",VLOOKUP(J216,'G-3 Multipliers'!$L$3:$N$6,3,FALSE)))</f>
        <v/>
      </c>
      <c r="M216" s="160"/>
      <c r="N216" s="363" t="str">
        <f>IF(M216="","",IF(VLOOKUP(M216,'G-3 Multipliers'!$S$3:$T$10,2,FALSE)=0,"Spatial Data Missing ⚠",VLOOKUP(M216,'G-3 Multipliers'!$S$3:$T$10,2,FALSE)))</f>
        <v/>
      </c>
      <c r="O216" s="362" t="str">
        <f>IF(OR(D216="",H216=""),"",(INDEX('G-6 Hedgerow Data'!$E$3:$I$15,MATCH(D216,'G-6 Hedgerow Data'!$B$3:$B$15,0),MATCH(H216,'G-6 Hedgerow Data'!$E$2:$I$2,0))))</f>
        <v/>
      </c>
      <c r="P216" s="159"/>
      <c r="Q216" s="159"/>
      <c r="R216" s="370" t="str">
        <f t="shared" si="22"/>
        <v/>
      </c>
      <c r="S216" s="383" t="str">
        <f t="shared" si="23"/>
        <v/>
      </c>
      <c r="T216" s="384" t="str">
        <f t="shared" si="21"/>
        <v/>
      </c>
      <c r="U216" s="398" t="str">
        <f>IF(D216="","",VLOOKUP(D216,'G-6 Hedgerow Data'!$B$3:$AG$15,31,FALSE))</f>
        <v/>
      </c>
      <c r="V216" s="382" t="str">
        <f t="shared" si="24"/>
        <v/>
      </c>
      <c r="W216" s="382" t="str">
        <f t="shared" si="25"/>
        <v/>
      </c>
      <c r="X216" s="386" t="str">
        <f>IF(F216="","",VLOOKUP(U216,'G-3 Multipliers'!$P$3:$Q$6,2,FALSE))</f>
        <v/>
      </c>
      <c r="Y216" s="390" t="str">
        <f t="shared" si="26"/>
        <v/>
      </c>
      <c r="Z216" s="390" t="str">
        <f t="shared" si="27"/>
        <v/>
      </c>
      <c r="AA216" s="117"/>
      <c r="AB216" s="118"/>
      <c r="AC216" s="120"/>
      <c r="AD216" s="120"/>
      <c r="AH216" s="30" t="str">
        <f>IFERROR(INDEX('G-6 Hedgerow Data'!$BJ$3:$BJ$15,MATCH(D216,'G-6 Hedgerow Data'!$B$3:$B$15,0)),"")</f>
        <v/>
      </c>
    </row>
    <row r="217" spans="2:34" ht="15">
      <c r="B217" s="110">
        <v>206</v>
      </c>
      <c r="C217" s="216"/>
      <c r="D217" s="63"/>
      <c r="E217" s="165"/>
      <c r="F217" s="362" t="str">
        <f>IF(D217="","",VLOOKUP(D217,'G-6 Hedgerow Data'!$B$2:$AG$15,2,FALSE))</f>
        <v/>
      </c>
      <c r="G217" s="386" t="str">
        <f>IF(D217="","",VLOOKUP(D217,'G-6 Hedgerow Data'!$B$2:$AG$15,3,FALSE))</f>
        <v/>
      </c>
      <c r="H217" s="55"/>
      <c r="I217" s="363" t="str">
        <f>IFERROR(IF(AND(F217="V.Low",OR(H217="Good",H217="Moderate")),"Error ▲",VLOOKUP(H217,'G-1 All Habitats'!$Z$2:$AA$9,2,FALSE)),"")</f>
        <v/>
      </c>
      <c r="J217" s="115"/>
      <c r="K217" s="382" t="str">
        <f>IF(J217="","",IF(VLOOKUP(J217,'G-3 Multipliers'!$L$3:$N$6,2,FALSE)=0,"Spatial Data Missing",VLOOKUP(J217,'G-3 Multipliers'!$L$3:$N$6,2,FALSE)))</f>
        <v/>
      </c>
      <c r="L217" s="386" t="str">
        <f>IF(J217="","",IF(VLOOKUP(J217,'G-3 Multipliers'!$L$3:$N$6,3,FALSE)=0,"Spatial Data Missing",VLOOKUP(J217,'G-3 Multipliers'!$L$3:$N$6,3,FALSE)))</f>
        <v/>
      </c>
      <c r="M217" s="160"/>
      <c r="N217" s="363" t="str">
        <f>IF(M217="","",IF(VLOOKUP(M217,'G-3 Multipliers'!$S$3:$T$10,2,FALSE)=0,"Spatial Data Missing ⚠",VLOOKUP(M217,'G-3 Multipliers'!$S$3:$T$10,2,FALSE)))</f>
        <v/>
      </c>
      <c r="O217" s="362" t="str">
        <f>IF(OR(D217="",H217=""),"",(INDEX('G-6 Hedgerow Data'!$E$3:$I$15,MATCH(D217,'G-6 Hedgerow Data'!$B$3:$B$15,0),MATCH(H217,'G-6 Hedgerow Data'!$E$2:$I$2,0))))</f>
        <v/>
      </c>
      <c r="P217" s="159"/>
      <c r="Q217" s="159"/>
      <c r="R217" s="370" t="str">
        <f t="shared" si="22"/>
        <v/>
      </c>
      <c r="S217" s="383" t="str">
        <f t="shared" si="23"/>
        <v/>
      </c>
      <c r="T217" s="384" t="str">
        <f t="shared" si="21"/>
        <v/>
      </c>
      <c r="U217" s="398" t="str">
        <f>IF(D217="","",VLOOKUP(D217,'G-6 Hedgerow Data'!$B$3:$AG$15,31,FALSE))</f>
        <v/>
      </c>
      <c r="V217" s="382" t="str">
        <f t="shared" si="24"/>
        <v/>
      </c>
      <c r="W217" s="382" t="str">
        <f t="shared" si="25"/>
        <v/>
      </c>
      <c r="X217" s="386" t="str">
        <f>IF(F217="","",VLOOKUP(U217,'G-3 Multipliers'!$P$3:$Q$6,2,FALSE))</f>
        <v/>
      </c>
      <c r="Y217" s="390" t="str">
        <f t="shared" si="26"/>
        <v/>
      </c>
      <c r="Z217" s="390" t="str">
        <f t="shared" si="27"/>
        <v/>
      </c>
      <c r="AA217" s="117"/>
      <c r="AB217" s="118"/>
      <c r="AC217" s="120"/>
      <c r="AD217" s="120"/>
      <c r="AH217" s="30" t="str">
        <f>IFERROR(INDEX('G-6 Hedgerow Data'!$BJ$3:$BJ$15,MATCH(D217,'G-6 Hedgerow Data'!$B$3:$B$15,0)),"")</f>
        <v/>
      </c>
    </row>
    <row r="218" spans="2:34" ht="15">
      <c r="B218" s="110">
        <v>207</v>
      </c>
      <c r="C218" s="216"/>
      <c r="D218" s="63"/>
      <c r="E218" s="165"/>
      <c r="F218" s="362" t="str">
        <f>IF(D218="","",VLOOKUP(D218,'G-6 Hedgerow Data'!$B$2:$AG$15,2,FALSE))</f>
        <v/>
      </c>
      <c r="G218" s="386" t="str">
        <f>IF(D218="","",VLOOKUP(D218,'G-6 Hedgerow Data'!$B$2:$AG$15,3,FALSE))</f>
        <v/>
      </c>
      <c r="H218" s="55"/>
      <c r="I218" s="363" t="str">
        <f>IFERROR(IF(AND(F218="V.Low",OR(H218="Good",H218="Moderate")),"Error ▲",VLOOKUP(H218,'G-1 All Habitats'!$Z$2:$AA$9,2,FALSE)),"")</f>
        <v/>
      </c>
      <c r="J218" s="115"/>
      <c r="K218" s="382" t="str">
        <f>IF(J218="","",IF(VLOOKUP(J218,'G-3 Multipliers'!$L$3:$N$6,2,FALSE)=0,"Spatial Data Missing",VLOOKUP(J218,'G-3 Multipliers'!$L$3:$N$6,2,FALSE)))</f>
        <v/>
      </c>
      <c r="L218" s="386" t="str">
        <f>IF(J218="","",IF(VLOOKUP(J218,'G-3 Multipliers'!$L$3:$N$6,3,FALSE)=0,"Spatial Data Missing",VLOOKUP(J218,'G-3 Multipliers'!$L$3:$N$6,3,FALSE)))</f>
        <v/>
      </c>
      <c r="M218" s="160"/>
      <c r="N218" s="363" t="str">
        <f>IF(M218="","",IF(VLOOKUP(M218,'G-3 Multipliers'!$S$3:$T$10,2,FALSE)=0,"Spatial Data Missing ⚠",VLOOKUP(M218,'G-3 Multipliers'!$S$3:$T$10,2,FALSE)))</f>
        <v/>
      </c>
      <c r="O218" s="362" t="str">
        <f>IF(OR(D218="",H218=""),"",(INDEX('G-6 Hedgerow Data'!$E$3:$I$15,MATCH(D218,'G-6 Hedgerow Data'!$B$3:$B$15,0),MATCH(H218,'G-6 Hedgerow Data'!$E$2:$I$2,0))))</f>
        <v/>
      </c>
      <c r="P218" s="159"/>
      <c r="Q218" s="159"/>
      <c r="R218" s="370" t="str">
        <f t="shared" si="22"/>
        <v/>
      </c>
      <c r="S218" s="383" t="str">
        <f t="shared" si="23"/>
        <v/>
      </c>
      <c r="T218" s="384" t="str">
        <f t="shared" si="21"/>
        <v/>
      </c>
      <c r="U218" s="398" t="str">
        <f>IF(D218="","",VLOOKUP(D218,'G-6 Hedgerow Data'!$B$3:$AG$15,31,FALSE))</f>
        <v/>
      </c>
      <c r="V218" s="382" t="str">
        <f t="shared" si="24"/>
        <v/>
      </c>
      <c r="W218" s="382" t="str">
        <f t="shared" si="25"/>
        <v/>
      </c>
      <c r="X218" s="386" t="str">
        <f>IF(F218="","",VLOOKUP(U218,'G-3 Multipliers'!$P$3:$Q$6,2,FALSE))</f>
        <v/>
      </c>
      <c r="Y218" s="390" t="str">
        <f t="shared" si="26"/>
        <v/>
      </c>
      <c r="Z218" s="390" t="str">
        <f t="shared" si="27"/>
        <v/>
      </c>
      <c r="AA218" s="117"/>
      <c r="AB218" s="118"/>
      <c r="AC218" s="120"/>
      <c r="AD218" s="120"/>
      <c r="AH218" s="30" t="str">
        <f>IFERROR(INDEX('G-6 Hedgerow Data'!$BJ$3:$BJ$15,MATCH(D218,'G-6 Hedgerow Data'!$B$3:$B$15,0)),"")</f>
        <v/>
      </c>
    </row>
    <row r="219" spans="2:34" ht="15">
      <c r="B219" s="110">
        <v>208</v>
      </c>
      <c r="C219" s="216"/>
      <c r="D219" s="63"/>
      <c r="E219" s="165"/>
      <c r="F219" s="362" t="str">
        <f>IF(D219="","",VLOOKUP(D219,'G-6 Hedgerow Data'!$B$2:$AG$15,2,FALSE))</f>
        <v/>
      </c>
      <c r="G219" s="386" t="str">
        <f>IF(D219="","",VLOOKUP(D219,'G-6 Hedgerow Data'!$B$2:$AG$15,3,FALSE))</f>
        <v/>
      </c>
      <c r="H219" s="55"/>
      <c r="I219" s="363" t="str">
        <f>IFERROR(IF(AND(F219="V.Low",OR(H219="Good",H219="Moderate")),"Error ▲",VLOOKUP(H219,'G-1 All Habitats'!$Z$2:$AA$9,2,FALSE)),"")</f>
        <v/>
      </c>
      <c r="J219" s="115"/>
      <c r="K219" s="382" t="str">
        <f>IF(J219="","",IF(VLOOKUP(J219,'G-3 Multipliers'!$L$3:$N$6,2,FALSE)=0,"Spatial Data Missing",VLOOKUP(J219,'G-3 Multipliers'!$L$3:$N$6,2,FALSE)))</f>
        <v/>
      </c>
      <c r="L219" s="386" t="str">
        <f>IF(J219="","",IF(VLOOKUP(J219,'G-3 Multipliers'!$L$3:$N$6,3,FALSE)=0,"Spatial Data Missing",VLOOKUP(J219,'G-3 Multipliers'!$L$3:$N$6,3,FALSE)))</f>
        <v/>
      </c>
      <c r="M219" s="160"/>
      <c r="N219" s="363" t="str">
        <f>IF(M219="","",IF(VLOOKUP(M219,'G-3 Multipliers'!$S$3:$T$10,2,FALSE)=0,"Spatial Data Missing ⚠",VLOOKUP(M219,'G-3 Multipliers'!$S$3:$T$10,2,FALSE)))</f>
        <v/>
      </c>
      <c r="O219" s="362" t="str">
        <f>IF(OR(D219="",H219=""),"",(INDEX('G-6 Hedgerow Data'!$E$3:$I$15,MATCH(D219,'G-6 Hedgerow Data'!$B$3:$B$15,0),MATCH(H219,'G-6 Hedgerow Data'!$E$2:$I$2,0))))</f>
        <v/>
      </c>
      <c r="P219" s="159"/>
      <c r="Q219" s="159"/>
      <c r="R219" s="370" t="str">
        <f t="shared" si="22"/>
        <v/>
      </c>
      <c r="S219" s="383" t="str">
        <f t="shared" si="23"/>
        <v/>
      </c>
      <c r="T219" s="384" t="str">
        <f t="shared" si="21"/>
        <v/>
      </c>
      <c r="U219" s="398" t="str">
        <f>IF(D219="","",VLOOKUP(D219,'G-6 Hedgerow Data'!$B$3:$AG$15,31,FALSE))</f>
        <v/>
      </c>
      <c r="V219" s="382" t="str">
        <f t="shared" si="24"/>
        <v/>
      </c>
      <c r="W219" s="382" t="str">
        <f t="shared" si="25"/>
        <v/>
      </c>
      <c r="X219" s="386" t="str">
        <f>IF(F219="","",VLOOKUP(U219,'G-3 Multipliers'!$P$3:$Q$6,2,FALSE))</f>
        <v/>
      </c>
      <c r="Y219" s="390" t="str">
        <f t="shared" si="26"/>
        <v/>
      </c>
      <c r="Z219" s="390" t="str">
        <f t="shared" si="27"/>
        <v/>
      </c>
      <c r="AA219" s="117"/>
      <c r="AB219" s="118"/>
      <c r="AC219" s="120"/>
      <c r="AD219" s="120"/>
      <c r="AH219" s="30" t="str">
        <f>IFERROR(INDEX('G-6 Hedgerow Data'!$BJ$3:$BJ$15,MATCH(D219,'G-6 Hedgerow Data'!$B$3:$B$15,0)),"")</f>
        <v/>
      </c>
    </row>
    <row r="220" spans="2:34" ht="15">
      <c r="B220" s="110">
        <v>209</v>
      </c>
      <c r="C220" s="216"/>
      <c r="D220" s="63"/>
      <c r="E220" s="165"/>
      <c r="F220" s="362" t="str">
        <f>IF(D220="","",VLOOKUP(D220,'G-6 Hedgerow Data'!$B$2:$AG$15,2,FALSE))</f>
        <v/>
      </c>
      <c r="G220" s="386" t="str">
        <f>IF(D220="","",VLOOKUP(D220,'G-6 Hedgerow Data'!$B$2:$AG$15,3,FALSE))</f>
        <v/>
      </c>
      <c r="H220" s="55"/>
      <c r="I220" s="363" t="str">
        <f>IFERROR(IF(AND(F220="V.Low",OR(H220="Good",H220="Moderate")),"Error ▲",VLOOKUP(H220,'G-1 All Habitats'!$Z$2:$AA$9,2,FALSE)),"")</f>
        <v/>
      </c>
      <c r="J220" s="115"/>
      <c r="K220" s="382" t="str">
        <f>IF(J220="","",IF(VLOOKUP(J220,'G-3 Multipliers'!$L$3:$N$6,2,FALSE)=0,"Spatial Data Missing",VLOOKUP(J220,'G-3 Multipliers'!$L$3:$N$6,2,FALSE)))</f>
        <v/>
      </c>
      <c r="L220" s="386" t="str">
        <f>IF(J220="","",IF(VLOOKUP(J220,'G-3 Multipliers'!$L$3:$N$6,3,FALSE)=0,"Spatial Data Missing",VLOOKUP(J220,'G-3 Multipliers'!$L$3:$N$6,3,FALSE)))</f>
        <v/>
      </c>
      <c r="M220" s="160"/>
      <c r="N220" s="363" t="str">
        <f>IF(M220="","",IF(VLOOKUP(M220,'G-3 Multipliers'!$S$3:$T$10,2,FALSE)=0,"Spatial Data Missing ⚠",VLOOKUP(M220,'G-3 Multipliers'!$S$3:$T$10,2,FALSE)))</f>
        <v/>
      </c>
      <c r="O220" s="362" t="str">
        <f>IF(OR(D220="",H220=""),"",(INDEX('G-6 Hedgerow Data'!$E$3:$I$15,MATCH(D220,'G-6 Hedgerow Data'!$B$3:$B$15,0),MATCH(H220,'G-6 Hedgerow Data'!$E$2:$I$2,0))))</f>
        <v/>
      </c>
      <c r="P220" s="159"/>
      <c r="Q220" s="159"/>
      <c r="R220" s="370" t="str">
        <f t="shared" si="22"/>
        <v/>
      </c>
      <c r="S220" s="383" t="str">
        <f t="shared" si="23"/>
        <v/>
      </c>
      <c r="T220" s="384" t="str">
        <f t="shared" si="21"/>
        <v/>
      </c>
      <c r="U220" s="398" t="str">
        <f>IF(D220="","",VLOOKUP(D220,'G-6 Hedgerow Data'!$B$3:$AG$15,31,FALSE))</f>
        <v/>
      </c>
      <c r="V220" s="382" t="str">
        <f t="shared" si="24"/>
        <v/>
      </c>
      <c r="W220" s="382" t="str">
        <f t="shared" si="25"/>
        <v/>
      </c>
      <c r="X220" s="386" t="str">
        <f>IF(F220="","",VLOOKUP(U220,'G-3 Multipliers'!$P$3:$Q$6,2,FALSE))</f>
        <v/>
      </c>
      <c r="Y220" s="390" t="str">
        <f t="shared" si="26"/>
        <v/>
      </c>
      <c r="Z220" s="390" t="str">
        <f t="shared" si="27"/>
        <v/>
      </c>
      <c r="AA220" s="117"/>
      <c r="AB220" s="118"/>
      <c r="AC220" s="120"/>
      <c r="AD220" s="120"/>
      <c r="AH220" s="30" t="str">
        <f>IFERROR(INDEX('G-6 Hedgerow Data'!$BJ$3:$BJ$15,MATCH(D220,'G-6 Hedgerow Data'!$B$3:$B$15,0)),"")</f>
        <v/>
      </c>
    </row>
    <row r="221" spans="2:34" ht="15">
      <c r="B221" s="110">
        <v>210</v>
      </c>
      <c r="C221" s="216"/>
      <c r="D221" s="63"/>
      <c r="E221" s="165"/>
      <c r="F221" s="362" t="str">
        <f>IF(D221="","",VLOOKUP(D221,'G-6 Hedgerow Data'!$B$2:$AG$15,2,FALSE))</f>
        <v/>
      </c>
      <c r="G221" s="386" t="str">
        <f>IF(D221="","",VLOOKUP(D221,'G-6 Hedgerow Data'!$B$2:$AG$15,3,FALSE))</f>
        <v/>
      </c>
      <c r="H221" s="55"/>
      <c r="I221" s="363" t="str">
        <f>IFERROR(IF(AND(F221="V.Low",OR(H221="Good",H221="Moderate")),"Error ▲",VLOOKUP(H221,'G-1 All Habitats'!$Z$2:$AA$9,2,FALSE)),"")</f>
        <v/>
      </c>
      <c r="J221" s="115"/>
      <c r="K221" s="382" t="str">
        <f>IF(J221="","",IF(VLOOKUP(J221,'G-3 Multipliers'!$L$3:$N$6,2,FALSE)=0,"Spatial Data Missing",VLOOKUP(J221,'G-3 Multipliers'!$L$3:$N$6,2,FALSE)))</f>
        <v/>
      </c>
      <c r="L221" s="386" t="str">
        <f>IF(J221="","",IF(VLOOKUP(J221,'G-3 Multipliers'!$L$3:$N$6,3,FALSE)=0,"Spatial Data Missing",VLOOKUP(J221,'G-3 Multipliers'!$L$3:$N$6,3,FALSE)))</f>
        <v/>
      </c>
      <c r="M221" s="160"/>
      <c r="N221" s="363" t="str">
        <f>IF(M221="","",IF(VLOOKUP(M221,'G-3 Multipliers'!$S$3:$T$10,2,FALSE)=0,"Spatial Data Missing ⚠",VLOOKUP(M221,'G-3 Multipliers'!$S$3:$T$10,2,FALSE)))</f>
        <v/>
      </c>
      <c r="O221" s="362" t="str">
        <f>IF(OR(D221="",H221=""),"",(INDEX('G-6 Hedgerow Data'!$E$3:$I$15,MATCH(D221,'G-6 Hedgerow Data'!$B$3:$B$15,0),MATCH(H221,'G-6 Hedgerow Data'!$E$2:$I$2,0))))</f>
        <v/>
      </c>
      <c r="P221" s="159"/>
      <c r="Q221" s="159"/>
      <c r="R221" s="370" t="str">
        <f t="shared" si="22"/>
        <v/>
      </c>
      <c r="S221" s="383" t="str">
        <f t="shared" si="23"/>
        <v/>
      </c>
      <c r="T221" s="384" t="str">
        <f t="shared" si="21"/>
        <v/>
      </c>
      <c r="U221" s="398" t="str">
        <f>IF(D221="","",VLOOKUP(D221,'G-6 Hedgerow Data'!$B$3:$AG$15,31,FALSE))</f>
        <v/>
      </c>
      <c r="V221" s="382" t="str">
        <f t="shared" si="24"/>
        <v/>
      </c>
      <c r="W221" s="382" t="str">
        <f t="shared" si="25"/>
        <v/>
      </c>
      <c r="X221" s="386" t="str">
        <f>IF(F221="","",VLOOKUP(U221,'G-3 Multipliers'!$P$3:$Q$6,2,FALSE))</f>
        <v/>
      </c>
      <c r="Y221" s="390" t="str">
        <f t="shared" si="26"/>
        <v/>
      </c>
      <c r="Z221" s="390" t="str">
        <f t="shared" si="27"/>
        <v/>
      </c>
      <c r="AA221" s="117"/>
      <c r="AB221" s="118"/>
      <c r="AC221" s="120"/>
      <c r="AD221" s="120"/>
      <c r="AH221" s="30" t="str">
        <f>IFERROR(INDEX('G-6 Hedgerow Data'!$BJ$3:$BJ$15,MATCH(D221,'G-6 Hedgerow Data'!$B$3:$B$15,0)),"")</f>
        <v/>
      </c>
    </row>
    <row r="222" spans="2:34" ht="15">
      <c r="B222" s="110">
        <v>211</v>
      </c>
      <c r="C222" s="216"/>
      <c r="D222" s="63"/>
      <c r="E222" s="165"/>
      <c r="F222" s="362" t="str">
        <f>IF(D222="","",VLOOKUP(D222,'G-6 Hedgerow Data'!$B$2:$AG$15,2,FALSE))</f>
        <v/>
      </c>
      <c r="G222" s="386" t="str">
        <f>IF(D222="","",VLOOKUP(D222,'G-6 Hedgerow Data'!$B$2:$AG$15,3,FALSE))</f>
        <v/>
      </c>
      <c r="H222" s="55"/>
      <c r="I222" s="363" t="str">
        <f>IFERROR(IF(AND(F222="V.Low",OR(H222="Good",H222="Moderate")),"Error ▲",VLOOKUP(H222,'G-1 All Habitats'!$Z$2:$AA$9,2,FALSE)),"")</f>
        <v/>
      </c>
      <c r="J222" s="115"/>
      <c r="K222" s="382" t="str">
        <f>IF(J222="","",IF(VLOOKUP(J222,'G-3 Multipliers'!$L$3:$N$6,2,FALSE)=0,"Spatial Data Missing",VLOOKUP(J222,'G-3 Multipliers'!$L$3:$N$6,2,FALSE)))</f>
        <v/>
      </c>
      <c r="L222" s="386" t="str">
        <f>IF(J222="","",IF(VLOOKUP(J222,'G-3 Multipliers'!$L$3:$N$6,3,FALSE)=0,"Spatial Data Missing",VLOOKUP(J222,'G-3 Multipliers'!$L$3:$N$6,3,FALSE)))</f>
        <v/>
      </c>
      <c r="M222" s="160"/>
      <c r="N222" s="363" t="str">
        <f>IF(M222="","",IF(VLOOKUP(M222,'G-3 Multipliers'!$S$3:$T$10,2,FALSE)=0,"Spatial Data Missing ⚠",VLOOKUP(M222,'G-3 Multipliers'!$S$3:$T$10,2,FALSE)))</f>
        <v/>
      </c>
      <c r="O222" s="362" t="str">
        <f>IF(OR(D222="",H222=""),"",(INDEX('G-6 Hedgerow Data'!$E$3:$I$15,MATCH(D222,'G-6 Hedgerow Data'!$B$3:$B$15,0),MATCH(H222,'G-6 Hedgerow Data'!$E$2:$I$2,0))))</f>
        <v/>
      </c>
      <c r="P222" s="159"/>
      <c r="Q222" s="159"/>
      <c r="R222" s="370" t="str">
        <f t="shared" si="22"/>
        <v/>
      </c>
      <c r="S222" s="383" t="str">
        <f t="shared" si="23"/>
        <v/>
      </c>
      <c r="T222" s="384" t="str">
        <f t="shared" si="21"/>
        <v/>
      </c>
      <c r="U222" s="398" t="str">
        <f>IF(D222="","",VLOOKUP(D222,'G-6 Hedgerow Data'!$B$3:$AG$15,31,FALSE))</f>
        <v/>
      </c>
      <c r="V222" s="382" t="str">
        <f t="shared" si="24"/>
        <v/>
      </c>
      <c r="W222" s="382" t="str">
        <f t="shared" si="25"/>
        <v/>
      </c>
      <c r="X222" s="386" t="str">
        <f>IF(F222="","",VLOOKUP(U222,'G-3 Multipliers'!$P$3:$Q$6,2,FALSE))</f>
        <v/>
      </c>
      <c r="Y222" s="390" t="str">
        <f t="shared" si="26"/>
        <v/>
      </c>
      <c r="Z222" s="390" t="str">
        <f t="shared" si="27"/>
        <v/>
      </c>
      <c r="AA222" s="117"/>
      <c r="AB222" s="118"/>
      <c r="AC222" s="120"/>
      <c r="AD222" s="120"/>
      <c r="AH222" s="30" t="str">
        <f>IFERROR(INDEX('G-6 Hedgerow Data'!$BJ$3:$BJ$15,MATCH(D222,'G-6 Hedgerow Data'!$B$3:$B$15,0)),"")</f>
        <v/>
      </c>
    </row>
    <row r="223" spans="2:34" ht="15">
      <c r="B223" s="110">
        <v>212</v>
      </c>
      <c r="C223" s="216"/>
      <c r="D223" s="63"/>
      <c r="E223" s="165"/>
      <c r="F223" s="362" t="str">
        <f>IF(D223="","",VLOOKUP(D223,'G-6 Hedgerow Data'!$B$2:$AG$15,2,FALSE))</f>
        <v/>
      </c>
      <c r="G223" s="386" t="str">
        <f>IF(D223="","",VLOOKUP(D223,'G-6 Hedgerow Data'!$B$2:$AG$15,3,FALSE))</f>
        <v/>
      </c>
      <c r="H223" s="55"/>
      <c r="I223" s="363" t="str">
        <f>IFERROR(IF(AND(F223="V.Low",OR(H223="Good",H223="Moderate")),"Error ▲",VLOOKUP(H223,'G-1 All Habitats'!$Z$2:$AA$9,2,FALSE)),"")</f>
        <v/>
      </c>
      <c r="J223" s="115"/>
      <c r="K223" s="382" t="str">
        <f>IF(J223="","",IF(VLOOKUP(J223,'G-3 Multipliers'!$L$3:$N$6,2,FALSE)=0,"Spatial Data Missing",VLOOKUP(J223,'G-3 Multipliers'!$L$3:$N$6,2,FALSE)))</f>
        <v/>
      </c>
      <c r="L223" s="386" t="str">
        <f>IF(J223="","",IF(VLOOKUP(J223,'G-3 Multipliers'!$L$3:$N$6,3,FALSE)=0,"Spatial Data Missing",VLOOKUP(J223,'G-3 Multipliers'!$L$3:$N$6,3,FALSE)))</f>
        <v/>
      </c>
      <c r="M223" s="160"/>
      <c r="N223" s="363" t="str">
        <f>IF(M223="","",IF(VLOOKUP(M223,'G-3 Multipliers'!$S$3:$T$10,2,FALSE)=0,"Spatial Data Missing ⚠",VLOOKUP(M223,'G-3 Multipliers'!$S$3:$T$10,2,FALSE)))</f>
        <v/>
      </c>
      <c r="O223" s="362" t="str">
        <f>IF(OR(D223="",H223=""),"",(INDEX('G-6 Hedgerow Data'!$E$3:$I$15,MATCH(D223,'G-6 Hedgerow Data'!$B$3:$B$15,0),MATCH(H223,'G-6 Hedgerow Data'!$E$2:$I$2,0))))</f>
        <v/>
      </c>
      <c r="P223" s="159"/>
      <c r="Q223" s="159"/>
      <c r="R223" s="370" t="str">
        <f t="shared" si="22"/>
        <v/>
      </c>
      <c r="S223" s="383" t="str">
        <f t="shared" si="23"/>
        <v/>
      </c>
      <c r="T223" s="384" t="str">
        <f t="shared" si="21"/>
        <v/>
      </c>
      <c r="U223" s="398" t="str">
        <f>IF(D223="","",VLOOKUP(D223,'G-6 Hedgerow Data'!$B$3:$AG$15,31,FALSE))</f>
        <v/>
      </c>
      <c r="V223" s="382" t="str">
        <f t="shared" si="24"/>
        <v/>
      </c>
      <c r="W223" s="382" t="str">
        <f t="shared" si="25"/>
        <v/>
      </c>
      <c r="X223" s="386" t="str">
        <f>IF(F223="","",VLOOKUP(U223,'G-3 Multipliers'!$P$3:$Q$6,2,FALSE))</f>
        <v/>
      </c>
      <c r="Y223" s="390" t="str">
        <f t="shared" si="26"/>
        <v/>
      </c>
      <c r="Z223" s="390" t="str">
        <f t="shared" si="27"/>
        <v/>
      </c>
      <c r="AA223" s="117"/>
      <c r="AB223" s="118"/>
      <c r="AC223" s="120"/>
      <c r="AD223" s="120"/>
      <c r="AH223" s="30" t="str">
        <f>IFERROR(INDEX('G-6 Hedgerow Data'!$BJ$3:$BJ$15,MATCH(D223,'G-6 Hedgerow Data'!$B$3:$B$15,0)),"")</f>
        <v/>
      </c>
    </row>
    <row r="224" spans="2:34" ht="15">
      <c r="B224" s="110">
        <v>213</v>
      </c>
      <c r="C224" s="216"/>
      <c r="D224" s="63"/>
      <c r="E224" s="165"/>
      <c r="F224" s="362" t="str">
        <f>IF(D224="","",VLOOKUP(D224,'G-6 Hedgerow Data'!$B$2:$AG$15,2,FALSE))</f>
        <v/>
      </c>
      <c r="G224" s="386" t="str">
        <f>IF(D224="","",VLOOKUP(D224,'G-6 Hedgerow Data'!$B$2:$AG$15,3,FALSE))</f>
        <v/>
      </c>
      <c r="H224" s="55"/>
      <c r="I224" s="363" t="str">
        <f>IFERROR(IF(AND(F224="V.Low",OR(H224="Good",H224="Moderate")),"Error ▲",VLOOKUP(H224,'G-1 All Habitats'!$Z$2:$AA$9,2,FALSE)),"")</f>
        <v/>
      </c>
      <c r="J224" s="115"/>
      <c r="K224" s="382" t="str">
        <f>IF(J224="","",IF(VLOOKUP(J224,'G-3 Multipliers'!$L$3:$N$6,2,FALSE)=0,"Spatial Data Missing",VLOOKUP(J224,'G-3 Multipliers'!$L$3:$N$6,2,FALSE)))</f>
        <v/>
      </c>
      <c r="L224" s="386" t="str">
        <f>IF(J224="","",IF(VLOOKUP(J224,'G-3 Multipliers'!$L$3:$N$6,3,FALSE)=0,"Spatial Data Missing",VLOOKUP(J224,'G-3 Multipliers'!$L$3:$N$6,3,FALSE)))</f>
        <v/>
      </c>
      <c r="M224" s="160"/>
      <c r="N224" s="363" t="str">
        <f>IF(M224="","",IF(VLOOKUP(M224,'G-3 Multipliers'!$S$3:$T$10,2,FALSE)=0,"Spatial Data Missing ⚠",VLOOKUP(M224,'G-3 Multipliers'!$S$3:$T$10,2,FALSE)))</f>
        <v/>
      </c>
      <c r="O224" s="362" t="str">
        <f>IF(OR(D224="",H224=""),"",(INDEX('G-6 Hedgerow Data'!$E$3:$I$15,MATCH(D224,'G-6 Hedgerow Data'!$B$3:$B$15,0),MATCH(H224,'G-6 Hedgerow Data'!$E$2:$I$2,0))))</f>
        <v/>
      </c>
      <c r="P224" s="159"/>
      <c r="Q224" s="159"/>
      <c r="R224" s="370" t="str">
        <f t="shared" si="22"/>
        <v/>
      </c>
      <c r="S224" s="383" t="str">
        <f t="shared" si="23"/>
        <v/>
      </c>
      <c r="T224" s="384" t="str">
        <f t="shared" si="21"/>
        <v/>
      </c>
      <c r="U224" s="398" t="str">
        <f>IF(D224="","",VLOOKUP(D224,'G-6 Hedgerow Data'!$B$3:$AG$15,31,FALSE))</f>
        <v/>
      </c>
      <c r="V224" s="382" t="str">
        <f t="shared" si="24"/>
        <v/>
      </c>
      <c r="W224" s="382" t="str">
        <f t="shared" si="25"/>
        <v/>
      </c>
      <c r="X224" s="386" t="str">
        <f>IF(F224="","",VLOOKUP(U224,'G-3 Multipliers'!$P$3:$Q$6,2,FALSE))</f>
        <v/>
      </c>
      <c r="Y224" s="390" t="str">
        <f t="shared" si="26"/>
        <v/>
      </c>
      <c r="Z224" s="390" t="str">
        <f t="shared" si="27"/>
        <v/>
      </c>
      <c r="AA224" s="117"/>
      <c r="AB224" s="118"/>
      <c r="AC224" s="120"/>
      <c r="AD224" s="120"/>
      <c r="AH224" s="30" t="str">
        <f>IFERROR(INDEX('G-6 Hedgerow Data'!$BJ$3:$BJ$15,MATCH(D224,'G-6 Hedgerow Data'!$B$3:$B$15,0)),"")</f>
        <v/>
      </c>
    </row>
    <row r="225" spans="2:34" ht="15">
      <c r="B225" s="110">
        <v>214</v>
      </c>
      <c r="C225" s="216"/>
      <c r="D225" s="63"/>
      <c r="E225" s="165"/>
      <c r="F225" s="362" t="str">
        <f>IF(D225="","",VLOOKUP(D225,'G-6 Hedgerow Data'!$B$2:$AG$15,2,FALSE))</f>
        <v/>
      </c>
      <c r="G225" s="386" t="str">
        <f>IF(D225="","",VLOOKUP(D225,'G-6 Hedgerow Data'!$B$2:$AG$15,3,FALSE))</f>
        <v/>
      </c>
      <c r="H225" s="55"/>
      <c r="I225" s="363" t="str">
        <f>IFERROR(IF(AND(F225="V.Low",OR(H225="Good",H225="Moderate")),"Error ▲",VLOOKUP(H225,'G-1 All Habitats'!$Z$2:$AA$9,2,FALSE)),"")</f>
        <v/>
      </c>
      <c r="J225" s="115"/>
      <c r="K225" s="382" t="str">
        <f>IF(J225="","",IF(VLOOKUP(J225,'G-3 Multipliers'!$L$3:$N$6,2,FALSE)=0,"Spatial Data Missing",VLOOKUP(J225,'G-3 Multipliers'!$L$3:$N$6,2,FALSE)))</f>
        <v/>
      </c>
      <c r="L225" s="386" t="str">
        <f>IF(J225="","",IF(VLOOKUP(J225,'G-3 Multipliers'!$L$3:$N$6,3,FALSE)=0,"Spatial Data Missing",VLOOKUP(J225,'G-3 Multipliers'!$L$3:$N$6,3,FALSE)))</f>
        <v/>
      </c>
      <c r="M225" s="160"/>
      <c r="N225" s="363" t="str">
        <f>IF(M225="","",IF(VLOOKUP(M225,'G-3 Multipliers'!$S$3:$T$10,2,FALSE)=0,"Spatial Data Missing ⚠",VLOOKUP(M225,'G-3 Multipliers'!$S$3:$T$10,2,FALSE)))</f>
        <v/>
      </c>
      <c r="O225" s="362" t="str">
        <f>IF(OR(D225="",H225=""),"",(INDEX('G-6 Hedgerow Data'!$E$3:$I$15,MATCH(D225,'G-6 Hedgerow Data'!$B$3:$B$15,0),MATCH(H225,'G-6 Hedgerow Data'!$E$2:$I$2,0))))</f>
        <v/>
      </c>
      <c r="P225" s="159"/>
      <c r="Q225" s="159"/>
      <c r="R225" s="370" t="str">
        <f t="shared" si="22"/>
        <v/>
      </c>
      <c r="S225" s="383" t="str">
        <f t="shared" si="23"/>
        <v/>
      </c>
      <c r="T225" s="384" t="str">
        <f t="shared" si="21"/>
        <v/>
      </c>
      <c r="U225" s="398" t="str">
        <f>IF(D225="","",VLOOKUP(D225,'G-6 Hedgerow Data'!$B$3:$AG$15,31,FALSE))</f>
        <v/>
      </c>
      <c r="V225" s="382" t="str">
        <f t="shared" si="24"/>
        <v/>
      </c>
      <c r="W225" s="382" t="str">
        <f t="shared" si="25"/>
        <v/>
      </c>
      <c r="X225" s="386" t="str">
        <f>IF(F225="","",VLOOKUP(U225,'G-3 Multipliers'!$P$3:$Q$6,2,FALSE))</f>
        <v/>
      </c>
      <c r="Y225" s="390" t="str">
        <f t="shared" si="26"/>
        <v/>
      </c>
      <c r="Z225" s="390" t="str">
        <f t="shared" si="27"/>
        <v/>
      </c>
      <c r="AA225" s="117"/>
      <c r="AB225" s="118"/>
      <c r="AC225" s="120"/>
      <c r="AD225" s="120"/>
      <c r="AH225" s="30" t="str">
        <f>IFERROR(INDEX('G-6 Hedgerow Data'!$BJ$3:$BJ$15,MATCH(D225,'G-6 Hedgerow Data'!$B$3:$B$15,0)),"")</f>
        <v/>
      </c>
    </row>
    <row r="226" spans="2:34" ht="15">
      <c r="B226" s="110">
        <v>215</v>
      </c>
      <c r="C226" s="216"/>
      <c r="D226" s="63"/>
      <c r="E226" s="165"/>
      <c r="F226" s="362" t="str">
        <f>IF(D226="","",VLOOKUP(D226,'G-6 Hedgerow Data'!$B$2:$AG$15,2,FALSE))</f>
        <v/>
      </c>
      <c r="G226" s="386" t="str">
        <f>IF(D226="","",VLOOKUP(D226,'G-6 Hedgerow Data'!$B$2:$AG$15,3,FALSE))</f>
        <v/>
      </c>
      <c r="H226" s="55"/>
      <c r="I226" s="363" t="str">
        <f>IFERROR(IF(AND(F226="V.Low",OR(H226="Good",H226="Moderate")),"Error ▲",VLOOKUP(H226,'G-1 All Habitats'!$Z$2:$AA$9,2,FALSE)),"")</f>
        <v/>
      </c>
      <c r="J226" s="115"/>
      <c r="K226" s="382" t="str">
        <f>IF(J226="","",IF(VLOOKUP(J226,'G-3 Multipliers'!$L$3:$N$6,2,FALSE)=0,"Spatial Data Missing",VLOOKUP(J226,'G-3 Multipliers'!$L$3:$N$6,2,FALSE)))</f>
        <v/>
      </c>
      <c r="L226" s="386" t="str">
        <f>IF(J226="","",IF(VLOOKUP(J226,'G-3 Multipliers'!$L$3:$N$6,3,FALSE)=0,"Spatial Data Missing",VLOOKUP(J226,'G-3 Multipliers'!$L$3:$N$6,3,FALSE)))</f>
        <v/>
      </c>
      <c r="M226" s="160"/>
      <c r="N226" s="363" t="str">
        <f>IF(M226="","",IF(VLOOKUP(M226,'G-3 Multipliers'!$S$3:$T$10,2,FALSE)=0,"Spatial Data Missing ⚠",VLOOKUP(M226,'G-3 Multipliers'!$S$3:$T$10,2,FALSE)))</f>
        <v/>
      </c>
      <c r="O226" s="362" t="str">
        <f>IF(OR(D226="",H226=""),"",(INDEX('G-6 Hedgerow Data'!$E$3:$I$15,MATCH(D226,'G-6 Hedgerow Data'!$B$3:$B$15,0),MATCH(H226,'G-6 Hedgerow Data'!$E$2:$I$2,0))))</f>
        <v/>
      </c>
      <c r="P226" s="159"/>
      <c r="Q226" s="159"/>
      <c r="R226" s="370" t="str">
        <f t="shared" si="22"/>
        <v/>
      </c>
      <c r="S226" s="383" t="str">
        <f t="shared" si="23"/>
        <v/>
      </c>
      <c r="T226" s="384" t="str">
        <f t="shared" si="21"/>
        <v/>
      </c>
      <c r="U226" s="398" t="str">
        <f>IF(D226="","",VLOOKUP(D226,'G-6 Hedgerow Data'!$B$3:$AG$15,31,FALSE))</f>
        <v/>
      </c>
      <c r="V226" s="382" t="str">
        <f t="shared" si="24"/>
        <v/>
      </c>
      <c r="W226" s="382" t="str">
        <f t="shared" si="25"/>
        <v/>
      </c>
      <c r="X226" s="386" t="str">
        <f>IF(F226="","",VLOOKUP(U226,'G-3 Multipliers'!$P$3:$Q$6,2,FALSE))</f>
        <v/>
      </c>
      <c r="Y226" s="390" t="str">
        <f t="shared" si="26"/>
        <v/>
      </c>
      <c r="Z226" s="390" t="str">
        <f t="shared" si="27"/>
        <v/>
      </c>
      <c r="AA226" s="117"/>
      <c r="AB226" s="118"/>
      <c r="AC226" s="120"/>
      <c r="AD226" s="120"/>
      <c r="AH226" s="30" t="str">
        <f>IFERROR(INDEX('G-6 Hedgerow Data'!$BJ$3:$BJ$15,MATCH(D226,'G-6 Hedgerow Data'!$B$3:$B$15,0)),"")</f>
        <v/>
      </c>
    </row>
    <row r="227" spans="2:34" ht="15">
      <c r="B227" s="110">
        <v>216</v>
      </c>
      <c r="C227" s="216"/>
      <c r="D227" s="63"/>
      <c r="E227" s="165"/>
      <c r="F227" s="362" t="str">
        <f>IF(D227="","",VLOOKUP(D227,'G-6 Hedgerow Data'!$B$2:$AG$15,2,FALSE))</f>
        <v/>
      </c>
      <c r="G227" s="386" t="str">
        <f>IF(D227="","",VLOOKUP(D227,'G-6 Hedgerow Data'!$B$2:$AG$15,3,FALSE))</f>
        <v/>
      </c>
      <c r="H227" s="55"/>
      <c r="I227" s="363" t="str">
        <f>IFERROR(IF(AND(F227="V.Low",OR(H227="Good",H227="Moderate")),"Error ▲",VLOOKUP(H227,'G-1 All Habitats'!$Z$2:$AA$9,2,FALSE)),"")</f>
        <v/>
      </c>
      <c r="J227" s="115"/>
      <c r="K227" s="382" t="str">
        <f>IF(J227="","",IF(VLOOKUP(J227,'G-3 Multipliers'!$L$3:$N$6,2,FALSE)=0,"Spatial Data Missing",VLOOKUP(J227,'G-3 Multipliers'!$L$3:$N$6,2,FALSE)))</f>
        <v/>
      </c>
      <c r="L227" s="386" t="str">
        <f>IF(J227="","",IF(VLOOKUP(J227,'G-3 Multipliers'!$L$3:$N$6,3,FALSE)=0,"Spatial Data Missing",VLOOKUP(J227,'G-3 Multipliers'!$L$3:$N$6,3,FALSE)))</f>
        <v/>
      </c>
      <c r="M227" s="160"/>
      <c r="N227" s="363" t="str">
        <f>IF(M227="","",IF(VLOOKUP(M227,'G-3 Multipliers'!$S$3:$T$10,2,FALSE)=0,"Spatial Data Missing ⚠",VLOOKUP(M227,'G-3 Multipliers'!$S$3:$T$10,2,FALSE)))</f>
        <v/>
      </c>
      <c r="O227" s="362" t="str">
        <f>IF(OR(D227="",H227=""),"",(INDEX('G-6 Hedgerow Data'!$E$3:$I$15,MATCH(D227,'G-6 Hedgerow Data'!$B$3:$B$15,0),MATCH(H227,'G-6 Hedgerow Data'!$E$2:$I$2,0))))</f>
        <v/>
      </c>
      <c r="P227" s="159"/>
      <c r="Q227" s="159"/>
      <c r="R227" s="370" t="str">
        <f t="shared" si="22"/>
        <v/>
      </c>
      <c r="S227" s="383" t="str">
        <f t="shared" si="23"/>
        <v/>
      </c>
      <c r="T227" s="384" t="str">
        <f t="shared" si="21"/>
        <v/>
      </c>
      <c r="U227" s="398" t="str">
        <f>IF(D227="","",VLOOKUP(D227,'G-6 Hedgerow Data'!$B$3:$AG$15,31,FALSE))</f>
        <v/>
      </c>
      <c r="V227" s="382" t="str">
        <f t="shared" si="24"/>
        <v/>
      </c>
      <c r="W227" s="382" t="str">
        <f t="shared" si="25"/>
        <v/>
      </c>
      <c r="X227" s="386" t="str">
        <f>IF(F227="","",VLOOKUP(U227,'G-3 Multipliers'!$P$3:$Q$6,2,FALSE))</f>
        <v/>
      </c>
      <c r="Y227" s="390" t="str">
        <f t="shared" si="26"/>
        <v/>
      </c>
      <c r="Z227" s="390" t="str">
        <f t="shared" si="27"/>
        <v/>
      </c>
      <c r="AA227" s="117"/>
      <c r="AB227" s="118"/>
      <c r="AC227" s="120"/>
      <c r="AD227" s="120"/>
      <c r="AH227" s="30" t="str">
        <f>IFERROR(INDEX('G-6 Hedgerow Data'!$BJ$3:$BJ$15,MATCH(D227,'G-6 Hedgerow Data'!$B$3:$B$15,0)),"")</f>
        <v/>
      </c>
    </row>
    <row r="228" spans="2:34" ht="15">
      <c r="B228" s="110">
        <v>217</v>
      </c>
      <c r="C228" s="216"/>
      <c r="D228" s="63"/>
      <c r="E228" s="165"/>
      <c r="F228" s="362" t="str">
        <f>IF(D228="","",VLOOKUP(D228,'G-6 Hedgerow Data'!$B$2:$AG$15,2,FALSE))</f>
        <v/>
      </c>
      <c r="G228" s="386" t="str">
        <f>IF(D228="","",VLOOKUP(D228,'G-6 Hedgerow Data'!$B$2:$AG$15,3,FALSE))</f>
        <v/>
      </c>
      <c r="H228" s="55"/>
      <c r="I228" s="363" t="str">
        <f>IFERROR(IF(AND(F228="V.Low",OR(H228="Good",H228="Moderate")),"Error ▲",VLOOKUP(H228,'G-1 All Habitats'!$Z$2:$AA$9,2,FALSE)),"")</f>
        <v/>
      </c>
      <c r="J228" s="115"/>
      <c r="K228" s="382" t="str">
        <f>IF(J228="","",IF(VLOOKUP(J228,'G-3 Multipliers'!$L$3:$N$6,2,FALSE)=0,"Spatial Data Missing",VLOOKUP(J228,'G-3 Multipliers'!$L$3:$N$6,2,FALSE)))</f>
        <v/>
      </c>
      <c r="L228" s="386" t="str">
        <f>IF(J228="","",IF(VLOOKUP(J228,'G-3 Multipliers'!$L$3:$N$6,3,FALSE)=0,"Spatial Data Missing",VLOOKUP(J228,'G-3 Multipliers'!$L$3:$N$6,3,FALSE)))</f>
        <v/>
      </c>
      <c r="M228" s="160"/>
      <c r="N228" s="363" t="str">
        <f>IF(M228="","",IF(VLOOKUP(M228,'G-3 Multipliers'!$S$3:$T$10,2,FALSE)=0,"Spatial Data Missing ⚠",VLOOKUP(M228,'G-3 Multipliers'!$S$3:$T$10,2,FALSE)))</f>
        <v/>
      </c>
      <c r="O228" s="362" t="str">
        <f>IF(OR(D228="",H228=""),"",(INDEX('G-6 Hedgerow Data'!$E$3:$I$15,MATCH(D228,'G-6 Hedgerow Data'!$B$3:$B$15,0),MATCH(H228,'G-6 Hedgerow Data'!$E$2:$I$2,0))))</f>
        <v/>
      </c>
      <c r="P228" s="159"/>
      <c r="Q228" s="159"/>
      <c r="R228" s="370" t="str">
        <f t="shared" si="22"/>
        <v/>
      </c>
      <c r="S228" s="383" t="str">
        <f t="shared" si="23"/>
        <v/>
      </c>
      <c r="T228" s="384" t="str">
        <f t="shared" si="21"/>
        <v/>
      </c>
      <c r="U228" s="398" t="str">
        <f>IF(D228="","",VLOOKUP(D228,'G-6 Hedgerow Data'!$B$3:$AG$15,31,FALSE))</f>
        <v/>
      </c>
      <c r="V228" s="382" t="str">
        <f t="shared" si="24"/>
        <v/>
      </c>
      <c r="W228" s="382" t="str">
        <f t="shared" si="25"/>
        <v/>
      </c>
      <c r="X228" s="386" t="str">
        <f>IF(F228="","",VLOOKUP(U228,'G-3 Multipliers'!$P$3:$Q$6,2,FALSE))</f>
        <v/>
      </c>
      <c r="Y228" s="390" t="str">
        <f t="shared" si="26"/>
        <v/>
      </c>
      <c r="Z228" s="390" t="str">
        <f t="shared" si="27"/>
        <v/>
      </c>
      <c r="AA228" s="117"/>
      <c r="AB228" s="118"/>
      <c r="AC228" s="120"/>
      <c r="AD228" s="120"/>
      <c r="AH228" s="30" t="str">
        <f>IFERROR(INDEX('G-6 Hedgerow Data'!$BJ$3:$BJ$15,MATCH(D228,'G-6 Hedgerow Data'!$B$3:$B$15,0)),"")</f>
        <v/>
      </c>
    </row>
    <row r="229" spans="2:34" ht="15">
      <c r="B229" s="110">
        <v>218</v>
      </c>
      <c r="C229" s="216"/>
      <c r="D229" s="63"/>
      <c r="E229" s="165"/>
      <c r="F229" s="362" t="str">
        <f>IF(D229="","",VLOOKUP(D229,'G-6 Hedgerow Data'!$B$2:$AG$15,2,FALSE))</f>
        <v/>
      </c>
      <c r="G229" s="386" t="str">
        <f>IF(D229="","",VLOOKUP(D229,'G-6 Hedgerow Data'!$B$2:$AG$15,3,FALSE))</f>
        <v/>
      </c>
      <c r="H229" s="55"/>
      <c r="I229" s="363" t="str">
        <f>IFERROR(IF(AND(F229="V.Low",OR(H229="Good",H229="Moderate")),"Error ▲",VLOOKUP(H229,'G-1 All Habitats'!$Z$2:$AA$9,2,FALSE)),"")</f>
        <v/>
      </c>
      <c r="J229" s="115"/>
      <c r="K229" s="382" t="str">
        <f>IF(J229="","",IF(VLOOKUP(J229,'G-3 Multipliers'!$L$3:$N$6,2,FALSE)=0,"Spatial Data Missing",VLOOKUP(J229,'G-3 Multipliers'!$L$3:$N$6,2,FALSE)))</f>
        <v/>
      </c>
      <c r="L229" s="386" t="str">
        <f>IF(J229="","",IF(VLOOKUP(J229,'G-3 Multipliers'!$L$3:$N$6,3,FALSE)=0,"Spatial Data Missing",VLOOKUP(J229,'G-3 Multipliers'!$L$3:$N$6,3,FALSE)))</f>
        <v/>
      </c>
      <c r="M229" s="160"/>
      <c r="N229" s="363" t="str">
        <f>IF(M229="","",IF(VLOOKUP(M229,'G-3 Multipliers'!$S$3:$T$10,2,FALSE)=0,"Spatial Data Missing ⚠",VLOOKUP(M229,'G-3 Multipliers'!$S$3:$T$10,2,FALSE)))</f>
        <v/>
      </c>
      <c r="O229" s="362" t="str">
        <f>IF(OR(D229="",H229=""),"",(INDEX('G-6 Hedgerow Data'!$E$3:$I$15,MATCH(D229,'G-6 Hedgerow Data'!$B$3:$B$15,0),MATCH(H229,'G-6 Hedgerow Data'!$E$2:$I$2,0))))</f>
        <v/>
      </c>
      <c r="P229" s="159"/>
      <c r="Q229" s="159"/>
      <c r="R229" s="370" t="str">
        <f t="shared" si="22"/>
        <v/>
      </c>
      <c r="S229" s="383" t="str">
        <f t="shared" si="23"/>
        <v/>
      </c>
      <c r="T229" s="384" t="str">
        <f t="shared" si="21"/>
        <v/>
      </c>
      <c r="U229" s="398" t="str">
        <f>IF(D229="","",VLOOKUP(D229,'G-6 Hedgerow Data'!$B$3:$AG$15,31,FALSE))</f>
        <v/>
      </c>
      <c r="V229" s="382" t="str">
        <f t="shared" si="24"/>
        <v/>
      </c>
      <c r="W229" s="382" t="str">
        <f t="shared" si="25"/>
        <v/>
      </c>
      <c r="X229" s="386" t="str">
        <f>IF(F229="","",VLOOKUP(U229,'G-3 Multipliers'!$P$3:$Q$6,2,FALSE))</f>
        <v/>
      </c>
      <c r="Y229" s="390" t="str">
        <f t="shared" si="26"/>
        <v/>
      </c>
      <c r="Z229" s="390" t="str">
        <f t="shared" si="27"/>
        <v/>
      </c>
      <c r="AA229" s="117"/>
      <c r="AB229" s="118"/>
      <c r="AC229" s="120"/>
      <c r="AD229" s="120"/>
      <c r="AH229" s="30" t="str">
        <f>IFERROR(INDEX('G-6 Hedgerow Data'!$BJ$3:$BJ$15,MATCH(D229,'G-6 Hedgerow Data'!$B$3:$B$15,0)),"")</f>
        <v/>
      </c>
    </row>
    <row r="230" spans="2:34" ht="15">
      <c r="B230" s="110">
        <v>219</v>
      </c>
      <c r="C230" s="216"/>
      <c r="D230" s="63"/>
      <c r="E230" s="165"/>
      <c r="F230" s="362" t="str">
        <f>IF(D230="","",VLOOKUP(D230,'G-6 Hedgerow Data'!$B$2:$AG$15,2,FALSE))</f>
        <v/>
      </c>
      <c r="G230" s="386" t="str">
        <f>IF(D230="","",VLOOKUP(D230,'G-6 Hedgerow Data'!$B$2:$AG$15,3,FALSE))</f>
        <v/>
      </c>
      <c r="H230" s="55"/>
      <c r="I230" s="363" t="str">
        <f>IFERROR(IF(AND(F230="V.Low",OR(H230="Good",H230="Moderate")),"Error ▲",VLOOKUP(H230,'G-1 All Habitats'!$Z$2:$AA$9,2,FALSE)),"")</f>
        <v/>
      </c>
      <c r="J230" s="115"/>
      <c r="K230" s="382" t="str">
        <f>IF(J230="","",IF(VLOOKUP(J230,'G-3 Multipliers'!$L$3:$N$6,2,FALSE)=0,"Spatial Data Missing",VLOOKUP(J230,'G-3 Multipliers'!$L$3:$N$6,2,FALSE)))</f>
        <v/>
      </c>
      <c r="L230" s="386" t="str">
        <f>IF(J230="","",IF(VLOOKUP(J230,'G-3 Multipliers'!$L$3:$N$6,3,FALSE)=0,"Spatial Data Missing",VLOOKUP(J230,'G-3 Multipliers'!$L$3:$N$6,3,FALSE)))</f>
        <v/>
      </c>
      <c r="M230" s="160"/>
      <c r="N230" s="363" t="str">
        <f>IF(M230="","",IF(VLOOKUP(M230,'G-3 Multipliers'!$S$3:$T$10,2,FALSE)=0,"Spatial Data Missing ⚠",VLOOKUP(M230,'G-3 Multipliers'!$S$3:$T$10,2,FALSE)))</f>
        <v/>
      </c>
      <c r="O230" s="362" t="str">
        <f>IF(OR(D230="",H230=""),"",(INDEX('G-6 Hedgerow Data'!$E$3:$I$15,MATCH(D230,'G-6 Hedgerow Data'!$B$3:$B$15,0),MATCH(H230,'G-6 Hedgerow Data'!$E$2:$I$2,0))))</f>
        <v/>
      </c>
      <c r="P230" s="159"/>
      <c r="Q230" s="159"/>
      <c r="R230" s="370" t="str">
        <f t="shared" si="22"/>
        <v/>
      </c>
      <c r="S230" s="383" t="str">
        <f t="shared" si="23"/>
        <v/>
      </c>
      <c r="T230" s="384" t="str">
        <f t="shared" si="21"/>
        <v/>
      </c>
      <c r="U230" s="398" t="str">
        <f>IF(D230="","",VLOOKUP(D230,'G-6 Hedgerow Data'!$B$3:$AG$15,31,FALSE))</f>
        <v/>
      </c>
      <c r="V230" s="382" t="str">
        <f t="shared" si="24"/>
        <v/>
      </c>
      <c r="W230" s="382" t="str">
        <f t="shared" si="25"/>
        <v/>
      </c>
      <c r="X230" s="386" t="str">
        <f>IF(F230="","",VLOOKUP(U230,'G-3 Multipliers'!$P$3:$Q$6,2,FALSE))</f>
        <v/>
      </c>
      <c r="Y230" s="390" t="str">
        <f t="shared" si="26"/>
        <v/>
      </c>
      <c r="Z230" s="390" t="str">
        <f t="shared" si="27"/>
        <v/>
      </c>
      <c r="AA230" s="117"/>
      <c r="AB230" s="118"/>
      <c r="AC230" s="120"/>
      <c r="AD230" s="120"/>
      <c r="AH230" s="30" t="str">
        <f>IFERROR(INDEX('G-6 Hedgerow Data'!$BJ$3:$BJ$15,MATCH(D230,'G-6 Hedgerow Data'!$B$3:$B$15,0)),"")</f>
        <v/>
      </c>
    </row>
    <row r="231" spans="2:34" ht="15">
      <c r="B231" s="110">
        <v>220</v>
      </c>
      <c r="C231" s="216"/>
      <c r="D231" s="63"/>
      <c r="E231" s="165"/>
      <c r="F231" s="362" t="str">
        <f>IF(D231="","",VLOOKUP(D231,'G-6 Hedgerow Data'!$B$2:$AG$15,2,FALSE))</f>
        <v/>
      </c>
      <c r="G231" s="386" t="str">
        <f>IF(D231="","",VLOOKUP(D231,'G-6 Hedgerow Data'!$B$2:$AG$15,3,FALSE))</f>
        <v/>
      </c>
      <c r="H231" s="55"/>
      <c r="I231" s="363" t="str">
        <f>IFERROR(IF(AND(F231="V.Low",OR(H231="Good",H231="Moderate")),"Error ▲",VLOOKUP(H231,'G-1 All Habitats'!$Z$2:$AA$9,2,FALSE)),"")</f>
        <v/>
      </c>
      <c r="J231" s="115"/>
      <c r="K231" s="382" t="str">
        <f>IF(J231="","",IF(VLOOKUP(J231,'G-3 Multipliers'!$L$3:$N$6,2,FALSE)=0,"Spatial Data Missing",VLOOKUP(J231,'G-3 Multipliers'!$L$3:$N$6,2,FALSE)))</f>
        <v/>
      </c>
      <c r="L231" s="386" t="str">
        <f>IF(J231="","",IF(VLOOKUP(J231,'G-3 Multipliers'!$L$3:$N$6,3,FALSE)=0,"Spatial Data Missing",VLOOKUP(J231,'G-3 Multipliers'!$L$3:$N$6,3,FALSE)))</f>
        <v/>
      </c>
      <c r="M231" s="160"/>
      <c r="N231" s="363" t="str">
        <f>IF(M231="","",IF(VLOOKUP(M231,'G-3 Multipliers'!$S$3:$T$10,2,FALSE)=0,"Spatial Data Missing ⚠",VLOOKUP(M231,'G-3 Multipliers'!$S$3:$T$10,2,FALSE)))</f>
        <v/>
      </c>
      <c r="O231" s="362" t="str">
        <f>IF(OR(D231="",H231=""),"",(INDEX('G-6 Hedgerow Data'!$E$3:$I$15,MATCH(D231,'G-6 Hedgerow Data'!$B$3:$B$15,0),MATCH(H231,'G-6 Hedgerow Data'!$E$2:$I$2,0))))</f>
        <v/>
      </c>
      <c r="P231" s="159"/>
      <c r="Q231" s="159"/>
      <c r="R231" s="370" t="str">
        <f t="shared" si="22"/>
        <v/>
      </c>
      <c r="S231" s="383" t="str">
        <f t="shared" si="23"/>
        <v/>
      </c>
      <c r="T231" s="384" t="str">
        <f t="shared" si="21"/>
        <v/>
      </c>
      <c r="U231" s="398" t="str">
        <f>IF(D231="","",VLOOKUP(D231,'G-6 Hedgerow Data'!$B$3:$AG$15,31,FALSE))</f>
        <v/>
      </c>
      <c r="V231" s="382" t="str">
        <f t="shared" si="24"/>
        <v/>
      </c>
      <c r="W231" s="382" t="str">
        <f t="shared" si="25"/>
        <v/>
      </c>
      <c r="X231" s="386" t="str">
        <f>IF(F231="","",VLOOKUP(U231,'G-3 Multipliers'!$P$3:$Q$6,2,FALSE))</f>
        <v/>
      </c>
      <c r="Y231" s="390" t="str">
        <f t="shared" si="26"/>
        <v/>
      </c>
      <c r="Z231" s="390" t="str">
        <f t="shared" si="27"/>
        <v/>
      </c>
      <c r="AA231" s="117"/>
      <c r="AB231" s="118"/>
      <c r="AC231" s="120"/>
      <c r="AD231" s="120"/>
      <c r="AH231" s="30" t="str">
        <f>IFERROR(INDEX('G-6 Hedgerow Data'!$BJ$3:$BJ$15,MATCH(D231,'G-6 Hedgerow Data'!$B$3:$B$15,0)),"")</f>
        <v/>
      </c>
    </row>
    <row r="232" spans="2:34" ht="15">
      <c r="B232" s="110">
        <v>221</v>
      </c>
      <c r="C232" s="216"/>
      <c r="D232" s="63"/>
      <c r="E232" s="165"/>
      <c r="F232" s="362" t="str">
        <f>IF(D232="","",VLOOKUP(D232,'G-6 Hedgerow Data'!$B$2:$AG$15,2,FALSE))</f>
        <v/>
      </c>
      <c r="G232" s="386" t="str">
        <f>IF(D232="","",VLOOKUP(D232,'G-6 Hedgerow Data'!$B$2:$AG$15,3,FALSE))</f>
        <v/>
      </c>
      <c r="H232" s="55"/>
      <c r="I232" s="363" t="str">
        <f>IFERROR(IF(AND(F232="V.Low",OR(H232="Good",H232="Moderate")),"Error ▲",VLOOKUP(H232,'G-1 All Habitats'!$Z$2:$AA$9,2,FALSE)),"")</f>
        <v/>
      </c>
      <c r="J232" s="115"/>
      <c r="K232" s="382" t="str">
        <f>IF(J232="","",IF(VLOOKUP(J232,'G-3 Multipliers'!$L$3:$N$6,2,FALSE)=0,"Spatial Data Missing",VLOOKUP(J232,'G-3 Multipliers'!$L$3:$N$6,2,FALSE)))</f>
        <v/>
      </c>
      <c r="L232" s="386" t="str">
        <f>IF(J232="","",IF(VLOOKUP(J232,'G-3 Multipliers'!$L$3:$N$6,3,FALSE)=0,"Spatial Data Missing",VLOOKUP(J232,'G-3 Multipliers'!$L$3:$N$6,3,FALSE)))</f>
        <v/>
      </c>
      <c r="M232" s="160"/>
      <c r="N232" s="363" t="str">
        <f>IF(M232="","",IF(VLOOKUP(M232,'G-3 Multipliers'!$S$3:$T$10,2,FALSE)=0,"Spatial Data Missing ⚠",VLOOKUP(M232,'G-3 Multipliers'!$S$3:$T$10,2,FALSE)))</f>
        <v/>
      </c>
      <c r="O232" s="362" t="str">
        <f>IF(OR(D232="",H232=""),"",(INDEX('G-6 Hedgerow Data'!$E$3:$I$15,MATCH(D232,'G-6 Hedgerow Data'!$B$3:$B$15,0),MATCH(H232,'G-6 Hedgerow Data'!$E$2:$I$2,0))))</f>
        <v/>
      </c>
      <c r="P232" s="159"/>
      <c r="Q232" s="159"/>
      <c r="R232" s="370" t="str">
        <f t="shared" si="22"/>
        <v/>
      </c>
      <c r="S232" s="383" t="str">
        <f t="shared" si="23"/>
        <v/>
      </c>
      <c r="T232" s="384" t="str">
        <f t="shared" si="21"/>
        <v/>
      </c>
      <c r="U232" s="398" t="str">
        <f>IF(D232="","",VLOOKUP(D232,'G-6 Hedgerow Data'!$B$3:$AG$15,31,FALSE))</f>
        <v/>
      </c>
      <c r="V232" s="382" t="str">
        <f t="shared" si="24"/>
        <v/>
      </c>
      <c r="W232" s="382" t="str">
        <f t="shared" si="25"/>
        <v/>
      </c>
      <c r="X232" s="386" t="str">
        <f>IF(F232="","",VLOOKUP(U232,'G-3 Multipliers'!$P$3:$Q$6,2,FALSE))</f>
        <v/>
      </c>
      <c r="Y232" s="390" t="str">
        <f t="shared" si="26"/>
        <v/>
      </c>
      <c r="Z232" s="390" t="str">
        <f t="shared" si="27"/>
        <v/>
      </c>
      <c r="AA232" s="117"/>
      <c r="AB232" s="118"/>
      <c r="AC232" s="120"/>
      <c r="AD232" s="120"/>
      <c r="AH232" s="30" t="str">
        <f>IFERROR(INDEX('G-6 Hedgerow Data'!$BJ$3:$BJ$15,MATCH(D232,'G-6 Hedgerow Data'!$B$3:$B$15,0)),"")</f>
        <v/>
      </c>
    </row>
    <row r="233" spans="2:34" ht="15">
      <c r="B233" s="110">
        <v>222</v>
      </c>
      <c r="C233" s="216"/>
      <c r="D233" s="63"/>
      <c r="E233" s="165"/>
      <c r="F233" s="362" t="str">
        <f>IF(D233="","",VLOOKUP(D233,'G-6 Hedgerow Data'!$B$2:$AG$15,2,FALSE))</f>
        <v/>
      </c>
      <c r="G233" s="386" t="str">
        <f>IF(D233="","",VLOOKUP(D233,'G-6 Hedgerow Data'!$B$2:$AG$15,3,FALSE))</f>
        <v/>
      </c>
      <c r="H233" s="55"/>
      <c r="I233" s="363" t="str">
        <f>IFERROR(IF(AND(F233="V.Low",OR(H233="Good",H233="Moderate")),"Error ▲",VLOOKUP(H233,'G-1 All Habitats'!$Z$2:$AA$9,2,FALSE)),"")</f>
        <v/>
      </c>
      <c r="J233" s="115"/>
      <c r="K233" s="382" t="str">
        <f>IF(J233="","",IF(VLOOKUP(J233,'G-3 Multipliers'!$L$3:$N$6,2,FALSE)=0,"Spatial Data Missing",VLOOKUP(J233,'G-3 Multipliers'!$L$3:$N$6,2,FALSE)))</f>
        <v/>
      </c>
      <c r="L233" s="386" t="str">
        <f>IF(J233="","",IF(VLOOKUP(J233,'G-3 Multipliers'!$L$3:$N$6,3,FALSE)=0,"Spatial Data Missing",VLOOKUP(J233,'G-3 Multipliers'!$L$3:$N$6,3,FALSE)))</f>
        <v/>
      </c>
      <c r="M233" s="160"/>
      <c r="N233" s="363" t="str">
        <f>IF(M233="","",IF(VLOOKUP(M233,'G-3 Multipliers'!$S$3:$T$10,2,FALSE)=0,"Spatial Data Missing ⚠",VLOOKUP(M233,'G-3 Multipliers'!$S$3:$T$10,2,FALSE)))</f>
        <v/>
      </c>
      <c r="O233" s="362" t="str">
        <f>IF(OR(D233="",H233=""),"",(INDEX('G-6 Hedgerow Data'!$E$3:$I$15,MATCH(D233,'G-6 Hedgerow Data'!$B$3:$B$15,0),MATCH(H233,'G-6 Hedgerow Data'!$E$2:$I$2,0))))</f>
        <v/>
      </c>
      <c r="P233" s="159"/>
      <c r="Q233" s="159"/>
      <c r="R233" s="370" t="str">
        <f t="shared" si="22"/>
        <v/>
      </c>
      <c r="S233" s="383" t="str">
        <f t="shared" si="23"/>
        <v/>
      </c>
      <c r="T233" s="384" t="str">
        <f t="shared" si="21"/>
        <v/>
      </c>
      <c r="U233" s="398" t="str">
        <f>IF(D233="","",VLOOKUP(D233,'G-6 Hedgerow Data'!$B$3:$AG$15,31,FALSE))</f>
        <v/>
      </c>
      <c r="V233" s="382" t="str">
        <f t="shared" si="24"/>
        <v/>
      </c>
      <c r="W233" s="382" t="str">
        <f t="shared" si="25"/>
        <v/>
      </c>
      <c r="X233" s="386" t="str">
        <f>IF(F233="","",VLOOKUP(U233,'G-3 Multipliers'!$P$3:$Q$6,2,FALSE))</f>
        <v/>
      </c>
      <c r="Y233" s="390" t="str">
        <f t="shared" si="26"/>
        <v/>
      </c>
      <c r="Z233" s="390" t="str">
        <f t="shared" si="27"/>
        <v/>
      </c>
      <c r="AA233" s="117"/>
      <c r="AB233" s="118"/>
      <c r="AC233" s="120"/>
      <c r="AD233" s="120"/>
      <c r="AH233" s="30" t="str">
        <f>IFERROR(INDEX('G-6 Hedgerow Data'!$BJ$3:$BJ$15,MATCH(D233,'G-6 Hedgerow Data'!$B$3:$B$15,0)),"")</f>
        <v/>
      </c>
    </row>
    <row r="234" spans="2:34" ht="15">
      <c r="B234" s="110">
        <v>223</v>
      </c>
      <c r="C234" s="216"/>
      <c r="D234" s="63"/>
      <c r="E234" s="165"/>
      <c r="F234" s="362" t="str">
        <f>IF(D234="","",VLOOKUP(D234,'G-6 Hedgerow Data'!$B$2:$AG$15,2,FALSE))</f>
        <v/>
      </c>
      <c r="G234" s="386" t="str">
        <f>IF(D234="","",VLOOKUP(D234,'G-6 Hedgerow Data'!$B$2:$AG$15,3,FALSE))</f>
        <v/>
      </c>
      <c r="H234" s="55"/>
      <c r="I234" s="363" t="str">
        <f>IFERROR(IF(AND(F234="V.Low",OR(H234="Good",H234="Moderate")),"Error ▲",VLOOKUP(H234,'G-1 All Habitats'!$Z$2:$AA$9,2,FALSE)),"")</f>
        <v/>
      </c>
      <c r="J234" s="115"/>
      <c r="K234" s="382" t="str">
        <f>IF(J234="","",IF(VLOOKUP(J234,'G-3 Multipliers'!$L$3:$N$6,2,FALSE)=0,"Spatial Data Missing",VLOOKUP(J234,'G-3 Multipliers'!$L$3:$N$6,2,FALSE)))</f>
        <v/>
      </c>
      <c r="L234" s="386" t="str">
        <f>IF(J234="","",IF(VLOOKUP(J234,'G-3 Multipliers'!$L$3:$N$6,3,FALSE)=0,"Spatial Data Missing",VLOOKUP(J234,'G-3 Multipliers'!$L$3:$N$6,3,FALSE)))</f>
        <v/>
      </c>
      <c r="M234" s="160"/>
      <c r="N234" s="363" t="str">
        <f>IF(M234="","",IF(VLOOKUP(M234,'G-3 Multipliers'!$S$3:$T$10,2,FALSE)=0,"Spatial Data Missing ⚠",VLOOKUP(M234,'G-3 Multipliers'!$S$3:$T$10,2,FALSE)))</f>
        <v/>
      </c>
      <c r="O234" s="362" t="str">
        <f>IF(OR(D234="",H234=""),"",(INDEX('G-6 Hedgerow Data'!$E$3:$I$15,MATCH(D234,'G-6 Hedgerow Data'!$B$3:$B$15,0),MATCH(H234,'G-6 Hedgerow Data'!$E$2:$I$2,0))))</f>
        <v/>
      </c>
      <c r="P234" s="159"/>
      <c r="Q234" s="159"/>
      <c r="R234" s="370" t="str">
        <f t="shared" si="22"/>
        <v/>
      </c>
      <c r="S234" s="383" t="str">
        <f t="shared" si="23"/>
        <v/>
      </c>
      <c r="T234" s="384" t="str">
        <f t="shared" si="21"/>
        <v/>
      </c>
      <c r="U234" s="398" t="str">
        <f>IF(D234="","",VLOOKUP(D234,'G-6 Hedgerow Data'!$B$3:$AG$15,31,FALSE))</f>
        <v/>
      </c>
      <c r="V234" s="382" t="str">
        <f t="shared" si="24"/>
        <v/>
      </c>
      <c r="W234" s="382" t="str">
        <f t="shared" si="25"/>
        <v/>
      </c>
      <c r="X234" s="386" t="str">
        <f>IF(F234="","",VLOOKUP(U234,'G-3 Multipliers'!$P$3:$Q$6,2,FALSE))</f>
        <v/>
      </c>
      <c r="Y234" s="390" t="str">
        <f t="shared" si="26"/>
        <v/>
      </c>
      <c r="Z234" s="390" t="str">
        <f t="shared" si="27"/>
        <v/>
      </c>
      <c r="AA234" s="117"/>
      <c r="AB234" s="118"/>
      <c r="AC234" s="120"/>
      <c r="AD234" s="120"/>
      <c r="AH234" s="30" t="str">
        <f>IFERROR(INDEX('G-6 Hedgerow Data'!$BJ$3:$BJ$15,MATCH(D234,'G-6 Hedgerow Data'!$B$3:$B$15,0)),"")</f>
        <v/>
      </c>
    </row>
    <row r="235" spans="2:34" ht="15">
      <c r="B235" s="110">
        <v>224</v>
      </c>
      <c r="C235" s="216"/>
      <c r="D235" s="63"/>
      <c r="E235" s="165"/>
      <c r="F235" s="362" t="str">
        <f>IF(D235="","",VLOOKUP(D235,'G-6 Hedgerow Data'!$B$2:$AG$15,2,FALSE))</f>
        <v/>
      </c>
      <c r="G235" s="386" t="str">
        <f>IF(D235="","",VLOOKUP(D235,'G-6 Hedgerow Data'!$B$2:$AG$15,3,FALSE))</f>
        <v/>
      </c>
      <c r="H235" s="55"/>
      <c r="I235" s="363" t="str">
        <f>IFERROR(IF(AND(F235="V.Low",OR(H235="Good",H235="Moderate")),"Error ▲",VLOOKUP(H235,'G-1 All Habitats'!$Z$2:$AA$9,2,FALSE)),"")</f>
        <v/>
      </c>
      <c r="J235" s="115"/>
      <c r="K235" s="382" t="str">
        <f>IF(J235="","",IF(VLOOKUP(J235,'G-3 Multipliers'!$L$3:$N$6,2,FALSE)=0,"Spatial Data Missing",VLOOKUP(J235,'G-3 Multipliers'!$L$3:$N$6,2,FALSE)))</f>
        <v/>
      </c>
      <c r="L235" s="386" t="str">
        <f>IF(J235="","",IF(VLOOKUP(J235,'G-3 Multipliers'!$L$3:$N$6,3,FALSE)=0,"Spatial Data Missing",VLOOKUP(J235,'G-3 Multipliers'!$L$3:$N$6,3,FALSE)))</f>
        <v/>
      </c>
      <c r="M235" s="160"/>
      <c r="N235" s="363" t="str">
        <f>IF(M235="","",IF(VLOOKUP(M235,'G-3 Multipliers'!$S$3:$T$10,2,FALSE)=0,"Spatial Data Missing ⚠",VLOOKUP(M235,'G-3 Multipliers'!$S$3:$T$10,2,FALSE)))</f>
        <v/>
      </c>
      <c r="O235" s="362" t="str">
        <f>IF(OR(D235="",H235=""),"",(INDEX('G-6 Hedgerow Data'!$E$3:$I$15,MATCH(D235,'G-6 Hedgerow Data'!$B$3:$B$15,0),MATCH(H235,'G-6 Hedgerow Data'!$E$2:$I$2,0))))</f>
        <v/>
      </c>
      <c r="P235" s="159"/>
      <c r="Q235" s="159"/>
      <c r="R235" s="370" t="str">
        <f t="shared" si="22"/>
        <v/>
      </c>
      <c r="S235" s="383" t="str">
        <f t="shared" si="23"/>
        <v/>
      </c>
      <c r="T235" s="384" t="str">
        <f t="shared" si="21"/>
        <v/>
      </c>
      <c r="U235" s="398" t="str">
        <f>IF(D235="","",VLOOKUP(D235,'G-6 Hedgerow Data'!$B$3:$AG$15,31,FALSE))</f>
        <v/>
      </c>
      <c r="V235" s="382" t="str">
        <f t="shared" si="24"/>
        <v/>
      </c>
      <c r="W235" s="382" t="str">
        <f t="shared" si="25"/>
        <v/>
      </c>
      <c r="X235" s="386" t="str">
        <f>IF(F235="","",VLOOKUP(U235,'G-3 Multipliers'!$P$3:$Q$6,2,FALSE))</f>
        <v/>
      </c>
      <c r="Y235" s="390" t="str">
        <f t="shared" si="26"/>
        <v/>
      </c>
      <c r="Z235" s="390" t="str">
        <f t="shared" si="27"/>
        <v/>
      </c>
      <c r="AA235" s="117"/>
      <c r="AB235" s="118"/>
      <c r="AC235" s="120"/>
      <c r="AD235" s="120"/>
      <c r="AH235" s="30" t="str">
        <f>IFERROR(INDEX('G-6 Hedgerow Data'!$BJ$3:$BJ$15,MATCH(D235,'G-6 Hedgerow Data'!$B$3:$B$15,0)),"")</f>
        <v/>
      </c>
    </row>
    <row r="236" spans="2:34" ht="15">
      <c r="B236" s="110">
        <v>225</v>
      </c>
      <c r="C236" s="216"/>
      <c r="D236" s="63"/>
      <c r="E236" s="165"/>
      <c r="F236" s="362" t="str">
        <f>IF(D236="","",VLOOKUP(D236,'G-6 Hedgerow Data'!$B$2:$AG$15,2,FALSE))</f>
        <v/>
      </c>
      <c r="G236" s="386" t="str">
        <f>IF(D236="","",VLOOKUP(D236,'G-6 Hedgerow Data'!$B$2:$AG$15,3,FALSE))</f>
        <v/>
      </c>
      <c r="H236" s="55"/>
      <c r="I236" s="363" t="str">
        <f>IFERROR(IF(AND(F236="V.Low",OR(H236="Good",H236="Moderate")),"Error ▲",VLOOKUP(H236,'G-1 All Habitats'!$Z$2:$AA$9,2,FALSE)),"")</f>
        <v/>
      </c>
      <c r="J236" s="115"/>
      <c r="K236" s="382" t="str">
        <f>IF(J236="","",IF(VLOOKUP(J236,'G-3 Multipliers'!$L$3:$N$6,2,FALSE)=0,"Spatial Data Missing",VLOOKUP(J236,'G-3 Multipliers'!$L$3:$N$6,2,FALSE)))</f>
        <v/>
      </c>
      <c r="L236" s="386" t="str">
        <f>IF(J236="","",IF(VLOOKUP(J236,'G-3 Multipliers'!$L$3:$N$6,3,FALSE)=0,"Spatial Data Missing",VLOOKUP(J236,'G-3 Multipliers'!$L$3:$N$6,3,FALSE)))</f>
        <v/>
      </c>
      <c r="M236" s="160"/>
      <c r="N236" s="363" t="str">
        <f>IF(M236="","",IF(VLOOKUP(M236,'G-3 Multipliers'!$S$3:$T$10,2,FALSE)=0,"Spatial Data Missing ⚠",VLOOKUP(M236,'G-3 Multipliers'!$S$3:$T$10,2,FALSE)))</f>
        <v/>
      </c>
      <c r="O236" s="362" t="str">
        <f>IF(OR(D236="",H236=""),"",(INDEX('G-6 Hedgerow Data'!$E$3:$I$15,MATCH(D236,'G-6 Hedgerow Data'!$B$3:$B$15,0),MATCH(H236,'G-6 Hedgerow Data'!$E$2:$I$2,0))))</f>
        <v/>
      </c>
      <c r="P236" s="159"/>
      <c r="Q236" s="159"/>
      <c r="R236" s="370" t="str">
        <f t="shared" si="22"/>
        <v/>
      </c>
      <c r="S236" s="383" t="str">
        <f t="shared" si="23"/>
        <v/>
      </c>
      <c r="T236" s="384" t="str">
        <f t="shared" si="21"/>
        <v/>
      </c>
      <c r="U236" s="398" t="str">
        <f>IF(D236="","",VLOOKUP(D236,'G-6 Hedgerow Data'!$B$3:$AG$15,31,FALSE))</f>
        <v/>
      </c>
      <c r="V236" s="382" t="str">
        <f t="shared" si="24"/>
        <v/>
      </c>
      <c r="W236" s="382" t="str">
        <f t="shared" si="25"/>
        <v/>
      </c>
      <c r="X236" s="386" t="str">
        <f>IF(F236="","",VLOOKUP(U236,'G-3 Multipliers'!$P$3:$Q$6,2,FALSE))</f>
        <v/>
      </c>
      <c r="Y236" s="390" t="str">
        <f t="shared" si="26"/>
        <v/>
      </c>
      <c r="Z236" s="390" t="str">
        <f t="shared" si="27"/>
        <v/>
      </c>
      <c r="AA236" s="117"/>
      <c r="AB236" s="118"/>
      <c r="AC236" s="120"/>
      <c r="AD236" s="120"/>
      <c r="AH236" s="30" t="str">
        <f>IFERROR(INDEX('G-6 Hedgerow Data'!$BJ$3:$BJ$15,MATCH(D236,'G-6 Hedgerow Data'!$B$3:$B$15,0)),"")</f>
        <v/>
      </c>
    </row>
    <row r="237" spans="2:34" ht="15">
      <c r="B237" s="110">
        <v>226</v>
      </c>
      <c r="C237" s="216"/>
      <c r="D237" s="63"/>
      <c r="E237" s="165"/>
      <c r="F237" s="362" t="str">
        <f>IF(D237="","",VLOOKUP(D237,'G-6 Hedgerow Data'!$B$2:$AG$15,2,FALSE))</f>
        <v/>
      </c>
      <c r="G237" s="386" t="str">
        <f>IF(D237="","",VLOOKUP(D237,'G-6 Hedgerow Data'!$B$2:$AG$15,3,FALSE))</f>
        <v/>
      </c>
      <c r="H237" s="55"/>
      <c r="I237" s="363" t="str">
        <f>IFERROR(IF(AND(F237="V.Low",OR(H237="Good",H237="Moderate")),"Error ▲",VLOOKUP(H237,'G-1 All Habitats'!$Z$2:$AA$9,2,FALSE)),"")</f>
        <v/>
      </c>
      <c r="J237" s="115"/>
      <c r="K237" s="382" t="str">
        <f>IF(J237="","",IF(VLOOKUP(J237,'G-3 Multipliers'!$L$3:$N$6,2,FALSE)=0,"Spatial Data Missing",VLOOKUP(J237,'G-3 Multipliers'!$L$3:$N$6,2,FALSE)))</f>
        <v/>
      </c>
      <c r="L237" s="386" t="str">
        <f>IF(J237="","",IF(VLOOKUP(J237,'G-3 Multipliers'!$L$3:$N$6,3,FALSE)=0,"Spatial Data Missing",VLOOKUP(J237,'G-3 Multipliers'!$L$3:$N$6,3,FALSE)))</f>
        <v/>
      </c>
      <c r="M237" s="160"/>
      <c r="N237" s="363" t="str">
        <f>IF(M237="","",IF(VLOOKUP(M237,'G-3 Multipliers'!$S$3:$T$10,2,FALSE)=0,"Spatial Data Missing ⚠",VLOOKUP(M237,'G-3 Multipliers'!$S$3:$T$10,2,FALSE)))</f>
        <v/>
      </c>
      <c r="O237" s="362" t="str">
        <f>IF(OR(D237="",H237=""),"",(INDEX('G-6 Hedgerow Data'!$E$3:$I$15,MATCH(D237,'G-6 Hedgerow Data'!$B$3:$B$15,0),MATCH(H237,'G-6 Hedgerow Data'!$E$2:$I$2,0))))</f>
        <v/>
      </c>
      <c r="P237" s="159"/>
      <c r="Q237" s="159"/>
      <c r="R237" s="370" t="str">
        <f t="shared" si="22"/>
        <v/>
      </c>
      <c r="S237" s="383" t="str">
        <f t="shared" si="23"/>
        <v/>
      </c>
      <c r="T237" s="384" t="str">
        <f t="shared" si="21"/>
        <v/>
      </c>
      <c r="U237" s="398" t="str">
        <f>IF(D237="","",VLOOKUP(D237,'G-6 Hedgerow Data'!$B$3:$AG$15,31,FALSE))</f>
        <v/>
      </c>
      <c r="V237" s="382" t="str">
        <f t="shared" si="24"/>
        <v/>
      </c>
      <c r="W237" s="382" t="str">
        <f t="shared" si="25"/>
        <v/>
      </c>
      <c r="X237" s="386" t="str">
        <f>IF(F237="","",VLOOKUP(U237,'G-3 Multipliers'!$P$3:$Q$6,2,FALSE))</f>
        <v/>
      </c>
      <c r="Y237" s="390" t="str">
        <f t="shared" si="26"/>
        <v/>
      </c>
      <c r="Z237" s="390" t="str">
        <f t="shared" si="27"/>
        <v/>
      </c>
      <c r="AA237" s="117"/>
      <c r="AB237" s="118"/>
      <c r="AC237" s="120"/>
      <c r="AD237" s="120"/>
      <c r="AH237" s="30" t="str">
        <f>IFERROR(INDEX('G-6 Hedgerow Data'!$BJ$3:$BJ$15,MATCH(D237,'G-6 Hedgerow Data'!$B$3:$B$15,0)),"")</f>
        <v/>
      </c>
    </row>
    <row r="238" spans="2:34" ht="15">
      <c r="B238" s="110">
        <v>227</v>
      </c>
      <c r="C238" s="216"/>
      <c r="D238" s="63"/>
      <c r="E238" s="165"/>
      <c r="F238" s="362" t="str">
        <f>IF(D238="","",VLOOKUP(D238,'G-6 Hedgerow Data'!$B$2:$AG$15,2,FALSE))</f>
        <v/>
      </c>
      <c r="G238" s="386" t="str">
        <f>IF(D238="","",VLOOKUP(D238,'G-6 Hedgerow Data'!$B$2:$AG$15,3,FALSE))</f>
        <v/>
      </c>
      <c r="H238" s="55"/>
      <c r="I238" s="363" t="str">
        <f>IFERROR(IF(AND(F238="V.Low",OR(H238="Good",H238="Moderate")),"Error ▲",VLOOKUP(H238,'G-1 All Habitats'!$Z$2:$AA$9,2,FALSE)),"")</f>
        <v/>
      </c>
      <c r="J238" s="115"/>
      <c r="K238" s="382" t="str">
        <f>IF(J238="","",IF(VLOOKUP(J238,'G-3 Multipliers'!$L$3:$N$6,2,FALSE)=0,"Spatial Data Missing",VLOOKUP(J238,'G-3 Multipliers'!$L$3:$N$6,2,FALSE)))</f>
        <v/>
      </c>
      <c r="L238" s="386" t="str">
        <f>IF(J238="","",IF(VLOOKUP(J238,'G-3 Multipliers'!$L$3:$N$6,3,FALSE)=0,"Spatial Data Missing",VLOOKUP(J238,'G-3 Multipliers'!$L$3:$N$6,3,FALSE)))</f>
        <v/>
      </c>
      <c r="M238" s="160"/>
      <c r="N238" s="363" t="str">
        <f>IF(M238="","",IF(VLOOKUP(M238,'G-3 Multipliers'!$S$3:$T$10,2,FALSE)=0,"Spatial Data Missing ⚠",VLOOKUP(M238,'G-3 Multipliers'!$S$3:$T$10,2,FALSE)))</f>
        <v/>
      </c>
      <c r="O238" s="362" t="str">
        <f>IF(OR(D238="",H238=""),"",(INDEX('G-6 Hedgerow Data'!$E$3:$I$15,MATCH(D238,'G-6 Hedgerow Data'!$B$3:$B$15,0),MATCH(H238,'G-6 Hedgerow Data'!$E$2:$I$2,0))))</f>
        <v/>
      </c>
      <c r="P238" s="159"/>
      <c r="Q238" s="159"/>
      <c r="R238" s="370" t="str">
        <f t="shared" si="22"/>
        <v/>
      </c>
      <c r="S238" s="383" t="str">
        <f t="shared" si="23"/>
        <v/>
      </c>
      <c r="T238" s="384" t="str">
        <f t="shared" si="21"/>
        <v/>
      </c>
      <c r="U238" s="398" t="str">
        <f>IF(D238="","",VLOOKUP(D238,'G-6 Hedgerow Data'!$B$3:$AG$15,31,FALSE))</f>
        <v/>
      </c>
      <c r="V238" s="382" t="str">
        <f t="shared" si="24"/>
        <v/>
      </c>
      <c r="W238" s="382" t="str">
        <f t="shared" si="25"/>
        <v/>
      </c>
      <c r="X238" s="386" t="str">
        <f>IF(F238="","",VLOOKUP(U238,'G-3 Multipliers'!$P$3:$Q$6,2,FALSE))</f>
        <v/>
      </c>
      <c r="Y238" s="390" t="str">
        <f t="shared" si="26"/>
        <v/>
      </c>
      <c r="Z238" s="390" t="str">
        <f t="shared" si="27"/>
        <v/>
      </c>
      <c r="AA238" s="117"/>
      <c r="AB238" s="118"/>
      <c r="AC238" s="120"/>
      <c r="AD238" s="120"/>
      <c r="AH238" s="30" t="str">
        <f>IFERROR(INDEX('G-6 Hedgerow Data'!$BJ$3:$BJ$15,MATCH(D238,'G-6 Hedgerow Data'!$B$3:$B$15,0)),"")</f>
        <v/>
      </c>
    </row>
    <row r="239" spans="2:34" ht="15">
      <c r="B239" s="110">
        <v>228</v>
      </c>
      <c r="C239" s="216"/>
      <c r="D239" s="63"/>
      <c r="E239" s="165"/>
      <c r="F239" s="362" t="str">
        <f>IF(D239="","",VLOOKUP(D239,'G-6 Hedgerow Data'!$B$2:$AG$15,2,FALSE))</f>
        <v/>
      </c>
      <c r="G239" s="386" t="str">
        <f>IF(D239="","",VLOOKUP(D239,'G-6 Hedgerow Data'!$B$2:$AG$15,3,FALSE))</f>
        <v/>
      </c>
      <c r="H239" s="55"/>
      <c r="I239" s="363" t="str">
        <f>IFERROR(IF(AND(F239="V.Low",OR(H239="Good",H239="Moderate")),"Error ▲",VLOOKUP(H239,'G-1 All Habitats'!$Z$2:$AA$9,2,FALSE)),"")</f>
        <v/>
      </c>
      <c r="J239" s="115"/>
      <c r="K239" s="382" t="str">
        <f>IF(J239="","",IF(VLOOKUP(J239,'G-3 Multipliers'!$L$3:$N$6,2,FALSE)=0,"Spatial Data Missing",VLOOKUP(J239,'G-3 Multipliers'!$L$3:$N$6,2,FALSE)))</f>
        <v/>
      </c>
      <c r="L239" s="386" t="str">
        <f>IF(J239="","",IF(VLOOKUP(J239,'G-3 Multipliers'!$L$3:$N$6,3,FALSE)=0,"Spatial Data Missing",VLOOKUP(J239,'G-3 Multipliers'!$L$3:$N$6,3,FALSE)))</f>
        <v/>
      </c>
      <c r="M239" s="160"/>
      <c r="N239" s="363" t="str">
        <f>IF(M239="","",IF(VLOOKUP(M239,'G-3 Multipliers'!$S$3:$T$10,2,FALSE)=0,"Spatial Data Missing ⚠",VLOOKUP(M239,'G-3 Multipliers'!$S$3:$T$10,2,FALSE)))</f>
        <v/>
      </c>
      <c r="O239" s="362" t="str">
        <f>IF(OR(D239="",H239=""),"",(INDEX('G-6 Hedgerow Data'!$E$3:$I$15,MATCH(D239,'G-6 Hedgerow Data'!$B$3:$B$15,0),MATCH(H239,'G-6 Hedgerow Data'!$E$2:$I$2,0))))</f>
        <v/>
      </c>
      <c r="P239" s="159"/>
      <c r="Q239" s="159"/>
      <c r="R239" s="370" t="str">
        <f t="shared" si="22"/>
        <v/>
      </c>
      <c r="S239" s="383" t="str">
        <f t="shared" si="23"/>
        <v/>
      </c>
      <c r="T239" s="384" t="str">
        <f t="shared" si="21"/>
        <v/>
      </c>
      <c r="U239" s="398" t="str">
        <f>IF(D239="","",VLOOKUP(D239,'G-6 Hedgerow Data'!$B$3:$AG$15,31,FALSE))</f>
        <v/>
      </c>
      <c r="V239" s="382" t="str">
        <f t="shared" si="24"/>
        <v/>
      </c>
      <c r="W239" s="382" t="str">
        <f t="shared" si="25"/>
        <v/>
      </c>
      <c r="X239" s="386" t="str">
        <f>IF(F239="","",VLOOKUP(U239,'G-3 Multipliers'!$P$3:$Q$6,2,FALSE))</f>
        <v/>
      </c>
      <c r="Y239" s="390" t="str">
        <f t="shared" si="26"/>
        <v/>
      </c>
      <c r="Z239" s="390" t="str">
        <f t="shared" si="27"/>
        <v/>
      </c>
      <c r="AA239" s="117"/>
      <c r="AB239" s="118"/>
      <c r="AC239" s="120"/>
      <c r="AD239" s="120"/>
      <c r="AH239" s="30" t="str">
        <f>IFERROR(INDEX('G-6 Hedgerow Data'!$BJ$3:$BJ$15,MATCH(D239,'G-6 Hedgerow Data'!$B$3:$B$15,0)),"")</f>
        <v/>
      </c>
    </row>
    <row r="240" spans="2:34" ht="15">
      <c r="B240" s="110">
        <v>229</v>
      </c>
      <c r="C240" s="216"/>
      <c r="D240" s="63"/>
      <c r="E240" s="165"/>
      <c r="F240" s="362" t="str">
        <f>IF(D240="","",VLOOKUP(D240,'G-6 Hedgerow Data'!$B$2:$AG$15,2,FALSE))</f>
        <v/>
      </c>
      <c r="G240" s="386" t="str">
        <f>IF(D240="","",VLOOKUP(D240,'G-6 Hedgerow Data'!$B$2:$AG$15,3,FALSE))</f>
        <v/>
      </c>
      <c r="H240" s="55"/>
      <c r="I240" s="363" t="str">
        <f>IFERROR(IF(AND(F240="V.Low",OR(H240="Good",H240="Moderate")),"Error ▲",VLOOKUP(H240,'G-1 All Habitats'!$Z$2:$AA$9,2,FALSE)),"")</f>
        <v/>
      </c>
      <c r="J240" s="115"/>
      <c r="K240" s="382" t="str">
        <f>IF(J240="","",IF(VLOOKUP(J240,'G-3 Multipliers'!$L$3:$N$6,2,FALSE)=0,"Spatial Data Missing",VLOOKUP(J240,'G-3 Multipliers'!$L$3:$N$6,2,FALSE)))</f>
        <v/>
      </c>
      <c r="L240" s="386" t="str">
        <f>IF(J240="","",IF(VLOOKUP(J240,'G-3 Multipliers'!$L$3:$N$6,3,FALSE)=0,"Spatial Data Missing",VLOOKUP(J240,'G-3 Multipliers'!$L$3:$N$6,3,FALSE)))</f>
        <v/>
      </c>
      <c r="M240" s="160"/>
      <c r="N240" s="363" t="str">
        <f>IF(M240="","",IF(VLOOKUP(M240,'G-3 Multipliers'!$S$3:$T$10,2,FALSE)=0,"Spatial Data Missing ⚠",VLOOKUP(M240,'G-3 Multipliers'!$S$3:$T$10,2,FALSE)))</f>
        <v/>
      </c>
      <c r="O240" s="362" t="str">
        <f>IF(OR(D240="",H240=""),"",(INDEX('G-6 Hedgerow Data'!$E$3:$I$15,MATCH(D240,'G-6 Hedgerow Data'!$B$3:$B$15,0),MATCH(H240,'G-6 Hedgerow Data'!$E$2:$I$2,0))))</f>
        <v/>
      </c>
      <c r="P240" s="159"/>
      <c r="Q240" s="159"/>
      <c r="R240" s="370" t="str">
        <f t="shared" si="22"/>
        <v/>
      </c>
      <c r="S240" s="383" t="str">
        <f t="shared" si="23"/>
        <v/>
      </c>
      <c r="T240" s="384" t="str">
        <f t="shared" si="21"/>
        <v/>
      </c>
      <c r="U240" s="398" t="str">
        <f>IF(D240="","",VLOOKUP(D240,'G-6 Hedgerow Data'!$B$3:$AG$15,31,FALSE))</f>
        <v/>
      </c>
      <c r="V240" s="382" t="str">
        <f t="shared" si="24"/>
        <v/>
      </c>
      <c r="W240" s="382" t="str">
        <f t="shared" si="25"/>
        <v/>
      </c>
      <c r="X240" s="386" t="str">
        <f>IF(F240="","",VLOOKUP(U240,'G-3 Multipliers'!$P$3:$Q$6,2,FALSE))</f>
        <v/>
      </c>
      <c r="Y240" s="390" t="str">
        <f t="shared" si="26"/>
        <v/>
      </c>
      <c r="Z240" s="390" t="str">
        <f t="shared" si="27"/>
        <v/>
      </c>
      <c r="AA240" s="117"/>
      <c r="AB240" s="118"/>
      <c r="AC240" s="120"/>
      <c r="AD240" s="120"/>
      <c r="AH240" s="30" t="str">
        <f>IFERROR(INDEX('G-6 Hedgerow Data'!$BJ$3:$BJ$15,MATCH(D240,'G-6 Hedgerow Data'!$B$3:$B$15,0)),"")</f>
        <v/>
      </c>
    </row>
    <row r="241" spans="2:34" ht="15">
      <c r="B241" s="110">
        <v>230</v>
      </c>
      <c r="C241" s="216"/>
      <c r="D241" s="63"/>
      <c r="E241" s="165"/>
      <c r="F241" s="362" t="str">
        <f>IF(D241="","",VLOOKUP(D241,'G-6 Hedgerow Data'!$B$2:$AG$15,2,FALSE))</f>
        <v/>
      </c>
      <c r="G241" s="386" t="str">
        <f>IF(D241="","",VLOOKUP(D241,'G-6 Hedgerow Data'!$B$2:$AG$15,3,FALSE))</f>
        <v/>
      </c>
      <c r="H241" s="55"/>
      <c r="I241" s="363" t="str">
        <f>IFERROR(IF(AND(F241="V.Low",OR(H241="Good",H241="Moderate")),"Error ▲",VLOOKUP(H241,'G-1 All Habitats'!$Z$2:$AA$9,2,FALSE)),"")</f>
        <v/>
      </c>
      <c r="J241" s="115"/>
      <c r="K241" s="382" t="str">
        <f>IF(J241="","",IF(VLOOKUP(J241,'G-3 Multipliers'!$L$3:$N$6,2,FALSE)=0,"Spatial Data Missing",VLOOKUP(J241,'G-3 Multipliers'!$L$3:$N$6,2,FALSE)))</f>
        <v/>
      </c>
      <c r="L241" s="386" t="str">
        <f>IF(J241="","",IF(VLOOKUP(J241,'G-3 Multipliers'!$L$3:$N$6,3,FALSE)=0,"Spatial Data Missing",VLOOKUP(J241,'G-3 Multipliers'!$L$3:$N$6,3,FALSE)))</f>
        <v/>
      </c>
      <c r="M241" s="160"/>
      <c r="N241" s="363" t="str">
        <f>IF(M241="","",IF(VLOOKUP(M241,'G-3 Multipliers'!$S$3:$T$10,2,FALSE)=0,"Spatial Data Missing ⚠",VLOOKUP(M241,'G-3 Multipliers'!$S$3:$T$10,2,FALSE)))</f>
        <v/>
      </c>
      <c r="O241" s="362" t="str">
        <f>IF(OR(D241="",H241=""),"",(INDEX('G-6 Hedgerow Data'!$E$3:$I$15,MATCH(D241,'G-6 Hedgerow Data'!$B$3:$B$15,0),MATCH(H241,'G-6 Hedgerow Data'!$E$2:$I$2,0))))</f>
        <v/>
      </c>
      <c r="P241" s="159"/>
      <c r="Q241" s="159"/>
      <c r="R241" s="370" t="str">
        <f t="shared" si="22"/>
        <v/>
      </c>
      <c r="S241" s="383" t="str">
        <f t="shared" si="23"/>
        <v/>
      </c>
      <c r="T241" s="384" t="str">
        <f t="shared" si="21"/>
        <v/>
      </c>
      <c r="U241" s="398" t="str">
        <f>IF(D241="","",VLOOKUP(D241,'G-6 Hedgerow Data'!$B$3:$AG$15,31,FALSE))</f>
        <v/>
      </c>
      <c r="V241" s="382" t="str">
        <f t="shared" si="24"/>
        <v/>
      </c>
      <c r="W241" s="382" t="str">
        <f t="shared" si="25"/>
        <v/>
      </c>
      <c r="X241" s="386" t="str">
        <f>IF(F241="","",VLOOKUP(U241,'G-3 Multipliers'!$P$3:$Q$6,2,FALSE))</f>
        <v/>
      </c>
      <c r="Y241" s="390" t="str">
        <f t="shared" si="26"/>
        <v/>
      </c>
      <c r="Z241" s="390" t="str">
        <f t="shared" si="27"/>
        <v/>
      </c>
      <c r="AA241" s="117"/>
      <c r="AB241" s="118"/>
      <c r="AC241" s="120"/>
      <c r="AD241" s="120"/>
      <c r="AH241" s="30" t="str">
        <f>IFERROR(INDEX('G-6 Hedgerow Data'!$BJ$3:$BJ$15,MATCH(D241,'G-6 Hedgerow Data'!$B$3:$B$15,0)),"")</f>
        <v/>
      </c>
    </row>
    <row r="242" spans="2:34" ht="15">
      <c r="B242" s="110">
        <v>231</v>
      </c>
      <c r="C242" s="216"/>
      <c r="D242" s="63"/>
      <c r="E242" s="165"/>
      <c r="F242" s="362" t="str">
        <f>IF(D242="","",VLOOKUP(D242,'G-6 Hedgerow Data'!$B$2:$AG$15,2,FALSE))</f>
        <v/>
      </c>
      <c r="G242" s="386" t="str">
        <f>IF(D242="","",VLOOKUP(D242,'G-6 Hedgerow Data'!$B$2:$AG$15,3,FALSE))</f>
        <v/>
      </c>
      <c r="H242" s="55"/>
      <c r="I242" s="363" t="str">
        <f>IFERROR(IF(AND(F242="V.Low",OR(H242="Good",H242="Moderate")),"Error ▲",VLOOKUP(H242,'G-1 All Habitats'!$Z$2:$AA$9,2,FALSE)),"")</f>
        <v/>
      </c>
      <c r="J242" s="115"/>
      <c r="K242" s="382" t="str">
        <f>IF(J242="","",IF(VLOOKUP(J242,'G-3 Multipliers'!$L$3:$N$6,2,FALSE)=0,"Spatial Data Missing",VLOOKUP(J242,'G-3 Multipliers'!$L$3:$N$6,2,FALSE)))</f>
        <v/>
      </c>
      <c r="L242" s="386" t="str">
        <f>IF(J242="","",IF(VLOOKUP(J242,'G-3 Multipliers'!$L$3:$N$6,3,FALSE)=0,"Spatial Data Missing",VLOOKUP(J242,'G-3 Multipliers'!$L$3:$N$6,3,FALSE)))</f>
        <v/>
      </c>
      <c r="M242" s="160"/>
      <c r="N242" s="363" t="str">
        <f>IF(M242="","",IF(VLOOKUP(M242,'G-3 Multipliers'!$S$3:$T$10,2,FALSE)=0,"Spatial Data Missing ⚠",VLOOKUP(M242,'G-3 Multipliers'!$S$3:$T$10,2,FALSE)))</f>
        <v/>
      </c>
      <c r="O242" s="362" t="str">
        <f>IF(OR(D242="",H242=""),"",(INDEX('G-6 Hedgerow Data'!$E$3:$I$15,MATCH(D242,'G-6 Hedgerow Data'!$B$3:$B$15,0),MATCH(H242,'G-6 Hedgerow Data'!$E$2:$I$2,0))))</f>
        <v/>
      </c>
      <c r="P242" s="159"/>
      <c r="Q242" s="159"/>
      <c r="R242" s="370" t="str">
        <f t="shared" si="22"/>
        <v/>
      </c>
      <c r="S242" s="383" t="str">
        <f t="shared" si="23"/>
        <v/>
      </c>
      <c r="T242" s="384" t="str">
        <f t="shared" si="21"/>
        <v/>
      </c>
      <c r="U242" s="398" t="str">
        <f>IF(D242="","",VLOOKUP(D242,'G-6 Hedgerow Data'!$B$3:$AG$15,31,FALSE))</f>
        <v/>
      </c>
      <c r="V242" s="382" t="str">
        <f t="shared" si="24"/>
        <v/>
      </c>
      <c r="W242" s="382" t="str">
        <f t="shared" si="25"/>
        <v/>
      </c>
      <c r="X242" s="386" t="str">
        <f>IF(F242="","",VLOOKUP(U242,'G-3 Multipliers'!$P$3:$Q$6,2,FALSE))</f>
        <v/>
      </c>
      <c r="Y242" s="390" t="str">
        <f t="shared" si="26"/>
        <v/>
      </c>
      <c r="Z242" s="390" t="str">
        <f t="shared" si="27"/>
        <v/>
      </c>
      <c r="AA242" s="117"/>
      <c r="AB242" s="118"/>
      <c r="AC242" s="120"/>
      <c r="AD242" s="120"/>
      <c r="AH242" s="30" t="str">
        <f>IFERROR(INDEX('G-6 Hedgerow Data'!$BJ$3:$BJ$15,MATCH(D242,'G-6 Hedgerow Data'!$B$3:$B$15,0)),"")</f>
        <v/>
      </c>
    </row>
    <row r="243" spans="2:34" ht="15">
      <c r="B243" s="110">
        <v>232</v>
      </c>
      <c r="C243" s="216"/>
      <c r="D243" s="63"/>
      <c r="E243" s="165"/>
      <c r="F243" s="362" t="str">
        <f>IF(D243="","",VLOOKUP(D243,'G-6 Hedgerow Data'!$B$2:$AG$15,2,FALSE))</f>
        <v/>
      </c>
      <c r="G243" s="386" t="str">
        <f>IF(D243="","",VLOOKUP(D243,'G-6 Hedgerow Data'!$B$2:$AG$15,3,FALSE))</f>
        <v/>
      </c>
      <c r="H243" s="55"/>
      <c r="I243" s="363" t="str">
        <f>IFERROR(IF(AND(F243="V.Low",OR(H243="Good",H243="Moderate")),"Error ▲",VLOOKUP(H243,'G-1 All Habitats'!$Z$2:$AA$9,2,FALSE)),"")</f>
        <v/>
      </c>
      <c r="J243" s="115"/>
      <c r="K243" s="382" t="str">
        <f>IF(J243="","",IF(VLOOKUP(J243,'G-3 Multipliers'!$L$3:$N$6,2,FALSE)=0,"Spatial Data Missing",VLOOKUP(J243,'G-3 Multipliers'!$L$3:$N$6,2,FALSE)))</f>
        <v/>
      </c>
      <c r="L243" s="386" t="str">
        <f>IF(J243="","",IF(VLOOKUP(J243,'G-3 Multipliers'!$L$3:$N$6,3,FALSE)=0,"Spatial Data Missing",VLOOKUP(J243,'G-3 Multipliers'!$L$3:$N$6,3,FALSE)))</f>
        <v/>
      </c>
      <c r="M243" s="160"/>
      <c r="N243" s="363" t="str">
        <f>IF(M243="","",IF(VLOOKUP(M243,'G-3 Multipliers'!$S$3:$T$10,2,FALSE)=0,"Spatial Data Missing ⚠",VLOOKUP(M243,'G-3 Multipliers'!$S$3:$T$10,2,FALSE)))</f>
        <v/>
      </c>
      <c r="O243" s="362" t="str">
        <f>IF(OR(D243="",H243=""),"",(INDEX('G-6 Hedgerow Data'!$E$3:$I$15,MATCH(D243,'G-6 Hedgerow Data'!$B$3:$B$15,0),MATCH(H243,'G-6 Hedgerow Data'!$E$2:$I$2,0))))</f>
        <v/>
      </c>
      <c r="P243" s="159"/>
      <c r="Q243" s="159"/>
      <c r="R243" s="370" t="str">
        <f t="shared" si="22"/>
        <v/>
      </c>
      <c r="S243" s="383" t="str">
        <f t="shared" si="23"/>
        <v/>
      </c>
      <c r="T243" s="384" t="str">
        <f t="shared" si="21"/>
        <v/>
      </c>
      <c r="U243" s="398" t="str">
        <f>IF(D243="","",VLOOKUP(D243,'G-6 Hedgerow Data'!$B$3:$AG$15,31,FALSE))</f>
        <v/>
      </c>
      <c r="V243" s="382" t="str">
        <f t="shared" si="24"/>
        <v/>
      </c>
      <c r="W243" s="382" t="str">
        <f t="shared" si="25"/>
        <v/>
      </c>
      <c r="X243" s="386" t="str">
        <f>IF(F243="","",VLOOKUP(U243,'G-3 Multipliers'!$P$3:$Q$6,2,FALSE))</f>
        <v/>
      </c>
      <c r="Y243" s="390" t="str">
        <f t="shared" si="26"/>
        <v/>
      </c>
      <c r="Z243" s="390" t="str">
        <f t="shared" si="27"/>
        <v/>
      </c>
      <c r="AA243" s="117"/>
      <c r="AB243" s="118"/>
      <c r="AC243" s="120"/>
      <c r="AD243" s="120"/>
      <c r="AH243" s="30" t="str">
        <f>IFERROR(INDEX('G-6 Hedgerow Data'!$BJ$3:$BJ$15,MATCH(D243,'G-6 Hedgerow Data'!$B$3:$B$15,0)),"")</f>
        <v/>
      </c>
    </row>
    <row r="244" spans="2:34" ht="15">
      <c r="B244" s="110">
        <v>233</v>
      </c>
      <c r="C244" s="216"/>
      <c r="D244" s="63"/>
      <c r="E244" s="165"/>
      <c r="F244" s="362" t="str">
        <f>IF(D244="","",VLOOKUP(D244,'G-6 Hedgerow Data'!$B$2:$AG$15,2,FALSE))</f>
        <v/>
      </c>
      <c r="G244" s="386" t="str">
        <f>IF(D244="","",VLOOKUP(D244,'G-6 Hedgerow Data'!$B$2:$AG$15,3,FALSE))</f>
        <v/>
      </c>
      <c r="H244" s="55"/>
      <c r="I244" s="363" t="str">
        <f>IFERROR(IF(AND(F244="V.Low",OR(H244="Good",H244="Moderate")),"Error ▲",VLOOKUP(H244,'G-1 All Habitats'!$Z$2:$AA$9,2,FALSE)),"")</f>
        <v/>
      </c>
      <c r="J244" s="115"/>
      <c r="K244" s="382" t="str">
        <f>IF(J244="","",IF(VLOOKUP(J244,'G-3 Multipliers'!$L$3:$N$6,2,FALSE)=0,"Spatial Data Missing",VLOOKUP(J244,'G-3 Multipliers'!$L$3:$N$6,2,FALSE)))</f>
        <v/>
      </c>
      <c r="L244" s="386" t="str">
        <f>IF(J244="","",IF(VLOOKUP(J244,'G-3 Multipliers'!$L$3:$N$6,3,FALSE)=0,"Spatial Data Missing",VLOOKUP(J244,'G-3 Multipliers'!$L$3:$N$6,3,FALSE)))</f>
        <v/>
      </c>
      <c r="M244" s="160"/>
      <c r="N244" s="363" t="str">
        <f>IF(M244="","",IF(VLOOKUP(M244,'G-3 Multipliers'!$S$3:$T$10,2,FALSE)=0,"Spatial Data Missing ⚠",VLOOKUP(M244,'G-3 Multipliers'!$S$3:$T$10,2,FALSE)))</f>
        <v/>
      </c>
      <c r="O244" s="362" t="str">
        <f>IF(OR(D244="",H244=""),"",(INDEX('G-6 Hedgerow Data'!$E$3:$I$15,MATCH(D244,'G-6 Hedgerow Data'!$B$3:$B$15,0),MATCH(H244,'G-6 Hedgerow Data'!$E$2:$I$2,0))))</f>
        <v/>
      </c>
      <c r="P244" s="159"/>
      <c r="Q244" s="159"/>
      <c r="R244" s="370" t="str">
        <f t="shared" si="22"/>
        <v/>
      </c>
      <c r="S244" s="383" t="str">
        <f t="shared" si="23"/>
        <v/>
      </c>
      <c r="T244" s="384" t="str">
        <f t="shared" si="21"/>
        <v/>
      </c>
      <c r="U244" s="398" t="str">
        <f>IF(D244="","",VLOOKUP(D244,'G-6 Hedgerow Data'!$B$3:$AG$15,31,FALSE))</f>
        <v/>
      </c>
      <c r="V244" s="382" t="str">
        <f t="shared" si="24"/>
        <v/>
      </c>
      <c r="W244" s="382" t="str">
        <f t="shared" si="25"/>
        <v/>
      </c>
      <c r="X244" s="386" t="str">
        <f>IF(F244="","",VLOOKUP(U244,'G-3 Multipliers'!$P$3:$Q$6,2,FALSE))</f>
        <v/>
      </c>
      <c r="Y244" s="390" t="str">
        <f t="shared" si="26"/>
        <v/>
      </c>
      <c r="Z244" s="390" t="str">
        <f t="shared" si="27"/>
        <v/>
      </c>
      <c r="AA244" s="117"/>
      <c r="AB244" s="118"/>
      <c r="AC244" s="120"/>
      <c r="AD244" s="120"/>
      <c r="AH244" s="30" t="str">
        <f>IFERROR(INDEX('G-6 Hedgerow Data'!$BJ$3:$BJ$15,MATCH(D244,'G-6 Hedgerow Data'!$B$3:$B$15,0)),"")</f>
        <v/>
      </c>
    </row>
    <row r="245" spans="2:34" ht="15">
      <c r="B245" s="110">
        <v>234</v>
      </c>
      <c r="C245" s="216"/>
      <c r="D245" s="63"/>
      <c r="E245" s="165"/>
      <c r="F245" s="362" t="str">
        <f>IF(D245="","",VLOOKUP(D245,'G-6 Hedgerow Data'!$B$2:$AG$15,2,FALSE))</f>
        <v/>
      </c>
      <c r="G245" s="386" t="str">
        <f>IF(D245="","",VLOOKUP(D245,'G-6 Hedgerow Data'!$B$2:$AG$15,3,FALSE))</f>
        <v/>
      </c>
      <c r="H245" s="55"/>
      <c r="I245" s="363" t="str">
        <f>IFERROR(IF(AND(F245="V.Low",OR(H245="Good",H245="Moderate")),"Error ▲",VLOOKUP(H245,'G-1 All Habitats'!$Z$2:$AA$9,2,FALSE)),"")</f>
        <v/>
      </c>
      <c r="J245" s="115"/>
      <c r="K245" s="382" t="str">
        <f>IF(J245="","",IF(VLOOKUP(J245,'G-3 Multipliers'!$L$3:$N$6,2,FALSE)=0,"Spatial Data Missing",VLOOKUP(J245,'G-3 Multipliers'!$L$3:$N$6,2,FALSE)))</f>
        <v/>
      </c>
      <c r="L245" s="386" t="str">
        <f>IF(J245="","",IF(VLOOKUP(J245,'G-3 Multipliers'!$L$3:$N$6,3,FALSE)=0,"Spatial Data Missing",VLOOKUP(J245,'G-3 Multipliers'!$L$3:$N$6,3,FALSE)))</f>
        <v/>
      </c>
      <c r="M245" s="160"/>
      <c r="N245" s="363" t="str">
        <f>IF(M245="","",IF(VLOOKUP(M245,'G-3 Multipliers'!$S$3:$T$10,2,FALSE)=0,"Spatial Data Missing ⚠",VLOOKUP(M245,'G-3 Multipliers'!$S$3:$T$10,2,FALSE)))</f>
        <v/>
      </c>
      <c r="O245" s="362" t="str">
        <f>IF(OR(D245="",H245=""),"",(INDEX('G-6 Hedgerow Data'!$E$3:$I$15,MATCH(D245,'G-6 Hedgerow Data'!$B$3:$B$15,0),MATCH(H245,'G-6 Hedgerow Data'!$E$2:$I$2,0))))</f>
        <v/>
      </c>
      <c r="P245" s="159"/>
      <c r="Q245" s="159"/>
      <c r="R245" s="370" t="str">
        <f t="shared" si="22"/>
        <v/>
      </c>
      <c r="S245" s="383" t="str">
        <f t="shared" si="23"/>
        <v/>
      </c>
      <c r="T245" s="384" t="str">
        <f t="shared" si="21"/>
        <v/>
      </c>
      <c r="U245" s="398" t="str">
        <f>IF(D245="","",VLOOKUP(D245,'G-6 Hedgerow Data'!$B$3:$AG$15,31,FALSE))</f>
        <v/>
      </c>
      <c r="V245" s="382" t="str">
        <f t="shared" si="24"/>
        <v/>
      </c>
      <c r="W245" s="382" t="str">
        <f t="shared" si="25"/>
        <v/>
      </c>
      <c r="X245" s="386" t="str">
        <f>IF(F245="","",VLOOKUP(U245,'G-3 Multipliers'!$P$3:$Q$6,2,FALSE))</f>
        <v/>
      </c>
      <c r="Y245" s="390" t="str">
        <f t="shared" si="26"/>
        <v/>
      </c>
      <c r="Z245" s="390" t="str">
        <f t="shared" si="27"/>
        <v/>
      </c>
      <c r="AA245" s="117"/>
      <c r="AB245" s="118"/>
      <c r="AC245" s="120"/>
      <c r="AD245" s="120"/>
      <c r="AH245" s="30" t="str">
        <f>IFERROR(INDEX('G-6 Hedgerow Data'!$BJ$3:$BJ$15,MATCH(D245,'G-6 Hedgerow Data'!$B$3:$B$15,0)),"")</f>
        <v/>
      </c>
    </row>
    <row r="246" spans="2:34" ht="15">
      <c r="B246" s="110">
        <v>235</v>
      </c>
      <c r="C246" s="216"/>
      <c r="D246" s="63"/>
      <c r="E246" s="165"/>
      <c r="F246" s="362" t="str">
        <f>IF(D246="","",VLOOKUP(D246,'G-6 Hedgerow Data'!$B$2:$AG$15,2,FALSE))</f>
        <v/>
      </c>
      <c r="G246" s="386" t="str">
        <f>IF(D246="","",VLOOKUP(D246,'G-6 Hedgerow Data'!$B$2:$AG$15,3,FALSE))</f>
        <v/>
      </c>
      <c r="H246" s="55"/>
      <c r="I246" s="363" t="str">
        <f>IFERROR(IF(AND(F246="V.Low",OR(H246="Good",H246="Moderate")),"Error ▲",VLOOKUP(H246,'G-1 All Habitats'!$Z$2:$AA$9,2,FALSE)),"")</f>
        <v/>
      </c>
      <c r="J246" s="115"/>
      <c r="K246" s="382" t="str">
        <f>IF(J246="","",IF(VLOOKUP(J246,'G-3 Multipliers'!$L$3:$N$6,2,FALSE)=0,"Spatial Data Missing",VLOOKUP(J246,'G-3 Multipliers'!$L$3:$N$6,2,FALSE)))</f>
        <v/>
      </c>
      <c r="L246" s="386" t="str">
        <f>IF(J246="","",IF(VLOOKUP(J246,'G-3 Multipliers'!$L$3:$N$6,3,FALSE)=0,"Spatial Data Missing",VLOOKUP(J246,'G-3 Multipliers'!$L$3:$N$6,3,FALSE)))</f>
        <v/>
      </c>
      <c r="M246" s="160"/>
      <c r="N246" s="363" t="str">
        <f>IF(M246="","",IF(VLOOKUP(M246,'G-3 Multipliers'!$S$3:$T$10,2,FALSE)=0,"Spatial Data Missing ⚠",VLOOKUP(M246,'G-3 Multipliers'!$S$3:$T$10,2,FALSE)))</f>
        <v/>
      </c>
      <c r="O246" s="362" t="str">
        <f>IF(OR(D246="",H246=""),"",(INDEX('G-6 Hedgerow Data'!$E$3:$I$15,MATCH(D246,'G-6 Hedgerow Data'!$B$3:$B$15,0),MATCH(H246,'G-6 Hedgerow Data'!$E$2:$I$2,0))))</f>
        <v/>
      </c>
      <c r="P246" s="159"/>
      <c r="Q246" s="159"/>
      <c r="R246" s="370" t="str">
        <f t="shared" si="22"/>
        <v/>
      </c>
      <c r="S246" s="383" t="str">
        <f t="shared" si="23"/>
        <v/>
      </c>
      <c r="T246" s="384" t="str">
        <f t="shared" si="21"/>
        <v/>
      </c>
      <c r="U246" s="398" t="str">
        <f>IF(D246="","",VLOOKUP(D246,'G-6 Hedgerow Data'!$B$3:$AG$15,31,FALSE))</f>
        <v/>
      </c>
      <c r="V246" s="382" t="str">
        <f t="shared" si="24"/>
        <v/>
      </c>
      <c r="W246" s="382" t="str">
        <f t="shared" si="25"/>
        <v/>
      </c>
      <c r="X246" s="386" t="str">
        <f>IF(F246="","",VLOOKUP(U246,'G-3 Multipliers'!$P$3:$Q$6,2,FALSE))</f>
        <v/>
      </c>
      <c r="Y246" s="390" t="str">
        <f t="shared" si="26"/>
        <v/>
      </c>
      <c r="Z246" s="390" t="str">
        <f t="shared" si="27"/>
        <v/>
      </c>
      <c r="AA246" s="117"/>
      <c r="AB246" s="118"/>
      <c r="AC246" s="120"/>
      <c r="AD246" s="120"/>
      <c r="AH246" s="30" t="str">
        <f>IFERROR(INDEX('G-6 Hedgerow Data'!$BJ$3:$BJ$15,MATCH(D246,'G-6 Hedgerow Data'!$B$3:$B$15,0)),"")</f>
        <v/>
      </c>
    </row>
    <row r="247" spans="2:34" ht="15">
      <c r="B247" s="110">
        <v>236</v>
      </c>
      <c r="C247" s="216"/>
      <c r="D247" s="63"/>
      <c r="E247" s="165"/>
      <c r="F247" s="362" t="str">
        <f>IF(D247="","",VLOOKUP(D247,'G-6 Hedgerow Data'!$B$2:$AG$15,2,FALSE))</f>
        <v/>
      </c>
      <c r="G247" s="386" t="str">
        <f>IF(D247="","",VLOOKUP(D247,'G-6 Hedgerow Data'!$B$2:$AG$15,3,FALSE))</f>
        <v/>
      </c>
      <c r="H247" s="55"/>
      <c r="I247" s="363" t="str">
        <f>IFERROR(IF(AND(F247="V.Low",OR(H247="Good",H247="Moderate")),"Error ▲",VLOOKUP(H247,'G-1 All Habitats'!$Z$2:$AA$9,2,FALSE)),"")</f>
        <v/>
      </c>
      <c r="J247" s="115"/>
      <c r="K247" s="382" t="str">
        <f>IF(J247="","",IF(VLOOKUP(J247,'G-3 Multipliers'!$L$3:$N$6,2,FALSE)=0,"Spatial Data Missing",VLOOKUP(J247,'G-3 Multipliers'!$L$3:$N$6,2,FALSE)))</f>
        <v/>
      </c>
      <c r="L247" s="386" t="str">
        <f>IF(J247="","",IF(VLOOKUP(J247,'G-3 Multipliers'!$L$3:$N$6,3,FALSE)=0,"Spatial Data Missing",VLOOKUP(J247,'G-3 Multipliers'!$L$3:$N$6,3,FALSE)))</f>
        <v/>
      </c>
      <c r="M247" s="160"/>
      <c r="N247" s="363" t="str">
        <f>IF(M247="","",IF(VLOOKUP(M247,'G-3 Multipliers'!$S$3:$T$10,2,FALSE)=0,"Spatial Data Missing ⚠",VLOOKUP(M247,'G-3 Multipliers'!$S$3:$T$10,2,FALSE)))</f>
        <v/>
      </c>
      <c r="O247" s="362" t="str">
        <f>IF(OR(D247="",H247=""),"",(INDEX('G-6 Hedgerow Data'!$E$3:$I$15,MATCH(D247,'G-6 Hedgerow Data'!$B$3:$B$15,0),MATCH(H247,'G-6 Hedgerow Data'!$E$2:$I$2,0))))</f>
        <v/>
      </c>
      <c r="P247" s="159"/>
      <c r="Q247" s="159"/>
      <c r="R247" s="370" t="str">
        <f t="shared" si="22"/>
        <v/>
      </c>
      <c r="S247" s="383" t="str">
        <f t="shared" si="23"/>
        <v/>
      </c>
      <c r="T247" s="384" t="str">
        <f t="shared" si="21"/>
        <v/>
      </c>
      <c r="U247" s="398" t="str">
        <f>IF(D247="","",VLOOKUP(D247,'G-6 Hedgerow Data'!$B$3:$AG$15,31,FALSE))</f>
        <v/>
      </c>
      <c r="V247" s="382" t="str">
        <f t="shared" si="24"/>
        <v/>
      </c>
      <c r="W247" s="382" t="str">
        <f t="shared" si="25"/>
        <v/>
      </c>
      <c r="X247" s="386" t="str">
        <f>IF(F247="","",VLOOKUP(U247,'G-3 Multipliers'!$P$3:$Q$6,2,FALSE))</f>
        <v/>
      </c>
      <c r="Y247" s="390" t="str">
        <f t="shared" si="26"/>
        <v/>
      </c>
      <c r="Z247" s="390" t="str">
        <f t="shared" si="27"/>
        <v/>
      </c>
      <c r="AA247" s="117"/>
      <c r="AB247" s="118"/>
      <c r="AC247" s="120"/>
      <c r="AD247" s="120"/>
      <c r="AH247" s="30" t="str">
        <f>IFERROR(INDEX('G-6 Hedgerow Data'!$BJ$3:$BJ$15,MATCH(D247,'G-6 Hedgerow Data'!$B$3:$B$15,0)),"")</f>
        <v/>
      </c>
    </row>
    <row r="248" spans="2:34" ht="15">
      <c r="B248" s="110">
        <v>237</v>
      </c>
      <c r="C248" s="216"/>
      <c r="D248" s="63"/>
      <c r="E248" s="165"/>
      <c r="F248" s="362" t="str">
        <f>IF(D248="","",VLOOKUP(D248,'G-6 Hedgerow Data'!$B$2:$AG$15,2,FALSE))</f>
        <v/>
      </c>
      <c r="G248" s="386" t="str">
        <f>IF(D248="","",VLOOKUP(D248,'G-6 Hedgerow Data'!$B$2:$AG$15,3,FALSE))</f>
        <v/>
      </c>
      <c r="H248" s="55"/>
      <c r="I248" s="363" t="str">
        <f>IFERROR(IF(AND(F248="V.Low",OR(H248="Good",H248="Moderate")),"Error ▲",VLOOKUP(H248,'G-1 All Habitats'!$Z$2:$AA$9,2,FALSE)),"")</f>
        <v/>
      </c>
      <c r="J248" s="115"/>
      <c r="K248" s="382" t="str">
        <f>IF(J248="","",IF(VLOOKUP(J248,'G-3 Multipliers'!$L$3:$N$6,2,FALSE)=0,"Spatial Data Missing",VLOOKUP(J248,'G-3 Multipliers'!$L$3:$N$6,2,FALSE)))</f>
        <v/>
      </c>
      <c r="L248" s="386" t="str">
        <f>IF(J248="","",IF(VLOOKUP(J248,'G-3 Multipliers'!$L$3:$N$6,3,FALSE)=0,"Spatial Data Missing",VLOOKUP(J248,'G-3 Multipliers'!$L$3:$N$6,3,FALSE)))</f>
        <v/>
      </c>
      <c r="M248" s="160"/>
      <c r="N248" s="363" t="str">
        <f>IF(M248="","",IF(VLOOKUP(M248,'G-3 Multipliers'!$S$3:$T$10,2,FALSE)=0,"Spatial Data Missing ⚠",VLOOKUP(M248,'G-3 Multipliers'!$S$3:$T$10,2,FALSE)))</f>
        <v/>
      </c>
      <c r="O248" s="362" t="str">
        <f>IF(OR(D248="",H248=""),"",(INDEX('G-6 Hedgerow Data'!$E$3:$I$15,MATCH(D248,'G-6 Hedgerow Data'!$B$3:$B$15,0),MATCH(H248,'G-6 Hedgerow Data'!$E$2:$I$2,0))))</f>
        <v/>
      </c>
      <c r="P248" s="159"/>
      <c r="Q248" s="159"/>
      <c r="R248" s="370" t="str">
        <f t="shared" si="22"/>
        <v/>
      </c>
      <c r="S248" s="383" t="str">
        <f t="shared" si="23"/>
        <v/>
      </c>
      <c r="T248" s="384" t="str">
        <f t="shared" si="21"/>
        <v/>
      </c>
      <c r="U248" s="398" t="str">
        <f>IF(D248="","",VLOOKUP(D248,'G-6 Hedgerow Data'!$B$3:$AG$15,31,FALSE))</f>
        <v/>
      </c>
      <c r="V248" s="382" t="str">
        <f t="shared" si="24"/>
        <v/>
      </c>
      <c r="W248" s="382" t="str">
        <f t="shared" si="25"/>
        <v/>
      </c>
      <c r="X248" s="386" t="str">
        <f>IF(F248="","",VLOOKUP(U248,'G-3 Multipliers'!$P$3:$Q$6,2,FALSE))</f>
        <v/>
      </c>
      <c r="Y248" s="390" t="str">
        <f t="shared" si="26"/>
        <v/>
      </c>
      <c r="Z248" s="390" t="str">
        <f t="shared" si="27"/>
        <v/>
      </c>
      <c r="AA248" s="117"/>
      <c r="AB248" s="118"/>
      <c r="AC248" s="120"/>
      <c r="AD248" s="120"/>
      <c r="AH248" s="30" t="str">
        <f>IFERROR(INDEX('G-6 Hedgerow Data'!$BJ$3:$BJ$15,MATCH(D248,'G-6 Hedgerow Data'!$B$3:$B$15,0)),"")</f>
        <v/>
      </c>
    </row>
    <row r="249" spans="2:34" ht="15">
      <c r="B249" s="110">
        <v>238</v>
      </c>
      <c r="C249" s="216"/>
      <c r="D249" s="63"/>
      <c r="E249" s="165"/>
      <c r="F249" s="362" t="str">
        <f>IF(D249="","",VLOOKUP(D249,'G-6 Hedgerow Data'!$B$2:$AG$15,2,FALSE))</f>
        <v/>
      </c>
      <c r="G249" s="386" t="str">
        <f>IF(D249="","",VLOOKUP(D249,'G-6 Hedgerow Data'!$B$2:$AG$15,3,FALSE))</f>
        <v/>
      </c>
      <c r="H249" s="55"/>
      <c r="I249" s="363" t="str">
        <f>IFERROR(IF(AND(F249="V.Low",OR(H249="Good",H249="Moderate")),"Error ▲",VLOOKUP(H249,'G-1 All Habitats'!$Z$2:$AA$9,2,FALSE)),"")</f>
        <v/>
      </c>
      <c r="J249" s="115"/>
      <c r="K249" s="382" t="str">
        <f>IF(J249="","",IF(VLOOKUP(J249,'G-3 Multipliers'!$L$3:$N$6,2,FALSE)=0,"Spatial Data Missing",VLOOKUP(J249,'G-3 Multipliers'!$L$3:$N$6,2,FALSE)))</f>
        <v/>
      </c>
      <c r="L249" s="386" t="str">
        <f>IF(J249="","",IF(VLOOKUP(J249,'G-3 Multipliers'!$L$3:$N$6,3,FALSE)=0,"Spatial Data Missing",VLOOKUP(J249,'G-3 Multipliers'!$L$3:$N$6,3,FALSE)))</f>
        <v/>
      </c>
      <c r="M249" s="160"/>
      <c r="N249" s="363" t="str">
        <f>IF(M249="","",IF(VLOOKUP(M249,'G-3 Multipliers'!$S$3:$T$10,2,FALSE)=0,"Spatial Data Missing ⚠",VLOOKUP(M249,'G-3 Multipliers'!$S$3:$T$10,2,FALSE)))</f>
        <v/>
      </c>
      <c r="O249" s="362" t="str">
        <f>IF(OR(D249="",H249=""),"",(INDEX('G-6 Hedgerow Data'!$E$3:$I$15,MATCH(D249,'G-6 Hedgerow Data'!$B$3:$B$15,0),MATCH(H249,'G-6 Hedgerow Data'!$E$2:$I$2,0))))</f>
        <v/>
      </c>
      <c r="P249" s="159"/>
      <c r="Q249" s="159"/>
      <c r="R249" s="370" t="str">
        <f t="shared" si="22"/>
        <v/>
      </c>
      <c r="S249" s="383" t="str">
        <f t="shared" si="23"/>
        <v/>
      </c>
      <c r="T249" s="384" t="str">
        <f t="shared" si="21"/>
        <v/>
      </c>
      <c r="U249" s="398" t="str">
        <f>IF(D249="","",VLOOKUP(D249,'G-6 Hedgerow Data'!$B$3:$AG$15,31,FALSE))</f>
        <v/>
      </c>
      <c r="V249" s="382" t="str">
        <f t="shared" si="24"/>
        <v/>
      </c>
      <c r="W249" s="382" t="str">
        <f t="shared" si="25"/>
        <v/>
      </c>
      <c r="X249" s="386" t="str">
        <f>IF(F249="","",VLOOKUP(U249,'G-3 Multipliers'!$P$3:$Q$6,2,FALSE))</f>
        <v/>
      </c>
      <c r="Y249" s="390" t="str">
        <f t="shared" si="26"/>
        <v/>
      </c>
      <c r="Z249" s="390" t="str">
        <f t="shared" si="27"/>
        <v/>
      </c>
      <c r="AA249" s="117"/>
      <c r="AB249" s="118"/>
      <c r="AC249" s="120"/>
      <c r="AD249" s="120"/>
      <c r="AH249" s="30" t="str">
        <f>IFERROR(INDEX('G-6 Hedgerow Data'!$BJ$3:$BJ$15,MATCH(D249,'G-6 Hedgerow Data'!$B$3:$B$15,0)),"")</f>
        <v/>
      </c>
    </row>
    <row r="250" spans="2:34" ht="15">
      <c r="B250" s="110">
        <v>239</v>
      </c>
      <c r="C250" s="216"/>
      <c r="D250" s="63"/>
      <c r="E250" s="165"/>
      <c r="F250" s="362" t="str">
        <f>IF(D250="","",VLOOKUP(D250,'G-6 Hedgerow Data'!$B$2:$AG$15,2,FALSE))</f>
        <v/>
      </c>
      <c r="G250" s="386" t="str">
        <f>IF(D250="","",VLOOKUP(D250,'G-6 Hedgerow Data'!$B$2:$AG$15,3,FALSE))</f>
        <v/>
      </c>
      <c r="H250" s="55"/>
      <c r="I250" s="363" t="str">
        <f>IFERROR(IF(AND(F250="V.Low",OR(H250="Good",H250="Moderate")),"Error ▲",VLOOKUP(H250,'G-1 All Habitats'!$Z$2:$AA$9,2,FALSE)),"")</f>
        <v/>
      </c>
      <c r="J250" s="115"/>
      <c r="K250" s="382" t="str">
        <f>IF(J250="","",IF(VLOOKUP(J250,'G-3 Multipliers'!$L$3:$N$6,2,FALSE)=0,"Spatial Data Missing",VLOOKUP(J250,'G-3 Multipliers'!$L$3:$N$6,2,FALSE)))</f>
        <v/>
      </c>
      <c r="L250" s="386" t="str">
        <f>IF(J250="","",IF(VLOOKUP(J250,'G-3 Multipliers'!$L$3:$N$6,3,FALSE)=0,"Spatial Data Missing",VLOOKUP(J250,'G-3 Multipliers'!$L$3:$N$6,3,FALSE)))</f>
        <v/>
      </c>
      <c r="M250" s="160"/>
      <c r="N250" s="363" t="str">
        <f>IF(M250="","",IF(VLOOKUP(M250,'G-3 Multipliers'!$S$3:$T$10,2,FALSE)=0,"Spatial Data Missing ⚠",VLOOKUP(M250,'G-3 Multipliers'!$S$3:$T$10,2,FALSE)))</f>
        <v/>
      </c>
      <c r="O250" s="362" t="str">
        <f>IF(OR(D250="",H250=""),"",(INDEX('G-6 Hedgerow Data'!$E$3:$I$15,MATCH(D250,'G-6 Hedgerow Data'!$B$3:$B$15,0),MATCH(H250,'G-6 Hedgerow Data'!$E$2:$I$2,0))))</f>
        <v/>
      </c>
      <c r="P250" s="159"/>
      <c r="Q250" s="159"/>
      <c r="R250" s="370" t="str">
        <f t="shared" si="22"/>
        <v/>
      </c>
      <c r="S250" s="383" t="str">
        <f t="shared" si="23"/>
        <v/>
      </c>
      <c r="T250" s="384" t="str">
        <f t="shared" si="21"/>
        <v/>
      </c>
      <c r="U250" s="398" t="str">
        <f>IF(D250="","",VLOOKUP(D250,'G-6 Hedgerow Data'!$B$3:$AG$15,31,FALSE))</f>
        <v/>
      </c>
      <c r="V250" s="382" t="str">
        <f t="shared" si="24"/>
        <v/>
      </c>
      <c r="W250" s="382" t="str">
        <f t="shared" si="25"/>
        <v/>
      </c>
      <c r="X250" s="386" t="str">
        <f>IF(F250="","",VLOOKUP(U250,'G-3 Multipliers'!$P$3:$Q$6,2,FALSE))</f>
        <v/>
      </c>
      <c r="Y250" s="390" t="str">
        <f t="shared" si="26"/>
        <v/>
      </c>
      <c r="Z250" s="390" t="str">
        <f t="shared" si="27"/>
        <v/>
      </c>
      <c r="AA250" s="117"/>
      <c r="AB250" s="118"/>
      <c r="AC250" s="120"/>
      <c r="AD250" s="120"/>
      <c r="AH250" s="30" t="str">
        <f>IFERROR(INDEX('G-6 Hedgerow Data'!$BJ$3:$BJ$15,MATCH(D250,'G-6 Hedgerow Data'!$B$3:$B$15,0)),"")</f>
        <v/>
      </c>
    </row>
    <row r="251" spans="2:34" ht="15">
      <c r="B251" s="110">
        <v>240</v>
      </c>
      <c r="C251" s="216"/>
      <c r="D251" s="63"/>
      <c r="E251" s="165"/>
      <c r="F251" s="362" t="str">
        <f>IF(D251="","",VLOOKUP(D251,'G-6 Hedgerow Data'!$B$2:$AG$15,2,FALSE))</f>
        <v/>
      </c>
      <c r="G251" s="386" t="str">
        <f>IF(D251="","",VLOOKUP(D251,'G-6 Hedgerow Data'!$B$2:$AG$15,3,FALSE))</f>
        <v/>
      </c>
      <c r="H251" s="55"/>
      <c r="I251" s="363" t="str">
        <f>IFERROR(IF(AND(F251="V.Low",OR(H251="Good",H251="Moderate")),"Error ▲",VLOOKUP(H251,'G-1 All Habitats'!$Z$2:$AA$9,2,FALSE)),"")</f>
        <v/>
      </c>
      <c r="J251" s="115"/>
      <c r="K251" s="382" t="str">
        <f>IF(J251="","",IF(VLOOKUP(J251,'G-3 Multipliers'!$L$3:$N$6,2,FALSE)=0,"Spatial Data Missing",VLOOKUP(J251,'G-3 Multipliers'!$L$3:$N$6,2,FALSE)))</f>
        <v/>
      </c>
      <c r="L251" s="386" t="str">
        <f>IF(J251="","",IF(VLOOKUP(J251,'G-3 Multipliers'!$L$3:$N$6,3,FALSE)=0,"Spatial Data Missing",VLOOKUP(J251,'G-3 Multipliers'!$L$3:$N$6,3,FALSE)))</f>
        <v/>
      </c>
      <c r="M251" s="160"/>
      <c r="N251" s="363" t="str">
        <f>IF(M251="","",IF(VLOOKUP(M251,'G-3 Multipliers'!$S$3:$T$10,2,FALSE)=0,"Spatial Data Missing ⚠",VLOOKUP(M251,'G-3 Multipliers'!$S$3:$T$10,2,FALSE)))</f>
        <v/>
      </c>
      <c r="O251" s="362" t="str">
        <f>IF(OR(D251="",H251=""),"",(INDEX('G-6 Hedgerow Data'!$E$3:$I$15,MATCH(D251,'G-6 Hedgerow Data'!$B$3:$B$15,0),MATCH(H251,'G-6 Hedgerow Data'!$E$2:$I$2,0))))</f>
        <v/>
      </c>
      <c r="P251" s="159"/>
      <c r="Q251" s="159"/>
      <c r="R251" s="370" t="str">
        <f t="shared" si="22"/>
        <v/>
      </c>
      <c r="S251" s="383" t="str">
        <f t="shared" si="23"/>
        <v/>
      </c>
      <c r="T251" s="384" t="str">
        <f t="shared" si="21"/>
        <v/>
      </c>
      <c r="U251" s="398" t="str">
        <f>IF(D251="","",VLOOKUP(D251,'G-6 Hedgerow Data'!$B$3:$AG$15,31,FALSE))</f>
        <v/>
      </c>
      <c r="V251" s="382" t="str">
        <f t="shared" si="24"/>
        <v/>
      </c>
      <c r="W251" s="382" t="str">
        <f t="shared" si="25"/>
        <v/>
      </c>
      <c r="X251" s="386" t="str">
        <f>IF(F251="","",VLOOKUP(U251,'G-3 Multipliers'!$P$3:$Q$6,2,FALSE))</f>
        <v/>
      </c>
      <c r="Y251" s="390" t="str">
        <f t="shared" si="26"/>
        <v/>
      </c>
      <c r="Z251" s="390" t="str">
        <f t="shared" si="27"/>
        <v/>
      </c>
      <c r="AA251" s="117"/>
      <c r="AB251" s="118"/>
      <c r="AC251" s="120"/>
      <c r="AD251" s="120"/>
      <c r="AH251" s="30" t="str">
        <f>IFERROR(INDEX('G-6 Hedgerow Data'!$BJ$3:$BJ$15,MATCH(D251,'G-6 Hedgerow Data'!$B$3:$B$15,0)),"")</f>
        <v/>
      </c>
    </row>
    <row r="252" spans="2:34" ht="15">
      <c r="B252" s="110">
        <v>241</v>
      </c>
      <c r="C252" s="216"/>
      <c r="D252" s="63"/>
      <c r="E252" s="165"/>
      <c r="F252" s="362" t="str">
        <f>IF(D252="","",VLOOKUP(D252,'G-6 Hedgerow Data'!$B$2:$AG$15,2,FALSE))</f>
        <v/>
      </c>
      <c r="G252" s="386" t="str">
        <f>IF(D252="","",VLOOKUP(D252,'G-6 Hedgerow Data'!$B$2:$AG$15,3,FALSE))</f>
        <v/>
      </c>
      <c r="H252" s="55"/>
      <c r="I252" s="363" t="str">
        <f>IFERROR(IF(AND(F252="V.Low",OR(H252="Good",H252="Moderate")),"Error ▲",VLOOKUP(H252,'G-1 All Habitats'!$Z$2:$AA$9,2,FALSE)),"")</f>
        <v/>
      </c>
      <c r="J252" s="115"/>
      <c r="K252" s="382" t="str">
        <f>IF(J252="","",IF(VLOOKUP(J252,'G-3 Multipliers'!$L$3:$N$6,2,FALSE)=0,"Spatial Data Missing",VLOOKUP(J252,'G-3 Multipliers'!$L$3:$N$6,2,FALSE)))</f>
        <v/>
      </c>
      <c r="L252" s="386" t="str">
        <f>IF(J252="","",IF(VLOOKUP(J252,'G-3 Multipliers'!$L$3:$N$6,3,FALSE)=0,"Spatial Data Missing",VLOOKUP(J252,'G-3 Multipliers'!$L$3:$N$6,3,FALSE)))</f>
        <v/>
      </c>
      <c r="M252" s="160"/>
      <c r="N252" s="363" t="str">
        <f>IF(M252="","",IF(VLOOKUP(M252,'G-3 Multipliers'!$S$3:$T$10,2,FALSE)=0,"Spatial Data Missing ⚠",VLOOKUP(M252,'G-3 Multipliers'!$S$3:$T$10,2,FALSE)))</f>
        <v/>
      </c>
      <c r="O252" s="362" t="str">
        <f>IF(OR(D252="",H252=""),"",(INDEX('G-6 Hedgerow Data'!$E$3:$I$15,MATCH(D252,'G-6 Hedgerow Data'!$B$3:$B$15,0),MATCH(H252,'G-6 Hedgerow Data'!$E$2:$I$2,0))))</f>
        <v/>
      </c>
      <c r="P252" s="159"/>
      <c r="Q252" s="159"/>
      <c r="R252" s="370" t="str">
        <f t="shared" si="22"/>
        <v/>
      </c>
      <c r="S252" s="383" t="str">
        <f t="shared" si="23"/>
        <v/>
      </c>
      <c r="T252" s="384" t="str">
        <f t="shared" si="21"/>
        <v/>
      </c>
      <c r="U252" s="398" t="str">
        <f>IF(D252="","",VLOOKUP(D252,'G-6 Hedgerow Data'!$B$3:$AG$15,31,FALSE))</f>
        <v/>
      </c>
      <c r="V252" s="382" t="str">
        <f t="shared" si="24"/>
        <v/>
      </c>
      <c r="W252" s="382" t="str">
        <f t="shared" si="25"/>
        <v/>
      </c>
      <c r="X252" s="386" t="str">
        <f>IF(F252="","",VLOOKUP(U252,'G-3 Multipliers'!$P$3:$Q$6,2,FALSE))</f>
        <v/>
      </c>
      <c r="Y252" s="390" t="str">
        <f t="shared" si="26"/>
        <v/>
      </c>
      <c r="Z252" s="390" t="str">
        <f t="shared" si="27"/>
        <v/>
      </c>
      <c r="AA252" s="117"/>
      <c r="AB252" s="118"/>
      <c r="AC252" s="120"/>
      <c r="AD252" s="120"/>
      <c r="AH252" s="30" t="str">
        <f>IFERROR(INDEX('G-6 Hedgerow Data'!$BJ$3:$BJ$15,MATCH(D252,'G-6 Hedgerow Data'!$B$3:$B$15,0)),"")</f>
        <v/>
      </c>
    </row>
    <row r="253" spans="2:34" ht="15">
      <c r="B253" s="110">
        <v>242</v>
      </c>
      <c r="C253" s="216"/>
      <c r="D253" s="63"/>
      <c r="E253" s="165"/>
      <c r="F253" s="362" t="str">
        <f>IF(D253="","",VLOOKUP(D253,'G-6 Hedgerow Data'!$B$2:$AG$15,2,FALSE))</f>
        <v/>
      </c>
      <c r="G253" s="386" t="str">
        <f>IF(D253="","",VLOOKUP(D253,'G-6 Hedgerow Data'!$B$2:$AG$15,3,FALSE))</f>
        <v/>
      </c>
      <c r="H253" s="55"/>
      <c r="I253" s="363" t="str">
        <f>IFERROR(IF(AND(F253="V.Low",OR(H253="Good",H253="Moderate")),"Error ▲",VLOOKUP(H253,'G-1 All Habitats'!$Z$2:$AA$9,2,FALSE)),"")</f>
        <v/>
      </c>
      <c r="J253" s="115"/>
      <c r="K253" s="382" t="str">
        <f>IF(J253="","",IF(VLOOKUP(J253,'G-3 Multipliers'!$L$3:$N$6,2,FALSE)=0,"Spatial Data Missing",VLOOKUP(J253,'G-3 Multipliers'!$L$3:$N$6,2,FALSE)))</f>
        <v/>
      </c>
      <c r="L253" s="386" t="str">
        <f>IF(J253="","",IF(VLOOKUP(J253,'G-3 Multipliers'!$L$3:$N$6,3,FALSE)=0,"Spatial Data Missing",VLOOKUP(J253,'G-3 Multipliers'!$L$3:$N$6,3,FALSE)))</f>
        <v/>
      </c>
      <c r="M253" s="160"/>
      <c r="N253" s="363" t="str">
        <f>IF(M253="","",IF(VLOOKUP(M253,'G-3 Multipliers'!$S$3:$T$10,2,FALSE)=0,"Spatial Data Missing ⚠",VLOOKUP(M253,'G-3 Multipliers'!$S$3:$T$10,2,FALSE)))</f>
        <v/>
      </c>
      <c r="O253" s="362" t="str">
        <f>IF(OR(D253="",H253=""),"",(INDEX('G-6 Hedgerow Data'!$E$3:$I$15,MATCH(D253,'G-6 Hedgerow Data'!$B$3:$B$15,0),MATCH(H253,'G-6 Hedgerow Data'!$E$2:$I$2,0))))</f>
        <v/>
      </c>
      <c r="P253" s="159"/>
      <c r="Q253" s="159"/>
      <c r="R253" s="370" t="str">
        <f t="shared" si="22"/>
        <v/>
      </c>
      <c r="S253" s="383" t="str">
        <f t="shared" si="23"/>
        <v/>
      </c>
      <c r="T253" s="384" t="str">
        <f t="shared" si="21"/>
        <v/>
      </c>
      <c r="U253" s="398" t="str">
        <f>IF(D253="","",VLOOKUP(D253,'G-6 Hedgerow Data'!$B$3:$AG$15,31,FALSE))</f>
        <v/>
      </c>
      <c r="V253" s="382" t="str">
        <f t="shared" si="24"/>
        <v/>
      </c>
      <c r="W253" s="382" t="str">
        <f t="shared" si="25"/>
        <v/>
      </c>
      <c r="X253" s="386" t="str">
        <f>IF(F253="","",VLOOKUP(U253,'G-3 Multipliers'!$P$3:$Q$6,2,FALSE))</f>
        <v/>
      </c>
      <c r="Y253" s="390" t="str">
        <f t="shared" si="26"/>
        <v/>
      </c>
      <c r="Z253" s="390" t="str">
        <f t="shared" si="27"/>
        <v/>
      </c>
      <c r="AA253" s="117"/>
      <c r="AB253" s="118"/>
      <c r="AC253" s="120"/>
      <c r="AD253" s="120"/>
      <c r="AH253" s="30" t="str">
        <f>IFERROR(INDEX('G-6 Hedgerow Data'!$BJ$3:$BJ$15,MATCH(D253,'G-6 Hedgerow Data'!$B$3:$B$15,0)),"")</f>
        <v/>
      </c>
    </row>
    <row r="254" spans="2:34" ht="15">
      <c r="B254" s="110">
        <v>243</v>
      </c>
      <c r="C254" s="216"/>
      <c r="D254" s="63"/>
      <c r="E254" s="165"/>
      <c r="F254" s="362" t="str">
        <f>IF(D254="","",VLOOKUP(D254,'G-6 Hedgerow Data'!$B$2:$AG$15,2,FALSE))</f>
        <v/>
      </c>
      <c r="G254" s="386" t="str">
        <f>IF(D254="","",VLOOKUP(D254,'G-6 Hedgerow Data'!$B$2:$AG$15,3,FALSE))</f>
        <v/>
      </c>
      <c r="H254" s="55"/>
      <c r="I254" s="363" t="str">
        <f>IFERROR(IF(AND(F254="V.Low",OR(H254="Good",H254="Moderate")),"Error ▲",VLOOKUP(H254,'G-1 All Habitats'!$Z$2:$AA$9,2,FALSE)),"")</f>
        <v/>
      </c>
      <c r="J254" s="115"/>
      <c r="K254" s="382" t="str">
        <f>IF(J254="","",IF(VLOOKUP(J254,'G-3 Multipliers'!$L$3:$N$6,2,FALSE)=0,"Spatial Data Missing",VLOOKUP(J254,'G-3 Multipliers'!$L$3:$N$6,2,FALSE)))</f>
        <v/>
      </c>
      <c r="L254" s="386" t="str">
        <f>IF(J254="","",IF(VLOOKUP(J254,'G-3 Multipliers'!$L$3:$N$6,3,FALSE)=0,"Spatial Data Missing",VLOOKUP(J254,'G-3 Multipliers'!$L$3:$N$6,3,FALSE)))</f>
        <v/>
      </c>
      <c r="M254" s="160"/>
      <c r="N254" s="363" t="str">
        <f>IF(M254="","",IF(VLOOKUP(M254,'G-3 Multipliers'!$S$3:$T$10,2,FALSE)=0,"Spatial Data Missing ⚠",VLOOKUP(M254,'G-3 Multipliers'!$S$3:$T$10,2,FALSE)))</f>
        <v/>
      </c>
      <c r="O254" s="362" t="str">
        <f>IF(OR(D254="",H254=""),"",(INDEX('G-6 Hedgerow Data'!$E$3:$I$15,MATCH(D254,'G-6 Hedgerow Data'!$B$3:$B$15,0),MATCH(H254,'G-6 Hedgerow Data'!$E$2:$I$2,0))))</f>
        <v/>
      </c>
      <c r="P254" s="159"/>
      <c r="Q254" s="159"/>
      <c r="R254" s="370" t="str">
        <f t="shared" si="22"/>
        <v/>
      </c>
      <c r="S254" s="383" t="str">
        <f t="shared" si="23"/>
        <v/>
      </c>
      <c r="T254" s="384" t="str">
        <f t="shared" si="21"/>
        <v/>
      </c>
      <c r="U254" s="398" t="str">
        <f>IF(D254="","",VLOOKUP(D254,'G-6 Hedgerow Data'!$B$3:$AG$15,31,FALSE))</f>
        <v/>
      </c>
      <c r="V254" s="382" t="str">
        <f t="shared" si="24"/>
        <v/>
      </c>
      <c r="W254" s="382" t="str">
        <f t="shared" si="25"/>
        <v/>
      </c>
      <c r="X254" s="386" t="str">
        <f>IF(F254="","",VLOOKUP(U254,'G-3 Multipliers'!$P$3:$Q$6,2,FALSE))</f>
        <v/>
      </c>
      <c r="Y254" s="390" t="str">
        <f t="shared" si="26"/>
        <v/>
      </c>
      <c r="Z254" s="390" t="str">
        <f t="shared" si="27"/>
        <v/>
      </c>
      <c r="AA254" s="117"/>
      <c r="AB254" s="118"/>
      <c r="AC254" s="120"/>
      <c r="AD254" s="120"/>
      <c r="AH254" s="30" t="str">
        <f>IFERROR(INDEX('G-6 Hedgerow Data'!$BJ$3:$BJ$15,MATCH(D254,'G-6 Hedgerow Data'!$B$3:$B$15,0)),"")</f>
        <v/>
      </c>
    </row>
    <row r="255" spans="2:34" ht="15">
      <c r="B255" s="110">
        <v>244</v>
      </c>
      <c r="C255" s="216"/>
      <c r="D255" s="63"/>
      <c r="E255" s="165"/>
      <c r="F255" s="362" t="str">
        <f>IF(D255="","",VLOOKUP(D255,'G-6 Hedgerow Data'!$B$2:$AG$15,2,FALSE))</f>
        <v/>
      </c>
      <c r="G255" s="386" t="str">
        <f>IF(D255="","",VLOOKUP(D255,'G-6 Hedgerow Data'!$B$2:$AG$15,3,FALSE))</f>
        <v/>
      </c>
      <c r="H255" s="55"/>
      <c r="I255" s="363" t="str">
        <f>IFERROR(IF(AND(F255="V.Low",OR(H255="Good",H255="Moderate")),"Error ▲",VLOOKUP(H255,'G-1 All Habitats'!$Z$2:$AA$9,2,FALSE)),"")</f>
        <v/>
      </c>
      <c r="J255" s="115"/>
      <c r="K255" s="382" t="str">
        <f>IF(J255="","",IF(VLOOKUP(J255,'G-3 Multipliers'!$L$3:$N$6,2,FALSE)=0,"Spatial Data Missing",VLOOKUP(J255,'G-3 Multipliers'!$L$3:$N$6,2,FALSE)))</f>
        <v/>
      </c>
      <c r="L255" s="386" t="str">
        <f>IF(J255="","",IF(VLOOKUP(J255,'G-3 Multipliers'!$L$3:$N$6,3,FALSE)=0,"Spatial Data Missing",VLOOKUP(J255,'G-3 Multipliers'!$L$3:$N$6,3,FALSE)))</f>
        <v/>
      </c>
      <c r="M255" s="160"/>
      <c r="N255" s="363" t="str">
        <f>IF(M255="","",IF(VLOOKUP(M255,'G-3 Multipliers'!$S$3:$T$10,2,FALSE)=0,"Spatial Data Missing ⚠",VLOOKUP(M255,'G-3 Multipliers'!$S$3:$T$10,2,FALSE)))</f>
        <v/>
      </c>
      <c r="O255" s="362" t="str">
        <f>IF(OR(D255="",H255=""),"",(INDEX('G-6 Hedgerow Data'!$E$3:$I$15,MATCH(D255,'G-6 Hedgerow Data'!$B$3:$B$15,0),MATCH(H255,'G-6 Hedgerow Data'!$E$2:$I$2,0))))</f>
        <v/>
      </c>
      <c r="P255" s="159"/>
      <c r="Q255" s="159"/>
      <c r="R255" s="370" t="str">
        <f t="shared" si="22"/>
        <v/>
      </c>
      <c r="S255" s="383" t="str">
        <f t="shared" si="23"/>
        <v/>
      </c>
      <c r="T255" s="384" t="str">
        <f t="shared" si="21"/>
        <v/>
      </c>
      <c r="U255" s="398" t="str">
        <f>IF(D255="","",VLOOKUP(D255,'G-6 Hedgerow Data'!$B$3:$AG$15,31,FALSE))</f>
        <v/>
      </c>
      <c r="V255" s="382" t="str">
        <f t="shared" si="24"/>
        <v/>
      </c>
      <c r="W255" s="382" t="str">
        <f t="shared" si="25"/>
        <v/>
      </c>
      <c r="X255" s="386" t="str">
        <f>IF(F255="","",VLOOKUP(U255,'G-3 Multipliers'!$P$3:$Q$6,2,FALSE))</f>
        <v/>
      </c>
      <c r="Y255" s="390" t="str">
        <f t="shared" si="26"/>
        <v/>
      </c>
      <c r="Z255" s="390" t="str">
        <f t="shared" si="27"/>
        <v/>
      </c>
      <c r="AA255" s="117"/>
      <c r="AB255" s="118"/>
      <c r="AC255" s="120"/>
      <c r="AD255" s="120"/>
      <c r="AH255" s="30" t="str">
        <f>IFERROR(INDEX('G-6 Hedgerow Data'!$BJ$3:$BJ$15,MATCH(D255,'G-6 Hedgerow Data'!$B$3:$B$15,0)),"")</f>
        <v/>
      </c>
    </row>
    <row r="256" spans="2:34" ht="15">
      <c r="B256" s="110">
        <v>245</v>
      </c>
      <c r="C256" s="216"/>
      <c r="D256" s="63"/>
      <c r="E256" s="165"/>
      <c r="F256" s="362" t="str">
        <f>IF(D256="","",VLOOKUP(D256,'G-6 Hedgerow Data'!$B$2:$AG$15,2,FALSE))</f>
        <v/>
      </c>
      <c r="G256" s="386" t="str">
        <f>IF(D256="","",VLOOKUP(D256,'G-6 Hedgerow Data'!$B$2:$AG$15,3,FALSE))</f>
        <v/>
      </c>
      <c r="H256" s="55"/>
      <c r="I256" s="363" t="str">
        <f>IFERROR(IF(AND(F256="V.Low",OR(H256="Good",H256="Moderate")),"Error ▲",VLOOKUP(H256,'G-1 All Habitats'!$Z$2:$AA$9,2,FALSE)),"")</f>
        <v/>
      </c>
      <c r="J256" s="115"/>
      <c r="K256" s="382" t="str">
        <f>IF(J256="","",IF(VLOOKUP(J256,'G-3 Multipliers'!$L$3:$N$6,2,FALSE)=0,"Spatial Data Missing",VLOOKUP(J256,'G-3 Multipliers'!$L$3:$N$6,2,FALSE)))</f>
        <v/>
      </c>
      <c r="L256" s="386" t="str">
        <f>IF(J256="","",IF(VLOOKUP(J256,'G-3 Multipliers'!$L$3:$N$6,3,FALSE)=0,"Spatial Data Missing",VLOOKUP(J256,'G-3 Multipliers'!$L$3:$N$6,3,FALSE)))</f>
        <v/>
      </c>
      <c r="M256" s="160"/>
      <c r="N256" s="363" t="str">
        <f>IF(M256="","",IF(VLOOKUP(M256,'G-3 Multipliers'!$S$3:$T$10,2,FALSE)=0,"Spatial Data Missing ⚠",VLOOKUP(M256,'G-3 Multipliers'!$S$3:$T$10,2,FALSE)))</f>
        <v/>
      </c>
      <c r="O256" s="362" t="str">
        <f>IF(OR(D256="",H256=""),"",(INDEX('G-6 Hedgerow Data'!$E$3:$I$15,MATCH(D256,'G-6 Hedgerow Data'!$B$3:$B$15,0),MATCH(H256,'G-6 Hedgerow Data'!$E$2:$I$2,0))))</f>
        <v/>
      </c>
      <c r="P256" s="159"/>
      <c r="Q256" s="159"/>
      <c r="R256" s="370" t="str">
        <f t="shared" si="22"/>
        <v/>
      </c>
      <c r="S256" s="383" t="str">
        <f t="shared" si="23"/>
        <v/>
      </c>
      <c r="T256" s="384" t="str">
        <f t="shared" si="21"/>
        <v/>
      </c>
      <c r="U256" s="398" t="str">
        <f>IF(D256="","",VLOOKUP(D256,'G-6 Hedgerow Data'!$B$3:$AG$15,31,FALSE))</f>
        <v/>
      </c>
      <c r="V256" s="382" t="str">
        <f t="shared" si="24"/>
        <v/>
      </c>
      <c r="W256" s="382" t="str">
        <f t="shared" si="25"/>
        <v/>
      </c>
      <c r="X256" s="386" t="str">
        <f>IF(F256="","",VLOOKUP(U256,'G-3 Multipliers'!$P$3:$Q$6,2,FALSE))</f>
        <v/>
      </c>
      <c r="Y256" s="390" t="str">
        <f t="shared" si="26"/>
        <v/>
      </c>
      <c r="Z256" s="390" t="str">
        <f t="shared" si="27"/>
        <v/>
      </c>
      <c r="AA256" s="117"/>
      <c r="AB256" s="118"/>
      <c r="AC256" s="120"/>
      <c r="AD256" s="120"/>
      <c r="AH256" s="30" t="str">
        <f>IFERROR(INDEX('G-6 Hedgerow Data'!$BJ$3:$BJ$15,MATCH(D256,'G-6 Hedgerow Data'!$B$3:$B$15,0)),"")</f>
        <v/>
      </c>
    </row>
    <row r="257" spans="2:34" ht="15">
      <c r="B257" s="110">
        <v>246</v>
      </c>
      <c r="C257" s="216"/>
      <c r="D257" s="63"/>
      <c r="E257" s="165"/>
      <c r="F257" s="362" t="str">
        <f>IF(D257="","",VLOOKUP(D257,'G-6 Hedgerow Data'!$B$2:$AG$15,2,FALSE))</f>
        <v/>
      </c>
      <c r="G257" s="386" t="str">
        <f>IF(D257="","",VLOOKUP(D257,'G-6 Hedgerow Data'!$B$2:$AG$15,3,FALSE))</f>
        <v/>
      </c>
      <c r="H257" s="55"/>
      <c r="I257" s="363" t="str">
        <f>IFERROR(IF(AND(F257="V.Low",OR(H257="Good",H257="Moderate")),"Error ▲",VLOOKUP(H257,'G-1 All Habitats'!$Z$2:$AA$9,2,FALSE)),"")</f>
        <v/>
      </c>
      <c r="J257" s="115"/>
      <c r="K257" s="382" t="str">
        <f>IF(J257="","",IF(VLOOKUP(J257,'G-3 Multipliers'!$L$3:$N$6,2,FALSE)=0,"Spatial Data Missing",VLOOKUP(J257,'G-3 Multipliers'!$L$3:$N$6,2,FALSE)))</f>
        <v/>
      </c>
      <c r="L257" s="386" t="str">
        <f>IF(J257="","",IF(VLOOKUP(J257,'G-3 Multipliers'!$L$3:$N$6,3,FALSE)=0,"Spatial Data Missing",VLOOKUP(J257,'G-3 Multipliers'!$L$3:$N$6,3,FALSE)))</f>
        <v/>
      </c>
      <c r="M257" s="160"/>
      <c r="N257" s="363" t="str">
        <f>IF(M257="","",IF(VLOOKUP(M257,'G-3 Multipliers'!$S$3:$T$10,2,FALSE)=0,"Spatial Data Missing ⚠",VLOOKUP(M257,'G-3 Multipliers'!$S$3:$T$10,2,FALSE)))</f>
        <v/>
      </c>
      <c r="O257" s="362" t="str">
        <f>IF(OR(D257="",H257=""),"",(INDEX('G-6 Hedgerow Data'!$E$3:$I$15,MATCH(D257,'G-6 Hedgerow Data'!$B$3:$B$15,0),MATCH(H257,'G-6 Hedgerow Data'!$E$2:$I$2,0))))</f>
        <v/>
      </c>
      <c r="P257" s="159"/>
      <c r="Q257" s="159"/>
      <c r="R257" s="370" t="str">
        <f t="shared" si="22"/>
        <v/>
      </c>
      <c r="S257" s="383" t="str">
        <f t="shared" si="23"/>
        <v/>
      </c>
      <c r="T257" s="384" t="str">
        <f t="shared" si="21"/>
        <v/>
      </c>
      <c r="U257" s="398" t="str">
        <f>IF(D257="","",VLOOKUP(D257,'G-6 Hedgerow Data'!$B$3:$AG$15,31,FALSE))</f>
        <v/>
      </c>
      <c r="V257" s="382" t="str">
        <f t="shared" si="24"/>
        <v/>
      </c>
      <c r="W257" s="382" t="str">
        <f t="shared" si="25"/>
        <v/>
      </c>
      <c r="X257" s="386" t="str">
        <f>IF(F257="","",VLOOKUP(U257,'G-3 Multipliers'!$P$3:$Q$6,2,FALSE))</f>
        <v/>
      </c>
      <c r="Y257" s="390" t="str">
        <f t="shared" si="26"/>
        <v/>
      </c>
      <c r="Z257" s="390" t="str">
        <f t="shared" si="27"/>
        <v/>
      </c>
      <c r="AA257" s="117"/>
      <c r="AB257" s="118"/>
      <c r="AC257" s="120"/>
      <c r="AD257" s="120"/>
      <c r="AH257" s="30" t="str">
        <f>IFERROR(INDEX('G-6 Hedgerow Data'!$BJ$3:$BJ$15,MATCH(D257,'G-6 Hedgerow Data'!$B$3:$B$15,0)),"")</f>
        <v/>
      </c>
    </row>
    <row r="258" spans="2:34" ht="15">
      <c r="B258" s="110">
        <v>247</v>
      </c>
      <c r="C258" s="216"/>
      <c r="D258" s="63"/>
      <c r="E258" s="165"/>
      <c r="F258" s="362" t="str">
        <f>IF(D258="","",VLOOKUP(D258,'G-6 Hedgerow Data'!$B$2:$AG$15,2,FALSE))</f>
        <v/>
      </c>
      <c r="G258" s="386" t="str">
        <f>IF(D258="","",VLOOKUP(D258,'G-6 Hedgerow Data'!$B$2:$AG$15,3,FALSE))</f>
        <v/>
      </c>
      <c r="H258" s="55"/>
      <c r="I258" s="363" t="str">
        <f>IFERROR(IF(AND(F258="V.Low",OR(H258="Good",H258="Moderate")),"Error ▲",VLOOKUP(H258,'G-1 All Habitats'!$Z$2:$AA$9,2,FALSE)),"")</f>
        <v/>
      </c>
      <c r="J258" s="115"/>
      <c r="K258" s="382" t="str">
        <f>IF(J258="","",IF(VLOOKUP(J258,'G-3 Multipliers'!$L$3:$N$6,2,FALSE)=0,"Spatial Data Missing",VLOOKUP(J258,'G-3 Multipliers'!$L$3:$N$6,2,FALSE)))</f>
        <v/>
      </c>
      <c r="L258" s="386" t="str">
        <f>IF(J258="","",IF(VLOOKUP(J258,'G-3 Multipliers'!$L$3:$N$6,3,FALSE)=0,"Spatial Data Missing",VLOOKUP(J258,'G-3 Multipliers'!$L$3:$N$6,3,FALSE)))</f>
        <v/>
      </c>
      <c r="M258" s="160"/>
      <c r="N258" s="363" t="str">
        <f>IF(M258="","",IF(VLOOKUP(M258,'G-3 Multipliers'!$S$3:$T$10,2,FALSE)=0,"Spatial Data Missing ⚠",VLOOKUP(M258,'G-3 Multipliers'!$S$3:$T$10,2,FALSE)))</f>
        <v/>
      </c>
      <c r="O258" s="362" t="str">
        <f>IF(OR(D258="",H258=""),"",(INDEX('G-6 Hedgerow Data'!$E$3:$I$15,MATCH(D258,'G-6 Hedgerow Data'!$B$3:$B$15,0),MATCH(H258,'G-6 Hedgerow Data'!$E$2:$I$2,0))))</f>
        <v/>
      </c>
      <c r="P258" s="159"/>
      <c r="Q258" s="159"/>
      <c r="R258" s="370" t="str">
        <f t="shared" si="22"/>
        <v/>
      </c>
      <c r="S258" s="383" t="str">
        <f t="shared" si="23"/>
        <v/>
      </c>
      <c r="T258" s="384" t="str">
        <f t="shared" si="21"/>
        <v/>
      </c>
      <c r="U258" s="398" t="str">
        <f>IF(D258="","",VLOOKUP(D258,'G-6 Hedgerow Data'!$B$3:$AG$15,31,FALSE))</f>
        <v/>
      </c>
      <c r="V258" s="382" t="str">
        <f t="shared" si="24"/>
        <v/>
      </c>
      <c r="W258" s="382" t="str">
        <f>(IF(AND(V258="Standard difficulty applied",O258&gt;P258),U258,IF(AND(V258="Low Difficulty - only applicable if all habitat created before losses",P258&gt;=O258),"Low",U258)))</f>
        <v/>
      </c>
      <c r="X258" s="386" t="str">
        <f>IF(F258="","",VLOOKUP(U258,'G-3 Multipliers'!$P$3:$Q$6,2,FALSE))</f>
        <v/>
      </c>
      <c r="Y258" s="390" t="str">
        <f t="shared" si="26"/>
        <v/>
      </c>
      <c r="Z258" s="390" t="str">
        <f t="shared" si="27"/>
        <v/>
      </c>
      <c r="AA258" s="117"/>
      <c r="AB258" s="118"/>
      <c r="AC258" s="690"/>
      <c r="AD258" s="690"/>
      <c r="AH258" s="30" t="str">
        <f>IFERROR(INDEX('G-6 Hedgerow Data'!$BJ$3:$BJ$15,MATCH(D258,'G-6 Hedgerow Data'!$B$3:$B$15,0)),"")</f>
        <v/>
      </c>
    </row>
    <row r="259" spans="2:34" ht="15.75" thickBot="1">
      <c r="B259" s="126">
        <v>248</v>
      </c>
      <c r="C259" s="217"/>
      <c r="D259" s="63"/>
      <c r="E259" s="165"/>
      <c r="F259" s="364" t="str">
        <f>IF(D259="","",VLOOKUP(D259,'G-6 Hedgerow Data'!$B$2:$AG$15,2,FALSE))</f>
        <v/>
      </c>
      <c r="G259" s="386" t="str">
        <f>IF(D259="","",VLOOKUP(D259,'G-6 Hedgerow Data'!$B$2:$AG$15,3,FALSE))</f>
        <v/>
      </c>
      <c r="H259" s="55"/>
      <c r="I259" s="363" t="str">
        <f>IFERROR(IF(AND(F259="V.Low",OR(H259="Good",H259="Moderate")),"Error ▲",VLOOKUP(H259,'G-1 All Habitats'!$Z$2:$AA$9,2,FALSE)),"")</f>
        <v/>
      </c>
      <c r="J259" s="115"/>
      <c r="K259" s="371" t="str">
        <f>IF(J259="","",IF(VLOOKUP(J259,'G-3 Multipliers'!$L$3:$N$6,2,FALSE)=0,"Spatial Data Missing",VLOOKUP(J259,'G-3 Multipliers'!$L$3:$N$6,2,FALSE)))</f>
        <v/>
      </c>
      <c r="L259" s="365" t="str">
        <f>IF(J259="","",IF(VLOOKUP(J259,'G-3 Multipliers'!$L$3:$N$6,3,FALSE)=0,"Spatial Data Missing",VLOOKUP(J259,'G-3 Multipliers'!$L$3:$N$6,3,FALSE)))</f>
        <v/>
      </c>
      <c r="M259" s="160"/>
      <c r="N259" s="363" t="str">
        <f>IF(M259="","",IF(VLOOKUP(M259,'G-3 Multipliers'!$S$3:$T$10,2,FALSE)=0,"Spatial Data Missing ⚠",VLOOKUP(M259,'G-3 Multipliers'!$S$3:$T$10,2,FALSE)))</f>
        <v/>
      </c>
      <c r="O259" s="362" t="str">
        <f>IF(OR(D259="",H259=""),"",(INDEX('G-6 Hedgerow Data'!$E$3:$I$15,MATCH(D259,'G-6 Hedgerow Data'!$B$3:$B$15,0),MATCH(H259,'G-6 Hedgerow Data'!$E$2:$I$2,0))))</f>
        <v/>
      </c>
      <c r="P259" s="159"/>
      <c r="Q259" s="168"/>
      <c r="R259" s="370" t="str">
        <f t="shared" si="22"/>
        <v/>
      </c>
      <c r="S259" s="383" t="str">
        <f t="shared" si="23"/>
        <v/>
      </c>
      <c r="T259" s="384" t="str">
        <f t="shared" si="21"/>
        <v/>
      </c>
      <c r="U259" s="364" t="str">
        <f>IF(D259="","",VLOOKUP(D259,'G-6 Hedgerow Data'!$B$3:$AG$15,31,FALSE))</f>
        <v/>
      </c>
      <c r="V259" s="382" t="str">
        <f t="shared" si="24"/>
        <v/>
      </c>
      <c r="W259" s="395" t="str">
        <f t="shared" si="25"/>
        <v/>
      </c>
      <c r="X259" s="397" t="str">
        <f>IF(F259="","",VLOOKUP(U259,'G-3 Multipliers'!$P$3:$Q$6,2,FALSE))</f>
        <v/>
      </c>
      <c r="Y259" s="391" t="str">
        <f t="shared" si="26"/>
        <v/>
      </c>
      <c r="Z259" s="390" t="str">
        <f t="shared" si="27"/>
        <v/>
      </c>
      <c r="AA259" s="130"/>
      <c r="AB259" s="131"/>
      <c r="AC259" s="683"/>
      <c r="AD259" s="131"/>
      <c r="AH259" s="30" t="str">
        <f>IFERROR(INDEX('G-6 Hedgerow Data'!$BJ$3:$BJ$15,MATCH(D259,'G-6 Hedgerow Data'!$B$3:$B$15,0)),"")</f>
        <v/>
      </c>
    </row>
    <row r="260" spans="2:34" ht="15.75" thickBot="1">
      <c r="B260" s="34"/>
      <c r="C260" s="34"/>
      <c r="D260" s="223"/>
      <c r="E260" s="366">
        <f>SUM(E12:E259)</f>
        <v>0</v>
      </c>
      <c r="F260" s="34"/>
      <c r="G260" s="34"/>
      <c r="H260" s="34"/>
      <c r="I260" s="34"/>
      <c r="J260" s="34"/>
      <c r="K260" s="34"/>
      <c r="L260" s="34"/>
      <c r="M260" s="34"/>
      <c r="N260" s="34"/>
      <c r="O260" s="34"/>
      <c r="P260" s="34"/>
      <c r="Q260" s="34"/>
      <c r="R260" s="34"/>
      <c r="S260" s="34"/>
      <c r="T260" s="34"/>
      <c r="U260" s="34"/>
      <c r="V260" s="34"/>
      <c r="W260" s="1593"/>
      <c r="X260" s="1593"/>
      <c r="Y260" s="366">
        <f>SUM(Y12:Y259)</f>
        <v>0</v>
      </c>
      <c r="Z260" s="366">
        <f>SUM(Z12:Z259)</f>
        <v>0</v>
      </c>
      <c r="AA260" s="34"/>
      <c r="AB260" s="34"/>
    </row>
    <row r="261" spans="2:34" ht="28.9" customHeight="1">
      <c r="E261" s="1585"/>
      <c r="F261" s="1585"/>
      <c r="G261" s="1585"/>
      <c r="H261" s="1585"/>
      <c r="I261" s="1585"/>
      <c r="J261" s="1585"/>
    </row>
    <row r="262" spans="2:34" ht="27" customHeight="1"/>
    <row r="263" spans="2:34" ht="15"/>
    <row r="264" spans="2:34" ht="15"/>
    <row r="265" spans="2:34" ht="15"/>
    <row r="266" spans="2:34" ht="15" hidden="1"/>
    <row r="267" spans="2:34" ht="15" hidden="1"/>
    <row r="268" spans="2:34" ht="15" hidden="1"/>
  </sheetData>
  <sheetProtection algorithmName="SHA-512" hashValue="FRtbmhlIkmh2V7BhXKwdWaUOT1mitPX2eGjEuZYumZLssGCjw8NMChr3rJJ6kbL6DvPiUxpJQgesJbJyENEcCA==" saltValue="fqs255XNdO7HeBgPVNORSA==" spinCount="100000" sheet="1" objects="1" scenarios="1"/>
  <customSheetViews>
    <customSheetView guid="{8BDA793C-C9C5-4FC6-A0A5-F1109F6D4F22}" state="hidden">
      <pane ySplit="11" topLeftCell="A12" activePane="bottomLeft" state="frozen"/>
      <selection pane="bottomLeft" activeCell="D14" sqref="D14"/>
    </customSheetView>
  </customSheetViews>
  <mergeCells count="19">
    <mergeCell ref="B2:E2"/>
    <mergeCell ref="B3:E4"/>
    <mergeCell ref="D10:E10"/>
    <mergeCell ref="M10:N10"/>
    <mergeCell ref="O10:T10"/>
    <mergeCell ref="F10:G10"/>
    <mergeCell ref="H10:I10"/>
    <mergeCell ref="O2:T5"/>
    <mergeCell ref="J3:L3"/>
    <mergeCell ref="J4:L4"/>
    <mergeCell ref="J2:M2"/>
    <mergeCell ref="J5:L5"/>
    <mergeCell ref="W260:X260"/>
    <mergeCell ref="E261:J261"/>
    <mergeCell ref="Y10:Y11"/>
    <mergeCell ref="AA10:AB10"/>
    <mergeCell ref="J10:L10"/>
    <mergeCell ref="U10:X10"/>
    <mergeCell ref="Z10:Z11"/>
  </mergeCells>
  <conditionalFormatting sqref="Y12">
    <cfRule type="containsText" dxfId="388" priority="144" operator="containsText" text="Existing Value Not Required">
      <formula>NOT(ISERROR(SEARCH("Existing Value Not Required",Y12)))</formula>
    </cfRule>
    <cfRule type="containsText" dxfId="387" priority="145" operator="containsText" text="Existing Value Required">
      <formula>NOT(ISERROR(SEARCH("Existing Value Required",Y12)))</formula>
    </cfRule>
  </conditionalFormatting>
  <conditionalFormatting sqref="M12:M259">
    <cfRule type="containsText" dxfId="386" priority="140" operator="containsText" text="Existing Value Not Required">
      <formula>NOT(ISERROR(SEARCH("Existing Value Not Required",M12)))</formula>
    </cfRule>
    <cfRule type="containsText" dxfId="385" priority="141" operator="containsText" text="Existing Value Required">
      <formula>NOT(ISERROR(SEARCH("Existing Value Required",M12)))</formula>
    </cfRule>
  </conditionalFormatting>
  <conditionalFormatting sqref="Y13:Y259">
    <cfRule type="containsText" dxfId="384" priority="138" operator="containsText" text="Existing Value Not Required">
      <formula>NOT(ISERROR(SEARCH("Existing Value Not Required",Y13)))</formula>
    </cfRule>
    <cfRule type="containsText" dxfId="383" priority="139" operator="containsText" text="Existing Value Required">
      <formula>NOT(ISERROR(SEARCH("Existing Value Required",Y13)))</formula>
    </cfRule>
  </conditionalFormatting>
  <conditionalFormatting sqref="M13:M259">
    <cfRule type="containsText" dxfId="382" priority="136" operator="containsText" text="Existing Value Not Required">
      <formula>NOT(ISERROR(SEARCH("Existing Value Not Required",M13)))</formula>
    </cfRule>
    <cfRule type="containsText" dxfId="381" priority="137" operator="containsText" text="Existing Value Required">
      <formula>NOT(ISERROR(SEARCH("Existing Value Required",M13)))</formula>
    </cfRule>
  </conditionalFormatting>
  <conditionalFormatting sqref="I12:Y259">
    <cfRule type="containsText" dxfId="380" priority="135" operator="containsText" text="Error">
      <formula>NOT(ISERROR(SEARCH("Error",I12)))</formula>
    </cfRule>
  </conditionalFormatting>
  <conditionalFormatting sqref="K12:L259">
    <cfRule type="containsText" dxfId="379" priority="134" operator="containsText" text="Spatial">
      <formula>NOT(ISERROR(SEARCH("Spatial",K12)))</formula>
    </cfRule>
  </conditionalFormatting>
  <conditionalFormatting sqref="N12:N259">
    <cfRule type="containsText" dxfId="378" priority="133" operator="containsText" text="Spatial">
      <formula>NOT(ISERROR(SEARCH("Spatial",N12)))</formula>
    </cfRule>
  </conditionalFormatting>
  <conditionalFormatting sqref="O6:S6 O2">
    <cfRule type="containsText" dxfId="377" priority="132" operator="containsText" text="Note">
      <formula>NOT(ISERROR(SEARCH("Note",O2)))</formula>
    </cfRule>
  </conditionalFormatting>
  <conditionalFormatting sqref="R12:Y259">
    <cfRule type="containsText" dxfId="376" priority="122" operator="containsText" text="30+">
      <formula>NOT(ISERROR(SEARCH("30+",R12)))</formula>
    </cfRule>
    <cfRule type="containsText" dxfId="375" priority="131" operator="containsText" text="Check">
      <formula>NOT(ISERROR(SEARCH("Check",R12)))</formula>
    </cfRule>
  </conditionalFormatting>
  <conditionalFormatting sqref="V12:V259">
    <cfRule type="beginsWith" dxfId="374" priority="130" operator="beginsWith" text="No">
      <formula>LEFT(V12,LEN("No"))="No"</formula>
    </cfRule>
  </conditionalFormatting>
  <conditionalFormatting sqref="E261:J261">
    <cfRule type="containsText" dxfId="373" priority="129" operator="containsText" text="Check">
      <formula>NOT(ISERROR(SEARCH("Check",E261)))</formula>
    </cfRule>
  </conditionalFormatting>
  <conditionalFormatting sqref="M17">
    <cfRule type="containsText" dxfId="372" priority="127" operator="containsText" text="Existing Value Not Required">
      <formula>NOT(ISERROR(SEARCH("Existing Value Not Required",M17)))</formula>
    </cfRule>
    <cfRule type="containsText" dxfId="371" priority="128" operator="containsText" text="Existing Value Required">
      <formula>NOT(ISERROR(SEARCH("Existing Value Required",M17)))</formula>
    </cfRule>
  </conditionalFormatting>
  <conditionalFormatting sqref="M18">
    <cfRule type="containsText" dxfId="370" priority="125" operator="containsText" text="Existing Value Not Required">
      <formula>NOT(ISERROR(SEARCH("Existing Value Not Required",M18)))</formula>
    </cfRule>
    <cfRule type="containsText" dxfId="369" priority="126" operator="containsText" text="Existing Value Required">
      <formula>NOT(ISERROR(SEARCH("Existing Value Required",M18)))</formula>
    </cfRule>
  </conditionalFormatting>
  <conditionalFormatting sqref="M19">
    <cfRule type="containsText" dxfId="368" priority="123" operator="containsText" text="Existing Value Not Required">
      <formula>NOT(ISERROR(SEARCH("Existing Value Not Required",M19)))</formula>
    </cfRule>
    <cfRule type="containsText" dxfId="367" priority="124" operator="containsText" text="Existing Value Required">
      <formula>NOT(ISERROR(SEARCH("Existing Value Required",M19)))</formula>
    </cfRule>
  </conditionalFormatting>
  <conditionalFormatting sqref="M20:M24">
    <cfRule type="containsText" dxfId="366" priority="120" operator="containsText" text="Existing Value Not Required">
      <formula>NOT(ISERROR(SEARCH("Existing Value Not Required",M20)))</formula>
    </cfRule>
    <cfRule type="containsText" dxfId="365" priority="121" operator="containsText" text="Existing Value Required">
      <formula>NOT(ISERROR(SEARCH("Existing Value Required",M20)))</formula>
    </cfRule>
  </conditionalFormatting>
  <conditionalFormatting sqref="M25">
    <cfRule type="containsText" dxfId="364" priority="118" operator="containsText" text="Existing Value Not Required">
      <formula>NOT(ISERROR(SEARCH("Existing Value Not Required",M25)))</formula>
    </cfRule>
    <cfRule type="containsText" dxfId="363" priority="119" operator="containsText" text="Existing Value Required">
      <formula>NOT(ISERROR(SEARCH("Existing Value Required",M25)))</formula>
    </cfRule>
  </conditionalFormatting>
  <conditionalFormatting sqref="M26">
    <cfRule type="containsText" dxfId="362" priority="116" operator="containsText" text="Existing Value Not Required">
      <formula>NOT(ISERROR(SEARCH("Existing Value Not Required",M26)))</formula>
    </cfRule>
    <cfRule type="containsText" dxfId="361" priority="117" operator="containsText" text="Existing Value Required">
      <formula>NOT(ISERROR(SEARCH("Existing Value Required",M26)))</formula>
    </cfRule>
  </conditionalFormatting>
  <conditionalFormatting sqref="M27">
    <cfRule type="containsText" dxfId="360" priority="114" operator="containsText" text="Existing Value Not Required">
      <formula>NOT(ISERROR(SEARCH("Existing Value Not Required",M27)))</formula>
    </cfRule>
    <cfRule type="containsText" dxfId="359" priority="115" operator="containsText" text="Existing Value Required">
      <formula>NOT(ISERROR(SEARCH("Existing Value Required",M27)))</formula>
    </cfRule>
  </conditionalFormatting>
  <conditionalFormatting sqref="M17">
    <cfRule type="containsText" dxfId="358" priority="112" operator="containsText" text="Existing Value Not Required">
      <formula>NOT(ISERROR(SEARCH("Existing Value Not Required",M17)))</formula>
    </cfRule>
    <cfRule type="containsText" dxfId="357" priority="113" operator="containsText" text="Existing Value Required">
      <formula>NOT(ISERROR(SEARCH("Existing Value Required",M17)))</formula>
    </cfRule>
  </conditionalFormatting>
  <conditionalFormatting sqref="M18">
    <cfRule type="containsText" dxfId="356" priority="110" operator="containsText" text="Existing Value Not Required">
      <formula>NOT(ISERROR(SEARCH("Existing Value Not Required",M18)))</formula>
    </cfRule>
    <cfRule type="containsText" dxfId="355" priority="111" operator="containsText" text="Existing Value Required">
      <formula>NOT(ISERROR(SEARCH("Existing Value Required",M18)))</formula>
    </cfRule>
  </conditionalFormatting>
  <conditionalFormatting sqref="M19">
    <cfRule type="containsText" dxfId="354" priority="108" operator="containsText" text="Existing Value Not Required">
      <formula>NOT(ISERROR(SEARCH("Existing Value Not Required",M19)))</formula>
    </cfRule>
    <cfRule type="containsText" dxfId="353" priority="109" operator="containsText" text="Existing Value Required">
      <formula>NOT(ISERROR(SEARCH("Existing Value Required",M19)))</formula>
    </cfRule>
  </conditionalFormatting>
  <conditionalFormatting sqref="M20">
    <cfRule type="containsText" dxfId="352" priority="106" operator="containsText" text="Existing Value Not Required">
      <formula>NOT(ISERROR(SEARCH("Existing Value Not Required",M20)))</formula>
    </cfRule>
    <cfRule type="containsText" dxfId="351" priority="107" operator="containsText" text="Existing Value Required">
      <formula>NOT(ISERROR(SEARCH("Existing Value Required",M20)))</formula>
    </cfRule>
  </conditionalFormatting>
  <conditionalFormatting sqref="M21">
    <cfRule type="containsText" dxfId="350" priority="104" operator="containsText" text="Existing Value Not Required">
      <formula>NOT(ISERROR(SEARCH("Existing Value Not Required",M21)))</formula>
    </cfRule>
    <cfRule type="containsText" dxfId="349" priority="105" operator="containsText" text="Existing Value Required">
      <formula>NOT(ISERROR(SEARCH("Existing Value Required",M21)))</formula>
    </cfRule>
  </conditionalFormatting>
  <conditionalFormatting sqref="M27">
    <cfRule type="containsText" dxfId="348" priority="102" operator="containsText" text="Existing Value Not Required">
      <formula>NOT(ISERROR(SEARCH("Existing Value Not Required",M27)))</formula>
    </cfRule>
    <cfRule type="containsText" dxfId="347" priority="103" operator="containsText" text="Existing Value Required">
      <formula>NOT(ISERROR(SEARCH("Existing Value Required",M27)))</formula>
    </cfRule>
  </conditionalFormatting>
  <conditionalFormatting sqref="M22">
    <cfRule type="containsText" dxfId="346" priority="100" operator="containsText" text="Existing Value Not Required">
      <formula>NOT(ISERROR(SEARCH("Existing Value Not Required",M22)))</formula>
    </cfRule>
    <cfRule type="containsText" dxfId="345" priority="101" operator="containsText" text="Existing Value Required">
      <formula>NOT(ISERROR(SEARCH("Existing Value Required",M22)))</formula>
    </cfRule>
  </conditionalFormatting>
  <conditionalFormatting sqref="M23">
    <cfRule type="containsText" dxfId="344" priority="98" operator="containsText" text="Existing Value Not Required">
      <formula>NOT(ISERROR(SEARCH("Existing Value Not Required",M23)))</formula>
    </cfRule>
    <cfRule type="containsText" dxfId="343" priority="99" operator="containsText" text="Existing Value Required">
      <formula>NOT(ISERROR(SEARCH("Existing Value Required",M23)))</formula>
    </cfRule>
  </conditionalFormatting>
  <conditionalFormatting sqref="M24">
    <cfRule type="containsText" dxfId="342" priority="96" operator="containsText" text="Existing Value Not Required">
      <formula>NOT(ISERROR(SEARCH("Existing Value Not Required",M24)))</formula>
    </cfRule>
    <cfRule type="containsText" dxfId="341" priority="97" operator="containsText" text="Existing Value Required">
      <formula>NOT(ISERROR(SEARCH("Existing Value Required",M24)))</formula>
    </cfRule>
  </conditionalFormatting>
  <conditionalFormatting sqref="M27">
    <cfRule type="containsText" dxfId="340" priority="94" operator="containsText" text="Existing Value Not Required">
      <formula>NOT(ISERROR(SEARCH("Existing Value Not Required",M27)))</formula>
    </cfRule>
    <cfRule type="containsText" dxfId="339" priority="95" operator="containsText" text="Existing Value Required">
      <formula>NOT(ISERROR(SEARCH("Existing Value Required",M27)))</formula>
    </cfRule>
  </conditionalFormatting>
  <conditionalFormatting sqref="M25">
    <cfRule type="containsText" dxfId="338" priority="92" operator="containsText" text="Existing Value Not Required">
      <formula>NOT(ISERROR(SEARCH("Existing Value Not Required",M25)))</formula>
    </cfRule>
    <cfRule type="containsText" dxfId="337" priority="93" operator="containsText" text="Existing Value Required">
      <formula>NOT(ISERROR(SEARCH("Existing Value Required",M25)))</formula>
    </cfRule>
  </conditionalFormatting>
  <conditionalFormatting sqref="M26">
    <cfRule type="containsText" dxfId="336" priority="90" operator="containsText" text="Existing Value Not Required">
      <formula>NOT(ISERROR(SEARCH("Existing Value Not Required",M26)))</formula>
    </cfRule>
    <cfRule type="containsText" dxfId="335" priority="91" operator="containsText" text="Existing Value Required">
      <formula>NOT(ISERROR(SEARCH("Existing Value Required",M26)))</formula>
    </cfRule>
  </conditionalFormatting>
  <conditionalFormatting sqref="M17">
    <cfRule type="containsText" dxfId="334" priority="88" operator="containsText" text="Existing Value Not Required">
      <formula>NOT(ISERROR(SEARCH("Existing Value Not Required",M17)))</formula>
    </cfRule>
    <cfRule type="containsText" dxfId="333" priority="89" operator="containsText" text="Existing Value Required">
      <formula>NOT(ISERROR(SEARCH("Existing Value Required",M17)))</formula>
    </cfRule>
  </conditionalFormatting>
  <conditionalFormatting sqref="M18">
    <cfRule type="containsText" dxfId="332" priority="86" operator="containsText" text="Existing Value Not Required">
      <formula>NOT(ISERROR(SEARCH("Existing Value Not Required",M18)))</formula>
    </cfRule>
    <cfRule type="containsText" dxfId="331" priority="87" operator="containsText" text="Existing Value Required">
      <formula>NOT(ISERROR(SEARCH("Existing Value Required",M18)))</formula>
    </cfRule>
  </conditionalFormatting>
  <conditionalFormatting sqref="M19">
    <cfRule type="containsText" dxfId="330" priority="84" operator="containsText" text="Existing Value Not Required">
      <formula>NOT(ISERROR(SEARCH("Existing Value Not Required",M19)))</formula>
    </cfRule>
    <cfRule type="containsText" dxfId="329" priority="85" operator="containsText" text="Existing Value Required">
      <formula>NOT(ISERROR(SEARCH("Existing Value Required",M19)))</formula>
    </cfRule>
  </conditionalFormatting>
  <conditionalFormatting sqref="M20">
    <cfRule type="containsText" dxfId="328" priority="82" operator="containsText" text="Existing Value Not Required">
      <formula>NOT(ISERROR(SEARCH("Existing Value Not Required",M20)))</formula>
    </cfRule>
    <cfRule type="containsText" dxfId="327" priority="83" operator="containsText" text="Existing Value Required">
      <formula>NOT(ISERROR(SEARCH("Existing Value Required",M20)))</formula>
    </cfRule>
  </conditionalFormatting>
  <conditionalFormatting sqref="M21">
    <cfRule type="containsText" dxfId="326" priority="80" operator="containsText" text="Existing Value Not Required">
      <formula>NOT(ISERROR(SEARCH("Existing Value Not Required",M21)))</formula>
    </cfRule>
    <cfRule type="containsText" dxfId="325" priority="81" operator="containsText" text="Existing Value Required">
      <formula>NOT(ISERROR(SEARCH("Existing Value Required",M21)))</formula>
    </cfRule>
  </conditionalFormatting>
  <conditionalFormatting sqref="M22">
    <cfRule type="containsText" dxfId="324" priority="78" operator="containsText" text="Existing Value Not Required">
      <formula>NOT(ISERROR(SEARCH("Existing Value Not Required",M22)))</formula>
    </cfRule>
    <cfRule type="containsText" dxfId="323" priority="79" operator="containsText" text="Existing Value Required">
      <formula>NOT(ISERROR(SEARCH("Existing Value Required",M22)))</formula>
    </cfRule>
  </conditionalFormatting>
  <conditionalFormatting sqref="M23">
    <cfRule type="containsText" dxfId="322" priority="76" operator="containsText" text="Existing Value Not Required">
      <formula>NOT(ISERROR(SEARCH("Existing Value Not Required",M23)))</formula>
    </cfRule>
    <cfRule type="containsText" dxfId="321" priority="77" operator="containsText" text="Existing Value Required">
      <formula>NOT(ISERROR(SEARCH("Existing Value Required",M23)))</formula>
    </cfRule>
  </conditionalFormatting>
  <conditionalFormatting sqref="M24">
    <cfRule type="containsText" dxfId="320" priority="74" operator="containsText" text="Existing Value Not Required">
      <formula>NOT(ISERROR(SEARCH("Existing Value Not Required",M24)))</formula>
    </cfRule>
    <cfRule type="containsText" dxfId="319" priority="75" operator="containsText" text="Existing Value Required">
      <formula>NOT(ISERROR(SEARCH("Existing Value Required",M24)))</formula>
    </cfRule>
  </conditionalFormatting>
  <conditionalFormatting sqref="M25">
    <cfRule type="containsText" dxfId="318" priority="72" operator="containsText" text="Existing Value Not Required">
      <formula>NOT(ISERROR(SEARCH("Existing Value Not Required",M25)))</formula>
    </cfRule>
    <cfRule type="containsText" dxfId="317" priority="73" operator="containsText" text="Existing Value Required">
      <formula>NOT(ISERROR(SEARCH("Existing Value Required",M25)))</formula>
    </cfRule>
  </conditionalFormatting>
  <conditionalFormatting sqref="M26">
    <cfRule type="containsText" dxfId="316" priority="70" operator="containsText" text="Existing Value Not Required">
      <formula>NOT(ISERROR(SEARCH("Existing Value Not Required",M26)))</formula>
    </cfRule>
    <cfRule type="containsText" dxfId="315" priority="71" operator="containsText" text="Existing Value Required">
      <formula>NOT(ISERROR(SEARCH("Existing Value Required",M26)))</formula>
    </cfRule>
  </conditionalFormatting>
  <conditionalFormatting sqref="M27">
    <cfRule type="containsText" dxfId="314" priority="68" operator="containsText" text="Existing Value Not Required">
      <formula>NOT(ISERROR(SEARCH("Existing Value Not Required",M27)))</formula>
    </cfRule>
    <cfRule type="containsText" dxfId="313" priority="69" operator="containsText" text="Existing Value Required">
      <formula>NOT(ISERROR(SEARCH("Existing Value Required",M27)))</formula>
    </cfRule>
  </conditionalFormatting>
  <conditionalFormatting sqref="M17">
    <cfRule type="containsText" dxfId="312" priority="66" operator="containsText" text="Existing Value Not Required">
      <formula>NOT(ISERROR(SEARCH("Existing Value Not Required",M17)))</formula>
    </cfRule>
    <cfRule type="containsText" dxfId="311" priority="67" operator="containsText" text="Existing Value Required">
      <formula>NOT(ISERROR(SEARCH("Existing Value Required",M17)))</formula>
    </cfRule>
  </conditionalFormatting>
  <conditionalFormatting sqref="M18">
    <cfRule type="containsText" dxfId="310" priority="64" operator="containsText" text="Existing Value Not Required">
      <formula>NOT(ISERROR(SEARCH("Existing Value Not Required",M18)))</formula>
    </cfRule>
    <cfRule type="containsText" dxfId="309" priority="65" operator="containsText" text="Existing Value Required">
      <formula>NOT(ISERROR(SEARCH("Existing Value Required",M18)))</formula>
    </cfRule>
  </conditionalFormatting>
  <conditionalFormatting sqref="M19">
    <cfRule type="containsText" dxfId="308" priority="62" operator="containsText" text="Existing Value Not Required">
      <formula>NOT(ISERROR(SEARCH("Existing Value Not Required",M19)))</formula>
    </cfRule>
    <cfRule type="containsText" dxfId="307" priority="63" operator="containsText" text="Existing Value Required">
      <formula>NOT(ISERROR(SEARCH("Existing Value Required",M19)))</formula>
    </cfRule>
  </conditionalFormatting>
  <conditionalFormatting sqref="M20">
    <cfRule type="containsText" dxfId="306" priority="60" operator="containsText" text="Existing Value Not Required">
      <formula>NOT(ISERROR(SEARCH("Existing Value Not Required",M20)))</formula>
    </cfRule>
    <cfRule type="containsText" dxfId="305" priority="61" operator="containsText" text="Existing Value Required">
      <formula>NOT(ISERROR(SEARCH("Existing Value Required",M20)))</formula>
    </cfRule>
  </conditionalFormatting>
  <conditionalFormatting sqref="M27">
    <cfRule type="containsText" dxfId="304" priority="58" operator="containsText" text="Existing Value Not Required">
      <formula>NOT(ISERROR(SEARCH("Existing Value Not Required",M27)))</formula>
    </cfRule>
    <cfRule type="containsText" dxfId="303" priority="59" operator="containsText" text="Existing Value Required">
      <formula>NOT(ISERROR(SEARCH("Existing Value Required",M27)))</formula>
    </cfRule>
  </conditionalFormatting>
  <conditionalFormatting sqref="M26">
    <cfRule type="containsText" dxfId="302" priority="56" operator="containsText" text="Existing Value Not Required">
      <formula>NOT(ISERROR(SEARCH("Existing Value Not Required",M26)))</formula>
    </cfRule>
    <cfRule type="containsText" dxfId="301" priority="57" operator="containsText" text="Existing Value Required">
      <formula>NOT(ISERROR(SEARCH("Existing Value Required",M26)))</formula>
    </cfRule>
  </conditionalFormatting>
  <conditionalFormatting sqref="M25">
    <cfRule type="containsText" dxfId="300" priority="54" operator="containsText" text="Existing Value Not Required">
      <formula>NOT(ISERROR(SEARCH("Existing Value Not Required",M25)))</formula>
    </cfRule>
    <cfRule type="containsText" dxfId="299" priority="55" operator="containsText" text="Existing Value Required">
      <formula>NOT(ISERROR(SEARCH("Existing Value Required",M25)))</formula>
    </cfRule>
  </conditionalFormatting>
  <conditionalFormatting sqref="M24">
    <cfRule type="containsText" dxfId="298" priority="52" operator="containsText" text="Existing Value Not Required">
      <formula>NOT(ISERROR(SEARCH("Existing Value Not Required",M24)))</formula>
    </cfRule>
    <cfRule type="containsText" dxfId="297" priority="53" operator="containsText" text="Existing Value Required">
      <formula>NOT(ISERROR(SEARCH("Existing Value Required",M24)))</formula>
    </cfRule>
  </conditionalFormatting>
  <conditionalFormatting sqref="M23">
    <cfRule type="containsText" dxfId="296" priority="50" operator="containsText" text="Existing Value Not Required">
      <formula>NOT(ISERROR(SEARCH("Existing Value Not Required",M23)))</formula>
    </cfRule>
    <cfRule type="containsText" dxfId="295" priority="51" operator="containsText" text="Existing Value Required">
      <formula>NOT(ISERROR(SEARCH("Existing Value Required",M23)))</formula>
    </cfRule>
  </conditionalFormatting>
  <conditionalFormatting sqref="M22">
    <cfRule type="containsText" dxfId="294" priority="48" operator="containsText" text="Existing Value Not Required">
      <formula>NOT(ISERROR(SEARCH("Existing Value Not Required",M22)))</formula>
    </cfRule>
    <cfRule type="containsText" dxfId="293" priority="49" operator="containsText" text="Existing Value Required">
      <formula>NOT(ISERROR(SEARCH("Existing Value Required",M22)))</formula>
    </cfRule>
  </conditionalFormatting>
  <conditionalFormatting sqref="M21">
    <cfRule type="containsText" dxfId="292" priority="46" operator="containsText" text="Existing Value Not Required">
      <formula>NOT(ISERROR(SEARCH("Existing Value Not Required",M21)))</formula>
    </cfRule>
    <cfRule type="containsText" dxfId="291" priority="47" operator="containsText" text="Existing Value Required">
      <formula>NOT(ISERROR(SEARCH("Existing Value Required",M21)))</formula>
    </cfRule>
  </conditionalFormatting>
  <conditionalFormatting sqref="M20">
    <cfRule type="containsText" dxfId="290" priority="44" operator="containsText" text="Existing Value Not Required">
      <formula>NOT(ISERROR(SEARCH("Existing Value Not Required",M20)))</formula>
    </cfRule>
    <cfRule type="containsText" dxfId="289" priority="45" operator="containsText" text="Existing Value Required">
      <formula>NOT(ISERROR(SEARCH("Existing Value Required",M20)))</formula>
    </cfRule>
  </conditionalFormatting>
  <conditionalFormatting sqref="M17">
    <cfRule type="containsText" dxfId="288" priority="42" operator="containsText" text="Existing Value Not Required">
      <formula>NOT(ISERROR(SEARCH("Existing Value Not Required",M17)))</formula>
    </cfRule>
    <cfRule type="containsText" dxfId="287" priority="43" operator="containsText" text="Existing Value Required">
      <formula>NOT(ISERROR(SEARCH("Existing Value Required",M17)))</formula>
    </cfRule>
  </conditionalFormatting>
  <conditionalFormatting sqref="M18">
    <cfRule type="containsText" dxfId="286" priority="40" operator="containsText" text="Existing Value Not Required">
      <formula>NOT(ISERROR(SEARCH("Existing Value Not Required",M18)))</formula>
    </cfRule>
    <cfRule type="containsText" dxfId="285" priority="41" operator="containsText" text="Existing Value Required">
      <formula>NOT(ISERROR(SEARCH("Existing Value Required",M18)))</formula>
    </cfRule>
  </conditionalFormatting>
  <conditionalFormatting sqref="M19">
    <cfRule type="containsText" dxfId="284" priority="38" operator="containsText" text="Existing Value Not Required">
      <formula>NOT(ISERROR(SEARCH("Existing Value Not Required",M19)))</formula>
    </cfRule>
    <cfRule type="containsText" dxfId="283" priority="39" operator="containsText" text="Existing Value Required">
      <formula>NOT(ISERROR(SEARCH("Existing Value Required",M19)))</formula>
    </cfRule>
  </conditionalFormatting>
  <conditionalFormatting sqref="M20">
    <cfRule type="containsText" dxfId="282" priority="36" operator="containsText" text="Existing Value Not Required">
      <formula>NOT(ISERROR(SEARCH("Existing Value Not Required",M20)))</formula>
    </cfRule>
    <cfRule type="containsText" dxfId="281" priority="37" operator="containsText" text="Existing Value Required">
      <formula>NOT(ISERROR(SEARCH("Existing Value Required",M20)))</formula>
    </cfRule>
  </conditionalFormatting>
  <conditionalFormatting sqref="M21">
    <cfRule type="containsText" dxfId="280" priority="34" operator="containsText" text="Existing Value Not Required">
      <formula>NOT(ISERROR(SEARCH("Existing Value Not Required",M21)))</formula>
    </cfRule>
    <cfRule type="containsText" dxfId="279" priority="35" operator="containsText" text="Existing Value Required">
      <formula>NOT(ISERROR(SEARCH("Existing Value Required",M21)))</formula>
    </cfRule>
  </conditionalFormatting>
  <conditionalFormatting sqref="M22">
    <cfRule type="containsText" dxfId="278" priority="32" operator="containsText" text="Existing Value Not Required">
      <formula>NOT(ISERROR(SEARCH("Existing Value Not Required",M22)))</formula>
    </cfRule>
    <cfRule type="containsText" dxfId="277" priority="33" operator="containsText" text="Existing Value Required">
      <formula>NOT(ISERROR(SEARCH("Existing Value Required",M22)))</formula>
    </cfRule>
  </conditionalFormatting>
  <conditionalFormatting sqref="M23">
    <cfRule type="containsText" dxfId="276" priority="30" operator="containsText" text="Existing Value Not Required">
      <formula>NOT(ISERROR(SEARCH("Existing Value Not Required",M23)))</formula>
    </cfRule>
    <cfRule type="containsText" dxfId="275" priority="31" operator="containsText" text="Existing Value Required">
      <formula>NOT(ISERROR(SEARCH("Existing Value Required",M23)))</formula>
    </cfRule>
  </conditionalFormatting>
  <conditionalFormatting sqref="M24">
    <cfRule type="containsText" dxfId="274" priority="28" operator="containsText" text="Existing Value Not Required">
      <formula>NOT(ISERROR(SEARCH("Existing Value Not Required",M24)))</formula>
    </cfRule>
    <cfRule type="containsText" dxfId="273" priority="29" operator="containsText" text="Existing Value Required">
      <formula>NOT(ISERROR(SEARCH("Existing Value Required",M24)))</formula>
    </cfRule>
  </conditionalFormatting>
  <conditionalFormatting sqref="M25">
    <cfRule type="containsText" dxfId="272" priority="26" operator="containsText" text="Existing Value Not Required">
      <formula>NOT(ISERROR(SEARCH("Existing Value Not Required",M25)))</formula>
    </cfRule>
    <cfRule type="containsText" dxfId="271" priority="27" operator="containsText" text="Existing Value Required">
      <formula>NOT(ISERROR(SEARCH("Existing Value Required",M25)))</formula>
    </cfRule>
  </conditionalFormatting>
  <conditionalFormatting sqref="M26">
    <cfRule type="containsText" dxfId="270" priority="24" operator="containsText" text="Existing Value Not Required">
      <formula>NOT(ISERROR(SEARCH("Existing Value Not Required",M26)))</formula>
    </cfRule>
    <cfRule type="containsText" dxfId="269" priority="25" operator="containsText" text="Existing Value Required">
      <formula>NOT(ISERROR(SEARCH("Existing Value Required",M26)))</formula>
    </cfRule>
  </conditionalFormatting>
  <conditionalFormatting sqref="M27">
    <cfRule type="containsText" dxfId="268" priority="22" operator="containsText" text="Existing Value Not Required">
      <formula>NOT(ISERROR(SEARCH("Existing Value Not Required",M27)))</formula>
    </cfRule>
    <cfRule type="containsText" dxfId="267" priority="23" operator="containsText" text="Existing Value Required">
      <formula>NOT(ISERROR(SEARCH("Existing Value Required",M27)))</formula>
    </cfRule>
  </conditionalFormatting>
  <conditionalFormatting sqref="M3">
    <cfRule type="containsText" dxfId="266" priority="20" operator="containsText" text="Error">
      <formula>NOT(ISERROR(SEARCH("Error",M3)))</formula>
    </cfRule>
    <cfRule type="containsText" dxfId="265" priority="21" operator="containsText" text="Check">
      <formula>NOT(ISERROR(SEARCH("Check",M3)))</formula>
    </cfRule>
  </conditionalFormatting>
  <conditionalFormatting sqref="M4">
    <cfRule type="cellIs" dxfId="264" priority="2" operator="equal">
      <formula>0</formula>
    </cfRule>
    <cfRule type="containsText" dxfId="263" priority="3" operator="containsText" text="Error">
      <formula>NOT(ISERROR(SEARCH("Error",M4)))</formula>
    </cfRule>
    <cfRule type="containsText" dxfId="262" priority="4" operator="containsText" text="Check">
      <formula>NOT(ISERROR(SEARCH("Check",M4)))</formula>
    </cfRule>
    <cfRule type="cellIs" dxfId="261" priority="5" operator="lessThan">
      <formula>0</formula>
    </cfRule>
  </conditionalFormatting>
  <conditionalFormatting sqref="M5">
    <cfRule type="containsText" dxfId="260" priority="14" operator="containsText" text="No">
      <formula>NOT(ISERROR(SEARCH("No",M5)))</formula>
    </cfRule>
    <cfRule type="containsText" dxfId="259" priority="15" operator="containsText" text="Yes">
      <formula>NOT(ISERROR(SEARCH("Yes",M5)))</formula>
    </cfRule>
  </conditionalFormatting>
  <conditionalFormatting sqref="I12:I259">
    <cfRule type="containsText" dxfId="258" priority="13" operator="containsText" text="Not possible">
      <formula>NOT(ISERROR(SEARCH("Not possible",I12)))</formula>
    </cfRule>
  </conditionalFormatting>
  <conditionalFormatting sqref="Z12:Z259">
    <cfRule type="containsText" dxfId="257" priority="11" operator="containsText" text="Existing Value Not Required">
      <formula>NOT(ISERROR(SEARCH("Existing Value Not Required",Z12)))</formula>
    </cfRule>
    <cfRule type="containsText" dxfId="256" priority="12" operator="containsText" text="Existing Value Required">
      <formula>NOT(ISERROR(SEARCH("Existing Value Required",Z12)))</formula>
    </cfRule>
  </conditionalFormatting>
  <conditionalFormatting sqref="Z13:Z259">
    <cfRule type="containsText" dxfId="255" priority="9" operator="containsText" text="Existing Value Not Required">
      <formula>NOT(ISERROR(SEARCH("Existing Value Not Required",Z13)))</formula>
    </cfRule>
    <cfRule type="containsText" dxfId="254" priority="10" operator="containsText" text="Existing Value Required">
      <formula>NOT(ISERROR(SEARCH("Existing Value Required",Z13)))</formula>
    </cfRule>
  </conditionalFormatting>
  <conditionalFormatting sqref="Z12:Z259">
    <cfRule type="containsText" dxfId="253" priority="8" operator="containsText" text="Error">
      <formula>NOT(ISERROR(SEARCH("Error",Z12)))</formula>
    </cfRule>
  </conditionalFormatting>
  <conditionalFormatting sqref="Z12:Z259">
    <cfRule type="containsText" dxfId="252" priority="6" operator="containsText" text="30+">
      <formula>NOT(ISERROR(SEARCH("30+",Z12)))</formula>
    </cfRule>
    <cfRule type="containsText" dxfId="251" priority="7" operator="containsText" text="Check">
      <formula>NOT(ISERROR(SEARCH("Check",Z12)))</formula>
    </cfRule>
  </conditionalFormatting>
  <conditionalFormatting sqref="M3:M5">
    <cfRule type="containsText" dxfId="250" priority="1" operator="containsText" text="N/A">
      <formula>NOT(ISERROR(SEARCH("N/A",M3)))</formula>
    </cfRule>
  </conditionalFormatting>
  <dataValidations count="1">
    <dataValidation type="list" allowBlank="1" showInputMessage="1" showErrorMessage="1" sqref="H12:H259" xr:uid="{00000000-0002-0000-1300-000000000000}">
      <formula1>INDIRECT(AH12)</formula1>
    </dataValidation>
  </dataValidations>
  <pageMargins left="0.7" right="0.7" top="0.75" bottom="0.75" header="0.3" footer="0.3"/>
  <pageSetup paperSize="9" orientation="portrait" horizontalDpi="90" verticalDpi="90" r:id="rId1"/>
  <drawing r:id="rId2"/>
  <extLst>
    <ext xmlns:x14="http://schemas.microsoft.com/office/spreadsheetml/2009/9/main" uri="{78C0D931-6437-407d-A8EE-F0AAD7539E65}">
      <x14:conditionalFormattings>
        <x14:conditionalFormatting xmlns:xm="http://schemas.microsoft.com/office/excel/2006/main">
          <x14:cfRule type="cellIs" priority="442" operator="lessThan" id="{193CDB16-95C6-403F-B2FD-D15A53D5A91A}">
            <xm:f>Start!$F$22</xm:f>
            <x14:dxf>
              <font>
                <color rgb="FF383745"/>
              </font>
              <fill>
                <patternFill>
                  <bgColor rgb="FFFFC000"/>
                </patternFill>
              </fill>
            </x14:dxf>
          </x14:cfRule>
          <x14:cfRule type="cellIs" priority="443" operator="greaterThanOrEqual" id="{21AE358C-BE20-4EC6-A429-30BB371D26C1}">
            <xm:f>Start!$F$22</xm:f>
            <x14:dxf>
              <font>
                <color rgb="FF383745"/>
              </font>
              <fill>
                <patternFill>
                  <bgColor rgb="FF92D050"/>
                </patternFill>
              </fill>
            </x14:dxf>
          </x14:cfRule>
          <xm:sqref>M4</xm:sqref>
        </x14:conditionalFormatting>
      </x14:conditionalFormattings>
    </ext>
    <ext xmlns:x14="http://schemas.microsoft.com/office/spreadsheetml/2009/9/main" uri="{CCE6A557-97BC-4b89-ADB6-D9C93CAAB3DF}">
      <x14:dataValidations xmlns:xm="http://schemas.microsoft.com/office/excel/2006/main" count="4">
        <x14:dataValidation type="list" allowBlank="1" showInputMessage="1" showErrorMessage="1" xr:uid="{00000000-0002-0000-1300-000001000000}">
          <x14:formula1>
            <xm:f>'G-6 Hedgerow Data'!$B$3:$B$15</xm:f>
          </x14:formula1>
          <xm:sqref>D12:D259</xm:sqref>
        </x14:dataValidation>
        <x14:dataValidation type="list" allowBlank="1" showInputMessage="1" showErrorMessage="1" xr:uid="{00000000-0002-0000-1300-000002000000}">
          <x14:formula1>
            <xm:f>'G-3 Multipliers'!$L$4:$L$6</xm:f>
          </x14:formula1>
          <xm:sqref>J12:J259</xm:sqref>
        </x14:dataValidation>
        <x14:dataValidation type="list" allowBlank="1" showInputMessage="1" showErrorMessage="1" xr:uid="{00000000-0002-0000-1300-000004000000}">
          <x14:formula1>
            <xm:f>'G-4 Temporal multipliers'!$A$42:$A$73</xm:f>
          </x14:formula1>
          <xm:sqref>P12:Q259</xm:sqref>
        </x14:dataValidation>
        <x14:dataValidation type="list" allowBlank="1" showInputMessage="1" showErrorMessage="1" xr:uid="{A8A3C188-752E-41A1-A7A5-09DD6D70AA4D}">
          <x14:formula1>
            <xm:f>'G-3 Multipliers'!$S$4:$S$7</xm:f>
          </x14:formula1>
          <xm:sqref>M12:M259</xm:sqref>
        </x14:dataValidation>
      </x14:dataValidations>
    </ext>
  </extLst>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32">
    <tabColor rgb="FF663300"/>
  </sheetPr>
  <dimension ref="A1:AQ503"/>
  <sheetViews>
    <sheetView showGridLines="0" zoomScale="80" zoomScaleNormal="80" workbookViewId="0">
      <pane ySplit="11" topLeftCell="A12" activePane="bottomLeft" state="frozen"/>
      <selection pane="bottomLeft"/>
    </sheetView>
  </sheetViews>
  <sheetFormatPr defaultColWidth="0" defaultRowHeight="0" customHeight="1" zeroHeight="1"/>
  <cols>
    <col min="1" max="1" width="2.7109375" style="30" customWidth="1"/>
    <col min="2" max="2" width="11" style="30" customWidth="1"/>
    <col min="3" max="3" width="52.42578125" style="30" customWidth="1"/>
    <col min="4" max="4" width="8.7109375" style="30" customWidth="1"/>
    <col min="5" max="5" width="17.7109375" style="30" customWidth="1"/>
    <col min="6" max="7" width="18.28515625" style="30" customWidth="1"/>
    <col min="8" max="11" width="19.28515625" style="30" customWidth="1"/>
    <col min="12" max="12" width="23" style="30" customWidth="1"/>
    <col min="13" max="13" width="47.42578125" style="30" customWidth="1"/>
    <col min="14" max="14" width="34.28515625" style="30" customWidth="1"/>
    <col min="15" max="15" width="44.5703125" style="30" customWidth="1"/>
    <col min="16" max="16" width="10.7109375" style="30" customWidth="1"/>
    <col min="17" max="17" width="18.28515625" style="30" customWidth="1"/>
    <col min="18" max="18" width="13.5703125" style="30" customWidth="1"/>
    <col min="19" max="19" width="14.7109375" style="30" customWidth="1"/>
    <col min="20" max="20" width="13.5703125" style="30" customWidth="1"/>
    <col min="21" max="21" width="41.7109375" style="30" customWidth="1"/>
    <col min="22" max="22" width="15.42578125" style="30" customWidth="1"/>
    <col min="23" max="23" width="12.28515625" style="30" customWidth="1"/>
    <col min="24" max="24" width="17.7109375" style="30" customWidth="1"/>
    <col min="25" max="25" width="20.7109375" style="30" customWidth="1"/>
    <col min="26" max="26" width="23" style="30" customWidth="1"/>
    <col min="27" max="27" width="29.5703125" style="30" customWidth="1"/>
    <col min="28" max="28" width="17.7109375" style="30" customWidth="1"/>
    <col min="29" max="29" width="15.28515625" style="30" customWidth="1"/>
    <col min="30" max="30" width="15.5703125" style="30" customWidth="1"/>
    <col min="31" max="31" width="26.28515625" style="30" customWidth="1"/>
    <col min="32" max="32" width="15.28515625" style="30" customWidth="1"/>
    <col min="33" max="33" width="12.7109375" style="30" customWidth="1"/>
    <col min="34" max="34" width="68.28515625" style="30" customWidth="1"/>
    <col min="35" max="35" width="13.42578125" style="30" hidden="1" customWidth="1"/>
    <col min="36" max="36" width="9.7109375" style="30" hidden="1" customWidth="1"/>
    <col min="37" max="37" width="12.7109375" style="30" customWidth="1"/>
    <col min="38" max="38" width="39" style="30" customWidth="1"/>
    <col min="39" max="39" width="38.42578125" style="30" customWidth="1"/>
    <col min="40" max="40" width="14.7109375" style="30" customWidth="1"/>
    <col min="41" max="41" width="15.5703125" style="30" customWidth="1"/>
    <col min="42" max="42" width="12.5703125" style="30" customWidth="1"/>
    <col min="43" max="43" width="15.7109375" style="30" hidden="1" customWidth="1"/>
    <col min="44" max="16384" width="8.7109375" style="30" hidden="1"/>
  </cols>
  <sheetData>
    <row r="1" spans="2:43" ht="15.75" customHeight="1" thickBot="1"/>
    <row r="2" spans="2:43" ht="19.899999999999999" customHeight="1" thickBot="1">
      <c r="B2" s="1600" t="str">
        <f>CONCATENATE("Project Name:", " ", Start!F12, "     ", "Map Reference:", " ", Start!K66)</f>
        <v xml:space="preserve">Project Name: Grove Farm Solar     Map Reference: </v>
      </c>
      <c r="C2" s="1601"/>
      <c r="N2" s="1595" t="s">
        <v>380</v>
      </c>
      <c r="O2" s="1596"/>
      <c r="X2" s="1463" t="str">
        <f>IF(OR(COUNTIF($X$12:X257,"*30+*")&gt;0,COUNTIF($AB$12:AB257,"*30+*")&gt;0),"Note; Habitat selected has a time to target condition greater than 30 years. Non standard agreement may be required. ⚠","")</f>
        <v/>
      </c>
      <c r="Y2" s="1463"/>
      <c r="Z2" s="1463"/>
      <c r="AA2" s="1463"/>
      <c r="AB2" s="1463"/>
      <c r="AC2" s="1463"/>
    </row>
    <row r="3" spans="2:43" ht="19.149999999999999" customHeight="1" thickBot="1">
      <c r="B3" s="1557" t="str">
        <f ca="1">MID(CELL("filename",A1),FIND("]",CELL("filename",A1))+1,256)</f>
        <v>E-3 Off-Site Hedge Enhancement</v>
      </c>
      <c r="C3" s="1559"/>
      <c r="H3" s="509"/>
      <c r="I3" s="509"/>
      <c r="N3" s="535" t="s">
        <v>263</v>
      </c>
      <c r="O3" s="512">
        <f>'Headline Results'!H48</f>
        <v>16.669627715952004</v>
      </c>
      <c r="X3" s="1463"/>
      <c r="Y3" s="1463"/>
      <c r="Z3" s="1463"/>
      <c r="AA3" s="1463"/>
      <c r="AB3" s="1463"/>
      <c r="AC3" s="1463"/>
    </row>
    <row r="4" spans="2:43" ht="15.75" customHeight="1" thickBot="1">
      <c r="B4" s="1557"/>
      <c r="C4" s="1559"/>
      <c r="H4" s="509"/>
      <c r="I4" s="509"/>
      <c r="N4" s="506" t="s">
        <v>265</v>
      </c>
      <c r="O4" s="513">
        <f>'Headline Results'!H52</f>
        <v>1.0264549086177341</v>
      </c>
      <c r="X4" s="1463"/>
      <c r="Y4" s="1463"/>
      <c r="Z4" s="1463"/>
      <c r="AA4" s="1463"/>
      <c r="AB4" s="1463"/>
      <c r="AC4" s="1463"/>
    </row>
    <row r="5" spans="2:43" ht="15.75" customHeight="1" thickBot="1">
      <c r="H5" s="509"/>
      <c r="I5" s="509"/>
      <c r="N5" s="536" t="s">
        <v>267</v>
      </c>
      <c r="O5" s="504" t="str" cm="1">
        <f t="array" ref="O5">IF(OR('Trading Summary Hedgerows'!G5:H8="No ▲"), "No - check trading summary ▲", "Yes ✓")</f>
        <v>Yes ✓</v>
      </c>
      <c r="P5" s="509"/>
      <c r="W5" s="158"/>
      <c r="X5" s="158"/>
      <c r="Y5" s="158"/>
      <c r="Z5" s="158"/>
      <c r="AA5" s="158"/>
      <c r="AB5" s="158"/>
      <c r="AC5" s="158"/>
      <c r="AD5" s="158"/>
      <c r="AE5" s="158"/>
      <c r="AF5" s="158"/>
      <c r="AG5" s="158"/>
      <c r="AH5" s="158"/>
    </row>
    <row r="6" spans="2:43" ht="27.6" customHeight="1"/>
    <row r="7" spans="2:43" ht="15.75" thickBot="1">
      <c r="B7" s="102"/>
      <c r="C7" s="102"/>
      <c r="M7" s="101"/>
    </row>
    <row r="8" spans="2:43" ht="15.75" thickBot="1">
      <c r="M8" s="1542" t="s">
        <v>402</v>
      </c>
      <c r="N8" s="1543"/>
      <c r="O8" s="1543"/>
      <c r="P8" s="1543"/>
      <c r="Q8" s="1543"/>
      <c r="R8" s="1543"/>
      <c r="S8" s="1543"/>
      <c r="T8" s="1543"/>
      <c r="U8" s="1543"/>
      <c r="V8" s="1543"/>
      <c r="W8" s="1543"/>
      <c r="X8" s="1543"/>
      <c r="Y8" s="1543"/>
      <c r="Z8" s="1543"/>
      <c r="AA8" s="1543"/>
      <c r="AB8" s="1543"/>
      <c r="AC8" s="1543"/>
      <c r="AD8" s="1543"/>
      <c r="AE8" s="1543"/>
      <c r="AF8" s="1543"/>
      <c r="AG8" s="1543"/>
      <c r="AH8" s="1543"/>
      <c r="AI8" s="1544"/>
    </row>
    <row r="9" spans="2:43" ht="15.75" thickBot="1">
      <c r="C9" s="101"/>
      <c r="D9" s="101"/>
      <c r="E9" s="101"/>
      <c r="F9" s="101"/>
      <c r="G9" s="101"/>
      <c r="H9" s="101"/>
      <c r="I9" s="101"/>
      <c r="J9" s="101"/>
      <c r="K9" s="101"/>
      <c r="L9" s="101"/>
      <c r="M9" s="1597" t="s">
        <v>334</v>
      </c>
      <c r="N9" s="1598"/>
      <c r="O9" s="1598"/>
      <c r="P9" s="1598"/>
      <c r="Q9" s="1598"/>
      <c r="R9" s="1598"/>
      <c r="S9" s="1598"/>
      <c r="T9" s="1598"/>
      <c r="U9" s="1598"/>
      <c r="V9" s="1598"/>
      <c r="W9" s="1598"/>
      <c r="X9" s="1598"/>
      <c r="Y9" s="1598"/>
      <c r="Z9" s="1598"/>
      <c r="AA9" s="1598"/>
      <c r="AB9" s="1598"/>
      <c r="AC9" s="1598"/>
      <c r="AD9" s="1598"/>
      <c r="AE9" s="1598"/>
      <c r="AF9" s="1598"/>
      <c r="AG9" s="1598"/>
      <c r="AH9" s="1598"/>
      <c r="AI9" s="1599"/>
    </row>
    <row r="10" spans="2:43" s="33" customFormat="1" ht="30" customHeight="1" thickBot="1">
      <c r="C10" s="1532" t="s">
        <v>332</v>
      </c>
      <c r="D10" s="1602"/>
      <c r="E10" s="1602"/>
      <c r="F10" s="1602"/>
      <c r="G10" s="1602"/>
      <c r="H10" s="1602"/>
      <c r="I10" s="1602"/>
      <c r="J10" s="1602"/>
      <c r="K10" s="1602"/>
      <c r="L10" s="1533"/>
      <c r="M10" s="1532" t="s">
        <v>403</v>
      </c>
      <c r="N10" s="1315" t="s">
        <v>334</v>
      </c>
      <c r="O10" s="1313"/>
      <c r="P10" s="1534" t="s">
        <v>34</v>
      </c>
      <c r="Q10" s="1315" t="s">
        <v>269</v>
      </c>
      <c r="R10" s="1313"/>
      <c r="S10" s="1315" t="s">
        <v>270</v>
      </c>
      <c r="T10" s="1313"/>
      <c r="U10" s="1573" t="s">
        <v>271</v>
      </c>
      <c r="V10" s="1574"/>
      <c r="W10" s="1575"/>
      <c r="X10" s="1573" t="s">
        <v>314</v>
      </c>
      <c r="Y10" s="1574"/>
      <c r="Z10" s="1574"/>
      <c r="AA10" s="1574"/>
      <c r="AB10" s="1574"/>
      <c r="AC10" s="1575"/>
      <c r="AD10" s="1552" t="s">
        <v>337</v>
      </c>
      <c r="AE10" s="1552"/>
      <c r="AF10" s="1552"/>
      <c r="AG10" s="1552"/>
      <c r="AH10" s="749" t="s">
        <v>358</v>
      </c>
      <c r="AI10" s="1537" t="s">
        <v>358</v>
      </c>
      <c r="AJ10" s="1537" t="s">
        <v>401</v>
      </c>
      <c r="AK10" s="1537" t="s">
        <v>390</v>
      </c>
      <c r="AL10" s="1573" t="s">
        <v>276</v>
      </c>
      <c r="AM10" s="1575"/>
    </row>
    <row r="11" spans="2:43" ht="62.25" customHeight="1" thickBot="1">
      <c r="B11" s="140" t="s">
        <v>339</v>
      </c>
      <c r="C11" s="145" t="s">
        <v>340</v>
      </c>
      <c r="D11" s="145" t="s">
        <v>34</v>
      </c>
      <c r="E11" s="145" t="s">
        <v>342</v>
      </c>
      <c r="F11" s="145" t="s">
        <v>343</v>
      </c>
      <c r="G11" s="145" t="s">
        <v>344</v>
      </c>
      <c r="H11" s="145" t="s">
        <v>345</v>
      </c>
      <c r="I11" s="145" t="s">
        <v>346</v>
      </c>
      <c r="J11" s="145" t="s">
        <v>347</v>
      </c>
      <c r="K11" s="145" t="s">
        <v>348</v>
      </c>
      <c r="L11" s="144" t="s">
        <v>272</v>
      </c>
      <c r="M11" s="1532"/>
      <c r="N11" s="126" t="s">
        <v>395</v>
      </c>
      <c r="O11" s="861" t="s">
        <v>396</v>
      </c>
      <c r="P11" s="1534"/>
      <c r="Q11" s="126" t="s">
        <v>269</v>
      </c>
      <c r="R11" s="861" t="s">
        <v>286</v>
      </c>
      <c r="S11" s="126" t="s">
        <v>270</v>
      </c>
      <c r="T11" s="861" t="s">
        <v>286</v>
      </c>
      <c r="U11" s="126" t="s">
        <v>271</v>
      </c>
      <c r="V11" s="874" t="s">
        <v>271</v>
      </c>
      <c r="W11" s="861" t="s">
        <v>317</v>
      </c>
      <c r="X11" s="132" t="s">
        <v>392</v>
      </c>
      <c r="Y11" s="811" t="s">
        <v>377</v>
      </c>
      <c r="Z11" s="811" t="s">
        <v>354</v>
      </c>
      <c r="AA11" s="811" t="s">
        <v>321</v>
      </c>
      <c r="AB11" s="811" t="s">
        <v>322</v>
      </c>
      <c r="AC11" s="752" t="s">
        <v>397</v>
      </c>
      <c r="AD11" s="132" t="s">
        <v>398</v>
      </c>
      <c r="AE11" s="811" t="s">
        <v>1679</v>
      </c>
      <c r="AF11" s="811" t="s">
        <v>399</v>
      </c>
      <c r="AG11" s="752" t="s">
        <v>327</v>
      </c>
      <c r="AH11" s="126" t="s">
        <v>361</v>
      </c>
      <c r="AI11" s="1594"/>
      <c r="AJ11" s="1570"/>
      <c r="AK11" s="1570"/>
      <c r="AL11" s="126" t="s">
        <v>295</v>
      </c>
      <c r="AM11" s="861" t="s">
        <v>296</v>
      </c>
      <c r="AN11" s="43" t="s">
        <v>297</v>
      </c>
      <c r="AO11" s="43" t="s">
        <v>363</v>
      </c>
      <c r="AQ11" s="101" t="s">
        <v>280</v>
      </c>
    </row>
    <row r="12" spans="2:43" ht="15">
      <c r="B12" s="863" t="str">
        <f>'E-1 Off-Site Hedge Baseline'!AN10</f>
        <v/>
      </c>
      <c r="C12" s="370" t="str">
        <f>IF(B12="","",IF(ISNA(VLOOKUP($B12,'E-1 Off-Site Hedge Baseline'!$B$1:$L$257,3,FALSE)),"",(VLOOKUP($B12,'E-1 Off-Site Hedge Baseline'!$B$1:$L$257,3,FALSE))))</f>
        <v/>
      </c>
      <c r="D12" s="370" t="str">
        <f>IF(B12="","",IF(ISNA(VLOOKUP($B12,'E-1 Off-Site Hedge Baseline'!$B$1:$L$258,4,FALSE)),"",(VLOOKUP($B12,'E-1 Off-Site Hedge Baseline'!$B$1:$L$258,4,FALSE))))</f>
        <v/>
      </c>
      <c r="E12" s="370" t="str">
        <f>IF(B12="","",IF(ISNA(VLOOKUP($B12,'E-1 Off-Site Hedge Baseline'!$B$1:$L$257,5,FALSE)),"",(VLOOKUP($B12,'E-1 Off-Site Hedge Baseline'!$B$1:$L$257,5,FALSE))))</f>
        <v/>
      </c>
      <c r="F12" s="370" t="str">
        <f>IF(B12="","",IF(ISNA(VLOOKUP($B12,'E-1 Off-Site Hedge Baseline'!$B$1:$L$257,6,FALSE)),"",(VLOOKUP($B12,'E-1 Off-Site Hedge Baseline'!$B$1:$L$257,6,FALSE))))</f>
        <v/>
      </c>
      <c r="G12" s="370" t="str">
        <f>IF(B12="","",IF(ISNA(VLOOKUP($B12,'E-1 Off-Site Hedge Baseline'!$B$1:$L$257,7,FALSE)),"",(VLOOKUP($B12,'E-1 Off-Site Hedge Baseline'!$B$1:$L$257,7,FALSE))))</f>
        <v/>
      </c>
      <c r="H12" s="370" t="str">
        <f>IF(B12="","",IF(ISNA(VLOOKUP($B12,'E-1 Off-Site Hedge Baseline'!$B$1:$L$257,8,FALSE)),"",(VLOOKUP($B12,'E-1 Off-Site Hedge Baseline'!$B$1:$L$257,8,FALSE))))</f>
        <v/>
      </c>
      <c r="I12" s="370" t="str">
        <f>IF(B12="","",IF(ISNA(VLOOKUP($B12,'E-1 Off-Site Hedge Baseline'!$B$1:$L$257,10,FALSE)),"",(VLOOKUP($B12,'E-1 Off-Site Hedge Baseline'!$B$1:$L$257,10,FALSE))))</f>
        <v/>
      </c>
      <c r="J12" s="370" t="str">
        <f>IF(B12="","",IF(ISNA(VLOOKUP($B12,'E-1 Off-Site Hedge Baseline'!$B$1:$L$257,11,FALSE)),"",(VLOOKUP($B12,'E-1 Off-Site Hedge Baseline'!$B$1:$L$257,11,FALSE))))</f>
        <v/>
      </c>
      <c r="K12" s="370" t="str">
        <f>IF(B12="","",IF(ISNA(VLOOKUP($B12,'E-1 Off-Site Hedge Baseline'!$B$1:$X$257,113,FALSE)),"",(VLOOKUP($B12,'E-1 Off-Site Hedge Baseline'!$B$1:$X$257,13,FALSE))))</f>
        <v/>
      </c>
      <c r="L12" s="370" t="str">
        <f>IF(B12="","",IF(ISNA(VLOOKUP($B12,'E-1 Off-Site Hedge Baseline'!$B$1:$X$257,12,FALSE)),"",(VLOOKUP($B12,'E-1 Off-Site Hedge Baseline'!$B$1:$X$257,12,FALSE))))</f>
        <v/>
      </c>
      <c r="M12" s="316" t="str">
        <f t="shared" ref="M12:M75" si="0">C12</f>
        <v/>
      </c>
      <c r="N12" s="362" t="str">
        <f>IFERROR(IF(B12="","",INDEX('G-6 Hedgerow Data'!$AN$3:$AZ$15,MATCH(C12,'G-6 Hedgerow Data'!$AM$3:$AM$15,0),MATCH(M12,'G-6 Hedgerow Data'!$AN$2:$AZ$2,0))),"")</f>
        <v/>
      </c>
      <c r="O12" s="363" t="str">
        <f>IFERROR(IF(B12="","",IF(AND(LEFT(C12,55)&lt;&gt;LEFT(M12,55),N12="High - High"),"Error - Not like for like ▲",IF(AND(LEFT(C12,55)&lt;&gt;LEFT(M12,55),N12="Medium - Medium"),"Error - Not like for like ▲",IF(H12&gt;T12,"Error - Can not reduce condition ▲",IF(AND(F12=R12,H12=T12),"Error - No enhancement ▲",IF(AND(C12&lt;&gt;M12,F12&lt;R12),"Lower Distinctiveness Habitat"&amp;" - "&amp;S12,G12&amp;" - "&amp;S12)))))),"")</f>
        <v/>
      </c>
      <c r="P12" s="368" t="str">
        <f>IF(B12="","",VLOOKUP(B12,'E-1 Off-Site Hedge Baseline'!$B$10:W257,19,FALSE))</f>
        <v/>
      </c>
      <c r="Q12" s="362" t="str">
        <f>IF(M12="","",VLOOKUP(M12,'G-6 Hedgerow Data'!$B$2:$AG$15,2,FALSE))</f>
        <v/>
      </c>
      <c r="R12" s="363" t="str">
        <f>IF(M12="","",VLOOKUP(M12,'G-6 Hedgerow Data'!$B$2:$AG$15,3,FALSE))</f>
        <v/>
      </c>
      <c r="S12" s="114"/>
      <c r="T12" s="363" t="str">
        <f>IFERROR(IF(AND(Q12="V.Low",OR(S12="Good",S12="Moderate")),"Error ▲",VLOOKUP(S12,'G-1 All Habitats'!$Z$2:$AA$9,2,FALSE)),"")</f>
        <v/>
      </c>
      <c r="U12" s="54"/>
      <c r="V12" s="370" t="str">
        <f>IF(U12="","",IF(VLOOKUP(U12,'G-3 Multipliers'!$L$3:$N$6,2,FALSE)=0,"Spatial Data Missing ⚠",VLOOKUP(U12,'G-3 Multipliers'!$L$3:$N$6,2,FALSE)))</f>
        <v/>
      </c>
      <c r="W12" s="368" t="str">
        <f>IF(U12="","",IF(VLOOKUP(U12,'G-3 Multipliers'!$L$3:$N$6,3,FALSE)=0,"Spatial Data Missing ⚠",VLOOKUP(U12,'G-3 Multipliers'!$L$3:$N$6,3,FALSE)))</f>
        <v/>
      </c>
      <c r="X12" s="362" t="str">
        <f>IFERROR(IF(OR(LEFT(O12,5)="Error",LEFT(N12,5)="Error",T12="Error"),"Check Data ⚠",IF(F12&lt;R12,INDEX('G-6 Hedgerow Data'!$S$3:$AE$14,MATCH(C12,'G-6 Hedgerow Data'!$B$3:$B$14,0),MATCH(M12,'G-6 Hedgerow Data'!$S$2:$AE$2,0)),INDEX('G-6 Hedgerow Data'!$K$3:$Q$14,MATCH(M12,'G-6 Hedgerow Data'!$B$3:$B$14,0),MATCH(O12,'G-6 Hedgerow Data'!$K$2:$Q$2,0)))),"")</f>
        <v/>
      </c>
      <c r="Y12" s="159"/>
      <c r="Z12" s="159"/>
      <c r="AA12" s="370" t="str">
        <f>IF(X12="Check Data ⚠","Check Data ⚠",IF(M12="","",IF(AND(Y12&gt;0,Z12&gt;0),"Error -both advance and delayed habitat creation ▲",IF(AND(OR(Y12="Habitat already in target condition",X12&lt;=Y12),Z12=0),"Check details - Is there evidence that habitat has reached target condition? ⚠",IF(X12="","",IF(Y12&gt;0,"Check details - Is there evidence habitat creation started/in place? ⚠",IF(Z12&gt;0,"Check details- Delay in starting habitat in required condition? ⚠","Standard time to target condition applied")))))))</f>
        <v/>
      </c>
      <c r="AB12" s="383" t="str">
        <f>IF(X12="","",IF(AA12="Check Data ⚠","Check Data ⚠",IF(Y12="30+",0,IF(Z12="30+","30+",IF(X12+Z12&gt;30,"30+",IF(AA12="Error -both advance and delayed habitat creation ▲","Check Data ⚠",IF(X12+Z12-Y12&gt;0,X12+Z12-Y12,IF(X12-Y12&lt;=0,0,))))))))</f>
        <v/>
      </c>
      <c r="AC12" s="384" t="str">
        <f t="shared" ref="AC12:AC75" si="1">IF(OR(S12="",M12=""),"",IF(LEFT(AB12,5)="Error ▲","Check Data ⚠",IF(AB12="Check Data ⚠","Check Data ⚠",VLOOKUP(AB12,TemporalMultipliers,3,FALSE))))</f>
        <v/>
      </c>
      <c r="AD12" s="362" t="str">
        <f>IF(M12="","",VLOOKUP(M12,'G-6 Hedgerow Data'!$B$3:$AG$15,31,FALSE))</f>
        <v/>
      </c>
      <c r="AE12" s="370" t="str">
        <f>IF(M12="","",IF(OR(LEFT(AA12,5)="Error ▲",AA12="Check Data ⚠"),"Check Data ⚠",IF(X12="","",IF($AA12="Check details - Is there evidence that habitat has reached target condition? ⚠","Low Difficulty - only applicable if all habitat created before losses ⚠","Standard difficulty applied"))))</f>
        <v/>
      </c>
      <c r="AF12" s="370" t="str">
        <f>(IF(AND(AE12="Yes",X12&gt;Y12),AD12,IF(AND(AE12="Low Difficulty - only applicable if all habitat created before losses ⚠",Y12&gt;=X12),"Low",AD12)))</f>
        <v/>
      </c>
      <c r="AG12" s="363" t="str">
        <f>IFERROR(IF(O12="","",VLOOKUP(AD12,'G-3 Multipliers'!$P$3:$Q$6,2,FALSE)),"")</f>
        <v/>
      </c>
      <c r="AH12" s="160"/>
      <c r="AI12" s="363" t="str">
        <f>IF(AH12="","",IF(VLOOKUP(AH12,'G-3 Multipliers'!$S$3:$T$10,2,FALSE)=0,"Spatial Data Missing ⚠",VLOOKUP(AH12,'G-3 Multipliers'!$S$3:$T$10,2,FALSE)))</f>
        <v/>
      </c>
      <c r="AJ12" s="376" t="str">
        <f>IFERROR(IF(OR(M12="",S12="",U12="",AH12=""),"",(((((P12*R12*T12)-(P12*F12*H12))*(AG12*AC12))+(P12*F12*H12))*(W12)*AI12)),"")</f>
        <v/>
      </c>
      <c r="AK12" s="376" t="str">
        <f>IFERROR(IF(OR(M12="",S12="",U12="",AH12=""),"", IF(AH12="","",(((((P12*R12*T12)-(P12*F12*H12))*(AG12*AC12))+(P12*F12*H12))*(W12)))),"")</f>
        <v/>
      </c>
      <c r="AL12" s="117"/>
      <c r="AM12" s="118"/>
      <c r="AN12" s="118"/>
      <c r="AO12" s="118"/>
      <c r="AQ12" s="30" t="str">
        <f>IFERROR(INDEX('G-6 Hedgerow Data'!$BJ$3:$BJ$15,MATCH(M12,'G-6 Hedgerow Data'!$B$3:$B$15,0)),"")</f>
        <v/>
      </c>
    </row>
    <row r="13" spans="2:43" ht="15">
      <c r="B13" s="392" t="str">
        <f>'E-1 Off-Site Hedge Baseline'!AN11</f>
        <v/>
      </c>
      <c r="C13" s="382" t="str">
        <f>IF(B13="","",IF(ISNA(VLOOKUP($B13,'E-1 Off-Site Hedge Baseline'!$B$1:$L$257,3,FALSE)),"",(VLOOKUP($B13,'E-1 Off-Site Hedge Baseline'!$B$1:$L$257,3,FALSE))))</f>
        <v/>
      </c>
      <c r="D13" s="382" t="str">
        <f>IF(B13="","",IF(ISNA(VLOOKUP($B13,'E-1 Off-Site Hedge Baseline'!$B$1:$L$258,4,FALSE)),"",(VLOOKUP($B13,'E-1 Off-Site Hedge Baseline'!$B$1:$L$258,4,FALSE))))</f>
        <v/>
      </c>
      <c r="E13" s="382" t="str">
        <f>IF(B13="","",IF(ISNA(VLOOKUP($B13,'E-1 Off-Site Hedge Baseline'!$B$1:$L$257,5,FALSE)),"",(VLOOKUP($B13,'E-1 Off-Site Hedge Baseline'!$B$1:$L$257,5,FALSE))))</f>
        <v/>
      </c>
      <c r="F13" s="382" t="str">
        <f>IF(B13="","",IF(ISNA(VLOOKUP($B13,'E-1 Off-Site Hedge Baseline'!$B$1:$L$257,6,FALSE)),"",(VLOOKUP($B13,'E-1 Off-Site Hedge Baseline'!$B$1:$L$257,6,FALSE))))</f>
        <v/>
      </c>
      <c r="G13" s="382" t="str">
        <f>IF(B13="","",IF(ISNA(VLOOKUP($B13,'E-1 Off-Site Hedge Baseline'!$B$1:$L$257,7,FALSE)),"",(VLOOKUP($B13,'E-1 Off-Site Hedge Baseline'!$B$1:$L$257,7,FALSE))))</f>
        <v/>
      </c>
      <c r="H13" s="382" t="str">
        <f>IF(B13="","",IF(ISNA(VLOOKUP($B13,'E-1 Off-Site Hedge Baseline'!$B$1:$L$257,8,FALSE)),"",(VLOOKUP($B13,'E-1 Off-Site Hedge Baseline'!$B$1:$L$257,8,FALSE))))</f>
        <v/>
      </c>
      <c r="I13" s="382" t="str">
        <f>IF(B13="","",IF(ISNA(VLOOKUP($B13,'E-1 Off-Site Hedge Baseline'!$B$1:$L$257,10,FALSE)),"",(VLOOKUP($B13,'E-1 Off-Site Hedge Baseline'!$B$1:$L$257,10,FALSE))))</f>
        <v/>
      </c>
      <c r="J13" s="382" t="str">
        <f>IF(B13="","",IF(ISNA(VLOOKUP($B13,'E-1 Off-Site Hedge Baseline'!$B$1:$L$257,11,FALSE)),"",(VLOOKUP($B13,'E-1 Off-Site Hedge Baseline'!$B$1:$L$257,11,FALSE))))</f>
        <v/>
      </c>
      <c r="K13" s="382" t="str">
        <f>IF(B13="","",IF(ISNA(VLOOKUP($B13,'E-1 Off-Site Hedge Baseline'!$B$1:$X$257,113,FALSE)),"",(VLOOKUP($B13,'E-1 Off-Site Hedge Baseline'!$B$1:$X$257,13,FALSE))))</f>
        <v/>
      </c>
      <c r="L13" s="370" t="str">
        <f>IF(B13="","",IF(ISNA(VLOOKUP($B13,'E-1 Off-Site Hedge Baseline'!$B$1:$X$257,12,FALSE)),"",(VLOOKUP($B13,'E-1 Off-Site Hedge Baseline'!$B$1:$X$257,12,FALSE))))</f>
        <v/>
      </c>
      <c r="M13" s="316" t="str">
        <f t="shared" si="0"/>
        <v/>
      </c>
      <c r="N13" s="362" t="str">
        <f>IFERROR(IF(B13="","",INDEX('G-6 Hedgerow Data'!$AN$3:$AZ$15,MATCH(C13,'G-6 Hedgerow Data'!$AM$3:$AM$15,0),MATCH(M13,'G-6 Hedgerow Data'!$AN$2:$AZ$2,0))),"")</f>
        <v/>
      </c>
      <c r="O13" s="363" t="str">
        <f t="shared" ref="O13:O76" si="2">IFERROR(IF(B13="","",IF(AND(LEFT(C13,55)&lt;&gt;LEFT(M13,55),N13="High - High"),"Error - Not like for like ▲",IF(AND(LEFT(C13,55)&lt;&gt;LEFT(M13,55),N13="Medium - Medium"),"Error - Not like for like ▲",IF(H13&gt;T13,"Error - Can not reduce condition ▲",IF(AND(F13=R13,H13=T13),"Error - No enhancement ▲",IF(AND(C13&lt;&gt;M13,F13&lt;R13),"Lower Distinctiveness Habitat"&amp;" - "&amp;S13,G13&amp;" - "&amp;S13)))))),"")</f>
        <v/>
      </c>
      <c r="P13" s="368" t="str">
        <f>IF(B13="","",VLOOKUP(B13,'E-1 Off-Site Hedge Baseline'!$B$10:W258,19,FALSE))</f>
        <v/>
      </c>
      <c r="Q13" s="362" t="str">
        <f>IF(M13="","",VLOOKUP(M13,'G-6 Hedgerow Data'!$B$2:$AG$15,2,FALSE))</f>
        <v/>
      </c>
      <c r="R13" s="363" t="str">
        <f>IF(M13="","",VLOOKUP(M13,'G-6 Hedgerow Data'!$B$2:$AG$15,3,FALSE))</f>
        <v/>
      </c>
      <c r="S13" s="114"/>
      <c r="T13" s="363" t="str">
        <f>IFERROR(IF(AND(Q13="V.Low",OR(S13="Good",S13="Moderate")),"Error ▲",VLOOKUP(S13,'G-1 All Habitats'!$Z$2:$AA$9,2,FALSE)),"")</f>
        <v/>
      </c>
      <c r="U13" s="115"/>
      <c r="V13" s="370" t="str">
        <f>IF(U13="","",IF(VLOOKUP(U13,'G-3 Multipliers'!$L$3:$N$6,2,FALSE)=0,"Spatial Data Missing ⚠",VLOOKUP(U13,'G-3 Multipliers'!$L$3:$N$6,2,FALSE)))</f>
        <v/>
      </c>
      <c r="W13" s="368" t="str">
        <f>IF(U13="","",IF(VLOOKUP(U13,'G-3 Multipliers'!$L$3:$N$6,3,FALSE)=0,"Spatial Data Missing ⚠",VLOOKUP(U13,'G-3 Multipliers'!$L$3:$N$6,3,FALSE)))</f>
        <v/>
      </c>
      <c r="X13" s="362" t="str">
        <f>IFERROR(IF(OR(LEFT(O13,5)="Error",LEFT(N13,5)="Error",T13="Error"),"Check Data ⚠",IF(F13&lt;R13,INDEX('G-6 Hedgerow Data'!$S$3:$AE$14,MATCH(C13,'G-6 Hedgerow Data'!$B$3:$B$14,0),MATCH(M13,'G-6 Hedgerow Data'!$S$2:$AE$2,0)),INDEX('G-6 Hedgerow Data'!$K$3:$Q$14,MATCH(M13,'G-6 Hedgerow Data'!$B$3:$B$14,0),MATCH(O13,'G-6 Hedgerow Data'!$K$2:$Q$2,0)))),"")</f>
        <v/>
      </c>
      <c r="Y13" s="159"/>
      <c r="Z13" s="159"/>
      <c r="AA13" s="370" t="str">
        <f t="shared" ref="AA13:AA76" si="3">IF(X13="Check Data ⚠","Check Data ⚠",IF(M13="","",IF(AND(Y13&gt;0,Z13&gt;0),"Error -both advance and delayed habitat creation ▲",IF(AND(OR(Y13="Habitat already in target condition",X13&lt;=Y13),Z13=0),"Check details - Is there evidence that habitat has reached target condition? ⚠",IF(X13="","",IF(Y13&gt;0,"Check details - Is there evidence habitat creation started/in place? ⚠",IF(Z13&gt;0,"Check details- Delay in starting habitat in required condition? ⚠","Standard time to target condition applied")))))))</f>
        <v/>
      </c>
      <c r="AB13" s="383" t="str">
        <f t="shared" ref="AB13:AB76" si="4">IF(X13="","",IF(AA13="Check Data ⚠","Check Data ⚠",IF(Y13="30+",0,IF(Z13="30+","30+",IF(X13+Z13&gt;30,"30+",IF(AA13="Error -both advance and delayed habitat creation ▲","Check Data ⚠",IF(X13+Z13-Y13&gt;0,X13+Z13-Y13,IF(X13-Y13&lt;=0,0,))))))))</f>
        <v/>
      </c>
      <c r="AC13" s="384" t="str">
        <f t="shared" si="1"/>
        <v/>
      </c>
      <c r="AD13" s="398" t="str">
        <f>IF(M13="","",VLOOKUP(M13,'G-6 Hedgerow Data'!$B$3:$AG$15,31,FALSE))</f>
        <v/>
      </c>
      <c r="AE13" s="382" t="str">
        <f t="shared" ref="AE13:AE76" si="5">IF(M13="","",IF(OR(LEFT(AA13,5)="Error ▲",AA13="Check Data ⚠"),"Check Data ⚠",IF(X13="","",IF($AA13="Check details - Is there evidence that habitat has reached target condition? ⚠","Low Difficulty - only applicable if all habitat created before losses ⚠","Standard difficulty applied"))))</f>
        <v/>
      </c>
      <c r="AF13" s="382" t="str">
        <f t="shared" ref="AF13:AF76" si="6">(IF(AND(AE13="Yes",X13&gt;Y13),AD13,IF(AND(AE13="Low Difficulty - only applicable if all habitat created before losses ⚠",Y13&gt;=X13),"Low",AD13)))</f>
        <v/>
      </c>
      <c r="AG13" s="386" t="str">
        <f>IFERROR(IF(O13="","",VLOOKUP(AD13,'G-3 Multipliers'!$P$3:$Q$6,2,FALSE)),"")</f>
        <v/>
      </c>
      <c r="AH13" s="160"/>
      <c r="AI13" s="363" t="str">
        <f>IF(AH13="","",IF(VLOOKUP(AH13,'G-3 Multipliers'!$S$3:$T$10,2,FALSE)=0,"Spatial Data Missing ⚠",VLOOKUP(AH13,'G-3 Multipliers'!$S$3:$T$10,2,FALSE)))</f>
        <v/>
      </c>
      <c r="AJ13" s="376" t="str">
        <f t="shared" ref="AJ13:AJ76" si="7">IFERROR(IF(OR(M13="",S13="",U13="",AH13=""),"",(((((P13*R13*T13)-(P13*F13*H13))*(AG13*AC13))+(P13*F13*H13))*(W13)*AI13)),"")</f>
        <v/>
      </c>
      <c r="AK13" s="376" t="str">
        <f t="shared" ref="AK13:AK76" si="8">IFERROR(IF(OR(M13="",S13="",U13="",AH13=""),"", IF(AH13="","",(((((P13*R13*T13)-(P13*F13*H13))*(AG13*AC13))+(P13*F13*H13))*(W13)))),"")</f>
        <v/>
      </c>
      <c r="AL13" s="117"/>
      <c r="AM13" s="118"/>
      <c r="AN13" s="120"/>
      <c r="AO13" s="120"/>
      <c r="AQ13" s="30" t="str">
        <f>IFERROR(INDEX('G-6 Hedgerow Data'!$BJ$3:$BJ$15,MATCH(M13,'G-6 Hedgerow Data'!$B$3:$B$15,0)),"")</f>
        <v/>
      </c>
    </row>
    <row r="14" spans="2:43" ht="15">
      <c r="B14" s="392" t="str">
        <f>'E-1 Off-Site Hedge Baseline'!AN12</f>
        <v/>
      </c>
      <c r="C14" s="382" t="str">
        <f>IF(B14="","",IF(ISNA(VLOOKUP($B14,'E-1 Off-Site Hedge Baseline'!$B$1:$L$257,3,FALSE)),"",(VLOOKUP($B14,'E-1 Off-Site Hedge Baseline'!$B$1:$L$257,3,FALSE))))</f>
        <v/>
      </c>
      <c r="D14" s="382" t="str">
        <f>IF(B14="","",IF(ISNA(VLOOKUP($B14,'E-1 Off-Site Hedge Baseline'!$B$1:$L$258,4,FALSE)),"",(VLOOKUP($B14,'E-1 Off-Site Hedge Baseline'!$B$1:$L$258,4,FALSE))))</f>
        <v/>
      </c>
      <c r="E14" s="382" t="str">
        <f>IF(B14="","",IF(ISNA(VLOOKUP($B14,'E-1 Off-Site Hedge Baseline'!$B$1:$L$257,5,FALSE)),"",(VLOOKUP($B14,'E-1 Off-Site Hedge Baseline'!$B$1:$L$257,5,FALSE))))</f>
        <v/>
      </c>
      <c r="F14" s="382" t="str">
        <f>IF(B14="","",IF(ISNA(VLOOKUP($B14,'E-1 Off-Site Hedge Baseline'!$B$1:$L$257,6,FALSE)),"",(VLOOKUP($B14,'E-1 Off-Site Hedge Baseline'!$B$1:$L$257,6,FALSE))))</f>
        <v/>
      </c>
      <c r="G14" s="382" t="str">
        <f>IF(B14="","",IF(ISNA(VLOOKUP($B14,'E-1 Off-Site Hedge Baseline'!$B$1:$L$257,7,FALSE)),"",(VLOOKUP($B14,'E-1 Off-Site Hedge Baseline'!$B$1:$L$257,7,FALSE))))</f>
        <v/>
      </c>
      <c r="H14" s="382" t="str">
        <f>IF(B14="","",IF(ISNA(VLOOKUP($B14,'E-1 Off-Site Hedge Baseline'!$B$1:$L$257,8,FALSE)),"",(VLOOKUP($B14,'E-1 Off-Site Hedge Baseline'!$B$1:$L$257,8,FALSE))))</f>
        <v/>
      </c>
      <c r="I14" s="382" t="str">
        <f>IF(B14="","",IF(ISNA(VLOOKUP($B14,'E-1 Off-Site Hedge Baseline'!$B$1:$L$257,10,FALSE)),"",(VLOOKUP($B14,'E-1 Off-Site Hedge Baseline'!$B$1:$L$257,10,FALSE))))</f>
        <v/>
      </c>
      <c r="J14" s="382" t="str">
        <f>IF(B14="","",IF(ISNA(VLOOKUP($B14,'E-1 Off-Site Hedge Baseline'!$B$1:$L$257,11,FALSE)),"",(VLOOKUP($B14,'E-1 Off-Site Hedge Baseline'!$B$1:$L$257,11,FALSE))))</f>
        <v/>
      </c>
      <c r="K14" s="382" t="str">
        <f>IF(B14="","",IF(ISNA(VLOOKUP($B14,'E-1 Off-Site Hedge Baseline'!$B$1:$X$257,113,FALSE)),"",(VLOOKUP($B14,'E-1 Off-Site Hedge Baseline'!$B$1:$X$257,13,FALSE))))</f>
        <v/>
      </c>
      <c r="L14" s="370" t="str">
        <f>IF(B14="","",IF(ISNA(VLOOKUP($B14,'E-1 Off-Site Hedge Baseline'!$B$1:$X$257,12,FALSE)),"",(VLOOKUP($B14,'E-1 Off-Site Hedge Baseline'!$B$1:$X$257,12,FALSE))))</f>
        <v/>
      </c>
      <c r="M14" s="316" t="str">
        <f t="shared" si="0"/>
        <v/>
      </c>
      <c r="N14" s="362" t="str">
        <f>IFERROR(IF(B14="","",INDEX('G-6 Hedgerow Data'!$AN$3:$AZ$15,MATCH(C14,'G-6 Hedgerow Data'!$AM$3:$AM$15,0),MATCH(M14,'G-6 Hedgerow Data'!$AN$2:$AZ$2,0))),"")</f>
        <v/>
      </c>
      <c r="O14" s="363" t="str">
        <f t="shared" si="2"/>
        <v/>
      </c>
      <c r="P14" s="368" t="str">
        <f>IF(B14="","",VLOOKUP(B14,'E-1 Off-Site Hedge Baseline'!$B$10:W259,19,FALSE))</f>
        <v/>
      </c>
      <c r="Q14" s="362" t="str">
        <f>IF(M14="","",VLOOKUP(M14,'G-6 Hedgerow Data'!$B$2:$AG$15,2,FALSE))</f>
        <v/>
      </c>
      <c r="R14" s="363" t="str">
        <f>IF(M14="","",VLOOKUP(M14,'G-6 Hedgerow Data'!$B$2:$AG$15,3,FALSE))</f>
        <v/>
      </c>
      <c r="S14" s="114"/>
      <c r="T14" s="363" t="str">
        <f>IFERROR(IF(AND(Q14="V.Low",OR(S14="Good",S14="Moderate")),"Error ▲",VLOOKUP(S14,'G-1 All Habitats'!$Z$2:$AA$9,2,FALSE)),"")</f>
        <v/>
      </c>
      <c r="U14" s="115"/>
      <c r="V14" s="370" t="str">
        <f>IF(U14="","",IF(VLOOKUP(U14,'G-3 Multipliers'!$L$3:$N$6,2,FALSE)=0,"Spatial Data Missing ⚠",VLOOKUP(U14,'G-3 Multipliers'!$L$3:$N$6,2,FALSE)))</f>
        <v/>
      </c>
      <c r="W14" s="368" t="str">
        <f>IF(U14="","",IF(VLOOKUP(U14,'G-3 Multipliers'!$L$3:$N$6,3,FALSE)=0,"Spatial Data Missing ⚠",VLOOKUP(U14,'G-3 Multipliers'!$L$3:$N$6,3,FALSE)))</f>
        <v/>
      </c>
      <c r="X14" s="362" t="str">
        <f>IFERROR(IF(OR(LEFT(O14,5)="Error",LEFT(N14,5)="Error",T14="Error"),"Check Data ⚠",IF(F14&lt;R14,INDEX('G-6 Hedgerow Data'!$S$3:$AE$14,MATCH(C14,'G-6 Hedgerow Data'!$B$3:$B$14,0),MATCH(M14,'G-6 Hedgerow Data'!$S$2:$AE$2,0)),INDEX('G-6 Hedgerow Data'!$K$3:$Q$14,MATCH(M14,'G-6 Hedgerow Data'!$B$3:$B$14,0),MATCH(O14,'G-6 Hedgerow Data'!$K$2:$Q$2,0)))),"")</f>
        <v/>
      </c>
      <c r="Y14" s="159"/>
      <c r="Z14" s="159"/>
      <c r="AA14" s="370" t="str">
        <f t="shared" si="3"/>
        <v/>
      </c>
      <c r="AB14" s="383" t="str">
        <f t="shared" si="4"/>
        <v/>
      </c>
      <c r="AC14" s="384" t="str">
        <f t="shared" si="1"/>
        <v/>
      </c>
      <c r="AD14" s="398" t="str">
        <f>IF(M14="","",VLOOKUP(M14,'G-6 Hedgerow Data'!$B$3:$AG$15,31,FALSE))</f>
        <v/>
      </c>
      <c r="AE14" s="382" t="str">
        <f t="shared" si="5"/>
        <v/>
      </c>
      <c r="AF14" s="382" t="str">
        <f t="shared" si="6"/>
        <v/>
      </c>
      <c r="AG14" s="386" t="str">
        <f>IFERROR(IF(O14="","",VLOOKUP(AD14,'G-3 Multipliers'!$P$3:$Q$6,2,FALSE)),"")</f>
        <v/>
      </c>
      <c r="AH14" s="160"/>
      <c r="AI14" s="363" t="str">
        <f>IF(AH14="","",IF(VLOOKUP(AH14,'G-3 Multipliers'!$S$3:$T$10,2,FALSE)=0,"Spatial Data Missing ⚠",VLOOKUP(AH14,'G-3 Multipliers'!$S$3:$T$10,2,FALSE)))</f>
        <v/>
      </c>
      <c r="AJ14" s="376" t="str">
        <f t="shared" si="7"/>
        <v/>
      </c>
      <c r="AK14" s="376" t="str">
        <f t="shared" si="8"/>
        <v/>
      </c>
      <c r="AL14" s="117"/>
      <c r="AM14" s="118"/>
      <c r="AN14" s="120"/>
      <c r="AO14" s="120"/>
      <c r="AQ14" s="30" t="str">
        <f>IFERROR(INDEX('G-6 Hedgerow Data'!$BJ$3:$BJ$15,MATCH(M14,'G-6 Hedgerow Data'!$B$3:$B$15,0)),"")</f>
        <v/>
      </c>
    </row>
    <row r="15" spans="2:43" ht="15">
      <c r="B15" s="392" t="str">
        <f>'E-1 Off-Site Hedge Baseline'!AN13</f>
        <v/>
      </c>
      <c r="C15" s="382" t="str">
        <f>IF(B15="","",IF(ISNA(VLOOKUP($B15,'E-1 Off-Site Hedge Baseline'!$B$1:$L$257,3,FALSE)),"",(VLOOKUP($B15,'E-1 Off-Site Hedge Baseline'!$B$1:$L$257,3,FALSE))))</f>
        <v/>
      </c>
      <c r="D15" s="382" t="str">
        <f>IF(B15="","",IF(ISNA(VLOOKUP($B15,'E-1 Off-Site Hedge Baseline'!$B$1:$L$258,4,FALSE)),"",(VLOOKUP($B15,'E-1 Off-Site Hedge Baseline'!$B$1:$L$258,4,FALSE))))</f>
        <v/>
      </c>
      <c r="E15" s="382" t="str">
        <f>IF(B15="","",IF(ISNA(VLOOKUP($B15,'E-1 Off-Site Hedge Baseline'!$B$1:$L$257,5,FALSE)),"",(VLOOKUP($B15,'E-1 Off-Site Hedge Baseline'!$B$1:$L$257,5,FALSE))))</f>
        <v/>
      </c>
      <c r="F15" s="382" t="str">
        <f>IF(B15="","",IF(ISNA(VLOOKUP($B15,'E-1 Off-Site Hedge Baseline'!$B$1:$L$257,6,FALSE)),"",(VLOOKUP($B15,'E-1 Off-Site Hedge Baseline'!$B$1:$L$257,6,FALSE))))</f>
        <v/>
      </c>
      <c r="G15" s="382" t="str">
        <f>IF(B15="","",IF(ISNA(VLOOKUP($B15,'E-1 Off-Site Hedge Baseline'!$B$1:$L$257,7,FALSE)),"",(VLOOKUP($B15,'E-1 Off-Site Hedge Baseline'!$B$1:$L$257,7,FALSE))))</f>
        <v/>
      </c>
      <c r="H15" s="382" t="str">
        <f>IF(B15="","",IF(ISNA(VLOOKUP($B15,'E-1 Off-Site Hedge Baseline'!$B$1:$L$257,8,FALSE)),"",(VLOOKUP($B15,'E-1 Off-Site Hedge Baseline'!$B$1:$L$257,8,FALSE))))</f>
        <v/>
      </c>
      <c r="I15" s="382" t="str">
        <f>IF(B15="","",IF(ISNA(VLOOKUP($B15,'E-1 Off-Site Hedge Baseline'!$B$1:$L$257,10,FALSE)),"",(VLOOKUP($B15,'E-1 Off-Site Hedge Baseline'!$B$1:$L$257,10,FALSE))))</f>
        <v/>
      </c>
      <c r="J15" s="382" t="str">
        <f>IF(B15="","",IF(ISNA(VLOOKUP($B15,'E-1 Off-Site Hedge Baseline'!$B$1:$L$257,11,FALSE)),"",(VLOOKUP($B15,'E-1 Off-Site Hedge Baseline'!$B$1:$L$257,11,FALSE))))</f>
        <v/>
      </c>
      <c r="K15" s="382" t="str">
        <f>IF(B15="","",IF(ISNA(VLOOKUP($B15,'E-1 Off-Site Hedge Baseline'!$B$1:$X$257,113,FALSE)),"",(VLOOKUP($B15,'E-1 Off-Site Hedge Baseline'!$B$1:$X$257,13,FALSE))))</f>
        <v/>
      </c>
      <c r="L15" s="370" t="str">
        <f>IF(B15="","",IF(ISNA(VLOOKUP($B15,'E-1 Off-Site Hedge Baseline'!$B$1:$X$257,12,FALSE)),"",(VLOOKUP($B15,'E-1 Off-Site Hedge Baseline'!$B$1:$X$257,12,FALSE))))</f>
        <v/>
      </c>
      <c r="M15" s="316" t="str">
        <f t="shared" si="0"/>
        <v/>
      </c>
      <c r="N15" s="362" t="str">
        <f>IFERROR(IF(B15="","",INDEX('G-6 Hedgerow Data'!$AN$3:$AZ$15,MATCH(C15,'G-6 Hedgerow Data'!$AM$3:$AM$15,0),MATCH(M15,'G-6 Hedgerow Data'!$AN$2:$AZ$2,0))),"")</f>
        <v/>
      </c>
      <c r="O15" s="363" t="str">
        <f t="shared" si="2"/>
        <v/>
      </c>
      <c r="P15" s="368" t="str">
        <f>IF(B15="","",VLOOKUP(B15,'E-1 Off-Site Hedge Baseline'!$B$10:W260,19,FALSE))</f>
        <v/>
      </c>
      <c r="Q15" s="362" t="str">
        <f>IF(M15="","",VLOOKUP(M15,'G-6 Hedgerow Data'!$B$2:$AG$15,2,FALSE))</f>
        <v/>
      </c>
      <c r="R15" s="363" t="str">
        <f>IF(M15="","",VLOOKUP(M15,'G-6 Hedgerow Data'!$B$2:$AG$15,3,FALSE))</f>
        <v/>
      </c>
      <c r="S15" s="114"/>
      <c r="T15" s="363" t="str">
        <f>IFERROR(IF(AND(Q15="V.Low",OR(S15="Good",S15="Moderate")),"Error ▲",VLOOKUP(S15,'G-1 All Habitats'!$Z$2:$AA$9,2,FALSE)),"")</f>
        <v/>
      </c>
      <c r="U15" s="115"/>
      <c r="V15" s="370" t="str">
        <f>IF(U15="","",IF(VLOOKUP(U15,'G-3 Multipliers'!$L$3:$N$6,2,FALSE)=0,"Spatial Data Missing ⚠",VLOOKUP(U15,'G-3 Multipliers'!$L$3:$N$6,2,FALSE)))</f>
        <v/>
      </c>
      <c r="W15" s="368" t="str">
        <f>IF(U15="","",IF(VLOOKUP(U15,'G-3 Multipliers'!$L$3:$N$6,3,FALSE)=0,"Spatial Data Missing ⚠",VLOOKUP(U15,'G-3 Multipliers'!$L$3:$N$6,3,FALSE)))</f>
        <v/>
      </c>
      <c r="X15" s="362" t="str">
        <f>IFERROR(IF(OR(LEFT(O15,5)="Error",LEFT(N15,5)="Error",T15="Error"),"Check Data ⚠",IF(F15&lt;R15,INDEX('G-6 Hedgerow Data'!$S$3:$AE$14,MATCH(C15,'G-6 Hedgerow Data'!$B$3:$B$14,0),MATCH(M15,'G-6 Hedgerow Data'!$S$2:$AE$2,0)),INDEX('G-6 Hedgerow Data'!$K$3:$Q$14,MATCH(M15,'G-6 Hedgerow Data'!$B$3:$B$14,0),MATCH(O15,'G-6 Hedgerow Data'!$K$2:$Q$2,0)))),"")</f>
        <v/>
      </c>
      <c r="Y15" s="159"/>
      <c r="Z15" s="159"/>
      <c r="AA15" s="370" t="str">
        <f t="shared" si="3"/>
        <v/>
      </c>
      <c r="AB15" s="383" t="str">
        <f t="shared" si="4"/>
        <v/>
      </c>
      <c r="AC15" s="384" t="str">
        <f t="shared" si="1"/>
        <v/>
      </c>
      <c r="AD15" s="398" t="str">
        <f>IF(M15="","",VLOOKUP(M15,'G-6 Hedgerow Data'!$B$3:$AG$15,31,FALSE))</f>
        <v/>
      </c>
      <c r="AE15" s="382" t="str">
        <f t="shared" si="5"/>
        <v/>
      </c>
      <c r="AF15" s="382" t="str">
        <f t="shared" si="6"/>
        <v/>
      </c>
      <c r="AG15" s="386" t="str">
        <f>IFERROR(IF(O15="","",VLOOKUP(AD15,'G-3 Multipliers'!$P$3:$Q$6,2,FALSE)),"")</f>
        <v/>
      </c>
      <c r="AH15" s="160"/>
      <c r="AI15" s="363" t="str">
        <f>IF(AH15="","",IF(VLOOKUP(AH15,'G-3 Multipliers'!$S$3:$T$10,2,FALSE)=0,"Spatial Data Missing ⚠",VLOOKUP(AH15,'G-3 Multipliers'!$S$3:$T$10,2,FALSE)))</f>
        <v/>
      </c>
      <c r="AJ15" s="376" t="str">
        <f t="shared" si="7"/>
        <v/>
      </c>
      <c r="AK15" s="376" t="str">
        <f t="shared" si="8"/>
        <v/>
      </c>
      <c r="AL15" s="117"/>
      <c r="AM15" s="118"/>
      <c r="AN15" s="120"/>
      <c r="AO15" s="120"/>
      <c r="AQ15" s="30" t="str">
        <f>IFERROR(INDEX('G-6 Hedgerow Data'!$BJ$3:$BJ$15,MATCH(M15,'G-6 Hedgerow Data'!$B$3:$B$15,0)),"")</f>
        <v/>
      </c>
    </row>
    <row r="16" spans="2:43" ht="15">
      <c r="B16" s="392" t="str">
        <f>'E-1 Off-Site Hedge Baseline'!AN14</f>
        <v/>
      </c>
      <c r="C16" s="382" t="str">
        <f>IF(B16="","",IF(ISNA(VLOOKUP($B16,'E-1 Off-Site Hedge Baseline'!$B$1:$L$257,3,FALSE)),"",(VLOOKUP($B16,'E-1 Off-Site Hedge Baseline'!$B$1:$L$257,3,FALSE))))</f>
        <v/>
      </c>
      <c r="D16" s="382" t="str">
        <f>IF(B16="","",IF(ISNA(VLOOKUP($B16,'E-1 Off-Site Hedge Baseline'!$B$1:$L$258,4,FALSE)),"",(VLOOKUP($B16,'E-1 Off-Site Hedge Baseline'!$B$1:$L$258,4,FALSE))))</f>
        <v/>
      </c>
      <c r="E16" s="382" t="str">
        <f>IF(B16="","",IF(ISNA(VLOOKUP($B16,'E-1 Off-Site Hedge Baseline'!$B$1:$L$257,5,FALSE)),"",(VLOOKUP($B16,'E-1 Off-Site Hedge Baseline'!$B$1:$L$257,5,FALSE))))</f>
        <v/>
      </c>
      <c r="F16" s="382" t="str">
        <f>IF(B16="","",IF(ISNA(VLOOKUP($B16,'E-1 Off-Site Hedge Baseline'!$B$1:$L$257,6,FALSE)),"",(VLOOKUP($B16,'E-1 Off-Site Hedge Baseline'!$B$1:$L$257,6,FALSE))))</f>
        <v/>
      </c>
      <c r="G16" s="382" t="str">
        <f>IF(B16="","",IF(ISNA(VLOOKUP($B16,'E-1 Off-Site Hedge Baseline'!$B$1:$L$257,7,FALSE)),"",(VLOOKUP($B16,'E-1 Off-Site Hedge Baseline'!$B$1:$L$257,7,FALSE))))</f>
        <v/>
      </c>
      <c r="H16" s="382" t="str">
        <f>IF(B16="","",IF(ISNA(VLOOKUP($B16,'E-1 Off-Site Hedge Baseline'!$B$1:$L$257,8,FALSE)),"",(VLOOKUP($B16,'E-1 Off-Site Hedge Baseline'!$B$1:$L$257,8,FALSE))))</f>
        <v/>
      </c>
      <c r="I16" s="382" t="str">
        <f>IF(B16="","",IF(ISNA(VLOOKUP($B16,'E-1 Off-Site Hedge Baseline'!$B$1:$L$257,10,FALSE)),"",(VLOOKUP($B16,'E-1 Off-Site Hedge Baseline'!$B$1:$L$257,10,FALSE))))</f>
        <v/>
      </c>
      <c r="J16" s="382" t="str">
        <f>IF(B16="","",IF(ISNA(VLOOKUP($B16,'E-1 Off-Site Hedge Baseline'!$B$1:$L$257,11,FALSE)),"",(VLOOKUP($B16,'E-1 Off-Site Hedge Baseline'!$B$1:$L$257,11,FALSE))))</f>
        <v/>
      </c>
      <c r="K16" s="382" t="str">
        <f>IF(B16="","",IF(ISNA(VLOOKUP($B16,'E-1 Off-Site Hedge Baseline'!$B$1:$X$257,113,FALSE)),"",(VLOOKUP($B16,'E-1 Off-Site Hedge Baseline'!$B$1:$X$257,13,FALSE))))</f>
        <v/>
      </c>
      <c r="L16" s="370" t="str">
        <f>IF(B16="","",IF(ISNA(VLOOKUP($B16,'E-1 Off-Site Hedge Baseline'!$B$1:$X$257,12,FALSE)),"",(VLOOKUP($B16,'E-1 Off-Site Hedge Baseline'!$B$1:$X$257,12,FALSE))))</f>
        <v/>
      </c>
      <c r="M16" s="316" t="str">
        <f t="shared" si="0"/>
        <v/>
      </c>
      <c r="N16" s="362" t="str">
        <f>IFERROR(IF(B16="","",INDEX('G-6 Hedgerow Data'!$AN$3:$AZ$15,MATCH(C16,'G-6 Hedgerow Data'!$AM$3:$AM$15,0),MATCH(M16,'G-6 Hedgerow Data'!$AN$2:$AZ$2,0))),"")</f>
        <v/>
      </c>
      <c r="O16" s="363" t="str">
        <f t="shared" si="2"/>
        <v/>
      </c>
      <c r="P16" s="368" t="str">
        <f>IF(B16="","",VLOOKUP(B16,'E-1 Off-Site Hedge Baseline'!$B$10:W261,19,FALSE))</f>
        <v/>
      </c>
      <c r="Q16" s="362" t="str">
        <f>IF(M16="","",VLOOKUP(M16,'G-6 Hedgerow Data'!$B$2:$AG$15,2,FALSE))</f>
        <v/>
      </c>
      <c r="R16" s="363" t="str">
        <f>IF(M16="","",VLOOKUP(M16,'G-6 Hedgerow Data'!$B$2:$AG$15,3,FALSE))</f>
        <v/>
      </c>
      <c r="S16" s="114"/>
      <c r="T16" s="363" t="str">
        <f>IFERROR(IF(AND(Q16="V.Low",OR(S16="Good",S16="Moderate")),"Error ▲",VLOOKUP(S16,'G-1 All Habitats'!$Z$2:$AA$9,2,FALSE)),"")</f>
        <v/>
      </c>
      <c r="U16" s="115"/>
      <c r="V16" s="370" t="str">
        <f>IF(U16="","",IF(VLOOKUP(U16,'G-3 Multipliers'!$L$3:$N$6,2,FALSE)=0,"Spatial Data Missing ⚠",VLOOKUP(U16,'G-3 Multipliers'!$L$3:$N$6,2,FALSE)))</f>
        <v/>
      </c>
      <c r="W16" s="368" t="str">
        <f>IF(U16="","",IF(VLOOKUP(U16,'G-3 Multipliers'!$L$3:$N$6,3,FALSE)=0,"Spatial Data Missing ⚠",VLOOKUP(U16,'G-3 Multipliers'!$L$3:$N$6,3,FALSE)))</f>
        <v/>
      </c>
      <c r="X16" s="362" t="str">
        <f>IFERROR(IF(OR(LEFT(O16,5)="Error",LEFT(N16,5)="Error",T16="Error"),"Check Data ⚠",IF(F16&lt;R16,INDEX('G-6 Hedgerow Data'!$S$3:$AE$14,MATCH(C16,'G-6 Hedgerow Data'!$B$3:$B$14,0),MATCH(M16,'G-6 Hedgerow Data'!$S$2:$AE$2,0)),INDEX('G-6 Hedgerow Data'!$K$3:$Q$14,MATCH(M16,'G-6 Hedgerow Data'!$B$3:$B$14,0),MATCH(O16,'G-6 Hedgerow Data'!$K$2:$Q$2,0)))),"")</f>
        <v/>
      </c>
      <c r="Y16" s="159"/>
      <c r="Z16" s="159"/>
      <c r="AA16" s="370" t="str">
        <f t="shared" si="3"/>
        <v/>
      </c>
      <c r="AB16" s="383" t="str">
        <f t="shared" si="4"/>
        <v/>
      </c>
      <c r="AC16" s="384" t="str">
        <f t="shared" si="1"/>
        <v/>
      </c>
      <c r="AD16" s="398" t="str">
        <f>IF(M16="","",VLOOKUP(M16,'G-6 Hedgerow Data'!$B$3:$AG$15,31,FALSE))</f>
        <v/>
      </c>
      <c r="AE16" s="382" t="str">
        <f t="shared" si="5"/>
        <v/>
      </c>
      <c r="AF16" s="382" t="str">
        <f t="shared" si="6"/>
        <v/>
      </c>
      <c r="AG16" s="386" t="str">
        <f>IFERROR(IF(O16="","",VLOOKUP(AD16,'G-3 Multipliers'!$P$3:$Q$6,2,FALSE)),"")</f>
        <v/>
      </c>
      <c r="AH16" s="160"/>
      <c r="AI16" s="363" t="str">
        <f>IF(AH16="","",IF(VLOOKUP(AH16,'G-3 Multipliers'!$S$3:$T$10,2,FALSE)=0,"Spatial Data Missing ⚠",VLOOKUP(AH16,'G-3 Multipliers'!$S$3:$T$10,2,FALSE)))</f>
        <v/>
      </c>
      <c r="AJ16" s="376" t="str">
        <f t="shared" si="7"/>
        <v/>
      </c>
      <c r="AK16" s="376" t="str">
        <f t="shared" si="8"/>
        <v/>
      </c>
      <c r="AL16" s="117"/>
      <c r="AM16" s="118"/>
      <c r="AN16" s="120"/>
      <c r="AO16" s="120"/>
      <c r="AQ16" s="30" t="str">
        <f>IFERROR(INDEX('G-6 Hedgerow Data'!$BJ$3:$BJ$15,MATCH(M16,'G-6 Hedgerow Data'!$B$3:$B$15,0)),"")</f>
        <v/>
      </c>
    </row>
    <row r="17" spans="2:43" ht="15">
      <c r="B17" s="392" t="str">
        <f>'E-1 Off-Site Hedge Baseline'!AN15</f>
        <v/>
      </c>
      <c r="C17" s="382" t="str">
        <f>IF(B17="","",IF(ISNA(VLOOKUP($B17,'E-1 Off-Site Hedge Baseline'!$B$1:$L$257,3,FALSE)),"",(VLOOKUP($B17,'E-1 Off-Site Hedge Baseline'!$B$1:$L$257,3,FALSE))))</f>
        <v/>
      </c>
      <c r="D17" s="382" t="str">
        <f>IF(B17="","",IF(ISNA(VLOOKUP($B17,'E-1 Off-Site Hedge Baseline'!$B$1:$L$258,4,FALSE)),"",(VLOOKUP($B17,'E-1 Off-Site Hedge Baseline'!$B$1:$L$258,4,FALSE))))</f>
        <v/>
      </c>
      <c r="E17" s="382" t="str">
        <f>IF(B17="","",IF(ISNA(VLOOKUP($B17,'E-1 Off-Site Hedge Baseline'!$B$1:$L$257,5,FALSE)),"",(VLOOKUP($B17,'E-1 Off-Site Hedge Baseline'!$B$1:$L$257,5,FALSE))))</f>
        <v/>
      </c>
      <c r="F17" s="382" t="str">
        <f>IF(B17="","",IF(ISNA(VLOOKUP($B17,'E-1 Off-Site Hedge Baseline'!$B$1:$L$257,6,FALSE)),"",(VLOOKUP($B17,'E-1 Off-Site Hedge Baseline'!$B$1:$L$257,6,FALSE))))</f>
        <v/>
      </c>
      <c r="G17" s="382" t="str">
        <f>IF(B17="","",IF(ISNA(VLOOKUP($B17,'E-1 Off-Site Hedge Baseline'!$B$1:$L$257,7,FALSE)),"",(VLOOKUP($B17,'E-1 Off-Site Hedge Baseline'!$B$1:$L$257,7,FALSE))))</f>
        <v/>
      </c>
      <c r="H17" s="382" t="str">
        <f>IF(B17="","",IF(ISNA(VLOOKUP($B17,'E-1 Off-Site Hedge Baseline'!$B$1:$L$257,8,FALSE)),"",(VLOOKUP($B17,'E-1 Off-Site Hedge Baseline'!$B$1:$L$257,8,FALSE))))</f>
        <v/>
      </c>
      <c r="I17" s="382" t="str">
        <f>IF(B17="","",IF(ISNA(VLOOKUP($B17,'E-1 Off-Site Hedge Baseline'!$B$1:$L$257,10,FALSE)),"",(VLOOKUP($B17,'E-1 Off-Site Hedge Baseline'!$B$1:$L$257,10,FALSE))))</f>
        <v/>
      </c>
      <c r="J17" s="382" t="str">
        <f>IF(B17="","",IF(ISNA(VLOOKUP($B17,'E-1 Off-Site Hedge Baseline'!$B$1:$L$257,11,FALSE)),"",(VLOOKUP($B17,'E-1 Off-Site Hedge Baseline'!$B$1:$L$257,11,FALSE))))</f>
        <v/>
      </c>
      <c r="K17" s="382" t="str">
        <f>IF(B17="","",IF(ISNA(VLOOKUP($B17,'E-1 Off-Site Hedge Baseline'!$B$1:$X$257,113,FALSE)),"",(VLOOKUP($B17,'E-1 Off-Site Hedge Baseline'!$B$1:$X$257,13,FALSE))))</f>
        <v/>
      </c>
      <c r="L17" s="370" t="str">
        <f>IF(B17="","",IF(ISNA(VLOOKUP($B17,'E-1 Off-Site Hedge Baseline'!$B$1:$X$257,12,FALSE)),"",(VLOOKUP($B17,'E-1 Off-Site Hedge Baseline'!$B$1:$X$257,12,FALSE))))</f>
        <v/>
      </c>
      <c r="M17" s="316" t="str">
        <f t="shared" si="0"/>
        <v/>
      </c>
      <c r="N17" s="362" t="str">
        <f>IFERROR(IF(B17="","",INDEX('G-6 Hedgerow Data'!$AN$3:$AZ$15,MATCH(C17,'G-6 Hedgerow Data'!$AM$3:$AM$15,0),MATCH(M17,'G-6 Hedgerow Data'!$AN$2:$AZ$2,0))),"")</f>
        <v/>
      </c>
      <c r="O17" s="363" t="str">
        <f t="shared" si="2"/>
        <v/>
      </c>
      <c r="P17" s="368" t="str">
        <f>IF(B17="","",VLOOKUP(B17,'E-1 Off-Site Hedge Baseline'!$B$10:W262,19,FALSE))</f>
        <v/>
      </c>
      <c r="Q17" s="362" t="str">
        <f>IF(M17="","",VLOOKUP(M17,'G-6 Hedgerow Data'!$B$2:$AG$15,2,FALSE))</f>
        <v/>
      </c>
      <c r="R17" s="363" t="str">
        <f>IF(M17="","",VLOOKUP(M17,'G-6 Hedgerow Data'!$B$2:$AG$15,3,FALSE))</f>
        <v/>
      </c>
      <c r="S17" s="55"/>
      <c r="T17" s="363" t="str">
        <f>IFERROR(IF(AND(Q17="V.Low",OR(S17="Good",S17="Moderate")),"Error ▲",VLOOKUP(S17,'G-1 All Habitats'!$Z$2:$AA$9,2,FALSE)),"")</f>
        <v/>
      </c>
      <c r="U17" s="115"/>
      <c r="V17" s="370" t="str">
        <f>IF(U17="","",IF(VLOOKUP(U17,'G-3 Multipliers'!$L$3:$N$6,2,FALSE)=0,"Spatial Data Missing ⚠",VLOOKUP(U17,'G-3 Multipliers'!$L$3:$N$6,2,FALSE)))</f>
        <v/>
      </c>
      <c r="W17" s="368" t="str">
        <f>IF(U17="","",IF(VLOOKUP(U17,'G-3 Multipliers'!$L$3:$N$6,3,FALSE)=0,"Spatial Data Missing ⚠",VLOOKUP(U17,'G-3 Multipliers'!$L$3:$N$6,3,FALSE)))</f>
        <v/>
      </c>
      <c r="X17" s="362" t="str">
        <f>IFERROR(IF(OR(LEFT(O17,5)="Error",LEFT(N17,5)="Error",T17="Error"),"Check Data ⚠",IF(F17&lt;R17,INDEX('G-6 Hedgerow Data'!$S$3:$AE$14,MATCH(C17,'G-6 Hedgerow Data'!$B$3:$B$14,0),MATCH(M17,'G-6 Hedgerow Data'!$S$2:$AE$2,0)),INDEX('G-6 Hedgerow Data'!$K$3:$Q$14,MATCH(M17,'G-6 Hedgerow Data'!$B$3:$B$14,0),MATCH(O17,'G-6 Hedgerow Data'!$K$2:$Q$2,0)))),"")</f>
        <v/>
      </c>
      <c r="Y17" s="159"/>
      <c r="Z17" s="159"/>
      <c r="AA17" s="370" t="str">
        <f t="shared" si="3"/>
        <v/>
      </c>
      <c r="AB17" s="383" t="str">
        <f t="shared" si="4"/>
        <v/>
      </c>
      <c r="AC17" s="384" t="str">
        <f t="shared" si="1"/>
        <v/>
      </c>
      <c r="AD17" s="398" t="str">
        <f>IF(M17="","",VLOOKUP(M17,'G-6 Hedgerow Data'!$B$3:$AG$15,31,FALSE))</f>
        <v/>
      </c>
      <c r="AE17" s="382" t="str">
        <f t="shared" si="5"/>
        <v/>
      </c>
      <c r="AF17" s="382" t="str">
        <f t="shared" si="6"/>
        <v/>
      </c>
      <c r="AG17" s="386" t="str">
        <f>IFERROR(IF(O17="","",VLOOKUP(AD17,'G-3 Multipliers'!$P$3:$Q$6,2,FALSE)),"")</f>
        <v/>
      </c>
      <c r="AH17" s="160"/>
      <c r="AI17" s="363" t="str">
        <f>IF(AH17="","",IF(VLOOKUP(AH17,'G-3 Multipliers'!$S$3:$T$10,2,FALSE)=0,"Spatial Data Missing ⚠",VLOOKUP(AH17,'G-3 Multipliers'!$S$3:$T$10,2,FALSE)))</f>
        <v/>
      </c>
      <c r="AJ17" s="405" t="str">
        <f t="shared" si="7"/>
        <v/>
      </c>
      <c r="AK17" s="376" t="str">
        <f t="shared" si="8"/>
        <v/>
      </c>
      <c r="AL17" s="117"/>
      <c r="AM17" s="118"/>
      <c r="AN17" s="120"/>
      <c r="AO17" s="120"/>
      <c r="AQ17" s="30" t="str">
        <f>IFERROR(INDEX('G-6 Hedgerow Data'!$BJ$3:$BJ$15,MATCH(M17,'G-6 Hedgerow Data'!$B$3:$B$15,0)),"")</f>
        <v/>
      </c>
    </row>
    <row r="18" spans="2:43" ht="15">
      <c r="B18" s="392" t="str">
        <f>'E-1 Off-Site Hedge Baseline'!AN16</f>
        <v/>
      </c>
      <c r="C18" s="382" t="str">
        <f>IF(B18="","",IF(ISNA(VLOOKUP($B18,'E-1 Off-Site Hedge Baseline'!$B$1:$L$257,3,FALSE)),"",(VLOOKUP($B18,'E-1 Off-Site Hedge Baseline'!$B$1:$L$257,3,FALSE))))</f>
        <v/>
      </c>
      <c r="D18" s="382" t="str">
        <f>IF(B18="","",IF(ISNA(VLOOKUP($B18,'E-1 Off-Site Hedge Baseline'!$B$1:$L$258,4,FALSE)),"",(VLOOKUP($B18,'E-1 Off-Site Hedge Baseline'!$B$1:$L$258,4,FALSE))))</f>
        <v/>
      </c>
      <c r="E18" s="382" t="str">
        <f>IF(B18="","",IF(ISNA(VLOOKUP($B18,'E-1 Off-Site Hedge Baseline'!$B$1:$L$257,5,FALSE)),"",(VLOOKUP($B18,'E-1 Off-Site Hedge Baseline'!$B$1:$L$257,5,FALSE))))</f>
        <v/>
      </c>
      <c r="F18" s="382" t="str">
        <f>IF(B18="","",IF(ISNA(VLOOKUP($B18,'E-1 Off-Site Hedge Baseline'!$B$1:$L$257,6,FALSE)),"",(VLOOKUP($B18,'E-1 Off-Site Hedge Baseline'!$B$1:$L$257,6,FALSE))))</f>
        <v/>
      </c>
      <c r="G18" s="382" t="str">
        <f>IF(B18="","",IF(ISNA(VLOOKUP($B18,'E-1 Off-Site Hedge Baseline'!$B$1:$L$257,7,FALSE)),"",(VLOOKUP($B18,'E-1 Off-Site Hedge Baseline'!$B$1:$L$257,7,FALSE))))</f>
        <v/>
      </c>
      <c r="H18" s="382" t="str">
        <f>IF(B18="","",IF(ISNA(VLOOKUP($B18,'E-1 Off-Site Hedge Baseline'!$B$1:$L$257,8,FALSE)),"",(VLOOKUP($B18,'E-1 Off-Site Hedge Baseline'!$B$1:$L$257,8,FALSE))))</f>
        <v/>
      </c>
      <c r="I18" s="382" t="str">
        <f>IF(B18="","",IF(ISNA(VLOOKUP($B18,'E-1 Off-Site Hedge Baseline'!$B$1:$L$257,10,FALSE)),"",(VLOOKUP($B18,'E-1 Off-Site Hedge Baseline'!$B$1:$L$257,10,FALSE))))</f>
        <v/>
      </c>
      <c r="J18" s="382" t="str">
        <f>IF(B18="","",IF(ISNA(VLOOKUP($B18,'E-1 Off-Site Hedge Baseline'!$B$1:$L$257,11,FALSE)),"",(VLOOKUP($B18,'E-1 Off-Site Hedge Baseline'!$B$1:$L$257,11,FALSE))))</f>
        <v/>
      </c>
      <c r="K18" s="382" t="str">
        <f>IF(B18="","",IF(ISNA(VLOOKUP($B18,'E-1 Off-Site Hedge Baseline'!$B$1:$X$257,113,FALSE)),"",(VLOOKUP($B18,'E-1 Off-Site Hedge Baseline'!$B$1:$X$257,13,FALSE))))</f>
        <v/>
      </c>
      <c r="L18" s="370" t="str">
        <f>IF(B18="","",IF(ISNA(VLOOKUP($B18,'E-1 Off-Site Hedge Baseline'!$B$1:$X$257,12,FALSE)),"",(VLOOKUP($B18,'E-1 Off-Site Hedge Baseline'!$B$1:$X$257,12,FALSE))))</f>
        <v/>
      </c>
      <c r="M18" s="316" t="str">
        <f t="shared" si="0"/>
        <v/>
      </c>
      <c r="N18" s="362" t="str">
        <f>IFERROR(IF(B18="","",INDEX('G-6 Hedgerow Data'!$AN$3:$AZ$15,MATCH(C18,'G-6 Hedgerow Data'!$AM$3:$AM$15,0),MATCH(M18,'G-6 Hedgerow Data'!$AN$2:$AZ$2,0))),"")</f>
        <v/>
      </c>
      <c r="O18" s="363" t="str">
        <f t="shared" si="2"/>
        <v/>
      </c>
      <c r="P18" s="368" t="str">
        <f>IF(B18="","",VLOOKUP(B18,'E-1 Off-Site Hedge Baseline'!$B$10:W263,19,FALSE))</f>
        <v/>
      </c>
      <c r="Q18" s="362" t="str">
        <f>IF(M18="","",VLOOKUP(M18,'G-6 Hedgerow Data'!$B$2:$AG$15,2,FALSE))</f>
        <v/>
      </c>
      <c r="R18" s="363" t="str">
        <f>IF(M18="","",VLOOKUP(M18,'G-6 Hedgerow Data'!$B$2:$AG$15,3,FALSE))</f>
        <v/>
      </c>
      <c r="S18" s="55"/>
      <c r="T18" s="363" t="str">
        <f>IFERROR(IF(AND(Q18="V.Low",OR(S18="Good",S18="Moderate")),"Error ▲",VLOOKUP(S18,'G-1 All Habitats'!$Z$2:$AA$9,2,FALSE)),"")</f>
        <v/>
      </c>
      <c r="U18" s="115"/>
      <c r="V18" s="370" t="str">
        <f>IF(U18="","",IF(VLOOKUP(U18,'G-3 Multipliers'!$L$3:$N$6,2,FALSE)=0,"Spatial Data Missing ⚠",VLOOKUP(U18,'G-3 Multipliers'!$L$3:$N$6,2,FALSE)))</f>
        <v/>
      </c>
      <c r="W18" s="368" t="str">
        <f>IF(U18="","",IF(VLOOKUP(U18,'G-3 Multipliers'!$L$3:$N$6,3,FALSE)=0,"Spatial Data Missing ⚠",VLOOKUP(U18,'G-3 Multipliers'!$L$3:$N$6,3,FALSE)))</f>
        <v/>
      </c>
      <c r="X18" s="362" t="str">
        <f>IFERROR(IF(OR(LEFT(O18,5)="Error",LEFT(N18,5)="Error",T18="Error"),"Check Data ⚠",IF(F18&lt;R18,INDEX('G-6 Hedgerow Data'!$S$3:$AE$14,MATCH(C18,'G-6 Hedgerow Data'!$B$3:$B$14,0),MATCH(M18,'G-6 Hedgerow Data'!$S$2:$AE$2,0)),INDEX('G-6 Hedgerow Data'!$K$3:$Q$14,MATCH(M18,'G-6 Hedgerow Data'!$B$3:$B$14,0),MATCH(O18,'G-6 Hedgerow Data'!$K$2:$Q$2,0)))),"")</f>
        <v/>
      </c>
      <c r="Y18" s="159"/>
      <c r="Z18" s="159"/>
      <c r="AA18" s="370" t="str">
        <f t="shared" si="3"/>
        <v/>
      </c>
      <c r="AB18" s="383" t="str">
        <f t="shared" si="4"/>
        <v/>
      </c>
      <c r="AC18" s="384" t="str">
        <f t="shared" si="1"/>
        <v/>
      </c>
      <c r="AD18" s="398" t="str">
        <f>IF(M18="","",VLOOKUP(M18,'G-6 Hedgerow Data'!$B$3:$AG$15,31,FALSE))</f>
        <v/>
      </c>
      <c r="AE18" s="382" t="str">
        <f t="shared" si="5"/>
        <v/>
      </c>
      <c r="AF18" s="382" t="str">
        <f t="shared" si="6"/>
        <v/>
      </c>
      <c r="AG18" s="386" t="str">
        <f>IFERROR(IF(O18="","",VLOOKUP(AD18,'G-3 Multipliers'!$P$3:$Q$6,2,FALSE)),"")</f>
        <v/>
      </c>
      <c r="AH18" s="160"/>
      <c r="AI18" s="363" t="str">
        <f>IF(AH18="","",IF(VLOOKUP(AH18,'G-3 Multipliers'!$S$3:$T$10,2,FALSE)=0,"Spatial Data Missing ⚠",VLOOKUP(AH18,'G-3 Multipliers'!$S$3:$T$10,2,FALSE)))</f>
        <v/>
      </c>
      <c r="AJ18" s="405" t="str">
        <f t="shared" si="7"/>
        <v/>
      </c>
      <c r="AK18" s="376" t="str">
        <f t="shared" si="8"/>
        <v/>
      </c>
      <c r="AL18" s="117"/>
      <c r="AM18" s="118"/>
      <c r="AN18" s="120"/>
      <c r="AO18" s="120"/>
      <c r="AQ18" s="30" t="str">
        <f>IFERROR(INDEX('G-6 Hedgerow Data'!$BJ$3:$BJ$15,MATCH(M18,'G-6 Hedgerow Data'!$B$3:$B$15,0)),"")</f>
        <v/>
      </c>
    </row>
    <row r="19" spans="2:43" ht="15">
      <c r="B19" s="392" t="str">
        <f>'E-1 Off-Site Hedge Baseline'!AN17</f>
        <v/>
      </c>
      <c r="C19" s="382" t="str">
        <f>IF(B19="","",IF(ISNA(VLOOKUP($B19,'E-1 Off-Site Hedge Baseline'!$B$1:$L$257,3,FALSE)),"",(VLOOKUP($B19,'E-1 Off-Site Hedge Baseline'!$B$1:$L$257,3,FALSE))))</f>
        <v/>
      </c>
      <c r="D19" s="382" t="str">
        <f>IF(B19="","",IF(ISNA(VLOOKUP($B19,'E-1 Off-Site Hedge Baseline'!$B$1:$L$258,4,FALSE)),"",(VLOOKUP($B19,'E-1 Off-Site Hedge Baseline'!$B$1:$L$258,4,FALSE))))</f>
        <v/>
      </c>
      <c r="E19" s="382" t="str">
        <f>IF(B19="","",IF(ISNA(VLOOKUP($B19,'E-1 Off-Site Hedge Baseline'!$B$1:$L$257,5,FALSE)),"",(VLOOKUP($B19,'E-1 Off-Site Hedge Baseline'!$B$1:$L$257,5,FALSE))))</f>
        <v/>
      </c>
      <c r="F19" s="382" t="str">
        <f>IF(B19="","",IF(ISNA(VLOOKUP($B19,'E-1 Off-Site Hedge Baseline'!$B$1:$L$257,6,FALSE)),"",(VLOOKUP($B19,'E-1 Off-Site Hedge Baseline'!$B$1:$L$257,6,FALSE))))</f>
        <v/>
      </c>
      <c r="G19" s="382" t="str">
        <f>IF(B19="","",IF(ISNA(VLOOKUP($B19,'E-1 Off-Site Hedge Baseline'!$B$1:$L$257,7,FALSE)),"",(VLOOKUP($B19,'E-1 Off-Site Hedge Baseline'!$B$1:$L$257,7,FALSE))))</f>
        <v/>
      </c>
      <c r="H19" s="382" t="str">
        <f>IF(B19="","",IF(ISNA(VLOOKUP($B19,'E-1 Off-Site Hedge Baseline'!$B$1:$L$257,8,FALSE)),"",(VLOOKUP($B19,'E-1 Off-Site Hedge Baseline'!$B$1:$L$257,8,FALSE))))</f>
        <v/>
      </c>
      <c r="I19" s="382" t="str">
        <f>IF(B19="","",IF(ISNA(VLOOKUP($B19,'E-1 Off-Site Hedge Baseline'!$B$1:$L$257,10,FALSE)),"",(VLOOKUP($B19,'E-1 Off-Site Hedge Baseline'!$B$1:$L$257,10,FALSE))))</f>
        <v/>
      </c>
      <c r="J19" s="382" t="str">
        <f>IF(B19="","",IF(ISNA(VLOOKUP($B19,'E-1 Off-Site Hedge Baseline'!$B$1:$L$257,11,FALSE)),"",(VLOOKUP($B19,'E-1 Off-Site Hedge Baseline'!$B$1:$L$257,11,FALSE))))</f>
        <v/>
      </c>
      <c r="K19" s="382" t="str">
        <f>IF(B19="","",IF(ISNA(VLOOKUP($B19,'E-1 Off-Site Hedge Baseline'!$B$1:$X$257,113,FALSE)),"",(VLOOKUP($B19,'E-1 Off-Site Hedge Baseline'!$B$1:$X$257,13,FALSE))))</f>
        <v/>
      </c>
      <c r="L19" s="370" t="str">
        <f>IF(B19="","",IF(ISNA(VLOOKUP($B19,'E-1 Off-Site Hedge Baseline'!$B$1:$X$257,12,FALSE)),"",(VLOOKUP($B19,'E-1 Off-Site Hedge Baseline'!$B$1:$X$257,12,FALSE))))</f>
        <v/>
      </c>
      <c r="M19" s="316" t="str">
        <f t="shared" si="0"/>
        <v/>
      </c>
      <c r="N19" s="362" t="str">
        <f>IFERROR(IF(B19="","",INDEX('G-6 Hedgerow Data'!$AN$3:$AZ$15,MATCH(C19,'G-6 Hedgerow Data'!$AM$3:$AM$15,0),MATCH(M19,'G-6 Hedgerow Data'!$AN$2:$AZ$2,0))),"")</f>
        <v/>
      </c>
      <c r="O19" s="363" t="str">
        <f t="shared" si="2"/>
        <v/>
      </c>
      <c r="P19" s="368" t="str">
        <f>IF(B19="","",VLOOKUP(B19,'E-1 Off-Site Hedge Baseline'!$B$10:W264,19,FALSE))</f>
        <v/>
      </c>
      <c r="Q19" s="362" t="str">
        <f>IF(M19="","",VLOOKUP(M19,'G-6 Hedgerow Data'!$B$2:$AG$15,2,FALSE))</f>
        <v/>
      </c>
      <c r="R19" s="363" t="str">
        <f>IF(M19="","",VLOOKUP(M19,'G-6 Hedgerow Data'!$B$2:$AG$15,3,FALSE))</f>
        <v/>
      </c>
      <c r="S19" s="55"/>
      <c r="T19" s="363" t="str">
        <f>IFERROR(IF(AND(Q19="V.Low",OR(S19="Good",S19="Moderate")),"Error ▲",VLOOKUP(S19,'G-1 All Habitats'!$Z$2:$AA$9,2,FALSE)),"")</f>
        <v/>
      </c>
      <c r="U19" s="115"/>
      <c r="V19" s="370" t="str">
        <f>IF(U19="","",IF(VLOOKUP(U19,'G-3 Multipliers'!$L$3:$N$6,2,FALSE)=0,"Spatial Data Missing ⚠",VLOOKUP(U19,'G-3 Multipliers'!$L$3:$N$6,2,FALSE)))</f>
        <v/>
      </c>
      <c r="W19" s="368" t="str">
        <f>IF(U19="","",IF(VLOOKUP(U19,'G-3 Multipliers'!$L$3:$N$6,3,FALSE)=0,"Spatial Data Missing ⚠",VLOOKUP(U19,'G-3 Multipliers'!$L$3:$N$6,3,FALSE)))</f>
        <v/>
      </c>
      <c r="X19" s="362" t="str">
        <f>IFERROR(IF(OR(LEFT(O19,5)="Error",LEFT(N19,5)="Error",T19="Error"),"Check Data ⚠",IF(F19&lt;R19,INDEX('G-6 Hedgerow Data'!$S$3:$AE$14,MATCH(C19,'G-6 Hedgerow Data'!$B$3:$B$14,0),MATCH(M19,'G-6 Hedgerow Data'!$S$2:$AE$2,0)),INDEX('G-6 Hedgerow Data'!$K$3:$Q$14,MATCH(M19,'G-6 Hedgerow Data'!$B$3:$B$14,0),MATCH(O19,'G-6 Hedgerow Data'!$K$2:$Q$2,0)))),"")</f>
        <v/>
      </c>
      <c r="Y19" s="159"/>
      <c r="Z19" s="159"/>
      <c r="AA19" s="370" t="str">
        <f t="shared" si="3"/>
        <v/>
      </c>
      <c r="AB19" s="383" t="str">
        <f t="shared" si="4"/>
        <v/>
      </c>
      <c r="AC19" s="384" t="str">
        <f t="shared" si="1"/>
        <v/>
      </c>
      <c r="AD19" s="398" t="str">
        <f>IF(M19="","",VLOOKUP(M19,'G-6 Hedgerow Data'!$B$3:$AG$15,31,FALSE))</f>
        <v/>
      </c>
      <c r="AE19" s="382" t="str">
        <f t="shared" si="5"/>
        <v/>
      </c>
      <c r="AF19" s="382" t="str">
        <f t="shared" si="6"/>
        <v/>
      </c>
      <c r="AG19" s="386" t="str">
        <f>IFERROR(IF(O19="","",VLOOKUP(AD19,'G-3 Multipliers'!$P$3:$Q$6,2,FALSE)),"")</f>
        <v/>
      </c>
      <c r="AH19" s="160"/>
      <c r="AI19" s="363" t="str">
        <f>IF(AH19="","",IF(VLOOKUP(AH19,'G-3 Multipliers'!$S$3:$T$10,2,FALSE)=0,"Spatial Data Missing ⚠",VLOOKUP(AH19,'G-3 Multipliers'!$S$3:$T$10,2,FALSE)))</f>
        <v/>
      </c>
      <c r="AJ19" s="405" t="str">
        <f t="shared" si="7"/>
        <v/>
      </c>
      <c r="AK19" s="376" t="str">
        <f t="shared" si="8"/>
        <v/>
      </c>
      <c r="AL19" s="117"/>
      <c r="AM19" s="118"/>
      <c r="AN19" s="120"/>
      <c r="AO19" s="120"/>
      <c r="AQ19" s="30" t="str">
        <f>IFERROR(INDEX('G-6 Hedgerow Data'!$BJ$3:$BJ$15,MATCH(M19,'G-6 Hedgerow Data'!$B$3:$B$15,0)),"")</f>
        <v/>
      </c>
    </row>
    <row r="20" spans="2:43" ht="15">
      <c r="B20" s="392" t="str">
        <f>'E-1 Off-Site Hedge Baseline'!AN18</f>
        <v/>
      </c>
      <c r="C20" s="382" t="str">
        <f>IF(B20="","",IF(ISNA(VLOOKUP($B20,'E-1 Off-Site Hedge Baseline'!$B$1:$L$257,3,FALSE)),"",(VLOOKUP($B20,'E-1 Off-Site Hedge Baseline'!$B$1:$L$257,3,FALSE))))</f>
        <v/>
      </c>
      <c r="D20" s="382" t="str">
        <f>IF(B20="","",IF(ISNA(VLOOKUP($B20,'E-1 Off-Site Hedge Baseline'!$B$1:$L$258,4,FALSE)),"",(VLOOKUP($B20,'E-1 Off-Site Hedge Baseline'!$B$1:$L$258,4,FALSE))))</f>
        <v/>
      </c>
      <c r="E20" s="382" t="str">
        <f>IF(B20="","",IF(ISNA(VLOOKUP($B20,'E-1 Off-Site Hedge Baseline'!$B$1:$L$257,5,FALSE)),"",(VLOOKUP($B20,'E-1 Off-Site Hedge Baseline'!$B$1:$L$257,5,FALSE))))</f>
        <v/>
      </c>
      <c r="F20" s="382" t="str">
        <f>IF(B20="","",IF(ISNA(VLOOKUP($B20,'E-1 Off-Site Hedge Baseline'!$B$1:$L$257,6,FALSE)),"",(VLOOKUP($B20,'E-1 Off-Site Hedge Baseline'!$B$1:$L$257,6,FALSE))))</f>
        <v/>
      </c>
      <c r="G20" s="382" t="str">
        <f>IF(B20="","",IF(ISNA(VLOOKUP($B20,'E-1 Off-Site Hedge Baseline'!$B$1:$L$257,7,FALSE)),"",(VLOOKUP($B20,'E-1 Off-Site Hedge Baseline'!$B$1:$L$257,7,FALSE))))</f>
        <v/>
      </c>
      <c r="H20" s="382" t="str">
        <f>IF(B20="","",IF(ISNA(VLOOKUP($B20,'E-1 Off-Site Hedge Baseline'!$B$1:$L$257,8,FALSE)),"",(VLOOKUP($B20,'E-1 Off-Site Hedge Baseline'!$B$1:$L$257,8,FALSE))))</f>
        <v/>
      </c>
      <c r="I20" s="382" t="str">
        <f>IF(B20="","",IF(ISNA(VLOOKUP($B20,'E-1 Off-Site Hedge Baseline'!$B$1:$L$257,10,FALSE)),"",(VLOOKUP($B20,'E-1 Off-Site Hedge Baseline'!$B$1:$L$257,10,FALSE))))</f>
        <v/>
      </c>
      <c r="J20" s="382" t="str">
        <f>IF(B20="","",IF(ISNA(VLOOKUP($B20,'E-1 Off-Site Hedge Baseline'!$B$1:$L$257,11,FALSE)),"",(VLOOKUP($B20,'E-1 Off-Site Hedge Baseline'!$B$1:$L$257,11,FALSE))))</f>
        <v/>
      </c>
      <c r="K20" s="382" t="str">
        <f>IF(B20="","",IF(ISNA(VLOOKUP($B20,'E-1 Off-Site Hedge Baseline'!$B$1:$X$257,113,FALSE)),"",(VLOOKUP($B20,'E-1 Off-Site Hedge Baseline'!$B$1:$X$257,13,FALSE))))</f>
        <v/>
      </c>
      <c r="L20" s="370" t="str">
        <f>IF(B20="","",IF(ISNA(VLOOKUP($B20,'E-1 Off-Site Hedge Baseline'!$B$1:$X$257,12,FALSE)),"",(VLOOKUP($B20,'E-1 Off-Site Hedge Baseline'!$B$1:$X$257,12,FALSE))))</f>
        <v/>
      </c>
      <c r="M20" s="316" t="str">
        <f t="shared" si="0"/>
        <v/>
      </c>
      <c r="N20" s="362" t="str">
        <f>IFERROR(IF(B20="","",INDEX('G-6 Hedgerow Data'!$AN$3:$AZ$15,MATCH(C20,'G-6 Hedgerow Data'!$AM$3:$AM$15,0),MATCH(M20,'G-6 Hedgerow Data'!$AN$2:$AZ$2,0))),"")</f>
        <v/>
      </c>
      <c r="O20" s="363" t="str">
        <f t="shared" si="2"/>
        <v/>
      </c>
      <c r="P20" s="368" t="str">
        <f>IF(B20="","",VLOOKUP(B20,'E-1 Off-Site Hedge Baseline'!$B$10:W265,19,FALSE))</f>
        <v/>
      </c>
      <c r="Q20" s="362" t="str">
        <f>IF(M20="","",VLOOKUP(M20,'G-6 Hedgerow Data'!$B$2:$AG$15,2,FALSE))</f>
        <v/>
      </c>
      <c r="R20" s="363" t="str">
        <f>IF(M20="","",VLOOKUP(M20,'G-6 Hedgerow Data'!$B$2:$AG$15,3,FALSE))</f>
        <v/>
      </c>
      <c r="S20" s="55"/>
      <c r="T20" s="363" t="str">
        <f>IFERROR(IF(AND(Q20="V.Low",OR(S20="Good",S20="Moderate")),"Error ▲",VLOOKUP(S20,'G-1 All Habitats'!$Z$2:$AA$9,2,FALSE)),"")</f>
        <v/>
      </c>
      <c r="U20" s="115"/>
      <c r="V20" s="370" t="str">
        <f>IF(U20="","",IF(VLOOKUP(U20,'G-3 Multipliers'!$L$3:$N$6,2,FALSE)=0,"Spatial Data Missing ⚠",VLOOKUP(U20,'G-3 Multipliers'!$L$3:$N$6,2,FALSE)))</f>
        <v/>
      </c>
      <c r="W20" s="368" t="str">
        <f>IF(U20="","",IF(VLOOKUP(U20,'G-3 Multipliers'!$L$3:$N$6,3,FALSE)=0,"Spatial Data Missing ⚠",VLOOKUP(U20,'G-3 Multipliers'!$L$3:$N$6,3,FALSE)))</f>
        <v/>
      </c>
      <c r="X20" s="362" t="str">
        <f>IFERROR(IF(OR(LEFT(O20,5)="Error",LEFT(N20,5)="Error",T20="Error"),"Check Data ⚠",IF(F20&lt;R20,INDEX('G-6 Hedgerow Data'!$S$3:$AE$14,MATCH(C20,'G-6 Hedgerow Data'!$B$3:$B$14,0),MATCH(M20,'G-6 Hedgerow Data'!$S$2:$AE$2,0)),INDEX('G-6 Hedgerow Data'!$K$3:$Q$14,MATCH(M20,'G-6 Hedgerow Data'!$B$3:$B$14,0),MATCH(O20,'G-6 Hedgerow Data'!$K$2:$Q$2,0)))),"")</f>
        <v/>
      </c>
      <c r="Y20" s="159"/>
      <c r="Z20" s="159"/>
      <c r="AA20" s="370" t="str">
        <f t="shared" si="3"/>
        <v/>
      </c>
      <c r="AB20" s="383" t="str">
        <f t="shared" si="4"/>
        <v/>
      </c>
      <c r="AC20" s="384" t="str">
        <f t="shared" si="1"/>
        <v/>
      </c>
      <c r="AD20" s="398" t="str">
        <f>IF(M20="","",VLOOKUP(M20,'G-6 Hedgerow Data'!$B$3:$AG$15,31,FALSE))</f>
        <v/>
      </c>
      <c r="AE20" s="382" t="str">
        <f t="shared" si="5"/>
        <v/>
      </c>
      <c r="AF20" s="382" t="str">
        <f t="shared" si="6"/>
        <v/>
      </c>
      <c r="AG20" s="386" t="str">
        <f>IFERROR(IF(O20="","",VLOOKUP(AD20,'G-3 Multipliers'!$P$3:$Q$6,2,FALSE)),"")</f>
        <v/>
      </c>
      <c r="AH20" s="160"/>
      <c r="AI20" s="363" t="str">
        <f>IF(AH20="","",IF(VLOOKUP(AH20,'G-3 Multipliers'!$S$3:$T$10,2,FALSE)=0,"Spatial Data Missing ⚠",VLOOKUP(AH20,'G-3 Multipliers'!$S$3:$T$10,2,FALSE)))</f>
        <v/>
      </c>
      <c r="AJ20" s="405" t="str">
        <f t="shared" si="7"/>
        <v/>
      </c>
      <c r="AK20" s="376" t="str">
        <f t="shared" si="8"/>
        <v/>
      </c>
      <c r="AL20" s="117"/>
      <c r="AM20" s="118"/>
      <c r="AN20" s="120"/>
      <c r="AO20" s="120"/>
      <c r="AQ20" s="30" t="str">
        <f>IFERROR(INDEX('G-6 Hedgerow Data'!$BJ$3:$BJ$15,MATCH(M20,'G-6 Hedgerow Data'!$B$3:$B$15,0)),"")</f>
        <v/>
      </c>
    </row>
    <row r="21" spans="2:43" ht="15">
      <c r="B21" s="392" t="str">
        <f>'E-1 Off-Site Hedge Baseline'!AN19</f>
        <v/>
      </c>
      <c r="C21" s="382" t="str">
        <f>IF(B21="","",IF(ISNA(VLOOKUP($B21,'E-1 Off-Site Hedge Baseline'!$B$1:$L$257,3,FALSE)),"",(VLOOKUP($B21,'E-1 Off-Site Hedge Baseline'!$B$1:$L$257,3,FALSE))))</f>
        <v/>
      </c>
      <c r="D21" s="382" t="str">
        <f>IF(B21="","",IF(ISNA(VLOOKUP($B21,'E-1 Off-Site Hedge Baseline'!$B$1:$L$258,4,FALSE)),"",(VLOOKUP($B21,'E-1 Off-Site Hedge Baseline'!$B$1:$L$258,4,FALSE))))</f>
        <v/>
      </c>
      <c r="E21" s="382" t="str">
        <f>IF(B21="","",IF(ISNA(VLOOKUP($B21,'E-1 Off-Site Hedge Baseline'!$B$1:$L$257,5,FALSE)),"",(VLOOKUP($B21,'E-1 Off-Site Hedge Baseline'!$B$1:$L$257,5,FALSE))))</f>
        <v/>
      </c>
      <c r="F21" s="382" t="str">
        <f>IF(B21="","",IF(ISNA(VLOOKUP($B21,'E-1 Off-Site Hedge Baseline'!$B$1:$L$257,6,FALSE)),"",(VLOOKUP($B21,'E-1 Off-Site Hedge Baseline'!$B$1:$L$257,6,FALSE))))</f>
        <v/>
      </c>
      <c r="G21" s="382" t="str">
        <f>IF(B21="","",IF(ISNA(VLOOKUP($B21,'E-1 Off-Site Hedge Baseline'!$B$1:$L$257,7,FALSE)),"",(VLOOKUP($B21,'E-1 Off-Site Hedge Baseline'!$B$1:$L$257,7,FALSE))))</f>
        <v/>
      </c>
      <c r="H21" s="382" t="str">
        <f>IF(B21="","",IF(ISNA(VLOOKUP($B21,'E-1 Off-Site Hedge Baseline'!$B$1:$L$257,8,FALSE)),"",(VLOOKUP($B21,'E-1 Off-Site Hedge Baseline'!$B$1:$L$257,8,FALSE))))</f>
        <v/>
      </c>
      <c r="I21" s="382" t="str">
        <f>IF(B21="","",IF(ISNA(VLOOKUP($B21,'E-1 Off-Site Hedge Baseline'!$B$1:$L$257,10,FALSE)),"",(VLOOKUP($B21,'E-1 Off-Site Hedge Baseline'!$B$1:$L$257,10,FALSE))))</f>
        <v/>
      </c>
      <c r="J21" s="382" t="str">
        <f>IF(B21="","",IF(ISNA(VLOOKUP($B21,'E-1 Off-Site Hedge Baseline'!$B$1:$L$257,11,FALSE)),"",(VLOOKUP($B21,'E-1 Off-Site Hedge Baseline'!$B$1:$L$257,11,FALSE))))</f>
        <v/>
      </c>
      <c r="K21" s="382" t="str">
        <f>IF(B21="","",IF(ISNA(VLOOKUP($B21,'E-1 Off-Site Hedge Baseline'!$B$1:$X$257,113,FALSE)),"",(VLOOKUP($B21,'E-1 Off-Site Hedge Baseline'!$B$1:$X$257,13,FALSE))))</f>
        <v/>
      </c>
      <c r="L21" s="370" t="str">
        <f>IF(B21="","",IF(ISNA(VLOOKUP($B21,'E-1 Off-Site Hedge Baseline'!$B$1:$X$257,12,FALSE)),"",(VLOOKUP($B21,'E-1 Off-Site Hedge Baseline'!$B$1:$X$257,12,FALSE))))</f>
        <v/>
      </c>
      <c r="M21" s="316" t="str">
        <f t="shared" si="0"/>
        <v/>
      </c>
      <c r="N21" s="362" t="str">
        <f>IFERROR(IF(B21="","",INDEX('G-6 Hedgerow Data'!$AN$3:$AZ$15,MATCH(C21,'G-6 Hedgerow Data'!$AM$3:$AM$15,0),MATCH(M21,'G-6 Hedgerow Data'!$AN$2:$AZ$2,0))),"")</f>
        <v/>
      </c>
      <c r="O21" s="363" t="str">
        <f t="shared" si="2"/>
        <v/>
      </c>
      <c r="P21" s="368" t="str">
        <f>IF(B21="","",VLOOKUP(B21,'E-1 Off-Site Hedge Baseline'!$B$10:W266,19,FALSE))</f>
        <v/>
      </c>
      <c r="Q21" s="362" t="str">
        <f>IF(M21="","",VLOOKUP(M21,'G-6 Hedgerow Data'!$B$2:$AG$15,2,FALSE))</f>
        <v/>
      </c>
      <c r="R21" s="363" t="str">
        <f>IF(M21="","",VLOOKUP(M21,'G-6 Hedgerow Data'!$B$2:$AG$15,3,FALSE))</f>
        <v/>
      </c>
      <c r="S21" s="55"/>
      <c r="T21" s="363" t="str">
        <f>IFERROR(IF(AND(Q21="V.Low",OR(S21="Good",S21="Moderate")),"Error ▲",VLOOKUP(S21,'G-1 All Habitats'!$Z$2:$AA$9,2,FALSE)),"")</f>
        <v/>
      </c>
      <c r="U21" s="115"/>
      <c r="V21" s="370" t="str">
        <f>IF(U21="","",IF(VLOOKUP(U21,'G-3 Multipliers'!$L$3:$N$6,2,FALSE)=0,"Spatial Data Missing ⚠",VLOOKUP(U21,'G-3 Multipliers'!$L$3:$N$6,2,FALSE)))</f>
        <v/>
      </c>
      <c r="W21" s="368" t="str">
        <f>IF(U21="","",IF(VLOOKUP(U21,'G-3 Multipliers'!$L$3:$N$6,3,FALSE)=0,"Spatial Data Missing ⚠",VLOOKUP(U21,'G-3 Multipliers'!$L$3:$N$6,3,FALSE)))</f>
        <v/>
      </c>
      <c r="X21" s="362" t="str">
        <f>IFERROR(IF(OR(LEFT(O21,5)="Error",LEFT(N21,5)="Error",T21="Error"),"Check Data ⚠",IF(F21&lt;R21,INDEX('G-6 Hedgerow Data'!$S$3:$AE$14,MATCH(C21,'G-6 Hedgerow Data'!$B$3:$B$14,0),MATCH(M21,'G-6 Hedgerow Data'!$S$2:$AE$2,0)),INDEX('G-6 Hedgerow Data'!$K$3:$Q$14,MATCH(M21,'G-6 Hedgerow Data'!$B$3:$B$14,0),MATCH(O21,'G-6 Hedgerow Data'!$K$2:$Q$2,0)))),"")</f>
        <v/>
      </c>
      <c r="Y21" s="159"/>
      <c r="Z21" s="159"/>
      <c r="AA21" s="370" t="str">
        <f t="shared" si="3"/>
        <v/>
      </c>
      <c r="AB21" s="383" t="str">
        <f t="shared" si="4"/>
        <v/>
      </c>
      <c r="AC21" s="384" t="str">
        <f t="shared" si="1"/>
        <v/>
      </c>
      <c r="AD21" s="398" t="str">
        <f>IF(M21="","",VLOOKUP(M21,'G-6 Hedgerow Data'!$B$3:$AG$15,31,FALSE))</f>
        <v/>
      </c>
      <c r="AE21" s="382" t="str">
        <f t="shared" si="5"/>
        <v/>
      </c>
      <c r="AF21" s="382" t="str">
        <f t="shared" si="6"/>
        <v/>
      </c>
      <c r="AG21" s="386" t="str">
        <f>IFERROR(IF(O21="","",VLOOKUP(AD21,'G-3 Multipliers'!$P$3:$Q$6,2,FALSE)),"")</f>
        <v/>
      </c>
      <c r="AH21" s="160"/>
      <c r="AI21" s="363" t="str">
        <f>IF(AH21="","",IF(VLOOKUP(AH21,'G-3 Multipliers'!$S$3:$T$10,2,FALSE)=0,"Spatial Data Missing ⚠",VLOOKUP(AH21,'G-3 Multipliers'!$S$3:$T$10,2,FALSE)))</f>
        <v/>
      </c>
      <c r="AJ21" s="405" t="str">
        <f t="shared" si="7"/>
        <v/>
      </c>
      <c r="AK21" s="376" t="str">
        <f t="shared" si="8"/>
        <v/>
      </c>
      <c r="AL21" s="117"/>
      <c r="AM21" s="118"/>
      <c r="AN21" s="120"/>
      <c r="AO21" s="120"/>
      <c r="AQ21" s="30" t="str">
        <f>IFERROR(INDEX('G-6 Hedgerow Data'!$BJ$3:$BJ$15,MATCH(M21,'G-6 Hedgerow Data'!$B$3:$B$15,0)),"")</f>
        <v/>
      </c>
    </row>
    <row r="22" spans="2:43" ht="15">
      <c r="B22" s="392" t="str">
        <f>'E-1 Off-Site Hedge Baseline'!AN20</f>
        <v/>
      </c>
      <c r="C22" s="382" t="str">
        <f>IF(B22="","",IF(ISNA(VLOOKUP($B22,'E-1 Off-Site Hedge Baseline'!$B$1:$L$257,3,FALSE)),"",(VLOOKUP($B22,'E-1 Off-Site Hedge Baseline'!$B$1:$L$257,3,FALSE))))</f>
        <v/>
      </c>
      <c r="D22" s="382" t="str">
        <f>IF(B22="","",IF(ISNA(VLOOKUP($B22,'E-1 Off-Site Hedge Baseline'!$B$1:$L$258,4,FALSE)),"",(VLOOKUP($B22,'E-1 Off-Site Hedge Baseline'!$B$1:$L$258,4,FALSE))))</f>
        <v/>
      </c>
      <c r="E22" s="382" t="str">
        <f>IF(B22="","",IF(ISNA(VLOOKUP($B22,'E-1 Off-Site Hedge Baseline'!$B$1:$L$257,5,FALSE)),"",(VLOOKUP($B22,'E-1 Off-Site Hedge Baseline'!$B$1:$L$257,5,FALSE))))</f>
        <v/>
      </c>
      <c r="F22" s="382" t="str">
        <f>IF(B22="","",IF(ISNA(VLOOKUP($B22,'E-1 Off-Site Hedge Baseline'!$B$1:$L$257,6,FALSE)),"",(VLOOKUP($B22,'E-1 Off-Site Hedge Baseline'!$B$1:$L$257,6,FALSE))))</f>
        <v/>
      </c>
      <c r="G22" s="382" t="str">
        <f>IF(B22="","",IF(ISNA(VLOOKUP($B22,'E-1 Off-Site Hedge Baseline'!$B$1:$L$257,7,FALSE)),"",(VLOOKUP($B22,'E-1 Off-Site Hedge Baseline'!$B$1:$L$257,7,FALSE))))</f>
        <v/>
      </c>
      <c r="H22" s="382" t="str">
        <f>IF(B22="","",IF(ISNA(VLOOKUP($B22,'E-1 Off-Site Hedge Baseline'!$B$1:$L$257,8,FALSE)),"",(VLOOKUP($B22,'E-1 Off-Site Hedge Baseline'!$B$1:$L$257,8,FALSE))))</f>
        <v/>
      </c>
      <c r="I22" s="382" t="str">
        <f>IF(B22="","",IF(ISNA(VLOOKUP($B22,'E-1 Off-Site Hedge Baseline'!$B$1:$L$257,10,FALSE)),"",(VLOOKUP($B22,'E-1 Off-Site Hedge Baseline'!$B$1:$L$257,10,FALSE))))</f>
        <v/>
      </c>
      <c r="J22" s="382" t="str">
        <f>IF(B22="","",IF(ISNA(VLOOKUP($B22,'E-1 Off-Site Hedge Baseline'!$B$1:$L$257,11,FALSE)),"",(VLOOKUP($B22,'E-1 Off-Site Hedge Baseline'!$B$1:$L$257,11,FALSE))))</f>
        <v/>
      </c>
      <c r="K22" s="382" t="str">
        <f>IF(B22="","",IF(ISNA(VLOOKUP($B22,'E-1 Off-Site Hedge Baseline'!$B$1:$X$257,113,FALSE)),"",(VLOOKUP($B22,'E-1 Off-Site Hedge Baseline'!$B$1:$X$257,13,FALSE))))</f>
        <v/>
      </c>
      <c r="L22" s="370" t="str">
        <f>IF(B22="","",IF(ISNA(VLOOKUP($B22,'E-1 Off-Site Hedge Baseline'!$B$1:$X$257,12,FALSE)),"",(VLOOKUP($B22,'E-1 Off-Site Hedge Baseline'!$B$1:$X$257,12,FALSE))))</f>
        <v/>
      </c>
      <c r="M22" s="316" t="str">
        <f t="shared" si="0"/>
        <v/>
      </c>
      <c r="N22" s="362" t="str">
        <f>IFERROR(IF(B22="","",INDEX('G-6 Hedgerow Data'!$AN$3:$AZ$15,MATCH(C22,'G-6 Hedgerow Data'!$AM$3:$AM$15,0),MATCH(M22,'G-6 Hedgerow Data'!$AN$2:$AZ$2,0))),"")</f>
        <v/>
      </c>
      <c r="O22" s="363" t="str">
        <f t="shared" si="2"/>
        <v/>
      </c>
      <c r="P22" s="368" t="str">
        <f>IF(B22="","",VLOOKUP(B22,'E-1 Off-Site Hedge Baseline'!$B$10:W267,19,FALSE))</f>
        <v/>
      </c>
      <c r="Q22" s="362" t="str">
        <f>IF(M22="","",VLOOKUP(M22,'G-6 Hedgerow Data'!$B$2:$AG$15,2,FALSE))</f>
        <v/>
      </c>
      <c r="R22" s="363" t="str">
        <f>IF(M22="","",VLOOKUP(M22,'G-6 Hedgerow Data'!$B$2:$AG$15,3,FALSE))</f>
        <v/>
      </c>
      <c r="S22" s="55"/>
      <c r="T22" s="363" t="str">
        <f>IFERROR(IF(AND(Q22="V.Low",OR(S22="Good",S22="Moderate")),"Error ▲",VLOOKUP(S22,'G-1 All Habitats'!$Z$2:$AA$9,2,FALSE)),"")</f>
        <v/>
      </c>
      <c r="U22" s="115"/>
      <c r="V22" s="370" t="str">
        <f>IF(U22="","",IF(VLOOKUP(U22,'G-3 Multipliers'!$L$3:$N$6,2,FALSE)=0,"Spatial Data Missing ⚠",VLOOKUP(U22,'G-3 Multipliers'!$L$3:$N$6,2,FALSE)))</f>
        <v/>
      </c>
      <c r="W22" s="368" t="str">
        <f>IF(U22="","",IF(VLOOKUP(U22,'G-3 Multipliers'!$L$3:$N$6,3,FALSE)=0,"Spatial Data Missing ⚠",VLOOKUP(U22,'G-3 Multipliers'!$L$3:$N$6,3,FALSE)))</f>
        <v/>
      </c>
      <c r="X22" s="362" t="str">
        <f>IFERROR(IF(OR(LEFT(O22,5)="Error",LEFT(N22,5)="Error",T22="Error"),"Check Data ⚠",IF(F22&lt;R22,INDEX('G-6 Hedgerow Data'!$S$3:$AE$14,MATCH(C22,'G-6 Hedgerow Data'!$B$3:$B$14,0),MATCH(M22,'G-6 Hedgerow Data'!$S$2:$AE$2,0)),INDEX('G-6 Hedgerow Data'!$K$3:$Q$14,MATCH(M22,'G-6 Hedgerow Data'!$B$3:$B$14,0),MATCH(O22,'G-6 Hedgerow Data'!$K$2:$Q$2,0)))),"")</f>
        <v/>
      </c>
      <c r="Y22" s="159"/>
      <c r="Z22" s="159"/>
      <c r="AA22" s="370" t="str">
        <f t="shared" si="3"/>
        <v/>
      </c>
      <c r="AB22" s="383" t="str">
        <f t="shared" si="4"/>
        <v/>
      </c>
      <c r="AC22" s="384" t="str">
        <f t="shared" si="1"/>
        <v/>
      </c>
      <c r="AD22" s="398" t="str">
        <f>IF(M22="","",VLOOKUP(M22,'G-6 Hedgerow Data'!$B$3:$AG$15,31,FALSE))</f>
        <v/>
      </c>
      <c r="AE22" s="382" t="str">
        <f t="shared" si="5"/>
        <v/>
      </c>
      <c r="AF22" s="382" t="str">
        <f t="shared" si="6"/>
        <v/>
      </c>
      <c r="AG22" s="386" t="str">
        <f>IFERROR(IF(O22="","",VLOOKUP(AD22,'G-3 Multipliers'!$P$3:$Q$6,2,FALSE)),"")</f>
        <v/>
      </c>
      <c r="AH22" s="160"/>
      <c r="AI22" s="363" t="str">
        <f>IF(AH22="","",IF(VLOOKUP(AH22,'G-3 Multipliers'!$S$3:$T$10,2,FALSE)=0,"Spatial Data Missing ⚠",VLOOKUP(AH22,'G-3 Multipliers'!$S$3:$T$10,2,FALSE)))</f>
        <v/>
      </c>
      <c r="AJ22" s="405" t="str">
        <f t="shared" si="7"/>
        <v/>
      </c>
      <c r="AK22" s="376" t="str">
        <f t="shared" si="8"/>
        <v/>
      </c>
      <c r="AL22" s="117"/>
      <c r="AM22" s="118"/>
      <c r="AN22" s="120"/>
      <c r="AO22" s="120"/>
      <c r="AQ22" s="30" t="str">
        <f>IFERROR(INDEX('G-6 Hedgerow Data'!$BJ$3:$BJ$15,MATCH(M22,'G-6 Hedgerow Data'!$B$3:$B$15,0)),"")</f>
        <v/>
      </c>
    </row>
    <row r="23" spans="2:43" ht="15">
      <c r="B23" s="392" t="str">
        <f>'E-1 Off-Site Hedge Baseline'!AN21</f>
        <v/>
      </c>
      <c r="C23" s="382" t="str">
        <f>IF(B23="","",IF(ISNA(VLOOKUP($B23,'E-1 Off-Site Hedge Baseline'!$B$1:$L$257,3,FALSE)),"",(VLOOKUP($B23,'E-1 Off-Site Hedge Baseline'!$B$1:$L$257,3,FALSE))))</f>
        <v/>
      </c>
      <c r="D23" s="382" t="str">
        <f>IF(B23="","",IF(ISNA(VLOOKUP($B23,'E-1 Off-Site Hedge Baseline'!$B$1:$L$258,4,FALSE)),"",(VLOOKUP($B23,'E-1 Off-Site Hedge Baseline'!$B$1:$L$258,4,FALSE))))</f>
        <v/>
      </c>
      <c r="E23" s="382" t="str">
        <f>IF(B23="","",IF(ISNA(VLOOKUP($B23,'E-1 Off-Site Hedge Baseline'!$B$1:$L$257,5,FALSE)),"",(VLOOKUP($B23,'E-1 Off-Site Hedge Baseline'!$B$1:$L$257,5,FALSE))))</f>
        <v/>
      </c>
      <c r="F23" s="382" t="str">
        <f>IF(B23="","",IF(ISNA(VLOOKUP($B23,'E-1 Off-Site Hedge Baseline'!$B$1:$L$257,6,FALSE)),"",(VLOOKUP($B23,'E-1 Off-Site Hedge Baseline'!$B$1:$L$257,6,FALSE))))</f>
        <v/>
      </c>
      <c r="G23" s="382" t="str">
        <f>IF(B23="","",IF(ISNA(VLOOKUP($B23,'E-1 Off-Site Hedge Baseline'!$B$1:$L$257,7,FALSE)),"",(VLOOKUP($B23,'E-1 Off-Site Hedge Baseline'!$B$1:$L$257,7,FALSE))))</f>
        <v/>
      </c>
      <c r="H23" s="382" t="str">
        <f>IF(B23="","",IF(ISNA(VLOOKUP($B23,'E-1 Off-Site Hedge Baseline'!$B$1:$L$257,8,FALSE)),"",(VLOOKUP($B23,'E-1 Off-Site Hedge Baseline'!$B$1:$L$257,8,FALSE))))</f>
        <v/>
      </c>
      <c r="I23" s="382" t="str">
        <f>IF(B23="","",IF(ISNA(VLOOKUP($B23,'E-1 Off-Site Hedge Baseline'!$B$1:$L$257,10,FALSE)),"",(VLOOKUP($B23,'E-1 Off-Site Hedge Baseline'!$B$1:$L$257,10,FALSE))))</f>
        <v/>
      </c>
      <c r="J23" s="382" t="str">
        <f>IF(B23="","",IF(ISNA(VLOOKUP($B23,'E-1 Off-Site Hedge Baseline'!$B$1:$L$257,11,FALSE)),"",(VLOOKUP($B23,'E-1 Off-Site Hedge Baseline'!$B$1:$L$257,11,FALSE))))</f>
        <v/>
      </c>
      <c r="K23" s="382" t="str">
        <f>IF(B23="","",IF(ISNA(VLOOKUP($B23,'E-1 Off-Site Hedge Baseline'!$B$1:$X$257,113,FALSE)),"",(VLOOKUP($B23,'E-1 Off-Site Hedge Baseline'!$B$1:$X$257,13,FALSE))))</f>
        <v/>
      </c>
      <c r="L23" s="370" t="str">
        <f>IF(B23="","",IF(ISNA(VLOOKUP($B23,'E-1 Off-Site Hedge Baseline'!$B$1:$X$257,12,FALSE)),"",(VLOOKUP($B23,'E-1 Off-Site Hedge Baseline'!$B$1:$X$257,12,FALSE))))</f>
        <v/>
      </c>
      <c r="M23" s="316" t="str">
        <f t="shared" si="0"/>
        <v/>
      </c>
      <c r="N23" s="362" t="str">
        <f>IFERROR(IF(B23="","",INDEX('G-6 Hedgerow Data'!$AN$3:$AZ$15,MATCH(C23,'G-6 Hedgerow Data'!$AM$3:$AM$15,0),MATCH(M23,'G-6 Hedgerow Data'!$AN$2:$AZ$2,0))),"")</f>
        <v/>
      </c>
      <c r="O23" s="363" t="str">
        <f t="shared" si="2"/>
        <v/>
      </c>
      <c r="P23" s="368" t="str">
        <f>IF(B23="","",VLOOKUP(B23,'E-1 Off-Site Hedge Baseline'!$B$10:W268,19,FALSE))</f>
        <v/>
      </c>
      <c r="Q23" s="362" t="str">
        <f>IF(M23="","",VLOOKUP(M23,'G-6 Hedgerow Data'!$B$2:$AG$15,2,FALSE))</f>
        <v/>
      </c>
      <c r="R23" s="363" t="str">
        <f>IF(M23="","",VLOOKUP(M23,'G-6 Hedgerow Data'!$B$2:$AG$15,3,FALSE))</f>
        <v/>
      </c>
      <c r="S23" s="55"/>
      <c r="T23" s="363" t="str">
        <f>IFERROR(IF(AND(Q23="V.Low",OR(S23="Good",S23="Moderate")),"Error ▲",VLOOKUP(S23,'G-1 All Habitats'!$Z$2:$AA$9,2,FALSE)),"")</f>
        <v/>
      </c>
      <c r="U23" s="115"/>
      <c r="V23" s="370" t="str">
        <f>IF(U23="","",IF(VLOOKUP(U23,'G-3 Multipliers'!$L$3:$N$6,2,FALSE)=0,"Spatial Data Missing ⚠",VLOOKUP(U23,'G-3 Multipliers'!$L$3:$N$6,2,FALSE)))</f>
        <v/>
      </c>
      <c r="W23" s="368" t="str">
        <f>IF(U23="","",IF(VLOOKUP(U23,'G-3 Multipliers'!$L$3:$N$6,3,FALSE)=0,"Spatial Data Missing ⚠",VLOOKUP(U23,'G-3 Multipliers'!$L$3:$N$6,3,FALSE)))</f>
        <v/>
      </c>
      <c r="X23" s="362" t="str">
        <f>IFERROR(IF(OR(LEFT(O23,5)="Error",LEFT(N23,5)="Error",T23="Error"),"Check Data ⚠",IF(F23&lt;R23,INDEX('G-6 Hedgerow Data'!$S$3:$AE$14,MATCH(C23,'G-6 Hedgerow Data'!$B$3:$B$14,0),MATCH(M23,'G-6 Hedgerow Data'!$S$2:$AE$2,0)),INDEX('G-6 Hedgerow Data'!$K$3:$Q$14,MATCH(M23,'G-6 Hedgerow Data'!$B$3:$B$14,0),MATCH(O23,'G-6 Hedgerow Data'!$K$2:$Q$2,0)))),"")</f>
        <v/>
      </c>
      <c r="Y23" s="159"/>
      <c r="Z23" s="159"/>
      <c r="AA23" s="370" t="str">
        <f t="shared" si="3"/>
        <v/>
      </c>
      <c r="AB23" s="383" t="str">
        <f t="shared" si="4"/>
        <v/>
      </c>
      <c r="AC23" s="384" t="str">
        <f t="shared" si="1"/>
        <v/>
      </c>
      <c r="AD23" s="398" t="str">
        <f>IF(M23="","",VLOOKUP(M23,'G-6 Hedgerow Data'!$B$3:$AG$15,31,FALSE))</f>
        <v/>
      </c>
      <c r="AE23" s="382" t="str">
        <f t="shared" si="5"/>
        <v/>
      </c>
      <c r="AF23" s="382" t="str">
        <f t="shared" si="6"/>
        <v/>
      </c>
      <c r="AG23" s="386" t="str">
        <f>IFERROR(IF(O23="","",VLOOKUP(AD23,'G-3 Multipliers'!$P$3:$Q$6,2,FALSE)),"")</f>
        <v/>
      </c>
      <c r="AH23" s="160"/>
      <c r="AI23" s="363" t="str">
        <f>IF(AH23="","",IF(VLOOKUP(AH23,'G-3 Multipliers'!$S$3:$T$10,2,FALSE)=0,"Spatial Data Missing ⚠",VLOOKUP(AH23,'G-3 Multipliers'!$S$3:$T$10,2,FALSE)))</f>
        <v/>
      </c>
      <c r="AJ23" s="405" t="str">
        <f t="shared" si="7"/>
        <v/>
      </c>
      <c r="AK23" s="376" t="str">
        <f t="shared" si="8"/>
        <v/>
      </c>
      <c r="AL23" s="117"/>
      <c r="AM23" s="118"/>
      <c r="AN23" s="120"/>
      <c r="AO23" s="120"/>
      <c r="AQ23" s="30" t="str">
        <f>IFERROR(INDEX('G-6 Hedgerow Data'!$BJ$3:$BJ$15,MATCH(M23,'G-6 Hedgerow Data'!$B$3:$B$15,0)),"")</f>
        <v/>
      </c>
    </row>
    <row r="24" spans="2:43" ht="15">
      <c r="B24" s="392" t="str">
        <f>'E-1 Off-Site Hedge Baseline'!AN22</f>
        <v/>
      </c>
      <c r="C24" s="382" t="str">
        <f>IF(B24="","",IF(ISNA(VLOOKUP($B24,'E-1 Off-Site Hedge Baseline'!$B$1:$L$257,3,FALSE)),"",(VLOOKUP($B24,'E-1 Off-Site Hedge Baseline'!$B$1:$L$257,3,FALSE))))</f>
        <v/>
      </c>
      <c r="D24" s="382" t="str">
        <f>IF(B24="","",IF(ISNA(VLOOKUP($B24,'E-1 Off-Site Hedge Baseline'!$B$1:$L$258,4,FALSE)),"",(VLOOKUP($B24,'E-1 Off-Site Hedge Baseline'!$B$1:$L$258,4,FALSE))))</f>
        <v/>
      </c>
      <c r="E24" s="382" t="str">
        <f>IF(B24="","",IF(ISNA(VLOOKUP($B24,'E-1 Off-Site Hedge Baseline'!$B$1:$L$257,5,FALSE)),"",(VLOOKUP($B24,'E-1 Off-Site Hedge Baseline'!$B$1:$L$257,5,FALSE))))</f>
        <v/>
      </c>
      <c r="F24" s="382" t="str">
        <f>IF(B24="","",IF(ISNA(VLOOKUP($B24,'E-1 Off-Site Hedge Baseline'!$B$1:$L$257,6,FALSE)),"",(VLOOKUP($B24,'E-1 Off-Site Hedge Baseline'!$B$1:$L$257,6,FALSE))))</f>
        <v/>
      </c>
      <c r="G24" s="382" t="str">
        <f>IF(B24="","",IF(ISNA(VLOOKUP($B24,'E-1 Off-Site Hedge Baseline'!$B$1:$L$257,7,FALSE)),"",(VLOOKUP($B24,'E-1 Off-Site Hedge Baseline'!$B$1:$L$257,7,FALSE))))</f>
        <v/>
      </c>
      <c r="H24" s="382" t="str">
        <f>IF(B24="","",IF(ISNA(VLOOKUP($B24,'E-1 Off-Site Hedge Baseline'!$B$1:$L$257,8,FALSE)),"",(VLOOKUP($B24,'E-1 Off-Site Hedge Baseline'!$B$1:$L$257,8,FALSE))))</f>
        <v/>
      </c>
      <c r="I24" s="382" t="str">
        <f>IF(B24="","",IF(ISNA(VLOOKUP($B24,'E-1 Off-Site Hedge Baseline'!$B$1:$L$257,10,FALSE)),"",(VLOOKUP($B24,'E-1 Off-Site Hedge Baseline'!$B$1:$L$257,10,FALSE))))</f>
        <v/>
      </c>
      <c r="J24" s="382" t="str">
        <f>IF(B24="","",IF(ISNA(VLOOKUP($B24,'E-1 Off-Site Hedge Baseline'!$B$1:$L$257,11,FALSE)),"",(VLOOKUP($B24,'E-1 Off-Site Hedge Baseline'!$B$1:$L$257,11,FALSE))))</f>
        <v/>
      </c>
      <c r="K24" s="382" t="str">
        <f>IF(B24="","",IF(ISNA(VLOOKUP($B24,'E-1 Off-Site Hedge Baseline'!$B$1:$X$257,113,FALSE)),"",(VLOOKUP($B24,'E-1 Off-Site Hedge Baseline'!$B$1:$X$257,13,FALSE))))</f>
        <v/>
      </c>
      <c r="L24" s="370" t="str">
        <f>IF(B24="","",IF(ISNA(VLOOKUP($B24,'E-1 Off-Site Hedge Baseline'!$B$1:$X$257,12,FALSE)),"",(VLOOKUP($B24,'E-1 Off-Site Hedge Baseline'!$B$1:$X$257,12,FALSE))))</f>
        <v/>
      </c>
      <c r="M24" s="316" t="str">
        <f t="shared" si="0"/>
        <v/>
      </c>
      <c r="N24" s="362" t="str">
        <f>IFERROR(IF(B24="","",INDEX('G-6 Hedgerow Data'!$AN$3:$AZ$15,MATCH(C24,'G-6 Hedgerow Data'!$AM$3:$AM$15,0),MATCH(M24,'G-6 Hedgerow Data'!$AN$2:$AZ$2,0))),"")</f>
        <v/>
      </c>
      <c r="O24" s="363" t="str">
        <f t="shared" si="2"/>
        <v/>
      </c>
      <c r="P24" s="368" t="str">
        <f>IF(B24="","",VLOOKUP(B24,'E-1 Off-Site Hedge Baseline'!$B$10:W269,19,FALSE))</f>
        <v/>
      </c>
      <c r="Q24" s="362" t="str">
        <f>IF(M24="","",VLOOKUP(M24,'G-6 Hedgerow Data'!$B$2:$AG$15,2,FALSE))</f>
        <v/>
      </c>
      <c r="R24" s="363" t="str">
        <f>IF(M24="","",VLOOKUP(M24,'G-6 Hedgerow Data'!$B$2:$AG$15,3,FALSE))</f>
        <v/>
      </c>
      <c r="S24" s="114"/>
      <c r="T24" s="363" t="str">
        <f>IFERROR(IF(AND(Q24="V.Low",OR(S24="Good",S24="Moderate")),"Error ▲",VLOOKUP(S24,'G-1 All Habitats'!$Z$2:$AA$9,2,FALSE)),"")</f>
        <v/>
      </c>
      <c r="U24" s="115"/>
      <c r="V24" s="370" t="str">
        <f>IF(U24="","",IF(VLOOKUP(U24,'G-3 Multipliers'!$L$3:$N$6,2,FALSE)=0,"Spatial Data Missing ⚠",VLOOKUP(U24,'G-3 Multipliers'!$L$3:$N$6,2,FALSE)))</f>
        <v/>
      </c>
      <c r="W24" s="368" t="str">
        <f>IF(U24="","",IF(VLOOKUP(U24,'G-3 Multipliers'!$L$3:$N$6,3,FALSE)=0,"Spatial Data Missing ⚠",VLOOKUP(U24,'G-3 Multipliers'!$L$3:$N$6,3,FALSE)))</f>
        <v/>
      </c>
      <c r="X24" s="362" t="str">
        <f>IFERROR(IF(OR(LEFT(O24,5)="Error",LEFT(N24,5)="Error",T24="Error"),"Check Data ⚠",IF(F24&lt;R24,INDEX('G-6 Hedgerow Data'!$S$3:$AE$14,MATCH(C24,'G-6 Hedgerow Data'!$B$3:$B$14,0),MATCH(M24,'G-6 Hedgerow Data'!$S$2:$AE$2,0)),INDEX('G-6 Hedgerow Data'!$K$3:$Q$14,MATCH(M24,'G-6 Hedgerow Data'!$B$3:$B$14,0),MATCH(O24,'G-6 Hedgerow Data'!$K$2:$Q$2,0)))),"")</f>
        <v/>
      </c>
      <c r="Y24" s="159"/>
      <c r="Z24" s="159"/>
      <c r="AA24" s="370" t="str">
        <f t="shared" si="3"/>
        <v/>
      </c>
      <c r="AB24" s="383" t="str">
        <f t="shared" si="4"/>
        <v/>
      </c>
      <c r="AC24" s="384" t="str">
        <f t="shared" si="1"/>
        <v/>
      </c>
      <c r="AD24" s="398" t="str">
        <f>IF(M24="","",VLOOKUP(M24,'G-6 Hedgerow Data'!$B$3:$AG$15,31,FALSE))</f>
        <v/>
      </c>
      <c r="AE24" s="382" t="str">
        <f t="shared" si="5"/>
        <v/>
      </c>
      <c r="AF24" s="382" t="str">
        <f t="shared" si="6"/>
        <v/>
      </c>
      <c r="AG24" s="386" t="str">
        <f>IFERROR(IF(O24="","",VLOOKUP(AD24,'G-3 Multipliers'!$P$3:$Q$6,2,FALSE)),"")</f>
        <v/>
      </c>
      <c r="AH24" s="160"/>
      <c r="AI24" s="363" t="str">
        <f>IF(AH24="","",IF(VLOOKUP(AH24,'G-3 Multipliers'!$S$3:$T$10,2,FALSE)=0,"Spatial Data Missing ⚠",VLOOKUP(AH24,'G-3 Multipliers'!$S$3:$T$10,2,FALSE)))</f>
        <v/>
      </c>
      <c r="AJ24" s="405" t="str">
        <f t="shared" si="7"/>
        <v/>
      </c>
      <c r="AK24" s="376" t="str">
        <f t="shared" si="8"/>
        <v/>
      </c>
      <c r="AL24" s="117"/>
      <c r="AM24" s="118"/>
      <c r="AN24" s="120"/>
      <c r="AO24" s="120"/>
      <c r="AQ24" s="30" t="str">
        <f>IFERROR(INDEX('G-6 Hedgerow Data'!$BJ$3:$BJ$15,MATCH(M24,'G-6 Hedgerow Data'!$B$3:$B$15,0)),"")</f>
        <v/>
      </c>
    </row>
    <row r="25" spans="2:43" ht="15">
      <c r="B25" s="392" t="str">
        <f>'E-1 Off-Site Hedge Baseline'!AN23</f>
        <v/>
      </c>
      <c r="C25" s="382" t="str">
        <f>IF(B25="","",IF(ISNA(VLOOKUP($B25,'E-1 Off-Site Hedge Baseline'!$B$1:$L$257,3,FALSE)),"",(VLOOKUP($B25,'E-1 Off-Site Hedge Baseline'!$B$1:$L$257,3,FALSE))))</f>
        <v/>
      </c>
      <c r="D25" s="382" t="str">
        <f>IF(B25="","",IF(ISNA(VLOOKUP($B25,'E-1 Off-Site Hedge Baseline'!$B$1:$L$258,4,FALSE)),"",(VLOOKUP($B25,'E-1 Off-Site Hedge Baseline'!$B$1:$L$258,4,FALSE))))</f>
        <v/>
      </c>
      <c r="E25" s="382" t="str">
        <f>IF(B25="","",IF(ISNA(VLOOKUP($B25,'E-1 Off-Site Hedge Baseline'!$B$1:$L$257,5,FALSE)),"",(VLOOKUP($B25,'E-1 Off-Site Hedge Baseline'!$B$1:$L$257,5,FALSE))))</f>
        <v/>
      </c>
      <c r="F25" s="382" t="str">
        <f>IF(B25="","",IF(ISNA(VLOOKUP($B25,'E-1 Off-Site Hedge Baseline'!$B$1:$L$257,6,FALSE)),"",(VLOOKUP($B25,'E-1 Off-Site Hedge Baseline'!$B$1:$L$257,6,FALSE))))</f>
        <v/>
      </c>
      <c r="G25" s="382" t="str">
        <f>IF(B25="","",IF(ISNA(VLOOKUP($B25,'E-1 Off-Site Hedge Baseline'!$B$1:$L$257,7,FALSE)),"",(VLOOKUP($B25,'E-1 Off-Site Hedge Baseline'!$B$1:$L$257,7,FALSE))))</f>
        <v/>
      </c>
      <c r="H25" s="382" t="str">
        <f>IF(B25="","",IF(ISNA(VLOOKUP($B25,'E-1 Off-Site Hedge Baseline'!$B$1:$L$257,8,FALSE)),"",(VLOOKUP($B25,'E-1 Off-Site Hedge Baseline'!$B$1:$L$257,8,FALSE))))</f>
        <v/>
      </c>
      <c r="I25" s="382" t="str">
        <f>IF(B25="","",IF(ISNA(VLOOKUP($B25,'E-1 Off-Site Hedge Baseline'!$B$1:$L$257,10,FALSE)),"",(VLOOKUP($B25,'E-1 Off-Site Hedge Baseline'!$B$1:$L$257,10,FALSE))))</f>
        <v/>
      </c>
      <c r="J25" s="382" t="str">
        <f>IF(B25="","",IF(ISNA(VLOOKUP($B25,'E-1 Off-Site Hedge Baseline'!$B$1:$L$257,11,FALSE)),"",(VLOOKUP($B25,'E-1 Off-Site Hedge Baseline'!$B$1:$L$257,11,FALSE))))</f>
        <v/>
      </c>
      <c r="K25" s="382" t="str">
        <f>IF(B25="","",IF(ISNA(VLOOKUP($B25,'E-1 Off-Site Hedge Baseline'!$B$1:$X$257,113,FALSE)),"",(VLOOKUP($B25,'E-1 Off-Site Hedge Baseline'!$B$1:$X$257,13,FALSE))))</f>
        <v/>
      </c>
      <c r="L25" s="370" t="str">
        <f>IF(B25="","",IF(ISNA(VLOOKUP($B25,'E-1 Off-Site Hedge Baseline'!$B$1:$X$257,12,FALSE)),"",(VLOOKUP($B25,'E-1 Off-Site Hedge Baseline'!$B$1:$X$257,12,FALSE))))</f>
        <v/>
      </c>
      <c r="M25" s="316" t="str">
        <f t="shared" si="0"/>
        <v/>
      </c>
      <c r="N25" s="362" t="str">
        <f>IFERROR(IF(B25="","",INDEX('G-6 Hedgerow Data'!$AN$3:$AZ$15,MATCH(C25,'G-6 Hedgerow Data'!$AM$3:$AM$15,0),MATCH(M25,'G-6 Hedgerow Data'!$AN$2:$AZ$2,0))),"")</f>
        <v/>
      </c>
      <c r="O25" s="363" t="str">
        <f t="shared" si="2"/>
        <v/>
      </c>
      <c r="P25" s="368" t="str">
        <f>IF(B25="","",VLOOKUP(B25,'E-1 Off-Site Hedge Baseline'!$B$10:W270,19,FALSE))</f>
        <v/>
      </c>
      <c r="Q25" s="362" t="str">
        <f>IF(M25="","",VLOOKUP(M25,'G-6 Hedgerow Data'!$B$2:$AG$15,2,FALSE))</f>
        <v/>
      </c>
      <c r="R25" s="363" t="str">
        <f>IF(M25="","",VLOOKUP(M25,'G-6 Hedgerow Data'!$B$2:$AG$15,3,FALSE))</f>
        <v/>
      </c>
      <c r="S25" s="114"/>
      <c r="T25" s="363" t="str">
        <f>IFERROR(IF(AND(Q25="V.Low",OR(S25="Good",S25="Moderate")),"Error ▲",VLOOKUP(S25,'G-1 All Habitats'!$Z$2:$AA$9,2,FALSE)),"")</f>
        <v/>
      </c>
      <c r="U25" s="115"/>
      <c r="V25" s="370" t="str">
        <f>IF(U25="","",IF(VLOOKUP(U25,'G-3 Multipliers'!$L$3:$N$6,2,FALSE)=0,"Spatial Data Missing ⚠",VLOOKUP(U25,'G-3 Multipliers'!$L$3:$N$6,2,FALSE)))</f>
        <v/>
      </c>
      <c r="W25" s="368" t="str">
        <f>IF(U25="","",IF(VLOOKUP(U25,'G-3 Multipliers'!$L$3:$N$6,3,FALSE)=0,"Spatial Data Missing ⚠",VLOOKUP(U25,'G-3 Multipliers'!$L$3:$N$6,3,FALSE)))</f>
        <v/>
      </c>
      <c r="X25" s="362" t="str">
        <f>IFERROR(IF(OR(LEFT(O25,5)="Error",LEFT(N25,5)="Error",T25="Error"),"Check Data ⚠",IF(F25&lt;R25,INDEX('G-6 Hedgerow Data'!$S$3:$AE$14,MATCH(C25,'G-6 Hedgerow Data'!$B$3:$B$14,0),MATCH(M25,'G-6 Hedgerow Data'!$S$2:$AE$2,0)),INDEX('G-6 Hedgerow Data'!$K$3:$Q$14,MATCH(M25,'G-6 Hedgerow Data'!$B$3:$B$14,0),MATCH(O25,'G-6 Hedgerow Data'!$K$2:$Q$2,0)))),"")</f>
        <v/>
      </c>
      <c r="Y25" s="159"/>
      <c r="Z25" s="159"/>
      <c r="AA25" s="370" t="str">
        <f t="shared" si="3"/>
        <v/>
      </c>
      <c r="AB25" s="383" t="str">
        <f t="shared" si="4"/>
        <v/>
      </c>
      <c r="AC25" s="384" t="str">
        <f t="shared" si="1"/>
        <v/>
      </c>
      <c r="AD25" s="398" t="str">
        <f>IF(M25="","",VLOOKUP(M25,'G-6 Hedgerow Data'!$B$3:$AG$15,31,FALSE))</f>
        <v/>
      </c>
      <c r="AE25" s="382" t="str">
        <f t="shared" si="5"/>
        <v/>
      </c>
      <c r="AF25" s="382" t="str">
        <f t="shared" si="6"/>
        <v/>
      </c>
      <c r="AG25" s="386" t="str">
        <f>IFERROR(IF(O25="","",VLOOKUP(AD25,'G-3 Multipliers'!$P$3:$Q$6,2,FALSE)),"")</f>
        <v/>
      </c>
      <c r="AH25" s="160"/>
      <c r="AI25" s="363" t="str">
        <f>IF(AH25="","",IF(VLOOKUP(AH25,'G-3 Multipliers'!$S$3:$T$10,2,FALSE)=0,"Spatial Data Missing ⚠",VLOOKUP(AH25,'G-3 Multipliers'!$S$3:$T$10,2,FALSE)))</f>
        <v/>
      </c>
      <c r="AJ25" s="405" t="str">
        <f t="shared" si="7"/>
        <v/>
      </c>
      <c r="AK25" s="376" t="str">
        <f t="shared" si="8"/>
        <v/>
      </c>
      <c r="AL25" s="117"/>
      <c r="AM25" s="118"/>
      <c r="AN25" s="120"/>
      <c r="AO25" s="120"/>
      <c r="AQ25" s="30" t="str">
        <f>IFERROR(INDEX('G-6 Hedgerow Data'!$BJ$3:$BJ$15,MATCH(M25,'G-6 Hedgerow Data'!$B$3:$B$15,0)),"")</f>
        <v/>
      </c>
    </row>
    <row r="26" spans="2:43" ht="15">
      <c r="B26" s="392" t="str">
        <f>'E-1 Off-Site Hedge Baseline'!AN24</f>
        <v/>
      </c>
      <c r="C26" s="382" t="str">
        <f>IF(B26="","",IF(ISNA(VLOOKUP($B26,'E-1 Off-Site Hedge Baseline'!$B$1:$L$257,3,FALSE)),"",(VLOOKUP($B26,'E-1 Off-Site Hedge Baseline'!$B$1:$L$257,3,FALSE))))</f>
        <v/>
      </c>
      <c r="D26" s="382" t="str">
        <f>IF(B26="","",IF(ISNA(VLOOKUP($B26,'E-1 Off-Site Hedge Baseline'!$B$1:$L$258,4,FALSE)),"",(VLOOKUP($B26,'E-1 Off-Site Hedge Baseline'!$B$1:$L$258,4,FALSE))))</f>
        <v/>
      </c>
      <c r="E26" s="382" t="str">
        <f>IF(B26="","",IF(ISNA(VLOOKUP($B26,'E-1 Off-Site Hedge Baseline'!$B$1:$L$257,5,FALSE)),"",(VLOOKUP($B26,'E-1 Off-Site Hedge Baseline'!$B$1:$L$257,5,FALSE))))</f>
        <v/>
      </c>
      <c r="F26" s="382" t="str">
        <f>IF(B26="","",IF(ISNA(VLOOKUP($B26,'E-1 Off-Site Hedge Baseline'!$B$1:$L$257,6,FALSE)),"",(VLOOKUP($B26,'E-1 Off-Site Hedge Baseline'!$B$1:$L$257,6,FALSE))))</f>
        <v/>
      </c>
      <c r="G26" s="382" t="str">
        <f>IF(B26="","",IF(ISNA(VLOOKUP($B26,'E-1 Off-Site Hedge Baseline'!$B$1:$L$257,7,FALSE)),"",(VLOOKUP($B26,'E-1 Off-Site Hedge Baseline'!$B$1:$L$257,7,FALSE))))</f>
        <v/>
      </c>
      <c r="H26" s="382" t="str">
        <f>IF(B26="","",IF(ISNA(VLOOKUP($B26,'E-1 Off-Site Hedge Baseline'!$B$1:$L$257,8,FALSE)),"",(VLOOKUP($B26,'E-1 Off-Site Hedge Baseline'!$B$1:$L$257,8,FALSE))))</f>
        <v/>
      </c>
      <c r="I26" s="382" t="str">
        <f>IF(B26="","",IF(ISNA(VLOOKUP($B26,'E-1 Off-Site Hedge Baseline'!$B$1:$L$257,10,FALSE)),"",(VLOOKUP($B26,'E-1 Off-Site Hedge Baseline'!$B$1:$L$257,10,FALSE))))</f>
        <v/>
      </c>
      <c r="J26" s="382" t="str">
        <f>IF(B26="","",IF(ISNA(VLOOKUP($B26,'E-1 Off-Site Hedge Baseline'!$B$1:$L$257,11,FALSE)),"",(VLOOKUP($B26,'E-1 Off-Site Hedge Baseline'!$B$1:$L$257,11,FALSE))))</f>
        <v/>
      </c>
      <c r="K26" s="382" t="str">
        <f>IF(B26="","",IF(ISNA(VLOOKUP($B26,'E-1 Off-Site Hedge Baseline'!$B$1:$X$257,113,FALSE)),"",(VLOOKUP($B26,'E-1 Off-Site Hedge Baseline'!$B$1:$X$257,13,FALSE))))</f>
        <v/>
      </c>
      <c r="L26" s="370" t="str">
        <f>IF(B26="","",IF(ISNA(VLOOKUP($B26,'E-1 Off-Site Hedge Baseline'!$B$1:$X$257,12,FALSE)),"",(VLOOKUP($B26,'E-1 Off-Site Hedge Baseline'!$B$1:$X$257,12,FALSE))))</f>
        <v/>
      </c>
      <c r="M26" s="316" t="str">
        <f t="shared" si="0"/>
        <v/>
      </c>
      <c r="N26" s="362" t="str">
        <f>IFERROR(IF(B26="","",INDEX('G-6 Hedgerow Data'!$AN$3:$AZ$15,MATCH(C26,'G-6 Hedgerow Data'!$AM$3:$AM$15,0),MATCH(M26,'G-6 Hedgerow Data'!$AN$2:$AZ$2,0))),"")</f>
        <v/>
      </c>
      <c r="O26" s="363" t="str">
        <f t="shared" si="2"/>
        <v/>
      </c>
      <c r="P26" s="368" t="str">
        <f>IF(B26="","",VLOOKUP(B26,'E-1 Off-Site Hedge Baseline'!$B$10:W271,19,FALSE))</f>
        <v/>
      </c>
      <c r="Q26" s="362" t="str">
        <f>IF(M26="","",VLOOKUP(M26,'G-6 Hedgerow Data'!$B$2:$AG$15,2,FALSE))</f>
        <v/>
      </c>
      <c r="R26" s="363" t="str">
        <f>IF(M26="","",VLOOKUP(M26,'G-6 Hedgerow Data'!$B$2:$AG$15,3,FALSE))</f>
        <v/>
      </c>
      <c r="S26" s="114"/>
      <c r="T26" s="363" t="str">
        <f>IFERROR(IF(AND(Q26="V.Low",OR(S26="Good",S26="Moderate")),"Error ▲",VLOOKUP(S26,'G-1 All Habitats'!$Z$2:$AA$9,2,FALSE)),"")</f>
        <v/>
      </c>
      <c r="U26" s="115"/>
      <c r="V26" s="370" t="str">
        <f>IF(U26="","",IF(VLOOKUP(U26,'G-3 Multipliers'!$L$3:$N$6,2,FALSE)=0,"Spatial Data Missing ⚠",VLOOKUP(U26,'G-3 Multipliers'!$L$3:$N$6,2,FALSE)))</f>
        <v/>
      </c>
      <c r="W26" s="368" t="str">
        <f>IF(U26="","",IF(VLOOKUP(U26,'G-3 Multipliers'!$L$3:$N$6,3,FALSE)=0,"Spatial Data Missing ⚠",VLOOKUP(U26,'G-3 Multipliers'!$L$3:$N$6,3,FALSE)))</f>
        <v/>
      </c>
      <c r="X26" s="362" t="str">
        <f>IFERROR(IF(OR(LEFT(O26,5)="Error",LEFT(N26,5)="Error",T26="Error"),"Check Data ⚠",IF(F26&lt;R26,INDEX('G-6 Hedgerow Data'!$S$3:$AE$14,MATCH(C26,'G-6 Hedgerow Data'!$B$3:$B$14,0),MATCH(M26,'G-6 Hedgerow Data'!$S$2:$AE$2,0)),INDEX('G-6 Hedgerow Data'!$K$3:$Q$14,MATCH(M26,'G-6 Hedgerow Data'!$B$3:$B$14,0),MATCH(O26,'G-6 Hedgerow Data'!$K$2:$Q$2,0)))),"")</f>
        <v/>
      </c>
      <c r="Y26" s="159"/>
      <c r="Z26" s="159"/>
      <c r="AA26" s="370" t="str">
        <f t="shared" si="3"/>
        <v/>
      </c>
      <c r="AB26" s="383" t="str">
        <f t="shared" si="4"/>
        <v/>
      </c>
      <c r="AC26" s="384" t="str">
        <f t="shared" si="1"/>
        <v/>
      </c>
      <c r="AD26" s="398" t="str">
        <f>IF(M26="","",VLOOKUP(M26,'G-6 Hedgerow Data'!$B$3:$AG$15,31,FALSE))</f>
        <v/>
      </c>
      <c r="AE26" s="382" t="str">
        <f t="shared" si="5"/>
        <v/>
      </c>
      <c r="AF26" s="382" t="str">
        <f t="shared" si="6"/>
        <v/>
      </c>
      <c r="AG26" s="386" t="str">
        <f>IFERROR(IF(O26="","",VLOOKUP(AD26,'G-3 Multipliers'!$P$3:$Q$6,2,FALSE)),"")</f>
        <v/>
      </c>
      <c r="AH26" s="160"/>
      <c r="AI26" s="363" t="str">
        <f>IF(AH26="","",IF(VLOOKUP(AH26,'G-3 Multipliers'!$S$3:$T$10,2,FALSE)=0,"Spatial Data Missing ⚠",VLOOKUP(AH26,'G-3 Multipliers'!$S$3:$T$10,2,FALSE)))</f>
        <v/>
      </c>
      <c r="AJ26" s="405" t="str">
        <f t="shared" si="7"/>
        <v/>
      </c>
      <c r="AK26" s="376" t="str">
        <f t="shared" si="8"/>
        <v/>
      </c>
      <c r="AL26" s="117"/>
      <c r="AM26" s="118"/>
      <c r="AN26" s="120"/>
      <c r="AO26" s="120"/>
      <c r="AQ26" s="30" t="str">
        <f>IFERROR(INDEX('G-6 Hedgerow Data'!$BJ$3:$BJ$15,MATCH(M26,'G-6 Hedgerow Data'!$B$3:$B$15,0)),"")</f>
        <v/>
      </c>
    </row>
    <row r="27" spans="2:43" ht="15">
      <c r="B27" s="392" t="str">
        <f>'E-1 Off-Site Hedge Baseline'!AN25</f>
        <v/>
      </c>
      <c r="C27" s="382" t="str">
        <f>IF(B27="","",IF(ISNA(VLOOKUP($B27,'E-1 Off-Site Hedge Baseline'!$B$1:$L$257,3,FALSE)),"",(VLOOKUP($B27,'E-1 Off-Site Hedge Baseline'!$B$1:$L$257,3,FALSE))))</f>
        <v/>
      </c>
      <c r="D27" s="382" t="str">
        <f>IF(B27="","",IF(ISNA(VLOOKUP($B27,'E-1 Off-Site Hedge Baseline'!$B$1:$L$258,4,FALSE)),"",(VLOOKUP($B27,'E-1 Off-Site Hedge Baseline'!$B$1:$L$258,4,FALSE))))</f>
        <v/>
      </c>
      <c r="E27" s="382" t="str">
        <f>IF(B27="","",IF(ISNA(VLOOKUP($B27,'E-1 Off-Site Hedge Baseline'!$B$1:$L$257,5,FALSE)),"",(VLOOKUP($B27,'E-1 Off-Site Hedge Baseline'!$B$1:$L$257,5,FALSE))))</f>
        <v/>
      </c>
      <c r="F27" s="382" t="str">
        <f>IF(B27="","",IF(ISNA(VLOOKUP($B27,'E-1 Off-Site Hedge Baseline'!$B$1:$L$257,6,FALSE)),"",(VLOOKUP($B27,'E-1 Off-Site Hedge Baseline'!$B$1:$L$257,6,FALSE))))</f>
        <v/>
      </c>
      <c r="G27" s="382" t="str">
        <f>IF(B27="","",IF(ISNA(VLOOKUP($B27,'E-1 Off-Site Hedge Baseline'!$B$1:$L$257,7,FALSE)),"",(VLOOKUP($B27,'E-1 Off-Site Hedge Baseline'!$B$1:$L$257,7,FALSE))))</f>
        <v/>
      </c>
      <c r="H27" s="382" t="str">
        <f>IF(B27="","",IF(ISNA(VLOOKUP($B27,'E-1 Off-Site Hedge Baseline'!$B$1:$L$257,8,FALSE)),"",(VLOOKUP($B27,'E-1 Off-Site Hedge Baseline'!$B$1:$L$257,8,FALSE))))</f>
        <v/>
      </c>
      <c r="I27" s="382" t="str">
        <f>IF(B27="","",IF(ISNA(VLOOKUP($B27,'E-1 Off-Site Hedge Baseline'!$B$1:$L$257,10,FALSE)),"",(VLOOKUP($B27,'E-1 Off-Site Hedge Baseline'!$B$1:$L$257,10,FALSE))))</f>
        <v/>
      </c>
      <c r="J27" s="382" t="str">
        <f>IF(B27="","",IF(ISNA(VLOOKUP($B27,'E-1 Off-Site Hedge Baseline'!$B$1:$L$257,11,FALSE)),"",(VLOOKUP($B27,'E-1 Off-Site Hedge Baseline'!$B$1:$L$257,11,FALSE))))</f>
        <v/>
      </c>
      <c r="K27" s="382" t="str">
        <f>IF(B27="","",IF(ISNA(VLOOKUP($B27,'E-1 Off-Site Hedge Baseline'!$B$1:$X$257,113,FALSE)),"",(VLOOKUP($B27,'E-1 Off-Site Hedge Baseline'!$B$1:$X$257,13,FALSE))))</f>
        <v/>
      </c>
      <c r="L27" s="370" t="str">
        <f>IF(B27="","",IF(ISNA(VLOOKUP($B27,'E-1 Off-Site Hedge Baseline'!$B$1:$X$257,12,FALSE)),"",(VLOOKUP($B27,'E-1 Off-Site Hedge Baseline'!$B$1:$X$257,12,FALSE))))</f>
        <v/>
      </c>
      <c r="M27" s="316" t="str">
        <f t="shared" si="0"/>
        <v/>
      </c>
      <c r="N27" s="362" t="str">
        <f>IFERROR(IF(B27="","",INDEX('G-6 Hedgerow Data'!$AN$3:$AZ$15,MATCH(C27,'G-6 Hedgerow Data'!$AM$3:$AM$15,0),MATCH(M27,'G-6 Hedgerow Data'!$AN$2:$AZ$2,0))),"")</f>
        <v/>
      </c>
      <c r="O27" s="363" t="str">
        <f t="shared" si="2"/>
        <v/>
      </c>
      <c r="P27" s="368" t="str">
        <f>IF(B27="","",VLOOKUP(B27,'E-1 Off-Site Hedge Baseline'!$B$10:W272,19,FALSE))</f>
        <v/>
      </c>
      <c r="Q27" s="362" t="str">
        <f>IF(M27="","",VLOOKUP(M27,'G-6 Hedgerow Data'!$B$2:$AG$15,2,FALSE))</f>
        <v/>
      </c>
      <c r="R27" s="363" t="str">
        <f>IF(M27="","",VLOOKUP(M27,'G-6 Hedgerow Data'!$B$2:$AG$15,3,FALSE))</f>
        <v/>
      </c>
      <c r="S27" s="114"/>
      <c r="T27" s="363" t="str">
        <f>IFERROR(IF(AND(Q27="V.Low",OR(S27="Good",S27="Moderate")),"Error ▲",VLOOKUP(S27,'G-1 All Habitats'!$Z$2:$AA$9,2,FALSE)),"")</f>
        <v/>
      </c>
      <c r="U27" s="115"/>
      <c r="V27" s="370" t="str">
        <f>IF(U27="","",IF(VLOOKUP(U27,'G-3 Multipliers'!$L$3:$N$6,2,FALSE)=0,"Spatial Data Missing ⚠",VLOOKUP(U27,'G-3 Multipliers'!$L$3:$N$6,2,FALSE)))</f>
        <v/>
      </c>
      <c r="W27" s="368" t="str">
        <f>IF(U27="","",IF(VLOOKUP(U27,'G-3 Multipliers'!$L$3:$N$6,3,FALSE)=0,"Spatial Data Missing ⚠",VLOOKUP(U27,'G-3 Multipliers'!$L$3:$N$6,3,FALSE)))</f>
        <v/>
      </c>
      <c r="X27" s="362" t="str">
        <f>IFERROR(IF(OR(LEFT(O27,5)="Error",LEFT(N27,5)="Error",T27="Error"),"Check Data ⚠",IF(F27&lt;R27,INDEX('G-6 Hedgerow Data'!$S$3:$AE$14,MATCH(C27,'G-6 Hedgerow Data'!$B$3:$B$14,0),MATCH(M27,'G-6 Hedgerow Data'!$S$2:$AE$2,0)),INDEX('G-6 Hedgerow Data'!$K$3:$Q$14,MATCH(M27,'G-6 Hedgerow Data'!$B$3:$B$14,0),MATCH(O27,'G-6 Hedgerow Data'!$K$2:$Q$2,0)))),"")</f>
        <v/>
      </c>
      <c r="Y27" s="159"/>
      <c r="Z27" s="159"/>
      <c r="AA27" s="370" t="str">
        <f t="shared" si="3"/>
        <v/>
      </c>
      <c r="AB27" s="383" t="str">
        <f t="shared" si="4"/>
        <v/>
      </c>
      <c r="AC27" s="384" t="str">
        <f t="shared" si="1"/>
        <v/>
      </c>
      <c r="AD27" s="398" t="str">
        <f>IF(M27="","",VLOOKUP(M27,'G-6 Hedgerow Data'!$B$3:$AG$15,31,FALSE))</f>
        <v/>
      </c>
      <c r="AE27" s="382" t="str">
        <f t="shared" si="5"/>
        <v/>
      </c>
      <c r="AF27" s="382" t="str">
        <f t="shared" si="6"/>
        <v/>
      </c>
      <c r="AG27" s="386" t="str">
        <f>IFERROR(IF(O27="","",VLOOKUP(AD27,'G-3 Multipliers'!$P$3:$Q$6,2,FALSE)),"")</f>
        <v/>
      </c>
      <c r="AH27" s="160"/>
      <c r="AI27" s="363" t="str">
        <f>IF(AH27="","",IF(VLOOKUP(AH27,'G-3 Multipliers'!$S$3:$T$10,2,FALSE)=0,"Spatial Data Missing ⚠",VLOOKUP(AH27,'G-3 Multipliers'!$S$3:$T$10,2,FALSE)))</f>
        <v/>
      </c>
      <c r="AJ27" s="405" t="str">
        <f t="shared" si="7"/>
        <v/>
      </c>
      <c r="AK27" s="376" t="str">
        <f t="shared" si="8"/>
        <v/>
      </c>
      <c r="AL27" s="117"/>
      <c r="AM27" s="118"/>
      <c r="AN27" s="120"/>
      <c r="AO27" s="120"/>
      <c r="AQ27" s="30" t="str">
        <f>IFERROR(INDEX('G-6 Hedgerow Data'!$BJ$3:$BJ$15,MATCH(M27,'G-6 Hedgerow Data'!$B$3:$B$15,0)),"")</f>
        <v/>
      </c>
    </row>
    <row r="28" spans="2:43" ht="15">
      <c r="B28" s="392" t="str">
        <f>'E-1 Off-Site Hedge Baseline'!AN26</f>
        <v/>
      </c>
      <c r="C28" s="382" t="str">
        <f>IF(B28="","",IF(ISNA(VLOOKUP($B28,'E-1 Off-Site Hedge Baseline'!$B$1:$L$257,3,FALSE)),"",(VLOOKUP($B28,'E-1 Off-Site Hedge Baseline'!$B$1:$L$257,3,FALSE))))</f>
        <v/>
      </c>
      <c r="D28" s="382" t="str">
        <f>IF(B28="","",IF(ISNA(VLOOKUP($B28,'E-1 Off-Site Hedge Baseline'!$B$1:$L$258,4,FALSE)),"",(VLOOKUP($B28,'E-1 Off-Site Hedge Baseline'!$B$1:$L$258,4,FALSE))))</f>
        <v/>
      </c>
      <c r="E28" s="382" t="str">
        <f>IF(B28="","",IF(ISNA(VLOOKUP($B28,'E-1 Off-Site Hedge Baseline'!$B$1:$L$257,5,FALSE)),"",(VLOOKUP($B28,'E-1 Off-Site Hedge Baseline'!$B$1:$L$257,5,FALSE))))</f>
        <v/>
      </c>
      <c r="F28" s="382" t="str">
        <f>IF(B28="","",IF(ISNA(VLOOKUP($B28,'E-1 Off-Site Hedge Baseline'!$B$1:$L$257,6,FALSE)),"",(VLOOKUP($B28,'E-1 Off-Site Hedge Baseline'!$B$1:$L$257,6,FALSE))))</f>
        <v/>
      </c>
      <c r="G28" s="382" t="str">
        <f>IF(B28="","",IF(ISNA(VLOOKUP($B28,'E-1 Off-Site Hedge Baseline'!$B$1:$L$257,7,FALSE)),"",(VLOOKUP($B28,'E-1 Off-Site Hedge Baseline'!$B$1:$L$257,7,FALSE))))</f>
        <v/>
      </c>
      <c r="H28" s="382" t="str">
        <f>IF(B28="","",IF(ISNA(VLOOKUP($B28,'E-1 Off-Site Hedge Baseline'!$B$1:$L$257,8,FALSE)),"",(VLOOKUP($B28,'E-1 Off-Site Hedge Baseline'!$B$1:$L$257,8,FALSE))))</f>
        <v/>
      </c>
      <c r="I28" s="382" t="str">
        <f>IF(B28="","",IF(ISNA(VLOOKUP($B28,'E-1 Off-Site Hedge Baseline'!$B$1:$L$257,10,FALSE)),"",(VLOOKUP($B28,'E-1 Off-Site Hedge Baseline'!$B$1:$L$257,10,FALSE))))</f>
        <v/>
      </c>
      <c r="J28" s="382" t="str">
        <f>IF(B28="","",IF(ISNA(VLOOKUP($B28,'E-1 Off-Site Hedge Baseline'!$B$1:$L$257,11,FALSE)),"",(VLOOKUP($B28,'E-1 Off-Site Hedge Baseline'!$B$1:$L$257,11,FALSE))))</f>
        <v/>
      </c>
      <c r="K28" s="382" t="str">
        <f>IF(B28="","",IF(ISNA(VLOOKUP($B28,'E-1 Off-Site Hedge Baseline'!$B$1:$X$257,113,FALSE)),"",(VLOOKUP($B28,'E-1 Off-Site Hedge Baseline'!$B$1:$X$257,13,FALSE))))</f>
        <v/>
      </c>
      <c r="L28" s="370" t="str">
        <f>IF(B28="","",IF(ISNA(VLOOKUP($B28,'E-1 Off-Site Hedge Baseline'!$B$1:$X$257,12,FALSE)),"",(VLOOKUP($B28,'E-1 Off-Site Hedge Baseline'!$B$1:$X$257,12,FALSE))))</f>
        <v/>
      </c>
      <c r="M28" s="316" t="str">
        <f t="shared" si="0"/>
        <v/>
      </c>
      <c r="N28" s="362" t="str">
        <f>IFERROR(IF(B28="","",INDEX('G-6 Hedgerow Data'!$AN$3:$AZ$15,MATCH(C28,'G-6 Hedgerow Data'!$AM$3:$AM$15,0),MATCH(M28,'G-6 Hedgerow Data'!$AN$2:$AZ$2,0))),"")</f>
        <v/>
      </c>
      <c r="O28" s="363" t="str">
        <f t="shared" si="2"/>
        <v/>
      </c>
      <c r="P28" s="368" t="str">
        <f>IF(B28="","",VLOOKUP(B28,'E-1 Off-Site Hedge Baseline'!$B$10:W273,19,FALSE))</f>
        <v/>
      </c>
      <c r="Q28" s="362" t="str">
        <f>IF(M28="","",VLOOKUP(M28,'G-6 Hedgerow Data'!$B$2:$AG$15,2,FALSE))</f>
        <v/>
      </c>
      <c r="R28" s="363" t="str">
        <f>IF(M28="","",VLOOKUP(M28,'G-6 Hedgerow Data'!$B$2:$AG$15,3,FALSE))</f>
        <v/>
      </c>
      <c r="S28" s="114"/>
      <c r="T28" s="363" t="str">
        <f>IFERROR(IF(AND(Q28="V.Low",OR(S28="Good",S28="Moderate")),"Error ▲",VLOOKUP(S28,'G-1 All Habitats'!$Z$2:$AA$9,2,FALSE)),"")</f>
        <v/>
      </c>
      <c r="U28" s="115"/>
      <c r="V28" s="370" t="str">
        <f>IF(U28="","",IF(VLOOKUP(U28,'G-3 Multipliers'!$L$3:$N$6,2,FALSE)=0,"Spatial Data Missing ⚠",VLOOKUP(U28,'G-3 Multipliers'!$L$3:$N$6,2,FALSE)))</f>
        <v/>
      </c>
      <c r="W28" s="368" t="str">
        <f>IF(U28="","",IF(VLOOKUP(U28,'G-3 Multipliers'!$L$3:$N$6,3,FALSE)=0,"Spatial Data Missing ⚠",VLOOKUP(U28,'G-3 Multipliers'!$L$3:$N$6,3,FALSE)))</f>
        <v/>
      </c>
      <c r="X28" s="362" t="str">
        <f>IFERROR(IF(OR(LEFT(O28,5)="Error",LEFT(N28,5)="Error",T28="Error"),"Check Data ⚠",IF(F28&lt;R28,INDEX('G-6 Hedgerow Data'!$S$3:$AE$14,MATCH(C28,'G-6 Hedgerow Data'!$B$3:$B$14,0),MATCH(M28,'G-6 Hedgerow Data'!$S$2:$AE$2,0)),INDEX('G-6 Hedgerow Data'!$K$3:$Q$14,MATCH(M28,'G-6 Hedgerow Data'!$B$3:$B$14,0),MATCH(O28,'G-6 Hedgerow Data'!$K$2:$Q$2,0)))),"")</f>
        <v/>
      </c>
      <c r="Y28" s="159"/>
      <c r="Z28" s="159"/>
      <c r="AA28" s="370" t="str">
        <f t="shared" si="3"/>
        <v/>
      </c>
      <c r="AB28" s="383" t="str">
        <f t="shared" si="4"/>
        <v/>
      </c>
      <c r="AC28" s="384" t="str">
        <f t="shared" si="1"/>
        <v/>
      </c>
      <c r="AD28" s="398" t="str">
        <f>IF(M28="","",VLOOKUP(M28,'G-6 Hedgerow Data'!$B$3:$AG$15,31,FALSE))</f>
        <v/>
      </c>
      <c r="AE28" s="382" t="str">
        <f t="shared" si="5"/>
        <v/>
      </c>
      <c r="AF28" s="382" t="str">
        <f t="shared" si="6"/>
        <v/>
      </c>
      <c r="AG28" s="386" t="str">
        <f>IFERROR(IF(O28="","",VLOOKUP(AD28,'G-3 Multipliers'!$P$3:$Q$6,2,FALSE)),"")</f>
        <v/>
      </c>
      <c r="AH28" s="160"/>
      <c r="AI28" s="363" t="str">
        <f>IF(AH28="","",IF(VLOOKUP(AH28,'G-3 Multipliers'!$S$3:$T$10,2,FALSE)=0,"Spatial Data Missing ⚠",VLOOKUP(AH28,'G-3 Multipliers'!$S$3:$T$10,2,FALSE)))</f>
        <v/>
      </c>
      <c r="AJ28" s="405" t="str">
        <f t="shared" si="7"/>
        <v/>
      </c>
      <c r="AK28" s="376" t="str">
        <f t="shared" si="8"/>
        <v/>
      </c>
      <c r="AL28" s="117"/>
      <c r="AM28" s="118"/>
      <c r="AN28" s="120"/>
      <c r="AO28" s="120"/>
      <c r="AQ28" s="30" t="str">
        <f>IFERROR(INDEX('G-6 Hedgerow Data'!$BJ$3:$BJ$15,MATCH(M28,'G-6 Hedgerow Data'!$B$3:$B$15,0)),"")</f>
        <v/>
      </c>
    </row>
    <row r="29" spans="2:43" ht="15">
      <c r="B29" s="392" t="str">
        <f>'E-1 Off-Site Hedge Baseline'!AN27</f>
        <v/>
      </c>
      <c r="C29" s="382" t="str">
        <f>IF(B29="","",IF(ISNA(VLOOKUP($B29,'E-1 Off-Site Hedge Baseline'!$B$1:$L$257,3,FALSE)),"",(VLOOKUP($B29,'E-1 Off-Site Hedge Baseline'!$B$1:$L$257,3,FALSE))))</f>
        <v/>
      </c>
      <c r="D29" s="382" t="str">
        <f>IF(B29="","",IF(ISNA(VLOOKUP($B29,'E-1 Off-Site Hedge Baseline'!$B$1:$L$258,4,FALSE)),"",(VLOOKUP($B29,'E-1 Off-Site Hedge Baseline'!$B$1:$L$258,4,FALSE))))</f>
        <v/>
      </c>
      <c r="E29" s="382" t="str">
        <f>IF(B29="","",IF(ISNA(VLOOKUP($B29,'E-1 Off-Site Hedge Baseline'!$B$1:$L$257,5,FALSE)),"",(VLOOKUP($B29,'E-1 Off-Site Hedge Baseline'!$B$1:$L$257,5,FALSE))))</f>
        <v/>
      </c>
      <c r="F29" s="382" t="str">
        <f>IF(B29="","",IF(ISNA(VLOOKUP($B29,'E-1 Off-Site Hedge Baseline'!$B$1:$L$257,6,FALSE)),"",(VLOOKUP($B29,'E-1 Off-Site Hedge Baseline'!$B$1:$L$257,6,FALSE))))</f>
        <v/>
      </c>
      <c r="G29" s="382" t="str">
        <f>IF(B29="","",IF(ISNA(VLOOKUP($B29,'E-1 Off-Site Hedge Baseline'!$B$1:$L$257,7,FALSE)),"",(VLOOKUP($B29,'E-1 Off-Site Hedge Baseline'!$B$1:$L$257,7,FALSE))))</f>
        <v/>
      </c>
      <c r="H29" s="382" t="str">
        <f>IF(B29="","",IF(ISNA(VLOOKUP($B29,'E-1 Off-Site Hedge Baseline'!$B$1:$L$257,8,FALSE)),"",(VLOOKUP($B29,'E-1 Off-Site Hedge Baseline'!$B$1:$L$257,8,FALSE))))</f>
        <v/>
      </c>
      <c r="I29" s="382" t="str">
        <f>IF(B29="","",IF(ISNA(VLOOKUP($B29,'E-1 Off-Site Hedge Baseline'!$B$1:$L$257,10,FALSE)),"",(VLOOKUP($B29,'E-1 Off-Site Hedge Baseline'!$B$1:$L$257,10,FALSE))))</f>
        <v/>
      </c>
      <c r="J29" s="382" t="str">
        <f>IF(B29="","",IF(ISNA(VLOOKUP($B29,'E-1 Off-Site Hedge Baseline'!$B$1:$L$257,11,FALSE)),"",(VLOOKUP($B29,'E-1 Off-Site Hedge Baseline'!$B$1:$L$257,11,FALSE))))</f>
        <v/>
      </c>
      <c r="K29" s="382" t="str">
        <f>IF(B29="","",IF(ISNA(VLOOKUP($B29,'E-1 Off-Site Hedge Baseline'!$B$1:$X$257,113,FALSE)),"",(VLOOKUP($B29,'E-1 Off-Site Hedge Baseline'!$B$1:$X$257,13,FALSE))))</f>
        <v/>
      </c>
      <c r="L29" s="370" t="str">
        <f>IF(B29="","",IF(ISNA(VLOOKUP($B29,'E-1 Off-Site Hedge Baseline'!$B$1:$X$257,12,FALSE)),"",(VLOOKUP($B29,'E-1 Off-Site Hedge Baseline'!$B$1:$X$257,12,FALSE))))</f>
        <v/>
      </c>
      <c r="M29" s="316" t="str">
        <f t="shared" si="0"/>
        <v/>
      </c>
      <c r="N29" s="362" t="str">
        <f>IFERROR(IF(B29="","",INDEX('G-6 Hedgerow Data'!$AN$3:$AZ$15,MATCH(C29,'G-6 Hedgerow Data'!$AM$3:$AM$15,0),MATCH(M29,'G-6 Hedgerow Data'!$AN$2:$AZ$2,0))),"")</f>
        <v/>
      </c>
      <c r="O29" s="363" t="str">
        <f t="shared" si="2"/>
        <v/>
      </c>
      <c r="P29" s="368" t="str">
        <f>IF(B29="","",VLOOKUP(B29,'E-1 Off-Site Hedge Baseline'!$B$10:W274,19,FALSE))</f>
        <v/>
      </c>
      <c r="Q29" s="362" t="str">
        <f>IF(M29="","",VLOOKUP(M29,'G-6 Hedgerow Data'!$B$2:$AG$15,2,FALSE))</f>
        <v/>
      </c>
      <c r="R29" s="363" t="str">
        <f>IF(M29="","",VLOOKUP(M29,'G-6 Hedgerow Data'!$B$2:$AG$15,3,FALSE))</f>
        <v/>
      </c>
      <c r="S29" s="114"/>
      <c r="T29" s="363" t="str">
        <f>IFERROR(IF(AND(Q29="V.Low",OR(S29="Good",S29="Moderate")),"Error ▲",VLOOKUP(S29,'G-1 All Habitats'!$Z$2:$AA$9,2,FALSE)),"")</f>
        <v/>
      </c>
      <c r="U29" s="115"/>
      <c r="V29" s="370" t="str">
        <f>IF(U29="","",IF(VLOOKUP(U29,'G-3 Multipliers'!$L$3:$N$6,2,FALSE)=0,"Spatial Data Missing ⚠",VLOOKUP(U29,'G-3 Multipliers'!$L$3:$N$6,2,FALSE)))</f>
        <v/>
      </c>
      <c r="W29" s="368" t="str">
        <f>IF(U29="","",IF(VLOOKUP(U29,'G-3 Multipliers'!$L$3:$N$6,3,FALSE)=0,"Spatial Data Missing ⚠",VLOOKUP(U29,'G-3 Multipliers'!$L$3:$N$6,3,FALSE)))</f>
        <v/>
      </c>
      <c r="X29" s="362" t="str">
        <f>IFERROR(IF(OR(LEFT(O29,5)="Error",LEFT(N29,5)="Error",T29="Error"),"Check Data ⚠",IF(F29&lt;R29,INDEX('G-6 Hedgerow Data'!$S$3:$AE$14,MATCH(C29,'G-6 Hedgerow Data'!$B$3:$B$14,0),MATCH(M29,'G-6 Hedgerow Data'!$S$2:$AE$2,0)),INDEX('G-6 Hedgerow Data'!$K$3:$Q$14,MATCH(M29,'G-6 Hedgerow Data'!$B$3:$B$14,0),MATCH(O29,'G-6 Hedgerow Data'!$K$2:$Q$2,0)))),"")</f>
        <v/>
      </c>
      <c r="Y29" s="159"/>
      <c r="Z29" s="159"/>
      <c r="AA29" s="370" t="str">
        <f t="shared" si="3"/>
        <v/>
      </c>
      <c r="AB29" s="383" t="str">
        <f t="shared" si="4"/>
        <v/>
      </c>
      <c r="AC29" s="384" t="str">
        <f t="shared" si="1"/>
        <v/>
      </c>
      <c r="AD29" s="398" t="str">
        <f>IF(M29="","",VLOOKUP(M29,'G-6 Hedgerow Data'!$B$3:$AG$15,31,FALSE))</f>
        <v/>
      </c>
      <c r="AE29" s="382" t="str">
        <f t="shared" si="5"/>
        <v/>
      </c>
      <c r="AF29" s="382" t="str">
        <f t="shared" si="6"/>
        <v/>
      </c>
      <c r="AG29" s="386" t="str">
        <f>IFERROR(IF(O29="","",VLOOKUP(AD29,'G-3 Multipliers'!$P$3:$Q$6,2,FALSE)),"")</f>
        <v/>
      </c>
      <c r="AH29" s="160"/>
      <c r="AI29" s="363" t="str">
        <f>IF(AH29="","",IF(VLOOKUP(AH29,'G-3 Multipliers'!$S$3:$T$10,2,FALSE)=0,"Spatial Data Missing ⚠",VLOOKUP(AH29,'G-3 Multipliers'!$S$3:$T$10,2,FALSE)))</f>
        <v/>
      </c>
      <c r="AJ29" s="405" t="str">
        <f t="shared" si="7"/>
        <v/>
      </c>
      <c r="AK29" s="376" t="str">
        <f t="shared" si="8"/>
        <v/>
      </c>
      <c r="AL29" s="117"/>
      <c r="AM29" s="118"/>
      <c r="AN29" s="120"/>
      <c r="AO29" s="120"/>
      <c r="AQ29" s="30" t="str">
        <f>IFERROR(INDEX('G-6 Hedgerow Data'!$BJ$3:$BJ$15,MATCH(M29,'G-6 Hedgerow Data'!$B$3:$B$15,0)),"")</f>
        <v/>
      </c>
    </row>
    <row r="30" spans="2:43" ht="15">
      <c r="B30" s="392" t="str">
        <f>'E-1 Off-Site Hedge Baseline'!AN28</f>
        <v/>
      </c>
      <c r="C30" s="382" t="str">
        <f>IF(B30="","",IF(ISNA(VLOOKUP($B30,'E-1 Off-Site Hedge Baseline'!$B$1:$L$257,3,FALSE)),"",(VLOOKUP($B30,'E-1 Off-Site Hedge Baseline'!$B$1:$L$257,3,FALSE))))</f>
        <v/>
      </c>
      <c r="D30" s="382" t="str">
        <f>IF(B30="","",IF(ISNA(VLOOKUP($B30,'E-1 Off-Site Hedge Baseline'!$B$1:$L$258,4,FALSE)),"",(VLOOKUP($B30,'E-1 Off-Site Hedge Baseline'!$B$1:$L$258,4,FALSE))))</f>
        <v/>
      </c>
      <c r="E30" s="382" t="str">
        <f>IF(B30="","",IF(ISNA(VLOOKUP($B30,'E-1 Off-Site Hedge Baseline'!$B$1:$L$257,5,FALSE)),"",(VLOOKUP($B30,'E-1 Off-Site Hedge Baseline'!$B$1:$L$257,5,FALSE))))</f>
        <v/>
      </c>
      <c r="F30" s="382" t="str">
        <f>IF(B30="","",IF(ISNA(VLOOKUP($B30,'E-1 Off-Site Hedge Baseline'!$B$1:$L$257,6,FALSE)),"",(VLOOKUP($B30,'E-1 Off-Site Hedge Baseline'!$B$1:$L$257,6,FALSE))))</f>
        <v/>
      </c>
      <c r="G30" s="382" t="str">
        <f>IF(B30="","",IF(ISNA(VLOOKUP($B30,'E-1 Off-Site Hedge Baseline'!$B$1:$L$257,7,FALSE)),"",(VLOOKUP($B30,'E-1 Off-Site Hedge Baseline'!$B$1:$L$257,7,FALSE))))</f>
        <v/>
      </c>
      <c r="H30" s="382" t="str">
        <f>IF(B30="","",IF(ISNA(VLOOKUP($B30,'E-1 Off-Site Hedge Baseline'!$B$1:$L$257,8,FALSE)),"",(VLOOKUP($B30,'E-1 Off-Site Hedge Baseline'!$B$1:$L$257,8,FALSE))))</f>
        <v/>
      </c>
      <c r="I30" s="382" t="str">
        <f>IF(B30="","",IF(ISNA(VLOOKUP($B30,'E-1 Off-Site Hedge Baseline'!$B$1:$L$257,10,FALSE)),"",(VLOOKUP($B30,'E-1 Off-Site Hedge Baseline'!$B$1:$L$257,10,FALSE))))</f>
        <v/>
      </c>
      <c r="J30" s="382" t="str">
        <f>IF(B30="","",IF(ISNA(VLOOKUP($B30,'E-1 Off-Site Hedge Baseline'!$B$1:$L$257,11,FALSE)),"",(VLOOKUP($B30,'E-1 Off-Site Hedge Baseline'!$B$1:$L$257,11,FALSE))))</f>
        <v/>
      </c>
      <c r="K30" s="382" t="str">
        <f>IF(B30="","",IF(ISNA(VLOOKUP($B30,'E-1 Off-Site Hedge Baseline'!$B$1:$X$257,113,FALSE)),"",(VLOOKUP($B30,'E-1 Off-Site Hedge Baseline'!$B$1:$X$257,13,FALSE))))</f>
        <v/>
      </c>
      <c r="L30" s="370" t="str">
        <f>IF(B30="","",IF(ISNA(VLOOKUP($B30,'E-1 Off-Site Hedge Baseline'!$B$1:$X$257,12,FALSE)),"",(VLOOKUP($B30,'E-1 Off-Site Hedge Baseline'!$B$1:$X$257,12,FALSE))))</f>
        <v/>
      </c>
      <c r="M30" s="316" t="str">
        <f t="shared" si="0"/>
        <v/>
      </c>
      <c r="N30" s="362" t="str">
        <f>IFERROR(IF(B30="","",INDEX('G-6 Hedgerow Data'!$AN$3:$AZ$15,MATCH(C30,'G-6 Hedgerow Data'!$AM$3:$AM$15,0),MATCH(M30,'G-6 Hedgerow Data'!$AN$2:$AZ$2,0))),"")</f>
        <v/>
      </c>
      <c r="O30" s="363" t="str">
        <f t="shared" si="2"/>
        <v/>
      </c>
      <c r="P30" s="368" t="str">
        <f>IF(B30="","",VLOOKUP(B30,'E-1 Off-Site Hedge Baseline'!$B$10:W275,19,FALSE))</f>
        <v/>
      </c>
      <c r="Q30" s="362" t="str">
        <f>IF(M30="","",VLOOKUP(M30,'G-6 Hedgerow Data'!$B$2:$AG$15,2,FALSE))</f>
        <v/>
      </c>
      <c r="R30" s="363" t="str">
        <f>IF(M30="","",VLOOKUP(M30,'G-6 Hedgerow Data'!$B$2:$AG$15,3,FALSE))</f>
        <v/>
      </c>
      <c r="S30" s="55"/>
      <c r="T30" s="363" t="str">
        <f>IFERROR(IF(AND(Q30="V.Low",OR(S30="Good",S30="Moderate")),"Error ▲",VLOOKUP(S30,'G-1 All Habitats'!$Z$2:$AA$9,2,FALSE)),"")</f>
        <v/>
      </c>
      <c r="U30" s="115"/>
      <c r="V30" s="370" t="str">
        <f>IF(U30="","",IF(VLOOKUP(U30,'G-3 Multipliers'!$L$3:$N$6,2,FALSE)=0,"Spatial Data Missing ⚠",VLOOKUP(U30,'G-3 Multipliers'!$L$3:$N$6,2,FALSE)))</f>
        <v/>
      </c>
      <c r="W30" s="368" t="str">
        <f>IF(U30="","",IF(VLOOKUP(U30,'G-3 Multipliers'!$L$3:$N$6,3,FALSE)=0,"Spatial Data Missing ⚠",VLOOKUP(U30,'G-3 Multipliers'!$L$3:$N$6,3,FALSE)))</f>
        <v/>
      </c>
      <c r="X30" s="362" t="str">
        <f>IFERROR(IF(OR(LEFT(O30,5)="Error",LEFT(N30,5)="Error",T30="Error"),"Check Data ⚠",IF(F30&lt;R30,INDEX('G-6 Hedgerow Data'!$S$3:$AE$14,MATCH(C30,'G-6 Hedgerow Data'!$B$3:$B$14,0),MATCH(M30,'G-6 Hedgerow Data'!$S$2:$AE$2,0)),INDEX('G-6 Hedgerow Data'!$K$3:$Q$14,MATCH(M30,'G-6 Hedgerow Data'!$B$3:$B$14,0),MATCH(O30,'G-6 Hedgerow Data'!$K$2:$Q$2,0)))),"")</f>
        <v/>
      </c>
      <c r="Y30" s="159"/>
      <c r="Z30" s="159"/>
      <c r="AA30" s="370" t="str">
        <f t="shared" si="3"/>
        <v/>
      </c>
      <c r="AB30" s="383" t="str">
        <f t="shared" si="4"/>
        <v/>
      </c>
      <c r="AC30" s="384" t="str">
        <f t="shared" si="1"/>
        <v/>
      </c>
      <c r="AD30" s="398" t="str">
        <f>IF(M30="","",VLOOKUP(M30,'G-6 Hedgerow Data'!$B$3:$AG$15,31,FALSE))</f>
        <v/>
      </c>
      <c r="AE30" s="382" t="str">
        <f t="shared" si="5"/>
        <v/>
      </c>
      <c r="AF30" s="382" t="str">
        <f t="shared" si="6"/>
        <v/>
      </c>
      <c r="AG30" s="386" t="str">
        <f>IFERROR(IF(O30="","",VLOOKUP(AD30,'G-3 Multipliers'!$P$3:$Q$6,2,FALSE)),"")</f>
        <v/>
      </c>
      <c r="AH30" s="160"/>
      <c r="AI30" s="363" t="str">
        <f>IF(AH30="","",IF(VLOOKUP(AH30,'G-3 Multipliers'!$S$3:$T$10,2,FALSE)=0,"Spatial Data Missing ⚠",VLOOKUP(AH30,'G-3 Multipliers'!$S$3:$T$10,2,FALSE)))</f>
        <v/>
      </c>
      <c r="AJ30" s="405" t="str">
        <f t="shared" si="7"/>
        <v/>
      </c>
      <c r="AK30" s="376" t="str">
        <f t="shared" si="8"/>
        <v/>
      </c>
      <c r="AL30" s="117"/>
      <c r="AM30" s="118"/>
      <c r="AN30" s="120"/>
      <c r="AO30" s="120"/>
      <c r="AQ30" s="30" t="str">
        <f>IFERROR(INDEX('G-6 Hedgerow Data'!$BJ$3:$BJ$15,MATCH(M30,'G-6 Hedgerow Data'!$B$3:$B$15,0)),"")</f>
        <v/>
      </c>
    </row>
    <row r="31" spans="2:43" ht="15">
      <c r="B31" s="392" t="str">
        <f>'E-1 Off-Site Hedge Baseline'!AN29</f>
        <v/>
      </c>
      <c r="C31" s="382" t="str">
        <f>IF(B31="","",IF(ISNA(VLOOKUP($B31,'E-1 Off-Site Hedge Baseline'!$B$1:$L$257,3,FALSE)),"",(VLOOKUP($B31,'E-1 Off-Site Hedge Baseline'!$B$1:$L$257,3,FALSE))))</f>
        <v/>
      </c>
      <c r="D31" s="382" t="str">
        <f>IF(B31="","",IF(ISNA(VLOOKUP($B31,'E-1 Off-Site Hedge Baseline'!$B$1:$L$258,4,FALSE)),"",(VLOOKUP($B31,'E-1 Off-Site Hedge Baseline'!$B$1:$L$258,4,FALSE))))</f>
        <v/>
      </c>
      <c r="E31" s="382" t="str">
        <f>IF(B31="","",IF(ISNA(VLOOKUP($B31,'E-1 Off-Site Hedge Baseline'!$B$1:$L$257,5,FALSE)),"",(VLOOKUP($B31,'E-1 Off-Site Hedge Baseline'!$B$1:$L$257,5,FALSE))))</f>
        <v/>
      </c>
      <c r="F31" s="382" t="str">
        <f>IF(B31="","",IF(ISNA(VLOOKUP($B31,'E-1 Off-Site Hedge Baseline'!$B$1:$L$257,6,FALSE)),"",(VLOOKUP($B31,'E-1 Off-Site Hedge Baseline'!$B$1:$L$257,6,FALSE))))</f>
        <v/>
      </c>
      <c r="G31" s="382" t="str">
        <f>IF(B31="","",IF(ISNA(VLOOKUP($B31,'E-1 Off-Site Hedge Baseline'!$B$1:$L$257,7,FALSE)),"",(VLOOKUP($B31,'E-1 Off-Site Hedge Baseline'!$B$1:$L$257,7,FALSE))))</f>
        <v/>
      </c>
      <c r="H31" s="382" t="str">
        <f>IF(B31="","",IF(ISNA(VLOOKUP($B31,'E-1 Off-Site Hedge Baseline'!$B$1:$L$257,8,FALSE)),"",(VLOOKUP($B31,'E-1 Off-Site Hedge Baseline'!$B$1:$L$257,8,FALSE))))</f>
        <v/>
      </c>
      <c r="I31" s="382" t="str">
        <f>IF(B31="","",IF(ISNA(VLOOKUP($B31,'E-1 Off-Site Hedge Baseline'!$B$1:$L$257,10,FALSE)),"",(VLOOKUP($B31,'E-1 Off-Site Hedge Baseline'!$B$1:$L$257,10,FALSE))))</f>
        <v/>
      </c>
      <c r="J31" s="382" t="str">
        <f>IF(B31="","",IF(ISNA(VLOOKUP($B31,'E-1 Off-Site Hedge Baseline'!$B$1:$L$257,11,FALSE)),"",(VLOOKUP($B31,'E-1 Off-Site Hedge Baseline'!$B$1:$L$257,11,FALSE))))</f>
        <v/>
      </c>
      <c r="K31" s="382" t="str">
        <f>IF(B31="","",IF(ISNA(VLOOKUP($B31,'E-1 Off-Site Hedge Baseline'!$B$1:$X$257,113,FALSE)),"",(VLOOKUP($B31,'E-1 Off-Site Hedge Baseline'!$B$1:$X$257,13,FALSE))))</f>
        <v/>
      </c>
      <c r="L31" s="370" t="str">
        <f>IF(B31="","",IF(ISNA(VLOOKUP($B31,'E-1 Off-Site Hedge Baseline'!$B$1:$X$257,12,FALSE)),"",(VLOOKUP($B31,'E-1 Off-Site Hedge Baseline'!$B$1:$X$257,12,FALSE))))</f>
        <v/>
      </c>
      <c r="M31" s="316" t="str">
        <f t="shared" si="0"/>
        <v/>
      </c>
      <c r="N31" s="362" t="str">
        <f>IFERROR(IF(B31="","",INDEX('G-6 Hedgerow Data'!$AN$3:$AZ$15,MATCH(C31,'G-6 Hedgerow Data'!$AM$3:$AM$15,0),MATCH(M31,'G-6 Hedgerow Data'!$AN$2:$AZ$2,0))),"")</f>
        <v/>
      </c>
      <c r="O31" s="363" t="str">
        <f t="shared" si="2"/>
        <v/>
      </c>
      <c r="P31" s="368" t="str">
        <f>IF(B31="","",VLOOKUP(B31,'E-1 Off-Site Hedge Baseline'!$B$10:W276,19,FALSE))</f>
        <v/>
      </c>
      <c r="Q31" s="362" t="str">
        <f>IF(M31="","",VLOOKUP(M31,'G-6 Hedgerow Data'!$B$2:$AG$15,2,FALSE))</f>
        <v/>
      </c>
      <c r="R31" s="363" t="str">
        <f>IF(M31="","",VLOOKUP(M31,'G-6 Hedgerow Data'!$B$2:$AG$15,3,FALSE))</f>
        <v/>
      </c>
      <c r="S31" s="55"/>
      <c r="T31" s="363" t="str">
        <f>IFERROR(IF(AND(Q31="V.Low",OR(S31="Good",S31="Moderate")),"Error ▲",VLOOKUP(S31,'G-1 All Habitats'!$Z$2:$AA$9,2,FALSE)),"")</f>
        <v/>
      </c>
      <c r="U31" s="115"/>
      <c r="V31" s="370" t="str">
        <f>IF(U31="","",IF(VLOOKUP(U31,'G-3 Multipliers'!$L$3:$N$6,2,FALSE)=0,"Spatial Data Missing ⚠",VLOOKUP(U31,'G-3 Multipliers'!$L$3:$N$6,2,FALSE)))</f>
        <v/>
      </c>
      <c r="W31" s="368" t="str">
        <f>IF(U31="","",IF(VLOOKUP(U31,'G-3 Multipliers'!$L$3:$N$6,3,FALSE)=0,"Spatial Data Missing ⚠",VLOOKUP(U31,'G-3 Multipliers'!$L$3:$N$6,3,FALSE)))</f>
        <v/>
      </c>
      <c r="X31" s="362" t="str">
        <f>IFERROR(IF(OR(LEFT(O31,5)="Error",LEFT(N31,5)="Error",T31="Error"),"Check Data ⚠",IF(F31&lt;R31,INDEX('G-6 Hedgerow Data'!$S$3:$AE$14,MATCH(C31,'G-6 Hedgerow Data'!$B$3:$B$14,0),MATCH(M31,'G-6 Hedgerow Data'!$S$2:$AE$2,0)),INDEX('G-6 Hedgerow Data'!$K$3:$Q$14,MATCH(M31,'G-6 Hedgerow Data'!$B$3:$B$14,0),MATCH(O31,'G-6 Hedgerow Data'!$K$2:$Q$2,0)))),"")</f>
        <v/>
      </c>
      <c r="Y31" s="159"/>
      <c r="Z31" s="159"/>
      <c r="AA31" s="370" t="str">
        <f t="shared" si="3"/>
        <v/>
      </c>
      <c r="AB31" s="383" t="str">
        <f t="shared" si="4"/>
        <v/>
      </c>
      <c r="AC31" s="384" t="str">
        <f t="shared" si="1"/>
        <v/>
      </c>
      <c r="AD31" s="398" t="str">
        <f>IF(M31="","",VLOOKUP(M31,'G-6 Hedgerow Data'!$B$3:$AG$15,31,FALSE))</f>
        <v/>
      </c>
      <c r="AE31" s="382" t="str">
        <f t="shared" si="5"/>
        <v/>
      </c>
      <c r="AF31" s="382" t="str">
        <f t="shared" si="6"/>
        <v/>
      </c>
      <c r="AG31" s="386" t="str">
        <f>IFERROR(IF(O31="","",VLOOKUP(AD31,'G-3 Multipliers'!$P$3:$Q$6,2,FALSE)),"")</f>
        <v/>
      </c>
      <c r="AH31" s="160"/>
      <c r="AI31" s="363" t="str">
        <f>IF(AH31="","",IF(VLOOKUP(AH31,'G-3 Multipliers'!$S$3:$T$10,2,FALSE)=0,"Spatial Data Missing ⚠",VLOOKUP(AH31,'G-3 Multipliers'!$S$3:$T$10,2,FALSE)))</f>
        <v/>
      </c>
      <c r="AJ31" s="405" t="str">
        <f t="shared" si="7"/>
        <v/>
      </c>
      <c r="AK31" s="376" t="str">
        <f t="shared" si="8"/>
        <v/>
      </c>
      <c r="AL31" s="117"/>
      <c r="AM31" s="118"/>
      <c r="AN31" s="120"/>
      <c r="AO31" s="120"/>
      <c r="AQ31" s="30" t="str">
        <f>IFERROR(INDEX('G-6 Hedgerow Data'!$BJ$3:$BJ$15,MATCH(M31,'G-6 Hedgerow Data'!$B$3:$B$15,0)),"")</f>
        <v/>
      </c>
    </row>
    <row r="32" spans="2:43" ht="15">
      <c r="B32" s="392" t="str">
        <f>'E-1 Off-Site Hedge Baseline'!AN30</f>
        <v/>
      </c>
      <c r="C32" s="382" t="str">
        <f>IF(B32="","",IF(ISNA(VLOOKUP($B32,'E-1 Off-Site Hedge Baseline'!$B$1:$L$257,3,FALSE)),"",(VLOOKUP($B32,'E-1 Off-Site Hedge Baseline'!$B$1:$L$257,3,FALSE))))</f>
        <v/>
      </c>
      <c r="D32" s="382" t="str">
        <f>IF(B32="","",IF(ISNA(VLOOKUP($B32,'E-1 Off-Site Hedge Baseline'!$B$1:$L$258,4,FALSE)),"",(VLOOKUP($B32,'E-1 Off-Site Hedge Baseline'!$B$1:$L$258,4,FALSE))))</f>
        <v/>
      </c>
      <c r="E32" s="382" t="str">
        <f>IF(B32="","",IF(ISNA(VLOOKUP($B32,'E-1 Off-Site Hedge Baseline'!$B$1:$L$257,5,FALSE)),"",(VLOOKUP($B32,'E-1 Off-Site Hedge Baseline'!$B$1:$L$257,5,FALSE))))</f>
        <v/>
      </c>
      <c r="F32" s="382" t="str">
        <f>IF(B32="","",IF(ISNA(VLOOKUP($B32,'E-1 Off-Site Hedge Baseline'!$B$1:$L$257,6,FALSE)),"",(VLOOKUP($B32,'E-1 Off-Site Hedge Baseline'!$B$1:$L$257,6,FALSE))))</f>
        <v/>
      </c>
      <c r="G32" s="382" t="str">
        <f>IF(B32="","",IF(ISNA(VLOOKUP($B32,'E-1 Off-Site Hedge Baseline'!$B$1:$L$257,7,FALSE)),"",(VLOOKUP($B32,'E-1 Off-Site Hedge Baseline'!$B$1:$L$257,7,FALSE))))</f>
        <v/>
      </c>
      <c r="H32" s="382" t="str">
        <f>IF(B32="","",IF(ISNA(VLOOKUP($B32,'E-1 Off-Site Hedge Baseline'!$B$1:$L$257,8,FALSE)),"",(VLOOKUP($B32,'E-1 Off-Site Hedge Baseline'!$B$1:$L$257,8,FALSE))))</f>
        <v/>
      </c>
      <c r="I32" s="382" t="str">
        <f>IF(B32="","",IF(ISNA(VLOOKUP($B32,'E-1 Off-Site Hedge Baseline'!$B$1:$L$257,10,FALSE)),"",(VLOOKUP($B32,'E-1 Off-Site Hedge Baseline'!$B$1:$L$257,10,FALSE))))</f>
        <v/>
      </c>
      <c r="J32" s="382" t="str">
        <f>IF(B32="","",IF(ISNA(VLOOKUP($B32,'E-1 Off-Site Hedge Baseline'!$B$1:$L$257,11,FALSE)),"",(VLOOKUP($B32,'E-1 Off-Site Hedge Baseline'!$B$1:$L$257,11,FALSE))))</f>
        <v/>
      </c>
      <c r="K32" s="382" t="str">
        <f>IF(B32="","",IF(ISNA(VLOOKUP($B32,'E-1 Off-Site Hedge Baseline'!$B$1:$X$257,113,FALSE)),"",(VLOOKUP($B32,'E-1 Off-Site Hedge Baseline'!$B$1:$X$257,13,FALSE))))</f>
        <v/>
      </c>
      <c r="L32" s="370" t="str">
        <f>IF(B32="","",IF(ISNA(VLOOKUP($B32,'E-1 Off-Site Hedge Baseline'!$B$1:$X$257,12,FALSE)),"",(VLOOKUP($B32,'E-1 Off-Site Hedge Baseline'!$B$1:$X$257,12,FALSE))))</f>
        <v/>
      </c>
      <c r="M32" s="316" t="str">
        <f t="shared" si="0"/>
        <v/>
      </c>
      <c r="N32" s="362" t="str">
        <f>IFERROR(IF(B32="","",INDEX('G-6 Hedgerow Data'!$AN$3:$AZ$15,MATCH(C32,'G-6 Hedgerow Data'!$AM$3:$AM$15,0),MATCH(M32,'G-6 Hedgerow Data'!$AN$2:$AZ$2,0))),"")</f>
        <v/>
      </c>
      <c r="O32" s="363" t="str">
        <f t="shared" si="2"/>
        <v/>
      </c>
      <c r="P32" s="368" t="str">
        <f>IF(B32="","",VLOOKUP(B32,'E-1 Off-Site Hedge Baseline'!$B$10:W277,19,FALSE))</f>
        <v/>
      </c>
      <c r="Q32" s="362" t="str">
        <f>IF(M32="","",VLOOKUP(M32,'G-6 Hedgerow Data'!$B$2:$AG$15,2,FALSE))</f>
        <v/>
      </c>
      <c r="R32" s="363" t="str">
        <f>IF(M32="","",VLOOKUP(M32,'G-6 Hedgerow Data'!$B$2:$AG$15,3,FALSE))</f>
        <v/>
      </c>
      <c r="S32" s="55"/>
      <c r="T32" s="363" t="str">
        <f>IFERROR(IF(AND(Q32="V.Low",OR(S32="Good",S32="Moderate")),"Error ▲",VLOOKUP(S32,'G-1 All Habitats'!$Z$2:$AA$9,2,FALSE)),"")</f>
        <v/>
      </c>
      <c r="U32" s="115"/>
      <c r="V32" s="370" t="str">
        <f>IF(U32="","",IF(VLOOKUP(U32,'G-3 Multipliers'!$L$3:$N$6,2,FALSE)=0,"Spatial Data Missing ⚠",VLOOKUP(U32,'G-3 Multipliers'!$L$3:$N$6,2,FALSE)))</f>
        <v/>
      </c>
      <c r="W32" s="368" t="str">
        <f>IF(U32="","",IF(VLOOKUP(U32,'G-3 Multipliers'!$L$3:$N$6,3,FALSE)=0,"Spatial Data Missing ⚠",VLOOKUP(U32,'G-3 Multipliers'!$L$3:$N$6,3,FALSE)))</f>
        <v/>
      </c>
      <c r="X32" s="362" t="str">
        <f>IFERROR(IF(OR(LEFT(O32,5)="Error",LEFT(N32,5)="Error",T32="Error"),"Check Data ⚠",IF(F32&lt;R32,INDEX('G-6 Hedgerow Data'!$S$3:$AE$14,MATCH(C32,'G-6 Hedgerow Data'!$B$3:$B$14,0),MATCH(M32,'G-6 Hedgerow Data'!$S$2:$AE$2,0)),INDEX('G-6 Hedgerow Data'!$K$3:$Q$14,MATCH(M32,'G-6 Hedgerow Data'!$B$3:$B$14,0),MATCH(O32,'G-6 Hedgerow Data'!$K$2:$Q$2,0)))),"")</f>
        <v/>
      </c>
      <c r="Y32" s="159"/>
      <c r="Z32" s="159"/>
      <c r="AA32" s="370" t="str">
        <f t="shared" si="3"/>
        <v/>
      </c>
      <c r="AB32" s="383" t="str">
        <f t="shared" si="4"/>
        <v/>
      </c>
      <c r="AC32" s="384" t="str">
        <f t="shared" si="1"/>
        <v/>
      </c>
      <c r="AD32" s="398" t="str">
        <f>IF(M32="","",VLOOKUP(M32,'G-6 Hedgerow Data'!$B$3:$AG$15,31,FALSE))</f>
        <v/>
      </c>
      <c r="AE32" s="382" t="str">
        <f t="shared" si="5"/>
        <v/>
      </c>
      <c r="AF32" s="382" t="str">
        <f t="shared" si="6"/>
        <v/>
      </c>
      <c r="AG32" s="386" t="str">
        <f>IFERROR(IF(O32="","",VLOOKUP(AD32,'G-3 Multipliers'!$P$3:$Q$6,2,FALSE)),"")</f>
        <v/>
      </c>
      <c r="AH32" s="160"/>
      <c r="AI32" s="363" t="str">
        <f>IF(AH32="","",IF(VLOOKUP(AH32,'G-3 Multipliers'!$S$3:$T$10,2,FALSE)=0,"Spatial Data Missing ⚠",VLOOKUP(AH32,'G-3 Multipliers'!$S$3:$T$10,2,FALSE)))</f>
        <v/>
      </c>
      <c r="AJ32" s="405" t="str">
        <f t="shared" si="7"/>
        <v/>
      </c>
      <c r="AK32" s="376" t="str">
        <f t="shared" si="8"/>
        <v/>
      </c>
      <c r="AL32" s="117"/>
      <c r="AM32" s="118"/>
      <c r="AN32" s="120"/>
      <c r="AO32" s="120"/>
      <c r="AQ32" s="30" t="str">
        <f>IFERROR(INDEX('G-6 Hedgerow Data'!$BJ$3:$BJ$15,MATCH(M32,'G-6 Hedgerow Data'!$B$3:$B$15,0)),"")</f>
        <v/>
      </c>
    </row>
    <row r="33" spans="2:43" ht="15">
      <c r="B33" s="392" t="str">
        <f>'E-1 Off-Site Hedge Baseline'!AN31</f>
        <v/>
      </c>
      <c r="C33" s="382" t="str">
        <f>IF(B33="","",IF(ISNA(VLOOKUP($B33,'E-1 Off-Site Hedge Baseline'!$B$1:$L$257,3,FALSE)),"",(VLOOKUP($B33,'E-1 Off-Site Hedge Baseline'!$B$1:$L$257,3,FALSE))))</f>
        <v/>
      </c>
      <c r="D33" s="382" t="str">
        <f>IF(B33="","",IF(ISNA(VLOOKUP($B33,'E-1 Off-Site Hedge Baseline'!$B$1:$L$258,4,FALSE)),"",(VLOOKUP($B33,'E-1 Off-Site Hedge Baseline'!$B$1:$L$258,4,FALSE))))</f>
        <v/>
      </c>
      <c r="E33" s="382" t="str">
        <f>IF(B33="","",IF(ISNA(VLOOKUP($B33,'E-1 Off-Site Hedge Baseline'!$B$1:$L$257,5,FALSE)),"",(VLOOKUP($B33,'E-1 Off-Site Hedge Baseline'!$B$1:$L$257,5,FALSE))))</f>
        <v/>
      </c>
      <c r="F33" s="382" t="str">
        <f>IF(B33="","",IF(ISNA(VLOOKUP($B33,'E-1 Off-Site Hedge Baseline'!$B$1:$L$257,6,FALSE)),"",(VLOOKUP($B33,'E-1 Off-Site Hedge Baseline'!$B$1:$L$257,6,FALSE))))</f>
        <v/>
      </c>
      <c r="G33" s="382" t="str">
        <f>IF(B33="","",IF(ISNA(VLOOKUP($B33,'E-1 Off-Site Hedge Baseline'!$B$1:$L$257,7,FALSE)),"",(VLOOKUP($B33,'E-1 Off-Site Hedge Baseline'!$B$1:$L$257,7,FALSE))))</f>
        <v/>
      </c>
      <c r="H33" s="382" t="str">
        <f>IF(B33="","",IF(ISNA(VLOOKUP($B33,'E-1 Off-Site Hedge Baseline'!$B$1:$L$257,8,FALSE)),"",(VLOOKUP($B33,'E-1 Off-Site Hedge Baseline'!$B$1:$L$257,8,FALSE))))</f>
        <v/>
      </c>
      <c r="I33" s="382" t="str">
        <f>IF(B33="","",IF(ISNA(VLOOKUP($B33,'E-1 Off-Site Hedge Baseline'!$B$1:$L$257,10,FALSE)),"",(VLOOKUP($B33,'E-1 Off-Site Hedge Baseline'!$B$1:$L$257,10,FALSE))))</f>
        <v/>
      </c>
      <c r="J33" s="382" t="str">
        <f>IF(B33="","",IF(ISNA(VLOOKUP($B33,'E-1 Off-Site Hedge Baseline'!$B$1:$L$257,11,FALSE)),"",(VLOOKUP($B33,'E-1 Off-Site Hedge Baseline'!$B$1:$L$257,11,FALSE))))</f>
        <v/>
      </c>
      <c r="K33" s="382" t="str">
        <f>IF(B33="","",IF(ISNA(VLOOKUP($B33,'E-1 Off-Site Hedge Baseline'!$B$1:$X$257,113,FALSE)),"",(VLOOKUP($B33,'E-1 Off-Site Hedge Baseline'!$B$1:$X$257,13,FALSE))))</f>
        <v/>
      </c>
      <c r="L33" s="370" t="str">
        <f>IF(B33="","",IF(ISNA(VLOOKUP($B33,'E-1 Off-Site Hedge Baseline'!$B$1:$X$257,12,FALSE)),"",(VLOOKUP($B33,'E-1 Off-Site Hedge Baseline'!$B$1:$X$257,12,FALSE))))</f>
        <v/>
      </c>
      <c r="M33" s="316" t="str">
        <f t="shared" si="0"/>
        <v/>
      </c>
      <c r="N33" s="362" t="str">
        <f>IFERROR(IF(B33="","",INDEX('G-6 Hedgerow Data'!$AN$3:$AZ$15,MATCH(C33,'G-6 Hedgerow Data'!$AM$3:$AM$15,0),MATCH(M33,'G-6 Hedgerow Data'!$AN$2:$AZ$2,0))),"")</f>
        <v/>
      </c>
      <c r="O33" s="363" t="str">
        <f t="shared" si="2"/>
        <v/>
      </c>
      <c r="P33" s="368" t="str">
        <f>IF(B33="","",VLOOKUP(B33,'E-1 Off-Site Hedge Baseline'!$B$10:W278,19,FALSE))</f>
        <v/>
      </c>
      <c r="Q33" s="362" t="str">
        <f>IF(M33="","",VLOOKUP(M33,'G-6 Hedgerow Data'!$B$2:$AG$15,2,FALSE))</f>
        <v/>
      </c>
      <c r="R33" s="363" t="str">
        <f>IF(M33="","",VLOOKUP(M33,'G-6 Hedgerow Data'!$B$2:$AG$15,3,FALSE))</f>
        <v/>
      </c>
      <c r="S33" s="55"/>
      <c r="T33" s="363" t="str">
        <f>IFERROR(IF(AND(Q33="V.Low",OR(S33="Good",S33="Moderate")),"Error ▲",VLOOKUP(S33,'G-1 All Habitats'!$Z$2:$AA$9,2,FALSE)),"")</f>
        <v/>
      </c>
      <c r="U33" s="115"/>
      <c r="V33" s="370" t="str">
        <f>IF(U33="","",IF(VLOOKUP(U33,'G-3 Multipliers'!$L$3:$N$6,2,FALSE)=0,"Spatial Data Missing ⚠",VLOOKUP(U33,'G-3 Multipliers'!$L$3:$N$6,2,FALSE)))</f>
        <v/>
      </c>
      <c r="W33" s="368" t="str">
        <f>IF(U33="","",IF(VLOOKUP(U33,'G-3 Multipliers'!$L$3:$N$6,3,FALSE)=0,"Spatial Data Missing ⚠",VLOOKUP(U33,'G-3 Multipliers'!$L$3:$N$6,3,FALSE)))</f>
        <v/>
      </c>
      <c r="X33" s="362" t="str">
        <f>IFERROR(IF(OR(LEFT(O33,5)="Error",LEFT(N33,5)="Error",T33="Error"),"Check Data ⚠",IF(F33&lt;R33,INDEX('G-6 Hedgerow Data'!$S$3:$AE$14,MATCH(C33,'G-6 Hedgerow Data'!$B$3:$B$14,0),MATCH(M33,'G-6 Hedgerow Data'!$S$2:$AE$2,0)),INDEX('G-6 Hedgerow Data'!$K$3:$Q$14,MATCH(M33,'G-6 Hedgerow Data'!$B$3:$B$14,0),MATCH(O33,'G-6 Hedgerow Data'!$K$2:$Q$2,0)))),"")</f>
        <v/>
      </c>
      <c r="Y33" s="159"/>
      <c r="Z33" s="159"/>
      <c r="AA33" s="370" t="str">
        <f t="shared" si="3"/>
        <v/>
      </c>
      <c r="AB33" s="383" t="str">
        <f t="shared" si="4"/>
        <v/>
      </c>
      <c r="AC33" s="384" t="str">
        <f t="shared" si="1"/>
        <v/>
      </c>
      <c r="AD33" s="398" t="str">
        <f>IF(M33="","",VLOOKUP(M33,'G-6 Hedgerow Data'!$B$3:$AG$15,31,FALSE))</f>
        <v/>
      </c>
      <c r="AE33" s="382" t="str">
        <f t="shared" si="5"/>
        <v/>
      </c>
      <c r="AF33" s="382" t="str">
        <f t="shared" si="6"/>
        <v/>
      </c>
      <c r="AG33" s="386" t="str">
        <f>IFERROR(IF(O33="","",VLOOKUP(AD33,'G-3 Multipliers'!$P$3:$Q$6,2,FALSE)),"")</f>
        <v/>
      </c>
      <c r="AH33" s="160"/>
      <c r="AI33" s="363" t="str">
        <f>IF(AH33="","",IF(VLOOKUP(AH33,'G-3 Multipliers'!$S$3:$T$10,2,FALSE)=0,"Spatial Data Missing ⚠",VLOOKUP(AH33,'G-3 Multipliers'!$S$3:$T$10,2,FALSE)))</f>
        <v/>
      </c>
      <c r="AJ33" s="405" t="str">
        <f t="shared" si="7"/>
        <v/>
      </c>
      <c r="AK33" s="376" t="str">
        <f t="shared" si="8"/>
        <v/>
      </c>
      <c r="AL33" s="117"/>
      <c r="AM33" s="118"/>
      <c r="AN33" s="120"/>
      <c r="AO33" s="120"/>
      <c r="AQ33" s="30" t="str">
        <f>IFERROR(INDEX('G-6 Hedgerow Data'!$BJ$3:$BJ$15,MATCH(M33,'G-6 Hedgerow Data'!$B$3:$B$15,0)),"")</f>
        <v/>
      </c>
    </row>
    <row r="34" spans="2:43" ht="15">
      <c r="B34" s="392" t="str">
        <f>'E-1 Off-Site Hedge Baseline'!AN32</f>
        <v/>
      </c>
      <c r="C34" s="382" t="str">
        <f>IF(B34="","",IF(ISNA(VLOOKUP($B34,'E-1 Off-Site Hedge Baseline'!$B$1:$L$257,3,FALSE)),"",(VLOOKUP($B34,'E-1 Off-Site Hedge Baseline'!$B$1:$L$257,3,FALSE))))</f>
        <v/>
      </c>
      <c r="D34" s="382" t="str">
        <f>IF(B34="","",IF(ISNA(VLOOKUP($B34,'E-1 Off-Site Hedge Baseline'!$B$1:$L$258,4,FALSE)),"",(VLOOKUP($B34,'E-1 Off-Site Hedge Baseline'!$B$1:$L$258,4,FALSE))))</f>
        <v/>
      </c>
      <c r="E34" s="382" t="str">
        <f>IF(B34="","",IF(ISNA(VLOOKUP($B34,'E-1 Off-Site Hedge Baseline'!$B$1:$L$257,5,FALSE)),"",(VLOOKUP($B34,'E-1 Off-Site Hedge Baseline'!$B$1:$L$257,5,FALSE))))</f>
        <v/>
      </c>
      <c r="F34" s="382" t="str">
        <f>IF(B34="","",IF(ISNA(VLOOKUP($B34,'E-1 Off-Site Hedge Baseline'!$B$1:$L$257,6,FALSE)),"",(VLOOKUP($B34,'E-1 Off-Site Hedge Baseline'!$B$1:$L$257,6,FALSE))))</f>
        <v/>
      </c>
      <c r="G34" s="382" t="str">
        <f>IF(B34="","",IF(ISNA(VLOOKUP($B34,'E-1 Off-Site Hedge Baseline'!$B$1:$L$257,7,FALSE)),"",(VLOOKUP($B34,'E-1 Off-Site Hedge Baseline'!$B$1:$L$257,7,FALSE))))</f>
        <v/>
      </c>
      <c r="H34" s="382" t="str">
        <f>IF(B34="","",IF(ISNA(VLOOKUP($B34,'E-1 Off-Site Hedge Baseline'!$B$1:$L$257,8,FALSE)),"",(VLOOKUP($B34,'E-1 Off-Site Hedge Baseline'!$B$1:$L$257,8,FALSE))))</f>
        <v/>
      </c>
      <c r="I34" s="382" t="str">
        <f>IF(B34="","",IF(ISNA(VLOOKUP($B34,'E-1 Off-Site Hedge Baseline'!$B$1:$L$257,10,FALSE)),"",(VLOOKUP($B34,'E-1 Off-Site Hedge Baseline'!$B$1:$L$257,10,FALSE))))</f>
        <v/>
      </c>
      <c r="J34" s="382" t="str">
        <f>IF(B34="","",IF(ISNA(VLOOKUP($B34,'E-1 Off-Site Hedge Baseline'!$B$1:$L$257,11,FALSE)),"",(VLOOKUP($B34,'E-1 Off-Site Hedge Baseline'!$B$1:$L$257,11,FALSE))))</f>
        <v/>
      </c>
      <c r="K34" s="382" t="str">
        <f>IF(B34="","",IF(ISNA(VLOOKUP($B34,'E-1 Off-Site Hedge Baseline'!$B$1:$X$257,113,FALSE)),"",(VLOOKUP($B34,'E-1 Off-Site Hedge Baseline'!$B$1:$X$257,13,FALSE))))</f>
        <v/>
      </c>
      <c r="L34" s="370" t="str">
        <f>IF(B34="","",IF(ISNA(VLOOKUP($B34,'E-1 Off-Site Hedge Baseline'!$B$1:$X$257,12,FALSE)),"",(VLOOKUP($B34,'E-1 Off-Site Hedge Baseline'!$B$1:$X$257,12,FALSE))))</f>
        <v/>
      </c>
      <c r="M34" s="316" t="str">
        <f t="shared" si="0"/>
        <v/>
      </c>
      <c r="N34" s="362" t="str">
        <f>IFERROR(IF(B34="","",INDEX('G-6 Hedgerow Data'!$AN$3:$AZ$15,MATCH(C34,'G-6 Hedgerow Data'!$AM$3:$AM$15,0),MATCH(M34,'G-6 Hedgerow Data'!$AN$2:$AZ$2,0))),"")</f>
        <v/>
      </c>
      <c r="O34" s="363" t="str">
        <f t="shared" si="2"/>
        <v/>
      </c>
      <c r="P34" s="368" t="str">
        <f>IF(B34="","",VLOOKUP(B34,'E-1 Off-Site Hedge Baseline'!$B$10:W279,19,FALSE))</f>
        <v/>
      </c>
      <c r="Q34" s="362" t="str">
        <f>IF(M34="","",VLOOKUP(M34,'G-6 Hedgerow Data'!$B$2:$AG$15,2,FALSE))</f>
        <v/>
      </c>
      <c r="R34" s="363" t="str">
        <f>IF(M34="","",VLOOKUP(M34,'G-6 Hedgerow Data'!$B$2:$AG$15,3,FALSE))</f>
        <v/>
      </c>
      <c r="S34" s="55"/>
      <c r="T34" s="363" t="str">
        <f>IFERROR(IF(AND(Q34="V.Low",OR(S34="Good",S34="Moderate")),"Error ▲",VLOOKUP(S34,'G-1 All Habitats'!$Z$2:$AA$9,2,FALSE)),"")</f>
        <v/>
      </c>
      <c r="U34" s="115"/>
      <c r="V34" s="370" t="str">
        <f>IF(U34="","",IF(VLOOKUP(U34,'G-3 Multipliers'!$L$3:$N$6,2,FALSE)=0,"Spatial Data Missing ⚠",VLOOKUP(U34,'G-3 Multipliers'!$L$3:$N$6,2,FALSE)))</f>
        <v/>
      </c>
      <c r="W34" s="368" t="str">
        <f>IF(U34="","",IF(VLOOKUP(U34,'G-3 Multipliers'!$L$3:$N$6,3,FALSE)=0,"Spatial Data Missing ⚠",VLOOKUP(U34,'G-3 Multipliers'!$L$3:$N$6,3,FALSE)))</f>
        <v/>
      </c>
      <c r="X34" s="362" t="str">
        <f>IFERROR(IF(OR(LEFT(O34,5)="Error",LEFT(N34,5)="Error",T34="Error"),"Check Data ⚠",IF(F34&lt;R34,INDEX('G-6 Hedgerow Data'!$S$3:$AE$14,MATCH(C34,'G-6 Hedgerow Data'!$B$3:$B$14,0),MATCH(M34,'G-6 Hedgerow Data'!$S$2:$AE$2,0)),INDEX('G-6 Hedgerow Data'!$K$3:$Q$14,MATCH(M34,'G-6 Hedgerow Data'!$B$3:$B$14,0),MATCH(O34,'G-6 Hedgerow Data'!$K$2:$Q$2,0)))),"")</f>
        <v/>
      </c>
      <c r="Y34" s="159"/>
      <c r="Z34" s="159"/>
      <c r="AA34" s="370" t="str">
        <f t="shared" si="3"/>
        <v/>
      </c>
      <c r="AB34" s="383" t="str">
        <f t="shared" si="4"/>
        <v/>
      </c>
      <c r="AC34" s="384" t="str">
        <f t="shared" si="1"/>
        <v/>
      </c>
      <c r="AD34" s="398" t="str">
        <f>IF(M34="","",VLOOKUP(M34,'G-6 Hedgerow Data'!$B$3:$AG$15,31,FALSE))</f>
        <v/>
      </c>
      <c r="AE34" s="382" t="str">
        <f t="shared" si="5"/>
        <v/>
      </c>
      <c r="AF34" s="382" t="str">
        <f t="shared" si="6"/>
        <v/>
      </c>
      <c r="AG34" s="386" t="str">
        <f>IFERROR(IF(O34="","",VLOOKUP(AD34,'G-3 Multipliers'!$P$3:$Q$6,2,FALSE)),"")</f>
        <v/>
      </c>
      <c r="AH34" s="160"/>
      <c r="AI34" s="363" t="str">
        <f>IF(AH34="","",IF(VLOOKUP(AH34,'G-3 Multipliers'!$S$3:$T$10,2,FALSE)=0,"Spatial Data Missing ⚠",VLOOKUP(AH34,'G-3 Multipliers'!$S$3:$T$10,2,FALSE)))</f>
        <v/>
      </c>
      <c r="AJ34" s="405" t="str">
        <f t="shared" si="7"/>
        <v/>
      </c>
      <c r="AK34" s="376" t="str">
        <f t="shared" si="8"/>
        <v/>
      </c>
      <c r="AL34" s="117"/>
      <c r="AM34" s="118"/>
      <c r="AN34" s="120"/>
      <c r="AO34" s="120"/>
      <c r="AQ34" s="30" t="str">
        <f>IFERROR(INDEX('G-6 Hedgerow Data'!$BJ$3:$BJ$15,MATCH(M34,'G-6 Hedgerow Data'!$B$3:$B$15,0)),"")</f>
        <v/>
      </c>
    </row>
    <row r="35" spans="2:43" ht="15">
      <c r="B35" s="392" t="str">
        <f>'E-1 Off-Site Hedge Baseline'!AN33</f>
        <v/>
      </c>
      <c r="C35" s="382" t="str">
        <f>IF(B35="","",IF(ISNA(VLOOKUP($B35,'E-1 Off-Site Hedge Baseline'!$B$1:$L$257,3,FALSE)),"",(VLOOKUP($B35,'E-1 Off-Site Hedge Baseline'!$B$1:$L$257,3,FALSE))))</f>
        <v/>
      </c>
      <c r="D35" s="382" t="str">
        <f>IF(B35="","",IF(ISNA(VLOOKUP($B35,'E-1 Off-Site Hedge Baseline'!$B$1:$L$258,4,FALSE)),"",(VLOOKUP($B35,'E-1 Off-Site Hedge Baseline'!$B$1:$L$258,4,FALSE))))</f>
        <v/>
      </c>
      <c r="E35" s="382" t="str">
        <f>IF(B35="","",IF(ISNA(VLOOKUP($B35,'E-1 Off-Site Hedge Baseline'!$B$1:$L$257,5,FALSE)),"",(VLOOKUP($B35,'E-1 Off-Site Hedge Baseline'!$B$1:$L$257,5,FALSE))))</f>
        <v/>
      </c>
      <c r="F35" s="382" t="str">
        <f>IF(B35="","",IF(ISNA(VLOOKUP($B35,'E-1 Off-Site Hedge Baseline'!$B$1:$L$257,6,FALSE)),"",(VLOOKUP($B35,'E-1 Off-Site Hedge Baseline'!$B$1:$L$257,6,FALSE))))</f>
        <v/>
      </c>
      <c r="G35" s="382" t="str">
        <f>IF(B35="","",IF(ISNA(VLOOKUP($B35,'E-1 Off-Site Hedge Baseline'!$B$1:$L$257,7,FALSE)),"",(VLOOKUP($B35,'E-1 Off-Site Hedge Baseline'!$B$1:$L$257,7,FALSE))))</f>
        <v/>
      </c>
      <c r="H35" s="382" t="str">
        <f>IF(B35="","",IF(ISNA(VLOOKUP($B35,'E-1 Off-Site Hedge Baseline'!$B$1:$L$257,8,FALSE)),"",(VLOOKUP($B35,'E-1 Off-Site Hedge Baseline'!$B$1:$L$257,8,FALSE))))</f>
        <v/>
      </c>
      <c r="I35" s="382" t="str">
        <f>IF(B35="","",IF(ISNA(VLOOKUP($B35,'E-1 Off-Site Hedge Baseline'!$B$1:$L$257,10,FALSE)),"",(VLOOKUP($B35,'E-1 Off-Site Hedge Baseline'!$B$1:$L$257,10,FALSE))))</f>
        <v/>
      </c>
      <c r="J35" s="382" t="str">
        <f>IF(B35="","",IF(ISNA(VLOOKUP($B35,'E-1 Off-Site Hedge Baseline'!$B$1:$L$257,11,FALSE)),"",(VLOOKUP($B35,'E-1 Off-Site Hedge Baseline'!$B$1:$L$257,11,FALSE))))</f>
        <v/>
      </c>
      <c r="K35" s="382" t="str">
        <f>IF(B35="","",IF(ISNA(VLOOKUP($B35,'E-1 Off-Site Hedge Baseline'!$B$1:$X$257,113,FALSE)),"",(VLOOKUP($B35,'E-1 Off-Site Hedge Baseline'!$B$1:$X$257,13,FALSE))))</f>
        <v/>
      </c>
      <c r="L35" s="370" t="str">
        <f>IF(B35="","",IF(ISNA(VLOOKUP($B35,'E-1 Off-Site Hedge Baseline'!$B$1:$X$257,12,FALSE)),"",(VLOOKUP($B35,'E-1 Off-Site Hedge Baseline'!$B$1:$X$257,12,FALSE))))</f>
        <v/>
      </c>
      <c r="M35" s="316" t="str">
        <f t="shared" si="0"/>
        <v/>
      </c>
      <c r="N35" s="362" t="str">
        <f>IFERROR(IF(B35="","",INDEX('G-6 Hedgerow Data'!$AN$3:$AZ$15,MATCH(C35,'G-6 Hedgerow Data'!$AM$3:$AM$15,0),MATCH(M35,'G-6 Hedgerow Data'!$AN$2:$AZ$2,0))),"")</f>
        <v/>
      </c>
      <c r="O35" s="363" t="str">
        <f t="shared" si="2"/>
        <v/>
      </c>
      <c r="P35" s="368" t="str">
        <f>IF(B35="","",VLOOKUP(B35,'E-1 Off-Site Hedge Baseline'!$B$10:W280,19,FALSE))</f>
        <v/>
      </c>
      <c r="Q35" s="362" t="str">
        <f>IF(M35="","",VLOOKUP(M35,'G-6 Hedgerow Data'!$B$2:$AG$15,2,FALSE))</f>
        <v/>
      </c>
      <c r="R35" s="363" t="str">
        <f>IF(M35="","",VLOOKUP(M35,'G-6 Hedgerow Data'!$B$2:$AG$15,3,FALSE))</f>
        <v/>
      </c>
      <c r="S35" s="55"/>
      <c r="T35" s="363" t="str">
        <f>IFERROR(IF(AND(Q35="V.Low",OR(S35="Good",S35="Moderate")),"Error ▲",VLOOKUP(S35,'G-1 All Habitats'!$Z$2:$AA$9,2,FALSE)),"")</f>
        <v/>
      </c>
      <c r="U35" s="115"/>
      <c r="V35" s="370" t="str">
        <f>IF(U35="","",IF(VLOOKUP(U35,'G-3 Multipliers'!$L$3:$N$6,2,FALSE)=0,"Spatial Data Missing ⚠",VLOOKUP(U35,'G-3 Multipliers'!$L$3:$N$6,2,FALSE)))</f>
        <v/>
      </c>
      <c r="W35" s="368" t="str">
        <f>IF(U35="","",IF(VLOOKUP(U35,'G-3 Multipliers'!$L$3:$N$6,3,FALSE)=0,"Spatial Data Missing ⚠",VLOOKUP(U35,'G-3 Multipliers'!$L$3:$N$6,3,FALSE)))</f>
        <v/>
      </c>
      <c r="X35" s="362" t="str">
        <f>IFERROR(IF(OR(LEFT(O35,5)="Error",LEFT(N35,5)="Error",T35="Error"),"Check Data ⚠",IF(F35&lt;R35,INDEX('G-6 Hedgerow Data'!$S$3:$AE$14,MATCH(C35,'G-6 Hedgerow Data'!$B$3:$B$14,0),MATCH(M35,'G-6 Hedgerow Data'!$S$2:$AE$2,0)),INDEX('G-6 Hedgerow Data'!$K$3:$Q$14,MATCH(M35,'G-6 Hedgerow Data'!$B$3:$B$14,0),MATCH(O35,'G-6 Hedgerow Data'!$K$2:$Q$2,0)))),"")</f>
        <v/>
      </c>
      <c r="Y35" s="159"/>
      <c r="Z35" s="159"/>
      <c r="AA35" s="370" t="str">
        <f t="shared" si="3"/>
        <v/>
      </c>
      <c r="AB35" s="383" t="str">
        <f t="shared" si="4"/>
        <v/>
      </c>
      <c r="AC35" s="384" t="str">
        <f t="shared" si="1"/>
        <v/>
      </c>
      <c r="AD35" s="398" t="str">
        <f>IF(M35="","",VLOOKUP(M35,'G-6 Hedgerow Data'!$B$3:$AG$15,31,FALSE))</f>
        <v/>
      </c>
      <c r="AE35" s="382" t="str">
        <f t="shared" si="5"/>
        <v/>
      </c>
      <c r="AF35" s="382" t="str">
        <f t="shared" si="6"/>
        <v/>
      </c>
      <c r="AG35" s="386" t="str">
        <f>IFERROR(IF(O35="","",VLOOKUP(AD35,'G-3 Multipliers'!$P$3:$Q$6,2,FALSE)),"")</f>
        <v/>
      </c>
      <c r="AH35" s="160"/>
      <c r="AI35" s="363" t="str">
        <f>IF(AH35="","",IF(VLOOKUP(AH35,'G-3 Multipliers'!$S$3:$T$10,2,FALSE)=0,"Spatial Data Missing ⚠",VLOOKUP(AH35,'G-3 Multipliers'!$S$3:$T$10,2,FALSE)))</f>
        <v/>
      </c>
      <c r="AJ35" s="405" t="str">
        <f t="shared" si="7"/>
        <v/>
      </c>
      <c r="AK35" s="376" t="str">
        <f t="shared" si="8"/>
        <v/>
      </c>
      <c r="AL35" s="117"/>
      <c r="AM35" s="118"/>
      <c r="AN35" s="120"/>
      <c r="AO35" s="120"/>
      <c r="AQ35" s="30" t="str">
        <f>IFERROR(INDEX('G-6 Hedgerow Data'!$BJ$3:$BJ$15,MATCH(M35,'G-6 Hedgerow Data'!$B$3:$B$15,0)),"")</f>
        <v/>
      </c>
    </row>
    <row r="36" spans="2:43" ht="15">
      <c r="B36" s="392" t="str">
        <f>'E-1 Off-Site Hedge Baseline'!AN34</f>
        <v/>
      </c>
      <c r="C36" s="382" t="str">
        <f>IF(B36="","",IF(ISNA(VLOOKUP($B36,'E-1 Off-Site Hedge Baseline'!$B$1:$L$257,3,FALSE)),"",(VLOOKUP($B36,'E-1 Off-Site Hedge Baseline'!$B$1:$L$257,3,FALSE))))</f>
        <v/>
      </c>
      <c r="D36" s="382" t="str">
        <f>IF(B36="","",IF(ISNA(VLOOKUP($B36,'E-1 Off-Site Hedge Baseline'!$B$1:$L$258,4,FALSE)),"",(VLOOKUP($B36,'E-1 Off-Site Hedge Baseline'!$B$1:$L$258,4,FALSE))))</f>
        <v/>
      </c>
      <c r="E36" s="382" t="str">
        <f>IF(B36="","",IF(ISNA(VLOOKUP($B36,'E-1 Off-Site Hedge Baseline'!$B$1:$L$257,5,FALSE)),"",(VLOOKUP($B36,'E-1 Off-Site Hedge Baseline'!$B$1:$L$257,5,FALSE))))</f>
        <v/>
      </c>
      <c r="F36" s="382" t="str">
        <f>IF(B36="","",IF(ISNA(VLOOKUP($B36,'E-1 Off-Site Hedge Baseline'!$B$1:$L$257,6,FALSE)),"",(VLOOKUP($B36,'E-1 Off-Site Hedge Baseline'!$B$1:$L$257,6,FALSE))))</f>
        <v/>
      </c>
      <c r="G36" s="382" t="str">
        <f>IF(B36="","",IF(ISNA(VLOOKUP($B36,'E-1 Off-Site Hedge Baseline'!$B$1:$L$257,7,FALSE)),"",(VLOOKUP($B36,'E-1 Off-Site Hedge Baseline'!$B$1:$L$257,7,FALSE))))</f>
        <v/>
      </c>
      <c r="H36" s="382" t="str">
        <f>IF(B36="","",IF(ISNA(VLOOKUP($B36,'E-1 Off-Site Hedge Baseline'!$B$1:$L$257,8,FALSE)),"",(VLOOKUP($B36,'E-1 Off-Site Hedge Baseline'!$B$1:$L$257,8,FALSE))))</f>
        <v/>
      </c>
      <c r="I36" s="382" t="str">
        <f>IF(B36="","",IF(ISNA(VLOOKUP($B36,'E-1 Off-Site Hedge Baseline'!$B$1:$L$257,10,FALSE)),"",(VLOOKUP($B36,'E-1 Off-Site Hedge Baseline'!$B$1:$L$257,10,FALSE))))</f>
        <v/>
      </c>
      <c r="J36" s="382" t="str">
        <f>IF(B36="","",IF(ISNA(VLOOKUP($B36,'E-1 Off-Site Hedge Baseline'!$B$1:$L$257,11,FALSE)),"",(VLOOKUP($B36,'E-1 Off-Site Hedge Baseline'!$B$1:$L$257,11,FALSE))))</f>
        <v/>
      </c>
      <c r="K36" s="382" t="str">
        <f>IF(B36="","",IF(ISNA(VLOOKUP($B36,'E-1 Off-Site Hedge Baseline'!$B$1:$X$257,113,FALSE)),"",(VLOOKUP($B36,'E-1 Off-Site Hedge Baseline'!$B$1:$X$257,13,FALSE))))</f>
        <v/>
      </c>
      <c r="L36" s="370" t="str">
        <f>IF(B36="","",IF(ISNA(VLOOKUP($B36,'E-1 Off-Site Hedge Baseline'!$B$1:$X$257,12,FALSE)),"",(VLOOKUP($B36,'E-1 Off-Site Hedge Baseline'!$B$1:$X$257,12,FALSE))))</f>
        <v/>
      </c>
      <c r="M36" s="316" t="str">
        <f t="shared" si="0"/>
        <v/>
      </c>
      <c r="N36" s="362" t="str">
        <f>IFERROR(IF(B36="","",INDEX('G-6 Hedgerow Data'!$AN$3:$AZ$15,MATCH(C36,'G-6 Hedgerow Data'!$AM$3:$AM$15,0),MATCH(M36,'G-6 Hedgerow Data'!$AN$2:$AZ$2,0))),"")</f>
        <v/>
      </c>
      <c r="O36" s="363" t="str">
        <f t="shared" si="2"/>
        <v/>
      </c>
      <c r="P36" s="368" t="str">
        <f>IF(B36="","",VLOOKUP(B36,'E-1 Off-Site Hedge Baseline'!$B$10:W281,19,FALSE))</f>
        <v/>
      </c>
      <c r="Q36" s="362" t="str">
        <f>IF(M36="","",VLOOKUP(M36,'G-6 Hedgerow Data'!$B$2:$AG$15,2,FALSE))</f>
        <v/>
      </c>
      <c r="R36" s="363" t="str">
        <f>IF(M36="","",VLOOKUP(M36,'G-6 Hedgerow Data'!$B$2:$AG$15,3,FALSE))</f>
        <v/>
      </c>
      <c r="S36" s="55"/>
      <c r="T36" s="363" t="str">
        <f>IFERROR(IF(AND(Q36="V.Low",OR(S36="Good",S36="Moderate")),"Error ▲",VLOOKUP(S36,'G-1 All Habitats'!$Z$2:$AA$9,2,FALSE)),"")</f>
        <v/>
      </c>
      <c r="U36" s="115"/>
      <c r="V36" s="370" t="str">
        <f>IF(U36="","",IF(VLOOKUP(U36,'G-3 Multipliers'!$L$3:$N$6,2,FALSE)=0,"Spatial Data Missing ⚠",VLOOKUP(U36,'G-3 Multipliers'!$L$3:$N$6,2,FALSE)))</f>
        <v/>
      </c>
      <c r="W36" s="368" t="str">
        <f>IF(U36="","",IF(VLOOKUP(U36,'G-3 Multipliers'!$L$3:$N$6,3,FALSE)=0,"Spatial Data Missing ⚠",VLOOKUP(U36,'G-3 Multipliers'!$L$3:$N$6,3,FALSE)))</f>
        <v/>
      </c>
      <c r="X36" s="362" t="str">
        <f>IFERROR(IF(OR(LEFT(O36,5)="Error",LEFT(N36,5)="Error",T36="Error"),"Check Data ⚠",IF(F36&lt;R36,INDEX('G-6 Hedgerow Data'!$S$3:$AE$14,MATCH(C36,'G-6 Hedgerow Data'!$B$3:$B$14,0),MATCH(M36,'G-6 Hedgerow Data'!$S$2:$AE$2,0)),INDEX('G-6 Hedgerow Data'!$K$3:$Q$14,MATCH(M36,'G-6 Hedgerow Data'!$B$3:$B$14,0),MATCH(O36,'G-6 Hedgerow Data'!$K$2:$Q$2,0)))),"")</f>
        <v/>
      </c>
      <c r="Y36" s="159"/>
      <c r="Z36" s="159"/>
      <c r="AA36" s="370" t="str">
        <f t="shared" si="3"/>
        <v/>
      </c>
      <c r="AB36" s="383" t="str">
        <f t="shared" si="4"/>
        <v/>
      </c>
      <c r="AC36" s="384" t="str">
        <f t="shared" si="1"/>
        <v/>
      </c>
      <c r="AD36" s="398" t="str">
        <f>IF(M36="","",VLOOKUP(M36,'G-6 Hedgerow Data'!$B$3:$AG$15,31,FALSE))</f>
        <v/>
      </c>
      <c r="AE36" s="382" t="str">
        <f t="shared" si="5"/>
        <v/>
      </c>
      <c r="AF36" s="382" t="str">
        <f t="shared" si="6"/>
        <v/>
      </c>
      <c r="AG36" s="386" t="str">
        <f>IFERROR(IF(O36="","",VLOOKUP(AD36,'G-3 Multipliers'!$P$3:$Q$6,2,FALSE)),"")</f>
        <v/>
      </c>
      <c r="AH36" s="160"/>
      <c r="AI36" s="363" t="str">
        <f>IF(AH36="","",IF(VLOOKUP(AH36,'G-3 Multipliers'!$S$3:$T$10,2,FALSE)=0,"Spatial Data Missing ⚠",VLOOKUP(AH36,'G-3 Multipliers'!$S$3:$T$10,2,FALSE)))</f>
        <v/>
      </c>
      <c r="AJ36" s="405" t="str">
        <f t="shared" si="7"/>
        <v/>
      </c>
      <c r="AK36" s="376" t="str">
        <f t="shared" si="8"/>
        <v/>
      </c>
      <c r="AL36" s="117"/>
      <c r="AM36" s="118"/>
      <c r="AN36" s="120"/>
      <c r="AO36" s="120"/>
      <c r="AQ36" s="30" t="str">
        <f>IFERROR(INDEX('G-6 Hedgerow Data'!$BJ$3:$BJ$15,MATCH(M36,'G-6 Hedgerow Data'!$B$3:$B$15,0)),"")</f>
        <v/>
      </c>
    </row>
    <row r="37" spans="2:43" ht="15">
      <c r="B37" s="392" t="str">
        <f>'E-1 Off-Site Hedge Baseline'!AN35</f>
        <v/>
      </c>
      <c r="C37" s="382" t="str">
        <f>IF(B37="","",IF(ISNA(VLOOKUP($B37,'E-1 Off-Site Hedge Baseline'!$B$1:$L$257,3,FALSE)),"",(VLOOKUP($B37,'E-1 Off-Site Hedge Baseline'!$B$1:$L$257,3,FALSE))))</f>
        <v/>
      </c>
      <c r="D37" s="382" t="str">
        <f>IF(B37="","",IF(ISNA(VLOOKUP($B37,'E-1 Off-Site Hedge Baseline'!$B$1:$L$258,4,FALSE)),"",(VLOOKUP($B37,'E-1 Off-Site Hedge Baseline'!$B$1:$L$258,4,FALSE))))</f>
        <v/>
      </c>
      <c r="E37" s="382" t="str">
        <f>IF(B37="","",IF(ISNA(VLOOKUP($B37,'E-1 Off-Site Hedge Baseline'!$B$1:$L$257,5,FALSE)),"",(VLOOKUP($B37,'E-1 Off-Site Hedge Baseline'!$B$1:$L$257,5,FALSE))))</f>
        <v/>
      </c>
      <c r="F37" s="382" t="str">
        <f>IF(B37="","",IF(ISNA(VLOOKUP($B37,'E-1 Off-Site Hedge Baseline'!$B$1:$L$257,6,FALSE)),"",(VLOOKUP($B37,'E-1 Off-Site Hedge Baseline'!$B$1:$L$257,6,FALSE))))</f>
        <v/>
      </c>
      <c r="G37" s="382" t="str">
        <f>IF(B37="","",IF(ISNA(VLOOKUP($B37,'E-1 Off-Site Hedge Baseline'!$B$1:$L$257,7,FALSE)),"",(VLOOKUP($B37,'E-1 Off-Site Hedge Baseline'!$B$1:$L$257,7,FALSE))))</f>
        <v/>
      </c>
      <c r="H37" s="382" t="str">
        <f>IF(B37="","",IF(ISNA(VLOOKUP($B37,'E-1 Off-Site Hedge Baseline'!$B$1:$L$257,8,FALSE)),"",(VLOOKUP($B37,'E-1 Off-Site Hedge Baseline'!$B$1:$L$257,8,FALSE))))</f>
        <v/>
      </c>
      <c r="I37" s="382" t="str">
        <f>IF(B37="","",IF(ISNA(VLOOKUP($B37,'E-1 Off-Site Hedge Baseline'!$B$1:$L$257,10,FALSE)),"",(VLOOKUP($B37,'E-1 Off-Site Hedge Baseline'!$B$1:$L$257,10,FALSE))))</f>
        <v/>
      </c>
      <c r="J37" s="382" t="str">
        <f>IF(B37="","",IF(ISNA(VLOOKUP($B37,'E-1 Off-Site Hedge Baseline'!$B$1:$L$257,11,FALSE)),"",(VLOOKUP($B37,'E-1 Off-Site Hedge Baseline'!$B$1:$L$257,11,FALSE))))</f>
        <v/>
      </c>
      <c r="K37" s="382" t="str">
        <f>IF(B37="","",IF(ISNA(VLOOKUP($B37,'E-1 Off-Site Hedge Baseline'!$B$1:$X$257,113,FALSE)),"",(VLOOKUP($B37,'E-1 Off-Site Hedge Baseline'!$B$1:$X$257,13,FALSE))))</f>
        <v/>
      </c>
      <c r="L37" s="370" t="str">
        <f>IF(B37="","",IF(ISNA(VLOOKUP($B37,'E-1 Off-Site Hedge Baseline'!$B$1:$X$257,12,FALSE)),"",(VLOOKUP($B37,'E-1 Off-Site Hedge Baseline'!$B$1:$X$257,12,FALSE))))</f>
        <v/>
      </c>
      <c r="M37" s="316" t="str">
        <f t="shared" si="0"/>
        <v/>
      </c>
      <c r="N37" s="362" t="str">
        <f>IFERROR(IF(B37="","",INDEX('G-6 Hedgerow Data'!$AN$3:$AZ$15,MATCH(C37,'G-6 Hedgerow Data'!$AM$3:$AM$15,0),MATCH(M37,'G-6 Hedgerow Data'!$AN$2:$AZ$2,0))),"")</f>
        <v/>
      </c>
      <c r="O37" s="363" t="str">
        <f t="shared" si="2"/>
        <v/>
      </c>
      <c r="P37" s="368" t="str">
        <f>IF(B37="","",VLOOKUP(B37,'E-1 Off-Site Hedge Baseline'!$B$10:W282,19,FALSE))</f>
        <v/>
      </c>
      <c r="Q37" s="362" t="str">
        <f>IF(M37="","",VLOOKUP(M37,'G-6 Hedgerow Data'!$B$2:$AG$15,2,FALSE))</f>
        <v/>
      </c>
      <c r="R37" s="363" t="str">
        <f>IF(M37="","",VLOOKUP(M37,'G-6 Hedgerow Data'!$B$2:$AG$15,3,FALSE))</f>
        <v/>
      </c>
      <c r="S37" s="114"/>
      <c r="T37" s="363" t="str">
        <f>IFERROR(IF(AND(Q37="V.Low",OR(S37="Good",S37="Moderate")),"Error ▲",VLOOKUP(S37,'G-1 All Habitats'!$Z$2:$AA$9,2,FALSE)),"")</f>
        <v/>
      </c>
      <c r="U37" s="115"/>
      <c r="V37" s="370" t="str">
        <f>IF(U37="","",IF(VLOOKUP(U37,'G-3 Multipliers'!$L$3:$N$6,2,FALSE)=0,"Spatial Data Missing ⚠",VLOOKUP(U37,'G-3 Multipliers'!$L$3:$N$6,2,FALSE)))</f>
        <v/>
      </c>
      <c r="W37" s="368" t="str">
        <f>IF(U37="","",IF(VLOOKUP(U37,'G-3 Multipliers'!$L$3:$N$6,3,FALSE)=0,"Spatial Data Missing ⚠",VLOOKUP(U37,'G-3 Multipliers'!$L$3:$N$6,3,FALSE)))</f>
        <v/>
      </c>
      <c r="X37" s="362" t="str">
        <f>IFERROR(IF(OR(LEFT(O37,5)="Error",LEFT(N37,5)="Error",T37="Error"),"Check Data ⚠",IF(F37&lt;R37,INDEX('G-6 Hedgerow Data'!$S$3:$AE$14,MATCH(C37,'G-6 Hedgerow Data'!$B$3:$B$14,0),MATCH(M37,'G-6 Hedgerow Data'!$S$2:$AE$2,0)),INDEX('G-6 Hedgerow Data'!$K$3:$Q$14,MATCH(M37,'G-6 Hedgerow Data'!$B$3:$B$14,0),MATCH(O37,'G-6 Hedgerow Data'!$K$2:$Q$2,0)))),"")</f>
        <v/>
      </c>
      <c r="Y37" s="159"/>
      <c r="Z37" s="159"/>
      <c r="AA37" s="370" t="str">
        <f t="shared" si="3"/>
        <v/>
      </c>
      <c r="AB37" s="383" t="str">
        <f t="shared" si="4"/>
        <v/>
      </c>
      <c r="AC37" s="384" t="str">
        <f t="shared" si="1"/>
        <v/>
      </c>
      <c r="AD37" s="398" t="str">
        <f>IF(M37="","",VLOOKUP(M37,'G-6 Hedgerow Data'!$B$3:$AG$15,31,FALSE))</f>
        <v/>
      </c>
      <c r="AE37" s="382" t="str">
        <f t="shared" si="5"/>
        <v/>
      </c>
      <c r="AF37" s="382" t="str">
        <f t="shared" si="6"/>
        <v/>
      </c>
      <c r="AG37" s="386" t="str">
        <f>IFERROR(IF(O37="","",VLOOKUP(AD37,'G-3 Multipliers'!$P$3:$Q$6,2,FALSE)),"")</f>
        <v/>
      </c>
      <c r="AH37" s="160"/>
      <c r="AI37" s="363" t="str">
        <f>IF(AH37="","",IF(VLOOKUP(AH37,'G-3 Multipliers'!$S$3:$T$10,2,FALSE)=0,"Spatial Data Missing ⚠",VLOOKUP(AH37,'G-3 Multipliers'!$S$3:$T$10,2,FALSE)))</f>
        <v/>
      </c>
      <c r="AJ37" s="405" t="str">
        <f t="shared" si="7"/>
        <v/>
      </c>
      <c r="AK37" s="376" t="str">
        <f t="shared" si="8"/>
        <v/>
      </c>
      <c r="AL37" s="117"/>
      <c r="AM37" s="118"/>
      <c r="AN37" s="120"/>
      <c r="AO37" s="120"/>
      <c r="AQ37" s="30" t="str">
        <f>IFERROR(INDEX('G-6 Hedgerow Data'!$BJ$3:$BJ$15,MATCH(M37,'G-6 Hedgerow Data'!$B$3:$B$15,0)),"")</f>
        <v/>
      </c>
    </row>
    <row r="38" spans="2:43" ht="15">
      <c r="B38" s="392" t="str">
        <f>'E-1 Off-Site Hedge Baseline'!AN36</f>
        <v/>
      </c>
      <c r="C38" s="382" t="str">
        <f>IF(B38="","",IF(ISNA(VLOOKUP($B38,'E-1 Off-Site Hedge Baseline'!$B$1:$L$257,3,FALSE)),"",(VLOOKUP($B38,'E-1 Off-Site Hedge Baseline'!$B$1:$L$257,3,FALSE))))</f>
        <v/>
      </c>
      <c r="D38" s="382" t="str">
        <f>IF(B38="","",IF(ISNA(VLOOKUP($B38,'E-1 Off-Site Hedge Baseline'!$B$1:$L$258,4,FALSE)),"",(VLOOKUP($B38,'E-1 Off-Site Hedge Baseline'!$B$1:$L$258,4,FALSE))))</f>
        <v/>
      </c>
      <c r="E38" s="382" t="str">
        <f>IF(B38="","",IF(ISNA(VLOOKUP($B38,'E-1 Off-Site Hedge Baseline'!$B$1:$L$257,5,FALSE)),"",(VLOOKUP($B38,'E-1 Off-Site Hedge Baseline'!$B$1:$L$257,5,FALSE))))</f>
        <v/>
      </c>
      <c r="F38" s="382" t="str">
        <f>IF(B38="","",IF(ISNA(VLOOKUP($B38,'E-1 Off-Site Hedge Baseline'!$B$1:$L$257,6,FALSE)),"",(VLOOKUP($B38,'E-1 Off-Site Hedge Baseline'!$B$1:$L$257,6,FALSE))))</f>
        <v/>
      </c>
      <c r="G38" s="382" t="str">
        <f>IF(B38="","",IF(ISNA(VLOOKUP($B38,'E-1 Off-Site Hedge Baseline'!$B$1:$L$257,7,FALSE)),"",(VLOOKUP($B38,'E-1 Off-Site Hedge Baseline'!$B$1:$L$257,7,FALSE))))</f>
        <v/>
      </c>
      <c r="H38" s="382" t="str">
        <f>IF(B38="","",IF(ISNA(VLOOKUP($B38,'E-1 Off-Site Hedge Baseline'!$B$1:$L$257,8,FALSE)),"",(VLOOKUP($B38,'E-1 Off-Site Hedge Baseline'!$B$1:$L$257,8,FALSE))))</f>
        <v/>
      </c>
      <c r="I38" s="382" t="str">
        <f>IF(B38="","",IF(ISNA(VLOOKUP($B38,'E-1 Off-Site Hedge Baseline'!$B$1:$L$257,10,FALSE)),"",(VLOOKUP($B38,'E-1 Off-Site Hedge Baseline'!$B$1:$L$257,10,FALSE))))</f>
        <v/>
      </c>
      <c r="J38" s="382" t="str">
        <f>IF(B38="","",IF(ISNA(VLOOKUP($B38,'E-1 Off-Site Hedge Baseline'!$B$1:$L$257,11,FALSE)),"",(VLOOKUP($B38,'E-1 Off-Site Hedge Baseline'!$B$1:$L$257,11,FALSE))))</f>
        <v/>
      </c>
      <c r="K38" s="382" t="str">
        <f>IF(B38="","",IF(ISNA(VLOOKUP($B38,'E-1 Off-Site Hedge Baseline'!$B$1:$X$257,113,FALSE)),"",(VLOOKUP($B38,'E-1 Off-Site Hedge Baseline'!$B$1:$X$257,13,FALSE))))</f>
        <v/>
      </c>
      <c r="L38" s="370" t="str">
        <f>IF(B38="","",IF(ISNA(VLOOKUP($B38,'E-1 Off-Site Hedge Baseline'!$B$1:$X$257,12,FALSE)),"",(VLOOKUP($B38,'E-1 Off-Site Hedge Baseline'!$B$1:$X$257,12,FALSE))))</f>
        <v/>
      </c>
      <c r="M38" s="316" t="str">
        <f t="shared" si="0"/>
        <v/>
      </c>
      <c r="N38" s="362" t="str">
        <f>IFERROR(IF(B38="","",INDEX('G-6 Hedgerow Data'!$AN$3:$AZ$15,MATCH(C38,'G-6 Hedgerow Data'!$AM$3:$AM$15,0),MATCH(M38,'G-6 Hedgerow Data'!$AN$2:$AZ$2,0))),"")</f>
        <v/>
      </c>
      <c r="O38" s="363" t="str">
        <f t="shared" si="2"/>
        <v/>
      </c>
      <c r="P38" s="368" t="str">
        <f>IF(B38="","",VLOOKUP(B38,'E-1 Off-Site Hedge Baseline'!$B$10:W283,19,FALSE))</f>
        <v/>
      </c>
      <c r="Q38" s="362" t="str">
        <f>IF(M38="","",VLOOKUP(M38,'G-6 Hedgerow Data'!$B$2:$AG$15,2,FALSE))</f>
        <v/>
      </c>
      <c r="R38" s="363" t="str">
        <f>IF(M38="","",VLOOKUP(M38,'G-6 Hedgerow Data'!$B$2:$AG$15,3,FALSE))</f>
        <v/>
      </c>
      <c r="S38" s="114"/>
      <c r="T38" s="363" t="str">
        <f>IFERROR(IF(AND(Q38="V.Low",OR(S38="Good",S38="Moderate")),"Error ▲",VLOOKUP(S38,'G-1 All Habitats'!$Z$2:$AA$9,2,FALSE)),"")</f>
        <v/>
      </c>
      <c r="U38" s="115"/>
      <c r="V38" s="370" t="str">
        <f>IF(U38="","",IF(VLOOKUP(U38,'G-3 Multipliers'!$L$3:$N$6,2,FALSE)=0,"Spatial Data Missing ⚠",VLOOKUP(U38,'G-3 Multipliers'!$L$3:$N$6,2,FALSE)))</f>
        <v/>
      </c>
      <c r="W38" s="368" t="str">
        <f>IF(U38="","",IF(VLOOKUP(U38,'G-3 Multipliers'!$L$3:$N$6,3,FALSE)=0,"Spatial Data Missing ⚠",VLOOKUP(U38,'G-3 Multipliers'!$L$3:$N$6,3,FALSE)))</f>
        <v/>
      </c>
      <c r="X38" s="362" t="str">
        <f>IFERROR(IF(OR(LEFT(O38,5)="Error",LEFT(N38,5)="Error",T38="Error"),"Check Data ⚠",IF(F38&lt;R38,INDEX('G-6 Hedgerow Data'!$S$3:$AE$14,MATCH(C38,'G-6 Hedgerow Data'!$B$3:$B$14,0),MATCH(M38,'G-6 Hedgerow Data'!$S$2:$AE$2,0)),INDEX('G-6 Hedgerow Data'!$K$3:$Q$14,MATCH(M38,'G-6 Hedgerow Data'!$B$3:$B$14,0),MATCH(O38,'G-6 Hedgerow Data'!$K$2:$Q$2,0)))),"")</f>
        <v/>
      </c>
      <c r="Y38" s="159"/>
      <c r="Z38" s="159"/>
      <c r="AA38" s="370" t="str">
        <f t="shared" si="3"/>
        <v/>
      </c>
      <c r="AB38" s="383" t="str">
        <f t="shared" si="4"/>
        <v/>
      </c>
      <c r="AC38" s="384" t="str">
        <f t="shared" si="1"/>
        <v/>
      </c>
      <c r="AD38" s="398" t="str">
        <f>IF(M38="","",VLOOKUP(M38,'G-6 Hedgerow Data'!$B$3:$AG$15,31,FALSE))</f>
        <v/>
      </c>
      <c r="AE38" s="382" t="str">
        <f t="shared" si="5"/>
        <v/>
      </c>
      <c r="AF38" s="382" t="str">
        <f t="shared" si="6"/>
        <v/>
      </c>
      <c r="AG38" s="386" t="str">
        <f>IFERROR(IF(O38="","",VLOOKUP(AD38,'G-3 Multipliers'!$P$3:$Q$6,2,FALSE)),"")</f>
        <v/>
      </c>
      <c r="AH38" s="160"/>
      <c r="AI38" s="363" t="str">
        <f>IF(AH38="","",IF(VLOOKUP(AH38,'G-3 Multipliers'!$S$3:$T$10,2,FALSE)=0,"Spatial Data Missing ⚠",VLOOKUP(AH38,'G-3 Multipliers'!$S$3:$T$10,2,FALSE)))</f>
        <v/>
      </c>
      <c r="AJ38" s="405" t="str">
        <f t="shared" si="7"/>
        <v/>
      </c>
      <c r="AK38" s="376" t="str">
        <f t="shared" si="8"/>
        <v/>
      </c>
      <c r="AL38" s="117"/>
      <c r="AM38" s="118"/>
      <c r="AN38" s="120"/>
      <c r="AO38" s="120"/>
      <c r="AQ38" s="30" t="str">
        <f>IFERROR(INDEX('G-6 Hedgerow Data'!$BJ$3:$BJ$15,MATCH(M38,'G-6 Hedgerow Data'!$B$3:$B$15,0)),"")</f>
        <v/>
      </c>
    </row>
    <row r="39" spans="2:43" ht="15">
      <c r="B39" s="392" t="str">
        <f>'E-1 Off-Site Hedge Baseline'!AN37</f>
        <v/>
      </c>
      <c r="C39" s="382" t="str">
        <f>IF(B39="","",IF(ISNA(VLOOKUP($B39,'E-1 Off-Site Hedge Baseline'!$B$1:$L$257,3,FALSE)),"",(VLOOKUP($B39,'E-1 Off-Site Hedge Baseline'!$B$1:$L$257,3,FALSE))))</f>
        <v/>
      </c>
      <c r="D39" s="382" t="str">
        <f>IF(B39="","",IF(ISNA(VLOOKUP($B39,'E-1 Off-Site Hedge Baseline'!$B$1:$L$258,4,FALSE)),"",(VLOOKUP($B39,'E-1 Off-Site Hedge Baseline'!$B$1:$L$258,4,FALSE))))</f>
        <v/>
      </c>
      <c r="E39" s="382" t="str">
        <f>IF(B39="","",IF(ISNA(VLOOKUP($B39,'E-1 Off-Site Hedge Baseline'!$B$1:$L$257,5,FALSE)),"",(VLOOKUP($B39,'E-1 Off-Site Hedge Baseline'!$B$1:$L$257,5,FALSE))))</f>
        <v/>
      </c>
      <c r="F39" s="382" t="str">
        <f>IF(B39="","",IF(ISNA(VLOOKUP($B39,'E-1 Off-Site Hedge Baseline'!$B$1:$L$257,6,FALSE)),"",(VLOOKUP($B39,'E-1 Off-Site Hedge Baseline'!$B$1:$L$257,6,FALSE))))</f>
        <v/>
      </c>
      <c r="G39" s="382" t="str">
        <f>IF(B39="","",IF(ISNA(VLOOKUP($B39,'E-1 Off-Site Hedge Baseline'!$B$1:$L$257,7,FALSE)),"",(VLOOKUP($B39,'E-1 Off-Site Hedge Baseline'!$B$1:$L$257,7,FALSE))))</f>
        <v/>
      </c>
      <c r="H39" s="382" t="str">
        <f>IF(B39="","",IF(ISNA(VLOOKUP($B39,'E-1 Off-Site Hedge Baseline'!$B$1:$L$257,8,FALSE)),"",(VLOOKUP($B39,'E-1 Off-Site Hedge Baseline'!$B$1:$L$257,8,FALSE))))</f>
        <v/>
      </c>
      <c r="I39" s="382" t="str">
        <f>IF(B39="","",IF(ISNA(VLOOKUP($B39,'E-1 Off-Site Hedge Baseline'!$B$1:$L$257,10,FALSE)),"",(VLOOKUP($B39,'E-1 Off-Site Hedge Baseline'!$B$1:$L$257,10,FALSE))))</f>
        <v/>
      </c>
      <c r="J39" s="382" t="str">
        <f>IF(B39="","",IF(ISNA(VLOOKUP($B39,'E-1 Off-Site Hedge Baseline'!$B$1:$L$257,11,FALSE)),"",(VLOOKUP($B39,'E-1 Off-Site Hedge Baseline'!$B$1:$L$257,11,FALSE))))</f>
        <v/>
      </c>
      <c r="K39" s="382" t="str">
        <f>IF(B39="","",IF(ISNA(VLOOKUP($B39,'E-1 Off-Site Hedge Baseline'!$B$1:$X$257,113,FALSE)),"",(VLOOKUP($B39,'E-1 Off-Site Hedge Baseline'!$B$1:$X$257,13,FALSE))))</f>
        <v/>
      </c>
      <c r="L39" s="370" t="str">
        <f>IF(B39="","",IF(ISNA(VLOOKUP($B39,'E-1 Off-Site Hedge Baseline'!$B$1:$X$257,12,FALSE)),"",(VLOOKUP($B39,'E-1 Off-Site Hedge Baseline'!$B$1:$X$257,12,FALSE))))</f>
        <v/>
      </c>
      <c r="M39" s="316" t="str">
        <f t="shared" si="0"/>
        <v/>
      </c>
      <c r="N39" s="362" t="str">
        <f>IFERROR(IF(B39="","",INDEX('G-6 Hedgerow Data'!$AN$3:$AZ$15,MATCH(C39,'G-6 Hedgerow Data'!$AM$3:$AM$15,0),MATCH(M39,'G-6 Hedgerow Data'!$AN$2:$AZ$2,0))),"")</f>
        <v/>
      </c>
      <c r="O39" s="363" t="str">
        <f t="shared" si="2"/>
        <v/>
      </c>
      <c r="P39" s="368" t="str">
        <f>IF(B39="","",VLOOKUP(B39,'E-1 Off-Site Hedge Baseline'!$B$10:W284,19,FALSE))</f>
        <v/>
      </c>
      <c r="Q39" s="362" t="str">
        <f>IF(M39="","",VLOOKUP(M39,'G-6 Hedgerow Data'!$B$2:$AG$15,2,FALSE))</f>
        <v/>
      </c>
      <c r="R39" s="363" t="str">
        <f>IF(M39="","",VLOOKUP(M39,'G-6 Hedgerow Data'!$B$2:$AG$15,3,FALSE))</f>
        <v/>
      </c>
      <c r="S39" s="114"/>
      <c r="T39" s="363" t="str">
        <f>IFERROR(IF(AND(Q39="V.Low",OR(S39="Good",S39="Moderate")),"Error ▲",VLOOKUP(S39,'G-1 All Habitats'!$Z$2:$AA$9,2,FALSE)),"")</f>
        <v/>
      </c>
      <c r="U39" s="115"/>
      <c r="V39" s="370" t="str">
        <f>IF(U39="","",IF(VLOOKUP(U39,'G-3 Multipliers'!$L$3:$N$6,2,FALSE)=0,"Spatial Data Missing ⚠",VLOOKUP(U39,'G-3 Multipliers'!$L$3:$N$6,2,FALSE)))</f>
        <v/>
      </c>
      <c r="W39" s="368" t="str">
        <f>IF(U39="","",IF(VLOOKUP(U39,'G-3 Multipliers'!$L$3:$N$6,3,FALSE)=0,"Spatial Data Missing ⚠",VLOOKUP(U39,'G-3 Multipliers'!$L$3:$N$6,3,FALSE)))</f>
        <v/>
      </c>
      <c r="X39" s="362" t="str">
        <f>IFERROR(IF(OR(LEFT(O39,5)="Error",LEFT(N39,5)="Error",T39="Error"),"Check Data ⚠",IF(F39&lt;R39,INDEX('G-6 Hedgerow Data'!$S$3:$AE$14,MATCH(C39,'G-6 Hedgerow Data'!$B$3:$B$14,0),MATCH(M39,'G-6 Hedgerow Data'!$S$2:$AE$2,0)),INDEX('G-6 Hedgerow Data'!$K$3:$Q$14,MATCH(M39,'G-6 Hedgerow Data'!$B$3:$B$14,0),MATCH(O39,'G-6 Hedgerow Data'!$K$2:$Q$2,0)))),"")</f>
        <v/>
      </c>
      <c r="Y39" s="159"/>
      <c r="Z39" s="159"/>
      <c r="AA39" s="370" t="str">
        <f t="shared" si="3"/>
        <v/>
      </c>
      <c r="AB39" s="383" t="str">
        <f t="shared" si="4"/>
        <v/>
      </c>
      <c r="AC39" s="384" t="str">
        <f t="shared" si="1"/>
        <v/>
      </c>
      <c r="AD39" s="398" t="str">
        <f>IF(M39="","",VLOOKUP(M39,'G-6 Hedgerow Data'!$B$3:$AG$15,31,FALSE))</f>
        <v/>
      </c>
      <c r="AE39" s="382" t="str">
        <f t="shared" si="5"/>
        <v/>
      </c>
      <c r="AF39" s="382" t="str">
        <f t="shared" si="6"/>
        <v/>
      </c>
      <c r="AG39" s="386" t="str">
        <f>IFERROR(IF(O39="","",VLOOKUP(AD39,'G-3 Multipliers'!$P$3:$Q$6,2,FALSE)),"")</f>
        <v/>
      </c>
      <c r="AH39" s="160"/>
      <c r="AI39" s="363" t="str">
        <f>IF(AH39="","",IF(VLOOKUP(AH39,'G-3 Multipliers'!$S$3:$T$10,2,FALSE)=0,"Spatial Data Missing ⚠",VLOOKUP(AH39,'G-3 Multipliers'!$S$3:$T$10,2,FALSE)))</f>
        <v/>
      </c>
      <c r="AJ39" s="405" t="str">
        <f t="shared" si="7"/>
        <v/>
      </c>
      <c r="AK39" s="376" t="str">
        <f t="shared" si="8"/>
        <v/>
      </c>
      <c r="AL39" s="117"/>
      <c r="AM39" s="118"/>
      <c r="AN39" s="120"/>
      <c r="AO39" s="120"/>
      <c r="AQ39" s="30" t="str">
        <f>IFERROR(INDEX('G-6 Hedgerow Data'!$BJ$3:$BJ$15,MATCH(M39,'G-6 Hedgerow Data'!$B$3:$B$15,0)),"")</f>
        <v/>
      </c>
    </row>
    <row r="40" spans="2:43" ht="15">
      <c r="B40" s="392" t="str">
        <f>'E-1 Off-Site Hedge Baseline'!AN38</f>
        <v/>
      </c>
      <c r="C40" s="382" t="str">
        <f>IF(B40="","",IF(ISNA(VLOOKUP($B40,'E-1 Off-Site Hedge Baseline'!$B$1:$L$257,3,FALSE)),"",(VLOOKUP($B40,'E-1 Off-Site Hedge Baseline'!$B$1:$L$257,3,FALSE))))</f>
        <v/>
      </c>
      <c r="D40" s="382" t="str">
        <f>IF(B40="","",IF(ISNA(VLOOKUP($B40,'E-1 Off-Site Hedge Baseline'!$B$1:$L$258,4,FALSE)),"",(VLOOKUP($B40,'E-1 Off-Site Hedge Baseline'!$B$1:$L$258,4,FALSE))))</f>
        <v/>
      </c>
      <c r="E40" s="382" t="str">
        <f>IF(B40="","",IF(ISNA(VLOOKUP($B40,'E-1 Off-Site Hedge Baseline'!$B$1:$L$257,5,FALSE)),"",(VLOOKUP($B40,'E-1 Off-Site Hedge Baseline'!$B$1:$L$257,5,FALSE))))</f>
        <v/>
      </c>
      <c r="F40" s="382" t="str">
        <f>IF(B40="","",IF(ISNA(VLOOKUP($B40,'E-1 Off-Site Hedge Baseline'!$B$1:$L$257,6,FALSE)),"",(VLOOKUP($B40,'E-1 Off-Site Hedge Baseline'!$B$1:$L$257,6,FALSE))))</f>
        <v/>
      </c>
      <c r="G40" s="382" t="str">
        <f>IF(B40="","",IF(ISNA(VLOOKUP($B40,'E-1 Off-Site Hedge Baseline'!$B$1:$L$257,7,FALSE)),"",(VLOOKUP($B40,'E-1 Off-Site Hedge Baseline'!$B$1:$L$257,7,FALSE))))</f>
        <v/>
      </c>
      <c r="H40" s="382" t="str">
        <f>IF(B40="","",IF(ISNA(VLOOKUP($B40,'E-1 Off-Site Hedge Baseline'!$B$1:$L$257,8,FALSE)),"",(VLOOKUP($B40,'E-1 Off-Site Hedge Baseline'!$B$1:$L$257,8,FALSE))))</f>
        <v/>
      </c>
      <c r="I40" s="382" t="str">
        <f>IF(B40="","",IF(ISNA(VLOOKUP($B40,'E-1 Off-Site Hedge Baseline'!$B$1:$L$257,10,FALSE)),"",(VLOOKUP($B40,'E-1 Off-Site Hedge Baseline'!$B$1:$L$257,10,FALSE))))</f>
        <v/>
      </c>
      <c r="J40" s="382" t="str">
        <f>IF(B40="","",IF(ISNA(VLOOKUP($B40,'E-1 Off-Site Hedge Baseline'!$B$1:$L$257,11,FALSE)),"",(VLOOKUP($B40,'E-1 Off-Site Hedge Baseline'!$B$1:$L$257,11,FALSE))))</f>
        <v/>
      </c>
      <c r="K40" s="382" t="str">
        <f>IF(B40="","",IF(ISNA(VLOOKUP($B40,'E-1 Off-Site Hedge Baseline'!$B$1:$X$257,113,FALSE)),"",(VLOOKUP($B40,'E-1 Off-Site Hedge Baseline'!$B$1:$X$257,13,FALSE))))</f>
        <v/>
      </c>
      <c r="L40" s="370" t="str">
        <f>IF(B40="","",IF(ISNA(VLOOKUP($B40,'E-1 Off-Site Hedge Baseline'!$B$1:$X$257,12,FALSE)),"",(VLOOKUP($B40,'E-1 Off-Site Hedge Baseline'!$B$1:$X$257,12,FALSE))))</f>
        <v/>
      </c>
      <c r="M40" s="316" t="str">
        <f t="shared" si="0"/>
        <v/>
      </c>
      <c r="N40" s="362" t="str">
        <f>IFERROR(IF(B40="","",INDEX('G-6 Hedgerow Data'!$AN$3:$AZ$15,MATCH(C40,'G-6 Hedgerow Data'!$AM$3:$AM$15,0),MATCH(M40,'G-6 Hedgerow Data'!$AN$2:$AZ$2,0))),"")</f>
        <v/>
      </c>
      <c r="O40" s="363" t="str">
        <f t="shared" si="2"/>
        <v/>
      </c>
      <c r="P40" s="368" t="str">
        <f>IF(B40="","",VLOOKUP(B40,'E-1 Off-Site Hedge Baseline'!$B$10:W285,19,FALSE))</f>
        <v/>
      </c>
      <c r="Q40" s="362" t="str">
        <f>IF(M40="","",VLOOKUP(M40,'G-6 Hedgerow Data'!$B$2:$AG$15,2,FALSE))</f>
        <v/>
      </c>
      <c r="R40" s="363" t="str">
        <f>IF(M40="","",VLOOKUP(M40,'G-6 Hedgerow Data'!$B$2:$AG$15,3,FALSE))</f>
        <v/>
      </c>
      <c r="S40" s="114"/>
      <c r="T40" s="363" t="str">
        <f>IFERROR(IF(AND(Q40="V.Low",OR(S40="Good",S40="Moderate")),"Error ▲",VLOOKUP(S40,'G-1 All Habitats'!$Z$2:$AA$9,2,FALSE)),"")</f>
        <v/>
      </c>
      <c r="U40" s="115"/>
      <c r="V40" s="370" t="str">
        <f>IF(U40="","",IF(VLOOKUP(U40,'G-3 Multipliers'!$L$3:$N$6,2,FALSE)=0,"Spatial Data Missing ⚠",VLOOKUP(U40,'G-3 Multipliers'!$L$3:$N$6,2,FALSE)))</f>
        <v/>
      </c>
      <c r="W40" s="368" t="str">
        <f>IF(U40="","",IF(VLOOKUP(U40,'G-3 Multipliers'!$L$3:$N$6,3,FALSE)=0,"Spatial Data Missing ⚠",VLOOKUP(U40,'G-3 Multipliers'!$L$3:$N$6,3,FALSE)))</f>
        <v/>
      </c>
      <c r="X40" s="362" t="str">
        <f>IFERROR(IF(OR(LEFT(O40,5)="Error",LEFT(N40,5)="Error",T40="Error"),"Check Data ⚠",IF(F40&lt;R40,INDEX('G-6 Hedgerow Data'!$S$3:$AE$14,MATCH(C40,'G-6 Hedgerow Data'!$B$3:$B$14,0),MATCH(M40,'G-6 Hedgerow Data'!$S$2:$AE$2,0)),INDEX('G-6 Hedgerow Data'!$K$3:$Q$14,MATCH(M40,'G-6 Hedgerow Data'!$B$3:$B$14,0),MATCH(O40,'G-6 Hedgerow Data'!$K$2:$Q$2,0)))),"")</f>
        <v/>
      </c>
      <c r="Y40" s="159"/>
      <c r="Z40" s="159"/>
      <c r="AA40" s="370" t="str">
        <f t="shared" si="3"/>
        <v/>
      </c>
      <c r="AB40" s="383" t="str">
        <f t="shared" si="4"/>
        <v/>
      </c>
      <c r="AC40" s="384" t="str">
        <f t="shared" si="1"/>
        <v/>
      </c>
      <c r="AD40" s="398" t="str">
        <f>IF(M40="","",VLOOKUP(M40,'G-6 Hedgerow Data'!$B$3:$AG$15,31,FALSE))</f>
        <v/>
      </c>
      <c r="AE40" s="382" t="str">
        <f t="shared" si="5"/>
        <v/>
      </c>
      <c r="AF40" s="382" t="str">
        <f t="shared" si="6"/>
        <v/>
      </c>
      <c r="AG40" s="386" t="str">
        <f>IFERROR(IF(O40="","",VLOOKUP(AD40,'G-3 Multipliers'!$P$3:$Q$6,2,FALSE)),"")</f>
        <v/>
      </c>
      <c r="AH40" s="160"/>
      <c r="AI40" s="363" t="str">
        <f>IF(AH40="","",IF(VLOOKUP(AH40,'G-3 Multipliers'!$S$3:$T$10,2,FALSE)=0,"Spatial Data Missing ⚠",VLOOKUP(AH40,'G-3 Multipliers'!$S$3:$T$10,2,FALSE)))</f>
        <v/>
      </c>
      <c r="AJ40" s="405" t="str">
        <f t="shared" si="7"/>
        <v/>
      </c>
      <c r="AK40" s="376" t="str">
        <f t="shared" si="8"/>
        <v/>
      </c>
      <c r="AL40" s="117"/>
      <c r="AM40" s="118"/>
      <c r="AN40" s="120"/>
      <c r="AO40" s="120"/>
      <c r="AQ40" s="30" t="str">
        <f>IFERROR(INDEX('G-6 Hedgerow Data'!$BJ$3:$BJ$15,MATCH(M40,'G-6 Hedgerow Data'!$B$3:$B$15,0)),"")</f>
        <v/>
      </c>
    </row>
    <row r="41" spans="2:43" ht="15">
      <c r="B41" s="392" t="str">
        <f>'E-1 Off-Site Hedge Baseline'!AN39</f>
        <v/>
      </c>
      <c r="C41" s="382" t="str">
        <f>IF(B41="","",IF(ISNA(VLOOKUP($B41,'E-1 Off-Site Hedge Baseline'!$B$1:$L$257,3,FALSE)),"",(VLOOKUP($B41,'E-1 Off-Site Hedge Baseline'!$B$1:$L$257,3,FALSE))))</f>
        <v/>
      </c>
      <c r="D41" s="382" t="str">
        <f>IF(B41="","",IF(ISNA(VLOOKUP($B41,'E-1 Off-Site Hedge Baseline'!$B$1:$L$258,4,FALSE)),"",(VLOOKUP($B41,'E-1 Off-Site Hedge Baseline'!$B$1:$L$258,4,FALSE))))</f>
        <v/>
      </c>
      <c r="E41" s="382" t="str">
        <f>IF(B41="","",IF(ISNA(VLOOKUP($B41,'E-1 Off-Site Hedge Baseline'!$B$1:$L$257,5,FALSE)),"",(VLOOKUP($B41,'E-1 Off-Site Hedge Baseline'!$B$1:$L$257,5,FALSE))))</f>
        <v/>
      </c>
      <c r="F41" s="382" t="str">
        <f>IF(B41="","",IF(ISNA(VLOOKUP($B41,'E-1 Off-Site Hedge Baseline'!$B$1:$L$257,6,FALSE)),"",(VLOOKUP($B41,'E-1 Off-Site Hedge Baseline'!$B$1:$L$257,6,FALSE))))</f>
        <v/>
      </c>
      <c r="G41" s="382" t="str">
        <f>IF(B41="","",IF(ISNA(VLOOKUP($B41,'E-1 Off-Site Hedge Baseline'!$B$1:$L$257,7,FALSE)),"",(VLOOKUP($B41,'E-1 Off-Site Hedge Baseline'!$B$1:$L$257,7,FALSE))))</f>
        <v/>
      </c>
      <c r="H41" s="382" t="str">
        <f>IF(B41="","",IF(ISNA(VLOOKUP($B41,'E-1 Off-Site Hedge Baseline'!$B$1:$L$257,8,FALSE)),"",(VLOOKUP($B41,'E-1 Off-Site Hedge Baseline'!$B$1:$L$257,8,FALSE))))</f>
        <v/>
      </c>
      <c r="I41" s="382" t="str">
        <f>IF(B41="","",IF(ISNA(VLOOKUP($B41,'E-1 Off-Site Hedge Baseline'!$B$1:$L$257,10,FALSE)),"",(VLOOKUP($B41,'E-1 Off-Site Hedge Baseline'!$B$1:$L$257,10,FALSE))))</f>
        <v/>
      </c>
      <c r="J41" s="382" t="str">
        <f>IF(B41="","",IF(ISNA(VLOOKUP($B41,'E-1 Off-Site Hedge Baseline'!$B$1:$L$257,11,FALSE)),"",(VLOOKUP($B41,'E-1 Off-Site Hedge Baseline'!$B$1:$L$257,11,FALSE))))</f>
        <v/>
      </c>
      <c r="K41" s="382" t="str">
        <f>IF(B41="","",IF(ISNA(VLOOKUP($B41,'E-1 Off-Site Hedge Baseline'!$B$1:$X$257,113,FALSE)),"",(VLOOKUP($B41,'E-1 Off-Site Hedge Baseline'!$B$1:$X$257,13,FALSE))))</f>
        <v/>
      </c>
      <c r="L41" s="370" t="str">
        <f>IF(B41="","",IF(ISNA(VLOOKUP($B41,'E-1 Off-Site Hedge Baseline'!$B$1:$X$257,12,FALSE)),"",(VLOOKUP($B41,'E-1 Off-Site Hedge Baseline'!$B$1:$X$257,12,FALSE))))</f>
        <v/>
      </c>
      <c r="M41" s="316" t="str">
        <f t="shared" si="0"/>
        <v/>
      </c>
      <c r="N41" s="362" t="str">
        <f>IFERROR(IF(B41="","",INDEX('G-6 Hedgerow Data'!$AN$3:$AZ$15,MATCH(C41,'G-6 Hedgerow Data'!$AM$3:$AM$15,0),MATCH(M41,'G-6 Hedgerow Data'!$AN$2:$AZ$2,0))),"")</f>
        <v/>
      </c>
      <c r="O41" s="363" t="str">
        <f t="shared" si="2"/>
        <v/>
      </c>
      <c r="P41" s="368" t="str">
        <f>IF(B41="","",VLOOKUP(B41,'E-1 Off-Site Hedge Baseline'!$B$10:W286,19,FALSE))</f>
        <v/>
      </c>
      <c r="Q41" s="362" t="str">
        <f>IF(M41="","",VLOOKUP(M41,'G-6 Hedgerow Data'!$B$2:$AG$15,2,FALSE))</f>
        <v/>
      </c>
      <c r="R41" s="363" t="str">
        <f>IF(M41="","",VLOOKUP(M41,'G-6 Hedgerow Data'!$B$2:$AG$15,3,FALSE))</f>
        <v/>
      </c>
      <c r="S41" s="114"/>
      <c r="T41" s="363" t="str">
        <f>IFERROR(IF(AND(Q41="V.Low",OR(S41="Good",S41="Moderate")),"Error ▲",VLOOKUP(S41,'G-1 All Habitats'!$Z$2:$AA$9,2,FALSE)),"")</f>
        <v/>
      </c>
      <c r="U41" s="115"/>
      <c r="V41" s="370" t="str">
        <f>IF(U41="","",IF(VLOOKUP(U41,'G-3 Multipliers'!$L$3:$N$6,2,FALSE)=0,"Spatial Data Missing ⚠",VLOOKUP(U41,'G-3 Multipliers'!$L$3:$N$6,2,FALSE)))</f>
        <v/>
      </c>
      <c r="W41" s="368" t="str">
        <f>IF(U41="","",IF(VLOOKUP(U41,'G-3 Multipliers'!$L$3:$N$6,3,FALSE)=0,"Spatial Data Missing ⚠",VLOOKUP(U41,'G-3 Multipliers'!$L$3:$N$6,3,FALSE)))</f>
        <v/>
      </c>
      <c r="X41" s="362" t="str">
        <f>IFERROR(IF(OR(LEFT(O41,5)="Error",LEFT(N41,5)="Error",T41="Error"),"Check Data ⚠",IF(F41&lt;R41,INDEX('G-6 Hedgerow Data'!$S$3:$AE$14,MATCH(C41,'G-6 Hedgerow Data'!$B$3:$B$14,0),MATCH(M41,'G-6 Hedgerow Data'!$S$2:$AE$2,0)),INDEX('G-6 Hedgerow Data'!$K$3:$Q$14,MATCH(M41,'G-6 Hedgerow Data'!$B$3:$B$14,0),MATCH(O41,'G-6 Hedgerow Data'!$K$2:$Q$2,0)))),"")</f>
        <v/>
      </c>
      <c r="Y41" s="159"/>
      <c r="Z41" s="159"/>
      <c r="AA41" s="370" t="str">
        <f t="shared" si="3"/>
        <v/>
      </c>
      <c r="AB41" s="383" t="str">
        <f t="shared" si="4"/>
        <v/>
      </c>
      <c r="AC41" s="384" t="str">
        <f t="shared" si="1"/>
        <v/>
      </c>
      <c r="AD41" s="398" t="str">
        <f>IF(M41="","",VLOOKUP(M41,'G-6 Hedgerow Data'!$B$3:$AG$15,31,FALSE))</f>
        <v/>
      </c>
      <c r="AE41" s="382" t="str">
        <f t="shared" si="5"/>
        <v/>
      </c>
      <c r="AF41" s="382" t="str">
        <f t="shared" si="6"/>
        <v/>
      </c>
      <c r="AG41" s="386" t="str">
        <f>IFERROR(IF(O41="","",VLOOKUP(AD41,'G-3 Multipliers'!$P$3:$Q$6,2,FALSE)),"")</f>
        <v/>
      </c>
      <c r="AH41" s="160"/>
      <c r="AI41" s="363" t="str">
        <f>IF(AH41="","",IF(VLOOKUP(AH41,'G-3 Multipliers'!$S$3:$T$10,2,FALSE)=0,"Spatial Data Missing ⚠",VLOOKUP(AH41,'G-3 Multipliers'!$S$3:$T$10,2,FALSE)))</f>
        <v/>
      </c>
      <c r="AJ41" s="405" t="str">
        <f t="shared" si="7"/>
        <v/>
      </c>
      <c r="AK41" s="376" t="str">
        <f t="shared" si="8"/>
        <v/>
      </c>
      <c r="AL41" s="117"/>
      <c r="AM41" s="118"/>
      <c r="AN41" s="120"/>
      <c r="AO41" s="120"/>
      <c r="AQ41" s="30" t="str">
        <f>IFERROR(INDEX('G-6 Hedgerow Data'!$BJ$3:$BJ$15,MATCH(M41,'G-6 Hedgerow Data'!$B$3:$B$15,0)),"")</f>
        <v/>
      </c>
    </row>
    <row r="42" spans="2:43" ht="15">
      <c r="B42" s="392" t="str">
        <f>'E-1 Off-Site Hedge Baseline'!AN40</f>
        <v/>
      </c>
      <c r="C42" s="382" t="str">
        <f>IF(B42="","",IF(ISNA(VLOOKUP($B42,'E-1 Off-Site Hedge Baseline'!$B$1:$L$257,3,FALSE)),"",(VLOOKUP($B42,'E-1 Off-Site Hedge Baseline'!$B$1:$L$257,3,FALSE))))</f>
        <v/>
      </c>
      <c r="D42" s="382" t="str">
        <f>IF(B42="","",IF(ISNA(VLOOKUP($B42,'E-1 Off-Site Hedge Baseline'!$B$1:$L$258,4,FALSE)),"",(VLOOKUP($B42,'E-1 Off-Site Hedge Baseline'!$B$1:$L$258,4,FALSE))))</f>
        <v/>
      </c>
      <c r="E42" s="382" t="str">
        <f>IF(B42="","",IF(ISNA(VLOOKUP($B42,'E-1 Off-Site Hedge Baseline'!$B$1:$L$257,5,FALSE)),"",(VLOOKUP($B42,'E-1 Off-Site Hedge Baseline'!$B$1:$L$257,5,FALSE))))</f>
        <v/>
      </c>
      <c r="F42" s="382" t="str">
        <f>IF(B42="","",IF(ISNA(VLOOKUP($B42,'E-1 Off-Site Hedge Baseline'!$B$1:$L$257,6,FALSE)),"",(VLOOKUP($B42,'E-1 Off-Site Hedge Baseline'!$B$1:$L$257,6,FALSE))))</f>
        <v/>
      </c>
      <c r="G42" s="382" t="str">
        <f>IF(B42="","",IF(ISNA(VLOOKUP($B42,'E-1 Off-Site Hedge Baseline'!$B$1:$L$257,7,FALSE)),"",(VLOOKUP($B42,'E-1 Off-Site Hedge Baseline'!$B$1:$L$257,7,FALSE))))</f>
        <v/>
      </c>
      <c r="H42" s="382" t="str">
        <f>IF(B42="","",IF(ISNA(VLOOKUP($B42,'E-1 Off-Site Hedge Baseline'!$B$1:$L$257,8,FALSE)),"",(VLOOKUP($B42,'E-1 Off-Site Hedge Baseline'!$B$1:$L$257,8,FALSE))))</f>
        <v/>
      </c>
      <c r="I42" s="382" t="str">
        <f>IF(B42="","",IF(ISNA(VLOOKUP($B42,'E-1 Off-Site Hedge Baseline'!$B$1:$L$257,10,FALSE)),"",(VLOOKUP($B42,'E-1 Off-Site Hedge Baseline'!$B$1:$L$257,10,FALSE))))</f>
        <v/>
      </c>
      <c r="J42" s="382" t="str">
        <f>IF(B42="","",IF(ISNA(VLOOKUP($B42,'E-1 Off-Site Hedge Baseline'!$B$1:$L$257,11,FALSE)),"",(VLOOKUP($B42,'E-1 Off-Site Hedge Baseline'!$B$1:$L$257,11,FALSE))))</f>
        <v/>
      </c>
      <c r="K42" s="382" t="str">
        <f>IF(B42="","",IF(ISNA(VLOOKUP($B42,'E-1 Off-Site Hedge Baseline'!$B$1:$X$257,113,FALSE)),"",(VLOOKUP($B42,'E-1 Off-Site Hedge Baseline'!$B$1:$X$257,13,FALSE))))</f>
        <v/>
      </c>
      <c r="L42" s="370" t="str">
        <f>IF(B42="","",IF(ISNA(VLOOKUP($B42,'E-1 Off-Site Hedge Baseline'!$B$1:$X$257,12,FALSE)),"",(VLOOKUP($B42,'E-1 Off-Site Hedge Baseline'!$B$1:$X$257,12,FALSE))))</f>
        <v/>
      </c>
      <c r="M42" s="316" t="str">
        <f t="shared" si="0"/>
        <v/>
      </c>
      <c r="N42" s="362" t="str">
        <f>IFERROR(IF(B42="","",INDEX('G-6 Hedgerow Data'!$AN$3:$AZ$15,MATCH(C42,'G-6 Hedgerow Data'!$AM$3:$AM$15,0),MATCH(M42,'G-6 Hedgerow Data'!$AN$2:$AZ$2,0))),"")</f>
        <v/>
      </c>
      <c r="O42" s="363" t="str">
        <f t="shared" si="2"/>
        <v/>
      </c>
      <c r="P42" s="368" t="str">
        <f>IF(B42="","",VLOOKUP(B42,'E-1 Off-Site Hedge Baseline'!$B$10:W287,19,FALSE))</f>
        <v/>
      </c>
      <c r="Q42" s="362" t="str">
        <f>IF(M42="","",VLOOKUP(M42,'G-6 Hedgerow Data'!$B$2:$AG$15,2,FALSE))</f>
        <v/>
      </c>
      <c r="R42" s="363" t="str">
        <f>IF(M42="","",VLOOKUP(M42,'G-6 Hedgerow Data'!$B$2:$AG$15,3,FALSE))</f>
        <v/>
      </c>
      <c r="S42" s="114"/>
      <c r="T42" s="363" t="str">
        <f>IFERROR(IF(AND(Q42="V.Low",OR(S42="Good",S42="Moderate")),"Error ▲",VLOOKUP(S42,'G-1 All Habitats'!$Z$2:$AA$9,2,FALSE)),"")</f>
        <v/>
      </c>
      <c r="U42" s="115"/>
      <c r="V42" s="370" t="str">
        <f>IF(U42="","",IF(VLOOKUP(U42,'G-3 Multipliers'!$L$3:$N$6,2,FALSE)=0,"Spatial Data Missing ⚠",VLOOKUP(U42,'G-3 Multipliers'!$L$3:$N$6,2,FALSE)))</f>
        <v/>
      </c>
      <c r="W42" s="368" t="str">
        <f>IF(U42="","",IF(VLOOKUP(U42,'G-3 Multipliers'!$L$3:$N$6,3,FALSE)=0,"Spatial Data Missing ⚠",VLOOKUP(U42,'G-3 Multipliers'!$L$3:$N$6,3,FALSE)))</f>
        <v/>
      </c>
      <c r="X42" s="362" t="str">
        <f>IFERROR(IF(OR(LEFT(O42,5)="Error",LEFT(N42,5)="Error",T42="Error"),"Check Data ⚠",IF(F42&lt;R42,INDEX('G-6 Hedgerow Data'!$S$3:$AE$14,MATCH(C42,'G-6 Hedgerow Data'!$B$3:$B$14,0),MATCH(M42,'G-6 Hedgerow Data'!$S$2:$AE$2,0)),INDEX('G-6 Hedgerow Data'!$K$3:$Q$14,MATCH(M42,'G-6 Hedgerow Data'!$B$3:$B$14,0),MATCH(O42,'G-6 Hedgerow Data'!$K$2:$Q$2,0)))),"")</f>
        <v/>
      </c>
      <c r="Y42" s="159"/>
      <c r="Z42" s="159"/>
      <c r="AA42" s="370" t="str">
        <f t="shared" si="3"/>
        <v/>
      </c>
      <c r="AB42" s="383" t="str">
        <f t="shared" si="4"/>
        <v/>
      </c>
      <c r="AC42" s="384" t="str">
        <f t="shared" si="1"/>
        <v/>
      </c>
      <c r="AD42" s="398" t="str">
        <f>IF(M42="","",VLOOKUP(M42,'G-6 Hedgerow Data'!$B$3:$AG$15,31,FALSE))</f>
        <v/>
      </c>
      <c r="AE42" s="382" t="str">
        <f t="shared" si="5"/>
        <v/>
      </c>
      <c r="AF42" s="382" t="str">
        <f t="shared" si="6"/>
        <v/>
      </c>
      <c r="AG42" s="386" t="str">
        <f>IFERROR(IF(O42="","",VLOOKUP(AD42,'G-3 Multipliers'!$P$3:$Q$6,2,FALSE)),"")</f>
        <v/>
      </c>
      <c r="AH42" s="160"/>
      <c r="AI42" s="363" t="str">
        <f>IF(AH42="","",IF(VLOOKUP(AH42,'G-3 Multipliers'!$S$3:$T$10,2,FALSE)=0,"Spatial Data Missing ⚠",VLOOKUP(AH42,'G-3 Multipliers'!$S$3:$T$10,2,FALSE)))</f>
        <v/>
      </c>
      <c r="AJ42" s="405" t="str">
        <f t="shared" si="7"/>
        <v/>
      </c>
      <c r="AK42" s="376" t="str">
        <f t="shared" si="8"/>
        <v/>
      </c>
      <c r="AL42" s="117"/>
      <c r="AM42" s="118"/>
      <c r="AN42" s="120"/>
      <c r="AO42" s="120"/>
      <c r="AQ42" s="30" t="str">
        <f>IFERROR(INDEX('G-6 Hedgerow Data'!$BJ$3:$BJ$15,MATCH(M42,'G-6 Hedgerow Data'!$B$3:$B$15,0)),"")</f>
        <v/>
      </c>
    </row>
    <row r="43" spans="2:43" ht="15">
      <c r="B43" s="392" t="str">
        <f>'E-1 Off-Site Hedge Baseline'!AN41</f>
        <v/>
      </c>
      <c r="C43" s="382" t="str">
        <f>IF(B43="","",IF(ISNA(VLOOKUP($B43,'E-1 Off-Site Hedge Baseline'!$B$1:$L$257,3,FALSE)),"",(VLOOKUP($B43,'E-1 Off-Site Hedge Baseline'!$B$1:$L$257,3,FALSE))))</f>
        <v/>
      </c>
      <c r="D43" s="382" t="str">
        <f>IF(B43="","",IF(ISNA(VLOOKUP($B43,'E-1 Off-Site Hedge Baseline'!$B$1:$L$258,4,FALSE)),"",(VLOOKUP($B43,'E-1 Off-Site Hedge Baseline'!$B$1:$L$258,4,FALSE))))</f>
        <v/>
      </c>
      <c r="E43" s="382" t="str">
        <f>IF(B43="","",IF(ISNA(VLOOKUP($B43,'E-1 Off-Site Hedge Baseline'!$B$1:$L$257,5,FALSE)),"",(VLOOKUP($B43,'E-1 Off-Site Hedge Baseline'!$B$1:$L$257,5,FALSE))))</f>
        <v/>
      </c>
      <c r="F43" s="382" t="str">
        <f>IF(B43="","",IF(ISNA(VLOOKUP($B43,'E-1 Off-Site Hedge Baseline'!$B$1:$L$257,6,FALSE)),"",(VLOOKUP($B43,'E-1 Off-Site Hedge Baseline'!$B$1:$L$257,6,FALSE))))</f>
        <v/>
      </c>
      <c r="G43" s="382" t="str">
        <f>IF(B43="","",IF(ISNA(VLOOKUP($B43,'E-1 Off-Site Hedge Baseline'!$B$1:$L$257,7,FALSE)),"",(VLOOKUP($B43,'E-1 Off-Site Hedge Baseline'!$B$1:$L$257,7,FALSE))))</f>
        <v/>
      </c>
      <c r="H43" s="382" t="str">
        <f>IF(B43="","",IF(ISNA(VLOOKUP($B43,'E-1 Off-Site Hedge Baseline'!$B$1:$L$257,8,FALSE)),"",(VLOOKUP($B43,'E-1 Off-Site Hedge Baseline'!$B$1:$L$257,8,FALSE))))</f>
        <v/>
      </c>
      <c r="I43" s="382" t="str">
        <f>IF(B43="","",IF(ISNA(VLOOKUP($B43,'E-1 Off-Site Hedge Baseline'!$B$1:$L$257,10,FALSE)),"",(VLOOKUP($B43,'E-1 Off-Site Hedge Baseline'!$B$1:$L$257,10,FALSE))))</f>
        <v/>
      </c>
      <c r="J43" s="382" t="str">
        <f>IF(B43="","",IF(ISNA(VLOOKUP($B43,'E-1 Off-Site Hedge Baseline'!$B$1:$L$257,11,FALSE)),"",(VLOOKUP($B43,'E-1 Off-Site Hedge Baseline'!$B$1:$L$257,11,FALSE))))</f>
        <v/>
      </c>
      <c r="K43" s="382" t="str">
        <f>IF(B43="","",IF(ISNA(VLOOKUP($B43,'E-1 Off-Site Hedge Baseline'!$B$1:$X$257,113,FALSE)),"",(VLOOKUP($B43,'E-1 Off-Site Hedge Baseline'!$B$1:$X$257,13,FALSE))))</f>
        <v/>
      </c>
      <c r="L43" s="370" t="str">
        <f>IF(B43="","",IF(ISNA(VLOOKUP($B43,'E-1 Off-Site Hedge Baseline'!$B$1:$X$257,12,FALSE)),"",(VLOOKUP($B43,'E-1 Off-Site Hedge Baseline'!$B$1:$X$257,12,FALSE))))</f>
        <v/>
      </c>
      <c r="M43" s="316" t="str">
        <f t="shared" si="0"/>
        <v/>
      </c>
      <c r="N43" s="362" t="str">
        <f>IFERROR(IF(B43="","",INDEX('G-6 Hedgerow Data'!$AN$3:$AZ$15,MATCH(C43,'G-6 Hedgerow Data'!$AM$3:$AM$15,0),MATCH(M43,'G-6 Hedgerow Data'!$AN$2:$AZ$2,0))),"")</f>
        <v/>
      </c>
      <c r="O43" s="363" t="str">
        <f t="shared" si="2"/>
        <v/>
      </c>
      <c r="P43" s="368" t="str">
        <f>IF(B43="","",VLOOKUP(B43,'E-1 Off-Site Hedge Baseline'!$B$10:W288,19,FALSE))</f>
        <v/>
      </c>
      <c r="Q43" s="362" t="str">
        <f>IF(M43="","",VLOOKUP(M43,'G-6 Hedgerow Data'!$B$2:$AG$15,2,FALSE))</f>
        <v/>
      </c>
      <c r="R43" s="363" t="str">
        <f>IF(M43="","",VLOOKUP(M43,'G-6 Hedgerow Data'!$B$2:$AG$15,3,FALSE))</f>
        <v/>
      </c>
      <c r="S43" s="114"/>
      <c r="T43" s="363" t="str">
        <f>IFERROR(IF(AND(Q43="V.Low",OR(S43="Good",S43="Moderate")),"Error ▲",VLOOKUP(S43,'G-1 All Habitats'!$Z$2:$AA$9,2,FALSE)),"")</f>
        <v/>
      </c>
      <c r="U43" s="115"/>
      <c r="V43" s="370" t="str">
        <f>IF(U43="","",IF(VLOOKUP(U43,'G-3 Multipliers'!$L$3:$N$6,2,FALSE)=0,"Spatial Data Missing ⚠",VLOOKUP(U43,'G-3 Multipliers'!$L$3:$N$6,2,FALSE)))</f>
        <v/>
      </c>
      <c r="W43" s="368" t="str">
        <f>IF(U43="","",IF(VLOOKUP(U43,'G-3 Multipliers'!$L$3:$N$6,3,FALSE)=0,"Spatial Data Missing ⚠",VLOOKUP(U43,'G-3 Multipliers'!$L$3:$N$6,3,FALSE)))</f>
        <v/>
      </c>
      <c r="X43" s="362" t="str">
        <f>IFERROR(IF(OR(LEFT(O43,5)="Error",LEFT(N43,5)="Error",T43="Error"),"Check Data ⚠",IF(F43&lt;R43,INDEX('G-6 Hedgerow Data'!$S$3:$AE$14,MATCH(C43,'G-6 Hedgerow Data'!$B$3:$B$14,0),MATCH(M43,'G-6 Hedgerow Data'!$S$2:$AE$2,0)),INDEX('G-6 Hedgerow Data'!$K$3:$Q$14,MATCH(M43,'G-6 Hedgerow Data'!$B$3:$B$14,0),MATCH(O43,'G-6 Hedgerow Data'!$K$2:$Q$2,0)))),"")</f>
        <v/>
      </c>
      <c r="Y43" s="159"/>
      <c r="Z43" s="159"/>
      <c r="AA43" s="370" t="str">
        <f t="shared" si="3"/>
        <v/>
      </c>
      <c r="AB43" s="383" t="str">
        <f t="shared" si="4"/>
        <v/>
      </c>
      <c r="AC43" s="384" t="str">
        <f t="shared" si="1"/>
        <v/>
      </c>
      <c r="AD43" s="398" t="str">
        <f>IF(M43="","",VLOOKUP(M43,'G-6 Hedgerow Data'!$B$3:$AG$15,31,FALSE))</f>
        <v/>
      </c>
      <c r="AE43" s="382" t="str">
        <f t="shared" si="5"/>
        <v/>
      </c>
      <c r="AF43" s="382" t="str">
        <f t="shared" si="6"/>
        <v/>
      </c>
      <c r="AG43" s="386" t="str">
        <f>IFERROR(IF(O43="","",VLOOKUP(AD43,'G-3 Multipliers'!$P$3:$Q$6,2,FALSE)),"")</f>
        <v/>
      </c>
      <c r="AH43" s="160"/>
      <c r="AI43" s="363" t="str">
        <f>IF(AH43="","",IF(VLOOKUP(AH43,'G-3 Multipliers'!$S$3:$T$10,2,FALSE)=0,"Spatial Data Missing ⚠",VLOOKUP(AH43,'G-3 Multipliers'!$S$3:$T$10,2,FALSE)))</f>
        <v/>
      </c>
      <c r="AJ43" s="405" t="str">
        <f t="shared" si="7"/>
        <v/>
      </c>
      <c r="AK43" s="376" t="str">
        <f t="shared" si="8"/>
        <v/>
      </c>
      <c r="AL43" s="117"/>
      <c r="AM43" s="118"/>
      <c r="AN43" s="120"/>
      <c r="AO43" s="120"/>
      <c r="AQ43" s="30" t="str">
        <f>IFERROR(INDEX('G-6 Hedgerow Data'!$BJ$3:$BJ$15,MATCH(M43,'G-6 Hedgerow Data'!$B$3:$B$15,0)),"")</f>
        <v/>
      </c>
    </row>
    <row r="44" spans="2:43" ht="15">
      <c r="B44" s="392" t="str">
        <f>'E-1 Off-Site Hedge Baseline'!AN42</f>
        <v/>
      </c>
      <c r="C44" s="382" t="str">
        <f>IF(B44="","",IF(ISNA(VLOOKUP($B44,'E-1 Off-Site Hedge Baseline'!$B$1:$L$257,3,FALSE)),"",(VLOOKUP($B44,'E-1 Off-Site Hedge Baseline'!$B$1:$L$257,3,FALSE))))</f>
        <v/>
      </c>
      <c r="D44" s="382" t="str">
        <f>IF(B44="","",IF(ISNA(VLOOKUP($B44,'E-1 Off-Site Hedge Baseline'!$B$1:$L$258,4,FALSE)),"",(VLOOKUP($B44,'E-1 Off-Site Hedge Baseline'!$B$1:$L$258,4,FALSE))))</f>
        <v/>
      </c>
      <c r="E44" s="382" t="str">
        <f>IF(B44="","",IF(ISNA(VLOOKUP($B44,'E-1 Off-Site Hedge Baseline'!$B$1:$L$257,5,FALSE)),"",(VLOOKUP($B44,'E-1 Off-Site Hedge Baseline'!$B$1:$L$257,5,FALSE))))</f>
        <v/>
      </c>
      <c r="F44" s="382" t="str">
        <f>IF(B44="","",IF(ISNA(VLOOKUP($B44,'E-1 Off-Site Hedge Baseline'!$B$1:$L$257,6,FALSE)),"",(VLOOKUP($B44,'E-1 Off-Site Hedge Baseline'!$B$1:$L$257,6,FALSE))))</f>
        <v/>
      </c>
      <c r="G44" s="382" t="str">
        <f>IF(B44="","",IF(ISNA(VLOOKUP($B44,'E-1 Off-Site Hedge Baseline'!$B$1:$L$257,7,FALSE)),"",(VLOOKUP($B44,'E-1 Off-Site Hedge Baseline'!$B$1:$L$257,7,FALSE))))</f>
        <v/>
      </c>
      <c r="H44" s="382" t="str">
        <f>IF(B44="","",IF(ISNA(VLOOKUP($B44,'E-1 Off-Site Hedge Baseline'!$B$1:$L$257,8,FALSE)),"",(VLOOKUP($B44,'E-1 Off-Site Hedge Baseline'!$B$1:$L$257,8,FALSE))))</f>
        <v/>
      </c>
      <c r="I44" s="382" t="str">
        <f>IF(B44="","",IF(ISNA(VLOOKUP($B44,'E-1 Off-Site Hedge Baseline'!$B$1:$L$257,10,FALSE)),"",(VLOOKUP($B44,'E-1 Off-Site Hedge Baseline'!$B$1:$L$257,10,FALSE))))</f>
        <v/>
      </c>
      <c r="J44" s="382" t="str">
        <f>IF(B44="","",IF(ISNA(VLOOKUP($B44,'E-1 Off-Site Hedge Baseline'!$B$1:$L$257,11,FALSE)),"",(VLOOKUP($B44,'E-1 Off-Site Hedge Baseline'!$B$1:$L$257,11,FALSE))))</f>
        <v/>
      </c>
      <c r="K44" s="382" t="str">
        <f>IF(B44="","",IF(ISNA(VLOOKUP($B44,'E-1 Off-Site Hedge Baseline'!$B$1:$X$257,113,FALSE)),"",(VLOOKUP($B44,'E-1 Off-Site Hedge Baseline'!$B$1:$X$257,13,FALSE))))</f>
        <v/>
      </c>
      <c r="L44" s="370" t="str">
        <f>IF(B44="","",IF(ISNA(VLOOKUP($B44,'E-1 Off-Site Hedge Baseline'!$B$1:$X$257,12,FALSE)),"",(VLOOKUP($B44,'E-1 Off-Site Hedge Baseline'!$B$1:$X$257,12,FALSE))))</f>
        <v/>
      </c>
      <c r="M44" s="316" t="str">
        <f t="shared" si="0"/>
        <v/>
      </c>
      <c r="N44" s="362" t="str">
        <f>IFERROR(IF(B44="","",INDEX('G-6 Hedgerow Data'!$AN$3:$AZ$15,MATCH(C44,'G-6 Hedgerow Data'!$AM$3:$AM$15,0),MATCH(M44,'G-6 Hedgerow Data'!$AN$2:$AZ$2,0))),"")</f>
        <v/>
      </c>
      <c r="O44" s="363" t="str">
        <f t="shared" si="2"/>
        <v/>
      </c>
      <c r="P44" s="368" t="str">
        <f>IF(B44="","",VLOOKUP(B44,'E-1 Off-Site Hedge Baseline'!$B$10:W289,19,FALSE))</f>
        <v/>
      </c>
      <c r="Q44" s="362" t="str">
        <f>IF(M44="","",VLOOKUP(M44,'G-6 Hedgerow Data'!$B$2:$AG$15,2,FALSE))</f>
        <v/>
      </c>
      <c r="R44" s="363" t="str">
        <f>IF(M44="","",VLOOKUP(M44,'G-6 Hedgerow Data'!$B$2:$AG$15,3,FALSE))</f>
        <v/>
      </c>
      <c r="S44" s="114"/>
      <c r="T44" s="363" t="str">
        <f>IFERROR(IF(AND(Q44="V.Low",OR(S44="Good",S44="Moderate")),"Error ▲",VLOOKUP(S44,'G-1 All Habitats'!$Z$2:$AA$9,2,FALSE)),"")</f>
        <v/>
      </c>
      <c r="U44" s="114"/>
      <c r="V44" s="370" t="str">
        <f>IF(U44="","",IF(VLOOKUP(U44,'G-3 Multipliers'!$L$3:$N$6,2,FALSE)=0,"Spatial Data Missing ⚠",VLOOKUP(U44,'G-3 Multipliers'!$L$3:$N$6,2,FALSE)))</f>
        <v/>
      </c>
      <c r="W44" s="368" t="str">
        <f>IF(U44="","",IF(VLOOKUP(U44,'G-3 Multipliers'!$L$3:$N$6,3,FALSE)=0,"Spatial Data Missing ⚠",VLOOKUP(U44,'G-3 Multipliers'!$L$3:$N$6,3,FALSE)))</f>
        <v/>
      </c>
      <c r="X44" s="362" t="str">
        <f>IFERROR(IF(OR(LEFT(O44,5)="Error",LEFT(N44,5)="Error",T44="Error"),"Check Data ⚠",IF(F44&lt;R44,INDEX('G-6 Hedgerow Data'!$S$3:$AE$14,MATCH(C44,'G-6 Hedgerow Data'!$B$3:$B$14,0),MATCH(M44,'G-6 Hedgerow Data'!$S$2:$AE$2,0)),INDEX('G-6 Hedgerow Data'!$K$3:$Q$14,MATCH(M44,'G-6 Hedgerow Data'!$B$3:$B$14,0),MATCH(O44,'G-6 Hedgerow Data'!$K$2:$Q$2,0)))),"")</f>
        <v/>
      </c>
      <c r="Y44" s="159"/>
      <c r="Z44" s="159"/>
      <c r="AA44" s="370" t="str">
        <f t="shared" si="3"/>
        <v/>
      </c>
      <c r="AB44" s="383" t="str">
        <f t="shared" si="4"/>
        <v/>
      </c>
      <c r="AC44" s="384" t="str">
        <f t="shared" si="1"/>
        <v/>
      </c>
      <c r="AD44" s="398" t="str">
        <f>IF(M44="","",VLOOKUP(M44,'G-6 Hedgerow Data'!$B$3:$AG$15,31,FALSE))</f>
        <v/>
      </c>
      <c r="AE44" s="382" t="str">
        <f t="shared" si="5"/>
        <v/>
      </c>
      <c r="AF44" s="382" t="str">
        <f t="shared" si="6"/>
        <v/>
      </c>
      <c r="AG44" s="386" t="str">
        <f>IFERROR(IF(O44="","",VLOOKUP(AD44,'G-3 Multipliers'!$P$3:$Q$6,2,FALSE)),"")</f>
        <v/>
      </c>
      <c r="AH44" s="160"/>
      <c r="AI44" s="363" t="str">
        <f>IF(AH44="","",IF(VLOOKUP(AH44,'G-3 Multipliers'!$S$3:$T$10,2,FALSE)=0,"Spatial Data Missing ⚠",VLOOKUP(AH44,'G-3 Multipliers'!$S$3:$T$10,2,FALSE)))</f>
        <v/>
      </c>
      <c r="AJ44" s="405" t="str">
        <f t="shared" si="7"/>
        <v/>
      </c>
      <c r="AK44" s="376" t="str">
        <f t="shared" si="8"/>
        <v/>
      </c>
      <c r="AL44" s="117"/>
      <c r="AM44" s="118"/>
      <c r="AN44" s="120"/>
      <c r="AO44" s="120"/>
      <c r="AQ44" s="30" t="str">
        <f>IFERROR(INDEX('G-6 Hedgerow Data'!$BJ$3:$BJ$15,MATCH(M44,'G-6 Hedgerow Data'!$B$3:$B$15,0)),"")</f>
        <v/>
      </c>
    </row>
    <row r="45" spans="2:43" ht="15">
      <c r="B45" s="392" t="str">
        <f>'E-1 Off-Site Hedge Baseline'!AN43</f>
        <v/>
      </c>
      <c r="C45" s="382" t="str">
        <f>IF(B45="","",IF(ISNA(VLOOKUP($B45,'E-1 Off-Site Hedge Baseline'!$B$1:$L$257,3,FALSE)),"",(VLOOKUP($B45,'E-1 Off-Site Hedge Baseline'!$B$1:$L$257,3,FALSE))))</f>
        <v/>
      </c>
      <c r="D45" s="382" t="str">
        <f>IF(B45="","",IF(ISNA(VLOOKUP($B45,'E-1 Off-Site Hedge Baseline'!$B$1:$L$258,4,FALSE)),"",(VLOOKUP($B45,'E-1 Off-Site Hedge Baseline'!$B$1:$L$258,4,FALSE))))</f>
        <v/>
      </c>
      <c r="E45" s="382" t="str">
        <f>IF(B45="","",IF(ISNA(VLOOKUP($B45,'E-1 Off-Site Hedge Baseline'!$B$1:$L$257,5,FALSE)),"",(VLOOKUP($B45,'E-1 Off-Site Hedge Baseline'!$B$1:$L$257,5,FALSE))))</f>
        <v/>
      </c>
      <c r="F45" s="382" t="str">
        <f>IF(B45="","",IF(ISNA(VLOOKUP($B45,'E-1 Off-Site Hedge Baseline'!$B$1:$L$257,6,FALSE)),"",(VLOOKUP($B45,'E-1 Off-Site Hedge Baseline'!$B$1:$L$257,6,FALSE))))</f>
        <v/>
      </c>
      <c r="G45" s="382" t="str">
        <f>IF(B45="","",IF(ISNA(VLOOKUP($B45,'E-1 Off-Site Hedge Baseline'!$B$1:$L$257,7,FALSE)),"",(VLOOKUP($B45,'E-1 Off-Site Hedge Baseline'!$B$1:$L$257,7,FALSE))))</f>
        <v/>
      </c>
      <c r="H45" s="382" t="str">
        <f>IF(B45="","",IF(ISNA(VLOOKUP($B45,'E-1 Off-Site Hedge Baseline'!$B$1:$L$257,8,FALSE)),"",(VLOOKUP($B45,'E-1 Off-Site Hedge Baseline'!$B$1:$L$257,8,FALSE))))</f>
        <v/>
      </c>
      <c r="I45" s="382" t="str">
        <f>IF(B45="","",IF(ISNA(VLOOKUP($B45,'E-1 Off-Site Hedge Baseline'!$B$1:$L$257,10,FALSE)),"",(VLOOKUP($B45,'E-1 Off-Site Hedge Baseline'!$B$1:$L$257,10,FALSE))))</f>
        <v/>
      </c>
      <c r="J45" s="382" t="str">
        <f>IF(B45="","",IF(ISNA(VLOOKUP($B45,'E-1 Off-Site Hedge Baseline'!$B$1:$L$257,11,FALSE)),"",(VLOOKUP($B45,'E-1 Off-Site Hedge Baseline'!$B$1:$L$257,11,FALSE))))</f>
        <v/>
      </c>
      <c r="K45" s="382" t="str">
        <f>IF(B45="","",IF(ISNA(VLOOKUP($B45,'E-1 Off-Site Hedge Baseline'!$B$1:$X$257,113,FALSE)),"",(VLOOKUP($B45,'E-1 Off-Site Hedge Baseline'!$B$1:$X$257,13,FALSE))))</f>
        <v/>
      </c>
      <c r="L45" s="370" t="str">
        <f>IF(B45="","",IF(ISNA(VLOOKUP($B45,'E-1 Off-Site Hedge Baseline'!$B$1:$X$257,12,FALSE)),"",(VLOOKUP($B45,'E-1 Off-Site Hedge Baseline'!$B$1:$X$257,12,FALSE))))</f>
        <v/>
      </c>
      <c r="M45" s="316" t="str">
        <f t="shared" si="0"/>
        <v/>
      </c>
      <c r="N45" s="362" t="str">
        <f>IFERROR(IF(B45="","",INDEX('G-6 Hedgerow Data'!$AN$3:$AZ$15,MATCH(C45,'G-6 Hedgerow Data'!$AM$3:$AM$15,0),MATCH(M45,'G-6 Hedgerow Data'!$AN$2:$AZ$2,0))),"")</f>
        <v/>
      </c>
      <c r="O45" s="363" t="str">
        <f t="shared" si="2"/>
        <v/>
      </c>
      <c r="P45" s="368" t="str">
        <f>IF(B45="","",VLOOKUP(B45,'E-1 Off-Site Hedge Baseline'!$B$10:W290,19,FALSE))</f>
        <v/>
      </c>
      <c r="Q45" s="362" t="str">
        <f>IF(M45="","",VLOOKUP(M45,'G-6 Hedgerow Data'!$B$2:$AG$15,2,FALSE))</f>
        <v/>
      </c>
      <c r="R45" s="363" t="str">
        <f>IF(M45="","",VLOOKUP(M45,'G-6 Hedgerow Data'!$B$2:$AG$15,3,FALSE))</f>
        <v/>
      </c>
      <c r="S45" s="114"/>
      <c r="T45" s="363" t="str">
        <f>IFERROR(IF(AND(Q45="V.Low",OR(S45="Good",S45="Moderate")),"Error ▲",VLOOKUP(S45,'G-1 All Habitats'!$Z$2:$AA$9,2,FALSE)),"")</f>
        <v/>
      </c>
      <c r="U45" s="114"/>
      <c r="V45" s="370" t="str">
        <f>IF(U45="","",IF(VLOOKUP(U45,'G-3 Multipliers'!$L$3:$N$6,2,FALSE)=0,"Spatial Data Missing ⚠",VLOOKUP(U45,'G-3 Multipliers'!$L$3:$N$6,2,FALSE)))</f>
        <v/>
      </c>
      <c r="W45" s="368" t="str">
        <f>IF(U45="","",IF(VLOOKUP(U45,'G-3 Multipliers'!$L$3:$N$6,3,FALSE)=0,"Spatial Data Missing ⚠",VLOOKUP(U45,'G-3 Multipliers'!$L$3:$N$6,3,FALSE)))</f>
        <v/>
      </c>
      <c r="X45" s="362" t="str">
        <f>IFERROR(IF(OR(LEFT(O45,5)="Error",LEFT(N45,5)="Error",T45="Error"),"Check Data ⚠",IF(F45&lt;R45,INDEX('G-6 Hedgerow Data'!$S$3:$AE$14,MATCH(C45,'G-6 Hedgerow Data'!$B$3:$B$14,0),MATCH(M45,'G-6 Hedgerow Data'!$S$2:$AE$2,0)),INDEX('G-6 Hedgerow Data'!$K$3:$Q$14,MATCH(M45,'G-6 Hedgerow Data'!$B$3:$B$14,0),MATCH(O45,'G-6 Hedgerow Data'!$K$2:$Q$2,0)))),"")</f>
        <v/>
      </c>
      <c r="Y45" s="159"/>
      <c r="Z45" s="159"/>
      <c r="AA45" s="370" t="str">
        <f t="shared" si="3"/>
        <v/>
      </c>
      <c r="AB45" s="383" t="str">
        <f t="shared" si="4"/>
        <v/>
      </c>
      <c r="AC45" s="384" t="str">
        <f t="shared" si="1"/>
        <v/>
      </c>
      <c r="AD45" s="398" t="str">
        <f>IF(M45="","",VLOOKUP(M45,'G-6 Hedgerow Data'!$B$3:$AG$15,31,FALSE))</f>
        <v/>
      </c>
      <c r="AE45" s="382" t="str">
        <f t="shared" si="5"/>
        <v/>
      </c>
      <c r="AF45" s="382" t="str">
        <f t="shared" si="6"/>
        <v/>
      </c>
      <c r="AG45" s="386" t="str">
        <f>IFERROR(IF(O45="","",VLOOKUP(AD45,'G-3 Multipliers'!$P$3:$Q$6,2,FALSE)),"")</f>
        <v/>
      </c>
      <c r="AH45" s="160"/>
      <c r="AI45" s="363" t="str">
        <f>IF(AH45="","",IF(VLOOKUP(AH45,'G-3 Multipliers'!$S$3:$T$10,2,FALSE)=0,"Spatial Data Missing ⚠",VLOOKUP(AH45,'G-3 Multipliers'!$S$3:$T$10,2,FALSE)))</f>
        <v/>
      </c>
      <c r="AJ45" s="405" t="str">
        <f t="shared" si="7"/>
        <v/>
      </c>
      <c r="AK45" s="376" t="str">
        <f t="shared" si="8"/>
        <v/>
      </c>
      <c r="AL45" s="117"/>
      <c r="AM45" s="118"/>
      <c r="AN45" s="120"/>
      <c r="AO45" s="120"/>
      <c r="AQ45" s="30" t="str">
        <f>IFERROR(INDEX('G-6 Hedgerow Data'!$BJ$3:$BJ$15,MATCH(M45,'G-6 Hedgerow Data'!$B$3:$B$15,0)),"")</f>
        <v/>
      </c>
    </row>
    <row r="46" spans="2:43" ht="15">
      <c r="B46" s="392" t="str">
        <f>'E-1 Off-Site Hedge Baseline'!AN44</f>
        <v/>
      </c>
      <c r="C46" s="382" t="str">
        <f>IF(B46="","",IF(ISNA(VLOOKUP($B46,'E-1 Off-Site Hedge Baseline'!$B$1:$L$257,3,FALSE)),"",(VLOOKUP($B46,'E-1 Off-Site Hedge Baseline'!$B$1:$L$257,3,FALSE))))</f>
        <v/>
      </c>
      <c r="D46" s="382" t="str">
        <f>IF(B46="","",IF(ISNA(VLOOKUP($B46,'E-1 Off-Site Hedge Baseline'!$B$1:$L$258,4,FALSE)),"",(VLOOKUP($B46,'E-1 Off-Site Hedge Baseline'!$B$1:$L$258,4,FALSE))))</f>
        <v/>
      </c>
      <c r="E46" s="382" t="str">
        <f>IF(B46="","",IF(ISNA(VLOOKUP($B46,'E-1 Off-Site Hedge Baseline'!$B$1:$L$257,5,FALSE)),"",(VLOOKUP($B46,'E-1 Off-Site Hedge Baseline'!$B$1:$L$257,5,FALSE))))</f>
        <v/>
      </c>
      <c r="F46" s="382" t="str">
        <f>IF(B46="","",IF(ISNA(VLOOKUP($B46,'E-1 Off-Site Hedge Baseline'!$B$1:$L$257,6,FALSE)),"",(VLOOKUP($B46,'E-1 Off-Site Hedge Baseline'!$B$1:$L$257,6,FALSE))))</f>
        <v/>
      </c>
      <c r="G46" s="382" t="str">
        <f>IF(B46="","",IF(ISNA(VLOOKUP($B46,'E-1 Off-Site Hedge Baseline'!$B$1:$L$257,7,FALSE)),"",(VLOOKUP($B46,'E-1 Off-Site Hedge Baseline'!$B$1:$L$257,7,FALSE))))</f>
        <v/>
      </c>
      <c r="H46" s="382" t="str">
        <f>IF(B46="","",IF(ISNA(VLOOKUP($B46,'E-1 Off-Site Hedge Baseline'!$B$1:$L$257,8,FALSE)),"",(VLOOKUP($B46,'E-1 Off-Site Hedge Baseline'!$B$1:$L$257,8,FALSE))))</f>
        <v/>
      </c>
      <c r="I46" s="382" t="str">
        <f>IF(B46="","",IF(ISNA(VLOOKUP($B46,'E-1 Off-Site Hedge Baseline'!$B$1:$L$257,10,FALSE)),"",(VLOOKUP($B46,'E-1 Off-Site Hedge Baseline'!$B$1:$L$257,10,FALSE))))</f>
        <v/>
      </c>
      <c r="J46" s="382" t="str">
        <f>IF(B46="","",IF(ISNA(VLOOKUP($B46,'E-1 Off-Site Hedge Baseline'!$B$1:$L$257,11,FALSE)),"",(VLOOKUP($B46,'E-1 Off-Site Hedge Baseline'!$B$1:$L$257,11,FALSE))))</f>
        <v/>
      </c>
      <c r="K46" s="382" t="str">
        <f>IF(B46="","",IF(ISNA(VLOOKUP($B46,'E-1 Off-Site Hedge Baseline'!$B$1:$X$257,113,FALSE)),"",(VLOOKUP($B46,'E-1 Off-Site Hedge Baseline'!$B$1:$X$257,13,FALSE))))</f>
        <v/>
      </c>
      <c r="L46" s="370" t="str">
        <f>IF(B46="","",IF(ISNA(VLOOKUP($B46,'E-1 Off-Site Hedge Baseline'!$B$1:$X$257,12,FALSE)),"",(VLOOKUP($B46,'E-1 Off-Site Hedge Baseline'!$B$1:$X$257,12,FALSE))))</f>
        <v/>
      </c>
      <c r="M46" s="316" t="str">
        <f t="shared" si="0"/>
        <v/>
      </c>
      <c r="N46" s="362" t="str">
        <f>IFERROR(IF(B46="","",INDEX('G-6 Hedgerow Data'!$AN$3:$AZ$15,MATCH(C46,'G-6 Hedgerow Data'!$AM$3:$AM$15,0),MATCH(M46,'G-6 Hedgerow Data'!$AN$2:$AZ$2,0))),"")</f>
        <v/>
      </c>
      <c r="O46" s="363" t="str">
        <f t="shared" si="2"/>
        <v/>
      </c>
      <c r="P46" s="368" t="str">
        <f>IF(B46="","",VLOOKUP(B46,'E-1 Off-Site Hedge Baseline'!$B$10:W291,19,FALSE))</f>
        <v/>
      </c>
      <c r="Q46" s="362" t="str">
        <f>IF(M46="","",VLOOKUP(M46,'G-6 Hedgerow Data'!$B$2:$AG$15,2,FALSE))</f>
        <v/>
      </c>
      <c r="R46" s="363" t="str">
        <f>IF(M46="","",VLOOKUP(M46,'G-6 Hedgerow Data'!$B$2:$AG$15,3,FALSE))</f>
        <v/>
      </c>
      <c r="S46" s="114"/>
      <c r="T46" s="363" t="str">
        <f>IFERROR(IF(AND(Q46="V.Low",OR(S46="Good",S46="Moderate")),"Error ▲",VLOOKUP(S46,'G-1 All Habitats'!$Z$2:$AA$9,2,FALSE)),"")</f>
        <v/>
      </c>
      <c r="U46" s="114"/>
      <c r="V46" s="370" t="str">
        <f>IF(U46="","",IF(VLOOKUP(U46,'G-3 Multipliers'!$L$3:$N$6,2,FALSE)=0,"Spatial Data Missing ⚠",VLOOKUP(U46,'G-3 Multipliers'!$L$3:$N$6,2,FALSE)))</f>
        <v/>
      </c>
      <c r="W46" s="368" t="str">
        <f>IF(U46="","",IF(VLOOKUP(U46,'G-3 Multipliers'!$L$3:$N$6,3,FALSE)=0,"Spatial Data Missing ⚠",VLOOKUP(U46,'G-3 Multipliers'!$L$3:$N$6,3,FALSE)))</f>
        <v/>
      </c>
      <c r="X46" s="362" t="str">
        <f>IFERROR(IF(OR(LEFT(O46,5)="Error",LEFT(N46,5)="Error",T46="Error"),"Check Data ⚠",IF(F46&lt;R46,INDEX('G-6 Hedgerow Data'!$S$3:$AE$14,MATCH(C46,'G-6 Hedgerow Data'!$B$3:$B$14,0),MATCH(M46,'G-6 Hedgerow Data'!$S$2:$AE$2,0)),INDEX('G-6 Hedgerow Data'!$K$3:$Q$14,MATCH(M46,'G-6 Hedgerow Data'!$B$3:$B$14,0),MATCH(O46,'G-6 Hedgerow Data'!$K$2:$Q$2,0)))),"")</f>
        <v/>
      </c>
      <c r="Y46" s="159"/>
      <c r="Z46" s="159"/>
      <c r="AA46" s="370" t="str">
        <f t="shared" si="3"/>
        <v/>
      </c>
      <c r="AB46" s="383" t="str">
        <f t="shared" si="4"/>
        <v/>
      </c>
      <c r="AC46" s="384" t="str">
        <f t="shared" si="1"/>
        <v/>
      </c>
      <c r="AD46" s="398" t="str">
        <f>IF(M46="","",VLOOKUP(M46,'G-6 Hedgerow Data'!$B$3:$AG$15,31,FALSE))</f>
        <v/>
      </c>
      <c r="AE46" s="382" t="str">
        <f t="shared" si="5"/>
        <v/>
      </c>
      <c r="AF46" s="382" t="str">
        <f t="shared" si="6"/>
        <v/>
      </c>
      <c r="AG46" s="386" t="str">
        <f>IFERROR(IF(O46="","",VLOOKUP(AD46,'G-3 Multipliers'!$P$3:$Q$6,2,FALSE)),"")</f>
        <v/>
      </c>
      <c r="AH46" s="160"/>
      <c r="AI46" s="363" t="str">
        <f>IF(AH46="","",IF(VLOOKUP(AH46,'G-3 Multipliers'!$S$3:$T$10,2,FALSE)=0,"Spatial Data Missing ⚠",VLOOKUP(AH46,'G-3 Multipliers'!$S$3:$T$10,2,FALSE)))</f>
        <v/>
      </c>
      <c r="AJ46" s="405" t="str">
        <f t="shared" si="7"/>
        <v/>
      </c>
      <c r="AK46" s="376" t="str">
        <f t="shared" si="8"/>
        <v/>
      </c>
      <c r="AL46" s="117"/>
      <c r="AM46" s="118"/>
      <c r="AN46" s="120"/>
      <c r="AO46" s="120"/>
      <c r="AQ46" s="30" t="str">
        <f>IFERROR(INDEX('G-6 Hedgerow Data'!$BJ$3:$BJ$15,MATCH(M46,'G-6 Hedgerow Data'!$B$3:$B$15,0)),"")</f>
        <v/>
      </c>
    </row>
    <row r="47" spans="2:43" ht="15">
      <c r="B47" s="392" t="str">
        <f>'E-1 Off-Site Hedge Baseline'!AN45</f>
        <v/>
      </c>
      <c r="C47" s="382" t="str">
        <f>IF(B47="","",IF(ISNA(VLOOKUP($B47,'E-1 Off-Site Hedge Baseline'!$B$1:$L$257,3,FALSE)),"",(VLOOKUP($B47,'E-1 Off-Site Hedge Baseline'!$B$1:$L$257,3,FALSE))))</f>
        <v/>
      </c>
      <c r="D47" s="382" t="str">
        <f>IF(B47="","",IF(ISNA(VLOOKUP($B47,'E-1 Off-Site Hedge Baseline'!$B$1:$L$258,4,FALSE)),"",(VLOOKUP($B47,'E-1 Off-Site Hedge Baseline'!$B$1:$L$258,4,FALSE))))</f>
        <v/>
      </c>
      <c r="E47" s="382" t="str">
        <f>IF(B47="","",IF(ISNA(VLOOKUP($B47,'E-1 Off-Site Hedge Baseline'!$B$1:$L$257,5,FALSE)),"",(VLOOKUP($B47,'E-1 Off-Site Hedge Baseline'!$B$1:$L$257,5,FALSE))))</f>
        <v/>
      </c>
      <c r="F47" s="382" t="str">
        <f>IF(B47="","",IF(ISNA(VLOOKUP($B47,'E-1 Off-Site Hedge Baseline'!$B$1:$L$257,6,FALSE)),"",(VLOOKUP($B47,'E-1 Off-Site Hedge Baseline'!$B$1:$L$257,6,FALSE))))</f>
        <v/>
      </c>
      <c r="G47" s="382" t="str">
        <f>IF(B47="","",IF(ISNA(VLOOKUP($B47,'E-1 Off-Site Hedge Baseline'!$B$1:$L$257,7,FALSE)),"",(VLOOKUP($B47,'E-1 Off-Site Hedge Baseline'!$B$1:$L$257,7,FALSE))))</f>
        <v/>
      </c>
      <c r="H47" s="382" t="str">
        <f>IF(B47="","",IF(ISNA(VLOOKUP($B47,'E-1 Off-Site Hedge Baseline'!$B$1:$L$257,8,FALSE)),"",(VLOOKUP($B47,'E-1 Off-Site Hedge Baseline'!$B$1:$L$257,8,FALSE))))</f>
        <v/>
      </c>
      <c r="I47" s="382" t="str">
        <f>IF(B47="","",IF(ISNA(VLOOKUP($B47,'E-1 Off-Site Hedge Baseline'!$B$1:$L$257,10,FALSE)),"",(VLOOKUP($B47,'E-1 Off-Site Hedge Baseline'!$B$1:$L$257,10,FALSE))))</f>
        <v/>
      </c>
      <c r="J47" s="382" t="str">
        <f>IF(B47="","",IF(ISNA(VLOOKUP($B47,'E-1 Off-Site Hedge Baseline'!$B$1:$L$257,11,FALSE)),"",(VLOOKUP($B47,'E-1 Off-Site Hedge Baseline'!$B$1:$L$257,11,FALSE))))</f>
        <v/>
      </c>
      <c r="K47" s="382" t="str">
        <f>IF(B47="","",IF(ISNA(VLOOKUP($B47,'E-1 Off-Site Hedge Baseline'!$B$1:$X$257,113,FALSE)),"",(VLOOKUP($B47,'E-1 Off-Site Hedge Baseline'!$B$1:$X$257,13,FALSE))))</f>
        <v/>
      </c>
      <c r="L47" s="370" t="str">
        <f>IF(B47="","",IF(ISNA(VLOOKUP($B47,'E-1 Off-Site Hedge Baseline'!$B$1:$X$257,12,FALSE)),"",(VLOOKUP($B47,'E-1 Off-Site Hedge Baseline'!$B$1:$X$257,12,FALSE))))</f>
        <v/>
      </c>
      <c r="M47" s="316" t="str">
        <f t="shared" si="0"/>
        <v/>
      </c>
      <c r="N47" s="362" t="str">
        <f>IFERROR(IF(B47="","",INDEX('G-6 Hedgerow Data'!$AN$3:$AZ$15,MATCH(C47,'G-6 Hedgerow Data'!$AM$3:$AM$15,0),MATCH(M47,'G-6 Hedgerow Data'!$AN$2:$AZ$2,0))),"")</f>
        <v/>
      </c>
      <c r="O47" s="363" t="str">
        <f t="shared" si="2"/>
        <v/>
      </c>
      <c r="P47" s="368" t="str">
        <f>IF(B47="","",VLOOKUP(B47,'E-1 Off-Site Hedge Baseline'!$B$10:W292,19,FALSE))</f>
        <v/>
      </c>
      <c r="Q47" s="362" t="str">
        <f>IF(M47="","",VLOOKUP(M47,'G-6 Hedgerow Data'!$B$2:$AG$15,2,FALSE))</f>
        <v/>
      </c>
      <c r="R47" s="363" t="str">
        <f>IF(M47="","",VLOOKUP(M47,'G-6 Hedgerow Data'!$B$2:$AG$15,3,FALSE))</f>
        <v/>
      </c>
      <c r="S47" s="114"/>
      <c r="T47" s="363" t="str">
        <f>IFERROR(IF(AND(Q47="V.Low",OR(S47="Good",S47="Moderate")),"Error ▲",VLOOKUP(S47,'G-1 All Habitats'!$Z$2:$AA$9,2,FALSE)),"")</f>
        <v/>
      </c>
      <c r="U47" s="114"/>
      <c r="V47" s="370" t="str">
        <f>IF(U47="","",IF(VLOOKUP(U47,'G-3 Multipliers'!$L$3:$N$6,2,FALSE)=0,"Spatial Data Missing ⚠",VLOOKUP(U47,'G-3 Multipliers'!$L$3:$N$6,2,FALSE)))</f>
        <v/>
      </c>
      <c r="W47" s="368" t="str">
        <f>IF(U47="","",IF(VLOOKUP(U47,'G-3 Multipliers'!$L$3:$N$6,3,FALSE)=0,"Spatial Data Missing ⚠",VLOOKUP(U47,'G-3 Multipliers'!$L$3:$N$6,3,FALSE)))</f>
        <v/>
      </c>
      <c r="X47" s="362" t="str">
        <f>IFERROR(IF(OR(LEFT(O47,5)="Error",LEFT(N47,5)="Error",T47="Error"),"Check Data ⚠",IF(F47&lt;R47,INDEX('G-6 Hedgerow Data'!$S$3:$AE$14,MATCH(C47,'G-6 Hedgerow Data'!$B$3:$B$14,0),MATCH(M47,'G-6 Hedgerow Data'!$S$2:$AE$2,0)),INDEX('G-6 Hedgerow Data'!$K$3:$Q$14,MATCH(M47,'G-6 Hedgerow Data'!$B$3:$B$14,0),MATCH(O47,'G-6 Hedgerow Data'!$K$2:$Q$2,0)))),"")</f>
        <v/>
      </c>
      <c r="Y47" s="159"/>
      <c r="Z47" s="159"/>
      <c r="AA47" s="370" t="str">
        <f t="shared" si="3"/>
        <v/>
      </c>
      <c r="AB47" s="383" t="str">
        <f t="shared" si="4"/>
        <v/>
      </c>
      <c r="AC47" s="384" t="str">
        <f t="shared" si="1"/>
        <v/>
      </c>
      <c r="AD47" s="398" t="str">
        <f>IF(M47="","",VLOOKUP(M47,'G-6 Hedgerow Data'!$B$3:$AG$15,31,FALSE))</f>
        <v/>
      </c>
      <c r="AE47" s="382" t="str">
        <f t="shared" si="5"/>
        <v/>
      </c>
      <c r="AF47" s="382" t="str">
        <f t="shared" si="6"/>
        <v/>
      </c>
      <c r="AG47" s="386" t="str">
        <f>IFERROR(IF(O47="","",VLOOKUP(AD47,'G-3 Multipliers'!$P$3:$Q$6,2,FALSE)),"")</f>
        <v/>
      </c>
      <c r="AH47" s="160"/>
      <c r="AI47" s="363" t="str">
        <f>IF(AH47="","",IF(VLOOKUP(AH47,'G-3 Multipliers'!$S$3:$T$10,2,FALSE)=0,"Spatial Data Missing ⚠",VLOOKUP(AH47,'G-3 Multipliers'!$S$3:$T$10,2,FALSE)))</f>
        <v/>
      </c>
      <c r="AJ47" s="405" t="str">
        <f t="shared" si="7"/>
        <v/>
      </c>
      <c r="AK47" s="376" t="str">
        <f t="shared" si="8"/>
        <v/>
      </c>
      <c r="AL47" s="117"/>
      <c r="AM47" s="118"/>
      <c r="AN47" s="120"/>
      <c r="AO47" s="120"/>
      <c r="AQ47" s="30" t="str">
        <f>IFERROR(INDEX('G-6 Hedgerow Data'!$BJ$3:$BJ$15,MATCH(M47,'G-6 Hedgerow Data'!$B$3:$B$15,0)),"")</f>
        <v/>
      </c>
    </row>
    <row r="48" spans="2:43" ht="15">
      <c r="B48" s="392" t="str">
        <f>'E-1 Off-Site Hedge Baseline'!AN46</f>
        <v/>
      </c>
      <c r="C48" s="382" t="str">
        <f>IF(B48="","",IF(ISNA(VLOOKUP($B48,'E-1 Off-Site Hedge Baseline'!$B$1:$L$257,3,FALSE)),"",(VLOOKUP($B48,'E-1 Off-Site Hedge Baseline'!$B$1:$L$257,3,FALSE))))</f>
        <v/>
      </c>
      <c r="D48" s="382" t="str">
        <f>IF(B48="","",IF(ISNA(VLOOKUP($B48,'E-1 Off-Site Hedge Baseline'!$B$1:$L$258,4,FALSE)),"",(VLOOKUP($B48,'E-1 Off-Site Hedge Baseline'!$B$1:$L$258,4,FALSE))))</f>
        <v/>
      </c>
      <c r="E48" s="382" t="str">
        <f>IF(B48="","",IF(ISNA(VLOOKUP($B48,'E-1 Off-Site Hedge Baseline'!$B$1:$L$257,5,FALSE)),"",(VLOOKUP($B48,'E-1 Off-Site Hedge Baseline'!$B$1:$L$257,5,FALSE))))</f>
        <v/>
      </c>
      <c r="F48" s="382" t="str">
        <f>IF(B48="","",IF(ISNA(VLOOKUP($B48,'E-1 Off-Site Hedge Baseline'!$B$1:$L$257,6,FALSE)),"",(VLOOKUP($B48,'E-1 Off-Site Hedge Baseline'!$B$1:$L$257,6,FALSE))))</f>
        <v/>
      </c>
      <c r="G48" s="382" t="str">
        <f>IF(B48="","",IF(ISNA(VLOOKUP($B48,'E-1 Off-Site Hedge Baseline'!$B$1:$L$257,7,FALSE)),"",(VLOOKUP($B48,'E-1 Off-Site Hedge Baseline'!$B$1:$L$257,7,FALSE))))</f>
        <v/>
      </c>
      <c r="H48" s="382" t="str">
        <f>IF(B48="","",IF(ISNA(VLOOKUP($B48,'E-1 Off-Site Hedge Baseline'!$B$1:$L$257,8,FALSE)),"",(VLOOKUP($B48,'E-1 Off-Site Hedge Baseline'!$B$1:$L$257,8,FALSE))))</f>
        <v/>
      </c>
      <c r="I48" s="382" t="str">
        <f>IF(B48="","",IF(ISNA(VLOOKUP($B48,'E-1 Off-Site Hedge Baseline'!$B$1:$L$257,10,FALSE)),"",(VLOOKUP($B48,'E-1 Off-Site Hedge Baseline'!$B$1:$L$257,10,FALSE))))</f>
        <v/>
      </c>
      <c r="J48" s="382" t="str">
        <f>IF(B48="","",IF(ISNA(VLOOKUP($B48,'E-1 Off-Site Hedge Baseline'!$B$1:$L$257,11,FALSE)),"",(VLOOKUP($B48,'E-1 Off-Site Hedge Baseline'!$B$1:$L$257,11,FALSE))))</f>
        <v/>
      </c>
      <c r="K48" s="382" t="str">
        <f>IF(B48="","",IF(ISNA(VLOOKUP($B48,'E-1 Off-Site Hedge Baseline'!$B$1:$X$257,113,FALSE)),"",(VLOOKUP($B48,'E-1 Off-Site Hedge Baseline'!$B$1:$X$257,13,FALSE))))</f>
        <v/>
      </c>
      <c r="L48" s="370" t="str">
        <f>IF(B48="","",IF(ISNA(VLOOKUP($B48,'E-1 Off-Site Hedge Baseline'!$B$1:$X$257,12,FALSE)),"",(VLOOKUP($B48,'E-1 Off-Site Hedge Baseline'!$B$1:$X$257,12,FALSE))))</f>
        <v/>
      </c>
      <c r="M48" s="316" t="str">
        <f t="shared" si="0"/>
        <v/>
      </c>
      <c r="N48" s="362" t="str">
        <f>IFERROR(IF(B48="","",INDEX('G-6 Hedgerow Data'!$AN$3:$AZ$15,MATCH(C48,'G-6 Hedgerow Data'!$AM$3:$AM$15,0),MATCH(M48,'G-6 Hedgerow Data'!$AN$2:$AZ$2,0))),"")</f>
        <v/>
      </c>
      <c r="O48" s="363" t="str">
        <f t="shared" si="2"/>
        <v/>
      </c>
      <c r="P48" s="368" t="str">
        <f>IF(B48="","",VLOOKUP(B48,'E-1 Off-Site Hedge Baseline'!$B$10:W293,19,FALSE))</f>
        <v/>
      </c>
      <c r="Q48" s="362" t="str">
        <f>IF(M48="","",VLOOKUP(M48,'G-6 Hedgerow Data'!$B$2:$AG$15,2,FALSE))</f>
        <v/>
      </c>
      <c r="R48" s="363" t="str">
        <f>IF(M48="","",VLOOKUP(M48,'G-6 Hedgerow Data'!$B$2:$AG$15,3,FALSE))</f>
        <v/>
      </c>
      <c r="S48" s="114"/>
      <c r="T48" s="363" t="str">
        <f>IFERROR(IF(AND(Q48="V.Low",OR(S48="Good",S48="Moderate")),"Error ▲",VLOOKUP(S48,'G-1 All Habitats'!$Z$2:$AA$9,2,FALSE)),"")</f>
        <v/>
      </c>
      <c r="U48" s="114"/>
      <c r="V48" s="370" t="str">
        <f>IF(U48="","",IF(VLOOKUP(U48,'G-3 Multipliers'!$L$3:$N$6,2,FALSE)=0,"Spatial Data Missing ⚠",VLOOKUP(U48,'G-3 Multipliers'!$L$3:$N$6,2,FALSE)))</f>
        <v/>
      </c>
      <c r="W48" s="368" t="str">
        <f>IF(U48="","",IF(VLOOKUP(U48,'G-3 Multipliers'!$L$3:$N$6,3,FALSE)=0,"Spatial Data Missing ⚠",VLOOKUP(U48,'G-3 Multipliers'!$L$3:$N$6,3,FALSE)))</f>
        <v/>
      </c>
      <c r="X48" s="362" t="str">
        <f>IFERROR(IF(OR(LEFT(O48,5)="Error",LEFT(N48,5)="Error",T48="Error"),"Check Data ⚠",IF(F48&lt;R48,INDEX('G-6 Hedgerow Data'!$S$3:$AE$14,MATCH(C48,'G-6 Hedgerow Data'!$B$3:$B$14,0),MATCH(M48,'G-6 Hedgerow Data'!$S$2:$AE$2,0)),INDEX('G-6 Hedgerow Data'!$K$3:$Q$14,MATCH(M48,'G-6 Hedgerow Data'!$B$3:$B$14,0),MATCH(O48,'G-6 Hedgerow Data'!$K$2:$Q$2,0)))),"")</f>
        <v/>
      </c>
      <c r="Y48" s="159"/>
      <c r="Z48" s="159"/>
      <c r="AA48" s="370" t="str">
        <f t="shared" si="3"/>
        <v/>
      </c>
      <c r="AB48" s="383" t="str">
        <f t="shared" si="4"/>
        <v/>
      </c>
      <c r="AC48" s="384" t="str">
        <f t="shared" si="1"/>
        <v/>
      </c>
      <c r="AD48" s="398" t="str">
        <f>IF(M48="","",VLOOKUP(M48,'G-6 Hedgerow Data'!$B$3:$AG$15,31,FALSE))</f>
        <v/>
      </c>
      <c r="AE48" s="382" t="str">
        <f t="shared" si="5"/>
        <v/>
      </c>
      <c r="AF48" s="382" t="str">
        <f t="shared" si="6"/>
        <v/>
      </c>
      <c r="AG48" s="386" t="str">
        <f>IFERROR(IF(O48="","",VLOOKUP(AD48,'G-3 Multipliers'!$P$3:$Q$6,2,FALSE)),"")</f>
        <v/>
      </c>
      <c r="AH48" s="160"/>
      <c r="AI48" s="363" t="str">
        <f>IF(AH48="","",IF(VLOOKUP(AH48,'G-3 Multipliers'!$S$3:$T$10,2,FALSE)=0,"Spatial Data Missing ⚠",VLOOKUP(AH48,'G-3 Multipliers'!$S$3:$T$10,2,FALSE)))</f>
        <v/>
      </c>
      <c r="AJ48" s="405" t="str">
        <f t="shared" si="7"/>
        <v/>
      </c>
      <c r="AK48" s="376" t="str">
        <f t="shared" si="8"/>
        <v/>
      </c>
      <c r="AL48" s="117"/>
      <c r="AM48" s="118"/>
      <c r="AN48" s="120"/>
      <c r="AO48" s="120"/>
      <c r="AQ48" s="30" t="str">
        <f>IFERROR(INDEX('G-6 Hedgerow Data'!$BJ$3:$BJ$15,MATCH(M48,'G-6 Hedgerow Data'!$B$3:$B$15,0)),"")</f>
        <v/>
      </c>
    </row>
    <row r="49" spans="2:43" ht="15">
      <c r="B49" s="392" t="str">
        <f>'E-1 Off-Site Hedge Baseline'!AN47</f>
        <v/>
      </c>
      <c r="C49" s="382" t="str">
        <f>IF(B49="","",IF(ISNA(VLOOKUP($B49,'E-1 Off-Site Hedge Baseline'!$B$1:$L$257,3,FALSE)),"",(VLOOKUP($B49,'E-1 Off-Site Hedge Baseline'!$B$1:$L$257,3,FALSE))))</f>
        <v/>
      </c>
      <c r="D49" s="382" t="str">
        <f>IF(B49="","",IF(ISNA(VLOOKUP($B49,'E-1 Off-Site Hedge Baseline'!$B$1:$L$258,4,FALSE)),"",(VLOOKUP($B49,'E-1 Off-Site Hedge Baseline'!$B$1:$L$258,4,FALSE))))</f>
        <v/>
      </c>
      <c r="E49" s="382" t="str">
        <f>IF(B49="","",IF(ISNA(VLOOKUP($B49,'E-1 Off-Site Hedge Baseline'!$B$1:$L$257,5,FALSE)),"",(VLOOKUP($B49,'E-1 Off-Site Hedge Baseline'!$B$1:$L$257,5,FALSE))))</f>
        <v/>
      </c>
      <c r="F49" s="382" t="str">
        <f>IF(B49="","",IF(ISNA(VLOOKUP($B49,'E-1 Off-Site Hedge Baseline'!$B$1:$L$257,6,FALSE)),"",(VLOOKUP($B49,'E-1 Off-Site Hedge Baseline'!$B$1:$L$257,6,FALSE))))</f>
        <v/>
      </c>
      <c r="G49" s="382" t="str">
        <f>IF(B49="","",IF(ISNA(VLOOKUP($B49,'E-1 Off-Site Hedge Baseline'!$B$1:$L$257,7,FALSE)),"",(VLOOKUP($B49,'E-1 Off-Site Hedge Baseline'!$B$1:$L$257,7,FALSE))))</f>
        <v/>
      </c>
      <c r="H49" s="382" t="str">
        <f>IF(B49="","",IF(ISNA(VLOOKUP($B49,'E-1 Off-Site Hedge Baseline'!$B$1:$L$257,8,FALSE)),"",(VLOOKUP($B49,'E-1 Off-Site Hedge Baseline'!$B$1:$L$257,8,FALSE))))</f>
        <v/>
      </c>
      <c r="I49" s="382" t="str">
        <f>IF(B49="","",IF(ISNA(VLOOKUP($B49,'E-1 Off-Site Hedge Baseline'!$B$1:$L$257,10,FALSE)),"",(VLOOKUP($B49,'E-1 Off-Site Hedge Baseline'!$B$1:$L$257,10,FALSE))))</f>
        <v/>
      </c>
      <c r="J49" s="382" t="str">
        <f>IF(B49="","",IF(ISNA(VLOOKUP($B49,'E-1 Off-Site Hedge Baseline'!$B$1:$L$257,11,FALSE)),"",(VLOOKUP($B49,'E-1 Off-Site Hedge Baseline'!$B$1:$L$257,11,FALSE))))</f>
        <v/>
      </c>
      <c r="K49" s="382" t="str">
        <f>IF(B49="","",IF(ISNA(VLOOKUP($B49,'E-1 Off-Site Hedge Baseline'!$B$1:$X$257,113,FALSE)),"",(VLOOKUP($B49,'E-1 Off-Site Hedge Baseline'!$B$1:$X$257,13,FALSE))))</f>
        <v/>
      </c>
      <c r="L49" s="370" t="str">
        <f>IF(B49="","",IF(ISNA(VLOOKUP($B49,'E-1 Off-Site Hedge Baseline'!$B$1:$X$257,12,FALSE)),"",(VLOOKUP($B49,'E-1 Off-Site Hedge Baseline'!$B$1:$X$257,12,FALSE))))</f>
        <v/>
      </c>
      <c r="M49" s="316" t="str">
        <f t="shared" si="0"/>
        <v/>
      </c>
      <c r="N49" s="362" t="str">
        <f>IFERROR(IF(B49="","",INDEX('G-6 Hedgerow Data'!$AN$3:$AZ$15,MATCH(C49,'G-6 Hedgerow Data'!$AM$3:$AM$15,0),MATCH(M49,'G-6 Hedgerow Data'!$AN$2:$AZ$2,0))),"")</f>
        <v/>
      </c>
      <c r="O49" s="363" t="str">
        <f t="shared" si="2"/>
        <v/>
      </c>
      <c r="P49" s="368" t="str">
        <f>IF(B49="","",VLOOKUP(B49,'E-1 Off-Site Hedge Baseline'!$B$10:W294,19,FALSE))</f>
        <v/>
      </c>
      <c r="Q49" s="362" t="str">
        <f>IF(M49="","",VLOOKUP(M49,'G-6 Hedgerow Data'!$B$2:$AG$15,2,FALSE))</f>
        <v/>
      </c>
      <c r="R49" s="363" t="str">
        <f>IF(M49="","",VLOOKUP(M49,'G-6 Hedgerow Data'!$B$2:$AG$15,3,FALSE))</f>
        <v/>
      </c>
      <c r="S49" s="114"/>
      <c r="T49" s="363" t="str">
        <f>IFERROR(IF(AND(Q49="V.Low",OR(S49="Good",S49="Moderate")),"Error ▲",VLOOKUP(S49,'G-1 All Habitats'!$Z$2:$AA$9,2,FALSE)),"")</f>
        <v/>
      </c>
      <c r="U49" s="114"/>
      <c r="V49" s="370" t="str">
        <f>IF(U49="","",IF(VLOOKUP(U49,'G-3 Multipliers'!$L$3:$N$6,2,FALSE)=0,"Spatial Data Missing ⚠",VLOOKUP(U49,'G-3 Multipliers'!$L$3:$N$6,2,FALSE)))</f>
        <v/>
      </c>
      <c r="W49" s="368" t="str">
        <f>IF(U49="","",IF(VLOOKUP(U49,'G-3 Multipliers'!$L$3:$N$6,3,FALSE)=0,"Spatial Data Missing ⚠",VLOOKUP(U49,'G-3 Multipliers'!$L$3:$N$6,3,FALSE)))</f>
        <v/>
      </c>
      <c r="X49" s="362" t="str">
        <f>IFERROR(IF(OR(LEFT(O49,5)="Error",LEFT(N49,5)="Error",T49="Error"),"Check Data ⚠",IF(F49&lt;R49,INDEX('G-6 Hedgerow Data'!$S$3:$AE$14,MATCH(C49,'G-6 Hedgerow Data'!$B$3:$B$14,0),MATCH(M49,'G-6 Hedgerow Data'!$S$2:$AE$2,0)),INDEX('G-6 Hedgerow Data'!$K$3:$Q$14,MATCH(M49,'G-6 Hedgerow Data'!$B$3:$B$14,0),MATCH(O49,'G-6 Hedgerow Data'!$K$2:$Q$2,0)))),"")</f>
        <v/>
      </c>
      <c r="Y49" s="159"/>
      <c r="Z49" s="159"/>
      <c r="AA49" s="370" t="str">
        <f t="shared" si="3"/>
        <v/>
      </c>
      <c r="AB49" s="383" t="str">
        <f t="shared" si="4"/>
        <v/>
      </c>
      <c r="AC49" s="384" t="str">
        <f t="shared" si="1"/>
        <v/>
      </c>
      <c r="AD49" s="398" t="str">
        <f>IF(M49="","",VLOOKUP(M49,'G-6 Hedgerow Data'!$B$3:$AG$15,31,FALSE))</f>
        <v/>
      </c>
      <c r="AE49" s="382" t="str">
        <f t="shared" si="5"/>
        <v/>
      </c>
      <c r="AF49" s="382" t="str">
        <f t="shared" si="6"/>
        <v/>
      </c>
      <c r="AG49" s="386" t="str">
        <f>IFERROR(IF(O49="","",VLOOKUP(AD49,'G-3 Multipliers'!$P$3:$Q$6,2,FALSE)),"")</f>
        <v/>
      </c>
      <c r="AH49" s="160"/>
      <c r="AI49" s="363" t="str">
        <f>IF(AH49="","",IF(VLOOKUP(AH49,'G-3 Multipliers'!$S$3:$T$10,2,FALSE)=0,"Spatial Data Missing ⚠",VLOOKUP(AH49,'G-3 Multipliers'!$S$3:$T$10,2,FALSE)))</f>
        <v/>
      </c>
      <c r="AJ49" s="405" t="str">
        <f t="shared" si="7"/>
        <v/>
      </c>
      <c r="AK49" s="376" t="str">
        <f t="shared" si="8"/>
        <v/>
      </c>
      <c r="AL49" s="117"/>
      <c r="AM49" s="118"/>
      <c r="AN49" s="120"/>
      <c r="AO49" s="120"/>
      <c r="AQ49" s="30" t="str">
        <f>IFERROR(INDEX('G-6 Hedgerow Data'!$BJ$3:$BJ$15,MATCH(M49,'G-6 Hedgerow Data'!$B$3:$B$15,0)),"")</f>
        <v/>
      </c>
    </row>
    <row r="50" spans="2:43" ht="15">
      <c r="B50" s="392" t="str">
        <f>'E-1 Off-Site Hedge Baseline'!AN48</f>
        <v/>
      </c>
      <c r="C50" s="382" t="str">
        <f>IF(B50="","",IF(ISNA(VLOOKUP($B50,'E-1 Off-Site Hedge Baseline'!$B$1:$L$257,3,FALSE)),"",(VLOOKUP($B50,'E-1 Off-Site Hedge Baseline'!$B$1:$L$257,3,FALSE))))</f>
        <v/>
      </c>
      <c r="D50" s="382" t="str">
        <f>IF(B50="","",IF(ISNA(VLOOKUP($B50,'E-1 Off-Site Hedge Baseline'!$B$1:$L$258,4,FALSE)),"",(VLOOKUP($B50,'E-1 Off-Site Hedge Baseline'!$B$1:$L$258,4,FALSE))))</f>
        <v/>
      </c>
      <c r="E50" s="382" t="str">
        <f>IF(B50="","",IF(ISNA(VLOOKUP($B50,'E-1 Off-Site Hedge Baseline'!$B$1:$L$257,5,FALSE)),"",(VLOOKUP($B50,'E-1 Off-Site Hedge Baseline'!$B$1:$L$257,5,FALSE))))</f>
        <v/>
      </c>
      <c r="F50" s="382" t="str">
        <f>IF(B50="","",IF(ISNA(VLOOKUP($B50,'E-1 Off-Site Hedge Baseline'!$B$1:$L$257,6,FALSE)),"",(VLOOKUP($B50,'E-1 Off-Site Hedge Baseline'!$B$1:$L$257,6,FALSE))))</f>
        <v/>
      </c>
      <c r="G50" s="382" t="str">
        <f>IF(B50="","",IF(ISNA(VLOOKUP($B50,'E-1 Off-Site Hedge Baseline'!$B$1:$L$257,7,FALSE)),"",(VLOOKUP($B50,'E-1 Off-Site Hedge Baseline'!$B$1:$L$257,7,FALSE))))</f>
        <v/>
      </c>
      <c r="H50" s="382" t="str">
        <f>IF(B50="","",IF(ISNA(VLOOKUP($B50,'E-1 Off-Site Hedge Baseline'!$B$1:$L$257,8,FALSE)),"",(VLOOKUP($B50,'E-1 Off-Site Hedge Baseline'!$B$1:$L$257,8,FALSE))))</f>
        <v/>
      </c>
      <c r="I50" s="382" t="str">
        <f>IF(B50="","",IF(ISNA(VLOOKUP($B50,'E-1 Off-Site Hedge Baseline'!$B$1:$L$257,10,FALSE)),"",(VLOOKUP($B50,'E-1 Off-Site Hedge Baseline'!$B$1:$L$257,10,FALSE))))</f>
        <v/>
      </c>
      <c r="J50" s="382" t="str">
        <f>IF(B50="","",IF(ISNA(VLOOKUP($B50,'E-1 Off-Site Hedge Baseline'!$B$1:$L$257,11,FALSE)),"",(VLOOKUP($B50,'E-1 Off-Site Hedge Baseline'!$B$1:$L$257,11,FALSE))))</f>
        <v/>
      </c>
      <c r="K50" s="382" t="str">
        <f>IF(B50="","",IF(ISNA(VLOOKUP($B50,'E-1 Off-Site Hedge Baseline'!$B$1:$X$257,113,FALSE)),"",(VLOOKUP($B50,'E-1 Off-Site Hedge Baseline'!$B$1:$X$257,13,FALSE))))</f>
        <v/>
      </c>
      <c r="L50" s="370" t="str">
        <f>IF(B50="","",IF(ISNA(VLOOKUP($B50,'E-1 Off-Site Hedge Baseline'!$B$1:$X$257,12,FALSE)),"",(VLOOKUP($B50,'E-1 Off-Site Hedge Baseline'!$B$1:$X$257,12,FALSE))))</f>
        <v/>
      </c>
      <c r="M50" s="316" t="str">
        <f t="shared" si="0"/>
        <v/>
      </c>
      <c r="N50" s="362" t="str">
        <f>IFERROR(IF(B50="","",INDEX('G-6 Hedgerow Data'!$AN$3:$AZ$15,MATCH(C50,'G-6 Hedgerow Data'!$AM$3:$AM$15,0),MATCH(M50,'G-6 Hedgerow Data'!$AN$2:$AZ$2,0))),"")</f>
        <v/>
      </c>
      <c r="O50" s="363" t="str">
        <f t="shared" si="2"/>
        <v/>
      </c>
      <c r="P50" s="368" t="str">
        <f>IF(B50="","",VLOOKUP(B50,'E-1 Off-Site Hedge Baseline'!$B$10:W295,19,FALSE))</f>
        <v/>
      </c>
      <c r="Q50" s="362" t="str">
        <f>IF(M50="","",VLOOKUP(M50,'G-6 Hedgerow Data'!$B$2:$AG$15,2,FALSE))</f>
        <v/>
      </c>
      <c r="R50" s="363" t="str">
        <f>IF(M50="","",VLOOKUP(M50,'G-6 Hedgerow Data'!$B$2:$AG$15,3,FALSE))</f>
        <v/>
      </c>
      <c r="S50" s="114"/>
      <c r="T50" s="363" t="str">
        <f>IFERROR(IF(AND(Q50="V.Low",OR(S50="Good",S50="Moderate")),"Error ▲",VLOOKUP(S50,'G-1 All Habitats'!$Z$2:$AA$9,2,FALSE)),"")</f>
        <v/>
      </c>
      <c r="U50" s="114"/>
      <c r="V50" s="370" t="str">
        <f>IF(U50="","",IF(VLOOKUP(U50,'G-3 Multipliers'!$L$3:$N$6,2,FALSE)=0,"Spatial Data Missing ⚠",VLOOKUP(U50,'G-3 Multipliers'!$L$3:$N$6,2,FALSE)))</f>
        <v/>
      </c>
      <c r="W50" s="368" t="str">
        <f>IF(U50="","",IF(VLOOKUP(U50,'G-3 Multipliers'!$L$3:$N$6,3,FALSE)=0,"Spatial Data Missing ⚠",VLOOKUP(U50,'G-3 Multipliers'!$L$3:$N$6,3,FALSE)))</f>
        <v/>
      </c>
      <c r="X50" s="362" t="str">
        <f>IFERROR(IF(OR(LEFT(O50,5)="Error",LEFT(N50,5)="Error",T50="Error"),"Check Data ⚠",IF(F50&lt;R50,INDEX('G-6 Hedgerow Data'!$S$3:$AE$14,MATCH(C50,'G-6 Hedgerow Data'!$B$3:$B$14,0),MATCH(M50,'G-6 Hedgerow Data'!$S$2:$AE$2,0)),INDEX('G-6 Hedgerow Data'!$K$3:$Q$14,MATCH(M50,'G-6 Hedgerow Data'!$B$3:$B$14,0),MATCH(O50,'G-6 Hedgerow Data'!$K$2:$Q$2,0)))),"")</f>
        <v/>
      </c>
      <c r="Y50" s="159"/>
      <c r="Z50" s="159"/>
      <c r="AA50" s="370" t="str">
        <f t="shared" si="3"/>
        <v/>
      </c>
      <c r="AB50" s="383" t="str">
        <f t="shared" si="4"/>
        <v/>
      </c>
      <c r="AC50" s="384" t="str">
        <f t="shared" si="1"/>
        <v/>
      </c>
      <c r="AD50" s="398" t="str">
        <f>IF(M50="","",VLOOKUP(M50,'G-6 Hedgerow Data'!$B$3:$AG$15,31,FALSE))</f>
        <v/>
      </c>
      <c r="AE50" s="382" t="str">
        <f t="shared" si="5"/>
        <v/>
      </c>
      <c r="AF50" s="382" t="str">
        <f t="shared" si="6"/>
        <v/>
      </c>
      <c r="AG50" s="386" t="str">
        <f>IFERROR(IF(O50="","",VLOOKUP(AD50,'G-3 Multipliers'!$P$3:$Q$6,2,FALSE)),"")</f>
        <v/>
      </c>
      <c r="AH50" s="160"/>
      <c r="AI50" s="363" t="str">
        <f>IF(AH50="","",IF(VLOOKUP(AH50,'G-3 Multipliers'!$S$3:$T$10,2,FALSE)=0,"Spatial Data Missing ⚠",VLOOKUP(AH50,'G-3 Multipliers'!$S$3:$T$10,2,FALSE)))</f>
        <v/>
      </c>
      <c r="AJ50" s="405" t="str">
        <f t="shared" si="7"/>
        <v/>
      </c>
      <c r="AK50" s="376" t="str">
        <f t="shared" si="8"/>
        <v/>
      </c>
      <c r="AL50" s="117"/>
      <c r="AM50" s="118"/>
      <c r="AN50" s="120"/>
      <c r="AO50" s="120"/>
      <c r="AQ50" s="30" t="str">
        <f>IFERROR(INDEX('G-6 Hedgerow Data'!$BJ$3:$BJ$15,MATCH(M50,'G-6 Hedgerow Data'!$B$3:$B$15,0)),"")</f>
        <v/>
      </c>
    </row>
    <row r="51" spans="2:43" ht="15">
      <c r="B51" s="392" t="str">
        <f>'E-1 Off-Site Hedge Baseline'!AN49</f>
        <v/>
      </c>
      <c r="C51" s="382" t="str">
        <f>IF(B51="","",IF(ISNA(VLOOKUP($B51,'E-1 Off-Site Hedge Baseline'!$B$1:$L$257,3,FALSE)),"",(VLOOKUP($B51,'E-1 Off-Site Hedge Baseline'!$B$1:$L$257,3,FALSE))))</f>
        <v/>
      </c>
      <c r="D51" s="382" t="str">
        <f>IF(B51="","",IF(ISNA(VLOOKUP($B51,'E-1 Off-Site Hedge Baseline'!$B$1:$L$258,4,FALSE)),"",(VLOOKUP($B51,'E-1 Off-Site Hedge Baseline'!$B$1:$L$258,4,FALSE))))</f>
        <v/>
      </c>
      <c r="E51" s="382" t="str">
        <f>IF(B51="","",IF(ISNA(VLOOKUP($B51,'E-1 Off-Site Hedge Baseline'!$B$1:$L$257,5,FALSE)),"",(VLOOKUP($B51,'E-1 Off-Site Hedge Baseline'!$B$1:$L$257,5,FALSE))))</f>
        <v/>
      </c>
      <c r="F51" s="382" t="str">
        <f>IF(B51="","",IF(ISNA(VLOOKUP($B51,'E-1 Off-Site Hedge Baseline'!$B$1:$L$257,6,FALSE)),"",(VLOOKUP($B51,'E-1 Off-Site Hedge Baseline'!$B$1:$L$257,6,FALSE))))</f>
        <v/>
      </c>
      <c r="G51" s="382" t="str">
        <f>IF(B51="","",IF(ISNA(VLOOKUP($B51,'E-1 Off-Site Hedge Baseline'!$B$1:$L$257,7,FALSE)),"",(VLOOKUP($B51,'E-1 Off-Site Hedge Baseline'!$B$1:$L$257,7,FALSE))))</f>
        <v/>
      </c>
      <c r="H51" s="382" t="str">
        <f>IF(B51="","",IF(ISNA(VLOOKUP($B51,'E-1 Off-Site Hedge Baseline'!$B$1:$L$257,8,FALSE)),"",(VLOOKUP($B51,'E-1 Off-Site Hedge Baseline'!$B$1:$L$257,8,FALSE))))</f>
        <v/>
      </c>
      <c r="I51" s="382" t="str">
        <f>IF(B51="","",IF(ISNA(VLOOKUP($B51,'E-1 Off-Site Hedge Baseline'!$B$1:$L$257,10,FALSE)),"",(VLOOKUP($B51,'E-1 Off-Site Hedge Baseline'!$B$1:$L$257,10,FALSE))))</f>
        <v/>
      </c>
      <c r="J51" s="382" t="str">
        <f>IF(B51="","",IF(ISNA(VLOOKUP($B51,'E-1 Off-Site Hedge Baseline'!$B$1:$L$257,11,FALSE)),"",(VLOOKUP($B51,'E-1 Off-Site Hedge Baseline'!$B$1:$L$257,11,FALSE))))</f>
        <v/>
      </c>
      <c r="K51" s="382" t="str">
        <f>IF(B51="","",IF(ISNA(VLOOKUP($B51,'E-1 Off-Site Hedge Baseline'!$B$1:$X$257,113,FALSE)),"",(VLOOKUP($B51,'E-1 Off-Site Hedge Baseline'!$B$1:$X$257,13,FALSE))))</f>
        <v/>
      </c>
      <c r="L51" s="370" t="str">
        <f>IF(B51="","",IF(ISNA(VLOOKUP($B51,'E-1 Off-Site Hedge Baseline'!$B$1:$X$257,12,FALSE)),"",(VLOOKUP($B51,'E-1 Off-Site Hedge Baseline'!$B$1:$X$257,12,FALSE))))</f>
        <v/>
      </c>
      <c r="M51" s="316" t="str">
        <f t="shared" si="0"/>
        <v/>
      </c>
      <c r="N51" s="362" t="str">
        <f>IFERROR(IF(B51="","",INDEX('G-6 Hedgerow Data'!$AN$3:$AZ$15,MATCH(C51,'G-6 Hedgerow Data'!$AM$3:$AM$15,0),MATCH(M51,'G-6 Hedgerow Data'!$AN$2:$AZ$2,0))),"")</f>
        <v/>
      </c>
      <c r="O51" s="363" t="str">
        <f t="shared" si="2"/>
        <v/>
      </c>
      <c r="P51" s="368" t="str">
        <f>IF(B51="","",VLOOKUP(B51,'E-1 Off-Site Hedge Baseline'!$B$10:W296,19,FALSE))</f>
        <v/>
      </c>
      <c r="Q51" s="362" t="str">
        <f>IF(M51="","",VLOOKUP(M51,'G-6 Hedgerow Data'!$B$2:$AG$15,2,FALSE))</f>
        <v/>
      </c>
      <c r="R51" s="363" t="str">
        <f>IF(M51="","",VLOOKUP(M51,'G-6 Hedgerow Data'!$B$2:$AG$15,3,FALSE))</f>
        <v/>
      </c>
      <c r="S51" s="114"/>
      <c r="T51" s="363" t="str">
        <f>IFERROR(IF(AND(Q51="V.Low",OR(S51="Good",S51="Moderate")),"Error ▲",VLOOKUP(S51,'G-1 All Habitats'!$Z$2:$AA$9,2,FALSE)),"")</f>
        <v/>
      </c>
      <c r="U51" s="114"/>
      <c r="V51" s="370" t="str">
        <f>IF(U51="","",IF(VLOOKUP(U51,'G-3 Multipliers'!$L$3:$N$6,2,FALSE)=0,"Spatial Data Missing ⚠",VLOOKUP(U51,'G-3 Multipliers'!$L$3:$N$6,2,FALSE)))</f>
        <v/>
      </c>
      <c r="W51" s="368" t="str">
        <f>IF(U51="","",IF(VLOOKUP(U51,'G-3 Multipliers'!$L$3:$N$6,3,FALSE)=0,"Spatial Data Missing ⚠",VLOOKUP(U51,'G-3 Multipliers'!$L$3:$N$6,3,FALSE)))</f>
        <v/>
      </c>
      <c r="X51" s="362" t="str">
        <f>IFERROR(IF(OR(LEFT(O51,5)="Error",LEFT(N51,5)="Error",T51="Error"),"Check Data ⚠",IF(F51&lt;R51,INDEX('G-6 Hedgerow Data'!$S$3:$AE$14,MATCH(C51,'G-6 Hedgerow Data'!$B$3:$B$14,0),MATCH(M51,'G-6 Hedgerow Data'!$S$2:$AE$2,0)),INDEX('G-6 Hedgerow Data'!$K$3:$Q$14,MATCH(M51,'G-6 Hedgerow Data'!$B$3:$B$14,0),MATCH(O51,'G-6 Hedgerow Data'!$K$2:$Q$2,0)))),"")</f>
        <v/>
      </c>
      <c r="Y51" s="159"/>
      <c r="Z51" s="159"/>
      <c r="AA51" s="370" t="str">
        <f t="shared" si="3"/>
        <v/>
      </c>
      <c r="AB51" s="383" t="str">
        <f t="shared" si="4"/>
        <v/>
      </c>
      <c r="AC51" s="384" t="str">
        <f t="shared" si="1"/>
        <v/>
      </c>
      <c r="AD51" s="398" t="str">
        <f>IF(M51="","",VLOOKUP(M51,'G-6 Hedgerow Data'!$B$3:$AG$15,31,FALSE))</f>
        <v/>
      </c>
      <c r="AE51" s="382" t="str">
        <f t="shared" si="5"/>
        <v/>
      </c>
      <c r="AF51" s="382" t="str">
        <f t="shared" si="6"/>
        <v/>
      </c>
      <c r="AG51" s="386" t="str">
        <f>IFERROR(IF(O51="","",VLOOKUP(AD51,'G-3 Multipliers'!$P$3:$Q$6,2,FALSE)),"")</f>
        <v/>
      </c>
      <c r="AH51" s="160"/>
      <c r="AI51" s="363" t="str">
        <f>IF(AH51="","",IF(VLOOKUP(AH51,'G-3 Multipliers'!$S$3:$T$10,2,FALSE)=0,"Spatial Data Missing ⚠",VLOOKUP(AH51,'G-3 Multipliers'!$S$3:$T$10,2,FALSE)))</f>
        <v/>
      </c>
      <c r="AJ51" s="405" t="str">
        <f t="shared" si="7"/>
        <v/>
      </c>
      <c r="AK51" s="376" t="str">
        <f t="shared" si="8"/>
        <v/>
      </c>
      <c r="AL51" s="117"/>
      <c r="AM51" s="118"/>
      <c r="AN51" s="120"/>
      <c r="AO51" s="120"/>
      <c r="AQ51" s="30" t="str">
        <f>IFERROR(INDEX('G-6 Hedgerow Data'!$BJ$3:$BJ$15,MATCH(M51,'G-6 Hedgerow Data'!$B$3:$B$15,0)),"")</f>
        <v/>
      </c>
    </row>
    <row r="52" spans="2:43" ht="15">
      <c r="B52" s="392" t="str">
        <f>'E-1 Off-Site Hedge Baseline'!AN50</f>
        <v/>
      </c>
      <c r="C52" s="382" t="str">
        <f>IF(B52="","",IF(ISNA(VLOOKUP($B52,'E-1 Off-Site Hedge Baseline'!$B$1:$L$257,3,FALSE)),"",(VLOOKUP($B52,'E-1 Off-Site Hedge Baseline'!$B$1:$L$257,3,FALSE))))</f>
        <v/>
      </c>
      <c r="D52" s="382" t="str">
        <f>IF(B52="","",IF(ISNA(VLOOKUP($B52,'E-1 Off-Site Hedge Baseline'!$B$1:$L$258,4,FALSE)),"",(VLOOKUP($B52,'E-1 Off-Site Hedge Baseline'!$B$1:$L$258,4,FALSE))))</f>
        <v/>
      </c>
      <c r="E52" s="382" t="str">
        <f>IF(B52="","",IF(ISNA(VLOOKUP($B52,'E-1 Off-Site Hedge Baseline'!$B$1:$L$257,5,FALSE)),"",(VLOOKUP($B52,'E-1 Off-Site Hedge Baseline'!$B$1:$L$257,5,FALSE))))</f>
        <v/>
      </c>
      <c r="F52" s="382" t="str">
        <f>IF(B52="","",IF(ISNA(VLOOKUP($B52,'E-1 Off-Site Hedge Baseline'!$B$1:$L$257,6,FALSE)),"",(VLOOKUP($B52,'E-1 Off-Site Hedge Baseline'!$B$1:$L$257,6,FALSE))))</f>
        <v/>
      </c>
      <c r="G52" s="382" t="str">
        <f>IF(B52="","",IF(ISNA(VLOOKUP($B52,'E-1 Off-Site Hedge Baseline'!$B$1:$L$257,7,FALSE)),"",(VLOOKUP($B52,'E-1 Off-Site Hedge Baseline'!$B$1:$L$257,7,FALSE))))</f>
        <v/>
      </c>
      <c r="H52" s="382" t="str">
        <f>IF(B52="","",IF(ISNA(VLOOKUP($B52,'E-1 Off-Site Hedge Baseline'!$B$1:$L$257,8,FALSE)),"",(VLOOKUP($B52,'E-1 Off-Site Hedge Baseline'!$B$1:$L$257,8,FALSE))))</f>
        <v/>
      </c>
      <c r="I52" s="382" t="str">
        <f>IF(B52="","",IF(ISNA(VLOOKUP($B52,'E-1 Off-Site Hedge Baseline'!$B$1:$L$257,10,FALSE)),"",(VLOOKUP($B52,'E-1 Off-Site Hedge Baseline'!$B$1:$L$257,10,FALSE))))</f>
        <v/>
      </c>
      <c r="J52" s="382" t="str">
        <f>IF(B52="","",IF(ISNA(VLOOKUP($B52,'E-1 Off-Site Hedge Baseline'!$B$1:$L$257,11,FALSE)),"",(VLOOKUP($B52,'E-1 Off-Site Hedge Baseline'!$B$1:$L$257,11,FALSE))))</f>
        <v/>
      </c>
      <c r="K52" s="382" t="str">
        <f>IF(B52="","",IF(ISNA(VLOOKUP($B52,'E-1 Off-Site Hedge Baseline'!$B$1:$X$257,113,FALSE)),"",(VLOOKUP($B52,'E-1 Off-Site Hedge Baseline'!$B$1:$X$257,13,FALSE))))</f>
        <v/>
      </c>
      <c r="L52" s="370" t="str">
        <f>IF(B52="","",IF(ISNA(VLOOKUP($B52,'E-1 Off-Site Hedge Baseline'!$B$1:$X$257,12,FALSE)),"",(VLOOKUP($B52,'E-1 Off-Site Hedge Baseline'!$B$1:$X$257,12,FALSE))))</f>
        <v/>
      </c>
      <c r="M52" s="316" t="str">
        <f t="shared" si="0"/>
        <v/>
      </c>
      <c r="N52" s="362" t="str">
        <f>IFERROR(IF(B52="","",INDEX('G-6 Hedgerow Data'!$AN$3:$AZ$15,MATCH(C52,'G-6 Hedgerow Data'!$AM$3:$AM$15,0),MATCH(M52,'G-6 Hedgerow Data'!$AN$2:$AZ$2,0))),"")</f>
        <v/>
      </c>
      <c r="O52" s="363" t="str">
        <f t="shared" si="2"/>
        <v/>
      </c>
      <c r="P52" s="368" t="str">
        <f>IF(B52="","",VLOOKUP(B52,'E-1 Off-Site Hedge Baseline'!$B$10:W297,19,FALSE))</f>
        <v/>
      </c>
      <c r="Q52" s="362" t="str">
        <f>IF(M52="","",VLOOKUP(M52,'G-6 Hedgerow Data'!$B$2:$AG$15,2,FALSE))</f>
        <v/>
      </c>
      <c r="R52" s="363" t="str">
        <f>IF(M52="","",VLOOKUP(M52,'G-6 Hedgerow Data'!$B$2:$AG$15,3,FALSE))</f>
        <v/>
      </c>
      <c r="S52" s="114"/>
      <c r="T52" s="363" t="str">
        <f>IFERROR(IF(AND(Q52="V.Low",OR(S52="Good",S52="Moderate")),"Error ▲",VLOOKUP(S52,'G-1 All Habitats'!$Z$2:$AA$9,2,FALSE)),"")</f>
        <v/>
      </c>
      <c r="U52" s="114"/>
      <c r="V52" s="370" t="str">
        <f>IF(U52="","",IF(VLOOKUP(U52,'G-3 Multipliers'!$L$3:$N$6,2,FALSE)=0,"Spatial Data Missing ⚠",VLOOKUP(U52,'G-3 Multipliers'!$L$3:$N$6,2,FALSE)))</f>
        <v/>
      </c>
      <c r="W52" s="368" t="str">
        <f>IF(U52="","",IF(VLOOKUP(U52,'G-3 Multipliers'!$L$3:$N$6,3,FALSE)=0,"Spatial Data Missing ⚠",VLOOKUP(U52,'G-3 Multipliers'!$L$3:$N$6,3,FALSE)))</f>
        <v/>
      </c>
      <c r="X52" s="362" t="str">
        <f>IFERROR(IF(OR(LEFT(O52,5)="Error",LEFT(N52,5)="Error",T52="Error"),"Check Data ⚠",IF(F52&lt;R52,INDEX('G-6 Hedgerow Data'!$S$3:$AE$14,MATCH(C52,'G-6 Hedgerow Data'!$B$3:$B$14,0),MATCH(M52,'G-6 Hedgerow Data'!$S$2:$AE$2,0)),INDEX('G-6 Hedgerow Data'!$K$3:$Q$14,MATCH(M52,'G-6 Hedgerow Data'!$B$3:$B$14,0),MATCH(O52,'G-6 Hedgerow Data'!$K$2:$Q$2,0)))),"")</f>
        <v/>
      </c>
      <c r="Y52" s="159"/>
      <c r="Z52" s="159"/>
      <c r="AA52" s="370" t="str">
        <f t="shared" si="3"/>
        <v/>
      </c>
      <c r="AB52" s="383" t="str">
        <f t="shared" si="4"/>
        <v/>
      </c>
      <c r="AC52" s="384" t="str">
        <f t="shared" si="1"/>
        <v/>
      </c>
      <c r="AD52" s="398" t="str">
        <f>IF(M52="","",VLOOKUP(M52,'G-6 Hedgerow Data'!$B$3:$AG$15,31,FALSE))</f>
        <v/>
      </c>
      <c r="AE52" s="382" t="str">
        <f t="shared" si="5"/>
        <v/>
      </c>
      <c r="AF52" s="382" t="str">
        <f t="shared" si="6"/>
        <v/>
      </c>
      <c r="AG52" s="386" t="str">
        <f>IFERROR(IF(O52="","",VLOOKUP(AD52,'G-3 Multipliers'!$P$3:$Q$6,2,FALSE)),"")</f>
        <v/>
      </c>
      <c r="AH52" s="160"/>
      <c r="AI52" s="363" t="str">
        <f>IF(AH52="","",IF(VLOOKUP(AH52,'G-3 Multipliers'!$S$3:$T$10,2,FALSE)=0,"Spatial Data Missing ⚠",VLOOKUP(AH52,'G-3 Multipliers'!$S$3:$T$10,2,FALSE)))</f>
        <v/>
      </c>
      <c r="AJ52" s="405" t="str">
        <f t="shared" si="7"/>
        <v/>
      </c>
      <c r="AK52" s="376" t="str">
        <f t="shared" si="8"/>
        <v/>
      </c>
      <c r="AL52" s="117"/>
      <c r="AM52" s="118"/>
      <c r="AN52" s="120"/>
      <c r="AO52" s="120"/>
      <c r="AQ52" s="30" t="str">
        <f>IFERROR(INDEX('G-6 Hedgerow Data'!$BJ$3:$BJ$15,MATCH(M52,'G-6 Hedgerow Data'!$B$3:$B$15,0)),"")</f>
        <v/>
      </c>
    </row>
    <row r="53" spans="2:43" ht="15">
      <c r="B53" s="392" t="str">
        <f>'E-1 Off-Site Hedge Baseline'!AN51</f>
        <v/>
      </c>
      <c r="C53" s="382" t="str">
        <f>IF(B53="","",IF(ISNA(VLOOKUP($B53,'E-1 Off-Site Hedge Baseline'!$B$1:$L$257,3,FALSE)),"",(VLOOKUP($B53,'E-1 Off-Site Hedge Baseline'!$B$1:$L$257,3,FALSE))))</f>
        <v/>
      </c>
      <c r="D53" s="382" t="str">
        <f>IF(B53="","",IF(ISNA(VLOOKUP($B53,'E-1 Off-Site Hedge Baseline'!$B$1:$L$258,4,FALSE)),"",(VLOOKUP($B53,'E-1 Off-Site Hedge Baseline'!$B$1:$L$258,4,FALSE))))</f>
        <v/>
      </c>
      <c r="E53" s="382" t="str">
        <f>IF(B53="","",IF(ISNA(VLOOKUP($B53,'E-1 Off-Site Hedge Baseline'!$B$1:$L$257,5,FALSE)),"",(VLOOKUP($B53,'E-1 Off-Site Hedge Baseline'!$B$1:$L$257,5,FALSE))))</f>
        <v/>
      </c>
      <c r="F53" s="382" t="str">
        <f>IF(B53="","",IF(ISNA(VLOOKUP($B53,'E-1 Off-Site Hedge Baseline'!$B$1:$L$257,6,FALSE)),"",(VLOOKUP($B53,'E-1 Off-Site Hedge Baseline'!$B$1:$L$257,6,FALSE))))</f>
        <v/>
      </c>
      <c r="G53" s="382" t="str">
        <f>IF(B53="","",IF(ISNA(VLOOKUP($B53,'E-1 Off-Site Hedge Baseline'!$B$1:$L$257,7,FALSE)),"",(VLOOKUP($B53,'E-1 Off-Site Hedge Baseline'!$B$1:$L$257,7,FALSE))))</f>
        <v/>
      </c>
      <c r="H53" s="382" t="str">
        <f>IF(B53="","",IF(ISNA(VLOOKUP($B53,'E-1 Off-Site Hedge Baseline'!$B$1:$L$257,8,FALSE)),"",(VLOOKUP($B53,'E-1 Off-Site Hedge Baseline'!$B$1:$L$257,8,FALSE))))</f>
        <v/>
      </c>
      <c r="I53" s="382" t="str">
        <f>IF(B53="","",IF(ISNA(VLOOKUP($B53,'E-1 Off-Site Hedge Baseline'!$B$1:$L$257,10,FALSE)),"",(VLOOKUP($B53,'E-1 Off-Site Hedge Baseline'!$B$1:$L$257,10,FALSE))))</f>
        <v/>
      </c>
      <c r="J53" s="382" t="str">
        <f>IF(B53="","",IF(ISNA(VLOOKUP($B53,'E-1 Off-Site Hedge Baseline'!$B$1:$L$257,11,FALSE)),"",(VLOOKUP($B53,'E-1 Off-Site Hedge Baseline'!$B$1:$L$257,11,FALSE))))</f>
        <v/>
      </c>
      <c r="K53" s="382" t="str">
        <f>IF(B53="","",IF(ISNA(VLOOKUP($B53,'E-1 Off-Site Hedge Baseline'!$B$1:$X$257,113,FALSE)),"",(VLOOKUP($B53,'E-1 Off-Site Hedge Baseline'!$B$1:$X$257,13,FALSE))))</f>
        <v/>
      </c>
      <c r="L53" s="370" t="str">
        <f>IF(B53="","",IF(ISNA(VLOOKUP($B53,'E-1 Off-Site Hedge Baseline'!$B$1:$X$257,12,FALSE)),"",(VLOOKUP($B53,'E-1 Off-Site Hedge Baseline'!$B$1:$X$257,12,FALSE))))</f>
        <v/>
      </c>
      <c r="M53" s="316" t="str">
        <f t="shared" si="0"/>
        <v/>
      </c>
      <c r="N53" s="362" t="str">
        <f>IFERROR(IF(B53="","",INDEX('G-6 Hedgerow Data'!$AN$3:$AZ$15,MATCH(C53,'G-6 Hedgerow Data'!$AM$3:$AM$15,0),MATCH(M53,'G-6 Hedgerow Data'!$AN$2:$AZ$2,0))),"")</f>
        <v/>
      </c>
      <c r="O53" s="363" t="str">
        <f t="shared" si="2"/>
        <v/>
      </c>
      <c r="P53" s="368" t="str">
        <f>IF(B53="","",VLOOKUP(B53,'E-1 Off-Site Hedge Baseline'!$B$10:W298,19,FALSE))</f>
        <v/>
      </c>
      <c r="Q53" s="362" t="str">
        <f>IF(M53="","",VLOOKUP(M53,'G-6 Hedgerow Data'!$B$2:$AG$15,2,FALSE))</f>
        <v/>
      </c>
      <c r="R53" s="363" t="str">
        <f>IF(M53="","",VLOOKUP(M53,'G-6 Hedgerow Data'!$B$2:$AG$15,3,FALSE))</f>
        <v/>
      </c>
      <c r="S53" s="114"/>
      <c r="T53" s="363" t="str">
        <f>IFERROR(IF(AND(Q53="V.Low",OR(S53="Good",S53="Moderate")),"Error ▲",VLOOKUP(S53,'G-1 All Habitats'!$Z$2:$AA$9,2,FALSE)),"")</f>
        <v/>
      </c>
      <c r="U53" s="114"/>
      <c r="V53" s="370" t="str">
        <f>IF(U53="","",IF(VLOOKUP(U53,'G-3 Multipliers'!$L$3:$N$6,2,FALSE)=0,"Spatial Data Missing ⚠",VLOOKUP(U53,'G-3 Multipliers'!$L$3:$N$6,2,FALSE)))</f>
        <v/>
      </c>
      <c r="W53" s="368" t="str">
        <f>IF(U53="","",IF(VLOOKUP(U53,'G-3 Multipliers'!$L$3:$N$6,3,FALSE)=0,"Spatial Data Missing ⚠",VLOOKUP(U53,'G-3 Multipliers'!$L$3:$N$6,3,FALSE)))</f>
        <v/>
      </c>
      <c r="X53" s="362" t="str">
        <f>IFERROR(IF(OR(LEFT(O53,5)="Error",LEFT(N53,5)="Error",T53="Error"),"Check Data ⚠",IF(F53&lt;R53,INDEX('G-6 Hedgerow Data'!$S$3:$AE$14,MATCH(C53,'G-6 Hedgerow Data'!$B$3:$B$14,0),MATCH(M53,'G-6 Hedgerow Data'!$S$2:$AE$2,0)),INDEX('G-6 Hedgerow Data'!$K$3:$Q$14,MATCH(M53,'G-6 Hedgerow Data'!$B$3:$B$14,0),MATCH(O53,'G-6 Hedgerow Data'!$K$2:$Q$2,0)))),"")</f>
        <v/>
      </c>
      <c r="Y53" s="159"/>
      <c r="Z53" s="159"/>
      <c r="AA53" s="370" t="str">
        <f t="shared" si="3"/>
        <v/>
      </c>
      <c r="AB53" s="383" t="str">
        <f t="shared" si="4"/>
        <v/>
      </c>
      <c r="AC53" s="384" t="str">
        <f t="shared" si="1"/>
        <v/>
      </c>
      <c r="AD53" s="398" t="str">
        <f>IF(M53="","",VLOOKUP(M53,'G-6 Hedgerow Data'!$B$3:$AG$15,31,FALSE))</f>
        <v/>
      </c>
      <c r="AE53" s="382" t="str">
        <f t="shared" si="5"/>
        <v/>
      </c>
      <c r="AF53" s="382" t="str">
        <f t="shared" si="6"/>
        <v/>
      </c>
      <c r="AG53" s="386" t="str">
        <f>IFERROR(IF(O53="","",VLOOKUP(AD53,'G-3 Multipliers'!$P$3:$Q$6,2,FALSE)),"")</f>
        <v/>
      </c>
      <c r="AH53" s="160"/>
      <c r="AI53" s="363" t="str">
        <f>IF(AH53="","",IF(VLOOKUP(AH53,'G-3 Multipliers'!$S$3:$T$10,2,FALSE)=0,"Spatial Data Missing ⚠",VLOOKUP(AH53,'G-3 Multipliers'!$S$3:$T$10,2,FALSE)))</f>
        <v/>
      </c>
      <c r="AJ53" s="405" t="str">
        <f t="shared" si="7"/>
        <v/>
      </c>
      <c r="AK53" s="376" t="str">
        <f t="shared" si="8"/>
        <v/>
      </c>
      <c r="AL53" s="117"/>
      <c r="AM53" s="118"/>
      <c r="AN53" s="120"/>
      <c r="AO53" s="120"/>
      <c r="AQ53" s="30" t="str">
        <f>IFERROR(INDEX('G-6 Hedgerow Data'!$BJ$3:$BJ$15,MATCH(M53,'G-6 Hedgerow Data'!$B$3:$B$15,0)),"")</f>
        <v/>
      </c>
    </row>
    <row r="54" spans="2:43" ht="15">
      <c r="B54" s="392" t="str">
        <f>'E-1 Off-Site Hedge Baseline'!AN52</f>
        <v/>
      </c>
      <c r="C54" s="382" t="str">
        <f>IF(B54="","",IF(ISNA(VLOOKUP($B54,'E-1 Off-Site Hedge Baseline'!$B$1:$L$257,3,FALSE)),"",(VLOOKUP($B54,'E-1 Off-Site Hedge Baseline'!$B$1:$L$257,3,FALSE))))</f>
        <v/>
      </c>
      <c r="D54" s="382" t="str">
        <f>IF(B54="","",IF(ISNA(VLOOKUP($B54,'E-1 Off-Site Hedge Baseline'!$B$1:$L$258,4,FALSE)),"",(VLOOKUP($B54,'E-1 Off-Site Hedge Baseline'!$B$1:$L$258,4,FALSE))))</f>
        <v/>
      </c>
      <c r="E54" s="382" t="str">
        <f>IF(B54="","",IF(ISNA(VLOOKUP($B54,'E-1 Off-Site Hedge Baseline'!$B$1:$L$257,5,FALSE)),"",(VLOOKUP($B54,'E-1 Off-Site Hedge Baseline'!$B$1:$L$257,5,FALSE))))</f>
        <v/>
      </c>
      <c r="F54" s="382" t="str">
        <f>IF(B54="","",IF(ISNA(VLOOKUP($B54,'E-1 Off-Site Hedge Baseline'!$B$1:$L$257,6,FALSE)),"",(VLOOKUP($B54,'E-1 Off-Site Hedge Baseline'!$B$1:$L$257,6,FALSE))))</f>
        <v/>
      </c>
      <c r="G54" s="382" t="str">
        <f>IF(B54="","",IF(ISNA(VLOOKUP($B54,'E-1 Off-Site Hedge Baseline'!$B$1:$L$257,7,FALSE)),"",(VLOOKUP($B54,'E-1 Off-Site Hedge Baseline'!$B$1:$L$257,7,FALSE))))</f>
        <v/>
      </c>
      <c r="H54" s="382" t="str">
        <f>IF(B54="","",IF(ISNA(VLOOKUP($B54,'E-1 Off-Site Hedge Baseline'!$B$1:$L$257,8,FALSE)),"",(VLOOKUP($B54,'E-1 Off-Site Hedge Baseline'!$B$1:$L$257,8,FALSE))))</f>
        <v/>
      </c>
      <c r="I54" s="382" t="str">
        <f>IF(B54="","",IF(ISNA(VLOOKUP($B54,'E-1 Off-Site Hedge Baseline'!$B$1:$L$257,10,FALSE)),"",(VLOOKUP($B54,'E-1 Off-Site Hedge Baseline'!$B$1:$L$257,10,FALSE))))</f>
        <v/>
      </c>
      <c r="J54" s="382" t="str">
        <f>IF(B54="","",IF(ISNA(VLOOKUP($B54,'E-1 Off-Site Hedge Baseline'!$B$1:$L$257,11,FALSE)),"",(VLOOKUP($B54,'E-1 Off-Site Hedge Baseline'!$B$1:$L$257,11,FALSE))))</f>
        <v/>
      </c>
      <c r="K54" s="382" t="str">
        <f>IF(B54="","",IF(ISNA(VLOOKUP($B54,'E-1 Off-Site Hedge Baseline'!$B$1:$X$257,113,FALSE)),"",(VLOOKUP($B54,'E-1 Off-Site Hedge Baseline'!$B$1:$X$257,13,FALSE))))</f>
        <v/>
      </c>
      <c r="L54" s="370" t="str">
        <f>IF(B54="","",IF(ISNA(VLOOKUP($B54,'E-1 Off-Site Hedge Baseline'!$B$1:$X$257,12,FALSE)),"",(VLOOKUP($B54,'E-1 Off-Site Hedge Baseline'!$B$1:$X$257,12,FALSE))))</f>
        <v/>
      </c>
      <c r="M54" s="316" t="str">
        <f t="shared" si="0"/>
        <v/>
      </c>
      <c r="N54" s="362" t="str">
        <f>IFERROR(IF(B54="","",INDEX('G-6 Hedgerow Data'!$AN$3:$AZ$15,MATCH(C54,'G-6 Hedgerow Data'!$AM$3:$AM$15,0),MATCH(M54,'G-6 Hedgerow Data'!$AN$2:$AZ$2,0))),"")</f>
        <v/>
      </c>
      <c r="O54" s="363" t="str">
        <f t="shared" si="2"/>
        <v/>
      </c>
      <c r="P54" s="368" t="str">
        <f>IF(B54="","",VLOOKUP(B54,'E-1 Off-Site Hedge Baseline'!$B$10:W299,19,FALSE))</f>
        <v/>
      </c>
      <c r="Q54" s="362" t="str">
        <f>IF(M54="","",VLOOKUP(M54,'G-6 Hedgerow Data'!$B$2:$AG$15,2,FALSE))</f>
        <v/>
      </c>
      <c r="R54" s="363" t="str">
        <f>IF(M54="","",VLOOKUP(M54,'G-6 Hedgerow Data'!$B$2:$AG$15,3,FALSE))</f>
        <v/>
      </c>
      <c r="S54" s="114"/>
      <c r="T54" s="363" t="str">
        <f>IFERROR(IF(AND(Q54="V.Low",OR(S54="Good",S54="Moderate")),"Error ▲",VLOOKUP(S54,'G-1 All Habitats'!$Z$2:$AA$9,2,FALSE)),"")</f>
        <v/>
      </c>
      <c r="U54" s="114"/>
      <c r="V54" s="370" t="str">
        <f>IF(U54="","",IF(VLOOKUP(U54,'G-3 Multipliers'!$L$3:$N$6,2,FALSE)=0,"Spatial Data Missing ⚠",VLOOKUP(U54,'G-3 Multipliers'!$L$3:$N$6,2,FALSE)))</f>
        <v/>
      </c>
      <c r="W54" s="368" t="str">
        <f>IF(U54="","",IF(VLOOKUP(U54,'G-3 Multipliers'!$L$3:$N$6,3,FALSE)=0,"Spatial Data Missing ⚠",VLOOKUP(U54,'G-3 Multipliers'!$L$3:$N$6,3,FALSE)))</f>
        <v/>
      </c>
      <c r="X54" s="362" t="str">
        <f>IFERROR(IF(OR(LEFT(O54,5)="Error",LEFT(N54,5)="Error",T54="Error"),"Check Data ⚠",IF(F54&lt;R54,INDEX('G-6 Hedgerow Data'!$S$3:$AE$14,MATCH(C54,'G-6 Hedgerow Data'!$B$3:$B$14,0),MATCH(M54,'G-6 Hedgerow Data'!$S$2:$AE$2,0)),INDEX('G-6 Hedgerow Data'!$K$3:$Q$14,MATCH(M54,'G-6 Hedgerow Data'!$B$3:$B$14,0),MATCH(O54,'G-6 Hedgerow Data'!$K$2:$Q$2,0)))),"")</f>
        <v/>
      </c>
      <c r="Y54" s="159"/>
      <c r="Z54" s="159"/>
      <c r="AA54" s="370" t="str">
        <f t="shared" si="3"/>
        <v/>
      </c>
      <c r="AB54" s="383" t="str">
        <f t="shared" si="4"/>
        <v/>
      </c>
      <c r="AC54" s="384" t="str">
        <f t="shared" si="1"/>
        <v/>
      </c>
      <c r="AD54" s="398" t="str">
        <f>IF(M54="","",VLOOKUP(M54,'G-6 Hedgerow Data'!$B$3:$AG$15,31,FALSE))</f>
        <v/>
      </c>
      <c r="AE54" s="382" t="str">
        <f t="shared" si="5"/>
        <v/>
      </c>
      <c r="AF54" s="382" t="str">
        <f t="shared" si="6"/>
        <v/>
      </c>
      <c r="AG54" s="386" t="str">
        <f>IFERROR(IF(O54="","",VLOOKUP(AD54,'G-3 Multipliers'!$P$3:$Q$6,2,FALSE)),"")</f>
        <v/>
      </c>
      <c r="AH54" s="160"/>
      <c r="AI54" s="363" t="str">
        <f>IF(AH54="","",IF(VLOOKUP(AH54,'G-3 Multipliers'!$S$3:$T$10,2,FALSE)=0,"Spatial Data Missing ⚠",VLOOKUP(AH54,'G-3 Multipliers'!$S$3:$T$10,2,FALSE)))</f>
        <v/>
      </c>
      <c r="AJ54" s="405" t="str">
        <f t="shared" si="7"/>
        <v/>
      </c>
      <c r="AK54" s="376" t="str">
        <f t="shared" si="8"/>
        <v/>
      </c>
      <c r="AL54" s="117"/>
      <c r="AM54" s="118"/>
      <c r="AN54" s="120"/>
      <c r="AO54" s="120"/>
      <c r="AQ54" s="30" t="str">
        <f>IFERROR(INDEX('G-6 Hedgerow Data'!$BJ$3:$BJ$15,MATCH(M54,'G-6 Hedgerow Data'!$B$3:$B$15,0)),"")</f>
        <v/>
      </c>
    </row>
    <row r="55" spans="2:43" ht="15">
      <c r="B55" s="392" t="str">
        <f>'E-1 Off-Site Hedge Baseline'!AN53</f>
        <v/>
      </c>
      <c r="C55" s="382" t="str">
        <f>IF(B55="","",IF(ISNA(VLOOKUP($B55,'E-1 Off-Site Hedge Baseline'!$B$1:$L$257,3,FALSE)),"",(VLOOKUP($B55,'E-1 Off-Site Hedge Baseline'!$B$1:$L$257,3,FALSE))))</f>
        <v/>
      </c>
      <c r="D55" s="382" t="str">
        <f>IF(B55="","",IF(ISNA(VLOOKUP($B55,'E-1 Off-Site Hedge Baseline'!$B$1:$L$258,4,FALSE)),"",(VLOOKUP($B55,'E-1 Off-Site Hedge Baseline'!$B$1:$L$258,4,FALSE))))</f>
        <v/>
      </c>
      <c r="E55" s="382" t="str">
        <f>IF(B55="","",IF(ISNA(VLOOKUP($B55,'E-1 Off-Site Hedge Baseline'!$B$1:$L$257,5,FALSE)),"",(VLOOKUP($B55,'E-1 Off-Site Hedge Baseline'!$B$1:$L$257,5,FALSE))))</f>
        <v/>
      </c>
      <c r="F55" s="382" t="str">
        <f>IF(B55="","",IF(ISNA(VLOOKUP($B55,'E-1 Off-Site Hedge Baseline'!$B$1:$L$257,6,FALSE)),"",(VLOOKUP($B55,'E-1 Off-Site Hedge Baseline'!$B$1:$L$257,6,FALSE))))</f>
        <v/>
      </c>
      <c r="G55" s="382" t="str">
        <f>IF(B55="","",IF(ISNA(VLOOKUP($B55,'E-1 Off-Site Hedge Baseline'!$B$1:$L$257,7,FALSE)),"",(VLOOKUP($B55,'E-1 Off-Site Hedge Baseline'!$B$1:$L$257,7,FALSE))))</f>
        <v/>
      </c>
      <c r="H55" s="382" t="str">
        <f>IF(B55="","",IF(ISNA(VLOOKUP($B55,'E-1 Off-Site Hedge Baseline'!$B$1:$L$257,8,FALSE)),"",(VLOOKUP($B55,'E-1 Off-Site Hedge Baseline'!$B$1:$L$257,8,FALSE))))</f>
        <v/>
      </c>
      <c r="I55" s="382" t="str">
        <f>IF(B55="","",IF(ISNA(VLOOKUP($B55,'E-1 Off-Site Hedge Baseline'!$B$1:$L$257,10,FALSE)),"",(VLOOKUP($B55,'E-1 Off-Site Hedge Baseline'!$B$1:$L$257,10,FALSE))))</f>
        <v/>
      </c>
      <c r="J55" s="382" t="str">
        <f>IF(B55="","",IF(ISNA(VLOOKUP($B55,'E-1 Off-Site Hedge Baseline'!$B$1:$L$257,11,FALSE)),"",(VLOOKUP($B55,'E-1 Off-Site Hedge Baseline'!$B$1:$L$257,11,FALSE))))</f>
        <v/>
      </c>
      <c r="K55" s="382" t="str">
        <f>IF(B55="","",IF(ISNA(VLOOKUP($B55,'E-1 Off-Site Hedge Baseline'!$B$1:$X$257,113,FALSE)),"",(VLOOKUP($B55,'E-1 Off-Site Hedge Baseline'!$B$1:$X$257,13,FALSE))))</f>
        <v/>
      </c>
      <c r="L55" s="370" t="str">
        <f>IF(B55="","",IF(ISNA(VLOOKUP($B55,'E-1 Off-Site Hedge Baseline'!$B$1:$X$257,12,FALSE)),"",(VLOOKUP($B55,'E-1 Off-Site Hedge Baseline'!$B$1:$X$257,12,FALSE))))</f>
        <v/>
      </c>
      <c r="M55" s="316" t="str">
        <f t="shared" si="0"/>
        <v/>
      </c>
      <c r="N55" s="362" t="str">
        <f>IFERROR(IF(B55="","",INDEX('G-6 Hedgerow Data'!$AN$3:$AZ$15,MATCH(C55,'G-6 Hedgerow Data'!$AM$3:$AM$15,0),MATCH(M55,'G-6 Hedgerow Data'!$AN$2:$AZ$2,0))),"")</f>
        <v/>
      </c>
      <c r="O55" s="363" t="str">
        <f t="shared" si="2"/>
        <v/>
      </c>
      <c r="P55" s="368" t="str">
        <f>IF(B55="","",VLOOKUP(B55,'E-1 Off-Site Hedge Baseline'!$B$10:W300,19,FALSE))</f>
        <v/>
      </c>
      <c r="Q55" s="362" t="str">
        <f>IF(M55="","",VLOOKUP(M55,'G-6 Hedgerow Data'!$B$2:$AG$15,2,FALSE))</f>
        <v/>
      </c>
      <c r="R55" s="363" t="str">
        <f>IF(M55="","",VLOOKUP(M55,'G-6 Hedgerow Data'!$B$2:$AG$15,3,FALSE))</f>
        <v/>
      </c>
      <c r="S55" s="114"/>
      <c r="T55" s="363" t="str">
        <f>IFERROR(IF(AND(Q55="V.Low",OR(S55="Good",S55="Moderate")),"Error ▲",VLOOKUP(S55,'G-1 All Habitats'!$Z$2:$AA$9,2,FALSE)),"")</f>
        <v/>
      </c>
      <c r="U55" s="114"/>
      <c r="V55" s="370" t="str">
        <f>IF(U55="","",IF(VLOOKUP(U55,'G-3 Multipliers'!$L$3:$N$6,2,FALSE)=0,"Spatial Data Missing ⚠",VLOOKUP(U55,'G-3 Multipliers'!$L$3:$N$6,2,FALSE)))</f>
        <v/>
      </c>
      <c r="W55" s="368" t="str">
        <f>IF(U55="","",IF(VLOOKUP(U55,'G-3 Multipliers'!$L$3:$N$6,3,FALSE)=0,"Spatial Data Missing ⚠",VLOOKUP(U55,'G-3 Multipliers'!$L$3:$N$6,3,FALSE)))</f>
        <v/>
      </c>
      <c r="X55" s="362" t="str">
        <f>IFERROR(IF(OR(LEFT(O55,5)="Error",LEFT(N55,5)="Error",T55="Error"),"Check Data ⚠",IF(F55&lt;R55,INDEX('G-6 Hedgerow Data'!$S$3:$AE$14,MATCH(C55,'G-6 Hedgerow Data'!$B$3:$B$14,0),MATCH(M55,'G-6 Hedgerow Data'!$S$2:$AE$2,0)),INDEX('G-6 Hedgerow Data'!$K$3:$Q$14,MATCH(M55,'G-6 Hedgerow Data'!$B$3:$B$14,0),MATCH(O55,'G-6 Hedgerow Data'!$K$2:$Q$2,0)))),"")</f>
        <v/>
      </c>
      <c r="Y55" s="159"/>
      <c r="Z55" s="159"/>
      <c r="AA55" s="370" t="str">
        <f t="shared" si="3"/>
        <v/>
      </c>
      <c r="AB55" s="383" t="str">
        <f t="shared" si="4"/>
        <v/>
      </c>
      <c r="AC55" s="384" t="str">
        <f t="shared" si="1"/>
        <v/>
      </c>
      <c r="AD55" s="398" t="str">
        <f>IF(M55="","",VLOOKUP(M55,'G-6 Hedgerow Data'!$B$3:$AG$15,31,FALSE))</f>
        <v/>
      </c>
      <c r="AE55" s="382" t="str">
        <f t="shared" si="5"/>
        <v/>
      </c>
      <c r="AF55" s="382" t="str">
        <f t="shared" si="6"/>
        <v/>
      </c>
      <c r="AG55" s="386" t="str">
        <f>IFERROR(IF(O55="","",VLOOKUP(AD55,'G-3 Multipliers'!$P$3:$Q$6,2,FALSE)),"")</f>
        <v/>
      </c>
      <c r="AH55" s="160"/>
      <c r="AI55" s="363" t="str">
        <f>IF(AH55="","",IF(VLOOKUP(AH55,'G-3 Multipliers'!$S$3:$T$10,2,FALSE)=0,"Spatial Data Missing ⚠",VLOOKUP(AH55,'G-3 Multipliers'!$S$3:$T$10,2,FALSE)))</f>
        <v/>
      </c>
      <c r="AJ55" s="405" t="str">
        <f t="shared" si="7"/>
        <v/>
      </c>
      <c r="AK55" s="376" t="str">
        <f t="shared" si="8"/>
        <v/>
      </c>
      <c r="AL55" s="117"/>
      <c r="AM55" s="118"/>
      <c r="AN55" s="120"/>
      <c r="AO55" s="120"/>
      <c r="AQ55" s="30" t="str">
        <f>IFERROR(INDEX('G-6 Hedgerow Data'!$BJ$3:$BJ$15,MATCH(M55,'G-6 Hedgerow Data'!$B$3:$B$15,0)),"")</f>
        <v/>
      </c>
    </row>
    <row r="56" spans="2:43" ht="15">
      <c r="B56" s="392" t="str">
        <f>'E-1 Off-Site Hedge Baseline'!AN54</f>
        <v/>
      </c>
      <c r="C56" s="382" t="str">
        <f>IF(B56="","",IF(ISNA(VLOOKUP($B56,'E-1 Off-Site Hedge Baseline'!$B$1:$L$257,3,FALSE)),"",(VLOOKUP($B56,'E-1 Off-Site Hedge Baseline'!$B$1:$L$257,3,FALSE))))</f>
        <v/>
      </c>
      <c r="D56" s="382" t="str">
        <f>IF(B56="","",IF(ISNA(VLOOKUP($B56,'E-1 Off-Site Hedge Baseline'!$B$1:$L$258,4,FALSE)),"",(VLOOKUP($B56,'E-1 Off-Site Hedge Baseline'!$B$1:$L$258,4,FALSE))))</f>
        <v/>
      </c>
      <c r="E56" s="382" t="str">
        <f>IF(B56="","",IF(ISNA(VLOOKUP($B56,'E-1 Off-Site Hedge Baseline'!$B$1:$L$257,5,FALSE)),"",(VLOOKUP($B56,'E-1 Off-Site Hedge Baseline'!$B$1:$L$257,5,FALSE))))</f>
        <v/>
      </c>
      <c r="F56" s="382" t="str">
        <f>IF(B56="","",IF(ISNA(VLOOKUP($B56,'E-1 Off-Site Hedge Baseline'!$B$1:$L$257,6,FALSE)),"",(VLOOKUP($B56,'E-1 Off-Site Hedge Baseline'!$B$1:$L$257,6,FALSE))))</f>
        <v/>
      </c>
      <c r="G56" s="382" t="str">
        <f>IF(B56="","",IF(ISNA(VLOOKUP($B56,'E-1 Off-Site Hedge Baseline'!$B$1:$L$257,7,FALSE)),"",(VLOOKUP($B56,'E-1 Off-Site Hedge Baseline'!$B$1:$L$257,7,FALSE))))</f>
        <v/>
      </c>
      <c r="H56" s="382" t="str">
        <f>IF(B56="","",IF(ISNA(VLOOKUP($B56,'E-1 Off-Site Hedge Baseline'!$B$1:$L$257,8,FALSE)),"",(VLOOKUP($B56,'E-1 Off-Site Hedge Baseline'!$B$1:$L$257,8,FALSE))))</f>
        <v/>
      </c>
      <c r="I56" s="382" t="str">
        <f>IF(B56="","",IF(ISNA(VLOOKUP($B56,'E-1 Off-Site Hedge Baseline'!$B$1:$L$257,10,FALSE)),"",(VLOOKUP($B56,'E-1 Off-Site Hedge Baseline'!$B$1:$L$257,10,FALSE))))</f>
        <v/>
      </c>
      <c r="J56" s="382" t="str">
        <f>IF(B56="","",IF(ISNA(VLOOKUP($B56,'E-1 Off-Site Hedge Baseline'!$B$1:$L$257,11,FALSE)),"",(VLOOKUP($B56,'E-1 Off-Site Hedge Baseline'!$B$1:$L$257,11,FALSE))))</f>
        <v/>
      </c>
      <c r="K56" s="382" t="str">
        <f>IF(B56="","",IF(ISNA(VLOOKUP($B56,'E-1 Off-Site Hedge Baseline'!$B$1:$X$257,113,FALSE)),"",(VLOOKUP($B56,'E-1 Off-Site Hedge Baseline'!$B$1:$X$257,13,FALSE))))</f>
        <v/>
      </c>
      <c r="L56" s="370" t="str">
        <f>IF(B56="","",IF(ISNA(VLOOKUP($B56,'E-1 Off-Site Hedge Baseline'!$B$1:$X$257,12,FALSE)),"",(VLOOKUP($B56,'E-1 Off-Site Hedge Baseline'!$B$1:$X$257,12,FALSE))))</f>
        <v/>
      </c>
      <c r="M56" s="316" t="str">
        <f t="shared" si="0"/>
        <v/>
      </c>
      <c r="N56" s="362" t="str">
        <f>IFERROR(IF(B56="","",INDEX('G-6 Hedgerow Data'!$AN$3:$AZ$15,MATCH(C56,'G-6 Hedgerow Data'!$AM$3:$AM$15,0),MATCH(M56,'G-6 Hedgerow Data'!$AN$2:$AZ$2,0))),"")</f>
        <v/>
      </c>
      <c r="O56" s="363" t="str">
        <f t="shared" si="2"/>
        <v/>
      </c>
      <c r="P56" s="368" t="str">
        <f>IF(B56="","",VLOOKUP(B56,'E-1 Off-Site Hedge Baseline'!$B$10:W301,19,FALSE))</f>
        <v/>
      </c>
      <c r="Q56" s="362" t="str">
        <f>IF(M56="","",VLOOKUP(M56,'G-6 Hedgerow Data'!$B$2:$AG$15,2,FALSE))</f>
        <v/>
      </c>
      <c r="R56" s="363" t="str">
        <f>IF(M56="","",VLOOKUP(M56,'G-6 Hedgerow Data'!$B$2:$AG$15,3,FALSE))</f>
        <v/>
      </c>
      <c r="S56" s="114"/>
      <c r="T56" s="363" t="str">
        <f>IFERROR(IF(AND(Q56="V.Low",OR(S56="Good",S56="Moderate")),"Error ▲",VLOOKUP(S56,'G-1 All Habitats'!$Z$2:$AA$9,2,FALSE)),"")</f>
        <v/>
      </c>
      <c r="U56" s="114"/>
      <c r="V56" s="370" t="str">
        <f>IF(U56="","",IF(VLOOKUP(U56,'G-3 Multipliers'!$L$3:$N$6,2,FALSE)=0,"Spatial Data Missing ⚠",VLOOKUP(U56,'G-3 Multipliers'!$L$3:$N$6,2,FALSE)))</f>
        <v/>
      </c>
      <c r="W56" s="368" t="str">
        <f>IF(U56="","",IF(VLOOKUP(U56,'G-3 Multipliers'!$L$3:$N$6,3,FALSE)=0,"Spatial Data Missing ⚠",VLOOKUP(U56,'G-3 Multipliers'!$L$3:$N$6,3,FALSE)))</f>
        <v/>
      </c>
      <c r="X56" s="362" t="str">
        <f>IFERROR(IF(OR(LEFT(O56,5)="Error",LEFT(N56,5)="Error",T56="Error"),"Check Data ⚠",IF(F56&lt;R56,INDEX('G-6 Hedgerow Data'!$S$3:$AE$14,MATCH(C56,'G-6 Hedgerow Data'!$B$3:$B$14,0),MATCH(M56,'G-6 Hedgerow Data'!$S$2:$AE$2,0)),INDEX('G-6 Hedgerow Data'!$K$3:$Q$14,MATCH(M56,'G-6 Hedgerow Data'!$B$3:$B$14,0),MATCH(O56,'G-6 Hedgerow Data'!$K$2:$Q$2,0)))),"")</f>
        <v/>
      </c>
      <c r="Y56" s="159"/>
      <c r="Z56" s="159"/>
      <c r="AA56" s="370" t="str">
        <f t="shared" si="3"/>
        <v/>
      </c>
      <c r="AB56" s="383" t="str">
        <f t="shared" si="4"/>
        <v/>
      </c>
      <c r="AC56" s="384" t="str">
        <f t="shared" si="1"/>
        <v/>
      </c>
      <c r="AD56" s="398" t="str">
        <f>IF(M56="","",VLOOKUP(M56,'G-6 Hedgerow Data'!$B$3:$AG$15,31,FALSE))</f>
        <v/>
      </c>
      <c r="AE56" s="382" t="str">
        <f t="shared" si="5"/>
        <v/>
      </c>
      <c r="AF56" s="382" t="str">
        <f t="shared" si="6"/>
        <v/>
      </c>
      <c r="AG56" s="386" t="str">
        <f>IFERROR(IF(O56="","",VLOOKUP(AD56,'G-3 Multipliers'!$P$3:$Q$6,2,FALSE)),"")</f>
        <v/>
      </c>
      <c r="AH56" s="160"/>
      <c r="AI56" s="363" t="str">
        <f>IF(AH56="","",IF(VLOOKUP(AH56,'G-3 Multipliers'!$S$3:$T$10,2,FALSE)=0,"Spatial Data Missing ⚠",VLOOKUP(AH56,'G-3 Multipliers'!$S$3:$T$10,2,FALSE)))</f>
        <v/>
      </c>
      <c r="AJ56" s="405" t="str">
        <f t="shared" si="7"/>
        <v/>
      </c>
      <c r="AK56" s="376" t="str">
        <f t="shared" si="8"/>
        <v/>
      </c>
      <c r="AL56" s="117"/>
      <c r="AM56" s="118"/>
      <c r="AN56" s="120"/>
      <c r="AO56" s="120"/>
      <c r="AQ56" s="30" t="str">
        <f>IFERROR(INDEX('G-6 Hedgerow Data'!$BJ$3:$BJ$15,MATCH(M56,'G-6 Hedgerow Data'!$B$3:$B$15,0)),"")</f>
        <v/>
      </c>
    </row>
    <row r="57" spans="2:43" ht="15">
      <c r="B57" s="392" t="str">
        <f>'E-1 Off-Site Hedge Baseline'!AN55</f>
        <v/>
      </c>
      <c r="C57" s="382" t="str">
        <f>IF(B57="","",IF(ISNA(VLOOKUP($B57,'E-1 Off-Site Hedge Baseline'!$B$1:$L$257,3,FALSE)),"",(VLOOKUP($B57,'E-1 Off-Site Hedge Baseline'!$B$1:$L$257,3,FALSE))))</f>
        <v/>
      </c>
      <c r="D57" s="382" t="str">
        <f>IF(B57="","",IF(ISNA(VLOOKUP($B57,'E-1 Off-Site Hedge Baseline'!$B$1:$L$258,4,FALSE)),"",(VLOOKUP($B57,'E-1 Off-Site Hedge Baseline'!$B$1:$L$258,4,FALSE))))</f>
        <v/>
      </c>
      <c r="E57" s="382" t="str">
        <f>IF(B57="","",IF(ISNA(VLOOKUP($B57,'E-1 Off-Site Hedge Baseline'!$B$1:$L$257,5,FALSE)),"",(VLOOKUP($B57,'E-1 Off-Site Hedge Baseline'!$B$1:$L$257,5,FALSE))))</f>
        <v/>
      </c>
      <c r="F57" s="382" t="str">
        <f>IF(B57="","",IF(ISNA(VLOOKUP($B57,'E-1 Off-Site Hedge Baseline'!$B$1:$L$257,6,FALSE)),"",(VLOOKUP($B57,'E-1 Off-Site Hedge Baseline'!$B$1:$L$257,6,FALSE))))</f>
        <v/>
      </c>
      <c r="G57" s="382" t="str">
        <f>IF(B57="","",IF(ISNA(VLOOKUP($B57,'E-1 Off-Site Hedge Baseline'!$B$1:$L$257,7,FALSE)),"",(VLOOKUP($B57,'E-1 Off-Site Hedge Baseline'!$B$1:$L$257,7,FALSE))))</f>
        <v/>
      </c>
      <c r="H57" s="382" t="str">
        <f>IF(B57="","",IF(ISNA(VLOOKUP($B57,'E-1 Off-Site Hedge Baseline'!$B$1:$L$257,8,FALSE)),"",(VLOOKUP($B57,'E-1 Off-Site Hedge Baseline'!$B$1:$L$257,8,FALSE))))</f>
        <v/>
      </c>
      <c r="I57" s="382" t="str">
        <f>IF(B57="","",IF(ISNA(VLOOKUP($B57,'E-1 Off-Site Hedge Baseline'!$B$1:$L$257,10,FALSE)),"",(VLOOKUP($B57,'E-1 Off-Site Hedge Baseline'!$B$1:$L$257,10,FALSE))))</f>
        <v/>
      </c>
      <c r="J57" s="382" t="str">
        <f>IF(B57="","",IF(ISNA(VLOOKUP($B57,'E-1 Off-Site Hedge Baseline'!$B$1:$L$257,11,FALSE)),"",(VLOOKUP($B57,'E-1 Off-Site Hedge Baseline'!$B$1:$L$257,11,FALSE))))</f>
        <v/>
      </c>
      <c r="K57" s="382" t="str">
        <f>IF(B57="","",IF(ISNA(VLOOKUP($B57,'E-1 Off-Site Hedge Baseline'!$B$1:$X$257,113,FALSE)),"",(VLOOKUP($B57,'E-1 Off-Site Hedge Baseline'!$B$1:$X$257,13,FALSE))))</f>
        <v/>
      </c>
      <c r="L57" s="370" t="str">
        <f>IF(B57="","",IF(ISNA(VLOOKUP($B57,'E-1 Off-Site Hedge Baseline'!$B$1:$X$257,12,FALSE)),"",(VLOOKUP($B57,'E-1 Off-Site Hedge Baseline'!$B$1:$X$257,12,FALSE))))</f>
        <v/>
      </c>
      <c r="M57" s="316" t="str">
        <f t="shared" si="0"/>
        <v/>
      </c>
      <c r="N57" s="362" t="str">
        <f>IFERROR(IF(B57="","",INDEX('G-6 Hedgerow Data'!$AN$3:$AZ$15,MATCH(C57,'G-6 Hedgerow Data'!$AM$3:$AM$15,0),MATCH(M57,'G-6 Hedgerow Data'!$AN$2:$AZ$2,0))),"")</f>
        <v/>
      </c>
      <c r="O57" s="363" t="str">
        <f t="shared" si="2"/>
        <v/>
      </c>
      <c r="P57" s="368" t="str">
        <f>IF(B57="","",VLOOKUP(B57,'E-1 Off-Site Hedge Baseline'!$B$10:W302,19,FALSE))</f>
        <v/>
      </c>
      <c r="Q57" s="362" t="str">
        <f>IF(M57="","",VLOOKUP(M57,'G-6 Hedgerow Data'!$B$2:$AG$15,2,FALSE))</f>
        <v/>
      </c>
      <c r="R57" s="363" t="str">
        <f>IF(M57="","",VLOOKUP(M57,'G-6 Hedgerow Data'!$B$2:$AG$15,3,FALSE))</f>
        <v/>
      </c>
      <c r="S57" s="114"/>
      <c r="T57" s="363" t="str">
        <f>IFERROR(IF(AND(Q57="V.Low",OR(S57="Good",S57="Moderate")),"Error ▲",VLOOKUP(S57,'G-1 All Habitats'!$Z$2:$AA$9,2,FALSE)),"")</f>
        <v/>
      </c>
      <c r="U57" s="114"/>
      <c r="V57" s="370" t="str">
        <f>IF(U57="","",IF(VLOOKUP(U57,'G-3 Multipliers'!$L$3:$N$6,2,FALSE)=0,"Spatial Data Missing ⚠",VLOOKUP(U57,'G-3 Multipliers'!$L$3:$N$6,2,FALSE)))</f>
        <v/>
      </c>
      <c r="W57" s="368" t="str">
        <f>IF(U57="","",IF(VLOOKUP(U57,'G-3 Multipliers'!$L$3:$N$6,3,FALSE)=0,"Spatial Data Missing ⚠",VLOOKUP(U57,'G-3 Multipliers'!$L$3:$N$6,3,FALSE)))</f>
        <v/>
      </c>
      <c r="X57" s="362" t="str">
        <f>IFERROR(IF(OR(LEFT(O57,5)="Error",LEFT(N57,5)="Error",T57="Error"),"Check Data ⚠",IF(F57&lt;R57,INDEX('G-6 Hedgerow Data'!$S$3:$AE$14,MATCH(C57,'G-6 Hedgerow Data'!$B$3:$B$14,0),MATCH(M57,'G-6 Hedgerow Data'!$S$2:$AE$2,0)),INDEX('G-6 Hedgerow Data'!$K$3:$Q$14,MATCH(M57,'G-6 Hedgerow Data'!$B$3:$B$14,0),MATCH(O57,'G-6 Hedgerow Data'!$K$2:$Q$2,0)))),"")</f>
        <v/>
      </c>
      <c r="Y57" s="159"/>
      <c r="Z57" s="159"/>
      <c r="AA57" s="370" t="str">
        <f t="shared" si="3"/>
        <v/>
      </c>
      <c r="AB57" s="383" t="str">
        <f t="shared" si="4"/>
        <v/>
      </c>
      <c r="AC57" s="384" t="str">
        <f t="shared" si="1"/>
        <v/>
      </c>
      <c r="AD57" s="398" t="str">
        <f>IF(M57="","",VLOOKUP(M57,'G-6 Hedgerow Data'!$B$3:$AG$15,31,FALSE))</f>
        <v/>
      </c>
      <c r="AE57" s="382" t="str">
        <f t="shared" si="5"/>
        <v/>
      </c>
      <c r="AF57" s="382" t="str">
        <f t="shared" si="6"/>
        <v/>
      </c>
      <c r="AG57" s="386" t="str">
        <f>IFERROR(IF(O57="","",VLOOKUP(AD57,'G-3 Multipliers'!$P$3:$Q$6,2,FALSE)),"")</f>
        <v/>
      </c>
      <c r="AH57" s="160"/>
      <c r="AI57" s="363" t="str">
        <f>IF(AH57="","",IF(VLOOKUP(AH57,'G-3 Multipliers'!$S$3:$T$10,2,FALSE)=0,"Spatial Data Missing ⚠",VLOOKUP(AH57,'G-3 Multipliers'!$S$3:$T$10,2,FALSE)))</f>
        <v/>
      </c>
      <c r="AJ57" s="405" t="str">
        <f t="shared" si="7"/>
        <v/>
      </c>
      <c r="AK57" s="376" t="str">
        <f t="shared" si="8"/>
        <v/>
      </c>
      <c r="AL57" s="117"/>
      <c r="AM57" s="118"/>
      <c r="AN57" s="120"/>
      <c r="AO57" s="120"/>
      <c r="AQ57" s="30" t="str">
        <f>IFERROR(INDEX('G-6 Hedgerow Data'!$BJ$3:$BJ$15,MATCH(M57,'G-6 Hedgerow Data'!$B$3:$B$15,0)),"")</f>
        <v/>
      </c>
    </row>
    <row r="58" spans="2:43" ht="15">
      <c r="B58" s="392" t="str">
        <f>'E-1 Off-Site Hedge Baseline'!AN56</f>
        <v/>
      </c>
      <c r="C58" s="382" t="str">
        <f>IF(B58="","",IF(ISNA(VLOOKUP($B58,'E-1 Off-Site Hedge Baseline'!$B$1:$L$257,3,FALSE)),"",(VLOOKUP($B58,'E-1 Off-Site Hedge Baseline'!$B$1:$L$257,3,FALSE))))</f>
        <v/>
      </c>
      <c r="D58" s="382" t="str">
        <f>IF(B58="","",IF(ISNA(VLOOKUP($B58,'E-1 Off-Site Hedge Baseline'!$B$1:$L$258,4,FALSE)),"",(VLOOKUP($B58,'E-1 Off-Site Hedge Baseline'!$B$1:$L$258,4,FALSE))))</f>
        <v/>
      </c>
      <c r="E58" s="382" t="str">
        <f>IF(B58="","",IF(ISNA(VLOOKUP($B58,'E-1 Off-Site Hedge Baseline'!$B$1:$L$257,5,FALSE)),"",(VLOOKUP($B58,'E-1 Off-Site Hedge Baseline'!$B$1:$L$257,5,FALSE))))</f>
        <v/>
      </c>
      <c r="F58" s="382" t="str">
        <f>IF(B58="","",IF(ISNA(VLOOKUP($B58,'E-1 Off-Site Hedge Baseline'!$B$1:$L$257,6,FALSE)),"",(VLOOKUP($B58,'E-1 Off-Site Hedge Baseline'!$B$1:$L$257,6,FALSE))))</f>
        <v/>
      </c>
      <c r="G58" s="382" t="str">
        <f>IF(B58="","",IF(ISNA(VLOOKUP($B58,'E-1 Off-Site Hedge Baseline'!$B$1:$L$257,7,FALSE)),"",(VLOOKUP($B58,'E-1 Off-Site Hedge Baseline'!$B$1:$L$257,7,FALSE))))</f>
        <v/>
      </c>
      <c r="H58" s="382" t="str">
        <f>IF(B58="","",IF(ISNA(VLOOKUP($B58,'E-1 Off-Site Hedge Baseline'!$B$1:$L$257,8,FALSE)),"",(VLOOKUP($B58,'E-1 Off-Site Hedge Baseline'!$B$1:$L$257,8,FALSE))))</f>
        <v/>
      </c>
      <c r="I58" s="382" t="str">
        <f>IF(B58="","",IF(ISNA(VLOOKUP($B58,'E-1 Off-Site Hedge Baseline'!$B$1:$L$257,10,FALSE)),"",(VLOOKUP($B58,'E-1 Off-Site Hedge Baseline'!$B$1:$L$257,10,FALSE))))</f>
        <v/>
      </c>
      <c r="J58" s="382" t="str">
        <f>IF(B58="","",IF(ISNA(VLOOKUP($B58,'E-1 Off-Site Hedge Baseline'!$B$1:$L$257,11,FALSE)),"",(VLOOKUP($B58,'E-1 Off-Site Hedge Baseline'!$B$1:$L$257,11,FALSE))))</f>
        <v/>
      </c>
      <c r="K58" s="382" t="str">
        <f>IF(B58="","",IF(ISNA(VLOOKUP($B58,'E-1 Off-Site Hedge Baseline'!$B$1:$X$257,113,FALSE)),"",(VLOOKUP($B58,'E-1 Off-Site Hedge Baseline'!$B$1:$X$257,13,FALSE))))</f>
        <v/>
      </c>
      <c r="L58" s="370" t="str">
        <f>IF(B58="","",IF(ISNA(VLOOKUP($B58,'E-1 Off-Site Hedge Baseline'!$B$1:$X$257,12,FALSE)),"",(VLOOKUP($B58,'E-1 Off-Site Hedge Baseline'!$B$1:$X$257,12,FALSE))))</f>
        <v/>
      </c>
      <c r="M58" s="316" t="str">
        <f t="shared" si="0"/>
        <v/>
      </c>
      <c r="N58" s="362" t="str">
        <f>IFERROR(IF(B58="","",INDEX('G-6 Hedgerow Data'!$AN$3:$AZ$15,MATCH(C58,'G-6 Hedgerow Data'!$AM$3:$AM$15,0),MATCH(M58,'G-6 Hedgerow Data'!$AN$2:$AZ$2,0))),"")</f>
        <v/>
      </c>
      <c r="O58" s="363" t="str">
        <f t="shared" si="2"/>
        <v/>
      </c>
      <c r="P58" s="368" t="str">
        <f>IF(B58="","",VLOOKUP(B58,'E-1 Off-Site Hedge Baseline'!$B$10:W303,19,FALSE))</f>
        <v/>
      </c>
      <c r="Q58" s="362" t="str">
        <f>IF(M58="","",VLOOKUP(M58,'G-6 Hedgerow Data'!$B$2:$AG$15,2,FALSE))</f>
        <v/>
      </c>
      <c r="R58" s="363" t="str">
        <f>IF(M58="","",VLOOKUP(M58,'G-6 Hedgerow Data'!$B$2:$AG$15,3,FALSE))</f>
        <v/>
      </c>
      <c r="S58" s="114"/>
      <c r="T58" s="363" t="str">
        <f>IFERROR(IF(AND(Q58="V.Low",OR(S58="Good",S58="Moderate")),"Error ▲",VLOOKUP(S58,'G-1 All Habitats'!$Z$2:$AA$9,2,FALSE)),"")</f>
        <v/>
      </c>
      <c r="U58" s="114"/>
      <c r="V58" s="370" t="str">
        <f>IF(U58="","",IF(VLOOKUP(U58,'G-3 Multipliers'!$L$3:$N$6,2,FALSE)=0,"Spatial Data Missing ⚠",VLOOKUP(U58,'G-3 Multipliers'!$L$3:$N$6,2,FALSE)))</f>
        <v/>
      </c>
      <c r="W58" s="368" t="str">
        <f>IF(U58="","",IF(VLOOKUP(U58,'G-3 Multipliers'!$L$3:$N$6,3,FALSE)=0,"Spatial Data Missing ⚠",VLOOKUP(U58,'G-3 Multipliers'!$L$3:$N$6,3,FALSE)))</f>
        <v/>
      </c>
      <c r="X58" s="362" t="str">
        <f>IFERROR(IF(OR(LEFT(O58,5)="Error",LEFT(N58,5)="Error",T58="Error"),"Check Data ⚠",IF(F58&lt;R58,INDEX('G-6 Hedgerow Data'!$S$3:$AE$14,MATCH(C58,'G-6 Hedgerow Data'!$B$3:$B$14,0),MATCH(M58,'G-6 Hedgerow Data'!$S$2:$AE$2,0)),INDEX('G-6 Hedgerow Data'!$K$3:$Q$14,MATCH(M58,'G-6 Hedgerow Data'!$B$3:$B$14,0),MATCH(O58,'G-6 Hedgerow Data'!$K$2:$Q$2,0)))),"")</f>
        <v/>
      </c>
      <c r="Y58" s="159"/>
      <c r="Z58" s="159"/>
      <c r="AA58" s="370" t="str">
        <f t="shared" si="3"/>
        <v/>
      </c>
      <c r="AB58" s="383" t="str">
        <f t="shared" si="4"/>
        <v/>
      </c>
      <c r="AC58" s="384" t="str">
        <f t="shared" si="1"/>
        <v/>
      </c>
      <c r="AD58" s="398" t="str">
        <f>IF(M58="","",VLOOKUP(M58,'G-6 Hedgerow Data'!$B$3:$AG$15,31,FALSE))</f>
        <v/>
      </c>
      <c r="AE58" s="382" t="str">
        <f t="shared" si="5"/>
        <v/>
      </c>
      <c r="AF58" s="382" t="str">
        <f t="shared" si="6"/>
        <v/>
      </c>
      <c r="AG58" s="386" t="str">
        <f>IFERROR(IF(O58="","",VLOOKUP(AD58,'G-3 Multipliers'!$P$3:$Q$6,2,FALSE)),"")</f>
        <v/>
      </c>
      <c r="AH58" s="160"/>
      <c r="AI58" s="363" t="str">
        <f>IF(AH58="","",IF(VLOOKUP(AH58,'G-3 Multipliers'!$S$3:$T$10,2,FALSE)=0,"Spatial Data Missing ⚠",VLOOKUP(AH58,'G-3 Multipliers'!$S$3:$T$10,2,FALSE)))</f>
        <v/>
      </c>
      <c r="AJ58" s="405" t="str">
        <f t="shared" si="7"/>
        <v/>
      </c>
      <c r="AK58" s="376" t="str">
        <f t="shared" si="8"/>
        <v/>
      </c>
      <c r="AL58" s="117"/>
      <c r="AM58" s="118"/>
      <c r="AN58" s="120"/>
      <c r="AO58" s="120"/>
      <c r="AQ58" s="30" t="str">
        <f>IFERROR(INDEX('G-6 Hedgerow Data'!$BJ$3:$BJ$15,MATCH(M58,'G-6 Hedgerow Data'!$B$3:$B$15,0)),"")</f>
        <v/>
      </c>
    </row>
    <row r="59" spans="2:43" ht="15">
      <c r="B59" s="392" t="str">
        <f>'E-1 Off-Site Hedge Baseline'!AN57</f>
        <v/>
      </c>
      <c r="C59" s="382" t="str">
        <f>IF(B59="","",IF(ISNA(VLOOKUP($B59,'E-1 Off-Site Hedge Baseline'!$B$1:$L$257,3,FALSE)),"",(VLOOKUP($B59,'E-1 Off-Site Hedge Baseline'!$B$1:$L$257,3,FALSE))))</f>
        <v/>
      </c>
      <c r="D59" s="382" t="str">
        <f>IF(B59="","",IF(ISNA(VLOOKUP($B59,'E-1 Off-Site Hedge Baseline'!$B$1:$L$258,4,FALSE)),"",(VLOOKUP($B59,'E-1 Off-Site Hedge Baseline'!$B$1:$L$258,4,FALSE))))</f>
        <v/>
      </c>
      <c r="E59" s="382" t="str">
        <f>IF(B59="","",IF(ISNA(VLOOKUP($B59,'E-1 Off-Site Hedge Baseline'!$B$1:$L$257,5,FALSE)),"",(VLOOKUP($B59,'E-1 Off-Site Hedge Baseline'!$B$1:$L$257,5,FALSE))))</f>
        <v/>
      </c>
      <c r="F59" s="382" t="str">
        <f>IF(B59="","",IF(ISNA(VLOOKUP($B59,'E-1 Off-Site Hedge Baseline'!$B$1:$L$257,6,FALSE)),"",(VLOOKUP($B59,'E-1 Off-Site Hedge Baseline'!$B$1:$L$257,6,FALSE))))</f>
        <v/>
      </c>
      <c r="G59" s="382" t="str">
        <f>IF(B59="","",IF(ISNA(VLOOKUP($B59,'E-1 Off-Site Hedge Baseline'!$B$1:$L$257,7,FALSE)),"",(VLOOKUP($B59,'E-1 Off-Site Hedge Baseline'!$B$1:$L$257,7,FALSE))))</f>
        <v/>
      </c>
      <c r="H59" s="382" t="str">
        <f>IF(B59="","",IF(ISNA(VLOOKUP($B59,'E-1 Off-Site Hedge Baseline'!$B$1:$L$257,8,FALSE)),"",(VLOOKUP($B59,'E-1 Off-Site Hedge Baseline'!$B$1:$L$257,8,FALSE))))</f>
        <v/>
      </c>
      <c r="I59" s="382" t="str">
        <f>IF(B59="","",IF(ISNA(VLOOKUP($B59,'E-1 Off-Site Hedge Baseline'!$B$1:$L$257,10,FALSE)),"",(VLOOKUP($B59,'E-1 Off-Site Hedge Baseline'!$B$1:$L$257,10,FALSE))))</f>
        <v/>
      </c>
      <c r="J59" s="382" t="str">
        <f>IF(B59="","",IF(ISNA(VLOOKUP($B59,'E-1 Off-Site Hedge Baseline'!$B$1:$L$257,11,FALSE)),"",(VLOOKUP($B59,'E-1 Off-Site Hedge Baseline'!$B$1:$L$257,11,FALSE))))</f>
        <v/>
      </c>
      <c r="K59" s="382" t="str">
        <f>IF(B59="","",IF(ISNA(VLOOKUP($B59,'E-1 Off-Site Hedge Baseline'!$B$1:$X$257,113,FALSE)),"",(VLOOKUP($B59,'E-1 Off-Site Hedge Baseline'!$B$1:$X$257,13,FALSE))))</f>
        <v/>
      </c>
      <c r="L59" s="370" t="str">
        <f>IF(B59="","",IF(ISNA(VLOOKUP($B59,'E-1 Off-Site Hedge Baseline'!$B$1:$X$257,12,FALSE)),"",(VLOOKUP($B59,'E-1 Off-Site Hedge Baseline'!$B$1:$X$257,12,FALSE))))</f>
        <v/>
      </c>
      <c r="M59" s="316" t="str">
        <f t="shared" si="0"/>
        <v/>
      </c>
      <c r="N59" s="362" t="str">
        <f>IFERROR(IF(B59="","",INDEX('G-6 Hedgerow Data'!$AN$3:$AZ$15,MATCH(C59,'G-6 Hedgerow Data'!$AM$3:$AM$15,0),MATCH(M59,'G-6 Hedgerow Data'!$AN$2:$AZ$2,0))),"")</f>
        <v/>
      </c>
      <c r="O59" s="363" t="str">
        <f t="shared" si="2"/>
        <v/>
      </c>
      <c r="P59" s="368" t="str">
        <f>IF(B59="","",VLOOKUP(B59,'E-1 Off-Site Hedge Baseline'!$B$10:W304,19,FALSE))</f>
        <v/>
      </c>
      <c r="Q59" s="362" t="str">
        <f>IF(M59="","",VLOOKUP(M59,'G-6 Hedgerow Data'!$B$2:$AG$15,2,FALSE))</f>
        <v/>
      </c>
      <c r="R59" s="363" t="str">
        <f>IF(M59="","",VLOOKUP(M59,'G-6 Hedgerow Data'!$B$2:$AG$15,3,FALSE))</f>
        <v/>
      </c>
      <c r="S59" s="114"/>
      <c r="T59" s="363" t="str">
        <f>IFERROR(IF(AND(Q59="V.Low",OR(S59="Good",S59="Moderate")),"Error ▲",VLOOKUP(S59,'G-1 All Habitats'!$Z$2:$AA$9,2,FALSE)),"")</f>
        <v/>
      </c>
      <c r="U59" s="114"/>
      <c r="V59" s="370" t="str">
        <f>IF(U59="","",IF(VLOOKUP(U59,'G-3 Multipliers'!$L$3:$N$6,2,FALSE)=0,"Spatial Data Missing ⚠",VLOOKUP(U59,'G-3 Multipliers'!$L$3:$N$6,2,FALSE)))</f>
        <v/>
      </c>
      <c r="W59" s="368" t="str">
        <f>IF(U59="","",IF(VLOOKUP(U59,'G-3 Multipliers'!$L$3:$N$6,3,FALSE)=0,"Spatial Data Missing ⚠",VLOOKUP(U59,'G-3 Multipliers'!$L$3:$N$6,3,FALSE)))</f>
        <v/>
      </c>
      <c r="X59" s="362" t="str">
        <f>IFERROR(IF(OR(LEFT(O59,5)="Error",LEFT(N59,5)="Error",T59="Error"),"Check Data ⚠",IF(F59&lt;R59,INDEX('G-6 Hedgerow Data'!$S$3:$AE$14,MATCH(C59,'G-6 Hedgerow Data'!$B$3:$B$14,0),MATCH(M59,'G-6 Hedgerow Data'!$S$2:$AE$2,0)),INDEX('G-6 Hedgerow Data'!$K$3:$Q$14,MATCH(M59,'G-6 Hedgerow Data'!$B$3:$B$14,0),MATCH(O59,'G-6 Hedgerow Data'!$K$2:$Q$2,0)))),"")</f>
        <v/>
      </c>
      <c r="Y59" s="159"/>
      <c r="Z59" s="159"/>
      <c r="AA59" s="370" t="str">
        <f t="shared" si="3"/>
        <v/>
      </c>
      <c r="AB59" s="383" t="str">
        <f t="shared" si="4"/>
        <v/>
      </c>
      <c r="AC59" s="384" t="str">
        <f t="shared" si="1"/>
        <v/>
      </c>
      <c r="AD59" s="398" t="str">
        <f>IF(M59="","",VLOOKUP(M59,'G-6 Hedgerow Data'!$B$3:$AG$15,31,FALSE))</f>
        <v/>
      </c>
      <c r="AE59" s="382" t="str">
        <f t="shared" si="5"/>
        <v/>
      </c>
      <c r="AF59" s="382" t="str">
        <f t="shared" si="6"/>
        <v/>
      </c>
      <c r="AG59" s="386" t="str">
        <f>IFERROR(IF(O59="","",VLOOKUP(AD59,'G-3 Multipliers'!$P$3:$Q$6,2,FALSE)),"")</f>
        <v/>
      </c>
      <c r="AH59" s="160"/>
      <c r="AI59" s="363" t="str">
        <f>IF(AH59="","",IF(VLOOKUP(AH59,'G-3 Multipliers'!$S$3:$T$10,2,FALSE)=0,"Spatial Data Missing ⚠",VLOOKUP(AH59,'G-3 Multipliers'!$S$3:$T$10,2,FALSE)))</f>
        <v/>
      </c>
      <c r="AJ59" s="405" t="str">
        <f t="shared" si="7"/>
        <v/>
      </c>
      <c r="AK59" s="376" t="str">
        <f t="shared" si="8"/>
        <v/>
      </c>
      <c r="AL59" s="117"/>
      <c r="AM59" s="118"/>
      <c r="AN59" s="120"/>
      <c r="AO59" s="120"/>
      <c r="AQ59" s="30" t="str">
        <f>IFERROR(INDEX('G-6 Hedgerow Data'!$BJ$3:$BJ$15,MATCH(M59,'G-6 Hedgerow Data'!$B$3:$B$15,0)),"")</f>
        <v/>
      </c>
    </row>
    <row r="60" spans="2:43" ht="15">
      <c r="B60" s="392" t="str">
        <f>'E-1 Off-Site Hedge Baseline'!AN58</f>
        <v/>
      </c>
      <c r="C60" s="382" t="str">
        <f>IF(B60="","",IF(ISNA(VLOOKUP($B60,'E-1 Off-Site Hedge Baseline'!$B$1:$L$257,3,FALSE)),"",(VLOOKUP($B60,'E-1 Off-Site Hedge Baseline'!$B$1:$L$257,3,FALSE))))</f>
        <v/>
      </c>
      <c r="D60" s="382" t="str">
        <f>IF(B60="","",IF(ISNA(VLOOKUP($B60,'E-1 Off-Site Hedge Baseline'!$B$1:$L$258,4,FALSE)),"",(VLOOKUP($B60,'E-1 Off-Site Hedge Baseline'!$B$1:$L$258,4,FALSE))))</f>
        <v/>
      </c>
      <c r="E60" s="382" t="str">
        <f>IF(B60="","",IF(ISNA(VLOOKUP($B60,'E-1 Off-Site Hedge Baseline'!$B$1:$L$257,5,FALSE)),"",(VLOOKUP($B60,'E-1 Off-Site Hedge Baseline'!$B$1:$L$257,5,FALSE))))</f>
        <v/>
      </c>
      <c r="F60" s="382" t="str">
        <f>IF(B60="","",IF(ISNA(VLOOKUP($B60,'E-1 Off-Site Hedge Baseline'!$B$1:$L$257,6,FALSE)),"",(VLOOKUP($B60,'E-1 Off-Site Hedge Baseline'!$B$1:$L$257,6,FALSE))))</f>
        <v/>
      </c>
      <c r="G60" s="382" t="str">
        <f>IF(B60="","",IF(ISNA(VLOOKUP($B60,'E-1 Off-Site Hedge Baseline'!$B$1:$L$257,7,FALSE)),"",(VLOOKUP($B60,'E-1 Off-Site Hedge Baseline'!$B$1:$L$257,7,FALSE))))</f>
        <v/>
      </c>
      <c r="H60" s="382" t="str">
        <f>IF(B60="","",IF(ISNA(VLOOKUP($B60,'E-1 Off-Site Hedge Baseline'!$B$1:$L$257,8,FALSE)),"",(VLOOKUP($B60,'E-1 Off-Site Hedge Baseline'!$B$1:$L$257,8,FALSE))))</f>
        <v/>
      </c>
      <c r="I60" s="382" t="str">
        <f>IF(B60="","",IF(ISNA(VLOOKUP($B60,'E-1 Off-Site Hedge Baseline'!$B$1:$L$257,10,FALSE)),"",(VLOOKUP($B60,'E-1 Off-Site Hedge Baseline'!$B$1:$L$257,10,FALSE))))</f>
        <v/>
      </c>
      <c r="J60" s="382" t="str">
        <f>IF(B60="","",IF(ISNA(VLOOKUP($B60,'E-1 Off-Site Hedge Baseline'!$B$1:$L$257,11,FALSE)),"",(VLOOKUP($B60,'E-1 Off-Site Hedge Baseline'!$B$1:$L$257,11,FALSE))))</f>
        <v/>
      </c>
      <c r="K60" s="382" t="str">
        <f>IF(B60="","",IF(ISNA(VLOOKUP($B60,'E-1 Off-Site Hedge Baseline'!$B$1:$X$257,113,FALSE)),"",(VLOOKUP($B60,'E-1 Off-Site Hedge Baseline'!$B$1:$X$257,13,FALSE))))</f>
        <v/>
      </c>
      <c r="L60" s="370" t="str">
        <f>IF(B60="","",IF(ISNA(VLOOKUP($B60,'E-1 Off-Site Hedge Baseline'!$B$1:$X$257,12,FALSE)),"",(VLOOKUP($B60,'E-1 Off-Site Hedge Baseline'!$B$1:$X$257,12,FALSE))))</f>
        <v/>
      </c>
      <c r="M60" s="316" t="str">
        <f t="shared" si="0"/>
        <v/>
      </c>
      <c r="N60" s="362" t="str">
        <f>IFERROR(IF(B60="","",INDEX('G-6 Hedgerow Data'!$AN$3:$AZ$15,MATCH(C60,'G-6 Hedgerow Data'!$AM$3:$AM$15,0),MATCH(M60,'G-6 Hedgerow Data'!$AN$2:$AZ$2,0))),"")</f>
        <v/>
      </c>
      <c r="O60" s="363" t="str">
        <f t="shared" si="2"/>
        <v/>
      </c>
      <c r="P60" s="368" t="str">
        <f>IF(B60="","",VLOOKUP(B60,'E-1 Off-Site Hedge Baseline'!$B$10:W305,19,FALSE))</f>
        <v/>
      </c>
      <c r="Q60" s="362" t="str">
        <f>IF(M60="","",VLOOKUP(M60,'G-6 Hedgerow Data'!$B$2:$AG$15,2,FALSE))</f>
        <v/>
      </c>
      <c r="R60" s="363" t="str">
        <f>IF(M60="","",VLOOKUP(M60,'G-6 Hedgerow Data'!$B$2:$AG$15,3,FALSE))</f>
        <v/>
      </c>
      <c r="S60" s="114"/>
      <c r="T60" s="363" t="str">
        <f>IFERROR(IF(AND(Q60="V.Low",OR(S60="Good",S60="Moderate")),"Error ▲",VLOOKUP(S60,'G-1 All Habitats'!$Z$2:$AA$9,2,FALSE)),"")</f>
        <v/>
      </c>
      <c r="U60" s="114"/>
      <c r="V60" s="370" t="str">
        <f>IF(U60="","",IF(VLOOKUP(U60,'G-3 Multipliers'!$L$3:$N$6,2,FALSE)=0,"Spatial Data Missing ⚠",VLOOKUP(U60,'G-3 Multipliers'!$L$3:$N$6,2,FALSE)))</f>
        <v/>
      </c>
      <c r="W60" s="368" t="str">
        <f>IF(U60="","",IF(VLOOKUP(U60,'G-3 Multipliers'!$L$3:$N$6,3,FALSE)=0,"Spatial Data Missing ⚠",VLOOKUP(U60,'G-3 Multipliers'!$L$3:$N$6,3,FALSE)))</f>
        <v/>
      </c>
      <c r="X60" s="362" t="str">
        <f>IFERROR(IF(OR(LEFT(O60,5)="Error",LEFT(N60,5)="Error",T60="Error"),"Check Data ⚠",IF(F60&lt;R60,INDEX('G-6 Hedgerow Data'!$S$3:$AE$14,MATCH(C60,'G-6 Hedgerow Data'!$B$3:$B$14,0),MATCH(M60,'G-6 Hedgerow Data'!$S$2:$AE$2,0)),INDEX('G-6 Hedgerow Data'!$K$3:$Q$14,MATCH(M60,'G-6 Hedgerow Data'!$B$3:$B$14,0),MATCH(O60,'G-6 Hedgerow Data'!$K$2:$Q$2,0)))),"")</f>
        <v/>
      </c>
      <c r="Y60" s="159"/>
      <c r="Z60" s="159"/>
      <c r="AA60" s="370" t="str">
        <f t="shared" si="3"/>
        <v/>
      </c>
      <c r="AB60" s="383" t="str">
        <f t="shared" si="4"/>
        <v/>
      </c>
      <c r="AC60" s="384" t="str">
        <f t="shared" si="1"/>
        <v/>
      </c>
      <c r="AD60" s="398" t="str">
        <f>IF(M60="","",VLOOKUP(M60,'G-6 Hedgerow Data'!$B$3:$AG$15,31,FALSE))</f>
        <v/>
      </c>
      <c r="AE60" s="382" t="str">
        <f t="shared" si="5"/>
        <v/>
      </c>
      <c r="AF60" s="382" t="str">
        <f t="shared" si="6"/>
        <v/>
      </c>
      <c r="AG60" s="386" t="str">
        <f>IFERROR(IF(O60="","",VLOOKUP(AD60,'G-3 Multipliers'!$P$3:$Q$6,2,FALSE)),"")</f>
        <v/>
      </c>
      <c r="AH60" s="160"/>
      <c r="AI60" s="363" t="str">
        <f>IF(AH60="","",IF(VLOOKUP(AH60,'G-3 Multipliers'!$S$3:$T$10,2,FALSE)=0,"Spatial Data Missing ⚠",VLOOKUP(AH60,'G-3 Multipliers'!$S$3:$T$10,2,FALSE)))</f>
        <v/>
      </c>
      <c r="AJ60" s="405" t="str">
        <f t="shared" si="7"/>
        <v/>
      </c>
      <c r="AK60" s="376" t="str">
        <f t="shared" si="8"/>
        <v/>
      </c>
      <c r="AL60" s="117"/>
      <c r="AM60" s="118"/>
      <c r="AN60" s="120"/>
      <c r="AO60" s="120"/>
      <c r="AQ60" s="30" t="str">
        <f>IFERROR(INDEX('G-6 Hedgerow Data'!$BJ$3:$BJ$15,MATCH(M60,'G-6 Hedgerow Data'!$B$3:$B$15,0)),"")</f>
        <v/>
      </c>
    </row>
    <row r="61" spans="2:43" ht="15">
      <c r="B61" s="392" t="str">
        <f>'E-1 Off-Site Hedge Baseline'!AN59</f>
        <v/>
      </c>
      <c r="C61" s="382" t="str">
        <f>IF(B61="","",IF(ISNA(VLOOKUP($B61,'E-1 Off-Site Hedge Baseline'!$B$1:$L$257,3,FALSE)),"",(VLOOKUP($B61,'E-1 Off-Site Hedge Baseline'!$B$1:$L$257,3,FALSE))))</f>
        <v/>
      </c>
      <c r="D61" s="382" t="str">
        <f>IF(B61="","",IF(ISNA(VLOOKUP($B61,'E-1 Off-Site Hedge Baseline'!$B$1:$L$258,4,FALSE)),"",(VLOOKUP($B61,'E-1 Off-Site Hedge Baseline'!$B$1:$L$258,4,FALSE))))</f>
        <v/>
      </c>
      <c r="E61" s="382" t="str">
        <f>IF(B61="","",IF(ISNA(VLOOKUP($B61,'E-1 Off-Site Hedge Baseline'!$B$1:$L$257,5,FALSE)),"",(VLOOKUP($B61,'E-1 Off-Site Hedge Baseline'!$B$1:$L$257,5,FALSE))))</f>
        <v/>
      </c>
      <c r="F61" s="382" t="str">
        <f>IF(B61="","",IF(ISNA(VLOOKUP($B61,'E-1 Off-Site Hedge Baseline'!$B$1:$L$257,6,FALSE)),"",(VLOOKUP($B61,'E-1 Off-Site Hedge Baseline'!$B$1:$L$257,6,FALSE))))</f>
        <v/>
      </c>
      <c r="G61" s="382" t="str">
        <f>IF(B61="","",IF(ISNA(VLOOKUP($B61,'E-1 Off-Site Hedge Baseline'!$B$1:$L$257,7,FALSE)),"",(VLOOKUP($B61,'E-1 Off-Site Hedge Baseline'!$B$1:$L$257,7,FALSE))))</f>
        <v/>
      </c>
      <c r="H61" s="382" t="str">
        <f>IF(B61="","",IF(ISNA(VLOOKUP($B61,'E-1 Off-Site Hedge Baseline'!$B$1:$L$257,8,FALSE)),"",(VLOOKUP($B61,'E-1 Off-Site Hedge Baseline'!$B$1:$L$257,8,FALSE))))</f>
        <v/>
      </c>
      <c r="I61" s="382" t="str">
        <f>IF(B61="","",IF(ISNA(VLOOKUP($B61,'E-1 Off-Site Hedge Baseline'!$B$1:$L$257,10,FALSE)),"",(VLOOKUP($B61,'E-1 Off-Site Hedge Baseline'!$B$1:$L$257,10,FALSE))))</f>
        <v/>
      </c>
      <c r="J61" s="382" t="str">
        <f>IF(B61="","",IF(ISNA(VLOOKUP($B61,'E-1 Off-Site Hedge Baseline'!$B$1:$L$257,11,FALSE)),"",(VLOOKUP($B61,'E-1 Off-Site Hedge Baseline'!$B$1:$L$257,11,FALSE))))</f>
        <v/>
      </c>
      <c r="K61" s="382" t="str">
        <f>IF(B61="","",IF(ISNA(VLOOKUP($B61,'E-1 Off-Site Hedge Baseline'!$B$1:$X$257,113,FALSE)),"",(VLOOKUP($B61,'E-1 Off-Site Hedge Baseline'!$B$1:$X$257,13,FALSE))))</f>
        <v/>
      </c>
      <c r="L61" s="370" t="str">
        <f>IF(B61="","",IF(ISNA(VLOOKUP($B61,'E-1 Off-Site Hedge Baseline'!$B$1:$X$257,12,FALSE)),"",(VLOOKUP($B61,'E-1 Off-Site Hedge Baseline'!$B$1:$X$257,12,FALSE))))</f>
        <v/>
      </c>
      <c r="M61" s="316" t="str">
        <f t="shared" si="0"/>
        <v/>
      </c>
      <c r="N61" s="362" t="str">
        <f>IFERROR(IF(B61="","",INDEX('G-6 Hedgerow Data'!$AN$3:$AZ$15,MATCH(C61,'G-6 Hedgerow Data'!$AM$3:$AM$15,0),MATCH(M61,'G-6 Hedgerow Data'!$AN$2:$AZ$2,0))),"")</f>
        <v/>
      </c>
      <c r="O61" s="363" t="str">
        <f t="shared" si="2"/>
        <v/>
      </c>
      <c r="P61" s="368" t="str">
        <f>IF(B61="","",VLOOKUP(B61,'E-1 Off-Site Hedge Baseline'!$B$10:W306,19,FALSE))</f>
        <v/>
      </c>
      <c r="Q61" s="362" t="str">
        <f>IF(M61="","",VLOOKUP(M61,'G-6 Hedgerow Data'!$B$2:$AG$15,2,FALSE))</f>
        <v/>
      </c>
      <c r="R61" s="363" t="str">
        <f>IF(M61="","",VLOOKUP(M61,'G-6 Hedgerow Data'!$B$2:$AG$15,3,FALSE))</f>
        <v/>
      </c>
      <c r="S61" s="114"/>
      <c r="T61" s="363" t="str">
        <f>IFERROR(IF(AND(Q61="V.Low",OR(S61="Good",S61="Moderate")),"Error ▲",VLOOKUP(S61,'G-1 All Habitats'!$Z$2:$AA$9,2,FALSE)),"")</f>
        <v/>
      </c>
      <c r="U61" s="114"/>
      <c r="V61" s="370" t="str">
        <f>IF(U61="","",IF(VLOOKUP(U61,'G-3 Multipliers'!$L$3:$N$6,2,FALSE)=0,"Spatial Data Missing ⚠",VLOOKUP(U61,'G-3 Multipliers'!$L$3:$N$6,2,FALSE)))</f>
        <v/>
      </c>
      <c r="W61" s="368" t="str">
        <f>IF(U61="","",IF(VLOOKUP(U61,'G-3 Multipliers'!$L$3:$N$6,3,FALSE)=0,"Spatial Data Missing ⚠",VLOOKUP(U61,'G-3 Multipliers'!$L$3:$N$6,3,FALSE)))</f>
        <v/>
      </c>
      <c r="X61" s="362" t="str">
        <f>IFERROR(IF(OR(LEFT(O61,5)="Error",LEFT(N61,5)="Error",T61="Error"),"Check Data ⚠",IF(F61&lt;R61,INDEX('G-6 Hedgerow Data'!$S$3:$AE$14,MATCH(C61,'G-6 Hedgerow Data'!$B$3:$B$14,0),MATCH(M61,'G-6 Hedgerow Data'!$S$2:$AE$2,0)),INDEX('G-6 Hedgerow Data'!$K$3:$Q$14,MATCH(M61,'G-6 Hedgerow Data'!$B$3:$B$14,0),MATCH(O61,'G-6 Hedgerow Data'!$K$2:$Q$2,0)))),"")</f>
        <v/>
      </c>
      <c r="Y61" s="159"/>
      <c r="Z61" s="159"/>
      <c r="AA61" s="370" t="str">
        <f t="shared" si="3"/>
        <v/>
      </c>
      <c r="AB61" s="383" t="str">
        <f t="shared" si="4"/>
        <v/>
      </c>
      <c r="AC61" s="384" t="str">
        <f t="shared" si="1"/>
        <v/>
      </c>
      <c r="AD61" s="398" t="str">
        <f>IF(M61="","",VLOOKUP(M61,'G-6 Hedgerow Data'!$B$3:$AG$15,31,FALSE))</f>
        <v/>
      </c>
      <c r="AE61" s="382" t="str">
        <f t="shared" si="5"/>
        <v/>
      </c>
      <c r="AF61" s="382" t="str">
        <f t="shared" si="6"/>
        <v/>
      </c>
      <c r="AG61" s="386" t="str">
        <f>IFERROR(IF(O61="","",VLOOKUP(AD61,'G-3 Multipliers'!$P$3:$Q$6,2,FALSE)),"")</f>
        <v/>
      </c>
      <c r="AH61" s="160"/>
      <c r="AI61" s="363" t="str">
        <f>IF(AH61="","",IF(VLOOKUP(AH61,'G-3 Multipliers'!$S$3:$T$10,2,FALSE)=0,"Spatial Data Missing ⚠",VLOOKUP(AH61,'G-3 Multipliers'!$S$3:$T$10,2,FALSE)))</f>
        <v/>
      </c>
      <c r="AJ61" s="405" t="str">
        <f t="shared" si="7"/>
        <v/>
      </c>
      <c r="AK61" s="376" t="str">
        <f t="shared" si="8"/>
        <v/>
      </c>
      <c r="AL61" s="117"/>
      <c r="AM61" s="118"/>
      <c r="AN61" s="120"/>
      <c r="AO61" s="120"/>
      <c r="AQ61" s="30" t="str">
        <f>IFERROR(INDEX('G-6 Hedgerow Data'!$BJ$3:$BJ$15,MATCH(M61,'G-6 Hedgerow Data'!$B$3:$B$15,0)),"")</f>
        <v/>
      </c>
    </row>
    <row r="62" spans="2:43" ht="15">
      <c r="B62" s="392" t="str">
        <f>'E-1 Off-Site Hedge Baseline'!AN60</f>
        <v/>
      </c>
      <c r="C62" s="382" t="str">
        <f>IF(B62="","",IF(ISNA(VLOOKUP($B62,'E-1 Off-Site Hedge Baseline'!$B$1:$L$257,3,FALSE)),"",(VLOOKUP($B62,'E-1 Off-Site Hedge Baseline'!$B$1:$L$257,3,FALSE))))</f>
        <v/>
      </c>
      <c r="D62" s="382" t="str">
        <f>IF(B62="","",IF(ISNA(VLOOKUP($B62,'E-1 Off-Site Hedge Baseline'!$B$1:$L$258,4,FALSE)),"",(VLOOKUP($B62,'E-1 Off-Site Hedge Baseline'!$B$1:$L$258,4,FALSE))))</f>
        <v/>
      </c>
      <c r="E62" s="382" t="str">
        <f>IF(B62="","",IF(ISNA(VLOOKUP($B62,'E-1 Off-Site Hedge Baseline'!$B$1:$L$257,5,FALSE)),"",(VLOOKUP($B62,'E-1 Off-Site Hedge Baseline'!$B$1:$L$257,5,FALSE))))</f>
        <v/>
      </c>
      <c r="F62" s="382" t="str">
        <f>IF(B62="","",IF(ISNA(VLOOKUP($B62,'E-1 Off-Site Hedge Baseline'!$B$1:$L$257,6,FALSE)),"",(VLOOKUP($B62,'E-1 Off-Site Hedge Baseline'!$B$1:$L$257,6,FALSE))))</f>
        <v/>
      </c>
      <c r="G62" s="382" t="str">
        <f>IF(B62="","",IF(ISNA(VLOOKUP($B62,'E-1 Off-Site Hedge Baseline'!$B$1:$L$257,7,FALSE)),"",(VLOOKUP($B62,'E-1 Off-Site Hedge Baseline'!$B$1:$L$257,7,FALSE))))</f>
        <v/>
      </c>
      <c r="H62" s="382" t="str">
        <f>IF(B62="","",IF(ISNA(VLOOKUP($B62,'E-1 Off-Site Hedge Baseline'!$B$1:$L$257,8,FALSE)),"",(VLOOKUP($B62,'E-1 Off-Site Hedge Baseline'!$B$1:$L$257,8,FALSE))))</f>
        <v/>
      </c>
      <c r="I62" s="382" t="str">
        <f>IF(B62="","",IF(ISNA(VLOOKUP($B62,'E-1 Off-Site Hedge Baseline'!$B$1:$L$257,10,FALSE)),"",(VLOOKUP($B62,'E-1 Off-Site Hedge Baseline'!$B$1:$L$257,10,FALSE))))</f>
        <v/>
      </c>
      <c r="J62" s="382" t="str">
        <f>IF(B62="","",IF(ISNA(VLOOKUP($B62,'E-1 Off-Site Hedge Baseline'!$B$1:$L$257,11,FALSE)),"",(VLOOKUP($B62,'E-1 Off-Site Hedge Baseline'!$B$1:$L$257,11,FALSE))))</f>
        <v/>
      </c>
      <c r="K62" s="382" t="str">
        <f>IF(B62="","",IF(ISNA(VLOOKUP($B62,'E-1 Off-Site Hedge Baseline'!$B$1:$X$257,113,FALSE)),"",(VLOOKUP($B62,'E-1 Off-Site Hedge Baseline'!$B$1:$X$257,13,FALSE))))</f>
        <v/>
      </c>
      <c r="L62" s="370" t="str">
        <f>IF(B62="","",IF(ISNA(VLOOKUP($B62,'E-1 Off-Site Hedge Baseline'!$B$1:$X$257,12,FALSE)),"",(VLOOKUP($B62,'E-1 Off-Site Hedge Baseline'!$B$1:$X$257,12,FALSE))))</f>
        <v/>
      </c>
      <c r="M62" s="316" t="str">
        <f t="shared" si="0"/>
        <v/>
      </c>
      <c r="N62" s="362" t="str">
        <f>IFERROR(IF(B62="","",INDEX('G-6 Hedgerow Data'!$AN$3:$AZ$15,MATCH(C62,'G-6 Hedgerow Data'!$AM$3:$AM$15,0),MATCH(M62,'G-6 Hedgerow Data'!$AN$2:$AZ$2,0))),"")</f>
        <v/>
      </c>
      <c r="O62" s="363" t="str">
        <f t="shared" si="2"/>
        <v/>
      </c>
      <c r="P62" s="368" t="str">
        <f>IF(B62="","",VLOOKUP(B62,'E-1 Off-Site Hedge Baseline'!$B$10:W307,19,FALSE))</f>
        <v/>
      </c>
      <c r="Q62" s="362" t="str">
        <f>IF(M62="","",VLOOKUP(M62,'G-6 Hedgerow Data'!$B$2:$AG$15,2,FALSE))</f>
        <v/>
      </c>
      <c r="R62" s="363" t="str">
        <f>IF(M62="","",VLOOKUP(M62,'G-6 Hedgerow Data'!$B$2:$AG$15,3,FALSE))</f>
        <v/>
      </c>
      <c r="S62" s="114"/>
      <c r="T62" s="363" t="str">
        <f>IFERROR(IF(AND(Q62="V.Low",OR(S62="Good",S62="Moderate")),"Error ▲",VLOOKUP(S62,'G-1 All Habitats'!$Z$2:$AA$9,2,FALSE)),"")</f>
        <v/>
      </c>
      <c r="U62" s="114"/>
      <c r="V62" s="370" t="str">
        <f>IF(U62="","",IF(VLOOKUP(U62,'G-3 Multipliers'!$L$3:$N$6,2,FALSE)=0,"Spatial Data Missing ⚠",VLOOKUP(U62,'G-3 Multipliers'!$L$3:$N$6,2,FALSE)))</f>
        <v/>
      </c>
      <c r="W62" s="368" t="str">
        <f>IF(U62="","",IF(VLOOKUP(U62,'G-3 Multipliers'!$L$3:$N$6,3,FALSE)=0,"Spatial Data Missing ⚠",VLOOKUP(U62,'G-3 Multipliers'!$L$3:$N$6,3,FALSE)))</f>
        <v/>
      </c>
      <c r="X62" s="362" t="str">
        <f>IFERROR(IF(OR(LEFT(O62,5)="Error",LEFT(N62,5)="Error",T62="Error"),"Check Data ⚠",IF(F62&lt;R62,INDEX('G-6 Hedgerow Data'!$S$3:$AE$14,MATCH(C62,'G-6 Hedgerow Data'!$B$3:$B$14,0),MATCH(M62,'G-6 Hedgerow Data'!$S$2:$AE$2,0)),INDEX('G-6 Hedgerow Data'!$K$3:$Q$14,MATCH(M62,'G-6 Hedgerow Data'!$B$3:$B$14,0),MATCH(O62,'G-6 Hedgerow Data'!$K$2:$Q$2,0)))),"")</f>
        <v/>
      </c>
      <c r="Y62" s="159"/>
      <c r="Z62" s="159"/>
      <c r="AA62" s="370" t="str">
        <f t="shared" si="3"/>
        <v/>
      </c>
      <c r="AB62" s="383" t="str">
        <f t="shared" si="4"/>
        <v/>
      </c>
      <c r="AC62" s="384" t="str">
        <f t="shared" si="1"/>
        <v/>
      </c>
      <c r="AD62" s="398" t="str">
        <f>IF(M62="","",VLOOKUP(M62,'G-6 Hedgerow Data'!$B$3:$AG$15,31,FALSE))</f>
        <v/>
      </c>
      <c r="AE62" s="382" t="str">
        <f t="shared" si="5"/>
        <v/>
      </c>
      <c r="AF62" s="382" t="str">
        <f t="shared" si="6"/>
        <v/>
      </c>
      <c r="AG62" s="386" t="str">
        <f>IFERROR(IF(O62="","",VLOOKUP(AD62,'G-3 Multipliers'!$P$3:$Q$6,2,FALSE)),"")</f>
        <v/>
      </c>
      <c r="AH62" s="160"/>
      <c r="AI62" s="363" t="str">
        <f>IF(AH62="","",IF(VLOOKUP(AH62,'G-3 Multipliers'!$S$3:$T$10,2,FALSE)=0,"Spatial Data Missing ⚠",VLOOKUP(AH62,'G-3 Multipliers'!$S$3:$T$10,2,FALSE)))</f>
        <v/>
      </c>
      <c r="AJ62" s="405" t="str">
        <f t="shared" si="7"/>
        <v/>
      </c>
      <c r="AK62" s="376" t="str">
        <f t="shared" si="8"/>
        <v/>
      </c>
      <c r="AL62" s="117"/>
      <c r="AM62" s="118"/>
      <c r="AN62" s="120"/>
      <c r="AO62" s="120"/>
      <c r="AQ62" s="30" t="str">
        <f>IFERROR(INDEX('G-6 Hedgerow Data'!$BJ$3:$BJ$15,MATCH(M62,'G-6 Hedgerow Data'!$B$3:$B$15,0)),"")</f>
        <v/>
      </c>
    </row>
    <row r="63" spans="2:43" ht="15">
      <c r="B63" s="392" t="str">
        <f>'E-1 Off-Site Hedge Baseline'!AN61</f>
        <v/>
      </c>
      <c r="C63" s="382" t="str">
        <f>IF(B63="","",IF(ISNA(VLOOKUP($B63,'E-1 Off-Site Hedge Baseline'!$B$1:$L$257,3,FALSE)),"",(VLOOKUP($B63,'E-1 Off-Site Hedge Baseline'!$B$1:$L$257,3,FALSE))))</f>
        <v/>
      </c>
      <c r="D63" s="382" t="str">
        <f>IF(B63="","",IF(ISNA(VLOOKUP($B63,'E-1 Off-Site Hedge Baseline'!$B$1:$L$258,4,FALSE)),"",(VLOOKUP($B63,'E-1 Off-Site Hedge Baseline'!$B$1:$L$258,4,FALSE))))</f>
        <v/>
      </c>
      <c r="E63" s="382" t="str">
        <f>IF(B63="","",IF(ISNA(VLOOKUP($B63,'E-1 Off-Site Hedge Baseline'!$B$1:$L$257,5,FALSE)),"",(VLOOKUP($B63,'E-1 Off-Site Hedge Baseline'!$B$1:$L$257,5,FALSE))))</f>
        <v/>
      </c>
      <c r="F63" s="382" t="str">
        <f>IF(B63="","",IF(ISNA(VLOOKUP($B63,'E-1 Off-Site Hedge Baseline'!$B$1:$L$257,6,FALSE)),"",(VLOOKUP($B63,'E-1 Off-Site Hedge Baseline'!$B$1:$L$257,6,FALSE))))</f>
        <v/>
      </c>
      <c r="G63" s="382" t="str">
        <f>IF(B63="","",IF(ISNA(VLOOKUP($B63,'E-1 Off-Site Hedge Baseline'!$B$1:$L$257,7,FALSE)),"",(VLOOKUP($B63,'E-1 Off-Site Hedge Baseline'!$B$1:$L$257,7,FALSE))))</f>
        <v/>
      </c>
      <c r="H63" s="382" t="str">
        <f>IF(B63="","",IF(ISNA(VLOOKUP($B63,'E-1 Off-Site Hedge Baseline'!$B$1:$L$257,8,FALSE)),"",(VLOOKUP($B63,'E-1 Off-Site Hedge Baseline'!$B$1:$L$257,8,FALSE))))</f>
        <v/>
      </c>
      <c r="I63" s="382" t="str">
        <f>IF(B63="","",IF(ISNA(VLOOKUP($B63,'E-1 Off-Site Hedge Baseline'!$B$1:$L$257,10,FALSE)),"",(VLOOKUP($B63,'E-1 Off-Site Hedge Baseline'!$B$1:$L$257,10,FALSE))))</f>
        <v/>
      </c>
      <c r="J63" s="382" t="str">
        <f>IF(B63="","",IF(ISNA(VLOOKUP($B63,'E-1 Off-Site Hedge Baseline'!$B$1:$L$257,11,FALSE)),"",(VLOOKUP($B63,'E-1 Off-Site Hedge Baseline'!$B$1:$L$257,11,FALSE))))</f>
        <v/>
      </c>
      <c r="K63" s="382" t="str">
        <f>IF(B63="","",IF(ISNA(VLOOKUP($B63,'E-1 Off-Site Hedge Baseline'!$B$1:$X$257,113,FALSE)),"",(VLOOKUP($B63,'E-1 Off-Site Hedge Baseline'!$B$1:$X$257,13,FALSE))))</f>
        <v/>
      </c>
      <c r="L63" s="370" t="str">
        <f>IF(B63="","",IF(ISNA(VLOOKUP($B63,'E-1 Off-Site Hedge Baseline'!$B$1:$X$257,12,FALSE)),"",(VLOOKUP($B63,'E-1 Off-Site Hedge Baseline'!$B$1:$X$257,12,FALSE))))</f>
        <v/>
      </c>
      <c r="M63" s="316" t="str">
        <f t="shared" si="0"/>
        <v/>
      </c>
      <c r="N63" s="362" t="str">
        <f>IFERROR(IF(B63="","",INDEX('G-6 Hedgerow Data'!$AN$3:$AZ$15,MATCH(C63,'G-6 Hedgerow Data'!$AM$3:$AM$15,0),MATCH(M63,'G-6 Hedgerow Data'!$AN$2:$AZ$2,0))),"")</f>
        <v/>
      </c>
      <c r="O63" s="363" t="str">
        <f t="shared" si="2"/>
        <v/>
      </c>
      <c r="P63" s="368" t="str">
        <f>IF(B63="","",VLOOKUP(B63,'E-1 Off-Site Hedge Baseline'!$B$10:W308,19,FALSE))</f>
        <v/>
      </c>
      <c r="Q63" s="362" t="str">
        <f>IF(M63="","",VLOOKUP(M63,'G-6 Hedgerow Data'!$B$2:$AG$15,2,FALSE))</f>
        <v/>
      </c>
      <c r="R63" s="363" t="str">
        <f>IF(M63="","",VLOOKUP(M63,'G-6 Hedgerow Data'!$B$2:$AG$15,3,FALSE))</f>
        <v/>
      </c>
      <c r="S63" s="114"/>
      <c r="T63" s="363" t="str">
        <f>IFERROR(IF(AND(Q63="V.Low",OR(S63="Good",S63="Moderate")),"Error ▲",VLOOKUP(S63,'G-1 All Habitats'!$Z$2:$AA$9,2,FALSE)),"")</f>
        <v/>
      </c>
      <c r="U63" s="114"/>
      <c r="V63" s="370" t="str">
        <f>IF(U63="","",IF(VLOOKUP(U63,'G-3 Multipliers'!$L$3:$N$6,2,FALSE)=0,"Spatial Data Missing ⚠",VLOOKUP(U63,'G-3 Multipliers'!$L$3:$N$6,2,FALSE)))</f>
        <v/>
      </c>
      <c r="W63" s="368" t="str">
        <f>IF(U63="","",IF(VLOOKUP(U63,'G-3 Multipliers'!$L$3:$N$6,3,FALSE)=0,"Spatial Data Missing ⚠",VLOOKUP(U63,'G-3 Multipliers'!$L$3:$N$6,3,FALSE)))</f>
        <v/>
      </c>
      <c r="X63" s="362" t="str">
        <f>IFERROR(IF(OR(LEFT(O63,5)="Error",LEFT(N63,5)="Error",T63="Error"),"Check Data ⚠",IF(F63&lt;R63,INDEX('G-6 Hedgerow Data'!$S$3:$AE$14,MATCH(C63,'G-6 Hedgerow Data'!$B$3:$B$14,0),MATCH(M63,'G-6 Hedgerow Data'!$S$2:$AE$2,0)),INDEX('G-6 Hedgerow Data'!$K$3:$Q$14,MATCH(M63,'G-6 Hedgerow Data'!$B$3:$B$14,0),MATCH(O63,'G-6 Hedgerow Data'!$K$2:$Q$2,0)))),"")</f>
        <v/>
      </c>
      <c r="Y63" s="159"/>
      <c r="Z63" s="159"/>
      <c r="AA63" s="370" t="str">
        <f t="shared" si="3"/>
        <v/>
      </c>
      <c r="AB63" s="383" t="str">
        <f t="shared" si="4"/>
        <v/>
      </c>
      <c r="AC63" s="384" t="str">
        <f t="shared" si="1"/>
        <v/>
      </c>
      <c r="AD63" s="398" t="str">
        <f>IF(M63="","",VLOOKUP(M63,'G-6 Hedgerow Data'!$B$3:$AG$15,31,FALSE))</f>
        <v/>
      </c>
      <c r="AE63" s="382" t="str">
        <f t="shared" si="5"/>
        <v/>
      </c>
      <c r="AF63" s="382" t="str">
        <f t="shared" si="6"/>
        <v/>
      </c>
      <c r="AG63" s="386" t="str">
        <f>IFERROR(IF(O63="","",VLOOKUP(AD63,'G-3 Multipliers'!$P$3:$Q$6,2,FALSE)),"")</f>
        <v/>
      </c>
      <c r="AH63" s="160"/>
      <c r="AI63" s="363" t="str">
        <f>IF(AH63="","",IF(VLOOKUP(AH63,'G-3 Multipliers'!$S$3:$T$10,2,FALSE)=0,"Spatial Data Missing ⚠",VLOOKUP(AH63,'G-3 Multipliers'!$S$3:$T$10,2,FALSE)))</f>
        <v/>
      </c>
      <c r="AJ63" s="405" t="str">
        <f t="shared" si="7"/>
        <v/>
      </c>
      <c r="AK63" s="376" t="str">
        <f t="shared" si="8"/>
        <v/>
      </c>
      <c r="AL63" s="117"/>
      <c r="AM63" s="118"/>
      <c r="AN63" s="120"/>
      <c r="AO63" s="120"/>
      <c r="AQ63" s="30" t="str">
        <f>IFERROR(INDEX('G-6 Hedgerow Data'!$BJ$3:$BJ$15,MATCH(M63,'G-6 Hedgerow Data'!$B$3:$B$15,0)),"")</f>
        <v/>
      </c>
    </row>
    <row r="64" spans="2:43" ht="15">
      <c r="B64" s="392" t="str">
        <f>'E-1 Off-Site Hedge Baseline'!AN62</f>
        <v/>
      </c>
      <c r="C64" s="382" t="str">
        <f>IF(B64="","",IF(ISNA(VLOOKUP($B64,'E-1 Off-Site Hedge Baseline'!$B$1:$L$257,3,FALSE)),"",(VLOOKUP($B64,'E-1 Off-Site Hedge Baseline'!$B$1:$L$257,3,FALSE))))</f>
        <v/>
      </c>
      <c r="D64" s="382" t="str">
        <f>IF(B64="","",IF(ISNA(VLOOKUP($B64,'E-1 Off-Site Hedge Baseline'!$B$1:$L$258,4,FALSE)),"",(VLOOKUP($B64,'E-1 Off-Site Hedge Baseline'!$B$1:$L$258,4,FALSE))))</f>
        <v/>
      </c>
      <c r="E64" s="382" t="str">
        <f>IF(B64="","",IF(ISNA(VLOOKUP($B64,'E-1 Off-Site Hedge Baseline'!$B$1:$L$257,5,FALSE)),"",(VLOOKUP($B64,'E-1 Off-Site Hedge Baseline'!$B$1:$L$257,5,FALSE))))</f>
        <v/>
      </c>
      <c r="F64" s="382" t="str">
        <f>IF(B64="","",IF(ISNA(VLOOKUP($B64,'E-1 Off-Site Hedge Baseline'!$B$1:$L$257,6,FALSE)),"",(VLOOKUP($B64,'E-1 Off-Site Hedge Baseline'!$B$1:$L$257,6,FALSE))))</f>
        <v/>
      </c>
      <c r="G64" s="382" t="str">
        <f>IF(B64="","",IF(ISNA(VLOOKUP($B64,'E-1 Off-Site Hedge Baseline'!$B$1:$L$257,7,FALSE)),"",(VLOOKUP($B64,'E-1 Off-Site Hedge Baseline'!$B$1:$L$257,7,FALSE))))</f>
        <v/>
      </c>
      <c r="H64" s="382" t="str">
        <f>IF(B64="","",IF(ISNA(VLOOKUP($B64,'E-1 Off-Site Hedge Baseline'!$B$1:$L$257,8,FALSE)),"",(VLOOKUP($B64,'E-1 Off-Site Hedge Baseline'!$B$1:$L$257,8,FALSE))))</f>
        <v/>
      </c>
      <c r="I64" s="382" t="str">
        <f>IF(B64="","",IF(ISNA(VLOOKUP($B64,'E-1 Off-Site Hedge Baseline'!$B$1:$L$257,10,FALSE)),"",(VLOOKUP($B64,'E-1 Off-Site Hedge Baseline'!$B$1:$L$257,10,FALSE))))</f>
        <v/>
      </c>
      <c r="J64" s="382" t="str">
        <f>IF(B64="","",IF(ISNA(VLOOKUP($B64,'E-1 Off-Site Hedge Baseline'!$B$1:$L$257,11,FALSE)),"",(VLOOKUP($B64,'E-1 Off-Site Hedge Baseline'!$B$1:$L$257,11,FALSE))))</f>
        <v/>
      </c>
      <c r="K64" s="382" t="str">
        <f>IF(B64="","",IF(ISNA(VLOOKUP($B64,'E-1 Off-Site Hedge Baseline'!$B$1:$X$257,113,FALSE)),"",(VLOOKUP($B64,'E-1 Off-Site Hedge Baseline'!$B$1:$X$257,13,FALSE))))</f>
        <v/>
      </c>
      <c r="L64" s="370" t="str">
        <f>IF(B64="","",IF(ISNA(VLOOKUP($B64,'E-1 Off-Site Hedge Baseline'!$B$1:$X$257,12,FALSE)),"",(VLOOKUP($B64,'E-1 Off-Site Hedge Baseline'!$B$1:$X$257,12,FALSE))))</f>
        <v/>
      </c>
      <c r="M64" s="316" t="str">
        <f t="shared" si="0"/>
        <v/>
      </c>
      <c r="N64" s="362" t="str">
        <f>IFERROR(IF(B64="","",INDEX('G-6 Hedgerow Data'!$AN$3:$AZ$15,MATCH(C64,'G-6 Hedgerow Data'!$AM$3:$AM$15,0),MATCH(M64,'G-6 Hedgerow Data'!$AN$2:$AZ$2,0))),"")</f>
        <v/>
      </c>
      <c r="O64" s="363" t="str">
        <f t="shared" si="2"/>
        <v/>
      </c>
      <c r="P64" s="368" t="str">
        <f>IF(B64="","",VLOOKUP(B64,'E-1 Off-Site Hedge Baseline'!$B$10:W309,19,FALSE))</f>
        <v/>
      </c>
      <c r="Q64" s="362" t="str">
        <f>IF(M64="","",VLOOKUP(M64,'G-6 Hedgerow Data'!$B$2:$AG$15,2,FALSE))</f>
        <v/>
      </c>
      <c r="R64" s="363" t="str">
        <f>IF(M64="","",VLOOKUP(M64,'G-6 Hedgerow Data'!$B$2:$AG$15,3,FALSE))</f>
        <v/>
      </c>
      <c r="S64" s="114"/>
      <c r="T64" s="363" t="str">
        <f>IFERROR(IF(AND(Q64="V.Low",OR(S64="Good",S64="Moderate")),"Error ▲",VLOOKUP(S64,'G-1 All Habitats'!$Z$2:$AA$9,2,FALSE)),"")</f>
        <v/>
      </c>
      <c r="U64" s="114"/>
      <c r="V64" s="370" t="str">
        <f>IF(U64="","",IF(VLOOKUP(U64,'G-3 Multipliers'!$L$3:$N$6,2,FALSE)=0,"Spatial Data Missing ⚠",VLOOKUP(U64,'G-3 Multipliers'!$L$3:$N$6,2,FALSE)))</f>
        <v/>
      </c>
      <c r="W64" s="368" t="str">
        <f>IF(U64="","",IF(VLOOKUP(U64,'G-3 Multipliers'!$L$3:$N$6,3,FALSE)=0,"Spatial Data Missing ⚠",VLOOKUP(U64,'G-3 Multipliers'!$L$3:$N$6,3,FALSE)))</f>
        <v/>
      </c>
      <c r="X64" s="362" t="str">
        <f>IFERROR(IF(OR(LEFT(O64,5)="Error",LEFT(N64,5)="Error",T64="Error"),"Check Data ⚠",IF(F64&lt;R64,INDEX('G-6 Hedgerow Data'!$S$3:$AE$14,MATCH(C64,'G-6 Hedgerow Data'!$B$3:$B$14,0),MATCH(M64,'G-6 Hedgerow Data'!$S$2:$AE$2,0)),INDEX('G-6 Hedgerow Data'!$K$3:$Q$14,MATCH(M64,'G-6 Hedgerow Data'!$B$3:$B$14,0),MATCH(O64,'G-6 Hedgerow Data'!$K$2:$Q$2,0)))),"")</f>
        <v/>
      </c>
      <c r="Y64" s="159"/>
      <c r="Z64" s="159"/>
      <c r="AA64" s="370" t="str">
        <f t="shared" si="3"/>
        <v/>
      </c>
      <c r="AB64" s="383" t="str">
        <f t="shared" si="4"/>
        <v/>
      </c>
      <c r="AC64" s="384" t="str">
        <f t="shared" si="1"/>
        <v/>
      </c>
      <c r="AD64" s="398" t="str">
        <f>IF(M64="","",VLOOKUP(M64,'G-6 Hedgerow Data'!$B$3:$AG$15,31,FALSE))</f>
        <v/>
      </c>
      <c r="AE64" s="382" t="str">
        <f t="shared" si="5"/>
        <v/>
      </c>
      <c r="AF64" s="382" t="str">
        <f t="shared" si="6"/>
        <v/>
      </c>
      <c r="AG64" s="386" t="str">
        <f>IFERROR(IF(O64="","",VLOOKUP(AD64,'G-3 Multipliers'!$P$3:$Q$6,2,FALSE)),"")</f>
        <v/>
      </c>
      <c r="AH64" s="160"/>
      <c r="AI64" s="363" t="str">
        <f>IF(AH64="","",IF(VLOOKUP(AH64,'G-3 Multipliers'!$S$3:$T$10,2,FALSE)=0,"Spatial Data Missing ⚠",VLOOKUP(AH64,'G-3 Multipliers'!$S$3:$T$10,2,FALSE)))</f>
        <v/>
      </c>
      <c r="AJ64" s="405" t="str">
        <f t="shared" si="7"/>
        <v/>
      </c>
      <c r="AK64" s="376" t="str">
        <f t="shared" si="8"/>
        <v/>
      </c>
      <c r="AL64" s="117"/>
      <c r="AM64" s="118"/>
      <c r="AN64" s="120"/>
      <c r="AO64" s="120"/>
      <c r="AQ64" s="30" t="str">
        <f>IFERROR(INDEX('G-6 Hedgerow Data'!$BJ$3:$BJ$15,MATCH(M64,'G-6 Hedgerow Data'!$B$3:$B$15,0)),"")</f>
        <v/>
      </c>
    </row>
    <row r="65" spans="2:43" ht="15">
      <c r="B65" s="392" t="str">
        <f>'E-1 Off-Site Hedge Baseline'!AN63</f>
        <v/>
      </c>
      <c r="C65" s="382" t="str">
        <f>IF(B65="","",IF(ISNA(VLOOKUP($B65,'E-1 Off-Site Hedge Baseline'!$B$1:$L$257,3,FALSE)),"",(VLOOKUP($B65,'E-1 Off-Site Hedge Baseline'!$B$1:$L$257,3,FALSE))))</f>
        <v/>
      </c>
      <c r="D65" s="382" t="str">
        <f>IF(B65="","",IF(ISNA(VLOOKUP($B65,'E-1 Off-Site Hedge Baseline'!$B$1:$L$258,4,FALSE)),"",(VLOOKUP($B65,'E-1 Off-Site Hedge Baseline'!$B$1:$L$258,4,FALSE))))</f>
        <v/>
      </c>
      <c r="E65" s="382" t="str">
        <f>IF(B65="","",IF(ISNA(VLOOKUP($B65,'E-1 Off-Site Hedge Baseline'!$B$1:$L$257,5,FALSE)),"",(VLOOKUP($B65,'E-1 Off-Site Hedge Baseline'!$B$1:$L$257,5,FALSE))))</f>
        <v/>
      </c>
      <c r="F65" s="382" t="str">
        <f>IF(B65="","",IF(ISNA(VLOOKUP($B65,'E-1 Off-Site Hedge Baseline'!$B$1:$L$257,6,FALSE)),"",(VLOOKUP($B65,'E-1 Off-Site Hedge Baseline'!$B$1:$L$257,6,FALSE))))</f>
        <v/>
      </c>
      <c r="G65" s="382" t="str">
        <f>IF(B65="","",IF(ISNA(VLOOKUP($B65,'E-1 Off-Site Hedge Baseline'!$B$1:$L$257,7,FALSE)),"",(VLOOKUP($B65,'E-1 Off-Site Hedge Baseline'!$B$1:$L$257,7,FALSE))))</f>
        <v/>
      </c>
      <c r="H65" s="382" t="str">
        <f>IF(B65="","",IF(ISNA(VLOOKUP($B65,'E-1 Off-Site Hedge Baseline'!$B$1:$L$257,8,FALSE)),"",(VLOOKUP($B65,'E-1 Off-Site Hedge Baseline'!$B$1:$L$257,8,FALSE))))</f>
        <v/>
      </c>
      <c r="I65" s="382" t="str">
        <f>IF(B65="","",IF(ISNA(VLOOKUP($B65,'E-1 Off-Site Hedge Baseline'!$B$1:$L$257,10,FALSE)),"",(VLOOKUP($B65,'E-1 Off-Site Hedge Baseline'!$B$1:$L$257,10,FALSE))))</f>
        <v/>
      </c>
      <c r="J65" s="382" t="str">
        <f>IF(B65="","",IF(ISNA(VLOOKUP($B65,'E-1 Off-Site Hedge Baseline'!$B$1:$L$257,11,FALSE)),"",(VLOOKUP($B65,'E-1 Off-Site Hedge Baseline'!$B$1:$L$257,11,FALSE))))</f>
        <v/>
      </c>
      <c r="K65" s="382" t="str">
        <f>IF(B65="","",IF(ISNA(VLOOKUP($B65,'E-1 Off-Site Hedge Baseline'!$B$1:$X$257,113,FALSE)),"",(VLOOKUP($B65,'E-1 Off-Site Hedge Baseline'!$B$1:$X$257,13,FALSE))))</f>
        <v/>
      </c>
      <c r="L65" s="370" t="str">
        <f>IF(B65="","",IF(ISNA(VLOOKUP($B65,'E-1 Off-Site Hedge Baseline'!$B$1:$X$257,12,FALSE)),"",(VLOOKUP($B65,'E-1 Off-Site Hedge Baseline'!$B$1:$X$257,12,FALSE))))</f>
        <v/>
      </c>
      <c r="M65" s="316" t="str">
        <f t="shared" si="0"/>
        <v/>
      </c>
      <c r="N65" s="362" t="str">
        <f>IFERROR(IF(B65="","",INDEX('G-6 Hedgerow Data'!$AN$3:$AZ$15,MATCH(C65,'G-6 Hedgerow Data'!$AM$3:$AM$15,0),MATCH(M65,'G-6 Hedgerow Data'!$AN$2:$AZ$2,0))),"")</f>
        <v/>
      </c>
      <c r="O65" s="363" t="str">
        <f t="shared" si="2"/>
        <v/>
      </c>
      <c r="P65" s="368" t="str">
        <f>IF(B65="","",VLOOKUP(B65,'E-1 Off-Site Hedge Baseline'!$B$10:W310,19,FALSE))</f>
        <v/>
      </c>
      <c r="Q65" s="362" t="str">
        <f>IF(M65="","",VLOOKUP(M65,'G-6 Hedgerow Data'!$B$2:$AG$15,2,FALSE))</f>
        <v/>
      </c>
      <c r="R65" s="363" t="str">
        <f>IF(M65="","",VLOOKUP(M65,'G-6 Hedgerow Data'!$B$2:$AG$15,3,FALSE))</f>
        <v/>
      </c>
      <c r="S65" s="114"/>
      <c r="T65" s="363" t="str">
        <f>IFERROR(IF(AND(Q65="V.Low",OR(S65="Good",S65="Moderate")),"Error ▲",VLOOKUP(S65,'G-1 All Habitats'!$Z$2:$AA$9,2,FALSE)),"")</f>
        <v/>
      </c>
      <c r="U65" s="114"/>
      <c r="V65" s="370" t="str">
        <f>IF(U65="","",IF(VLOOKUP(U65,'G-3 Multipliers'!$L$3:$N$6,2,FALSE)=0,"Spatial Data Missing ⚠",VLOOKUP(U65,'G-3 Multipliers'!$L$3:$N$6,2,FALSE)))</f>
        <v/>
      </c>
      <c r="W65" s="368" t="str">
        <f>IF(U65="","",IF(VLOOKUP(U65,'G-3 Multipliers'!$L$3:$N$6,3,FALSE)=0,"Spatial Data Missing ⚠",VLOOKUP(U65,'G-3 Multipliers'!$L$3:$N$6,3,FALSE)))</f>
        <v/>
      </c>
      <c r="X65" s="362" t="str">
        <f>IFERROR(IF(OR(LEFT(O65,5)="Error",LEFT(N65,5)="Error",T65="Error"),"Check Data ⚠",IF(F65&lt;R65,INDEX('G-6 Hedgerow Data'!$S$3:$AE$14,MATCH(C65,'G-6 Hedgerow Data'!$B$3:$B$14,0),MATCH(M65,'G-6 Hedgerow Data'!$S$2:$AE$2,0)),INDEX('G-6 Hedgerow Data'!$K$3:$Q$14,MATCH(M65,'G-6 Hedgerow Data'!$B$3:$B$14,0),MATCH(O65,'G-6 Hedgerow Data'!$K$2:$Q$2,0)))),"")</f>
        <v/>
      </c>
      <c r="Y65" s="159"/>
      <c r="Z65" s="159"/>
      <c r="AA65" s="370" t="str">
        <f t="shared" si="3"/>
        <v/>
      </c>
      <c r="AB65" s="383" t="str">
        <f t="shared" si="4"/>
        <v/>
      </c>
      <c r="AC65" s="384" t="str">
        <f t="shared" si="1"/>
        <v/>
      </c>
      <c r="AD65" s="398" t="str">
        <f>IF(M65="","",VLOOKUP(M65,'G-6 Hedgerow Data'!$B$3:$AG$15,31,FALSE))</f>
        <v/>
      </c>
      <c r="AE65" s="382" t="str">
        <f t="shared" si="5"/>
        <v/>
      </c>
      <c r="AF65" s="382" t="str">
        <f t="shared" si="6"/>
        <v/>
      </c>
      <c r="AG65" s="386" t="str">
        <f>IFERROR(IF(O65="","",VLOOKUP(AD65,'G-3 Multipliers'!$P$3:$Q$6,2,FALSE)),"")</f>
        <v/>
      </c>
      <c r="AH65" s="160"/>
      <c r="AI65" s="363" t="str">
        <f>IF(AH65="","",IF(VLOOKUP(AH65,'G-3 Multipliers'!$S$3:$T$10,2,FALSE)=0,"Spatial Data Missing ⚠",VLOOKUP(AH65,'G-3 Multipliers'!$S$3:$T$10,2,FALSE)))</f>
        <v/>
      </c>
      <c r="AJ65" s="405" t="str">
        <f t="shared" si="7"/>
        <v/>
      </c>
      <c r="AK65" s="376" t="str">
        <f t="shared" si="8"/>
        <v/>
      </c>
      <c r="AL65" s="117"/>
      <c r="AM65" s="118"/>
      <c r="AN65" s="120"/>
      <c r="AO65" s="120"/>
      <c r="AQ65" s="30" t="str">
        <f>IFERROR(INDEX('G-6 Hedgerow Data'!$BJ$3:$BJ$15,MATCH(M65,'G-6 Hedgerow Data'!$B$3:$B$15,0)),"")</f>
        <v/>
      </c>
    </row>
    <row r="66" spans="2:43" ht="15">
      <c r="B66" s="392" t="str">
        <f>'E-1 Off-Site Hedge Baseline'!AN64</f>
        <v/>
      </c>
      <c r="C66" s="382" t="str">
        <f>IF(B66="","",IF(ISNA(VLOOKUP($B66,'E-1 Off-Site Hedge Baseline'!$B$1:$L$257,3,FALSE)),"",(VLOOKUP($B66,'E-1 Off-Site Hedge Baseline'!$B$1:$L$257,3,FALSE))))</f>
        <v/>
      </c>
      <c r="D66" s="382" t="str">
        <f>IF(B66="","",IF(ISNA(VLOOKUP($B66,'E-1 Off-Site Hedge Baseline'!$B$1:$L$258,4,FALSE)),"",(VLOOKUP($B66,'E-1 Off-Site Hedge Baseline'!$B$1:$L$258,4,FALSE))))</f>
        <v/>
      </c>
      <c r="E66" s="382" t="str">
        <f>IF(B66="","",IF(ISNA(VLOOKUP($B66,'E-1 Off-Site Hedge Baseline'!$B$1:$L$257,5,FALSE)),"",(VLOOKUP($B66,'E-1 Off-Site Hedge Baseline'!$B$1:$L$257,5,FALSE))))</f>
        <v/>
      </c>
      <c r="F66" s="382" t="str">
        <f>IF(B66="","",IF(ISNA(VLOOKUP($B66,'E-1 Off-Site Hedge Baseline'!$B$1:$L$257,6,FALSE)),"",(VLOOKUP($B66,'E-1 Off-Site Hedge Baseline'!$B$1:$L$257,6,FALSE))))</f>
        <v/>
      </c>
      <c r="G66" s="382" t="str">
        <f>IF(B66="","",IF(ISNA(VLOOKUP($B66,'E-1 Off-Site Hedge Baseline'!$B$1:$L$257,7,FALSE)),"",(VLOOKUP($B66,'E-1 Off-Site Hedge Baseline'!$B$1:$L$257,7,FALSE))))</f>
        <v/>
      </c>
      <c r="H66" s="382" t="str">
        <f>IF(B66="","",IF(ISNA(VLOOKUP($B66,'E-1 Off-Site Hedge Baseline'!$B$1:$L$257,8,FALSE)),"",(VLOOKUP($B66,'E-1 Off-Site Hedge Baseline'!$B$1:$L$257,8,FALSE))))</f>
        <v/>
      </c>
      <c r="I66" s="382" t="str">
        <f>IF(B66="","",IF(ISNA(VLOOKUP($B66,'E-1 Off-Site Hedge Baseline'!$B$1:$L$257,10,FALSE)),"",(VLOOKUP($B66,'E-1 Off-Site Hedge Baseline'!$B$1:$L$257,10,FALSE))))</f>
        <v/>
      </c>
      <c r="J66" s="382" t="str">
        <f>IF(B66="","",IF(ISNA(VLOOKUP($B66,'E-1 Off-Site Hedge Baseline'!$B$1:$L$257,11,FALSE)),"",(VLOOKUP($B66,'E-1 Off-Site Hedge Baseline'!$B$1:$L$257,11,FALSE))))</f>
        <v/>
      </c>
      <c r="K66" s="382" t="str">
        <f>IF(B66="","",IF(ISNA(VLOOKUP($B66,'E-1 Off-Site Hedge Baseline'!$B$1:$X$257,113,FALSE)),"",(VLOOKUP($B66,'E-1 Off-Site Hedge Baseline'!$B$1:$X$257,13,FALSE))))</f>
        <v/>
      </c>
      <c r="L66" s="370" t="str">
        <f>IF(B66="","",IF(ISNA(VLOOKUP($B66,'E-1 Off-Site Hedge Baseline'!$B$1:$X$257,12,FALSE)),"",(VLOOKUP($B66,'E-1 Off-Site Hedge Baseline'!$B$1:$X$257,12,FALSE))))</f>
        <v/>
      </c>
      <c r="M66" s="316" t="str">
        <f t="shared" si="0"/>
        <v/>
      </c>
      <c r="N66" s="362" t="str">
        <f>IFERROR(IF(B66="","",INDEX('G-6 Hedgerow Data'!$AN$3:$AZ$15,MATCH(C66,'G-6 Hedgerow Data'!$AM$3:$AM$15,0),MATCH(M66,'G-6 Hedgerow Data'!$AN$2:$AZ$2,0))),"")</f>
        <v/>
      </c>
      <c r="O66" s="363" t="str">
        <f t="shared" si="2"/>
        <v/>
      </c>
      <c r="P66" s="368" t="str">
        <f>IF(B66="","",VLOOKUP(B66,'E-1 Off-Site Hedge Baseline'!$B$10:W311,19,FALSE))</f>
        <v/>
      </c>
      <c r="Q66" s="362" t="str">
        <f>IF(M66="","",VLOOKUP(M66,'G-6 Hedgerow Data'!$B$2:$AG$15,2,FALSE))</f>
        <v/>
      </c>
      <c r="R66" s="363" t="str">
        <f>IF(M66="","",VLOOKUP(M66,'G-6 Hedgerow Data'!$B$2:$AG$15,3,FALSE))</f>
        <v/>
      </c>
      <c r="S66" s="114"/>
      <c r="T66" s="363" t="str">
        <f>IFERROR(IF(AND(Q66="V.Low",OR(S66="Good",S66="Moderate")),"Error ▲",VLOOKUP(S66,'G-1 All Habitats'!$Z$2:$AA$9,2,FALSE)),"")</f>
        <v/>
      </c>
      <c r="U66" s="114"/>
      <c r="V66" s="370" t="str">
        <f>IF(U66="","",IF(VLOOKUP(U66,'G-3 Multipliers'!$L$3:$N$6,2,FALSE)=0,"Spatial Data Missing ⚠",VLOOKUP(U66,'G-3 Multipliers'!$L$3:$N$6,2,FALSE)))</f>
        <v/>
      </c>
      <c r="W66" s="368" t="str">
        <f>IF(U66="","",IF(VLOOKUP(U66,'G-3 Multipliers'!$L$3:$N$6,3,FALSE)=0,"Spatial Data Missing ⚠",VLOOKUP(U66,'G-3 Multipliers'!$L$3:$N$6,3,FALSE)))</f>
        <v/>
      </c>
      <c r="X66" s="362" t="str">
        <f>IFERROR(IF(OR(LEFT(O66,5)="Error",LEFT(N66,5)="Error",T66="Error"),"Check Data ⚠",IF(F66&lt;R66,INDEX('G-6 Hedgerow Data'!$S$3:$AE$14,MATCH(C66,'G-6 Hedgerow Data'!$B$3:$B$14,0),MATCH(M66,'G-6 Hedgerow Data'!$S$2:$AE$2,0)),INDEX('G-6 Hedgerow Data'!$K$3:$Q$14,MATCH(M66,'G-6 Hedgerow Data'!$B$3:$B$14,0),MATCH(O66,'G-6 Hedgerow Data'!$K$2:$Q$2,0)))),"")</f>
        <v/>
      </c>
      <c r="Y66" s="159"/>
      <c r="Z66" s="159"/>
      <c r="AA66" s="370" t="str">
        <f t="shared" si="3"/>
        <v/>
      </c>
      <c r="AB66" s="383" t="str">
        <f t="shared" si="4"/>
        <v/>
      </c>
      <c r="AC66" s="384" t="str">
        <f t="shared" si="1"/>
        <v/>
      </c>
      <c r="AD66" s="398" t="str">
        <f>IF(M66="","",VLOOKUP(M66,'G-6 Hedgerow Data'!$B$3:$AG$15,31,FALSE))</f>
        <v/>
      </c>
      <c r="AE66" s="382" t="str">
        <f t="shared" si="5"/>
        <v/>
      </c>
      <c r="AF66" s="382" t="str">
        <f t="shared" si="6"/>
        <v/>
      </c>
      <c r="AG66" s="386" t="str">
        <f>IFERROR(IF(O66="","",VLOOKUP(AD66,'G-3 Multipliers'!$P$3:$Q$6,2,FALSE)),"")</f>
        <v/>
      </c>
      <c r="AH66" s="160"/>
      <c r="AI66" s="363" t="str">
        <f>IF(AH66="","",IF(VLOOKUP(AH66,'G-3 Multipliers'!$S$3:$T$10,2,FALSE)=0,"Spatial Data Missing ⚠",VLOOKUP(AH66,'G-3 Multipliers'!$S$3:$T$10,2,FALSE)))</f>
        <v/>
      </c>
      <c r="AJ66" s="405" t="str">
        <f t="shared" si="7"/>
        <v/>
      </c>
      <c r="AK66" s="376" t="str">
        <f t="shared" si="8"/>
        <v/>
      </c>
      <c r="AL66" s="117"/>
      <c r="AM66" s="118"/>
      <c r="AN66" s="120"/>
      <c r="AO66" s="120"/>
      <c r="AQ66" s="30" t="str">
        <f>IFERROR(INDEX('G-6 Hedgerow Data'!$BJ$3:$BJ$15,MATCH(M66,'G-6 Hedgerow Data'!$B$3:$B$15,0)),"")</f>
        <v/>
      </c>
    </row>
    <row r="67" spans="2:43" ht="15">
      <c r="B67" s="392" t="str">
        <f>'E-1 Off-Site Hedge Baseline'!AN65</f>
        <v/>
      </c>
      <c r="C67" s="382" t="str">
        <f>IF(B67="","",IF(ISNA(VLOOKUP($B67,'E-1 Off-Site Hedge Baseline'!$B$1:$L$257,3,FALSE)),"",(VLOOKUP($B67,'E-1 Off-Site Hedge Baseline'!$B$1:$L$257,3,FALSE))))</f>
        <v/>
      </c>
      <c r="D67" s="382" t="str">
        <f>IF(B67="","",IF(ISNA(VLOOKUP($B67,'E-1 Off-Site Hedge Baseline'!$B$1:$L$258,4,FALSE)),"",(VLOOKUP($B67,'E-1 Off-Site Hedge Baseline'!$B$1:$L$258,4,FALSE))))</f>
        <v/>
      </c>
      <c r="E67" s="382" t="str">
        <f>IF(B67="","",IF(ISNA(VLOOKUP($B67,'E-1 Off-Site Hedge Baseline'!$B$1:$L$257,5,FALSE)),"",(VLOOKUP($B67,'E-1 Off-Site Hedge Baseline'!$B$1:$L$257,5,FALSE))))</f>
        <v/>
      </c>
      <c r="F67" s="382" t="str">
        <f>IF(B67="","",IF(ISNA(VLOOKUP($B67,'E-1 Off-Site Hedge Baseline'!$B$1:$L$257,6,FALSE)),"",(VLOOKUP($B67,'E-1 Off-Site Hedge Baseline'!$B$1:$L$257,6,FALSE))))</f>
        <v/>
      </c>
      <c r="G67" s="382" t="str">
        <f>IF(B67="","",IF(ISNA(VLOOKUP($B67,'E-1 Off-Site Hedge Baseline'!$B$1:$L$257,7,FALSE)),"",(VLOOKUP($B67,'E-1 Off-Site Hedge Baseline'!$B$1:$L$257,7,FALSE))))</f>
        <v/>
      </c>
      <c r="H67" s="382" t="str">
        <f>IF(B67="","",IF(ISNA(VLOOKUP($B67,'E-1 Off-Site Hedge Baseline'!$B$1:$L$257,8,FALSE)),"",(VLOOKUP($B67,'E-1 Off-Site Hedge Baseline'!$B$1:$L$257,8,FALSE))))</f>
        <v/>
      </c>
      <c r="I67" s="382" t="str">
        <f>IF(B67="","",IF(ISNA(VLOOKUP($B67,'E-1 Off-Site Hedge Baseline'!$B$1:$L$257,10,FALSE)),"",(VLOOKUP($B67,'E-1 Off-Site Hedge Baseline'!$B$1:$L$257,10,FALSE))))</f>
        <v/>
      </c>
      <c r="J67" s="382" t="str">
        <f>IF(B67="","",IF(ISNA(VLOOKUP($B67,'E-1 Off-Site Hedge Baseline'!$B$1:$L$257,11,FALSE)),"",(VLOOKUP($B67,'E-1 Off-Site Hedge Baseline'!$B$1:$L$257,11,FALSE))))</f>
        <v/>
      </c>
      <c r="K67" s="382" t="str">
        <f>IF(B67="","",IF(ISNA(VLOOKUP($B67,'E-1 Off-Site Hedge Baseline'!$B$1:$X$257,113,FALSE)),"",(VLOOKUP($B67,'E-1 Off-Site Hedge Baseline'!$B$1:$X$257,13,FALSE))))</f>
        <v/>
      </c>
      <c r="L67" s="370" t="str">
        <f>IF(B67="","",IF(ISNA(VLOOKUP($B67,'E-1 Off-Site Hedge Baseline'!$B$1:$X$257,12,FALSE)),"",(VLOOKUP($B67,'E-1 Off-Site Hedge Baseline'!$B$1:$X$257,12,FALSE))))</f>
        <v/>
      </c>
      <c r="M67" s="316" t="str">
        <f t="shared" si="0"/>
        <v/>
      </c>
      <c r="N67" s="362" t="str">
        <f>IFERROR(IF(B67="","",INDEX('G-6 Hedgerow Data'!$AN$3:$AZ$15,MATCH(C67,'G-6 Hedgerow Data'!$AM$3:$AM$15,0),MATCH(M67,'G-6 Hedgerow Data'!$AN$2:$AZ$2,0))),"")</f>
        <v/>
      </c>
      <c r="O67" s="363" t="str">
        <f t="shared" si="2"/>
        <v/>
      </c>
      <c r="P67" s="368" t="str">
        <f>IF(B67="","",VLOOKUP(B67,'E-1 Off-Site Hedge Baseline'!$B$10:W312,19,FALSE))</f>
        <v/>
      </c>
      <c r="Q67" s="362" t="str">
        <f>IF(M67="","",VLOOKUP(M67,'G-6 Hedgerow Data'!$B$2:$AG$15,2,FALSE))</f>
        <v/>
      </c>
      <c r="R67" s="363" t="str">
        <f>IF(M67="","",VLOOKUP(M67,'G-6 Hedgerow Data'!$B$2:$AG$15,3,FALSE))</f>
        <v/>
      </c>
      <c r="S67" s="114"/>
      <c r="T67" s="363" t="str">
        <f>IFERROR(IF(AND(Q67="V.Low",OR(S67="Good",S67="Moderate")),"Error ▲",VLOOKUP(S67,'G-1 All Habitats'!$Z$2:$AA$9,2,FALSE)),"")</f>
        <v/>
      </c>
      <c r="U67" s="114"/>
      <c r="V67" s="370" t="str">
        <f>IF(U67="","",IF(VLOOKUP(U67,'G-3 Multipliers'!$L$3:$N$6,2,FALSE)=0,"Spatial Data Missing ⚠",VLOOKUP(U67,'G-3 Multipliers'!$L$3:$N$6,2,FALSE)))</f>
        <v/>
      </c>
      <c r="W67" s="368" t="str">
        <f>IF(U67="","",IF(VLOOKUP(U67,'G-3 Multipliers'!$L$3:$N$6,3,FALSE)=0,"Spatial Data Missing ⚠",VLOOKUP(U67,'G-3 Multipliers'!$L$3:$N$6,3,FALSE)))</f>
        <v/>
      </c>
      <c r="X67" s="362" t="str">
        <f>IFERROR(IF(OR(LEFT(O67,5)="Error",LEFT(N67,5)="Error",T67="Error"),"Check Data ⚠",IF(F67&lt;R67,INDEX('G-6 Hedgerow Data'!$S$3:$AE$14,MATCH(C67,'G-6 Hedgerow Data'!$B$3:$B$14,0),MATCH(M67,'G-6 Hedgerow Data'!$S$2:$AE$2,0)),INDEX('G-6 Hedgerow Data'!$K$3:$Q$14,MATCH(M67,'G-6 Hedgerow Data'!$B$3:$B$14,0),MATCH(O67,'G-6 Hedgerow Data'!$K$2:$Q$2,0)))),"")</f>
        <v/>
      </c>
      <c r="Y67" s="159"/>
      <c r="Z67" s="159"/>
      <c r="AA67" s="370" t="str">
        <f t="shared" si="3"/>
        <v/>
      </c>
      <c r="AB67" s="383" t="str">
        <f t="shared" si="4"/>
        <v/>
      </c>
      <c r="AC67" s="384" t="str">
        <f t="shared" si="1"/>
        <v/>
      </c>
      <c r="AD67" s="398" t="str">
        <f>IF(M67="","",VLOOKUP(M67,'G-6 Hedgerow Data'!$B$3:$AG$15,31,FALSE))</f>
        <v/>
      </c>
      <c r="AE67" s="382" t="str">
        <f t="shared" si="5"/>
        <v/>
      </c>
      <c r="AF67" s="382" t="str">
        <f t="shared" si="6"/>
        <v/>
      </c>
      <c r="AG67" s="386" t="str">
        <f>IFERROR(IF(O67="","",VLOOKUP(AD67,'G-3 Multipliers'!$P$3:$Q$6,2,FALSE)),"")</f>
        <v/>
      </c>
      <c r="AH67" s="160"/>
      <c r="AI67" s="363" t="str">
        <f>IF(AH67="","",IF(VLOOKUP(AH67,'G-3 Multipliers'!$S$3:$T$10,2,FALSE)=0,"Spatial Data Missing ⚠",VLOOKUP(AH67,'G-3 Multipliers'!$S$3:$T$10,2,FALSE)))</f>
        <v/>
      </c>
      <c r="AJ67" s="405" t="str">
        <f t="shared" si="7"/>
        <v/>
      </c>
      <c r="AK67" s="376" t="str">
        <f t="shared" si="8"/>
        <v/>
      </c>
      <c r="AL67" s="117"/>
      <c r="AM67" s="118"/>
      <c r="AN67" s="120"/>
      <c r="AO67" s="120"/>
      <c r="AQ67" s="30" t="str">
        <f>IFERROR(INDEX('G-6 Hedgerow Data'!$BJ$3:$BJ$15,MATCH(M67,'G-6 Hedgerow Data'!$B$3:$B$15,0)),"")</f>
        <v/>
      </c>
    </row>
    <row r="68" spans="2:43" ht="15">
      <c r="B68" s="392" t="str">
        <f>'E-1 Off-Site Hedge Baseline'!AN66</f>
        <v/>
      </c>
      <c r="C68" s="382" t="str">
        <f>IF(B68="","",IF(ISNA(VLOOKUP($B68,'E-1 Off-Site Hedge Baseline'!$B$1:$L$257,3,FALSE)),"",(VLOOKUP($B68,'E-1 Off-Site Hedge Baseline'!$B$1:$L$257,3,FALSE))))</f>
        <v/>
      </c>
      <c r="D68" s="382" t="str">
        <f>IF(B68="","",IF(ISNA(VLOOKUP($B68,'E-1 Off-Site Hedge Baseline'!$B$1:$L$258,4,FALSE)),"",(VLOOKUP($B68,'E-1 Off-Site Hedge Baseline'!$B$1:$L$258,4,FALSE))))</f>
        <v/>
      </c>
      <c r="E68" s="382" t="str">
        <f>IF(B68="","",IF(ISNA(VLOOKUP($B68,'E-1 Off-Site Hedge Baseline'!$B$1:$L$257,5,FALSE)),"",(VLOOKUP($B68,'E-1 Off-Site Hedge Baseline'!$B$1:$L$257,5,FALSE))))</f>
        <v/>
      </c>
      <c r="F68" s="382" t="str">
        <f>IF(B68="","",IF(ISNA(VLOOKUP($B68,'E-1 Off-Site Hedge Baseline'!$B$1:$L$257,6,FALSE)),"",(VLOOKUP($B68,'E-1 Off-Site Hedge Baseline'!$B$1:$L$257,6,FALSE))))</f>
        <v/>
      </c>
      <c r="G68" s="382" t="str">
        <f>IF(B68="","",IF(ISNA(VLOOKUP($B68,'E-1 Off-Site Hedge Baseline'!$B$1:$L$257,7,FALSE)),"",(VLOOKUP($B68,'E-1 Off-Site Hedge Baseline'!$B$1:$L$257,7,FALSE))))</f>
        <v/>
      </c>
      <c r="H68" s="382" t="str">
        <f>IF(B68="","",IF(ISNA(VLOOKUP($B68,'E-1 Off-Site Hedge Baseline'!$B$1:$L$257,8,FALSE)),"",(VLOOKUP($B68,'E-1 Off-Site Hedge Baseline'!$B$1:$L$257,8,FALSE))))</f>
        <v/>
      </c>
      <c r="I68" s="382" t="str">
        <f>IF(B68="","",IF(ISNA(VLOOKUP($B68,'E-1 Off-Site Hedge Baseline'!$B$1:$L$257,10,FALSE)),"",(VLOOKUP($B68,'E-1 Off-Site Hedge Baseline'!$B$1:$L$257,10,FALSE))))</f>
        <v/>
      </c>
      <c r="J68" s="382" t="str">
        <f>IF(B68="","",IF(ISNA(VLOOKUP($B68,'E-1 Off-Site Hedge Baseline'!$B$1:$L$257,11,FALSE)),"",(VLOOKUP($B68,'E-1 Off-Site Hedge Baseline'!$B$1:$L$257,11,FALSE))))</f>
        <v/>
      </c>
      <c r="K68" s="382" t="str">
        <f>IF(B68="","",IF(ISNA(VLOOKUP($B68,'E-1 Off-Site Hedge Baseline'!$B$1:$X$257,113,FALSE)),"",(VLOOKUP($B68,'E-1 Off-Site Hedge Baseline'!$B$1:$X$257,13,FALSE))))</f>
        <v/>
      </c>
      <c r="L68" s="370" t="str">
        <f>IF(B68="","",IF(ISNA(VLOOKUP($B68,'E-1 Off-Site Hedge Baseline'!$B$1:$X$257,12,FALSE)),"",(VLOOKUP($B68,'E-1 Off-Site Hedge Baseline'!$B$1:$X$257,12,FALSE))))</f>
        <v/>
      </c>
      <c r="M68" s="316" t="str">
        <f t="shared" si="0"/>
        <v/>
      </c>
      <c r="N68" s="362" t="str">
        <f>IFERROR(IF(B68="","",INDEX('G-6 Hedgerow Data'!$AN$3:$AZ$15,MATCH(C68,'G-6 Hedgerow Data'!$AM$3:$AM$15,0),MATCH(M68,'G-6 Hedgerow Data'!$AN$2:$AZ$2,0))),"")</f>
        <v/>
      </c>
      <c r="O68" s="363" t="str">
        <f t="shared" si="2"/>
        <v/>
      </c>
      <c r="P68" s="368" t="str">
        <f>IF(B68="","",VLOOKUP(B68,'E-1 Off-Site Hedge Baseline'!$B$10:W313,19,FALSE))</f>
        <v/>
      </c>
      <c r="Q68" s="362" t="str">
        <f>IF(M68="","",VLOOKUP(M68,'G-6 Hedgerow Data'!$B$2:$AG$15,2,FALSE))</f>
        <v/>
      </c>
      <c r="R68" s="363" t="str">
        <f>IF(M68="","",VLOOKUP(M68,'G-6 Hedgerow Data'!$B$2:$AG$15,3,FALSE))</f>
        <v/>
      </c>
      <c r="S68" s="114"/>
      <c r="T68" s="363" t="str">
        <f>IFERROR(IF(AND(Q68="V.Low",OR(S68="Good",S68="Moderate")),"Error ▲",VLOOKUP(S68,'G-1 All Habitats'!$Z$2:$AA$9,2,FALSE)),"")</f>
        <v/>
      </c>
      <c r="U68" s="114"/>
      <c r="V68" s="370" t="str">
        <f>IF(U68="","",IF(VLOOKUP(U68,'G-3 Multipliers'!$L$3:$N$6,2,FALSE)=0,"Spatial Data Missing ⚠",VLOOKUP(U68,'G-3 Multipliers'!$L$3:$N$6,2,FALSE)))</f>
        <v/>
      </c>
      <c r="W68" s="368" t="str">
        <f>IF(U68="","",IF(VLOOKUP(U68,'G-3 Multipliers'!$L$3:$N$6,3,FALSE)=0,"Spatial Data Missing ⚠",VLOOKUP(U68,'G-3 Multipliers'!$L$3:$N$6,3,FALSE)))</f>
        <v/>
      </c>
      <c r="X68" s="362" t="str">
        <f>IFERROR(IF(OR(LEFT(O68,5)="Error",LEFT(N68,5)="Error",T68="Error"),"Check Data ⚠",IF(F68&lt;R68,INDEX('G-6 Hedgerow Data'!$S$3:$AE$14,MATCH(C68,'G-6 Hedgerow Data'!$B$3:$B$14,0),MATCH(M68,'G-6 Hedgerow Data'!$S$2:$AE$2,0)),INDEX('G-6 Hedgerow Data'!$K$3:$Q$14,MATCH(M68,'G-6 Hedgerow Data'!$B$3:$B$14,0),MATCH(O68,'G-6 Hedgerow Data'!$K$2:$Q$2,0)))),"")</f>
        <v/>
      </c>
      <c r="Y68" s="159"/>
      <c r="Z68" s="159"/>
      <c r="AA68" s="370" t="str">
        <f t="shared" si="3"/>
        <v/>
      </c>
      <c r="AB68" s="383" t="str">
        <f t="shared" si="4"/>
        <v/>
      </c>
      <c r="AC68" s="384" t="str">
        <f t="shared" si="1"/>
        <v/>
      </c>
      <c r="AD68" s="398" t="str">
        <f>IF(M68="","",VLOOKUP(M68,'G-6 Hedgerow Data'!$B$3:$AG$15,31,FALSE))</f>
        <v/>
      </c>
      <c r="AE68" s="382" t="str">
        <f t="shared" si="5"/>
        <v/>
      </c>
      <c r="AF68" s="382" t="str">
        <f t="shared" si="6"/>
        <v/>
      </c>
      <c r="AG68" s="386" t="str">
        <f>IFERROR(IF(O68="","",VLOOKUP(AD68,'G-3 Multipliers'!$P$3:$Q$6,2,FALSE)),"")</f>
        <v/>
      </c>
      <c r="AH68" s="160"/>
      <c r="AI68" s="363" t="str">
        <f>IF(AH68="","",IF(VLOOKUP(AH68,'G-3 Multipliers'!$S$3:$T$10,2,FALSE)=0,"Spatial Data Missing ⚠",VLOOKUP(AH68,'G-3 Multipliers'!$S$3:$T$10,2,FALSE)))</f>
        <v/>
      </c>
      <c r="AJ68" s="405" t="str">
        <f t="shared" si="7"/>
        <v/>
      </c>
      <c r="AK68" s="376" t="str">
        <f t="shared" si="8"/>
        <v/>
      </c>
      <c r="AL68" s="117"/>
      <c r="AM68" s="118"/>
      <c r="AN68" s="120"/>
      <c r="AO68" s="120"/>
      <c r="AQ68" s="30" t="str">
        <f>IFERROR(INDEX('G-6 Hedgerow Data'!$BJ$3:$BJ$15,MATCH(M68,'G-6 Hedgerow Data'!$B$3:$B$15,0)),"")</f>
        <v/>
      </c>
    </row>
    <row r="69" spans="2:43" ht="15">
      <c r="B69" s="392" t="str">
        <f>'E-1 Off-Site Hedge Baseline'!AN67</f>
        <v/>
      </c>
      <c r="C69" s="382" t="str">
        <f>IF(B69="","",IF(ISNA(VLOOKUP($B69,'E-1 Off-Site Hedge Baseline'!$B$1:$L$257,3,FALSE)),"",(VLOOKUP($B69,'E-1 Off-Site Hedge Baseline'!$B$1:$L$257,3,FALSE))))</f>
        <v/>
      </c>
      <c r="D69" s="382" t="str">
        <f>IF(B69="","",IF(ISNA(VLOOKUP($B69,'E-1 Off-Site Hedge Baseline'!$B$1:$L$258,4,FALSE)),"",(VLOOKUP($B69,'E-1 Off-Site Hedge Baseline'!$B$1:$L$258,4,FALSE))))</f>
        <v/>
      </c>
      <c r="E69" s="382" t="str">
        <f>IF(B69="","",IF(ISNA(VLOOKUP($B69,'E-1 Off-Site Hedge Baseline'!$B$1:$L$257,5,FALSE)),"",(VLOOKUP($B69,'E-1 Off-Site Hedge Baseline'!$B$1:$L$257,5,FALSE))))</f>
        <v/>
      </c>
      <c r="F69" s="382" t="str">
        <f>IF(B69="","",IF(ISNA(VLOOKUP($B69,'E-1 Off-Site Hedge Baseline'!$B$1:$L$257,6,FALSE)),"",(VLOOKUP($B69,'E-1 Off-Site Hedge Baseline'!$B$1:$L$257,6,FALSE))))</f>
        <v/>
      </c>
      <c r="G69" s="382" t="str">
        <f>IF(B69="","",IF(ISNA(VLOOKUP($B69,'E-1 Off-Site Hedge Baseline'!$B$1:$L$257,7,FALSE)),"",(VLOOKUP($B69,'E-1 Off-Site Hedge Baseline'!$B$1:$L$257,7,FALSE))))</f>
        <v/>
      </c>
      <c r="H69" s="382" t="str">
        <f>IF(B69="","",IF(ISNA(VLOOKUP($B69,'E-1 Off-Site Hedge Baseline'!$B$1:$L$257,8,FALSE)),"",(VLOOKUP($B69,'E-1 Off-Site Hedge Baseline'!$B$1:$L$257,8,FALSE))))</f>
        <v/>
      </c>
      <c r="I69" s="382" t="str">
        <f>IF(B69="","",IF(ISNA(VLOOKUP($B69,'E-1 Off-Site Hedge Baseline'!$B$1:$L$257,10,FALSE)),"",(VLOOKUP($B69,'E-1 Off-Site Hedge Baseline'!$B$1:$L$257,10,FALSE))))</f>
        <v/>
      </c>
      <c r="J69" s="382" t="str">
        <f>IF(B69="","",IF(ISNA(VLOOKUP($B69,'E-1 Off-Site Hedge Baseline'!$B$1:$L$257,11,FALSE)),"",(VLOOKUP($B69,'E-1 Off-Site Hedge Baseline'!$B$1:$L$257,11,FALSE))))</f>
        <v/>
      </c>
      <c r="K69" s="382" t="str">
        <f>IF(B69="","",IF(ISNA(VLOOKUP($B69,'E-1 Off-Site Hedge Baseline'!$B$1:$X$257,113,FALSE)),"",(VLOOKUP($B69,'E-1 Off-Site Hedge Baseline'!$B$1:$X$257,13,FALSE))))</f>
        <v/>
      </c>
      <c r="L69" s="370" t="str">
        <f>IF(B69="","",IF(ISNA(VLOOKUP($B69,'E-1 Off-Site Hedge Baseline'!$B$1:$X$257,12,FALSE)),"",(VLOOKUP($B69,'E-1 Off-Site Hedge Baseline'!$B$1:$X$257,12,FALSE))))</f>
        <v/>
      </c>
      <c r="M69" s="316" t="str">
        <f t="shared" si="0"/>
        <v/>
      </c>
      <c r="N69" s="362" t="str">
        <f>IFERROR(IF(B69="","",INDEX('G-6 Hedgerow Data'!$AN$3:$AZ$15,MATCH(C69,'G-6 Hedgerow Data'!$AM$3:$AM$15,0),MATCH(M69,'G-6 Hedgerow Data'!$AN$2:$AZ$2,0))),"")</f>
        <v/>
      </c>
      <c r="O69" s="363" t="str">
        <f t="shared" si="2"/>
        <v/>
      </c>
      <c r="P69" s="368" t="str">
        <f>IF(B69="","",VLOOKUP(B69,'E-1 Off-Site Hedge Baseline'!$B$10:W314,19,FALSE))</f>
        <v/>
      </c>
      <c r="Q69" s="362" t="str">
        <f>IF(M69="","",VLOOKUP(M69,'G-6 Hedgerow Data'!$B$2:$AG$15,2,FALSE))</f>
        <v/>
      </c>
      <c r="R69" s="363" t="str">
        <f>IF(M69="","",VLOOKUP(M69,'G-6 Hedgerow Data'!$B$2:$AG$15,3,FALSE))</f>
        <v/>
      </c>
      <c r="S69" s="114"/>
      <c r="T69" s="363" t="str">
        <f>IFERROR(IF(AND(Q69="V.Low",OR(S69="Good",S69="Moderate")),"Error ▲",VLOOKUP(S69,'G-1 All Habitats'!$Z$2:$AA$9,2,FALSE)),"")</f>
        <v/>
      </c>
      <c r="U69" s="114"/>
      <c r="V69" s="370" t="str">
        <f>IF(U69="","",IF(VLOOKUP(U69,'G-3 Multipliers'!$L$3:$N$6,2,FALSE)=0,"Spatial Data Missing ⚠",VLOOKUP(U69,'G-3 Multipliers'!$L$3:$N$6,2,FALSE)))</f>
        <v/>
      </c>
      <c r="W69" s="368" t="str">
        <f>IF(U69="","",IF(VLOOKUP(U69,'G-3 Multipliers'!$L$3:$N$6,3,FALSE)=0,"Spatial Data Missing ⚠",VLOOKUP(U69,'G-3 Multipliers'!$L$3:$N$6,3,FALSE)))</f>
        <v/>
      </c>
      <c r="X69" s="362" t="str">
        <f>IFERROR(IF(OR(LEFT(O69,5)="Error",LEFT(N69,5)="Error",T69="Error"),"Check Data ⚠",IF(F69&lt;R69,INDEX('G-6 Hedgerow Data'!$S$3:$AE$14,MATCH(C69,'G-6 Hedgerow Data'!$B$3:$B$14,0),MATCH(M69,'G-6 Hedgerow Data'!$S$2:$AE$2,0)),INDEX('G-6 Hedgerow Data'!$K$3:$Q$14,MATCH(M69,'G-6 Hedgerow Data'!$B$3:$B$14,0),MATCH(O69,'G-6 Hedgerow Data'!$K$2:$Q$2,0)))),"")</f>
        <v/>
      </c>
      <c r="Y69" s="159"/>
      <c r="Z69" s="159"/>
      <c r="AA69" s="370" t="str">
        <f t="shared" si="3"/>
        <v/>
      </c>
      <c r="AB69" s="383" t="str">
        <f t="shared" si="4"/>
        <v/>
      </c>
      <c r="AC69" s="384" t="str">
        <f t="shared" si="1"/>
        <v/>
      </c>
      <c r="AD69" s="398" t="str">
        <f>IF(M69="","",VLOOKUP(M69,'G-6 Hedgerow Data'!$B$3:$AG$15,31,FALSE))</f>
        <v/>
      </c>
      <c r="AE69" s="382" t="str">
        <f t="shared" si="5"/>
        <v/>
      </c>
      <c r="AF69" s="382" t="str">
        <f t="shared" si="6"/>
        <v/>
      </c>
      <c r="AG69" s="386" t="str">
        <f>IFERROR(IF(O69="","",VLOOKUP(AD69,'G-3 Multipliers'!$P$3:$Q$6,2,FALSE)),"")</f>
        <v/>
      </c>
      <c r="AH69" s="160"/>
      <c r="AI69" s="363" t="str">
        <f>IF(AH69="","",IF(VLOOKUP(AH69,'G-3 Multipliers'!$S$3:$T$10,2,FALSE)=0,"Spatial Data Missing ⚠",VLOOKUP(AH69,'G-3 Multipliers'!$S$3:$T$10,2,FALSE)))</f>
        <v/>
      </c>
      <c r="AJ69" s="405" t="str">
        <f t="shared" si="7"/>
        <v/>
      </c>
      <c r="AK69" s="376" t="str">
        <f t="shared" si="8"/>
        <v/>
      </c>
      <c r="AL69" s="117"/>
      <c r="AM69" s="118"/>
      <c r="AN69" s="120"/>
      <c r="AO69" s="120"/>
      <c r="AQ69" s="30" t="str">
        <f>IFERROR(INDEX('G-6 Hedgerow Data'!$BJ$3:$BJ$15,MATCH(M69,'G-6 Hedgerow Data'!$B$3:$B$15,0)),"")</f>
        <v/>
      </c>
    </row>
    <row r="70" spans="2:43" ht="15">
      <c r="B70" s="392" t="str">
        <f>'E-1 Off-Site Hedge Baseline'!AN68</f>
        <v/>
      </c>
      <c r="C70" s="382" t="str">
        <f>IF(B70="","",IF(ISNA(VLOOKUP($B70,'E-1 Off-Site Hedge Baseline'!$B$1:$L$257,3,FALSE)),"",(VLOOKUP($B70,'E-1 Off-Site Hedge Baseline'!$B$1:$L$257,3,FALSE))))</f>
        <v/>
      </c>
      <c r="D70" s="382" t="str">
        <f>IF(B70="","",IF(ISNA(VLOOKUP($B70,'E-1 Off-Site Hedge Baseline'!$B$1:$L$258,4,FALSE)),"",(VLOOKUP($B70,'E-1 Off-Site Hedge Baseline'!$B$1:$L$258,4,FALSE))))</f>
        <v/>
      </c>
      <c r="E70" s="382" t="str">
        <f>IF(B70="","",IF(ISNA(VLOOKUP($B70,'E-1 Off-Site Hedge Baseline'!$B$1:$L$257,5,FALSE)),"",(VLOOKUP($B70,'E-1 Off-Site Hedge Baseline'!$B$1:$L$257,5,FALSE))))</f>
        <v/>
      </c>
      <c r="F70" s="382" t="str">
        <f>IF(B70="","",IF(ISNA(VLOOKUP($B70,'E-1 Off-Site Hedge Baseline'!$B$1:$L$257,6,FALSE)),"",(VLOOKUP($B70,'E-1 Off-Site Hedge Baseline'!$B$1:$L$257,6,FALSE))))</f>
        <v/>
      </c>
      <c r="G70" s="382" t="str">
        <f>IF(B70="","",IF(ISNA(VLOOKUP($B70,'E-1 Off-Site Hedge Baseline'!$B$1:$L$257,7,FALSE)),"",(VLOOKUP($B70,'E-1 Off-Site Hedge Baseline'!$B$1:$L$257,7,FALSE))))</f>
        <v/>
      </c>
      <c r="H70" s="382" t="str">
        <f>IF(B70="","",IF(ISNA(VLOOKUP($B70,'E-1 Off-Site Hedge Baseline'!$B$1:$L$257,8,FALSE)),"",(VLOOKUP($B70,'E-1 Off-Site Hedge Baseline'!$B$1:$L$257,8,FALSE))))</f>
        <v/>
      </c>
      <c r="I70" s="382" t="str">
        <f>IF(B70="","",IF(ISNA(VLOOKUP($B70,'E-1 Off-Site Hedge Baseline'!$B$1:$L$257,10,FALSE)),"",(VLOOKUP($B70,'E-1 Off-Site Hedge Baseline'!$B$1:$L$257,10,FALSE))))</f>
        <v/>
      </c>
      <c r="J70" s="382" t="str">
        <f>IF(B70="","",IF(ISNA(VLOOKUP($B70,'E-1 Off-Site Hedge Baseline'!$B$1:$L$257,11,FALSE)),"",(VLOOKUP($B70,'E-1 Off-Site Hedge Baseline'!$B$1:$L$257,11,FALSE))))</f>
        <v/>
      </c>
      <c r="K70" s="382" t="str">
        <f>IF(B70="","",IF(ISNA(VLOOKUP($B70,'E-1 Off-Site Hedge Baseline'!$B$1:$X$257,113,FALSE)),"",(VLOOKUP($B70,'E-1 Off-Site Hedge Baseline'!$B$1:$X$257,13,FALSE))))</f>
        <v/>
      </c>
      <c r="L70" s="370" t="str">
        <f>IF(B70="","",IF(ISNA(VLOOKUP($B70,'E-1 Off-Site Hedge Baseline'!$B$1:$X$257,12,FALSE)),"",(VLOOKUP($B70,'E-1 Off-Site Hedge Baseline'!$B$1:$X$257,12,FALSE))))</f>
        <v/>
      </c>
      <c r="M70" s="316" t="str">
        <f t="shared" si="0"/>
        <v/>
      </c>
      <c r="N70" s="362" t="str">
        <f>IFERROR(IF(B70="","",INDEX('G-6 Hedgerow Data'!$AN$3:$AZ$15,MATCH(C70,'G-6 Hedgerow Data'!$AM$3:$AM$15,0),MATCH(M70,'G-6 Hedgerow Data'!$AN$2:$AZ$2,0))),"")</f>
        <v/>
      </c>
      <c r="O70" s="363" t="str">
        <f t="shared" si="2"/>
        <v/>
      </c>
      <c r="P70" s="368" t="str">
        <f>IF(B70="","",VLOOKUP(B70,'E-1 Off-Site Hedge Baseline'!$B$10:W315,19,FALSE))</f>
        <v/>
      </c>
      <c r="Q70" s="362" t="str">
        <f>IF(M70="","",VLOOKUP(M70,'G-6 Hedgerow Data'!$B$2:$AG$15,2,FALSE))</f>
        <v/>
      </c>
      <c r="R70" s="363" t="str">
        <f>IF(M70="","",VLOOKUP(M70,'G-6 Hedgerow Data'!$B$2:$AG$15,3,FALSE))</f>
        <v/>
      </c>
      <c r="S70" s="114"/>
      <c r="T70" s="363" t="str">
        <f>IFERROR(IF(AND(Q70="V.Low",OR(S70="Good",S70="Moderate")),"Error ▲",VLOOKUP(S70,'G-1 All Habitats'!$Z$2:$AA$9,2,FALSE)),"")</f>
        <v/>
      </c>
      <c r="U70" s="114"/>
      <c r="V70" s="370" t="str">
        <f>IF(U70="","",IF(VLOOKUP(U70,'G-3 Multipliers'!$L$3:$N$6,2,FALSE)=0,"Spatial Data Missing ⚠",VLOOKUP(U70,'G-3 Multipliers'!$L$3:$N$6,2,FALSE)))</f>
        <v/>
      </c>
      <c r="W70" s="368" t="str">
        <f>IF(U70="","",IF(VLOOKUP(U70,'G-3 Multipliers'!$L$3:$N$6,3,FALSE)=0,"Spatial Data Missing ⚠",VLOOKUP(U70,'G-3 Multipliers'!$L$3:$N$6,3,FALSE)))</f>
        <v/>
      </c>
      <c r="X70" s="362" t="str">
        <f>IFERROR(IF(OR(LEFT(O70,5)="Error",LEFT(N70,5)="Error",T70="Error"),"Check Data ⚠",IF(F70&lt;R70,INDEX('G-6 Hedgerow Data'!$S$3:$AE$14,MATCH(C70,'G-6 Hedgerow Data'!$B$3:$B$14,0),MATCH(M70,'G-6 Hedgerow Data'!$S$2:$AE$2,0)),INDEX('G-6 Hedgerow Data'!$K$3:$Q$14,MATCH(M70,'G-6 Hedgerow Data'!$B$3:$B$14,0),MATCH(O70,'G-6 Hedgerow Data'!$K$2:$Q$2,0)))),"")</f>
        <v/>
      </c>
      <c r="Y70" s="159"/>
      <c r="Z70" s="159"/>
      <c r="AA70" s="370" t="str">
        <f t="shared" si="3"/>
        <v/>
      </c>
      <c r="AB70" s="383" t="str">
        <f t="shared" si="4"/>
        <v/>
      </c>
      <c r="AC70" s="384" t="str">
        <f t="shared" si="1"/>
        <v/>
      </c>
      <c r="AD70" s="398" t="str">
        <f>IF(M70="","",VLOOKUP(M70,'G-6 Hedgerow Data'!$B$3:$AG$15,31,FALSE))</f>
        <v/>
      </c>
      <c r="AE70" s="382" t="str">
        <f t="shared" si="5"/>
        <v/>
      </c>
      <c r="AF70" s="382" t="str">
        <f t="shared" si="6"/>
        <v/>
      </c>
      <c r="AG70" s="386" t="str">
        <f>IFERROR(IF(O70="","",VLOOKUP(AD70,'G-3 Multipliers'!$P$3:$Q$6,2,FALSE)),"")</f>
        <v/>
      </c>
      <c r="AH70" s="160"/>
      <c r="AI70" s="363" t="str">
        <f>IF(AH70="","",IF(VLOOKUP(AH70,'G-3 Multipliers'!$S$3:$T$10,2,FALSE)=0,"Spatial Data Missing ⚠",VLOOKUP(AH70,'G-3 Multipliers'!$S$3:$T$10,2,FALSE)))</f>
        <v/>
      </c>
      <c r="AJ70" s="405" t="str">
        <f t="shared" si="7"/>
        <v/>
      </c>
      <c r="AK70" s="376" t="str">
        <f t="shared" si="8"/>
        <v/>
      </c>
      <c r="AL70" s="117"/>
      <c r="AM70" s="118"/>
      <c r="AN70" s="120"/>
      <c r="AO70" s="120"/>
      <c r="AQ70" s="30" t="str">
        <f>IFERROR(INDEX('G-6 Hedgerow Data'!$BJ$3:$BJ$15,MATCH(M70,'G-6 Hedgerow Data'!$B$3:$B$15,0)),"")</f>
        <v/>
      </c>
    </row>
    <row r="71" spans="2:43" ht="15">
      <c r="B71" s="392" t="str">
        <f>'E-1 Off-Site Hedge Baseline'!AN69</f>
        <v/>
      </c>
      <c r="C71" s="382" t="str">
        <f>IF(B71="","",IF(ISNA(VLOOKUP($B71,'E-1 Off-Site Hedge Baseline'!$B$1:$L$257,3,FALSE)),"",(VLOOKUP($B71,'E-1 Off-Site Hedge Baseline'!$B$1:$L$257,3,FALSE))))</f>
        <v/>
      </c>
      <c r="D71" s="382" t="str">
        <f>IF(B71="","",IF(ISNA(VLOOKUP($B71,'E-1 Off-Site Hedge Baseline'!$B$1:$L$258,4,FALSE)),"",(VLOOKUP($B71,'E-1 Off-Site Hedge Baseline'!$B$1:$L$258,4,FALSE))))</f>
        <v/>
      </c>
      <c r="E71" s="382" t="str">
        <f>IF(B71="","",IF(ISNA(VLOOKUP($B71,'E-1 Off-Site Hedge Baseline'!$B$1:$L$257,5,FALSE)),"",(VLOOKUP($B71,'E-1 Off-Site Hedge Baseline'!$B$1:$L$257,5,FALSE))))</f>
        <v/>
      </c>
      <c r="F71" s="382" t="str">
        <f>IF(B71="","",IF(ISNA(VLOOKUP($B71,'E-1 Off-Site Hedge Baseline'!$B$1:$L$257,6,FALSE)),"",(VLOOKUP($B71,'E-1 Off-Site Hedge Baseline'!$B$1:$L$257,6,FALSE))))</f>
        <v/>
      </c>
      <c r="G71" s="382" t="str">
        <f>IF(B71="","",IF(ISNA(VLOOKUP($B71,'E-1 Off-Site Hedge Baseline'!$B$1:$L$257,7,FALSE)),"",(VLOOKUP($B71,'E-1 Off-Site Hedge Baseline'!$B$1:$L$257,7,FALSE))))</f>
        <v/>
      </c>
      <c r="H71" s="382" t="str">
        <f>IF(B71="","",IF(ISNA(VLOOKUP($B71,'E-1 Off-Site Hedge Baseline'!$B$1:$L$257,8,FALSE)),"",(VLOOKUP($B71,'E-1 Off-Site Hedge Baseline'!$B$1:$L$257,8,FALSE))))</f>
        <v/>
      </c>
      <c r="I71" s="382" t="str">
        <f>IF(B71="","",IF(ISNA(VLOOKUP($B71,'E-1 Off-Site Hedge Baseline'!$B$1:$L$257,10,FALSE)),"",(VLOOKUP($B71,'E-1 Off-Site Hedge Baseline'!$B$1:$L$257,10,FALSE))))</f>
        <v/>
      </c>
      <c r="J71" s="382" t="str">
        <f>IF(B71="","",IF(ISNA(VLOOKUP($B71,'E-1 Off-Site Hedge Baseline'!$B$1:$L$257,11,FALSE)),"",(VLOOKUP($B71,'E-1 Off-Site Hedge Baseline'!$B$1:$L$257,11,FALSE))))</f>
        <v/>
      </c>
      <c r="K71" s="382" t="str">
        <f>IF(B71="","",IF(ISNA(VLOOKUP($B71,'E-1 Off-Site Hedge Baseline'!$B$1:$X$257,113,FALSE)),"",(VLOOKUP($B71,'E-1 Off-Site Hedge Baseline'!$B$1:$X$257,13,FALSE))))</f>
        <v/>
      </c>
      <c r="L71" s="370" t="str">
        <f>IF(B71="","",IF(ISNA(VLOOKUP($B71,'E-1 Off-Site Hedge Baseline'!$B$1:$X$257,12,FALSE)),"",(VLOOKUP($B71,'E-1 Off-Site Hedge Baseline'!$B$1:$X$257,12,FALSE))))</f>
        <v/>
      </c>
      <c r="M71" s="316" t="str">
        <f t="shared" si="0"/>
        <v/>
      </c>
      <c r="N71" s="362" t="str">
        <f>IFERROR(IF(B71="","",INDEX('G-6 Hedgerow Data'!$AN$3:$AZ$15,MATCH(C71,'G-6 Hedgerow Data'!$AM$3:$AM$15,0),MATCH(M71,'G-6 Hedgerow Data'!$AN$2:$AZ$2,0))),"")</f>
        <v/>
      </c>
      <c r="O71" s="363" t="str">
        <f t="shared" si="2"/>
        <v/>
      </c>
      <c r="P71" s="368" t="str">
        <f>IF(B71="","",VLOOKUP(B71,'E-1 Off-Site Hedge Baseline'!$B$10:W316,19,FALSE))</f>
        <v/>
      </c>
      <c r="Q71" s="362" t="str">
        <f>IF(M71="","",VLOOKUP(M71,'G-6 Hedgerow Data'!$B$2:$AG$15,2,FALSE))</f>
        <v/>
      </c>
      <c r="R71" s="363" t="str">
        <f>IF(M71="","",VLOOKUP(M71,'G-6 Hedgerow Data'!$B$2:$AG$15,3,FALSE))</f>
        <v/>
      </c>
      <c r="S71" s="114"/>
      <c r="T71" s="363" t="str">
        <f>IFERROR(IF(AND(Q71="V.Low",OR(S71="Good",S71="Moderate")),"Error ▲",VLOOKUP(S71,'G-1 All Habitats'!$Z$2:$AA$9,2,FALSE)),"")</f>
        <v/>
      </c>
      <c r="U71" s="114"/>
      <c r="V71" s="370" t="str">
        <f>IF(U71="","",IF(VLOOKUP(U71,'G-3 Multipliers'!$L$3:$N$6,2,FALSE)=0,"Spatial Data Missing ⚠",VLOOKUP(U71,'G-3 Multipliers'!$L$3:$N$6,2,FALSE)))</f>
        <v/>
      </c>
      <c r="W71" s="368" t="str">
        <f>IF(U71="","",IF(VLOOKUP(U71,'G-3 Multipliers'!$L$3:$N$6,3,FALSE)=0,"Spatial Data Missing ⚠",VLOOKUP(U71,'G-3 Multipliers'!$L$3:$N$6,3,FALSE)))</f>
        <v/>
      </c>
      <c r="X71" s="362" t="str">
        <f>IFERROR(IF(OR(LEFT(O71,5)="Error",LEFT(N71,5)="Error",T71="Error"),"Check Data ⚠",IF(F71&lt;R71,INDEX('G-6 Hedgerow Data'!$S$3:$AE$14,MATCH(C71,'G-6 Hedgerow Data'!$B$3:$B$14,0),MATCH(M71,'G-6 Hedgerow Data'!$S$2:$AE$2,0)),INDEX('G-6 Hedgerow Data'!$K$3:$Q$14,MATCH(M71,'G-6 Hedgerow Data'!$B$3:$B$14,0),MATCH(O71,'G-6 Hedgerow Data'!$K$2:$Q$2,0)))),"")</f>
        <v/>
      </c>
      <c r="Y71" s="159"/>
      <c r="Z71" s="159"/>
      <c r="AA71" s="370" t="str">
        <f t="shared" si="3"/>
        <v/>
      </c>
      <c r="AB71" s="383" t="str">
        <f t="shared" si="4"/>
        <v/>
      </c>
      <c r="AC71" s="384" t="str">
        <f t="shared" si="1"/>
        <v/>
      </c>
      <c r="AD71" s="398" t="str">
        <f>IF(M71="","",VLOOKUP(M71,'G-6 Hedgerow Data'!$B$3:$AG$15,31,FALSE))</f>
        <v/>
      </c>
      <c r="AE71" s="382" t="str">
        <f t="shared" si="5"/>
        <v/>
      </c>
      <c r="AF71" s="382" t="str">
        <f t="shared" si="6"/>
        <v/>
      </c>
      <c r="AG71" s="386" t="str">
        <f>IFERROR(IF(O71="","",VLOOKUP(AD71,'G-3 Multipliers'!$P$3:$Q$6,2,FALSE)),"")</f>
        <v/>
      </c>
      <c r="AH71" s="160"/>
      <c r="AI71" s="363" t="str">
        <f>IF(AH71="","",IF(VLOOKUP(AH71,'G-3 Multipliers'!$S$3:$T$10,2,FALSE)=0,"Spatial Data Missing ⚠",VLOOKUP(AH71,'G-3 Multipliers'!$S$3:$T$10,2,FALSE)))</f>
        <v/>
      </c>
      <c r="AJ71" s="405" t="str">
        <f t="shared" si="7"/>
        <v/>
      </c>
      <c r="AK71" s="376" t="str">
        <f t="shared" si="8"/>
        <v/>
      </c>
      <c r="AL71" s="117"/>
      <c r="AM71" s="118"/>
      <c r="AN71" s="120"/>
      <c r="AO71" s="120"/>
      <c r="AQ71" s="30" t="str">
        <f>IFERROR(INDEX('G-6 Hedgerow Data'!$BJ$3:$BJ$15,MATCH(M71,'G-6 Hedgerow Data'!$B$3:$B$15,0)),"")</f>
        <v/>
      </c>
    </row>
    <row r="72" spans="2:43" ht="15">
      <c r="B72" s="392" t="str">
        <f>'E-1 Off-Site Hedge Baseline'!AN70</f>
        <v/>
      </c>
      <c r="C72" s="382" t="str">
        <f>IF(B72="","",IF(ISNA(VLOOKUP($B72,'E-1 Off-Site Hedge Baseline'!$B$1:$L$257,3,FALSE)),"",(VLOOKUP($B72,'E-1 Off-Site Hedge Baseline'!$B$1:$L$257,3,FALSE))))</f>
        <v/>
      </c>
      <c r="D72" s="382" t="str">
        <f>IF(B72="","",IF(ISNA(VLOOKUP($B72,'E-1 Off-Site Hedge Baseline'!$B$1:$L$258,4,FALSE)),"",(VLOOKUP($B72,'E-1 Off-Site Hedge Baseline'!$B$1:$L$258,4,FALSE))))</f>
        <v/>
      </c>
      <c r="E72" s="382" t="str">
        <f>IF(B72="","",IF(ISNA(VLOOKUP($B72,'E-1 Off-Site Hedge Baseline'!$B$1:$L$257,5,FALSE)),"",(VLOOKUP($B72,'E-1 Off-Site Hedge Baseline'!$B$1:$L$257,5,FALSE))))</f>
        <v/>
      </c>
      <c r="F72" s="382" t="str">
        <f>IF(B72="","",IF(ISNA(VLOOKUP($B72,'E-1 Off-Site Hedge Baseline'!$B$1:$L$257,6,FALSE)),"",(VLOOKUP($B72,'E-1 Off-Site Hedge Baseline'!$B$1:$L$257,6,FALSE))))</f>
        <v/>
      </c>
      <c r="G72" s="382" t="str">
        <f>IF(B72="","",IF(ISNA(VLOOKUP($B72,'E-1 Off-Site Hedge Baseline'!$B$1:$L$257,7,FALSE)),"",(VLOOKUP($B72,'E-1 Off-Site Hedge Baseline'!$B$1:$L$257,7,FALSE))))</f>
        <v/>
      </c>
      <c r="H72" s="382" t="str">
        <f>IF(B72="","",IF(ISNA(VLOOKUP($B72,'E-1 Off-Site Hedge Baseline'!$B$1:$L$257,8,FALSE)),"",(VLOOKUP($B72,'E-1 Off-Site Hedge Baseline'!$B$1:$L$257,8,FALSE))))</f>
        <v/>
      </c>
      <c r="I72" s="382" t="str">
        <f>IF(B72="","",IF(ISNA(VLOOKUP($B72,'E-1 Off-Site Hedge Baseline'!$B$1:$L$257,10,FALSE)),"",(VLOOKUP($B72,'E-1 Off-Site Hedge Baseline'!$B$1:$L$257,10,FALSE))))</f>
        <v/>
      </c>
      <c r="J72" s="382" t="str">
        <f>IF(B72="","",IF(ISNA(VLOOKUP($B72,'E-1 Off-Site Hedge Baseline'!$B$1:$L$257,11,FALSE)),"",(VLOOKUP($B72,'E-1 Off-Site Hedge Baseline'!$B$1:$L$257,11,FALSE))))</f>
        <v/>
      </c>
      <c r="K72" s="382" t="str">
        <f>IF(B72="","",IF(ISNA(VLOOKUP($B72,'E-1 Off-Site Hedge Baseline'!$B$1:$X$257,113,FALSE)),"",(VLOOKUP($B72,'E-1 Off-Site Hedge Baseline'!$B$1:$X$257,13,FALSE))))</f>
        <v/>
      </c>
      <c r="L72" s="370" t="str">
        <f>IF(B72="","",IF(ISNA(VLOOKUP($B72,'E-1 Off-Site Hedge Baseline'!$B$1:$X$257,12,FALSE)),"",(VLOOKUP($B72,'E-1 Off-Site Hedge Baseline'!$B$1:$X$257,12,FALSE))))</f>
        <v/>
      </c>
      <c r="M72" s="316" t="str">
        <f t="shared" si="0"/>
        <v/>
      </c>
      <c r="N72" s="362" t="str">
        <f>IFERROR(IF(B72="","",INDEX('G-6 Hedgerow Data'!$AN$3:$AZ$15,MATCH(C72,'G-6 Hedgerow Data'!$AM$3:$AM$15,0),MATCH(M72,'G-6 Hedgerow Data'!$AN$2:$AZ$2,0))),"")</f>
        <v/>
      </c>
      <c r="O72" s="363" t="str">
        <f t="shared" si="2"/>
        <v/>
      </c>
      <c r="P72" s="368" t="str">
        <f>IF(B72="","",VLOOKUP(B72,'E-1 Off-Site Hedge Baseline'!$B$10:W317,19,FALSE))</f>
        <v/>
      </c>
      <c r="Q72" s="362" t="str">
        <f>IF(M72="","",VLOOKUP(M72,'G-6 Hedgerow Data'!$B$2:$AG$15,2,FALSE))</f>
        <v/>
      </c>
      <c r="R72" s="363" t="str">
        <f>IF(M72="","",VLOOKUP(M72,'G-6 Hedgerow Data'!$B$2:$AG$15,3,FALSE))</f>
        <v/>
      </c>
      <c r="S72" s="114"/>
      <c r="T72" s="363" t="str">
        <f>IFERROR(IF(AND(Q72="V.Low",OR(S72="Good",S72="Moderate")),"Error ▲",VLOOKUP(S72,'G-1 All Habitats'!$Z$2:$AA$9,2,FALSE)),"")</f>
        <v/>
      </c>
      <c r="U72" s="114"/>
      <c r="V72" s="370" t="str">
        <f>IF(U72="","",IF(VLOOKUP(U72,'G-3 Multipliers'!$L$3:$N$6,2,FALSE)=0,"Spatial Data Missing ⚠",VLOOKUP(U72,'G-3 Multipliers'!$L$3:$N$6,2,FALSE)))</f>
        <v/>
      </c>
      <c r="W72" s="368" t="str">
        <f>IF(U72="","",IF(VLOOKUP(U72,'G-3 Multipliers'!$L$3:$N$6,3,FALSE)=0,"Spatial Data Missing ⚠",VLOOKUP(U72,'G-3 Multipliers'!$L$3:$N$6,3,FALSE)))</f>
        <v/>
      </c>
      <c r="X72" s="362" t="str">
        <f>IFERROR(IF(OR(LEFT(O72,5)="Error",LEFT(N72,5)="Error",T72="Error"),"Check Data ⚠",IF(F72&lt;R72,INDEX('G-6 Hedgerow Data'!$S$3:$AE$14,MATCH(C72,'G-6 Hedgerow Data'!$B$3:$B$14,0),MATCH(M72,'G-6 Hedgerow Data'!$S$2:$AE$2,0)),INDEX('G-6 Hedgerow Data'!$K$3:$Q$14,MATCH(M72,'G-6 Hedgerow Data'!$B$3:$B$14,0),MATCH(O72,'G-6 Hedgerow Data'!$K$2:$Q$2,0)))),"")</f>
        <v/>
      </c>
      <c r="Y72" s="159"/>
      <c r="Z72" s="159"/>
      <c r="AA72" s="370" t="str">
        <f t="shared" si="3"/>
        <v/>
      </c>
      <c r="AB72" s="383" t="str">
        <f t="shared" si="4"/>
        <v/>
      </c>
      <c r="AC72" s="384" t="str">
        <f t="shared" si="1"/>
        <v/>
      </c>
      <c r="AD72" s="398" t="str">
        <f>IF(M72="","",VLOOKUP(M72,'G-6 Hedgerow Data'!$B$3:$AG$15,31,FALSE))</f>
        <v/>
      </c>
      <c r="AE72" s="382" t="str">
        <f t="shared" si="5"/>
        <v/>
      </c>
      <c r="AF72" s="382" t="str">
        <f t="shared" si="6"/>
        <v/>
      </c>
      <c r="AG72" s="386" t="str">
        <f>IFERROR(IF(O72="","",VLOOKUP(AD72,'G-3 Multipliers'!$P$3:$Q$6,2,FALSE)),"")</f>
        <v/>
      </c>
      <c r="AH72" s="160"/>
      <c r="AI72" s="363" t="str">
        <f>IF(AH72="","",IF(VLOOKUP(AH72,'G-3 Multipliers'!$S$3:$T$10,2,FALSE)=0,"Spatial Data Missing ⚠",VLOOKUP(AH72,'G-3 Multipliers'!$S$3:$T$10,2,FALSE)))</f>
        <v/>
      </c>
      <c r="AJ72" s="405" t="str">
        <f t="shared" si="7"/>
        <v/>
      </c>
      <c r="AK72" s="376" t="str">
        <f t="shared" si="8"/>
        <v/>
      </c>
      <c r="AL72" s="117"/>
      <c r="AM72" s="118"/>
      <c r="AN72" s="120"/>
      <c r="AO72" s="120"/>
      <c r="AQ72" s="30" t="str">
        <f>IFERROR(INDEX('G-6 Hedgerow Data'!$BJ$3:$BJ$15,MATCH(M72,'G-6 Hedgerow Data'!$B$3:$B$15,0)),"")</f>
        <v/>
      </c>
    </row>
    <row r="73" spans="2:43" ht="15">
      <c r="B73" s="392" t="str">
        <f>'E-1 Off-Site Hedge Baseline'!AN71</f>
        <v/>
      </c>
      <c r="C73" s="382" t="str">
        <f>IF(B73="","",IF(ISNA(VLOOKUP($B73,'E-1 Off-Site Hedge Baseline'!$B$1:$L$257,3,FALSE)),"",(VLOOKUP($B73,'E-1 Off-Site Hedge Baseline'!$B$1:$L$257,3,FALSE))))</f>
        <v/>
      </c>
      <c r="D73" s="382" t="str">
        <f>IF(B73="","",IF(ISNA(VLOOKUP($B73,'E-1 Off-Site Hedge Baseline'!$B$1:$L$258,4,FALSE)),"",(VLOOKUP($B73,'E-1 Off-Site Hedge Baseline'!$B$1:$L$258,4,FALSE))))</f>
        <v/>
      </c>
      <c r="E73" s="382" t="str">
        <f>IF(B73="","",IF(ISNA(VLOOKUP($B73,'E-1 Off-Site Hedge Baseline'!$B$1:$L$257,5,FALSE)),"",(VLOOKUP($B73,'E-1 Off-Site Hedge Baseline'!$B$1:$L$257,5,FALSE))))</f>
        <v/>
      </c>
      <c r="F73" s="382" t="str">
        <f>IF(B73="","",IF(ISNA(VLOOKUP($B73,'E-1 Off-Site Hedge Baseline'!$B$1:$L$257,6,FALSE)),"",(VLOOKUP($B73,'E-1 Off-Site Hedge Baseline'!$B$1:$L$257,6,FALSE))))</f>
        <v/>
      </c>
      <c r="G73" s="382" t="str">
        <f>IF(B73="","",IF(ISNA(VLOOKUP($B73,'E-1 Off-Site Hedge Baseline'!$B$1:$L$257,7,FALSE)),"",(VLOOKUP($B73,'E-1 Off-Site Hedge Baseline'!$B$1:$L$257,7,FALSE))))</f>
        <v/>
      </c>
      <c r="H73" s="382" t="str">
        <f>IF(B73="","",IF(ISNA(VLOOKUP($B73,'E-1 Off-Site Hedge Baseline'!$B$1:$L$257,8,FALSE)),"",(VLOOKUP($B73,'E-1 Off-Site Hedge Baseline'!$B$1:$L$257,8,FALSE))))</f>
        <v/>
      </c>
      <c r="I73" s="382" t="str">
        <f>IF(B73="","",IF(ISNA(VLOOKUP($B73,'E-1 Off-Site Hedge Baseline'!$B$1:$L$257,10,FALSE)),"",(VLOOKUP($B73,'E-1 Off-Site Hedge Baseline'!$B$1:$L$257,10,FALSE))))</f>
        <v/>
      </c>
      <c r="J73" s="382" t="str">
        <f>IF(B73="","",IF(ISNA(VLOOKUP($B73,'E-1 Off-Site Hedge Baseline'!$B$1:$L$257,11,FALSE)),"",(VLOOKUP($B73,'E-1 Off-Site Hedge Baseline'!$B$1:$L$257,11,FALSE))))</f>
        <v/>
      </c>
      <c r="K73" s="382" t="str">
        <f>IF(B73="","",IF(ISNA(VLOOKUP($B73,'E-1 Off-Site Hedge Baseline'!$B$1:$X$257,113,FALSE)),"",(VLOOKUP($B73,'E-1 Off-Site Hedge Baseline'!$B$1:$X$257,13,FALSE))))</f>
        <v/>
      </c>
      <c r="L73" s="370" t="str">
        <f>IF(B73="","",IF(ISNA(VLOOKUP($B73,'E-1 Off-Site Hedge Baseline'!$B$1:$X$257,12,FALSE)),"",(VLOOKUP($B73,'E-1 Off-Site Hedge Baseline'!$B$1:$X$257,12,FALSE))))</f>
        <v/>
      </c>
      <c r="M73" s="316" t="str">
        <f t="shared" si="0"/>
        <v/>
      </c>
      <c r="N73" s="362" t="str">
        <f>IFERROR(IF(B73="","",INDEX('G-6 Hedgerow Data'!$AN$3:$AZ$15,MATCH(C73,'G-6 Hedgerow Data'!$AM$3:$AM$15,0),MATCH(M73,'G-6 Hedgerow Data'!$AN$2:$AZ$2,0))),"")</f>
        <v/>
      </c>
      <c r="O73" s="363" t="str">
        <f t="shared" si="2"/>
        <v/>
      </c>
      <c r="P73" s="368" t="str">
        <f>IF(B73="","",VLOOKUP(B73,'E-1 Off-Site Hedge Baseline'!$B$10:W318,19,FALSE))</f>
        <v/>
      </c>
      <c r="Q73" s="362" t="str">
        <f>IF(M73="","",VLOOKUP(M73,'G-6 Hedgerow Data'!$B$2:$AG$15,2,FALSE))</f>
        <v/>
      </c>
      <c r="R73" s="363" t="str">
        <f>IF(M73="","",VLOOKUP(M73,'G-6 Hedgerow Data'!$B$2:$AG$15,3,FALSE))</f>
        <v/>
      </c>
      <c r="S73" s="114"/>
      <c r="T73" s="363" t="str">
        <f>IFERROR(IF(AND(Q73="V.Low",OR(S73="Good",S73="Moderate")),"Error ▲",VLOOKUP(S73,'G-1 All Habitats'!$Z$2:$AA$9,2,FALSE)),"")</f>
        <v/>
      </c>
      <c r="U73" s="114"/>
      <c r="V73" s="370" t="str">
        <f>IF(U73="","",IF(VLOOKUP(U73,'G-3 Multipliers'!$L$3:$N$6,2,FALSE)=0,"Spatial Data Missing ⚠",VLOOKUP(U73,'G-3 Multipliers'!$L$3:$N$6,2,FALSE)))</f>
        <v/>
      </c>
      <c r="W73" s="368" t="str">
        <f>IF(U73="","",IF(VLOOKUP(U73,'G-3 Multipliers'!$L$3:$N$6,3,FALSE)=0,"Spatial Data Missing ⚠",VLOOKUP(U73,'G-3 Multipliers'!$L$3:$N$6,3,FALSE)))</f>
        <v/>
      </c>
      <c r="X73" s="362" t="str">
        <f>IFERROR(IF(OR(LEFT(O73,5)="Error",LEFT(N73,5)="Error",T73="Error"),"Check Data ⚠",IF(F73&lt;R73,INDEX('G-6 Hedgerow Data'!$S$3:$AE$14,MATCH(C73,'G-6 Hedgerow Data'!$B$3:$B$14,0),MATCH(M73,'G-6 Hedgerow Data'!$S$2:$AE$2,0)),INDEX('G-6 Hedgerow Data'!$K$3:$Q$14,MATCH(M73,'G-6 Hedgerow Data'!$B$3:$B$14,0),MATCH(O73,'G-6 Hedgerow Data'!$K$2:$Q$2,0)))),"")</f>
        <v/>
      </c>
      <c r="Y73" s="159"/>
      <c r="Z73" s="159"/>
      <c r="AA73" s="370" t="str">
        <f t="shared" si="3"/>
        <v/>
      </c>
      <c r="AB73" s="383" t="str">
        <f t="shared" si="4"/>
        <v/>
      </c>
      <c r="AC73" s="384" t="str">
        <f t="shared" si="1"/>
        <v/>
      </c>
      <c r="AD73" s="398" t="str">
        <f>IF(M73="","",VLOOKUP(M73,'G-6 Hedgerow Data'!$B$3:$AG$15,31,FALSE))</f>
        <v/>
      </c>
      <c r="AE73" s="382" t="str">
        <f t="shared" si="5"/>
        <v/>
      </c>
      <c r="AF73" s="382" t="str">
        <f t="shared" si="6"/>
        <v/>
      </c>
      <c r="AG73" s="386" t="str">
        <f>IFERROR(IF(O73="","",VLOOKUP(AD73,'G-3 Multipliers'!$P$3:$Q$6,2,FALSE)),"")</f>
        <v/>
      </c>
      <c r="AH73" s="160"/>
      <c r="AI73" s="363" t="str">
        <f>IF(AH73="","",IF(VLOOKUP(AH73,'G-3 Multipliers'!$S$3:$T$10,2,FALSE)=0,"Spatial Data Missing ⚠",VLOOKUP(AH73,'G-3 Multipliers'!$S$3:$T$10,2,FALSE)))</f>
        <v/>
      </c>
      <c r="AJ73" s="405" t="str">
        <f t="shared" si="7"/>
        <v/>
      </c>
      <c r="AK73" s="376" t="str">
        <f t="shared" si="8"/>
        <v/>
      </c>
      <c r="AL73" s="117"/>
      <c r="AM73" s="118"/>
      <c r="AN73" s="120"/>
      <c r="AO73" s="120"/>
      <c r="AQ73" s="30" t="str">
        <f>IFERROR(INDEX('G-6 Hedgerow Data'!$BJ$3:$BJ$15,MATCH(M73,'G-6 Hedgerow Data'!$B$3:$B$15,0)),"")</f>
        <v/>
      </c>
    </row>
    <row r="74" spans="2:43" ht="15">
      <c r="B74" s="392" t="str">
        <f>'E-1 Off-Site Hedge Baseline'!AN72</f>
        <v/>
      </c>
      <c r="C74" s="382" t="str">
        <f>IF(B74="","",IF(ISNA(VLOOKUP($B74,'E-1 Off-Site Hedge Baseline'!$B$1:$L$257,3,FALSE)),"",(VLOOKUP($B74,'E-1 Off-Site Hedge Baseline'!$B$1:$L$257,3,FALSE))))</f>
        <v/>
      </c>
      <c r="D74" s="382" t="str">
        <f>IF(B74="","",IF(ISNA(VLOOKUP($B74,'E-1 Off-Site Hedge Baseline'!$B$1:$L$258,4,FALSE)),"",(VLOOKUP($B74,'E-1 Off-Site Hedge Baseline'!$B$1:$L$258,4,FALSE))))</f>
        <v/>
      </c>
      <c r="E74" s="382" t="str">
        <f>IF(B74="","",IF(ISNA(VLOOKUP($B74,'E-1 Off-Site Hedge Baseline'!$B$1:$L$257,5,FALSE)),"",(VLOOKUP($B74,'E-1 Off-Site Hedge Baseline'!$B$1:$L$257,5,FALSE))))</f>
        <v/>
      </c>
      <c r="F74" s="382" t="str">
        <f>IF(B74="","",IF(ISNA(VLOOKUP($B74,'E-1 Off-Site Hedge Baseline'!$B$1:$L$257,6,FALSE)),"",(VLOOKUP($B74,'E-1 Off-Site Hedge Baseline'!$B$1:$L$257,6,FALSE))))</f>
        <v/>
      </c>
      <c r="G74" s="382" t="str">
        <f>IF(B74="","",IF(ISNA(VLOOKUP($B74,'E-1 Off-Site Hedge Baseline'!$B$1:$L$257,7,FALSE)),"",(VLOOKUP($B74,'E-1 Off-Site Hedge Baseline'!$B$1:$L$257,7,FALSE))))</f>
        <v/>
      </c>
      <c r="H74" s="382" t="str">
        <f>IF(B74="","",IF(ISNA(VLOOKUP($B74,'E-1 Off-Site Hedge Baseline'!$B$1:$L$257,8,FALSE)),"",(VLOOKUP($B74,'E-1 Off-Site Hedge Baseline'!$B$1:$L$257,8,FALSE))))</f>
        <v/>
      </c>
      <c r="I74" s="382" t="str">
        <f>IF(B74="","",IF(ISNA(VLOOKUP($B74,'E-1 Off-Site Hedge Baseline'!$B$1:$L$257,10,FALSE)),"",(VLOOKUP($B74,'E-1 Off-Site Hedge Baseline'!$B$1:$L$257,10,FALSE))))</f>
        <v/>
      </c>
      <c r="J74" s="382" t="str">
        <f>IF(B74="","",IF(ISNA(VLOOKUP($B74,'E-1 Off-Site Hedge Baseline'!$B$1:$L$257,11,FALSE)),"",(VLOOKUP($B74,'E-1 Off-Site Hedge Baseline'!$B$1:$L$257,11,FALSE))))</f>
        <v/>
      </c>
      <c r="K74" s="382" t="str">
        <f>IF(B74="","",IF(ISNA(VLOOKUP($B74,'E-1 Off-Site Hedge Baseline'!$B$1:$X$257,113,FALSE)),"",(VLOOKUP($B74,'E-1 Off-Site Hedge Baseline'!$B$1:$X$257,13,FALSE))))</f>
        <v/>
      </c>
      <c r="L74" s="370" t="str">
        <f>IF(B74="","",IF(ISNA(VLOOKUP($B74,'E-1 Off-Site Hedge Baseline'!$B$1:$X$257,12,FALSE)),"",(VLOOKUP($B74,'E-1 Off-Site Hedge Baseline'!$B$1:$X$257,12,FALSE))))</f>
        <v/>
      </c>
      <c r="M74" s="316" t="str">
        <f t="shared" si="0"/>
        <v/>
      </c>
      <c r="N74" s="362" t="str">
        <f>IFERROR(IF(B74="","",INDEX('G-6 Hedgerow Data'!$AN$3:$AZ$15,MATCH(C74,'G-6 Hedgerow Data'!$AM$3:$AM$15,0),MATCH(M74,'G-6 Hedgerow Data'!$AN$2:$AZ$2,0))),"")</f>
        <v/>
      </c>
      <c r="O74" s="363" t="str">
        <f t="shared" si="2"/>
        <v/>
      </c>
      <c r="P74" s="368" t="str">
        <f>IF(B74="","",VLOOKUP(B74,'E-1 Off-Site Hedge Baseline'!$B$10:W319,19,FALSE))</f>
        <v/>
      </c>
      <c r="Q74" s="362" t="str">
        <f>IF(M74="","",VLOOKUP(M74,'G-6 Hedgerow Data'!$B$2:$AG$15,2,FALSE))</f>
        <v/>
      </c>
      <c r="R74" s="363" t="str">
        <f>IF(M74="","",VLOOKUP(M74,'G-6 Hedgerow Data'!$B$2:$AG$15,3,FALSE))</f>
        <v/>
      </c>
      <c r="S74" s="114"/>
      <c r="T74" s="363" t="str">
        <f>IFERROR(IF(AND(Q74="V.Low",OR(S74="Good",S74="Moderate")),"Error ▲",VLOOKUP(S74,'G-1 All Habitats'!$Z$2:$AA$9,2,FALSE)),"")</f>
        <v/>
      </c>
      <c r="U74" s="114"/>
      <c r="V74" s="370" t="str">
        <f>IF(U74="","",IF(VLOOKUP(U74,'G-3 Multipliers'!$L$3:$N$6,2,FALSE)=0,"Spatial Data Missing ⚠",VLOOKUP(U74,'G-3 Multipliers'!$L$3:$N$6,2,FALSE)))</f>
        <v/>
      </c>
      <c r="W74" s="368" t="str">
        <f>IF(U74="","",IF(VLOOKUP(U74,'G-3 Multipliers'!$L$3:$N$6,3,FALSE)=0,"Spatial Data Missing ⚠",VLOOKUP(U74,'G-3 Multipliers'!$L$3:$N$6,3,FALSE)))</f>
        <v/>
      </c>
      <c r="X74" s="362" t="str">
        <f>IFERROR(IF(OR(LEFT(O74,5)="Error",LEFT(N74,5)="Error",T74="Error"),"Check Data ⚠",IF(F74&lt;R74,INDEX('G-6 Hedgerow Data'!$S$3:$AE$14,MATCH(C74,'G-6 Hedgerow Data'!$B$3:$B$14,0),MATCH(M74,'G-6 Hedgerow Data'!$S$2:$AE$2,0)),INDEX('G-6 Hedgerow Data'!$K$3:$Q$14,MATCH(M74,'G-6 Hedgerow Data'!$B$3:$B$14,0),MATCH(O74,'G-6 Hedgerow Data'!$K$2:$Q$2,0)))),"")</f>
        <v/>
      </c>
      <c r="Y74" s="159"/>
      <c r="Z74" s="159"/>
      <c r="AA74" s="370" t="str">
        <f t="shared" si="3"/>
        <v/>
      </c>
      <c r="AB74" s="383" t="str">
        <f t="shared" si="4"/>
        <v/>
      </c>
      <c r="AC74" s="384" t="str">
        <f t="shared" si="1"/>
        <v/>
      </c>
      <c r="AD74" s="398" t="str">
        <f>IF(M74="","",VLOOKUP(M74,'G-6 Hedgerow Data'!$B$3:$AG$15,31,FALSE))</f>
        <v/>
      </c>
      <c r="AE74" s="382" t="str">
        <f t="shared" si="5"/>
        <v/>
      </c>
      <c r="AF74" s="382" t="str">
        <f t="shared" si="6"/>
        <v/>
      </c>
      <c r="AG74" s="386" t="str">
        <f>IFERROR(IF(O74="","",VLOOKUP(AD74,'G-3 Multipliers'!$P$3:$Q$6,2,FALSE)),"")</f>
        <v/>
      </c>
      <c r="AH74" s="160"/>
      <c r="AI74" s="363" t="str">
        <f>IF(AH74="","",IF(VLOOKUP(AH74,'G-3 Multipliers'!$S$3:$T$10,2,FALSE)=0,"Spatial Data Missing ⚠",VLOOKUP(AH74,'G-3 Multipliers'!$S$3:$T$10,2,FALSE)))</f>
        <v/>
      </c>
      <c r="AJ74" s="405" t="str">
        <f t="shared" si="7"/>
        <v/>
      </c>
      <c r="AK74" s="376" t="str">
        <f t="shared" si="8"/>
        <v/>
      </c>
      <c r="AL74" s="117"/>
      <c r="AM74" s="118"/>
      <c r="AN74" s="120"/>
      <c r="AO74" s="120"/>
      <c r="AQ74" s="30" t="str">
        <f>IFERROR(INDEX('G-6 Hedgerow Data'!$BJ$3:$BJ$15,MATCH(M74,'G-6 Hedgerow Data'!$B$3:$B$15,0)),"")</f>
        <v/>
      </c>
    </row>
    <row r="75" spans="2:43" ht="15">
      <c r="B75" s="392" t="str">
        <f>'E-1 Off-Site Hedge Baseline'!AN73</f>
        <v/>
      </c>
      <c r="C75" s="382" t="str">
        <f>IF(B75="","",IF(ISNA(VLOOKUP($B75,'E-1 Off-Site Hedge Baseline'!$B$1:$L$257,3,FALSE)),"",(VLOOKUP($B75,'E-1 Off-Site Hedge Baseline'!$B$1:$L$257,3,FALSE))))</f>
        <v/>
      </c>
      <c r="D75" s="382" t="str">
        <f>IF(B75="","",IF(ISNA(VLOOKUP($B75,'E-1 Off-Site Hedge Baseline'!$B$1:$L$258,4,FALSE)),"",(VLOOKUP($B75,'E-1 Off-Site Hedge Baseline'!$B$1:$L$258,4,FALSE))))</f>
        <v/>
      </c>
      <c r="E75" s="382" t="str">
        <f>IF(B75="","",IF(ISNA(VLOOKUP($B75,'E-1 Off-Site Hedge Baseline'!$B$1:$L$257,5,FALSE)),"",(VLOOKUP($B75,'E-1 Off-Site Hedge Baseline'!$B$1:$L$257,5,FALSE))))</f>
        <v/>
      </c>
      <c r="F75" s="382" t="str">
        <f>IF(B75="","",IF(ISNA(VLOOKUP($B75,'E-1 Off-Site Hedge Baseline'!$B$1:$L$257,6,FALSE)),"",(VLOOKUP($B75,'E-1 Off-Site Hedge Baseline'!$B$1:$L$257,6,FALSE))))</f>
        <v/>
      </c>
      <c r="G75" s="382" t="str">
        <f>IF(B75="","",IF(ISNA(VLOOKUP($B75,'E-1 Off-Site Hedge Baseline'!$B$1:$L$257,7,FALSE)),"",(VLOOKUP($B75,'E-1 Off-Site Hedge Baseline'!$B$1:$L$257,7,FALSE))))</f>
        <v/>
      </c>
      <c r="H75" s="382" t="str">
        <f>IF(B75="","",IF(ISNA(VLOOKUP($B75,'E-1 Off-Site Hedge Baseline'!$B$1:$L$257,8,FALSE)),"",(VLOOKUP($B75,'E-1 Off-Site Hedge Baseline'!$B$1:$L$257,8,FALSE))))</f>
        <v/>
      </c>
      <c r="I75" s="382" t="str">
        <f>IF(B75="","",IF(ISNA(VLOOKUP($B75,'E-1 Off-Site Hedge Baseline'!$B$1:$L$257,10,FALSE)),"",(VLOOKUP($B75,'E-1 Off-Site Hedge Baseline'!$B$1:$L$257,10,FALSE))))</f>
        <v/>
      </c>
      <c r="J75" s="382" t="str">
        <f>IF(B75="","",IF(ISNA(VLOOKUP($B75,'E-1 Off-Site Hedge Baseline'!$B$1:$L$257,11,FALSE)),"",(VLOOKUP($B75,'E-1 Off-Site Hedge Baseline'!$B$1:$L$257,11,FALSE))))</f>
        <v/>
      </c>
      <c r="K75" s="382" t="str">
        <f>IF(B75="","",IF(ISNA(VLOOKUP($B75,'E-1 Off-Site Hedge Baseline'!$B$1:$X$257,113,FALSE)),"",(VLOOKUP($B75,'E-1 Off-Site Hedge Baseline'!$B$1:$X$257,13,FALSE))))</f>
        <v/>
      </c>
      <c r="L75" s="370" t="str">
        <f>IF(B75="","",IF(ISNA(VLOOKUP($B75,'E-1 Off-Site Hedge Baseline'!$B$1:$X$257,12,FALSE)),"",(VLOOKUP($B75,'E-1 Off-Site Hedge Baseline'!$B$1:$X$257,12,FALSE))))</f>
        <v/>
      </c>
      <c r="M75" s="316" t="str">
        <f t="shared" si="0"/>
        <v/>
      </c>
      <c r="N75" s="362" t="str">
        <f>IFERROR(IF(B75="","",INDEX('G-6 Hedgerow Data'!$AN$3:$AZ$15,MATCH(C75,'G-6 Hedgerow Data'!$AM$3:$AM$15,0),MATCH(M75,'G-6 Hedgerow Data'!$AN$2:$AZ$2,0))),"")</f>
        <v/>
      </c>
      <c r="O75" s="363" t="str">
        <f t="shared" si="2"/>
        <v/>
      </c>
      <c r="P75" s="368" t="str">
        <f>IF(B75="","",VLOOKUP(B75,'E-1 Off-Site Hedge Baseline'!$B$10:W320,19,FALSE))</f>
        <v/>
      </c>
      <c r="Q75" s="362" t="str">
        <f>IF(M75="","",VLOOKUP(M75,'G-6 Hedgerow Data'!$B$2:$AG$15,2,FALSE))</f>
        <v/>
      </c>
      <c r="R75" s="363" t="str">
        <f>IF(M75="","",VLOOKUP(M75,'G-6 Hedgerow Data'!$B$2:$AG$15,3,FALSE))</f>
        <v/>
      </c>
      <c r="S75" s="114"/>
      <c r="T75" s="363" t="str">
        <f>IFERROR(IF(AND(Q75="V.Low",OR(S75="Good",S75="Moderate")),"Error ▲",VLOOKUP(S75,'G-1 All Habitats'!$Z$2:$AA$9,2,FALSE)),"")</f>
        <v/>
      </c>
      <c r="U75" s="114"/>
      <c r="V75" s="370" t="str">
        <f>IF(U75="","",IF(VLOOKUP(U75,'G-3 Multipliers'!$L$3:$N$6,2,FALSE)=0,"Spatial Data Missing ⚠",VLOOKUP(U75,'G-3 Multipliers'!$L$3:$N$6,2,FALSE)))</f>
        <v/>
      </c>
      <c r="W75" s="368" t="str">
        <f>IF(U75="","",IF(VLOOKUP(U75,'G-3 Multipliers'!$L$3:$N$6,3,FALSE)=0,"Spatial Data Missing ⚠",VLOOKUP(U75,'G-3 Multipliers'!$L$3:$N$6,3,FALSE)))</f>
        <v/>
      </c>
      <c r="X75" s="362" t="str">
        <f>IFERROR(IF(OR(LEFT(O75,5)="Error",LEFT(N75,5)="Error",T75="Error"),"Check Data ⚠",IF(F75&lt;R75,INDEX('G-6 Hedgerow Data'!$S$3:$AE$14,MATCH(C75,'G-6 Hedgerow Data'!$B$3:$B$14,0),MATCH(M75,'G-6 Hedgerow Data'!$S$2:$AE$2,0)),INDEX('G-6 Hedgerow Data'!$K$3:$Q$14,MATCH(M75,'G-6 Hedgerow Data'!$B$3:$B$14,0),MATCH(O75,'G-6 Hedgerow Data'!$K$2:$Q$2,0)))),"")</f>
        <v/>
      </c>
      <c r="Y75" s="159"/>
      <c r="Z75" s="159"/>
      <c r="AA75" s="370" t="str">
        <f t="shared" si="3"/>
        <v/>
      </c>
      <c r="AB75" s="383" t="str">
        <f t="shared" si="4"/>
        <v/>
      </c>
      <c r="AC75" s="384" t="str">
        <f t="shared" si="1"/>
        <v/>
      </c>
      <c r="AD75" s="398" t="str">
        <f>IF(M75="","",VLOOKUP(M75,'G-6 Hedgerow Data'!$B$3:$AG$15,31,FALSE))</f>
        <v/>
      </c>
      <c r="AE75" s="382" t="str">
        <f t="shared" si="5"/>
        <v/>
      </c>
      <c r="AF75" s="382" t="str">
        <f t="shared" si="6"/>
        <v/>
      </c>
      <c r="AG75" s="386" t="str">
        <f>IFERROR(IF(O75="","",VLOOKUP(AD75,'G-3 Multipliers'!$P$3:$Q$6,2,FALSE)),"")</f>
        <v/>
      </c>
      <c r="AH75" s="160"/>
      <c r="AI75" s="363" t="str">
        <f>IF(AH75="","",IF(VLOOKUP(AH75,'G-3 Multipliers'!$S$3:$T$10,2,FALSE)=0,"Spatial Data Missing ⚠",VLOOKUP(AH75,'G-3 Multipliers'!$S$3:$T$10,2,FALSE)))</f>
        <v/>
      </c>
      <c r="AJ75" s="405" t="str">
        <f t="shared" si="7"/>
        <v/>
      </c>
      <c r="AK75" s="376" t="str">
        <f t="shared" si="8"/>
        <v/>
      </c>
      <c r="AL75" s="117"/>
      <c r="AM75" s="118"/>
      <c r="AN75" s="120"/>
      <c r="AO75" s="120"/>
      <c r="AQ75" s="30" t="str">
        <f>IFERROR(INDEX('G-6 Hedgerow Data'!$BJ$3:$BJ$15,MATCH(M75,'G-6 Hedgerow Data'!$B$3:$B$15,0)),"")</f>
        <v/>
      </c>
    </row>
    <row r="76" spans="2:43" ht="15">
      <c r="B76" s="392" t="str">
        <f>'E-1 Off-Site Hedge Baseline'!AN74</f>
        <v/>
      </c>
      <c r="C76" s="382" t="str">
        <f>IF(B76="","",IF(ISNA(VLOOKUP($B76,'E-1 Off-Site Hedge Baseline'!$B$1:$L$257,3,FALSE)),"",(VLOOKUP($B76,'E-1 Off-Site Hedge Baseline'!$B$1:$L$257,3,FALSE))))</f>
        <v/>
      </c>
      <c r="D76" s="382" t="str">
        <f>IF(B76="","",IF(ISNA(VLOOKUP($B76,'E-1 Off-Site Hedge Baseline'!$B$1:$L$258,4,FALSE)),"",(VLOOKUP($B76,'E-1 Off-Site Hedge Baseline'!$B$1:$L$258,4,FALSE))))</f>
        <v/>
      </c>
      <c r="E76" s="382" t="str">
        <f>IF(B76="","",IF(ISNA(VLOOKUP($B76,'E-1 Off-Site Hedge Baseline'!$B$1:$L$257,5,FALSE)),"",(VLOOKUP($B76,'E-1 Off-Site Hedge Baseline'!$B$1:$L$257,5,FALSE))))</f>
        <v/>
      </c>
      <c r="F76" s="382" t="str">
        <f>IF(B76="","",IF(ISNA(VLOOKUP($B76,'E-1 Off-Site Hedge Baseline'!$B$1:$L$257,6,FALSE)),"",(VLOOKUP($B76,'E-1 Off-Site Hedge Baseline'!$B$1:$L$257,6,FALSE))))</f>
        <v/>
      </c>
      <c r="G76" s="382" t="str">
        <f>IF(B76="","",IF(ISNA(VLOOKUP($B76,'E-1 Off-Site Hedge Baseline'!$B$1:$L$257,7,FALSE)),"",(VLOOKUP($B76,'E-1 Off-Site Hedge Baseline'!$B$1:$L$257,7,FALSE))))</f>
        <v/>
      </c>
      <c r="H76" s="382" t="str">
        <f>IF(B76="","",IF(ISNA(VLOOKUP($B76,'E-1 Off-Site Hedge Baseline'!$B$1:$L$257,8,FALSE)),"",(VLOOKUP($B76,'E-1 Off-Site Hedge Baseline'!$B$1:$L$257,8,FALSE))))</f>
        <v/>
      </c>
      <c r="I76" s="382" t="str">
        <f>IF(B76="","",IF(ISNA(VLOOKUP($B76,'E-1 Off-Site Hedge Baseline'!$B$1:$L$257,10,FALSE)),"",(VLOOKUP($B76,'E-1 Off-Site Hedge Baseline'!$B$1:$L$257,10,FALSE))))</f>
        <v/>
      </c>
      <c r="J76" s="382" t="str">
        <f>IF(B76="","",IF(ISNA(VLOOKUP($B76,'E-1 Off-Site Hedge Baseline'!$B$1:$L$257,11,FALSE)),"",(VLOOKUP($B76,'E-1 Off-Site Hedge Baseline'!$B$1:$L$257,11,FALSE))))</f>
        <v/>
      </c>
      <c r="K76" s="382" t="str">
        <f>IF(B76="","",IF(ISNA(VLOOKUP($B76,'E-1 Off-Site Hedge Baseline'!$B$1:$X$257,113,FALSE)),"",(VLOOKUP($B76,'E-1 Off-Site Hedge Baseline'!$B$1:$X$257,13,FALSE))))</f>
        <v/>
      </c>
      <c r="L76" s="370" t="str">
        <f>IF(B76="","",IF(ISNA(VLOOKUP($B76,'E-1 Off-Site Hedge Baseline'!$B$1:$X$257,12,FALSE)),"",(VLOOKUP($B76,'E-1 Off-Site Hedge Baseline'!$B$1:$X$257,12,FALSE))))</f>
        <v/>
      </c>
      <c r="M76" s="316" t="str">
        <f t="shared" ref="M76:M139" si="9">C76</f>
        <v/>
      </c>
      <c r="N76" s="362" t="str">
        <f>IFERROR(IF(B76="","",INDEX('G-6 Hedgerow Data'!$AN$3:$AZ$15,MATCH(C76,'G-6 Hedgerow Data'!$AM$3:$AM$15,0),MATCH(M76,'G-6 Hedgerow Data'!$AN$2:$AZ$2,0))),"")</f>
        <v/>
      </c>
      <c r="O76" s="363" t="str">
        <f t="shared" si="2"/>
        <v/>
      </c>
      <c r="P76" s="368" t="str">
        <f>IF(B76="","",VLOOKUP(B76,'E-1 Off-Site Hedge Baseline'!$B$10:W321,19,FALSE))</f>
        <v/>
      </c>
      <c r="Q76" s="362" t="str">
        <f>IF(M76="","",VLOOKUP(M76,'G-6 Hedgerow Data'!$B$2:$AG$15,2,FALSE))</f>
        <v/>
      </c>
      <c r="R76" s="363" t="str">
        <f>IF(M76="","",VLOOKUP(M76,'G-6 Hedgerow Data'!$B$2:$AG$15,3,FALSE))</f>
        <v/>
      </c>
      <c r="S76" s="114"/>
      <c r="T76" s="363" t="str">
        <f>IFERROR(IF(AND(Q76="V.Low",OR(S76="Good",S76="Moderate")),"Error ▲",VLOOKUP(S76,'G-1 All Habitats'!$Z$2:$AA$9,2,FALSE)),"")</f>
        <v/>
      </c>
      <c r="U76" s="114"/>
      <c r="V76" s="370" t="str">
        <f>IF(U76="","",IF(VLOOKUP(U76,'G-3 Multipliers'!$L$3:$N$6,2,FALSE)=0,"Spatial Data Missing ⚠",VLOOKUP(U76,'G-3 Multipliers'!$L$3:$N$6,2,FALSE)))</f>
        <v/>
      </c>
      <c r="W76" s="368" t="str">
        <f>IF(U76="","",IF(VLOOKUP(U76,'G-3 Multipliers'!$L$3:$N$6,3,FALSE)=0,"Spatial Data Missing ⚠",VLOOKUP(U76,'G-3 Multipliers'!$L$3:$N$6,3,FALSE)))</f>
        <v/>
      </c>
      <c r="X76" s="362" t="str">
        <f>IFERROR(IF(OR(LEFT(O76,5)="Error",LEFT(N76,5)="Error",T76="Error"),"Check Data ⚠",IF(F76&lt;R76,INDEX('G-6 Hedgerow Data'!$S$3:$AE$14,MATCH(C76,'G-6 Hedgerow Data'!$B$3:$B$14,0),MATCH(M76,'G-6 Hedgerow Data'!$S$2:$AE$2,0)),INDEX('G-6 Hedgerow Data'!$K$3:$Q$14,MATCH(M76,'G-6 Hedgerow Data'!$B$3:$B$14,0),MATCH(O76,'G-6 Hedgerow Data'!$K$2:$Q$2,0)))),"")</f>
        <v/>
      </c>
      <c r="Y76" s="159"/>
      <c r="Z76" s="159"/>
      <c r="AA76" s="370" t="str">
        <f t="shared" si="3"/>
        <v/>
      </c>
      <c r="AB76" s="383" t="str">
        <f t="shared" si="4"/>
        <v/>
      </c>
      <c r="AC76" s="384" t="str">
        <f t="shared" ref="AC76:AC139" si="10">IF(OR(S76="",M76=""),"",IF(LEFT(AB76,5)="Error ▲","Check Data ⚠",IF(AB76="Check Data ⚠","Check Data ⚠",VLOOKUP(AB76,TemporalMultipliers,3,FALSE))))</f>
        <v/>
      </c>
      <c r="AD76" s="398" t="str">
        <f>IF(M76="","",VLOOKUP(M76,'G-6 Hedgerow Data'!$B$3:$AG$15,31,FALSE))</f>
        <v/>
      </c>
      <c r="AE76" s="382" t="str">
        <f t="shared" si="5"/>
        <v/>
      </c>
      <c r="AF76" s="382" t="str">
        <f t="shared" si="6"/>
        <v/>
      </c>
      <c r="AG76" s="386" t="str">
        <f>IFERROR(IF(O76="","",VLOOKUP(AD76,'G-3 Multipliers'!$P$3:$Q$6,2,FALSE)),"")</f>
        <v/>
      </c>
      <c r="AH76" s="160"/>
      <c r="AI76" s="363" t="str">
        <f>IF(AH76="","",IF(VLOOKUP(AH76,'G-3 Multipliers'!$S$3:$T$10,2,FALSE)=0,"Spatial Data Missing ⚠",VLOOKUP(AH76,'G-3 Multipliers'!$S$3:$T$10,2,FALSE)))</f>
        <v/>
      </c>
      <c r="AJ76" s="405" t="str">
        <f t="shared" si="7"/>
        <v/>
      </c>
      <c r="AK76" s="376" t="str">
        <f t="shared" si="8"/>
        <v/>
      </c>
      <c r="AL76" s="117"/>
      <c r="AM76" s="118"/>
      <c r="AN76" s="120"/>
      <c r="AO76" s="120"/>
      <c r="AQ76" s="30" t="str">
        <f>IFERROR(INDEX('G-6 Hedgerow Data'!$BJ$3:$BJ$15,MATCH(M76,'G-6 Hedgerow Data'!$B$3:$B$15,0)),"")</f>
        <v/>
      </c>
    </row>
    <row r="77" spans="2:43" ht="15">
      <c r="B77" s="392" t="str">
        <f>'E-1 Off-Site Hedge Baseline'!AN75</f>
        <v/>
      </c>
      <c r="C77" s="382" t="str">
        <f>IF(B77="","",IF(ISNA(VLOOKUP($B77,'E-1 Off-Site Hedge Baseline'!$B$1:$L$257,3,FALSE)),"",(VLOOKUP($B77,'E-1 Off-Site Hedge Baseline'!$B$1:$L$257,3,FALSE))))</f>
        <v/>
      </c>
      <c r="D77" s="382" t="str">
        <f>IF(B77="","",IF(ISNA(VLOOKUP($B77,'E-1 Off-Site Hedge Baseline'!$B$1:$L$258,4,FALSE)),"",(VLOOKUP($B77,'E-1 Off-Site Hedge Baseline'!$B$1:$L$258,4,FALSE))))</f>
        <v/>
      </c>
      <c r="E77" s="382" t="str">
        <f>IF(B77="","",IF(ISNA(VLOOKUP($B77,'E-1 Off-Site Hedge Baseline'!$B$1:$L$257,5,FALSE)),"",(VLOOKUP($B77,'E-1 Off-Site Hedge Baseline'!$B$1:$L$257,5,FALSE))))</f>
        <v/>
      </c>
      <c r="F77" s="382" t="str">
        <f>IF(B77="","",IF(ISNA(VLOOKUP($B77,'E-1 Off-Site Hedge Baseline'!$B$1:$L$257,6,FALSE)),"",(VLOOKUP($B77,'E-1 Off-Site Hedge Baseline'!$B$1:$L$257,6,FALSE))))</f>
        <v/>
      </c>
      <c r="G77" s="382" t="str">
        <f>IF(B77="","",IF(ISNA(VLOOKUP($B77,'E-1 Off-Site Hedge Baseline'!$B$1:$L$257,7,FALSE)),"",(VLOOKUP($B77,'E-1 Off-Site Hedge Baseline'!$B$1:$L$257,7,FALSE))))</f>
        <v/>
      </c>
      <c r="H77" s="382" t="str">
        <f>IF(B77="","",IF(ISNA(VLOOKUP($B77,'E-1 Off-Site Hedge Baseline'!$B$1:$L$257,8,FALSE)),"",(VLOOKUP($B77,'E-1 Off-Site Hedge Baseline'!$B$1:$L$257,8,FALSE))))</f>
        <v/>
      </c>
      <c r="I77" s="382" t="str">
        <f>IF(B77="","",IF(ISNA(VLOOKUP($B77,'E-1 Off-Site Hedge Baseline'!$B$1:$L$257,10,FALSE)),"",(VLOOKUP($B77,'E-1 Off-Site Hedge Baseline'!$B$1:$L$257,10,FALSE))))</f>
        <v/>
      </c>
      <c r="J77" s="382" t="str">
        <f>IF(B77="","",IF(ISNA(VLOOKUP($B77,'E-1 Off-Site Hedge Baseline'!$B$1:$L$257,11,FALSE)),"",(VLOOKUP($B77,'E-1 Off-Site Hedge Baseline'!$B$1:$L$257,11,FALSE))))</f>
        <v/>
      </c>
      <c r="K77" s="382" t="str">
        <f>IF(B77="","",IF(ISNA(VLOOKUP($B77,'E-1 Off-Site Hedge Baseline'!$B$1:$X$257,113,FALSE)),"",(VLOOKUP($B77,'E-1 Off-Site Hedge Baseline'!$B$1:$X$257,13,FALSE))))</f>
        <v/>
      </c>
      <c r="L77" s="370" t="str">
        <f>IF(B77="","",IF(ISNA(VLOOKUP($B77,'E-1 Off-Site Hedge Baseline'!$B$1:$X$257,12,FALSE)),"",(VLOOKUP($B77,'E-1 Off-Site Hedge Baseline'!$B$1:$X$257,12,FALSE))))</f>
        <v/>
      </c>
      <c r="M77" s="316" t="str">
        <f t="shared" si="9"/>
        <v/>
      </c>
      <c r="N77" s="362" t="str">
        <f>IFERROR(IF(B77="","",INDEX('G-6 Hedgerow Data'!$AN$3:$AZ$15,MATCH(C77,'G-6 Hedgerow Data'!$AM$3:$AM$15,0),MATCH(M77,'G-6 Hedgerow Data'!$AN$2:$AZ$2,0))),"")</f>
        <v/>
      </c>
      <c r="O77" s="363" t="str">
        <f t="shared" ref="O77:O140" si="11">IFERROR(IF(B77="","",IF(AND(LEFT(C77,55)&lt;&gt;LEFT(M77,55),N77="High - High"),"Error - Not like for like ▲",IF(AND(LEFT(C77,55)&lt;&gt;LEFT(M77,55),N77="Medium - Medium"),"Error - Not like for like ▲",IF(H77&gt;T77,"Error - Can not reduce condition ▲",IF(AND(F77=R77,H77=T77),"Error - No enhancement ▲",IF(AND(C77&lt;&gt;M77,F77&lt;R77),"Lower Distinctiveness Habitat"&amp;" - "&amp;S77,G77&amp;" - "&amp;S77)))))),"")</f>
        <v/>
      </c>
      <c r="P77" s="368" t="str">
        <f>IF(B77="","",VLOOKUP(B77,'E-1 Off-Site Hedge Baseline'!$B$10:W322,19,FALSE))</f>
        <v/>
      </c>
      <c r="Q77" s="362" t="str">
        <f>IF(M77="","",VLOOKUP(M77,'G-6 Hedgerow Data'!$B$2:$AG$15,2,FALSE))</f>
        <v/>
      </c>
      <c r="R77" s="363" t="str">
        <f>IF(M77="","",VLOOKUP(M77,'G-6 Hedgerow Data'!$B$2:$AG$15,3,FALSE))</f>
        <v/>
      </c>
      <c r="S77" s="114"/>
      <c r="T77" s="363" t="str">
        <f>IFERROR(IF(AND(Q77="V.Low",OR(S77="Good",S77="Moderate")),"Error ▲",VLOOKUP(S77,'G-1 All Habitats'!$Z$2:$AA$9,2,FALSE)),"")</f>
        <v/>
      </c>
      <c r="U77" s="114"/>
      <c r="V77" s="370" t="str">
        <f>IF(U77="","",IF(VLOOKUP(U77,'G-3 Multipliers'!$L$3:$N$6,2,FALSE)=0,"Spatial Data Missing ⚠",VLOOKUP(U77,'G-3 Multipliers'!$L$3:$N$6,2,FALSE)))</f>
        <v/>
      </c>
      <c r="W77" s="368" t="str">
        <f>IF(U77="","",IF(VLOOKUP(U77,'G-3 Multipliers'!$L$3:$N$6,3,FALSE)=0,"Spatial Data Missing ⚠",VLOOKUP(U77,'G-3 Multipliers'!$L$3:$N$6,3,FALSE)))</f>
        <v/>
      </c>
      <c r="X77" s="362" t="str">
        <f>IFERROR(IF(OR(LEFT(O77,5)="Error",LEFT(N77,5)="Error",T77="Error"),"Check Data ⚠",IF(F77&lt;R77,INDEX('G-6 Hedgerow Data'!$S$3:$AE$14,MATCH(C77,'G-6 Hedgerow Data'!$B$3:$B$14,0),MATCH(M77,'G-6 Hedgerow Data'!$S$2:$AE$2,0)),INDEX('G-6 Hedgerow Data'!$K$3:$Q$14,MATCH(M77,'G-6 Hedgerow Data'!$B$3:$B$14,0),MATCH(O77,'G-6 Hedgerow Data'!$K$2:$Q$2,0)))),"")</f>
        <v/>
      </c>
      <c r="Y77" s="159"/>
      <c r="Z77" s="159"/>
      <c r="AA77" s="370" t="str">
        <f t="shared" ref="AA77:AA140" si="12">IF(X77="Check Data ⚠","Check Data ⚠",IF(M77="","",IF(AND(Y77&gt;0,Z77&gt;0),"Error -both advance and delayed habitat creation ▲",IF(AND(OR(Y77="Habitat already in target condition",X77&lt;=Y77),Z77=0),"Check details - Is there evidence that habitat has reached target condition? ⚠",IF(X77="","",IF(Y77&gt;0,"Check details - Is there evidence habitat creation started/in place? ⚠",IF(Z77&gt;0,"Check details- Delay in starting habitat in required condition? ⚠","Standard time to target condition applied")))))))</f>
        <v/>
      </c>
      <c r="AB77" s="383" t="str">
        <f t="shared" ref="AB77:AB140" si="13">IF(X77="","",IF(AA77="Check Data ⚠","Check Data ⚠",IF(Y77="30+",0,IF(Z77="30+","30+",IF(X77+Z77&gt;30,"30+",IF(AA77="Error -both advance and delayed habitat creation ▲","Check Data ⚠",IF(X77+Z77-Y77&gt;0,X77+Z77-Y77,IF(X77-Y77&lt;=0,0,))))))))</f>
        <v/>
      </c>
      <c r="AC77" s="384" t="str">
        <f t="shared" si="10"/>
        <v/>
      </c>
      <c r="AD77" s="398" t="str">
        <f>IF(M77="","",VLOOKUP(M77,'G-6 Hedgerow Data'!$B$3:$AG$15,31,FALSE))</f>
        <v/>
      </c>
      <c r="AE77" s="382" t="str">
        <f t="shared" ref="AE77:AE140" si="14">IF(M77="","",IF(OR(LEFT(AA77,5)="Error ▲",AA77="Check Data ⚠"),"Check Data ⚠",IF(X77="","",IF($AA77="Check details - Is there evidence that habitat has reached target condition? ⚠","Low Difficulty - only applicable if all habitat created before losses ⚠","Standard difficulty applied"))))</f>
        <v/>
      </c>
      <c r="AF77" s="382" t="str">
        <f t="shared" ref="AF77:AF140" si="15">(IF(AND(AE77="Yes",X77&gt;Y77),AD77,IF(AND(AE77="Low Difficulty - only applicable if all habitat created before losses ⚠",Y77&gt;=X77),"Low",AD77)))</f>
        <v/>
      </c>
      <c r="AG77" s="386" t="str">
        <f>IFERROR(IF(O77="","",VLOOKUP(AD77,'G-3 Multipliers'!$P$3:$Q$6,2,FALSE)),"")</f>
        <v/>
      </c>
      <c r="AH77" s="160"/>
      <c r="AI77" s="363" t="str">
        <f>IF(AH77="","",IF(VLOOKUP(AH77,'G-3 Multipliers'!$S$3:$T$10,2,FALSE)=0,"Spatial Data Missing ⚠",VLOOKUP(AH77,'G-3 Multipliers'!$S$3:$T$10,2,FALSE)))</f>
        <v/>
      </c>
      <c r="AJ77" s="405" t="str">
        <f t="shared" ref="AJ77:AJ140" si="16">IFERROR(IF(OR(M77="",S77="",U77="",AH77=""),"",(((((P77*R77*T77)-(P77*F77*H77))*(AG77*AC77))+(P77*F77*H77))*(W77)*AI77)),"")</f>
        <v/>
      </c>
      <c r="AK77" s="376" t="str">
        <f t="shared" ref="AK77:AK140" si="17">IFERROR(IF(OR(M77="",S77="",U77="",AH77=""),"", IF(AH77="","",(((((P77*R77*T77)-(P77*F77*H77))*(AG77*AC77))+(P77*F77*H77))*(W77)))),"")</f>
        <v/>
      </c>
      <c r="AL77" s="117"/>
      <c r="AM77" s="118"/>
      <c r="AN77" s="120"/>
      <c r="AO77" s="120"/>
      <c r="AQ77" s="30" t="str">
        <f>IFERROR(INDEX('G-6 Hedgerow Data'!$BJ$3:$BJ$15,MATCH(M77,'G-6 Hedgerow Data'!$B$3:$B$15,0)),"")</f>
        <v/>
      </c>
    </row>
    <row r="78" spans="2:43" ht="15">
      <c r="B78" s="392" t="str">
        <f>'E-1 Off-Site Hedge Baseline'!AN76</f>
        <v/>
      </c>
      <c r="C78" s="382" t="str">
        <f>IF(B78="","",IF(ISNA(VLOOKUP($B78,'E-1 Off-Site Hedge Baseline'!$B$1:$L$257,3,FALSE)),"",(VLOOKUP($B78,'E-1 Off-Site Hedge Baseline'!$B$1:$L$257,3,FALSE))))</f>
        <v/>
      </c>
      <c r="D78" s="382" t="str">
        <f>IF(B78="","",IF(ISNA(VLOOKUP($B78,'E-1 Off-Site Hedge Baseline'!$B$1:$L$258,4,FALSE)),"",(VLOOKUP($B78,'E-1 Off-Site Hedge Baseline'!$B$1:$L$258,4,FALSE))))</f>
        <v/>
      </c>
      <c r="E78" s="382" t="str">
        <f>IF(B78="","",IF(ISNA(VLOOKUP($B78,'E-1 Off-Site Hedge Baseline'!$B$1:$L$257,5,FALSE)),"",(VLOOKUP($B78,'E-1 Off-Site Hedge Baseline'!$B$1:$L$257,5,FALSE))))</f>
        <v/>
      </c>
      <c r="F78" s="382" t="str">
        <f>IF(B78="","",IF(ISNA(VLOOKUP($B78,'E-1 Off-Site Hedge Baseline'!$B$1:$L$257,6,FALSE)),"",(VLOOKUP($B78,'E-1 Off-Site Hedge Baseline'!$B$1:$L$257,6,FALSE))))</f>
        <v/>
      </c>
      <c r="G78" s="382" t="str">
        <f>IF(B78="","",IF(ISNA(VLOOKUP($B78,'E-1 Off-Site Hedge Baseline'!$B$1:$L$257,7,FALSE)),"",(VLOOKUP($B78,'E-1 Off-Site Hedge Baseline'!$B$1:$L$257,7,FALSE))))</f>
        <v/>
      </c>
      <c r="H78" s="382" t="str">
        <f>IF(B78="","",IF(ISNA(VLOOKUP($B78,'E-1 Off-Site Hedge Baseline'!$B$1:$L$257,8,FALSE)),"",(VLOOKUP($B78,'E-1 Off-Site Hedge Baseline'!$B$1:$L$257,8,FALSE))))</f>
        <v/>
      </c>
      <c r="I78" s="382" t="str">
        <f>IF(B78="","",IF(ISNA(VLOOKUP($B78,'E-1 Off-Site Hedge Baseline'!$B$1:$L$257,10,FALSE)),"",(VLOOKUP($B78,'E-1 Off-Site Hedge Baseline'!$B$1:$L$257,10,FALSE))))</f>
        <v/>
      </c>
      <c r="J78" s="382" t="str">
        <f>IF(B78="","",IF(ISNA(VLOOKUP($B78,'E-1 Off-Site Hedge Baseline'!$B$1:$L$257,11,FALSE)),"",(VLOOKUP($B78,'E-1 Off-Site Hedge Baseline'!$B$1:$L$257,11,FALSE))))</f>
        <v/>
      </c>
      <c r="K78" s="382" t="str">
        <f>IF(B78="","",IF(ISNA(VLOOKUP($B78,'E-1 Off-Site Hedge Baseline'!$B$1:$X$257,113,FALSE)),"",(VLOOKUP($B78,'E-1 Off-Site Hedge Baseline'!$B$1:$X$257,13,FALSE))))</f>
        <v/>
      </c>
      <c r="L78" s="370" t="str">
        <f>IF(B78="","",IF(ISNA(VLOOKUP($B78,'E-1 Off-Site Hedge Baseline'!$B$1:$X$257,12,FALSE)),"",(VLOOKUP($B78,'E-1 Off-Site Hedge Baseline'!$B$1:$X$257,12,FALSE))))</f>
        <v/>
      </c>
      <c r="M78" s="316" t="str">
        <f t="shared" si="9"/>
        <v/>
      </c>
      <c r="N78" s="362" t="str">
        <f>IFERROR(IF(B78="","",INDEX('G-6 Hedgerow Data'!$AN$3:$AZ$15,MATCH(C78,'G-6 Hedgerow Data'!$AM$3:$AM$15,0),MATCH(M78,'G-6 Hedgerow Data'!$AN$2:$AZ$2,0))),"")</f>
        <v/>
      </c>
      <c r="O78" s="363" t="str">
        <f t="shared" si="11"/>
        <v/>
      </c>
      <c r="P78" s="368" t="str">
        <f>IF(B78="","",VLOOKUP(B78,'E-1 Off-Site Hedge Baseline'!$B$10:W323,19,FALSE))</f>
        <v/>
      </c>
      <c r="Q78" s="362" t="str">
        <f>IF(M78="","",VLOOKUP(M78,'G-6 Hedgerow Data'!$B$2:$AG$15,2,FALSE))</f>
        <v/>
      </c>
      <c r="R78" s="363" t="str">
        <f>IF(M78="","",VLOOKUP(M78,'G-6 Hedgerow Data'!$B$2:$AG$15,3,FALSE))</f>
        <v/>
      </c>
      <c r="S78" s="114"/>
      <c r="T78" s="363" t="str">
        <f>IFERROR(IF(AND(Q78="V.Low",OR(S78="Good",S78="Moderate")),"Error ▲",VLOOKUP(S78,'G-1 All Habitats'!$Z$2:$AA$9,2,FALSE)),"")</f>
        <v/>
      </c>
      <c r="U78" s="114"/>
      <c r="V78" s="370" t="str">
        <f>IF(U78="","",IF(VLOOKUP(U78,'G-3 Multipliers'!$L$3:$N$6,2,FALSE)=0,"Spatial Data Missing ⚠",VLOOKUP(U78,'G-3 Multipliers'!$L$3:$N$6,2,FALSE)))</f>
        <v/>
      </c>
      <c r="W78" s="368" t="str">
        <f>IF(U78="","",IF(VLOOKUP(U78,'G-3 Multipliers'!$L$3:$N$6,3,FALSE)=0,"Spatial Data Missing ⚠",VLOOKUP(U78,'G-3 Multipliers'!$L$3:$N$6,3,FALSE)))</f>
        <v/>
      </c>
      <c r="X78" s="362" t="str">
        <f>IFERROR(IF(OR(LEFT(O78,5)="Error",LEFT(N78,5)="Error",T78="Error"),"Check Data ⚠",IF(F78&lt;R78,INDEX('G-6 Hedgerow Data'!$S$3:$AE$14,MATCH(C78,'G-6 Hedgerow Data'!$B$3:$B$14,0),MATCH(M78,'G-6 Hedgerow Data'!$S$2:$AE$2,0)),INDEX('G-6 Hedgerow Data'!$K$3:$Q$14,MATCH(M78,'G-6 Hedgerow Data'!$B$3:$B$14,0),MATCH(O78,'G-6 Hedgerow Data'!$K$2:$Q$2,0)))),"")</f>
        <v/>
      </c>
      <c r="Y78" s="159"/>
      <c r="Z78" s="159"/>
      <c r="AA78" s="370" t="str">
        <f t="shared" si="12"/>
        <v/>
      </c>
      <c r="AB78" s="383" t="str">
        <f t="shared" si="13"/>
        <v/>
      </c>
      <c r="AC78" s="384" t="str">
        <f t="shared" si="10"/>
        <v/>
      </c>
      <c r="AD78" s="398" t="str">
        <f>IF(M78="","",VLOOKUP(M78,'G-6 Hedgerow Data'!$B$3:$AG$15,31,FALSE))</f>
        <v/>
      </c>
      <c r="AE78" s="382" t="str">
        <f t="shared" si="14"/>
        <v/>
      </c>
      <c r="AF78" s="382" t="str">
        <f t="shared" si="15"/>
        <v/>
      </c>
      <c r="AG78" s="386" t="str">
        <f>IFERROR(IF(O78="","",VLOOKUP(AD78,'G-3 Multipliers'!$P$3:$Q$6,2,FALSE)),"")</f>
        <v/>
      </c>
      <c r="AH78" s="160"/>
      <c r="AI78" s="363" t="str">
        <f>IF(AH78="","",IF(VLOOKUP(AH78,'G-3 Multipliers'!$S$3:$T$10,2,FALSE)=0,"Spatial Data Missing ⚠",VLOOKUP(AH78,'G-3 Multipliers'!$S$3:$T$10,2,FALSE)))</f>
        <v/>
      </c>
      <c r="AJ78" s="405" t="str">
        <f t="shared" si="16"/>
        <v/>
      </c>
      <c r="AK78" s="376" t="str">
        <f t="shared" si="17"/>
        <v/>
      </c>
      <c r="AL78" s="117"/>
      <c r="AM78" s="118"/>
      <c r="AN78" s="120"/>
      <c r="AO78" s="120"/>
      <c r="AQ78" s="30" t="str">
        <f>IFERROR(INDEX('G-6 Hedgerow Data'!$BJ$3:$BJ$15,MATCH(M78,'G-6 Hedgerow Data'!$B$3:$B$15,0)),"")</f>
        <v/>
      </c>
    </row>
    <row r="79" spans="2:43" ht="15">
      <c r="B79" s="392" t="str">
        <f>'E-1 Off-Site Hedge Baseline'!AN77</f>
        <v/>
      </c>
      <c r="C79" s="382" t="str">
        <f>IF(B79="","",IF(ISNA(VLOOKUP($B79,'E-1 Off-Site Hedge Baseline'!$B$1:$L$257,3,FALSE)),"",(VLOOKUP($B79,'E-1 Off-Site Hedge Baseline'!$B$1:$L$257,3,FALSE))))</f>
        <v/>
      </c>
      <c r="D79" s="382" t="str">
        <f>IF(B79="","",IF(ISNA(VLOOKUP($B79,'E-1 Off-Site Hedge Baseline'!$B$1:$L$258,4,FALSE)),"",(VLOOKUP($B79,'E-1 Off-Site Hedge Baseline'!$B$1:$L$258,4,FALSE))))</f>
        <v/>
      </c>
      <c r="E79" s="382" t="str">
        <f>IF(B79="","",IF(ISNA(VLOOKUP($B79,'E-1 Off-Site Hedge Baseline'!$B$1:$L$257,5,FALSE)),"",(VLOOKUP($B79,'E-1 Off-Site Hedge Baseline'!$B$1:$L$257,5,FALSE))))</f>
        <v/>
      </c>
      <c r="F79" s="382" t="str">
        <f>IF(B79="","",IF(ISNA(VLOOKUP($B79,'E-1 Off-Site Hedge Baseline'!$B$1:$L$257,6,FALSE)),"",(VLOOKUP($B79,'E-1 Off-Site Hedge Baseline'!$B$1:$L$257,6,FALSE))))</f>
        <v/>
      </c>
      <c r="G79" s="382" t="str">
        <f>IF(B79="","",IF(ISNA(VLOOKUP($B79,'E-1 Off-Site Hedge Baseline'!$B$1:$L$257,7,FALSE)),"",(VLOOKUP($B79,'E-1 Off-Site Hedge Baseline'!$B$1:$L$257,7,FALSE))))</f>
        <v/>
      </c>
      <c r="H79" s="382" t="str">
        <f>IF(B79="","",IF(ISNA(VLOOKUP($B79,'E-1 Off-Site Hedge Baseline'!$B$1:$L$257,8,FALSE)),"",(VLOOKUP($B79,'E-1 Off-Site Hedge Baseline'!$B$1:$L$257,8,FALSE))))</f>
        <v/>
      </c>
      <c r="I79" s="382" t="str">
        <f>IF(B79="","",IF(ISNA(VLOOKUP($B79,'E-1 Off-Site Hedge Baseline'!$B$1:$L$257,10,FALSE)),"",(VLOOKUP($B79,'E-1 Off-Site Hedge Baseline'!$B$1:$L$257,10,FALSE))))</f>
        <v/>
      </c>
      <c r="J79" s="382" t="str">
        <f>IF(B79="","",IF(ISNA(VLOOKUP($B79,'E-1 Off-Site Hedge Baseline'!$B$1:$L$257,11,FALSE)),"",(VLOOKUP($B79,'E-1 Off-Site Hedge Baseline'!$B$1:$L$257,11,FALSE))))</f>
        <v/>
      </c>
      <c r="K79" s="382" t="str">
        <f>IF(B79="","",IF(ISNA(VLOOKUP($B79,'E-1 Off-Site Hedge Baseline'!$B$1:$X$257,113,FALSE)),"",(VLOOKUP($B79,'E-1 Off-Site Hedge Baseline'!$B$1:$X$257,13,FALSE))))</f>
        <v/>
      </c>
      <c r="L79" s="370" t="str">
        <f>IF(B79="","",IF(ISNA(VLOOKUP($B79,'E-1 Off-Site Hedge Baseline'!$B$1:$X$257,12,FALSE)),"",(VLOOKUP($B79,'E-1 Off-Site Hedge Baseline'!$B$1:$X$257,12,FALSE))))</f>
        <v/>
      </c>
      <c r="M79" s="316" t="str">
        <f t="shared" si="9"/>
        <v/>
      </c>
      <c r="N79" s="362" t="str">
        <f>IFERROR(IF(B79="","",INDEX('G-6 Hedgerow Data'!$AN$3:$AZ$15,MATCH(C79,'G-6 Hedgerow Data'!$AM$3:$AM$15,0),MATCH(M79,'G-6 Hedgerow Data'!$AN$2:$AZ$2,0))),"")</f>
        <v/>
      </c>
      <c r="O79" s="363" t="str">
        <f t="shared" si="11"/>
        <v/>
      </c>
      <c r="P79" s="368" t="str">
        <f>IF(B79="","",VLOOKUP(B79,'E-1 Off-Site Hedge Baseline'!$B$10:W324,19,FALSE))</f>
        <v/>
      </c>
      <c r="Q79" s="362" t="str">
        <f>IF(M79="","",VLOOKUP(M79,'G-6 Hedgerow Data'!$B$2:$AG$15,2,FALSE))</f>
        <v/>
      </c>
      <c r="R79" s="363" t="str">
        <f>IF(M79="","",VLOOKUP(M79,'G-6 Hedgerow Data'!$B$2:$AG$15,3,FALSE))</f>
        <v/>
      </c>
      <c r="S79" s="114"/>
      <c r="T79" s="363" t="str">
        <f>IFERROR(IF(AND(Q79="V.Low",OR(S79="Good",S79="Moderate")),"Error ▲",VLOOKUP(S79,'G-1 All Habitats'!$Z$2:$AA$9,2,FALSE)),"")</f>
        <v/>
      </c>
      <c r="U79" s="114"/>
      <c r="V79" s="370" t="str">
        <f>IF(U79="","",IF(VLOOKUP(U79,'G-3 Multipliers'!$L$3:$N$6,2,FALSE)=0,"Spatial Data Missing ⚠",VLOOKUP(U79,'G-3 Multipliers'!$L$3:$N$6,2,FALSE)))</f>
        <v/>
      </c>
      <c r="W79" s="368" t="str">
        <f>IF(U79="","",IF(VLOOKUP(U79,'G-3 Multipliers'!$L$3:$N$6,3,FALSE)=0,"Spatial Data Missing ⚠",VLOOKUP(U79,'G-3 Multipliers'!$L$3:$N$6,3,FALSE)))</f>
        <v/>
      </c>
      <c r="X79" s="362" t="str">
        <f>IFERROR(IF(OR(LEFT(O79,5)="Error",LEFT(N79,5)="Error",T79="Error"),"Check Data ⚠",IF(F79&lt;R79,INDEX('G-6 Hedgerow Data'!$S$3:$AE$14,MATCH(C79,'G-6 Hedgerow Data'!$B$3:$B$14,0),MATCH(M79,'G-6 Hedgerow Data'!$S$2:$AE$2,0)),INDEX('G-6 Hedgerow Data'!$K$3:$Q$14,MATCH(M79,'G-6 Hedgerow Data'!$B$3:$B$14,0),MATCH(O79,'G-6 Hedgerow Data'!$K$2:$Q$2,0)))),"")</f>
        <v/>
      </c>
      <c r="Y79" s="159"/>
      <c r="Z79" s="159"/>
      <c r="AA79" s="370" t="str">
        <f t="shared" si="12"/>
        <v/>
      </c>
      <c r="AB79" s="383" t="str">
        <f t="shared" si="13"/>
        <v/>
      </c>
      <c r="AC79" s="384" t="str">
        <f t="shared" si="10"/>
        <v/>
      </c>
      <c r="AD79" s="398" t="str">
        <f>IF(M79="","",VLOOKUP(M79,'G-6 Hedgerow Data'!$B$3:$AG$15,31,FALSE))</f>
        <v/>
      </c>
      <c r="AE79" s="382" t="str">
        <f t="shared" si="14"/>
        <v/>
      </c>
      <c r="AF79" s="382" t="str">
        <f t="shared" si="15"/>
        <v/>
      </c>
      <c r="AG79" s="386" t="str">
        <f>IFERROR(IF(O79="","",VLOOKUP(AD79,'G-3 Multipliers'!$P$3:$Q$6,2,FALSE)),"")</f>
        <v/>
      </c>
      <c r="AH79" s="160"/>
      <c r="AI79" s="363" t="str">
        <f>IF(AH79="","",IF(VLOOKUP(AH79,'G-3 Multipliers'!$S$3:$T$10,2,FALSE)=0,"Spatial Data Missing ⚠",VLOOKUP(AH79,'G-3 Multipliers'!$S$3:$T$10,2,FALSE)))</f>
        <v/>
      </c>
      <c r="AJ79" s="405" t="str">
        <f t="shared" si="16"/>
        <v/>
      </c>
      <c r="AK79" s="376" t="str">
        <f t="shared" si="17"/>
        <v/>
      </c>
      <c r="AL79" s="117"/>
      <c r="AM79" s="118"/>
      <c r="AN79" s="120"/>
      <c r="AO79" s="120"/>
      <c r="AQ79" s="30" t="str">
        <f>IFERROR(INDEX('G-6 Hedgerow Data'!$BJ$3:$BJ$15,MATCH(M79,'G-6 Hedgerow Data'!$B$3:$B$15,0)),"")</f>
        <v/>
      </c>
    </row>
    <row r="80" spans="2:43" ht="15">
      <c r="B80" s="392" t="str">
        <f>'E-1 Off-Site Hedge Baseline'!AN78</f>
        <v/>
      </c>
      <c r="C80" s="382" t="str">
        <f>IF(B80="","",IF(ISNA(VLOOKUP($B80,'E-1 Off-Site Hedge Baseline'!$B$1:$L$257,3,FALSE)),"",(VLOOKUP($B80,'E-1 Off-Site Hedge Baseline'!$B$1:$L$257,3,FALSE))))</f>
        <v/>
      </c>
      <c r="D80" s="382" t="str">
        <f>IF(B80="","",IF(ISNA(VLOOKUP($B80,'E-1 Off-Site Hedge Baseline'!$B$1:$L$258,4,FALSE)),"",(VLOOKUP($B80,'E-1 Off-Site Hedge Baseline'!$B$1:$L$258,4,FALSE))))</f>
        <v/>
      </c>
      <c r="E80" s="382" t="str">
        <f>IF(B80="","",IF(ISNA(VLOOKUP($B80,'E-1 Off-Site Hedge Baseline'!$B$1:$L$257,5,FALSE)),"",(VLOOKUP($B80,'E-1 Off-Site Hedge Baseline'!$B$1:$L$257,5,FALSE))))</f>
        <v/>
      </c>
      <c r="F80" s="382" t="str">
        <f>IF(B80="","",IF(ISNA(VLOOKUP($B80,'E-1 Off-Site Hedge Baseline'!$B$1:$L$257,6,FALSE)),"",(VLOOKUP($B80,'E-1 Off-Site Hedge Baseline'!$B$1:$L$257,6,FALSE))))</f>
        <v/>
      </c>
      <c r="G80" s="382" t="str">
        <f>IF(B80="","",IF(ISNA(VLOOKUP($B80,'E-1 Off-Site Hedge Baseline'!$B$1:$L$257,7,FALSE)),"",(VLOOKUP($B80,'E-1 Off-Site Hedge Baseline'!$B$1:$L$257,7,FALSE))))</f>
        <v/>
      </c>
      <c r="H80" s="382" t="str">
        <f>IF(B80="","",IF(ISNA(VLOOKUP($B80,'E-1 Off-Site Hedge Baseline'!$B$1:$L$257,8,FALSE)),"",(VLOOKUP($B80,'E-1 Off-Site Hedge Baseline'!$B$1:$L$257,8,FALSE))))</f>
        <v/>
      </c>
      <c r="I80" s="382" t="str">
        <f>IF(B80="","",IF(ISNA(VLOOKUP($B80,'E-1 Off-Site Hedge Baseline'!$B$1:$L$257,10,FALSE)),"",(VLOOKUP($B80,'E-1 Off-Site Hedge Baseline'!$B$1:$L$257,10,FALSE))))</f>
        <v/>
      </c>
      <c r="J80" s="382" t="str">
        <f>IF(B80="","",IF(ISNA(VLOOKUP($B80,'E-1 Off-Site Hedge Baseline'!$B$1:$L$257,11,FALSE)),"",(VLOOKUP($B80,'E-1 Off-Site Hedge Baseline'!$B$1:$L$257,11,FALSE))))</f>
        <v/>
      </c>
      <c r="K80" s="382" t="str">
        <f>IF(B80="","",IF(ISNA(VLOOKUP($B80,'E-1 Off-Site Hedge Baseline'!$B$1:$X$257,113,FALSE)),"",(VLOOKUP($B80,'E-1 Off-Site Hedge Baseline'!$B$1:$X$257,13,FALSE))))</f>
        <v/>
      </c>
      <c r="L80" s="370" t="str">
        <f>IF(B80="","",IF(ISNA(VLOOKUP($B80,'E-1 Off-Site Hedge Baseline'!$B$1:$X$257,12,FALSE)),"",(VLOOKUP($B80,'E-1 Off-Site Hedge Baseline'!$B$1:$X$257,12,FALSE))))</f>
        <v/>
      </c>
      <c r="M80" s="316" t="str">
        <f t="shared" si="9"/>
        <v/>
      </c>
      <c r="N80" s="362" t="str">
        <f>IFERROR(IF(B80="","",INDEX('G-6 Hedgerow Data'!$AN$3:$AZ$15,MATCH(C80,'G-6 Hedgerow Data'!$AM$3:$AM$15,0),MATCH(M80,'G-6 Hedgerow Data'!$AN$2:$AZ$2,0))),"")</f>
        <v/>
      </c>
      <c r="O80" s="363" t="str">
        <f t="shared" si="11"/>
        <v/>
      </c>
      <c r="P80" s="368" t="str">
        <f>IF(B80="","",VLOOKUP(B80,'E-1 Off-Site Hedge Baseline'!$B$10:W325,19,FALSE))</f>
        <v/>
      </c>
      <c r="Q80" s="362" t="str">
        <f>IF(M80="","",VLOOKUP(M80,'G-6 Hedgerow Data'!$B$2:$AG$15,2,FALSE))</f>
        <v/>
      </c>
      <c r="R80" s="363" t="str">
        <f>IF(M80="","",VLOOKUP(M80,'G-6 Hedgerow Data'!$B$2:$AG$15,3,FALSE))</f>
        <v/>
      </c>
      <c r="S80" s="114"/>
      <c r="T80" s="363" t="str">
        <f>IFERROR(IF(AND(Q80="V.Low",OR(S80="Good",S80="Moderate")),"Error ▲",VLOOKUP(S80,'G-1 All Habitats'!$Z$2:$AA$9,2,FALSE)),"")</f>
        <v/>
      </c>
      <c r="U80" s="114"/>
      <c r="V80" s="370" t="str">
        <f>IF(U80="","",IF(VLOOKUP(U80,'G-3 Multipliers'!$L$3:$N$6,2,FALSE)=0,"Spatial Data Missing ⚠",VLOOKUP(U80,'G-3 Multipliers'!$L$3:$N$6,2,FALSE)))</f>
        <v/>
      </c>
      <c r="W80" s="368" t="str">
        <f>IF(U80="","",IF(VLOOKUP(U80,'G-3 Multipliers'!$L$3:$N$6,3,FALSE)=0,"Spatial Data Missing ⚠",VLOOKUP(U80,'G-3 Multipliers'!$L$3:$N$6,3,FALSE)))</f>
        <v/>
      </c>
      <c r="X80" s="362" t="str">
        <f>IFERROR(IF(OR(LEFT(O80,5)="Error",LEFT(N80,5)="Error",T80="Error"),"Check Data ⚠",IF(F80&lt;R80,INDEX('G-6 Hedgerow Data'!$S$3:$AE$14,MATCH(C80,'G-6 Hedgerow Data'!$B$3:$B$14,0),MATCH(M80,'G-6 Hedgerow Data'!$S$2:$AE$2,0)),INDEX('G-6 Hedgerow Data'!$K$3:$Q$14,MATCH(M80,'G-6 Hedgerow Data'!$B$3:$B$14,0),MATCH(O80,'G-6 Hedgerow Data'!$K$2:$Q$2,0)))),"")</f>
        <v/>
      </c>
      <c r="Y80" s="159"/>
      <c r="Z80" s="159"/>
      <c r="AA80" s="370" t="str">
        <f t="shared" si="12"/>
        <v/>
      </c>
      <c r="AB80" s="383" t="str">
        <f t="shared" si="13"/>
        <v/>
      </c>
      <c r="AC80" s="384" t="str">
        <f t="shared" si="10"/>
        <v/>
      </c>
      <c r="AD80" s="398" t="str">
        <f>IF(M80="","",VLOOKUP(M80,'G-6 Hedgerow Data'!$B$3:$AG$15,31,FALSE))</f>
        <v/>
      </c>
      <c r="AE80" s="382" t="str">
        <f t="shared" si="14"/>
        <v/>
      </c>
      <c r="AF80" s="382" t="str">
        <f t="shared" si="15"/>
        <v/>
      </c>
      <c r="AG80" s="386" t="str">
        <f>IFERROR(IF(O80="","",VLOOKUP(AD80,'G-3 Multipliers'!$P$3:$Q$6,2,FALSE)),"")</f>
        <v/>
      </c>
      <c r="AH80" s="160"/>
      <c r="AI80" s="363" t="str">
        <f>IF(AH80="","",IF(VLOOKUP(AH80,'G-3 Multipliers'!$S$3:$T$10,2,FALSE)=0,"Spatial Data Missing ⚠",VLOOKUP(AH80,'G-3 Multipliers'!$S$3:$T$10,2,FALSE)))</f>
        <v/>
      </c>
      <c r="AJ80" s="405" t="str">
        <f t="shared" si="16"/>
        <v/>
      </c>
      <c r="AK80" s="376" t="str">
        <f t="shared" si="17"/>
        <v/>
      </c>
      <c r="AL80" s="117"/>
      <c r="AM80" s="118"/>
      <c r="AN80" s="120"/>
      <c r="AO80" s="120"/>
      <c r="AQ80" s="30" t="str">
        <f>IFERROR(INDEX('G-6 Hedgerow Data'!$BJ$3:$BJ$15,MATCH(M80,'G-6 Hedgerow Data'!$B$3:$B$15,0)),"")</f>
        <v/>
      </c>
    </row>
    <row r="81" spans="2:43" ht="15">
      <c r="B81" s="392" t="str">
        <f>'E-1 Off-Site Hedge Baseline'!AN79</f>
        <v/>
      </c>
      <c r="C81" s="382" t="str">
        <f>IF(B81="","",IF(ISNA(VLOOKUP($B81,'E-1 Off-Site Hedge Baseline'!$B$1:$L$257,3,FALSE)),"",(VLOOKUP($B81,'E-1 Off-Site Hedge Baseline'!$B$1:$L$257,3,FALSE))))</f>
        <v/>
      </c>
      <c r="D81" s="382" t="str">
        <f>IF(B81="","",IF(ISNA(VLOOKUP($B81,'E-1 Off-Site Hedge Baseline'!$B$1:$L$258,4,FALSE)),"",(VLOOKUP($B81,'E-1 Off-Site Hedge Baseline'!$B$1:$L$258,4,FALSE))))</f>
        <v/>
      </c>
      <c r="E81" s="382" t="str">
        <f>IF(B81="","",IF(ISNA(VLOOKUP($B81,'E-1 Off-Site Hedge Baseline'!$B$1:$L$257,5,FALSE)),"",(VLOOKUP($B81,'E-1 Off-Site Hedge Baseline'!$B$1:$L$257,5,FALSE))))</f>
        <v/>
      </c>
      <c r="F81" s="382" t="str">
        <f>IF(B81="","",IF(ISNA(VLOOKUP($B81,'E-1 Off-Site Hedge Baseline'!$B$1:$L$257,6,FALSE)),"",(VLOOKUP($B81,'E-1 Off-Site Hedge Baseline'!$B$1:$L$257,6,FALSE))))</f>
        <v/>
      </c>
      <c r="G81" s="382" t="str">
        <f>IF(B81="","",IF(ISNA(VLOOKUP($B81,'E-1 Off-Site Hedge Baseline'!$B$1:$L$257,7,FALSE)),"",(VLOOKUP($B81,'E-1 Off-Site Hedge Baseline'!$B$1:$L$257,7,FALSE))))</f>
        <v/>
      </c>
      <c r="H81" s="382" t="str">
        <f>IF(B81="","",IF(ISNA(VLOOKUP($B81,'E-1 Off-Site Hedge Baseline'!$B$1:$L$257,8,FALSE)),"",(VLOOKUP($B81,'E-1 Off-Site Hedge Baseline'!$B$1:$L$257,8,FALSE))))</f>
        <v/>
      </c>
      <c r="I81" s="382" t="str">
        <f>IF(B81="","",IF(ISNA(VLOOKUP($B81,'E-1 Off-Site Hedge Baseline'!$B$1:$L$257,10,FALSE)),"",(VLOOKUP($B81,'E-1 Off-Site Hedge Baseline'!$B$1:$L$257,10,FALSE))))</f>
        <v/>
      </c>
      <c r="J81" s="382" t="str">
        <f>IF(B81="","",IF(ISNA(VLOOKUP($B81,'E-1 Off-Site Hedge Baseline'!$B$1:$L$257,11,FALSE)),"",(VLOOKUP($B81,'E-1 Off-Site Hedge Baseline'!$B$1:$L$257,11,FALSE))))</f>
        <v/>
      </c>
      <c r="K81" s="382" t="str">
        <f>IF(B81="","",IF(ISNA(VLOOKUP($B81,'E-1 Off-Site Hedge Baseline'!$B$1:$X$257,113,FALSE)),"",(VLOOKUP($B81,'E-1 Off-Site Hedge Baseline'!$B$1:$X$257,13,FALSE))))</f>
        <v/>
      </c>
      <c r="L81" s="370" t="str">
        <f>IF(B81="","",IF(ISNA(VLOOKUP($B81,'E-1 Off-Site Hedge Baseline'!$B$1:$X$257,12,FALSE)),"",(VLOOKUP($B81,'E-1 Off-Site Hedge Baseline'!$B$1:$X$257,12,FALSE))))</f>
        <v/>
      </c>
      <c r="M81" s="316" t="str">
        <f t="shared" si="9"/>
        <v/>
      </c>
      <c r="N81" s="362" t="str">
        <f>IFERROR(IF(B81="","",INDEX('G-6 Hedgerow Data'!$AN$3:$AZ$15,MATCH(C81,'G-6 Hedgerow Data'!$AM$3:$AM$15,0),MATCH(M81,'G-6 Hedgerow Data'!$AN$2:$AZ$2,0))),"")</f>
        <v/>
      </c>
      <c r="O81" s="363" t="str">
        <f t="shared" si="11"/>
        <v/>
      </c>
      <c r="P81" s="368" t="str">
        <f>IF(B81="","",VLOOKUP(B81,'E-1 Off-Site Hedge Baseline'!$B$10:W326,19,FALSE))</f>
        <v/>
      </c>
      <c r="Q81" s="362" t="str">
        <f>IF(M81="","",VLOOKUP(M81,'G-6 Hedgerow Data'!$B$2:$AG$15,2,FALSE))</f>
        <v/>
      </c>
      <c r="R81" s="363" t="str">
        <f>IF(M81="","",VLOOKUP(M81,'G-6 Hedgerow Data'!$B$2:$AG$15,3,FALSE))</f>
        <v/>
      </c>
      <c r="S81" s="114"/>
      <c r="T81" s="363" t="str">
        <f>IFERROR(IF(AND(Q81="V.Low",OR(S81="Good",S81="Moderate")),"Error ▲",VLOOKUP(S81,'G-1 All Habitats'!$Z$2:$AA$9,2,FALSE)),"")</f>
        <v/>
      </c>
      <c r="U81" s="114"/>
      <c r="V81" s="370" t="str">
        <f>IF(U81="","",IF(VLOOKUP(U81,'G-3 Multipliers'!$L$3:$N$6,2,FALSE)=0,"Spatial Data Missing ⚠",VLOOKUP(U81,'G-3 Multipliers'!$L$3:$N$6,2,FALSE)))</f>
        <v/>
      </c>
      <c r="W81" s="368" t="str">
        <f>IF(U81="","",IF(VLOOKUP(U81,'G-3 Multipliers'!$L$3:$N$6,3,FALSE)=0,"Spatial Data Missing ⚠",VLOOKUP(U81,'G-3 Multipliers'!$L$3:$N$6,3,FALSE)))</f>
        <v/>
      </c>
      <c r="X81" s="362" t="str">
        <f>IFERROR(IF(OR(LEFT(O81,5)="Error",LEFT(N81,5)="Error",T81="Error"),"Check Data ⚠",IF(F81&lt;R81,INDEX('G-6 Hedgerow Data'!$S$3:$AE$14,MATCH(C81,'G-6 Hedgerow Data'!$B$3:$B$14,0),MATCH(M81,'G-6 Hedgerow Data'!$S$2:$AE$2,0)),INDEX('G-6 Hedgerow Data'!$K$3:$Q$14,MATCH(M81,'G-6 Hedgerow Data'!$B$3:$B$14,0),MATCH(O81,'G-6 Hedgerow Data'!$K$2:$Q$2,0)))),"")</f>
        <v/>
      </c>
      <c r="Y81" s="159"/>
      <c r="Z81" s="159"/>
      <c r="AA81" s="370" t="str">
        <f t="shared" si="12"/>
        <v/>
      </c>
      <c r="AB81" s="383" t="str">
        <f t="shared" si="13"/>
        <v/>
      </c>
      <c r="AC81" s="384" t="str">
        <f t="shared" si="10"/>
        <v/>
      </c>
      <c r="AD81" s="398" t="str">
        <f>IF(M81="","",VLOOKUP(M81,'G-6 Hedgerow Data'!$B$3:$AG$15,31,FALSE))</f>
        <v/>
      </c>
      <c r="AE81" s="382" t="str">
        <f t="shared" si="14"/>
        <v/>
      </c>
      <c r="AF81" s="382" t="str">
        <f t="shared" si="15"/>
        <v/>
      </c>
      <c r="AG81" s="386" t="str">
        <f>IFERROR(IF(O81="","",VLOOKUP(AD81,'G-3 Multipliers'!$P$3:$Q$6,2,FALSE)),"")</f>
        <v/>
      </c>
      <c r="AH81" s="160"/>
      <c r="AI81" s="363" t="str">
        <f>IF(AH81="","",IF(VLOOKUP(AH81,'G-3 Multipliers'!$S$3:$T$10,2,FALSE)=0,"Spatial Data Missing ⚠",VLOOKUP(AH81,'G-3 Multipliers'!$S$3:$T$10,2,FALSE)))</f>
        <v/>
      </c>
      <c r="AJ81" s="405" t="str">
        <f t="shared" si="16"/>
        <v/>
      </c>
      <c r="AK81" s="376" t="str">
        <f t="shared" si="17"/>
        <v/>
      </c>
      <c r="AL81" s="117"/>
      <c r="AM81" s="118"/>
      <c r="AN81" s="120"/>
      <c r="AO81" s="120"/>
      <c r="AQ81" s="30" t="str">
        <f>IFERROR(INDEX('G-6 Hedgerow Data'!$BJ$3:$BJ$15,MATCH(M81,'G-6 Hedgerow Data'!$B$3:$B$15,0)),"")</f>
        <v/>
      </c>
    </row>
    <row r="82" spans="2:43" ht="15">
      <c r="B82" s="392" t="str">
        <f>'E-1 Off-Site Hedge Baseline'!AN80</f>
        <v/>
      </c>
      <c r="C82" s="382" t="str">
        <f>IF(B82="","",IF(ISNA(VLOOKUP($B82,'E-1 Off-Site Hedge Baseline'!$B$1:$L$257,3,FALSE)),"",(VLOOKUP($B82,'E-1 Off-Site Hedge Baseline'!$B$1:$L$257,3,FALSE))))</f>
        <v/>
      </c>
      <c r="D82" s="382" t="str">
        <f>IF(B82="","",IF(ISNA(VLOOKUP($B82,'E-1 Off-Site Hedge Baseline'!$B$1:$L$258,4,FALSE)),"",(VLOOKUP($B82,'E-1 Off-Site Hedge Baseline'!$B$1:$L$258,4,FALSE))))</f>
        <v/>
      </c>
      <c r="E82" s="382" t="str">
        <f>IF(B82="","",IF(ISNA(VLOOKUP($B82,'E-1 Off-Site Hedge Baseline'!$B$1:$L$257,5,FALSE)),"",(VLOOKUP($B82,'E-1 Off-Site Hedge Baseline'!$B$1:$L$257,5,FALSE))))</f>
        <v/>
      </c>
      <c r="F82" s="382" t="str">
        <f>IF(B82="","",IF(ISNA(VLOOKUP($B82,'E-1 Off-Site Hedge Baseline'!$B$1:$L$257,6,FALSE)),"",(VLOOKUP($B82,'E-1 Off-Site Hedge Baseline'!$B$1:$L$257,6,FALSE))))</f>
        <v/>
      </c>
      <c r="G82" s="382" t="str">
        <f>IF(B82="","",IF(ISNA(VLOOKUP($B82,'E-1 Off-Site Hedge Baseline'!$B$1:$L$257,7,FALSE)),"",(VLOOKUP($B82,'E-1 Off-Site Hedge Baseline'!$B$1:$L$257,7,FALSE))))</f>
        <v/>
      </c>
      <c r="H82" s="382" t="str">
        <f>IF(B82="","",IF(ISNA(VLOOKUP($B82,'E-1 Off-Site Hedge Baseline'!$B$1:$L$257,8,FALSE)),"",(VLOOKUP($B82,'E-1 Off-Site Hedge Baseline'!$B$1:$L$257,8,FALSE))))</f>
        <v/>
      </c>
      <c r="I82" s="382" t="str">
        <f>IF(B82="","",IF(ISNA(VLOOKUP($B82,'E-1 Off-Site Hedge Baseline'!$B$1:$L$257,10,FALSE)),"",(VLOOKUP($B82,'E-1 Off-Site Hedge Baseline'!$B$1:$L$257,10,FALSE))))</f>
        <v/>
      </c>
      <c r="J82" s="382" t="str">
        <f>IF(B82="","",IF(ISNA(VLOOKUP($B82,'E-1 Off-Site Hedge Baseline'!$B$1:$L$257,11,FALSE)),"",(VLOOKUP($B82,'E-1 Off-Site Hedge Baseline'!$B$1:$L$257,11,FALSE))))</f>
        <v/>
      </c>
      <c r="K82" s="382" t="str">
        <f>IF(B82="","",IF(ISNA(VLOOKUP($B82,'E-1 Off-Site Hedge Baseline'!$B$1:$X$257,113,FALSE)),"",(VLOOKUP($B82,'E-1 Off-Site Hedge Baseline'!$B$1:$X$257,13,FALSE))))</f>
        <v/>
      </c>
      <c r="L82" s="370" t="str">
        <f>IF(B82="","",IF(ISNA(VLOOKUP($B82,'E-1 Off-Site Hedge Baseline'!$B$1:$X$257,12,FALSE)),"",(VLOOKUP($B82,'E-1 Off-Site Hedge Baseline'!$B$1:$X$257,12,FALSE))))</f>
        <v/>
      </c>
      <c r="M82" s="316" t="str">
        <f t="shared" si="9"/>
        <v/>
      </c>
      <c r="N82" s="362" t="str">
        <f>IFERROR(IF(B82="","",INDEX('G-6 Hedgerow Data'!$AN$3:$AZ$15,MATCH(C82,'G-6 Hedgerow Data'!$AM$3:$AM$15,0),MATCH(M82,'G-6 Hedgerow Data'!$AN$2:$AZ$2,0))),"")</f>
        <v/>
      </c>
      <c r="O82" s="363" t="str">
        <f t="shared" si="11"/>
        <v/>
      </c>
      <c r="P82" s="368" t="str">
        <f>IF(B82="","",VLOOKUP(B82,'E-1 Off-Site Hedge Baseline'!$B$10:W327,19,FALSE))</f>
        <v/>
      </c>
      <c r="Q82" s="362" t="str">
        <f>IF(M82="","",VLOOKUP(M82,'G-6 Hedgerow Data'!$B$2:$AG$15,2,FALSE))</f>
        <v/>
      </c>
      <c r="R82" s="363" t="str">
        <f>IF(M82="","",VLOOKUP(M82,'G-6 Hedgerow Data'!$B$2:$AG$15,3,FALSE))</f>
        <v/>
      </c>
      <c r="S82" s="114"/>
      <c r="T82" s="363" t="str">
        <f>IFERROR(IF(AND(Q82="V.Low",OR(S82="Good",S82="Moderate")),"Error ▲",VLOOKUP(S82,'G-1 All Habitats'!$Z$2:$AA$9,2,FALSE)),"")</f>
        <v/>
      </c>
      <c r="U82" s="114"/>
      <c r="V82" s="370" t="str">
        <f>IF(U82="","",IF(VLOOKUP(U82,'G-3 Multipliers'!$L$3:$N$6,2,FALSE)=0,"Spatial Data Missing ⚠",VLOOKUP(U82,'G-3 Multipliers'!$L$3:$N$6,2,FALSE)))</f>
        <v/>
      </c>
      <c r="W82" s="368" t="str">
        <f>IF(U82="","",IF(VLOOKUP(U82,'G-3 Multipliers'!$L$3:$N$6,3,FALSE)=0,"Spatial Data Missing ⚠",VLOOKUP(U82,'G-3 Multipliers'!$L$3:$N$6,3,FALSE)))</f>
        <v/>
      </c>
      <c r="X82" s="362" t="str">
        <f>IFERROR(IF(OR(LEFT(O82,5)="Error",LEFT(N82,5)="Error",T82="Error"),"Check Data ⚠",IF(F82&lt;R82,INDEX('G-6 Hedgerow Data'!$S$3:$AE$14,MATCH(C82,'G-6 Hedgerow Data'!$B$3:$B$14,0),MATCH(M82,'G-6 Hedgerow Data'!$S$2:$AE$2,0)),INDEX('G-6 Hedgerow Data'!$K$3:$Q$14,MATCH(M82,'G-6 Hedgerow Data'!$B$3:$B$14,0),MATCH(O82,'G-6 Hedgerow Data'!$K$2:$Q$2,0)))),"")</f>
        <v/>
      </c>
      <c r="Y82" s="159"/>
      <c r="Z82" s="159"/>
      <c r="AA82" s="370" t="str">
        <f t="shared" si="12"/>
        <v/>
      </c>
      <c r="AB82" s="383" t="str">
        <f t="shared" si="13"/>
        <v/>
      </c>
      <c r="AC82" s="384" t="str">
        <f t="shared" si="10"/>
        <v/>
      </c>
      <c r="AD82" s="398" t="str">
        <f>IF(M82="","",VLOOKUP(M82,'G-6 Hedgerow Data'!$B$3:$AG$15,31,FALSE))</f>
        <v/>
      </c>
      <c r="AE82" s="382" t="str">
        <f t="shared" si="14"/>
        <v/>
      </c>
      <c r="AF82" s="382" t="str">
        <f t="shared" si="15"/>
        <v/>
      </c>
      <c r="AG82" s="386" t="str">
        <f>IFERROR(IF(O82="","",VLOOKUP(AD82,'G-3 Multipliers'!$P$3:$Q$6,2,FALSE)),"")</f>
        <v/>
      </c>
      <c r="AH82" s="160"/>
      <c r="AI82" s="363" t="str">
        <f>IF(AH82="","",IF(VLOOKUP(AH82,'G-3 Multipliers'!$S$3:$T$10,2,FALSE)=0,"Spatial Data Missing ⚠",VLOOKUP(AH82,'G-3 Multipliers'!$S$3:$T$10,2,FALSE)))</f>
        <v/>
      </c>
      <c r="AJ82" s="405" t="str">
        <f t="shared" si="16"/>
        <v/>
      </c>
      <c r="AK82" s="376" t="str">
        <f t="shared" si="17"/>
        <v/>
      </c>
      <c r="AL82" s="117"/>
      <c r="AM82" s="118"/>
      <c r="AN82" s="120"/>
      <c r="AO82" s="120"/>
      <c r="AQ82" s="30" t="str">
        <f>IFERROR(INDEX('G-6 Hedgerow Data'!$BJ$3:$BJ$15,MATCH(M82,'G-6 Hedgerow Data'!$B$3:$B$15,0)),"")</f>
        <v/>
      </c>
    </row>
    <row r="83" spans="2:43" ht="15">
      <c r="B83" s="392" t="str">
        <f>'E-1 Off-Site Hedge Baseline'!AN81</f>
        <v/>
      </c>
      <c r="C83" s="382" t="str">
        <f>IF(B83="","",IF(ISNA(VLOOKUP($B83,'E-1 Off-Site Hedge Baseline'!$B$1:$L$257,3,FALSE)),"",(VLOOKUP($B83,'E-1 Off-Site Hedge Baseline'!$B$1:$L$257,3,FALSE))))</f>
        <v/>
      </c>
      <c r="D83" s="382" t="str">
        <f>IF(B83="","",IF(ISNA(VLOOKUP($B83,'E-1 Off-Site Hedge Baseline'!$B$1:$L$258,4,FALSE)),"",(VLOOKUP($B83,'E-1 Off-Site Hedge Baseline'!$B$1:$L$258,4,FALSE))))</f>
        <v/>
      </c>
      <c r="E83" s="382" t="str">
        <f>IF(B83="","",IF(ISNA(VLOOKUP($B83,'E-1 Off-Site Hedge Baseline'!$B$1:$L$257,5,FALSE)),"",(VLOOKUP($B83,'E-1 Off-Site Hedge Baseline'!$B$1:$L$257,5,FALSE))))</f>
        <v/>
      </c>
      <c r="F83" s="382" t="str">
        <f>IF(B83="","",IF(ISNA(VLOOKUP($B83,'E-1 Off-Site Hedge Baseline'!$B$1:$L$257,6,FALSE)),"",(VLOOKUP($B83,'E-1 Off-Site Hedge Baseline'!$B$1:$L$257,6,FALSE))))</f>
        <v/>
      </c>
      <c r="G83" s="382" t="str">
        <f>IF(B83="","",IF(ISNA(VLOOKUP($B83,'E-1 Off-Site Hedge Baseline'!$B$1:$L$257,7,FALSE)),"",(VLOOKUP($B83,'E-1 Off-Site Hedge Baseline'!$B$1:$L$257,7,FALSE))))</f>
        <v/>
      </c>
      <c r="H83" s="382" t="str">
        <f>IF(B83="","",IF(ISNA(VLOOKUP($B83,'E-1 Off-Site Hedge Baseline'!$B$1:$L$257,8,FALSE)),"",(VLOOKUP($B83,'E-1 Off-Site Hedge Baseline'!$B$1:$L$257,8,FALSE))))</f>
        <v/>
      </c>
      <c r="I83" s="382" t="str">
        <f>IF(B83="","",IF(ISNA(VLOOKUP($B83,'E-1 Off-Site Hedge Baseline'!$B$1:$L$257,10,FALSE)),"",(VLOOKUP($B83,'E-1 Off-Site Hedge Baseline'!$B$1:$L$257,10,FALSE))))</f>
        <v/>
      </c>
      <c r="J83" s="382" t="str">
        <f>IF(B83="","",IF(ISNA(VLOOKUP($B83,'E-1 Off-Site Hedge Baseline'!$B$1:$L$257,11,FALSE)),"",(VLOOKUP($B83,'E-1 Off-Site Hedge Baseline'!$B$1:$L$257,11,FALSE))))</f>
        <v/>
      </c>
      <c r="K83" s="382" t="str">
        <f>IF(B83="","",IF(ISNA(VLOOKUP($B83,'E-1 Off-Site Hedge Baseline'!$B$1:$X$257,113,FALSE)),"",(VLOOKUP($B83,'E-1 Off-Site Hedge Baseline'!$B$1:$X$257,13,FALSE))))</f>
        <v/>
      </c>
      <c r="L83" s="370" t="str">
        <f>IF(B83="","",IF(ISNA(VLOOKUP($B83,'E-1 Off-Site Hedge Baseline'!$B$1:$X$257,12,FALSE)),"",(VLOOKUP($B83,'E-1 Off-Site Hedge Baseline'!$B$1:$X$257,12,FALSE))))</f>
        <v/>
      </c>
      <c r="M83" s="316" t="str">
        <f t="shared" si="9"/>
        <v/>
      </c>
      <c r="N83" s="362" t="str">
        <f>IFERROR(IF(B83="","",INDEX('G-6 Hedgerow Data'!$AN$3:$AZ$15,MATCH(C83,'G-6 Hedgerow Data'!$AM$3:$AM$15,0),MATCH(M83,'G-6 Hedgerow Data'!$AN$2:$AZ$2,0))),"")</f>
        <v/>
      </c>
      <c r="O83" s="363" t="str">
        <f t="shared" si="11"/>
        <v/>
      </c>
      <c r="P83" s="368" t="str">
        <f>IF(B83="","",VLOOKUP(B83,'E-1 Off-Site Hedge Baseline'!$B$10:W328,19,FALSE))</f>
        <v/>
      </c>
      <c r="Q83" s="362" t="str">
        <f>IF(M83="","",VLOOKUP(M83,'G-6 Hedgerow Data'!$B$2:$AG$15,2,FALSE))</f>
        <v/>
      </c>
      <c r="R83" s="363" t="str">
        <f>IF(M83="","",VLOOKUP(M83,'G-6 Hedgerow Data'!$B$2:$AG$15,3,FALSE))</f>
        <v/>
      </c>
      <c r="S83" s="114"/>
      <c r="T83" s="363" t="str">
        <f>IFERROR(IF(AND(Q83="V.Low",OR(S83="Good",S83="Moderate")),"Error ▲",VLOOKUP(S83,'G-1 All Habitats'!$Z$2:$AA$9,2,FALSE)),"")</f>
        <v/>
      </c>
      <c r="U83" s="114"/>
      <c r="V83" s="370" t="str">
        <f>IF(U83="","",IF(VLOOKUP(U83,'G-3 Multipliers'!$L$3:$N$6,2,FALSE)=0,"Spatial Data Missing ⚠",VLOOKUP(U83,'G-3 Multipliers'!$L$3:$N$6,2,FALSE)))</f>
        <v/>
      </c>
      <c r="W83" s="368" t="str">
        <f>IF(U83="","",IF(VLOOKUP(U83,'G-3 Multipliers'!$L$3:$N$6,3,FALSE)=0,"Spatial Data Missing ⚠",VLOOKUP(U83,'G-3 Multipliers'!$L$3:$N$6,3,FALSE)))</f>
        <v/>
      </c>
      <c r="X83" s="362" t="str">
        <f>IFERROR(IF(OR(LEFT(O83,5)="Error",LEFT(N83,5)="Error",T83="Error"),"Check Data ⚠",IF(F83&lt;R83,INDEX('G-6 Hedgerow Data'!$S$3:$AE$14,MATCH(C83,'G-6 Hedgerow Data'!$B$3:$B$14,0),MATCH(M83,'G-6 Hedgerow Data'!$S$2:$AE$2,0)),INDEX('G-6 Hedgerow Data'!$K$3:$Q$14,MATCH(M83,'G-6 Hedgerow Data'!$B$3:$B$14,0),MATCH(O83,'G-6 Hedgerow Data'!$K$2:$Q$2,0)))),"")</f>
        <v/>
      </c>
      <c r="Y83" s="159"/>
      <c r="Z83" s="159"/>
      <c r="AA83" s="370" t="str">
        <f t="shared" si="12"/>
        <v/>
      </c>
      <c r="AB83" s="383" t="str">
        <f t="shared" si="13"/>
        <v/>
      </c>
      <c r="AC83" s="384" t="str">
        <f t="shared" si="10"/>
        <v/>
      </c>
      <c r="AD83" s="398" t="str">
        <f>IF(M83="","",VLOOKUP(M83,'G-6 Hedgerow Data'!$B$3:$AG$15,31,FALSE))</f>
        <v/>
      </c>
      <c r="AE83" s="382" t="str">
        <f t="shared" si="14"/>
        <v/>
      </c>
      <c r="AF83" s="382" t="str">
        <f t="shared" si="15"/>
        <v/>
      </c>
      <c r="AG83" s="386" t="str">
        <f>IFERROR(IF(O83="","",VLOOKUP(AD83,'G-3 Multipliers'!$P$3:$Q$6,2,FALSE)),"")</f>
        <v/>
      </c>
      <c r="AH83" s="160"/>
      <c r="AI83" s="363" t="str">
        <f>IF(AH83="","",IF(VLOOKUP(AH83,'G-3 Multipliers'!$S$3:$T$10,2,FALSE)=0,"Spatial Data Missing ⚠",VLOOKUP(AH83,'G-3 Multipliers'!$S$3:$T$10,2,FALSE)))</f>
        <v/>
      </c>
      <c r="AJ83" s="405" t="str">
        <f t="shared" si="16"/>
        <v/>
      </c>
      <c r="AK83" s="376" t="str">
        <f t="shared" si="17"/>
        <v/>
      </c>
      <c r="AL83" s="117"/>
      <c r="AM83" s="118"/>
      <c r="AN83" s="120"/>
      <c r="AO83" s="120"/>
      <c r="AQ83" s="30" t="str">
        <f>IFERROR(INDEX('G-6 Hedgerow Data'!$BJ$3:$BJ$15,MATCH(M83,'G-6 Hedgerow Data'!$B$3:$B$15,0)),"")</f>
        <v/>
      </c>
    </row>
    <row r="84" spans="2:43" ht="15">
      <c r="B84" s="392" t="str">
        <f>'E-1 Off-Site Hedge Baseline'!AN82</f>
        <v/>
      </c>
      <c r="C84" s="382" t="str">
        <f>IF(B84="","",IF(ISNA(VLOOKUP($B84,'E-1 Off-Site Hedge Baseline'!$B$1:$L$257,3,FALSE)),"",(VLOOKUP($B84,'E-1 Off-Site Hedge Baseline'!$B$1:$L$257,3,FALSE))))</f>
        <v/>
      </c>
      <c r="D84" s="382" t="str">
        <f>IF(B84="","",IF(ISNA(VLOOKUP($B84,'E-1 Off-Site Hedge Baseline'!$B$1:$L$258,4,FALSE)),"",(VLOOKUP($B84,'E-1 Off-Site Hedge Baseline'!$B$1:$L$258,4,FALSE))))</f>
        <v/>
      </c>
      <c r="E84" s="382" t="str">
        <f>IF(B84="","",IF(ISNA(VLOOKUP($B84,'E-1 Off-Site Hedge Baseline'!$B$1:$L$257,5,FALSE)),"",(VLOOKUP($B84,'E-1 Off-Site Hedge Baseline'!$B$1:$L$257,5,FALSE))))</f>
        <v/>
      </c>
      <c r="F84" s="382" t="str">
        <f>IF(B84="","",IF(ISNA(VLOOKUP($B84,'E-1 Off-Site Hedge Baseline'!$B$1:$L$257,6,FALSE)),"",(VLOOKUP($B84,'E-1 Off-Site Hedge Baseline'!$B$1:$L$257,6,FALSE))))</f>
        <v/>
      </c>
      <c r="G84" s="382" t="str">
        <f>IF(B84="","",IF(ISNA(VLOOKUP($B84,'E-1 Off-Site Hedge Baseline'!$B$1:$L$257,7,FALSE)),"",(VLOOKUP($B84,'E-1 Off-Site Hedge Baseline'!$B$1:$L$257,7,FALSE))))</f>
        <v/>
      </c>
      <c r="H84" s="382" t="str">
        <f>IF(B84="","",IF(ISNA(VLOOKUP($B84,'E-1 Off-Site Hedge Baseline'!$B$1:$L$257,8,FALSE)),"",(VLOOKUP($B84,'E-1 Off-Site Hedge Baseline'!$B$1:$L$257,8,FALSE))))</f>
        <v/>
      </c>
      <c r="I84" s="382" t="str">
        <f>IF(B84="","",IF(ISNA(VLOOKUP($B84,'E-1 Off-Site Hedge Baseline'!$B$1:$L$257,10,FALSE)),"",(VLOOKUP($B84,'E-1 Off-Site Hedge Baseline'!$B$1:$L$257,10,FALSE))))</f>
        <v/>
      </c>
      <c r="J84" s="382" t="str">
        <f>IF(B84="","",IF(ISNA(VLOOKUP($B84,'E-1 Off-Site Hedge Baseline'!$B$1:$L$257,11,FALSE)),"",(VLOOKUP($B84,'E-1 Off-Site Hedge Baseline'!$B$1:$L$257,11,FALSE))))</f>
        <v/>
      </c>
      <c r="K84" s="382" t="str">
        <f>IF(B84="","",IF(ISNA(VLOOKUP($B84,'E-1 Off-Site Hedge Baseline'!$B$1:$X$257,113,FALSE)),"",(VLOOKUP($B84,'E-1 Off-Site Hedge Baseline'!$B$1:$X$257,13,FALSE))))</f>
        <v/>
      </c>
      <c r="L84" s="370" t="str">
        <f>IF(B84="","",IF(ISNA(VLOOKUP($B84,'E-1 Off-Site Hedge Baseline'!$B$1:$X$257,12,FALSE)),"",(VLOOKUP($B84,'E-1 Off-Site Hedge Baseline'!$B$1:$X$257,12,FALSE))))</f>
        <v/>
      </c>
      <c r="M84" s="316" t="str">
        <f t="shared" si="9"/>
        <v/>
      </c>
      <c r="N84" s="362" t="str">
        <f>IFERROR(IF(B84="","",INDEX('G-6 Hedgerow Data'!$AN$3:$AZ$15,MATCH(C84,'G-6 Hedgerow Data'!$AM$3:$AM$15,0),MATCH(M84,'G-6 Hedgerow Data'!$AN$2:$AZ$2,0))),"")</f>
        <v/>
      </c>
      <c r="O84" s="363" t="str">
        <f t="shared" si="11"/>
        <v/>
      </c>
      <c r="P84" s="368" t="str">
        <f>IF(B84="","",VLOOKUP(B84,'E-1 Off-Site Hedge Baseline'!$B$10:W329,19,FALSE))</f>
        <v/>
      </c>
      <c r="Q84" s="362" t="str">
        <f>IF(M84="","",VLOOKUP(M84,'G-6 Hedgerow Data'!$B$2:$AG$15,2,FALSE))</f>
        <v/>
      </c>
      <c r="R84" s="363" t="str">
        <f>IF(M84="","",VLOOKUP(M84,'G-6 Hedgerow Data'!$B$2:$AG$15,3,FALSE))</f>
        <v/>
      </c>
      <c r="S84" s="114"/>
      <c r="T84" s="363" t="str">
        <f>IFERROR(IF(AND(Q84="V.Low",OR(S84="Good",S84="Moderate")),"Error ▲",VLOOKUP(S84,'G-1 All Habitats'!$Z$2:$AA$9,2,FALSE)),"")</f>
        <v/>
      </c>
      <c r="U84" s="114"/>
      <c r="V84" s="370" t="str">
        <f>IF(U84="","",IF(VLOOKUP(U84,'G-3 Multipliers'!$L$3:$N$6,2,FALSE)=0,"Spatial Data Missing ⚠",VLOOKUP(U84,'G-3 Multipliers'!$L$3:$N$6,2,FALSE)))</f>
        <v/>
      </c>
      <c r="W84" s="368" t="str">
        <f>IF(U84="","",IF(VLOOKUP(U84,'G-3 Multipliers'!$L$3:$N$6,3,FALSE)=0,"Spatial Data Missing ⚠",VLOOKUP(U84,'G-3 Multipliers'!$L$3:$N$6,3,FALSE)))</f>
        <v/>
      </c>
      <c r="X84" s="362" t="str">
        <f>IFERROR(IF(OR(LEFT(O84,5)="Error",LEFT(N84,5)="Error",T84="Error"),"Check Data ⚠",IF(F84&lt;R84,INDEX('G-6 Hedgerow Data'!$S$3:$AE$14,MATCH(C84,'G-6 Hedgerow Data'!$B$3:$B$14,0),MATCH(M84,'G-6 Hedgerow Data'!$S$2:$AE$2,0)),INDEX('G-6 Hedgerow Data'!$K$3:$Q$14,MATCH(M84,'G-6 Hedgerow Data'!$B$3:$B$14,0),MATCH(O84,'G-6 Hedgerow Data'!$K$2:$Q$2,0)))),"")</f>
        <v/>
      </c>
      <c r="Y84" s="159"/>
      <c r="Z84" s="159"/>
      <c r="AA84" s="370" t="str">
        <f t="shared" si="12"/>
        <v/>
      </c>
      <c r="AB84" s="383" t="str">
        <f t="shared" si="13"/>
        <v/>
      </c>
      <c r="AC84" s="384" t="str">
        <f t="shared" si="10"/>
        <v/>
      </c>
      <c r="AD84" s="398" t="str">
        <f>IF(M84="","",VLOOKUP(M84,'G-6 Hedgerow Data'!$B$3:$AG$15,31,FALSE))</f>
        <v/>
      </c>
      <c r="AE84" s="382" t="str">
        <f t="shared" si="14"/>
        <v/>
      </c>
      <c r="AF84" s="382" t="str">
        <f t="shared" si="15"/>
        <v/>
      </c>
      <c r="AG84" s="386" t="str">
        <f>IFERROR(IF(O84="","",VLOOKUP(AD84,'G-3 Multipliers'!$P$3:$Q$6,2,FALSE)),"")</f>
        <v/>
      </c>
      <c r="AH84" s="160"/>
      <c r="AI84" s="363" t="str">
        <f>IF(AH84="","",IF(VLOOKUP(AH84,'G-3 Multipliers'!$S$3:$T$10,2,FALSE)=0,"Spatial Data Missing ⚠",VLOOKUP(AH84,'G-3 Multipliers'!$S$3:$T$10,2,FALSE)))</f>
        <v/>
      </c>
      <c r="AJ84" s="405" t="str">
        <f t="shared" si="16"/>
        <v/>
      </c>
      <c r="AK84" s="376" t="str">
        <f t="shared" si="17"/>
        <v/>
      </c>
      <c r="AL84" s="117"/>
      <c r="AM84" s="118"/>
      <c r="AN84" s="120"/>
      <c r="AO84" s="120"/>
      <c r="AQ84" s="30" t="str">
        <f>IFERROR(INDEX('G-6 Hedgerow Data'!$BJ$3:$BJ$15,MATCH(M84,'G-6 Hedgerow Data'!$B$3:$B$15,0)),"")</f>
        <v/>
      </c>
    </row>
    <row r="85" spans="2:43" ht="15">
      <c r="B85" s="392" t="str">
        <f>'E-1 Off-Site Hedge Baseline'!AN83</f>
        <v/>
      </c>
      <c r="C85" s="382" t="str">
        <f>IF(B85="","",IF(ISNA(VLOOKUP($B85,'E-1 Off-Site Hedge Baseline'!$B$1:$L$257,3,FALSE)),"",(VLOOKUP($B85,'E-1 Off-Site Hedge Baseline'!$B$1:$L$257,3,FALSE))))</f>
        <v/>
      </c>
      <c r="D85" s="382" t="str">
        <f>IF(B85="","",IF(ISNA(VLOOKUP($B85,'E-1 Off-Site Hedge Baseline'!$B$1:$L$258,4,FALSE)),"",(VLOOKUP($B85,'E-1 Off-Site Hedge Baseline'!$B$1:$L$258,4,FALSE))))</f>
        <v/>
      </c>
      <c r="E85" s="382" t="str">
        <f>IF(B85="","",IF(ISNA(VLOOKUP($B85,'E-1 Off-Site Hedge Baseline'!$B$1:$L$257,5,FALSE)),"",(VLOOKUP($B85,'E-1 Off-Site Hedge Baseline'!$B$1:$L$257,5,FALSE))))</f>
        <v/>
      </c>
      <c r="F85" s="382" t="str">
        <f>IF(B85="","",IF(ISNA(VLOOKUP($B85,'E-1 Off-Site Hedge Baseline'!$B$1:$L$257,6,FALSE)),"",(VLOOKUP($B85,'E-1 Off-Site Hedge Baseline'!$B$1:$L$257,6,FALSE))))</f>
        <v/>
      </c>
      <c r="G85" s="382" t="str">
        <f>IF(B85="","",IF(ISNA(VLOOKUP($B85,'E-1 Off-Site Hedge Baseline'!$B$1:$L$257,7,FALSE)),"",(VLOOKUP($B85,'E-1 Off-Site Hedge Baseline'!$B$1:$L$257,7,FALSE))))</f>
        <v/>
      </c>
      <c r="H85" s="382" t="str">
        <f>IF(B85="","",IF(ISNA(VLOOKUP($B85,'E-1 Off-Site Hedge Baseline'!$B$1:$L$257,8,FALSE)),"",(VLOOKUP($B85,'E-1 Off-Site Hedge Baseline'!$B$1:$L$257,8,FALSE))))</f>
        <v/>
      </c>
      <c r="I85" s="382" t="str">
        <f>IF(B85="","",IF(ISNA(VLOOKUP($B85,'E-1 Off-Site Hedge Baseline'!$B$1:$L$257,10,FALSE)),"",(VLOOKUP($B85,'E-1 Off-Site Hedge Baseline'!$B$1:$L$257,10,FALSE))))</f>
        <v/>
      </c>
      <c r="J85" s="382" t="str">
        <f>IF(B85="","",IF(ISNA(VLOOKUP($B85,'E-1 Off-Site Hedge Baseline'!$B$1:$L$257,11,FALSE)),"",(VLOOKUP($B85,'E-1 Off-Site Hedge Baseline'!$B$1:$L$257,11,FALSE))))</f>
        <v/>
      </c>
      <c r="K85" s="382" t="str">
        <f>IF(B85="","",IF(ISNA(VLOOKUP($B85,'E-1 Off-Site Hedge Baseline'!$B$1:$X$257,113,FALSE)),"",(VLOOKUP($B85,'E-1 Off-Site Hedge Baseline'!$B$1:$X$257,13,FALSE))))</f>
        <v/>
      </c>
      <c r="L85" s="370" t="str">
        <f>IF(B85="","",IF(ISNA(VLOOKUP($B85,'E-1 Off-Site Hedge Baseline'!$B$1:$X$257,12,FALSE)),"",(VLOOKUP($B85,'E-1 Off-Site Hedge Baseline'!$B$1:$X$257,12,FALSE))))</f>
        <v/>
      </c>
      <c r="M85" s="316" t="str">
        <f t="shared" si="9"/>
        <v/>
      </c>
      <c r="N85" s="362" t="str">
        <f>IFERROR(IF(B85="","",INDEX('G-6 Hedgerow Data'!$AN$3:$AZ$15,MATCH(C85,'G-6 Hedgerow Data'!$AM$3:$AM$15,0),MATCH(M85,'G-6 Hedgerow Data'!$AN$2:$AZ$2,0))),"")</f>
        <v/>
      </c>
      <c r="O85" s="363" t="str">
        <f t="shared" si="11"/>
        <v/>
      </c>
      <c r="P85" s="368" t="str">
        <f>IF(B85="","",VLOOKUP(B85,'E-1 Off-Site Hedge Baseline'!$B$10:W330,19,FALSE))</f>
        <v/>
      </c>
      <c r="Q85" s="362" t="str">
        <f>IF(M85="","",VLOOKUP(M85,'G-6 Hedgerow Data'!$B$2:$AG$15,2,FALSE))</f>
        <v/>
      </c>
      <c r="R85" s="363" t="str">
        <f>IF(M85="","",VLOOKUP(M85,'G-6 Hedgerow Data'!$B$2:$AG$15,3,FALSE))</f>
        <v/>
      </c>
      <c r="S85" s="114"/>
      <c r="T85" s="363" t="str">
        <f>IFERROR(IF(AND(Q85="V.Low",OR(S85="Good",S85="Moderate")),"Error ▲",VLOOKUP(S85,'G-1 All Habitats'!$Z$2:$AA$9,2,FALSE)),"")</f>
        <v/>
      </c>
      <c r="U85" s="114"/>
      <c r="V85" s="370" t="str">
        <f>IF(U85="","",IF(VLOOKUP(U85,'G-3 Multipliers'!$L$3:$N$6,2,FALSE)=0,"Spatial Data Missing ⚠",VLOOKUP(U85,'G-3 Multipliers'!$L$3:$N$6,2,FALSE)))</f>
        <v/>
      </c>
      <c r="W85" s="368" t="str">
        <f>IF(U85="","",IF(VLOOKUP(U85,'G-3 Multipliers'!$L$3:$N$6,3,FALSE)=0,"Spatial Data Missing ⚠",VLOOKUP(U85,'G-3 Multipliers'!$L$3:$N$6,3,FALSE)))</f>
        <v/>
      </c>
      <c r="X85" s="362" t="str">
        <f>IFERROR(IF(OR(LEFT(O85,5)="Error",LEFT(N85,5)="Error",T85="Error"),"Check Data ⚠",IF(F85&lt;R85,INDEX('G-6 Hedgerow Data'!$S$3:$AE$14,MATCH(C85,'G-6 Hedgerow Data'!$B$3:$B$14,0),MATCH(M85,'G-6 Hedgerow Data'!$S$2:$AE$2,0)),INDEX('G-6 Hedgerow Data'!$K$3:$Q$14,MATCH(M85,'G-6 Hedgerow Data'!$B$3:$B$14,0),MATCH(O85,'G-6 Hedgerow Data'!$K$2:$Q$2,0)))),"")</f>
        <v/>
      </c>
      <c r="Y85" s="159"/>
      <c r="Z85" s="159"/>
      <c r="AA85" s="370" t="str">
        <f t="shared" si="12"/>
        <v/>
      </c>
      <c r="AB85" s="383" t="str">
        <f t="shared" si="13"/>
        <v/>
      </c>
      <c r="AC85" s="384" t="str">
        <f t="shared" si="10"/>
        <v/>
      </c>
      <c r="AD85" s="398" t="str">
        <f>IF(M85="","",VLOOKUP(M85,'G-6 Hedgerow Data'!$B$3:$AG$15,31,FALSE))</f>
        <v/>
      </c>
      <c r="AE85" s="382" t="str">
        <f t="shared" si="14"/>
        <v/>
      </c>
      <c r="AF85" s="382" t="str">
        <f t="shared" si="15"/>
        <v/>
      </c>
      <c r="AG85" s="386" t="str">
        <f>IFERROR(IF(O85="","",VLOOKUP(AD85,'G-3 Multipliers'!$P$3:$Q$6,2,FALSE)),"")</f>
        <v/>
      </c>
      <c r="AH85" s="160"/>
      <c r="AI85" s="363" t="str">
        <f>IF(AH85="","",IF(VLOOKUP(AH85,'G-3 Multipliers'!$S$3:$T$10,2,FALSE)=0,"Spatial Data Missing ⚠",VLOOKUP(AH85,'G-3 Multipliers'!$S$3:$T$10,2,FALSE)))</f>
        <v/>
      </c>
      <c r="AJ85" s="405" t="str">
        <f t="shared" si="16"/>
        <v/>
      </c>
      <c r="AK85" s="376" t="str">
        <f t="shared" si="17"/>
        <v/>
      </c>
      <c r="AL85" s="117"/>
      <c r="AM85" s="118"/>
      <c r="AN85" s="120"/>
      <c r="AO85" s="120"/>
      <c r="AQ85" s="30" t="str">
        <f>IFERROR(INDEX('G-6 Hedgerow Data'!$BJ$3:$BJ$15,MATCH(M85,'G-6 Hedgerow Data'!$B$3:$B$15,0)),"")</f>
        <v/>
      </c>
    </row>
    <row r="86" spans="2:43" ht="15">
      <c r="B86" s="392" t="str">
        <f>'E-1 Off-Site Hedge Baseline'!AN84</f>
        <v/>
      </c>
      <c r="C86" s="382" t="str">
        <f>IF(B86="","",IF(ISNA(VLOOKUP($B86,'E-1 Off-Site Hedge Baseline'!$B$1:$L$257,3,FALSE)),"",(VLOOKUP($B86,'E-1 Off-Site Hedge Baseline'!$B$1:$L$257,3,FALSE))))</f>
        <v/>
      </c>
      <c r="D86" s="382" t="str">
        <f>IF(B86="","",IF(ISNA(VLOOKUP($B86,'E-1 Off-Site Hedge Baseline'!$B$1:$L$258,4,FALSE)),"",(VLOOKUP($B86,'E-1 Off-Site Hedge Baseline'!$B$1:$L$258,4,FALSE))))</f>
        <v/>
      </c>
      <c r="E86" s="382" t="str">
        <f>IF(B86="","",IF(ISNA(VLOOKUP($B86,'E-1 Off-Site Hedge Baseline'!$B$1:$L$257,5,FALSE)),"",(VLOOKUP($B86,'E-1 Off-Site Hedge Baseline'!$B$1:$L$257,5,FALSE))))</f>
        <v/>
      </c>
      <c r="F86" s="382" t="str">
        <f>IF(B86="","",IF(ISNA(VLOOKUP($B86,'E-1 Off-Site Hedge Baseline'!$B$1:$L$257,6,FALSE)),"",(VLOOKUP($B86,'E-1 Off-Site Hedge Baseline'!$B$1:$L$257,6,FALSE))))</f>
        <v/>
      </c>
      <c r="G86" s="382" t="str">
        <f>IF(B86="","",IF(ISNA(VLOOKUP($B86,'E-1 Off-Site Hedge Baseline'!$B$1:$L$257,7,FALSE)),"",(VLOOKUP($B86,'E-1 Off-Site Hedge Baseline'!$B$1:$L$257,7,FALSE))))</f>
        <v/>
      </c>
      <c r="H86" s="382" t="str">
        <f>IF(B86="","",IF(ISNA(VLOOKUP($B86,'E-1 Off-Site Hedge Baseline'!$B$1:$L$257,8,FALSE)),"",(VLOOKUP($B86,'E-1 Off-Site Hedge Baseline'!$B$1:$L$257,8,FALSE))))</f>
        <v/>
      </c>
      <c r="I86" s="382" t="str">
        <f>IF(B86="","",IF(ISNA(VLOOKUP($B86,'E-1 Off-Site Hedge Baseline'!$B$1:$L$257,10,FALSE)),"",(VLOOKUP($B86,'E-1 Off-Site Hedge Baseline'!$B$1:$L$257,10,FALSE))))</f>
        <v/>
      </c>
      <c r="J86" s="382" t="str">
        <f>IF(B86="","",IF(ISNA(VLOOKUP($B86,'E-1 Off-Site Hedge Baseline'!$B$1:$L$257,11,FALSE)),"",(VLOOKUP($B86,'E-1 Off-Site Hedge Baseline'!$B$1:$L$257,11,FALSE))))</f>
        <v/>
      </c>
      <c r="K86" s="382" t="str">
        <f>IF(B86="","",IF(ISNA(VLOOKUP($B86,'E-1 Off-Site Hedge Baseline'!$B$1:$X$257,113,FALSE)),"",(VLOOKUP($B86,'E-1 Off-Site Hedge Baseline'!$B$1:$X$257,13,FALSE))))</f>
        <v/>
      </c>
      <c r="L86" s="370" t="str">
        <f>IF(B86="","",IF(ISNA(VLOOKUP($B86,'E-1 Off-Site Hedge Baseline'!$B$1:$X$257,12,FALSE)),"",(VLOOKUP($B86,'E-1 Off-Site Hedge Baseline'!$B$1:$X$257,12,FALSE))))</f>
        <v/>
      </c>
      <c r="M86" s="316" t="str">
        <f t="shared" si="9"/>
        <v/>
      </c>
      <c r="N86" s="362" t="str">
        <f>IFERROR(IF(B86="","",INDEX('G-6 Hedgerow Data'!$AN$3:$AZ$15,MATCH(C86,'G-6 Hedgerow Data'!$AM$3:$AM$15,0),MATCH(M86,'G-6 Hedgerow Data'!$AN$2:$AZ$2,0))),"")</f>
        <v/>
      </c>
      <c r="O86" s="363" t="str">
        <f t="shared" si="11"/>
        <v/>
      </c>
      <c r="P86" s="368" t="str">
        <f>IF(B86="","",VLOOKUP(B86,'E-1 Off-Site Hedge Baseline'!$B$10:W331,19,FALSE))</f>
        <v/>
      </c>
      <c r="Q86" s="362" t="str">
        <f>IF(M86="","",VLOOKUP(M86,'G-6 Hedgerow Data'!$B$2:$AG$15,2,FALSE))</f>
        <v/>
      </c>
      <c r="R86" s="363" t="str">
        <f>IF(M86="","",VLOOKUP(M86,'G-6 Hedgerow Data'!$B$2:$AG$15,3,FALSE))</f>
        <v/>
      </c>
      <c r="S86" s="114"/>
      <c r="T86" s="363" t="str">
        <f>IFERROR(IF(AND(Q86="V.Low",OR(S86="Good",S86="Moderate")),"Error ▲",VLOOKUP(S86,'G-1 All Habitats'!$Z$2:$AA$9,2,FALSE)),"")</f>
        <v/>
      </c>
      <c r="U86" s="114"/>
      <c r="V86" s="370" t="str">
        <f>IF(U86="","",IF(VLOOKUP(U86,'G-3 Multipliers'!$L$3:$N$6,2,FALSE)=0,"Spatial Data Missing ⚠",VLOOKUP(U86,'G-3 Multipliers'!$L$3:$N$6,2,FALSE)))</f>
        <v/>
      </c>
      <c r="W86" s="368" t="str">
        <f>IF(U86="","",IF(VLOOKUP(U86,'G-3 Multipliers'!$L$3:$N$6,3,FALSE)=0,"Spatial Data Missing ⚠",VLOOKUP(U86,'G-3 Multipliers'!$L$3:$N$6,3,FALSE)))</f>
        <v/>
      </c>
      <c r="X86" s="362" t="str">
        <f>IFERROR(IF(OR(LEFT(O86,5)="Error",LEFT(N86,5)="Error",T86="Error"),"Check Data ⚠",IF(F86&lt;R86,INDEX('G-6 Hedgerow Data'!$S$3:$AE$14,MATCH(C86,'G-6 Hedgerow Data'!$B$3:$B$14,0),MATCH(M86,'G-6 Hedgerow Data'!$S$2:$AE$2,0)),INDEX('G-6 Hedgerow Data'!$K$3:$Q$14,MATCH(M86,'G-6 Hedgerow Data'!$B$3:$B$14,0),MATCH(O86,'G-6 Hedgerow Data'!$K$2:$Q$2,0)))),"")</f>
        <v/>
      </c>
      <c r="Y86" s="159"/>
      <c r="Z86" s="159"/>
      <c r="AA86" s="370" t="str">
        <f t="shared" si="12"/>
        <v/>
      </c>
      <c r="AB86" s="383" t="str">
        <f t="shared" si="13"/>
        <v/>
      </c>
      <c r="AC86" s="384" t="str">
        <f t="shared" si="10"/>
        <v/>
      </c>
      <c r="AD86" s="398" t="str">
        <f>IF(M86="","",VLOOKUP(M86,'G-6 Hedgerow Data'!$B$3:$AG$15,31,FALSE))</f>
        <v/>
      </c>
      <c r="AE86" s="382" t="str">
        <f t="shared" si="14"/>
        <v/>
      </c>
      <c r="AF86" s="382" t="str">
        <f t="shared" si="15"/>
        <v/>
      </c>
      <c r="AG86" s="386" t="str">
        <f>IFERROR(IF(O86="","",VLOOKUP(AD86,'G-3 Multipliers'!$P$3:$Q$6,2,FALSE)),"")</f>
        <v/>
      </c>
      <c r="AH86" s="160"/>
      <c r="AI86" s="363" t="str">
        <f>IF(AH86="","",IF(VLOOKUP(AH86,'G-3 Multipliers'!$S$3:$T$10,2,FALSE)=0,"Spatial Data Missing ⚠",VLOOKUP(AH86,'G-3 Multipliers'!$S$3:$T$10,2,FALSE)))</f>
        <v/>
      </c>
      <c r="AJ86" s="405" t="str">
        <f t="shared" si="16"/>
        <v/>
      </c>
      <c r="AK86" s="376" t="str">
        <f t="shared" si="17"/>
        <v/>
      </c>
      <c r="AL86" s="117"/>
      <c r="AM86" s="118"/>
      <c r="AN86" s="120"/>
      <c r="AO86" s="120"/>
      <c r="AQ86" s="30" t="str">
        <f>IFERROR(INDEX('G-6 Hedgerow Data'!$BJ$3:$BJ$15,MATCH(M86,'G-6 Hedgerow Data'!$B$3:$B$15,0)),"")</f>
        <v/>
      </c>
    </row>
    <row r="87" spans="2:43" ht="15">
      <c r="B87" s="392" t="str">
        <f>'E-1 Off-Site Hedge Baseline'!AN85</f>
        <v/>
      </c>
      <c r="C87" s="382" t="str">
        <f>IF(B87="","",IF(ISNA(VLOOKUP($B87,'E-1 Off-Site Hedge Baseline'!$B$1:$L$257,3,FALSE)),"",(VLOOKUP($B87,'E-1 Off-Site Hedge Baseline'!$B$1:$L$257,3,FALSE))))</f>
        <v/>
      </c>
      <c r="D87" s="382" t="str">
        <f>IF(B87="","",IF(ISNA(VLOOKUP($B87,'E-1 Off-Site Hedge Baseline'!$B$1:$L$258,4,FALSE)),"",(VLOOKUP($B87,'E-1 Off-Site Hedge Baseline'!$B$1:$L$258,4,FALSE))))</f>
        <v/>
      </c>
      <c r="E87" s="382" t="str">
        <f>IF(B87="","",IF(ISNA(VLOOKUP($B87,'E-1 Off-Site Hedge Baseline'!$B$1:$L$257,5,FALSE)),"",(VLOOKUP($B87,'E-1 Off-Site Hedge Baseline'!$B$1:$L$257,5,FALSE))))</f>
        <v/>
      </c>
      <c r="F87" s="382" t="str">
        <f>IF(B87="","",IF(ISNA(VLOOKUP($B87,'E-1 Off-Site Hedge Baseline'!$B$1:$L$257,6,FALSE)),"",(VLOOKUP($B87,'E-1 Off-Site Hedge Baseline'!$B$1:$L$257,6,FALSE))))</f>
        <v/>
      </c>
      <c r="G87" s="382" t="str">
        <f>IF(B87="","",IF(ISNA(VLOOKUP($B87,'E-1 Off-Site Hedge Baseline'!$B$1:$L$257,7,FALSE)),"",(VLOOKUP($B87,'E-1 Off-Site Hedge Baseline'!$B$1:$L$257,7,FALSE))))</f>
        <v/>
      </c>
      <c r="H87" s="382" t="str">
        <f>IF(B87="","",IF(ISNA(VLOOKUP($B87,'E-1 Off-Site Hedge Baseline'!$B$1:$L$257,8,FALSE)),"",(VLOOKUP($B87,'E-1 Off-Site Hedge Baseline'!$B$1:$L$257,8,FALSE))))</f>
        <v/>
      </c>
      <c r="I87" s="382" t="str">
        <f>IF(B87="","",IF(ISNA(VLOOKUP($B87,'E-1 Off-Site Hedge Baseline'!$B$1:$L$257,10,FALSE)),"",(VLOOKUP($B87,'E-1 Off-Site Hedge Baseline'!$B$1:$L$257,10,FALSE))))</f>
        <v/>
      </c>
      <c r="J87" s="382" t="str">
        <f>IF(B87="","",IF(ISNA(VLOOKUP($B87,'E-1 Off-Site Hedge Baseline'!$B$1:$L$257,11,FALSE)),"",(VLOOKUP($B87,'E-1 Off-Site Hedge Baseline'!$B$1:$L$257,11,FALSE))))</f>
        <v/>
      </c>
      <c r="K87" s="382" t="str">
        <f>IF(B87="","",IF(ISNA(VLOOKUP($B87,'E-1 Off-Site Hedge Baseline'!$B$1:$X$257,113,FALSE)),"",(VLOOKUP($B87,'E-1 Off-Site Hedge Baseline'!$B$1:$X$257,13,FALSE))))</f>
        <v/>
      </c>
      <c r="L87" s="370" t="str">
        <f>IF(B87="","",IF(ISNA(VLOOKUP($B87,'E-1 Off-Site Hedge Baseline'!$B$1:$X$257,12,FALSE)),"",(VLOOKUP($B87,'E-1 Off-Site Hedge Baseline'!$B$1:$X$257,12,FALSE))))</f>
        <v/>
      </c>
      <c r="M87" s="316" t="str">
        <f t="shared" si="9"/>
        <v/>
      </c>
      <c r="N87" s="362" t="str">
        <f>IFERROR(IF(B87="","",INDEX('G-6 Hedgerow Data'!$AN$3:$AZ$15,MATCH(C87,'G-6 Hedgerow Data'!$AM$3:$AM$15,0),MATCH(M87,'G-6 Hedgerow Data'!$AN$2:$AZ$2,0))),"")</f>
        <v/>
      </c>
      <c r="O87" s="363" t="str">
        <f t="shared" si="11"/>
        <v/>
      </c>
      <c r="P87" s="368" t="str">
        <f>IF(B87="","",VLOOKUP(B87,'E-1 Off-Site Hedge Baseline'!$B$10:W332,19,FALSE))</f>
        <v/>
      </c>
      <c r="Q87" s="362" t="str">
        <f>IF(M87="","",VLOOKUP(M87,'G-6 Hedgerow Data'!$B$2:$AG$15,2,FALSE))</f>
        <v/>
      </c>
      <c r="R87" s="363" t="str">
        <f>IF(M87="","",VLOOKUP(M87,'G-6 Hedgerow Data'!$B$2:$AG$15,3,FALSE))</f>
        <v/>
      </c>
      <c r="S87" s="114"/>
      <c r="T87" s="363" t="str">
        <f>IFERROR(IF(AND(Q87="V.Low",OR(S87="Good",S87="Moderate")),"Error ▲",VLOOKUP(S87,'G-1 All Habitats'!$Z$2:$AA$9,2,FALSE)),"")</f>
        <v/>
      </c>
      <c r="U87" s="114"/>
      <c r="V87" s="370" t="str">
        <f>IF(U87="","",IF(VLOOKUP(U87,'G-3 Multipliers'!$L$3:$N$6,2,FALSE)=0,"Spatial Data Missing ⚠",VLOOKUP(U87,'G-3 Multipliers'!$L$3:$N$6,2,FALSE)))</f>
        <v/>
      </c>
      <c r="W87" s="368" t="str">
        <f>IF(U87="","",IF(VLOOKUP(U87,'G-3 Multipliers'!$L$3:$N$6,3,FALSE)=0,"Spatial Data Missing ⚠",VLOOKUP(U87,'G-3 Multipliers'!$L$3:$N$6,3,FALSE)))</f>
        <v/>
      </c>
      <c r="X87" s="362" t="str">
        <f>IFERROR(IF(OR(LEFT(O87,5)="Error",LEFT(N87,5)="Error",T87="Error"),"Check Data ⚠",IF(F87&lt;R87,INDEX('G-6 Hedgerow Data'!$S$3:$AE$14,MATCH(C87,'G-6 Hedgerow Data'!$B$3:$B$14,0),MATCH(M87,'G-6 Hedgerow Data'!$S$2:$AE$2,0)),INDEX('G-6 Hedgerow Data'!$K$3:$Q$14,MATCH(M87,'G-6 Hedgerow Data'!$B$3:$B$14,0),MATCH(O87,'G-6 Hedgerow Data'!$K$2:$Q$2,0)))),"")</f>
        <v/>
      </c>
      <c r="Y87" s="159"/>
      <c r="Z87" s="159"/>
      <c r="AA87" s="370" t="str">
        <f t="shared" si="12"/>
        <v/>
      </c>
      <c r="AB87" s="383" t="str">
        <f t="shared" si="13"/>
        <v/>
      </c>
      <c r="AC87" s="384" t="str">
        <f t="shared" si="10"/>
        <v/>
      </c>
      <c r="AD87" s="398" t="str">
        <f>IF(M87="","",VLOOKUP(M87,'G-6 Hedgerow Data'!$B$3:$AG$15,31,FALSE))</f>
        <v/>
      </c>
      <c r="AE87" s="382" t="str">
        <f t="shared" si="14"/>
        <v/>
      </c>
      <c r="AF87" s="382" t="str">
        <f t="shared" si="15"/>
        <v/>
      </c>
      <c r="AG87" s="386" t="str">
        <f>IFERROR(IF(O87="","",VLOOKUP(AD87,'G-3 Multipliers'!$P$3:$Q$6,2,FALSE)),"")</f>
        <v/>
      </c>
      <c r="AH87" s="160"/>
      <c r="AI87" s="363" t="str">
        <f>IF(AH87="","",IF(VLOOKUP(AH87,'G-3 Multipliers'!$S$3:$T$10,2,FALSE)=0,"Spatial Data Missing ⚠",VLOOKUP(AH87,'G-3 Multipliers'!$S$3:$T$10,2,FALSE)))</f>
        <v/>
      </c>
      <c r="AJ87" s="405" t="str">
        <f t="shared" si="16"/>
        <v/>
      </c>
      <c r="AK87" s="376" t="str">
        <f t="shared" si="17"/>
        <v/>
      </c>
      <c r="AL87" s="117"/>
      <c r="AM87" s="118"/>
      <c r="AN87" s="120"/>
      <c r="AO87" s="120"/>
      <c r="AQ87" s="30" t="str">
        <f>IFERROR(INDEX('G-6 Hedgerow Data'!$BJ$3:$BJ$15,MATCH(M87,'G-6 Hedgerow Data'!$B$3:$B$15,0)),"")</f>
        <v/>
      </c>
    </row>
    <row r="88" spans="2:43" ht="15">
      <c r="B88" s="392" t="str">
        <f>'E-1 Off-Site Hedge Baseline'!AN86</f>
        <v/>
      </c>
      <c r="C88" s="382" t="str">
        <f>IF(B88="","",IF(ISNA(VLOOKUP($B88,'E-1 Off-Site Hedge Baseline'!$B$1:$L$257,3,FALSE)),"",(VLOOKUP($B88,'E-1 Off-Site Hedge Baseline'!$B$1:$L$257,3,FALSE))))</f>
        <v/>
      </c>
      <c r="D88" s="382" t="str">
        <f>IF(B88="","",IF(ISNA(VLOOKUP($B88,'E-1 Off-Site Hedge Baseline'!$B$1:$L$258,4,FALSE)),"",(VLOOKUP($B88,'E-1 Off-Site Hedge Baseline'!$B$1:$L$258,4,FALSE))))</f>
        <v/>
      </c>
      <c r="E88" s="382" t="str">
        <f>IF(B88="","",IF(ISNA(VLOOKUP($B88,'E-1 Off-Site Hedge Baseline'!$B$1:$L$257,5,FALSE)),"",(VLOOKUP($B88,'E-1 Off-Site Hedge Baseline'!$B$1:$L$257,5,FALSE))))</f>
        <v/>
      </c>
      <c r="F88" s="382" t="str">
        <f>IF(B88="","",IF(ISNA(VLOOKUP($B88,'E-1 Off-Site Hedge Baseline'!$B$1:$L$257,6,FALSE)),"",(VLOOKUP($B88,'E-1 Off-Site Hedge Baseline'!$B$1:$L$257,6,FALSE))))</f>
        <v/>
      </c>
      <c r="G88" s="382" t="str">
        <f>IF(B88="","",IF(ISNA(VLOOKUP($B88,'E-1 Off-Site Hedge Baseline'!$B$1:$L$257,7,FALSE)),"",(VLOOKUP($B88,'E-1 Off-Site Hedge Baseline'!$B$1:$L$257,7,FALSE))))</f>
        <v/>
      </c>
      <c r="H88" s="382" t="str">
        <f>IF(B88="","",IF(ISNA(VLOOKUP($B88,'E-1 Off-Site Hedge Baseline'!$B$1:$L$257,8,FALSE)),"",(VLOOKUP($B88,'E-1 Off-Site Hedge Baseline'!$B$1:$L$257,8,FALSE))))</f>
        <v/>
      </c>
      <c r="I88" s="382" t="str">
        <f>IF(B88="","",IF(ISNA(VLOOKUP($B88,'E-1 Off-Site Hedge Baseline'!$B$1:$L$257,10,FALSE)),"",(VLOOKUP($B88,'E-1 Off-Site Hedge Baseline'!$B$1:$L$257,10,FALSE))))</f>
        <v/>
      </c>
      <c r="J88" s="382" t="str">
        <f>IF(B88="","",IF(ISNA(VLOOKUP($B88,'E-1 Off-Site Hedge Baseline'!$B$1:$L$257,11,FALSE)),"",(VLOOKUP($B88,'E-1 Off-Site Hedge Baseline'!$B$1:$L$257,11,FALSE))))</f>
        <v/>
      </c>
      <c r="K88" s="382" t="str">
        <f>IF(B88="","",IF(ISNA(VLOOKUP($B88,'E-1 Off-Site Hedge Baseline'!$B$1:$X$257,113,FALSE)),"",(VLOOKUP($B88,'E-1 Off-Site Hedge Baseline'!$B$1:$X$257,13,FALSE))))</f>
        <v/>
      </c>
      <c r="L88" s="370" t="str">
        <f>IF(B88="","",IF(ISNA(VLOOKUP($B88,'E-1 Off-Site Hedge Baseline'!$B$1:$X$257,12,FALSE)),"",(VLOOKUP($B88,'E-1 Off-Site Hedge Baseline'!$B$1:$X$257,12,FALSE))))</f>
        <v/>
      </c>
      <c r="M88" s="316" t="str">
        <f t="shared" si="9"/>
        <v/>
      </c>
      <c r="N88" s="362" t="str">
        <f>IFERROR(IF(B88="","",INDEX('G-6 Hedgerow Data'!$AN$3:$AZ$15,MATCH(C88,'G-6 Hedgerow Data'!$AM$3:$AM$15,0),MATCH(M88,'G-6 Hedgerow Data'!$AN$2:$AZ$2,0))),"")</f>
        <v/>
      </c>
      <c r="O88" s="363" t="str">
        <f t="shared" si="11"/>
        <v/>
      </c>
      <c r="P88" s="368" t="str">
        <f>IF(B88="","",VLOOKUP(B88,'E-1 Off-Site Hedge Baseline'!$B$10:W333,19,FALSE))</f>
        <v/>
      </c>
      <c r="Q88" s="362" t="str">
        <f>IF(M88="","",VLOOKUP(M88,'G-6 Hedgerow Data'!$B$2:$AG$15,2,FALSE))</f>
        <v/>
      </c>
      <c r="R88" s="363" t="str">
        <f>IF(M88="","",VLOOKUP(M88,'G-6 Hedgerow Data'!$B$2:$AG$15,3,FALSE))</f>
        <v/>
      </c>
      <c r="S88" s="114"/>
      <c r="T88" s="363" t="str">
        <f>IFERROR(IF(AND(Q88="V.Low",OR(S88="Good",S88="Moderate")),"Error ▲",VLOOKUP(S88,'G-1 All Habitats'!$Z$2:$AA$9,2,FALSE)),"")</f>
        <v/>
      </c>
      <c r="U88" s="114"/>
      <c r="V88" s="370" t="str">
        <f>IF(U88="","",IF(VLOOKUP(U88,'G-3 Multipliers'!$L$3:$N$6,2,FALSE)=0,"Spatial Data Missing ⚠",VLOOKUP(U88,'G-3 Multipliers'!$L$3:$N$6,2,FALSE)))</f>
        <v/>
      </c>
      <c r="W88" s="368" t="str">
        <f>IF(U88="","",IF(VLOOKUP(U88,'G-3 Multipliers'!$L$3:$N$6,3,FALSE)=0,"Spatial Data Missing ⚠",VLOOKUP(U88,'G-3 Multipliers'!$L$3:$N$6,3,FALSE)))</f>
        <v/>
      </c>
      <c r="X88" s="362" t="str">
        <f>IFERROR(IF(OR(LEFT(O88,5)="Error",LEFT(N88,5)="Error",T88="Error"),"Check Data ⚠",IF(F88&lt;R88,INDEX('G-6 Hedgerow Data'!$S$3:$AE$14,MATCH(C88,'G-6 Hedgerow Data'!$B$3:$B$14,0),MATCH(M88,'G-6 Hedgerow Data'!$S$2:$AE$2,0)),INDEX('G-6 Hedgerow Data'!$K$3:$Q$14,MATCH(M88,'G-6 Hedgerow Data'!$B$3:$B$14,0),MATCH(O88,'G-6 Hedgerow Data'!$K$2:$Q$2,0)))),"")</f>
        <v/>
      </c>
      <c r="Y88" s="159"/>
      <c r="Z88" s="159"/>
      <c r="AA88" s="370" t="str">
        <f t="shared" si="12"/>
        <v/>
      </c>
      <c r="AB88" s="383" t="str">
        <f t="shared" si="13"/>
        <v/>
      </c>
      <c r="AC88" s="384" t="str">
        <f t="shared" si="10"/>
        <v/>
      </c>
      <c r="AD88" s="398" t="str">
        <f>IF(M88="","",VLOOKUP(M88,'G-6 Hedgerow Data'!$B$3:$AG$15,31,FALSE))</f>
        <v/>
      </c>
      <c r="AE88" s="382" t="str">
        <f t="shared" si="14"/>
        <v/>
      </c>
      <c r="AF88" s="382" t="str">
        <f t="shared" si="15"/>
        <v/>
      </c>
      <c r="AG88" s="386" t="str">
        <f>IFERROR(IF(O88="","",VLOOKUP(AD88,'G-3 Multipliers'!$P$3:$Q$6,2,FALSE)),"")</f>
        <v/>
      </c>
      <c r="AH88" s="160"/>
      <c r="AI88" s="363" t="str">
        <f>IF(AH88="","",IF(VLOOKUP(AH88,'G-3 Multipliers'!$S$3:$T$10,2,FALSE)=0,"Spatial Data Missing ⚠",VLOOKUP(AH88,'G-3 Multipliers'!$S$3:$T$10,2,FALSE)))</f>
        <v/>
      </c>
      <c r="AJ88" s="405" t="str">
        <f t="shared" si="16"/>
        <v/>
      </c>
      <c r="AK88" s="376" t="str">
        <f t="shared" si="17"/>
        <v/>
      </c>
      <c r="AL88" s="117"/>
      <c r="AM88" s="118"/>
      <c r="AN88" s="120"/>
      <c r="AO88" s="120"/>
      <c r="AQ88" s="30" t="str">
        <f>IFERROR(INDEX('G-6 Hedgerow Data'!$BJ$3:$BJ$15,MATCH(M88,'G-6 Hedgerow Data'!$B$3:$B$15,0)),"")</f>
        <v/>
      </c>
    </row>
    <row r="89" spans="2:43" ht="15">
      <c r="B89" s="392" t="str">
        <f>'E-1 Off-Site Hedge Baseline'!AN87</f>
        <v/>
      </c>
      <c r="C89" s="382" t="str">
        <f>IF(B89="","",IF(ISNA(VLOOKUP($B89,'E-1 Off-Site Hedge Baseline'!$B$1:$L$257,3,FALSE)),"",(VLOOKUP($B89,'E-1 Off-Site Hedge Baseline'!$B$1:$L$257,3,FALSE))))</f>
        <v/>
      </c>
      <c r="D89" s="382" t="str">
        <f>IF(B89="","",IF(ISNA(VLOOKUP($B89,'E-1 Off-Site Hedge Baseline'!$B$1:$L$258,4,FALSE)),"",(VLOOKUP($B89,'E-1 Off-Site Hedge Baseline'!$B$1:$L$258,4,FALSE))))</f>
        <v/>
      </c>
      <c r="E89" s="382" t="str">
        <f>IF(B89="","",IF(ISNA(VLOOKUP($B89,'E-1 Off-Site Hedge Baseline'!$B$1:$L$257,5,FALSE)),"",(VLOOKUP($B89,'E-1 Off-Site Hedge Baseline'!$B$1:$L$257,5,FALSE))))</f>
        <v/>
      </c>
      <c r="F89" s="382" t="str">
        <f>IF(B89="","",IF(ISNA(VLOOKUP($B89,'E-1 Off-Site Hedge Baseline'!$B$1:$L$257,6,FALSE)),"",(VLOOKUP($B89,'E-1 Off-Site Hedge Baseline'!$B$1:$L$257,6,FALSE))))</f>
        <v/>
      </c>
      <c r="G89" s="382" t="str">
        <f>IF(B89="","",IF(ISNA(VLOOKUP($B89,'E-1 Off-Site Hedge Baseline'!$B$1:$L$257,7,FALSE)),"",(VLOOKUP($B89,'E-1 Off-Site Hedge Baseline'!$B$1:$L$257,7,FALSE))))</f>
        <v/>
      </c>
      <c r="H89" s="382" t="str">
        <f>IF(B89="","",IF(ISNA(VLOOKUP($B89,'E-1 Off-Site Hedge Baseline'!$B$1:$L$257,8,FALSE)),"",(VLOOKUP($B89,'E-1 Off-Site Hedge Baseline'!$B$1:$L$257,8,FALSE))))</f>
        <v/>
      </c>
      <c r="I89" s="382" t="str">
        <f>IF(B89="","",IF(ISNA(VLOOKUP($B89,'E-1 Off-Site Hedge Baseline'!$B$1:$L$257,10,FALSE)),"",(VLOOKUP($B89,'E-1 Off-Site Hedge Baseline'!$B$1:$L$257,10,FALSE))))</f>
        <v/>
      </c>
      <c r="J89" s="382" t="str">
        <f>IF(B89="","",IF(ISNA(VLOOKUP($B89,'E-1 Off-Site Hedge Baseline'!$B$1:$L$257,11,FALSE)),"",(VLOOKUP($B89,'E-1 Off-Site Hedge Baseline'!$B$1:$L$257,11,FALSE))))</f>
        <v/>
      </c>
      <c r="K89" s="382" t="str">
        <f>IF(B89="","",IF(ISNA(VLOOKUP($B89,'E-1 Off-Site Hedge Baseline'!$B$1:$X$257,113,FALSE)),"",(VLOOKUP($B89,'E-1 Off-Site Hedge Baseline'!$B$1:$X$257,13,FALSE))))</f>
        <v/>
      </c>
      <c r="L89" s="370" t="str">
        <f>IF(B89="","",IF(ISNA(VLOOKUP($B89,'E-1 Off-Site Hedge Baseline'!$B$1:$X$257,12,FALSE)),"",(VLOOKUP($B89,'E-1 Off-Site Hedge Baseline'!$B$1:$X$257,12,FALSE))))</f>
        <v/>
      </c>
      <c r="M89" s="316" t="str">
        <f t="shared" si="9"/>
        <v/>
      </c>
      <c r="N89" s="362" t="str">
        <f>IFERROR(IF(B89="","",INDEX('G-6 Hedgerow Data'!$AN$3:$AZ$15,MATCH(C89,'G-6 Hedgerow Data'!$AM$3:$AM$15,0),MATCH(M89,'G-6 Hedgerow Data'!$AN$2:$AZ$2,0))),"")</f>
        <v/>
      </c>
      <c r="O89" s="363" t="str">
        <f t="shared" si="11"/>
        <v/>
      </c>
      <c r="P89" s="368" t="str">
        <f>IF(B89="","",VLOOKUP(B89,'E-1 Off-Site Hedge Baseline'!$B$10:W334,19,FALSE))</f>
        <v/>
      </c>
      <c r="Q89" s="362" t="str">
        <f>IF(M89="","",VLOOKUP(M89,'G-6 Hedgerow Data'!$B$2:$AG$15,2,FALSE))</f>
        <v/>
      </c>
      <c r="R89" s="363" t="str">
        <f>IF(M89="","",VLOOKUP(M89,'G-6 Hedgerow Data'!$B$2:$AG$15,3,FALSE))</f>
        <v/>
      </c>
      <c r="S89" s="114"/>
      <c r="T89" s="363" t="str">
        <f>IFERROR(IF(AND(Q89="V.Low",OR(S89="Good",S89="Moderate")),"Error ▲",VLOOKUP(S89,'G-1 All Habitats'!$Z$2:$AA$9,2,FALSE)),"")</f>
        <v/>
      </c>
      <c r="U89" s="114"/>
      <c r="V89" s="370" t="str">
        <f>IF(U89="","",IF(VLOOKUP(U89,'G-3 Multipliers'!$L$3:$N$6,2,FALSE)=0,"Spatial Data Missing ⚠",VLOOKUP(U89,'G-3 Multipliers'!$L$3:$N$6,2,FALSE)))</f>
        <v/>
      </c>
      <c r="W89" s="368" t="str">
        <f>IF(U89="","",IF(VLOOKUP(U89,'G-3 Multipliers'!$L$3:$N$6,3,FALSE)=0,"Spatial Data Missing ⚠",VLOOKUP(U89,'G-3 Multipliers'!$L$3:$N$6,3,FALSE)))</f>
        <v/>
      </c>
      <c r="X89" s="362" t="str">
        <f>IFERROR(IF(OR(LEFT(O89,5)="Error",LEFT(N89,5)="Error",T89="Error"),"Check Data ⚠",IF(F89&lt;R89,INDEX('G-6 Hedgerow Data'!$S$3:$AE$14,MATCH(C89,'G-6 Hedgerow Data'!$B$3:$B$14,0),MATCH(M89,'G-6 Hedgerow Data'!$S$2:$AE$2,0)),INDEX('G-6 Hedgerow Data'!$K$3:$Q$14,MATCH(M89,'G-6 Hedgerow Data'!$B$3:$B$14,0),MATCH(O89,'G-6 Hedgerow Data'!$K$2:$Q$2,0)))),"")</f>
        <v/>
      </c>
      <c r="Y89" s="159"/>
      <c r="Z89" s="159"/>
      <c r="AA89" s="370" t="str">
        <f t="shared" si="12"/>
        <v/>
      </c>
      <c r="AB89" s="383" t="str">
        <f t="shared" si="13"/>
        <v/>
      </c>
      <c r="AC89" s="384" t="str">
        <f t="shared" si="10"/>
        <v/>
      </c>
      <c r="AD89" s="398" t="str">
        <f>IF(M89="","",VLOOKUP(M89,'G-6 Hedgerow Data'!$B$3:$AG$15,31,FALSE))</f>
        <v/>
      </c>
      <c r="AE89" s="382" t="str">
        <f t="shared" si="14"/>
        <v/>
      </c>
      <c r="AF89" s="382" t="str">
        <f t="shared" si="15"/>
        <v/>
      </c>
      <c r="AG89" s="386" t="str">
        <f>IFERROR(IF(O89="","",VLOOKUP(AD89,'G-3 Multipliers'!$P$3:$Q$6,2,FALSE)),"")</f>
        <v/>
      </c>
      <c r="AH89" s="160"/>
      <c r="AI89" s="363" t="str">
        <f>IF(AH89="","",IF(VLOOKUP(AH89,'G-3 Multipliers'!$S$3:$T$10,2,FALSE)=0,"Spatial Data Missing ⚠",VLOOKUP(AH89,'G-3 Multipliers'!$S$3:$T$10,2,FALSE)))</f>
        <v/>
      </c>
      <c r="AJ89" s="405" t="str">
        <f t="shared" si="16"/>
        <v/>
      </c>
      <c r="AK89" s="376" t="str">
        <f t="shared" si="17"/>
        <v/>
      </c>
      <c r="AL89" s="117"/>
      <c r="AM89" s="118"/>
      <c r="AN89" s="120"/>
      <c r="AO89" s="120"/>
      <c r="AQ89" s="30" t="str">
        <f>IFERROR(INDEX('G-6 Hedgerow Data'!$BJ$3:$BJ$15,MATCH(M89,'G-6 Hedgerow Data'!$B$3:$B$15,0)),"")</f>
        <v/>
      </c>
    </row>
    <row r="90" spans="2:43" ht="15">
      <c r="B90" s="392" t="str">
        <f>'E-1 Off-Site Hedge Baseline'!AN88</f>
        <v/>
      </c>
      <c r="C90" s="382" t="str">
        <f>IF(B90="","",IF(ISNA(VLOOKUP($B90,'E-1 Off-Site Hedge Baseline'!$B$1:$L$257,3,FALSE)),"",(VLOOKUP($B90,'E-1 Off-Site Hedge Baseline'!$B$1:$L$257,3,FALSE))))</f>
        <v/>
      </c>
      <c r="D90" s="382" t="str">
        <f>IF(B90="","",IF(ISNA(VLOOKUP($B90,'E-1 Off-Site Hedge Baseline'!$B$1:$L$258,4,FALSE)),"",(VLOOKUP($B90,'E-1 Off-Site Hedge Baseline'!$B$1:$L$258,4,FALSE))))</f>
        <v/>
      </c>
      <c r="E90" s="382" t="str">
        <f>IF(B90="","",IF(ISNA(VLOOKUP($B90,'E-1 Off-Site Hedge Baseline'!$B$1:$L$257,5,FALSE)),"",(VLOOKUP($B90,'E-1 Off-Site Hedge Baseline'!$B$1:$L$257,5,FALSE))))</f>
        <v/>
      </c>
      <c r="F90" s="382" t="str">
        <f>IF(B90="","",IF(ISNA(VLOOKUP($B90,'E-1 Off-Site Hedge Baseline'!$B$1:$L$257,6,FALSE)),"",(VLOOKUP($B90,'E-1 Off-Site Hedge Baseline'!$B$1:$L$257,6,FALSE))))</f>
        <v/>
      </c>
      <c r="G90" s="382" t="str">
        <f>IF(B90="","",IF(ISNA(VLOOKUP($B90,'E-1 Off-Site Hedge Baseline'!$B$1:$L$257,7,FALSE)),"",(VLOOKUP($B90,'E-1 Off-Site Hedge Baseline'!$B$1:$L$257,7,FALSE))))</f>
        <v/>
      </c>
      <c r="H90" s="382" t="str">
        <f>IF(B90="","",IF(ISNA(VLOOKUP($B90,'E-1 Off-Site Hedge Baseline'!$B$1:$L$257,8,FALSE)),"",(VLOOKUP($B90,'E-1 Off-Site Hedge Baseline'!$B$1:$L$257,8,FALSE))))</f>
        <v/>
      </c>
      <c r="I90" s="382" t="str">
        <f>IF(B90="","",IF(ISNA(VLOOKUP($B90,'E-1 Off-Site Hedge Baseline'!$B$1:$L$257,10,FALSE)),"",(VLOOKUP($B90,'E-1 Off-Site Hedge Baseline'!$B$1:$L$257,10,FALSE))))</f>
        <v/>
      </c>
      <c r="J90" s="382" t="str">
        <f>IF(B90="","",IF(ISNA(VLOOKUP($B90,'E-1 Off-Site Hedge Baseline'!$B$1:$L$257,11,FALSE)),"",(VLOOKUP($B90,'E-1 Off-Site Hedge Baseline'!$B$1:$L$257,11,FALSE))))</f>
        <v/>
      </c>
      <c r="K90" s="382" t="str">
        <f>IF(B90="","",IF(ISNA(VLOOKUP($B90,'E-1 Off-Site Hedge Baseline'!$B$1:$X$257,113,FALSE)),"",(VLOOKUP($B90,'E-1 Off-Site Hedge Baseline'!$B$1:$X$257,13,FALSE))))</f>
        <v/>
      </c>
      <c r="L90" s="370" t="str">
        <f>IF(B90="","",IF(ISNA(VLOOKUP($B90,'E-1 Off-Site Hedge Baseline'!$B$1:$X$257,12,FALSE)),"",(VLOOKUP($B90,'E-1 Off-Site Hedge Baseline'!$B$1:$X$257,12,FALSE))))</f>
        <v/>
      </c>
      <c r="M90" s="316" t="str">
        <f t="shared" si="9"/>
        <v/>
      </c>
      <c r="N90" s="362" t="str">
        <f>IFERROR(IF(B90="","",INDEX('G-6 Hedgerow Data'!$AN$3:$AZ$15,MATCH(C90,'G-6 Hedgerow Data'!$AM$3:$AM$15,0),MATCH(M90,'G-6 Hedgerow Data'!$AN$2:$AZ$2,0))),"")</f>
        <v/>
      </c>
      <c r="O90" s="363" t="str">
        <f t="shared" si="11"/>
        <v/>
      </c>
      <c r="P90" s="368" t="str">
        <f>IF(B90="","",VLOOKUP(B90,'E-1 Off-Site Hedge Baseline'!$B$10:W335,19,FALSE))</f>
        <v/>
      </c>
      <c r="Q90" s="362" t="str">
        <f>IF(M90="","",VLOOKUP(M90,'G-6 Hedgerow Data'!$B$2:$AG$15,2,FALSE))</f>
        <v/>
      </c>
      <c r="R90" s="363" t="str">
        <f>IF(M90="","",VLOOKUP(M90,'G-6 Hedgerow Data'!$B$2:$AG$15,3,FALSE))</f>
        <v/>
      </c>
      <c r="S90" s="114"/>
      <c r="T90" s="363" t="str">
        <f>IFERROR(IF(AND(Q90="V.Low",OR(S90="Good",S90="Moderate")),"Error ▲",VLOOKUP(S90,'G-1 All Habitats'!$Z$2:$AA$9,2,FALSE)),"")</f>
        <v/>
      </c>
      <c r="U90" s="114"/>
      <c r="V90" s="370" t="str">
        <f>IF(U90="","",IF(VLOOKUP(U90,'G-3 Multipliers'!$L$3:$N$6,2,FALSE)=0,"Spatial Data Missing ⚠",VLOOKUP(U90,'G-3 Multipliers'!$L$3:$N$6,2,FALSE)))</f>
        <v/>
      </c>
      <c r="W90" s="368" t="str">
        <f>IF(U90="","",IF(VLOOKUP(U90,'G-3 Multipliers'!$L$3:$N$6,3,FALSE)=0,"Spatial Data Missing ⚠",VLOOKUP(U90,'G-3 Multipliers'!$L$3:$N$6,3,FALSE)))</f>
        <v/>
      </c>
      <c r="X90" s="362" t="str">
        <f>IFERROR(IF(OR(LEFT(O90,5)="Error",LEFT(N90,5)="Error",T90="Error"),"Check Data ⚠",IF(F90&lt;R90,INDEX('G-6 Hedgerow Data'!$S$3:$AE$14,MATCH(C90,'G-6 Hedgerow Data'!$B$3:$B$14,0),MATCH(M90,'G-6 Hedgerow Data'!$S$2:$AE$2,0)),INDEX('G-6 Hedgerow Data'!$K$3:$Q$14,MATCH(M90,'G-6 Hedgerow Data'!$B$3:$B$14,0),MATCH(O90,'G-6 Hedgerow Data'!$K$2:$Q$2,0)))),"")</f>
        <v/>
      </c>
      <c r="Y90" s="159"/>
      <c r="Z90" s="159"/>
      <c r="AA90" s="370" t="str">
        <f t="shared" si="12"/>
        <v/>
      </c>
      <c r="AB90" s="383" t="str">
        <f t="shared" si="13"/>
        <v/>
      </c>
      <c r="AC90" s="384" t="str">
        <f t="shared" si="10"/>
        <v/>
      </c>
      <c r="AD90" s="398" t="str">
        <f>IF(M90="","",VLOOKUP(M90,'G-6 Hedgerow Data'!$B$3:$AG$15,31,FALSE))</f>
        <v/>
      </c>
      <c r="AE90" s="382" t="str">
        <f t="shared" si="14"/>
        <v/>
      </c>
      <c r="AF90" s="382" t="str">
        <f t="shared" si="15"/>
        <v/>
      </c>
      <c r="AG90" s="386" t="str">
        <f>IFERROR(IF(O90="","",VLOOKUP(AD90,'G-3 Multipliers'!$P$3:$Q$6,2,FALSE)),"")</f>
        <v/>
      </c>
      <c r="AH90" s="160"/>
      <c r="AI90" s="363" t="str">
        <f>IF(AH90="","",IF(VLOOKUP(AH90,'G-3 Multipliers'!$S$3:$T$10,2,FALSE)=0,"Spatial Data Missing ⚠",VLOOKUP(AH90,'G-3 Multipliers'!$S$3:$T$10,2,FALSE)))</f>
        <v/>
      </c>
      <c r="AJ90" s="405" t="str">
        <f t="shared" si="16"/>
        <v/>
      </c>
      <c r="AK90" s="376" t="str">
        <f t="shared" si="17"/>
        <v/>
      </c>
      <c r="AL90" s="117"/>
      <c r="AM90" s="118"/>
      <c r="AN90" s="120"/>
      <c r="AO90" s="120"/>
      <c r="AQ90" s="30" t="str">
        <f>IFERROR(INDEX('G-6 Hedgerow Data'!$BJ$3:$BJ$15,MATCH(M90,'G-6 Hedgerow Data'!$B$3:$B$15,0)),"")</f>
        <v/>
      </c>
    </row>
    <row r="91" spans="2:43" ht="15">
      <c r="B91" s="392" t="str">
        <f>'E-1 Off-Site Hedge Baseline'!AN89</f>
        <v/>
      </c>
      <c r="C91" s="382" t="str">
        <f>IF(B91="","",IF(ISNA(VLOOKUP($B91,'E-1 Off-Site Hedge Baseline'!$B$1:$L$257,3,FALSE)),"",(VLOOKUP($B91,'E-1 Off-Site Hedge Baseline'!$B$1:$L$257,3,FALSE))))</f>
        <v/>
      </c>
      <c r="D91" s="382" t="str">
        <f>IF(B91="","",IF(ISNA(VLOOKUP($B91,'E-1 Off-Site Hedge Baseline'!$B$1:$L$258,4,FALSE)),"",(VLOOKUP($B91,'E-1 Off-Site Hedge Baseline'!$B$1:$L$258,4,FALSE))))</f>
        <v/>
      </c>
      <c r="E91" s="382" t="str">
        <f>IF(B91="","",IF(ISNA(VLOOKUP($B91,'E-1 Off-Site Hedge Baseline'!$B$1:$L$257,5,FALSE)),"",(VLOOKUP($B91,'E-1 Off-Site Hedge Baseline'!$B$1:$L$257,5,FALSE))))</f>
        <v/>
      </c>
      <c r="F91" s="382" t="str">
        <f>IF(B91="","",IF(ISNA(VLOOKUP($B91,'E-1 Off-Site Hedge Baseline'!$B$1:$L$257,6,FALSE)),"",(VLOOKUP($B91,'E-1 Off-Site Hedge Baseline'!$B$1:$L$257,6,FALSE))))</f>
        <v/>
      </c>
      <c r="G91" s="382" t="str">
        <f>IF(B91="","",IF(ISNA(VLOOKUP($B91,'E-1 Off-Site Hedge Baseline'!$B$1:$L$257,7,FALSE)),"",(VLOOKUP($B91,'E-1 Off-Site Hedge Baseline'!$B$1:$L$257,7,FALSE))))</f>
        <v/>
      </c>
      <c r="H91" s="382" t="str">
        <f>IF(B91="","",IF(ISNA(VLOOKUP($B91,'E-1 Off-Site Hedge Baseline'!$B$1:$L$257,8,FALSE)),"",(VLOOKUP($B91,'E-1 Off-Site Hedge Baseline'!$B$1:$L$257,8,FALSE))))</f>
        <v/>
      </c>
      <c r="I91" s="382" t="str">
        <f>IF(B91="","",IF(ISNA(VLOOKUP($B91,'E-1 Off-Site Hedge Baseline'!$B$1:$L$257,10,FALSE)),"",(VLOOKUP($B91,'E-1 Off-Site Hedge Baseline'!$B$1:$L$257,10,FALSE))))</f>
        <v/>
      </c>
      <c r="J91" s="382" t="str">
        <f>IF(B91="","",IF(ISNA(VLOOKUP($B91,'E-1 Off-Site Hedge Baseline'!$B$1:$L$257,11,FALSE)),"",(VLOOKUP($B91,'E-1 Off-Site Hedge Baseline'!$B$1:$L$257,11,FALSE))))</f>
        <v/>
      </c>
      <c r="K91" s="382" t="str">
        <f>IF(B91="","",IF(ISNA(VLOOKUP($B91,'E-1 Off-Site Hedge Baseline'!$B$1:$X$257,113,FALSE)),"",(VLOOKUP($B91,'E-1 Off-Site Hedge Baseline'!$B$1:$X$257,13,FALSE))))</f>
        <v/>
      </c>
      <c r="L91" s="370" t="str">
        <f>IF(B91="","",IF(ISNA(VLOOKUP($B91,'E-1 Off-Site Hedge Baseline'!$B$1:$X$257,12,FALSE)),"",(VLOOKUP($B91,'E-1 Off-Site Hedge Baseline'!$B$1:$X$257,12,FALSE))))</f>
        <v/>
      </c>
      <c r="M91" s="316" t="str">
        <f t="shared" si="9"/>
        <v/>
      </c>
      <c r="N91" s="362" t="str">
        <f>IFERROR(IF(B91="","",INDEX('G-6 Hedgerow Data'!$AN$3:$AZ$15,MATCH(C91,'G-6 Hedgerow Data'!$AM$3:$AM$15,0),MATCH(M91,'G-6 Hedgerow Data'!$AN$2:$AZ$2,0))),"")</f>
        <v/>
      </c>
      <c r="O91" s="363" t="str">
        <f t="shared" si="11"/>
        <v/>
      </c>
      <c r="P91" s="368" t="str">
        <f>IF(B91="","",VLOOKUP(B91,'E-1 Off-Site Hedge Baseline'!$B$10:W336,19,FALSE))</f>
        <v/>
      </c>
      <c r="Q91" s="362" t="str">
        <f>IF(M91="","",VLOOKUP(M91,'G-6 Hedgerow Data'!$B$2:$AG$15,2,FALSE))</f>
        <v/>
      </c>
      <c r="R91" s="363" t="str">
        <f>IF(M91="","",VLOOKUP(M91,'G-6 Hedgerow Data'!$B$2:$AG$15,3,FALSE))</f>
        <v/>
      </c>
      <c r="S91" s="114"/>
      <c r="T91" s="363" t="str">
        <f>IFERROR(IF(AND(Q91="V.Low",OR(S91="Good",S91="Moderate")),"Error ▲",VLOOKUP(S91,'G-1 All Habitats'!$Z$2:$AA$9,2,FALSE)),"")</f>
        <v/>
      </c>
      <c r="U91" s="114"/>
      <c r="V91" s="370" t="str">
        <f>IF(U91="","",IF(VLOOKUP(U91,'G-3 Multipliers'!$L$3:$N$6,2,FALSE)=0,"Spatial Data Missing ⚠",VLOOKUP(U91,'G-3 Multipliers'!$L$3:$N$6,2,FALSE)))</f>
        <v/>
      </c>
      <c r="W91" s="368" t="str">
        <f>IF(U91="","",IF(VLOOKUP(U91,'G-3 Multipliers'!$L$3:$N$6,3,FALSE)=0,"Spatial Data Missing ⚠",VLOOKUP(U91,'G-3 Multipliers'!$L$3:$N$6,3,FALSE)))</f>
        <v/>
      </c>
      <c r="X91" s="362" t="str">
        <f>IFERROR(IF(OR(LEFT(O91,5)="Error",LEFT(N91,5)="Error",T91="Error"),"Check Data ⚠",IF(F91&lt;R91,INDEX('G-6 Hedgerow Data'!$S$3:$AE$14,MATCH(C91,'G-6 Hedgerow Data'!$B$3:$B$14,0),MATCH(M91,'G-6 Hedgerow Data'!$S$2:$AE$2,0)),INDEX('G-6 Hedgerow Data'!$K$3:$Q$14,MATCH(M91,'G-6 Hedgerow Data'!$B$3:$B$14,0),MATCH(O91,'G-6 Hedgerow Data'!$K$2:$Q$2,0)))),"")</f>
        <v/>
      </c>
      <c r="Y91" s="159"/>
      <c r="Z91" s="159"/>
      <c r="AA91" s="370" t="str">
        <f t="shared" si="12"/>
        <v/>
      </c>
      <c r="AB91" s="383" t="str">
        <f t="shared" si="13"/>
        <v/>
      </c>
      <c r="AC91" s="384" t="str">
        <f t="shared" si="10"/>
        <v/>
      </c>
      <c r="AD91" s="398" t="str">
        <f>IF(M91="","",VLOOKUP(M91,'G-6 Hedgerow Data'!$B$3:$AG$15,31,FALSE))</f>
        <v/>
      </c>
      <c r="AE91" s="382" t="str">
        <f t="shared" si="14"/>
        <v/>
      </c>
      <c r="AF91" s="382" t="str">
        <f t="shared" si="15"/>
        <v/>
      </c>
      <c r="AG91" s="386" t="str">
        <f>IFERROR(IF(O91="","",VLOOKUP(AD91,'G-3 Multipliers'!$P$3:$Q$6,2,FALSE)),"")</f>
        <v/>
      </c>
      <c r="AH91" s="160"/>
      <c r="AI91" s="363" t="str">
        <f>IF(AH91="","",IF(VLOOKUP(AH91,'G-3 Multipliers'!$S$3:$T$10,2,FALSE)=0,"Spatial Data Missing ⚠",VLOOKUP(AH91,'G-3 Multipliers'!$S$3:$T$10,2,FALSE)))</f>
        <v/>
      </c>
      <c r="AJ91" s="405" t="str">
        <f t="shared" si="16"/>
        <v/>
      </c>
      <c r="AK91" s="376" t="str">
        <f t="shared" si="17"/>
        <v/>
      </c>
      <c r="AL91" s="117"/>
      <c r="AM91" s="118"/>
      <c r="AN91" s="120"/>
      <c r="AO91" s="120"/>
      <c r="AQ91" s="30" t="str">
        <f>IFERROR(INDEX('G-6 Hedgerow Data'!$BJ$3:$BJ$15,MATCH(M91,'G-6 Hedgerow Data'!$B$3:$B$15,0)),"")</f>
        <v/>
      </c>
    </row>
    <row r="92" spans="2:43" ht="15">
      <c r="B92" s="392" t="str">
        <f>'E-1 Off-Site Hedge Baseline'!AN90</f>
        <v/>
      </c>
      <c r="C92" s="382" t="str">
        <f>IF(B92="","",IF(ISNA(VLOOKUP($B92,'E-1 Off-Site Hedge Baseline'!$B$1:$L$257,3,FALSE)),"",(VLOOKUP($B92,'E-1 Off-Site Hedge Baseline'!$B$1:$L$257,3,FALSE))))</f>
        <v/>
      </c>
      <c r="D92" s="382" t="str">
        <f>IF(B92="","",IF(ISNA(VLOOKUP($B92,'E-1 Off-Site Hedge Baseline'!$B$1:$L$258,4,FALSE)),"",(VLOOKUP($B92,'E-1 Off-Site Hedge Baseline'!$B$1:$L$258,4,FALSE))))</f>
        <v/>
      </c>
      <c r="E92" s="382" t="str">
        <f>IF(B92="","",IF(ISNA(VLOOKUP($B92,'E-1 Off-Site Hedge Baseline'!$B$1:$L$257,5,FALSE)),"",(VLOOKUP($B92,'E-1 Off-Site Hedge Baseline'!$B$1:$L$257,5,FALSE))))</f>
        <v/>
      </c>
      <c r="F92" s="382" t="str">
        <f>IF(B92="","",IF(ISNA(VLOOKUP($B92,'E-1 Off-Site Hedge Baseline'!$B$1:$L$257,6,FALSE)),"",(VLOOKUP($B92,'E-1 Off-Site Hedge Baseline'!$B$1:$L$257,6,FALSE))))</f>
        <v/>
      </c>
      <c r="G92" s="382" t="str">
        <f>IF(B92="","",IF(ISNA(VLOOKUP($B92,'E-1 Off-Site Hedge Baseline'!$B$1:$L$257,7,FALSE)),"",(VLOOKUP($B92,'E-1 Off-Site Hedge Baseline'!$B$1:$L$257,7,FALSE))))</f>
        <v/>
      </c>
      <c r="H92" s="382" t="str">
        <f>IF(B92="","",IF(ISNA(VLOOKUP($B92,'E-1 Off-Site Hedge Baseline'!$B$1:$L$257,8,FALSE)),"",(VLOOKUP($B92,'E-1 Off-Site Hedge Baseline'!$B$1:$L$257,8,FALSE))))</f>
        <v/>
      </c>
      <c r="I92" s="382" t="str">
        <f>IF(B92="","",IF(ISNA(VLOOKUP($B92,'E-1 Off-Site Hedge Baseline'!$B$1:$L$257,10,FALSE)),"",(VLOOKUP($B92,'E-1 Off-Site Hedge Baseline'!$B$1:$L$257,10,FALSE))))</f>
        <v/>
      </c>
      <c r="J92" s="382" t="str">
        <f>IF(B92="","",IF(ISNA(VLOOKUP($B92,'E-1 Off-Site Hedge Baseline'!$B$1:$L$257,11,FALSE)),"",(VLOOKUP($B92,'E-1 Off-Site Hedge Baseline'!$B$1:$L$257,11,FALSE))))</f>
        <v/>
      </c>
      <c r="K92" s="382" t="str">
        <f>IF(B92="","",IF(ISNA(VLOOKUP($B92,'E-1 Off-Site Hedge Baseline'!$B$1:$X$257,113,FALSE)),"",(VLOOKUP($B92,'E-1 Off-Site Hedge Baseline'!$B$1:$X$257,13,FALSE))))</f>
        <v/>
      </c>
      <c r="L92" s="370" t="str">
        <f>IF(B92="","",IF(ISNA(VLOOKUP($B92,'E-1 Off-Site Hedge Baseline'!$B$1:$X$257,12,FALSE)),"",(VLOOKUP($B92,'E-1 Off-Site Hedge Baseline'!$B$1:$X$257,12,FALSE))))</f>
        <v/>
      </c>
      <c r="M92" s="316" t="str">
        <f t="shared" si="9"/>
        <v/>
      </c>
      <c r="N92" s="362" t="str">
        <f>IFERROR(IF(B92="","",INDEX('G-6 Hedgerow Data'!$AN$3:$AZ$15,MATCH(C92,'G-6 Hedgerow Data'!$AM$3:$AM$15,0),MATCH(M92,'G-6 Hedgerow Data'!$AN$2:$AZ$2,0))),"")</f>
        <v/>
      </c>
      <c r="O92" s="363" t="str">
        <f t="shared" si="11"/>
        <v/>
      </c>
      <c r="P92" s="368" t="str">
        <f>IF(B92="","",VLOOKUP(B92,'E-1 Off-Site Hedge Baseline'!$B$10:W337,19,FALSE))</f>
        <v/>
      </c>
      <c r="Q92" s="362" t="str">
        <f>IF(M92="","",VLOOKUP(M92,'G-6 Hedgerow Data'!$B$2:$AG$15,2,FALSE))</f>
        <v/>
      </c>
      <c r="R92" s="363" t="str">
        <f>IF(M92="","",VLOOKUP(M92,'G-6 Hedgerow Data'!$B$2:$AG$15,3,FALSE))</f>
        <v/>
      </c>
      <c r="S92" s="114"/>
      <c r="T92" s="363" t="str">
        <f>IFERROR(IF(AND(Q92="V.Low",OR(S92="Good",S92="Moderate")),"Error ▲",VLOOKUP(S92,'G-1 All Habitats'!$Z$2:$AA$9,2,FALSE)),"")</f>
        <v/>
      </c>
      <c r="U92" s="114"/>
      <c r="V92" s="370" t="str">
        <f>IF(U92="","",IF(VLOOKUP(U92,'G-3 Multipliers'!$L$3:$N$6,2,FALSE)=0,"Spatial Data Missing ⚠",VLOOKUP(U92,'G-3 Multipliers'!$L$3:$N$6,2,FALSE)))</f>
        <v/>
      </c>
      <c r="W92" s="368" t="str">
        <f>IF(U92="","",IF(VLOOKUP(U92,'G-3 Multipliers'!$L$3:$N$6,3,FALSE)=0,"Spatial Data Missing ⚠",VLOOKUP(U92,'G-3 Multipliers'!$L$3:$N$6,3,FALSE)))</f>
        <v/>
      </c>
      <c r="X92" s="362" t="str">
        <f>IFERROR(IF(OR(LEFT(O92,5)="Error",LEFT(N92,5)="Error",T92="Error"),"Check Data ⚠",IF(F92&lt;R92,INDEX('G-6 Hedgerow Data'!$S$3:$AE$14,MATCH(C92,'G-6 Hedgerow Data'!$B$3:$B$14,0),MATCH(M92,'G-6 Hedgerow Data'!$S$2:$AE$2,0)),INDEX('G-6 Hedgerow Data'!$K$3:$Q$14,MATCH(M92,'G-6 Hedgerow Data'!$B$3:$B$14,0),MATCH(O92,'G-6 Hedgerow Data'!$K$2:$Q$2,0)))),"")</f>
        <v/>
      </c>
      <c r="Y92" s="159"/>
      <c r="Z92" s="159"/>
      <c r="AA92" s="370" t="str">
        <f t="shared" si="12"/>
        <v/>
      </c>
      <c r="AB92" s="383" t="str">
        <f t="shared" si="13"/>
        <v/>
      </c>
      <c r="AC92" s="384" t="str">
        <f t="shared" si="10"/>
        <v/>
      </c>
      <c r="AD92" s="398" t="str">
        <f>IF(M92="","",VLOOKUP(M92,'G-6 Hedgerow Data'!$B$3:$AG$15,31,FALSE))</f>
        <v/>
      </c>
      <c r="AE92" s="382" t="str">
        <f t="shared" si="14"/>
        <v/>
      </c>
      <c r="AF92" s="382" t="str">
        <f t="shared" si="15"/>
        <v/>
      </c>
      <c r="AG92" s="386" t="str">
        <f>IFERROR(IF(O92="","",VLOOKUP(AD92,'G-3 Multipliers'!$P$3:$Q$6,2,FALSE)),"")</f>
        <v/>
      </c>
      <c r="AH92" s="160"/>
      <c r="AI92" s="363" t="str">
        <f>IF(AH92="","",IF(VLOOKUP(AH92,'G-3 Multipliers'!$S$3:$T$10,2,FALSE)=0,"Spatial Data Missing ⚠",VLOOKUP(AH92,'G-3 Multipliers'!$S$3:$T$10,2,FALSE)))</f>
        <v/>
      </c>
      <c r="AJ92" s="405" t="str">
        <f t="shared" si="16"/>
        <v/>
      </c>
      <c r="AK92" s="376" t="str">
        <f t="shared" si="17"/>
        <v/>
      </c>
      <c r="AL92" s="117"/>
      <c r="AM92" s="118"/>
      <c r="AN92" s="120"/>
      <c r="AO92" s="120"/>
      <c r="AQ92" s="30" t="str">
        <f>IFERROR(INDEX('G-6 Hedgerow Data'!$BJ$3:$BJ$15,MATCH(M92,'G-6 Hedgerow Data'!$B$3:$B$15,0)),"")</f>
        <v/>
      </c>
    </row>
    <row r="93" spans="2:43" ht="15">
      <c r="B93" s="392" t="str">
        <f>'E-1 Off-Site Hedge Baseline'!AN91</f>
        <v/>
      </c>
      <c r="C93" s="382" t="str">
        <f>IF(B93="","",IF(ISNA(VLOOKUP($B93,'E-1 Off-Site Hedge Baseline'!$B$1:$L$257,3,FALSE)),"",(VLOOKUP($B93,'E-1 Off-Site Hedge Baseline'!$B$1:$L$257,3,FALSE))))</f>
        <v/>
      </c>
      <c r="D93" s="382" t="str">
        <f>IF(B93="","",IF(ISNA(VLOOKUP($B93,'E-1 Off-Site Hedge Baseline'!$B$1:$L$258,4,FALSE)),"",(VLOOKUP($B93,'E-1 Off-Site Hedge Baseline'!$B$1:$L$258,4,FALSE))))</f>
        <v/>
      </c>
      <c r="E93" s="382" t="str">
        <f>IF(B93="","",IF(ISNA(VLOOKUP($B93,'E-1 Off-Site Hedge Baseline'!$B$1:$L$257,5,FALSE)),"",(VLOOKUP($B93,'E-1 Off-Site Hedge Baseline'!$B$1:$L$257,5,FALSE))))</f>
        <v/>
      </c>
      <c r="F93" s="382" t="str">
        <f>IF(B93="","",IF(ISNA(VLOOKUP($B93,'E-1 Off-Site Hedge Baseline'!$B$1:$L$257,6,FALSE)),"",(VLOOKUP($B93,'E-1 Off-Site Hedge Baseline'!$B$1:$L$257,6,FALSE))))</f>
        <v/>
      </c>
      <c r="G93" s="382" t="str">
        <f>IF(B93="","",IF(ISNA(VLOOKUP($B93,'E-1 Off-Site Hedge Baseline'!$B$1:$L$257,7,FALSE)),"",(VLOOKUP($B93,'E-1 Off-Site Hedge Baseline'!$B$1:$L$257,7,FALSE))))</f>
        <v/>
      </c>
      <c r="H93" s="382" t="str">
        <f>IF(B93="","",IF(ISNA(VLOOKUP($B93,'E-1 Off-Site Hedge Baseline'!$B$1:$L$257,8,FALSE)),"",(VLOOKUP($B93,'E-1 Off-Site Hedge Baseline'!$B$1:$L$257,8,FALSE))))</f>
        <v/>
      </c>
      <c r="I93" s="382" t="str">
        <f>IF(B93="","",IF(ISNA(VLOOKUP($B93,'E-1 Off-Site Hedge Baseline'!$B$1:$L$257,10,FALSE)),"",(VLOOKUP($B93,'E-1 Off-Site Hedge Baseline'!$B$1:$L$257,10,FALSE))))</f>
        <v/>
      </c>
      <c r="J93" s="382" t="str">
        <f>IF(B93="","",IF(ISNA(VLOOKUP($B93,'E-1 Off-Site Hedge Baseline'!$B$1:$L$257,11,FALSE)),"",(VLOOKUP($B93,'E-1 Off-Site Hedge Baseline'!$B$1:$L$257,11,FALSE))))</f>
        <v/>
      </c>
      <c r="K93" s="382" t="str">
        <f>IF(B93="","",IF(ISNA(VLOOKUP($B93,'E-1 Off-Site Hedge Baseline'!$B$1:$X$257,113,FALSE)),"",(VLOOKUP($B93,'E-1 Off-Site Hedge Baseline'!$B$1:$X$257,13,FALSE))))</f>
        <v/>
      </c>
      <c r="L93" s="370" t="str">
        <f>IF(B93="","",IF(ISNA(VLOOKUP($B93,'E-1 Off-Site Hedge Baseline'!$B$1:$X$257,12,FALSE)),"",(VLOOKUP($B93,'E-1 Off-Site Hedge Baseline'!$B$1:$X$257,12,FALSE))))</f>
        <v/>
      </c>
      <c r="M93" s="316" t="str">
        <f t="shared" si="9"/>
        <v/>
      </c>
      <c r="N93" s="362" t="str">
        <f>IFERROR(IF(B93="","",INDEX('G-6 Hedgerow Data'!$AN$3:$AZ$15,MATCH(C93,'G-6 Hedgerow Data'!$AM$3:$AM$15,0),MATCH(M93,'G-6 Hedgerow Data'!$AN$2:$AZ$2,0))),"")</f>
        <v/>
      </c>
      <c r="O93" s="363" t="str">
        <f t="shared" si="11"/>
        <v/>
      </c>
      <c r="P93" s="368" t="str">
        <f>IF(B93="","",VLOOKUP(B93,'E-1 Off-Site Hedge Baseline'!$B$10:W338,19,FALSE))</f>
        <v/>
      </c>
      <c r="Q93" s="362" t="str">
        <f>IF(M93="","",VLOOKUP(M93,'G-6 Hedgerow Data'!$B$2:$AG$15,2,FALSE))</f>
        <v/>
      </c>
      <c r="R93" s="363" t="str">
        <f>IF(M93="","",VLOOKUP(M93,'G-6 Hedgerow Data'!$B$2:$AG$15,3,FALSE))</f>
        <v/>
      </c>
      <c r="S93" s="114"/>
      <c r="T93" s="363" t="str">
        <f>IFERROR(IF(AND(Q93="V.Low",OR(S93="Good",S93="Moderate")),"Error ▲",VLOOKUP(S93,'G-1 All Habitats'!$Z$2:$AA$9,2,FALSE)),"")</f>
        <v/>
      </c>
      <c r="U93" s="114"/>
      <c r="V93" s="370" t="str">
        <f>IF(U93="","",IF(VLOOKUP(U93,'G-3 Multipliers'!$L$3:$N$6,2,FALSE)=0,"Spatial Data Missing ⚠",VLOOKUP(U93,'G-3 Multipliers'!$L$3:$N$6,2,FALSE)))</f>
        <v/>
      </c>
      <c r="W93" s="368" t="str">
        <f>IF(U93="","",IF(VLOOKUP(U93,'G-3 Multipliers'!$L$3:$N$6,3,FALSE)=0,"Spatial Data Missing ⚠",VLOOKUP(U93,'G-3 Multipliers'!$L$3:$N$6,3,FALSE)))</f>
        <v/>
      </c>
      <c r="X93" s="362" t="str">
        <f>IFERROR(IF(OR(LEFT(O93,5)="Error",LEFT(N93,5)="Error",T93="Error"),"Check Data ⚠",IF(F93&lt;R93,INDEX('G-6 Hedgerow Data'!$S$3:$AE$14,MATCH(C93,'G-6 Hedgerow Data'!$B$3:$B$14,0),MATCH(M93,'G-6 Hedgerow Data'!$S$2:$AE$2,0)),INDEX('G-6 Hedgerow Data'!$K$3:$Q$14,MATCH(M93,'G-6 Hedgerow Data'!$B$3:$B$14,0),MATCH(O93,'G-6 Hedgerow Data'!$K$2:$Q$2,0)))),"")</f>
        <v/>
      </c>
      <c r="Y93" s="159"/>
      <c r="Z93" s="159"/>
      <c r="AA93" s="370" t="str">
        <f t="shared" si="12"/>
        <v/>
      </c>
      <c r="AB93" s="383" t="str">
        <f t="shared" si="13"/>
        <v/>
      </c>
      <c r="AC93" s="384" t="str">
        <f t="shared" si="10"/>
        <v/>
      </c>
      <c r="AD93" s="398" t="str">
        <f>IF(M93="","",VLOOKUP(M93,'G-6 Hedgerow Data'!$B$3:$AG$15,31,FALSE))</f>
        <v/>
      </c>
      <c r="AE93" s="382" t="str">
        <f t="shared" si="14"/>
        <v/>
      </c>
      <c r="AF93" s="382" t="str">
        <f t="shared" si="15"/>
        <v/>
      </c>
      <c r="AG93" s="386" t="str">
        <f>IFERROR(IF(O93="","",VLOOKUP(AD93,'G-3 Multipliers'!$P$3:$Q$6,2,FALSE)),"")</f>
        <v/>
      </c>
      <c r="AH93" s="160"/>
      <c r="AI93" s="363" t="str">
        <f>IF(AH93="","",IF(VLOOKUP(AH93,'G-3 Multipliers'!$S$3:$T$10,2,FALSE)=0,"Spatial Data Missing ⚠",VLOOKUP(AH93,'G-3 Multipliers'!$S$3:$T$10,2,FALSE)))</f>
        <v/>
      </c>
      <c r="AJ93" s="405" t="str">
        <f t="shared" si="16"/>
        <v/>
      </c>
      <c r="AK93" s="376" t="str">
        <f t="shared" si="17"/>
        <v/>
      </c>
      <c r="AL93" s="117"/>
      <c r="AM93" s="118"/>
      <c r="AN93" s="120"/>
      <c r="AO93" s="120"/>
      <c r="AQ93" s="30" t="str">
        <f>IFERROR(INDEX('G-6 Hedgerow Data'!$BJ$3:$BJ$15,MATCH(M93,'G-6 Hedgerow Data'!$B$3:$B$15,0)),"")</f>
        <v/>
      </c>
    </row>
    <row r="94" spans="2:43" ht="15">
      <c r="B94" s="392" t="str">
        <f>'E-1 Off-Site Hedge Baseline'!AN92</f>
        <v/>
      </c>
      <c r="C94" s="382" t="str">
        <f>IF(B94="","",IF(ISNA(VLOOKUP($B94,'E-1 Off-Site Hedge Baseline'!$B$1:$L$257,3,FALSE)),"",(VLOOKUP($B94,'E-1 Off-Site Hedge Baseline'!$B$1:$L$257,3,FALSE))))</f>
        <v/>
      </c>
      <c r="D94" s="382" t="str">
        <f>IF(B94="","",IF(ISNA(VLOOKUP($B94,'E-1 Off-Site Hedge Baseline'!$B$1:$L$258,4,FALSE)),"",(VLOOKUP($B94,'E-1 Off-Site Hedge Baseline'!$B$1:$L$258,4,FALSE))))</f>
        <v/>
      </c>
      <c r="E94" s="382" t="str">
        <f>IF(B94="","",IF(ISNA(VLOOKUP($B94,'E-1 Off-Site Hedge Baseline'!$B$1:$L$257,5,FALSE)),"",(VLOOKUP($B94,'E-1 Off-Site Hedge Baseline'!$B$1:$L$257,5,FALSE))))</f>
        <v/>
      </c>
      <c r="F94" s="382" t="str">
        <f>IF(B94="","",IF(ISNA(VLOOKUP($B94,'E-1 Off-Site Hedge Baseline'!$B$1:$L$257,6,FALSE)),"",(VLOOKUP($B94,'E-1 Off-Site Hedge Baseline'!$B$1:$L$257,6,FALSE))))</f>
        <v/>
      </c>
      <c r="G94" s="382" t="str">
        <f>IF(B94="","",IF(ISNA(VLOOKUP($B94,'E-1 Off-Site Hedge Baseline'!$B$1:$L$257,7,FALSE)),"",(VLOOKUP($B94,'E-1 Off-Site Hedge Baseline'!$B$1:$L$257,7,FALSE))))</f>
        <v/>
      </c>
      <c r="H94" s="382" t="str">
        <f>IF(B94="","",IF(ISNA(VLOOKUP($B94,'E-1 Off-Site Hedge Baseline'!$B$1:$L$257,8,FALSE)),"",(VLOOKUP($B94,'E-1 Off-Site Hedge Baseline'!$B$1:$L$257,8,FALSE))))</f>
        <v/>
      </c>
      <c r="I94" s="382" t="str">
        <f>IF(B94="","",IF(ISNA(VLOOKUP($B94,'E-1 Off-Site Hedge Baseline'!$B$1:$L$257,10,FALSE)),"",(VLOOKUP($B94,'E-1 Off-Site Hedge Baseline'!$B$1:$L$257,10,FALSE))))</f>
        <v/>
      </c>
      <c r="J94" s="382" t="str">
        <f>IF(B94="","",IF(ISNA(VLOOKUP($B94,'E-1 Off-Site Hedge Baseline'!$B$1:$L$257,11,FALSE)),"",(VLOOKUP($B94,'E-1 Off-Site Hedge Baseline'!$B$1:$L$257,11,FALSE))))</f>
        <v/>
      </c>
      <c r="K94" s="382" t="str">
        <f>IF(B94="","",IF(ISNA(VLOOKUP($B94,'E-1 Off-Site Hedge Baseline'!$B$1:$X$257,113,FALSE)),"",(VLOOKUP($B94,'E-1 Off-Site Hedge Baseline'!$B$1:$X$257,13,FALSE))))</f>
        <v/>
      </c>
      <c r="L94" s="370" t="str">
        <f>IF(B94="","",IF(ISNA(VLOOKUP($B94,'E-1 Off-Site Hedge Baseline'!$B$1:$X$257,12,FALSE)),"",(VLOOKUP($B94,'E-1 Off-Site Hedge Baseline'!$B$1:$X$257,12,FALSE))))</f>
        <v/>
      </c>
      <c r="M94" s="316" t="str">
        <f t="shared" si="9"/>
        <v/>
      </c>
      <c r="N94" s="362" t="str">
        <f>IFERROR(IF(B94="","",INDEX('G-6 Hedgerow Data'!$AN$3:$AZ$15,MATCH(C94,'G-6 Hedgerow Data'!$AM$3:$AM$15,0),MATCH(M94,'G-6 Hedgerow Data'!$AN$2:$AZ$2,0))),"")</f>
        <v/>
      </c>
      <c r="O94" s="363" t="str">
        <f t="shared" si="11"/>
        <v/>
      </c>
      <c r="P94" s="368" t="str">
        <f>IF(B94="","",VLOOKUP(B94,'E-1 Off-Site Hedge Baseline'!$B$10:W339,19,FALSE))</f>
        <v/>
      </c>
      <c r="Q94" s="362" t="str">
        <f>IF(M94="","",VLOOKUP(M94,'G-6 Hedgerow Data'!$B$2:$AG$15,2,FALSE))</f>
        <v/>
      </c>
      <c r="R94" s="363" t="str">
        <f>IF(M94="","",VLOOKUP(M94,'G-6 Hedgerow Data'!$B$2:$AG$15,3,FALSE))</f>
        <v/>
      </c>
      <c r="S94" s="114"/>
      <c r="T94" s="363" t="str">
        <f>IFERROR(IF(AND(Q94="V.Low",OR(S94="Good",S94="Moderate")),"Error ▲",VLOOKUP(S94,'G-1 All Habitats'!$Z$2:$AA$9,2,FALSE)),"")</f>
        <v/>
      </c>
      <c r="U94" s="114"/>
      <c r="V94" s="370" t="str">
        <f>IF(U94="","",IF(VLOOKUP(U94,'G-3 Multipliers'!$L$3:$N$6,2,FALSE)=0,"Spatial Data Missing ⚠",VLOOKUP(U94,'G-3 Multipliers'!$L$3:$N$6,2,FALSE)))</f>
        <v/>
      </c>
      <c r="W94" s="368" t="str">
        <f>IF(U94="","",IF(VLOOKUP(U94,'G-3 Multipliers'!$L$3:$N$6,3,FALSE)=0,"Spatial Data Missing ⚠",VLOOKUP(U94,'G-3 Multipliers'!$L$3:$N$6,3,FALSE)))</f>
        <v/>
      </c>
      <c r="X94" s="362" t="str">
        <f>IFERROR(IF(OR(LEFT(O94,5)="Error",LEFT(N94,5)="Error",T94="Error"),"Check Data ⚠",IF(F94&lt;R94,INDEX('G-6 Hedgerow Data'!$S$3:$AE$14,MATCH(C94,'G-6 Hedgerow Data'!$B$3:$B$14,0),MATCH(M94,'G-6 Hedgerow Data'!$S$2:$AE$2,0)),INDEX('G-6 Hedgerow Data'!$K$3:$Q$14,MATCH(M94,'G-6 Hedgerow Data'!$B$3:$B$14,0),MATCH(O94,'G-6 Hedgerow Data'!$K$2:$Q$2,0)))),"")</f>
        <v/>
      </c>
      <c r="Y94" s="159"/>
      <c r="Z94" s="159"/>
      <c r="AA94" s="370" t="str">
        <f t="shared" si="12"/>
        <v/>
      </c>
      <c r="AB94" s="383" t="str">
        <f t="shared" si="13"/>
        <v/>
      </c>
      <c r="AC94" s="384" t="str">
        <f t="shared" si="10"/>
        <v/>
      </c>
      <c r="AD94" s="398" t="str">
        <f>IF(M94="","",VLOOKUP(M94,'G-6 Hedgerow Data'!$B$3:$AG$15,31,FALSE))</f>
        <v/>
      </c>
      <c r="AE94" s="382" t="str">
        <f t="shared" si="14"/>
        <v/>
      </c>
      <c r="AF94" s="382" t="str">
        <f t="shared" si="15"/>
        <v/>
      </c>
      <c r="AG94" s="386" t="str">
        <f>IFERROR(IF(O94="","",VLOOKUP(AD94,'G-3 Multipliers'!$P$3:$Q$6,2,FALSE)),"")</f>
        <v/>
      </c>
      <c r="AH94" s="160"/>
      <c r="AI94" s="363" t="str">
        <f>IF(AH94="","",IF(VLOOKUP(AH94,'G-3 Multipliers'!$S$3:$T$10,2,FALSE)=0,"Spatial Data Missing ⚠",VLOOKUP(AH94,'G-3 Multipliers'!$S$3:$T$10,2,FALSE)))</f>
        <v/>
      </c>
      <c r="AJ94" s="405" t="str">
        <f t="shared" si="16"/>
        <v/>
      </c>
      <c r="AK94" s="376" t="str">
        <f t="shared" si="17"/>
        <v/>
      </c>
      <c r="AL94" s="117"/>
      <c r="AM94" s="118"/>
      <c r="AN94" s="120"/>
      <c r="AO94" s="120"/>
      <c r="AQ94" s="30" t="str">
        <f>IFERROR(INDEX('G-6 Hedgerow Data'!$BJ$3:$BJ$15,MATCH(M94,'G-6 Hedgerow Data'!$B$3:$B$15,0)),"")</f>
        <v/>
      </c>
    </row>
    <row r="95" spans="2:43" ht="15">
      <c r="B95" s="392" t="str">
        <f>'E-1 Off-Site Hedge Baseline'!AN93</f>
        <v/>
      </c>
      <c r="C95" s="382" t="str">
        <f>IF(B95="","",IF(ISNA(VLOOKUP($B95,'E-1 Off-Site Hedge Baseline'!$B$1:$L$257,3,FALSE)),"",(VLOOKUP($B95,'E-1 Off-Site Hedge Baseline'!$B$1:$L$257,3,FALSE))))</f>
        <v/>
      </c>
      <c r="D95" s="382" t="str">
        <f>IF(B95="","",IF(ISNA(VLOOKUP($B95,'E-1 Off-Site Hedge Baseline'!$B$1:$L$258,4,FALSE)),"",(VLOOKUP($B95,'E-1 Off-Site Hedge Baseline'!$B$1:$L$258,4,FALSE))))</f>
        <v/>
      </c>
      <c r="E95" s="382" t="str">
        <f>IF(B95="","",IF(ISNA(VLOOKUP($B95,'E-1 Off-Site Hedge Baseline'!$B$1:$L$257,5,FALSE)),"",(VLOOKUP($B95,'E-1 Off-Site Hedge Baseline'!$B$1:$L$257,5,FALSE))))</f>
        <v/>
      </c>
      <c r="F95" s="382" t="str">
        <f>IF(B95="","",IF(ISNA(VLOOKUP($B95,'E-1 Off-Site Hedge Baseline'!$B$1:$L$257,6,FALSE)),"",(VLOOKUP($B95,'E-1 Off-Site Hedge Baseline'!$B$1:$L$257,6,FALSE))))</f>
        <v/>
      </c>
      <c r="G95" s="382" t="str">
        <f>IF(B95="","",IF(ISNA(VLOOKUP($B95,'E-1 Off-Site Hedge Baseline'!$B$1:$L$257,7,FALSE)),"",(VLOOKUP($B95,'E-1 Off-Site Hedge Baseline'!$B$1:$L$257,7,FALSE))))</f>
        <v/>
      </c>
      <c r="H95" s="382" t="str">
        <f>IF(B95="","",IF(ISNA(VLOOKUP($B95,'E-1 Off-Site Hedge Baseline'!$B$1:$L$257,8,FALSE)),"",(VLOOKUP($B95,'E-1 Off-Site Hedge Baseline'!$B$1:$L$257,8,FALSE))))</f>
        <v/>
      </c>
      <c r="I95" s="382" t="str">
        <f>IF(B95="","",IF(ISNA(VLOOKUP($B95,'E-1 Off-Site Hedge Baseline'!$B$1:$L$257,10,FALSE)),"",(VLOOKUP($B95,'E-1 Off-Site Hedge Baseline'!$B$1:$L$257,10,FALSE))))</f>
        <v/>
      </c>
      <c r="J95" s="382" t="str">
        <f>IF(B95="","",IF(ISNA(VLOOKUP($B95,'E-1 Off-Site Hedge Baseline'!$B$1:$L$257,11,FALSE)),"",(VLOOKUP($B95,'E-1 Off-Site Hedge Baseline'!$B$1:$L$257,11,FALSE))))</f>
        <v/>
      </c>
      <c r="K95" s="382" t="str">
        <f>IF(B95="","",IF(ISNA(VLOOKUP($B95,'E-1 Off-Site Hedge Baseline'!$B$1:$X$257,113,FALSE)),"",(VLOOKUP($B95,'E-1 Off-Site Hedge Baseline'!$B$1:$X$257,13,FALSE))))</f>
        <v/>
      </c>
      <c r="L95" s="370" t="str">
        <f>IF(B95="","",IF(ISNA(VLOOKUP($B95,'E-1 Off-Site Hedge Baseline'!$B$1:$X$257,12,FALSE)),"",(VLOOKUP($B95,'E-1 Off-Site Hedge Baseline'!$B$1:$X$257,12,FALSE))))</f>
        <v/>
      </c>
      <c r="M95" s="316" t="str">
        <f t="shared" si="9"/>
        <v/>
      </c>
      <c r="N95" s="362" t="str">
        <f>IFERROR(IF(B95="","",INDEX('G-6 Hedgerow Data'!$AN$3:$AZ$15,MATCH(C95,'G-6 Hedgerow Data'!$AM$3:$AM$15,0),MATCH(M95,'G-6 Hedgerow Data'!$AN$2:$AZ$2,0))),"")</f>
        <v/>
      </c>
      <c r="O95" s="363" t="str">
        <f t="shared" si="11"/>
        <v/>
      </c>
      <c r="P95" s="368" t="str">
        <f>IF(B95="","",VLOOKUP(B95,'E-1 Off-Site Hedge Baseline'!$B$10:W340,19,FALSE))</f>
        <v/>
      </c>
      <c r="Q95" s="362" t="str">
        <f>IF(M95="","",VLOOKUP(M95,'G-6 Hedgerow Data'!$B$2:$AG$15,2,FALSE))</f>
        <v/>
      </c>
      <c r="R95" s="363" t="str">
        <f>IF(M95="","",VLOOKUP(M95,'G-6 Hedgerow Data'!$B$2:$AG$15,3,FALSE))</f>
        <v/>
      </c>
      <c r="S95" s="114"/>
      <c r="T95" s="363" t="str">
        <f>IFERROR(IF(AND(Q95="V.Low",OR(S95="Good",S95="Moderate")),"Error ▲",VLOOKUP(S95,'G-1 All Habitats'!$Z$2:$AA$9,2,FALSE)),"")</f>
        <v/>
      </c>
      <c r="U95" s="114"/>
      <c r="V95" s="370" t="str">
        <f>IF(U95="","",IF(VLOOKUP(U95,'G-3 Multipliers'!$L$3:$N$6,2,FALSE)=0,"Spatial Data Missing ⚠",VLOOKUP(U95,'G-3 Multipliers'!$L$3:$N$6,2,FALSE)))</f>
        <v/>
      </c>
      <c r="W95" s="368" t="str">
        <f>IF(U95="","",IF(VLOOKUP(U95,'G-3 Multipliers'!$L$3:$N$6,3,FALSE)=0,"Spatial Data Missing ⚠",VLOOKUP(U95,'G-3 Multipliers'!$L$3:$N$6,3,FALSE)))</f>
        <v/>
      </c>
      <c r="X95" s="362" t="str">
        <f>IFERROR(IF(OR(LEFT(O95,5)="Error",LEFT(N95,5)="Error",T95="Error"),"Check Data ⚠",IF(F95&lt;R95,INDEX('G-6 Hedgerow Data'!$S$3:$AE$14,MATCH(C95,'G-6 Hedgerow Data'!$B$3:$B$14,0),MATCH(M95,'G-6 Hedgerow Data'!$S$2:$AE$2,0)),INDEX('G-6 Hedgerow Data'!$K$3:$Q$14,MATCH(M95,'G-6 Hedgerow Data'!$B$3:$B$14,0),MATCH(O95,'G-6 Hedgerow Data'!$K$2:$Q$2,0)))),"")</f>
        <v/>
      </c>
      <c r="Y95" s="159"/>
      <c r="Z95" s="159"/>
      <c r="AA95" s="370" t="str">
        <f t="shared" si="12"/>
        <v/>
      </c>
      <c r="AB95" s="383" t="str">
        <f t="shared" si="13"/>
        <v/>
      </c>
      <c r="AC95" s="384" t="str">
        <f t="shared" si="10"/>
        <v/>
      </c>
      <c r="AD95" s="398" t="str">
        <f>IF(M95="","",VLOOKUP(M95,'G-6 Hedgerow Data'!$B$3:$AG$15,31,FALSE))</f>
        <v/>
      </c>
      <c r="AE95" s="382" t="str">
        <f t="shared" si="14"/>
        <v/>
      </c>
      <c r="AF95" s="382" t="str">
        <f t="shared" si="15"/>
        <v/>
      </c>
      <c r="AG95" s="386" t="str">
        <f>IFERROR(IF(O95="","",VLOOKUP(AD95,'G-3 Multipliers'!$P$3:$Q$6,2,FALSE)),"")</f>
        <v/>
      </c>
      <c r="AH95" s="160"/>
      <c r="AI95" s="363" t="str">
        <f>IF(AH95="","",IF(VLOOKUP(AH95,'G-3 Multipliers'!$S$3:$T$10,2,FALSE)=0,"Spatial Data Missing ⚠",VLOOKUP(AH95,'G-3 Multipliers'!$S$3:$T$10,2,FALSE)))</f>
        <v/>
      </c>
      <c r="AJ95" s="405" t="str">
        <f t="shared" si="16"/>
        <v/>
      </c>
      <c r="AK95" s="376" t="str">
        <f t="shared" si="17"/>
        <v/>
      </c>
      <c r="AL95" s="117"/>
      <c r="AM95" s="118"/>
      <c r="AN95" s="120"/>
      <c r="AO95" s="120"/>
      <c r="AQ95" s="30" t="str">
        <f>IFERROR(INDEX('G-6 Hedgerow Data'!$BJ$3:$BJ$15,MATCH(M95,'G-6 Hedgerow Data'!$B$3:$B$15,0)),"")</f>
        <v/>
      </c>
    </row>
    <row r="96" spans="2:43" ht="15">
      <c r="B96" s="392" t="str">
        <f>'E-1 Off-Site Hedge Baseline'!AN94</f>
        <v/>
      </c>
      <c r="C96" s="382" t="str">
        <f>IF(B96="","",IF(ISNA(VLOOKUP($B96,'E-1 Off-Site Hedge Baseline'!$B$1:$L$257,3,FALSE)),"",(VLOOKUP($B96,'E-1 Off-Site Hedge Baseline'!$B$1:$L$257,3,FALSE))))</f>
        <v/>
      </c>
      <c r="D96" s="382" t="str">
        <f>IF(B96="","",IF(ISNA(VLOOKUP($B96,'E-1 Off-Site Hedge Baseline'!$B$1:$L$258,4,FALSE)),"",(VLOOKUP($B96,'E-1 Off-Site Hedge Baseline'!$B$1:$L$258,4,FALSE))))</f>
        <v/>
      </c>
      <c r="E96" s="382" t="str">
        <f>IF(B96="","",IF(ISNA(VLOOKUP($B96,'E-1 Off-Site Hedge Baseline'!$B$1:$L$257,5,FALSE)),"",(VLOOKUP($B96,'E-1 Off-Site Hedge Baseline'!$B$1:$L$257,5,FALSE))))</f>
        <v/>
      </c>
      <c r="F96" s="382" t="str">
        <f>IF(B96="","",IF(ISNA(VLOOKUP($B96,'E-1 Off-Site Hedge Baseline'!$B$1:$L$257,6,FALSE)),"",(VLOOKUP($B96,'E-1 Off-Site Hedge Baseline'!$B$1:$L$257,6,FALSE))))</f>
        <v/>
      </c>
      <c r="G96" s="382" t="str">
        <f>IF(B96="","",IF(ISNA(VLOOKUP($B96,'E-1 Off-Site Hedge Baseline'!$B$1:$L$257,7,FALSE)),"",(VLOOKUP($B96,'E-1 Off-Site Hedge Baseline'!$B$1:$L$257,7,FALSE))))</f>
        <v/>
      </c>
      <c r="H96" s="382" t="str">
        <f>IF(B96="","",IF(ISNA(VLOOKUP($B96,'E-1 Off-Site Hedge Baseline'!$B$1:$L$257,8,FALSE)),"",(VLOOKUP($B96,'E-1 Off-Site Hedge Baseline'!$B$1:$L$257,8,FALSE))))</f>
        <v/>
      </c>
      <c r="I96" s="382" t="str">
        <f>IF(B96="","",IF(ISNA(VLOOKUP($B96,'E-1 Off-Site Hedge Baseline'!$B$1:$L$257,10,FALSE)),"",(VLOOKUP($B96,'E-1 Off-Site Hedge Baseline'!$B$1:$L$257,10,FALSE))))</f>
        <v/>
      </c>
      <c r="J96" s="382" t="str">
        <f>IF(B96="","",IF(ISNA(VLOOKUP($B96,'E-1 Off-Site Hedge Baseline'!$B$1:$L$257,11,FALSE)),"",(VLOOKUP($B96,'E-1 Off-Site Hedge Baseline'!$B$1:$L$257,11,FALSE))))</f>
        <v/>
      </c>
      <c r="K96" s="382" t="str">
        <f>IF(B96="","",IF(ISNA(VLOOKUP($B96,'E-1 Off-Site Hedge Baseline'!$B$1:$X$257,113,FALSE)),"",(VLOOKUP($B96,'E-1 Off-Site Hedge Baseline'!$B$1:$X$257,13,FALSE))))</f>
        <v/>
      </c>
      <c r="L96" s="370" t="str">
        <f>IF(B96="","",IF(ISNA(VLOOKUP($B96,'E-1 Off-Site Hedge Baseline'!$B$1:$X$257,12,FALSE)),"",(VLOOKUP($B96,'E-1 Off-Site Hedge Baseline'!$B$1:$X$257,12,FALSE))))</f>
        <v/>
      </c>
      <c r="M96" s="316" t="str">
        <f t="shared" si="9"/>
        <v/>
      </c>
      <c r="N96" s="362" t="str">
        <f>IFERROR(IF(B96="","",INDEX('G-6 Hedgerow Data'!$AN$3:$AZ$15,MATCH(C96,'G-6 Hedgerow Data'!$AM$3:$AM$15,0),MATCH(M96,'G-6 Hedgerow Data'!$AN$2:$AZ$2,0))),"")</f>
        <v/>
      </c>
      <c r="O96" s="363" t="str">
        <f t="shared" si="11"/>
        <v/>
      </c>
      <c r="P96" s="368" t="str">
        <f>IF(B96="","",VLOOKUP(B96,'E-1 Off-Site Hedge Baseline'!$B$10:W341,19,FALSE))</f>
        <v/>
      </c>
      <c r="Q96" s="362" t="str">
        <f>IF(M96="","",VLOOKUP(M96,'G-6 Hedgerow Data'!$B$2:$AG$15,2,FALSE))</f>
        <v/>
      </c>
      <c r="R96" s="363" t="str">
        <f>IF(M96="","",VLOOKUP(M96,'G-6 Hedgerow Data'!$B$2:$AG$15,3,FALSE))</f>
        <v/>
      </c>
      <c r="S96" s="114"/>
      <c r="T96" s="363" t="str">
        <f>IFERROR(IF(AND(Q96="V.Low",OR(S96="Good",S96="Moderate")),"Error ▲",VLOOKUP(S96,'G-1 All Habitats'!$Z$2:$AA$9,2,FALSE)),"")</f>
        <v/>
      </c>
      <c r="U96" s="114"/>
      <c r="V96" s="370" t="str">
        <f>IF(U96="","",IF(VLOOKUP(U96,'G-3 Multipliers'!$L$3:$N$6,2,FALSE)=0,"Spatial Data Missing ⚠",VLOOKUP(U96,'G-3 Multipliers'!$L$3:$N$6,2,FALSE)))</f>
        <v/>
      </c>
      <c r="W96" s="368" t="str">
        <f>IF(U96="","",IF(VLOOKUP(U96,'G-3 Multipliers'!$L$3:$N$6,3,FALSE)=0,"Spatial Data Missing ⚠",VLOOKUP(U96,'G-3 Multipliers'!$L$3:$N$6,3,FALSE)))</f>
        <v/>
      </c>
      <c r="X96" s="362" t="str">
        <f>IFERROR(IF(OR(LEFT(O96,5)="Error",LEFT(N96,5)="Error",T96="Error"),"Check Data ⚠",IF(F96&lt;R96,INDEX('G-6 Hedgerow Data'!$S$3:$AE$14,MATCH(C96,'G-6 Hedgerow Data'!$B$3:$B$14,0),MATCH(M96,'G-6 Hedgerow Data'!$S$2:$AE$2,0)),INDEX('G-6 Hedgerow Data'!$K$3:$Q$14,MATCH(M96,'G-6 Hedgerow Data'!$B$3:$B$14,0),MATCH(O96,'G-6 Hedgerow Data'!$K$2:$Q$2,0)))),"")</f>
        <v/>
      </c>
      <c r="Y96" s="159"/>
      <c r="Z96" s="159"/>
      <c r="AA96" s="370" t="str">
        <f t="shared" si="12"/>
        <v/>
      </c>
      <c r="AB96" s="383" t="str">
        <f t="shared" si="13"/>
        <v/>
      </c>
      <c r="AC96" s="384" t="str">
        <f t="shared" si="10"/>
        <v/>
      </c>
      <c r="AD96" s="398" t="str">
        <f>IF(M96="","",VLOOKUP(M96,'G-6 Hedgerow Data'!$B$3:$AG$15,31,FALSE))</f>
        <v/>
      </c>
      <c r="AE96" s="382" t="str">
        <f t="shared" si="14"/>
        <v/>
      </c>
      <c r="AF96" s="382" t="str">
        <f t="shared" si="15"/>
        <v/>
      </c>
      <c r="AG96" s="386" t="str">
        <f>IFERROR(IF(O96="","",VLOOKUP(AD96,'G-3 Multipliers'!$P$3:$Q$6,2,FALSE)),"")</f>
        <v/>
      </c>
      <c r="AH96" s="160"/>
      <c r="AI96" s="363" t="str">
        <f>IF(AH96="","",IF(VLOOKUP(AH96,'G-3 Multipliers'!$S$3:$T$10,2,FALSE)=0,"Spatial Data Missing ⚠",VLOOKUP(AH96,'G-3 Multipliers'!$S$3:$T$10,2,FALSE)))</f>
        <v/>
      </c>
      <c r="AJ96" s="405" t="str">
        <f t="shared" si="16"/>
        <v/>
      </c>
      <c r="AK96" s="376" t="str">
        <f t="shared" si="17"/>
        <v/>
      </c>
      <c r="AL96" s="117"/>
      <c r="AM96" s="118"/>
      <c r="AN96" s="120"/>
      <c r="AO96" s="120"/>
      <c r="AQ96" s="30" t="str">
        <f>IFERROR(INDEX('G-6 Hedgerow Data'!$BJ$3:$BJ$15,MATCH(M96,'G-6 Hedgerow Data'!$B$3:$B$15,0)),"")</f>
        <v/>
      </c>
    </row>
    <row r="97" spans="2:43" ht="15">
      <c r="B97" s="392" t="str">
        <f>'E-1 Off-Site Hedge Baseline'!AN95</f>
        <v/>
      </c>
      <c r="C97" s="382" t="str">
        <f>IF(B97="","",IF(ISNA(VLOOKUP($B97,'E-1 Off-Site Hedge Baseline'!$B$1:$L$257,3,FALSE)),"",(VLOOKUP($B97,'E-1 Off-Site Hedge Baseline'!$B$1:$L$257,3,FALSE))))</f>
        <v/>
      </c>
      <c r="D97" s="382" t="str">
        <f>IF(B97="","",IF(ISNA(VLOOKUP($B97,'E-1 Off-Site Hedge Baseline'!$B$1:$L$258,4,FALSE)),"",(VLOOKUP($B97,'E-1 Off-Site Hedge Baseline'!$B$1:$L$258,4,FALSE))))</f>
        <v/>
      </c>
      <c r="E97" s="382" t="str">
        <f>IF(B97="","",IF(ISNA(VLOOKUP($B97,'E-1 Off-Site Hedge Baseline'!$B$1:$L$257,5,FALSE)),"",(VLOOKUP($B97,'E-1 Off-Site Hedge Baseline'!$B$1:$L$257,5,FALSE))))</f>
        <v/>
      </c>
      <c r="F97" s="382" t="str">
        <f>IF(B97="","",IF(ISNA(VLOOKUP($B97,'E-1 Off-Site Hedge Baseline'!$B$1:$L$257,6,FALSE)),"",(VLOOKUP($B97,'E-1 Off-Site Hedge Baseline'!$B$1:$L$257,6,FALSE))))</f>
        <v/>
      </c>
      <c r="G97" s="382" t="str">
        <f>IF(B97="","",IF(ISNA(VLOOKUP($B97,'E-1 Off-Site Hedge Baseline'!$B$1:$L$257,7,FALSE)),"",(VLOOKUP($B97,'E-1 Off-Site Hedge Baseline'!$B$1:$L$257,7,FALSE))))</f>
        <v/>
      </c>
      <c r="H97" s="382" t="str">
        <f>IF(B97="","",IF(ISNA(VLOOKUP($B97,'E-1 Off-Site Hedge Baseline'!$B$1:$L$257,8,FALSE)),"",(VLOOKUP($B97,'E-1 Off-Site Hedge Baseline'!$B$1:$L$257,8,FALSE))))</f>
        <v/>
      </c>
      <c r="I97" s="382" t="str">
        <f>IF(B97="","",IF(ISNA(VLOOKUP($B97,'E-1 Off-Site Hedge Baseline'!$B$1:$L$257,10,FALSE)),"",(VLOOKUP($B97,'E-1 Off-Site Hedge Baseline'!$B$1:$L$257,10,FALSE))))</f>
        <v/>
      </c>
      <c r="J97" s="382" t="str">
        <f>IF(B97="","",IF(ISNA(VLOOKUP($B97,'E-1 Off-Site Hedge Baseline'!$B$1:$L$257,11,FALSE)),"",(VLOOKUP($B97,'E-1 Off-Site Hedge Baseline'!$B$1:$L$257,11,FALSE))))</f>
        <v/>
      </c>
      <c r="K97" s="382" t="str">
        <f>IF(B97="","",IF(ISNA(VLOOKUP($B97,'E-1 Off-Site Hedge Baseline'!$B$1:$X$257,113,FALSE)),"",(VLOOKUP($B97,'E-1 Off-Site Hedge Baseline'!$B$1:$X$257,13,FALSE))))</f>
        <v/>
      </c>
      <c r="L97" s="370" t="str">
        <f>IF(B97="","",IF(ISNA(VLOOKUP($B97,'E-1 Off-Site Hedge Baseline'!$B$1:$X$257,12,FALSE)),"",(VLOOKUP($B97,'E-1 Off-Site Hedge Baseline'!$B$1:$X$257,12,FALSE))))</f>
        <v/>
      </c>
      <c r="M97" s="316" t="str">
        <f t="shared" si="9"/>
        <v/>
      </c>
      <c r="N97" s="362" t="str">
        <f>IFERROR(IF(B97="","",INDEX('G-6 Hedgerow Data'!$AN$3:$AZ$15,MATCH(C97,'G-6 Hedgerow Data'!$AM$3:$AM$15,0),MATCH(M97,'G-6 Hedgerow Data'!$AN$2:$AZ$2,0))),"")</f>
        <v/>
      </c>
      <c r="O97" s="363" t="str">
        <f t="shared" si="11"/>
        <v/>
      </c>
      <c r="P97" s="368" t="str">
        <f>IF(B97="","",VLOOKUP(B97,'E-1 Off-Site Hedge Baseline'!$B$10:W342,19,FALSE))</f>
        <v/>
      </c>
      <c r="Q97" s="362" t="str">
        <f>IF(M97="","",VLOOKUP(M97,'G-6 Hedgerow Data'!$B$2:$AG$15,2,FALSE))</f>
        <v/>
      </c>
      <c r="R97" s="363" t="str">
        <f>IF(M97="","",VLOOKUP(M97,'G-6 Hedgerow Data'!$B$2:$AG$15,3,FALSE))</f>
        <v/>
      </c>
      <c r="S97" s="114"/>
      <c r="T97" s="363" t="str">
        <f>IFERROR(IF(AND(Q97="V.Low",OR(S97="Good",S97="Moderate")),"Error ▲",VLOOKUP(S97,'G-1 All Habitats'!$Z$2:$AA$9,2,FALSE)),"")</f>
        <v/>
      </c>
      <c r="U97" s="114"/>
      <c r="V97" s="370" t="str">
        <f>IF(U97="","",IF(VLOOKUP(U97,'G-3 Multipliers'!$L$3:$N$6,2,FALSE)=0,"Spatial Data Missing ⚠",VLOOKUP(U97,'G-3 Multipliers'!$L$3:$N$6,2,FALSE)))</f>
        <v/>
      </c>
      <c r="W97" s="368" t="str">
        <f>IF(U97="","",IF(VLOOKUP(U97,'G-3 Multipliers'!$L$3:$N$6,3,FALSE)=0,"Spatial Data Missing ⚠",VLOOKUP(U97,'G-3 Multipliers'!$L$3:$N$6,3,FALSE)))</f>
        <v/>
      </c>
      <c r="X97" s="362" t="str">
        <f>IFERROR(IF(OR(LEFT(O97,5)="Error",LEFT(N97,5)="Error",T97="Error"),"Check Data ⚠",IF(F97&lt;R97,INDEX('G-6 Hedgerow Data'!$S$3:$AE$14,MATCH(C97,'G-6 Hedgerow Data'!$B$3:$B$14,0),MATCH(M97,'G-6 Hedgerow Data'!$S$2:$AE$2,0)),INDEX('G-6 Hedgerow Data'!$K$3:$Q$14,MATCH(M97,'G-6 Hedgerow Data'!$B$3:$B$14,0),MATCH(O97,'G-6 Hedgerow Data'!$K$2:$Q$2,0)))),"")</f>
        <v/>
      </c>
      <c r="Y97" s="159"/>
      <c r="Z97" s="159"/>
      <c r="AA97" s="370" t="str">
        <f t="shared" si="12"/>
        <v/>
      </c>
      <c r="AB97" s="383" t="str">
        <f t="shared" si="13"/>
        <v/>
      </c>
      <c r="AC97" s="384" t="str">
        <f t="shared" si="10"/>
        <v/>
      </c>
      <c r="AD97" s="398" t="str">
        <f>IF(M97="","",VLOOKUP(M97,'G-6 Hedgerow Data'!$B$3:$AG$15,31,FALSE))</f>
        <v/>
      </c>
      <c r="AE97" s="382" t="str">
        <f t="shared" si="14"/>
        <v/>
      </c>
      <c r="AF97" s="382" t="str">
        <f t="shared" si="15"/>
        <v/>
      </c>
      <c r="AG97" s="386" t="str">
        <f>IFERROR(IF(O97="","",VLOOKUP(AD97,'G-3 Multipliers'!$P$3:$Q$6,2,FALSE)),"")</f>
        <v/>
      </c>
      <c r="AH97" s="160"/>
      <c r="AI97" s="363" t="str">
        <f>IF(AH97="","",IF(VLOOKUP(AH97,'G-3 Multipliers'!$S$3:$T$10,2,FALSE)=0,"Spatial Data Missing ⚠",VLOOKUP(AH97,'G-3 Multipliers'!$S$3:$T$10,2,FALSE)))</f>
        <v/>
      </c>
      <c r="AJ97" s="405" t="str">
        <f t="shared" si="16"/>
        <v/>
      </c>
      <c r="AK97" s="376" t="str">
        <f t="shared" si="17"/>
        <v/>
      </c>
      <c r="AL97" s="117"/>
      <c r="AM97" s="118"/>
      <c r="AN97" s="120"/>
      <c r="AO97" s="120"/>
      <c r="AQ97" s="30" t="str">
        <f>IFERROR(INDEX('G-6 Hedgerow Data'!$BJ$3:$BJ$15,MATCH(M97,'G-6 Hedgerow Data'!$B$3:$B$15,0)),"")</f>
        <v/>
      </c>
    </row>
    <row r="98" spans="2:43" ht="15">
      <c r="B98" s="392" t="str">
        <f>'E-1 Off-Site Hedge Baseline'!AN96</f>
        <v/>
      </c>
      <c r="C98" s="382" t="str">
        <f>IF(B98="","",IF(ISNA(VLOOKUP($B98,'E-1 Off-Site Hedge Baseline'!$B$1:$L$257,3,FALSE)),"",(VLOOKUP($B98,'E-1 Off-Site Hedge Baseline'!$B$1:$L$257,3,FALSE))))</f>
        <v/>
      </c>
      <c r="D98" s="382" t="str">
        <f>IF(B98="","",IF(ISNA(VLOOKUP($B98,'E-1 Off-Site Hedge Baseline'!$B$1:$L$258,4,FALSE)),"",(VLOOKUP($B98,'E-1 Off-Site Hedge Baseline'!$B$1:$L$258,4,FALSE))))</f>
        <v/>
      </c>
      <c r="E98" s="382" t="str">
        <f>IF(B98="","",IF(ISNA(VLOOKUP($B98,'E-1 Off-Site Hedge Baseline'!$B$1:$L$257,5,FALSE)),"",(VLOOKUP($B98,'E-1 Off-Site Hedge Baseline'!$B$1:$L$257,5,FALSE))))</f>
        <v/>
      </c>
      <c r="F98" s="382" t="str">
        <f>IF(B98="","",IF(ISNA(VLOOKUP($B98,'E-1 Off-Site Hedge Baseline'!$B$1:$L$257,6,FALSE)),"",(VLOOKUP($B98,'E-1 Off-Site Hedge Baseline'!$B$1:$L$257,6,FALSE))))</f>
        <v/>
      </c>
      <c r="G98" s="382" t="str">
        <f>IF(B98="","",IF(ISNA(VLOOKUP($B98,'E-1 Off-Site Hedge Baseline'!$B$1:$L$257,7,FALSE)),"",(VLOOKUP($B98,'E-1 Off-Site Hedge Baseline'!$B$1:$L$257,7,FALSE))))</f>
        <v/>
      </c>
      <c r="H98" s="382" t="str">
        <f>IF(B98="","",IF(ISNA(VLOOKUP($B98,'E-1 Off-Site Hedge Baseline'!$B$1:$L$257,8,FALSE)),"",(VLOOKUP($B98,'E-1 Off-Site Hedge Baseline'!$B$1:$L$257,8,FALSE))))</f>
        <v/>
      </c>
      <c r="I98" s="382" t="str">
        <f>IF(B98="","",IF(ISNA(VLOOKUP($B98,'E-1 Off-Site Hedge Baseline'!$B$1:$L$257,10,FALSE)),"",(VLOOKUP($B98,'E-1 Off-Site Hedge Baseline'!$B$1:$L$257,10,FALSE))))</f>
        <v/>
      </c>
      <c r="J98" s="382" t="str">
        <f>IF(B98="","",IF(ISNA(VLOOKUP($B98,'E-1 Off-Site Hedge Baseline'!$B$1:$L$257,11,FALSE)),"",(VLOOKUP($B98,'E-1 Off-Site Hedge Baseline'!$B$1:$L$257,11,FALSE))))</f>
        <v/>
      </c>
      <c r="K98" s="382" t="str">
        <f>IF(B98="","",IF(ISNA(VLOOKUP($B98,'E-1 Off-Site Hedge Baseline'!$B$1:$X$257,113,FALSE)),"",(VLOOKUP($B98,'E-1 Off-Site Hedge Baseline'!$B$1:$X$257,13,FALSE))))</f>
        <v/>
      </c>
      <c r="L98" s="370" t="str">
        <f>IF(B98="","",IF(ISNA(VLOOKUP($B98,'E-1 Off-Site Hedge Baseline'!$B$1:$X$257,12,FALSE)),"",(VLOOKUP($B98,'E-1 Off-Site Hedge Baseline'!$B$1:$X$257,12,FALSE))))</f>
        <v/>
      </c>
      <c r="M98" s="316" t="str">
        <f t="shared" si="9"/>
        <v/>
      </c>
      <c r="N98" s="362" t="str">
        <f>IFERROR(IF(B98="","",INDEX('G-6 Hedgerow Data'!$AN$3:$AZ$15,MATCH(C98,'G-6 Hedgerow Data'!$AM$3:$AM$15,0),MATCH(M98,'G-6 Hedgerow Data'!$AN$2:$AZ$2,0))),"")</f>
        <v/>
      </c>
      <c r="O98" s="363" t="str">
        <f t="shared" si="11"/>
        <v/>
      </c>
      <c r="P98" s="368" t="str">
        <f>IF(B98="","",VLOOKUP(B98,'E-1 Off-Site Hedge Baseline'!$B$10:W343,19,FALSE))</f>
        <v/>
      </c>
      <c r="Q98" s="362" t="str">
        <f>IF(M98="","",VLOOKUP(M98,'G-6 Hedgerow Data'!$B$2:$AG$15,2,FALSE))</f>
        <v/>
      </c>
      <c r="R98" s="363" t="str">
        <f>IF(M98="","",VLOOKUP(M98,'G-6 Hedgerow Data'!$B$2:$AG$15,3,FALSE))</f>
        <v/>
      </c>
      <c r="S98" s="114"/>
      <c r="T98" s="363" t="str">
        <f>IFERROR(IF(AND(Q98="V.Low",OR(S98="Good",S98="Moderate")),"Error ▲",VLOOKUP(S98,'G-1 All Habitats'!$Z$2:$AA$9,2,FALSE)),"")</f>
        <v/>
      </c>
      <c r="U98" s="114"/>
      <c r="V98" s="370" t="str">
        <f>IF(U98="","",IF(VLOOKUP(U98,'G-3 Multipliers'!$L$3:$N$6,2,FALSE)=0,"Spatial Data Missing ⚠",VLOOKUP(U98,'G-3 Multipliers'!$L$3:$N$6,2,FALSE)))</f>
        <v/>
      </c>
      <c r="W98" s="368" t="str">
        <f>IF(U98="","",IF(VLOOKUP(U98,'G-3 Multipliers'!$L$3:$N$6,3,FALSE)=0,"Spatial Data Missing ⚠",VLOOKUP(U98,'G-3 Multipliers'!$L$3:$N$6,3,FALSE)))</f>
        <v/>
      </c>
      <c r="X98" s="362" t="str">
        <f>IFERROR(IF(OR(LEFT(O98,5)="Error",LEFT(N98,5)="Error",T98="Error"),"Check Data ⚠",IF(F98&lt;R98,INDEX('G-6 Hedgerow Data'!$S$3:$AE$14,MATCH(C98,'G-6 Hedgerow Data'!$B$3:$B$14,0),MATCH(M98,'G-6 Hedgerow Data'!$S$2:$AE$2,0)),INDEX('G-6 Hedgerow Data'!$K$3:$Q$14,MATCH(M98,'G-6 Hedgerow Data'!$B$3:$B$14,0),MATCH(O98,'G-6 Hedgerow Data'!$K$2:$Q$2,0)))),"")</f>
        <v/>
      </c>
      <c r="Y98" s="159"/>
      <c r="Z98" s="159"/>
      <c r="AA98" s="370" t="str">
        <f t="shared" si="12"/>
        <v/>
      </c>
      <c r="AB98" s="383" t="str">
        <f t="shared" si="13"/>
        <v/>
      </c>
      <c r="AC98" s="384" t="str">
        <f t="shared" si="10"/>
        <v/>
      </c>
      <c r="AD98" s="398" t="str">
        <f>IF(M98="","",VLOOKUP(M98,'G-6 Hedgerow Data'!$B$3:$AG$15,31,FALSE))</f>
        <v/>
      </c>
      <c r="AE98" s="382" t="str">
        <f t="shared" si="14"/>
        <v/>
      </c>
      <c r="AF98" s="382" t="str">
        <f t="shared" si="15"/>
        <v/>
      </c>
      <c r="AG98" s="386" t="str">
        <f>IFERROR(IF(O98="","",VLOOKUP(AD98,'G-3 Multipliers'!$P$3:$Q$6,2,FALSE)),"")</f>
        <v/>
      </c>
      <c r="AH98" s="160"/>
      <c r="AI98" s="363" t="str">
        <f>IF(AH98="","",IF(VLOOKUP(AH98,'G-3 Multipliers'!$S$3:$T$10,2,FALSE)=0,"Spatial Data Missing ⚠",VLOOKUP(AH98,'G-3 Multipliers'!$S$3:$T$10,2,FALSE)))</f>
        <v/>
      </c>
      <c r="AJ98" s="405" t="str">
        <f t="shared" si="16"/>
        <v/>
      </c>
      <c r="AK98" s="376" t="str">
        <f t="shared" si="17"/>
        <v/>
      </c>
      <c r="AL98" s="117"/>
      <c r="AM98" s="118"/>
      <c r="AN98" s="120"/>
      <c r="AO98" s="120"/>
      <c r="AQ98" s="30" t="str">
        <f>IFERROR(INDEX('G-6 Hedgerow Data'!$BJ$3:$BJ$15,MATCH(M98,'G-6 Hedgerow Data'!$B$3:$B$15,0)),"")</f>
        <v/>
      </c>
    </row>
    <row r="99" spans="2:43" ht="15">
      <c r="B99" s="392" t="str">
        <f>'E-1 Off-Site Hedge Baseline'!AN97</f>
        <v/>
      </c>
      <c r="C99" s="382" t="str">
        <f>IF(B99="","",IF(ISNA(VLOOKUP($B99,'E-1 Off-Site Hedge Baseline'!$B$1:$L$257,3,FALSE)),"",(VLOOKUP($B99,'E-1 Off-Site Hedge Baseline'!$B$1:$L$257,3,FALSE))))</f>
        <v/>
      </c>
      <c r="D99" s="382" t="str">
        <f>IF(B99="","",IF(ISNA(VLOOKUP($B99,'E-1 Off-Site Hedge Baseline'!$B$1:$L$258,4,FALSE)),"",(VLOOKUP($B99,'E-1 Off-Site Hedge Baseline'!$B$1:$L$258,4,FALSE))))</f>
        <v/>
      </c>
      <c r="E99" s="382" t="str">
        <f>IF(B99="","",IF(ISNA(VLOOKUP($B99,'E-1 Off-Site Hedge Baseline'!$B$1:$L$257,5,FALSE)),"",(VLOOKUP($B99,'E-1 Off-Site Hedge Baseline'!$B$1:$L$257,5,FALSE))))</f>
        <v/>
      </c>
      <c r="F99" s="382" t="str">
        <f>IF(B99="","",IF(ISNA(VLOOKUP($B99,'E-1 Off-Site Hedge Baseline'!$B$1:$L$257,6,FALSE)),"",(VLOOKUP($B99,'E-1 Off-Site Hedge Baseline'!$B$1:$L$257,6,FALSE))))</f>
        <v/>
      </c>
      <c r="G99" s="382" t="str">
        <f>IF(B99="","",IF(ISNA(VLOOKUP($B99,'E-1 Off-Site Hedge Baseline'!$B$1:$L$257,7,FALSE)),"",(VLOOKUP($B99,'E-1 Off-Site Hedge Baseline'!$B$1:$L$257,7,FALSE))))</f>
        <v/>
      </c>
      <c r="H99" s="382" t="str">
        <f>IF(B99="","",IF(ISNA(VLOOKUP($B99,'E-1 Off-Site Hedge Baseline'!$B$1:$L$257,8,FALSE)),"",(VLOOKUP($B99,'E-1 Off-Site Hedge Baseline'!$B$1:$L$257,8,FALSE))))</f>
        <v/>
      </c>
      <c r="I99" s="382" t="str">
        <f>IF(B99="","",IF(ISNA(VLOOKUP($B99,'E-1 Off-Site Hedge Baseline'!$B$1:$L$257,10,FALSE)),"",(VLOOKUP($B99,'E-1 Off-Site Hedge Baseline'!$B$1:$L$257,10,FALSE))))</f>
        <v/>
      </c>
      <c r="J99" s="382" t="str">
        <f>IF(B99="","",IF(ISNA(VLOOKUP($B99,'E-1 Off-Site Hedge Baseline'!$B$1:$L$257,11,FALSE)),"",(VLOOKUP($B99,'E-1 Off-Site Hedge Baseline'!$B$1:$L$257,11,FALSE))))</f>
        <v/>
      </c>
      <c r="K99" s="382" t="str">
        <f>IF(B99="","",IF(ISNA(VLOOKUP($B99,'E-1 Off-Site Hedge Baseline'!$B$1:$X$257,113,FALSE)),"",(VLOOKUP($B99,'E-1 Off-Site Hedge Baseline'!$B$1:$X$257,13,FALSE))))</f>
        <v/>
      </c>
      <c r="L99" s="370" t="str">
        <f>IF(B99="","",IF(ISNA(VLOOKUP($B99,'E-1 Off-Site Hedge Baseline'!$B$1:$X$257,12,FALSE)),"",(VLOOKUP($B99,'E-1 Off-Site Hedge Baseline'!$B$1:$X$257,12,FALSE))))</f>
        <v/>
      </c>
      <c r="M99" s="316" t="str">
        <f t="shared" si="9"/>
        <v/>
      </c>
      <c r="N99" s="362" t="str">
        <f>IFERROR(IF(B99="","",INDEX('G-6 Hedgerow Data'!$AN$3:$AZ$15,MATCH(C99,'G-6 Hedgerow Data'!$AM$3:$AM$15,0),MATCH(M99,'G-6 Hedgerow Data'!$AN$2:$AZ$2,0))),"")</f>
        <v/>
      </c>
      <c r="O99" s="363" t="str">
        <f t="shared" si="11"/>
        <v/>
      </c>
      <c r="P99" s="368" t="str">
        <f>IF(B99="","",VLOOKUP(B99,'E-1 Off-Site Hedge Baseline'!$B$10:W344,19,FALSE))</f>
        <v/>
      </c>
      <c r="Q99" s="362" t="str">
        <f>IF(M99="","",VLOOKUP(M99,'G-6 Hedgerow Data'!$B$2:$AG$15,2,FALSE))</f>
        <v/>
      </c>
      <c r="R99" s="363" t="str">
        <f>IF(M99="","",VLOOKUP(M99,'G-6 Hedgerow Data'!$B$2:$AG$15,3,FALSE))</f>
        <v/>
      </c>
      <c r="S99" s="114"/>
      <c r="T99" s="363" t="str">
        <f>IFERROR(IF(AND(Q99="V.Low",OR(S99="Good",S99="Moderate")),"Error ▲",VLOOKUP(S99,'G-1 All Habitats'!$Z$2:$AA$9,2,FALSE)),"")</f>
        <v/>
      </c>
      <c r="U99" s="114"/>
      <c r="V99" s="370" t="str">
        <f>IF(U99="","",IF(VLOOKUP(U99,'G-3 Multipliers'!$L$3:$N$6,2,FALSE)=0,"Spatial Data Missing ⚠",VLOOKUP(U99,'G-3 Multipliers'!$L$3:$N$6,2,FALSE)))</f>
        <v/>
      </c>
      <c r="W99" s="368" t="str">
        <f>IF(U99="","",IF(VLOOKUP(U99,'G-3 Multipliers'!$L$3:$N$6,3,FALSE)=0,"Spatial Data Missing ⚠",VLOOKUP(U99,'G-3 Multipliers'!$L$3:$N$6,3,FALSE)))</f>
        <v/>
      </c>
      <c r="X99" s="362" t="str">
        <f>IFERROR(IF(OR(LEFT(O99,5)="Error",LEFT(N99,5)="Error",T99="Error"),"Check Data ⚠",IF(F99&lt;R99,INDEX('G-6 Hedgerow Data'!$S$3:$AE$14,MATCH(C99,'G-6 Hedgerow Data'!$B$3:$B$14,0),MATCH(M99,'G-6 Hedgerow Data'!$S$2:$AE$2,0)),INDEX('G-6 Hedgerow Data'!$K$3:$Q$14,MATCH(M99,'G-6 Hedgerow Data'!$B$3:$B$14,0),MATCH(O99,'G-6 Hedgerow Data'!$K$2:$Q$2,0)))),"")</f>
        <v/>
      </c>
      <c r="Y99" s="159"/>
      <c r="Z99" s="159"/>
      <c r="AA99" s="370" t="str">
        <f t="shared" si="12"/>
        <v/>
      </c>
      <c r="AB99" s="383" t="str">
        <f t="shared" si="13"/>
        <v/>
      </c>
      <c r="AC99" s="384" t="str">
        <f t="shared" si="10"/>
        <v/>
      </c>
      <c r="AD99" s="398" t="str">
        <f>IF(M99="","",VLOOKUP(M99,'G-6 Hedgerow Data'!$B$3:$AG$15,31,FALSE))</f>
        <v/>
      </c>
      <c r="AE99" s="382" t="str">
        <f t="shared" si="14"/>
        <v/>
      </c>
      <c r="AF99" s="382" t="str">
        <f t="shared" si="15"/>
        <v/>
      </c>
      <c r="AG99" s="386" t="str">
        <f>IFERROR(IF(O99="","",VLOOKUP(AD99,'G-3 Multipliers'!$P$3:$Q$6,2,FALSE)),"")</f>
        <v/>
      </c>
      <c r="AH99" s="160"/>
      <c r="AI99" s="363" t="str">
        <f>IF(AH99="","",IF(VLOOKUP(AH99,'G-3 Multipliers'!$S$3:$T$10,2,FALSE)=0,"Spatial Data Missing ⚠",VLOOKUP(AH99,'G-3 Multipliers'!$S$3:$T$10,2,FALSE)))</f>
        <v/>
      </c>
      <c r="AJ99" s="405" t="str">
        <f t="shared" si="16"/>
        <v/>
      </c>
      <c r="AK99" s="376" t="str">
        <f t="shared" si="17"/>
        <v/>
      </c>
      <c r="AL99" s="117"/>
      <c r="AM99" s="118"/>
      <c r="AN99" s="120"/>
      <c r="AO99" s="120"/>
      <c r="AQ99" s="30" t="str">
        <f>IFERROR(INDEX('G-6 Hedgerow Data'!$BJ$3:$BJ$15,MATCH(M99,'G-6 Hedgerow Data'!$B$3:$B$15,0)),"")</f>
        <v/>
      </c>
    </row>
    <row r="100" spans="2:43" ht="15">
      <c r="B100" s="392" t="str">
        <f>'E-1 Off-Site Hedge Baseline'!AN98</f>
        <v/>
      </c>
      <c r="C100" s="382" t="str">
        <f>IF(B100="","",IF(ISNA(VLOOKUP($B100,'E-1 Off-Site Hedge Baseline'!$B$1:$L$257,3,FALSE)),"",(VLOOKUP($B100,'E-1 Off-Site Hedge Baseline'!$B$1:$L$257,3,FALSE))))</f>
        <v/>
      </c>
      <c r="D100" s="382" t="str">
        <f>IF(B100="","",IF(ISNA(VLOOKUP($B100,'E-1 Off-Site Hedge Baseline'!$B$1:$L$258,4,FALSE)),"",(VLOOKUP($B100,'E-1 Off-Site Hedge Baseline'!$B$1:$L$258,4,FALSE))))</f>
        <v/>
      </c>
      <c r="E100" s="382" t="str">
        <f>IF(B100="","",IF(ISNA(VLOOKUP($B100,'E-1 Off-Site Hedge Baseline'!$B$1:$L$257,5,FALSE)),"",(VLOOKUP($B100,'E-1 Off-Site Hedge Baseline'!$B$1:$L$257,5,FALSE))))</f>
        <v/>
      </c>
      <c r="F100" s="382" t="str">
        <f>IF(B100="","",IF(ISNA(VLOOKUP($B100,'E-1 Off-Site Hedge Baseline'!$B$1:$L$257,6,FALSE)),"",(VLOOKUP($B100,'E-1 Off-Site Hedge Baseline'!$B$1:$L$257,6,FALSE))))</f>
        <v/>
      </c>
      <c r="G100" s="382" t="str">
        <f>IF(B100="","",IF(ISNA(VLOOKUP($B100,'E-1 Off-Site Hedge Baseline'!$B$1:$L$257,7,FALSE)),"",(VLOOKUP($B100,'E-1 Off-Site Hedge Baseline'!$B$1:$L$257,7,FALSE))))</f>
        <v/>
      </c>
      <c r="H100" s="382" t="str">
        <f>IF(B100="","",IF(ISNA(VLOOKUP($B100,'E-1 Off-Site Hedge Baseline'!$B$1:$L$257,8,FALSE)),"",(VLOOKUP($B100,'E-1 Off-Site Hedge Baseline'!$B$1:$L$257,8,FALSE))))</f>
        <v/>
      </c>
      <c r="I100" s="382" t="str">
        <f>IF(B100="","",IF(ISNA(VLOOKUP($B100,'E-1 Off-Site Hedge Baseline'!$B$1:$L$257,10,FALSE)),"",(VLOOKUP($B100,'E-1 Off-Site Hedge Baseline'!$B$1:$L$257,10,FALSE))))</f>
        <v/>
      </c>
      <c r="J100" s="382" t="str">
        <f>IF(B100="","",IF(ISNA(VLOOKUP($B100,'E-1 Off-Site Hedge Baseline'!$B$1:$L$257,11,FALSE)),"",(VLOOKUP($B100,'E-1 Off-Site Hedge Baseline'!$B$1:$L$257,11,FALSE))))</f>
        <v/>
      </c>
      <c r="K100" s="382" t="str">
        <f>IF(B100="","",IF(ISNA(VLOOKUP($B100,'E-1 Off-Site Hedge Baseline'!$B$1:$X$257,113,FALSE)),"",(VLOOKUP($B100,'E-1 Off-Site Hedge Baseline'!$B$1:$X$257,13,FALSE))))</f>
        <v/>
      </c>
      <c r="L100" s="370" t="str">
        <f>IF(B100="","",IF(ISNA(VLOOKUP($B100,'E-1 Off-Site Hedge Baseline'!$B$1:$X$257,12,FALSE)),"",(VLOOKUP($B100,'E-1 Off-Site Hedge Baseline'!$B$1:$X$257,12,FALSE))))</f>
        <v/>
      </c>
      <c r="M100" s="316" t="str">
        <f t="shared" si="9"/>
        <v/>
      </c>
      <c r="N100" s="362" t="str">
        <f>IFERROR(IF(B100="","",INDEX('G-6 Hedgerow Data'!$AN$3:$AZ$15,MATCH(C100,'G-6 Hedgerow Data'!$AM$3:$AM$15,0),MATCH(M100,'G-6 Hedgerow Data'!$AN$2:$AZ$2,0))),"")</f>
        <v/>
      </c>
      <c r="O100" s="363" t="str">
        <f t="shared" si="11"/>
        <v/>
      </c>
      <c r="P100" s="368" t="str">
        <f>IF(B100="","",VLOOKUP(B100,'E-1 Off-Site Hedge Baseline'!$B$10:W345,19,FALSE))</f>
        <v/>
      </c>
      <c r="Q100" s="362" t="str">
        <f>IF(M100="","",VLOOKUP(M100,'G-6 Hedgerow Data'!$B$2:$AG$15,2,FALSE))</f>
        <v/>
      </c>
      <c r="R100" s="363" t="str">
        <f>IF(M100="","",VLOOKUP(M100,'G-6 Hedgerow Data'!$B$2:$AG$15,3,FALSE))</f>
        <v/>
      </c>
      <c r="S100" s="114"/>
      <c r="T100" s="363" t="str">
        <f>IFERROR(IF(AND(Q100="V.Low",OR(S100="Good",S100="Moderate")),"Error ▲",VLOOKUP(S100,'G-1 All Habitats'!$Z$2:$AA$9,2,FALSE)),"")</f>
        <v/>
      </c>
      <c r="U100" s="114"/>
      <c r="V100" s="370" t="str">
        <f>IF(U100="","",IF(VLOOKUP(U100,'G-3 Multipliers'!$L$3:$N$6,2,FALSE)=0,"Spatial Data Missing ⚠",VLOOKUP(U100,'G-3 Multipliers'!$L$3:$N$6,2,FALSE)))</f>
        <v/>
      </c>
      <c r="W100" s="368" t="str">
        <f>IF(U100="","",IF(VLOOKUP(U100,'G-3 Multipliers'!$L$3:$N$6,3,FALSE)=0,"Spatial Data Missing ⚠",VLOOKUP(U100,'G-3 Multipliers'!$L$3:$N$6,3,FALSE)))</f>
        <v/>
      </c>
      <c r="X100" s="362" t="str">
        <f>IFERROR(IF(OR(LEFT(O100,5)="Error",LEFT(N100,5)="Error",T100="Error"),"Check Data ⚠",IF(F100&lt;R100,INDEX('G-6 Hedgerow Data'!$S$3:$AE$14,MATCH(C100,'G-6 Hedgerow Data'!$B$3:$B$14,0),MATCH(M100,'G-6 Hedgerow Data'!$S$2:$AE$2,0)),INDEX('G-6 Hedgerow Data'!$K$3:$Q$14,MATCH(M100,'G-6 Hedgerow Data'!$B$3:$B$14,0),MATCH(O100,'G-6 Hedgerow Data'!$K$2:$Q$2,0)))),"")</f>
        <v/>
      </c>
      <c r="Y100" s="159"/>
      <c r="Z100" s="159"/>
      <c r="AA100" s="370" t="str">
        <f t="shared" si="12"/>
        <v/>
      </c>
      <c r="AB100" s="383" t="str">
        <f t="shared" si="13"/>
        <v/>
      </c>
      <c r="AC100" s="384" t="str">
        <f t="shared" si="10"/>
        <v/>
      </c>
      <c r="AD100" s="398" t="str">
        <f>IF(M100="","",VLOOKUP(M100,'G-6 Hedgerow Data'!$B$3:$AG$15,31,FALSE))</f>
        <v/>
      </c>
      <c r="AE100" s="382" t="str">
        <f t="shared" si="14"/>
        <v/>
      </c>
      <c r="AF100" s="382" t="str">
        <f t="shared" si="15"/>
        <v/>
      </c>
      <c r="AG100" s="386" t="str">
        <f>IFERROR(IF(O100="","",VLOOKUP(AD100,'G-3 Multipliers'!$P$3:$Q$6,2,FALSE)),"")</f>
        <v/>
      </c>
      <c r="AH100" s="160"/>
      <c r="AI100" s="363" t="str">
        <f>IF(AH100="","",IF(VLOOKUP(AH100,'G-3 Multipliers'!$S$3:$T$10,2,FALSE)=0,"Spatial Data Missing ⚠",VLOOKUP(AH100,'G-3 Multipliers'!$S$3:$T$10,2,FALSE)))</f>
        <v/>
      </c>
      <c r="AJ100" s="405" t="str">
        <f t="shared" si="16"/>
        <v/>
      </c>
      <c r="AK100" s="376" t="str">
        <f t="shared" si="17"/>
        <v/>
      </c>
      <c r="AL100" s="117"/>
      <c r="AM100" s="118"/>
      <c r="AN100" s="120"/>
      <c r="AO100" s="120"/>
      <c r="AQ100" s="30" t="str">
        <f>IFERROR(INDEX('G-6 Hedgerow Data'!$BJ$3:$BJ$15,MATCH(M100,'G-6 Hedgerow Data'!$B$3:$B$15,0)),"")</f>
        <v/>
      </c>
    </row>
    <row r="101" spans="2:43" ht="15">
      <c r="B101" s="392" t="str">
        <f>'E-1 Off-Site Hedge Baseline'!AN99</f>
        <v/>
      </c>
      <c r="C101" s="382" t="str">
        <f>IF(B101="","",IF(ISNA(VLOOKUP($B101,'E-1 Off-Site Hedge Baseline'!$B$1:$L$257,3,FALSE)),"",(VLOOKUP($B101,'E-1 Off-Site Hedge Baseline'!$B$1:$L$257,3,FALSE))))</f>
        <v/>
      </c>
      <c r="D101" s="382" t="str">
        <f>IF(B101="","",IF(ISNA(VLOOKUP($B101,'E-1 Off-Site Hedge Baseline'!$B$1:$L$258,4,FALSE)),"",(VLOOKUP($B101,'E-1 Off-Site Hedge Baseline'!$B$1:$L$258,4,FALSE))))</f>
        <v/>
      </c>
      <c r="E101" s="382" t="str">
        <f>IF(B101="","",IF(ISNA(VLOOKUP($B101,'E-1 Off-Site Hedge Baseline'!$B$1:$L$257,5,FALSE)),"",(VLOOKUP($B101,'E-1 Off-Site Hedge Baseline'!$B$1:$L$257,5,FALSE))))</f>
        <v/>
      </c>
      <c r="F101" s="382" t="str">
        <f>IF(B101="","",IF(ISNA(VLOOKUP($B101,'E-1 Off-Site Hedge Baseline'!$B$1:$L$257,6,FALSE)),"",(VLOOKUP($B101,'E-1 Off-Site Hedge Baseline'!$B$1:$L$257,6,FALSE))))</f>
        <v/>
      </c>
      <c r="G101" s="382" t="str">
        <f>IF(B101="","",IF(ISNA(VLOOKUP($B101,'E-1 Off-Site Hedge Baseline'!$B$1:$L$257,7,FALSE)),"",(VLOOKUP($B101,'E-1 Off-Site Hedge Baseline'!$B$1:$L$257,7,FALSE))))</f>
        <v/>
      </c>
      <c r="H101" s="382" t="str">
        <f>IF(B101="","",IF(ISNA(VLOOKUP($B101,'E-1 Off-Site Hedge Baseline'!$B$1:$L$257,8,FALSE)),"",(VLOOKUP($B101,'E-1 Off-Site Hedge Baseline'!$B$1:$L$257,8,FALSE))))</f>
        <v/>
      </c>
      <c r="I101" s="382" t="str">
        <f>IF(B101="","",IF(ISNA(VLOOKUP($B101,'E-1 Off-Site Hedge Baseline'!$B$1:$L$257,10,FALSE)),"",(VLOOKUP($B101,'E-1 Off-Site Hedge Baseline'!$B$1:$L$257,10,FALSE))))</f>
        <v/>
      </c>
      <c r="J101" s="382" t="str">
        <f>IF(B101="","",IF(ISNA(VLOOKUP($B101,'E-1 Off-Site Hedge Baseline'!$B$1:$L$257,11,FALSE)),"",(VLOOKUP($B101,'E-1 Off-Site Hedge Baseline'!$B$1:$L$257,11,FALSE))))</f>
        <v/>
      </c>
      <c r="K101" s="382" t="str">
        <f>IF(B101="","",IF(ISNA(VLOOKUP($B101,'E-1 Off-Site Hedge Baseline'!$B$1:$X$257,113,FALSE)),"",(VLOOKUP($B101,'E-1 Off-Site Hedge Baseline'!$B$1:$X$257,13,FALSE))))</f>
        <v/>
      </c>
      <c r="L101" s="370" t="str">
        <f>IF(B101="","",IF(ISNA(VLOOKUP($B101,'E-1 Off-Site Hedge Baseline'!$B$1:$X$257,12,FALSE)),"",(VLOOKUP($B101,'E-1 Off-Site Hedge Baseline'!$B$1:$X$257,12,FALSE))))</f>
        <v/>
      </c>
      <c r="M101" s="316" t="str">
        <f t="shared" si="9"/>
        <v/>
      </c>
      <c r="N101" s="362" t="str">
        <f>IFERROR(IF(B101="","",INDEX('G-6 Hedgerow Data'!$AN$3:$AZ$15,MATCH(C101,'G-6 Hedgerow Data'!$AM$3:$AM$15,0),MATCH(M101,'G-6 Hedgerow Data'!$AN$2:$AZ$2,0))),"")</f>
        <v/>
      </c>
      <c r="O101" s="363" t="str">
        <f t="shared" si="11"/>
        <v/>
      </c>
      <c r="P101" s="368" t="str">
        <f>IF(B101="","",VLOOKUP(B101,'E-1 Off-Site Hedge Baseline'!$B$10:W346,19,FALSE))</f>
        <v/>
      </c>
      <c r="Q101" s="362" t="str">
        <f>IF(M101="","",VLOOKUP(M101,'G-6 Hedgerow Data'!$B$2:$AG$15,2,FALSE))</f>
        <v/>
      </c>
      <c r="R101" s="363" t="str">
        <f>IF(M101="","",VLOOKUP(M101,'G-6 Hedgerow Data'!$B$2:$AG$15,3,FALSE))</f>
        <v/>
      </c>
      <c r="S101" s="114"/>
      <c r="T101" s="363" t="str">
        <f>IFERROR(IF(AND(Q101="V.Low",OR(S101="Good",S101="Moderate")),"Error ▲",VLOOKUP(S101,'G-1 All Habitats'!$Z$2:$AA$9,2,FALSE)),"")</f>
        <v/>
      </c>
      <c r="U101" s="114"/>
      <c r="V101" s="370" t="str">
        <f>IF(U101="","",IF(VLOOKUP(U101,'G-3 Multipliers'!$L$3:$N$6,2,FALSE)=0,"Spatial Data Missing ⚠",VLOOKUP(U101,'G-3 Multipliers'!$L$3:$N$6,2,FALSE)))</f>
        <v/>
      </c>
      <c r="W101" s="368" t="str">
        <f>IF(U101="","",IF(VLOOKUP(U101,'G-3 Multipliers'!$L$3:$N$6,3,FALSE)=0,"Spatial Data Missing ⚠",VLOOKUP(U101,'G-3 Multipliers'!$L$3:$N$6,3,FALSE)))</f>
        <v/>
      </c>
      <c r="X101" s="362" t="str">
        <f>IFERROR(IF(OR(LEFT(O101,5)="Error",LEFT(N101,5)="Error",T101="Error"),"Check Data ⚠",IF(F101&lt;R101,INDEX('G-6 Hedgerow Data'!$S$3:$AE$14,MATCH(C101,'G-6 Hedgerow Data'!$B$3:$B$14,0),MATCH(M101,'G-6 Hedgerow Data'!$S$2:$AE$2,0)),INDEX('G-6 Hedgerow Data'!$K$3:$Q$14,MATCH(M101,'G-6 Hedgerow Data'!$B$3:$B$14,0),MATCH(O101,'G-6 Hedgerow Data'!$K$2:$Q$2,0)))),"")</f>
        <v/>
      </c>
      <c r="Y101" s="159"/>
      <c r="Z101" s="159"/>
      <c r="AA101" s="370" t="str">
        <f t="shared" si="12"/>
        <v/>
      </c>
      <c r="AB101" s="383" t="str">
        <f t="shared" si="13"/>
        <v/>
      </c>
      <c r="AC101" s="384" t="str">
        <f t="shared" si="10"/>
        <v/>
      </c>
      <c r="AD101" s="398" t="str">
        <f>IF(M101="","",VLOOKUP(M101,'G-6 Hedgerow Data'!$B$3:$AG$15,31,FALSE))</f>
        <v/>
      </c>
      <c r="AE101" s="382" t="str">
        <f t="shared" si="14"/>
        <v/>
      </c>
      <c r="AF101" s="382" t="str">
        <f t="shared" si="15"/>
        <v/>
      </c>
      <c r="AG101" s="386" t="str">
        <f>IFERROR(IF(O101="","",VLOOKUP(AD101,'G-3 Multipliers'!$P$3:$Q$6,2,FALSE)),"")</f>
        <v/>
      </c>
      <c r="AH101" s="160"/>
      <c r="AI101" s="363" t="str">
        <f>IF(AH101="","",IF(VLOOKUP(AH101,'G-3 Multipliers'!$S$3:$T$10,2,FALSE)=0,"Spatial Data Missing ⚠",VLOOKUP(AH101,'G-3 Multipliers'!$S$3:$T$10,2,FALSE)))</f>
        <v/>
      </c>
      <c r="AJ101" s="405" t="str">
        <f t="shared" si="16"/>
        <v/>
      </c>
      <c r="AK101" s="376" t="str">
        <f t="shared" si="17"/>
        <v/>
      </c>
      <c r="AL101" s="117"/>
      <c r="AM101" s="118"/>
      <c r="AN101" s="120"/>
      <c r="AO101" s="120"/>
      <c r="AQ101" s="30" t="str">
        <f>IFERROR(INDEX('G-6 Hedgerow Data'!$BJ$3:$BJ$15,MATCH(M101,'G-6 Hedgerow Data'!$B$3:$B$15,0)),"")</f>
        <v/>
      </c>
    </row>
    <row r="102" spans="2:43" ht="15">
      <c r="B102" s="392" t="str">
        <f>'E-1 Off-Site Hedge Baseline'!AN100</f>
        <v/>
      </c>
      <c r="C102" s="382" t="str">
        <f>IF(B102="","",IF(ISNA(VLOOKUP($B102,'E-1 Off-Site Hedge Baseline'!$B$1:$L$257,3,FALSE)),"",(VLOOKUP($B102,'E-1 Off-Site Hedge Baseline'!$B$1:$L$257,3,FALSE))))</f>
        <v/>
      </c>
      <c r="D102" s="382" t="str">
        <f>IF(B102="","",IF(ISNA(VLOOKUP($B102,'E-1 Off-Site Hedge Baseline'!$B$1:$L$258,4,FALSE)),"",(VLOOKUP($B102,'E-1 Off-Site Hedge Baseline'!$B$1:$L$258,4,FALSE))))</f>
        <v/>
      </c>
      <c r="E102" s="382" t="str">
        <f>IF(B102="","",IF(ISNA(VLOOKUP($B102,'E-1 Off-Site Hedge Baseline'!$B$1:$L$257,5,FALSE)),"",(VLOOKUP($B102,'E-1 Off-Site Hedge Baseline'!$B$1:$L$257,5,FALSE))))</f>
        <v/>
      </c>
      <c r="F102" s="382" t="str">
        <f>IF(B102="","",IF(ISNA(VLOOKUP($B102,'E-1 Off-Site Hedge Baseline'!$B$1:$L$257,6,FALSE)),"",(VLOOKUP($B102,'E-1 Off-Site Hedge Baseline'!$B$1:$L$257,6,FALSE))))</f>
        <v/>
      </c>
      <c r="G102" s="382" t="str">
        <f>IF(B102="","",IF(ISNA(VLOOKUP($B102,'E-1 Off-Site Hedge Baseline'!$B$1:$L$257,7,FALSE)),"",(VLOOKUP($B102,'E-1 Off-Site Hedge Baseline'!$B$1:$L$257,7,FALSE))))</f>
        <v/>
      </c>
      <c r="H102" s="382" t="str">
        <f>IF(B102="","",IF(ISNA(VLOOKUP($B102,'E-1 Off-Site Hedge Baseline'!$B$1:$L$257,8,FALSE)),"",(VLOOKUP($B102,'E-1 Off-Site Hedge Baseline'!$B$1:$L$257,8,FALSE))))</f>
        <v/>
      </c>
      <c r="I102" s="382" t="str">
        <f>IF(B102="","",IF(ISNA(VLOOKUP($B102,'E-1 Off-Site Hedge Baseline'!$B$1:$L$257,10,FALSE)),"",(VLOOKUP($B102,'E-1 Off-Site Hedge Baseline'!$B$1:$L$257,10,FALSE))))</f>
        <v/>
      </c>
      <c r="J102" s="382" t="str">
        <f>IF(B102="","",IF(ISNA(VLOOKUP($B102,'E-1 Off-Site Hedge Baseline'!$B$1:$L$257,11,FALSE)),"",(VLOOKUP($B102,'E-1 Off-Site Hedge Baseline'!$B$1:$L$257,11,FALSE))))</f>
        <v/>
      </c>
      <c r="K102" s="382" t="str">
        <f>IF(B102="","",IF(ISNA(VLOOKUP($B102,'E-1 Off-Site Hedge Baseline'!$B$1:$X$257,113,FALSE)),"",(VLOOKUP($B102,'E-1 Off-Site Hedge Baseline'!$B$1:$X$257,13,FALSE))))</f>
        <v/>
      </c>
      <c r="L102" s="370" t="str">
        <f>IF(B102="","",IF(ISNA(VLOOKUP($B102,'E-1 Off-Site Hedge Baseline'!$B$1:$X$257,12,FALSE)),"",(VLOOKUP($B102,'E-1 Off-Site Hedge Baseline'!$B$1:$X$257,12,FALSE))))</f>
        <v/>
      </c>
      <c r="M102" s="316" t="str">
        <f t="shared" si="9"/>
        <v/>
      </c>
      <c r="N102" s="362" t="str">
        <f>IFERROR(IF(B102="","",INDEX('G-6 Hedgerow Data'!$AN$3:$AZ$15,MATCH(C102,'G-6 Hedgerow Data'!$AM$3:$AM$15,0),MATCH(M102,'G-6 Hedgerow Data'!$AN$2:$AZ$2,0))),"")</f>
        <v/>
      </c>
      <c r="O102" s="363" t="str">
        <f t="shared" si="11"/>
        <v/>
      </c>
      <c r="P102" s="368" t="str">
        <f>IF(B102="","",VLOOKUP(B102,'E-1 Off-Site Hedge Baseline'!$B$10:W347,19,FALSE))</f>
        <v/>
      </c>
      <c r="Q102" s="362" t="str">
        <f>IF(M102="","",VLOOKUP(M102,'G-6 Hedgerow Data'!$B$2:$AG$15,2,FALSE))</f>
        <v/>
      </c>
      <c r="R102" s="363" t="str">
        <f>IF(M102="","",VLOOKUP(M102,'G-6 Hedgerow Data'!$B$2:$AG$15,3,FALSE))</f>
        <v/>
      </c>
      <c r="S102" s="114"/>
      <c r="T102" s="363" t="str">
        <f>IFERROR(IF(AND(Q102="V.Low",OR(S102="Good",S102="Moderate")),"Error ▲",VLOOKUP(S102,'G-1 All Habitats'!$Z$2:$AA$9,2,FALSE)),"")</f>
        <v/>
      </c>
      <c r="U102" s="114"/>
      <c r="V102" s="370" t="str">
        <f>IF(U102="","",IF(VLOOKUP(U102,'G-3 Multipliers'!$L$3:$N$6,2,FALSE)=0,"Spatial Data Missing ⚠",VLOOKUP(U102,'G-3 Multipliers'!$L$3:$N$6,2,FALSE)))</f>
        <v/>
      </c>
      <c r="W102" s="368" t="str">
        <f>IF(U102="","",IF(VLOOKUP(U102,'G-3 Multipliers'!$L$3:$N$6,3,FALSE)=0,"Spatial Data Missing ⚠",VLOOKUP(U102,'G-3 Multipliers'!$L$3:$N$6,3,FALSE)))</f>
        <v/>
      </c>
      <c r="X102" s="362" t="str">
        <f>IFERROR(IF(OR(LEFT(O102,5)="Error",LEFT(N102,5)="Error",T102="Error"),"Check Data ⚠",IF(F102&lt;R102,INDEX('G-6 Hedgerow Data'!$S$3:$AE$14,MATCH(C102,'G-6 Hedgerow Data'!$B$3:$B$14,0),MATCH(M102,'G-6 Hedgerow Data'!$S$2:$AE$2,0)),INDEX('G-6 Hedgerow Data'!$K$3:$Q$14,MATCH(M102,'G-6 Hedgerow Data'!$B$3:$B$14,0),MATCH(O102,'G-6 Hedgerow Data'!$K$2:$Q$2,0)))),"")</f>
        <v/>
      </c>
      <c r="Y102" s="159"/>
      <c r="Z102" s="159"/>
      <c r="AA102" s="370" t="str">
        <f t="shared" si="12"/>
        <v/>
      </c>
      <c r="AB102" s="383" t="str">
        <f t="shared" si="13"/>
        <v/>
      </c>
      <c r="AC102" s="384" t="str">
        <f t="shared" si="10"/>
        <v/>
      </c>
      <c r="AD102" s="398" t="str">
        <f>IF(M102="","",VLOOKUP(M102,'G-6 Hedgerow Data'!$B$3:$AG$15,31,FALSE))</f>
        <v/>
      </c>
      <c r="AE102" s="382" t="str">
        <f t="shared" si="14"/>
        <v/>
      </c>
      <c r="AF102" s="382" t="str">
        <f t="shared" si="15"/>
        <v/>
      </c>
      <c r="AG102" s="386" t="str">
        <f>IFERROR(IF(O102="","",VLOOKUP(AD102,'G-3 Multipliers'!$P$3:$Q$6,2,FALSE)),"")</f>
        <v/>
      </c>
      <c r="AH102" s="160"/>
      <c r="AI102" s="363" t="str">
        <f>IF(AH102="","",IF(VLOOKUP(AH102,'G-3 Multipliers'!$S$3:$T$10,2,FALSE)=0,"Spatial Data Missing ⚠",VLOOKUP(AH102,'G-3 Multipliers'!$S$3:$T$10,2,FALSE)))</f>
        <v/>
      </c>
      <c r="AJ102" s="405" t="str">
        <f t="shared" si="16"/>
        <v/>
      </c>
      <c r="AK102" s="376" t="str">
        <f t="shared" si="17"/>
        <v/>
      </c>
      <c r="AL102" s="117"/>
      <c r="AM102" s="118"/>
      <c r="AN102" s="120"/>
      <c r="AO102" s="120"/>
      <c r="AQ102" s="30" t="str">
        <f>IFERROR(INDEX('G-6 Hedgerow Data'!$BJ$3:$BJ$15,MATCH(M102,'G-6 Hedgerow Data'!$B$3:$B$15,0)),"")</f>
        <v/>
      </c>
    </row>
    <row r="103" spans="2:43" ht="15">
      <c r="B103" s="392" t="str">
        <f>'E-1 Off-Site Hedge Baseline'!AN101</f>
        <v/>
      </c>
      <c r="C103" s="382" t="str">
        <f>IF(B103="","",IF(ISNA(VLOOKUP($B103,'E-1 Off-Site Hedge Baseline'!$B$1:$L$257,3,FALSE)),"",(VLOOKUP($B103,'E-1 Off-Site Hedge Baseline'!$B$1:$L$257,3,FALSE))))</f>
        <v/>
      </c>
      <c r="D103" s="382" t="str">
        <f>IF(B103="","",IF(ISNA(VLOOKUP($B103,'E-1 Off-Site Hedge Baseline'!$B$1:$L$258,4,FALSE)),"",(VLOOKUP($B103,'E-1 Off-Site Hedge Baseline'!$B$1:$L$258,4,FALSE))))</f>
        <v/>
      </c>
      <c r="E103" s="382" t="str">
        <f>IF(B103="","",IF(ISNA(VLOOKUP($B103,'E-1 Off-Site Hedge Baseline'!$B$1:$L$257,5,FALSE)),"",(VLOOKUP($B103,'E-1 Off-Site Hedge Baseline'!$B$1:$L$257,5,FALSE))))</f>
        <v/>
      </c>
      <c r="F103" s="382" t="str">
        <f>IF(B103="","",IF(ISNA(VLOOKUP($B103,'E-1 Off-Site Hedge Baseline'!$B$1:$L$257,6,FALSE)),"",(VLOOKUP($B103,'E-1 Off-Site Hedge Baseline'!$B$1:$L$257,6,FALSE))))</f>
        <v/>
      </c>
      <c r="G103" s="382" t="str">
        <f>IF(B103="","",IF(ISNA(VLOOKUP($B103,'E-1 Off-Site Hedge Baseline'!$B$1:$L$257,7,FALSE)),"",(VLOOKUP($B103,'E-1 Off-Site Hedge Baseline'!$B$1:$L$257,7,FALSE))))</f>
        <v/>
      </c>
      <c r="H103" s="382" t="str">
        <f>IF(B103="","",IF(ISNA(VLOOKUP($B103,'E-1 Off-Site Hedge Baseline'!$B$1:$L$257,8,FALSE)),"",(VLOOKUP($B103,'E-1 Off-Site Hedge Baseline'!$B$1:$L$257,8,FALSE))))</f>
        <v/>
      </c>
      <c r="I103" s="382" t="str">
        <f>IF(B103="","",IF(ISNA(VLOOKUP($B103,'E-1 Off-Site Hedge Baseline'!$B$1:$L$257,10,FALSE)),"",(VLOOKUP($B103,'E-1 Off-Site Hedge Baseline'!$B$1:$L$257,10,FALSE))))</f>
        <v/>
      </c>
      <c r="J103" s="382" t="str">
        <f>IF(B103="","",IF(ISNA(VLOOKUP($B103,'E-1 Off-Site Hedge Baseline'!$B$1:$L$257,11,FALSE)),"",(VLOOKUP($B103,'E-1 Off-Site Hedge Baseline'!$B$1:$L$257,11,FALSE))))</f>
        <v/>
      </c>
      <c r="K103" s="382" t="str">
        <f>IF(B103="","",IF(ISNA(VLOOKUP($B103,'E-1 Off-Site Hedge Baseline'!$B$1:$X$257,113,FALSE)),"",(VLOOKUP($B103,'E-1 Off-Site Hedge Baseline'!$B$1:$X$257,13,FALSE))))</f>
        <v/>
      </c>
      <c r="L103" s="370" t="str">
        <f>IF(B103="","",IF(ISNA(VLOOKUP($B103,'E-1 Off-Site Hedge Baseline'!$B$1:$X$257,12,FALSE)),"",(VLOOKUP($B103,'E-1 Off-Site Hedge Baseline'!$B$1:$X$257,12,FALSE))))</f>
        <v/>
      </c>
      <c r="M103" s="316" t="str">
        <f t="shared" si="9"/>
        <v/>
      </c>
      <c r="N103" s="362" t="str">
        <f>IFERROR(IF(B103="","",INDEX('G-6 Hedgerow Data'!$AN$3:$AZ$15,MATCH(C103,'G-6 Hedgerow Data'!$AM$3:$AM$15,0),MATCH(M103,'G-6 Hedgerow Data'!$AN$2:$AZ$2,0))),"")</f>
        <v/>
      </c>
      <c r="O103" s="363" t="str">
        <f t="shared" si="11"/>
        <v/>
      </c>
      <c r="P103" s="368" t="str">
        <f>IF(B103="","",VLOOKUP(B103,'E-1 Off-Site Hedge Baseline'!$B$10:W348,19,FALSE))</f>
        <v/>
      </c>
      <c r="Q103" s="362" t="str">
        <f>IF(M103="","",VLOOKUP(M103,'G-6 Hedgerow Data'!$B$2:$AG$15,2,FALSE))</f>
        <v/>
      </c>
      <c r="R103" s="363" t="str">
        <f>IF(M103="","",VLOOKUP(M103,'G-6 Hedgerow Data'!$B$2:$AG$15,3,FALSE))</f>
        <v/>
      </c>
      <c r="S103" s="114"/>
      <c r="T103" s="363" t="str">
        <f>IFERROR(IF(AND(Q103="V.Low",OR(S103="Good",S103="Moderate")),"Error ▲",VLOOKUP(S103,'G-1 All Habitats'!$Z$2:$AA$9,2,FALSE)),"")</f>
        <v/>
      </c>
      <c r="U103" s="114"/>
      <c r="V103" s="370" t="str">
        <f>IF(U103="","",IF(VLOOKUP(U103,'G-3 Multipliers'!$L$3:$N$6,2,FALSE)=0,"Spatial Data Missing ⚠",VLOOKUP(U103,'G-3 Multipliers'!$L$3:$N$6,2,FALSE)))</f>
        <v/>
      </c>
      <c r="W103" s="368" t="str">
        <f>IF(U103="","",IF(VLOOKUP(U103,'G-3 Multipliers'!$L$3:$N$6,3,FALSE)=0,"Spatial Data Missing ⚠",VLOOKUP(U103,'G-3 Multipliers'!$L$3:$N$6,3,FALSE)))</f>
        <v/>
      </c>
      <c r="X103" s="362" t="str">
        <f>IFERROR(IF(OR(LEFT(O103,5)="Error",LEFT(N103,5)="Error",T103="Error"),"Check Data ⚠",IF(F103&lt;R103,INDEX('G-6 Hedgerow Data'!$S$3:$AE$14,MATCH(C103,'G-6 Hedgerow Data'!$B$3:$B$14,0),MATCH(M103,'G-6 Hedgerow Data'!$S$2:$AE$2,0)),INDEX('G-6 Hedgerow Data'!$K$3:$Q$14,MATCH(M103,'G-6 Hedgerow Data'!$B$3:$B$14,0),MATCH(O103,'G-6 Hedgerow Data'!$K$2:$Q$2,0)))),"")</f>
        <v/>
      </c>
      <c r="Y103" s="159"/>
      <c r="Z103" s="159"/>
      <c r="AA103" s="370" t="str">
        <f t="shared" si="12"/>
        <v/>
      </c>
      <c r="AB103" s="383" t="str">
        <f t="shared" si="13"/>
        <v/>
      </c>
      <c r="AC103" s="384" t="str">
        <f t="shared" si="10"/>
        <v/>
      </c>
      <c r="AD103" s="398" t="str">
        <f>IF(M103="","",VLOOKUP(M103,'G-6 Hedgerow Data'!$B$3:$AG$15,31,FALSE))</f>
        <v/>
      </c>
      <c r="AE103" s="382" t="str">
        <f t="shared" si="14"/>
        <v/>
      </c>
      <c r="AF103" s="382" t="str">
        <f t="shared" si="15"/>
        <v/>
      </c>
      <c r="AG103" s="386" t="str">
        <f>IFERROR(IF(O103="","",VLOOKUP(AD103,'G-3 Multipliers'!$P$3:$Q$6,2,FALSE)),"")</f>
        <v/>
      </c>
      <c r="AH103" s="160"/>
      <c r="AI103" s="363" t="str">
        <f>IF(AH103="","",IF(VLOOKUP(AH103,'G-3 Multipliers'!$S$3:$T$10,2,FALSE)=0,"Spatial Data Missing ⚠",VLOOKUP(AH103,'G-3 Multipliers'!$S$3:$T$10,2,FALSE)))</f>
        <v/>
      </c>
      <c r="AJ103" s="405" t="str">
        <f t="shared" si="16"/>
        <v/>
      </c>
      <c r="AK103" s="376" t="str">
        <f t="shared" si="17"/>
        <v/>
      </c>
      <c r="AL103" s="117"/>
      <c r="AM103" s="118"/>
      <c r="AN103" s="120"/>
      <c r="AO103" s="120"/>
      <c r="AQ103" s="30" t="str">
        <f>IFERROR(INDEX('G-6 Hedgerow Data'!$BJ$3:$BJ$15,MATCH(M103,'G-6 Hedgerow Data'!$B$3:$B$15,0)),"")</f>
        <v/>
      </c>
    </row>
    <row r="104" spans="2:43" ht="15">
      <c r="B104" s="392" t="str">
        <f>'E-1 Off-Site Hedge Baseline'!AN102</f>
        <v/>
      </c>
      <c r="C104" s="382" t="str">
        <f>IF(B104="","",IF(ISNA(VLOOKUP($B104,'E-1 Off-Site Hedge Baseline'!$B$1:$L$257,3,FALSE)),"",(VLOOKUP($B104,'E-1 Off-Site Hedge Baseline'!$B$1:$L$257,3,FALSE))))</f>
        <v/>
      </c>
      <c r="D104" s="382" t="str">
        <f>IF(B104="","",IF(ISNA(VLOOKUP($B104,'E-1 Off-Site Hedge Baseline'!$B$1:$L$258,4,FALSE)),"",(VLOOKUP($B104,'E-1 Off-Site Hedge Baseline'!$B$1:$L$258,4,FALSE))))</f>
        <v/>
      </c>
      <c r="E104" s="382" t="str">
        <f>IF(B104="","",IF(ISNA(VLOOKUP($B104,'E-1 Off-Site Hedge Baseline'!$B$1:$L$257,5,FALSE)),"",(VLOOKUP($B104,'E-1 Off-Site Hedge Baseline'!$B$1:$L$257,5,FALSE))))</f>
        <v/>
      </c>
      <c r="F104" s="382" t="str">
        <f>IF(B104="","",IF(ISNA(VLOOKUP($B104,'E-1 Off-Site Hedge Baseline'!$B$1:$L$257,6,FALSE)),"",(VLOOKUP($B104,'E-1 Off-Site Hedge Baseline'!$B$1:$L$257,6,FALSE))))</f>
        <v/>
      </c>
      <c r="G104" s="382" t="str">
        <f>IF(B104="","",IF(ISNA(VLOOKUP($B104,'E-1 Off-Site Hedge Baseline'!$B$1:$L$257,7,FALSE)),"",(VLOOKUP($B104,'E-1 Off-Site Hedge Baseline'!$B$1:$L$257,7,FALSE))))</f>
        <v/>
      </c>
      <c r="H104" s="382" t="str">
        <f>IF(B104="","",IF(ISNA(VLOOKUP($B104,'E-1 Off-Site Hedge Baseline'!$B$1:$L$257,8,FALSE)),"",(VLOOKUP($B104,'E-1 Off-Site Hedge Baseline'!$B$1:$L$257,8,FALSE))))</f>
        <v/>
      </c>
      <c r="I104" s="382" t="str">
        <f>IF(B104="","",IF(ISNA(VLOOKUP($B104,'E-1 Off-Site Hedge Baseline'!$B$1:$L$257,10,FALSE)),"",(VLOOKUP($B104,'E-1 Off-Site Hedge Baseline'!$B$1:$L$257,10,FALSE))))</f>
        <v/>
      </c>
      <c r="J104" s="382" t="str">
        <f>IF(B104="","",IF(ISNA(VLOOKUP($B104,'E-1 Off-Site Hedge Baseline'!$B$1:$L$257,11,FALSE)),"",(VLOOKUP($B104,'E-1 Off-Site Hedge Baseline'!$B$1:$L$257,11,FALSE))))</f>
        <v/>
      </c>
      <c r="K104" s="382" t="str">
        <f>IF(B104="","",IF(ISNA(VLOOKUP($B104,'E-1 Off-Site Hedge Baseline'!$B$1:$X$257,113,FALSE)),"",(VLOOKUP($B104,'E-1 Off-Site Hedge Baseline'!$B$1:$X$257,13,FALSE))))</f>
        <v/>
      </c>
      <c r="L104" s="370" t="str">
        <f>IF(B104="","",IF(ISNA(VLOOKUP($B104,'E-1 Off-Site Hedge Baseline'!$B$1:$X$257,12,FALSE)),"",(VLOOKUP($B104,'E-1 Off-Site Hedge Baseline'!$B$1:$X$257,12,FALSE))))</f>
        <v/>
      </c>
      <c r="M104" s="316" t="str">
        <f t="shared" si="9"/>
        <v/>
      </c>
      <c r="N104" s="362" t="str">
        <f>IFERROR(IF(B104="","",INDEX('G-6 Hedgerow Data'!$AN$3:$AZ$15,MATCH(C104,'G-6 Hedgerow Data'!$AM$3:$AM$15,0),MATCH(M104,'G-6 Hedgerow Data'!$AN$2:$AZ$2,0))),"")</f>
        <v/>
      </c>
      <c r="O104" s="363" t="str">
        <f t="shared" si="11"/>
        <v/>
      </c>
      <c r="P104" s="368" t="str">
        <f>IF(B104="","",VLOOKUP(B104,'E-1 Off-Site Hedge Baseline'!$B$10:W349,19,FALSE))</f>
        <v/>
      </c>
      <c r="Q104" s="362" t="str">
        <f>IF(M104="","",VLOOKUP(M104,'G-6 Hedgerow Data'!$B$2:$AG$15,2,FALSE))</f>
        <v/>
      </c>
      <c r="R104" s="363" t="str">
        <f>IF(M104="","",VLOOKUP(M104,'G-6 Hedgerow Data'!$B$2:$AG$15,3,FALSE))</f>
        <v/>
      </c>
      <c r="S104" s="114"/>
      <c r="T104" s="363" t="str">
        <f>IFERROR(IF(AND(Q104="V.Low",OR(S104="Good",S104="Moderate")),"Error ▲",VLOOKUP(S104,'G-1 All Habitats'!$Z$2:$AA$9,2,FALSE)),"")</f>
        <v/>
      </c>
      <c r="U104" s="114"/>
      <c r="V104" s="370" t="str">
        <f>IF(U104="","",IF(VLOOKUP(U104,'G-3 Multipliers'!$L$3:$N$6,2,FALSE)=0,"Spatial Data Missing ⚠",VLOOKUP(U104,'G-3 Multipliers'!$L$3:$N$6,2,FALSE)))</f>
        <v/>
      </c>
      <c r="W104" s="368" t="str">
        <f>IF(U104="","",IF(VLOOKUP(U104,'G-3 Multipliers'!$L$3:$N$6,3,FALSE)=0,"Spatial Data Missing ⚠",VLOOKUP(U104,'G-3 Multipliers'!$L$3:$N$6,3,FALSE)))</f>
        <v/>
      </c>
      <c r="X104" s="362" t="str">
        <f>IFERROR(IF(OR(LEFT(O104,5)="Error",LEFT(N104,5)="Error",T104="Error"),"Check Data ⚠",IF(F104&lt;R104,INDEX('G-6 Hedgerow Data'!$S$3:$AE$14,MATCH(C104,'G-6 Hedgerow Data'!$B$3:$B$14,0),MATCH(M104,'G-6 Hedgerow Data'!$S$2:$AE$2,0)),INDEX('G-6 Hedgerow Data'!$K$3:$Q$14,MATCH(M104,'G-6 Hedgerow Data'!$B$3:$B$14,0),MATCH(O104,'G-6 Hedgerow Data'!$K$2:$Q$2,0)))),"")</f>
        <v/>
      </c>
      <c r="Y104" s="159"/>
      <c r="Z104" s="159"/>
      <c r="AA104" s="370" t="str">
        <f t="shared" si="12"/>
        <v/>
      </c>
      <c r="AB104" s="383" t="str">
        <f t="shared" si="13"/>
        <v/>
      </c>
      <c r="AC104" s="384" t="str">
        <f t="shared" si="10"/>
        <v/>
      </c>
      <c r="AD104" s="398" t="str">
        <f>IF(M104="","",VLOOKUP(M104,'G-6 Hedgerow Data'!$B$3:$AG$15,31,FALSE))</f>
        <v/>
      </c>
      <c r="AE104" s="382" t="str">
        <f t="shared" si="14"/>
        <v/>
      </c>
      <c r="AF104" s="382" t="str">
        <f t="shared" si="15"/>
        <v/>
      </c>
      <c r="AG104" s="386" t="str">
        <f>IFERROR(IF(O104="","",VLOOKUP(AD104,'G-3 Multipliers'!$P$3:$Q$6,2,FALSE)),"")</f>
        <v/>
      </c>
      <c r="AH104" s="160"/>
      <c r="AI104" s="363" t="str">
        <f>IF(AH104="","",IF(VLOOKUP(AH104,'G-3 Multipliers'!$S$3:$T$10,2,FALSE)=0,"Spatial Data Missing ⚠",VLOOKUP(AH104,'G-3 Multipliers'!$S$3:$T$10,2,FALSE)))</f>
        <v/>
      </c>
      <c r="AJ104" s="405" t="str">
        <f t="shared" si="16"/>
        <v/>
      </c>
      <c r="AK104" s="376" t="str">
        <f t="shared" si="17"/>
        <v/>
      </c>
      <c r="AL104" s="117"/>
      <c r="AM104" s="118"/>
      <c r="AN104" s="120"/>
      <c r="AO104" s="120"/>
      <c r="AQ104" s="30" t="str">
        <f>IFERROR(INDEX('G-6 Hedgerow Data'!$BJ$3:$BJ$15,MATCH(M104,'G-6 Hedgerow Data'!$B$3:$B$15,0)),"")</f>
        <v/>
      </c>
    </row>
    <row r="105" spans="2:43" ht="15">
      <c r="B105" s="392" t="str">
        <f>'E-1 Off-Site Hedge Baseline'!AN103</f>
        <v/>
      </c>
      <c r="C105" s="382" t="str">
        <f>IF(B105="","",IF(ISNA(VLOOKUP($B105,'E-1 Off-Site Hedge Baseline'!$B$1:$L$257,3,FALSE)),"",(VLOOKUP($B105,'E-1 Off-Site Hedge Baseline'!$B$1:$L$257,3,FALSE))))</f>
        <v/>
      </c>
      <c r="D105" s="382" t="str">
        <f>IF(B105="","",IF(ISNA(VLOOKUP($B105,'E-1 Off-Site Hedge Baseline'!$B$1:$L$258,4,FALSE)),"",(VLOOKUP($B105,'E-1 Off-Site Hedge Baseline'!$B$1:$L$258,4,FALSE))))</f>
        <v/>
      </c>
      <c r="E105" s="382" t="str">
        <f>IF(B105="","",IF(ISNA(VLOOKUP($B105,'E-1 Off-Site Hedge Baseline'!$B$1:$L$257,5,FALSE)),"",(VLOOKUP($B105,'E-1 Off-Site Hedge Baseline'!$B$1:$L$257,5,FALSE))))</f>
        <v/>
      </c>
      <c r="F105" s="382" t="str">
        <f>IF(B105="","",IF(ISNA(VLOOKUP($B105,'E-1 Off-Site Hedge Baseline'!$B$1:$L$257,6,FALSE)),"",(VLOOKUP($B105,'E-1 Off-Site Hedge Baseline'!$B$1:$L$257,6,FALSE))))</f>
        <v/>
      </c>
      <c r="G105" s="382" t="str">
        <f>IF(B105="","",IF(ISNA(VLOOKUP($B105,'E-1 Off-Site Hedge Baseline'!$B$1:$L$257,7,FALSE)),"",(VLOOKUP($B105,'E-1 Off-Site Hedge Baseline'!$B$1:$L$257,7,FALSE))))</f>
        <v/>
      </c>
      <c r="H105" s="382" t="str">
        <f>IF(B105="","",IF(ISNA(VLOOKUP($B105,'E-1 Off-Site Hedge Baseline'!$B$1:$L$257,8,FALSE)),"",(VLOOKUP($B105,'E-1 Off-Site Hedge Baseline'!$B$1:$L$257,8,FALSE))))</f>
        <v/>
      </c>
      <c r="I105" s="382" t="str">
        <f>IF(B105="","",IF(ISNA(VLOOKUP($B105,'E-1 Off-Site Hedge Baseline'!$B$1:$L$257,10,FALSE)),"",(VLOOKUP($B105,'E-1 Off-Site Hedge Baseline'!$B$1:$L$257,10,FALSE))))</f>
        <v/>
      </c>
      <c r="J105" s="382" t="str">
        <f>IF(B105="","",IF(ISNA(VLOOKUP($B105,'E-1 Off-Site Hedge Baseline'!$B$1:$L$257,11,FALSE)),"",(VLOOKUP($B105,'E-1 Off-Site Hedge Baseline'!$B$1:$L$257,11,FALSE))))</f>
        <v/>
      </c>
      <c r="K105" s="382" t="str">
        <f>IF(B105="","",IF(ISNA(VLOOKUP($B105,'E-1 Off-Site Hedge Baseline'!$B$1:$X$257,113,FALSE)),"",(VLOOKUP($B105,'E-1 Off-Site Hedge Baseline'!$B$1:$X$257,13,FALSE))))</f>
        <v/>
      </c>
      <c r="L105" s="370" t="str">
        <f>IF(B105="","",IF(ISNA(VLOOKUP($B105,'E-1 Off-Site Hedge Baseline'!$B$1:$X$257,12,FALSE)),"",(VLOOKUP($B105,'E-1 Off-Site Hedge Baseline'!$B$1:$X$257,12,FALSE))))</f>
        <v/>
      </c>
      <c r="M105" s="316" t="str">
        <f t="shared" si="9"/>
        <v/>
      </c>
      <c r="N105" s="362" t="str">
        <f>IFERROR(IF(B105="","",INDEX('G-6 Hedgerow Data'!$AN$3:$AZ$15,MATCH(C105,'G-6 Hedgerow Data'!$AM$3:$AM$15,0),MATCH(M105,'G-6 Hedgerow Data'!$AN$2:$AZ$2,0))),"")</f>
        <v/>
      </c>
      <c r="O105" s="363" t="str">
        <f t="shared" si="11"/>
        <v/>
      </c>
      <c r="P105" s="368" t="str">
        <f>IF(B105="","",VLOOKUP(B105,'E-1 Off-Site Hedge Baseline'!$B$10:W350,19,FALSE))</f>
        <v/>
      </c>
      <c r="Q105" s="362" t="str">
        <f>IF(M105="","",VLOOKUP(M105,'G-6 Hedgerow Data'!$B$2:$AG$15,2,FALSE))</f>
        <v/>
      </c>
      <c r="R105" s="363" t="str">
        <f>IF(M105="","",VLOOKUP(M105,'G-6 Hedgerow Data'!$B$2:$AG$15,3,FALSE))</f>
        <v/>
      </c>
      <c r="S105" s="114"/>
      <c r="T105" s="363" t="str">
        <f>IFERROR(IF(AND(Q105="V.Low",OR(S105="Good",S105="Moderate")),"Error ▲",VLOOKUP(S105,'G-1 All Habitats'!$Z$2:$AA$9,2,FALSE)),"")</f>
        <v/>
      </c>
      <c r="U105" s="114"/>
      <c r="V105" s="370" t="str">
        <f>IF(U105="","",IF(VLOOKUP(U105,'G-3 Multipliers'!$L$3:$N$6,2,FALSE)=0,"Spatial Data Missing ⚠",VLOOKUP(U105,'G-3 Multipliers'!$L$3:$N$6,2,FALSE)))</f>
        <v/>
      </c>
      <c r="W105" s="368" t="str">
        <f>IF(U105="","",IF(VLOOKUP(U105,'G-3 Multipliers'!$L$3:$N$6,3,FALSE)=0,"Spatial Data Missing ⚠",VLOOKUP(U105,'G-3 Multipliers'!$L$3:$N$6,3,FALSE)))</f>
        <v/>
      </c>
      <c r="X105" s="362" t="str">
        <f>IFERROR(IF(OR(LEFT(O105,5)="Error",LEFT(N105,5)="Error",T105="Error"),"Check Data ⚠",IF(F105&lt;R105,INDEX('G-6 Hedgerow Data'!$S$3:$AE$14,MATCH(C105,'G-6 Hedgerow Data'!$B$3:$B$14,0),MATCH(M105,'G-6 Hedgerow Data'!$S$2:$AE$2,0)),INDEX('G-6 Hedgerow Data'!$K$3:$Q$14,MATCH(M105,'G-6 Hedgerow Data'!$B$3:$B$14,0),MATCH(O105,'G-6 Hedgerow Data'!$K$2:$Q$2,0)))),"")</f>
        <v/>
      </c>
      <c r="Y105" s="159"/>
      <c r="Z105" s="159"/>
      <c r="AA105" s="370" t="str">
        <f t="shared" si="12"/>
        <v/>
      </c>
      <c r="AB105" s="383" t="str">
        <f t="shared" si="13"/>
        <v/>
      </c>
      <c r="AC105" s="384" t="str">
        <f t="shared" si="10"/>
        <v/>
      </c>
      <c r="AD105" s="398" t="str">
        <f>IF(M105="","",VLOOKUP(M105,'G-6 Hedgerow Data'!$B$3:$AG$15,31,FALSE))</f>
        <v/>
      </c>
      <c r="AE105" s="382" t="str">
        <f t="shared" si="14"/>
        <v/>
      </c>
      <c r="AF105" s="382" t="str">
        <f t="shared" si="15"/>
        <v/>
      </c>
      <c r="AG105" s="386" t="str">
        <f>IFERROR(IF(O105="","",VLOOKUP(AD105,'G-3 Multipliers'!$P$3:$Q$6,2,FALSE)),"")</f>
        <v/>
      </c>
      <c r="AH105" s="160"/>
      <c r="AI105" s="363" t="str">
        <f>IF(AH105="","",IF(VLOOKUP(AH105,'G-3 Multipliers'!$S$3:$T$10,2,FALSE)=0,"Spatial Data Missing ⚠",VLOOKUP(AH105,'G-3 Multipliers'!$S$3:$T$10,2,FALSE)))</f>
        <v/>
      </c>
      <c r="AJ105" s="405" t="str">
        <f t="shared" si="16"/>
        <v/>
      </c>
      <c r="AK105" s="376" t="str">
        <f t="shared" si="17"/>
        <v/>
      </c>
      <c r="AL105" s="117"/>
      <c r="AM105" s="118"/>
      <c r="AN105" s="120"/>
      <c r="AO105" s="120"/>
      <c r="AQ105" s="30" t="str">
        <f>IFERROR(INDEX('G-6 Hedgerow Data'!$BJ$3:$BJ$15,MATCH(M105,'G-6 Hedgerow Data'!$B$3:$B$15,0)),"")</f>
        <v/>
      </c>
    </row>
    <row r="106" spans="2:43" ht="15">
      <c r="B106" s="392" t="str">
        <f>'E-1 Off-Site Hedge Baseline'!AN104</f>
        <v/>
      </c>
      <c r="C106" s="382" t="str">
        <f>IF(B106="","",IF(ISNA(VLOOKUP($B106,'E-1 Off-Site Hedge Baseline'!$B$1:$L$257,3,FALSE)),"",(VLOOKUP($B106,'E-1 Off-Site Hedge Baseline'!$B$1:$L$257,3,FALSE))))</f>
        <v/>
      </c>
      <c r="D106" s="382" t="str">
        <f>IF(B106="","",IF(ISNA(VLOOKUP($B106,'E-1 Off-Site Hedge Baseline'!$B$1:$L$258,4,FALSE)),"",(VLOOKUP($B106,'E-1 Off-Site Hedge Baseline'!$B$1:$L$258,4,FALSE))))</f>
        <v/>
      </c>
      <c r="E106" s="382" t="str">
        <f>IF(B106="","",IF(ISNA(VLOOKUP($B106,'E-1 Off-Site Hedge Baseline'!$B$1:$L$257,5,FALSE)),"",(VLOOKUP($B106,'E-1 Off-Site Hedge Baseline'!$B$1:$L$257,5,FALSE))))</f>
        <v/>
      </c>
      <c r="F106" s="382" t="str">
        <f>IF(B106="","",IF(ISNA(VLOOKUP($B106,'E-1 Off-Site Hedge Baseline'!$B$1:$L$257,6,FALSE)),"",(VLOOKUP($B106,'E-1 Off-Site Hedge Baseline'!$B$1:$L$257,6,FALSE))))</f>
        <v/>
      </c>
      <c r="G106" s="382" t="str">
        <f>IF(B106="","",IF(ISNA(VLOOKUP($B106,'E-1 Off-Site Hedge Baseline'!$B$1:$L$257,7,FALSE)),"",(VLOOKUP($B106,'E-1 Off-Site Hedge Baseline'!$B$1:$L$257,7,FALSE))))</f>
        <v/>
      </c>
      <c r="H106" s="382" t="str">
        <f>IF(B106="","",IF(ISNA(VLOOKUP($B106,'E-1 Off-Site Hedge Baseline'!$B$1:$L$257,8,FALSE)),"",(VLOOKUP($B106,'E-1 Off-Site Hedge Baseline'!$B$1:$L$257,8,FALSE))))</f>
        <v/>
      </c>
      <c r="I106" s="382" t="str">
        <f>IF(B106="","",IF(ISNA(VLOOKUP($B106,'E-1 Off-Site Hedge Baseline'!$B$1:$L$257,10,FALSE)),"",(VLOOKUP($B106,'E-1 Off-Site Hedge Baseline'!$B$1:$L$257,10,FALSE))))</f>
        <v/>
      </c>
      <c r="J106" s="382" t="str">
        <f>IF(B106="","",IF(ISNA(VLOOKUP($B106,'E-1 Off-Site Hedge Baseline'!$B$1:$L$257,11,FALSE)),"",(VLOOKUP($B106,'E-1 Off-Site Hedge Baseline'!$B$1:$L$257,11,FALSE))))</f>
        <v/>
      </c>
      <c r="K106" s="382" t="str">
        <f>IF(B106="","",IF(ISNA(VLOOKUP($B106,'E-1 Off-Site Hedge Baseline'!$B$1:$X$257,113,FALSE)),"",(VLOOKUP($B106,'E-1 Off-Site Hedge Baseline'!$B$1:$X$257,13,FALSE))))</f>
        <v/>
      </c>
      <c r="L106" s="370" t="str">
        <f>IF(B106="","",IF(ISNA(VLOOKUP($B106,'E-1 Off-Site Hedge Baseline'!$B$1:$X$257,12,FALSE)),"",(VLOOKUP($B106,'E-1 Off-Site Hedge Baseline'!$B$1:$X$257,12,FALSE))))</f>
        <v/>
      </c>
      <c r="M106" s="316" t="str">
        <f t="shared" si="9"/>
        <v/>
      </c>
      <c r="N106" s="362" t="str">
        <f>IFERROR(IF(B106="","",INDEX('G-6 Hedgerow Data'!$AN$3:$AZ$15,MATCH(C106,'G-6 Hedgerow Data'!$AM$3:$AM$15,0),MATCH(M106,'G-6 Hedgerow Data'!$AN$2:$AZ$2,0))),"")</f>
        <v/>
      </c>
      <c r="O106" s="363" t="str">
        <f t="shared" si="11"/>
        <v/>
      </c>
      <c r="P106" s="368" t="str">
        <f>IF(B106="","",VLOOKUP(B106,'E-1 Off-Site Hedge Baseline'!$B$10:W351,19,FALSE))</f>
        <v/>
      </c>
      <c r="Q106" s="362" t="str">
        <f>IF(M106="","",VLOOKUP(M106,'G-6 Hedgerow Data'!$B$2:$AG$15,2,FALSE))</f>
        <v/>
      </c>
      <c r="R106" s="363" t="str">
        <f>IF(M106="","",VLOOKUP(M106,'G-6 Hedgerow Data'!$B$2:$AG$15,3,FALSE))</f>
        <v/>
      </c>
      <c r="S106" s="114"/>
      <c r="T106" s="363" t="str">
        <f>IFERROR(IF(AND(Q106="V.Low",OR(S106="Good",S106="Moderate")),"Error ▲",VLOOKUP(S106,'G-1 All Habitats'!$Z$2:$AA$9,2,FALSE)),"")</f>
        <v/>
      </c>
      <c r="U106" s="114"/>
      <c r="V106" s="370" t="str">
        <f>IF(U106="","",IF(VLOOKUP(U106,'G-3 Multipliers'!$L$3:$N$6,2,FALSE)=0,"Spatial Data Missing ⚠",VLOOKUP(U106,'G-3 Multipliers'!$L$3:$N$6,2,FALSE)))</f>
        <v/>
      </c>
      <c r="W106" s="368" t="str">
        <f>IF(U106="","",IF(VLOOKUP(U106,'G-3 Multipliers'!$L$3:$N$6,3,FALSE)=0,"Spatial Data Missing ⚠",VLOOKUP(U106,'G-3 Multipliers'!$L$3:$N$6,3,FALSE)))</f>
        <v/>
      </c>
      <c r="X106" s="362" t="str">
        <f>IFERROR(IF(OR(LEFT(O106,5)="Error",LEFT(N106,5)="Error",T106="Error"),"Check Data ⚠",IF(F106&lt;R106,INDEX('G-6 Hedgerow Data'!$S$3:$AE$14,MATCH(C106,'G-6 Hedgerow Data'!$B$3:$B$14,0),MATCH(M106,'G-6 Hedgerow Data'!$S$2:$AE$2,0)),INDEX('G-6 Hedgerow Data'!$K$3:$Q$14,MATCH(M106,'G-6 Hedgerow Data'!$B$3:$B$14,0),MATCH(O106,'G-6 Hedgerow Data'!$K$2:$Q$2,0)))),"")</f>
        <v/>
      </c>
      <c r="Y106" s="159"/>
      <c r="Z106" s="159"/>
      <c r="AA106" s="370" t="str">
        <f t="shared" si="12"/>
        <v/>
      </c>
      <c r="AB106" s="383" t="str">
        <f t="shared" si="13"/>
        <v/>
      </c>
      <c r="AC106" s="384" t="str">
        <f t="shared" si="10"/>
        <v/>
      </c>
      <c r="AD106" s="398" t="str">
        <f>IF(M106="","",VLOOKUP(M106,'G-6 Hedgerow Data'!$B$3:$AG$15,31,FALSE))</f>
        <v/>
      </c>
      <c r="AE106" s="382" t="str">
        <f t="shared" si="14"/>
        <v/>
      </c>
      <c r="AF106" s="382" t="str">
        <f t="shared" si="15"/>
        <v/>
      </c>
      <c r="AG106" s="386" t="str">
        <f>IFERROR(IF(O106="","",VLOOKUP(AD106,'G-3 Multipliers'!$P$3:$Q$6,2,FALSE)),"")</f>
        <v/>
      </c>
      <c r="AH106" s="160"/>
      <c r="AI106" s="363" t="str">
        <f>IF(AH106="","",IF(VLOOKUP(AH106,'G-3 Multipliers'!$S$3:$T$10,2,FALSE)=0,"Spatial Data Missing ⚠",VLOOKUP(AH106,'G-3 Multipliers'!$S$3:$T$10,2,FALSE)))</f>
        <v/>
      </c>
      <c r="AJ106" s="405" t="str">
        <f t="shared" si="16"/>
        <v/>
      </c>
      <c r="AK106" s="376" t="str">
        <f t="shared" si="17"/>
        <v/>
      </c>
      <c r="AL106" s="117"/>
      <c r="AM106" s="118"/>
      <c r="AN106" s="120"/>
      <c r="AO106" s="120"/>
      <c r="AQ106" s="30" t="str">
        <f>IFERROR(INDEX('G-6 Hedgerow Data'!$BJ$3:$BJ$15,MATCH(M106,'G-6 Hedgerow Data'!$B$3:$B$15,0)),"")</f>
        <v/>
      </c>
    </row>
    <row r="107" spans="2:43" ht="15">
      <c r="B107" s="392" t="str">
        <f>'E-1 Off-Site Hedge Baseline'!AN105</f>
        <v/>
      </c>
      <c r="C107" s="382" t="str">
        <f>IF(B107="","",IF(ISNA(VLOOKUP($B107,'E-1 Off-Site Hedge Baseline'!$B$1:$L$257,3,FALSE)),"",(VLOOKUP($B107,'E-1 Off-Site Hedge Baseline'!$B$1:$L$257,3,FALSE))))</f>
        <v/>
      </c>
      <c r="D107" s="382" t="str">
        <f>IF(B107="","",IF(ISNA(VLOOKUP($B107,'E-1 Off-Site Hedge Baseline'!$B$1:$L$258,4,FALSE)),"",(VLOOKUP($B107,'E-1 Off-Site Hedge Baseline'!$B$1:$L$258,4,FALSE))))</f>
        <v/>
      </c>
      <c r="E107" s="382" t="str">
        <f>IF(B107="","",IF(ISNA(VLOOKUP($B107,'E-1 Off-Site Hedge Baseline'!$B$1:$L$257,5,FALSE)),"",(VLOOKUP($B107,'E-1 Off-Site Hedge Baseline'!$B$1:$L$257,5,FALSE))))</f>
        <v/>
      </c>
      <c r="F107" s="382" t="str">
        <f>IF(B107="","",IF(ISNA(VLOOKUP($B107,'E-1 Off-Site Hedge Baseline'!$B$1:$L$257,6,FALSE)),"",(VLOOKUP($B107,'E-1 Off-Site Hedge Baseline'!$B$1:$L$257,6,FALSE))))</f>
        <v/>
      </c>
      <c r="G107" s="382" t="str">
        <f>IF(B107="","",IF(ISNA(VLOOKUP($B107,'E-1 Off-Site Hedge Baseline'!$B$1:$L$257,7,FALSE)),"",(VLOOKUP($B107,'E-1 Off-Site Hedge Baseline'!$B$1:$L$257,7,FALSE))))</f>
        <v/>
      </c>
      <c r="H107" s="382" t="str">
        <f>IF(B107="","",IF(ISNA(VLOOKUP($B107,'E-1 Off-Site Hedge Baseline'!$B$1:$L$257,8,FALSE)),"",(VLOOKUP($B107,'E-1 Off-Site Hedge Baseline'!$B$1:$L$257,8,FALSE))))</f>
        <v/>
      </c>
      <c r="I107" s="382" t="str">
        <f>IF(B107="","",IF(ISNA(VLOOKUP($B107,'E-1 Off-Site Hedge Baseline'!$B$1:$L$257,10,FALSE)),"",(VLOOKUP($B107,'E-1 Off-Site Hedge Baseline'!$B$1:$L$257,10,FALSE))))</f>
        <v/>
      </c>
      <c r="J107" s="382" t="str">
        <f>IF(B107="","",IF(ISNA(VLOOKUP($B107,'E-1 Off-Site Hedge Baseline'!$B$1:$L$257,11,FALSE)),"",(VLOOKUP($B107,'E-1 Off-Site Hedge Baseline'!$B$1:$L$257,11,FALSE))))</f>
        <v/>
      </c>
      <c r="K107" s="382" t="str">
        <f>IF(B107="","",IF(ISNA(VLOOKUP($B107,'E-1 Off-Site Hedge Baseline'!$B$1:$X$257,113,FALSE)),"",(VLOOKUP($B107,'E-1 Off-Site Hedge Baseline'!$B$1:$X$257,13,FALSE))))</f>
        <v/>
      </c>
      <c r="L107" s="370" t="str">
        <f>IF(B107="","",IF(ISNA(VLOOKUP($B107,'E-1 Off-Site Hedge Baseline'!$B$1:$X$257,12,FALSE)),"",(VLOOKUP($B107,'E-1 Off-Site Hedge Baseline'!$B$1:$X$257,12,FALSE))))</f>
        <v/>
      </c>
      <c r="M107" s="316" t="str">
        <f t="shared" si="9"/>
        <v/>
      </c>
      <c r="N107" s="362" t="str">
        <f>IFERROR(IF(B107="","",INDEX('G-6 Hedgerow Data'!$AN$3:$AZ$15,MATCH(C107,'G-6 Hedgerow Data'!$AM$3:$AM$15,0),MATCH(M107,'G-6 Hedgerow Data'!$AN$2:$AZ$2,0))),"")</f>
        <v/>
      </c>
      <c r="O107" s="363" t="str">
        <f t="shared" si="11"/>
        <v/>
      </c>
      <c r="P107" s="368" t="str">
        <f>IF(B107="","",VLOOKUP(B107,'E-1 Off-Site Hedge Baseline'!$B$10:W352,19,FALSE))</f>
        <v/>
      </c>
      <c r="Q107" s="362" t="str">
        <f>IF(M107="","",VLOOKUP(M107,'G-6 Hedgerow Data'!$B$2:$AG$15,2,FALSE))</f>
        <v/>
      </c>
      <c r="R107" s="363" t="str">
        <f>IF(M107="","",VLOOKUP(M107,'G-6 Hedgerow Data'!$B$2:$AG$15,3,FALSE))</f>
        <v/>
      </c>
      <c r="S107" s="114"/>
      <c r="T107" s="363" t="str">
        <f>IFERROR(IF(AND(Q107="V.Low",OR(S107="Good",S107="Moderate")),"Error ▲",VLOOKUP(S107,'G-1 All Habitats'!$Z$2:$AA$9,2,FALSE)),"")</f>
        <v/>
      </c>
      <c r="U107" s="114"/>
      <c r="V107" s="370" t="str">
        <f>IF(U107="","",IF(VLOOKUP(U107,'G-3 Multipliers'!$L$3:$N$6,2,FALSE)=0,"Spatial Data Missing ⚠",VLOOKUP(U107,'G-3 Multipliers'!$L$3:$N$6,2,FALSE)))</f>
        <v/>
      </c>
      <c r="W107" s="368" t="str">
        <f>IF(U107="","",IF(VLOOKUP(U107,'G-3 Multipliers'!$L$3:$N$6,3,FALSE)=0,"Spatial Data Missing ⚠",VLOOKUP(U107,'G-3 Multipliers'!$L$3:$N$6,3,FALSE)))</f>
        <v/>
      </c>
      <c r="X107" s="362" t="str">
        <f>IFERROR(IF(OR(LEFT(O107,5)="Error",LEFT(N107,5)="Error",T107="Error"),"Check Data ⚠",IF(F107&lt;R107,INDEX('G-6 Hedgerow Data'!$S$3:$AE$14,MATCH(C107,'G-6 Hedgerow Data'!$B$3:$B$14,0),MATCH(M107,'G-6 Hedgerow Data'!$S$2:$AE$2,0)),INDEX('G-6 Hedgerow Data'!$K$3:$Q$14,MATCH(M107,'G-6 Hedgerow Data'!$B$3:$B$14,0),MATCH(O107,'G-6 Hedgerow Data'!$K$2:$Q$2,0)))),"")</f>
        <v/>
      </c>
      <c r="Y107" s="159"/>
      <c r="Z107" s="159"/>
      <c r="AA107" s="370" t="str">
        <f t="shared" si="12"/>
        <v/>
      </c>
      <c r="AB107" s="383" t="str">
        <f t="shared" si="13"/>
        <v/>
      </c>
      <c r="AC107" s="384" t="str">
        <f t="shared" si="10"/>
        <v/>
      </c>
      <c r="AD107" s="398" t="str">
        <f>IF(M107="","",VLOOKUP(M107,'G-6 Hedgerow Data'!$B$3:$AG$15,31,FALSE))</f>
        <v/>
      </c>
      <c r="AE107" s="382" t="str">
        <f t="shared" si="14"/>
        <v/>
      </c>
      <c r="AF107" s="382" t="str">
        <f t="shared" si="15"/>
        <v/>
      </c>
      <c r="AG107" s="386" t="str">
        <f>IFERROR(IF(O107="","",VLOOKUP(AD107,'G-3 Multipliers'!$P$3:$Q$6,2,FALSE)),"")</f>
        <v/>
      </c>
      <c r="AH107" s="160"/>
      <c r="AI107" s="363" t="str">
        <f>IF(AH107="","",IF(VLOOKUP(AH107,'G-3 Multipliers'!$S$3:$T$10,2,FALSE)=0,"Spatial Data Missing ⚠",VLOOKUP(AH107,'G-3 Multipliers'!$S$3:$T$10,2,FALSE)))</f>
        <v/>
      </c>
      <c r="AJ107" s="405" t="str">
        <f t="shared" si="16"/>
        <v/>
      </c>
      <c r="AK107" s="376" t="str">
        <f t="shared" si="17"/>
        <v/>
      </c>
      <c r="AL107" s="117"/>
      <c r="AM107" s="118"/>
      <c r="AN107" s="120"/>
      <c r="AO107" s="120"/>
      <c r="AQ107" s="30" t="str">
        <f>IFERROR(INDEX('G-6 Hedgerow Data'!$BJ$3:$BJ$15,MATCH(M107,'G-6 Hedgerow Data'!$B$3:$B$15,0)),"")</f>
        <v/>
      </c>
    </row>
    <row r="108" spans="2:43" ht="15">
      <c r="B108" s="392" t="str">
        <f>'E-1 Off-Site Hedge Baseline'!AN106</f>
        <v/>
      </c>
      <c r="C108" s="382" t="str">
        <f>IF(B108="","",IF(ISNA(VLOOKUP($B108,'E-1 Off-Site Hedge Baseline'!$B$1:$L$257,3,FALSE)),"",(VLOOKUP($B108,'E-1 Off-Site Hedge Baseline'!$B$1:$L$257,3,FALSE))))</f>
        <v/>
      </c>
      <c r="D108" s="382" t="str">
        <f>IF(B108="","",IF(ISNA(VLOOKUP($B108,'E-1 Off-Site Hedge Baseline'!$B$1:$L$258,4,FALSE)),"",(VLOOKUP($B108,'E-1 Off-Site Hedge Baseline'!$B$1:$L$258,4,FALSE))))</f>
        <v/>
      </c>
      <c r="E108" s="382" t="str">
        <f>IF(B108="","",IF(ISNA(VLOOKUP($B108,'E-1 Off-Site Hedge Baseline'!$B$1:$L$257,5,FALSE)),"",(VLOOKUP($B108,'E-1 Off-Site Hedge Baseline'!$B$1:$L$257,5,FALSE))))</f>
        <v/>
      </c>
      <c r="F108" s="382" t="str">
        <f>IF(B108="","",IF(ISNA(VLOOKUP($B108,'E-1 Off-Site Hedge Baseline'!$B$1:$L$257,6,FALSE)),"",(VLOOKUP($B108,'E-1 Off-Site Hedge Baseline'!$B$1:$L$257,6,FALSE))))</f>
        <v/>
      </c>
      <c r="G108" s="382" t="str">
        <f>IF(B108="","",IF(ISNA(VLOOKUP($B108,'E-1 Off-Site Hedge Baseline'!$B$1:$L$257,7,FALSE)),"",(VLOOKUP($B108,'E-1 Off-Site Hedge Baseline'!$B$1:$L$257,7,FALSE))))</f>
        <v/>
      </c>
      <c r="H108" s="382" t="str">
        <f>IF(B108="","",IF(ISNA(VLOOKUP($B108,'E-1 Off-Site Hedge Baseline'!$B$1:$L$257,8,FALSE)),"",(VLOOKUP($B108,'E-1 Off-Site Hedge Baseline'!$B$1:$L$257,8,FALSE))))</f>
        <v/>
      </c>
      <c r="I108" s="382" t="str">
        <f>IF(B108="","",IF(ISNA(VLOOKUP($B108,'E-1 Off-Site Hedge Baseline'!$B$1:$L$257,10,FALSE)),"",(VLOOKUP($B108,'E-1 Off-Site Hedge Baseline'!$B$1:$L$257,10,FALSE))))</f>
        <v/>
      </c>
      <c r="J108" s="382" t="str">
        <f>IF(B108="","",IF(ISNA(VLOOKUP($B108,'E-1 Off-Site Hedge Baseline'!$B$1:$L$257,11,FALSE)),"",(VLOOKUP($B108,'E-1 Off-Site Hedge Baseline'!$B$1:$L$257,11,FALSE))))</f>
        <v/>
      </c>
      <c r="K108" s="382" t="str">
        <f>IF(B108="","",IF(ISNA(VLOOKUP($B108,'E-1 Off-Site Hedge Baseline'!$B$1:$X$257,113,FALSE)),"",(VLOOKUP($B108,'E-1 Off-Site Hedge Baseline'!$B$1:$X$257,13,FALSE))))</f>
        <v/>
      </c>
      <c r="L108" s="370" t="str">
        <f>IF(B108="","",IF(ISNA(VLOOKUP($B108,'E-1 Off-Site Hedge Baseline'!$B$1:$X$257,12,FALSE)),"",(VLOOKUP($B108,'E-1 Off-Site Hedge Baseline'!$B$1:$X$257,12,FALSE))))</f>
        <v/>
      </c>
      <c r="M108" s="316" t="str">
        <f t="shared" si="9"/>
        <v/>
      </c>
      <c r="N108" s="362" t="str">
        <f>IFERROR(IF(B108="","",INDEX('G-6 Hedgerow Data'!$AN$3:$AZ$15,MATCH(C108,'G-6 Hedgerow Data'!$AM$3:$AM$15,0),MATCH(M108,'G-6 Hedgerow Data'!$AN$2:$AZ$2,0))),"")</f>
        <v/>
      </c>
      <c r="O108" s="363" t="str">
        <f t="shared" si="11"/>
        <v/>
      </c>
      <c r="P108" s="368" t="str">
        <f>IF(B108="","",VLOOKUP(B108,'E-1 Off-Site Hedge Baseline'!$B$10:W353,19,FALSE))</f>
        <v/>
      </c>
      <c r="Q108" s="362" t="str">
        <f>IF(M108="","",VLOOKUP(M108,'G-6 Hedgerow Data'!$B$2:$AG$15,2,FALSE))</f>
        <v/>
      </c>
      <c r="R108" s="363" t="str">
        <f>IF(M108="","",VLOOKUP(M108,'G-6 Hedgerow Data'!$B$2:$AG$15,3,FALSE))</f>
        <v/>
      </c>
      <c r="S108" s="114"/>
      <c r="T108" s="363" t="str">
        <f>IFERROR(IF(AND(Q108="V.Low",OR(S108="Good",S108="Moderate")),"Error ▲",VLOOKUP(S108,'G-1 All Habitats'!$Z$2:$AA$9,2,FALSE)),"")</f>
        <v/>
      </c>
      <c r="U108" s="114"/>
      <c r="V108" s="370" t="str">
        <f>IF(U108="","",IF(VLOOKUP(U108,'G-3 Multipliers'!$L$3:$N$6,2,FALSE)=0,"Spatial Data Missing ⚠",VLOOKUP(U108,'G-3 Multipliers'!$L$3:$N$6,2,FALSE)))</f>
        <v/>
      </c>
      <c r="W108" s="368" t="str">
        <f>IF(U108="","",IF(VLOOKUP(U108,'G-3 Multipliers'!$L$3:$N$6,3,FALSE)=0,"Spatial Data Missing ⚠",VLOOKUP(U108,'G-3 Multipliers'!$L$3:$N$6,3,FALSE)))</f>
        <v/>
      </c>
      <c r="X108" s="362" t="str">
        <f>IFERROR(IF(OR(LEFT(O108,5)="Error",LEFT(N108,5)="Error",T108="Error"),"Check Data ⚠",IF(F108&lt;R108,INDEX('G-6 Hedgerow Data'!$S$3:$AE$14,MATCH(C108,'G-6 Hedgerow Data'!$B$3:$B$14,0),MATCH(M108,'G-6 Hedgerow Data'!$S$2:$AE$2,0)),INDEX('G-6 Hedgerow Data'!$K$3:$Q$14,MATCH(M108,'G-6 Hedgerow Data'!$B$3:$B$14,0),MATCH(O108,'G-6 Hedgerow Data'!$K$2:$Q$2,0)))),"")</f>
        <v/>
      </c>
      <c r="Y108" s="159"/>
      <c r="Z108" s="159"/>
      <c r="AA108" s="370" t="str">
        <f t="shared" si="12"/>
        <v/>
      </c>
      <c r="AB108" s="383" t="str">
        <f t="shared" si="13"/>
        <v/>
      </c>
      <c r="AC108" s="384" t="str">
        <f t="shared" si="10"/>
        <v/>
      </c>
      <c r="AD108" s="398" t="str">
        <f>IF(M108="","",VLOOKUP(M108,'G-6 Hedgerow Data'!$B$3:$AG$15,31,FALSE))</f>
        <v/>
      </c>
      <c r="AE108" s="382" t="str">
        <f t="shared" si="14"/>
        <v/>
      </c>
      <c r="AF108" s="382" t="str">
        <f t="shared" si="15"/>
        <v/>
      </c>
      <c r="AG108" s="386" t="str">
        <f>IFERROR(IF(O108="","",VLOOKUP(AD108,'G-3 Multipliers'!$P$3:$Q$6,2,FALSE)),"")</f>
        <v/>
      </c>
      <c r="AH108" s="160"/>
      <c r="AI108" s="363" t="str">
        <f>IF(AH108="","",IF(VLOOKUP(AH108,'G-3 Multipliers'!$S$3:$T$10,2,FALSE)=0,"Spatial Data Missing ⚠",VLOOKUP(AH108,'G-3 Multipliers'!$S$3:$T$10,2,FALSE)))</f>
        <v/>
      </c>
      <c r="AJ108" s="405" t="str">
        <f t="shared" si="16"/>
        <v/>
      </c>
      <c r="AK108" s="376" t="str">
        <f t="shared" si="17"/>
        <v/>
      </c>
      <c r="AL108" s="117"/>
      <c r="AM108" s="118"/>
      <c r="AN108" s="120"/>
      <c r="AO108" s="120"/>
      <c r="AQ108" s="30" t="str">
        <f>IFERROR(INDEX('G-6 Hedgerow Data'!$BJ$3:$BJ$15,MATCH(M108,'G-6 Hedgerow Data'!$B$3:$B$15,0)),"")</f>
        <v/>
      </c>
    </row>
    <row r="109" spans="2:43" ht="15">
      <c r="B109" s="392" t="str">
        <f>'E-1 Off-Site Hedge Baseline'!AN107</f>
        <v/>
      </c>
      <c r="C109" s="382" t="str">
        <f>IF(B109="","",IF(ISNA(VLOOKUP($B109,'E-1 Off-Site Hedge Baseline'!$B$1:$L$257,3,FALSE)),"",(VLOOKUP($B109,'E-1 Off-Site Hedge Baseline'!$B$1:$L$257,3,FALSE))))</f>
        <v/>
      </c>
      <c r="D109" s="382" t="str">
        <f>IF(B109="","",IF(ISNA(VLOOKUP($B109,'E-1 Off-Site Hedge Baseline'!$B$1:$L$258,4,FALSE)),"",(VLOOKUP($B109,'E-1 Off-Site Hedge Baseline'!$B$1:$L$258,4,FALSE))))</f>
        <v/>
      </c>
      <c r="E109" s="382" t="str">
        <f>IF(B109="","",IF(ISNA(VLOOKUP($B109,'E-1 Off-Site Hedge Baseline'!$B$1:$L$257,5,FALSE)),"",(VLOOKUP($B109,'E-1 Off-Site Hedge Baseline'!$B$1:$L$257,5,FALSE))))</f>
        <v/>
      </c>
      <c r="F109" s="382" t="str">
        <f>IF(B109="","",IF(ISNA(VLOOKUP($B109,'E-1 Off-Site Hedge Baseline'!$B$1:$L$257,6,FALSE)),"",(VLOOKUP($B109,'E-1 Off-Site Hedge Baseline'!$B$1:$L$257,6,FALSE))))</f>
        <v/>
      </c>
      <c r="G109" s="382" t="str">
        <f>IF(B109="","",IF(ISNA(VLOOKUP($B109,'E-1 Off-Site Hedge Baseline'!$B$1:$L$257,7,FALSE)),"",(VLOOKUP($B109,'E-1 Off-Site Hedge Baseline'!$B$1:$L$257,7,FALSE))))</f>
        <v/>
      </c>
      <c r="H109" s="382" t="str">
        <f>IF(B109="","",IF(ISNA(VLOOKUP($B109,'E-1 Off-Site Hedge Baseline'!$B$1:$L$257,8,FALSE)),"",(VLOOKUP($B109,'E-1 Off-Site Hedge Baseline'!$B$1:$L$257,8,FALSE))))</f>
        <v/>
      </c>
      <c r="I109" s="382" t="str">
        <f>IF(B109="","",IF(ISNA(VLOOKUP($B109,'E-1 Off-Site Hedge Baseline'!$B$1:$L$257,10,FALSE)),"",(VLOOKUP($B109,'E-1 Off-Site Hedge Baseline'!$B$1:$L$257,10,FALSE))))</f>
        <v/>
      </c>
      <c r="J109" s="382" t="str">
        <f>IF(B109="","",IF(ISNA(VLOOKUP($B109,'E-1 Off-Site Hedge Baseline'!$B$1:$L$257,11,FALSE)),"",(VLOOKUP($B109,'E-1 Off-Site Hedge Baseline'!$B$1:$L$257,11,FALSE))))</f>
        <v/>
      </c>
      <c r="K109" s="382" t="str">
        <f>IF(B109="","",IF(ISNA(VLOOKUP($B109,'E-1 Off-Site Hedge Baseline'!$B$1:$X$257,113,FALSE)),"",(VLOOKUP($B109,'E-1 Off-Site Hedge Baseline'!$B$1:$X$257,13,FALSE))))</f>
        <v/>
      </c>
      <c r="L109" s="370" t="str">
        <f>IF(B109="","",IF(ISNA(VLOOKUP($B109,'E-1 Off-Site Hedge Baseline'!$B$1:$X$257,12,FALSE)),"",(VLOOKUP($B109,'E-1 Off-Site Hedge Baseline'!$B$1:$X$257,12,FALSE))))</f>
        <v/>
      </c>
      <c r="M109" s="316" t="str">
        <f t="shared" si="9"/>
        <v/>
      </c>
      <c r="N109" s="362" t="str">
        <f>IFERROR(IF(B109="","",INDEX('G-6 Hedgerow Data'!$AN$3:$AZ$15,MATCH(C109,'G-6 Hedgerow Data'!$AM$3:$AM$15,0),MATCH(M109,'G-6 Hedgerow Data'!$AN$2:$AZ$2,0))),"")</f>
        <v/>
      </c>
      <c r="O109" s="363" t="str">
        <f t="shared" si="11"/>
        <v/>
      </c>
      <c r="P109" s="368" t="str">
        <f>IF(B109="","",VLOOKUP(B109,'E-1 Off-Site Hedge Baseline'!$B$10:W354,19,FALSE))</f>
        <v/>
      </c>
      <c r="Q109" s="362" t="str">
        <f>IF(M109="","",VLOOKUP(M109,'G-6 Hedgerow Data'!$B$2:$AG$15,2,FALSE))</f>
        <v/>
      </c>
      <c r="R109" s="363" t="str">
        <f>IF(M109="","",VLOOKUP(M109,'G-6 Hedgerow Data'!$B$2:$AG$15,3,FALSE))</f>
        <v/>
      </c>
      <c r="S109" s="114"/>
      <c r="T109" s="363" t="str">
        <f>IFERROR(IF(AND(Q109="V.Low",OR(S109="Good",S109="Moderate")),"Error ▲",VLOOKUP(S109,'G-1 All Habitats'!$Z$2:$AA$9,2,FALSE)),"")</f>
        <v/>
      </c>
      <c r="U109" s="114"/>
      <c r="V109" s="370" t="str">
        <f>IF(U109="","",IF(VLOOKUP(U109,'G-3 Multipliers'!$L$3:$N$6,2,FALSE)=0,"Spatial Data Missing ⚠",VLOOKUP(U109,'G-3 Multipliers'!$L$3:$N$6,2,FALSE)))</f>
        <v/>
      </c>
      <c r="W109" s="368" t="str">
        <f>IF(U109="","",IF(VLOOKUP(U109,'G-3 Multipliers'!$L$3:$N$6,3,FALSE)=0,"Spatial Data Missing ⚠",VLOOKUP(U109,'G-3 Multipliers'!$L$3:$N$6,3,FALSE)))</f>
        <v/>
      </c>
      <c r="X109" s="362" t="str">
        <f>IFERROR(IF(OR(LEFT(O109,5)="Error",LEFT(N109,5)="Error",T109="Error"),"Check Data ⚠",IF(F109&lt;R109,INDEX('G-6 Hedgerow Data'!$S$3:$AE$14,MATCH(C109,'G-6 Hedgerow Data'!$B$3:$B$14,0),MATCH(M109,'G-6 Hedgerow Data'!$S$2:$AE$2,0)),INDEX('G-6 Hedgerow Data'!$K$3:$Q$14,MATCH(M109,'G-6 Hedgerow Data'!$B$3:$B$14,0),MATCH(O109,'G-6 Hedgerow Data'!$K$2:$Q$2,0)))),"")</f>
        <v/>
      </c>
      <c r="Y109" s="159"/>
      <c r="Z109" s="159"/>
      <c r="AA109" s="370" t="str">
        <f t="shared" si="12"/>
        <v/>
      </c>
      <c r="AB109" s="383" t="str">
        <f t="shared" si="13"/>
        <v/>
      </c>
      <c r="AC109" s="384" t="str">
        <f t="shared" si="10"/>
        <v/>
      </c>
      <c r="AD109" s="398" t="str">
        <f>IF(M109="","",VLOOKUP(M109,'G-6 Hedgerow Data'!$B$3:$AG$15,31,FALSE))</f>
        <v/>
      </c>
      <c r="AE109" s="382" t="str">
        <f t="shared" si="14"/>
        <v/>
      </c>
      <c r="AF109" s="382" t="str">
        <f t="shared" si="15"/>
        <v/>
      </c>
      <c r="AG109" s="386" t="str">
        <f>IFERROR(IF(O109="","",VLOOKUP(AD109,'G-3 Multipliers'!$P$3:$Q$6,2,FALSE)),"")</f>
        <v/>
      </c>
      <c r="AH109" s="160"/>
      <c r="AI109" s="363" t="str">
        <f>IF(AH109="","",IF(VLOOKUP(AH109,'G-3 Multipliers'!$S$3:$T$10,2,FALSE)=0,"Spatial Data Missing ⚠",VLOOKUP(AH109,'G-3 Multipliers'!$S$3:$T$10,2,FALSE)))</f>
        <v/>
      </c>
      <c r="AJ109" s="405" t="str">
        <f t="shared" si="16"/>
        <v/>
      </c>
      <c r="AK109" s="376" t="str">
        <f t="shared" si="17"/>
        <v/>
      </c>
      <c r="AL109" s="117"/>
      <c r="AM109" s="118"/>
      <c r="AN109" s="120"/>
      <c r="AO109" s="120"/>
      <c r="AQ109" s="30" t="str">
        <f>IFERROR(INDEX('G-6 Hedgerow Data'!$BJ$3:$BJ$15,MATCH(M109,'G-6 Hedgerow Data'!$B$3:$B$15,0)),"")</f>
        <v/>
      </c>
    </row>
    <row r="110" spans="2:43" ht="15">
      <c r="B110" s="392" t="str">
        <f>'E-1 Off-Site Hedge Baseline'!AN108</f>
        <v/>
      </c>
      <c r="C110" s="382" t="str">
        <f>IF(B110="","",IF(ISNA(VLOOKUP($B110,'E-1 Off-Site Hedge Baseline'!$B$1:$L$257,3,FALSE)),"",(VLOOKUP($B110,'E-1 Off-Site Hedge Baseline'!$B$1:$L$257,3,FALSE))))</f>
        <v/>
      </c>
      <c r="D110" s="382" t="str">
        <f>IF(B110="","",IF(ISNA(VLOOKUP($B110,'E-1 Off-Site Hedge Baseline'!$B$1:$L$258,4,FALSE)),"",(VLOOKUP($B110,'E-1 Off-Site Hedge Baseline'!$B$1:$L$258,4,FALSE))))</f>
        <v/>
      </c>
      <c r="E110" s="382" t="str">
        <f>IF(B110="","",IF(ISNA(VLOOKUP($B110,'E-1 Off-Site Hedge Baseline'!$B$1:$L$257,5,FALSE)),"",(VLOOKUP($B110,'E-1 Off-Site Hedge Baseline'!$B$1:$L$257,5,FALSE))))</f>
        <v/>
      </c>
      <c r="F110" s="382" t="str">
        <f>IF(B110="","",IF(ISNA(VLOOKUP($B110,'E-1 Off-Site Hedge Baseline'!$B$1:$L$257,6,FALSE)),"",(VLOOKUP($B110,'E-1 Off-Site Hedge Baseline'!$B$1:$L$257,6,FALSE))))</f>
        <v/>
      </c>
      <c r="G110" s="382" t="str">
        <f>IF(B110="","",IF(ISNA(VLOOKUP($B110,'E-1 Off-Site Hedge Baseline'!$B$1:$L$257,7,FALSE)),"",(VLOOKUP($B110,'E-1 Off-Site Hedge Baseline'!$B$1:$L$257,7,FALSE))))</f>
        <v/>
      </c>
      <c r="H110" s="382" t="str">
        <f>IF(B110="","",IF(ISNA(VLOOKUP($B110,'E-1 Off-Site Hedge Baseline'!$B$1:$L$257,8,FALSE)),"",(VLOOKUP($B110,'E-1 Off-Site Hedge Baseline'!$B$1:$L$257,8,FALSE))))</f>
        <v/>
      </c>
      <c r="I110" s="382" t="str">
        <f>IF(B110="","",IF(ISNA(VLOOKUP($B110,'E-1 Off-Site Hedge Baseline'!$B$1:$L$257,10,FALSE)),"",(VLOOKUP($B110,'E-1 Off-Site Hedge Baseline'!$B$1:$L$257,10,FALSE))))</f>
        <v/>
      </c>
      <c r="J110" s="382" t="str">
        <f>IF(B110="","",IF(ISNA(VLOOKUP($B110,'E-1 Off-Site Hedge Baseline'!$B$1:$L$257,11,FALSE)),"",(VLOOKUP($B110,'E-1 Off-Site Hedge Baseline'!$B$1:$L$257,11,FALSE))))</f>
        <v/>
      </c>
      <c r="K110" s="382" t="str">
        <f>IF(B110="","",IF(ISNA(VLOOKUP($B110,'E-1 Off-Site Hedge Baseline'!$B$1:$X$257,113,FALSE)),"",(VLOOKUP($B110,'E-1 Off-Site Hedge Baseline'!$B$1:$X$257,13,FALSE))))</f>
        <v/>
      </c>
      <c r="L110" s="370" t="str">
        <f>IF(B110="","",IF(ISNA(VLOOKUP($B110,'E-1 Off-Site Hedge Baseline'!$B$1:$X$257,12,FALSE)),"",(VLOOKUP($B110,'E-1 Off-Site Hedge Baseline'!$B$1:$X$257,12,FALSE))))</f>
        <v/>
      </c>
      <c r="M110" s="316" t="str">
        <f t="shared" si="9"/>
        <v/>
      </c>
      <c r="N110" s="362" t="str">
        <f>IFERROR(IF(B110="","",INDEX('G-6 Hedgerow Data'!$AN$3:$AZ$15,MATCH(C110,'G-6 Hedgerow Data'!$AM$3:$AM$15,0),MATCH(M110,'G-6 Hedgerow Data'!$AN$2:$AZ$2,0))),"")</f>
        <v/>
      </c>
      <c r="O110" s="363" t="str">
        <f t="shared" si="11"/>
        <v/>
      </c>
      <c r="P110" s="368" t="str">
        <f>IF(B110="","",VLOOKUP(B110,'E-1 Off-Site Hedge Baseline'!$B$10:W355,19,FALSE))</f>
        <v/>
      </c>
      <c r="Q110" s="362" t="str">
        <f>IF(M110="","",VLOOKUP(M110,'G-6 Hedgerow Data'!$B$2:$AG$15,2,FALSE))</f>
        <v/>
      </c>
      <c r="R110" s="363" t="str">
        <f>IF(M110="","",VLOOKUP(M110,'G-6 Hedgerow Data'!$B$2:$AG$15,3,FALSE))</f>
        <v/>
      </c>
      <c r="S110" s="114"/>
      <c r="T110" s="363" t="str">
        <f>IFERROR(IF(AND(Q110="V.Low",OR(S110="Good",S110="Moderate")),"Error ▲",VLOOKUP(S110,'G-1 All Habitats'!$Z$2:$AA$9,2,FALSE)),"")</f>
        <v/>
      </c>
      <c r="U110" s="114"/>
      <c r="V110" s="370" t="str">
        <f>IF(U110="","",IF(VLOOKUP(U110,'G-3 Multipliers'!$L$3:$N$6,2,FALSE)=0,"Spatial Data Missing ⚠",VLOOKUP(U110,'G-3 Multipliers'!$L$3:$N$6,2,FALSE)))</f>
        <v/>
      </c>
      <c r="W110" s="368" t="str">
        <f>IF(U110="","",IF(VLOOKUP(U110,'G-3 Multipliers'!$L$3:$N$6,3,FALSE)=0,"Spatial Data Missing ⚠",VLOOKUP(U110,'G-3 Multipliers'!$L$3:$N$6,3,FALSE)))</f>
        <v/>
      </c>
      <c r="X110" s="362" t="str">
        <f>IFERROR(IF(OR(LEFT(O110,5)="Error",LEFT(N110,5)="Error",T110="Error"),"Check Data ⚠",IF(F110&lt;R110,INDEX('G-6 Hedgerow Data'!$S$3:$AE$14,MATCH(C110,'G-6 Hedgerow Data'!$B$3:$B$14,0),MATCH(M110,'G-6 Hedgerow Data'!$S$2:$AE$2,0)),INDEX('G-6 Hedgerow Data'!$K$3:$Q$14,MATCH(M110,'G-6 Hedgerow Data'!$B$3:$B$14,0),MATCH(O110,'G-6 Hedgerow Data'!$K$2:$Q$2,0)))),"")</f>
        <v/>
      </c>
      <c r="Y110" s="159"/>
      <c r="Z110" s="159"/>
      <c r="AA110" s="370" t="str">
        <f t="shared" si="12"/>
        <v/>
      </c>
      <c r="AB110" s="383" t="str">
        <f t="shared" si="13"/>
        <v/>
      </c>
      <c r="AC110" s="384" t="str">
        <f t="shared" si="10"/>
        <v/>
      </c>
      <c r="AD110" s="398" t="str">
        <f>IF(M110="","",VLOOKUP(M110,'G-6 Hedgerow Data'!$B$3:$AG$15,31,FALSE))</f>
        <v/>
      </c>
      <c r="AE110" s="382" t="str">
        <f t="shared" si="14"/>
        <v/>
      </c>
      <c r="AF110" s="382" t="str">
        <f t="shared" si="15"/>
        <v/>
      </c>
      <c r="AG110" s="386" t="str">
        <f>IFERROR(IF(O110="","",VLOOKUP(AD110,'G-3 Multipliers'!$P$3:$Q$6,2,FALSE)),"")</f>
        <v/>
      </c>
      <c r="AH110" s="160"/>
      <c r="AI110" s="363" t="str">
        <f>IF(AH110="","",IF(VLOOKUP(AH110,'G-3 Multipliers'!$S$3:$T$10,2,FALSE)=0,"Spatial Data Missing ⚠",VLOOKUP(AH110,'G-3 Multipliers'!$S$3:$T$10,2,FALSE)))</f>
        <v/>
      </c>
      <c r="AJ110" s="405" t="str">
        <f t="shared" si="16"/>
        <v/>
      </c>
      <c r="AK110" s="376" t="str">
        <f t="shared" si="17"/>
        <v/>
      </c>
      <c r="AL110" s="117"/>
      <c r="AM110" s="118"/>
      <c r="AN110" s="120"/>
      <c r="AO110" s="120"/>
      <c r="AQ110" s="30" t="str">
        <f>IFERROR(INDEX('G-6 Hedgerow Data'!$BJ$3:$BJ$15,MATCH(M110,'G-6 Hedgerow Data'!$B$3:$B$15,0)),"")</f>
        <v/>
      </c>
    </row>
    <row r="111" spans="2:43" ht="15">
      <c r="B111" s="392" t="str">
        <f>'E-1 Off-Site Hedge Baseline'!AN109</f>
        <v/>
      </c>
      <c r="C111" s="382" t="str">
        <f>IF(B111="","",IF(ISNA(VLOOKUP($B111,'E-1 Off-Site Hedge Baseline'!$B$1:$L$257,3,FALSE)),"",(VLOOKUP($B111,'E-1 Off-Site Hedge Baseline'!$B$1:$L$257,3,FALSE))))</f>
        <v/>
      </c>
      <c r="D111" s="382" t="str">
        <f>IF(B111="","",IF(ISNA(VLOOKUP($B111,'E-1 Off-Site Hedge Baseline'!$B$1:$L$258,4,FALSE)),"",(VLOOKUP($B111,'E-1 Off-Site Hedge Baseline'!$B$1:$L$258,4,FALSE))))</f>
        <v/>
      </c>
      <c r="E111" s="382" t="str">
        <f>IF(B111="","",IF(ISNA(VLOOKUP($B111,'E-1 Off-Site Hedge Baseline'!$B$1:$L$257,5,FALSE)),"",(VLOOKUP($B111,'E-1 Off-Site Hedge Baseline'!$B$1:$L$257,5,FALSE))))</f>
        <v/>
      </c>
      <c r="F111" s="382" t="str">
        <f>IF(B111="","",IF(ISNA(VLOOKUP($B111,'E-1 Off-Site Hedge Baseline'!$B$1:$L$257,6,FALSE)),"",(VLOOKUP($B111,'E-1 Off-Site Hedge Baseline'!$B$1:$L$257,6,FALSE))))</f>
        <v/>
      </c>
      <c r="G111" s="382" t="str">
        <f>IF(B111="","",IF(ISNA(VLOOKUP($B111,'E-1 Off-Site Hedge Baseline'!$B$1:$L$257,7,FALSE)),"",(VLOOKUP($B111,'E-1 Off-Site Hedge Baseline'!$B$1:$L$257,7,FALSE))))</f>
        <v/>
      </c>
      <c r="H111" s="382" t="str">
        <f>IF(B111="","",IF(ISNA(VLOOKUP($B111,'E-1 Off-Site Hedge Baseline'!$B$1:$L$257,8,FALSE)),"",(VLOOKUP($B111,'E-1 Off-Site Hedge Baseline'!$B$1:$L$257,8,FALSE))))</f>
        <v/>
      </c>
      <c r="I111" s="382" t="str">
        <f>IF(B111="","",IF(ISNA(VLOOKUP($B111,'E-1 Off-Site Hedge Baseline'!$B$1:$L$257,10,FALSE)),"",(VLOOKUP($B111,'E-1 Off-Site Hedge Baseline'!$B$1:$L$257,10,FALSE))))</f>
        <v/>
      </c>
      <c r="J111" s="382" t="str">
        <f>IF(B111="","",IF(ISNA(VLOOKUP($B111,'E-1 Off-Site Hedge Baseline'!$B$1:$L$257,11,FALSE)),"",(VLOOKUP($B111,'E-1 Off-Site Hedge Baseline'!$B$1:$L$257,11,FALSE))))</f>
        <v/>
      </c>
      <c r="K111" s="382" t="str">
        <f>IF(B111="","",IF(ISNA(VLOOKUP($B111,'E-1 Off-Site Hedge Baseline'!$B$1:$X$257,113,FALSE)),"",(VLOOKUP($B111,'E-1 Off-Site Hedge Baseline'!$B$1:$X$257,13,FALSE))))</f>
        <v/>
      </c>
      <c r="L111" s="370" t="str">
        <f>IF(B111="","",IF(ISNA(VLOOKUP($B111,'E-1 Off-Site Hedge Baseline'!$B$1:$X$257,12,FALSE)),"",(VLOOKUP($B111,'E-1 Off-Site Hedge Baseline'!$B$1:$X$257,12,FALSE))))</f>
        <v/>
      </c>
      <c r="M111" s="316" t="str">
        <f t="shared" si="9"/>
        <v/>
      </c>
      <c r="N111" s="362" t="str">
        <f>IFERROR(IF(B111="","",INDEX('G-6 Hedgerow Data'!$AN$3:$AZ$15,MATCH(C111,'G-6 Hedgerow Data'!$AM$3:$AM$15,0),MATCH(M111,'G-6 Hedgerow Data'!$AN$2:$AZ$2,0))),"")</f>
        <v/>
      </c>
      <c r="O111" s="363" t="str">
        <f t="shared" si="11"/>
        <v/>
      </c>
      <c r="P111" s="368" t="str">
        <f>IF(B111="","",VLOOKUP(B111,'E-1 Off-Site Hedge Baseline'!$B$10:W356,19,FALSE))</f>
        <v/>
      </c>
      <c r="Q111" s="362" t="str">
        <f>IF(M111="","",VLOOKUP(M111,'G-6 Hedgerow Data'!$B$2:$AG$15,2,FALSE))</f>
        <v/>
      </c>
      <c r="R111" s="363" t="str">
        <f>IF(M111="","",VLOOKUP(M111,'G-6 Hedgerow Data'!$B$2:$AG$15,3,FALSE))</f>
        <v/>
      </c>
      <c r="S111" s="114"/>
      <c r="T111" s="363" t="str">
        <f>IFERROR(IF(AND(Q111="V.Low",OR(S111="Good",S111="Moderate")),"Error ▲",VLOOKUP(S111,'G-1 All Habitats'!$Z$2:$AA$9,2,FALSE)),"")</f>
        <v/>
      </c>
      <c r="U111" s="114"/>
      <c r="V111" s="370" t="str">
        <f>IF(U111="","",IF(VLOOKUP(U111,'G-3 Multipliers'!$L$3:$N$6,2,FALSE)=0,"Spatial Data Missing ⚠",VLOOKUP(U111,'G-3 Multipliers'!$L$3:$N$6,2,FALSE)))</f>
        <v/>
      </c>
      <c r="W111" s="368" t="str">
        <f>IF(U111="","",IF(VLOOKUP(U111,'G-3 Multipliers'!$L$3:$N$6,3,FALSE)=0,"Spatial Data Missing ⚠",VLOOKUP(U111,'G-3 Multipliers'!$L$3:$N$6,3,FALSE)))</f>
        <v/>
      </c>
      <c r="X111" s="362" t="str">
        <f>IFERROR(IF(OR(LEFT(O111,5)="Error",LEFT(N111,5)="Error",T111="Error"),"Check Data ⚠",IF(F111&lt;R111,INDEX('G-6 Hedgerow Data'!$S$3:$AE$14,MATCH(C111,'G-6 Hedgerow Data'!$B$3:$B$14,0),MATCH(M111,'G-6 Hedgerow Data'!$S$2:$AE$2,0)),INDEX('G-6 Hedgerow Data'!$K$3:$Q$14,MATCH(M111,'G-6 Hedgerow Data'!$B$3:$B$14,0),MATCH(O111,'G-6 Hedgerow Data'!$K$2:$Q$2,0)))),"")</f>
        <v/>
      </c>
      <c r="Y111" s="159"/>
      <c r="Z111" s="159"/>
      <c r="AA111" s="370" t="str">
        <f t="shared" si="12"/>
        <v/>
      </c>
      <c r="AB111" s="383" t="str">
        <f t="shared" si="13"/>
        <v/>
      </c>
      <c r="AC111" s="384" t="str">
        <f t="shared" si="10"/>
        <v/>
      </c>
      <c r="AD111" s="398" t="str">
        <f>IF(M111="","",VLOOKUP(M111,'G-6 Hedgerow Data'!$B$3:$AG$15,31,FALSE))</f>
        <v/>
      </c>
      <c r="AE111" s="382" t="str">
        <f t="shared" si="14"/>
        <v/>
      </c>
      <c r="AF111" s="382" t="str">
        <f t="shared" si="15"/>
        <v/>
      </c>
      <c r="AG111" s="386" t="str">
        <f>IFERROR(IF(O111="","",VLOOKUP(AD111,'G-3 Multipliers'!$P$3:$Q$6,2,FALSE)),"")</f>
        <v/>
      </c>
      <c r="AH111" s="160"/>
      <c r="AI111" s="363" t="str">
        <f>IF(AH111="","",IF(VLOOKUP(AH111,'G-3 Multipliers'!$S$3:$T$10,2,FALSE)=0,"Spatial Data Missing ⚠",VLOOKUP(AH111,'G-3 Multipliers'!$S$3:$T$10,2,FALSE)))</f>
        <v/>
      </c>
      <c r="AJ111" s="405" t="str">
        <f t="shared" si="16"/>
        <v/>
      </c>
      <c r="AK111" s="376" t="str">
        <f t="shared" si="17"/>
        <v/>
      </c>
      <c r="AL111" s="117"/>
      <c r="AM111" s="118"/>
      <c r="AN111" s="120"/>
      <c r="AO111" s="120"/>
      <c r="AQ111" s="30" t="str">
        <f>IFERROR(INDEX('G-6 Hedgerow Data'!$BJ$3:$BJ$15,MATCH(M111,'G-6 Hedgerow Data'!$B$3:$B$15,0)),"")</f>
        <v/>
      </c>
    </row>
    <row r="112" spans="2:43" ht="15">
      <c r="B112" s="392" t="str">
        <f>'E-1 Off-Site Hedge Baseline'!AN110</f>
        <v/>
      </c>
      <c r="C112" s="382" t="str">
        <f>IF(B112="","",IF(ISNA(VLOOKUP($B112,'E-1 Off-Site Hedge Baseline'!$B$1:$L$257,3,FALSE)),"",(VLOOKUP($B112,'E-1 Off-Site Hedge Baseline'!$B$1:$L$257,3,FALSE))))</f>
        <v/>
      </c>
      <c r="D112" s="382" t="str">
        <f>IF(B112="","",IF(ISNA(VLOOKUP($B112,'E-1 Off-Site Hedge Baseline'!$B$1:$L$258,4,FALSE)),"",(VLOOKUP($B112,'E-1 Off-Site Hedge Baseline'!$B$1:$L$258,4,FALSE))))</f>
        <v/>
      </c>
      <c r="E112" s="382" t="str">
        <f>IF(B112="","",IF(ISNA(VLOOKUP($B112,'E-1 Off-Site Hedge Baseline'!$B$1:$L$257,5,FALSE)),"",(VLOOKUP($B112,'E-1 Off-Site Hedge Baseline'!$B$1:$L$257,5,FALSE))))</f>
        <v/>
      </c>
      <c r="F112" s="382" t="str">
        <f>IF(B112="","",IF(ISNA(VLOOKUP($B112,'E-1 Off-Site Hedge Baseline'!$B$1:$L$257,6,FALSE)),"",(VLOOKUP($B112,'E-1 Off-Site Hedge Baseline'!$B$1:$L$257,6,FALSE))))</f>
        <v/>
      </c>
      <c r="G112" s="382" t="str">
        <f>IF(B112="","",IF(ISNA(VLOOKUP($B112,'E-1 Off-Site Hedge Baseline'!$B$1:$L$257,7,FALSE)),"",(VLOOKUP($B112,'E-1 Off-Site Hedge Baseline'!$B$1:$L$257,7,FALSE))))</f>
        <v/>
      </c>
      <c r="H112" s="382" t="str">
        <f>IF(B112="","",IF(ISNA(VLOOKUP($B112,'E-1 Off-Site Hedge Baseline'!$B$1:$L$257,8,FALSE)),"",(VLOOKUP($B112,'E-1 Off-Site Hedge Baseline'!$B$1:$L$257,8,FALSE))))</f>
        <v/>
      </c>
      <c r="I112" s="382" t="str">
        <f>IF(B112="","",IF(ISNA(VLOOKUP($B112,'E-1 Off-Site Hedge Baseline'!$B$1:$L$257,10,FALSE)),"",(VLOOKUP($B112,'E-1 Off-Site Hedge Baseline'!$B$1:$L$257,10,FALSE))))</f>
        <v/>
      </c>
      <c r="J112" s="382" t="str">
        <f>IF(B112="","",IF(ISNA(VLOOKUP($B112,'E-1 Off-Site Hedge Baseline'!$B$1:$L$257,11,FALSE)),"",(VLOOKUP($B112,'E-1 Off-Site Hedge Baseline'!$B$1:$L$257,11,FALSE))))</f>
        <v/>
      </c>
      <c r="K112" s="382" t="str">
        <f>IF(B112="","",IF(ISNA(VLOOKUP($B112,'E-1 Off-Site Hedge Baseline'!$B$1:$X$257,113,FALSE)),"",(VLOOKUP($B112,'E-1 Off-Site Hedge Baseline'!$B$1:$X$257,13,FALSE))))</f>
        <v/>
      </c>
      <c r="L112" s="370" t="str">
        <f>IF(B112="","",IF(ISNA(VLOOKUP($B112,'E-1 Off-Site Hedge Baseline'!$B$1:$X$257,12,FALSE)),"",(VLOOKUP($B112,'E-1 Off-Site Hedge Baseline'!$B$1:$X$257,12,FALSE))))</f>
        <v/>
      </c>
      <c r="M112" s="316" t="str">
        <f t="shared" si="9"/>
        <v/>
      </c>
      <c r="N112" s="362" t="str">
        <f>IFERROR(IF(B112="","",INDEX('G-6 Hedgerow Data'!$AN$3:$AZ$15,MATCH(C112,'G-6 Hedgerow Data'!$AM$3:$AM$15,0),MATCH(M112,'G-6 Hedgerow Data'!$AN$2:$AZ$2,0))),"")</f>
        <v/>
      </c>
      <c r="O112" s="363" t="str">
        <f t="shared" si="11"/>
        <v/>
      </c>
      <c r="P112" s="368" t="str">
        <f>IF(B112="","",VLOOKUP(B112,'E-1 Off-Site Hedge Baseline'!$B$10:W357,19,FALSE))</f>
        <v/>
      </c>
      <c r="Q112" s="362" t="str">
        <f>IF(M112="","",VLOOKUP(M112,'G-6 Hedgerow Data'!$B$2:$AG$15,2,FALSE))</f>
        <v/>
      </c>
      <c r="R112" s="363" t="str">
        <f>IF(M112="","",VLOOKUP(M112,'G-6 Hedgerow Data'!$B$2:$AG$15,3,FALSE))</f>
        <v/>
      </c>
      <c r="S112" s="114"/>
      <c r="T112" s="363" t="str">
        <f>IFERROR(IF(AND(Q112="V.Low",OR(S112="Good",S112="Moderate")),"Error ▲",VLOOKUP(S112,'G-1 All Habitats'!$Z$2:$AA$9,2,FALSE)),"")</f>
        <v/>
      </c>
      <c r="U112" s="114"/>
      <c r="V112" s="370" t="str">
        <f>IF(U112="","",IF(VLOOKUP(U112,'G-3 Multipliers'!$L$3:$N$6,2,FALSE)=0,"Spatial Data Missing ⚠",VLOOKUP(U112,'G-3 Multipliers'!$L$3:$N$6,2,FALSE)))</f>
        <v/>
      </c>
      <c r="W112" s="368" t="str">
        <f>IF(U112="","",IF(VLOOKUP(U112,'G-3 Multipliers'!$L$3:$N$6,3,FALSE)=0,"Spatial Data Missing ⚠",VLOOKUP(U112,'G-3 Multipliers'!$L$3:$N$6,3,FALSE)))</f>
        <v/>
      </c>
      <c r="X112" s="362" t="str">
        <f>IFERROR(IF(OR(LEFT(O112,5)="Error",LEFT(N112,5)="Error",T112="Error"),"Check Data ⚠",IF(F112&lt;R112,INDEX('G-6 Hedgerow Data'!$S$3:$AE$14,MATCH(C112,'G-6 Hedgerow Data'!$B$3:$B$14,0),MATCH(M112,'G-6 Hedgerow Data'!$S$2:$AE$2,0)),INDEX('G-6 Hedgerow Data'!$K$3:$Q$14,MATCH(M112,'G-6 Hedgerow Data'!$B$3:$B$14,0),MATCH(O112,'G-6 Hedgerow Data'!$K$2:$Q$2,0)))),"")</f>
        <v/>
      </c>
      <c r="Y112" s="159"/>
      <c r="Z112" s="159"/>
      <c r="AA112" s="370" t="str">
        <f t="shared" si="12"/>
        <v/>
      </c>
      <c r="AB112" s="383" t="str">
        <f t="shared" si="13"/>
        <v/>
      </c>
      <c r="AC112" s="384" t="str">
        <f t="shared" si="10"/>
        <v/>
      </c>
      <c r="AD112" s="398" t="str">
        <f>IF(M112="","",VLOOKUP(M112,'G-6 Hedgerow Data'!$B$3:$AG$15,31,FALSE))</f>
        <v/>
      </c>
      <c r="AE112" s="382" t="str">
        <f t="shared" si="14"/>
        <v/>
      </c>
      <c r="AF112" s="382" t="str">
        <f t="shared" si="15"/>
        <v/>
      </c>
      <c r="AG112" s="386" t="str">
        <f>IFERROR(IF(O112="","",VLOOKUP(AD112,'G-3 Multipliers'!$P$3:$Q$6,2,FALSE)),"")</f>
        <v/>
      </c>
      <c r="AH112" s="160"/>
      <c r="AI112" s="363" t="str">
        <f>IF(AH112="","",IF(VLOOKUP(AH112,'G-3 Multipliers'!$S$3:$T$10,2,FALSE)=0,"Spatial Data Missing ⚠",VLOOKUP(AH112,'G-3 Multipliers'!$S$3:$T$10,2,FALSE)))</f>
        <v/>
      </c>
      <c r="AJ112" s="405" t="str">
        <f t="shared" si="16"/>
        <v/>
      </c>
      <c r="AK112" s="376" t="str">
        <f t="shared" si="17"/>
        <v/>
      </c>
      <c r="AL112" s="117"/>
      <c r="AM112" s="118"/>
      <c r="AN112" s="120"/>
      <c r="AO112" s="120"/>
      <c r="AQ112" s="30" t="str">
        <f>IFERROR(INDEX('G-6 Hedgerow Data'!$BJ$3:$BJ$15,MATCH(M112,'G-6 Hedgerow Data'!$B$3:$B$15,0)),"")</f>
        <v/>
      </c>
    </row>
    <row r="113" spans="2:43" ht="15">
      <c r="B113" s="392" t="str">
        <f>'E-1 Off-Site Hedge Baseline'!AN111</f>
        <v/>
      </c>
      <c r="C113" s="382" t="str">
        <f>IF(B113="","",IF(ISNA(VLOOKUP($B113,'E-1 Off-Site Hedge Baseline'!$B$1:$L$257,3,FALSE)),"",(VLOOKUP($B113,'E-1 Off-Site Hedge Baseline'!$B$1:$L$257,3,FALSE))))</f>
        <v/>
      </c>
      <c r="D113" s="382" t="str">
        <f>IF(B113="","",IF(ISNA(VLOOKUP($B113,'E-1 Off-Site Hedge Baseline'!$B$1:$L$258,4,FALSE)),"",(VLOOKUP($B113,'E-1 Off-Site Hedge Baseline'!$B$1:$L$258,4,FALSE))))</f>
        <v/>
      </c>
      <c r="E113" s="382" t="str">
        <f>IF(B113="","",IF(ISNA(VLOOKUP($B113,'E-1 Off-Site Hedge Baseline'!$B$1:$L$257,5,FALSE)),"",(VLOOKUP($B113,'E-1 Off-Site Hedge Baseline'!$B$1:$L$257,5,FALSE))))</f>
        <v/>
      </c>
      <c r="F113" s="382" t="str">
        <f>IF(B113="","",IF(ISNA(VLOOKUP($B113,'E-1 Off-Site Hedge Baseline'!$B$1:$L$257,6,FALSE)),"",(VLOOKUP($B113,'E-1 Off-Site Hedge Baseline'!$B$1:$L$257,6,FALSE))))</f>
        <v/>
      </c>
      <c r="G113" s="382" t="str">
        <f>IF(B113="","",IF(ISNA(VLOOKUP($B113,'E-1 Off-Site Hedge Baseline'!$B$1:$L$257,7,FALSE)),"",(VLOOKUP($B113,'E-1 Off-Site Hedge Baseline'!$B$1:$L$257,7,FALSE))))</f>
        <v/>
      </c>
      <c r="H113" s="382" t="str">
        <f>IF(B113="","",IF(ISNA(VLOOKUP($B113,'E-1 Off-Site Hedge Baseline'!$B$1:$L$257,8,FALSE)),"",(VLOOKUP($B113,'E-1 Off-Site Hedge Baseline'!$B$1:$L$257,8,FALSE))))</f>
        <v/>
      </c>
      <c r="I113" s="382" t="str">
        <f>IF(B113="","",IF(ISNA(VLOOKUP($B113,'E-1 Off-Site Hedge Baseline'!$B$1:$L$257,10,FALSE)),"",(VLOOKUP($B113,'E-1 Off-Site Hedge Baseline'!$B$1:$L$257,10,FALSE))))</f>
        <v/>
      </c>
      <c r="J113" s="382" t="str">
        <f>IF(B113="","",IF(ISNA(VLOOKUP($B113,'E-1 Off-Site Hedge Baseline'!$B$1:$L$257,11,FALSE)),"",(VLOOKUP($B113,'E-1 Off-Site Hedge Baseline'!$B$1:$L$257,11,FALSE))))</f>
        <v/>
      </c>
      <c r="K113" s="382" t="str">
        <f>IF(B113="","",IF(ISNA(VLOOKUP($B113,'E-1 Off-Site Hedge Baseline'!$B$1:$X$257,113,FALSE)),"",(VLOOKUP($B113,'E-1 Off-Site Hedge Baseline'!$B$1:$X$257,13,FALSE))))</f>
        <v/>
      </c>
      <c r="L113" s="370" t="str">
        <f>IF(B113="","",IF(ISNA(VLOOKUP($B113,'E-1 Off-Site Hedge Baseline'!$B$1:$X$257,12,FALSE)),"",(VLOOKUP($B113,'E-1 Off-Site Hedge Baseline'!$B$1:$X$257,12,FALSE))))</f>
        <v/>
      </c>
      <c r="M113" s="316" t="str">
        <f t="shared" si="9"/>
        <v/>
      </c>
      <c r="N113" s="362" t="str">
        <f>IFERROR(IF(B113="","",INDEX('G-6 Hedgerow Data'!$AN$3:$AZ$15,MATCH(C113,'G-6 Hedgerow Data'!$AM$3:$AM$15,0),MATCH(M113,'G-6 Hedgerow Data'!$AN$2:$AZ$2,0))),"")</f>
        <v/>
      </c>
      <c r="O113" s="363" t="str">
        <f t="shared" si="11"/>
        <v/>
      </c>
      <c r="P113" s="368" t="str">
        <f>IF(B113="","",VLOOKUP(B113,'E-1 Off-Site Hedge Baseline'!$B$10:W358,19,FALSE))</f>
        <v/>
      </c>
      <c r="Q113" s="362" t="str">
        <f>IF(M113="","",VLOOKUP(M113,'G-6 Hedgerow Data'!$B$2:$AG$15,2,FALSE))</f>
        <v/>
      </c>
      <c r="R113" s="363" t="str">
        <f>IF(M113="","",VLOOKUP(M113,'G-6 Hedgerow Data'!$B$2:$AG$15,3,FALSE))</f>
        <v/>
      </c>
      <c r="S113" s="114"/>
      <c r="T113" s="363" t="str">
        <f>IFERROR(IF(AND(Q113="V.Low",OR(S113="Good",S113="Moderate")),"Error ▲",VLOOKUP(S113,'G-1 All Habitats'!$Z$2:$AA$9,2,FALSE)),"")</f>
        <v/>
      </c>
      <c r="U113" s="114"/>
      <c r="V113" s="370" t="str">
        <f>IF(U113="","",IF(VLOOKUP(U113,'G-3 Multipliers'!$L$3:$N$6,2,FALSE)=0,"Spatial Data Missing ⚠",VLOOKUP(U113,'G-3 Multipliers'!$L$3:$N$6,2,FALSE)))</f>
        <v/>
      </c>
      <c r="W113" s="368" t="str">
        <f>IF(U113="","",IF(VLOOKUP(U113,'G-3 Multipliers'!$L$3:$N$6,3,FALSE)=0,"Spatial Data Missing ⚠",VLOOKUP(U113,'G-3 Multipliers'!$L$3:$N$6,3,FALSE)))</f>
        <v/>
      </c>
      <c r="X113" s="362" t="str">
        <f>IFERROR(IF(OR(LEFT(O113,5)="Error",LEFT(N113,5)="Error",T113="Error"),"Check Data ⚠",IF(F113&lt;R113,INDEX('G-6 Hedgerow Data'!$S$3:$AE$14,MATCH(C113,'G-6 Hedgerow Data'!$B$3:$B$14,0),MATCH(M113,'G-6 Hedgerow Data'!$S$2:$AE$2,0)),INDEX('G-6 Hedgerow Data'!$K$3:$Q$14,MATCH(M113,'G-6 Hedgerow Data'!$B$3:$B$14,0),MATCH(O113,'G-6 Hedgerow Data'!$K$2:$Q$2,0)))),"")</f>
        <v/>
      </c>
      <c r="Y113" s="159"/>
      <c r="Z113" s="159"/>
      <c r="AA113" s="370" t="str">
        <f t="shared" si="12"/>
        <v/>
      </c>
      <c r="AB113" s="383" t="str">
        <f t="shared" si="13"/>
        <v/>
      </c>
      <c r="AC113" s="384" t="str">
        <f t="shared" si="10"/>
        <v/>
      </c>
      <c r="AD113" s="398" t="str">
        <f>IF(M113="","",VLOOKUP(M113,'G-6 Hedgerow Data'!$B$3:$AG$15,31,FALSE))</f>
        <v/>
      </c>
      <c r="AE113" s="382" t="str">
        <f t="shared" si="14"/>
        <v/>
      </c>
      <c r="AF113" s="382" t="str">
        <f t="shared" si="15"/>
        <v/>
      </c>
      <c r="AG113" s="386" t="str">
        <f>IFERROR(IF(O113="","",VLOOKUP(AD113,'G-3 Multipliers'!$P$3:$Q$6,2,FALSE)),"")</f>
        <v/>
      </c>
      <c r="AH113" s="160"/>
      <c r="AI113" s="363" t="str">
        <f>IF(AH113="","",IF(VLOOKUP(AH113,'G-3 Multipliers'!$S$3:$T$10,2,FALSE)=0,"Spatial Data Missing ⚠",VLOOKUP(AH113,'G-3 Multipliers'!$S$3:$T$10,2,FALSE)))</f>
        <v/>
      </c>
      <c r="AJ113" s="405" t="str">
        <f t="shared" si="16"/>
        <v/>
      </c>
      <c r="AK113" s="376" t="str">
        <f t="shared" si="17"/>
        <v/>
      </c>
      <c r="AL113" s="117"/>
      <c r="AM113" s="118"/>
      <c r="AN113" s="120"/>
      <c r="AO113" s="120"/>
      <c r="AQ113" s="30" t="str">
        <f>IFERROR(INDEX('G-6 Hedgerow Data'!$BJ$3:$BJ$15,MATCH(M113,'G-6 Hedgerow Data'!$B$3:$B$15,0)),"")</f>
        <v/>
      </c>
    </row>
    <row r="114" spans="2:43" ht="15">
      <c r="B114" s="392" t="str">
        <f>'E-1 Off-Site Hedge Baseline'!AN112</f>
        <v/>
      </c>
      <c r="C114" s="382" t="str">
        <f>IF(B114="","",IF(ISNA(VLOOKUP($B114,'E-1 Off-Site Hedge Baseline'!$B$1:$L$257,3,FALSE)),"",(VLOOKUP($B114,'E-1 Off-Site Hedge Baseline'!$B$1:$L$257,3,FALSE))))</f>
        <v/>
      </c>
      <c r="D114" s="382" t="str">
        <f>IF(B114="","",IF(ISNA(VLOOKUP($B114,'E-1 Off-Site Hedge Baseline'!$B$1:$L$258,4,FALSE)),"",(VLOOKUP($B114,'E-1 Off-Site Hedge Baseline'!$B$1:$L$258,4,FALSE))))</f>
        <v/>
      </c>
      <c r="E114" s="382" t="str">
        <f>IF(B114="","",IF(ISNA(VLOOKUP($B114,'E-1 Off-Site Hedge Baseline'!$B$1:$L$257,5,FALSE)),"",(VLOOKUP($B114,'E-1 Off-Site Hedge Baseline'!$B$1:$L$257,5,FALSE))))</f>
        <v/>
      </c>
      <c r="F114" s="382" t="str">
        <f>IF(B114="","",IF(ISNA(VLOOKUP($B114,'E-1 Off-Site Hedge Baseline'!$B$1:$L$257,6,FALSE)),"",(VLOOKUP($B114,'E-1 Off-Site Hedge Baseline'!$B$1:$L$257,6,FALSE))))</f>
        <v/>
      </c>
      <c r="G114" s="382" t="str">
        <f>IF(B114="","",IF(ISNA(VLOOKUP($B114,'E-1 Off-Site Hedge Baseline'!$B$1:$L$257,7,FALSE)),"",(VLOOKUP($B114,'E-1 Off-Site Hedge Baseline'!$B$1:$L$257,7,FALSE))))</f>
        <v/>
      </c>
      <c r="H114" s="382" t="str">
        <f>IF(B114="","",IF(ISNA(VLOOKUP($B114,'E-1 Off-Site Hedge Baseline'!$B$1:$L$257,8,FALSE)),"",(VLOOKUP($B114,'E-1 Off-Site Hedge Baseline'!$B$1:$L$257,8,FALSE))))</f>
        <v/>
      </c>
      <c r="I114" s="382" t="str">
        <f>IF(B114="","",IF(ISNA(VLOOKUP($B114,'E-1 Off-Site Hedge Baseline'!$B$1:$L$257,10,FALSE)),"",(VLOOKUP($B114,'E-1 Off-Site Hedge Baseline'!$B$1:$L$257,10,FALSE))))</f>
        <v/>
      </c>
      <c r="J114" s="382" t="str">
        <f>IF(B114="","",IF(ISNA(VLOOKUP($B114,'E-1 Off-Site Hedge Baseline'!$B$1:$L$257,11,FALSE)),"",(VLOOKUP($B114,'E-1 Off-Site Hedge Baseline'!$B$1:$L$257,11,FALSE))))</f>
        <v/>
      </c>
      <c r="K114" s="382" t="str">
        <f>IF(B114="","",IF(ISNA(VLOOKUP($B114,'E-1 Off-Site Hedge Baseline'!$B$1:$X$257,113,FALSE)),"",(VLOOKUP($B114,'E-1 Off-Site Hedge Baseline'!$B$1:$X$257,13,FALSE))))</f>
        <v/>
      </c>
      <c r="L114" s="370" t="str">
        <f>IF(B114="","",IF(ISNA(VLOOKUP($B114,'E-1 Off-Site Hedge Baseline'!$B$1:$X$257,12,FALSE)),"",(VLOOKUP($B114,'E-1 Off-Site Hedge Baseline'!$B$1:$X$257,12,FALSE))))</f>
        <v/>
      </c>
      <c r="M114" s="316" t="str">
        <f t="shared" si="9"/>
        <v/>
      </c>
      <c r="N114" s="362" t="str">
        <f>IFERROR(IF(B114="","",INDEX('G-6 Hedgerow Data'!$AN$3:$AZ$15,MATCH(C114,'G-6 Hedgerow Data'!$AM$3:$AM$15,0),MATCH(M114,'G-6 Hedgerow Data'!$AN$2:$AZ$2,0))),"")</f>
        <v/>
      </c>
      <c r="O114" s="363" t="str">
        <f t="shared" si="11"/>
        <v/>
      </c>
      <c r="P114" s="368" t="str">
        <f>IF(B114="","",VLOOKUP(B114,'E-1 Off-Site Hedge Baseline'!$B$10:W359,19,FALSE))</f>
        <v/>
      </c>
      <c r="Q114" s="362" t="str">
        <f>IF(M114="","",VLOOKUP(M114,'G-6 Hedgerow Data'!$B$2:$AG$15,2,FALSE))</f>
        <v/>
      </c>
      <c r="R114" s="363" t="str">
        <f>IF(M114="","",VLOOKUP(M114,'G-6 Hedgerow Data'!$B$2:$AG$15,3,FALSE))</f>
        <v/>
      </c>
      <c r="S114" s="114"/>
      <c r="T114" s="363" t="str">
        <f>IFERROR(IF(AND(Q114="V.Low",OR(S114="Good",S114="Moderate")),"Error ▲",VLOOKUP(S114,'G-1 All Habitats'!$Z$2:$AA$9,2,FALSE)),"")</f>
        <v/>
      </c>
      <c r="U114" s="114"/>
      <c r="V114" s="370" t="str">
        <f>IF(U114="","",IF(VLOOKUP(U114,'G-3 Multipliers'!$L$3:$N$6,2,FALSE)=0,"Spatial Data Missing ⚠",VLOOKUP(U114,'G-3 Multipliers'!$L$3:$N$6,2,FALSE)))</f>
        <v/>
      </c>
      <c r="W114" s="368" t="str">
        <f>IF(U114="","",IF(VLOOKUP(U114,'G-3 Multipliers'!$L$3:$N$6,3,FALSE)=0,"Spatial Data Missing ⚠",VLOOKUP(U114,'G-3 Multipliers'!$L$3:$N$6,3,FALSE)))</f>
        <v/>
      </c>
      <c r="X114" s="362" t="str">
        <f>IFERROR(IF(OR(LEFT(O114,5)="Error",LEFT(N114,5)="Error",T114="Error"),"Check Data ⚠",IF(F114&lt;R114,INDEX('G-6 Hedgerow Data'!$S$3:$AE$14,MATCH(C114,'G-6 Hedgerow Data'!$B$3:$B$14,0),MATCH(M114,'G-6 Hedgerow Data'!$S$2:$AE$2,0)),INDEX('G-6 Hedgerow Data'!$K$3:$Q$14,MATCH(M114,'G-6 Hedgerow Data'!$B$3:$B$14,0),MATCH(O114,'G-6 Hedgerow Data'!$K$2:$Q$2,0)))),"")</f>
        <v/>
      </c>
      <c r="Y114" s="159"/>
      <c r="Z114" s="159"/>
      <c r="AA114" s="370" t="str">
        <f t="shared" si="12"/>
        <v/>
      </c>
      <c r="AB114" s="383" t="str">
        <f t="shared" si="13"/>
        <v/>
      </c>
      <c r="AC114" s="384" t="str">
        <f t="shared" si="10"/>
        <v/>
      </c>
      <c r="AD114" s="398" t="str">
        <f>IF(M114="","",VLOOKUP(M114,'G-6 Hedgerow Data'!$B$3:$AG$15,31,FALSE))</f>
        <v/>
      </c>
      <c r="AE114" s="382" t="str">
        <f t="shared" si="14"/>
        <v/>
      </c>
      <c r="AF114" s="382" t="str">
        <f t="shared" si="15"/>
        <v/>
      </c>
      <c r="AG114" s="386" t="str">
        <f>IFERROR(IF(O114="","",VLOOKUP(AD114,'G-3 Multipliers'!$P$3:$Q$6,2,FALSE)),"")</f>
        <v/>
      </c>
      <c r="AH114" s="160"/>
      <c r="AI114" s="363" t="str">
        <f>IF(AH114="","",IF(VLOOKUP(AH114,'G-3 Multipliers'!$S$3:$T$10,2,FALSE)=0,"Spatial Data Missing ⚠",VLOOKUP(AH114,'G-3 Multipliers'!$S$3:$T$10,2,FALSE)))</f>
        <v/>
      </c>
      <c r="AJ114" s="405" t="str">
        <f t="shared" si="16"/>
        <v/>
      </c>
      <c r="AK114" s="376" t="str">
        <f t="shared" si="17"/>
        <v/>
      </c>
      <c r="AL114" s="117"/>
      <c r="AM114" s="118"/>
      <c r="AN114" s="120"/>
      <c r="AO114" s="120"/>
      <c r="AQ114" s="30" t="str">
        <f>IFERROR(INDEX('G-6 Hedgerow Data'!$BJ$3:$BJ$15,MATCH(M114,'G-6 Hedgerow Data'!$B$3:$B$15,0)),"")</f>
        <v/>
      </c>
    </row>
    <row r="115" spans="2:43" ht="15">
      <c r="B115" s="392" t="str">
        <f>'E-1 Off-Site Hedge Baseline'!AN113</f>
        <v/>
      </c>
      <c r="C115" s="382" t="str">
        <f>IF(B115="","",IF(ISNA(VLOOKUP($B115,'E-1 Off-Site Hedge Baseline'!$B$1:$L$257,3,FALSE)),"",(VLOOKUP($B115,'E-1 Off-Site Hedge Baseline'!$B$1:$L$257,3,FALSE))))</f>
        <v/>
      </c>
      <c r="D115" s="382" t="str">
        <f>IF(B115="","",IF(ISNA(VLOOKUP($B115,'E-1 Off-Site Hedge Baseline'!$B$1:$L$258,4,FALSE)),"",(VLOOKUP($B115,'E-1 Off-Site Hedge Baseline'!$B$1:$L$258,4,FALSE))))</f>
        <v/>
      </c>
      <c r="E115" s="382" t="str">
        <f>IF(B115="","",IF(ISNA(VLOOKUP($B115,'E-1 Off-Site Hedge Baseline'!$B$1:$L$257,5,FALSE)),"",(VLOOKUP($B115,'E-1 Off-Site Hedge Baseline'!$B$1:$L$257,5,FALSE))))</f>
        <v/>
      </c>
      <c r="F115" s="382" t="str">
        <f>IF(B115="","",IF(ISNA(VLOOKUP($B115,'E-1 Off-Site Hedge Baseline'!$B$1:$L$257,6,FALSE)),"",(VLOOKUP($B115,'E-1 Off-Site Hedge Baseline'!$B$1:$L$257,6,FALSE))))</f>
        <v/>
      </c>
      <c r="G115" s="382" t="str">
        <f>IF(B115="","",IF(ISNA(VLOOKUP($B115,'E-1 Off-Site Hedge Baseline'!$B$1:$L$257,7,FALSE)),"",(VLOOKUP($B115,'E-1 Off-Site Hedge Baseline'!$B$1:$L$257,7,FALSE))))</f>
        <v/>
      </c>
      <c r="H115" s="382" t="str">
        <f>IF(B115="","",IF(ISNA(VLOOKUP($B115,'E-1 Off-Site Hedge Baseline'!$B$1:$L$257,8,FALSE)),"",(VLOOKUP($B115,'E-1 Off-Site Hedge Baseline'!$B$1:$L$257,8,FALSE))))</f>
        <v/>
      </c>
      <c r="I115" s="382" t="str">
        <f>IF(B115="","",IF(ISNA(VLOOKUP($B115,'E-1 Off-Site Hedge Baseline'!$B$1:$L$257,10,FALSE)),"",(VLOOKUP($B115,'E-1 Off-Site Hedge Baseline'!$B$1:$L$257,10,FALSE))))</f>
        <v/>
      </c>
      <c r="J115" s="382" t="str">
        <f>IF(B115="","",IF(ISNA(VLOOKUP($B115,'E-1 Off-Site Hedge Baseline'!$B$1:$L$257,11,FALSE)),"",(VLOOKUP($B115,'E-1 Off-Site Hedge Baseline'!$B$1:$L$257,11,FALSE))))</f>
        <v/>
      </c>
      <c r="K115" s="382" t="str">
        <f>IF(B115="","",IF(ISNA(VLOOKUP($B115,'E-1 Off-Site Hedge Baseline'!$B$1:$X$257,113,FALSE)),"",(VLOOKUP($B115,'E-1 Off-Site Hedge Baseline'!$B$1:$X$257,13,FALSE))))</f>
        <v/>
      </c>
      <c r="L115" s="370" t="str">
        <f>IF(B115="","",IF(ISNA(VLOOKUP($B115,'E-1 Off-Site Hedge Baseline'!$B$1:$X$257,12,FALSE)),"",(VLOOKUP($B115,'E-1 Off-Site Hedge Baseline'!$B$1:$X$257,12,FALSE))))</f>
        <v/>
      </c>
      <c r="M115" s="316" t="str">
        <f t="shared" si="9"/>
        <v/>
      </c>
      <c r="N115" s="362" t="str">
        <f>IFERROR(IF(B115="","",INDEX('G-6 Hedgerow Data'!$AN$3:$AZ$15,MATCH(C115,'G-6 Hedgerow Data'!$AM$3:$AM$15,0),MATCH(M115,'G-6 Hedgerow Data'!$AN$2:$AZ$2,0))),"")</f>
        <v/>
      </c>
      <c r="O115" s="363" t="str">
        <f t="shared" si="11"/>
        <v/>
      </c>
      <c r="P115" s="368" t="str">
        <f>IF(B115="","",VLOOKUP(B115,'E-1 Off-Site Hedge Baseline'!$B$10:W360,19,FALSE))</f>
        <v/>
      </c>
      <c r="Q115" s="362" t="str">
        <f>IF(M115="","",VLOOKUP(M115,'G-6 Hedgerow Data'!$B$2:$AG$15,2,FALSE))</f>
        <v/>
      </c>
      <c r="R115" s="363" t="str">
        <f>IF(M115="","",VLOOKUP(M115,'G-6 Hedgerow Data'!$B$2:$AG$15,3,FALSE))</f>
        <v/>
      </c>
      <c r="S115" s="114"/>
      <c r="T115" s="363" t="str">
        <f>IFERROR(IF(AND(Q115="V.Low",OR(S115="Good",S115="Moderate")),"Error ▲",VLOOKUP(S115,'G-1 All Habitats'!$Z$2:$AA$9,2,FALSE)),"")</f>
        <v/>
      </c>
      <c r="U115" s="114"/>
      <c r="V115" s="370" t="str">
        <f>IF(U115="","",IF(VLOOKUP(U115,'G-3 Multipliers'!$L$3:$N$6,2,FALSE)=0,"Spatial Data Missing ⚠",VLOOKUP(U115,'G-3 Multipliers'!$L$3:$N$6,2,FALSE)))</f>
        <v/>
      </c>
      <c r="W115" s="368" t="str">
        <f>IF(U115="","",IF(VLOOKUP(U115,'G-3 Multipliers'!$L$3:$N$6,3,FALSE)=0,"Spatial Data Missing ⚠",VLOOKUP(U115,'G-3 Multipliers'!$L$3:$N$6,3,FALSE)))</f>
        <v/>
      </c>
      <c r="X115" s="362" t="str">
        <f>IFERROR(IF(OR(LEFT(O115,5)="Error",LEFT(N115,5)="Error",T115="Error"),"Check Data ⚠",IF(F115&lt;R115,INDEX('G-6 Hedgerow Data'!$S$3:$AE$14,MATCH(C115,'G-6 Hedgerow Data'!$B$3:$B$14,0),MATCH(M115,'G-6 Hedgerow Data'!$S$2:$AE$2,0)),INDEX('G-6 Hedgerow Data'!$K$3:$Q$14,MATCH(M115,'G-6 Hedgerow Data'!$B$3:$B$14,0),MATCH(O115,'G-6 Hedgerow Data'!$K$2:$Q$2,0)))),"")</f>
        <v/>
      </c>
      <c r="Y115" s="159"/>
      <c r="Z115" s="159"/>
      <c r="AA115" s="370" t="str">
        <f t="shared" si="12"/>
        <v/>
      </c>
      <c r="AB115" s="383" t="str">
        <f t="shared" si="13"/>
        <v/>
      </c>
      <c r="AC115" s="384" t="str">
        <f t="shared" si="10"/>
        <v/>
      </c>
      <c r="AD115" s="398" t="str">
        <f>IF(M115="","",VLOOKUP(M115,'G-6 Hedgerow Data'!$B$3:$AG$15,31,FALSE))</f>
        <v/>
      </c>
      <c r="AE115" s="382" t="str">
        <f t="shared" si="14"/>
        <v/>
      </c>
      <c r="AF115" s="382" t="str">
        <f t="shared" si="15"/>
        <v/>
      </c>
      <c r="AG115" s="386" t="str">
        <f>IFERROR(IF(O115="","",VLOOKUP(AD115,'G-3 Multipliers'!$P$3:$Q$6,2,FALSE)),"")</f>
        <v/>
      </c>
      <c r="AH115" s="160"/>
      <c r="AI115" s="363" t="str">
        <f>IF(AH115="","",IF(VLOOKUP(AH115,'G-3 Multipliers'!$S$3:$T$10,2,FALSE)=0,"Spatial Data Missing ⚠",VLOOKUP(AH115,'G-3 Multipliers'!$S$3:$T$10,2,FALSE)))</f>
        <v/>
      </c>
      <c r="AJ115" s="405" t="str">
        <f t="shared" si="16"/>
        <v/>
      </c>
      <c r="AK115" s="376" t="str">
        <f t="shared" si="17"/>
        <v/>
      </c>
      <c r="AL115" s="117"/>
      <c r="AM115" s="118"/>
      <c r="AN115" s="120"/>
      <c r="AO115" s="120"/>
      <c r="AQ115" s="30" t="str">
        <f>IFERROR(INDEX('G-6 Hedgerow Data'!$BJ$3:$BJ$15,MATCH(M115,'G-6 Hedgerow Data'!$B$3:$B$15,0)),"")</f>
        <v/>
      </c>
    </row>
    <row r="116" spans="2:43" ht="15">
      <c r="B116" s="392" t="str">
        <f>'E-1 Off-Site Hedge Baseline'!AN114</f>
        <v/>
      </c>
      <c r="C116" s="382" t="str">
        <f>IF(B116="","",IF(ISNA(VLOOKUP($B116,'E-1 Off-Site Hedge Baseline'!$B$1:$L$257,3,FALSE)),"",(VLOOKUP($B116,'E-1 Off-Site Hedge Baseline'!$B$1:$L$257,3,FALSE))))</f>
        <v/>
      </c>
      <c r="D116" s="382" t="str">
        <f>IF(B116="","",IF(ISNA(VLOOKUP($B116,'E-1 Off-Site Hedge Baseline'!$B$1:$L$258,4,FALSE)),"",(VLOOKUP($B116,'E-1 Off-Site Hedge Baseline'!$B$1:$L$258,4,FALSE))))</f>
        <v/>
      </c>
      <c r="E116" s="382" t="str">
        <f>IF(B116="","",IF(ISNA(VLOOKUP($B116,'E-1 Off-Site Hedge Baseline'!$B$1:$L$257,5,FALSE)),"",(VLOOKUP($B116,'E-1 Off-Site Hedge Baseline'!$B$1:$L$257,5,FALSE))))</f>
        <v/>
      </c>
      <c r="F116" s="382" t="str">
        <f>IF(B116="","",IF(ISNA(VLOOKUP($B116,'E-1 Off-Site Hedge Baseline'!$B$1:$L$257,6,FALSE)),"",(VLOOKUP($B116,'E-1 Off-Site Hedge Baseline'!$B$1:$L$257,6,FALSE))))</f>
        <v/>
      </c>
      <c r="G116" s="382" t="str">
        <f>IF(B116="","",IF(ISNA(VLOOKUP($B116,'E-1 Off-Site Hedge Baseline'!$B$1:$L$257,7,FALSE)),"",(VLOOKUP($B116,'E-1 Off-Site Hedge Baseline'!$B$1:$L$257,7,FALSE))))</f>
        <v/>
      </c>
      <c r="H116" s="382" t="str">
        <f>IF(B116="","",IF(ISNA(VLOOKUP($B116,'E-1 Off-Site Hedge Baseline'!$B$1:$L$257,8,FALSE)),"",(VLOOKUP($B116,'E-1 Off-Site Hedge Baseline'!$B$1:$L$257,8,FALSE))))</f>
        <v/>
      </c>
      <c r="I116" s="382" t="str">
        <f>IF(B116="","",IF(ISNA(VLOOKUP($B116,'E-1 Off-Site Hedge Baseline'!$B$1:$L$257,10,FALSE)),"",(VLOOKUP($B116,'E-1 Off-Site Hedge Baseline'!$B$1:$L$257,10,FALSE))))</f>
        <v/>
      </c>
      <c r="J116" s="382" t="str">
        <f>IF(B116="","",IF(ISNA(VLOOKUP($B116,'E-1 Off-Site Hedge Baseline'!$B$1:$L$257,11,FALSE)),"",(VLOOKUP($B116,'E-1 Off-Site Hedge Baseline'!$B$1:$L$257,11,FALSE))))</f>
        <v/>
      </c>
      <c r="K116" s="382" t="str">
        <f>IF(B116="","",IF(ISNA(VLOOKUP($B116,'E-1 Off-Site Hedge Baseline'!$B$1:$X$257,113,FALSE)),"",(VLOOKUP($B116,'E-1 Off-Site Hedge Baseline'!$B$1:$X$257,13,FALSE))))</f>
        <v/>
      </c>
      <c r="L116" s="370" t="str">
        <f>IF(B116="","",IF(ISNA(VLOOKUP($B116,'E-1 Off-Site Hedge Baseline'!$B$1:$X$257,12,FALSE)),"",(VLOOKUP($B116,'E-1 Off-Site Hedge Baseline'!$B$1:$X$257,12,FALSE))))</f>
        <v/>
      </c>
      <c r="M116" s="316" t="str">
        <f t="shared" si="9"/>
        <v/>
      </c>
      <c r="N116" s="362" t="str">
        <f>IFERROR(IF(B116="","",INDEX('G-6 Hedgerow Data'!$AN$3:$AZ$15,MATCH(C116,'G-6 Hedgerow Data'!$AM$3:$AM$15,0),MATCH(M116,'G-6 Hedgerow Data'!$AN$2:$AZ$2,0))),"")</f>
        <v/>
      </c>
      <c r="O116" s="363" t="str">
        <f t="shared" si="11"/>
        <v/>
      </c>
      <c r="P116" s="368" t="str">
        <f>IF(B116="","",VLOOKUP(B116,'E-1 Off-Site Hedge Baseline'!$B$10:W361,19,FALSE))</f>
        <v/>
      </c>
      <c r="Q116" s="362" t="str">
        <f>IF(M116="","",VLOOKUP(M116,'G-6 Hedgerow Data'!$B$2:$AG$15,2,FALSE))</f>
        <v/>
      </c>
      <c r="R116" s="363" t="str">
        <f>IF(M116="","",VLOOKUP(M116,'G-6 Hedgerow Data'!$B$2:$AG$15,3,FALSE))</f>
        <v/>
      </c>
      <c r="S116" s="114"/>
      <c r="T116" s="363" t="str">
        <f>IFERROR(IF(AND(Q116="V.Low",OR(S116="Good",S116="Moderate")),"Error ▲",VLOOKUP(S116,'G-1 All Habitats'!$Z$2:$AA$9,2,FALSE)),"")</f>
        <v/>
      </c>
      <c r="U116" s="114"/>
      <c r="V116" s="370" t="str">
        <f>IF(U116="","",IF(VLOOKUP(U116,'G-3 Multipliers'!$L$3:$N$6,2,FALSE)=0,"Spatial Data Missing ⚠",VLOOKUP(U116,'G-3 Multipliers'!$L$3:$N$6,2,FALSE)))</f>
        <v/>
      </c>
      <c r="W116" s="368" t="str">
        <f>IF(U116="","",IF(VLOOKUP(U116,'G-3 Multipliers'!$L$3:$N$6,3,FALSE)=0,"Spatial Data Missing ⚠",VLOOKUP(U116,'G-3 Multipliers'!$L$3:$N$6,3,FALSE)))</f>
        <v/>
      </c>
      <c r="X116" s="362" t="str">
        <f>IFERROR(IF(OR(LEFT(O116,5)="Error",LEFT(N116,5)="Error",T116="Error"),"Check Data ⚠",IF(F116&lt;R116,INDEX('G-6 Hedgerow Data'!$S$3:$AE$14,MATCH(C116,'G-6 Hedgerow Data'!$B$3:$B$14,0),MATCH(M116,'G-6 Hedgerow Data'!$S$2:$AE$2,0)),INDEX('G-6 Hedgerow Data'!$K$3:$Q$14,MATCH(M116,'G-6 Hedgerow Data'!$B$3:$B$14,0),MATCH(O116,'G-6 Hedgerow Data'!$K$2:$Q$2,0)))),"")</f>
        <v/>
      </c>
      <c r="Y116" s="159"/>
      <c r="Z116" s="159"/>
      <c r="AA116" s="370" t="str">
        <f t="shared" si="12"/>
        <v/>
      </c>
      <c r="AB116" s="383" t="str">
        <f t="shared" si="13"/>
        <v/>
      </c>
      <c r="AC116" s="384" t="str">
        <f t="shared" si="10"/>
        <v/>
      </c>
      <c r="AD116" s="398" t="str">
        <f>IF(M116="","",VLOOKUP(M116,'G-6 Hedgerow Data'!$B$3:$AG$15,31,FALSE))</f>
        <v/>
      </c>
      <c r="AE116" s="382" t="str">
        <f t="shared" si="14"/>
        <v/>
      </c>
      <c r="AF116" s="382" t="str">
        <f t="shared" si="15"/>
        <v/>
      </c>
      <c r="AG116" s="386" t="str">
        <f>IFERROR(IF(O116="","",VLOOKUP(AD116,'G-3 Multipliers'!$P$3:$Q$6,2,FALSE)),"")</f>
        <v/>
      </c>
      <c r="AH116" s="160"/>
      <c r="AI116" s="363" t="str">
        <f>IF(AH116="","",IF(VLOOKUP(AH116,'G-3 Multipliers'!$S$3:$T$10,2,FALSE)=0,"Spatial Data Missing ⚠",VLOOKUP(AH116,'G-3 Multipliers'!$S$3:$T$10,2,FALSE)))</f>
        <v/>
      </c>
      <c r="AJ116" s="405" t="str">
        <f t="shared" si="16"/>
        <v/>
      </c>
      <c r="AK116" s="376" t="str">
        <f t="shared" si="17"/>
        <v/>
      </c>
      <c r="AL116" s="117"/>
      <c r="AM116" s="118"/>
      <c r="AN116" s="120"/>
      <c r="AO116" s="120"/>
      <c r="AQ116" s="30" t="str">
        <f>IFERROR(INDEX('G-6 Hedgerow Data'!$BJ$3:$BJ$15,MATCH(M116,'G-6 Hedgerow Data'!$B$3:$B$15,0)),"")</f>
        <v/>
      </c>
    </row>
    <row r="117" spans="2:43" ht="15">
      <c r="B117" s="392" t="str">
        <f>'E-1 Off-Site Hedge Baseline'!AN115</f>
        <v/>
      </c>
      <c r="C117" s="382" t="str">
        <f>IF(B117="","",IF(ISNA(VLOOKUP($B117,'E-1 Off-Site Hedge Baseline'!$B$1:$L$257,3,FALSE)),"",(VLOOKUP($B117,'E-1 Off-Site Hedge Baseline'!$B$1:$L$257,3,FALSE))))</f>
        <v/>
      </c>
      <c r="D117" s="382" t="str">
        <f>IF(B117="","",IF(ISNA(VLOOKUP($B117,'E-1 Off-Site Hedge Baseline'!$B$1:$L$258,4,FALSE)),"",(VLOOKUP($B117,'E-1 Off-Site Hedge Baseline'!$B$1:$L$258,4,FALSE))))</f>
        <v/>
      </c>
      <c r="E117" s="382" t="str">
        <f>IF(B117="","",IF(ISNA(VLOOKUP($B117,'E-1 Off-Site Hedge Baseline'!$B$1:$L$257,5,FALSE)),"",(VLOOKUP($B117,'E-1 Off-Site Hedge Baseline'!$B$1:$L$257,5,FALSE))))</f>
        <v/>
      </c>
      <c r="F117" s="382" t="str">
        <f>IF(B117="","",IF(ISNA(VLOOKUP($B117,'E-1 Off-Site Hedge Baseline'!$B$1:$L$257,6,FALSE)),"",(VLOOKUP($B117,'E-1 Off-Site Hedge Baseline'!$B$1:$L$257,6,FALSE))))</f>
        <v/>
      </c>
      <c r="G117" s="382" t="str">
        <f>IF(B117="","",IF(ISNA(VLOOKUP($B117,'E-1 Off-Site Hedge Baseline'!$B$1:$L$257,7,FALSE)),"",(VLOOKUP($B117,'E-1 Off-Site Hedge Baseline'!$B$1:$L$257,7,FALSE))))</f>
        <v/>
      </c>
      <c r="H117" s="382" t="str">
        <f>IF(B117="","",IF(ISNA(VLOOKUP($B117,'E-1 Off-Site Hedge Baseline'!$B$1:$L$257,8,FALSE)),"",(VLOOKUP($B117,'E-1 Off-Site Hedge Baseline'!$B$1:$L$257,8,FALSE))))</f>
        <v/>
      </c>
      <c r="I117" s="382" t="str">
        <f>IF(B117="","",IF(ISNA(VLOOKUP($B117,'E-1 Off-Site Hedge Baseline'!$B$1:$L$257,10,FALSE)),"",(VLOOKUP($B117,'E-1 Off-Site Hedge Baseline'!$B$1:$L$257,10,FALSE))))</f>
        <v/>
      </c>
      <c r="J117" s="382" t="str">
        <f>IF(B117="","",IF(ISNA(VLOOKUP($B117,'E-1 Off-Site Hedge Baseline'!$B$1:$L$257,11,FALSE)),"",(VLOOKUP($B117,'E-1 Off-Site Hedge Baseline'!$B$1:$L$257,11,FALSE))))</f>
        <v/>
      </c>
      <c r="K117" s="382" t="str">
        <f>IF(B117="","",IF(ISNA(VLOOKUP($B117,'E-1 Off-Site Hedge Baseline'!$B$1:$X$257,113,FALSE)),"",(VLOOKUP($B117,'E-1 Off-Site Hedge Baseline'!$B$1:$X$257,13,FALSE))))</f>
        <v/>
      </c>
      <c r="L117" s="370" t="str">
        <f>IF(B117="","",IF(ISNA(VLOOKUP($B117,'E-1 Off-Site Hedge Baseline'!$B$1:$X$257,12,FALSE)),"",(VLOOKUP($B117,'E-1 Off-Site Hedge Baseline'!$B$1:$X$257,12,FALSE))))</f>
        <v/>
      </c>
      <c r="M117" s="316" t="str">
        <f t="shared" si="9"/>
        <v/>
      </c>
      <c r="N117" s="362" t="str">
        <f>IFERROR(IF(B117="","",INDEX('G-6 Hedgerow Data'!$AN$3:$AZ$15,MATCH(C117,'G-6 Hedgerow Data'!$AM$3:$AM$15,0),MATCH(M117,'G-6 Hedgerow Data'!$AN$2:$AZ$2,0))),"")</f>
        <v/>
      </c>
      <c r="O117" s="363" t="str">
        <f t="shared" si="11"/>
        <v/>
      </c>
      <c r="P117" s="368" t="str">
        <f>IF(B117="","",VLOOKUP(B117,'E-1 Off-Site Hedge Baseline'!$B$10:W362,19,FALSE))</f>
        <v/>
      </c>
      <c r="Q117" s="362" t="str">
        <f>IF(M117="","",VLOOKUP(M117,'G-6 Hedgerow Data'!$B$2:$AG$15,2,FALSE))</f>
        <v/>
      </c>
      <c r="R117" s="363" t="str">
        <f>IF(M117="","",VLOOKUP(M117,'G-6 Hedgerow Data'!$B$2:$AG$15,3,FALSE))</f>
        <v/>
      </c>
      <c r="S117" s="114"/>
      <c r="T117" s="363" t="str">
        <f>IFERROR(IF(AND(Q117="V.Low",OR(S117="Good",S117="Moderate")),"Error ▲",VLOOKUP(S117,'G-1 All Habitats'!$Z$2:$AA$9,2,FALSE)),"")</f>
        <v/>
      </c>
      <c r="U117" s="114"/>
      <c r="V117" s="370" t="str">
        <f>IF(U117="","",IF(VLOOKUP(U117,'G-3 Multipliers'!$L$3:$N$6,2,FALSE)=0,"Spatial Data Missing ⚠",VLOOKUP(U117,'G-3 Multipliers'!$L$3:$N$6,2,FALSE)))</f>
        <v/>
      </c>
      <c r="W117" s="368" t="str">
        <f>IF(U117="","",IF(VLOOKUP(U117,'G-3 Multipliers'!$L$3:$N$6,3,FALSE)=0,"Spatial Data Missing ⚠",VLOOKUP(U117,'G-3 Multipliers'!$L$3:$N$6,3,FALSE)))</f>
        <v/>
      </c>
      <c r="X117" s="362" t="str">
        <f>IFERROR(IF(OR(LEFT(O117,5)="Error",LEFT(N117,5)="Error",T117="Error"),"Check Data ⚠",IF(F117&lt;R117,INDEX('G-6 Hedgerow Data'!$S$3:$AE$14,MATCH(C117,'G-6 Hedgerow Data'!$B$3:$B$14,0),MATCH(M117,'G-6 Hedgerow Data'!$S$2:$AE$2,0)),INDEX('G-6 Hedgerow Data'!$K$3:$Q$14,MATCH(M117,'G-6 Hedgerow Data'!$B$3:$B$14,0),MATCH(O117,'G-6 Hedgerow Data'!$K$2:$Q$2,0)))),"")</f>
        <v/>
      </c>
      <c r="Y117" s="159"/>
      <c r="Z117" s="159"/>
      <c r="AA117" s="370" t="str">
        <f t="shared" si="12"/>
        <v/>
      </c>
      <c r="AB117" s="383" t="str">
        <f t="shared" si="13"/>
        <v/>
      </c>
      <c r="AC117" s="384" t="str">
        <f t="shared" si="10"/>
        <v/>
      </c>
      <c r="AD117" s="398" t="str">
        <f>IF(M117="","",VLOOKUP(M117,'G-6 Hedgerow Data'!$B$3:$AG$15,31,FALSE))</f>
        <v/>
      </c>
      <c r="AE117" s="382" t="str">
        <f t="shared" si="14"/>
        <v/>
      </c>
      <c r="AF117" s="382" t="str">
        <f t="shared" si="15"/>
        <v/>
      </c>
      <c r="AG117" s="386" t="str">
        <f>IFERROR(IF(O117="","",VLOOKUP(AD117,'G-3 Multipliers'!$P$3:$Q$6,2,FALSE)),"")</f>
        <v/>
      </c>
      <c r="AH117" s="160"/>
      <c r="AI117" s="363" t="str">
        <f>IF(AH117="","",IF(VLOOKUP(AH117,'G-3 Multipliers'!$S$3:$T$10,2,FALSE)=0,"Spatial Data Missing ⚠",VLOOKUP(AH117,'G-3 Multipliers'!$S$3:$T$10,2,FALSE)))</f>
        <v/>
      </c>
      <c r="AJ117" s="405" t="str">
        <f t="shared" si="16"/>
        <v/>
      </c>
      <c r="AK117" s="376" t="str">
        <f t="shared" si="17"/>
        <v/>
      </c>
      <c r="AL117" s="117"/>
      <c r="AM117" s="118"/>
      <c r="AN117" s="120"/>
      <c r="AO117" s="120"/>
      <c r="AQ117" s="30" t="str">
        <f>IFERROR(INDEX('G-6 Hedgerow Data'!$BJ$3:$BJ$15,MATCH(M117,'G-6 Hedgerow Data'!$B$3:$B$15,0)),"")</f>
        <v/>
      </c>
    </row>
    <row r="118" spans="2:43" ht="15">
      <c r="B118" s="392" t="str">
        <f>'E-1 Off-Site Hedge Baseline'!AN116</f>
        <v/>
      </c>
      <c r="C118" s="382" t="str">
        <f>IF(B118="","",IF(ISNA(VLOOKUP($B118,'E-1 Off-Site Hedge Baseline'!$B$1:$L$257,3,FALSE)),"",(VLOOKUP($B118,'E-1 Off-Site Hedge Baseline'!$B$1:$L$257,3,FALSE))))</f>
        <v/>
      </c>
      <c r="D118" s="382" t="str">
        <f>IF(B118="","",IF(ISNA(VLOOKUP($B118,'E-1 Off-Site Hedge Baseline'!$B$1:$L$258,4,FALSE)),"",(VLOOKUP($B118,'E-1 Off-Site Hedge Baseline'!$B$1:$L$258,4,FALSE))))</f>
        <v/>
      </c>
      <c r="E118" s="382" t="str">
        <f>IF(B118="","",IF(ISNA(VLOOKUP($B118,'E-1 Off-Site Hedge Baseline'!$B$1:$L$257,5,FALSE)),"",(VLOOKUP($B118,'E-1 Off-Site Hedge Baseline'!$B$1:$L$257,5,FALSE))))</f>
        <v/>
      </c>
      <c r="F118" s="382" t="str">
        <f>IF(B118="","",IF(ISNA(VLOOKUP($B118,'E-1 Off-Site Hedge Baseline'!$B$1:$L$257,6,FALSE)),"",(VLOOKUP($B118,'E-1 Off-Site Hedge Baseline'!$B$1:$L$257,6,FALSE))))</f>
        <v/>
      </c>
      <c r="G118" s="382" t="str">
        <f>IF(B118="","",IF(ISNA(VLOOKUP($B118,'E-1 Off-Site Hedge Baseline'!$B$1:$L$257,7,FALSE)),"",(VLOOKUP($B118,'E-1 Off-Site Hedge Baseline'!$B$1:$L$257,7,FALSE))))</f>
        <v/>
      </c>
      <c r="H118" s="382" t="str">
        <f>IF(B118="","",IF(ISNA(VLOOKUP($B118,'E-1 Off-Site Hedge Baseline'!$B$1:$L$257,8,FALSE)),"",(VLOOKUP($B118,'E-1 Off-Site Hedge Baseline'!$B$1:$L$257,8,FALSE))))</f>
        <v/>
      </c>
      <c r="I118" s="382" t="str">
        <f>IF(B118="","",IF(ISNA(VLOOKUP($B118,'E-1 Off-Site Hedge Baseline'!$B$1:$L$257,10,FALSE)),"",(VLOOKUP($B118,'E-1 Off-Site Hedge Baseline'!$B$1:$L$257,10,FALSE))))</f>
        <v/>
      </c>
      <c r="J118" s="382" t="str">
        <f>IF(B118="","",IF(ISNA(VLOOKUP($B118,'E-1 Off-Site Hedge Baseline'!$B$1:$L$257,11,FALSE)),"",(VLOOKUP($B118,'E-1 Off-Site Hedge Baseline'!$B$1:$L$257,11,FALSE))))</f>
        <v/>
      </c>
      <c r="K118" s="382" t="str">
        <f>IF(B118="","",IF(ISNA(VLOOKUP($B118,'E-1 Off-Site Hedge Baseline'!$B$1:$X$257,113,FALSE)),"",(VLOOKUP($B118,'E-1 Off-Site Hedge Baseline'!$B$1:$X$257,13,FALSE))))</f>
        <v/>
      </c>
      <c r="L118" s="370" t="str">
        <f>IF(B118="","",IF(ISNA(VLOOKUP($B118,'E-1 Off-Site Hedge Baseline'!$B$1:$X$257,12,FALSE)),"",(VLOOKUP($B118,'E-1 Off-Site Hedge Baseline'!$B$1:$X$257,12,FALSE))))</f>
        <v/>
      </c>
      <c r="M118" s="316" t="str">
        <f t="shared" si="9"/>
        <v/>
      </c>
      <c r="N118" s="362" t="str">
        <f>IFERROR(IF(B118="","",INDEX('G-6 Hedgerow Data'!$AN$3:$AZ$15,MATCH(C118,'G-6 Hedgerow Data'!$AM$3:$AM$15,0),MATCH(M118,'G-6 Hedgerow Data'!$AN$2:$AZ$2,0))),"")</f>
        <v/>
      </c>
      <c r="O118" s="363" t="str">
        <f t="shared" si="11"/>
        <v/>
      </c>
      <c r="P118" s="368" t="str">
        <f>IF(B118="","",VLOOKUP(B118,'E-1 Off-Site Hedge Baseline'!$B$10:W363,19,FALSE))</f>
        <v/>
      </c>
      <c r="Q118" s="362" t="str">
        <f>IF(M118="","",VLOOKUP(M118,'G-6 Hedgerow Data'!$B$2:$AG$15,2,FALSE))</f>
        <v/>
      </c>
      <c r="R118" s="363" t="str">
        <f>IF(M118="","",VLOOKUP(M118,'G-6 Hedgerow Data'!$B$2:$AG$15,3,FALSE))</f>
        <v/>
      </c>
      <c r="S118" s="114"/>
      <c r="T118" s="363" t="str">
        <f>IFERROR(IF(AND(Q118="V.Low",OR(S118="Good",S118="Moderate")),"Error ▲",VLOOKUP(S118,'G-1 All Habitats'!$Z$2:$AA$9,2,FALSE)),"")</f>
        <v/>
      </c>
      <c r="U118" s="114"/>
      <c r="V118" s="370" t="str">
        <f>IF(U118="","",IF(VLOOKUP(U118,'G-3 Multipliers'!$L$3:$N$6,2,FALSE)=0,"Spatial Data Missing ⚠",VLOOKUP(U118,'G-3 Multipliers'!$L$3:$N$6,2,FALSE)))</f>
        <v/>
      </c>
      <c r="W118" s="368" t="str">
        <f>IF(U118="","",IF(VLOOKUP(U118,'G-3 Multipliers'!$L$3:$N$6,3,FALSE)=0,"Spatial Data Missing ⚠",VLOOKUP(U118,'G-3 Multipliers'!$L$3:$N$6,3,FALSE)))</f>
        <v/>
      </c>
      <c r="X118" s="362" t="str">
        <f>IFERROR(IF(OR(LEFT(O118,5)="Error",LEFT(N118,5)="Error",T118="Error"),"Check Data ⚠",IF(F118&lt;R118,INDEX('G-6 Hedgerow Data'!$S$3:$AE$14,MATCH(C118,'G-6 Hedgerow Data'!$B$3:$B$14,0),MATCH(M118,'G-6 Hedgerow Data'!$S$2:$AE$2,0)),INDEX('G-6 Hedgerow Data'!$K$3:$Q$14,MATCH(M118,'G-6 Hedgerow Data'!$B$3:$B$14,0),MATCH(O118,'G-6 Hedgerow Data'!$K$2:$Q$2,0)))),"")</f>
        <v/>
      </c>
      <c r="Y118" s="159"/>
      <c r="Z118" s="159"/>
      <c r="AA118" s="370" t="str">
        <f t="shared" si="12"/>
        <v/>
      </c>
      <c r="AB118" s="383" t="str">
        <f t="shared" si="13"/>
        <v/>
      </c>
      <c r="AC118" s="384" t="str">
        <f t="shared" si="10"/>
        <v/>
      </c>
      <c r="AD118" s="398" t="str">
        <f>IF(M118="","",VLOOKUP(M118,'G-6 Hedgerow Data'!$B$3:$AG$15,31,FALSE))</f>
        <v/>
      </c>
      <c r="AE118" s="382" t="str">
        <f t="shared" si="14"/>
        <v/>
      </c>
      <c r="AF118" s="382" t="str">
        <f t="shared" si="15"/>
        <v/>
      </c>
      <c r="AG118" s="386" t="str">
        <f>IFERROR(IF(O118="","",VLOOKUP(AD118,'G-3 Multipliers'!$P$3:$Q$6,2,FALSE)),"")</f>
        <v/>
      </c>
      <c r="AH118" s="160"/>
      <c r="AI118" s="363" t="str">
        <f>IF(AH118="","",IF(VLOOKUP(AH118,'G-3 Multipliers'!$S$3:$T$10,2,FALSE)=0,"Spatial Data Missing ⚠",VLOOKUP(AH118,'G-3 Multipliers'!$S$3:$T$10,2,FALSE)))</f>
        <v/>
      </c>
      <c r="AJ118" s="405" t="str">
        <f t="shared" si="16"/>
        <v/>
      </c>
      <c r="AK118" s="376" t="str">
        <f t="shared" si="17"/>
        <v/>
      </c>
      <c r="AL118" s="117"/>
      <c r="AM118" s="118"/>
      <c r="AN118" s="120"/>
      <c r="AO118" s="120"/>
      <c r="AQ118" s="30" t="str">
        <f>IFERROR(INDEX('G-6 Hedgerow Data'!$BJ$3:$BJ$15,MATCH(M118,'G-6 Hedgerow Data'!$B$3:$B$15,0)),"")</f>
        <v/>
      </c>
    </row>
    <row r="119" spans="2:43" ht="15">
      <c r="B119" s="392" t="str">
        <f>'E-1 Off-Site Hedge Baseline'!AN117</f>
        <v/>
      </c>
      <c r="C119" s="382" t="str">
        <f>IF(B119="","",IF(ISNA(VLOOKUP($B119,'E-1 Off-Site Hedge Baseline'!$B$1:$L$257,3,FALSE)),"",(VLOOKUP($B119,'E-1 Off-Site Hedge Baseline'!$B$1:$L$257,3,FALSE))))</f>
        <v/>
      </c>
      <c r="D119" s="382" t="str">
        <f>IF(B119="","",IF(ISNA(VLOOKUP($B119,'E-1 Off-Site Hedge Baseline'!$B$1:$L$258,4,FALSE)),"",(VLOOKUP($B119,'E-1 Off-Site Hedge Baseline'!$B$1:$L$258,4,FALSE))))</f>
        <v/>
      </c>
      <c r="E119" s="382" t="str">
        <f>IF(B119="","",IF(ISNA(VLOOKUP($B119,'E-1 Off-Site Hedge Baseline'!$B$1:$L$257,5,FALSE)),"",(VLOOKUP($B119,'E-1 Off-Site Hedge Baseline'!$B$1:$L$257,5,FALSE))))</f>
        <v/>
      </c>
      <c r="F119" s="382" t="str">
        <f>IF(B119="","",IF(ISNA(VLOOKUP($B119,'E-1 Off-Site Hedge Baseline'!$B$1:$L$257,6,FALSE)),"",(VLOOKUP($B119,'E-1 Off-Site Hedge Baseline'!$B$1:$L$257,6,FALSE))))</f>
        <v/>
      </c>
      <c r="G119" s="382" t="str">
        <f>IF(B119="","",IF(ISNA(VLOOKUP($B119,'E-1 Off-Site Hedge Baseline'!$B$1:$L$257,7,FALSE)),"",(VLOOKUP($B119,'E-1 Off-Site Hedge Baseline'!$B$1:$L$257,7,FALSE))))</f>
        <v/>
      </c>
      <c r="H119" s="382" t="str">
        <f>IF(B119="","",IF(ISNA(VLOOKUP($B119,'E-1 Off-Site Hedge Baseline'!$B$1:$L$257,8,FALSE)),"",(VLOOKUP($B119,'E-1 Off-Site Hedge Baseline'!$B$1:$L$257,8,FALSE))))</f>
        <v/>
      </c>
      <c r="I119" s="382" t="str">
        <f>IF(B119="","",IF(ISNA(VLOOKUP($B119,'E-1 Off-Site Hedge Baseline'!$B$1:$L$257,10,FALSE)),"",(VLOOKUP($B119,'E-1 Off-Site Hedge Baseline'!$B$1:$L$257,10,FALSE))))</f>
        <v/>
      </c>
      <c r="J119" s="382" t="str">
        <f>IF(B119="","",IF(ISNA(VLOOKUP($B119,'E-1 Off-Site Hedge Baseline'!$B$1:$L$257,11,FALSE)),"",(VLOOKUP($B119,'E-1 Off-Site Hedge Baseline'!$B$1:$L$257,11,FALSE))))</f>
        <v/>
      </c>
      <c r="K119" s="382" t="str">
        <f>IF(B119="","",IF(ISNA(VLOOKUP($B119,'E-1 Off-Site Hedge Baseline'!$B$1:$X$257,113,FALSE)),"",(VLOOKUP($B119,'E-1 Off-Site Hedge Baseline'!$B$1:$X$257,13,FALSE))))</f>
        <v/>
      </c>
      <c r="L119" s="370" t="str">
        <f>IF(B119="","",IF(ISNA(VLOOKUP($B119,'E-1 Off-Site Hedge Baseline'!$B$1:$X$257,12,FALSE)),"",(VLOOKUP($B119,'E-1 Off-Site Hedge Baseline'!$B$1:$X$257,12,FALSE))))</f>
        <v/>
      </c>
      <c r="M119" s="316" t="str">
        <f t="shared" si="9"/>
        <v/>
      </c>
      <c r="N119" s="362" t="str">
        <f>IFERROR(IF(B119="","",INDEX('G-6 Hedgerow Data'!$AN$3:$AZ$15,MATCH(C119,'G-6 Hedgerow Data'!$AM$3:$AM$15,0),MATCH(M119,'G-6 Hedgerow Data'!$AN$2:$AZ$2,0))),"")</f>
        <v/>
      </c>
      <c r="O119" s="363" t="str">
        <f t="shared" si="11"/>
        <v/>
      </c>
      <c r="P119" s="368" t="str">
        <f>IF(B119="","",VLOOKUP(B119,'E-1 Off-Site Hedge Baseline'!$B$10:W364,19,FALSE))</f>
        <v/>
      </c>
      <c r="Q119" s="362" t="str">
        <f>IF(M119="","",VLOOKUP(M119,'G-6 Hedgerow Data'!$B$2:$AG$15,2,FALSE))</f>
        <v/>
      </c>
      <c r="R119" s="363" t="str">
        <f>IF(M119="","",VLOOKUP(M119,'G-6 Hedgerow Data'!$B$2:$AG$15,3,FALSE))</f>
        <v/>
      </c>
      <c r="S119" s="114"/>
      <c r="T119" s="363" t="str">
        <f>IFERROR(IF(AND(Q119="V.Low",OR(S119="Good",S119="Moderate")),"Error ▲",VLOOKUP(S119,'G-1 All Habitats'!$Z$2:$AA$9,2,FALSE)),"")</f>
        <v/>
      </c>
      <c r="U119" s="114"/>
      <c r="V119" s="370" t="str">
        <f>IF(U119="","",IF(VLOOKUP(U119,'G-3 Multipliers'!$L$3:$N$6,2,FALSE)=0,"Spatial Data Missing ⚠",VLOOKUP(U119,'G-3 Multipliers'!$L$3:$N$6,2,FALSE)))</f>
        <v/>
      </c>
      <c r="W119" s="368" t="str">
        <f>IF(U119="","",IF(VLOOKUP(U119,'G-3 Multipliers'!$L$3:$N$6,3,FALSE)=0,"Spatial Data Missing ⚠",VLOOKUP(U119,'G-3 Multipliers'!$L$3:$N$6,3,FALSE)))</f>
        <v/>
      </c>
      <c r="X119" s="362" t="str">
        <f>IFERROR(IF(OR(LEFT(O119,5)="Error",LEFT(N119,5)="Error",T119="Error"),"Check Data ⚠",IF(F119&lt;R119,INDEX('G-6 Hedgerow Data'!$S$3:$AE$14,MATCH(C119,'G-6 Hedgerow Data'!$B$3:$B$14,0),MATCH(M119,'G-6 Hedgerow Data'!$S$2:$AE$2,0)),INDEX('G-6 Hedgerow Data'!$K$3:$Q$14,MATCH(M119,'G-6 Hedgerow Data'!$B$3:$B$14,0),MATCH(O119,'G-6 Hedgerow Data'!$K$2:$Q$2,0)))),"")</f>
        <v/>
      </c>
      <c r="Y119" s="159"/>
      <c r="Z119" s="159"/>
      <c r="AA119" s="370" t="str">
        <f t="shared" si="12"/>
        <v/>
      </c>
      <c r="AB119" s="383" t="str">
        <f t="shared" si="13"/>
        <v/>
      </c>
      <c r="AC119" s="384" t="str">
        <f t="shared" si="10"/>
        <v/>
      </c>
      <c r="AD119" s="398" t="str">
        <f>IF(M119="","",VLOOKUP(M119,'G-6 Hedgerow Data'!$B$3:$AG$15,31,FALSE))</f>
        <v/>
      </c>
      <c r="AE119" s="382" t="str">
        <f t="shared" si="14"/>
        <v/>
      </c>
      <c r="AF119" s="382" t="str">
        <f t="shared" si="15"/>
        <v/>
      </c>
      <c r="AG119" s="386" t="str">
        <f>IFERROR(IF(O119="","",VLOOKUP(AD119,'G-3 Multipliers'!$P$3:$Q$6,2,FALSE)),"")</f>
        <v/>
      </c>
      <c r="AH119" s="160"/>
      <c r="AI119" s="363" t="str">
        <f>IF(AH119="","",IF(VLOOKUP(AH119,'G-3 Multipliers'!$S$3:$T$10,2,FALSE)=0,"Spatial Data Missing ⚠",VLOOKUP(AH119,'G-3 Multipliers'!$S$3:$T$10,2,FALSE)))</f>
        <v/>
      </c>
      <c r="AJ119" s="405" t="str">
        <f t="shared" si="16"/>
        <v/>
      </c>
      <c r="AK119" s="376" t="str">
        <f t="shared" si="17"/>
        <v/>
      </c>
      <c r="AL119" s="117"/>
      <c r="AM119" s="118"/>
      <c r="AN119" s="120"/>
      <c r="AO119" s="120"/>
      <c r="AQ119" s="30" t="str">
        <f>IFERROR(INDEX('G-6 Hedgerow Data'!$BJ$3:$BJ$15,MATCH(M119,'G-6 Hedgerow Data'!$B$3:$B$15,0)),"")</f>
        <v/>
      </c>
    </row>
    <row r="120" spans="2:43" ht="15">
      <c r="B120" s="392" t="str">
        <f>'E-1 Off-Site Hedge Baseline'!AN118</f>
        <v/>
      </c>
      <c r="C120" s="382" t="str">
        <f>IF(B120="","",IF(ISNA(VLOOKUP($B120,'E-1 Off-Site Hedge Baseline'!$B$1:$L$257,3,FALSE)),"",(VLOOKUP($B120,'E-1 Off-Site Hedge Baseline'!$B$1:$L$257,3,FALSE))))</f>
        <v/>
      </c>
      <c r="D120" s="382" t="str">
        <f>IF(B120="","",IF(ISNA(VLOOKUP($B120,'E-1 Off-Site Hedge Baseline'!$B$1:$L$258,4,FALSE)),"",(VLOOKUP($B120,'E-1 Off-Site Hedge Baseline'!$B$1:$L$258,4,FALSE))))</f>
        <v/>
      </c>
      <c r="E120" s="382" t="str">
        <f>IF(B120="","",IF(ISNA(VLOOKUP($B120,'E-1 Off-Site Hedge Baseline'!$B$1:$L$257,5,FALSE)),"",(VLOOKUP($B120,'E-1 Off-Site Hedge Baseline'!$B$1:$L$257,5,FALSE))))</f>
        <v/>
      </c>
      <c r="F120" s="382" t="str">
        <f>IF(B120="","",IF(ISNA(VLOOKUP($B120,'E-1 Off-Site Hedge Baseline'!$B$1:$L$257,6,FALSE)),"",(VLOOKUP($B120,'E-1 Off-Site Hedge Baseline'!$B$1:$L$257,6,FALSE))))</f>
        <v/>
      </c>
      <c r="G120" s="382" t="str">
        <f>IF(B120="","",IF(ISNA(VLOOKUP($B120,'E-1 Off-Site Hedge Baseline'!$B$1:$L$257,7,FALSE)),"",(VLOOKUP($B120,'E-1 Off-Site Hedge Baseline'!$B$1:$L$257,7,FALSE))))</f>
        <v/>
      </c>
      <c r="H120" s="382" t="str">
        <f>IF(B120="","",IF(ISNA(VLOOKUP($B120,'E-1 Off-Site Hedge Baseline'!$B$1:$L$257,8,FALSE)),"",(VLOOKUP($B120,'E-1 Off-Site Hedge Baseline'!$B$1:$L$257,8,FALSE))))</f>
        <v/>
      </c>
      <c r="I120" s="382" t="str">
        <f>IF(B120="","",IF(ISNA(VLOOKUP($B120,'E-1 Off-Site Hedge Baseline'!$B$1:$L$257,10,FALSE)),"",(VLOOKUP($B120,'E-1 Off-Site Hedge Baseline'!$B$1:$L$257,10,FALSE))))</f>
        <v/>
      </c>
      <c r="J120" s="382" t="str">
        <f>IF(B120="","",IF(ISNA(VLOOKUP($B120,'E-1 Off-Site Hedge Baseline'!$B$1:$L$257,11,FALSE)),"",(VLOOKUP($B120,'E-1 Off-Site Hedge Baseline'!$B$1:$L$257,11,FALSE))))</f>
        <v/>
      </c>
      <c r="K120" s="382" t="str">
        <f>IF(B120="","",IF(ISNA(VLOOKUP($B120,'E-1 Off-Site Hedge Baseline'!$B$1:$X$257,113,FALSE)),"",(VLOOKUP($B120,'E-1 Off-Site Hedge Baseline'!$B$1:$X$257,13,FALSE))))</f>
        <v/>
      </c>
      <c r="L120" s="370" t="str">
        <f>IF(B120="","",IF(ISNA(VLOOKUP($B120,'E-1 Off-Site Hedge Baseline'!$B$1:$X$257,12,FALSE)),"",(VLOOKUP($B120,'E-1 Off-Site Hedge Baseline'!$B$1:$X$257,12,FALSE))))</f>
        <v/>
      </c>
      <c r="M120" s="316" t="str">
        <f t="shared" si="9"/>
        <v/>
      </c>
      <c r="N120" s="362" t="str">
        <f>IFERROR(IF(B120="","",INDEX('G-6 Hedgerow Data'!$AN$3:$AZ$15,MATCH(C120,'G-6 Hedgerow Data'!$AM$3:$AM$15,0),MATCH(M120,'G-6 Hedgerow Data'!$AN$2:$AZ$2,0))),"")</f>
        <v/>
      </c>
      <c r="O120" s="363" t="str">
        <f t="shared" si="11"/>
        <v/>
      </c>
      <c r="P120" s="368" t="str">
        <f>IF(B120="","",VLOOKUP(B120,'E-1 Off-Site Hedge Baseline'!$B$10:W365,19,FALSE))</f>
        <v/>
      </c>
      <c r="Q120" s="362" t="str">
        <f>IF(M120="","",VLOOKUP(M120,'G-6 Hedgerow Data'!$B$2:$AG$15,2,FALSE))</f>
        <v/>
      </c>
      <c r="R120" s="363" t="str">
        <f>IF(M120="","",VLOOKUP(M120,'G-6 Hedgerow Data'!$B$2:$AG$15,3,FALSE))</f>
        <v/>
      </c>
      <c r="S120" s="114"/>
      <c r="T120" s="363" t="str">
        <f>IFERROR(IF(AND(Q120="V.Low",OR(S120="Good",S120="Moderate")),"Error ▲",VLOOKUP(S120,'G-1 All Habitats'!$Z$2:$AA$9,2,FALSE)),"")</f>
        <v/>
      </c>
      <c r="U120" s="114"/>
      <c r="V120" s="370" t="str">
        <f>IF(U120="","",IF(VLOOKUP(U120,'G-3 Multipliers'!$L$3:$N$6,2,FALSE)=0,"Spatial Data Missing ⚠",VLOOKUP(U120,'G-3 Multipliers'!$L$3:$N$6,2,FALSE)))</f>
        <v/>
      </c>
      <c r="W120" s="368" t="str">
        <f>IF(U120="","",IF(VLOOKUP(U120,'G-3 Multipliers'!$L$3:$N$6,3,FALSE)=0,"Spatial Data Missing ⚠",VLOOKUP(U120,'G-3 Multipliers'!$L$3:$N$6,3,FALSE)))</f>
        <v/>
      </c>
      <c r="X120" s="362" t="str">
        <f>IFERROR(IF(OR(LEFT(O120,5)="Error",LEFT(N120,5)="Error",T120="Error"),"Check Data ⚠",IF(F120&lt;R120,INDEX('G-6 Hedgerow Data'!$S$3:$AE$14,MATCH(C120,'G-6 Hedgerow Data'!$B$3:$B$14,0),MATCH(M120,'G-6 Hedgerow Data'!$S$2:$AE$2,0)),INDEX('G-6 Hedgerow Data'!$K$3:$Q$14,MATCH(M120,'G-6 Hedgerow Data'!$B$3:$B$14,0),MATCH(O120,'G-6 Hedgerow Data'!$K$2:$Q$2,0)))),"")</f>
        <v/>
      </c>
      <c r="Y120" s="159"/>
      <c r="Z120" s="159"/>
      <c r="AA120" s="370" t="str">
        <f t="shared" si="12"/>
        <v/>
      </c>
      <c r="AB120" s="383" t="str">
        <f t="shared" si="13"/>
        <v/>
      </c>
      <c r="AC120" s="384" t="str">
        <f t="shared" si="10"/>
        <v/>
      </c>
      <c r="AD120" s="398" t="str">
        <f>IF(M120="","",VLOOKUP(M120,'G-6 Hedgerow Data'!$B$3:$AG$15,31,FALSE))</f>
        <v/>
      </c>
      <c r="AE120" s="382" t="str">
        <f t="shared" si="14"/>
        <v/>
      </c>
      <c r="AF120" s="382" t="str">
        <f t="shared" si="15"/>
        <v/>
      </c>
      <c r="AG120" s="386" t="str">
        <f>IFERROR(IF(O120="","",VLOOKUP(AD120,'G-3 Multipliers'!$P$3:$Q$6,2,FALSE)),"")</f>
        <v/>
      </c>
      <c r="AH120" s="160"/>
      <c r="AI120" s="363" t="str">
        <f>IF(AH120="","",IF(VLOOKUP(AH120,'G-3 Multipliers'!$S$3:$T$10,2,FALSE)=0,"Spatial Data Missing ⚠",VLOOKUP(AH120,'G-3 Multipliers'!$S$3:$T$10,2,FALSE)))</f>
        <v/>
      </c>
      <c r="AJ120" s="405" t="str">
        <f t="shared" si="16"/>
        <v/>
      </c>
      <c r="AK120" s="376" t="str">
        <f t="shared" si="17"/>
        <v/>
      </c>
      <c r="AL120" s="117"/>
      <c r="AM120" s="118"/>
      <c r="AN120" s="120"/>
      <c r="AO120" s="120"/>
      <c r="AQ120" s="30" t="str">
        <f>IFERROR(INDEX('G-6 Hedgerow Data'!$BJ$3:$BJ$15,MATCH(M120,'G-6 Hedgerow Data'!$B$3:$B$15,0)),"")</f>
        <v/>
      </c>
    </row>
    <row r="121" spans="2:43" ht="15">
      <c r="B121" s="392" t="str">
        <f>'E-1 Off-Site Hedge Baseline'!AN119</f>
        <v/>
      </c>
      <c r="C121" s="382" t="str">
        <f>IF(B121="","",IF(ISNA(VLOOKUP($B121,'E-1 Off-Site Hedge Baseline'!$B$1:$L$257,3,FALSE)),"",(VLOOKUP($B121,'E-1 Off-Site Hedge Baseline'!$B$1:$L$257,3,FALSE))))</f>
        <v/>
      </c>
      <c r="D121" s="382" t="str">
        <f>IF(B121="","",IF(ISNA(VLOOKUP($B121,'E-1 Off-Site Hedge Baseline'!$B$1:$L$258,4,FALSE)),"",(VLOOKUP($B121,'E-1 Off-Site Hedge Baseline'!$B$1:$L$258,4,FALSE))))</f>
        <v/>
      </c>
      <c r="E121" s="382" t="str">
        <f>IF(B121="","",IF(ISNA(VLOOKUP($B121,'E-1 Off-Site Hedge Baseline'!$B$1:$L$257,5,FALSE)),"",(VLOOKUP($B121,'E-1 Off-Site Hedge Baseline'!$B$1:$L$257,5,FALSE))))</f>
        <v/>
      </c>
      <c r="F121" s="382" t="str">
        <f>IF(B121="","",IF(ISNA(VLOOKUP($B121,'E-1 Off-Site Hedge Baseline'!$B$1:$L$257,6,FALSE)),"",(VLOOKUP($B121,'E-1 Off-Site Hedge Baseline'!$B$1:$L$257,6,FALSE))))</f>
        <v/>
      </c>
      <c r="G121" s="382" t="str">
        <f>IF(B121="","",IF(ISNA(VLOOKUP($B121,'E-1 Off-Site Hedge Baseline'!$B$1:$L$257,7,FALSE)),"",(VLOOKUP($B121,'E-1 Off-Site Hedge Baseline'!$B$1:$L$257,7,FALSE))))</f>
        <v/>
      </c>
      <c r="H121" s="382" t="str">
        <f>IF(B121="","",IF(ISNA(VLOOKUP($B121,'E-1 Off-Site Hedge Baseline'!$B$1:$L$257,8,FALSE)),"",(VLOOKUP($B121,'E-1 Off-Site Hedge Baseline'!$B$1:$L$257,8,FALSE))))</f>
        <v/>
      </c>
      <c r="I121" s="382" t="str">
        <f>IF(B121="","",IF(ISNA(VLOOKUP($B121,'E-1 Off-Site Hedge Baseline'!$B$1:$L$257,10,FALSE)),"",(VLOOKUP($B121,'E-1 Off-Site Hedge Baseline'!$B$1:$L$257,10,FALSE))))</f>
        <v/>
      </c>
      <c r="J121" s="382" t="str">
        <f>IF(B121="","",IF(ISNA(VLOOKUP($B121,'E-1 Off-Site Hedge Baseline'!$B$1:$L$257,11,FALSE)),"",(VLOOKUP($B121,'E-1 Off-Site Hedge Baseline'!$B$1:$L$257,11,FALSE))))</f>
        <v/>
      </c>
      <c r="K121" s="382" t="str">
        <f>IF(B121="","",IF(ISNA(VLOOKUP($B121,'E-1 Off-Site Hedge Baseline'!$B$1:$X$257,113,FALSE)),"",(VLOOKUP($B121,'E-1 Off-Site Hedge Baseline'!$B$1:$X$257,13,FALSE))))</f>
        <v/>
      </c>
      <c r="L121" s="370" t="str">
        <f>IF(B121="","",IF(ISNA(VLOOKUP($B121,'E-1 Off-Site Hedge Baseline'!$B$1:$X$257,12,FALSE)),"",(VLOOKUP($B121,'E-1 Off-Site Hedge Baseline'!$B$1:$X$257,12,FALSE))))</f>
        <v/>
      </c>
      <c r="M121" s="316" t="str">
        <f t="shared" si="9"/>
        <v/>
      </c>
      <c r="N121" s="362" t="str">
        <f>IFERROR(IF(B121="","",INDEX('G-6 Hedgerow Data'!$AN$3:$AZ$15,MATCH(C121,'G-6 Hedgerow Data'!$AM$3:$AM$15,0),MATCH(M121,'G-6 Hedgerow Data'!$AN$2:$AZ$2,0))),"")</f>
        <v/>
      </c>
      <c r="O121" s="363" t="str">
        <f t="shared" si="11"/>
        <v/>
      </c>
      <c r="P121" s="368" t="str">
        <f>IF(B121="","",VLOOKUP(B121,'E-1 Off-Site Hedge Baseline'!$B$10:W366,19,FALSE))</f>
        <v/>
      </c>
      <c r="Q121" s="362" t="str">
        <f>IF(M121="","",VLOOKUP(M121,'G-6 Hedgerow Data'!$B$2:$AG$15,2,FALSE))</f>
        <v/>
      </c>
      <c r="R121" s="363" t="str">
        <f>IF(M121="","",VLOOKUP(M121,'G-6 Hedgerow Data'!$B$2:$AG$15,3,FALSE))</f>
        <v/>
      </c>
      <c r="S121" s="114"/>
      <c r="T121" s="363" t="str">
        <f>IFERROR(IF(AND(Q121="V.Low",OR(S121="Good",S121="Moderate")),"Error ▲",VLOOKUP(S121,'G-1 All Habitats'!$Z$2:$AA$9,2,FALSE)),"")</f>
        <v/>
      </c>
      <c r="U121" s="114"/>
      <c r="V121" s="370" t="str">
        <f>IF(U121="","",IF(VLOOKUP(U121,'G-3 Multipliers'!$L$3:$N$6,2,FALSE)=0,"Spatial Data Missing ⚠",VLOOKUP(U121,'G-3 Multipliers'!$L$3:$N$6,2,FALSE)))</f>
        <v/>
      </c>
      <c r="W121" s="368" t="str">
        <f>IF(U121="","",IF(VLOOKUP(U121,'G-3 Multipliers'!$L$3:$N$6,3,FALSE)=0,"Spatial Data Missing ⚠",VLOOKUP(U121,'G-3 Multipliers'!$L$3:$N$6,3,FALSE)))</f>
        <v/>
      </c>
      <c r="X121" s="362" t="str">
        <f>IFERROR(IF(OR(LEFT(O121,5)="Error",LEFT(N121,5)="Error",T121="Error"),"Check Data ⚠",IF(F121&lt;R121,INDEX('G-6 Hedgerow Data'!$S$3:$AE$14,MATCH(C121,'G-6 Hedgerow Data'!$B$3:$B$14,0),MATCH(M121,'G-6 Hedgerow Data'!$S$2:$AE$2,0)),INDEX('G-6 Hedgerow Data'!$K$3:$Q$14,MATCH(M121,'G-6 Hedgerow Data'!$B$3:$B$14,0),MATCH(O121,'G-6 Hedgerow Data'!$K$2:$Q$2,0)))),"")</f>
        <v/>
      </c>
      <c r="Y121" s="159"/>
      <c r="Z121" s="159"/>
      <c r="AA121" s="370" t="str">
        <f t="shared" si="12"/>
        <v/>
      </c>
      <c r="AB121" s="383" t="str">
        <f t="shared" si="13"/>
        <v/>
      </c>
      <c r="AC121" s="384" t="str">
        <f t="shared" si="10"/>
        <v/>
      </c>
      <c r="AD121" s="398" t="str">
        <f>IF(M121="","",VLOOKUP(M121,'G-6 Hedgerow Data'!$B$3:$AG$15,31,FALSE))</f>
        <v/>
      </c>
      <c r="AE121" s="382" t="str">
        <f t="shared" si="14"/>
        <v/>
      </c>
      <c r="AF121" s="382" t="str">
        <f t="shared" si="15"/>
        <v/>
      </c>
      <c r="AG121" s="386" t="str">
        <f>IFERROR(IF(O121="","",VLOOKUP(AD121,'G-3 Multipliers'!$P$3:$Q$6,2,FALSE)),"")</f>
        <v/>
      </c>
      <c r="AH121" s="160"/>
      <c r="AI121" s="363" t="str">
        <f>IF(AH121="","",IF(VLOOKUP(AH121,'G-3 Multipliers'!$S$3:$T$10,2,FALSE)=0,"Spatial Data Missing ⚠",VLOOKUP(AH121,'G-3 Multipliers'!$S$3:$T$10,2,FALSE)))</f>
        <v/>
      </c>
      <c r="AJ121" s="405" t="str">
        <f t="shared" si="16"/>
        <v/>
      </c>
      <c r="AK121" s="376" t="str">
        <f t="shared" si="17"/>
        <v/>
      </c>
      <c r="AL121" s="117"/>
      <c r="AM121" s="118"/>
      <c r="AN121" s="120"/>
      <c r="AO121" s="120"/>
      <c r="AQ121" s="30" t="str">
        <f>IFERROR(INDEX('G-6 Hedgerow Data'!$BJ$3:$BJ$15,MATCH(M121,'G-6 Hedgerow Data'!$B$3:$B$15,0)),"")</f>
        <v/>
      </c>
    </row>
    <row r="122" spans="2:43" ht="15">
      <c r="B122" s="392" t="str">
        <f>'E-1 Off-Site Hedge Baseline'!AN120</f>
        <v/>
      </c>
      <c r="C122" s="382" t="str">
        <f>IF(B122="","",IF(ISNA(VLOOKUP($B122,'E-1 Off-Site Hedge Baseline'!$B$1:$L$257,3,FALSE)),"",(VLOOKUP($B122,'E-1 Off-Site Hedge Baseline'!$B$1:$L$257,3,FALSE))))</f>
        <v/>
      </c>
      <c r="D122" s="382" t="str">
        <f>IF(B122="","",IF(ISNA(VLOOKUP($B122,'E-1 Off-Site Hedge Baseline'!$B$1:$L$258,4,FALSE)),"",(VLOOKUP($B122,'E-1 Off-Site Hedge Baseline'!$B$1:$L$258,4,FALSE))))</f>
        <v/>
      </c>
      <c r="E122" s="382" t="str">
        <f>IF(B122="","",IF(ISNA(VLOOKUP($B122,'E-1 Off-Site Hedge Baseline'!$B$1:$L$257,5,FALSE)),"",(VLOOKUP($B122,'E-1 Off-Site Hedge Baseline'!$B$1:$L$257,5,FALSE))))</f>
        <v/>
      </c>
      <c r="F122" s="382" t="str">
        <f>IF(B122="","",IF(ISNA(VLOOKUP($B122,'E-1 Off-Site Hedge Baseline'!$B$1:$L$257,6,FALSE)),"",(VLOOKUP($B122,'E-1 Off-Site Hedge Baseline'!$B$1:$L$257,6,FALSE))))</f>
        <v/>
      </c>
      <c r="G122" s="382" t="str">
        <f>IF(B122="","",IF(ISNA(VLOOKUP($B122,'E-1 Off-Site Hedge Baseline'!$B$1:$L$257,7,FALSE)),"",(VLOOKUP($B122,'E-1 Off-Site Hedge Baseline'!$B$1:$L$257,7,FALSE))))</f>
        <v/>
      </c>
      <c r="H122" s="382" t="str">
        <f>IF(B122="","",IF(ISNA(VLOOKUP($B122,'E-1 Off-Site Hedge Baseline'!$B$1:$L$257,8,FALSE)),"",(VLOOKUP($B122,'E-1 Off-Site Hedge Baseline'!$B$1:$L$257,8,FALSE))))</f>
        <v/>
      </c>
      <c r="I122" s="382" t="str">
        <f>IF(B122="","",IF(ISNA(VLOOKUP($B122,'E-1 Off-Site Hedge Baseline'!$B$1:$L$257,10,FALSE)),"",(VLOOKUP($B122,'E-1 Off-Site Hedge Baseline'!$B$1:$L$257,10,FALSE))))</f>
        <v/>
      </c>
      <c r="J122" s="382" t="str">
        <f>IF(B122="","",IF(ISNA(VLOOKUP($B122,'E-1 Off-Site Hedge Baseline'!$B$1:$L$257,11,FALSE)),"",(VLOOKUP($B122,'E-1 Off-Site Hedge Baseline'!$B$1:$L$257,11,FALSE))))</f>
        <v/>
      </c>
      <c r="K122" s="382" t="str">
        <f>IF(B122="","",IF(ISNA(VLOOKUP($B122,'E-1 Off-Site Hedge Baseline'!$B$1:$X$257,113,FALSE)),"",(VLOOKUP($B122,'E-1 Off-Site Hedge Baseline'!$B$1:$X$257,13,FALSE))))</f>
        <v/>
      </c>
      <c r="L122" s="370" t="str">
        <f>IF(B122="","",IF(ISNA(VLOOKUP($B122,'E-1 Off-Site Hedge Baseline'!$B$1:$X$257,12,FALSE)),"",(VLOOKUP($B122,'E-1 Off-Site Hedge Baseline'!$B$1:$X$257,12,FALSE))))</f>
        <v/>
      </c>
      <c r="M122" s="316" t="str">
        <f t="shared" si="9"/>
        <v/>
      </c>
      <c r="N122" s="362" t="str">
        <f>IFERROR(IF(B122="","",INDEX('G-6 Hedgerow Data'!$AN$3:$AZ$15,MATCH(C122,'G-6 Hedgerow Data'!$AM$3:$AM$15,0),MATCH(M122,'G-6 Hedgerow Data'!$AN$2:$AZ$2,0))),"")</f>
        <v/>
      </c>
      <c r="O122" s="363" t="str">
        <f t="shared" si="11"/>
        <v/>
      </c>
      <c r="P122" s="368" t="str">
        <f>IF(B122="","",VLOOKUP(B122,'E-1 Off-Site Hedge Baseline'!$B$10:W367,19,FALSE))</f>
        <v/>
      </c>
      <c r="Q122" s="362" t="str">
        <f>IF(M122="","",VLOOKUP(M122,'G-6 Hedgerow Data'!$B$2:$AG$15,2,FALSE))</f>
        <v/>
      </c>
      <c r="R122" s="363" t="str">
        <f>IF(M122="","",VLOOKUP(M122,'G-6 Hedgerow Data'!$B$2:$AG$15,3,FALSE))</f>
        <v/>
      </c>
      <c r="S122" s="114"/>
      <c r="T122" s="363" t="str">
        <f>IFERROR(IF(AND(Q122="V.Low",OR(S122="Good",S122="Moderate")),"Error ▲",VLOOKUP(S122,'G-1 All Habitats'!$Z$2:$AA$9,2,FALSE)),"")</f>
        <v/>
      </c>
      <c r="U122" s="114"/>
      <c r="V122" s="370" t="str">
        <f>IF(U122="","",IF(VLOOKUP(U122,'G-3 Multipliers'!$L$3:$N$6,2,FALSE)=0,"Spatial Data Missing ⚠",VLOOKUP(U122,'G-3 Multipliers'!$L$3:$N$6,2,FALSE)))</f>
        <v/>
      </c>
      <c r="W122" s="368" t="str">
        <f>IF(U122="","",IF(VLOOKUP(U122,'G-3 Multipliers'!$L$3:$N$6,3,FALSE)=0,"Spatial Data Missing ⚠",VLOOKUP(U122,'G-3 Multipliers'!$L$3:$N$6,3,FALSE)))</f>
        <v/>
      </c>
      <c r="X122" s="362" t="str">
        <f>IFERROR(IF(OR(LEFT(O122,5)="Error",LEFT(N122,5)="Error",T122="Error"),"Check Data ⚠",IF(F122&lt;R122,INDEX('G-6 Hedgerow Data'!$S$3:$AE$14,MATCH(C122,'G-6 Hedgerow Data'!$B$3:$B$14,0),MATCH(M122,'G-6 Hedgerow Data'!$S$2:$AE$2,0)),INDEX('G-6 Hedgerow Data'!$K$3:$Q$14,MATCH(M122,'G-6 Hedgerow Data'!$B$3:$B$14,0),MATCH(O122,'G-6 Hedgerow Data'!$K$2:$Q$2,0)))),"")</f>
        <v/>
      </c>
      <c r="Y122" s="159"/>
      <c r="Z122" s="159"/>
      <c r="AA122" s="370" t="str">
        <f t="shared" si="12"/>
        <v/>
      </c>
      <c r="AB122" s="383" t="str">
        <f t="shared" si="13"/>
        <v/>
      </c>
      <c r="AC122" s="384" t="str">
        <f t="shared" si="10"/>
        <v/>
      </c>
      <c r="AD122" s="398" t="str">
        <f>IF(M122="","",VLOOKUP(M122,'G-6 Hedgerow Data'!$B$3:$AG$15,31,FALSE))</f>
        <v/>
      </c>
      <c r="AE122" s="382" t="str">
        <f t="shared" si="14"/>
        <v/>
      </c>
      <c r="AF122" s="382" t="str">
        <f t="shared" si="15"/>
        <v/>
      </c>
      <c r="AG122" s="386" t="str">
        <f>IFERROR(IF(O122="","",VLOOKUP(AD122,'G-3 Multipliers'!$P$3:$Q$6,2,FALSE)),"")</f>
        <v/>
      </c>
      <c r="AH122" s="160"/>
      <c r="AI122" s="363" t="str">
        <f>IF(AH122="","",IF(VLOOKUP(AH122,'G-3 Multipliers'!$S$3:$T$10,2,FALSE)=0,"Spatial Data Missing ⚠",VLOOKUP(AH122,'G-3 Multipliers'!$S$3:$T$10,2,FALSE)))</f>
        <v/>
      </c>
      <c r="AJ122" s="405" t="str">
        <f t="shared" si="16"/>
        <v/>
      </c>
      <c r="AK122" s="376" t="str">
        <f t="shared" si="17"/>
        <v/>
      </c>
      <c r="AL122" s="117"/>
      <c r="AM122" s="118"/>
      <c r="AN122" s="120"/>
      <c r="AO122" s="120"/>
      <c r="AQ122" s="30" t="str">
        <f>IFERROR(INDEX('G-6 Hedgerow Data'!$BJ$3:$BJ$15,MATCH(M122,'G-6 Hedgerow Data'!$B$3:$B$15,0)),"")</f>
        <v/>
      </c>
    </row>
    <row r="123" spans="2:43" ht="15">
      <c r="B123" s="392" t="str">
        <f>'E-1 Off-Site Hedge Baseline'!AN121</f>
        <v/>
      </c>
      <c r="C123" s="382" t="str">
        <f>IF(B123="","",IF(ISNA(VLOOKUP($B123,'E-1 Off-Site Hedge Baseline'!$B$1:$L$257,3,FALSE)),"",(VLOOKUP($B123,'E-1 Off-Site Hedge Baseline'!$B$1:$L$257,3,FALSE))))</f>
        <v/>
      </c>
      <c r="D123" s="382" t="str">
        <f>IF(B123="","",IF(ISNA(VLOOKUP($B123,'E-1 Off-Site Hedge Baseline'!$B$1:$L$258,4,FALSE)),"",(VLOOKUP($B123,'E-1 Off-Site Hedge Baseline'!$B$1:$L$258,4,FALSE))))</f>
        <v/>
      </c>
      <c r="E123" s="382" t="str">
        <f>IF(B123="","",IF(ISNA(VLOOKUP($B123,'E-1 Off-Site Hedge Baseline'!$B$1:$L$257,5,FALSE)),"",(VLOOKUP($B123,'E-1 Off-Site Hedge Baseline'!$B$1:$L$257,5,FALSE))))</f>
        <v/>
      </c>
      <c r="F123" s="382" t="str">
        <f>IF(B123="","",IF(ISNA(VLOOKUP($B123,'E-1 Off-Site Hedge Baseline'!$B$1:$L$257,6,FALSE)),"",(VLOOKUP($B123,'E-1 Off-Site Hedge Baseline'!$B$1:$L$257,6,FALSE))))</f>
        <v/>
      </c>
      <c r="G123" s="382" t="str">
        <f>IF(B123="","",IF(ISNA(VLOOKUP($B123,'E-1 Off-Site Hedge Baseline'!$B$1:$L$257,7,FALSE)),"",(VLOOKUP($B123,'E-1 Off-Site Hedge Baseline'!$B$1:$L$257,7,FALSE))))</f>
        <v/>
      </c>
      <c r="H123" s="382" t="str">
        <f>IF(B123="","",IF(ISNA(VLOOKUP($B123,'E-1 Off-Site Hedge Baseline'!$B$1:$L$257,8,FALSE)),"",(VLOOKUP($B123,'E-1 Off-Site Hedge Baseline'!$B$1:$L$257,8,FALSE))))</f>
        <v/>
      </c>
      <c r="I123" s="382" t="str">
        <f>IF(B123="","",IF(ISNA(VLOOKUP($B123,'E-1 Off-Site Hedge Baseline'!$B$1:$L$257,10,FALSE)),"",(VLOOKUP($B123,'E-1 Off-Site Hedge Baseline'!$B$1:$L$257,10,FALSE))))</f>
        <v/>
      </c>
      <c r="J123" s="382" t="str">
        <f>IF(B123="","",IF(ISNA(VLOOKUP($B123,'E-1 Off-Site Hedge Baseline'!$B$1:$L$257,11,FALSE)),"",(VLOOKUP($B123,'E-1 Off-Site Hedge Baseline'!$B$1:$L$257,11,FALSE))))</f>
        <v/>
      </c>
      <c r="K123" s="382" t="str">
        <f>IF(B123="","",IF(ISNA(VLOOKUP($B123,'E-1 Off-Site Hedge Baseline'!$B$1:$X$257,113,FALSE)),"",(VLOOKUP($B123,'E-1 Off-Site Hedge Baseline'!$B$1:$X$257,13,FALSE))))</f>
        <v/>
      </c>
      <c r="L123" s="370" t="str">
        <f>IF(B123="","",IF(ISNA(VLOOKUP($B123,'E-1 Off-Site Hedge Baseline'!$B$1:$X$257,12,FALSE)),"",(VLOOKUP($B123,'E-1 Off-Site Hedge Baseline'!$B$1:$X$257,12,FALSE))))</f>
        <v/>
      </c>
      <c r="M123" s="316" t="str">
        <f t="shared" si="9"/>
        <v/>
      </c>
      <c r="N123" s="362" t="str">
        <f>IFERROR(IF(B123="","",INDEX('G-6 Hedgerow Data'!$AN$3:$AZ$15,MATCH(C123,'G-6 Hedgerow Data'!$AM$3:$AM$15,0),MATCH(M123,'G-6 Hedgerow Data'!$AN$2:$AZ$2,0))),"")</f>
        <v/>
      </c>
      <c r="O123" s="363" t="str">
        <f t="shared" si="11"/>
        <v/>
      </c>
      <c r="P123" s="368" t="str">
        <f>IF(B123="","",VLOOKUP(B123,'E-1 Off-Site Hedge Baseline'!$B$10:W368,19,FALSE))</f>
        <v/>
      </c>
      <c r="Q123" s="362" t="str">
        <f>IF(M123="","",VLOOKUP(M123,'G-6 Hedgerow Data'!$B$2:$AG$15,2,FALSE))</f>
        <v/>
      </c>
      <c r="R123" s="363" t="str">
        <f>IF(M123="","",VLOOKUP(M123,'G-6 Hedgerow Data'!$B$2:$AG$15,3,FALSE))</f>
        <v/>
      </c>
      <c r="S123" s="114"/>
      <c r="T123" s="363" t="str">
        <f>IFERROR(IF(AND(Q123="V.Low",OR(S123="Good",S123="Moderate")),"Error ▲",VLOOKUP(S123,'G-1 All Habitats'!$Z$2:$AA$9,2,FALSE)),"")</f>
        <v/>
      </c>
      <c r="U123" s="114"/>
      <c r="V123" s="370" t="str">
        <f>IF(U123="","",IF(VLOOKUP(U123,'G-3 Multipliers'!$L$3:$N$6,2,FALSE)=0,"Spatial Data Missing ⚠",VLOOKUP(U123,'G-3 Multipliers'!$L$3:$N$6,2,FALSE)))</f>
        <v/>
      </c>
      <c r="W123" s="368" t="str">
        <f>IF(U123="","",IF(VLOOKUP(U123,'G-3 Multipliers'!$L$3:$N$6,3,FALSE)=0,"Spatial Data Missing ⚠",VLOOKUP(U123,'G-3 Multipliers'!$L$3:$N$6,3,FALSE)))</f>
        <v/>
      </c>
      <c r="X123" s="362" t="str">
        <f>IFERROR(IF(OR(LEFT(O123,5)="Error",LEFT(N123,5)="Error",T123="Error"),"Check Data ⚠",IF(F123&lt;R123,INDEX('G-6 Hedgerow Data'!$S$3:$AE$14,MATCH(C123,'G-6 Hedgerow Data'!$B$3:$B$14,0),MATCH(M123,'G-6 Hedgerow Data'!$S$2:$AE$2,0)),INDEX('G-6 Hedgerow Data'!$K$3:$Q$14,MATCH(M123,'G-6 Hedgerow Data'!$B$3:$B$14,0),MATCH(O123,'G-6 Hedgerow Data'!$K$2:$Q$2,0)))),"")</f>
        <v/>
      </c>
      <c r="Y123" s="159"/>
      <c r="Z123" s="159"/>
      <c r="AA123" s="370" t="str">
        <f t="shared" si="12"/>
        <v/>
      </c>
      <c r="AB123" s="383" t="str">
        <f t="shared" si="13"/>
        <v/>
      </c>
      <c r="AC123" s="384" t="str">
        <f t="shared" si="10"/>
        <v/>
      </c>
      <c r="AD123" s="398" t="str">
        <f>IF(M123="","",VLOOKUP(M123,'G-6 Hedgerow Data'!$B$3:$AG$15,31,FALSE))</f>
        <v/>
      </c>
      <c r="AE123" s="382" t="str">
        <f t="shared" si="14"/>
        <v/>
      </c>
      <c r="AF123" s="382" t="str">
        <f t="shared" si="15"/>
        <v/>
      </c>
      <c r="AG123" s="386" t="str">
        <f>IFERROR(IF(O123="","",VLOOKUP(AD123,'G-3 Multipliers'!$P$3:$Q$6,2,FALSE)),"")</f>
        <v/>
      </c>
      <c r="AH123" s="160"/>
      <c r="AI123" s="363" t="str">
        <f>IF(AH123="","",IF(VLOOKUP(AH123,'G-3 Multipliers'!$S$3:$T$10,2,FALSE)=0,"Spatial Data Missing ⚠",VLOOKUP(AH123,'G-3 Multipliers'!$S$3:$T$10,2,FALSE)))</f>
        <v/>
      </c>
      <c r="AJ123" s="405" t="str">
        <f t="shared" si="16"/>
        <v/>
      </c>
      <c r="AK123" s="376" t="str">
        <f t="shared" si="17"/>
        <v/>
      </c>
      <c r="AL123" s="117"/>
      <c r="AM123" s="118"/>
      <c r="AN123" s="120"/>
      <c r="AO123" s="120"/>
      <c r="AQ123" s="30" t="str">
        <f>IFERROR(INDEX('G-6 Hedgerow Data'!$BJ$3:$BJ$15,MATCH(M123,'G-6 Hedgerow Data'!$B$3:$B$15,0)),"")</f>
        <v/>
      </c>
    </row>
    <row r="124" spans="2:43" ht="15">
      <c r="B124" s="392" t="str">
        <f>'E-1 Off-Site Hedge Baseline'!AN122</f>
        <v/>
      </c>
      <c r="C124" s="382" t="str">
        <f>IF(B124="","",IF(ISNA(VLOOKUP($B124,'E-1 Off-Site Hedge Baseline'!$B$1:$L$257,3,FALSE)),"",(VLOOKUP($B124,'E-1 Off-Site Hedge Baseline'!$B$1:$L$257,3,FALSE))))</f>
        <v/>
      </c>
      <c r="D124" s="382" t="str">
        <f>IF(B124="","",IF(ISNA(VLOOKUP($B124,'E-1 Off-Site Hedge Baseline'!$B$1:$L$258,4,FALSE)),"",(VLOOKUP($B124,'E-1 Off-Site Hedge Baseline'!$B$1:$L$258,4,FALSE))))</f>
        <v/>
      </c>
      <c r="E124" s="382" t="str">
        <f>IF(B124="","",IF(ISNA(VLOOKUP($B124,'E-1 Off-Site Hedge Baseline'!$B$1:$L$257,5,FALSE)),"",(VLOOKUP($B124,'E-1 Off-Site Hedge Baseline'!$B$1:$L$257,5,FALSE))))</f>
        <v/>
      </c>
      <c r="F124" s="382" t="str">
        <f>IF(B124="","",IF(ISNA(VLOOKUP($B124,'E-1 Off-Site Hedge Baseline'!$B$1:$L$257,6,FALSE)),"",(VLOOKUP($B124,'E-1 Off-Site Hedge Baseline'!$B$1:$L$257,6,FALSE))))</f>
        <v/>
      </c>
      <c r="G124" s="382" t="str">
        <f>IF(B124="","",IF(ISNA(VLOOKUP($B124,'E-1 Off-Site Hedge Baseline'!$B$1:$L$257,7,FALSE)),"",(VLOOKUP($B124,'E-1 Off-Site Hedge Baseline'!$B$1:$L$257,7,FALSE))))</f>
        <v/>
      </c>
      <c r="H124" s="382" t="str">
        <f>IF(B124="","",IF(ISNA(VLOOKUP($B124,'E-1 Off-Site Hedge Baseline'!$B$1:$L$257,8,FALSE)),"",(VLOOKUP($B124,'E-1 Off-Site Hedge Baseline'!$B$1:$L$257,8,FALSE))))</f>
        <v/>
      </c>
      <c r="I124" s="382" t="str">
        <f>IF(B124="","",IF(ISNA(VLOOKUP($B124,'E-1 Off-Site Hedge Baseline'!$B$1:$L$257,10,FALSE)),"",(VLOOKUP($B124,'E-1 Off-Site Hedge Baseline'!$B$1:$L$257,10,FALSE))))</f>
        <v/>
      </c>
      <c r="J124" s="382" t="str">
        <f>IF(B124="","",IF(ISNA(VLOOKUP($B124,'E-1 Off-Site Hedge Baseline'!$B$1:$L$257,11,FALSE)),"",(VLOOKUP($B124,'E-1 Off-Site Hedge Baseline'!$B$1:$L$257,11,FALSE))))</f>
        <v/>
      </c>
      <c r="K124" s="382" t="str">
        <f>IF(B124="","",IF(ISNA(VLOOKUP($B124,'E-1 Off-Site Hedge Baseline'!$B$1:$X$257,113,FALSE)),"",(VLOOKUP($B124,'E-1 Off-Site Hedge Baseline'!$B$1:$X$257,13,FALSE))))</f>
        <v/>
      </c>
      <c r="L124" s="370" t="str">
        <f>IF(B124="","",IF(ISNA(VLOOKUP($B124,'E-1 Off-Site Hedge Baseline'!$B$1:$X$257,12,FALSE)),"",(VLOOKUP($B124,'E-1 Off-Site Hedge Baseline'!$B$1:$X$257,12,FALSE))))</f>
        <v/>
      </c>
      <c r="M124" s="316" t="str">
        <f t="shared" si="9"/>
        <v/>
      </c>
      <c r="N124" s="362" t="str">
        <f>IFERROR(IF(B124="","",INDEX('G-6 Hedgerow Data'!$AN$3:$AZ$15,MATCH(C124,'G-6 Hedgerow Data'!$AM$3:$AM$15,0),MATCH(M124,'G-6 Hedgerow Data'!$AN$2:$AZ$2,0))),"")</f>
        <v/>
      </c>
      <c r="O124" s="363" t="str">
        <f t="shared" si="11"/>
        <v/>
      </c>
      <c r="P124" s="368" t="str">
        <f>IF(B124="","",VLOOKUP(B124,'E-1 Off-Site Hedge Baseline'!$B$10:W369,19,FALSE))</f>
        <v/>
      </c>
      <c r="Q124" s="362" t="str">
        <f>IF(M124="","",VLOOKUP(M124,'G-6 Hedgerow Data'!$B$2:$AG$15,2,FALSE))</f>
        <v/>
      </c>
      <c r="R124" s="363" t="str">
        <f>IF(M124="","",VLOOKUP(M124,'G-6 Hedgerow Data'!$B$2:$AG$15,3,FALSE))</f>
        <v/>
      </c>
      <c r="S124" s="114"/>
      <c r="T124" s="363" t="str">
        <f>IFERROR(IF(AND(Q124="V.Low",OR(S124="Good",S124="Moderate")),"Error ▲",VLOOKUP(S124,'G-1 All Habitats'!$Z$2:$AA$9,2,FALSE)),"")</f>
        <v/>
      </c>
      <c r="U124" s="114"/>
      <c r="V124" s="370" t="str">
        <f>IF(U124="","",IF(VLOOKUP(U124,'G-3 Multipliers'!$L$3:$N$6,2,FALSE)=0,"Spatial Data Missing ⚠",VLOOKUP(U124,'G-3 Multipliers'!$L$3:$N$6,2,FALSE)))</f>
        <v/>
      </c>
      <c r="W124" s="368" t="str">
        <f>IF(U124="","",IF(VLOOKUP(U124,'G-3 Multipliers'!$L$3:$N$6,3,FALSE)=0,"Spatial Data Missing ⚠",VLOOKUP(U124,'G-3 Multipliers'!$L$3:$N$6,3,FALSE)))</f>
        <v/>
      </c>
      <c r="X124" s="362" t="str">
        <f>IFERROR(IF(OR(LEFT(O124,5)="Error",LEFT(N124,5)="Error",T124="Error"),"Check Data ⚠",IF(F124&lt;R124,INDEX('G-6 Hedgerow Data'!$S$3:$AE$14,MATCH(C124,'G-6 Hedgerow Data'!$B$3:$B$14,0),MATCH(M124,'G-6 Hedgerow Data'!$S$2:$AE$2,0)),INDEX('G-6 Hedgerow Data'!$K$3:$Q$14,MATCH(M124,'G-6 Hedgerow Data'!$B$3:$B$14,0),MATCH(O124,'G-6 Hedgerow Data'!$K$2:$Q$2,0)))),"")</f>
        <v/>
      </c>
      <c r="Y124" s="159"/>
      <c r="Z124" s="159"/>
      <c r="AA124" s="370" t="str">
        <f t="shared" si="12"/>
        <v/>
      </c>
      <c r="AB124" s="383" t="str">
        <f t="shared" si="13"/>
        <v/>
      </c>
      <c r="AC124" s="384" t="str">
        <f t="shared" si="10"/>
        <v/>
      </c>
      <c r="AD124" s="398" t="str">
        <f>IF(M124="","",VLOOKUP(M124,'G-6 Hedgerow Data'!$B$3:$AG$15,31,FALSE))</f>
        <v/>
      </c>
      <c r="AE124" s="382" t="str">
        <f t="shared" si="14"/>
        <v/>
      </c>
      <c r="AF124" s="382" t="str">
        <f t="shared" si="15"/>
        <v/>
      </c>
      <c r="AG124" s="386" t="str">
        <f>IFERROR(IF(O124="","",VLOOKUP(AD124,'G-3 Multipliers'!$P$3:$Q$6,2,FALSE)),"")</f>
        <v/>
      </c>
      <c r="AH124" s="160"/>
      <c r="AI124" s="363" t="str">
        <f>IF(AH124="","",IF(VLOOKUP(AH124,'G-3 Multipliers'!$S$3:$T$10,2,FALSE)=0,"Spatial Data Missing ⚠",VLOOKUP(AH124,'G-3 Multipliers'!$S$3:$T$10,2,FALSE)))</f>
        <v/>
      </c>
      <c r="AJ124" s="405" t="str">
        <f t="shared" si="16"/>
        <v/>
      </c>
      <c r="AK124" s="376" t="str">
        <f t="shared" si="17"/>
        <v/>
      </c>
      <c r="AL124" s="117"/>
      <c r="AM124" s="118"/>
      <c r="AN124" s="120"/>
      <c r="AO124" s="120"/>
      <c r="AQ124" s="30" t="str">
        <f>IFERROR(INDEX('G-6 Hedgerow Data'!$BJ$3:$BJ$15,MATCH(M124,'G-6 Hedgerow Data'!$B$3:$B$15,0)),"")</f>
        <v/>
      </c>
    </row>
    <row r="125" spans="2:43" ht="15">
      <c r="B125" s="392" t="str">
        <f>'E-1 Off-Site Hedge Baseline'!AN123</f>
        <v/>
      </c>
      <c r="C125" s="382" t="str">
        <f>IF(B125="","",IF(ISNA(VLOOKUP($B125,'E-1 Off-Site Hedge Baseline'!$B$1:$L$257,3,FALSE)),"",(VLOOKUP($B125,'E-1 Off-Site Hedge Baseline'!$B$1:$L$257,3,FALSE))))</f>
        <v/>
      </c>
      <c r="D125" s="382" t="str">
        <f>IF(B125="","",IF(ISNA(VLOOKUP($B125,'E-1 Off-Site Hedge Baseline'!$B$1:$L$258,4,FALSE)),"",(VLOOKUP($B125,'E-1 Off-Site Hedge Baseline'!$B$1:$L$258,4,FALSE))))</f>
        <v/>
      </c>
      <c r="E125" s="382" t="str">
        <f>IF(B125="","",IF(ISNA(VLOOKUP($B125,'E-1 Off-Site Hedge Baseline'!$B$1:$L$257,5,FALSE)),"",(VLOOKUP($B125,'E-1 Off-Site Hedge Baseline'!$B$1:$L$257,5,FALSE))))</f>
        <v/>
      </c>
      <c r="F125" s="382" t="str">
        <f>IF(B125="","",IF(ISNA(VLOOKUP($B125,'E-1 Off-Site Hedge Baseline'!$B$1:$L$257,6,FALSE)),"",(VLOOKUP($B125,'E-1 Off-Site Hedge Baseline'!$B$1:$L$257,6,FALSE))))</f>
        <v/>
      </c>
      <c r="G125" s="382" t="str">
        <f>IF(B125="","",IF(ISNA(VLOOKUP($B125,'E-1 Off-Site Hedge Baseline'!$B$1:$L$257,7,FALSE)),"",(VLOOKUP($B125,'E-1 Off-Site Hedge Baseline'!$B$1:$L$257,7,FALSE))))</f>
        <v/>
      </c>
      <c r="H125" s="382" t="str">
        <f>IF(B125="","",IF(ISNA(VLOOKUP($B125,'E-1 Off-Site Hedge Baseline'!$B$1:$L$257,8,FALSE)),"",(VLOOKUP($B125,'E-1 Off-Site Hedge Baseline'!$B$1:$L$257,8,FALSE))))</f>
        <v/>
      </c>
      <c r="I125" s="382" t="str">
        <f>IF(B125="","",IF(ISNA(VLOOKUP($B125,'E-1 Off-Site Hedge Baseline'!$B$1:$L$257,10,FALSE)),"",(VLOOKUP($B125,'E-1 Off-Site Hedge Baseline'!$B$1:$L$257,10,FALSE))))</f>
        <v/>
      </c>
      <c r="J125" s="382" t="str">
        <f>IF(B125="","",IF(ISNA(VLOOKUP($B125,'E-1 Off-Site Hedge Baseline'!$B$1:$L$257,11,FALSE)),"",(VLOOKUP($B125,'E-1 Off-Site Hedge Baseline'!$B$1:$L$257,11,FALSE))))</f>
        <v/>
      </c>
      <c r="K125" s="382" t="str">
        <f>IF(B125="","",IF(ISNA(VLOOKUP($B125,'E-1 Off-Site Hedge Baseline'!$B$1:$X$257,113,FALSE)),"",(VLOOKUP($B125,'E-1 Off-Site Hedge Baseline'!$B$1:$X$257,13,FALSE))))</f>
        <v/>
      </c>
      <c r="L125" s="370" t="str">
        <f>IF(B125="","",IF(ISNA(VLOOKUP($B125,'E-1 Off-Site Hedge Baseline'!$B$1:$X$257,12,FALSE)),"",(VLOOKUP($B125,'E-1 Off-Site Hedge Baseline'!$B$1:$X$257,12,FALSE))))</f>
        <v/>
      </c>
      <c r="M125" s="316" t="str">
        <f t="shared" si="9"/>
        <v/>
      </c>
      <c r="N125" s="362" t="str">
        <f>IFERROR(IF(B125="","",INDEX('G-6 Hedgerow Data'!$AN$3:$AZ$15,MATCH(C125,'G-6 Hedgerow Data'!$AM$3:$AM$15,0),MATCH(M125,'G-6 Hedgerow Data'!$AN$2:$AZ$2,0))),"")</f>
        <v/>
      </c>
      <c r="O125" s="363" t="str">
        <f t="shared" si="11"/>
        <v/>
      </c>
      <c r="P125" s="368" t="str">
        <f>IF(B125="","",VLOOKUP(B125,'E-1 Off-Site Hedge Baseline'!$B$10:W370,19,FALSE))</f>
        <v/>
      </c>
      <c r="Q125" s="362" t="str">
        <f>IF(M125="","",VLOOKUP(M125,'G-6 Hedgerow Data'!$B$2:$AG$15,2,FALSE))</f>
        <v/>
      </c>
      <c r="R125" s="363" t="str">
        <f>IF(M125="","",VLOOKUP(M125,'G-6 Hedgerow Data'!$B$2:$AG$15,3,FALSE))</f>
        <v/>
      </c>
      <c r="S125" s="114"/>
      <c r="T125" s="363" t="str">
        <f>IFERROR(IF(AND(Q125="V.Low",OR(S125="Good",S125="Moderate")),"Error ▲",VLOOKUP(S125,'G-1 All Habitats'!$Z$2:$AA$9,2,FALSE)),"")</f>
        <v/>
      </c>
      <c r="U125" s="114"/>
      <c r="V125" s="370" t="str">
        <f>IF(U125="","",IF(VLOOKUP(U125,'G-3 Multipliers'!$L$3:$N$6,2,FALSE)=0,"Spatial Data Missing ⚠",VLOOKUP(U125,'G-3 Multipliers'!$L$3:$N$6,2,FALSE)))</f>
        <v/>
      </c>
      <c r="W125" s="368" t="str">
        <f>IF(U125="","",IF(VLOOKUP(U125,'G-3 Multipliers'!$L$3:$N$6,3,FALSE)=0,"Spatial Data Missing ⚠",VLOOKUP(U125,'G-3 Multipliers'!$L$3:$N$6,3,FALSE)))</f>
        <v/>
      </c>
      <c r="X125" s="362" t="str">
        <f>IFERROR(IF(OR(LEFT(O125,5)="Error",LEFT(N125,5)="Error",T125="Error"),"Check Data ⚠",IF(F125&lt;R125,INDEX('G-6 Hedgerow Data'!$S$3:$AE$14,MATCH(C125,'G-6 Hedgerow Data'!$B$3:$B$14,0),MATCH(M125,'G-6 Hedgerow Data'!$S$2:$AE$2,0)),INDEX('G-6 Hedgerow Data'!$K$3:$Q$14,MATCH(M125,'G-6 Hedgerow Data'!$B$3:$B$14,0),MATCH(O125,'G-6 Hedgerow Data'!$K$2:$Q$2,0)))),"")</f>
        <v/>
      </c>
      <c r="Y125" s="159"/>
      <c r="Z125" s="159"/>
      <c r="AA125" s="370" t="str">
        <f t="shared" si="12"/>
        <v/>
      </c>
      <c r="AB125" s="383" t="str">
        <f t="shared" si="13"/>
        <v/>
      </c>
      <c r="AC125" s="384" t="str">
        <f t="shared" si="10"/>
        <v/>
      </c>
      <c r="AD125" s="398" t="str">
        <f>IF(M125="","",VLOOKUP(M125,'G-6 Hedgerow Data'!$B$3:$AG$15,31,FALSE))</f>
        <v/>
      </c>
      <c r="AE125" s="382" t="str">
        <f t="shared" si="14"/>
        <v/>
      </c>
      <c r="AF125" s="382" t="str">
        <f t="shared" si="15"/>
        <v/>
      </c>
      <c r="AG125" s="386" t="str">
        <f>IFERROR(IF(O125="","",VLOOKUP(AD125,'G-3 Multipliers'!$P$3:$Q$6,2,FALSE)),"")</f>
        <v/>
      </c>
      <c r="AH125" s="160"/>
      <c r="AI125" s="363" t="str">
        <f>IF(AH125="","",IF(VLOOKUP(AH125,'G-3 Multipliers'!$S$3:$T$10,2,FALSE)=0,"Spatial Data Missing ⚠",VLOOKUP(AH125,'G-3 Multipliers'!$S$3:$T$10,2,FALSE)))</f>
        <v/>
      </c>
      <c r="AJ125" s="405" t="str">
        <f t="shared" si="16"/>
        <v/>
      </c>
      <c r="AK125" s="376" t="str">
        <f t="shared" si="17"/>
        <v/>
      </c>
      <c r="AL125" s="117"/>
      <c r="AM125" s="118"/>
      <c r="AN125" s="120"/>
      <c r="AO125" s="120"/>
      <c r="AQ125" s="30" t="str">
        <f>IFERROR(INDEX('G-6 Hedgerow Data'!$BJ$3:$BJ$15,MATCH(M125,'G-6 Hedgerow Data'!$B$3:$B$15,0)),"")</f>
        <v/>
      </c>
    </row>
    <row r="126" spans="2:43" ht="15">
      <c r="B126" s="392" t="str">
        <f>'E-1 Off-Site Hedge Baseline'!AN124</f>
        <v/>
      </c>
      <c r="C126" s="382" t="str">
        <f>IF(B126="","",IF(ISNA(VLOOKUP($B126,'E-1 Off-Site Hedge Baseline'!$B$1:$L$257,3,FALSE)),"",(VLOOKUP($B126,'E-1 Off-Site Hedge Baseline'!$B$1:$L$257,3,FALSE))))</f>
        <v/>
      </c>
      <c r="D126" s="382" t="str">
        <f>IF(B126="","",IF(ISNA(VLOOKUP($B126,'E-1 Off-Site Hedge Baseline'!$B$1:$L$258,4,FALSE)),"",(VLOOKUP($B126,'E-1 Off-Site Hedge Baseline'!$B$1:$L$258,4,FALSE))))</f>
        <v/>
      </c>
      <c r="E126" s="382" t="str">
        <f>IF(B126="","",IF(ISNA(VLOOKUP($B126,'E-1 Off-Site Hedge Baseline'!$B$1:$L$257,5,FALSE)),"",(VLOOKUP($B126,'E-1 Off-Site Hedge Baseline'!$B$1:$L$257,5,FALSE))))</f>
        <v/>
      </c>
      <c r="F126" s="382" t="str">
        <f>IF(B126="","",IF(ISNA(VLOOKUP($B126,'E-1 Off-Site Hedge Baseline'!$B$1:$L$257,6,FALSE)),"",(VLOOKUP($B126,'E-1 Off-Site Hedge Baseline'!$B$1:$L$257,6,FALSE))))</f>
        <v/>
      </c>
      <c r="G126" s="382" t="str">
        <f>IF(B126="","",IF(ISNA(VLOOKUP($B126,'E-1 Off-Site Hedge Baseline'!$B$1:$L$257,7,FALSE)),"",(VLOOKUP($B126,'E-1 Off-Site Hedge Baseline'!$B$1:$L$257,7,FALSE))))</f>
        <v/>
      </c>
      <c r="H126" s="382" t="str">
        <f>IF(B126="","",IF(ISNA(VLOOKUP($B126,'E-1 Off-Site Hedge Baseline'!$B$1:$L$257,8,FALSE)),"",(VLOOKUP($B126,'E-1 Off-Site Hedge Baseline'!$B$1:$L$257,8,FALSE))))</f>
        <v/>
      </c>
      <c r="I126" s="382" t="str">
        <f>IF(B126="","",IF(ISNA(VLOOKUP($B126,'E-1 Off-Site Hedge Baseline'!$B$1:$L$257,10,FALSE)),"",(VLOOKUP($B126,'E-1 Off-Site Hedge Baseline'!$B$1:$L$257,10,FALSE))))</f>
        <v/>
      </c>
      <c r="J126" s="382" t="str">
        <f>IF(B126="","",IF(ISNA(VLOOKUP($B126,'E-1 Off-Site Hedge Baseline'!$B$1:$L$257,11,FALSE)),"",(VLOOKUP($B126,'E-1 Off-Site Hedge Baseline'!$B$1:$L$257,11,FALSE))))</f>
        <v/>
      </c>
      <c r="K126" s="382" t="str">
        <f>IF(B126="","",IF(ISNA(VLOOKUP($B126,'E-1 Off-Site Hedge Baseline'!$B$1:$X$257,113,FALSE)),"",(VLOOKUP($B126,'E-1 Off-Site Hedge Baseline'!$B$1:$X$257,13,FALSE))))</f>
        <v/>
      </c>
      <c r="L126" s="370" t="str">
        <f>IF(B126="","",IF(ISNA(VLOOKUP($B126,'E-1 Off-Site Hedge Baseline'!$B$1:$X$257,12,FALSE)),"",(VLOOKUP($B126,'E-1 Off-Site Hedge Baseline'!$B$1:$X$257,12,FALSE))))</f>
        <v/>
      </c>
      <c r="M126" s="316" t="str">
        <f t="shared" si="9"/>
        <v/>
      </c>
      <c r="N126" s="362" t="str">
        <f>IFERROR(IF(B126="","",INDEX('G-6 Hedgerow Data'!$AN$3:$AZ$15,MATCH(C126,'G-6 Hedgerow Data'!$AM$3:$AM$15,0),MATCH(M126,'G-6 Hedgerow Data'!$AN$2:$AZ$2,0))),"")</f>
        <v/>
      </c>
      <c r="O126" s="363" t="str">
        <f t="shared" si="11"/>
        <v/>
      </c>
      <c r="P126" s="368" t="str">
        <f>IF(B126="","",VLOOKUP(B126,'E-1 Off-Site Hedge Baseline'!$B$10:W371,19,FALSE))</f>
        <v/>
      </c>
      <c r="Q126" s="362" t="str">
        <f>IF(M126="","",VLOOKUP(M126,'G-6 Hedgerow Data'!$B$2:$AG$15,2,FALSE))</f>
        <v/>
      </c>
      <c r="R126" s="363" t="str">
        <f>IF(M126="","",VLOOKUP(M126,'G-6 Hedgerow Data'!$B$2:$AG$15,3,FALSE))</f>
        <v/>
      </c>
      <c r="S126" s="114"/>
      <c r="T126" s="363" t="str">
        <f>IFERROR(IF(AND(Q126="V.Low",OR(S126="Good",S126="Moderate")),"Error ▲",VLOOKUP(S126,'G-1 All Habitats'!$Z$2:$AA$9,2,FALSE)),"")</f>
        <v/>
      </c>
      <c r="U126" s="114"/>
      <c r="V126" s="370" t="str">
        <f>IF(U126="","",IF(VLOOKUP(U126,'G-3 Multipliers'!$L$3:$N$6,2,FALSE)=0,"Spatial Data Missing ⚠",VLOOKUP(U126,'G-3 Multipliers'!$L$3:$N$6,2,FALSE)))</f>
        <v/>
      </c>
      <c r="W126" s="368" t="str">
        <f>IF(U126="","",IF(VLOOKUP(U126,'G-3 Multipliers'!$L$3:$N$6,3,FALSE)=0,"Spatial Data Missing ⚠",VLOOKUP(U126,'G-3 Multipliers'!$L$3:$N$6,3,FALSE)))</f>
        <v/>
      </c>
      <c r="X126" s="362" t="str">
        <f>IFERROR(IF(OR(LEFT(O126,5)="Error",LEFT(N126,5)="Error",T126="Error"),"Check Data ⚠",IF(F126&lt;R126,INDEX('G-6 Hedgerow Data'!$S$3:$AE$14,MATCH(C126,'G-6 Hedgerow Data'!$B$3:$B$14,0),MATCH(M126,'G-6 Hedgerow Data'!$S$2:$AE$2,0)),INDEX('G-6 Hedgerow Data'!$K$3:$Q$14,MATCH(M126,'G-6 Hedgerow Data'!$B$3:$B$14,0),MATCH(O126,'G-6 Hedgerow Data'!$K$2:$Q$2,0)))),"")</f>
        <v/>
      </c>
      <c r="Y126" s="159"/>
      <c r="Z126" s="159"/>
      <c r="AA126" s="370" t="str">
        <f t="shared" si="12"/>
        <v/>
      </c>
      <c r="AB126" s="383" t="str">
        <f t="shared" si="13"/>
        <v/>
      </c>
      <c r="AC126" s="384" t="str">
        <f t="shared" si="10"/>
        <v/>
      </c>
      <c r="AD126" s="398" t="str">
        <f>IF(M126="","",VLOOKUP(M126,'G-6 Hedgerow Data'!$B$3:$AG$15,31,FALSE))</f>
        <v/>
      </c>
      <c r="AE126" s="382" t="str">
        <f t="shared" si="14"/>
        <v/>
      </c>
      <c r="AF126" s="382" t="str">
        <f t="shared" si="15"/>
        <v/>
      </c>
      <c r="AG126" s="386" t="str">
        <f>IFERROR(IF(O126="","",VLOOKUP(AD126,'G-3 Multipliers'!$P$3:$Q$6,2,FALSE)),"")</f>
        <v/>
      </c>
      <c r="AH126" s="160"/>
      <c r="AI126" s="363" t="str">
        <f>IF(AH126="","",IF(VLOOKUP(AH126,'G-3 Multipliers'!$S$3:$T$10,2,FALSE)=0,"Spatial Data Missing ⚠",VLOOKUP(AH126,'G-3 Multipliers'!$S$3:$T$10,2,FALSE)))</f>
        <v/>
      </c>
      <c r="AJ126" s="405" t="str">
        <f t="shared" si="16"/>
        <v/>
      </c>
      <c r="AK126" s="376" t="str">
        <f t="shared" si="17"/>
        <v/>
      </c>
      <c r="AL126" s="117"/>
      <c r="AM126" s="118"/>
      <c r="AN126" s="120"/>
      <c r="AO126" s="120"/>
      <c r="AQ126" s="30" t="str">
        <f>IFERROR(INDEX('G-6 Hedgerow Data'!$BJ$3:$BJ$15,MATCH(M126,'G-6 Hedgerow Data'!$B$3:$B$15,0)),"")</f>
        <v/>
      </c>
    </row>
    <row r="127" spans="2:43" ht="15">
      <c r="B127" s="392" t="str">
        <f>'E-1 Off-Site Hedge Baseline'!AN125</f>
        <v/>
      </c>
      <c r="C127" s="382" t="str">
        <f>IF(B127="","",IF(ISNA(VLOOKUP($B127,'E-1 Off-Site Hedge Baseline'!$B$1:$L$257,3,FALSE)),"",(VLOOKUP($B127,'E-1 Off-Site Hedge Baseline'!$B$1:$L$257,3,FALSE))))</f>
        <v/>
      </c>
      <c r="D127" s="382" t="str">
        <f>IF(B127="","",IF(ISNA(VLOOKUP($B127,'E-1 Off-Site Hedge Baseline'!$B$1:$L$258,4,FALSE)),"",(VLOOKUP($B127,'E-1 Off-Site Hedge Baseline'!$B$1:$L$258,4,FALSE))))</f>
        <v/>
      </c>
      <c r="E127" s="382" t="str">
        <f>IF(B127="","",IF(ISNA(VLOOKUP($B127,'E-1 Off-Site Hedge Baseline'!$B$1:$L$257,5,FALSE)),"",(VLOOKUP($B127,'E-1 Off-Site Hedge Baseline'!$B$1:$L$257,5,FALSE))))</f>
        <v/>
      </c>
      <c r="F127" s="382" t="str">
        <f>IF(B127="","",IF(ISNA(VLOOKUP($B127,'E-1 Off-Site Hedge Baseline'!$B$1:$L$257,6,FALSE)),"",(VLOOKUP($B127,'E-1 Off-Site Hedge Baseline'!$B$1:$L$257,6,FALSE))))</f>
        <v/>
      </c>
      <c r="G127" s="382" t="str">
        <f>IF(B127="","",IF(ISNA(VLOOKUP($B127,'E-1 Off-Site Hedge Baseline'!$B$1:$L$257,7,FALSE)),"",(VLOOKUP($B127,'E-1 Off-Site Hedge Baseline'!$B$1:$L$257,7,FALSE))))</f>
        <v/>
      </c>
      <c r="H127" s="382" t="str">
        <f>IF(B127="","",IF(ISNA(VLOOKUP($B127,'E-1 Off-Site Hedge Baseline'!$B$1:$L$257,8,FALSE)),"",(VLOOKUP($B127,'E-1 Off-Site Hedge Baseline'!$B$1:$L$257,8,FALSE))))</f>
        <v/>
      </c>
      <c r="I127" s="382" t="str">
        <f>IF(B127="","",IF(ISNA(VLOOKUP($B127,'E-1 Off-Site Hedge Baseline'!$B$1:$L$257,10,FALSE)),"",(VLOOKUP($B127,'E-1 Off-Site Hedge Baseline'!$B$1:$L$257,10,FALSE))))</f>
        <v/>
      </c>
      <c r="J127" s="382" t="str">
        <f>IF(B127="","",IF(ISNA(VLOOKUP($B127,'E-1 Off-Site Hedge Baseline'!$B$1:$L$257,11,FALSE)),"",(VLOOKUP($B127,'E-1 Off-Site Hedge Baseline'!$B$1:$L$257,11,FALSE))))</f>
        <v/>
      </c>
      <c r="K127" s="382" t="str">
        <f>IF(B127="","",IF(ISNA(VLOOKUP($B127,'E-1 Off-Site Hedge Baseline'!$B$1:$X$257,113,FALSE)),"",(VLOOKUP($B127,'E-1 Off-Site Hedge Baseline'!$B$1:$X$257,13,FALSE))))</f>
        <v/>
      </c>
      <c r="L127" s="370" t="str">
        <f>IF(B127="","",IF(ISNA(VLOOKUP($B127,'E-1 Off-Site Hedge Baseline'!$B$1:$X$257,12,FALSE)),"",(VLOOKUP($B127,'E-1 Off-Site Hedge Baseline'!$B$1:$X$257,12,FALSE))))</f>
        <v/>
      </c>
      <c r="M127" s="316" t="str">
        <f t="shared" si="9"/>
        <v/>
      </c>
      <c r="N127" s="362" t="str">
        <f>IFERROR(IF(B127="","",INDEX('G-6 Hedgerow Data'!$AN$3:$AZ$15,MATCH(C127,'G-6 Hedgerow Data'!$AM$3:$AM$15,0),MATCH(M127,'G-6 Hedgerow Data'!$AN$2:$AZ$2,0))),"")</f>
        <v/>
      </c>
      <c r="O127" s="363" t="str">
        <f t="shared" si="11"/>
        <v/>
      </c>
      <c r="P127" s="368" t="str">
        <f>IF(B127="","",VLOOKUP(B127,'E-1 Off-Site Hedge Baseline'!$B$10:W372,19,FALSE))</f>
        <v/>
      </c>
      <c r="Q127" s="362" t="str">
        <f>IF(M127="","",VLOOKUP(M127,'G-6 Hedgerow Data'!$B$2:$AG$15,2,FALSE))</f>
        <v/>
      </c>
      <c r="R127" s="363" t="str">
        <f>IF(M127="","",VLOOKUP(M127,'G-6 Hedgerow Data'!$B$2:$AG$15,3,FALSE))</f>
        <v/>
      </c>
      <c r="S127" s="114"/>
      <c r="T127" s="363" t="str">
        <f>IFERROR(IF(AND(Q127="V.Low",OR(S127="Good",S127="Moderate")),"Error ▲",VLOOKUP(S127,'G-1 All Habitats'!$Z$2:$AA$9,2,FALSE)),"")</f>
        <v/>
      </c>
      <c r="U127" s="114"/>
      <c r="V127" s="370" t="str">
        <f>IF(U127="","",IF(VLOOKUP(U127,'G-3 Multipliers'!$L$3:$N$6,2,FALSE)=0,"Spatial Data Missing ⚠",VLOOKUP(U127,'G-3 Multipliers'!$L$3:$N$6,2,FALSE)))</f>
        <v/>
      </c>
      <c r="W127" s="368" t="str">
        <f>IF(U127="","",IF(VLOOKUP(U127,'G-3 Multipliers'!$L$3:$N$6,3,FALSE)=0,"Spatial Data Missing ⚠",VLOOKUP(U127,'G-3 Multipliers'!$L$3:$N$6,3,FALSE)))</f>
        <v/>
      </c>
      <c r="X127" s="362" t="str">
        <f>IFERROR(IF(OR(LEFT(O127,5)="Error",LEFT(N127,5)="Error",T127="Error"),"Check Data ⚠",IF(F127&lt;R127,INDEX('G-6 Hedgerow Data'!$S$3:$AE$14,MATCH(C127,'G-6 Hedgerow Data'!$B$3:$B$14,0),MATCH(M127,'G-6 Hedgerow Data'!$S$2:$AE$2,0)),INDEX('G-6 Hedgerow Data'!$K$3:$Q$14,MATCH(M127,'G-6 Hedgerow Data'!$B$3:$B$14,0),MATCH(O127,'G-6 Hedgerow Data'!$K$2:$Q$2,0)))),"")</f>
        <v/>
      </c>
      <c r="Y127" s="159"/>
      <c r="Z127" s="159"/>
      <c r="AA127" s="370" t="str">
        <f t="shared" si="12"/>
        <v/>
      </c>
      <c r="AB127" s="383" t="str">
        <f t="shared" si="13"/>
        <v/>
      </c>
      <c r="AC127" s="384" t="str">
        <f t="shared" si="10"/>
        <v/>
      </c>
      <c r="AD127" s="398" t="str">
        <f>IF(M127="","",VLOOKUP(M127,'G-6 Hedgerow Data'!$B$3:$AG$15,31,FALSE))</f>
        <v/>
      </c>
      <c r="AE127" s="382" t="str">
        <f t="shared" si="14"/>
        <v/>
      </c>
      <c r="AF127" s="382" t="str">
        <f t="shared" si="15"/>
        <v/>
      </c>
      <c r="AG127" s="386" t="str">
        <f>IFERROR(IF(O127="","",VLOOKUP(AD127,'G-3 Multipliers'!$P$3:$Q$6,2,FALSE)),"")</f>
        <v/>
      </c>
      <c r="AH127" s="160"/>
      <c r="AI127" s="363" t="str">
        <f>IF(AH127="","",IF(VLOOKUP(AH127,'G-3 Multipliers'!$S$3:$T$10,2,FALSE)=0,"Spatial Data Missing ⚠",VLOOKUP(AH127,'G-3 Multipliers'!$S$3:$T$10,2,FALSE)))</f>
        <v/>
      </c>
      <c r="AJ127" s="405" t="str">
        <f t="shared" si="16"/>
        <v/>
      </c>
      <c r="AK127" s="376" t="str">
        <f t="shared" si="17"/>
        <v/>
      </c>
      <c r="AL127" s="117"/>
      <c r="AM127" s="118"/>
      <c r="AN127" s="120"/>
      <c r="AO127" s="120"/>
      <c r="AQ127" s="30" t="str">
        <f>IFERROR(INDEX('G-6 Hedgerow Data'!$BJ$3:$BJ$15,MATCH(M127,'G-6 Hedgerow Data'!$B$3:$B$15,0)),"")</f>
        <v/>
      </c>
    </row>
    <row r="128" spans="2:43" ht="15">
      <c r="B128" s="392" t="str">
        <f>'E-1 Off-Site Hedge Baseline'!AN126</f>
        <v/>
      </c>
      <c r="C128" s="382" t="str">
        <f>IF(B128="","",IF(ISNA(VLOOKUP($B128,'E-1 Off-Site Hedge Baseline'!$B$1:$L$257,3,FALSE)),"",(VLOOKUP($B128,'E-1 Off-Site Hedge Baseline'!$B$1:$L$257,3,FALSE))))</f>
        <v/>
      </c>
      <c r="D128" s="382" t="str">
        <f>IF(B128="","",IF(ISNA(VLOOKUP($B128,'E-1 Off-Site Hedge Baseline'!$B$1:$L$258,4,FALSE)),"",(VLOOKUP($B128,'E-1 Off-Site Hedge Baseline'!$B$1:$L$258,4,FALSE))))</f>
        <v/>
      </c>
      <c r="E128" s="382" t="str">
        <f>IF(B128="","",IF(ISNA(VLOOKUP($B128,'E-1 Off-Site Hedge Baseline'!$B$1:$L$257,5,FALSE)),"",(VLOOKUP($B128,'E-1 Off-Site Hedge Baseline'!$B$1:$L$257,5,FALSE))))</f>
        <v/>
      </c>
      <c r="F128" s="382" t="str">
        <f>IF(B128="","",IF(ISNA(VLOOKUP($B128,'E-1 Off-Site Hedge Baseline'!$B$1:$L$257,6,FALSE)),"",(VLOOKUP($B128,'E-1 Off-Site Hedge Baseline'!$B$1:$L$257,6,FALSE))))</f>
        <v/>
      </c>
      <c r="G128" s="382" t="str">
        <f>IF(B128="","",IF(ISNA(VLOOKUP($B128,'E-1 Off-Site Hedge Baseline'!$B$1:$L$257,7,FALSE)),"",(VLOOKUP($B128,'E-1 Off-Site Hedge Baseline'!$B$1:$L$257,7,FALSE))))</f>
        <v/>
      </c>
      <c r="H128" s="382" t="str">
        <f>IF(B128="","",IF(ISNA(VLOOKUP($B128,'E-1 Off-Site Hedge Baseline'!$B$1:$L$257,8,FALSE)),"",(VLOOKUP($B128,'E-1 Off-Site Hedge Baseline'!$B$1:$L$257,8,FALSE))))</f>
        <v/>
      </c>
      <c r="I128" s="382" t="str">
        <f>IF(B128="","",IF(ISNA(VLOOKUP($B128,'E-1 Off-Site Hedge Baseline'!$B$1:$L$257,10,FALSE)),"",(VLOOKUP($B128,'E-1 Off-Site Hedge Baseline'!$B$1:$L$257,10,FALSE))))</f>
        <v/>
      </c>
      <c r="J128" s="382" t="str">
        <f>IF(B128="","",IF(ISNA(VLOOKUP($B128,'E-1 Off-Site Hedge Baseline'!$B$1:$L$257,11,FALSE)),"",(VLOOKUP($B128,'E-1 Off-Site Hedge Baseline'!$B$1:$L$257,11,FALSE))))</f>
        <v/>
      </c>
      <c r="K128" s="382" t="str">
        <f>IF(B128="","",IF(ISNA(VLOOKUP($B128,'E-1 Off-Site Hedge Baseline'!$B$1:$X$257,113,FALSE)),"",(VLOOKUP($B128,'E-1 Off-Site Hedge Baseline'!$B$1:$X$257,13,FALSE))))</f>
        <v/>
      </c>
      <c r="L128" s="370" t="str">
        <f>IF(B128="","",IF(ISNA(VLOOKUP($B128,'E-1 Off-Site Hedge Baseline'!$B$1:$X$257,12,FALSE)),"",(VLOOKUP($B128,'E-1 Off-Site Hedge Baseline'!$B$1:$X$257,12,FALSE))))</f>
        <v/>
      </c>
      <c r="M128" s="316" t="str">
        <f t="shared" si="9"/>
        <v/>
      </c>
      <c r="N128" s="362" t="str">
        <f>IFERROR(IF(B128="","",INDEX('G-6 Hedgerow Data'!$AN$3:$AZ$15,MATCH(C128,'G-6 Hedgerow Data'!$AM$3:$AM$15,0),MATCH(M128,'G-6 Hedgerow Data'!$AN$2:$AZ$2,0))),"")</f>
        <v/>
      </c>
      <c r="O128" s="363" t="str">
        <f t="shared" si="11"/>
        <v/>
      </c>
      <c r="P128" s="368" t="str">
        <f>IF(B128="","",VLOOKUP(B128,'E-1 Off-Site Hedge Baseline'!$B$10:W373,19,FALSE))</f>
        <v/>
      </c>
      <c r="Q128" s="362" t="str">
        <f>IF(M128="","",VLOOKUP(M128,'G-6 Hedgerow Data'!$B$2:$AG$15,2,FALSE))</f>
        <v/>
      </c>
      <c r="R128" s="363" t="str">
        <f>IF(M128="","",VLOOKUP(M128,'G-6 Hedgerow Data'!$B$2:$AG$15,3,FALSE))</f>
        <v/>
      </c>
      <c r="S128" s="114"/>
      <c r="T128" s="363" t="str">
        <f>IFERROR(IF(AND(Q128="V.Low",OR(S128="Good",S128="Moderate")),"Error ▲",VLOOKUP(S128,'G-1 All Habitats'!$Z$2:$AA$9,2,FALSE)),"")</f>
        <v/>
      </c>
      <c r="U128" s="114"/>
      <c r="V128" s="370" t="str">
        <f>IF(U128="","",IF(VLOOKUP(U128,'G-3 Multipliers'!$L$3:$N$6,2,FALSE)=0,"Spatial Data Missing ⚠",VLOOKUP(U128,'G-3 Multipliers'!$L$3:$N$6,2,FALSE)))</f>
        <v/>
      </c>
      <c r="W128" s="368" t="str">
        <f>IF(U128="","",IF(VLOOKUP(U128,'G-3 Multipliers'!$L$3:$N$6,3,FALSE)=0,"Spatial Data Missing ⚠",VLOOKUP(U128,'G-3 Multipliers'!$L$3:$N$6,3,FALSE)))</f>
        <v/>
      </c>
      <c r="X128" s="362" t="str">
        <f>IFERROR(IF(OR(LEFT(O128,5)="Error",LEFT(N128,5)="Error",T128="Error"),"Check Data ⚠",IF(F128&lt;R128,INDEX('G-6 Hedgerow Data'!$S$3:$AE$14,MATCH(C128,'G-6 Hedgerow Data'!$B$3:$B$14,0),MATCH(M128,'G-6 Hedgerow Data'!$S$2:$AE$2,0)),INDEX('G-6 Hedgerow Data'!$K$3:$Q$14,MATCH(M128,'G-6 Hedgerow Data'!$B$3:$B$14,0),MATCH(O128,'G-6 Hedgerow Data'!$K$2:$Q$2,0)))),"")</f>
        <v/>
      </c>
      <c r="Y128" s="159"/>
      <c r="Z128" s="159"/>
      <c r="AA128" s="370" t="str">
        <f t="shared" si="12"/>
        <v/>
      </c>
      <c r="AB128" s="383" t="str">
        <f t="shared" si="13"/>
        <v/>
      </c>
      <c r="AC128" s="384" t="str">
        <f t="shared" si="10"/>
        <v/>
      </c>
      <c r="AD128" s="398" t="str">
        <f>IF(M128="","",VLOOKUP(M128,'G-6 Hedgerow Data'!$B$3:$AG$15,31,FALSE))</f>
        <v/>
      </c>
      <c r="AE128" s="382" t="str">
        <f t="shared" si="14"/>
        <v/>
      </c>
      <c r="AF128" s="382" t="str">
        <f t="shared" si="15"/>
        <v/>
      </c>
      <c r="AG128" s="386" t="str">
        <f>IFERROR(IF(O128="","",VLOOKUP(AD128,'G-3 Multipliers'!$P$3:$Q$6,2,FALSE)),"")</f>
        <v/>
      </c>
      <c r="AH128" s="160"/>
      <c r="AI128" s="363" t="str">
        <f>IF(AH128="","",IF(VLOOKUP(AH128,'G-3 Multipliers'!$S$3:$T$10,2,FALSE)=0,"Spatial Data Missing ⚠",VLOOKUP(AH128,'G-3 Multipliers'!$S$3:$T$10,2,FALSE)))</f>
        <v/>
      </c>
      <c r="AJ128" s="405" t="str">
        <f t="shared" si="16"/>
        <v/>
      </c>
      <c r="AK128" s="376" t="str">
        <f t="shared" si="17"/>
        <v/>
      </c>
      <c r="AL128" s="117"/>
      <c r="AM128" s="118"/>
      <c r="AN128" s="120"/>
      <c r="AO128" s="120"/>
      <c r="AQ128" s="30" t="str">
        <f>IFERROR(INDEX('G-6 Hedgerow Data'!$BJ$3:$BJ$15,MATCH(M128,'G-6 Hedgerow Data'!$B$3:$B$15,0)),"")</f>
        <v/>
      </c>
    </row>
    <row r="129" spans="2:43" ht="15">
      <c r="B129" s="392" t="str">
        <f>'E-1 Off-Site Hedge Baseline'!AN127</f>
        <v/>
      </c>
      <c r="C129" s="382" t="str">
        <f>IF(B129="","",IF(ISNA(VLOOKUP($B129,'E-1 Off-Site Hedge Baseline'!$B$1:$L$257,3,FALSE)),"",(VLOOKUP($B129,'E-1 Off-Site Hedge Baseline'!$B$1:$L$257,3,FALSE))))</f>
        <v/>
      </c>
      <c r="D129" s="382" t="str">
        <f>IF(B129="","",IF(ISNA(VLOOKUP($B129,'E-1 Off-Site Hedge Baseline'!$B$1:$L$258,4,FALSE)),"",(VLOOKUP($B129,'E-1 Off-Site Hedge Baseline'!$B$1:$L$258,4,FALSE))))</f>
        <v/>
      </c>
      <c r="E129" s="382" t="str">
        <f>IF(B129="","",IF(ISNA(VLOOKUP($B129,'E-1 Off-Site Hedge Baseline'!$B$1:$L$257,5,FALSE)),"",(VLOOKUP($B129,'E-1 Off-Site Hedge Baseline'!$B$1:$L$257,5,FALSE))))</f>
        <v/>
      </c>
      <c r="F129" s="382" t="str">
        <f>IF(B129="","",IF(ISNA(VLOOKUP($B129,'E-1 Off-Site Hedge Baseline'!$B$1:$L$257,6,FALSE)),"",(VLOOKUP($B129,'E-1 Off-Site Hedge Baseline'!$B$1:$L$257,6,FALSE))))</f>
        <v/>
      </c>
      <c r="G129" s="382" t="str">
        <f>IF(B129="","",IF(ISNA(VLOOKUP($B129,'E-1 Off-Site Hedge Baseline'!$B$1:$L$257,7,FALSE)),"",(VLOOKUP($B129,'E-1 Off-Site Hedge Baseline'!$B$1:$L$257,7,FALSE))))</f>
        <v/>
      </c>
      <c r="H129" s="382" t="str">
        <f>IF(B129="","",IF(ISNA(VLOOKUP($B129,'E-1 Off-Site Hedge Baseline'!$B$1:$L$257,8,FALSE)),"",(VLOOKUP($B129,'E-1 Off-Site Hedge Baseline'!$B$1:$L$257,8,FALSE))))</f>
        <v/>
      </c>
      <c r="I129" s="382" t="str">
        <f>IF(B129="","",IF(ISNA(VLOOKUP($B129,'E-1 Off-Site Hedge Baseline'!$B$1:$L$257,10,FALSE)),"",(VLOOKUP($B129,'E-1 Off-Site Hedge Baseline'!$B$1:$L$257,10,FALSE))))</f>
        <v/>
      </c>
      <c r="J129" s="382" t="str">
        <f>IF(B129="","",IF(ISNA(VLOOKUP($B129,'E-1 Off-Site Hedge Baseline'!$B$1:$L$257,11,FALSE)),"",(VLOOKUP($B129,'E-1 Off-Site Hedge Baseline'!$B$1:$L$257,11,FALSE))))</f>
        <v/>
      </c>
      <c r="K129" s="382" t="str">
        <f>IF(B129="","",IF(ISNA(VLOOKUP($B129,'E-1 Off-Site Hedge Baseline'!$B$1:$X$257,113,FALSE)),"",(VLOOKUP($B129,'E-1 Off-Site Hedge Baseline'!$B$1:$X$257,13,FALSE))))</f>
        <v/>
      </c>
      <c r="L129" s="370" t="str">
        <f>IF(B129="","",IF(ISNA(VLOOKUP($B129,'E-1 Off-Site Hedge Baseline'!$B$1:$X$257,12,FALSE)),"",(VLOOKUP($B129,'E-1 Off-Site Hedge Baseline'!$B$1:$X$257,12,FALSE))))</f>
        <v/>
      </c>
      <c r="M129" s="316" t="str">
        <f t="shared" si="9"/>
        <v/>
      </c>
      <c r="N129" s="362" t="str">
        <f>IFERROR(IF(B129="","",INDEX('G-6 Hedgerow Data'!$AN$3:$AZ$15,MATCH(C129,'G-6 Hedgerow Data'!$AM$3:$AM$15,0),MATCH(M129,'G-6 Hedgerow Data'!$AN$2:$AZ$2,0))),"")</f>
        <v/>
      </c>
      <c r="O129" s="363" t="str">
        <f t="shared" si="11"/>
        <v/>
      </c>
      <c r="P129" s="368" t="str">
        <f>IF(B129="","",VLOOKUP(B129,'E-1 Off-Site Hedge Baseline'!$B$10:W374,19,FALSE))</f>
        <v/>
      </c>
      <c r="Q129" s="362" t="str">
        <f>IF(M129="","",VLOOKUP(M129,'G-6 Hedgerow Data'!$B$2:$AG$15,2,FALSE))</f>
        <v/>
      </c>
      <c r="R129" s="363" t="str">
        <f>IF(M129="","",VLOOKUP(M129,'G-6 Hedgerow Data'!$B$2:$AG$15,3,FALSE))</f>
        <v/>
      </c>
      <c r="S129" s="114"/>
      <c r="T129" s="363" t="str">
        <f>IFERROR(IF(AND(Q129="V.Low",OR(S129="Good",S129="Moderate")),"Error ▲",VLOOKUP(S129,'G-1 All Habitats'!$Z$2:$AA$9,2,FALSE)),"")</f>
        <v/>
      </c>
      <c r="U129" s="114"/>
      <c r="V129" s="370" t="str">
        <f>IF(U129="","",IF(VLOOKUP(U129,'G-3 Multipliers'!$L$3:$N$6,2,FALSE)=0,"Spatial Data Missing ⚠",VLOOKUP(U129,'G-3 Multipliers'!$L$3:$N$6,2,FALSE)))</f>
        <v/>
      </c>
      <c r="W129" s="368" t="str">
        <f>IF(U129="","",IF(VLOOKUP(U129,'G-3 Multipliers'!$L$3:$N$6,3,FALSE)=0,"Spatial Data Missing ⚠",VLOOKUP(U129,'G-3 Multipliers'!$L$3:$N$6,3,FALSE)))</f>
        <v/>
      </c>
      <c r="X129" s="362" t="str">
        <f>IFERROR(IF(OR(LEFT(O129,5)="Error",LEFT(N129,5)="Error",T129="Error"),"Check Data ⚠",IF(F129&lt;R129,INDEX('G-6 Hedgerow Data'!$S$3:$AE$14,MATCH(C129,'G-6 Hedgerow Data'!$B$3:$B$14,0),MATCH(M129,'G-6 Hedgerow Data'!$S$2:$AE$2,0)),INDEX('G-6 Hedgerow Data'!$K$3:$Q$14,MATCH(M129,'G-6 Hedgerow Data'!$B$3:$B$14,0),MATCH(O129,'G-6 Hedgerow Data'!$K$2:$Q$2,0)))),"")</f>
        <v/>
      </c>
      <c r="Y129" s="159"/>
      <c r="Z129" s="159"/>
      <c r="AA129" s="370" t="str">
        <f t="shared" si="12"/>
        <v/>
      </c>
      <c r="AB129" s="383" t="str">
        <f t="shared" si="13"/>
        <v/>
      </c>
      <c r="AC129" s="384" t="str">
        <f t="shared" si="10"/>
        <v/>
      </c>
      <c r="AD129" s="398" t="str">
        <f>IF(M129="","",VLOOKUP(M129,'G-6 Hedgerow Data'!$B$3:$AG$15,31,FALSE))</f>
        <v/>
      </c>
      <c r="AE129" s="382" t="str">
        <f t="shared" si="14"/>
        <v/>
      </c>
      <c r="AF129" s="382" t="str">
        <f t="shared" si="15"/>
        <v/>
      </c>
      <c r="AG129" s="386" t="str">
        <f>IFERROR(IF(O129="","",VLOOKUP(AD129,'G-3 Multipliers'!$P$3:$Q$6,2,FALSE)),"")</f>
        <v/>
      </c>
      <c r="AH129" s="160"/>
      <c r="AI129" s="363" t="str">
        <f>IF(AH129="","",IF(VLOOKUP(AH129,'G-3 Multipliers'!$S$3:$T$10,2,FALSE)=0,"Spatial Data Missing ⚠",VLOOKUP(AH129,'G-3 Multipliers'!$S$3:$T$10,2,FALSE)))</f>
        <v/>
      </c>
      <c r="AJ129" s="405" t="str">
        <f t="shared" si="16"/>
        <v/>
      </c>
      <c r="AK129" s="376" t="str">
        <f t="shared" si="17"/>
        <v/>
      </c>
      <c r="AL129" s="117"/>
      <c r="AM129" s="118"/>
      <c r="AN129" s="120"/>
      <c r="AO129" s="120"/>
      <c r="AQ129" s="30" t="str">
        <f>IFERROR(INDEX('G-6 Hedgerow Data'!$BJ$3:$BJ$15,MATCH(M129,'G-6 Hedgerow Data'!$B$3:$B$15,0)),"")</f>
        <v/>
      </c>
    </row>
    <row r="130" spans="2:43" ht="15">
      <c r="B130" s="392" t="str">
        <f>'E-1 Off-Site Hedge Baseline'!AN128</f>
        <v/>
      </c>
      <c r="C130" s="382" t="str">
        <f>IF(B130="","",IF(ISNA(VLOOKUP($B130,'E-1 Off-Site Hedge Baseline'!$B$1:$L$257,3,FALSE)),"",(VLOOKUP($B130,'E-1 Off-Site Hedge Baseline'!$B$1:$L$257,3,FALSE))))</f>
        <v/>
      </c>
      <c r="D130" s="382" t="str">
        <f>IF(B130="","",IF(ISNA(VLOOKUP($B130,'E-1 Off-Site Hedge Baseline'!$B$1:$L$258,4,FALSE)),"",(VLOOKUP($B130,'E-1 Off-Site Hedge Baseline'!$B$1:$L$258,4,FALSE))))</f>
        <v/>
      </c>
      <c r="E130" s="382" t="str">
        <f>IF(B130="","",IF(ISNA(VLOOKUP($B130,'E-1 Off-Site Hedge Baseline'!$B$1:$L$257,5,FALSE)),"",(VLOOKUP($B130,'E-1 Off-Site Hedge Baseline'!$B$1:$L$257,5,FALSE))))</f>
        <v/>
      </c>
      <c r="F130" s="382" t="str">
        <f>IF(B130="","",IF(ISNA(VLOOKUP($B130,'E-1 Off-Site Hedge Baseline'!$B$1:$L$257,6,FALSE)),"",(VLOOKUP($B130,'E-1 Off-Site Hedge Baseline'!$B$1:$L$257,6,FALSE))))</f>
        <v/>
      </c>
      <c r="G130" s="382" t="str">
        <f>IF(B130="","",IF(ISNA(VLOOKUP($B130,'E-1 Off-Site Hedge Baseline'!$B$1:$L$257,7,FALSE)),"",(VLOOKUP($B130,'E-1 Off-Site Hedge Baseline'!$B$1:$L$257,7,FALSE))))</f>
        <v/>
      </c>
      <c r="H130" s="382" t="str">
        <f>IF(B130="","",IF(ISNA(VLOOKUP($B130,'E-1 Off-Site Hedge Baseline'!$B$1:$L$257,8,FALSE)),"",(VLOOKUP($B130,'E-1 Off-Site Hedge Baseline'!$B$1:$L$257,8,FALSE))))</f>
        <v/>
      </c>
      <c r="I130" s="382" t="str">
        <f>IF(B130="","",IF(ISNA(VLOOKUP($B130,'E-1 Off-Site Hedge Baseline'!$B$1:$L$257,10,FALSE)),"",(VLOOKUP($B130,'E-1 Off-Site Hedge Baseline'!$B$1:$L$257,10,FALSE))))</f>
        <v/>
      </c>
      <c r="J130" s="382" t="str">
        <f>IF(B130="","",IF(ISNA(VLOOKUP($B130,'E-1 Off-Site Hedge Baseline'!$B$1:$L$257,11,FALSE)),"",(VLOOKUP($B130,'E-1 Off-Site Hedge Baseline'!$B$1:$L$257,11,FALSE))))</f>
        <v/>
      </c>
      <c r="K130" s="382" t="str">
        <f>IF(B130="","",IF(ISNA(VLOOKUP($B130,'E-1 Off-Site Hedge Baseline'!$B$1:$X$257,113,FALSE)),"",(VLOOKUP($B130,'E-1 Off-Site Hedge Baseline'!$B$1:$X$257,13,FALSE))))</f>
        <v/>
      </c>
      <c r="L130" s="370" t="str">
        <f>IF(B130="","",IF(ISNA(VLOOKUP($B130,'E-1 Off-Site Hedge Baseline'!$B$1:$X$257,12,FALSE)),"",(VLOOKUP($B130,'E-1 Off-Site Hedge Baseline'!$B$1:$X$257,12,FALSE))))</f>
        <v/>
      </c>
      <c r="M130" s="316" t="str">
        <f t="shared" si="9"/>
        <v/>
      </c>
      <c r="N130" s="362" t="str">
        <f>IFERROR(IF(B130="","",INDEX('G-6 Hedgerow Data'!$AN$3:$AZ$15,MATCH(C130,'G-6 Hedgerow Data'!$AM$3:$AM$15,0),MATCH(M130,'G-6 Hedgerow Data'!$AN$2:$AZ$2,0))),"")</f>
        <v/>
      </c>
      <c r="O130" s="363" t="str">
        <f t="shared" si="11"/>
        <v/>
      </c>
      <c r="P130" s="368" t="str">
        <f>IF(B130="","",VLOOKUP(B130,'E-1 Off-Site Hedge Baseline'!$B$10:W375,19,FALSE))</f>
        <v/>
      </c>
      <c r="Q130" s="362" t="str">
        <f>IF(M130="","",VLOOKUP(M130,'G-6 Hedgerow Data'!$B$2:$AG$15,2,FALSE))</f>
        <v/>
      </c>
      <c r="R130" s="363" t="str">
        <f>IF(M130="","",VLOOKUP(M130,'G-6 Hedgerow Data'!$B$2:$AG$15,3,FALSE))</f>
        <v/>
      </c>
      <c r="S130" s="114"/>
      <c r="T130" s="363" t="str">
        <f>IFERROR(IF(AND(Q130="V.Low",OR(S130="Good",S130="Moderate")),"Error ▲",VLOOKUP(S130,'G-1 All Habitats'!$Z$2:$AA$9,2,FALSE)),"")</f>
        <v/>
      </c>
      <c r="U130" s="114"/>
      <c r="V130" s="370" t="str">
        <f>IF(U130="","",IF(VLOOKUP(U130,'G-3 Multipliers'!$L$3:$N$6,2,FALSE)=0,"Spatial Data Missing ⚠",VLOOKUP(U130,'G-3 Multipliers'!$L$3:$N$6,2,FALSE)))</f>
        <v/>
      </c>
      <c r="W130" s="368" t="str">
        <f>IF(U130="","",IF(VLOOKUP(U130,'G-3 Multipliers'!$L$3:$N$6,3,FALSE)=0,"Spatial Data Missing ⚠",VLOOKUP(U130,'G-3 Multipliers'!$L$3:$N$6,3,FALSE)))</f>
        <v/>
      </c>
      <c r="X130" s="362" t="str">
        <f>IFERROR(IF(OR(LEFT(O130,5)="Error",LEFT(N130,5)="Error",T130="Error"),"Check Data ⚠",IF(F130&lt;R130,INDEX('G-6 Hedgerow Data'!$S$3:$AE$14,MATCH(C130,'G-6 Hedgerow Data'!$B$3:$B$14,0),MATCH(M130,'G-6 Hedgerow Data'!$S$2:$AE$2,0)),INDEX('G-6 Hedgerow Data'!$K$3:$Q$14,MATCH(M130,'G-6 Hedgerow Data'!$B$3:$B$14,0),MATCH(O130,'G-6 Hedgerow Data'!$K$2:$Q$2,0)))),"")</f>
        <v/>
      </c>
      <c r="Y130" s="159"/>
      <c r="Z130" s="159"/>
      <c r="AA130" s="370" t="str">
        <f t="shared" si="12"/>
        <v/>
      </c>
      <c r="AB130" s="383" t="str">
        <f t="shared" si="13"/>
        <v/>
      </c>
      <c r="AC130" s="384" t="str">
        <f t="shared" si="10"/>
        <v/>
      </c>
      <c r="AD130" s="398" t="str">
        <f>IF(M130="","",VLOOKUP(M130,'G-6 Hedgerow Data'!$B$3:$AG$15,31,FALSE))</f>
        <v/>
      </c>
      <c r="AE130" s="382" t="str">
        <f t="shared" si="14"/>
        <v/>
      </c>
      <c r="AF130" s="382" t="str">
        <f t="shared" si="15"/>
        <v/>
      </c>
      <c r="AG130" s="386" t="str">
        <f>IFERROR(IF(O130="","",VLOOKUP(AD130,'G-3 Multipliers'!$P$3:$Q$6,2,FALSE)),"")</f>
        <v/>
      </c>
      <c r="AH130" s="160"/>
      <c r="AI130" s="363" t="str">
        <f>IF(AH130="","",IF(VLOOKUP(AH130,'G-3 Multipliers'!$S$3:$T$10,2,FALSE)=0,"Spatial Data Missing ⚠",VLOOKUP(AH130,'G-3 Multipliers'!$S$3:$T$10,2,FALSE)))</f>
        <v/>
      </c>
      <c r="AJ130" s="405" t="str">
        <f t="shared" si="16"/>
        <v/>
      </c>
      <c r="AK130" s="376" t="str">
        <f t="shared" si="17"/>
        <v/>
      </c>
      <c r="AL130" s="117"/>
      <c r="AM130" s="118"/>
      <c r="AN130" s="120"/>
      <c r="AO130" s="120"/>
      <c r="AQ130" s="30" t="str">
        <f>IFERROR(INDEX('G-6 Hedgerow Data'!$BJ$3:$BJ$15,MATCH(M130,'G-6 Hedgerow Data'!$B$3:$B$15,0)),"")</f>
        <v/>
      </c>
    </row>
    <row r="131" spans="2:43" ht="15">
      <c r="B131" s="392" t="str">
        <f>'E-1 Off-Site Hedge Baseline'!AN129</f>
        <v/>
      </c>
      <c r="C131" s="382" t="str">
        <f>IF(B131="","",IF(ISNA(VLOOKUP($B131,'E-1 Off-Site Hedge Baseline'!$B$1:$L$257,3,FALSE)),"",(VLOOKUP($B131,'E-1 Off-Site Hedge Baseline'!$B$1:$L$257,3,FALSE))))</f>
        <v/>
      </c>
      <c r="D131" s="382" t="str">
        <f>IF(B131="","",IF(ISNA(VLOOKUP($B131,'E-1 Off-Site Hedge Baseline'!$B$1:$L$258,4,FALSE)),"",(VLOOKUP($B131,'E-1 Off-Site Hedge Baseline'!$B$1:$L$258,4,FALSE))))</f>
        <v/>
      </c>
      <c r="E131" s="382" t="str">
        <f>IF(B131="","",IF(ISNA(VLOOKUP($B131,'E-1 Off-Site Hedge Baseline'!$B$1:$L$257,5,FALSE)),"",(VLOOKUP($B131,'E-1 Off-Site Hedge Baseline'!$B$1:$L$257,5,FALSE))))</f>
        <v/>
      </c>
      <c r="F131" s="382" t="str">
        <f>IF(B131="","",IF(ISNA(VLOOKUP($B131,'E-1 Off-Site Hedge Baseline'!$B$1:$L$257,6,FALSE)),"",(VLOOKUP($B131,'E-1 Off-Site Hedge Baseline'!$B$1:$L$257,6,FALSE))))</f>
        <v/>
      </c>
      <c r="G131" s="382" t="str">
        <f>IF(B131="","",IF(ISNA(VLOOKUP($B131,'E-1 Off-Site Hedge Baseline'!$B$1:$L$257,7,FALSE)),"",(VLOOKUP($B131,'E-1 Off-Site Hedge Baseline'!$B$1:$L$257,7,FALSE))))</f>
        <v/>
      </c>
      <c r="H131" s="382" t="str">
        <f>IF(B131="","",IF(ISNA(VLOOKUP($B131,'E-1 Off-Site Hedge Baseline'!$B$1:$L$257,8,FALSE)),"",(VLOOKUP($B131,'E-1 Off-Site Hedge Baseline'!$B$1:$L$257,8,FALSE))))</f>
        <v/>
      </c>
      <c r="I131" s="382" t="str">
        <f>IF(B131="","",IF(ISNA(VLOOKUP($B131,'E-1 Off-Site Hedge Baseline'!$B$1:$L$257,10,FALSE)),"",(VLOOKUP($B131,'E-1 Off-Site Hedge Baseline'!$B$1:$L$257,10,FALSE))))</f>
        <v/>
      </c>
      <c r="J131" s="382" t="str">
        <f>IF(B131="","",IF(ISNA(VLOOKUP($B131,'E-1 Off-Site Hedge Baseline'!$B$1:$L$257,11,FALSE)),"",(VLOOKUP($B131,'E-1 Off-Site Hedge Baseline'!$B$1:$L$257,11,FALSE))))</f>
        <v/>
      </c>
      <c r="K131" s="382" t="str">
        <f>IF(B131="","",IF(ISNA(VLOOKUP($B131,'E-1 Off-Site Hedge Baseline'!$B$1:$X$257,113,FALSE)),"",(VLOOKUP($B131,'E-1 Off-Site Hedge Baseline'!$B$1:$X$257,13,FALSE))))</f>
        <v/>
      </c>
      <c r="L131" s="370" t="str">
        <f>IF(B131="","",IF(ISNA(VLOOKUP($B131,'E-1 Off-Site Hedge Baseline'!$B$1:$X$257,12,FALSE)),"",(VLOOKUP($B131,'E-1 Off-Site Hedge Baseline'!$B$1:$X$257,12,FALSE))))</f>
        <v/>
      </c>
      <c r="M131" s="316" t="str">
        <f t="shared" si="9"/>
        <v/>
      </c>
      <c r="N131" s="362" t="str">
        <f>IFERROR(IF(B131="","",INDEX('G-6 Hedgerow Data'!$AN$3:$AZ$15,MATCH(C131,'G-6 Hedgerow Data'!$AM$3:$AM$15,0),MATCH(M131,'G-6 Hedgerow Data'!$AN$2:$AZ$2,0))),"")</f>
        <v/>
      </c>
      <c r="O131" s="363" t="str">
        <f t="shared" si="11"/>
        <v/>
      </c>
      <c r="P131" s="368" t="str">
        <f>IF(B131="","",VLOOKUP(B131,'E-1 Off-Site Hedge Baseline'!$B$10:W376,19,FALSE))</f>
        <v/>
      </c>
      <c r="Q131" s="362" t="str">
        <f>IF(M131="","",VLOOKUP(M131,'G-6 Hedgerow Data'!$B$2:$AG$15,2,FALSE))</f>
        <v/>
      </c>
      <c r="R131" s="363" t="str">
        <f>IF(M131="","",VLOOKUP(M131,'G-6 Hedgerow Data'!$B$2:$AG$15,3,FALSE))</f>
        <v/>
      </c>
      <c r="S131" s="114"/>
      <c r="T131" s="363" t="str">
        <f>IFERROR(IF(AND(Q131="V.Low",OR(S131="Good",S131="Moderate")),"Error ▲",VLOOKUP(S131,'G-1 All Habitats'!$Z$2:$AA$9,2,FALSE)),"")</f>
        <v/>
      </c>
      <c r="U131" s="114"/>
      <c r="V131" s="370" t="str">
        <f>IF(U131="","",IF(VLOOKUP(U131,'G-3 Multipliers'!$L$3:$N$6,2,FALSE)=0,"Spatial Data Missing ⚠",VLOOKUP(U131,'G-3 Multipliers'!$L$3:$N$6,2,FALSE)))</f>
        <v/>
      </c>
      <c r="W131" s="368" t="str">
        <f>IF(U131="","",IF(VLOOKUP(U131,'G-3 Multipliers'!$L$3:$N$6,3,FALSE)=0,"Spatial Data Missing ⚠",VLOOKUP(U131,'G-3 Multipliers'!$L$3:$N$6,3,FALSE)))</f>
        <v/>
      </c>
      <c r="X131" s="362" t="str">
        <f>IFERROR(IF(OR(LEFT(O131,5)="Error",LEFT(N131,5)="Error",T131="Error"),"Check Data ⚠",IF(F131&lt;R131,INDEX('G-6 Hedgerow Data'!$S$3:$AE$14,MATCH(C131,'G-6 Hedgerow Data'!$B$3:$B$14,0),MATCH(M131,'G-6 Hedgerow Data'!$S$2:$AE$2,0)),INDEX('G-6 Hedgerow Data'!$K$3:$Q$14,MATCH(M131,'G-6 Hedgerow Data'!$B$3:$B$14,0),MATCH(O131,'G-6 Hedgerow Data'!$K$2:$Q$2,0)))),"")</f>
        <v/>
      </c>
      <c r="Y131" s="159"/>
      <c r="Z131" s="159"/>
      <c r="AA131" s="370" t="str">
        <f t="shared" si="12"/>
        <v/>
      </c>
      <c r="AB131" s="383" t="str">
        <f t="shared" si="13"/>
        <v/>
      </c>
      <c r="AC131" s="384" t="str">
        <f t="shared" si="10"/>
        <v/>
      </c>
      <c r="AD131" s="398" t="str">
        <f>IF(M131="","",VLOOKUP(M131,'G-6 Hedgerow Data'!$B$3:$AG$15,31,FALSE))</f>
        <v/>
      </c>
      <c r="AE131" s="382" t="str">
        <f t="shared" si="14"/>
        <v/>
      </c>
      <c r="AF131" s="382" t="str">
        <f t="shared" si="15"/>
        <v/>
      </c>
      <c r="AG131" s="386" t="str">
        <f>IFERROR(IF(O131="","",VLOOKUP(AD131,'G-3 Multipliers'!$P$3:$Q$6,2,FALSE)),"")</f>
        <v/>
      </c>
      <c r="AH131" s="160"/>
      <c r="AI131" s="363" t="str">
        <f>IF(AH131="","",IF(VLOOKUP(AH131,'G-3 Multipliers'!$S$3:$T$10,2,FALSE)=0,"Spatial Data Missing ⚠",VLOOKUP(AH131,'G-3 Multipliers'!$S$3:$T$10,2,FALSE)))</f>
        <v/>
      </c>
      <c r="AJ131" s="405" t="str">
        <f t="shared" si="16"/>
        <v/>
      </c>
      <c r="AK131" s="376" t="str">
        <f t="shared" si="17"/>
        <v/>
      </c>
      <c r="AL131" s="117"/>
      <c r="AM131" s="118"/>
      <c r="AN131" s="120"/>
      <c r="AO131" s="120"/>
      <c r="AQ131" s="30" t="str">
        <f>IFERROR(INDEX('G-6 Hedgerow Data'!$BJ$3:$BJ$15,MATCH(M131,'G-6 Hedgerow Data'!$B$3:$B$15,0)),"")</f>
        <v/>
      </c>
    </row>
    <row r="132" spans="2:43" ht="15">
      <c r="B132" s="392" t="str">
        <f>'E-1 Off-Site Hedge Baseline'!AN130</f>
        <v/>
      </c>
      <c r="C132" s="382" t="str">
        <f>IF(B132="","",IF(ISNA(VLOOKUP($B132,'E-1 Off-Site Hedge Baseline'!$B$1:$L$257,3,FALSE)),"",(VLOOKUP($B132,'E-1 Off-Site Hedge Baseline'!$B$1:$L$257,3,FALSE))))</f>
        <v/>
      </c>
      <c r="D132" s="382" t="str">
        <f>IF(B132="","",IF(ISNA(VLOOKUP($B132,'E-1 Off-Site Hedge Baseline'!$B$1:$L$258,4,FALSE)),"",(VLOOKUP($B132,'E-1 Off-Site Hedge Baseline'!$B$1:$L$258,4,FALSE))))</f>
        <v/>
      </c>
      <c r="E132" s="382" t="str">
        <f>IF(B132="","",IF(ISNA(VLOOKUP($B132,'E-1 Off-Site Hedge Baseline'!$B$1:$L$257,5,FALSE)),"",(VLOOKUP($B132,'E-1 Off-Site Hedge Baseline'!$B$1:$L$257,5,FALSE))))</f>
        <v/>
      </c>
      <c r="F132" s="382" t="str">
        <f>IF(B132="","",IF(ISNA(VLOOKUP($B132,'E-1 Off-Site Hedge Baseline'!$B$1:$L$257,6,FALSE)),"",(VLOOKUP($B132,'E-1 Off-Site Hedge Baseline'!$B$1:$L$257,6,FALSE))))</f>
        <v/>
      </c>
      <c r="G132" s="382" t="str">
        <f>IF(B132="","",IF(ISNA(VLOOKUP($B132,'E-1 Off-Site Hedge Baseline'!$B$1:$L$257,7,FALSE)),"",(VLOOKUP($B132,'E-1 Off-Site Hedge Baseline'!$B$1:$L$257,7,FALSE))))</f>
        <v/>
      </c>
      <c r="H132" s="382" t="str">
        <f>IF(B132="","",IF(ISNA(VLOOKUP($B132,'E-1 Off-Site Hedge Baseline'!$B$1:$L$257,8,FALSE)),"",(VLOOKUP($B132,'E-1 Off-Site Hedge Baseline'!$B$1:$L$257,8,FALSE))))</f>
        <v/>
      </c>
      <c r="I132" s="382" t="str">
        <f>IF(B132="","",IF(ISNA(VLOOKUP($B132,'E-1 Off-Site Hedge Baseline'!$B$1:$L$257,10,FALSE)),"",(VLOOKUP($B132,'E-1 Off-Site Hedge Baseline'!$B$1:$L$257,10,FALSE))))</f>
        <v/>
      </c>
      <c r="J132" s="382" t="str">
        <f>IF(B132="","",IF(ISNA(VLOOKUP($B132,'E-1 Off-Site Hedge Baseline'!$B$1:$L$257,11,FALSE)),"",(VLOOKUP($B132,'E-1 Off-Site Hedge Baseline'!$B$1:$L$257,11,FALSE))))</f>
        <v/>
      </c>
      <c r="K132" s="382" t="str">
        <f>IF(B132="","",IF(ISNA(VLOOKUP($B132,'E-1 Off-Site Hedge Baseline'!$B$1:$X$257,113,FALSE)),"",(VLOOKUP($B132,'E-1 Off-Site Hedge Baseline'!$B$1:$X$257,13,FALSE))))</f>
        <v/>
      </c>
      <c r="L132" s="370" t="str">
        <f>IF(B132="","",IF(ISNA(VLOOKUP($B132,'E-1 Off-Site Hedge Baseline'!$B$1:$X$257,12,FALSE)),"",(VLOOKUP($B132,'E-1 Off-Site Hedge Baseline'!$B$1:$X$257,12,FALSE))))</f>
        <v/>
      </c>
      <c r="M132" s="316" t="str">
        <f t="shared" si="9"/>
        <v/>
      </c>
      <c r="N132" s="362" t="str">
        <f>IFERROR(IF(B132="","",INDEX('G-6 Hedgerow Data'!$AN$3:$AZ$15,MATCH(C132,'G-6 Hedgerow Data'!$AM$3:$AM$15,0),MATCH(M132,'G-6 Hedgerow Data'!$AN$2:$AZ$2,0))),"")</f>
        <v/>
      </c>
      <c r="O132" s="363" t="str">
        <f t="shared" si="11"/>
        <v/>
      </c>
      <c r="P132" s="368" t="str">
        <f>IF(B132="","",VLOOKUP(B132,'E-1 Off-Site Hedge Baseline'!$B$10:W377,19,FALSE))</f>
        <v/>
      </c>
      <c r="Q132" s="362" t="str">
        <f>IF(M132="","",VLOOKUP(M132,'G-6 Hedgerow Data'!$B$2:$AG$15,2,FALSE))</f>
        <v/>
      </c>
      <c r="R132" s="363" t="str">
        <f>IF(M132="","",VLOOKUP(M132,'G-6 Hedgerow Data'!$B$2:$AG$15,3,FALSE))</f>
        <v/>
      </c>
      <c r="S132" s="114"/>
      <c r="T132" s="363" t="str">
        <f>IFERROR(IF(AND(Q132="V.Low",OR(S132="Good",S132="Moderate")),"Error ▲",VLOOKUP(S132,'G-1 All Habitats'!$Z$2:$AA$9,2,FALSE)),"")</f>
        <v/>
      </c>
      <c r="U132" s="114"/>
      <c r="V132" s="370" t="str">
        <f>IF(U132="","",IF(VLOOKUP(U132,'G-3 Multipliers'!$L$3:$N$6,2,FALSE)=0,"Spatial Data Missing ⚠",VLOOKUP(U132,'G-3 Multipliers'!$L$3:$N$6,2,FALSE)))</f>
        <v/>
      </c>
      <c r="W132" s="368" t="str">
        <f>IF(U132="","",IF(VLOOKUP(U132,'G-3 Multipliers'!$L$3:$N$6,3,FALSE)=0,"Spatial Data Missing ⚠",VLOOKUP(U132,'G-3 Multipliers'!$L$3:$N$6,3,FALSE)))</f>
        <v/>
      </c>
      <c r="X132" s="362" t="str">
        <f>IFERROR(IF(OR(LEFT(O132,5)="Error",LEFT(N132,5)="Error",T132="Error"),"Check Data ⚠",IF(F132&lt;R132,INDEX('G-6 Hedgerow Data'!$S$3:$AE$14,MATCH(C132,'G-6 Hedgerow Data'!$B$3:$B$14,0),MATCH(M132,'G-6 Hedgerow Data'!$S$2:$AE$2,0)),INDEX('G-6 Hedgerow Data'!$K$3:$Q$14,MATCH(M132,'G-6 Hedgerow Data'!$B$3:$B$14,0),MATCH(O132,'G-6 Hedgerow Data'!$K$2:$Q$2,0)))),"")</f>
        <v/>
      </c>
      <c r="Y132" s="159"/>
      <c r="Z132" s="159"/>
      <c r="AA132" s="370" t="str">
        <f t="shared" si="12"/>
        <v/>
      </c>
      <c r="AB132" s="383" t="str">
        <f t="shared" si="13"/>
        <v/>
      </c>
      <c r="AC132" s="384" t="str">
        <f t="shared" si="10"/>
        <v/>
      </c>
      <c r="AD132" s="398" t="str">
        <f>IF(M132="","",VLOOKUP(M132,'G-6 Hedgerow Data'!$B$3:$AG$15,31,FALSE))</f>
        <v/>
      </c>
      <c r="AE132" s="382" t="str">
        <f t="shared" si="14"/>
        <v/>
      </c>
      <c r="AF132" s="382" t="str">
        <f t="shared" si="15"/>
        <v/>
      </c>
      <c r="AG132" s="386" t="str">
        <f>IFERROR(IF(O132="","",VLOOKUP(AD132,'G-3 Multipliers'!$P$3:$Q$6,2,FALSE)),"")</f>
        <v/>
      </c>
      <c r="AH132" s="160"/>
      <c r="AI132" s="363" t="str">
        <f>IF(AH132="","",IF(VLOOKUP(AH132,'G-3 Multipliers'!$S$3:$T$10,2,FALSE)=0,"Spatial Data Missing ⚠",VLOOKUP(AH132,'G-3 Multipliers'!$S$3:$T$10,2,FALSE)))</f>
        <v/>
      </c>
      <c r="AJ132" s="405" t="str">
        <f t="shared" si="16"/>
        <v/>
      </c>
      <c r="AK132" s="376" t="str">
        <f t="shared" si="17"/>
        <v/>
      </c>
      <c r="AL132" s="117"/>
      <c r="AM132" s="118"/>
      <c r="AN132" s="120"/>
      <c r="AO132" s="120"/>
      <c r="AQ132" s="30" t="str">
        <f>IFERROR(INDEX('G-6 Hedgerow Data'!$BJ$3:$BJ$15,MATCH(M132,'G-6 Hedgerow Data'!$B$3:$B$15,0)),"")</f>
        <v/>
      </c>
    </row>
    <row r="133" spans="2:43" ht="15">
      <c r="B133" s="392" t="str">
        <f>'E-1 Off-Site Hedge Baseline'!AN131</f>
        <v/>
      </c>
      <c r="C133" s="382" t="str">
        <f>IF(B133="","",IF(ISNA(VLOOKUP($B133,'E-1 Off-Site Hedge Baseline'!$B$1:$L$257,3,FALSE)),"",(VLOOKUP($B133,'E-1 Off-Site Hedge Baseline'!$B$1:$L$257,3,FALSE))))</f>
        <v/>
      </c>
      <c r="D133" s="382" t="str">
        <f>IF(B133="","",IF(ISNA(VLOOKUP($B133,'E-1 Off-Site Hedge Baseline'!$B$1:$L$258,4,FALSE)),"",(VLOOKUP($B133,'E-1 Off-Site Hedge Baseline'!$B$1:$L$258,4,FALSE))))</f>
        <v/>
      </c>
      <c r="E133" s="382" t="str">
        <f>IF(B133="","",IF(ISNA(VLOOKUP($B133,'E-1 Off-Site Hedge Baseline'!$B$1:$L$257,5,FALSE)),"",(VLOOKUP($B133,'E-1 Off-Site Hedge Baseline'!$B$1:$L$257,5,FALSE))))</f>
        <v/>
      </c>
      <c r="F133" s="382" t="str">
        <f>IF(B133="","",IF(ISNA(VLOOKUP($B133,'E-1 Off-Site Hedge Baseline'!$B$1:$L$257,6,FALSE)),"",(VLOOKUP($B133,'E-1 Off-Site Hedge Baseline'!$B$1:$L$257,6,FALSE))))</f>
        <v/>
      </c>
      <c r="G133" s="382" t="str">
        <f>IF(B133="","",IF(ISNA(VLOOKUP($B133,'E-1 Off-Site Hedge Baseline'!$B$1:$L$257,7,FALSE)),"",(VLOOKUP($B133,'E-1 Off-Site Hedge Baseline'!$B$1:$L$257,7,FALSE))))</f>
        <v/>
      </c>
      <c r="H133" s="382" t="str">
        <f>IF(B133="","",IF(ISNA(VLOOKUP($B133,'E-1 Off-Site Hedge Baseline'!$B$1:$L$257,8,FALSE)),"",(VLOOKUP($B133,'E-1 Off-Site Hedge Baseline'!$B$1:$L$257,8,FALSE))))</f>
        <v/>
      </c>
      <c r="I133" s="382" t="str">
        <f>IF(B133="","",IF(ISNA(VLOOKUP($B133,'E-1 Off-Site Hedge Baseline'!$B$1:$L$257,10,FALSE)),"",(VLOOKUP($B133,'E-1 Off-Site Hedge Baseline'!$B$1:$L$257,10,FALSE))))</f>
        <v/>
      </c>
      <c r="J133" s="382" t="str">
        <f>IF(B133="","",IF(ISNA(VLOOKUP($B133,'E-1 Off-Site Hedge Baseline'!$B$1:$L$257,11,FALSE)),"",(VLOOKUP($B133,'E-1 Off-Site Hedge Baseline'!$B$1:$L$257,11,FALSE))))</f>
        <v/>
      </c>
      <c r="K133" s="382" t="str">
        <f>IF(B133="","",IF(ISNA(VLOOKUP($B133,'E-1 Off-Site Hedge Baseline'!$B$1:$X$257,113,FALSE)),"",(VLOOKUP($B133,'E-1 Off-Site Hedge Baseline'!$B$1:$X$257,13,FALSE))))</f>
        <v/>
      </c>
      <c r="L133" s="370" t="str">
        <f>IF(B133="","",IF(ISNA(VLOOKUP($B133,'E-1 Off-Site Hedge Baseline'!$B$1:$X$257,12,FALSE)),"",(VLOOKUP($B133,'E-1 Off-Site Hedge Baseline'!$B$1:$X$257,12,FALSE))))</f>
        <v/>
      </c>
      <c r="M133" s="316" t="str">
        <f t="shared" si="9"/>
        <v/>
      </c>
      <c r="N133" s="362" t="str">
        <f>IFERROR(IF(B133="","",INDEX('G-6 Hedgerow Data'!$AN$3:$AZ$15,MATCH(C133,'G-6 Hedgerow Data'!$AM$3:$AM$15,0),MATCH(M133,'G-6 Hedgerow Data'!$AN$2:$AZ$2,0))),"")</f>
        <v/>
      </c>
      <c r="O133" s="363" t="str">
        <f t="shared" si="11"/>
        <v/>
      </c>
      <c r="P133" s="368" t="str">
        <f>IF(B133="","",VLOOKUP(B133,'E-1 Off-Site Hedge Baseline'!$B$10:W378,19,FALSE))</f>
        <v/>
      </c>
      <c r="Q133" s="362" t="str">
        <f>IF(M133="","",VLOOKUP(M133,'G-6 Hedgerow Data'!$B$2:$AG$15,2,FALSE))</f>
        <v/>
      </c>
      <c r="R133" s="363" t="str">
        <f>IF(M133="","",VLOOKUP(M133,'G-6 Hedgerow Data'!$B$2:$AG$15,3,FALSE))</f>
        <v/>
      </c>
      <c r="S133" s="114"/>
      <c r="T133" s="363" t="str">
        <f>IFERROR(IF(AND(Q133="V.Low",OR(S133="Good",S133="Moderate")),"Error ▲",VLOOKUP(S133,'G-1 All Habitats'!$Z$2:$AA$9,2,FALSE)),"")</f>
        <v/>
      </c>
      <c r="U133" s="114"/>
      <c r="V133" s="370" t="str">
        <f>IF(U133="","",IF(VLOOKUP(U133,'G-3 Multipliers'!$L$3:$N$6,2,FALSE)=0,"Spatial Data Missing ⚠",VLOOKUP(U133,'G-3 Multipliers'!$L$3:$N$6,2,FALSE)))</f>
        <v/>
      </c>
      <c r="W133" s="368" t="str">
        <f>IF(U133="","",IF(VLOOKUP(U133,'G-3 Multipliers'!$L$3:$N$6,3,FALSE)=0,"Spatial Data Missing ⚠",VLOOKUP(U133,'G-3 Multipliers'!$L$3:$N$6,3,FALSE)))</f>
        <v/>
      </c>
      <c r="X133" s="362" t="str">
        <f>IFERROR(IF(OR(LEFT(O133,5)="Error",LEFT(N133,5)="Error",T133="Error"),"Check Data ⚠",IF(F133&lt;R133,INDEX('G-6 Hedgerow Data'!$S$3:$AE$14,MATCH(C133,'G-6 Hedgerow Data'!$B$3:$B$14,0),MATCH(M133,'G-6 Hedgerow Data'!$S$2:$AE$2,0)),INDEX('G-6 Hedgerow Data'!$K$3:$Q$14,MATCH(M133,'G-6 Hedgerow Data'!$B$3:$B$14,0),MATCH(O133,'G-6 Hedgerow Data'!$K$2:$Q$2,0)))),"")</f>
        <v/>
      </c>
      <c r="Y133" s="159"/>
      <c r="Z133" s="159"/>
      <c r="AA133" s="370" t="str">
        <f t="shared" si="12"/>
        <v/>
      </c>
      <c r="AB133" s="383" t="str">
        <f t="shared" si="13"/>
        <v/>
      </c>
      <c r="AC133" s="384" t="str">
        <f t="shared" si="10"/>
        <v/>
      </c>
      <c r="AD133" s="398" t="str">
        <f>IF(M133="","",VLOOKUP(M133,'G-6 Hedgerow Data'!$B$3:$AG$15,31,FALSE))</f>
        <v/>
      </c>
      <c r="AE133" s="382" t="str">
        <f t="shared" si="14"/>
        <v/>
      </c>
      <c r="AF133" s="382" t="str">
        <f t="shared" si="15"/>
        <v/>
      </c>
      <c r="AG133" s="386" t="str">
        <f>IFERROR(IF(O133="","",VLOOKUP(AD133,'G-3 Multipliers'!$P$3:$Q$6,2,FALSE)),"")</f>
        <v/>
      </c>
      <c r="AH133" s="160"/>
      <c r="AI133" s="363" t="str">
        <f>IF(AH133="","",IF(VLOOKUP(AH133,'G-3 Multipliers'!$S$3:$T$10,2,FALSE)=0,"Spatial Data Missing ⚠",VLOOKUP(AH133,'G-3 Multipliers'!$S$3:$T$10,2,FALSE)))</f>
        <v/>
      </c>
      <c r="AJ133" s="405" t="str">
        <f t="shared" si="16"/>
        <v/>
      </c>
      <c r="AK133" s="376" t="str">
        <f t="shared" si="17"/>
        <v/>
      </c>
      <c r="AL133" s="117"/>
      <c r="AM133" s="118"/>
      <c r="AN133" s="120"/>
      <c r="AO133" s="120"/>
      <c r="AQ133" s="30" t="str">
        <f>IFERROR(INDEX('G-6 Hedgerow Data'!$BJ$3:$BJ$15,MATCH(M133,'G-6 Hedgerow Data'!$B$3:$B$15,0)),"")</f>
        <v/>
      </c>
    </row>
    <row r="134" spans="2:43" ht="15">
      <c r="B134" s="392" t="str">
        <f>'E-1 Off-Site Hedge Baseline'!AN132</f>
        <v/>
      </c>
      <c r="C134" s="382" t="str">
        <f>IF(B134="","",IF(ISNA(VLOOKUP($B134,'E-1 Off-Site Hedge Baseline'!$B$1:$L$257,3,FALSE)),"",(VLOOKUP($B134,'E-1 Off-Site Hedge Baseline'!$B$1:$L$257,3,FALSE))))</f>
        <v/>
      </c>
      <c r="D134" s="382" t="str">
        <f>IF(B134="","",IF(ISNA(VLOOKUP($B134,'E-1 Off-Site Hedge Baseline'!$B$1:$L$258,4,FALSE)),"",(VLOOKUP($B134,'E-1 Off-Site Hedge Baseline'!$B$1:$L$258,4,FALSE))))</f>
        <v/>
      </c>
      <c r="E134" s="382" t="str">
        <f>IF(B134="","",IF(ISNA(VLOOKUP($B134,'E-1 Off-Site Hedge Baseline'!$B$1:$L$257,5,FALSE)),"",(VLOOKUP($B134,'E-1 Off-Site Hedge Baseline'!$B$1:$L$257,5,FALSE))))</f>
        <v/>
      </c>
      <c r="F134" s="382" t="str">
        <f>IF(B134="","",IF(ISNA(VLOOKUP($B134,'E-1 Off-Site Hedge Baseline'!$B$1:$L$257,6,FALSE)),"",(VLOOKUP($B134,'E-1 Off-Site Hedge Baseline'!$B$1:$L$257,6,FALSE))))</f>
        <v/>
      </c>
      <c r="G134" s="382" t="str">
        <f>IF(B134="","",IF(ISNA(VLOOKUP($B134,'E-1 Off-Site Hedge Baseline'!$B$1:$L$257,7,FALSE)),"",(VLOOKUP($B134,'E-1 Off-Site Hedge Baseline'!$B$1:$L$257,7,FALSE))))</f>
        <v/>
      </c>
      <c r="H134" s="382" t="str">
        <f>IF(B134="","",IF(ISNA(VLOOKUP($B134,'E-1 Off-Site Hedge Baseline'!$B$1:$L$257,8,FALSE)),"",(VLOOKUP($B134,'E-1 Off-Site Hedge Baseline'!$B$1:$L$257,8,FALSE))))</f>
        <v/>
      </c>
      <c r="I134" s="382" t="str">
        <f>IF(B134="","",IF(ISNA(VLOOKUP($B134,'E-1 Off-Site Hedge Baseline'!$B$1:$L$257,10,FALSE)),"",(VLOOKUP($B134,'E-1 Off-Site Hedge Baseline'!$B$1:$L$257,10,FALSE))))</f>
        <v/>
      </c>
      <c r="J134" s="382" t="str">
        <f>IF(B134="","",IF(ISNA(VLOOKUP($B134,'E-1 Off-Site Hedge Baseline'!$B$1:$L$257,11,FALSE)),"",(VLOOKUP($B134,'E-1 Off-Site Hedge Baseline'!$B$1:$L$257,11,FALSE))))</f>
        <v/>
      </c>
      <c r="K134" s="382" t="str">
        <f>IF(B134="","",IF(ISNA(VLOOKUP($B134,'E-1 Off-Site Hedge Baseline'!$B$1:$X$257,113,FALSE)),"",(VLOOKUP($B134,'E-1 Off-Site Hedge Baseline'!$B$1:$X$257,13,FALSE))))</f>
        <v/>
      </c>
      <c r="L134" s="370" t="str">
        <f>IF(B134="","",IF(ISNA(VLOOKUP($B134,'E-1 Off-Site Hedge Baseline'!$B$1:$X$257,12,FALSE)),"",(VLOOKUP($B134,'E-1 Off-Site Hedge Baseline'!$B$1:$X$257,12,FALSE))))</f>
        <v/>
      </c>
      <c r="M134" s="316" t="str">
        <f t="shared" si="9"/>
        <v/>
      </c>
      <c r="N134" s="362" t="str">
        <f>IFERROR(IF(B134="","",INDEX('G-6 Hedgerow Data'!$AN$3:$AZ$15,MATCH(C134,'G-6 Hedgerow Data'!$AM$3:$AM$15,0),MATCH(M134,'G-6 Hedgerow Data'!$AN$2:$AZ$2,0))),"")</f>
        <v/>
      </c>
      <c r="O134" s="363" t="str">
        <f t="shared" si="11"/>
        <v/>
      </c>
      <c r="P134" s="368" t="str">
        <f>IF(B134="","",VLOOKUP(B134,'E-1 Off-Site Hedge Baseline'!$B$10:W379,19,FALSE))</f>
        <v/>
      </c>
      <c r="Q134" s="362" t="str">
        <f>IF(M134="","",VLOOKUP(M134,'G-6 Hedgerow Data'!$B$2:$AG$15,2,FALSE))</f>
        <v/>
      </c>
      <c r="R134" s="363" t="str">
        <f>IF(M134="","",VLOOKUP(M134,'G-6 Hedgerow Data'!$B$2:$AG$15,3,FALSE))</f>
        <v/>
      </c>
      <c r="S134" s="114"/>
      <c r="T134" s="363" t="str">
        <f>IFERROR(IF(AND(Q134="V.Low",OR(S134="Good",S134="Moderate")),"Error ▲",VLOOKUP(S134,'G-1 All Habitats'!$Z$2:$AA$9,2,FALSE)),"")</f>
        <v/>
      </c>
      <c r="U134" s="114"/>
      <c r="V134" s="370" t="str">
        <f>IF(U134="","",IF(VLOOKUP(U134,'G-3 Multipliers'!$L$3:$N$6,2,FALSE)=0,"Spatial Data Missing ⚠",VLOOKUP(U134,'G-3 Multipliers'!$L$3:$N$6,2,FALSE)))</f>
        <v/>
      </c>
      <c r="W134" s="368" t="str">
        <f>IF(U134="","",IF(VLOOKUP(U134,'G-3 Multipliers'!$L$3:$N$6,3,FALSE)=0,"Spatial Data Missing ⚠",VLOOKUP(U134,'G-3 Multipliers'!$L$3:$N$6,3,FALSE)))</f>
        <v/>
      </c>
      <c r="X134" s="362" t="str">
        <f>IFERROR(IF(OR(LEFT(O134,5)="Error",LEFT(N134,5)="Error",T134="Error"),"Check Data ⚠",IF(F134&lt;R134,INDEX('G-6 Hedgerow Data'!$S$3:$AE$14,MATCH(C134,'G-6 Hedgerow Data'!$B$3:$B$14,0),MATCH(M134,'G-6 Hedgerow Data'!$S$2:$AE$2,0)),INDEX('G-6 Hedgerow Data'!$K$3:$Q$14,MATCH(M134,'G-6 Hedgerow Data'!$B$3:$B$14,0),MATCH(O134,'G-6 Hedgerow Data'!$K$2:$Q$2,0)))),"")</f>
        <v/>
      </c>
      <c r="Y134" s="159"/>
      <c r="Z134" s="159"/>
      <c r="AA134" s="370" t="str">
        <f t="shared" si="12"/>
        <v/>
      </c>
      <c r="AB134" s="383" t="str">
        <f t="shared" si="13"/>
        <v/>
      </c>
      <c r="AC134" s="384" t="str">
        <f t="shared" si="10"/>
        <v/>
      </c>
      <c r="AD134" s="398" t="str">
        <f>IF(M134="","",VLOOKUP(M134,'G-6 Hedgerow Data'!$B$3:$AG$15,31,FALSE))</f>
        <v/>
      </c>
      <c r="AE134" s="382" t="str">
        <f t="shared" si="14"/>
        <v/>
      </c>
      <c r="AF134" s="382" t="str">
        <f t="shared" si="15"/>
        <v/>
      </c>
      <c r="AG134" s="386" t="str">
        <f>IFERROR(IF(O134="","",VLOOKUP(AD134,'G-3 Multipliers'!$P$3:$Q$6,2,FALSE)),"")</f>
        <v/>
      </c>
      <c r="AH134" s="160"/>
      <c r="AI134" s="363" t="str">
        <f>IF(AH134="","",IF(VLOOKUP(AH134,'G-3 Multipliers'!$S$3:$T$10,2,FALSE)=0,"Spatial Data Missing ⚠",VLOOKUP(AH134,'G-3 Multipliers'!$S$3:$T$10,2,FALSE)))</f>
        <v/>
      </c>
      <c r="AJ134" s="405" t="str">
        <f t="shared" si="16"/>
        <v/>
      </c>
      <c r="AK134" s="376" t="str">
        <f t="shared" si="17"/>
        <v/>
      </c>
      <c r="AL134" s="117"/>
      <c r="AM134" s="118"/>
      <c r="AN134" s="120"/>
      <c r="AO134" s="120"/>
      <c r="AQ134" s="30" t="str">
        <f>IFERROR(INDEX('G-6 Hedgerow Data'!$BJ$3:$BJ$15,MATCH(M134,'G-6 Hedgerow Data'!$B$3:$B$15,0)),"")</f>
        <v/>
      </c>
    </row>
    <row r="135" spans="2:43" ht="15">
      <c r="B135" s="392" t="str">
        <f>'E-1 Off-Site Hedge Baseline'!AN133</f>
        <v/>
      </c>
      <c r="C135" s="382" t="str">
        <f>IF(B135="","",IF(ISNA(VLOOKUP($B135,'E-1 Off-Site Hedge Baseline'!$B$1:$L$257,3,FALSE)),"",(VLOOKUP($B135,'E-1 Off-Site Hedge Baseline'!$B$1:$L$257,3,FALSE))))</f>
        <v/>
      </c>
      <c r="D135" s="382" t="str">
        <f>IF(B135="","",IF(ISNA(VLOOKUP($B135,'E-1 Off-Site Hedge Baseline'!$B$1:$L$258,4,FALSE)),"",(VLOOKUP($B135,'E-1 Off-Site Hedge Baseline'!$B$1:$L$258,4,FALSE))))</f>
        <v/>
      </c>
      <c r="E135" s="382" t="str">
        <f>IF(B135="","",IF(ISNA(VLOOKUP($B135,'E-1 Off-Site Hedge Baseline'!$B$1:$L$257,5,FALSE)),"",(VLOOKUP($B135,'E-1 Off-Site Hedge Baseline'!$B$1:$L$257,5,FALSE))))</f>
        <v/>
      </c>
      <c r="F135" s="382" t="str">
        <f>IF(B135="","",IF(ISNA(VLOOKUP($B135,'E-1 Off-Site Hedge Baseline'!$B$1:$L$257,6,FALSE)),"",(VLOOKUP($B135,'E-1 Off-Site Hedge Baseline'!$B$1:$L$257,6,FALSE))))</f>
        <v/>
      </c>
      <c r="G135" s="382" t="str">
        <f>IF(B135="","",IF(ISNA(VLOOKUP($B135,'E-1 Off-Site Hedge Baseline'!$B$1:$L$257,7,FALSE)),"",(VLOOKUP($B135,'E-1 Off-Site Hedge Baseline'!$B$1:$L$257,7,FALSE))))</f>
        <v/>
      </c>
      <c r="H135" s="382" t="str">
        <f>IF(B135="","",IF(ISNA(VLOOKUP($B135,'E-1 Off-Site Hedge Baseline'!$B$1:$L$257,8,FALSE)),"",(VLOOKUP($B135,'E-1 Off-Site Hedge Baseline'!$B$1:$L$257,8,FALSE))))</f>
        <v/>
      </c>
      <c r="I135" s="382" t="str">
        <f>IF(B135="","",IF(ISNA(VLOOKUP($B135,'E-1 Off-Site Hedge Baseline'!$B$1:$L$257,10,FALSE)),"",(VLOOKUP($B135,'E-1 Off-Site Hedge Baseline'!$B$1:$L$257,10,FALSE))))</f>
        <v/>
      </c>
      <c r="J135" s="382" t="str">
        <f>IF(B135="","",IF(ISNA(VLOOKUP($B135,'E-1 Off-Site Hedge Baseline'!$B$1:$L$257,11,FALSE)),"",(VLOOKUP($B135,'E-1 Off-Site Hedge Baseline'!$B$1:$L$257,11,FALSE))))</f>
        <v/>
      </c>
      <c r="K135" s="382" t="str">
        <f>IF(B135="","",IF(ISNA(VLOOKUP($B135,'E-1 Off-Site Hedge Baseline'!$B$1:$X$257,113,FALSE)),"",(VLOOKUP($B135,'E-1 Off-Site Hedge Baseline'!$B$1:$X$257,13,FALSE))))</f>
        <v/>
      </c>
      <c r="L135" s="370" t="str">
        <f>IF(B135="","",IF(ISNA(VLOOKUP($B135,'E-1 Off-Site Hedge Baseline'!$B$1:$X$257,12,FALSE)),"",(VLOOKUP($B135,'E-1 Off-Site Hedge Baseline'!$B$1:$X$257,12,FALSE))))</f>
        <v/>
      </c>
      <c r="M135" s="316" t="str">
        <f t="shared" si="9"/>
        <v/>
      </c>
      <c r="N135" s="362" t="str">
        <f>IFERROR(IF(B135="","",INDEX('G-6 Hedgerow Data'!$AN$3:$AZ$15,MATCH(C135,'G-6 Hedgerow Data'!$AM$3:$AM$15,0),MATCH(M135,'G-6 Hedgerow Data'!$AN$2:$AZ$2,0))),"")</f>
        <v/>
      </c>
      <c r="O135" s="363" t="str">
        <f t="shared" si="11"/>
        <v/>
      </c>
      <c r="P135" s="368" t="str">
        <f>IF(B135="","",VLOOKUP(B135,'E-1 Off-Site Hedge Baseline'!$B$10:W380,19,FALSE))</f>
        <v/>
      </c>
      <c r="Q135" s="362" t="str">
        <f>IF(M135="","",VLOOKUP(M135,'G-6 Hedgerow Data'!$B$2:$AG$15,2,FALSE))</f>
        <v/>
      </c>
      <c r="R135" s="363" t="str">
        <f>IF(M135="","",VLOOKUP(M135,'G-6 Hedgerow Data'!$B$2:$AG$15,3,FALSE))</f>
        <v/>
      </c>
      <c r="S135" s="114"/>
      <c r="T135" s="363" t="str">
        <f>IFERROR(IF(AND(Q135="V.Low",OR(S135="Good",S135="Moderate")),"Error ▲",VLOOKUP(S135,'G-1 All Habitats'!$Z$2:$AA$9,2,FALSE)),"")</f>
        <v/>
      </c>
      <c r="U135" s="114"/>
      <c r="V135" s="370" t="str">
        <f>IF(U135="","",IF(VLOOKUP(U135,'G-3 Multipliers'!$L$3:$N$6,2,FALSE)=0,"Spatial Data Missing ⚠",VLOOKUP(U135,'G-3 Multipliers'!$L$3:$N$6,2,FALSE)))</f>
        <v/>
      </c>
      <c r="W135" s="368" t="str">
        <f>IF(U135="","",IF(VLOOKUP(U135,'G-3 Multipliers'!$L$3:$N$6,3,FALSE)=0,"Spatial Data Missing ⚠",VLOOKUP(U135,'G-3 Multipliers'!$L$3:$N$6,3,FALSE)))</f>
        <v/>
      </c>
      <c r="X135" s="362" t="str">
        <f>IFERROR(IF(OR(LEFT(O135,5)="Error",LEFT(N135,5)="Error",T135="Error"),"Check Data ⚠",IF(F135&lt;R135,INDEX('G-6 Hedgerow Data'!$S$3:$AE$14,MATCH(C135,'G-6 Hedgerow Data'!$B$3:$B$14,0),MATCH(M135,'G-6 Hedgerow Data'!$S$2:$AE$2,0)),INDEX('G-6 Hedgerow Data'!$K$3:$Q$14,MATCH(M135,'G-6 Hedgerow Data'!$B$3:$B$14,0),MATCH(O135,'G-6 Hedgerow Data'!$K$2:$Q$2,0)))),"")</f>
        <v/>
      </c>
      <c r="Y135" s="159"/>
      <c r="Z135" s="159"/>
      <c r="AA135" s="370" t="str">
        <f t="shared" si="12"/>
        <v/>
      </c>
      <c r="AB135" s="383" t="str">
        <f t="shared" si="13"/>
        <v/>
      </c>
      <c r="AC135" s="384" t="str">
        <f t="shared" si="10"/>
        <v/>
      </c>
      <c r="AD135" s="398" t="str">
        <f>IF(M135="","",VLOOKUP(M135,'G-6 Hedgerow Data'!$B$3:$AG$15,31,FALSE))</f>
        <v/>
      </c>
      <c r="AE135" s="382" t="str">
        <f t="shared" si="14"/>
        <v/>
      </c>
      <c r="AF135" s="382" t="str">
        <f t="shared" si="15"/>
        <v/>
      </c>
      <c r="AG135" s="386" t="str">
        <f>IFERROR(IF(O135="","",VLOOKUP(AD135,'G-3 Multipliers'!$P$3:$Q$6,2,FALSE)),"")</f>
        <v/>
      </c>
      <c r="AH135" s="160"/>
      <c r="AI135" s="363" t="str">
        <f>IF(AH135="","",IF(VLOOKUP(AH135,'G-3 Multipliers'!$S$3:$T$10,2,FALSE)=0,"Spatial Data Missing ⚠",VLOOKUP(AH135,'G-3 Multipliers'!$S$3:$T$10,2,FALSE)))</f>
        <v/>
      </c>
      <c r="AJ135" s="405" t="str">
        <f t="shared" si="16"/>
        <v/>
      </c>
      <c r="AK135" s="376" t="str">
        <f t="shared" si="17"/>
        <v/>
      </c>
      <c r="AL135" s="117"/>
      <c r="AM135" s="118"/>
      <c r="AN135" s="120"/>
      <c r="AO135" s="120"/>
      <c r="AQ135" s="30" t="str">
        <f>IFERROR(INDEX('G-6 Hedgerow Data'!$BJ$3:$BJ$15,MATCH(M135,'G-6 Hedgerow Data'!$B$3:$B$15,0)),"")</f>
        <v/>
      </c>
    </row>
    <row r="136" spans="2:43" ht="15">
      <c r="B136" s="392" t="str">
        <f>'E-1 Off-Site Hedge Baseline'!AN134</f>
        <v/>
      </c>
      <c r="C136" s="382" t="str">
        <f>IF(B136="","",IF(ISNA(VLOOKUP($B136,'E-1 Off-Site Hedge Baseline'!$B$1:$L$257,3,FALSE)),"",(VLOOKUP($B136,'E-1 Off-Site Hedge Baseline'!$B$1:$L$257,3,FALSE))))</f>
        <v/>
      </c>
      <c r="D136" s="382" t="str">
        <f>IF(B136="","",IF(ISNA(VLOOKUP($B136,'E-1 Off-Site Hedge Baseline'!$B$1:$L$258,4,FALSE)),"",(VLOOKUP($B136,'E-1 Off-Site Hedge Baseline'!$B$1:$L$258,4,FALSE))))</f>
        <v/>
      </c>
      <c r="E136" s="382" t="str">
        <f>IF(B136="","",IF(ISNA(VLOOKUP($B136,'E-1 Off-Site Hedge Baseline'!$B$1:$L$257,5,FALSE)),"",(VLOOKUP($B136,'E-1 Off-Site Hedge Baseline'!$B$1:$L$257,5,FALSE))))</f>
        <v/>
      </c>
      <c r="F136" s="382" t="str">
        <f>IF(B136="","",IF(ISNA(VLOOKUP($B136,'E-1 Off-Site Hedge Baseline'!$B$1:$L$257,6,FALSE)),"",(VLOOKUP($B136,'E-1 Off-Site Hedge Baseline'!$B$1:$L$257,6,FALSE))))</f>
        <v/>
      </c>
      <c r="G136" s="382" t="str">
        <f>IF(B136="","",IF(ISNA(VLOOKUP($B136,'E-1 Off-Site Hedge Baseline'!$B$1:$L$257,7,FALSE)),"",(VLOOKUP($B136,'E-1 Off-Site Hedge Baseline'!$B$1:$L$257,7,FALSE))))</f>
        <v/>
      </c>
      <c r="H136" s="382" t="str">
        <f>IF(B136="","",IF(ISNA(VLOOKUP($B136,'E-1 Off-Site Hedge Baseline'!$B$1:$L$257,8,FALSE)),"",(VLOOKUP($B136,'E-1 Off-Site Hedge Baseline'!$B$1:$L$257,8,FALSE))))</f>
        <v/>
      </c>
      <c r="I136" s="382" t="str">
        <f>IF(B136="","",IF(ISNA(VLOOKUP($B136,'E-1 Off-Site Hedge Baseline'!$B$1:$L$257,10,FALSE)),"",(VLOOKUP($B136,'E-1 Off-Site Hedge Baseline'!$B$1:$L$257,10,FALSE))))</f>
        <v/>
      </c>
      <c r="J136" s="382" t="str">
        <f>IF(B136="","",IF(ISNA(VLOOKUP($B136,'E-1 Off-Site Hedge Baseline'!$B$1:$L$257,11,FALSE)),"",(VLOOKUP($B136,'E-1 Off-Site Hedge Baseline'!$B$1:$L$257,11,FALSE))))</f>
        <v/>
      </c>
      <c r="K136" s="382" t="str">
        <f>IF(B136="","",IF(ISNA(VLOOKUP($B136,'E-1 Off-Site Hedge Baseline'!$B$1:$X$257,113,FALSE)),"",(VLOOKUP($B136,'E-1 Off-Site Hedge Baseline'!$B$1:$X$257,13,FALSE))))</f>
        <v/>
      </c>
      <c r="L136" s="370" t="str">
        <f>IF(B136="","",IF(ISNA(VLOOKUP($B136,'E-1 Off-Site Hedge Baseline'!$B$1:$X$257,12,FALSE)),"",(VLOOKUP($B136,'E-1 Off-Site Hedge Baseline'!$B$1:$X$257,12,FALSE))))</f>
        <v/>
      </c>
      <c r="M136" s="316" t="str">
        <f t="shared" si="9"/>
        <v/>
      </c>
      <c r="N136" s="362" t="str">
        <f>IFERROR(IF(B136="","",INDEX('G-6 Hedgerow Data'!$AN$3:$AZ$15,MATCH(C136,'G-6 Hedgerow Data'!$AM$3:$AM$15,0),MATCH(M136,'G-6 Hedgerow Data'!$AN$2:$AZ$2,0))),"")</f>
        <v/>
      </c>
      <c r="O136" s="363" t="str">
        <f t="shared" si="11"/>
        <v/>
      </c>
      <c r="P136" s="368" t="str">
        <f>IF(B136="","",VLOOKUP(B136,'E-1 Off-Site Hedge Baseline'!$B$10:W381,19,FALSE))</f>
        <v/>
      </c>
      <c r="Q136" s="362" t="str">
        <f>IF(M136="","",VLOOKUP(M136,'G-6 Hedgerow Data'!$B$2:$AG$15,2,FALSE))</f>
        <v/>
      </c>
      <c r="R136" s="363" t="str">
        <f>IF(M136="","",VLOOKUP(M136,'G-6 Hedgerow Data'!$B$2:$AG$15,3,FALSE))</f>
        <v/>
      </c>
      <c r="S136" s="114"/>
      <c r="T136" s="363" t="str">
        <f>IFERROR(IF(AND(Q136="V.Low",OR(S136="Good",S136="Moderate")),"Error ▲",VLOOKUP(S136,'G-1 All Habitats'!$Z$2:$AA$9,2,FALSE)),"")</f>
        <v/>
      </c>
      <c r="U136" s="114"/>
      <c r="V136" s="370" t="str">
        <f>IF(U136="","",IF(VLOOKUP(U136,'G-3 Multipliers'!$L$3:$N$6,2,FALSE)=0,"Spatial Data Missing ⚠",VLOOKUP(U136,'G-3 Multipliers'!$L$3:$N$6,2,FALSE)))</f>
        <v/>
      </c>
      <c r="W136" s="368" t="str">
        <f>IF(U136="","",IF(VLOOKUP(U136,'G-3 Multipliers'!$L$3:$N$6,3,FALSE)=0,"Spatial Data Missing ⚠",VLOOKUP(U136,'G-3 Multipliers'!$L$3:$N$6,3,FALSE)))</f>
        <v/>
      </c>
      <c r="X136" s="362" t="str">
        <f>IFERROR(IF(OR(LEFT(O136,5)="Error",LEFT(N136,5)="Error",T136="Error"),"Check Data ⚠",IF(F136&lt;R136,INDEX('G-6 Hedgerow Data'!$S$3:$AE$14,MATCH(C136,'G-6 Hedgerow Data'!$B$3:$B$14,0),MATCH(M136,'G-6 Hedgerow Data'!$S$2:$AE$2,0)),INDEX('G-6 Hedgerow Data'!$K$3:$Q$14,MATCH(M136,'G-6 Hedgerow Data'!$B$3:$B$14,0),MATCH(O136,'G-6 Hedgerow Data'!$K$2:$Q$2,0)))),"")</f>
        <v/>
      </c>
      <c r="Y136" s="159"/>
      <c r="Z136" s="159"/>
      <c r="AA136" s="370" t="str">
        <f t="shared" si="12"/>
        <v/>
      </c>
      <c r="AB136" s="383" t="str">
        <f t="shared" si="13"/>
        <v/>
      </c>
      <c r="AC136" s="384" t="str">
        <f t="shared" si="10"/>
        <v/>
      </c>
      <c r="AD136" s="398" t="str">
        <f>IF(M136="","",VLOOKUP(M136,'G-6 Hedgerow Data'!$B$3:$AG$15,31,FALSE))</f>
        <v/>
      </c>
      <c r="AE136" s="382" t="str">
        <f t="shared" si="14"/>
        <v/>
      </c>
      <c r="AF136" s="382" t="str">
        <f t="shared" si="15"/>
        <v/>
      </c>
      <c r="AG136" s="386" t="str">
        <f>IFERROR(IF(O136="","",VLOOKUP(AD136,'G-3 Multipliers'!$P$3:$Q$6,2,FALSE)),"")</f>
        <v/>
      </c>
      <c r="AH136" s="160"/>
      <c r="AI136" s="363" t="str">
        <f>IF(AH136="","",IF(VLOOKUP(AH136,'G-3 Multipliers'!$S$3:$T$10,2,FALSE)=0,"Spatial Data Missing ⚠",VLOOKUP(AH136,'G-3 Multipliers'!$S$3:$T$10,2,FALSE)))</f>
        <v/>
      </c>
      <c r="AJ136" s="405" t="str">
        <f t="shared" si="16"/>
        <v/>
      </c>
      <c r="AK136" s="376" t="str">
        <f t="shared" si="17"/>
        <v/>
      </c>
      <c r="AL136" s="117"/>
      <c r="AM136" s="118"/>
      <c r="AN136" s="120"/>
      <c r="AO136" s="120"/>
      <c r="AQ136" s="30" t="str">
        <f>IFERROR(INDEX('G-6 Hedgerow Data'!$BJ$3:$BJ$15,MATCH(M136,'G-6 Hedgerow Data'!$B$3:$B$15,0)),"")</f>
        <v/>
      </c>
    </row>
    <row r="137" spans="2:43" ht="15">
      <c r="B137" s="392" t="str">
        <f>'E-1 Off-Site Hedge Baseline'!AN135</f>
        <v/>
      </c>
      <c r="C137" s="382" t="str">
        <f>IF(B137="","",IF(ISNA(VLOOKUP($B137,'E-1 Off-Site Hedge Baseline'!$B$1:$L$257,3,FALSE)),"",(VLOOKUP($B137,'E-1 Off-Site Hedge Baseline'!$B$1:$L$257,3,FALSE))))</f>
        <v/>
      </c>
      <c r="D137" s="382" t="str">
        <f>IF(B137="","",IF(ISNA(VLOOKUP($B137,'E-1 Off-Site Hedge Baseline'!$B$1:$L$258,4,FALSE)),"",(VLOOKUP($B137,'E-1 Off-Site Hedge Baseline'!$B$1:$L$258,4,FALSE))))</f>
        <v/>
      </c>
      <c r="E137" s="382" t="str">
        <f>IF(B137="","",IF(ISNA(VLOOKUP($B137,'E-1 Off-Site Hedge Baseline'!$B$1:$L$257,5,FALSE)),"",(VLOOKUP($B137,'E-1 Off-Site Hedge Baseline'!$B$1:$L$257,5,FALSE))))</f>
        <v/>
      </c>
      <c r="F137" s="382" t="str">
        <f>IF(B137="","",IF(ISNA(VLOOKUP($B137,'E-1 Off-Site Hedge Baseline'!$B$1:$L$257,6,FALSE)),"",(VLOOKUP($B137,'E-1 Off-Site Hedge Baseline'!$B$1:$L$257,6,FALSE))))</f>
        <v/>
      </c>
      <c r="G137" s="382" t="str">
        <f>IF(B137="","",IF(ISNA(VLOOKUP($B137,'E-1 Off-Site Hedge Baseline'!$B$1:$L$257,7,FALSE)),"",(VLOOKUP($B137,'E-1 Off-Site Hedge Baseline'!$B$1:$L$257,7,FALSE))))</f>
        <v/>
      </c>
      <c r="H137" s="382" t="str">
        <f>IF(B137="","",IF(ISNA(VLOOKUP($B137,'E-1 Off-Site Hedge Baseline'!$B$1:$L$257,8,FALSE)),"",(VLOOKUP($B137,'E-1 Off-Site Hedge Baseline'!$B$1:$L$257,8,FALSE))))</f>
        <v/>
      </c>
      <c r="I137" s="382" t="str">
        <f>IF(B137="","",IF(ISNA(VLOOKUP($B137,'E-1 Off-Site Hedge Baseline'!$B$1:$L$257,10,FALSE)),"",(VLOOKUP($B137,'E-1 Off-Site Hedge Baseline'!$B$1:$L$257,10,FALSE))))</f>
        <v/>
      </c>
      <c r="J137" s="382" t="str">
        <f>IF(B137="","",IF(ISNA(VLOOKUP($B137,'E-1 Off-Site Hedge Baseline'!$B$1:$L$257,11,FALSE)),"",(VLOOKUP($B137,'E-1 Off-Site Hedge Baseline'!$B$1:$L$257,11,FALSE))))</f>
        <v/>
      </c>
      <c r="K137" s="382" t="str">
        <f>IF(B137="","",IF(ISNA(VLOOKUP($B137,'E-1 Off-Site Hedge Baseline'!$B$1:$X$257,113,FALSE)),"",(VLOOKUP($B137,'E-1 Off-Site Hedge Baseline'!$B$1:$X$257,13,FALSE))))</f>
        <v/>
      </c>
      <c r="L137" s="370" t="str">
        <f>IF(B137="","",IF(ISNA(VLOOKUP($B137,'E-1 Off-Site Hedge Baseline'!$B$1:$X$257,12,FALSE)),"",(VLOOKUP($B137,'E-1 Off-Site Hedge Baseline'!$B$1:$X$257,12,FALSE))))</f>
        <v/>
      </c>
      <c r="M137" s="316" t="str">
        <f t="shared" si="9"/>
        <v/>
      </c>
      <c r="N137" s="362" t="str">
        <f>IFERROR(IF(B137="","",INDEX('G-6 Hedgerow Data'!$AN$3:$AZ$15,MATCH(C137,'G-6 Hedgerow Data'!$AM$3:$AM$15,0),MATCH(M137,'G-6 Hedgerow Data'!$AN$2:$AZ$2,0))),"")</f>
        <v/>
      </c>
      <c r="O137" s="363" t="str">
        <f t="shared" si="11"/>
        <v/>
      </c>
      <c r="P137" s="368" t="str">
        <f>IF(B137="","",VLOOKUP(B137,'E-1 Off-Site Hedge Baseline'!$B$10:W382,19,FALSE))</f>
        <v/>
      </c>
      <c r="Q137" s="362" t="str">
        <f>IF(M137="","",VLOOKUP(M137,'G-6 Hedgerow Data'!$B$2:$AG$15,2,FALSE))</f>
        <v/>
      </c>
      <c r="R137" s="363" t="str">
        <f>IF(M137="","",VLOOKUP(M137,'G-6 Hedgerow Data'!$B$2:$AG$15,3,FALSE))</f>
        <v/>
      </c>
      <c r="S137" s="114"/>
      <c r="T137" s="363" t="str">
        <f>IFERROR(IF(AND(Q137="V.Low",OR(S137="Good",S137="Moderate")),"Error ▲",VLOOKUP(S137,'G-1 All Habitats'!$Z$2:$AA$9,2,FALSE)),"")</f>
        <v/>
      </c>
      <c r="U137" s="114"/>
      <c r="V137" s="370" t="str">
        <f>IF(U137="","",IF(VLOOKUP(U137,'G-3 Multipliers'!$L$3:$N$6,2,FALSE)=0,"Spatial Data Missing ⚠",VLOOKUP(U137,'G-3 Multipliers'!$L$3:$N$6,2,FALSE)))</f>
        <v/>
      </c>
      <c r="W137" s="368" t="str">
        <f>IF(U137="","",IF(VLOOKUP(U137,'G-3 Multipliers'!$L$3:$N$6,3,FALSE)=0,"Spatial Data Missing ⚠",VLOOKUP(U137,'G-3 Multipliers'!$L$3:$N$6,3,FALSE)))</f>
        <v/>
      </c>
      <c r="X137" s="362" t="str">
        <f>IFERROR(IF(OR(LEFT(O137,5)="Error",LEFT(N137,5)="Error",T137="Error"),"Check Data ⚠",IF(F137&lt;R137,INDEX('G-6 Hedgerow Data'!$S$3:$AE$14,MATCH(C137,'G-6 Hedgerow Data'!$B$3:$B$14,0),MATCH(M137,'G-6 Hedgerow Data'!$S$2:$AE$2,0)),INDEX('G-6 Hedgerow Data'!$K$3:$Q$14,MATCH(M137,'G-6 Hedgerow Data'!$B$3:$B$14,0),MATCH(O137,'G-6 Hedgerow Data'!$K$2:$Q$2,0)))),"")</f>
        <v/>
      </c>
      <c r="Y137" s="159"/>
      <c r="Z137" s="159"/>
      <c r="AA137" s="370" t="str">
        <f t="shared" si="12"/>
        <v/>
      </c>
      <c r="AB137" s="383" t="str">
        <f t="shared" si="13"/>
        <v/>
      </c>
      <c r="AC137" s="384" t="str">
        <f t="shared" si="10"/>
        <v/>
      </c>
      <c r="AD137" s="398" t="str">
        <f>IF(M137="","",VLOOKUP(M137,'G-6 Hedgerow Data'!$B$3:$AG$15,31,FALSE))</f>
        <v/>
      </c>
      <c r="AE137" s="382" t="str">
        <f t="shared" si="14"/>
        <v/>
      </c>
      <c r="AF137" s="382" t="str">
        <f t="shared" si="15"/>
        <v/>
      </c>
      <c r="AG137" s="386" t="str">
        <f>IFERROR(IF(O137="","",VLOOKUP(AD137,'G-3 Multipliers'!$P$3:$Q$6,2,FALSE)),"")</f>
        <v/>
      </c>
      <c r="AH137" s="160"/>
      <c r="AI137" s="363" t="str">
        <f>IF(AH137="","",IF(VLOOKUP(AH137,'G-3 Multipliers'!$S$3:$T$10,2,FALSE)=0,"Spatial Data Missing ⚠",VLOOKUP(AH137,'G-3 Multipliers'!$S$3:$T$10,2,FALSE)))</f>
        <v/>
      </c>
      <c r="AJ137" s="405" t="str">
        <f t="shared" si="16"/>
        <v/>
      </c>
      <c r="AK137" s="376" t="str">
        <f t="shared" si="17"/>
        <v/>
      </c>
      <c r="AL137" s="117"/>
      <c r="AM137" s="118"/>
      <c r="AN137" s="120"/>
      <c r="AO137" s="120"/>
      <c r="AQ137" s="30" t="str">
        <f>IFERROR(INDEX('G-6 Hedgerow Data'!$BJ$3:$BJ$15,MATCH(M137,'G-6 Hedgerow Data'!$B$3:$B$15,0)),"")</f>
        <v/>
      </c>
    </row>
    <row r="138" spans="2:43" ht="15">
      <c r="B138" s="392" t="str">
        <f>'E-1 Off-Site Hedge Baseline'!AN136</f>
        <v/>
      </c>
      <c r="C138" s="382" t="str">
        <f>IF(B138="","",IF(ISNA(VLOOKUP($B138,'E-1 Off-Site Hedge Baseline'!$B$1:$L$257,3,FALSE)),"",(VLOOKUP($B138,'E-1 Off-Site Hedge Baseline'!$B$1:$L$257,3,FALSE))))</f>
        <v/>
      </c>
      <c r="D138" s="382" t="str">
        <f>IF(B138="","",IF(ISNA(VLOOKUP($B138,'E-1 Off-Site Hedge Baseline'!$B$1:$L$258,4,FALSE)),"",(VLOOKUP($B138,'E-1 Off-Site Hedge Baseline'!$B$1:$L$258,4,FALSE))))</f>
        <v/>
      </c>
      <c r="E138" s="382" t="str">
        <f>IF(B138="","",IF(ISNA(VLOOKUP($B138,'E-1 Off-Site Hedge Baseline'!$B$1:$L$257,5,FALSE)),"",(VLOOKUP($B138,'E-1 Off-Site Hedge Baseline'!$B$1:$L$257,5,FALSE))))</f>
        <v/>
      </c>
      <c r="F138" s="382" t="str">
        <f>IF(B138="","",IF(ISNA(VLOOKUP($B138,'E-1 Off-Site Hedge Baseline'!$B$1:$L$257,6,FALSE)),"",(VLOOKUP($B138,'E-1 Off-Site Hedge Baseline'!$B$1:$L$257,6,FALSE))))</f>
        <v/>
      </c>
      <c r="G138" s="382" t="str">
        <f>IF(B138="","",IF(ISNA(VLOOKUP($B138,'E-1 Off-Site Hedge Baseline'!$B$1:$L$257,7,FALSE)),"",(VLOOKUP($B138,'E-1 Off-Site Hedge Baseline'!$B$1:$L$257,7,FALSE))))</f>
        <v/>
      </c>
      <c r="H138" s="382" t="str">
        <f>IF(B138="","",IF(ISNA(VLOOKUP($B138,'E-1 Off-Site Hedge Baseline'!$B$1:$L$257,8,FALSE)),"",(VLOOKUP($B138,'E-1 Off-Site Hedge Baseline'!$B$1:$L$257,8,FALSE))))</f>
        <v/>
      </c>
      <c r="I138" s="382" t="str">
        <f>IF(B138="","",IF(ISNA(VLOOKUP($B138,'E-1 Off-Site Hedge Baseline'!$B$1:$L$257,10,FALSE)),"",(VLOOKUP($B138,'E-1 Off-Site Hedge Baseline'!$B$1:$L$257,10,FALSE))))</f>
        <v/>
      </c>
      <c r="J138" s="382" t="str">
        <f>IF(B138="","",IF(ISNA(VLOOKUP($B138,'E-1 Off-Site Hedge Baseline'!$B$1:$L$257,11,FALSE)),"",(VLOOKUP($B138,'E-1 Off-Site Hedge Baseline'!$B$1:$L$257,11,FALSE))))</f>
        <v/>
      </c>
      <c r="K138" s="382" t="str">
        <f>IF(B138="","",IF(ISNA(VLOOKUP($B138,'E-1 Off-Site Hedge Baseline'!$B$1:$X$257,113,FALSE)),"",(VLOOKUP($B138,'E-1 Off-Site Hedge Baseline'!$B$1:$X$257,13,FALSE))))</f>
        <v/>
      </c>
      <c r="L138" s="370" t="str">
        <f>IF(B138="","",IF(ISNA(VLOOKUP($B138,'E-1 Off-Site Hedge Baseline'!$B$1:$X$257,12,FALSE)),"",(VLOOKUP($B138,'E-1 Off-Site Hedge Baseline'!$B$1:$X$257,12,FALSE))))</f>
        <v/>
      </c>
      <c r="M138" s="316" t="str">
        <f t="shared" si="9"/>
        <v/>
      </c>
      <c r="N138" s="362" t="str">
        <f>IFERROR(IF(B138="","",INDEX('G-6 Hedgerow Data'!$AN$3:$AZ$15,MATCH(C138,'G-6 Hedgerow Data'!$AM$3:$AM$15,0),MATCH(M138,'G-6 Hedgerow Data'!$AN$2:$AZ$2,0))),"")</f>
        <v/>
      </c>
      <c r="O138" s="363" t="str">
        <f t="shared" si="11"/>
        <v/>
      </c>
      <c r="P138" s="368" t="str">
        <f>IF(B138="","",VLOOKUP(B138,'E-1 Off-Site Hedge Baseline'!$B$10:W383,19,FALSE))</f>
        <v/>
      </c>
      <c r="Q138" s="362" t="str">
        <f>IF(M138="","",VLOOKUP(M138,'G-6 Hedgerow Data'!$B$2:$AG$15,2,FALSE))</f>
        <v/>
      </c>
      <c r="R138" s="363" t="str">
        <f>IF(M138="","",VLOOKUP(M138,'G-6 Hedgerow Data'!$B$2:$AG$15,3,FALSE))</f>
        <v/>
      </c>
      <c r="S138" s="114"/>
      <c r="T138" s="363" t="str">
        <f>IFERROR(IF(AND(Q138="V.Low",OR(S138="Good",S138="Moderate")),"Error ▲",VLOOKUP(S138,'G-1 All Habitats'!$Z$2:$AA$9,2,FALSE)),"")</f>
        <v/>
      </c>
      <c r="U138" s="114"/>
      <c r="V138" s="370" t="str">
        <f>IF(U138="","",IF(VLOOKUP(U138,'G-3 Multipliers'!$L$3:$N$6,2,FALSE)=0,"Spatial Data Missing ⚠",VLOOKUP(U138,'G-3 Multipliers'!$L$3:$N$6,2,FALSE)))</f>
        <v/>
      </c>
      <c r="W138" s="368" t="str">
        <f>IF(U138="","",IF(VLOOKUP(U138,'G-3 Multipliers'!$L$3:$N$6,3,FALSE)=0,"Spatial Data Missing ⚠",VLOOKUP(U138,'G-3 Multipliers'!$L$3:$N$6,3,FALSE)))</f>
        <v/>
      </c>
      <c r="X138" s="362" t="str">
        <f>IFERROR(IF(OR(LEFT(O138,5)="Error",LEFT(N138,5)="Error",T138="Error"),"Check Data ⚠",IF(F138&lt;R138,INDEX('G-6 Hedgerow Data'!$S$3:$AE$14,MATCH(C138,'G-6 Hedgerow Data'!$B$3:$B$14,0),MATCH(M138,'G-6 Hedgerow Data'!$S$2:$AE$2,0)),INDEX('G-6 Hedgerow Data'!$K$3:$Q$14,MATCH(M138,'G-6 Hedgerow Data'!$B$3:$B$14,0),MATCH(O138,'G-6 Hedgerow Data'!$K$2:$Q$2,0)))),"")</f>
        <v/>
      </c>
      <c r="Y138" s="159"/>
      <c r="Z138" s="159"/>
      <c r="AA138" s="370" t="str">
        <f t="shared" si="12"/>
        <v/>
      </c>
      <c r="AB138" s="383" t="str">
        <f t="shared" si="13"/>
        <v/>
      </c>
      <c r="AC138" s="384" t="str">
        <f t="shared" si="10"/>
        <v/>
      </c>
      <c r="AD138" s="398" t="str">
        <f>IF(M138="","",VLOOKUP(M138,'G-6 Hedgerow Data'!$B$3:$AG$15,31,FALSE))</f>
        <v/>
      </c>
      <c r="AE138" s="382" t="str">
        <f t="shared" si="14"/>
        <v/>
      </c>
      <c r="AF138" s="382" t="str">
        <f t="shared" si="15"/>
        <v/>
      </c>
      <c r="AG138" s="386" t="str">
        <f>IFERROR(IF(O138="","",VLOOKUP(AD138,'G-3 Multipliers'!$P$3:$Q$6,2,FALSE)),"")</f>
        <v/>
      </c>
      <c r="AH138" s="160"/>
      <c r="AI138" s="363" t="str">
        <f>IF(AH138="","",IF(VLOOKUP(AH138,'G-3 Multipliers'!$S$3:$T$10,2,FALSE)=0,"Spatial Data Missing ⚠",VLOOKUP(AH138,'G-3 Multipliers'!$S$3:$T$10,2,FALSE)))</f>
        <v/>
      </c>
      <c r="AJ138" s="405" t="str">
        <f t="shared" si="16"/>
        <v/>
      </c>
      <c r="AK138" s="376" t="str">
        <f t="shared" si="17"/>
        <v/>
      </c>
      <c r="AL138" s="117"/>
      <c r="AM138" s="118"/>
      <c r="AN138" s="120"/>
      <c r="AO138" s="120"/>
      <c r="AQ138" s="30" t="str">
        <f>IFERROR(INDEX('G-6 Hedgerow Data'!$BJ$3:$BJ$15,MATCH(M138,'G-6 Hedgerow Data'!$B$3:$B$15,0)),"")</f>
        <v/>
      </c>
    </row>
    <row r="139" spans="2:43" ht="15">
      <c r="B139" s="392" t="str">
        <f>'E-1 Off-Site Hedge Baseline'!AN137</f>
        <v/>
      </c>
      <c r="C139" s="382" t="str">
        <f>IF(B139="","",IF(ISNA(VLOOKUP($B139,'E-1 Off-Site Hedge Baseline'!$B$1:$L$257,3,FALSE)),"",(VLOOKUP($B139,'E-1 Off-Site Hedge Baseline'!$B$1:$L$257,3,FALSE))))</f>
        <v/>
      </c>
      <c r="D139" s="382" t="str">
        <f>IF(B139="","",IF(ISNA(VLOOKUP($B139,'E-1 Off-Site Hedge Baseline'!$B$1:$L$258,4,FALSE)),"",(VLOOKUP($B139,'E-1 Off-Site Hedge Baseline'!$B$1:$L$258,4,FALSE))))</f>
        <v/>
      </c>
      <c r="E139" s="382" t="str">
        <f>IF(B139="","",IF(ISNA(VLOOKUP($B139,'E-1 Off-Site Hedge Baseline'!$B$1:$L$257,5,FALSE)),"",(VLOOKUP($B139,'E-1 Off-Site Hedge Baseline'!$B$1:$L$257,5,FALSE))))</f>
        <v/>
      </c>
      <c r="F139" s="382" t="str">
        <f>IF(B139="","",IF(ISNA(VLOOKUP($B139,'E-1 Off-Site Hedge Baseline'!$B$1:$L$257,6,FALSE)),"",(VLOOKUP($B139,'E-1 Off-Site Hedge Baseline'!$B$1:$L$257,6,FALSE))))</f>
        <v/>
      </c>
      <c r="G139" s="382" t="str">
        <f>IF(B139="","",IF(ISNA(VLOOKUP($B139,'E-1 Off-Site Hedge Baseline'!$B$1:$L$257,7,FALSE)),"",(VLOOKUP($B139,'E-1 Off-Site Hedge Baseline'!$B$1:$L$257,7,FALSE))))</f>
        <v/>
      </c>
      <c r="H139" s="382" t="str">
        <f>IF(B139="","",IF(ISNA(VLOOKUP($B139,'E-1 Off-Site Hedge Baseline'!$B$1:$L$257,8,FALSE)),"",(VLOOKUP($B139,'E-1 Off-Site Hedge Baseline'!$B$1:$L$257,8,FALSE))))</f>
        <v/>
      </c>
      <c r="I139" s="382" t="str">
        <f>IF(B139="","",IF(ISNA(VLOOKUP($B139,'E-1 Off-Site Hedge Baseline'!$B$1:$L$257,10,FALSE)),"",(VLOOKUP($B139,'E-1 Off-Site Hedge Baseline'!$B$1:$L$257,10,FALSE))))</f>
        <v/>
      </c>
      <c r="J139" s="382" t="str">
        <f>IF(B139="","",IF(ISNA(VLOOKUP($B139,'E-1 Off-Site Hedge Baseline'!$B$1:$L$257,11,FALSE)),"",(VLOOKUP($B139,'E-1 Off-Site Hedge Baseline'!$B$1:$L$257,11,FALSE))))</f>
        <v/>
      </c>
      <c r="K139" s="382" t="str">
        <f>IF(B139="","",IF(ISNA(VLOOKUP($B139,'E-1 Off-Site Hedge Baseline'!$B$1:$X$257,113,FALSE)),"",(VLOOKUP($B139,'E-1 Off-Site Hedge Baseline'!$B$1:$X$257,13,FALSE))))</f>
        <v/>
      </c>
      <c r="L139" s="370" t="str">
        <f>IF(B139="","",IF(ISNA(VLOOKUP($B139,'E-1 Off-Site Hedge Baseline'!$B$1:$X$257,12,FALSE)),"",(VLOOKUP($B139,'E-1 Off-Site Hedge Baseline'!$B$1:$X$257,12,FALSE))))</f>
        <v/>
      </c>
      <c r="M139" s="316" t="str">
        <f t="shared" si="9"/>
        <v/>
      </c>
      <c r="N139" s="362" t="str">
        <f>IFERROR(IF(B139="","",INDEX('G-6 Hedgerow Data'!$AN$3:$AZ$15,MATCH(C139,'G-6 Hedgerow Data'!$AM$3:$AM$15,0),MATCH(M139,'G-6 Hedgerow Data'!$AN$2:$AZ$2,0))),"")</f>
        <v/>
      </c>
      <c r="O139" s="363" t="str">
        <f t="shared" si="11"/>
        <v/>
      </c>
      <c r="P139" s="368" t="str">
        <f>IF(B139="","",VLOOKUP(B139,'E-1 Off-Site Hedge Baseline'!$B$10:W384,19,FALSE))</f>
        <v/>
      </c>
      <c r="Q139" s="362" t="str">
        <f>IF(M139="","",VLOOKUP(M139,'G-6 Hedgerow Data'!$B$2:$AG$15,2,FALSE))</f>
        <v/>
      </c>
      <c r="R139" s="363" t="str">
        <f>IF(M139="","",VLOOKUP(M139,'G-6 Hedgerow Data'!$B$2:$AG$15,3,FALSE))</f>
        <v/>
      </c>
      <c r="S139" s="114"/>
      <c r="T139" s="363" t="str">
        <f>IFERROR(IF(AND(Q139="V.Low",OR(S139="Good",S139="Moderate")),"Error ▲",VLOOKUP(S139,'G-1 All Habitats'!$Z$2:$AA$9,2,FALSE)),"")</f>
        <v/>
      </c>
      <c r="U139" s="114"/>
      <c r="V139" s="370" t="str">
        <f>IF(U139="","",IF(VLOOKUP(U139,'G-3 Multipliers'!$L$3:$N$6,2,FALSE)=0,"Spatial Data Missing ⚠",VLOOKUP(U139,'G-3 Multipliers'!$L$3:$N$6,2,FALSE)))</f>
        <v/>
      </c>
      <c r="W139" s="368" t="str">
        <f>IF(U139="","",IF(VLOOKUP(U139,'G-3 Multipliers'!$L$3:$N$6,3,FALSE)=0,"Spatial Data Missing ⚠",VLOOKUP(U139,'G-3 Multipliers'!$L$3:$N$6,3,FALSE)))</f>
        <v/>
      </c>
      <c r="X139" s="362" t="str">
        <f>IFERROR(IF(OR(LEFT(O139,5)="Error",LEFT(N139,5)="Error",T139="Error"),"Check Data ⚠",IF(F139&lt;R139,INDEX('G-6 Hedgerow Data'!$S$3:$AE$14,MATCH(C139,'G-6 Hedgerow Data'!$B$3:$B$14,0),MATCH(M139,'G-6 Hedgerow Data'!$S$2:$AE$2,0)),INDEX('G-6 Hedgerow Data'!$K$3:$Q$14,MATCH(M139,'G-6 Hedgerow Data'!$B$3:$B$14,0),MATCH(O139,'G-6 Hedgerow Data'!$K$2:$Q$2,0)))),"")</f>
        <v/>
      </c>
      <c r="Y139" s="159"/>
      <c r="Z139" s="159"/>
      <c r="AA139" s="370" t="str">
        <f t="shared" si="12"/>
        <v/>
      </c>
      <c r="AB139" s="383" t="str">
        <f t="shared" si="13"/>
        <v/>
      </c>
      <c r="AC139" s="384" t="str">
        <f t="shared" si="10"/>
        <v/>
      </c>
      <c r="AD139" s="398" t="str">
        <f>IF(M139="","",VLOOKUP(M139,'G-6 Hedgerow Data'!$B$3:$AG$15,31,FALSE))</f>
        <v/>
      </c>
      <c r="AE139" s="382" t="str">
        <f t="shared" si="14"/>
        <v/>
      </c>
      <c r="AF139" s="382" t="str">
        <f t="shared" si="15"/>
        <v/>
      </c>
      <c r="AG139" s="386" t="str">
        <f>IFERROR(IF(O139="","",VLOOKUP(AD139,'G-3 Multipliers'!$P$3:$Q$6,2,FALSE)),"")</f>
        <v/>
      </c>
      <c r="AH139" s="160"/>
      <c r="AI139" s="363" t="str">
        <f>IF(AH139="","",IF(VLOOKUP(AH139,'G-3 Multipliers'!$S$3:$T$10,2,FALSE)=0,"Spatial Data Missing ⚠",VLOOKUP(AH139,'G-3 Multipliers'!$S$3:$T$10,2,FALSE)))</f>
        <v/>
      </c>
      <c r="AJ139" s="405" t="str">
        <f t="shared" si="16"/>
        <v/>
      </c>
      <c r="AK139" s="376" t="str">
        <f t="shared" si="17"/>
        <v/>
      </c>
      <c r="AL139" s="117"/>
      <c r="AM139" s="118"/>
      <c r="AN139" s="120"/>
      <c r="AO139" s="120"/>
      <c r="AQ139" s="30" t="str">
        <f>IFERROR(INDEX('G-6 Hedgerow Data'!$BJ$3:$BJ$15,MATCH(M139,'G-6 Hedgerow Data'!$B$3:$B$15,0)),"")</f>
        <v/>
      </c>
    </row>
    <row r="140" spans="2:43" ht="15">
      <c r="B140" s="392" t="str">
        <f>'E-1 Off-Site Hedge Baseline'!AN138</f>
        <v/>
      </c>
      <c r="C140" s="382" t="str">
        <f>IF(B140="","",IF(ISNA(VLOOKUP($B140,'E-1 Off-Site Hedge Baseline'!$B$1:$L$257,3,FALSE)),"",(VLOOKUP($B140,'E-1 Off-Site Hedge Baseline'!$B$1:$L$257,3,FALSE))))</f>
        <v/>
      </c>
      <c r="D140" s="382" t="str">
        <f>IF(B140="","",IF(ISNA(VLOOKUP($B140,'E-1 Off-Site Hedge Baseline'!$B$1:$L$258,4,FALSE)),"",(VLOOKUP($B140,'E-1 Off-Site Hedge Baseline'!$B$1:$L$258,4,FALSE))))</f>
        <v/>
      </c>
      <c r="E140" s="382" t="str">
        <f>IF(B140="","",IF(ISNA(VLOOKUP($B140,'E-1 Off-Site Hedge Baseline'!$B$1:$L$257,5,FALSE)),"",(VLOOKUP($B140,'E-1 Off-Site Hedge Baseline'!$B$1:$L$257,5,FALSE))))</f>
        <v/>
      </c>
      <c r="F140" s="382" t="str">
        <f>IF(B140="","",IF(ISNA(VLOOKUP($B140,'E-1 Off-Site Hedge Baseline'!$B$1:$L$257,6,FALSE)),"",(VLOOKUP($B140,'E-1 Off-Site Hedge Baseline'!$B$1:$L$257,6,FALSE))))</f>
        <v/>
      </c>
      <c r="G140" s="382" t="str">
        <f>IF(B140="","",IF(ISNA(VLOOKUP($B140,'E-1 Off-Site Hedge Baseline'!$B$1:$L$257,7,FALSE)),"",(VLOOKUP($B140,'E-1 Off-Site Hedge Baseline'!$B$1:$L$257,7,FALSE))))</f>
        <v/>
      </c>
      <c r="H140" s="382" t="str">
        <f>IF(B140="","",IF(ISNA(VLOOKUP($B140,'E-1 Off-Site Hedge Baseline'!$B$1:$L$257,8,FALSE)),"",(VLOOKUP($B140,'E-1 Off-Site Hedge Baseline'!$B$1:$L$257,8,FALSE))))</f>
        <v/>
      </c>
      <c r="I140" s="382" t="str">
        <f>IF(B140="","",IF(ISNA(VLOOKUP($B140,'E-1 Off-Site Hedge Baseline'!$B$1:$L$257,10,FALSE)),"",(VLOOKUP($B140,'E-1 Off-Site Hedge Baseline'!$B$1:$L$257,10,FALSE))))</f>
        <v/>
      </c>
      <c r="J140" s="382" t="str">
        <f>IF(B140="","",IF(ISNA(VLOOKUP($B140,'E-1 Off-Site Hedge Baseline'!$B$1:$L$257,11,FALSE)),"",(VLOOKUP($B140,'E-1 Off-Site Hedge Baseline'!$B$1:$L$257,11,FALSE))))</f>
        <v/>
      </c>
      <c r="K140" s="382" t="str">
        <f>IF(B140="","",IF(ISNA(VLOOKUP($B140,'E-1 Off-Site Hedge Baseline'!$B$1:$X$257,113,FALSE)),"",(VLOOKUP($B140,'E-1 Off-Site Hedge Baseline'!$B$1:$X$257,13,FALSE))))</f>
        <v/>
      </c>
      <c r="L140" s="370" t="str">
        <f>IF(B140="","",IF(ISNA(VLOOKUP($B140,'E-1 Off-Site Hedge Baseline'!$B$1:$X$257,12,FALSE)),"",(VLOOKUP($B140,'E-1 Off-Site Hedge Baseline'!$B$1:$X$257,12,FALSE))))</f>
        <v/>
      </c>
      <c r="M140" s="316" t="str">
        <f t="shared" ref="M140:M203" si="18">C140</f>
        <v/>
      </c>
      <c r="N140" s="362" t="str">
        <f>IFERROR(IF(B140="","",INDEX('G-6 Hedgerow Data'!$AN$3:$AZ$15,MATCH(C140,'G-6 Hedgerow Data'!$AM$3:$AM$15,0),MATCH(M140,'G-6 Hedgerow Data'!$AN$2:$AZ$2,0))),"")</f>
        <v/>
      </c>
      <c r="O140" s="363" t="str">
        <f t="shared" si="11"/>
        <v/>
      </c>
      <c r="P140" s="368" t="str">
        <f>IF(B140="","",VLOOKUP(B140,'E-1 Off-Site Hedge Baseline'!$B$10:W385,19,FALSE))</f>
        <v/>
      </c>
      <c r="Q140" s="362" t="str">
        <f>IF(M140="","",VLOOKUP(M140,'G-6 Hedgerow Data'!$B$2:$AG$15,2,FALSE))</f>
        <v/>
      </c>
      <c r="R140" s="363" t="str">
        <f>IF(M140="","",VLOOKUP(M140,'G-6 Hedgerow Data'!$B$2:$AG$15,3,FALSE))</f>
        <v/>
      </c>
      <c r="S140" s="114"/>
      <c r="T140" s="363" t="str">
        <f>IFERROR(IF(AND(Q140="V.Low",OR(S140="Good",S140="Moderate")),"Error ▲",VLOOKUP(S140,'G-1 All Habitats'!$Z$2:$AA$9,2,FALSE)),"")</f>
        <v/>
      </c>
      <c r="U140" s="114"/>
      <c r="V140" s="370" t="str">
        <f>IF(U140="","",IF(VLOOKUP(U140,'G-3 Multipliers'!$L$3:$N$6,2,FALSE)=0,"Spatial Data Missing ⚠",VLOOKUP(U140,'G-3 Multipliers'!$L$3:$N$6,2,FALSE)))</f>
        <v/>
      </c>
      <c r="W140" s="368" t="str">
        <f>IF(U140="","",IF(VLOOKUP(U140,'G-3 Multipliers'!$L$3:$N$6,3,FALSE)=0,"Spatial Data Missing ⚠",VLOOKUP(U140,'G-3 Multipliers'!$L$3:$N$6,3,FALSE)))</f>
        <v/>
      </c>
      <c r="X140" s="362" t="str">
        <f>IFERROR(IF(OR(LEFT(O140,5)="Error",LEFT(N140,5)="Error",T140="Error"),"Check Data ⚠",IF(F140&lt;R140,INDEX('G-6 Hedgerow Data'!$S$3:$AE$14,MATCH(C140,'G-6 Hedgerow Data'!$B$3:$B$14,0),MATCH(M140,'G-6 Hedgerow Data'!$S$2:$AE$2,0)),INDEX('G-6 Hedgerow Data'!$K$3:$Q$14,MATCH(M140,'G-6 Hedgerow Data'!$B$3:$B$14,0),MATCH(O140,'G-6 Hedgerow Data'!$K$2:$Q$2,0)))),"")</f>
        <v/>
      </c>
      <c r="Y140" s="159"/>
      <c r="Z140" s="159"/>
      <c r="AA140" s="370" t="str">
        <f t="shared" si="12"/>
        <v/>
      </c>
      <c r="AB140" s="383" t="str">
        <f t="shared" si="13"/>
        <v/>
      </c>
      <c r="AC140" s="384" t="str">
        <f t="shared" ref="AC140:AC203" si="19">IF(OR(S140="",M140=""),"",IF(LEFT(AB140,5)="Error ▲","Check Data ⚠",IF(AB140="Check Data ⚠","Check Data ⚠",VLOOKUP(AB140,TemporalMultipliers,3,FALSE))))</f>
        <v/>
      </c>
      <c r="AD140" s="398" t="str">
        <f>IF(M140="","",VLOOKUP(M140,'G-6 Hedgerow Data'!$B$3:$AG$15,31,FALSE))</f>
        <v/>
      </c>
      <c r="AE140" s="382" t="str">
        <f t="shared" si="14"/>
        <v/>
      </c>
      <c r="AF140" s="382" t="str">
        <f t="shared" si="15"/>
        <v/>
      </c>
      <c r="AG140" s="386" t="str">
        <f>IFERROR(IF(O140="","",VLOOKUP(AD140,'G-3 Multipliers'!$P$3:$Q$6,2,FALSE)),"")</f>
        <v/>
      </c>
      <c r="AH140" s="160"/>
      <c r="AI140" s="363" t="str">
        <f>IF(AH140="","",IF(VLOOKUP(AH140,'G-3 Multipliers'!$S$3:$T$10,2,FALSE)=0,"Spatial Data Missing ⚠",VLOOKUP(AH140,'G-3 Multipliers'!$S$3:$T$10,2,FALSE)))</f>
        <v/>
      </c>
      <c r="AJ140" s="405" t="str">
        <f t="shared" si="16"/>
        <v/>
      </c>
      <c r="AK140" s="376" t="str">
        <f t="shared" si="17"/>
        <v/>
      </c>
      <c r="AL140" s="117"/>
      <c r="AM140" s="118"/>
      <c r="AN140" s="120"/>
      <c r="AO140" s="120"/>
      <c r="AQ140" s="30" t="str">
        <f>IFERROR(INDEX('G-6 Hedgerow Data'!$BJ$3:$BJ$15,MATCH(M140,'G-6 Hedgerow Data'!$B$3:$B$15,0)),"")</f>
        <v/>
      </c>
    </row>
    <row r="141" spans="2:43" ht="15">
      <c r="B141" s="392" t="str">
        <f>'E-1 Off-Site Hedge Baseline'!AN139</f>
        <v/>
      </c>
      <c r="C141" s="382" t="str">
        <f>IF(B141="","",IF(ISNA(VLOOKUP($B141,'E-1 Off-Site Hedge Baseline'!$B$1:$L$257,3,FALSE)),"",(VLOOKUP($B141,'E-1 Off-Site Hedge Baseline'!$B$1:$L$257,3,FALSE))))</f>
        <v/>
      </c>
      <c r="D141" s="382" t="str">
        <f>IF(B141="","",IF(ISNA(VLOOKUP($B141,'E-1 Off-Site Hedge Baseline'!$B$1:$L$258,4,FALSE)),"",(VLOOKUP($B141,'E-1 Off-Site Hedge Baseline'!$B$1:$L$258,4,FALSE))))</f>
        <v/>
      </c>
      <c r="E141" s="382" t="str">
        <f>IF(B141="","",IF(ISNA(VLOOKUP($B141,'E-1 Off-Site Hedge Baseline'!$B$1:$L$257,5,FALSE)),"",(VLOOKUP($B141,'E-1 Off-Site Hedge Baseline'!$B$1:$L$257,5,FALSE))))</f>
        <v/>
      </c>
      <c r="F141" s="382" t="str">
        <f>IF(B141="","",IF(ISNA(VLOOKUP($B141,'E-1 Off-Site Hedge Baseline'!$B$1:$L$257,6,FALSE)),"",(VLOOKUP($B141,'E-1 Off-Site Hedge Baseline'!$B$1:$L$257,6,FALSE))))</f>
        <v/>
      </c>
      <c r="G141" s="382" t="str">
        <f>IF(B141="","",IF(ISNA(VLOOKUP($B141,'E-1 Off-Site Hedge Baseline'!$B$1:$L$257,7,FALSE)),"",(VLOOKUP($B141,'E-1 Off-Site Hedge Baseline'!$B$1:$L$257,7,FALSE))))</f>
        <v/>
      </c>
      <c r="H141" s="382" t="str">
        <f>IF(B141="","",IF(ISNA(VLOOKUP($B141,'E-1 Off-Site Hedge Baseline'!$B$1:$L$257,8,FALSE)),"",(VLOOKUP($B141,'E-1 Off-Site Hedge Baseline'!$B$1:$L$257,8,FALSE))))</f>
        <v/>
      </c>
      <c r="I141" s="382" t="str">
        <f>IF(B141="","",IF(ISNA(VLOOKUP($B141,'E-1 Off-Site Hedge Baseline'!$B$1:$L$257,10,FALSE)),"",(VLOOKUP($B141,'E-1 Off-Site Hedge Baseline'!$B$1:$L$257,10,FALSE))))</f>
        <v/>
      </c>
      <c r="J141" s="382" t="str">
        <f>IF(B141="","",IF(ISNA(VLOOKUP($B141,'E-1 Off-Site Hedge Baseline'!$B$1:$L$257,11,FALSE)),"",(VLOOKUP($B141,'E-1 Off-Site Hedge Baseline'!$B$1:$L$257,11,FALSE))))</f>
        <v/>
      </c>
      <c r="K141" s="382" t="str">
        <f>IF(B141="","",IF(ISNA(VLOOKUP($B141,'E-1 Off-Site Hedge Baseline'!$B$1:$X$257,113,FALSE)),"",(VLOOKUP($B141,'E-1 Off-Site Hedge Baseline'!$B$1:$X$257,13,FALSE))))</f>
        <v/>
      </c>
      <c r="L141" s="370" t="str">
        <f>IF(B141="","",IF(ISNA(VLOOKUP($B141,'E-1 Off-Site Hedge Baseline'!$B$1:$X$257,12,FALSE)),"",(VLOOKUP($B141,'E-1 Off-Site Hedge Baseline'!$B$1:$X$257,12,FALSE))))</f>
        <v/>
      </c>
      <c r="M141" s="316" t="str">
        <f t="shared" si="18"/>
        <v/>
      </c>
      <c r="N141" s="362" t="str">
        <f>IFERROR(IF(B141="","",INDEX('G-6 Hedgerow Data'!$AN$3:$AZ$15,MATCH(C141,'G-6 Hedgerow Data'!$AM$3:$AM$15,0),MATCH(M141,'G-6 Hedgerow Data'!$AN$2:$AZ$2,0))),"")</f>
        <v/>
      </c>
      <c r="O141" s="363" t="str">
        <f t="shared" ref="O141:O204" si="20">IFERROR(IF(B141="","",IF(AND(LEFT(C141,55)&lt;&gt;LEFT(M141,55),N141="High - High"),"Error - Not like for like ▲",IF(AND(LEFT(C141,55)&lt;&gt;LEFT(M141,55),N141="Medium - Medium"),"Error - Not like for like ▲",IF(H141&gt;T141,"Error - Can not reduce condition ▲",IF(AND(F141=R141,H141=T141),"Error - No enhancement ▲",IF(AND(C141&lt;&gt;M141,F141&lt;R141),"Lower Distinctiveness Habitat"&amp;" - "&amp;S141,G141&amp;" - "&amp;S141)))))),"")</f>
        <v/>
      </c>
      <c r="P141" s="368" t="str">
        <f>IF(B141="","",VLOOKUP(B141,'E-1 Off-Site Hedge Baseline'!$B$10:W386,19,FALSE))</f>
        <v/>
      </c>
      <c r="Q141" s="362" t="str">
        <f>IF(M141="","",VLOOKUP(M141,'G-6 Hedgerow Data'!$B$2:$AG$15,2,FALSE))</f>
        <v/>
      </c>
      <c r="R141" s="363" t="str">
        <f>IF(M141="","",VLOOKUP(M141,'G-6 Hedgerow Data'!$B$2:$AG$15,3,FALSE))</f>
        <v/>
      </c>
      <c r="S141" s="114"/>
      <c r="T141" s="363" t="str">
        <f>IFERROR(IF(AND(Q141="V.Low",OR(S141="Good",S141="Moderate")),"Error ▲",VLOOKUP(S141,'G-1 All Habitats'!$Z$2:$AA$9,2,FALSE)),"")</f>
        <v/>
      </c>
      <c r="U141" s="114"/>
      <c r="V141" s="370" t="str">
        <f>IF(U141="","",IF(VLOOKUP(U141,'G-3 Multipliers'!$L$3:$N$6,2,FALSE)=0,"Spatial Data Missing ⚠",VLOOKUP(U141,'G-3 Multipliers'!$L$3:$N$6,2,FALSE)))</f>
        <v/>
      </c>
      <c r="W141" s="368" t="str">
        <f>IF(U141="","",IF(VLOOKUP(U141,'G-3 Multipliers'!$L$3:$N$6,3,FALSE)=0,"Spatial Data Missing ⚠",VLOOKUP(U141,'G-3 Multipliers'!$L$3:$N$6,3,FALSE)))</f>
        <v/>
      </c>
      <c r="X141" s="362" t="str">
        <f>IFERROR(IF(OR(LEFT(O141,5)="Error",LEFT(N141,5)="Error",T141="Error"),"Check Data ⚠",IF(F141&lt;R141,INDEX('G-6 Hedgerow Data'!$S$3:$AE$14,MATCH(C141,'G-6 Hedgerow Data'!$B$3:$B$14,0),MATCH(M141,'G-6 Hedgerow Data'!$S$2:$AE$2,0)),INDEX('G-6 Hedgerow Data'!$K$3:$Q$14,MATCH(M141,'G-6 Hedgerow Data'!$B$3:$B$14,0),MATCH(O141,'G-6 Hedgerow Data'!$K$2:$Q$2,0)))),"")</f>
        <v/>
      </c>
      <c r="Y141" s="159"/>
      <c r="Z141" s="159"/>
      <c r="AA141" s="370" t="str">
        <f t="shared" ref="AA141:AA204" si="21">IF(X141="Check Data ⚠","Check Data ⚠",IF(M141="","",IF(AND(Y141&gt;0,Z141&gt;0),"Error -both advance and delayed habitat creation ▲",IF(AND(OR(Y141="Habitat already in target condition",X141&lt;=Y141),Z141=0),"Check details - Is there evidence that habitat has reached target condition? ⚠",IF(X141="","",IF(Y141&gt;0,"Check details - Is there evidence habitat creation started/in place? ⚠",IF(Z141&gt;0,"Check details- Delay in starting habitat in required condition? ⚠","Standard time to target condition applied")))))))</f>
        <v/>
      </c>
      <c r="AB141" s="383" t="str">
        <f t="shared" ref="AB141:AB204" si="22">IF(X141="","",IF(AA141="Check Data ⚠","Check Data ⚠",IF(Y141="30+",0,IF(Z141="30+","30+",IF(X141+Z141&gt;30,"30+",IF(AA141="Error -both advance and delayed habitat creation ▲","Check Data ⚠",IF(X141+Z141-Y141&gt;0,X141+Z141-Y141,IF(X141-Y141&lt;=0,0,))))))))</f>
        <v/>
      </c>
      <c r="AC141" s="384" t="str">
        <f t="shared" si="19"/>
        <v/>
      </c>
      <c r="AD141" s="398" t="str">
        <f>IF(M141="","",VLOOKUP(M141,'G-6 Hedgerow Data'!$B$3:$AG$15,31,FALSE))</f>
        <v/>
      </c>
      <c r="AE141" s="382" t="str">
        <f t="shared" ref="AE141:AE204" si="23">IF(M141="","",IF(OR(LEFT(AA141,5)="Error ▲",AA141="Check Data ⚠"),"Check Data ⚠",IF(X141="","",IF($AA141="Check details - Is there evidence that habitat has reached target condition? ⚠","Low Difficulty - only applicable if all habitat created before losses ⚠","Standard difficulty applied"))))</f>
        <v/>
      </c>
      <c r="AF141" s="382" t="str">
        <f t="shared" ref="AF141:AF204" si="24">(IF(AND(AE141="Yes",X141&gt;Y141),AD141,IF(AND(AE141="Low Difficulty - only applicable if all habitat created before losses ⚠",Y141&gt;=X141),"Low",AD141)))</f>
        <v/>
      </c>
      <c r="AG141" s="386" t="str">
        <f>IFERROR(IF(O141="","",VLOOKUP(AD141,'G-3 Multipliers'!$P$3:$Q$6,2,FALSE)),"")</f>
        <v/>
      </c>
      <c r="AH141" s="160"/>
      <c r="AI141" s="363" t="str">
        <f>IF(AH141="","",IF(VLOOKUP(AH141,'G-3 Multipliers'!$S$3:$T$10,2,FALSE)=0,"Spatial Data Missing ⚠",VLOOKUP(AH141,'G-3 Multipliers'!$S$3:$T$10,2,FALSE)))</f>
        <v/>
      </c>
      <c r="AJ141" s="405" t="str">
        <f t="shared" ref="AJ141:AJ204" si="25">IFERROR(IF(OR(M141="",S141="",U141="",AH141=""),"",(((((P141*R141*T141)-(P141*F141*H141))*(AG141*AC141))+(P141*F141*H141))*(W141)*AI141)),"")</f>
        <v/>
      </c>
      <c r="AK141" s="376" t="str">
        <f t="shared" ref="AK141:AK204" si="26">IFERROR(IF(OR(M141="",S141="",U141="",AH141=""),"", IF(AH141="","",(((((P141*R141*T141)-(P141*F141*H141))*(AG141*AC141))+(P141*F141*H141))*(W141)))),"")</f>
        <v/>
      </c>
      <c r="AL141" s="117"/>
      <c r="AM141" s="118"/>
      <c r="AN141" s="120"/>
      <c r="AO141" s="120"/>
      <c r="AQ141" s="30" t="str">
        <f>IFERROR(INDEX('G-6 Hedgerow Data'!$BJ$3:$BJ$15,MATCH(M141,'G-6 Hedgerow Data'!$B$3:$B$15,0)),"")</f>
        <v/>
      </c>
    </row>
    <row r="142" spans="2:43" ht="15">
      <c r="B142" s="392" t="str">
        <f>'E-1 Off-Site Hedge Baseline'!AN140</f>
        <v/>
      </c>
      <c r="C142" s="382" t="str">
        <f>IF(B142="","",IF(ISNA(VLOOKUP($B142,'E-1 Off-Site Hedge Baseline'!$B$1:$L$257,3,FALSE)),"",(VLOOKUP($B142,'E-1 Off-Site Hedge Baseline'!$B$1:$L$257,3,FALSE))))</f>
        <v/>
      </c>
      <c r="D142" s="382" t="str">
        <f>IF(B142="","",IF(ISNA(VLOOKUP($B142,'E-1 Off-Site Hedge Baseline'!$B$1:$L$258,4,FALSE)),"",(VLOOKUP($B142,'E-1 Off-Site Hedge Baseline'!$B$1:$L$258,4,FALSE))))</f>
        <v/>
      </c>
      <c r="E142" s="382" t="str">
        <f>IF(B142="","",IF(ISNA(VLOOKUP($B142,'E-1 Off-Site Hedge Baseline'!$B$1:$L$257,5,FALSE)),"",(VLOOKUP($B142,'E-1 Off-Site Hedge Baseline'!$B$1:$L$257,5,FALSE))))</f>
        <v/>
      </c>
      <c r="F142" s="382" t="str">
        <f>IF(B142="","",IF(ISNA(VLOOKUP($B142,'E-1 Off-Site Hedge Baseline'!$B$1:$L$257,6,FALSE)),"",(VLOOKUP($B142,'E-1 Off-Site Hedge Baseline'!$B$1:$L$257,6,FALSE))))</f>
        <v/>
      </c>
      <c r="G142" s="382" t="str">
        <f>IF(B142="","",IF(ISNA(VLOOKUP($B142,'E-1 Off-Site Hedge Baseline'!$B$1:$L$257,7,FALSE)),"",(VLOOKUP($B142,'E-1 Off-Site Hedge Baseline'!$B$1:$L$257,7,FALSE))))</f>
        <v/>
      </c>
      <c r="H142" s="382" t="str">
        <f>IF(B142="","",IF(ISNA(VLOOKUP($B142,'E-1 Off-Site Hedge Baseline'!$B$1:$L$257,8,FALSE)),"",(VLOOKUP($B142,'E-1 Off-Site Hedge Baseline'!$B$1:$L$257,8,FALSE))))</f>
        <v/>
      </c>
      <c r="I142" s="382" t="str">
        <f>IF(B142="","",IF(ISNA(VLOOKUP($B142,'E-1 Off-Site Hedge Baseline'!$B$1:$L$257,10,FALSE)),"",(VLOOKUP($B142,'E-1 Off-Site Hedge Baseline'!$B$1:$L$257,10,FALSE))))</f>
        <v/>
      </c>
      <c r="J142" s="382" t="str">
        <f>IF(B142="","",IF(ISNA(VLOOKUP($B142,'E-1 Off-Site Hedge Baseline'!$B$1:$L$257,11,FALSE)),"",(VLOOKUP($B142,'E-1 Off-Site Hedge Baseline'!$B$1:$L$257,11,FALSE))))</f>
        <v/>
      </c>
      <c r="K142" s="382" t="str">
        <f>IF(B142="","",IF(ISNA(VLOOKUP($B142,'E-1 Off-Site Hedge Baseline'!$B$1:$X$257,113,FALSE)),"",(VLOOKUP($B142,'E-1 Off-Site Hedge Baseline'!$B$1:$X$257,13,FALSE))))</f>
        <v/>
      </c>
      <c r="L142" s="370" t="str">
        <f>IF(B142="","",IF(ISNA(VLOOKUP($B142,'E-1 Off-Site Hedge Baseline'!$B$1:$X$257,12,FALSE)),"",(VLOOKUP($B142,'E-1 Off-Site Hedge Baseline'!$B$1:$X$257,12,FALSE))))</f>
        <v/>
      </c>
      <c r="M142" s="316" t="str">
        <f t="shared" si="18"/>
        <v/>
      </c>
      <c r="N142" s="362" t="str">
        <f>IFERROR(IF(B142="","",INDEX('G-6 Hedgerow Data'!$AN$3:$AZ$15,MATCH(C142,'G-6 Hedgerow Data'!$AM$3:$AM$15,0),MATCH(M142,'G-6 Hedgerow Data'!$AN$2:$AZ$2,0))),"")</f>
        <v/>
      </c>
      <c r="O142" s="363" t="str">
        <f t="shared" si="20"/>
        <v/>
      </c>
      <c r="P142" s="368" t="str">
        <f>IF(B142="","",VLOOKUP(B142,'E-1 Off-Site Hedge Baseline'!$B$10:W387,19,FALSE))</f>
        <v/>
      </c>
      <c r="Q142" s="362" t="str">
        <f>IF(M142="","",VLOOKUP(M142,'G-6 Hedgerow Data'!$B$2:$AG$15,2,FALSE))</f>
        <v/>
      </c>
      <c r="R142" s="363" t="str">
        <f>IF(M142="","",VLOOKUP(M142,'G-6 Hedgerow Data'!$B$2:$AG$15,3,FALSE))</f>
        <v/>
      </c>
      <c r="S142" s="114"/>
      <c r="T142" s="363" t="str">
        <f>IFERROR(IF(AND(Q142="V.Low",OR(S142="Good",S142="Moderate")),"Error ▲",VLOOKUP(S142,'G-1 All Habitats'!$Z$2:$AA$9,2,FALSE)),"")</f>
        <v/>
      </c>
      <c r="U142" s="114"/>
      <c r="V142" s="370" t="str">
        <f>IF(U142="","",IF(VLOOKUP(U142,'G-3 Multipliers'!$L$3:$N$6,2,FALSE)=0,"Spatial Data Missing ⚠",VLOOKUP(U142,'G-3 Multipliers'!$L$3:$N$6,2,FALSE)))</f>
        <v/>
      </c>
      <c r="W142" s="368" t="str">
        <f>IF(U142="","",IF(VLOOKUP(U142,'G-3 Multipliers'!$L$3:$N$6,3,FALSE)=0,"Spatial Data Missing ⚠",VLOOKUP(U142,'G-3 Multipliers'!$L$3:$N$6,3,FALSE)))</f>
        <v/>
      </c>
      <c r="X142" s="362" t="str">
        <f>IFERROR(IF(OR(LEFT(O142,5)="Error",LEFT(N142,5)="Error",T142="Error"),"Check Data ⚠",IF(F142&lt;R142,INDEX('G-6 Hedgerow Data'!$S$3:$AE$14,MATCH(C142,'G-6 Hedgerow Data'!$B$3:$B$14,0),MATCH(M142,'G-6 Hedgerow Data'!$S$2:$AE$2,0)),INDEX('G-6 Hedgerow Data'!$K$3:$Q$14,MATCH(M142,'G-6 Hedgerow Data'!$B$3:$B$14,0),MATCH(O142,'G-6 Hedgerow Data'!$K$2:$Q$2,0)))),"")</f>
        <v/>
      </c>
      <c r="Y142" s="159"/>
      <c r="Z142" s="159"/>
      <c r="AA142" s="370" t="str">
        <f t="shared" si="21"/>
        <v/>
      </c>
      <c r="AB142" s="383" t="str">
        <f t="shared" si="22"/>
        <v/>
      </c>
      <c r="AC142" s="384" t="str">
        <f t="shared" si="19"/>
        <v/>
      </c>
      <c r="AD142" s="398" t="str">
        <f>IF(M142="","",VLOOKUP(M142,'G-6 Hedgerow Data'!$B$3:$AG$15,31,FALSE))</f>
        <v/>
      </c>
      <c r="AE142" s="382" t="str">
        <f t="shared" si="23"/>
        <v/>
      </c>
      <c r="AF142" s="382" t="str">
        <f t="shared" si="24"/>
        <v/>
      </c>
      <c r="AG142" s="386" t="str">
        <f>IFERROR(IF(O142="","",VLOOKUP(AD142,'G-3 Multipliers'!$P$3:$Q$6,2,FALSE)),"")</f>
        <v/>
      </c>
      <c r="AH142" s="160"/>
      <c r="AI142" s="363" t="str">
        <f>IF(AH142="","",IF(VLOOKUP(AH142,'G-3 Multipliers'!$S$3:$T$10,2,FALSE)=0,"Spatial Data Missing ⚠",VLOOKUP(AH142,'G-3 Multipliers'!$S$3:$T$10,2,FALSE)))</f>
        <v/>
      </c>
      <c r="AJ142" s="405" t="str">
        <f t="shared" si="25"/>
        <v/>
      </c>
      <c r="AK142" s="376" t="str">
        <f t="shared" si="26"/>
        <v/>
      </c>
      <c r="AL142" s="117"/>
      <c r="AM142" s="118"/>
      <c r="AN142" s="120"/>
      <c r="AO142" s="120"/>
      <c r="AQ142" s="30" t="str">
        <f>IFERROR(INDEX('G-6 Hedgerow Data'!$BJ$3:$BJ$15,MATCH(M142,'G-6 Hedgerow Data'!$B$3:$B$15,0)),"")</f>
        <v/>
      </c>
    </row>
    <row r="143" spans="2:43" ht="15">
      <c r="B143" s="392" t="str">
        <f>'E-1 Off-Site Hedge Baseline'!AN141</f>
        <v/>
      </c>
      <c r="C143" s="382" t="str">
        <f>IF(B143="","",IF(ISNA(VLOOKUP($B143,'E-1 Off-Site Hedge Baseline'!$B$1:$L$257,3,FALSE)),"",(VLOOKUP($B143,'E-1 Off-Site Hedge Baseline'!$B$1:$L$257,3,FALSE))))</f>
        <v/>
      </c>
      <c r="D143" s="382" t="str">
        <f>IF(B143="","",IF(ISNA(VLOOKUP($B143,'E-1 Off-Site Hedge Baseline'!$B$1:$L$258,4,FALSE)),"",(VLOOKUP($B143,'E-1 Off-Site Hedge Baseline'!$B$1:$L$258,4,FALSE))))</f>
        <v/>
      </c>
      <c r="E143" s="382" t="str">
        <f>IF(B143="","",IF(ISNA(VLOOKUP($B143,'E-1 Off-Site Hedge Baseline'!$B$1:$L$257,5,FALSE)),"",(VLOOKUP($B143,'E-1 Off-Site Hedge Baseline'!$B$1:$L$257,5,FALSE))))</f>
        <v/>
      </c>
      <c r="F143" s="382" t="str">
        <f>IF(B143="","",IF(ISNA(VLOOKUP($B143,'E-1 Off-Site Hedge Baseline'!$B$1:$L$257,6,FALSE)),"",(VLOOKUP($B143,'E-1 Off-Site Hedge Baseline'!$B$1:$L$257,6,FALSE))))</f>
        <v/>
      </c>
      <c r="G143" s="382" t="str">
        <f>IF(B143="","",IF(ISNA(VLOOKUP($B143,'E-1 Off-Site Hedge Baseline'!$B$1:$L$257,7,FALSE)),"",(VLOOKUP($B143,'E-1 Off-Site Hedge Baseline'!$B$1:$L$257,7,FALSE))))</f>
        <v/>
      </c>
      <c r="H143" s="382" t="str">
        <f>IF(B143="","",IF(ISNA(VLOOKUP($B143,'E-1 Off-Site Hedge Baseline'!$B$1:$L$257,8,FALSE)),"",(VLOOKUP($B143,'E-1 Off-Site Hedge Baseline'!$B$1:$L$257,8,FALSE))))</f>
        <v/>
      </c>
      <c r="I143" s="382" t="str">
        <f>IF(B143="","",IF(ISNA(VLOOKUP($B143,'E-1 Off-Site Hedge Baseline'!$B$1:$L$257,10,FALSE)),"",(VLOOKUP($B143,'E-1 Off-Site Hedge Baseline'!$B$1:$L$257,10,FALSE))))</f>
        <v/>
      </c>
      <c r="J143" s="382" t="str">
        <f>IF(B143="","",IF(ISNA(VLOOKUP($B143,'E-1 Off-Site Hedge Baseline'!$B$1:$L$257,11,FALSE)),"",(VLOOKUP($B143,'E-1 Off-Site Hedge Baseline'!$B$1:$L$257,11,FALSE))))</f>
        <v/>
      </c>
      <c r="K143" s="382" t="str">
        <f>IF(B143="","",IF(ISNA(VLOOKUP($B143,'E-1 Off-Site Hedge Baseline'!$B$1:$X$257,113,FALSE)),"",(VLOOKUP($B143,'E-1 Off-Site Hedge Baseline'!$B$1:$X$257,13,FALSE))))</f>
        <v/>
      </c>
      <c r="L143" s="370" t="str">
        <f>IF(B143="","",IF(ISNA(VLOOKUP($B143,'E-1 Off-Site Hedge Baseline'!$B$1:$X$257,12,FALSE)),"",(VLOOKUP($B143,'E-1 Off-Site Hedge Baseline'!$B$1:$X$257,12,FALSE))))</f>
        <v/>
      </c>
      <c r="M143" s="316" t="str">
        <f t="shared" si="18"/>
        <v/>
      </c>
      <c r="N143" s="362" t="str">
        <f>IFERROR(IF(B143="","",INDEX('G-6 Hedgerow Data'!$AN$3:$AZ$15,MATCH(C143,'G-6 Hedgerow Data'!$AM$3:$AM$15,0),MATCH(M143,'G-6 Hedgerow Data'!$AN$2:$AZ$2,0))),"")</f>
        <v/>
      </c>
      <c r="O143" s="363" t="str">
        <f t="shared" si="20"/>
        <v/>
      </c>
      <c r="P143" s="368" t="str">
        <f>IF(B143="","",VLOOKUP(B143,'E-1 Off-Site Hedge Baseline'!$B$10:W388,19,FALSE))</f>
        <v/>
      </c>
      <c r="Q143" s="362" t="str">
        <f>IF(M143="","",VLOOKUP(M143,'G-6 Hedgerow Data'!$B$2:$AG$15,2,FALSE))</f>
        <v/>
      </c>
      <c r="R143" s="363" t="str">
        <f>IF(M143="","",VLOOKUP(M143,'G-6 Hedgerow Data'!$B$2:$AG$15,3,FALSE))</f>
        <v/>
      </c>
      <c r="S143" s="114"/>
      <c r="T143" s="363" t="str">
        <f>IFERROR(IF(AND(Q143="V.Low",OR(S143="Good",S143="Moderate")),"Error ▲",VLOOKUP(S143,'G-1 All Habitats'!$Z$2:$AA$9,2,FALSE)),"")</f>
        <v/>
      </c>
      <c r="U143" s="114"/>
      <c r="V143" s="370" t="str">
        <f>IF(U143="","",IF(VLOOKUP(U143,'G-3 Multipliers'!$L$3:$N$6,2,FALSE)=0,"Spatial Data Missing ⚠",VLOOKUP(U143,'G-3 Multipliers'!$L$3:$N$6,2,FALSE)))</f>
        <v/>
      </c>
      <c r="W143" s="368" t="str">
        <f>IF(U143="","",IF(VLOOKUP(U143,'G-3 Multipliers'!$L$3:$N$6,3,FALSE)=0,"Spatial Data Missing ⚠",VLOOKUP(U143,'G-3 Multipliers'!$L$3:$N$6,3,FALSE)))</f>
        <v/>
      </c>
      <c r="X143" s="362" t="str">
        <f>IFERROR(IF(OR(LEFT(O143,5)="Error",LEFT(N143,5)="Error",T143="Error"),"Check Data ⚠",IF(F143&lt;R143,INDEX('G-6 Hedgerow Data'!$S$3:$AE$14,MATCH(C143,'G-6 Hedgerow Data'!$B$3:$B$14,0),MATCH(M143,'G-6 Hedgerow Data'!$S$2:$AE$2,0)),INDEX('G-6 Hedgerow Data'!$K$3:$Q$14,MATCH(M143,'G-6 Hedgerow Data'!$B$3:$B$14,0),MATCH(O143,'G-6 Hedgerow Data'!$K$2:$Q$2,0)))),"")</f>
        <v/>
      </c>
      <c r="Y143" s="159"/>
      <c r="Z143" s="159"/>
      <c r="AA143" s="370" t="str">
        <f t="shared" si="21"/>
        <v/>
      </c>
      <c r="AB143" s="383" t="str">
        <f t="shared" si="22"/>
        <v/>
      </c>
      <c r="AC143" s="384" t="str">
        <f t="shared" si="19"/>
        <v/>
      </c>
      <c r="AD143" s="398" t="str">
        <f>IF(M143="","",VLOOKUP(M143,'G-6 Hedgerow Data'!$B$3:$AG$15,31,FALSE))</f>
        <v/>
      </c>
      <c r="AE143" s="382" t="str">
        <f t="shared" si="23"/>
        <v/>
      </c>
      <c r="AF143" s="382" t="str">
        <f t="shared" si="24"/>
        <v/>
      </c>
      <c r="AG143" s="386" t="str">
        <f>IFERROR(IF(O143="","",VLOOKUP(AD143,'G-3 Multipliers'!$P$3:$Q$6,2,FALSE)),"")</f>
        <v/>
      </c>
      <c r="AH143" s="160"/>
      <c r="AI143" s="363" t="str">
        <f>IF(AH143="","",IF(VLOOKUP(AH143,'G-3 Multipliers'!$S$3:$T$10,2,FALSE)=0,"Spatial Data Missing ⚠",VLOOKUP(AH143,'G-3 Multipliers'!$S$3:$T$10,2,FALSE)))</f>
        <v/>
      </c>
      <c r="AJ143" s="405" t="str">
        <f t="shared" si="25"/>
        <v/>
      </c>
      <c r="AK143" s="376" t="str">
        <f t="shared" si="26"/>
        <v/>
      </c>
      <c r="AL143" s="117"/>
      <c r="AM143" s="118"/>
      <c r="AN143" s="120"/>
      <c r="AO143" s="120"/>
      <c r="AQ143" s="30" t="str">
        <f>IFERROR(INDEX('G-6 Hedgerow Data'!$BJ$3:$BJ$15,MATCH(M143,'G-6 Hedgerow Data'!$B$3:$B$15,0)),"")</f>
        <v/>
      </c>
    </row>
    <row r="144" spans="2:43" ht="15">
      <c r="B144" s="392" t="str">
        <f>'E-1 Off-Site Hedge Baseline'!AN142</f>
        <v/>
      </c>
      <c r="C144" s="382" t="str">
        <f>IF(B144="","",IF(ISNA(VLOOKUP($B144,'E-1 Off-Site Hedge Baseline'!$B$1:$L$257,3,FALSE)),"",(VLOOKUP($B144,'E-1 Off-Site Hedge Baseline'!$B$1:$L$257,3,FALSE))))</f>
        <v/>
      </c>
      <c r="D144" s="382" t="str">
        <f>IF(B144="","",IF(ISNA(VLOOKUP($B144,'E-1 Off-Site Hedge Baseline'!$B$1:$L$258,4,FALSE)),"",(VLOOKUP($B144,'E-1 Off-Site Hedge Baseline'!$B$1:$L$258,4,FALSE))))</f>
        <v/>
      </c>
      <c r="E144" s="382" t="str">
        <f>IF(B144="","",IF(ISNA(VLOOKUP($B144,'E-1 Off-Site Hedge Baseline'!$B$1:$L$257,5,FALSE)),"",(VLOOKUP($B144,'E-1 Off-Site Hedge Baseline'!$B$1:$L$257,5,FALSE))))</f>
        <v/>
      </c>
      <c r="F144" s="382" t="str">
        <f>IF(B144="","",IF(ISNA(VLOOKUP($B144,'E-1 Off-Site Hedge Baseline'!$B$1:$L$257,6,FALSE)),"",(VLOOKUP($B144,'E-1 Off-Site Hedge Baseline'!$B$1:$L$257,6,FALSE))))</f>
        <v/>
      </c>
      <c r="G144" s="382" t="str">
        <f>IF(B144="","",IF(ISNA(VLOOKUP($B144,'E-1 Off-Site Hedge Baseline'!$B$1:$L$257,7,FALSE)),"",(VLOOKUP($B144,'E-1 Off-Site Hedge Baseline'!$B$1:$L$257,7,FALSE))))</f>
        <v/>
      </c>
      <c r="H144" s="382" t="str">
        <f>IF(B144="","",IF(ISNA(VLOOKUP($B144,'E-1 Off-Site Hedge Baseline'!$B$1:$L$257,8,FALSE)),"",(VLOOKUP($B144,'E-1 Off-Site Hedge Baseline'!$B$1:$L$257,8,FALSE))))</f>
        <v/>
      </c>
      <c r="I144" s="382" t="str">
        <f>IF(B144="","",IF(ISNA(VLOOKUP($B144,'E-1 Off-Site Hedge Baseline'!$B$1:$L$257,10,FALSE)),"",(VLOOKUP($B144,'E-1 Off-Site Hedge Baseline'!$B$1:$L$257,10,FALSE))))</f>
        <v/>
      </c>
      <c r="J144" s="382" t="str">
        <f>IF(B144="","",IF(ISNA(VLOOKUP($B144,'E-1 Off-Site Hedge Baseline'!$B$1:$L$257,11,FALSE)),"",(VLOOKUP($B144,'E-1 Off-Site Hedge Baseline'!$B$1:$L$257,11,FALSE))))</f>
        <v/>
      </c>
      <c r="K144" s="382" t="str">
        <f>IF(B144="","",IF(ISNA(VLOOKUP($B144,'E-1 Off-Site Hedge Baseline'!$B$1:$X$257,113,FALSE)),"",(VLOOKUP($B144,'E-1 Off-Site Hedge Baseline'!$B$1:$X$257,13,FALSE))))</f>
        <v/>
      </c>
      <c r="L144" s="370" t="str">
        <f>IF(B144="","",IF(ISNA(VLOOKUP($B144,'E-1 Off-Site Hedge Baseline'!$B$1:$X$257,12,FALSE)),"",(VLOOKUP($B144,'E-1 Off-Site Hedge Baseline'!$B$1:$X$257,12,FALSE))))</f>
        <v/>
      </c>
      <c r="M144" s="316" t="str">
        <f t="shared" si="18"/>
        <v/>
      </c>
      <c r="N144" s="362" t="str">
        <f>IFERROR(IF(B144="","",INDEX('G-6 Hedgerow Data'!$AN$3:$AZ$15,MATCH(C144,'G-6 Hedgerow Data'!$AM$3:$AM$15,0),MATCH(M144,'G-6 Hedgerow Data'!$AN$2:$AZ$2,0))),"")</f>
        <v/>
      </c>
      <c r="O144" s="363" t="str">
        <f t="shared" si="20"/>
        <v/>
      </c>
      <c r="P144" s="368" t="str">
        <f>IF(B144="","",VLOOKUP(B144,'E-1 Off-Site Hedge Baseline'!$B$10:W389,19,FALSE))</f>
        <v/>
      </c>
      <c r="Q144" s="362" t="str">
        <f>IF(M144="","",VLOOKUP(M144,'G-6 Hedgerow Data'!$B$2:$AG$15,2,FALSE))</f>
        <v/>
      </c>
      <c r="R144" s="363" t="str">
        <f>IF(M144="","",VLOOKUP(M144,'G-6 Hedgerow Data'!$B$2:$AG$15,3,FALSE))</f>
        <v/>
      </c>
      <c r="S144" s="114"/>
      <c r="T144" s="363" t="str">
        <f>IFERROR(IF(AND(Q144="V.Low",OR(S144="Good",S144="Moderate")),"Error ▲",VLOOKUP(S144,'G-1 All Habitats'!$Z$2:$AA$9,2,FALSE)),"")</f>
        <v/>
      </c>
      <c r="U144" s="114"/>
      <c r="V144" s="370" t="str">
        <f>IF(U144="","",IF(VLOOKUP(U144,'G-3 Multipliers'!$L$3:$N$6,2,FALSE)=0,"Spatial Data Missing ⚠",VLOOKUP(U144,'G-3 Multipliers'!$L$3:$N$6,2,FALSE)))</f>
        <v/>
      </c>
      <c r="W144" s="368" t="str">
        <f>IF(U144="","",IF(VLOOKUP(U144,'G-3 Multipliers'!$L$3:$N$6,3,FALSE)=0,"Spatial Data Missing ⚠",VLOOKUP(U144,'G-3 Multipliers'!$L$3:$N$6,3,FALSE)))</f>
        <v/>
      </c>
      <c r="X144" s="362" t="str">
        <f>IFERROR(IF(OR(LEFT(O144,5)="Error",LEFT(N144,5)="Error",T144="Error"),"Check Data ⚠",IF(F144&lt;R144,INDEX('G-6 Hedgerow Data'!$S$3:$AE$14,MATCH(C144,'G-6 Hedgerow Data'!$B$3:$B$14,0),MATCH(M144,'G-6 Hedgerow Data'!$S$2:$AE$2,0)),INDEX('G-6 Hedgerow Data'!$K$3:$Q$14,MATCH(M144,'G-6 Hedgerow Data'!$B$3:$B$14,0),MATCH(O144,'G-6 Hedgerow Data'!$K$2:$Q$2,0)))),"")</f>
        <v/>
      </c>
      <c r="Y144" s="159"/>
      <c r="Z144" s="159"/>
      <c r="AA144" s="370" t="str">
        <f t="shared" si="21"/>
        <v/>
      </c>
      <c r="AB144" s="383" t="str">
        <f t="shared" si="22"/>
        <v/>
      </c>
      <c r="AC144" s="384" t="str">
        <f t="shared" si="19"/>
        <v/>
      </c>
      <c r="AD144" s="398" t="str">
        <f>IF(M144="","",VLOOKUP(M144,'G-6 Hedgerow Data'!$B$3:$AG$15,31,FALSE))</f>
        <v/>
      </c>
      <c r="AE144" s="382" t="str">
        <f t="shared" si="23"/>
        <v/>
      </c>
      <c r="AF144" s="382" t="str">
        <f t="shared" si="24"/>
        <v/>
      </c>
      <c r="AG144" s="386" t="str">
        <f>IFERROR(IF(O144="","",VLOOKUP(AD144,'G-3 Multipliers'!$P$3:$Q$6,2,FALSE)),"")</f>
        <v/>
      </c>
      <c r="AH144" s="160"/>
      <c r="AI144" s="363" t="str">
        <f>IF(AH144="","",IF(VLOOKUP(AH144,'G-3 Multipliers'!$S$3:$T$10,2,FALSE)=0,"Spatial Data Missing ⚠",VLOOKUP(AH144,'G-3 Multipliers'!$S$3:$T$10,2,FALSE)))</f>
        <v/>
      </c>
      <c r="AJ144" s="405" t="str">
        <f t="shared" si="25"/>
        <v/>
      </c>
      <c r="AK144" s="376" t="str">
        <f t="shared" si="26"/>
        <v/>
      </c>
      <c r="AL144" s="117"/>
      <c r="AM144" s="118"/>
      <c r="AN144" s="120"/>
      <c r="AO144" s="120"/>
      <c r="AQ144" s="30" t="str">
        <f>IFERROR(INDEX('G-6 Hedgerow Data'!$BJ$3:$BJ$15,MATCH(M144,'G-6 Hedgerow Data'!$B$3:$B$15,0)),"")</f>
        <v/>
      </c>
    </row>
    <row r="145" spans="2:43" ht="15">
      <c r="B145" s="392" t="str">
        <f>'E-1 Off-Site Hedge Baseline'!AN143</f>
        <v/>
      </c>
      <c r="C145" s="382" t="str">
        <f>IF(B145="","",IF(ISNA(VLOOKUP($B145,'E-1 Off-Site Hedge Baseline'!$B$1:$L$257,3,FALSE)),"",(VLOOKUP($B145,'E-1 Off-Site Hedge Baseline'!$B$1:$L$257,3,FALSE))))</f>
        <v/>
      </c>
      <c r="D145" s="382" t="str">
        <f>IF(B145="","",IF(ISNA(VLOOKUP($B145,'E-1 Off-Site Hedge Baseline'!$B$1:$L$258,4,FALSE)),"",(VLOOKUP($B145,'E-1 Off-Site Hedge Baseline'!$B$1:$L$258,4,FALSE))))</f>
        <v/>
      </c>
      <c r="E145" s="382" t="str">
        <f>IF(B145="","",IF(ISNA(VLOOKUP($B145,'E-1 Off-Site Hedge Baseline'!$B$1:$L$257,5,FALSE)),"",(VLOOKUP($B145,'E-1 Off-Site Hedge Baseline'!$B$1:$L$257,5,FALSE))))</f>
        <v/>
      </c>
      <c r="F145" s="382" t="str">
        <f>IF(B145="","",IF(ISNA(VLOOKUP($B145,'E-1 Off-Site Hedge Baseline'!$B$1:$L$257,6,FALSE)),"",(VLOOKUP($B145,'E-1 Off-Site Hedge Baseline'!$B$1:$L$257,6,FALSE))))</f>
        <v/>
      </c>
      <c r="G145" s="382" t="str">
        <f>IF(B145="","",IF(ISNA(VLOOKUP($B145,'E-1 Off-Site Hedge Baseline'!$B$1:$L$257,7,FALSE)),"",(VLOOKUP($B145,'E-1 Off-Site Hedge Baseline'!$B$1:$L$257,7,FALSE))))</f>
        <v/>
      </c>
      <c r="H145" s="382" t="str">
        <f>IF(B145="","",IF(ISNA(VLOOKUP($B145,'E-1 Off-Site Hedge Baseline'!$B$1:$L$257,8,FALSE)),"",(VLOOKUP($B145,'E-1 Off-Site Hedge Baseline'!$B$1:$L$257,8,FALSE))))</f>
        <v/>
      </c>
      <c r="I145" s="382" t="str">
        <f>IF(B145="","",IF(ISNA(VLOOKUP($B145,'E-1 Off-Site Hedge Baseline'!$B$1:$L$257,10,FALSE)),"",(VLOOKUP($B145,'E-1 Off-Site Hedge Baseline'!$B$1:$L$257,10,FALSE))))</f>
        <v/>
      </c>
      <c r="J145" s="382" t="str">
        <f>IF(B145="","",IF(ISNA(VLOOKUP($B145,'E-1 Off-Site Hedge Baseline'!$B$1:$L$257,11,FALSE)),"",(VLOOKUP($B145,'E-1 Off-Site Hedge Baseline'!$B$1:$L$257,11,FALSE))))</f>
        <v/>
      </c>
      <c r="K145" s="382" t="str">
        <f>IF(B145="","",IF(ISNA(VLOOKUP($B145,'E-1 Off-Site Hedge Baseline'!$B$1:$X$257,113,FALSE)),"",(VLOOKUP($B145,'E-1 Off-Site Hedge Baseline'!$B$1:$X$257,13,FALSE))))</f>
        <v/>
      </c>
      <c r="L145" s="370" t="str">
        <f>IF(B145="","",IF(ISNA(VLOOKUP($B145,'E-1 Off-Site Hedge Baseline'!$B$1:$X$257,12,FALSE)),"",(VLOOKUP($B145,'E-1 Off-Site Hedge Baseline'!$B$1:$X$257,12,FALSE))))</f>
        <v/>
      </c>
      <c r="M145" s="316" t="str">
        <f t="shared" si="18"/>
        <v/>
      </c>
      <c r="N145" s="362" t="str">
        <f>IFERROR(IF(B145="","",INDEX('G-6 Hedgerow Data'!$AN$3:$AZ$15,MATCH(C145,'G-6 Hedgerow Data'!$AM$3:$AM$15,0),MATCH(M145,'G-6 Hedgerow Data'!$AN$2:$AZ$2,0))),"")</f>
        <v/>
      </c>
      <c r="O145" s="363" t="str">
        <f t="shared" si="20"/>
        <v/>
      </c>
      <c r="P145" s="368" t="str">
        <f>IF(B145="","",VLOOKUP(B145,'E-1 Off-Site Hedge Baseline'!$B$10:W390,19,FALSE))</f>
        <v/>
      </c>
      <c r="Q145" s="362" t="str">
        <f>IF(M145="","",VLOOKUP(M145,'G-6 Hedgerow Data'!$B$2:$AG$15,2,FALSE))</f>
        <v/>
      </c>
      <c r="R145" s="363" t="str">
        <f>IF(M145="","",VLOOKUP(M145,'G-6 Hedgerow Data'!$B$2:$AG$15,3,FALSE))</f>
        <v/>
      </c>
      <c r="S145" s="114"/>
      <c r="T145" s="363" t="str">
        <f>IFERROR(IF(AND(Q145="V.Low",OR(S145="Good",S145="Moderate")),"Error ▲",VLOOKUP(S145,'G-1 All Habitats'!$Z$2:$AA$9,2,FALSE)),"")</f>
        <v/>
      </c>
      <c r="U145" s="114"/>
      <c r="V145" s="370" t="str">
        <f>IF(U145="","",IF(VLOOKUP(U145,'G-3 Multipliers'!$L$3:$N$6,2,FALSE)=0,"Spatial Data Missing ⚠",VLOOKUP(U145,'G-3 Multipliers'!$L$3:$N$6,2,FALSE)))</f>
        <v/>
      </c>
      <c r="W145" s="368" t="str">
        <f>IF(U145="","",IF(VLOOKUP(U145,'G-3 Multipliers'!$L$3:$N$6,3,FALSE)=0,"Spatial Data Missing ⚠",VLOOKUP(U145,'G-3 Multipliers'!$L$3:$N$6,3,FALSE)))</f>
        <v/>
      </c>
      <c r="X145" s="362" t="str">
        <f>IFERROR(IF(OR(LEFT(O145,5)="Error",LEFT(N145,5)="Error",T145="Error"),"Check Data ⚠",IF(F145&lt;R145,INDEX('G-6 Hedgerow Data'!$S$3:$AE$14,MATCH(C145,'G-6 Hedgerow Data'!$B$3:$B$14,0),MATCH(M145,'G-6 Hedgerow Data'!$S$2:$AE$2,0)),INDEX('G-6 Hedgerow Data'!$K$3:$Q$14,MATCH(M145,'G-6 Hedgerow Data'!$B$3:$B$14,0),MATCH(O145,'G-6 Hedgerow Data'!$K$2:$Q$2,0)))),"")</f>
        <v/>
      </c>
      <c r="Y145" s="159"/>
      <c r="Z145" s="159"/>
      <c r="AA145" s="370" t="str">
        <f t="shared" si="21"/>
        <v/>
      </c>
      <c r="AB145" s="383" t="str">
        <f t="shared" si="22"/>
        <v/>
      </c>
      <c r="AC145" s="384" t="str">
        <f t="shared" si="19"/>
        <v/>
      </c>
      <c r="AD145" s="398" t="str">
        <f>IF(M145="","",VLOOKUP(M145,'G-6 Hedgerow Data'!$B$3:$AG$15,31,FALSE))</f>
        <v/>
      </c>
      <c r="AE145" s="382" t="str">
        <f t="shared" si="23"/>
        <v/>
      </c>
      <c r="AF145" s="382" t="str">
        <f t="shared" si="24"/>
        <v/>
      </c>
      <c r="AG145" s="386" t="str">
        <f>IFERROR(IF(O145="","",VLOOKUP(AD145,'G-3 Multipliers'!$P$3:$Q$6,2,FALSE)),"")</f>
        <v/>
      </c>
      <c r="AH145" s="160"/>
      <c r="AI145" s="363" t="str">
        <f>IF(AH145="","",IF(VLOOKUP(AH145,'G-3 Multipliers'!$S$3:$T$10,2,FALSE)=0,"Spatial Data Missing ⚠",VLOOKUP(AH145,'G-3 Multipliers'!$S$3:$T$10,2,FALSE)))</f>
        <v/>
      </c>
      <c r="AJ145" s="405" t="str">
        <f t="shared" si="25"/>
        <v/>
      </c>
      <c r="AK145" s="376" t="str">
        <f t="shared" si="26"/>
        <v/>
      </c>
      <c r="AL145" s="117"/>
      <c r="AM145" s="118"/>
      <c r="AN145" s="120"/>
      <c r="AO145" s="120"/>
      <c r="AQ145" s="30" t="str">
        <f>IFERROR(INDEX('G-6 Hedgerow Data'!$BJ$3:$BJ$15,MATCH(M145,'G-6 Hedgerow Data'!$B$3:$B$15,0)),"")</f>
        <v/>
      </c>
    </row>
    <row r="146" spans="2:43" ht="15">
      <c r="B146" s="392" t="str">
        <f>'E-1 Off-Site Hedge Baseline'!AN144</f>
        <v/>
      </c>
      <c r="C146" s="382" t="str">
        <f>IF(B146="","",IF(ISNA(VLOOKUP($B146,'E-1 Off-Site Hedge Baseline'!$B$1:$L$257,3,FALSE)),"",(VLOOKUP($B146,'E-1 Off-Site Hedge Baseline'!$B$1:$L$257,3,FALSE))))</f>
        <v/>
      </c>
      <c r="D146" s="382" t="str">
        <f>IF(B146="","",IF(ISNA(VLOOKUP($B146,'E-1 Off-Site Hedge Baseline'!$B$1:$L$258,4,FALSE)),"",(VLOOKUP($B146,'E-1 Off-Site Hedge Baseline'!$B$1:$L$258,4,FALSE))))</f>
        <v/>
      </c>
      <c r="E146" s="382" t="str">
        <f>IF(B146="","",IF(ISNA(VLOOKUP($B146,'E-1 Off-Site Hedge Baseline'!$B$1:$L$257,5,FALSE)),"",(VLOOKUP($B146,'E-1 Off-Site Hedge Baseline'!$B$1:$L$257,5,FALSE))))</f>
        <v/>
      </c>
      <c r="F146" s="382" t="str">
        <f>IF(B146="","",IF(ISNA(VLOOKUP($B146,'E-1 Off-Site Hedge Baseline'!$B$1:$L$257,6,FALSE)),"",(VLOOKUP($B146,'E-1 Off-Site Hedge Baseline'!$B$1:$L$257,6,FALSE))))</f>
        <v/>
      </c>
      <c r="G146" s="382" t="str">
        <f>IF(B146="","",IF(ISNA(VLOOKUP($B146,'E-1 Off-Site Hedge Baseline'!$B$1:$L$257,7,FALSE)),"",(VLOOKUP($B146,'E-1 Off-Site Hedge Baseline'!$B$1:$L$257,7,FALSE))))</f>
        <v/>
      </c>
      <c r="H146" s="382" t="str">
        <f>IF(B146="","",IF(ISNA(VLOOKUP($B146,'E-1 Off-Site Hedge Baseline'!$B$1:$L$257,8,FALSE)),"",(VLOOKUP($B146,'E-1 Off-Site Hedge Baseline'!$B$1:$L$257,8,FALSE))))</f>
        <v/>
      </c>
      <c r="I146" s="382" t="str">
        <f>IF(B146="","",IF(ISNA(VLOOKUP($B146,'E-1 Off-Site Hedge Baseline'!$B$1:$L$257,10,FALSE)),"",(VLOOKUP($B146,'E-1 Off-Site Hedge Baseline'!$B$1:$L$257,10,FALSE))))</f>
        <v/>
      </c>
      <c r="J146" s="382" t="str">
        <f>IF(B146="","",IF(ISNA(VLOOKUP($B146,'E-1 Off-Site Hedge Baseline'!$B$1:$L$257,11,FALSE)),"",(VLOOKUP($B146,'E-1 Off-Site Hedge Baseline'!$B$1:$L$257,11,FALSE))))</f>
        <v/>
      </c>
      <c r="K146" s="382" t="str">
        <f>IF(B146="","",IF(ISNA(VLOOKUP($B146,'E-1 Off-Site Hedge Baseline'!$B$1:$X$257,113,FALSE)),"",(VLOOKUP($B146,'E-1 Off-Site Hedge Baseline'!$B$1:$X$257,13,FALSE))))</f>
        <v/>
      </c>
      <c r="L146" s="370" t="str">
        <f>IF(B146="","",IF(ISNA(VLOOKUP($B146,'E-1 Off-Site Hedge Baseline'!$B$1:$X$257,12,FALSE)),"",(VLOOKUP($B146,'E-1 Off-Site Hedge Baseline'!$B$1:$X$257,12,FALSE))))</f>
        <v/>
      </c>
      <c r="M146" s="316" t="str">
        <f t="shared" si="18"/>
        <v/>
      </c>
      <c r="N146" s="362" t="str">
        <f>IFERROR(IF(B146="","",INDEX('G-6 Hedgerow Data'!$AN$3:$AZ$15,MATCH(C146,'G-6 Hedgerow Data'!$AM$3:$AM$15,0),MATCH(M146,'G-6 Hedgerow Data'!$AN$2:$AZ$2,0))),"")</f>
        <v/>
      </c>
      <c r="O146" s="363" t="str">
        <f t="shared" si="20"/>
        <v/>
      </c>
      <c r="P146" s="368" t="str">
        <f>IF(B146="","",VLOOKUP(B146,'E-1 Off-Site Hedge Baseline'!$B$10:W391,19,FALSE))</f>
        <v/>
      </c>
      <c r="Q146" s="362" t="str">
        <f>IF(M146="","",VLOOKUP(M146,'G-6 Hedgerow Data'!$B$2:$AG$15,2,FALSE))</f>
        <v/>
      </c>
      <c r="R146" s="363" t="str">
        <f>IF(M146="","",VLOOKUP(M146,'G-6 Hedgerow Data'!$B$2:$AG$15,3,FALSE))</f>
        <v/>
      </c>
      <c r="S146" s="114"/>
      <c r="T146" s="363" t="str">
        <f>IFERROR(IF(AND(Q146="V.Low",OR(S146="Good",S146="Moderate")),"Error ▲",VLOOKUP(S146,'G-1 All Habitats'!$Z$2:$AA$9,2,FALSE)),"")</f>
        <v/>
      </c>
      <c r="U146" s="114"/>
      <c r="V146" s="370" t="str">
        <f>IF(U146="","",IF(VLOOKUP(U146,'G-3 Multipliers'!$L$3:$N$6,2,FALSE)=0,"Spatial Data Missing ⚠",VLOOKUP(U146,'G-3 Multipliers'!$L$3:$N$6,2,FALSE)))</f>
        <v/>
      </c>
      <c r="W146" s="368" t="str">
        <f>IF(U146="","",IF(VLOOKUP(U146,'G-3 Multipliers'!$L$3:$N$6,3,FALSE)=0,"Spatial Data Missing ⚠",VLOOKUP(U146,'G-3 Multipliers'!$L$3:$N$6,3,FALSE)))</f>
        <v/>
      </c>
      <c r="X146" s="362" t="str">
        <f>IFERROR(IF(OR(LEFT(O146,5)="Error",LEFT(N146,5)="Error",T146="Error"),"Check Data ⚠",IF(F146&lt;R146,INDEX('G-6 Hedgerow Data'!$S$3:$AE$14,MATCH(C146,'G-6 Hedgerow Data'!$B$3:$B$14,0),MATCH(M146,'G-6 Hedgerow Data'!$S$2:$AE$2,0)),INDEX('G-6 Hedgerow Data'!$K$3:$Q$14,MATCH(M146,'G-6 Hedgerow Data'!$B$3:$B$14,0),MATCH(O146,'G-6 Hedgerow Data'!$K$2:$Q$2,0)))),"")</f>
        <v/>
      </c>
      <c r="Y146" s="159"/>
      <c r="Z146" s="159"/>
      <c r="AA146" s="370" t="str">
        <f t="shared" si="21"/>
        <v/>
      </c>
      <c r="AB146" s="383" t="str">
        <f t="shared" si="22"/>
        <v/>
      </c>
      <c r="AC146" s="384" t="str">
        <f t="shared" si="19"/>
        <v/>
      </c>
      <c r="AD146" s="398" t="str">
        <f>IF(M146="","",VLOOKUP(M146,'G-6 Hedgerow Data'!$B$3:$AG$15,31,FALSE))</f>
        <v/>
      </c>
      <c r="AE146" s="382" t="str">
        <f t="shared" si="23"/>
        <v/>
      </c>
      <c r="AF146" s="382" t="str">
        <f t="shared" si="24"/>
        <v/>
      </c>
      <c r="AG146" s="386" t="str">
        <f>IFERROR(IF(O146="","",VLOOKUP(AD146,'G-3 Multipliers'!$P$3:$Q$6,2,FALSE)),"")</f>
        <v/>
      </c>
      <c r="AH146" s="160"/>
      <c r="AI146" s="363" t="str">
        <f>IF(AH146="","",IF(VLOOKUP(AH146,'G-3 Multipliers'!$S$3:$T$10,2,FALSE)=0,"Spatial Data Missing ⚠",VLOOKUP(AH146,'G-3 Multipliers'!$S$3:$T$10,2,FALSE)))</f>
        <v/>
      </c>
      <c r="AJ146" s="405" t="str">
        <f t="shared" si="25"/>
        <v/>
      </c>
      <c r="AK146" s="376" t="str">
        <f t="shared" si="26"/>
        <v/>
      </c>
      <c r="AL146" s="117"/>
      <c r="AM146" s="118"/>
      <c r="AN146" s="120"/>
      <c r="AO146" s="120"/>
      <c r="AQ146" s="30" t="str">
        <f>IFERROR(INDEX('G-6 Hedgerow Data'!$BJ$3:$BJ$15,MATCH(M146,'G-6 Hedgerow Data'!$B$3:$B$15,0)),"")</f>
        <v/>
      </c>
    </row>
    <row r="147" spans="2:43" ht="15">
      <c r="B147" s="392" t="str">
        <f>'E-1 Off-Site Hedge Baseline'!AN145</f>
        <v/>
      </c>
      <c r="C147" s="382" t="str">
        <f>IF(B147="","",IF(ISNA(VLOOKUP($B147,'E-1 Off-Site Hedge Baseline'!$B$1:$L$257,3,FALSE)),"",(VLOOKUP($B147,'E-1 Off-Site Hedge Baseline'!$B$1:$L$257,3,FALSE))))</f>
        <v/>
      </c>
      <c r="D147" s="382" t="str">
        <f>IF(B147="","",IF(ISNA(VLOOKUP($B147,'E-1 Off-Site Hedge Baseline'!$B$1:$L$258,4,FALSE)),"",(VLOOKUP($B147,'E-1 Off-Site Hedge Baseline'!$B$1:$L$258,4,FALSE))))</f>
        <v/>
      </c>
      <c r="E147" s="382" t="str">
        <f>IF(B147="","",IF(ISNA(VLOOKUP($B147,'E-1 Off-Site Hedge Baseline'!$B$1:$L$257,5,FALSE)),"",(VLOOKUP($B147,'E-1 Off-Site Hedge Baseline'!$B$1:$L$257,5,FALSE))))</f>
        <v/>
      </c>
      <c r="F147" s="382" t="str">
        <f>IF(B147="","",IF(ISNA(VLOOKUP($B147,'E-1 Off-Site Hedge Baseline'!$B$1:$L$257,6,FALSE)),"",(VLOOKUP($B147,'E-1 Off-Site Hedge Baseline'!$B$1:$L$257,6,FALSE))))</f>
        <v/>
      </c>
      <c r="G147" s="382" t="str">
        <f>IF(B147="","",IF(ISNA(VLOOKUP($B147,'E-1 Off-Site Hedge Baseline'!$B$1:$L$257,7,FALSE)),"",(VLOOKUP($B147,'E-1 Off-Site Hedge Baseline'!$B$1:$L$257,7,FALSE))))</f>
        <v/>
      </c>
      <c r="H147" s="382" t="str">
        <f>IF(B147="","",IF(ISNA(VLOOKUP($B147,'E-1 Off-Site Hedge Baseline'!$B$1:$L$257,8,FALSE)),"",(VLOOKUP($B147,'E-1 Off-Site Hedge Baseline'!$B$1:$L$257,8,FALSE))))</f>
        <v/>
      </c>
      <c r="I147" s="382" t="str">
        <f>IF(B147="","",IF(ISNA(VLOOKUP($B147,'E-1 Off-Site Hedge Baseline'!$B$1:$L$257,10,FALSE)),"",(VLOOKUP($B147,'E-1 Off-Site Hedge Baseline'!$B$1:$L$257,10,FALSE))))</f>
        <v/>
      </c>
      <c r="J147" s="382" t="str">
        <f>IF(B147="","",IF(ISNA(VLOOKUP($B147,'E-1 Off-Site Hedge Baseline'!$B$1:$L$257,11,FALSE)),"",(VLOOKUP($B147,'E-1 Off-Site Hedge Baseline'!$B$1:$L$257,11,FALSE))))</f>
        <v/>
      </c>
      <c r="K147" s="382" t="str">
        <f>IF(B147="","",IF(ISNA(VLOOKUP($B147,'E-1 Off-Site Hedge Baseline'!$B$1:$X$257,113,FALSE)),"",(VLOOKUP($B147,'E-1 Off-Site Hedge Baseline'!$B$1:$X$257,13,FALSE))))</f>
        <v/>
      </c>
      <c r="L147" s="370" t="str">
        <f>IF(B147="","",IF(ISNA(VLOOKUP($B147,'E-1 Off-Site Hedge Baseline'!$B$1:$X$257,12,FALSE)),"",(VLOOKUP($B147,'E-1 Off-Site Hedge Baseline'!$B$1:$X$257,12,FALSE))))</f>
        <v/>
      </c>
      <c r="M147" s="316" t="str">
        <f t="shared" si="18"/>
        <v/>
      </c>
      <c r="N147" s="362" t="str">
        <f>IFERROR(IF(B147="","",INDEX('G-6 Hedgerow Data'!$AN$3:$AZ$15,MATCH(C147,'G-6 Hedgerow Data'!$AM$3:$AM$15,0),MATCH(M147,'G-6 Hedgerow Data'!$AN$2:$AZ$2,0))),"")</f>
        <v/>
      </c>
      <c r="O147" s="363" t="str">
        <f t="shared" si="20"/>
        <v/>
      </c>
      <c r="P147" s="368" t="str">
        <f>IF(B147="","",VLOOKUP(B147,'E-1 Off-Site Hedge Baseline'!$B$10:W392,19,FALSE))</f>
        <v/>
      </c>
      <c r="Q147" s="362" t="str">
        <f>IF(M147="","",VLOOKUP(M147,'G-6 Hedgerow Data'!$B$2:$AG$15,2,FALSE))</f>
        <v/>
      </c>
      <c r="R147" s="363" t="str">
        <f>IF(M147="","",VLOOKUP(M147,'G-6 Hedgerow Data'!$B$2:$AG$15,3,FALSE))</f>
        <v/>
      </c>
      <c r="S147" s="114"/>
      <c r="T147" s="363" t="str">
        <f>IFERROR(IF(AND(Q147="V.Low",OR(S147="Good",S147="Moderate")),"Error ▲",VLOOKUP(S147,'G-1 All Habitats'!$Z$2:$AA$9,2,FALSE)),"")</f>
        <v/>
      </c>
      <c r="U147" s="114"/>
      <c r="V147" s="370" t="str">
        <f>IF(U147="","",IF(VLOOKUP(U147,'G-3 Multipliers'!$L$3:$N$6,2,FALSE)=0,"Spatial Data Missing ⚠",VLOOKUP(U147,'G-3 Multipliers'!$L$3:$N$6,2,FALSE)))</f>
        <v/>
      </c>
      <c r="W147" s="368" t="str">
        <f>IF(U147="","",IF(VLOOKUP(U147,'G-3 Multipliers'!$L$3:$N$6,3,FALSE)=0,"Spatial Data Missing ⚠",VLOOKUP(U147,'G-3 Multipliers'!$L$3:$N$6,3,FALSE)))</f>
        <v/>
      </c>
      <c r="X147" s="362" t="str">
        <f>IFERROR(IF(OR(LEFT(O147,5)="Error",LEFT(N147,5)="Error",T147="Error"),"Check Data ⚠",IF(F147&lt;R147,INDEX('G-6 Hedgerow Data'!$S$3:$AE$14,MATCH(C147,'G-6 Hedgerow Data'!$B$3:$B$14,0),MATCH(M147,'G-6 Hedgerow Data'!$S$2:$AE$2,0)),INDEX('G-6 Hedgerow Data'!$K$3:$Q$14,MATCH(M147,'G-6 Hedgerow Data'!$B$3:$B$14,0),MATCH(O147,'G-6 Hedgerow Data'!$K$2:$Q$2,0)))),"")</f>
        <v/>
      </c>
      <c r="Y147" s="159"/>
      <c r="Z147" s="159"/>
      <c r="AA147" s="370" t="str">
        <f t="shared" si="21"/>
        <v/>
      </c>
      <c r="AB147" s="383" t="str">
        <f t="shared" si="22"/>
        <v/>
      </c>
      <c r="AC147" s="384" t="str">
        <f t="shared" si="19"/>
        <v/>
      </c>
      <c r="AD147" s="398" t="str">
        <f>IF(M147="","",VLOOKUP(M147,'G-6 Hedgerow Data'!$B$3:$AG$15,31,FALSE))</f>
        <v/>
      </c>
      <c r="AE147" s="382" t="str">
        <f t="shared" si="23"/>
        <v/>
      </c>
      <c r="AF147" s="382" t="str">
        <f t="shared" si="24"/>
        <v/>
      </c>
      <c r="AG147" s="386" t="str">
        <f>IFERROR(IF(O147="","",VLOOKUP(AD147,'G-3 Multipliers'!$P$3:$Q$6,2,FALSE)),"")</f>
        <v/>
      </c>
      <c r="AH147" s="160"/>
      <c r="AI147" s="363" t="str">
        <f>IF(AH147="","",IF(VLOOKUP(AH147,'G-3 Multipliers'!$S$3:$T$10,2,FALSE)=0,"Spatial Data Missing ⚠",VLOOKUP(AH147,'G-3 Multipliers'!$S$3:$T$10,2,FALSE)))</f>
        <v/>
      </c>
      <c r="AJ147" s="405" t="str">
        <f t="shared" si="25"/>
        <v/>
      </c>
      <c r="AK147" s="376" t="str">
        <f t="shared" si="26"/>
        <v/>
      </c>
      <c r="AL147" s="117"/>
      <c r="AM147" s="118"/>
      <c r="AN147" s="120"/>
      <c r="AO147" s="120"/>
      <c r="AQ147" s="30" t="str">
        <f>IFERROR(INDEX('G-6 Hedgerow Data'!$BJ$3:$BJ$15,MATCH(M147,'G-6 Hedgerow Data'!$B$3:$B$15,0)),"")</f>
        <v/>
      </c>
    </row>
    <row r="148" spans="2:43" ht="15">
      <c r="B148" s="392" t="str">
        <f>'E-1 Off-Site Hedge Baseline'!AN146</f>
        <v/>
      </c>
      <c r="C148" s="382" t="str">
        <f>IF(B148="","",IF(ISNA(VLOOKUP($B148,'E-1 Off-Site Hedge Baseline'!$B$1:$L$257,3,FALSE)),"",(VLOOKUP($B148,'E-1 Off-Site Hedge Baseline'!$B$1:$L$257,3,FALSE))))</f>
        <v/>
      </c>
      <c r="D148" s="382" t="str">
        <f>IF(B148="","",IF(ISNA(VLOOKUP($B148,'E-1 Off-Site Hedge Baseline'!$B$1:$L$258,4,FALSE)),"",(VLOOKUP($B148,'E-1 Off-Site Hedge Baseline'!$B$1:$L$258,4,FALSE))))</f>
        <v/>
      </c>
      <c r="E148" s="382" t="str">
        <f>IF(B148="","",IF(ISNA(VLOOKUP($B148,'E-1 Off-Site Hedge Baseline'!$B$1:$L$257,5,FALSE)),"",(VLOOKUP($B148,'E-1 Off-Site Hedge Baseline'!$B$1:$L$257,5,FALSE))))</f>
        <v/>
      </c>
      <c r="F148" s="382" t="str">
        <f>IF(B148="","",IF(ISNA(VLOOKUP($B148,'E-1 Off-Site Hedge Baseline'!$B$1:$L$257,6,FALSE)),"",(VLOOKUP($B148,'E-1 Off-Site Hedge Baseline'!$B$1:$L$257,6,FALSE))))</f>
        <v/>
      </c>
      <c r="G148" s="382" t="str">
        <f>IF(B148="","",IF(ISNA(VLOOKUP($B148,'E-1 Off-Site Hedge Baseline'!$B$1:$L$257,7,FALSE)),"",(VLOOKUP($B148,'E-1 Off-Site Hedge Baseline'!$B$1:$L$257,7,FALSE))))</f>
        <v/>
      </c>
      <c r="H148" s="382" t="str">
        <f>IF(B148="","",IF(ISNA(VLOOKUP($B148,'E-1 Off-Site Hedge Baseline'!$B$1:$L$257,8,FALSE)),"",(VLOOKUP($B148,'E-1 Off-Site Hedge Baseline'!$B$1:$L$257,8,FALSE))))</f>
        <v/>
      </c>
      <c r="I148" s="382" t="str">
        <f>IF(B148="","",IF(ISNA(VLOOKUP($B148,'E-1 Off-Site Hedge Baseline'!$B$1:$L$257,10,FALSE)),"",(VLOOKUP($B148,'E-1 Off-Site Hedge Baseline'!$B$1:$L$257,10,FALSE))))</f>
        <v/>
      </c>
      <c r="J148" s="382" t="str">
        <f>IF(B148="","",IF(ISNA(VLOOKUP($B148,'E-1 Off-Site Hedge Baseline'!$B$1:$L$257,11,FALSE)),"",(VLOOKUP($B148,'E-1 Off-Site Hedge Baseline'!$B$1:$L$257,11,FALSE))))</f>
        <v/>
      </c>
      <c r="K148" s="382" t="str">
        <f>IF(B148="","",IF(ISNA(VLOOKUP($B148,'E-1 Off-Site Hedge Baseline'!$B$1:$X$257,113,FALSE)),"",(VLOOKUP($B148,'E-1 Off-Site Hedge Baseline'!$B$1:$X$257,13,FALSE))))</f>
        <v/>
      </c>
      <c r="L148" s="370" t="str">
        <f>IF(B148="","",IF(ISNA(VLOOKUP($B148,'E-1 Off-Site Hedge Baseline'!$B$1:$X$257,12,FALSE)),"",(VLOOKUP($B148,'E-1 Off-Site Hedge Baseline'!$B$1:$X$257,12,FALSE))))</f>
        <v/>
      </c>
      <c r="M148" s="316" t="str">
        <f t="shared" si="18"/>
        <v/>
      </c>
      <c r="N148" s="362" t="str">
        <f>IFERROR(IF(B148="","",INDEX('G-6 Hedgerow Data'!$AN$3:$AZ$15,MATCH(C148,'G-6 Hedgerow Data'!$AM$3:$AM$15,0),MATCH(M148,'G-6 Hedgerow Data'!$AN$2:$AZ$2,0))),"")</f>
        <v/>
      </c>
      <c r="O148" s="363" t="str">
        <f t="shared" si="20"/>
        <v/>
      </c>
      <c r="P148" s="368" t="str">
        <f>IF(B148="","",VLOOKUP(B148,'E-1 Off-Site Hedge Baseline'!$B$10:W393,19,FALSE))</f>
        <v/>
      </c>
      <c r="Q148" s="362" t="str">
        <f>IF(M148="","",VLOOKUP(M148,'G-6 Hedgerow Data'!$B$2:$AG$15,2,FALSE))</f>
        <v/>
      </c>
      <c r="R148" s="363" t="str">
        <f>IF(M148="","",VLOOKUP(M148,'G-6 Hedgerow Data'!$B$2:$AG$15,3,FALSE))</f>
        <v/>
      </c>
      <c r="S148" s="114"/>
      <c r="T148" s="363" t="str">
        <f>IFERROR(IF(AND(Q148="V.Low",OR(S148="Good",S148="Moderate")),"Error ▲",VLOOKUP(S148,'G-1 All Habitats'!$Z$2:$AA$9,2,FALSE)),"")</f>
        <v/>
      </c>
      <c r="U148" s="114"/>
      <c r="V148" s="370" t="str">
        <f>IF(U148="","",IF(VLOOKUP(U148,'G-3 Multipliers'!$L$3:$N$6,2,FALSE)=0,"Spatial Data Missing ⚠",VLOOKUP(U148,'G-3 Multipliers'!$L$3:$N$6,2,FALSE)))</f>
        <v/>
      </c>
      <c r="W148" s="368" t="str">
        <f>IF(U148="","",IF(VLOOKUP(U148,'G-3 Multipliers'!$L$3:$N$6,3,FALSE)=0,"Spatial Data Missing ⚠",VLOOKUP(U148,'G-3 Multipliers'!$L$3:$N$6,3,FALSE)))</f>
        <v/>
      </c>
      <c r="X148" s="362" t="str">
        <f>IFERROR(IF(OR(LEFT(O148,5)="Error",LEFT(N148,5)="Error",T148="Error"),"Check Data ⚠",IF(F148&lt;R148,INDEX('G-6 Hedgerow Data'!$S$3:$AE$14,MATCH(C148,'G-6 Hedgerow Data'!$B$3:$B$14,0),MATCH(M148,'G-6 Hedgerow Data'!$S$2:$AE$2,0)),INDEX('G-6 Hedgerow Data'!$K$3:$Q$14,MATCH(M148,'G-6 Hedgerow Data'!$B$3:$B$14,0),MATCH(O148,'G-6 Hedgerow Data'!$K$2:$Q$2,0)))),"")</f>
        <v/>
      </c>
      <c r="Y148" s="159"/>
      <c r="Z148" s="159"/>
      <c r="AA148" s="370" t="str">
        <f t="shared" si="21"/>
        <v/>
      </c>
      <c r="AB148" s="383" t="str">
        <f t="shared" si="22"/>
        <v/>
      </c>
      <c r="AC148" s="384" t="str">
        <f t="shared" si="19"/>
        <v/>
      </c>
      <c r="AD148" s="398" t="str">
        <f>IF(M148="","",VLOOKUP(M148,'G-6 Hedgerow Data'!$B$3:$AG$15,31,FALSE))</f>
        <v/>
      </c>
      <c r="AE148" s="382" t="str">
        <f t="shared" si="23"/>
        <v/>
      </c>
      <c r="AF148" s="382" t="str">
        <f t="shared" si="24"/>
        <v/>
      </c>
      <c r="AG148" s="386" t="str">
        <f>IFERROR(IF(O148="","",VLOOKUP(AD148,'G-3 Multipliers'!$P$3:$Q$6,2,FALSE)),"")</f>
        <v/>
      </c>
      <c r="AH148" s="160"/>
      <c r="AI148" s="363" t="str">
        <f>IF(AH148="","",IF(VLOOKUP(AH148,'G-3 Multipliers'!$S$3:$T$10,2,FALSE)=0,"Spatial Data Missing ⚠",VLOOKUP(AH148,'G-3 Multipliers'!$S$3:$T$10,2,FALSE)))</f>
        <v/>
      </c>
      <c r="AJ148" s="405" t="str">
        <f t="shared" si="25"/>
        <v/>
      </c>
      <c r="AK148" s="376" t="str">
        <f t="shared" si="26"/>
        <v/>
      </c>
      <c r="AL148" s="117"/>
      <c r="AM148" s="118"/>
      <c r="AN148" s="120"/>
      <c r="AO148" s="120"/>
      <c r="AQ148" s="30" t="str">
        <f>IFERROR(INDEX('G-6 Hedgerow Data'!$BJ$3:$BJ$15,MATCH(M148,'G-6 Hedgerow Data'!$B$3:$B$15,0)),"")</f>
        <v/>
      </c>
    </row>
    <row r="149" spans="2:43" ht="15">
      <c r="B149" s="392" t="str">
        <f>'E-1 Off-Site Hedge Baseline'!AN147</f>
        <v/>
      </c>
      <c r="C149" s="382" t="str">
        <f>IF(B149="","",IF(ISNA(VLOOKUP($B149,'E-1 Off-Site Hedge Baseline'!$B$1:$L$257,3,FALSE)),"",(VLOOKUP($B149,'E-1 Off-Site Hedge Baseline'!$B$1:$L$257,3,FALSE))))</f>
        <v/>
      </c>
      <c r="D149" s="382" t="str">
        <f>IF(B149="","",IF(ISNA(VLOOKUP($B149,'E-1 Off-Site Hedge Baseline'!$B$1:$L$258,4,FALSE)),"",(VLOOKUP($B149,'E-1 Off-Site Hedge Baseline'!$B$1:$L$258,4,FALSE))))</f>
        <v/>
      </c>
      <c r="E149" s="382" t="str">
        <f>IF(B149="","",IF(ISNA(VLOOKUP($B149,'E-1 Off-Site Hedge Baseline'!$B$1:$L$257,5,FALSE)),"",(VLOOKUP($B149,'E-1 Off-Site Hedge Baseline'!$B$1:$L$257,5,FALSE))))</f>
        <v/>
      </c>
      <c r="F149" s="382" t="str">
        <f>IF(B149="","",IF(ISNA(VLOOKUP($B149,'E-1 Off-Site Hedge Baseline'!$B$1:$L$257,6,FALSE)),"",(VLOOKUP($B149,'E-1 Off-Site Hedge Baseline'!$B$1:$L$257,6,FALSE))))</f>
        <v/>
      </c>
      <c r="G149" s="382" t="str">
        <f>IF(B149="","",IF(ISNA(VLOOKUP($B149,'E-1 Off-Site Hedge Baseline'!$B$1:$L$257,7,FALSE)),"",(VLOOKUP($B149,'E-1 Off-Site Hedge Baseline'!$B$1:$L$257,7,FALSE))))</f>
        <v/>
      </c>
      <c r="H149" s="382" t="str">
        <f>IF(B149="","",IF(ISNA(VLOOKUP($B149,'E-1 Off-Site Hedge Baseline'!$B$1:$L$257,8,FALSE)),"",(VLOOKUP($B149,'E-1 Off-Site Hedge Baseline'!$B$1:$L$257,8,FALSE))))</f>
        <v/>
      </c>
      <c r="I149" s="382" t="str">
        <f>IF(B149="","",IF(ISNA(VLOOKUP($B149,'E-1 Off-Site Hedge Baseline'!$B$1:$L$257,10,FALSE)),"",(VLOOKUP($B149,'E-1 Off-Site Hedge Baseline'!$B$1:$L$257,10,FALSE))))</f>
        <v/>
      </c>
      <c r="J149" s="382" t="str">
        <f>IF(B149="","",IF(ISNA(VLOOKUP($B149,'E-1 Off-Site Hedge Baseline'!$B$1:$L$257,11,FALSE)),"",(VLOOKUP($B149,'E-1 Off-Site Hedge Baseline'!$B$1:$L$257,11,FALSE))))</f>
        <v/>
      </c>
      <c r="K149" s="382" t="str">
        <f>IF(B149="","",IF(ISNA(VLOOKUP($B149,'E-1 Off-Site Hedge Baseline'!$B$1:$X$257,113,FALSE)),"",(VLOOKUP($B149,'E-1 Off-Site Hedge Baseline'!$B$1:$X$257,13,FALSE))))</f>
        <v/>
      </c>
      <c r="L149" s="370" t="str">
        <f>IF(B149="","",IF(ISNA(VLOOKUP($B149,'E-1 Off-Site Hedge Baseline'!$B$1:$X$257,12,FALSE)),"",(VLOOKUP($B149,'E-1 Off-Site Hedge Baseline'!$B$1:$X$257,12,FALSE))))</f>
        <v/>
      </c>
      <c r="M149" s="316" t="str">
        <f t="shared" si="18"/>
        <v/>
      </c>
      <c r="N149" s="362" t="str">
        <f>IFERROR(IF(B149="","",INDEX('G-6 Hedgerow Data'!$AN$3:$AZ$15,MATCH(C149,'G-6 Hedgerow Data'!$AM$3:$AM$15,0),MATCH(M149,'G-6 Hedgerow Data'!$AN$2:$AZ$2,0))),"")</f>
        <v/>
      </c>
      <c r="O149" s="363" t="str">
        <f t="shared" si="20"/>
        <v/>
      </c>
      <c r="P149" s="368" t="str">
        <f>IF(B149="","",VLOOKUP(B149,'E-1 Off-Site Hedge Baseline'!$B$10:W394,19,FALSE))</f>
        <v/>
      </c>
      <c r="Q149" s="362" t="str">
        <f>IF(M149="","",VLOOKUP(M149,'G-6 Hedgerow Data'!$B$2:$AG$15,2,FALSE))</f>
        <v/>
      </c>
      <c r="R149" s="363" t="str">
        <f>IF(M149="","",VLOOKUP(M149,'G-6 Hedgerow Data'!$B$2:$AG$15,3,FALSE))</f>
        <v/>
      </c>
      <c r="S149" s="114"/>
      <c r="T149" s="363" t="str">
        <f>IFERROR(IF(AND(Q149="V.Low",OR(S149="Good",S149="Moderate")),"Error ▲",VLOOKUP(S149,'G-1 All Habitats'!$Z$2:$AA$9,2,FALSE)),"")</f>
        <v/>
      </c>
      <c r="U149" s="114"/>
      <c r="V149" s="370" t="str">
        <f>IF(U149="","",IF(VLOOKUP(U149,'G-3 Multipliers'!$L$3:$N$6,2,FALSE)=0,"Spatial Data Missing ⚠",VLOOKUP(U149,'G-3 Multipliers'!$L$3:$N$6,2,FALSE)))</f>
        <v/>
      </c>
      <c r="W149" s="368" t="str">
        <f>IF(U149="","",IF(VLOOKUP(U149,'G-3 Multipliers'!$L$3:$N$6,3,FALSE)=0,"Spatial Data Missing ⚠",VLOOKUP(U149,'G-3 Multipliers'!$L$3:$N$6,3,FALSE)))</f>
        <v/>
      </c>
      <c r="X149" s="362" t="str">
        <f>IFERROR(IF(OR(LEFT(O149,5)="Error",LEFT(N149,5)="Error",T149="Error"),"Check Data ⚠",IF(F149&lt;R149,INDEX('G-6 Hedgerow Data'!$S$3:$AE$14,MATCH(C149,'G-6 Hedgerow Data'!$B$3:$B$14,0),MATCH(M149,'G-6 Hedgerow Data'!$S$2:$AE$2,0)),INDEX('G-6 Hedgerow Data'!$K$3:$Q$14,MATCH(M149,'G-6 Hedgerow Data'!$B$3:$B$14,0),MATCH(O149,'G-6 Hedgerow Data'!$K$2:$Q$2,0)))),"")</f>
        <v/>
      </c>
      <c r="Y149" s="159"/>
      <c r="Z149" s="159"/>
      <c r="AA149" s="370" t="str">
        <f t="shared" si="21"/>
        <v/>
      </c>
      <c r="AB149" s="383" t="str">
        <f t="shared" si="22"/>
        <v/>
      </c>
      <c r="AC149" s="384" t="str">
        <f t="shared" si="19"/>
        <v/>
      </c>
      <c r="AD149" s="398" t="str">
        <f>IF(M149="","",VLOOKUP(M149,'G-6 Hedgerow Data'!$B$3:$AG$15,31,FALSE))</f>
        <v/>
      </c>
      <c r="AE149" s="382" t="str">
        <f t="shared" si="23"/>
        <v/>
      </c>
      <c r="AF149" s="382" t="str">
        <f t="shared" si="24"/>
        <v/>
      </c>
      <c r="AG149" s="386" t="str">
        <f>IFERROR(IF(O149="","",VLOOKUP(AD149,'G-3 Multipliers'!$P$3:$Q$6,2,FALSE)),"")</f>
        <v/>
      </c>
      <c r="AH149" s="160"/>
      <c r="AI149" s="363" t="str">
        <f>IF(AH149="","",IF(VLOOKUP(AH149,'G-3 Multipliers'!$S$3:$T$10,2,FALSE)=0,"Spatial Data Missing ⚠",VLOOKUP(AH149,'G-3 Multipliers'!$S$3:$T$10,2,FALSE)))</f>
        <v/>
      </c>
      <c r="AJ149" s="405" t="str">
        <f t="shared" si="25"/>
        <v/>
      </c>
      <c r="AK149" s="376" t="str">
        <f t="shared" si="26"/>
        <v/>
      </c>
      <c r="AL149" s="117"/>
      <c r="AM149" s="118"/>
      <c r="AN149" s="120"/>
      <c r="AO149" s="120"/>
      <c r="AQ149" s="30" t="str">
        <f>IFERROR(INDEX('G-6 Hedgerow Data'!$BJ$3:$BJ$15,MATCH(M149,'G-6 Hedgerow Data'!$B$3:$B$15,0)),"")</f>
        <v/>
      </c>
    </row>
    <row r="150" spans="2:43" ht="15">
      <c r="B150" s="392" t="str">
        <f>'E-1 Off-Site Hedge Baseline'!AN148</f>
        <v/>
      </c>
      <c r="C150" s="382" t="str">
        <f>IF(B150="","",IF(ISNA(VLOOKUP($B150,'E-1 Off-Site Hedge Baseline'!$B$1:$L$257,3,FALSE)),"",(VLOOKUP($B150,'E-1 Off-Site Hedge Baseline'!$B$1:$L$257,3,FALSE))))</f>
        <v/>
      </c>
      <c r="D150" s="382" t="str">
        <f>IF(B150="","",IF(ISNA(VLOOKUP($B150,'E-1 Off-Site Hedge Baseline'!$B$1:$L$258,4,FALSE)),"",(VLOOKUP($B150,'E-1 Off-Site Hedge Baseline'!$B$1:$L$258,4,FALSE))))</f>
        <v/>
      </c>
      <c r="E150" s="382" t="str">
        <f>IF(B150="","",IF(ISNA(VLOOKUP($B150,'E-1 Off-Site Hedge Baseline'!$B$1:$L$257,5,FALSE)),"",(VLOOKUP($B150,'E-1 Off-Site Hedge Baseline'!$B$1:$L$257,5,FALSE))))</f>
        <v/>
      </c>
      <c r="F150" s="382" t="str">
        <f>IF(B150="","",IF(ISNA(VLOOKUP($B150,'E-1 Off-Site Hedge Baseline'!$B$1:$L$257,6,FALSE)),"",(VLOOKUP($B150,'E-1 Off-Site Hedge Baseline'!$B$1:$L$257,6,FALSE))))</f>
        <v/>
      </c>
      <c r="G150" s="382" t="str">
        <f>IF(B150="","",IF(ISNA(VLOOKUP($B150,'E-1 Off-Site Hedge Baseline'!$B$1:$L$257,7,FALSE)),"",(VLOOKUP($B150,'E-1 Off-Site Hedge Baseline'!$B$1:$L$257,7,FALSE))))</f>
        <v/>
      </c>
      <c r="H150" s="382" t="str">
        <f>IF(B150="","",IF(ISNA(VLOOKUP($B150,'E-1 Off-Site Hedge Baseline'!$B$1:$L$257,8,FALSE)),"",(VLOOKUP($B150,'E-1 Off-Site Hedge Baseline'!$B$1:$L$257,8,FALSE))))</f>
        <v/>
      </c>
      <c r="I150" s="382" t="str">
        <f>IF(B150="","",IF(ISNA(VLOOKUP($B150,'E-1 Off-Site Hedge Baseline'!$B$1:$L$257,10,FALSE)),"",(VLOOKUP($B150,'E-1 Off-Site Hedge Baseline'!$B$1:$L$257,10,FALSE))))</f>
        <v/>
      </c>
      <c r="J150" s="382" t="str">
        <f>IF(B150="","",IF(ISNA(VLOOKUP($B150,'E-1 Off-Site Hedge Baseline'!$B$1:$L$257,11,FALSE)),"",(VLOOKUP($B150,'E-1 Off-Site Hedge Baseline'!$B$1:$L$257,11,FALSE))))</f>
        <v/>
      </c>
      <c r="K150" s="382" t="str">
        <f>IF(B150="","",IF(ISNA(VLOOKUP($B150,'E-1 Off-Site Hedge Baseline'!$B$1:$X$257,113,FALSE)),"",(VLOOKUP($B150,'E-1 Off-Site Hedge Baseline'!$B$1:$X$257,13,FALSE))))</f>
        <v/>
      </c>
      <c r="L150" s="370" t="str">
        <f>IF(B150="","",IF(ISNA(VLOOKUP($B150,'E-1 Off-Site Hedge Baseline'!$B$1:$X$257,12,FALSE)),"",(VLOOKUP($B150,'E-1 Off-Site Hedge Baseline'!$B$1:$X$257,12,FALSE))))</f>
        <v/>
      </c>
      <c r="M150" s="316" t="str">
        <f t="shared" si="18"/>
        <v/>
      </c>
      <c r="N150" s="362" t="str">
        <f>IFERROR(IF(B150="","",INDEX('G-6 Hedgerow Data'!$AN$3:$AZ$15,MATCH(C150,'G-6 Hedgerow Data'!$AM$3:$AM$15,0),MATCH(M150,'G-6 Hedgerow Data'!$AN$2:$AZ$2,0))),"")</f>
        <v/>
      </c>
      <c r="O150" s="363" t="str">
        <f t="shared" si="20"/>
        <v/>
      </c>
      <c r="P150" s="368" t="str">
        <f>IF(B150="","",VLOOKUP(B150,'E-1 Off-Site Hedge Baseline'!$B$10:W395,19,FALSE))</f>
        <v/>
      </c>
      <c r="Q150" s="362" t="str">
        <f>IF(M150="","",VLOOKUP(M150,'G-6 Hedgerow Data'!$B$2:$AG$15,2,FALSE))</f>
        <v/>
      </c>
      <c r="R150" s="363" t="str">
        <f>IF(M150="","",VLOOKUP(M150,'G-6 Hedgerow Data'!$B$2:$AG$15,3,FALSE))</f>
        <v/>
      </c>
      <c r="S150" s="114"/>
      <c r="T150" s="363" t="str">
        <f>IFERROR(IF(AND(Q150="V.Low",OR(S150="Good",S150="Moderate")),"Error ▲",VLOOKUP(S150,'G-1 All Habitats'!$Z$2:$AA$9,2,FALSE)),"")</f>
        <v/>
      </c>
      <c r="U150" s="114"/>
      <c r="V150" s="370" t="str">
        <f>IF(U150="","",IF(VLOOKUP(U150,'G-3 Multipliers'!$L$3:$N$6,2,FALSE)=0,"Spatial Data Missing ⚠",VLOOKUP(U150,'G-3 Multipliers'!$L$3:$N$6,2,FALSE)))</f>
        <v/>
      </c>
      <c r="W150" s="368" t="str">
        <f>IF(U150="","",IF(VLOOKUP(U150,'G-3 Multipliers'!$L$3:$N$6,3,FALSE)=0,"Spatial Data Missing ⚠",VLOOKUP(U150,'G-3 Multipliers'!$L$3:$N$6,3,FALSE)))</f>
        <v/>
      </c>
      <c r="X150" s="362" t="str">
        <f>IFERROR(IF(OR(LEFT(O150,5)="Error",LEFT(N150,5)="Error",T150="Error"),"Check Data ⚠",IF(F150&lt;R150,INDEX('G-6 Hedgerow Data'!$S$3:$AE$14,MATCH(C150,'G-6 Hedgerow Data'!$B$3:$B$14,0),MATCH(M150,'G-6 Hedgerow Data'!$S$2:$AE$2,0)),INDEX('G-6 Hedgerow Data'!$K$3:$Q$14,MATCH(M150,'G-6 Hedgerow Data'!$B$3:$B$14,0),MATCH(O150,'G-6 Hedgerow Data'!$K$2:$Q$2,0)))),"")</f>
        <v/>
      </c>
      <c r="Y150" s="159"/>
      <c r="Z150" s="159"/>
      <c r="AA150" s="370" t="str">
        <f t="shared" si="21"/>
        <v/>
      </c>
      <c r="AB150" s="383" t="str">
        <f t="shared" si="22"/>
        <v/>
      </c>
      <c r="AC150" s="384" t="str">
        <f t="shared" si="19"/>
        <v/>
      </c>
      <c r="AD150" s="398" t="str">
        <f>IF(M150="","",VLOOKUP(M150,'G-6 Hedgerow Data'!$B$3:$AG$15,31,FALSE))</f>
        <v/>
      </c>
      <c r="AE150" s="382" t="str">
        <f t="shared" si="23"/>
        <v/>
      </c>
      <c r="AF150" s="382" t="str">
        <f t="shared" si="24"/>
        <v/>
      </c>
      <c r="AG150" s="386" t="str">
        <f>IFERROR(IF(O150="","",VLOOKUP(AD150,'G-3 Multipliers'!$P$3:$Q$6,2,FALSE)),"")</f>
        <v/>
      </c>
      <c r="AH150" s="160"/>
      <c r="AI150" s="363" t="str">
        <f>IF(AH150="","",IF(VLOOKUP(AH150,'G-3 Multipliers'!$S$3:$T$10,2,FALSE)=0,"Spatial Data Missing ⚠",VLOOKUP(AH150,'G-3 Multipliers'!$S$3:$T$10,2,FALSE)))</f>
        <v/>
      </c>
      <c r="AJ150" s="405" t="str">
        <f t="shared" si="25"/>
        <v/>
      </c>
      <c r="AK150" s="376" t="str">
        <f t="shared" si="26"/>
        <v/>
      </c>
      <c r="AL150" s="117"/>
      <c r="AM150" s="118"/>
      <c r="AN150" s="120"/>
      <c r="AO150" s="120"/>
      <c r="AQ150" s="30" t="str">
        <f>IFERROR(INDEX('G-6 Hedgerow Data'!$BJ$3:$BJ$15,MATCH(M150,'G-6 Hedgerow Data'!$B$3:$B$15,0)),"")</f>
        <v/>
      </c>
    </row>
    <row r="151" spans="2:43" ht="15">
      <c r="B151" s="392" t="str">
        <f>'E-1 Off-Site Hedge Baseline'!AN149</f>
        <v/>
      </c>
      <c r="C151" s="382" t="str">
        <f>IF(B151="","",IF(ISNA(VLOOKUP($B151,'E-1 Off-Site Hedge Baseline'!$B$1:$L$257,3,FALSE)),"",(VLOOKUP($B151,'E-1 Off-Site Hedge Baseline'!$B$1:$L$257,3,FALSE))))</f>
        <v/>
      </c>
      <c r="D151" s="382" t="str">
        <f>IF(B151="","",IF(ISNA(VLOOKUP($B151,'E-1 Off-Site Hedge Baseline'!$B$1:$L$258,4,FALSE)),"",(VLOOKUP($B151,'E-1 Off-Site Hedge Baseline'!$B$1:$L$258,4,FALSE))))</f>
        <v/>
      </c>
      <c r="E151" s="382" t="str">
        <f>IF(B151="","",IF(ISNA(VLOOKUP($B151,'E-1 Off-Site Hedge Baseline'!$B$1:$L$257,5,FALSE)),"",(VLOOKUP($B151,'E-1 Off-Site Hedge Baseline'!$B$1:$L$257,5,FALSE))))</f>
        <v/>
      </c>
      <c r="F151" s="382" t="str">
        <f>IF(B151="","",IF(ISNA(VLOOKUP($B151,'E-1 Off-Site Hedge Baseline'!$B$1:$L$257,6,FALSE)),"",(VLOOKUP($B151,'E-1 Off-Site Hedge Baseline'!$B$1:$L$257,6,FALSE))))</f>
        <v/>
      </c>
      <c r="G151" s="382" t="str">
        <f>IF(B151="","",IF(ISNA(VLOOKUP($B151,'E-1 Off-Site Hedge Baseline'!$B$1:$L$257,7,FALSE)),"",(VLOOKUP($B151,'E-1 Off-Site Hedge Baseline'!$B$1:$L$257,7,FALSE))))</f>
        <v/>
      </c>
      <c r="H151" s="382" t="str">
        <f>IF(B151="","",IF(ISNA(VLOOKUP($B151,'E-1 Off-Site Hedge Baseline'!$B$1:$L$257,8,FALSE)),"",(VLOOKUP($B151,'E-1 Off-Site Hedge Baseline'!$B$1:$L$257,8,FALSE))))</f>
        <v/>
      </c>
      <c r="I151" s="382" t="str">
        <f>IF(B151="","",IF(ISNA(VLOOKUP($B151,'E-1 Off-Site Hedge Baseline'!$B$1:$L$257,10,FALSE)),"",(VLOOKUP($B151,'E-1 Off-Site Hedge Baseline'!$B$1:$L$257,10,FALSE))))</f>
        <v/>
      </c>
      <c r="J151" s="382" t="str">
        <f>IF(B151="","",IF(ISNA(VLOOKUP($B151,'E-1 Off-Site Hedge Baseline'!$B$1:$L$257,11,FALSE)),"",(VLOOKUP($B151,'E-1 Off-Site Hedge Baseline'!$B$1:$L$257,11,FALSE))))</f>
        <v/>
      </c>
      <c r="K151" s="382" t="str">
        <f>IF(B151="","",IF(ISNA(VLOOKUP($B151,'E-1 Off-Site Hedge Baseline'!$B$1:$X$257,113,FALSE)),"",(VLOOKUP($B151,'E-1 Off-Site Hedge Baseline'!$B$1:$X$257,13,FALSE))))</f>
        <v/>
      </c>
      <c r="L151" s="370" t="str">
        <f>IF(B151="","",IF(ISNA(VLOOKUP($B151,'E-1 Off-Site Hedge Baseline'!$B$1:$X$257,12,FALSE)),"",(VLOOKUP($B151,'E-1 Off-Site Hedge Baseline'!$B$1:$X$257,12,FALSE))))</f>
        <v/>
      </c>
      <c r="M151" s="316" t="str">
        <f t="shared" si="18"/>
        <v/>
      </c>
      <c r="N151" s="362" t="str">
        <f>IFERROR(IF(B151="","",INDEX('G-6 Hedgerow Data'!$AN$3:$AZ$15,MATCH(C151,'G-6 Hedgerow Data'!$AM$3:$AM$15,0),MATCH(M151,'G-6 Hedgerow Data'!$AN$2:$AZ$2,0))),"")</f>
        <v/>
      </c>
      <c r="O151" s="363" t="str">
        <f t="shared" si="20"/>
        <v/>
      </c>
      <c r="P151" s="368" t="str">
        <f>IF(B151="","",VLOOKUP(B151,'E-1 Off-Site Hedge Baseline'!$B$10:W396,19,FALSE))</f>
        <v/>
      </c>
      <c r="Q151" s="362" t="str">
        <f>IF(M151="","",VLOOKUP(M151,'G-6 Hedgerow Data'!$B$2:$AG$15,2,FALSE))</f>
        <v/>
      </c>
      <c r="R151" s="363" t="str">
        <f>IF(M151="","",VLOOKUP(M151,'G-6 Hedgerow Data'!$B$2:$AG$15,3,FALSE))</f>
        <v/>
      </c>
      <c r="S151" s="114"/>
      <c r="T151" s="363" t="str">
        <f>IFERROR(IF(AND(Q151="V.Low",OR(S151="Good",S151="Moderate")),"Error ▲",VLOOKUP(S151,'G-1 All Habitats'!$Z$2:$AA$9,2,FALSE)),"")</f>
        <v/>
      </c>
      <c r="U151" s="114"/>
      <c r="V151" s="370" t="str">
        <f>IF(U151="","",IF(VLOOKUP(U151,'G-3 Multipliers'!$L$3:$N$6,2,FALSE)=0,"Spatial Data Missing ⚠",VLOOKUP(U151,'G-3 Multipliers'!$L$3:$N$6,2,FALSE)))</f>
        <v/>
      </c>
      <c r="W151" s="368" t="str">
        <f>IF(U151="","",IF(VLOOKUP(U151,'G-3 Multipliers'!$L$3:$N$6,3,FALSE)=0,"Spatial Data Missing ⚠",VLOOKUP(U151,'G-3 Multipliers'!$L$3:$N$6,3,FALSE)))</f>
        <v/>
      </c>
      <c r="X151" s="362" t="str">
        <f>IFERROR(IF(OR(LEFT(O151,5)="Error",LEFT(N151,5)="Error",T151="Error"),"Check Data ⚠",IF(F151&lt;R151,INDEX('G-6 Hedgerow Data'!$S$3:$AE$14,MATCH(C151,'G-6 Hedgerow Data'!$B$3:$B$14,0),MATCH(M151,'G-6 Hedgerow Data'!$S$2:$AE$2,0)),INDEX('G-6 Hedgerow Data'!$K$3:$Q$14,MATCH(M151,'G-6 Hedgerow Data'!$B$3:$B$14,0),MATCH(O151,'G-6 Hedgerow Data'!$K$2:$Q$2,0)))),"")</f>
        <v/>
      </c>
      <c r="Y151" s="159"/>
      <c r="Z151" s="159"/>
      <c r="AA151" s="370" t="str">
        <f t="shared" si="21"/>
        <v/>
      </c>
      <c r="AB151" s="383" t="str">
        <f t="shared" si="22"/>
        <v/>
      </c>
      <c r="AC151" s="384" t="str">
        <f t="shared" si="19"/>
        <v/>
      </c>
      <c r="AD151" s="398" t="str">
        <f>IF(M151="","",VLOOKUP(M151,'G-6 Hedgerow Data'!$B$3:$AG$15,31,FALSE))</f>
        <v/>
      </c>
      <c r="AE151" s="382" t="str">
        <f t="shared" si="23"/>
        <v/>
      </c>
      <c r="AF151" s="382" t="str">
        <f t="shared" si="24"/>
        <v/>
      </c>
      <c r="AG151" s="386" t="str">
        <f>IFERROR(IF(O151="","",VLOOKUP(AD151,'G-3 Multipliers'!$P$3:$Q$6,2,FALSE)),"")</f>
        <v/>
      </c>
      <c r="AH151" s="160"/>
      <c r="AI151" s="363" t="str">
        <f>IF(AH151="","",IF(VLOOKUP(AH151,'G-3 Multipliers'!$S$3:$T$10,2,FALSE)=0,"Spatial Data Missing ⚠",VLOOKUP(AH151,'G-3 Multipliers'!$S$3:$T$10,2,FALSE)))</f>
        <v/>
      </c>
      <c r="AJ151" s="405" t="str">
        <f t="shared" si="25"/>
        <v/>
      </c>
      <c r="AK151" s="376" t="str">
        <f t="shared" si="26"/>
        <v/>
      </c>
      <c r="AL151" s="117"/>
      <c r="AM151" s="118"/>
      <c r="AN151" s="120"/>
      <c r="AO151" s="120"/>
      <c r="AQ151" s="30" t="str">
        <f>IFERROR(INDEX('G-6 Hedgerow Data'!$BJ$3:$BJ$15,MATCH(M151,'G-6 Hedgerow Data'!$B$3:$B$15,0)),"")</f>
        <v/>
      </c>
    </row>
    <row r="152" spans="2:43" ht="15">
      <c r="B152" s="392" t="str">
        <f>'E-1 Off-Site Hedge Baseline'!AN150</f>
        <v/>
      </c>
      <c r="C152" s="382" t="str">
        <f>IF(B152="","",IF(ISNA(VLOOKUP($B152,'E-1 Off-Site Hedge Baseline'!$B$1:$L$257,3,FALSE)),"",(VLOOKUP($B152,'E-1 Off-Site Hedge Baseline'!$B$1:$L$257,3,FALSE))))</f>
        <v/>
      </c>
      <c r="D152" s="382" t="str">
        <f>IF(B152="","",IF(ISNA(VLOOKUP($B152,'E-1 Off-Site Hedge Baseline'!$B$1:$L$258,4,FALSE)),"",(VLOOKUP($B152,'E-1 Off-Site Hedge Baseline'!$B$1:$L$258,4,FALSE))))</f>
        <v/>
      </c>
      <c r="E152" s="382" t="str">
        <f>IF(B152="","",IF(ISNA(VLOOKUP($B152,'E-1 Off-Site Hedge Baseline'!$B$1:$L$257,5,FALSE)),"",(VLOOKUP($B152,'E-1 Off-Site Hedge Baseline'!$B$1:$L$257,5,FALSE))))</f>
        <v/>
      </c>
      <c r="F152" s="382" t="str">
        <f>IF(B152="","",IF(ISNA(VLOOKUP($B152,'E-1 Off-Site Hedge Baseline'!$B$1:$L$257,6,FALSE)),"",(VLOOKUP($B152,'E-1 Off-Site Hedge Baseline'!$B$1:$L$257,6,FALSE))))</f>
        <v/>
      </c>
      <c r="G152" s="382" t="str">
        <f>IF(B152="","",IF(ISNA(VLOOKUP($B152,'E-1 Off-Site Hedge Baseline'!$B$1:$L$257,7,FALSE)),"",(VLOOKUP($B152,'E-1 Off-Site Hedge Baseline'!$B$1:$L$257,7,FALSE))))</f>
        <v/>
      </c>
      <c r="H152" s="382" t="str">
        <f>IF(B152="","",IF(ISNA(VLOOKUP($B152,'E-1 Off-Site Hedge Baseline'!$B$1:$L$257,8,FALSE)),"",(VLOOKUP($B152,'E-1 Off-Site Hedge Baseline'!$B$1:$L$257,8,FALSE))))</f>
        <v/>
      </c>
      <c r="I152" s="382" t="str">
        <f>IF(B152="","",IF(ISNA(VLOOKUP($B152,'E-1 Off-Site Hedge Baseline'!$B$1:$L$257,10,FALSE)),"",(VLOOKUP($B152,'E-1 Off-Site Hedge Baseline'!$B$1:$L$257,10,FALSE))))</f>
        <v/>
      </c>
      <c r="J152" s="382" t="str">
        <f>IF(B152="","",IF(ISNA(VLOOKUP($B152,'E-1 Off-Site Hedge Baseline'!$B$1:$L$257,11,FALSE)),"",(VLOOKUP($B152,'E-1 Off-Site Hedge Baseline'!$B$1:$L$257,11,FALSE))))</f>
        <v/>
      </c>
      <c r="K152" s="382" t="str">
        <f>IF(B152="","",IF(ISNA(VLOOKUP($B152,'E-1 Off-Site Hedge Baseline'!$B$1:$X$257,113,FALSE)),"",(VLOOKUP($B152,'E-1 Off-Site Hedge Baseline'!$B$1:$X$257,13,FALSE))))</f>
        <v/>
      </c>
      <c r="L152" s="370" t="str">
        <f>IF(B152="","",IF(ISNA(VLOOKUP($B152,'E-1 Off-Site Hedge Baseline'!$B$1:$X$257,12,FALSE)),"",(VLOOKUP($B152,'E-1 Off-Site Hedge Baseline'!$B$1:$X$257,12,FALSE))))</f>
        <v/>
      </c>
      <c r="M152" s="316" t="str">
        <f t="shared" si="18"/>
        <v/>
      </c>
      <c r="N152" s="362" t="str">
        <f>IFERROR(IF(B152="","",INDEX('G-6 Hedgerow Data'!$AN$3:$AZ$15,MATCH(C152,'G-6 Hedgerow Data'!$AM$3:$AM$15,0),MATCH(M152,'G-6 Hedgerow Data'!$AN$2:$AZ$2,0))),"")</f>
        <v/>
      </c>
      <c r="O152" s="363" t="str">
        <f t="shared" si="20"/>
        <v/>
      </c>
      <c r="P152" s="368" t="str">
        <f>IF(B152="","",VLOOKUP(B152,'E-1 Off-Site Hedge Baseline'!$B$10:W397,19,FALSE))</f>
        <v/>
      </c>
      <c r="Q152" s="362" t="str">
        <f>IF(M152="","",VLOOKUP(M152,'G-6 Hedgerow Data'!$B$2:$AG$15,2,FALSE))</f>
        <v/>
      </c>
      <c r="R152" s="363" t="str">
        <f>IF(M152="","",VLOOKUP(M152,'G-6 Hedgerow Data'!$B$2:$AG$15,3,FALSE))</f>
        <v/>
      </c>
      <c r="S152" s="114"/>
      <c r="T152" s="363" t="str">
        <f>IFERROR(IF(AND(Q152="V.Low",OR(S152="Good",S152="Moderate")),"Error ▲",VLOOKUP(S152,'G-1 All Habitats'!$Z$2:$AA$9,2,FALSE)),"")</f>
        <v/>
      </c>
      <c r="U152" s="114"/>
      <c r="V152" s="370" t="str">
        <f>IF(U152="","",IF(VLOOKUP(U152,'G-3 Multipliers'!$L$3:$N$6,2,FALSE)=0,"Spatial Data Missing ⚠",VLOOKUP(U152,'G-3 Multipliers'!$L$3:$N$6,2,FALSE)))</f>
        <v/>
      </c>
      <c r="W152" s="368" t="str">
        <f>IF(U152="","",IF(VLOOKUP(U152,'G-3 Multipliers'!$L$3:$N$6,3,FALSE)=0,"Spatial Data Missing ⚠",VLOOKUP(U152,'G-3 Multipliers'!$L$3:$N$6,3,FALSE)))</f>
        <v/>
      </c>
      <c r="X152" s="362" t="str">
        <f>IFERROR(IF(OR(LEFT(O152,5)="Error",LEFT(N152,5)="Error",T152="Error"),"Check Data ⚠",IF(F152&lt;R152,INDEX('G-6 Hedgerow Data'!$S$3:$AE$14,MATCH(C152,'G-6 Hedgerow Data'!$B$3:$B$14,0),MATCH(M152,'G-6 Hedgerow Data'!$S$2:$AE$2,0)),INDEX('G-6 Hedgerow Data'!$K$3:$Q$14,MATCH(M152,'G-6 Hedgerow Data'!$B$3:$B$14,0),MATCH(O152,'G-6 Hedgerow Data'!$K$2:$Q$2,0)))),"")</f>
        <v/>
      </c>
      <c r="Y152" s="159"/>
      <c r="Z152" s="159"/>
      <c r="AA152" s="370" t="str">
        <f t="shared" si="21"/>
        <v/>
      </c>
      <c r="AB152" s="383" t="str">
        <f t="shared" si="22"/>
        <v/>
      </c>
      <c r="AC152" s="384" t="str">
        <f t="shared" si="19"/>
        <v/>
      </c>
      <c r="AD152" s="398" t="str">
        <f>IF(M152="","",VLOOKUP(M152,'G-6 Hedgerow Data'!$B$3:$AG$15,31,FALSE))</f>
        <v/>
      </c>
      <c r="AE152" s="382" t="str">
        <f t="shared" si="23"/>
        <v/>
      </c>
      <c r="AF152" s="382" t="str">
        <f t="shared" si="24"/>
        <v/>
      </c>
      <c r="AG152" s="386" t="str">
        <f>IFERROR(IF(O152="","",VLOOKUP(AD152,'G-3 Multipliers'!$P$3:$Q$6,2,FALSE)),"")</f>
        <v/>
      </c>
      <c r="AH152" s="160"/>
      <c r="AI152" s="363" t="str">
        <f>IF(AH152="","",IF(VLOOKUP(AH152,'G-3 Multipliers'!$S$3:$T$10,2,FALSE)=0,"Spatial Data Missing ⚠",VLOOKUP(AH152,'G-3 Multipliers'!$S$3:$T$10,2,FALSE)))</f>
        <v/>
      </c>
      <c r="AJ152" s="405" t="str">
        <f t="shared" si="25"/>
        <v/>
      </c>
      <c r="AK152" s="376" t="str">
        <f t="shared" si="26"/>
        <v/>
      </c>
      <c r="AL152" s="117"/>
      <c r="AM152" s="118"/>
      <c r="AN152" s="120"/>
      <c r="AO152" s="120"/>
      <c r="AQ152" s="30" t="str">
        <f>IFERROR(INDEX('G-6 Hedgerow Data'!$BJ$3:$BJ$15,MATCH(M152,'G-6 Hedgerow Data'!$B$3:$B$15,0)),"")</f>
        <v/>
      </c>
    </row>
    <row r="153" spans="2:43" ht="15">
      <c r="B153" s="392" t="str">
        <f>'E-1 Off-Site Hedge Baseline'!AN151</f>
        <v/>
      </c>
      <c r="C153" s="382" t="str">
        <f>IF(B153="","",IF(ISNA(VLOOKUP($B153,'E-1 Off-Site Hedge Baseline'!$B$1:$L$257,3,FALSE)),"",(VLOOKUP($B153,'E-1 Off-Site Hedge Baseline'!$B$1:$L$257,3,FALSE))))</f>
        <v/>
      </c>
      <c r="D153" s="382" t="str">
        <f>IF(B153="","",IF(ISNA(VLOOKUP($B153,'E-1 Off-Site Hedge Baseline'!$B$1:$L$258,4,FALSE)),"",(VLOOKUP($B153,'E-1 Off-Site Hedge Baseline'!$B$1:$L$258,4,FALSE))))</f>
        <v/>
      </c>
      <c r="E153" s="382" t="str">
        <f>IF(B153="","",IF(ISNA(VLOOKUP($B153,'E-1 Off-Site Hedge Baseline'!$B$1:$L$257,5,FALSE)),"",(VLOOKUP($B153,'E-1 Off-Site Hedge Baseline'!$B$1:$L$257,5,FALSE))))</f>
        <v/>
      </c>
      <c r="F153" s="382" t="str">
        <f>IF(B153="","",IF(ISNA(VLOOKUP($B153,'E-1 Off-Site Hedge Baseline'!$B$1:$L$257,6,FALSE)),"",(VLOOKUP($B153,'E-1 Off-Site Hedge Baseline'!$B$1:$L$257,6,FALSE))))</f>
        <v/>
      </c>
      <c r="G153" s="382" t="str">
        <f>IF(B153="","",IF(ISNA(VLOOKUP($B153,'E-1 Off-Site Hedge Baseline'!$B$1:$L$257,7,FALSE)),"",(VLOOKUP($B153,'E-1 Off-Site Hedge Baseline'!$B$1:$L$257,7,FALSE))))</f>
        <v/>
      </c>
      <c r="H153" s="382" t="str">
        <f>IF(B153="","",IF(ISNA(VLOOKUP($B153,'E-1 Off-Site Hedge Baseline'!$B$1:$L$257,8,FALSE)),"",(VLOOKUP($B153,'E-1 Off-Site Hedge Baseline'!$B$1:$L$257,8,FALSE))))</f>
        <v/>
      </c>
      <c r="I153" s="382" t="str">
        <f>IF(B153="","",IF(ISNA(VLOOKUP($B153,'E-1 Off-Site Hedge Baseline'!$B$1:$L$257,10,FALSE)),"",(VLOOKUP($B153,'E-1 Off-Site Hedge Baseline'!$B$1:$L$257,10,FALSE))))</f>
        <v/>
      </c>
      <c r="J153" s="382" t="str">
        <f>IF(B153="","",IF(ISNA(VLOOKUP($B153,'E-1 Off-Site Hedge Baseline'!$B$1:$L$257,11,FALSE)),"",(VLOOKUP($B153,'E-1 Off-Site Hedge Baseline'!$B$1:$L$257,11,FALSE))))</f>
        <v/>
      </c>
      <c r="K153" s="382" t="str">
        <f>IF(B153="","",IF(ISNA(VLOOKUP($B153,'E-1 Off-Site Hedge Baseline'!$B$1:$X$257,113,FALSE)),"",(VLOOKUP($B153,'E-1 Off-Site Hedge Baseline'!$B$1:$X$257,13,FALSE))))</f>
        <v/>
      </c>
      <c r="L153" s="370" t="str">
        <f>IF(B153="","",IF(ISNA(VLOOKUP($B153,'E-1 Off-Site Hedge Baseline'!$B$1:$X$257,12,FALSE)),"",(VLOOKUP($B153,'E-1 Off-Site Hedge Baseline'!$B$1:$X$257,12,FALSE))))</f>
        <v/>
      </c>
      <c r="M153" s="316" t="str">
        <f t="shared" si="18"/>
        <v/>
      </c>
      <c r="N153" s="362" t="str">
        <f>IFERROR(IF(B153="","",INDEX('G-6 Hedgerow Data'!$AN$3:$AZ$15,MATCH(C153,'G-6 Hedgerow Data'!$AM$3:$AM$15,0),MATCH(M153,'G-6 Hedgerow Data'!$AN$2:$AZ$2,0))),"")</f>
        <v/>
      </c>
      <c r="O153" s="363" t="str">
        <f t="shared" si="20"/>
        <v/>
      </c>
      <c r="P153" s="368" t="str">
        <f>IF(B153="","",VLOOKUP(B153,'E-1 Off-Site Hedge Baseline'!$B$10:W398,19,FALSE))</f>
        <v/>
      </c>
      <c r="Q153" s="362" t="str">
        <f>IF(M153="","",VLOOKUP(M153,'G-6 Hedgerow Data'!$B$2:$AG$15,2,FALSE))</f>
        <v/>
      </c>
      <c r="R153" s="363" t="str">
        <f>IF(M153="","",VLOOKUP(M153,'G-6 Hedgerow Data'!$B$2:$AG$15,3,FALSE))</f>
        <v/>
      </c>
      <c r="S153" s="114"/>
      <c r="T153" s="363" t="str">
        <f>IFERROR(IF(AND(Q153="V.Low",OR(S153="Good",S153="Moderate")),"Error ▲",VLOOKUP(S153,'G-1 All Habitats'!$Z$2:$AA$9,2,FALSE)),"")</f>
        <v/>
      </c>
      <c r="U153" s="114"/>
      <c r="V153" s="370" t="str">
        <f>IF(U153="","",IF(VLOOKUP(U153,'G-3 Multipliers'!$L$3:$N$6,2,FALSE)=0,"Spatial Data Missing ⚠",VLOOKUP(U153,'G-3 Multipliers'!$L$3:$N$6,2,FALSE)))</f>
        <v/>
      </c>
      <c r="W153" s="368" t="str">
        <f>IF(U153="","",IF(VLOOKUP(U153,'G-3 Multipliers'!$L$3:$N$6,3,FALSE)=0,"Spatial Data Missing ⚠",VLOOKUP(U153,'G-3 Multipliers'!$L$3:$N$6,3,FALSE)))</f>
        <v/>
      </c>
      <c r="X153" s="362" t="str">
        <f>IFERROR(IF(OR(LEFT(O153,5)="Error",LEFT(N153,5)="Error",T153="Error"),"Check Data ⚠",IF(F153&lt;R153,INDEX('G-6 Hedgerow Data'!$S$3:$AE$14,MATCH(C153,'G-6 Hedgerow Data'!$B$3:$B$14,0),MATCH(M153,'G-6 Hedgerow Data'!$S$2:$AE$2,0)),INDEX('G-6 Hedgerow Data'!$K$3:$Q$14,MATCH(M153,'G-6 Hedgerow Data'!$B$3:$B$14,0),MATCH(O153,'G-6 Hedgerow Data'!$K$2:$Q$2,0)))),"")</f>
        <v/>
      </c>
      <c r="Y153" s="159"/>
      <c r="Z153" s="159"/>
      <c r="AA153" s="370" t="str">
        <f t="shared" si="21"/>
        <v/>
      </c>
      <c r="AB153" s="383" t="str">
        <f t="shared" si="22"/>
        <v/>
      </c>
      <c r="AC153" s="384" t="str">
        <f t="shared" si="19"/>
        <v/>
      </c>
      <c r="AD153" s="398" t="str">
        <f>IF(M153="","",VLOOKUP(M153,'G-6 Hedgerow Data'!$B$3:$AG$15,31,FALSE))</f>
        <v/>
      </c>
      <c r="AE153" s="382" t="str">
        <f t="shared" si="23"/>
        <v/>
      </c>
      <c r="AF153" s="382" t="str">
        <f t="shared" si="24"/>
        <v/>
      </c>
      <c r="AG153" s="386" t="str">
        <f>IFERROR(IF(O153="","",VLOOKUP(AD153,'G-3 Multipliers'!$P$3:$Q$6,2,FALSE)),"")</f>
        <v/>
      </c>
      <c r="AH153" s="160"/>
      <c r="AI153" s="363" t="str">
        <f>IF(AH153="","",IF(VLOOKUP(AH153,'G-3 Multipliers'!$S$3:$T$10,2,FALSE)=0,"Spatial Data Missing ⚠",VLOOKUP(AH153,'G-3 Multipliers'!$S$3:$T$10,2,FALSE)))</f>
        <v/>
      </c>
      <c r="AJ153" s="405" t="str">
        <f t="shared" si="25"/>
        <v/>
      </c>
      <c r="AK153" s="376" t="str">
        <f t="shared" si="26"/>
        <v/>
      </c>
      <c r="AL153" s="117"/>
      <c r="AM153" s="118"/>
      <c r="AN153" s="120"/>
      <c r="AO153" s="120"/>
      <c r="AQ153" s="30" t="str">
        <f>IFERROR(INDEX('G-6 Hedgerow Data'!$BJ$3:$BJ$15,MATCH(M153,'G-6 Hedgerow Data'!$B$3:$B$15,0)),"")</f>
        <v/>
      </c>
    </row>
    <row r="154" spans="2:43" ht="15">
      <c r="B154" s="392" t="str">
        <f>'E-1 Off-Site Hedge Baseline'!AN152</f>
        <v/>
      </c>
      <c r="C154" s="382" t="str">
        <f>IF(B154="","",IF(ISNA(VLOOKUP($B154,'E-1 Off-Site Hedge Baseline'!$B$1:$L$257,3,FALSE)),"",(VLOOKUP($B154,'E-1 Off-Site Hedge Baseline'!$B$1:$L$257,3,FALSE))))</f>
        <v/>
      </c>
      <c r="D154" s="382" t="str">
        <f>IF(B154="","",IF(ISNA(VLOOKUP($B154,'E-1 Off-Site Hedge Baseline'!$B$1:$L$258,4,FALSE)),"",(VLOOKUP($B154,'E-1 Off-Site Hedge Baseline'!$B$1:$L$258,4,FALSE))))</f>
        <v/>
      </c>
      <c r="E154" s="382" t="str">
        <f>IF(B154="","",IF(ISNA(VLOOKUP($B154,'E-1 Off-Site Hedge Baseline'!$B$1:$L$257,5,FALSE)),"",(VLOOKUP($B154,'E-1 Off-Site Hedge Baseline'!$B$1:$L$257,5,FALSE))))</f>
        <v/>
      </c>
      <c r="F154" s="382" t="str">
        <f>IF(B154="","",IF(ISNA(VLOOKUP($B154,'E-1 Off-Site Hedge Baseline'!$B$1:$L$257,6,FALSE)),"",(VLOOKUP($B154,'E-1 Off-Site Hedge Baseline'!$B$1:$L$257,6,FALSE))))</f>
        <v/>
      </c>
      <c r="G154" s="382" t="str">
        <f>IF(B154="","",IF(ISNA(VLOOKUP($B154,'E-1 Off-Site Hedge Baseline'!$B$1:$L$257,7,FALSE)),"",(VLOOKUP($B154,'E-1 Off-Site Hedge Baseline'!$B$1:$L$257,7,FALSE))))</f>
        <v/>
      </c>
      <c r="H154" s="382" t="str">
        <f>IF(B154="","",IF(ISNA(VLOOKUP($B154,'E-1 Off-Site Hedge Baseline'!$B$1:$L$257,8,FALSE)),"",(VLOOKUP($B154,'E-1 Off-Site Hedge Baseline'!$B$1:$L$257,8,FALSE))))</f>
        <v/>
      </c>
      <c r="I154" s="382" t="str">
        <f>IF(B154="","",IF(ISNA(VLOOKUP($B154,'E-1 Off-Site Hedge Baseline'!$B$1:$L$257,10,FALSE)),"",(VLOOKUP($B154,'E-1 Off-Site Hedge Baseline'!$B$1:$L$257,10,FALSE))))</f>
        <v/>
      </c>
      <c r="J154" s="382" t="str">
        <f>IF(B154="","",IF(ISNA(VLOOKUP($B154,'E-1 Off-Site Hedge Baseline'!$B$1:$L$257,11,FALSE)),"",(VLOOKUP($B154,'E-1 Off-Site Hedge Baseline'!$B$1:$L$257,11,FALSE))))</f>
        <v/>
      </c>
      <c r="K154" s="382" t="str">
        <f>IF(B154="","",IF(ISNA(VLOOKUP($B154,'E-1 Off-Site Hedge Baseline'!$B$1:$X$257,113,FALSE)),"",(VLOOKUP($B154,'E-1 Off-Site Hedge Baseline'!$B$1:$X$257,13,FALSE))))</f>
        <v/>
      </c>
      <c r="L154" s="370" t="str">
        <f>IF(B154="","",IF(ISNA(VLOOKUP($B154,'E-1 Off-Site Hedge Baseline'!$B$1:$X$257,12,FALSE)),"",(VLOOKUP($B154,'E-1 Off-Site Hedge Baseline'!$B$1:$X$257,12,FALSE))))</f>
        <v/>
      </c>
      <c r="M154" s="316" t="str">
        <f t="shared" si="18"/>
        <v/>
      </c>
      <c r="N154" s="362" t="str">
        <f>IFERROR(IF(B154="","",INDEX('G-6 Hedgerow Data'!$AN$3:$AZ$15,MATCH(C154,'G-6 Hedgerow Data'!$AM$3:$AM$15,0),MATCH(M154,'G-6 Hedgerow Data'!$AN$2:$AZ$2,0))),"")</f>
        <v/>
      </c>
      <c r="O154" s="363" t="str">
        <f t="shared" si="20"/>
        <v/>
      </c>
      <c r="P154" s="368" t="str">
        <f>IF(B154="","",VLOOKUP(B154,'E-1 Off-Site Hedge Baseline'!$B$10:W399,19,FALSE))</f>
        <v/>
      </c>
      <c r="Q154" s="362" t="str">
        <f>IF(M154="","",VLOOKUP(M154,'G-6 Hedgerow Data'!$B$2:$AG$15,2,FALSE))</f>
        <v/>
      </c>
      <c r="R154" s="363" t="str">
        <f>IF(M154="","",VLOOKUP(M154,'G-6 Hedgerow Data'!$B$2:$AG$15,3,FALSE))</f>
        <v/>
      </c>
      <c r="S154" s="114"/>
      <c r="T154" s="363" t="str">
        <f>IFERROR(IF(AND(Q154="V.Low",OR(S154="Good",S154="Moderate")),"Error ▲",VLOOKUP(S154,'G-1 All Habitats'!$Z$2:$AA$9,2,FALSE)),"")</f>
        <v/>
      </c>
      <c r="U154" s="114"/>
      <c r="V154" s="370" t="str">
        <f>IF(U154="","",IF(VLOOKUP(U154,'G-3 Multipliers'!$L$3:$N$6,2,FALSE)=0,"Spatial Data Missing ⚠",VLOOKUP(U154,'G-3 Multipliers'!$L$3:$N$6,2,FALSE)))</f>
        <v/>
      </c>
      <c r="W154" s="368" t="str">
        <f>IF(U154="","",IF(VLOOKUP(U154,'G-3 Multipliers'!$L$3:$N$6,3,FALSE)=0,"Spatial Data Missing ⚠",VLOOKUP(U154,'G-3 Multipliers'!$L$3:$N$6,3,FALSE)))</f>
        <v/>
      </c>
      <c r="X154" s="362" t="str">
        <f>IFERROR(IF(OR(LEFT(O154,5)="Error",LEFT(N154,5)="Error",T154="Error"),"Check Data ⚠",IF(F154&lt;R154,INDEX('G-6 Hedgerow Data'!$S$3:$AE$14,MATCH(C154,'G-6 Hedgerow Data'!$B$3:$B$14,0),MATCH(M154,'G-6 Hedgerow Data'!$S$2:$AE$2,0)),INDEX('G-6 Hedgerow Data'!$K$3:$Q$14,MATCH(M154,'G-6 Hedgerow Data'!$B$3:$B$14,0),MATCH(O154,'G-6 Hedgerow Data'!$K$2:$Q$2,0)))),"")</f>
        <v/>
      </c>
      <c r="Y154" s="159"/>
      <c r="Z154" s="159"/>
      <c r="AA154" s="370" t="str">
        <f t="shared" si="21"/>
        <v/>
      </c>
      <c r="AB154" s="383" t="str">
        <f t="shared" si="22"/>
        <v/>
      </c>
      <c r="AC154" s="384" t="str">
        <f t="shared" si="19"/>
        <v/>
      </c>
      <c r="AD154" s="398" t="str">
        <f>IF(M154="","",VLOOKUP(M154,'G-6 Hedgerow Data'!$B$3:$AG$15,31,FALSE))</f>
        <v/>
      </c>
      <c r="AE154" s="382" t="str">
        <f t="shared" si="23"/>
        <v/>
      </c>
      <c r="AF154" s="382" t="str">
        <f t="shared" si="24"/>
        <v/>
      </c>
      <c r="AG154" s="386" t="str">
        <f>IFERROR(IF(O154="","",VLOOKUP(AD154,'G-3 Multipliers'!$P$3:$Q$6,2,FALSE)),"")</f>
        <v/>
      </c>
      <c r="AH154" s="160"/>
      <c r="AI154" s="363" t="str">
        <f>IF(AH154="","",IF(VLOOKUP(AH154,'G-3 Multipliers'!$S$3:$T$10,2,FALSE)=0,"Spatial Data Missing ⚠",VLOOKUP(AH154,'G-3 Multipliers'!$S$3:$T$10,2,FALSE)))</f>
        <v/>
      </c>
      <c r="AJ154" s="405" t="str">
        <f t="shared" si="25"/>
        <v/>
      </c>
      <c r="AK154" s="376" t="str">
        <f t="shared" si="26"/>
        <v/>
      </c>
      <c r="AL154" s="117"/>
      <c r="AM154" s="118"/>
      <c r="AN154" s="120"/>
      <c r="AO154" s="120"/>
      <c r="AQ154" s="30" t="str">
        <f>IFERROR(INDEX('G-6 Hedgerow Data'!$BJ$3:$BJ$15,MATCH(M154,'G-6 Hedgerow Data'!$B$3:$B$15,0)),"")</f>
        <v/>
      </c>
    </row>
    <row r="155" spans="2:43" ht="15">
      <c r="B155" s="392" t="str">
        <f>'E-1 Off-Site Hedge Baseline'!AN153</f>
        <v/>
      </c>
      <c r="C155" s="382" t="str">
        <f>IF(B155="","",IF(ISNA(VLOOKUP($B155,'E-1 Off-Site Hedge Baseline'!$B$1:$L$257,3,FALSE)),"",(VLOOKUP($B155,'E-1 Off-Site Hedge Baseline'!$B$1:$L$257,3,FALSE))))</f>
        <v/>
      </c>
      <c r="D155" s="382" t="str">
        <f>IF(B155="","",IF(ISNA(VLOOKUP($B155,'E-1 Off-Site Hedge Baseline'!$B$1:$L$258,4,FALSE)),"",(VLOOKUP($B155,'E-1 Off-Site Hedge Baseline'!$B$1:$L$258,4,FALSE))))</f>
        <v/>
      </c>
      <c r="E155" s="382" t="str">
        <f>IF(B155="","",IF(ISNA(VLOOKUP($B155,'E-1 Off-Site Hedge Baseline'!$B$1:$L$257,5,FALSE)),"",(VLOOKUP($B155,'E-1 Off-Site Hedge Baseline'!$B$1:$L$257,5,FALSE))))</f>
        <v/>
      </c>
      <c r="F155" s="382" t="str">
        <f>IF(B155="","",IF(ISNA(VLOOKUP($B155,'E-1 Off-Site Hedge Baseline'!$B$1:$L$257,6,FALSE)),"",(VLOOKUP($B155,'E-1 Off-Site Hedge Baseline'!$B$1:$L$257,6,FALSE))))</f>
        <v/>
      </c>
      <c r="G155" s="382" t="str">
        <f>IF(B155="","",IF(ISNA(VLOOKUP($B155,'E-1 Off-Site Hedge Baseline'!$B$1:$L$257,7,FALSE)),"",(VLOOKUP($B155,'E-1 Off-Site Hedge Baseline'!$B$1:$L$257,7,FALSE))))</f>
        <v/>
      </c>
      <c r="H155" s="382" t="str">
        <f>IF(B155="","",IF(ISNA(VLOOKUP($B155,'E-1 Off-Site Hedge Baseline'!$B$1:$L$257,8,FALSE)),"",(VLOOKUP($B155,'E-1 Off-Site Hedge Baseline'!$B$1:$L$257,8,FALSE))))</f>
        <v/>
      </c>
      <c r="I155" s="382" t="str">
        <f>IF(B155="","",IF(ISNA(VLOOKUP($B155,'E-1 Off-Site Hedge Baseline'!$B$1:$L$257,10,FALSE)),"",(VLOOKUP($B155,'E-1 Off-Site Hedge Baseline'!$B$1:$L$257,10,FALSE))))</f>
        <v/>
      </c>
      <c r="J155" s="382" t="str">
        <f>IF(B155="","",IF(ISNA(VLOOKUP($B155,'E-1 Off-Site Hedge Baseline'!$B$1:$L$257,11,FALSE)),"",(VLOOKUP($B155,'E-1 Off-Site Hedge Baseline'!$B$1:$L$257,11,FALSE))))</f>
        <v/>
      </c>
      <c r="K155" s="382" t="str">
        <f>IF(B155="","",IF(ISNA(VLOOKUP($B155,'E-1 Off-Site Hedge Baseline'!$B$1:$X$257,113,FALSE)),"",(VLOOKUP($B155,'E-1 Off-Site Hedge Baseline'!$B$1:$X$257,13,FALSE))))</f>
        <v/>
      </c>
      <c r="L155" s="370" t="str">
        <f>IF(B155="","",IF(ISNA(VLOOKUP($B155,'E-1 Off-Site Hedge Baseline'!$B$1:$X$257,12,FALSE)),"",(VLOOKUP($B155,'E-1 Off-Site Hedge Baseline'!$B$1:$X$257,12,FALSE))))</f>
        <v/>
      </c>
      <c r="M155" s="316" t="str">
        <f t="shared" si="18"/>
        <v/>
      </c>
      <c r="N155" s="362" t="str">
        <f>IFERROR(IF(B155="","",INDEX('G-6 Hedgerow Data'!$AN$3:$AZ$15,MATCH(C155,'G-6 Hedgerow Data'!$AM$3:$AM$15,0),MATCH(M155,'G-6 Hedgerow Data'!$AN$2:$AZ$2,0))),"")</f>
        <v/>
      </c>
      <c r="O155" s="363" t="str">
        <f t="shared" si="20"/>
        <v/>
      </c>
      <c r="P155" s="368" t="str">
        <f>IF(B155="","",VLOOKUP(B155,'E-1 Off-Site Hedge Baseline'!$B$10:W400,19,FALSE))</f>
        <v/>
      </c>
      <c r="Q155" s="362" t="str">
        <f>IF(M155="","",VLOOKUP(M155,'G-6 Hedgerow Data'!$B$2:$AG$15,2,FALSE))</f>
        <v/>
      </c>
      <c r="R155" s="363" t="str">
        <f>IF(M155="","",VLOOKUP(M155,'G-6 Hedgerow Data'!$B$2:$AG$15,3,FALSE))</f>
        <v/>
      </c>
      <c r="S155" s="114"/>
      <c r="T155" s="363" t="str">
        <f>IFERROR(IF(AND(Q155="V.Low",OR(S155="Good",S155="Moderate")),"Error ▲",VLOOKUP(S155,'G-1 All Habitats'!$Z$2:$AA$9,2,FALSE)),"")</f>
        <v/>
      </c>
      <c r="U155" s="114"/>
      <c r="V155" s="370" t="str">
        <f>IF(U155="","",IF(VLOOKUP(U155,'G-3 Multipliers'!$L$3:$N$6,2,FALSE)=0,"Spatial Data Missing ⚠",VLOOKUP(U155,'G-3 Multipliers'!$L$3:$N$6,2,FALSE)))</f>
        <v/>
      </c>
      <c r="W155" s="368" t="str">
        <f>IF(U155="","",IF(VLOOKUP(U155,'G-3 Multipliers'!$L$3:$N$6,3,FALSE)=0,"Spatial Data Missing ⚠",VLOOKUP(U155,'G-3 Multipliers'!$L$3:$N$6,3,FALSE)))</f>
        <v/>
      </c>
      <c r="X155" s="362" t="str">
        <f>IFERROR(IF(OR(LEFT(O155,5)="Error",LEFT(N155,5)="Error",T155="Error"),"Check Data ⚠",IF(F155&lt;R155,INDEX('G-6 Hedgerow Data'!$S$3:$AE$14,MATCH(C155,'G-6 Hedgerow Data'!$B$3:$B$14,0),MATCH(M155,'G-6 Hedgerow Data'!$S$2:$AE$2,0)),INDEX('G-6 Hedgerow Data'!$K$3:$Q$14,MATCH(M155,'G-6 Hedgerow Data'!$B$3:$B$14,0),MATCH(O155,'G-6 Hedgerow Data'!$K$2:$Q$2,0)))),"")</f>
        <v/>
      </c>
      <c r="Y155" s="159"/>
      <c r="Z155" s="159"/>
      <c r="AA155" s="370" t="str">
        <f t="shared" si="21"/>
        <v/>
      </c>
      <c r="AB155" s="383" t="str">
        <f t="shared" si="22"/>
        <v/>
      </c>
      <c r="AC155" s="384" t="str">
        <f t="shared" si="19"/>
        <v/>
      </c>
      <c r="AD155" s="398" t="str">
        <f>IF(M155="","",VLOOKUP(M155,'G-6 Hedgerow Data'!$B$3:$AG$15,31,FALSE))</f>
        <v/>
      </c>
      <c r="AE155" s="382" t="str">
        <f t="shared" si="23"/>
        <v/>
      </c>
      <c r="AF155" s="382" t="str">
        <f t="shared" si="24"/>
        <v/>
      </c>
      <c r="AG155" s="386" t="str">
        <f>IFERROR(IF(O155="","",VLOOKUP(AD155,'G-3 Multipliers'!$P$3:$Q$6,2,FALSE)),"")</f>
        <v/>
      </c>
      <c r="AH155" s="160"/>
      <c r="AI155" s="363" t="str">
        <f>IF(AH155="","",IF(VLOOKUP(AH155,'G-3 Multipliers'!$S$3:$T$10,2,FALSE)=0,"Spatial Data Missing ⚠",VLOOKUP(AH155,'G-3 Multipliers'!$S$3:$T$10,2,FALSE)))</f>
        <v/>
      </c>
      <c r="AJ155" s="405" t="str">
        <f t="shared" si="25"/>
        <v/>
      </c>
      <c r="AK155" s="376" t="str">
        <f t="shared" si="26"/>
        <v/>
      </c>
      <c r="AL155" s="117"/>
      <c r="AM155" s="118"/>
      <c r="AN155" s="120"/>
      <c r="AO155" s="120"/>
      <c r="AQ155" s="30" t="str">
        <f>IFERROR(INDEX('G-6 Hedgerow Data'!$BJ$3:$BJ$15,MATCH(M155,'G-6 Hedgerow Data'!$B$3:$B$15,0)),"")</f>
        <v/>
      </c>
    </row>
    <row r="156" spans="2:43" ht="15">
      <c r="B156" s="392" t="str">
        <f>'E-1 Off-Site Hedge Baseline'!AN154</f>
        <v/>
      </c>
      <c r="C156" s="382" t="str">
        <f>IF(B156="","",IF(ISNA(VLOOKUP($B156,'E-1 Off-Site Hedge Baseline'!$B$1:$L$257,3,FALSE)),"",(VLOOKUP($B156,'E-1 Off-Site Hedge Baseline'!$B$1:$L$257,3,FALSE))))</f>
        <v/>
      </c>
      <c r="D156" s="382" t="str">
        <f>IF(B156="","",IF(ISNA(VLOOKUP($B156,'E-1 Off-Site Hedge Baseline'!$B$1:$L$258,4,FALSE)),"",(VLOOKUP($B156,'E-1 Off-Site Hedge Baseline'!$B$1:$L$258,4,FALSE))))</f>
        <v/>
      </c>
      <c r="E156" s="382" t="str">
        <f>IF(B156="","",IF(ISNA(VLOOKUP($B156,'E-1 Off-Site Hedge Baseline'!$B$1:$L$257,5,FALSE)),"",(VLOOKUP($B156,'E-1 Off-Site Hedge Baseline'!$B$1:$L$257,5,FALSE))))</f>
        <v/>
      </c>
      <c r="F156" s="382" t="str">
        <f>IF(B156="","",IF(ISNA(VLOOKUP($B156,'E-1 Off-Site Hedge Baseline'!$B$1:$L$257,6,FALSE)),"",(VLOOKUP($B156,'E-1 Off-Site Hedge Baseline'!$B$1:$L$257,6,FALSE))))</f>
        <v/>
      </c>
      <c r="G156" s="382" t="str">
        <f>IF(B156="","",IF(ISNA(VLOOKUP($B156,'E-1 Off-Site Hedge Baseline'!$B$1:$L$257,7,FALSE)),"",(VLOOKUP($B156,'E-1 Off-Site Hedge Baseline'!$B$1:$L$257,7,FALSE))))</f>
        <v/>
      </c>
      <c r="H156" s="382" t="str">
        <f>IF(B156="","",IF(ISNA(VLOOKUP($B156,'E-1 Off-Site Hedge Baseline'!$B$1:$L$257,8,FALSE)),"",(VLOOKUP($B156,'E-1 Off-Site Hedge Baseline'!$B$1:$L$257,8,FALSE))))</f>
        <v/>
      </c>
      <c r="I156" s="382" t="str">
        <f>IF(B156="","",IF(ISNA(VLOOKUP($B156,'E-1 Off-Site Hedge Baseline'!$B$1:$L$257,10,FALSE)),"",(VLOOKUP($B156,'E-1 Off-Site Hedge Baseline'!$B$1:$L$257,10,FALSE))))</f>
        <v/>
      </c>
      <c r="J156" s="382" t="str">
        <f>IF(B156="","",IF(ISNA(VLOOKUP($B156,'E-1 Off-Site Hedge Baseline'!$B$1:$L$257,11,FALSE)),"",(VLOOKUP($B156,'E-1 Off-Site Hedge Baseline'!$B$1:$L$257,11,FALSE))))</f>
        <v/>
      </c>
      <c r="K156" s="382" t="str">
        <f>IF(B156="","",IF(ISNA(VLOOKUP($B156,'E-1 Off-Site Hedge Baseline'!$B$1:$X$257,113,FALSE)),"",(VLOOKUP($B156,'E-1 Off-Site Hedge Baseline'!$B$1:$X$257,13,FALSE))))</f>
        <v/>
      </c>
      <c r="L156" s="370" t="str">
        <f>IF(B156="","",IF(ISNA(VLOOKUP($B156,'E-1 Off-Site Hedge Baseline'!$B$1:$X$257,12,FALSE)),"",(VLOOKUP($B156,'E-1 Off-Site Hedge Baseline'!$B$1:$X$257,12,FALSE))))</f>
        <v/>
      </c>
      <c r="M156" s="316" t="str">
        <f t="shared" si="18"/>
        <v/>
      </c>
      <c r="N156" s="362" t="str">
        <f>IFERROR(IF(B156="","",INDEX('G-6 Hedgerow Data'!$AN$3:$AZ$15,MATCH(C156,'G-6 Hedgerow Data'!$AM$3:$AM$15,0),MATCH(M156,'G-6 Hedgerow Data'!$AN$2:$AZ$2,0))),"")</f>
        <v/>
      </c>
      <c r="O156" s="363" t="str">
        <f t="shared" si="20"/>
        <v/>
      </c>
      <c r="P156" s="368" t="str">
        <f>IF(B156="","",VLOOKUP(B156,'E-1 Off-Site Hedge Baseline'!$B$10:W401,19,FALSE))</f>
        <v/>
      </c>
      <c r="Q156" s="362" t="str">
        <f>IF(M156="","",VLOOKUP(M156,'G-6 Hedgerow Data'!$B$2:$AG$15,2,FALSE))</f>
        <v/>
      </c>
      <c r="R156" s="363" t="str">
        <f>IF(M156="","",VLOOKUP(M156,'G-6 Hedgerow Data'!$B$2:$AG$15,3,FALSE))</f>
        <v/>
      </c>
      <c r="S156" s="114"/>
      <c r="T156" s="363" t="str">
        <f>IFERROR(IF(AND(Q156="V.Low",OR(S156="Good",S156="Moderate")),"Error ▲",VLOOKUP(S156,'G-1 All Habitats'!$Z$2:$AA$9,2,FALSE)),"")</f>
        <v/>
      </c>
      <c r="U156" s="114"/>
      <c r="V156" s="370" t="str">
        <f>IF(U156="","",IF(VLOOKUP(U156,'G-3 Multipliers'!$L$3:$N$6,2,FALSE)=0,"Spatial Data Missing ⚠",VLOOKUP(U156,'G-3 Multipliers'!$L$3:$N$6,2,FALSE)))</f>
        <v/>
      </c>
      <c r="W156" s="368" t="str">
        <f>IF(U156="","",IF(VLOOKUP(U156,'G-3 Multipliers'!$L$3:$N$6,3,FALSE)=0,"Spatial Data Missing ⚠",VLOOKUP(U156,'G-3 Multipliers'!$L$3:$N$6,3,FALSE)))</f>
        <v/>
      </c>
      <c r="X156" s="362" t="str">
        <f>IFERROR(IF(OR(LEFT(O156,5)="Error",LEFT(N156,5)="Error",T156="Error"),"Check Data ⚠",IF(F156&lt;R156,INDEX('G-6 Hedgerow Data'!$S$3:$AE$14,MATCH(C156,'G-6 Hedgerow Data'!$B$3:$B$14,0),MATCH(M156,'G-6 Hedgerow Data'!$S$2:$AE$2,0)),INDEX('G-6 Hedgerow Data'!$K$3:$Q$14,MATCH(M156,'G-6 Hedgerow Data'!$B$3:$B$14,0),MATCH(O156,'G-6 Hedgerow Data'!$K$2:$Q$2,0)))),"")</f>
        <v/>
      </c>
      <c r="Y156" s="159"/>
      <c r="Z156" s="159"/>
      <c r="AA156" s="370" t="str">
        <f t="shared" si="21"/>
        <v/>
      </c>
      <c r="AB156" s="383" t="str">
        <f t="shared" si="22"/>
        <v/>
      </c>
      <c r="AC156" s="384" t="str">
        <f t="shared" si="19"/>
        <v/>
      </c>
      <c r="AD156" s="398" t="str">
        <f>IF(M156="","",VLOOKUP(M156,'G-6 Hedgerow Data'!$B$3:$AG$15,31,FALSE))</f>
        <v/>
      </c>
      <c r="AE156" s="382" t="str">
        <f t="shared" si="23"/>
        <v/>
      </c>
      <c r="AF156" s="382" t="str">
        <f t="shared" si="24"/>
        <v/>
      </c>
      <c r="AG156" s="386" t="str">
        <f>IFERROR(IF(O156="","",VLOOKUP(AD156,'G-3 Multipliers'!$P$3:$Q$6,2,FALSE)),"")</f>
        <v/>
      </c>
      <c r="AH156" s="160"/>
      <c r="AI156" s="363" t="str">
        <f>IF(AH156="","",IF(VLOOKUP(AH156,'G-3 Multipliers'!$S$3:$T$10,2,FALSE)=0,"Spatial Data Missing ⚠",VLOOKUP(AH156,'G-3 Multipliers'!$S$3:$T$10,2,FALSE)))</f>
        <v/>
      </c>
      <c r="AJ156" s="405" t="str">
        <f t="shared" si="25"/>
        <v/>
      </c>
      <c r="AK156" s="376" t="str">
        <f t="shared" si="26"/>
        <v/>
      </c>
      <c r="AL156" s="117"/>
      <c r="AM156" s="118"/>
      <c r="AN156" s="120"/>
      <c r="AO156" s="120"/>
      <c r="AQ156" s="30" t="str">
        <f>IFERROR(INDEX('G-6 Hedgerow Data'!$BJ$3:$BJ$15,MATCH(M156,'G-6 Hedgerow Data'!$B$3:$B$15,0)),"")</f>
        <v/>
      </c>
    </row>
    <row r="157" spans="2:43" ht="15">
      <c r="B157" s="392" t="str">
        <f>'E-1 Off-Site Hedge Baseline'!AN155</f>
        <v/>
      </c>
      <c r="C157" s="382" t="str">
        <f>IF(B157="","",IF(ISNA(VLOOKUP($B157,'E-1 Off-Site Hedge Baseline'!$B$1:$L$257,3,FALSE)),"",(VLOOKUP($B157,'E-1 Off-Site Hedge Baseline'!$B$1:$L$257,3,FALSE))))</f>
        <v/>
      </c>
      <c r="D157" s="382" t="str">
        <f>IF(B157="","",IF(ISNA(VLOOKUP($B157,'E-1 Off-Site Hedge Baseline'!$B$1:$L$258,4,FALSE)),"",(VLOOKUP($B157,'E-1 Off-Site Hedge Baseline'!$B$1:$L$258,4,FALSE))))</f>
        <v/>
      </c>
      <c r="E157" s="382" t="str">
        <f>IF(B157="","",IF(ISNA(VLOOKUP($B157,'E-1 Off-Site Hedge Baseline'!$B$1:$L$257,5,FALSE)),"",(VLOOKUP($B157,'E-1 Off-Site Hedge Baseline'!$B$1:$L$257,5,FALSE))))</f>
        <v/>
      </c>
      <c r="F157" s="382" t="str">
        <f>IF(B157="","",IF(ISNA(VLOOKUP($B157,'E-1 Off-Site Hedge Baseline'!$B$1:$L$257,6,FALSE)),"",(VLOOKUP($B157,'E-1 Off-Site Hedge Baseline'!$B$1:$L$257,6,FALSE))))</f>
        <v/>
      </c>
      <c r="G157" s="382" t="str">
        <f>IF(B157="","",IF(ISNA(VLOOKUP($B157,'E-1 Off-Site Hedge Baseline'!$B$1:$L$257,7,FALSE)),"",(VLOOKUP($B157,'E-1 Off-Site Hedge Baseline'!$B$1:$L$257,7,FALSE))))</f>
        <v/>
      </c>
      <c r="H157" s="382" t="str">
        <f>IF(B157="","",IF(ISNA(VLOOKUP($B157,'E-1 Off-Site Hedge Baseline'!$B$1:$L$257,8,FALSE)),"",(VLOOKUP($B157,'E-1 Off-Site Hedge Baseline'!$B$1:$L$257,8,FALSE))))</f>
        <v/>
      </c>
      <c r="I157" s="382" t="str">
        <f>IF(B157="","",IF(ISNA(VLOOKUP($B157,'E-1 Off-Site Hedge Baseline'!$B$1:$L$257,10,FALSE)),"",(VLOOKUP($B157,'E-1 Off-Site Hedge Baseline'!$B$1:$L$257,10,FALSE))))</f>
        <v/>
      </c>
      <c r="J157" s="382" t="str">
        <f>IF(B157="","",IF(ISNA(VLOOKUP($B157,'E-1 Off-Site Hedge Baseline'!$B$1:$L$257,11,FALSE)),"",(VLOOKUP($B157,'E-1 Off-Site Hedge Baseline'!$B$1:$L$257,11,FALSE))))</f>
        <v/>
      </c>
      <c r="K157" s="382" t="str">
        <f>IF(B157="","",IF(ISNA(VLOOKUP($B157,'E-1 Off-Site Hedge Baseline'!$B$1:$X$257,113,FALSE)),"",(VLOOKUP($B157,'E-1 Off-Site Hedge Baseline'!$B$1:$X$257,13,FALSE))))</f>
        <v/>
      </c>
      <c r="L157" s="370" t="str">
        <f>IF(B157="","",IF(ISNA(VLOOKUP($B157,'E-1 Off-Site Hedge Baseline'!$B$1:$X$257,12,FALSE)),"",(VLOOKUP($B157,'E-1 Off-Site Hedge Baseline'!$B$1:$X$257,12,FALSE))))</f>
        <v/>
      </c>
      <c r="M157" s="316" t="str">
        <f t="shared" si="18"/>
        <v/>
      </c>
      <c r="N157" s="362" t="str">
        <f>IFERROR(IF(B157="","",INDEX('G-6 Hedgerow Data'!$AN$3:$AZ$15,MATCH(C157,'G-6 Hedgerow Data'!$AM$3:$AM$15,0),MATCH(M157,'G-6 Hedgerow Data'!$AN$2:$AZ$2,0))),"")</f>
        <v/>
      </c>
      <c r="O157" s="363" t="str">
        <f t="shared" si="20"/>
        <v/>
      </c>
      <c r="P157" s="368" t="str">
        <f>IF(B157="","",VLOOKUP(B157,'E-1 Off-Site Hedge Baseline'!$B$10:W402,19,FALSE))</f>
        <v/>
      </c>
      <c r="Q157" s="362" t="str">
        <f>IF(M157="","",VLOOKUP(M157,'G-6 Hedgerow Data'!$B$2:$AG$15,2,FALSE))</f>
        <v/>
      </c>
      <c r="R157" s="363" t="str">
        <f>IF(M157="","",VLOOKUP(M157,'G-6 Hedgerow Data'!$B$2:$AG$15,3,FALSE))</f>
        <v/>
      </c>
      <c r="S157" s="114"/>
      <c r="T157" s="363" t="str">
        <f>IFERROR(IF(AND(Q157="V.Low",OR(S157="Good",S157="Moderate")),"Error ▲",VLOOKUP(S157,'G-1 All Habitats'!$Z$2:$AA$9,2,FALSE)),"")</f>
        <v/>
      </c>
      <c r="U157" s="114"/>
      <c r="V157" s="370" t="str">
        <f>IF(U157="","",IF(VLOOKUP(U157,'G-3 Multipliers'!$L$3:$N$6,2,FALSE)=0,"Spatial Data Missing ⚠",VLOOKUP(U157,'G-3 Multipliers'!$L$3:$N$6,2,FALSE)))</f>
        <v/>
      </c>
      <c r="W157" s="368" t="str">
        <f>IF(U157="","",IF(VLOOKUP(U157,'G-3 Multipliers'!$L$3:$N$6,3,FALSE)=0,"Spatial Data Missing ⚠",VLOOKUP(U157,'G-3 Multipliers'!$L$3:$N$6,3,FALSE)))</f>
        <v/>
      </c>
      <c r="X157" s="362" t="str">
        <f>IFERROR(IF(OR(LEFT(O157,5)="Error",LEFT(N157,5)="Error",T157="Error"),"Check Data ⚠",IF(F157&lt;R157,INDEX('G-6 Hedgerow Data'!$S$3:$AE$14,MATCH(C157,'G-6 Hedgerow Data'!$B$3:$B$14,0),MATCH(M157,'G-6 Hedgerow Data'!$S$2:$AE$2,0)),INDEX('G-6 Hedgerow Data'!$K$3:$Q$14,MATCH(M157,'G-6 Hedgerow Data'!$B$3:$B$14,0),MATCH(O157,'G-6 Hedgerow Data'!$K$2:$Q$2,0)))),"")</f>
        <v/>
      </c>
      <c r="Y157" s="159"/>
      <c r="Z157" s="159"/>
      <c r="AA157" s="370" t="str">
        <f t="shared" si="21"/>
        <v/>
      </c>
      <c r="AB157" s="383" t="str">
        <f t="shared" si="22"/>
        <v/>
      </c>
      <c r="AC157" s="384" t="str">
        <f t="shared" si="19"/>
        <v/>
      </c>
      <c r="AD157" s="398" t="str">
        <f>IF(M157="","",VLOOKUP(M157,'G-6 Hedgerow Data'!$B$3:$AG$15,31,FALSE))</f>
        <v/>
      </c>
      <c r="AE157" s="382" t="str">
        <f t="shared" si="23"/>
        <v/>
      </c>
      <c r="AF157" s="382" t="str">
        <f t="shared" si="24"/>
        <v/>
      </c>
      <c r="AG157" s="386" t="str">
        <f>IFERROR(IF(O157="","",VLOOKUP(AD157,'G-3 Multipliers'!$P$3:$Q$6,2,FALSE)),"")</f>
        <v/>
      </c>
      <c r="AH157" s="160"/>
      <c r="AI157" s="363" t="str">
        <f>IF(AH157="","",IF(VLOOKUP(AH157,'G-3 Multipliers'!$S$3:$T$10,2,FALSE)=0,"Spatial Data Missing ⚠",VLOOKUP(AH157,'G-3 Multipliers'!$S$3:$T$10,2,FALSE)))</f>
        <v/>
      </c>
      <c r="AJ157" s="405" t="str">
        <f t="shared" si="25"/>
        <v/>
      </c>
      <c r="AK157" s="376" t="str">
        <f t="shared" si="26"/>
        <v/>
      </c>
      <c r="AL157" s="117"/>
      <c r="AM157" s="118"/>
      <c r="AN157" s="120"/>
      <c r="AO157" s="120"/>
      <c r="AQ157" s="30" t="str">
        <f>IFERROR(INDEX('G-6 Hedgerow Data'!$BJ$3:$BJ$15,MATCH(M157,'G-6 Hedgerow Data'!$B$3:$B$15,0)),"")</f>
        <v/>
      </c>
    </row>
    <row r="158" spans="2:43" ht="15">
      <c r="B158" s="392" t="str">
        <f>'E-1 Off-Site Hedge Baseline'!AN156</f>
        <v/>
      </c>
      <c r="C158" s="382" t="str">
        <f>IF(B158="","",IF(ISNA(VLOOKUP($B158,'E-1 Off-Site Hedge Baseline'!$B$1:$L$257,3,FALSE)),"",(VLOOKUP($B158,'E-1 Off-Site Hedge Baseline'!$B$1:$L$257,3,FALSE))))</f>
        <v/>
      </c>
      <c r="D158" s="382" t="str">
        <f>IF(B158="","",IF(ISNA(VLOOKUP($B158,'E-1 Off-Site Hedge Baseline'!$B$1:$L$258,4,FALSE)),"",(VLOOKUP($B158,'E-1 Off-Site Hedge Baseline'!$B$1:$L$258,4,FALSE))))</f>
        <v/>
      </c>
      <c r="E158" s="382" t="str">
        <f>IF(B158="","",IF(ISNA(VLOOKUP($B158,'E-1 Off-Site Hedge Baseline'!$B$1:$L$257,5,FALSE)),"",(VLOOKUP($B158,'E-1 Off-Site Hedge Baseline'!$B$1:$L$257,5,FALSE))))</f>
        <v/>
      </c>
      <c r="F158" s="382" t="str">
        <f>IF(B158="","",IF(ISNA(VLOOKUP($B158,'E-1 Off-Site Hedge Baseline'!$B$1:$L$257,6,FALSE)),"",(VLOOKUP($B158,'E-1 Off-Site Hedge Baseline'!$B$1:$L$257,6,FALSE))))</f>
        <v/>
      </c>
      <c r="G158" s="382" t="str">
        <f>IF(B158="","",IF(ISNA(VLOOKUP($B158,'E-1 Off-Site Hedge Baseline'!$B$1:$L$257,7,FALSE)),"",(VLOOKUP($B158,'E-1 Off-Site Hedge Baseline'!$B$1:$L$257,7,FALSE))))</f>
        <v/>
      </c>
      <c r="H158" s="382" t="str">
        <f>IF(B158="","",IF(ISNA(VLOOKUP($B158,'E-1 Off-Site Hedge Baseline'!$B$1:$L$257,8,FALSE)),"",(VLOOKUP($B158,'E-1 Off-Site Hedge Baseline'!$B$1:$L$257,8,FALSE))))</f>
        <v/>
      </c>
      <c r="I158" s="382" t="str">
        <f>IF(B158="","",IF(ISNA(VLOOKUP($B158,'E-1 Off-Site Hedge Baseline'!$B$1:$L$257,10,FALSE)),"",(VLOOKUP($B158,'E-1 Off-Site Hedge Baseline'!$B$1:$L$257,10,FALSE))))</f>
        <v/>
      </c>
      <c r="J158" s="382" t="str">
        <f>IF(B158="","",IF(ISNA(VLOOKUP($B158,'E-1 Off-Site Hedge Baseline'!$B$1:$L$257,11,FALSE)),"",(VLOOKUP($B158,'E-1 Off-Site Hedge Baseline'!$B$1:$L$257,11,FALSE))))</f>
        <v/>
      </c>
      <c r="K158" s="382" t="str">
        <f>IF(B158="","",IF(ISNA(VLOOKUP($B158,'E-1 Off-Site Hedge Baseline'!$B$1:$X$257,113,FALSE)),"",(VLOOKUP($B158,'E-1 Off-Site Hedge Baseline'!$B$1:$X$257,13,FALSE))))</f>
        <v/>
      </c>
      <c r="L158" s="370" t="str">
        <f>IF(B158="","",IF(ISNA(VLOOKUP($B158,'E-1 Off-Site Hedge Baseline'!$B$1:$X$257,12,FALSE)),"",(VLOOKUP($B158,'E-1 Off-Site Hedge Baseline'!$B$1:$X$257,12,FALSE))))</f>
        <v/>
      </c>
      <c r="M158" s="316" t="str">
        <f t="shared" si="18"/>
        <v/>
      </c>
      <c r="N158" s="362" t="str">
        <f>IFERROR(IF(B158="","",INDEX('G-6 Hedgerow Data'!$AN$3:$AZ$15,MATCH(C158,'G-6 Hedgerow Data'!$AM$3:$AM$15,0),MATCH(M158,'G-6 Hedgerow Data'!$AN$2:$AZ$2,0))),"")</f>
        <v/>
      </c>
      <c r="O158" s="363" t="str">
        <f t="shared" si="20"/>
        <v/>
      </c>
      <c r="P158" s="368" t="str">
        <f>IF(B158="","",VLOOKUP(B158,'E-1 Off-Site Hedge Baseline'!$B$10:W403,19,FALSE))</f>
        <v/>
      </c>
      <c r="Q158" s="362" t="str">
        <f>IF(M158="","",VLOOKUP(M158,'G-6 Hedgerow Data'!$B$2:$AG$15,2,FALSE))</f>
        <v/>
      </c>
      <c r="R158" s="363" t="str">
        <f>IF(M158="","",VLOOKUP(M158,'G-6 Hedgerow Data'!$B$2:$AG$15,3,FALSE))</f>
        <v/>
      </c>
      <c r="S158" s="114"/>
      <c r="T158" s="363" t="str">
        <f>IFERROR(IF(AND(Q158="V.Low",OR(S158="Good",S158="Moderate")),"Error ▲",VLOOKUP(S158,'G-1 All Habitats'!$Z$2:$AA$9,2,FALSE)),"")</f>
        <v/>
      </c>
      <c r="U158" s="114"/>
      <c r="V158" s="370" t="str">
        <f>IF(U158="","",IF(VLOOKUP(U158,'G-3 Multipliers'!$L$3:$N$6,2,FALSE)=0,"Spatial Data Missing ⚠",VLOOKUP(U158,'G-3 Multipliers'!$L$3:$N$6,2,FALSE)))</f>
        <v/>
      </c>
      <c r="W158" s="368" t="str">
        <f>IF(U158="","",IF(VLOOKUP(U158,'G-3 Multipliers'!$L$3:$N$6,3,FALSE)=0,"Spatial Data Missing ⚠",VLOOKUP(U158,'G-3 Multipliers'!$L$3:$N$6,3,FALSE)))</f>
        <v/>
      </c>
      <c r="X158" s="362" t="str">
        <f>IFERROR(IF(OR(LEFT(O158,5)="Error",LEFT(N158,5)="Error",T158="Error"),"Check Data ⚠",IF(F158&lt;R158,INDEX('G-6 Hedgerow Data'!$S$3:$AE$14,MATCH(C158,'G-6 Hedgerow Data'!$B$3:$B$14,0),MATCH(M158,'G-6 Hedgerow Data'!$S$2:$AE$2,0)),INDEX('G-6 Hedgerow Data'!$K$3:$Q$14,MATCH(M158,'G-6 Hedgerow Data'!$B$3:$B$14,0),MATCH(O158,'G-6 Hedgerow Data'!$K$2:$Q$2,0)))),"")</f>
        <v/>
      </c>
      <c r="Y158" s="159"/>
      <c r="Z158" s="159"/>
      <c r="AA158" s="370" t="str">
        <f t="shared" si="21"/>
        <v/>
      </c>
      <c r="AB158" s="383" t="str">
        <f t="shared" si="22"/>
        <v/>
      </c>
      <c r="AC158" s="384" t="str">
        <f t="shared" si="19"/>
        <v/>
      </c>
      <c r="AD158" s="398" t="str">
        <f>IF(M158="","",VLOOKUP(M158,'G-6 Hedgerow Data'!$B$3:$AG$15,31,FALSE))</f>
        <v/>
      </c>
      <c r="AE158" s="382" t="str">
        <f t="shared" si="23"/>
        <v/>
      </c>
      <c r="AF158" s="382" t="str">
        <f t="shared" si="24"/>
        <v/>
      </c>
      <c r="AG158" s="386" t="str">
        <f>IFERROR(IF(O158="","",VLOOKUP(AD158,'G-3 Multipliers'!$P$3:$Q$6,2,FALSE)),"")</f>
        <v/>
      </c>
      <c r="AH158" s="160"/>
      <c r="AI158" s="363" t="str">
        <f>IF(AH158="","",IF(VLOOKUP(AH158,'G-3 Multipliers'!$S$3:$T$10,2,FALSE)=0,"Spatial Data Missing ⚠",VLOOKUP(AH158,'G-3 Multipliers'!$S$3:$T$10,2,FALSE)))</f>
        <v/>
      </c>
      <c r="AJ158" s="405" t="str">
        <f t="shared" si="25"/>
        <v/>
      </c>
      <c r="AK158" s="376" t="str">
        <f t="shared" si="26"/>
        <v/>
      </c>
      <c r="AL158" s="117"/>
      <c r="AM158" s="118"/>
      <c r="AN158" s="120"/>
      <c r="AO158" s="120"/>
      <c r="AQ158" s="30" t="str">
        <f>IFERROR(INDEX('G-6 Hedgerow Data'!$BJ$3:$BJ$15,MATCH(M158,'G-6 Hedgerow Data'!$B$3:$B$15,0)),"")</f>
        <v/>
      </c>
    </row>
    <row r="159" spans="2:43" ht="15">
      <c r="B159" s="392" t="str">
        <f>'E-1 Off-Site Hedge Baseline'!AN157</f>
        <v/>
      </c>
      <c r="C159" s="382" t="str">
        <f>IF(B159="","",IF(ISNA(VLOOKUP($B159,'E-1 Off-Site Hedge Baseline'!$B$1:$L$257,3,FALSE)),"",(VLOOKUP($B159,'E-1 Off-Site Hedge Baseline'!$B$1:$L$257,3,FALSE))))</f>
        <v/>
      </c>
      <c r="D159" s="382" t="str">
        <f>IF(B159="","",IF(ISNA(VLOOKUP($B159,'E-1 Off-Site Hedge Baseline'!$B$1:$L$258,4,FALSE)),"",(VLOOKUP($B159,'E-1 Off-Site Hedge Baseline'!$B$1:$L$258,4,FALSE))))</f>
        <v/>
      </c>
      <c r="E159" s="382" t="str">
        <f>IF(B159="","",IF(ISNA(VLOOKUP($B159,'E-1 Off-Site Hedge Baseline'!$B$1:$L$257,5,FALSE)),"",(VLOOKUP($B159,'E-1 Off-Site Hedge Baseline'!$B$1:$L$257,5,FALSE))))</f>
        <v/>
      </c>
      <c r="F159" s="382" t="str">
        <f>IF(B159="","",IF(ISNA(VLOOKUP($B159,'E-1 Off-Site Hedge Baseline'!$B$1:$L$257,6,FALSE)),"",(VLOOKUP($B159,'E-1 Off-Site Hedge Baseline'!$B$1:$L$257,6,FALSE))))</f>
        <v/>
      </c>
      <c r="G159" s="382" t="str">
        <f>IF(B159="","",IF(ISNA(VLOOKUP($B159,'E-1 Off-Site Hedge Baseline'!$B$1:$L$257,7,FALSE)),"",(VLOOKUP($B159,'E-1 Off-Site Hedge Baseline'!$B$1:$L$257,7,FALSE))))</f>
        <v/>
      </c>
      <c r="H159" s="382" t="str">
        <f>IF(B159="","",IF(ISNA(VLOOKUP($B159,'E-1 Off-Site Hedge Baseline'!$B$1:$L$257,8,FALSE)),"",(VLOOKUP($B159,'E-1 Off-Site Hedge Baseline'!$B$1:$L$257,8,FALSE))))</f>
        <v/>
      </c>
      <c r="I159" s="382" t="str">
        <f>IF(B159="","",IF(ISNA(VLOOKUP($B159,'E-1 Off-Site Hedge Baseline'!$B$1:$L$257,10,FALSE)),"",(VLOOKUP($B159,'E-1 Off-Site Hedge Baseline'!$B$1:$L$257,10,FALSE))))</f>
        <v/>
      </c>
      <c r="J159" s="382" t="str">
        <f>IF(B159="","",IF(ISNA(VLOOKUP($B159,'E-1 Off-Site Hedge Baseline'!$B$1:$L$257,11,FALSE)),"",(VLOOKUP($B159,'E-1 Off-Site Hedge Baseline'!$B$1:$L$257,11,FALSE))))</f>
        <v/>
      </c>
      <c r="K159" s="382" t="str">
        <f>IF(B159="","",IF(ISNA(VLOOKUP($B159,'E-1 Off-Site Hedge Baseline'!$B$1:$X$257,113,FALSE)),"",(VLOOKUP($B159,'E-1 Off-Site Hedge Baseline'!$B$1:$X$257,13,FALSE))))</f>
        <v/>
      </c>
      <c r="L159" s="370" t="str">
        <f>IF(B159="","",IF(ISNA(VLOOKUP($B159,'E-1 Off-Site Hedge Baseline'!$B$1:$X$257,12,FALSE)),"",(VLOOKUP($B159,'E-1 Off-Site Hedge Baseline'!$B$1:$X$257,12,FALSE))))</f>
        <v/>
      </c>
      <c r="M159" s="316" t="str">
        <f t="shared" si="18"/>
        <v/>
      </c>
      <c r="N159" s="362" t="str">
        <f>IFERROR(IF(B159="","",INDEX('G-6 Hedgerow Data'!$AN$3:$AZ$15,MATCH(C159,'G-6 Hedgerow Data'!$AM$3:$AM$15,0),MATCH(M159,'G-6 Hedgerow Data'!$AN$2:$AZ$2,0))),"")</f>
        <v/>
      </c>
      <c r="O159" s="363" t="str">
        <f t="shared" si="20"/>
        <v/>
      </c>
      <c r="P159" s="368" t="str">
        <f>IF(B159="","",VLOOKUP(B159,'E-1 Off-Site Hedge Baseline'!$B$10:W404,19,FALSE))</f>
        <v/>
      </c>
      <c r="Q159" s="362" t="str">
        <f>IF(M159="","",VLOOKUP(M159,'G-6 Hedgerow Data'!$B$2:$AG$15,2,FALSE))</f>
        <v/>
      </c>
      <c r="R159" s="363" t="str">
        <f>IF(M159="","",VLOOKUP(M159,'G-6 Hedgerow Data'!$B$2:$AG$15,3,FALSE))</f>
        <v/>
      </c>
      <c r="S159" s="114"/>
      <c r="T159" s="363" t="str">
        <f>IFERROR(IF(AND(Q159="V.Low",OR(S159="Good",S159="Moderate")),"Error ▲",VLOOKUP(S159,'G-1 All Habitats'!$Z$2:$AA$9,2,FALSE)),"")</f>
        <v/>
      </c>
      <c r="U159" s="114"/>
      <c r="V159" s="370" t="str">
        <f>IF(U159="","",IF(VLOOKUP(U159,'G-3 Multipliers'!$L$3:$N$6,2,FALSE)=0,"Spatial Data Missing ⚠",VLOOKUP(U159,'G-3 Multipliers'!$L$3:$N$6,2,FALSE)))</f>
        <v/>
      </c>
      <c r="W159" s="368" t="str">
        <f>IF(U159="","",IF(VLOOKUP(U159,'G-3 Multipliers'!$L$3:$N$6,3,FALSE)=0,"Spatial Data Missing ⚠",VLOOKUP(U159,'G-3 Multipliers'!$L$3:$N$6,3,FALSE)))</f>
        <v/>
      </c>
      <c r="X159" s="362" t="str">
        <f>IFERROR(IF(OR(LEFT(O159,5)="Error",LEFT(N159,5)="Error",T159="Error"),"Check Data ⚠",IF(F159&lt;R159,INDEX('G-6 Hedgerow Data'!$S$3:$AE$14,MATCH(C159,'G-6 Hedgerow Data'!$B$3:$B$14,0),MATCH(M159,'G-6 Hedgerow Data'!$S$2:$AE$2,0)),INDEX('G-6 Hedgerow Data'!$K$3:$Q$14,MATCH(M159,'G-6 Hedgerow Data'!$B$3:$B$14,0),MATCH(O159,'G-6 Hedgerow Data'!$K$2:$Q$2,0)))),"")</f>
        <v/>
      </c>
      <c r="Y159" s="159"/>
      <c r="Z159" s="159"/>
      <c r="AA159" s="370" t="str">
        <f t="shared" si="21"/>
        <v/>
      </c>
      <c r="AB159" s="383" t="str">
        <f t="shared" si="22"/>
        <v/>
      </c>
      <c r="AC159" s="384" t="str">
        <f t="shared" si="19"/>
        <v/>
      </c>
      <c r="AD159" s="398" t="str">
        <f>IF(M159="","",VLOOKUP(M159,'G-6 Hedgerow Data'!$B$3:$AG$15,31,FALSE))</f>
        <v/>
      </c>
      <c r="AE159" s="382" t="str">
        <f t="shared" si="23"/>
        <v/>
      </c>
      <c r="AF159" s="382" t="str">
        <f t="shared" si="24"/>
        <v/>
      </c>
      <c r="AG159" s="386" t="str">
        <f>IFERROR(IF(O159="","",VLOOKUP(AD159,'G-3 Multipliers'!$P$3:$Q$6,2,FALSE)),"")</f>
        <v/>
      </c>
      <c r="AH159" s="160"/>
      <c r="AI159" s="363" t="str">
        <f>IF(AH159="","",IF(VLOOKUP(AH159,'G-3 Multipliers'!$S$3:$T$10,2,FALSE)=0,"Spatial Data Missing ⚠",VLOOKUP(AH159,'G-3 Multipliers'!$S$3:$T$10,2,FALSE)))</f>
        <v/>
      </c>
      <c r="AJ159" s="405" t="str">
        <f t="shared" si="25"/>
        <v/>
      </c>
      <c r="AK159" s="376" t="str">
        <f t="shared" si="26"/>
        <v/>
      </c>
      <c r="AL159" s="117"/>
      <c r="AM159" s="118"/>
      <c r="AN159" s="120"/>
      <c r="AO159" s="120"/>
      <c r="AQ159" s="30" t="str">
        <f>IFERROR(INDEX('G-6 Hedgerow Data'!$BJ$3:$BJ$15,MATCH(M159,'G-6 Hedgerow Data'!$B$3:$B$15,0)),"")</f>
        <v/>
      </c>
    </row>
    <row r="160" spans="2:43" ht="15">
      <c r="B160" s="392" t="str">
        <f>'E-1 Off-Site Hedge Baseline'!AN158</f>
        <v/>
      </c>
      <c r="C160" s="382" t="str">
        <f>IF(B160="","",IF(ISNA(VLOOKUP($B160,'E-1 Off-Site Hedge Baseline'!$B$1:$L$257,3,FALSE)),"",(VLOOKUP($B160,'E-1 Off-Site Hedge Baseline'!$B$1:$L$257,3,FALSE))))</f>
        <v/>
      </c>
      <c r="D160" s="382" t="str">
        <f>IF(B160="","",IF(ISNA(VLOOKUP($B160,'E-1 Off-Site Hedge Baseline'!$B$1:$L$258,4,FALSE)),"",(VLOOKUP($B160,'E-1 Off-Site Hedge Baseline'!$B$1:$L$258,4,FALSE))))</f>
        <v/>
      </c>
      <c r="E160" s="382" t="str">
        <f>IF(B160="","",IF(ISNA(VLOOKUP($B160,'E-1 Off-Site Hedge Baseline'!$B$1:$L$257,5,FALSE)),"",(VLOOKUP($B160,'E-1 Off-Site Hedge Baseline'!$B$1:$L$257,5,FALSE))))</f>
        <v/>
      </c>
      <c r="F160" s="382" t="str">
        <f>IF(B160="","",IF(ISNA(VLOOKUP($B160,'E-1 Off-Site Hedge Baseline'!$B$1:$L$257,6,FALSE)),"",(VLOOKUP($B160,'E-1 Off-Site Hedge Baseline'!$B$1:$L$257,6,FALSE))))</f>
        <v/>
      </c>
      <c r="G160" s="382" t="str">
        <f>IF(B160="","",IF(ISNA(VLOOKUP($B160,'E-1 Off-Site Hedge Baseline'!$B$1:$L$257,7,FALSE)),"",(VLOOKUP($B160,'E-1 Off-Site Hedge Baseline'!$B$1:$L$257,7,FALSE))))</f>
        <v/>
      </c>
      <c r="H160" s="382" t="str">
        <f>IF(B160="","",IF(ISNA(VLOOKUP($B160,'E-1 Off-Site Hedge Baseline'!$B$1:$L$257,8,FALSE)),"",(VLOOKUP($B160,'E-1 Off-Site Hedge Baseline'!$B$1:$L$257,8,FALSE))))</f>
        <v/>
      </c>
      <c r="I160" s="382" t="str">
        <f>IF(B160="","",IF(ISNA(VLOOKUP($B160,'E-1 Off-Site Hedge Baseline'!$B$1:$L$257,10,FALSE)),"",(VLOOKUP($B160,'E-1 Off-Site Hedge Baseline'!$B$1:$L$257,10,FALSE))))</f>
        <v/>
      </c>
      <c r="J160" s="382" t="str">
        <f>IF(B160="","",IF(ISNA(VLOOKUP($B160,'E-1 Off-Site Hedge Baseline'!$B$1:$L$257,11,FALSE)),"",(VLOOKUP($B160,'E-1 Off-Site Hedge Baseline'!$B$1:$L$257,11,FALSE))))</f>
        <v/>
      </c>
      <c r="K160" s="382" t="str">
        <f>IF(B160="","",IF(ISNA(VLOOKUP($B160,'E-1 Off-Site Hedge Baseline'!$B$1:$X$257,113,FALSE)),"",(VLOOKUP($B160,'E-1 Off-Site Hedge Baseline'!$B$1:$X$257,13,FALSE))))</f>
        <v/>
      </c>
      <c r="L160" s="370" t="str">
        <f>IF(B160="","",IF(ISNA(VLOOKUP($B160,'E-1 Off-Site Hedge Baseline'!$B$1:$X$257,12,FALSE)),"",(VLOOKUP($B160,'E-1 Off-Site Hedge Baseline'!$B$1:$X$257,12,FALSE))))</f>
        <v/>
      </c>
      <c r="M160" s="316" t="str">
        <f t="shared" si="18"/>
        <v/>
      </c>
      <c r="N160" s="362" t="str">
        <f>IFERROR(IF(B160="","",INDEX('G-6 Hedgerow Data'!$AN$3:$AZ$15,MATCH(C160,'G-6 Hedgerow Data'!$AM$3:$AM$15,0),MATCH(M160,'G-6 Hedgerow Data'!$AN$2:$AZ$2,0))),"")</f>
        <v/>
      </c>
      <c r="O160" s="363" t="str">
        <f t="shared" si="20"/>
        <v/>
      </c>
      <c r="P160" s="368" t="str">
        <f>IF(B160="","",VLOOKUP(B160,'E-1 Off-Site Hedge Baseline'!$B$10:W405,19,FALSE))</f>
        <v/>
      </c>
      <c r="Q160" s="362" t="str">
        <f>IF(M160="","",VLOOKUP(M160,'G-6 Hedgerow Data'!$B$2:$AG$15,2,FALSE))</f>
        <v/>
      </c>
      <c r="R160" s="363" t="str">
        <f>IF(M160="","",VLOOKUP(M160,'G-6 Hedgerow Data'!$B$2:$AG$15,3,FALSE))</f>
        <v/>
      </c>
      <c r="S160" s="114"/>
      <c r="T160" s="363" t="str">
        <f>IFERROR(IF(AND(Q160="V.Low",OR(S160="Good",S160="Moderate")),"Error ▲",VLOOKUP(S160,'G-1 All Habitats'!$Z$2:$AA$9,2,FALSE)),"")</f>
        <v/>
      </c>
      <c r="U160" s="114"/>
      <c r="V160" s="370" t="str">
        <f>IF(U160="","",IF(VLOOKUP(U160,'G-3 Multipliers'!$L$3:$N$6,2,FALSE)=0,"Spatial Data Missing ⚠",VLOOKUP(U160,'G-3 Multipliers'!$L$3:$N$6,2,FALSE)))</f>
        <v/>
      </c>
      <c r="W160" s="368" t="str">
        <f>IF(U160="","",IF(VLOOKUP(U160,'G-3 Multipliers'!$L$3:$N$6,3,FALSE)=0,"Spatial Data Missing ⚠",VLOOKUP(U160,'G-3 Multipliers'!$L$3:$N$6,3,FALSE)))</f>
        <v/>
      </c>
      <c r="X160" s="362" t="str">
        <f>IFERROR(IF(OR(LEFT(O160,5)="Error",LEFT(N160,5)="Error",T160="Error"),"Check Data ⚠",IF(F160&lt;R160,INDEX('G-6 Hedgerow Data'!$S$3:$AE$14,MATCH(C160,'G-6 Hedgerow Data'!$B$3:$B$14,0),MATCH(M160,'G-6 Hedgerow Data'!$S$2:$AE$2,0)),INDEX('G-6 Hedgerow Data'!$K$3:$Q$14,MATCH(M160,'G-6 Hedgerow Data'!$B$3:$B$14,0),MATCH(O160,'G-6 Hedgerow Data'!$K$2:$Q$2,0)))),"")</f>
        <v/>
      </c>
      <c r="Y160" s="159"/>
      <c r="Z160" s="159"/>
      <c r="AA160" s="370" t="str">
        <f t="shared" si="21"/>
        <v/>
      </c>
      <c r="AB160" s="383" t="str">
        <f t="shared" si="22"/>
        <v/>
      </c>
      <c r="AC160" s="384" t="str">
        <f t="shared" si="19"/>
        <v/>
      </c>
      <c r="AD160" s="398" t="str">
        <f>IF(M160="","",VLOOKUP(M160,'G-6 Hedgerow Data'!$B$3:$AG$15,31,FALSE))</f>
        <v/>
      </c>
      <c r="AE160" s="382" t="str">
        <f t="shared" si="23"/>
        <v/>
      </c>
      <c r="AF160" s="382" t="str">
        <f t="shared" si="24"/>
        <v/>
      </c>
      <c r="AG160" s="386" t="str">
        <f>IFERROR(IF(O160="","",VLOOKUP(AD160,'G-3 Multipliers'!$P$3:$Q$6,2,FALSE)),"")</f>
        <v/>
      </c>
      <c r="AH160" s="160"/>
      <c r="AI160" s="363" t="str">
        <f>IF(AH160="","",IF(VLOOKUP(AH160,'G-3 Multipliers'!$S$3:$T$10,2,FALSE)=0,"Spatial Data Missing ⚠",VLOOKUP(AH160,'G-3 Multipliers'!$S$3:$T$10,2,FALSE)))</f>
        <v/>
      </c>
      <c r="AJ160" s="405" t="str">
        <f t="shared" si="25"/>
        <v/>
      </c>
      <c r="AK160" s="376" t="str">
        <f t="shared" si="26"/>
        <v/>
      </c>
      <c r="AL160" s="117"/>
      <c r="AM160" s="118"/>
      <c r="AN160" s="120"/>
      <c r="AO160" s="120"/>
      <c r="AQ160" s="30" t="str">
        <f>IFERROR(INDEX('G-6 Hedgerow Data'!$BJ$3:$BJ$15,MATCH(M160,'G-6 Hedgerow Data'!$B$3:$B$15,0)),"")</f>
        <v/>
      </c>
    </row>
    <row r="161" spans="2:43" ht="15">
      <c r="B161" s="392" t="str">
        <f>'E-1 Off-Site Hedge Baseline'!AN159</f>
        <v/>
      </c>
      <c r="C161" s="382" t="str">
        <f>IF(B161="","",IF(ISNA(VLOOKUP($B161,'E-1 Off-Site Hedge Baseline'!$B$1:$L$257,3,FALSE)),"",(VLOOKUP($B161,'E-1 Off-Site Hedge Baseline'!$B$1:$L$257,3,FALSE))))</f>
        <v/>
      </c>
      <c r="D161" s="382" t="str">
        <f>IF(B161="","",IF(ISNA(VLOOKUP($B161,'E-1 Off-Site Hedge Baseline'!$B$1:$L$258,4,FALSE)),"",(VLOOKUP($B161,'E-1 Off-Site Hedge Baseline'!$B$1:$L$258,4,FALSE))))</f>
        <v/>
      </c>
      <c r="E161" s="382" t="str">
        <f>IF(B161="","",IF(ISNA(VLOOKUP($B161,'E-1 Off-Site Hedge Baseline'!$B$1:$L$257,5,FALSE)),"",(VLOOKUP($B161,'E-1 Off-Site Hedge Baseline'!$B$1:$L$257,5,FALSE))))</f>
        <v/>
      </c>
      <c r="F161" s="382" t="str">
        <f>IF(B161="","",IF(ISNA(VLOOKUP($B161,'E-1 Off-Site Hedge Baseline'!$B$1:$L$257,6,FALSE)),"",(VLOOKUP($B161,'E-1 Off-Site Hedge Baseline'!$B$1:$L$257,6,FALSE))))</f>
        <v/>
      </c>
      <c r="G161" s="382" t="str">
        <f>IF(B161="","",IF(ISNA(VLOOKUP($B161,'E-1 Off-Site Hedge Baseline'!$B$1:$L$257,7,FALSE)),"",(VLOOKUP($B161,'E-1 Off-Site Hedge Baseline'!$B$1:$L$257,7,FALSE))))</f>
        <v/>
      </c>
      <c r="H161" s="382" t="str">
        <f>IF(B161="","",IF(ISNA(VLOOKUP($B161,'E-1 Off-Site Hedge Baseline'!$B$1:$L$257,8,FALSE)),"",(VLOOKUP($B161,'E-1 Off-Site Hedge Baseline'!$B$1:$L$257,8,FALSE))))</f>
        <v/>
      </c>
      <c r="I161" s="382" t="str">
        <f>IF(B161="","",IF(ISNA(VLOOKUP($B161,'E-1 Off-Site Hedge Baseline'!$B$1:$L$257,10,FALSE)),"",(VLOOKUP($B161,'E-1 Off-Site Hedge Baseline'!$B$1:$L$257,10,FALSE))))</f>
        <v/>
      </c>
      <c r="J161" s="382" t="str">
        <f>IF(B161="","",IF(ISNA(VLOOKUP($B161,'E-1 Off-Site Hedge Baseline'!$B$1:$L$257,11,FALSE)),"",(VLOOKUP($B161,'E-1 Off-Site Hedge Baseline'!$B$1:$L$257,11,FALSE))))</f>
        <v/>
      </c>
      <c r="K161" s="382" t="str">
        <f>IF(B161="","",IF(ISNA(VLOOKUP($B161,'E-1 Off-Site Hedge Baseline'!$B$1:$X$257,113,FALSE)),"",(VLOOKUP($B161,'E-1 Off-Site Hedge Baseline'!$B$1:$X$257,13,FALSE))))</f>
        <v/>
      </c>
      <c r="L161" s="370" t="str">
        <f>IF(B161="","",IF(ISNA(VLOOKUP($B161,'E-1 Off-Site Hedge Baseline'!$B$1:$X$257,12,FALSE)),"",(VLOOKUP($B161,'E-1 Off-Site Hedge Baseline'!$B$1:$X$257,12,FALSE))))</f>
        <v/>
      </c>
      <c r="M161" s="316" t="str">
        <f t="shared" si="18"/>
        <v/>
      </c>
      <c r="N161" s="362" t="str">
        <f>IFERROR(IF(B161="","",INDEX('G-6 Hedgerow Data'!$AN$3:$AZ$15,MATCH(C161,'G-6 Hedgerow Data'!$AM$3:$AM$15,0),MATCH(M161,'G-6 Hedgerow Data'!$AN$2:$AZ$2,0))),"")</f>
        <v/>
      </c>
      <c r="O161" s="363" t="str">
        <f t="shared" si="20"/>
        <v/>
      </c>
      <c r="P161" s="368" t="str">
        <f>IF(B161="","",VLOOKUP(B161,'E-1 Off-Site Hedge Baseline'!$B$10:W406,19,FALSE))</f>
        <v/>
      </c>
      <c r="Q161" s="362" t="str">
        <f>IF(M161="","",VLOOKUP(M161,'G-6 Hedgerow Data'!$B$2:$AG$15,2,FALSE))</f>
        <v/>
      </c>
      <c r="R161" s="363" t="str">
        <f>IF(M161="","",VLOOKUP(M161,'G-6 Hedgerow Data'!$B$2:$AG$15,3,FALSE))</f>
        <v/>
      </c>
      <c r="S161" s="114"/>
      <c r="T161" s="363" t="str">
        <f>IFERROR(IF(AND(Q161="V.Low",OR(S161="Good",S161="Moderate")),"Error ▲",VLOOKUP(S161,'G-1 All Habitats'!$Z$2:$AA$9,2,FALSE)),"")</f>
        <v/>
      </c>
      <c r="U161" s="114"/>
      <c r="V161" s="370" t="str">
        <f>IF(U161="","",IF(VLOOKUP(U161,'G-3 Multipliers'!$L$3:$N$6,2,FALSE)=0,"Spatial Data Missing ⚠",VLOOKUP(U161,'G-3 Multipliers'!$L$3:$N$6,2,FALSE)))</f>
        <v/>
      </c>
      <c r="W161" s="368" t="str">
        <f>IF(U161="","",IF(VLOOKUP(U161,'G-3 Multipliers'!$L$3:$N$6,3,FALSE)=0,"Spatial Data Missing ⚠",VLOOKUP(U161,'G-3 Multipliers'!$L$3:$N$6,3,FALSE)))</f>
        <v/>
      </c>
      <c r="X161" s="362" t="str">
        <f>IFERROR(IF(OR(LEFT(O161,5)="Error",LEFT(N161,5)="Error",T161="Error"),"Check Data ⚠",IF(F161&lt;R161,INDEX('G-6 Hedgerow Data'!$S$3:$AE$14,MATCH(C161,'G-6 Hedgerow Data'!$B$3:$B$14,0),MATCH(M161,'G-6 Hedgerow Data'!$S$2:$AE$2,0)),INDEX('G-6 Hedgerow Data'!$K$3:$Q$14,MATCH(M161,'G-6 Hedgerow Data'!$B$3:$B$14,0),MATCH(O161,'G-6 Hedgerow Data'!$K$2:$Q$2,0)))),"")</f>
        <v/>
      </c>
      <c r="Y161" s="159"/>
      <c r="Z161" s="159"/>
      <c r="AA161" s="370" t="str">
        <f t="shared" si="21"/>
        <v/>
      </c>
      <c r="AB161" s="383" t="str">
        <f t="shared" si="22"/>
        <v/>
      </c>
      <c r="AC161" s="384" t="str">
        <f t="shared" si="19"/>
        <v/>
      </c>
      <c r="AD161" s="398" t="str">
        <f>IF(M161="","",VLOOKUP(M161,'G-6 Hedgerow Data'!$B$3:$AG$15,31,FALSE))</f>
        <v/>
      </c>
      <c r="AE161" s="382" t="str">
        <f t="shared" si="23"/>
        <v/>
      </c>
      <c r="AF161" s="382" t="str">
        <f t="shared" si="24"/>
        <v/>
      </c>
      <c r="AG161" s="386" t="str">
        <f>IFERROR(IF(O161="","",VLOOKUP(AD161,'G-3 Multipliers'!$P$3:$Q$6,2,FALSE)),"")</f>
        <v/>
      </c>
      <c r="AH161" s="160"/>
      <c r="AI161" s="363" t="str">
        <f>IF(AH161="","",IF(VLOOKUP(AH161,'G-3 Multipliers'!$S$3:$T$10,2,FALSE)=0,"Spatial Data Missing ⚠",VLOOKUP(AH161,'G-3 Multipliers'!$S$3:$T$10,2,FALSE)))</f>
        <v/>
      </c>
      <c r="AJ161" s="405" t="str">
        <f t="shared" si="25"/>
        <v/>
      </c>
      <c r="AK161" s="376" t="str">
        <f t="shared" si="26"/>
        <v/>
      </c>
      <c r="AL161" s="117"/>
      <c r="AM161" s="118"/>
      <c r="AN161" s="120"/>
      <c r="AO161" s="120"/>
      <c r="AQ161" s="30" t="str">
        <f>IFERROR(INDEX('G-6 Hedgerow Data'!$BJ$3:$BJ$15,MATCH(M161,'G-6 Hedgerow Data'!$B$3:$B$15,0)),"")</f>
        <v/>
      </c>
    </row>
    <row r="162" spans="2:43" ht="15">
      <c r="B162" s="392" t="str">
        <f>'E-1 Off-Site Hedge Baseline'!AN160</f>
        <v/>
      </c>
      <c r="C162" s="382" t="str">
        <f>IF(B162="","",IF(ISNA(VLOOKUP($B162,'E-1 Off-Site Hedge Baseline'!$B$1:$L$257,3,FALSE)),"",(VLOOKUP($B162,'E-1 Off-Site Hedge Baseline'!$B$1:$L$257,3,FALSE))))</f>
        <v/>
      </c>
      <c r="D162" s="382" t="str">
        <f>IF(B162="","",IF(ISNA(VLOOKUP($B162,'E-1 Off-Site Hedge Baseline'!$B$1:$L$258,4,FALSE)),"",(VLOOKUP($B162,'E-1 Off-Site Hedge Baseline'!$B$1:$L$258,4,FALSE))))</f>
        <v/>
      </c>
      <c r="E162" s="382" t="str">
        <f>IF(B162="","",IF(ISNA(VLOOKUP($B162,'E-1 Off-Site Hedge Baseline'!$B$1:$L$257,5,FALSE)),"",(VLOOKUP($B162,'E-1 Off-Site Hedge Baseline'!$B$1:$L$257,5,FALSE))))</f>
        <v/>
      </c>
      <c r="F162" s="382" t="str">
        <f>IF(B162="","",IF(ISNA(VLOOKUP($B162,'E-1 Off-Site Hedge Baseline'!$B$1:$L$257,6,FALSE)),"",(VLOOKUP($B162,'E-1 Off-Site Hedge Baseline'!$B$1:$L$257,6,FALSE))))</f>
        <v/>
      </c>
      <c r="G162" s="382" t="str">
        <f>IF(B162="","",IF(ISNA(VLOOKUP($B162,'E-1 Off-Site Hedge Baseline'!$B$1:$L$257,7,FALSE)),"",(VLOOKUP($B162,'E-1 Off-Site Hedge Baseline'!$B$1:$L$257,7,FALSE))))</f>
        <v/>
      </c>
      <c r="H162" s="382" t="str">
        <f>IF(B162="","",IF(ISNA(VLOOKUP($B162,'E-1 Off-Site Hedge Baseline'!$B$1:$L$257,8,FALSE)),"",(VLOOKUP($B162,'E-1 Off-Site Hedge Baseline'!$B$1:$L$257,8,FALSE))))</f>
        <v/>
      </c>
      <c r="I162" s="382" t="str">
        <f>IF(B162="","",IF(ISNA(VLOOKUP($B162,'E-1 Off-Site Hedge Baseline'!$B$1:$L$257,10,FALSE)),"",(VLOOKUP($B162,'E-1 Off-Site Hedge Baseline'!$B$1:$L$257,10,FALSE))))</f>
        <v/>
      </c>
      <c r="J162" s="382" t="str">
        <f>IF(B162="","",IF(ISNA(VLOOKUP($B162,'E-1 Off-Site Hedge Baseline'!$B$1:$L$257,11,FALSE)),"",(VLOOKUP($B162,'E-1 Off-Site Hedge Baseline'!$B$1:$L$257,11,FALSE))))</f>
        <v/>
      </c>
      <c r="K162" s="382" t="str">
        <f>IF(B162="","",IF(ISNA(VLOOKUP($B162,'E-1 Off-Site Hedge Baseline'!$B$1:$X$257,113,FALSE)),"",(VLOOKUP($B162,'E-1 Off-Site Hedge Baseline'!$B$1:$X$257,13,FALSE))))</f>
        <v/>
      </c>
      <c r="L162" s="370" t="str">
        <f>IF(B162="","",IF(ISNA(VLOOKUP($B162,'E-1 Off-Site Hedge Baseline'!$B$1:$X$257,12,FALSE)),"",(VLOOKUP($B162,'E-1 Off-Site Hedge Baseline'!$B$1:$X$257,12,FALSE))))</f>
        <v/>
      </c>
      <c r="M162" s="316" t="str">
        <f t="shared" si="18"/>
        <v/>
      </c>
      <c r="N162" s="362" t="str">
        <f>IFERROR(IF(B162="","",INDEX('G-6 Hedgerow Data'!$AN$3:$AZ$15,MATCH(C162,'G-6 Hedgerow Data'!$AM$3:$AM$15,0),MATCH(M162,'G-6 Hedgerow Data'!$AN$2:$AZ$2,0))),"")</f>
        <v/>
      </c>
      <c r="O162" s="363" t="str">
        <f t="shared" si="20"/>
        <v/>
      </c>
      <c r="P162" s="368" t="str">
        <f>IF(B162="","",VLOOKUP(B162,'E-1 Off-Site Hedge Baseline'!$B$10:W407,19,FALSE))</f>
        <v/>
      </c>
      <c r="Q162" s="362" t="str">
        <f>IF(M162="","",VLOOKUP(M162,'G-6 Hedgerow Data'!$B$2:$AG$15,2,FALSE))</f>
        <v/>
      </c>
      <c r="R162" s="363" t="str">
        <f>IF(M162="","",VLOOKUP(M162,'G-6 Hedgerow Data'!$B$2:$AG$15,3,FALSE))</f>
        <v/>
      </c>
      <c r="S162" s="114"/>
      <c r="T162" s="363" t="str">
        <f>IFERROR(IF(AND(Q162="V.Low",OR(S162="Good",S162="Moderate")),"Error ▲",VLOOKUP(S162,'G-1 All Habitats'!$Z$2:$AA$9,2,FALSE)),"")</f>
        <v/>
      </c>
      <c r="U162" s="114"/>
      <c r="V162" s="370" t="str">
        <f>IF(U162="","",IF(VLOOKUP(U162,'G-3 Multipliers'!$L$3:$N$6,2,FALSE)=0,"Spatial Data Missing ⚠",VLOOKUP(U162,'G-3 Multipliers'!$L$3:$N$6,2,FALSE)))</f>
        <v/>
      </c>
      <c r="W162" s="368" t="str">
        <f>IF(U162="","",IF(VLOOKUP(U162,'G-3 Multipliers'!$L$3:$N$6,3,FALSE)=0,"Spatial Data Missing ⚠",VLOOKUP(U162,'G-3 Multipliers'!$L$3:$N$6,3,FALSE)))</f>
        <v/>
      </c>
      <c r="X162" s="362" t="str">
        <f>IFERROR(IF(OR(LEFT(O162,5)="Error",LEFT(N162,5)="Error",T162="Error"),"Check Data ⚠",IF(F162&lt;R162,INDEX('G-6 Hedgerow Data'!$S$3:$AE$14,MATCH(C162,'G-6 Hedgerow Data'!$B$3:$B$14,0),MATCH(M162,'G-6 Hedgerow Data'!$S$2:$AE$2,0)),INDEX('G-6 Hedgerow Data'!$K$3:$Q$14,MATCH(M162,'G-6 Hedgerow Data'!$B$3:$B$14,0),MATCH(O162,'G-6 Hedgerow Data'!$K$2:$Q$2,0)))),"")</f>
        <v/>
      </c>
      <c r="Y162" s="159"/>
      <c r="Z162" s="159"/>
      <c r="AA162" s="370" t="str">
        <f t="shared" si="21"/>
        <v/>
      </c>
      <c r="AB162" s="383" t="str">
        <f t="shared" si="22"/>
        <v/>
      </c>
      <c r="AC162" s="384" t="str">
        <f t="shared" si="19"/>
        <v/>
      </c>
      <c r="AD162" s="398" t="str">
        <f>IF(M162="","",VLOOKUP(M162,'G-6 Hedgerow Data'!$B$3:$AG$15,31,FALSE))</f>
        <v/>
      </c>
      <c r="AE162" s="382" t="str">
        <f t="shared" si="23"/>
        <v/>
      </c>
      <c r="AF162" s="382" t="str">
        <f t="shared" si="24"/>
        <v/>
      </c>
      <c r="AG162" s="386" t="str">
        <f>IFERROR(IF(O162="","",VLOOKUP(AD162,'G-3 Multipliers'!$P$3:$Q$6,2,FALSE)),"")</f>
        <v/>
      </c>
      <c r="AH162" s="160"/>
      <c r="AI162" s="363" t="str">
        <f>IF(AH162="","",IF(VLOOKUP(AH162,'G-3 Multipliers'!$S$3:$T$10,2,FALSE)=0,"Spatial Data Missing ⚠",VLOOKUP(AH162,'G-3 Multipliers'!$S$3:$T$10,2,FALSE)))</f>
        <v/>
      </c>
      <c r="AJ162" s="405" t="str">
        <f t="shared" si="25"/>
        <v/>
      </c>
      <c r="AK162" s="376" t="str">
        <f t="shared" si="26"/>
        <v/>
      </c>
      <c r="AL162" s="117"/>
      <c r="AM162" s="118"/>
      <c r="AN162" s="120"/>
      <c r="AO162" s="120"/>
      <c r="AQ162" s="30" t="str">
        <f>IFERROR(INDEX('G-6 Hedgerow Data'!$BJ$3:$BJ$15,MATCH(M162,'G-6 Hedgerow Data'!$B$3:$B$15,0)),"")</f>
        <v/>
      </c>
    </row>
    <row r="163" spans="2:43" ht="15">
      <c r="B163" s="392" t="str">
        <f>'E-1 Off-Site Hedge Baseline'!AN161</f>
        <v/>
      </c>
      <c r="C163" s="382" t="str">
        <f>IF(B163="","",IF(ISNA(VLOOKUP($B163,'E-1 Off-Site Hedge Baseline'!$B$1:$L$257,3,FALSE)),"",(VLOOKUP($B163,'E-1 Off-Site Hedge Baseline'!$B$1:$L$257,3,FALSE))))</f>
        <v/>
      </c>
      <c r="D163" s="382" t="str">
        <f>IF(B163="","",IF(ISNA(VLOOKUP($B163,'E-1 Off-Site Hedge Baseline'!$B$1:$L$258,4,FALSE)),"",(VLOOKUP($B163,'E-1 Off-Site Hedge Baseline'!$B$1:$L$258,4,FALSE))))</f>
        <v/>
      </c>
      <c r="E163" s="382" t="str">
        <f>IF(B163="","",IF(ISNA(VLOOKUP($B163,'E-1 Off-Site Hedge Baseline'!$B$1:$L$257,5,FALSE)),"",(VLOOKUP($B163,'E-1 Off-Site Hedge Baseline'!$B$1:$L$257,5,FALSE))))</f>
        <v/>
      </c>
      <c r="F163" s="382" t="str">
        <f>IF(B163="","",IF(ISNA(VLOOKUP($B163,'E-1 Off-Site Hedge Baseline'!$B$1:$L$257,6,FALSE)),"",(VLOOKUP($B163,'E-1 Off-Site Hedge Baseline'!$B$1:$L$257,6,FALSE))))</f>
        <v/>
      </c>
      <c r="G163" s="382" t="str">
        <f>IF(B163="","",IF(ISNA(VLOOKUP($B163,'E-1 Off-Site Hedge Baseline'!$B$1:$L$257,7,FALSE)),"",(VLOOKUP($B163,'E-1 Off-Site Hedge Baseline'!$B$1:$L$257,7,FALSE))))</f>
        <v/>
      </c>
      <c r="H163" s="382" t="str">
        <f>IF(B163="","",IF(ISNA(VLOOKUP($B163,'E-1 Off-Site Hedge Baseline'!$B$1:$L$257,8,FALSE)),"",(VLOOKUP($B163,'E-1 Off-Site Hedge Baseline'!$B$1:$L$257,8,FALSE))))</f>
        <v/>
      </c>
      <c r="I163" s="382" t="str">
        <f>IF(B163="","",IF(ISNA(VLOOKUP($B163,'E-1 Off-Site Hedge Baseline'!$B$1:$L$257,10,FALSE)),"",(VLOOKUP($B163,'E-1 Off-Site Hedge Baseline'!$B$1:$L$257,10,FALSE))))</f>
        <v/>
      </c>
      <c r="J163" s="382" t="str">
        <f>IF(B163="","",IF(ISNA(VLOOKUP($B163,'E-1 Off-Site Hedge Baseline'!$B$1:$L$257,11,FALSE)),"",(VLOOKUP($B163,'E-1 Off-Site Hedge Baseline'!$B$1:$L$257,11,FALSE))))</f>
        <v/>
      </c>
      <c r="K163" s="382" t="str">
        <f>IF(B163="","",IF(ISNA(VLOOKUP($B163,'E-1 Off-Site Hedge Baseline'!$B$1:$X$257,113,FALSE)),"",(VLOOKUP($B163,'E-1 Off-Site Hedge Baseline'!$B$1:$X$257,13,FALSE))))</f>
        <v/>
      </c>
      <c r="L163" s="370" t="str">
        <f>IF(B163="","",IF(ISNA(VLOOKUP($B163,'E-1 Off-Site Hedge Baseline'!$B$1:$X$257,12,FALSE)),"",(VLOOKUP($B163,'E-1 Off-Site Hedge Baseline'!$B$1:$X$257,12,FALSE))))</f>
        <v/>
      </c>
      <c r="M163" s="316" t="str">
        <f t="shared" si="18"/>
        <v/>
      </c>
      <c r="N163" s="362" t="str">
        <f>IFERROR(IF(B163="","",INDEX('G-6 Hedgerow Data'!$AN$3:$AZ$15,MATCH(C163,'G-6 Hedgerow Data'!$AM$3:$AM$15,0),MATCH(M163,'G-6 Hedgerow Data'!$AN$2:$AZ$2,0))),"")</f>
        <v/>
      </c>
      <c r="O163" s="363" t="str">
        <f t="shared" si="20"/>
        <v/>
      </c>
      <c r="P163" s="368" t="str">
        <f>IF(B163="","",VLOOKUP(B163,'E-1 Off-Site Hedge Baseline'!$B$10:W408,19,FALSE))</f>
        <v/>
      </c>
      <c r="Q163" s="362" t="str">
        <f>IF(M163="","",VLOOKUP(M163,'G-6 Hedgerow Data'!$B$2:$AG$15,2,FALSE))</f>
        <v/>
      </c>
      <c r="R163" s="363" t="str">
        <f>IF(M163="","",VLOOKUP(M163,'G-6 Hedgerow Data'!$B$2:$AG$15,3,FALSE))</f>
        <v/>
      </c>
      <c r="S163" s="114"/>
      <c r="T163" s="363" t="str">
        <f>IFERROR(IF(AND(Q163="V.Low",OR(S163="Good",S163="Moderate")),"Error ▲",VLOOKUP(S163,'G-1 All Habitats'!$Z$2:$AA$9,2,FALSE)),"")</f>
        <v/>
      </c>
      <c r="U163" s="114"/>
      <c r="V163" s="370" t="str">
        <f>IF(U163="","",IF(VLOOKUP(U163,'G-3 Multipliers'!$L$3:$N$6,2,FALSE)=0,"Spatial Data Missing ⚠",VLOOKUP(U163,'G-3 Multipliers'!$L$3:$N$6,2,FALSE)))</f>
        <v/>
      </c>
      <c r="W163" s="368" t="str">
        <f>IF(U163="","",IF(VLOOKUP(U163,'G-3 Multipliers'!$L$3:$N$6,3,FALSE)=0,"Spatial Data Missing ⚠",VLOOKUP(U163,'G-3 Multipliers'!$L$3:$N$6,3,FALSE)))</f>
        <v/>
      </c>
      <c r="X163" s="362" t="str">
        <f>IFERROR(IF(OR(LEFT(O163,5)="Error",LEFT(N163,5)="Error",T163="Error"),"Check Data ⚠",IF(F163&lt;R163,INDEX('G-6 Hedgerow Data'!$S$3:$AE$14,MATCH(C163,'G-6 Hedgerow Data'!$B$3:$B$14,0),MATCH(M163,'G-6 Hedgerow Data'!$S$2:$AE$2,0)),INDEX('G-6 Hedgerow Data'!$K$3:$Q$14,MATCH(M163,'G-6 Hedgerow Data'!$B$3:$B$14,0),MATCH(O163,'G-6 Hedgerow Data'!$K$2:$Q$2,0)))),"")</f>
        <v/>
      </c>
      <c r="Y163" s="159"/>
      <c r="Z163" s="159"/>
      <c r="AA163" s="370" t="str">
        <f t="shared" si="21"/>
        <v/>
      </c>
      <c r="AB163" s="383" t="str">
        <f t="shared" si="22"/>
        <v/>
      </c>
      <c r="AC163" s="384" t="str">
        <f t="shared" si="19"/>
        <v/>
      </c>
      <c r="AD163" s="398" t="str">
        <f>IF(M163="","",VLOOKUP(M163,'G-6 Hedgerow Data'!$B$3:$AG$15,31,FALSE))</f>
        <v/>
      </c>
      <c r="AE163" s="382" t="str">
        <f t="shared" si="23"/>
        <v/>
      </c>
      <c r="AF163" s="382" t="str">
        <f t="shared" si="24"/>
        <v/>
      </c>
      <c r="AG163" s="386" t="str">
        <f>IFERROR(IF(O163="","",VLOOKUP(AD163,'G-3 Multipliers'!$P$3:$Q$6,2,FALSE)),"")</f>
        <v/>
      </c>
      <c r="AH163" s="160"/>
      <c r="AI163" s="363" t="str">
        <f>IF(AH163="","",IF(VLOOKUP(AH163,'G-3 Multipliers'!$S$3:$T$10,2,FALSE)=0,"Spatial Data Missing ⚠",VLOOKUP(AH163,'G-3 Multipliers'!$S$3:$T$10,2,FALSE)))</f>
        <v/>
      </c>
      <c r="AJ163" s="405" t="str">
        <f t="shared" si="25"/>
        <v/>
      </c>
      <c r="AK163" s="376" t="str">
        <f t="shared" si="26"/>
        <v/>
      </c>
      <c r="AL163" s="117"/>
      <c r="AM163" s="118"/>
      <c r="AN163" s="120"/>
      <c r="AO163" s="120"/>
      <c r="AQ163" s="30" t="str">
        <f>IFERROR(INDEX('G-6 Hedgerow Data'!$BJ$3:$BJ$15,MATCH(M163,'G-6 Hedgerow Data'!$B$3:$B$15,0)),"")</f>
        <v/>
      </c>
    </row>
    <row r="164" spans="2:43" ht="15">
      <c r="B164" s="392" t="str">
        <f>'E-1 Off-Site Hedge Baseline'!AN162</f>
        <v/>
      </c>
      <c r="C164" s="382" t="str">
        <f>IF(B164="","",IF(ISNA(VLOOKUP($B164,'E-1 Off-Site Hedge Baseline'!$B$1:$L$257,3,FALSE)),"",(VLOOKUP($B164,'E-1 Off-Site Hedge Baseline'!$B$1:$L$257,3,FALSE))))</f>
        <v/>
      </c>
      <c r="D164" s="382" t="str">
        <f>IF(B164="","",IF(ISNA(VLOOKUP($B164,'E-1 Off-Site Hedge Baseline'!$B$1:$L$258,4,FALSE)),"",(VLOOKUP($B164,'E-1 Off-Site Hedge Baseline'!$B$1:$L$258,4,FALSE))))</f>
        <v/>
      </c>
      <c r="E164" s="382" t="str">
        <f>IF(B164="","",IF(ISNA(VLOOKUP($B164,'E-1 Off-Site Hedge Baseline'!$B$1:$L$257,5,FALSE)),"",(VLOOKUP($B164,'E-1 Off-Site Hedge Baseline'!$B$1:$L$257,5,FALSE))))</f>
        <v/>
      </c>
      <c r="F164" s="382" t="str">
        <f>IF(B164="","",IF(ISNA(VLOOKUP($B164,'E-1 Off-Site Hedge Baseline'!$B$1:$L$257,6,FALSE)),"",(VLOOKUP($B164,'E-1 Off-Site Hedge Baseline'!$B$1:$L$257,6,FALSE))))</f>
        <v/>
      </c>
      <c r="G164" s="382" t="str">
        <f>IF(B164="","",IF(ISNA(VLOOKUP($B164,'E-1 Off-Site Hedge Baseline'!$B$1:$L$257,7,FALSE)),"",(VLOOKUP($B164,'E-1 Off-Site Hedge Baseline'!$B$1:$L$257,7,FALSE))))</f>
        <v/>
      </c>
      <c r="H164" s="382" t="str">
        <f>IF(B164="","",IF(ISNA(VLOOKUP($B164,'E-1 Off-Site Hedge Baseline'!$B$1:$L$257,8,FALSE)),"",(VLOOKUP($B164,'E-1 Off-Site Hedge Baseline'!$B$1:$L$257,8,FALSE))))</f>
        <v/>
      </c>
      <c r="I164" s="382" t="str">
        <f>IF(B164="","",IF(ISNA(VLOOKUP($B164,'E-1 Off-Site Hedge Baseline'!$B$1:$L$257,10,FALSE)),"",(VLOOKUP($B164,'E-1 Off-Site Hedge Baseline'!$B$1:$L$257,10,FALSE))))</f>
        <v/>
      </c>
      <c r="J164" s="382" t="str">
        <f>IF(B164="","",IF(ISNA(VLOOKUP($B164,'E-1 Off-Site Hedge Baseline'!$B$1:$L$257,11,FALSE)),"",(VLOOKUP($B164,'E-1 Off-Site Hedge Baseline'!$B$1:$L$257,11,FALSE))))</f>
        <v/>
      </c>
      <c r="K164" s="382" t="str">
        <f>IF(B164="","",IF(ISNA(VLOOKUP($B164,'E-1 Off-Site Hedge Baseline'!$B$1:$X$257,113,FALSE)),"",(VLOOKUP($B164,'E-1 Off-Site Hedge Baseline'!$B$1:$X$257,13,FALSE))))</f>
        <v/>
      </c>
      <c r="L164" s="370" t="str">
        <f>IF(B164="","",IF(ISNA(VLOOKUP($B164,'E-1 Off-Site Hedge Baseline'!$B$1:$X$257,12,FALSE)),"",(VLOOKUP($B164,'E-1 Off-Site Hedge Baseline'!$B$1:$X$257,12,FALSE))))</f>
        <v/>
      </c>
      <c r="M164" s="316" t="str">
        <f t="shared" si="18"/>
        <v/>
      </c>
      <c r="N164" s="362" t="str">
        <f>IFERROR(IF(B164="","",INDEX('G-6 Hedgerow Data'!$AN$3:$AZ$15,MATCH(C164,'G-6 Hedgerow Data'!$AM$3:$AM$15,0),MATCH(M164,'G-6 Hedgerow Data'!$AN$2:$AZ$2,0))),"")</f>
        <v/>
      </c>
      <c r="O164" s="363" t="str">
        <f t="shared" si="20"/>
        <v/>
      </c>
      <c r="P164" s="368" t="str">
        <f>IF(B164="","",VLOOKUP(B164,'E-1 Off-Site Hedge Baseline'!$B$10:W409,19,FALSE))</f>
        <v/>
      </c>
      <c r="Q164" s="362" t="str">
        <f>IF(M164="","",VLOOKUP(M164,'G-6 Hedgerow Data'!$B$2:$AG$15,2,FALSE))</f>
        <v/>
      </c>
      <c r="R164" s="363" t="str">
        <f>IF(M164="","",VLOOKUP(M164,'G-6 Hedgerow Data'!$B$2:$AG$15,3,FALSE))</f>
        <v/>
      </c>
      <c r="S164" s="114"/>
      <c r="T164" s="363" t="str">
        <f>IFERROR(IF(AND(Q164="V.Low",OR(S164="Good",S164="Moderate")),"Error ▲",VLOOKUP(S164,'G-1 All Habitats'!$Z$2:$AA$9,2,FALSE)),"")</f>
        <v/>
      </c>
      <c r="U164" s="114"/>
      <c r="V164" s="370" t="str">
        <f>IF(U164="","",IF(VLOOKUP(U164,'G-3 Multipliers'!$L$3:$N$6,2,FALSE)=0,"Spatial Data Missing ⚠",VLOOKUP(U164,'G-3 Multipliers'!$L$3:$N$6,2,FALSE)))</f>
        <v/>
      </c>
      <c r="W164" s="368" t="str">
        <f>IF(U164="","",IF(VLOOKUP(U164,'G-3 Multipliers'!$L$3:$N$6,3,FALSE)=0,"Spatial Data Missing ⚠",VLOOKUP(U164,'G-3 Multipliers'!$L$3:$N$6,3,FALSE)))</f>
        <v/>
      </c>
      <c r="X164" s="362" t="str">
        <f>IFERROR(IF(OR(LEFT(O164,5)="Error",LEFT(N164,5)="Error",T164="Error"),"Check Data ⚠",IF(F164&lt;R164,INDEX('G-6 Hedgerow Data'!$S$3:$AE$14,MATCH(C164,'G-6 Hedgerow Data'!$B$3:$B$14,0),MATCH(M164,'G-6 Hedgerow Data'!$S$2:$AE$2,0)),INDEX('G-6 Hedgerow Data'!$K$3:$Q$14,MATCH(M164,'G-6 Hedgerow Data'!$B$3:$B$14,0),MATCH(O164,'G-6 Hedgerow Data'!$K$2:$Q$2,0)))),"")</f>
        <v/>
      </c>
      <c r="Y164" s="159"/>
      <c r="Z164" s="159"/>
      <c r="AA164" s="370" t="str">
        <f t="shared" si="21"/>
        <v/>
      </c>
      <c r="AB164" s="383" t="str">
        <f t="shared" si="22"/>
        <v/>
      </c>
      <c r="AC164" s="384" t="str">
        <f t="shared" si="19"/>
        <v/>
      </c>
      <c r="AD164" s="398" t="str">
        <f>IF(M164="","",VLOOKUP(M164,'G-6 Hedgerow Data'!$B$3:$AG$15,31,FALSE))</f>
        <v/>
      </c>
      <c r="AE164" s="382" t="str">
        <f t="shared" si="23"/>
        <v/>
      </c>
      <c r="AF164" s="382" t="str">
        <f t="shared" si="24"/>
        <v/>
      </c>
      <c r="AG164" s="386" t="str">
        <f>IFERROR(IF(O164="","",VLOOKUP(AD164,'G-3 Multipliers'!$P$3:$Q$6,2,FALSE)),"")</f>
        <v/>
      </c>
      <c r="AH164" s="160"/>
      <c r="AI164" s="363" t="str">
        <f>IF(AH164="","",IF(VLOOKUP(AH164,'G-3 Multipliers'!$S$3:$T$10,2,FALSE)=0,"Spatial Data Missing ⚠",VLOOKUP(AH164,'G-3 Multipliers'!$S$3:$T$10,2,FALSE)))</f>
        <v/>
      </c>
      <c r="AJ164" s="405" t="str">
        <f t="shared" si="25"/>
        <v/>
      </c>
      <c r="AK164" s="376" t="str">
        <f t="shared" si="26"/>
        <v/>
      </c>
      <c r="AL164" s="117"/>
      <c r="AM164" s="118"/>
      <c r="AN164" s="120"/>
      <c r="AO164" s="120"/>
      <c r="AQ164" s="30" t="str">
        <f>IFERROR(INDEX('G-6 Hedgerow Data'!$BJ$3:$BJ$15,MATCH(M164,'G-6 Hedgerow Data'!$B$3:$B$15,0)),"")</f>
        <v/>
      </c>
    </row>
    <row r="165" spans="2:43" ht="15">
      <c r="B165" s="392" t="str">
        <f>'E-1 Off-Site Hedge Baseline'!AN163</f>
        <v/>
      </c>
      <c r="C165" s="382" t="str">
        <f>IF(B165="","",IF(ISNA(VLOOKUP($B165,'E-1 Off-Site Hedge Baseline'!$B$1:$L$257,3,FALSE)),"",(VLOOKUP($B165,'E-1 Off-Site Hedge Baseline'!$B$1:$L$257,3,FALSE))))</f>
        <v/>
      </c>
      <c r="D165" s="382" t="str">
        <f>IF(B165="","",IF(ISNA(VLOOKUP($B165,'E-1 Off-Site Hedge Baseline'!$B$1:$L$258,4,FALSE)),"",(VLOOKUP($B165,'E-1 Off-Site Hedge Baseline'!$B$1:$L$258,4,FALSE))))</f>
        <v/>
      </c>
      <c r="E165" s="382" t="str">
        <f>IF(B165="","",IF(ISNA(VLOOKUP($B165,'E-1 Off-Site Hedge Baseline'!$B$1:$L$257,5,FALSE)),"",(VLOOKUP($B165,'E-1 Off-Site Hedge Baseline'!$B$1:$L$257,5,FALSE))))</f>
        <v/>
      </c>
      <c r="F165" s="382" t="str">
        <f>IF(B165="","",IF(ISNA(VLOOKUP($B165,'E-1 Off-Site Hedge Baseline'!$B$1:$L$257,6,FALSE)),"",(VLOOKUP($B165,'E-1 Off-Site Hedge Baseline'!$B$1:$L$257,6,FALSE))))</f>
        <v/>
      </c>
      <c r="G165" s="382" t="str">
        <f>IF(B165="","",IF(ISNA(VLOOKUP($B165,'E-1 Off-Site Hedge Baseline'!$B$1:$L$257,7,FALSE)),"",(VLOOKUP($B165,'E-1 Off-Site Hedge Baseline'!$B$1:$L$257,7,FALSE))))</f>
        <v/>
      </c>
      <c r="H165" s="382" t="str">
        <f>IF(B165="","",IF(ISNA(VLOOKUP($B165,'E-1 Off-Site Hedge Baseline'!$B$1:$L$257,8,FALSE)),"",(VLOOKUP($B165,'E-1 Off-Site Hedge Baseline'!$B$1:$L$257,8,FALSE))))</f>
        <v/>
      </c>
      <c r="I165" s="382" t="str">
        <f>IF(B165="","",IF(ISNA(VLOOKUP($B165,'E-1 Off-Site Hedge Baseline'!$B$1:$L$257,10,FALSE)),"",(VLOOKUP($B165,'E-1 Off-Site Hedge Baseline'!$B$1:$L$257,10,FALSE))))</f>
        <v/>
      </c>
      <c r="J165" s="382" t="str">
        <f>IF(B165="","",IF(ISNA(VLOOKUP($B165,'E-1 Off-Site Hedge Baseline'!$B$1:$L$257,11,FALSE)),"",(VLOOKUP($B165,'E-1 Off-Site Hedge Baseline'!$B$1:$L$257,11,FALSE))))</f>
        <v/>
      </c>
      <c r="K165" s="382" t="str">
        <f>IF(B165="","",IF(ISNA(VLOOKUP($B165,'E-1 Off-Site Hedge Baseline'!$B$1:$X$257,113,FALSE)),"",(VLOOKUP($B165,'E-1 Off-Site Hedge Baseline'!$B$1:$X$257,13,FALSE))))</f>
        <v/>
      </c>
      <c r="L165" s="370" t="str">
        <f>IF(B165="","",IF(ISNA(VLOOKUP($B165,'E-1 Off-Site Hedge Baseline'!$B$1:$X$257,12,FALSE)),"",(VLOOKUP($B165,'E-1 Off-Site Hedge Baseline'!$B$1:$X$257,12,FALSE))))</f>
        <v/>
      </c>
      <c r="M165" s="316" t="str">
        <f t="shared" si="18"/>
        <v/>
      </c>
      <c r="N165" s="362" t="str">
        <f>IFERROR(IF(B165="","",INDEX('G-6 Hedgerow Data'!$AN$3:$AZ$15,MATCH(C165,'G-6 Hedgerow Data'!$AM$3:$AM$15,0),MATCH(M165,'G-6 Hedgerow Data'!$AN$2:$AZ$2,0))),"")</f>
        <v/>
      </c>
      <c r="O165" s="363" t="str">
        <f t="shared" si="20"/>
        <v/>
      </c>
      <c r="P165" s="368" t="str">
        <f>IF(B165="","",VLOOKUP(B165,'E-1 Off-Site Hedge Baseline'!$B$10:W410,19,FALSE))</f>
        <v/>
      </c>
      <c r="Q165" s="362" t="str">
        <f>IF(M165="","",VLOOKUP(M165,'G-6 Hedgerow Data'!$B$2:$AG$15,2,FALSE))</f>
        <v/>
      </c>
      <c r="R165" s="363" t="str">
        <f>IF(M165="","",VLOOKUP(M165,'G-6 Hedgerow Data'!$B$2:$AG$15,3,FALSE))</f>
        <v/>
      </c>
      <c r="S165" s="114"/>
      <c r="T165" s="363" t="str">
        <f>IFERROR(IF(AND(Q165="V.Low",OR(S165="Good",S165="Moderate")),"Error ▲",VLOOKUP(S165,'G-1 All Habitats'!$Z$2:$AA$9,2,FALSE)),"")</f>
        <v/>
      </c>
      <c r="U165" s="114"/>
      <c r="V165" s="370" t="str">
        <f>IF(U165="","",IF(VLOOKUP(U165,'G-3 Multipliers'!$L$3:$N$6,2,FALSE)=0,"Spatial Data Missing ⚠",VLOOKUP(U165,'G-3 Multipliers'!$L$3:$N$6,2,FALSE)))</f>
        <v/>
      </c>
      <c r="W165" s="368" t="str">
        <f>IF(U165="","",IF(VLOOKUP(U165,'G-3 Multipliers'!$L$3:$N$6,3,FALSE)=0,"Spatial Data Missing ⚠",VLOOKUP(U165,'G-3 Multipliers'!$L$3:$N$6,3,FALSE)))</f>
        <v/>
      </c>
      <c r="X165" s="362" t="str">
        <f>IFERROR(IF(OR(LEFT(O165,5)="Error",LEFT(N165,5)="Error",T165="Error"),"Check Data ⚠",IF(F165&lt;R165,INDEX('G-6 Hedgerow Data'!$S$3:$AE$14,MATCH(C165,'G-6 Hedgerow Data'!$B$3:$B$14,0),MATCH(M165,'G-6 Hedgerow Data'!$S$2:$AE$2,0)),INDEX('G-6 Hedgerow Data'!$K$3:$Q$14,MATCH(M165,'G-6 Hedgerow Data'!$B$3:$B$14,0),MATCH(O165,'G-6 Hedgerow Data'!$K$2:$Q$2,0)))),"")</f>
        <v/>
      </c>
      <c r="Y165" s="159"/>
      <c r="Z165" s="159"/>
      <c r="AA165" s="370" t="str">
        <f t="shared" si="21"/>
        <v/>
      </c>
      <c r="AB165" s="383" t="str">
        <f t="shared" si="22"/>
        <v/>
      </c>
      <c r="AC165" s="384" t="str">
        <f t="shared" si="19"/>
        <v/>
      </c>
      <c r="AD165" s="398" t="str">
        <f>IF(M165="","",VLOOKUP(M165,'G-6 Hedgerow Data'!$B$3:$AG$15,31,FALSE))</f>
        <v/>
      </c>
      <c r="AE165" s="382" t="str">
        <f t="shared" si="23"/>
        <v/>
      </c>
      <c r="AF165" s="382" t="str">
        <f t="shared" si="24"/>
        <v/>
      </c>
      <c r="AG165" s="386" t="str">
        <f>IFERROR(IF(O165="","",VLOOKUP(AD165,'G-3 Multipliers'!$P$3:$Q$6,2,FALSE)),"")</f>
        <v/>
      </c>
      <c r="AH165" s="160"/>
      <c r="AI165" s="363" t="str">
        <f>IF(AH165="","",IF(VLOOKUP(AH165,'G-3 Multipliers'!$S$3:$T$10,2,FALSE)=0,"Spatial Data Missing ⚠",VLOOKUP(AH165,'G-3 Multipliers'!$S$3:$T$10,2,FALSE)))</f>
        <v/>
      </c>
      <c r="AJ165" s="405" t="str">
        <f t="shared" si="25"/>
        <v/>
      </c>
      <c r="AK165" s="376" t="str">
        <f t="shared" si="26"/>
        <v/>
      </c>
      <c r="AL165" s="117"/>
      <c r="AM165" s="118"/>
      <c r="AN165" s="120"/>
      <c r="AO165" s="120"/>
      <c r="AQ165" s="30" t="str">
        <f>IFERROR(INDEX('G-6 Hedgerow Data'!$BJ$3:$BJ$15,MATCH(M165,'G-6 Hedgerow Data'!$B$3:$B$15,0)),"")</f>
        <v/>
      </c>
    </row>
    <row r="166" spans="2:43" ht="15">
      <c r="B166" s="392" t="str">
        <f>'E-1 Off-Site Hedge Baseline'!AN164</f>
        <v/>
      </c>
      <c r="C166" s="382" t="str">
        <f>IF(B166="","",IF(ISNA(VLOOKUP($B166,'E-1 Off-Site Hedge Baseline'!$B$1:$L$257,3,FALSE)),"",(VLOOKUP($B166,'E-1 Off-Site Hedge Baseline'!$B$1:$L$257,3,FALSE))))</f>
        <v/>
      </c>
      <c r="D166" s="382" t="str">
        <f>IF(B166="","",IF(ISNA(VLOOKUP($B166,'E-1 Off-Site Hedge Baseline'!$B$1:$L$258,4,FALSE)),"",(VLOOKUP($B166,'E-1 Off-Site Hedge Baseline'!$B$1:$L$258,4,FALSE))))</f>
        <v/>
      </c>
      <c r="E166" s="382" t="str">
        <f>IF(B166="","",IF(ISNA(VLOOKUP($B166,'E-1 Off-Site Hedge Baseline'!$B$1:$L$257,5,FALSE)),"",(VLOOKUP($B166,'E-1 Off-Site Hedge Baseline'!$B$1:$L$257,5,FALSE))))</f>
        <v/>
      </c>
      <c r="F166" s="382" t="str">
        <f>IF(B166="","",IF(ISNA(VLOOKUP($B166,'E-1 Off-Site Hedge Baseline'!$B$1:$L$257,6,FALSE)),"",(VLOOKUP($B166,'E-1 Off-Site Hedge Baseline'!$B$1:$L$257,6,FALSE))))</f>
        <v/>
      </c>
      <c r="G166" s="382" t="str">
        <f>IF(B166="","",IF(ISNA(VLOOKUP($B166,'E-1 Off-Site Hedge Baseline'!$B$1:$L$257,7,FALSE)),"",(VLOOKUP($B166,'E-1 Off-Site Hedge Baseline'!$B$1:$L$257,7,FALSE))))</f>
        <v/>
      </c>
      <c r="H166" s="382" t="str">
        <f>IF(B166="","",IF(ISNA(VLOOKUP($B166,'E-1 Off-Site Hedge Baseline'!$B$1:$L$257,8,FALSE)),"",(VLOOKUP($B166,'E-1 Off-Site Hedge Baseline'!$B$1:$L$257,8,FALSE))))</f>
        <v/>
      </c>
      <c r="I166" s="382" t="str">
        <f>IF(B166="","",IF(ISNA(VLOOKUP($B166,'E-1 Off-Site Hedge Baseline'!$B$1:$L$257,10,FALSE)),"",(VLOOKUP($B166,'E-1 Off-Site Hedge Baseline'!$B$1:$L$257,10,FALSE))))</f>
        <v/>
      </c>
      <c r="J166" s="382" t="str">
        <f>IF(B166="","",IF(ISNA(VLOOKUP($B166,'E-1 Off-Site Hedge Baseline'!$B$1:$L$257,11,FALSE)),"",(VLOOKUP($B166,'E-1 Off-Site Hedge Baseline'!$B$1:$L$257,11,FALSE))))</f>
        <v/>
      </c>
      <c r="K166" s="382" t="str">
        <f>IF(B166="","",IF(ISNA(VLOOKUP($B166,'E-1 Off-Site Hedge Baseline'!$B$1:$X$257,113,FALSE)),"",(VLOOKUP($B166,'E-1 Off-Site Hedge Baseline'!$B$1:$X$257,13,FALSE))))</f>
        <v/>
      </c>
      <c r="L166" s="370" t="str">
        <f>IF(B166="","",IF(ISNA(VLOOKUP($B166,'E-1 Off-Site Hedge Baseline'!$B$1:$X$257,12,FALSE)),"",(VLOOKUP($B166,'E-1 Off-Site Hedge Baseline'!$B$1:$X$257,12,FALSE))))</f>
        <v/>
      </c>
      <c r="M166" s="316" t="str">
        <f t="shared" si="18"/>
        <v/>
      </c>
      <c r="N166" s="362" t="str">
        <f>IFERROR(IF(B166="","",INDEX('G-6 Hedgerow Data'!$AN$3:$AZ$15,MATCH(C166,'G-6 Hedgerow Data'!$AM$3:$AM$15,0),MATCH(M166,'G-6 Hedgerow Data'!$AN$2:$AZ$2,0))),"")</f>
        <v/>
      </c>
      <c r="O166" s="363" t="str">
        <f t="shared" si="20"/>
        <v/>
      </c>
      <c r="P166" s="368" t="str">
        <f>IF(B166="","",VLOOKUP(B166,'E-1 Off-Site Hedge Baseline'!$B$10:W411,19,FALSE))</f>
        <v/>
      </c>
      <c r="Q166" s="362" t="str">
        <f>IF(M166="","",VLOOKUP(M166,'G-6 Hedgerow Data'!$B$2:$AG$15,2,FALSE))</f>
        <v/>
      </c>
      <c r="R166" s="363" t="str">
        <f>IF(M166="","",VLOOKUP(M166,'G-6 Hedgerow Data'!$B$2:$AG$15,3,FALSE))</f>
        <v/>
      </c>
      <c r="S166" s="114"/>
      <c r="T166" s="363" t="str">
        <f>IFERROR(IF(AND(Q166="V.Low",OR(S166="Good",S166="Moderate")),"Error ▲",VLOOKUP(S166,'G-1 All Habitats'!$Z$2:$AA$9,2,FALSE)),"")</f>
        <v/>
      </c>
      <c r="U166" s="114"/>
      <c r="V166" s="370" t="str">
        <f>IF(U166="","",IF(VLOOKUP(U166,'G-3 Multipliers'!$L$3:$N$6,2,FALSE)=0,"Spatial Data Missing ⚠",VLOOKUP(U166,'G-3 Multipliers'!$L$3:$N$6,2,FALSE)))</f>
        <v/>
      </c>
      <c r="W166" s="368" t="str">
        <f>IF(U166="","",IF(VLOOKUP(U166,'G-3 Multipliers'!$L$3:$N$6,3,FALSE)=0,"Spatial Data Missing ⚠",VLOOKUP(U166,'G-3 Multipliers'!$L$3:$N$6,3,FALSE)))</f>
        <v/>
      </c>
      <c r="X166" s="362" t="str">
        <f>IFERROR(IF(OR(LEFT(O166,5)="Error",LEFT(N166,5)="Error",T166="Error"),"Check Data ⚠",IF(F166&lt;R166,INDEX('G-6 Hedgerow Data'!$S$3:$AE$14,MATCH(C166,'G-6 Hedgerow Data'!$B$3:$B$14,0),MATCH(M166,'G-6 Hedgerow Data'!$S$2:$AE$2,0)),INDEX('G-6 Hedgerow Data'!$K$3:$Q$14,MATCH(M166,'G-6 Hedgerow Data'!$B$3:$B$14,0),MATCH(O166,'G-6 Hedgerow Data'!$K$2:$Q$2,0)))),"")</f>
        <v/>
      </c>
      <c r="Y166" s="159"/>
      <c r="Z166" s="159"/>
      <c r="AA166" s="370" t="str">
        <f t="shared" si="21"/>
        <v/>
      </c>
      <c r="AB166" s="383" t="str">
        <f t="shared" si="22"/>
        <v/>
      </c>
      <c r="AC166" s="384" t="str">
        <f t="shared" si="19"/>
        <v/>
      </c>
      <c r="AD166" s="398" t="str">
        <f>IF(M166="","",VLOOKUP(M166,'G-6 Hedgerow Data'!$B$3:$AG$15,31,FALSE))</f>
        <v/>
      </c>
      <c r="AE166" s="382" t="str">
        <f t="shared" si="23"/>
        <v/>
      </c>
      <c r="AF166" s="382" t="str">
        <f t="shared" si="24"/>
        <v/>
      </c>
      <c r="AG166" s="386" t="str">
        <f>IFERROR(IF(O166="","",VLOOKUP(AD166,'G-3 Multipliers'!$P$3:$Q$6,2,FALSE)),"")</f>
        <v/>
      </c>
      <c r="AH166" s="160"/>
      <c r="AI166" s="363" t="str">
        <f>IF(AH166="","",IF(VLOOKUP(AH166,'G-3 Multipliers'!$S$3:$T$10,2,FALSE)=0,"Spatial Data Missing ⚠",VLOOKUP(AH166,'G-3 Multipliers'!$S$3:$T$10,2,FALSE)))</f>
        <v/>
      </c>
      <c r="AJ166" s="405" t="str">
        <f t="shared" si="25"/>
        <v/>
      </c>
      <c r="AK166" s="376" t="str">
        <f t="shared" si="26"/>
        <v/>
      </c>
      <c r="AL166" s="117"/>
      <c r="AM166" s="118"/>
      <c r="AN166" s="120"/>
      <c r="AO166" s="120"/>
      <c r="AQ166" s="30" t="str">
        <f>IFERROR(INDEX('G-6 Hedgerow Data'!$BJ$3:$BJ$15,MATCH(M166,'G-6 Hedgerow Data'!$B$3:$B$15,0)),"")</f>
        <v/>
      </c>
    </row>
    <row r="167" spans="2:43" ht="15">
      <c r="B167" s="392" t="str">
        <f>'E-1 Off-Site Hedge Baseline'!AN165</f>
        <v/>
      </c>
      <c r="C167" s="382" t="str">
        <f>IF(B167="","",IF(ISNA(VLOOKUP($B167,'E-1 Off-Site Hedge Baseline'!$B$1:$L$257,3,FALSE)),"",(VLOOKUP($B167,'E-1 Off-Site Hedge Baseline'!$B$1:$L$257,3,FALSE))))</f>
        <v/>
      </c>
      <c r="D167" s="382" t="str">
        <f>IF(B167="","",IF(ISNA(VLOOKUP($B167,'E-1 Off-Site Hedge Baseline'!$B$1:$L$258,4,FALSE)),"",(VLOOKUP($B167,'E-1 Off-Site Hedge Baseline'!$B$1:$L$258,4,FALSE))))</f>
        <v/>
      </c>
      <c r="E167" s="382" t="str">
        <f>IF(B167="","",IF(ISNA(VLOOKUP($B167,'E-1 Off-Site Hedge Baseline'!$B$1:$L$257,5,FALSE)),"",(VLOOKUP($B167,'E-1 Off-Site Hedge Baseline'!$B$1:$L$257,5,FALSE))))</f>
        <v/>
      </c>
      <c r="F167" s="382" t="str">
        <f>IF(B167="","",IF(ISNA(VLOOKUP($B167,'E-1 Off-Site Hedge Baseline'!$B$1:$L$257,6,FALSE)),"",(VLOOKUP($B167,'E-1 Off-Site Hedge Baseline'!$B$1:$L$257,6,FALSE))))</f>
        <v/>
      </c>
      <c r="G167" s="382" t="str">
        <f>IF(B167="","",IF(ISNA(VLOOKUP($B167,'E-1 Off-Site Hedge Baseline'!$B$1:$L$257,7,FALSE)),"",(VLOOKUP($B167,'E-1 Off-Site Hedge Baseline'!$B$1:$L$257,7,FALSE))))</f>
        <v/>
      </c>
      <c r="H167" s="382" t="str">
        <f>IF(B167="","",IF(ISNA(VLOOKUP($B167,'E-1 Off-Site Hedge Baseline'!$B$1:$L$257,8,FALSE)),"",(VLOOKUP($B167,'E-1 Off-Site Hedge Baseline'!$B$1:$L$257,8,FALSE))))</f>
        <v/>
      </c>
      <c r="I167" s="382" t="str">
        <f>IF(B167="","",IF(ISNA(VLOOKUP($B167,'E-1 Off-Site Hedge Baseline'!$B$1:$L$257,10,FALSE)),"",(VLOOKUP($B167,'E-1 Off-Site Hedge Baseline'!$B$1:$L$257,10,FALSE))))</f>
        <v/>
      </c>
      <c r="J167" s="382" t="str">
        <f>IF(B167="","",IF(ISNA(VLOOKUP($B167,'E-1 Off-Site Hedge Baseline'!$B$1:$L$257,11,FALSE)),"",(VLOOKUP($B167,'E-1 Off-Site Hedge Baseline'!$B$1:$L$257,11,FALSE))))</f>
        <v/>
      </c>
      <c r="K167" s="382" t="str">
        <f>IF(B167="","",IF(ISNA(VLOOKUP($B167,'E-1 Off-Site Hedge Baseline'!$B$1:$X$257,113,FALSE)),"",(VLOOKUP($B167,'E-1 Off-Site Hedge Baseline'!$B$1:$X$257,13,FALSE))))</f>
        <v/>
      </c>
      <c r="L167" s="370" t="str">
        <f>IF(B167="","",IF(ISNA(VLOOKUP($B167,'E-1 Off-Site Hedge Baseline'!$B$1:$X$257,12,FALSE)),"",(VLOOKUP($B167,'E-1 Off-Site Hedge Baseline'!$B$1:$X$257,12,FALSE))))</f>
        <v/>
      </c>
      <c r="M167" s="316" t="str">
        <f t="shared" si="18"/>
        <v/>
      </c>
      <c r="N167" s="362" t="str">
        <f>IFERROR(IF(B167="","",INDEX('G-6 Hedgerow Data'!$AN$3:$AZ$15,MATCH(C167,'G-6 Hedgerow Data'!$AM$3:$AM$15,0),MATCH(M167,'G-6 Hedgerow Data'!$AN$2:$AZ$2,0))),"")</f>
        <v/>
      </c>
      <c r="O167" s="363" t="str">
        <f t="shared" si="20"/>
        <v/>
      </c>
      <c r="P167" s="368" t="str">
        <f>IF(B167="","",VLOOKUP(B167,'E-1 Off-Site Hedge Baseline'!$B$10:W412,19,FALSE))</f>
        <v/>
      </c>
      <c r="Q167" s="362" t="str">
        <f>IF(M167="","",VLOOKUP(M167,'G-6 Hedgerow Data'!$B$2:$AG$15,2,FALSE))</f>
        <v/>
      </c>
      <c r="R167" s="363" t="str">
        <f>IF(M167="","",VLOOKUP(M167,'G-6 Hedgerow Data'!$B$2:$AG$15,3,FALSE))</f>
        <v/>
      </c>
      <c r="S167" s="114"/>
      <c r="T167" s="363" t="str">
        <f>IFERROR(IF(AND(Q167="V.Low",OR(S167="Good",S167="Moderate")),"Error ▲",VLOOKUP(S167,'G-1 All Habitats'!$Z$2:$AA$9,2,FALSE)),"")</f>
        <v/>
      </c>
      <c r="U167" s="114"/>
      <c r="V167" s="370" t="str">
        <f>IF(U167="","",IF(VLOOKUP(U167,'G-3 Multipliers'!$L$3:$N$6,2,FALSE)=0,"Spatial Data Missing ⚠",VLOOKUP(U167,'G-3 Multipliers'!$L$3:$N$6,2,FALSE)))</f>
        <v/>
      </c>
      <c r="W167" s="368" t="str">
        <f>IF(U167="","",IF(VLOOKUP(U167,'G-3 Multipliers'!$L$3:$N$6,3,FALSE)=0,"Spatial Data Missing ⚠",VLOOKUP(U167,'G-3 Multipliers'!$L$3:$N$6,3,FALSE)))</f>
        <v/>
      </c>
      <c r="X167" s="362" t="str">
        <f>IFERROR(IF(OR(LEFT(O167,5)="Error",LEFT(N167,5)="Error",T167="Error"),"Check Data ⚠",IF(F167&lt;R167,INDEX('G-6 Hedgerow Data'!$S$3:$AE$14,MATCH(C167,'G-6 Hedgerow Data'!$B$3:$B$14,0),MATCH(M167,'G-6 Hedgerow Data'!$S$2:$AE$2,0)),INDEX('G-6 Hedgerow Data'!$K$3:$Q$14,MATCH(M167,'G-6 Hedgerow Data'!$B$3:$B$14,0),MATCH(O167,'G-6 Hedgerow Data'!$K$2:$Q$2,0)))),"")</f>
        <v/>
      </c>
      <c r="Y167" s="159"/>
      <c r="Z167" s="159"/>
      <c r="AA167" s="370" t="str">
        <f t="shared" si="21"/>
        <v/>
      </c>
      <c r="AB167" s="383" t="str">
        <f t="shared" si="22"/>
        <v/>
      </c>
      <c r="AC167" s="384" t="str">
        <f t="shared" si="19"/>
        <v/>
      </c>
      <c r="AD167" s="398" t="str">
        <f>IF(M167="","",VLOOKUP(M167,'G-6 Hedgerow Data'!$B$3:$AG$15,31,FALSE))</f>
        <v/>
      </c>
      <c r="AE167" s="382" t="str">
        <f t="shared" si="23"/>
        <v/>
      </c>
      <c r="AF167" s="382" t="str">
        <f t="shared" si="24"/>
        <v/>
      </c>
      <c r="AG167" s="386" t="str">
        <f>IFERROR(IF(O167="","",VLOOKUP(AD167,'G-3 Multipliers'!$P$3:$Q$6,2,FALSE)),"")</f>
        <v/>
      </c>
      <c r="AH167" s="160"/>
      <c r="AI167" s="363" t="str">
        <f>IF(AH167="","",IF(VLOOKUP(AH167,'G-3 Multipliers'!$S$3:$T$10,2,FALSE)=0,"Spatial Data Missing ⚠",VLOOKUP(AH167,'G-3 Multipliers'!$S$3:$T$10,2,FALSE)))</f>
        <v/>
      </c>
      <c r="AJ167" s="405" t="str">
        <f t="shared" si="25"/>
        <v/>
      </c>
      <c r="AK167" s="376" t="str">
        <f t="shared" si="26"/>
        <v/>
      </c>
      <c r="AL167" s="117"/>
      <c r="AM167" s="118"/>
      <c r="AN167" s="120"/>
      <c r="AO167" s="120"/>
      <c r="AQ167" s="30" t="str">
        <f>IFERROR(INDEX('G-6 Hedgerow Data'!$BJ$3:$BJ$15,MATCH(M167,'G-6 Hedgerow Data'!$B$3:$B$15,0)),"")</f>
        <v/>
      </c>
    </row>
    <row r="168" spans="2:43" ht="15">
      <c r="B168" s="392" t="str">
        <f>'E-1 Off-Site Hedge Baseline'!AN166</f>
        <v/>
      </c>
      <c r="C168" s="382" t="str">
        <f>IF(B168="","",IF(ISNA(VLOOKUP($B168,'E-1 Off-Site Hedge Baseline'!$B$1:$L$257,3,FALSE)),"",(VLOOKUP($B168,'E-1 Off-Site Hedge Baseline'!$B$1:$L$257,3,FALSE))))</f>
        <v/>
      </c>
      <c r="D168" s="382" t="str">
        <f>IF(B168="","",IF(ISNA(VLOOKUP($B168,'E-1 Off-Site Hedge Baseline'!$B$1:$L$258,4,FALSE)),"",(VLOOKUP($B168,'E-1 Off-Site Hedge Baseline'!$B$1:$L$258,4,FALSE))))</f>
        <v/>
      </c>
      <c r="E168" s="382" t="str">
        <f>IF(B168="","",IF(ISNA(VLOOKUP($B168,'E-1 Off-Site Hedge Baseline'!$B$1:$L$257,5,FALSE)),"",(VLOOKUP($B168,'E-1 Off-Site Hedge Baseline'!$B$1:$L$257,5,FALSE))))</f>
        <v/>
      </c>
      <c r="F168" s="382" t="str">
        <f>IF(B168="","",IF(ISNA(VLOOKUP($B168,'E-1 Off-Site Hedge Baseline'!$B$1:$L$257,6,FALSE)),"",(VLOOKUP($B168,'E-1 Off-Site Hedge Baseline'!$B$1:$L$257,6,FALSE))))</f>
        <v/>
      </c>
      <c r="G168" s="382" t="str">
        <f>IF(B168="","",IF(ISNA(VLOOKUP($B168,'E-1 Off-Site Hedge Baseline'!$B$1:$L$257,7,FALSE)),"",(VLOOKUP($B168,'E-1 Off-Site Hedge Baseline'!$B$1:$L$257,7,FALSE))))</f>
        <v/>
      </c>
      <c r="H168" s="382" t="str">
        <f>IF(B168="","",IF(ISNA(VLOOKUP($B168,'E-1 Off-Site Hedge Baseline'!$B$1:$L$257,8,FALSE)),"",(VLOOKUP($B168,'E-1 Off-Site Hedge Baseline'!$B$1:$L$257,8,FALSE))))</f>
        <v/>
      </c>
      <c r="I168" s="382" t="str">
        <f>IF(B168="","",IF(ISNA(VLOOKUP($B168,'E-1 Off-Site Hedge Baseline'!$B$1:$L$257,10,FALSE)),"",(VLOOKUP($B168,'E-1 Off-Site Hedge Baseline'!$B$1:$L$257,10,FALSE))))</f>
        <v/>
      </c>
      <c r="J168" s="382" t="str">
        <f>IF(B168="","",IF(ISNA(VLOOKUP($B168,'E-1 Off-Site Hedge Baseline'!$B$1:$L$257,11,FALSE)),"",(VLOOKUP($B168,'E-1 Off-Site Hedge Baseline'!$B$1:$L$257,11,FALSE))))</f>
        <v/>
      </c>
      <c r="K168" s="382" t="str">
        <f>IF(B168="","",IF(ISNA(VLOOKUP($B168,'E-1 Off-Site Hedge Baseline'!$B$1:$X$257,113,FALSE)),"",(VLOOKUP($B168,'E-1 Off-Site Hedge Baseline'!$B$1:$X$257,13,FALSE))))</f>
        <v/>
      </c>
      <c r="L168" s="370" t="str">
        <f>IF(B168="","",IF(ISNA(VLOOKUP($B168,'E-1 Off-Site Hedge Baseline'!$B$1:$X$257,12,FALSE)),"",(VLOOKUP($B168,'E-1 Off-Site Hedge Baseline'!$B$1:$X$257,12,FALSE))))</f>
        <v/>
      </c>
      <c r="M168" s="316" t="str">
        <f t="shared" si="18"/>
        <v/>
      </c>
      <c r="N168" s="362" t="str">
        <f>IFERROR(IF(B168="","",INDEX('G-6 Hedgerow Data'!$AN$3:$AZ$15,MATCH(C168,'G-6 Hedgerow Data'!$AM$3:$AM$15,0),MATCH(M168,'G-6 Hedgerow Data'!$AN$2:$AZ$2,0))),"")</f>
        <v/>
      </c>
      <c r="O168" s="363" t="str">
        <f t="shared" si="20"/>
        <v/>
      </c>
      <c r="P168" s="368" t="str">
        <f>IF(B168="","",VLOOKUP(B168,'E-1 Off-Site Hedge Baseline'!$B$10:W413,19,FALSE))</f>
        <v/>
      </c>
      <c r="Q168" s="362" t="str">
        <f>IF(M168="","",VLOOKUP(M168,'G-6 Hedgerow Data'!$B$2:$AG$15,2,FALSE))</f>
        <v/>
      </c>
      <c r="R168" s="363" t="str">
        <f>IF(M168="","",VLOOKUP(M168,'G-6 Hedgerow Data'!$B$2:$AG$15,3,FALSE))</f>
        <v/>
      </c>
      <c r="S168" s="114"/>
      <c r="T168" s="363" t="str">
        <f>IFERROR(IF(AND(Q168="V.Low",OR(S168="Good",S168="Moderate")),"Error ▲",VLOOKUP(S168,'G-1 All Habitats'!$Z$2:$AA$9,2,FALSE)),"")</f>
        <v/>
      </c>
      <c r="U168" s="114"/>
      <c r="V168" s="370" t="str">
        <f>IF(U168="","",IF(VLOOKUP(U168,'G-3 Multipliers'!$L$3:$N$6,2,FALSE)=0,"Spatial Data Missing ⚠",VLOOKUP(U168,'G-3 Multipliers'!$L$3:$N$6,2,FALSE)))</f>
        <v/>
      </c>
      <c r="W168" s="368" t="str">
        <f>IF(U168="","",IF(VLOOKUP(U168,'G-3 Multipliers'!$L$3:$N$6,3,FALSE)=0,"Spatial Data Missing ⚠",VLOOKUP(U168,'G-3 Multipliers'!$L$3:$N$6,3,FALSE)))</f>
        <v/>
      </c>
      <c r="X168" s="362" t="str">
        <f>IFERROR(IF(OR(LEFT(O168,5)="Error",LEFT(N168,5)="Error",T168="Error"),"Check Data ⚠",IF(F168&lt;R168,INDEX('G-6 Hedgerow Data'!$S$3:$AE$14,MATCH(C168,'G-6 Hedgerow Data'!$B$3:$B$14,0),MATCH(M168,'G-6 Hedgerow Data'!$S$2:$AE$2,0)),INDEX('G-6 Hedgerow Data'!$K$3:$Q$14,MATCH(M168,'G-6 Hedgerow Data'!$B$3:$B$14,0),MATCH(O168,'G-6 Hedgerow Data'!$K$2:$Q$2,0)))),"")</f>
        <v/>
      </c>
      <c r="Y168" s="159"/>
      <c r="Z168" s="159"/>
      <c r="AA168" s="370" t="str">
        <f t="shared" si="21"/>
        <v/>
      </c>
      <c r="AB168" s="383" t="str">
        <f t="shared" si="22"/>
        <v/>
      </c>
      <c r="AC168" s="384" t="str">
        <f t="shared" si="19"/>
        <v/>
      </c>
      <c r="AD168" s="398" t="str">
        <f>IF(M168="","",VLOOKUP(M168,'G-6 Hedgerow Data'!$B$3:$AG$15,31,FALSE))</f>
        <v/>
      </c>
      <c r="AE168" s="382" t="str">
        <f t="shared" si="23"/>
        <v/>
      </c>
      <c r="AF168" s="382" t="str">
        <f t="shared" si="24"/>
        <v/>
      </c>
      <c r="AG168" s="386" t="str">
        <f>IFERROR(IF(O168="","",VLOOKUP(AD168,'G-3 Multipliers'!$P$3:$Q$6,2,FALSE)),"")</f>
        <v/>
      </c>
      <c r="AH168" s="160"/>
      <c r="AI168" s="363" t="str">
        <f>IF(AH168="","",IF(VLOOKUP(AH168,'G-3 Multipliers'!$S$3:$T$10,2,FALSE)=0,"Spatial Data Missing ⚠",VLOOKUP(AH168,'G-3 Multipliers'!$S$3:$T$10,2,FALSE)))</f>
        <v/>
      </c>
      <c r="AJ168" s="405" t="str">
        <f t="shared" si="25"/>
        <v/>
      </c>
      <c r="AK168" s="376" t="str">
        <f t="shared" si="26"/>
        <v/>
      </c>
      <c r="AL168" s="117"/>
      <c r="AM168" s="118"/>
      <c r="AN168" s="120"/>
      <c r="AO168" s="120"/>
      <c r="AQ168" s="30" t="str">
        <f>IFERROR(INDEX('G-6 Hedgerow Data'!$BJ$3:$BJ$15,MATCH(M168,'G-6 Hedgerow Data'!$B$3:$B$15,0)),"")</f>
        <v/>
      </c>
    </row>
    <row r="169" spans="2:43" ht="15">
      <c r="B169" s="392" t="str">
        <f>'E-1 Off-Site Hedge Baseline'!AN167</f>
        <v/>
      </c>
      <c r="C169" s="382" t="str">
        <f>IF(B169="","",IF(ISNA(VLOOKUP($B169,'E-1 Off-Site Hedge Baseline'!$B$1:$L$257,3,FALSE)),"",(VLOOKUP($B169,'E-1 Off-Site Hedge Baseline'!$B$1:$L$257,3,FALSE))))</f>
        <v/>
      </c>
      <c r="D169" s="382" t="str">
        <f>IF(B169="","",IF(ISNA(VLOOKUP($B169,'E-1 Off-Site Hedge Baseline'!$B$1:$L$258,4,FALSE)),"",(VLOOKUP($B169,'E-1 Off-Site Hedge Baseline'!$B$1:$L$258,4,FALSE))))</f>
        <v/>
      </c>
      <c r="E169" s="382" t="str">
        <f>IF(B169="","",IF(ISNA(VLOOKUP($B169,'E-1 Off-Site Hedge Baseline'!$B$1:$L$257,5,FALSE)),"",(VLOOKUP($B169,'E-1 Off-Site Hedge Baseline'!$B$1:$L$257,5,FALSE))))</f>
        <v/>
      </c>
      <c r="F169" s="382" t="str">
        <f>IF(B169="","",IF(ISNA(VLOOKUP($B169,'E-1 Off-Site Hedge Baseline'!$B$1:$L$257,6,FALSE)),"",(VLOOKUP($B169,'E-1 Off-Site Hedge Baseline'!$B$1:$L$257,6,FALSE))))</f>
        <v/>
      </c>
      <c r="G169" s="382" t="str">
        <f>IF(B169="","",IF(ISNA(VLOOKUP($B169,'E-1 Off-Site Hedge Baseline'!$B$1:$L$257,7,FALSE)),"",(VLOOKUP($B169,'E-1 Off-Site Hedge Baseline'!$B$1:$L$257,7,FALSE))))</f>
        <v/>
      </c>
      <c r="H169" s="382" t="str">
        <f>IF(B169="","",IF(ISNA(VLOOKUP($B169,'E-1 Off-Site Hedge Baseline'!$B$1:$L$257,8,FALSE)),"",(VLOOKUP($B169,'E-1 Off-Site Hedge Baseline'!$B$1:$L$257,8,FALSE))))</f>
        <v/>
      </c>
      <c r="I169" s="382" t="str">
        <f>IF(B169="","",IF(ISNA(VLOOKUP($B169,'E-1 Off-Site Hedge Baseline'!$B$1:$L$257,10,FALSE)),"",(VLOOKUP($B169,'E-1 Off-Site Hedge Baseline'!$B$1:$L$257,10,FALSE))))</f>
        <v/>
      </c>
      <c r="J169" s="382" t="str">
        <f>IF(B169="","",IF(ISNA(VLOOKUP($B169,'E-1 Off-Site Hedge Baseline'!$B$1:$L$257,11,FALSE)),"",(VLOOKUP($B169,'E-1 Off-Site Hedge Baseline'!$B$1:$L$257,11,FALSE))))</f>
        <v/>
      </c>
      <c r="K169" s="382" t="str">
        <f>IF(B169="","",IF(ISNA(VLOOKUP($B169,'E-1 Off-Site Hedge Baseline'!$B$1:$X$257,113,FALSE)),"",(VLOOKUP($B169,'E-1 Off-Site Hedge Baseline'!$B$1:$X$257,13,FALSE))))</f>
        <v/>
      </c>
      <c r="L169" s="370" t="str">
        <f>IF(B169="","",IF(ISNA(VLOOKUP($B169,'E-1 Off-Site Hedge Baseline'!$B$1:$X$257,12,FALSE)),"",(VLOOKUP($B169,'E-1 Off-Site Hedge Baseline'!$B$1:$X$257,12,FALSE))))</f>
        <v/>
      </c>
      <c r="M169" s="316" t="str">
        <f t="shared" si="18"/>
        <v/>
      </c>
      <c r="N169" s="362" t="str">
        <f>IFERROR(IF(B169="","",INDEX('G-6 Hedgerow Data'!$AN$3:$AZ$15,MATCH(C169,'G-6 Hedgerow Data'!$AM$3:$AM$15,0),MATCH(M169,'G-6 Hedgerow Data'!$AN$2:$AZ$2,0))),"")</f>
        <v/>
      </c>
      <c r="O169" s="363" t="str">
        <f t="shared" si="20"/>
        <v/>
      </c>
      <c r="P169" s="368" t="str">
        <f>IF(B169="","",VLOOKUP(B169,'E-1 Off-Site Hedge Baseline'!$B$10:W414,19,FALSE))</f>
        <v/>
      </c>
      <c r="Q169" s="362" t="str">
        <f>IF(M169="","",VLOOKUP(M169,'G-6 Hedgerow Data'!$B$2:$AG$15,2,FALSE))</f>
        <v/>
      </c>
      <c r="R169" s="363" t="str">
        <f>IF(M169="","",VLOOKUP(M169,'G-6 Hedgerow Data'!$B$2:$AG$15,3,FALSE))</f>
        <v/>
      </c>
      <c r="S169" s="114"/>
      <c r="T169" s="363" t="str">
        <f>IFERROR(IF(AND(Q169="V.Low",OR(S169="Good",S169="Moderate")),"Error ▲",VLOOKUP(S169,'G-1 All Habitats'!$Z$2:$AA$9,2,FALSE)),"")</f>
        <v/>
      </c>
      <c r="U169" s="114"/>
      <c r="V169" s="370" t="str">
        <f>IF(U169="","",IF(VLOOKUP(U169,'G-3 Multipliers'!$L$3:$N$6,2,FALSE)=0,"Spatial Data Missing ⚠",VLOOKUP(U169,'G-3 Multipliers'!$L$3:$N$6,2,FALSE)))</f>
        <v/>
      </c>
      <c r="W169" s="368" t="str">
        <f>IF(U169="","",IF(VLOOKUP(U169,'G-3 Multipliers'!$L$3:$N$6,3,FALSE)=0,"Spatial Data Missing ⚠",VLOOKUP(U169,'G-3 Multipliers'!$L$3:$N$6,3,FALSE)))</f>
        <v/>
      </c>
      <c r="X169" s="362" t="str">
        <f>IFERROR(IF(OR(LEFT(O169,5)="Error",LEFT(N169,5)="Error",T169="Error"),"Check Data ⚠",IF(F169&lt;R169,INDEX('G-6 Hedgerow Data'!$S$3:$AE$14,MATCH(C169,'G-6 Hedgerow Data'!$B$3:$B$14,0),MATCH(M169,'G-6 Hedgerow Data'!$S$2:$AE$2,0)),INDEX('G-6 Hedgerow Data'!$K$3:$Q$14,MATCH(M169,'G-6 Hedgerow Data'!$B$3:$B$14,0),MATCH(O169,'G-6 Hedgerow Data'!$K$2:$Q$2,0)))),"")</f>
        <v/>
      </c>
      <c r="Y169" s="159"/>
      <c r="Z169" s="159"/>
      <c r="AA169" s="370" t="str">
        <f t="shared" si="21"/>
        <v/>
      </c>
      <c r="AB169" s="383" t="str">
        <f t="shared" si="22"/>
        <v/>
      </c>
      <c r="AC169" s="384" t="str">
        <f t="shared" si="19"/>
        <v/>
      </c>
      <c r="AD169" s="398" t="str">
        <f>IF(M169="","",VLOOKUP(M169,'G-6 Hedgerow Data'!$B$3:$AG$15,31,FALSE))</f>
        <v/>
      </c>
      <c r="AE169" s="382" t="str">
        <f t="shared" si="23"/>
        <v/>
      </c>
      <c r="AF169" s="382" t="str">
        <f t="shared" si="24"/>
        <v/>
      </c>
      <c r="AG169" s="386" t="str">
        <f>IFERROR(IF(O169="","",VLOOKUP(AD169,'G-3 Multipliers'!$P$3:$Q$6,2,FALSE)),"")</f>
        <v/>
      </c>
      <c r="AH169" s="160"/>
      <c r="AI169" s="363" t="str">
        <f>IF(AH169="","",IF(VLOOKUP(AH169,'G-3 Multipliers'!$S$3:$T$10,2,FALSE)=0,"Spatial Data Missing ⚠",VLOOKUP(AH169,'G-3 Multipliers'!$S$3:$T$10,2,FALSE)))</f>
        <v/>
      </c>
      <c r="AJ169" s="405" t="str">
        <f t="shared" si="25"/>
        <v/>
      </c>
      <c r="AK169" s="376" t="str">
        <f t="shared" si="26"/>
        <v/>
      </c>
      <c r="AL169" s="117"/>
      <c r="AM169" s="118"/>
      <c r="AN169" s="120"/>
      <c r="AO169" s="120"/>
      <c r="AQ169" s="30" t="str">
        <f>IFERROR(INDEX('G-6 Hedgerow Data'!$BJ$3:$BJ$15,MATCH(M169,'G-6 Hedgerow Data'!$B$3:$B$15,0)),"")</f>
        <v/>
      </c>
    </row>
    <row r="170" spans="2:43" ht="15">
      <c r="B170" s="392" t="str">
        <f>'E-1 Off-Site Hedge Baseline'!AN168</f>
        <v/>
      </c>
      <c r="C170" s="382" t="str">
        <f>IF(B170="","",IF(ISNA(VLOOKUP($B170,'E-1 Off-Site Hedge Baseline'!$B$1:$L$257,3,FALSE)),"",(VLOOKUP($B170,'E-1 Off-Site Hedge Baseline'!$B$1:$L$257,3,FALSE))))</f>
        <v/>
      </c>
      <c r="D170" s="382" t="str">
        <f>IF(B170="","",IF(ISNA(VLOOKUP($B170,'E-1 Off-Site Hedge Baseline'!$B$1:$L$258,4,FALSE)),"",(VLOOKUP($B170,'E-1 Off-Site Hedge Baseline'!$B$1:$L$258,4,FALSE))))</f>
        <v/>
      </c>
      <c r="E170" s="382" t="str">
        <f>IF(B170="","",IF(ISNA(VLOOKUP($B170,'E-1 Off-Site Hedge Baseline'!$B$1:$L$257,5,FALSE)),"",(VLOOKUP($B170,'E-1 Off-Site Hedge Baseline'!$B$1:$L$257,5,FALSE))))</f>
        <v/>
      </c>
      <c r="F170" s="382" t="str">
        <f>IF(B170="","",IF(ISNA(VLOOKUP($B170,'E-1 Off-Site Hedge Baseline'!$B$1:$L$257,6,FALSE)),"",(VLOOKUP($B170,'E-1 Off-Site Hedge Baseline'!$B$1:$L$257,6,FALSE))))</f>
        <v/>
      </c>
      <c r="G170" s="382" t="str">
        <f>IF(B170="","",IF(ISNA(VLOOKUP($B170,'E-1 Off-Site Hedge Baseline'!$B$1:$L$257,7,FALSE)),"",(VLOOKUP($B170,'E-1 Off-Site Hedge Baseline'!$B$1:$L$257,7,FALSE))))</f>
        <v/>
      </c>
      <c r="H170" s="382" t="str">
        <f>IF(B170="","",IF(ISNA(VLOOKUP($B170,'E-1 Off-Site Hedge Baseline'!$B$1:$L$257,8,FALSE)),"",(VLOOKUP($B170,'E-1 Off-Site Hedge Baseline'!$B$1:$L$257,8,FALSE))))</f>
        <v/>
      </c>
      <c r="I170" s="382" t="str">
        <f>IF(B170="","",IF(ISNA(VLOOKUP($B170,'E-1 Off-Site Hedge Baseline'!$B$1:$L$257,10,FALSE)),"",(VLOOKUP($B170,'E-1 Off-Site Hedge Baseline'!$B$1:$L$257,10,FALSE))))</f>
        <v/>
      </c>
      <c r="J170" s="382" t="str">
        <f>IF(B170="","",IF(ISNA(VLOOKUP($B170,'E-1 Off-Site Hedge Baseline'!$B$1:$L$257,11,FALSE)),"",(VLOOKUP($B170,'E-1 Off-Site Hedge Baseline'!$B$1:$L$257,11,FALSE))))</f>
        <v/>
      </c>
      <c r="K170" s="382" t="str">
        <f>IF(B170="","",IF(ISNA(VLOOKUP($B170,'E-1 Off-Site Hedge Baseline'!$B$1:$X$257,113,FALSE)),"",(VLOOKUP($B170,'E-1 Off-Site Hedge Baseline'!$B$1:$X$257,13,FALSE))))</f>
        <v/>
      </c>
      <c r="L170" s="370" t="str">
        <f>IF(B170="","",IF(ISNA(VLOOKUP($B170,'E-1 Off-Site Hedge Baseline'!$B$1:$X$257,12,FALSE)),"",(VLOOKUP($B170,'E-1 Off-Site Hedge Baseline'!$B$1:$X$257,12,FALSE))))</f>
        <v/>
      </c>
      <c r="M170" s="316" t="str">
        <f t="shared" si="18"/>
        <v/>
      </c>
      <c r="N170" s="362" t="str">
        <f>IFERROR(IF(B170="","",INDEX('G-6 Hedgerow Data'!$AN$3:$AZ$15,MATCH(C170,'G-6 Hedgerow Data'!$AM$3:$AM$15,0),MATCH(M170,'G-6 Hedgerow Data'!$AN$2:$AZ$2,0))),"")</f>
        <v/>
      </c>
      <c r="O170" s="363" t="str">
        <f t="shared" si="20"/>
        <v/>
      </c>
      <c r="P170" s="368" t="str">
        <f>IF(B170="","",VLOOKUP(B170,'E-1 Off-Site Hedge Baseline'!$B$10:W415,19,FALSE))</f>
        <v/>
      </c>
      <c r="Q170" s="362" t="str">
        <f>IF(M170="","",VLOOKUP(M170,'G-6 Hedgerow Data'!$B$2:$AG$15,2,FALSE))</f>
        <v/>
      </c>
      <c r="R170" s="363" t="str">
        <f>IF(M170="","",VLOOKUP(M170,'G-6 Hedgerow Data'!$B$2:$AG$15,3,FALSE))</f>
        <v/>
      </c>
      <c r="S170" s="114"/>
      <c r="T170" s="363" t="str">
        <f>IFERROR(IF(AND(Q170="V.Low",OR(S170="Good",S170="Moderate")),"Error ▲",VLOOKUP(S170,'G-1 All Habitats'!$Z$2:$AA$9,2,FALSE)),"")</f>
        <v/>
      </c>
      <c r="U170" s="114"/>
      <c r="V170" s="370" t="str">
        <f>IF(U170="","",IF(VLOOKUP(U170,'G-3 Multipliers'!$L$3:$N$6,2,FALSE)=0,"Spatial Data Missing ⚠",VLOOKUP(U170,'G-3 Multipliers'!$L$3:$N$6,2,FALSE)))</f>
        <v/>
      </c>
      <c r="W170" s="368" t="str">
        <f>IF(U170="","",IF(VLOOKUP(U170,'G-3 Multipliers'!$L$3:$N$6,3,FALSE)=0,"Spatial Data Missing ⚠",VLOOKUP(U170,'G-3 Multipliers'!$L$3:$N$6,3,FALSE)))</f>
        <v/>
      </c>
      <c r="X170" s="362" t="str">
        <f>IFERROR(IF(OR(LEFT(O170,5)="Error",LEFT(N170,5)="Error",T170="Error"),"Check Data ⚠",IF(F170&lt;R170,INDEX('G-6 Hedgerow Data'!$S$3:$AE$14,MATCH(C170,'G-6 Hedgerow Data'!$B$3:$B$14,0),MATCH(M170,'G-6 Hedgerow Data'!$S$2:$AE$2,0)),INDEX('G-6 Hedgerow Data'!$K$3:$Q$14,MATCH(M170,'G-6 Hedgerow Data'!$B$3:$B$14,0),MATCH(O170,'G-6 Hedgerow Data'!$K$2:$Q$2,0)))),"")</f>
        <v/>
      </c>
      <c r="Y170" s="159"/>
      <c r="Z170" s="159"/>
      <c r="AA170" s="370" t="str">
        <f t="shared" si="21"/>
        <v/>
      </c>
      <c r="AB170" s="383" t="str">
        <f t="shared" si="22"/>
        <v/>
      </c>
      <c r="AC170" s="384" t="str">
        <f t="shared" si="19"/>
        <v/>
      </c>
      <c r="AD170" s="398" t="str">
        <f>IF(M170="","",VLOOKUP(M170,'G-6 Hedgerow Data'!$B$3:$AG$15,31,FALSE))</f>
        <v/>
      </c>
      <c r="AE170" s="382" t="str">
        <f t="shared" si="23"/>
        <v/>
      </c>
      <c r="AF170" s="382" t="str">
        <f t="shared" si="24"/>
        <v/>
      </c>
      <c r="AG170" s="386" t="str">
        <f>IFERROR(IF(O170="","",VLOOKUP(AD170,'G-3 Multipliers'!$P$3:$Q$6,2,FALSE)),"")</f>
        <v/>
      </c>
      <c r="AH170" s="160"/>
      <c r="AI170" s="363" t="str">
        <f>IF(AH170="","",IF(VLOOKUP(AH170,'G-3 Multipliers'!$S$3:$T$10,2,FALSE)=0,"Spatial Data Missing ⚠",VLOOKUP(AH170,'G-3 Multipliers'!$S$3:$T$10,2,FALSE)))</f>
        <v/>
      </c>
      <c r="AJ170" s="405" t="str">
        <f t="shared" si="25"/>
        <v/>
      </c>
      <c r="AK170" s="376" t="str">
        <f t="shared" si="26"/>
        <v/>
      </c>
      <c r="AL170" s="117"/>
      <c r="AM170" s="118"/>
      <c r="AN170" s="120"/>
      <c r="AO170" s="120"/>
      <c r="AQ170" s="30" t="str">
        <f>IFERROR(INDEX('G-6 Hedgerow Data'!$BJ$3:$BJ$15,MATCH(M170,'G-6 Hedgerow Data'!$B$3:$B$15,0)),"")</f>
        <v/>
      </c>
    </row>
    <row r="171" spans="2:43" ht="15">
      <c r="B171" s="392" t="str">
        <f>'E-1 Off-Site Hedge Baseline'!AN169</f>
        <v/>
      </c>
      <c r="C171" s="382" t="str">
        <f>IF(B171="","",IF(ISNA(VLOOKUP($B171,'E-1 Off-Site Hedge Baseline'!$B$1:$L$257,3,FALSE)),"",(VLOOKUP($B171,'E-1 Off-Site Hedge Baseline'!$B$1:$L$257,3,FALSE))))</f>
        <v/>
      </c>
      <c r="D171" s="382" t="str">
        <f>IF(B171="","",IF(ISNA(VLOOKUP($B171,'E-1 Off-Site Hedge Baseline'!$B$1:$L$258,4,FALSE)),"",(VLOOKUP($B171,'E-1 Off-Site Hedge Baseline'!$B$1:$L$258,4,FALSE))))</f>
        <v/>
      </c>
      <c r="E171" s="382" t="str">
        <f>IF(B171="","",IF(ISNA(VLOOKUP($B171,'E-1 Off-Site Hedge Baseline'!$B$1:$L$257,5,FALSE)),"",(VLOOKUP($B171,'E-1 Off-Site Hedge Baseline'!$B$1:$L$257,5,FALSE))))</f>
        <v/>
      </c>
      <c r="F171" s="382" t="str">
        <f>IF(B171="","",IF(ISNA(VLOOKUP($B171,'E-1 Off-Site Hedge Baseline'!$B$1:$L$257,6,FALSE)),"",(VLOOKUP($B171,'E-1 Off-Site Hedge Baseline'!$B$1:$L$257,6,FALSE))))</f>
        <v/>
      </c>
      <c r="G171" s="382" t="str">
        <f>IF(B171="","",IF(ISNA(VLOOKUP($B171,'E-1 Off-Site Hedge Baseline'!$B$1:$L$257,7,FALSE)),"",(VLOOKUP($B171,'E-1 Off-Site Hedge Baseline'!$B$1:$L$257,7,FALSE))))</f>
        <v/>
      </c>
      <c r="H171" s="382" t="str">
        <f>IF(B171="","",IF(ISNA(VLOOKUP($B171,'E-1 Off-Site Hedge Baseline'!$B$1:$L$257,8,FALSE)),"",(VLOOKUP($B171,'E-1 Off-Site Hedge Baseline'!$B$1:$L$257,8,FALSE))))</f>
        <v/>
      </c>
      <c r="I171" s="382" t="str">
        <f>IF(B171="","",IF(ISNA(VLOOKUP($B171,'E-1 Off-Site Hedge Baseline'!$B$1:$L$257,10,FALSE)),"",(VLOOKUP($B171,'E-1 Off-Site Hedge Baseline'!$B$1:$L$257,10,FALSE))))</f>
        <v/>
      </c>
      <c r="J171" s="382" t="str">
        <f>IF(B171="","",IF(ISNA(VLOOKUP($B171,'E-1 Off-Site Hedge Baseline'!$B$1:$L$257,11,FALSE)),"",(VLOOKUP($B171,'E-1 Off-Site Hedge Baseline'!$B$1:$L$257,11,FALSE))))</f>
        <v/>
      </c>
      <c r="K171" s="382" t="str">
        <f>IF(B171="","",IF(ISNA(VLOOKUP($B171,'E-1 Off-Site Hedge Baseline'!$B$1:$X$257,113,FALSE)),"",(VLOOKUP($B171,'E-1 Off-Site Hedge Baseline'!$B$1:$X$257,13,FALSE))))</f>
        <v/>
      </c>
      <c r="L171" s="370" t="str">
        <f>IF(B171="","",IF(ISNA(VLOOKUP($B171,'E-1 Off-Site Hedge Baseline'!$B$1:$X$257,12,FALSE)),"",(VLOOKUP($B171,'E-1 Off-Site Hedge Baseline'!$B$1:$X$257,12,FALSE))))</f>
        <v/>
      </c>
      <c r="M171" s="316" t="str">
        <f t="shared" si="18"/>
        <v/>
      </c>
      <c r="N171" s="362" t="str">
        <f>IFERROR(IF(B171="","",INDEX('G-6 Hedgerow Data'!$AN$3:$AZ$15,MATCH(C171,'G-6 Hedgerow Data'!$AM$3:$AM$15,0),MATCH(M171,'G-6 Hedgerow Data'!$AN$2:$AZ$2,0))),"")</f>
        <v/>
      </c>
      <c r="O171" s="363" t="str">
        <f t="shared" si="20"/>
        <v/>
      </c>
      <c r="P171" s="368" t="str">
        <f>IF(B171="","",VLOOKUP(B171,'E-1 Off-Site Hedge Baseline'!$B$10:W416,19,FALSE))</f>
        <v/>
      </c>
      <c r="Q171" s="362" t="str">
        <f>IF(M171="","",VLOOKUP(M171,'G-6 Hedgerow Data'!$B$2:$AG$15,2,FALSE))</f>
        <v/>
      </c>
      <c r="R171" s="363" t="str">
        <f>IF(M171="","",VLOOKUP(M171,'G-6 Hedgerow Data'!$B$2:$AG$15,3,FALSE))</f>
        <v/>
      </c>
      <c r="S171" s="114"/>
      <c r="T171" s="363" t="str">
        <f>IFERROR(IF(AND(Q171="V.Low",OR(S171="Good",S171="Moderate")),"Error ▲",VLOOKUP(S171,'G-1 All Habitats'!$Z$2:$AA$9,2,FALSE)),"")</f>
        <v/>
      </c>
      <c r="U171" s="114"/>
      <c r="V171" s="370" t="str">
        <f>IF(U171="","",IF(VLOOKUP(U171,'G-3 Multipliers'!$L$3:$N$6,2,FALSE)=0,"Spatial Data Missing ⚠",VLOOKUP(U171,'G-3 Multipliers'!$L$3:$N$6,2,FALSE)))</f>
        <v/>
      </c>
      <c r="W171" s="368" t="str">
        <f>IF(U171="","",IF(VLOOKUP(U171,'G-3 Multipliers'!$L$3:$N$6,3,FALSE)=0,"Spatial Data Missing ⚠",VLOOKUP(U171,'G-3 Multipliers'!$L$3:$N$6,3,FALSE)))</f>
        <v/>
      </c>
      <c r="X171" s="362" t="str">
        <f>IFERROR(IF(OR(LEFT(O171,5)="Error",LEFT(N171,5)="Error",T171="Error"),"Check Data ⚠",IF(F171&lt;R171,INDEX('G-6 Hedgerow Data'!$S$3:$AE$14,MATCH(C171,'G-6 Hedgerow Data'!$B$3:$B$14,0),MATCH(M171,'G-6 Hedgerow Data'!$S$2:$AE$2,0)),INDEX('G-6 Hedgerow Data'!$K$3:$Q$14,MATCH(M171,'G-6 Hedgerow Data'!$B$3:$B$14,0),MATCH(O171,'G-6 Hedgerow Data'!$K$2:$Q$2,0)))),"")</f>
        <v/>
      </c>
      <c r="Y171" s="159"/>
      <c r="Z171" s="159"/>
      <c r="AA171" s="370" t="str">
        <f t="shared" si="21"/>
        <v/>
      </c>
      <c r="AB171" s="383" t="str">
        <f t="shared" si="22"/>
        <v/>
      </c>
      <c r="AC171" s="384" t="str">
        <f t="shared" si="19"/>
        <v/>
      </c>
      <c r="AD171" s="398" t="str">
        <f>IF(M171="","",VLOOKUP(M171,'G-6 Hedgerow Data'!$B$3:$AG$15,31,FALSE))</f>
        <v/>
      </c>
      <c r="AE171" s="382" t="str">
        <f t="shared" si="23"/>
        <v/>
      </c>
      <c r="AF171" s="382" t="str">
        <f t="shared" si="24"/>
        <v/>
      </c>
      <c r="AG171" s="386" t="str">
        <f>IFERROR(IF(O171="","",VLOOKUP(AD171,'G-3 Multipliers'!$P$3:$Q$6,2,FALSE)),"")</f>
        <v/>
      </c>
      <c r="AH171" s="160"/>
      <c r="AI171" s="363" t="str">
        <f>IF(AH171="","",IF(VLOOKUP(AH171,'G-3 Multipliers'!$S$3:$T$10,2,FALSE)=0,"Spatial Data Missing ⚠",VLOOKUP(AH171,'G-3 Multipliers'!$S$3:$T$10,2,FALSE)))</f>
        <v/>
      </c>
      <c r="AJ171" s="405" t="str">
        <f t="shared" si="25"/>
        <v/>
      </c>
      <c r="AK171" s="376" t="str">
        <f t="shared" si="26"/>
        <v/>
      </c>
      <c r="AL171" s="117"/>
      <c r="AM171" s="118"/>
      <c r="AN171" s="120"/>
      <c r="AO171" s="120"/>
      <c r="AQ171" s="30" t="str">
        <f>IFERROR(INDEX('G-6 Hedgerow Data'!$BJ$3:$BJ$15,MATCH(M171,'G-6 Hedgerow Data'!$B$3:$B$15,0)),"")</f>
        <v/>
      </c>
    </row>
    <row r="172" spans="2:43" ht="15">
      <c r="B172" s="392" t="str">
        <f>'E-1 Off-Site Hedge Baseline'!AN170</f>
        <v/>
      </c>
      <c r="C172" s="382" t="str">
        <f>IF(B172="","",IF(ISNA(VLOOKUP($B172,'E-1 Off-Site Hedge Baseline'!$B$1:$L$257,3,FALSE)),"",(VLOOKUP($B172,'E-1 Off-Site Hedge Baseline'!$B$1:$L$257,3,FALSE))))</f>
        <v/>
      </c>
      <c r="D172" s="382" t="str">
        <f>IF(B172="","",IF(ISNA(VLOOKUP($B172,'E-1 Off-Site Hedge Baseline'!$B$1:$L$258,4,FALSE)),"",(VLOOKUP($B172,'E-1 Off-Site Hedge Baseline'!$B$1:$L$258,4,FALSE))))</f>
        <v/>
      </c>
      <c r="E172" s="382" t="str">
        <f>IF(B172="","",IF(ISNA(VLOOKUP($B172,'E-1 Off-Site Hedge Baseline'!$B$1:$L$257,5,FALSE)),"",(VLOOKUP($B172,'E-1 Off-Site Hedge Baseline'!$B$1:$L$257,5,FALSE))))</f>
        <v/>
      </c>
      <c r="F172" s="382" t="str">
        <f>IF(B172="","",IF(ISNA(VLOOKUP($B172,'E-1 Off-Site Hedge Baseline'!$B$1:$L$257,6,FALSE)),"",(VLOOKUP($B172,'E-1 Off-Site Hedge Baseline'!$B$1:$L$257,6,FALSE))))</f>
        <v/>
      </c>
      <c r="G172" s="382" t="str">
        <f>IF(B172="","",IF(ISNA(VLOOKUP($B172,'E-1 Off-Site Hedge Baseline'!$B$1:$L$257,7,FALSE)),"",(VLOOKUP($B172,'E-1 Off-Site Hedge Baseline'!$B$1:$L$257,7,FALSE))))</f>
        <v/>
      </c>
      <c r="H172" s="382" t="str">
        <f>IF(B172="","",IF(ISNA(VLOOKUP($B172,'E-1 Off-Site Hedge Baseline'!$B$1:$L$257,8,FALSE)),"",(VLOOKUP($B172,'E-1 Off-Site Hedge Baseline'!$B$1:$L$257,8,FALSE))))</f>
        <v/>
      </c>
      <c r="I172" s="382" t="str">
        <f>IF(B172="","",IF(ISNA(VLOOKUP($B172,'E-1 Off-Site Hedge Baseline'!$B$1:$L$257,10,FALSE)),"",(VLOOKUP($B172,'E-1 Off-Site Hedge Baseline'!$B$1:$L$257,10,FALSE))))</f>
        <v/>
      </c>
      <c r="J172" s="382" t="str">
        <f>IF(B172="","",IF(ISNA(VLOOKUP($B172,'E-1 Off-Site Hedge Baseline'!$B$1:$L$257,11,FALSE)),"",(VLOOKUP($B172,'E-1 Off-Site Hedge Baseline'!$B$1:$L$257,11,FALSE))))</f>
        <v/>
      </c>
      <c r="K172" s="382" t="str">
        <f>IF(B172="","",IF(ISNA(VLOOKUP($B172,'E-1 Off-Site Hedge Baseline'!$B$1:$X$257,113,FALSE)),"",(VLOOKUP($B172,'E-1 Off-Site Hedge Baseline'!$B$1:$X$257,13,FALSE))))</f>
        <v/>
      </c>
      <c r="L172" s="370" t="str">
        <f>IF(B172="","",IF(ISNA(VLOOKUP($B172,'E-1 Off-Site Hedge Baseline'!$B$1:$X$257,12,FALSE)),"",(VLOOKUP($B172,'E-1 Off-Site Hedge Baseline'!$B$1:$X$257,12,FALSE))))</f>
        <v/>
      </c>
      <c r="M172" s="316" t="str">
        <f t="shared" si="18"/>
        <v/>
      </c>
      <c r="N172" s="362" t="str">
        <f>IFERROR(IF(B172="","",INDEX('G-6 Hedgerow Data'!$AN$3:$AZ$15,MATCH(C172,'G-6 Hedgerow Data'!$AM$3:$AM$15,0),MATCH(M172,'G-6 Hedgerow Data'!$AN$2:$AZ$2,0))),"")</f>
        <v/>
      </c>
      <c r="O172" s="363" t="str">
        <f t="shared" si="20"/>
        <v/>
      </c>
      <c r="P172" s="368" t="str">
        <f>IF(B172="","",VLOOKUP(B172,'E-1 Off-Site Hedge Baseline'!$B$10:W417,19,FALSE))</f>
        <v/>
      </c>
      <c r="Q172" s="362" t="str">
        <f>IF(M172="","",VLOOKUP(M172,'G-6 Hedgerow Data'!$B$2:$AG$15,2,FALSE))</f>
        <v/>
      </c>
      <c r="R172" s="363" t="str">
        <f>IF(M172="","",VLOOKUP(M172,'G-6 Hedgerow Data'!$B$2:$AG$15,3,FALSE))</f>
        <v/>
      </c>
      <c r="S172" s="114"/>
      <c r="T172" s="363" t="str">
        <f>IFERROR(IF(AND(Q172="V.Low",OR(S172="Good",S172="Moderate")),"Error ▲",VLOOKUP(S172,'G-1 All Habitats'!$Z$2:$AA$9,2,FALSE)),"")</f>
        <v/>
      </c>
      <c r="U172" s="114"/>
      <c r="V172" s="370" t="str">
        <f>IF(U172="","",IF(VLOOKUP(U172,'G-3 Multipliers'!$L$3:$N$6,2,FALSE)=0,"Spatial Data Missing ⚠",VLOOKUP(U172,'G-3 Multipliers'!$L$3:$N$6,2,FALSE)))</f>
        <v/>
      </c>
      <c r="W172" s="368" t="str">
        <f>IF(U172="","",IF(VLOOKUP(U172,'G-3 Multipliers'!$L$3:$N$6,3,FALSE)=0,"Spatial Data Missing ⚠",VLOOKUP(U172,'G-3 Multipliers'!$L$3:$N$6,3,FALSE)))</f>
        <v/>
      </c>
      <c r="X172" s="362" t="str">
        <f>IFERROR(IF(OR(LEFT(O172,5)="Error",LEFT(N172,5)="Error",T172="Error"),"Check Data ⚠",IF(F172&lt;R172,INDEX('G-6 Hedgerow Data'!$S$3:$AE$14,MATCH(C172,'G-6 Hedgerow Data'!$B$3:$B$14,0),MATCH(M172,'G-6 Hedgerow Data'!$S$2:$AE$2,0)),INDEX('G-6 Hedgerow Data'!$K$3:$Q$14,MATCH(M172,'G-6 Hedgerow Data'!$B$3:$B$14,0),MATCH(O172,'G-6 Hedgerow Data'!$K$2:$Q$2,0)))),"")</f>
        <v/>
      </c>
      <c r="Y172" s="159"/>
      <c r="Z172" s="159"/>
      <c r="AA172" s="370" t="str">
        <f t="shared" si="21"/>
        <v/>
      </c>
      <c r="AB172" s="383" t="str">
        <f t="shared" si="22"/>
        <v/>
      </c>
      <c r="AC172" s="384" t="str">
        <f t="shared" si="19"/>
        <v/>
      </c>
      <c r="AD172" s="398" t="str">
        <f>IF(M172="","",VLOOKUP(M172,'G-6 Hedgerow Data'!$B$3:$AG$15,31,FALSE))</f>
        <v/>
      </c>
      <c r="AE172" s="382" t="str">
        <f t="shared" si="23"/>
        <v/>
      </c>
      <c r="AF172" s="382" t="str">
        <f t="shared" si="24"/>
        <v/>
      </c>
      <c r="AG172" s="386" t="str">
        <f>IFERROR(IF(O172="","",VLOOKUP(AD172,'G-3 Multipliers'!$P$3:$Q$6,2,FALSE)),"")</f>
        <v/>
      </c>
      <c r="AH172" s="160"/>
      <c r="AI172" s="363" t="str">
        <f>IF(AH172="","",IF(VLOOKUP(AH172,'G-3 Multipliers'!$S$3:$T$10,2,FALSE)=0,"Spatial Data Missing ⚠",VLOOKUP(AH172,'G-3 Multipliers'!$S$3:$T$10,2,FALSE)))</f>
        <v/>
      </c>
      <c r="AJ172" s="405" t="str">
        <f t="shared" si="25"/>
        <v/>
      </c>
      <c r="AK172" s="376" t="str">
        <f t="shared" si="26"/>
        <v/>
      </c>
      <c r="AL172" s="117"/>
      <c r="AM172" s="118"/>
      <c r="AN172" s="120"/>
      <c r="AO172" s="120"/>
      <c r="AQ172" s="30" t="str">
        <f>IFERROR(INDEX('G-6 Hedgerow Data'!$BJ$3:$BJ$15,MATCH(M172,'G-6 Hedgerow Data'!$B$3:$B$15,0)),"")</f>
        <v/>
      </c>
    </row>
    <row r="173" spans="2:43" ht="15">
      <c r="B173" s="392" t="str">
        <f>'E-1 Off-Site Hedge Baseline'!AN171</f>
        <v/>
      </c>
      <c r="C173" s="382" t="str">
        <f>IF(B173="","",IF(ISNA(VLOOKUP($B173,'E-1 Off-Site Hedge Baseline'!$B$1:$L$257,3,FALSE)),"",(VLOOKUP($B173,'E-1 Off-Site Hedge Baseline'!$B$1:$L$257,3,FALSE))))</f>
        <v/>
      </c>
      <c r="D173" s="382" t="str">
        <f>IF(B173="","",IF(ISNA(VLOOKUP($B173,'E-1 Off-Site Hedge Baseline'!$B$1:$L$258,4,FALSE)),"",(VLOOKUP($B173,'E-1 Off-Site Hedge Baseline'!$B$1:$L$258,4,FALSE))))</f>
        <v/>
      </c>
      <c r="E173" s="382" t="str">
        <f>IF(B173="","",IF(ISNA(VLOOKUP($B173,'E-1 Off-Site Hedge Baseline'!$B$1:$L$257,5,FALSE)),"",(VLOOKUP($B173,'E-1 Off-Site Hedge Baseline'!$B$1:$L$257,5,FALSE))))</f>
        <v/>
      </c>
      <c r="F173" s="382" t="str">
        <f>IF(B173="","",IF(ISNA(VLOOKUP($B173,'E-1 Off-Site Hedge Baseline'!$B$1:$L$257,6,FALSE)),"",(VLOOKUP($B173,'E-1 Off-Site Hedge Baseline'!$B$1:$L$257,6,FALSE))))</f>
        <v/>
      </c>
      <c r="G173" s="382" t="str">
        <f>IF(B173="","",IF(ISNA(VLOOKUP($B173,'E-1 Off-Site Hedge Baseline'!$B$1:$L$257,7,FALSE)),"",(VLOOKUP($B173,'E-1 Off-Site Hedge Baseline'!$B$1:$L$257,7,FALSE))))</f>
        <v/>
      </c>
      <c r="H173" s="382" t="str">
        <f>IF(B173="","",IF(ISNA(VLOOKUP($B173,'E-1 Off-Site Hedge Baseline'!$B$1:$L$257,8,FALSE)),"",(VLOOKUP($B173,'E-1 Off-Site Hedge Baseline'!$B$1:$L$257,8,FALSE))))</f>
        <v/>
      </c>
      <c r="I173" s="382" t="str">
        <f>IF(B173="","",IF(ISNA(VLOOKUP($B173,'E-1 Off-Site Hedge Baseline'!$B$1:$L$257,10,FALSE)),"",(VLOOKUP($B173,'E-1 Off-Site Hedge Baseline'!$B$1:$L$257,10,FALSE))))</f>
        <v/>
      </c>
      <c r="J173" s="382" t="str">
        <f>IF(B173="","",IF(ISNA(VLOOKUP($B173,'E-1 Off-Site Hedge Baseline'!$B$1:$L$257,11,FALSE)),"",(VLOOKUP($B173,'E-1 Off-Site Hedge Baseline'!$B$1:$L$257,11,FALSE))))</f>
        <v/>
      </c>
      <c r="K173" s="382" t="str">
        <f>IF(B173="","",IF(ISNA(VLOOKUP($B173,'E-1 Off-Site Hedge Baseline'!$B$1:$X$257,113,FALSE)),"",(VLOOKUP($B173,'E-1 Off-Site Hedge Baseline'!$B$1:$X$257,13,FALSE))))</f>
        <v/>
      </c>
      <c r="L173" s="370" t="str">
        <f>IF(B173="","",IF(ISNA(VLOOKUP($B173,'E-1 Off-Site Hedge Baseline'!$B$1:$X$257,12,FALSE)),"",(VLOOKUP($B173,'E-1 Off-Site Hedge Baseline'!$B$1:$X$257,12,FALSE))))</f>
        <v/>
      </c>
      <c r="M173" s="316" t="str">
        <f t="shared" si="18"/>
        <v/>
      </c>
      <c r="N173" s="362" t="str">
        <f>IFERROR(IF(B173="","",INDEX('G-6 Hedgerow Data'!$AN$3:$AZ$15,MATCH(C173,'G-6 Hedgerow Data'!$AM$3:$AM$15,0),MATCH(M173,'G-6 Hedgerow Data'!$AN$2:$AZ$2,0))),"")</f>
        <v/>
      </c>
      <c r="O173" s="363" t="str">
        <f t="shared" si="20"/>
        <v/>
      </c>
      <c r="P173" s="368" t="str">
        <f>IF(B173="","",VLOOKUP(B173,'E-1 Off-Site Hedge Baseline'!$B$10:W418,19,FALSE))</f>
        <v/>
      </c>
      <c r="Q173" s="362" t="str">
        <f>IF(M173="","",VLOOKUP(M173,'G-6 Hedgerow Data'!$B$2:$AG$15,2,FALSE))</f>
        <v/>
      </c>
      <c r="R173" s="363" t="str">
        <f>IF(M173="","",VLOOKUP(M173,'G-6 Hedgerow Data'!$B$2:$AG$15,3,FALSE))</f>
        <v/>
      </c>
      <c r="S173" s="114"/>
      <c r="T173" s="363" t="str">
        <f>IFERROR(IF(AND(Q173="V.Low",OR(S173="Good",S173="Moderate")),"Error ▲",VLOOKUP(S173,'G-1 All Habitats'!$Z$2:$AA$9,2,FALSE)),"")</f>
        <v/>
      </c>
      <c r="U173" s="114"/>
      <c r="V173" s="370" t="str">
        <f>IF(U173="","",IF(VLOOKUP(U173,'G-3 Multipliers'!$L$3:$N$6,2,FALSE)=0,"Spatial Data Missing ⚠",VLOOKUP(U173,'G-3 Multipliers'!$L$3:$N$6,2,FALSE)))</f>
        <v/>
      </c>
      <c r="W173" s="368" t="str">
        <f>IF(U173="","",IF(VLOOKUP(U173,'G-3 Multipliers'!$L$3:$N$6,3,FALSE)=0,"Spatial Data Missing ⚠",VLOOKUP(U173,'G-3 Multipliers'!$L$3:$N$6,3,FALSE)))</f>
        <v/>
      </c>
      <c r="X173" s="362" t="str">
        <f>IFERROR(IF(OR(LEFT(O173,5)="Error",LEFT(N173,5)="Error",T173="Error"),"Check Data ⚠",IF(F173&lt;R173,INDEX('G-6 Hedgerow Data'!$S$3:$AE$14,MATCH(C173,'G-6 Hedgerow Data'!$B$3:$B$14,0),MATCH(M173,'G-6 Hedgerow Data'!$S$2:$AE$2,0)),INDEX('G-6 Hedgerow Data'!$K$3:$Q$14,MATCH(M173,'G-6 Hedgerow Data'!$B$3:$B$14,0),MATCH(O173,'G-6 Hedgerow Data'!$K$2:$Q$2,0)))),"")</f>
        <v/>
      </c>
      <c r="Y173" s="159"/>
      <c r="Z173" s="159"/>
      <c r="AA173" s="370" t="str">
        <f t="shared" si="21"/>
        <v/>
      </c>
      <c r="AB173" s="383" t="str">
        <f t="shared" si="22"/>
        <v/>
      </c>
      <c r="AC173" s="384" t="str">
        <f t="shared" si="19"/>
        <v/>
      </c>
      <c r="AD173" s="398" t="str">
        <f>IF(M173="","",VLOOKUP(M173,'G-6 Hedgerow Data'!$B$3:$AG$15,31,FALSE))</f>
        <v/>
      </c>
      <c r="AE173" s="382" t="str">
        <f t="shared" si="23"/>
        <v/>
      </c>
      <c r="AF173" s="382" t="str">
        <f t="shared" si="24"/>
        <v/>
      </c>
      <c r="AG173" s="386" t="str">
        <f>IFERROR(IF(O173="","",VLOOKUP(AD173,'G-3 Multipliers'!$P$3:$Q$6,2,FALSE)),"")</f>
        <v/>
      </c>
      <c r="AH173" s="160"/>
      <c r="AI173" s="363" t="str">
        <f>IF(AH173="","",IF(VLOOKUP(AH173,'G-3 Multipliers'!$S$3:$T$10,2,FALSE)=0,"Spatial Data Missing ⚠",VLOOKUP(AH173,'G-3 Multipliers'!$S$3:$T$10,2,FALSE)))</f>
        <v/>
      </c>
      <c r="AJ173" s="405" t="str">
        <f t="shared" si="25"/>
        <v/>
      </c>
      <c r="AK173" s="376" t="str">
        <f t="shared" si="26"/>
        <v/>
      </c>
      <c r="AL173" s="117"/>
      <c r="AM173" s="118"/>
      <c r="AN173" s="120"/>
      <c r="AO173" s="120"/>
      <c r="AQ173" s="30" t="str">
        <f>IFERROR(INDEX('G-6 Hedgerow Data'!$BJ$3:$BJ$15,MATCH(M173,'G-6 Hedgerow Data'!$B$3:$B$15,0)),"")</f>
        <v/>
      </c>
    </row>
    <row r="174" spans="2:43" ht="15">
      <c r="B174" s="392" t="str">
        <f>'E-1 Off-Site Hedge Baseline'!AN172</f>
        <v/>
      </c>
      <c r="C174" s="382" t="str">
        <f>IF(B174="","",IF(ISNA(VLOOKUP($B174,'E-1 Off-Site Hedge Baseline'!$B$1:$L$257,3,FALSE)),"",(VLOOKUP($B174,'E-1 Off-Site Hedge Baseline'!$B$1:$L$257,3,FALSE))))</f>
        <v/>
      </c>
      <c r="D174" s="382" t="str">
        <f>IF(B174="","",IF(ISNA(VLOOKUP($B174,'E-1 Off-Site Hedge Baseline'!$B$1:$L$258,4,FALSE)),"",(VLOOKUP($B174,'E-1 Off-Site Hedge Baseline'!$B$1:$L$258,4,FALSE))))</f>
        <v/>
      </c>
      <c r="E174" s="382" t="str">
        <f>IF(B174="","",IF(ISNA(VLOOKUP($B174,'E-1 Off-Site Hedge Baseline'!$B$1:$L$257,5,FALSE)),"",(VLOOKUP($B174,'E-1 Off-Site Hedge Baseline'!$B$1:$L$257,5,FALSE))))</f>
        <v/>
      </c>
      <c r="F174" s="382" t="str">
        <f>IF(B174="","",IF(ISNA(VLOOKUP($B174,'E-1 Off-Site Hedge Baseline'!$B$1:$L$257,6,FALSE)),"",(VLOOKUP($B174,'E-1 Off-Site Hedge Baseline'!$B$1:$L$257,6,FALSE))))</f>
        <v/>
      </c>
      <c r="G174" s="382" t="str">
        <f>IF(B174="","",IF(ISNA(VLOOKUP($B174,'E-1 Off-Site Hedge Baseline'!$B$1:$L$257,7,FALSE)),"",(VLOOKUP($B174,'E-1 Off-Site Hedge Baseline'!$B$1:$L$257,7,FALSE))))</f>
        <v/>
      </c>
      <c r="H174" s="382" t="str">
        <f>IF(B174="","",IF(ISNA(VLOOKUP($B174,'E-1 Off-Site Hedge Baseline'!$B$1:$L$257,8,FALSE)),"",(VLOOKUP($B174,'E-1 Off-Site Hedge Baseline'!$B$1:$L$257,8,FALSE))))</f>
        <v/>
      </c>
      <c r="I174" s="382" t="str">
        <f>IF(B174="","",IF(ISNA(VLOOKUP($B174,'E-1 Off-Site Hedge Baseline'!$B$1:$L$257,10,FALSE)),"",(VLOOKUP($B174,'E-1 Off-Site Hedge Baseline'!$B$1:$L$257,10,FALSE))))</f>
        <v/>
      </c>
      <c r="J174" s="382" t="str">
        <f>IF(B174="","",IF(ISNA(VLOOKUP($B174,'E-1 Off-Site Hedge Baseline'!$B$1:$L$257,11,FALSE)),"",(VLOOKUP($B174,'E-1 Off-Site Hedge Baseline'!$B$1:$L$257,11,FALSE))))</f>
        <v/>
      </c>
      <c r="K174" s="382" t="str">
        <f>IF(B174="","",IF(ISNA(VLOOKUP($B174,'E-1 Off-Site Hedge Baseline'!$B$1:$X$257,113,FALSE)),"",(VLOOKUP($B174,'E-1 Off-Site Hedge Baseline'!$B$1:$X$257,13,FALSE))))</f>
        <v/>
      </c>
      <c r="L174" s="370" t="str">
        <f>IF(B174="","",IF(ISNA(VLOOKUP($B174,'E-1 Off-Site Hedge Baseline'!$B$1:$X$257,12,FALSE)),"",(VLOOKUP($B174,'E-1 Off-Site Hedge Baseline'!$B$1:$X$257,12,FALSE))))</f>
        <v/>
      </c>
      <c r="M174" s="316" t="str">
        <f t="shared" si="18"/>
        <v/>
      </c>
      <c r="N174" s="362" t="str">
        <f>IFERROR(IF(B174="","",INDEX('G-6 Hedgerow Data'!$AN$3:$AZ$15,MATCH(C174,'G-6 Hedgerow Data'!$AM$3:$AM$15,0),MATCH(M174,'G-6 Hedgerow Data'!$AN$2:$AZ$2,0))),"")</f>
        <v/>
      </c>
      <c r="O174" s="363" t="str">
        <f t="shared" si="20"/>
        <v/>
      </c>
      <c r="P174" s="368" t="str">
        <f>IF(B174="","",VLOOKUP(B174,'E-1 Off-Site Hedge Baseline'!$B$10:W419,19,FALSE))</f>
        <v/>
      </c>
      <c r="Q174" s="362" t="str">
        <f>IF(M174="","",VLOOKUP(M174,'G-6 Hedgerow Data'!$B$2:$AG$15,2,FALSE))</f>
        <v/>
      </c>
      <c r="R174" s="363" t="str">
        <f>IF(M174="","",VLOOKUP(M174,'G-6 Hedgerow Data'!$B$2:$AG$15,3,FALSE))</f>
        <v/>
      </c>
      <c r="S174" s="114"/>
      <c r="T174" s="363" t="str">
        <f>IFERROR(IF(AND(Q174="V.Low",OR(S174="Good",S174="Moderate")),"Error ▲",VLOOKUP(S174,'G-1 All Habitats'!$Z$2:$AA$9,2,FALSE)),"")</f>
        <v/>
      </c>
      <c r="U174" s="114"/>
      <c r="V174" s="370" t="str">
        <f>IF(U174="","",IF(VLOOKUP(U174,'G-3 Multipliers'!$L$3:$N$6,2,FALSE)=0,"Spatial Data Missing ⚠",VLOOKUP(U174,'G-3 Multipliers'!$L$3:$N$6,2,FALSE)))</f>
        <v/>
      </c>
      <c r="W174" s="368" t="str">
        <f>IF(U174="","",IF(VLOOKUP(U174,'G-3 Multipliers'!$L$3:$N$6,3,FALSE)=0,"Spatial Data Missing ⚠",VLOOKUP(U174,'G-3 Multipliers'!$L$3:$N$6,3,FALSE)))</f>
        <v/>
      </c>
      <c r="X174" s="362" t="str">
        <f>IFERROR(IF(OR(LEFT(O174,5)="Error",LEFT(N174,5)="Error",T174="Error"),"Check Data ⚠",IF(F174&lt;R174,INDEX('G-6 Hedgerow Data'!$S$3:$AE$14,MATCH(C174,'G-6 Hedgerow Data'!$B$3:$B$14,0),MATCH(M174,'G-6 Hedgerow Data'!$S$2:$AE$2,0)),INDEX('G-6 Hedgerow Data'!$K$3:$Q$14,MATCH(M174,'G-6 Hedgerow Data'!$B$3:$B$14,0),MATCH(O174,'G-6 Hedgerow Data'!$K$2:$Q$2,0)))),"")</f>
        <v/>
      </c>
      <c r="Y174" s="159"/>
      <c r="Z174" s="159"/>
      <c r="AA174" s="370" t="str">
        <f t="shared" si="21"/>
        <v/>
      </c>
      <c r="AB174" s="383" t="str">
        <f t="shared" si="22"/>
        <v/>
      </c>
      <c r="AC174" s="384" t="str">
        <f t="shared" si="19"/>
        <v/>
      </c>
      <c r="AD174" s="398" t="str">
        <f>IF(M174="","",VLOOKUP(M174,'G-6 Hedgerow Data'!$B$3:$AG$15,31,FALSE))</f>
        <v/>
      </c>
      <c r="AE174" s="382" t="str">
        <f t="shared" si="23"/>
        <v/>
      </c>
      <c r="AF174" s="382" t="str">
        <f t="shared" si="24"/>
        <v/>
      </c>
      <c r="AG174" s="386" t="str">
        <f>IFERROR(IF(O174="","",VLOOKUP(AD174,'G-3 Multipliers'!$P$3:$Q$6,2,FALSE)),"")</f>
        <v/>
      </c>
      <c r="AH174" s="160"/>
      <c r="AI174" s="363" t="str">
        <f>IF(AH174="","",IF(VLOOKUP(AH174,'G-3 Multipliers'!$S$3:$T$10,2,FALSE)=0,"Spatial Data Missing ⚠",VLOOKUP(AH174,'G-3 Multipliers'!$S$3:$T$10,2,FALSE)))</f>
        <v/>
      </c>
      <c r="AJ174" s="405" t="str">
        <f t="shared" si="25"/>
        <v/>
      </c>
      <c r="AK174" s="376" t="str">
        <f t="shared" si="26"/>
        <v/>
      </c>
      <c r="AL174" s="117"/>
      <c r="AM174" s="118"/>
      <c r="AN174" s="120"/>
      <c r="AO174" s="120"/>
      <c r="AQ174" s="30" t="str">
        <f>IFERROR(INDEX('G-6 Hedgerow Data'!$BJ$3:$BJ$15,MATCH(M174,'G-6 Hedgerow Data'!$B$3:$B$15,0)),"")</f>
        <v/>
      </c>
    </row>
    <row r="175" spans="2:43" ht="15">
      <c r="B175" s="392" t="str">
        <f>'E-1 Off-Site Hedge Baseline'!AN173</f>
        <v/>
      </c>
      <c r="C175" s="382" t="str">
        <f>IF(B175="","",IF(ISNA(VLOOKUP($B175,'E-1 Off-Site Hedge Baseline'!$B$1:$L$257,3,FALSE)),"",(VLOOKUP($B175,'E-1 Off-Site Hedge Baseline'!$B$1:$L$257,3,FALSE))))</f>
        <v/>
      </c>
      <c r="D175" s="382" t="str">
        <f>IF(B175="","",IF(ISNA(VLOOKUP($B175,'E-1 Off-Site Hedge Baseline'!$B$1:$L$258,4,FALSE)),"",(VLOOKUP($B175,'E-1 Off-Site Hedge Baseline'!$B$1:$L$258,4,FALSE))))</f>
        <v/>
      </c>
      <c r="E175" s="382" t="str">
        <f>IF(B175="","",IF(ISNA(VLOOKUP($B175,'E-1 Off-Site Hedge Baseline'!$B$1:$L$257,5,FALSE)),"",(VLOOKUP($B175,'E-1 Off-Site Hedge Baseline'!$B$1:$L$257,5,FALSE))))</f>
        <v/>
      </c>
      <c r="F175" s="382" t="str">
        <f>IF(B175="","",IF(ISNA(VLOOKUP($B175,'E-1 Off-Site Hedge Baseline'!$B$1:$L$257,6,FALSE)),"",(VLOOKUP($B175,'E-1 Off-Site Hedge Baseline'!$B$1:$L$257,6,FALSE))))</f>
        <v/>
      </c>
      <c r="G175" s="382" t="str">
        <f>IF(B175="","",IF(ISNA(VLOOKUP($B175,'E-1 Off-Site Hedge Baseline'!$B$1:$L$257,7,FALSE)),"",(VLOOKUP($B175,'E-1 Off-Site Hedge Baseline'!$B$1:$L$257,7,FALSE))))</f>
        <v/>
      </c>
      <c r="H175" s="382" t="str">
        <f>IF(B175="","",IF(ISNA(VLOOKUP($B175,'E-1 Off-Site Hedge Baseline'!$B$1:$L$257,8,FALSE)),"",(VLOOKUP($B175,'E-1 Off-Site Hedge Baseline'!$B$1:$L$257,8,FALSE))))</f>
        <v/>
      </c>
      <c r="I175" s="382" t="str">
        <f>IF(B175="","",IF(ISNA(VLOOKUP($B175,'E-1 Off-Site Hedge Baseline'!$B$1:$L$257,10,FALSE)),"",(VLOOKUP($B175,'E-1 Off-Site Hedge Baseline'!$B$1:$L$257,10,FALSE))))</f>
        <v/>
      </c>
      <c r="J175" s="382" t="str">
        <f>IF(B175="","",IF(ISNA(VLOOKUP($B175,'E-1 Off-Site Hedge Baseline'!$B$1:$L$257,11,FALSE)),"",(VLOOKUP($B175,'E-1 Off-Site Hedge Baseline'!$B$1:$L$257,11,FALSE))))</f>
        <v/>
      </c>
      <c r="K175" s="382" t="str">
        <f>IF(B175="","",IF(ISNA(VLOOKUP($B175,'E-1 Off-Site Hedge Baseline'!$B$1:$X$257,113,FALSE)),"",(VLOOKUP($B175,'E-1 Off-Site Hedge Baseline'!$B$1:$X$257,13,FALSE))))</f>
        <v/>
      </c>
      <c r="L175" s="370" t="str">
        <f>IF(B175="","",IF(ISNA(VLOOKUP($B175,'E-1 Off-Site Hedge Baseline'!$B$1:$X$257,12,FALSE)),"",(VLOOKUP($B175,'E-1 Off-Site Hedge Baseline'!$B$1:$X$257,12,FALSE))))</f>
        <v/>
      </c>
      <c r="M175" s="316" t="str">
        <f t="shared" si="18"/>
        <v/>
      </c>
      <c r="N175" s="362" t="str">
        <f>IFERROR(IF(B175="","",INDEX('G-6 Hedgerow Data'!$AN$3:$AZ$15,MATCH(C175,'G-6 Hedgerow Data'!$AM$3:$AM$15,0),MATCH(M175,'G-6 Hedgerow Data'!$AN$2:$AZ$2,0))),"")</f>
        <v/>
      </c>
      <c r="O175" s="363" t="str">
        <f t="shared" si="20"/>
        <v/>
      </c>
      <c r="P175" s="368" t="str">
        <f>IF(B175="","",VLOOKUP(B175,'E-1 Off-Site Hedge Baseline'!$B$10:W420,19,FALSE))</f>
        <v/>
      </c>
      <c r="Q175" s="362" t="str">
        <f>IF(M175="","",VLOOKUP(M175,'G-6 Hedgerow Data'!$B$2:$AG$15,2,FALSE))</f>
        <v/>
      </c>
      <c r="R175" s="363" t="str">
        <f>IF(M175="","",VLOOKUP(M175,'G-6 Hedgerow Data'!$B$2:$AG$15,3,FALSE))</f>
        <v/>
      </c>
      <c r="S175" s="114"/>
      <c r="T175" s="363" t="str">
        <f>IFERROR(IF(AND(Q175="V.Low",OR(S175="Good",S175="Moderate")),"Error ▲",VLOOKUP(S175,'G-1 All Habitats'!$Z$2:$AA$9,2,FALSE)),"")</f>
        <v/>
      </c>
      <c r="U175" s="114"/>
      <c r="V175" s="370" t="str">
        <f>IF(U175="","",IF(VLOOKUP(U175,'G-3 Multipliers'!$L$3:$N$6,2,FALSE)=0,"Spatial Data Missing ⚠",VLOOKUP(U175,'G-3 Multipliers'!$L$3:$N$6,2,FALSE)))</f>
        <v/>
      </c>
      <c r="W175" s="368" t="str">
        <f>IF(U175="","",IF(VLOOKUP(U175,'G-3 Multipliers'!$L$3:$N$6,3,FALSE)=0,"Spatial Data Missing ⚠",VLOOKUP(U175,'G-3 Multipliers'!$L$3:$N$6,3,FALSE)))</f>
        <v/>
      </c>
      <c r="X175" s="362" t="str">
        <f>IFERROR(IF(OR(LEFT(O175,5)="Error",LEFT(N175,5)="Error",T175="Error"),"Check Data ⚠",IF(F175&lt;R175,INDEX('G-6 Hedgerow Data'!$S$3:$AE$14,MATCH(C175,'G-6 Hedgerow Data'!$B$3:$B$14,0),MATCH(M175,'G-6 Hedgerow Data'!$S$2:$AE$2,0)),INDEX('G-6 Hedgerow Data'!$K$3:$Q$14,MATCH(M175,'G-6 Hedgerow Data'!$B$3:$B$14,0),MATCH(O175,'G-6 Hedgerow Data'!$K$2:$Q$2,0)))),"")</f>
        <v/>
      </c>
      <c r="Y175" s="159"/>
      <c r="Z175" s="159"/>
      <c r="AA175" s="370" t="str">
        <f t="shared" si="21"/>
        <v/>
      </c>
      <c r="AB175" s="383" t="str">
        <f t="shared" si="22"/>
        <v/>
      </c>
      <c r="AC175" s="384" t="str">
        <f t="shared" si="19"/>
        <v/>
      </c>
      <c r="AD175" s="398" t="str">
        <f>IF(M175="","",VLOOKUP(M175,'G-6 Hedgerow Data'!$B$3:$AG$15,31,FALSE))</f>
        <v/>
      </c>
      <c r="AE175" s="382" t="str">
        <f t="shared" si="23"/>
        <v/>
      </c>
      <c r="AF175" s="382" t="str">
        <f t="shared" si="24"/>
        <v/>
      </c>
      <c r="AG175" s="386" t="str">
        <f>IFERROR(IF(O175="","",VLOOKUP(AD175,'G-3 Multipliers'!$P$3:$Q$6,2,FALSE)),"")</f>
        <v/>
      </c>
      <c r="AH175" s="160"/>
      <c r="AI175" s="363" t="str">
        <f>IF(AH175="","",IF(VLOOKUP(AH175,'G-3 Multipliers'!$S$3:$T$10,2,FALSE)=0,"Spatial Data Missing ⚠",VLOOKUP(AH175,'G-3 Multipliers'!$S$3:$T$10,2,FALSE)))</f>
        <v/>
      </c>
      <c r="AJ175" s="405" t="str">
        <f t="shared" si="25"/>
        <v/>
      </c>
      <c r="AK175" s="376" t="str">
        <f t="shared" si="26"/>
        <v/>
      </c>
      <c r="AL175" s="117"/>
      <c r="AM175" s="118"/>
      <c r="AN175" s="120"/>
      <c r="AO175" s="120"/>
      <c r="AQ175" s="30" t="str">
        <f>IFERROR(INDEX('G-6 Hedgerow Data'!$BJ$3:$BJ$15,MATCH(M175,'G-6 Hedgerow Data'!$B$3:$B$15,0)),"")</f>
        <v/>
      </c>
    </row>
    <row r="176" spans="2:43" ht="15">
      <c r="B176" s="392" t="str">
        <f>'E-1 Off-Site Hedge Baseline'!AN174</f>
        <v/>
      </c>
      <c r="C176" s="382" t="str">
        <f>IF(B176="","",IF(ISNA(VLOOKUP($B176,'E-1 Off-Site Hedge Baseline'!$B$1:$L$257,3,FALSE)),"",(VLOOKUP($B176,'E-1 Off-Site Hedge Baseline'!$B$1:$L$257,3,FALSE))))</f>
        <v/>
      </c>
      <c r="D176" s="382" t="str">
        <f>IF(B176="","",IF(ISNA(VLOOKUP($B176,'E-1 Off-Site Hedge Baseline'!$B$1:$L$258,4,FALSE)),"",(VLOOKUP($B176,'E-1 Off-Site Hedge Baseline'!$B$1:$L$258,4,FALSE))))</f>
        <v/>
      </c>
      <c r="E176" s="382" t="str">
        <f>IF(B176="","",IF(ISNA(VLOOKUP($B176,'E-1 Off-Site Hedge Baseline'!$B$1:$L$257,5,FALSE)),"",(VLOOKUP($B176,'E-1 Off-Site Hedge Baseline'!$B$1:$L$257,5,FALSE))))</f>
        <v/>
      </c>
      <c r="F176" s="382" t="str">
        <f>IF(B176="","",IF(ISNA(VLOOKUP($B176,'E-1 Off-Site Hedge Baseline'!$B$1:$L$257,6,FALSE)),"",(VLOOKUP($B176,'E-1 Off-Site Hedge Baseline'!$B$1:$L$257,6,FALSE))))</f>
        <v/>
      </c>
      <c r="G176" s="382" t="str">
        <f>IF(B176="","",IF(ISNA(VLOOKUP($B176,'E-1 Off-Site Hedge Baseline'!$B$1:$L$257,7,FALSE)),"",(VLOOKUP($B176,'E-1 Off-Site Hedge Baseline'!$B$1:$L$257,7,FALSE))))</f>
        <v/>
      </c>
      <c r="H176" s="382" t="str">
        <f>IF(B176="","",IF(ISNA(VLOOKUP($B176,'E-1 Off-Site Hedge Baseline'!$B$1:$L$257,8,FALSE)),"",(VLOOKUP($B176,'E-1 Off-Site Hedge Baseline'!$B$1:$L$257,8,FALSE))))</f>
        <v/>
      </c>
      <c r="I176" s="382" t="str">
        <f>IF(B176="","",IF(ISNA(VLOOKUP($B176,'E-1 Off-Site Hedge Baseline'!$B$1:$L$257,10,FALSE)),"",(VLOOKUP($B176,'E-1 Off-Site Hedge Baseline'!$B$1:$L$257,10,FALSE))))</f>
        <v/>
      </c>
      <c r="J176" s="382" t="str">
        <f>IF(B176="","",IF(ISNA(VLOOKUP($B176,'E-1 Off-Site Hedge Baseline'!$B$1:$L$257,11,FALSE)),"",(VLOOKUP($B176,'E-1 Off-Site Hedge Baseline'!$B$1:$L$257,11,FALSE))))</f>
        <v/>
      </c>
      <c r="K176" s="382" t="str">
        <f>IF(B176="","",IF(ISNA(VLOOKUP($B176,'E-1 Off-Site Hedge Baseline'!$B$1:$X$257,113,FALSE)),"",(VLOOKUP($B176,'E-1 Off-Site Hedge Baseline'!$B$1:$X$257,13,FALSE))))</f>
        <v/>
      </c>
      <c r="L176" s="370" t="str">
        <f>IF(B176="","",IF(ISNA(VLOOKUP($B176,'E-1 Off-Site Hedge Baseline'!$B$1:$X$257,12,FALSE)),"",(VLOOKUP($B176,'E-1 Off-Site Hedge Baseline'!$B$1:$X$257,12,FALSE))))</f>
        <v/>
      </c>
      <c r="M176" s="316" t="str">
        <f t="shared" si="18"/>
        <v/>
      </c>
      <c r="N176" s="362" t="str">
        <f>IFERROR(IF(B176="","",INDEX('G-6 Hedgerow Data'!$AN$3:$AZ$15,MATCH(C176,'G-6 Hedgerow Data'!$AM$3:$AM$15,0),MATCH(M176,'G-6 Hedgerow Data'!$AN$2:$AZ$2,0))),"")</f>
        <v/>
      </c>
      <c r="O176" s="363" t="str">
        <f t="shared" si="20"/>
        <v/>
      </c>
      <c r="P176" s="368" t="str">
        <f>IF(B176="","",VLOOKUP(B176,'E-1 Off-Site Hedge Baseline'!$B$10:W421,19,FALSE))</f>
        <v/>
      </c>
      <c r="Q176" s="362" t="str">
        <f>IF(M176="","",VLOOKUP(M176,'G-6 Hedgerow Data'!$B$2:$AG$15,2,FALSE))</f>
        <v/>
      </c>
      <c r="R176" s="363" t="str">
        <f>IF(M176="","",VLOOKUP(M176,'G-6 Hedgerow Data'!$B$2:$AG$15,3,FALSE))</f>
        <v/>
      </c>
      <c r="S176" s="114"/>
      <c r="T176" s="363" t="str">
        <f>IFERROR(IF(AND(Q176="V.Low",OR(S176="Good",S176="Moderate")),"Error ▲",VLOOKUP(S176,'G-1 All Habitats'!$Z$2:$AA$9,2,FALSE)),"")</f>
        <v/>
      </c>
      <c r="U176" s="114"/>
      <c r="V176" s="370" t="str">
        <f>IF(U176="","",IF(VLOOKUP(U176,'G-3 Multipliers'!$L$3:$N$6,2,FALSE)=0,"Spatial Data Missing ⚠",VLOOKUP(U176,'G-3 Multipliers'!$L$3:$N$6,2,FALSE)))</f>
        <v/>
      </c>
      <c r="W176" s="368" t="str">
        <f>IF(U176="","",IF(VLOOKUP(U176,'G-3 Multipliers'!$L$3:$N$6,3,FALSE)=0,"Spatial Data Missing ⚠",VLOOKUP(U176,'G-3 Multipliers'!$L$3:$N$6,3,FALSE)))</f>
        <v/>
      </c>
      <c r="X176" s="362" t="str">
        <f>IFERROR(IF(OR(LEFT(O176,5)="Error",LEFT(N176,5)="Error",T176="Error"),"Check Data ⚠",IF(F176&lt;R176,INDEX('G-6 Hedgerow Data'!$S$3:$AE$14,MATCH(C176,'G-6 Hedgerow Data'!$B$3:$B$14,0),MATCH(M176,'G-6 Hedgerow Data'!$S$2:$AE$2,0)),INDEX('G-6 Hedgerow Data'!$K$3:$Q$14,MATCH(M176,'G-6 Hedgerow Data'!$B$3:$B$14,0),MATCH(O176,'G-6 Hedgerow Data'!$K$2:$Q$2,0)))),"")</f>
        <v/>
      </c>
      <c r="Y176" s="159"/>
      <c r="Z176" s="159"/>
      <c r="AA176" s="370" t="str">
        <f t="shared" si="21"/>
        <v/>
      </c>
      <c r="AB176" s="383" t="str">
        <f t="shared" si="22"/>
        <v/>
      </c>
      <c r="AC176" s="384" t="str">
        <f t="shared" si="19"/>
        <v/>
      </c>
      <c r="AD176" s="398" t="str">
        <f>IF(M176="","",VLOOKUP(M176,'G-6 Hedgerow Data'!$B$3:$AG$15,31,FALSE))</f>
        <v/>
      </c>
      <c r="AE176" s="382" t="str">
        <f t="shared" si="23"/>
        <v/>
      </c>
      <c r="AF176" s="382" t="str">
        <f t="shared" si="24"/>
        <v/>
      </c>
      <c r="AG176" s="386" t="str">
        <f>IFERROR(IF(O176="","",VLOOKUP(AD176,'G-3 Multipliers'!$P$3:$Q$6,2,FALSE)),"")</f>
        <v/>
      </c>
      <c r="AH176" s="160"/>
      <c r="AI176" s="363" t="str">
        <f>IF(AH176="","",IF(VLOOKUP(AH176,'G-3 Multipliers'!$S$3:$T$10,2,FALSE)=0,"Spatial Data Missing ⚠",VLOOKUP(AH176,'G-3 Multipliers'!$S$3:$T$10,2,FALSE)))</f>
        <v/>
      </c>
      <c r="AJ176" s="405" t="str">
        <f t="shared" si="25"/>
        <v/>
      </c>
      <c r="AK176" s="376" t="str">
        <f t="shared" si="26"/>
        <v/>
      </c>
      <c r="AL176" s="117"/>
      <c r="AM176" s="118"/>
      <c r="AN176" s="120"/>
      <c r="AO176" s="120"/>
      <c r="AQ176" s="30" t="str">
        <f>IFERROR(INDEX('G-6 Hedgerow Data'!$BJ$3:$BJ$15,MATCH(M176,'G-6 Hedgerow Data'!$B$3:$B$15,0)),"")</f>
        <v/>
      </c>
    </row>
    <row r="177" spans="2:43" ht="15">
      <c r="B177" s="392" t="str">
        <f>'E-1 Off-Site Hedge Baseline'!AN175</f>
        <v/>
      </c>
      <c r="C177" s="382" t="str">
        <f>IF(B177="","",IF(ISNA(VLOOKUP($B177,'E-1 Off-Site Hedge Baseline'!$B$1:$L$257,3,FALSE)),"",(VLOOKUP($B177,'E-1 Off-Site Hedge Baseline'!$B$1:$L$257,3,FALSE))))</f>
        <v/>
      </c>
      <c r="D177" s="382" t="str">
        <f>IF(B177="","",IF(ISNA(VLOOKUP($B177,'E-1 Off-Site Hedge Baseline'!$B$1:$L$258,4,FALSE)),"",(VLOOKUP($B177,'E-1 Off-Site Hedge Baseline'!$B$1:$L$258,4,FALSE))))</f>
        <v/>
      </c>
      <c r="E177" s="382" t="str">
        <f>IF(B177="","",IF(ISNA(VLOOKUP($B177,'E-1 Off-Site Hedge Baseline'!$B$1:$L$257,5,FALSE)),"",(VLOOKUP($B177,'E-1 Off-Site Hedge Baseline'!$B$1:$L$257,5,FALSE))))</f>
        <v/>
      </c>
      <c r="F177" s="382" t="str">
        <f>IF(B177="","",IF(ISNA(VLOOKUP($B177,'E-1 Off-Site Hedge Baseline'!$B$1:$L$257,6,FALSE)),"",(VLOOKUP($B177,'E-1 Off-Site Hedge Baseline'!$B$1:$L$257,6,FALSE))))</f>
        <v/>
      </c>
      <c r="G177" s="382" t="str">
        <f>IF(B177="","",IF(ISNA(VLOOKUP($B177,'E-1 Off-Site Hedge Baseline'!$B$1:$L$257,7,FALSE)),"",(VLOOKUP($B177,'E-1 Off-Site Hedge Baseline'!$B$1:$L$257,7,FALSE))))</f>
        <v/>
      </c>
      <c r="H177" s="382" t="str">
        <f>IF(B177="","",IF(ISNA(VLOOKUP($B177,'E-1 Off-Site Hedge Baseline'!$B$1:$L$257,8,FALSE)),"",(VLOOKUP($B177,'E-1 Off-Site Hedge Baseline'!$B$1:$L$257,8,FALSE))))</f>
        <v/>
      </c>
      <c r="I177" s="382" t="str">
        <f>IF(B177="","",IF(ISNA(VLOOKUP($B177,'E-1 Off-Site Hedge Baseline'!$B$1:$L$257,10,FALSE)),"",(VLOOKUP($B177,'E-1 Off-Site Hedge Baseline'!$B$1:$L$257,10,FALSE))))</f>
        <v/>
      </c>
      <c r="J177" s="382" t="str">
        <f>IF(B177="","",IF(ISNA(VLOOKUP($B177,'E-1 Off-Site Hedge Baseline'!$B$1:$L$257,11,FALSE)),"",(VLOOKUP($B177,'E-1 Off-Site Hedge Baseline'!$B$1:$L$257,11,FALSE))))</f>
        <v/>
      </c>
      <c r="K177" s="382" t="str">
        <f>IF(B177="","",IF(ISNA(VLOOKUP($B177,'E-1 Off-Site Hedge Baseline'!$B$1:$X$257,113,FALSE)),"",(VLOOKUP($B177,'E-1 Off-Site Hedge Baseline'!$B$1:$X$257,13,FALSE))))</f>
        <v/>
      </c>
      <c r="L177" s="370" t="str">
        <f>IF(B177="","",IF(ISNA(VLOOKUP($B177,'E-1 Off-Site Hedge Baseline'!$B$1:$X$257,12,FALSE)),"",(VLOOKUP($B177,'E-1 Off-Site Hedge Baseline'!$B$1:$X$257,12,FALSE))))</f>
        <v/>
      </c>
      <c r="M177" s="316" t="str">
        <f t="shared" si="18"/>
        <v/>
      </c>
      <c r="N177" s="362" t="str">
        <f>IFERROR(IF(B177="","",INDEX('G-6 Hedgerow Data'!$AN$3:$AZ$15,MATCH(C177,'G-6 Hedgerow Data'!$AM$3:$AM$15,0),MATCH(M177,'G-6 Hedgerow Data'!$AN$2:$AZ$2,0))),"")</f>
        <v/>
      </c>
      <c r="O177" s="363" t="str">
        <f t="shared" si="20"/>
        <v/>
      </c>
      <c r="P177" s="368" t="str">
        <f>IF(B177="","",VLOOKUP(B177,'E-1 Off-Site Hedge Baseline'!$B$10:W422,19,FALSE))</f>
        <v/>
      </c>
      <c r="Q177" s="362" t="str">
        <f>IF(M177="","",VLOOKUP(M177,'G-6 Hedgerow Data'!$B$2:$AG$15,2,FALSE))</f>
        <v/>
      </c>
      <c r="R177" s="363" t="str">
        <f>IF(M177="","",VLOOKUP(M177,'G-6 Hedgerow Data'!$B$2:$AG$15,3,FALSE))</f>
        <v/>
      </c>
      <c r="S177" s="114"/>
      <c r="T177" s="363" t="str">
        <f>IFERROR(IF(AND(Q177="V.Low",OR(S177="Good",S177="Moderate")),"Error ▲",VLOOKUP(S177,'G-1 All Habitats'!$Z$2:$AA$9,2,FALSE)),"")</f>
        <v/>
      </c>
      <c r="U177" s="114"/>
      <c r="V177" s="370" t="str">
        <f>IF(U177="","",IF(VLOOKUP(U177,'G-3 Multipliers'!$L$3:$N$6,2,FALSE)=0,"Spatial Data Missing ⚠",VLOOKUP(U177,'G-3 Multipliers'!$L$3:$N$6,2,FALSE)))</f>
        <v/>
      </c>
      <c r="W177" s="368" t="str">
        <f>IF(U177="","",IF(VLOOKUP(U177,'G-3 Multipliers'!$L$3:$N$6,3,FALSE)=0,"Spatial Data Missing ⚠",VLOOKUP(U177,'G-3 Multipliers'!$L$3:$N$6,3,FALSE)))</f>
        <v/>
      </c>
      <c r="X177" s="362" t="str">
        <f>IFERROR(IF(OR(LEFT(O177,5)="Error",LEFT(N177,5)="Error",T177="Error"),"Check Data ⚠",IF(F177&lt;R177,INDEX('G-6 Hedgerow Data'!$S$3:$AE$14,MATCH(C177,'G-6 Hedgerow Data'!$B$3:$B$14,0),MATCH(M177,'G-6 Hedgerow Data'!$S$2:$AE$2,0)),INDEX('G-6 Hedgerow Data'!$K$3:$Q$14,MATCH(M177,'G-6 Hedgerow Data'!$B$3:$B$14,0),MATCH(O177,'G-6 Hedgerow Data'!$K$2:$Q$2,0)))),"")</f>
        <v/>
      </c>
      <c r="Y177" s="159"/>
      <c r="Z177" s="159"/>
      <c r="AA177" s="370" t="str">
        <f t="shared" si="21"/>
        <v/>
      </c>
      <c r="AB177" s="383" t="str">
        <f t="shared" si="22"/>
        <v/>
      </c>
      <c r="AC177" s="384" t="str">
        <f t="shared" si="19"/>
        <v/>
      </c>
      <c r="AD177" s="398" t="str">
        <f>IF(M177="","",VLOOKUP(M177,'G-6 Hedgerow Data'!$B$3:$AG$15,31,FALSE))</f>
        <v/>
      </c>
      <c r="AE177" s="382" t="str">
        <f t="shared" si="23"/>
        <v/>
      </c>
      <c r="AF177" s="382" t="str">
        <f t="shared" si="24"/>
        <v/>
      </c>
      <c r="AG177" s="386" t="str">
        <f>IFERROR(IF(O177="","",VLOOKUP(AD177,'G-3 Multipliers'!$P$3:$Q$6,2,FALSE)),"")</f>
        <v/>
      </c>
      <c r="AH177" s="160"/>
      <c r="AI177" s="363" t="str">
        <f>IF(AH177="","",IF(VLOOKUP(AH177,'G-3 Multipliers'!$S$3:$T$10,2,FALSE)=0,"Spatial Data Missing ⚠",VLOOKUP(AH177,'G-3 Multipliers'!$S$3:$T$10,2,FALSE)))</f>
        <v/>
      </c>
      <c r="AJ177" s="405" t="str">
        <f t="shared" si="25"/>
        <v/>
      </c>
      <c r="AK177" s="376" t="str">
        <f t="shared" si="26"/>
        <v/>
      </c>
      <c r="AL177" s="117"/>
      <c r="AM177" s="118"/>
      <c r="AN177" s="120"/>
      <c r="AO177" s="120"/>
      <c r="AQ177" s="30" t="str">
        <f>IFERROR(INDEX('G-6 Hedgerow Data'!$BJ$3:$BJ$15,MATCH(M177,'G-6 Hedgerow Data'!$B$3:$B$15,0)),"")</f>
        <v/>
      </c>
    </row>
    <row r="178" spans="2:43" ht="15">
      <c r="B178" s="392" t="str">
        <f>'E-1 Off-Site Hedge Baseline'!AN176</f>
        <v/>
      </c>
      <c r="C178" s="382" t="str">
        <f>IF(B178="","",IF(ISNA(VLOOKUP($B178,'E-1 Off-Site Hedge Baseline'!$B$1:$L$257,3,FALSE)),"",(VLOOKUP($B178,'E-1 Off-Site Hedge Baseline'!$B$1:$L$257,3,FALSE))))</f>
        <v/>
      </c>
      <c r="D178" s="382" t="str">
        <f>IF(B178="","",IF(ISNA(VLOOKUP($B178,'E-1 Off-Site Hedge Baseline'!$B$1:$L$258,4,FALSE)),"",(VLOOKUP($B178,'E-1 Off-Site Hedge Baseline'!$B$1:$L$258,4,FALSE))))</f>
        <v/>
      </c>
      <c r="E178" s="382" t="str">
        <f>IF(B178="","",IF(ISNA(VLOOKUP($B178,'E-1 Off-Site Hedge Baseline'!$B$1:$L$257,5,FALSE)),"",(VLOOKUP($B178,'E-1 Off-Site Hedge Baseline'!$B$1:$L$257,5,FALSE))))</f>
        <v/>
      </c>
      <c r="F178" s="382" t="str">
        <f>IF(B178="","",IF(ISNA(VLOOKUP($B178,'E-1 Off-Site Hedge Baseline'!$B$1:$L$257,6,FALSE)),"",(VLOOKUP($B178,'E-1 Off-Site Hedge Baseline'!$B$1:$L$257,6,FALSE))))</f>
        <v/>
      </c>
      <c r="G178" s="382" t="str">
        <f>IF(B178="","",IF(ISNA(VLOOKUP($B178,'E-1 Off-Site Hedge Baseline'!$B$1:$L$257,7,FALSE)),"",(VLOOKUP($B178,'E-1 Off-Site Hedge Baseline'!$B$1:$L$257,7,FALSE))))</f>
        <v/>
      </c>
      <c r="H178" s="382" t="str">
        <f>IF(B178="","",IF(ISNA(VLOOKUP($B178,'E-1 Off-Site Hedge Baseline'!$B$1:$L$257,8,FALSE)),"",(VLOOKUP($B178,'E-1 Off-Site Hedge Baseline'!$B$1:$L$257,8,FALSE))))</f>
        <v/>
      </c>
      <c r="I178" s="382" t="str">
        <f>IF(B178="","",IF(ISNA(VLOOKUP($B178,'E-1 Off-Site Hedge Baseline'!$B$1:$L$257,10,FALSE)),"",(VLOOKUP($B178,'E-1 Off-Site Hedge Baseline'!$B$1:$L$257,10,FALSE))))</f>
        <v/>
      </c>
      <c r="J178" s="382" t="str">
        <f>IF(B178="","",IF(ISNA(VLOOKUP($B178,'E-1 Off-Site Hedge Baseline'!$B$1:$L$257,11,FALSE)),"",(VLOOKUP($B178,'E-1 Off-Site Hedge Baseline'!$B$1:$L$257,11,FALSE))))</f>
        <v/>
      </c>
      <c r="K178" s="382" t="str">
        <f>IF(B178="","",IF(ISNA(VLOOKUP($B178,'E-1 Off-Site Hedge Baseline'!$B$1:$X$257,113,FALSE)),"",(VLOOKUP($B178,'E-1 Off-Site Hedge Baseline'!$B$1:$X$257,13,FALSE))))</f>
        <v/>
      </c>
      <c r="L178" s="370" t="str">
        <f>IF(B178="","",IF(ISNA(VLOOKUP($B178,'E-1 Off-Site Hedge Baseline'!$B$1:$X$257,12,FALSE)),"",(VLOOKUP($B178,'E-1 Off-Site Hedge Baseline'!$B$1:$X$257,12,FALSE))))</f>
        <v/>
      </c>
      <c r="M178" s="316" t="str">
        <f t="shared" si="18"/>
        <v/>
      </c>
      <c r="N178" s="362" t="str">
        <f>IFERROR(IF(B178="","",INDEX('G-6 Hedgerow Data'!$AN$3:$AZ$15,MATCH(C178,'G-6 Hedgerow Data'!$AM$3:$AM$15,0),MATCH(M178,'G-6 Hedgerow Data'!$AN$2:$AZ$2,0))),"")</f>
        <v/>
      </c>
      <c r="O178" s="363" t="str">
        <f t="shared" si="20"/>
        <v/>
      </c>
      <c r="P178" s="368" t="str">
        <f>IF(B178="","",VLOOKUP(B178,'E-1 Off-Site Hedge Baseline'!$B$10:W423,19,FALSE))</f>
        <v/>
      </c>
      <c r="Q178" s="362" t="str">
        <f>IF(M178="","",VLOOKUP(M178,'G-6 Hedgerow Data'!$B$2:$AG$15,2,FALSE))</f>
        <v/>
      </c>
      <c r="R178" s="363" t="str">
        <f>IF(M178="","",VLOOKUP(M178,'G-6 Hedgerow Data'!$B$2:$AG$15,3,FALSE))</f>
        <v/>
      </c>
      <c r="S178" s="114"/>
      <c r="T178" s="363" t="str">
        <f>IFERROR(IF(AND(Q178="V.Low",OR(S178="Good",S178="Moderate")),"Error ▲",VLOOKUP(S178,'G-1 All Habitats'!$Z$2:$AA$9,2,FALSE)),"")</f>
        <v/>
      </c>
      <c r="U178" s="114"/>
      <c r="V178" s="370" t="str">
        <f>IF(U178="","",IF(VLOOKUP(U178,'G-3 Multipliers'!$L$3:$N$6,2,FALSE)=0,"Spatial Data Missing ⚠",VLOOKUP(U178,'G-3 Multipliers'!$L$3:$N$6,2,FALSE)))</f>
        <v/>
      </c>
      <c r="W178" s="368" t="str">
        <f>IF(U178="","",IF(VLOOKUP(U178,'G-3 Multipliers'!$L$3:$N$6,3,FALSE)=0,"Spatial Data Missing ⚠",VLOOKUP(U178,'G-3 Multipliers'!$L$3:$N$6,3,FALSE)))</f>
        <v/>
      </c>
      <c r="X178" s="362" t="str">
        <f>IFERROR(IF(OR(LEFT(O178,5)="Error",LEFT(N178,5)="Error",T178="Error"),"Check Data ⚠",IF(F178&lt;R178,INDEX('G-6 Hedgerow Data'!$S$3:$AE$14,MATCH(C178,'G-6 Hedgerow Data'!$B$3:$B$14,0),MATCH(M178,'G-6 Hedgerow Data'!$S$2:$AE$2,0)),INDEX('G-6 Hedgerow Data'!$K$3:$Q$14,MATCH(M178,'G-6 Hedgerow Data'!$B$3:$B$14,0),MATCH(O178,'G-6 Hedgerow Data'!$K$2:$Q$2,0)))),"")</f>
        <v/>
      </c>
      <c r="Y178" s="159"/>
      <c r="Z178" s="159"/>
      <c r="AA178" s="370" t="str">
        <f t="shared" si="21"/>
        <v/>
      </c>
      <c r="AB178" s="383" t="str">
        <f t="shared" si="22"/>
        <v/>
      </c>
      <c r="AC178" s="384" t="str">
        <f t="shared" si="19"/>
        <v/>
      </c>
      <c r="AD178" s="398" t="str">
        <f>IF(M178="","",VLOOKUP(M178,'G-6 Hedgerow Data'!$B$3:$AG$15,31,FALSE))</f>
        <v/>
      </c>
      <c r="AE178" s="382" t="str">
        <f t="shared" si="23"/>
        <v/>
      </c>
      <c r="AF178" s="382" t="str">
        <f t="shared" si="24"/>
        <v/>
      </c>
      <c r="AG178" s="386" t="str">
        <f>IFERROR(IF(O178="","",VLOOKUP(AD178,'G-3 Multipliers'!$P$3:$Q$6,2,FALSE)),"")</f>
        <v/>
      </c>
      <c r="AH178" s="160"/>
      <c r="AI178" s="363" t="str">
        <f>IF(AH178="","",IF(VLOOKUP(AH178,'G-3 Multipliers'!$S$3:$T$10,2,FALSE)=0,"Spatial Data Missing ⚠",VLOOKUP(AH178,'G-3 Multipliers'!$S$3:$T$10,2,FALSE)))</f>
        <v/>
      </c>
      <c r="AJ178" s="405" t="str">
        <f t="shared" si="25"/>
        <v/>
      </c>
      <c r="AK178" s="376" t="str">
        <f t="shared" si="26"/>
        <v/>
      </c>
      <c r="AL178" s="117"/>
      <c r="AM178" s="118"/>
      <c r="AN178" s="120"/>
      <c r="AO178" s="120"/>
      <c r="AQ178" s="30" t="str">
        <f>IFERROR(INDEX('G-6 Hedgerow Data'!$BJ$3:$BJ$15,MATCH(M178,'G-6 Hedgerow Data'!$B$3:$B$15,0)),"")</f>
        <v/>
      </c>
    </row>
    <row r="179" spans="2:43" ht="15">
      <c r="B179" s="392" t="str">
        <f>'E-1 Off-Site Hedge Baseline'!AN177</f>
        <v/>
      </c>
      <c r="C179" s="382" t="str">
        <f>IF(B179="","",IF(ISNA(VLOOKUP($B179,'E-1 Off-Site Hedge Baseline'!$B$1:$L$257,3,FALSE)),"",(VLOOKUP($B179,'E-1 Off-Site Hedge Baseline'!$B$1:$L$257,3,FALSE))))</f>
        <v/>
      </c>
      <c r="D179" s="382" t="str">
        <f>IF(B179="","",IF(ISNA(VLOOKUP($B179,'E-1 Off-Site Hedge Baseline'!$B$1:$L$258,4,FALSE)),"",(VLOOKUP($B179,'E-1 Off-Site Hedge Baseline'!$B$1:$L$258,4,FALSE))))</f>
        <v/>
      </c>
      <c r="E179" s="382" t="str">
        <f>IF(B179="","",IF(ISNA(VLOOKUP($B179,'E-1 Off-Site Hedge Baseline'!$B$1:$L$257,5,FALSE)),"",(VLOOKUP($B179,'E-1 Off-Site Hedge Baseline'!$B$1:$L$257,5,FALSE))))</f>
        <v/>
      </c>
      <c r="F179" s="382" t="str">
        <f>IF(B179="","",IF(ISNA(VLOOKUP($B179,'E-1 Off-Site Hedge Baseline'!$B$1:$L$257,6,FALSE)),"",(VLOOKUP($B179,'E-1 Off-Site Hedge Baseline'!$B$1:$L$257,6,FALSE))))</f>
        <v/>
      </c>
      <c r="G179" s="382" t="str">
        <f>IF(B179="","",IF(ISNA(VLOOKUP($B179,'E-1 Off-Site Hedge Baseline'!$B$1:$L$257,7,FALSE)),"",(VLOOKUP($B179,'E-1 Off-Site Hedge Baseline'!$B$1:$L$257,7,FALSE))))</f>
        <v/>
      </c>
      <c r="H179" s="382" t="str">
        <f>IF(B179="","",IF(ISNA(VLOOKUP($B179,'E-1 Off-Site Hedge Baseline'!$B$1:$L$257,8,FALSE)),"",(VLOOKUP($B179,'E-1 Off-Site Hedge Baseline'!$B$1:$L$257,8,FALSE))))</f>
        <v/>
      </c>
      <c r="I179" s="382" t="str">
        <f>IF(B179="","",IF(ISNA(VLOOKUP($B179,'E-1 Off-Site Hedge Baseline'!$B$1:$L$257,10,FALSE)),"",(VLOOKUP($B179,'E-1 Off-Site Hedge Baseline'!$B$1:$L$257,10,FALSE))))</f>
        <v/>
      </c>
      <c r="J179" s="382" t="str">
        <f>IF(B179="","",IF(ISNA(VLOOKUP($B179,'E-1 Off-Site Hedge Baseline'!$B$1:$L$257,11,FALSE)),"",(VLOOKUP($B179,'E-1 Off-Site Hedge Baseline'!$B$1:$L$257,11,FALSE))))</f>
        <v/>
      </c>
      <c r="K179" s="382" t="str">
        <f>IF(B179="","",IF(ISNA(VLOOKUP($B179,'E-1 Off-Site Hedge Baseline'!$B$1:$X$257,113,FALSE)),"",(VLOOKUP($B179,'E-1 Off-Site Hedge Baseline'!$B$1:$X$257,13,FALSE))))</f>
        <v/>
      </c>
      <c r="L179" s="370" t="str">
        <f>IF(B179="","",IF(ISNA(VLOOKUP($B179,'E-1 Off-Site Hedge Baseline'!$B$1:$X$257,12,FALSE)),"",(VLOOKUP($B179,'E-1 Off-Site Hedge Baseline'!$B$1:$X$257,12,FALSE))))</f>
        <v/>
      </c>
      <c r="M179" s="316" t="str">
        <f t="shared" si="18"/>
        <v/>
      </c>
      <c r="N179" s="362" t="str">
        <f>IFERROR(IF(B179="","",INDEX('G-6 Hedgerow Data'!$AN$3:$AZ$15,MATCH(C179,'G-6 Hedgerow Data'!$AM$3:$AM$15,0),MATCH(M179,'G-6 Hedgerow Data'!$AN$2:$AZ$2,0))),"")</f>
        <v/>
      </c>
      <c r="O179" s="363" t="str">
        <f t="shared" si="20"/>
        <v/>
      </c>
      <c r="P179" s="368" t="str">
        <f>IF(B179="","",VLOOKUP(B179,'E-1 Off-Site Hedge Baseline'!$B$10:W424,19,FALSE))</f>
        <v/>
      </c>
      <c r="Q179" s="362" t="str">
        <f>IF(M179="","",VLOOKUP(M179,'G-6 Hedgerow Data'!$B$2:$AG$15,2,FALSE))</f>
        <v/>
      </c>
      <c r="R179" s="363" t="str">
        <f>IF(M179="","",VLOOKUP(M179,'G-6 Hedgerow Data'!$B$2:$AG$15,3,FALSE))</f>
        <v/>
      </c>
      <c r="S179" s="114"/>
      <c r="T179" s="363" t="str">
        <f>IFERROR(IF(AND(Q179="V.Low",OR(S179="Good",S179="Moderate")),"Error ▲",VLOOKUP(S179,'G-1 All Habitats'!$Z$2:$AA$9,2,FALSE)),"")</f>
        <v/>
      </c>
      <c r="U179" s="114"/>
      <c r="V179" s="370" t="str">
        <f>IF(U179="","",IF(VLOOKUP(U179,'G-3 Multipliers'!$L$3:$N$6,2,FALSE)=0,"Spatial Data Missing ⚠",VLOOKUP(U179,'G-3 Multipliers'!$L$3:$N$6,2,FALSE)))</f>
        <v/>
      </c>
      <c r="W179" s="368" t="str">
        <f>IF(U179="","",IF(VLOOKUP(U179,'G-3 Multipliers'!$L$3:$N$6,3,FALSE)=0,"Spatial Data Missing ⚠",VLOOKUP(U179,'G-3 Multipliers'!$L$3:$N$6,3,FALSE)))</f>
        <v/>
      </c>
      <c r="X179" s="362" t="str">
        <f>IFERROR(IF(OR(LEFT(O179,5)="Error",LEFT(N179,5)="Error",T179="Error"),"Check Data ⚠",IF(F179&lt;R179,INDEX('G-6 Hedgerow Data'!$S$3:$AE$14,MATCH(C179,'G-6 Hedgerow Data'!$B$3:$B$14,0),MATCH(M179,'G-6 Hedgerow Data'!$S$2:$AE$2,0)),INDEX('G-6 Hedgerow Data'!$K$3:$Q$14,MATCH(M179,'G-6 Hedgerow Data'!$B$3:$B$14,0),MATCH(O179,'G-6 Hedgerow Data'!$K$2:$Q$2,0)))),"")</f>
        <v/>
      </c>
      <c r="Y179" s="159"/>
      <c r="Z179" s="159"/>
      <c r="AA179" s="370" t="str">
        <f t="shared" si="21"/>
        <v/>
      </c>
      <c r="AB179" s="383" t="str">
        <f t="shared" si="22"/>
        <v/>
      </c>
      <c r="AC179" s="384" t="str">
        <f t="shared" si="19"/>
        <v/>
      </c>
      <c r="AD179" s="398" t="str">
        <f>IF(M179="","",VLOOKUP(M179,'G-6 Hedgerow Data'!$B$3:$AG$15,31,FALSE))</f>
        <v/>
      </c>
      <c r="AE179" s="382" t="str">
        <f t="shared" si="23"/>
        <v/>
      </c>
      <c r="AF179" s="382" t="str">
        <f t="shared" si="24"/>
        <v/>
      </c>
      <c r="AG179" s="386" t="str">
        <f>IFERROR(IF(O179="","",VLOOKUP(AD179,'G-3 Multipliers'!$P$3:$Q$6,2,FALSE)),"")</f>
        <v/>
      </c>
      <c r="AH179" s="160"/>
      <c r="AI179" s="363" t="str">
        <f>IF(AH179="","",IF(VLOOKUP(AH179,'G-3 Multipliers'!$S$3:$T$10,2,FALSE)=0,"Spatial Data Missing ⚠",VLOOKUP(AH179,'G-3 Multipliers'!$S$3:$T$10,2,FALSE)))</f>
        <v/>
      </c>
      <c r="AJ179" s="405" t="str">
        <f t="shared" si="25"/>
        <v/>
      </c>
      <c r="AK179" s="376" t="str">
        <f t="shared" si="26"/>
        <v/>
      </c>
      <c r="AL179" s="117"/>
      <c r="AM179" s="118"/>
      <c r="AN179" s="120"/>
      <c r="AO179" s="120"/>
      <c r="AQ179" s="30" t="str">
        <f>IFERROR(INDEX('G-6 Hedgerow Data'!$BJ$3:$BJ$15,MATCH(M179,'G-6 Hedgerow Data'!$B$3:$B$15,0)),"")</f>
        <v/>
      </c>
    </row>
    <row r="180" spans="2:43" ht="15">
      <c r="B180" s="392" t="str">
        <f>'E-1 Off-Site Hedge Baseline'!AN178</f>
        <v/>
      </c>
      <c r="C180" s="382" t="str">
        <f>IF(B180="","",IF(ISNA(VLOOKUP($B180,'E-1 Off-Site Hedge Baseline'!$B$1:$L$257,3,FALSE)),"",(VLOOKUP($B180,'E-1 Off-Site Hedge Baseline'!$B$1:$L$257,3,FALSE))))</f>
        <v/>
      </c>
      <c r="D180" s="382" t="str">
        <f>IF(B180="","",IF(ISNA(VLOOKUP($B180,'E-1 Off-Site Hedge Baseline'!$B$1:$L$258,4,FALSE)),"",(VLOOKUP($B180,'E-1 Off-Site Hedge Baseline'!$B$1:$L$258,4,FALSE))))</f>
        <v/>
      </c>
      <c r="E180" s="382" t="str">
        <f>IF(B180="","",IF(ISNA(VLOOKUP($B180,'E-1 Off-Site Hedge Baseline'!$B$1:$L$257,5,FALSE)),"",(VLOOKUP($B180,'E-1 Off-Site Hedge Baseline'!$B$1:$L$257,5,FALSE))))</f>
        <v/>
      </c>
      <c r="F180" s="382" t="str">
        <f>IF(B180="","",IF(ISNA(VLOOKUP($B180,'E-1 Off-Site Hedge Baseline'!$B$1:$L$257,6,FALSE)),"",(VLOOKUP($B180,'E-1 Off-Site Hedge Baseline'!$B$1:$L$257,6,FALSE))))</f>
        <v/>
      </c>
      <c r="G180" s="382" t="str">
        <f>IF(B180="","",IF(ISNA(VLOOKUP($B180,'E-1 Off-Site Hedge Baseline'!$B$1:$L$257,7,FALSE)),"",(VLOOKUP($B180,'E-1 Off-Site Hedge Baseline'!$B$1:$L$257,7,FALSE))))</f>
        <v/>
      </c>
      <c r="H180" s="382" t="str">
        <f>IF(B180="","",IF(ISNA(VLOOKUP($B180,'E-1 Off-Site Hedge Baseline'!$B$1:$L$257,8,FALSE)),"",(VLOOKUP($B180,'E-1 Off-Site Hedge Baseline'!$B$1:$L$257,8,FALSE))))</f>
        <v/>
      </c>
      <c r="I180" s="382" t="str">
        <f>IF(B180="","",IF(ISNA(VLOOKUP($B180,'E-1 Off-Site Hedge Baseline'!$B$1:$L$257,10,FALSE)),"",(VLOOKUP($B180,'E-1 Off-Site Hedge Baseline'!$B$1:$L$257,10,FALSE))))</f>
        <v/>
      </c>
      <c r="J180" s="382" t="str">
        <f>IF(B180="","",IF(ISNA(VLOOKUP($B180,'E-1 Off-Site Hedge Baseline'!$B$1:$L$257,11,FALSE)),"",(VLOOKUP($B180,'E-1 Off-Site Hedge Baseline'!$B$1:$L$257,11,FALSE))))</f>
        <v/>
      </c>
      <c r="K180" s="382" t="str">
        <f>IF(B180="","",IF(ISNA(VLOOKUP($B180,'E-1 Off-Site Hedge Baseline'!$B$1:$X$257,113,FALSE)),"",(VLOOKUP($B180,'E-1 Off-Site Hedge Baseline'!$B$1:$X$257,13,FALSE))))</f>
        <v/>
      </c>
      <c r="L180" s="370" t="str">
        <f>IF(B180="","",IF(ISNA(VLOOKUP($B180,'E-1 Off-Site Hedge Baseline'!$B$1:$X$257,12,FALSE)),"",(VLOOKUP($B180,'E-1 Off-Site Hedge Baseline'!$B$1:$X$257,12,FALSE))))</f>
        <v/>
      </c>
      <c r="M180" s="316" t="str">
        <f t="shared" si="18"/>
        <v/>
      </c>
      <c r="N180" s="362" t="str">
        <f>IFERROR(IF(B180="","",INDEX('G-6 Hedgerow Data'!$AN$3:$AZ$15,MATCH(C180,'G-6 Hedgerow Data'!$AM$3:$AM$15,0),MATCH(M180,'G-6 Hedgerow Data'!$AN$2:$AZ$2,0))),"")</f>
        <v/>
      </c>
      <c r="O180" s="363" t="str">
        <f t="shared" si="20"/>
        <v/>
      </c>
      <c r="P180" s="368" t="str">
        <f>IF(B180="","",VLOOKUP(B180,'E-1 Off-Site Hedge Baseline'!$B$10:W425,19,FALSE))</f>
        <v/>
      </c>
      <c r="Q180" s="362" t="str">
        <f>IF(M180="","",VLOOKUP(M180,'G-6 Hedgerow Data'!$B$2:$AG$15,2,FALSE))</f>
        <v/>
      </c>
      <c r="R180" s="363" t="str">
        <f>IF(M180="","",VLOOKUP(M180,'G-6 Hedgerow Data'!$B$2:$AG$15,3,FALSE))</f>
        <v/>
      </c>
      <c r="S180" s="114"/>
      <c r="T180" s="363" t="str">
        <f>IFERROR(IF(AND(Q180="V.Low",OR(S180="Good",S180="Moderate")),"Error ▲",VLOOKUP(S180,'G-1 All Habitats'!$Z$2:$AA$9,2,FALSE)),"")</f>
        <v/>
      </c>
      <c r="U180" s="114"/>
      <c r="V180" s="370" t="str">
        <f>IF(U180="","",IF(VLOOKUP(U180,'G-3 Multipliers'!$L$3:$N$6,2,FALSE)=0,"Spatial Data Missing ⚠",VLOOKUP(U180,'G-3 Multipliers'!$L$3:$N$6,2,FALSE)))</f>
        <v/>
      </c>
      <c r="W180" s="368" t="str">
        <f>IF(U180="","",IF(VLOOKUP(U180,'G-3 Multipliers'!$L$3:$N$6,3,FALSE)=0,"Spatial Data Missing ⚠",VLOOKUP(U180,'G-3 Multipliers'!$L$3:$N$6,3,FALSE)))</f>
        <v/>
      </c>
      <c r="X180" s="362" t="str">
        <f>IFERROR(IF(OR(LEFT(O180,5)="Error",LEFT(N180,5)="Error",T180="Error"),"Check Data ⚠",IF(F180&lt;R180,INDEX('G-6 Hedgerow Data'!$S$3:$AE$14,MATCH(C180,'G-6 Hedgerow Data'!$B$3:$B$14,0),MATCH(M180,'G-6 Hedgerow Data'!$S$2:$AE$2,0)),INDEX('G-6 Hedgerow Data'!$K$3:$Q$14,MATCH(M180,'G-6 Hedgerow Data'!$B$3:$B$14,0),MATCH(O180,'G-6 Hedgerow Data'!$K$2:$Q$2,0)))),"")</f>
        <v/>
      </c>
      <c r="Y180" s="159"/>
      <c r="Z180" s="159"/>
      <c r="AA180" s="370" t="str">
        <f t="shared" si="21"/>
        <v/>
      </c>
      <c r="AB180" s="383" t="str">
        <f t="shared" si="22"/>
        <v/>
      </c>
      <c r="AC180" s="384" t="str">
        <f t="shared" si="19"/>
        <v/>
      </c>
      <c r="AD180" s="398" t="str">
        <f>IF(M180="","",VLOOKUP(M180,'G-6 Hedgerow Data'!$B$3:$AG$15,31,FALSE))</f>
        <v/>
      </c>
      <c r="AE180" s="382" t="str">
        <f t="shared" si="23"/>
        <v/>
      </c>
      <c r="AF180" s="382" t="str">
        <f t="shared" si="24"/>
        <v/>
      </c>
      <c r="AG180" s="386" t="str">
        <f>IFERROR(IF(O180="","",VLOOKUP(AD180,'G-3 Multipliers'!$P$3:$Q$6,2,FALSE)),"")</f>
        <v/>
      </c>
      <c r="AH180" s="160"/>
      <c r="AI180" s="363" t="str">
        <f>IF(AH180="","",IF(VLOOKUP(AH180,'G-3 Multipliers'!$S$3:$T$10,2,FALSE)=0,"Spatial Data Missing ⚠",VLOOKUP(AH180,'G-3 Multipliers'!$S$3:$T$10,2,FALSE)))</f>
        <v/>
      </c>
      <c r="AJ180" s="405" t="str">
        <f t="shared" si="25"/>
        <v/>
      </c>
      <c r="AK180" s="376" t="str">
        <f t="shared" si="26"/>
        <v/>
      </c>
      <c r="AL180" s="117"/>
      <c r="AM180" s="118"/>
      <c r="AN180" s="120"/>
      <c r="AO180" s="120"/>
      <c r="AQ180" s="30" t="str">
        <f>IFERROR(INDEX('G-6 Hedgerow Data'!$BJ$3:$BJ$15,MATCH(M180,'G-6 Hedgerow Data'!$B$3:$B$15,0)),"")</f>
        <v/>
      </c>
    </row>
    <row r="181" spans="2:43" ht="15">
      <c r="B181" s="392" t="str">
        <f>'E-1 Off-Site Hedge Baseline'!AN179</f>
        <v/>
      </c>
      <c r="C181" s="382" t="str">
        <f>IF(B181="","",IF(ISNA(VLOOKUP($B181,'E-1 Off-Site Hedge Baseline'!$B$1:$L$257,3,FALSE)),"",(VLOOKUP($B181,'E-1 Off-Site Hedge Baseline'!$B$1:$L$257,3,FALSE))))</f>
        <v/>
      </c>
      <c r="D181" s="382" t="str">
        <f>IF(B181="","",IF(ISNA(VLOOKUP($B181,'E-1 Off-Site Hedge Baseline'!$B$1:$L$258,4,FALSE)),"",(VLOOKUP($B181,'E-1 Off-Site Hedge Baseline'!$B$1:$L$258,4,FALSE))))</f>
        <v/>
      </c>
      <c r="E181" s="382" t="str">
        <f>IF(B181="","",IF(ISNA(VLOOKUP($B181,'E-1 Off-Site Hedge Baseline'!$B$1:$L$257,5,FALSE)),"",(VLOOKUP($B181,'E-1 Off-Site Hedge Baseline'!$B$1:$L$257,5,FALSE))))</f>
        <v/>
      </c>
      <c r="F181" s="382" t="str">
        <f>IF(B181="","",IF(ISNA(VLOOKUP($B181,'E-1 Off-Site Hedge Baseline'!$B$1:$L$257,6,FALSE)),"",(VLOOKUP($B181,'E-1 Off-Site Hedge Baseline'!$B$1:$L$257,6,FALSE))))</f>
        <v/>
      </c>
      <c r="G181" s="382" t="str">
        <f>IF(B181="","",IF(ISNA(VLOOKUP($B181,'E-1 Off-Site Hedge Baseline'!$B$1:$L$257,7,FALSE)),"",(VLOOKUP($B181,'E-1 Off-Site Hedge Baseline'!$B$1:$L$257,7,FALSE))))</f>
        <v/>
      </c>
      <c r="H181" s="382" t="str">
        <f>IF(B181="","",IF(ISNA(VLOOKUP($B181,'E-1 Off-Site Hedge Baseline'!$B$1:$L$257,8,FALSE)),"",(VLOOKUP($B181,'E-1 Off-Site Hedge Baseline'!$B$1:$L$257,8,FALSE))))</f>
        <v/>
      </c>
      <c r="I181" s="382" t="str">
        <f>IF(B181="","",IF(ISNA(VLOOKUP($B181,'E-1 Off-Site Hedge Baseline'!$B$1:$L$257,10,FALSE)),"",(VLOOKUP($B181,'E-1 Off-Site Hedge Baseline'!$B$1:$L$257,10,FALSE))))</f>
        <v/>
      </c>
      <c r="J181" s="382" t="str">
        <f>IF(B181="","",IF(ISNA(VLOOKUP($B181,'E-1 Off-Site Hedge Baseline'!$B$1:$L$257,11,FALSE)),"",(VLOOKUP($B181,'E-1 Off-Site Hedge Baseline'!$B$1:$L$257,11,FALSE))))</f>
        <v/>
      </c>
      <c r="K181" s="382" t="str">
        <f>IF(B181="","",IF(ISNA(VLOOKUP($B181,'E-1 Off-Site Hedge Baseline'!$B$1:$X$257,113,FALSE)),"",(VLOOKUP($B181,'E-1 Off-Site Hedge Baseline'!$B$1:$X$257,13,FALSE))))</f>
        <v/>
      </c>
      <c r="L181" s="370" t="str">
        <f>IF(B181="","",IF(ISNA(VLOOKUP($B181,'E-1 Off-Site Hedge Baseline'!$B$1:$X$257,12,FALSE)),"",(VLOOKUP($B181,'E-1 Off-Site Hedge Baseline'!$B$1:$X$257,12,FALSE))))</f>
        <v/>
      </c>
      <c r="M181" s="316" t="str">
        <f t="shared" si="18"/>
        <v/>
      </c>
      <c r="N181" s="362" t="str">
        <f>IFERROR(IF(B181="","",INDEX('G-6 Hedgerow Data'!$AN$3:$AZ$15,MATCH(C181,'G-6 Hedgerow Data'!$AM$3:$AM$15,0),MATCH(M181,'G-6 Hedgerow Data'!$AN$2:$AZ$2,0))),"")</f>
        <v/>
      </c>
      <c r="O181" s="363" t="str">
        <f t="shared" si="20"/>
        <v/>
      </c>
      <c r="P181" s="368" t="str">
        <f>IF(B181="","",VLOOKUP(B181,'E-1 Off-Site Hedge Baseline'!$B$10:W426,19,FALSE))</f>
        <v/>
      </c>
      <c r="Q181" s="362" t="str">
        <f>IF(M181="","",VLOOKUP(M181,'G-6 Hedgerow Data'!$B$2:$AG$15,2,FALSE))</f>
        <v/>
      </c>
      <c r="R181" s="363" t="str">
        <f>IF(M181="","",VLOOKUP(M181,'G-6 Hedgerow Data'!$B$2:$AG$15,3,FALSE))</f>
        <v/>
      </c>
      <c r="S181" s="114"/>
      <c r="T181" s="363" t="str">
        <f>IFERROR(IF(AND(Q181="V.Low",OR(S181="Good",S181="Moderate")),"Error ▲",VLOOKUP(S181,'G-1 All Habitats'!$Z$2:$AA$9,2,FALSE)),"")</f>
        <v/>
      </c>
      <c r="U181" s="114"/>
      <c r="V181" s="370" t="str">
        <f>IF(U181="","",IF(VLOOKUP(U181,'G-3 Multipliers'!$L$3:$N$6,2,FALSE)=0,"Spatial Data Missing ⚠",VLOOKUP(U181,'G-3 Multipliers'!$L$3:$N$6,2,FALSE)))</f>
        <v/>
      </c>
      <c r="W181" s="368" t="str">
        <f>IF(U181="","",IF(VLOOKUP(U181,'G-3 Multipliers'!$L$3:$N$6,3,FALSE)=0,"Spatial Data Missing ⚠",VLOOKUP(U181,'G-3 Multipliers'!$L$3:$N$6,3,FALSE)))</f>
        <v/>
      </c>
      <c r="X181" s="362" t="str">
        <f>IFERROR(IF(OR(LEFT(O181,5)="Error",LEFT(N181,5)="Error",T181="Error"),"Check Data ⚠",IF(F181&lt;R181,INDEX('G-6 Hedgerow Data'!$S$3:$AE$14,MATCH(C181,'G-6 Hedgerow Data'!$B$3:$B$14,0),MATCH(M181,'G-6 Hedgerow Data'!$S$2:$AE$2,0)),INDEX('G-6 Hedgerow Data'!$K$3:$Q$14,MATCH(M181,'G-6 Hedgerow Data'!$B$3:$B$14,0),MATCH(O181,'G-6 Hedgerow Data'!$K$2:$Q$2,0)))),"")</f>
        <v/>
      </c>
      <c r="Y181" s="159"/>
      <c r="Z181" s="159"/>
      <c r="AA181" s="370" t="str">
        <f t="shared" si="21"/>
        <v/>
      </c>
      <c r="AB181" s="383" t="str">
        <f t="shared" si="22"/>
        <v/>
      </c>
      <c r="AC181" s="384" t="str">
        <f t="shared" si="19"/>
        <v/>
      </c>
      <c r="AD181" s="398" t="str">
        <f>IF(M181="","",VLOOKUP(M181,'G-6 Hedgerow Data'!$B$3:$AG$15,31,FALSE))</f>
        <v/>
      </c>
      <c r="AE181" s="382" t="str">
        <f t="shared" si="23"/>
        <v/>
      </c>
      <c r="AF181" s="382" t="str">
        <f t="shared" si="24"/>
        <v/>
      </c>
      <c r="AG181" s="386" t="str">
        <f>IFERROR(IF(O181="","",VLOOKUP(AD181,'G-3 Multipliers'!$P$3:$Q$6,2,FALSE)),"")</f>
        <v/>
      </c>
      <c r="AH181" s="160"/>
      <c r="AI181" s="363" t="str">
        <f>IF(AH181="","",IF(VLOOKUP(AH181,'G-3 Multipliers'!$S$3:$T$10,2,FALSE)=0,"Spatial Data Missing ⚠",VLOOKUP(AH181,'G-3 Multipliers'!$S$3:$T$10,2,FALSE)))</f>
        <v/>
      </c>
      <c r="AJ181" s="405" t="str">
        <f t="shared" si="25"/>
        <v/>
      </c>
      <c r="AK181" s="376" t="str">
        <f t="shared" si="26"/>
        <v/>
      </c>
      <c r="AL181" s="117"/>
      <c r="AM181" s="118"/>
      <c r="AN181" s="120"/>
      <c r="AO181" s="120"/>
      <c r="AQ181" s="30" t="str">
        <f>IFERROR(INDEX('G-6 Hedgerow Data'!$BJ$3:$BJ$15,MATCH(M181,'G-6 Hedgerow Data'!$B$3:$B$15,0)),"")</f>
        <v/>
      </c>
    </row>
    <row r="182" spans="2:43" ht="15">
      <c r="B182" s="392" t="str">
        <f>'E-1 Off-Site Hedge Baseline'!AN180</f>
        <v/>
      </c>
      <c r="C182" s="382" t="str">
        <f>IF(B182="","",IF(ISNA(VLOOKUP($B182,'E-1 Off-Site Hedge Baseline'!$B$1:$L$257,3,FALSE)),"",(VLOOKUP($B182,'E-1 Off-Site Hedge Baseline'!$B$1:$L$257,3,FALSE))))</f>
        <v/>
      </c>
      <c r="D182" s="382" t="str">
        <f>IF(B182="","",IF(ISNA(VLOOKUP($B182,'E-1 Off-Site Hedge Baseline'!$B$1:$L$258,4,FALSE)),"",(VLOOKUP($B182,'E-1 Off-Site Hedge Baseline'!$B$1:$L$258,4,FALSE))))</f>
        <v/>
      </c>
      <c r="E182" s="382" t="str">
        <f>IF(B182="","",IF(ISNA(VLOOKUP($B182,'E-1 Off-Site Hedge Baseline'!$B$1:$L$257,5,FALSE)),"",(VLOOKUP($B182,'E-1 Off-Site Hedge Baseline'!$B$1:$L$257,5,FALSE))))</f>
        <v/>
      </c>
      <c r="F182" s="382" t="str">
        <f>IF(B182="","",IF(ISNA(VLOOKUP($B182,'E-1 Off-Site Hedge Baseline'!$B$1:$L$257,6,FALSE)),"",(VLOOKUP($B182,'E-1 Off-Site Hedge Baseline'!$B$1:$L$257,6,FALSE))))</f>
        <v/>
      </c>
      <c r="G182" s="382" t="str">
        <f>IF(B182="","",IF(ISNA(VLOOKUP($B182,'E-1 Off-Site Hedge Baseline'!$B$1:$L$257,7,FALSE)),"",(VLOOKUP($B182,'E-1 Off-Site Hedge Baseline'!$B$1:$L$257,7,FALSE))))</f>
        <v/>
      </c>
      <c r="H182" s="382" t="str">
        <f>IF(B182="","",IF(ISNA(VLOOKUP($B182,'E-1 Off-Site Hedge Baseline'!$B$1:$L$257,8,FALSE)),"",(VLOOKUP($B182,'E-1 Off-Site Hedge Baseline'!$B$1:$L$257,8,FALSE))))</f>
        <v/>
      </c>
      <c r="I182" s="382" t="str">
        <f>IF(B182="","",IF(ISNA(VLOOKUP($B182,'E-1 Off-Site Hedge Baseline'!$B$1:$L$257,10,FALSE)),"",(VLOOKUP($B182,'E-1 Off-Site Hedge Baseline'!$B$1:$L$257,10,FALSE))))</f>
        <v/>
      </c>
      <c r="J182" s="382" t="str">
        <f>IF(B182="","",IF(ISNA(VLOOKUP($B182,'E-1 Off-Site Hedge Baseline'!$B$1:$L$257,11,FALSE)),"",(VLOOKUP($B182,'E-1 Off-Site Hedge Baseline'!$B$1:$L$257,11,FALSE))))</f>
        <v/>
      </c>
      <c r="K182" s="382" t="str">
        <f>IF(B182="","",IF(ISNA(VLOOKUP($B182,'E-1 Off-Site Hedge Baseline'!$B$1:$X$257,113,FALSE)),"",(VLOOKUP($B182,'E-1 Off-Site Hedge Baseline'!$B$1:$X$257,13,FALSE))))</f>
        <v/>
      </c>
      <c r="L182" s="370" t="str">
        <f>IF(B182="","",IF(ISNA(VLOOKUP($B182,'E-1 Off-Site Hedge Baseline'!$B$1:$X$257,12,FALSE)),"",(VLOOKUP($B182,'E-1 Off-Site Hedge Baseline'!$B$1:$X$257,12,FALSE))))</f>
        <v/>
      </c>
      <c r="M182" s="316" t="str">
        <f t="shared" si="18"/>
        <v/>
      </c>
      <c r="N182" s="362" t="str">
        <f>IFERROR(IF(B182="","",INDEX('G-6 Hedgerow Data'!$AN$3:$AZ$15,MATCH(C182,'G-6 Hedgerow Data'!$AM$3:$AM$15,0),MATCH(M182,'G-6 Hedgerow Data'!$AN$2:$AZ$2,0))),"")</f>
        <v/>
      </c>
      <c r="O182" s="363" t="str">
        <f t="shared" si="20"/>
        <v/>
      </c>
      <c r="P182" s="368" t="str">
        <f>IF(B182="","",VLOOKUP(B182,'E-1 Off-Site Hedge Baseline'!$B$10:W427,19,FALSE))</f>
        <v/>
      </c>
      <c r="Q182" s="362" t="str">
        <f>IF(M182="","",VLOOKUP(M182,'G-6 Hedgerow Data'!$B$2:$AG$15,2,FALSE))</f>
        <v/>
      </c>
      <c r="R182" s="363" t="str">
        <f>IF(M182="","",VLOOKUP(M182,'G-6 Hedgerow Data'!$B$2:$AG$15,3,FALSE))</f>
        <v/>
      </c>
      <c r="S182" s="114"/>
      <c r="T182" s="363" t="str">
        <f>IFERROR(IF(AND(Q182="V.Low",OR(S182="Good",S182="Moderate")),"Error ▲",VLOOKUP(S182,'G-1 All Habitats'!$Z$2:$AA$9,2,FALSE)),"")</f>
        <v/>
      </c>
      <c r="U182" s="114"/>
      <c r="V182" s="370" t="str">
        <f>IF(U182="","",IF(VLOOKUP(U182,'G-3 Multipliers'!$L$3:$N$6,2,FALSE)=0,"Spatial Data Missing ⚠",VLOOKUP(U182,'G-3 Multipliers'!$L$3:$N$6,2,FALSE)))</f>
        <v/>
      </c>
      <c r="W182" s="368" t="str">
        <f>IF(U182="","",IF(VLOOKUP(U182,'G-3 Multipliers'!$L$3:$N$6,3,FALSE)=0,"Spatial Data Missing ⚠",VLOOKUP(U182,'G-3 Multipliers'!$L$3:$N$6,3,FALSE)))</f>
        <v/>
      </c>
      <c r="X182" s="362" t="str">
        <f>IFERROR(IF(OR(LEFT(O182,5)="Error",LEFT(N182,5)="Error",T182="Error"),"Check Data ⚠",IF(F182&lt;R182,INDEX('G-6 Hedgerow Data'!$S$3:$AE$14,MATCH(C182,'G-6 Hedgerow Data'!$B$3:$B$14,0),MATCH(M182,'G-6 Hedgerow Data'!$S$2:$AE$2,0)),INDEX('G-6 Hedgerow Data'!$K$3:$Q$14,MATCH(M182,'G-6 Hedgerow Data'!$B$3:$B$14,0),MATCH(O182,'G-6 Hedgerow Data'!$K$2:$Q$2,0)))),"")</f>
        <v/>
      </c>
      <c r="Y182" s="159"/>
      <c r="Z182" s="159"/>
      <c r="AA182" s="370" t="str">
        <f t="shared" si="21"/>
        <v/>
      </c>
      <c r="AB182" s="383" t="str">
        <f t="shared" si="22"/>
        <v/>
      </c>
      <c r="AC182" s="384" t="str">
        <f t="shared" si="19"/>
        <v/>
      </c>
      <c r="AD182" s="398" t="str">
        <f>IF(M182="","",VLOOKUP(M182,'G-6 Hedgerow Data'!$B$3:$AG$15,31,FALSE))</f>
        <v/>
      </c>
      <c r="AE182" s="382" t="str">
        <f t="shared" si="23"/>
        <v/>
      </c>
      <c r="AF182" s="382" t="str">
        <f t="shared" si="24"/>
        <v/>
      </c>
      <c r="AG182" s="386" t="str">
        <f>IFERROR(IF(O182="","",VLOOKUP(AD182,'G-3 Multipliers'!$P$3:$Q$6,2,FALSE)),"")</f>
        <v/>
      </c>
      <c r="AH182" s="160"/>
      <c r="AI182" s="363" t="str">
        <f>IF(AH182="","",IF(VLOOKUP(AH182,'G-3 Multipliers'!$S$3:$T$10,2,FALSE)=0,"Spatial Data Missing ⚠",VLOOKUP(AH182,'G-3 Multipliers'!$S$3:$T$10,2,FALSE)))</f>
        <v/>
      </c>
      <c r="AJ182" s="405" t="str">
        <f t="shared" si="25"/>
        <v/>
      </c>
      <c r="AK182" s="376" t="str">
        <f t="shared" si="26"/>
        <v/>
      </c>
      <c r="AL182" s="117"/>
      <c r="AM182" s="118"/>
      <c r="AN182" s="120"/>
      <c r="AO182" s="120"/>
      <c r="AQ182" s="30" t="str">
        <f>IFERROR(INDEX('G-6 Hedgerow Data'!$BJ$3:$BJ$15,MATCH(M182,'G-6 Hedgerow Data'!$B$3:$B$15,0)),"")</f>
        <v/>
      </c>
    </row>
    <row r="183" spans="2:43" ht="15">
      <c r="B183" s="392" t="str">
        <f>'E-1 Off-Site Hedge Baseline'!AN181</f>
        <v/>
      </c>
      <c r="C183" s="382" t="str">
        <f>IF(B183="","",IF(ISNA(VLOOKUP($B183,'E-1 Off-Site Hedge Baseline'!$B$1:$L$257,3,FALSE)),"",(VLOOKUP($B183,'E-1 Off-Site Hedge Baseline'!$B$1:$L$257,3,FALSE))))</f>
        <v/>
      </c>
      <c r="D183" s="382" t="str">
        <f>IF(B183="","",IF(ISNA(VLOOKUP($B183,'E-1 Off-Site Hedge Baseline'!$B$1:$L$258,4,FALSE)),"",(VLOOKUP($B183,'E-1 Off-Site Hedge Baseline'!$B$1:$L$258,4,FALSE))))</f>
        <v/>
      </c>
      <c r="E183" s="382" t="str">
        <f>IF(B183="","",IF(ISNA(VLOOKUP($B183,'E-1 Off-Site Hedge Baseline'!$B$1:$L$257,5,FALSE)),"",(VLOOKUP($B183,'E-1 Off-Site Hedge Baseline'!$B$1:$L$257,5,FALSE))))</f>
        <v/>
      </c>
      <c r="F183" s="382" t="str">
        <f>IF(B183="","",IF(ISNA(VLOOKUP($B183,'E-1 Off-Site Hedge Baseline'!$B$1:$L$257,6,FALSE)),"",(VLOOKUP($B183,'E-1 Off-Site Hedge Baseline'!$B$1:$L$257,6,FALSE))))</f>
        <v/>
      </c>
      <c r="G183" s="382" t="str">
        <f>IF(B183="","",IF(ISNA(VLOOKUP($B183,'E-1 Off-Site Hedge Baseline'!$B$1:$L$257,7,FALSE)),"",(VLOOKUP($B183,'E-1 Off-Site Hedge Baseline'!$B$1:$L$257,7,FALSE))))</f>
        <v/>
      </c>
      <c r="H183" s="382" t="str">
        <f>IF(B183="","",IF(ISNA(VLOOKUP($B183,'E-1 Off-Site Hedge Baseline'!$B$1:$L$257,8,FALSE)),"",(VLOOKUP($B183,'E-1 Off-Site Hedge Baseline'!$B$1:$L$257,8,FALSE))))</f>
        <v/>
      </c>
      <c r="I183" s="382" t="str">
        <f>IF(B183="","",IF(ISNA(VLOOKUP($B183,'E-1 Off-Site Hedge Baseline'!$B$1:$L$257,10,FALSE)),"",(VLOOKUP($B183,'E-1 Off-Site Hedge Baseline'!$B$1:$L$257,10,FALSE))))</f>
        <v/>
      </c>
      <c r="J183" s="382" t="str">
        <f>IF(B183="","",IF(ISNA(VLOOKUP($B183,'E-1 Off-Site Hedge Baseline'!$B$1:$L$257,11,FALSE)),"",(VLOOKUP($B183,'E-1 Off-Site Hedge Baseline'!$B$1:$L$257,11,FALSE))))</f>
        <v/>
      </c>
      <c r="K183" s="382" t="str">
        <f>IF(B183="","",IF(ISNA(VLOOKUP($B183,'E-1 Off-Site Hedge Baseline'!$B$1:$X$257,113,FALSE)),"",(VLOOKUP($B183,'E-1 Off-Site Hedge Baseline'!$B$1:$X$257,13,FALSE))))</f>
        <v/>
      </c>
      <c r="L183" s="370" t="str">
        <f>IF(B183="","",IF(ISNA(VLOOKUP($B183,'E-1 Off-Site Hedge Baseline'!$B$1:$X$257,12,FALSE)),"",(VLOOKUP($B183,'E-1 Off-Site Hedge Baseline'!$B$1:$X$257,12,FALSE))))</f>
        <v/>
      </c>
      <c r="M183" s="316" t="str">
        <f t="shared" si="18"/>
        <v/>
      </c>
      <c r="N183" s="362" t="str">
        <f>IFERROR(IF(B183="","",INDEX('G-6 Hedgerow Data'!$AN$3:$AZ$15,MATCH(C183,'G-6 Hedgerow Data'!$AM$3:$AM$15,0),MATCH(M183,'G-6 Hedgerow Data'!$AN$2:$AZ$2,0))),"")</f>
        <v/>
      </c>
      <c r="O183" s="363" t="str">
        <f t="shared" si="20"/>
        <v/>
      </c>
      <c r="P183" s="368" t="str">
        <f>IF(B183="","",VLOOKUP(B183,'E-1 Off-Site Hedge Baseline'!$B$10:W428,19,FALSE))</f>
        <v/>
      </c>
      <c r="Q183" s="362" t="str">
        <f>IF(M183="","",VLOOKUP(M183,'G-6 Hedgerow Data'!$B$2:$AG$15,2,FALSE))</f>
        <v/>
      </c>
      <c r="R183" s="363" t="str">
        <f>IF(M183="","",VLOOKUP(M183,'G-6 Hedgerow Data'!$B$2:$AG$15,3,FALSE))</f>
        <v/>
      </c>
      <c r="S183" s="114"/>
      <c r="T183" s="363" t="str">
        <f>IFERROR(IF(AND(Q183="V.Low",OR(S183="Good",S183="Moderate")),"Error ▲",VLOOKUP(S183,'G-1 All Habitats'!$Z$2:$AA$9,2,FALSE)),"")</f>
        <v/>
      </c>
      <c r="U183" s="114"/>
      <c r="V183" s="370" t="str">
        <f>IF(U183="","",IF(VLOOKUP(U183,'G-3 Multipliers'!$L$3:$N$6,2,FALSE)=0,"Spatial Data Missing ⚠",VLOOKUP(U183,'G-3 Multipliers'!$L$3:$N$6,2,FALSE)))</f>
        <v/>
      </c>
      <c r="W183" s="368" t="str">
        <f>IF(U183="","",IF(VLOOKUP(U183,'G-3 Multipliers'!$L$3:$N$6,3,FALSE)=0,"Spatial Data Missing ⚠",VLOOKUP(U183,'G-3 Multipliers'!$L$3:$N$6,3,FALSE)))</f>
        <v/>
      </c>
      <c r="X183" s="362" t="str">
        <f>IFERROR(IF(OR(LEFT(O183,5)="Error",LEFT(N183,5)="Error",T183="Error"),"Check Data ⚠",IF(F183&lt;R183,INDEX('G-6 Hedgerow Data'!$S$3:$AE$14,MATCH(C183,'G-6 Hedgerow Data'!$B$3:$B$14,0),MATCH(M183,'G-6 Hedgerow Data'!$S$2:$AE$2,0)),INDEX('G-6 Hedgerow Data'!$K$3:$Q$14,MATCH(M183,'G-6 Hedgerow Data'!$B$3:$B$14,0),MATCH(O183,'G-6 Hedgerow Data'!$K$2:$Q$2,0)))),"")</f>
        <v/>
      </c>
      <c r="Y183" s="159"/>
      <c r="Z183" s="159"/>
      <c r="AA183" s="370" t="str">
        <f t="shared" si="21"/>
        <v/>
      </c>
      <c r="AB183" s="383" t="str">
        <f t="shared" si="22"/>
        <v/>
      </c>
      <c r="AC183" s="384" t="str">
        <f t="shared" si="19"/>
        <v/>
      </c>
      <c r="AD183" s="398" t="str">
        <f>IF(M183="","",VLOOKUP(M183,'G-6 Hedgerow Data'!$B$3:$AG$15,31,FALSE))</f>
        <v/>
      </c>
      <c r="AE183" s="382" t="str">
        <f t="shared" si="23"/>
        <v/>
      </c>
      <c r="AF183" s="382" t="str">
        <f t="shared" si="24"/>
        <v/>
      </c>
      <c r="AG183" s="386" t="str">
        <f>IFERROR(IF(O183="","",VLOOKUP(AD183,'G-3 Multipliers'!$P$3:$Q$6,2,FALSE)),"")</f>
        <v/>
      </c>
      <c r="AH183" s="160"/>
      <c r="AI183" s="363" t="str">
        <f>IF(AH183="","",IF(VLOOKUP(AH183,'G-3 Multipliers'!$S$3:$T$10,2,FALSE)=0,"Spatial Data Missing ⚠",VLOOKUP(AH183,'G-3 Multipliers'!$S$3:$T$10,2,FALSE)))</f>
        <v/>
      </c>
      <c r="AJ183" s="405" t="str">
        <f t="shared" si="25"/>
        <v/>
      </c>
      <c r="AK183" s="376" t="str">
        <f t="shared" si="26"/>
        <v/>
      </c>
      <c r="AL183" s="117"/>
      <c r="AM183" s="118"/>
      <c r="AN183" s="120"/>
      <c r="AO183" s="120"/>
      <c r="AQ183" s="30" t="str">
        <f>IFERROR(INDEX('G-6 Hedgerow Data'!$BJ$3:$BJ$15,MATCH(M183,'G-6 Hedgerow Data'!$B$3:$B$15,0)),"")</f>
        <v/>
      </c>
    </row>
    <row r="184" spans="2:43" ht="15">
      <c r="B184" s="392" t="str">
        <f>'E-1 Off-Site Hedge Baseline'!AN182</f>
        <v/>
      </c>
      <c r="C184" s="382" t="str">
        <f>IF(B184="","",IF(ISNA(VLOOKUP($B184,'E-1 Off-Site Hedge Baseline'!$B$1:$L$257,3,FALSE)),"",(VLOOKUP($B184,'E-1 Off-Site Hedge Baseline'!$B$1:$L$257,3,FALSE))))</f>
        <v/>
      </c>
      <c r="D184" s="382" t="str">
        <f>IF(B184="","",IF(ISNA(VLOOKUP($B184,'E-1 Off-Site Hedge Baseline'!$B$1:$L$258,4,FALSE)),"",(VLOOKUP($B184,'E-1 Off-Site Hedge Baseline'!$B$1:$L$258,4,FALSE))))</f>
        <v/>
      </c>
      <c r="E184" s="382" t="str">
        <f>IF(B184="","",IF(ISNA(VLOOKUP($B184,'E-1 Off-Site Hedge Baseline'!$B$1:$L$257,5,FALSE)),"",(VLOOKUP($B184,'E-1 Off-Site Hedge Baseline'!$B$1:$L$257,5,FALSE))))</f>
        <v/>
      </c>
      <c r="F184" s="382" t="str">
        <f>IF(B184="","",IF(ISNA(VLOOKUP($B184,'E-1 Off-Site Hedge Baseline'!$B$1:$L$257,6,FALSE)),"",(VLOOKUP($B184,'E-1 Off-Site Hedge Baseline'!$B$1:$L$257,6,FALSE))))</f>
        <v/>
      </c>
      <c r="G184" s="382" t="str">
        <f>IF(B184="","",IF(ISNA(VLOOKUP($B184,'E-1 Off-Site Hedge Baseline'!$B$1:$L$257,7,FALSE)),"",(VLOOKUP($B184,'E-1 Off-Site Hedge Baseline'!$B$1:$L$257,7,FALSE))))</f>
        <v/>
      </c>
      <c r="H184" s="382" t="str">
        <f>IF(B184="","",IF(ISNA(VLOOKUP($B184,'E-1 Off-Site Hedge Baseline'!$B$1:$L$257,8,FALSE)),"",(VLOOKUP($B184,'E-1 Off-Site Hedge Baseline'!$B$1:$L$257,8,FALSE))))</f>
        <v/>
      </c>
      <c r="I184" s="382" t="str">
        <f>IF(B184="","",IF(ISNA(VLOOKUP($B184,'E-1 Off-Site Hedge Baseline'!$B$1:$L$257,10,FALSE)),"",(VLOOKUP($B184,'E-1 Off-Site Hedge Baseline'!$B$1:$L$257,10,FALSE))))</f>
        <v/>
      </c>
      <c r="J184" s="382" t="str">
        <f>IF(B184="","",IF(ISNA(VLOOKUP($B184,'E-1 Off-Site Hedge Baseline'!$B$1:$L$257,11,FALSE)),"",(VLOOKUP($B184,'E-1 Off-Site Hedge Baseline'!$B$1:$L$257,11,FALSE))))</f>
        <v/>
      </c>
      <c r="K184" s="382" t="str">
        <f>IF(B184="","",IF(ISNA(VLOOKUP($B184,'E-1 Off-Site Hedge Baseline'!$B$1:$X$257,113,FALSE)),"",(VLOOKUP($B184,'E-1 Off-Site Hedge Baseline'!$B$1:$X$257,13,FALSE))))</f>
        <v/>
      </c>
      <c r="L184" s="370" t="str">
        <f>IF(B184="","",IF(ISNA(VLOOKUP($B184,'E-1 Off-Site Hedge Baseline'!$B$1:$X$257,12,FALSE)),"",(VLOOKUP($B184,'E-1 Off-Site Hedge Baseline'!$B$1:$X$257,12,FALSE))))</f>
        <v/>
      </c>
      <c r="M184" s="316" t="str">
        <f t="shared" si="18"/>
        <v/>
      </c>
      <c r="N184" s="362" t="str">
        <f>IFERROR(IF(B184="","",INDEX('G-6 Hedgerow Data'!$AN$3:$AZ$15,MATCH(C184,'G-6 Hedgerow Data'!$AM$3:$AM$15,0),MATCH(M184,'G-6 Hedgerow Data'!$AN$2:$AZ$2,0))),"")</f>
        <v/>
      </c>
      <c r="O184" s="363" t="str">
        <f t="shared" si="20"/>
        <v/>
      </c>
      <c r="P184" s="368" t="str">
        <f>IF(B184="","",VLOOKUP(B184,'E-1 Off-Site Hedge Baseline'!$B$10:W429,19,FALSE))</f>
        <v/>
      </c>
      <c r="Q184" s="362" t="str">
        <f>IF(M184="","",VLOOKUP(M184,'G-6 Hedgerow Data'!$B$2:$AG$15,2,FALSE))</f>
        <v/>
      </c>
      <c r="R184" s="363" t="str">
        <f>IF(M184="","",VLOOKUP(M184,'G-6 Hedgerow Data'!$B$2:$AG$15,3,FALSE))</f>
        <v/>
      </c>
      <c r="S184" s="114"/>
      <c r="T184" s="363" t="str">
        <f>IFERROR(IF(AND(Q184="V.Low",OR(S184="Good",S184="Moderate")),"Error ▲",VLOOKUP(S184,'G-1 All Habitats'!$Z$2:$AA$9,2,FALSE)),"")</f>
        <v/>
      </c>
      <c r="U184" s="114"/>
      <c r="V184" s="370" t="str">
        <f>IF(U184="","",IF(VLOOKUP(U184,'G-3 Multipliers'!$L$3:$N$6,2,FALSE)=0,"Spatial Data Missing ⚠",VLOOKUP(U184,'G-3 Multipliers'!$L$3:$N$6,2,FALSE)))</f>
        <v/>
      </c>
      <c r="W184" s="368" t="str">
        <f>IF(U184="","",IF(VLOOKUP(U184,'G-3 Multipliers'!$L$3:$N$6,3,FALSE)=0,"Spatial Data Missing ⚠",VLOOKUP(U184,'G-3 Multipliers'!$L$3:$N$6,3,FALSE)))</f>
        <v/>
      </c>
      <c r="X184" s="362" t="str">
        <f>IFERROR(IF(OR(LEFT(O184,5)="Error",LEFT(N184,5)="Error",T184="Error"),"Check Data ⚠",IF(F184&lt;R184,INDEX('G-6 Hedgerow Data'!$S$3:$AE$14,MATCH(C184,'G-6 Hedgerow Data'!$B$3:$B$14,0),MATCH(M184,'G-6 Hedgerow Data'!$S$2:$AE$2,0)),INDEX('G-6 Hedgerow Data'!$K$3:$Q$14,MATCH(M184,'G-6 Hedgerow Data'!$B$3:$B$14,0),MATCH(O184,'G-6 Hedgerow Data'!$K$2:$Q$2,0)))),"")</f>
        <v/>
      </c>
      <c r="Y184" s="159"/>
      <c r="Z184" s="159"/>
      <c r="AA184" s="370" t="str">
        <f t="shared" si="21"/>
        <v/>
      </c>
      <c r="AB184" s="383" t="str">
        <f t="shared" si="22"/>
        <v/>
      </c>
      <c r="AC184" s="384" t="str">
        <f t="shared" si="19"/>
        <v/>
      </c>
      <c r="AD184" s="398" t="str">
        <f>IF(M184="","",VLOOKUP(M184,'G-6 Hedgerow Data'!$B$3:$AG$15,31,FALSE))</f>
        <v/>
      </c>
      <c r="AE184" s="382" t="str">
        <f t="shared" si="23"/>
        <v/>
      </c>
      <c r="AF184" s="382" t="str">
        <f t="shared" si="24"/>
        <v/>
      </c>
      <c r="AG184" s="386" t="str">
        <f>IFERROR(IF(O184="","",VLOOKUP(AD184,'G-3 Multipliers'!$P$3:$Q$6,2,FALSE)),"")</f>
        <v/>
      </c>
      <c r="AH184" s="160"/>
      <c r="AI184" s="363" t="str">
        <f>IF(AH184="","",IF(VLOOKUP(AH184,'G-3 Multipliers'!$S$3:$T$10,2,FALSE)=0,"Spatial Data Missing ⚠",VLOOKUP(AH184,'G-3 Multipliers'!$S$3:$T$10,2,FALSE)))</f>
        <v/>
      </c>
      <c r="AJ184" s="405" t="str">
        <f t="shared" si="25"/>
        <v/>
      </c>
      <c r="AK184" s="376" t="str">
        <f t="shared" si="26"/>
        <v/>
      </c>
      <c r="AL184" s="117"/>
      <c r="AM184" s="118"/>
      <c r="AN184" s="120"/>
      <c r="AO184" s="120"/>
      <c r="AQ184" s="30" t="str">
        <f>IFERROR(INDEX('G-6 Hedgerow Data'!$BJ$3:$BJ$15,MATCH(M184,'G-6 Hedgerow Data'!$B$3:$B$15,0)),"")</f>
        <v/>
      </c>
    </row>
    <row r="185" spans="2:43" ht="15">
      <c r="B185" s="392" t="str">
        <f>'E-1 Off-Site Hedge Baseline'!AN183</f>
        <v/>
      </c>
      <c r="C185" s="382" t="str">
        <f>IF(B185="","",IF(ISNA(VLOOKUP($B185,'E-1 Off-Site Hedge Baseline'!$B$1:$L$257,3,FALSE)),"",(VLOOKUP($B185,'E-1 Off-Site Hedge Baseline'!$B$1:$L$257,3,FALSE))))</f>
        <v/>
      </c>
      <c r="D185" s="382" t="str">
        <f>IF(B185="","",IF(ISNA(VLOOKUP($B185,'E-1 Off-Site Hedge Baseline'!$B$1:$L$258,4,FALSE)),"",(VLOOKUP($B185,'E-1 Off-Site Hedge Baseline'!$B$1:$L$258,4,FALSE))))</f>
        <v/>
      </c>
      <c r="E185" s="382" t="str">
        <f>IF(B185="","",IF(ISNA(VLOOKUP($B185,'E-1 Off-Site Hedge Baseline'!$B$1:$L$257,5,FALSE)),"",(VLOOKUP($B185,'E-1 Off-Site Hedge Baseline'!$B$1:$L$257,5,FALSE))))</f>
        <v/>
      </c>
      <c r="F185" s="382" t="str">
        <f>IF(B185="","",IF(ISNA(VLOOKUP($B185,'E-1 Off-Site Hedge Baseline'!$B$1:$L$257,6,FALSE)),"",(VLOOKUP($B185,'E-1 Off-Site Hedge Baseline'!$B$1:$L$257,6,FALSE))))</f>
        <v/>
      </c>
      <c r="G185" s="382" t="str">
        <f>IF(B185="","",IF(ISNA(VLOOKUP($B185,'E-1 Off-Site Hedge Baseline'!$B$1:$L$257,7,FALSE)),"",(VLOOKUP($B185,'E-1 Off-Site Hedge Baseline'!$B$1:$L$257,7,FALSE))))</f>
        <v/>
      </c>
      <c r="H185" s="382" t="str">
        <f>IF(B185="","",IF(ISNA(VLOOKUP($B185,'E-1 Off-Site Hedge Baseline'!$B$1:$L$257,8,FALSE)),"",(VLOOKUP($B185,'E-1 Off-Site Hedge Baseline'!$B$1:$L$257,8,FALSE))))</f>
        <v/>
      </c>
      <c r="I185" s="382" t="str">
        <f>IF(B185="","",IF(ISNA(VLOOKUP($B185,'E-1 Off-Site Hedge Baseline'!$B$1:$L$257,10,FALSE)),"",(VLOOKUP($B185,'E-1 Off-Site Hedge Baseline'!$B$1:$L$257,10,FALSE))))</f>
        <v/>
      </c>
      <c r="J185" s="382" t="str">
        <f>IF(B185="","",IF(ISNA(VLOOKUP($B185,'E-1 Off-Site Hedge Baseline'!$B$1:$L$257,11,FALSE)),"",(VLOOKUP($B185,'E-1 Off-Site Hedge Baseline'!$B$1:$L$257,11,FALSE))))</f>
        <v/>
      </c>
      <c r="K185" s="382" t="str">
        <f>IF(B185="","",IF(ISNA(VLOOKUP($B185,'E-1 Off-Site Hedge Baseline'!$B$1:$X$257,113,FALSE)),"",(VLOOKUP($B185,'E-1 Off-Site Hedge Baseline'!$B$1:$X$257,13,FALSE))))</f>
        <v/>
      </c>
      <c r="L185" s="370" t="str">
        <f>IF(B185="","",IF(ISNA(VLOOKUP($B185,'E-1 Off-Site Hedge Baseline'!$B$1:$X$257,12,FALSE)),"",(VLOOKUP($B185,'E-1 Off-Site Hedge Baseline'!$B$1:$X$257,12,FALSE))))</f>
        <v/>
      </c>
      <c r="M185" s="316" t="str">
        <f t="shared" si="18"/>
        <v/>
      </c>
      <c r="N185" s="362" t="str">
        <f>IFERROR(IF(B185="","",INDEX('G-6 Hedgerow Data'!$AN$3:$AZ$15,MATCH(C185,'G-6 Hedgerow Data'!$AM$3:$AM$15,0),MATCH(M185,'G-6 Hedgerow Data'!$AN$2:$AZ$2,0))),"")</f>
        <v/>
      </c>
      <c r="O185" s="363" t="str">
        <f t="shared" si="20"/>
        <v/>
      </c>
      <c r="P185" s="368" t="str">
        <f>IF(B185="","",VLOOKUP(B185,'E-1 Off-Site Hedge Baseline'!$B$10:W430,19,FALSE))</f>
        <v/>
      </c>
      <c r="Q185" s="362" t="str">
        <f>IF(M185="","",VLOOKUP(M185,'G-6 Hedgerow Data'!$B$2:$AG$15,2,FALSE))</f>
        <v/>
      </c>
      <c r="R185" s="363" t="str">
        <f>IF(M185="","",VLOOKUP(M185,'G-6 Hedgerow Data'!$B$2:$AG$15,3,FALSE))</f>
        <v/>
      </c>
      <c r="S185" s="114"/>
      <c r="T185" s="363" t="str">
        <f>IFERROR(IF(AND(Q185="V.Low",OR(S185="Good",S185="Moderate")),"Error ▲",VLOOKUP(S185,'G-1 All Habitats'!$Z$2:$AA$9,2,FALSE)),"")</f>
        <v/>
      </c>
      <c r="U185" s="114"/>
      <c r="V185" s="370" t="str">
        <f>IF(U185="","",IF(VLOOKUP(U185,'G-3 Multipliers'!$L$3:$N$6,2,FALSE)=0,"Spatial Data Missing ⚠",VLOOKUP(U185,'G-3 Multipliers'!$L$3:$N$6,2,FALSE)))</f>
        <v/>
      </c>
      <c r="W185" s="368" t="str">
        <f>IF(U185="","",IF(VLOOKUP(U185,'G-3 Multipliers'!$L$3:$N$6,3,FALSE)=0,"Spatial Data Missing ⚠",VLOOKUP(U185,'G-3 Multipliers'!$L$3:$N$6,3,FALSE)))</f>
        <v/>
      </c>
      <c r="X185" s="362" t="str">
        <f>IFERROR(IF(OR(LEFT(O185,5)="Error",LEFT(N185,5)="Error",T185="Error"),"Check Data ⚠",IF(F185&lt;R185,INDEX('G-6 Hedgerow Data'!$S$3:$AE$14,MATCH(C185,'G-6 Hedgerow Data'!$B$3:$B$14,0),MATCH(M185,'G-6 Hedgerow Data'!$S$2:$AE$2,0)),INDEX('G-6 Hedgerow Data'!$K$3:$Q$14,MATCH(M185,'G-6 Hedgerow Data'!$B$3:$B$14,0),MATCH(O185,'G-6 Hedgerow Data'!$K$2:$Q$2,0)))),"")</f>
        <v/>
      </c>
      <c r="Y185" s="159"/>
      <c r="Z185" s="159"/>
      <c r="AA185" s="370" t="str">
        <f t="shared" si="21"/>
        <v/>
      </c>
      <c r="AB185" s="383" t="str">
        <f t="shared" si="22"/>
        <v/>
      </c>
      <c r="AC185" s="384" t="str">
        <f t="shared" si="19"/>
        <v/>
      </c>
      <c r="AD185" s="398" t="str">
        <f>IF(M185="","",VLOOKUP(M185,'G-6 Hedgerow Data'!$B$3:$AG$15,31,FALSE))</f>
        <v/>
      </c>
      <c r="AE185" s="382" t="str">
        <f t="shared" si="23"/>
        <v/>
      </c>
      <c r="AF185" s="382" t="str">
        <f t="shared" si="24"/>
        <v/>
      </c>
      <c r="AG185" s="386" t="str">
        <f>IFERROR(IF(O185="","",VLOOKUP(AD185,'G-3 Multipliers'!$P$3:$Q$6,2,FALSE)),"")</f>
        <v/>
      </c>
      <c r="AH185" s="160"/>
      <c r="AI185" s="363" t="str">
        <f>IF(AH185="","",IF(VLOOKUP(AH185,'G-3 Multipliers'!$S$3:$T$10,2,FALSE)=0,"Spatial Data Missing ⚠",VLOOKUP(AH185,'G-3 Multipliers'!$S$3:$T$10,2,FALSE)))</f>
        <v/>
      </c>
      <c r="AJ185" s="405" t="str">
        <f t="shared" si="25"/>
        <v/>
      </c>
      <c r="AK185" s="376" t="str">
        <f t="shared" si="26"/>
        <v/>
      </c>
      <c r="AL185" s="117"/>
      <c r="AM185" s="118"/>
      <c r="AN185" s="120"/>
      <c r="AO185" s="120"/>
      <c r="AQ185" s="30" t="str">
        <f>IFERROR(INDEX('G-6 Hedgerow Data'!$BJ$3:$BJ$15,MATCH(M185,'G-6 Hedgerow Data'!$B$3:$B$15,0)),"")</f>
        <v/>
      </c>
    </row>
    <row r="186" spans="2:43" ht="15">
      <c r="B186" s="392" t="str">
        <f>'E-1 Off-Site Hedge Baseline'!AN184</f>
        <v/>
      </c>
      <c r="C186" s="382" t="str">
        <f>IF(B186="","",IF(ISNA(VLOOKUP($B186,'E-1 Off-Site Hedge Baseline'!$B$1:$L$257,3,FALSE)),"",(VLOOKUP($B186,'E-1 Off-Site Hedge Baseline'!$B$1:$L$257,3,FALSE))))</f>
        <v/>
      </c>
      <c r="D186" s="382" t="str">
        <f>IF(B186="","",IF(ISNA(VLOOKUP($B186,'E-1 Off-Site Hedge Baseline'!$B$1:$L$258,4,FALSE)),"",(VLOOKUP($B186,'E-1 Off-Site Hedge Baseline'!$B$1:$L$258,4,FALSE))))</f>
        <v/>
      </c>
      <c r="E186" s="382" t="str">
        <f>IF(B186="","",IF(ISNA(VLOOKUP($B186,'E-1 Off-Site Hedge Baseline'!$B$1:$L$257,5,FALSE)),"",(VLOOKUP($B186,'E-1 Off-Site Hedge Baseline'!$B$1:$L$257,5,FALSE))))</f>
        <v/>
      </c>
      <c r="F186" s="382" t="str">
        <f>IF(B186="","",IF(ISNA(VLOOKUP($B186,'E-1 Off-Site Hedge Baseline'!$B$1:$L$257,6,FALSE)),"",(VLOOKUP($B186,'E-1 Off-Site Hedge Baseline'!$B$1:$L$257,6,FALSE))))</f>
        <v/>
      </c>
      <c r="G186" s="382" t="str">
        <f>IF(B186="","",IF(ISNA(VLOOKUP($B186,'E-1 Off-Site Hedge Baseline'!$B$1:$L$257,7,FALSE)),"",(VLOOKUP($B186,'E-1 Off-Site Hedge Baseline'!$B$1:$L$257,7,FALSE))))</f>
        <v/>
      </c>
      <c r="H186" s="382" t="str">
        <f>IF(B186="","",IF(ISNA(VLOOKUP($B186,'E-1 Off-Site Hedge Baseline'!$B$1:$L$257,8,FALSE)),"",(VLOOKUP($B186,'E-1 Off-Site Hedge Baseline'!$B$1:$L$257,8,FALSE))))</f>
        <v/>
      </c>
      <c r="I186" s="382" t="str">
        <f>IF(B186="","",IF(ISNA(VLOOKUP($B186,'E-1 Off-Site Hedge Baseline'!$B$1:$L$257,10,FALSE)),"",(VLOOKUP($B186,'E-1 Off-Site Hedge Baseline'!$B$1:$L$257,10,FALSE))))</f>
        <v/>
      </c>
      <c r="J186" s="382" t="str">
        <f>IF(B186="","",IF(ISNA(VLOOKUP($B186,'E-1 Off-Site Hedge Baseline'!$B$1:$L$257,11,FALSE)),"",(VLOOKUP($B186,'E-1 Off-Site Hedge Baseline'!$B$1:$L$257,11,FALSE))))</f>
        <v/>
      </c>
      <c r="K186" s="382" t="str">
        <f>IF(B186="","",IF(ISNA(VLOOKUP($B186,'E-1 Off-Site Hedge Baseline'!$B$1:$X$257,113,FALSE)),"",(VLOOKUP($B186,'E-1 Off-Site Hedge Baseline'!$B$1:$X$257,13,FALSE))))</f>
        <v/>
      </c>
      <c r="L186" s="370" t="str">
        <f>IF(B186="","",IF(ISNA(VLOOKUP($B186,'E-1 Off-Site Hedge Baseline'!$B$1:$X$257,12,FALSE)),"",(VLOOKUP($B186,'E-1 Off-Site Hedge Baseline'!$B$1:$X$257,12,FALSE))))</f>
        <v/>
      </c>
      <c r="M186" s="316" t="str">
        <f t="shared" si="18"/>
        <v/>
      </c>
      <c r="N186" s="362" t="str">
        <f>IFERROR(IF(B186="","",INDEX('G-6 Hedgerow Data'!$AN$3:$AZ$15,MATCH(C186,'G-6 Hedgerow Data'!$AM$3:$AM$15,0),MATCH(M186,'G-6 Hedgerow Data'!$AN$2:$AZ$2,0))),"")</f>
        <v/>
      </c>
      <c r="O186" s="363" t="str">
        <f t="shared" si="20"/>
        <v/>
      </c>
      <c r="P186" s="368" t="str">
        <f>IF(B186="","",VLOOKUP(B186,'E-1 Off-Site Hedge Baseline'!$B$10:W431,19,FALSE))</f>
        <v/>
      </c>
      <c r="Q186" s="362" t="str">
        <f>IF(M186="","",VLOOKUP(M186,'G-6 Hedgerow Data'!$B$2:$AG$15,2,FALSE))</f>
        <v/>
      </c>
      <c r="R186" s="363" t="str">
        <f>IF(M186="","",VLOOKUP(M186,'G-6 Hedgerow Data'!$B$2:$AG$15,3,FALSE))</f>
        <v/>
      </c>
      <c r="S186" s="114"/>
      <c r="T186" s="363" t="str">
        <f>IFERROR(IF(AND(Q186="V.Low",OR(S186="Good",S186="Moderate")),"Error ▲",VLOOKUP(S186,'G-1 All Habitats'!$Z$2:$AA$9,2,FALSE)),"")</f>
        <v/>
      </c>
      <c r="U186" s="114"/>
      <c r="V186" s="370" t="str">
        <f>IF(U186="","",IF(VLOOKUP(U186,'G-3 Multipliers'!$L$3:$N$6,2,FALSE)=0,"Spatial Data Missing ⚠",VLOOKUP(U186,'G-3 Multipliers'!$L$3:$N$6,2,FALSE)))</f>
        <v/>
      </c>
      <c r="W186" s="368" t="str">
        <f>IF(U186="","",IF(VLOOKUP(U186,'G-3 Multipliers'!$L$3:$N$6,3,FALSE)=0,"Spatial Data Missing ⚠",VLOOKUP(U186,'G-3 Multipliers'!$L$3:$N$6,3,FALSE)))</f>
        <v/>
      </c>
      <c r="X186" s="362" t="str">
        <f>IFERROR(IF(OR(LEFT(O186,5)="Error",LEFT(N186,5)="Error",T186="Error"),"Check Data ⚠",IF(F186&lt;R186,INDEX('G-6 Hedgerow Data'!$S$3:$AE$14,MATCH(C186,'G-6 Hedgerow Data'!$B$3:$B$14,0),MATCH(M186,'G-6 Hedgerow Data'!$S$2:$AE$2,0)),INDEX('G-6 Hedgerow Data'!$K$3:$Q$14,MATCH(M186,'G-6 Hedgerow Data'!$B$3:$B$14,0),MATCH(O186,'G-6 Hedgerow Data'!$K$2:$Q$2,0)))),"")</f>
        <v/>
      </c>
      <c r="Y186" s="159"/>
      <c r="Z186" s="159"/>
      <c r="AA186" s="370" t="str">
        <f t="shared" si="21"/>
        <v/>
      </c>
      <c r="AB186" s="383" t="str">
        <f t="shared" si="22"/>
        <v/>
      </c>
      <c r="AC186" s="384" t="str">
        <f t="shared" si="19"/>
        <v/>
      </c>
      <c r="AD186" s="398" t="str">
        <f>IF(M186="","",VLOOKUP(M186,'G-6 Hedgerow Data'!$B$3:$AG$15,31,FALSE))</f>
        <v/>
      </c>
      <c r="AE186" s="382" t="str">
        <f t="shared" si="23"/>
        <v/>
      </c>
      <c r="AF186" s="382" t="str">
        <f t="shared" si="24"/>
        <v/>
      </c>
      <c r="AG186" s="386" t="str">
        <f>IFERROR(IF(O186="","",VLOOKUP(AD186,'G-3 Multipliers'!$P$3:$Q$6,2,FALSE)),"")</f>
        <v/>
      </c>
      <c r="AH186" s="160"/>
      <c r="AI186" s="363" t="str">
        <f>IF(AH186="","",IF(VLOOKUP(AH186,'G-3 Multipliers'!$S$3:$T$10,2,FALSE)=0,"Spatial Data Missing ⚠",VLOOKUP(AH186,'G-3 Multipliers'!$S$3:$T$10,2,FALSE)))</f>
        <v/>
      </c>
      <c r="AJ186" s="405" t="str">
        <f t="shared" si="25"/>
        <v/>
      </c>
      <c r="AK186" s="376" t="str">
        <f t="shared" si="26"/>
        <v/>
      </c>
      <c r="AL186" s="117"/>
      <c r="AM186" s="118"/>
      <c r="AN186" s="120"/>
      <c r="AO186" s="120"/>
      <c r="AQ186" s="30" t="str">
        <f>IFERROR(INDEX('G-6 Hedgerow Data'!$BJ$3:$BJ$15,MATCH(M186,'G-6 Hedgerow Data'!$B$3:$B$15,0)),"")</f>
        <v/>
      </c>
    </row>
    <row r="187" spans="2:43" ht="15">
      <c r="B187" s="392" t="str">
        <f>'E-1 Off-Site Hedge Baseline'!AN185</f>
        <v/>
      </c>
      <c r="C187" s="382" t="str">
        <f>IF(B187="","",IF(ISNA(VLOOKUP($B187,'E-1 Off-Site Hedge Baseline'!$B$1:$L$257,3,FALSE)),"",(VLOOKUP($B187,'E-1 Off-Site Hedge Baseline'!$B$1:$L$257,3,FALSE))))</f>
        <v/>
      </c>
      <c r="D187" s="382" t="str">
        <f>IF(B187="","",IF(ISNA(VLOOKUP($B187,'E-1 Off-Site Hedge Baseline'!$B$1:$L$258,4,FALSE)),"",(VLOOKUP($B187,'E-1 Off-Site Hedge Baseline'!$B$1:$L$258,4,FALSE))))</f>
        <v/>
      </c>
      <c r="E187" s="382" t="str">
        <f>IF(B187="","",IF(ISNA(VLOOKUP($B187,'E-1 Off-Site Hedge Baseline'!$B$1:$L$257,5,FALSE)),"",(VLOOKUP($B187,'E-1 Off-Site Hedge Baseline'!$B$1:$L$257,5,FALSE))))</f>
        <v/>
      </c>
      <c r="F187" s="382" t="str">
        <f>IF(B187="","",IF(ISNA(VLOOKUP($B187,'E-1 Off-Site Hedge Baseline'!$B$1:$L$257,6,FALSE)),"",(VLOOKUP($B187,'E-1 Off-Site Hedge Baseline'!$B$1:$L$257,6,FALSE))))</f>
        <v/>
      </c>
      <c r="G187" s="382" t="str">
        <f>IF(B187="","",IF(ISNA(VLOOKUP($B187,'E-1 Off-Site Hedge Baseline'!$B$1:$L$257,7,FALSE)),"",(VLOOKUP($B187,'E-1 Off-Site Hedge Baseline'!$B$1:$L$257,7,FALSE))))</f>
        <v/>
      </c>
      <c r="H187" s="382" t="str">
        <f>IF(B187="","",IF(ISNA(VLOOKUP($B187,'E-1 Off-Site Hedge Baseline'!$B$1:$L$257,8,FALSE)),"",(VLOOKUP($B187,'E-1 Off-Site Hedge Baseline'!$B$1:$L$257,8,FALSE))))</f>
        <v/>
      </c>
      <c r="I187" s="382" t="str">
        <f>IF(B187="","",IF(ISNA(VLOOKUP($B187,'E-1 Off-Site Hedge Baseline'!$B$1:$L$257,10,FALSE)),"",(VLOOKUP($B187,'E-1 Off-Site Hedge Baseline'!$B$1:$L$257,10,FALSE))))</f>
        <v/>
      </c>
      <c r="J187" s="382" t="str">
        <f>IF(B187="","",IF(ISNA(VLOOKUP($B187,'E-1 Off-Site Hedge Baseline'!$B$1:$L$257,11,FALSE)),"",(VLOOKUP($B187,'E-1 Off-Site Hedge Baseline'!$B$1:$L$257,11,FALSE))))</f>
        <v/>
      </c>
      <c r="K187" s="382" t="str">
        <f>IF(B187="","",IF(ISNA(VLOOKUP($B187,'E-1 Off-Site Hedge Baseline'!$B$1:$X$257,113,FALSE)),"",(VLOOKUP($B187,'E-1 Off-Site Hedge Baseline'!$B$1:$X$257,13,FALSE))))</f>
        <v/>
      </c>
      <c r="L187" s="370" t="str">
        <f>IF(B187="","",IF(ISNA(VLOOKUP($B187,'E-1 Off-Site Hedge Baseline'!$B$1:$X$257,12,FALSE)),"",(VLOOKUP($B187,'E-1 Off-Site Hedge Baseline'!$B$1:$X$257,12,FALSE))))</f>
        <v/>
      </c>
      <c r="M187" s="316" t="str">
        <f t="shared" si="18"/>
        <v/>
      </c>
      <c r="N187" s="362" t="str">
        <f>IFERROR(IF(B187="","",INDEX('G-6 Hedgerow Data'!$AN$3:$AZ$15,MATCH(C187,'G-6 Hedgerow Data'!$AM$3:$AM$15,0),MATCH(M187,'G-6 Hedgerow Data'!$AN$2:$AZ$2,0))),"")</f>
        <v/>
      </c>
      <c r="O187" s="363" t="str">
        <f t="shared" si="20"/>
        <v/>
      </c>
      <c r="P187" s="368" t="str">
        <f>IF(B187="","",VLOOKUP(B187,'E-1 Off-Site Hedge Baseline'!$B$10:W432,19,FALSE))</f>
        <v/>
      </c>
      <c r="Q187" s="362" t="str">
        <f>IF(M187="","",VLOOKUP(M187,'G-6 Hedgerow Data'!$B$2:$AG$15,2,FALSE))</f>
        <v/>
      </c>
      <c r="R187" s="363" t="str">
        <f>IF(M187="","",VLOOKUP(M187,'G-6 Hedgerow Data'!$B$2:$AG$15,3,FALSE))</f>
        <v/>
      </c>
      <c r="S187" s="114"/>
      <c r="T187" s="363" t="str">
        <f>IFERROR(IF(AND(Q187="V.Low",OR(S187="Good",S187="Moderate")),"Error ▲",VLOOKUP(S187,'G-1 All Habitats'!$Z$2:$AA$9,2,FALSE)),"")</f>
        <v/>
      </c>
      <c r="U187" s="114"/>
      <c r="V187" s="370" t="str">
        <f>IF(U187="","",IF(VLOOKUP(U187,'G-3 Multipliers'!$L$3:$N$6,2,FALSE)=0,"Spatial Data Missing ⚠",VLOOKUP(U187,'G-3 Multipliers'!$L$3:$N$6,2,FALSE)))</f>
        <v/>
      </c>
      <c r="W187" s="368" t="str">
        <f>IF(U187="","",IF(VLOOKUP(U187,'G-3 Multipliers'!$L$3:$N$6,3,FALSE)=0,"Spatial Data Missing ⚠",VLOOKUP(U187,'G-3 Multipliers'!$L$3:$N$6,3,FALSE)))</f>
        <v/>
      </c>
      <c r="X187" s="362" t="str">
        <f>IFERROR(IF(OR(LEFT(O187,5)="Error",LEFT(N187,5)="Error",T187="Error"),"Check Data ⚠",IF(F187&lt;R187,INDEX('G-6 Hedgerow Data'!$S$3:$AE$14,MATCH(C187,'G-6 Hedgerow Data'!$B$3:$B$14,0),MATCH(M187,'G-6 Hedgerow Data'!$S$2:$AE$2,0)),INDEX('G-6 Hedgerow Data'!$K$3:$Q$14,MATCH(M187,'G-6 Hedgerow Data'!$B$3:$B$14,0),MATCH(O187,'G-6 Hedgerow Data'!$K$2:$Q$2,0)))),"")</f>
        <v/>
      </c>
      <c r="Y187" s="159"/>
      <c r="Z187" s="159"/>
      <c r="AA187" s="370" t="str">
        <f t="shared" si="21"/>
        <v/>
      </c>
      <c r="AB187" s="383" t="str">
        <f t="shared" si="22"/>
        <v/>
      </c>
      <c r="AC187" s="384" t="str">
        <f t="shared" si="19"/>
        <v/>
      </c>
      <c r="AD187" s="398" t="str">
        <f>IF(M187="","",VLOOKUP(M187,'G-6 Hedgerow Data'!$B$3:$AG$15,31,FALSE))</f>
        <v/>
      </c>
      <c r="AE187" s="382" t="str">
        <f t="shared" si="23"/>
        <v/>
      </c>
      <c r="AF187" s="382" t="str">
        <f t="shared" si="24"/>
        <v/>
      </c>
      <c r="AG187" s="386" t="str">
        <f>IFERROR(IF(O187="","",VLOOKUP(AD187,'G-3 Multipliers'!$P$3:$Q$6,2,FALSE)),"")</f>
        <v/>
      </c>
      <c r="AH187" s="160"/>
      <c r="AI187" s="363" t="str">
        <f>IF(AH187="","",IF(VLOOKUP(AH187,'G-3 Multipliers'!$S$3:$T$10,2,FALSE)=0,"Spatial Data Missing ⚠",VLOOKUP(AH187,'G-3 Multipliers'!$S$3:$T$10,2,FALSE)))</f>
        <v/>
      </c>
      <c r="AJ187" s="405" t="str">
        <f t="shared" si="25"/>
        <v/>
      </c>
      <c r="AK187" s="376" t="str">
        <f t="shared" si="26"/>
        <v/>
      </c>
      <c r="AL187" s="117"/>
      <c r="AM187" s="118"/>
      <c r="AN187" s="120"/>
      <c r="AO187" s="120"/>
      <c r="AQ187" s="30" t="str">
        <f>IFERROR(INDEX('G-6 Hedgerow Data'!$BJ$3:$BJ$15,MATCH(M187,'G-6 Hedgerow Data'!$B$3:$B$15,0)),"")</f>
        <v/>
      </c>
    </row>
    <row r="188" spans="2:43" ht="15">
      <c r="B188" s="392" t="str">
        <f>'E-1 Off-Site Hedge Baseline'!AN186</f>
        <v/>
      </c>
      <c r="C188" s="382" t="str">
        <f>IF(B188="","",IF(ISNA(VLOOKUP($B188,'E-1 Off-Site Hedge Baseline'!$B$1:$L$257,3,FALSE)),"",(VLOOKUP($B188,'E-1 Off-Site Hedge Baseline'!$B$1:$L$257,3,FALSE))))</f>
        <v/>
      </c>
      <c r="D188" s="382" t="str">
        <f>IF(B188="","",IF(ISNA(VLOOKUP($B188,'E-1 Off-Site Hedge Baseline'!$B$1:$L$258,4,FALSE)),"",(VLOOKUP($B188,'E-1 Off-Site Hedge Baseline'!$B$1:$L$258,4,FALSE))))</f>
        <v/>
      </c>
      <c r="E188" s="382" t="str">
        <f>IF(B188="","",IF(ISNA(VLOOKUP($B188,'E-1 Off-Site Hedge Baseline'!$B$1:$L$257,5,FALSE)),"",(VLOOKUP($B188,'E-1 Off-Site Hedge Baseline'!$B$1:$L$257,5,FALSE))))</f>
        <v/>
      </c>
      <c r="F188" s="382" t="str">
        <f>IF(B188="","",IF(ISNA(VLOOKUP($B188,'E-1 Off-Site Hedge Baseline'!$B$1:$L$257,6,FALSE)),"",(VLOOKUP($B188,'E-1 Off-Site Hedge Baseline'!$B$1:$L$257,6,FALSE))))</f>
        <v/>
      </c>
      <c r="G188" s="382" t="str">
        <f>IF(B188="","",IF(ISNA(VLOOKUP($B188,'E-1 Off-Site Hedge Baseline'!$B$1:$L$257,7,FALSE)),"",(VLOOKUP($B188,'E-1 Off-Site Hedge Baseline'!$B$1:$L$257,7,FALSE))))</f>
        <v/>
      </c>
      <c r="H188" s="382" t="str">
        <f>IF(B188="","",IF(ISNA(VLOOKUP($B188,'E-1 Off-Site Hedge Baseline'!$B$1:$L$257,8,FALSE)),"",(VLOOKUP($B188,'E-1 Off-Site Hedge Baseline'!$B$1:$L$257,8,FALSE))))</f>
        <v/>
      </c>
      <c r="I188" s="382" t="str">
        <f>IF(B188="","",IF(ISNA(VLOOKUP($B188,'E-1 Off-Site Hedge Baseline'!$B$1:$L$257,10,FALSE)),"",(VLOOKUP($B188,'E-1 Off-Site Hedge Baseline'!$B$1:$L$257,10,FALSE))))</f>
        <v/>
      </c>
      <c r="J188" s="382" t="str">
        <f>IF(B188="","",IF(ISNA(VLOOKUP($B188,'E-1 Off-Site Hedge Baseline'!$B$1:$L$257,11,FALSE)),"",(VLOOKUP($B188,'E-1 Off-Site Hedge Baseline'!$B$1:$L$257,11,FALSE))))</f>
        <v/>
      </c>
      <c r="K188" s="382" t="str">
        <f>IF(B188="","",IF(ISNA(VLOOKUP($B188,'E-1 Off-Site Hedge Baseline'!$B$1:$X$257,113,FALSE)),"",(VLOOKUP($B188,'E-1 Off-Site Hedge Baseline'!$B$1:$X$257,13,FALSE))))</f>
        <v/>
      </c>
      <c r="L188" s="370" t="str">
        <f>IF(B188="","",IF(ISNA(VLOOKUP($B188,'E-1 Off-Site Hedge Baseline'!$B$1:$X$257,12,FALSE)),"",(VLOOKUP($B188,'E-1 Off-Site Hedge Baseline'!$B$1:$X$257,12,FALSE))))</f>
        <v/>
      </c>
      <c r="M188" s="316" t="str">
        <f t="shared" si="18"/>
        <v/>
      </c>
      <c r="N188" s="362" t="str">
        <f>IFERROR(IF(B188="","",INDEX('G-6 Hedgerow Data'!$AN$3:$AZ$15,MATCH(C188,'G-6 Hedgerow Data'!$AM$3:$AM$15,0),MATCH(M188,'G-6 Hedgerow Data'!$AN$2:$AZ$2,0))),"")</f>
        <v/>
      </c>
      <c r="O188" s="363" t="str">
        <f t="shared" si="20"/>
        <v/>
      </c>
      <c r="P188" s="368" t="str">
        <f>IF(B188="","",VLOOKUP(B188,'E-1 Off-Site Hedge Baseline'!$B$10:W433,19,FALSE))</f>
        <v/>
      </c>
      <c r="Q188" s="362" t="str">
        <f>IF(M188="","",VLOOKUP(M188,'G-6 Hedgerow Data'!$B$2:$AG$15,2,FALSE))</f>
        <v/>
      </c>
      <c r="R188" s="363" t="str">
        <f>IF(M188="","",VLOOKUP(M188,'G-6 Hedgerow Data'!$B$2:$AG$15,3,FALSE))</f>
        <v/>
      </c>
      <c r="S188" s="114"/>
      <c r="T188" s="363" t="str">
        <f>IFERROR(IF(AND(Q188="V.Low",OR(S188="Good",S188="Moderate")),"Error ▲",VLOOKUP(S188,'G-1 All Habitats'!$Z$2:$AA$9,2,FALSE)),"")</f>
        <v/>
      </c>
      <c r="U188" s="114"/>
      <c r="V188" s="370" t="str">
        <f>IF(U188="","",IF(VLOOKUP(U188,'G-3 Multipliers'!$L$3:$N$6,2,FALSE)=0,"Spatial Data Missing ⚠",VLOOKUP(U188,'G-3 Multipliers'!$L$3:$N$6,2,FALSE)))</f>
        <v/>
      </c>
      <c r="W188" s="368" t="str">
        <f>IF(U188="","",IF(VLOOKUP(U188,'G-3 Multipliers'!$L$3:$N$6,3,FALSE)=0,"Spatial Data Missing ⚠",VLOOKUP(U188,'G-3 Multipliers'!$L$3:$N$6,3,FALSE)))</f>
        <v/>
      </c>
      <c r="X188" s="362" t="str">
        <f>IFERROR(IF(OR(LEFT(O188,5)="Error",LEFT(N188,5)="Error",T188="Error"),"Check Data ⚠",IF(F188&lt;R188,INDEX('G-6 Hedgerow Data'!$S$3:$AE$14,MATCH(C188,'G-6 Hedgerow Data'!$B$3:$B$14,0),MATCH(M188,'G-6 Hedgerow Data'!$S$2:$AE$2,0)),INDEX('G-6 Hedgerow Data'!$K$3:$Q$14,MATCH(M188,'G-6 Hedgerow Data'!$B$3:$B$14,0),MATCH(O188,'G-6 Hedgerow Data'!$K$2:$Q$2,0)))),"")</f>
        <v/>
      </c>
      <c r="Y188" s="159"/>
      <c r="Z188" s="159"/>
      <c r="AA188" s="370" t="str">
        <f t="shared" si="21"/>
        <v/>
      </c>
      <c r="AB188" s="383" t="str">
        <f t="shared" si="22"/>
        <v/>
      </c>
      <c r="AC188" s="384" t="str">
        <f t="shared" si="19"/>
        <v/>
      </c>
      <c r="AD188" s="398" t="str">
        <f>IF(M188="","",VLOOKUP(M188,'G-6 Hedgerow Data'!$B$3:$AG$15,31,FALSE))</f>
        <v/>
      </c>
      <c r="AE188" s="382" t="str">
        <f t="shared" si="23"/>
        <v/>
      </c>
      <c r="AF188" s="382" t="str">
        <f t="shared" si="24"/>
        <v/>
      </c>
      <c r="AG188" s="386" t="str">
        <f>IFERROR(IF(O188="","",VLOOKUP(AD188,'G-3 Multipliers'!$P$3:$Q$6,2,FALSE)),"")</f>
        <v/>
      </c>
      <c r="AH188" s="160"/>
      <c r="AI188" s="363" t="str">
        <f>IF(AH188="","",IF(VLOOKUP(AH188,'G-3 Multipliers'!$S$3:$T$10,2,FALSE)=0,"Spatial Data Missing ⚠",VLOOKUP(AH188,'G-3 Multipliers'!$S$3:$T$10,2,FALSE)))</f>
        <v/>
      </c>
      <c r="AJ188" s="405" t="str">
        <f t="shared" si="25"/>
        <v/>
      </c>
      <c r="AK188" s="376" t="str">
        <f t="shared" si="26"/>
        <v/>
      </c>
      <c r="AL188" s="117"/>
      <c r="AM188" s="118"/>
      <c r="AN188" s="120"/>
      <c r="AO188" s="120"/>
      <c r="AQ188" s="30" t="str">
        <f>IFERROR(INDEX('G-6 Hedgerow Data'!$BJ$3:$BJ$15,MATCH(M188,'G-6 Hedgerow Data'!$B$3:$B$15,0)),"")</f>
        <v/>
      </c>
    </row>
    <row r="189" spans="2:43" ht="15">
      <c r="B189" s="392" t="str">
        <f>'E-1 Off-Site Hedge Baseline'!AN187</f>
        <v/>
      </c>
      <c r="C189" s="382" t="str">
        <f>IF(B189="","",IF(ISNA(VLOOKUP($B189,'E-1 Off-Site Hedge Baseline'!$B$1:$L$257,3,FALSE)),"",(VLOOKUP($B189,'E-1 Off-Site Hedge Baseline'!$B$1:$L$257,3,FALSE))))</f>
        <v/>
      </c>
      <c r="D189" s="382" t="str">
        <f>IF(B189="","",IF(ISNA(VLOOKUP($B189,'E-1 Off-Site Hedge Baseline'!$B$1:$L$258,4,FALSE)),"",(VLOOKUP($B189,'E-1 Off-Site Hedge Baseline'!$B$1:$L$258,4,FALSE))))</f>
        <v/>
      </c>
      <c r="E189" s="382" t="str">
        <f>IF(B189="","",IF(ISNA(VLOOKUP($B189,'E-1 Off-Site Hedge Baseline'!$B$1:$L$257,5,FALSE)),"",(VLOOKUP($B189,'E-1 Off-Site Hedge Baseline'!$B$1:$L$257,5,FALSE))))</f>
        <v/>
      </c>
      <c r="F189" s="382" t="str">
        <f>IF(B189="","",IF(ISNA(VLOOKUP($B189,'E-1 Off-Site Hedge Baseline'!$B$1:$L$257,6,FALSE)),"",(VLOOKUP($B189,'E-1 Off-Site Hedge Baseline'!$B$1:$L$257,6,FALSE))))</f>
        <v/>
      </c>
      <c r="G189" s="382" t="str">
        <f>IF(B189="","",IF(ISNA(VLOOKUP($B189,'E-1 Off-Site Hedge Baseline'!$B$1:$L$257,7,FALSE)),"",(VLOOKUP($B189,'E-1 Off-Site Hedge Baseline'!$B$1:$L$257,7,FALSE))))</f>
        <v/>
      </c>
      <c r="H189" s="382" t="str">
        <f>IF(B189="","",IF(ISNA(VLOOKUP($B189,'E-1 Off-Site Hedge Baseline'!$B$1:$L$257,8,FALSE)),"",(VLOOKUP($B189,'E-1 Off-Site Hedge Baseline'!$B$1:$L$257,8,FALSE))))</f>
        <v/>
      </c>
      <c r="I189" s="382" t="str">
        <f>IF(B189="","",IF(ISNA(VLOOKUP($B189,'E-1 Off-Site Hedge Baseline'!$B$1:$L$257,10,FALSE)),"",(VLOOKUP($B189,'E-1 Off-Site Hedge Baseline'!$B$1:$L$257,10,FALSE))))</f>
        <v/>
      </c>
      <c r="J189" s="382" t="str">
        <f>IF(B189="","",IF(ISNA(VLOOKUP($B189,'E-1 Off-Site Hedge Baseline'!$B$1:$L$257,11,FALSE)),"",(VLOOKUP($B189,'E-1 Off-Site Hedge Baseline'!$B$1:$L$257,11,FALSE))))</f>
        <v/>
      </c>
      <c r="K189" s="382" t="str">
        <f>IF(B189="","",IF(ISNA(VLOOKUP($B189,'E-1 Off-Site Hedge Baseline'!$B$1:$X$257,113,FALSE)),"",(VLOOKUP($B189,'E-1 Off-Site Hedge Baseline'!$B$1:$X$257,13,FALSE))))</f>
        <v/>
      </c>
      <c r="L189" s="370" t="str">
        <f>IF(B189="","",IF(ISNA(VLOOKUP($B189,'E-1 Off-Site Hedge Baseline'!$B$1:$X$257,12,FALSE)),"",(VLOOKUP($B189,'E-1 Off-Site Hedge Baseline'!$B$1:$X$257,12,FALSE))))</f>
        <v/>
      </c>
      <c r="M189" s="316" t="str">
        <f t="shared" si="18"/>
        <v/>
      </c>
      <c r="N189" s="362" t="str">
        <f>IFERROR(IF(B189="","",INDEX('G-6 Hedgerow Data'!$AN$3:$AZ$15,MATCH(C189,'G-6 Hedgerow Data'!$AM$3:$AM$15,0),MATCH(M189,'G-6 Hedgerow Data'!$AN$2:$AZ$2,0))),"")</f>
        <v/>
      </c>
      <c r="O189" s="363" t="str">
        <f t="shared" si="20"/>
        <v/>
      </c>
      <c r="P189" s="368" t="str">
        <f>IF(B189="","",VLOOKUP(B189,'E-1 Off-Site Hedge Baseline'!$B$10:W434,19,FALSE))</f>
        <v/>
      </c>
      <c r="Q189" s="362" t="str">
        <f>IF(M189="","",VLOOKUP(M189,'G-6 Hedgerow Data'!$B$2:$AG$15,2,FALSE))</f>
        <v/>
      </c>
      <c r="R189" s="363" t="str">
        <f>IF(M189="","",VLOOKUP(M189,'G-6 Hedgerow Data'!$B$2:$AG$15,3,FALSE))</f>
        <v/>
      </c>
      <c r="S189" s="114"/>
      <c r="T189" s="363" t="str">
        <f>IFERROR(IF(AND(Q189="V.Low",OR(S189="Good",S189="Moderate")),"Error ▲",VLOOKUP(S189,'G-1 All Habitats'!$Z$2:$AA$9,2,FALSE)),"")</f>
        <v/>
      </c>
      <c r="U189" s="114"/>
      <c r="V189" s="370" t="str">
        <f>IF(U189="","",IF(VLOOKUP(U189,'G-3 Multipliers'!$L$3:$N$6,2,FALSE)=0,"Spatial Data Missing ⚠",VLOOKUP(U189,'G-3 Multipliers'!$L$3:$N$6,2,FALSE)))</f>
        <v/>
      </c>
      <c r="W189" s="368" t="str">
        <f>IF(U189="","",IF(VLOOKUP(U189,'G-3 Multipliers'!$L$3:$N$6,3,FALSE)=0,"Spatial Data Missing ⚠",VLOOKUP(U189,'G-3 Multipliers'!$L$3:$N$6,3,FALSE)))</f>
        <v/>
      </c>
      <c r="X189" s="362" t="str">
        <f>IFERROR(IF(OR(LEFT(O189,5)="Error",LEFT(N189,5)="Error",T189="Error"),"Check Data ⚠",IF(F189&lt;R189,INDEX('G-6 Hedgerow Data'!$S$3:$AE$14,MATCH(C189,'G-6 Hedgerow Data'!$B$3:$B$14,0),MATCH(M189,'G-6 Hedgerow Data'!$S$2:$AE$2,0)),INDEX('G-6 Hedgerow Data'!$K$3:$Q$14,MATCH(M189,'G-6 Hedgerow Data'!$B$3:$B$14,0),MATCH(O189,'G-6 Hedgerow Data'!$K$2:$Q$2,0)))),"")</f>
        <v/>
      </c>
      <c r="Y189" s="159"/>
      <c r="Z189" s="159"/>
      <c r="AA189" s="370" t="str">
        <f t="shared" si="21"/>
        <v/>
      </c>
      <c r="AB189" s="383" t="str">
        <f t="shared" si="22"/>
        <v/>
      </c>
      <c r="AC189" s="384" t="str">
        <f t="shared" si="19"/>
        <v/>
      </c>
      <c r="AD189" s="398" t="str">
        <f>IF(M189="","",VLOOKUP(M189,'G-6 Hedgerow Data'!$B$3:$AG$15,31,FALSE))</f>
        <v/>
      </c>
      <c r="AE189" s="382" t="str">
        <f t="shared" si="23"/>
        <v/>
      </c>
      <c r="AF189" s="382" t="str">
        <f t="shared" si="24"/>
        <v/>
      </c>
      <c r="AG189" s="386" t="str">
        <f>IFERROR(IF(O189="","",VLOOKUP(AD189,'G-3 Multipliers'!$P$3:$Q$6,2,FALSE)),"")</f>
        <v/>
      </c>
      <c r="AH189" s="160"/>
      <c r="AI189" s="363" t="str">
        <f>IF(AH189="","",IF(VLOOKUP(AH189,'G-3 Multipliers'!$S$3:$T$10,2,FALSE)=0,"Spatial Data Missing ⚠",VLOOKUP(AH189,'G-3 Multipliers'!$S$3:$T$10,2,FALSE)))</f>
        <v/>
      </c>
      <c r="AJ189" s="405" t="str">
        <f t="shared" si="25"/>
        <v/>
      </c>
      <c r="AK189" s="376" t="str">
        <f t="shared" si="26"/>
        <v/>
      </c>
      <c r="AL189" s="117"/>
      <c r="AM189" s="118"/>
      <c r="AN189" s="120"/>
      <c r="AO189" s="120"/>
      <c r="AQ189" s="30" t="str">
        <f>IFERROR(INDEX('G-6 Hedgerow Data'!$BJ$3:$BJ$15,MATCH(M189,'G-6 Hedgerow Data'!$B$3:$B$15,0)),"")</f>
        <v/>
      </c>
    </row>
    <row r="190" spans="2:43" ht="15">
      <c r="B190" s="392" t="str">
        <f>'E-1 Off-Site Hedge Baseline'!AN188</f>
        <v/>
      </c>
      <c r="C190" s="382" t="str">
        <f>IF(B190="","",IF(ISNA(VLOOKUP($B190,'E-1 Off-Site Hedge Baseline'!$B$1:$L$257,3,FALSE)),"",(VLOOKUP($B190,'E-1 Off-Site Hedge Baseline'!$B$1:$L$257,3,FALSE))))</f>
        <v/>
      </c>
      <c r="D190" s="382" t="str">
        <f>IF(B190="","",IF(ISNA(VLOOKUP($B190,'E-1 Off-Site Hedge Baseline'!$B$1:$L$258,4,FALSE)),"",(VLOOKUP($B190,'E-1 Off-Site Hedge Baseline'!$B$1:$L$258,4,FALSE))))</f>
        <v/>
      </c>
      <c r="E190" s="382" t="str">
        <f>IF(B190="","",IF(ISNA(VLOOKUP($B190,'E-1 Off-Site Hedge Baseline'!$B$1:$L$257,5,FALSE)),"",(VLOOKUP($B190,'E-1 Off-Site Hedge Baseline'!$B$1:$L$257,5,FALSE))))</f>
        <v/>
      </c>
      <c r="F190" s="382" t="str">
        <f>IF(B190="","",IF(ISNA(VLOOKUP($B190,'E-1 Off-Site Hedge Baseline'!$B$1:$L$257,6,FALSE)),"",(VLOOKUP($B190,'E-1 Off-Site Hedge Baseline'!$B$1:$L$257,6,FALSE))))</f>
        <v/>
      </c>
      <c r="G190" s="382" t="str">
        <f>IF(B190="","",IF(ISNA(VLOOKUP($B190,'E-1 Off-Site Hedge Baseline'!$B$1:$L$257,7,FALSE)),"",(VLOOKUP($B190,'E-1 Off-Site Hedge Baseline'!$B$1:$L$257,7,FALSE))))</f>
        <v/>
      </c>
      <c r="H190" s="382" t="str">
        <f>IF(B190="","",IF(ISNA(VLOOKUP($B190,'E-1 Off-Site Hedge Baseline'!$B$1:$L$257,8,FALSE)),"",(VLOOKUP($B190,'E-1 Off-Site Hedge Baseline'!$B$1:$L$257,8,FALSE))))</f>
        <v/>
      </c>
      <c r="I190" s="382" t="str">
        <f>IF(B190="","",IF(ISNA(VLOOKUP($B190,'E-1 Off-Site Hedge Baseline'!$B$1:$L$257,10,FALSE)),"",(VLOOKUP($B190,'E-1 Off-Site Hedge Baseline'!$B$1:$L$257,10,FALSE))))</f>
        <v/>
      </c>
      <c r="J190" s="382" t="str">
        <f>IF(B190="","",IF(ISNA(VLOOKUP($B190,'E-1 Off-Site Hedge Baseline'!$B$1:$L$257,11,FALSE)),"",(VLOOKUP($B190,'E-1 Off-Site Hedge Baseline'!$B$1:$L$257,11,FALSE))))</f>
        <v/>
      </c>
      <c r="K190" s="382" t="str">
        <f>IF(B190="","",IF(ISNA(VLOOKUP($B190,'E-1 Off-Site Hedge Baseline'!$B$1:$X$257,113,FALSE)),"",(VLOOKUP($B190,'E-1 Off-Site Hedge Baseline'!$B$1:$X$257,13,FALSE))))</f>
        <v/>
      </c>
      <c r="L190" s="370" t="str">
        <f>IF(B190="","",IF(ISNA(VLOOKUP($B190,'E-1 Off-Site Hedge Baseline'!$B$1:$X$257,12,FALSE)),"",(VLOOKUP($B190,'E-1 Off-Site Hedge Baseline'!$B$1:$X$257,12,FALSE))))</f>
        <v/>
      </c>
      <c r="M190" s="316" t="str">
        <f t="shared" si="18"/>
        <v/>
      </c>
      <c r="N190" s="362" t="str">
        <f>IFERROR(IF(B190="","",INDEX('G-6 Hedgerow Data'!$AN$3:$AZ$15,MATCH(C190,'G-6 Hedgerow Data'!$AM$3:$AM$15,0),MATCH(M190,'G-6 Hedgerow Data'!$AN$2:$AZ$2,0))),"")</f>
        <v/>
      </c>
      <c r="O190" s="363" t="str">
        <f t="shared" si="20"/>
        <v/>
      </c>
      <c r="P190" s="368" t="str">
        <f>IF(B190="","",VLOOKUP(B190,'E-1 Off-Site Hedge Baseline'!$B$10:W435,19,FALSE))</f>
        <v/>
      </c>
      <c r="Q190" s="362" t="str">
        <f>IF(M190="","",VLOOKUP(M190,'G-6 Hedgerow Data'!$B$2:$AG$15,2,FALSE))</f>
        <v/>
      </c>
      <c r="R190" s="363" t="str">
        <f>IF(M190="","",VLOOKUP(M190,'G-6 Hedgerow Data'!$B$2:$AG$15,3,FALSE))</f>
        <v/>
      </c>
      <c r="S190" s="114"/>
      <c r="T190" s="363" t="str">
        <f>IFERROR(IF(AND(Q190="V.Low",OR(S190="Good",S190="Moderate")),"Error ▲",VLOOKUP(S190,'G-1 All Habitats'!$Z$2:$AA$9,2,FALSE)),"")</f>
        <v/>
      </c>
      <c r="U190" s="114"/>
      <c r="V190" s="370" t="str">
        <f>IF(U190="","",IF(VLOOKUP(U190,'G-3 Multipliers'!$L$3:$N$6,2,FALSE)=0,"Spatial Data Missing ⚠",VLOOKUP(U190,'G-3 Multipliers'!$L$3:$N$6,2,FALSE)))</f>
        <v/>
      </c>
      <c r="W190" s="368" t="str">
        <f>IF(U190="","",IF(VLOOKUP(U190,'G-3 Multipliers'!$L$3:$N$6,3,FALSE)=0,"Spatial Data Missing ⚠",VLOOKUP(U190,'G-3 Multipliers'!$L$3:$N$6,3,FALSE)))</f>
        <v/>
      </c>
      <c r="X190" s="362" t="str">
        <f>IFERROR(IF(OR(LEFT(O190,5)="Error",LEFT(N190,5)="Error",T190="Error"),"Check Data ⚠",IF(F190&lt;R190,INDEX('G-6 Hedgerow Data'!$S$3:$AE$14,MATCH(C190,'G-6 Hedgerow Data'!$B$3:$B$14,0),MATCH(M190,'G-6 Hedgerow Data'!$S$2:$AE$2,0)),INDEX('G-6 Hedgerow Data'!$K$3:$Q$14,MATCH(M190,'G-6 Hedgerow Data'!$B$3:$B$14,0),MATCH(O190,'G-6 Hedgerow Data'!$K$2:$Q$2,0)))),"")</f>
        <v/>
      </c>
      <c r="Y190" s="159"/>
      <c r="Z190" s="159"/>
      <c r="AA190" s="370" t="str">
        <f t="shared" si="21"/>
        <v/>
      </c>
      <c r="AB190" s="383" t="str">
        <f t="shared" si="22"/>
        <v/>
      </c>
      <c r="AC190" s="384" t="str">
        <f t="shared" si="19"/>
        <v/>
      </c>
      <c r="AD190" s="398" t="str">
        <f>IF(M190="","",VLOOKUP(M190,'G-6 Hedgerow Data'!$B$3:$AG$15,31,FALSE))</f>
        <v/>
      </c>
      <c r="AE190" s="382" t="str">
        <f t="shared" si="23"/>
        <v/>
      </c>
      <c r="AF190" s="382" t="str">
        <f t="shared" si="24"/>
        <v/>
      </c>
      <c r="AG190" s="386" t="str">
        <f>IFERROR(IF(O190="","",VLOOKUP(AD190,'G-3 Multipliers'!$P$3:$Q$6,2,FALSE)),"")</f>
        <v/>
      </c>
      <c r="AH190" s="160"/>
      <c r="AI190" s="363" t="str">
        <f>IF(AH190="","",IF(VLOOKUP(AH190,'G-3 Multipliers'!$S$3:$T$10,2,FALSE)=0,"Spatial Data Missing ⚠",VLOOKUP(AH190,'G-3 Multipliers'!$S$3:$T$10,2,FALSE)))</f>
        <v/>
      </c>
      <c r="AJ190" s="405" t="str">
        <f t="shared" si="25"/>
        <v/>
      </c>
      <c r="AK190" s="376" t="str">
        <f t="shared" si="26"/>
        <v/>
      </c>
      <c r="AL190" s="117"/>
      <c r="AM190" s="118"/>
      <c r="AN190" s="120"/>
      <c r="AO190" s="120"/>
      <c r="AQ190" s="30" t="str">
        <f>IFERROR(INDEX('G-6 Hedgerow Data'!$BJ$3:$BJ$15,MATCH(M190,'G-6 Hedgerow Data'!$B$3:$B$15,0)),"")</f>
        <v/>
      </c>
    </row>
    <row r="191" spans="2:43" ht="15">
      <c r="B191" s="392" t="str">
        <f>'E-1 Off-Site Hedge Baseline'!AN189</f>
        <v/>
      </c>
      <c r="C191" s="382" t="str">
        <f>IF(B191="","",IF(ISNA(VLOOKUP($B191,'E-1 Off-Site Hedge Baseline'!$B$1:$L$257,3,FALSE)),"",(VLOOKUP($B191,'E-1 Off-Site Hedge Baseline'!$B$1:$L$257,3,FALSE))))</f>
        <v/>
      </c>
      <c r="D191" s="382" t="str">
        <f>IF(B191="","",IF(ISNA(VLOOKUP($B191,'E-1 Off-Site Hedge Baseline'!$B$1:$L$258,4,FALSE)),"",(VLOOKUP($B191,'E-1 Off-Site Hedge Baseline'!$B$1:$L$258,4,FALSE))))</f>
        <v/>
      </c>
      <c r="E191" s="382" t="str">
        <f>IF(B191="","",IF(ISNA(VLOOKUP($B191,'E-1 Off-Site Hedge Baseline'!$B$1:$L$257,5,FALSE)),"",(VLOOKUP($B191,'E-1 Off-Site Hedge Baseline'!$B$1:$L$257,5,FALSE))))</f>
        <v/>
      </c>
      <c r="F191" s="382" t="str">
        <f>IF(B191="","",IF(ISNA(VLOOKUP($B191,'E-1 Off-Site Hedge Baseline'!$B$1:$L$257,6,FALSE)),"",(VLOOKUP($B191,'E-1 Off-Site Hedge Baseline'!$B$1:$L$257,6,FALSE))))</f>
        <v/>
      </c>
      <c r="G191" s="382" t="str">
        <f>IF(B191="","",IF(ISNA(VLOOKUP($B191,'E-1 Off-Site Hedge Baseline'!$B$1:$L$257,7,FALSE)),"",(VLOOKUP($B191,'E-1 Off-Site Hedge Baseline'!$B$1:$L$257,7,FALSE))))</f>
        <v/>
      </c>
      <c r="H191" s="382" t="str">
        <f>IF(B191="","",IF(ISNA(VLOOKUP($B191,'E-1 Off-Site Hedge Baseline'!$B$1:$L$257,8,FALSE)),"",(VLOOKUP($B191,'E-1 Off-Site Hedge Baseline'!$B$1:$L$257,8,FALSE))))</f>
        <v/>
      </c>
      <c r="I191" s="382" t="str">
        <f>IF(B191="","",IF(ISNA(VLOOKUP($B191,'E-1 Off-Site Hedge Baseline'!$B$1:$L$257,10,FALSE)),"",(VLOOKUP($B191,'E-1 Off-Site Hedge Baseline'!$B$1:$L$257,10,FALSE))))</f>
        <v/>
      </c>
      <c r="J191" s="382" t="str">
        <f>IF(B191="","",IF(ISNA(VLOOKUP($B191,'E-1 Off-Site Hedge Baseline'!$B$1:$L$257,11,FALSE)),"",(VLOOKUP($B191,'E-1 Off-Site Hedge Baseline'!$B$1:$L$257,11,FALSE))))</f>
        <v/>
      </c>
      <c r="K191" s="382" t="str">
        <f>IF(B191="","",IF(ISNA(VLOOKUP($B191,'E-1 Off-Site Hedge Baseline'!$B$1:$X$257,113,FALSE)),"",(VLOOKUP($B191,'E-1 Off-Site Hedge Baseline'!$B$1:$X$257,13,FALSE))))</f>
        <v/>
      </c>
      <c r="L191" s="370" t="str">
        <f>IF(B191="","",IF(ISNA(VLOOKUP($B191,'E-1 Off-Site Hedge Baseline'!$B$1:$X$257,12,FALSE)),"",(VLOOKUP($B191,'E-1 Off-Site Hedge Baseline'!$B$1:$X$257,12,FALSE))))</f>
        <v/>
      </c>
      <c r="M191" s="316" t="str">
        <f t="shared" si="18"/>
        <v/>
      </c>
      <c r="N191" s="362" t="str">
        <f>IFERROR(IF(B191="","",INDEX('G-6 Hedgerow Data'!$AN$3:$AZ$15,MATCH(C191,'G-6 Hedgerow Data'!$AM$3:$AM$15,0),MATCH(M191,'G-6 Hedgerow Data'!$AN$2:$AZ$2,0))),"")</f>
        <v/>
      </c>
      <c r="O191" s="363" t="str">
        <f t="shared" si="20"/>
        <v/>
      </c>
      <c r="P191" s="368" t="str">
        <f>IF(B191="","",VLOOKUP(B191,'E-1 Off-Site Hedge Baseline'!$B$10:W436,19,FALSE))</f>
        <v/>
      </c>
      <c r="Q191" s="362" t="str">
        <f>IF(M191="","",VLOOKUP(M191,'G-6 Hedgerow Data'!$B$2:$AG$15,2,FALSE))</f>
        <v/>
      </c>
      <c r="R191" s="363" t="str">
        <f>IF(M191="","",VLOOKUP(M191,'G-6 Hedgerow Data'!$B$2:$AG$15,3,FALSE))</f>
        <v/>
      </c>
      <c r="S191" s="114"/>
      <c r="T191" s="363" t="str">
        <f>IFERROR(IF(AND(Q191="V.Low",OR(S191="Good",S191="Moderate")),"Error ▲",VLOOKUP(S191,'G-1 All Habitats'!$Z$2:$AA$9,2,FALSE)),"")</f>
        <v/>
      </c>
      <c r="U191" s="114"/>
      <c r="V191" s="370" t="str">
        <f>IF(U191="","",IF(VLOOKUP(U191,'G-3 Multipliers'!$L$3:$N$6,2,FALSE)=0,"Spatial Data Missing ⚠",VLOOKUP(U191,'G-3 Multipliers'!$L$3:$N$6,2,FALSE)))</f>
        <v/>
      </c>
      <c r="W191" s="368" t="str">
        <f>IF(U191="","",IF(VLOOKUP(U191,'G-3 Multipliers'!$L$3:$N$6,3,FALSE)=0,"Spatial Data Missing ⚠",VLOOKUP(U191,'G-3 Multipliers'!$L$3:$N$6,3,FALSE)))</f>
        <v/>
      </c>
      <c r="X191" s="362" t="str">
        <f>IFERROR(IF(OR(LEFT(O191,5)="Error",LEFT(N191,5)="Error",T191="Error"),"Check Data ⚠",IF(F191&lt;R191,INDEX('G-6 Hedgerow Data'!$S$3:$AE$14,MATCH(C191,'G-6 Hedgerow Data'!$B$3:$B$14,0),MATCH(M191,'G-6 Hedgerow Data'!$S$2:$AE$2,0)),INDEX('G-6 Hedgerow Data'!$K$3:$Q$14,MATCH(M191,'G-6 Hedgerow Data'!$B$3:$B$14,0),MATCH(O191,'G-6 Hedgerow Data'!$K$2:$Q$2,0)))),"")</f>
        <v/>
      </c>
      <c r="Y191" s="159"/>
      <c r="Z191" s="159"/>
      <c r="AA191" s="370" t="str">
        <f t="shared" si="21"/>
        <v/>
      </c>
      <c r="AB191" s="383" t="str">
        <f t="shared" si="22"/>
        <v/>
      </c>
      <c r="AC191" s="384" t="str">
        <f t="shared" si="19"/>
        <v/>
      </c>
      <c r="AD191" s="398" t="str">
        <f>IF(M191="","",VLOOKUP(M191,'G-6 Hedgerow Data'!$B$3:$AG$15,31,FALSE))</f>
        <v/>
      </c>
      <c r="AE191" s="382" t="str">
        <f t="shared" si="23"/>
        <v/>
      </c>
      <c r="AF191" s="382" t="str">
        <f t="shared" si="24"/>
        <v/>
      </c>
      <c r="AG191" s="386" t="str">
        <f>IFERROR(IF(O191="","",VLOOKUP(AD191,'G-3 Multipliers'!$P$3:$Q$6,2,FALSE)),"")</f>
        <v/>
      </c>
      <c r="AH191" s="160"/>
      <c r="AI191" s="363" t="str">
        <f>IF(AH191="","",IF(VLOOKUP(AH191,'G-3 Multipliers'!$S$3:$T$10,2,FALSE)=0,"Spatial Data Missing ⚠",VLOOKUP(AH191,'G-3 Multipliers'!$S$3:$T$10,2,FALSE)))</f>
        <v/>
      </c>
      <c r="AJ191" s="405" t="str">
        <f t="shared" si="25"/>
        <v/>
      </c>
      <c r="AK191" s="376" t="str">
        <f t="shared" si="26"/>
        <v/>
      </c>
      <c r="AL191" s="117"/>
      <c r="AM191" s="118"/>
      <c r="AN191" s="120"/>
      <c r="AO191" s="120"/>
      <c r="AQ191" s="30" t="str">
        <f>IFERROR(INDEX('G-6 Hedgerow Data'!$BJ$3:$BJ$15,MATCH(M191,'G-6 Hedgerow Data'!$B$3:$B$15,0)),"")</f>
        <v/>
      </c>
    </row>
    <row r="192" spans="2:43" ht="15">
      <c r="B192" s="392" t="str">
        <f>'E-1 Off-Site Hedge Baseline'!AN190</f>
        <v/>
      </c>
      <c r="C192" s="382" t="str">
        <f>IF(B192="","",IF(ISNA(VLOOKUP($B192,'E-1 Off-Site Hedge Baseline'!$B$1:$L$257,3,FALSE)),"",(VLOOKUP($B192,'E-1 Off-Site Hedge Baseline'!$B$1:$L$257,3,FALSE))))</f>
        <v/>
      </c>
      <c r="D192" s="382" t="str">
        <f>IF(B192="","",IF(ISNA(VLOOKUP($B192,'E-1 Off-Site Hedge Baseline'!$B$1:$L$258,4,FALSE)),"",(VLOOKUP($B192,'E-1 Off-Site Hedge Baseline'!$B$1:$L$258,4,FALSE))))</f>
        <v/>
      </c>
      <c r="E192" s="382" t="str">
        <f>IF(B192="","",IF(ISNA(VLOOKUP($B192,'E-1 Off-Site Hedge Baseline'!$B$1:$L$257,5,FALSE)),"",(VLOOKUP($B192,'E-1 Off-Site Hedge Baseline'!$B$1:$L$257,5,FALSE))))</f>
        <v/>
      </c>
      <c r="F192" s="382" t="str">
        <f>IF(B192="","",IF(ISNA(VLOOKUP($B192,'E-1 Off-Site Hedge Baseline'!$B$1:$L$257,6,FALSE)),"",(VLOOKUP($B192,'E-1 Off-Site Hedge Baseline'!$B$1:$L$257,6,FALSE))))</f>
        <v/>
      </c>
      <c r="G192" s="382" t="str">
        <f>IF(B192="","",IF(ISNA(VLOOKUP($B192,'E-1 Off-Site Hedge Baseline'!$B$1:$L$257,7,FALSE)),"",(VLOOKUP($B192,'E-1 Off-Site Hedge Baseline'!$B$1:$L$257,7,FALSE))))</f>
        <v/>
      </c>
      <c r="H192" s="382" t="str">
        <f>IF(B192="","",IF(ISNA(VLOOKUP($B192,'E-1 Off-Site Hedge Baseline'!$B$1:$L$257,8,FALSE)),"",(VLOOKUP($B192,'E-1 Off-Site Hedge Baseline'!$B$1:$L$257,8,FALSE))))</f>
        <v/>
      </c>
      <c r="I192" s="382" t="str">
        <f>IF(B192="","",IF(ISNA(VLOOKUP($B192,'E-1 Off-Site Hedge Baseline'!$B$1:$L$257,10,FALSE)),"",(VLOOKUP($B192,'E-1 Off-Site Hedge Baseline'!$B$1:$L$257,10,FALSE))))</f>
        <v/>
      </c>
      <c r="J192" s="382" t="str">
        <f>IF(B192="","",IF(ISNA(VLOOKUP($B192,'E-1 Off-Site Hedge Baseline'!$B$1:$L$257,11,FALSE)),"",(VLOOKUP($B192,'E-1 Off-Site Hedge Baseline'!$B$1:$L$257,11,FALSE))))</f>
        <v/>
      </c>
      <c r="K192" s="382" t="str">
        <f>IF(B192="","",IF(ISNA(VLOOKUP($B192,'E-1 Off-Site Hedge Baseline'!$B$1:$X$257,113,FALSE)),"",(VLOOKUP($B192,'E-1 Off-Site Hedge Baseline'!$B$1:$X$257,13,FALSE))))</f>
        <v/>
      </c>
      <c r="L192" s="370" t="str">
        <f>IF(B192="","",IF(ISNA(VLOOKUP($B192,'E-1 Off-Site Hedge Baseline'!$B$1:$X$257,12,FALSE)),"",(VLOOKUP($B192,'E-1 Off-Site Hedge Baseline'!$B$1:$X$257,12,FALSE))))</f>
        <v/>
      </c>
      <c r="M192" s="316" t="str">
        <f t="shared" si="18"/>
        <v/>
      </c>
      <c r="N192" s="362" t="str">
        <f>IFERROR(IF(B192="","",INDEX('G-6 Hedgerow Data'!$AN$3:$AZ$15,MATCH(C192,'G-6 Hedgerow Data'!$AM$3:$AM$15,0),MATCH(M192,'G-6 Hedgerow Data'!$AN$2:$AZ$2,0))),"")</f>
        <v/>
      </c>
      <c r="O192" s="363" t="str">
        <f t="shared" si="20"/>
        <v/>
      </c>
      <c r="P192" s="368" t="str">
        <f>IF(B192="","",VLOOKUP(B192,'E-1 Off-Site Hedge Baseline'!$B$10:W437,19,FALSE))</f>
        <v/>
      </c>
      <c r="Q192" s="362" t="str">
        <f>IF(M192="","",VLOOKUP(M192,'G-6 Hedgerow Data'!$B$2:$AG$15,2,FALSE))</f>
        <v/>
      </c>
      <c r="R192" s="363" t="str">
        <f>IF(M192="","",VLOOKUP(M192,'G-6 Hedgerow Data'!$B$2:$AG$15,3,FALSE))</f>
        <v/>
      </c>
      <c r="S192" s="114"/>
      <c r="T192" s="363" t="str">
        <f>IFERROR(IF(AND(Q192="V.Low",OR(S192="Good",S192="Moderate")),"Error ▲",VLOOKUP(S192,'G-1 All Habitats'!$Z$2:$AA$9,2,FALSE)),"")</f>
        <v/>
      </c>
      <c r="U192" s="114"/>
      <c r="V192" s="370" t="str">
        <f>IF(U192="","",IF(VLOOKUP(U192,'G-3 Multipliers'!$L$3:$N$6,2,FALSE)=0,"Spatial Data Missing ⚠",VLOOKUP(U192,'G-3 Multipliers'!$L$3:$N$6,2,FALSE)))</f>
        <v/>
      </c>
      <c r="W192" s="368" t="str">
        <f>IF(U192="","",IF(VLOOKUP(U192,'G-3 Multipliers'!$L$3:$N$6,3,FALSE)=0,"Spatial Data Missing ⚠",VLOOKUP(U192,'G-3 Multipliers'!$L$3:$N$6,3,FALSE)))</f>
        <v/>
      </c>
      <c r="X192" s="362" t="str">
        <f>IFERROR(IF(OR(LEFT(O192,5)="Error",LEFT(N192,5)="Error",T192="Error"),"Check Data ⚠",IF(F192&lt;R192,INDEX('G-6 Hedgerow Data'!$S$3:$AE$14,MATCH(C192,'G-6 Hedgerow Data'!$B$3:$B$14,0),MATCH(M192,'G-6 Hedgerow Data'!$S$2:$AE$2,0)),INDEX('G-6 Hedgerow Data'!$K$3:$Q$14,MATCH(M192,'G-6 Hedgerow Data'!$B$3:$B$14,0),MATCH(O192,'G-6 Hedgerow Data'!$K$2:$Q$2,0)))),"")</f>
        <v/>
      </c>
      <c r="Y192" s="159"/>
      <c r="Z192" s="159"/>
      <c r="AA192" s="370" t="str">
        <f t="shared" si="21"/>
        <v/>
      </c>
      <c r="AB192" s="383" t="str">
        <f t="shared" si="22"/>
        <v/>
      </c>
      <c r="AC192" s="384" t="str">
        <f t="shared" si="19"/>
        <v/>
      </c>
      <c r="AD192" s="398" t="str">
        <f>IF(M192="","",VLOOKUP(M192,'G-6 Hedgerow Data'!$B$3:$AG$15,31,FALSE))</f>
        <v/>
      </c>
      <c r="AE192" s="382" t="str">
        <f t="shared" si="23"/>
        <v/>
      </c>
      <c r="AF192" s="382" t="str">
        <f t="shared" si="24"/>
        <v/>
      </c>
      <c r="AG192" s="386" t="str">
        <f>IFERROR(IF(O192="","",VLOOKUP(AD192,'G-3 Multipliers'!$P$3:$Q$6,2,FALSE)),"")</f>
        <v/>
      </c>
      <c r="AH192" s="160"/>
      <c r="AI192" s="363" t="str">
        <f>IF(AH192="","",IF(VLOOKUP(AH192,'G-3 Multipliers'!$S$3:$T$10,2,FALSE)=0,"Spatial Data Missing ⚠",VLOOKUP(AH192,'G-3 Multipliers'!$S$3:$T$10,2,FALSE)))</f>
        <v/>
      </c>
      <c r="AJ192" s="405" t="str">
        <f t="shared" si="25"/>
        <v/>
      </c>
      <c r="AK192" s="376" t="str">
        <f t="shared" si="26"/>
        <v/>
      </c>
      <c r="AL192" s="117"/>
      <c r="AM192" s="118"/>
      <c r="AN192" s="120"/>
      <c r="AO192" s="120"/>
      <c r="AQ192" s="30" t="str">
        <f>IFERROR(INDEX('G-6 Hedgerow Data'!$BJ$3:$BJ$15,MATCH(M192,'G-6 Hedgerow Data'!$B$3:$B$15,0)),"")</f>
        <v/>
      </c>
    </row>
    <row r="193" spans="2:43" ht="15">
      <c r="B193" s="392" t="str">
        <f>'E-1 Off-Site Hedge Baseline'!AN191</f>
        <v/>
      </c>
      <c r="C193" s="382" t="str">
        <f>IF(B193="","",IF(ISNA(VLOOKUP($B193,'E-1 Off-Site Hedge Baseline'!$B$1:$L$257,3,FALSE)),"",(VLOOKUP($B193,'E-1 Off-Site Hedge Baseline'!$B$1:$L$257,3,FALSE))))</f>
        <v/>
      </c>
      <c r="D193" s="382" t="str">
        <f>IF(B193="","",IF(ISNA(VLOOKUP($B193,'E-1 Off-Site Hedge Baseline'!$B$1:$L$258,4,FALSE)),"",(VLOOKUP($B193,'E-1 Off-Site Hedge Baseline'!$B$1:$L$258,4,FALSE))))</f>
        <v/>
      </c>
      <c r="E193" s="382" t="str">
        <f>IF(B193="","",IF(ISNA(VLOOKUP($B193,'E-1 Off-Site Hedge Baseline'!$B$1:$L$257,5,FALSE)),"",(VLOOKUP($B193,'E-1 Off-Site Hedge Baseline'!$B$1:$L$257,5,FALSE))))</f>
        <v/>
      </c>
      <c r="F193" s="382" t="str">
        <f>IF(B193="","",IF(ISNA(VLOOKUP($B193,'E-1 Off-Site Hedge Baseline'!$B$1:$L$257,6,FALSE)),"",(VLOOKUP($B193,'E-1 Off-Site Hedge Baseline'!$B$1:$L$257,6,FALSE))))</f>
        <v/>
      </c>
      <c r="G193" s="382" t="str">
        <f>IF(B193="","",IF(ISNA(VLOOKUP($B193,'E-1 Off-Site Hedge Baseline'!$B$1:$L$257,7,FALSE)),"",(VLOOKUP($B193,'E-1 Off-Site Hedge Baseline'!$B$1:$L$257,7,FALSE))))</f>
        <v/>
      </c>
      <c r="H193" s="382" t="str">
        <f>IF(B193="","",IF(ISNA(VLOOKUP($B193,'E-1 Off-Site Hedge Baseline'!$B$1:$L$257,8,FALSE)),"",(VLOOKUP($B193,'E-1 Off-Site Hedge Baseline'!$B$1:$L$257,8,FALSE))))</f>
        <v/>
      </c>
      <c r="I193" s="382" t="str">
        <f>IF(B193="","",IF(ISNA(VLOOKUP($B193,'E-1 Off-Site Hedge Baseline'!$B$1:$L$257,10,FALSE)),"",(VLOOKUP($B193,'E-1 Off-Site Hedge Baseline'!$B$1:$L$257,10,FALSE))))</f>
        <v/>
      </c>
      <c r="J193" s="382" t="str">
        <f>IF(B193="","",IF(ISNA(VLOOKUP($B193,'E-1 Off-Site Hedge Baseline'!$B$1:$L$257,11,FALSE)),"",(VLOOKUP($B193,'E-1 Off-Site Hedge Baseline'!$B$1:$L$257,11,FALSE))))</f>
        <v/>
      </c>
      <c r="K193" s="382" t="str">
        <f>IF(B193="","",IF(ISNA(VLOOKUP($B193,'E-1 Off-Site Hedge Baseline'!$B$1:$X$257,113,FALSE)),"",(VLOOKUP($B193,'E-1 Off-Site Hedge Baseline'!$B$1:$X$257,13,FALSE))))</f>
        <v/>
      </c>
      <c r="L193" s="370" t="str">
        <f>IF(B193="","",IF(ISNA(VLOOKUP($B193,'E-1 Off-Site Hedge Baseline'!$B$1:$X$257,12,FALSE)),"",(VLOOKUP($B193,'E-1 Off-Site Hedge Baseline'!$B$1:$X$257,12,FALSE))))</f>
        <v/>
      </c>
      <c r="M193" s="316" t="str">
        <f t="shared" si="18"/>
        <v/>
      </c>
      <c r="N193" s="362" t="str">
        <f>IFERROR(IF(B193="","",INDEX('G-6 Hedgerow Data'!$AN$3:$AZ$15,MATCH(C193,'G-6 Hedgerow Data'!$AM$3:$AM$15,0),MATCH(M193,'G-6 Hedgerow Data'!$AN$2:$AZ$2,0))),"")</f>
        <v/>
      </c>
      <c r="O193" s="363" t="str">
        <f t="shared" si="20"/>
        <v/>
      </c>
      <c r="P193" s="368" t="str">
        <f>IF(B193="","",VLOOKUP(B193,'E-1 Off-Site Hedge Baseline'!$B$10:W438,19,FALSE))</f>
        <v/>
      </c>
      <c r="Q193" s="362" t="str">
        <f>IF(M193="","",VLOOKUP(M193,'G-6 Hedgerow Data'!$B$2:$AG$15,2,FALSE))</f>
        <v/>
      </c>
      <c r="R193" s="363" t="str">
        <f>IF(M193="","",VLOOKUP(M193,'G-6 Hedgerow Data'!$B$2:$AG$15,3,FALSE))</f>
        <v/>
      </c>
      <c r="S193" s="114"/>
      <c r="T193" s="363" t="str">
        <f>IFERROR(IF(AND(Q193="V.Low",OR(S193="Good",S193="Moderate")),"Error ▲",VLOOKUP(S193,'G-1 All Habitats'!$Z$2:$AA$9,2,FALSE)),"")</f>
        <v/>
      </c>
      <c r="U193" s="114"/>
      <c r="V193" s="370" t="str">
        <f>IF(U193="","",IF(VLOOKUP(U193,'G-3 Multipliers'!$L$3:$N$6,2,FALSE)=0,"Spatial Data Missing ⚠",VLOOKUP(U193,'G-3 Multipliers'!$L$3:$N$6,2,FALSE)))</f>
        <v/>
      </c>
      <c r="W193" s="368" t="str">
        <f>IF(U193="","",IF(VLOOKUP(U193,'G-3 Multipliers'!$L$3:$N$6,3,FALSE)=0,"Spatial Data Missing ⚠",VLOOKUP(U193,'G-3 Multipliers'!$L$3:$N$6,3,FALSE)))</f>
        <v/>
      </c>
      <c r="X193" s="362" t="str">
        <f>IFERROR(IF(OR(LEFT(O193,5)="Error",LEFT(N193,5)="Error",T193="Error"),"Check Data ⚠",IF(F193&lt;R193,INDEX('G-6 Hedgerow Data'!$S$3:$AE$14,MATCH(C193,'G-6 Hedgerow Data'!$B$3:$B$14,0),MATCH(M193,'G-6 Hedgerow Data'!$S$2:$AE$2,0)),INDEX('G-6 Hedgerow Data'!$K$3:$Q$14,MATCH(M193,'G-6 Hedgerow Data'!$B$3:$B$14,0),MATCH(O193,'G-6 Hedgerow Data'!$K$2:$Q$2,0)))),"")</f>
        <v/>
      </c>
      <c r="Y193" s="159"/>
      <c r="Z193" s="159"/>
      <c r="AA193" s="370" t="str">
        <f t="shared" si="21"/>
        <v/>
      </c>
      <c r="AB193" s="383" t="str">
        <f t="shared" si="22"/>
        <v/>
      </c>
      <c r="AC193" s="384" t="str">
        <f t="shared" si="19"/>
        <v/>
      </c>
      <c r="AD193" s="398" t="str">
        <f>IF(M193="","",VLOOKUP(M193,'G-6 Hedgerow Data'!$B$3:$AG$15,31,FALSE))</f>
        <v/>
      </c>
      <c r="AE193" s="382" t="str">
        <f t="shared" si="23"/>
        <v/>
      </c>
      <c r="AF193" s="382" t="str">
        <f t="shared" si="24"/>
        <v/>
      </c>
      <c r="AG193" s="386" t="str">
        <f>IFERROR(IF(O193="","",VLOOKUP(AD193,'G-3 Multipliers'!$P$3:$Q$6,2,FALSE)),"")</f>
        <v/>
      </c>
      <c r="AH193" s="160"/>
      <c r="AI193" s="363" t="str">
        <f>IF(AH193="","",IF(VLOOKUP(AH193,'G-3 Multipliers'!$S$3:$T$10,2,FALSE)=0,"Spatial Data Missing ⚠",VLOOKUP(AH193,'G-3 Multipliers'!$S$3:$T$10,2,FALSE)))</f>
        <v/>
      </c>
      <c r="AJ193" s="405" t="str">
        <f t="shared" si="25"/>
        <v/>
      </c>
      <c r="AK193" s="376" t="str">
        <f t="shared" si="26"/>
        <v/>
      </c>
      <c r="AL193" s="117"/>
      <c r="AM193" s="118"/>
      <c r="AN193" s="120"/>
      <c r="AO193" s="120"/>
      <c r="AQ193" s="30" t="str">
        <f>IFERROR(INDEX('G-6 Hedgerow Data'!$BJ$3:$BJ$15,MATCH(M193,'G-6 Hedgerow Data'!$B$3:$B$15,0)),"")</f>
        <v/>
      </c>
    </row>
    <row r="194" spans="2:43" ht="15">
      <c r="B194" s="392" t="str">
        <f>'E-1 Off-Site Hedge Baseline'!AN192</f>
        <v/>
      </c>
      <c r="C194" s="382" t="str">
        <f>IF(B194="","",IF(ISNA(VLOOKUP($B194,'E-1 Off-Site Hedge Baseline'!$B$1:$L$257,3,FALSE)),"",(VLOOKUP($B194,'E-1 Off-Site Hedge Baseline'!$B$1:$L$257,3,FALSE))))</f>
        <v/>
      </c>
      <c r="D194" s="382" t="str">
        <f>IF(B194="","",IF(ISNA(VLOOKUP($B194,'E-1 Off-Site Hedge Baseline'!$B$1:$L$258,4,FALSE)),"",(VLOOKUP($B194,'E-1 Off-Site Hedge Baseline'!$B$1:$L$258,4,FALSE))))</f>
        <v/>
      </c>
      <c r="E194" s="382" t="str">
        <f>IF(B194="","",IF(ISNA(VLOOKUP($B194,'E-1 Off-Site Hedge Baseline'!$B$1:$L$257,5,FALSE)),"",(VLOOKUP($B194,'E-1 Off-Site Hedge Baseline'!$B$1:$L$257,5,FALSE))))</f>
        <v/>
      </c>
      <c r="F194" s="382" t="str">
        <f>IF(B194="","",IF(ISNA(VLOOKUP($B194,'E-1 Off-Site Hedge Baseline'!$B$1:$L$257,6,FALSE)),"",(VLOOKUP($B194,'E-1 Off-Site Hedge Baseline'!$B$1:$L$257,6,FALSE))))</f>
        <v/>
      </c>
      <c r="G194" s="382" t="str">
        <f>IF(B194="","",IF(ISNA(VLOOKUP($B194,'E-1 Off-Site Hedge Baseline'!$B$1:$L$257,7,FALSE)),"",(VLOOKUP($B194,'E-1 Off-Site Hedge Baseline'!$B$1:$L$257,7,FALSE))))</f>
        <v/>
      </c>
      <c r="H194" s="382" t="str">
        <f>IF(B194="","",IF(ISNA(VLOOKUP($B194,'E-1 Off-Site Hedge Baseline'!$B$1:$L$257,8,FALSE)),"",(VLOOKUP($B194,'E-1 Off-Site Hedge Baseline'!$B$1:$L$257,8,FALSE))))</f>
        <v/>
      </c>
      <c r="I194" s="382" t="str">
        <f>IF(B194="","",IF(ISNA(VLOOKUP($B194,'E-1 Off-Site Hedge Baseline'!$B$1:$L$257,10,FALSE)),"",(VLOOKUP($B194,'E-1 Off-Site Hedge Baseline'!$B$1:$L$257,10,FALSE))))</f>
        <v/>
      </c>
      <c r="J194" s="382" t="str">
        <f>IF(B194="","",IF(ISNA(VLOOKUP($B194,'E-1 Off-Site Hedge Baseline'!$B$1:$L$257,11,FALSE)),"",(VLOOKUP($B194,'E-1 Off-Site Hedge Baseline'!$B$1:$L$257,11,FALSE))))</f>
        <v/>
      </c>
      <c r="K194" s="382" t="str">
        <f>IF(B194="","",IF(ISNA(VLOOKUP($B194,'E-1 Off-Site Hedge Baseline'!$B$1:$X$257,113,FALSE)),"",(VLOOKUP($B194,'E-1 Off-Site Hedge Baseline'!$B$1:$X$257,13,FALSE))))</f>
        <v/>
      </c>
      <c r="L194" s="370" t="str">
        <f>IF(B194="","",IF(ISNA(VLOOKUP($B194,'E-1 Off-Site Hedge Baseline'!$B$1:$X$257,12,FALSE)),"",(VLOOKUP($B194,'E-1 Off-Site Hedge Baseline'!$B$1:$X$257,12,FALSE))))</f>
        <v/>
      </c>
      <c r="M194" s="316" t="str">
        <f t="shared" si="18"/>
        <v/>
      </c>
      <c r="N194" s="362" t="str">
        <f>IFERROR(IF(B194="","",INDEX('G-6 Hedgerow Data'!$AN$3:$AZ$15,MATCH(C194,'G-6 Hedgerow Data'!$AM$3:$AM$15,0),MATCH(M194,'G-6 Hedgerow Data'!$AN$2:$AZ$2,0))),"")</f>
        <v/>
      </c>
      <c r="O194" s="363" t="str">
        <f t="shared" si="20"/>
        <v/>
      </c>
      <c r="P194" s="368" t="str">
        <f>IF(B194="","",VLOOKUP(B194,'E-1 Off-Site Hedge Baseline'!$B$10:W439,19,FALSE))</f>
        <v/>
      </c>
      <c r="Q194" s="362" t="str">
        <f>IF(M194="","",VLOOKUP(M194,'G-6 Hedgerow Data'!$B$2:$AG$15,2,FALSE))</f>
        <v/>
      </c>
      <c r="R194" s="363" t="str">
        <f>IF(M194="","",VLOOKUP(M194,'G-6 Hedgerow Data'!$B$2:$AG$15,3,FALSE))</f>
        <v/>
      </c>
      <c r="S194" s="114"/>
      <c r="T194" s="363" t="str">
        <f>IFERROR(IF(AND(Q194="V.Low",OR(S194="Good",S194="Moderate")),"Error ▲",VLOOKUP(S194,'G-1 All Habitats'!$Z$2:$AA$9,2,FALSE)),"")</f>
        <v/>
      </c>
      <c r="U194" s="114"/>
      <c r="V194" s="370" t="str">
        <f>IF(U194="","",IF(VLOOKUP(U194,'G-3 Multipliers'!$L$3:$N$6,2,FALSE)=0,"Spatial Data Missing ⚠",VLOOKUP(U194,'G-3 Multipliers'!$L$3:$N$6,2,FALSE)))</f>
        <v/>
      </c>
      <c r="W194" s="368" t="str">
        <f>IF(U194="","",IF(VLOOKUP(U194,'G-3 Multipliers'!$L$3:$N$6,3,FALSE)=0,"Spatial Data Missing ⚠",VLOOKUP(U194,'G-3 Multipliers'!$L$3:$N$6,3,FALSE)))</f>
        <v/>
      </c>
      <c r="X194" s="362" t="str">
        <f>IFERROR(IF(OR(LEFT(O194,5)="Error",LEFT(N194,5)="Error",T194="Error"),"Check Data ⚠",IF(F194&lt;R194,INDEX('G-6 Hedgerow Data'!$S$3:$AE$14,MATCH(C194,'G-6 Hedgerow Data'!$B$3:$B$14,0),MATCH(M194,'G-6 Hedgerow Data'!$S$2:$AE$2,0)),INDEX('G-6 Hedgerow Data'!$K$3:$Q$14,MATCH(M194,'G-6 Hedgerow Data'!$B$3:$B$14,0),MATCH(O194,'G-6 Hedgerow Data'!$K$2:$Q$2,0)))),"")</f>
        <v/>
      </c>
      <c r="Y194" s="159"/>
      <c r="Z194" s="159"/>
      <c r="AA194" s="370" t="str">
        <f t="shared" si="21"/>
        <v/>
      </c>
      <c r="AB194" s="383" t="str">
        <f t="shared" si="22"/>
        <v/>
      </c>
      <c r="AC194" s="384" t="str">
        <f t="shared" si="19"/>
        <v/>
      </c>
      <c r="AD194" s="398" t="str">
        <f>IF(M194="","",VLOOKUP(M194,'G-6 Hedgerow Data'!$B$3:$AG$15,31,FALSE))</f>
        <v/>
      </c>
      <c r="AE194" s="382" t="str">
        <f t="shared" si="23"/>
        <v/>
      </c>
      <c r="AF194" s="382" t="str">
        <f t="shared" si="24"/>
        <v/>
      </c>
      <c r="AG194" s="386" t="str">
        <f>IFERROR(IF(O194="","",VLOOKUP(AD194,'G-3 Multipliers'!$P$3:$Q$6,2,FALSE)),"")</f>
        <v/>
      </c>
      <c r="AH194" s="160"/>
      <c r="AI194" s="363" t="str">
        <f>IF(AH194="","",IF(VLOOKUP(AH194,'G-3 Multipliers'!$S$3:$T$10,2,FALSE)=0,"Spatial Data Missing ⚠",VLOOKUP(AH194,'G-3 Multipliers'!$S$3:$T$10,2,FALSE)))</f>
        <v/>
      </c>
      <c r="AJ194" s="405" t="str">
        <f t="shared" si="25"/>
        <v/>
      </c>
      <c r="AK194" s="376" t="str">
        <f t="shared" si="26"/>
        <v/>
      </c>
      <c r="AL194" s="117"/>
      <c r="AM194" s="118"/>
      <c r="AN194" s="120"/>
      <c r="AO194" s="120"/>
      <c r="AQ194" s="30" t="str">
        <f>IFERROR(INDEX('G-6 Hedgerow Data'!$BJ$3:$BJ$15,MATCH(M194,'G-6 Hedgerow Data'!$B$3:$B$15,0)),"")</f>
        <v/>
      </c>
    </row>
    <row r="195" spans="2:43" ht="15">
      <c r="B195" s="392" t="str">
        <f>'E-1 Off-Site Hedge Baseline'!AN193</f>
        <v/>
      </c>
      <c r="C195" s="382" t="str">
        <f>IF(B195="","",IF(ISNA(VLOOKUP($B195,'E-1 Off-Site Hedge Baseline'!$B$1:$L$257,3,FALSE)),"",(VLOOKUP($B195,'E-1 Off-Site Hedge Baseline'!$B$1:$L$257,3,FALSE))))</f>
        <v/>
      </c>
      <c r="D195" s="382" t="str">
        <f>IF(B195="","",IF(ISNA(VLOOKUP($B195,'E-1 Off-Site Hedge Baseline'!$B$1:$L$258,4,FALSE)),"",(VLOOKUP($B195,'E-1 Off-Site Hedge Baseline'!$B$1:$L$258,4,FALSE))))</f>
        <v/>
      </c>
      <c r="E195" s="382" t="str">
        <f>IF(B195="","",IF(ISNA(VLOOKUP($B195,'E-1 Off-Site Hedge Baseline'!$B$1:$L$257,5,FALSE)),"",(VLOOKUP($B195,'E-1 Off-Site Hedge Baseline'!$B$1:$L$257,5,FALSE))))</f>
        <v/>
      </c>
      <c r="F195" s="382" t="str">
        <f>IF(B195="","",IF(ISNA(VLOOKUP($B195,'E-1 Off-Site Hedge Baseline'!$B$1:$L$257,6,FALSE)),"",(VLOOKUP($B195,'E-1 Off-Site Hedge Baseline'!$B$1:$L$257,6,FALSE))))</f>
        <v/>
      </c>
      <c r="G195" s="382" t="str">
        <f>IF(B195="","",IF(ISNA(VLOOKUP($B195,'E-1 Off-Site Hedge Baseline'!$B$1:$L$257,7,FALSE)),"",(VLOOKUP($B195,'E-1 Off-Site Hedge Baseline'!$B$1:$L$257,7,FALSE))))</f>
        <v/>
      </c>
      <c r="H195" s="382" t="str">
        <f>IF(B195="","",IF(ISNA(VLOOKUP($B195,'E-1 Off-Site Hedge Baseline'!$B$1:$L$257,8,FALSE)),"",(VLOOKUP($B195,'E-1 Off-Site Hedge Baseline'!$B$1:$L$257,8,FALSE))))</f>
        <v/>
      </c>
      <c r="I195" s="382" t="str">
        <f>IF(B195="","",IF(ISNA(VLOOKUP($B195,'E-1 Off-Site Hedge Baseline'!$B$1:$L$257,10,FALSE)),"",(VLOOKUP($B195,'E-1 Off-Site Hedge Baseline'!$B$1:$L$257,10,FALSE))))</f>
        <v/>
      </c>
      <c r="J195" s="382" t="str">
        <f>IF(B195="","",IF(ISNA(VLOOKUP($B195,'E-1 Off-Site Hedge Baseline'!$B$1:$L$257,11,FALSE)),"",(VLOOKUP($B195,'E-1 Off-Site Hedge Baseline'!$B$1:$L$257,11,FALSE))))</f>
        <v/>
      </c>
      <c r="K195" s="382" t="str">
        <f>IF(B195="","",IF(ISNA(VLOOKUP($B195,'E-1 Off-Site Hedge Baseline'!$B$1:$X$257,113,FALSE)),"",(VLOOKUP($B195,'E-1 Off-Site Hedge Baseline'!$B$1:$X$257,13,FALSE))))</f>
        <v/>
      </c>
      <c r="L195" s="370" t="str">
        <f>IF(B195="","",IF(ISNA(VLOOKUP($B195,'E-1 Off-Site Hedge Baseline'!$B$1:$X$257,12,FALSE)),"",(VLOOKUP($B195,'E-1 Off-Site Hedge Baseline'!$B$1:$X$257,12,FALSE))))</f>
        <v/>
      </c>
      <c r="M195" s="316" t="str">
        <f t="shared" si="18"/>
        <v/>
      </c>
      <c r="N195" s="362" t="str">
        <f>IFERROR(IF(B195="","",INDEX('G-6 Hedgerow Data'!$AN$3:$AZ$15,MATCH(C195,'G-6 Hedgerow Data'!$AM$3:$AM$15,0),MATCH(M195,'G-6 Hedgerow Data'!$AN$2:$AZ$2,0))),"")</f>
        <v/>
      </c>
      <c r="O195" s="363" t="str">
        <f t="shared" si="20"/>
        <v/>
      </c>
      <c r="P195" s="368" t="str">
        <f>IF(B195="","",VLOOKUP(B195,'E-1 Off-Site Hedge Baseline'!$B$10:W440,19,FALSE))</f>
        <v/>
      </c>
      <c r="Q195" s="362" t="str">
        <f>IF(M195="","",VLOOKUP(M195,'G-6 Hedgerow Data'!$B$2:$AG$15,2,FALSE))</f>
        <v/>
      </c>
      <c r="R195" s="363" t="str">
        <f>IF(M195="","",VLOOKUP(M195,'G-6 Hedgerow Data'!$B$2:$AG$15,3,FALSE))</f>
        <v/>
      </c>
      <c r="S195" s="114"/>
      <c r="T195" s="363" t="str">
        <f>IFERROR(IF(AND(Q195="V.Low",OR(S195="Good",S195="Moderate")),"Error ▲",VLOOKUP(S195,'G-1 All Habitats'!$Z$2:$AA$9,2,FALSE)),"")</f>
        <v/>
      </c>
      <c r="U195" s="114"/>
      <c r="V195" s="370" t="str">
        <f>IF(U195="","",IF(VLOOKUP(U195,'G-3 Multipliers'!$L$3:$N$6,2,FALSE)=0,"Spatial Data Missing ⚠",VLOOKUP(U195,'G-3 Multipliers'!$L$3:$N$6,2,FALSE)))</f>
        <v/>
      </c>
      <c r="W195" s="368" t="str">
        <f>IF(U195="","",IF(VLOOKUP(U195,'G-3 Multipliers'!$L$3:$N$6,3,FALSE)=0,"Spatial Data Missing ⚠",VLOOKUP(U195,'G-3 Multipliers'!$L$3:$N$6,3,FALSE)))</f>
        <v/>
      </c>
      <c r="X195" s="362" t="str">
        <f>IFERROR(IF(OR(LEFT(O195,5)="Error",LEFT(N195,5)="Error",T195="Error"),"Check Data ⚠",IF(F195&lt;R195,INDEX('G-6 Hedgerow Data'!$S$3:$AE$14,MATCH(C195,'G-6 Hedgerow Data'!$B$3:$B$14,0),MATCH(M195,'G-6 Hedgerow Data'!$S$2:$AE$2,0)),INDEX('G-6 Hedgerow Data'!$K$3:$Q$14,MATCH(M195,'G-6 Hedgerow Data'!$B$3:$B$14,0),MATCH(O195,'G-6 Hedgerow Data'!$K$2:$Q$2,0)))),"")</f>
        <v/>
      </c>
      <c r="Y195" s="159"/>
      <c r="Z195" s="159"/>
      <c r="AA195" s="370" t="str">
        <f t="shared" si="21"/>
        <v/>
      </c>
      <c r="AB195" s="383" t="str">
        <f t="shared" si="22"/>
        <v/>
      </c>
      <c r="AC195" s="384" t="str">
        <f t="shared" si="19"/>
        <v/>
      </c>
      <c r="AD195" s="398" t="str">
        <f>IF(M195="","",VLOOKUP(M195,'G-6 Hedgerow Data'!$B$3:$AG$15,31,FALSE))</f>
        <v/>
      </c>
      <c r="AE195" s="382" t="str">
        <f t="shared" si="23"/>
        <v/>
      </c>
      <c r="AF195" s="382" t="str">
        <f t="shared" si="24"/>
        <v/>
      </c>
      <c r="AG195" s="386" t="str">
        <f>IFERROR(IF(O195="","",VLOOKUP(AD195,'G-3 Multipliers'!$P$3:$Q$6,2,FALSE)),"")</f>
        <v/>
      </c>
      <c r="AH195" s="160"/>
      <c r="AI195" s="363" t="str">
        <f>IF(AH195="","",IF(VLOOKUP(AH195,'G-3 Multipliers'!$S$3:$T$10,2,FALSE)=0,"Spatial Data Missing ⚠",VLOOKUP(AH195,'G-3 Multipliers'!$S$3:$T$10,2,FALSE)))</f>
        <v/>
      </c>
      <c r="AJ195" s="405" t="str">
        <f t="shared" si="25"/>
        <v/>
      </c>
      <c r="AK195" s="376" t="str">
        <f t="shared" si="26"/>
        <v/>
      </c>
      <c r="AL195" s="117"/>
      <c r="AM195" s="118"/>
      <c r="AN195" s="120"/>
      <c r="AO195" s="120"/>
      <c r="AQ195" s="30" t="str">
        <f>IFERROR(INDEX('G-6 Hedgerow Data'!$BJ$3:$BJ$15,MATCH(M195,'G-6 Hedgerow Data'!$B$3:$B$15,0)),"")</f>
        <v/>
      </c>
    </row>
    <row r="196" spans="2:43" ht="15">
      <c r="B196" s="392" t="str">
        <f>'E-1 Off-Site Hedge Baseline'!AN194</f>
        <v/>
      </c>
      <c r="C196" s="382" t="str">
        <f>IF(B196="","",IF(ISNA(VLOOKUP($B196,'E-1 Off-Site Hedge Baseline'!$B$1:$L$257,3,FALSE)),"",(VLOOKUP($B196,'E-1 Off-Site Hedge Baseline'!$B$1:$L$257,3,FALSE))))</f>
        <v/>
      </c>
      <c r="D196" s="382" t="str">
        <f>IF(B196="","",IF(ISNA(VLOOKUP($B196,'E-1 Off-Site Hedge Baseline'!$B$1:$L$258,4,FALSE)),"",(VLOOKUP($B196,'E-1 Off-Site Hedge Baseline'!$B$1:$L$258,4,FALSE))))</f>
        <v/>
      </c>
      <c r="E196" s="382" t="str">
        <f>IF(B196="","",IF(ISNA(VLOOKUP($B196,'E-1 Off-Site Hedge Baseline'!$B$1:$L$257,5,FALSE)),"",(VLOOKUP($B196,'E-1 Off-Site Hedge Baseline'!$B$1:$L$257,5,FALSE))))</f>
        <v/>
      </c>
      <c r="F196" s="382" t="str">
        <f>IF(B196="","",IF(ISNA(VLOOKUP($B196,'E-1 Off-Site Hedge Baseline'!$B$1:$L$257,6,FALSE)),"",(VLOOKUP($B196,'E-1 Off-Site Hedge Baseline'!$B$1:$L$257,6,FALSE))))</f>
        <v/>
      </c>
      <c r="G196" s="382" t="str">
        <f>IF(B196="","",IF(ISNA(VLOOKUP($B196,'E-1 Off-Site Hedge Baseline'!$B$1:$L$257,7,FALSE)),"",(VLOOKUP($B196,'E-1 Off-Site Hedge Baseline'!$B$1:$L$257,7,FALSE))))</f>
        <v/>
      </c>
      <c r="H196" s="382" t="str">
        <f>IF(B196="","",IF(ISNA(VLOOKUP($B196,'E-1 Off-Site Hedge Baseline'!$B$1:$L$257,8,FALSE)),"",(VLOOKUP($B196,'E-1 Off-Site Hedge Baseline'!$B$1:$L$257,8,FALSE))))</f>
        <v/>
      </c>
      <c r="I196" s="382" t="str">
        <f>IF(B196="","",IF(ISNA(VLOOKUP($B196,'E-1 Off-Site Hedge Baseline'!$B$1:$L$257,10,FALSE)),"",(VLOOKUP($B196,'E-1 Off-Site Hedge Baseline'!$B$1:$L$257,10,FALSE))))</f>
        <v/>
      </c>
      <c r="J196" s="382" t="str">
        <f>IF(B196="","",IF(ISNA(VLOOKUP($B196,'E-1 Off-Site Hedge Baseline'!$B$1:$L$257,11,FALSE)),"",(VLOOKUP($B196,'E-1 Off-Site Hedge Baseline'!$B$1:$L$257,11,FALSE))))</f>
        <v/>
      </c>
      <c r="K196" s="382" t="str">
        <f>IF(B196="","",IF(ISNA(VLOOKUP($B196,'E-1 Off-Site Hedge Baseline'!$B$1:$X$257,113,FALSE)),"",(VLOOKUP($B196,'E-1 Off-Site Hedge Baseline'!$B$1:$X$257,13,FALSE))))</f>
        <v/>
      </c>
      <c r="L196" s="370" t="str">
        <f>IF(B196="","",IF(ISNA(VLOOKUP($B196,'E-1 Off-Site Hedge Baseline'!$B$1:$X$257,12,FALSE)),"",(VLOOKUP($B196,'E-1 Off-Site Hedge Baseline'!$B$1:$X$257,12,FALSE))))</f>
        <v/>
      </c>
      <c r="M196" s="316" t="str">
        <f t="shared" si="18"/>
        <v/>
      </c>
      <c r="N196" s="362" t="str">
        <f>IFERROR(IF(B196="","",INDEX('G-6 Hedgerow Data'!$AN$3:$AZ$15,MATCH(C196,'G-6 Hedgerow Data'!$AM$3:$AM$15,0),MATCH(M196,'G-6 Hedgerow Data'!$AN$2:$AZ$2,0))),"")</f>
        <v/>
      </c>
      <c r="O196" s="363" t="str">
        <f t="shared" si="20"/>
        <v/>
      </c>
      <c r="P196" s="368" t="str">
        <f>IF(B196="","",VLOOKUP(B196,'E-1 Off-Site Hedge Baseline'!$B$10:W441,19,FALSE))</f>
        <v/>
      </c>
      <c r="Q196" s="362" t="str">
        <f>IF(M196="","",VLOOKUP(M196,'G-6 Hedgerow Data'!$B$2:$AG$15,2,FALSE))</f>
        <v/>
      </c>
      <c r="R196" s="363" t="str">
        <f>IF(M196="","",VLOOKUP(M196,'G-6 Hedgerow Data'!$B$2:$AG$15,3,FALSE))</f>
        <v/>
      </c>
      <c r="S196" s="114"/>
      <c r="T196" s="363" t="str">
        <f>IFERROR(IF(AND(Q196="V.Low",OR(S196="Good",S196="Moderate")),"Error ▲",VLOOKUP(S196,'G-1 All Habitats'!$Z$2:$AA$9,2,FALSE)),"")</f>
        <v/>
      </c>
      <c r="U196" s="114"/>
      <c r="V196" s="370" t="str">
        <f>IF(U196="","",IF(VLOOKUP(U196,'G-3 Multipliers'!$L$3:$N$6,2,FALSE)=0,"Spatial Data Missing ⚠",VLOOKUP(U196,'G-3 Multipliers'!$L$3:$N$6,2,FALSE)))</f>
        <v/>
      </c>
      <c r="W196" s="368" t="str">
        <f>IF(U196="","",IF(VLOOKUP(U196,'G-3 Multipliers'!$L$3:$N$6,3,FALSE)=0,"Spatial Data Missing ⚠",VLOOKUP(U196,'G-3 Multipliers'!$L$3:$N$6,3,FALSE)))</f>
        <v/>
      </c>
      <c r="X196" s="362" t="str">
        <f>IFERROR(IF(OR(LEFT(O196,5)="Error",LEFT(N196,5)="Error",T196="Error"),"Check Data ⚠",IF(F196&lt;R196,INDEX('G-6 Hedgerow Data'!$S$3:$AE$14,MATCH(C196,'G-6 Hedgerow Data'!$B$3:$B$14,0),MATCH(M196,'G-6 Hedgerow Data'!$S$2:$AE$2,0)),INDEX('G-6 Hedgerow Data'!$K$3:$Q$14,MATCH(M196,'G-6 Hedgerow Data'!$B$3:$B$14,0),MATCH(O196,'G-6 Hedgerow Data'!$K$2:$Q$2,0)))),"")</f>
        <v/>
      </c>
      <c r="Y196" s="159"/>
      <c r="Z196" s="159"/>
      <c r="AA196" s="370" t="str">
        <f t="shared" si="21"/>
        <v/>
      </c>
      <c r="AB196" s="383" t="str">
        <f t="shared" si="22"/>
        <v/>
      </c>
      <c r="AC196" s="384" t="str">
        <f t="shared" si="19"/>
        <v/>
      </c>
      <c r="AD196" s="398" t="str">
        <f>IF(M196="","",VLOOKUP(M196,'G-6 Hedgerow Data'!$B$3:$AG$15,31,FALSE))</f>
        <v/>
      </c>
      <c r="AE196" s="382" t="str">
        <f t="shared" si="23"/>
        <v/>
      </c>
      <c r="AF196" s="382" t="str">
        <f t="shared" si="24"/>
        <v/>
      </c>
      <c r="AG196" s="386" t="str">
        <f>IFERROR(IF(O196="","",VLOOKUP(AD196,'G-3 Multipliers'!$P$3:$Q$6,2,FALSE)),"")</f>
        <v/>
      </c>
      <c r="AH196" s="160"/>
      <c r="AI196" s="363" t="str">
        <f>IF(AH196="","",IF(VLOOKUP(AH196,'G-3 Multipliers'!$S$3:$T$10,2,FALSE)=0,"Spatial Data Missing ⚠",VLOOKUP(AH196,'G-3 Multipliers'!$S$3:$T$10,2,FALSE)))</f>
        <v/>
      </c>
      <c r="AJ196" s="405" t="str">
        <f t="shared" si="25"/>
        <v/>
      </c>
      <c r="AK196" s="376" t="str">
        <f t="shared" si="26"/>
        <v/>
      </c>
      <c r="AL196" s="117"/>
      <c r="AM196" s="118"/>
      <c r="AN196" s="120"/>
      <c r="AO196" s="120"/>
      <c r="AQ196" s="30" t="str">
        <f>IFERROR(INDEX('G-6 Hedgerow Data'!$BJ$3:$BJ$15,MATCH(M196,'G-6 Hedgerow Data'!$B$3:$B$15,0)),"")</f>
        <v/>
      </c>
    </row>
    <row r="197" spans="2:43" ht="15">
      <c r="B197" s="392" t="str">
        <f>'E-1 Off-Site Hedge Baseline'!AN195</f>
        <v/>
      </c>
      <c r="C197" s="382" t="str">
        <f>IF(B197="","",IF(ISNA(VLOOKUP($B197,'E-1 Off-Site Hedge Baseline'!$B$1:$L$257,3,FALSE)),"",(VLOOKUP($B197,'E-1 Off-Site Hedge Baseline'!$B$1:$L$257,3,FALSE))))</f>
        <v/>
      </c>
      <c r="D197" s="382" t="str">
        <f>IF(B197="","",IF(ISNA(VLOOKUP($B197,'E-1 Off-Site Hedge Baseline'!$B$1:$L$258,4,FALSE)),"",(VLOOKUP($B197,'E-1 Off-Site Hedge Baseline'!$B$1:$L$258,4,FALSE))))</f>
        <v/>
      </c>
      <c r="E197" s="382" t="str">
        <f>IF(B197="","",IF(ISNA(VLOOKUP($B197,'E-1 Off-Site Hedge Baseline'!$B$1:$L$257,5,FALSE)),"",(VLOOKUP($B197,'E-1 Off-Site Hedge Baseline'!$B$1:$L$257,5,FALSE))))</f>
        <v/>
      </c>
      <c r="F197" s="382" t="str">
        <f>IF(B197="","",IF(ISNA(VLOOKUP($B197,'E-1 Off-Site Hedge Baseline'!$B$1:$L$257,6,FALSE)),"",(VLOOKUP($B197,'E-1 Off-Site Hedge Baseline'!$B$1:$L$257,6,FALSE))))</f>
        <v/>
      </c>
      <c r="G197" s="382" t="str">
        <f>IF(B197="","",IF(ISNA(VLOOKUP($B197,'E-1 Off-Site Hedge Baseline'!$B$1:$L$257,7,FALSE)),"",(VLOOKUP($B197,'E-1 Off-Site Hedge Baseline'!$B$1:$L$257,7,FALSE))))</f>
        <v/>
      </c>
      <c r="H197" s="382" t="str">
        <f>IF(B197="","",IF(ISNA(VLOOKUP($B197,'E-1 Off-Site Hedge Baseline'!$B$1:$L$257,8,FALSE)),"",(VLOOKUP($B197,'E-1 Off-Site Hedge Baseline'!$B$1:$L$257,8,FALSE))))</f>
        <v/>
      </c>
      <c r="I197" s="382" t="str">
        <f>IF(B197="","",IF(ISNA(VLOOKUP($B197,'E-1 Off-Site Hedge Baseline'!$B$1:$L$257,10,FALSE)),"",(VLOOKUP($B197,'E-1 Off-Site Hedge Baseline'!$B$1:$L$257,10,FALSE))))</f>
        <v/>
      </c>
      <c r="J197" s="382" t="str">
        <f>IF(B197="","",IF(ISNA(VLOOKUP($B197,'E-1 Off-Site Hedge Baseline'!$B$1:$L$257,11,FALSE)),"",(VLOOKUP($B197,'E-1 Off-Site Hedge Baseline'!$B$1:$L$257,11,FALSE))))</f>
        <v/>
      </c>
      <c r="K197" s="382" t="str">
        <f>IF(B197="","",IF(ISNA(VLOOKUP($B197,'E-1 Off-Site Hedge Baseline'!$B$1:$X$257,113,FALSE)),"",(VLOOKUP($B197,'E-1 Off-Site Hedge Baseline'!$B$1:$X$257,13,FALSE))))</f>
        <v/>
      </c>
      <c r="L197" s="370" t="str">
        <f>IF(B197="","",IF(ISNA(VLOOKUP($B197,'E-1 Off-Site Hedge Baseline'!$B$1:$X$257,12,FALSE)),"",(VLOOKUP($B197,'E-1 Off-Site Hedge Baseline'!$B$1:$X$257,12,FALSE))))</f>
        <v/>
      </c>
      <c r="M197" s="316" t="str">
        <f t="shared" si="18"/>
        <v/>
      </c>
      <c r="N197" s="362" t="str">
        <f>IFERROR(IF(B197="","",INDEX('G-6 Hedgerow Data'!$AN$3:$AZ$15,MATCH(C197,'G-6 Hedgerow Data'!$AM$3:$AM$15,0),MATCH(M197,'G-6 Hedgerow Data'!$AN$2:$AZ$2,0))),"")</f>
        <v/>
      </c>
      <c r="O197" s="363" t="str">
        <f t="shared" si="20"/>
        <v/>
      </c>
      <c r="P197" s="368" t="str">
        <f>IF(B197="","",VLOOKUP(B197,'E-1 Off-Site Hedge Baseline'!$B$10:W442,19,FALSE))</f>
        <v/>
      </c>
      <c r="Q197" s="362" t="str">
        <f>IF(M197="","",VLOOKUP(M197,'G-6 Hedgerow Data'!$B$2:$AG$15,2,FALSE))</f>
        <v/>
      </c>
      <c r="R197" s="363" t="str">
        <f>IF(M197="","",VLOOKUP(M197,'G-6 Hedgerow Data'!$B$2:$AG$15,3,FALSE))</f>
        <v/>
      </c>
      <c r="S197" s="114"/>
      <c r="T197" s="363" t="str">
        <f>IFERROR(IF(AND(Q197="V.Low",OR(S197="Good",S197="Moderate")),"Error ▲",VLOOKUP(S197,'G-1 All Habitats'!$Z$2:$AA$9,2,FALSE)),"")</f>
        <v/>
      </c>
      <c r="U197" s="114"/>
      <c r="V197" s="370" t="str">
        <f>IF(U197="","",IF(VLOOKUP(U197,'G-3 Multipliers'!$L$3:$N$6,2,FALSE)=0,"Spatial Data Missing ⚠",VLOOKUP(U197,'G-3 Multipliers'!$L$3:$N$6,2,FALSE)))</f>
        <v/>
      </c>
      <c r="W197" s="368" t="str">
        <f>IF(U197="","",IF(VLOOKUP(U197,'G-3 Multipliers'!$L$3:$N$6,3,FALSE)=0,"Spatial Data Missing ⚠",VLOOKUP(U197,'G-3 Multipliers'!$L$3:$N$6,3,FALSE)))</f>
        <v/>
      </c>
      <c r="X197" s="362" t="str">
        <f>IFERROR(IF(OR(LEFT(O197,5)="Error",LEFT(N197,5)="Error",T197="Error"),"Check Data ⚠",IF(F197&lt;R197,INDEX('G-6 Hedgerow Data'!$S$3:$AE$14,MATCH(C197,'G-6 Hedgerow Data'!$B$3:$B$14,0),MATCH(M197,'G-6 Hedgerow Data'!$S$2:$AE$2,0)),INDEX('G-6 Hedgerow Data'!$K$3:$Q$14,MATCH(M197,'G-6 Hedgerow Data'!$B$3:$B$14,0),MATCH(O197,'G-6 Hedgerow Data'!$K$2:$Q$2,0)))),"")</f>
        <v/>
      </c>
      <c r="Y197" s="159"/>
      <c r="Z197" s="159"/>
      <c r="AA197" s="370" t="str">
        <f t="shared" si="21"/>
        <v/>
      </c>
      <c r="AB197" s="383" t="str">
        <f t="shared" si="22"/>
        <v/>
      </c>
      <c r="AC197" s="384" t="str">
        <f t="shared" si="19"/>
        <v/>
      </c>
      <c r="AD197" s="398" t="str">
        <f>IF(M197="","",VLOOKUP(M197,'G-6 Hedgerow Data'!$B$3:$AG$15,31,FALSE))</f>
        <v/>
      </c>
      <c r="AE197" s="382" t="str">
        <f t="shared" si="23"/>
        <v/>
      </c>
      <c r="AF197" s="382" t="str">
        <f t="shared" si="24"/>
        <v/>
      </c>
      <c r="AG197" s="386" t="str">
        <f>IFERROR(IF(O197="","",VLOOKUP(AD197,'G-3 Multipliers'!$P$3:$Q$6,2,FALSE)),"")</f>
        <v/>
      </c>
      <c r="AH197" s="160"/>
      <c r="AI197" s="363" t="str">
        <f>IF(AH197="","",IF(VLOOKUP(AH197,'G-3 Multipliers'!$S$3:$T$10,2,FALSE)=0,"Spatial Data Missing ⚠",VLOOKUP(AH197,'G-3 Multipliers'!$S$3:$T$10,2,FALSE)))</f>
        <v/>
      </c>
      <c r="AJ197" s="405" t="str">
        <f t="shared" si="25"/>
        <v/>
      </c>
      <c r="AK197" s="376" t="str">
        <f t="shared" si="26"/>
        <v/>
      </c>
      <c r="AL197" s="117"/>
      <c r="AM197" s="118"/>
      <c r="AN197" s="120"/>
      <c r="AO197" s="120"/>
      <c r="AQ197" s="30" t="str">
        <f>IFERROR(INDEX('G-6 Hedgerow Data'!$BJ$3:$BJ$15,MATCH(M197,'G-6 Hedgerow Data'!$B$3:$B$15,0)),"")</f>
        <v/>
      </c>
    </row>
    <row r="198" spans="2:43" ht="15">
      <c r="B198" s="392" t="str">
        <f>'E-1 Off-Site Hedge Baseline'!AN196</f>
        <v/>
      </c>
      <c r="C198" s="382" t="str">
        <f>IF(B198="","",IF(ISNA(VLOOKUP($B198,'E-1 Off-Site Hedge Baseline'!$B$1:$L$257,3,FALSE)),"",(VLOOKUP($B198,'E-1 Off-Site Hedge Baseline'!$B$1:$L$257,3,FALSE))))</f>
        <v/>
      </c>
      <c r="D198" s="382" t="str">
        <f>IF(B198="","",IF(ISNA(VLOOKUP($B198,'E-1 Off-Site Hedge Baseline'!$B$1:$L$258,4,FALSE)),"",(VLOOKUP($B198,'E-1 Off-Site Hedge Baseline'!$B$1:$L$258,4,FALSE))))</f>
        <v/>
      </c>
      <c r="E198" s="382" t="str">
        <f>IF(B198="","",IF(ISNA(VLOOKUP($B198,'E-1 Off-Site Hedge Baseline'!$B$1:$L$257,5,FALSE)),"",(VLOOKUP($B198,'E-1 Off-Site Hedge Baseline'!$B$1:$L$257,5,FALSE))))</f>
        <v/>
      </c>
      <c r="F198" s="382" t="str">
        <f>IF(B198="","",IF(ISNA(VLOOKUP($B198,'E-1 Off-Site Hedge Baseline'!$B$1:$L$257,6,FALSE)),"",(VLOOKUP($B198,'E-1 Off-Site Hedge Baseline'!$B$1:$L$257,6,FALSE))))</f>
        <v/>
      </c>
      <c r="G198" s="382" t="str">
        <f>IF(B198="","",IF(ISNA(VLOOKUP($B198,'E-1 Off-Site Hedge Baseline'!$B$1:$L$257,7,FALSE)),"",(VLOOKUP($B198,'E-1 Off-Site Hedge Baseline'!$B$1:$L$257,7,FALSE))))</f>
        <v/>
      </c>
      <c r="H198" s="382" t="str">
        <f>IF(B198="","",IF(ISNA(VLOOKUP($B198,'E-1 Off-Site Hedge Baseline'!$B$1:$L$257,8,FALSE)),"",(VLOOKUP($B198,'E-1 Off-Site Hedge Baseline'!$B$1:$L$257,8,FALSE))))</f>
        <v/>
      </c>
      <c r="I198" s="382" t="str">
        <f>IF(B198="","",IF(ISNA(VLOOKUP($B198,'E-1 Off-Site Hedge Baseline'!$B$1:$L$257,10,FALSE)),"",(VLOOKUP($B198,'E-1 Off-Site Hedge Baseline'!$B$1:$L$257,10,FALSE))))</f>
        <v/>
      </c>
      <c r="J198" s="382" t="str">
        <f>IF(B198="","",IF(ISNA(VLOOKUP($B198,'E-1 Off-Site Hedge Baseline'!$B$1:$L$257,11,FALSE)),"",(VLOOKUP($B198,'E-1 Off-Site Hedge Baseline'!$B$1:$L$257,11,FALSE))))</f>
        <v/>
      </c>
      <c r="K198" s="382" t="str">
        <f>IF(B198="","",IF(ISNA(VLOOKUP($B198,'E-1 Off-Site Hedge Baseline'!$B$1:$X$257,113,FALSE)),"",(VLOOKUP($B198,'E-1 Off-Site Hedge Baseline'!$B$1:$X$257,13,FALSE))))</f>
        <v/>
      </c>
      <c r="L198" s="370" t="str">
        <f>IF(B198="","",IF(ISNA(VLOOKUP($B198,'E-1 Off-Site Hedge Baseline'!$B$1:$X$257,12,FALSE)),"",(VLOOKUP($B198,'E-1 Off-Site Hedge Baseline'!$B$1:$X$257,12,FALSE))))</f>
        <v/>
      </c>
      <c r="M198" s="316" t="str">
        <f t="shared" si="18"/>
        <v/>
      </c>
      <c r="N198" s="362" t="str">
        <f>IFERROR(IF(B198="","",INDEX('G-6 Hedgerow Data'!$AN$3:$AZ$15,MATCH(C198,'G-6 Hedgerow Data'!$AM$3:$AM$15,0),MATCH(M198,'G-6 Hedgerow Data'!$AN$2:$AZ$2,0))),"")</f>
        <v/>
      </c>
      <c r="O198" s="363" t="str">
        <f t="shared" si="20"/>
        <v/>
      </c>
      <c r="P198" s="368" t="str">
        <f>IF(B198="","",VLOOKUP(B198,'E-1 Off-Site Hedge Baseline'!$B$10:W443,19,FALSE))</f>
        <v/>
      </c>
      <c r="Q198" s="362" t="str">
        <f>IF(M198="","",VLOOKUP(M198,'G-6 Hedgerow Data'!$B$2:$AG$15,2,FALSE))</f>
        <v/>
      </c>
      <c r="R198" s="363" t="str">
        <f>IF(M198="","",VLOOKUP(M198,'G-6 Hedgerow Data'!$B$2:$AG$15,3,FALSE))</f>
        <v/>
      </c>
      <c r="S198" s="114"/>
      <c r="T198" s="363" t="str">
        <f>IFERROR(IF(AND(Q198="V.Low",OR(S198="Good",S198="Moderate")),"Error ▲",VLOOKUP(S198,'G-1 All Habitats'!$Z$2:$AA$9,2,FALSE)),"")</f>
        <v/>
      </c>
      <c r="U198" s="114"/>
      <c r="V198" s="370" t="str">
        <f>IF(U198="","",IF(VLOOKUP(U198,'G-3 Multipliers'!$L$3:$N$6,2,FALSE)=0,"Spatial Data Missing ⚠",VLOOKUP(U198,'G-3 Multipliers'!$L$3:$N$6,2,FALSE)))</f>
        <v/>
      </c>
      <c r="W198" s="368" t="str">
        <f>IF(U198="","",IF(VLOOKUP(U198,'G-3 Multipliers'!$L$3:$N$6,3,FALSE)=0,"Spatial Data Missing ⚠",VLOOKUP(U198,'G-3 Multipliers'!$L$3:$N$6,3,FALSE)))</f>
        <v/>
      </c>
      <c r="X198" s="362" t="str">
        <f>IFERROR(IF(OR(LEFT(O198,5)="Error",LEFT(N198,5)="Error",T198="Error"),"Check Data ⚠",IF(F198&lt;R198,INDEX('G-6 Hedgerow Data'!$S$3:$AE$14,MATCH(C198,'G-6 Hedgerow Data'!$B$3:$B$14,0),MATCH(M198,'G-6 Hedgerow Data'!$S$2:$AE$2,0)),INDEX('G-6 Hedgerow Data'!$K$3:$Q$14,MATCH(M198,'G-6 Hedgerow Data'!$B$3:$B$14,0),MATCH(O198,'G-6 Hedgerow Data'!$K$2:$Q$2,0)))),"")</f>
        <v/>
      </c>
      <c r="Y198" s="159"/>
      <c r="Z198" s="159"/>
      <c r="AA198" s="370" t="str">
        <f t="shared" si="21"/>
        <v/>
      </c>
      <c r="AB198" s="383" t="str">
        <f t="shared" si="22"/>
        <v/>
      </c>
      <c r="AC198" s="384" t="str">
        <f t="shared" si="19"/>
        <v/>
      </c>
      <c r="AD198" s="398" t="str">
        <f>IF(M198="","",VLOOKUP(M198,'G-6 Hedgerow Data'!$B$3:$AG$15,31,FALSE))</f>
        <v/>
      </c>
      <c r="AE198" s="382" t="str">
        <f t="shared" si="23"/>
        <v/>
      </c>
      <c r="AF198" s="382" t="str">
        <f t="shared" si="24"/>
        <v/>
      </c>
      <c r="AG198" s="386" t="str">
        <f>IFERROR(IF(O198="","",VLOOKUP(AD198,'G-3 Multipliers'!$P$3:$Q$6,2,FALSE)),"")</f>
        <v/>
      </c>
      <c r="AH198" s="160"/>
      <c r="AI198" s="363" t="str">
        <f>IF(AH198="","",IF(VLOOKUP(AH198,'G-3 Multipliers'!$S$3:$T$10,2,FALSE)=0,"Spatial Data Missing ⚠",VLOOKUP(AH198,'G-3 Multipliers'!$S$3:$T$10,2,FALSE)))</f>
        <v/>
      </c>
      <c r="AJ198" s="405" t="str">
        <f t="shared" si="25"/>
        <v/>
      </c>
      <c r="AK198" s="376" t="str">
        <f t="shared" si="26"/>
        <v/>
      </c>
      <c r="AL198" s="117"/>
      <c r="AM198" s="118"/>
      <c r="AN198" s="120"/>
      <c r="AO198" s="120"/>
      <c r="AQ198" s="30" t="str">
        <f>IFERROR(INDEX('G-6 Hedgerow Data'!$BJ$3:$BJ$15,MATCH(M198,'G-6 Hedgerow Data'!$B$3:$B$15,0)),"")</f>
        <v/>
      </c>
    </row>
    <row r="199" spans="2:43" ht="15">
      <c r="B199" s="392" t="str">
        <f>'E-1 Off-Site Hedge Baseline'!AN197</f>
        <v/>
      </c>
      <c r="C199" s="382" t="str">
        <f>IF(B199="","",IF(ISNA(VLOOKUP($B199,'E-1 Off-Site Hedge Baseline'!$B$1:$L$257,3,FALSE)),"",(VLOOKUP($B199,'E-1 Off-Site Hedge Baseline'!$B$1:$L$257,3,FALSE))))</f>
        <v/>
      </c>
      <c r="D199" s="382" t="str">
        <f>IF(B199="","",IF(ISNA(VLOOKUP($B199,'E-1 Off-Site Hedge Baseline'!$B$1:$L$258,4,FALSE)),"",(VLOOKUP($B199,'E-1 Off-Site Hedge Baseline'!$B$1:$L$258,4,FALSE))))</f>
        <v/>
      </c>
      <c r="E199" s="382" t="str">
        <f>IF(B199="","",IF(ISNA(VLOOKUP($B199,'E-1 Off-Site Hedge Baseline'!$B$1:$L$257,5,FALSE)),"",(VLOOKUP($B199,'E-1 Off-Site Hedge Baseline'!$B$1:$L$257,5,FALSE))))</f>
        <v/>
      </c>
      <c r="F199" s="382" t="str">
        <f>IF(B199="","",IF(ISNA(VLOOKUP($B199,'E-1 Off-Site Hedge Baseline'!$B$1:$L$257,6,FALSE)),"",(VLOOKUP($B199,'E-1 Off-Site Hedge Baseline'!$B$1:$L$257,6,FALSE))))</f>
        <v/>
      </c>
      <c r="G199" s="382" t="str">
        <f>IF(B199="","",IF(ISNA(VLOOKUP($B199,'E-1 Off-Site Hedge Baseline'!$B$1:$L$257,7,FALSE)),"",(VLOOKUP($B199,'E-1 Off-Site Hedge Baseline'!$B$1:$L$257,7,FALSE))))</f>
        <v/>
      </c>
      <c r="H199" s="382" t="str">
        <f>IF(B199="","",IF(ISNA(VLOOKUP($B199,'E-1 Off-Site Hedge Baseline'!$B$1:$L$257,8,FALSE)),"",(VLOOKUP($B199,'E-1 Off-Site Hedge Baseline'!$B$1:$L$257,8,FALSE))))</f>
        <v/>
      </c>
      <c r="I199" s="382" t="str">
        <f>IF(B199="","",IF(ISNA(VLOOKUP($B199,'E-1 Off-Site Hedge Baseline'!$B$1:$L$257,10,FALSE)),"",(VLOOKUP($B199,'E-1 Off-Site Hedge Baseline'!$B$1:$L$257,10,FALSE))))</f>
        <v/>
      </c>
      <c r="J199" s="382" t="str">
        <f>IF(B199="","",IF(ISNA(VLOOKUP($B199,'E-1 Off-Site Hedge Baseline'!$B$1:$L$257,11,FALSE)),"",(VLOOKUP($B199,'E-1 Off-Site Hedge Baseline'!$B$1:$L$257,11,FALSE))))</f>
        <v/>
      </c>
      <c r="K199" s="382" t="str">
        <f>IF(B199="","",IF(ISNA(VLOOKUP($B199,'E-1 Off-Site Hedge Baseline'!$B$1:$X$257,113,FALSE)),"",(VLOOKUP($B199,'E-1 Off-Site Hedge Baseline'!$B$1:$X$257,13,FALSE))))</f>
        <v/>
      </c>
      <c r="L199" s="370" t="str">
        <f>IF(B199="","",IF(ISNA(VLOOKUP($B199,'E-1 Off-Site Hedge Baseline'!$B$1:$X$257,12,FALSE)),"",(VLOOKUP($B199,'E-1 Off-Site Hedge Baseline'!$B$1:$X$257,12,FALSE))))</f>
        <v/>
      </c>
      <c r="M199" s="316" t="str">
        <f t="shared" si="18"/>
        <v/>
      </c>
      <c r="N199" s="362" t="str">
        <f>IFERROR(IF(B199="","",INDEX('G-6 Hedgerow Data'!$AN$3:$AZ$15,MATCH(C199,'G-6 Hedgerow Data'!$AM$3:$AM$15,0),MATCH(M199,'G-6 Hedgerow Data'!$AN$2:$AZ$2,0))),"")</f>
        <v/>
      </c>
      <c r="O199" s="363" t="str">
        <f t="shared" si="20"/>
        <v/>
      </c>
      <c r="P199" s="368" t="str">
        <f>IF(B199="","",VLOOKUP(B199,'E-1 Off-Site Hedge Baseline'!$B$10:W444,19,FALSE))</f>
        <v/>
      </c>
      <c r="Q199" s="362" t="str">
        <f>IF(M199="","",VLOOKUP(M199,'G-6 Hedgerow Data'!$B$2:$AG$15,2,FALSE))</f>
        <v/>
      </c>
      <c r="R199" s="363" t="str">
        <f>IF(M199="","",VLOOKUP(M199,'G-6 Hedgerow Data'!$B$2:$AG$15,3,FALSE))</f>
        <v/>
      </c>
      <c r="S199" s="114"/>
      <c r="T199" s="363" t="str">
        <f>IFERROR(IF(AND(Q199="V.Low",OR(S199="Good",S199="Moderate")),"Error ▲",VLOOKUP(S199,'G-1 All Habitats'!$Z$2:$AA$9,2,FALSE)),"")</f>
        <v/>
      </c>
      <c r="U199" s="114"/>
      <c r="V199" s="370" t="str">
        <f>IF(U199="","",IF(VLOOKUP(U199,'G-3 Multipliers'!$L$3:$N$6,2,FALSE)=0,"Spatial Data Missing ⚠",VLOOKUP(U199,'G-3 Multipliers'!$L$3:$N$6,2,FALSE)))</f>
        <v/>
      </c>
      <c r="W199" s="368" t="str">
        <f>IF(U199="","",IF(VLOOKUP(U199,'G-3 Multipliers'!$L$3:$N$6,3,FALSE)=0,"Spatial Data Missing ⚠",VLOOKUP(U199,'G-3 Multipliers'!$L$3:$N$6,3,FALSE)))</f>
        <v/>
      </c>
      <c r="X199" s="362" t="str">
        <f>IFERROR(IF(OR(LEFT(O199,5)="Error",LEFT(N199,5)="Error",T199="Error"),"Check Data ⚠",IF(F199&lt;R199,INDEX('G-6 Hedgerow Data'!$S$3:$AE$14,MATCH(C199,'G-6 Hedgerow Data'!$B$3:$B$14,0),MATCH(M199,'G-6 Hedgerow Data'!$S$2:$AE$2,0)),INDEX('G-6 Hedgerow Data'!$K$3:$Q$14,MATCH(M199,'G-6 Hedgerow Data'!$B$3:$B$14,0),MATCH(O199,'G-6 Hedgerow Data'!$K$2:$Q$2,0)))),"")</f>
        <v/>
      </c>
      <c r="Y199" s="159"/>
      <c r="Z199" s="159"/>
      <c r="AA199" s="370" t="str">
        <f t="shared" si="21"/>
        <v/>
      </c>
      <c r="AB199" s="383" t="str">
        <f t="shared" si="22"/>
        <v/>
      </c>
      <c r="AC199" s="384" t="str">
        <f t="shared" si="19"/>
        <v/>
      </c>
      <c r="AD199" s="398" t="str">
        <f>IF(M199="","",VLOOKUP(M199,'G-6 Hedgerow Data'!$B$3:$AG$15,31,FALSE))</f>
        <v/>
      </c>
      <c r="AE199" s="382" t="str">
        <f t="shared" si="23"/>
        <v/>
      </c>
      <c r="AF199" s="382" t="str">
        <f t="shared" si="24"/>
        <v/>
      </c>
      <c r="AG199" s="386" t="str">
        <f>IFERROR(IF(O199="","",VLOOKUP(AD199,'G-3 Multipliers'!$P$3:$Q$6,2,FALSE)),"")</f>
        <v/>
      </c>
      <c r="AH199" s="160"/>
      <c r="AI199" s="363" t="str">
        <f>IF(AH199="","",IF(VLOOKUP(AH199,'G-3 Multipliers'!$S$3:$T$10,2,FALSE)=0,"Spatial Data Missing ⚠",VLOOKUP(AH199,'G-3 Multipliers'!$S$3:$T$10,2,FALSE)))</f>
        <v/>
      </c>
      <c r="AJ199" s="405" t="str">
        <f t="shared" si="25"/>
        <v/>
      </c>
      <c r="AK199" s="376" t="str">
        <f t="shared" si="26"/>
        <v/>
      </c>
      <c r="AL199" s="117"/>
      <c r="AM199" s="118"/>
      <c r="AN199" s="120"/>
      <c r="AO199" s="120"/>
      <c r="AQ199" s="30" t="str">
        <f>IFERROR(INDEX('G-6 Hedgerow Data'!$BJ$3:$BJ$15,MATCH(M199,'G-6 Hedgerow Data'!$B$3:$B$15,0)),"")</f>
        <v/>
      </c>
    </row>
    <row r="200" spans="2:43" ht="15">
      <c r="B200" s="392" t="str">
        <f>'E-1 Off-Site Hedge Baseline'!AN198</f>
        <v/>
      </c>
      <c r="C200" s="382" t="str">
        <f>IF(B200="","",IF(ISNA(VLOOKUP($B200,'E-1 Off-Site Hedge Baseline'!$B$1:$L$257,3,FALSE)),"",(VLOOKUP($B200,'E-1 Off-Site Hedge Baseline'!$B$1:$L$257,3,FALSE))))</f>
        <v/>
      </c>
      <c r="D200" s="382" t="str">
        <f>IF(B200="","",IF(ISNA(VLOOKUP($B200,'E-1 Off-Site Hedge Baseline'!$B$1:$L$258,4,FALSE)),"",(VLOOKUP($B200,'E-1 Off-Site Hedge Baseline'!$B$1:$L$258,4,FALSE))))</f>
        <v/>
      </c>
      <c r="E200" s="382" t="str">
        <f>IF(B200="","",IF(ISNA(VLOOKUP($B200,'E-1 Off-Site Hedge Baseline'!$B$1:$L$257,5,FALSE)),"",(VLOOKUP($B200,'E-1 Off-Site Hedge Baseline'!$B$1:$L$257,5,FALSE))))</f>
        <v/>
      </c>
      <c r="F200" s="382" t="str">
        <f>IF(B200="","",IF(ISNA(VLOOKUP($B200,'E-1 Off-Site Hedge Baseline'!$B$1:$L$257,6,FALSE)),"",(VLOOKUP($B200,'E-1 Off-Site Hedge Baseline'!$B$1:$L$257,6,FALSE))))</f>
        <v/>
      </c>
      <c r="G200" s="382" t="str">
        <f>IF(B200="","",IF(ISNA(VLOOKUP($B200,'E-1 Off-Site Hedge Baseline'!$B$1:$L$257,7,FALSE)),"",(VLOOKUP($B200,'E-1 Off-Site Hedge Baseline'!$B$1:$L$257,7,FALSE))))</f>
        <v/>
      </c>
      <c r="H200" s="382" t="str">
        <f>IF(B200="","",IF(ISNA(VLOOKUP($B200,'E-1 Off-Site Hedge Baseline'!$B$1:$L$257,8,FALSE)),"",(VLOOKUP($B200,'E-1 Off-Site Hedge Baseline'!$B$1:$L$257,8,FALSE))))</f>
        <v/>
      </c>
      <c r="I200" s="382" t="str">
        <f>IF(B200="","",IF(ISNA(VLOOKUP($B200,'E-1 Off-Site Hedge Baseline'!$B$1:$L$257,10,FALSE)),"",(VLOOKUP($B200,'E-1 Off-Site Hedge Baseline'!$B$1:$L$257,10,FALSE))))</f>
        <v/>
      </c>
      <c r="J200" s="382" t="str">
        <f>IF(B200="","",IF(ISNA(VLOOKUP($B200,'E-1 Off-Site Hedge Baseline'!$B$1:$L$257,11,FALSE)),"",(VLOOKUP($B200,'E-1 Off-Site Hedge Baseline'!$B$1:$L$257,11,FALSE))))</f>
        <v/>
      </c>
      <c r="K200" s="382" t="str">
        <f>IF(B200="","",IF(ISNA(VLOOKUP($B200,'E-1 Off-Site Hedge Baseline'!$B$1:$X$257,113,FALSE)),"",(VLOOKUP($B200,'E-1 Off-Site Hedge Baseline'!$B$1:$X$257,13,FALSE))))</f>
        <v/>
      </c>
      <c r="L200" s="370" t="str">
        <f>IF(B200="","",IF(ISNA(VLOOKUP($B200,'E-1 Off-Site Hedge Baseline'!$B$1:$X$257,12,FALSE)),"",(VLOOKUP($B200,'E-1 Off-Site Hedge Baseline'!$B$1:$X$257,12,FALSE))))</f>
        <v/>
      </c>
      <c r="M200" s="316" t="str">
        <f t="shared" si="18"/>
        <v/>
      </c>
      <c r="N200" s="362" t="str">
        <f>IFERROR(IF(B200="","",INDEX('G-6 Hedgerow Data'!$AN$3:$AZ$15,MATCH(C200,'G-6 Hedgerow Data'!$AM$3:$AM$15,0),MATCH(M200,'G-6 Hedgerow Data'!$AN$2:$AZ$2,0))),"")</f>
        <v/>
      </c>
      <c r="O200" s="363" t="str">
        <f t="shared" si="20"/>
        <v/>
      </c>
      <c r="P200" s="368" t="str">
        <f>IF(B200="","",VLOOKUP(B200,'E-1 Off-Site Hedge Baseline'!$B$10:W445,19,FALSE))</f>
        <v/>
      </c>
      <c r="Q200" s="362" t="str">
        <f>IF(M200="","",VLOOKUP(M200,'G-6 Hedgerow Data'!$B$2:$AG$15,2,FALSE))</f>
        <v/>
      </c>
      <c r="R200" s="363" t="str">
        <f>IF(M200="","",VLOOKUP(M200,'G-6 Hedgerow Data'!$B$2:$AG$15,3,FALSE))</f>
        <v/>
      </c>
      <c r="S200" s="114"/>
      <c r="T200" s="363" t="str">
        <f>IFERROR(IF(AND(Q200="V.Low",OR(S200="Good",S200="Moderate")),"Error ▲",VLOOKUP(S200,'G-1 All Habitats'!$Z$2:$AA$9,2,FALSE)),"")</f>
        <v/>
      </c>
      <c r="U200" s="114"/>
      <c r="V200" s="370" t="str">
        <f>IF(U200="","",IF(VLOOKUP(U200,'G-3 Multipliers'!$L$3:$N$6,2,FALSE)=0,"Spatial Data Missing ⚠",VLOOKUP(U200,'G-3 Multipliers'!$L$3:$N$6,2,FALSE)))</f>
        <v/>
      </c>
      <c r="W200" s="368" t="str">
        <f>IF(U200="","",IF(VLOOKUP(U200,'G-3 Multipliers'!$L$3:$N$6,3,FALSE)=0,"Spatial Data Missing ⚠",VLOOKUP(U200,'G-3 Multipliers'!$L$3:$N$6,3,FALSE)))</f>
        <v/>
      </c>
      <c r="X200" s="362" t="str">
        <f>IFERROR(IF(OR(LEFT(O200,5)="Error",LEFT(N200,5)="Error",T200="Error"),"Check Data ⚠",IF(F200&lt;R200,INDEX('G-6 Hedgerow Data'!$S$3:$AE$14,MATCH(C200,'G-6 Hedgerow Data'!$B$3:$B$14,0),MATCH(M200,'G-6 Hedgerow Data'!$S$2:$AE$2,0)),INDEX('G-6 Hedgerow Data'!$K$3:$Q$14,MATCH(M200,'G-6 Hedgerow Data'!$B$3:$B$14,0),MATCH(O200,'G-6 Hedgerow Data'!$K$2:$Q$2,0)))),"")</f>
        <v/>
      </c>
      <c r="Y200" s="159"/>
      <c r="Z200" s="159"/>
      <c r="AA200" s="370" t="str">
        <f t="shared" si="21"/>
        <v/>
      </c>
      <c r="AB200" s="383" t="str">
        <f t="shared" si="22"/>
        <v/>
      </c>
      <c r="AC200" s="384" t="str">
        <f t="shared" si="19"/>
        <v/>
      </c>
      <c r="AD200" s="398" t="str">
        <f>IF(M200="","",VLOOKUP(M200,'G-6 Hedgerow Data'!$B$3:$AG$15,31,FALSE))</f>
        <v/>
      </c>
      <c r="AE200" s="382" t="str">
        <f t="shared" si="23"/>
        <v/>
      </c>
      <c r="AF200" s="382" t="str">
        <f t="shared" si="24"/>
        <v/>
      </c>
      <c r="AG200" s="386" t="str">
        <f>IFERROR(IF(O200="","",VLOOKUP(AD200,'G-3 Multipliers'!$P$3:$Q$6,2,FALSE)),"")</f>
        <v/>
      </c>
      <c r="AH200" s="160"/>
      <c r="AI200" s="363" t="str">
        <f>IF(AH200="","",IF(VLOOKUP(AH200,'G-3 Multipliers'!$S$3:$T$10,2,FALSE)=0,"Spatial Data Missing ⚠",VLOOKUP(AH200,'G-3 Multipliers'!$S$3:$T$10,2,FALSE)))</f>
        <v/>
      </c>
      <c r="AJ200" s="405" t="str">
        <f t="shared" si="25"/>
        <v/>
      </c>
      <c r="AK200" s="376" t="str">
        <f t="shared" si="26"/>
        <v/>
      </c>
      <c r="AL200" s="117"/>
      <c r="AM200" s="118"/>
      <c r="AN200" s="120"/>
      <c r="AO200" s="120"/>
      <c r="AQ200" s="30" t="str">
        <f>IFERROR(INDEX('G-6 Hedgerow Data'!$BJ$3:$BJ$15,MATCH(M200,'G-6 Hedgerow Data'!$B$3:$B$15,0)),"")</f>
        <v/>
      </c>
    </row>
    <row r="201" spans="2:43" ht="15">
      <c r="B201" s="392" t="str">
        <f>'E-1 Off-Site Hedge Baseline'!AN199</f>
        <v/>
      </c>
      <c r="C201" s="382" t="str">
        <f>IF(B201="","",IF(ISNA(VLOOKUP($B201,'E-1 Off-Site Hedge Baseline'!$B$1:$L$257,3,FALSE)),"",(VLOOKUP($B201,'E-1 Off-Site Hedge Baseline'!$B$1:$L$257,3,FALSE))))</f>
        <v/>
      </c>
      <c r="D201" s="382" t="str">
        <f>IF(B201="","",IF(ISNA(VLOOKUP($B201,'E-1 Off-Site Hedge Baseline'!$B$1:$L$258,4,FALSE)),"",(VLOOKUP($B201,'E-1 Off-Site Hedge Baseline'!$B$1:$L$258,4,FALSE))))</f>
        <v/>
      </c>
      <c r="E201" s="382" t="str">
        <f>IF(B201="","",IF(ISNA(VLOOKUP($B201,'E-1 Off-Site Hedge Baseline'!$B$1:$L$257,5,FALSE)),"",(VLOOKUP($B201,'E-1 Off-Site Hedge Baseline'!$B$1:$L$257,5,FALSE))))</f>
        <v/>
      </c>
      <c r="F201" s="382" t="str">
        <f>IF(B201="","",IF(ISNA(VLOOKUP($B201,'E-1 Off-Site Hedge Baseline'!$B$1:$L$257,6,FALSE)),"",(VLOOKUP($B201,'E-1 Off-Site Hedge Baseline'!$B$1:$L$257,6,FALSE))))</f>
        <v/>
      </c>
      <c r="G201" s="382" t="str">
        <f>IF(B201="","",IF(ISNA(VLOOKUP($B201,'E-1 Off-Site Hedge Baseline'!$B$1:$L$257,7,FALSE)),"",(VLOOKUP($B201,'E-1 Off-Site Hedge Baseline'!$B$1:$L$257,7,FALSE))))</f>
        <v/>
      </c>
      <c r="H201" s="382" t="str">
        <f>IF(B201="","",IF(ISNA(VLOOKUP($B201,'E-1 Off-Site Hedge Baseline'!$B$1:$L$257,8,FALSE)),"",(VLOOKUP($B201,'E-1 Off-Site Hedge Baseline'!$B$1:$L$257,8,FALSE))))</f>
        <v/>
      </c>
      <c r="I201" s="382" t="str">
        <f>IF(B201="","",IF(ISNA(VLOOKUP($B201,'E-1 Off-Site Hedge Baseline'!$B$1:$L$257,10,FALSE)),"",(VLOOKUP($B201,'E-1 Off-Site Hedge Baseline'!$B$1:$L$257,10,FALSE))))</f>
        <v/>
      </c>
      <c r="J201" s="382" t="str">
        <f>IF(B201="","",IF(ISNA(VLOOKUP($B201,'E-1 Off-Site Hedge Baseline'!$B$1:$L$257,11,FALSE)),"",(VLOOKUP($B201,'E-1 Off-Site Hedge Baseline'!$B$1:$L$257,11,FALSE))))</f>
        <v/>
      </c>
      <c r="K201" s="382" t="str">
        <f>IF(B201="","",IF(ISNA(VLOOKUP($B201,'E-1 Off-Site Hedge Baseline'!$B$1:$X$257,113,FALSE)),"",(VLOOKUP($B201,'E-1 Off-Site Hedge Baseline'!$B$1:$X$257,13,FALSE))))</f>
        <v/>
      </c>
      <c r="L201" s="370" t="str">
        <f>IF(B201="","",IF(ISNA(VLOOKUP($B201,'E-1 Off-Site Hedge Baseline'!$B$1:$X$257,12,FALSE)),"",(VLOOKUP($B201,'E-1 Off-Site Hedge Baseline'!$B$1:$X$257,12,FALSE))))</f>
        <v/>
      </c>
      <c r="M201" s="316" t="str">
        <f t="shared" si="18"/>
        <v/>
      </c>
      <c r="N201" s="362" t="str">
        <f>IFERROR(IF(B201="","",INDEX('G-6 Hedgerow Data'!$AN$3:$AZ$15,MATCH(C201,'G-6 Hedgerow Data'!$AM$3:$AM$15,0),MATCH(M201,'G-6 Hedgerow Data'!$AN$2:$AZ$2,0))),"")</f>
        <v/>
      </c>
      <c r="O201" s="363" t="str">
        <f t="shared" si="20"/>
        <v/>
      </c>
      <c r="P201" s="368" t="str">
        <f>IF(B201="","",VLOOKUP(B201,'E-1 Off-Site Hedge Baseline'!$B$10:W446,19,FALSE))</f>
        <v/>
      </c>
      <c r="Q201" s="362" t="str">
        <f>IF(M201="","",VLOOKUP(M201,'G-6 Hedgerow Data'!$B$2:$AG$15,2,FALSE))</f>
        <v/>
      </c>
      <c r="R201" s="363" t="str">
        <f>IF(M201="","",VLOOKUP(M201,'G-6 Hedgerow Data'!$B$2:$AG$15,3,FALSE))</f>
        <v/>
      </c>
      <c r="S201" s="114"/>
      <c r="T201" s="363" t="str">
        <f>IFERROR(IF(AND(Q201="V.Low",OR(S201="Good",S201="Moderate")),"Error ▲",VLOOKUP(S201,'G-1 All Habitats'!$Z$2:$AA$9,2,FALSE)),"")</f>
        <v/>
      </c>
      <c r="U201" s="114"/>
      <c r="V201" s="370" t="str">
        <f>IF(U201="","",IF(VLOOKUP(U201,'G-3 Multipliers'!$L$3:$N$6,2,FALSE)=0,"Spatial Data Missing ⚠",VLOOKUP(U201,'G-3 Multipliers'!$L$3:$N$6,2,FALSE)))</f>
        <v/>
      </c>
      <c r="W201" s="368" t="str">
        <f>IF(U201="","",IF(VLOOKUP(U201,'G-3 Multipliers'!$L$3:$N$6,3,FALSE)=0,"Spatial Data Missing ⚠",VLOOKUP(U201,'G-3 Multipliers'!$L$3:$N$6,3,FALSE)))</f>
        <v/>
      </c>
      <c r="X201" s="362" t="str">
        <f>IFERROR(IF(OR(LEFT(O201,5)="Error",LEFT(N201,5)="Error",T201="Error"),"Check Data ⚠",IF(F201&lt;R201,INDEX('G-6 Hedgerow Data'!$S$3:$AE$14,MATCH(C201,'G-6 Hedgerow Data'!$B$3:$B$14,0),MATCH(M201,'G-6 Hedgerow Data'!$S$2:$AE$2,0)),INDEX('G-6 Hedgerow Data'!$K$3:$Q$14,MATCH(M201,'G-6 Hedgerow Data'!$B$3:$B$14,0),MATCH(O201,'G-6 Hedgerow Data'!$K$2:$Q$2,0)))),"")</f>
        <v/>
      </c>
      <c r="Y201" s="159"/>
      <c r="Z201" s="159"/>
      <c r="AA201" s="370" t="str">
        <f t="shared" si="21"/>
        <v/>
      </c>
      <c r="AB201" s="383" t="str">
        <f t="shared" si="22"/>
        <v/>
      </c>
      <c r="AC201" s="384" t="str">
        <f t="shared" si="19"/>
        <v/>
      </c>
      <c r="AD201" s="398" t="str">
        <f>IF(M201="","",VLOOKUP(M201,'G-6 Hedgerow Data'!$B$3:$AG$15,31,FALSE))</f>
        <v/>
      </c>
      <c r="AE201" s="382" t="str">
        <f t="shared" si="23"/>
        <v/>
      </c>
      <c r="AF201" s="382" t="str">
        <f t="shared" si="24"/>
        <v/>
      </c>
      <c r="AG201" s="386" t="str">
        <f>IFERROR(IF(O201="","",VLOOKUP(AD201,'G-3 Multipliers'!$P$3:$Q$6,2,FALSE)),"")</f>
        <v/>
      </c>
      <c r="AH201" s="160"/>
      <c r="AI201" s="363" t="str">
        <f>IF(AH201="","",IF(VLOOKUP(AH201,'G-3 Multipliers'!$S$3:$T$10,2,FALSE)=0,"Spatial Data Missing ⚠",VLOOKUP(AH201,'G-3 Multipliers'!$S$3:$T$10,2,FALSE)))</f>
        <v/>
      </c>
      <c r="AJ201" s="405" t="str">
        <f t="shared" si="25"/>
        <v/>
      </c>
      <c r="AK201" s="376" t="str">
        <f t="shared" si="26"/>
        <v/>
      </c>
      <c r="AL201" s="117"/>
      <c r="AM201" s="118"/>
      <c r="AN201" s="120"/>
      <c r="AO201" s="120"/>
      <c r="AQ201" s="30" t="str">
        <f>IFERROR(INDEX('G-6 Hedgerow Data'!$BJ$3:$BJ$15,MATCH(M201,'G-6 Hedgerow Data'!$B$3:$B$15,0)),"")</f>
        <v/>
      </c>
    </row>
    <row r="202" spans="2:43" ht="15">
      <c r="B202" s="392" t="str">
        <f>'E-1 Off-Site Hedge Baseline'!AN200</f>
        <v/>
      </c>
      <c r="C202" s="382" t="str">
        <f>IF(B202="","",IF(ISNA(VLOOKUP($B202,'E-1 Off-Site Hedge Baseline'!$B$1:$L$257,3,FALSE)),"",(VLOOKUP($B202,'E-1 Off-Site Hedge Baseline'!$B$1:$L$257,3,FALSE))))</f>
        <v/>
      </c>
      <c r="D202" s="382" t="str">
        <f>IF(B202="","",IF(ISNA(VLOOKUP($B202,'E-1 Off-Site Hedge Baseline'!$B$1:$L$258,4,FALSE)),"",(VLOOKUP($B202,'E-1 Off-Site Hedge Baseline'!$B$1:$L$258,4,FALSE))))</f>
        <v/>
      </c>
      <c r="E202" s="382" t="str">
        <f>IF(B202="","",IF(ISNA(VLOOKUP($B202,'E-1 Off-Site Hedge Baseline'!$B$1:$L$257,5,FALSE)),"",(VLOOKUP($B202,'E-1 Off-Site Hedge Baseline'!$B$1:$L$257,5,FALSE))))</f>
        <v/>
      </c>
      <c r="F202" s="382" t="str">
        <f>IF(B202="","",IF(ISNA(VLOOKUP($B202,'E-1 Off-Site Hedge Baseline'!$B$1:$L$257,6,FALSE)),"",(VLOOKUP($B202,'E-1 Off-Site Hedge Baseline'!$B$1:$L$257,6,FALSE))))</f>
        <v/>
      </c>
      <c r="G202" s="382" t="str">
        <f>IF(B202="","",IF(ISNA(VLOOKUP($B202,'E-1 Off-Site Hedge Baseline'!$B$1:$L$257,7,FALSE)),"",(VLOOKUP($B202,'E-1 Off-Site Hedge Baseline'!$B$1:$L$257,7,FALSE))))</f>
        <v/>
      </c>
      <c r="H202" s="382" t="str">
        <f>IF(B202="","",IF(ISNA(VLOOKUP($B202,'E-1 Off-Site Hedge Baseline'!$B$1:$L$257,8,FALSE)),"",(VLOOKUP($B202,'E-1 Off-Site Hedge Baseline'!$B$1:$L$257,8,FALSE))))</f>
        <v/>
      </c>
      <c r="I202" s="382" t="str">
        <f>IF(B202="","",IF(ISNA(VLOOKUP($B202,'E-1 Off-Site Hedge Baseline'!$B$1:$L$257,10,FALSE)),"",(VLOOKUP($B202,'E-1 Off-Site Hedge Baseline'!$B$1:$L$257,10,FALSE))))</f>
        <v/>
      </c>
      <c r="J202" s="382" t="str">
        <f>IF(B202="","",IF(ISNA(VLOOKUP($B202,'E-1 Off-Site Hedge Baseline'!$B$1:$L$257,11,FALSE)),"",(VLOOKUP($B202,'E-1 Off-Site Hedge Baseline'!$B$1:$L$257,11,FALSE))))</f>
        <v/>
      </c>
      <c r="K202" s="382" t="str">
        <f>IF(B202="","",IF(ISNA(VLOOKUP($B202,'E-1 Off-Site Hedge Baseline'!$B$1:$X$257,113,FALSE)),"",(VLOOKUP($B202,'E-1 Off-Site Hedge Baseline'!$B$1:$X$257,13,FALSE))))</f>
        <v/>
      </c>
      <c r="L202" s="370" t="str">
        <f>IF(B202="","",IF(ISNA(VLOOKUP($B202,'E-1 Off-Site Hedge Baseline'!$B$1:$X$257,12,FALSE)),"",(VLOOKUP($B202,'E-1 Off-Site Hedge Baseline'!$B$1:$X$257,12,FALSE))))</f>
        <v/>
      </c>
      <c r="M202" s="316" t="str">
        <f t="shared" si="18"/>
        <v/>
      </c>
      <c r="N202" s="362" t="str">
        <f>IFERROR(IF(B202="","",INDEX('G-6 Hedgerow Data'!$AN$3:$AZ$15,MATCH(C202,'G-6 Hedgerow Data'!$AM$3:$AM$15,0),MATCH(M202,'G-6 Hedgerow Data'!$AN$2:$AZ$2,0))),"")</f>
        <v/>
      </c>
      <c r="O202" s="363" t="str">
        <f t="shared" si="20"/>
        <v/>
      </c>
      <c r="P202" s="368" t="str">
        <f>IF(B202="","",VLOOKUP(B202,'E-1 Off-Site Hedge Baseline'!$B$10:W447,19,FALSE))</f>
        <v/>
      </c>
      <c r="Q202" s="362" t="str">
        <f>IF(M202="","",VLOOKUP(M202,'G-6 Hedgerow Data'!$B$2:$AG$15,2,FALSE))</f>
        <v/>
      </c>
      <c r="R202" s="363" t="str">
        <f>IF(M202="","",VLOOKUP(M202,'G-6 Hedgerow Data'!$B$2:$AG$15,3,FALSE))</f>
        <v/>
      </c>
      <c r="S202" s="114"/>
      <c r="T202" s="363" t="str">
        <f>IFERROR(IF(AND(Q202="V.Low",OR(S202="Good",S202="Moderate")),"Error ▲",VLOOKUP(S202,'G-1 All Habitats'!$Z$2:$AA$9,2,FALSE)),"")</f>
        <v/>
      </c>
      <c r="U202" s="114"/>
      <c r="V202" s="370" t="str">
        <f>IF(U202="","",IF(VLOOKUP(U202,'G-3 Multipliers'!$L$3:$N$6,2,FALSE)=0,"Spatial Data Missing ⚠",VLOOKUP(U202,'G-3 Multipliers'!$L$3:$N$6,2,FALSE)))</f>
        <v/>
      </c>
      <c r="W202" s="368" t="str">
        <f>IF(U202="","",IF(VLOOKUP(U202,'G-3 Multipliers'!$L$3:$N$6,3,FALSE)=0,"Spatial Data Missing ⚠",VLOOKUP(U202,'G-3 Multipliers'!$L$3:$N$6,3,FALSE)))</f>
        <v/>
      </c>
      <c r="X202" s="362" t="str">
        <f>IFERROR(IF(OR(LEFT(O202,5)="Error",LEFT(N202,5)="Error",T202="Error"),"Check Data ⚠",IF(F202&lt;R202,INDEX('G-6 Hedgerow Data'!$S$3:$AE$14,MATCH(C202,'G-6 Hedgerow Data'!$B$3:$B$14,0),MATCH(M202,'G-6 Hedgerow Data'!$S$2:$AE$2,0)),INDEX('G-6 Hedgerow Data'!$K$3:$Q$14,MATCH(M202,'G-6 Hedgerow Data'!$B$3:$B$14,0),MATCH(O202,'G-6 Hedgerow Data'!$K$2:$Q$2,0)))),"")</f>
        <v/>
      </c>
      <c r="Y202" s="159"/>
      <c r="Z202" s="159"/>
      <c r="AA202" s="370" t="str">
        <f t="shared" si="21"/>
        <v/>
      </c>
      <c r="AB202" s="383" t="str">
        <f t="shared" si="22"/>
        <v/>
      </c>
      <c r="AC202" s="384" t="str">
        <f t="shared" si="19"/>
        <v/>
      </c>
      <c r="AD202" s="398" t="str">
        <f>IF(M202="","",VLOOKUP(M202,'G-6 Hedgerow Data'!$B$3:$AG$15,31,FALSE))</f>
        <v/>
      </c>
      <c r="AE202" s="382" t="str">
        <f t="shared" si="23"/>
        <v/>
      </c>
      <c r="AF202" s="382" t="str">
        <f t="shared" si="24"/>
        <v/>
      </c>
      <c r="AG202" s="386" t="str">
        <f>IFERROR(IF(O202="","",VLOOKUP(AD202,'G-3 Multipliers'!$P$3:$Q$6,2,FALSE)),"")</f>
        <v/>
      </c>
      <c r="AH202" s="160"/>
      <c r="AI202" s="363" t="str">
        <f>IF(AH202="","",IF(VLOOKUP(AH202,'G-3 Multipliers'!$S$3:$T$10,2,FALSE)=0,"Spatial Data Missing ⚠",VLOOKUP(AH202,'G-3 Multipliers'!$S$3:$T$10,2,FALSE)))</f>
        <v/>
      </c>
      <c r="AJ202" s="405" t="str">
        <f t="shared" si="25"/>
        <v/>
      </c>
      <c r="AK202" s="376" t="str">
        <f t="shared" si="26"/>
        <v/>
      </c>
      <c r="AL202" s="117"/>
      <c r="AM202" s="118"/>
      <c r="AN202" s="120"/>
      <c r="AO202" s="120"/>
      <c r="AQ202" s="30" t="str">
        <f>IFERROR(INDEX('G-6 Hedgerow Data'!$BJ$3:$BJ$15,MATCH(M202,'G-6 Hedgerow Data'!$B$3:$B$15,0)),"")</f>
        <v/>
      </c>
    </row>
    <row r="203" spans="2:43" ht="15">
      <c r="B203" s="392" t="str">
        <f>'E-1 Off-Site Hedge Baseline'!AN201</f>
        <v/>
      </c>
      <c r="C203" s="382" t="str">
        <f>IF(B203="","",IF(ISNA(VLOOKUP($B203,'E-1 Off-Site Hedge Baseline'!$B$1:$L$257,3,FALSE)),"",(VLOOKUP($B203,'E-1 Off-Site Hedge Baseline'!$B$1:$L$257,3,FALSE))))</f>
        <v/>
      </c>
      <c r="D203" s="382" t="str">
        <f>IF(B203="","",IF(ISNA(VLOOKUP($B203,'E-1 Off-Site Hedge Baseline'!$B$1:$L$258,4,FALSE)),"",(VLOOKUP($B203,'E-1 Off-Site Hedge Baseline'!$B$1:$L$258,4,FALSE))))</f>
        <v/>
      </c>
      <c r="E203" s="382" t="str">
        <f>IF(B203="","",IF(ISNA(VLOOKUP($B203,'E-1 Off-Site Hedge Baseline'!$B$1:$L$257,5,FALSE)),"",(VLOOKUP($B203,'E-1 Off-Site Hedge Baseline'!$B$1:$L$257,5,FALSE))))</f>
        <v/>
      </c>
      <c r="F203" s="382" t="str">
        <f>IF(B203="","",IF(ISNA(VLOOKUP($B203,'E-1 Off-Site Hedge Baseline'!$B$1:$L$257,6,FALSE)),"",(VLOOKUP($B203,'E-1 Off-Site Hedge Baseline'!$B$1:$L$257,6,FALSE))))</f>
        <v/>
      </c>
      <c r="G203" s="382" t="str">
        <f>IF(B203="","",IF(ISNA(VLOOKUP($B203,'E-1 Off-Site Hedge Baseline'!$B$1:$L$257,7,FALSE)),"",(VLOOKUP($B203,'E-1 Off-Site Hedge Baseline'!$B$1:$L$257,7,FALSE))))</f>
        <v/>
      </c>
      <c r="H203" s="382" t="str">
        <f>IF(B203="","",IF(ISNA(VLOOKUP($B203,'E-1 Off-Site Hedge Baseline'!$B$1:$L$257,8,FALSE)),"",(VLOOKUP($B203,'E-1 Off-Site Hedge Baseline'!$B$1:$L$257,8,FALSE))))</f>
        <v/>
      </c>
      <c r="I203" s="382" t="str">
        <f>IF(B203="","",IF(ISNA(VLOOKUP($B203,'E-1 Off-Site Hedge Baseline'!$B$1:$L$257,10,FALSE)),"",(VLOOKUP($B203,'E-1 Off-Site Hedge Baseline'!$B$1:$L$257,10,FALSE))))</f>
        <v/>
      </c>
      <c r="J203" s="382" t="str">
        <f>IF(B203="","",IF(ISNA(VLOOKUP($B203,'E-1 Off-Site Hedge Baseline'!$B$1:$L$257,11,FALSE)),"",(VLOOKUP($B203,'E-1 Off-Site Hedge Baseline'!$B$1:$L$257,11,FALSE))))</f>
        <v/>
      </c>
      <c r="K203" s="382" t="str">
        <f>IF(B203="","",IF(ISNA(VLOOKUP($B203,'E-1 Off-Site Hedge Baseline'!$B$1:$X$257,113,FALSE)),"",(VLOOKUP($B203,'E-1 Off-Site Hedge Baseline'!$B$1:$X$257,13,FALSE))))</f>
        <v/>
      </c>
      <c r="L203" s="370" t="str">
        <f>IF(B203="","",IF(ISNA(VLOOKUP($B203,'E-1 Off-Site Hedge Baseline'!$B$1:$X$257,12,FALSE)),"",(VLOOKUP($B203,'E-1 Off-Site Hedge Baseline'!$B$1:$X$257,12,FALSE))))</f>
        <v/>
      </c>
      <c r="M203" s="316" t="str">
        <f t="shared" si="18"/>
        <v/>
      </c>
      <c r="N203" s="362" t="str">
        <f>IFERROR(IF(B203="","",INDEX('G-6 Hedgerow Data'!$AN$3:$AZ$15,MATCH(C203,'G-6 Hedgerow Data'!$AM$3:$AM$15,0),MATCH(M203,'G-6 Hedgerow Data'!$AN$2:$AZ$2,0))),"")</f>
        <v/>
      </c>
      <c r="O203" s="363" t="str">
        <f t="shared" si="20"/>
        <v/>
      </c>
      <c r="P203" s="368" t="str">
        <f>IF(B203="","",VLOOKUP(B203,'E-1 Off-Site Hedge Baseline'!$B$10:W448,19,FALSE))</f>
        <v/>
      </c>
      <c r="Q203" s="362" t="str">
        <f>IF(M203="","",VLOOKUP(M203,'G-6 Hedgerow Data'!$B$2:$AG$15,2,FALSE))</f>
        <v/>
      </c>
      <c r="R203" s="363" t="str">
        <f>IF(M203="","",VLOOKUP(M203,'G-6 Hedgerow Data'!$B$2:$AG$15,3,FALSE))</f>
        <v/>
      </c>
      <c r="S203" s="114"/>
      <c r="T203" s="363" t="str">
        <f>IFERROR(IF(AND(Q203="V.Low",OR(S203="Good",S203="Moderate")),"Error ▲",VLOOKUP(S203,'G-1 All Habitats'!$Z$2:$AA$9,2,FALSE)),"")</f>
        <v/>
      </c>
      <c r="U203" s="114"/>
      <c r="V203" s="370" t="str">
        <f>IF(U203="","",IF(VLOOKUP(U203,'G-3 Multipliers'!$L$3:$N$6,2,FALSE)=0,"Spatial Data Missing ⚠",VLOOKUP(U203,'G-3 Multipliers'!$L$3:$N$6,2,FALSE)))</f>
        <v/>
      </c>
      <c r="W203" s="368" t="str">
        <f>IF(U203="","",IF(VLOOKUP(U203,'G-3 Multipliers'!$L$3:$N$6,3,FALSE)=0,"Spatial Data Missing ⚠",VLOOKUP(U203,'G-3 Multipliers'!$L$3:$N$6,3,FALSE)))</f>
        <v/>
      </c>
      <c r="X203" s="362" t="str">
        <f>IFERROR(IF(OR(LEFT(O203,5)="Error",LEFT(N203,5)="Error",T203="Error"),"Check Data ⚠",IF(F203&lt;R203,INDEX('G-6 Hedgerow Data'!$S$3:$AE$14,MATCH(C203,'G-6 Hedgerow Data'!$B$3:$B$14,0),MATCH(M203,'G-6 Hedgerow Data'!$S$2:$AE$2,0)),INDEX('G-6 Hedgerow Data'!$K$3:$Q$14,MATCH(M203,'G-6 Hedgerow Data'!$B$3:$B$14,0),MATCH(O203,'G-6 Hedgerow Data'!$K$2:$Q$2,0)))),"")</f>
        <v/>
      </c>
      <c r="Y203" s="159"/>
      <c r="Z203" s="159"/>
      <c r="AA203" s="370" t="str">
        <f t="shared" si="21"/>
        <v/>
      </c>
      <c r="AB203" s="383" t="str">
        <f t="shared" si="22"/>
        <v/>
      </c>
      <c r="AC203" s="384" t="str">
        <f t="shared" si="19"/>
        <v/>
      </c>
      <c r="AD203" s="398" t="str">
        <f>IF(M203="","",VLOOKUP(M203,'G-6 Hedgerow Data'!$B$3:$AG$15,31,FALSE))</f>
        <v/>
      </c>
      <c r="AE203" s="382" t="str">
        <f t="shared" si="23"/>
        <v/>
      </c>
      <c r="AF203" s="382" t="str">
        <f t="shared" si="24"/>
        <v/>
      </c>
      <c r="AG203" s="386" t="str">
        <f>IFERROR(IF(O203="","",VLOOKUP(AD203,'G-3 Multipliers'!$P$3:$Q$6,2,FALSE)),"")</f>
        <v/>
      </c>
      <c r="AH203" s="160"/>
      <c r="AI203" s="363" t="str">
        <f>IF(AH203="","",IF(VLOOKUP(AH203,'G-3 Multipliers'!$S$3:$T$10,2,FALSE)=0,"Spatial Data Missing ⚠",VLOOKUP(AH203,'G-3 Multipliers'!$S$3:$T$10,2,FALSE)))</f>
        <v/>
      </c>
      <c r="AJ203" s="405" t="str">
        <f t="shared" si="25"/>
        <v/>
      </c>
      <c r="AK203" s="376" t="str">
        <f t="shared" si="26"/>
        <v/>
      </c>
      <c r="AL203" s="117"/>
      <c r="AM203" s="118"/>
      <c r="AN203" s="120"/>
      <c r="AO203" s="120"/>
      <c r="AQ203" s="30" t="str">
        <f>IFERROR(INDEX('G-6 Hedgerow Data'!$BJ$3:$BJ$15,MATCH(M203,'G-6 Hedgerow Data'!$B$3:$B$15,0)),"")</f>
        <v/>
      </c>
    </row>
    <row r="204" spans="2:43" ht="15">
      <c r="B204" s="392" t="str">
        <f>'E-1 Off-Site Hedge Baseline'!AN202</f>
        <v/>
      </c>
      <c r="C204" s="382" t="str">
        <f>IF(B204="","",IF(ISNA(VLOOKUP($B204,'E-1 Off-Site Hedge Baseline'!$B$1:$L$257,3,FALSE)),"",(VLOOKUP($B204,'E-1 Off-Site Hedge Baseline'!$B$1:$L$257,3,FALSE))))</f>
        <v/>
      </c>
      <c r="D204" s="382" t="str">
        <f>IF(B204="","",IF(ISNA(VLOOKUP($B204,'E-1 Off-Site Hedge Baseline'!$B$1:$L$258,4,FALSE)),"",(VLOOKUP($B204,'E-1 Off-Site Hedge Baseline'!$B$1:$L$258,4,FALSE))))</f>
        <v/>
      </c>
      <c r="E204" s="382" t="str">
        <f>IF(B204="","",IF(ISNA(VLOOKUP($B204,'E-1 Off-Site Hedge Baseline'!$B$1:$L$257,5,FALSE)),"",(VLOOKUP($B204,'E-1 Off-Site Hedge Baseline'!$B$1:$L$257,5,FALSE))))</f>
        <v/>
      </c>
      <c r="F204" s="382" t="str">
        <f>IF(B204="","",IF(ISNA(VLOOKUP($B204,'E-1 Off-Site Hedge Baseline'!$B$1:$L$257,6,FALSE)),"",(VLOOKUP($B204,'E-1 Off-Site Hedge Baseline'!$B$1:$L$257,6,FALSE))))</f>
        <v/>
      </c>
      <c r="G204" s="382" t="str">
        <f>IF(B204="","",IF(ISNA(VLOOKUP($B204,'E-1 Off-Site Hedge Baseline'!$B$1:$L$257,7,FALSE)),"",(VLOOKUP($B204,'E-1 Off-Site Hedge Baseline'!$B$1:$L$257,7,FALSE))))</f>
        <v/>
      </c>
      <c r="H204" s="382" t="str">
        <f>IF(B204="","",IF(ISNA(VLOOKUP($B204,'E-1 Off-Site Hedge Baseline'!$B$1:$L$257,8,FALSE)),"",(VLOOKUP($B204,'E-1 Off-Site Hedge Baseline'!$B$1:$L$257,8,FALSE))))</f>
        <v/>
      </c>
      <c r="I204" s="382" t="str">
        <f>IF(B204="","",IF(ISNA(VLOOKUP($B204,'E-1 Off-Site Hedge Baseline'!$B$1:$L$257,10,FALSE)),"",(VLOOKUP($B204,'E-1 Off-Site Hedge Baseline'!$B$1:$L$257,10,FALSE))))</f>
        <v/>
      </c>
      <c r="J204" s="382" t="str">
        <f>IF(B204="","",IF(ISNA(VLOOKUP($B204,'E-1 Off-Site Hedge Baseline'!$B$1:$L$257,11,FALSE)),"",(VLOOKUP($B204,'E-1 Off-Site Hedge Baseline'!$B$1:$L$257,11,FALSE))))</f>
        <v/>
      </c>
      <c r="K204" s="382" t="str">
        <f>IF(B204="","",IF(ISNA(VLOOKUP($B204,'E-1 Off-Site Hedge Baseline'!$B$1:$X$257,113,FALSE)),"",(VLOOKUP($B204,'E-1 Off-Site Hedge Baseline'!$B$1:$X$257,13,FALSE))))</f>
        <v/>
      </c>
      <c r="L204" s="370" t="str">
        <f>IF(B204="","",IF(ISNA(VLOOKUP($B204,'E-1 Off-Site Hedge Baseline'!$B$1:$X$257,12,FALSE)),"",(VLOOKUP($B204,'E-1 Off-Site Hedge Baseline'!$B$1:$X$257,12,FALSE))))</f>
        <v/>
      </c>
      <c r="M204" s="316" t="str">
        <f t="shared" ref="M204:M257" si="27">C204</f>
        <v/>
      </c>
      <c r="N204" s="362" t="str">
        <f>IFERROR(IF(B204="","",INDEX('G-6 Hedgerow Data'!$AN$3:$AZ$15,MATCH(C204,'G-6 Hedgerow Data'!$AM$3:$AM$15,0),MATCH(M204,'G-6 Hedgerow Data'!$AN$2:$AZ$2,0))),"")</f>
        <v/>
      </c>
      <c r="O204" s="363" t="str">
        <f t="shared" si="20"/>
        <v/>
      </c>
      <c r="P204" s="368" t="str">
        <f>IF(B204="","",VLOOKUP(B204,'E-1 Off-Site Hedge Baseline'!$B$10:W449,19,FALSE))</f>
        <v/>
      </c>
      <c r="Q204" s="362" t="str">
        <f>IF(M204="","",VLOOKUP(M204,'G-6 Hedgerow Data'!$B$2:$AG$15,2,FALSE))</f>
        <v/>
      </c>
      <c r="R204" s="363" t="str">
        <f>IF(M204="","",VLOOKUP(M204,'G-6 Hedgerow Data'!$B$2:$AG$15,3,FALSE))</f>
        <v/>
      </c>
      <c r="S204" s="114"/>
      <c r="T204" s="363" t="str">
        <f>IFERROR(IF(AND(Q204="V.Low",OR(S204="Good",S204="Moderate")),"Error ▲",VLOOKUP(S204,'G-1 All Habitats'!$Z$2:$AA$9,2,FALSE)),"")</f>
        <v/>
      </c>
      <c r="U204" s="114"/>
      <c r="V204" s="370" t="str">
        <f>IF(U204="","",IF(VLOOKUP(U204,'G-3 Multipliers'!$L$3:$N$6,2,FALSE)=0,"Spatial Data Missing ⚠",VLOOKUP(U204,'G-3 Multipliers'!$L$3:$N$6,2,FALSE)))</f>
        <v/>
      </c>
      <c r="W204" s="368" t="str">
        <f>IF(U204="","",IF(VLOOKUP(U204,'G-3 Multipliers'!$L$3:$N$6,3,FALSE)=0,"Spatial Data Missing ⚠",VLOOKUP(U204,'G-3 Multipliers'!$L$3:$N$6,3,FALSE)))</f>
        <v/>
      </c>
      <c r="X204" s="362" t="str">
        <f>IFERROR(IF(OR(LEFT(O204,5)="Error",LEFT(N204,5)="Error",T204="Error"),"Check Data ⚠",IF(F204&lt;R204,INDEX('G-6 Hedgerow Data'!$S$3:$AE$14,MATCH(C204,'G-6 Hedgerow Data'!$B$3:$B$14,0),MATCH(M204,'G-6 Hedgerow Data'!$S$2:$AE$2,0)),INDEX('G-6 Hedgerow Data'!$K$3:$Q$14,MATCH(M204,'G-6 Hedgerow Data'!$B$3:$B$14,0),MATCH(O204,'G-6 Hedgerow Data'!$K$2:$Q$2,0)))),"")</f>
        <v/>
      </c>
      <c r="Y204" s="159"/>
      <c r="Z204" s="159"/>
      <c r="AA204" s="370" t="str">
        <f t="shared" si="21"/>
        <v/>
      </c>
      <c r="AB204" s="383" t="str">
        <f t="shared" si="22"/>
        <v/>
      </c>
      <c r="AC204" s="384" t="str">
        <f t="shared" ref="AC204:AC257" si="28">IF(OR(S204="",M204=""),"",IF(LEFT(AB204,5)="Error ▲","Check Data ⚠",IF(AB204="Check Data ⚠","Check Data ⚠",VLOOKUP(AB204,TemporalMultipliers,3,FALSE))))</f>
        <v/>
      </c>
      <c r="AD204" s="398" t="str">
        <f>IF(M204="","",VLOOKUP(M204,'G-6 Hedgerow Data'!$B$3:$AG$15,31,FALSE))</f>
        <v/>
      </c>
      <c r="AE204" s="382" t="str">
        <f t="shared" si="23"/>
        <v/>
      </c>
      <c r="AF204" s="382" t="str">
        <f t="shared" si="24"/>
        <v/>
      </c>
      <c r="AG204" s="386" t="str">
        <f>IFERROR(IF(O204="","",VLOOKUP(AD204,'G-3 Multipliers'!$P$3:$Q$6,2,FALSE)),"")</f>
        <v/>
      </c>
      <c r="AH204" s="160"/>
      <c r="AI204" s="363" t="str">
        <f>IF(AH204="","",IF(VLOOKUP(AH204,'G-3 Multipliers'!$S$3:$T$10,2,FALSE)=0,"Spatial Data Missing ⚠",VLOOKUP(AH204,'G-3 Multipliers'!$S$3:$T$10,2,FALSE)))</f>
        <v/>
      </c>
      <c r="AJ204" s="405" t="str">
        <f t="shared" si="25"/>
        <v/>
      </c>
      <c r="AK204" s="376" t="str">
        <f t="shared" si="26"/>
        <v/>
      </c>
      <c r="AL204" s="117"/>
      <c r="AM204" s="118"/>
      <c r="AN204" s="120"/>
      <c r="AO204" s="120"/>
      <c r="AQ204" s="30" t="str">
        <f>IFERROR(INDEX('G-6 Hedgerow Data'!$BJ$3:$BJ$15,MATCH(M204,'G-6 Hedgerow Data'!$B$3:$B$15,0)),"")</f>
        <v/>
      </c>
    </row>
    <row r="205" spans="2:43" ht="15">
      <c r="B205" s="392" t="str">
        <f>'E-1 Off-Site Hedge Baseline'!AN203</f>
        <v/>
      </c>
      <c r="C205" s="382" t="str">
        <f>IF(B205="","",IF(ISNA(VLOOKUP($B205,'E-1 Off-Site Hedge Baseline'!$B$1:$L$257,3,FALSE)),"",(VLOOKUP($B205,'E-1 Off-Site Hedge Baseline'!$B$1:$L$257,3,FALSE))))</f>
        <v/>
      </c>
      <c r="D205" s="382" t="str">
        <f>IF(B205="","",IF(ISNA(VLOOKUP($B205,'E-1 Off-Site Hedge Baseline'!$B$1:$L$258,4,FALSE)),"",(VLOOKUP($B205,'E-1 Off-Site Hedge Baseline'!$B$1:$L$258,4,FALSE))))</f>
        <v/>
      </c>
      <c r="E205" s="382" t="str">
        <f>IF(B205="","",IF(ISNA(VLOOKUP($B205,'E-1 Off-Site Hedge Baseline'!$B$1:$L$257,5,FALSE)),"",(VLOOKUP($B205,'E-1 Off-Site Hedge Baseline'!$B$1:$L$257,5,FALSE))))</f>
        <v/>
      </c>
      <c r="F205" s="382" t="str">
        <f>IF(B205="","",IF(ISNA(VLOOKUP($B205,'E-1 Off-Site Hedge Baseline'!$B$1:$L$257,6,FALSE)),"",(VLOOKUP($B205,'E-1 Off-Site Hedge Baseline'!$B$1:$L$257,6,FALSE))))</f>
        <v/>
      </c>
      <c r="G205" s="382" t="str">
        <f>IF(B205="","",IF(ISNA(VLOOKUP($B205,'E-1 Off-Site Hedge Baseline'!$B$1:$L$257,7,FALSE)),"",(VLOOKUP($B205,'E-1 Off-Site Hedge Baseline'!$B$1:$L$257,7,FALSE))))</f>
        <v/>
      </c>
      <c r="H205" s="382" t="str">
        <f>IF(B205="","",IF(ISNA(VLOOKUP($B205,'E-1 Off-Site Hedge Baseline'!$B$1:$L$257,8,FALSE)),"",(VLOOKUP($B205,'E-1 Off-Site Hedge Baseline'!$B$1:$L$257,8,FALSE))))</f>
        <v/>
      </c>
      <c r="I205" s="382" t="str">
        <f>IF(B205="","",IF(ISNA(VLOOKUP($B205,'E-1 Off-Site Hedge Baseline'!$B$1:$L$257,10,FALSE)),"",(VLOOKUP($B205,'E-1 Off-Site Hedge Baseline'!$B$1:$L$257,10,FALSE))))</f>
        <v/>
      </c>
      <c r="J205" s="382" t="str">
        <f>IF(B205="","",IF(ISNA(VLOOKUP($B205,'E-1 Off-Site Hedge Baseline'!$B$1:$L$257,11,FALSE)),"",(VLOOKUP($B205,'E-1 Off-Site Hedge Baseline'!$B$1:$L$257,11,FALSE))))</f>
        <v/>
      </c>
      <c r="K205" s="382" t="str">
        <f>IF(B205="","",IF(ISNA(VLOOKUP($B205,'E-1 Off-Site Hedge Baseline'!$B$1:$X$257,113,FALSE)),"",(VLOOKUP($B205,'E-1 Off-Site Hedge Baseline'!$B$1:$X$257,13,FALSE))))</f>
        <v/>
      </c>
      <c r="L205" s="370" t="str">
        <f>IF(B205="","",IF(ISNA(VLOOKUP($B205,'E-1 Off-Site Hedge Baseline'!$B$1:$X$257,12,FALSE)),"",(VLOOKUP($B205,'E-1 Off-Site Hedge Baseline'!$B$1:$X$257,12,FALSE))))</f>
        <v/>
      </c>
      <c r="M205" s="316" t="str">
        <f t="shared" si="27"/>
        <v/>
      </c>
      <c r="N205" s="362" t="str">
        <f>IFERROR(IF(B205="","",INDEX('G-6 Hedgerow Data'!$AN$3:$AZ$15,MATCH(C205,'G-6 Hedgerow Data'!$AM$3:$AM$15,0),MATCH(M205,'G-6 Hedgerow Data'!$AN$2:$AZ$2,0))),"")</f>
        <v/>
      </c>
      <c r="O205" s="363" t="str">
        <f t="shared" ref="O205:O257" si="29">IFERROR(IF(B205="","",IF(AND(LEFT(C205,55)&lt;&gt;LEFT(M205,55),N205="High - High"),"Error - Not like for like ▲",IF(AND(LEFT(C205,55)&lt;&gt;LEFT(M205,55),N205="Medium - Medium"),"Error - Not like for like ▲",IF(H205&gt;T205,"Error - Can not reduce condition ▲",IF(AND(F205=R205,H205=T205),"Error - No enhancement ▲",IF(AND(C205&lt;&gt;M205,F205&lt;R205),"Lower Distinctiveness Habitat"&amp;" - "&amp;S205,G205&amp;" - "&amp;S205)))))),"")</f>
        <v/>
      </c>
      <c r="P205" s="368" t="str">
        <f>IF(B205="","",VLOOKUP(B205,'E-1 Off-Site Hedge Baseline'!$B$10:W450,19,FALSE))</f>
        <v/>
      </c>
      <c r="Q205" s="362" t="str">
        <f>IF(M205="","",VLOOKUP(M205,'G-6 Hedgerow Data'!$B$2:$AG$15,2,FALSE))</f>
        <v/>
      </c>
      <c r="R205" s="363" t="str">
        <f>IF(M205="","",VLOOKUP(M205,'G-6 Hedgerow Data'!$B$2:$AG$15,3,FALSE))</f>
        <v/>
      </c>
      <c r="S205" s="114"/>
      <c r="T205" s="363" t="str">
        <f>IFERROR(IF(AND(Q205="V.Low",OR(S205="Good",S205="Moderate")),"Error ▲",VLOOKUP(S205,'G-1 All Habitats'!$Z$2:$AA$9,2,FALSE)),"")</f>
        <v/>
      </c>
      <c r="U205" s="114"/>
      <c r="V205" s="370" t="str">
        <f>IF(U205="","",IF(VLOOKUP(U205,'G-3 Multipliers'!$L$3:$N$6,2,FALSE)=0,"Spatial Data Missing ⚠",VLOOKUP(U205,'G-3 Multipliers'!$L$3:$N$6,2,FALSE)))</f>
        <v/>
      </c>
      <c r="W205" s="368" t="str">
        <f>IF(U205="","",IF(VLOOKUP(U205,'G-3 Multipliers'!$L$3:$N$6,3,FALSE)=0,"Spatial Data Missing ⚠",VLOOKUP(U205,'G-3 Multipliers'!$L$3:$N$6,3,FALSE)))</f>
        <v/>
      </c>
      <c r="X205" s="362" t="str">
        <f>IFERROR(IF(OR(LEFT(O205,5)="Error",LEFT(N205,5)="Error",T205="Error"),"Check Data ⚠",IF(F205&lt;R205,INDEX('G-6 Hedgerow Data'!$S$3:$AE$14,MATCH(C205,'G-6 Hedgerow Data'!$B$3:$B$14,0),MATCH(M205,'G-6 Hedgerow Data'!$S$2:$AE$2,0)),INDEX('G-6 Hedgerow Data'!$K$3:$Q$14,MATCH(M205,'G-6 Hedgerow Data'!$B$3:$B$14,0),MATCH(O205,'G-6 Hedgerow Data'!$K$2:$Q$2,0)))),"")</f>
        <v/>
      </c>
      <c r="Y205" s="159"/>
      <c r="Z205" s="159"/>
      <c r="AA205" s="370" t="str">
        <f t="shared" ref="AA205:AA257" si="30">IF(X205="Check Data ⚠","Check Data ⚠",IF(M205="","",IF(AND(Y205&gt;0,Z205&gt;0),"Error -both advance and delayed habitat creation ▲",IF(AND(OR(Y205="Habitat already in target condition",X205&lt;=Y205),Z205=0),"Check details - Is there evidence that habitat has reached target condition? ⚠",IF(X205="","",IF(Y205&gt;0,"Check details - Is there evidence habitat creation started/in place? ⚠",IF(Z205&gt;0,"Check details- Delay in starting habitat in required condition? ⚠","Standard time to target condition applied")))))))</f>
        <v/>
      </c>
      <c r="AB205" s="383" t="str">
        <f t="shared" ref="AB205:AB257" si="31">IF(X205="","",IF(AA205="Check Data ⚠","Check Data ⚠",IF(Y205="30+",0,IF(Z205="30+","30+",IF(X205+Z205&gt;30,"30+",IF(AA205="Error -both advance and delayed habitat creation ▲","Check Data ⚠",IF(X205+Z205-Y205&gt;0,X205+Z205-Y205,IF(X205-Y205&lt;=0,0,))))))))</f>
        <v/>
      </c>
      <c r="AC205" s="384" t="str">
        <f t="shared" si="28"/>
        <v/>
      </c>
      <c r="AD205" s="398" t="str">
        <f>IF(M205="","",VLOOKUP(M205,'G-6 Hedgerow Data'!$B$3:$AG$15,31,FALSE))</f>
        <v/>
      </c>
      <c r="AE205" s="382" t="str">
        <f t="shared" ref="AE205:AE257" si="32">IF(M205="","",IF(OR(LEFT(AA205,5)="Error ▲",AA205="Check Data ⚠"),"Check Data ⚠",IF(X205="","",IF($AA205="Check details - Is there evidence that habitat has reached target condition? ⚠","Low Difficulty - only applicable if all habitat created before losses ⚠","Standard difficulty applied"))))</f>
        <v/>
      </c>
      <c r="AF205" s="382" t="str">
        <f t="shared" ref="AF205:AF257" si="33">(IF(AND(AE205="Yes",X205&gt;Y205),AD205,IF(AND(AE205="Low Difficulty - only applicable if all habitat created before losses ⚠",Y205&gt;=X205),"Low",AD205)))</f>
        <v/>
      </c>
      <c r="AG205" s="386" t="str">
        <f>IFERROR(IF(O205="","",VLOOKUP(AD205,'G-3 Multipliers'!$P$3:$Q$6,2,FALSE)),"")</f>
        <v/>
      </c>
      <c r="AH205" s="160"/>
      <c r="AI205" s="363" t="str">
        <f>IF(AH205="","",IF(VLOOKUP(AH205,'G-3 Multipliers'!$S$3:$T$10,2,FALSE)=0,"Spatial Data Missing ⚠",VLOOKUP(AH205,'G-3 Multipliers'!$S$3:$T$10,2,FALSE)))</f>
        <v/>
      </c>
      <c r="AJ205" s="405" t="str">
        <f t="shared" ref="AJ205:AJ257" si="34">IFERROR(IF(OR(M205="",S205="",U205="",AH205=""),"",(((((P205*R205*T205)-(P205*F205*H205))*(AG205*AC205))+(P205*F205*H205))*(W205)*AI205)),"")</f>
        <v/>
      </c>
      <c r="AK205" s="376" t="str">
        <f t="shared" ref="AK205:AK257" si="35">IFERROR(IF(OR(M205="",S205="",U205="",AH205=""),"", IF(AH205="","",(((((P205*R205*T205)-(P205*F205*H205))*(AG205*AC205))+(P205*F205*H205))*(W205)))),"")</f>
        <v/>
      </c>
      <c r="AL205" s="117"/>
      <c r="AM205" s="118"/>
      <c r="AN205" s="120"/>
      <c r="AO205" s="120"/>
      <c r="AQ205" s="30" t="str">
        <f>IFERROR(INDEX('G-6 Hedgerow Data'!$BJ$3:$BJ$15,MATCH(M205,'G-6 Hedgerow Data'!$B$3:$B$15,0)),"")</f>
        <v/>
      </c>
    </row>
    <row r="206" spans="2:43" ht="15">
      <c r="B206" s="392" t="str">
        <f>'E-1 Off-Site Hedge Baseline'!AN204</f>
        <v/>
      </c>
      <c r="C206" s="382" t="str">
        <f>IF(B206="","",IF(ISNA(VLOOKUP($B206,'E-1 Off-Site Hedge Baseline'!$B$1:$L$257,3,FALSE)),"",(VLOOKUP($B206,'E-1 Off-Site Hedge Baseline'!$B$1:$L$257,3,FALSE))))</f>
        <v/>
      </c>
      <c r="D206" s="382" t="str">
        <f>IF(B206="","",IF(ISNA(VLOOKUP($B206,'E-1 Off-Site Hedge Baseline'!$B$1:$L$258,4,FALSE)),"",(VLOOKUP($B206,'E-1 Off-Site Hedge Baseline'!$B$1:$L$258,4,FALSE))))</f>
        <v/>
      </c>
      <c r="E206" s="382" t="str">
        <f>IF(B206="","",IF(ISNA(VLOOKUP($B206,'E-1 Off-Site Hedge Baseline'!$B$1:$L$257,5,FALSE)),"",(VLOOKUP($B206,'E-1 Off-Site Hedge Baseline'!$B$1:$L$257,5,FALSE))))</f>
        <v/>
      </c>
      <c r="F206" s="382" t="str">
        <f>IF(B206="","",IF(ISNA(VLOOKUP($B206,'E-1 Off-Site Hedge Baseline'!$B$1:$L$257,6,FALSE)),"",(VLOOKUP($B206,'E-1 Off-Site Hedge Baseline'!$B$1:$L$257,6,FALSE))))</f>
        <v/>
      </c>
      <c r="G206" s="382" t="str">
        <f>IF(B206="","",IF(ISNA(VLOOKUP($B206,'E-1 Off-Site Hedge Baseline'!$B$1:$L$257,7,FALSE)),"",(VLOOKUP($B206,'E-1 Off-Site Hedge Baseline'!$B$1:$L$257,7,FALSE))))</f>
        <v/>
      </c>
      <c r="H206" s="382" t="str">
        <f>IF(B206="","",IF(ISNA(VLOOKUP($B206,'E-1 Off-Site Hedge Baseline'!$B$1:$L$257,8,FALSE)),"",(VLOOKUP($B206,'E-1 Off-Site Hedge Baseline'!$B$1:$L$257,8,FALSE))))</f>
        <v/>
      </c>
      <c r="I206" s="382" t="str">
        <f>IF(B206="","",IF(ISNA(VLOOKUP($B206,'E-1 Off-Site Hedge Baseline'!$B$1:$L$257,10,FALSE)),"",(VLOOKUP($B206,'E-1 Off-Site Hedge Baseline'!$B$1:$L$257,10,FALSE))))</f>
        <v/>
      </c>
      <c r="J206" s="382" t="str">
        <f>IF(B206="","",IF(ISNA(VLOOKUP($B206,'E-1 Off-Site Hedge Baseline'!$B$1:$L$257,11,FALSE)),"",(VLOOKUP($B206,'E-1 Off-Site Hedge Baseline'!$B$1:$L$257,11,FALSE))))</f>
        <v/>
      </c>
      <c r="K206" s="382" t="str">
        <f>IF(B206="","",IF(ISNA(VLOOKUP($B206,'E-1 Off-Site Hedge Baseline'!$B$1:$X$257,113,FALSE)),"",(VLOOKUP($B206,'E-1 Off-Site Hedge Baseline'!$B$1:$X$257,13,FALSE))))</f>
        <v/>
      </c>
      <c r="L206" s="370" t="str">
        <f>IF(B206="","",IF(ISNA(VLOOKUP($B206,'E-1 Off-Site Hedge Baseline'!$B$1:$X$257,12,FALSE)),"",(VLOOKUP($B206,'E-1 Off-Site Hedge Baseline'!$B$1:$X$257,12,FALSE))))</f>
        <v/>
      </c>
      <c r="M206" s="316" t="str">
        <f t="shared" si="27"/>
        <v/>
      </c>
      <c r="N206" s="362" t="str">
        <f>IFERROR(IF(B206="","",INDEX('G-6 Hedgerow Data'!$AN$3:$AZ$15,MATCH(C206,'G-6 Hedgerow Data'!$AM$3:$AM$15,0),MATCH(M206,'G-6 Hedgerow Data'!$AN$2:$AZ$2,0))),"")</f>
        <v/>
      </c>
      <c r="O206" s="363" t="str">
        <f t="shared" si="29"/>
        <v/>
      </c>
      <c r="P206" s="368" t="str">
        <f>IF(B206="","",VLOOKUP(B206,'E-1 Off-Site Hedge Baseline'!$B$10:W451,19,FALSE))</f>
        <v/>
      </c>
      <c r="Q206" s="362" t="str">
        <f>IF(M206="","",VLOOKUP(M206,'G-6 Hedgerow Data'!$B$2:$AG$15,2,FALSE))</f>
        <v/>
      </c>
      <c r="R206" s="363" t="str">
        <f>IF(M206="","",VLOOKUP(M206,'G-6 Hedgerow Data'!$B$2:$AG$15,3,FALSE))</f>
        <v/>
      </c>
      <c r="S206" s="114"/>
      <c r="T206" s="363" t="str">
        <f>IFERROR(IF(AND(Q206="V.Low",OR(S206="Good",S206="Moderate")),"Error ▲",VLOOKUP(S206,'G-1 All Habitats'!$Z$2:$AA$9,2,FALSE)),"")</f>
        <v/>
      </c>
      <c r="U206" s="114"/>
      <c r="V206" s="370" t="str">
        <f>IF(U206="","",IF(VLOOKUP(U206,'G-3 Multipliers'!$L$3:$N$6,2,FALSE)=0,"Spatial Data Missing ⚠",VLOOKUP(U206,'G-3 Multipliers'!$L$3:$N$6,2,FALSE)))</f>
        <v/>
      </c>
      <c r="W206" s="368" t="str">
        <f>IF(U206="","",IF(VLOOKUP(U206,'G-3 Multipliers'!$L$3:$N$6,3,FALSE)=0,"Spatial Data Missing ⚠",VLOOKUP(U206,'G-3 Multipliers'!$L$3:$N$6,3,FALSE)))</f>
        <v/>
      </c>
      <c r="X206" s="362" t="str">
        <f>IFERROR(IF(OR(LEFT(O206,5)="Error",LEFT(N206,5)="Error",T206="Error"),"Check Data ⚠",IF(F206&lt;R206,INDEX('G-6 Hedgerow Data'!$S$3:$AE$14,MATCH(C206,'G-6 Hedgerow Data'!$B$3:$B$14,0),MATCH(M206,'G-6 Hedgerow Data'!$S$2:$AE$2,0)),INDEX('G-6 Hedgerow Data'!$K$3:$Q$14,MATCH(M206,'G-6 Hedgerow Data'!$B$3:$B$14,0),MATCH(O206,'G-6 Hedgerow Data'!$K$2:$Q$2,0)))),"")</f>
        <v/>
      </c>
      <c r="Y206" s="159"/>
      <c r="Z206" s="159"/>
      <c r="AA206" s="370" t="str">
        <f t="shared" si="30"/>
        <v/>
      </c>
      <c r="AB206" s="383" t="str">
        <f t="shared" si="31"/>
        <v/>
      </c>
      <c r="AC206" s="384" t="str">
        <f t="shared" si="28"/>
        <v/>
      </c>
      <c r="AD206" s="398" t="str">
        <f>IF(M206="","",VLOOKUP(M206,'G-6 Hedgerow Data'!$B$3:$AG$15,31,FALSE))</f>
        <v/>
      </c>
      <c r="AE206" s="382" t="str">
        <f t="shared" si="32"/>
        <v/>
      </c>
      <c r="AF206" s="382" t="str">
        <f t="shared" si="33"/>
        <v/>
      </c>
      <c r="AG206" s="386" t="str">
        <f>IFERROR(IF(O206="","",VLOOKUP(AD206,'G-3 Multipliers'!$P$3:$Q$6,2,FALSE)),"")</f>
        <v/>
      </c>
      <c r="AH206" s="160"/>
      <c r="AI206" s="363" t="str">
        <f>IF(AH206="","",IF(VLOOKUP(AH206,'G-3 Multipliers'!$S$3:$T$10,2,FALSE)=0,"Spatial Data Missing ⚠",VLOOKUP(AH206,'G-3 Multipliers'!$S$3:$T$10,2,FALSE)))</f>
        <v/>
      </c>
      <c r="AJ206" s="405" t="str">
        <f t="shared" si="34"/>
        <v/>
      </c>
      <c r="AK206" s="376" t="str">
        <f t="shared" si="35"/>
        <v/>
      </c>
      <c r="AL206" s="117"/>
      <c r="AM206" s="118"/>
      <c r="AN206" s="120"/>
      <c r="AO206" s="120"/>
      <c r="AQ206" s="30" t="str">
        <f>IFERROR(INDEX('G-6 Hedgerow Data'!$BJ$3:$BJ$15,MATCH(M206,'G-6 Hedgerow Data'!$B$3:$B$15,0)),"")</f>
        <v/>
      </c>
    </row>
    <row r="207" spans="2:43" ht="15">
      <c r="B207" s="392" t="str">
        <f>'E-1 Off-Site Hedge Baseline'!AN205</f>
        <v/>
      </c>
      <c r="C207" s="382" t="str">
        <f>IF(B207="","",IF(ISNA(VLOOKUP($B207,'E-1 Off-Site Hedge Baseline'!$B$1:$L$257,3,FALSE)),"",(VLOOKUP($B207,'E-1 Off-Site Hedge Baseline'!$B$1:$L$257,3,FALSE))))</f>
        <v/>
      </c>
      <c r="D207" s="382" t="str">
        <f>IF(B207="","",IF(ISNA(VLOOKUP($B207,'E-1 Off-Site Hedge Baseline'!$B$1:$L$258,4,FALSE)),"",(VLOOKUP($B207,'E-1 Off-Site Hedge Baseline'!$B$1:$L$258,4,FALSE))))</f>
        <v/>
      </c>
      <c r="E207" s="382" t="str">
        <f>IF(B207="","",IF(ISNA(VLOOKUP($B207,'E-1 Off-Site Hedge Baseline'!$B$1:$L$257,5,FALSE)),"",(VLOOKUP($B207,'E-1 Off-Site Hedge Baseline'!$B$1:$L$257,5,FALSE))))</f>
        <v/>
      </c>
      <c r="F207" s="382" t="str">
        <f>IF(B207="","",IF(ISNA(VLOOKUP($B207,'E-1 Off-Site Hedge Baseline'!$B$1:$L$257,6,FALSE)),"",(VLOOKUP($B207,'E-1 Off-Site Hedge Baseline'!$B$1:$L$257,6,FALSE))))</f>
        <v/>
      </c>
      <c r="G207" s="382" t="str">
        <f>IF(B207="","",IF(ISNA(VLOOKUP($B207,'E-1 Off-Site Hedge Baseline'!$B$1:$L$257,7,FALSE)),"",(VLOOKUP($B207,'E-1 Off-Site Hedge Baseline'!$B$1:$L$257,7,FALSE))))</f>
        <v/>
      </c>
      <c r="H207" s="382" t="str">
        <f>IF(B207="","",IF(ISNA(VLOOKUP($B207,'E-1 Off-Site Hedge Baseline'!$B$1:$L$257,8,FALSE)),"",(VLOOKUP($B207,'E-1 Off-Site Hedge Baseline'!$B$1:$L$257,8,FALSE))))</f>
        <v/>
      </c>
      <c r="I207" s="382" t="str">
        <f>IF(B207="","",IF(ISNA(VLOOKUP($B207,'E-1 Off-Site Hedge Baseline'!$B$1:$L$257,10,FALSE)),"",(VLOOKUP($B207,'E-1 Off-Site Hedge Baseline'!$B$1:$L$257,10,FALSE))))</f>
        <v/>
      </c>
      <c r="J207" s="382" t="str">
        <f>IF(B207="","",IF(ISNA(VLOOKUP($B207,'E-1 Off-Site Hedge Baseline'!$B$1:$L$257,11,FALSE)),"",(VLOOKUP($B207,'E-1 Off-Site Hedge Baseline'!$B$1:$L$257,11,FALSE))))</f>
        <v/>
      </c>
      <c r="K207" s="382" t="str">
        <f>IF(B207="","",IF(ISNA(VLOOKUP($B207,'E-1 Off-Site Hedge Baseline'!$B$1:$X$257,113,FALSE)),"",(VLOOKUP($B207,'E-1 Off-Site Hedge Baseline'!$B$1:$X$257,13,FALSE))))</f>
        <v/>
      </c>
      <c r="L207" s="370" t="str">
        <f>IF(B207="","",IF(ISNA(VLOOKUP($B207,'E-1 Off-Site Hedge Baseline'!$B$1:$X$257,12,FALSE)),"",(VLOOKUP($B207,'E-1 Off-Site Hedge Baseline'!$B$1:$X$257,12,FALSE))))</f>
        <v/>
      </c>
      <c r="M207" s="316" t="str">
        <f t="shared" si="27"/>
        <v/>
      </c>
      <c r="N207" s="362" t="str">
        <f>IFERROR(IF(B207="","",INDEX('G-6 Hedgerow Data'!$AN$3:$AZ$15,MATCH(C207,'G-6 Hedgerow Data'!$AM$3:$AM$15,0),MATCH(M207,'G-6 Hedgerow Data'!$AN$2:$AZ$2,0))),"")</f>
        <v/>
      </c>
      <c r="O207" s="363" t="str">
        <f t="shared" si="29"/>
        <v/>
      </c>
      <c r="P207" s="368" t="str">
        <f>IF(B207="","",VLOOKUP(B207,'E-1 Off-Site Hedge Baseline'!$B$10:W452,19,FALSE))</f>
        <v/>
      </c>
      <c r="Q207" s="362" t="str">
        <f>IF(M207="","",VLOOKUP(M207,'G-6 Hedgerow Data'!$B$2:$AG$15,2,FALSE))</f>
        <v/>
      </c>
      <c r="R207" s="363" t="str">
        <f>IF(M207="","",VLOOKUP(M207,'G-6 Hedgerow Data'!$B$2:$AG$15,3,FALSE))</f>
        <v/>
      </c>
      <c r="S207" s="114"/>
      <c r="T207" s="363" t="str">
        <f>IFERROR(IF(AND(Q207="V.Low",OR(S207="Good",S207="Moderate")),"Error ▲",VLOOKUP(S207,'G-1 All Habitats'!$Z$2:$AA$9,2,FALSE)),"")</f>
        <v/>
      </c>
      <c r="U207" s="114"/>
      <c r="V207" s="370" t="str">
        <f>IF(U207="","",IF(VLOOKUP(U207,'G-3 Multipliers'!$L$3:$N$6,2,FALSE)=0,"Spatial Data Missing ⚠",VLOOKUP(U207,'G-3 Multipliers'!$L$3:$N$6,2,FALSE)))</f>
        <v/>
      </c>
      <c r="W207" s="368" t="str">
        <f>IF(U207="","",IF(VLOOKUP(U207,'G-3 Multipliers'!$L$3:$N$6,3,FALSE)=0,"Spatial Data Missing ⚠",VLOOKUP(U207,'G-3 Multipliers'!$L$3:$N$6,3,FALSE)))</f>
        <v/>
      </c>
      <c r="X207" s="362" t="str">
        <f>IFERROR(IF(OR(LEFT(O207,5)="Error",LEFT(N207,5)="Error",T207="Error"),"Check Data ⚠",IF(F207&lt;R207,INDEX('G-6 Hedgerow Data'!$S$3:$AE$14,MATCH(C207,'G-6 Hedgerow Data'!$B$3:$B$14,0),MATCH(M207,'G-6 Hedgerow Data'!$S$2:$AE$2,0)),INDEX('G-6 Hedgerow Data'!$K$3:$Q$14,MATCH(M207,'G-6 Hedgerow Data'!$B$3:$B$14,0),MATCH(O207,'G-6 Hedgerow Data'!$K$2:$Q$2,0)))),"")</f>
        <v/>
      </c>
      <c r="Y207" s="159"/>
      <c r="Z207" s="159"/>
      <c r="AA207" s="370" t="str">
        <f t="shared" si="30"/>
        <v/>
      </c>
      <c r="AB207" s="383" t="str">
        <f t="shared" si="31"/>
        <v/>
      </c>
      <c r="AC207" s="384" t="str">
        <f t="shared" si="28"/>
        <v/>
      </c>
      <c r="AD207" s="398" t="str">
        <f>IF(M207="","",VLOOKUP(M207,'G-6 Hedgerow Data'!$B$3:$AG$15,31,FALSE))</f>
        <v/>
      </c>
      <c r="AE207" s="382" t="str">
        <f t="shared" si="32"/>
        <v/>
      </c>
      <c r="AF207" s="382" t="str">
        <f t="shared" si="33"/>
        <v/>
      </c>
      <c r="AG207" s="386" t="str">
        <f>IFERROR(IF(O207="","",VLOOKUP(AD207,'G-3 Multipliers'!$P$3:$Q$6,2,FALSE)),"")</f>
        <v/>
      </c>
      <c r="AH207" s="160"/>
      <c r="AI207" s="363" t="str">
        <f>IF(AH207="","",IF(VLOOKUP(AH207,'G-3 Multipliers'!$S$3:$T$10,2,FALSE)=0,"Spatial Data Missing ⚠",VLOOKUP(AH207,'G-3 Multipliers'!$S$3:$T$10,2,FALSE)))</f>
        <v/>
      </c>
      <c r="AJ207" s="405" t="str">
        <f t="shared" si="34"/>
        <v/>
      </c>
      <c r="AK207" s="376" t="str">
        <f t="shared" si="35"/>
        <v/>
      </c>
      <c r="AL207" s="117"/>
      <c r="AM207" s="118"/>
      <c r="AN207" s="120"/>
      <c r="AO207" s="120"/>
      <c r="AQ207" s="30" t="str">
        <f>IFERROR(INDEX('G-6 Hedgerow Data'!$BJ$3:$BJ$15,MATCH(M207,'G-6 Hedgerow Data'!$B$3:$B$15,0)),"")</f>
        <v/>
      </c>
    </row>
    <row r="208" spans="2:43" ht="15">
      <c r="B208" s="392" t="str">
        <f>'E-1 Off-Site Hedge Baseline'!AN206</f>
        <v/>
      </c>
      <c r="C208" s="382" t="str">
        <f>IF(B208="","",IF(ISNA(VLOOKUP($B208,'E-1 Off-Site Hedge Baseline'!$B$1:$L$257,3,FALSE)),"",(VLOOKUP($B208,'E-1 Off-Site Hedge Baseline'!$B$1:$L$257,3,FALSE))))</f>
        <v/>
      </c>
      <c r="D208" s="382" t="str">
        <f>IF(B208="","",IF(ISNA(VLOOKUP($B208,'E-1 Off-Site Hedge Baseline'!$B$1:$L$258,4,FALSE)),"",(VLOOKUP($B208,'E-1 Off-Site Hedge Baseline'!$B$1:$L$258,4,FALSE))))</f>
        <v/>
      </c>
      <c r="E208" s="382" t="str">
        <f>IF(B208="","",IF(ISNA(VLOOKUP($B208,'E-1 Off-Site Hedge Baseline'!$B$1:$L$257,5,FALSE)),"",(VLOOKUP($B208,'E-1 Off-Site Hedge Baseline'!$B$1:$L$257,5,FALSE))))</f>
        <v/>
      </c>
      <c r="F208" s="382" t="str">
        <f>IF(B208="","",IF(ISNA(VLOOKUP($B208,'E-1 Off-Site Hedge Baseline'!$B$1:$L$257,6,FALSE)),"",(VLOOKUP($B208,'E-1 Off-Site Hedge Baseline'!$B$1:$L$257,6,FALSE))))</f>
        <v/>
      </c>
      <c r="G208" s="382" t="str">
        <f>IF(B208="","",IF(ISNA(VLOOKUP($B208,'E-1 Off-Site Hedge Baseline'!$B$1:$L$257,7,FALSE)),"",(VLOOKUP($B208,'E-1 Off-Site Hedge Baseline'!$B$1:$L$257,7,FALSE))))</f>
        <v/>
      </c>
      <c r="H208" s="382" t="str">
        <f>IF(B208="","",IF(ISNA(VLOOKUP($B208,'E-1 Off-Site Hedge Baseline'!$B$1:$L$257,8,FALSE)),"",(VLOOKUP($B208,'E-1 Off-Site Hedge Baseline'!$B$1:$L$257,8,FALSE))))</f>
        <v/>
      </c>
      <c r="I208" s="382" t="str">
        <f>IF(B208="","",IF(ISNA(VLOOKUP($B208,'E-1 Off-Site Hedge Baseline'!$B$1:$L$257,10,FALSE)),"",(VLOOKUP($B208,'E-1 Off-Site Hedge Baseline'!$B$1:$L$257,10,FALSE))))</f>
        <v/>
      </c>
      <c r="J208" s="382" t="str">
        <f>IF(B208="","",IF(ISNA(VLOOKUP($B208,'E-1 Off-Site Hedge Baseline'!$B$1:$L$257,11,FALSE)),"",(VLOOKUP($B208,'E-1 Off-Site Hedge Baseline'!$B$1:$L$257,11,FALSE))))</f>
        <v/>
      </c>
      <c r="K208" s="382" t="str">
        <f>IF(B208="","",IF(ISNA(VLOOKUP($B208,'E-1 Off-Site Hedge Baseline'!$B$1:$X$257,113,FALSE)),"",(VLOOKUP($B208,'E-1 Off-Site Hedge Baseline'!$B$1:$X$257,13,FALSE))))</f>
        <v/>
      </c>
      <c r="L208" s="370" t="str">
        <f>IF(B208="","",IF(ISNA(VLOOKUP($B208,'E-1 Off-Site Hedge Baseline'!$B$1:$X$257,12,FALSE)),"",(VLOOKUP($B208,'E-1 Off-Site Hedge Baseline'!$B$1:$X$257,12,FALSE))))</f>
        <v/>
      </c>
      <c r="M208" s="316" t="str">
        <f t="shared" si="27"/>
        <v/>
      </c>
      <c r="N208" s="362" t="str">
        <f>IFERROR(IF(B208="","",INDEX('G-6 Hedgerow Data'!$AN$3:$AZ$15,MATCH(C208,'G-6 Hedgerow Data'!$AM$3:$AM$15,0),MATCH(M208,'G-6 Hedgerow Data'!$AN$2:$AZ$2,0))),"")</f>
        <v/>
      </c>
      <c r="O208" s="363" t="str">
        <f t="shared" si="29"/>
        <v/>
      </c>
      <c r="P208" s="368" t="str">
        <f>IF(B208="","",VLOOKUP(B208,'E-1 Off-Site Hedge Baseline'!$B$10:W453,19,FALSE))</f>
        <v/>
      </c>
      <c r="Q208" s="362" t="str">
        <f>IF(M208="","",VLOOKUP(M208,'G-6 Hedgerow Data'!$B$2:$AG$15,2,FALSE))</f>
        <v/>
      </c>
      <c r="R208" s="363" t="str">
        <f>IF(M208="","",VLOOKUP(M208,'G-6 Hedgerow Data'!$B$2:$AG$15,3,FALSE))</f>
        <v/>
      </c>
      <c r="S208" s="114"/>
      <c r="T208" s="363" t="str">
        <f>IFERROR(IF(AND(Q208="V.Low",OR(S208="Good",S208="Moderate")),"Error ▲",VLOOKUP(S208,'G-1 All Habitats'!$Z$2:$AA$9,2,FALSE)),"")</f>
        <v/>
      </c>
      <c r="U208" s="114"/>
      <c r="V208" s="370" t="str">
        <f>IF(U208="","",IF(VLOOKUP(U208,'G-3 Multipliers'!$L$3:$N$6,2,FALSE)=0,"Spatial Data Missing ⚠",VLOOKUP(U208,'G-3 Multipliers'!$L$3:$N$6,2,FALSE)))</f>
        <v/>
      </c>
      <c r="W208" s="368" t="str">
        <f>IF(U208="","",IF(VLOOKUP(U208,'G-3 Multipliers'!$L$3:$N$6,3,FALSE)=0,"Spatial Data Missing ⚠",VLOOKUP(U208,'G-3 Multipliers'!$L$3:$N$6,3,FALSE)))</f>
        <v/>
      </c>
      <c r="X208" s="362" t="str">
        <f>IFERROR(IF(OR(LEFT(O208,5)="Error",LEFT(N208,5)="Error",T208="Error"),"Check Data ⚠",IF(F208&lt;R208,INDEX('G-6 Hedgerow Data'!$S$3:$AE$14,MATCH(C208,'G-6 Hedgerow Data'!$B$3:$B$14,0),MATCH(M208,'G-6 Hedgerow Data'!$S$2:$AE$2,0)),INDEX('G-6 Hedgerow Data'!$K$3:$Q$14,MATCH(M208,'G-6 Hedgerow Data'!$B$3:$B$14,0),MATCH(O208,'G-6 Hedgerow Data'!$K$2:$Q$2,0)))),"")</f>
        <v/>
      </c>
      <c r="Y208" s="159"/>
      <c r="Z208" s="159"/>
      <c r="AA208" s="370" t="str">
        <f t="shared" si="30"/>
        <v/>
      </c>
      <c r="AB208" s="383" t="str">
        <f t="shared" si="31"/>
        <v/>
      </c>
      <c r="AC208" s="384" t="str">
        <f t="shared" si="28"/>
        <v/>
      </c>
      <c r="AD208" s="398" t="str">
        <f>IF(M208="","",VLOOKUP(M208,'G-6 Hedgerow Data'!$B$3:$AG$15,31,FALSE))</f>
        <v/>
      </c>
      <c r="AE208" s="382" t="str">
        <f t="shared" si="32"/>
        <v/>
      </c>
      <c r="AF208" s="382" t="str">
        <f t="shared" si="33"/>
        <v/>
      </c>
      <c r="AG208" s="386" t="str">
        <f>IFERROR(IF(O208="","",VLOOKUP(AD208,'G-3 Multipliers'!$P$3:$Q$6,2,FALSE)),"")</f>
        <v/>
      </c>
      <c r="AH208" s="160"/>
      <c r="AI208" s="363" t="str">
        <f>IF(AH208="","",IF(VLOOKUP(AH208,'G-3 Multipliers'!$S$3:$T$10,2,FALSE)=0,"Spatial Data Missing ⚠",VLOOKUP(AH208,'G-3 Multipliers'!$S$3:$T$10,2,FALSE)))</f>
        <v/>
      </c>
      <c r="AJ208" s="405" t="str">
        <f t="shared" si="34"/>
        <v/>
      </c>
      <c r="AK208" s="376" t="str">
        <f t="shared" si="35"/>
        <v/>
      </c>
      <c r="AL208" s="117"/>
      <c r="AM208" s="118"/>
      <c r="AN208" s="120"/>
      <c r="AO208" s="120"/>
      <c r="AQ208" s="30" t="str">
        <f>IFERROR(INDEX('G-6 Hedgerow Data'!$BJ$3:$BJ$15,MATCH(M208,'G-6 Hedgerow Data'!$B$3:$B$15,0)),"")</f>
        <v/>
      </c>
    </row>
    <row r="209" spans="2:43" ht="15">
      <c r="B209" s="392" t="str">
        <f>'E-1 Off-Site Hedge Baseline'!AN207</f>
        <v/>
      </c>
      <c r="C209" s="382" t="str">
        <f>IF(B209="","",IF(ISNA(VLOOKUP($B209,'E-1 Off-Site Hedge Baseline'!$B$1:$L$257,3,FALSE)),"",(VLOOKUP($B209,'E-1 Off-Site Hedge Baseline'!$B$1:$L$257,3,FALSE))))</f>
        <v/>
      </c>
      <c r="D209" s="382" t="str">
        <f>IF(B209="","",IF(ISNA(VLOOKUP($B209,'E-1 Off-Site Hedge Baseline'!$B$1:$L$258,4,FALSE)),"",(VLOOKUP($B209,'E-1 Off-Site Hedge Baseline'!$B$1:$L$258,4,FALSE))))</f>
        <v/>
      </c>
      <c r="E209" s="382" t="str">
        <f>IF(B209="","",IF(ISNA(VLOOKUP($B209,'E-1 Off-Site Hedge Baseline'!$B$1:$L$257,5,FALSE)),"",(VLOOKUP($B209,'E-1 Off-Site Hedge Baseline'!$B$1:$L$257,5,FALSE))))</f>
        <v/>
      </c>
      <c r="F209" s="382" t="str">
        <f>IF(B209="","",IF(ISNA(VLOOKUP($B209,'E-1 Off-Site Hedge Baseline'!$B$1:$L$257,6,FALSE)),"",(VLOOKUP($B209,'E-1 Off-Site Hedge Baseline'!$B$1:$L$257,6,FALSE))))</f>
        <v/>
      </c>
      <c r="G209" s="382" t="str">
        <f>IF(B209="","",IF(ISNA(VLOOKUP($B209,'E-1 Off-Site Hedge Baseline'!$B$1:$L$257,7,FALSE)),"",(VLOOKUP($B209,'E-1 Off-Site Hedge Baseline'!$B$1:$L$257,7,FALSE))))</f>
        <v/>
      </c>
      <c r="H209" s="382" t="str">
        <f>IF(B209="","",IF(ISNA(VLOOKUP($B209,'E-1 Off-Site Hedge Baseline'!$B$1:$L$257,8,FALSE)),"",(VLOOKUP($B209,'E-1 Off-Site Hedge Baseline'!$B$1:$L$257,8,FALSE))))</f>
        <v/>
      </c>
      <c r="I209" s="382" t="str">
        <f>IF(B209="","",IF(ISNA(VLOOKUP($B209,'E-1 Off-Site Hedge Baseline'!$B$1:$L$257,10,FALSE)),"",(VLOOKUP($B209,'E-1 Off-Site Hedge Baseline'!$B$1:$L$257,10,FALSE))))</f>
        <v/>
      </c>
      <c r="J209" s="382" t="str">
        <f>IF(B209="","",IF(ISNA(VLOOKUP($B209,'E-1 Off-Site Hedge Baseline'!$B$1:$L$257,11,FALSE)),"",(VLOOKUP($B209,'E-1 Off-Site Hedge Baseline'!$B$1:$L$257,11,FALSE))))</f>
        <v/>
      </c>
      <c r="K209" s="382" t="str">
        <f>IF(B209="","",IF(ISNA(VLOOKUP($B209,'E-1 Off-Site Hedge Baseline'!$B$1:$X$257,113,FALSE)),"",(VLOOKUP($B209,'E-1 Off-Site Hedge Baseline'!$B$1:$X$257,13,FALSE))))</f>
        <v/>
      </c>
      <c r="L209" s="370" t="str">
        <f>IF(B209="","",IF(ISNA(VLOOKUP($B209,'E-1 Off-Site Hedge Baseline'!$B$1:$X$257,12,FALSE)),"",(VLOOKUP($B209,'E-1 Off-Site Hedge Baseline'!$B$1:$X$257,12,FALSE))))</f>
        <v/>
      </c>
      <c r="M209" s="316" t="str">
        <f t="shared" si="27"/>
        <v/>
      </c>
      <c r="N209" s="362" t="str">
        <f>IFERROR(IF(B209="","",INDEX('G-6 Hedgerow Data'!$AN$3:$AZ$15,MATCH(C209,'G-6 Hedgerow Data'!$AM$3:$AM$15,0),MATCH(M209,'G-6 Hedgerow Data'!$AN$2:$AZ$2,0))),"")</f>
        <v/>
      </c>
      <c r="O209" s="363" t="str">
        <f t="shared" si="29"/>
        <v/>
      </c>
      <c r="P209" s="368" t="str">
        <f>IF(B209="","",VLOOKUP(B209,'E-1 Off-Site Hedge Baseline'!$B$10:W454,19,FALSE))</f>
        <v/>
      </c>
      <c r="Q209" s="362" t="str">
        <f>IF(M209="","",VLOOKUP(M209,'G-6 Hedgerow Data'!$B$2:$AG$15,2,FALSE))</f>
        <v/>
      </c>
      <c r="R209" s="363" t="str">
        <f>IF(M209="","",VLOOKUP(M209,'G-6 Hedgerow Data'!$B$2:$AG$15,3,FALSE))</f>
        <v/>
      </c>
      <c r="S209" s="114"/>
      <c r="T209" s="363" t="str">
        <f>IFERROR(IF(AND(Q209="V.Low",OR(S209="Good",S209="Moderate")),"Error ▲",VLOOKUP(S209,'G-1 All Habitats'!$Z$2:$AA$9,2,FALSE)),"")</f>
        <v/>
      </c>
      <c r="U209" s="114"/>
      <c r="V209" s="370" t="str">
        <f>IF(U209="","",IF(VLOOKUP(U209,'G-3 Multipliers'!$L$3:$N$6,2,FALSE)=0,"Spatial Data Missing ⚠",VLOOKUP(U209,'G-3 Multipliers'!$L$3:$N$6,2,FALSE)))</f>
        <v/>
      </c>
      <c r="W209" s="368" t="str">
        <f>IF(U209="","",IF(VLOOKUP(U209,'G-3 Multipliers'!$L$3:$N$6,3,FALSE)=0,"Spatial Data Missing ⚠",VLOOKUP(U209,'G-3 Multipliers'!$L$3:$N$6,3,FALSE)))</f>
        <v/>
      </c>
      <c r="X209" s="362" t="str">
        <f>IFERROR(IF(OR(LEFT(O209,5)="Error",LEFT(N209,5)="Error",T209="Error"),"Check Data ⚠",IF(F209&lt;R209,INDEX('G-6 Hedgerow Data'!$S$3:$AE$14,MATCH(C209,'G-6 Hedgerow Data'!$B$3:$B$14,0),MATCH(M209,'G-6 Hedgerow Data'!$S$2:$AE$2,0)),INDEX('G-6 Hedgerow Data'!$K$3:$Q$14,MATCH(M209,'G-6 Hedgerow Data'!$B$3:$B$14,0),MATCH(O209,'G-6 Hedgerow Data'!$K$2:$Q$2,0)))),"")</f>
        <v/>
      </c>
      <c r="Y209" s="159"/>
      <c r="Z209" s="159"/>
      <c r="AA209" s="370" t="str">
        <f t="shared" si="30"/>
        <v/>
      </c>
      <c r="AB209" s="383" t="str">
        <f t="shared" si="31"/>
        <v/>
      </c>
      <c r="AC209" s="384" t="str">
        <f t="shared" si="28"/>
        <v/>
      </c>
      <c r="AD209" s="398" t="str">
        <f>IF(M209="","",VLOOKUP(M209,'G-6 Hedgerow Data'!$B$3:$AG$15,31,FALSE))</f>
        <v/>
      </c>
      <c r="AE209" s="382" t="str">
        <f t="shared" si="32"/>
        <v/>
      </c>
      <c r="AF209" s="382" t="str">
        <f t="shared" si="33"/>
        <v/>
      </c>
      <c r="AG209" s="386" t="str">
        <f>IFERROR(IF(O209="","",VLOOKUP(AD209,'G-3 Multipliers'!$P$3:$Q$6,2,FALSE)),"")</f>
        <v/>
      </c>
      <c r="AH209" s="160"/>
      <c r="AI209" s="363" t="str">
        <f>IF(AH209="","",IF(VLOOKUP(AH209,'G-3 Multipliers'!$S$3:$T$10,2,FALSE)=0,"Spatial Data Missing ⚠",VLOOKUP(AH209,'G-3 Multipliers'!$S$3:$T$10,2,FALSE)))</f>
        <v/>
      </c>
      <c r="AJ209" s="405" t="str">
        <f t="shared" si="34"/>
        <v/>
      </c>
      <c r="AK209" s="376" t="str">
        <f t="shared" si="35"/>
        <v/>
      </c>
      <c r="AL209" s="117"/>
      <c r="AM209" s="118"/>
      <c r="AN209" s="120"/>
      <c r="AO209" s="120"/>
      <c r="AQ209" s="30" t="str">
        <f>IFERROR(INDEX('G-6 Hedgerow Data'!$BJ$3:$BJ$15,MATCH(M209,'G-6 Hedgerow Data'!$B$3:$B$15,0)),"")</f>
        <v/>
      </c>
    </row>
    <row r="210" spans="2:43" ht="15">
      <c r="B210" s="392" t="str">
        <f>'E-1 Off-Site Hedge Baseline'!AN208</f>
        <v/>
      </c>
      <c r="C210" s="382" t="str">
        <f>IF(B210="","",IF(ISNA(VLOOKUP($B210,'E-1 Off-Site Hedge Baseline'!$B$1:$L$257,3,FALSE)),"",(VLOOKUP($B210,'E-1 Off-Site Hedge Baseline'!$B$1:$L$257,3,FALSE))))</f>
        <v/>
      </c>
      <c r="D210" s="382" t="str">
        <f>IF(B210="","",IF(ISNA(VLOOKUP($B210,'E-1 Off-Site Hedge Baseline'!$B$1:$L$258,4,FALSE)),"",(VLOOKUP($B210,'E-1 Off-Site Hedge Baseline'!$B$1:$L$258,4,FALSE))))</f>
        <v/>
      </c>
      <c r="E210" s="382" t="str">
        <f>IF(B210="","",IF(ISNA(VLOOKUP($B210,'E-1 Off-Site Hedge Baseline'!$B$1:$L$257,5,FALSE)),"",(VLOOKUP($B210,'E-1 Off-Site Hedge Baseline'!$B$1:$L$257,5,FALSE))))</f>
        <v/>
      </c>
      <c r="F210" s="382" t="str">
        <f>IF(B210="","",IF(ISNA(VLOOKUP($B210,'E-1 Off-Site Hedge Baseline'!$B$1:$L$257,6,FALSE)),"",(VLOOKUP($B210,'E-1 Off-Site Hedge Baseline'!$B$1:$L$257,6,FALSE))))</f>
        <v/>
      </c>
      <c r="G210" s="382" t="str">
        <f>IF(B210="","",IF(ISNA(VLOOKUP($B210,'E-1 Off-Site Hedge Baseline'!$B$1:$L$257,7,FALSE)),"",(VLOOKUP($B210,'E-1 Off-Site Hedge Baseline'!$B$1:$L$257,7,FALSE))))</f>
        <v/>
      </c>
      <c r="H210" s="382" t="str">
        <f>IF(B210="","",IF(ISNA(VLOOKUP($B210,'E-1 Off-Site Hedge Baseline'!$B$1:$L$257,8,FALSE)),"",(VLOOKUP($B210,'E-1 Off-Site Hedge Baseline'!$B$1:$L$257,8,FALSE))))</f>
        <v/>
      </c>
      <c r="I210" s="382" t="str">
        <f>IF(B210="","",IF(ISNA(VLOOKUP($B210,'E-1 Off-Site Hedge Baseline'!$B$1:$L$257,10,FALSE)),"",(VLOOKUP($B210,'E-1 Off-Site Hedge Baseline'!$B$1:$L$257,10,FALSE))))</f>
        <v/>
      </c>
      <c r="J210" s="382" t="str">
        <f>IF(B210="","",IF(ISNA(VLOOKUP($B210,'E-1 Off-Site Hedge Baseline'!$B$1:$L$257,11,FALSE)),"",(VLOOKUP($B210,'E-1 Off-Site Hedge Baseline'!$B$1:$L$257,11,FALSE))))</f>
        <v/>
      </c>
      <c r="K210" s="382" t="str">
        <f>IF(B210="","",IF(ISNA(VLOOKUP($B210,'E-1 Off-Site Hedge Baseline'!$B$1:$X$257,113,FALSE)),"",(VLOOKUP($B210,'E-1 Off-Site Hedge Baseline'!$B$1:$X$257,13,FALSE))))</f>
        <v/>
      </c>
      <c r="L210" s="370" t="str">
        <f>IF(B210="","",IF(ISNA(VLOOKUP($B210,'E-1 Off-Site Hedge Baseline'!$B$1:$X$257,12,FALSE)),"",(VLOOKUP($B210,'E-1 Off-Site Hedge Baseline'!$B$1:$X$257,12,FALSE))))</f>
        <v/>
      </c>
      <c r="M210" s="316" t="str">
        <f t="shared" si="27"/>
        <v/>
      </c>
      <c r="N210" s="362" t="str">
        <f>IFERROR(IF(B210="","",INDEX('G-6 Hedgerow Data'!$AN$3:$AZ$15,MATCH(C210,'G-6 Hedgerow Data'!$AM$3:$AM$15,0),MATCH(M210,'G-6 Hedgerow Data'!$AN$2:$AZ$2,0))),"")</f>
        <v/>
      </c>
      <c r="O210" s="363" t="str">
        <f t="shared" si="29"/>
        <v/>
      </c>
      <c r="P210" s="368" t="str">
        <f>IF(B210="","",VLOOKUP(B210,'E-1 Off-Site Hedge Baseline'!$B$10:W455,19,FALSE))</f>
        <v/>
      </c>
      <c r="Q210" s="362" t="str">
        <f>IF(M210="","",VLOOKUP(M210,'G-6 Hedgerow Data'!$B$2:$AG$15,2,FALSE))</f>
        <v/>
      </c>
      <c r="R210" s="363" t="str">
        <f>IF(M210="","",VLOOKUP(M210,'G-6 Hedgerow Data'!$B$2:$AG$15,3,FALSE))</f>
        <v/>
      </c>
      <c r="S210" s="114"/>
      <c r="T210" s="363" t="str">
        <f>IFERROR(IF(AND(Q210="V.Low",OR(S210="Good",S210="Moderate")),"Error ▲",VLOOKUP(S210,'G-1 All Habitats'!$Z$2:$AA$9,2,FALSE)),"")</f>
        <v/>
      </c>
      <c r="U210" s="114"/>
      <c r="V210" s="370" t="str">
        <f>IF(U210="","",IF(VLOOKUP(U210,'G-3 Multipliers'!$L$3:$N$6,2,FALSE)=0,"Spatial Data Missing ⚠",VLOOKUP(U210,'G-3 Multipliers'!$L$3:$N$6,2,FALSE)))</f>
        <v/>
      </c>
      <c r="W210" s="368" t="str">
        <f>IF(U210="","",IF(VLOOKUP(U210,'G-3 Multipliers'!$L$3:$N$6,3,FALSE)=0,"Spatial Data Missing ⚠",VLOOKUP(U210,'G-3 Multipliers'!$L$3:$N$6,3,FALSE)))</f>
        <v/>
      </c>
      <c r="X210" s="362" t="str">
        <f>IFERROR(IF(OR(LEFT(O210,5)="Error",LEFT(N210,5)="Error",T210="Error"),"Check Data ⚠",IF(F210&lt;R210,INDEX('G-6 Hedgerow Data'!$S$3:$AE$14,MATCH(C210,'G-6 Hedgerow Data'!$B$3:$B$14,0),MATCH(M210,'G-6 Hedgerow Data'!$S$2:$AE$2,0)),INDEX('G-6 Hedgerow Data'!$K$3:$Q$14,MATCH(M210,'G-6 Hedgerow Data'!$B$3:$B$14,0),MATCH(O210,'G-6 Hedgerow Data'!$K$2:$Q$2,0)))),"")</f>
        <v/>
      </c>
      <c r="Y210" s="159"/>
      <c r="Z210" s="159"/>
      <c r="AA210" s="370" t="str">
        <f t="shared" si="30"/>
        <v/>
      </c>
      <c r="AB210" s="383" t="str">
        <f t="shared" si="31"/>
        <v/>
      </c>
      <c r="AC210" s="384" t="str">
        <f t="shared" si="28"/>
        <v/>
      </c>
      <c r="AD210" s="398" t="str">
        <f>IF(M210="","",VLOOKUP(M210,'G-6 Hedgerow Data'!$B$3:$AG$15,31,FALSE))</f>
        <v/>
      </c>
      <c r="AE210" s="382" t="str">
        <f t="shared" si="32"/>
        <v/>
      </c>
      <c r="AF210" s="382" t="str">
        <f t="shared" si="33"/>
        <v/>
      </c>
      <c r="AG210" s="386" t="str">
        <f>IFERROR(IF(O210="","",VLOOKUP(AD210,'G-3 Multipliers'!$P$3:$Q$6,2,FALSE)),"")</f>
        <v/>
      </c>
      <c r="AH210" s="160"/>
      <c r="AI210" s="363" t="str">
        <f>IF(AH210="","",IF(VLOOKUP(AH210,'G-3 Multipliers'!$S$3:$T$10,2,FALSE)=0,"Spatial Data Missing ⚠",VLOOKUP(AH210,'G-3 Multipliers'!$S$3:$T$10,2,FALSE)))</f>
        <v/>
      </c>
      <c r="AJ210" s="405" t="str">
        <f t="shared" si="34"/>
        <v/>
      </c>
      <c r="AK210" s="376" t="str">
        <f t="shared" si="35"/>
        <v/>
      </c>
      <c r="AL210" s="117"/>
      <c r="AM210" s="118"/>
      <c r="AN210" s="120"/>
      <c r="AO210" s="120"/>
      <c r="AQ210" s="30" t="str">
        <f>IFERROR(INDEX('G-6 Hedgerow Data'!$BJ$3:$BJ$15,MATCH(M210,'G-6 Hedgerow Data'!$B$3:$B$15,0)),"")</f>
        <v/>
      </c>
    </row>
    <row r="211" spans="2:43" ht="15">
      <c r="B211" s="392" t="str">
        <f>'E-1 Off-Site Hedge Baseline'!AN209</f>
        <v/>
      </c>
      <c r="C211" s="382" t="str">
        <f>IF(B211="","",IF(ISNA(VLOOKUP($B211,'E-1 Off-Site Hedge Baseline'!$B$1:$L$257,3,FALSE)),"",(VLOOKUP($B211,'E-1 Off-Site Hedge Baseline'!$B$1:$L$257,3,FALSE))))</f>
        <v/>
      </c>
      <c r="D211" s="382" t="str">
        <f>IF(B211="","",IF(ISNA(VLOOKUP($B211,'E-1 Off-Site Hedge Baseline'!$B$1:$L$258,4,FALSE)),"",(VLOOKUP($B211,'E-1 Off-Site Hedge Baseline'!$B$1:$L$258,4,FALSE))))</f>
        <v/>
      </c>
      <c r="E211" s="382" t="str">
        <f>IF(B211="","",IF(ISNA(VLOOKUP($B211,'E-1 Off-Site Hedge Baseline'!$B$1:$L$257,5,FALSE)),"",(VLOOKUP($B211,'E-1 Off-Site Hedge Baseline'!$B$1:$L$257,5,FALSE))))</f>
        <v/>
      </c>
      <c r="F211" s="382" t="str">
        <f>IF(B211="","",IF(ISNA(VLOOKUP($B211,'E-1 Off-Site Hedge Baseline'!$B$1:$L$257,6,FALSE)),"",(VLOOKUP($B211,'E-1 Off-Site Hedge Baseline'!$B$1:$L$257,6,FALSE))))</f>
        <v/>
      </c>
      <c r="G211" s="382" t="str">
        <f>IF(B211="","",IF(ISNA(VLOOKUP($B211,'E-1 Off-Site Hedge Baseline'!$B$1:$L$257,7,FALSE)),"",(VLOOKUP($B211,'E-1 Off-Site Hedge Baseline'!$B$1:$L$257,7,FALSE))))</f>
        <v/>
      </c>
      <c r="H211" s="382" t="str">
        <f>IF(B211="","",IF(ISNA(VLOOKUP($B211,'E-1 Off-Site Hedge Baseline'!$B$1:$L$257,8,FALSE)),"",(VLOOKUP($B211,'E-1 Off-Site Hedge Baseline'!$B$1:$L$257,8,FALSE))))</f>
        <v/>
      </c>
      <c r="I211" s="382" t="str">
        <f>IF(B211="","",IF(ISNA(VLOOKUP($B211,'E-1 Off-Site Hedge Baseline'!$B$1:$L$257,10,FALSE)),"",(VLOOKUP($B211,'E-1 Off-Site Hedge Baseline'!$B$1:$L$257,10,FALSE))))</f>
        <v/>
      </c>
      <c r="J211" s="382" t="str">
        <f>IF(B211="","",IF(ISNA(VLOOKUP($B211,'E-1 Off-Site Hedge Baseline'!$B$1:$L$257,11,FALSE)),"",(VLOOKUP($B211,'E-1 Off-Site Hedge Baseline'!$B$1:$L$257,11,FALSE))))</f>
        <v/>
      </c>
      <c r="K211" s="382" t="str">
        <f>IF(B211="","",IF(ISNA(VLOOKUP($B211,'E-1 Off-Site Hedge Baseline'!$B$1:$X$257,113,FALSE)),"",(VLOOKUP($B211,'E-1 Off-Site Hedge Baseline'!$B$1:$X$257,13,FALSE))))</f>
        <v/>
      </c>
      <c r="L211" s="370" t="str">
        <f>IF(B211="","",IF(ISNA(VLOOKUP($B211,'E-1 Off-Site Hedge Baseline'!$B$1:$X$257,12,FALSE)),"",(VLOOKUP($B211,'E-1 Off-Site Hedge Baseline'!$B$1:$X$257,12,FALSE))))</f>
        <v/>
      </c>
      <c r="M211" s="316" t="str">
        <f t="shared" si="27"/>
        <v/>
      </c>
      <c r="N211" s="362" t="str">
        <f>IFERROR(IF(B211="","",INDEX('G-6 Hedgerow Data'!$AN$3:$AZ$15,MATCH(C211,'G-6 Hedgerow Data'!$AM$3:$AM$15,0),MATCH(M211,'G-6 Hedgerow Data'!$AN$2:$AZ$2,0))),"")</f>
        <v/>
      </c>
      <c r="O211" s="363" t="str">
        <f t="shared" si="29"/>
        <v/>
      </c>
      <c r="P211" s="368" t="str">
        <f>IF(B211="","",VLOOKUP(B211,'E-1 Off-Site Hedge Baseline'!$B$10:W456,19,FALSE))</f>
        <v/>
      </c>
      <c r="Q211" s="362" t="str">
        <f>IF(M211="","",VLOOKUP(M211,'G-6 Hedgerow Data'!$B$2:$AG$15,2,FALSE))</f>
        <v/>
      </c>
      <c r="R211" s="363" t="str">
        <f>IF(M211="","",VLOOKUP(M211,'G-6 Hedgerow Data'!$B$2:$AG$15,3,FALSE))</f>
        <v/>
      </c>
      <c r="S211" s="114"/>
      <c r="T211" s="363" t="str">
        <f>IFERROR(IF(AND(Q211="V.Low",OR(S211="Good",S211="Moderate")),"Error ▲",VLOOKUP(S211,'G-1 All Habitats'!$Z$2:$AA$9,2,FALSE)),"")</f>
        <v/>
      </c>
      <c r="U211" s="114"/>
      <c r="V211" s="370" t="str">
        <f>IF(U211="","",IF(VLOOKUP(U211,'G-3 Multipliers'!$L$3:$N$6,2,FALSE)=0,"Spatial Data Missing ⚠",VLOOKUP(U211,'G-3 Multipliers'!$L$3:$N$6,2,FALSE)))</f>
        <v/>
      </c>
      <c r="W211" s="368" t="str">
        <f>IF(U211="","",IF(VLOOKUP(U211,'G-3 Multipliers'!$L$3:$N$6,3,FALSE)=0,"Spatial Data Missing ⚠",VLOOKUP(U211,'G-3 Multipliers'!$L$3:$N$6,3,FALSE)))</f>
        <v/>
      </c>
      <c r="X211" s="362" t="str">
        <f>IFERROR(IF(OR(LEFT(O211,5)="Error",LEFT(N211,5)="Error",T211="Error"),"Check Data ⚠",IF(F211&lt;R211,INDEX('G-6 Hedgerow Data'!$S$3:$AE$14,MATCH(C211,'G-6 Hedgerow Data'!$B$3:$B$14,0),MATCH(M211,'G-6 Hedgerow Data'!$S$2:$AE$2,0)),INDEX('G-6 Hedgerow Data'!$K$3:$Q$14,MATCH(M211,'G-6 Hedgerow Data'!$B$3:$B$14,0),MATCH(O211,'G-6 Hedgerow Data'!$K$2:$Q$2,0)))),"")</f>
        <v/>
      </c>
      <c r="Y211" s="159"/>
      <c r="Z211" s="159"/>
      <c r="AA211" s="370" t="str">
        <f t="shared" si="30"/>
        <v/>
      </c>
      <c r="AB211" s="383" t="str">
        <f t="shared" si="31"/>
        <v/>
      </c>
      <c r="AC211" s="384" t="str">
        <f t="shared" si="28"/>
        <v/>
      </c>
      <c r="AD211" s="398" t="str">
        <f>IF(M211="","",VLOOKUP(M211,'G-6 Hedgerow Data'!$B$3:$AG$15,31,FALSE))</f>
        <v/>
      </c>
      <c r="AE211" s="382" t="str">
        <f t="shared" si="32"/>
        <v/>
      </c>
      <c r="AF211" s="382" t="str">
        <f t="shared" si="33"/>
        <v/>
      </c>
      <c r="AG211" s="386" t="str">
        <f>IFERROR(IF(O211="","",VLOOKUP(AD211,'G-3 Multipliers'!$P$3:$Q$6,2,FALSE)),"")</f>
        <v/>
      </c>
      <c r="AH211" s="160"/>
      <c r="AI211" s="363" t="str">
        <f>IF(AH211="","",IF(VLOOKUP(AH211,'G-3 Multipliers'!$S$3:$T$10,2,FALSE)=0,"Spatial Data Missing ⚠",VLOOKUP(AH211,'G-3 Multipliers'!$S$3:$T$10,2,FALSE)))</f>
        <v/>
      </c>
      <c r="AJ211" s="405" t="str">
        <f t="shared" si="34"/>
        <v/>
      </c>
      <c r="AK211" s="376" t="str">
        <f t="shared" si="35"/>
        <v/>
      </c>
      <c r="AL211" s="117"/>
      <c r="AM211" s="118"/>
      <c r="AN211" s="120"/>
      <c r="AO211" s="120"/>
      <c r="AQ211" s="30" t="str">
        <f>IFERROR(INDEX('G-6 Hedgerow Data'!$BJ$3:$BJ$15,MATCH(M211,'G-6 Hedgerow Data'!$B$3:$B$15,0)),"")</f>
        <v/>
      </c>
    </row>
    <row r="212" spans="2:43" ht="15">
      <c r="B212" s="392" t="str">
        <f>'E-1 Off-Site Hedge Baseline'!AN210</f>
        <v/>
      </c>
      <c r="C212" s="382" t="str">
        <f>IF(B212="","",IF(ISNA(VLOOKUP($B212,'E-1 Off-Site Hedge Baseline'!$B$1:$L$257,3,FALSE)),"",(VLOOKUP($B212,'E-1 Off-Site Hedge Baseline'!$B$1:$L$257,3,FALSE))))</f>
        <v/>
      </c>
      <c r="D212" s="382" t="str">
        <f>IF(B212="","",IF(ISNA(VLOOKUP($B212,'E-1 Off-Site Hedge Baseline'!$B$1:$L$258,4,FALSE)),"",(VLOOKUP($B212,'E-1 Off-Site Hedge Baseline'!$B$1:$L$258,4,FALSE))))</f>
        <v/>
      </c>
      <c r="E212" s="382" t="str">
        <f>IF(B212="","",IF(ISNA(VLOOKUP($B212,'E-1 Off-Site Hedge Baseline'!$B$1:$L$257,5,FALSE)),"",(VLOOKUP($B212,'E-1 Off-Site Hedge Baseline'!$B$1:$L$257,5,FALSE))))</f>
        <v/>
      </c>
      <c r="F212" s="382" t="str">
        <f>IF(B212="","",IF(ISNA(VLOOKUP($B212,'E-1 Off-Site Hedge Baseline'!$B$1:$L$257,6,FALSE)),"",(VLOOKUP($B212,'E-1 Off-Site Hedge Baseline'!$B$1:$L$257,6,FALSE))))</f>
        <v/>
      </c>
      <c r="G212" s="382" t="str">
        <f>IF(B212="","",IF(ISNA(VLOOKUP($B212,'E-1 Off-Site Hedge Baseline'!$B$1:$L$257,7,FALSE)),"",(VLOOKUP($B212,'E-1 Off-Site Hedge Baseline'!$B$1:$L$257,7,FALSE))))</f>
        <v/>
      </c>
      <c r="H212" s="382" t="str">
        <f>IF(B212="","",IF(ISNA(VLOOKUP($B212,'E-1 Off-Site Hedge Baseline'!$B$1:$L$257,8,FALSE)),"",(VLOOKUP($B212,'E-1 Off-Site Hedge Baseline'!$B$1:$L$257,8,FALSE))))</f>
        <v/>
      </c>
      <c r="I212" s="382" t="str">
        <f>IF(B212="","",IF(ISNA(VLOOKUP($B212,'E-1 Off-Site Hedge Baseline'!$B$1:$L$257,10,FALSE)),"",(VLOOKUP($B212,'E-1 Off-Site Hedge Baseline'!$B$1:$L$257,10,FALSE))))</f>
        <v/>
      </c>
      <c r="J212" s="382" t="str">
        <f>IF(B212="","",IF(ISNA(VLOOKUP($B212,'E-1 Off-Site Hedge Baseline'!$B$1:$L$257,11,FALSE)),"",(VLOOKUP($B212,'E-1 Off-Site Hedge Baseline'!$B$1:$L$257,11,FALSE))))</f>
        <v/>
      </c>
      <c r="K212" s="382" t="str">
        <f>IF(B212="","",IF(ISNA(VLOOKUP($B212,'E-1 Off-Site Hedge Baseline'!$B$1:$X$257,113,FALSE)),"",(VLOOKUP($B212,'E-1 Off-Site Hedge Baseline'!$B$1:$X$257,13,FALSE))))</f>
        <v/>
      </c>
      <c r="L212" s="370" t="str">
        <f>IF(B212="","",IF(ISNA(VLOOKUP($B212,'E-1 Off-Site Hedge Baseline'!$B$1:$X$257,12,FALSE)),"",(VLOOKUP($B212,'E-1 Off-Site Hedge Baseline'!$B$1:$X$257,12,FALSE))))</f>
        <v/>
      </c>
      <c r="M212" s="316" t="str">
        <f t="shared" si="27"/>
        <v/>
      </c>
      <c r="N212" s="362" t="str">
        <f>IFERROR(IF(B212="","",INDEX('G-6 Hedgerow Data'!$AN$3:$AZ$15,MATCH(C212,'G-6 Hedgerow Data'!$AM$3:$AM$15,0),MATCH(M212,'G-6 Hedgerow Data'!$AN$2:$AZ$2,0))),"")</f>
        <v/>
      </c>
      <c r="O212" s="363" t="str">
        <f t="shared" si="29"/>
        <v/>
      </c>
      <c r="P212" s="368" t="str">
        <f>IF(B212="","",VLOOKUP(B212,'E-1 Off-Site Hedge Baseline'!$B$10:W457,19,FALSE))</f>
        <v/>
      </c>
      <c r="Q212" s="362" t="str">
        <f>IF(M212="","",VLOOKUP(M212,'G-6 Hedgerow Data'!$B$2:$AG$15,2,FALSE))</f>
        <v/>
      </c>
      <c r="R212" s="363" t="str">
        <f>IF(M212="","",VLOOKUP(M212,'G-6 Hedgerow Data'!$B$2:$AG$15,3,FALSE))</f>
        <v/>
      </c>
      <c r="S212" s="114"/>
      <c r="T212" s="363" t="str">
        <f>IFERROR(IF(AND(Q212="V.Low",OR(S212="Good",S212="Moderate")),"Error ▲",VLOOKUP(S212,'G-1 All Habitats'!$Z$2:$AA$9,2,FALSE)),"")</f>
        <v/>
      </c>
      <c r="U212" s="114"/>
      <c r="V212" s="370" t="str">
        <f>IF(U212="","",IF(VLOOKUP(U212,'G-3 Multipliers'!$L$3:$N$6,2,FALSE)=0,"Spatial Data Missing ⚠",VLOOKUP(U212,'G-3 Multipliers'!$L$3:$N$6,2,FALSE)))</f>
        <v/>
      </c>
      <c r="W212" s="368" t="str">
        <f>IF(U212="","",IF(VLOOKUP(U212,'G-3 Multipliers'!$L$3:$N$6,3,FALSE)=0,"Spatial Data Missing ⚠",VLOOKUP(U212,'G-3 Multipliers'!$L$3:$N$6,3,FALSE)))</f>
        <v/>
      </c>
      <c r="X212" s="362" t="str">
        <f>IFERROR(IF(OR(LEFT(O212,5)="Error",LEFT(N212,5)="Error",T212="Error"),"Check Data ⚠",IF(F212&lt;R212,INDEX('G-6 Hedgerow Data'!$S$3:$AE$14,MATCH(C212,'G-6 Hedgerow Data'!$B$3:$B$14,0),MATCH(M212,'G-6 Hedgerow Data'!$S$2:$AE$2,0)),INDEX('G-6 Hedgerow Data'!$K$3:$Q$14,MATCH(M212,'G-6 Hedgerow Data'!$B$3:$B$14,0),MATCH(O212,'G-6 Hedgerow Data'!$K$2:$Q$2,0)))),"")</f>
        <v/>
      </c>
      <c r="Y212" s="159"/>
      <c r="Z212" s="159"/>
      <c r="AA212" s="370" t="str">
        <f t="shared" si="30"/>
        <v/>
      </c>
      <c r="AB212" s="383" t="str">
        <f t="shared" si="31"/>
        <v/>
      </c>
      <c r="AC212" s="384" t="str">
        <f t="shared" si="28"/>
        <v/>
      </c>
      <c r="AD212" s="398" t="str">
        <f>IF(M212="","",VLOOKUP(M212,'G-6 Hedgerow Data'!$B$3:$AG$15,31,FALSE))</f>
        <v/>
      </c>
      <c r="AE212" s="382" t="str">
        <f t="shared" si="32"/>
        <v/>
      </c>
      <c r="AF212" s="382" t="str">
        <f t="shared" si="33"/>
        <v/>
      </c>
      <c r="AG212" s="386" t="str">
        <f>IFERROR(IF(O212="","",VLOOKUP(AD212,'G-3 Multipliers'!$P$3:$Q$6,2,FALSE)),"")</f>
        <v/>
      </c>
      <c r="AH212" s="160"/>
      <c r="AI212" s="363" t="str">
        <f>IF(AH212="","",IF(VLOOKUP(AH212,'G-3 Multipliers'!$S$3:$T$10,2,FALSE)=0,"Spatial Data Missing ⚠",VLOOKUP(AH212,'G-3 Multipliers'!$S$3:$T$10,2,FALSE)))</f>
        <v/>
      </c>
      <c r="AJ212" s="405" t="str">
        <f t="shared" si="34"/>
        <v/>
      </c>
      <c r="AK212" s="376" t="str">
        <f t="shared" si="35"/>
        <v/>
      </c>
      <c r="AL212" s="117"/>
      <c r="AM212" s="118"/>
      <c r="AN212" s="120"/>
      <c r="AO212" s="120"/>
      <c r="AQ212" s="30" t="str">
        <f>IFERROR(INDEX('G-6 Hedgerow Data'!$BJ$3:$BJ$15,MATCH(M212,'G-6 Hedgerow Data'!$B$3:$B$15,0)),"")</f>
        <v/>
      </c>
    </row>
    <row r="213" spans="2:43" ht="15">
      <c r="B213" s="392" t="str">
        <f>'E-1 Off-Site Hedge Baseline'!AN211</f>
        <v/>
      </c>
      <c r="C213" s="382" t="str">
        <f>IF(B213="","",IF(ISNA(VLOOKUP($B213,'E-1 Off-Site Hedge Baseline'!$B$1:$L$257,3,FALSE)),"",(VLOOKUP($B213,'E-1 Off-Site Hedge Baseline'!$B$1:$L$257,3,FALSE))))</f>
        <v/>
      </c>
      <c r="D213" s="382" t="str">
        <f>IF(B213="","",IF(ISNA(VLOOKUP($B213,'E-1 Off-Site Hedge Baseline'!$B$1:$L$258,4,FALSE)),"",(VLOOKUP($B213,'E-1 Off-Site Hedge Baseline'!$B$1:$L$258,4,FALSE))))</f>
        <v/>
      </c>
      <c r="E213" s="382" t="str">
        <f>IF(B213="","",IF(ISNA(VLOOKUP($B213,'E-1 Off-Site Hedge Baseline'!$B$1:$L$257,5,FALSE)),"",(VLOOKUP($B213,'E-1 Off-Site Hedge Baseline'!$B$1:$L$257,5,FALSE))))</f>
        <v/>
      </c>
      <c r="F213" s="382" t="str">
        <f>IF(B213="","",IF(ISNA(VLOOKUP($B213,'E-1 Off-Site Hedge Baseline'!$B$1:$L$257,6,FALSE)),"",(VLOOKUP($B213,'E-1 Off-Site Hedge Baseline'!$B$1:$L$257,6,FALSE))))</f>
        <v/>
      </c>
      <c r="G213" s="382" t="str">
        <f>IF(B213="","",IF(ISNA(VLOOKUP($B213,'E-1 Off-Site Hedge Baseline'!$B$1:$L$257,7,FALSE)),"",(VLOOKUP($B213,'E-1 Off-Site Hedge Baseline'!$B$1:$L$257,7,FALSE))))</f>
        <v/>
      </c>
      <c r="H213" s="382" t="str">
        <f>IF(B213="","",IF(ISNA(VLOOKUP($B213,'E-1 Off-Site Hedge Baseline'!$B$1:$L$257,8,FALSE)),"",(VLOOKUP($B213,'E-1 Off-Site Hedge Baseline'!$B$1:$L$257,8,FALSE))))</f>
        <v/>
      </c>
      <c r="I213" s="382" t="str">
        <f>IF(B213="","",IF(ISNA(VLOOKUP($B213,'E-1 Off-Site Hedge Baseline'!$B$1:$L$257,10,FALSE)),"",(VLOOKUP($B213,'E-1 Off-Site Hedge Baseline'!$B$1:$L$257,10,FALSE))))</f>
        <v/>
      </c>
      <c r="J213" s="382" t="str">
        <f>IF(B213="","",IF(ISNA(VLOOKUP($B213,'E-1 Off-Site Hedge Baseline'!$B$1:$L$257,11,FALSE)),"",(VLOOKUP($B213,'E-1 Off-Site Hedge Baseline'!$B$1:$L$257,11,FALSE))))</f>
        <v/>
      </c>
      <c r="K213" s="382" t="str">
        <f>IF(B213="","",IF(ISNA(VLOOKUP($B213,'E-1 Off-Site Hedge Baseline'!$B$1:$X$257,113,FALSE)),"",(VLOOKUP($B213,'E-1 Off-Site Hedge Baseline'!$B$1:$X$257,13,FALSE))))</f>
        <v/>
      </c>
      <c r="L213" s="370" t="str">
        <f>IF(B213="","",IF(ISNA(VLOOKUP($B213,'E-1 Off-Site Hedge Baseline'!$B$1:$X$257,12,FALSE)),"",(VLOOKUP($B213,'E-1 Off-Site Hedge Baseline'!$B$1:$X$257,12,FALSE))))</f>
        <v/>
      </c>
      <c r="M213" s="316" t="str">
        <f t="shared" si="27"/>
        <v/>
      </c>
      <c r="N213" s="362" t="str">
        <f>IFERROR(IF(B213="","",INDEX('G-6 Hedgerow Data'!$AN$3:$AZ$15,MATCH(C213,'G-6 Hedgerow Data'!$AM$3:$AM$15,0),MATCH(M213,'G-6 Hedgerow Data'!$AN$2:$AZ$2,0))),"")</f>
        <v/>
      </c>
      <c r="O213" s="363" t="str">
        <f t="shared" si="29"/>
        <v/>
      </c>
      <c r="P213" s="368" t="str">
        <f>IF(B213="","",VLOOKUP(B213,'E-1 Off-Site Hedge Baseline'!$B$10:W458,19,FALSE))</f>
        <v/>
      </c>
      <c r="Q213" s="362" t="str">
        <f>IF(M213="","",VLOOKUP(M213,'G-6 Hedgerow Data'!$B$2:$AG$15,2,FALSE))</f>
        <v/>
      </c>
      <c r="R213" s="363" t="str">
        <f>IF(M213="","",VLOOKUP(M213,'G-6 Hedgerow Data'!$B$2:$AG$15,3,FALSE))</f>
        <v/>
      </c>
      <c r="S213" s="114"/>
      <c r="T213" s="363" t="str">
        <f>IFERROR(IF(AND(Q213="V.Low",OR(S213="Good",S213="Moderate")),"Error ▲",VLOOKUP(S213,'G-1 All Habitats'!$Z$2:$AA$9,2,FALSE)),"")</f>
        <v/>
      </c>
      <c r="U213" s="114"/>
      <c r="V213" s="370" t="str">
        <f>IF(U213="","",IF(VLOOKUP(U213,'G-3 Multipliers'!$L$3:$N$6,2,FALSE)=0,"Spatial Data Missing ⚠",VLOOKUP(U213,'G-3 Multipliers'!$L$3:$N$6,2,FALSE)))</f>
        <v/>
      </c>
      <c r="W213" s="368" t="str">
        <f>IF(U213="","",IF(VLOOKUP(U213,'G-3 Multipliers'!$L$3:$N$6,3,FALSE)=0,"Spatial Data Missing ⚠",VLOOKUP(U213,'G-3 Multipliers'!$L$3:$N$6,3,FALSE)))</f>
        <v/>
      </c>
      <c r="X213" s="362" t="str">
        <f>IFERROR(IF(OR(LEFT(O213,5)="Error",LEFT(N213,5)="Error",T213="Error"),"Check Data ⚠",IF(F213&lt;R213,INDEX('G-6 Hedgerow Data'!$S$3:$AE$14,MATCH(C213,'G-6 Hedgerow Data'!$B$3:$B$14,0),MATCH(M213,'G-6 Hedgerow Data'!$S$2:$AE$2,0)),INDEX('G-6 Hedgerow Data'!$K$3:$Q$14,MATCH(M213,'G-6 Hedgerow Data'!$B$3:$B$14,0),MATCH(O213,'G-6 Hedgerow Data'!$K$2:$Q$2,0)))),"")</f>
        <v/>
      </c>
      <c r="Y213" s="159"/>
      <c r="Z213" s="159"/>
      <c r="AA213" s="370" t="str">
        <f t="shared" si="30"/>
        <v/>
      </c>
      <c r="AB213" s="383" t="str">
        <f t="shared" si="31"/>
        <v/>
      </c>
      <c r="AC213" s="384" t="str">
        <f t="shared" si="28"/>
        <v/>
      </c>
      <c r="AD213" s="398" t="str">
        <f>IF(M213="","",VLOOKUP(M213,'G-6 Hedgerow Data'!$B$3:$AG$15,31,FALSE))</f>
        <v/>
      </c>
      <c r="AE213" s="382" t="str">
        <f t="shared" si="32"/>
        <v/>
      </c>
      <c r="AF213" s="382" t="str">
        <f t="shared" si="33"/>
        <v/>
      </c>
      <c r="AG213" s="386" t="str">
        <f>IFERROR(IF(O213="","",VLOOKUP(AD213,'G-3 Multipliers'!$P$3:$Q$6,2,FALSE)),"")</f>
        <v/>
      </c>
      <c r="AH213" s="160"/>
      <c r="AI213" s="363" t="str">
        <f>IF(AH213="","",IF(VLOOKUP(AH213,'G-3 Multipliers'!$S$3:$T$10,2,FALSE)=0,"Spatial Data Missing ⚠",VLOOKUP(AH213,'G-3 Multipliers'!$S$3:$T$10,2,FALSE)))</f>
        <v/>
      </c>
      <c r="AJ213" s="405" t="str">
        <f t="shared" si="34"/>
        <v/>
      </c>
      <c r="AK213" s="376" t="str">
        <f t="shared" si="35"/>
        <v/>
      </c>
      <c r="AL213" s="117"/>
      <c r="AM213" s="118"/>
      <c r="AN213" s="120"/>
      <c r="AO213" s="120"/>
      <c r="AQ213" s="30" t="str">
        <f>IFERROR(INDEX('G-6 Hedgerow Data'!$BJ$3:$BJ$15,MATCH(M213,'G-6 Hedgerow Data'!$B$3:$B$15,0)),"")</f>
        <v/>
      </c>
    </row>
    <row r="214" spans="2:43" ht="15">
      <c r="B214" s="392" t="str">
        <f>'E-1 Off-Site Hedge Baseline'!AN212</f>
        <v/>
      </c>
      <c r="C214" s="382" t="str">
        <f>IF(B214="","",IF(ISNA(VLOOKUP($B214,'E-1 Off-Site Hedge Baseline'!$B$1:$L$257,3,FALSE)),"",(VLOOKUP($B214,'E-1 Off-Site Hedge Baseline'!$B$1:$L$257,3,FALSE))))</f>
        <v/>
      </c>
      <c r="D214" s="382" t="str">
        <f>IF(B214="","",IF(ISNA(VLOOKUP($B214,'E-1 Off-Site Hedge Baseline'!$B$1:$L$258,4,FALSE)),"",(VLOOKUP($B214,'E-1 Off-Site Hedge Baseline'!$B$1:$L$258,4,FALSE))))</f>
        <v/>
      </c>
      <c r="E214" s="382" t="str">
        <f>IF(B214="","",IF(ISNA(VLOOKUP($B214,'E-1 Off-Site Hedge Baseline'!$B$1:$L$257,5,FALSE)),"",(VLOOKUP($B214,'E-1 Off-Site Hedge Baseline'!$B$1:$L$257,5,FALSE))))</f>
        <v/>
      </c>
      <c r="F214" s="382" t="str">
        <f>IF(B214="","",IF(ISNA(VLOOKUP($B214,'E-1 Off-Site Hedge Baseline'!$B$1:$L$257,6,FALSE)),"",(VLOOKUP($B214,'E-1 Off-Site Hedge Baseline'!$B$1:$L$257,6,FALSE))))</f>
        <v/>
      </c>
      <c r="G214" s="382" t="str">
        <f>IF(B214="","",IF(ISNA(VLOOKUP($B214,'E-1 Off-Site Hedge Baseline'!$B$1:$L$257,7,FALSE)),"",(VLOOKUP($B214,'E-1 Off-Site Hedge Baseline'!$B$1:$L$257,7,FALSE))))</f>
        <v/>
      </c>
      <c r="H214" s="382" t="str">
        <f>IF(B214="","",IF(ISNA(VLOOKUP($B214,'E-1 Off-Site Hedge Baseline'!$B$1:$L$257,8,FALSE)),"",(VLOOKUP($B214,'E-1 Off-Site Hedge Baseline'!$B$1:$L$257,8,FALSE))))</f>
        <v/>
      </c>
      <c r="I214" s="382" t="str">
        <f>IF(B214="","",IF(ISNA(VLOOKUP($B214,'E-1 Off-Site Hedge Baseline'!$B$1:$L$257,10,FALSE)),"",(VLOOKUP($B214,'E-1 Off-Site Hedge Baseline'!$B$1:$L$257,10,FALSE))))</f>
        <v/>
      </c>
      <c r="J214" s="382" t="str">
        <f>IF(B214="","",IF(ISNA(VLOOKUP($B214,'E-1 Off-Site Hedge Baseline'!$B$1:$L$257,11,FALSE)),"",(VLOOKUP($B214,'E-1 Off-Site Hedge Baseline'!$B$1:$L$257,11,FALSE))))</f>
        <v/>
      </c>
      <c r="K214" s="382" t="str">
        <f>IF(B214="","",IF(ISNA(VLOOKUP($B214,'E-1 Off-Site Hedge Baseline'!$B$1:$X$257,113,FALSE)),"",(VLOOKUP($B214,'E-1 Off-Site Hedge Baseline'!$B$1:$X$257,13,FALSE))))</f>
        <v/>
      </c>
      <c r="L214" s="370" t="str">
        <f>IF(B214="","",IF(ISNA(VLOOKUP($B214,'E-1 Off-Site Hedge Baseline'!$B$1:$X$257,12,FALSE)),"",(VLOOKUP($B214,'E-1 Off-Site Hedge Baseline'!$B$1:$X$257,12,FALSE))))</f>
        <v/>
      </c>
      <c r="M214" s="316" t="str">
        <f t="shared" si="27"/>
        <v/>
      </c>
      <c r="N214" s="362" t="str">
        <f>IFERROR(IF(B214="","",INDEX('G-6 Hedgerow Data'!$AN$3:$AZ$15,MATCH(C214,'G-6 Hedgerow Data'!$AM$3:$AM$15,0),MATCH(M214,'G-6 Hedgerow Data'!$AN$2:$AZ$2,0))),"")</f>
        <v/>
      </c>
      <c r="O214" s="363" t="str">
        <f t="shared" si="29"/>
        <v/>
      </c>
      <c r="P214" s="368" t="str">
        <f>IF(B214="","",VLOOKUP(B214,'E-1 Off-Site Hedge Baseline'!$B$10:W459,19,FALSE))</f>
        <v/>
      </c>
      <c r="Q214" s="362" t="str">
        <f>IF(M214="","",VLOOKUP(M214,'G-6 Hedgerow Data'!$B$2:$AG$15,2,FALSE))</f>
        <v/>
      </c>
      <c r="R214" s="363" t="str">
        <f>IF(M214="","",VLOOKUP(M214,'G-6 Hedgerow Data'!$B$2:$AG$15,3,FALSE))</f>
        <v/>
      </c>
      <c r="S214" s="114"/>
      <c r="T214" s="363" t="str">
        <f>IFERROR(IF(AND(Q214="V.Low",OR(S214="Good",S214="Moderate")),"Error ▲",VLOOKUP(S214,'G-1 All Habitats'!$Z$2:$AA$9,2,FALSE)),"")</f>
        <v/>
      </c>
      <c r="U214" s="114"/>
      <c r="V214" s="370" t="str">
        <f>IF(U214="","",IF(VLOOKUP(U214,'G-3 Multipliers'!$L$3:$N$6,2,FALSE)=0,"Spatial Data Missing ⚠",VLOOKUP(U214,'G-3 Multipliers'!$L$3:$N$6,2,FALSE)))</f>
        <v/>
      </c>
      <c r="W214" s="368" t="str">
        <f>IF(U214="","",IF(VLOOKUP(U214,'G-3 Multipliers'!$L$3:$N$6,3,FALSE)=0,"Spatial Data Missing ⚠",VLOOKUP(U214,'G-3 Multipliers'!$L$3:$N$6,3,FALSE)))</f>
        <v/>
      </c>
      <c r="X214" s="362" t="str">
        <f>IFERROR(IF(OR(LEFT(O214,5)="Error",LEFT(N214,5)="Error",T214="Error"),"Check Data ⚠",IF(F214&lt;R214,INDEX('G-6 Hedgerow Data'!$S$3:$AE$14,MATCH(C214,'G-6 Hedgerow Data'!$B$3:$B$14,0),MATCH(M214,'G-6 Hedgerow Data'!$S$2:$AE$2,0)),INDEX('G-6 Hedgerow Data'!$K$3:$Q$14,MATCH(M214,'G-6 Hedgerow Data'!$B$3:$B$14,0),MATCH(O214,'G-6 Hedgerow Data'!$K$2:$Q$2,0)))),"")</f>
        <v/>
      </c>
      <c r="Y214" s="159"/>
      <c r="Z214" s="159"/>
      <c r="AA214" s="370" t="str">
        <f t="shared" si="30"/>
        <v/>
      </c>
      <c r="AB214" s="383" t="str">
        <f t="shared" si="31"/>
        <v/>
      </c>
      <c r="AC214" s="384" t="str">
        <f t="shared" si="28"/>
        <v/>
      </c>
      <c r="AD214" s="398" t="str">
        <f>IF(M214="","",VLOOKUP(M214,'G-6 Hedgerow Data'!$B$3:$AG$15,31,FALSE))</f>
        <v/>
      </c>
      <c r="AE214" s="382" t="str">
        <f t="shared" si="32"/>
        <v/>
      </c>
      <c r="AF214" s="382" t="str">
        <f t="shared" si="33"/>
        <v/>
      </c>
      <c r="AG214" s="386" t="str">
        <f>IFERROR(IF(O214="","",VLOOKUP(AD214,'G-3 Multipliers'!$P$3:$Q$6,2,FALSE)),"")</f>
        <v/>
      </c>
      <c r="AH214" s="160"/>
      <c r="AI214" s="363" t="str">
        <f>IF(AH214="","",IF(VLOOKUP(AH214,'G-3 Multipliers'!$S$3:$T$10,2,FALSE)=0,"Spatial Data Missing ⚠",VLOOKUP(AH214,'G-3 Multipliers'!$S$3:$T$10,2,FALSE)))</f>
        <v/>
      </c>
      <c r="AJ214" s="405" t="str">
        <f t="shared" si="34"/>
        <v/>
      </c>
      <c r="AK214" s="376" t="str">
        <f t="shared" si="35"/>
        <v/>
      </c>
      <c r="AL214" s="117"/>
      <c r="AM214" s="118"/>
      <c r="AN214" s="120"/>
      <c r="AO214" s="120"/>
      <c r="AQ214" s="30" t="str">
        <f>IFERROR(INDEX('G-6 Hedgerow Data'!$BJ$3:$BJ$15,MATCH(M214,'G-6 Hedgerow Data'!$B$3:$B$15,0)),"")</f>
        <v/>
      </c>
    </row>
    <row r="215" spans="2:43" ht="15">
      <c r="B215" s="392" t="str">
        <f>'E-1 Off-Site Hedge Baseline'!AN213</f>
        <v/>
      </c>
      <c r="C215" s="382" t="str">
        <f>IF(B215="","",IF(ISNA(VLOOKUP($B215,'E-1 Off-Site Hedge Baseline'!$B$1:$L$257,3,FALSE)),"",(VLOOKUP($B215,'E-1 Off-Site Hedge Baseline'!$B$1:$L$257,3,FALSE))))</f>
        <v/>
      </c>
      <c r="D215" s="382" t="str">
        <f>IF(B215="","",IF(ISNA(VLOOKUP($B215,'E-1 Off-Site Hedge Baseline'!$B$1:$L$258,4,FALSE)),"",(VLOOKUP($B215,'E-1 Off-Site Hedge Baseline'!$B$1:$L$258,4,FALSE))))</f>
        <v/>
      </c>
      <c r="E215" s="382" t="str">
        <f>IF(B215="","",IF(ISNA(VLOOKUP($B215,'E-1 Off-Site Hedge Baseline'!$B$1:$L$257,5,FALSE)),"",(VLOOKUP($B215,'E-1 Off-Site Hedge Baseline'!$B$1:$L$257,5,FALSE))))</f>
        <v/>
      </c>
      <c r="F215" s="382" t="str">
        <f>IF(B215="","",IF(ISNA(VLOOKUP($B215,'E-1 Off-Site Hedge Baseline'!$B$1:$L$257,6,FALSE)),"",(VLOOKUP($B215,'E-1 Off-Site Hedge Baseline'!$B$1:$L$257,6,FALSE))))</f>
        <v/>
      </c>
      <c r="G215" s="382" t="str">
        <f>IF(B215="","",IF(ISNA(VLOOKUP($B215,'E-1 Off-Site Hedge Baseline'!$B$1:$L$257,7,FALSE)),"",(VLOOKUP($B215,'E-1 Off-Site Hedge Baseline'!$B$1:$L$257,7,FALSE))))</f>
        <v/>
      </c>
      <c r="H215" s="382" t="str">
        <f>IF(B215="","",IF(ISNA(VLOOKUP($B215,'E-1 Off-Site Hedge Baseline'!$B$1:$L$257,8,FALSE)),"",(VLOOKUP($B215,'E-1 Off-Site Hedge Baseline'!$B$1:$L$257,8,FALSE))))</f>
        <v/>
      </c>
      <c r="I215" s="382" t="str">
        <f>IF(B215="","",IF(ISNA(VLOOKUP($B215,'E-1 Off-Site Hedge Baseline'!$B$1:$L$257,10,FALSE)),"",(VLOOKUP($B215,'E-1 Off-Site Hedge Baseline'!$B$1:$L$257,10,FALSE))))</f>
        <v/>
      </c>
      <c r="J215" s="382" t="str">
        <f>IF(B215="","",IF(ISNA(VLOOKUP($B215,'E-1 Off-Site Hedge Baseline'!$B$1:$L$257,11,FALSE)),"",(VLOOKUP($B215,'E-1 Off-Site Hedge Baseline'!$B$1:$L$257,11,FALSE))))</f>
        <v/>
      </c>
      <c r="K215" s="382" t="str">
        <f>IF(B215="","",IF(ISNA(VLOOKUP($B215,'E-1 Off-Site Hedge Baseline'!$B$1:$X$257,113,FALSE)),"",(VLOOKUP($B215,'E-1 Off-Site Hedge Baseline'!$B$1:$X$257,13,FALSE))))</f>
        <v/>
      </c>
      <c r="L215" s="370" t="str">
        <f>IF(B215="","",IF(ISNA(VLOOKUP($B215,'E-1 Off-Site Hedge Baseline'!$B$1:$X$257,12,FALSE)),"",(VLOOKUP($B215,'E-1 Off-Site Hedge Baseline'!$B$1:$X$257,12,FALSE))))</f>
        <v/>
      </c>
      <c r="M215" s="316" t="str">
        <f t="shared" si="27"/>
        <v/>
      </c>
      <c r="N215" s="362" t="str">
        <f>IFERROR(IF(B215="","",INDEX('G-6 Hedgerow Data'!$AN$3:$AZ$15,MATCH(C215,'G-6 Hedgerow Data'!$AM$3:$AM$15,0),MATCH(M215,'G-6 Hedgerow Data'!$AN$2:$AZ$2,0))),"")</f>
        <v/>
      </c>
      <c r="O215" s="363" t="str">
        <f t="shared" si="29"/>
        <v/>
      </c>
      <c r="P215" s="368" t="str">
        <f>IF(B215="","",VLOOKUP(B215,'E-1 Off-Site Hedge Baseline'!$B$10:W460,19,FALSE))</f>
        <v/>
      </c>
      <c r="Q215" s="362" t="str">
        <f>IF(M215="","",VLOOKUP(M215,'G-6 Hedgerow Data'!$B$2:$AG$15,2,FALSE))</f>
        <v/>
      </c>
      <c r="R215" s="363" t="str">
        <f>IF(M215="","",VLOOKUP(M215,'G-6 Hedgerow Data'!$B$2:$AG$15,3,FALSE))</f>
        <v/>
      </c>
      <c r="S215" s="114"/>
      <c r="T215" s="363" t="str">
        <f>IFERROR(IF(AND(Q215="V.Low",OR(S215="Good",S215="Moderate")),"Error ▲",VLOOKUP(S215,'G-1 All Habitats'!$Z$2:$AA$9,2,FALSE)),"")</f>
        <v/>
      </c>
      <c r="U215" s="114"/>
      <c r="V215" s="370" t="str">
        <f>IF(U215="","",IF(VLOOKUP(U215,'G-3 Multipliers'!$L$3:$N$6,2,FALSE)=0,"Spatial Data Missing ⚠",VLOOKUP(U215,'G-3 Multipliers'!$L$3:$N$6,2,FALSE)))</f>
        <v/>
      </c>
      <c r="W215" s="368" t="str">
        <f>IF(U215="","",IF(VLOOKUP(U215,'G-3 Multipliers'!$L$3:$N$6,3,FALSE)=0,"Spatial Data Missing ⚠",VLOOKUP(U215,'G-3 Multipliers'!$L$3:$N$6,3,FALSE)))</f>
        <v/>
      </c>
      <c r="X215" s="362" t="str">
        <f>IFERROR(IF(OR(LEFT(O215,5)="Error",LEFT(N215,5)="Error",T215="Error"),"Check Data ⚠",IF(F215&lt;R215,INDEX('G-6 Hedgerow Data'!$S$3:$AE$14,MATCH(C215,'G-6 Hedgerow Data'!$B$3:$B$14,0),MATCH(M215,'G-6 Hedgerow Data'!$S$2:$AE$2,0)),INDEX('G-6 Hedgerow Data'!$K$3:$Q$14,MATCH(M215,'G-6 Hedgerow Data'!$B$3:$B$14,0),MATCH(O215,'G-6 Hedgerow Data'!$K$2:$Q$2,0)))),"")</f>
        <v/>
      </c>
      <c r="Y215" s="159"/>
      <c r="Z215" s="159"/>
      <c r="AA215" s="370" t="str">
        <f t="shared" si="30"/>
        <v/>
      </c>
      <c r="AB215" s="383" t="str">
        <f t="shared" si="31"/>
        <v/>
      </c>
      <c r="AC215" s="384" t="str">
        <f t="shared" si="28"/>
        <v/>
      </c>
      <c r="AD215" s="398" t="str">
        <f>IF(M215="","",VLOOKUP(M215,'G-6 Hedgerow Data'!$B$3:$AG$15,31,FALSE))</f>
        <v/>
      </c>
      <c r="AE215" s="382" t="str">
        <f t="shared" si="32"/>
        <v/>
      </c>
      <c r="AF215" s="382" t="str">
        <f t="shared" si="33"/>
        <v/>
      </c>
      <c r="AG215" s="386" t="str">
        <f>IFERROR(IF(O215="","",VLOOKUP(AD215,'G-3 Multipliers'!$P$3:$Q$6,2,FALSE)),"")</f>
        <v/>
      </c>
      <c r="AH215" s="160"/>
      <c r="AI215" s="363" t="str">
        <f>IF(AH215="","",IF(VLOOKUP(AH215,'G-3 Multipliers'!$S$3:$T$10,2,FALSE)=0,"Spatial Data Missing ⚠",VLOOKUP(AH215,'G-3 Multipliers'!$S$3:$T$10,2,FALSE)))</f>
        <v/>
      </c>
      <c r="AJ215" s="405" t="str">
        <f t="shared" si="34"/>
        <v/>
      </c>
      <c r="AK215" s="376" t="str">
        <f t="shared" si="35"/>
        <v/>
      </c>
      <c r="AL215" s="117"/>
      <c r="AM215" s="118"/>
      <c r="AN215" s="120"/>
      <c r="AO215" s="120"/>
      <c r="AQ215" s="30" t="str">
        <f>IFERROR(INDEX('G-6 Hedgerow Data'!$BJ$3:$BJ$15,MATCH(M215,'G-6 Hedgerow Data'!$B$3:$B$15,0)),"")</f>
        <v/>
      </c>
    </row>
    <row r="216" spans="2:43" ht="15">
      <c r="B216" s="392" t="str">
        <f>'E-1 Off-Site Hedge Baseline'!AN214</f>
        <v/>
      </c>
      <c r="C216" s="382" t="str">
        <f>IF(B216="","",IF(ISNA(VLOOKUP($B216,'E-1 Off-Site Hedge Baseline'!$B$1:$L$257,3,FALSE)),"",(VLOOKUP($B216,'E-1 Off-Site Hedge Baseline'!$B$1:$L$257,3,FALSE))))</f>
        <v/>
      </c>
      <c r="D216" s="382" t="str">
        <f>IF(B216="","",IF(ISNA(VLOOKUP($B216,'E-1 Off-Site Hedge Baseline'!$B$1:$L$258,4,FALSE)),"",(VLOOKUP($B216,'E-1 Off-Site Hedge Baseline'!$B$1:$L$258,4,FALSE))))</f>
        <v/>
      </c>
      <c r="E216" s="382" t="str">
        <f>IF(B216="","",IF(ISNA(VLOOKUP($B216,'E-1 Off-Site Hedge Baseline'!$B$1:$L$257,5,FALSE)),"",(VLOOKUP($B216,'E-1 Off-Site Hedge Baseline'!$B$1:$L$257,5,FALSE))))</f>
        <v/>
      </c>
      <c r="F216" s="382" t="str">
        <f>IF(B216="","",IF(ISNA(VLOOKUP($B216,'E-1 Off-Site Hedge Baseline'!$B$1:$L$257,6,FALSE)),"",(VLOOKUP($B216,'E-1 Off-Site Hedge Baseline'!$B$1:$L$257,6,FALSE))))</f>
        <v/>
      </c>
      <c r="G216" s="382" t="str">
        <f>IF(B216="","",IF(ISNA(VLOOKUP($B216,'E-1 Off-Site Hedge Baseline'!$B$1:$L$257,7,FALSE)),"",(VLOOKUP($B216,'E-1 Off-Site Hedge Baseline'!$B$1:$L$257,7,FALSE))))</f>
        <v/>
      </c>
      <c r="H216" s="382" t="str">
        <f>IF(B216="","",IF(ISNA(VLOOKUP($B216,'E-1 Off-Site Hedge Baseline'!$B$1:$L$257,8,FALSE)),"",(VLOOKUP($B216,'E-1 Off-Site Hedge Baseline'!$B$1:$L$257,8,FALSE))))</f>
        <v/>
      </c>
      <c r="I216" s="382" t="str">
        <f>IF(B216="","",IF(ISNA(VLOOKUP($B216,'E-1 Off-Site Hedge Baseline'!$B$1:$L$257,10,FALSE)),"",(VLOOKUP($B216,'E-1 Off-Site Hedge Baseline'!$B$1:$L$257,10,FALSE))))</f>
        <v/>
      </c>
      <c r="J216" s="382" t="str">
        <f>IF(B216="","",IF(ISNA(VLOOKUP($B216,'E-1 Off-Site Hedge Baseline'!$B$1:$L$257,11,FALSE)),"",(VLOOKUP($B216,'E-1 Off-Site Hedge Baseline'!$B$1:$L$257,11,FALSE))))</f>
        <v/>
      </c>
      <c r="K216" s="382" t="str">
        <f>IF(B216="","",IF(ISNA(VLOOKUP($B216,'E-1 Off-Site Hedge Baseline'!$B$1:$X$257,113,FALSE)),"",(VLOOKUP($B216,'E-1 Off-Site Hedge Baseline'!$B$1:$X$257,13,FALSE))))</f>
        <v/>
      </c>
      <c r="L216" s="370" t="str">
        <f>IF(B216="","",IF(ISNA(VLOOKUP($B216,'E-1 Off-Site Hedge Baseline'!$B$1:$X$257,12,FALSE)),"",(VLOOKUP($B216,'E-1 Off-Site Hedge Baseline'!$B$1:$X$257,12,FALSE))))</f>
        <v/>
      </c>
      <c r="M216" s="316" t="str">
        <f t="shared" si="27"/>
        <v/>
      </c>
      <c r="N216" s="362" t="str">
        <f>IFERROR(IF(B216="","",INDEX('G-6 Hedgerow Data'!$AN$3:$AZ$15,MATCH(C216,'G-6 Hedgerow Data'!$AM$3:$AM$15,0),MATCH(M216,'G-6 Hedgerow Data'!$AN$2:$AZ$2,0))),"")</f>
        <v/>
      </c>
      <c r="O216" s="363" t="str">
        <f t="shared" si="29"/>
        <v/>
      </c>
      <c r="P216" s="368" t="str">
        <f>IF(B216="","",VLOOKUP(B216,'E-1 Off-Site Hedge Baseline'!$B$10:W461,19,FALSE))</f>
        <v/>
      </c>
      <c r="Q216" s="362" t="str">
        <f>IF(M216="","",VLOOKUP(M216,'G-6 Hedgerow Data'!$B$2:$AG$15,2,FALSE))</f>
        <v/>
      </c>
      <c r="R216" s="363" t="str">
        <f>IF(M216="","",VLOOKUP(M216,'G-6 Hedgerow Data'!$B$2:$AG$15,3,FALSE))</f>
        <v/>
      </c>
      <c r="S216" s="114"/>
      <c r="T216" s="363" t="str">
        <f>IFERROR(IF(AND(Q216="V.Low",OR(S216="Good",S216="Moderate")),"Error ▲",VLOOKUP(S216,'G-1 All Habitats'!$Z$2:$AA$9,2,FALSE)),"")</f>
        <v/>
      </c>
      <c r="U216" s="114"/>
      <c r="V216" s="370" t="str">
        <f>IF(U216="","",IF(VLOOKUP(U216,'G-3 Multipliers'!$L$3:$N$6,2,FALSE)=0,"Spatial Data Missing ⚠",VLOOKUP(U216,'G-3 Multipliers'!$L$3:$N$6,2,FALSE)))</f>
        <v/>
      </c>
      <c r="W216" s="368" t="str">
        <f>IF(U216="","",IF(VLOOKUP(U216,'G-3 Multipliers'!$L$3:$N$6,3,FALSE)=0,"Spatial Data Missing ⚠",VLOOKUP(U216,'G-3 Multipliers'!$L$3:$N$6,3,FALSE)))</f>
        <v/>
      </c>
      <c r="X216" s="362" t="str">
        <f>IFERROR(IF(OR(LEFT(O216,5)="Error",LEFT(N216,5)="Error",T216="Error"),"Check Data ⚠",IF(F216&lt;R216,INDEX('G-6 Hedgerow Data'!$S$3:$AE$14,MATCH(C216,'G-6 Hedgerow Data'!$B$3:$B$14,0),MATCH(M216,'G-6 Hedgerow Data'!$S$2:$AE$2,0)),INDEX('G-6 Hedgerow Data'!$K$3:$Q$14,MATCH(M216,'G-6 Hedgerow Data'!$B$3:$B$14,0),MATCH(O216,'G-6 Hedgerow Data'!$K$2:$Q$2,0)))),"")</f>
        <v/>
      </c>
      <c r="Y216" s="159"/>
      <c r="Z216" s="159"/>
      <c r="AA216" s="370" t="str">
        <f t="shared" si="30"/>
        <v/>
      </c>
      <c r="AB216" s="383" t="str">
        <f t="shared" si="31"/>
        <v/>
      </c>
      <c r="AC216" s="384" t="str">
        <f t="shared" si="28"/>
        <v/>
      </c>
      <c r="AD216" s="398" t="str">
        <f>IF(M216="","",VLOOKUP(M216,'G-6 Hedgerow Data'!$B$3:$AG$15,31,FALSE))</f>
        <v/>
      </c>
      <c r="AE216" s="382" t="str">
        <f t="shared" si="32"/>
        <v/>
      </c>
      <c r="AF216" s="382" t="str">
        <f t="shared" si="33"/>
        <v/>
      </c>
      <c r="AG216" s="386" t="str">
        <f>IFERROR(IF(O216="","",VLOOKUP(AD216,'G-3 Multipliers'!$P$3:$Q$6,2,FALSE)),"")</f>
        <v/>
      </c>
      <c r="AH216" s="160"/>
      <c r="AI216" s="363" t="str">
        <f>IF(AH216="","",IF(VLOOKUP(AH216,'G-3 Multipliers'!$S$3:$T$10,2,FALSE)=0,"Spatial Data Missing ⚠",VLOOKUP(AH216,'G-3 Multipliers'!$S$3:$T$10,2,FALSE)))</f>
        <v/>
      </c>
      <c r="AJ216" s="405" t="str">
        <f t="shared" si="34"/>
        <v/>
      </c>
      <c r="AK216" s="376" t="str">
        <f t="shared" si="35"/>
        <v/>
      </c>
      <c r="AL216" s="117"/>
      <c r="AM216" s="118"/>
      <c r="AN216" s="120"/>
      <c r="AO216" s="120"/>
      <c r="AQ216" s="30" t="str">
        <f>IFERROR(INDEX('G-6 Hedgerow Data'!$BJ$3:$BJ$15,MATCH(M216,'G-6 Hedgerow Data'!$B$3:$B$15,0)),"")</f>
        <v/>
      </c>
    </row>
    <row r="217" spans="2:43" ht="15">
      <c r="B217" s="392" t="str">
        <f>'E-1 Off-Site Hedge Baseline'!AN215</f>
        <v/>
      </c>
      <c r="C217" s="382" t="str">
        <f>IF(B217="","",IF(ISNA(VLOOKUP($B217,'E-1 Off-Site Hedge Baseline'!$B$1:$L$257,3,FALSE)),"",(VLOOKUP($B217,'E-1 Off-Site Hedge Baseline'!$B$1:$L$257,3,FALSE))))</f>
        <v/>
      </c>
      <c r="D217" s="382" t="str">
        <f>IF(B217="","",IF(ISNA(VLOOKUP($B217,'E-1 Off-Site Hedge Baseline'!$B$1:$L$258,4,FALSE)),"",(VLOOKUP($B217,'E-1 Off-Site Hedge Baseline'!$B$1:$L$258,4,FALSE))))</f>
        <v/>
      </c>
      <c r="E217" s="382" t="str">
        <f>IF(B217="","",IF(ISNA(VLOOKUP($B217,'E-1 Off-Site Hedge Baseline'!$B$1:$L$257,5,FALSE)),"",(VLOOKUP($B217,'E-1 Off-Site Hedge Baseline'!$B$1:$L$257,5,FALSE))))</f>
        <v/>
      </c>
      <c r="F217" s="382" t="str">
        <f>IF(B217="","",IF(ISNA(VLOOKUP($B217,'E-1 Off-Site Hedge Baseline'!$B$1:$L$257,6,FALSE)),"",(VLOOKUP($B217,'E-1 Off-Site Hedge Baseline'!$B$1:$L$257,6,FALSE))))</f>
        <v/>
      </c>
      <c r="G217" s="382" t="str">
        <f>IF(B217="","",IF(ISNA(VLOOKUP($B217,'E-1 Off-Site Hedge Baseline'!$B$1:$L$257,7,FALSE)),"",(VLOOKUP($B217,'E-1 Off-Site Hedge Baseline'!$B$1:$L$257,7,FALSE))))</f>
        <v/>
      </c>
      <c r="H217" s="382" t="str">
        <f>IF(B217="","",IF(ISNA(VLOOKUP($B217,'E-1 Off-Site Hedge Baseline'!$B$1:$L$257,8,FALSE)),"",(VLOOKUP($B217,'E-1 Off-Site Hedge Baseline'!$B$1:$L$257,8,FALSE))))</f>
        <v/>
      </c>
      <c r="I217" s="382" t="str">
        <f>IF(B217="","",IF(ISNA(VLOOKUP($B217,'E-1 Off-Site Hedge Baseline'!$B$1:$L$257,10,FALSE)),"",(VLOOKUP($B217,'E-1 Off-Site Hedge Baseline'!$B$1:$L$257,10,FALSE))))</f>
        <v/>
      </c>
      <c r="J217" s="382" t="str">
        <f>IF(B217="","",IF(ISNA(VLOOKUP($B217,'E-1 Off-Site Hedge Baseline'!$B$1:$L$257,11,FALSE)),"",(VLOOKUP($B217,'E-1 Off-Site Hedge Baseline'!$B$1:$L$257,11,FALSE))))</f>
        <v/>
      </c>
      <c r="K217" s="382" t="str">
        <f>IF(B217="","",IF(ISNA(VLOOKUP($B217,'E-1 Off-Site Hedge Baseline'!$B$1:$X$257,113,FALSE)),"",(VLOOKUP($B217,'E-1 Off-Site Hedge Baseline'!$B$1:$X$257,13,FALSE))))</f>
        <v/>
      </c>
      <c r="L217" s="370" t="str">
        <f>IF(B217="","",IF(ISNA(VLOOKUP($B217,'E-1 Off-Site Hedge Baseline'!$B$1:$X$257,12,FALSE)),"",(VLOOKUP($B217,'E-1 Off-Site Hedge Baseline'!$B$1:$X$257,12,FALSE))))</f>
        <v/>
      </c>
      <c r="M217" s="316" t="str">
        <f t="shared" si="27"/>
        <v/>
      </c>
      <c r="N217" s="362" t="str">
        <f>IFERROR(IF(B217="","",INDEX('G-6 Hedgerow Data'!$AN$3:$AZ$15,MATCH(C217,'G-6 Hedgerow Data'!$AM$3:$AM$15,0),MATCH(M217,'G-6 Hedgerow Data'!$AN$2:$AZ$2,0))),"")</f>
        <v/>
      </c>
      <c r="O217" s="363" t="str">
        <f t="shared" si="29"/>
        <v/>
      </c>
      <c r="P217" s="368" t="str">
        <f>IF(B217="","",VLOOKUP(B217,'E-1 Off-Site Hedge Baseline'!$B$10:W462,19,FALSE))</f>
        <v/>
      </c>
      <c r="Q217" s="362" t="str">
        <f>IF(M217="","",VLOOKUP(M217,'G-6 Hedgerow Data'!$B$2:$AG$15,2,FALSE))</f>
        <v/>
      </c>
      <c r="R217" s="363" t="str">
        <f>IF(M217="","",VLOOKUP(M217,'G-6 Hedgerow Data'!$B$2:$AG$15,3,FALSE))</f>
        <v/>
      </c>
      <c r="S217" s="114"/>
      <c r="T217" s="363" t="str">
        <f>IFERROR(IF(AND(Q217="V.Low",OR(S217="Good",S217="Moderate")),"Error ▲",VLOOKUP(S217,'G-1 All Habitats'!$Z$2:$AA$9,2,FALSE)),"")</f>
        <v/>
      </c>
      <c r="U217" s="114"/>
      <c r="V217" s="370" t="str">
        <f>IF(U217="","",IF(VLOOKUP(U217,'G-3 Multipliers'!$L$3:$N$6,2,FALSE)=0,"Spatial Data Missing ⚠",VLOOKUP(U217,'G-3 Multipliers'!$L$3:$N$6,2,FALSE)))</f>
        <v/>
      </c>
      <c r="W217" s="368" t="str">
        <f>IF(U217="","",IF(VLOOKUP(U217,'G-3 Multipliers'!$L$3:$N$6,3,FALSE)=0,"Spatial Data Missing ⚠",VLOOKUP(U217,'G-3 Multipliers'!$L$3:$N$6,3,FALSE)))</f>
        <v/>
      </c>
      <c r="X217" s="362" t="str">
        <f>IFERROR(IF(OR(LEFT(O217,5)="Error",LEFT(N217,5)="Error",T217="Error"),"Check Data ⚠",IF(F217&lt;R217,INDEX('G-6 Hedgerow Data'!$S$3:$AE$14,MATCH(C217,'G-6 Hedgerow Data'!$B$3:$B$14,0),MATCH(M217,'G-6 Hedgerow Data'!$S$2:$AE$2,0)),INDEX('G-6 Hedgerow Data'!$K$3:$Q$14,MATCH(M217,'G-6 Hedgerow Data'!$B$3:$B$14,0),MATCH(O217,'G-6 Hedgerow Data'!$K$2:$Q$2,0)))),"")</f>
        <v/>
      </c>
      <c r="Y217" s="159"/>
      <c r="Z217" s="159"/>
      <c r="AA217" s="370" t="str">
        <f t="shared" si="30"/>
        <v/>
      </c>
      <c r="AB217" s="383" t="str">
        <f t="shared" si="31"/>
        <v/>
      </c>
      <c r="AC217" s="384" t="str">
        <f t="shared" si="28"/>
        <v/>
      </c>
      <c r="AD217" s="398" t="str">
        <f>IF(M217="","",VLOOKUP(M217,'G-6 Hedgerow Data'!$B$3:$AG$15,31,FALSE))</f>
        <v/>
      </c>
      <c r="AE217" s="382" t="str">
        <f t="shared" si="32"/>
        <v/>
      </c>
      <c r="AF217" s="382" t="str">
        <f t="shared" si="33"/>
        <v/>
      </c>
      <c r="AG217" s="386" t="str">
        <f>IFERROR(IF(O217="","",VLOOKUP(AD217,'G-3 Multipliers'!$P$3:$Q$6,2,FALSE)),"")</f>
        <v/>
      </c>
      <c r="AH217" s="160"/>
      <c r="AI217" s="363" t="str">
        <f>IF(AH217="","",IF(VLOOKUP(AH217,'G-3 Multipliers'!$S$3:$T$10,2,FALSE)=0,"Spatial Data Missing ⚠",VLOOKUP(AH217,'G-3 Multipliers'!$S$3:$T$10,2,FALSE)))</f>
        <v/>
      </c>
      <c r="AJ217" s="405" t="str">
        <f t="shared" si="34"/>
        <v/>
      </c>
      <c r="AK217" s="376" t="str">
        <f t="shared" si="35"/>
        <v/>
      </c>
      <c r="AL217" s="117"/>
      <c r="AM217" s="118"/>
      <c r="AN217" s="120"/>
      <c r="AO217" s="120"/>
      <c r="AQ217" s="30" t="str">
        <f>IFERROR(INDEX('G-6 Hedgerow Data'!$BJ$3:$BJ$15,MATCH(M217,'G-6 Hedgerow Data'!$B$3:$B$15,0)),"")</f>
        <v/>
      </c>
    </row>
    <row r="218" spans="2:43" ht="15">
      <c r="B218" s="392" t="str">
        <f>'E-1 Off-Site Hedge Baseline'!AN216</f>
        <v/>
      </c>
      <c r="C218" s="382" t="str">
        <f>IF(B218="","",IF(ISNA(VLOOKUP($B218,'E-1 Off-Site Hedge Baseline'!$B$1:$L$257,3,FALSE)),"",(VLOOKUP($B218,'E-1 Off-Site Hedge Baseline'!$B$1:$L$257,3,FALSE))))</f>
        <v/>
      </c>
      <c r="D218" s="382" t="str">
        <f>IF(B218="","",IF(ISNA(VLOOKUP($B218,'E-1 Off-Site Hedge Baseline'!$B$1:$L$258,4,FALSE)),"",(VLOOKUP($B218,'E-1 Off-Site Hedge Baseline'!$B$1:$L$258,4,FALSE))))</f>
        <v/>
      </c>
      <c r="E218" s="382" t="str">
        <f>IF(B218="","",IF(ISNA(VLOOKUP($B218,'E-1 Off-Site Hedge Baseline'!$B$1:$L$257,5,FALSE)),"",(VLOOKUP($B218,'E-1 Off-Site Hedge Baseline'!$B$1:$L$257,5,FALSE))))</f>
        <v/>
      </c>
      <c r="F218" s="382" t="str">
        <f>IF(B218="","",IF(ISNA(VLOOKUP($B218,'E-1 Off-Site Hedge Baseline'!$B$1:$L$257,6,FALSE)),"",(VLOOKUP($B218,'E-1 Off-Site Hedge Baseline'!$B$1:$L$257,6,FALSE))))</f>
        <v/>
      </c>
      <c r="G218" s="382" t="str">
        <f>IF(B218="","",IF(ISNA(VLOOKUP($B218,'E-1 Off-Site Hedge Baseline'!$B$1:$L$257,7,FALSE)),"",(VLOOKUP($B218,'E-1 Off-Site Hedge Baseline'!$B$1:$L$257,7,FALSE))))</f>
        <v/>
      </c>
      <c r="H218" s="382" t="str">
        <f>IF(B218="","",IF(ISNA(VLOOKUP($B218,'E-1 Off-Site Hedge Baseline'!$B$1:$L$257,8,FALSE)),"",(VLOOKUP($B218,'E-1 Off-Site Hedge Baseline'!$B$1:$L$257,8,FALSE))))</f>
        <v/>
      </c>
      <c r="I218" s="382" t="str">
        <f>IF(B218="","",IF(ISNA(VLOOKUP($B218,'E-1 Off-Site Hedge Baseline'!$B$1:$L$257,10,FALSE)),"",(VLOOKUP($B218,'E-1 Off-Site Hedge Baseline'!$B$1:$L$257,10,FALSE))))</f>
        <v/>
      </c>
      <c r="J218" s="382" t="str">
        <f>IF(B218="","",IF(ISNA(VLOOKUP($B218,'E-1 Off-Site Hedge Baseline'!$B$1:$L$257,11,FALSE)),"",(VLOOKUP($B218,'E-1 Off-Site Hedge Baseline'!$B$1:$L$257,11,FALSE))))</f>
        <v/>
      </c>
      <c r="K218" s="382" t="str">
        <f>IF(B218="","",IF(ISNA(VLOOKUP($B218,'E-1 Off-Site Hedge Baseline'!$B$1:$X$257,113,FALSE)),"",(VLOOKUP($B218,'E-1 Off-Site Hedge Baseline'!$B$1:$X$257,13,FALSE))))</f>
        <v/>
      </c>
      <c r="L218" s="370" t="str">
        <f>IF(B218="","",IF(ISNA(VLOOKUP($B218,'E-1 Off-Site Hedge Baseline'!$B$1:$X$257,12,FALSE)),"",(VLOOKUP($B218,'E-1 Off-Site Hedge Baseline'!$B$1:$X$257,12,FALSE))))</f>
        <v/>
      </c>
      <c r="M218" s="316" t="str">
        <f t="shared" si="27"/>
        <v/>
      </c>
      <c r="N218" s="362" t="str">
        <f>IFERROR(IF(B218="","",INDEX('G-6 Hedgerow Data'!$AN$3:$AZ$15,MATCH(C218,'G-6 Hedgerow Data'!$AM$3:$AM$15,0),MATCH(M218,'G-6 Hedgerow Data'!$AN$2:$AZ$2,0))),"")</f>
        <v/>
      </c>
      <c r="O218" s="363" t="str">
        <f t="shared" si="29"/>
        <v/>
      </c>
      <c r="P218" s="368" t="str">
        <f>IF(B218="","",VLOOKUP(B218,'E-1 Off-Site Hedge Baseline'!$B$10:W463,19,FALSE))</f>
        <v/>
      </c>
      <c r="Q218" s="362" t="str">
        <f>IF(M218="","",VLOOKUP(M218,'G-6 Hedgerow Data'!$B$2:$AG$15,2,FALSE))</f>
        <v/>
      </c>
      <c r="R218" s="363" t="str">
        <f>IF(M218="","",VLOOKUP(M218,'G-6 Hedgerow Data'!$B$2:$AG$15,3,FALSE))</f>
        <v/>
      </c>
      <c r="S218" s="114"/>
      <c r="T218" s="363" t="str">
        <f>IFERROR(IF(AND(Q218="V.Low",OR(S218="Good",S218="Moderate")),"Error ▲",VLOOKUP(S218,'G-1 All Habitats'!$Z$2:$AA$9,2,FALSE)),"")</f>
        <v/>
      </c>
      <c r="U218" s="114"/>
      <c r="V218" s="370" t="str">
        <f>IF(U218="","",IF(VLOOKUP(U218,'G-3 Multipliers'!$L$3:$N$6,2,FALSE)=0,"Spatial Data Missing ⚠",VLOOKUP(U218,'G-3 Multipliers'!$L$3:$N$6,2,FALSE)))</f>
        <v/>
      </c>
      <c r="W218" s="368" t="str">
        <f>IF(U218="","",IF(VLOOKUP(U218,'G-3 Multipliers'!$L$3:$N$6,3,FALSE)=0,"Spatial Data Missing ⚠",VLOOKUP(U218,'G-3 Multipliers'!$L$3:$N$6,3,FALSE)))</f>
        <v/>
      </c>
      <c r="X218" s="362" t="str">
        <f>IFERROR(IF(OR(LEFT(O218,5)="Error",LEFT(N218,5)="Error",T218="Error"),"Check Data ⚠",IF(F218&lt;R218,INDEX('G-6 Hedgerow Data'!$S$3:$AE$14,MATCH(C218,'G-6 Hedgerow Data'!$B$3:$B$14,0),MATCH(M218,'G-6 Hedgerow Data'!$S$2:$AE$2,0)),INDEX('G-6 Hedgerow Data'!$K$3:$Q$14,MATCH(M218,'G-6 Hedgerow Data'!$B$3:$B$14,0),MATCH(O218,'G-6 Hedgerow Data'!$K$2:$Q$2,0)))),"")</f>
        <v/>
      </c>
      <c r="Y218" s="159"/>
      <c r="Z218" s="159"/>
      <c r="AA218" s="370" t="str">
        <f t="shared" si="30"/>
        <v/>
      </c>
      <c r="AB218" s="383" t="str">
        <f t="shared" si="31"/>
        <v/>
      </c>
      <c r="AC218" s="384" t="str">
        <f t="shared" si="28"/>
        <v/>
      </c>
      <c r="AD218" s="398" t="str">
        <f>IF(M218="","",VLOOKUP(M218,'G-6 Hedgerow Data'!$B$3:$AG$15,31,FALSE))</f>
        <v/>
      </c>
      <c r="AE218" s="382" t="str">
        <f t="shared" si="32"/>
        <v/>
      </c>
      <c r="AF218" s="382" t="str">
        <f t="shared" si="33"/>
        <v/>
      </c>
      <c r="AG218" s="386" t="str">
        <f>IFERROR(IF(O218="","",VLOOKUP(AD218,'G-3 Multipliers'!$P$3:$Q$6,2,FALSE)),"")</f>
        <v/>
      </c>
      <c r="AH218" s="160"/>
      <c r="AI218" s="363" t="str">
        <f>IF(AH218="","",IF(VLOOKUP(AH218,'G-3 Multipliers'!$S$3:$T$10,2,FALSE)=0,"Spatial Data Missing ⚠",VLOOKUP(AH218,'G-3 Multipliers'!$S$3:$T$10,2,FALSE)))</f>
        <v/>
      </c>
      <c r="AJ218" s="405" t="str">
        <f t="shared" si="34"/>
        <v/>
      </c>
      <c r="AK218" s="376" t="str">
        <f t="shared" si="35"/>
        <v/>
      </c>
      <c r="AL218" s="117"/>
      <c r="AM218" s="118"/>
      <c r="AN218" s="120"/>
      <c r="AO218" s="120"/>
      <c r="AQ218" s="30" t="str">
        <f>IFERROR(INDEX('G-6 Hedgerow Data'!$BJ$3:$BJ$15,MATCH(M218,'G-6 Hedgerow Data'!$B$3:$B$15,0)),"")</f>
        <v/>
      </c>
    </row>
    <row r="219" spans="2:43" ht="15">
      <c r="B219" s="392" t="str">
        <f>'E-1 Off-Site Hedge Baseline'!AN217</f>
        <v/>
      </c>
      <c r="C219" s="382" t="str">
        <f>IF(B219="","",IF(ISNA(VLOOKUP($B219,'E-1 Off-Site Hedge Baseline'!$B$1:$L$257,3,FALSE)),"",(VLOOKUP($B219,'E-1 Off-Site Hedge Baseline'!$B$1:$L$257,3,FALSE))))</f>
        <v/>
      </c>
      <c r="D219" s="382" t="str">
        <f>IF(B219="","",IF(ISNA(VLOOKUP($B219,'E-1 Off-Site Hedge Baseline'!$B$1:$L$258,4,FALSE)),"",(VLOOKUP($B219,'E-1 Off-Site Hedge Baseline'!$B$1:$L$258,4,FALSE))))</f>
        <v/>
      </c>
      <c r="E219" s="382" t="str">
        <f>IF(B219="","",IF(ISNA(VLOOKUP($B219,'E-1 Off-Site Hedge Baseline'!$B$1:$L$257,5,FALSE)),"",(VLOOKUP($B219,'E-1 Off-Site Hedge Baseline'!$B$1:$L$257,5,FALSE))))</f>
        <v/>
      </c>
      <c r="F219" s="382" t="str">
        <f>IF(B219="","",IF(ISNA(VLOOKUP($B219,'E-1 Off-Site Hedge Baseline'!$B$1:$L$257,6,FALSE)),"",(VLOOKUP($B219,'E-1 Off-Site Hedge Baseline'!$B$1:$L$257,6,FALSE))))</f>
        <v/>
      </c>
      <c r="G219" s="382" t="str">
        <f>IF(B219="","",IF(ISNA(VLOOKUP($B219,'E-1 Off-Site Hedge Baseline'!$B$1:$L$257,7,FALSE)),"",(VLOOKUP($B219,'E-1 Off-Site Hedge Baseline'!$B$1:$L$257,7,FALSE))))</f>
        <v/>
      </c>
      <c r="H219" s="382" t="str">
        <f>IF(B219="","",IF(ISNA(VLOOKUP($B219,'E-1 Off-Site Hedge Baseline'!$B$1:$L$257,8,FALSE)),"",(VLOOKUP($B219,'E-1 Off-Site Hedge Baseline'!$B$1:$L$257,8,FALSE))))</f>
        <v/>
      </c>
      <c r="I219" s="382" t="str">
        <f>IF(B219="","",IF(ISNA(VLOOKUP($B219,'E-1 Off-Site Hedge Baseline'!$B$1:$L$257,10,FALSE)),"",(VLOOKUP($B219,'E-1 Off-Site Hedge Baseline'!$B$1:$L$257,10,FALSE))))</f>
        <v/>
      </c>
      <c r="J219" s="382" t="str">
        <f>IF(B219="","",IF(ISNA(VLOOKUP($B219,'E-1 Off-Site Hedge Baseline'!$B$1:$L$257,11,FALSE)),"",(VLOOKUP($B219,'E-1 Off-Site Hedge Baseline'!$B$1:$L$257,11,FALSE))))</f>
        <v/>
      </c>
      <c r="K219" s="382" t="str">
        <f>IF(B219="","",IF(ISNA(VLOOKUP($B219,'E-1 Off-Site Hedge Baseline'!$B$1:$X$257,113,FALSE)),"",(VLOOKUP($B219,'E-1 Off-Site Hedge Baseline'!$B$1:$X$257,13,FALSE))))</f>
        <v/>
      </c>
      <c r="L219" s="370" t="str">
        <f>IF(B219="","",IF(ISNA(VLOOKUP($B219,'E-1 Off-Site Hedge Baseline'!$B$1:$X$257,12,FALSE)),"",(VLOOKUP($B219,'E-1 Off-Site Hedge Baseline'!$B$1:$X$257,12,FALSE))))</f>
        <v/>
      </c>
      <c r="M219" s="316" t="str">
        <f t="shared" si="27"/>
        <v/>
      </c>
      <c r="N219" s="362" t="str">
        <f>IFERROR(IF(B219="","",INDEX('G-6 Hedgerow Data'!$AN$3:$AZ$15,MATCH(C219,'G-6 Hedgerow Data'!$AM$3:$AM$15,0),MATCH(M219,'G-6 Hedgerow Data'!$AN$2:$AZ$2,0))),"")</f>
        <v/>
      </c>
      <c r="O219" s="363" t="str">
        <f t="shared" si="29"/>
        <v/>
      </c>
      <c r="P219" s="368" t="str">
        <f>IF(B219="","",VLOOKUP(B219,'E-1 Off-Site Hedge Baseline'!$B$10:W464,19,FALSE))</f>
        <v/>
      </c>
      <c r="Q219" s="362" t="str">
        <f>IF(M219="","",VLOOKUP(M219,'G-6 Hedgerow Data'!$B$2:$AG$15,2,FALSE))</f>
        <v/>
      </c>
      <c r="R219" s="363" t="str">
        <f>IF(M219="","",VLOOKUP(M219,'G-6 Hedgerow Data'!$B$2:$AG$15,3,FALSE))</f>
        <v/>
      </c>
      <c r="S219" s="114"/>
      <c r="T219" s="363" t="str">
        <f>IFERROR(IF(AND(Q219="V.Low",OR(S219="Good",S219="Moderate")),"Error ▲",VLOOKUP(S219,'G-1 All Habitats'!$Z$2:$AA$9,2,FALSE)),"")</f>
        <v/>
      </c>
      <c r="U219" s="114"/>
      <c r="V219" s="370" t="str">
        <f>IF(U219="","",IF(VLOOKUP(U219,'G-3 Multipliers'!$L$3:$N$6,2,FALSE)=0,"Spatial Data Missing ⚠",VLOOKUP(U219,'G-3 Multipliers'!$L$3:$N$6,2,FALSE)))</f>
        <v/>
      </c>
      <c r="W219" s="368" t="str">
        <f>IF(U219="","",IF(VLOOKUP(U219,'G-3 Multipliers'!$L$3:$N$6,3,FALSE)=0,"Spatial Data Missing ⚠",VLOOKUP(U219,'G-3 Multipliers'!$L$3:$N$6,3,FALSE)))</f>
        <v/>
      </c>
      <c r="X219" s="362" t="str">
        <f>IFERROR(IF(OR(LEFT(O219,5)="Error",LEFT(N219,5)="Error",T219="Error"),"Check Data ⚠",IF(F219&lt;R219,INDEX('G-6 Hedgerow Data'!$S$3:$AE$14,MATCH(C219,'G-6 Hedgerow Data'!$B$3:$B$14,0),MATCH(M219,'G-6 Hedgerow Data'!$S$2:$AE$2,0)),INDEX('G-6 Hedgerow Data'!$K$3:$Q$14,MATCH(M219,'G-6 Hedgerow Data'!$B$3:$B$14,0),MATCH(O219,'G-6 Hedgerow Data'!$K$2:$Q$2,0)))),"")</f>
        <v/>
      </c>
      <c r="Y219" s="159"/>
      <c r="Z219" s="159"/>
      <c r="AA219" s="370" t="str">
        <f t="shared" si="30"/>
        <v/>
      </c>
      <c r="AB219" s="383" t="str">
        <f t="shared" si="31"/>
        <v/>
      </c>
      <c r="AC219" s="384" t="str">
        <f t="shared" si="28"/>
        <v/>
      </c>
      <c r="AD219" s="398" t="str">
        <f>IF(M219="","",VLOOKUP(M219,'G-6 Hedgerow Data'!$B$3:$AG$15,31,FALSE))</f>
        <v/>
      </c>
      <c r="AE219" s="382" t="str">
        <f t="shared" si="32"/>
        <v/>
      </c>
      <c r="AF219" s="382" t="str">
        <f t="shared" si="33"/>
        <v/>
      </c>
      <c r="AG219" s="386" t="str">
        <f>IFERROR(IF(O219="","",VLOOKUP(AD219,'G-3 Multipliers'!$P$3:$Q$6,2,FALSE)),"")</f>
        <v/>
      </c>
      <c r="AH219" s="160"/>
      <c r="AI219" s="363" t="str">
        <f>IF(AH219="","",IF(VLOOKUP(AH219,'G-3 Multipliers'!$S$3:$T$10,2,FALSE)=0,"Spatial Data Missing ⚠",VLOOKUP(AH219,'G-3 Multipliers'!$S$3:$T$10,2,FALSE)))</f>
        <v/>
      </c>
      <c r="AJ219" s="405" t="str">
        <f t="shared" si="34"/>
        <v/>
      </c>
      <c r="AK219" s="376" t="str">
        <f t="shared" si="35"/>
        <v/>
      </c>
      <c r="AL219" s="117"/>
      <c r="AM219" s="118"/>
      <c r="AN219" s="120"/>
      <c r="AO219" s="120"/>
      <c r="AQ219" s="30" t="str">
        <f>IFERROR(INDEX('G-6 Hedgerow Data'!$BJ$3:$BJ$15,MATCH(M219,'G-6 Hedgerow Data'!$B$3:$B$15,0)),"")</f>
        <v/>
      </c>
    </row>
    <row r="220" spans="2:43" ht="15">
      <c r="B220" s="392" t="str">
        <f>'E-1 Off-Site Hedge Baseline'!AN218</f>
        <v/>
      </c>
      <c r="C220" s="382" t="str">
        <f>IF(B220="","",IF(ISNA(VLOOKUP($B220,'E-1 Off-Site Hedge Baseline'!$B$1:$L$257,3,FALSE)),"",(VLOOKUP($B220,'E-1 Off-Site Hedge Baseline'!$B$1:$L$257,3,FALSE))))</f>
        <v/>
      </c>
      <c r="D220" s="382" t="str">
        <f>IF(B220="","",IF(ISNA(VLOOKUP($B220,'E-1 Off-Site Hedge Baseline'!$B$1:$L$258,4,FALSE)),"",(VLOOKUP($B220,'E-1 Off-Site Hedge Baseline'!$B$1:$L$258,4,FALSE))))</f>
        <v/>
      </c>
      <c r="E220" s="382" t="str">
        <f>IF(B220="","",IF(ISNA(VLOOKUP($B220,'E-1 Off-Site Hedge Baseline'!$B$1:$L$257,5,FALSE)),"",(VLOOKUP($B220,'E-1 Off-Site Hedge Baseline'!$B$1:$L$257,5,FALSE))))</f>
        <v/>
      </c>
      <c r="F220" s="382" t="str">
        <f>IF(B220="","",IF(ISNA(VLOOKUP($B220,'E-1 Off-Site Hedge Baseline'!$B$1:$L$257,6,FALSE)),"",(VLOOKUP($B220,'E-1 Off-Site Hedge Baseline'!$B$1:$L$257,6,FALSE))))</f>
        <v/>
      </c>
      <c r="G220" s="382" t="str">
        <f>IF(B220="","",IF(ISNA(VLOOKUP($B220,'E-1 Off-Site Hedge Baseline'!$B$1:$L$257,7,FALSE)),"",(VLOOKUP($B220,'E-1 Off-Site Hedge Baseline'!$B$1:$L$257,7,FALSE))))</f>
        <v/>
      </c>
      <c r="H220" s="382" t="str">
        <f>IF(B220="","",IF(ISNA(VLOOKUP($B220,'E-1 Off-Site Hedge Baseline'!$B$1:$L$257,8,FALSE)),"",(VLOOKUP($B220,'E-1 Off-Site Hedge Baseline'!$B$1:$L$257,8,FALSE))))</f>
        <v/>
      </c>
      <c r="I220" s="382" t="str">
        <f>IF(B220="","",IF(ISNA(VLOOKUP($B220,'E-1 Off-Site Hedge Baseline'!$B$1:$L$257,10,FALSE)),"",(VLOOKUP($B220,'E-1 Off-Site Hedge Baseline'!$B$1:$L$257,10,FALSE))))</f>
        <v/>
      </c>
      <c r="J220" s="382" t="str">
        <f>IF(B220="","",IF(ISNA(VLOOKUP($B220,'E-1 Off-Site Hedge Baseline'!$B$1:$L$257,11,FALSE)),"",(VLOOKUP($B220,'E-1 Off-Site Hedge Baseline'!$B$1:$L$257,11,FALSE))))</f>
        <v/>
      </c>
      <c r="K220" s="382" t="str">
        <f>IF(B220="","",IF(ISNA(VLOOKUP($B220,'E-1 Off-Site Hedge Baseline'!$B$1:$X$257,113,FALSE)),"",(VLOOKUP($B220,'E-1 Off-Site Hedge Baseline'!$B$1:$X$257,13,FALSE))))</f>
        <v/>
      </c>
      <c r="L220" s="370" t="str">
        <f>IF(B220="","",IF(ISNA(VLOOKUP($B220,'E-1 Off-Site Hedge Baseline'!$B$1:$X$257,12,FALSE)),"",(VLOOKUP($B220,'E-1 Off-Site Hedge Baseline'!$B$1:$X$257,12,FALSE))))</f>
        <v/>
      </c>
      <c r="M220" s="316" t="str">
        <f t="shared" si="27"/>
        <v/>
      </c>
      <c r="N220" s="362" t="str">
        <f>IFERROR(IF(B220="","",INDEX('G-6 Hedgerow Data'!$AN$3:$AZ$15,MATCH(C220,'G-6 Hedgerow Data'!$AM$3:$AM$15,0),MATCH(M220,'G-6 Hedgerow Data'!$AN$2:$AZ$2,0))),"")</f>
        <v/>
      </c>
      <c r="O220" s="363" t="str">
        <f t="shared" si="29"/>
        <v/>
      </c>
      <c r="P220" s="368" t="str">
        <f>IF(B220="","",VLOOKUP(B220,'E-1 Off-Site Hedge Baseline'!$B$10:W465,19,FALSE))</f>
        <v/>
      </c>
      <c r="Q220" s="362" t="str">
        <f>IF(M220="","",VLOOKUP(M220,'G-6 Hedgerow Data'!$B$2:$AG$15,2,FALSE))</f>
        <v/>
      </c>
      <c r="R220" s="363" t="str">
        <f>IF(M220="","",VLOOKUP(M220,'G-6 Hedgerow Data'!$B$2:$AG$15,3,FALSE))</f>
        <v/>
      </c>
      <c r="S220" s="114"/>
      <c r="T220" s="363" t="str">
        <f>IFERROR(IF(AND(Q220="V.Low",OR(S220="Good",S220="Moderate")),"Error ▲",VLOOKUP(S220,'G-1 All Habitats'!$Z$2:$AA$9,2,FALSE)),"")</f>
        <v/>
      </c>
      <c r="U220" s="114"/>
      <c r="V220" s="370" t="str">
        <f>IF(U220="","",IF(VLOOKUP(U220,'G-3 Multipliers'!$L$3:$N$6,2,FALSE)=0,"Spatial Data Missing ⚠",VLOOKUP(U220,'G-3 Multipliers'!$L$3:$N$6,2,FALSE)))</f>
        <v/>
      </c>
      <c r="W220" s="368" t="str">
        <f>IF(U220="","",IF(VLOOKUP(U220,'G-3 Multipliers'!$L$3:$N$6,3,FALSE)=0,"Spatial Data Missing ⚠",VLOOKUP(U220,'G-3 Multipliers'!$L$3:$N$6,3,FALSE)))</f>
        <v/>
      </c>
      <c r="X220" s="362" t="str">
        <f>IFERROR(IF(OR(LEFT(O220,5)="Error",LEFT(N220,5)="Error",T220="Error"),"Check Data ⚠",IF(F220&lt;R220,INDEX('G-6 Hedgerow Data'!$S$3:$AE$14,MATCH(C220,'G-6 Hedgerow Data'!$B$3:$B$14,0),MATCH(M220,'G-6 Hedgerow Data'!$S$2:$AE$2,0)),INDEX('G-6 Hedgerow Data'!$K$3:$Q$14,MATCH(M220,'G-6 Hedgerow Data'!$B$3:$B$14,0),MATCH(O220,'G-6 Hedgerow Data'!$K$2:$Q$2,0)))),"")</f>
        <v/>
      </c>
      <c r="Y220" s="159"/>
      <c r="Z220" s="159"/>
      <c r="AA220" s="370" t="str">
        <f t="shared" si="30"/>
        <v/>
      </c>
      <c r="AB220" s="383" t="str">
        <f t="shared" si="31"/>
        <v/>
      </c>
      <c r="AC220" s="384" t="str">
        <f t="shared" si="28"/>
        <v/>
      </c>
      <c r="AD220" s="398" t="str">
        <f>IF(M220="","",VLOOKUP(M220,'G-6 Hedgerow Data'!$B$3:$AG$15,31,FALSE))</f>
        <v/>
      </c>
      <c r="AE220" s="382" t="str">
        <f t="shared" si="32"/>
        <v/>
      </c>
      <c r="AF220" s="382" t="str">
        <f t="shared" si="33"/>
        <v/>
      </c>
      <c r="AG220" s="386" t="str">
        <f>IFERROR(IF(O220="","",VLOOKUP(AD220,'G-3 Multipliers'!$P$3:$Q$6,2,FALSE)),"")</f>
        <v/>
      </c>
      <c r="AH220" s="160"/>
      <c r="AI220" s="363" t="str">
        <f>IF(AH220="","",IF(VLOOKUP(AH220,'G-3 Multipliers'!$S$3:$T$10,2,FALSE)=0,"Spatial Data Missing ⚠",VLOOKUP(AH220,'G-3 Multipliers'!$S$3:$T$10,2,FALSE)))</f>
        <v/>
      </c>
      <c r="AJ220" s="405" t="str">
        <f t="shared" si="34"/>
        <v/>
      </c>
      <c r="AK220" s="376" t="str">
        <f t="shared" si="35"/>
        <v/>
      </c>
      <c r="AL220" s="117"/>
      <c r="AM220" s="118"/>
      <c r="AN220" s="120"/>
      <c r="AO220" s="120"/>
      <c r="AQ220" s="30" t="str">
        <f>IFERROR(INDEX('G-6 Hedgerow Data'!$BJ$3:$BJ$15,MATCH(M220,'G-6 Hedgerow Data'!$B$3:$B$15,0)),"")</f>
        <v/>
      </c>
    </row>
    <row r="221" spans="2:43" ht="15">
      <c r="B221" s="392" t="str">
        <f>'E-1 Off-Site Hedge Baseline'!AN219</f>
        <v/>
      </c>
      <c r="C221" s="382" t="str">
        <f>IF(B221="","",IF(ISNA(VLOOKUP($B221,'E-1 Off-Site Hedge Baseline'!$B$1:$L$257,3,FALSE)),"",(VLOOKUP($B221,'E-1 Off-Site Hedge Baseline'!$B$1:$L$257,3,FALSE))))</f>
        <v/>
      </c>
      <c r="D221" s="382" t="str">
        <f>IF(B221="","",IF(ISNA(VLOOKUP($B221,'E-1 Off-Site Hedge Baseline'!$B$1:$L$258,4,FALSE)),"",(VLOOKUP($B221,'E-1 Off-Site Hedge Baseline'!$B$1:$L$258,4,FALSE))))</f>
        <v/>
      </c>
      <c r="E221" s="382" t="str">
        <f>IF(B221="","",IF(ISNA(VLOOKUP($B221,'E-1 Off-Site Hedge Baseline'!$B$1:$L$257,5,FALSE)),"",(VLOOKUP($B221,'E-1 Off-Site Hedge Baseline'!$B$1:$L$257,5,FALSE))))</f>
        <v/>
      </c>
      <c r="F221" s="382" t="str">
        <f>IF(B221="","",IF(ISNA(VLOOKUP($B221,'E-1 Off-Site Hedge Baseline'!$B$1:$L$257,6,FALSE)),"",(VLOOKUP($B221,'E-1 Off-Site Hedge Baseline'!$B$1:$L$257,6,FALSE))))</f>
        <v/>
      </c>
      <c r="G221" s="382" t="str">
        <f>IF(B221="","",IF(ISNA(VLOOKUP($B221,'E-1 Off-Site Hedge Baseline'!$B$1:$L$257,7,FALSE)),"",(VLOOKUP($B221,'E-1 Off-Site Hedge Baseline'!$B$1:$L$257,7,FALSE))))</f>
        <v/>
      </c>
      <c r="H221" s="382" t="str">
        <f>IF(B221="","",IF(ISNA(VLOOKUP($B221,'E-1 Off-Site Hedge Baseline'!$B$1:$L$257,8,FALSE)),"",(VLOOKUP($B221,'E-1 Off-Site Hedge Baseline'!$B$1:$L$257,8,FALSE))))</f>
        <v/>
      </c>
      <c r="I221" s="382" t="str">
        <f>IF(B221="","",IF(ISNA(VLOOKUP($B221,'E-1 Off-Site Hedge Baseline'!$B$1:$L$257,10,FALSE)),"",(VLOOKUP($B221,'E-1 Off-Site Hedge Baseline'!$B$1:$L$257,10,FALSE))))</f>
        <v/>
      </c>
      <c r="J221" s="382" t="str">
        <f>IF(B221="","",IF(ISNA(VLOOKUP($B221,'E-1 Off-Site Hedge Baseline'!$B$1:$L$257,11,FALSE)),"",(VLOOKUP($B221,'E-1 Off-Site Hedge Baseline'!$B$1:$L$257,11,FALSE))))</f>
        <v/>
      </c>
      <c r="K221" s="382" t="str">
        <f>IF(B221="","",IF(ISNA(VLOOKUP($B221,'E-1 Off-Site Hedge Baseline'!$B$1:$X$257,113,FALSE)),"",(VLOOKUP($B221,'E-1 Off-Site Hedge Baseline'!$B$1:$X$257,13,FALSE))))</f>
        <v/>
      </c>
      <c r="L221" s="370" t="str">
        <f>IF(B221="","",IF(ISNA(VLOOKUP($B221,'E-1 Off-Site Hedge Baseline'!$B$1:$X$257,12,FALSE)),"",(VLOOKUP($B221,'E-1 Off-Site Hedge Baseline'!$B$1:$X$257,12,FALSE))))</f>
        <v/>
      </c>
      <c r="M221" s="316" t="str">
        <f t="shared" si="27"/>
        <v/>
      </c>
      <c r="N221" s="362" t="str">
        <f>IFERROR(IF(B221="","",INDEX('G-6 Hedgerow Data'!$AN$3:$AZ$15,MATCH(C221,'G-6 Hedgerow Data'!$AM$3:$AM$15,0),MATCH(M221,'G-6 Hedgerow Data'!$AN$2:$AZ$2,0))),"")</f>
        <v/>
      </c>
      <c r="O221" s="363" t="str">
        <f t="shared" si="29"/>
        <v/>
      </c>
      <c r="P221" s="368" t="str">
        <f>IF(B221="","",VLOOKUP(B221,'E-1 Off-Site Hedge Baseline'!$B$10:W466,19,FALSE))</f>
        <v/>
      </c>
      <c r="Q221" s="362" t="str">
        <f>IF(M221="","",VLOOKUP(M221,'G-6 Hedgerow Data'!$B$2:$AG$15,2,FALSE))</f>
        <v/>
      </c>
      <c r="R221" s="363" t="str">
        <f>IF(M221="","",VLOOKUP(M221,'G-6 Hedgerow Data'!$B$2:$AG$15,3,FALSE))</f>
        <v/>
      </c>
      <c r="S221" s="114"/>
      <c r="T221" s="363" t="str">
        <f>IFERROR(IF(AND(Q221="V.Low",OR(S221="Good",S221="Moderate")),"Error ▲",VLOOKUP(S221,'G-1 All Habitats'!$Z$2:$AA$9,2,FALSE)),"")</f>
        <v/>
      </c>
      <c r="U221" s="114"/>
      <c r="V221" s="370" t="str">
        <f>IF(U221="","",IF(VLOOKUP(U221,'G-3 Multipliers'!$L$3:$N$6,2,FALSE)=0,"Spatial Data Missing ⚠",VLOOKUP(U221,'G-3 Multipliers'!$L$3:$N$6,2,FALSE)))</f>
        <v/>
      </c>
      <c r="W221" s="368" t="str">
        <f>IF(U221="","",IF(VLOOKUP(U221,'G-3 Multipliers'!$L$3:$N$6,3,FALSE)=0,"Spatial Data Missing ⚠",VLOOKUP(U221,'G-3 Multipliers'!$L$3:$N$6,3,FALSE)))</f>
        <v/>
      </c>
      <c r="X221" s="362" t="str">
        <f>IFERROR(IF(OR(LEFT(O221,5)="Error",LEFT(N221,5)="Error",T221="Error"),"Check Data ⚠",IF(F221&lt;R221,INDEX('G-6 Hedgerow Data'!$S$3:$AE$14,MATCH(C221,'G-6 Hedgerow Data'!$B$3:$B$14,0),MATCH(M221,'G-6 Hedgerow Data'!$S$2:$AE$2,0)),INDEX('G-6 Hedgerow Data'!$K$3:$Q$14,MATCH(M221,'G-6 Hedgerow Data'!$B$3:$B$14,0),MATCH(O221,'G-6 Hedgerow Data'!$K$2:$Q$2,0)))),"")</f>
        <v/>
      </c>
      <c r="Y221" s="159"/>
      <c r="Z221" s="159"/>
      <c r="AA221" s="370" t="str">
        <f t="shared" si="30"/>
        <v/>
      </c>
      <c r="AB221" s="383" t="str">
        <f t="shared" si="31"/>
        <v/>
      </c>
      <c r="AC221" s="384" t="str">
        <f t="shared" si="28"/>
        <v/>
      </c>
      <c r="AD221" s="398" t="str">
        <f>IF(M221="","",VLOOKUP(M221,'G-6 Hedgerow Data'!$B$3:$AG$15,31,FALSE))</f>
        <v/>
      </c>
      <c r="AE221" s="382" t="str">
        <f t="shared" si="32"/>
        <v/>
      </c>
      <c r="AF221" s="382" t="str">
        <f t="shared" si="33"/>
        <v/>
      </c>
      <c r="AG221" s="386" t="str">
        <f>IFERROR(IF(O221="","",VLOOKUP(AD221,'G-3 Multipliers'!$P$3:$Q$6,2,FALSE)),"")</f>
        <v/>
      </c>
      <c r="AH221" s="160"/>
      <c r="AI221" s="363" t="str">
        <f>IF(AH221="","",IF(VLOOKUP(AH221,'G-3 Multipliers'!$S$3:$T$10,2,FALSE)=0,"Spatial Data Missing ⚠",VLOOKUP(AH221,'G-3 Multipliers'!$S$3:$T$10,2,FALSE)))</f>
        <v/>
      </c>
      <c r="AJ221" s="405" t="str">
        <f t="shared" si="34"/>
        <v/>
      </c>
      <c r="AK221" s="376" t="str">
        <f t="shared" si="35"/>
        <v/>
      </c>
      <c r="AL221" s="117"/>
      <c r="AM221" s="118"/>
      <c r="AN221" s="120"/>
      <c r="AO221" s="120"/>
      <c r="AQ221" s="30" t="str">
        <f>IFERROR(INDEX('G-6 Hedgerow Data'!$BJ$3:$BJ$15,MATCH(M221,'G-6 Hedgerow Data'!$B$3:$B$15,0)),"")</f>
        <v/>
      </c>
    </row>
    <row r="222" spans="2:43" ht="15">
      <c r="B222" s="392" t="str">
        <f>'E-1 Off-Site Hedge Baseline'!AN220</f>
        <v/>
      </c>
      <c r="C222" s="382" t="str">
        <f>IF(B222="","",IF(ISNA(VLOOKUP($B222,'E-1 Off-Site Hedge Baseline'!$B$1:$L$257,3,FALSE)),"",(VLOOKUP($B222,'E-1 Off-Site Hedge Baseline'!$B$1:$L$257,3,FALSE))))</f>
        <v/>
      </c>
      <c r="D222" s="382" t="str">
        <f>IF(B222="","",IF(ISNA(VLOOKUP($B222,'E-1 Off-Site Hedge Baseline'!$B$1:$L$258,4,FALSE)),"",(VLOOKUP($B222,'E-1 Off-Site Hedge Baseline'!$B$1:$L$258,4,FALSE))))</f>
        <v/>
      </c>
      <c r="E222" s="382" t="str">
        <f>IF(B222="","",IF(ISNA(VLOOKUP($B222,'E-1 Off-Site Hedge Baseline'!$B$1:$L$257,5,FALSE)),"",(VLOOKUP($B222,'E-1 Off-Site Hedge Baseline'!$B$1:$L$257,5,FALSE))))</f>
        <v/>
      </c>
      <c r="F222" s="382" t="str">
        <f>IF(B222="","",IF(ISNA(VLOOKUP($B222,'E-1 Off-Site Hedge Baseline'!$B$1:$L$257,6,FALSE)),"",(VLOOKUP($B222,'E-1 Off-Site Hedge Baseline'!$B$1:$L$257,6,FALSE))))</f>
        <v/>
      </c>
      <c r="G222" s="382" t="str">
        <f>IF(B222="","",IF(ISNA(VLOOKUP($B222,'E-1 Off-Site Hedge Baseline'!$B$1:$L$257,7,FALSE)),"",(VLOOKUP($B222,'E-1 Off-Site Hedge Baseline'!$B$1:$L$257,7,FALSE))))</f>
        <v/>
      </c>
      <c r="H222" s="382" t="str">
        <f>IF(B222="","",IF(ISNA(VLOOKUP($B222,'E-1 Off-Site Hedge Baseline'!$B$1:$L$257,8,FALSE)),"",(VLOOKUP($B222,'E-1 Off-Site Hedge Baseline'!$B$1:$L$257,8,FALSE))))</f>
        <v/>
      </c>
      <c r="I222" s="382" t="str">
        <f>IF(B222="","",IF(ISNA(VLOOKUP($B222,'E-1 Off-Site Hedge Baseline'!$B$1:$L$257,10,FALSE)),"",(VLOOKUP($B222,'E-1 Off-Site Hedge Baseline'!$B$1:$L$257,10,FALSE))))</f>
        <v/>
      </c>
      <c r="J222" s="382" t="str">
        <f>IF(B222="","",IF(ISNA(VLOOKUP($B222,'E-1 Off-Site Hedge Baseline'!$B$1:$L$257,11,FALSE)),"",(VLOOKUP($B222,'E-1 Off-Site Hedge Baseline'!$B$1:$L$257,11,FALSE))))</f>
        <v/>
      </c>
      <c r="K222" s="382" t="str">
        <f>IF(B222="","",IF(ISNA(VLOOKUP($B222,'E-1 Off-Site Hedge Baseline'!$B$1:$X$257,113,FALSE)),"",(VLOOKUP($B222,'E-1 Off-Site Hedge Baseline'!$B$1:$X$257,13,FALSE))))</f>
        <v/>
      </c>
      <c r="L222" s="370" t="str">
        <f>IF(B222="","",IF(ISNA(VLOOKUP($B222,'E-1 Off-Site Hedge Baseline'!$B$1:$X$257,12,FALSE)),"",(VLOOKUP($B222,'E-1 Off-Site Hedge Baseline'!$B$1:$X$257,12,FALSE))))</f>
        <v/>
      </c>
      <c r="M222" s="316" t="str">
        <f t="shared" si="27"/>
        <v/>
      </c>
      <c r="N222" s="362" t="str">
        <f>IFERROR(IF(B222="","",INDEX('G-6 Hedgerow Data'!$AN$3:$AZ$15,MATCH(C222,'G-6 Hedgerow Data'!$AM$3:$AM$15,0),MATCH(M222,'G-6 Hedgerow Data'!$AN$2:$AZ$2,0))),"")</f>
        <v/>
      </c>
      <c r="O222" s="363" t="str">
        <f t="shared" si="29"/>
        <v/>
      </c>
      <c r="P222" s="368" t="str">
        <f>IF(B222="","",VLOOKUP(B222,'E-1 Off-Site Hedge Baseline'!$B$10:W467,19,FALSE))</f>
        <v/>
      </c>
      <c r="Q222" s="362" t="str">
        <f>IF(M222="","",VLOOKUP(M222,'G-6 Hedgerow Data'!$B$2:$AG$15,2,FALSE))</f>
        <v/>
      </c>
      <c r="R222" s="363" t="str">
        <f>IF(M222="","",VLOOKUP(M222,'G-6 Hedgerow Data'!$B$2:$AG$15,3,FALSE))</f>
        <v/>
      </c>
      <c r="S222" s="114"/>
      <c r="T222" s="363" t="str">
        <f>IFERROR(IF(AND(Q222="V.Low",OR(S222="Good",S222="Moderate")),"Error ▲",VLOOKUP(S222,'G-1 All Habitats'!$Z$2:$AA$9,2,FALSE)),"")</f>
        <v/>
      </c>
      <c r="U222" s="114"/>
      <c r="V222" s="370" t="str">
        <f>IF(U222="","",IF(VLOOKUP(U222,'G-3 Multipliers'!$L$3:$N$6,2,FALSE)=0,"Spatial Data Missing ⚠",VLOOKUP(U222,'G-3 Multipliers'!$L$3:$N$6,2,FALSE)))</f>
        <v/>
      </c>
      <c r="W222" s="368" t="str">
        <f>IF(U222="","",IF(VLOOKUP(U222,'G-3 Multipliers'!$L$3:$N$6,3,FALSE)=0,"Spatial Data Missing ⚠",VLOOKUP(U222,'G-3 Multipliers'!$L$3:$N$6,3,FALSE)))</f>
        <v/>
      </c>
      <c r="X222" s="362" t="str">
        <f>IFERROR(IF(OR(LEFT(O222,5)="Error",LEFT(N222,5)="Error",T222="Error"),"Check Data ⚠",IF(F222&lt;R222,INDEX('G-6 Hedgerow Data'!$S$3:$AE$14,MATCH(C222,'G-6 Hedgerow Data'!$B$3:$B$14,0),MATCH(M222,'G-6 Hedgerow Data'!$S$2:$AE$2,0)),INDEX('G-6 Hedgerow Data'!$K$3:$Q$14,MATCH(M222,'G-6 Hedgerow Data'!$B$3:$B$14,0),MATCH(O222,'G-6 Hedgerow Data'!$K$2:$Q$2,0)))),"")</f>
        <v/>
      </c>
      <c r="Y222" s="159"/>
      <c r="Z222" s="159"/>
      <c r="AA222" s="370" t="str">
        <f t="shared" si="30"/>
        <v/>
      </c>
      <c r="AB222" s="383" t="str">
        <f t="shared" si="31"/>
        <v/>
      </c>
      <c r="AC222" s="384" t="str">
        <f t="shared" si="28"/>
        <v/>
      </c>
      <c r="AD222" s="398" t="str">
        <f>IF(M222="","",VLOOKUP(M222,'G-6 Hedgerow Data'!$B$3:$AG$15,31,FALSE))</f>
        <v/>
      </c>
      <c r="AE222" s="382" t="str">
        <f t="shared" si="32"/>
        <v/>
      </c>
      <c r="AF222" s="382" t="str">
        <f t="shared" si="33"/>
        <v/>
      </c>
      <c r="AG222" s="386" t="str">
        <f>IFERROR(IF(O222="","",VLOOKUP(AD222,'G-3 Multipliers'!$P$3:$Q$6,2,FALSE)),"")</f>
        <v/>
      </c>
      <c r="AH222" s="160"/>
      <c r="AI222" s="363" t="str">
        <f>IF(AH222="","",IF(VLOOKUP(AH222,'G-3 Multipliers'!$S$3:$T$10,2,FALSE)=0,"Spatial Data Missing ⚠",VLOOKUP(AH222,'G-3 Multipliers'!$S$3:$T$10,2,FALSE)))</f>
        <v/>
      </c>
      <c r="AJ222" s="405" t="str">
        <f t="shared" si="34"/>
        <v/>
      </c>
      <c r="AK222" s="376" t="str">
        <f t="shared" si="35"/>
        <v/>
      </c>
      <c r="AL222" s="117"/>
      <c r="AM222" s="118"/>
      <c r="AN222" s="120"/>
      <c r="AO222" s="120"/>
      <c r="AQ222" s="30" t="str">
        <f>IFERROR(INDEX('G-6 Hedgerow Data'!$BJ$3:$BJ$15,MATCH(M222,'G-6 Hedgerow Data'!$B$3:$B$15,0)),"")</f>
        <v/>
      </c>
    </row>
    <row r="223" spans="2:43" ht="15">
      <c r="B223" s="392" t="str">
        <f>'E-1 Off-Site Hedge Baseline'!AN221</f>
        <v/>
      </c>
      <c r="C223" s="382" t="str">
        <f>IF(B223="","",IF(ISNA(VLOOKUP($B223,'E-1 Off-Site Hedge Baseline'!$B$1:$L$257,3,FALSE)),"",(VLOOKUP($B223,'E-1 Off-Site Hedge Baseline'!$B$1:$L$257,3,FALSE))))</f>
        <v/>
      </c>
      <c r="D223" s="382" t="str">
        <f>IF(B223="","",IF(ISNA(VLOOKUP($B223,'E-1 Off-Site Hedge Baseline'!$B$1:$L$258,4,FALSE)),"",(VLOOKUP($B223,'E-1 Off-Site Hedge Baseline'!$B$1:$L$258,4,FALSE))))</f>
        <v/>
      </c>
      <c r="E223" s="382" t="str">
        <f>IF(B223="","",IF(ISNA(VLOOKUP($B223,'E-1 Off-Site Hedge Baseline'!$B$1:$L$257,5,FALSE)),"",(VLOOKUP($B223,'E-1 Off-Site Hedge Baseline'!$B$1:$L$257,5,FALSE))))</f>
        <v/>
      </c>
      <c r="F223" s="382" t="str">
        <f>IF(B223="","",IF(ISNA(VLOOKUP($B223,'E-1 Off-Site Hedge Baseline'!$B$1:$L$257,6,FALSE)),"",(VLOOKUP($B223,'E-1 Off-Site Hedge Baseline'!$B$1:$L$257,6,FALSE))))</f>
        <v/>
      </c>
      <c r="G223" s="382" t="str">
        <f>IF(B223="","",IF(ISNA(VLOOKUP($B223,'E-1 Off-Site Hedge Baseline'!$B$1:$L$257,7,FALSE)),"",(VLOOKUP($B223,'E-1 Off-Site Hedge Baseline'!$B$1:$L$257,7,FALSE))))</f>
        <v/>
      </c>
      <c r="H223" s="382" t="str">
        <f>IF(B223="","",IF(ISNA(VLOOKUP($B223,'E-1 Off-Site Hedge Baseline'!$B$1:$L$257,8,FALSE)),"",(VLOOKUP($B223,'E-1 Off-Site Hedge Baseline'!$B$1:$L$257,8,FALSE))))</f>
        <v/>
      </c>
      <c r="I223" s="382" t="str">
        <f>IF(B223="","",IF(ISNA(VLOOKUP($B223,'E-1 Off-Site Hedge Baseline'!$B$1:$L$257,10,FALSE)),"",(VLOOKUP($B223,'E-1 Off-Site Hedge Baseline'!$B$1:$L$257,10,FALSE))))</f>
        <v/>
      </c>
      <c r="J223" s="382" t="str">
        <f>IF(B223="","",IF(ISNA(VLOOKUP($B223,'E-1 Off-Site Hedge Baseline'!$B$1:$L$257,11,FALSE)),"",(VLOOKUP($B223,'E-1 Off-Site Hedge Baseline'!$B$1:$L$257,11,FALSE))))</f>
        <v/>
      </c>
      <c r="K223" s="382" t="str">
        <f>IF(B223="","",IF(ISNA(VLOOKUP($B223,'E-1 Off-Site Hedge Baseline'!$B$1:$X$257,113,FALSE)),"",(VLOOKUP($B223,'E-1 Off-Site Hedge Baseline'!$B$1:$X$257,13,FALSE))))</f>
        <v/>
      </c>
      <c r="L223" s="370" t="str">
        <f>IF(B223="","",IF(ISNA(VLOOKUP($B223,'E-1 Off-Site Hedge Baseline'!$B$1:$X$257,12,FALSE)),"",(VLOOKUP($B223,'E-1 Off-Site Hedge Baseline'!$B$1:$X$257,12,FALSE))))</f>
        <v/>
      </c>
      <c r="M223" s="316" t="str">
        <f t="shared" si="27"/>
        <v/>
      </c>
      <c r="N223" s="362" t="str">
        <f>IFERROR(IF(B223="","",INDEX('G-6 Hedgerow Data'!$AN$3:$AZ$15,MATCH(C223,'G-6 Hedgerow Data'!$AM$3:$AM$15,0),MATCH(M223,'G-6 Hedgerow Data'!$AN$2:$AZ$2,0))),"")</f>
        <v/>
      </c>
      <c r="O223" s="363" t="str">
        <f t="shared" si="29"/>
        <v/>
      </c>
      <c r="P223" s="368" t="str">
        <f>IF(B223="","",VLOOKUP(B223,'E-1 Off-Site Hedge Baseline'!$B$10:W468,19,FALSE))</f>
        <v/>
      </c>
      <c r="Q223" s="362" t="str">
        <f>IF(M223="","",VLOOKUP(M223,'G-6 Hedgerow Data'!$B$2:$AG$15,2,FALSE))</f>
        <v/>
      </c>
      <c r="R223" s="363" t="str">
        <f>IF(M223="","",VLOOKUP(M223,'G-6 Hedgerow Data'!$B$2:$AG$15,3,FALSE))</f>
        <v/>
      </c>
      <c r="S223" s="114"/>
      <c r="T223" s="363" t="str">
        <f>IFERROR(IF(AND(Q223="V.Low",OR(S223="Good",S223="Moderate")),"Error ▲",VLOOKUP(S223,'G-1 All Habitats'!$Z$2:$AA$9,2,FALSE)),"")</f>
        <v/>
      </c>
      <c r="U223" s="114"/>
      <c r="V223" s="370" t="str">
        <f>IF(U223="","",IF(VLOOKUP(U223,'G-3 Multipliers'!$L$3:$N$6,2,FALSE)=0,"Spatial Data Missing ⚠",VLOOKUP(U223,'G-3 Multipliers'!$L$3:$N$6,2,FALSE)))</f>
        <v/>
      </c>
      <c r="W223" s="368" t="str">
        <f>IF(U223="","",IF(VLOOKUP(U223,'G-3 Multipliers'!$L$3:$N$6,3,FALSE)=0,"Spatial Data Missing ⚠",VLOOKUP(U223,'G-3 Multipliers'!$L$3:$N$6,3,FALSE)))</f>
        <v/>
      </c>
      <c r="X223" s="362" t="str">
        <f>IFERROR(IF(OR(LEFT(O223,5)="Error",LEFT(N223,5)="Error",T223="Error"),"Check Data ⚠",IF(F223&lt;R223,INDEX('G-6 Hedgerow Data'!$S$3:$AE$14,MATCH(C223,'G-6 Hedgerow Data'!$B$3:$B$14,0),MATCH(M223,'G-6 Hedgerow Data'!$S$2:$AE$2,0)),INDEX('G-6 Hedgerow Data'!$K$3:$Q$14,MATCH(M223,'G-6 Hedgerow Data'!$B$3:$B$14,0),MATCH(O223,'G-6 Hedgerow Data'!$K$2:$Q$2,0)))),"")</f>
        <v/>
      </c>
      <c r="Y223" s="159"/>
      <c r="Z223" s="159"/>
      <c r="AA223" s="370" t="str">
        <f t="shared" si="30"/>
        <v/>
      </c>
      <c r="AB223" s="383" t="str">
        <f t="shared" si="31"/>
        <v/>
      </c>
      <c r="AC223" s="384" t="str">
        <f t="shared" si="28"/>
        <v/>
      </c>
      <c r="AD223" s="398" t="str">
        <f>IF(M223="","",VLOOKUP(M223,'G-6 Hedgerow Data'!$B$3:$AG$15,31,FALSE))</f>
        <v/>
      </c>
      <c r="AE223" s="382" t="str">
        <f t="shared" si="32"/>
        <v/>
      </c>
      <c r="AF223" s="382" t="str">
        <f t="shared" si="33"/>
        <v/>
      </c>
      <c r="AG223" s="386" t="str">
        <f>IFERROR(IF(O223="","",VLOOKUP(AD223,'G-3 Multipliers'!$P$3:$Q$6,2,FALSE)),"")</f>
        <v/>
      </c>
      <c r="AH223" s="160"/>
      <c r="AI223" s="363" t="str">
        <f>IF(AH223="","",IF(VLOOKUP(AH223,'G-3 Multipliers'!$S$3:$T$10,2,FALSE)=0,"Spatial Data Missing ⚠",VLOOKUP(AH223,'G-3 Multipliers'!$S$3:$T$10,2,FALSE)))</f>
        <v/>
      </c>
      <c r="AJ223" s="405" t="str">
        <f t="shared" si="34"/>
        <v/>
      </c>
      <c r="AK223" s="376" t="str">
        <f t="shared" si="35"/>
        <v/>
      </c>
      <c r="AL223" s="117"/>
      <c r="AM223" s="118"/>
      <c r="AN223" s="120"/>
      <c r="AO223" s="120"/>
      <c r="AQ223" s="30" t="str">
        <f>IFERROR(INDEX('G-6 Hedgerow Data'!$BJ$3:$BJ$15,MATCH(M223,'G-6 Hedgerow Data'!$B$3:$B$15,0)),"")</f>
        <v/>
      </c>
    </row>
    <row r="224" spans="2:43" ht="15">
      <c r="B224" s="392" t="str">
        <f>'E-1 Off-Site Hedge Baseline'!AN222</f>
        <v/>
      </c>
      <c r="C224" s="382" t="str">
        <f>IF(B224="","",IF(ISNA(VLOOKUP($B224,'E-1 Off-Site Hedge Baseline'!$B$1:$L$257,3,FALSE)),"",(VLOOKUP($B224,'E-1 Off-Site Hedge Baseline'!$B$1:$L$257,3,FALSE))))</f>
        <v/>
      </c>
      <c r="D224" s="382" t="str">
        <f>IF(B224="","",IF(ISNA(VLOOKUP($B224,'E-1 Off-Site Hedge Baseline'!$B$1:$L$258,4,FALSE)),"",(VLOOKUP($B224,'E-1 Off-Site Hedge Baseline'!$B$1:$L$258,4,FALSE))))</f>
        <v/>
      </c>
      <c r="E224" s="382" t="str">
        <f>IF(B224="","",IF(ISNA(VLOOKUP($B224,'E-1 Off-Site Hedge Baseline'!$B$1:$L$257,5,FALSE)),"",(VLOOKUP($B224,'E-1 Off-Site Hedge Baseline'!$B$1:$L$257,5,FALSE))))</f>
        <v/>
      </c>
      <c r="F224" s="382" t="str">
        <f>IF(B224="","",IF(ISNA(VLOOKUP($B224,'E-1 Off-Site Hedge Baseline'!$B$1:$L$257,6,FALSE)),"",(VLOOKUP($B224,'E-1 Off-Site Hedge Baseline'!$B$1:$L$257,6,FALSE))))</f>
        <v/>
      </c>
      <c r="G224" s="382" t="str">
        <f>IF(B224="","",IF(ISNA(VLOOKUP($B224,'E-1 Off-Site Hedge Baseline'!$B$1:$L$257,7,FALSE)),"",(VLOOKUP($B224,'E-1 Off-Site Hedge Baseline'!$B$1:$L$257,7,FALSE))))</f>
        <v/>
      </c>
      <c r="H224" s="382" t="str">
        <f>IF(B224="","",IF(ISNA(VLOOKUP($B224,'E-1 Off-Site Hedge Baseline'!$B$1:$L$257,8,FALSE)),"",(VLOOKUP($B224,'E-1 Off-Site Hedge Baseline'!$B$1:$L$257,8,FALSE))))</f>
        <v/>
      </c>
      <c r="I224" s="382" t="str">
        <f>IF(B224="","",IF(ISNA(VLOOKUP($B224,'E-1 Off-Site Hedge Baseline'!$B$1:$L$257,10,FALSE)),"",(VLOOKUP($B224,'E-1 Off-Site Hedge Baseline'!$B$1:$L$257,10,FALSE))))</f>
        <v/>
      </c>
      <c r="J224" s="382" t="str">
        <f>IF(B224="","",IF(ISNA(VLOOKUP($B224,'E-1 Off-Site Hedge Baseline'!$B$1:$L$257,11,FALSE)),"",(VLOOKUP($B224,'E-1 Off-Site Hedge Baseline'!$B$1:$L$257,11,FALSE))))</f>
        <v/>
      </c>
      <c r="K224" s="382" t="str">
        <f>IF(B224="","",IF(ISNA(VLOOKUP($B224,'E-1 Off-Site Hedge Baseline'!$B$1:$X$257,113,FALSE)),"",(VLOOKUP($B224,'E-1 Off-Site Hedge Baseline'!$B$1:$X$257,13,FALSE))))</f>
        <v/>
      </c>
      <c r="L224" s="370" t="str">
        <f>IF(B224="","",IF(ISNA(VLOOKUP($B224,'E-1 Off-Site Hedge Baseline'!$B$1:$X$257,12,FALSE)),"",(VLOOKUP($B224,'E-1 Off-Site Hedge Baseline'!$B$1:$X$257,12,FALSE))))</f>
        <v/>
      </c>
      <c r="M224" s="316" t="str">
        <f t="shared" si="27"/>
        <v/>
      </c>
      <c r="N224" s="362" t="str">
        <f>IFERROR(IF(B224="","",INDEX('G-6 Hedgerow Data'!$AN$3:$AZ$15,MATCH(C224,'G-6 Hedgerow Data'!$AM$3:$AM$15,0),MATCH(M224,'G-6 Hedgerow Data'!$AN$2:$AZ$2,0))),"")</f>
        <v/>
      </c>
      <c r="O224" s="363" t="str">
        <f t="shared" si="29"/>
        <v/>
      </c>
      <c r="P224" s="368" t="str">
        <f>IF(B224="","",VLOOKUP(B224,'E-1 Off-Site Hedge Baseline'!$B$10:W469,19,FALSE))</f>
        <v/>
      </c>
      <c r="Q224" s="362" t="str">
        <f>IF(M224="","",VLOOKUP(M224,'G-6 Hedgerow Data'!$B$2:$AG$15,2,FALSE))</f>
        <v/>
      </c>
      <c r="R224" s="363" t="str">
        <f>IF(M224="","",VLOOKUP(M224,'G-6 Hedgerow Data'!$B$2:$AG$15,3,FALSE))</f>
        <v/>
      </c>
      <c r="S224" s="114"/>
      <c r="T224" s="363" t="str">
        <f>IFERROR(IF(AND(Q224="V.Low",OR(S224="Good",S224="Moderate")),"Error ▲",VLOOKUP(S224,'G-1 All Habitats'!$Z$2:$AA$9,2,FALSE)),"")</f>
        <v/>
      </c>
      <c r="U224" s="114"/>
      <c r="V224" s="370" t="str">
        <f>IF(U224="","",IF(VLOOKUP(U224,'G-3 Multipliers'!$L$3:$N$6,2,FALSE)=0,"Spatial Data Missing ⚠",VLOOKUP(U224,'G-3 Multipliers'!$L$3:$N$6,2,FALSE)))</f>
        <v/>
      </c>
      <c r="W224" s="368" t="str">
        <f>IF(U224="","",IF(VLOOKUP(U224,'G-3 Multipliers'!$L$3:$N$6,3,FALSE)=0,"Spatial Data Missing ⚠",VLOOKUP(U224,'G-3 Multipliers'!$L$3:$N$6,3,FALSE)))</f>
        <v/>
      </c>
      <c r="X224" s="362" t="str">
        <f>IFERROR(IF(OR(LEFT(O224,5)="Error",LEFT(N224,5)="Error",T224="Error"),"Check Data ⚠",IF(F224&lt;R224,INDEX('G-6 Hedgerow Data'!$S$3:$AE$14,MATCH(C224,'G-6 Hedgerow Data'!$B$3:$B$14,0),MATCH(M224,'G-6 Hedgerow Data'!$S$2:$AE$2,0)),INDEX('G-6 Hedgerow Data'!$K$3:$Q$14,MATCH(M224,'G-6 Hedgerow Data'!$B$3:$B$14,0),MATCH(O224,'G-6 Hedgerow Data'!$K$2:$Q$2,0)))),"")</f>
        <v/>
      </c>
      <c r="Y224" s="159"/>
      <c r="Z224" s="159"/>
      <c r="AA224" s="370" t="str">
        <f t="shared" si="30"/>
        <v/>
      </c>
      <c r="AB224" s="383" t="str">
        <f t="shared" si="31"/>
        <v/>
      </c>
      <c r="AC224" s="384" t="str">
        <f t="shared" si="28"/>
        <v/>
      </c>
      <c r="AD224" s="398" t="str">
        <f>IF(M224="","",VLOOKUP(M224,'G-6 Hedgerow Data'!$B$3:$AG$15,31,FALSE))</f>
        <v/>
      </c>
      <c r="AE224" s="382" t="str">
        <f t="shared" si="32"/>
        <v/>
      </c>
      <c r="AF224" s="382" t="str">
        <f t="shared" si="33"/>
        <v/>
      </c>
      <c r="AG224" s="386" t="str">
        <f>IFERROR(IF(O224="","",VLOOKUP(AD224,'G-3 Multipliers'!$P$3:$Q$6,2,FALSE)),"")</f>
        <v/>
      </c>
      <c r="AH224" s="160"/>
      <c r="AI224" s="363" t="str">
        <f>IF(AH224="","",IF(VLOOKUP(AH224,'G-3 Multipliers'!$S$3:$T$10,2,FALSE)=0,"Spatial Data Missing ⚠",VLOOKUP(AH224,'G-3 Multipliers'!$S$3:$T$10,2,FALSE)))</f>
        <v/>
      </c>
      <c r="AJ224" s="405" t="str">
        <f t="shared" si="34"/>
        <v/>
      </c>
      <c r="AK224" s="376" t="str">
        <f t="shared" si="35"/>
        <v/>
      </c>
      <c r="AL224" s="117"/>
      <c r="AM224" s="118"/>
      <c r="AN224" s="120"/>
      <c r="AO224" s="120"/>
      <c r="AQ224" s="30" t="str">
        <f>IFERROR(INDEX('G-6 Hedgerow Data'!$BJ$3:$BJ$15,MATCH(M224,'G-6 Hedgerow Data'!$B$3:$B$15,0)),"")</f>
        <v/>
      </c>
    </row>
    <row r="225" spans="2:43" ht="15">
      <c r="B225" s="392" t="str">
        <f>'E-1 Off-Site Hedge Baseline'!AN223</f>
        <v/>
      </c>
      <c r="C225" s="382" t="str">
        <f>IF(B225="","",IF(ISNA(VLOOKUP($B225,'E-1 Off-Site Hedge Baseline'!$B$1:$L$257,3,FALSE)),"",(VLOOKUP($B225,'E-1 Off-Site Hedge Baseline'!$B$1:$L$257,3,FALSE))))</f>
        <v/>
      </c>
      <c r="D225" s="382" t="str">
        <f>IF(B225="","",IF(ISNA(VLOOKUP($B225,'E-1 Off-Site Hedge Baseline'!$B$1:$L$258,4,FALSE)),"",(VLOOKUP($B225,'E-1 Off-Site Hedge Baseline'!$B$1:$L$258,4,FALSE))))</f>
        <v/>
      </c>
      <c r="E225" s="382" t="str">
        <f>IF(B225="","",IF(ISNA(VLOOKUP($B225,'E-1 Off-Site Hedge Baseline'!$B$1:$L$257,5,FALSE)),"",(VLOOKUP($B225,'E-1 Off-Site Hedge Baseline'!$B$1:$L$257,5,FALSE))))</f>
        <v/>
      </c>
      <c r="F225" s="382" t="str">
        <f>IF(B225="","",IF(ISNA(VLOOKUP($B225,'E-1 Off-Site Hedge Baseline'!$B$1:$L$257,6,FALSE)),"",(VLOOKUP($B225,'E-1 Off-Site Hedge Baseline'!$B$1:$L$257,6,FALSE))))</f>
        <v/>
      </c>
      <c r="G225" s="382" t="str">
        <f>IF(B225="","",IF(ISNA(VLOOKUP($B225,'E-1 Off-Site Hedge Baseline'!$B$1:$L$257,7,FALSE)),"",(VLOOKUP($B225,'E-1 Off-Site Hedge Baseline'!$B$1:$L$257,7,FALSE))))</f>
        <v/>
      </c>
      <c r="H225" s="382" t="str">
        <f>IF(B225="","",IF(ISNA(VLOOKUP($B225,'E-1 Off-Site Hedge Baseline'!$B$1:$L$257,8,FALSE)),"",(VLOOKUP($B225,'E-1 Off-Site Hedge Baseline'!$B$1:$L$257,8,FALSE))))</f>
        <v/>
      </c>
      <c r="I225" s="382" t="str">
        <f>IF(B225="","",IF(ISNA(VLOOKUP($B225,'E-1 Off-Site Hedge Baseline'!$B$1:$L$257,10,FALSE)),"",(VLOOKUP($B225,'E-1 Off-Site Hedge Baseline'!$B$1:$L$257,10,FALSE))))</f>
        <v/>
      </c>
      <c r="J225" s="382" t="str">
        <f>IF(B225="","",IF(ISNA(VLOOKUP($B225,'E-1 Off-Site Hedge Baseline'!$B$1:$L$257,11,FALSE)),"",(VLOOKUP($B225,'E-1 Off-Site Hedge Baseline'!$B$1:$L$257,11,FALSE))))</f>
        <v/>
      </c>
      <c r="K225" s="382" t="str">
        <f>IF(B225="","",IF(ISNA(VLOOKUP($B225,'E-1 Off-Site Hedge Baseline'!$B$1:$X$257,113,FALSE)),"",(VLOOKUP($B225,'E-1 Off-Site Hedge Baseline'!$B$1:$X$257,13,FALSE))))</f>
        <v/>
      </c>
      <c r="L225" s="370" t="str">
        <f>IF(B225="","",IF(ISNA(VLOOKUP($B225,'E-1 Off-Site Hedge Baseline'!$B$1:$X$257,12,FALSE)),"",(VLOOKUP($B225,'E-1 Off-Site Hedge Baseline'!$B$1:$X$257,12,FALSE))))</f>
        <v/>
      </c>
      <c r="M225" s="316" t="str">
        <f t="shared" si="27"/>
        <v/>
      </c>
      <c r="N225" s="362" t="str">
        <f>IFERROR(IF(B225="","",INDEX('G-6 Hedgerow Data'!$AN$3:$AZ$15,MATCH(C225,'G-6 Hedgerow Data'!$AM$3:$AM$15,0),MATCH(M225,'G-6 Hedgerow Data'!$AN$2:$AZ$2,0))),"")</f>
        <v/>
      </c>
      <c r="O225" s="363" t="str">
        <f t="shared" si="29"/>
        <v/>
      </c>
      <c r="P225" s="368" t="str">
        <f>IF(B225="","",VLOOKUP(B225,'E-1 Off-Site Hedge Baseline'!$B$10:W470,19,FALSE))</f>
        <v/>
      </c>
      <c r="Q225" s="362" t="str">
        <f>IF(M225="","",VLOOKUP(M225,'G-6 Hedgerow Data'!$B$2:$AG$15,2,FALSE))</f>
        <v/>
      </c>
      <c r="R225" s="363" t="str">
        <f>IF(M225="","",VLOOKUP(M225,'G-6 Hedgerow Data'!$B$2:$AG$15,3,FALSE))</f>
        <v/>
      </c>
      <c r="S225" s="114"/>
      <c r="T225" s="363" t="str">
        <f>IFERROR(IF(AND(Q225="V.Low",OR(S225="Good",S225="Moderate")),"Error ▲",VLOOKUP(S225,'G-1 All Habitats'!$Z$2:$AA$9,2,FALSE)),"")</f>
        <v/>
      </c>
      <c r="U225" s="114"/>
      <c r="V225" s="370" t="str">
        <f>IF(U225="","",IF(VLOOKUP(U225,'G-3 Multipliers'!$L$3:$N$6,2,FALSE)=0,"Spatial Data Missing ⚠",VLOOKUP(U225,'G-3 Multipliers'!$L$3:$N$6,2,FALSE)))</f>
        <v/>
      </c>
      <c r="W225" s="368" t="str">
        <f>IF(U225="","",IF(VLOOKUP(U225,'G-3 Multipliers'!$L$3:$N$6,3,FALSE)=0,"Spatial Data Missing ⚠",VLOOKUP(U225,'G-3 Multipliers'!$L$3:$N$6,3,FALSE)))</f>
        <v/>
      </c>
      <c r="X225" s="362" t="str">
        <f>IFERROR(IF(OR(LEFT(O225,5)="Error",LEFT(N225,5)="Error",T225="Error"),"Check Data ⚠",IF(F225&lt;R225,INDEX('G-6 Hedgerow Data'!$S$3:$AE$14,MATCH(C225,'G-6 Hedgerow Data'!$B$3:$B$14,0),MATCH(M225,'G-6 Hedgerow Data'!$S$2:$AE$2,0)),INDEX('G-6 Hedgerow Data'!$K$3:$Q$14,MATCH(M225,'G-6 Hedgerow Data'!$B$3:$B$14,0),MATCH(O225,'G-6 Hedgerow Data'!$K$2:$Q$2,0)))),"")</f>
        <v/>
      </c>
      <c r="Y225" s="159"/>
      <c r="Z225" s="159"/>
      <c r="AA225" s="370" t="str">
        <f t="shared" si="30"/>
        <v/>
      </c>
      <c r="AB225" s="383" t="str">
        <f t="shared" si="31"/>
        <v/>
      </c>
      <c r="AC225" s="384" t="str">
        <f t="shared" si="28"/>
        <v/>
      </c>
      <c r="AD225" s="398" t="str">
        <f>IF(M225="","",VLOOKUP(M225,'G-6 Hedgerow Data'!$B$3:$AG$15,31,FALSE))</f>
        <v/>
      </c>
      <c r="AE225" s="382" t="str">
        <f t="shared" si="32"/>
        <v/>
      </c>
      <c r="AF225" s="382" t="str">
        <f t="shared" si="33"/>
        <v/>
      </c>
      <c r="AG225" s="386" t="str">
        <f>IFERROR(IF(O225="","",VLOOKUP(AD225,'G-3 Multipliers'!$P$3:$Q$6,2,FALSE)),"")</f>
        <v/>
      </c>
      <c r="AH225" s="160"/>
      <c r="AI225" s="363" t="str">
        <f>IF(AH225="","",IF(VLOOKUP(AH225,'G-3 Multipliers'!$S$3:$T$10,2,FALSE)=0,"Spatial Data Missing ⚠",VLOOKUP(AH225,'G-3 Multipliers'!$S$3:$T$10,2,FALSE)))</f>
        <v/>
      </c>
      <c r="AJ225" s="405" t="str">
        <f t="shared" si="34"/>
        <v/>
      </c>
      <c r="AK225" s="376" t="str">
        <f t="shared" si="35"/>
        <v/>
      </c>
      <c r="AL225" s="117"/>
      <c r="AM225" s="118"/>
      <c r="AN225" s="120"/>
      <c r="AO225" s="120"/>
      <c r="AQ225" s="30" t="str">
        <f>IFERROR(INDEX('G-6 Hedgerow Data'!$BJ$3:$BJ$15,MATCH(M225,'G-6 Hedgerow Data'!$B$3:$B$15,0)),"")</f>
        <v/>
      </c>
    </row>
    <row r="226" spans="2:43" ht="15">
      <c r="B226" s="392" t="str">
        <f>'E-1 Off-Site Hedge Baseline'!AN224</f>
        <v/>
      </c>
      <c r="C226" s="382" t="str">
        <f>IF(B226="","",IF(ISNA(VLOOKUP($B226,'E-1 Off-Site Hedge Baseline'!$B$1:$L$257,3,FALSE)),"",(VLOOKUP($B226,'E-1 Off-Site Hedge Baseline'!$B$1:$L$257,3,FALSE))))</f>
        <v/>
      </c>
      <c r="D226" s="382" t="str">
        <f>IF(B226="","",IF(ISNA(VLOOKUP($B226,'E-1 Off-Site Hedge Baseline'!$B$1:$L$258,4,FALSE)),"",(VLOOKUP($B226,'E-1 Off-Site Hedge Baseline'!$B$1:$L$258,4,FALSE))))</f>
        <v/>
      </c>
      <c r="E226" s="382" t="str">
        <f>IF(B226="","",IF(ISNA(VLOOKUP($B226,'E-1 Off-Site Hedge Baseline'!$B$1:$L$257,5,FALSE)),"",(VLOOKUP($B226,'E-1 Off-Site Hedge Baseline'!$B$1:$L$257,5,FALSE))))</f>
        <v/>
      </c>
      <c r="F226" s="382" t="str">
        <f>IF(B226="","",IF(ISNA(VLOOKUP($B226,'E-1 Off-Site Hedge Baseline'!$B$1:$L$257,6,FALSE)),"",(VLOOKUP($B226,'E-1 Off-Site Hedge Baseline'!$B$1:$L$257,6,FALSE))))</f>
        <v/>
      </c>
      <c r="G226" s="382" t="str">
        <f>IF(B226="","",IF(ISNA(VLOOKUP($B226,'E-1 Off-Site Hedge Baseline'!$B$1:$L$257,7,FALSE)),"",(VLOOKUP($B226,'E-1 Off-Site Hedge Baseline'!$B$1:$L$257,7,FALSE))))</f>
        <v/>
      </c>
      <c r="H226" s="382" t="str">
        <f>IF(B226="","",IF(ISNA(VLOOKUP($B226,'E-1 Off-Site Hedge Baseline'!$B$1:$L$257,8,FALSE)),"",(VLOOKUP($B226,'E-1 Off-Site Hedge Baseline'!$B$1:$L$257,8,FALSE))))</f>
        <v/>
      </c>
      <c r="I226" s="382" t="str">
        <f>IF(B226="","",IF(ISNA(VLOOKUP($B226,'E-1 Off-Site Hedge Baseline'!$B$1:$L$257,10,FALSE)),"",(VLOOKUP($B226,'E-1 Off-Site Hedge Baseline'!$B$1:$L$257,10,FALSE))))</f>
        <v/>
      </c>
      <c r="J226" s="382" t="str">
        <f>IF(B226="","",IF(ISNA(VLOOKUP($B226,'E-1 Off-Site Hedge Baseline'!$B$1:$L$257,11,FALSE)),"",(VLOOKUP($B226,'E-1 Off-Site Hedge Baseline'!$B$1:$L$257,11,FALSE))))</f>
        <v/>
      </c>
      <c r="K226" s="382" t="str">
        <f>IF(B226="","",IF(ISNA(VLOOKUP($B226,'E-1 Off-Site Hedge Baseline'!$B$1:$X$257,113,FALSE)),"",(VLOOKUP($B226,'E-1 Off-Site Hedge Baseline'!$B$1:$X$257,13,FALSE))))</f>
        <v/>
      </c>
      <c r="L226" s="370" t="str">
        <f>IF(B226="","",IF(ISNA(VLOOKUP($B226,'E-1 Off-Site Hedge Baseline'!$B$1:$X$257,12,FALSE)),"",(VLOOKUP($B226,'E-1 Off-Site Hedge Baseline'!$B$1:$X$257,12,FALSE))))</f>
        <v/>
      </c>
      <c r="M226" s="316" t="str">
        <f t="shared" si="27"/>
        <v/>
      </c>
      <c r="N226" s="362" t="str">
        <f>IFERROR(IF(B226="","",INDEX('G-6 Hedgerow Data'!$AN$3:$AZ$15,MATCH(C226,'G-6 Hedgerow Data'!$AM$3:$AM$15,0),MATCH(M226,'G-6 Hedgerow Data'!$AN$2:$AZ$2,0))),"")</f>
        <v/>
      </c>
      <c r="O226" s="363" t="str">
        <f t="shared" si="29"/>
        <v/>
      </c>
      <c r="P226" s="368" t="str">
        <f>IF(B226="","",VLOOKUP(B226,'E-1 Off-Site Hedge Baseline'!$B$10:W471,19,FALSE))</f>
        <v/>
      </c>
      <c r="Q226" s="362" t="str">
        <f>IF(M226="","",VLOOKUP(M226,'G-6 Hedgerow Data'!$B$2:$AG$15,2,FALSE))</f>
        <v/>
      </c>
      <c r="R226" s="363" t="str">
        <f>IF(M226="","",VLOOKUP(M226,'G-6 Hedgerow Data'!$B$2:$AG$15,3,FALSE))</f>
        <v/>
      </c>
      <c r="S226" s="114"/>
      <c r="T226" s="363" t="str">
        <f>IFERROR(IF(AND(Q226="V.Low",OR(S226="Good",S226="Moderate")),"Error ▲",VLOOKUP(S226,'G-1 All Habitats'!$Z$2:$AA$9,2,FALSE)),"")</f>
        <v/>
      </c>
      <c r="U226" s="114"/>
      <c r="V226" s="370" t="str">
        <f>IF(U226="","",IF(VLOOKUP(U226,'G-3 Multipliers'!$L$3:$N$6,2,FALSE)=0,"Spatial Data Missing ⚠",VLOOKUP(U226,'G-3 Multipliers'!$L$3:$N$6,2,FALSE)))</f>
        <v/>
      </c>
      <c r="W226" s="368" t="str">
        <f>IF(U226="","",IF(VLOOKUP(U226,'G-3 Multipliers'!$L$3:$N$6,3,FALSE)=0,"Spatial Data Missing ⚠",VLOOKUP(U226,'G-3 Multipliers'!$L$3:$N$6,3,FALSE)))</f>
        <v/>
      </c>
      <c r="X226" s="362" t="str">
        <f>IFERROR(IF(OR(LEFT(O226,5)="Error",LEFT(N226,5)="Error",T226="Error"),"Check Data ⚠",IF(F226&lt;R226,INDEX('G-6 Hedgerow Data'!$S$3:$AE$14,MATCH(C226,'G-6 Hedgerow Data'!$B$3:$B$14,0),MATCH(M226,'G-6 Hedgerow Data'!$S$2:$AE$2,0)),INDEX('G-6 Hedgerow Data'!$K$3:$Q$14,MATCH(M226,'G-6 Hedgerow Data'!$B$3:$B$14,0),MATCH(O226,'G-6 Hedgerow Data'!$K$2:$Q$2,0)))),"")</f>
        <v/>
      </c>
      <c r="Y226" s="159"/>
      <c r="Z226" s="159"/>
      <c r="AA226" s="370" t="str">
        <f t="shared" si="30"/>
        <v/>
      </c>
      <c r="AB226" s="383" t="str">
        <f t="shared" si="31"/>
        <v/>
      </c>
      <c r="AC226" s="384" t="str">
        <f t="shared" si="28"/>
        <v/>
      </c>
      <c r="AD226" s="398" t="str">
        <f>IF(M226="","",VLOOKUP(M226,'G-6 Hedgerow Data'!$B$3:$AG$15,31,FALSE))</f>
        <v/>
      </c>
      <c r="AE226" s="382" t="str">
        <f t="shared" si="32"/>
        <v/>
      </c>
      <c r="AF226" s="382" t="str">
        <f t="shared" si="33"/>
        <v/>
      </c>
      <c r="AG226" s="386" t="str">
        <f>IFERROR(IF(O226="","",VLOOKUP(AD226,'G-3 Multipliers'!$P$3:$Q$6,2,FALSE)),"")</f>
        <v/>
      </c>
      <c r="AH226" s="160"/>
      <c r="AI226" s="363" t="str">
        <f>IF(AH226="","",IF(VLOOKUP(AH226,'G-3 Multipliers'!$S$3:$T$10,2,FALSE)=0,"Spatial Data Missing ⚠",VLOOKUP(AH226,'G-3 Multipliers'!$S$3:$T$10,2,FALSE)))</f>
        <v/>
      </c>
      <c r="AJ226" s="405" t="str">
        <f t="shared" si="34"/>
        <v/>
      </c>
      <c r="AK226" s="376" t="str">
        <f t="shared" si="35"/>
        <v/>
      </c>
      <c r="AL226" s="117"/>
      <c r="AM226" s="118"/>
      <c r="AN226" s="120"/>
      <c r="AO226" s="120"/>
      <c r="AQ226" s="30" t="str">
        <f>IFERROR(INDEX('G-6 Hedgerow Data'!$BJ$3:$BJ$15,MATCH(M226,'G-6 Hedgerow Data'!$B$3:$B$15,0)),"")</f>
        <v/>
      </c>
    </row>
    <row r="227" spans="2:43" ht="15">
      <c r="B227" s="392" t="str">
        <f>'E-1 Off-Site Hedge Baseline'!AN225</f>
        <v/>
      </c>
      <c r="C227" s="382" t="str">
        <f>IF(B227="","",IF(ISNA(VLOOKUP($B227,'E-1 Off-Site Hedge Baseline'!$B$1:$L$257,3,FALSE)),"",(VLOOKUP($B227,'E-1 Off-Site Hedge Baseline'!$B$1:$L$257,3,FALSE))))</f>
        <v/>
      </c>
      <c r="D227" s="382" t="str">
        <f>IF(B227="","",IF(ISNA(VLOOKUP($B227,'E-1 Off-Site Hedge Baseline'!$B$1:$L$258,4,FALSE)),"",(VLOOKUP($B227,'E-1 Off-Site Hedge Baseline'!$B$1:$L$258,4,FALSE))))</f>
        <v/>
      </c>
      <c r="E227" s="382" t="str">
        <f>IF(B227="","",IF(ISNA(VLOOKUP($B227,'E-1 Off-Site Hedge Baseline'!$B$1:$L$257,5,FALSE)),"",(VLOOKUP($B227,'E-1 Off-Site Hedge Baseline'!$B$1:$L$257,5,FALSE))))</f>
        <v/>
      </c>
      <c r="F227" s="382" t="str">
        <f>IF(B227="","",IF(ISNA(VLOOKUP($B227,'E-1 Off-Site Hedge Baseline'!$B$1:$L$257,6,FALSE)),"",(VLOOKUP($B227,'E-1 Off-Site Hedge Baseline'!$B$1:$L$257,6,FALSE))))</f>
        <v/>
      </c>
      <c r="G227" s="382" t="str">
        <f>IF(B227="","",IF(ISNA(VLOOKUP($B227,'E-1 Off-Site Hedge Baseline'!$B$1:$L$257,7,FALSE)),"",(VLOOKUP($B227,'E-1 Off-Site Hedge Baseline'!$B$1:$L$257,7,FALSE))))</f>
        <v/>
      </c>
      <c r="H227" s="382" t="str">
        <f>IF(B227="","",IF(ISNA(VLOOKUP($B227,'E-1 Off-Site Hedge Baseline'!$B$1:$L$257,8,FALSE)),"",(VLOOKUP($B227,'E-1 Off-Site Hedge Baseline'!$B$1:$L$257,8,FALSE))))</f>
        <v/>
      </c>
      <c r="I227" s="382" t="str">
        <f>IF(B227="","",IF(ISNA(VLOOKUP($B227,'E-1 Off-Site Hedge Baseline'!$B$1:$L$257,10,FALSE)),"",(VLOOKUP($B227,'E-1 Off-Site Hedge Baseline'!$B$1:$L$257,10,FALSE))))</f>
        <v/>
      </c>
      <c r="J227" s="382" t="str">
        <f>IF(B227="","",IF(ISNA(VLOOKUP($B227,'E-1 Off-Site Hedge Baseline'!$B$1:$L$257,11,FALSE)),"",(VLOOKUP($B227,'E-1 Off-Site Hedge Baseline'!$B$1:$L$257,11,FALSE))))</f>
        <v/>
      </c>
      <c r="K227" s="382" t="str">
        <f>IF(B227="","",IF(ISNA(VLOOKUP($B227,'E-1 Off-Site Hedge Baseline'!$B$1:$X$257,113,FALSE)),"",(VLOOKUP($B227,'E-1 Off-Site Hedge Baseline'!$B$1:$X$257,13,FALSE))))</f>
        <v/>
      </c>
      <c r="L227" s="370" t="str">
        <f>IF(B227="","",IF(ISNA(VLOOKUP($B227,'E-1 Off-Site Hedge Baseline'!$B$1:$X$257,12,FALSE)),"",(VLOOKUP($B227,'E-1 Off-Site Hedge Baseline'!$B$1:$X$257,12,FALSE))))</f>
        <v/>
      </c>
      <c r="M227" s="316" t="str">
        <f t="shared" si="27"/>
        <v/>
      </c>
      <c r="N227" s="362" t="str">
        <f>IFERROR(IF(B227="","",INDEX('G-6 Hedgerow Data'!$AN$3:$AZ$15,MATCH(C227,'G-6 Hedgerow Data'!$AM$3:$AM$15,0),MATCH(M227,'G-6 Hedgerow Data'!$AN$2:$AZ$2,0))),"")</f>
        <v/>
      </c>
      <c r="O227" s="363" t="str">
        <f t="shared" si="29"/>
        <v/>
      </c>
      <c r="P227" s="368" t="str">
        <f>IF(B227="","",VLOOKUP(B227,'E-1 Off-Site Hedge Baseline'!$B$10:W472,19,FALSE))</f>
        <v/>
      </c>
      <c r="Q227" s="362" t="str">
        <f>IF(M227="","",VLOOKUP(M227,'G-6 Hedgerow Data'!$B$2:$AG$15,2,FALSE))</f>
        <v/>
      </c>
      <c r="R227" s="363" t="str">
        <f>IF(M227="","",VLOOKUP(M227,'G-6 Hedgerow Data'!$B$2:$AG$15,3,FALSE))</f>
        <v/>
      </c>
      <c r="S227" s="114"/>
      <c r="T227" s="363" t="str">
        <f>IFERROR(IF(AND(Q227="V.Low",OR(S227="Good",S227="Moderate")),"Error ▲",VLOOKUP(S227,'G-1 All Habitats'!$Z$2:$AA$9,2,FALSE)),"")</f>
        <v/>
      </c>
      <c r="U227" s="114"/>
      <c r="V227" s="370" t="str">
        <f>IF(U227="","",IF(VLOOKUP(U227,'G-3 Multipliers'!$L$3:$N$6,2,FALSE)=0,"Spatial Data Missing ⚠",VLOOKUP(U227,'G-3 Multipliers'!$L$3:$N$6,2,FALSE)))</f>
        <v/>
      </c>
      <c r="W227" s="368" t="str">
        <f>IF(U227="","",IF(VLOOKUP(U227,'G-3 Multipliers'!$L$3:$N$6,3,FALSE)=0,"Spatial Data Missing ⚠",VLOOKUP(U227,'G-3 Multipliers'!$L$3:$N$6,3,FALSE)))</f>
        <v/>
      </c>
      <c r="X227" s="362" t="str">
        <f>IFERROR(IF(OR(LEFT(O227,5)="Error",LEFT(N227,5)="Error",T227="Error"),"Check Data ⚠",IF(F227&lt;R227,INDEX('G-6 Hedgerow Data'!$S$3:$AE$14,MATCH(C227,'G-6 Hedgerow Data'!$B$3:$B$14,0),MATCH(M227,'G-6 Hedgerow Data'!$S$2:$AE$2,0)),INDEX('G-6 Hedgerow Data'!$K$3:$Q$14,MATCH(M227,'G-6 Hedgerow Data'!$B$3:$B$14,0),MATCH(O227,'G-6 Hedgerow Data'!$K$2:$Q$2,0)))),"")</f>
        <v/>
      </c>
      <c r="Y227" s="159"/>
      <c r="Z227" s="159"/>
      <c r="AA227" s="370" t="str">
        <f t="shared" si="30"/>
        <v/>
      </c>
      <c r="AB227" s="383" t="str">
        <f t="shared" si="31"/>
        <v/>
      </c>
      <c r="AC227" s="384" t="str">
        <f t="shared" si="28"/>
        <v/>
      </c>
      <c r="AD227" s="398" t="str">
        <f>IF(M227="","",VLOOKUP(M227,'G-6 Hedgerow Data'!$B$3:$AG$15,31,FALSE))</f>
        <v/>
      </c>
      <c r="AE227" s="382" t="str">
        <f t="shared" si="32"/>
        <v/>
      </c>
      <c r="AF227" s="382" t="str">
        <f t="shared" si="33"/>
        <v/>
      </c>
      <c r="AG227" s="386" t="str">
        <f>IFERROR(IF(O227="","",VLOOKUP(AD227,'G-3 Multipliers'!$P$3:$Q$6,2,FALSE)),"")</f>
        <v/>
      </c>
      <c r="AH227" s="160"/>
      <c r="AI227" s="363" t="str">
        <f>IF(AH227="","",IF(VLOOKUP(AH227,'G-3 Multipliers'!$S$3:$T$10,2,FALSE)=0,"Spatial Data Missing ⚠",VLOOKUP(AH227,'G-3 Multipliers'!$S$3:$T$10,2,FALSE)))</f>
        <v/>
      </c>
      <c r="AJ227" s="405" t="str">
        <f t="shared" si="34"/>
        <v/>
      </c>
      <c r="AK227" s="376" t="str">
        <f t="shared" si="35"/>
        <v/>
      </c>
      <c r="AL227" s="117"/>
      <c r="AM227" s="118"/>
      <c r="AN227" s="120"/>
      <c r="AO227" s="120"/>
      <c r="AQ227" s="30" t="str">
        <f>IFERROR(INDEX('G-6 Hedgerow Data'!$BJ$3:$BJ$15,MATCH(M227,'G-6 Hedgerow Data'!$B$3:$B$15,0)),"")</f>
        <v/>
      </c>
    </row>
    <row r="228" spans="2:43" ht="15">
      <c r="B228" s="392" t="str">
        <f>'E-1 Off-Site Hedge Baseline'!AN226</f>
        <v/>
      </c>
      <c r="C228" s="382" t="str">
        <f>IF(B228="","",IF(ISNA(VLOOKUP($B228,'E-1 Off-Site Hedge Baseline'!$B$1:$L$257,3,FALSE)),"",(VLOOKUP($B228,'E-1 Off-Site Hedge Baseline'!$B$1:$L$257,3,FALSE))))</f>
        <v/>
      </c>
      <c r="D228" s="382" t="str">
        <f>IF(B228="","",IF(ISNA(VLOOKUP($B228,'E-1 Off-Site Hedge Baseline'!$B$1:$L$258,4,FALSE)),"",(VLOOKUP($B228,'E-1 Off-Site Hedge Baseline'!$B$1:$L$258,4,FALSE))))</f>
        <v/>
      </c>
      <c r="E228" s="382" t="str">
        <f>IF(B228="","",IF(ISNA(VLOOKUP($B228,'E-1 Off-Site Hedge Baseline'!$B$1:$L$257,5,FALSE)),"",(VLOOKUP($B228,'E-1 Off-Site Hedge Baseline'!$B$1:$L$257,5,FALSE))))</f>
        <v/>
      </c>
      <c r="F228" s="382" t="str">
        <f>IF(B228="","",IF(ISNA(VLOOKUP($B228,'E-1 Off-Site Hedge Baseline'!$B$1:$L$257,6,FALSE)),"",(VLOOKUP($B228,'E-1 Off-Site Hedge Baseline'!$B$1:$L$257,6,FALSE))))</f>
        <v/>
      </c>
      <c r="G228" s="382" t="str">
        <f>IF(B228="","",IF(ISNA(VLOOKUP($B228,'E-1 Off-Site Hedge Baseline'!$B$1:$L$257,7,FALSE)),"",(VLOOKUP($B228,'E-1 Off-Site Hedge Baseline'!$B$1:$L$257,7,FALSE))))</f>
        <v/>
      </c>
      <c r="H228" s="382" t="str">
        <f>IF(B228="","",IF(ISNA(VLOOKUP($B228,'E-1 Off-Site Hedge Baseline'!$B$1:$L$257,8,FALSE)),"",(VLOOKUP($B228,'E-1 Off-Site Hedge Baseline'!$B$1:$L$257,8,FALSE))))</f>
        <v/>
      </c>
      <c r="I228" s="382" t="str">
        <f>IF(B228="","",IF(ISNA(VLOOKUP($B228,'E-1 Off-Site Hedge Baseline'!$B$1:$L$257,10,FALSE)),"",(VLOOKUP($B228,'E-1 Off-Site Hedge Baseline'!$B$1:$L$257,10,FALSE))))</f>
        <v/>
      </c>
      <c r="J228" s="382" t="str">
        <f>IF(B228="","",IF(ISNA(VLOOKUP($B228,'E-1 Off-Site Hedge Baseline'!$B$1:$L$257,11,FALSE)),"",(VLOOKUP($B228,'E-1 Off-Site Hedge Baseline'!$B$1:$L$257,11,FALSE))))</f>
        <v/>
      </c>
      <c r="K228" s="382" t="str">
        <f>IF(B228="","",IF(ISNA(VLOOKUP($B228,'E-1 Off-Site Hedge Baseline'!$B$1:$X$257,113,FALSE)),"",(VLOOKUP($B228,'E-1 Off-Site Hedge Baseline'!$B$1:$X$257,13,FALSE))))</f>
        <v/>
      </c>
      <c r="L228" s="370" t="str">
        <f>IF(B228="","",IF(ISNA(VLOOKUP($B228,'E-1 Off-Site Hedge Baseline'!$B$1:$X$257,12,FALSE)),"",(VLOOKUP($B228,'E-1 Off-Site Hedge Baseline'!$B$1:$X$257,12,FALSE))))</f>
        <v/>
      </c>
      <c r="M228" s="316" t="str">
        <f t="shared" si="27"/>
        <v/>
      </c>
      <c r="N228" s="362" t="str">
        <f>IFERROR(IF(B228="","",INDEX('G-6 Hedgerow Data'!$AN$3:$AZ$15,MATCH(C228,'G-6 Hedgerow Data'!$AM$3:$AM$15,0),MATCH(M228,'G-6 Hedgerow Data'!$AN$2:$AZ$2,0))),"")</f>
        <v/>
      </c>
      <c r="O228" s="363" t="str">
        <f t="shared" si="29"/>
        <v/>
      </c>
      <c r="P228" s="368" t="str">
        <f>IF(B228="","",VLOOKUP(B228,'E-1 Off-Site Hedge Baseline'!$B$10:W473,19,FALSE))</f>
        <v/>
      </c>
      <c r="Q228" s="362" t="str">
        <f>IF(M228="","",VLOOKUP(M228,'G-6 Hedgerow Data'!$B$2:$AG$15,2,FALSE))</f>
        <v/>
      </c>
      <c r="R228" s="363" t="str">
        <f>IF(M228="","",VLOOKUP(M228,'G-6 Hedgerow Data'!$B$2:$AG$15,3,FALSE))</f>
        <v/>
      </c>
      <c r="S228" s="114"/>
      <c r="T228" s="363" t="str">
        <f>IFERROR(IF(AND(Q228="V.Low",OR(S228="Good",S228="Moderate")),"Error ▲",VLOOKUP(S228,'G-1 All Habitats'!$Z$2:$AA$9,2,FALSE)),"")</f>
        <v/>
      </c>
      <c r="U228" s="114"/>
      <c r="V228" s="370" t="str">
        <f>IF(U228="","",IF(VLOOKUP(U228,'G-3 Multipliers'!$L$3:$N$6,2,FALSE)=0,"Spatial Data Missing ⚠",VLOOKUP(U228,'G-3 Multipliers'!$L$3:$N$6,2,FALSE)))</f>
        <v/>
      </c>
      <c r="W228" s="368" t="str">
        <f>IF(U228="","",IF(VLOOKUP(U228,'G-3 Multipliers'!$L$3:$N$6,3,FALSE)=0,"Spatial Data Missing ⚠",VLOOKUP(U228,'G-3 Multipliers'!$L$3:$N$6,3,FALSE)))</f>
        <v/>
      </c>
      <c r="X228" s="362" t="str">
        <f>IFERROR(IF(OR(LEFT(O228,5)="Error",LEFT(N228,5)="Error",T228="Error"),"Check Data ⚠",IF(F228&lt;R228,INDEX('G-6 Hedgerow Data'!$S$3:$AE$14,MATCH(C228,'G-6 Hedgerow Data'!$B$3:$B$14,0),MATCH(M228,'G-6 Hedgerow Data'!$S$2:$AE$2,0)),INDEX('G-6 Hedgerow Data'!$K$3:$Q$14,MATCH(M228,'G-6 Hedgerow Data'!$B$3:$B$14,0),MATCH(O228,'G-6 Hedgerow Data'!$K$2:$Q$2,0)))),"")</f>
        <v/>
      </c>
      <c r="Y228" s="159"/>
      <c r="Z228" s="159"/>
      <c r="AA228" s="370" t="str">
        <f t="shared" si="30"/>
        <v/>
      </c>
      <c r="AB228" s="383" t="str">
        <f t="shared" si="31"/>
        <v/>
      </c>
      <c r="AC228" s="384" t="str">
        <f t="shared" si="28"/>
        <v/>
      </c>
      <c r="AD228" s="398" t="str">
        <f>IF(M228="","",VLOOKUP(M228,'G-6 Hedgerow Data'!$B$3:$AG$15,31,FALSE))</f>
        <v/>
      </c>
      <c r="AE228" s="382" t="str">
        <f t="shared" si="32"/>
        <v/>
      </c>
      <c r="AF228" s="382" t="str">
        <f t="shared" si="33"/>
        <v/>
      </c>
      <c r="AG228" s="386" t="str">
        <f>IFERROR(IF(O228="","",VLOOKUP(AD228,'G-3 Multipliers'!$P$3:$Q$6,2,FALSE)),"")</f>
        <v/>
      </c>
      <c r="AH228" s="160"/>
      <c r="AI228" s="363" t="str">
        <f>IF(AH228="","",IF(VLOOKUP(AH228,'G-3 Multipliers'!$S$3:$T$10,2,FALSE)=0,"Spatial Data Missing ⚠",VLOOKUP(AH228,'G-3 Multipliers'!$S$3:$T$10,2,FALSE)))</f>
        <v/>
      </c>
      <c r="AJ228" s="405" t="str">
        <f t="shared" si="34"/>
        <v/>
      </c>
      <c r="AK228" s="376" t="str">
        <f t="shared" si="35"/>
        <v/>
      </c>
      <c r="AL228" s="117"/>
      <c r="AM228" s="118"/>
      <c r="AN228" s="120"/>
      <c r="AO228" s="120"/>
      <c r="AQ228" s="30" t="str">
        <f>IFERROR(INDEX('G-6 Hedgerow Data'!$BJ$3:$BJ$15,MATCH(M228,'G-6 Hedgerow Data'!$B$3:$B$15,0)),"")</f>
        <v/>
      </c>
    </row>
    <row r="229" spans="2:43" ht="15">
      <c r="B229" s="392" t="str">
        <f>'E-1 Off-Site Hedge Baseline'!AN227</f>
        <v/>
      </c>
      <c r="C229" s="382" t="str">
        <f>IF(B229="","",IF(ISNA(VLOOKUP($B229,'E-1 Off-Site Hedge Baseline'!$B$1:$L$257,3,FALSE)),"",(VLOOKUP($B229,'E-1 Off-Site Hedge Baseline'!$B$1:$L$257,3,FALSE))))</f>
        <v/>
      </c>
      <c r="D229" s="382" t="str">
        <f>IF(B229="","",IF(ISNA(VLOOKUP($B229,'E-1 Off-Site Hedge Baseline'!$B$1:$L$258,4,FALSE)),"",(VLOOKUP($B229,'E-1 Off-Site Hedge Baseline'!$B$1:$L$258,4,FALSE))))</f>
        <v/>
      </c>
      <c r="E229" s="382" t="str">
        <f>IF(B229="","",IF(ISNA(VLOOKUP($B229,'E-1 Off-Site Hedge Baseline'!$B$1:$L$257,5,FALSE)),"",(VLOOKUP($B229,'E-1 Off-Site Hedge Baseline'!$B$1:$L$257,5,FALSE))))</f>
        <v/>
      </c>
      <c r="F229" s="382" t="str">
        <f>IF(B229="","",IF(ISNA(VLOOKUP($B229,'E-1 Off-Site Hedge Baseline'!$B$1:$L$257,6,FALSE)),"",(VLOOKUP($B229,'E-1 Off-Site Hedge Baseline'!$B$1:$L$257,6,FALSE))))</f>
        <v/>
      </c>
      <c r="G229" s="382" t="str">
        <f>IF(B229="","",IF(ISNA(VLOOKUP($B229,'E-1 Off-Site Hedge Baseline'!$B$1:$L$257,7,FALSE)),"",(VLOOKUP($B229,'E-1 Off-Site Hedge Baseline'!$B$1:$L$257,7,FALSE))))</f>
        <v/>
      </c>
      <c r="H229" s="382" t="str">
        <f>IF(B229="","",IF(ISNA(VLOOKUP($B229,'E-1 Off-Site Hedge Baseline'!$B$1:$L$257,8,FALSE)),"",(VLOOKUP($B229,'E-1 Off-Site Hedge Baseline'!$B$1:$L$257,8,FALSE))))</f>
        <v/>
      </c>
      <c r="I229" s="382" t="str">
        <f>IF(B229="","",IF(ISNA(VLOOKUP($B229,'E-1 Off-Site Hedge Baseline'!$B$1:$L$257,10,FALSE)),"",(VLOOKUP($B229,'E-1 Off-Site Hedge Baseline'!$B$1:$L$257,10,FALSE))))</f>
        <v/>
      </c>
      <c r="J229" s="382" t="str">
        <f>IF(B229="","",IF(ISNA(VLOOKUP($B229,'E-1 Off-Site Hedge Baseline'!$B$1:$L$257,11,FALSE)),"",(VLOOKUP($B229,'E-1 Off-Site Hedge Baseline'!$B$1:$L$257,11,FALSE))))</f>
        <v/>
      </c>
      <c r="K229" s="382" t="str">
        <f>IF(B229="","",IF(ISNA(VLOOKUP($B229,'E-1 Off-Site Hedge Baseline'!$B$1:$X$257,113,FALSE)),"",(VLOOKUP($B229,'E-1 Off-Site Hedge Baseline'!$B$1:$X$257,13,FALSE))))</f>
        <v/>
      </c>
      <c r="L229" s="370" t="str">
        <f>IF(B229="","",IF(ISNA(VLOOKUP($B229,'E-1 Off-Site Hedge Baseline'!$B$1:$X$257,12,FALSE)),"",(VLOOKUP($B229,'E-1 Off-Site Hedge Baseline'!$B$1:$X$257,12,FALSE))))</f>
        <v/>
      </c>
      <c r="M229" s="316" t="str">
        <f t="shared" si="27"/>
        <v/>
      </c>
      <c r="N229" s="362" t="str">
        <f>IFERROR(IF(B229="","",INDEX('G-6 Hedgerow Data'!$AN$3:$AZ$15,MATCH(C229,'G-6 Hedgerow Data'!$AM$3:$AM$15,0),MATCH(M229,'G-6 Hedgerow Data'!$AN$2:$AZ$2,0))),"")</f>
        <v/>
      </c>
      <c r="O229" s="363" t="str">
        <f t="shared" si="29"/>
        <v/>
      </c>
      <c r="P229" s="368" t="str">
        <f>IF(B229="","",VLOOKUP(B229,'E-1 Off-Site Hedge Baseline'!$B$10:W474,19,FALSE))</f>
        <v/>
      </c>
      <c r="Q229" s="362" t="str">
        <f>IF(M229="","",VLOOKUP(M229,'G-6 Hedgerow Data'!$B$2:$AG$15,2,FALSE))</f>
        <v/>
      </c>
      <c r="R229" s="363" t="str">
        <f>IF(M229="","",VLOOKUP(M229,'G-6 Hedgerow Data'!$B$2:$AG$15,3,FALSE))</f>
        <v/>
      </c>
      <c r="S229" s="114"/>
      <c r="T229" s="363" t="str">
        <f>IFERROR(IF(AND(Q229="V.Low",OR(S229="Good",S229="Moderate")),"Error ▲",VLOOKUP(S229,'G-1 All Habitats'!$Z$2:$AA$9,2,FALSE)),"")</f>
        <v/>
      </c>
      <c r="U229" s="114"/>
      <c r="V229" s="370" t="str">
        <f>IF(U229="","",IF(VLOOKUP(U229,'G-3 Multipliers'!$L$3:$N$6,2,FALSE)=0,"Spatial Data Missing ⚠",VLOOKUP(U229,'G-3 Multipliers'!$L$3:$N$6,2,FALSE)))</f>
        <v/>
      </c>
      <c r="W229" s="368" t="str">
        <f>IF(U229="","",IF(VLOOKUP(U229,'G-3 Multipliers'!$L$3:$N$6,3,FALSE)=0,"Spatial Data Missing ⚠",VLOOKUP(U229,'G-3 Multipliers'!$L$3:$N$6,3,FALSE)))</f>
        <v/>
      </c>
      <c r="X229" s="362" t="str">
        <f>IFERROR(IF(OR(LEFT(O229,5)="Error",LEFT(N229,5)="Error",T229="Error"),"Check Data ⚠",IF(F229&lt;R229,INDEX('G-6 Hedgerow Data'!$S$3:$AE$14,MATCH(C229,'G-6 Hedgerow Data'!$B$3:$B$14,0),MATCH(M229,'G-6 Hedgerow Data'!$S$2:$AE$2,0)),INDEX('G-6 Hedgerow Data'!$K$3:$Q$14,MATCH(M229,'G-6 Hedgerow Data'!$B$3:$B$14,0),MATCH(O229,'G-6 Hedgerow Data'!$K$2:$Q$2,0)))),"")</f>
        <v/>
      </c>
      <c r="Y229" s="159"/>
      <c r="Z229" s="159"/>
      <c r="AA229" s="370" t="str">
        <f t="shared" si="30"/>
        <v/>
      </c>
      <c r="AB229" s="383" t="str">
        <f t="shared" si="31"/>
        <v/>
      </c>
      <c r="AC229" s="384" t="str">
        <f t="shared" si="28"/>
        <v/>
      </c>
      <c r="AD229" s="398" t="str">
        <f>IF(M229="","",VLOOKUP(M229,'G-6 Hedgerow Data'!$B$3:$AG$15,31,FALSE))</f>
        <v/>
      </c>
      <c r="AE229" s="382" t="str">
        <f t="shared" si="32"/>
        <v/>
      </c>
      <c r="AF229" s="382" t="str">
        <f t="shared" si="33"/>
        <v/>
      </c>
      <c r="AG229" s="386" t="str">
        <f>IFERROR(IF(O229="","",VLOOKUP(AD229,'G-3 Multipliers'!$P$3:$Q$6,2,FALSE)),"")</f>
        <v/>
      </c>
      <c r="AH229" s="160"/>
      <c r="AI229" s="363" t="str">
        <f>IF(AH229="","",IF(VLOOKUP(AH229,'G-3 Multipliers'!$S$3:$T$10,2,FALSE)=0,"Spatial Data Missing ⚠",VLOOKUP(AH229,'G-3 Multipliers'!$S$3:$T$10,2,FALSE)))</f>
        <v/>
      </c>
      <c r="AJ229" s="405" t="str">
        <f t="shared" si="34"/>
        <v/>
      </c>
      <c r="AK229" s="376" t="str">
        <f t="shared" si="35"/>
        <v/>
      </c>
      <c r="AL229" s="117"/>
      <c r="AM229" s="118"/>
      <c r="AN229" s="120"/>
      <c r="AO229" s="120"/>
      <c r="AQ229" s="30" t="str">
        <f>IFERROR(INDEX('G-6 Hedgerow Data'!$BJ$3:$BJ$15,MATCH(M229,'G-6 Hedgerow Data'!$B$3:$B$15,0)),"")</f>
        <v/>
      </c>
    </row>
    <row r="230" spans="2:43" ht="15">
      <c r="B230" s="392" t="str">
        <f>'E-1 Off-Site Hedge Baseline'!AN228</f>
        <v/>
      </c>
      <c r="C230" s="382" t="str">
        <f>IF(B230="","",IF(ISNA(VLOOKUP($B230,'E-1 Off-Site Hedge Baseline'!$B$1:$L$257,3,FALSE)),"",(VLOOKUP($B230,'E-1 Off-Site Hedge Baseline'!$B$1:$L$257,3,FALSE))))</f>
        <v/>
      </c>
      <c r="D230" s="382" t="str">
        <f>IF(B230="","",IF(ISNA(VLOOKUP($B230,'E-1 Off-Site Hedge Baseline'!$B$1:$L$258,4,FALSE)),"",(VLOOKUP($B230,'E-1 Off-Site Hedge Baseline'!$B$1:$L$258,4,FALSE))))</f>
        <v/>
      </c>
      <c r="E230" s="382" t="str">
        <f>IF(B230="","",IF(ISNA(VLOOKUP($B230,'E-1 Off-Site Hedge Baseline'!$B$1:$L$257,5,FALSE)),"",(VLOOKUP($B230,'E-1 Off-Site Hedge Baseline'!$B$1:$L$257,5,FALSE))))</f>
        <v/>
      </c>
      <c r="F230" s="382" t="str">
        <f>IF(B230="","",IF(ISNA(VLOOKUP($B230,'E-1 Off-Site Hedge Baseline'!$B$1:$L$257,6,FALSE)),"",(VLOOKUP($B230,'E-1 Off-Site Hedge Baseline'!$B$1:$L$257,6,FALSE))))</f>
        <v/>
      </c>
      <c r="G230" s="382" t="str">
        <f>IF(B230="","",IF(ISNA(VLOOKUP($B230,'E-1 Off-Site Hedge Baseline'!$B$1:$L$257,7,FALSE)),"",(VLOOKUP($B230,'E-1 Off-Site Hedge Baseline'!$B$1:$L$257,7,FALSE))))</f>
        <v/>
      </c>
      <c r="H230" s="382" t="str">
        <f>IF(B230="","",IF(ISNA(VLOOKUP($B230,'E-1 Off-Site Hedge Baseline'!$B$1:$L$257,8,FALSE)),"",(VLOOKUP($B230,'E-1 Off-Site Hedge Baseline'!$B$1:$L$257,8,FALSE))))</f>
        <v/>
      </c>
      <c r="I230" s="382" t="str">
        <f>IF(B230="","",IF(ISNA(VLOOKUP($B230,'E-1 Off-Site Hedge Baseline'!$B$1:$L$257,10,FALSE)),"",(VLOOKUP($B230,'E-1 Off-Site Hedge Baseline'!$B$1:$L$257,10,FALSE))))</f>
        <v/>
      </c>
      <c r="J230" s="382" t="str">
        <f>IF(B230="","",IF(ISNA(VLOOKUP($B230,'E-1 Off-Site Hedge Baseline'!$B$1:$L$257,11,FALSE)),"",(VLOOKUP($B230,'E-1 Off-Site Hedge Baseline'!$B$1:$L$257,11,FALSE))))</f>
        <v/>
      </c>
      <c r="K230" s="382" t="str">
        <f>IF(B230="","",IF(ISNA(VLOOKUP($B230,'E-1 Off-Site Hedge Baseline'!$B$1:$X$257,113,FALSE)),"",(VLOOKUP($B230,'E-1 Off-Site Hedge Baseline'!$B$1:$X$257,13,FALSE))))</f>
        <v/>
      </c>
      <c r="L230" s="370" t="str">
        <f>IF(B230="","",IF(ISNA(VLOOKUP($B230,'E-1 Off-Site Hedge Baseline'!$B$1:$X$257,12,FALSE)),"",(VLOOKUP($B230,'E-1 Off-Site Hedge Baseline'!$B$1:$X$257,12,FALSE))))</f>
        <v/>
      </c>
      <c r="M230" s="316" t="str">
        <f t="shared" si="27"/>
        <v/>
      </c>
      <c r="N230" s="362" t="str">
        <f>IFERROR(IF(B230="","",INDEX('G-6 Hedgerow Data'!$AN$3:$AZ$15,MATCH(C230,'G-6 Hedgerow Data'!$AM$3:$AM$15,0),MATCH(M230,'G-6 Hedgerow Data'!$AN$2:$AZ$2,0))),"")</f>
        <v/>
      </c>
      <c r="O230" s="363" t="str">
        <f t="shared" si="29"/>
        <v/>
      </c>
      <c r="P230" s="368" t="str">
        <f>IF(B230="","",VLOOKUP(B230,'E-1 Off-Site Hedge Baseline'!$B$10:W475,19,FALSE))</f>
        <v/>
      </c>
      <c r="Q230" s="362" t="str">
        <f>IF(M230="","",VLOOKUP(M230,'G-6 Hedgerow Data'!$B$2:$AG$15,2,FALSE))</f>
        <v/>
      </c>
      <c r="R230" s="363" t="str">
        <f>IF(M230="","",VLOOKUP(M230,'G-6 Hedgerow Data'!$B$2:$AG$15,3,FALSE))</f>
        <v/>
      </c>
      <c r="S230" s="114"/>
      <c r="T230" s="363" t="str">
        <f>IFERROR(IF(AND(Q230="V.Low",OR(S230="Good",S230="Moderate")),"Error ▲",VLOOKUP(S230,'G-1 All Habitats'!$Z$2:$AA$9,2,FALSE)),"")</f>
        <v/>
      </c>
      <c r="U230" s="114"/>
      <c r="V230" s="370" t="str">
        <f>IF(U230="","",IF(VLOOKUP(U230,'G-3 Multipliers'!$L$3:$N$6,2,FALSE)=0,"Spatial Data Missing ⚠",VLOOKUP(U230,'G-3 Multipliers'!$L$3:$N$6,2,FALSE)))</f>
        <v/>
      </c>
      <c r="W230" s="368" t="str">
        <f>IF(U230="","",IF(VLOOKUP(U230,'G-3 Multipliers'!$L$3:$N$6,3,FALSE)=0,"Spatial Data Missing ⚠",VLOOKUP(U230,'G-3 Multipliers'!$L$3:$N$6,3,FALSE)))</f>
        <v/>
      </c>
      <c r="X230" s="362" t="str">
        <f>IFERROR(IF(OR(LEFT(O230,5)="Error",LEFT(N230,5)="Error",T230="Error"),"Check Data ⚠",IF(F230&lt;R230,INDEX('G-6 Hedgerow Data'!$S$3:$AE$14,MATCH(C230,'G-6 Hedgerow Data'!$B$3:$B$14,0),MATCH(M230,'G-6 Hedgerow Data'!$S$2:$AE$2,0)),INDEX('G-6 Hedgerow Data'!$K$3:$Q$14,MATCH(M230,'G-6 Hedgerow Data'!$B$3:$B$14,0),MATCH(O230,'G-6 Hedgerow Data'!$K$2:$Q$2,0)))),"")</f>
        <v/>
      </c>
      <c r="Y230" s="159"/>
      <c r="Z230" s="159"/>
      <c r="AA230" s="370" t="str">
        <f t="shared" si="30"/>
        <v/>
      </c>
      <c r="AB230" s="383" t="str">
        <f t="shared" si="31"/>
        <v/>
      </c>
      <c r="AC230" s="384" t="str">
        <f t="shared" si="28"/>
        <v/>
      </c>
      <c r="AD230" s="398" t="str">
        <f>IF(M230="","",VLOOKUP(M230,'G-6 Hedgerow Data'!$B$3:$AG$15,31,FALSE))</f>
        <v/>
      </c>
      <c r="AE230" s="382" t="str">
        <f t="shared" si="32"/>
        <v/>
      </c>
      <c r="AF230" s="382" t="str">
        <f t="shared" si="33"/>
        <v/>
      </c>
      <c r="AG230" s="386" t="str">
        <f>IFERROR(IF(O230="","",VLOOKUP(AD230,'G-3 Multipliers'!$P$3:$Q$6,2,FALSE)),"")</f>
        <v/>
      </c>
      <c r="AH230" s="160"/>
      <c r="AI230" s="363" t="str">
        <f>IF(AH230="","",IF(VLOOKUP(AH230,'G-3 Multipliers'!$S$3:$T$10,2,FALSE)=0,"Spatial Data Missing ⚠",VLOOKUP(AH230,'G-3 Multipliers'!$S$3:$T$10,2,FALSE)))</f>
        <v/>
      </c>
      <c r="AJ230" s="405" t="str">
        <f t="shared" si="34"/>
        <v/>
      </c>
      <c r="AK230" s="376" t="str">
        <f t="shared" si="35"/>
        <v/>
      </c>
      <c r="AL230" s="117"/>
      <c r="AM230" s="118"/>
      <c r="AN230" s="120"/>
      <c r="AO230" s="120"/>
      <c r="AQ230" s="30" t="str">
        <f>IFERROR(INDEX('G-6 Hedgerow Data'!$BJ$3:$BJ$15,MATCH(M230,'G-6 Hedgerow Data'!$B$3:$B$15,0)),"")</f>
        <v/>
      </c>
    </row>
    <row r="231" spans="2:43" ht="15">
      <c r="B231" s="392" t="str">
        <f>'E-1 Off-Site Hedge Baseline'!AN229</f>
        <v/>
      </c>
      <c r="C231" s="382" t="str">
        <f>IF(B231="","",IF(ISNA(VLOOKUP($B231,'E-1 Off-Site Hedge Baseline'!$B$1:$L$257,3,FALSE)),"",(VLOOKUP($B231,'E-1 Off-Site Hedge Baseline'!$B$1:$L$257,3,FALSE))))</f>
        <v/>
      </c>
      <c r="D231" s="382" t="str">
        <f>IF(B231="","",IF(ISNA(VLOOKUP($B231,'E-1 Off-Site Hedge Baseline'!$B$1:$L$258,4,FALSE)),"",(VLOOKUP($B231,'E-1 Off-Site Hedge Baseline'!$B$1:$L$258,4,FALSE))))</f>
        <v/>
      </c>
      <c r="E231" s="382" t="str">
        <f>IF(B231="","",IF(ISNA(VLOOKUP($B231,'E-1 Off-Site Hedge Baseline'!$B$1:$L$257,5,FALSE)),"",(VLOOKUP($B231,'E-1 Off-Site Hedge Baseline'!$B$1:$L$257,5,FALSE))))</f>
        <v/>
      </c>
      <c r="F231" s="382" t="str">
        <f>IF(B231="","",IF(ISNA(VLOOKUP($B231,'E-1 Off-Site Hedge Baseline'!$B$1:$L$257,6,FALSE)),"",(VLOOKUP($B231,'E-1 Off-Site Hedge Baseline'!$B$1:$L$257,6,FALSE))))</f>
        <v/>
      </c>
      <c r="G231" s="382" t="str">
        <f>IF(B231="","",IF(ISNA(VLOOKUP($B231,'E-1 Off-Site Hedge Baseline'!$B$1:$L$257,7,FALSE)),"",(VLOOKUP($B231,'E-1 Off-Site Hedge Baseline'!$B$1:$L$257,7,FALSE))))</f>
        <v/>
      </c>
      <c r="H231" s="382" t="str">
        <f>IF(B231="","",IF(ISNA(VLOOKUP($B231,'E-1 Off-Site Hedge Baseline'!$B$1:$L$257,8,FALSE)),"",(VLOOKUP($B231,'E-1 Off-Site Hedge Baseline'!$B$1:$L$257,8,FALSE))))</f>
        <v/>
      </c>
      <c r="I231" s="382" t="str">
        <f>IF(B231="","",IF(ISNA(VLOOKUP($B231,'E-1 Off-Site Hedge Baseline'!$B$1:$L$257,10,FALSE)),"",(VLOOKUP($B231,'E-1 Off-Site Hedge Baseline'!$B$1:$L$257,10,FALSE))))</f>
        <v/>
      </c>
      <c r="J231" s="382" t="str">
        <f>IF(B231="","",IF(ISNA(VLOOKUP($B231,'E-1 Off-Site Hedge Baseline'!$B$1:$L$257,11,FALSE)),"",(VLOOKUP($B231,'E-1 Off-Site Hedge Baseline'!$B$1:$L$257,11,FALSE))))</f>
        <v/>
      </c>
      <c r="K231" s="382" t="str">
        <f>IF(B231="","",IF(ISNA(VLOOKUP($B231,'E-1 Off-Site Hedge Baseline'!$B$1:$X$257,113,FALSE)),"",(VLOOKUP($B231,'E-1 Off-Site Hedge Baseline'!$B$1:$X$257,13,FALSE))))</f>
        <v/>
      </c>
      <c r="L231" s="370" t="str">
        <f>IF(B231="","",IF(ISNA(VLOOKUP($B231,'E-1 Off-Site Hedge Baseline'!$B$1:$X$257,12,FALSE)),"",(VLOOKUP($B231,'E-1 Off-Site Hedge Baseline'!$B$1:$X$257,12,FALSE))))</f>
        <v/>
      </c>
      <c r="M231" s="316" t="str">
        <f t="shared" si="27"/>
        <v/>
      </c>
      <c r="N231" s="362" t="str">
        <f>IFERROR(IF(B231="","",INDEX('G-6 Hedgerow Data'!$AN$3:$AZ$15,MATCH(C231,'G-6 Hedgerow Data'!$AM$3:$AM$15,0),MATCH(M231,'G-6 Hedgerow Data'!$AN$2:$AZ$2,0))),"")</f>
        <v/>
      </c>
      <c r="O231" s="363" t="str">
        <f t="shared" si="29"/>
        <v/>
      </c>
      <c r="P231" s="368" t="str">
        <f>IF(B231="","",VLOOKUP(B231,'E-1 Off-Site Hedge Baseline'!$B$10:W476,19,FALSE))</f>
        <v/>
      </c>
      <c r="Q231" s="362" t="str">
        <f>IF(M231="","",VLOOKUP(M231,'G-6 Hedgerow Data'!$B$2:$AG$15,2,FALSE))</f>
        <v/>
      </c>
      <c r="R231" s="363" t="str">
        <f>IF(M231="","",VLOOKUP(M231,'G-6 Hedgerow Data'!$B$2:$AG$15,3,FALSE))</f>
        <v/>
      </c>
      <c r="S231" s="114"/>
      <c r="T231" s="363" t="str">
        <f>IFERROR(IF(AND(Q231="V.Low",OR(S231="Good",S231="Moderate")),"Error ▲",VLOOKUP(S231,'G-1 All Habitats'!$Z$2:$AA$9,2,FALSE)),"")</f>
        <v/>
      </c>
      <c r="U231" s="114"/>
      <c r="V231" s="370" t="str">
        <f>IF(U231="","",IF(VLOOKUP(U231,'G-3 Multipliers'!$L$3:$N$6,2,FALSE)=0,"Spatial Data Missing ⚠",VLOOKUP(U231,'G-3 Multipliers'!$L$3:$N$6,2,FALSE)))</f>
        <v/>
      </c>
      <c r="W231" s="368" t="str">
        <f>IF(U231="","",IF(VLOOKUP(U231,'G-3 Multipliers'!$L$3:$N$6,3,FALSE)=0,"Spatial Data Missing ⚠",VLOOKUP(U231,'G-3 Multipliers'!$L$3:$N$6,3,FALSE)))</f>
        <v/>
      </c>
      <c r="X231" s="362" t="str">
        <f>IFERROR(IF(OR(LEFT(O231,5)="Error",LEFT(N231,5)="Error",T231="Error"),"Check Data ⚠",IF(F231&lt;R231,INDEX('G-6 Hedgerow Data'!$S$3:$AE$14,MATCH(C231,'G-6 Hedgerow Data'!$B$3:$B$14,0),MATCH(M231,'G-6 Hedgerow Data'!$S$2:$AE$2,0)),INDEX('G-6 Hedgerow Data'!$K$3:$Q$14,MATCH(M231,'G-6 Hedgerow Data'!$B$3:$B$14,0),MATCH(O231,'G-6 Hedgerow Data'!$K$2:$Q$2,0)))),"")</f>
        <v/>
      </c>
      <c r="Y231" s="159"/>
      <c r="Z231" s="159"/>
      <c r="AA231" s="370" t="str">
        <f t="shared" si="30"/>
        <v/>
      </c>
      <c r="AB231" s="383" t="str">
        <f t="shared" si="31"/>
        <v/>
      </c>
      <c r="AC231" s="384" t="str">
        <f t="shared" si="28"/>
        <v/>
      </c>
      <c r="AD231" s="398" t="str">
        <f>IF(M231="","",VLOOKUP(M231,'G-6 Hedgerow Data'!$B$3:$AG$15,31,FALSE))</f>
        <v/>
      </c>
      <c r="AE231" s="382" t="str">
        <f t="shared" si="32"/>
        <v/>
      </c>
      <c r="AF231" s="382" t="str">
        <f t="shared" si="33"/>
        <v/>
      </c>
      <c r="AG231" s="386" t="str">
        <f>IFERROR(IF(O231="","",VLOOKUP(AD231,'G-3 Multipliers'!$P$3:$Q$6,2,FALSE)),"")</f>
        <v/>
      </c>
      <c r="AH231" s="160"/>
      <c r="AI231" s="363" t="str">
        <f>IF(AH231="","",IF(VLOOKUP(AH231,'G-3 Multipliers'!$S$3:$T$10,2,FALSE)=0,"Spatial Data Missing ⚠",VLOOKUP(AH231,'G-3 Multipliers'!$S$3:$T$10,2,FALSE)))</f>
        <v/>
      </c>
      <c r="AJ231" s="405" t="str">
        <f t="shared" si="34"/>
        <v/>
      </c>
      <c r="AK231" s="376" t="str">
        <f t="shared" si="35"/>
        <v/>
      </c>
      <c r="AL231" s="117"/>
      <c r="AM231" s="118"/>
      <c r="AN231" s="120"/>
      <c r="AO231" s="120"/>
      <c r="AQ231" s="30" t="str">
        <f>IFERROR(INDEX('G-6 Hedgerow Data'!$BJ$3:$BJ$15,MATCH(M231,'G-6 Hedgerow Data'!$B$3:$B$15,0)),"")</f>
        <v/>
      </c>
    </row>
    <row r="232" spans="2:43" ht="15">
      <c r="B232" s="392" t="str">
        <f>'E-1 Off-Site Hedge Baseline'!AN230</f>
        <v/>
      </c>
      <c r="C232" s="382" t="str">
        <f>IF(B232="","",IF(ISNA(VLOOKUP($B232,'E-1 Off-Site Hedge Baseline'!$B$1:$L$257,3,FALSE)),"",(VLOOKUP($B232,'E-1 Off-Site Hedge Baseline'!$B$1:$L$257,3,FALSE))))</f>
        <v/>
      </c>
      <c r="D232" s="382" t="str">
        <f>IF(B232="","",IF(ISNA(VLOOKUP($B232,'E-1 Off-Site Hedge Baseline'!$B$1:$L$258,4,FALSE)),"",(VLOOKUP($B232,'E-1 Off-Site Hedge Baseline'!$B$1:$L$258,4,FALSE))))</f>
        <v/>
      </c>
      <c r="E232" s="382" t="str">
        <f>IF(B232="","",IF(ISNA(VLOOKUP($B232,'E-1 Off-Site Hedge Baseline'!$B$1:$L$257,5,FALSE)),"",(VLOOKUP($B232,'E-1 Off-Site Hedge Baseline'!$B$1:$L$257,5,FALSE))))</f>
        <v/>
      </c>
      <c r="F232" s="382" t="str">
        <f>IF(B232="","",IF(ISNA(VLOOKUP($B232,'E-1 Off-Site Hedge Baseline'!$B$1:$L$257,6,FALSE)),"",(VLOOKUP($B232,'E-1 Off-Site Hedge Baseline'!$B$1:$L$257,6,FALSE))))</f>
        <v/>
      </c>
      <c r="G232" s="382" t="str">
        <f>IF(B232="","",IF(ISNA(VLOOKUP($B232,'E-1 Off-Site Hedge Baseline'!$B$1:$L$257,7,FALSE)),"",(VLOOKUP($B232,'E-1 Off-Site Hedge Baseline'!$B$1:$L$257,7,FALSE))))</f>
        <v/>
      </c>
      <c r="H232" s="382" t="str">
        <f>IF(B232="","",IF(ISNA(VLOOKUP($B232,'E-1 Off-Site Hedge Baseline'!$B$1:$L$257,8,FALSE)),"",(VLOOKUP($B232,'E-1 Off-Site Hedge Baseline'!$B$1:$L$257,8,FALSE))))</f>
        <v/>
      </c>
      <c r="I232" s="382" t="str">
        <f>IF(B232="","",IF(ISNA(VLOOKUP($B232,'E-1 Off-Site Hedge Baseline'!$B$1:$L$257,10,FALSE)),"",(VLOOKUP($B232,'E-1 Off-Site Hedge Baseline'!$B$1:$L$257,10,FALSE))))</f>
        <v/>
      </c>
      <c r="J232" s="382" t="str">
        <f>IF(B232="","",IF(ISNA(VLOOKUP($B232,'E-1 Off-Site Hedge Baseline'!$B$1:$L$257,11,FALSE)),"",(VLOOKUP($B232,'E-1 Off-Site Hedge Baseline'!$B$1:$L$257,11,FALSE))))</f>
        <v/>
      </c>
      <c r="K232" s="382" t="str">
        <f>IF(B232="","",IF(ISNA(VLOOKUP($B232,'E-1 Off-Site Hedge Baseline'!$B$1:$X$257,113,FALSE)),"",(VLOOKUP($B232,'E-1 Off-Site Hedge Baseline'!$B$1:$X$257,13,FALSE))))</f>
        <v/>
      </c>
      <c r="L232" s="370" t="str">
        <f>IF(B232="","",IF(ISNA(VLOOKUP($B232,'E-1 Off-Site Hedge Baseline'!$B$1:$X$257,12,FALSE)),"",(VLOOKUP($B232,'E-1 Off-Site Hedge Baseline'!$B$1:$X$257,12,FALSE))))</f>
        <v/>
      </c>
      <c r="M232" s="316" t="str">
        <f t="shared" si="27"/>
        <v/>
      </c>
      <c r="N232" s="362" t="str">
        <f>IFERROR(IF(B232="","",INDEX('G-6 Hedgerow Data'!$AN$3:$AZ$15,MATCH(C232,'G-6 Hedgerow Data'!$AM$3:$AM$15,0),MATCH(M232,'G-6 Hedgerow Data'!$AN$2:$AZ$2,0))),"")</f>
        <v/>
      </c>
      <c r="O232" s="363" t="str">
        <f t="shared" si="29"/>
        <v/>
      </c>
      <c r="P232" s="368" t="str">
        <f>IF(B232="","",VLOOKUP(B232,'E-1 Off-Site Hedge Baseline'!$B$10:W477,19,FALSE))</f>
        <v/>
      </c>
      <c r="Q232" s="362" t="str">
        <f>IF(M232="","",VLOOKUP(M232,'G-6 Hedgerow Data'!$B$2:$AG$15,2,FALSE))</f>
        <v/>
      </c>
      <c r="R232" s="363" t="str">
        <f>IF(M232="","",VLOOKUP(M232,'G-6 Hedgerow Data'!$B$2:$AG$15,3,FALSE))</f>
        <v/>
      </c>
      <c r="S232" s="114"/>
      <c r="T232" s="363" t="str">
        <f>IFERROR(IF(AND(Q232="V.Low",OR(S232="Good",S232="Moderate")),"Error ▲",VLOOKUP(S232,'G-1 All Habitats'!$Z$2:$AA$9,2,FALSE)),"")</f>
        <v/>
      </c>
      <c r="U232" s="114"/>
      <c r="V232" s="370" t="str">
        <f>IF(U232="","",IF(VLOOKUP(U232,'G-3 Multipliers'!$L$3:$N$6,2,FALSE)=0,"Spatial Data Missing ⚠",VLOOKUP(U232,'G-3 Multipliers'!$L$3:$N$6,2,FALSE)))</f>
        <v/>
      </c>
      <c r="W232" s="368" t="str">
        <f>IF(U232="","",IF(VLOOKUP(U232,'G-3 Multipliers'!$L$3:$N$6,3,FALSE)=0,"Spatial Data Missing ⚠",VLOOKUP(U232,'G-3 Multipliers'!$L$3:$N$6,3,FALSE)))</f>
        <v/>
      </c>
      <c r="X232" s="362" t="str">
        <f>IFERROR(IF(OR(LEFT(O232,5)="Error",LEFT(N232,5)="Error",T232="Error"),"Check Data ⚠",IF(F232&lt;R232,INDEX('G-6 Hedgerow Data'!$S$3:$AE$14,MATCH(C232,'G-6 Hedgerow Data'!$B$3:$B$14,0),MATCH(M232,'G-6 Hedgerow Data'!$S$2:$AE$2,0)),INDEX('G-6 Hedgerow Data'!$K$3:$Q$14,MATCH(M232,'G-6 Hedgerow Data'!$B$3:$B$14,0),MATCH(O232,'G-6 Hedgerow Data'!$K$2:$Q$2,0)))),"")</f>
        <v/>
      </c>
      <c r="Y232" s="159"/>
      <c r="Z232" s="159"/>
      <c r="AA232" s="370" t="str">
        <f t="shared" si="30"/>
        <v/>
      </c>
      <c r="AB232" s="383" t="str">
        <f t="shared" si="31"/>
        <v/>
      </c>
      <c r="AC232" s="384" t="str">
        <f t="shared" si="28"/>
        <v/>
      </c>
      <c r="AD232" s="398" t="str">
        <f>IF(M232="","",VLOOKUP(M232,'G-6 Hedgerow Data'!$B$3:$AG$15,31,FALSE))</f>
        <v/>
      </c>
      <c r="AE232" s="382" t="str">
        <f t="shared" si="32"/>
        <v/>
      </c>
      <c r="AF232" s="382" t="str">
        <f t="shared" si="33"/>
        <v/>
      </c>
      <c r="AG232" s="386" t="str">
        <f>IFERROR(IF(O232="","",VLOOKUP(AD232,'G-3 Multipliers'!$P$3:$Q$6,2,FALSE)),"")</f>
        <v/>
      </c>
      <c r="AH232" s="160"/>
      <c r="AI232" s="363" t="str">
        <f>IF(AH232="","",IF(VLOOKUP(AH232,'G-3 Multipliers'!$S$3:$T$10,2,FALSE)=0,"Spatial Data Missing ⚠",VLOOKUP(AH232,'G-3 Multipliers'!$S$3:$T$10,2,FALSE)))</f>
        <v/>
      </c>
      <c r="AJ232" s="405" t="str">
        <f t="shared" si="34"/>
        <v/>
      </c>
      <c r="AK232" s="376" t="str">
        <f t="shared" si="35"/>
        <v/>
      </c>
      <c r="AL232" s="117"/>
      <c r="AM232" s="118"/>
      <c r="AN232" s="120"/>
      <c r="AO232" s="120"/>
      <c r="AQ232" s="30" t="str">
        <f>IFERROR(INDEX('G-6 Hedgerow Data'!$BJ$3:$BJ$15,MATCH(M232,'G-6 Hedgerow Data'!$B$3:$B$15,0)),"")</f>
        <v/>
      </c>
    </row>
    <row r="233" spans="2:43" ht="15">
      <c r="B233" s="392" t="str">
        <f>'E-1 Off-Site Hedge Baseline'!AN231</f>
        <v/>
      </c>
      <c r="C233" s="382" t="str">
        <f>IF(B233="","",IF(ISNA(VLOOKUP($B233,'E-1 Off-Site Hedge Baseline'!$B$1:$L$257,3,FALSE)),"",(VLOOKUP($B233,'E-1 Off-Site Hedge Baseline'!$B$1:$L$257,3,FALSE))))</f>
        <v/>
      </c>
      <c r="D233" s="382" t="str">
        <f>IF(B233="","",IF(ISNA(VLOOKUP($B233,'E-1 Off-Site Hedge Baseline'!$B$1:$L$258,4,FALSE)),"",(VLOOKUP($B233,'E-1 Off-Site Hedge Baseline'!$B$1:$L$258,4,FALSE))))</f>
        <v/>
      </c>
      <c r="E233" s="382" t="str">
        <f>IF(B233="","",IF(ISNA(VLOOKUP($B233,'E-1 Off-Site Hedge Baseline'!$B$1:$L$257,5,FALSE)),"",(VLOOKUP($B233,'E-1 Off-Site Hedge Baseline'!$B$1:$L$257,5,FALSE))))</f>
        <v/>
      </c>
      <c r="F233" s="382" t="str">
        <f>IF(B233="","",IF(ISNA(VLOOKUP($B233,'E-1 Off-Site Hedge Baseline'!$B$1:$L$257,6,FALSE)),"",(VLOOKUP($B233,'E-1 Off-Site Hedge Baseline'!$B$1:$L$257,6,FALSE))))</f>
        <v/>
      </c>
      <c r="G233" s="382" t="str">
        <f>IF(B233="","",IF(ISNA(VLOOKUP($B233,'E-1 Off-Site Hedge Baseline'!$B$1:$L$257,7,FALSE)),"",(VLOOKUP($B233,'E-1 Off-Site Hedge Baseline'!$B$1:$L$257,7,FALSE))))</f>
        <v/>
      </c>
      <c r="H233" s="382" t="str">
        <f>IF(B233="","",IF(ISNA(VLOOKUP($B233,'E-1 Off-Site Hedge Baseline'!$B$1:$L$257,8,FALSE)),"",(VLOOKUP($B233,'E-1 Off-Site Hedge Baseline'!$B$1:$L$257,8,FALSE))))</f>
        <v/>
      </c>
      <c r="I233" s="382" t="str">
        <f>IF(B233="","",IF(ISNA(VLOOKUP($B233,'E-1 Off-Site Hedge Baseline'!$B$1:$L$257,10,FALSE)),"",(VLOOKUP($B233,'E-1 Off-Site Hedge Baseline'!$B$1:$L$257,10,FALSE))))</f>
        <v/>
      </c>
      <c r="J233" s="382" t="str">
        <f>IF(B233="","",IF(ISNA(VLOOKUP($B233,'E-1 Off-Site Hedge Baseline'!$B$1:$L$257,11,FALSE)),"",(VLOOKUP($B233,'E-1 Off-Site Hedge Baseline'!$B$1:$L$257,11,FALSE))))</f>
        <v/>
      </c>
      <c r="K233" s="382" t="str">
        <f>IF(B233="","",IF(ISNA(VLOOKUP($B233,'E-1 Off-Site Hedge Baseline'!$B$1:$X$257,113,FALSE)),"",(VLOOKUP($B233,'E-1 Off-Site Hedge Baseline'!$B$1:$X$257,13,FALSE))))</f>
        <v/>
      </c>
      <c r="L233" s="370" t="str">
        <f>IF(B233="","",IF(ISNA(VLOOKUP($B233,'E-1 Off-Site Hedge Baseline'!$B$1:$X$257,12,FALSE)),"",(VLOOKUP($B233,'E-1 Off-Site Hedge Baseline'!$B$1:$X$257,12,FALSE))))</f>
        <v/>
      </c>
      <c r="M233" s="316" t="str">
        <f t="shared" si="27"/>
        <v/>
      </c>
      <c r="N233" s="362" t="str">
        <f>IFERROR(IF(B233="","",INDEX('G-6 Hedgerow Data'!$AN$3:$AZ$15,MATCH(C233,'G-6 Hedgerow Data'!$AM$3:$AM$15,0),MATCH(M233,'G-6 Hedgerow Data'!$AN$2:$AZ$2,0))),"")</f>
        <v/>
      </c>
      <c r="O233" s="363" t="str">
        <f t="shared" si="29"/>
        <v/>
      </c>
      <c r="P233" s="368" t="str">
        <f>IF(B233="","",VLOOKUP(B233,'E-1 Off-Site Hedge Baseline'!$B$10:W478,19,FALSE))</f>
        <v/>
      </c>
      <c r="Q233" s="362" t="str">
        <f>IF(M233="","",VLOOKUP(M233,'G-6 Hedgerow Data'!$B$2:$AG$15,2,FALSE))</f>
        <v/>
      </c>
      <c r="R233" s="363" t="str">
        <f>IF(M233="","",VLOOKUP(M233,'G-6 Hedgerow Data'!$B$2:$AG$15,3,FALSE))</f>
        <v/>
      </c>
      <c r="S233" s="114"/>
      <c r="T233" s="363" t="str">
        <f>IFERROR(IF(AND(Q233="V.Low",OR(S233="Good",S233="Moderate")),"Error ▲",VLOOKUP(S233,'G-1 All Habitats'!$Z$2:$AA$9,2,FALSE)),"")</f>
        <v/>
      </c>
      <c r="U233" s="114"/>
      <c r="V233" s="370" t="str">
        <f>IF(U233="","",IF(VLOOKUP(U233,'G-3 Multipliers'!$L$3:$N$6,2,FALSE)=0,"Spatial Data Missing ⚠",VLOOKUP(U233,'G-3 Multipliers'!$L$3:$N$6,2,FALSE)))</f>
        <v/>
      </c>
      <c r="W233" s="368" t="str">
        <f>IF(U233="","",IF(VLOOKUP(U233,'G-3 Multipliers'!$L$3:$N$6,3,FALSE)=0,"Spatial Data Missing ⚠",VLOOKUP(U233,'G-3 Multipliers'!$L$3:$N$6,3,FALSE)))</f>
        <v/>
      </c>
      <c r="X233" s="362" t="str">
        <f>IFERROR(IF(OR(LEFT(O233,5)="Error",LEFT(N233,5)="Error",T233="Error"),"Check Data ⚠",IF(F233&lt;R233,INDEX('G-6 Hedgerow Data'!$S$3:$AE$14,MATCH(C233,'G-6 Hedgerow Data'!$B$3:$B$14,0),MATCH(M233,'G-6 Hedgerow Data'!$S$2:$AE$2,0)),INDEX('G-6 Hedgerow Data'!$K$3:$Q$14,MATCH(M233,'G-6 Hedgerow Data'!$B$3:$B$14,0),MATCH(O233,'G-6 Hedgerow Data'!$K$2:$Q$2,0)))),"")</f>
        <v/>
      </c>
      <c r="Y233" s="159"/>
      <c r="Z233" s="159"/>
      <c r="AA233" s="370" t="str">
        <f t="shared" si="30"/>
        <v/>
      </c>
      <c r="AB233" s="383" t="str">
        <f t="shared" si="31"/>
        <v/>
      </c>
      <c r="AC233" s="384" t="str">
        <f t="shared" si="28"/>
        <v/>
      </c>
      <c r="AD233" s="398" t="str">
        <f>IF(M233="","",VLOOKUP(M233,'G-6 Hedgerow Data'!$B$3:$AG$15,31,FALSE))</f>
        <v/>
      </c>
      <c r="AE233" s="382" t="str">
        <f t="shared" si="32"/>
        <v/>
      </c>
      <c r="AF233" s="382" t="str">
        <f t="shared" si="33"/>
        <v/>
      </c>
      <c r="AG233" s="386" t="str">
        <f>IFERROR(IF(O233="","",VLOOKUP(AD233,'G-3 Multipliers'!$P$3:$Q$6,2,FALSE)),"")</f>
        <v/>
      </c>
      <c r="AH233" s="160"/>
      <c r="AI233" s="363" t="str">
        <f>IF(AH233="","",IF(VLOOKUP(AH233,'G-3 Multipliers'!$S$3:$T$10,2,FALSE)=0,"Spatial Data Missing ⚠",VLOOKUP(AH233,'G-3 Multipliers'!$S$3:$T$10,2,FALSE)))</f>
        <v/>
      </c>
      <c r="AJ233" s="405" t="str">
        <f t="shared" si="34"/>
        <v/>
      </c>
      <c r="AK233" s="376" t="str">
        <f t="shared" si="35"/>
        <v/>
      </c>
      <c r="AL233" s="117"/>
      <c r="AM233" s="118"/>
      <c r="AN233" s="120"/>
      <c r="AO233" s="120"/>
      <c r="AQ233" s="30" t="str">
        <f>IFERROR(INDEX('G-6 Hedgerow Data'!$BJ$3:$BJ$15,MATCH(M233,'G-6 Hedgerow Data'!$B$3:$B$15,0)),"")</f>
        <v/>
      </c>
    </row>
    <row r="234" spans="2:43" ht="15">
      <c r="B234" s="392" t="str">
        <f>'E-1 Off-Site Hedge Baseline'!AN232</f>
        <v/>
      </c>
      <c r="C234" s="382" t="str">
        <f>IF(B234="","",IF(ISNA(VLOOKUP($B234,'E-1 Off-Site Hedge Baseline'!$B$1:$L$257,3,FALSE)),"",(VLOOKUP($B234,'E-1 Off-Site Hedge Baseline'!$B$1:$L$257,3,FALSE))))</f>
        <v/>
      </c>
      <c r="D234" s="382" t="str">
        <f>IF(B234="","",IF(ISNA(VLOOKUP($B234,'E-1 Off-Site Hedge Baseline'!$B$1:$L$258,4,FALSE)),"",(VLOOKUP($B234,'E-1 Off-Site Hedge Baseline'!$B$1:$L$258,4,FALSE))))</f>
        <v/>
      </c>
      <c r="E234" s="382" t="str">
        <f>IF(B234="","",IF(ISNA(VLOOKUP($B234,'E-1 Off-Site Hedge Baseline'!$B$1:$L$257,5,FALSE)),"",(VLOOKUP($B234,'E-1 Off-Site Hedge Baseline'!$B$1:$L$257,5,FALSE))))</f>
        <v/>
      </c>
      <c r="F234" s="382" t="str">
        <f>IF(B234="","",IF(ISNA(VLOOKUP($B234,'E-1 Off-Site Hedge Baseline'!$B$1:$L$257,6,FALSE)),"",(VLOOKUP($B234,'E-1 Off-Site Hedge Baseline'!$B$1:$L$257,6,FALSE))))</f>
        <v/>
      </c>
      <c r="G234" s="382" t="str">
        <f>IF(B234="","",IF(ISNA(VLOOKUP($B234,'E-1 Off-Site Hedge Baseline'!$B$1:$L$257,7,FALSE)),"",(VLOOKUP($B234,'E-1 Off-Site Hedge Baseline'!$B$1:$L$257,7,FALSE))))</f>
        <v/>
      </c>
      <c r="H234" s="382" t="str">
        <f>IF(B234="","",IF(ISNA(VLOOKUP($B234,'E-1 Off-Site Hedge Baseline'!$B$1:$L$257,8,FALSE)),"",(VLOOKUP($B234,'E-1 Off-Site Hedge Baseline'!$B$1:$L$257,8,FALSE))))</f>
        <v/>
      </c>
      <c r="I234" s="382" t="str">
        <f>IF(B234="","",IF(ISNA(VLOOKUP($B234,'E-1 Off-Site Hedge Baseline'!$B$1:$L$257,10,FALSE)),"",(VLOOKUP($B234,'E-1 Off-Site Hedge Baseline'!$B$1:$L$257,10,FALSE))))</f>
        <v/>
      </c>
      <c r="J234" s="382" t="str">
        <f>IF(B234="","",IF(ISNA(VLOOKUP($B234,'E-1 Off-Site Hedge Baseline'!$B$1:$L$257,11,FALSE)),"",(VLOOKUP($B234,'E-1 Off-Site Hedge Baseline'!$B$1:$L$257,11,FALSE))))</f>
        <v/>
      </c>
      <c r="K234" s="382" t="str">
        <f>IF(B234="","",IF(ISNA(VLOOKUP($B234,'E-1 Off-Site Hedge Baseline'!$B$1:$X$257,113,FALSE)),"",(VLOOKUP($B234,'E-1 Off-Site Hedge Baseline'!$B$1:$X$257,13,FALSE))))</f>
        <v/>
      </c>
      <c r="L234" s="370" t="str">
        <f>IF(B234="","",IF(ISNA(VLOOKUP($B234,'E-1 Off-Site Hedge Baseline'!$B$1:$X$257,12,FALSE)),"",(VLOOKUP($B234,'E-1 Off-Site Hedge Baseline'!$B$1:$X$257,12,FALSE))))</f>
        <v/>
      </c>
      <c r="M234" s="316" t="str">
        <f t="shared" si="27"/>
        <v/>
      </c>
      <c r="N234" s="362" t="str">
        <f>IFERROR(IF(B234="","",INDEX('G-6 Hedgerow Data'!$AN$3:$AZ$15,MATCH(C234,'G-6 Hedgerow Data'!$AM$3:$AM$15,0),MATCH(M234,'G-6 Hedgerow Data'!$AN$2:$AZ$2,0))),"")</f>
        <v/>
      </c>
      <c r="O234" s="363" t="str">
        <f t="shared" si="29"/>
        <v/>
      </c>
      <c r="P234" s="368" t="str">
        <f>IF(B234="","",VLOOKUP(B234,'E-1 Off-Site Hedge Baseline'!$B$10:W479,19,FALSE))</f>
        <v/>
      </c>
      <c r="Q234" s="362" t="str">
        <f>IF(M234="","",VLOOKUP(M234,'G-6 Hedgerow Data'!$B$2:$AG$15,2,FALSE))</f>
        <v/>
      </c>
      <c r="R234" s="363" t="str">
        <f>IF(M234="","",VLOOKUP(M234,'G-6 Hedgerow Data'!$B$2:$AG$15,3,FALSE))</f>
        <v/>
      </c>
      <c r="S234" s="114"/>
      <c r="T234" s="363" t="str">
        <f>IFERROR(IF(AND(Q234="V.Low",OR(S234="Good",S234="Moderate")),"Error ▲",VLOOKUP(S234,'G-1 All Habitats'!$Z$2:$AA$9,2,FALSE)),"")</f>
        <v/>
      </c>
      <c r="U234" s="114"/>
      <c r="V234" s="370" t="str">
        <f>IF(U234="","",IF(VLOOKUP(U234,'G-3 Multipliers'!$L$3:$N$6,2,FALSE)=0,"Spatial Data Missing ⚠",VLOOKUP(U234,'G-3 Multipliers'!$L$3:$N$6,2,FALSE)))</f>
        <v/>
      </c>
      <c r="W234" s="368" t="str">
        <f>IF(U234="","",IF(VLOOKUP(U234,'G-3 Multipliers'!$L$3:$N$6,3,FALSE)=0,"Spatial Data Missing ⚠",VLOOKUP(U234,'G-3 Multipliers'!$L$3:$N$6,3,FALSE)))</f>
        <v/>
      </c>
      <c r="X234" s="362" t="str">
        <f>IFERROR(IF(OR(LEFT(O234,5)="Error",LEFT(N234,5)="Error",T234="Error"),"Check Data ⚠",IF(F234&lt;R234,INDEX('G-6 Hedgerow Data'!$S$3:$AE$14,MATCH(C234,'G-6 Hedgerow Data'!$B$3:$B$14,0),MATCH(M234,'G-6 Hedgerow Data'!$S$2:$AE$2,0)),INDEX('G-6 Hedgerow Data'!$K$3:$Q$14,MATCH(M234,'G-6 Hedgerow Data'!$B$3:$B$14,0),MATCH(O234,'G-6 Hedgerow Data'!$K$2:$Q$2,0)))),"")</f>
        <v/>
      </c>
      <c r="Y234" s="159"/>
      <c r="Z234" s="159"/>
      <c r="AA234" s="370" t="str">
        <f t="shared" si="30"/>
        <v/>
      </c>
      <c r="AB234" s="383" t="str">
        <f t="shared" si="31"/>
        <v/>
      </c>
      <c r="AC234" s="384" t="str">
        <f t="shared" si="28"/>
        <v/>
      </c>
      <c r="AD234" s="398" t="str">
        <f>IF(M234="","",VLOOKUP(M234,'G-6 Hedgerow Data'!$B$3:$AG$15,31,FALSE))</f>
        <v/>
      </c>
      <c r="AE234" s="382" t="str">
        <f t="shared" si="32"/>
        <v/>
      </c>
      <c r="AF234" s="382" t="str">
        <f t="shared" si="33"/>
        <v/>
      </c>
      <c r="AG234" s="386" t="str">
        <f>IFERROR(IF(O234="","",VLOOKUP(AD234,'G-3 Multipliers'!$P$3:$Q$6,2,FALSE)),"")</f>
        <v/>
      </c>
      <c r="AH234" s="160"/>
      <c r="AI234" s="363" t="str">
        <f>IF(AH234="","",IF(VLOOKUP(AH234,'G-3 Multipliers'!$S$3:$T$10,2,FALSE)=0,"Spatial Data Missing ⚠",VLOOKUP(AH234,'G-3 Multipliers'!$S$3:$T$10,2,FALSE)))</f>
        <v/>
      </c>
      <c r="AJ234" s="405" t="str">
        <f t="shared" si="34"/>
        <v/>
      </c>
      <c r="AK234" s="376" t="str">
        <f t="shared" si="35"/>
        <v/>
      </c>
      <c r="AL234" s="117"/>
      <c r="AM234" s="118"/>
      <c r="AN234" s="120"/>
      <c r="AO234" s="120"/>
      <c r="AQ234" s="30" t="str">
        <f>IFERROR(INDEX('G-6 Hedgerow Data'!$BJ$3:$BJ$15,MATCH(M234,'G-6 Hedgerow Data'!$B$3:$B$15,0)),"")</f>
        <v/>
      </c>
    </row>
    <row r="235" spans="2:43" ht="15">
      <c r="B235" s="392" t="str">
        <f>'E-1 Off-Site Hedge Baseline'!AN233</f>
        <v/>
      </c>
      <c r="C235" s="382" t="str">
        <f>IF(B235="","",IF(ISNA(VLOOKUP($B235,'E-1 Off-Site Hedge Baseline'!$B$1:$L$257,3,FALSE)),"",(VLOOKUP($B235,'E-1 Off-Site Hedge Baseline'!$B$1:$L$257,3,FALSE))))</f>
        <v/>
      </c>
      <c r="D235" s="382" t="str">
        <f>IF(B235="","",IF(ISNA(VLOOKUP($B235,'E-1 Off-Site Hedge Baseline'!$B$1:$L$258,4,FALSE)),"",(VLOOKUP($B235,'E-1 Off-Site Hedge Baseline'!$B$1:$L$258,4,FALSE))))</f>
        <v/>
      </c>
      <c r="E235" s="382" t="str">
        <f>IF(B235="","",IF(ISNA(VLOOKUP($B235,'E-1 Off-Site Hedge Baseline'!$B$1:$L$257,5,FALSE)),"",(VLOOKUP($B235,'E-1 Off-Site Hedge Baseline'!$B$1:$L$257,5,FALSE))))</f>
        <v/>
      </c>
      <c r="F235" s="382" t="str">
        <f>IF(B235="","",IF(ISNA(VLOOKUP($B235,'E-1 Off-Site Hedge Baseline'!$B$1:$L$257,6,FALSE)),"",(VLOOKUP($B235,'E-1 Off-Site Hedge Baseline'!$B$1:$L$257,6,FALSE))))</f>
        <v/>
      </c>
      <c r="G235" s="382" t="str">
        <f>IF(B235="","",IF(ISNA(VLOOKUP($B235,'E-1 Off-Site Hedge Baseline'!$B$1:$L$257,7,FALSE)),"",(VLOOKUP($B235,'E-1 Off-Site Hedge Baseline'!$B$1:$L$257,7,FALSE))))</f>
        <v/>
      </c>
      <c r="H235" s="382" t="str">
        <f>IF(B235="","",IF(ISNA(VLOOKUP($B235,'E-1 Off-Site Hedge Baseline'!$B$1:$L$257,8,FALSE)),"",(VLOOKUP($B235,'E-1 Off-Site Hedge Baseline'!$B$1:$L$257,8,FALSE))))</f>
        <v/>
      </c>
      <c r="I235" s="382" t="str">
        <f>IF(B235="","",IF(ISNA(VLOOKUP($B235,'E-1 Off-Site Hedge Baseline'!$B$1:$L$257,10,FALSE)),"",(VLOOKUP($B235,'E-1 Off-Site Hedge Baseline'!$B$1:$L$257,10,FALSE))))</f>
        <v/>
      </c>
      <c r="J235" s="382" t="str">
        <f>IF(B235="","",IF(ISNA(VLOOKUP($B235,'E-1 Off-Site Hedge Baseline'!$B$1:$L$257,11,FALSE)),"",(VLOOKUP($B235,'E-1 Off-Site Hedge Baseline'!$B$1:$L$257,11,FALSE))))</f>
        <v/>
      </c>
      <c r="K235" s="382" t="str">
        <f>IF(B235="","",IF(ISNA(VLOOKUP($B235,'E-1 Off-Site Hedge Baseline'!$B$1:$X$257,113,FALSE)),"",(VLOOKUP($B235,'E-1 Off-Site Hedge Baseline'!$B$1:$X$257,13,FALSE))))</f>
        <v/>
      </c>
      <c r="L235" s="370" t="str">
        <f>IF(B235="","",IF(ISNA(VLOOKUP($B235,'E-1 Off-Site Hedge Baseline'!$B$1:$X$257,12,FALSE)),"",(VLOOKUP($B235,'E-1 Off-Site Hedge Baseline'!$B$1:$X$257,12,FALSE))))</f>
        <v/>
      </c>
      <c r="M235" s="316" t="str">
        <f t="shared" si="27"/>
        <v/>
      </c>
      <c r="N235" s="362" t="str">
        <f>IFERROR(IF(B235="","",INDEX('G-6 Hedgerow Data'!$AN$3:$AZ$15,MATCH(C235,'G-6 Hedgerow Data'!$AM$3:$AM$15,0),MATCH(M235,'G-6 Hedgerow Data'!$AN$2:$AZ$2,0))),"")</f>
        <v/>
      </c>
      <c r="O235" s="363" t="str">
        <f t="shared" si="29"/>
        <v/>
      </c>
      <c r="P235" s="368" t="str">
        <f>IF(B235="","",VLOOKUP(B235,'E-1 Off-Site Hedge Baseline'!$B$10:W480,19,FALSE))</f>
        <v/>
      </c>
      <c r="Q235" s="362" t="str">
        <f>IF(M235="","",VLOOKUP(M235,'G-6 Hedgerow Data'!$B$2:$AG$15,2,FALSE))</f>
        <v/>
      </c>
      <c r="R235" s="363" t="str">
        <f>IF(M235="","",VLOOKUP(M235,'G-6 Hedgerow Data'!$B$2:$AG$15,3,FALSE))</f>
        <v/>
      </c>
      <c r="S235" s="114"/>
      <c r="T235" s="363" t="str">
        <f>IFERROR(IF(AND(Q235="V.Low",OR(S235="Good",S235="Moderate")),"Error ▲",VLOOKUP(S235,'G-1 All Habitats'!$Z$2:$AA$9,2,FALSE)),"")</f>
        <v/>
      </c>
      <c r="U235" s="114"/>
      <c r="V235" s="370" t="str">
        <f>IF(U235="","",IF(VLOOKUP(U235,'G-3 Multipliers'!$L$3:$N$6,2,FALSE)=0,"Spatial Data Missing ⚠",VLOOKUP(U235,'G-3 Multipliers'!$L$3:$N$6,2,FALSE)))</f>
        <v/>
      </c>
      <c r="W235" s="368" t="str">
        <f>IF(U235="","",IF(VLOOKUP(U235,'G-3 Multipliers'!$L$3:$N$6,3,FALSE)=0,"Spatial Data Missing ⚠",VLOOKUP(U235,'G-3 Multipliers'!$L$3:$N$6,3,FALSE)))</f>
        <v/>
      </c>
      <c r="X235" s="362" t="str">
        <f>IFERROR(IF(OR(LEFT(O235,5)="Error",LEFT(N235,5)="Error",T235="Error"),"Check Data ⚠",IF(F235&lt;R235,INDEX('G-6 Hedgerow Data'!$S$3:$AE$14,MATCH(C235,'G-6 Hedgerow Data'!$B$3:$B$14,0),MATCH(M235,'G-6 Hedgerow Data'!$S$2:$AE$2,0)),INDEX('G-6 Hedgerow Data'!$K$3:$Q$14,MATCH(M235,'G-6 Hedgerow Data'!$B$3:$B$14,0),MATCH(O235,'G-6 Hedgerow Data'!$K$2:$Q$2,0)))),"")</f>
        <v/>
      </c>
      <c r="Y235" s="159"/>
      <c r="Z235" s="159"/>
      <c r="AA235" s="370" t="str">
        <f t="shared" si="30"/>
        <v/>
      </c>
      <c r="AB235" s="383" t="str">
        <f t="shared" si="31"/>
        <v/>
      </c>
      <c r="AC235" s="384" t="str">
        <f t="shared" si="28"/>
        <v/>
      </c>
      <c r="AD235" s="398" t="str">
        <f>IF(M235="","",VLOOKUP(M235,'G-6 Hedgerow Data'!$B$3:$AG$15,31,FALSE))</f>
        <v/>
      </c>
      <c r="AE235" s="382" t="str">
        <f t="shared" si="32"/>
        <v/>
      </c>
      <c r="AF235" s="382" t="str">
        <f t="shared" si="33"/>
        <v/>
      </c>
      <c r="AG235" s="386" t="str">
        <f>IFERROR(IF(O235="","",VLOOKUP(AD235,'G-3 Multipliers'!$P$3:$Q$6,2,FALSE)),"")</f>
        <v/>
      </c>
      <c r="AH235" s="160"/>
      <c r="AI235" s="363" t="str">
        <f>IF(AH235="","",IF(VLOOKUP(AH235,'G-3 Multipliers'!$S$3:$T$10,2,FALSE)=0,"Spatial Data Missing ⚠",VLOOKUP(AH235,'G-3 Multipliers'!$S$3:$T$10,2,FALSE)))</f>
        <v/>
      </c>
      <c r="AJ235" s="405" t="str">
        <f t="shared" si="34"/>
        <v/>
      </c>
      <c r="AK235" s="376" t="str">
        <f t="shared" si="35"/>
        <v/>
      </c>
      <c r="AL235" s="117"/>
      <c r="AM235" s="118"/>
      <c r="AN235" s="120"/>
      <c r="AO235" s="120"/>
      <c r="AQ235" s="30" t="str">
        <f>IFERROR(INDEX('G-6 Hedgerow Data'!$BJ$3:$BJ$15,MATCH(M235,'G-6 Hedgerow Data'!$B$3:$B$15,0)),"")</f>
        <v/>
      </c>
    </row>
    <row r="236" spans="2:43" ht="15">
      <c r="B236" s="392" t="str">
        <f>'E-1 Off-Site Hedge Baseline'!AN234</f>
        <v/>
      </c>
      <c r="C236" s="382" t="str">
        <f>IF(B236="","",IF(ISNA(VLOOKUP($B236,'E-1 Off-Site Hedge Baseline'!$B$1:$L$257,3,FALSE)),"",(VLOOKUP($B236,'E-1 Off-Site Hedge Baseline'!$B$1:$L$257,3,FALSE))))</f>
        <v/>
      </c>
      <c r="D236" s="382" t="str">
        <f>IF(B236="","",IF(ISNA(VLOOKUP($B236,'E-1 Off-Site Hedge Baseline'!$B$1:$L$258,4,FALSE)),"",(VLOOKUP($B236,'E-1 Off-Site Hedge Baseline'!$B$1:$L$258,4,FALSE))))</f>
        <v/>
      </c>
      <c r="E236" s="382" t="str">
        <f>IF(B236="","",IF(ISNA(VLOOKUP($B236,'E-1 Off-Site Hedge Baseline'!$B$1:$L$257,5,FALSE)),"",(VLOOKUP($B236,'E-1 Off-Site Hedge Baseline'!$B$1:$L$257,5,FALSE))))</f>
        <v/>
      </c>
      <c r="F236" s="382" t="str">
        <f>IF(B236="","",IF(ISNA(VLOOKUP($B236,'E-1 Off-Site Hedge Baseline'!$B$1:$L$257,6,FALSE)),"",(VLOOKUP($B236,'E-1 Off-Site Hedge Baseline'!$B$1:$L$257,6,FALSE))))</f>
        <v/>
      </c>
      <c r="G236" s="382" t="str">
        <f>IF(B236="","",IF(ISNA(VLOOKUP($B236,'E-1 Off-Site Hedge Baseline'!$B$1:$L$257,7,FALSE)),"",(VLOOKUP($B236,'E-1 Off-Site Hedge Baseline'!$B$1:$L$257,7,FALSE))))</f>
        <v/>
      </c>
      <c r="H236" s="382" t="str">
        <f>IF(B236="","",IF(ISNA(VLOOKUP($B236,'E-1 Off-Site Hedge Baseline'!$B$1:$L$257,8,FALSE)),"",(VLOOKUP($B236,'E-1 Off-Site Hedge Baseline'!$B$1:$L$257,8,FALSE))))</f>
        <v/>
      </c>
      <c r="I236" s="382" t="str">
        <f>IF(B236="","",IF(ISNA(VLOOKUP($B236,'E-1 Off-Site Hedge Baseline'!$B$1:$L$257,10,FALSE)),"",(VLOOKUP($B236,'E-1 Off-Site Hedge Baseline'!$B$1:$L$257,10,FALSE))))</f>
        <v/>
      </c>
      <c r="J236" s="382" t="str">
        <f>IF(B236="","",IF(ISNA(VLOOKUP($B236,'E-1 Off-Site Hedge Baseline'!$B$1:$L$257,11,FALSE)),"",(VLOOKUP($B236,'E-1 Off-Site Hedge Baseline'!$B$1:$L$257,11,FALSE))))</f>
        <v/>
      </c>
      <c r="K236" s="382" t="str">
        <f>IF(B236="","",IF(ISNA(VLOOKUP($B236,'E-1 Off-Site Hedge Baseline'!$B$1:$X$257,113,FALSE)),"",(VLOOKUP($B236,'E-1 Off-Site Hedge Baseline'!$B$1:$X$257,13,FALSE))))</f>
        <v/>
      </c>
      <c r="L236" s="370" t="str">
        <f>IF(B236="","",IF(ISNA(VLOOKUP($B236,'E-1 Off-Site Hedge Baseline'!$B$1:$X$257,12,FALSE)),"",(VLOOKUP($B236,'E-1 Off-Site Hedge Baseline'!$B$1:$X$257,12,FALSE))))</f>
        <v/>
      </c>
      <c r="M236" s="316" t="str">
        <f t="shared" si="27"/>
        <v/>
      </c>
      <c r="N236" s="362" t="str">
        <f>IFERROR(IF(B236="","",INDEX('G-6 Hedgerow Data'!$AN$3:$AZ$15,MATCH(C236,'G-6 Hedgerow Data'!$AM$3:$AM$15,0),MATCH(M236,'G-6 Hedgerow Data'!$AN$2:$AZ$2,0))),"")</f>
        <v/>
      </c>
      <c r="O236" s="363" t="str">
        <f t="shared" si="29"/>
        <v/>
      </c>
      <c r="P236" s="368" t="str">
        <f>IF(B236="","",VLOOKUP(B236,'E-1 Off-Site Hedge Baseline'!$B$10:W481,19,FALSE))</f>
        <v/>
      </c>
      <c r="Q236" s="362" t="str">
        <f>IF(M236="","",VLOOKUP(M236,'G-6 Hedgerow Data'!$B$2:$AG$15,2,FALSE))</f>
        <v/>
      </c>
      <c r="R236" s="363" t="str">
        <f>IF(M236="","",VLOOKUP(M236,'G-6 Hedgerow Data'!$B$2:$AG$15,3,FALSE))</f>
        <v/>
      </c>
      <c r="S236" s="114"/>
      <c r="T236" s="363" t="str">
        <f>IFERROR(IF(AND(Q236="V.Low",OR(S236="Good",S236="Moderate")),"Error ▲",VLOOKUP(S236,'G-1 All Habitats'!$Z$2:$AA$9,2,FALSE)),"")</f>
        <v/>
      </c>
      <c r="U236" s="114"/>
      <c r="V236" s="370" t="str">
        <f>IF(U236="","",IF(VLOOKUP(U236,'G-3 Multipliers'!$L$3:$N$6,2,FALSE)=0,"Spatial Data Missing ⚠",VLOOKUP(U236,'G-3 Multipliers'!$L$3:$N$6,2,FALSE)))</f>
        <v/>
      </c>
      <c r="W236" s="368" t="str">
        <f>IF(U236="","",IF(VLOOKUP(U236,'G-3 Multipliers'!$L$3:$N$6,3,FALSE)=0,"Spatial Data Missing ⚠",VLOOKUP(U236,'G-3 Multipliers'!$L$3:$N$6,3,FALSE)))</f>
        <v/>
      </c>
      <c r="X236" s="362" t="str">
        <f>IFERROR(IF(OR(LEFT(O236,5)="Error",LEFT(N236,5)="Error",T236="Error"),"Check Data ⚠",IF(F236&lt;R236,INDEX('G-6 Hedgerow Data'!$S$3:$AE$14,MATCH(C236,'G-6 Hedgerow Data'!$B$3:$B$14,0),MATCH(M236,'G-6 Hedgerow Data'!$S$2:$AE$2,0)),INDEX('G-6 Hedgerow Data'!$K$3:$Q$14,MATCH(M236,'G-6 Hedgerow Data'!$B$3:$B$14,0),MATCH(O236,'G-6 Hedgerow Data'!$K$2:$Q$2,0)))),"")</f>
        <v/>
      </c>
      <c r="Y236" s="159"/>
      <c r="Z236" s="159"/>
      <c r="AA236" s="370" t="str">
        <f t="shared" si="30"/>
        <v/>
      </c>
      <c r="AB236" s="383" t="str">
        <f t="shared" si="31"/>
        <v/>
      </c>
      <c r="AC236" s="384" t="str">
        <f t="shared" si="28"/>
        <v/>
      </c>
      <c r="AD236" s="398" t="str">
        <f>IF(M236="","",VLOOKUP(M236,'G-6 Hedgerow Data'!$B$3:$AG$15,31,FALSE))</f>
        <v/>
      </c>
      <c r="AE236" s="382" t="str">
        <f t="shared" si="32"/>
        <v/>
      </c>
      <c r="AF236" s="382" t="str">
        <f t="shared" si="33"/>
        <v/>
      </c>
      <c r="AG236" s="386" t="str">
        <f>IFERROR(IF(O236="","",VLOOKUP(AD236,'G-3 Multipliers'!$P$3:$Q$6,2,FALSE)),"")</f>
        <v/>
      </c>
      <c r="AH236" s="160"/>
      <c r="AI236" s="363" t="str">
        <f>IF(AH236="","",IF(VLOOKUP(AH236,'G-3 Multipliers'!$S$3:$T$10,2,FALSE)=0,"Spatial Data Missing ⚠",VLOOKUP(AH236,'G-3 Multipliers'!$S$3:$T$10,2,FALSE)))</f>
        <v/>
      </c>
      <c r="AJ236" s="405" t="str">
        <f t="shared" si="34"/>
        <v/>
      </c>
      <c r="AK236" s="376" t="str">
        <f t="shared" si="35"/>
        <v/>
      </c>
      <c r="AL236" s="117"/>
      <c r="AM236" s="118"/>
      <c r="AN236" s="120"/>
      <c r="AO236" s="120"/>
      <c r="AQ236" s="30" t="str">
        <f>IFERROR(INDEX('G-6 Hedgerow Data'!$BJ$3:$BJ$15,MATCH(M236,'G-6 Hedgerow Data'!$B$3:$B$15,0)),"")</f>
        <v/>
      </c>
    </row>
    <row r="237" spans="2:43" ht="15">
      <c r="B237" s="392" t="str">
        <f>'E-1 Off-Site Hedge Baseline'!AN235</f>
        <v/>
      </c>
      <c r="C237" s="382" t="str">
        <f>IF(B237="","",IF(ISNA(VLOOKUP($B237,'E-1 Off-Site Hedge Baseline'!$B$1:$L$257,3,FALSE)),"",(VLOOKUP($B237,'E-1 Off-Site Hedge Baseline'!$B$1:$L$257,3,FALSE))))</f>
        <v/>
      </c>
      <c r="D237" s="382" t="str">
        <f>IF(B237="","",IF(ISNA(VLOOKUP($B237,'E-1 Off-Site Hedge Baseline'!$B$1:$L$258,4,FALSE)),"",(VLOOKUP($B237,'E-1 Off-Site Hedge Baseline'!$B$1:$L$258,4,FALSE))))</f>
        <v/>
      </c>
      <c r="E237" s="382" t="str">
        <f>IF(B237="","",IF(ISNA(VLOOKUP($B237,'E-1 Off-Site Hedge Baseline'!$B$1:$L$257,5,FALSE)),"",(VLOOKUP($B237,'E-1 Off-Site Hedge Baseline'!$B$1:$L$257,5,FALSE))))</f>
        <v/>
      </c>
      <c r="F237" s="382" t="str">
        <f>IF(B237="","",IF(ISNA(VLOOKUP($B237,'E-1 Off-Site Hedge Baseline'!$B$1:$L$257,6,FALSE)),"",(VLOOKUP($B237,'E-1 Off-Site Hedge Baseline'!$B$1:$L$257,6,FALSE))))</f>
        <v/>
      </c>
      <c r="G237" s="382" t="str">
        <f>IF(B237="","",IF(ISNA(VLOOKUP($B237,'E-1 Off-Site Hedge Baseline'!$B$1:$L$257,7,FALSE)),"",(VLOOKUP($B237,'E-1 Off-Site Hedge Baseline'!$B$1:$L$257,7,FALSE))))</f>
        <v/>
      </c>
      <c r="H237" s="382" t="str">
        <f>IF(B237="","",IF(ISNA(VLOOKUP($B237,'E-1 Off-Site Hedge Baseline'!$B$1:$L$257,8,FALSE)),"",(VLOOKUP($B237,'E-1 Off-Site Hedge Baseline'!$B$1:$L$257,8,FALSE))))</f>
        <v/>
      </c>
      <c r="I237" s="382" t="str">
        <f>IF(B237="","",IF(ISNA(VLOOKUP($B237,'E-1 Off-Site Hedge Baseline'!$B$1:$L$257,10,FALSE)),"",(VLOOKUP($B237,'E-1 Off-Site Hedge Baseline'!$B$1:$L$257,10,FALSE))))</f>
        <v/>
      </c>
      <c r="J237" s="382" t="str">
        <f>IF(B237="","",IF(ISNA(VLOOKUP($B237,'E-1 Off-Site Hedge Baseline'!$B$1:$L$257,11,FALSE)),"",(VLOOKUP($B237,'E-1 Off-Site Hedge Baseline'!$B$1:$L$257,11,FALSE))))</f>
        <v/>
      </c>
      <c r="K237" s="382" t="str">
        <f>IF(B237="","",IF(ISNA(VLOOKUP($B237,'E-1 Off-Site Hedge Baseline'!$B$1:$X$257,113,FALSE)),"",(VLOOKUP($B237,'E-1 Off-Site Hedge Baseline'!$B$1:$X$257,13,FALSE))))</f>
        <v/>
      </c>
      <c r="L237" s="370" t="str">
        <f>IF(B237="","",IF(ISNA(VLOOKUP($B237,'E-1 Off-Site Hedge Baseline'!$B$1:$X$257,12,FALSE)),"",(VLOOKUP($B237,'E-1 Off-Site Hedge Baseline'!$B$1:$X$257,12,FALSE))))</f>
        <v/>
      </c>
      <c r="M237" s="316" t="str">
        <f t="shared" si="27"/>
        <v/>
      </c>
      <c r="N237" s="362" t="str">
        <f>IFERROR(IF(B237="","",INDEX('G-6 Hedgerow Data'!$AN$3:$AZ$15,MATCH(C237,'G-6 Hedgerow Data'!$AM$3:$AM$15,0),MATCH(M237,'G-6 Hedgerow Data'!$AN$2:$AZ$2,0))),"")</f>
        <v/>
      </c>
      <c r="O237" s="363" t="str">
        <f t="shared" si="29"/>
        <v/>
      </c>
      <c r="P237" s="368" t="str">
        <f>IF(B237="","",VLOOKUP(B237,'E-1 Off-Site Hedge Baseline'!$B$10:W482,19,FALSE))</f>
        <v/>
      </c>
      <c r="Q237" s="362" t="str">
        <f>IF(M237="","",VLOOKUP(M237,'G-6 Hedgerow Data'!$B$2:$AG$15,2,FALSE))</f>
        <v/>
      </c>
      <c r="R237" s="363" t="str">
        <f>IF(M237="","",VLOOKUP(M237,'G-6 Hedgerow Data'!$B$2:$AG$15,3,FALSE))</f>
        <v/>
      </c>
      <c r="S237" s="114"/>
      <c r="T237" s="363" t="str">
        <f>IFERROR(IF(AND(Q237="V.Low",OR(S237="Good",S237="Moderate")),"Error ▲",VLOOKUP(S237,'G-1 All Habitats'!$Z$2:$AA$9,2,FALSE)),"")</f>
        <v/>
      </c>
      <c r="U237" s="114"/>
      <c r="V237" s="370" t="str">
        <f>IF(U237="","",IF(VLOOKUP(U237,'G-3 Multipliers'!$L$3:$N$6,2,FALSE)=0,"Spatial Data Missing ⚠",VLOOKUP(U237,'G-3 Multipliers'!$L$3:$N$6,2,FALSE)))</f>
        <v/>
      </c>
      <c r="W237" s="368" t="str">
        <f>IF(U237="","",IF(VLOOKUP(U237,'G-3 Multipliers'!$L$3:$N$6,3,FALSE)=0,"Spatial Data Missing ⚠",VLOOKUP(U237,'G-3 Multipliers'!$L$3:$N$6,3,FALSE)))</f>
        <v/>
      </c>
      <c r="X237" s="362" t="str">
        <f>IFERROR(IF(OR(LEFT(O237,5)="Error",LEFT(N237,5)="Error",T237="Error"),"Check Data ⚠",IF(F237&lt;R237,INDEX('G-6 Hedgerow Data'!$S$3:$AE$14,MATCH(C237,'G-6 Hedgerow Data'!$B$3:$B$14,0),MATCH(M237,'G-6 Hedgerow Data'!$S$2:$AE$2,0)),INDEX('G-6 Hedgerow Data'!$K$3:$Q$14,MATCH(M237,'G-6 Hedgerow Data'!$B$3:$B$14,0),MATCH(O237,'G-6 Hedgerow Data'!$K$2:$Q$2,0)))),"")</f>
        <v/>
      </c>
      <c r="Y237" s="159"/>
      <c r="Z237" s="159"/>
      <c r="AA237" s="370" t="str">
        <f t="shared" si="30"/>
        <v/>
      </c>
      <c r="AB237" s="383" t="str">
        <f t="shared" si="31"/>
        <v/>
      </c>
      <c r="AC237" s="384" t="str">
        <f t="shared" si="28"/>
        <v/>
      </c>
      <c r="AD237" s="398" t="str">
        <f>IF(M237="","",VLOOKUP(M237,'G-6 Hedgerow Data'!$B$3:$AG$15,31,FALSE))</f>
        <v/>
      </c>
      <c r="AE237" s="382" t="str">
        <f t="shared" si="32"/>
        <v/>
      </c>
      <c r="AF237" s="382" t="str">
        <f t="shared" si="33"/>
        <v/>
      </c>
      <c r="AG237" s="386" t="str">
        <f>IFERROR(IF(O237="","",VLOOKUP(AD237,'G-3 Multipliers'!$P$3:$Q$6,2,FALSE)),"")</f>
        <v/>
      </c>
      <c r="AH237" s="160"/>
      <c r="AI237" s="363" t="str">
        <f>IF(AH237="","",IF(VLOOKUP(AH237,'G-3 Multipliers'!$S$3:$T$10,2,FALSE)=0,"Spatial Data Missing ⚠",VLOOKUP(AH237,'G-3 Multipliers'!$S$3:$T$10,2,FALSE)))</f>
        <v/>
      </c>
      <c r="AJ237" s="405" t="str">
        <f t="shared" si="34"/>
        <v/>
      </c>
      <c r="AK237" s="376" t="str">
        <f t="shared" si="35"/>
        <v/>
      </c>
      <c r="AL237" s="117"/>
      <c r="AM237" s="118"/>
      <c r="AN237" s="120"/>
      <c r="AO237" s="120"/>
      <c r="AQ237" s="30" t="str">
        <f>IFERROR(INDEX('G-6 Hedgerow Data'!$BJ$3:$BJ$15,MATCH(M237,'G-6 Hedgerow Data'!$B$3:$B$15,0)),"")</f>
        <v/>
      </c>
    </row>
    <row r="238" spans="2:43" ht="15">
      <c r="B238" s="392" t="str">
        <f>'E-1 Off-Site Hedge Baseline'!AN236</f>
        <v/>
      </c>
      <c r="C238" s="382" t="str">
        <f>IF(B238="","",IF(ISNA(VLOOKUP($B238,'E-1 Off-Site Hedge Baseline'!$B$1:$L$257,3,FALSE)),"",(VLOOKUP($B238,'E-1 Off-Site Hedge Baseline'!$B$1:$L$257,3,FALSE))))</f>
        <v/>
      </c>
      <c r="D238" s="382" t="str">
        <f>IF(B238="","",IF(ISNA(VLOOKUP($B238,'E-1 Off-Site Hedge Baseline'!$B$1:$L$258,4,FALSE)),"",(VLOOKUP($B238,'E-1 Off-Site Hedge Baseline'!$B$1:$L$258,4,FALSE))))</f>
        <v/>
      </c>
      <c r="E238" s="382" t="str">
        <f>IF(B238="","",IF(ISNA(VLOOKUP($B238,'E-1 Off-Site Hedge Baseline'!$B$1:$L$257,5,FALSE)),"",(VLOOKUP($B238,'E-1 Off-Site Hedge Baseline'!$B$1:$L$257,5,FALSE))))</f>
        <v/>
      </c>
      <c r="F238" s="382" t="str">
        <f>IF(B238="","",IF(ISNA(VLOOKUP($B238,'E-1 Off-Site Hedge Baseline'!$B$1:$L$257,6,FALSE)),"",(VLOOKUP($B238,'E-1 Off-Site Hedge Baseline'!$B$1:$L$257,6,FALSE))))</f>
        <v/>
      </c>
      <c r="G238" s="382" t="str">
        <f>IF(B238="","",IF(ISNA(VLOOKUP($B238,'E-1 Off-Site Hedge Baseline'!$B$1:$L$257,7,FALSE)),"",(VLOOKUP($B238,'E-1 Off-Site Hedge Baseline'!$B$1:$L$257,7,FALSE))))</f>
        <v/>
      </c>
      <c r="H238" s="382" t="str">
        <f>IF(B238="","",IF(ISNA(VLOOKUP($B238,'E-1 Off-Site Hedge Baseline'!$B$1:$L$257,8,FALSE)),"",(VLOOKUP($B238,'E-1 Off-Site Hedge Baseline'!$B$1:$L$257,8,FALSE))))</f>
        <v/>
      </c>
      <c r="I238" s="382" t="str">
        <f>IF(B238="","",IF(ISNA(VLOOKUP($B238,'E-1 Off-Site Hedge Baseline'!$B$1:$L$257,10,FALSE)),"",(VLOOKUP($B238,'E-1 Off-Site Hedge Baseline'!$B$1:$L$257,10,FALSE))))</f>
        <v/>
      </c>
      <c r="J238" s="382" t="str">
        <f>IF(B238="","",IF(ISNA(VLOOKUP($B238,'E-1 Off-Site Hedge Baseline'!$B$1:$L$257,11,FALSE)),"",(VLOOKUP($B238,'E-1 Off-Site Hedge Baseline'!$B$1:$L$257,11,FALSE))))</f>
        <v/>
      </c>
      <c r="K238" s="382" t="str">
        <f>IF(B238="","",IF(ISNA(VLOOKUP($B238,'E-1 Off-Site Hedge Baseline'!$B$1:$X$257,113,FALSE)),"",(VLOOKUP($B238,'E-1 Off-Site Hedge Baseline'!$B$1:$X$257,13,FALSE))))</f>
        <v/>
      </c>
      <c r="L238" s="370" t="str">
        <f>IF(B238="","",IF(ISNA(VLOOKUP($B238,'E-1 Off-Site Hedge Baseline'!$B$1:$X$257,12,FALSE)),"",(VLOOKUP($B238,'E-1 Off-Site Hedge Baseline'!$B$1:$X$257,12,FALSE))))</f>
        <v/>
      </c>
      <c r="M238" s="316" t="str">
        <f t="shared" si="27"/>
        <v/>
      </c>
      <c r="N238" s="362" t="str">
        <f>IFERROR(IF(B238="","",INDEX('G-6 Hedgerow Data'!$AN$3:$AZ$15,MATCH(C238,'G-6 Hedgerow Data'!$AM$3:$AM$15,0),MATCH(M238,'G-6 Hedgerow Data'!$AN$2:$AZ$2,0))),"")</f>
        <v/>
      </c>
      <c r="O238" s="363" t="str">
        <f t="shared" si="29"/>
        <v/>
      </c>
      <c r="P238" s="368" t="str">
        <f>IF(B238="","",VLOOKUP(B238,'E-1 Off-Site Hedge Baseline'!$B$10:W483,19,FALSE))</f>
        <v/>
      </c>
      <c r="Q238" s="362" t="str">
        <f>IF(M238="","",VLOOKUP(M238,'G-6 Hedgerow Data'!$B$2:$AG$15,2,FALSE))</f>
        <v/>
      </c>
      <c r="R238" s="363" t="str">
        <f>IF(M238="","",VLOOKUP(M238,'G-6 Hedgerow Data'!$B$2:$AG$15,3,FALSE))</f>
        <v/>
      </c>
      <c r="S238" s="114"/>
      <c r="T238" s="363" t="str">
        <f>IFERROR(IF(AND(Q238="V.Low",OR(S238="Good",S238="Moderate")),"Error ▲",VLOOKUP(S238,'G-1 All Habitats'!$Z$2:$AA$9,2,FALSE)),"")</f>
        <v/>
      </c>
      <c r="U238" s="114"/>
      <c r="V238" s="370" t="str">
        <f>IF(U238="","",IF(VLOOKUP(U238,'G-3 Multipliers'!$L$3:$N$6,2,FALSE)=0,"Spatial Data Missing ⚠",VLOOKUP(U238,'G-3 Multipliers'!$L$3:$N$6,2,FALSE)))</f>
        <v/>
      </c>
      <c r="W238" s="368" t="str">
        <f>IF(U238="","",IF(VLOOKUP(U238,'G-3 Multipliers'!$L$3:$N$6,3,FALSE)=0,"Spatial Data Missing ⚠",VLOOKUP(U238,'G-3 Multipliers'!$L$3:$N$6,3,FALSE)))</f>
        <v/>
      </c>
      <c r="X238" s="362" t="str">
        <f>IFERROR(IF(OR(LEFT(O238,5)="Error",LEFT(N238,5)="Error",T238="Error"),"Check Data ⚠",IF(F238&lt;R238,INDEX('G-6 Hedgerow Data'!$S$3:$AE$14,MATCH(C238,'G-6 Hedgerow Data'!$B$3:$B$14,0),MATCH(M238,'G-6 Hedgerow Data'!$S$2:$AE$2,0)),INDEX('G-6 Hedgerow Data'!$K$3:$Q$14,MATCH(M238,'G-6 Hedgerow Data'!$B$3:$B$14,0),MATCH(O238,'G-6 Hedgerow Data'!$K$2:$Q$2,0)))),"")</f>
        <v/>
      </c>
      <c r="Y238" s="159"/>
      <c r="Z238" s="159"/>
      <c r="AA238" s="370" t="str">
        <f t="shared" si="30"/>
        <v/>
      </c>
      <c r="AB238" s="383" t="str">
        <f t="shared" si="31"/>
        <v/>
      </c>
      <c r="AC238" s="384" t="str">
        <f t="shared" si="28"/>
        <v/>
      </c>
      <c r="AD238" s="398" t="str">
        <f>IF(M238="","",VLOOKUP(M238,'G-6 Hedgerow Data'!$B$3:$AG$15,31,FALSE))</f>
        <v/>
      </c>
      <c r="AE238" s="382" t="str">
        <f t="shared" si="32"/>
        <v/>
      </c>
      <c r="AF238" s="382" t="str">
        <f t="shared" si="33"/>
        <v/>
      </c>
      <c r="AG238" s="386" t="str">
        <f>IFERROR(IF(O238="","",VLOOKUP(AD238,'G-3 Multipliers'!$P$3:$Q$6,2,FALSE)),"")</f>
        <v/>
      </c>
      <c r="AH238" s="160"/>
      <c r="AI238" s="363" t="str">
        <f>IF(AH238="","",IF(VLOOKUP(AH238,'G-3 Multipliers'!$S$3:$T$10,2,FALSE)=0,"Spatial Data Missing ⚠",VLOOKUP(AH238,'G-3 Multipliers'!$S$3:$T$10,2,FALSE)))</f>
        <v/>
      </c>
      <c r="AJ238" s="405" t="str">
        <f t="shared" si="34"/>
        <v/>
      </c>
      <c r="AK238" s="376" t="str">
        <f t="shared" si="35"/>
        <v/>
      </c>
      <c r="AL238" s="117"/>
      <c r="AM238" s="118"/>
      <c r="AN238" s="120"/>
      <c r="AO238" s="120"/>
      <c r="AQ238" s="30" t="str">
        <f>IFERROR(INDEX('G-6 Hedgerow Data'!$BJ$3:$BJ$15,MATCH(M238,'G-6 Hedgerow Data'!$B$3:$B$15,0)),"")</f>
        <v/>
      </c>
    </row>
    <row r="239" spans="2:43" ht="15">
      <c r="B239" s="392" t="str">
        <f>'E-1 Off-Site Hedge Baseline'!AN237</f>
        <v/>
      </c>
      <c r="C239" s="382" t="str">
        <f>IF(B239="","",IF(ISNA(VLOOKUP($B239,'E-1 Off-Site Hedge Baseline'!$B$1:$L$257,3,FALSE)),"",(VLOOKUP($B239,'E-1 Off-Site Hedge Baseline'!$B$1:$L$257,3,FALSE))))</f>
        <v/>
      </c>
      <c r="D239" s="382" t="str">
        <f>IF(B239="","",IF(ISNA(VLOOKUP($B239,'E-1 Off-Site Hedge Baseline'!$B$1:$L$258,4,FALSE)),"",(VLOOKUP($B239,'E-1 Off-Site Hedge Baseline'!$B$1:$L$258,4,FALSE))))</f>
        <v/>
      </c>
      <c r="E239" s="382" t="str">
        <f>IF(B239="","",IF(ISNA(VLOOKUP($B239,'E-1 Off-Site Hedge Baseline'!$B$1:$L$257,5,FALSE)),"",(VLOOKUP($B239,'E-1 Off-Site Hedge Baseline'!$B$1:$L$257,5,FALSE))))</f>
        <v/>
      </c>
      <c r="F239" s="382" t="str">
        <f>IF(B239="","",IF(ISNA(VLOOKUP($B239,'E-1 Off-Site Hedge Baseline'!$B$1:$L$257,6,FALSE)),"",(VLOOKUP($B239,'E-1 Off-Site Hedge Baseline'!$B$1:$L$257,6,FALSE))))</f>
        <v/>
      </c>
      <c r="G239" s="382" t="str">
        <f>IF(B239="","",IF(ISNA(VLOOKUP($B239,'E-1 Off-Site Hedge Baseline'!$B$1:$L$257,7,FALSE)),"",(VLOOKUP($B239,'E-1 Off-Site Hedge Baseline'!$B$1:$L$257,7,FALSE))))</f>
        <v/>
      </c>
      <c r="H239" s="382" t="str">
        <f>IF(B239="","",IF(ISNA(VLOOKUP($B239,'E-1 Off-Site Hedge Baseline'!$B$1:$L$257,8,FALSE)),"",(VLOOKUP($B239,'E-1 Off-Site Hedge Baseline'!$B$1:$L$257,8,FALSE))))</f>
        <v/>
      </c>
      <c r="I239" s="382" t="str">
        <f>IF(B239="","",IF(ISNA(VLOOKUP($B239,'E-1 Off-Site Hedge Baseline'!$B$1:$L$257,10,FALSE)),"",(VLOOKUP($B239,'E-1 Off-Site Hedge Baseline'!$B$1:$L$257,10,FALSE))))</f>
        <v/>
      </c>
      <c r="J239" s="382" t="str">
        <f>IF(B239="","",IF(ISNA(VLOOKUP($B239,'E-1 Off-Site Hedge Baseline'!$B$1:$L$257,11,FALSE)),"",(VLOOKUP($B239,'E-1 Off-Site Hedge Baseline'!$B$1:$L$257,11,FALSE))))</f>
        <v/>
      </c>
      <c r="K239" s="382" t="str">
        <f>IF(B239="","",IF(ISNA(VLOOKUP($B239,'E-1 Off-Site Hedge Baseline'!$B$1:$X$257,113,FALSE)),"",(VLOOKUP($B239,'E-1 Off-Site Hedge Baseline'!$B$1:$X$257,13,FALSE))))</f>
        <v/>
      </c>
      <c r="L239" s="370" t="str">
        <f>IF(B239="","",IF(ISNA(VLOOKUP($B239,'E-1 Off-Site Hedge Baseline'!$B$1:$X$257,12,FALSE)),"",(VLOOKUP($B239,'E-1 Off-Site Hedge Baseline'!$B$1:$X$257,12,FALSE))))</f>
        <v/>
      </c>
      <c r="M239" s="316" t="str">
        <f t="shared" si="27"/>
        <v/>
      </c>
      <c r="N239" s="362" t="str">
        <f>IFERROR(IF(B239="","",INDEX('G-6 Hedgerow Data'!$AN$3:$AZ$15,MATCH(C239,'G-6 Hedgerow Data'!$AM$3:$AM$15,0),MATCH(M239,'G-6 Hedgerow Data'!$AN$2:$AZ$2,0))),"")</f>
        <v/>
      </c>
      <c r="O239" s="363" t="str">
        <f t="shared" si="29"/>
        <v/>
      </c>
      <c r="P239" s="368" t="str">
        <f>IF(B239="","",VLOOKUP(B239,'E-1 Off-Site Hedge Baseline'!$B$10:W484,19,FALSE))</f>
        <v/>
      </c>
      <c r="Q239" s="362" t="str">
        <f>IF(M239="","",VLOOKUP(M239,'G-6 Hedgerow Data'!$B$2:$AG$15,2,FALSE))</f>
        <v/>
      </c>
      <c r="R239" s="363" t="str">
        <f>IF(M239="","",VLOOKUP(M239,'G-6 Hedgerow Data'!$B$2:$AG$15,3,FALSE))</f>
        <v/>
      </c>
      <c r="S239" s="114"/>
      <c r="T239" s="363" t="str">
        <f>IFERROR(IF(AND(Q239="V.Low",OR(S239="Good",S239="Moderate")),"Error ▲",VLOOKUP(S239,'G-1 All Habitats'!$Z$2:$AA$9,2,FALSE)),"")</f>
        <v/>
      </c>
      <c r="U239" s="114"/>
      <c r="V239" s="370" t="str">
        <f>IF(U239="","",IF(VLOOKUP(U239,'G-3 Multipliers'!$L$3:$N$6,2,FALSE)=0,"Spatial Data Missing ⚠",VLOOKUP(U239,'G-3 Multipliers'!$L$3:$N$6,2,FALSE)))</f>
        <v/>
      </c>
      <c r="W239" s="368" t="str">
        <f>IF(U239="","",IF(VLOOKUP(U239,'G-3 Multipliers'!$L$3:$N$6,3,FALSE)=0,"Spatial Data Missing ⚠",VLOOKUP(U239,'G-3 Multipliers'!$L$3:$N$6,3,FALSE)))</f>
        <v/>
      </c>
      <c r="X239" s="362" t="str">
        <f>IFERROR(IF(OR(LEFT(O239,5)="Error",LEFT(N239,5)="Error",T239="Error"),"Check Data ⚠",IF(F239&lt;R239,INDEX('G-6 Hedgerow Data'!$S$3:$AE$14,MATCH(C239,'G-6 Hedgerow Data'!$B$3:$B$14,0),MATCH(M239,'G-6 Hedgerow Data'!$S$2:$AE$2,0)),INDEX('G-6 Hedgerow Data'!$K$3:$Q$14,MATCH(M239,'G-6 Hedgerow Data'!$B$3:$B$14,0),MATCH(O239,'G-6 Hedgerow Data'!$K$2:$Q$2,0)))),"")</f>
        <v/>
      </c>
      <c r="Y239" s="159"/>
      <c r="Z239" s="159"/>
      <c r="AA239" s="370" t="str">
        <f t="shared" si="30"/>
        <v/>
      </c>
      <c r="AB239" s="383" t="str">
        <f t="shared" si="31"/>
        <v/>
      </c>
      <c r="AC239" s="384" t="str">
        <f t="shared" si="28"/>
        <v/>
      </c>
      <c r="AD239" s="398" t="str">
        <f>IF(M239="","",VLOOKUP(M239,'G-6 Hedgerow Data'!$B$3:$AG$15,31,FALSE))</f>
        <v/>
      </c>
      <c r="AE239" s="382" t="str">
        <f t="shared" si="32"/>
        <v/>
      </c>
      <c r="AF239" s="382" t="str">
        <f t="shared" si="33"/>
        <v/>
      </c>
      <c r="AG239" s="386" t="str">
        <f>IFERROR(IF(O239="","",VLOOKUP(AD239,'G-3 Multipliers'!$P$3:$Q$6,2,FALSE)),"")</f>
        <v/>
      </c>
      <c r="AH239" s="160"/>
      <c r="AI239" s="363" t="str">
        <f>IF(AH239="","",IF(VLOOKUP(AH239,'G-3 Multipliers'!$S$3:$T$10,2,FALSE)=0,"Spatial Data Missing ⚠",VLOOKUP(AH239,'G-3 Multipliers'!$S$3:$T$10,2,FALSE)))</f>
        <v/>
      </c>
      <c r="AJ239" s="405" t="str">
        <f t="shared" si="34"/>
        <v/>
      </c>
      <c r="AK239" s="376" t="str">
        <f t="shared" si="35"/>
        <v/>
      </c>
      <c r="AL239" s="117"/>
      <c r="AM239" s="118"/>
      <c r="AN239" s="120"/>
      <c r="AO239" s="120"/>
      <c r="AQ239" s="30" t="str">
        <f>IFERROR(INDEX('G-6 Hedgerow Data'!$BJ$3:$BJ$15,MATCH(M239,'G-6 Hedgerow Data'!$B$3:$B$15,0)),"")</f>
        <v/>
      </c>
    </row>
    <row r="240" spans="2:43" ht="15">
      <c r="B240" s="392" t="str">
        <f>'E-1 Off-Site Hedge Baseline'!AN238</f>
        <v/>
      </c>
      <c r="C240" s="382" t="str">
        <f>IF(B240="","",IF(ISNA(VLOOKUP($B240,'E-1 Off-Site Hedge Baseline'!$B$1:$L$257,3,FALSE)),"",(VLOOKUP($B240,'E-1 Off-Site Hedge Baseline'!$B$1:$L$257,3,FALSE))))</f>
        <v/>
      </c>
      <c r="D240" s="382" t="str">
        <f>IF(B240="","",IF(ISNA(VLOOKUP($B240,'E-1 Off-Site Hedge Baseline'!$B$1:$L$258,4,FALSE)),"",(VLOOKUP($B240,'E-1 Off-Site Hedge Baseline'!$B$1:$L$258,4,FALSE))))</f>
        <v/>
      </c>
      <c r="E240" s="382" t="str">
        <f>IF(B240="","",IF(ISNA(VLOOKUP($B240,'E-1 Off-Site Hedge Baseline'!$B$1:$L$257,5,FALSE)),"",(VLOOKUP($B240,'E-1 Off-Site Hedge Baseline'!$B$1:$L$257,5,FALSE))))</f>
        <v/>
      </c>
      <c r="F240" s="382" t="str">
        <f>IF(B240="","",IF(ISNA(VLOOKUP($B240,'E-1 Off-Site Hedge Baseline'!$B$1:$L$257,6,FALSE)),"",(VLOOKUP($B240,'E-1 Off-Site Hedge Baseline'!$B$1:$L$257,6,FALSE))))</f>
        <v/>
      </c>
      <c r="G240" s="382" t="str">
        <f>IF(B240="","",IF(ISNA(VLOOKUP($B240,'E-1 Off-Site Hedge Baseline'!$B$1:$L$257,7,FALSE)),"",(VLOOKUP($B240,'E-1 Off-Site Hedge Baseline'!$B$1:$L$257,7,FALSE))))</f>
        <v/>
      </c>
      <c r="H240" s="382" t="str">
        <f>IF(B240="","",IF(ISNA(VLOOKUP($B240,'E-1 Off-Site Hedge Baseline'!$B$1:$L$257,8,FALSE)),"",(VLOOKUP($B240,'E-1 Off-Site Hedge Baseline'!$B$1:$L$257,8,FALSE))))</f>
        <v/>
      </c>
      <c r="I240" s="382" t="str">
        <f>IF(B240="","",IF(ISNA(VLOOKUP($B240,'E-1 Off-Site Hedge Baseline'!$B$1:$L$257,10,FALSE)),"",(VLOOKUP($B240,'E-1 Off-Site Hedge Baseline'!$B$1:$L$257,10,FALSE))))</f>
        <v/>
      </c>
      <c r="J240" s="382" t="str">
        <f>IF(B240="","",IF(ISNA(VLOOKUP($B240,'E-1 Off-Site Hedge Baseline'!$B$1:$L$257,11,FALSE)),"",(VLOOKUP($B240,'E-1 Off-Site Hedge Baseline'!$B$1:$L$257,11,FALSE))))</f>
        <v/>
      </c>
      <c r="K240" s="382" t="str">
        <f>IF(B240="","",IF(ISNA(VLOOKUP($B240,'E-1 Off-Site Hedge Baseline'!$B$1:$X$257,113,FALSE)),"",(VLOOKUP($B240,'E-1 Off-Site Hedge Baseline'!$B$1:$X$257,13,FALSE))))</f>
        <v/>
      </c>
      <c r="L240" s="370" t="str">
        <f>IF(B240="","",IF(ISNA(VLOOKUP($B240,'E-1 Off-Site Hedge Baseline'!$B$1:$X$257,12,FALSE)),"",(VLOOKUP($B240,'E-1 Off-Site Hedge Baseline'!$B$1:$X$257,12,FALSE))))</f>
        <v/>
      </c>
      <c r="M240" s="316" t="str">
        <f t="shared" si="27"/>
        <v/>
      </c>
      <c r="N240" s="362" t="str">
        <f>IFERROR(IF(B240="","",INDEX('G-6 Hedgerow Data'!$AN$3:$AZ$15,MATCH(C240,'G-6 Hedgerow Data'!$AM$3:$AM$15,0),MATCH(M240,'G-6 Hedgerow Data'!$AN$2:$AZ$2,0))),"")</f>
        <v/>
      </c>
      <c r="O240" s="363" t="str">
        <f t="shared" si="29"/>
        <v/>
      </c>
      <c r="P240" s="368" t="str">
        <f>IF(B240="","",VLOOKUP(B240,'E-1 Off-Site Hedge Baseline'!$B$10:W485,19,FALSE))</f>
        <v/>
      </c>
      <c r="Q240" s="362" t="str">
        <f>IF(M240="","",VLOOKUP(M240,'G-6 Hedgerow Data'!$B$2:$AG$15,2,FALSE))</f>
        <v/>
      </c>
      <c r="R240" s="363" t="str">
        <f>IF(M240="","",VLOOKUP(M240,'G-6 Hedgerow Data'!$B$2:$AG$15,3,FALSE))</f>
        <v/>
      </c>
      <c r="S240" s="114"/>
      <c r="T240" s="363" t="str">
        <f>IFERROR(IF(AND(Q240="V.Low",OR(S240="Good",S240="Moderate")),"Error ▲",VLOOKUP(S240,'G-1 All Habitats'!$Z$2:$AA$9,2,FALSE)),"")</f>
        <v/>
      </c>
      <c r="U240" s="114"/>
      <c r="V240" s="370" t="str">
        <f>IF(U240="","",IF(VLOOKUP(U240,'G-3 Multipliers'!$L$3:$N$6,2,FALSE)=0,"Spatial Data Missing ⚠",VLOOKUP(U240,'G-3 Multipliers'!$L$3:$N$6,2,FALSE)))</f>
        <v/>
      </c>
      <c r="W240" s="368" t="str">
        <f>IF(U240="","",IF(VLOOKUP(U240,'G-3 Multipliers'!$L$3:$N$6,3,FALSE)=0,"Spatial Data Missing ⚠",VLOOKUP(U240,'G-3 Multipliers'!$L$3:$N$6,3,FALSE)))</f>
        <v/>
      </c>
      <c r="X240" s="362" t="str">
        <f>IFERROR(IF(OR(LEFT(O240,5)="Error",LEFT(N240,5)="Error",T240="Error"),"Check Data ⚠",IF(F240&lt;R240,INDEX('G-6 Hedgerow Data'!$S$3:$AE$14,MATCH(C240,'G-6 Hedgerow Data'!$B$3:$B$14,0),MATCH(M240,'G-6 Hedgerow Data'!$S$2:$AE$2,0)),INDEX('G-6 Hedgerow Data'!$K$3:$Q$14,MATCH(M240,'G-6 Hedgerow Data'!$B$3:$B$14,0),MATCH(O240,'G-6 Hedgerow Data'!$K$2:$Q$2,0)))),"")</f>
        <v/>
      </c>
      <c r="Y240" s="159"/>
      <c r="Z240" s="159"/>
      <c r="AA240" s="370" t="str">
        <f t="shared" si="30"/>
        <v/>
      </c>
      <c r="AB240" s="383" t="str">
        <f t="shared" si="31"/>
        <v/>
      </c>
      <c r="AC240" s="384" t="str">
        <f t="shared" si="28"/>
        <v/>
      </c>
      <c r="AD240" s="398" t="str">
        <f>IF(M240="","",VLOOKUP(M240,'G-6 Hedgerow Data'!$B$3:$AG$15,31,FALSE))</f>
        <v/>
      </c>
      <c r="AE240" s="382" t="str">
        <f t="shared" si="32"/>
        <v/>
      </c>
      <c r="AF240" s="382" t="str">
        <f t="shared" si="33"/>
        <v/>
      </c>
      <c r="AG240" s="386" t="str">
        <f>IFERROR(IF(O240="","",VLOOKUP(AD240,'G-3 Multipliers'!$P$3:$Q$6,2,FALSE)),"")</f>
        <v/>
      </c>
      <c r="AH240" s="160"/>
      <c r="AI240" s="363" t="str">
        <f>IF(AH240="","",IF(VLOOKUP(AH240,'G-3 Multipliers'!$S$3:$T$10,2,FALSE)=0,"Spatial Data Missing ⚠",VLOOKUP(AH240,'G-3 Multipliers'!$S$3:$T$10,2,FALSE)))</f>
        <v/>
      </c>
      <c r="AJ240" s="405" t="str">
        <f t="shared" si="34"/>
        <v/>
      </c>
      <c r="AK240" s="376" t="str">
        <f t="shared" si="35"/>
        <v/>
      </c>
      <c r="AL240" s="117"/>
      <c r="AM240" s="118"/>
      <c r="AN240" s="120"/>
      <c r="AO240" s="120"/>
      <c r="AQ240" s="30" t="str">
        <f>IFERROR(INDEX('G-6 Hedgerow Data'!$BJ$3:$BJ$15,MATCH(M240,'G-6 Hedgerow Data'!$B$3:$B$15,0)),"")</f>
        <v/>
      </c>
    </row>
    <row r="241" spans="2:43" ht="15">
      <c r="B241" s="392" t="str">
        <f>'E-1 Off-Site Hedge Baseline'!AN239</f>
        <v/>
      </c>
      <c r="C241" s="382" t="str">
        <f>IF(B241="","",IF(ISNA(VLOOKUP($B241,'E-1 Off-Site Hedge Baseline'!$B$1:$L$257,3,FALSE)),"",(VLOOKUP($B241,'E-1 Off-Site Hedge Baseline'!$B$1:$L$257,3,FALSE))))</f>
        <v/>
      </c>
      <c r="D241" s="382" t="str">
        <f>IF(B241="","",IF(ISNA(VLOOKUP($B241,'E-1 Off-Site Hedge Baseline'!$B$1:$L$258,4,FALSE)),"",(VLOOKUP($B241,'E-1 Off-Site Hedge Baseline'!$B$1:$L$258,4,FALSE))))</f>
        <v/>
      </c>
      <c r="E241" s="382" t="str">
        <f>IF(B241="","",IF(ISNA(VLOOKUP($B241,'E-1 Off-Site Hedge Baseline'!$B$1:$L$257,5,FALSE)),"",(VLOOKUP($B241,'E-1 Off-Site Hedge Baseline'!$B$1:$L$257,5,FALSE))))</f>
        <v/>
      </c>
      <c r="F241" s="382" t="str">
        <f>IF(B241="","",IF(ISNA(VLOOKUP($B241,'E-1 Off-Site Hedge Baseline'!$B$1:$L$257,6,FALSE)),"",(VLOOKUP($B241,'E-1 Off-Site Hedge Baseline'!$B$1:$L$257,6,FALSE))))</f>
        <v/>
      </c>
      <c r="G241" s="382" t="str">
        <f>IF(B241="","",IF(ISNA(VLOOKUP($B241,'E-1 Off-Site Hedge Baseline'!$B$1:$L$257,7,FALSE)),"",(VLOOKUP($B241,'E-1 Off-Site Hedge Baseline'!$B$1:$L$257,7,FALSE))))</f>
        <v/>
      </c>
      <c r="H241" s="382" t="str">
        <f>IF(B241="","",IF(ISNA(VLOOKUP($B241,'E-1 Off-Site Hedge Baseline'!$B$1:$L$257,8,FALSE)),"",(VLOOKUP($B241,'E-1 Off-Site Hedge Baseline'!$B$1:$L$257,8,FALSE))))</f>
        <v/>
      </c>
      <c r="I241" s="382" t="str">
        <f>IF(B241="","",IF(ISNA(VLOOKUP($B241,'E-1 Off-Site Hedge Baseline'!$B$1:$L$257,10,FALSE)),"",(VLOOKUP($B241,'E-1 Off-Site Hedge Baseline'!$B$1:$L$257,10,FALSE))))</f>
        <v/>
      </c>
      <c r="J241" s="382" t="str">
        <f>IF(B241="","",IF(ISNA(VLOOKUP($B241,'E-1 Off-Site Hedge Baseline'!$B$1:$L$257,11,FALSE)),"",(VLOOKUP($B241,'E-1 Off-Site Hedge Baseline'!$B$1:$L$257,11,FALSE))))</f>
        <v/>
      </c>
      <c r="K241" s="382" t="str">
        <f>IF(B241="","",IF(ISNA(VLOOKUP($B241,'E-1 Off-Site Hedge Baseline'!$B$1:$X$257,113,FALSE)),"",(VLOOKUP($B241,'E-1 Off-Site Hedge Baseline'!$B$1:$X$257,13,FALSE))))</f>
        <v/>
      </c>
      <c r="L241" s="370" t="str">
        <f>IF(B241="","",IF(ISNA(VLOOKUP($B241,'E-1 Off-Site Hedge Baseline'!$B$1:$X$257,12,FALSE)),"",(VLOOKUP($B241,'E-1 Off-Site Hedge Baseline'!$B$1:$X$257,12,FALSE))))</f>
        <v/>
      </c>
      <c r="M241" s="316" t="str">
        <f t="shared" si="27"/>
        <v/>
      </c>
      <c r="N241" s="362" t="str">
        <f>IFERROR(IF(B241="","",INDEX('G-6 Hedgerow Data'!$AN$3:$AZ$15,MATCH(C241,'G-6 Hedgerow Data'!$AM$3:$AM$15,0),MATCH(M241,'G-6 Hedgerow Data'!$AN$2:$AZ$2,0))),"")</f>
        <v/>
      </c>
      <c r="O241" s="363" t="str">
        <f t="shared" si="29"/>
        <v/>
      </c>
      <c r="P241" s="368" t="str">
        <f>IF(B241="","",VLOOKUP(B241,'E-1 Off-Site Hedge Baseline'!$B$10:W486,19,FALSE))</f>
        <v/>
      </c>
      <c r="Q241" s="362" t="str">
        <f>IF(M241="","",VLOOKUP(M241,'G-6 Hedgerow Data'!$B$2:$AG$15,2,FALSE))</f>
        <v/>
      </c>
      <c r="R241" s="363" t="str">
        <f>IF(M241="","",VLOOKUP(M241,'G-6 Hedgerow Data'!$B$2:$AG$15,3,FALSE))</f>
        <v/>
      </c>
      <c r="S241" s="114"/>
      <c r="T241" s="363" t="str">
        <f>IFERROR(IF(AND(Q241="V.Low",OR(S241="Good",S241="Moderate")),"Error ▲",VLOOKUP(S241,'G-1 All Habitats'!$Z$2:$AA$9,2,FALSE)),"")</f>
        <v/>
      </c>
      <c r="U241" s="114"/>
      <c r="V241" s="370" t="str">
        <f>IF(U241="","",IF(VLOOKUP(U241,'G-3 Multipliers'!$L$3:$N$6,2,FALSE)=0,"Spatial Data Missing ⚠",VLOOKUP(U241,'G-3 Multipliers'!$L$3:$N$6,2,FALSE)))</f>
        <v/>
      </c>
      <c r="W241" s="368" t="str">
        <f>IF(U241="","",IF(VLOOKUP(U241,'G-3 Multipliers'!$L$3:$N$6,3,FALSE)=0,"Spatial Data Missing ⚠",VLOOKUP(U241,'G-3 Multipliers'!$L$3:$N$6,3,FALSE)))</f>
        <v/>
      </c>
      <c r="X241" s="362" t="str">
        <f>IFERROR(IF(OR(LEFT(O241,5)="Error",LEFT(N241,5)="Error",T241="Error"),"Check Data ⚠",IF(F241&lt;R241,INDEX('G-6 Hedgerow Data'!$S$3:$AE$14,MATCH(C241,'G-6 Hedgerow Data'!$B$3:$B$14,0),MATCH(M241,'G-6 Hedgerow Data'!$S$2:$AE$2,0)),INDEX('G-6 Hedgerow Data'!$K$3:$Q$14,MATCH(M241,'G-6 Hedgerow Data'!$B$3:$B$14,0),MATCH(O241,'G-6 Hedgerow Data'!$K$2:$Q$2,0)))),"")</f>
        <v/>
      </c>
      <c r="Y241" s="159"/>
      <c r="Z241" s="159"/>
      <c r="AA241" s="370" t="str">
        <f t="shared" si="30"/>
        <v/>
      </c>
      <c r="AB241" s="383" t="str">
        <f t="shared" si="31"/>
        <v/>
      </c>
      <c r="AC241" s="384" t="str">
        <f t="shared" si="28"/>
        <v/>
      </c>
      <c r="AD241" s="398" t="str">
        <f>IF(M241="","",VLOOKUP(M241,'G-6 Hedgerow Data'!$B$3:$AG$15,31,FALSE))</f>
        <v/>
      </c>
      <c r="AE241" s="382" t="str">
        <f t="shared" si="32"/>
        <v/>
      </c>
      <c r="AF241" s="382" t="str">
        <f t="shared" si="33"/>
        <v/>
      </c>
      <c r="AG241" s="386" t="str">
        <f>IFERROR(IF(O241="","",VLOOKUP(AD241,'G-3 Multipliers'!$P$3:$Q$6,2,FALSE)),"")</f>
        <v/>
      </c>
      <c r="AH241" s="160"/>
      <c r="AI241" s="363" t="str">
        <f>IF(AH241="","",IF(VLOOKUP(AH241,'G-3 Multipliers'!$S$3:$T$10,2,FALSE)=0,"Spatial Data Missing ⚠",VLOOKUP(AH241,'G-3 Multipliers'!$S$3:$T$10,2,FALSE)))</f>
        <v/>
      </c>
      <c r="AJ241" s="405" t="str">
        <f t="shared" si="34"/>
        <v/>
      </c>
      <c r="AK241" s="376" t="str">
        <f t="shared" si="35"/>
        <v/>
      </c>
      <c r="AL241" s="117"/>
      <c r="AM241" s="118"/>
      <c r="AN241" s="120"/>
      <c r="AO241" s="120"/>
      <c r="AQ241" s="30" t="str">
        <f>IFERROR(INDEX('G-6 Hedgerow Data'!$BJ$3:$BJ$15,MATCH(M241,'G-6 Hedgerow Data'!$B$3:$B$15,0)),"")</f>
        <v/>
      </c>
    </row>
    <row r="242" spans="2:43" ht="15">
      <c r="B242" s="392" t="str">
        <f>'E-1 Off-Site Hedge Baseline'!AN240</f>
        <v/>
      </c>
      <c r="C242" s="382" t="str">
        <f>IF(B242="","",IF(ISNA(VLOOKUP($B242,'E-1 Off-Site Hedge Baseline'!$B$1:$L$257,3,FALSE)),"",(VLOOKUP($B242,'E-1 Off-Site Hedge Baseline'!$B$1:$L$257,3,FALSE))))</f>
        <v/>
      </c>
      <c r="D242" s="382" t="str">
        <f>IF(B242="","",IF(ISNA(VLOOKUP($B242,'E-1 Off-Site Hedge Baseline'!$B$1:$L$258,4,FALSE)),"",(VLOOKUP($B242,'E-1 Off-Site Hedge Baseline'!$B$1:$L$258,4,FALSE))))</f>
        <v/>
      </c>
      <c r="E242" s="382" t="str">
        <f>IF(B242="","",IF(ISNA(VLOOKUP($B242,'E-1 Off-Site Hedge Baseline'!$B$1:$L$257,5,FALSE)),"",(VLOOKUP($B242,'E-1 Off-Site Hedge Baseline'!$B$1:$L$257,5,FALSE))))</f>
        <v/>
      </c>
      <c r="F242" s="382" t="str">
        <f>IF(B242="","",IF(ISNA(VLOOKUP($B242,'E-1 Off-Site Hedge Baseline'!$B$1:$L$257,6,FALSE)),"",(VLOOKUP($B242,'E-1 Off-Site Hedge Baseline'!$B$1:$L$257,6,FALSE))))</f>
        <v/>
      </c>
      <c r="G242" s="382" t="str">
        <f>IF(B242="","",IF(ISNA(VLOOKUP($B242,'E-1 Off-Site Hedge Baseline'!$B$1:$L$257,7,FALSE)),"",(VLOOKUP($B242,'E-1 Off-Site Hedge Baseline'!$B$1:$L$257,7,FALSE))))</f>
        <v/>
      </c>
      <c r="H242" s="382" t="str">
        <f>IF(B242="","",IF(ISNA(VLOOKUP($B242,'E-1 Off-Site Hedge Baseline'!$B$1:$L$257,8,FALSE)),"",(VLOOKUP($B242,'E-1 Off-Site Hedge Baseline'!$B$1:$L$257,8,FALSE))))</f>
        <v/>
      </c>
      <c r="I242" s="382" t="str">
        <f>IF(B242="","",IF(ISNA(VLOOKUP($B242,'E-1 Off-Site Hedge Baseline'!$B$1:$L$257,10,FALSE)),"",(VLOOKUP($B242,'E-1 Off-Site Hedge Baseline'!$B$1:$L$257,10,FALSE))))</f>
        <v/>
      </c>
      <c r="J242" s="382" t="str">
        <f>IF(B242="","",IF(ISNA(VLOOKUP($B242,'E-1 Off-Site Hedge Baseline'!$B$1:$L$257,11,FALSE)),"",(VLOOKUP($B242,'E-1 Off-Site Hedge Baseline'!$B$1:$L$257,11,FALSE))))</f>
        <v/>
      </c>
      <c r="K242" s="382" t="str">
        <f>IF(B242="","",IF(ISNA(VLOOKUP($B242,'E-1 Off-Site Hedge Baseline'!$B$1:$X$257,113,FALSE)),"",(VLOOKUP($B242,'E-1 Off-Site Hedge Baseline'!$B$1:$X$257,13,FALSE))))</f>
        <v/>
      </c>
      <c r="L242" s="370" t="str">
        <f>IF(B242="","",IF(ISNA(VLOOKUP($B242,'E-1 Off-Site Hedge Baseline'!$B$1:$X$257,12,FALSE)),"",(VLOOKUP($B242,'E-1 Off-Site Hedge Baseline'!$B$1:$X$257,12,FALSE))))</f>
        <v/>
      </c>
      <c r="M242" s="316" t="str">
        <f t="shared" si="27"/>
        <v/>
      </c>
      <c r="N242" s="362" t="str">
        <f>IFERROR(IF(B242="","",INDEX('G-6 Hedgerow Data'!$AN$3:$AZ$15,MATCH(C242,'G-6 Hedgerow Data'!$AM$3:$AM$15,0),MATCH(M242,'G-6 Hedgerow Data'!$AN$2:$AZ$2,0))),"")</f>
        <v/>
      </c>
      <c r="O242" s="363" t="str">
        <f t="shared" si="29"/>
        <v/>
      </c>
      <c r="P242" s="368" t="str">
        <f>IF(B242="","",VLOOKUP(B242,'E-1 Off-Site Hedge Baseline'!$B$10:W487,19,FALSE))</f>
        <v/>
      </c>
      <c r="Q242" s="362" t="str">
        <f>IF(M242="","",VLOOKUP(M242,'G-6 Hedgerow Data'!$B$2:$AG$15,2,FALSE))</f>
        <v/>
      </c>
      <c r="R242" s="363" t="str">
        <f>IF(M242="","",VLOOKUP(M242,'G-6 Hedgerow Data'!$B$2:$AG$15,3,FALSE))</f>
        <v/>
      </c>
      <c r="S242" s="114"/>
      <c r="T242" s="363" t="str">
        <f>IFERROR(IF(AND(Q242="V.Low",OR(S242="Good",S242="Moderate")),"Error ▲",VLOOKUP(S242,'G-1 All Habitats'!$Z$2:$AA$9,2,FALSE)),"")</f>
        <v/>
      </c>
      <c r="U242" s="114"/>
      <c r="V242" s="370" t="str">
        <f>IF(U242="","",IF(VLOOKUP(U242,'G-3 Multipliers'!$L$3:$N$6,2,FALSE)=0,"Spatial Data Missing ⚠",VLOOKUP(U242,'G-3 Multipliers'!$L$3:$N$6,2,FALSE)))</f>
        <v/>
      </c>
      <c r="W242" s="368" t="str">
        <f>IF(U242="","",IF(VLOOKUP(U242,'G-3 Multipliers'!$L$3:$N$6,3,FALSE)=0,"Spatial Data Missing ⚠",VLOOKUP(U242,'G-3 Multipliers'!$L$3:$N$6,3,FALSE)))</f>
        <v/>
      </c>
      <c r="X242" s="362" t="str">
        <f>IFERROR(IF(OR(LEFT(O242,5)="Error",LEFT(N242,5)="Error",T242="Error"),"Check Data ⚠",IF(F242&lt;R242,INDEX('G-6 Hedgerow Data'!$S$3:$AE$14,MATCH(C242,'G-6 Hedgerow Data'!$B$3:$B$14,0),MATCH(M242,'G-6 Hedgerow Data'!$S$2:$AE$2,0)),INDEX('G-6 Hedgerow Data'!$K$3:$Q$14,MATCH(M242,'G-6 Hedgerow Data'!$B$3:$B$14,0),MATCH(O242,'G-6 Hedgerow Data'!$K$2:$Q$2,0)))),"")</f>
        <v/>
      </c>
      <c r="Y242" s="159"/>
      <c r="Z242" s="159"/>
      <c r="AA242" s="370" t="str">
        <f t="shared" si="30"/>
        <v/>
      </c>
      <c r="AB242" s="383" t="str">
        <f t="shared" si="31"/>
        <v/>
      </c>
      <c r="AC242" s="384" t="str">
        <f t="shared" si="28"/>
        <v/>
      </c>
      <c r="AD242" s="398" t="str">
        <f>IF(M242="","",VLOOKUP(M242,'G-6 Hedgerow Data'!$B$3:$AG$15,31,FALSE))</f>
        <v/>
      </c>
      <c r="AE242" s="382" t="str">
        <f t="shared" si="32"/>
        <v/>
      </c>
      <c r="AF242" s="382" t="str">
        <f t="shared" si="33"/>
        <v/>
      </c>
      <c r="AG242" s="386" t="str">
        <f>IFERROR(IF(O242="","",VLOOKUP(AD242,'G-3 Multipliers'!$P$3:$Q$6,2,FALSE)),"")</f>
        <v/>
      </c>
      <c r="AH242" s="160"/>
      <c r="AI242" s="363" t="str">
        <f>IF(AH242="","",IF(VLOOKUP(AH242,'G-3 Multipliers'!$S$3:$T$10,2,FALSE)=0,"Spatial Data Missing ⚠",VLOOKUP(AH242,'G-3 Multipliers'!$S$3:$T$10,2,FALSE)))</f>
        <v/>
      </c>
      <c r="AJ242" s="405" t="str">
        <f t="shared" si="34"/>
        <v/>
      </c>
      <c r="AK242" s="376" t="str">
        <f t="shared" si="35"/>
        <v/>
      </c>
      <c r="AL242" s="117"/>
      <c r="AM242" s="118"/>
      <c r="AN242" s="120"/>
      <c r="AO242" s="120"/>
      <c r="AQ242" s="30" t="str">
        <f>IFERROR(INDEX('G-6 Hedgerow Data'!$BJ$3:$BJ$15,MATCH(M242,'G-6 Hedgerow Data'!$B$3:$B$15,0)),"")</f>
        <v/>
      </c>
    </row>
    <row r="243" spans="2:43" ht="15">
      <c r="B243" s="392" t="str">
        <f>'E-1 Off-Site Hedge Baseline'!AN241</f>
        <v/>
      </c>
      <c r="C243" s="382" t="str">
        <f>IF(B243="","",IF(ISNA(VLOOKUP($B243,'E-1 Off-Site Hedge Baseline'!$B$1:$L$257,3,FALSE)),"",(VLOOKUP($B243,'E-1 Off-Site Hedge Baseline'!$B$1:$L$257,3,FALSE))))</f>
        <v/>
      </c>
      <c r="D243" s="382" t="str">
        <f>IF(B243="","",IF(ISNA(VLOOKUP($B243,'E-1 Off-Site Hedge Baseline'!$B$1:$L$258,4,FALSE)),"",(VLOOKUP($B243,'E-1 Off-Site Hedge Baseline'!$B$1:$L$258,4,FALSE))))</f>
        <v/>
      </c>
      <c r="E243" s="382" t="str">
        <f>IF(B243="","",IF(ISNA(VLOOKUP($B243,'E-1 Off-Site Hedge Baseline'!$B$1:$L$257,5,FALSE)),"",(VLOOKUP($B243,'E-1 Off-Site Hedge Baseline'!$B$1:$L$257,5,FALSE))))</f>
        <v/>
      </c>
      <c r="F243" s="382" t="str">
        <f>IF(B243="","",IF(ISNA(VLOOKUP($B243,'E-1 Off-Site Hedge Baseline'!$B$1:$L$257,6,FALSE)),"",(VLOOKUP($B243,'E-1 Off-Site Hedge Baseline'!$B$1:$L$257,6,FALSE))))</f>
        <v/>
      </c>
      <c r="G243" s="382" t="str">
        <f>IF(B243="","",IF(ISNA(VLOOKUP($B243,'E-1 Off-Site Hedge Baseline'!$B$1:$L$257,7,FALSE)),"",(VLOOKUP($B243,'E-1 Off-Site Hedge Baseline'!$B$1:$L$257,7,FALSE))))</f>
        <v/>
      </c>
      <c r="H243" s="382" t="str">
        <f>IF(B243="","",IF(ISNA(VLOOKUP($B243,'E-1 Off-Site Hedge Baseline'!$B$1:$L$257,8,FALSE)),"",(VLOOKUP($B243,'E-1 Off-Site Hedge Baseline'!$B$1:$L$257,8,FALSE))))</f>
        <v/>
      </c>
      <c r="I243" s="382" t="str">
        <f>IF(B243="","",IF(ISNA(VLOOKUP($B243,'E-1 Off-Site Hedge Baseline'!$B$1:$L$257,10,FALSE)),"",(VLOOKUP($B243,'E-1 Off-Site Hedge Baseline'!$B$1:$L$257,10,FALSE))))</f>
        <v/>
      </c>
      <c r="J243" s="382" t="str">
        <f>IF(B243="","",IF(ISNA(VLOOKUP($B243,'E-1 Off-Site Hedge Baseline'!$B$1:$L$257,11,FALSE)),"",(VLOOKUP($B243,'E-1 Off-Site Hedge Baseline'!$B$1:$L$257,11,FALSE))))</f>
        <v/>
      </c>
      <c r="K243" s="382" t="str">
        <f>IF(B243="","",IF(ISNA(VLOOKUP($B243,'E-1 Off-Site Hedge Baseline'!$B$1:$X$257,113,FALSE)),"",(VLOOKUP($B243,'E-1 Off-Site Hedge Baseline'!$B$1:$X$257,13,FALSE))))</f>
        <v/>
      </c>
      <c r="L243" s="370" t="str">
        <f>IF(B243="","",IF(ISNA(VLOOKUP($B243,'E-1 Off-Site Hedge Baseline'!$B$1:$X$257,12,FALSE)),"",(VLOOKUP($B243,'E-1 Off-Site Hedge Baseline'!$B$1:$X$257,12,FALSE))))</f>
        <v/>
      </c>
      <c r="M243" s="316" t="str">
        <f t="shared" si="27"/>
        <v/>
      </c>
      <c r="N243" s="362" t="str">
        <f>IFERROR(IF(B243="","",INDEX('G-6 Hedgerow Data'!$AN$3:$AZ$15,MATCH(C243,'G-6 Hedgerow Data'!$AM$3:$AM$15,0),MATCH(M243,'G-6 Hedgerow Data'!$AN$2:$AZ$2,0))),"")</f>
        <v/>
      </c>
      <c r="O243" s="363" t="str">
        <f t="shared" si="29"/>
        <v/>
      </c>
      <c r="P243" s="368" t="str">
        <f>IF(B243="","",VLOOKUP(B243,'E-1 Off-Site Hedge Baseline'!$B$10:W488,19,FALSE))</f>
        <v/>
      </c>
      <c r="Q243" s="362" t="str">
        <f>IF(M243="","",VLOOKUP(M243,'G-6 Hedgerow Data'!$B$2:$AG$15,2,FALSE))</f>
        <v/>
      </c>
      <c r="R243" s="363" t="str">
        <f>IF(M243="","",VLOOKUP(M243,'G-6 Hedgerow Data'!$B$2:$AG$15,3,FALSE))</f>
        <v/>
      </c>
      <c r="S243" s="114"/>
      <c r="T243" s="363" t="str">
        <f>IFERROR(IF(AND(Q243="V.Low",OR(S243="Good",S243="Moderate")),"Error ▲",VLOOKUP(S243,'G-1 All Habitats'!$Z$2:$AA$9,2,FALSE)),"")</f>
        <v/>
      </c>
      <c r="U243" s="114"/>
      <c r="V243" s="370" t="str">
        <f>IF(U243="","",IF(VLOOKUP(U243,'G-3 Multipliers'!$L$3:$N$6,2,FALSE)=0,"Spatial Data Missing ⚠",VLOOKUP(U243,'G-3 Multipliers'!$L$3:$N$6,2,FALSE)))</f>
        <v/>
      </c>
      <c r="W243" s="368" t="str">
        <f>IF(U243="","",IF(VLOOKUP(U243,'G-3 Multipliers'!$L$3:$N$6,3,FALSE)=0,"Spatial Data Missing ⚠",VLOOKUP(U243,'G-3 Multipliers'!$L$3:$N$6,3,FALSE)))</f>
        <v/>
      </c>
      <c r="X243" s="362" t="str">
        <f>IFERROR(IF(OR(LEFT(O243,5)="Error",LEFT(N243,5)="Error",T243="Error"),"Check Data ⚠",IF(F243&lt;R243,INDEX('G-6 Hedgerow Data'!$S$3:$AE$14,MATCH(C243,'G-6 Hedgerow Data'!$B$3:$B$14,0),MATCH(M243,'G-6 Hedgerow Data'!$S$2:$AE$2,0)),INDEX('G-6 Hedgerow Data'!$K$3:$Q$14,MATCH(M243,'G-6 Hedgerow Data'!$B$3:$B$14,0),MATCH(O243,'G-6 Hedgerow Data'!$K$2:$Q$2,0)))),"")</f>
        <v/>
      </c>
      <c r="Y243" s="159"/>
      <c r="Z243" s="159"/>
      <c r="AA243" s="370" t="str">
        <f t="shared" si="30"/>
        <v/>
      </c>
      <c r="AB243" s="383" t="str">
        <f t="shared" si="31"/>
        <v/>
      </c>
      <c r="AC243" s="384" t="str">
        <f t="shared" si="28"/>
        <v/>
      </c>
      <c r="AD243" s="398" t="str">
        <f>IF(M243="","",VLOOKUP(M243,'G-6 Hedgerow Data'!$B$3:$AG$15,31,FALSE))</f>
        <v/>
      </c>
      <c r="AE243" s="382" t="str">
        <f t="shared" si="32"/>
        <v/>
      </c>
      <c r="AF243" s="382" t="str">
        <f t="shared" si="33"/>
        <v/>
      </c>
      <c r="AG243" s="386" t="str">
        <f>IFERROR(IF(O243="","",VLOOKUP(AD243,'G-3 Multipliers'!$P$3:$Q$6,2,FALSE)),"")</f>
        <v/>
      </c>
      <c r="AH243" s="160"/>
      <c r="AI243" s="363" t="str">
        <f>IF(AH243="","",IF(VLOOKUP(AH243,'G-3 Multipliers'!$S$3:$T$10,2,FALSE)=0,"Spatial Data Missing ⚠",VLOOKUP(AH243,'G-3 Multipliers'!$S$3:$T$10,2,FALSE)))</f>
        <v/>
      </c>
      <c r="AJ243" s="405" t="str">
        <f t="shared" si="34"/>
        <v/>
      </c>
      <c r="AK243" s="376" t="str">
        <f t="shared" si="35"/>
        <v/>
      </c>
      <c r="AL243" s="117"/>
      <c r="AM243" s="118"/>
      <c r="AN243" s="120"/>
      <c r="AO243" s="120"/>
      <c r="AQ243" s="30" t="str">
        <f>IFERROR(INDEX('G-6 Hedgerow Data'!$BJ$3:$BJ$15,MATCH(M243,'G-6 Hedgerow Data'!$B$3:$B$15,0)),"")</f>
        <v/>
      </c>
    </row>
    <row r="244" spans="2:43" ht="15">
      <c r="B244" s="392" t="str">
        <f>'E-1 Off-Site Hedge Baseline'!AN242</f>
        <v/>
      </c>
      <c r="C244" s="382" t="str">
        <f>IF(B244="","",IF(ISNA(VLOOKUP($B244,'E-1 Off-Site Hedge Baseline'!$B$1:$L$257,3,FALSE)),"",(VLOOKUP($B244,'E-1 Off-Site Hedge Baseline'!$B$1:$L$257,3,FALSE))))</f>
        <v/>
      </c>
      <c r="D244" s="382" t="str">
        <f>IF(B244="","",IF(ISNA(VLOOKUP($B244,'E-1 Off-Site Hedge Baseline'!$B$1:$L$258,4,FALSE)),"",(VLOOKUP($B244,'E-1 Off-Site Hedge Baseline'!$B$1:$L$258,4,FALSE))))</f>
        <v/>
      </c>
      <c r="E244" s="382" t="str">
        <f>IF(B244="","",IF(ISNA(VLOOKUP($B244,'E-1 Off-Site Hedge Baseline'!$B$1:$L$257,5,FALSE)),"",(VLOOKUP($B244,'E-1 Off-Site Hedge Baseline'!$B$1:$L$257,5,FALSE))))</f>
        <v/>
      </c>
      <c r="F244" s="382" t="str">
        <f>IF(B244="","",IF(ISNA(VLOOKUP($B244,'E-1 Off-Site Hedge Baseline'!$B$1:$L$257,6,FALSE)),"",(VLOOKUP($B244,'E-1 Off-Site Hedge Baseline'!$B$1:$L$257,6,FALSE))))</f>
        <v/>
      </c>
      <c r="G244" s="382" t="str">
        <f>IF(B244="","",IF(ISNA(VLOOKUP($B244,'E-1 Off-Site Hedge Baseline'!$B$1:$L$257,7,FALSE)),"",(VLOOKUP($B244,'E-1 Off-Site Hedge Baseline'!$B$1:$L$257,7,FALSE))))</f>
        <v/>
      </c>
      <c r="H244" s="382" t="str">
        <f>IF(B244="","",IF(ISNA(VLOOKUP($B244,'E-1 Off-Site Hedge Baseline'!$B$1:$L$257,8,FALSE)),"",(VLOOKUP($B244,'E-1 Off-Site Hedge Baseline'!$B$1:$L$257,8,FALSE))))</f>
        <v/>
      </c>
      <c r="I244" s="382" t="str">
        <f>IF(B244="","",IF(ISNA(VLOOKUP($B244,'E-1 Off-Site Hedge Baseline'!$B$1:$L$257,10,FALSE)),"",(VLOOKUP($B244,'E-1 Off-Site Hedge Baseline'!$B$1:$L$257,10,FALSE))))</f>
        <v/>
      </c>
      <c r="J244" s="382" t="str">
        <f>IF(B244="","",IF(ISNA(VLOOKUP($B244,'E-1 Off-Site Hedge Baseline'!$B$1:$L$257,11,FALSE)),"",(VLOOKUP($B244,'E-1 Off-Site Hedge Baseline'!$B$1:$L$257,11,FALSE))))</f>
        <v/>
      </c>
      <c r="K244" s="382" t="str">
        <f>IF(B244="","",IF(ISNA(VLOOKUP($B244,'E-1 Off-Site Hedge Baseline'!$B$1:$X$257,113,FALSE)),"",(VLOOKUP($B244,'E-1 Off-Site Hedge Baseline'!$B$1:$X$257,13,FALSE))))</f>
        <v/>
      </c>
      <c r="L244" s="370" t="str">
        <f>IF(B244="","",IF(ISNA(VLOOKUP($B244,'E-1 Off-Site Hedge Baseline'!$B$1:$X$257,12,FALSE)),"",(VLOOKUP($B244,'E-1 Off-Site Hedge Baseline'!$B$1:$X$257,12,FALSE))))</f>
        <v/>
      </c>
      <c r="M244" s="316" t="str">
        <f t="shared" si="27"/>
        <v/>
      </c>
      <c r="N244" s="362" t="str">
        <f>IFERROR(IF(B244="","",INDEX('G-6 Hedgerow Data'!$AN$3:$AZ$15,MATCH(C244,'G-6 Hedgerow Data'!$AM$3:$AM$15,0),MATCH(M244,'G-6 Hedgerow Data'!$AN$2:$AZ$2,0))),"")</f>
        <v/>
      </c>
      <c r="O244" s="363" t="str">
        <f t="shared" si="29"/>
        <v/>
      </c>
      <c r="P244" s="368" t="str">
        <f>IF(B244="","",VLOOKUP(B244,'E-1 Off-Site Hedge Baseline'!$B$10:W489,19,FALSE))</f>
        <v/>
      </c>
      <c r="Q244" s="362" t="str">
        <f>IF(M244="","",VLOOKUP(M244,'G-6 Hedgerow Data'!$B$2:$AG$15,2,FALSE))</f>
        <v/>
      </c>
      <c r="R244" s="363" t="str">
        <f>IF(M244="","",VLOOKUP(M244,'G-6 Hedgerow Data'!$B$2:$AG$15,3,FALSE))</f>
        <v/>
      </c>
      <c r="S244" s="114"/>
      <c r="T244" s="363" t="str">
        <f>IFERROR(IF(AND(Q244="V.Low",OR(S244="Good",S244="Moderate")),"Error ▲",VLOOKUP(S244,'G-1 All Habitats'!$Z$2:$AA$9,2,FALSE)),"")</f>
        <v/>
      </c>
      <c r="U244" s="114"/>
      <c r="V244" s="370" t="str">
        <f>IF(U244="","",IF(VLOOKUP(U244,'G-3 Multipliers'!$L$3:$N$6,2,FALSE)=0,"Spatial Data Missing ⚠",VLOOKUP(U244,'G-3 Multipliers'!$L$3:$N$6,2,FALSE)))</f>
        <v/>
      </c>
      <c r="W244" s="368" t="str">
        <f>IF(U244="","",IF(VLOOKUP(U244,'G-3 Multipliers'!$L$3:$N$6,3,FALSE)=0,"Spatial Data Missing ⚠",VLOOKUP(U244,'G-3 Multipliers'!$L$3:$N$6,3,FALSE)))</f>
        <v/>
      </c>
      <c r="X244" s="362" t="str">
        <f>IFERROR(IF(OR(LEFT(O244,5)="Error",LEFT(N244,5)="Error",T244="Error"),"Check Data ⚠",IF(F244&lt;R244,INDEX('G-6 Hedgerow Data'!$S$3:$AE$14,MATCH(C244,'G-6 Hedgerow Data'!$B$3:$B$14,0),MATCH(M244,'G-6 Hedgerow Data'!$S$2:$AE$2,0)),INDEX('G-6 Hedgerow Data'!$K$3:$Q$14,MATCH(M244,'G-6 Hedgerow Data'!$B$3:$B$14,0),MATCH(O244,'G-6 Hedgerow Data'!$K$2:$Q$2,0)))),"")</f>
        <v/>
      </c>
      <c r="Y244" s="159"/>
      <c r="Z244" s="159"/>
      <c r="AA244" s="370" t="str">
        <f t="shared" si="30"/>
        <v/>
      </c>
      <c r="AB244" s="383" t="str">
        <f t="shared" si="31"/>
        <v/>
      </c>
      <c r="AC244" s="384" t="str">
        <f t="shared" si="28"/>
        <v/>
      </c>
      <c r="AD244" s="398" t="str">
        <f>IF(M244="","",VLOOKUP(M244,'G-6 Hedgerow Data'!$B$3:$AG$15,31,FALSE))</f>
        <v/>
      </c>
      <c r="AE244" s="382" t="str">
        <f t="shared" si="32"/>
        <v/>
      </c>
      <c r="AF244" s="382" t="str">
        <f t="shared" si="33"/>
        <v/>
      </c>
      <c r="AG244" s="386" t="str">
        <f>IFERROR(IF(O244="","",VLOOKUP(AD244,'G-3 Multipliers'!$P$3:$Q$6,2,FALSE)),"")</f>
        <v/>
      </c>
      <c r="AH244" s="160"/>
      <c r="AI244" s="363" t="str">
        <f>IF(AH244="","",IF(VLOOKUP(AH244,'G-3 Multipliers'!$S$3:$T$10,2,FALSE)=0,"Spatial Data Missing ⚠",VLOOKUP(AH244,'G-3 Multipliers'!$S$3:$T$10,2,FALSE)))</f>
        <v/>
      </c>
      <c r="AJ244" s="405" t="str">
        <f t="shared" si="34"/>
        <v/>
      </c>
      <c r="AK244" s="376" t="str">
        <f t="shared" si="35"/>
        <v/>
      </c>
      <c r="AL244" s="117"/>
      <c r="AM244" s="118"/>
      <c r="AN244" s="120"/>
      <c r="AO244" s="120"/>
      <c r="AQ244" s="30" t="str">
        <f>IFERROR(INDEX('G-6 Hedgerow Data'!$BJ$3:$BJ$15,MATCH(M244,'G-6 Hedgerow Data'!$B$3:$B$15,0)),"")</f>
        <v/>
      </c>
    </row>
    <row r="245" spans="2:43" ht="15">
      <c r="B245" s="392" t="str">
        <f>'E-1 Off-Site Hedge Baseline'!AN243</f>
        <v/>
      </c>
      <c r="C245" s="382" t="str">
        <f>IF(B245="","",IF(ISNA(VLOOKUP($B245,'E-1 Off-Site Hedge Baseline'!$B$1:$L$257,3,FALSE)),"",(VLOOKUP($B245,'E-1 Off-Site Hedge Baseline'!$B$1:$L$257,3,FALSE))))</f>
        <v/>
      </c>
      <c r="D245" s="382" t="str">
        <f>IF(B245="","",IF(ISNA(VLOOKUP($B245,'E-1 Off-Site Hedge Baseline'!$B$1:$L$258,4,FALSE)),"",(VLOOKUP($B245,'E-1 Off-Site Hedge Baseline'!$B$1:$L$258,4,FALSE))))</f>
        <v/>
      </c>
      <c r="E245" s="382" t="str">
        <f>IF(B245="","",IF(ISNA(VLOOKUP($B245,'E-1 Off-Site Hedge Baseline'!$B$1:$L$257,5,FALSE)),"",(VLOOKUP($B245,'E-1 Off-Site Hedge Baseline'!$B$1:$L$257,5,FALSE))))</f>
        <v/>
      </c>
      <c r="F245" s="382" t="str">
        <f>IF(B245="","",IF(ISNA(VLOOKUP($B245,'E-1 Off-Site Hedge Baseline'!$B$1:$L$257,6,FALSE)),"",(VLOOKUP($B245,'E-1 Off-Site Hedge Baseline'!$B$1:$L$257,6,FALSE))))</f>
        <v/>
      </c>
      <c r="G245" s="382" t="str">
        <f>IF(B245="","",IF(ISNA(VLOOKUP($B245,'E-1 Off-Site Hedge Baseline'!$B$1:$L$257,7,FALSE)),"",(VLOOKUP($B245,'E-1 Off-Site Hedge Baseline'!$B$1:$L$257,7,FALSE))))</f>
        <v/>
      </c>
      <c r="H245" s="382" t="str">
        <f>IF(B245="","",IF(ISNA(VLOOKUP($B245,'E-1 Off-Site Hedge Baseline'!$B$1:$L$257,8,FALSE)),"",(VLOOKUP($B245,'E-1 Off-Site Hedge Baseline'!$B$1:$L$257,8,FALSE))))</f>
        <v/>
      </c>
      <c r="I245" s="382" t="str">
        <f>IF(B245="","",IF(ISNA(VLOOKUP($B245,'E-1 Off-Site Hedge Baseline'!$B$1:$L$257,10,FALSE)),"",(VLOOKUP($B245,'E-1 Off-Site Hedge Baseline'!$B$1:$L$257,10,FALSE))))</f>
        <v/>
      </c>
      <c r="J245" s="382" t="str">
        <f>IF(B245="","",IF(ISNA(VLOOKUP($B245,'E-1 Off-Site Hedge Baseline'!$B$1:$L$257,11,FALSE)),"",(VLOOKUP($B245,'E-1 Off-Site Hedge Baseline'!$B$1:$L$257,11,FALSE))))</f>
        <v/>
      </c>
      <c r="K245" s="382" t="str">
        <f>IF(B245="","",IF(ISNA(VLOOKUP($B245,'E-1 Off-Site Hedge Baseline'!$B$1:$X$257,113,FALSE)),"",(VLOOKUP($B245,'E-1 Off-Site Hedge Baseline'!$B$1:$X$257,13,FALSE))))</f>
        <v/>
      </c>
      <c r="L245" s="370" t="str">
        <f>IF(B245="","",IF(ISNA(VLOOKUP($B245,'E-1 Off-Site Hedge Baseline'!$B$1:$X$257,12,FALSE)),"",(VLOOKUP($B245,'E-1 Off-Site Hedge Baseline'!$B$1:$X$257,12,FALSE))))</f>
        <v/>
      </c>
      <c r="M245" s="316" t="str">
        <f t="shared" si="27"/>
        <v/>
      </c>
      <c r="N245" s="362" t="str">
        <f>IFERROR(IF(B245="","",INDEX('G-6 Hedgerow Data'!$AN$3:$AZ$15,MATCH(C245,'G-6 Hedgerow Data'!$AM$3:$AM$15,0),MATCH(M245,'G-6 Hedgerow Data'!$AN$2:$AZ$2,0))),"")</f>
        <v/>
      </c>
      <c r="O245" s="363" t="str">
        <f t="shared" si="29"/>
        <v/>
      </c>
      <c r="P245" s="368" t="str">
        <f>IF(B245="","",VLOOKUP(B245,'E-1 Off-Site Hedge Baseline'!$B$10:W490,19,FALSE))</f>
        <v/>
      </c>
      <c r="Q245" s="362" t="str">
        <f>IF(M245="","",VLOOKUP(M245,'G-6 Hedgerow Data'!$B$2:$AG$15,2,FALSE))</f>
        <v/>
      </c>
      <c r="R245" s="363" t="str">
        <f>IF(M245="","",VLOOKUP(M245,'G-6 Hedgerow Data'!$B$2:$AG$15,3,FALSE))</f>
        <v/>
      </c>
      <c r="S245" s="114"/>
      <c r="T245" s="363" t="str">
        <f>IFERROR(IF(AND(Q245="V.Low",OR(S245="Good",S245="Moderate")),"Error ▲",VLOOKUP(S245,'G-1 All Habitats'!$Z$2:$AA$9,2,FALSE)),"")</f>
        <v/>
      </c>
      <c r="U245" s="114"/>
      <c r="V245" s="370" t="str">
        <f>IF(U245="","",IF(VLOOKUP(U245,'G-3 Multipliers'!$L$3:$N$6,2,FALSE)=0,"Spatial Data Missing ⚠",VLOOKUP(U245,'G-3 Multipliers'!$L$3:$N$6,2,FALSE)))</f>
        <v/>
      </c>
      <c r="W245" s="368" t="str">
        <f>IF(U245="","",IF(VLOOKUP(U245,'G-3 Multipliers'!$L$3:$N$6,3,FALSE)=0,"Spatial Data Missing ⚠",VLOOKUP(U245,'G-3 Multipliers'!$L$3:$N$6,3,FALSE)))</f>
        <v/>
      </c>
      <c r="X245" s="362" t="str">
        <f>IFERROR(IF(OR(LEFT(O245,5)="Error",LEFT(N245,5)="Error",T245="Error"),"Check Data ⚠",IF(F245&lt;R245,INDEX('G-6 Hedgerow Data'!$S$3:$AE$14,MATCH(C245,'G-6 Hedgerow Data'!$B$3:$B$14,0),MATCH(M245,'G-6 Hedgerow Data'!$S$2:$AE$2,0)),INDEX('G-6 Hedgerow Data'!$K$3:$Q$14,MATCH(M245,'G-6 Hedgerow Data'!$B$3:$B$14,0),MATCH(O245,'G-6 Hedgerow Data'!$K$2:$Q$2,0)))),"")</f>
        <v/>
      </c>
      <c r="Y245" s="159"/>
      <c r="Z245" s="159"/>
      <c r="AA245" s="370" t="str">
        <f t="shared" si="30"/>
        <v/>
      </c>
      <c r="AB245" s="383" t="str">
        <f t="shared" si="31"/>
        <v/>
      </c>
      <c r="AC245" s="384" t="str">
        <f t="shared" si="28"/>
        <v/>
      </c>
      <c r="AD245" s="398" t="str">
        <f>IF(M245="","",VLOOKUP(M245,'G-6 Hedgerow Data'!$B$3:$AG$15,31,FALSE))</f>
        <v/>
      </c>
      <c r="AE245" s="382" t="str">
        <f t="shared" si="32"/>
        <v/>
      </c>
      <c r="AF245" s="382" t="str">
        <f t="shared" si="33"/>
        <v/>
      </c>
      <c r="AG245" s="386" t="str">
        <f>IFERROR(IF(O245="","",VLOOKUP(AD245,'G-3 Multipliers'!$P$3:$Q$6,2,FALSE)),"")</f>
        <v/>
      </c>
      <c r="AH245" s="160"/>
      <c r="AI245" s="363" t="str">
        <f>IF(AH245="","",IF(VLOOKUP(AH245,'G-3 Multipliers'!$S$3:$T$10,2,FALSE)=0,"Spatial Data Missing ⚠",VLOOKUP(AH245,'G-3 Multipliers'!$S$3:$T$10,2,FALSE)))</f>
        <v/>
      </c>
      <c r="AJ245" s="405" t="str">
        <f t="shared" si="34"/>
        <v/>
      </c>
      <c r="AK245" s="376" t="str">
        <f t="shared" si="35"/>
        <v/>
      </c>
      <c r="AL245" s="117"/>
      <c r="AM245" s="118"/>
      <c r="AN245" s="120"/>
      <c r="AO245" s="120"/>
      <c r="AQ245" s="30" t="str">
        <f>IFERROR(INDEX('G-6 Hedgerow Data'!$BJ$3:$BJ$15,MATCH(M245,'G-6 Hedgerow Data'!$B$3:$B$15,0)),"")</f>
        <v/>
      </c>
    </row>
    <row r="246" spans="2:43" ht="15">
      <c r="B246" s="392" t="str">
        <f>'E-1 Off-Site Hedge Baseline'!AN244</f>
        <v/>
      </c>
      <c r="C246" s="382" t="str">
        <f>IF(B246="","",IF(ISNA(VLOOKUP($B246,'E-1 Off-Site Hedge Baseline'!$B$1:$L$257,3,FALSE)),"",(VLOOKUP($B246,'E-1 Off-Site Hedge Baseline'!$B$1:$L$257,3,FALSE))))</f>
        <v/>
      </c>
      <c r="D246" s="382" t="str">
        <f>IF(B246="","",IF(ISNA(VLOOKUP($B246,'E-1 Off-Site Hedge Baseline'!$B$1:$L$258,4,FALSE)),"",(VLOOKUP($B246,'E-1 Off-Site Hedge Baseline'!$B$1:$L$258,4,FALSE))))</f>
        <v/>
      </c>
      <c r="E246" s="382" t="str">
        <f>IF(B246="","",IF(ISNA(VLOOKUP($B246,'E-1 Off-Site Hedge Baseline'!$B$1:$L$257,5,FALSE)),"",(VLOOKUP($B246,'E-1 Off-Site Hedge Baseline'!$B$1:$L$257,5,FALSE))))</f>
        <v/>
      </c>
      <c r="F246" s="382" t="str">
        <f>IF(B246="","",IF(ISNA(VLOOKUP($B246,'E-1 Off-Site Hedge Baseline'!$B$1:$L$257,6,FALSE)),"",(VLOOKUP($B246,'E-1 Off-Site Hedge Baseline'!$B$1:$L$257,6,FALSE))))</f>
        <v/>
      </c>
      <c r="G246" s="382" t="str">
        <f>IF(B246="","",IF(ISNA(VLOOKUP($B246,'E-1 Off-Site Hedge Baseline'!$B$1:$L$257,7,FALSE)),"",(VLOOKUP($B246,'E-1 Off-Site Hedge Baseline'!$B$1:$L$257,7,FALSE))))</f>
        <v/>
      </c>
      <c r="H246" s="382" t="str">
        <f>IF(B246="","",IF(ISNA(VLOOKUP($B246,'E-1 Off-Site Hedge Baseline'!$B$1:$L$257,8,FALSE)),"",(VLOOKUP($B246,'E-1 Off-Site Hedge Baseline'!$B$1:$L$257,8,FALSE))))</f>
        <v/>
      </c>
      <c r="I246" s="382" t="str">
        <f>IF(B246="","",IF(ISNA(VLOOKUP($B246,'E-1 Off-Site Hedge Baseline'!$B$1:$L$257,10,FALSE)),"",(VLOOKUP($B246,'E-1 Off-Site Hedge Baseline'!$B$1:$L$257,10,FALSE))))</f>
        <v/>
      </c>
      <c r="J246" s="382" t="str">
        <f>IF(B246="","",IF(ISNA(VLOOKUP($B246,'E-1 Off-Site Hedge Baseline'!$B$1:$L$257,11,FALSE)),"",(VLOOKUP($B246,'E-1 Off-Site Hedge Baseline'!$B$1:$L$257,11,FALSE))))</f>
        <v/>
      </c>
      <c r="K246" s="382" t="str">
        <f>IF(B246="","",IF(ISNA(VLOOKUP($B246,'E-1 Off-Site Hedge Baseline'!$B$1:$X$257,113,FALSE)),"",(VLOOKUP($B246,'E-1 Off-Site Hedge Baseline'!$B$1:$X$257,13,FALSE))))</f>
        <v/>
      </c>
      <c r="L246" s="370" t="str">
        <f>IF(B246="","",IF(ISNA(VLOOKUP($B246,'E-1 Off-Site Hedge Baseline'!$B$1:$X$257,12,FALSE)),"",(VLOOKUP($B246,'E-1 Off-Site Hedge Baseline'!$B$1:$X$257,12,FALSE))))</f>
        <v/>
      </c>
      <c r="M246" s="316" t="str">
        <f t="shared" si="27"/>
        <v/>
      </c>
      <c r="N246" s="362" t="str">
        <f>IFERROR(IF(B246="","",INDEX('G-6 Hedgerow Data'!$AN$3:$AZ$15,MATCH(C246,'G-6 Hedgerow Data'!$AM$3:$AM$15,0),MATCH(M246,'G-6 Hedgerow Data'!$AN$2:$AZ$2,0))),"")</f>
        <v/>
      </c>
      <c r="O246" s="363" t="str">
        <f t="shared" si="29"/>
        <v/>
      </c>
      <c r="P246" s="368" t="str">
        <f>IF(B246="","",VLOOKUP(B246,'E-1 Off-Site Hedge Baseline'!$B$10:W491,19,FALSE))</f>
        <v/>
      </c>
      <c r="Q246" s="362" t="str">
        <f>IF(M246="","",VLOOKUP(M246,'G-6 Hedgerow Data'!$B$2:$AG$15,2,FALSE))</f>
        <v/>
      </c>
      <c r="R246" s="363" t="str">
        <f>IF(M246="","",VLOOKUP(M246,'G-6 Hedgerow Data'!$B$2:$AG$15,3,FALSE))</f>
        <v/>
      </c>
      <c r="S246" s="114"/>
      <c r="T246" s="363" t="str">
        <f>IFERROR(IF(AND(Q246="V.Low",OR(S246="Good",S246="Moderate")),"Error ▲",VLOOKUP(S246,'G-1 All Habitats'!$Z$2:$AA$9,2,FALSE)),"")</f>
        <v/>
      </c>
      <c r="U246" s="114"/>
      <c r="V246" s="370" t="str">
        <f>IF(U246="","",IF(VLOOKUP(U246,'G-3 Multipliers'!$L$3:$N$6,2,FALSE)=0,"Spatial Data Missing ⚠",VLOOKUP(U246,'G-3 Multipliers'!$L$3:$N$6,2,FALSE)))</f>
        <v/>
      </c>
      <c r="W246" s="368" t="str">
        <f>IF(U246="","",IF(VLOOKUP(U246,'G-3 Multipliers'!$L$3:$N$6,3,FALSE)=0,"Spatial Data Missing ⚠",VLOOKUP(U246,'G-3 Multipliers'!$L$3:$N$6,3,FALSE)))</f>
        <v/>
      </c>
      <c r="X246" s="362" t="str">
        <f>IFERROR(IF(OR(LEFT(O246,5)="Error",LEFT(N246,5)="Error",T246="Error"),"Check Data ⚠",IF(F246&lt;R246,INDEX('G-6 Hedgerow Data'!$S$3:$AE$14,MATCH(C246,'G-6 Hedgerow Data'!$B$3:$B$14,0),MATCH(M246,'G-6 Hedgerow Data'!$S$2:$AE$2,0)),INDEX('G-6 Hedgerow Data'!$K$3:$Q$14,MATCH(M246,'G-6 Hedgerow Data'!$B$3:$B$14,0),MATCH(O246,'G-6 Hedgerow Data'!$K$2:$Q$2,0)))),"")</f>
        <v/>
      </c>
      <c r="Y246" s="159"/>
      <c r="Z246" s="159"/>
      <c r="AA246" s="370" t="str">
        <f t="shared" si="30"/>
        <v/>
      </c>
      <c r="AB246" s="383" t="str">
        <f t="shared" si="31"/>
        <v/>
      </c>
      <c r="AC246" s="384" t="str">
        <f t="shared" si="28"/>
        <v/>
      </c>
      <c r="AD246" s="398" t="str">
        <f>IF(M246="","",VLOOKUP(M246,'G-6 Hedgerow Data'!$B$3:$AG$15,31,FALSE))</f>
        <v/>
      </c>
      <c r="AE246" s="382" t="str">
        <f t="shared" si="32"/>
        <v/>
      </c>
      <c r="AF246" s="382" t="str">
        <f t="shared" si="33"/>
        <v/>
      </c>
      <c r="AG246" s="386" t="str">
        <f>IFERROR(IF(O246="","",VLOOKUP(AD246,'G-3 Multipliers'!$P$3:$Q$6,2,FALSE)),"")</f>
        <v/>
      </c>
      <c r="AH246" s="160"/>
      <c r="AI246" s="363" t="str">
        <f>IF(AH246="","",IF(VLOOKUP(AH246,'G-3 Multipliers'!$S$3:$T$10,2,FALSE)=0,"Spatial Data Missing ⚠",VLOOKUP(AH246,'G-3 Multipliers'!$S$3:$T$10,2,FALSE)))</f>
        <v/>
      </c>
      <c r="AJ246" s="405" t="str">
        <f t="shared" si="34"/>
        <v/>
      </c>
      <c r="AK246" s="376" t="str">
        <f t="shared" si="35"/>
        <v/>
      </c>
      <c r="AL246" s="117"/>
      <c r="AM246" s="118"/>
      <c r="AN246" s="120"/>
      <c r="AO246" s="120"/>
      <c r="AQ246" s="30" t="str">
        <f>IFERROR(INDEX('G-6 Hedgerow Data'!$BJ$3:$BJ$15,MATCH(M246,'G-6 Hedgerow Data'!$B$3:$B$15,0)),"")</f>
        <v/>
      </c>
    </row>
    <row r="247" spans="2:43" ht="15">
      <c r="B247" s="392" t="str">
        <f>'E-1 Off-Site Hedge Baseline'!AN245</f>
        <v/>
      </c>
      <c r="C247" s="382" t="str">
        <f>IF(B247="","",IF(ISNA(VLOOKUP($B247,'E-1 Off-Site Hedge Baseline'!$B$1:$L$257,3,FALSE)),"",(VLOOKUP($B247,'E-1 Off-Site Hedge Baseline'!$B$1:$L$257,3,FALSE))))</f>
        <v/>
      </c>
      <c r="D247" s="382" t="str">
        <f>IF(B247="","",IF(ISNA(VLOOKUP($B247,'E-1 Off-Site Hedge Baseline'!$B$1:$L$258,4,FALSE)),"",(VLOOKUP($B247,'E-1 Off-Site Hedge Baseline'!$B$1:$L$258,4,FALSE))))</f>
        <v/>
      </c>
      <c r="E247" s="382" t="str">
        <f>IF(B247="","",IF(ISNA(VLOOKUP($B247,'E-1 Off-Site Hedge Baseline'!$B$1:$L$257,5,FALSE)),"",(VLOOKUP($B247,'E-1 Off-Site Hedge Baseline'!$B$1:$L$257,5,FALSE))))</f>
        <v/>
      </c>
      <c r="F247" s="382" t="str">
        <f>IF(B247="","",IF(ISNA(VLOOKUP($B247,'E-1 Off-Site Hedge Baseline'!$B$1:$L$257,6,FALSE)),"",(VLOOKUP($B247,'E-1 Off-Site Hedge Baseline'!$B$1:$L$257,6,FALSE))))</f>
        <v/>
      </c>
      <c r="G247" s="382" t="str">
        <f>IF(B247="","",IF(ISNA(VLOOKUP($B247,'E-1 Off-Site Hedge Baseline'!$B$1:$L$257,7,FALSE)),"",(VLOOKUP($B247,'E-1 Off-Site Hedge Baseline'!$B$1:$L$257,7,FALSE))))</f>
        <v/>
      </c>
      <c r="H247" s="382" t="str">
        <f>IF(B247="","",IF(ISNA(VLOOKUP($B247,'E-1 Off-Site Hedge Baseline'!$B$1:$L$257,8,FALSE)),"",(VLOOKUP($B247,'E-1 Off-Site Hedge Baseline'!$B$1:$L$257,8,FALSE))))</f>
        <v/>
      </c>
      <c r="I247" s="382" t="str">
        <f>IF(B247="","",IF(ISNA(VLOOKUP($B247,'E-1 Off-Site Hedge Baseline'!$B$1:$L$257,10,FALSE)),"",(VLOOKUP($B247,'E-1 Off-Site Hedge Baseline'!$B$1:$L$257,10,FALSE))))</f>
        <v/>
      </c>
      <c r="J247" s="382" t="str">
        <f>IF(B247="","",IF(ISNA(VLOOKUP($B247,'E-1 Off-Site Hedge Baseline'!$B$1:$L$257,11,FALSE)),"",(VLOOKUP($B247,'E-1 Off-Site Hedge Baseline'!$B$1:$L$257,11,FALSE))))</f>
        <v/>
      </c>
      <c r="K247" s="382" t="str">
        <f>IF(B247="","",IF(ISNA(VLOOKUP($B247,'E-1 Off-Site Hedge Baseline'!$B$1:$X$257,113,FALSE)),"",(VLOOKUP($B247,'E-1 Off-Site Hedge Baseline'!$B$1:$X$257,13,FALSE))))</f>
        <v/>
      </c>
      <c r="L247" s="370" t="str">
        <f>IF(B247="","",IF(ISNA(VLOOKUP($B247,'E-1 Off-Site Hedge Baseline'!$B$1:$X$257,12,FALSE)),"",(VLOOKUP($B247,'E-1 Off-Site Hedge Baseline'!$B$1:$X$257,12,FALSE))))</f>
        <v/>
      </c>
      <c r="M247" s="316" t="str">
        <f t="shared" si="27"/>
        <v/>
      </c>
      <c r="N247" s="362" t="str">
        <f>IFERROR(IF(B247="","",INDEX('G-6 Hedgerow Data'!$AN$3:$AZ$15,MATCH(C247,'G-6 Hedgerow Data'!$AM$3:$AM$15,0),MATCH(M247,'G-6 Hedgerow Data'!$AN$2:$AZ$2,0))),"")</f>
        <v/>
      </c>
      <c r="O247" s="363" t="str">
        <f t="shared" si="29"/>
        <v/>
      </c>
      <c r="P247" s="368" t="str">
        <f>IF(B247="","",VLOOKUP(B247,'E-1 Off-Site Hedge Baseline'!$B$10:W492,19,FALSE))</f>
        <v/>
      </c>
      <c r="Q247" s="362" t="str">
        <f>IF(M247="","",VLOOKUP(M247,'G-6 Hedgerow Data'!$B$2:$AG$15,2,FALSE))</f>
        <v/>
      </c>
      <c r="R247" s="363" t="str">
        <f>IF(M247="","",VLOOKUP(M247,'G-6 Hedgerow Data'!$B$2:$AG$15,3,FALSE))</f>
        <v/>
      </c>
      <c r="S247" s="114"/>
      <c r="T247" s="363" t="str">
        <f>IFERROR(IF(AND(Q247="V.Low",OR(S247="Good",S247="Moderate")),"Error ▲",VLOOKUP(S247,'G-1 All Habitats'!$Z$2:$AA$9,2,FALSE)),"")</f>
        <v/>
      </c>
      <c r="U247" s="114"/>
      <c r="V247" s="370" t="str">
        <f>IF(U247="","",IF(VLOOKUP(U247,'G-3 Multipliers'!$L$3:$N$6,2,FALSE)=0,"Spatial Data Missing ⚠",VLOOKUP(U247,'G-3 Multipliers'!$L$3:$N$6,2,FALSE)))</f>
        <v/>
      </c>
      <c r="W247" s="368" t="str">
        <f>IF(U247="","",IF(VLOOKUP(U247,'G-3 Multipliers'!$L$3:$N$6,3,FALSE)=0,"Spatial Data Missing ⚠",VLOOKUP(U247,'G-3 Multipliers'!$L$3:$N$6,3,FALSE)))</f>
        <v/>
      </c>
      <c r="X247" s="362" t="str">
        <f>IFERROR(IF(OR(LEFT(O247,5)="Error",LEFT(N247,5)="Error",T247="Error"),"Check Data ⚠",IF(F247&lt;R247,INDEX('G-6 Hedgerow Data'!$S$3:$AE$14,MATCH(C247,'G-6 Hedgerow Data'!$B$3:$B$14,0),MATCH(M247,'G-6 Hedgerow Data'!$S$2:$AE$2,0)),INDEX('G-6 Hedgerow Data'!$K$3:$Q$14,MATCH(M247,'G-6 Hedgerow Data'!$B$3:$B$14,0),MATCH(O247,'G-6 Hedgerow Data'!$K$2:$Q$2,0)))),"")</f>
        <v/>
      </c>
      <c r="Y247" s="159"/>
      <c r="Z247" s="159"/>
      <c r="AA247" s="370" t="str">
        <f t="shared" si="30"/>
        <v/>
      </c>
      <c r="AB247" s="383" t="str">
        <f t="shared" si="31"/>
        <v/>
      </c>
      <c r="AC247" s="384" t="str">
        <f t="shared" si="28"/>
        <v/>
      </c>
      <c r="AD247" s="398" t="str">
        <f>IF(M247="","",VLOOKUP(M247,'G-6 Hedgerow Data'!$B$3:$AG$15,31,FALSE))</f>
        <v/>
      </c>
      <c r="AE247" s="382" t="str">
        <f t="shared" si="32"/>
        <v/>
      </c>
      <c r="AF247" s="382" t="str">
        <f t="shared" si="33"/>
        <v/>
      </c>
      <c r="AG247" s="386" t="str">
        <f>IFERROR(IF(O247="","",VLOOKUP(AD247,'G-3 Multipliers'!$P$3:$Q$6,2,FALSE)),"")</f>
        <v/>
      </c>
      <c r="AH247" s="160"/>
      <c r="AI247" s="363" t="str">
        <f>IF(AH247="","",IF(VLOOKUP(AH247,'G-3 Multipliers'!$S$3:$T$10,2,FALSE)=0,"Spatial Data Missing ⚠",VLOOKUP(AH247,'G-3 Multipliers'!$S$3:$T$10,2,FALSE)))</f>
        <v/>
      </c>
      <c r="AJ247" s="405" t="str">
        <f t="shared" si="34"/>
        <v/>
      </c>
      <c r="AK247" s="376" t="str">
        <f t="shared" si="35"/>
        <v/>
      </c>
      <c r="AL247" s="117"/>
      <c r="AM247" s="118"/>
      <c r="AN247" s="120"/>
      <c r="AO247" s="120"/>
      <c r="AQ247" s="30" t="str">
        <f>IFERROR(INDEX('G-6 Hedgerow Data'!$BJ$3:$BJ$15,MATCH(M247,'G-6 Hedgerow Data'!$B$3:$B$15,0)),"")</f>
        <v/>
      </c>
    </row>
    <row r="248" spans="2:43" ht="15">
      <c r="B248" s="392" t="str">
        <f>'E-1 Off-Site Hedge Baseline'!AN246</f>
        <v/>
      </c>
      <c r="C248" s="382" t="str">
        <f>IF(B248="","",IF(ISNA(VLOOKUP($B248,'E-1 Off-Site Hedge Baseline'!$B$1:$L$257,3,FALSE)),"",(VLOOKUP($B248,'E-1 Off-Site Hedge Baseline'!$B$1:$L$257,3,FALSE))))</f>
        <v/>
      </c>
      <c r="D248" s="382" t="str">
        <f>IF(B248="","",IF(ISNA(VLOOKUP($B248,'E-1 Off-Site Hedge Baseline'!$B$1:$L$258,4,FALSE)),"",(VLOOKUP($B248,'E-1 Off-Site Hedge Baseline'!$B$1:$L$258,4,FALSE))))</f>
        <v/>
      </c>
      <c r="E248" s="382" t="str">
        <f>IF(B248="","",IF(ISNA(VLOOKUP($B248,'E-1 Off-Site Hedge Baseline'!$B$1:$L$257,5,FALSE)),"",(VLOOKUP($B248,'E-1 Off-Site Hedge Baseline'!$B$1:$L$257,5,FALSE))))</f>
        <v/>
      </c>
      <c r="F248" s="382" t="str">
        <f>IF(B248="","",IF(ISNA(VLOOKUP($B248,'E-1 Off-Site Hedge Baseline'!$B$1:$L$257,6,FALSE)),"",(VLOOKUP($B248,'E-1 Off-Site Hedge Baseline'!$B$1:$L$257,6,FALSE))))</f>
        <v/>
      </c>
      <c r="G248" s="382" t="str">
        <f>IF(B248="","",IF(ISNA(VLOOKUP($B248,'E-1 Off-Site Hedge Baseline'!$B$1:$L$257,7,FALSE)),"",(VLOOKUP($B248,'E-1 Off-Site Hedge Baseline'!$B$1:$L$257,7,FALSE))))</f>
        <v/>
      </c>
      <c r="H248" s="382" t="str">
        <f>IF(B248="","",IF(ISNA(VLOOKUP($B248,'E-1 Off-Site Hedge Baseline'!$B$1:$L$257,8,FALSE)),"",(VLOOKUP($B248,'E-1 Off-Site Hedge Baseline'!$B$1:$L$257,8,FALSE))))</f>
        <v/>
      </c>
      <c r="I248" s="382" t="str">
        <f>IF(B248="","",IF(ISNA(VLOOKUP($B248,'E-1 Off-Site Hedge Baseline'!$B$1:$L$257,10,FALSE)),"",(VLOOKUP($B248,'E-1 Off-Site Hedge Baseline'!$B$1:$L$257,10,FALSE))))</f>
        <v/>
      </c>
      <c r="J248" s="382" t="str">
        <f>IF(B248="","",IF(ISNA(VLOOKUP($B248,'E-1 Off-Site Hedge Baseline'!$B$1:$L$257,11,FALSE)),"",(VLOOKUP($B248,'E-1 Off-Site Hedge Baseline'!$B$1:$L$257,11,FALSE))))</f>
        <v/>
      </c>
      <c r="K248" s="382" t="str">
        <f>IF(B248="","",IF(ISNA(VLOOKUP($B248,'E-1 Off-Site Hedge Baseline'!$B$1:$X$257,113,FALSE)),"",(VLOOKUP($B248,'E-1 Off-Site Hedge Baseline'!$B$1:$X$257,13,FALSE))))</f>
        <v/>
      </c>
      <c r="L248" s="370" t="str">
        <f>IF(B248="","",IF(ISNA(VLOOKUP($B248,'E-1 Off-Site Hedge Baseline'!$B$1:$X$257,12,FALSE)),"",(VLOOKUP($B248,'E-1 Off-Site Hedge Baseline'!$B$1:$X$257,12,FALSE))))</f>
        <v/>
      </c>
      <c r="M248" s="316" t="str">
        <f t="shared" si="27"/>
        <v/>
      </c>
      <c r="N248" s="362" t="str">
        <f>IFERROR(IF(B248="","",INDEX('G-6 Hedgerow Data'!$AN$3:$AZ$15,MATCH(C248,'G-6 Hedgerow Data'!$AM$3:$AM$15,0),MATCH(M248,'G-6 Hedgerow Data'!$AN$2:$AZ$2,0))),"")</f>
        <v/>
      </c>
      <c r="O248" s="363" t="str">
        <f t="shared" si="29"/>
        <v/>
      </c>
      <c r="P248" s="368" t="str">
        <f>IF(B248="","",VLOOKUP(B248,'E-1 Off-Site Hedge Baseline'!$B$10:W493,19,FALSE))</f>
        <v/>
      </c>
      <c r="Q248" s="362" t="str">
        <f>IF(M248="","",VLOOKUP(M248,'G-6 Hedgerow Data'!$B$2:$AG$15,2,FALSE))</f>
        <v/>
      </c>
      <c r="R248" s="363" t="str">
        <f>IF(M248="","",VLOOKUP(M248,'G-6 Hedgerow Data'!$B$2:$AG$15,3,FALSE))</f>
        <v/>
      </c>
      <c r="S248" s="114"/>
      <c r="T248" s="363" t="str">
        <f>IFERROR(IF(AND(Q248="V.Low",OR(S248="Good",S248="Moderate")),"Error ▲",VLOOKUP(S248,'G-1 All Habitats'!$Z$2:$AA$9,2,FALSE)),"")</f>
        <v/>
      </c>
      <c r="U248" s="114"/>
      <c r="V248" s="370" t="str">
        <f>IF(U248="","",IF(VLOOKUP(U248,'G-3 Multipliers'!$L$3:$N$6,2,FALSE)=0,"Spatial Data Missing ⚠",VLOOKUP(U248,'G-3 Multipliers'!$L$3:$N$6,2,FALSE)))</f>
        <v/>
      </c>
      <c r="W248" s="368" t="str">
        <f>IF(U248="","",IF(VLOOKUP(U248,'G-3 Multipliers'!$L$3:$N$6,3,FALSE)=0,"Spatial Data Missing ⚠",VLOOKUP(U248,'G-3 Multipliers'!$L$3:$N$6,3,FALSE)))</f>
        <v/>
      </c>
      <c r="X248" s="362" t="str">
        <f>IFERROR(IF(OR(LEFT(O248,5)="Error",LEFT(N248,5)="Error",T248="Error"),"Check Data ⚠",IF(F248&lt;R248,INDEX('G-6 Hedgerow Data'!$S$3:$AE$14,MATCH(C248,'G-6 Hedgerow Data'!$B$3:$B$14,0),MATCH(M248,'G-6 Hedgerow Data'!$S$2:$AE$2,0)),INDEX('G-6 Hedgerow Data'!$K$3:$Q$14,MATCH(M248,'G-6 Hedgerow Data'!$B$3:$B$14,0),MATCH(O248,'G-6 Hedgerow Data'!$K$2:$Q$2,0)))),"")</f>
        <v/>
      </c>
      <c r="Y248" s="159"/>
      <c r="Z248" s="159"/>
      <c r="AA248" s="370" t="str">
        <f t="shared" si="30"/>
        <v/>
      </c>
      <c r="AB248" s="383" t="str">
        <f t="shared" si="31"/>
        <v/>
      </c>
      <c r="AC248" s="384" t="str">
        <f t="shared" si="28"/>
        <v/>
      </c>
      <c r="AD248" s="398" t="str">
        <f>IF(M248="","",VLOOKUP(M248,'G-6 Hedgerow Data'!$B$3:$AG$15,31,FALSE))</f>
        <v/>
      </c>
      <c r="AE248" s="382" t="str">
        <f t="shared" si="32"/>
        <v/>
      </c>
      <c r="AF248" s="382" t="str">
        <f t="shared" si="33"/>
        <v/>
      </c>
      <c r="AG248" s="386" t="str">
        <f>IFERROR(IF(O248="","",VLOOKUP(AD248,'G-3 Multipliers'!$P$3:$Q$6,2,FALSE)),"")</f>
        <v/>
      </c>
      <c r="AH248" s="160"/>
      <c r="AI248" s="363" t="str">
        <f>IF(AH248="","",IF(VLOOKUP(AH248,'G-3 Multipliers'!$S$3:$T$10,2,FALSE)=0,"Spatial Data Missing ⚠",VLOOKUP(AH248,'G-3 Multipliers'!$S$3:$T$10,2,FALSE)))</f>
        <v/>
      </c>
      <c r="AJ248" s="405" t="str">
        <f t="shared" si="34"/>
        <v/>
      </c>
      <c r="AK248" s="376" t="str">
        <f t="shared" si="35"/>
        <v/>
      </c>
      <c r="AL248" s="117"/>
      <c r="AM248" s="118"/>
      <c r="AN248" s="120"/>
      <c r="AO248" s="120"/>
      <c r="AQ248" s="30" t="str">
        <f>IFERROR(INDEX('G-6 Hedgerow Data'!$BJ$3:$BJ$15,MATCH(M248,'G-6 Hedgerow Data'!$B$3:$B$15,0)),"")</f>
        <v/>
      </c>
    </row>
    <row r="249" spans="2:43" ht="15">
      <c r="B249" s="392" t="str">
        <f>'E-1 Off-Site Hedge Baseline'!AN247</f>
        <v/>
      </c>
      <c r="C249" s="382" t="str">
        <f>IF(B249="","",IF(ISNA(VLOOKUP($B249,'E-1 Off-Site Hedge Baseline'!$B$1:$L$257,3,FALSE)),"",(VLOOKUP($B249,'E-1 Off-Site Hedge Baseline'!$B$1:$L$257,3,FALSE))))</f>
        <v/>
      </c>
      <c r="D249" s="382" t="str">
        <f>IF(B249="","",IF(ISNA(VLOOKUP($B249,'E-1 Off-Site Hedge Baseline'!$B$1:$L$258,4,FALSE)),"",(VLOOKUP($B249,'E-1 Off-Site Hedge Baseline'!$B$1:$L$258,4,FALSE))))</f>
        <v/>
      </c>
      <c r="E249" s="382" t="str">
        <f>IF(B249="","",IF(ISNA(VLOOKUP($B249,'E-1 Off-Site Hedge Baseline'!$B$1:$L$257,5,FALSE)),"",(VLOOKUP($B249,'E-1 Off-Site Hedge Baseline'!$B$1:$L$257,5,FALSE))))</f>
        <v/>
      </c>
      <c r="F249" s="382" t="str">
        <f>IF(B249="","",IF(ISNA(VLOOKUP($B249,'E-1 Off-Site Hedge Baseline'!$B$1:$L$257,6,FALSE)),"",(VLOOKUP($B249,'E-1 Off-Site Hedge Baseline'!$B$1:$L$257,6,FALSE))))</f>
        <v/>
      </c>
      <c r="G249" s="382" t="str">
        <f>IF(B249="","",IF(ISNA(VLOOKUP($B249,'E-1 Off-Site Hedge Baseline'!$B$1:$L$257,7,FALSE)),"",(VLOOKUP($B249,'E-1 Off-Site Hedge Baseline'!$B$1:$L$257,7,FALSE))))</f>
        <v/>
      </c>
      <c r="H249" s="382" t="str">
        <f>IF(B249="","",IF(ISNA(VLOOKUP($B249,'E-1 Off-Site Hedge Baseline'!$B$1:$L$257,8,FALSE)),"",(VLOOKUP($B249,'E-1 Off-Site Hedge Baseline'!$B$1:$L$257,8,FALSE))))</f>
        <v/>
      </c>
      <c r="I249" s="382" t="str">
        <f>IF(B249="","",IF(ISNA(VLOOKUP($B249,'E-1 Off-Site Hedge Baseline'!$B$1:$L$257,10,FALSE)),"",(VLOOKUP($B249,'E-1 Off-Site Hedge Baseline'!$B$1:$L$257,10,FALSE))))</f>
        <v/>
      </c>
      <c r="J249" s="382" t="str">
        <f>IF(B249="","",IF(ISNA(VLOOKUP($B249,'E-1 Off-Site Hedge Baseline'!$B$1:$L$257,11,FALSE)),"",(VLOOKUP($B249,'E-1 Off-Site Hedge Baseline'!$B$1:$L$257,11,FALSE))))</f>
        <v/>
      </c>
      <c r="K249" s="382" t="str">
        <f>IF(B249="","",IF(ISNA(VLOOKUP($B249,'E-1 Off-Site Hedge Baseline'!$B$1:$X$257,113,FALSE)),"",(VLOOKUP($B249,'E-1 Off-Site Hedge Baseline'!$B$1:$X$257,13,FALSE))))</f>
        <v/>
      </c>
      <c r="L249" s="370" t="str">
        <f>IF(B249="","",IF(ISNA(VLOOKUP($B249,'E-1 Off-Site Hedge Baseline'!$B$1:$X$257,12,FALSE)),"",(VLOOKUP($B249,'E-1 Off-Site Hedge Baseline'!$B$1:$X$257,12,FALSE))))</f>
        <v/>
      </c>
      <c r="M249" s="316" t="str">
        <f t="shared" si="27"/>
        <v/>
      </c>
      <c r="N249" s="362" t="str">
        <f>IFERROR(IF(B249="","",INDEX('G-6 Hedgerow Data'!$AN$3:$AZ$15,MATCH(C249,'G-6 Hedgerow Data'!$AM$3:$AM$15,0),MATCH(M249,'G-6 Hedgerow Data'!$AN$2:$AZ$2,0))),"")</f>
        <v/>
      </c>
      <c r="O249" s="363" t="str">
        <f t="shared" si="29"/>
        <v/>
      </c>
      <c r="P249" s="368" t="str">
        <f>IF(B249="","",VLOOKUP(B249,'E-1 Off-Site Hedge Baseline'!$B$10:W494,19,FALSE))</f>
        <v/>
      </c>
      <c r="Q249" s="362" t="str">
        <f>IF(M249="","",VLOOKUP(M249,'G-6 Hedgerow Data'!$B$2:$AG$15,2,FALSE))</f>
        <v/>
      </c>
      <c r="R249" s="363" t="str">
        <f>IF(M249="","",VLOOKUP(M249,'G-6 Hedgerow Data'!$B$2:$AG$15,3,FALSE))</f>
        <v/>
      </c>
      <c r="S249" s="114"/>
      <c r="T249" s="363" t="str">
        <f>IFERROR(IF(AND(Q249="V.Low",OR(S249="Good",S249="Moderate")),"Error ▲",VLOOKUP(S249,'G-1 All Habitats'!$Z$2:$AA$9,2,FALSE)),"")</f>
        <v/>
      </c>
      <c r="U249" s="114"/>
      <c r="V249" s="370" t="str">
        <f>IF(U249="","",IF(VLOOKUP(U249,'G-3 Multipliers'!$L$3:$N$6,2,FALSE)=0,"Spatial Data Missing ⚠",VLOOKUP(U249,'G-3 Multipliers'!$L$3:$N$6,2,FALSE)))</f>
        <v/>
      </c>
      <c r="W249" s="368" t="str">
        <f>IF(U249="","",IF(VLOOKUP(U249,'G-3 Multipliers'!$L$3:$N$6,3,FALSE)=0,"Spatial Data Missing ⚠",VLOOKUP(U249,'G-3 Multipliers'!$L$3:$N$6,3,FALSE)))</f>
        <v/>
      </c>
      <c r="X249" s="362" t="str">
        <f>IFERROR(IF(OR(LEFT(O249,5)="Error",LEFT(N249,5)="Error",T249="Error"),"Check Data ⚠",IF(F249&lt;R249,INDEX('G-6 Hedgerow Data'!$S$3:$AE$14,MATCH(C249,'G-6 Hedgerow Data'!$B$3:$B$14,0),MATCH(M249,'G-6 Hedgerow Data'!$S$2:$AE$2,0)),INDEX('G-6 Hedgerow Data'!$K$3:$Q$14,MATCH(M249,'G-6 Hedgerow Data'!$B$3:$B$14,0),MATCH(O249,'G-6 Hedgerow Data'!$K$2:$Q$2,0)))),"")</f>
        <v/>
      </c>
      <c r="Y249" s="159"/>
      <c r="Z249" s="159"/>
      <c r="AA249" s="370" t="str">
        <f t="shared" si="30"/>
        <v/>
      </c>
      <c r="AB249" s="383" t="str">
        <f t="shared" si="31"/>
        <v/>
      </c>
      <c r="AC249" s="384" t="str">
        <f t="shared" si="28"/>
        <v/>
      </c>
      <c r="AD249" s="398" t="str">
        <f>IF(M249="","",VLOOKUP(M249,'G-6 Hedgerow Data'!$B$3:$AG$15,31,FALSE))</f>
        <v/>
      </c>
      <c r="AE249" s="382" t="str">
        <f t="shared" si="32"/>
        <v/>
      </c>
      <c r="AF249" s="382" t="str">
        <f t="shared" si="33"/>
        <v/>
      </c>
      <c r="AG249" s="386" t="str">
        <f>IFERROR(IF(O249="","",VLOOKUP(AD249,'G-3 Multipliers'!$P$3:$Q$6,2,FALSE)),"")</f>
        <v/>
      </c>
      <c r="AH249" s="160"/>
      <c r="AI249" s="363" t="str">
        <f>IF(AH249="","",IF(VLOOKUP(AH249,'G-3 Multipliers'!$S$3:$T$10,2,FALSE)=0,"Spatial Data Missing ⚠",VLOOKUP(AH249,'G-3 Multipliers'!$S$3:$T$10,2,FALSE)))</f>
        <v/>
      </c>
      <c r="AJ249" s="405" t="str">
        <f t="shared" si="34"/>
        <v/>
      </c>
      <c r="AK249" s="376" t="str">
        <f t="shared" si="35"/>
        <v/>
      </c>
      <c r="AL249" s="117"/>
      <c r="AM249" s="118"/>
      <c r="AN249" s="120"/>
      <c r="AO249" s="120"/>
      <c r="AQ249" s="30" t="str">
        <f>IFERROR(INDEX('G-6 Hedgerow Data'!$BJ$3:$BJ$15,MATCH(M249,'G-6 Hedgerow Data'!$B$3:$B$15,0)),"")</f>
        <v/>
      </c>
    </row>
    <row r="250" spans="2:43" ht="15">
      <c r="B250" s="392" t="str">
        <f>'E-1 Off-Site Hedge Baseline'!AN248</f>
        <v/>
      </c>
      <c r="C250" s="382" t="str">
        <f>IF(B250="","",IF(ISNA(VLOOKUP($B250,'E-1 Off-Site Hedge Baseline'!$B$1:$L$257,3,FALSE)),"",(VLOOKUP($B250,'E-1 Off-Site Hedge Baseline'!$B$1:$L$257,3,FALSE))))</f>
        <v/>
      </c>
      <c r="D250" s="382" t="str">
        <f>IF(B250="","",IF(ISNA(VLOOKUP($B250,'E-1 Off-Site Hedge Baseline'!$B$1:$L$258,4,FALSE)),"",(VLOOKUP($B250,'E-1 Off-Site Hedge Baseline'!$B$1:$L$258,4,FALSE))))</f>
        <v/>
      </c>
      <c r="E250" s="382" t="str">
        <f>IF(B250="","",IF(ISNA(VLOOKUP($B250,'E-1 Off-Site Hedge Baseline'!$B$1:$L$257,5,FALSE)),"",(VLOOKUP($B250,'E-1 Off-Site Hedge Baseline'!$B$1:$L$257,5,FALSE))))</f>
        <v/>
      </c>
      <c r="F250" s="382" t="str">
        <f>IF(B250="","",IF(ISNA(VLOOKUP($B250,'E-1 Off-Site Hedge Baseline'!$B$1:$L$257,6,FALSE)),"",(VLOOKUP($B250,'E-1 Off-Site Hedge Baseline'!$B$1:$L$257,6,FALSE))))</f>
        <v/>
      </c>
      <c r="G250" s="382" t="str">
        <f>IF(B250="","",IF(ISNA(VLOOKUP($B250,'E-1 Off-Site Hedge Baseline'!$B$1:$L$257,7,FALSE)),"",(VLOOKUP($B250,'E-1 Off-Site Hedge Baseline'!$B$1:$L$257,7,FALSE))))</f>
        <v/>
      </c>
      <c r="H250" s="382" t="str">
        <f>IF(B250="","",IF(ISNA(VLOOKUP($B250,'E-1 Off-Site Hedge Baseline'!$B$1:$L$257,8,FALSE)),"",(VLOOKUP($B250,'E-1 Off-Site Hedge Baseline'!$B$1:$L$257,8,FALSE))))</f>
        <v/>
      </c>
      <c r="I250" s="382" t="str">
        <f>IF(B250="","",IF(ISNA(VLOOKUP($B250,'E-1 Off-Site Hedge Baseline'!$B$1:$L$257,10,FALSE)),"",(VLOOKUP($B250,'E-1 Off-Site Hedge Baseline'!$B$1:$L$257,10,FALSE))))</f>
        <v/>
      </c>
      <c r="J250" s="382" t="str">
        <f>IF(B250="","",IF(ISNA(VLOOKUP($B250,'E-1 Off-Site Hedge Baseline'!$B$1:$L$257,11,FALSE)),"",(VLOOKUP($B250,'E-1 Off-Site Hedge Baseline'!$B$1:$L$257,11,FALSE))))</f>
        <v/>
      </c>
      <c r="K250" s="382" t="str">
        <f>IF(B250="","",IF(ISNA(VLOOKUP($B250,'E-1 Off-Site Hedge Baseline'!$B$1:$X$257,113,FALSE)),"",(VLOOKUP($B250,'E-1 Off-Site Hedge Baseline'!$B$1:$X$257,13,FALSE))))</f>
        <v/>
      </c>
      <c r="L250" s="370" t="str">
        <f>IF(B250="","",IF(ISNA(VLOOKUP($B250,'E-1 Off-Site Hedge Baseline'!$B$1:$X$257,12,FALSE)),"",(VLOOKUP($B250,'E-1 Off-Site Hedge Baseline'!$B$1:$X$257,12,FALSE))))</f>
        <v/>
      </c>
      <c r="M250" s="316" t="str">
        <f t="shared" si="27"/>
        <v/>
      </c>
      <c r="N250" s="362" t="str">
        <f>IFERROR(IF(B250="","",INDEX('G-6 Hedgerow Data'!$AN$3:$AZ$15,MATCH(C250,'G-6 Hedgerow Data'!$AM$3:$AM$15,0),MATCH(M250,'G-6 Hedgerow Data'!$AN$2:$AZ$2,0))),"")</f>
        <v/>
      </c>
      <c r="O250" s="363" t="str">
        <f t="shared" si="29"/>
        <v/>
      </c>
      <c r="P250" s="368" t="str">
        <f>IF(B250="","",VLOOKUP(B250,'E-1 Off-Site Hedge Baseline'!$B$10:W495,19,FALSE))</f>
        <v/>
      </c>
      <c r="Q250" s="362" t="str">
        <f>IF(M250="","",VLOOKUP(M250,'G-6 Hedgerow Data'!$B$2:$AG$15,2,FALSE))</f>
        <v/>
      </c>
      <c r="R250" s="363" t="str">
        <f>IF(M250="","",VLOOKUP(M250,'G-6 Hedgerow Data'!$B$2:$AG$15,3,FALSE))</f>
        <v/>
      </c>
      <c r="S250" s="114"/>
      <c r="T250" s="363" t="str">
        <f>IFERROR(IF(AND(Q250="V.Low",OR(S250="Good",S250="Moderate")),"Error ▲",VLOOKUP(S250,'G-1 All Habitats'!$Z$2:$AA$9,2,FALSE)),"")</f>
        <v/>
      </c>
      <c r="U250" s="114"/>
      <c r="V250" s="370" t="str">
        <f>IF(U250="","",IF(VLOOKUP(U250,'G-3 Multipliers'!$L$3:$N$6,2,FALSE)=0,"Spatial Data Missing ⚠",VLOOKUP(U250,'G-3 Multipliers'!$L$3:$N$6,2,FALSE)))</f>
        <v/>
      </c>
      <c r="W250" s="368" t="str">
        <f>IF(U250="","",IF(VLOOKUP(U250,'G-3 Multipliers'!$L$3:$N$6,3,FALSE)=0,"Spatial Data Missing ⚠",VLOOKUP(U250,'G-3 Multipliers'!$L$3:$N$6,3,FALSE)))</f>
        <v/>
      </c>
      <c r="X250" s="362" t="str">
        <f>IFERROR(IF(OR(LEFT(O250,5)="Error",LEFT(N250,5)="Error",T250="Error"),"Check Data ⚠",IF(F250&lt;R250,INDEX('G-6 Hedgerow Data'!$S$3:$AE$14,MATCH(C250,'G-6 Hedgerow Data'!$B$3:$B$14,0),MATCH(M250,'G-6 Hedgerow Data'!$S$2:$AE$2,0)),INDEX('G-6 Hedgerow Data'!$K$3:$Q$14,MATCH(M250,'G-6 Hedgerow Data'!$B$3:$B$14,0),MATCH(O250,'G-6 Hedgerow Data'!$K$2:$Q$2,0)))),"")</f>
        <v/>
      </c>
      <c r="Y250" s="159"/>
      <c r="Z250" s="159"/>
      <c r="AA250" s="370" t="str">
        <f t="shared" si="30"/>
        <v/>
      </c>
      <c r="AB250" s="383" t="str">
        <f t="shared" si="31"/>
        <v/>
      </c>
      <c r="AC250" s="384" t="str">
        <f t="shared" si="28"/>
        <v/>
      </c>
      <c r="AD250" s="398" t="str">
        <f>IF(M250="","",VLOOKUP(M250,'G-6 Hedgerow Data'!$B$3:$AG$15,31,FALSE))</f>
        <v/>
      </c>
      <c r="AE250" s="382" t="str">
        <f t="shared" si="32"/>
        <v/>
      </c>
      <c r="AF250" s="382" t="str">
        <f t="shared" si="33"/>
        <v/>
      </c>
      <c r="AG250" s="386" t="str">
        <f>IFERROR(IF(O250="","",VLOOKUP(AD250,'G-3 Multipliers'!$P$3:$Q$6,2,FALSE)),"")</f>
        <v/>
      </c>
      <c r="AH250" s="160"/>
      <c r="AI250" s="363" t="str">
        <f>IF(AH250="","",IF(VLOOKUP(AH250,'G-3 Multipliers'!$S$3:$T$10,2,FALSE)=0,"Spatial Data Missing ⚠",VLOOKUP(AH250,'G-3 Multipliers'!$S$3:$T$10,2,FALSE)))</f>
        <v/>
      </c>
      <c r="AJ250" s="405" t="str">
        <f t="shared" si="34"/>
        <v/>
      </c>
      <c r="AK250" s="376" t="str">
        <f t="shared" si="35"/>
        <v/>
      </c>
      <c r="AL250" s="117"/>
      <c r="AM250" s="118"/>
      <c r="AN250" s="120"/>
      <c r="AO250" s="120"/>
      <c r="AQ250" s="30" t="str">
        <f>IFERROR(INDEX('G-6 Hedgerow Data'!$BJ$3:$BJ$15,MATCH(M250,'G-6 Hedgerow Data'!$B$3:$B$15,0)),"")</f>
        <v/>
      </c>
    </row>
    <row r="251" spans="2:43" ht="15">
      <c r="B251" s="392" t="str">
        <f>'E-1 Off-Site Hedge Baseline'!AN249</f>
        <v/>
      </c>
      <c r="C251" s="382" t="str">
        <f>IF(B251="","",IF(ISNA(VLOOKUP($B251,'E-1 Off-Site Hedge Baseline'!$B$1:$L$257,3,FALSE)),"",(VLOOKUP($B251,'E-1 Off-Site Hedge Baseline'!$B$1:$L$257,3,FALSE))))</f>
        <v/>
      </c>
      <c r="D251" s="382" t="str">
        <f>IF(B251="","",IF(ISNA(VLOOKUP($B251,'E-1 Off-Site Hedge Baseline'!$B$1:$L$258,4,FALSE)),"",(VLOOKUP($B251,'E-1 Off-Site Hedge Baseline'!$B$1:$L$258,4,FALSE))))</f>
        <v/>
      </c>
      <c r="E251" s="382" t="str">
        <f>IF(B251="","",IF(ISNA(VLOOKUP($B251,'E-1 Off-Site Hedge Baseline'!$B$1:$L$257,5,FALSE)),"",(VLOOKUP($B251,'E-1 Off-Site Hedge Baseline'!$B$1:$L$257,5,FALSE))))</f>
        <v/>
      </c>
      <c r="F251" s="382" t="str">
        <f>IF(B251="","",IF(ISNA(VLOOKUP($B251,'E-1 Off-Site Hedge Baseline'!$B$1:$L$257,6,FALSE)),"",(VLOOKUP($B251,'E-1 Off-Site Hedge Baseline'!$B$1:$L$257,6,FALSE))))</f>
        <v/>
      </c>
      <c r="G251" s="382" t="str">
        <f>IF(B251="","",IF(ISNA(VLOOKUP($B251,'E-1 Off-Site Hedge Baseline'!$B$1:$L$257,7,FALSE)),"",(VLOOKUP($B251,'E-1 Off-Site Hedge Baseline'!$B$1:$L$257,7,FALSE))))</f>
        <v/>
      </c>
      <c r="H251" s="382" t="str">
        <f>IF(B251="","",IF(ISNA(VLOOKUP($B251,'E-1 Off-Site Hedge Baseline'!$B$1:$L$257,8,FALSE)),"",(VLOOKUP($B251,'E-1 Off-Site Hedge Baseline'!$B$1:$L$257,8,FALSE))))</f>
        <v/>
      </c>
      <c r="I251" s="382" t="str">
        <f>IF(B251="","",IF(ISNA(VLOOKUP($B251,'E-1 Off-Site Hedge Baseline'!$B$1:$L$257,10,FALSE)),"",(VLOOKUP($B251,'E-1 Off-Site Hedge Baseline'!$B$1:$L$257,10,FALSE))))</f>
        <v/>
      </c>
      <c r="J251" s="382" t="str">
        <f>IF(B251="","",IF(ISNA(VLOOKUP($B251,'E-1 Off-Site Hedge Baseline'!$B$1:$L$257,11,FALSE)),"",(VLOOKUP($B251,'E-1 Off-Site Hedge Baseline'!$B$1:$L$257,11,FALSE))))</f>
        <v/>
      </c>
      <c r="K251" s="382" t="str">
        <f>IF(B251="","",IF(ISNA(VLOOKUP($B251,'E-1 Off-Site Hedge Baseline'!$B$1:$X$257,113,FALSE)),"",(VLOOKUP($B251,'E-1 Off-Site Hedge Baseline'!$B$1:$X$257,13,FALSE))))</f>
        <v/>
      </c>
      <c r="L251" s="370" t="str">
        <f>IF(B251="","",IF(ISNA(VLOOKUP($B251,'E-1 Off-Site Hedge Baseline'!$B$1:$X$257,12,FALSE)),"",(VLOOKUP($B251,'E-1 Off-Site Hedge Baseline'!$B$1:$X$257,12,FALSE))))</f>
        <v/>
      </c>
      <c r="M251" s="316" t="str">
        <f t="shared" si="27"/>
        <v/>
      </c>
      <c r="N251" s="362" t="str">
        <f>IFERROR(IF(B251="","",INDEX('G-6 Hedgerow Data'!$AN$3:$AZ$15,MATCH(C251,'G-6 Hedgerow Data'!$AM$3:$AM$15,0),MATCH(M251,'G-6 Hedgerow Data'!$AN$2:$AZ$2,0))),"")</f>
        <v/>
      </c>
      <c r="O251" s="363" t="str">
        <f t="shared" si="29"/>
        <v/>
      </c>
      <c r="P251" s="368" t="str">
        <f>IF(B251="","",VLOOKUP(B251,'E-1 Off-Site Hedge Baseline'!$B$10:W496,19,FALSE))</f>
        <v/>
      </c>
      <c r="Q251" s="362" t="str">
        <f>IF(M251="","",VLOOKUP(M251,'G-6 Hedgerow Data'!$B$2:$AG$15,2,FALSE))</f>
        <v/>
      </c>
      <c r="R251" s="363" t="str">
        <f>IF(M251="","",VLOOKUP(M251,'G-6 Hedgerow Data'!$B$2:$AG$15,3,FALSE))</f>
        <v/>
      </c>
      <c r="S251" s="114"/>
      <c r="T251" s="363" t="str">
        <f>IFERROR(IF(AND(Q251="V.Low",OR(S251="Good",S251="Moderate")),"Error ▲",VLOOKUP(S251,'G-1 All Habitats'!$Z$2:$AA$9,2,FALSE)),"")</f>
        <v/>
      </c>
      <c r="U251" s="114"/>
      <c r="V251" s="370" t="str">
        <f>IF(U251="","",IF(VLOOKUP(U251,'G-3 Multipliers'!$L$3:$N$6,2,FALSE)=0,"Spatial Data Missing ⚠",VLOOKUP(U251,'G-3 Multipliers'!$L$3:$N$6,2,FALSE)))</f>
        <v/>
      </c>
      <c r="W251" s="368" t="str">
        <f>IF(U251="","",IF(VLOOKUP(U251,'G-3 Multipliers'!$L$3:$N$6,3,FALSE)=0,"Spatial Data Missing ⚠",VLOOKUP(U251,'G-3 Multipliers'!$L$3:$N$6,3,FALSE)))</f>
        <v/>
      </c>
      <c r="X251" s="362" t="str">
        <f>IFERROR(IF(OR(LEFT(O251,5)="Error",LEFT(N251,5)="Error",T251="Error"),"Check Data ⚠",IF(F251&lt;R251,INDEX('G-6 Hedgerow Data'!$S$3:$AE$14,MATCH(C251,'G-6 Hedgerow Data'!$B$3:$B$14,0),MATCH(M251,'G-6 Hedgerow Data'!$S$2:$AE$2,0)),INDEX('G-6 Hedgerow Data'!$K$3:$Q$14,MATCH(M251,'G-6 Hedgerow Data'!$B$3:$B$14,0),MATCH(O251,'G-6 Hedgerow Data'!$K$2:$Q$2,0)))),"")</f>
        <v/>
      </c>
      <c r="Y251" s="159"/>
      <c r="Z251" s="159"/>
      <c r="AA251" s="370" t="str">
        <f t="shared" si="30"/>
        <v/>
      </c>
      <c r="AB251" s="383" t="str">
        <f t="shared" si="31"/>
        <v/>
      </c>
      <c r="AC251" s="384" t="str">
        <f t="shared" si="28"/>
        <v/>
      </c>
      <c r="AD251" s="398" t="str">
        <f>IF(M251="","",VLOOKUP(M251,'G-6 Hedgerow Data'!$B$3:$AG$15,31,FALSE))</f>
        <v/>
      </c>
      <c r="AE251" s="382" t="str">
        <f t="shared" si="32"/>
        <v/>
      </c>
      <c r="AF251" s="382" t="str">
        <f t="shared" si="33"/>
        <v/>
      </c>
      <c r="AG251" s="386" t="str">
        <f>IFERROR(IF(O251="","",VLOOKUP(AD251,'G-3 Multipliers'!$P$3:$Q$6,2,FALSE)),"")</f>
        <v/>
      </c>
      <c r="AH251" s="160"/>
      <c r="AI251" s="363" t="str">
        <f>IF(AH251="","",IF(VLOOKUP(AH251,'G-3 Multipliers'!$S$3:$T$10,2,FALSE)=0,"Spatial Data Missing ⚠",VLOOKUP(AH251,'G-3 Multipliers'!$S$3:$T$10,2,FALSE)))</f>
        <v/>
      </c>
      <c r="AJ251" s="405" t="str">
        <f t="shared" si="34"/>
        <v/>
      </c>
      <c r="AK251" s="376" t="str">
        <f t="shared" si="35"/>
        <v/>
      </c>
      <c r="AL251" s="117"/>
      <c r="AM251" s="118"/>
      <c r="AN251" s="120"/>
      <c r="AO251" s="120"/>
      <c r="AQ251" s="30" t="str">
        <f>IFERROR(INDEX('G-6 Hedgerow Data'!$BJ$3:$BJ$15,MATCH(M251,'G-6 Hedgerow Data'!$B$3:$B$15,0)),"")</f>
        <v/>
      </c>
    </row>
    <row r="252" spans="2:43" ht="15">
      <c r="B252" s="392" t="str">
        <f>'E-1 Off-Site Hedge Baseline'!AN250</f>
        <v/>
      </c>
      <c r="C252" s="382" t="str">
        <f>IF(B252="","",IF(ISNA(VLOOKUP($B252,'E-1 Off-Site Hedge Baseline'!$B$1:$L$257,3,FALSE)),"",(VLOOKUP($B252,'E-1 Off-Site Hedge Baseline'!$B$1:$L$257,3,FALSE))))</f>
        <v/>
      </c>
      <c r="D252" s="382" t="str">
        <f>IF(B252="","",IF(ISNA(VLOOKUP($B252,'E-1 Off-Site Hedge Baseline'!$B$1:$L$258,4,FALSE)),"",(VLOOKUP($B252,'E-1 Off-Site Hedge Baseline'!$B$1:$L$258,4,FALSE))))</f>
        <v/>
      </c>
      <c r="E252" s="382" t="str">
        <f>IF(B252="","",IF(ISNA(VLOOKUP($B252,'E-1 Off-Site Hedge Baseline'!$B$1:$L$257,5,FALSE)),"",(VLOOKUP($B252,'E-1 Off-Site Hedge Baseline'!$B$1:$L$257,5,FALSE))))</f>
        <v/>
      </c>
      <c r="F252" s="382" t="str">
        <f>IF(B252="","",IF(ISNA(VLOOKUP($B252,'E-1 Off-Site Hedge Baseline'!$B$1:$L$257,6,FALSE)),"",(VLOOKUP($B252,'E-1 Off-Site Hedge Baseline'!$B$1:$L$257,6,FALSE))))</f>
        <v/>
      </c>
      <c r="G252" s="382" t="str">
        <f>IF(B252="","",IF(ISNA(VLOOKUP($B252,'E-1 Off-Site Hedge Baseline'!$B$1:$L$257,7,FALSE)),"",(VLOOKUP($B252,'E-1 Off-Site Hedge Baseline'!$B$1:$L$257,7,FALSE))))</f>
        <v/>
      </c>
      <c r="H252" s="382" t="str">
        <f>IF(B252="","",IF(ISNA(VLOOKUP($B252,'E-1 Off-Site Hedge Baseline'!$B$1:$L$257,8,FALSE)),"",(VLOOKUP($B252,'E-1 Off-Site Hedge Baseline'!$B$1:$L$257,8,FALSE))))</f>
        <v/>
      </c>
      <c r="I252" s="382" t="str">
        <f>IF(B252="","",IF(ISNA(VLOOKUP($B252,'E-1 Off-Site Hedge Baseline'!$B$1:$L$257,10,FALSE)),"",(VLOOKUP($B252,'E-1 Off-Site Hedge Baseline'!$B$1:$L$257,10,FALSE))))</f>
        <v/>
      </c>
      <c r="J252" s="382" t="str">
        <f>IF(B252="","",IF(ISNA(VLOOKUP($B252,'E-1 Off-Site Hedge Baseline'!$B$1:$L$257,11,FALSE)),"",(VLOOKUP($B252,'E-1 Off-Site Hedge Baseline'!$B$1:$L$257,11,FALSE))))</f>
        <v/>
      </c>
      <c r="K252" s="382" t="str">
        <f>IF(B252="","",IF(ISNA(VLOOKUP($B252,'E-1 Off-Site Hedge Baseline'!$B$1:$X$257,113,FALSE)),"",(VLOOKUP($B252,'E-1 Off-Site Hedge Baseline'!$B$1:$X$257,13,FALSE))))</f>
        <v/>
      </c>
      <c r="L252" s="370" t="str">
        <f>IF(B252="","",IF(ISNA(VLOOKUP($B252,'E-1 Off-Site Hedge Baseline'!$B$1:$X$257,12,FALSE)),"",(VLOOKUP($B252,'E-1 Off-Site Hedge Baseline'!$B$1:$X$257,12,FALSE))))</f>
        <v/>
      </c>
      <c r="M252" s="316" t="str">
        <f t="shared" si="27"/>
        <v/>
      </c>
      <c r="N252" s="362" t="str">
        <f>IFERROR(IF(B252="","",INDEX('G-6 Hedgerow Data'!$AN$3:$AZ$15,MATCH(C252,'G-6 Hedgerow Data'!$AM$3:$AM$15,0),MATCH(M252,'G-6 Hedgerow Data'!$AN$2:$AZ$2,0))),"")</f>
        <v/>
      </c>
      <c r="O252" s="363" t="str">
        <f t="shared" si="29"/>
        <v/>
      </c>
      <c r="P252" s="368" t="str">
        <f>IF(B252="","",VLOOKUP(B252,'E-1 Off-Site Hedge Baseline'!$B$10:W497,19,FALSE))</f>
        <v/>
      </c>
      <c r="Q252" s="362" t="str">
        <f>IF(M252="","",VLOOKUP(M252,'G-6 Hedgerow Data'!$B$2:$AG$15,2,FALSE))</f>
        <v/>
      </c>
      <c r="R252" s="363" t="str">
        <f>IF(M252="","",VLOOKUP(M252,'G-6 Hedgerow Data'!$B$2:$AG$15,3,FALSE))</f>
        <v/>
      </c>
      <c r="S252" s="114"/>
      <c r="T252" s="363" t="str">
        <f>IFERROR(IF(AND(Q252="V.Low",OR(S252="Good",S252="Moderate")),"Error ▲",VLOOKUP(S252,'G-1 All Habitats'!$Z$2:$AA$9,2,FALSE)),"")</f>
        <v/>
      </c>
      <c r="U252" s="114"/>
      <c r="V252" s="370" t="str">
        <f>IF(U252="","",IF(VLOOKUP(U252,'G-3 Multipliers'!$L$3:$N$6,2,FALSE)=0,"Spatial Data Missing ⚠",VLOOKUP(U252,'G-3 Multipliers'!$L$3:$N$6,2,FALSE)))</f>
        <v/>
      </c>
      <c r="W252" s="368" t="str">
        <f>IF(U252="","",IF(VLOOKUP(U252,'G-3 Multipliers'!$L$3:$N$6,3,FALSE)=0,"Spatial Data Missing ⚠",VLOOKUP(U252,'G-3 Multipliers'!$L$3:$N$6,3,FALSE)))</f>
        <v/>
      </c>
      <c r="X252" s="362" t="str">
        <f>IFERROR(IF(OR(LEFT(O252,5)="Error",LEFT(N252,5)="Error",T252="Error"),"Check Data ⚠",IF(F252&lt;R252,INDEX('G-6 Hedgerow Data'!$S$3:$AE$14,MATCH(C252,'G-6 Hedgerow Data'!$B$3:$B$14,0),MATCH(M252,'G-6 Hedgerow Data'!$S$2:$AE$2,0)),INDEX('G-6 Hedgerow Data'!$K$3:$Q$14,MATCH(M252,'G-6 Hedgerow Data'!$B$3:$B$14,0),MATCH(O252,'G-6 Hedgerow Data'!$K$2:$Q$2,0)))),"")</f>
        <v/>
      </c>
      <c r="Y252" s="159"/>
      <c r="Z252" s="159"/>
      <c r="AA252" s="370" t="str">
        <f t="shared" si="30"/>
        <v/>
      </c>
      <c r="AB252" s="383" t="str">
        <f t="shared" si="31"/>
        <v/>
      </c>
      <c r="AC252" s="384" t="str">
        <f t="shared" si="28"/>
        <v/>
      </c>
      <c r="AD252" s="398" t="str">
        <f>IF(M252="","",VLOOKUP(M252,'G-6 Hedgerow Data'!$B$3:$AG$15,31,FALSE))</f>
        <v/>
      </c>
      <c r="AE252" s="382" t="str">
        <f t="shared" si="32"/>
        <v/>
      </c>
      <c r="AF252" s="382" t="str">
        <f t="shared" si="33"/>
        <v/>
      </c>
      <c r="AG252" s="386" t="str">
        <f>IFERROR(IF(O252="","",VLOOKUP(AD252,'G-3 Multipliers'!$P$3:$Q$6,2,FALSE)),"")</f>
        <v/>
      </c>
      <c r="AH252" s="160"/>
      <c r="AI252" s="363" t="str">
        <f>IF(AH252="","",IF(VLOOKUP(AH252,'G-3 Multipliers'!$S$3:$T$10,2,FALSE)=0,"Spatial Data Missing ⚠",VLOOKUP(AH252,'G-3 Multipliers'!$S$3:$T$10,2,FALSE)))</f>
        <v/>
      </c>
      <c r="AJ252" s="405" t="str">
        <f t="shared" si="34"/>
        <v/>
      </c>
      <c r="AK252" s="376" t="str">
        <f t="shared" si="35"/>
        <v/>
      </c>
      <c r="AL252" s="117"/>
      <c r="AM252" s="118"/>
      <c r="AN252" s="120"/>
      <c r="AO252" s="120"/>
      <c r="AQ252" s="30" t="str">
        <f>IFERROR(INDEX('G-6 Hedgerow Data'!$BJ$3:$BJ$15,MATCH(M252,'G-6 Hedgerow Data'!$B$3:$B$15,0)),"")</f>
        <v/>
      </c>
    </row>
    <row r="253" spans="2:43" ht="15">
      <c r="B253" s="392" t="str">
        <f>'E-1 Off-Site Hedge Baseline'!AN251</f>
        <v/>
      </c>
      <c r="C253" s="382" t="str">
        <f>IF(B253="","",IF(ISNA(VLOOKUP($B253,'E-1 Off-Site Hedge Baseline'!$B$1:$L$257,3,FALSE)),"",(VLOOKUP($B253,'E-1 Off-Site Hedge Baseline'!$B$1:$L$257,3,FALSE))))</f>
        <v/>
      </c>
      <c r="D253" s="382" t="str">
        <f>IF(B253="","",IF(ISNA(VLOOKUP($B253,'E-1 Off-Site Hedge Baseline'!$B$1:$L$258,4,FALSE)),"",(VLOOKUP($B253,'E-1 Off-Site Hedge Baseline'!$B$1:$L$258,4,FALSE))))</f>
        <v/>
      </c>
      <c r="E253" s="382" t="str">
        <f>IF(B253="","",IF(ISNA(VLOOKUP($B253,'E-1 Off-Site Hedge Baseline'!$B$1:$L$257,5,FALSE)),"",(VLOOKUP($B253,'E-1 Off-Site Hedge Baseline'!$B$1:$L$257,5,FALSE))))</f>
        <v/>
      </c>
      <c r="F253" s="382" t="str">
        <f>IF(B253="","",IF(ISNA(VLOOKUP($B253,'E-1 Off-Site Hedge Baseline'!$B$1:$L$257,6,FALSE)),"",(VLOOKUP($B253,'E-1 Off-Site Hedge Baseline'!$B$1:$L$257,6,FALSE))))</f>
        <v/>
      </c>
      <c r="G253" s="382" t="str">
        <f>IF(B253="","",IF(ISNA(VLOOKUP($B253,'E-1 Off-Site Hedge Baseline'!$B$1:$L$257,7,FALSE)),"",(VLOOKUP($B253,'E-1 Off-Site Hedge Baseline'!$B$1:$L$257,7,FALSE))))</f>
        <v/>
      </c>
      <c r="H253" s="382" t="str">
        <f>IF(B253="","",IF(ISNA(VLOOKUP($B253,'E-1 Off-Site Hedge Baseline'!$B$1:$L$257,8,FALSE)),"",(VLOOKUP($B253,'E-1 Off-Site Hedge Baseline'!$B$1:$L$257,8,FALSE))))</f>
        <v/>
      </c>
      <c r="I253" s="382" t="str">
        <f>IF(B253="","",IF(ISNA(VLOOKUP($B253,'E-1 Off-Site Hedge Baseline'!$B$1:$L$257,10,FALSE)),"",(VLOOKUP($B253,'E-1 Off-Site Hedge Baseline'!$B$1:$L$257,10,FALSE))))</f>
        <v/>
      </c>
      <c r="J253" s="382" t="str">
        <f>IF(B253="","",IF(ISNA(VLOOKUP($B253,'E-1 Off-Site Hedge Baseline'!$B$1:$L$257,11,FALSE)),"",(VLOOKUP($B253,'E-1 Off-Site Hedge Baseline'!$B$1:$L$257,11,FALSE))))</f>
        <v/>
      </c>
      <c r="K253" s="382" t="str">
        <f>IF(B253="","",IF(ISNA(VLOOKUP($B253,'E-1 Off-Site Hedge Baseline'!$B$1:$X$257,113,FALSE)),"",(VLOOKUP($B253,'E-1 Off-Site Hedge Baseline'!$B$1:$X$257,13,FALSE))))</f>
        <v/>
      </c>
      <c r="L253" s="370" t="str">
        <f>IF(B253="","",IF(ISNA(VLOOKUP($B253,'E-1 Off-Site Hedge Baseline'!$B$1:$X$257,12,FALSE)),"",(VLOOKUP($B253,'E-1 Off-Site Hedge Baseline'!$B$1:$X$257,12,FALSE))))</f>
        <v/>
      </c>
      <c r="M253" s="316" t="str">
        <f t="shared" si="27"/>
        <v/>
      </c>
      <c r="N253" s="362" t="str">
        <f>IFERROR(IF(B253="","",INDEX('G-6 Hedgerow Data'!$AN$3:$AZ$15,MATCH(C253,'G-6 Hedgerow Data'!$AM$3:$AM$15,0),MATCH(M253,'G-6 Hedgerow Data'!$AN$2:$AZ$2,0))),"")</f>
        <v/>
      </c>
      <c r="O253" s="363" t="str">
        <f t="shared" si="29"/>
        <v/>
      </c>
      <c r="P253" s="368" t="str">
        <f>IF(B253="","",VLOOKUP(B253,'E-1 Off-Site Hedge Baseline'!$B$10:W498,19,FALSE))</f>
        <v/>
      </c>
      <c r="Q253" s="362" t="str">
        <f>IF(M253="","",VLOOKUP(M253,'G-6 Hedgerow Data'!$B$2:$AG$15,2,FALSE))</f>
        <v/>
      </c>
      <c r="R253" s="363" t="str">
        <f>IF(M253="","",VLOOKUP(M253,'G-6 Hedgerow Data'!$B$2:$AG$15,3,FALSE))</f>
        <v/>
      </c>
      <c r="S253" s="114"/>
      <c r="T253" s="363" t="str">
        <f>IFERROR(IF(AND(Q253="V.Low",OR(S253="Good",S253="Moderate")),"Error ▲",VLOOKUP(S253,'G-1 All Habitats'!$Z$2:$AA$9,2,FALSE)),"")</f>
        <v/>
      </c>
      <c r="U253" s="114"/>
      <c r="V253" s="370" t="str">
        <f>IF(U253="","",IF(VLOOKUP(U253,'G-3 Multipliers'!$L$3:$N$6,2,FALSE)=0,"Spatial Data Missing ⚠",VLOOKUP(U253,'G-3 Multipliers'!$L$3:$N$6,2,FALSE)))</f>
        <v/>
      </c>
      <c r="W253" s="368" t="str">
        <f>IF(U253="","",IF(VLOOKUP(U253,'G-3 Multipliers'!$L$3:$N$6,3,FALSE)=0,"Spatial Data Missing ⚠",VLOOKUP(U253,'G-3 Multipliers'!$L$3:$N$6,3,FALSE)))</f>
        <v/>
      </c>
      <c r="X253" s="362" t="str">
        <f>IFERROR(IF(OR(LEFT(O253,5)="Error",LEFT(N253,5)="Error",T253="Error"),"Check Data ⚠",IF(F253&lt;R253,INDEX('G-6 Hedgerow Data'!$S$3:$AE$14,MATCH(C253,'G-6 Hedgerow Data'!$B$3:$B$14,0),MATCH(M253,'G-6 Hedgerow Data'!$S$2:$AE$2,0)),INDEX('G-6 Hedgerow Data'!$K$3:$Q$14,MATCH(M253,'G-6 Hedgerow Data'!$B$3:$B$14,0),MATCH(O253,'G-6 Hedgerow Data'!$K$2:$Q$2,0)))),"")</f>
        <v/>
      </c>
      <c r="Y253" s="159"/>
      <c r="Z253" s="159"/>
      <c r="AA253" s="370" t="str">
        <f t="shared" si="30"/>
        <v/>
      </c>
      <c r="AB253" s="383" t="str">
        <f t="shared" si="31"/>
        <v/>
      </c>
      <c r="AC253" s="384" t="str">
        <f t="shared" si="28"/>
        <v/>
      </c>
      <c r="AD253" s="398" t="str">
        <f>IF(M253="","",VLOOKUP(M253,'G-6 Hedgerow Data'!$B$3:$AG$15,31,FALSE))</f>
        <v/>
      </c>
      <c r="AE253" s="382" t="str">
        <f t="shared" si="32"/>
        <v/>
      </c>
      <c r="AF253" s="382" t="str">
        <f t="shared" si="33"/>
        <v/>
      </c>
      <c r="AG253" s="386" t="str">
        <f>IFERROR(IF(O253="","",VLOOKUP(AD253,'G-3 Multipliers'!$P$3:$Q$6,2,FALSE)),"")</f>
        <v/>
      </c>
      <c r="AH253" s="160"/>
      <c r="AI253" s="363" t="str">
        <f>IF(AH253="","",IF(VLOOKUP(AH253,'G-3 Multipliers'!$S$3:$T$10,2,FALSE)=0,"Spatial Data Missing ⚠",VLOOKUP(AH253,'G-3 Multipliers'!$S$3:$T$10,2,FALSE)))</f>
        <v/>
      </c>
      <c r="AJ253" s="405" t="str">
        <f t="shared" si="34"/>
        <v/>
      </c>
      <c r="AK253" s="376" t="str">
        <f t="shared" si="35"/>
        <v/>
      </c>
      <c r="AL253" s="117"/>
      <c r="AM253" s="118"/>
      <c r="AN253" s="120"/>
      <c r="AO253" s="120"/>
      <c r="AQ253" s="30" t="str">
        <f>IFERROR(INDEX('G-6 Hedgerow Data'!$BJ$3:$BJ$15,MATCH(M253,'G-6 Hedgerow Data'!$B$3:$B$15,0)),"")</f>
        <v/>
      </c>
    </row>
    <row r="254" spans="2:43" ht="15">
      <c r="B254" s="392" t="str">
        <f>'E-1 Off-Site Hedge Baseline'!AN252</f>
        <v/>
      </c>
      <c r="C254" s="382" t="str">
        <f>IF(B254="","",IF(ISNA(VLOOKUP($B254,'E-1 Off-Site Hedge Baseline'!$B$1:$L$257,3,FALSE)),"",(VLOOKUP($B254,'E-1 Off-Site Hedge Baseline'!$B$1:$L$257,3,FALSE))))</f>
        <v/>
      </c>
      <c r="D254" s="382" t="str">
        <f>IF(B254="","",IF(ISNA(VLOOKUP($B254,'E-1 Off-Site Hedge Baseline'!$B$1:$L$258,4,FALSE)),"",(VLOOKUP($B254,'E-1 Off-Site Hedge Baseline'!$B$1:$L$258,4,FALSE))))</f>
        <v/>
      </c>
      <c r="E254" s="382" t="str">
        <f>IF(B254="","",IF(ISNA(VLOOKUP($B254,'E-1 Off-Site Hedge Baseline'!$B$1:$L$257,5,FALSE)),"",(VLOOKUP($B254,'E-1 Off-Site Hedge Baseline'!$B$1:$L$257,5,FALSE))))</f>
        <v/>
      </c>
      <c r="F254" s="382" t="str">
        <f>IF(B254="","",IF(ISNA(VLOOKUP($B254,'E-1 Off-Site Hedge Baseline'!$B$1:$L$257,6,FALSE)),"",(VLOOKUP($B254,'E-1 Off-Site Hedge Baseline'!$B$1:$L$257,6,FALSE))))</f>
        <v/>
      </c>
      <c r="G254" s="382" t="str">
        <f>IF(B254="","",IF(ISNA(VLOOKUP($B254,'E-1 Off-Site Hedge Baseline'!$B$1:$L$257,7,FALSE)),"",(VLOOKUP($B254,'E-1 Off-Site Hedge Baseline'!$B$1:$L$257,7,FALSE))))</f>
        <v/>
      </c>
      <c r="H254" s="382" t="str">
        <f>IF(B254="","",IF(ISNA(VLOOKUP($B254,'E-1 Off-Site Hedge Baseline'!$B$1:$L$257,8,FALSE)),"",(VLOOKUP($B254,'E-1 Off-Site Hedge Baseline'!$B$1:$L$257,8,FALSE))))</f>
        <v/>
      </c>
      <c r="I254" s="382" t="str">
        <f>IF(B254="","",IF(ISNA(VLOOKUP($B254,'E-1 Off-Site Hedge Baseline'!$B$1:$L$257,10,FALSE)),"",(VLOOKUP($B254,'E-1 Off-Site Hedge Baseline'!$B$1:$L$257,10,FALSE))))</f>
        <v/>
      </c>
      <c r="J254" s="382" t="str">
        <f>IF(B254="","",IF(ISNA(VLOOKUP($B254,'E-1 Off-Site Hedge Baseline'!$B$1:$L$257,11,FALSE)),"",(VLOOKUP($B254,'E-1 Off-Site Hedge Baseline'!$B$1:$L$257,11,FALSE))))</f>
        <v/>
      </c>
      <c r="K254" s="382" t="str">
        <f>IF(B254="","",IF(ISNA(VLOOKUP($B254,'E-1 Off-Site Hedge Baseline'!$B$1:$X$257,113,FALSE)),"",(VLOOKUP($B254,'E-1 Off-Site Hedge Baseline'!$B$1:$X$257,13,FALSE))))</f>
        <v/>
      </c>
      <c r="L254" s="370" t="str">
        <f>IF(B254="","",IF(ISNA(VLOOKUP($B254,'E-1 Off-Site Hedge Baseline'!$B$1:$X$257,12,FALSE)),"",(VLOOKUP($B254,'E-1 Off-Site Hedge Baseline'!$B$1:$X$257,12,FALSE))))</f>
        <v/>
      </c>
      <c r="M254" s="316" t="str">
        <f t="shared" si="27"/>
        <v/>
      </c>
      <c r="N254" s="362" t="str">
        <f>IFERROR(IF(B254="","",INDEX('G-6 Hedgerow Data'!$AN$3:$AZ$15,MATCH(C254,'G-6 Hedgerow Data'!$AM$3:$AM$15,0),MATCH(M254,'G-6 Hedgerow Data'!$AN$2:$AZ$2,0))),"")</f>
        <v/>
      </c>
      <c r="O254" s="363" t="str">
        <f t="shared" si="29"/>
        <v/>
      </c>
      <c r="P254" s="368" t="str">
        <f>IF(B254="","",VLOOKUP(B254,'E-1 Off-Site Hedge Baseline'!$B$10:W499,19,FALSE))</f>
        <v/>
      </c>
      <c r="Q254" s="362" t="str">
        <f>IF(M254="","",VLOOKUP(M254,'G-6 Hedgerow Data'!$B$2:$AG$15,2,FALSE))</f>
        <v/>
      </c>
      <c r="R254" s="363" t="str">
        <f>IF(M254="","",VLOOKUP(M254,'G-6 Hedgerow Data'!$B$2:$AG$15,3,FALSE))</f>
        <v/>
      </c>
      <c r="S254" s="114"/>
      <c r="T254" s="363" t="str">
        <f>IFERROR(IF(AND(Q254="V.Low",OR(S254="Good",S254="Moderate")),"Error ▲",VLOOKUP(S254,'G-1 All Habitats'!$Z$2:$AA$9,2,FALSE)),"")</f>
        <v/>
      </c>
      <c r="U254" s="114"/>
      <c r="V254" s="370" t="str">
        <f>IF(U254="","",IF(VLOOKUP(U254,'G-3 Multipliers'!$L$3:$N$6,2,FALSE)=0,"Spatial Data Missing ⚠",VLOOKUP(U254,'G-3 Multipliers'!$L$3:$N$6,2,FALSE)))</f>
        <v/>
      </c>
      <c r="W254" s="368" t="str">
        <f>IF(U254="","",IF(VLOOKUP(U254,'G-3 Multipliers'!$L$3:$N$6,3,FALSE)=0,"Spatial Data Missing ⚠",VLOOKUP(U254,'G-3 Multipliers'!$L$3:$N$6,3,FALSE)))</f>
        <v/>
      </c>
      <c r="X254" s="362" t="str">
        <f>IFERROR(IF(OR(LEFT(O254,5)="Error",LEFT(N254,5)="Error",T254="Error"),"Check Data ⚠",IF(F254&lt;R254,INDEX('G-6 Hedgerow Data'!$S$3:$AE$14,MATCH(C254,'G-6 Hedgerow Data'!$B$3:$B$14,0),MATCH(M254,'G-6 Hedgerow Data'!$S$2:$AE$2,0)),INDEX('G-6 Hedgerow Data'!$K$3:$Q$14,MATCH(M254,'G-6 Hedgerow Data'!$B$3:$B$14,0),MATCH(O254,'G-6 Hedgerow Data'!$K$2:$Q$2,0)))),"")</f>
        <v/>
      </c>
      <c r="Y254" s="159"/>
      <c r="Z254" s="159"/>
      <c r="AA254" s="370" t="str">
        <f t="shared" si="30"/>
        <v/>
      </c>
      <c r="AB254" s="383" t="str">
        <f t="shared" si="31"/>
        <v/>
      </c>
      <c r="AC254" s="384" t="str">
        <f t="shared" si="28"/>
        <v/>
      </c>
      <c r="AD254" s="398" t="str">
        <f>IF(M254="","",VLOOKUP(M254,'G-6 Hedgerow Data'!$B$3:$AG$15,31,FALSE))</f>
        <v/>
      </c>
      <c r="AE254" s="382" t="str">
        <f t="shared" si="32"/>
        <v/>
      </c>
      <c r="AF254" s="382" t="str">
        <f t="shared" si="33"/>
        <v/>
      </c>
      <c r="AG254" s="386" t="str">
        <f>IFERROR(IF(O254="","",VLOOKUP(AD254,'G-3 Multipliers'!$P$3:$Q$6,2,FALSE)),"")</f>
        <v/>
      </c>
      <c r="AH254" s="160"/>
      <c r="AI254" s="363" t="str">
        <f>IF(AH254="","",IF(VLOOKUP(AH254,'G-3 Multipliers'!$S$3:$T$10,2,FALSE)=0,"Spatial Data Missing ⚠",VLOOKUP(AH254,'G-3 Multipliers'!$S$3:$T$10,2,FALSE)))</f>
        <v/>
      </c>
      <c r="AJ254" s="405" t="str">
        <f t="shared" si="34"/>
        <v/>
      </c>
      <c r="AK254" s="376" t="str">
        <f t="shared" si="35"/>
        <v/>
      </c>
      <c r="AL254" s="117"/>
      <c r="AM254" s="118"/>
      <c r="AN254" s="120"/>
      <c r="AO254" s="120"/>
      <c r="AQ254" s="30" t="str">
        <f>IFERROR(INDEX('G-6 Hedgerow Data'!$BJ$3:$BJ$15,MATCH(M254,'G-6 Hedgerow Data'!$B$3:$B$15,0)),"")</f>
        <v/>
      </c>
    </row>
    <row r="255" spans="2:43" ht="15">
      <c r="B255" s="392" t="str">
        <f>'E-1 Off-Site Hedge Baseline'!AN253</f>
        <v/>
      </c>
      <c r="C255" s="382" t="str">
        <f>IF(B255="","",IF(ISNA(VLOOKUP($B255,'E-1 Off-Site Hedge Baseline'!$B$1:$L$257,3,FALSE)),"",(VLOOKUP($B255,'E-1 Off-Site Hedge Baseline'!$B$1:$L$257,3,FALSE))))</f>
        <v/>
      </c>
      <c r="D255" s="382" t="str">
        <f>IF(B255="","",IF(ISNA(VLOOKUP($B255,'E-1 Off-Site Hedge Baseline'!$B$1:$L$258,4,FALSE)),"",(VLOOKUP($B255,'E-1 Off-Site Hedge Baseline'!$B$1:$L$258,4,FALSE))))</f>
        <v/>
      </c>
      <c r="E255" s="382" t="str">
        <f>IF(B255="","",IF(ISNA(VLOOKUP($B255,'E-1 Off-Site Hedge Baseline'!$B$1:$L$257,5,FALSE)),"",(VLOOKUP($B255,'E-1 Off-Site Hedge Baseline'!$B$1:$L$257,5,FALSE))))</f>
        <v/>
      </c>
      <c r="F255" s="382" t="str">
        <f>IF(B255="","",IF(ISNA(VLOOKUP($B255,'E-1 Off-Site Hedge Baseline'!$B$1:$L$257,6,FALSE)),"",(VLOOKUP($B255,'E-1 Off-Site Hedge Baseline'!$B$1:$L$257,6,FALSE))))</f>
        <v/>
      </c>
      <c r="G255" s="382" t="str">
        <f>IF(B255="","",IF(ISNA(VLOOKUP($B255,'E-1 Off-Site Hedge Baseline'!$B$1:$L$257,7,FALSE)),"",(VLOOKUP($B255,'E-1 Off-Site Hedge Baseline'!$B$1:$L$257,7,FALSE))))</f>
        <v/>
      </c>
      <c r="H255" s="382" t="str">
        <f>IF(B255="","",IF(ISNA(VLOOKUP($B255,'E-1 Off-Site Hedge Baseline'!$B$1:$L$257,8,FALSE)),"",(VLOOKUP($B255,'E-1 Off-Site Hedge Baseline'!$B$1:$L$257,8,FALSE))))</f>
        <v/>
      </c>
      <c r="I255" s="382" t="str">
        <f>IF(B255="","",IF(ISNA(VLOOKUP($B255,'E-1 Off-Site Hedge Baseline'!$B$1:$L$257,10,FALSE)),"",(VLOOKUP($B255,'E-1 Off-Site Hedge Baseline'!$B$1:$L$257,10,FALSE))))</f>
        <v/>
      </c>
      <c r="J255" s="382" t="str">
        <f>IF(B255="","",IF(ISNA(VLOOKUP($B255,'E-1 Off-Site Hedge Baseline'!$B$1:$L$257,11,FALSE)),"",(VLOOKUP($B255,'E-1 Off-Site Hedge Baseline'!$B$1:$L$257,11,FALSE))))</f>
        <v/>
      </c>
      <c r="K255" s="382" t="str">
        <f>IF(B255="","",IF(ISNA(VLOOKUP($B255,'E-1 Off-Site Hedge Baseline'!$B$1:$X$257,113,FALSE)),"",(VLOOKUP($B255,'E-1 Off-Site Hedge Baseline'!$B$1:$X$257,13,FALSE))))</f>
        <v/>
      </c>
      <c r="L255" s="370" t="str">
        <f>IF(B255="","",IF(ISNA(VLOOKUP($B255,'E-1 Off-Site Hedge Baseline'!$B$1:$X$257,12,FALSE)),"",(VLOOKUP($B255,'E-1 Off-Site Hedge Baseline'!$B$1:$X$257,12,FALSE))))</f>
        <v/>
      </c>
      <c r="M255" s="316" t="str">
        <f t="shared" si="27"/>
        <v/>
      </c>
      <c r="N255" s="362" t="str">
        <f>IFERROR(IF(B255="","",INDEX('G-6 Hedgerow Data'!$AN$3:$AZ$15,MATCH(C255,'G-6 Hedgerow Data'!$AM$3:$AM$15,0),MATCH(M255,'G-6 Hedgerow Data'!$AN$2:$AZ$2,0))),"")</f>
        <v/>
      </c>
      <c r="O255" s="363" t="str">
        <f t="shared" si="29"/>
        <v/>
      </c>
      <c r="P255" s="368" t="str">
        <f>IF(B255="","",VLOOKUP(B255,'E-1 Off-Site Hedge Baseline'!$B$10:W500,19,FALSE))</f>
        <v/>
      </c>
      <c r="Q255" s="362" t="str">
        <f>IF(M255="","",VLOOKUP(M255,'G-6 Hedgerow Data'!$B$2:$AG$15,2,FALSE))</f>
        <v/>
      </c>
      <c r="R255" s="363" t="str">
        <f>IF(M255="","",VLOOKUP(M255,'G-6 Hedgerow Data'!$B$2:$AG$15,3,FALSE))</f>
        <v/>
      </c>
      <c r="S255" s="114"/>
      <c r="T255" s="363" t="str">
        <f>IFERROR(IF(AND(Q255="V.Low",OR(S255="Good",S255="Moderate")),"Error ▲",VLOOKUP(S255,'G-1 All Habitats'!$Z$2:$AA$9,2,FALSE)),"")</f>
        <v/>
      </c>
      <c r="U255" s="114"/>
      <c r="V255" s="370" t="str">
        <f>IF(U255="","",IF(VLOOKUP(U255,'G-3 Multipliers'!$L$3:$N$6,2,FALSE)=0,"Spatial Data Missing ⚠",VLOOKUP(U255,'G-3 Multipliers'!$L$3:$N$6,2,FALSE)))</f>
        <v/>
      </c>
      <c r="W255" s="368" t="str">
        <f>IF(U255="","",IF(VLOOKUP(U255,'G-3 Multipliers'!$L$3:$N$6,3,FALSE)=0,"Spatial Data Missing ⚠",VLOOKUP(U255,'G-3 Multipliers'!$L$3:$N$6,3,FALSE)))</f>
        <v/>
      </c>
      <c r="X255" s="362" t="str">
        <f>IFERROR(IF(OR(LEFT(O255,5)="Error",LEFT(N255,5)="Error",T255="Error"),"Check Data ⚠",IF(F255&lt;R255,INDEX('G-6 Hedgerow Data'!$S$3:$AE$14,MATCH(C255,'G-6 Hedgerow Data'!$B$3:$B$14,0),MATCH(M255,'G-6 Hedgerow Data'!$S$2:$AE$2,0)),INDEX('G-6 Hedgerow Data'!$K$3:$Q$14,MATCH(M255,'G-6 Hedgerow Data'!$B$3:$B$14,0),MATCH(O255,'G-6 Hedgerow Data'!$K$2:$Q$2,0)))),"")</f>
        <v/>
      </c>
      <c r="Y255" s="159"/>
      <c r="Z255" s="159"/>
      <c r="AA255" s="370" t="str">
        <f t="shared" si="30"/>
        <v/>
      </c>
      <c r="AB255" s="383" t="str">
        <f t="shared" si="31"/>
        <v/>
      </c>
      <c r="AC255" s="384" t="str">
        <f t="shared" si="28"/>
        <v/>
      </c>
      <c r="AD255" s="398" t="str">
        <f>IF(M255="","",VLOOKUP(M255,'G-6 Hedgerow Data'!$B$3:$AG$15,31,FALSE))</f>
        <v/>
      </c>
      <c r="AE255" s="382" t="str">
        <f t="shared" si="32"/>
        <v/>
      </c>
      <c r="AF255" s="382" t="str">
        <f t="shared" si="33"/>
        <v/>
      </c>
      <c r="AG255" s="386" t="str">
        <f>IFERROR(IF(O255="","",VLOOKUP(AD255,'G-3 Multipliers'!$P$3:$Q$6,2,FALSE)),"")</f>
        <v/>
      </c>
      <c r="AH255" s="160"/>
      <c r="AI255" s="363" t="str">
        <f>IF(AH255="","",IF(VLOOKUP(AH255,'G-3 Multipliers'!$S$3:$T$10,2,FALSE)=0,"Spatial Data Missing ⚠",VLOOKUP(AH255,'G-3 Multipliers'!$S$3:$T$10,2,FALSE)))</f>
        <v/>
      </c>
      <c r="AJ255" s="405" t="str">
        <f t="shared" si="34"/>
        <v/>
      </c>
      <c r="AK255" s="376" t="str">
        <f t="shared" si="35"/>
        <v/>
      </c>
      <c r="AL255" s="117"/>
      <c r="AM255" s="118"/>
      <c r="AN255" s="120"/>
      <c r="AO255" s="120"/>
      <c r="AQ255" s="30" t="str">
        <f>IFERROR(INDEX('G-6 Hedgerow Data'!$BJ$3:$BJ$15,MATCH(M255,'G-6 Hedgerow Data'!$B$3:$B$15,0)),"")</f>
        <v/>
      </c>
    </row>
    <row r="256" spans="2:43" ht="15">
      <c r="B256" s="392" t="str">
        <f>'E-1 Off-Site Hedge Baseline'!AN254</f>
        <v/>
      </c>
      <c r="C256" s="382" t="str">
        <f>IF(B256="","",IF(ISNA(VLOOKUP($B256,'E-1 Off-Site Hedge Baseline'!$B$1:$L$257,3,FALSE)),"",(VLOOKUP($B256,'E-1 Off-Site Hedge Baseline'!$B$1:$L$257,3,FALSE))))</f>
        <v/>
      </c>
      <c r="D256" s="382" t="str">
        <f>IF(B256="","",IF(ISNA(VLOOKUP($B256,'E-1 Off-Site Hedge Baseline'!$B$1:$L$258,4,FALSE)),"",(VLOOKUP($B256,'E-1 Off-Site Hedge Baseline'!$B$1:$L$258,4,FALSE))))</f>
        <v/>
      </c>
      <c r="E256" s="382" t="str">
        <f>IF(B256="","",IF(ISNA(VLOOKUP($B256,'E-1 Off-Site Hedge Baseline'!$B$1:$L$257,5,FALSE)),"",(VLOOKUP($B256,'E-1 Off-Site Hedge Baseline'!$B$1:$L$257,5,FALSE))))</f>
        <v/>
      </c>
      <c r="F256" s="382" t="str">
        <f>IF(B256="","",IF(ISNA(VLOOKUP($B256,'E-1 Off-Site Hedge Baseline'!$B$1:$L$257,6,FALSE)),"",(VLOOKUP($B256,'E-1 Off-Site Hedge Baseline'!$B$1:$L$257,6,FALSE))))</f>
        <v/>
      </c>
      <c r="G256" s="382" t="str">
        <f>IF(B256="","",IF(ISNA(VLOOKUP($B256,'E-1 Off-Site Hedge Baseline'!$B$1:$L$257,7,FALSE)),"",(VLOOKUP($B256,'E-1 Off-Site Hedge Baseline'!$B$1:$L$257,7,FALSE))))</f>
        <v/>
      </c>
      <c r="H256" s="382" t="str">
        <f>IF(B256="","",IF(ISNA(VLOOKUP($B256,'E-1 Off-Site Hedge Baseline'!$B$1:$L$257,8,FALSE)),"",(VLOOKUP($B256,'E-1 Off-Site Hedge Baseline'!$B$1:$L$257,8,FALSE))))</f>
        <v/>
      </c>
      <c r="I256" s="382" t="str">
        <f>IF(B256="","",IF(ISNA(VLOOKUP($B256,'E-1 Off-Site Hedge Baseline'!$B$1:$L$257,10,FALSE)),"",(VLOOKUP($B256,'E-1 Off-Site Hedge Baseline'!$B$1:$L$257,10,FALSE))))</f>
        <v/>
      </c>
      <c r="J256" s="382" t="str">
        <f>IF(B256="","",IF(ISNA(VLOOKUP($B256,'E-1 Off-Site Hedge Baseline'!$B$1:$L$257,11,FALSE)),"",(VLOOKUP($B256,'E-1 Off-Site Hedge Baseline'!$B$1:$L$257,11,FALSE))))</f>
        <v/>
      </c>
      <c r="K256" s="382" t="str">
        <f>IF(B256="","",IF(ISNA(VLOOKUP($B256,'E-1 Off-Site Hedge Baseline'!$B$1:$X$257,113,FALSE)),"",(VLOOKUP($B256,'E-1 Off-Site Hedge Baseline'!$B$1:$X$257,13,FALSE))))</f>
        <v/>
      </c>
      <c r="L256" s="370" t="str">
        <f>IF(B256="","",IF(ISNA(VLOOKUP($B256,'E-1 Off-Site Hedge Baseline'!$B$1:$X$257,12,FALSE)),"",(VLOOKUP($B256,'E-1 Off-Site Hedge Baseline'!$B$1:$X$257,12,FALSE))))</f>
        <v/>
      </c>
      <c r="M256" s="316" t="str">
        <f t="shared" si="27"/>
        <v/>
      </c>
      <c r="N256" s="362" t="str">
        <f>IFERROR(IF(B256="","",INDEX('G-6 Hedgerow Data'!$AN$3:$AZ$15,MATCH(C256,'G-6 Hedgerow Data'!$AM$3:$AM$15,0),MATCH(M256,'G-6 Hedgerow Data'!$AN$2:$AZ$2,0))),"")</f>
        <v/>
      </c>
      <c r="O256" s="363" t="str">
        <f t="shared" si="29"/>
        <v/>
      </c>
      <c r="P256" s="368" t="str">
        <f>IF(B256="","",VLOOKUP(B256,'E-1 Off-Site Hedge Baseline'!$B$10:W501,19,FALSE))</f>
        <v/>
      </c>
      <c r="Q256" s="362" t="str">
        <f>IF(M256="","",VLOOKUP(M256,'G-6 Hedgerow Data'!$B$2:$AG$15,2,FALSE))</f>
        <v/>
      </c>
      <c r="R256" s="363" t="str">
        <f>IF(M256="","",VLOOKUP(M256,'G-6 Hedgerow Data'!$B$2:$AG$15,3,FALSE))</f>
        <v/>
      </c>
      <c r="S256" s="114"/>
      <c r="T256" s="363" t="str">
        <f>IFERROR(IF(AND(Q256="V.Low",OR(S256="Good",S256="Moderate")),"Error ▲",VLOOKUP(S256,'G-1 All Habitats'!$Z$2:$AA$9,2,FALSE)),"")</f>
        <v/>
      </c>
      <c r="U256" s="114"/>
      <c r="V256" s="370" t="str">
        <f>IF(U256="","",IF(VLOOKUP(U256,'G-3 Multipliers'!$L$3:$N$6,2,FALSE)=0,"Spatial Data Missing ⚠",VLOOKUP(U256,'G-3 Multipliers'!$L$3:$N$6,2,FALSE)))</f>
        <v/>
      </c>
      <c r="W256" s="368" t="str">
        <f>IF(U256="","",IF(VLOOKUP(U256,'G-3 Multipliers'!$L$3:$N$6,3,FALSE)=0,"Spatial Data Missing ⚠",VLOOKUP(U256,'G-3 Multipliers'!$L$3:$N$6,3,FALSE)))</f>
        <v/>
      </c>
      <c r="X256" s="362" t="str">
        <f>IFERROR(IF(OR(LEFT(O256,5)="Error",LEFT(N256,5)="Error",T256="Error"),"Check Data ⚠",IF(F256&lt;R256,INDEX('G-6 Hedgerow Data'!$S$3:$AE$14,MATCH(C256,'G-6 Hedgerow Data'!$B$3:$B$14,0),MATCH(M256,'G-6 Hedgerow Data'!$S$2:$AE$2,0)),INDEX('G-6 Hedgerow Data'!$K$3:$Q$14,MATCH(M256,'G-6 Hedgerow Data'!$B$3:$B$14,0),MATCH(O256,'G-6 Hedgerow Data'!$K$2:$Q$2,0)))),"")</f>
        <v/>
      </c>
      <c r="Y256" s="159"/>
      <c r="Z256" s="159"/>
      <c r="AA256" s="370" t="str">
        <f t="shared" si="30"/>
        <v/>
      </c>
      <c r="AB256" s="383" t="str">
        <f t="shared" si="31"/>
        <v/>
      </c>
      <c r="AC256" s="384" t="str">
        <f t="shared" si="28"/>
        <v/>
      </c>
      <c r="AD256" s="398" t="str">
        <f>IF(M256="","",VLOOKUP(M256,'G-6 Hedgerow Data'!$B$3:$AG$15,31,FALSE))</f>
        <v/>
      </c>
      <c r="AE256" s="382" t="str">
        <f t="shared" si="32"/>
        <v/>
      </c>
      <c r="AF256" s="382" t="str">
        <f t="shared" si="33"/>
        <v/>
      </c>
      <c r="AG256" s="386" t="str">
        <f>IFERROR(IF(O256="","",VLOOKUP(AD256,'G-3 Multipliers'!$P$3:$Q$6,2,FALSE)),"")</f>
        <v/>
      </c>
      <c r="AH256" s="160"/>
      <c r="AI256" s="363" t="str">
        <f>IF(AH256="","",IF(VLOOKUP(AH256,'G-3 Multipliers'!$S$3:$T$10,2,FALSE)=0,"Spatial Data Missing ⚠",VLOOKUP(AH256,'G-3 Multipliers'!$S$3:$T$10,2,FALSE)))</f>
        <v/>
      </c>
      <c r="AJ256" s="405" t="str">
        <f t="shared" si="34"/>
        <v/>
      </c>
      <c r="AK256" s="376" t="str">
        <f t="shared" si="35"/>
        <v/>
      </c>
      <c r="AL256" s="117"/>
      <c r="AM256" s="118"/>
      <c r="AN256" s="120"/>
      <c r="AO256" s="120"/>
      <c r="AQ256" s="30" t="str">
        <f>IFERROR(INDEX('G-6 Hedgerow Data'!$BJ$3:$BJ$15,MATCH(M256,'G-6 Hedgerow Data'!$B$3:$B$15,0)),"")</f>
        <v/>
      </c>
    </row>
    <row r="257" spans="2:43" ht="15.75" thickBot="1">
      <c r="B257" s="416" t="str">
        <f>'E-1 Off-Site Hedge Baseline'!AN255</f>
        <v/>
      </c>
      <c r="C257" s="371" t="str">
        <f>IF(B257="","",IF(ISNA(VLOOKUP($B257,'E-1 Off-Site Hedge Baseline'!$B$1:$L$257,3,FALSE)),"",(VLOOKUP($B257,'E-1 Off-Site Hedge Baseline'!$B$1:$L$257,3,FALSE))))</f>
        <v/>
      </c>
      <c r="D257" s="371" t="str">
        <f>IF(B257="","",IF(ISNA(VLOOKUP($B257,'E-1 Off-Site Hedge Baseline'!$B$1:$L$258,4,FALSE)),"",(VLOOKUP($B257,'E-1 Off-Site Hedge Baseline'!$B$1:$L$258,4,FALSE))))</f>
        <v/>
      </c>
      <c r="E257" s="371" t="str">
        <f>IF(B257="","",IF(ISNA(VLOOKUP($B257,'E-1 Off-Site Hedge Baseline'!$B$1:$L$257,5,FALSE)),"",(VLOOKUP($B257,'E-1 Off-Site Hedge Baseline'!$B$1:$L$257,5,FALSE))))</f>
        <v/>
      </c>
      <c r="F257" s="371" t="str">
        <f>IF(B257="","",IF(ISNA(VLOOKUP($B257,'E-1 Off-Site Hedge Baseline'!$B$1:$L$257,6,FALSE)),"",(VLOOKUP($B257,'E-1 Off-Site Hedge Baseline'!$B$1:$L$257,6,FALSE))))</f>
        <v/>
      </c>
      <c r="G257" s="371" t="str">
        <f>IF(B257="","",IF(ISNA(VLOOKUP($B257,'E-1 Off-Site Hedge Baseline'!$B$1:$L$257,7,FALSE)),"",(VLOOKUP($B257,'E-1 Off-Site Hedge Baseline'!$B$1:$L$257,7,FALSE))))</f>
        <v/>
      </c>
      <c r="H257" s="371" t="str">
        <f>IF(B257="","",IF(ISNA(VLOOKUP($B257,'E-1 Off-Site Hedge Baseline'!$B$1:$L$257,8,FALSE)),"",(VLOOKUP($B257,'E-1 Off-Site Hedge Baseline'!$B$1:$L$257,8,FALSE))))</f>
        <v/>
      </c>
      <c r="I257" s="371" t="str">
        <f>IF(B257="","",IF(ISNA(VLOOKUP($B257,'E-1 Off-Site Hedge Baseline'!$B$1:$L$257,10,FALSE)),"",(VLOOKUP($B257,'E-1 Off-Site Hedge Baseline'!$B$1:$L$257,10,FALSE))))</f>
        <v/>
      </c>
      <c r="J257" s="371" t="str">
        <f>IF(B257="","",IF(ISNA(VLOOKUP($B257,'E-1 Off-Site Hedge Baseline'!$B$1:$L$257,11,FALSE)),"",(VLOOKUP($B257,'E-1 Off-Site Hedge Baseline'!$B$1:$L$257,11,FALSE))))</f>
        <v/>
      </c>
      <c r="K257" s="371" t="str">
        <f>IF(B257="","",IF(ISNA(VLOOKUP($B257,'E-1 Off-Site Hedge Baseline'!$B$1:$X$257,113,FALSE)),"",(VLOOKUP($B257,'E-1 Off-Site Hedge Baseline'!$B$1:$X$257,13,FALSE))))</f>
        <v/>
      </c>
      <c r="L257" s="371" t="str">
        <f>IF(B257="","",IF(ISNA(VLOOKUP($B257,'E-1 Off-Site Hedge Baseline'!$B$1:$X$257,12,FALSE)),"",(VLOOKUP($B257,'E-1 Off-Site Hedge Baseline'!$B$1:$X$257,12,FALSE))))</f>
        <v/>
      </c>
      <c r="M257" s="316" t="str">
        <f t="shared" si="27"/>
        <v/>
      </c>
      <c r="N257" s="364" t="str">
        <f>IFERROR(IF(B257="","",INDEX('G-6 Hedgerow Data'!$AN$3:$AZ$15,MATCH(C257,'G-6 Hedgerow Data'!$AM$3:$AM$15,0),MATCH(M257,'G-6 Hedgerow Data'!$AN$2:$AZ$2,0))),"")</f>
        <v/>
      </c>
      <c r="O257" s="363" t="str">
        <f t="shared" si="29"/>
        <v/>
      </c>
      <c r="P257" s="368" t="str">
        <f>IF(B257="","",VLOOKUP(B257,'E-1 Off-Site Hedge Baseline'!$B$10:W502,19,FALSE))</f>
        <v/>
      </c>
      <c r="Q257" s="364" t="str">
        <f>IF(M257="","",VLOOKUP(M257,'G-6 Hedgerow Data'!$B$2:$AG$15,2,FALSE))</f>
        <v/>
      </c>
      <c r="R257" s="363" t="str">
        <f>IF(M257="","",VLOOKUP(M257,'G-6 Hedgerow Data'!$B$2:$AG$15,3,FALSE))</f>
        <v/>
      </c>
      <c r="S257" s="129"/>
      <c r="T257" s="363" t="str">
        <f>IFERROR(IF(AND(Q257="V.Low",OR(S257="Good",S257="Moderate")),"Error ▲",VLOOKUP(S257,'G-1 All Habitats'!$Z$2:$AA$9,2,FALSE)),"")</f>
        <v/>
      </c>
      <c r="U257" s="129"/>
      <c r="V257" s="370" t="str">
        <f>IF(U257="","",IF(VLOOKUP(U257,'G-3 Multipliers'!$L$3:$N$6,2,FALSE)=0,"Spatial Data Missing ⚠",VLOOKUP(U257,'G-3 Multipliers'!$L$3:$N$6,2,FALSE)))</f>
        <v/>
      </c>
      <c r="W257" s="368" t="str">
        <f>IF(U257="","",IF(VLOOKUP(U257,'G-3 Multipliers'!$L$3:$N$6,3,FALSE)=0,"Spatial Data Missing ⚠",VLOOKUP(U257,'G-3 Multipliers'!$L$3:$N$6,3,FALSE)))</f>
        <v/>
      </c>
      <c r="X257" s="362" t="str">
        <f>IFERROR(IF(OR(LEFT(O257,5)="Error",LEFT(N257,5)="Error",T257="Error"),"Check Data ⚠",IF(F257&lt;R257,INDEX('G-6 Hedgerow Data'!$S$3:$AE$14,MATCH(C257,'G-6 Hedgerow Data'!$B$3:$B$14,0),MATCH(M257,'G-6 Hedgerow Data'!$S$2:$AE$2,0)),INDEX('G-6 Hedgerow Data'!$K$3:$Q$14,MATCH(M257,'G-6 Hedgerow Data'!$B$3:$B$14,0),MATCH(O257,'G-6 Hedgerow Data'!$K$2:$Q$2,0)))),"")</f>
        <v/>
      </c>
      <c r="Y257" s="168"/>
      <c r="Z257" s="168"/>
      <c r="AA257" s="370" t="str">
        <f t="shared" si="30"/>
        <v/>
      </c>
      <c r="AB257" s="383" t="str">
        <f t="shared" si="31"/>
        <v/>
      </c>
      <c r="AC257" s="384" t="str">
        <f t="shared" si="28"/>
        <v/>
      </c>
      <c r="AD257" s="364" t="str">
        <f>IF(M257="","",VLOOKUP(M257,'G-6 Hedgerow Data'!$B$3:$AG$15,31,FALSE))</f>
        <v/>
      </c>
      <c r="AE257" s="382" t="str">
        <f t="shared" si="32"/>
        <v/>
      </c>
      <c r="AF257" s="382" t="str">
        <f t="shared" si="33"/>
        <v/>
      </c>
      <c r="AG257" s="365" t="str">
        <f>IFERROR(IF(O257="","",VLOOKUP(AD257,'G-3 Multipliers'!$P$3:$Q$6,2,FALSE)),"")</f>
        <v/>
      </c>
      <c r="AH257" s="160"/>
      <c r="AI257" s="363" t="str">
        <f>IF(AH257="","",IF(VLOOKUP(AH257,'G-3 Multipliers'!$S$3:$T$10,2,FALSE)=0,"Spatial Data Missing ⚠",VLOOKUP(AH257,'G-3 Multipliers'!$S$3:$T$10,2,FALSE)))</f>
        <v/>
      </c>
      <c r="AJ257" s="406" t="str">
        <f t="shared" si="34"/>
        <v/>
      </c>
      <c r="AK257" s="376" t="str">
        <f t="shared" si="35"/>
        <v/>
      </c>
      <c r="AL257" s="130"/>
      <c r="AM257" s="131"/>
      <c r="AN257" s="683"/>
      <c r="AO257" s="131"/>
      <c r="AQ257" s="30" t="str">
        <f>IFERROR(INDEX('G-6 Hedgerow Data'!$BJ$3:$BJ$15,MATCH(M257,'G-6 Hedgerow Data'!$B$3:$B$15,0)),"")</f>
        <v/>
      </c>
    </row>
    <row r="258" spans="2:43" ht="15.75" thickBot="1">
      <c r="B258" s="34"/>
      <c r="C258" s="34"/>
      <c r="D258" s="34"/>
      <c r="E258" s="34"/>
      <c r="F258" s="34"/>
      <c r="G258" s="34"/>
      <c r="H258" s="34"/>
      <c r="I258" s="34"/>
      <c r="J258" s="34"/>
      <c r="K258" s="34"/>
      <c r="L258" s="34"/>
      <c r="M258" s="34"/>
      <c r="N258" s="34"/>
      <c r="O258" s="223"/>
      <c r="P258" s="366">
        <f>SUM(P12:P257)</f>
        <v>0</v>
      </c>
      <c r="Q258" s="34"/>
      <c r="R258" s="34"/>
      <c r="S258" s="34"/>
      <c r="T258" s="34"/>
      <c r="U258" s="34"/>
      <c r="V258" s="34"/>
      <c r="W258" s="34"/>
      <c r="X258" s="34"/>
      <c r="Y258" s="34"/>
      <c r="Z258" s="34"/>
      <c r="AA258" s="34"/>
      <c r="AB258" s="34"/>
      <c r="AC258" s="34"/>
      <c r="AD258" s="34"/>
      <c r="AE258" s="34"/>
      <c r="AF258" s="34"/>
      <c r="AG258" s="34"/>
      <c r="AH258" s="321"/>
      <c r="AI258" s="321"/>
      <c r="AJ258" s="366">
        <f>SUM(AJ12:AJ257)</f>
        <v>0</v>
      </c>
      <c r="AK258" s="366">
        <f>SUM(AK12:AK257)</f>
        <v>0</v>
      </c>
      <c r="AL258" s="34"/>
      <c r="AM258" s="34"/>
    </row>
    <row r="259" spans="2:43" ht="15"/>
    <row r="260" spans="2:43" ht="15"/>
    <row r="261" spans="2:43" ht="15"/>
    <row r="262" spans="2:43" ht="15"/>
    <row r="263" spans="2:43" ht="15"/>
    <row r="264" spans="2:43" ht="15"/>
    <row r="265" spans="2:43" ht="15"/>
    <row r="266" spans="2:43" ht="15"/>
    <row r="267" spans="2:43" ht="15" hidden="1" customHeight="1"/>
    <row r="268" spans="2:43" ht="15" hidden="1" customHeight="1"/>
    <row r="269" spans="2:43" ht="15" hidden="1" customHeight="1"/>
    <row r="270" spans="2:43" ht="15" hidden="1" customHeight="1"/>
    <row r="271" spans="2:43" ht="15" hidden="1" customHeight="1"/>
    <row r="272" spans="2:43" ht="15" hidden="1" customHeight="1"/>
    <row r="273" ht="15" hidden="1" customHeight="1"/>
    <row r="274" ht="15" hidden="1" customHeight="1"/>
    <row r="275" ht="15" hidden="1" customHeight="1"/>
    <row r="276" ht="15" hidden="1" customHeight="1"/>
    <row r="277" ht="15" hidden="1" customHeight="1"/>
    <row r="278" ht="15" hidden="1" customHeight="1"/>
    <row r="279" ht="15" hidden="1" customHeight="1"/>
    <row r="280" ht="15" hidden="1" customHeight="1"/>
    <row r="281" ht="15" hidden="1" customHeight="1"/>
    <row r="282" ht="15" hidden="1" customHeight="1"/>
    <row r="283" ht="15" hidden="1" customHeight="1"/>
    <row r="284" ht="15" hidden="1" customHeight="1"/>
    <row r="285" ht="15" hidden="1" customHeight="1"/>
    <row r="286" ht="15" hidden="1" customHeight="1"/>
    <row r="287" ht="15" hidden="1" customHeight="1"/>
    <row r="288" ht="15" hidden="1" customHeight="1"/>
    <row r="289" ht="15" hidden="1" customHeight="1"/>
    <row r="290" ht="15" hidden="1" customHeight="1"/>
    <row r="291" ht="15" hidden="1" customHeight="1"/>
    <row r="292" ht="15" hidden="1" customHeight="1"/>
    <row r="293" ht="15" hidden="1" customHeight="1"/>
    <row r="294" ht="15" hidden="1" customHeight="1"/>
    <row r="295" ht="15" hidden="1" customHeight="1"/>
    <row r="296" ht="15" hidden="1" customHeight="1"/>
    <row r="297" ht="15" hidden="1" customHeight="1"/>
    <row r="298" ht="15" hidden="1" customHeight="1"/>
    <row r="299" ht="15" hidden="1" customHeight="1"/>
    <row r="300" ht="15" hidden="1" customHeight="1"/>
    <row r="301" ht="15" hidden="1" customHeight="1"/>
    <row r="302" ht="15" hidden="1" customHeight="1"/>
    <row r="303" ht="15" hidden="1" customHeight="1"/>
    <row r="304" ht="15" hidden="1" customHeight="1"/>
    <row r="305" ht="15" hidden="1" customHeight="1"/>
    <row r="306" ht="15" hidden="1" customHeight="1"/>
    <row r="307" ht="15" hidden="1" customHeight="1"/>
    <row r="308" ht="15" hidden="1" customHeight="1"/>
    <row r="309" ht="15" hidden="1" customHeight="1"/>
    <row r="310" ht="15" hidden="1" customHeight="1"/>
    <row r="311" ht="15" hidden="1" customHeight="1"/>
    <row r="312" ht="15" hidden="1" customHeight="1"/>
    <row r="313" ht="15" hidden="1" customHeight="1"/>
    <row r="314" ht="15" hidden="1" customHeight="1"/>
    <row r="315" ht="15" hidden="1" customHeight="1"/>
    <row r="316" ht="15" hidden="1" customHeight="1"/>
    <row r="317" ht="15" hidden="1" customHeight="1"/>
    <row r="318" ht="15" hidden="1" customHeight="1"/>
    <row r="319" ht="15" hidden="1" customHeight="1"/>
    <row r="320" ht="15" hidden="1" customHeight="1"/>
    <row r="321" ht="15" hidden="1" customHeight="1"/>
    <row r="322" ht="15" hidden="1" customHeight="1"/>
    <row r="323" ht="15" hidden="1" customHeight="1"/>
    <row r="324" ht="15" hidden="1" customHeight="1"/>
    <row r="325" ht="15" hidden="1" customHeight="1"/>
    <row r="326" ht="15" hidden="1" customHeight="1"/>
    <row r="327" ht="15" hidden="1" customHeight="1"/>
    <row r="328" ht="15" hidden="1" customHeight="1"/>
    <row r="329" ht="15" hidden="1" customHeight="1"/>
    <row r="330" ht="15" hidden="1" customHeight="1"/>
    <row r="331" ht="15" hidden="1" customHeight="1"/>
    <row r="332" ht="15" hidden="1" customHeight="1"/>
    <row r="333" ht="15" hidden="1" customHeight="1"/>
    <row r="334" ht="15" hidden="1" customHeight="1"/>
    <row r="335" ht="15" hidden="1" customHeight="1"/>
    <row r="336" ht="15" hidden="1" customHeight="1"/>
    <row r="337" ht="15" hidden="1" customHeight="1"/>
    <row r="338" ht="15" hidden="1" customHeight="1"/>
    <row r="339" ht="15" hidden="1" customHeight="1"/>
    <row r="340" ht="15" hidden="1" customHeight="1"/>
    <row r="341" ht="15" hidden="1" customHeight="1"/>
    <row r="342" ht="15" hidden="1" customHeight="1"/>
    <row r="343" ht="15" hidden="1" customHeight="1"/>
    <row r="344" ht="15" hidden="1" customHeight="1"/>
    <row r="345" ht="15" hidden="1" customHeight="1"/>
    <row r="346" ht="15" hidden="1" customHeight="1"/>
    <row r="347" ht="15" hidden="1" customHeight="1"/>
    <row r="348" ht="15" hidden="1" customHeight="1"/>
    <row r="349" ht="15" hidden="1" customHeight="1"/>
    <row r="350" ht="15" hidden="1" customHeight="1"/>
    <row r="351" ht="15" hidden="1" customHeight="1"/>
    <row r="352" ht="15" hidden="1" customHeight="1"/>
    <row r="353" ht="15" hidden="1" customHeight="1"/>
    <row r="354" ht="15" hidden="1" customHeight="1"/>
    <row r="355" ht="15" hidden="1" customHeight="1"/>
    <row r="356" ht="15" hidden="1" customHeight="1"/>
    <row r="357" ht="15" hidden="1" customHeight="1"/>
    <row r="358" ht="15" hidden="1" customHeight="1"/>
    <row r="359" ht="15" hidden="1" customHeight="1"/>
    <row r="360" ht="15" hidden="1" customHeight="1"/>
    <row r="361" ht="15" hidden="1" customHeight="1"/>
    <row r="362" ht="15" hidden="1" customHeight="1"/>
    <row r="363" ht="15" hidden="1" customHeight="1"/>
    <row r="364" ht="15" hidden="1" customHeight="1"/>
    <row r="365" ht="15" hidden="1" customHeight="1"/>
    <row r="366" ht="15" hidden="1" customHeight="1"/>
    <row r="367" ht="15" hidden="1" customHeight="1"/>
    <row r="368" ht="15" hidden="1" customHeight="1"/>
    <row r="369" ht="15" hidden="1" customHeight="1"/>
    <row r="370" ht="15" hidden="1" customHeight="1"/>
    <row r="371" ht="15" hidden="1" customHeight="1"/>
    <row r="372" ht="15" hidden="1" customHeight="1"/>
    <row r="373" ht="15" hidden="1" customHeight="1"/>
    <row r="374" ht="15" hidden="1" customHeight="1"/>
    <row r="375" ht="15" hidden="1" customHeight="1"/>
    <row r="376" ht="15" hidden="1" customHeight="1"/>
    <row r="377" ht="15" hidden="1" customHeight="1"/>
    <row r="378" ht="15" hidden="1" customHeight="1"/>
    <row r="379" ht="15" hidden="1" customHeight="1"/>
    <row r="380" ht="15" hidden="1" customHeight="1"/>
    <row r="381" ht="15" hidden="1" customHeight="1"/>
    <row r="382" ht="15" hidden="1" customHeight="1"/>
    <row r="383" ht="15" hidden="1" customHeight="1"/>
    <row r="384" ht="15" hidden="1" customHeight="1"/>
    <row r="385" ht="15" hidden="1" customHeight="1"/>
    <row r="386" ht="15" hidden="1" customHeight="1"/>
    <row r="387" ht="15" hidden="1" customHeight="1"/>
    <row r="388" ht="15" hidden="1" customHeight="1"/>
    <row r="389" ht="15" hidden="1" customHeight="1"/>
    <row r="390" ht="15" hidden="1" customHeight="1"/>
    <row r="391" ht="15" hidden="1" customHeight="1"/>
    <row r="392" ht="15" hidden="1" customHeight="1"/>
    <row r="393" ht="15" hidden="1" customHeight="1"/>
    <row r="394" ht="15" hidden="1" customHeight="1"/>
    <row r="395" ht="15" hidden="1" customHeight="1"/>
    <row r="396" ht="15" hidden="1" customHeight="1"/>
    <row r="397" ht="15" hidden="1" customHeight="1"/>
    <row r="398" ht="15" hidden="1" customHeight="1"/>
    <row r="399" ht="15" hidden="1" customHeight="1"/>
    <row r="400" ht="15" hidden="1" customHeight="1"/>
    <row r="401" ht="15" hidden="1" customHeight="1"/>
    <row r="402" ht="15" hidden="1" customHeight="1"/>
    <row r="403" ht="15" hidden="1" customHeight="1"/>
    <row r="404" ht="15" hidden="1" customHeight="1"/>
    <row r="405" ht="15" hidden="1" customHeight="1"/>
    <row r="406" ht="15" hidden="1" customHeight="1"/>
    <row r="407" ht="15" hidden="1" customHeight="1"/>
    <row r="408" ht="15" hidden="1" customHeight="1"/>
    <row r="409" ht="15" hidden="1" customHeight="1"/>
    <row r="410" ht="15" hidden="1" customHeight="1"/>
    <row r="411" ht="15" hidden="1" customHeight="1"/>
    <row r="412" ht="15" hidden="1" customHeight="1"/>
    <row r="413" ht="15" hidden="1" customHeight="1"/>
    <row r="414" ht="15" hidden="1" customHeight="1"/>
    <row r="415" ht="15" hidden="1" customHeight="1"/>
    <row r="416" ht="15" hidden="1" customHeight="1"/>
    <row r="417" ht="15" hidden="1" customHeight="1"/>
    <row r="418" ht="15" hidden="1" customHeight="1"/>
    <row r="419" ht="15" hidden="1" customHeight="1"/>
    <row r="420" ht="15" hidden="1" customHeight="1"/>
    <row r="421" ht="15" hidden="1" customHeight="1"/>
    <row r="422" ht="15" hidden="1" customHeight="1"/>
    <row r="423" ht="15" hidden="1" customHeight="1"/>
    <row r="424" ht="15" hidden="1" customHeight="1"/>
    <row r="425" ht="15" hidden="1" customHeight="1"/>
    <row r="426" ht="15" hidden="1" customHeight="1"/>
    <row r="427" ht="15" hidden="1" customHeight="1"/>
    <row r="428" ht="15" hidden="1" customHeight="1"/>
    <row r="429" ht="15" hidden="1" customHeight="1"/>
    <row r="430" ht="15" hidden="1" customHeight="1"/>
    <row r="431" ht="15" hidden="1" customHeight="1"/>
    <row r="432" ht="15" hidden="1" customHeight="1"/>
    <row r="433" ht="15" hidden="1" customHeight="1"/>
    <row r="434" ht="15" hidden="1" customHeight="1"/>
    <row r="435" ht="15" hidden="1" customHeight="1"/>
    <row r="436" ht="15" hidden="1" customHeight="1"/>
    <row r="437" ht="15" hidden="1" customHeight="1"/>
    <row r="438" ht="15" hidden="1" customHeight="1"/>
    <row r="439" ht="15" hidden="1" customHeight="1"/>
    <row r="440" ht="15" hidden="1" customHeight="1"/>
    <row r="441" ht="15" hidden="1" customHeight="1"/>
    <row r="442" ht="15" hidden="1" customHeight="1"/>
    <row r="443" ht="15" hidden="1" customHeight="1"/>
    <row r="444" ht="15" hidden="1" customHeight="1"/>
    <row r="445" ht="15" hidden="1" customHeight="1"/>
    <row r="446" ht="15" hidden="1" customHeight="1"/>
    <row r="447" ht="15" hidden="1" customHeight="1"/>
    <row r="448" ht="15" hidden="1" customHeight="1"/>
    <row r="449" ht="15" hidden="1" customHeight="1"/>
    <row r="450" ht="15" hidden="1" customHeight="1"/>
    <row r="451" ht="15" hidden="1" customHeight="1"/>
    <row r="452" ht="15" hidden="1" customHeight="1"/>
    <row r="453" ht="15" hidden="1" customHeight="1"/>
    <row r="454" ht="15" hidden="1" customHeight="1"/>
    <row r="455" ht="15" hidden="1" customHeight="1"/>
    <row r="456" ht="15" hidden="1" customHeight="1"/>
    <row r="457" ht="15" hidden="1" customHeight="1"/>
    <row r="458" ht="15" hidden="1" customHeight="1"/>
    <row r="459" ht="15" hidden="1" customHeight="1"/>
    <row r="460" ht="15" hidden="1" customHeight="1"/>
    <row r="461" ht="15" hidden="1" customHeight="1"/>
    <row r="462" ht="15" hidden="1" customHeight="1"/>
    <row r="463" ht="15" hidden="1" customHeight="1"/>
    <row r="464" ht="15" hidden="1" customHeight="1"/>
    <row r="465" ht="15" hidden="1" customHeight="1"/>
    <row r="466" ht="15" hidden="1" customHeight="1"/>
    <row r="467" ht="15" hidden="1" customHeight="1"/>
    <row r="468" ht="15" hidden="1" customHeight="1"/>
    <row r="469" ht="15" hidden="1" customHeight="1"/>
    <row r="470" ht="15" hidden="1" customHeight="1"/>
    <row r="471" ht="15" hidden="1" customHeight="1"/>
    <row r="472" ht="15" hidden="1" customHeight="1"/>
    <row r="473" ht="15" hidden="1" customHeight="1"/>
    <row r="474" ht="15" hidden="1" customHeight="1"/>
    <row r="475" ht="15" hidden="1" customHeight="1"/>
    <row r="476" ht="15" hidden="1" customHeight="1"/>
    <row r="477" ht="15" hidden="1" customHeight="1"/>
    <row r="478" ht="15" hidden="1" customHeight="1"/>
    <row r="479" ht="15" hidden="1" customHeight="1"/>
    <row r="480" ht="15" hidden="1" customHeight="1"/>
    <row r="481" ht="15" hidden="1" customHeight="1"/>
    <row r="482" ht="15" hidden="1" customHeight="1"/>
    <row r="483" ht="15" hidden="1" customHeight="1"/>
    <row r="484" ht="15" hidden="1" customHeight="1"/>
    <row r="485" ht="15" hidden="1" customHeight="1"/>
    <row r="486" ht="15" hidden="1" customHeight="1"/>
    <row r="487" ht="15" hidden="1" customHeight="1"/>
    <row r="488" ht="15" hidden="1" customHeight="1"/>
    <row r="489" ht="15" hidden="1" customHeight="1"/>
    <row r="490" ht="15" hidden="1" customHeight="1"/>
    <row r="491" ht="15" hidden="1" customHeight="1"/>
    <row r="492" ht="15" hidden="1" customHeight="1"/>
    <row r="493" ht="15" hidden="1" customHeight="1"/>
    <row r="494" ht="15" hidden="1" customHeight="1"/>
    <row r="495" ht="15" hidden="1" customHeight="1"/>
    <row r="496" ht="15" hidden="1" customHeight="1"/>
    <row r="497" ht="15" hidden="1" customHeight="1"/>
    <row r="498" ht="15" hidden="1" customHeight="1"/>
    <row r="499" ht="15" hidden="1" customHeight="1"/>
    <row r="500" ht="15" hidden="1" customHeight="1"/>
    <row r="501" ht="15" hidden="1" customHeight="1"/>
    <row r="502" ht="15" hidden="1" customHeight="1"/>
    <row r="503" ht="15" hidden="1" customHeight="1"/>
  </sheetData>
  <sheetProtection algorithmName="SHA-512" hashValue="/Gt1lRI8Dp7C27ctw6zOUS+R+h6k4Hd1GBKqjjFpwBTDF7Cma0SCzBCGaDUUHIiVkZwO/8LSwAtsu9UJXcpSJA==" saltValue="/8opW+c/IwKkpcb7i7QomA==" spinCount="100000" sheet="1" objects="1" scenarios="1"/>
  <customSheetViews>
    <customSheetView guid="{8BDA793C-C9C5-4FC6-A0A5-F1109F6D4F22}" state="hidden">
      <pane ySplit="11" topLeftCell="A12" activePane="bottomLeft" state="frozen"/>
      <selection pane="bottomLeft" activeCell="D14" sqref="D14"/>
    </customSheetView>
  </customSheetViews>
  <mergeCells count="19">
    <mergeCell ref="AJ10:AJ11"/>
    <mergeCell ref="AL10:AM10"/>
    <mergeCell ref="C10:L10"/>
    <mergeCell ref="U10:W10"/>
    <mergeCell ref="P10:P11"/>
    <mergeCell ref="AK10:AK11"/>
    <mergeCell ref="N2:O2"/>
    <mergeCell ref="M8:AI8"/>
    <mergeCell ref="M9:AI9"/>
    <mergeCell ref="M10:M11"/>
    <mergeCell ref="B3:C4"/>
    <mergeCell ref="X10:AC10"/>
    <mergeCell ref="AD10:AG10"/>
    <mergeCell ref="AI10:AI11"/>
    <mergeCell ref="N10:O10"/>
    <mergeCell ref="Q10:R10"/>
    <mergeCell ref="S10:T10"/>
    <mergeCell ref="X2:AC4"/>
    <mergeCell ref="B2:C2"/>
  </mergeCells>
  <conditionalFormatting sqref="L12:L257">
    <cfRule type="cellIs" dxfId="247" priority="250" operator="equal">
      <formula>"Same distinctiveness band or better"</formula>
    </cfRule>
    <cfRule type="cellIs" dxfId="246" priority="251" operator="equal">
      <formula>"Like for like or better"</formula>
    </cfRule>
    <cfRule type="cellIs" dxfId="245" priority="252" operator="equal">
      <formula>"Like for Like"</formula>
    </cfRule>
  </conditionalFormatting>
  <conditionalFormatting sqref="V12:AG12 V13:W43 N12:R12 Q13:R37 Q38:S257 N13:P257 U44:W257 T12:T257 X13:AG257 AI12:AJ257">
    <cfRule type="containsText" dxfId="244" priority="245" operator="containsText" text="30+">
      <formula>NOT(ISERROR(SEARCH("30+",N12)))</formula>
    </cfRule>
    <cfRule type="beginsWith" dxfId="243" priority="246" operator="beginsWith" text="No">
      <formula>LEFT(N12,LEN("No"))="No"</formula>
    </cfRule>
    <cfRule type="containsText" dxfId="242" priority="247" operator="containsText" text="Spatial">
      <formula>NOT(ISERROR(SEARCH("Spatial",N12)))</formula>
    </cfRule>
    <cfRule type="containsText" dxfId="241" priority="248" operator="containsText" text="Check">
      <formula>NOT(ISERROR(SEARCH("Check",N12)))</formula>
    </cfRule>
    <cfRule type="containsText" dxfId="240" priority="249" operator="containsText" text="Error">
      <formula>NOT(ISERROR(SEARCH("Error",N12)))</formula>
    </cfRule>
  </conditionalFormatting>
  <conditionalFormatting sqref="X2">
    <cfRule type="containsText" dxfId="239" priority="244" operator="containsText" text="Note">
      <formula>NOT(ISERROR(SEARCH("Note",X2)))</formula>
    </cfRule>
  </conditionalFormatting>
  <conditionalFormatting sqref="U12:U27">
    <cfRule type="containsText" dxfId="238" priority="243" operator="containsText" text="Error">
      <formula>NOT(ISERROR(SEARCH("Error",U12)))</formula>
    </cfRule>
  </conditionalFormatting>
  <conditionalFormatting sqref="AH12:AH257">
    <cfRule type="containsText" dxfId="237" priority="241" operator="containsText" text="Existing Value Not Required">
      <formula>NOT(ISERROR(SEARCH("Existing Value Not Required",AH12)))</formula>
    </cfRule>
    <cfRule type="containsText" dxfId="236" priority="242" operator="containsText" text="Existing Value Required">
      <formula>NOT(ISERROR(SEARCH("Existing Value Required",AH12)))</formula>
    </cfRule>
  </conditionalFormatting>
  <conditionalFormatting sqref="AH12:AH257">
    <cfRule type="containsText" dxfId="235" priority="238" operator="containsText" text="Error">
      <formula>NOT(ISERROR(SEARCH("Error",AH12)))</formula>
    </cfRule>
  </conditionalFormatting>
  <conditionalFormatting sqref="U28:U43">
    <cfRule type="containsText" dxfId="234" priority="20" operator="containsText" text="Error">
      <formula>NOT(ISERROR(SEARCH("Error",U28)))</formula>
    </cfRule>
  </conditionalFormatting>
  <conditionalFormatting sqref="O3">
    <cfRule type="containsText" dxfId="233" priority="18" operator="containsText" text="Error">
      <formula>NOT(ISERROR(SEARCH("Error",O3)))</formula>
    </cfRule>
    <cfRule type="containsText" dxfId="232" priority="19" operator="containsText" text="Check">
      <formula>NOT(ISERROR(SEARCH("Check",O3)))</formula>
    </cfRule>
  </conditionalFormatting>
  <conditionalFormatting sqref="O4">
    <cfRule type="cellIs" dxfId="231" priority="2" operator="equal">
      <formula>0</formula>
    </cfRule>
    <cfRule type="containsText" dxfId="230" priority="3" operator="containsText" text="Error">
      <formula>NOT(ISERROR(SEARCH("Error",O4)))</formula>
    </cfRule>
    <cfRule type="containsText" dxfId="229" priority="4" operator="containsText" text="Check">
      <formula>NOT(ISERROR(SEARCH("Check",O4)))</formula>
    </cfRule>
    <cfRule type="cellIs" dxfId="228" priority="14" operator="greaterThanOrEqual">
      <formula>0.1</formula>
    </cfRule>
    <cfRule type="cellIs" dxfId="227" priority="15" operator="lessThan">
      <formula>0</formula>
    </cfRule>
  </conditionalFormatting>
  <conditionalFormatting sqref="O5">
    <cfRule type="containsText" dxfId="226" priority="12" operator="containsText" text="No">
      <formula>NOT(ISERROR(SEARCH("No",O5)))</formula>
    </cfRule>
    <cfRule type="containsText" dxfId="225" priority="13" operator="containsText" text="Yes">
      <formula>NOT(ISERROR(SEARCH("Yes",O5)))</formula>
    </cfRule>
  </conditionalFormatting>
  <conditionalFormatting sqref="T12:T257">
    <cfRule type="containsText" dxfId="224" priority="11" operator="containsText" text="Not possible">
      <formula>NOT(ISERROR(SEARCH("Not possible",T12)))</formula>
    </cfRule>
  </conditionalFormatting>
  <conditionalFormatting sqref="AK12:AK257">
    <cfRule type="containsText" dxfId="223" priority="6" operator="containsText" text="30+">
      <formula>NOT(ISERROR(SEARCH("30+",AK12)))</formula>
    </cfRule>
    <cfRule type="beginsWith" dxfId="222" priority="7" operator="beginsWith" text="No">
      <formula>LEFT(AK12,LEN("No"))="No"</formula>
    </cfRule>
    <cfRule type="containsText" dxfId="221" priority="8" operator="containsText" text="Spatial">
      <formula>NOT(ISERROR(SEARCH("Spatial",AK12)))</formula>
    </cfRule>
    <cfRule type="containsText" dxfId="220" priority="9" operator="containsText" text="Check">
      <formula>NOT(ISERROR(SEARCH("Check",AK12)))</formula>
    </cfRule>
    <cfRule type="containsText" dxfId="219" priority="10" operator="containsText" text="Error">
      <formula>NOT(ISERROR(SEARCH("Error",AK12)))</formula>
    </cfRule>
  </conditionalFormatting>
  <conditionalFormatting sqref="O3:O5">
    <cfRule type="containsText" dxfId="218" priority="1" operator="containsText" text="N/A">
      <formula>NOT(ISERROR(SEARCH("N/A",O3)))</formula>
    </cfRule>
  </conditionalFormatting>
  <dataValidations count="1">
    <dataValidation type="list" allowBlank="1" showInputMessage="1" showErrorMessage="1" sqref="S12:S257" xr:uid="{00000000-0002-0000-1500-000000000000}">
      <formula1>INDIRECT(AQ12)</formula1>
    </dataValidation>
  </dataValidations>
  <pageMargins left="0.7" right="0.7" top="0.75" bottom="0.75" header="0.3" footer="0.3"/>
  <pageSetup paperSize="9" orientation="portrait" horizontalDpi="90" verticalDpi="90" r:id="rId1"/>
  <drawing r:id="rId2"/>
  <extLst>
    <ext xmlns:x14="http://schemas.microsoft.com/office/spreadsheetml/2009/9/main" uri="{78C0D931-6437-407d-A8EE-F0AAD7539E65}">
      <x14:conditionalFormattings>
        <x14:conditionalFormatting xmlns:xm="http://schemas.microsoft.com/office/excel/2006/main">
          <x14:cfRule type="cellIs" priority="444" operator="lessThan" id="{14895191-433B-4AEC-83BE-2174E7CB143E}">
            <xm:f>Start!$F$22</xm:f>
            <x14:dxf>
              <font>
                <color rgb="FF383745"/>
              </font>
              <fill>
                <patternFill>
                  <bgColor rgb="FFFFC000"/>
                </patternFill>
              </fill>
            </x14:dxf>
          </x14:cfRule>
          <xm:sqref>O4</xm:sqref>
        </x14:conditionalFormatting>
      </x14:conditionalFormattings>
    </ext>
    <ext xmlns:x14="http://schemas.microsoft.com/office/spreadsheetml/2009/9/main" uri="{CCE6A557-97BC-4b89-ADB6-D9C93CAAB3DF}">
      <x14:dataValidations xmlns:xm="http://schemas.microsoft.com/office/excel/2006/main" count="4">
        <x14:dataValidation type="list" errorStyle="warning" allowBlank="1" showInputMessage="1" showErrorMessage="1" xr:uid="{00000000-0002-0000-1500-000001000000}">
          <x14:formula1>
            <xm:f>'G-6 Hedgerow Data'!$B$3:$B$15</xm:f>
          </x14:formula1>
          <xm:sqref>M12:M257</xm:sqref>
        </x14:dataValidation>
        <x14:dataValidation type="list" allowBlank="1" showInputMessage="1" showErrorMessage="1" xr:uid="{00000000-0002-0000-1500-000002000000}">
          <x14:formula1>
            <xm:f>'G-3 Multipliers'!$L$4:$L$6</xm:f>
          </x14:formula1>
          <xm:sqref>U12:U257</xm:sqref>
        </x14:dataValidation>
        <x14:dataValidation type="list" allowBlank="1" showInputMessage="1" showErrorMessage="1" xr:uid="{00000000-0002-0000-1500-000004000000}">
          <x14:formula1>
            <xm:f>'G-4 Temporal multipliers'!$A$4:$A$36</xm:f>
          </x14:formula1>
          <xm:sqref>Y12:Z257</xm:sqref>
        </x14:dataValidation>
        <x14:dataValidation type="list" allowBlank="1" showInputMessage="1" showErrorMessage="1" xr:uid="{D5FCAF7F-DA20-4251-AF04-D2BCC6182453}">
          <x14:formula1>
            <xm:f>'G-3 Multipliers'!$S$4:$S$7</xm:f>
          </x14:formula1>
          <xm:sqref>AH12:AH257</xm:sqref>
        </x14:dataValidation>
      </x14:dataValidations>
    </ext>
  </extLst>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6">
    <tabColor rgb="FF0033CC"/>
  </sheetPr>
  <dimension ref="B1:AR272"/>
  <sheetViews>
    <sheetView showGridLines="0" zoomScale="80" zoomScaleNormal="80" workbookViewId="0"/>
  </sheetViews>
  <sheetFormatPr defaultColWidth="8.7109375" defaultRowHeight="0" customHeight="1" zeroHeight="1"/>
  <cols>
    <col min="1" max="1" width="3" style="30" customWidth="1"/>
    <col min="2" max="2" width="3.28515625" style="102" customWidth="1"/>
    <col min="3" max="3" width="12.7109375" style="102" customWidth="1"/>
    <col min="4" max="4" width="55" style="30" customWidth="1"/>
    <col min="5" max="5" width="10.7109375" style="30" customWidth="1"/>
    <col min="6" max="6" width="17.7109375" style="30" customWidth="1"/>
    <col min="7" max="7" width="8.7109375" style="30" customWidth="1"/>
    <col min="8" max="8" width="14.28515625" style="30" bestFit="1" customWidth="1"/>
    <col min="9" max="9" width="11.7109375" style="30" customWidth="1"/>
    <col min="10" max="10" width="33.7109375" style="30" customWidth="1"/>
    <col min="11" max="12" width="14.7109375" style="30" customWidth="1"/>
    <col min="13" max="13" width="17.28515625" style="30" customWidth="1"/>
    <col min="14" max="14" width="13.5703125" style="30" customWidth="1"/>
    <col min="15" max="15" width="25.28515625" style="30" customWidth="1"/>
    <col min="16" max="16" width="14.42578125" style="30" customWidth="1"/>
    <col min="17" max="17" width="14.28515625" style="30" customWidth="1"/>
    <col min="18" max="18" width="15" style="30" customWidth="1"/>
    <col min="19" max="19" width="3.7109375" style="30" customWidth="1"/>
    <col min="20" max="21" width="12.28515625" style="30" customWidth="1"/>
    <col min="22" max="22" width="13.42578125" style="30" customWidth="1"/>
    <col min="23" max="23" width="12.28515625" style="30" customWidth="1"/>
    <col min="24" max="24" width="19.28515625" style="30" customWidth="1"/>
    <col min="25" max="25" width="16.42578125" style="30" customWidth="1"/>
    <col min="26" max="26" width="17.42578125" style="30" customWidth="1"/>
    <col min="27" max="28" width="50.28515625" style="30" customWidth="1"/>
    <col min="29" max="29" width="16.28515625" style="30" customWidth="1"/>
    <col min="30" max="30" width="8.7109375" style="30" hidden="1" customWidth="1"/>
    <col min="31" max="31" width="6.5703125" style="30" hidden="1" customWidth="1"/>
    <col min="32" max="37" width="8.7109375" style="30" hidden="1" customWidth="1"/>
    <col min="38" max="38" width="11.7109375" style="30" hidden="1" customWidth="1"/>
    <col min="39" max="42" width="8.7109375" style="30" hidden="1" customWidth="1"/>
    <col min="43" max="43" width="19.5703125" style="30" hidden="1" customWidth="1"/>
    <col min="44" max="44" width="35" style="30" hidden="1" customWidth="1"/>
    <col min="45" max="45" width="8.7109375" style="30" customWidth="1"/>
    <col min="46" max="16383" width="8.7109375" style="30"/>
    <col min="16384" max="16384" width="7" style="30" customWidth="1"/>
  </cols>
  <sheetData>
    <row r="1" spans="2:44" ht="12.75" customHeight="1" thickBot="1">
      <c r="B1" s="30"/>
      <c r="C1" s="30"/>
    </row>
    <row r="2" spans="2:44" ht="19.5" customHeight="1" thickBot="1">
      <c r="B2" s="1600" t="str">
        <f>CONCATENATE("Project Name:", " ", Start!F12, "     ", "Map Reference:", " ", Start!F55)</f>
        <v xml:space="preserve">Project Name: Grove Farm Solar     Map Reference: </v>
      </c>
      <c r="C2" s="1603"/>
      <c r="D2" s="1601"/>
      <c r="F2" s="1595" t="s">
        <v>404</v>
      </c>
      <c r="G2" s="1607"/>
      <c r="H2" s="1607"/>
      <c r="I2" s="1607"/>
      <c r="J2" s="1596"/>
      <c r="L2" s="1518" t="str" cm="1">
        <f t="array" ref="L2">IF(OR(H10:H257 = "Fairly Good", H10:H257 = "Fairly Poor"),"A 'Fairly' Category has been used - check evidence to ensure this is appropriate ⚠", "")</f>
        <v/>
      </c>
      <c r="M2" s="1518"/>
      <c r="N2" s="1518"/>
      <c r="O2" s="1518"/>
      <c r="P2" s="1518"/>
      <c r="Q2" s="1518"/>
      <c r="R2" s="1518"/>
    </row>
    <row r="3" spans="2:44" ht="15" customHeight="1">
      <c r="B3" s="1604" t="str">
        <f ca="1">MID(CELL("filename",A1),FIND("]",CELL("filename",A1))+1,256)</f>
        <v>C-1 On-Site WaterC' Baseline</v>
      </c>
      <c r="C3" s="1605"/>
      <c r="D3" s="1606"/>
      <c r="F3" s="1505" t="s">
        <v>263</v>
      </c>
      <c r="G3" s="1506"/>
      <c r="H3" s="1506"/>
      <c r="I3" s="1501">
        <f>'Headline Results'!H49</f>
        <v>0</v>
      </c>
      <c r="J3" s="1502"/>
      <c r="L3" s="1518"/>
      <c r="M3" s="1518"/>
      <c r="N3" s="1518"/>
      <c r="O3" s="1518"/>
      <c r="P3" s="1518"/>
      <c r="Q3" s="1518"/>
      <c r="R3" s="1518"/>
    </row>
    <row r="4" spans="2:44" ht="19.899999999999999" customHeight="1" thickBot="1">
      <c r="B4" s="1515"/>
      <c r="C4" s="1516"/>
      <c r="D4" s="1517"/>
      <c r="F4" s="1583" t="s">
        <v>265</v>
      </c>
      <c r="G4" s="1584"/>
      <c r="H4" s="1584"/>
      <c r="I4" s="1577">
        <f>'Headline Results'!H53</f>
        <v>0</v>
      </c>
      <c r="J4" s="1578"/>
      <c r="L4" s="1518"/>
      <c r="M4" s="1518"/>
      <c r="N4" s="1518"/>
      <c r="O4" s="1518"/>
      <c r="P4" s="1518"/>
      <c r="Q4" s="1518"/>
      <c r="R4" s="1518"/>
    </row>
    <row r="5" spans="2:44" ht="19.149999999999999" customHeight="1" thickBot="1">
      <c r="B5" s="30"/>
      <c r="C5" s="30"/>
      <c r="F5" s="1582" t="s">
        <v>267</v>
      </c>
      <c r="G5" s="1579"/>
      <c r="H5" s="1579"/>
      <c r="I5" s="1579" t="str" cm="1">
        <f t="array" ref="I5">IF(OR('Trading Summary WaterC''s'!G5:H8="No ▲"), "No - check trading summary ▲", "Yes ✓")</f>
        <v>Yes ✓</v>
      </c>
      <c r="J5" s="1580"/>
      <c r="T5" s="1608" t="str">
        <f>IF(SUM(AH10:AH257)&gt;0,"Check Lengths ⚠","")</f>
        <v/>
      </c>
      <c r="U5" s="1608"/>
      <c r="V5" s="1608"/>
      <c r="W5" s="1608"/>
      <c r="X5" s="1608"/>
      <c r="Y5" s="1608"/>
      <c r="Z5" s="669"/>
    </row>
    <row r="6" spans="2:44" ht="15.75" customHeight="1">
      <c r="B6" s="30"/>
      <c r="C6" s="30"/>
      <c r="T6" s="1608"/>
      <c r="U6" s="1608"/>
      <c r="V6" s="1608"/>
      <c r="W6" s="1608"/>
      <c r="X6" s="1608"/>
      <c r="Y6" s="1608"/>
      <c r="Z6" s="669"/>
    </row>
    <row r="7" spans="2:44" ht="46.15" customHeight="1" thickBot="1"/>
    <row r="8" spans="2:44" ht="29.25" thickBot="1">
      <c r="C8" s="1536" t="s">
        <v>405</v>
      </c>
      <c r="D8" s="1536"/>
      <c r="E8" s="1536"/>
      <c r="F8" s="1552" t="s">
        <v>269</v>
      </c>
      <c r="G8" s="1552"/>
      <c r="H8" s="1552" t="s">
        <v>357</v>
      </c>
      <c r="I8" s="1552"/>
      <c r="J8" s="1536" t="s">
        <v>271</v>
      </c>
      <c r="K8" s="1536"/>
      <c r="L8" s="1536"/>
      <c r="M8" s="1552" t="s">
        <v>406</v>
      </c>
      <c r="N8" s="1552"/>
      <c r="O8" s="1552" t="s">
        <v>407</v>
      </c>
      <c r="P8" s="1552"/>
      <c r="Q8" s="1534" t="s">
        <v>272</v>
      </c>
      <c r="R8" s="134" t="s">
        <v>273</v>
      </c>
      <c r="S8" s="103"/>
      <c r="T8" s="1536" t="s">
        <v>274</v>
      </c>
      <c r="U8" s="1536"/>
      <c r="V8" s="1536"/>
      <c r="W8" s="1536"/>
      <c r="X8" s="1536"/>
      <c r="Y8" s="1536"/>
      <c r="Z8" s="1537" t="s">
        <v>275</v>
      </c>
      <c r="AA8" s="1548" t="s">
        <v>276</v>
      </c>
      <c r="AB8" s="1548"/>
      <c r="AD8" s="37" t="s">
        <v>266</v>
      </c>
      <c r="AE8" s="37" t="s">
        <v>266</v>
      </c>
    </row>
    <row r="9" spans="2:44" ht="52.5" customHeight="1" thickBot="1">
      <c r="C9" s="132" t="s">
        <v>339</v>
      </c>
      <c r="D9" s="811" t="s">
        <v>193</v>
      </c>
      <c r="E9" s="752" t="s">
        <v>34</v>
      </c>
      <c r="F9" s="132" t="s">
        <v>269</v>
      </c>
      <c r="G9" s="752" t="s">
        <v>286</v>
      </c>
      <c r="H9" s="132" t="s">
        <v>270</v>
      </c>
      <c r="I9" s="752" t="s">
        <v>286</v>
      </c>
      <c r="J9" s="132" t="s">
        <v>271</v>
      </c>
      <c r="K9" s="811" t="s">
        <v>271</v>
      </c>
      <c r="L9" s="752" t="s">
        <v>408</v>
      </c>
      <c r="M9" s="132" t="s">
        <v>409</v>
      </c>
      <c r="N9" s="752" t="s">
        <v>410</v>
      </c>
      <c r="O9" s="132" t="s">
        <v>411</v>
      </c>
      <c r="P9" s="752" t="s">
        <v>410</v>
      </c>
      <c r="Q9" s="1534"/>
      <c r="R9" s="750" t="s">
        <v>412</v>
      </c>
      <c r="S9" s="107"/>
      <c r="T9" s="132" t="s">
        <v>384</v>
      </c>
      <c r="U9" s="811" t="s">
        <v>385</v>
      </c>
      <c r="V9" s="811" t="s">
        <v>386</v>
      </c>
      <c r="W9" s="811" t="s">
        <v>387</v>
      </c>
      <c r="X9" s="811" t="s">
        <v>413</v>
      </c>
      <c r="Y9" s="752" t="s">
        <v>414</v>
      </c>
      <c r="Z9" s="1570"/>
      <c r="AA9" s="719" t="s">
        <v>415</v>
      </c>
      <c r="AB9" s="719" t="s">
        <v>296</v>
      </c>
      <c r="AC9" s="48" t="s">
        <v>297</v>
      </c>
      <c r="AD9" s="50" t="s">
        <v>298</v>
      </c>
      <c r="AE9" s="50" t="s">
        <v>299</v>
      </c>
      <c r="AH9" s="33" t="s">
        <v>416</v>
      </c>
      <c r="AI9" s="124" t="s">
        <v>300</v>
      </c>
      <c r="AJ9" s="124" t="s">
        <v>301</v>
      </c>
      <c r="AL9" s="124" t="s">
        <v>303</v>
      </c>
      <c r="AN9" s="124" t="s">
        <v>300</v>
      </c>
      <c r="AO9" s="124" t="s">
        <v>301</v>
      </c>
      <c r="AQ9" s="101" t="s">
        <v>280</v>
      </c>
      <c r="AR9" s="101" t="s">
        <v>417</v>
      </c>
    </row>
    <row r="10" spans="2:44" ht="15">
      <c r="C10" s="291">
        <v>1</v>
      </c>
      <c r="D10" s="337"/>
      <c r="E10" s="53"/>
      <c r="F10" s="362" t="str">
        <f>IF(D10="","",VLOOKUP(D10,'G-7 WaterC'' Data'!$B$2:$G$8,2,FALSE))</f>
        <v/>
      </c>
      <c r="G10" s="363" t="str">
        <f>IFERROR(VLOOKUP(F10,'G-7 WaterC'' Data'!$C$4:$D$8,2,FALSE),"")</f>
        <v/>
      </c>
      <c r="H10" s="54"/>
      <c r="I10" s="363" t="str">
        <f>IFERROR(INDEX('G-7 WaterC'' Data'!$H$4:$L$8,MATCH(D10,'G-7 WaterC'' Data'!$B$4:$B$8,0),MATCH(H10,'G-7 WaterC'' Data'!$H$3:$L$3,0)),"")</f>
        <v/>
      </c>
      <c r="J10" s="320"/>
      <c r="K10" s="362" t="str">
        <f>IF(J10="","",IF(VLOOKUP(J10,'G-7 WaterC'' Data'!$AK$4:$AM$6,2,FALSE)=0,"Spatial Data Missing ⚠",VLOOKUP(J10,'G-7 WaterC'' Data'!$AK$4:$AM$6,2,FALSE)))</f>
        <v/>
      </c>
      <c r="L10" s="368" t="str">
        <f>IF(J10="","",IF(VLOOKUP(J10,'G-7 WaterC'' Data'!$AK$4:$AM$9,3,FALSE)=0,"Spatial Data Missing ⚠",VLOOKUP(J10,'G-7 WaterC'' Data'!$AK$4:$AM$6,3,FALSE)))</f>
        <v/>
      </c>
      <c r="M10" s="54"/>
      <c r="N10" s="363" t="str">
        <f>IF(M10="","",IF(VLOOKUP(M10,'G-7 WaterC'' Data'!$AA$4:$AB$7,2,FALSE)=0,"Spatial Data Missing ⚠",VLOOKUP(M10,'G-7 WaterC'' Data'!$AA$4:$AB$7,2,FALSE)))</f>
        <v/>
      </c>
      <c r="O10" s="60"/>
      <c r="P10" s="363" t="str">
        <f>IF(O10="","",IF(VLOOKUP(O10,'G-7 WaterC'' Data'!$AD$4:$AE$14,2,FALSE)=0,"Spatial Data Missing ⚠",VLOOKUP(O10,'G-7 WaterC'' Data'!$AD$4:$AE$14,2,FALSE)))</f>
        <v/>
      </c>
      <c r="Q10" s="369" t="str">
        <f>IF(D10="","",VLOOKUP(D10,'G-7 WaterC'' Data'!$B$2:$G$8,6,FALSE))</f>
        <v/>
      </c>
      <c r="R10" s="376" t="str">
        <f>IFERROR(IF(D10="","",IF(AND(Q10='G-1 All Habitats'!$X$3,U10&gt;0),V10+W10,IF(AND(Q10='G-1 All Habitats'!$X$3,T10&gt;0),V10+W10,IF(AND(Q10='G-1 All Habitats'!$X$3,AD10&gt;0),"Any Loss Unacceptable ⚠",IF(AND(Q10='G-1 All Habitats'!$X$3,AE10&gt;0),"Any Loss Unacceptable ⚠", E10*G10*I10*L10*N10*P10 ))))),"Check Data ▲")</f>
        <v/>
      </c>
      <c r="S10" s="32"/>
      <c r="T10" s="791"/>
      <c r="U10" s="801"/>
      <c r="V10" s="802" t="str">
        <f>IFERROR(IF(T10&gt;E10,"Error in Lengths ▲",T10*G10*I10*L10*N10*P10),"")</f>
        <v/>
      </c>
      <c r="W10" s="802" t="str">
        <f>IFERROR(IF(D10="","",U10*G10*I10*L10*N10*P10),"")</f>
        <v/>
      </c>
      <c r="X10" s="802" t="str">
        <f>IFERROR(IF(D10="","", IF(AND(F10="V.High",Z10="Yes"), "Unacceptable Loss ⚠", IF(E10&gt;(T10+U10),E10-T10-U10,0))),"")</f>
        <v/>
      </c>
      <c r="Y10" s="875" t="str">
        <f>IFERROR(IF(E10="","",IF((V10+W10)&gt;R10,0, IF(AND(Z10="Yes", D10="Priority habitat"), "Alternative compensation agreed ✓", IF(AND(D10="Priority habitat", U10+T10&lt;&gt;E10),"Any loss unacceptable ▲", R10-V10-W10)))),"Check Data ⚠")</f>
        <v/>
      </c>
      <c r="Z10" s="876"/>
      <c r="AA10" s="703"/>
      <c r="AB10" s="137"/>
      <c r="AC10" s="137"/>
      <c r="AD10" s="57" t="str">
        <f>IF(Q10="","",IF(Q10='G-1 All Habitats'!$X$3,E10-T10-U10,"None"))</f>
        <v/>
      </c>
      <c r="AE10" s="58" t="str">
        <f>IF(Q10="","", IF(Q10='G-1 All Habitats'!$X$3, AD10*G10*I10*L10*N10*P10,"None"))</f>
        <v/>
      </c>
      <c r="AH10" s="30">
        <f>IFERROR(IF(T10+U10&gt;E10,1,0),"")</f>
        <v>0</v>
      </c>
      <c r="AI10" s="124" t="str">
        <f>IF(D10="","",IF(T10&gt;0,TRUE,FALSE))</f>
        <v/>
      </c>
      <c r="AJ10" s="124" t="str">
        <f>IF(D10="","",IF(U10&gt;0,TRUE,FALSE))</f>
        <v/>
      </c>
      <c r="AL10" s="124">
        <v>1</v>
      </c>
      <c r="AN10" s="124" t="str">
        <f t="array" ref="AN10">IFERROR(INDEX($AL$10:$AL$258, MATCH(0, IF(TRUE=$AI$10:$AI$258, COUNTIF($AN9:$AN$9, $AL$10:$AL$258), ""), 0)),"")</f>
        <v/>
      </c>
      <c r="AO10" s="124" t="str">
        <f t="array" ref="AO10">IFERROR(INDEX($AL$10:$AL$258, MATCH(0, IF(TRUE=$AJ$10:$AJ$258, COUNTIF($AO9:$AO$9, $AL$10:$AL$258), ""), 0)),"")</f>
        <v/>
      </c>
      <c r="AQ10" s="30" t="str">
        <f>IFERROR(INDEX('G-7 WaterC'' Data'!$AZ$3:$AZ$7,MATCH(D10,'G-7 WaterC'' Data'!$AY$3:$AY$7,0)),"")</f>
        <v/>
      </c>
      <c r="AR10" s="30" t="str">
        <f>IFERROR(INDEX('G-7 WaterC'' Data'!AZ10:AZ14,MATCH(D10,'G-7 WaterC'' Data'!$AY$10:$AY$14,0)),"")</f>
        <v/>
      </c>
    </row>
    <row r="11" spans="2:44" ht="15">
      <c r="C11" s="110">
        <v>2</v>
      </c>
      <c r="D11" s="337"/>
      <c r="E11" s="53"/>
      <c r="F11" s="362" t="str">
        <f>IF(D11="","",VLOOKUP(D11,'G-7 WaterC'' Data'!$B$2:$G$8,2,FALSE))</f>
        <v/>
      </c>
      <c r="G11" s="363" t="str">
        <f>IFERROR(VLOOKUP(F11,'G-7 WaterC'' Data'!$C$4:$D$8,2,FALSE),"")</f>
        <v/>
      </c>
      <c r="H11" s="54"/>
      <c r="I11" s="363" t="str">
        <f>IFERROR(INDEX('G-7 WaterC'' Data'!$H$4:$L$8,MATCH(D11,'G-7 WaterC'' Data'!$B$4:$B$8,0),MATCH(H11,'G-7 WaterC'' Data'!$H$3:$L$3,0)),"")</f>
        <v/>
      </c>
      <c r="J11" s="320"/>
      <c r="K11" s="398" t="str">
        <f>IF(J11="","",IF(VLOOKUP(J11,'G-7 WaterC'' Data'!$AK$4:$AM$6,2,FALSE)=0,"Spatial Data Missing ⚠",VLOOKUP(J11,'G-7 WaterC'' Data'!$AK$4:$AM$6,2,FALSE)))</f>
        <v/>
      </c>
      <c r="L11" s="368" t="str">
        <f>IF(J11="","",IF(VLOOKUP(J11,'G-7 WaterC'' Data'!$AK$4:$AM$9,3,FALSE)=0,"Spatial Data Missing ⚠",VLOOKUP(J11,'G-7 WaterC'' Data'!$AK$4:$AM$6,3,FALSE)))</f>
        <v/>
      </c>
      <c r="M11" s="54"/>
      <c r="N11" s="363" t="str">
        <f>IF(M11="","",IF(VLOOKUP(M11,'G-7 WaterC'' Data'!$AA$4:$AB$7,2,FALSE)=0,"Spatial Data Missing ⚠",VLOOKUP(M11,'G-7 WaterC'' Data'!$AA$4:$AB$7,2,FALSE)))</f>
        <v/>
      </c>
      <c r="O11" s="60"/>
      <c r="P11" s="363" t="str">
        <f>IF(O11="","",IF(VLOOKUP(O11,'G-7 WaterC'' Data'!$AD$4:$AE$14,2,FALSE)=0,"Spatial Data Missing ⚠",VLOOKUP(O11,'G-7 WaterC'' Data'!$AD$4:$AE$14,2,FALSE)))</f>
        <v/>
      </c>
      <c r="Q11" s="369" t="str">
        <f>IF(D11="","",VLOOKUP(D11,'G-7 WaterC'' Data'!$B$2:$G$8,6,FALSE))</f>
        <v/>
      </c>
      <c r="R11" s="376" t="str">
        <f>IFERROR(IF(D11="","",IF(AND(Q11='G-1 All Habitats'!$X$3,U11&gt;0),V11+W11,IF(AND(Q11='G-1 All Habitats'!$X$3,T11&gt;0),V11+W11,IF(AND(Q11='G-1 All Habitats'!$X$3,AD11&gt;0),"Any Loss Unacceptable ⚠",IF(AND(Q11='G-1 All Habitats'!$X$3,AE11&gt;0),"Any Loss Unacceptable ⚠", E11*G11*I11*L11*N11*P11 ))))),"Check Data ▲")</f>
        <v/>
      </c>
      <c r="S11" s="32"/>
      <c r="T11" s="54"/>
      <c r="U11" s="125"/>
      <c r="V11" s="374" t="str">
        <f t="shared" ref="V11:V74" si="0">IFERROR(IF(T11&gt;E11,"Error in Lengths ▲",T11*G11*I11*L11*N11*P11),"")</f>
        <v/>
      </c>
      <c r="W11" s="374" t="str">
        <f t="shared" ref="W11:W74" si="1">IFERROR(IF(D11="","",U11*G11*I11*L11*N11*P11),"")</f>
        <v/>
      </c>
      <c r="X11" s="374" t="str">
        <f t="shared" ref="X11:X74" si="2">IFERROR(IF(D11="","", IF(AND(F11="V.High",Z11="Yes"), "Unacceptable Loss ⚠", IF(E11&gt;(T11+U11),E11-T11-U11,0))),"")</f>
        <v/>
      </c>
      <c r="Y11" s="670" t="str">
        <f t="shared" ref="Y11:Y74" si="3">IFERROR(IF(E11="","",IF((V11+W11)&gt;R11,0, IF(AND(Z11="Yes", D11="Priority habitat"), "Alternative compensation agreed ✓", IF(AND(D11="Priority habitat", U11+T11&lt;&gt;E11),"Any loss unacceptable ▲", R11-V11-W11)))),"Check Data ⚠")</f>
        <v/>
      </c>
      <c r="Z11" s="706"/>
      <c r="AA11" s="704"/>
      <c r="AB11" s="120"/>
      <c r="AC11" s="120"/>
      <c r="AD11" s="57" t="str">
        <f>IF(Q11="","",IF(Q11='G-1 All Habitats'!$X$3,E11-T11-U11,"None"))</f>
        <v/>
      </c>
      <c r="AE11" s="58" t="str">
        <f>IF(Q11="","", IF(Q11='G-1 All Habitats'!$X$3, AD11*G11*I11*L11*N11*P11,"None"))</f>
        <v/>
      </c>
      <c r="AH11" s="30">
        <f t="shared" ref="AH11:AH74" si="4">IFERROR(IF(T11+U11&gt;E11,1,0),"")</f>
        <v>0</v>
      </c>
      <c r="AI11" s="124" t="str">
        <f t="shared" ref="AI11:AI74" si="5">IF(D11="","",IF(T11&gt;0,TRUE,FALSE))</f>
        <v/>
      </c>
      <c r="AJ11" s="124" t="str">
        <f t="shared" ref="AJ11:AJ74" si="6">IF(D11="","",IF(U11&gt;0,TRUE,FALSE))</f>
        <v/>
      </c>
      <c r="AL11" s="124">
        <v>2</v>
      </c>
      <c r="AN11" s="124" t="str">
        <f t="array" ref="AN11">IFERROR(INDEX($AL$10:$AL$258, MATCH(0, IF(TRUE=$AI$10:$AI$258, COUNTIF($AN$9:$AN10, $AL$10:$AL$258), ""), 0)),"")</f>
        <v/>
      </c>
      <c r="AO11" s="124" t="str">
        <f t="array" ref="AO11">IFERROR(INDEX($AL$10:$AL$258, MATCH(0, IF(TRUE=$AJ$10:$AJ$258, COUNTIF($AO$9:$AO10, $AL$10:$AL$258), ""), 0)),"")</f>
        <v/>
      </c>
      <c r="AQ11" s="30" t="str">
        <f>IFERROR(INDEX('G-7 WaterC'' Data'!$AZ$3:$AZ$7,MATCH(D11,'G-7 WaterC'' Data'!$AY$3:$AY$7,0)),"")</f>
        <v/>
      </c>
      <c r="AR11" s="30" t="str">
        <f>IFERROR(INDEX('G-7 WaterC'' Data'!AZ11:AZ15,MATCH(D11,'G-7 WaterC'' Data'!$AY$10:$AY$14,0)),"")</f>
        <v/>
      </c>
    </row>
    <row r="12" spans="2:44" ht="15">
      <c r="C12" s="110">
        <v>3</v>
      </c>
      <c r="D12" s="337"/>
      <c r="E12" s="53"/>
      <c r="F12" s="362" t="str">
        <f>IF(D12="","",VLOOKUP(D12,'G-7 WaterC'' Data'!$B$2:$G$8,2,FALSE))</f>
        <v/>
      </c>
      <c r="G12" s="363" t="str">
        <f>IFERROR(VLOOKUP(F12,'G-7 WaterC'' Data'!$C$4:$D$8,2,FALSE),"")</f>
        <v/>
      </c>
      <c r="H12" s="54"/>
      <c r="I12" s="363" t="str">
        <f>IFERROR(INDEX('G-7 WaterC'' Data'!$H$4:$L$8,MATCH(D12,'G-7 WaterC'' Data'!$B$4:$B$8,0),MATCH(H12,'G-7 WaterC'' Data'!$H$3:$L$3,0)),"")</f>
        <v/>
      </c>
      <c r="J12" s="320"/>
      <c r="K12" s="398" t="str">
        <f>IF(J12="","",IF(VLOOKUP(J12,'G-7 WaterC'' Data'!$AK$4:$AM$6,2,FALSE)=0,"Spatial Data Missing ⚠",VLOOKUP(J12,'G-7 WaterC'' Data'!$AK$4:$AM$6,2,FALSE)))</f>
        <v/>
      </c>
      <c r="L12" s="368" t="str">
        <f>IF(J12="","",IF(VLOOKUP(J12,'G-7 WaterC'' Data'!$AK$4:$AM$9,3,FALSE)=0,"Spatial Data Missing ⚠",VLOOKUP(J12,'G-7 WaterC'' Data'!$AK$4:$AM$6,3,FALSE)))</f>
        <v/>
      </c>
      <c r="M12" s="54"/>
      <c r="N12" s="363" t="str">
        <f>IF(M12="","",IF(VLOOKUP(M12,'G-7 WaterC'' Data'!$AA$4:$AB$7,2,FALSE)=0,"Spatial Data Missing ⚠",VLOOKUP(M12,'G-7 WaterC'' Data'!$AA$4:$AB$7,2,FALSE)))</f>
        <v/>
      </c>
      <c r="O12" s="60"/>
      <c r="P12" s="363" t="str">
        <f>IF(O12="","",IF(VLOOKUP(O12,'G-7 WaterC'' Data'!$AD$4:$AE$14,2,FALSE)=0,"Spatial Data Missing ⚠",VLOOKUP(O12,'G-7 WaterC'' Data'!$AD$4:$AE$14,2,FALSE)))</f>
        <v/>
      </c>
      <c r="Q12" s="369" t="str">
        <f>IF(D12="","",VLOOKUP(D12,'G-7 WaterC'' Data'!$B$2:$G$8,6,FALSE))</f>
        <v/>
      </c>
      <c r="R12" s="376" t="str">
        <f>IFERROR(IF(D12="","",IF(AND(Q12='G-1 All Habitats'!$X$3,U12&gt;0),V12+W12,IF(AND(Q12='G-1 All Habitats'!$X$3,T12&gt;0),V12+W12,IF(AND(Q12='G-1 All Habitats'!$X$3,AD12&gt;0),"Any Loss Unacceptable ⚠",IF(AND(Q12='G-1 All Habitats'!$X$3,AE12&gt;0),"Any Loss Unacceptable ⚠", E12*G12*I12*L12*N12*P12 ))))),"Check Data ▲")</f>
        <v/>
      </c>
      <c r="S12" s="32"/>
      <c r="T12" s="54"/>
      <c r="U12" s="125"/>
      <c r="V12" s="374" t="str">
        <f t="shared" si="0"/>
        <v/>
      </c>
      <c r="W12" s="374" t="str">
        <f t="shared" si="1"/>
        <v/>
      </c>
      <c r="X12" s="374" t="str">
        <f t="shared" si="2"/>
        <v/>
      </c>
      <c r="Y12" s="670" t="str">
        <f t="shared" si="3"/>
        <v/>
      </c>
      <c r="Z12" s="706"/>
      <c r="AA12" s="704"/>
      <c r="AB12" s="120"/>
      <c r="AC12" s="120"/>
      <c r="AD12" s="57" t="str">
        <f>IF(Q12="","",IF(Q12='G-1 All Habitats'!$X$3,E12-T12-U12,"None"))</f>
        <v/>
      </c>
      <c r="AE12" s="58" t="str">
        <f>IF(Q12="","", IF(Q12='G-1 All Habitats'!$X$3, AD12*G12*I12*L12*N12*P12,"None"))</f>
        <v/>
      </c>
      <c r="AH12" s="30">
        <f t="shared" si="4"/>
        <v>0</v>
      </c>
      <c r="AI12" s="124" t="str">
        <f t="shared" si="5"/>
        <v/>
      </c>
      <c r="AJ12" s="124" t="str">
        <f t="shared" si="6"/>
        <v/>
      </c>
      <c r="AL12" s="124">
        <v>3</v>
      </c>
      <c r="AN12" s="124" t="str">
        <f t="array" ref="AN12">IFERROR(INDEX($AL$10:$AL$258, MATCH(0, IF(TRUE=$AI$10:$AI$258, COUNTIF($AN$9:$AN11, $AL$10:$AL$258), ""), 0)),"")</f>
        <v/>
      </c>
      <c r="AO12" s="124" t="str">
        <f t="array" ref="AO12">IFERROR(INDEX($AL$10:$AL$258, MATCH(0, IF(TRUE=$AJ$10:$AJ$258, COUNTIF($AO$9:$AO11, $AL$10:$AL$258), ""), 0)),"")</f>
        <v/>
      </c>
      <c r="AQ12" s="30" t="str">
        <f>IFERROR(INDEX('G-7 WaterC'' Data'!$AZ$3:$AZ$7,MATCH(D12,'G-7 WaterC'' Data'!$AY$3:$AY$7,0)),"")</f>
        <v/>
      </c>
      <c r="AR12" s="30" t="str">
        <f>IFERROR(INDEX('G-7 WaterC'' Data'!AZ12:AZ16,MATCH(D12,'G-7 WaterC'' Data'!$AY$10:$AY$14,0)),"")</f>
        <v/>
      </c>
    </row>
    <row r="13" spans="2:44" ht="15">
      <c r="C13" s="110">
        <v>4</v>
      </c>
      <c r="D13" s="337"/>
      <c r="E13" s="53"/>
      <c r="F13" s="362" t="str">
        <f>IF(D13="","",VLOOKUP(D13,'G-7 WaterC'' Data'!$B$2:$G$8,2,FALSE))</f>
        <v/>
      </c>
      <c r="G13" s="363" t="str">
        <f>IFERROR(VLOOKUP(F13,'G-7 WaterC'' Data'!$C$4:$D$8,2,FALSE),"")</f>
        <v/>
      </c>
      <c r="H13" s="54"/>
      <c r="I13" s="363" t="str">
        <f>IFERROR(INDEX('G-7 WaterC'' Data'!$H$4:$L$8,MATCH(D13,'G-7 WaterC'' Data'!$B$4:$B$8,0),MATCH(H13,'G-7 WaterC'' Data'!$H$3:$L$3,0)),"")</f>
        <v/>
      </c>
      <c r="J13" s="320"/>
      <c r="K13" s="398" t="str">
        <f>IF(J13="","",IF(VLOOKUP(J13,'G-7 WaterC'' Data'!$AK$4:$AM$6,2,FALSE)=0,"Spatial Data Missing ⚠",VLOOKUP(J13,'G-7 WaterC'' Data'!$AK$4:$AM$6,2,FALSE)))</f>
        <v/>
      </c>
      <c r="L13" s="368" t="str">
        <f>IF(J13="","",IF(VLOOKUP(J13,'G-7 WaterC'' Data'!$AK$4:$AM$9,3,FALSE)=0,"Spatial Data Missing ⚠",VLOOKUP(J13,'G-7 WaterC'' Data'!$AK$4:$AM$6,3,FALSE)))</f>
        <v/>
      </c>
      <c r="M13" s="54"/>
      <c r="N13" s="363" t="str">
        <f>IF(M13="","",IF(VLOOKUP(M13,'G-7 WaterC'' Data'!$AA$4:$AB$7,2,FALSE)=0,"Spatial Data Missing ⚠",VLOOKUP(M13,'G-7 WaterC'' Data'!$AA$4:$AB$7,2,FALSE)))</f>
        <v/>
      </c>
      <c r="O13" s="60"/>
      <c r="P13" s="363" t="str">
        <f>IF(O13="","",IF(VLOOKUP(O13,'G-7 WaterC'' Data'!$AD$4:$AE$14,2,FALSE)=0,"Spatial Data Missing ⚠",VLOOKUP(O13,'G-7 WaterC'' Data'!$AD$4:$AE$14,2,FALSE)))</f>
        <v/>
      </c>
      <c r="Q13" s="369" t="str">
        <f>IF(D13="","",VLOOKUP(D13,'G-7 WaterC'' Data'!$B$2:$G$8,6,FALSE))</f>
        <v/>
      </c>
      <c r="R13" s="376" t="str">
        <f>IFERROR(IF(D13="","",IF(AND(Q13='G-1 All Habitats'!$X$3,U13&gt;0),V13+W13,IF(AND(Q13='G-1 All Habitats'!$X$3,T13&gt;0),V13+W13,IF(AND(Q13='G-1 All Habitats'!$X$3,AD13&gt;0),"Any Loss Unacceptable ⚠",IF(AND(Q13='G-1 All Habitats'!$X$3,AE13&gt;0),"Any Loss Unacceptable ⚠", E13*G13*I13*L13*N13*P13 ))))),"Check Data ▲")</f>
        <v/>
      </c>
      <c r="S13" s="32"/>
      <c r="T13" s="54"/>
      <c r="U13" s="125"/>
      <c r="V13" s="374" t="str">
        <f t="shared" si="0"/>
        <v/>
      </c>
      <c r="W13" s="374" t="str">
        <f t="shared" si="1"/>
        <v/>
      </c>
      <c r="X13" s="374" t="str">
        <f t="shared" si="2"/>
        <v/>
      </c>
      <c r="Y13" s="670" t="str">
        <f t="shared" si="3"/>
        <v/>
      </c>
      <c r="Z13" s="706"/>
      <c r="AA13" s="704"/>
      <c r="AB13" s="120"/>
      <c r="AC13" s="120"/>
      <c r="AD13" s="57" t="str">
        <f>IF(Q13="","",IF(Q13='G-1 All Habitats'!$X$3,E13-T13-U13,"None"))</f>
        <v/>
      </c>
      <c r="AE13" s="58" t="str">
        <f>IF(Q13="","", IF(Q13='G-1 All Habitats'!$X$3, AD13*G13*I13*L13*N13*P13,"None"))</f>
        <v/>
      </c>
      <c r="AH13" s="30">
        <f t="shared" si="4"/>
        <v>0</v>
      </c>
      <c r="AI13" s="124" t="str">
        <f t="shared" si="5"/>
        <v/>
      </c>
      <c r="AJ13" s="124" t="str">
        <f t="shared" si="6"/>
        <v/>
      </c>
      <c r="AL13" s="124">
        <v>4</v>
      </c>
      <c r="AN13" s="124" t="str">
        <f t="array" ref="AN13">IFERROR(INDEX($AL$10:$AL$258, MATCH(0, IF(TRUE=$AI$10:$AI$258, COUNTIF($AN$9:$AN12, $AL$10:$AL$258), ""), 0)),"")</f>
        <v/>
      </c>
      <c r="AO13" s="124" t="str">
        <f t="array" ref="AO13">IFERROR(INDEX($AL$10:$AL$258, MATCH(0, IF(TRUE=$AJ$10:$AJ$258, COUNTIF($AO$9:$AO12, $AL$10:$AL$258), ""), 0)),"")</f>
        <v/>
      </c>
      <c r="AQ13" s="30" t="str">
        <f>IFERROR(INDEX('G-7 WaterC'' Data'!$AZ$3:$AZ$7,MATCH(D13,'G-7 WaterC'' Data'!$AY$3:$AY$7,0)),"")</f>
        <v/>
      </c>
      <c r="AR13" s="30" t="str">
        <f>IFERROR(INDEX('G-7 WaterC'' Data'!AZ13:AZ17,MATCH(D13,'G-7 WaterC'' Data'!$AY$10:$AY$14,0)),"")</f>
        <v/>
      </c>
    </row>
    <row r="14" spans="2:44" ht="15">
      <c r="C14" s="110">
        <v>5</v>
      </c>
      <c r="D14" s="337"/>
      <c r="E14" s="139"/>
      <c r="F14" s="362" t="str">
        <f>IF(D14="","",VLOOKUP(D14,'G-7 WaterC'' Data'!$B$2:$G$8,2,FALSE))</f>
        <v/>
      </c>
      <c r="G14" s="363" t="str">
        <f>IFERROR(VLOOKUP(F14,'G-7 WaterC'' Data'!$C$4:$D$8,2,FALSE),"")</f>
        <v/>
      </c>
      <c r="H14" s="114"/>
      <c r="I14" s="363" t="str">
        <f>IFERROR(INDEX('G-7 WaterC'' Data'!$H$4:$L$8,MATCH(D14,'G-7 WaterC'' Data'!$B$4:$B$8,0),MATCH(H14,'G-7 WaterC'' Data'!$H$3:$L$3,0)),"")</f>
        <v/>
      </c>
      <c r="J14" s="320"/>
      <c r="K14" s="398" t="str">
        <f>IF(J14="","",IF(VLOOKUP(J14,'G-7 WaterC'' Data'!$AK$4:$AM$6,2,FALSE)=0,"Spatial Data Missing ⚠",VLOOKUP(J14,'G-7 WaterC'' Data'!$AK$4:$AM$6,2,FALSE)))</f>
        <v/>
      </c>
      <c r="L14" s="368" t="str">
        <f>IF(J14="","",IF(VLOOKUP(J14,'G-7 WaterC'' Data'!$AK$4:$AM$9,3,FALSE)=0,"Spatial Data Missing ⚠",VLOOKUP(J14,'G-7 WaterC'' Data'!$AK$4:$AM$6,3,FALSE)))</f>
        <v/>
      </c>
      <c r="M14" s="54"/>
      <c r="N14" s="363" t="str">
        <f>IF(M14="","",IF(VLOOKUP(M14,'G-7 WaterC'' Data'!$AA$4:$AB$7,2,FALSE)=0,"Spatial Data Missing ⚠",VLOOKUP(M14,'G-7 WaterC'' Data'!$AA$4:$AB$7,2,FALSE)))</f>
        <v/>
      </c>
      <c r="O14" s="60"/>
      <c r="P14" s="363" t="str">
        <f>IF(O14="","",IF(VLOOKUP(O14,'G-7 WaterC'' Data'!$AD$4:$AE$14,2,FALSE)=0,"Spatial Data Missing ⚠",VLOOKUP(O14,'G-7 WaterC'' Data'!$AD$4:$AE$14,2,FALSE)))</f>
        <v/>
      </c>
      <c r="Q14" s="369" t="str">
        <f>IF(D14="","",VLOOKUP(D14,'G-7 WaterC'' Data'!$B$2:$G$8,6,FALSE))</f>
        <v/>
      </c>
      <c r="R14" s="376" t="str">
        <f>IFERROR(IF(D14="","",IF(AND(Q14='G-1 All Habitats'!$X$3,U14&gt;0),V14+W14,IF(AND(Q14='G-1 All Habitats'!$X$3,T14&gt;0),V14+W14,IF(AND(Q14='G-1 All Habitats'!$X$3,AD14&gt;0),"Any Loss Unacceptable ⚠",IF(AND(Q14='G-1 All Habitats'!$X$3,AE14&gt;0),"Any Loss Unacceptable ⚠", E14*G14*I14*L14*N14*P14 ))))),"Check Data ▲")</f>
        <v/>
      </c>
      <c r="S14" s="32"/>
      <c r="T14" s="54"/>
      <c r="U14" s="125"/>
      <c r="V14" s="374" t="str">
        <f t="shared" si="0"/>
        <v/>
      </c>
      <c r="W14" s="374" t="str">
        <f t="shared" si="1"/>
        <v/>
      </c>
      <c r="X14" s="374" t="str">
        <f t="shared" si="2"/>
        <v/>
      </c>
      <c r="Y14" s="670" t="str">
        <f t="shared" si="3"/>
        <v/>
      </c>
      <c r="Z14" s="706"/>
      <c r="AA14" s="704"/>
      <c r="AB14" s="120"/>
      <c r="AC14" s="120"/>
      <c r="AD14" s="57" t="str">
        <f>IF(Q14="","",IF(Q14='G-1 All Habitats'!$X$3,E14-T14-U14,"None"))</f>
        <v/>
      </c>
      <c r="AE14" s="58" t="str">
        <f>IF(Q14="","", IF(Q14='G-1 All Habitats'!$X$3, AD14*G14*I14*L14*N14*P14,"None"))</f>
        <v/>
      </c>
      <c r="AH14" s="30">
        <f t="shared" si="4"/>
        <v>0</v>
      </c>
      <c r="AI14" s="124" t="str">
        <f t="shared" si="5"/>
        <v/>
      </c>
      <c r="AJ14" s="124" t="str">
        <f t="shared" si="6"/>
        <v/>
      </c>
      <c r="AL14" s="124">
        <v>5</v>
      </c>
      <c r="AN14" s="124" t="str">
        <f t="array" ref="AN14">IFERROR(INDEX($AL$10:$AL$258, MATCH(0, IF(TRUE=$AI$10:$AI$258, COUNTIF($AN$9:$AN13, $AL$10:$AL$258), ""), 0)),"")</f>
        <v/>
      </c>
      <c r="AO14" s="124" t="str">
        <f t="array" ref="AO14">IFERROR(INDEX($AL$10:$AL$258, MATCH(0, IF(TRUE=$AJ$10:$AJ$258, COUNTIF($AO$9:$AO13, $AL$10:$AL$258), ""), 0)),"")</f>
        <v/>
      </c>
      <c r="AQ14" s="30" t="str">
        <f>IFERROR(INDEX('G-7 WaterC'' Data'!$AZ$3:$AZ$7,MATCH(D14,'G-7 WaterC'' Data'!$AY$3:$AY$7,0)),"")</f>
        <v/>
      </c>
      <c r="AR14" s="30" t="str">
        <f>IFERROR(INDEX('G-7 WaterC'' Data'!AZ14:AZ18,MATCH(D14,'G-7 WaterC'' Data'!$AY$10:$AY$14,0)),"")</f>
        <v/>
      </c>
    </row>
    <row r="15" spans="2:44" ht="15">
      <c r="C15" s="110">
        <v>6</v>
      </c>
      <c r="D15" s="337"/>
      <c r="E15" s="139"/>
      <c r="F15" s="362" t="str">
        <f>IF(D15="","",VLOOKUP(D15,'G-7 WaterC'' Data'!$B$2:$G$8,2,FALSE))</f>
        <v/>
      </c>
      <c r="G15" s="363" t="str">
        <f>IFERROR(VLOOKUP(F15,'G-7 WaterC'' Data'!$C$4:$D$8,2,FALSE),"")</f>
        <v/>
      </c>
      <c r="H15" s="114"/>
      <c r="I15" s="363" t="str">
        <f>IFERROR(INDEX('G-7 WaterC'' Data'!$H$4:$L$8,MATCH(D15,'G-7 WaterC'' Data'!$B$4:$B$8,0),MATCH(H15,'G-7 WaterC'' Data'!$H$3:$L$3,0)),"")</f>
        <v/>
      </c>
      <c r="J15" s="320"/>
      <c r="K15" s="398" t="str">
        <f>IF(J15="","",IF(VLOOKUP(J15,'G-7 WaterC'' Data'!$AK$4:$AM$6,2,FALSE)=0,"Spatial Data Missing ⚠",VLOOKUP(J15,'G-7 WaterC'' Data'!$AK$4:$AM$6,2,FALSE)))</f>
        <v/>
      </c>
      <c r="L15" s="368" t="str">
        <f>IF(J15="","",IF(VLOOKUP(J15,'G-7 WaterC'' Data'!$AK$4:$AM$9,3,FALSE)=0,"Spatial Data Missing ⚠",VLOOKUP(J15,'G-7 WaterC'' Data'!$AK$4:$AM$6,3,FALSE)))</f>
        <v/>
      </c>
      <c r="M15" s="54"/>
      <c r="N15" s="363" t="str">
        <f>IF(M15="","",IF(VLOOKUP(M15,'G-7 WaterC'' Data'!$AA$4:$AB$7,2,FALSE)=0,"Spatial Data Missing ⚠",VLOOKUP(M15,'G-7 WaterC'' Data'!$AA$4:$AB$7,2,FALSE)))</f>
        <v/>
      </c>
      <c r="O15" s="60"/>
      <c r="P15" s="363" t="str">
        <f>IF(O15="","",IF(VLOOKUP(O15,'G-7 WaterC'' Data'!$AD$4:$AE$14,2,FALSE)=0,"Spatial Data Missing ⚠",VLOOKUP(O15,'G-7 WaterC'' Data'!$AD$4:$AE$14,2,FALSE)))</f>
        <v/>
      </c>
      <c r="Q15" s="369" t="str">
        <f>IF(D15="","",VLOOKUP(D15,'G-7 WaterC'' Data'!$B$2:$G$8,6,FALSE))</f>
        <v/>
      </c>
      <c r="R15" s="376" t="str">
        <f>IFERROR(IF(D15="","",IF(AND(Q15='G-1 All Habitats'!$X$3,U15&gt;0),V15+W15,IF(AND(Q15='G-1 All Habitats'!$X$3,T15&gt;0),V15+W15,IF(AND(Q15='G-1 All Habitats'!$X$3,AD15&gt;0),"Any Loss Unacceptable ⚠",IF(AND(Q15='G-1 All Habitats'!$X$3,AE15&gt;0),"Any Loss Unacceptable ⚠", E15*G15*I15*L15*N15*P15 ))))),"Check Data ▲")</f>
        <v/>
      </c>
      <c r="S15" s="32"/>
      <c r="T15" s="114"/>
      <c r="U15" s="125"/>
      <c r="V15" s="374" t="str">
        <f t="shared" si="0"/>
        <v/>
      </c>
      <c r="W15" s="374" t="str">
        <f t="shared" si="1"/>
        <v/>
      </c>
      <c r="X15" s="374" t="str">
        <f t="shared" si="2"/>
        <v/>
      </c>
      <c r="Y15" s="670" t="str">
        <f t="shared" si="3"/>
        <v/>
      </c>
      <c r="Z15" s="706"/>
      <c r="AA15" s="704"/>
      <c r="AB15" s="120"/>
      <c r="AC15" s="120"/>
      <c r="AD15" s="57" t="str">
        <f>IF(Q15="","",IF(Q15='G-1 All Habitats'!$X$3,E15-T15-U15,"None"))</f>
        <v/>
      </c>
      <c r="AE15" s="58" t="str">
        <f>IF(Q15="","", IF(Q15='G-1 All Habitats'!$X$3, AD15*G15*I15*L15*N15*P15,"None"))</f>
        <v/>
      </c>
      <c r="AH15" s="30">
        <f t="shared" si="4"/>
        <v>0</v>
      </c>
      <c r="AI15" s="124" t="str">
        <f t="shared" si="5"/>
        <v/>
      </c>
      <c r="AJ15" s="124" t="str">
        <f t="shared" si="6"/>
        <v/>
      </c>
      <c r="AL15" s="124">
        <v>6</v>
      </c>
      <c r="AN15" s="124" t="str">
        <f t="array" ref="AN15">IFERROR(INDEX($AL$10:$AL$258, MATCH(0, IF(TRUE=$AI$10:$AI$258, COUNTIF($AN$9:$AN14, $AL$10:$AL$258), ""), 0)),"")</f>
        <v/>
      </c>
      <c r="AO15" s="124" t="str">
        <f t="array" ref="AO15">IFERROR(INDEX($AL$10:$AL$258, MATCH(0, IF(TRUE=$AJ$10:$AJ$258, COUNTIF($AO$9:$AO14, $AL$10:$AL$258), ""), 0)),"")</f>
        <v/>
      </c>
      <c r="AQ15" s="30" t="str">
        <f>IFERROR(INDEX('G-7 WaterC'' Data'!$AZ$3:$AZ$7,MATCH(D15,'G-7 WaterC'' Data'!$AY$3:$AY$7,0)),"")</f>
        <v/>
      </c>
      <c r="AR15" s="30" t="str">
        <f>IFERROR(INDEX('G-7 WaterC'' Data'!AZ15:AZ19,MATCH(D15,'G-7 WaterC'' Data'!$AY$10:$AY$14,0)),"")</f>
        <v/>
      </c>
    </row>
    <row r="16" spans="2:44" ht="15">
      <c r="C16" s="110">
        <v>7</v>
      </c>
      <c r="D16" s="337"/>
      <c r="E16" s="139"/>
      <c r="F16" s="362" t="str">
        <f>IF(D16="","",VLOOKUP(D16,'G-7 WaterC'' Data'!$B$2:$G$8,2,FALSE))</f>
        <v/>
      </c>
      <c r="G16" s="363" t="str">
        <f>IFERROR(VLOOKUP(F16,'G-7 WaterC'' Data'!$C$4:$D$8,2,FALSE),"")</f>
        <v/>
      </c>
      <c r="H16" s="114"/>
      <c r="I16" s="363" t="str">
        <f>IFERROR(INDEX('G-7 WaterC'' Data'!$H$4:$L$8,MATCH(D16,'G-7 WaterC'' Data'!$B$4:$B$8,0),MATCH(H16,'G-7 WaterC'' Data'!$H$3:$L$3,0)),"")</f>
        <v/>
      </c>
      <c r="J16" s="320"/>
      <c r="K16" s="398" t="str">
        <f>IF(J16="","",IF(VLOOKUP(J16,'G-7 WaterC'' Data'!$AK$4:$AM$6,2,FALSE)=0,"Spatial Data Missing ⚠",VLOOKUP(J16,'G-7 WaterC'' Data'!$AK$4:$AM$6,2,FALSE)))</f>
        <v/>
      </c>
      <c r="L16" s="368" t="str">
        <f>IF(J16="","",IF(VLOOKUP(J16,'G-7 WaterC'' Data'!$AK$4:$AM$9,3,FALSE)=0,"Spatial Data Missing ⚠",VLOOKUP(J16,'G-7 WaterC'' Data'!$AK$4:$AM$6,3,FALSE)))</f>
        <v/>
      </c>
      <c r="M16" s="54"/>
      <c r="N16" s="363" t="str">
        <f>IF(M16="","",IF(VLOOKUP(M16,'G-7 WaterC'' Data'!$AA$4:$AB$7,2,FALSE)=0,"Spatial Data Missing ⚠",VLOOKUP(M16,'G-7 WaterC'' Data'!$AA$4:$AB$7,2,FALSE)))</f>
        <v/>
      </c>
      <c r="O16" s="60"/>
      <c r="P16" s="363" t="str">
        <f>IF(O16="","",IF(VLOOKUP(O16,'G-7 WaterC'' Data'!$AD$4:$AE$14,2,FALSE)=0,"Spatial Data Missing ⚠",VLOOKUP(O16,'G-7 WaterC'' Data'!$AD$4:$AE$14,2,FALSE)))</f>
        <v/>
      </c>
      <c r="Q16" s="369" t="str">
        <f>IF(D16="","",VLOOKUP(D16,'G-7 WaterC'' Data'!$B$2:$G$8,6,FALSE))</f>
        <v/>
      </c>
      <c r="R16" s="376" t="str">
        <f>IFERROR(IF(D16="","",IF(AND(Q16='G-1 All Habitats'!$X$3,U16&gt;0),V16+W16,IF(AND(Q16='G-1 All Habitats'!$X$3,T16&gt;0),V16+W16,IF(AND(Q16='G-1 All Habitats'!$X$3,AD16&gt;0),"Any Loss Unacceptable ⚠",IF(AND(Q16='G-1 All Habitats'!$X$3,AE16&gt;0),"Any Loss Unacceptable ⚠", E16*G16*I16*L16*N16*P16 ))))),"Check Data ▲")</f>
        <v/>
      </c>
      <c r="S16" s="32"/>
      <c r="T16" s="114"/>
      <c r="U16" s="125"/>
      <c r="V16" s="374" t="str">
        <f t="shared" si="0"/>
        <v/>
      </c>
      <c r="W16" s="374" t="str">
        <f t="shared" si="1"/>
        <v/>
      </c>
      <c r="X16" s="374" t="str">
        <f t="shared" si="2"/>
        <v/>
      </c>
      <c r="Y16" s="670" t="str">
        <f t="shared" si="3"/>
        <v/>
      </c>
      <c r="Z16" s="706"/>
      <c r="AA16" s="704"/>
      <c r="AB16" s="120"/>
      <c r="AC16" s="120"/>
      <c r="AD16" s="57" t="str">
        <f>IF(Q16="","",IF(Q16='G-1 All Habitats'!$X$3,E16-T16-U16,"None"))</f>
        <v/>
      </c>
      <c r="AE16" s="58" t="str">
        <f>IF(Q16="","", IF(Q16='G-1 All Habitats'!$X$3, AD16*G16*I16*L16*N16*P16,"None"))</f>
        <v/>
      </c>
      <c r="AH16" s="30">
        <f t="shared" si="4"/>
        <v>0</v>
      </c>
      <c r="AI16" s="124" t="str">
        <f t="shared" si="5"/>
        <v/>
      </c>
      <c r="AJ16" s="124" t="str">
        <f t="shared" si="6"/>
        <v/>
      </c>
      <c r="AL16" s="124">
        <v>7</v>
      </c>
      <c r="AN16" s="124" t="str">
        <f t="array" ref="AN16">IFERROR(INDEX($AL$10:$AL$258, MATCH(0, IF(TRUE=$AI$10:$AI$258, COUNTIF($AN$9:$AN15, $AL$10:$AL$258), ""), 0)),"")</f>
        <v/>
      </c>
      <c r="AO16" s="124" t="str">
        <f t="array" ref="AO16">IFERROR(INDEX($AL$10:$AL$258, MATCH(0, IF(TRUE=$AJ$10:$AJ$258, COUNTIF($AO$9:$AO15, $AL$10:$AL$258), ""), 0)),"")</f>
        <v/>
      </c>
      <c r="AQ16" s="30" t="str">
        <f>IFERROR(INDEX('G-7 WaterC'' Data'!$AZ$3:$AZ$7,MATCH(D16,'G-7 WaterC'' Data'!$AY$3:$AY$7,0)),"")</f>
        <v/>
      </c>
      <c r="AR16" s="30" t="str">
        <f>IFERROR(INDEX('G-7 WaterC'' Data'!AZ16:AZ20,MATCH(D16,'G-7 WaterC'' Data'!$AY$10:$AY$14,0)),"")</f>
        <v/>
      </c>
    </row>
    <row r="17" spans="3:44" ht="15">
      <c r="C17" s="110">
        <v>8</v>
      </c>
      <c r="D17" s="337"/>
      <c r="E17" s="139"/>
      <c r="F17" s="362" t="str">
        <f>IF(D17="","",VLOOKUP(D17,'G-7 WaterC'' Data'!$B$2:$G$8,2,FALSE))</f>
        <v/>
      </c>
      <c r="G17" s="363" t="str">
        <f>IFERROR(VLOOKUP(F17,'G-7 WaterC'' Data'!$C$4:$D$8,2,FALSE),"")</f>
        <v/>
      </c>
      <c r="H17" s="114"/>
      <c r="I17" s="363" t="str">
        <f>IFERROR(INDEX('G-7 WaterC'' Data'!$H$4:$L$8,MATCH(D17,'G-7 WaterC'' Data'!$B$4:$B$8,0),MATCH(H17,'G-7 WaterC'' Data'!$H$3:$L$3,0)),"")</f>
        <v/>
      </c>
      <c r="J17" s="320"/>
      <c r="K17" s="398" t="str">
        <f>IF(J17="","",IF(VLOOKUP(J17,'G-7 WaterC'' Data'!$AK$4:$AM$6,2,FALSE)=0,"Spatial Data Missing ⚠",VLOOKUP(J17,'G-7 WaterC'' Data'!$AK$4:$AM$6,2,FALSE)))</f>
        <v/>
      </c>
      <c r="L17" s="368" t="str">
        <f>IF(J17="","",IF(VLOOKUP(J17,'G-7 WaterC'' Data'!$AK$4:$AM$9,3,FALSE)=0,"Spatial Data Missing ⚠",VLOOKUP(J17,'G-7 WaterC'' Data'!$AK$4:$AM$6,3,FALSE)))</f>
        <v/>
      </c>
      <c r="M17" s="54"/>
      <c r="N17" s="363" t="str">
        <f>IF(M17="","",IF(VLOOKUP(M17,'G-7 WaterC'' Data'!$AA$4:$AB$7,2,FALSE)=0,"Spatial Data Missing ⚠",VLOOKUP(M17,'G-7 WaterC'' Data'!$AA$4:$AB$7,2,FALSE)))</f>
        <v/>
      </c>
      <c r="O17" s="60"/>
      <c r="P17" s="363" t="str">
        <f>IF(O17="","",IF(VLOOKUP(O17,'G-7 WaterC'' Data'!$AD$4:$AE$14,2,FALSE)=0,"Spatial Data Missing ⚠",VLOOKUP(O17,'G-7 WaterC'' Data'!$AD$4:$AE$14,2,FALSE)))</f>
        <v/>
      </c>
      <c r="Q17" s="369" t="str">
        <f>IF(D17="","",VLOOKUP(D17,'G-7 WaterC'' Data'!$B$2:$G$8,6,FALSE))</f>
        <v/>
      </c>
      <c r="R17" s="376" t="str">
        <f>IFERROR(IF(D17="","",IF(AND(Q17='G-1 All Habitats'!$X$3,U17&gt;0),V17+W17,IF(AND(Q17='G-1 All Habitats'!$X$3,T17&gt;0),V17+W17,IF(AND(Q17='G-1 All Habitats'!$X$3,AD17&gt;0),"Any Loss Unacceptable ⚠",IF(AND(Q17='G-1 All Habitats'!$X$3,AE17&gt;0),"Any Loss Unacceptable ⚠", E17*G17*I17*L17*N17*P17 ))))),"Check Data ▲")</f>
        <v/>
      </c>
      <c r="S17" s="32"/>
      <c r="T17" s="114"/>
      <c r="U17" s="125"/>
      <c r="V17" s="374" t="str">
        <f t="shared" si="0"/>
        <v/>
      </c>
      <c r="W17" s="374" t="str">
        <f t="shared" si="1"/>
        <v/>
      </c>
      <c r="X17" s="374" t="str">
        <f t="shared" si="2"/>
        <v/>
      </c>
      <c r="Y17" s="670" t="str">
        <f t="shared" si="3"/>
        <v/>
      </c>
      <c r="Z17" s="706"/>
      <c r="AA17" s="704"/>
      <c r="AB17" s="120"/>
      <c r="AC17" s="120"/>
      <c r="AD17" s="57" t="str">
        <f>IF(Q17="","",IF(Q17='G-1 All Habitats'!$X$3,E17-T17-U17,"None"))</f>
        <v/>
      </c>
      <c r="AE17" s="58" t="str">
        <f>IF(Q17="","", IF(Q17='G-1 All Habitats'!$X$3, AD17*G17*I17*L17*N17*P17,"None"))</f>
        <v/>
      </c>
      <c r="AH17" s="30">
        <f t="shared" si="4"/>
        <v>0</v>
      </c>
      <c r="AI17" s="124" t="str">
        <f t="shared" si="5"/>
        <v/>
      </c>
      <c r="AJ17" s="124" t="str">
        <f t="shared" si="6"/>
        <v/>
      </c>
      <c r="AL17" s="124">
        <v>8</v>
      </c>
      <c r="AN17" s="124" t="str">
        <f t="array" ref="AN17">IFERROR(INDEX($AL$10:$AL$258, MATCH(0, IF(TRUE=$AI$10:$AI$258, COUNTIF($AN$9:$AN16, $AL$10:$AL$258), ""), 0)),"")</f>
        <v/>
      </c>
      <c r="AO17" s="124" t="str">
        <f t="array" ref="AO17">IFERROR(INDEX($AL$10:$AL$258, MATCH(0, IF(TRUE=$AJ$10:$AJ$258, COUNTIF($AO$9:$AO16, $AL$10:$AL$258), ""), 0)),"")</f>
        <v/>
      </c>
      <c r="AQ17" s="30" t="str">
        <f>IFERROR(INDEX('G-7 WaterC'' Data'!$AZ$3:$AZ$7,MATCH(D17,'G-7 WaterC'' Data'!$AY$3:$AY$7,0)),"")</f>
        <v/>
      </c>
      <c r="AR17" s="30" t="str">
        <f>IFERROR(INDEX('G-7 WaterC'' Data'!AZ17:AZ21,MATCH(D17,'G-7 WaterC'' Data'!$AY$10:$AY$14,0)),"")</f>
        <v/>
      </c>
    </row>
    <row r="18" spans="3:44" ht="15">
      <c r="C18" s="110">
        <v>9</v>
      </c>
      <c r="D18" s="337"/>
      <c r="E18" s="139"/>
      <c r="F18" s="362" t="str">
        <f>IF(D18="","",VLOOKUP(D18,'G-7 WaterC'' Data'!$B$2:$G$8,2,FALSE))</f>
        <v/>
      </c>
      <c r="G18" s="363" t="str">
        <f>IFERROR(VLOOKUP(F18,'G-7 WaterC'' Data'!$C$4:$D$8,2,FALSE),"")</f>
        <v/>
      </c>
      <c r="H18" s="114"/>
      <c r="I18" s="363" t="str">
        <f>IFERROR(INDEX('G-7 WaterC'' Data'!$H$4:$L$8,MATCH(D18,'G-7 WaterC'' Data'!$B$4:$B$8,0),MATCH(H18,'G-7 WaterC'' Data'!$H$3:$L$3,0)),"")</f>
        <v/>
      </c>
      <c r="J18" s="320"/>
      <c r="K18" s="398" t="str">
        <f>IF(J18="","",IF(VLOOKUP(J18,'G-7 WaterC'' Data'!$AK$4:$AM$6,2,FALSE)=0,"Spatial Data Missing ⚠",VLOOKUP(J18,'G-7 WaterC'' Data'!$AK$4:$AM$6,2,FALSE)))</f>
        <v/>
      </c>
      <c r="L18" s="368" t="str">
        <f>IF(J18="","",IF(VLOOKUP(J18,'G-7 WaterC'' Data'!$AK$4:$AM$9,3,FALSE)=0,"Spatial Data Missing ⚠",VLOOKUP(J18,'G-7 WaterC'' Data'!$AK$4:$AM$6,3,FALSE)))</f>
        <v/>
      </c>
      <c r="M18" s="54"/>
      <c r="N18" s="363" t="str">
        <f>IF(M18="","",IF(VLOOKUP(M18,'G-7 WaterC'' Data'!$AA$4:$AB$7,2,FALSE)=0,"Spatial Data Missing ⚠",VLOOKUP(M18,'G-7 WaterC'' Data'!$AA$4:$AB$7,2,FALSE)))</f>
        <v/>
      </c>
      <c r="O18" s="60"/>
      <c r="P18" s="363" t="str">
        <f>IF(O18="","",IF(VLOOKUP(O18,'G-7 WaterC'' Data'!$AD$4:$AE$14,2,FALSE)=0,"Spatial Data Missing ⚠",VLOOKUP(O18,'G-7 WaterC'' Data'!$AD$4:$AE$14,2,FALSE)))</f>
        <v/>
      </c>
      <c r="Q18" s="369" t="str">
        <f>IF(D18="","",VLOOKUP(D18,'G-7 WaterC'' Data'!$B$2:$G$8,6,FALSE))</f>
        <v/>
      </c>
      <c r="R18" s="376" t="str">
        <f>IFERROR(IF(D18="","",IF(AND(Q18='G-1 All Habitats'!$X$3,U18&gt;0),V18+W18,IF(AND(Q18='G-1 All Habitats'!$X$3,T18&gt;0),V18+W18,IF(AND(Q18='G-1 All Habitats'!$X$3,AD18&gt;0),"Any Loss Unacceptable ⚠",IF(AND(Q18='G-1 All Habitats'!$X$3,AE18&gt;0),"Any Loss Unacceptable ⚠", E18*G18*I18*L18*N18*P18 ))))),"Check Data ▲")</f>
        <v/>
      </c>
      <c r="S18" s="32"/>
      <c r="T18" s="114"/>
      <c r="U18" s="125"/>
      <c r="V18" s="374" t="str">
        <f t="shared" si="0"/>
        <v/>
      </c>
      <c r="W18" s="374" t="str">
        <f t="shared" si="1"/>
        <v/>
      </c>
      <c r="X18" s="374" t="str">
        <f t="shared" si="2"/>
        <v/>
      </c>
      <c r="Y18" s="670" t="str">
        <f t="shared" si="3"/>
        <v/>
      </c>
      <c r="Z18" s="706"/>
      <c r="AA18" s="704"/>
      <c r="AB18" s="120"/>
      <c r="AC18" s="120"/>
      <c r="AD18" s="57" t="str">
        <f>IF(Q18="","",IF(Q18='G-1 All Habitats'!$X$3,E18-T18-U18,"None"))</f>
        <v/>
      </c>
      <c r="AE18" s="58" t="str">
        <f>IF(Q18="","", IF(Q18='G-1 All Habitats'!$X$3, AD18*G18*I18*L18*N18*P18,"None"))</f>
        <v/>
      </c>
      <c r="AH18" s="30">
        <f t="shared" si="4"/>
        <v>0</v>
      </c>
      <c r="AI18" s="124" t="str">
        <f t="shared" si="5"/>
        <v/>
      </c>
      <c r="AJ18" s="124" t="str">
        <f t="shared" si="6"/>
        <v/>
      </c>
      <c r="AL18" s="124">
        <v>9</v>
      </c>
      <c r="AN18" s="124" t="str">
        <f t="array" ref="AN18">IFERROR(INDEX($AL$10:$AL$258, MATCH(0, IF(TRUE=$AI$10:$AI$258, COUNTIF($AN$9:$AN17, $AL$10:$AL$258), ""), 0)),"")</f>
        <v/>
      </c>
      <c r="AO18" s="124" t="str">
        <f t="array" ref="AO18">IFERROR(INDEX($AL$10:$AL$258, MATCH(0, IF(TRUE=$AJ$10:$AJ$258, COUNTIF($AO$9:$AO17, $AL$10:$AL$258), ""), 0)),"")</f>
        <v/>
      </c>
      <c r="AQ18" s="30" t="str">
        <f>IFERROR(INDEX('G-7 WaterC'' Data'!$AZ$3:$AZ$7,MATCH(D18,'G-7 WaterC'' Data'!$AY$3:$AY$7,0)),"")</f>
        <v/>
      </c>
      <c r="AR18" s="30" t="str">
        <f>IFERROR(INDEX('G-7 WaterC'' Data'!AZ18:AZ22,MATCH(D18,'G-7 WaterC'' Data'!$AY$10:$AY$14,0)),"")</f>
        <v/>
      </c>
    </row>
    <row r="19" spans="3:44" ht="15">
      <c r="C19" s="110">
        <v>10</v>
      </c>
      <c r="D19" s="337"/>
      <c r="E19" s="139"/>
      <c r="F19" s="362" t="str">
        <f>IF(D19="","",VLOOKUP(D19,'G-7 WaterC'' Data'!$B$2:$G$8,2,FALSE))</f>
        <v/>
      </c>
      <c r="G19" s="363" t="str">
        <f>IFERROR(VLOOKUP(F19,'G-7 WaterC'' Data'!$C$4:$D$8,2,FALSE),"")</f>
        <v/>
      </c>
      <c r="H19" s="114"/>
      <c r="I19" s="363" t="str">
        <f>IFERROR(INDEX('G-7 WaterC'' Data'!$H$4:$L$8,MATCH(D19,'G-7 WaterC'' Data'!$B$4:$B$8,0),MATCH(H19,'G-7 WaterC'' Data'!$H$3:$L$3,0)),"")</f>
        <v/>
      </c>
      <c r="J19" s="320"/>
      <c r="K19" s="398" t="str">
        <f>IF(J19="","",IF(VLOOKUP(J19,'G-7 WaterC'' Data'!$AK$4:$AM$6,2,FALSE)=0,"Spatial Data Missing ⚠",VLOOKUP(J19,'G-7 WaterC'' Data'!$AK$4:$AM$6,2,FALSE)))</f>
        <v/>
      </c>
      <c r="L19" s="368" t="str">
        <f>IF(J19="","",IF(VLOOKUP(J19,'G-7 WaterC'' Data'!$AK$4:$AM$9,3,FALSE)=0,"Spatial Data Missing ⚠",VLOOKUP(J19,'G-7 WaterC'' Data'!$AK$4:$AM$6,3,FALSE)))</f>
        <v/>
      </c>
      <c r="M19" s="54"/>
      <c r="N19" s="363" t="str">
        <f>IF(M19="","",IF(VLOOKUP(M19,'G-7 WaterC'' Data'!$AA$4:$AB$7,2,FALSE)=0,"Spatial Data Missing ⚠",VLOOKUP(M19,'G-7 WaterC'' Data'!$AA$4:$AB$7,2,FALSE)))</f>
        <v/>
      </c>
      <c r="O19" s="60"/>
      <c r="P19" s="363" t="str">
        <f>IF(O19="","",IF(VLOOKUP(O19,'G-7 WaterC'' Data'!$AD$4:$AE$14,2,FALSE)=0,"Spatial Data Missing ⚠",VLOOKUP(O19,'G-7 WaterC'' Data'!$AD$4:$AE$14,2,FALSE)))</f>
        <v/>
      </c>
      <c r="Q19" s="369" t="str">
        <f>IF(D19="","",VLOOKUP(D19,'G-7 WaterC'' Data'!$B$2:$G$8,6,FALSE))</f>
        <v/>
      </c>
      <c r="R19" s="376" t="str">
        <f>IFERROR(IF(D19="","",IF(AND(Q19='G-1 All Habitats'!$X$3,U19&gt;0),V19+W19,IF(AND(Q19='G-1 All Habitats'!$X$3,T19&gt;0),V19+W19,IF(AND(Q19='G-1 All Habitats'!$X$3,AD19&gt;0),"Any Loss Unacceptable ⚠",IF(AND(Q19='G-1 All Habitats'!$X$3,AE19&gt;0),"Any Loss Unacceptable ⚠", E19*G19*I19*L19*N19*P19 ))))),"Check Data ▲")</f>
        <v/>
      </c>
      <c r="S19" s="32"/>
      <c r="T19" s="114"/>
      <c r="U19" s="125"/>
      <c r="V19" s="374" t="str">
        <f t="shared" si="0"/>
        <v/>
      </c>
      <c r="W19" s="374" t="str">
        <f t="shared" si="1"/>
        <v/>
      </c>
      <c r="X19" s="374" t="str">
        <f t="shared" si="2"/>
        <v/>
      </c>
      <c r="Y19" s="670" t="str">
        <f t="shared" si="3"/>
        <v/>
      </c>
      <c r="Z19" s="706"/>
      <c r="AA19" s="704"/>
      <c r="AB19" s="120"/>
      <c r="AC19" s="120"/>
      <c r="AD19" s="57" t="str">
        <f>IF(Q19="","",IF(Q19='G-1 All Habitats'!$X$3,E19-T19-U19,"None"))</f>
        <v/>
      </c>
      <c r="AE19" s="58" t="str">
        <f>IF(Q19="","", IF(Q19='G-1 All Habitats'!$X$3, AD19*G19*I19*L19*N19*P19,"None"))</f>
        <v/>
      </c>
      <c r="AH19" s="30">
        <f t="shared" si="4"/>
        <v>0</v>
      </c>
      <c r="AI19" s="124" t="str">
        <f t="shared" si="5"/>
        <v/>
      </c>
      <c r="AJ19" s="124" t="str">
        <f t="shared" si="6"/>
        <v/>
      </c>
      <c r="AL19" s="124">
        <v>10</v>
      </c>
      <c r="AN19" s="124" t="str">
        <f t="array" ref="AN19">IFERROR(INDEX($AL$10:$AL$258, MATCH(0, IF(TRUE=$AI$10:$AI$258, COUNTIF($AN$9:$AN18, $AL$10:$AL$258), ""), 0)),"")</f>
        <v/>
      </c>
      <c r="AO19" s="124" t="str">
        <f t="array" ref="AO19">IFERROR(INDEX($AL$10:$AL$258, MATCH(0, IF(TRUE=$AJ$10:$AJ$258, COUNTIF($AO$9:$AO18, $AL$10:$AL$258), ""), 0)),"")</f>
        <v/>
      </c>
      <c r="AQ19" s="30" t="str">
        <f>IFERROR(INDEX('G-7 WaterC'' Data'!$AZ$3:$AZ$7,MATCH(D19,'G-7 WaterC'' Data'!$AY$3:$AY$7,0)),"")</f>
        <v/>
      </c>
      <c r="AR19" s="30" t="str">
        <f>IFERROR(INDEX('G-7 WaterC'' Data'!AZ19:AZ23,MATCH(D19,'G-7 WaterC'' Data'!$AY$10:$AY$14,0)),"")</f>
        <v/>
      </c>
    </row>
    <row r="20" spans="3:44" ht="15">
      <c r="C20" s="110">
        <v>11</v>
      </c>
      <c r="D20" s="337"/>
      <c r="E20" s="139"/>
      <c r="F20" s="362" t="str">
        <f>IF(D20="","",VLOOKUP(D20,'G-7 WaterC'' Data'!$B$2:$G$8,2,FALSE))</f>
        <v/>
      </c>
      <c r="G20" s="363" t="str">
        <f>IFERROR(VLOOKUP(F20,'G-7 WaterC'' Data'!$C$4:$D$8,2,FALSE),"")</f>
        <v/>
      </c>
      <c r="H20" s="114"/>
      <c r="I20" s="363" t="str">
        <f>IFERROR(INDEX('G-7 WaterC'' Data'!$H$4:$L$8,MATCH(D20,'G-7 WaterC'' Data'!$B$4:$B$8,0),MATCH(H20,'G-7 WaterC'' Data'!$H$3:$L$3,0)),"")</f>
        <v/>
      </c>
      <c r="J20" s="320"/>
      <c r="K20" s="398" t="str">
        <f>IF(J20="","",IF(VLOOKUP(J20,'G-7 WaterC'' Data'!$AK$4:$AM$6,2,FALSE)=0,"Spatial Data Missing ⚠",VLOOKUP(J20,'G-7 WaterC'' Data'!$AK$4:$AM$6,2,FALSE)))</f>
        <v/>
      </c>
      <c r="L20" s="368" t="str">
        <f>IF(J20="","",IF(VLOOKUP(J20,'G-7 WaterC'' Data'!$AK$4:$AM$9,3,FALSE)=0,"Spatial Data Missing ⚠",VLOOKUP(J20,'G-7 WaterC'' Data'!$AK$4:$AM$6,3,FALSE)))</f>
        <v/>
      </c>
      <c r="M20" s="54"/>
      <c r="N20" s="363" t="str">
        <f>IF(M20="","",IF(VLOOKUP(M20,'G-7 WaterC'' Data'!$AA$4:$AB$7,2,FALSE)=0,"Spatial Data Missing ⚠",VLOOKUP(M20,'G-7 WaterC'' Data'!$AA$4:$AB$7,2,FALSE)))</f>
        <v/>
      </c>
      <c r="O20" s="60"/>
      <c r="P20" s="363" t="str">
        <f>IF(O20="","",IF(VLOOKUP(O20,'G-7 WaterC'' Data'!$AD$4:$AE$14,2,FALSE)=0,"Spatial Data Missing ⚠",VLOOKUP(O20,'G-7 WaterC'' Data'!$AD$4:$AE$14,2,FALSE)))</f>
        <v/>
      </c>
      <c r="Q20" s="369" t="str">
        <f>IF(D20="","",VLOOKUP(D20,'G-7 WaterC'' Data'!$B$2:$G$8,6,FALSE))</f>
        <v/>
      </c>
      <c r="R20" s="376" t="str">
        <f>IFERROR(IF(D20="","",IF(AND(Q20='G-1 All Habitats'!$X$3,U20&gt;0),V20+W20,IF(AND(Q20='G-1 All Habitats'!$X$3,T20&gt;0),V20+W20,IF(AND(Q20='G-1 All Habitats'!$X$3,AD20&gt;0),"Any Loss Unacceptable ⚠",IF(AND(Q20='G-1 All Habitats'!$X$3,AE20&gt;0),"Any Loss Unacceptable ⚠", E20*G20*I20*L20*N20*P20 ))))),"Check Data ▲")</f>
        <v/>
      </c>
      <c r="S20" s="32"/>
      <c r="T20" s="114"/>
      <c r="U20" s="125"/>
      <c r="V20" s="374" t="str">
        <f t="shared" si="0"/>
        <v/>
      </c>
      <c r="W20" s="374" t="str">
        <f t="shared" si="1"/>
        <v/>
      </c>
      <c r="X20" s="374" t="str">
        <f t="shared" si="2"/>
        <v/>
      </c>
      <c r="Y20" s="670" t="str">
        <f t="shared" si="3"/>
        <v/>
      </c>
      <c r="Z20" s="706"/>
      <c r="AA20" s="704"/>
      <c r="AB20" s="120"/>
      <c r="AC20" s="120"/>
      <c r="AD20" s="57" t="str">
        <f>IF(Q20="","",IF(Q20='G-1 All Habitats'!$X$3,E20-T20-U20,"None"))</f>
        <v/>
      </c>
      <c r="AE20" s="58" t="str">
        <f>IF(Q20="","", IF(Q20='G-1 All Habitats'!$X$3, AD20*G20*I20*L20*N20*P20,"None"))</f>
        <v/>
      </c>
      <c r="AH20" s="30">
        <f t="shared" si="4"/>
        <v>0</v>
      </c>
      <c r="AI20" s="124" t="str">
        <f t="shared" si="5"/>
        <v/>
      </c>
      <c r="AJ20" s="124" t="str">
        <f t="shared" si="6"/>
        <v/>
      </c>
      <c r="AL20" s="124">
        <v>11</v>
      </c>
      <c r="AN20" s="124" t="str">
        <f t="array" ref="AN20">IFERROR(INDEX($AL$10:$AL$258, MATCH(0, IF(TRUE=$AI$10:$AI$258, COUNTIF($AN$9:$AN19, $AL$10:$AL$258), ""), 0)),"")</f>
        <v/>
      </c>
      <c r="AO20" s="124" t="str">
        <f t="array" ref="AO20">IFERROR(INDEX($AL$10:$AL$258, MATCH(0, IF(TRUE=$AJ$10:$AJ$258, COUNTIF($AO$9:$AO19, $AL$10:$AL$258), ""), 0)),"")</f>
        <v/>
      </c>
      <c r="AQ20" s="30" t="str">
        <f>IFERROR(INDEX('G-7 WaterC'' Data'!$AZ$3:$AZ$7,MATCH(D20,'G-7 WaterC'' Data'!$AY$3:$AY$7,0)),"")</f>
        <v/>
      </c>
      <c r="AR20" s="30" t="str">
        <f>IFERROR(INDEX('G-7 WaterC'' Data'!AZ20:AZ24,MATCH(D20,'G-7 WaterC'' Data'!$AY$10:$AY$14,0)),"")</f>
        <v/>
      </c>
    </row>
    <row r="21" spans="3:44" ht="15">
      <c r="C21" s="110">
        <v>12</v>
      </c>
      <c r="D21" s="337"/>
      <c r="E21" s="139"/>
      <c r="F21" s="362" t="str">
        <f>IF(D21="","",VLOOKUP(D21,'G-7 WaterC'' Data'!$B$2:$G$8,2,FALSE))</f>
        <v/>
      </c>
      <c r="G21" s="363" t="str">
        <f>IFERROR(VLOOKUP(F21,'G-7 WaterC'' Data'!$C$4:$D$8,2,FALSE),"")</f>
        <v/>
      </c>
      <c r="H21" s="114"/>
      <c r="I21" s="363" t="str">
        <f>IFERROR(INDEX('G-7 WaterC'' Data'!$H$4:$L$8,MATCH(D21,'G-7 WaterC'' Data'!$B$4:$B$8,0),MATCH(H21,'G-7 WaterC'' Data'!$H$3:$L$3,0)),"")</f>
        <v/>
      </c>
      <c r="J21" s="320"/>
      <c r="K21" s="398" t="str">
        <f>IF(J21="","",IF(VLOOKUP(J21,'G-7 WaterC'' Data'!$AK$4:$AM$6,2,FALSE)=0,"Spatial Data Missing ⚠",VLOOKUP(J21,'G-7 WaterC'' Data'!$AK$4:$AM$6,2,FALSE)))</f>
        <v/>
      </c>
      <c r="L21" s="368" t="str">
        <f>IF(J21="","",IF(VLOOKUP(J21,'G-7 WaterC'' Data'!$AK$4:$AM$9,3,FALSE)=0,"Spatial Data Missing ⚠",VLOOKUP(J21,'G-7 WaterC'' Data'!$AK$4:$AM$6,3,FALSE)))</f>
        <v/>
      </c>
      <c r="M21" s="54"/>
      <c r="N21" s="363" t="str">
        <f>IF(M21="","",IF(VLOOKUP(M21,'G-7 WaterC'' Data'!$AA$4:$AB$7,2,FALSE)=0,"Spatial Data Missing ⚠",VLOOKUP(M21,'G-7 WaterC'' Data'!$AA$4:$AB$7,2,FALSE)))</f>
        <v/>
      </c>
      <c r="O21" s="60"/>
      <c r="P21" s="363" t="str">
        <f>IF(O21="","",IF(VLOOKUP(O21,'G-7 WaterC'' Data'!$AD$4:$AE$14,2,FALSE)=0,"Spatial Data Missing ⚠",VLOOKUP(O21,'G-7 WaterC'' Data'!$AD$4:$AE$14,2,FALSE)))</f>
        <v/>
      </c>
      <c r="Q21" s="369" t="str">
        <f>IF(D21="","",VLOOKUP(D21,'G-7 WaterC'' Data'!$B$2:$G$8,6,FALSE))</f>
        <v/>
      </c>
      <c r="R21" s="376" t="str">
        <f>IFERROR(IF(D21="","",IF(AND(Q21='G-1 All Habitats'!$X$3,U21&gt;0),V21+W21,IF(AND(Q21='G-1 All Habitats'!$X$3,T21&gt;0),V21+W21,IF(AND(Q21='G-1 All Habitats'!$X$3,AD21&gt;0),"Any Loss Unacceptable ⚠",IF(AND(Q21='G-1 All Habitats'!$X$3,AE21&gt;0),"Any Loss Unacceptable ⚠", E21*G21*I21*L21*N21*P21 ))))),"Check Data ▲")</f>
        <v/>
      </c>
      <c r="S21" s="32"/>
      <c r="T21" s="114"/>
      <c r="U21" s="125"/>
      <c r="V21" s="374" t="str">
        <f t="shared" si="0"/>
        <v/>
      </c>
      <c r="W21" s="374" t="str">
        <f t="shared" si="1"/>
        <v/>
      </c>
      <c r="X21" s="374" t="str">
        <f t="shared" si="2"/>
        <v/>
      </c>
      <c r="Y21" s="670" t="str">
        <f t="shared" si="3"/>
        <v/>
      </c>
      <c r="Z21" s="706"/>
      <c r="AA21" s="704"/>
      <c r="AB21" s="120"/>
      <c r="AC21" s="120"/>
      <c r="AD21" s="57" t="str">
        <f>IF(Q21="","",IF(Q21='G-1 All Habitats'!$X$3,E21-T21-U21,"None"))</f>
        <v/>
      </c>
      <c r="AE21" s="58" t="str">
        <f>IF(Q21="","", IF(Q21='G-1 All Habitats'!$X$3, AD21*G21*I21*L21*N21*P21,"None"))</f>
        <v/>
      </c>
      <c r="AH21" s="30">
        <f t="shared" si="4"/>
        <v>0</v>
      </c>
      <c r="AI21" s="124" t="str">
        <f t="shared" si="5"/>
        <v/>
      </c>
      <c r="AJ21" s="124" t="str">
        <f t="shared" si="6"/>
        <v/>
      </c>
      <c r="AL21" s="124">
        <v>12</v>
      </c>
      <c r="AN21" s="124" t="str">
        <f t="array" ref="AN21">IFERROR(INDEX($AL$10:$AL$258, MATCH(0, IF(TRUE=$AI$10:$AI$258, COUNTIF($AN$9:$AN20, $AL$10:$AL$258), ""), 0)),"")</f>
        <v/>
      </c>
      <c r="AO21" s="124" t="str">
        <f t="array" ref="AO21">IFERROR(INDEX($AL$10:$AL$258, MATCH(0, IF(TRUE=$AJ$10:$AJ$258, COUNTIF($AO$9:$AO20, $AL$10:$AL$258), ""), 0)),"")</f>
        <v/>
      </c>
      <c r="AQ21" s="30" t="str">
        <f>IFERROR(INDEX('G-7 WaterC'' Data'!$AZ$3:$AZ$7,MATCH(D21,'G-7 WaterC'' Data'!$AY$3:$AY$7,0)),"")</f>
        <v/>
      </c>
      <c r="AR21" s="30" t="str">
        <f>IFERROR(INDEX('G-7 WaterC'' Data'!AZ21:AZ25,MATCH(D21,'G-7 WaterC'' Data'!$AY$10:$AY$14,0)),"")</f>
        <v/>
      </c>
    </row>
    <row r="22" spans="3:44" ht="15">
      <c r="C22" s="110">
        <v>13</v>
      </c>
      <c r="D22" s="337"/>
      <c r="E22" s="139"/>
      <c r="F22" s="362" t="str">
        <f>IF(D22="","",VLOOKUP(D22,'G-7 WaterC'' Data'!$B$2:$G$8,2,FALSE))</f>
        <v/>
      </c>
      <c r="G22" s="363" t="str">
        <f>IFERROR(VLOOKUP(F22,'G-7 WaterC'' Data'!$C$4:$D$8,2,FALSE),"")</f>
        <v/>
      </c>
      <c r="H22" s="114"/>
      <c r="I22" s="363" t="str">
        <f>IFERROR(INDEX('G-7 WaterC'' Data'!$H$4:$L$8,MATCH(D22,'G-7 WaterC'' Data'!$B$4:$B$8,0),MATCH(H22,'G-7 WaterC'' Data'!$H$3:$L$3,0)),"")</f>
        <v/>
      </c>
      <c r="J22" s="320"/>
      <c r="K22" s="398" t="str">
        <f>IF(J22="","",IF(VLOOKUP(J22,'G-7 WaterC'' Data'!$AK$4:$AM$6,2,FALSE)=0,"Spatial Data Missing ⚠",VLOOKUP(J22,'G-7 WaterC'' Data'!$AK$4:$AM$6,2,FALSE)))</f>
        <v/>
      </c>
      <c r="L22" s="368" t="str">
        <f>IF(J22="","",IF(VLOOKUP(J22,'G-7 WaterC'' Data'!$AK$4:$AM$9,3,FALSE)=0,"Spatial Data Missing ⚠",VLOOKUP(J22,'G-7 WaterC'' Data'!$AK$4:$AM$6,3,FALSE)))</f>
        <v/>
      </c>
      <c r="M22" s="54"/>
      <c r="N22" s="363" t="str">
        <f>IF(M22="","",IF(VLOOKUP(M22,'G-7 WaterC'' Data'!$AA$4:$AB$7,2,FALSE)=0,"Spatial Data Missing ⚠",VLOOKUP(M22,'G-7 WaterC'' Data'!$AA$4:$AB$7,2,FALSE)))</f>
        <v/>
      </c>
      <c r="O22" s="60"/>
      <c r="P22" s="363" t="str">
        <f>IF(O22="","",IF(VLOOKUP(O22,'G-7 WaterC'' Data'!$AD$4:$AE$14,2,FALSE)=0,"Spatial Data Missing ⚠",VLOOKUP(O22,'G-7 WaterC'' Data'!$AD$4:$AE$14,2,FALSE)))</f>
        <v/>
      </c>
      <c r="Q22" s="369" t="str">
        <f>IF(D22="","",VLOOKUP(D22,'G-7 WaterC'' Data'!$B$2:$G$8,6,FALSE))</f>
        <v/>
      </c>
      <c r="R22" s="376" t="str">
        <f>IFERROR(IF(D22="","",IF(AND(Q22='G-1 All Habitats'!$X$3,U22&gt;0),V22+W22,IF(AND(Q22='G-1 All Habitats'!$X$3,T22&gt;0),V22+W22,IF(AND(Q22='G-1 All Habitats'!$X$3,AD22&gt;0),"Any Loss Unacceptable ⚠",IF(AND(Q22='G-1 All Habitats'!$X$3,AE22&gt;0),"Any Loss Unacceptable ⚠", E22*G22*I22*L22*N22*P22 ))))),"Check Data ▲")</f>
        <v/>
      </c>
      <c r="S22" s="32"/>
      <c r="T22" s="114"/>
      <c r="U22" s="125"/>
      <c r="V22" s="374" t="str">
        <f t="shared" si="0"/>
        <v/>
      </c>
      <c r="W22" s="374" t="str">
        <f t="shared" si="1"/>
        <v/>
      </c>
      <c r="X22" s="374" t="str">
        <f t="shared" si="2"/>
        <v/>
      </c>
      <c r="Y22" s="670" t="str">
        <f t="shared" si="3"/>
        <v/>
      </c>
      <c r="Z22" s="706"/>
      <c r="AA22" s="704"/>
      <c r="AB22" s="120"/>
      <c r="AC22" s="120"/>
      <c r="AD22" s="57" t="str">
        <f>IF(Q22="","",IF(Q22='G-1 All Habitats'!$X$3,E22-T22-U22,"None"))</f>
        <v/>
      </c>
      <c r="AE22" s="58" t="str">
        <f>IF(Q22="","", IF(Q22='G-1 All Habitats'!$X$3, AD22*G22*I22*L22*N22*P22,"None"))</f>
        <v/>
      </c>
      <c r="AH22" s="30">
        <f t="shared" si="4"/>
        <v>0</v>
      </c>
      <c r="AI22" s="124" t="str">
        <f t="shared" si="5"/>
        <v/>
      </c>
      <c r="AJ22" s="124" t="str">
        <f t="shared" si="6"/>
        <v/>
      </c>
      <c r="AL22" s="124">
        <v>13</v>
      </c>
      <c r="AN22" s="124" t="str">
        <f t="array" ref="AN22">IFERROR(INDEX($AL$10:$AL$258, MATCH(0, IF(TRUE=$AI$10:$AI$258, COUNTIF($AN$9:$AN21, $AL$10:$AL$258), ""), 0)),"")</f>
        <v/>
      </c>
      <c r="AO22" s="124" t="str">
        <f t="array" ref="AO22">IFERROR(INDEX($AL$10:$AL$258, MATCH(0, IF(TRUE=$AJ$10:$AJ$258, COUNTIF($AO$9:$AO21, $AL$10:$AL$258), ""), 0)),"")</f>
        <v/>
      </c>
      <c r="AQ22" s="30" t="str">
        <f>IFERROR(INDEX('G-7 WaterC'' Data'!$AZ$3:$AZ$7,MATCH(D22,'G-7 WaterC'' Data'!$AY$3:$AY$7,0)),"")</f>
        <v/>
      </c>
      <c r="AR22" s="30" t="str">
        <f>IFERROR(INDEX('G-7 WaterC'' Data'!AZ22:AZ26,MATCH(D22,'G-7 WaterC'' Data'!$AY$10:$AY$14,0)),"")</f>
        <v/>
      </c>
    </row>
    <row r="23" spans="3:44" ht="15">
      <c r="C23" s="110">
        <v>14</v>
      </c>
      <c r="D23" s="337"/>
      <c r="E23" s="139"/>
      <c r="F23" s="362" t="str">
        <f>IF(D23="","",VLOOKUP(D23,'G-7 WaterC'' Data'!$B$2:$G$8,2,FALSE))</f>
        <v/>
      </c>
      <c r="G23" s="363" t="str">
        <f>IFERROR(VLOOKUP(F23,'G-7 WaterC'' Data'!$C$4:$D$8,2,FALSE),"")</f>
        <v/>
      </c>
      <c r="H23" s="114"/>
      <c r="I23" s="363" t="str">
        <f>IFERROR(INDEX('G-7 WaterC'' Data'!$H$4:$L$8,MATCH(D23,'G-7 WaterC'' Data'!$B$4:$B$8,0),MATCH(H23,'G-7 WaterC'' Data'!$H$3:$L$3,0)),"")</f>
        <v/>
      </c>
      <c r="J23" s="320"/>
      <c r="K23" s="398" t="str">
        <f>IF(J23="","",IF(VLOOKUP(J23,'G-7 WaterC'' Data'!$AK$4:$AM$6,2,FALSE)=0,"Spatial Data Missing ⚠",VLOOKUP(J23,'G-7 WaterC'' Data'!$AK$4:$AM$6,2,FALSE)))</f>
        <v/>
      </c>
      <c r="L23" s="368" t="str">
        <f>IF(J23="","",IF(VLOOKUP(J23,'G-7 WaterC'' Data'!$AK$4:$AM$9,3,FALSE)=0,"Spatial Data Missing ⚠",VLOOKUP(J23,'G-7 WaterC'' Data'!$AK$4:$AM$6,3,FALSE)))</f>
        <v/>
      </c>
      <c r="M23" s="54"/>
      <c r="N23" s="363" t="str">
        <f>IF(M23="","",IF(VLOOKUP(M23,'G-7 WaterC'' Data'!$AA$4:$AB$7,2,FALSE)=0,"Spatial Data Missing ⚠",VLOOKUP(M23,'G-7 WaterC'' Data'!$AA$4:$AB$7,2,FALSE)))</f>
        <v/>
      </c>
      <c r="O23" s="60"/>
      <c r="P23" s="363" t="str">
        <f>IF(O23="","",IF(VLOOKUP(O23,'G-7 WaterC'' Data'!$AD$4:$AE$14,2,FALSE)=0,"Spatial Data Missing ⚠",VLOOKUP(O23,'G-7 WaterC'' Data'!$AD$4:$AE$14,2,FALSE)))</f>
        <v/>
      </c>
      <c r="Q23" s="369" t="str">
        <f>IF(D23="","",VLOOKUP(D23,'G-7 WaterC'' Data'!$B$2:$G$8,6,FALSE))</f>
        <v/>
      </c>
      <c r="R23" s="376" t="str">
        <f>IFERROR(IF(D23="","",IF(AND(Q23='G-1 All Habitats'!$X$3,U23&gt;0),V23+W23,IF(AND(Q23='G-1 All Habitats'!$X$3,T23&gt;0),V23+W23,IF(AND(Q23='G-1 All Habitats'!$X$3,AD23&gt;0),"Any Loss Unacceptable ⚠",IF(AND(Q23='G-1 All Habitats'!$X$3,AE23&gt;0),"Any Loss Unacceptable ⚠", E23*G23*I23*L23*N23*P23 ))))),"Check Data ▲")</f>
        <v/>
      </c>
      <c r="S23" s="32"/>
      <c r="T23" s="114"/>
      <c r="U23" s="125"/>
      <c r="V23" s="374" t="str">
        <f t="shared" si="0"/>
        <v/>
      </c>
      <c r="W23" s="374" t="str">
        <f t="shared" si="1"/>
        <v/>
      </c>
      <c r="X23" s="374" t="str">
        <f t="shared" si="2"/>
        <v/>
      </c>
      <c r="Y23" s="670" t="str">
        <f t="shared" si="3"/>
        <v/>
      </c>
      <c r="Z23" s="706"/>
      <c r="AA23" s="704"/>
      <c r="AB23" s="120"/>
      <c r="AC23" s="120"/>
      <c r="AD23" s="57" t="str">
        <f>IF(Q23="","",IF(Q23='G-1 All Habitats'!$X$3,E23-T23-U23,"None"))</f>
        <v/>
      </c>
      <c r="AE23" s="58" t="str">
        <f>IF(Q23="","", IF(Q23='G-1 All Habitats'!$X$3, AD23*G23*I23*L23*N23*P23,"None"))</f>
        <v/>
      </c>
      <c r="AH23" s="30">
        <f t="shared" si="4"/>
        <v>0</v>
      </c>
      <c r="AI23" s="124" t="str">
        <f t="shared" si="5"/>
        <v/>
      </c>
      <c r="AJ23" s="124" t="str">
        <f t="shared" si="6"/>
        <v/>
      </c>
      <c r="AL23" s="124">
        <v>14</v>
      </c>
      <c r="AN23" s="124" t="str">
        <f t="array" ref="AN23">IFERROR(INDEX($AL$10:$AL$258, MATCH(0, IF(TRUE=$AI$10:$AI$258, COUNTIF($AN$9:$AN22, $AL$10:$AL$258), ""), 0)),"")</f>
        <v/>
      </c>
      <c r="AO23" s="124" t="str">
        <f t="array" ref="AO23">IFERROR(INDEX($AL$10:$AL$258, MATCH(0, IF(TRUE=$AJ$10:$AJ$258, COUNTIF($AO$9:$AO22, $AL$10:$AL$258), ""), 0)),"")</f>
        <v/>
      </c>
      <c r="AQ23" s="30" t="str">
        <f>IFERROR(INDEX('G-7 WaterC'' Data'!$AZ$3:$AZ$7,MATCH(D23,'G-7 WaterC'' Data'!$AY$3:$AY$7,0)),"")</f>
        <v/>
      </c>
      <c r="AR23" s="30" t="str">
        <f>IFERROR(INDEX('G-7 WaterC'' Data'!AZ23:AZ27,MATCH(D23,'G-7 WaterC'' Data'!$AY$10:$AY$14,0)),"")</f>
        <v/>
      </c>
    </row>
    <row r="24" spans="3:44" ht="15">
      <c r="C24" s="110">
        <v>15</v>
      </c>
      <c r="D24" s="337"/>
      <c r="E24" s="139"/>
      <c r="F24" s="362" t="str">
        <f>IF(D24="","",VLOOKUP(D24,'G-7 WaterC'' Data'!$B$2:$G$8,2,FALSE))</f>
        <v/>
      </c>
      <c r="G24" s="363" t="str">
        <f>IFERROR(VLOOKUP(F24,'G-7 WaterC'' Data'!$C$4:$D$8,2,FALSE),"")</f>
        <v/>
      </c>
      <c r="H24" s="114"/>
      <c r="I24" s="363" t="str">
        <f>IFERROR(INDEX('G-7 WaterC'' Data'!$H$4:$L$8,MATCH(D24,'G-7 WaterC'' Data'!$B$4:$B$8,0),MATCH(H24,'G-7 WaterC'' Data'!$H$3:$L$3,0)),"")</f>
        <v/>
      </c>
      <c r="J24" s="320"/>
      <c r="K24" s="398" t="str">
        <f>IF(J24="","",IF(VLOOKUP(J24,'G-7 WaterC'' Data'!$AK$4:$AM$6,2,FALSE)=0,"Spatial Data Missing ⚠",VLOOKUP(J24,'G-7 WaterC'' Data'!$AK$4:$AM$6,2,FALSE)))</f>
        <v/>
      </c>
      <c r="L24" s="368" t="str">
        <f>IF(J24="","",IF(VLOOKUP(J24,'G-7 WaterC'' Data'!$AK$4:$AM$9,3,FALSE)=0,"Spatial Data Missing ⚠",VLOOKUP(J24,'G-7 WaterC'' Data'!$AK$4:$AM$6,3,FALSE)))</f>
        <v/>
      </c>
      <c r="M24" s="54"/>
      <c r="N24" s="363" t="str">
        <f>IF(M24="","",IF(VLOOKUP(M24,'G-7 WaterC'' Data'!$AA$4:$AB$7,2,FALSE)=0,"Spatial Data Missing ⚠",VLOOKUP(M24,'G-7 WaterC'' Data'!$AA$4:$AB$7,2,FALSE)))</f>
        <v/>
      </c>
      <c r="O24" s="60"/>
      <c r="P24" s="363" t="str">
        <f>IF(O24="","",IF(VLOOKUP(O24,'G-7 WaterC'' Data'!$AD$4:$AE$14,2,FALSE)=0,"Spatial Data Missing ⚠",VLOOKUP(O24,'G-7 WaterC'' Data'!$AD$4:$AE$14,2,FALSE)))</f>
        <v/>
      </c>
      <c r="Q24" s="369" t="str">
        <f>IF(D24="","",VLOOKUP(D24,'G-7 WaterC'' Data'!$B$2:$G$8,6,FALSE))</f>
        <v/>
      </c>
      <c r="R24" s="376" t="str">
        <f>IFERROR(IF(D24="","",IF(AND(Q24='G-1 All Habitats'!$X$3,U24&gt;0),V24+W24,IF(AND(Q24='G-1 All Habitats'!$X$3,T24&gt;0),V24+W24,IF(AND(Q24='G-1 All Habitats'!$X$3,AD24&gt;0),"Any Loss Unacceptable ⚠",IF(AND(Q24='G-1 All Habitats'!$X$3,AE24&gt;0),"Any Loss Unacceptable ⚠", E24*G24*I24*L24*N24*P24 ))))),"Check Data ▲")</f>
        <v/>
      </c>
      <c r="S24" s="32"/>
      <c r="T24" s="114"/>
      <c r="U24" s="125"/>
      <c r="V24" s="374" t="str">
        <f t="shared" si="0"/>
        <v/>
      </c>
      <c r="W24" s="374" t="str">
        <f t="shared" si="1"/>
        <v/>
      </c>
      <c r="X24" s="374" t="str">
        <f t="shared" si="2"/>
        <v/>
      </c>
      <c r="Y24" s="670" t="str">
        <f t="shared" si="3"/>
        <v/>
      </c>
      <c r="Z24" s="706"/>
      <c r="AA24" s="704"/>
      <c r="AB24" s="120"/>
      <c r="AC24" s="120"/>
      <c r="AD24" s="57" t="str">
        <f>IF(Q24="","",IF(Q24='G-1 All Habitats'!$X$3,E24-T24-U24,"None"))</f>
        <v/>
      </c>
      <c r="AE24" s="58" t="str">
        <f>IF(Q24="","", IF(Q24='G-1 All Habitats'!$X$3, AD24*G24*I24*L24*N24*P24,"None"))</f>
        <v/>
      </c>
      <c r="AH24" s="30">
        <f t="shared" si="4"/>
        <v>0</v>
      </c>
      <c r="AI24" s="124" t="str">
        <f t="shared" si="5"/>
        <v/>
      </c>
      <c r="AJ24" s="124" t="str">
        <f t="shared" si="6"/>
        <v/>
      </c>
      <c r="AL24" s="124">
        <v>15</v>
      </c>
      <c r="AN24" s="124" t="str">
        <f t="array" ref="AN24">IFERROR(INDEX($AL$10:$AL$258, MATCH(0, IF(TRUE=$AI$10:$AI$258, COUNTIF($AN$9:$AN23, $AL$10:$AL$258), ""), 0)),"")</f>
        <v/>
      </c>
      <c r="AO24" s="124" t="str">
        <f t="array" ref="AO24">IFERROR(INDEX($AL$10:$AL$258, MATCH(0, IF(TRUE=$AJ$10:$AJ$258, COUNTIF($AO$9:$AO23, $AL$10:$AL$258), ""), 0)),"")</f>
        <v/>
      </c>
      <c r="AQ24" s="30" t="str">
        <f>IFERROR(INDEX('G-7 WaterC'' Data'!$AZ$3:$AZ$7,MATCH(D24,'G-7 WaterC'' Data'!$AY$3:$AY$7,0)),"")</f>
        <v/>
      </c>
      <c r="AR24" s="30" t="str">
        <f>IFERROR(INDEX('G-7 WaterC'' Data'!AZ24:AZ28,MATCH(D24,'G-7 WaterC'' Data'!$AY$10:$AY$14,0)),"")</f>
        <v/>
      </c>
    </row>
    <row r="25" spans="3:44" ht="15">
      <c r="C25" s="110">
        <v>16</v>
      </c>
      <c r="D25" s="337"/>
      <c r="E25" s="139"/>
      <c r="F25" s="362" t="str">
        <f>IF(D25="","",VLOOKUP(D25,'G-7 WaterC'' Data'!$B$2:$G$8,2,FALSE))</f>
        <v/>
      </c>
      <c r="G25" s="363" t="str">
        <f>IFERROR(VLOOKUP(F25,'G-7 WaterC'' Data'!$C$4:$D$8,2,FALSE),"")</f>
        <v/>
      </c>
      <c r="H25" s="114"/>
      <c r="I25" s="363" t="str">
        <f>IFERROR(INDEX('G-7 WaterC'' Data'!$H$4:$L$8,MATCH(D25,'G-7 WaterC'' Data'!$B$4:$B$8,0),MATCH(H25,'G-7 WaterC'' Data'!$H$3:$L$3,0)),"")</f>
        <v/>
      </c>
      <c r="J25" s="320"/>
      <c r="K25" s="398" t="str">
        <f>IF(J25="","",IF(VLOOKUP(J25,'G-7 WaterC'' Data'!$AK$4:$AM$6,2,FALSE)=0,"Spatial Data Missing ⚠",VLOOKUP(J25,'G-7 WaterC'' Data'!$AK$4:$AM$6,2,FALSE)))</f>
        <v/>
      </c>
      <c r="L25" s="368" t="str">
        <f>IF(J25="","",IF(VLOOKUP(J25,'G-7 WaterC'' Data'!$AK$4:$AM$9,3,FALSE)=0,"Spatial Data Missing ⚠",VLOOKUP(J25,'G-7 WaterC'' Data'!$AK$4:$AM$6,3,FALSE)))</f>
        <v/>
      </c>
      <c r="M25" s="54"/>
      <c r="N25" s="363" t="str">
        <f>IF(M25="","",IF(VLOOKUP(M25,'G-7 WaterC'' Data'!$AA$4:$AB$7,2,FALSE)=0,"Spatial Data Missing ⚠",VLOOKUP(M25,'G-7 WaterC'' Data'!$AA$4:$AB$7,2,FALSE)))</f>
        <v/>
      </c>
      <c r="O25" s="60"/>
      <c r="P25" s="363" t="str">
        <f>IF(O25="","",IF(VLOOKUP(O25,'G-7 WaterC'' Data'!$AD$4:$AE$14,2,FALSE)=0,"Spatial Data Missing ⚠",VLOOKUP(O25,'G-7 WaterC'' Data'!$AD$4:$AE$14,2,FALSE)))</f>
        <v/>
      </c>
      <c r="Q25" s="369" t="str">
        <f>IF(D25="","",VLOOKUP(D25,'G-7 WaterC'' Data'!$B$2:$G$8,6,FALSE))</f>
        <v/>
      </c>
      <c r="R25" s="376" t="str">
        <f>IFERROR(IF(D25="","",IF(AND(Q25='G-1 All Habitats'!$X$3,U25&gt;0),V25+W25,IF(AND(Q25='G-1 All Habitats'!$X$3,T25&gt;0),V25+W25,IF(AND(Q25='G-1 All Habitats'!$X$3,AD25&gt;0),"Any Loss Unacceptable ⚠",IF(AND(Q25='G-1 All Habitats'!$X$3,AE25&gt;0),"Any Loss Unacceptable ⚠", E25*G25*I25*L25*N25*P25 ))))),"Check Data ▲")</f>
        <v/>
      </c>
      <c r="S25" s="32"/>
      <c r="T25" s="114"/>
      <c r="U25" s="125"/>
      <c r="V25" s="374" t="str">
        <f t="shared" si="0"/>
        <v/>
      </c>
      <c r="W25" s="374" t="str">
        <f t="shared" si="1"/>
        <v/>
      </c>
      <c r="X25" s="374" t="str">
        <f t="shared" si="2"/>
        <v/>
      </c>
      <c r="Y25" s="670" t="str">
        <f t="shared" si="3"/>
        <v/>
      </c>
      <c r="Z25" s="706"/>
      <c r="AA25" s="704"/>
      <c r="AB25" s="120"/>
      <c r="AC25" s="120"/>
      <c r="AD25" s="57" t="str">
        <f>IF(Q25="","",IF(Q25='G-1 All Habitats'!$X$3,E25-T25-U25,"None"))</f>
        <v/>
      </c>
      <c r="AE25" s="58" t="str">
        <f>IF(Q25="","", IF(Q25='G-1 All Habitats'!$X$3, AD25*G25*I25*L25*N25*P25,"None"))</f>
        <v/>
      </c>
      <c r="AH25" s="30">
        <f t="shared" si="4"/>
        <v>0</v>
      </c>
      <c r="AI25" s="124" t="str">
        <f t="shared" si="5"/>
        <v/>
      </c>
      <c r="AJ25" s="124" t="str">
        <f t="shared" si="6"/>
        <v/>
      </c>
      <c r="AL25" s="124">
        <v>16</v>
      </c>
      <c r="AN25" s="124" t="str">
        <f t="array" ref="AN25">IFERROR(INDEX($AL$10:$AL$258, MATCH(0, IF(TRUE=$AI$10:$AI$258, COUNTIF($AN$9:$AN24, $AL$10:$AL$258), ""), 0)),"")</f>
        <v/>
      </c>
      <c r="AO25" s="124" t="str">
        <f t="array" ref="AO25">IFERROR(INDEX($AL$10:$AL$258, MATCH(0, IF(TRUE=$AJ$10:$AJ$258, COUNTIF($AO$9:$AO24, $AL$10:$AL$258), ""), 0)),"")</f>
        <v/>
      </c>
      <c r="AQ25" s="30" t="str">
        <f>IFERROR(INDEX('G-7 WaterC'' Data'!$AZ$3:$AZ$7,MATCH(D25,'G-7 WaterC'' Data'!$AY$3:$AY$7,0)),"")</f>
        <v/>
      </c>
      <c r="AR25" s="30" t="str">
        <f>IFERROR(INDEX('G-7 WaterC'' Data'!AZ25:AZ29,MATCH(D25,'G-7 WaterC'' Data'!$AY$10:$AY$14,0)),"")</f>
        <v/>
      </c>
    </row>
    <row r="26" spans="3:44" ht="15">
      <c r="C26" s="110">
        <v>17</v>
      </c>
      <c r="D26" s="337"/>
      <c r="E26" s="139"/>
      <c r="F26" s="362" t="str">
        <f>IF(D26="","",VLOOKUP(D26,'G-7 WaterC'' Data'!$B$2:$G$8,2,FALSE))</f>
        <v/>
      </c>
      <c r="G26" s="363" t="str">
        <f>IFERROR(VLOOKUP(F26,'G-7 WaterC'' Data'!$C$4:$D$8,2,FALSE),"")</f>
        <v/>
      </c>
      <c r="H26" s="114"/>
      <c r="I26" s="363" t="str">
        <f>IFERROR(INDEX('G-7 WaterC'' Data'!$H$4:$L$8,MATCH(D26,'G-7 WaterC'' Data'!$B$4:$B$8,0),MATCH(H26,'G-7 WaterC'' Data'!$H$3:$L$3,0)),"")</f>
        <v/>
      </c>
      <c r="J26" s="320"/>
      <c r="K26" s="398" t="str">
        <f>IF(J26="","",IF(VLOOKUP(J26,'G-7 WaterC'' Data'!$AK$4:$AM$6,2,FALSE)=0,"Spatial Data Missing ⚠",VLOOKUP(J26,'G-7 WaterC'' Data'!$AK$4:$AM$6,2,FALSE)))</f>
        <v/>
      </c>
      <c r="L26" s="368" t="str">
        <f>IF(J26="","",IF(VLOOKUP(J26,'G-7 WaterC'' Data'!$AK$4:$AM$9,3,FALSE)=0,"Spatial Data Missing ⚠",VLOOKUP(J26,'G-7 WaterC'' Data'!$AK$4:$AM$6,3,FALSE)))</f>
        <v/>
      </c>
      <c r="M26" s="54"/>
      <c r="N26" s="363" t="str">
        <f>IF(M26="","",IF(VLOOKUP(M26,'G-7 WaterC'' Data'!$AA$4:$AB$7,2,FALSE)=0,"Spatial Data Missing ⚠",VLOOKUP(M26,'G-7 WaterC'' Data'!$AA$4:$AB$7,2,FALSE)))</f>
        <v/>
      </c>
      <c r="O26" s="60"/>
      <c r="P26" s="363" t="str">
        <f>IF(O26="","",IF(VLOOKUP(O26,'G-7 WaterC'' Data'!$AD$4:$AE$14,2,FALSE)=0,"Spatial Data Missing ⚠",VLOOKUP(O26,'G-7 WaterC'' Data'!$AD$4:$AE$14,2,FALSE)))</f>
        <v/>
      </c>
      <c r="Q26" s="369" t="str">
        <f>IF(D26="","",VLOOKUP(D26,'G-7 WaterC'' Data'!$B$2:$G$8,6,FALSE))</f>
        <v/>
      </c>
      <c r="R26" s="376" t="str">
        <f>IFERROR(IF(D26="","",IF(AND(Q26='G-1 All Habitats'!$X$3,U26&gt;0),V26+W26,IF(AND(Q26='G-1 All Habitats'!$X$3,T26&gt;0),V26+W26,IF(AND(Q26='G-1 All Habitats'!$X$3,AD26&gt;0),"Any Loss Unacceptable ⚠",IF(AND(Q26='G-1 All Habitats'!$X$3,AE26&gt;0),"Any Loss Unacceptable ⚠", E26*G26*I26*L26*N26*P26 ))))),"Check Data ▲")</f>
        <v/>
      </c>
      <c r="S26" s="32"/>
      <c r="T26" s="114"/>
      <c r="U26" s="125"/>
      <c r="V26" s="374" t="str">
        <f t="shared" si="0"/>
        <v/>
      </c>
      <c r="W26" s="374" t="str">
        <f t="shared" si="1"/>
        <v/>
      </c>
      <c r="X26" s="374" t="str">
        <f t="shared" si="2"/>
        <v/>
      </c>
      <c r="Y26" s="670" t="str">
        <f t="shared" si="3"/>
        <v/>
      </c>
      <c r="Z26" s="706"/>
      <c r="AA26" s="704"/>
      <c r="AB26" s="120"/>
      <c r="AC26" s="120"/>
      <c r="AD26" s="57" t="str">
        <f>IF(Q26="","",IF(Q26='G-1 All Habitats'!$X$3,E26-T26-U26,"None"))</f>
        <v/>
      </c>
      <c r="AE26" s="58" t="str">
        <f>IF(Q26="","", IF(Q26='G-1 All Habitats'!$X$3, AD26*G26*I26*L26*N26*P26,"None"))</f>
        <v/>
      </c>
      <c r="AH26" s="30">
        <f t="shared" si="4"/>
        <v>0</v>
      </c>
      <c r="AI26" s="124" t="str">
        <f t="shared" si="5"/>
        <v/>
      </c>
      <c r="AJ26" s="124" t="str">
        <f t="shared" si="6"/>
        <v/>
      </c>
      <c r="AL26" s="124">
        <v>17</v>
      </c>
      <c r="AN26" s="124" t="str">
        <f t="array" ref="AN26">IFERROR(INDEX($AL$10:$AL$258, MATCH(0, IF(TRUE=$AI$10:$AI$258, COUNTIF($AN$9:$AN25, $AL$10:$AL$258), ""), 0)),"")</f>
        <v/>
      </c>
      <c r="AO26" s="124" t="str">
        <f t="array" ref="AO26">IFERROR(INDEX($AL$10:$AL$258, MATCH(0, IF(TRUE=$AJ$10:$AJ$258, COUNTIF($AO$9:$AO25, $AL$10:$AL$258), ""), 0)),"")</f>
        <v/>
      </c>
      <c r="AQ26" s="30" t="str">
        <f>IFERROR(INDEX('G-7 WaterC'' Data'!$AZ$3:$AZ$7,MATCH(D26,'G-7 WaterC'' Data'!$AY$3:$AY$7,0)),"")</f>
        <v/>
      </c>
      <c r="AR26" s="30" t="str">
        <f>IFERROR(INDEX('G-7 WaterC'' Data'!AZ26:AZ30,MATCH(D26,'G-7 WaterC'' Data'!$AY$10:$AY$14,0)),"")</f>
        <v/>
      </c>
    </row>
    <row r="27" spans="3:44" ht="15">
      <c r="C27" s="110">
        <v>18</v>
      </c>
      <c r="D27" s="337"/>
      <c r="E27" s="139"/>
      <c r="F27" s="362" t="str">
        <f>IF(D27="","",VLOOKUP(D27,'G-7 WaterC'' Data'!$B$2:$G$8,2,FALSE))</f>
        <v/>
      </c>
      <c r="G27" s="363" t="str">
        <f>IFERROR(VLOOKUP(F27,'G-7 WaterC'' Data'!$C$4:$D$8,2,FALSE),"")</f>
        <v/>
      </c>
      <c r="H27" s="114"/>
      <c r="I27" s="363" t="str">
        <f>IFERROR(INDEX('G-7 WaterC'' Data'!$H$4:$L$8,MATCH(D27,'G-7 WaterC'' Data'!$B$4:$B$8,0),MATCH(H27,'G-7 WaterC'' Data'!$H$3:$L$3,0)),"")</f>
        <v/>
      </c>
      <c r="J27" s="320"/>
      <c r="K27" s="398" t="str">
        <f>IF(J27="","",IF(VLOOKUP(J27,'G-7 WaterC'' Data'!$AK$4:$AM$6,2,FALSE)=0,"Spatial Data Missing ⚠",VLOOKUP(J27,'G-7 WaterC'' Data'!$AK$4:$AM$6,2,FALSE)))</f>
        <v/>
      </c>
      <c r="L27" s="368" t="str">
        <f>IF(J27="","",IF(VLOOKUP(J27,'G-7 WaterC'' Data'!$AK$4:$AM$9,3,FALSE)=0,"Spatial Data Missing ⚠",VLOOKUP(J27,'G-7 WaterC'' Data'!$AK$4:$AM$6,3,FALSE)))</f>
        <v/>
      </c>
      <c r="M27" s="54"/>
      <c r="N27" s="363" t="str">
        <f>IF(M27="","",IF(VLOOKUP(M27,'G-7 WaterC'' Data'!$AA$4:$AB$7,2,FALSE)=0,"Spatial Data Missing ⚠",VLOOKUP(M27,'G-7 WaterC'' Data'!$AA$4:$AB$7,2,FALSE)))</f>
        <v/>
      </c>
      <c r="O27" s="60"/>
      <c r="P27" s="363" t="str">
        <f>IF(O27="","",IF(VLOOKUP(O27,'G-7 WaterC'' Data'!$AD$4:$AE$14,2,FALSE)=0,"Spatial Data Missing ⚠",VLOOKUP(O27,'G-7 WaterC'' Data'!$AD$4:$AE$14,2,FALSE)))</f>
        <v/>
      </c>
      <c r="Q27" s="369" t="str">
        <f>IF(D27="","",VLOOKUP(D27,'G-7 WaterC'' Data'!$B$2:$G$8,6,FALSE))</f>
        <v/>
      </c>
      <c r="R27" s="376" t="str">
        <f>IFERROR(IF(D27="","",IF(AND(Q27='G-1 All Habitats'!$X$3,U27&gt;0),V27+W27,IF(AND(Q27='G-1 All Habitats'!$X$3,T27&gt;0),V27+W27,IF(AND(Q27='G-1 All Habitats'!$X$3,AD27&gt;0),"Any Loss Unacceptable ⚠",IF(AND(Q27='G-1 All Habitats'!$X$3,AE27&gt;0),"Any Loss Unacceptable ⚠", E27*G27*I27*L27*N27*P27 ))))),"Check Data ▲")</f>
        <v/>
      </c>
      <c r="S27" s="32"/>
      <c r="T27" s="114"/>
      <c r="U27" s="125"/>
      <c r="V27" s="374" t="str">
        <f t="shared" si="0"/>
        <v/>
      </c>
      <c r="W27" s="374" t="str">
        <f t="shared" si="1"/>
        <v/>
      </c>
      <c r="X27" s="374" t="str">
        <f t="shared" si="2"/>
        <v/>
      </c>
      <c r="Y27" s="670" t="str">
        <f t="shared" si="3"/>
        <v/>
      </c>
      <c r="Z27" s="706"/>
      <c r="AA27" s="704"/>
      <c r="AB27" s="120"/>
      <c r="AC27" s="120"/>
      <c r="AD27" s="57" t="str">
        <f>IF(Q27="","",IF(Q27='G-1 All Habitats'!$X$3,E27-T27-U27,"None"))</f>
        <v/>
      </c>
      <c r="AE27" s="58" t="str">
        <f>IF(Q27="","", IF(Q27='G-1 All Habitats'!$X$3, AD27*G27*I27*L27*N27*P27,"None"))</f>
        <v/>
      </c>
      <c r="AH27" s="30">
        <f t="shared" si="4"/>
        <v>0</v>
      </c>
      <c r="AI27" s="124" t="str">
        <f t="shared" si="5"/>
        <v/>
      </c>
      <c r="AJ27" s="124" t="str">
        <f t="shared" si="6"/>
        <v/>
      </c>
      <c r="AL27" s="124">
        <v>18</v>
      </c>
      <c r="AN27" s="124" t="str">
        <f t="array" ref="AN27">IFERROR(INDEX($AL$10:$AL$258, MATCH(0, IF(TRUE=$AI$10:$AI$258, COUNTIF($AN$9:$AN26, $AL$10:$AL$258), ""), 0)),"")</f>
        <v/>
      </c>
      <c r="AO27" s="124" t="str">
        <f t="array" ref="AO27">IFERROR(INDEX($AL$10:$AL$258, MATCH(0, IF(TRUE=$AJ$10:$AJ$258, COUNTIF($AO$9:$AO26, $AL$10:$AL$258), ""), 0)),"")</f>
        <v/>
      </c>
      <c r="AQ27" s="30" t="str">
        <f>IFERROR(INDEX('G-7 WaterC'' Data'!$AZ$3:$AZ$7,MATCH(D27,'G-7 WaterC'' Data'!$AY$3:$AY$7,0)),"")</f>
        <v/>
      </c>
      <c r="AR27" s="30" t="str">
        <f>IFERROR(INDEX('G-7 WaterC'' Data'!AZ27:AZ31,MATCH(D27,'G-7 WaterC'' Data'!$AY$10:$AY$14,0)),"")</f>
        <v/>
      </c>
    </row>
    <row r="28" spans="3:44" ht="15">
      <c r="C28" s="110">
        <v>19</v>
      </c>
      <c r="D28" s="337"/>
      <c r="E28" s="139"/>
      <c r="F28" s="362" t="str">
        <f>IF(D28="","",VLOOKUP(D28,'G-7 WaterC'' Data'!$B$2:$G$8,2,FALSE))</f>
        <v/>
      </c>
      <c r="G28" s="363" t="str">
        <f>IFERROR(VLOOKUP(F28,'G-7 WaterC'' Data'!$C$4:$D$8,2,FALSE),"")</f>
        <v/>
      </c>
      <c r="H28" s="114"/>
      <c r="I28" s="363" t="str">
        <f>IFERROR(INDEX('G-7 WaterC'' Data'!$H$4:$L$8,MATCH(D28,'G-7 WaterC'' Data'!$B$4:$B$8,0),MATCH(H28,'G-7 WaterC'' Data'!$H$3:$L$3,0)),"")</f>
        <v/>
      </c>
      <c r="J28" s="320"/>
      <c r="K28" s="398" t="str">
        <f>IF(J28="","",IF(VLOOKUP(J28,'G-7 WaterC'' Data'!$AK$4:$AM$6,2,FALSE)=0,"Spatial Data Missing ⚠",VLOOKUP(J28,'G-7 WaterC'' Data'!$AK$4:$AM$6,2,FALSE)))</f>
        <v/>
      </c>
      <c r="L28" s="368" t="str">
        <f>IF(J28="","",IF(VLOOKUP(J28,'G-7 WaterC'' Data'!$AK$4:$AM$9,3,FALSE)=0,"Spatial Data Missing ⚠",VLOOKUP(J28,'G-7 WaterC'' Data'!$AK$4:$AM$6,3,FALSE)))</f>
        <v/>
      </c>
      <c r="M28" s="54"/>
      <c r="N28" s="363" t="str">
        <f>IF(M28="","",IF(VLOOKUP(M28,'G-7 WaterC'' Data'!$AA$4:$AB$7,2,FALSE)=0,"Spatial Data Missing ⚠",VLOOKUP(M28,'G-7 WaterC'' Data'!$AA$4:$AB$7,2,FALSE)))</f>
        <v/>
      </c>
      <c r="O28" s="60"/>
      <c r="P28" s="363" t="str">
        <f>IF(O28="","",IF(VLOOKUP(O28,'G-7 WaterC'' Data'!$AD$4:$AE$14,2,FALSE)=0,"Spatial Data Missing ⚠",VLOOKUP(O28,'G-7 WaterC'' Data'!$AD$4:$AE$14,2,FALSE)))</f>
        <v/>
      </c>
      <c r="Q28" s="369" t="str">
        <f>IF(D28="","",VLOOKUP(D28,'G-7 WaterC'' Data'!$B$2:$G$8,6,FALSE))</f>
        <v/>
      </c>
      <c r="R28" s="376" t="str">
        <f>IFERROR(IF(D28="","",IF(AND(Q28='G-1 All Habitats'!$X$3,U28&gt;0),V28+W28,IF(AND(Q28='G-1 All Habitats'!$X$3,T28&gt;0),V28+W28,IF(AND(Q28='G-1 All Habitats'!$X$3,AD28&gt;0),"Any Loss Unacceptable ⚠",IF(AND(Q28='G-1 All Habitats'!$X$3,AE28&gt;0),"Any Loss Unacceptable ⚠", E28*G28*I28*L28*N28*P28 ))))),"Check Data ▲")</f>
        <v/>
      </c>
      <c r="S28" s="32"/>
      <c r="T28" s="114"/>
      <c r="U28" s="125"/>
      <c r="V28" s="374" t="str">
        <f t="shared" si="0"/>
        <v/>
      </c>
      <c r="W28" s="374" t="str">
        <f t="shared" si="1"/>
        <v/>
      </c>
      <c r="X28" s="374" t="str">
        <f t="shared" si="2"/>
        <v/>
      </c>
      <c r="Y28" s="670" t="str">
        <f t="shared" si="3"/>
        <v/>
      </c>
      <c r="Z28" s="706"/>
      <c r="AA28" s="704"/>
      <c r="AB28" s="120"/>
      <c r="AC28" s="120"/>
      <c r="AD28" s="57" t="str">
        <f>IF(Q28="","",IF(Q28='G-1 All Habitats'!$X$3,E28-T28-U28,"None"))</f>
        <v/>
      </c>
      <c r="AE28" s="58" t="str">
        <f>IF(Q28="","", IF(Q28='G-1 All Habitats'!$X$3, AD28*G28*I28*L28*N28*P28,"None"))</f>
        <v/>
      </c>
      <c r="AH28" s="30">
        <f t="shared" si="4"/>
        <v>0</v>
      </c>
      <c r="AI28" s="124" t="str">
        <f t="shared" si="5"/>
        <v/>
      </c>
      <c r="AJ28" s="124" t="str">
        <f t="shared" si="6"/>
        <v/>
      </c>
      <c r="AL28" s="124">
        <v>19</v>
      </c>
      <c r="AN28" s="124" t="str">
        <f t="array" ref="AN28">IFERROR(INDEX($AL$10:$AL$258, MATCH(0, IF(TRUE=$AI$10:$AI$258, COUNTIF($AN$9:$AN27, $AL$10:$AL$258), ""), 0)),"")</f>
        <v/>
      </c>
      <c r="AO28" s="124" t="str">
        <f t="array" ref="AO28">IFERROR(INDEX($AL$10:$AL$258, MATCH(0, IF(TRUE=$AJ$10:$AJ$258, COUNTIF($AO$9:$AO27, $AL$10:$AL$258), ""), 0)),"")</f>
        <v/>
      </c>
      <c r="AQ28" s="30" t="str">
        <f>IFERROR(INDEX('G-7 WaterC'' Data'!$AZ$3:$AZ$7,MATCH(D28,'G-7 WaterC'' Data'!$AY$3:$AY$7,0)),"")</f>
        <v/>
      </c>
      <c r="AR28" s="30" t="str">
        <f>IFERROR(INDEX('G-7 WaterC'' Data'!AZ28:AZ32,MATCH(D28,'G-7 WaterC'' Data'!$AY$10:$AY$14,0)),"")</f>
        <v/>
      </c>
    </row>
    <row r="29" spans="3:44" ht="15">
      <c r="C29" s="110">
        <v>20</v>
      </c>
      <c r="D29" s="337"/>
      <c r="E29" s="139"/>
      <c r="F29" s="362" t="str">
        <f>IF(D29="","",VLOOKUP(D29,'G-7 WaterC'' Data'!$B$2:$G$8,2,FALSE))</f>
        <v/>
      </c>
      <c r="G29" s="363" t="str">
        <f>IFERROR(VLOOKUP(F29,'G-7 WaterC'' Data'!$C$4:$D$8,2,FALSE),"")</f>
        <v/>
      </c>
      <c r="H29" s="114"/>
      <c r="I29" s="363" t="str">
        <f>IFERROR(INDEX('G-7 WaterC'' Data'!$H$4:$L$8,MATCH(D29,'G-7 WaterC'' Data'!$B$4:$B$8,0),MATCH(H29,'G-7 WaterC'' Data'!$H$3:$L$3,0)),"")</f>
        <v/>
      </c>
      <c r="J29" s="320"/>
      <c r="K29" s="398" t="str">
        <f>IF(J29="","",IF(VLOOKUP(J29,'G-7 WaterC'' Data'!$AK$4:$AM$6,2,FALSE)=0,"Spatial Data Missing ⚠",VLOOKUP(J29,'G-7 WaterC'' Data'!$AK$4:$AM$6,2,FALSE)))</f>
        <v/>
      </c>
      <c r="L29" s="368" t="str">
        <f>IF(J29="","",IF(VLOOKUP(J29,'G-7 WaterC'' Data'!$AK$4:$AM$9,3,FALSE)=0,"Spatial Data Missing ⚠",VLOOKUP(J29,'G-7 WaterC'' Data'!$AK$4:$AM$6,3,FALSE)))</f>
        <v/>
      </c>
      <c r="M29" s="54"/>
      <c r="N29" s="363" t="str">
        <f>IF(M29="","",IF(VLOOKUP(M29,'G-7 WaterC'' Data'!$AA$4:$AB$7,2,FALSE)=0,"Spatial Data Missing ⚠",VLOOKUP(M29,'G-7 WaterC'' Data'!$AA$4:$AB$7,2,FALSE)))</f>
        <v/>
      </c>
      <c r="O29" s="60"/>
      <c r="P29" s="363" t="str">
        <f>IF(O29="","",IF(VLOOKUP(O29,'G-7 WaterC'' Data'!$AD$4:$AE$14,2,FALSE)=0,"Spatial Data Missing ⚠",VLOOKUP(O29,'G-7 WaterC'' Data'!$AD$4:$AE$14,2,FALSE)))</f>
        <v/>
      </c>
      <c r="Q29" s="369" t="str">
        <f>IF(D29="","",VLOOKUP(D29,'G-7 WaterC'' Data'!$B$2:$G$8,6,FALSE))</f>
        <v/>
      </c>
      <c r="R29" s="376" t="str">
        <f>IFERROR(IF(D29="","",IF(AND(Q29='G-1 All Habitats'!$X$3,U29&gt;0),V29+W29,IF(AND(Q29='G-1 All Habitats'!$X$3,T29&gt;0),V29+W29,IF(AND(Q29='G-1 All Habitats'!$X$3,AD29&gt;0),"Any Loss Unacceptable ⚠",IF(AND(Q29='G-1 All Habitats'!$X$3,AE29&gt;0),"Any Loss Unacceptable ⚠", E29*G29*I29*L29*N29*P29 ))))),"Check Data ▲")</f>
        <v/>
      </c>
      <c r="S29" s="32"/>
      <c r="T29" s="114"/>
      <c r="U29" s="125"/>
      <c r="V29" s="374" t="str">
        <f t="shared" si="0"/>
        <v/>
      </c>
      <c r="W29" s="374" t="str">
        <f t="shared" si="1"/>
        <v/>
      </c>
      <c r="X29" s="374" t="str">
        <f t="shared" si="2"/>
        <v/>
      </c>
      <c r="Y29" s="670" t="str">
        <f t="shared" si="3"/>
        <v/>
      </c>
      <c r="Z29" s="706"/>
      <c r="AA29" s="704"/>
      <c r="AB29" s="120"/>
      <c r="AC29" s="120"/>
      <c r="AD29" s="57" t="str">
        <f>IF(Q29="","",IF(Q29='G-1 All Habitats'!$X$3,E29-T29-U29,"None"))</f>
        <v/>
      </c>
      <c r="AE29" s="58" t="str">
        <f>IF(Q29="","", IF(Q29='G-1 All Habitats'!$X$3, AD29*G29*I29*L29*N29*P29,"None"))</f>
        <v/>
      </c>
      <c r="AH29" s="30">
        <f t="shared" si="4"/>
        <v>0</v>
      </c>
      <c r="AI29" s="124" t="str">
        <f t="shared" si="5"/>
        <v/>
      </c>
      <c r="AJ29" s="124" t="str">
        <f t="shared" si="6"/>
        <v/>
      </c>
      <c r="AL29" s="124">
        <v>20</v>
      </c>
      <c r="AN29" s="124" t="str">
        <f t="array" ref="AN29">IFERROR(INDEX($AL$10:$AL$258, MATCH(0, IF(TRUE=$AI$10:$AI$258, COUNTIF($AN$9:$AN28, $AL$10:$AL$258), ""), 0)),"")</f>
        <v/>
      </c>
      <c r="AO29" s="124" t="str">
        <f t="array" ref="AO29">IFERROR(INDEX($AL$10:$AL$258, MATCH(0, IF(TRUE=$AJ$10:$AJ$258, COUNTIF($AO$9:$AO28, $AL$10:$AL$258), ""), 0)),"")</f>
        <v/>
      </c>
      <c r="AQ29" s="30" t="str">
        <f>IFERROR(INDEX('G-7 WaterC'' Data'!$AZ$3:$AZ$7,MATCH(D29,'G-7 WaterC'' Data'!$AY$3:$AY$7,0)),"")</f>
        <v/>
      </c>
      <c r="AR29" s="30" t="str">
        <f>IFERROR(INDEX('G-7 WaterC'' Data'!AZ29:AZ33,MATCH(D29,'G-7 WaterC'' Data'!$AY$10:$AY$14,0)),"")</f>
        <v/>
      </c>
    </row>
    <row r="30" spans="3:44" ht="15">
      <c r="C30" s="110">
        <v>21</v>
      </c>
      <c r="D30" s="337"/>
      <c r="E30" s="139"/>
      <c r="F30" s="362" t="str">
        <f>IF(D30="","",VLOOKUP(D30,'G-7 WaterC'' Data'!$B$2:$G$8,2,FALSE))</f>
        <v/>
      </c>
      <c r="G30" s="363" t="str">
        <f>IFERROR(VLOOKUP(F30,'G-7 WaterC'' Data'!$C$4:$D$8,2,FALSE),"")</f>
        <v/>
      </c>
      <c r="H30" s="114"/>
      <c r="I30" s="363" t="str">
        <f>IFERROR(INDEX('G-7 WaterC'' Data'!$H$4:$L$8,MATCH(D30,'G-7 WaterC'' Data'!$B$4:$B$8,0),MATCH(H30,'G-7 WaterC'' Data'!$H$3:$L$3,0)),"")</f>
        <v/>
      </c>
      <c r="J30" s="320"/>
      <c r="K30" s="398" t="str">
        <f>IF(J30="","",IF(VLOOKUP(J30,'G-7 WaterC'' Data'!$AK$4:$AM$6,2,FALSE)=0,"Spatial Data Missing ⚠",VLOOKUP(J30,'G-7 WaterC'' Data'!$AK$4:$AM$6,2,FALSE)))</f>
        <v/>
      </c>
      <c r="L30" s="368" t="str">
        <f>IF(J30="","",IF(VLOOKUP(J30,'G-7 WaterC'' Data'!$AK$4:$AM$9,3,FALSE)=0,"Spatial Data Missing ⚠",VLOOKUP(J30,'G-7 WaterC'' Data'!$AK$4:$AM$6,3,FALSE)))</f>
        <v/>
      </c>
      <c r="M30" s="54"/>
      <c r="N30" s="363" t="str">
        <f>IF(M30="","",IF(VLOOKUP(M30,'G-7 WaterC'' Data'!$AA$4:$AB$7,2,FALSE)=0,"Spatial Data Missing ⚠",VLOOKUP(M30,'G-7 WaterC'' Data'!$AA$4:$AB$7,2,FALSE)))</f>
        <v/>
      </c>
      <c r="O30" s="60"/>
      <c r="P30" s="363" t="str">
        <f>IF(O30="","",IF(VLOOKUP(O30,'G-7 WaterC'' Data'!$AD$4:$AE$14,2,FALSE)=0,"Spatial Data Missing ⚠",VLOOKUP(O30,'G-7 WaterC'' Data'!$AD$4:$AE$14,2,FALSE)))</f>
        <v/>
      </c>
      <c r="Q30" s="369" t="str">
        <f>IF(D30="","",VLOOKUP(D30,'G-7 WaterC'' Data'!$B$2:$G$8,6,FALSE))</f>
        <v/>
      </c>
      <c r="R30" s="376" t="str">
        <f>IFERROR(IF(D30="","",IF(AND(Q30='G-1 All Habitats'!$X$3,U30&gt;0),V30+W30,IF(AND(Q30='G-1 All Habitats'!$X$3,T30&gt;0),V30+W30,IF(AND(Q30='G-1 All Habitats'!$X$3,AD30&gt;0),"Any Loss Unacceptable ⚠",IF(AND(Q30='G-1 All Habitats'!$X$3,AE30&gt;0),"Any Loss Unacceptable ⚠", E30*G30*I30*L30*N30*P30 ))))),"Check Data ▲")</f>
        <v/>
      </c>
      <c r="S30" s="32"/>
      <c r="T30" s="114"/>
      <c r="U30" s="125"/>
      <c r="V30" s="374" t="str">
        <f t="shared" si="0"/>
        <v/>
      </c>
      <c r="W30" s="374" t="str">
        <f t="shared" si="1"/>
        <v/>
      </c>
      <c r="X30" s="374" t="str">
        <f t="shared" si="2"/>
        <v/>
      </c>
      <c r="Y30" s="670" t="str">
        <f t="shared" si="3"/>
        <v/>
      </c>
      <c r="Z30" s="706"/>
      <c r="AA30" s="704"/>
      <c r="AB30" s="120"/>
      <c r="AC30" s="120"/>
      <c r="AD30" s="57" t="str">
        <f>IF(Q30="","",IF(Q30='G-1 All Habitats'!$X$3,E30-T30-U30,"None"))</f>
        <v/>
      </c>
      <c r="AE30" s="58" t="str">
        <f>IF(Q30="","", IF(Q30='G-1 All Habitats'!$X$3, AD30*G30*I30*L30*N30*P30,"None"))</f>
        <v/>
      </c>
      <c r="AH30" s="30">
        <f t="shared" si="4"/>
        <v>0</v>
      </c>
      <c r="AI30" s="124" t="str">
        <f t="shared" si="5"/>
        <v/>
      </c>
      <c r="AJ30" s="124" t="str">
        <f t="shared" si="6"/>
        <v/>
      </c>
      <c r="AL30" s="124">
        <v>21</v>
      </c>
      <c r="AN30" s="124" t="str">
        <f t="array" ref="AN30">IFERROR(INDEX($AL$10:$AL$258, MATCH(0, IF(TRUE=$AI$10:$AI$258, COUNTIF($AN$9:$AN29, $AL$10:$AL$258), ""), 0)),"")</f>
        <v/>
      </c>
      <c r="AO30" s="124" t="str">
        <f t="array" ref="AO30">IFERROR(INDEX($AL$10:$AL$258, MATCH(0, IF(TRUE=$AJ$10:$AJ$258, COUNTIF($AO$9:$AO29, $AL$10:$AL$258), ""), 0)),"")</f>
        <v/>
      </c>
      <c r="AQ30" s="30" t="str">
        <f>IFERROR(INDEX('G-7 WaterC'' Data'!$AZ$3:$AZ$7,MATCH(D30,'G-7 WaterC'' Data'!$AY$3:$AY$7,0)),"")</f>
        <v/>
      </c>
      <c r="AR30" s="30" t="str">
        <f>IFERROR(INDEX('G-7 WaterC'' Data'!AZ30:AZ34,MATCH(D30,'G-7 WaterC'' Data'!$AY$10:$AY$14,0)),"")</f>
        <v/>
      </c>
    </row>
    <row r="31" spans="3:44" ht="15">
      <c r="C31" s="110">
        <v>22</v>
      </c>
      <c r="D31" s="337"/>
      <c r="E31" s="139"/>
      <c r="F31" s="362" t="str">
        <f>IF(D31="","",VLOOKUP(D31,'G-7 WaterC'' Data'!$B$2:$G$8,2,FALSE))</f>
        <v/>
      </c>
      <c r="G31" s="363" t="str">
        <f>IFERROR(VLOOKUP(F31,'G-7 WaterC'' Data'!$C$4:$D$8,2,FALSE),"")</f>
        <v/>
      </c>
      <c r="H31" s="114"/>
      <c r="I31" s="363" t="str">
        <f>IFERROR(INDEX('G-7 WaterC'' Data'!$H$4:$L$8,MATCH(D31,'G-7 WaterC'' Data'!$B$4:$B$8,0),MATCH(H31,'G-7 WaterC'' Data'!$H$3:$L$3,0)),"")</f>
        <v/>
      </c>
      <c r="J31" s="320"/>
      <c r="K31" s="398" t="str">
        <f>IF(J31="","",IF(VLOOKUP(J31,'G-7 WaterC'' Data'!$AK$4:$AM$6,2,FALSE)=0,"Spatial Data Missing ⚠",VLOOKUP(J31,'G-7 WaterC'' Data'!$AK$4:$AM$6,2,FALSE)))</f>
        <v/>
      </c>
      <c r="L31" s="368" t="str">
        <f>IF(J31="","",IF(VLOOKUP(J31,'G-7 WaterC'' Data'!$AK$4:$AM$9,3,FALSE)=0,"Spatial Data Missing ⚠",VLOOKUP(J31,'G-7 WaterC'' Data'!$AK$4:$AM$6,3,FALSE)))</f>
        <v/>
      </c>
      <c r="M31" s="54"/>
      <c r="N31" s="363" t="str">
        <f>IF(M31="","",IF(VLOOKUP(M31,'G-7 WaterC'' Data'!$AA$4:$AB$7,2,FALSE)=0,"Spatial Data Missing ⚠",VLOOKUP(M31,'G-7 WaterC'' Data'!$AA$4:$AB$7,2,FALSE)))</f>
        <v/>
      </c>
      <c r="O31" s="60"/>
      <c r="P31" s="363" t="str">
        <f>IF(O31="","",IF(VLOOKUP(O31,'G-7 WaterC'' Data'!$AD$4:$AE$14,2,FALSE)=0,"Spatial Data Missing ⚠",VLOOKUP(O31,'G-7 WaterC'' Data'!$AD$4:$AE$14,2,FALSE)))</f>
        <v/>
      </c>
      <c r="Q31" s="369" t="str">
        <f>IF(D31="","",VLOOKUP(D31,'G-7 WaterC'' Data'!$B$2:$G$8,6,FALSE))</f>
        <v/>
      </c>
      <c r="R31" s="376" t="str">
        <f>IFERROR(IF(D31="","",IF(AND(Q31='G-1 All Habitats'!$X$3,U31&gt;0),V31+W31,IF(AND(Q31='G-1 All Habitats'!$X$3,T31&gt;0),V31+W31,IF(AND(Q31='G-1 All Habitats'!$X$3,AD31&gt;0),"Any Loss Unacceptable ⚠",IF(AND(Q31='G-1 All Habitats'!$X$3,AE31&gt;0),"Any Loss Unacceptable ⚠", E31*G31*I31*L31*N31*P31 ))))),"Check Data ▲")</f>
        <v/>
      </c>
      <c r="S31" s="32"/>
      <c r="T31" s="114"/>
      <c r="U31" s="125"/>
      <c r="V31" s="374" t="str">
        <f t="shared" si="0"/>
        <v/>
      </c>
      <c r="W31" s="374" t="str">
        <f t="shared" si="1"/>
        <v/>
      </c>
      <c r="X31" s="374" t="str">
        <f t="shared" si="2"/>
        <v/>
      </c>
      <c r="Y31" s="670" t="str">
        <f t="shared" si="3"/>
        <v/>
      </c>
      <c r="Z31" s="706"/>
      <c r="AA31" s="704"/>
      <c r="AB31" s="120"/>
      <c r="AC31" s="120"/>
      <c r="AD31" s="57" t="str">
        <f>IF(Q31="","",IF(Q31='G-1 All Habitats'!$X$3,E31-T31-U31,"None"))</f>
        <v/>
      </c>
      <c r="AE31" s="58" t="str">
        <f>IF(Q31="","", IF(Q31='G-1 All Habitats'!$X$3, AD31*G31*I31*L31*N31*P31,"None"))</f>
        <v/>
      </c>
      <c r="AH31" s="30">
        <f t="shared" si="4"/>
        <v>0</v>
      </c>
      <c r="AI31" s="124" t="str">
        <f t="shared" si="5"/>
        <v/>
      </c>
      <c r="AJ31" s="124" t="str">
        <f t="shared" si="6"/>
        <v/>
      </c>
      <c r="AL31" s="124">
        <v>22</v>
      </c>
      <c r="AN31" s="124" t="str">
        <f t="array" ref="AN31">IFERROR(INDEX($AL$10:$AL$258, MATCH(0, IF(TRUE=$AI$10:$AI$258, COUNTIF($AN$9:$AN30, $AL$10:$AL$258), ""), 0)),"")</f>
        <v/>
      </c>
      <c r="AO31" s="124" t="str">
        <f t="array" ref="AO31">IFERROR(INDEX($AL$10:$AL$258, MATCH(0, IF(TRUE=$AJ$10:$AJ$258, COUNTIF($AO$9:$AO30, $AL$10:$AL$258), ""), 0)),"")</f>
        <v/>
      </c>
      <c r="AQ31" s="30" t="str">
        <f>IFERROR(INDEX('G-7 WaterC'' Data'!$AZ$3:$AZ$7,MATCH(D31,'G-7 WaterC'' Data'!$AY$3:$AY$7,0)),"")</f>
        <v/>
      </c>
      <c r="AR31" s="30" t="str">
        <f>IFERROR(INDEX('G-7 WaterC'' Data'!AZ31:AZ35,MATCH(D31,'G-7 WaterC'' Data'!$AY$10:$AY$14,0)),"")</f>
        <v/>
      </c>
    </row>
    <row r="32" spans="3:44" ht="15">
      <c r="C32" s="110">
        <v>23</v>
      </c>
      <c r="D32" s="337"/>
      <c r="E32" s="139"/>
      <c r="F32" s="362" t="str">
        <f>IF(D32="","",VLOOKUP(D32,'G-7 WaterC'' Data'!$B$2:$G$8,2,FALSE))</f>
        <v/>
      </c>
      <c r="G32" s="363" t="str">
        <f>IFERROR(VLOOKUP(F32,'G-7 WaterC'' Data'!$C$4:$D$8,2,FALSE),"")</f>
        <v/>
      </c>
      <c r="H32" s="114"/>
      <c r="I32" s="363" t="str">
        <f>IFERROR(INDEX('G-7 WaterC'' Data'!$H$4:$L$8,MATCH(D32,'G-7 WaterC'' Data'!$B$4:$B$8,0),MATCH(H32,'G-7 WaterC'' Data'!$H$3:$L$3,0)),"")</f>
        <v/>
      </c>
      <c r="J32" s="320"/>
      <c r="K32" s="398" t="str">
        <f>IF(J32="","",IF(VLOOKUP(J32,'G-7 WaterC'' Data'!$AK$4:$AM$6,2,FALSE)=0,"Spatial Data Missing ⚠",VLOOKUP(J32,'G-7 WaterC'' Data'!$AK$4:$AM$6,2,FALSE)))</f>
        <v/>
      </c>
      <c r="L32" s="368" t="str">
        <f>IF(J32="","",IF(VLOOKUP(J32,'G-7 WaterC'' Data'!$AK$4:$AM$9,3,FALSE)=0,"Spatial Data Missing ⚠",VLOOKUP(J32,'G-7 WaterC'' Data'!$AK$4:$AM$6,3,FALSE)))</f>
        <v/>
      </c>
      <c r="M32" s="54"/>
      <c r="N32" s="363" t="str">
        <f>IF(M32="","",IF(VLOOKUP(M32,'G-7 WaterC'' Data'!$AA$4:$AB$7,2,FALSE)=0,"Spatial Data Missing ⚠",VLOOKUP(M32,'G-7 WaterC'' Data'!$AA$4:$AB$7,2,FALSE)))</f>
        <v/>
      </c>
      <c r="O32" s="60"/>
      <c r="P32" s="363" t="str">
        <f>IF(O32="","",IF(VLOOKUP(O32,'G-7 WaterC'' Data'!$AD$4:$AE$14,2,FALSE)=0,"Spatial Data Missing ⚠",VLOOKUP(O32,'G-7 WaterC'' Data'!$AD$4:$AE$14,2,FALSE)))</f>
        <v/>
      </c>
      <c r="Q32" s="369" t="str">
        <f>IF(D32="","",VLOOKUP(D32,'G-7 WaterC'' Data'!$B$2:$G$8,6,FALSE))</f>
        <v/>
      </c>
      <c r="R32" s="376" t="str">
        <f>IFERROR(IF(D32="","",IF(AND(Q32='G-1 All Habitats'!$X$3,U32&gt;0),V32+W32,IF(AND(Q32='G-1 All Habitats'!$X$3,T32&gt;0),V32+W32,IF(AND(Q32='G-1 All Habitats'!$X$3,AD32&gt;0),"Any Loss Unacceptable ⚠",IF(AND(Q32='G-1 All Habitats'!$X$3,AE32&gt;0),"Any Loss Unacceptable ⚠", E32*G32*I32*L32*N32*P32 ))))),"Check Data ▲")</f>
        <v/>
      </c>
      <c r="S32" s="32"/>
      <c r="T32" s="114"/>
      <c r="U32" s="125"/>
      <c r="V32" s="374" t="str">
        <f t="shared" si="0"/>
        <v/>
      </c>
      <c r="W32" s="374" t="str">
        <f t="shared" si="1"/>
        <v/>
      </c>
      <c r="X32" s="374" t="str">
        <f t="shared" si="2"/>
        <v/>
      </c>
      <c r="Y32" s="670" t="str">
        <f t="shared" si="3"/>
        <v/>
      </c>
      <c r="Z32" s="706"/>
      <c r="AA32" s="704"/>
      <c r="AB32" s="120"/>
      <c r="AC32" s="120"/>
      <c r="AD32" s="57" t="str">
        <f>IF(Q32="","",IF(Q32='G-1 All Habitats'!$X$3,E32-T32-U32,"None"))</f>
        <v/>
      </c>
      <c r="AE32" s="58" t="str">
        <f>IF(Q32="","", IF(Q32='G-1 All Habitats'!$X$3, AD32*G32*I32*L32*N32*P32,"None"))</f>
        <v/>
      </c>
      <c r="AH32" s="30">
        <f t="shared" si="4"/>
        <v>0</v>
      </c>
      <c r="AI32" s="124" t="str">
        <f t="shared" si="5"/>
        <v/>
      </c>
      <c r="AJ32" s="124" t="str">
        <f t="shared" si="6"/>
        <v/>
      </c>
      <c r="AL32" s="124">
        <v>23</v>
      </c>
      <c r="AN32" s="124" t="str">
        <f t="array" ref="AN32">IFERROR(INDEX($AL$10:$AL$258, MATCH(0, IF(TRUE=$AI$10:$AI$258, COUNTIF($AN$9:$AN31, $AL$10:$AL$258), ""), 0)),"")</f>
        <v/>
      </c>
      <c r="AO32" s="124" t="str">
        <f t="array" ref="AO32">IFERROR(INDEX($AL$10:$AL$258, MATCH(0, IF(TRUE=$AJ$10:$AJ$258, COUNTIF($AO$9:$AO31, $AL$10:$AL$258), ""), 0)),"")</f>
        <v/>
      </c>
      <c r="AQ32" s="30" t="str">
        <f>IFERROR(INDEX('G-7 WaterC'' Data'!$AZ$3:$AZ$7,MATCH(D32,'G-7 WaterC'' Data'!$AY$3:$AY$7,0)),"")</f>
        <v/>
      </c>
      <c r="AR32" s="30" t="str">
        <f>IFERROR(INDEX('G-7 WaterC'' Data'!AZ32:AZ36,MATCH(D32,'G-7 WaterC'' Data'!$AY$10:$AY$14,0)),"")</f>
        <v/>
      </c>
    </row>
    <row r="33" spans="3:44" ht="15">
      <c r="C33" s="110">
        <v>24</v>
      </c>
      <c r="D33" s="338"/>
      <c r="E33" s="139"/>
      <c r="F33" s="362" t="str">
        <f>IF(D33="","",VLOOKUP(D33,'G-7 WaterC'' Data'!$B$2:$G$8,2,FALSE))</f>
        <v/>
      </c>
      <c r="G33" s="363" t="str">
        <f>IFERROR(VLOOKUP(F33,'G-7 WaterC'' Data'!$C$4:$D$8,2,FALSE),"")</f>
        <v/>
      </c>
      <c r="H33" s="114"/>
      <c r="I33" s="363" t="str">
        <f>IFERROR(INDEX('G-7 WaterC'' Data'!$H$4:$L$8,MATCH(D33,'G-7 WaterC'' Data'!$B$4:$B$8,0),MATCH(H33,'G-7 WaterC'' Data'!$H$3:$L$3,0)),"")</f>
        <v/>
      </c>
      <c r="J33" s="320"/>
      <c r="K33" s="398" t="str">
        <f>IF(J33="","",IF(VLOOKUP(J33,'G-7 WaterC'' Data'!$AK$4:$AM$6,2,FALSE)=0,"Spatial Data Missing ⚠",VLOOKUP(J33,'G-7 WaterC'' Data'!$AK$4:$AM$6,2,FALSE)))</f>
        <v/>
      </c>
      <c r="L33" s="368" t="str">
        <f>IF(J33="","",IF(VLOOKUP(J33,'G-7 WaterC'' Data'!$AK$4:$AM$9,3,FALSE)=0,"Spatial Data Missing ⚠",VLOOKUP(J33,'G-7 WaterC'' Data'!$AK$4:$AM$6,3,FALSE)))</f>
        <v/>
      </c>
      <c r="M33" s="54"/>
      <c r="N33" s="363" t="str">
        <f>IF(M33="","",IF(VLOOKUP(M33,'G-7 WaterC'' Data'!$AA$4:$AB$7,2,FALSE)=0,"Spatial Data Missing ⚠",VLOOKUP(M33,'G-7 WaterC'' Data'!$AA$4:$AB$7,2,FALSE)))</f>
        <v/>
      </c>
      <c r="O33" s="60"/>
      <c r="P33" s="363" t="str">
        <f>IF(O33="","",IF(VLOOKUP(O33,'G-7 WaterC'' Data'!$AD$4:$AE$14,2,FALSE)=0,"Spatial Data Missing ⚠",VLOOKUP(O33,'G-7 WaterC'' Data'!$AD$4:$AE$14,2,FALSE)))</f>
        <v/>
      </c>
      <c r="Q33" s="369" t="str">
        <f>IF(D33="","",VLOOKUP(D33,'G-7 WaterC'' Data'!$B$2:$G$8,6,FALSE))</f>
        <v/>
      </c>
      <c r="R33" s="376" t="str">
        <f>IFERROR(IF(D33="","",IF(AND(Q33='G-1 All Habitats'!$X$3,U33&gt;0),V33+W33,IF(AND(Q33='G-1 All Habitats'!$X$3,T33&gt;0),V33+W33,IF(AND(Q33='G-1 All Habitats'!$X$3,AD33&gt;0),"Any Loss Unacceptable ⚠",IF(AND(Q33='G-1 All Habitats'!$X$3,AE33&gt;0),"Any Loss Unacceptable ⚠", E33*G33*I33*L33*N33*P33 ))))),"Check Data ▲")</f>
        <v/>
      </c>
      <c r="S33" s="32"/>
      <c r="T33" s="114"/>
      <c r="U33" s="125"/>
      <c r="V33" s="374" t="str">
        <f t="shared" si="0"/>
        <v/>
      </c>
      <c r="W33" s="374" t="str">
        <f t="shared" si="1"/>
        <v/>
      </c>
      <c r="X33" s="374" t="str">
        <f t="shared" si="2"/>
        <v/>
      </c>
      <c r="Y33" s="670" t="str">
        <f t="shared" si="3"/>
        <v/>
      </c>
      <c r="Z33" s="706"/>
      <c r="AA33" s="704"/>
      <c r="AB33" s="120"/>
      <c r="AC33" s="120"/>
      <c r="AD33" s="57" t="str">
        <f>IF(Q33="","",IF(Q33='G-1 All Habitats'!$X$3,E33-T33-U33,"None"))</f>
        <v/>
      </c>
      <c r="AE33" s="58" t="str">
        <f>IF(Q33="","", IF(Q33='G-1 All Habitats'!$X$3, AD33*G33*I33*L33*N33*P33,"None"))</f>
        <v/>
      </c>
      <c r="AH33" s="30">
        <f t="shared" si="4"/>
        <v>0</v>
      </c>
      <c r="AI33" s="124" t="str">
        <f t="shared" si="5"/>
        <v/>
      </c>
      <c r="AJ33" s="124" t="str">
        <f t="shared" si="6"/>
        <v/>
      </c>
      <c r="AL33" s="124">
        <v>24</v>
      </c>
      <c r="AN33" s="124" t="str">
        <f t="array" ref="AN33">IFERROR(INDEX($AL$10:$AL$258, MATCH(0, IF(TRUE=$AI$10:$AI$258, COUNTIF($AN$9:$AN32, $AL$10:$AL$258), ""), 0)),"")</f>
        <v/>
      </c>
      <c r="AO33" s="124" t="str">
        <f t="array" ref="AO33">IFERROR(INDEX($AL$10:$AL$258, MATCH(0, IF(TRUE=$AJ$10:$AJ$258, COUNTIF($AO$9:$AO32, $AL$10:$AL$258), ""), 0)),"")</f>
        <v/>
      </c>
      <c r="AQ33" s="30" t="str">
        <f>IFERROR(INDEX('G-7 WaterC'' Data'!$AZ$3:$AZ$7,MATCH(D33,'G-7 WaterC'' Data'!$AY$3:$AY$7,0)),"")</f>
        <v/>
      </c>
      <c r="AR33" s="30" t="str">
        <f>IFERROR(INDEX('G-7 WaterC'' Data'!AZ33:AZ37,MATCH(D33,'G-7 WaterC'' Data'!$AY$10:$AY$14,0)),"")</f>
        <v/>
      </c>
    </row>
    <row r="34" spans="3:44" ht="15">
      <c r="C34" s="110">
        <v>25</v>
      </c>
      <c r="D34" s="338"/>
      <c r="E34" s="139"/>
      <c r="F34" s="362" t="str">
        <f>IF(D34="","",VLOOKUP(D34,'G-7 WaterC'' Data'!$B$2:$G$8,2,FALSE))</f>
        <v/>
      </c>
      <c r="G34" s="363" t="str">
        <f>IFERROR(VLOOKUP(F34,'G-7 WaterC'' Data'!$C$4:$D$8,2,FALSE),"")</f>
        <v/>
      </c>
      <c r="H34" s="114"/>
      <c r="I34" s="363" t="str">
        <f>IFERROR(INDEX('G-7 WaterC'' Data'!$H$4:$L$8,MATCH(D34,'G-7 WaterC'' Data'!$B$4:$B$8,0),MATCH(H34,'G-7 WaterC'' Data'!$H$3:$L$3,0)),"")</f>
        <v/>
      </c>
      <c r="J34" s="320"/>
      <c r="K34" s="398" t="str">
        <f>IF(J34="","",IF(VLOOKUP(J34,'G-7 WaterC'' Data'!$AK$4:$AM$6,2,FALSE)=0,"Spatial Data Missing ⚠",VLOOKUP(J34,'G-7 WaterC'' Data'!$AK$4:$AM$6,2,FALSE)))</f>
        <v/>
      </c>
      <c r="L34" s="368" t="str">
        <f>IF(J34="","",IF(VLOOKUP(J34,'G-7 WaterC'' Data'!$AK$4:$AM$9,3,FALSE)=0,"Spatial Data Missing ⚠",VLOOKUP(J34,'G-7 WaterC'' Data'!$AK$4:$AM$6,3,FALSE)))</f>
        <v/>
      </c>
      <c r="M34" s="54"/>
      <c r="N34" s="363" t="str">
        <f>IF(M34="","",IF(VLOOKUP(M34,'G-7 WaterC'' Data'!$AA$4:$AB$7,2,FALSE)=0,"Spatial Data Missing ⚠",VLOOKUP(M34,'G-7 WaterC'' Data'!$AA$4:$AB$7,2,FALSE)))</f>
        <v/>
      </c>
      <c r="O34" s="60"/>
      <c r="P34" s="363" t="str">
        <f>IF(O34="","",IF(VLOOKUP(O34,'G-7 WaterC'' Data'!$AD$4:$AE$14,2,FALSE)=0,"Spatial Data Missing ⚠",VLOOKUP(O34,'G-7 WaterC'' Data'!$AD$4:$AE$14,2,FALSE)))</f>
        <v/>
      </c>
      <c r="Q34" s="369" t="str">
        <f>IF(D34="","",VLOOKUP(D34,'G-7 WaterC'' Data'!$B$2:$G$8,6,FALSE))</f>
        <v/>
      </c>
      <c r="R34" s="376" t="str">
        <f>IFERROR(IF(D34="","",IF(AND(Q34='G-1 All Habitats'!$X$3,U34&gt;0),V34+W34,IF(AND(Q34='G-1 All Habitats'!$X$3,T34&gt;0),V34+W34,IF(AND(Q34='G-1 All Habitats'!$X$3,AD34&gt;0),"Any Loss Unacceptable ⚠",IF(AND(Q34='G-1 All Habitats'!$X$3,AE34&gt;0),"Any Loss Unacceptable ⚠", E34*G34*I34*L34*N34*P34 ))))),"Check Data ▲")</f>
        <v/>
      </c>
      <c r="S34" s="32"/>
      <c r="T34" s="114"/>
      <c r="U34" s="125"/>
      <c r="V34" s="374" t="str">
        <f t="shared" si="0"/>
        <v/>
      </c>
      <c r="W34" s="374" t="str">
        <f t="shared" si="1"/>
        <v/>
      </c>
      <c r="X34" s="374" t="str">
        <f t="shared" si="2"/>
        <v/>
      </c>
      <c r="Y34" s="670" t="str">
        <f t="shared" si="3"/>
        <v/>
      </c>
      <c r="Z34" s="706"/>
      <c r="AA34" s="704"/>
      <c r="AB34" s="120"/>
      <c r="AC34" s="120"/>
      <c r="AD34" s="57" t="str">
        <f>IF(Q34="","",IF(Q34='G-1 All Habitats'!$X$3,E34-T34-U34,"None"))</f>
        <v/>
      </c>
      <c r="AE34" s="58" t="str">
        <f>IF(Q34="","", IF(Q34='G-1 All Habitats'!$X$3, AD34*G34*I34*L34*N34*P34,"None"))</f>
        <v/>
      </c>
      <c r="AH34" s="30">
        <f t="shared" si="4"/>
        <v>0</v>
      </c>
      <c r="AI34" s="124" t="str">
        <f t="shared" si="5"/>
        <v/>
      </c>
      <c r="AJ34" s="124" t="str">
        <f t="shared" si="6"/>
        <v/>
      </c>
      <c r="AL34" s="124">
        <v>25</v>
      </c>
      <c r="AN34" s="124" t="str">
        <f t="array" ref="AN34">IFERROR(INDEX($AL$10:$AL$258, MATCH(0, IF(TRUE=$AI$10:$AI$258, COUNTIF($AN$9:$AN33, $AL$10:$AL$258), ""), 0)),"")</f>
        <v/>
      </c>
      <c r="AO34" s="124" t="str">
        <f t="array" ref="AO34">IFERROR(INDEX($AL$10:$AL$258, MATCH(0, IF(TRUE=$AJ$10:$AJ$258, COUNTIF($AO$9:$AO33, $AL$10:$AL$258), ""), 0)),"")</f>
        <v/>
      </c>
      <c r="AQ34" s="30" t="str">
        <f>IFERROR(INDEX('G-7 WaterC'' Data'!$AZ$3:$AZ$7,MATCH(D34,'G-7 WaterC'' Data'!$AY$3:$AY$7,0)),"")</f>
        <v/>
      </c>
      <c r="AR34" s="30" t="str">
        <f>IFERROR(INDEX('G-7 WaterC'' Data'!AZ34:AZ38,MATCH(D34,'G-7 WaterC'' Data'!$AY$10:$AY$14,0)),"")</f>
        <v/>
      </c>
    </row>
    <row r="35" spans="3:44" ht="15">
      <c r="C35" s="110">
        <v>26</v>
      </c>
      <c r="D35" s="338"/>
      <c r="E35" s="139"/>
      <c r="F35" s="362" t="str">
        <f>IF(D35="","",VLOOKUP(D35,'G-7 WaterC'' Data'!$B$2:$G$8,2,FALSE))</f>
        <v/>
      </c>
      <c r="G35" s="363" t="str">
        <f>IFERROR(VLOOKUP(F35,'G-7 WaterC'' Data'!$C$4:$D$8,2,FALSE),"")</f>
        <v/>
      </c>
      <c r="H35" s="114"/>
      <c r="I35" s="363" t="str">
        <f>IFERROR(INDEX('G-7 WaterC'' Data'!$H$4:$L$8,MATCH(D35,'G-7 WaterC'' Data'!$B$4:$B$8,0),MATCH(H35,'G-7 WaterC'' Data'!$H$3:$L$3,0)),"")</f>
        <v/>
      </c>
      <c r="J35" s="320"/>
      <c r="K35" s="398" t="str">
        <f>IF(J35="","",IF(VLOOKUP(J35,'G-7 WaterC'' Data'!$AK$4:$AM$6,2,FALSE)=0,"Spatial Data Missing ⚠",VLOOKUP(J35,'G-7 WaterC'' Data'!$AK$4:$AM$6,2,FALSE)))</f>
        <v/>
      </c>
      <c r="L35" s="368" t="str">
        <f>IF(J35="","",IF(VLOOKUP(J35,'G-7 WaterC'' Data'!$AK$4:$AM$9,3,FALSE)=0,"Spatial Data Missing ⚠",VLOOKUP(J35,'G-7 WaterC'' Data'!$AK$4:$AM$6,3,FALSE)))</f>
        <v/>
      </c>
      <c r="M35" s="54"/>
      <c r="N35" s="363" t="str">
        <f>IF(M35="","",IF(VLOOKUP(M35,'G-7 WaterC'' Data'!$AA$4:$AB$7,2,FALSE)=0,"Spatial Data Missing ⚠",VLOOKUP(M35,'G-7 WaterC'' Data'!$AA$4:$AB$7,2,FALSE)))</f>
        <v/>
      </c>
      <c r="O35" s="60"/>
      <c r="P35" s="363" t="str">
        <f>IF(O35="","",IF(VLOOKUP(O35,'G-7 WaterC'' Data'!$AD$4:$AE$14,2,FALSE)=0,"Spatial Data Missing ⚠",VLOOKUP(O35,'G-7 WaterC'' Data'!$AD$4:$AE$14,2,FALSE)))</f>
        <v/>
      </c>
      <c r="Q35" s="369" t="str">
        <f>IF(D35="","",VLOOKUP(D35,'G-7 WaterC'' Data'!$B$2:$G$8,6,FALSE))</f>
        <v/>
      </c>
      <c r="R35" s="376" t="str">
        <f>IFERROR(IF(D35="","",IF(AND(Q35='G-1 All Habitats'!$X$3,U35&gt;0),V35+W35,IF(AND(Q35='G-1 All Habitats'!$X$3,T35&gt;0),V35+W35,IF(AND(Q35='G-1 All Habitats'!$X$3,AD35&gt;0),"Any Loss Unacceptable ⚠",IF(AND(Q35='G-1 All Habitats'!$X$3,AE35&gt;0),"Any Loss Unacceptable ⚠", E35*G35*I35*L35*N35*P35 ))))),"Check Data ▲")</f>
        <v/>
      </c>
      <c r="S35" s="32"/>
      <c r="T35" s="114"/>
      <c r="U35" s="125"/>
      <c r="V35" s="374" t="str">
        <f t="shared" si="0"/>
        <v/>
      </c>
      <c r="W35" s="374" t="str">
        <f t="shared" si="1"/>
        <v/>
      </c>
      <c r="X35" s="374" t="str">
        <f t="shared" si="2"/>
        <v/>
      </c>
      <c r="Y35" s="670" t="str">
        <f t="shared" si="3"/>
        <v/>
      </c>
      <c r="Z35" s="706"/>
      <c r="AA35" s="704"/>
      <c r="AB35" s="120"/>
      <c r="AC35" s="120"/>
      <c r="AD35" s="57" t="str">
        <f>IF(Q35="","",IF(Q35='G-1 All Habitats'!$X$3,E35-T35-U35,"None"))</f>
        <v/>
      </c>
      <c r="AE35" s="58" t="str">
        <f>IF(Q35="","", IF(Q35='G-1 All Habitats'!$X$3, AD35*G35*I35*L35*N35*P35,"None"))</f>
        <v/>
      </c>
      <c r="AH35" s="30">
        <f t="shared" si="4"/>
        <v>0</v>
      </c>
      <c r="AI35" s="124" t="str">
        <f t="shared" si="5"/>
        <v/>
      </c>
      <c r="AJ35" s="124" t="str">
        <f t="shared" si="6"/>
        <v/>
      </c>
      <c r="AL35" s="124">
        <v>26</v>
      </c>
      <c r="AN35" s="124" t="str">
        <f t="array" ref="AN35">IFERROR(INDEX($AL$10:$AL$258, MATCH(0, IF(TRUE=$AI$10:$AI$258, COUNTIF($AN$9:$AN34, $AL$10:$AL$258), ""), 0)),"")</f>
        <v/>
      </c>
      <c r="AO35" s="124" t="str">
        <f t="array" ref="AO35">IFERROR(INDEX($AL$10:$AL$258, MATCH(0, IF(TRUE=$AJ$10:$AJ$258, COUNTIF($AO$9:$AO34, $AL$10:$AL$258), ""), 0)),"")</f>
        <v/>
      </c>
      <c r="AQ35" s="30" t="str">
        <f>IFERROR(INDEX('G-7 WaterC'' Data'!$AZ$3:$AZ$7,MATCH(D35,'G-7 WaterC'' Data'!$AY$3:$AY$7,0)),"")</f>
        <v/>
      </c>
      <c r="AR35" s="30" t="str">
        <f>IFERROR(INDEX('G-7 WaterC'' Data'!AZ35:AZ39,MATCH(D35,'G-7 WaterC'' Data'!$AY$10:$AY$14,0)),"")</f>
        <v/>
      </c>
    </row>
    <row r="36" spans="3:44" ht="15">
      <c r="C36" s="110">
        <v>27</v>
      </c>
      <c r="D36" s="338"/>
      <c r="E36" s="139"/>
      <c r="F36" s="362" t="str">
        <f>IF(D36="","",VLOOKUP(D36,'G-7 WaterC'' Data'!$B$2:$G$8,2,FALSE))</f>
        <v/>
      </c>
      <c r="G36" s="363" t="str">
        <f>IFERROR(VLOOKUP(F36,'G-7 WaterC'' Data'!$C$4:$D$8,2,FALSE),"")</f>
        <v/>
      </c>
      <c r="H36" s="114"/>
      <c r="I36" s="363" t="str">
        <f>IFERROR(INDEX('G-7 WaterC'' Data'!$H$4:$L$8,MATCH(D36,'G-7 WaterC'' Data'!$B$4:$B$8,0),MATCH(H36,'G-7 WaterC'' Data'!$H$3:$L$3,0)),"")</f>
        <v/>
      </c>
      <c r="J36" s="320"/>
      <c r="K36" s="398" t="str">
        <f>IF(J36="","",IF(VLOOKUP(J36,'G-7 WaterC'' Data'!$AK$4:$AM$6,2,FALSE)=0,"Spatial Data Missing ⚠",VLOOKUP(J36,'G-7 WaterC'' Data'!$AK$4:$AM$6,2,FALSE)))</f>
        <v/>
      </c>
      <c r="L36" s="368" t="str">
        <f>IF(J36="","",IF(VLOOKUP(J36,'G-7 WaterC'' Data'!$AK$4:$AM$9,3,FALSE)=0,"Spatial Data Missing ⚠",VLOOKUP(J36,'G-7 WaterC'' Data'!$AK$4:$AM$6,3,FALSE)))</f>
        <v/>
      </c>
      <c r="M36" s="54"/>
      <c r="N36" s="363" t="str">
        <f>IF(M36="","",IF(VLOOKUP(M36,'G-7 WaterC'' Data'!$AA$4:$AB$7,2,FALSE)=0,"Spatial Data Missing ⚠",VLOOKUP(M36,'G-7 WaterC'' Data'!$AA$4:$AB$7,2,FALSE)))</f>
        <v/>
      </c>
      <c r="O36" s="60"/>
      <c r="P36" s="363" t="str">
        <f>IF(O36="","",IF(VLOOKUP(O36,'G-7 WaterC'' Data'!$AD$4:$AE$14,2,FALSE)=0,"Spatial Data Missing ⚠",VLOOKUP(O36,'G-7 WaterC'' Data'!$AD$4:$AE$14,2,FALSE)))</f>
        <v/>
      </c>
      <c r="Q36" s="369" t="str">
        <f>IF(D36="","",VLOOKUP(D36,'G-7 WaterC'' Data'!$B$2:$G$8,6,FALSE))</f>
        <v/>
      </c>
      <c r="R36" s="376" t="str">
        <f>IFERROR(IF(D36="","",IF(AND(Q36='G-1 All Habitats'!$X$3,U36&gt;0),V36+W36,IF(AND(Q36='G-1 All Habitats'!$X$3,T36&gt;0),V36+W36,IF(AND(Q36='G-1 All Habitats'!$X$3,AD36&gt;0),"Any Loss Unacceptable ⚠",IF(AND(Q36='G-1 All Habitats'!$X$3,AE36&gt;0),"Any Loss Unacceptable ⚠", E36*G36*I36*L36*N36*P36 ))))),"Check Data ▲")</f>
        <v/>
      </c>
      <c r="S36" s="32"/>
      <c r="T36" s="114"/>
      <c r="U36" s="125"/>
      <c r="V36" s="374" t="str">
        <f t="shared" si="0"/>
        <v/>
      </c>
      <c r="W36" s="374" t="str">
        <f t="shared" si="1"/>
        <v/>
      </c>
      <c r="X36" s="374" t="str">
        <f t="shared" si="2"/>
        <v/>
      </c>
      <c r="Y36" s="670" t="str">
        <f t="shared" si="3"/>
        <v/>
      </c>
      <c r="Z36" s="706"/>
      <c r="AA36" s="704"/>
      <c r="AB36" s="120"/>
      <c r="AC36" s="120"/>
      <c r="AD36" s="57" t="str">
        <f>IF(Q36="","",IF(Q36='G-1 All Habitats'!$X$3,E36-T36-U36,"None"))</f>
        <v/>
      </c>
      <c r="AE36" s="58" t="str">
        <f>IF(Q36="","", IF(Q36='G-1 All Habitats'!$X$3, AD36*G36*I36*L36*N36*P36,"None"))</f>
        <v/>
      </c>
      <c r="AH36" s="30">
        <f t="shared" si="4"/>
        <v>0</v>
      </c>
      <c r="AI36" s="124" t="str">
        <f t="shared" si="5"/>
        <v/>
      </c>
      <c r="AJ36" s="124" t="str">
        <f t="shared" si="6"/>
        <v/>
      </c>
      <c r="AL36" s="124">
        <v>27</v>
      </c>
      <c r="AN36" s="124" t="str">
        <f t="array" ref="AN36">IFERROR(INDEX($AL$10:$AL$258, MATCH(0, IF(TRUE=$AI$10:$AI$258, COUNTIF($AN$9:$AN35, $AL$10:$AL$258), ""), 0)),"")</f>
        <v/>
      </c>
      <c r="AO36" s="124" t="str">
        <f t="array" ref="AO36">IFERROR(INDEX($AL$10:$AL$258, MATCH(0, IF(TRUE=$AJ$10:$AJ$258, COUNTIF($AO$9:$AO35, $AL$10:$AL$258), ""), 0)),"")</f>
        <v/>
      </c>
      <c r="AQ36" s="30" t="str">
        <f>IFERROR(INDEX('G-7 WaterC'' Data'!$AZ$3:$AZ$7,MATCH(D36,'G-7 WaterC'' Data'!$AY$3:$AY$7,0)),"")</f>
        <v/>
      </c>
      <c r="AR36" s="30" t="str">
        <f>IFERROR(INDEX('G-7 WaterC'' Data'!AZ36:AZ40,MATCH(D36,'G-7 WaterC'' Data'!$AY$10:$AY$14,0)),"")</f>
        <v/>
      </c>
    </row>
    <row r="37" spans="3:44" ht="15">
      <c r="C37" s="110">
        <v>28</v>
      </c>
      <c r="D37" s="338"/>
      <c r="E37" s="139"/>
      <c r="F37" s="362" t="str">
        <f>IF(D37="","",VLOOKUP(D37,'G-7 WaterC'' Data'!$B$2:$G$8,2,FALSE))</f>
        <v/>
      </c>
      <c r="G37" s="363" t="str">
        <f>IFERROR(VLOOKUP(F37,'G-7 WaterC'' Data'!$C$4:$D$8,2,FALSE),"")</f>
        <v/>
      </c>
      <c r="H37" s="114"/>
      <c r="I37" s="363" t="str">
        <f>IFERROR(INDEX('G-7 WaterC'' Data'!$H$4:$L$8,MATCH(D37,'G-7 WaterC'' Data'!$B$4:$B$8,0),MATCH(H37,'G-7 WaterC'' Data'!$H$3:$L$3,0)),"")</f>
        <v/>
      </c>
      <c r="J37" s="320"/>
      <c r="K37" s="398" t="str">
        <f>IF(J37="","",IF(VLOOKUP(J37,'G-7 WaterC'' Data'!$AK$4:$AM$6,2,FALSE)=0,"Spatial Data Missing ⚠",VLOOKUP(J37,'G-7 WaterC'' Data'!$AK$4:$AM$6,2,FALSE)))</f>
        <v/>
      </c>
      <c r="L37" s="368" t="str">
        <f>IF(J37="","",IF(VLOOKUP(J37,'G-7 WaterC'' Data'!$AK$4:$AM$9,3,FALSE)=0,"Spatial Data Missing ⚠",VLOOKUP(J37,'G-7 WaterC'' Data'!$AK$4:$AM$6,3,FALSE)))</f>
        <v/>
      </c>
      <c r="M37" s="54"/>
      <c r="N37" s="363" t="str">
        <f>IF(M37="","",IF(VLOOKUP(M37,'G-7 WaterC'' Data'!$AA$4:$AB$7,2,FALSE)=0,"Spatial Data Missing ⚠",VLOOKUP(M37,'G-7 WaterC'' Data'!$AA$4:$AB$7,2,FALSE)))</f>
        <v/>
      </c>
      <c r="O37" s="60"/>
      <c r="P37" s="363" t="str">
        <f>IF(O37="","",IF(VLOOKUP(O37,'G-7 WaterC'' Data'!$AD$4:$AE$14,2,FALSE)=0,"Spatial Data Missing ⚠",VLOOKUP(O37,'G-7 WaterC'' Data'!$AD$4:$AE$14,2,FALSE)))</f>
        <v/>
      </c>
      <c r="Q37" s="369" t="str">
        <f>IF(D37="","",VLOOKUP(D37,'G-7 WaterC'' Data'!$B$2:$G$8,6,FALSE))</f>
        <v/>
      </c>
      <c r="R37" s="376" t="str">
        <f>IFERROR(IF(D37="","",IF(AND(Q37='G-1 All Habitats'!$X$3,U37&gt;0),V37+W37,IF(AND(Q37='G-1 All Habitats'!$X$3,T37&gt;0),V37+W37,IF(AND(Q37='G-1 All Habitats'!$X$3,AD37&gt;0),"Any Loss Unacceptable ⚠",IF(AND(Q37='G-1 All Habitats'!$X$3,AE37&gt;0),"Any Loss Unacceptable ⚠", E37*G37*I37*L37*N37*P37 ))))),"Check Data ▲")</f>
        <v/>
      </c>
      <c r="S37" s="32"/>
      <c r="T37" s="114"/>
      <c r="U37" s="125"/>
      <c r="V37" s="374" t="str">
        <f t="shared" si="0"/>
        <v/>
      </c>
      <c r="W37" s="374" t="str">
        <f t="shared" si="1"/>
        <v/>
      </c>
      <c r="X37" s="374" t="str">
        <f t="shared" si="2"/>
        <v/>
      </c>
      <c r="Y37" s="670" t="str">
        <f t="shared" si="3"/>
        <v/>
      </c>
      <c r="Z37" s="706"/>
      <c r="AA37" s="704"/>
      <c r="AB37" s="120"/>
      <c r="AC37" s="120"/>
      <c r="AD37" s="57" t="str">
        <f>IF(Q37="","",IF(Q37='G-1 All Habitats'!$X$3,E37-T37-U37,"None"))</f>
        <v/>
      </c>
      <c r="AE37" s="58" t="str">
        <f>IF(Q37="","", IF(Q37='G-1 All Habitats'!$X$3, AD37*G37*I37*L37*N37*P37,"None"))</f>
        <v/>
      </c>
      <c r="AH37" s="30">
        <f t="shared" si="4"/>
        <v>0</v>
      </c>
      <c r="AI37" s="124" t="str">
        <f t="shared" si="5"/>
        <v/>
      </c>
      <c r="AJ37" s="124" t="str">
        <f t="shared" si="6"/>
        <v/>
      </c>
      <c r="AL37" s="124">
        <v>28</v>
      </c>
      <c r="AN37" s="124" t="str">
        <f t="array" ref="AN37">IFERROR(INDEX($AL$10:$AL$258, MATCH(0, IF(TRUE=$AI$10:$AI$258, COUNTIF($AN$9:$AN36, $AL$10:$AL$258), ""), 0)),"")</f>
        <v/>
      </c>
      <c r="AO37" s="124" t="str">
        <f t="array" ref="AO37">IFERROR(INDEX($AL$10:$AL$258, MATCH(0, IF(TRUE=$AJ$10:$AJ$258, COUNTIF($AO$9:$AO36, $AL$10:$AL$258), ""), 0)),"")</f>
        <v/>
      </c>
      <c r="AQ37" s="30" t="str">
        <f>IFERROR(INDEX('G-7 WaterC'' Data'!$AZ$3:$AZ$7,MATCH(D37,'G-7 WaterC'' Data'!$AY$3:$AY$7,0)),"")</f>
        <v/>
      </c>
      <c r="AR37" s="30" t="str">
        <f>IFERROR(INDEX('G-7 WaterC'' Data'!AZ37:AZ41,MATCH(D37,'G-7 WaterC'' Data'!$AY$10:$AY$14,0)),"")</f>
        <v/>
      </c>
    </row>
    <row r="38" spans="3:44" ht="15">
      <c r="C38" s="110">
        <v>29</v>
      </c>
      <c r="D38" s="338"/>
      <c r="E38" s="139"/>
      <c r="F38" s="362" t="str">
        <f>IF(D38="","",VLOOKUP(D38,'G-7 WaterC'' Data'!$B$2:$G$8,2,FALSE))</f>
        <v/>
      </c>
      <c r="G38" s="363" t="str">
        <f>IFERROR(VLOOKUP(F38,'G-7 WaterC'' Data'!$C$4:$D$8,2,FALSE),"")</f>
        <v/>
      </c>
      <c r="H38" s="114"/>
      <c r="I38" s="363" t="str">
        <f>IFERROR(INDEX('G-7 WaterC'' Data'!$H$4:$L$8,MATCH(D38,'G-7 WaterC'' Data'!$B$4:$B$8,0),MATCH(H38,'G-7 WaterC'' Data'!$H$3:$L$3,0)),"")</f>
        <v/>
      </c>
      <c r="J38" s="320"/>
      <c r="K38" s="398" t="str">
        <f>IF(J38="","",IF(VLOOKUP(J38,'G-7 WaterC'' Data'!$AK$4:$AM$6,2,FALSE)=0,"Spatial Data Missing ⚠",VLOOKUP(J38,'G-7 WaterC'' Data'!$AK$4:$AM$6,2,FALSE)))</f>
        <v/>
      </c>
      <c r="L38" s="368" t="str">
        <f>IF(J38="","",IF(VLOOKUP(J38,'G-7 WaterC'' Data'!$AK$4:$AM$9,3,FALSE)=0,"Spatial Data Missing ⚠",VLOOKUP(J38,'G-7 WaterC'' Data'!$AK$4:$AM$6,3,FALSE)))</f>
        <v/>
      </c>
      <c r="M38" s="54"/>
      <c r="N38" s="363" t="str">
        <f>IF(M38="","",IF(VLOOKUP(M38,'G-7 WaterC'' Data'!$AA$4:$AB$7,2,FALSE)=0,"Spatial Data Missing ⚠",VLOOKUP(M38,'G-7 WaterC'' Data'!$AA$4:$AB$7,2,FALSE)))</f>
        <v/>
      </c>
      <c r="O38" s="60"/>
      <c r="P38" s="363" t="str">
        <f>IF(O38="","",IF(VLOOKUP(O38,'G-7 WaterC'' Data'!$AD$4:$AE$14,2,FALSE)=0,"Spatial Data Missing ⚠",VLOOKUP(O38,'G-7 WaterC'' Data'!$AD$4:$AE$14,2,FALSE)))</f>
        <v/>
      </c>
      <c r="Q38" s="369" t="str">
        <f>IF(D38="","",VLOOKUP(D38,'G-7 WaterC'' Data'!$B$2:$G$8,6,FALSE))</f>
        <v/>
      </c>
      <c r="R38" s="376" t="str">
        <f>IFERROR(IF(D38="","",IF(AND(Q38='G-1 All Habitats'!$X$3,U38&gt;0),V38+W38,IF(AND(Q38='G-1 All Habitats'!$X$3,T38&gt;0),V38+W38,IF(AND(Q38='G-1 All Habitats'!$X$3,AD38&gt;0),"Any Loss Unacceptable ⚠",IF(AND(Q38='G-1 All Habitats'!$X$3,AE38&gt;0),"Any Loss Unacceptable ⚠", E38*G38*I38*L38*N38*P38 ))))),"Check Data ▲")</f>
        <v/>
      </c>
      <c r="S38" s="32"/>
      <c r="T38" s="114"/>
      <c r="U38" s="125"/>
      <c r="V38" s="374" t="str">
        <f t="shared" si="0"/>
        <v/>
      </c>
      <c r="W38" s="374" t="str">
        <f t="shared" si="1"/>
        <v/>
      </c>
      <c r="X38" s="374" t="str">
        <f t="shared" si="2"/>
        <v/>
      </c>
      <c r="Y38" s="670" t="str">
        <f t="shared" si="3"/>
        <v/>
      </c>
      <c r="Z38" s="706"/>
      <c r="AA38" s="704"/>
      <c r="AB38" s="120"/>
      <c r="AC38" s="120"/>
      <c r="AD38" s="57" t="str">
        <f>IF(Q38="","",IF(Q38='G-1 All Habitats'!$X$3,E38-T38-U38,"None"))</f>
        <v/>
      </c>
      <c r="AE38" s="58" t="str">
        <f>IF(Q38="","", IF(Q38='G-1 All Habitats'!$X$3, AD38*G38*I38*L38*N38*P38,"None"))</f>
        <v/>
      </c>
      <c r="AH38" s="30">
        <f t="shared" si="4"/>
        <v>0</v>
      </c>
      <c r="AI38" s="124" t="str">
        <f t="shared" si="5"/>
        <v/>
      </c>
      <c r="AJ38" s="124" t="str">
        <f t="shared" si="6"/>
        <v/>
      </c>
      <c r="AL38" s="124">
        <v>29</v>
      </c>
      <c r="AN38" s="124" t="str">
        <f t="array" ref="AN38">IFERROR(INDEX($AL$10:$AL$258, MATCH(0, IF(TRUE=$AI$10:$AI$258, COUNTIF($AN$9:$AN37, $AL$10:$AL$258), ""), 0)),"")</f>
        <v/>
      </c>
      <c r="AO38" s="124" t="str">
        <f t="array" ref="AO38">IFERROR(INDEX($AL$10:$AL$258, MATCH(0, IF(TRUE=$AJ$10:$AJ$258, COUNTIF($AO$9:$AO37, $AL$10:$AL$258), ""), 0)),"")</f>
        <v/>
      </c>
      <c r="AQ38" s="30" t="str">
        <f>IFERROR(INDEX('G-7 WaterC'' Data'!$AZ$3:$AZ$7,MATCH(D38,'G-7 WaterC'' Data'!$AY$3:$AY$7,0)),"")</f>
        <v/>
      </c>
      <c r="AR38" s="30" t="str">
        <f>IFERROR(INDEX('G-7 WaterC'' Data'!AZ38:AZ42,MATCH(D38,'G-7 WaterC'' Data'!$AY$10:$AY$14,0)),"")</f>
        <v/>
      </c>
    </row>
    <row r="39" spans="3:44" ht="15">
      <c r="C39" s="110">
        <v>30</v>
      </c>
      <c r="D39" s="338"/>
      <c r="E39" s="139"/>
      <c r="F39" s="362" t="str">
        <f>IF(D39="","",VLOOKUP(D39,'G-7 WaterC'' Data'!$B$2:$G$8,2,FALSE))</f>
        <v/>
      </c>
      <c r="G39" s="363" t="str">
        <f>IFERROR(VLOOKUP(F39,'G-7 WaterC'' Data'!$C$4:$D$8,2,FALSE),"")</f>
        <v/>
      </c>
      <c r="H39" s="114"/>
      <c r="I39" s="363" t="str">
        <f>IFERROR(INDEX('G-7 WaterC'' Data'!$H$4:$L$8,MATCH(D39,'G-7 WaterC'' Data'!$B$4:$B$8,0),MATCH(H39,'G-7 WaterC'' Data'!$H$3:$L$3,0)),"")</f>
        <v/>
      </c>
      <c r="J39" s="320"/>
      <c r="K39" s="398" t="str">
        <f>IF(J39="","",IF(VLOOKUP(J39,'G-7 WaterC'' Data'!$AK$4:$AM$6,2,FALSE)=0,"Spatial Data Missing ⚠",VLOOKUP(J39,'G-7 WaterC'' Data'!$AK$4:$AM$6,2,FALSE)))</f>
        <v/>
      </c>
      <c r="L39" s="368" t="str">
        <f>IF(J39="","",IF(VLOOKUP(J39,'G-7 WaterC'' Data'!$AK$4:$AM$9,3,FALSE)=0,"Spatial Data Missing ⚠",VLOOKUP(J39,'G-7 WaterC'' Data'!$AK$4:$AM$6,3,FALSE)))</f>
        <v/>
      </c>
      <c r="M39" s="54"/>
      <c r="N39" s="363" t="str">
        <f>IF(M39="","",IF(VLOOKUP(M39,'G-7 WaterC'' Data'!$AA$4:$AB$7,2,FALSE)=0,"Spatial Data Missing ⚠",VLOOKUP(M39,'G-7 WaterC'' Data'!$AA$4:$AB$7,2,FALSE)))</f>
        <v/>
      </c>
      <c r="O39" s="60"/>
      <c r="P39" s="363" t="str">
        <f>IF(O39="","",IF(VLOOKUP(O39,'G-7 WaterC'' Data'!$AD$4:$AE$14,2,FALSE)=0,"Spatial Data Missing ⚠",VLOOKUP(O39,'G-7 WaterC'' Data'!$AD$4:$AE$14,2,FALSE)))</f>
        <v/>
      </c>
      <c r="Q39" s="369" t="str">
        <f>IF(D39="","",VLOOKUP(D39,'G-7 WaterC'' Data'!$B$2:$G$8,6,FALSE))</f>
        <v/>
      </c>
      <c r="R39" s="376" t="str">
        <f>IFERROR(IF(D39="","",IF(AND(Q39='G-1 All Habitats'!$X$3,U39&gt;0),V39+W39,IF(AND(Q39='G-1 All Habitats'!$X$3,T39&gt;0),V39+W39,IF(AND(Q39='G-1 All Habitats'!$X$3,AD39&gt;0),"Any Loss Unacceptable ⚠",IF(AND(Q39='G-1 All Habitats'!$X$3,AE39&gt;0),"Any Loss Unacceptable ⚠", E39*G39*I39*L39*N39*P39 ))))),"Check Data ▲")</f>
        <v/>
      </c>
      <c r="S39" s="32"/>
      <c r="T39" s="114"/>
      <c r="U39" s="125"/>
      <c r="V39" s="374" t="str">
        <f t="shared" si="0"/>
        <v/>
      </c>
      <c r="W39" s="374" t="str">
        <f t="shared" si="1"/>
        <v/>
      </c>
      <c r="X39" s="374" t="str">
        <f t="shared" si="2"/>
        <v/>
      </c>
      <c r="Y39" s="670" t="str">
        <f t="shared" si="3"/>
        <v/>
      </c>
      <c r="Z39" s="706"/>
      <c r="AA39" s="704"/>
      <c r="AB39" s="120"/>
      <c r="AC39" s="120"/>
      <c r="AD39" s="57" t="str">
        <f>IF(Q39="","",IF(Q39='G-1 All Habitats'!$X$3,E39-T39-U39,"None"))</f>
        <v/>
      </c>
      <c r="AE39" s="58" t="str">
        <f>IF(Q39="","", IF(Q39='G-1 All Habitats'!$X$3, AD39*G39*I39*L39*N39*P39,"None"))</f>
        <v/>
      </c>
      <c r="AH39" s="30">
        <f t="shared" si="4"/>
        <v>0</v>
      </c>
      <c r="AI39" s="124" t="str">
        <f t="shared" si="5"/>
        <v/>
      </c>
      <c r="AJ39" s="124" t="str">
        <f t="shared" si="6"/>
        <v/>
      </c>
      <c r="AL39" s="124">
        <v>30</v>
      </c>
      <c r="AN39" s="124" t="str">
        <f t="array" ref="AN39">IFERROR(INDEX($AL$10:$AL$258, MATCH(0, IF(TRUE=$AI$10:$AI$258, COUNTIF($AN$9:$AN38, $AL$10:$AL$258), ""), 0)),"")</f>
        <v/>
      </c>
      <c r="AO39" s="124" t="str">
        <f t="array" ref="AO39">IFERROR(INDEX($AL$10:$AL$258, MATCH(0, IF(TRUE=$AJ$10:$AJ$258, COUNTIF($AO$9:$AO38, $AL$10:$AL$258), ""), 0)),"")</f>
        <v/>
      </c>
      <c r="AQ39" s="30" t="str">
        <f>IFERROR(INDEX('G-7 WaterC'' Data'!$AZ$3:$AZ$7,MATCH(D39,'G-7 WaterC'' Data'!$AY$3:$AY$7,0)),"")</f>
        <v/>
      </c>
      <c r="AR39" s="30" t="str">
        <f>IFERROR(INDEX('G-7 WaterC'' Data'!AZ39:AZ43,MATCH(D39,'G-7 WaterC'' Data'!$AY$10:$AY$14,0)),"")</f>
        <v/>
      </c>
    </row>
    <row r="40" spans="3:44" ht="15">
      <c r="C40" s="110">
        <v>31</v>
      </c>
      <c r="D40" s="338"/>
      <c r="E40" s="139"/>
      <c r="F40" s="362" t="str">
        <f>IF(D40="","",VLOOKUP(D40,'G-7 WaterC'' Data'!$B$2:$G$8,2,FALSE))</f>
        <v/>
      </c>
      <c r="G40" s="363" t="str">
        <f>IFERROR(VLOOKUP(F40,'G-7 WaterC'' Data'!$C$4:$D$8,2,FALSE),"")</f>
        <v/>
      </c>
      <c r="H40" s="114"/>
      <c r="I40" s="363" t="str">
        <f>IFERROR(INDEX('G-7 WaterC'' Data'!$H$4:$L$8,MATCH(D40,'G-7 WaterC'' Data'!$B$4:$B$8,0),MATCH(H40,'G-7 WaterC'' Data'!$H$3:$L$3,0)),"")</f>
        <v/>
      </c>
      <c r="J40" s="320"/>
      <c r="K40" s="398" t="str">
        <f>IF(J40="","",IF(VLOOKUP(J40,'G-7 WaterC'' Data'!$AK$4:$AM$6,2,FALSE)=0,"Spatial Data Missing ⚠",VLOOKUP(J40,'G-7 WaterC'' Data'!$AK$4:$AM$6,2,FALSE)))</f>
        <v/>
      </c>
      <c r="L40" s="368" t="str">
        <f>IF(J40="","",IF(VLOOKUP(J40,'G-7 WaterC'' Data'!$AK$4:$AM$9,3,FALSE)=0,"Spatial Data Missing ⚠",VLOOKUP(J40,'G-7 WaterC'' Data'!$AK$4:$AM$6,3,FALSE)))</f>
        <v/>
      </c>
      <c r="M40" s="54"/>
      <c r="N40" s="363" t="str">
        <f>IF(M40="","",IF(VLOOKUP(M40,'G-7 WaterC'' Data'!$AA$4:$AB$7,2,FALSE)=0,"Spatial Data Missing ⚠",VLOOKUP(M40,'G-7 WaterC'' Data'!$AA$4:$AB$7,2,FALSE)))</f>
        <v/>
      </c>
      <c r="O40" s="60"/>
      <c r="P40" s="363" t="str">
        <f>IF(O40="","",IF(VLOOKUP(O40,'G-7 WaterC'' Data'!$AD$4:$AE$14,2,FALSE)=0,"Spatial Data Missing ⚠",VLOOKUP(O40,'G-7 WaterC'' Data'!$AD$4:$AE$14,2,FALSE)))</f>
        <v/>
      </c>
      <c r="Q40" s="369" t="str">
        <f>IF(D40="","",VLOOKUP(D40,'G-7 WaterC'' Data'!$B$2:$G$8,6,FALSE))</f>
        <v/>
      </c>
      <c r="R40" s="376" t="str">
        <f>IFERROR(IF(D40="","",IF(AND(Q40='G-1 All Habitats'!$X$3,U40&gt;0),V40+W40,IF(AND(Q40='G-1 All Habitats'!$X$3,T40&gt;0),V40+W40,IF(AND(Q40='G-1 All Habitats'!$X$3,AD40&gt;0),"Any Loss Unacceptable ⚠",IF(AND(Q40='G-1 All Habitats'!$X$3,AE40&gt;0),"Any Loss Unacceptable ⚠", E40*G40*I40*L40*N40*P40 ))))),"Check Data ▲")</f>
        <v/>
      </c>
      <c r="S40" s="32"/>
      <c r="T40" s="114"/>
      <c r="U40" s="125"/>
      <c r="V40" s="374" t="str">
        <f t="shared" si="0"/>
        <v/>
      </c>
      <c r="W40" s="374" t="str">
        <f t="shared" si="1"/>
        <v/>
      </c>
      <c r="X40" s="374" t="str">
        <f t="shared" si="2"/>
        <v/>
      </c>
      <c r="Y40" s="670" t="str">
        <f t="shared" si="3"/>
        <v/>
      </c>
      <c r="Z40" s="706"/>
      <c r="AA40" s="704"/>
      <c r="AB40" s="120"/>
      <c r="AC40" s="120"/>
      <c r="AD40" s="57" t="str">
        <f>IF(Q40="","",IF(Q40='G-1 All Habitats'!$X$3,E40-T40-U40,"None"))</f>
        <v/>
      </c>
      <c r="AE40" s="58" t="str">
        <f>IF(Q40="","", IF(Q40='G-1 All Habitats'!$X$3, AD40*G40*I40*L40*N40*P40,"None"))</f>
        <v/>
      </c>
      <c r="AH40" s="30">
        <f t="shared" si="4"/>
        <v>0</v>
      </c>
      <c r="AI40" s="124" t="str">
        <f t="shared" si="5"/>
        <v/>
      </c>
      <c r="AJ40" s="124" t="str">
        <f t="shared" si="6"/>
        <v/>
      </c>
      <c r="AL40" s="124">
        <v>31</v>
      </c>
      <c r="AN40" s="124" t="str">
        <f t="array" ref="AN40">IFERROR(INDEX($AL$10:$AL$258, MATCH(0, IF(TRUE=$AI$10:$AI$258, COUNTIF($AN$9:$AN39, $AL$10:$AL$258), ""), 0)),"")</f>
        <v/>
      </c>
      <c r="AO40" s="124" t="str">
        <f t="array" ref="AO40">IFERROR(INDEX($AL$10:$AL$258, MATCH(0, IF(TRUE=$AJ$10:$AJ$258, COUNTIF($AO$9:$AO39, $AL$10:$AL$258), ""), 0)),"")</f>
        <v/>
      </c>
      <c r="AQ40" s="30" t="str">
        <f>IFERROR(INDEX('G-7 WaterC'' Data'!$AZ$3:$AZ$7,MATCH(D40,'G-7 WaterC'' Data'!$AY$3:$AY$7,0)),"")</f>
        <v/>
      </c>
      <c r="AR40" s="30" t="str">
        <f>IFERROR(INDEX('G-7 WaterC'' Data'!AZ40:AZ44,MATCH(D40,'G-7 WaterC'' Data'!$AY$10:$AY$14,0)),"")</f>
        <v/>
      </c>
    </row>
    <row r="41" spans="3:44" ht="15">
      <c r="C41" s="110">
        <v>32</v>
      </c>
      <c r="D41" s="338"/>
      <c r="E41" s="139"/>
      <c r="F41" s="362" t="str">
        <f>IF(D41="","",VLOOKUP(D41,'G-7 WaterC'' Data'!$B$2:$G$8,2,FALSE))</f>
        <v/>
      </c>
      <c r="G41" s="363" t="str">
        <f>IFERROR(VLOOKUP(F41,'G-7 WaterC'' Data'!$C$4:$D$8,2,FALSE),"")</f>
        <v/>
      </c>
      <c r="H41" s="114"/>
      <c r="I41" s="363" t="str">
        <f>IFERROR(INDEX('G-7 WaterC'' Data'!$H$4:$L$8,MATCH(D41,'G-7 WaterC'' Data'!$B$4:$B$8,0),MATCH(H41,'G-7 WaterC'' Data'!$H$3:$L$3,0)),"")</f>
        <v/>
      </c>
      <c r="J41" s="320"/>
      <c r="K41" s="398" t="str">
        <f>IF(J41="","",IF(VLOOKUP(J41,'G-7 WaterC'' Data'!$AK$4:$AM$6,2,FALSE)=0,"Spatial Data Missing ⚠",VLOOKUP(J41,'G-7 WaterC'' Data'!$AK$4:$AM$6,2,FALSE)))</f>
        <v/>
      </c>
      <c r="L41" s="368" t="str">
        <f>IF(J41="","",IF(VLOOKUP(J41,'G-7 WaterC'' Data'!$AK$4:$AM$9,3,FALSE)=0,"Spatial Data Missing ⚠",VLOOKUP(J41,'G-7 WaterC'' Data'!$AK$4:$AM$6,3,FALSE)))</f>
        <v/>
      </c>
      <c r="M41" s="54"/>
      <c r="N41" s="363" t="str">
        <f>IF(M41="","",IF(VLOOKUP(M41,'G-7 WaterC'' Data'!$AA$4:$AB$7,2,FALSE)=0,"Spatial Data Missing ⚠",VLOOKUP(M41,'G-7 WaterC'' Data'!$AA$4:$AB$7,2,FALSE)))</f>
        <v/>
      </c>
      <c r="O41" s="60"/>
      <c r="P41" s="363" t="str">
        <f>IF(O41="","",IF(VLOOKUP(O41,'G-7 WaterC'' Data'!$AD$4:$AE$14,2,FALSE)=0,"Spatial Data Missing ⚠",VLOOKUP(O41,'G-7 WaterC'' Data'!$AD$4:$AE$14,2,FALSE)))</f>
        <v/>
      </c>
      <c r="Q41" s="369" t="str">
        <f>IF(D41="","",VLOOKUP(D41,'G-7 WaterC'' Data'!$B$2:$G$8,6,FALSE))</f>
        <v/>
      </c>
      <c r="R41" s="376" t="str">
        <f>IFERROR(IF(D41="","",IF(AND(Q41='G-1 All Habitats'!$X$3,U41&gt;0),V41+W41,IF(AND(Q41='G-1 All Habitats'!$X$3,T41&gt;0),V41+W41,IF(AND(Q41='G-1 All Habitats'!$X$3,AD41&gt;0),"Any Loss Unacceptable ⚠",IF(AND(Q41='G-1 All Habitats'!$X$3,AE41&gt;0),"Any Loss Unacceptable ⚠", E41*G41*I41*L41*N41*P41 ))))),"Check Data ▲")</f>
        <v/>
      </c>
      <c r="S41" s="32"/>
      <c r="T41" s="114"/>
      <c r="U41" s="125"/>
      <c r="V41" s="374" t="str">
        <f t="shared" si="0"/>
        <v/>
      </c>
      <c r="W41" s="374" t="str">
        <f t="shared" si="1"/>
        <v/>
      </c>
      <c r="X41" s="374" t="str">
        <f t="shared" si="2"/>
        <v/>
      </c>
      <c r="Y41" s="670" t="str">
        <f t="shared" si="3"/>
        <v/>
      </c>
      <c r="Z41" s="706"/>
      <c r="AA41" s="704"/>
      <c r="AB41" s="120"/>
      <c r="AC41" s="120"/>
      <c r="AD41" s="57" t="str">
        <f>IF(Q41="","",IF(Q41='G-1 All Habitats'!$X$3,E41-T41-U41,"None"))</f>
        <v/>
      </c>
      <c r="AE41" s="58" t="str">
        <f>IF(Q41="","", IF(Q41='G-1 All Habitats'!$X$3, AD41*G41*I41*L41*N41*P41,"None"))</f>
        <v/>
      </c>
      <c r="AH41" s="30">
        <f t="shared" si="4"/>
        <v>0</v>
      </c>
      <c r="AI41" s="124" t="str">
        <f t="shared" si="5"/>
        <v/>
      </c>
      <c r="AJ41" s="124" t="str">
        <f t="shared" si="6"/>
        <v/>
      </c>
      <c r="AL41" s="124">
        <v>32</v>
      </c>
      <c r="AN41" s="124" t="str">
        <f t="array" ref="AN41">IFERROR(INDEX($AL$10:$AL$258, MATCH(0, IF(TRUE=$AI$10:$AI$258, COUNTIF($AN$9:$AN40, $AL$10:$AL$258), ""), 0)),"")</f>
        <v/>
      </c>
      <c r="AO41" s="124" t="str">
        <f t="array" ref="AO41">IFERROR(INDEX($AL$10:$AL$258, MATCH(0, IF(TRUE=$AJ$10:$AJ$258, COUNTIF($AO$9:$AO40, $AL$10:$AL$258), ""), 0)),"")</f>
        <v/>
      </c>
      <c r="AQ41" s="30" t="str">
        <f>IFERROR(INDEX('G-7 WaterC'' Data'!$AZ$3:$AZ$7,MATCH(D41,'G-7 WaterC'' Data'!$AY$3:$AY$7,0)),"")</f>
        <v/>
      </c>
      <c r="AR41" s="30" t="str">
        <f>IFERROR(INDEX('G-7 WaterC'' Data'!AZ41:AZ45,MATCH(D41,'G-7 WaterC'' Data'!$AY$10:$AY$14,0)),"")</f>
        <v/>
      </c>
    </row>
    <row r="42" spans="3:44" ht="15">
      <c r="C42" s="110">
        <v>33</v>
      </c>
      <c r="D42" s="338"/>
      <c r="E42" s="139"/>
      <c r="F42" s="362" t="str">
        <f>IF(D42="","",VLOOKUP(D42,'G-7 WaterC'' Data'!$B$2:$G$8,2,FALSE))</f>
        <v/>
      </c>
      <c r="G42" s="363" t="str">
        <f>IFERROR(VLOOKUP(F42,'G-7 WaterC'' Data'!$C$4:$D$8,2,FALSE),"")</f>
        <v/>
      </c>
      <c r="H42" s="114"/>
      <c r="I42" s="363" t="str">
        <f>IFERROR(INDEX('G-7 WaterC'' Data'!$H$4:$L$8,MATCH(D42,'G-7 WaterC'' Data'!$B$4:$B$8,0),MATCH(H42,'G-7 WaterC'' Data'!$H$3:$L$3,0)),"")</f>
        <v/>
      </c>
      <c r="J42" s="320"/>
      <c r="K42" s="398" t="str">
        <f>IF(J42="","",IF(VLOOKUP(J42,'G-7 WaterC'' Data'!$AK$4:$AM$6,2,FALSE)=0,"Spatial Data Missing ⚠",VLOOKUP(J42,'G-7 WaterC'' Data'!$AK$4:$AM$6,2,FALSE)))</f>
        <v/>
      </c>
      <c r="L42" s="368" t="str">
        <f>IF(J42="","",IF(VLOOKUP(J42,'G-7 WaterC'' Data'!$AK$4:$AM$9,3,FALSE)=0,"Spatial Data Missing ⚠",VLOOKUP(J42,'G-7 WaterC'' Data'!$AK$4:$AM$6,3,FALSE)))</f>
        <v/>
      </c>
      <c r="M42" s="54"/>
      <c r="N42" s="363" t="str">
        <f>IF(M42="","",IF(VLOOKUP(M42,'G-7 WaterC'' Data'!$AA$4:$AB$7,2,FALSE)=0,"Spatial Data Missing ⚠",VLOOKUP(M42,'G-7 WaterC'' Data'!$AA$4:$AB$7,2,FALSE)))</f>
        <v/>
      </c>
      <c r="O42" s="60"/>
      <c r="P42" s="363" t="str">
        <f>IF(O42="","",IF(VLOOKUP(O42,'G-7 WaterC'' Data'!$AD$4:$AE$14,2,FALSE)=0,"Spatial Data Missing ⚠",VLOOKUP(O42,'G-7 WaterC'' Data'!$AD$4:$AE$14,2,FALSE)))</f>
        <v/>
      </c>
      <c r="Q42" s="369" t="str">
        <f>IF(D42="","",VLOOKUP(D42,'G-7 WaterC'' Data'!$B$2:$G$8,6,FALSE))</f>
        <v/>
      </c>
      <c r="R42" s="376" t="str">
        <f>IFERROR(IF(D42="","",IF(AND(Q42='G-1 All Habitats'!$X$3,U42&gt;0),V42+W42,IF(AND(Q42='G-1 All Habitats'!$X$3,T42&gt;0),V42+W42,IF(AND(Q42='G-1 All Habitats'!$X$3,AD42&gt;0),"Any Loss Unacceptable ⚠",IF(AND(Q42='G-1 All Habitats'!$X$3,AE42&gt;0),"Any Loss Unacceptable ⚠", E42*G42*I42*L42*N42*P42 ))))),"Check Data ▲")</f>
        <v/>
      </c>
      <c r="S42" s="32"/>
      <c r="T42" s="114"/>
      <c r="U42" s="125"/>
      <c r="V42" s="374" t="str">
        <f t="shared" si="0"/>
        <v/>
      </c>
      <c r="W42" s="374" t="str">
        <f t="shared" si="1"/>
        <v/>
      </c>
      <c r="X42" s="374" t="str">
        <f t="shared" si="2"/>
        <v/>
      </c>
      <c r="Y42" s="670" t="str">
        <f t="shared" si="3"/>
        <v/>
      </c>
      <c r="Z42" s="706"/>
      <c r="AA42" s="704"/>
      <c r="AB42" s="120"/>
      <c r="AC42" s="120"/>
      <c r="AD42" s="57" t="str">
        <f>IF(Q42="","",IF(Q42='G-1 All Habitats'!$X$3,E42-T42-U42,"None"))</f>
        <v/>
      </c>
      <c r="AE42" s="58" t="str">
        <f>IF(Q42="","", IF(Q42='G-1 All Habitats'!$X$3, AD42*G42*I42*L42*N42*P42,"None"))</f>
        <v/>
      </c>
      <c r="AH42" s="30">
        <f t="shared" si="4"/>
        <v>0</v>
      </c>
      <c r="AI42" s="124" t="str">
        <f t="shared" si="5"/>
        <v/>
      </c>
      <c r="AJ42" s="124" t="str">
        <f t="shared" si="6"/>
        <v/>
      </c>
      <c r="AL42" s="124">
        <v>33</v>
      </c>
      <c r="AN42" s="124" t="str">
        <f t="array" ref="AN42">IFERROR(INDEX($AL$10:$AL$258, MATCH(0, IF(TRUE=$AI$10:$AI$258, COUNTIF($AN$9:$AN41, $AL$10:$AL$258), ""), 0)),"")</f>
        <v/>
      </c>
      <c r="AO42" s="124" t="str">
        <f t="array" ref="AO42">IFERROR(INDEX($AL$10:$AL$258, MATCH(0, IF(TRUE=$AJ$10:$AJ$258, COUNTIF($AO$9:$AO41, $AL$10:$AL$258), ""), 0)),"")</f>
        <v/>
      </c>
      <c r="AQ42" s="30" t="str">
        <f>IFERROR(INDEX('G-7 WaterC'' Data'!$AZ$3:$AZ$7,MATCH(D42,'G-7 WaterC'' Data'!$AY$3:$AY$7,0)),"")</f>
        <v/>
      </c>
      <c r="AR42" s="30" t="str">
        <f>IFERROR(INDEX('G-7 WaterC'' Data'!AZ42:AZ46,MATCH(D42,'G-7 WaterC'' Data'!$AY$10:$AY$14,0)),"")</f>
        <v/>
      </c>
    </row>
    <row r="43" spans="3:44" ht="15">
      <c r="C43" s="110">
        <v>34</v>
      </c>
      <c r="D43" s="338"/>
      <c r="E43" s="139"/>
      <c r="F43" s="362" t="str">
        <f>IF(D43="","",VLOOKUP(D43,'G-7 WaterC'' Data'!$B$2:$G$8,2,FALSE))</f>
        <v/>
      </c>
      <c r="G43" s="363" t="str">
        <f>IFERROR(VLOOKUP(F43,'G-7 WaterC'' Data'!$C$4:$D$8,2,FALSE),"")</f>
        <v/>
      </c>
      <c r="H43" s="114"/>
      <c r="I43" s="363" t="str">
        <f>IFERROR(INDEX('G-7 WaterC'' Data'!$H$4:$L$8,MATCH(D43,'G-7 WaterC'' Data'!$B$4:$B$8,0),MATCH(H43,'G-7 WaterC'' Data'!$H$3:$L$3,0)),"")</f>
        <v/>
      </c>
      <c r="J43" s="320"/>
      <c r="K43" s="398" t="str">
        <f>IF(J43="","",IF(VLOOKUP(J43,'G-7 WaterC'' Data'!$AK$4:$AM$6,2,FALSE)=0,"Spatial Data Missing ⚠",VLOOKUP(J43,'G-7 WaterC'' Data'!$AK$4:$AM$6,2,FALSE)))</f>
        <v/>
      </c>
      <c r="L43" s="368" t="str">
        <f>IF(J43="","",IF(VLOOKUP(J43,'G-7 WaterC'' Data'!$AK$4:$AM$9,3,FALSE)=0,"Spatial Data Missing ⚠",VLOOKUP(J43,'G-7 WaterC'' Data'!$AK$4:$AM$6,3,FALSE)))</f>
        <v/>
      </c>
      <c r="M43" s="54"/>
      <c r="N43" s="363" t="str">
        <f>IF(M43="","",IF(VLOOKUP(M43,'G-7 WaterC'' Data'!$AA$4:$AB$7,2,FALSE)=0,"Spatial Data Missing ⚠",VLOOKUP(M43,'G-7 WaterC'' Data'!$AA$4:$AB$7,2,FALSE)))</f>
        <v/>
      </c>
      <c r="O43" s="60"/>
      <c r="P43" s="363" t="str">
        <f>IF(O43="","",IF(VLOOKUP(O43,'G-7 WaterC'' Data'!$AD$4:$AE$14,2,FALSE)=0,"Spatial Data Missing ⚠",VLOOKUP(O43,'G-7 WaterC'' Data'!$AD$4:$AE$14,2,FALSE)))</f>
        <v/>
      </c>
      <c r="Q43" s="369" t="str">
        <f>IF(D43="","",VLOOKUP(D43,'G-7 WaterC'' Data'!$B$2:$G$8,6,FALSE))</f>
        <v/>
      </c>
      <c r="R43" s="376" t="str">
        <f>IFERROR(IF(D43="","",IF(AND(Q43='G-1 All Habitats'!$X$3,U43&gt;0),V43+W43,IF(AND(Q43='G-1 All Habitats'!$X$3,T43&gt;0),V43+W43,IF(AND(Q43='G-1 All Habitats'!$X$3,AD43&gt;0),"Any Loss Unacceptable ⚠",IF(AND(Q43='G-1 All Habitats'!$X$3,AE43&gt;0),"Any Loss Unacceptable ⚠", E43*G43*I43*L43*N43*P43 ))))),"Check Data ▲")</f>
        <v/>
      </c>
      <c r="S43" s="32"/>
      <c r="T43" s="114"/>
      <c r="U43" s="125"/>
      <c r="V43" s="374" t="str">
        <f t="shared" si="0"/>
        <v/>
      </c>
      <c r="W43" s="374" t="str">
        <f t="shared" si="1"/>
        <v/>
      </c>
      <c r="X43" s="374" t="str">
        <f t="shared" si="2"/>
        <v/>
      </c>
      <c r="Y43" s="670" t="str">
        <f t="shared" si="3"/>
        <v/>
      </c>
      <c r="Z43" s="706"/>
      <c r="AA43" s="704"/>
      <c r="AB43" s="120"/>
      <c r="AC43" s="120"/>
      <c r="AD43" s="57" t="str">
        <f>IF(Q43="","",IF(Q43='G-1 All Habitats'!$X$3,E43-T43-U43,"None"))</f>
        <v/>
      </c>
      <c r="AE43" s="58" t="str">
        <f>IF(Q43="","", IF(Q43='G-1 All Habitats'!$X$3, AD43*G43*I43*L43*N43*P43,"None"))</f>
        <v/>
      </c>
      <c r="AH43" s="30">
        <f t="shared" si="4"/>
        <v>0</v>
      </c>
      <c r="AI43" s="124" t="str">
        <f t="shared" si="5"/>
        <v/>
      </c>
      <c r="AJ43" s="124" t="str">
        <f t="shared" si="6"/>
        <v/>
      </c>
      <c r="AL43" s="124">
        <v>34</v>
      </c>
      <c r="AN43" s="124" t="str">
        <f t="array" ref="AN43">IFERROR(INDEX($AL$10:$AL$258, MATCH(0, IF(TRUE=$AI$10:$AI$258, COUNTIF($AN$9:$AN42, $AL$10:$AL$258), ""), 0)),"")</f>
        <v/>
      </c>
      <c r="AO43" s="124" t="str">
        <f t="array" ref="AO43">IFERROR(INDEX($AL$10:$AL$258, MATCH(0, IF(TRUE=$AJ$10:$AJ$258, COUNTIF($AO$9:$AO42, $AL$10:$AL$258), ""), 0)),"")</f>
        <v/>
      </c>
      <c r="AQ43" s="30" t="str">
        <f>IFERROR(INDEX('G-7 WaterC'' Data'!$AZ$3:$AZ$7,MATCH(D43,'G-7 WaterC'' Data'!$AY$3:$AY$7,0)),"")</f>
        <v/>
      </c>
      <c r="AR43" s="30" t="str">
        <f>IFERROR(INDEX('G-7 WaterC'' Data'!AZ43:AZ47,MATCH(D43,'G-7 WaterC'' Data'!$AY$10:$AY$14,0)),"")</f>
        <v/>
      </c>
    </row>
    <row r="44" spans="3:44" ht="15">
      <c r="C44" s="110">
        <v>35</v>
      </c>
      <c r="D44" s="338"/>
      <c r="E44" s="139"/>
      <c r="F44" s="362" t="str">
        <f>IF(D44="","",VLOOKUP(D44,'G-7 WaterC'' Data'!$B$2:$G$8,2,FALSE))</f>
        <v/>
      </c>
      <c r="G44" s="363" t="str">
        <f>IFERROR(VLOOKUP(F44,'G-7 WaterC'' Data'!$C$4:$D$8,2,FALSE),"")</f>
        <v/>
      </c>
      <c r="H44" s="114"/>
      <c r="I44" s="363" t="str">
        <f>IFERROR(INDEX('G-7 WaterC'' Data'!$H$4:$L$8,MATCH(D44,'G-7 WaterC'' Data'!$B$4:$B$8,0),MATCH(H44,'G-7 WaterC'' Data'!$H$3:$L$3,0)),"")</f>
        <v/>
      </c>
      <c r="J44" s="320"/>
      <c r="K44" s="398" t="str">
        <f>IF(J44="","",IF(VLOOKUP(J44,'G-7 WaterC'' Data'!$AK$4:$AM$6,2,FALSE)=0,"Spatial Data Missing ⚠",VLOOKUP(J44,'G-7 WaterC'' Data'!$AK$4:$AM$6,2,FALSE)))</f>
        <v/>
      </c>
      <c r="L44" s="368" t="str">
        <f>IF(J44="","",IF(VLOOKUP(J44,'G-7 WaterC'' Data'!$AK$4:$AM$9,3,FALSE)=0,"Spatial Data Missing ⚠",VLOOKUP(J44,'G-7 WaterC'' Data'!$AK$4:$AM$6,3,FALSE)))</f>
        <v/>
      </c>
      <c r="M44" s="54"/>
      <c r="N44" s="363" t="str">
        <f>IF(M44="","",IF(VLOOKUP(M44,'G-7 WaterC'' Data'!$AA$4:$AB$7,2,FALSE)=0,"Spatial Data Missing ⚠",VLOOKUP(M44,'G-7 WaterC'' Data'!$AA$4:$AB$7,2,FALSE)))</f>
        <v/>
      </c>
      <c r="O44" s="60"/>
      <c r="P44" s="363" t="str">
        <f>IF(O44="","",IF(VLOOKUP(O44,'G-7 WaterC'' Data'!$AD$4:$AE$14,2,FALSE)=0,"Spatial Data Missing ⚠",VLOOKUP(O44,'G-7 WaterC'' Data'!$AD$4:$AE$14,2,FALSE)))</f>
        <v/>
      </c>
      <c r="Q44" s="369" t="str">
        <f>IF(D44="","",VLOOKUP(D44,'G-7 WaterC'' Data'!$B$2:$G$8,6,FALSE))</f>
        <v/>
      </c>
      <c r="R44" s="376" t="str">
        <f>IFERROR(IF(D44="","",IF(AND(Q44='G-1 All Habitats'!$X$3,U44&gt;0),V44+W44,IF(AND(Q44='G-1 All Habitats'!$X$3,T44&gt;0),V44+W44,IF(AND(Q44='G-1 All Habitats'!$X$3,AD44&gt;0),"Any Loss Unacceptable ⚠",IF(AND(Q44='G-1 All Habitats'!$X$3,AE44&gt;0),"Any Loss Unacceptable ⚠", E44*G44*I44*L44*N44*P44 ))))),"Check Data ▲")</f>
        <v/>
      </c>
      <c r="S44" s="32"/>
      <c r="T44" s="114"/>
      <c r="U44" s="125"/>
      <c r="V44" s="374" t="str">
        <f t="shared" si="0"/>
        <v/>
      </c>
      <c r="W44" s="374" t="str">
        <f t="shared" si="1"/>
        <v/>
      </c>
      <c r="X44" s="374" t="str">
        <f t="shared" si="2"/>
        <v/>
      </c>
      <c r="Y44" s="670" t="str">
        <f t="shared" si="3"/>
        <v/>
      </c>
      <c r="Z44" s="706"/>
      <c r="AA44" s="704"/>
      <c r="AB44" s="120"/>
      <c r="AC44" s="120"/>
      <c r="AD44" s="57" t="str">
        <f>IF(Q44="","",IF(Q44='G-1 All Habitats'!$X$3,E44-T44-U44,"None"))</f>
        <v/>
      </c>
      <c r="AE44" s="58" t="str">
        <f>IF(Q44="","", IF(Q44='G-1 All Habitats'!$X$3, AD44*G44*I44*L44*N44*P44,"None"))</f>
        <v/>
      </c>
      <c r="AH44" s="30">
        <f t="shared" si="4"/>
        <v>0</v>
      </c>
      <c r="AI44" s="124" t="str">
        <f t="shared" si="5"/>
        <v/>
      </c>
      <c r="AJ44" s="124" t="str">
        <f t="shared" si="6"/>
        <v/>
      </c>
      <c r="AL44" s="124">
        <v>35</v>
      </c>
      <c r="AN44" s="124" t="str">
        <f t="array" ref="AN44">IFERROR(INDEX($AL$10:$AL$258, MATCH(0, IF(TRUE=$AI$10:$AI$258, COUNTIF($AN$9:$AN43, $AL$10:$AL$258), ""), 0)),"")</f>
        <v/>
      </c>
      <c r="AO44" s="124" t="str">
        <f t="array" ref="AO44">IFERROR(INDEX($AL$10:$AL$258, MATCH(0, IF(TRUE=$AJ$10:$AJ$258, COUNTIF($AO$9:$AO43, $AL$10:$AL$258), ""), 0)),"")</f>
        <v/>
      </c>
      <c r="AQ44" s="30" t="str">
        <f>IFERROR(INDEX('G-7 WaterC'' Data'!$AZ$3:$AZ$7,MATCH(D44,'G-7 WaterC'' Data'!$AY$3:$AY$7,0)),"")</f>
        <v/>
      </c>
      <c r="AR44" s="30" t="str">
        <f>IFERROR(INDEX('G-7 WaterC'' Data'!AZ44:AZ48,MATCH(D44,'G-7 WaterC'' Data'!$AY$10:$AY$14,0)),"")</f>
        <v/>
      </c>
    </row>
    <row r="45" spans="3:44" ht="15">
      <c r="C45" s="110">
        <v>36</v>
      </c>
      <c r="D45" s="338"/>
      <c r="E45" s="139"/>
      <c r="F45" s="362" t="str">
        <f>IF(D45="","",VLOOKUP(D45,'G-7 WaterC'' Data'!$B$2:$G$8,2,FALSE))</f>
        <v/>
      </c>
      <c r="G45" s="363" t="str">
        <f>IFERROR(VLOOKUP(F45,'G-7 WaterC'' Data'!$C$4:$D$8,2,FALSE),"")</f>
        <v/>
      </c>
      <c r="H45" s="114"/>
      <c r="I45" s="363" t="str">
        <f>IFERROR(INDEX('G-7 WaterC'' Data'!$H$4:$L$8,MATCH(D45,'G-7 WaterC'' Data'!$B$4:$B$8,0),MATCH(H45,'G-7 WaterC'' Data'!$H$3:$L$3,0)),"")</f>
        <v/>
      </c>
      <c r="J45" s="320"/>
      <c r="K45" s="398" t="str">
        <f>IF(J45="","",IF(VLOOKUP(J45,'G-7 WaterC'' Data'!$AK$4:$AM$6,2,FALSE)=0,"Spatial Data Missing ⚠",VLOOKUP(J45,'G-7 WaterC'' Data'!$AK$4:$AM$6,2,FALSE)))</f>
        <v/>
      </c>
      <c r="L45" s="368" t="str">
        <f>IF(J45="","",IF(VLOOKUP(J45,'G-7 WaterC'' Data'!$AK$4:$AM$9,3,FALSE)=0,"Spatial Data Missing ⚠",VLOOKUP(J45,'G-7 WaterC'' Data'!$AK$4:$AM$6,3,FALSE)))</f>
        <v/>
      </c>
      <c r="M45" s="54"/>
      <c r="N45" s="363" t="str">
        <f>IF(M45="","",IF(VLOOKUP(M45,'G-7 WaterC'' Data'!$AA$4:$AB$7,2,FALSE)=0,"Spatial Data Missing ⚠",VLOOKUP(M45,'G-7 WaterC'' Data'!$AA$4:$AB$7,2,FALSE)))</f>
        <v/>
      </c>
      <c r="O45" s="60"/>
      <c r="P45" s="363" t="str">
        <f>IF(O45="","",IF(VLOOKUP(O45,'G-7 WaterC'' Data'!$AD$4:$AE$14,2,FALSE)=0,"Spatial Data Missing ⚠",VLOOKUP(O45,'G-7 WaterC'' Data'!$AD$4:$AE$14,2,FALSE)))</f>
        <v/>
      </c>
      <c r="Q45" s="369" t="str">
        <f>IF(D45="","",VLOOKUP(D45,'G-7 WaterC'' Data'!$B$2:$G$8,6,FALSE))</f>
        <v/>
      </c>
      <c r="R45" s="376" t="str">
        <f>IFERROR(IF(D45="","",IF(AND(Q45='G-1 All Habitats'!$X$3,U45&gt;0),V45+W45,IF(AND(Q45='G-1 All Habitats'!$X$3,T45&gt;0),V45+W45,IF(AND(Q45='G-1 All Habitats'!$X$3,AD45&gt;0),"Any Loss Unacceptable ⚠",IF(AND(Q45='G-1 All Habitats'!$X$3,AE45&gt;0),"Any Loss Unacceptable ⚠", E45*G45*I45*L45*N45*P45 ))))),"Check Data ▲")</f>
        <v/>
      </c>
      <c r="S45" s="32"/>
      <c r="T45" s="114"/>
      <c r="U45" s="125"/>
      <c r="V45" s="374" t="str">
        <f t="shared" si="0"/>
        <v/>
      </c>
      <c r="W45" s="374" t="str">
        <f t="shared" si="1"/>
        <v/>
      </c>
      <c r="X45" s="374" t="str">
        <f t="shared" si="2"/>
        <v/>
      </c>
      <c r="Y45" s="670" t="str">
        <f t="shared" si="3"/>
        <v/>
      </c>
      <c r="Z45" s="706"/>
      <c r="AA45" s="704"/>
      <c r="AB45" s="120"/>
      <c r="AC45" s="120"/>
      <c r="AD45" s="57" t="str">
        <f>IF(Q45="","",IF(Q45='G-1 All Habitats'!$X$3,E45-T45-U45,"None"))</f>
        <v/>
      </c>
      <c r="AE45" s="58" t="str">
        <f>IF(Q45="","", IF(Q45='G-1 All Habitats'!$X$3, AD45*G45*I45*L45*N45*P45,"None"))</f>
        <v/>
      </c>
      <c r="AH45" s="30">
        <f t="shared" si="4"/>
        <v>0</v>
      </c>
      <c r="AI45" s="124" t="str">
        <f t="shared" si="5"/>
        <v/>
      </c>
      <c r="AJ45" s="124" t="str">
        <f t="shared" si="6"/>
        <v/>
      </c>
      <c r="AL45" s="124">
        <v>36</v>
      </c>
      <c r="AN45" s="124" t="str">
        <f t="array" ref="AN45">IFERROR(INDEX($AL$10:$AL$258, MATCH(0, IF(TRUE=$AI$10:$AI$258, COUNTIF($AN$9:$AN44, $AL$10:$AL$258), ""), 0)),"")</f>
        <v/>
      </c>
      <c r="AO45" s="124" t="str">
        <f t="array" ref="AO45">IFERROR(INDEX($AL$10:$AL$258, MATCH(0, IF(TRUE=$AJ$10:$AJ$258, COUNTIF($AO$9:$AO44, $AL$10:$AL$258), ""), 0)),"")</f>
        <v/>
      </c>
      <c r="AQ45" s="30" t="str">
        <f>IFERROR(INDEX('G-7 WaterC'' Data'!$AZ$3:$AZ$7,MATCH(D45,'G-7 WaterC'' Data'!$AY$3:$AY$7,0)),"")</f>
        <v/>
      </c>
      <c r="AR45" s="30" t="str">
        <f>IFERROR(INDEX('G-7 WaterC'' Data'!AZ45:AZ49,MATCH(D45,'G-7 WaterC'' Data'!$AY$10:$AY$14,0)),"")</f>
        <v/>
      </c>
    </row>
    <row r="46" spans="3:44" ht="15">
      <c r="C46" s="110">
        <v>37</v>
      </c>
      <c r="D46" s="338"/>
      <c r="E46" s="139"/>
      <c r="F46" s="362" t="str">
        <f>IF(D46="","",VLOOKUP(D46,'G-7 WaterC'' Data'!$B$2:$G$8,2,FALSE))</f>
        <v/>
      </c>
      <c r="G46" s="363" t="str">
        <f>IFERROR(VLOOKUP(F46,'G-7 WaterC'' Data'!$C$4:$D$8,2,FALSE),"")</f>
        <v/>
      </c>
      <c r="H46" s="114"/>
      <c r="I46" s="363" t="str">
        <f>IFERROR(INDEX('G-7 WaterC'' Data'!$H$4:$L$8,MATCH(D46,'G-7 WaterC'' Data'!$B$4:$B$8,0),MATCH(H46,'G-7 WaterC'' Data'!$H$3:$L$3,0)),"")</f>
        <v/>
      </c>
      <c r="J46" s="320"/>
      <c r="K46" s="398" t="str">
        <f>IF(J46="","",IF(VLOOKUP(J46,'G-7 WaterC'' Data'!$AK$4:$AM$6,2,FALSE)=0,"Spatial Data Missing ⚠",VLOOKUP(J46,'G-7 WaterC'' Data'!$AK$4:$AM$6,2,FALSE)))</f>
        <v/>
      </c>
      <c r="L46" s="368" t="str">
        <f>IF(J46="","",IF(VLOOKUP(J46,'G-7 WaterC'' Data'!$AK$4:$AM$9,3,FALSE)=0,"Spatial Data Missing ⚠",VLOOKUP(J46,'G-7 WaterC'' Data'!$AK$4:$AM$6,3,FALSE)))</f>
        <v/>
      </c>
      <c r="M46" s="54"/>
      <c r="N46" s="363" t="str">
        <f>IF(M46="","",IF(VLOOKUP(M46,'G-7 WaterC'' Data'!$AA$4:$AB$7,2,FALSE)=0,"Spatial Data Missing ⚠",VLOOKUP(M46,'G-7 WaterC'' Data'!$AA$4:$AB$7,2,FALSE)))</f>
        <v/>
      </c>
      <c r="O46" s="60"/>
      <c r="P46" s="363" t="str">
        <f>IF(O46="","",IF(VLOOKUP(O46,'G-7 WaterC'' Data'!$AD$4:$AE$14,2,FALSE)=0,"Spatial Data Missing ⚠",VLOOKUP(O46,'G-7 WaterC'' Data'!$AD$4:$AE$14,2,FALSE)))</f>
        <v/>
      </c>
      <c r="Q46" s="369" t="str">
        <f>IF(D46="","",VLOOKUP(D46,'G-7 WaterC'' Data'!$B$2:$G$8,6,FALSE))</f>
        <v/>
      </c>
      <c r="R46" s="376" t="str">
        <f>IFERROR(IF(D46="","",IF(AND(Q46='G-1 All Habitats'!$X$3,U46&gt;0),V46+W46,IF(AND(Q46='G-1 All Habitats'!$X$3,T46&gt;0),V46+W46,IF(AND(Q46='G-1 All Habitats'!$X$3,AD46&gt;0),"Any Loss Unacceptable ⚠",IF(AND(Q46='G-1 All Habitats'!$X$3,AE46&gt;0),"Any Loss Unacceptable ⚠", E46*G46*I46*L46*N46*P46 ))))),"Check Data ▲")</f>
        <v/>
      </c>
      <c r="S46" s="32"/>
      <c r="T46" s="114"/>
      <c r="U46" s="125"/>
      <c r="V46" s="374" t="str">
        <f t="shared" si="0"/>
        <v/>
      </c>
      <c r="W46" s="374" t="str">
        <f t="shared" si="1"/>
        <v/>
      </c>
      <c r="X46" s="374" t="str">
        <f t="shared" si="2"/>
        <v/>
      </c>
      <c r="Y46" s="670" t="str">
        <f t="shared" si="3"/>
        <v/>
      </c>
      <c r="Z46" s="706"/>
      <c r="AA46" s="704"/>
      <c r="AB46" s="120"/>
      <c r="AC46" s="120"/>
      <c r="AD46" s="57" t="str">
        <f>IF(Q46="","",IF(Q46='G-1 All Habitats'!$X$3,E46-T46-U46,"None"))</f>
        <v/>
      </c>
      <c r="AE46" s="58" t="str">
        <f>IF(Q46="","", IF(Q46='G-1 All Habitats'!$X$3, AD46*G46*I46*L46*N46*P46,"None"))</f>
        <v/>
      </c>
      <c r="AH46" s="30">
        <f t="shared" si="4"/>
        <v>0</v>
      </c>
      <c r="AI46" s="124" t="str">
        <f t="shared" si="5"/>
        <v/>
      </c>
      <c r="AJ46" s="124" t="str">
        <f t="shared" si="6"/>
        <v/>
      </c>
      <c r="AL46" s="124">
        <v>37</v>
      </c>
      <c r="AN46" s="124" t="str">
        <f t="array" ref="AN46">IFERROR(INDEX($AL$10:$AL$258, MATCH(0, IF(TRUE=$AI$10:$AI$258, COUNTIF($AN$9:$AN45, $AL$10:$AL$258), ""), 0)),"")</f>
        <v/>
      </c>
      <c r="AO46" s="124" t="str">
        <f t="array" ref="AO46">IFERROR(INDEX($AL$10:$AL$258, MATCH(0, IF(TRUE=$AJ$10:$AJ$258, COUNTIF($AO$9:$AO45, $AL$10:$AL$258), ""), 0)),"")</f>
        <v/>
      </c>
      <c r="AQ46" s="30" t="str">
        <f>IFERROR(INDEX('G-7 WaterC'' Data'!$AZ$3:$AZ$7,MATCH(D46,'G-7 WaterC'' Data'!$AY$3:$AY$7,0)),"")</f>
        <v/>
      </c>
      <c r="AR46" s="30" t="str">
        <f>IFERROR(INDEX('G-7 WaterC'' Data'!AZ46:AZ50,MATCH(D46,'G-7 WaterC'' Data'!$AY$10:$AY$14,0)),"")</f>
        <v/>
      </c>
    </row>
    <row r="47" spans="3:44" ht="15">
      <c r="C47" s="110">
        <v>38</v>
      </c>
      <c r="D47" s="338"/>
      <c r="E47" s="139"/>
      <c r="F47" s="362" t="str">
        <f>IF(D47="","",VLOOKUP(D47,'G-7 WaterC'' Data'!$B$2:$G$8,2,FALSE))</f>
        <v/>
      </c>
      <c r="G47" s="363" t="str">
        <f>IFERROR(VLOOKUP(F47,'G-7 WaterC'' Data'!$C$4:$D$8,2,FALSE),"")</f>
        <v/>
      </c>
      <c r="H47" s="114"/>
      <c r="I47" s="363" t="str">
        <f>IFERROR(INDEX('G-7 WaterC'' Data'!$H$4:$L$8,MATCH(D47,'G-7 WaterC'' Data'!$B$4:$B$8,0),MATCH(H47,'G-7 WaterC'' Data'!$H$3:$L$3,0)),"")</f>
        <v/>
      </c>
      <c r="J47" s="320"/>
      <c r="K47" s="398" t="str">
        <f>IF(J47="","",IF(VLOOKUP(J47,'G-7 WaterC'' Data'!$AK$4:$AM$6,2,FALSE)=0,"Spatial Data Missing ⚠",VLOOKUP(J47,'G-7 WaterC'' Data'!$AK$4:$AM$6,2,FALSE)))</f>
        <v/>
      </c>
      <c r="L47" s="368" t="str">
        <f>IF(J47="","",IF(VLOOKUP(J47,'G-7 WaterC'' Data'!$AK$4:$AM$9,3,FALSE)=0,"Spatial Data Missing ⚠",VLOOKUP(J47,'G-7 WaterC'' Data'!$AK$4:$AM$6,3,FALSE)))</f>
        <v/>
      </c>
      <c r="M47" s="54"/>
      <c r="N47" s="363" t="str">
        <f>IF(M47="","",IF(VLOOKUP(M47,'G-7 WaterC'' Data'!$AA$4:$AB$7,2,FALSE)=0,"Spatial Data Missing ⚠",VLOOKUP(M47,'G-7 WaterC'' Data'!$AA$4:$AB$7,2,FALSE)))</f>
        <v/>
      </c>
      <c r="O47" s="60"/>
      <c r="P47" s="363" t="str">
        <f>IF(O47="","",IF(VLOOKUP(O47,'G-7 WaterC'' Data'!$AD$4:$AE$14,2,FALSE)=0,"Spatial Data Missing ⚠",VLOOKUP(O47,'G-7 WaterC'' Data'!$AD$4:$AE$14,2,FALSE)))</f>
        <v/>
      </c>
      <c r="Q47" s="369" t="str">
        <f>IF(D47="","",VLOOKUP(D47,'G-7 WaterC'' Data'!$B$2:$G$8,6,FALSE))</f>
        <v/>
      </c>
      <c r="R47" s="376" t="str">
        <f>IFERROR(IF(D47="","",IF(AND(Q47='G-1 All Habitats'!$X$3,U47&gt;0),V47+W47,IF(AND(Q47='G-1 All Habitats'!$X$3,T47&gt;0),V47+W47,IF(AND(Q47='G-1 All Habitats'!$X$3,AD47&gt;0),"Any Loss Unacceptable ⚠",IF(AND(Q47='G-1 All Habitats'!$X$3,AE47&gt;0),"Any Loss Unacceptable ⚠", E47*G47*I47*L47*N47*P47 ))))),"Check Data ▲")</f>
        <v/>
      </c>
      <c r="S47" s="32"/>
      <c r="T47" s="114"/>
      <c r="U47" s="125"/>
      <c r="V47" s="374" t="str">
        <f t="shared" si="0"/>
        <v/>
      </c>
      <c r="W47" s="374" t="str">
        <f t="shared" si="1"/>
        <v/>
      </c>
      <c r="X47" s="374" t="str">
        <f t="shared" si="2"/>
        <v/>
      </c>
      <c r="Y47" s="670" t="str">
        <f t="shared" si="3"/>
        <v/>
      </c>
      <c r="Z47" s="706"/>
      <c r="AA47" s="704"/>
      <c r="AB47" s="120"/>
      <c r="AC47" s="120"/>
      <c r="AD47" s="57" t="str">
        <f>IF(Q47="","",IF(Q47='G-1 All Habitats'!$X$3,E47-T47-U47,"None"))</f>
        <v/>
      </c>
      <c r="AE47" s="58" t="str">
        <f>IF(Q47="","", IF(Q47='G-1 All Habitats'!$X$3, AD47*G47*I47*L47*N47*P47,"None"))</f>
        <v/>
      </c>
      <c r="AH47" s="30">
        <f t="shared" si="4"/>
        <v>0</v>
      </c>
      <c r="AI47" s="124" t="str">
        <f t="shared" si="5"/>
        <v/>
      </c>
      <c r="AJ47" s="124" t="str">
        <f t="shared" si="6"/>
        <v/>
      </c>
      <c r="AL47" s="124">
        <v>38</v>
      </c>
      <c r="AN47" s="124" t="str">
        <f t="array" ref="AN47">IFERROR(INDEX($AL$10:$AL$258, MATCH(0, IF(TRUE=$AI$10:$AI$258, COUNTIF($AN$9:$AN46, $AL$10:$AL$258), ""), 0)),"")</f>
        <v/>
      </c>
      <c r="AO47" s="124" t="str">
        <f t="array" ref="AO47">IFERROR(INDEX($AL$10:$AL$258, MATCH(0, IF(TRUE=$AJ$10:$AJ$258, COUNTIF($AO$9:$AO46, $AL$10:$AL$258), ""), 0)),"")</f>
        <v/>
      </c>
      <c r="AQ47" s="30" t="str">
        <f>IFERROR(INDEX('G-7 WaterC'' Data'!$AZ$3:$AZ$7,MATCH(D47,'G-7 WaterC'' Data'!$AY$3:$AY$7,0)),"")</f>
        <v/>
      </c>
      <c r="AR47" s="30" t="str">
        <f>IFERROR(INDEX('G-7 WaterC'' Data'!AZ47:AZ51,MATCH(D47,'G-7 WaterC'' Data'!$AY$10:$AY$14,0)),"")</f>
        <v/>
      </c>
    </row>
    <row r="48" spans="3:44" ht="15">
      <c r="C48" s="110">
        <v>39</v>
      </c>
      <c r="D48" s="338"/>
      <c r="E48" s="139"/>
      <c r="F48" s="362" t="str">
        <f>IF(D48="","",VLOOKUP(D48,'G-7 WaterC'' Data'!$B$2:$G$8,2,FALSE))</f>
        <v/>
      </c>
      <c r="G48" s="363" t="str">
        <f>IFERROR(VLOOKUP(F48,'G-7 WaterC'' Data'!$C$4:$D$8,2,FALSE),"")</f>
        <v/>
      </c>
      <c r="H48" s="114"/>
      <c r="I48" s="363" t="str">
        <f>IFERROR(INDEX('G-7 WaterC'' Data'!$H$4:$L$8,MATCH(D48,'G-7 WaterC'' Data'!$B$4:$B$8,0),MATCH(H48,'G-7 WaterC'' Data'!$H$3:$L$3,0)),"")</f>
        <v/>
      </c>
      <c r="J48" s="320"/>
      <c r="K48" s="398" t="str">
        <f>IF(J48="","",IF(VLOOKUP(J48,'G-7 WaterC'' Data'!$AK$4:$AM$6,2,FALSE)=0,"Spatial Data Missing ⚠",VLOOKUP(J48,'G-7 WaterC'' Data'!$AK$4:$AM$6,2,FALSE)))</f>
        <v/>
      </c>
      <c r="L48" s="368" t="str">
        <f>IF(J48="","",IF(VLOOKUP(J48,'G-7 WaterC'' Data'!$AK$4:$AM$9,3,FALSE)=0,"Spatial Data Missing ⚠",VLOOKUP(J48,'G-7 WaterC'' Data'!$AK$4:$AM$6,3,FALSE)))</f>
        <v/>
      </c>
      <c r="M48" s="54"/>
      <c r="N48" s="363" t="str">
        <f>IF(M48="","",IF(VLOOKUP(M48,'G-7 WaterC'' Data'!$AA$4:$AB$7,2,FALSE)=0,"Spatial Data Missing ⚠",VLOOKUP(M48,'G-7 WaterC'' Data'!$AA$4:$AB$7,2,FALSE)))</f>
        <v/>
      </c>
      <c r="O48" s="60"/>
      <c r="P48" s="363" t="str">
        <f>IF(O48="","",IF(VLOOKUP(O48,'G-7 WaterC'' Data'!$AD$4:$AE$14,2,FALSE)=0,"Spatial Data Missing ⚠",VLOOKUP(O48,'G-7 WaterC'' Data'!$AD$4:$AE$14,2,FALSE)))</f>
        <v/>
      </c>
      <c r="Q48" s="369" t="str">
        <f>IF(D48="","",VLOOKUP(D48,'G-7 WaterC'' Data'!$B$2:$G$8,6,FALSE))</f>
        <v/>
      </c>
      <c r="R48" s="376" t="str">
        <f>IFERROR(IF(D48="","",IF(AND(Q48='G-1 All Habitats'!$X$3,U48&gt;0),V48+W48,IF(AND(Q48='G-1 All Habitats'!$X$3,T48&gt;0),V48+W48,IF(AND(Q48='G-1 All Habitats'!$X$3,AD48&gt;0),"Any Loss Unacceptable ⚠",IF(AND(Q48='G-1 All Habitats'!$X$3,AE48&gt;0),"Any Loss Unacceptable ⚠", E48*G48*I48*L48*N48*P48 ))))),"Check Data ▲")</f>
        <v/>
      </c>
      <c r="S48" s="32"/>
      <c r="T48" s="114"/>
      <c r="U48" s="125"/>
      <c r="V48" s="374" t="str">
        <f t="shared" si="0"/>
        <v/>
      </c>
      <c r="W48" s="374" t="str">
        <f t="shared" si="1"/>
        <v/>
      </c>
      <c r="X48" s="374" t="str">
        <f t="shared" si="2"/>
        <v/>
      </c>
      <c r="Y48" s="670" t="str">
        <f t="shared" si="3"/>
        <v/>
      </c>
      <c r="Z48" s="706"/>
      <c r="AA48" s="704"/>
      <c r="AB48" s="120"/>
      <c r="AC48" s="120"/>
      <c r="AD48" s="57" t="str">
        <f>IF(Q48="","",IF(Q48='G-1 All Habitats'!$X$3,E48-T48-U48,"None"))</f>
        <v/>
      </c>
      <c r="AE48" s="58" t="str">
        <f>IF(Q48="","", IF(Q48='G-1 All Habitats'!$X$3, AD48*G48*I48*L48*N48*P48,"None"))</f>
        <v/>
      </c>
      <c r="AH48" s="30">
        <f t="shared" si="4"/>
        <v>0</v>
      </c>
      <c r="AI48" s="124" t="str">
        <f t="shared" si="5"/>
        <v/>
      </c>
      <c r="AJ48" s="124" t="str">
        <f t="shared" si="6"/>
        <v/>
      </c>
      <c r="AL48" s="124">
        <v>39</v>
      </c>
      <c r="AN48" s="124" t="str">
        <f t="array" ref="AN48">IFERROR(INDEX($AL$10:$AL$258, MATCH(0, IF(TRUE=$AI$10:$AI$258, COUNTIF($AN$9:$AN47, $AL$10:$AL$258), ""), 0)),"")</f>
        <v/>
      </c>
      <c r="AO48" s="124" t="str">
        <f t="array" ref="AO48">IFERROR(INDEX($AL$10:$AL$258, MATCH(0, IF(TRUE=$AJ$10:$AJ$258, COUNTIF($AO$9:$AO47, $AL$10:$AL$258), ""), 0)),"")</f>
        <v/>
      </c>
      <c r="AQ48" s="30" t="str">
        <f>IFERROR(INDEX('G-7 WaterC'' Data'!$AZ$3:$AZ$7,MATCH(D48,'G-7 WaterC'' Data'!$AY$3:$AY$7,0)),"")</f>
        <v/>
      </c>
      <c r="AR48" s="30" t="str">
        <f>IFERROR(INDEX('G-7 WaterC'' Data'!AZ48:AZ52,MATCH(D48,'G-7 WaterC'' Data'!$AY$10:$AY$14,0)),"")</f>
        <v/>
      </c>
    </row>
    <row r="49" spans="3:44" ht="15">
      <c r="C49" s="110">
        <v>40</v>
      </c>
      <c r="D49" s="338"/>
      <c r="E49" s="139"/>
      <c r="F49" s="362" t="str">
        <f>IF(D49="","",VLOOKUP(D49,'G-7 WaterC'' Data'!$B$2:$G$8,2,FALSE))</f>
        <v/>
      </c>
      <c r="G49" s="363" t="str">
        <f>IFERROR(VLOOKUP(F49,'G-7 WaterC'' Data'!$C$4:$D$8,2,FALSE),"")</f>
        <v/>
      </c>
      <c r="H49" s="114"/>
      <c r="I49" s="363" t="str">
        <f>IFERROR(INDEX('G-7 WaterC'' Data'!$H$4:$L$8,MATCH(D49,'G-7 WaterC'' Data'!$B$4:$B$8,0),MATCH(H49,'G-7 WaterC'' Data'!$H$3:$L$3,0)),"")</f>
        <v/>
      </c>
      <c r="J49" s="320"/>
      <c r="K49" s="398" t="str">
        <f>IF(J49="","",IF(VLOOKUP(J49,'G-7 WaterC'' Data'!$AK$4:$AM$6,2,FALSE)=0,"Spatial Data Missing ⚠",VLOOKUP(J49,'G-7 WaterC'' Data'!$AK$4:$AM$6,2,FALSE)))</f>
        <v/>
      </c>
      <c r="L49" s="368" t="str">
        <f>IF(J49="","",IF(VLOOKUP(J49,'G-7 WaterC'' Data'!$AK$4:$AM$9,3,FALSE)=0,"Spatial Data Missing ⚠",VLOOKUP(J49,'G-7 WaterC'' Data'!$AK$4:$AM$6,3,FALSE)))</f>
        <v/>
      </c>
      <c r="M49" s="54"/>
      <c r="N49" s="363" t="str">
        <f>IF(M49="","",IF(VLOOKUP(M49,'G-7 WaterC'' Data'!$AA$4:$AB$7,2,FALSE)=0,"Spatial Data Missing ⚠",VLOOKUP(M49,'G-7 WaterC'' Data'!$AA$4:$AB$7,2,FALSE)))</f>
        <v/>
      </c>
      <c r="O49" s="60"/>
      <c r="P49" s="363" t="str">
        <f>IF(O49="","",IF(VLOOKUP(O49,'G-7 WaterC'' Data'!$AD$4:$AE$14,2,FALSE)=0,"Spatial Data Missing ⚠",VLOOKUP(O49,'G-7 WaterC'' Data'!$AD$4:$AE$14,2,FALSE)))</f>
        <v/>
      </c>
      <c r="Q49" s="369" t="str">
        <f>IF(D49="","",VLOOKUP(D49,'G-7 WaterC'' Data'!$B$2:$G$8,6,FALSE))</f>
        <v/>
      </c>
      <c r="R49" s="376" t="str">
        <f>IFERROR(IF(D49="","",IF(AND(Q49='G-1 All Habitats'!$X$3,U49&gt;0),V49+W49,IF(AND(Q49='G-1 All Habitats'!$X$3,T49&gt;0),V49+W49,IF(AND(Q49='G-1 All Habitats'!$X$3,AD49&gt;0),"Any Loss Unacceptable ⚠",IF(AND(Q49='G-1 All Habitats'!$X$3,AE49&gt;0),"Any Loss Unacceptable ⚠", E49*G49*I49*L49*N49*P49 ))))),"Check Data ▲")</f>
        <v/>
      </c>
      <c r="S49" s="32"/>
      <c r="T49" s="114"/>
      <c r="U49" s="125"/>
      <c r="V49" s="374" t="str">
        <f t="shared" si="0"/>
        <v/>
      </c>
      <c r="W49" s="374" t="str">
        <f t="shared" si="1"/>
        <v/>
      </c>
      <c r="X49" s="374" t="str">
        <f t="shared" si="2"/>
        <v/>
      </c>
      <c r="Y49" s="670" t="str">
        <f t="shared" si="3"/>
        <v/>
      </c>
      <c r="Z49" s="706"/>
      <c r="AA49" s="704"/>
      <c r="AB49" s="120"/>
      <c r="AC49" s="120"/>
      <c r="AD49" s="57" t="str">
        <f>IF(Q49="","",IF(Q49='G-1 All Habitats'!$X$3,E49-T49-U49,"None"))</f>
        <v/>
      </c>
      <c r="AE49" s="58" t="str">
        <f>IF(Q49="","", IF(Q49='G-1 All Habitats'!$X$3, AD49*G49*I49*L49*N49*P49,"None"))</f>
        <v/>
      </c>
      <c r="AH49" s="30">
        <f t="shared" si="4"/>
        <v>0</v>
      </c>
      <c r="AI49" s="124" t="str">
        <f t="shared" si="5"/>
        <v/>
      </c>
      <c r="AJ49" s="124" t="str">
        <f t="shared" si="6"/>
        <v/>
      </c>
      <c r="AL49" s="124">
        <v>40</v>
      </c>
      <c r="AN49" s="124" t="str">
        <f t="array" ref="AN49">IFERROR(INDEX($AL$10:$AL$258, MATCH(0, IF(TRUE=$AI$10:$AI$258, COUNTIF($AN$9:$AN48, $AL$10:$AL$258), ""), 0)),"")</f>
        <v/>
      </c>
      <c r="AO49" s="124" t="str">
        <f t="array" ref="AO49">IFERROR(INDEX($AL$10:$AL$258, MATCH(0, IF(TRUE=$AJ$10:$AJ$258, COUNTIF($AO$9:$AO48, $AL$10:$AL$258), ""), 0)),"")</f>
        <v/>
      </c>
      <c r="AQ49" s="30" t="str">
        <f>IFERROR(INDEX('G-7 WaterC'' Data'!$AZ$3:$AZ$7,MATCH(D49,'G-7 WaterC'' Data'!$AY$3:$AY$7,0)),"")</f>
        <v/>
      </c>
      <c r="AR49" s="30" t="str">
        <f>IFERROR(INDEX('G-7 WaterC'' Data'!AZ49:AZ53,MATCH(D49,'G-7 WaterC'' Data'!$AY$10:$AY$14,0)),"")</f>
        <v/>
      </c>
    </row>
    <row r="50" spans="3:44" ht="15">
      <c r="C50" s="110">
        <v>41</v>
      </c>
      <c r="D50" s="338"/>
      <c r="E50" s="139"/>
      <c r="F50" s="362" t="str">
        <f>IF(D50="","",VLOOKUP(D50,'G-7 WaterC'' Data'!$B$2:$G$8,2,FALSE))</f>
        <v/>
      </c>
      <c r="G50" s="363" t="str">
        <f>IFERROR(VLOOKUP(F50,'G-7 WaterC'' Data'!$C$4:$D$8,2,FALSE),"")</f>
        <v/>
      </c>
      <c r="H50" s="114"/>
      <c r="I50" s="363" t="str">
        <f>IFERROR(INDEX('G-7 WaterC'' Data'!$H$4:$L$8,MATCH(D50,'G-7 WaterC'' Data'!$B$4:$B$8,0),MATCH(H50,'G-7 WaterC'' Data'!$H$3:$L$3,0)),"")</f>
        <v/>
      </c>
      <c r="J50" s="320"/>
      <c r="K50" s="398" t="str">
        <f>IF(J50="","",IF(VLOOKUP(J50,'G-7 WaterC'' Data'!$AK$4:$AM$6,2,FALSE)=0,"Spatial Data Missing ⚠",VLOOKUP(J50,'G-7 WaterC'' Data'!$AK$4:$AM$6,2,FALSE)))</f>
        <v/>
      </c>
      <c r="L50" s="368" t="str">
        <f>IF(J50="","",IF(VLOOKUP(J50,'G-7 WaterC'' Data'!$AK$4:$AM$9,3,FALSE)=0,"Spatial Data Missing ⚠",VLOOKUP(J50,'G-7 WaterC'' Data'!$AK$4:$AM$6,3,FALSE)))</f>
        <v/>
      </c>
      <c r="M50" s="54"/>
      <c r="N50" s="363" t="str">
        <f>IF(M50="","",IF(VLOOKUP(M50,'G-7 WaterC'' Data'!$AA$4:$AB$7,2,FALSE)=0,"Spatial Data Missing ⚠",VLOOKUP(M50,'G-7 WaterC'' Data'!$AA$4:$AB$7,2,FALSE)))</f>
        <v/>
      </c>
      <c r="O50" s="60"/>
      <c r="P50" s="363" t="str">
        <f>IF(O50="","",IF(VLOOKUP(O50,'G-7 WaterC'' Data'!$AD$4:$AE$14,2,FALSE)=0,"Spatial Data Missing ⚠",VLOOKUP(O50,'G-7 WaterC'' Data'!$AD$4:$AE$14,2,FALSE)))</f>
        <v/>
      </c>
      <c r="Q50" s="369" t="str">
        <f>IF(D50="","",VLOOKUP(D50,'G-7 WaterC'' Data'!$B$2:$G$8,6,FALSE))</f>
        <v/>
      </c>
      <c r="R50" s="376" t="str">
        <f>IFERROR(IF(D50="","",IF(AND(Q50='G-1 All Habitats'!$X$3,U50&gt;0),V50+W50,IF(AND(Q50='G-1 All Habitats'!$X$3,T50&gt;0),V50+W50,IF(AND(Q50='G-1 All Habitats'!$X$3,AD50&gt;0),"Any Loss Unacceptable ⚠",IF(AND(Q50='G-1 All Habitats'!$X$3,AE50&gt;0),"Any Loss Unacceptable ⚠", E50*G50*I50*L50*N50*P50 ))))),"Check Data ▲")</f>
        <v/>
      </c>
      <c r="S50" s="32"/>
      <c r="T50" s="114"/>
      <c r="U50" s="125"/>
      <c r="V50" s="374" t="str">
        <f t="shared" si="0"/>
        <v/>
      </c>
      <c r="W50" s="374" t="str">
        <f t="shared" si="1"/>
        <v/>
      </c>
      <c r="X50" s="374" t="str">
        <f t="shared" si="2"/>
        <v/>
      </c>
      <c r="Y50" s="670" t="str">
        <f t="shared" si="3"/>
        <v/>
      </c>
      <c r="Z50" s="706"/>
      <c r="AA50" s="704"/>
      <c r="AB50" s="120"/>
      <c r="AC50" s="120"/>
      <c r="AD50" s="57" t="str">
        <f>IF(Q50="","",IF(Q50='G-1 All Habitats'!$X$3,E50-T50-U50,"None"))</f>
        <v/>
      </c>
      <c r="AE50" s="58" t="str">
        <f>IF(Q50="","", IF(Q50='G-1 All Habitats'!$X$3, AD50*G50*I50*L50*N50*P50,"None"))</f>
        <v/>
      </c>
      <c r="AH50" s="30">
        <f t="shared" si="4"/>
        <v>0</v>
      </c>
      <c r="AI50" s="124" t="str">
        <f t="shared" si="5"/>
        <v/>
      </c>
      <c r="AJ50" s="124" t="str">
        <f t="shared" si="6"/>
        <v/>
      </c>
      <c r="AL50" s="124">
        <v>41</v>
      </c>
      <c r="AN50" s="124" t="str">
        <f t="array" ref="AN50">IFERROR(INDEX($AL$10:$AL$258, MATCH(0, IF(TRUE=$AI$10:$AI$258, COUNTIF($AN$9:$AN49, $AL$10:$AL$258), ""), 0)),"")</f>
        <v/>
      </c>
      <c r="AO50" s="124" t="str">
        <f t="array" ref="AO50">IFERROR(INDEX($AL$10:$AL$258, MATCH(0, IF(TRUE=$AJ$10:$AJ$258, COUNTIF($AO$9:$AO49, $AL$10:$AL$258), ""), 0)),"")</f>
        <v/>
      </c>
      <c r="AQ50" s="30" t="str">
        <f>IFERROR(INDEX('G-7 WaterC'' Data'!$AZ$3:$AZ$7,MATCH(D50,'G-7 WaterC'' Data'!$AY$3:$AY$7,0)),"")</f>
        <v/>
      </c>
      <c r="AR50" s="30" t="str">
        <f>IFERROR(INDEX('G-7 WaterC'' Data'!AZ50:AZ54,MATCH(D50,'G-7 WaterC'' Data'!$AY$10:$AY$14,0)),"")</f>
        <v/>
      </c>
    </row>
    <row r="51" spans="3:44" ht="15">
      <c r="C51" s="110">
        <v>42</v>
      </c>
      <c r="D51" s="338"/>
      <c r="E51" s="139"/>
      <c r="F51" s="362" t="str">
        <f>IF(D51="","",VLOOKUP(D51,'G-7 WaterC'' Data'!$B$2:$G$8,2,FALSE))</f>
        <v/>
      </c>
      <c r="G51" s="363" t="str">
        <f>IFERROR(VLOOKUP(F51,'G-7 WaterC'' Data'!$C$4:$D$8,2,FALSE),"")</f>
        <v/>
      </c>
      <c r="H51" s="114"/>
      <c r="I51" s="363" t="str">
        <f>IFERROR(INDEX('G-7 WaterC'' Data'!$H$4:$L$8,MATCH(D51,'G-7 WaterC'' Data'!$B$4:$B$8,0),MATCH(H51,'G-7 WaterC'' Data'!$H$3:$L$3,0)),"")</f>
        <v/>
      </c>
      <c r="J51" s="320"/>
      <c r="K51" s="398" t="str">
        <f>IF(J51="","",IF(VLOOKUP(J51,'G-7 WaterC'' Data'!$AK$4:$AM$6,2,FALSE)=0,"Spatial Data Missing ⚠",VLOOKUP(J51,'G-7 WaterC'' Data'!$AK$4:$AM$6,2,FALSE)))</f>
        <v/>
      </c>
      <c r="L51" s="368" t="str">
        <f>IF(J51="","",IF(VLOOKUP(J51,'G-7 WaterC'' Data'!$AK$4:$AM$9,3,FALSE)=0,"Spatial Data Missing ⚠",VLOOKUP(J51,'G-7 WaterC'' Data'!$AK$4:$AM$6,3,FALSE)))</f>
        <v/>
      </c>
      <c r="M51" s="54"/>
      <c r="N51" s="363" t="str">
        <f>IF(M51="","",IF(VLOOKUP(M51,'G-7 WaterC'' Data'!$AA$4:$AB$7,2,FALSE)=0,"Spatial Data Missing ⚠",VLOOKUP(M51,'G-7 WaterC'' Data'!$AA$4:$AB$7,2,FALSE)))</f>
        <v/>
      </c>
      <c r="O51" s="60"/>
      <c r="P51" s="363" t="str">
        <f>IF(O51="","",IF(VLOOKUP(O51,'G-7 WaterC'' Data'!$AD$4:$AE$14,2,FALSE)=0,"Spatial Data Missing ⚠",VLOOKUP(O51,'G-7 WaterC'' Data'!$AD$4:$AE$14,2,FALSE)))</f>
        <v/>
      </c>
      <c r="Q51" s="369" t="str">
        <f>IF(D51="","",VLOOKUP(D51,'G-7 WaterC'' Data'!$B$2:$G$8,6,FALSE))</f>
        <v/>
      </c>
      <c r="R51" s="376" t="str">
        <f>IFERROR(IF(D51="","",IF(AND(Q51='G-1 All Habitats'!$X$3,U51&gt;0),V51+W51,IF(AND(Q51='G-1 All Habitats'!$X$3,T51&gt;0),V51+W51,IF(AND(Q51='G-1 All Habitats'!$X$3,AD51&gt;0),"Any Loss Unacceptable ⚠",IF(AND(Q51='G-1 All Habitats'!$X$3,AE51&gt;0),"Any Loss Unacceptable ⚠", E51*G51*I51*L51*N51*P51 ))))),"Check Data ▲")</f>
        <v/>
      </c>
      <c r="S51" s="32"/>
      <c r="T51" s="114"/>
      <c r="U51" s="125"/>
      <c r="V51" s="374" t="str">
        <f t="shared" si="0"/>
        <v/>
      </c>
      <c r="W51" s="374" t="str">
        <f t="shared" si="1"/>
        <v/>
      </c>
      <c r="X51" s="374" t="str">
        <f t="shared" si="2"/>
        <v/>
      </c>
      <c r="Y51" s="670" t="str">
        <f t="shared" si="3"/>
        <v/>
      </c>
      <c r="Z51" s="706"/>
      <c r="AA51" s="704"/>
      <c r="AB51" s="120"/>
      <c r="AC51" s="120"/>
      <c r="AD51" s="57" t="str">
        <f>IF(Q51="","",IF(Q51='G-1 All Habitats'!$X$3,E51-T51-U51,"None"))</f>
        <v/>
      </c>
      <c r="AE51" s="58" t="str">
        <f>IF(Q51="","", IF(Q51='G-1 All Habitats'!$X$3, AD51*G51*I51*L51*N51*P51,"None"))</f>
        <v/>
      </c>
      <c r="AH51" s="30">
        <f t="shared" si="4"/>
        <v>0</v>
      </c>
      <c r="AI51" s="124" t="str">
        <f t="shared" si="5"/>
        <v/>
      </c>
      <c r="AJ51" s="124" t="str">
        <f t="shared" si="6"/>
        <v/>
      </c>
      <c r="AL51" s="124">
        <v>42</v>
      </c>
      <c r="AN51" s="124" t="str">
        <f t="array" ref="AN51">IFERROR(INDEX($AL$10:$AL$258, MATCH(0, IF(TRUE=$AI$10:$AI$258, COUNTIF($AN$9:$AN50, $AL$10:$AL$258), ""), 0)),"")</f>
        <v/>
      </c>
      <c r="AO51" s="124" t="str">
        <f t="array" ref="AO51">IFERROR(INDEX($AL$10:$AL$258, MATCH(0, IF(TRUE=$AJ$10:$AJ$258, COUNTIF($AO$9:$AO50, $AL$10:$AL$258), ""), 0)),"")</f>
        <v/>
      </c>
      <c r="AQ51" s="30" t="str">
        <f>IFERROR(INDEX('G-7 WaterC'' Data'!$AZ$3:$AZ$7,MATCH(D51,'G-7 WaterC'' Data'!$AY$3:$AY$7,0)),"")</f>
        <v/>
      </c>
      <c r="AR51" s="30" t="str">
        <f>IFERROR(INDEX('G-7 WaterC'' Data'!AZ51:AZ55,MATCH(D51,'G-7 WaterC'' Data'!$AY$10:$AY$14,0)),"")</f>
        <v/>
      </c>
    </row>
    <row r="52" spans="3:44" ht="15">
      <c r="C52" s="110">
        <v>43</v>
      </c>
      <c r="D52" s="338"/>
      <c r="E52" s="139"/>
      <c r="F52" s="362" t="str">
        <f>IF(D52="","",VLOOKUP(D52,'G-7 WaterC'' Data'!$B$2:$G$8,2,FALSE))</f>
        <v/>
      </c>
      <c r="G52" s="363" t="str">
        <f>IFERROR(VLOOKUP(F52,'G-7 WaterC'' Data'!$C$4:$D$8,2,FALSE),"")</f>
        <v/>
      </c>
      <c r="H52" s="114"/>
      <c r="I52" s="363" t="str">
        <f>IFERROR(INDEX('G-7 WaterC'' Data'!$H$4:$L$8,MATCH(D52,'G-7 WaterC'' Data'!$B$4:$B$8,0),MATCH(H52,'G-7 WaterC'' Data'!$H$3:$L$3,0)),"")</f>
        <v/>
      </c>
      <c r="J52" s="320"/>
      <c r="K52" s="398" t="str">
        <f>IF(J52="","",IF(VLOOKUP(J52,'G-7 WaterC'' Data'!$AK$4:$AM$6,2,FALSE)=0,"Spatial Data Missing ⚠",VLOOKUP(J52,'G-7 WaterC'' Data'!$AK$4:$AM$6,2,FALSE)))</f>
        <v/>
      </c>
      <c r="L52" s="368" t="str">
        <f>IF(J52="","",IF(VLOOKUP(J52,'G-7 WaterC'' Data'!$AK$4:$AM$9,3,FALSE)=0,"Spatial Data Missing ⚠",VLOOKUP(J52,'G-7 WaterC'' Data'!$AK$4:$AM$6,3,FALSE)))</f>
        <v/>
      </c>
      <c r="M52" s="54"/>
      <c r="N52" s="363" t="str">
        <f>IF(M52="","",IF(VLOOKUP(M52,'G-7 WaterC'' Data'!$AA$4:$AB$7,2,FALSE)=0,"Spatial Data Missing ⚠",VLOOKUP(M52,'G-7 WaterC'' Data'!$AA$4:$AB$7,2,FALSE)))</f>
        <v/>
      </c>
      <c r="O52" s="60"/>
      <c r="P52" s="363" t="str">
        <f>IF(O52="","",IF(VLOOKUP(O52,'G-7 WaterC'' Data'!$AD$4:$AE$14,2,FALSE)=0,"Spatial Data Missing ⚠",VLOOKUP(O52,'G-7 WaterC'' Data'!$AD$4:$AE$14,2,FALSE)))</f>
        <v/>
      </c>
      <c r="Q52" s="369" t="str">
        <f>IF(D52="","",VLOOKUP(D52,'G-7 WaterC'' Data'!$B$2:$G$8,6,FALSE))</f>
        <v/>
      </c>
      <c r="R52" s="376" t="str">
        <f>IFERROR(IF(D52="","",IF(AND(Q52='G-1 All Habitats'!$X$3,U52&gt;0),V52+W52,IF(AND(Q52='G-1 All Habitats'!$X$3,T52&gt;0),V52+W52,IF(AND(Q52='G-1 All Habitats'!$X$3,AD52&gt;0),"Any Loss Unacceptable ⚠",IF(AND(Q52='G-1 All Habitats'!$X$3,AE52&gt;0),"Any Loss Unacceptable ⚠", E52*G52*I52*L52*N52*P52 ))))),"Check Data ▲")</f>
        <v/>
      </c>
      <c r="S52" s="32"/>
      <c r="T52" s="114"/>
      <c r="U52" s="125"/>
      <c r="V52" s="374" t="str">
        <f t="shared" si="0"/>
        <v/>
      </c>
      <c r="W52" s="374" t="str">
        <f t="shared" si="1"/>
        <v/>
      </c>
      <c r="X52" s="374" t="str">
        <f t="shared" si="2"/>
        <v/>
      </c>
      <c r="Y52" s="670" t="str">
        <f t="shared" si="3"/>
        <v/>
      </c>
      <c r="Z52" s="706"/>
      <c r="AA52" s="704"/>
      <c r="AB52" s="120"/>
      <c r="AC52" s="120"/>
      <c r="AD52" s="57" t="str">
        <f>IF(Q52="","",IF(Q52='G-1 All Habitats'!$X$3,E52-T52-U52,"None"))</f>
        <v/>
      </c>
      <c r="AE52" s="58" t="str">
        <f>IF(Q52="","", IF(Q52='G-1 All Habitats'!$X$3, AD52*G52*I52*L52*N52*P52,"None"))</f>
        <v/>
      </c>
      <c r="AH52" s="30">
        <f t="shared" si="4"/>
        <v>0</v>
      </c>
      <c r="AI52" s="124" t="str">
        <f t="shared" si="5"/>
        <v/>
      </c>
      <c r="AJ52" s="124" t="str">
        <f t="shared" si="6"/>
        <v/>
      </c>
      <c r="AL52" s="124">
        <v>43</v>
      </c>
      <c r="AN52" s="124" t="str">
        <f t="array" ref="AN52">IFERROR(INDEX($AL$10:$AL$258, MATCH(0, IF(TRUE=$AI$10:$AI$258, COUNTIF($AN$9:$AN51, $AL$10:$AL$258), ""), 0)),"")</f>
        <v/>
      </c>
      <c r="AO52" s="124" t="str">
        <f t="array" ref="AO52">IFERROR(INDEX($AL$10:$AL$258, MATCH(0, IF(TRUE=$AJ$10:$AJ$258, COUNTIF($AO$9:$AO51, $AL$10:$AL$258), ""), 0)),"")</f>
        <v/>
      </c>
      <c r="AQ52" s="30" t="str">
        <f>IFERROR(INDEX('G-7 WaterC'' Data'!$AZ$3:$AZ$7,MATCH(D52,'G-7 WaterC'' Data'!$AY$3:$AY$7,0)),"")</f>
        <v/>
      </c>
      <c r="AR52" s="30" t="str">
        <f>IFERROR(INDEX('G-7 WaterC'' Data'!AZ52:AZ56,MATCH(D52,'G-7 WaterC'' Data'!$AY$10:$AY$14,0)),"")</f>
        <v/>
      </c>
    </row>
    <row r="53" spans="3:44" ht="15">
      <c r="C53" s="110">
        <v>44</v>
      </c>
      <c r="D53" s="338"/>
      <c r="E53" s="139"/>
      <c r="F53" s="362" t="str">
        <f>IF(D53="","",VLOOKUP(D53,'G-7 WaterC'' Data'!$B$2:$G$8,2,FALSE))</f>
        <v/>
      </c>
      <c r="G53" s="363" t="str">
        <f>IFERROR(VLOOKUP(F53,'G-7 WaterC'' Data'!$C$4:$D$8,2,FALSE),"")</f>
        <v/>
      </c>
      <c r="H53" s="114"/>
      <c r="I53" s="363" t="str">
        <f>IFERROR(INDEX('G-7 WaterC'' Data'!$H$4:$L$8,MATCH(D53,'G-7 WaterC'' Data'!$B$4:$B$8,0),MATCH(H53,'G-7 WaterC'' Data'!$H$3:$L$3,0)),"")</f>
        <v/>
      </c>
      <c r="J53" s="320"/>
      <c r="K53" s="398" t="str">
        <f>IF(J53="","",IF(VLOOKUP(J53,'G-7 WaterC'' Data'!$AK$4:$AM$6,2,FALSE)=0,"Spatial Data Missing ⚠",VLOOKUP(J53,'G-7 WaterC'' Data'!$AK$4:$AM$6,2,FALSE)))</f>
        <v/>
      </c>
      <c r="L53" s="368" t="str">
        <f>IF(J53="","",IF(VLOOKUP(J53,'G-7 WaterC'' Data'!$AK$4:$AM$9,3,FALSE)=0,"Spatial Data Missing ⚠",VLOOKUP(J53,'G-7 WaterC'' Data'!$AK$4:$AM$6,3,FALSE)))</f>
        <v/>
      </c>
      <c r="M53" s="54"/>
      <c r="N53" s="363" t="str">
        <f>IF(M53="","",IF(VLOOKUP(M53,'G-7 WaterC'' Data'!$AA$4:$AB$7,2,FALSE)=0,"Spatial Data Missing ⚠",VLOOKUP(M53,'G-7 WaterC'' Data'!$AA$4:$AB$7,2,FALSE)))</f>
        <v/>
      </c>
      <c r="O53" s="60"/>
      <c r="P53" s="363" t="str">
        <f>IF(O53="","",IF(VLOOKUP(O53,'G-7 WaterC'' Data'!$AD$4:$AE$14,2,FALSE)=0,"Spatial Data Missing ⚠",VLOOKUP(O53,'G-7 WaterC'' Data'!$AD$4:$AE$14,2,FALSE)))</f>
        <v/>
      </c>
      <c r="Q53" s="369" t="str">
        <f>IF(D53="","",VLOOKUP(D53,'G-7 WaterC'' Data'!$B$2:$G$8,6,FALSE))</f>
        <v/>
      </c>
      <c r="R53" s="376" t="str">
        <f>IFERROR(IF(D53="","",IF(AND(Q53='G-1 All Habitats'!$X$3,U53&gt;0),V53+W53,IF(AND(Q53='G-1 All Habitats'!$X$3,T53&gt;0),V53+W53,IF(AND(Q53='G-1 All Habitats'!$X$3,AD53&gt;0),"Any Loss Unacceptable ⚠",IF(AND(Q53='G-1 All Habitats'!$X$3,AE53&gt;0),"Any Loss Unacceptable ⚠", E53*G53*I53*L53*N53*P53 ))))),"Check Data ▲")</f>
        <v/>
      </c>
      <c r="S53" s="32"/>
      <c r="T53" s="114"/>
      <c r="U53" s="125"/>
      <c r="V53" s="374" t="str">
        <f t="shared" si="0"/>
        <v/>
      </c>
      <c r="W53" s="374" t="str">
        <f t="shared" si="1"/>
        <v/>
      </c>
      <c r="X53" s="374" t="str">
        <f t="shared" si="2"/>
        <v/>
      </c>
      <c r="Y53" s="670" t="str">
        <f t="shared" si="3"/>
        <v/>
      </c>
      <c r="Z53" s="706"/>
      <c r="AA53" s="704"/>
      <c r="AB53" s="120"/>
      <c r="AC53" s="120"/>
      <c r="AD53" s="57" t="str">
        <f>IF(Q53="","",IF(Q53='G-1 All Habitats'!$X$3,E53-T53-U53,"None"))</f>
        <v/>
      </c>
      <c r="AE53" s="58" t="str">
        <f>IF(Q53="","", IF(Q53='G-1 All Habitats'!$X$3, AD53*G53*I53*L53*N53*P53,"None"))</f>
        <v/>
      </c>
      <c r="AH53" s="30">
        <f t="shared" si="4"/>
        <v>0</v>
      </c>
      <c r="AI53" s="124" t="str">
        <f t="shared" si="5"/>
        <v/>
      </c>
      <c r="AJ53" s="124" t="str">
        <f t="shared" si="6"/>
        <v/>
      </c>
      <c r="AL53" s="124">
        <v>44</v>
      </c>
      <c r="AN53" s="124" t="str">
        <f t="array" ref="AN53">IFERROR(INDEX($AL$10:$AL$258, MATCH(0, IF(TRUE=$AI$10:$AI$258, COUNTIF($AN$9:$AN52, $AL$10:$AL$258), ""), 0)),"")</f>
        <v/>
      </c>
      <c r="AO53" s="124" t="str">
        <f t="array" ref="AO53">IFERROR(INDEX($AL$10:$AL$258, MATCH(0, IF(TRUE=$AJ$10:$AJ$258, COUNTIF($AO$9:$AO52, $AL$10:$AL$258), ""), 0)),"")</f>
        <v/>
      </c>
      <c r="AQ53" s="30" t="str">
        <f>IFERROR(INDEX('G-7 WaterC'' Data'!$AZ$3:$AZ$7,MATCH(D53,'G-7 WaterC'' Data'!$AY$3:$AY$7,0)),"")</f>
        <v/>
      </c>
      <c r="AR53" s="30" t="str">
        <f>IFERROR(INDEX('G-7 WaterC'' Data'!AZ53:AZ57,MATCH(D53,'G-7 WaterC'' Data'!$AY$10:$AY$14,0)),"")</f>
        <v/>
      </c>
    </row>
    <row r="54" spans="3:44" ht="15">
      <c r="C54" s="110">
        <v>45</v>
      </c>
      <c r="D54" s="338"/>
      <c r="E54" s="139"/>
      <c r="F54" s="362" t="str">
        <f>IF(D54="","",VLOOKUP(D54,'G-7 WaterC'' Data'!$B$2:$G$8,2,FALSE))</f>
        <v/>
      </c>
      <c r="G54" s="363" t="str">
        <f>IFERROR(VLOOKUP(F54,'G-7 WaterC'' Data'!$C$4:$D$8,2,FALSE),"")</f>
        <v/>
      </c>
      <c r="H54" s="114"/>
      <c r="I54" s="363" t="str">
        <f>IFERROR(INDEX('G-7 WaterC'' Data'!$H$4:$L$8,MATCH(D54,'G-7 WaterC'' Data'!$B$4:$B$8,0),MATCH(H54,'G-7 WaterC'' Data'!$H$3:$L$3,0)),"")</f>
        <v/>
      </c>
      <c r="J54" s="320"/>
      <c r="K54" s="398" t="str">
        <f>IF(J54="","",IF(VLOOKUP(J54,'G-7 WaterC'' Data'!$AK$4:$AM$6,2,FALSE)=0,"Spatial Data Missing ⚠",VLOOKUP(J54,'G-7 WaterC'' Data'!$AK$4:$AM$6,2,FALSE)))</f>
        <v/>
      </c>
      <c r="L54" s="368" t="str">
        <f>IF(J54="","",IF(VLOOKUP(J54,'G-7 WaterC'' Data'!$AK$4:$AM$9,3,FALSE)=0,"Spatial Data Missing ⚠",VLOOKUP(J54,'G-7 WaterC'' Data'!$AK$4:$AM$6,3,FALSE)))</f>
        <v/>
      </c>
      <c r="M54" s="54"/>
      <c r="N54" s="363" t="str">
        <f>IF(M54="","",IF(VLOOKUP(M54,'G-7 WaterC'' Data'!$AA$4:$AB$7,2,FALSE)=0,"Spatial Data Missing ⚠",VLOOKUP(M54,'G-7 WaterC'' Data'!$AA$4:$AB$7,2,FALSE)))</f>
        <v/>
      </c>
      <c r="O54" s="60"/>
      <c r="P54" s="363" t="str">
        <f>IF(O54="","",IF(VLOOKUP(O54,'G-7 WaterC'' Data'!$AD$4:$AE$14,2,FALSE)=0,"Spatial Data Missing ⚠",VLOOKUP(O54,'G-7 WaterC'' Data'!$AD$4:$AE$14,2,FALSE)))</f>
        <v/>
      </c>
      <c r="Q54" s="369" t="str">
        <f>IF(D54="","",VLOOKUP(D54,'G-7 WaterC'' Data'!$B$2:$G$8,6,FALSE))</f>
        <v/>
      </c>
      <c r="R54" s="376" t="str">
        <f>IFERROR(IF(D54="","",IF(AND(Q54='G-1 All Habitats'!$X$3,U54&gt;0),V54+W54,IF(AND(Q54='G-1 All Habitats'!$X$3,T54&gt;0),V54+W54,IF(AND(Q54='G-1 All Habitats'!$X$3,AD54&gt;0),"Any Loss Unacceptable ⚠",IF(AND(Q54='G-1 All Habitats'!$X$3,AE54&gt;0),"Any Loss Unacceptable ⚠", E54*G54*I54*L54*N54*P54 ))))),"Check Data ▲")</f>
        <v/>
      </c>
      <c r="S54" s="32"/>
      <c r="T54" s="114"/>
      <c r="U54" s="125"/>
      <c r="V54" s="374" t="str">
        <f t="shared" si="0"/>
        <v/>
      </c>
      <c r="W54" s="374" t="str">
        <f t="shared" si="1"/>
        <v/>
      </c>
      <c r="X54" s="374" t="str">
        <f t="shared" si="2"/>
        <v/>
      </c>
      <c r="Y54" s="670" t="str">
        <f t="shared" si="3"/>
        <v/>
      </c>
      <c r="Z54" s="706"/>
      <c r="AA54" s="704"/>
      <c r="AB54" s="120"/>
      <c r="AC54" s="120"/>
      <c r="AD54" s="57" t="str">
        <f>IF(Q54="","",IF(Q54='G-1 All Habitats'!$X$3,E54-T54-U54,"None"))</f>
        <v/>
      </c>
      <c r="AE54" s="58" t="str">
        <f>IF(Q54="","", IF(Q54='G-1 All Habitats'!$X$3, AD54*G54*I54*L54*N54*P54,"None"))</f>
        <v/>
      </c>
      <c r="AH54" s="30">
        <f t="shared" si="4"/>
        <v>0</v>
      </c>
      <c r="AI54" s="124" t="str">
        <f t="shared" si="5"/>
        <v/>
      </c>
      <c r="AJ54" s="124" t="str">
        <f t="shared" si="6"/>
        <v/>
      </c>
      <c r="AL54" s="124">
        <v>45</v>
      </c>
      <c r="AN54" s="124" t="str">
        <f t="array" ref="AN54">IFERROR(INDEX($AL$10:$AL$258, MATCH(0, IF(TRUE=$AI$10:$AI$258, COUNTIF($AN$9:$AN53, $AL$10:$AL$258), ""), 0)),"")</f>
        <v/>
      </c>
      <c r="AO54" s="124" t="str">
        <f t="array" ref="AO54">IFERROR(INDEX($AL$10:$AL$258, MATCH(0, IF(TRUE=$AJ$10:$AJ$258, COUNTIF($AO$9:$AO53, $AL$10:$AL$258), ""), 0)),"")</f>
        <v/>
      </c>
      <c r="AQ54" s="30" t="str">
        <f>IFERROR(INDEX('G-7 WaterC'' Data'!$AZ$3:$AZ$7,MATCH(D54,'G-7 WaterC'' Data'!$AY$3:$AY$7,0)),"")</f>
        <v/>
      </c>
      <c r="AR54" s="30" t="str">
        <f>IFERROR(INDEX('G-7 WaterC'' Data'!AZ54:AZ58,MATCH(D54,'G-7 WaterC'' Data'!$AY$10:$AY$14,0)),"")</f>
        <v/>
      </c>
    </row>
    <row r="55" spans="3:44" ht="15">
      <c r="C55" s="110">
        <v>46</v>
      </c>
      <c r="D55" s="338"/>
      <c r="E55" s="139"/>
      <c r="F55" s="362" t="str">
        <f>IF(D55="","",VLOOKUP(D55,'G-7 WaterC'' Data'!$B$2:$G$8,2,FALSE))</f>
        <v/>
      </c>
      <c r="G55" s="363" t="str">
        <f>IFERROR(VLOOKUP(F55,'G-7 WaterC'' Data'!$C$4:$D$8,2,FALSE),"")</f>
        <v/>
      </c>
      <c r="H55" s="114"/>
      <c r="I55" s="363" t="str">
        <f>IFERROR(INDEX('G-7 WaterC'' Data'!$H$4:$L$8,MATCH(D55,'G-7 WaterC'' Data'!$B$4:$B$8,0),MATCH(H55,'G-7 WaterC'' Data'!$H$3:$L$3,0)),"")</f>
        <v/>
      </c>
      <c r="J55" s="320"/>
      <c r="K55" s="398" t="str">
        <f>IF(J55="","",IF(VLOOKUP(J55,'G-7 WaterC'' Data'!$AK$4:$AM$6,2,FALSE)=0,"Spatial Data Missing ⚠",VLOOKUP(J55,'G-7 WaterC'' Data'!$AK$4:$AM$6,2,FALSE)))</f>
        <v/>
      </c>
      <c r="L55" s="368" t="str">
        <f>IF(J55="","",IF(VLOOKUP(J55,'G-7 WaterC'' Data'!$AK$4:$AM$9,3,FALSE)=0,"Spatial Data Missing ⚠",VLOOKUP(J55,'G-7 WaterC'' Data'!$AK$4:$AM$6,3,FALSE)))</f>
        <v/>
      </c>
      <c r="M55" s="54"/>
      <c r="N55" s="363" t="str">
        <f>IF(M55="","",IF(VLOOKUP(M55,'G-7 WaterC'' Data'!$AA$4:$AB$7,2,FALSE)=0,"Spatial Data Missing ⚠",VLOOKUP(M55,'G-7 WaterC'' Data'!$AA$4:$AB$7,2,FALSE)))</f>
        <v/>
      </c>
      <c r="O55" s="60"/>
      <c r="P55" s="363" t="str">
        <f>IF(O55="","",IF(VLOOKUP(O55,'G-7 WaterC'' Data'!$AD$4:$AE$14,2,FALSE)=0,"Spatial Data Missing ⚠",VLOOKUP(O55,'G-7 WaterC'' Data'!$AD$4:$AE$14,2,FALSE)))</f>
        <v/>
      </c>
      <c r="Q55" s="369" t="str">
        <f>IF(D55="","",VLOOKUP(D55,'G-7 WaterC'' Data'!$B$2:$G$8,6,FALSE))</f>
        <v/>
      </c>
      <c r="R55" s="376" t="str">
        <f>IFERROR(IF(D55="","",IF(AND(Q55='G-1 All Habitats'!$X$3,U55&gt;0),V55+W55,IF(AND(Q55='G-1 All Habitats'!$X$3,T55&gt;0),V55+W55,IF(AND(Q55='G-1 All Habitats'!$X$3,AD55&gt;0),"Any Loss Unacceptable ⚠",IF(AND(Q55='G-1 All Habitats'!$X$3,AE55&gt;0),"Any Loss Unacceptable ⚠", E55*G55*I55*L55*N55*P55 ))))),"Check Data ▲")</f>
        <v/>
      </c>
      <c r="S55" s="32"/>
      <c r="T55" s="114"/>
      <c r="U55" s="125"/>
      <c r="V55" s="374" t="str">
        <f t="shared" si="0"/>
        <v/>
      </c>
      <c r="W55" s="374" t="str">
        <f t="shared" si="1"/>
        <v/>
      </c>
      <c r="X55" s="374" t="str">
        <f t="shared" si="2"/>
        <v/>
      </c>
      <c r="Y55" s="670" t="str">
        <f t="shared" si="3"/>
        <v/>
      </c>
      <c r="Z55" s="706"/>
      <c r="AA55" s="704"/>
      <c r="AB55" s="120"/>
      <c r="AC55" s="120"/>
      <c r="AD55" s="57" t="str">
        <f>IF(Q55="","",IF(Q55='G-1 All Habitats'!$X$3,E55-T55-U55,"None"))</f>
        <v/>
      </c>
      <c r="AE55" s="58" t="str">
        <f>IF(Q55="","", IF(Q55='G-1 All Habitats'!$X$3, AD55*G55*I55*L55*N55*P55,"None"))</f>
        <v/>
      </c>
      <c r="AH55" s="30">
        <f t="shared" si="4"/>
        <v>0</v>
      </c>
      <c r="AI55" s="124" t="str">
        <f t="shared" si="5"/>
        <v/>
      </c>
      <c r="AJ55" s="124" t="str">
        <f t="shared" si="6"/>
        <v/>
      </c>
      <c r="AL55" s="124">
        <v>46</v>
      </c>
      <c r="AN55" s="124" t="str">
        <f t="array" ref="AN55">IFERROR(INDEX($AL$10:$AL$258, MATCH(0, IF(TRUE=$AI$10:$AI$258, COUNTIF($AN$9:$AN54, $AL$10:$AL$258), ""), 0)),"")</f>
        <v/>
      </c>
      <c r="AO55" s="124" t="str">
        <f t="array" ref="AO55">IFERROR(INDEX($AL$10:$AL$258, MATCH(0, IF(TRUE=$AJ$10:$AJ$258, COUNTIF($AO$9:$AO54, $AL$10:$AL$258), ""), 0)),"")</f>
        <v/>
      </c>
      <c r="AQ55" s="30" t="str">
        <f>IFERROR(INDEX('G-7 WaterC'' Data'!$AZ$3:$AZ$7,MATCH(D55,'G-7 WaterC'' Data'!$AY$3:$AY$7,0)),"")</f>
        <v/>
      </c>
      <c r="AR55" s="30" t="str">
        <f>IFERROR(INDEX('G-7 WaterC'' Data'!AZ55:AZ59,MATCH(D55,'G-7 WaterC'' Data'!$AY$10:$AY$14,0)),"")</f>
        <v/>
      </c>
    </row>
    <row r="56" spans="3:44" ht="15">
      <c r="C56" s="110">
        <v>47</v>
      </c>
      <c r="D56" s="338"/>
      <c r="E56" s="139"/>
      <c r="F56" s="362" t="str">
        <f>IF(D56="","",VLOOKUP(D56,'G-7 WaterC'' Data'!$B$2:$G$8,2,FALSE))</f>
        <v/>
      </c>
      <c r="G56" s="363" t="str">
        <f>IFERROR(VLOOKUP(F56,'G-7 WaterC'' Data'!$C$4:$D$8,2,FALSE),"")</f>
        <v/>
      </c>
      <c r="H56" s="114"/>
      <c r="I56" s="363" t="str">
        <f>IFERROR(INDEX('G-7 WaterC'' Data'!$H$4:$L$8,MATCH(D56,'G-7 WaterC'' Data'!$B$4:$B$8,0),MATCH(H56,'G-7 WaterC'' Data'!$H$3:$L$3,0)),"")</f>
        <v/>
      </c>
      <c r="J56" s="320"/>
      <c r="K56" s="398" t="str">
        <f>IF(J56="","",IF(VLOOKUP(J56,'G-7 WaterC'' Data'!$AK$4:$AM$6,2,FALSE)=0,"Spatial Data Missing ⚠",VLOOKUP(J56,'G-7 WaterC'' Data'!$AK$4:$AM$6,2,FALSE)))</f>
        <v/>
      </c>
      <c r="L56" s="368" t="str">
        <f>IF(J56="","",IF(VLOOKUP(J56,'G-7 WaterC'' Data'!$AK$4:$AM$9,3,FALSE)=0,"Spatial Data Missing ⚠",VLOOKUP(J56,'G-7 WaterC'' Data'!$AK$4:$AM$6,3,FALSE)))</f>
        <v/>
      </c>
      <c r="M56" s="54"/>
      <c r="N56" s="363" t="str">
        <f>IF(M56="","",IF(VLOOKUP(M56,'G-7 WaterC'' Data'!$AA$4:$AB$7,2,FALSE)=0,"Spatial Data Missing ⚠",VLOOKUP(M56,'G-7 WaterC'' Data'!$AA$4:$AB$7,2,FALSE)))</f>
        <v/>
      </c>
      <c r="O56" s="60"/>
      <c r="P56" s="363" t="str">
        <f>IF(O56="","",IF(VLOOKUP(O56,'G-7 WaterC'' Data'!$AD$4:$AE$14,2,FALSE)=0,"Spatial Data Missing ⚠",VLOOKUP(O56,'G-7 WaterC'' Data'!$AD$4:$AE$14,2,FALSE)))</f>
        <v/>
      </c>
      <c r="Q56" s="369" t="str">
        <f>IF(D56="","",VLOOKUP(D56,'G-7 WaterC'' Data'!$B$2:$G$8,6,FALSE))</f>
        <v/>
      </c>
      <c r="R56" s="376" t="str">
        <f>IFERROR(IF(D56="","",IF(AND(Q56='G-1 All Habitats'!$X$3,U56&gt;0),V56+W56,IF(AND(Q56='G-1 All Habitats'!$X$3,T56&gt;0),V56+W56,IF(AND(Q56='G-1 All Habitats'!$X$3,AD56&gt;0),"Any Loss Unacceptable ⚠",IF(AND(Q56='G-1 All Habitats'!$X$3,AE56&gt;0),"Any Loss Unacceptable ⚠", E56*G56*I56*L56*N56*P56 ))))),"Check Data ▲")</f>
        <v/>
      </c>
      <c r="S56" s="32"/>
      <c r="T56" s="114"/>
      <c r="U56" s="125"/>
      <c r="V56" s="374" t="str">
        <f t="shared" si="0"/>
        <v/>
      </c>
      <c r="W56" s="374" t="str">
        <f t="shared" si="1"/>
        <v/>
      </c>
      <c r="X56" s="374" t="str">
        <f t="shared" si="2"/>
        <v/>
      </c>
      <c r="Y56" s="670" t="str">
        <f t="shared" si="3"/>
        <v/>
      </c>
      <c r="Z56" s="706"/>
      <c r="AA56" s="704"/>
      <c r="AB56" s="120"/>
      <c r="AC56" s="120"/>
      <c r="AD56" s="57" t="str">
        <f>IF(Q56="","",IF(Q56='G-1 All Habitats'!$X$3,E56-T56-U56,"None"))</f>
        <v/>
      </c>
      <c r="AE56" s="58" t="str">
        <f>IF(Q56="","", IF(Q56='G-1 All Habitats'!$X$3, AD56*G56*I56*L56*N56*P56,"None"))</f>
        <v/>
      </c>
      <c r="AH56" s="30">
        <f t="shared" si="4"/>
        <v>0</v>
      </c>
      <c r="AI56" s="124" t="str">
        <f t="shared" si="5"/>
        <v/>
      </c>
      <c r="AJ56" s="124" t="str">
        <f t="shared" si="6"/>
        <v/>
      </c>
      <c r="AL56" s="124">
        <v>47</v>
      </c>
      <c r="AN56" s="124" t="str">
        <f t="array" ref="AN56">IFERROR(INDEX($AL$10:$AL$258, MATCH(0, IF(TRUE=$AI$10:$AI$258, COUNTIF($AN$9:$AN55, $AL$10:$AL$258), ""), 0)),"")</f>
        <v/>
      </c>
      <c r="AO56" s="124" t="str">
        <f t="array" ref="AO56">IFERROR(INDEX($AL$10:$AL$258, MATCH(0, IF(TRUE=$AJ$10:$AJ$258, COUNTIF($AO$9:$AO55, $AL$10:$AL$258), ""), 0)),"")</f>
        <v/>
      </c>
      <c r="AQ56" s="30" t="str">
        <f>IFERROR(INDEX('G-7 WaterC'' Data'!$AZ$3:$AZ$7,MATCH(D56,'G-7 WaterC'' Data'!$AY$3:$AY$7,0)),"")</f>
        <v/>
      </c>
      <c r="AR56" s="30" t="str">
        <f>IFERROR(INDEX('G-7 WaterC'' Data'!AZ56:AZ60,MATCH(D56,'G-7 WaterC'' Data'!$AY$10:$AY$14,0)),"")</f>
        <v/>
      </c>
    </row>
    <row r="57" spans="3:44" ht="15">
      <c r="C57" s="110">
        <v>48</v>
      </c>
      <c r="D57" s="338"/>
      <c r="E57" s="139"/>
      <c r="F57" s="362" t="str">
        <f>IF(D57="","",VLOOKUP(D57,'G-7 WaterC'' Data'!$B$2:$G$8,2,FALSE))</f>
        <v/>
      </c>
      <c r="G57" s="363" t="str">
        <f>IFERROR(VLOOKUP(F57,'G-7 WaterC'' Data'!$C$4:$D$8,2,FALSE),"")</f>
        <v/>
      </c>
      <c r="H57" s="114"/>
      <c r="I57" s="363" t="str">
        <f>IFERROR(INDEX('G-7 WaterC'' Data'!$H$4:$L$8,MATCH(D57,'G-7 WaterC'' Data'!$B$4:$B$8,0),MATCH(H57,'G-7 WaterC'' Data'!$H$3:$L$3,0)),"")</f>
        <v/>
      </c>
      <c r="J57" s="320"/>
      <c r="K57" s="398" t="str">
        <f>IF(J57="","",IF(VLOOKUP(J57,'G-7 WaterC'' Data'!$AK$4:$AM$6,2,FALSE)=0,"Spatial Data Missing ⚠",VLOOKUP(J57,'G-7 WaterC'' Data'!$AK$4:$AM$6,2,FALSE)))</f>
        <v/>
      </c>
      <c r="L57" s="368" t="str">
        <f>IF(J57="","",IF(VLOOKUP(J57,'G-7 WaterC'' Data'!$AK$4:$AM$9,3,FALSE)=0,"Spatial Data Missing ⚠",VLOOKUP(J57,'G-7 WaterC'' Data'!$AK$4:$AM$6,3,FALSE)))</f>
        <v/>
      </c>
      <c r="M57" s="54"/>
      <c r="N57" s="363" t="str">
        <f>IF(M57="","",IF(VLOOKUP(M57,'G-7 WaterC'' Data'!$AA$4:$AB$7,2,FALSE)=0,"Spatial Data Missing ⚠",VLOOKUP(M57,'G-7 WaterC'' Data'!$AA$4:$AB$7,2,FALSE)))</f>
        <v/>
      </c>
      <c r="O57" s="60"/>
      <c r="P57" s="363" t="str">
        <f>IF(O57="","",IF(VLOOKUP(O57,'G-7 WaterC'' Data'!$AD$4:$AE$14,2,FALSE)=0,"Spatial Data Missing ⚠",VLOOKUP(O57,'G-7 WaterC'' Data'!$AD$4:$AE$14,2,FALSE)))</f>
        <v/>
      </c>
      <c r="Q57" s="369" t="str">
        <f>IF(D57="","",VLOOKUP(D57,'G-7 WaterC'' Data'!$B$2:$G$8,6,FALSE))</f>
        <v/>
      </c>
      <c r="R57" s="376" t="str">
        <f>IFERROR(IF(D57="","",IF(AND(Q57='G-1 All Habitats'!$X$3,U57&gt;0),V57+W57,IF(AND(Q57='G-1 All Habitats'!$X$3,T57&gt;0),V57+W57,IF(AND(Q57='G-1 All Habitats'!$X$3,AD57&gt;0),"Any Loss Unacceptable ⚠",IF(AND(Q57='G-1 All Habitats'!$X$3,AE57&gt;0),"Any Loss Unacceptable ⚠", E57*G57*I57*L57*N57*P57 ))))),"Check Data ▲")</f>
        <v/>
      </c>
      <c r="S57" s="32"/>
      <c r="T57" s="114"/>
      <c r="U57" s="125"/>
      <c r="V57" s="374" t="str">
        <f t="shared" si="0"/>
        <v/>
      </c>
      <c r="W57" s="374" t="str">
        <f t="shared" si="1"/>
        <v/>
      </c>
      <c r="X57" s="374" t="str">
        <f t="shared" si="2"/>
        <v/>
      </c>
      <c r="Y57" s="670" t="str">
        <f t="shared" si="3"/>
        <v/>
      </c>
      <c r="Z57" s="706"/>
      <c r="AA57" s="704"/>
      <c r="AB57" s="120"/>
      <c r="AC57" s="120"/>
      <c r="AD57" s="57" t="str">
        <f>IF(Q57="","",IF(Q57='G-1 All Habitats'!$X$3,E57-T57-U57,"None"))</f>
        <v/>
      </c>
      <c r="AE57" s="58" t="str">
        <f>IF(Q57="","", IF(Q57='G-1 All Habitats'!$X$3, AD57*G57*I57*L57*N57*P57,"None"))</f>
        <v/>
      </c>
      <c r="AH57" s="30">
        <f t="shared" si="4"/>
        <v>0</v>
      </c>
      <c r="AI57" s="124" t="str">
        <f t="shared" si="5"/>
        <v/>
      </c>
      <c r="AJ57" s="124" t="str">
        <f t="shared" si="6"/>
        <v/>
      </c>
      <c r="AL57" s="124">
        <v>48</v>
      </c>
      <c r="AN57" s="124" t="str">
        <f t="array" ref="AN57">IFERROR(INDEX($AL$10:$AL$258, MATCH(0, IF(TRUE=$AI$10:$AI$258, COUNTIF($AN$9:$AN56, $AL$10:$AL$258), ""), 0)),"")</f>
        <v/>
      </c>
      <c r="AO57" s="124" t="str">
        <f t="array" ref="AO57">IFERROR(INDEX($AL$10:$AL$258, MATCH(0, IF(TRUE=$AJ$10:$AJ$258, COUNTIF($AO$9:$AO56, $AL$10:$AL$258), ""), 0)),"")</f>
        <v/>
      </c>
      <c r="AQ57" s="30" t="str">
        <f>IFERROR(INDEX('G-7 WaterC'' Data'!$AZ$3:$AZ$7,MATCH(D57,'G-7 WaterC'' Data'!$AY$3:$AY$7,0)),"")</f>
        <v/>
      </c>
      <c r="AR57" s="30" t="str">
        <f>IFERROR(INDEX('G-7 WaterC'' Data'!AZ57:AZ61,MATCH(D57,'G-7 WaterC'' Data'!$AY$10:$AY$14,0)),"")</f>
        <v/>
      </c>
    </row>
    <row r="58" spans="3:44" ht="15">
      <c r="C58" s="110">
        <v>49</v>
      </c>
      <c r="D58" s="338"/>
      <c r="E58" s="139"/>
      <c r="F58" s="362" t="str">
        <f>IF(D58="","",VLOOKUP(D58,'G-7 WaterC'' Data'!$B$2:$G$8,2,FALSE))</f>
        <v/>
      </c>
      <c r="G58" s="363" t="str">
        <f>IFERROR(VLOOKUP(F58,'G-7 WaterC'' Data'!$C$4:$D$8,2,FALSE),"")</f>
        <v/>
      </c>
      <c r="H58" s="114"/>
      <c r="I58" s="363" t="str">
        <f>IFERROR(INDEX('G-7 WaterC'' Data'!$H$4:$L$8,MATCH(D58,'G-7 WaterC'' Data'!$B$4:$B$8,0),MATCH(H58,'G-7 WaterC'' Data'!$H$3:$L$3,0)),"")</f>
        <v/>
      </c>
      <c r="J58" s="320"/>
      <c r="K58" s="398" t="str">
        <f>IF(J58="","",IF(VLOOKUP(J58,'G-7 WaterC'' Data'!$AK$4:$AM$6,2,FALSE)=0,"Spatial Data Missing ⚠",VLOOKUP(J58,'G-7 WaterC'' Data'!$AK$4:$AM$6,2,FALSE)))</f>
        <v/>
      </c>
      <c r="L58" s="368" t="str">
        <f>IF(J58="","",IF(VLOOKUP(J58,'G-7 WaterC'' Data'!$AK$4:$AM$9,3,FALSE)=0,"Spatial Data Missing ⚠",VLOOKUP(J58,'G-7 WaterC'' Data'!$AK$4:$AM$6,3,FALSE)))</f>
        <v/>
      </c>
      <c r="M58" s="54"/>
      <c r="N58" s="363" t="str">
        <f>IF(M58="","",IF(VLOOKUP(M58,'G-7 WaterC'' Data'!$AA$4:$AB$7,2,FALSE)=0,"Spatial Data Missing ⚠",VLOOKUP(M58,'G-7 WaterC'' Data'!$AA$4:$AB$7,2,FALSE)))</f>
        <v/>
      </c>
      <c r="O58" s="60"/>
      <c r="P58" s="363" t="str">
        <f>IF(O58="","",IF(VLOOKUP(O58,'G-7 WaterC'' Data'!$AD$4:$AE$14,2,FALSE)=0,"Spatial Data Missing ⚠",VLOOKUP(O58,'G-7 WaterC'' Data'!$AD$4:$AE$14,2,FALSE)))</f>
        <v/>
      </c>
      <c r="Q58" s="369" t="str">
        <f>IF(D58="","",VLOOKUP(D58,'G-7 WaterC'' Data'!$B$2:$G$8,6,FALSE))</f>
        <v/>
      </c>
      <c r="R58" s="376" t="str">
        <f>IFERROR(IF(D58="","",IF(AND(Q58='G-1 All Habitats'!$X$3,U58&gt;0),V58+W58,IF(AND(Q58='G-1 All Habitats'!$X$3,T58&gt;0),V58+W58,IF(AND(Q58='G-1 All Habitats'!$X$3,AD58&gt;0),"Any Loss Unacceptable ⚠",IF(AND(Q58='G-1 All Habitats'!$X$3,AE58&gt;0),"Any Loss Unacceptable ⚠", E58*G58*I58*L58*N58*P58 ))))),"Check Data ▲")</f>
        <v/>
      </c>
      <c r="S58" s="32"/>
      <c r="T58" s="114"/>
      <c r="U58" s="125"/>
      <c r="V58" s="374" t="str">
        <f t="shared" si="0"/>
        <v/>
      </c>
      <c r="W58" s="374" t="str">
        <f t="shared" si="1"/>
        <v/>
      </c>
      <c r="X58" s="374" t="str">
        <f t="shared" si="2"/>
        <v/>
      </c>
      <c r="Y58" s="670" t="str">
        <f t="shared" si="3"/>
        <v/>
      </c>
      <c r="Z58" s="706"/>
      <c r="AA58" s="704"/>
      <c r="AB58" s="120"/>
      <c r="AC58" s="120"/>
      <c r="AD58" s="57" t="str">
        <f>IF(Q58="","",IF(Q58='G-1 All Habitats'!$X$3,E58-T58-U58,"None"))</f>
        <v/>
      </c>
      <c r="AE58" s="58" t="str">
        <f>IF(Q58="","", IF(Q58='G-1 All Habitats'!$X$3, AD58*G58*I58*L58*N58*P58,"None"))</f>
        <v/>
      </c>
      <c r="AH58" s="30">
        <f t="shared" si="4"/>
        <v>0</v>
      </c>
      <c r="AI58" s="124" t="str">
        <f t="shared" si="5"/>
        <v/>
      </c>
      <c r="AJ58" s="124" t="str">
        <f t="shared" si="6"/>
        <v/>
      </c>
      <c r="AL58" s="124">
        <v>49</v>
      </c>
      <c r="AN58" s="124" t="str">
        <f t="array" ref="AN58">IFERROR(INDEX($AL$10:$AL$258, MATCH(0, IF(TRUE=$AI$10:$AI$258, COUNTIF($AN$9:$AN57, $AL$10:$AL$258), ""), 0)),"")</f>
        <v/>
      </c>
      <c r="AO58" s="124" t="str">
        <f t="array" ref="AO58">IFERROR(INDEX($AL$10:$AL$258, MATCH(0, IF(TRUE=$AJ$10:$AJ$258, COUNTIF($AO$9:$AO57, $AL$10:$AL$258), ""), 0)),"")</f>
        <v/>
      </c>
      <c r="AQ58" s="30" t="str">
        <f>IFERROR(INDEX('G-7 WaterC'' Data'!$AZ$3:$AZ$7,MATCH(D58,'G-7 WaterC'' Data'!$AY$3:$AY$7,0)),"")</f>
        <v/>
      </c>
      <c r="AR58" s="30" t="str">
        <f>IFERROR(INDEX('G-7 WaterC'' Data'!AZ58:AZ62,MATCH(D58,'G-7 WaterC'' Data'!$AY$10:$AY$14,0)),"")</f>
        <v/>
      </c>
    </row>
    <row r="59" spans="3:44" ht="15">
      <c r="C59" s="110">
        <v>50</v>
      </c>
      <c r="D59" s="338"/>
      <c r="E59" s="139"/>
      <c r="F59" s="362" t="str">
        <f>IF(D59="","",VLOOKUP(D59,'G-7 WaterC'' Data'!$B$2:$G$8,2,FALSE))</f>
        <v/>
      </c>
      <c r="G59" s="363" t="str">
        <f>IFERROR(VLOOKUP(F59,'G-7 WaterC'' Data'!$C$4:$D$8,2,FALSE),"")</f>
        <v/>
      </c>
      <c r="H59" s="114"/>
      <c r="I59" s="363" t="str">
        <f>IFERROR(INDEX('G-7 WaterC'' Data'!$H$4:$L$8,MATCH(D59,'G-7 WaterC'' Data'!$B$4:$B$8,0),MATCH(H59,'G-7 WaterC'' Data'!$H$3:$L$3,0)),"")</f>
        <v/>
      </c>
      <c r="J59" s="320"/>
      <c r="K59" s="398" t="str">
        <f>IF(J59="","",IF(VLOOKUP(J59,'G-7 WaterC'' Data'!$AK$4:$AM$6,2,FALSE)=0,"Spatial Data Missing ⚠",VLOOKUP(J59,'G-7 WaterC'' Data'!$AK$4:$AM$6,2,FALSE)))</f>
        <v/>
      </c>
      <c r="L59" s="368" t="str">
        <f>IF(J59="","",IF(VLOOKUP(J59,'G-7 WaterC'' Data'!$AK$4:$AM$9,3,FALSE)=0,"Spatial Data Missing ⚠",VLOOKUP(J59,'G-7 WaterC'' Data'!$AK$4:$AM$6,3,FALSE)))</f>
        <v/>
      </c>
      <c r="M59" s="54"/>
      <c r="N59" s="363" t="str">
        <f>IF(M59="","",IF(VLOOKUP(M59,'G-7 WaterC'' Data'!$AA$4:$AB$7,2,FALSE)=0,"Spatial Data Missing ⚠",VLOOKUP(M59,'G-7 WaterC'' Data'!$AA$4:$AB$7,2,FALSE)))</f>
        <v/>
      </c>
      <c r="O59" s="60"/>
      <c r="P59" s="363" t="str">
        <f>IF(O59="","",IF(VLOOKUP(O59,'G-7 WaterC'' Data'!$AD$4:$AE$14,2,FALSE)=0,"Spatial Data Missing ⚠",VLOOKUP(O59,'G-7 WaterC'' Data'!$AD$4:$AE$14,2,FALSE)))</f>
        <v/>
      </c>
      <c r="Q59" s="369" t="str">
        <f>IF(D59="","",VLOOKUP(D59,'G-7 WaterC'' Data'!$B$2:$G$8,6,FALSE))</f>
        <v/>
      </c>
      <c r="R59" s="376" t="str">
        <f>IFERROR(IF(D59="","",IF(AND(Q59='G-1 All Habitats'!$X$3,U59&gt;0),V59+W59,IF(AND(Q59='G-1 All Habitats'!$X$3,T59&gt;0),V59+W59,IF(AND(Q59='G-1 All Habitats'!$X$3,AD59&gt;0),"Any Loss Unacceptable ⚠",IF(AND(Q59='G-1 All Habitats'!$X$3,AE59&gt;0),"Any Loss Unacceptable ⚠", E59*G59*I59*L59*N59*P59 ))))),"Check Data ▲")</f>
        <v/>
      </c>
      <c r="S59" s="32"/>
      <c r="T59" s="114"/>
      <c r="U59" s="125"/>
      <c r="V59" s="374" t="str">
        <f t="shared" si="0"/>
        <v/>
      </c>
      <c r="W59" s="374" t="str">
        <f t="shared" si="1"/>
        <v/>
      </c>
      <c r="X59" s="374" t="str">
        <f t="shared" si="2"/>
        <v/>
      </c>
      <c r="Y59" s="670" t="str">
        <f t="shared" si="3"/>
        <v/>
      </c>
      <c r="Z59" s="706"/>
      <c r="AA59" s="704"/>
      <c r="AB59" s="120"/>
      <c r="AC59" s="120"/>
      <c r="AD59" s="57" t="str">
        <f>IF(Q59="","",IF(Q59='G-1 All Habitats'!$X$3,E59-T59-U59,"None"))</f>
        <v/>
      </c>
      <c r="AE59" s="58" t="str">
        <f>IF(Q59="","", IF(Q59='G-1 All Habitats'!$X$3, AD59*G59*I59*L59*N59*P59,"None"))</f>
        <v/>
      </c>
      <c r="AH59" s="30">
        <f t="shared" si="4"/>
        <v>0</v>
      </c>
      <c r="AI59" s="124" t="str">
        <f t="shared" si="5"/>
        <v/>
      </c>
      <c r="AJ59" s="124" t="str">
        <f t="shared" si="6"/>
        <v/>
      </c>
      <c r="AL59" s="124">
        <v>50</v>
      </c>
      <c r="AN59" s="124" t="str">
        <f t="array" ref="AN59">IFERROR(INDEX($AL$10:$AL$258, MATCH(0, IF(TRUE=$AI$10:$AI$258, COUNTIF($AN$9:$AN58, $AL$10:$AL$258), ""), 0)),"")</f>
        <v/>
      </c>
      <c r="AO59" s="124" t="str">
        <f t="array" ref="AO59">IFERROR(INDEX($AL$10:$AL$258, MATCH(0, IF(TRUE=$AJ$10:$AJ$258, COUNTIF($AO$9:$AO58, $AL$10:$AL$258), ""), 0)),"")</f>
        <v/>
      </c>
      <c r="AQ59" s="30" t="str">
        <f>IFERROR(INDEX('G-7 WaterC'' Data'!$AZ$3:$AZ$7,MATCH(D59,'G-7 WaterC'' Data'!$AY$3:$AY$7,0)),"")</f>
        <v/>
      </c>
      <c r="AR59" s="30" t="str">
        <f>IFERROR(INDEX('G-7 WaterC'' Data'!AZ59:AZ63,MATCH(D59,'G-7 WaterC'' Data'!$AY$10:$AY$14,0)),"")</f>
        <v/>
      </c>
    </row>
    <row r="60" spans="3:44" ht="15">
      <c r="C60" s="110">
        <v>51</v>
      </c>
      <c r="D60" s="338"/>
      <c r="E60" s="139"/>
      <c r="F60" s="362" t="str">
        <f>IF(D60="","",VLOOKUP(D60,'G-7 WaterC'' Data'!$B$2:$G$8,2,FALSE))</f>
        <v/>
      </c>
      <c r="G60" s="363" t="str">
        <f>IFERROR(VLOOKUP(F60,'G-7 WaterC'' Data'!$C$4:$D$8,2,FALSE),"")</f>
        <v/>
      </c>
      <c r="H60" s="114"/>
      <c r="I60" s="363" t="str">
        <f>IFERROR(INDEX('G-7 WaterC'' Data'!$H$4:$L$8,MATCH(D60,'G-7 WaterC'' Data'!$B$4:$B$8,0),MATCH(H60,'G-7 WaterC'' Data'!$H$3:$L$3,0)),"")</f>
        <v/>
      </c>
      <c r="J60" s="320"/>
      <c r="K60" s="398" t="str">
        <f>IF(J60="","",IF(VLOOKUP(J60,'G-7 WaterC'' Data'!$AK$4:$AM$6,2,FALSE)=0,"Spatial Data Missing ⚠",VLOOKUP(J60,'G-7 WaterC'' Data'!$AK$4:$AM$6,2,FALSE)))</f>
        <v/>
      </c>
      <c r="L60" s="368" t="str">
        <f>IF(J60="","",IF(VLOOKUP(J60,'G-7 WaterC'' Data'!$AK$4:$AM$9,3,FALSE)=0,"Spatial Data Missing ⚠",VLOOKUP(J60,'G-7 WaterC'' Data'!$AK$4:$AM$6,3,FALSE)))</f>
        <v/>
      </c>
      <c r="M60" s="54"/>
      <c r="N60" s="363" t="str">
        <f>IF(M60="","",IF(VLOOKUP(M60,'G-7 WaterC'' Data'!$AA$4:$AB$7,2,FALSE)=0,"Spatial Data Missing ⚠",VLOOKUP(M60,'G-7 WaterC'' Data'!$AA$4:$AB$7,2,FALSE)))</f>
        <v/>
      </c>
      <c r="O60" s="60"/>
      <c r="P60" s="363" t="str">
        <f>IF(O60="","",IF(VLOOKUP(O60,'G-7 WaterC'' Data'!$AD$4:$AE$14,2,FALSE)=0,"Spatial Data Missing ⚠",VLOOKUP(O60,'G-7 WaterC'' Data'!$AD$4:$AE$14,2,FALSE)))</f>
        <v/>
      </c>
      <c r="Q60" s="369" t="str">
        <f>IF(D60="","",VLOOKUP(D60,'G-7 WaterC'' Data'!$B$2:$G$8,6,FALSE))</f>
        <v/>
      </c>
      <c r="R60" s="376" t="str">
        <f>IFERROR(IF(D60="","",IF(AND(Q60='G-1 All Habitats'!$X$3,U60&gt;0),V60+W60,IF(AND(Q60='G-1 All Habitats'!$X$3,T60&gt;0),V60+W60,IF(AND(Q60='G-1 All Habitats'!$X$3,AD60&gt;0),"Any Loss Unacceptable ⚠",IF(AND(Q60='G-1 All Habitats'!$X$3,AE60&gt;0),"Any Loss Unacceptable ⚠", E60*G60*I60*L60*N60*P60 ))))),"Check Data ▲")</f>
        <v/>
      </c>
      <c r="S60" s="32"/>
      <c r="T60" s="114"/>
      <c r="U60" s="125"/>
      <c r="V60" s="374" t="str">
        <f t="shared" si="0"/>
        <v/>
      </c>
      <c r="W60" s="374" t="str">
        <f t="shared" si="1"/>
        <v/>
      </c>
      <c r="X60" s="374" t="str">
        <f t="shared" si="2"/>
        <v/>
      </c>
      <c r="Y60" s="670" t="str">
        <f t="shared" si="3"/>
        <v/>
      </c>
      <c r="Z60" s="706"/>
      <c r="AA60" s="704"/>
      <c r="AB60" s="120"/>
      <c r="AC60" s="120"/>
      <c r="AD60" s="57" t="str">
        <f>IF(Q60="","",IF(Q60='G-1 All Habitats'!$X$3,E60-T60-U60,"None"))</f>
        <v/>
      </c>
      <c r="AE60" s="58" t="str">
        <f>IF(Q60="","", IF(Q60='G-1 All Habitats'!$X$3, AD60*G60*I60*L60*N60*P60,"None"))</f>
        <v/>
      </c>
      <c r="AH60" s="30">
        <f t="shared" si="4"/>
        <v>0</v>
      </c>
      <c r="AI60" s="124" t="str">
        <f t="shared" si="5"/>
        <v/>
      </c>
      <c r="AJ60" s="124" t="str">
        <f t="shared" si="6"/>
        <v/>
      </c>
      <c r="AL60" s="124">
        <v>51</v>
      </c>
      <c r="AN60" s="124" t="str">
        <f t="array" ref="AN60">IFERROR(INDEX($AL$10:$AL$258, MATCH(0, IF(TRUE=$AI$10:$AI$258, COUNTIF($AN$9:$AN59, $AL$10:$AL$258), ""), 0)),"")</f>
        <v/>
      </c>
      <c r="AO60" s="124" t="str">
        <f t="array" ref="AO60">IFERROR(INDEX($AL$10:$AL$258, MATCH(0, IF(TRUE=$AJ$10:$AJ$258, COUNTIF($AO$9:$AO59, $AL$10:$AL$258), ""), 0)),"")</f>
        <v/>
      </c>
      <c r="AQ60" s="30" t="str">
        <f>IFERROR(INDEX('G-7 WaterC'' Data'!$AZ$3:$AZ$7,MATCH(D60,'G-7 WaterC'' Data'!$AY$3:$AY$7,0)),"")</f>
        <v/>
      </c>
      <c r="AR60" s="30" t="str">
        <f>IFERROR(INDEX('G-7 WaterC'' Data'!AZ60:AZ64,MATCH(D60,'G-7 WaterC'' Data'!$AY$10:$AY$14,0)),"")</f>
        <v/>
      </c>
    </row>
    <row r="61" spans="3:44" ht="15">
      <c r="C61" s="110">
        <v>52</v>
      </c>
      <c r="D61" s="338"/>
      <c r="E61" s="139"/>
      <c r="F61" s="362" t="str">
        <f>IF(D61="","",VLOOKUP(D61,'G-7 WaterC'' Data'!$B$2:$G$8,2,FALSE))</f>
        <v/>
      </c>
      <c r="G61" s="363" t="str">
        <f>IFERROR(VLOOKUP(F61,'G-7 WaterC'' Data'!$C$4:$D$8,2,FALSE),"")</f>
        <v/>
      </c>
      <c r="H61" s="114"/>
      <c r="I61" s="363" t="str">
        <f>IFERROR(INDEX('G-7 WaterC'' Data'!$H$4:$L$8,MATCH(D61,'G-7 WaterC'' Data'!$B$4:$B$8,0),MATCH(H61,'G-7 WaterC'' Data'!$H$3:$L$3,0)),"")</f>
        <v/>
      </c>
      <c r="J61" s="320"/>
      <c r="K61" s="398" t="str">
        <f>IF(J61="","",IF(VLOOKUP(J61,'G-7 WaterC'' Data'!$AK$4:$AM$6,2,FALSE)=0,"Spatial Data Missing ⚠",VLOOKUP(J61,'G-7 WaterC'' Data'!$AK$4:$AM$6,2,FALSE)))</f>
        <v/>
      </c>
      <c r="L61" s="368" t="str">
        <f>IF(J61="","",IF(VLOOKUP(J61,'G-7 WaterC'' Data'!$AK$4:$AM$9,3,FALSE)=0,"Spatial Data Missing ⚠",VLOOKUP(J61,'G-7 WaterC'' Data'!$AK$4:$AM$6,3,FALSE)))</f>
        <v/>
      </c>
      <c r="M61" s="54"/>
      <c r="N61" s="363" t="str">
        <f>IF(M61="","",IF(VLOOKUP(M61,'G-7 WaterC'' Data'!$AA$4:$AB$7,2,FALSE)=0,"Spatial Data Missing ⚠",VLOOKUP(M61,'G-7 WaterC'' Data'!$AA$4:$AB$7,2,FALSE)))</f>
        <v/>
      </c>
      <c r="O61" s="60"/>
      <c r="P61" s="363" t="str">
        <f>IF(O61="","",IF(VLOOKUP(O61,'G-7 WaterC'' Data'!$AD$4:$AE$14,2,FALSE)=0,"Spatial Data Missing ⚠",VLOOKUP(O61,'G-7 WaterC'' Data'!$AD$4:$AE$14,2,FALSE)))</f>
        <v/>
      </c>
      <c r="Q61" s="369" t="str">
        <f>IF(D61="","",VLOOKUP(D61,'G-7 WaterC'' Data'!$B$2:$G$8,6,FALSE))</f>
        <v/>
      </c>
      <c r="R61" s="376" t="str">
        <f>IFERROR(IF(D61="","",IF(AND(Q61='G-1 All Habitats'!$X$3,U61&gt;0),V61+W61,IF(AND(Q61='G-1 All Habitats'!$X$3,T61&gt;0),V61+W61,IF(AND(Q61='G-1 All Habitats'!$X$3,AD61&gt;0),"Any Loss Unacceptable ⚠",IF(AND(Q61='G-1 All Habitats'!$X$3,AE61&gt;0),"Any Loss Unacceptable ⚠", E61*G61*I61*L61*N61*P61 ))))),"Check Data ▲")</f>
        <v/>
      </c>
      <c r="S61" s="32"/>
      <c r="T61" s="114"/>
      <c r="U61" s="125"/>
      <c r="V61" s="374" t="str">
        <f t="shared" si="0"/>
        <v/>
      </c>
      <c r="W61" s="374" t="str">
        <f t="shared" si="1"/>
        <v/>
      </c>
      <c r="X61" s="374" t="str">
        <f t="shared" si="2"/>
        <v/>
      </c>
      <c r="Y61" s="670" t="str">
        <f t="shared" si="3"/>
        <v/>
      </c>
      <c r="Z61" s="706"/>
      <c r="AA61" s="704"/>
      <c r="AB61" s="120"/>
      <c r="AC61" s="120"/>
      <c r="AD61" s="57" t="str">
        <f>IF(Q61="","",IF(Q61='G-1 All Habitats'!$X$3,E61-T61-U61,"None"))</f>
        <v/>
      </c>
      <c r="AE61" s="58" t="str">
        <f>IF(Q61="","", IF(Q61='G-1 All Habitats'!$X$3, AD61*G61*I61*L61*N61*P61,"None"))</f>
        <v/>
      </c>
      <c r="AH61" s="30">
        <f t="shared" si="4"/>
        <v>0</v>
      </c>
      <c r="AI61" s="124" t="str">
        <f t="shared" si="5"/>
        <v/>
      </c>
      <c r="AJ61" s="124" t="str">
        <f t="shared" si="6"/>
        <v/>
      </c>
      <c r="AL61" s="124">
        <v>52</v>
      </c>
      <c r="AN61" s="124" t="str">
        <f t="array" ref="AN61">IFERROR(INDEX($AL$10:$AL$258, MATCH(0, IF(TRUE=$AI$10:$AI$258, COUNTIF($AN$9:$AN60, $AL$10:$AL$258), ""), 0)),"")</f>
        <v/>
      </c>
      <c r="AO61" s="124" t="str">
        <f t="array" ref="AO61">IFERROR(INDEX($AL$10:$AL$258, MATCH(0, IF(TRUE=$AJ$10:$AJ$258, COUNTIF($AO$9:$AO60, $AL$10:$AL$258), ""), 0)),"")</f>
        <v/>
      </c>
      <c r="AQ61" s="30" t="str">
        <f>IFERROR(INDEX('G-7 WaterC'' Data'!$AZ$3:$AZ$7,MATCH(D61,'G-7 WaterC'' Data'!$AY$3:$AY$7,0)),"")</f>
        <v/>
      </c>
      <c r="AR61" s="30" t="str">
        <f>IFERROR(INDEX('G-7 WaterC'' Data'!AZ61:AZ65,MATCH(D61,'G-7 WaterC'' Data'!$AY$10:$AY$14,0)),"")</f>
        <v/>
      </c>
    </row>
    <row r="62" spans="3:44" ht="15">
      <c r="C62" s="110">
        <v>53</v>
      </c>
      <c r="D62" s="338"/>
      <c r="E62" s="139"/>
      <c r="F62" s="362" t="str">
        <f>IF(D62="","",VLOOKUP(D62,'G-7 WaterC'' Data'!$B$2:$G$8,2,FALSE))</f>
        <v/>
      </c>
      <c r="G62" s="363" t="str">
        <f>IFERROR(VLOOKUP(F62,'G-7 WaterC'' Data'!$C$4:$D$8,2,FALSE),"")</f>
        <v/>
      </c>
      <c r="H62" s="114"/>
      <c r="I62" s="363" t="str">
        <f>IFERROR(INDEX('G-7 WaterC'' Data'!$H$4:$L$8,MATCH(D62,'G-7 WaterC'' Data'!$B$4:$B$8,0),MATCH(H62,'G-7 WaterC'' Data'!$H$3:$L$3,0)),"")</f>
        <v/>
      </c>
      <c r="J62" s="320"/>
      <c r="K62" s="398" t="str">
        <f>IF(J62="","",IF(VLOOKUP(J62,'G-7 WaterC'' Data'!$AK$4:$AM$6,2,FALSE)=0,"Spatial Data Missing ⚠",VLOOKUP(J62,'G-7 WaterC'' Data'!$AK$4:$AM$6,2,FALSE)))</f>
        <v/>
      </c>
      <c r="L62" s="368" t="str">
        <f>IF(J62="","",IF(VLOOKUP(J62,'G-7 WaterC'' Data'!$AK$4:$AM$9,3,FALSE)=0,"Spatial Data Missing ⚠",VLOOKUP(J62,'G-7 WaterC'' Data'!$AK$4:$AM$6,3,FALSE)))</f>
        <v/>
      </c>
      <c r="M62" s="54"/>
      <c r="N62" s="363" t="str">
        <f>IF(M62="","",IF(VLOOKUP(M62,'G-7 WaterC'' Data'!$AA$4:$AB$7,2,FALSE)=0,"Spatial Data Missing ⚠",VLOOKUP(M62,'G-7 WaterC'' Data'!$AA$4:$AB$7,2,FALSE)))</f>
        <v/>
      </c>
      <c r="O62" s="60"/>
      <c r="P62" s="363" t="str">
        <f>IF(O62="","",IF(VLOOKUP(O62,'G-7 WaterC'' Data'!$AD$4:$AE$14,2,FALSE)=0,"Spatial Data Missing ⚠",VLOOKUP(O62,'G-7 WaterC'' Data'!$AD$4:$AE$14,2,FALSE)))</f>
        <v/>
      </c>
      <c r="Q62" s="369" t="str">
        <f>IF(D62="","",VLOOKUP(D62,'G-7 WaterC'' Data'!$B$2:$G$8,6,FALSE))</f>
        <v/>
      </c>
      <c r="R62" s="376" t="str">
        <f>IFERROR(IF(D62="","",IF(AND(Q62='G-1 All Habitats'!$X$3,U62&gt;0),V62+W62,IF(AND(Q62='G-1 All Habitats'!$X$3,T62&gt;0),V62+W62,IF(AND(Q62='G-1 All Habitats'!$X$3,AD62&gt;0),"Any Loss Unacceptable ⚠",IF(AND(Q62='G-1 All Habitats'!$X$3,AE62&gt;0),"Any Loss Unacceptable ⚠", E62*G62*I62*L62*N62*P62 ))))),"Check Data ▲")</f>
        <v/>
      </c>
      <c r="S62" s="32"/>
      <c r="T62" s="114"/>
      <c r="U62" s="125"/>
      <c r="V62" s="374" t="str">
        <f t="shared" si="0"/>
        <v/>
      </c>
      <c r="W62" s="374" t="str">
        <f t="shared" si="1"/>
        <v/>
      </c>
      <c r="X62" s="374" t="str">
        <f t="shared" si="2"/>
        <v/>
      </c>
      <c r="Y62" s="670" t="str">
        <f t="shared" si="3"/>
        <v/>
      </c>
      <c r="Z62" s="706"/>
      <c r="AA62" s="704"/>
      <c r="AB62" s="120"/>
      <c r="AC62" s="120"/>
      <c r="AD62" s="57" t="str">
        <f>IF(Q62="","",IF(Q62='G-1 All Habitats'!$X$3,E62-T62-U62,"None"))</f>
        <v/>
      </c>
      <c r="AE62" s="58" t="str">
        <f>IF(Q62="","", IF(Q62='G-1 All Habitats'!$X$3, AD62*G62*I62*L62*N62*P62,"None"))</f>
        <v/>
      </c>
      <c r="AH62" s="30">
        <f t="shared" si="4"/>
        <v>0</v>
      </c>
      <c r="AI62" s="124" t="str">
        <f t="shared" si="5"/>
        <v/>
      </c>
      <c r="AJ62" s="124" t="str">
        <f t="shared" si="6"/>
        <v/>
      </c>
      <c r="AL62" s="124">
        <v>53</v>
      </c>
      <c r="AN62" s="124" t="str">
        <f t="array" ref="AN62">IFERROR(INDEX($AL$10:$AL$258, MATCH(0, IF(TRUE=$AI$10:$AI$258, COUNTIF($AN$9:$AN61, $AL$10:$AL$258), ""), 0)),"")</f>
        <v/>
      </c>
      <c r="AO62" s="124" t="str">
        <f t="array" ref="AO62">IFERROR(INDEX($AL$10:$AL$258, MATCH(0, IF(TRUE=$AJ$10:$AJ$258, COUNTIF($AO$9:$AO61, $AL$10:$AL$258), ""), 0)),"")</f>
        <v/>
      </c>
      <c r="AQ62" s="30" t="str">
        <f>IFERROR(INDEX('G-7 WaterC'' Data'!$AZ$3:$AZ$7,MATCH(D62,'G-7 WaterC'' Data'!$AY$3:$AY$7,0)),"")</f>
        <v/>
      </c>
      <c r="AR62" s="30" t="str">
        <f>IFERROR(INDEX('G-7 WaterC'' Data'!AZ62:AZ66,MATCH(D62,'G-7 WaterC'' Data'!$AY$10:$AY$14,0)),"")</f>
        <v/>
      </c>
    </row>
    <row r="63" spans="3:44" ht="15">
      <c r="C63" s="110">
        <v>54</v>
      </c>
      <c r="D63" s="338"/>
      <c r="E63" s="139"/>
      <c r="F63" s="362" t="str">
        <f>IF(D63="","",VLOOKUP(D63,'G-7 WaterC'' Data'!$B$2:$G$8,2,FALSE))</f>
        <v/>
      </c>
      <c r="G63" s="363" t="str">
        <f>IFERROR(VLOOKUP(F63,'G-7 WaterC'' Data'!$C$4:$D$8,2,FALSE),"")</f>
        <v/>
      </c>
      <c r="H63" s="114"/>
      <c r="I63" s="363" t="str">
        <f>IFERROR(INDEX('G-7 WaterC'' Data'!$H$4:$L$8,MATCH(D63,'G-7 WaterC'' Data'!$B$4:$B$8,0),MATCH(H63,'G-7 WaterC'' Data'!$H$3:$L$3,0)),"")</f>
        <v/>
      </c>
      <c r="J63" s="320"/>
      <c r="K63" s="398" t="str">
        <f>IF(J63="","",IF(VLOOKUP(J63,'G-7 WaterC'' Data'!$AK$4:$AM$6,2,FALSE)=0,"Spatial Data Missing ⚠",VLOOKUP(J63,'G-7 WaterC'' Data'!$AK$4:$AM$6,2,FALSE)))</f>
        <v/>
      </c>
      <c r="L63" s="368" t="str">
        <f>IF(J63="","",IF(VLOOKUP(J63,'G-7 WaterC'' Data'!$AK$4:$AM$9,3,FALSE)=0,"Spatial Data Missing ⚠",VLOOKUP(J63,'G-7 WaterC'' Data'!$AK$4:$AM$6,3,FALSE)))</f>
        <v/>
      </c>
      <c r="M63" s="54"/>
      <c r="N63" s="363" t="str">
        <f>IF(M63="","",IF(VLOOKUP(M63,'G-7 WaterC'' Data'!$AA$4:$AB$7,2,FALSE)=0,"Spatial Data Missing ⚠",VLOOKUP(M63,'G-7 WaterC'' Data'!$AA$4:$AB$7,2,FALSE)))</f>
        <v/>
      </c>
      <c r="O63" s="60"/>
      <c r="P63" s="363" t="str">
        <f>IF(O63="","",IF(VLOOKUP(O63,'G-7 WaterC'' Data'!$AD$4:$AE$14,2,FALSE)=0,"Spatial Data Missing ⚠",VLOOKUP(O63,'G-7 WaterC'' Data'!$AD$4:$AE$14,2,FALSE)))</f>
        <v/>
      </c>
      <c r="Q63" s="369" t="str">
        <f>IF(D63="","",VLOOKUP(D63,'G-7 WaterC'' Data'!$B$2:$G$8,6,FALSE))</f>
        <v/>
      </c>
      <c r="R63" s="376" t="str">
        <f>IFERROR(IF(D63="","",IF(AND(Q63='G-1 All Habitats'!$X$3,U63&gt;0),V63+W63,IF(AND(Q63='G-1 All Habitats'!$X$3,T63&gt;0),V63+W63,IF(AND(Q63='G-1 All Habitats'!$X$3,AD63&gt;0),"Any Loss Unacceptable ⚠",IF(AND(Q63='G-1 All Habitats'!$X$3,AE63&gt;0),"Any Loss Unacceptable ⚠", E63*G63*I63*L63*N63*P63 ))))),"Check Data ▲")</f>
        <v/>
      </c>
      <c r="S63" s="32"/>
      <c r="T63" s="114"/>
      <c r="U63" s="125"/>
      <c r="V63" s="374" t="str">
        <f t="shared" si="0"/>
        <v/>
      </c>
      <c r="W63" s="374" t="str">
        <f t="shared" si="1"/>
        <v/>
      </c>
      <c r="X63" s="374" t="str">
        <f t="shared" si="2"/>
        <v/>
      </c>
      <c r="Y63" s="670" t="str">
        <f t="shared" si="3"/>
        <v/>
      </c>
      <c r="Z63" s="706"/>
      <c r="AA63" s="704"/>
      <c r="AB63" s="120"/>
      <c r="AC63" s="120"/>
      <c r="AD63" s="57" t="str">
        <f>IF(Q63="","",IF(Q63='G-1 All Habitats'!$X$3,E63-T63-U63,"None"))</f>
        <v/>
      </c>
      <c r="AE63" s="58" t="str">
        <f>IF(Q63="","", IF(Q63='G-1 All Habitats'!$X$3, AD63*G63*I63*L63*N63*P63,"None"))</f>
        <v/>
      </c>
      <c r="AH63" s="30">
        <f t="shared" si="4"/>
        <v>0</v>
      </c>
      <c r="AI63" s="124" t="str">
        <f t="shared" si="5"/>
        <v/>
      </c>
      <c r="AJ63" s="124" t="str">
        <f t="shared" si="6"/>
        <v/>
      </c>
      <c r="AL63" s="124">
        <v>54</v>
      </c>
      <c r="AN63" s="124" t="str">
        <f t="array" ref="AN63">IFERROR(INDEX($AL$10:$AL$258, MATCH(0, IF(TRUE=$AI$10:$AI$258, COUNTIF($AN$9:$AN62, $AL$10:$AL$258), ""), 0)),"")</f>
        <v/>
      </c>
      <c r="AO63" s="124" t="str">
        <f t="array" ref="AO63">IFERROR(INDEX($AL$10:$AL$258, MATCH(0, IF(TRUE=$AJ$10:$AJ$258, COUNTIF($AO$9:$AO62, $AL$10:$AL$258), ""), 0)),"")</f>
        <v/>
      </c>
      <c r="AQ63" s="30" t="str">
        <f>IFERROR(INDEX('G-7 WaterC'' Data'!$AZ$3:$AZ$7,MATCH(D63,'G-7 WaterC'' Data'!$AY$3:$AY$7,0)),"")</f>
        <v/>
      </c>
      <c r="AR63" s="30" t="str">
        <f>IFERROR(INDEX('G-7 WaterC'' Data'!AZ63:AZ67,MATCH(D63,'G-7 WaterC'' Data'!$AY$10:$AY$14,0)),"")</f>
        <v/>
      </c>
    </row>
    <row r="64" spans="3:44" ht="15">
      <c r="C64" s="110">
        <v>55</v>
      </c>
      <c r="D64" s="338"/>
      <c r="E64" s="139"/>
      <c r="F64" s="362" t="str">
        <f>IF(D64="","",VLOOKUP(D64,'G-7 WaterC'' Data'!$B$2:$G$8,2,FALSE))</f>
        <v/>
      </c>
      <c r="G64" s="363" t="str">
        <f>IFERROR(VLOOKUP(F64,'G-7 WaterC'' Data'!$C$4:$D$8,2,FALSE),"")</f>
        <v/>
      </c>
      <c r="H64" s="114"/>
      <c r="I64" s="363" t="str">
        <f>IFERROR(INDEX('G-7 WaterC'' Data'!$H$4:$L$8,MATCH(D64,'G-7 WaterC'' Data'!$B$4:$B$8,0),MATCH(H64,'G-7 WaterC'' Data'!$H$3:$L$3,0)),"")</f>
        <v/>
      </c>
      <c r="J64" s="320"/>
      <c r="K64" s="398" t="str">
        <f>IF(J64="","",IF(VLOOKUP(J64,'G-7 WaterC'' Data'!$AK$4:$AM$6,2,FALSE)=0,"Spatial Data Missing ⚠",VLOOKUP(J64,'G-7 WaterC'' Data'!$AK$4:$AM$6,2,FALSE)))</f>
        <v/>
      </c>
      <c r="L64" s="368" t="str">
        <f>IF(J64="","",IF(VLOOKUP(J64,'G-7 WaterC'' Data'!$AK$4:$AM$9,3,FALSE)=0,"Spatial Data Missing ⚠",VLOOKUP(J64,'G-7 WaterC'' Data'!$AK$4:$AM$6,3,FALSE)))</f>
        <v/>
      </c>
      <c r="M64" s="54"/>
      <c r="N64" s="363" t="str">
        <f>IF(M64="","",IF(VLOOKUP(M64,'G-7 WaterC'' Data'!$AA$4:$AB$7,2,FALSE)=0,"Spatial Data Missing ⚠",VLOOKUP(M64,'G-7 WaterC'' Data'!$AA$4:$AB$7,2,FALSE)))</f>
        <v/>
      </c>
      <c r="O64" s="60"/>
      <c r="P64" s="363" t="str">
        <f>IF(O64="","",IF(VLOOKUP(O64,'G-7 WaterC'' Data'!$AD$4:$AE$14,2,FALSE)=0,"Spatial Data Missing ⚠",VLOOKUP(O64,'G-7 WaterC'' Data'!$AD$4:$AE$14,2,FALSE)))</f>
        <v/>
      </c>
      <c r="Q64" s="369" t="str">
        <f>IF(D64="","",VLOOKUP(D64,'G-7 WaterC'' Data'!$B$2:$G$8,6,FALSE))</f>
        <v/>
      </c>
      <c r="R64" s="376" t="str">
        <f>IFERROR(IF(D64="","",IF(AND(Q64='G-1 All Habitats'!$X$3,U64&gt;0),V64+W64,IF(AND(Q64='G-1 All Habitats'!$X$3,T64&gt;0),V64+W64,IF(AND(Q64='G-1 All Habitats'!$X$3,AD64&gt;0),"Any Loss Unacceptable ⚠",IF(AND(Q64='G-1 All Habitats'!$X$3,AE64&gt;0),"Any Loss Unacceptable ⚠", E64*G64*I64*L64*N64*P64 ))))),"Check Data ▲")</f>
        <v/>
      </c>
      <c r="S64" s="32"/>
      <c r="T64" s="114"/>
      <c r="U64" s="125"/>
      <c r="V64" s="374" t="str">
        <f t="shared" si="0"/>
        <v/>
      </c>
      <c r="W64" s="374" t="str">
        <f t="shared" si="1"/>
        <v/>
      </c>
      <c r="X64" s="374" t="str">
        <f t="shared" si="2"/>
        <v/>
      </c>
      <c r="Y64" s="670" t="str">
        <f t="shared" si="3"/>
        <v/>
      </c>
      <c r="Z64" s="706"/>
      <c r="AA64" s="704"/>
      <c r="AB64" s="120"/>
      <c r="AC64" s="120"/>
      <c r="AD64" s="57" t="str">
        <f>IF(Q64="","",IF(Q64='G-1 All Habitats'!$X$3,E64-T64-U64,"None"))</f>
        <v/>
      </c>
      <c r="AE64" s="58" t="str">
        <f>IF(Q64="","", IF(Q64='G-1 All Habitats'!$X$3, AD64*G64*I64*L64*N64*P64,"None"))</f>
        <v/>
      </c>
      <c r="AH64" s="30">
        <f t="shared" si="4"/>
        <v>0</v>
      </c>
      <c r="AI64" s="124" t="str">
        <f t="shared" si="5"/>
        <v/>
      </c>
      <c r="AJ64" s="124" t="str">
        <f t="shared" si="6"/>
        <v/>
      </c>
      <c r="AL64" s="124">
        <v>55</v>
      </c>
      <c r="AN64" s="124" t="str">
        <f t="array" ref="AN64">IFERROR(INDEX($AL$10:$AL$258, MATCH(0, IF(TRUE=$AI$10:$AI$258, COUNTIF($AN$9:$AN63, $AL$10:$AL$258), ""), 0)),"")</f>
        <v/>
      </c>
      <c r="AO64" s="124" t="str">
        <f t="array" ref="AO64">IFERROR(INDEX($AL$10:$AL$258, MATCH(0, IF(TRUE=$AJ$10:$AJ$258, COUNTIF($AO$9:$AO63, $AL$10:$AL$258), ""), 0)),"")</f>
        <v/>
      </c>
      <c r="AQ64" s="30" t="str">
        <f>IFERROR(INDEX('G-7 WaterC'' Data'!$AZ$3:$AZ$7,MATCH(D64,'G-7 WaterC'' Data'!$AY$3:$AY$7,0)),"")</f>
        <v/>
      </c>
      <c r="AR64" s="30" t="str">
        <f>IFERROR(INDEX('G-7 WaterC'' Data'!AZ64:AZ68,MATCH(D64,'G-7 WaterC'' Data'!$AY$10:$AY$14,0)),"")</f>
        <v/>
      </c>
    </row>
    <row r="65" spans="3:44" ht="15">
      <c r="C65" s="110">
        <v>56</v>
      </c>
      <c r="D65" s="338"/>
      <c r="E65" s="139"/>
      <c r="F65" s="362" t="str">
        <f>IF(D65="","",VLOOKUP(D65,'G-7 WaterC'' Data'!$B$2:$G$8,2,FALSE))</f>
        <v/>
      </c>
      <c r="G65" s="363" t="str">
        <f>IFERROR(VLOOKUP(F65,'G-7 WaterC'' Data'!$C$4:$D$8,2,FALSE),"")</f>
        <v/>
      </c>
      <c r="H65" s="114"/>
      <c r="I65" s="363" t="str">
        <f>IFERROR(INDEX('G-7 WaterC'' Data'!$H$4:$L$8,MATCH(D65,'G-7 WaterC'' Data'!$B$4:$B$8,0),MATCH(H65,'G-7 WaterC'' Data'!$H$3:$L$3,0)),"")</f>
        <v/>
      </c>
      <c r="J65" s="320"/>
      <c r="K65" s="398" t="str">
        <f>IF(J65="","",IF(VLOOKUP(J65,'G-7 WaterC'' Data'!$AK$4:$AM$6,2,FALSE)=0,"Spatial Data Missing ⚠",VLOOKUP(J65,'G-7 WaterC'' Data'!$AK$4:$AM$6,2,FALSE)))</f>
        <v/>
      </c>
      <c r="L65" s="368" t="str">
        <f>IF(J65="","",IF(VLOOKUP(J65,'G-7 WaterC'' Data'!$AK$4:$AM$9,3,FALSE)=0,"Spatial Data Missing ⚠",VLOOKUP(J65,'G-7 WaterC'' Data'!$AK$4:$AM$6,3,FALSE)))</f>
        <v/>
      </c>
      <c r="M65" s="54"/>
      <c r="N65" s="363" t="str">
        <f>IF(M65="","",IF(VLOOKUP(M65,'G-7 WaterC'' Data'!$AA$4:$AB$7,2,FALSE)=0,"Spatial Data Missing ⚠",VLOOKUP(M65,'G-7 WaterC'' Data'!$AA$4:$AB$7,2,FALSE)))</f>
        <v/>
      </c>
      <c r="O65" s="60"/>
      <c r="P65" s="363" t="str">
        <f>IF(O65="","",IF(VLOOKUP(O65,'G-7 WaterC'' Data'!$AD$4:$AE$14,2,FALSE)=0,"Spatial Data Missing ⚠",VLOOKUP(O65,'G-7 WaterC'' Data'!$AD$4:$AE$14,2,FALSE)))</f>
        <v/>
      </c>
      <c r="Q65" s="369" t="str">
        <f>IF(D65="","",VLOOKUP(D65,'G-7 WaterC'' Data'!$B$2:$G$8,6,FALSE))</f>
        <v/>
      </c>
      <c r="R65" s="376" t="str">
        <f>IFERROR(IF(D65="","",IF(AND(Q65='G-1 All Habitats'!$X$3,U65&gt;0),V65+W65,IF(AND(Q65='G-1 All Habitats'!$X$3,T65&gt;0),V65+W65,IF(AND(Q65='G-1 All Habitats'!$X$3,AD65&gt;0),"Any Loss Unacceptable ⚠",IF(AND(Q65='G-1 All Habitats'!$X$3,AE65&gt;0),"Any Loss Unacceptable ⚠", E65*G65*I65*L65*N65*P65 ))))),"Check Data ▲")</f>
        <v/>
      </c>
      <c r="S65" s="32"/>
      <c r="T65" s="114"/>
      <c r="U65" s="125"/>
      <c r="V65" s="374" t="str">
        <f t="shared" si="0"/>
        <v/>
      </c>
      <c r="W65" s="374" t="str">
        <f t="shared" si="1"/>
        <v/>
      </c>
      <c r="X65" s="374" t="str">
        <f t="shared" si="2"/>
        <v/>
      </c>
      <c r="Y65" s="670" t="str">
        <f t="shared" si="3"/>
        <v/>
      </c>
      <c r="Z65" s="706"/>
      <c r="AA65" s="704"/>
      <c r="AB65" s="120"/>
      <c r="AC65" s="120"/>
      <c r="AD65" s="57" t="str">
        <f>IF(Q65="","",IF(Q65='G-1 All Habitats'!$X$3,E65-T65-U65,"None"))</f>
        <v/>
      </c>
      <c r="AE65" s="58" t="str">
        <f>IF(Q65="","", IF(Q65='G-1 All Habitats'!$X$3, AD65*G65*I65*L65*N65*P65,"None"))</f>
        <v/>
      </c>
      <c r="AH65" s="30">
        <f t="shared" si="4"/>
        <v>0</v>
      </c>
      <c r="AI65" s="124" t="str">
        <f t="shared" si="5"/>
        <v/>
      </c>
      <c r="AJ65" s="124" t="str">
        <f t="shared" si="6"/>
        <v/>
      </c>
      <c r="AL65" s="124">
        <v>56</v>
      </c>
      <c r="AN65" s="124" t="str">
        <f t="array" ref="AN65">IFERROR(INDEX($AL$10:$AL$258, MATCH(0, IF(TRUE=$AI$10:$AI$258, COUNTIF($AN$9:$AN64, $AL$10:$AL$258), ""), 0)),"")</f>
        <v/>
      </c>
      <c r="AO65" s="124" t="str">
        <f t="array" ref="AO65">IFERROR(INDEX($AL$10:$AL$258, MATCH(0, IF(TRUE=$AJ$10:$AJ$258, COUNTIF($AO$9:$AO64, $AL$10:$AL$258), ""), 0)),"")</f>
        <v/>
      </c>
      <c r="AQ65" s="30" t="str">
        <f>IFERROR(INDEX('G-7 WaterC'' Data'!$AZ$3:$AZ$7,MATCH(D65,'G-7 WaterC'' Data'!$AY$3:$AY$7,0)),"")</f>
        <v/>
      </c>
      <c r="AR65" s="30" t="str">
        <f>IFERROR(INDEX('G-7 WaterC'' Data'!AZ65:AZ69,MATCH(D65,'G-7 WaterC'' Data'!$AY$10:$AY$14,0)),"")</f>
        <v/>
      </c>
    </row>
    <row r="66" spans="3:44" ht="15">
      <c r="C66" s="110">
        <v>57</v>
      </c>
      <c r="D66" s="338"/>
      <c r="E66" s="139"/>
      <c r="F66" s="362" t="str">
        <f>IF(D66="","",VLOOKUP(D66,'G-7 WaterC'' Data'!$B$2:$G$8,2,FALSE))</f>
        <v/>
      </c>
      <c r="G66" s="363" t="str">
        <f>IFERROR(VLOOKUP(F66,'G-7 WaterC'' Data'!$C$4:$D$8,2,FALSE),"")</f>
        <v/>
      </c>
      <c r="H66" s="114"/>
      <c r="I66" s="363" t="str">
        <f>IFERROR(INDEX('G-7 WaterC'' Data'!$H$4:$L$8,MATCH(D66,'G-7 WaterC'' Data'!$B$4:$B$8,0),MATCH(H66,'G-7 WaterC'' Data'!$H$3:$L$3,0)),"")</f>
        <v/>
      </c>
      <c r="J66" s="320"/>
      <c r="K66" s="398" t="str">
        <f>IF(J66="","",IF(VLOOKUP(J66,'G-7 WaterC'' Data'!$AK$4:$AM$6,2,FALSE)=0,"Spatial Data Missing ⚠",VLOOKUP(J66,'G-7 WaterC'' Data'!$AK$4:$AM$6,2,FALSE)))</f>
        <v/>
      </c>
      <c r="L66" s="368" t="str">
        <f>IF(J66="","",IF(VLOOKUP(J66,'G-7 WaterC'' Data'!$AK$4:$AM$9,3,FALSE)=0,"Spatial Data Missing ⚠",VLOOKUP(J66,'G-7 WaterC'' Data'!$AK$4:$AM$6,3,FALSE)))</f>
        <v/>
      </c>
      <c r="M66" s="54"/>
      <c r="N66" s="363" t="str">
        <f>IF(M66="","",IF(VLOOKUP(M66,'G-7 WaterC'' Data'!$AA$4:$AB$7,2,FALSE)=0,"Spatial Data Missing ⚠",VLOOKUP(M66,'G-7 WaterC'' Data'!$AA$4:$AB$7,2,FALSE)))</f>
        <v/>
      </c>
      <c r="O66" s="60"/>
      <c r="P66" s="363" t="str">
        <f>IF(O66="","",IF(VLOOKUP(O66,'G-7 WaterC'' Data'!$AD$4:$AE$14,2,FALSE)=0,"Spatial Data Missing ⚠",VLOOKUP(O66,'G-7 WaterC'' Data'!$AD$4:$AE$14,2,FALSE)))</f>
        <v/>
      </c>
      <c r="Q66" s="369" t="str">
        <f>IF(D66="","",VLOOKUP(D66,'G-7 WaterC'' Data'!$B$2:$G$8,6,FALSE))</f>
        <v/>
      </c>
      <c r="R66" s="376" t="str">
        <f>IFERROR(IF(D66="","",IF(AND(Q66='G-1 All Habitats'!$X$3,U66&gt;0),V66+W66,IF(AND(Q66='G-1 All Habitats'!$X$3,T66&gt;0),V66+W66,IF(AND(Q66='G-1 All Habitats'!$X$3,AD66&gt;0),"Any Loss Unacceptable ⚠",IF(AND(Q66='G-1 All Habitats'!$X$3,AE66&gt;0),"Any Loss Unacceptable ⚠", E66*G66*I66*L66*N66*P66 ))))),"Check Data ▲")</f>
        <v/>
      </c>
      <c r="S66" s="32"/>
      <c r="T66" s="114"/>
      <c r="U66" s="125"/>
      <c r="V66" s="374" t="str">
        <f t="shared" si="0"/>
        <v/>
      </c>
      <c r="W66" s="374" t="str">
        <f t="shared" si="1"/>
        <v/>
      </c>
      <c r="X66" s="374" t="str">
        <f t="shared" si="2"/>
        <v/>
      </c>
      <c r="Y66" s="670" t="str">
        <f t="shared" si="3"/>
        <v/>
      </c>
      <c r="Z66" s="706"/>
      <c r="AA66" s="704"/>
      <c r="AB66" s="120"/>
      <c r="AC66" s="120"/>
      <c r="AD66" s="57" t="str">
        <f>IF(Q66="","",IF(Q66='G-1 All Habitats'!$X$3,E66-T66-U66,"None"))</f>
        <v/>
      </c>
      <c r="AE66" s="58" t="str">
        <f>IF(Q66="","", IF(Q66='G-1 All Habitats'!$X$3, AD66*G66*I66*L66*N66*P66,"None"))</f>
        <v/>
      </c>
      <c r="AH66" s="30">
        <f t="shared" si="4"/>
        <v>0</v>
      </c>
      <c r="AI66" s="124" t="str">
        <f t="shared" si="5"/>
        <v/>
      </c>
      <c r="AJ66" s="124" t="str">
        <f t="shared" si="6"/>
        <v/>
      </c>
      <c r="AL66" s="124">
        <v>57</v>
      </c>
      <c r="AN66" s="124" t="str">
        <f t="array" ref="AN66">IFERROR(INDEX($AL$10:$AL$258, MATCH(0, IF(TRUE=$AI$10:$AI$258, COUNTIF($AN$9:$AN65, $AL$10:$AL$258), ""), 0)),"")</f>
        <v/>
      </c>
      <c r="AO66" s="124" t="str">
        <f t="array" ref="AO66">IFERROR(INDEX($AL$10:$AL$258, MATCH(0, IF(TRUE=$AJ$10:$AJ$258, COUNTIF($AO$9:$AO65, $AL$10:$AL$258), ""), 0)),"")</f>
        <v/>
      </c>
      <c r="AQ66" s="30" t="str">
        <f>IFERROR(INDEX('G-7 WaterC'' Data'!$AZ$3:$AZ$7,MATCH(D66,'G-7 WaterC'' Data'!$AY$3:$AY$7,0)),"")</f>
        <v/>
      </c>
      <c r="AR66" s="30" t="str">
        <f>IFERROR(INDEX('G-7 WaterC'' Data'!AZ66:AZ70,MATCH(D66,'G-7 WaterC'' Data'!$AY$10:$AY$14,0)),"")</f>
        <v/>
      </c>
    </row>
    <row r="67" spans="3:44" ht="15">
      <c r="C67" s="110">
        <v>58</v>
      </c>
      <c r="D67" s="338"/>
      <c r="E67" s="139"/>
      <c r="F67" s="362" t="str">
        <f>IF(D67="","",VLOOKUP(D67,'G-7 WaterC'' Data'!$B$2:$G$8,2,FALSE))</f>
        <v/>
      </c>
      <c r="G67" s="363" t="str">
        <f>IFERROR(VLOOKUP(F67,'G-7 WaterC'' Data'!$C$4:$D$8,2,FALSE),"")</f>
        <v/>
      </c>
      <c r="H67" s="114"/>
      <c r="I67" s="363" t="str">
        <f>IFERROR(INDEX('G-7 WaterC'' Data'!$H$4:$L$8,MATCH(D67,'G-7 WaterC'' Data'!$B$4:$B$8,0),MATCH(H67,'G-7 WaterC'' Data'!$H$3:$L$3,0)),"")</f>
        <v/>
      </c>
      <c r="J67" s="320"/>
      <c r="K67" s="398" t="str">
        <f>IF(J67="","",IF(VLOOKUP(J67,'G-7 WaterC'' Data'!$AK$4:$AM$6,2,FALSE)=0,"Spatial Data Missing ⚠",VLOOKUP(J67,'G-7 WaterC'' Data'!$AK$4:$AM$6,2,FALSE)))</f>
        <v/>
      </c>
      <c r="L67" s="368" t="str">
        <f>IF(J67="","",IF(VLOOKUP(J67,'G-7 WaterC'' Data'!$AK$4:$AM$9,3,FALSE)=0,"Spatial Data Missing ⚠",VLOOKUP(J67,'G-7 WaterC'' Data'!$AK$4:$AM$6,3,FALSE)))</f>
        <v/>
      </c>
      <c r="M67" s="54"/>
      <c r="N67" s="363" t="str">
        <f>IF(M67="","",IF(VLOOKUP(M67,'G-7 WaterC'' Data'!$AA$4:$AB$7,2,FALSE)=0,"Spatial Data Missing ⚠",VLOOKUP(M67,'G-7 WaterC'' Data'!$AA$4:$AB$7,2,FALSE)))</f>
        <v/>
      </c>
      <c r="O67" s="60"/>
      <c r="P67" s="363" t="str">
        <f>IF(O67="","",IF(VLOOKUP(O67,'G-7 WaterC'' Data'!$AD$4:$AE$14,2,FALSE)=0,"Spatial Data Missing ⚠",VLOOKUP(O67,'G-7 WaterC'' Data'!$AD$4:$AE$14,2,FALSE)))</f>
        <v/>
      </c>
      <c r="Q67" s="369" t="str">
        <f>IF(D67="","",VLOOKUP(D67,'G-7 WaterC'' Data'!$B$2:$G$8,6,FALSE))</f>
        <v/>
      </c>
      <c r="R67" s="376" t="str">
        <f>IFERROR(IF(D67="","",IF(AND(Q67='G-1 All Habitats'!$X$3,U67&gt;0),V67+W67,IF(AND(Q67='G-1 All Habitats'!$X$3,T67&gt;0),V67+W67,IF(AND(Q67='G-1 All Habitats'!$X$3,AD67&gt;0),"Any Loss Unacceptable ⚠",IF(AND(Q67='G-1 All Habitats'!$X$3,AE67&gt;0),"Any Loss Unacceptable ⚠", E67*G67*I67*L67*N67*P67 ))))),"Check Data ▲")</f>
        <v/>
      </c>
      <c r="S67" s="32"/>
      <c r="T67" s="114"/>
      <c r="U67" s="125"/>
      <c r="V67" s="374" t="str">
        <f t="shared" si="0"/>
        <v/>
      </c>
      <c r="W67" s="374" t="str">
        <f t="shared" si="1"/>
        <v/>
      </c>
      <c r="X67" s="374" t="str">
        <f t="shared" si="2"/>
        <v/>
      </c>
      <c r="Y67" s="670" t="str">
        <f t="shared" si="3"/>
        <v/>
      </c>
      <c r="Z67" s="706"/>
      <c r="AA67" s="704"/>
      <c r="AB67" s="120"/>
      <c r="AC67" s="120"/>
      <c r="AD67" s="57" t="str">
        <f>IF(Q67="","",IF(Q67='G-1 All Habitats'!$X$3,E67-T67-U67,"None"))</f>
        <v/>
      </c>
      <c r="AE67" s="58" t="str">
        <f>IF(Q67="","", IF(Q67='G-1 All Habitats'!$X$3, AD67*G67*I67*L67*N67*P67,"None"))</f>
        <v/>
      </c>
      <c r="AH67" s="30">
        <f t="shared" si="4"/>
        <v>0</v>
      </c>
      <c r="AI67" s="124" t="str">
        <f t="shared" si="5"/>
        <v/>
      </c>
      <c r="AJ67" s="124" t="str">
        <f t="shared" si="6"/>
        <v/>
      </c>
      <c r="AL67" s="124">
        <v>58</v>
      </c>
      <c r="AN67" s="124" t="str">
        <f t="array" ref="AN67">IFERROR(INDEX($AL$10:$AL$258, MATCH(0, IF(TRUE=$AI$10:$AI$258, COUNTIF($AN$9:$AN66, $AL$10:$AL$258), ""), 0)),"")</f>
        <v/>
      </c>
      <c r="AO67" s="124" t="str">
        <f t="array" ref="AO67">IFERROR(INDEX($AL$10:$AL$258, MATCH(0, IF(TRUE=$AJ$10:$AJ$258, COUNTIF($AO$9:$AO66, $AL$10:$AL$258), ""), 0)),"")</f>
        <v/>
      </c>
      <c r="AQ67" s="30" t="str">
        <f>IFERROR(INDEX('G-7 WaterC'' Data'!$AZ$3:$AZ$7,MATCH(D67,'G-7 WaterC'' Data'!$AY$3:$AY$7,0)),"")</f>
        <v/>
      </c>
      <c r="AR67" s="30" t="str">
        <f>IFERROR(INDEX('G-7 WaterC'' Data'!AZ67:AZ71,MATCH(D67,'G-7 WaterC'' Data'!$AY$10:$AY$14,0)),"")</f>
        <v/>
      </c>
    </row>
    <row r="68" spans="3:44" ht="15">
      <c r="C68" s="110">
        <v>59</v>
      </c>
      <c r="D68" s="338"/>
      <c r="E68" s="139"/>
      <c r="F68" s="362" t="str">
        <f>IF(D68="","",VLOOKUP(D68,'G-7 WaterC'' Data'!$B$2:$G$8,2,FALSE))</f>
        <v/>
      </c>
      <c r="G68" s="363" t="str">
        <f>IFERROR(VLOOKUP(F68,'G-7 WaterC'' Data'!$C$4:$D$8,2,FALSE),"")</f>
        <v/>
      </c>
      <c r="H68" s="114"/>
      <c r="I68" s="363" t="str">
        <f>IFERROR(INDEX('G-7 WaterC'' Data'!$H$4:$L$8,MATCH(D68,'G-7 WaterC'' Data'!$B$4:$B$8,0),MATCH(H68,'G-7 WaterC'' Data'!$H$3:$L$3,0)),"")</f>
        <v/>
      </c>
      <c r="J68" s="320"/>
      <c r="K68" s="398" t="str">
        <f>IF(J68="","",IF(VLOOKUP(J68,'G-7 WaterC'' Data'!$AK$4:$AM$6,2,FALSE)=0,"Spatial Data Missing ⚠",VLOOKUP(J68,'G-7 WaterC'' Data'!$AK$4:$AM$6,2,FALSE)))</f>
        <v/>
      </c>
      <c r="L68" s="368" t="str">
        <f>IF(J68="","",IF(VLOOKUP(J68,'G-7 WaterC'' Data'!$AK$4:$AM$9,3,FALSE)=0,"Spatial Data Missing ⚠",VLOOKUP(J68,'G-7 WaterC'' Data'!$AK$4:$AM$6,3,FALSE)))</f>
        <v/>
      </c>
      <c r="M68" s="54"/>
      <c r="N68" s="363" t="str">
        <f>IF(M68="","",IF(VLOOKUP(M68,'G-7 WaterC'' Data'!$AA$4:$AB$7,2,FALSE)=0,"Spatial Data Missing ⚠",VLOOKUP(M68,'G-7 WaterC'' Data'!$AA$4:$AB$7,2,FALSE)))</f>
        <v/>
      </c>
      <c r="O68" s="60"/>
      <c r="P68" s="363" t="str">
        <f>IF(O68="","",IF(VLOOKUP(O68,'G-7 WaterC'' Data'!$AD$4:$AE$14,2,FALSE)=0,"Spatial Data Missing ⚠",VLOOKUP(O68,'G-7 WaterC'' Data'!$AD$4:$AE$14,2,FALSE)))</f>
        <v/>
      </c>
      <c r="Q68" s="369" t="str">
        <f>IF(D68="","",VLOOKUP(D68,'G-7 WaterC'' Data'!$B$2:$G$8,6,FALSE))</f>
        <v/>
      </c>
      <c r="R68" s="376" t="str">
        <f>IFERROR(IF(D68="","",IF(AND(Q68='G-1 All Habitats'!$X$3,U68&gt;0),V68+W68,IF(AND(Q68='G-1 All Habitats'!$X$3,T68&gt;0),V68+W68,IF(AND(Q68='G-1 All Habitats'!$X$3,AD68&gt;0),"Any Loss Unacceptable ⚠",IF(AND(Q68='G-1 All Habitats'!$X$3,AE68&gt;0),"Any Loss Unacceptable ⚠", E68*G68*I68*L68*N68*P68 ))))),"Check Data ▲")</f>
        <v/>
      </c>
      <c r="S68" s="32"/>
      <c r="T68" s="114"/>
      <c r="U68" s="125"/>
      <c r="V68" s="374" t="str">
        <f t="shared" si="0"/>
        <v/>
      </c>
      <c r="W68" s="374" t="str">
        <f t="shared" si="1"/>
        <v/>
      </c>
      <c r="X68" s="374" t="str">
        <f t="shared" si="2"/>
        <v/>
      </c>
      <c r="Y68" s="670" t="str">
        <f t="shared" si="3"/>
        <v/>
      </c>
      <c r="Z68" s="706"/>
      <c r="AA68" s="704"/>
      <c r="AB68" s="120"/>
      <c r="AC68" s="120"/>
      <c r="AD68" s="57" t="str">
        <f>IF(Q68="","",IF(Q68='G-1 All Habitats'!$X$3,E68-T68-U68,"None"))</f>
        <v/>
      </c>
      <c r="AE68" s="58" t="str">
        <f>IF(Q68="","", IF(Q68='G-1 All Habitats'!$X$3, AD68*G68*I68*L68*N68*P68,"None"))</f>
        <v/>
      </c>
      <c r="AH68" s="30">
        <f t="shared" si="4"/>
        <v>0</v>
      </c>
      <c r="AI68" s="124" t="str">
        <f t="shared" si="5"/>
        <v/>
      </c>
      <c r="AJ68" s="124" t="str">
        <f t="shared" si="6"/>
        <v/>
      </c>
      <c r="AL68" s="124">
        <v>59</v>
      </c>
      <c r="AN68" s="124" t="str">
        <f t="array" ref="AN68">IFERROR(INDEX($AL$10:$AL$258, MATCH(0, IF(TRUE=$AI$10:$AI$258, COUNTIF($AN$9:$AN67, $AL$10:$AL$258), ""), 0)),"")</f>
        <v/>
      </c>
      <c r="AO68" s="124" t="str">
        <f t="array" ref="AO68">IFERROR(INDEX($AL$10:$AL$258, MATCH(0, IF(TRUE=$AJ$10:$AJ$258, COUNTIF($AO$9:$AO67, $AL$10:$AL$258), ""), 0)),"")</f>
        <v/>
      </c>
      <c r="AQ68" s="30" t="str">
        <f>IFERROR(INDEX('G-7 WaterC'' Data'!$AZ$3:$AZ$7,MATCH(D68,'G-7 WaterC'' Data'!$AY$3:$AY$7,0)),"")</f>
        <v/>
      </c>
      <c r="AR68" s="30" t="str">
        <f>IFERROR(INDEX('G-7 WaterC'' Data'!AZ68:AZ72,MATCH(D68,'G-7 WaterC'' Data'!$AY$10:$AY$14,0)),"")</f>
        <v/>
      </c>
    </row>
    <row r="69" spans="3:44" ht="15">
      <c r="C69" s="110">
        <v>60</v>
      </c>
      <c r="D69" s="338"/>
      <c r="E69" s="139"/>
      <c r="F69" s="362" t="str">
        <f>IF(D69="","",VLOOKUP(D69,'G-7 WaterC'' Data'!$B$2:$G$8,2,FALSE))</f>
        <v/>
      </c>
      <c r="G69" s="363" t="str">
        <f>IFERROR(VLOOKUP(F69,'G-7 WaterC'' Data'!$C$4:$D$8,2,FALSE),"")</f>
        <v/>
      </c>
      <c r="H69" s="114"/>
      <c r="I69" s="363" t="str">
        <f>IFERROR(INDEX('G-7 WaterC'' Data'!$H$4:$L$8,MATCH(D69,'G-7 WaterC'' Data'!$B$4:$B$8,0),MATCH(H69,'G-7 WaterC'' Data'!$H$3:$L$3,0)),"")</f>
        <v/>
      </c>
      <c r="J69" s="320"/>
      <c r="K69" s="398" t="str">
        <f>IF(J69="","",IF(VLOOKUP(J69,'G-7 WaterC'' Data'!$AK$4:$AM$6,2,FALSE)=0,"Spatial Data Missing ⚠",VLOOKUP(J69,'G-7 WaterC'' Data'!$AK$4:$AM$6,2,FALSE)))</f>
        <v/>
      </c>
      <c r="L69" s="368" t="str">
        <f>IF(J69="","",IF(VLOOKUP(J69,'G-7 WaterC'' Data'!$AK$4:$AM$9,3,FALSE)=0,"Spatial Data Missing ⚠",VLOOKUP(J69,'G-7 WaterC'' Data'!$AK$4:$AM$6,3,FALSE)))</f>
        <v/>
      </c>
      <c r="M69" s="54"/>
      <c r="N69" s="363" t="str">
        <f>IF(M69="","",IF(VLOOKUP(M69,'G-7 WaterC'' Data'!$AA$4:$AB$7,2,FALSE)=0,"Spatial Data Missing ⚠",VLOOKUP(M69,'G-7 WaterC'' Data'!$AA$4:$AB$7,2,FALSE)))</f>
        <v/>
      </c>
      <c r="O69" s="60"/>
      <c r="P69" s="363" t="str">
        <f>IF(O69="","",IF(VLOOKUP(O69,'G-7 WaterC'' Data'!$AD$4:$AE$14,2,FALSE)=0,"Spatial Data Missing ⚠",VLOOKUP(O69,'G-7 WaterC'' Data'!$AD$4:$AE$14,2,FALSE)))</f>
        <v/>
      </c>
      <c r="Q69" s="369" t="str">
        <f>IF(D69="","",VLOOKUP(D69,'G-7 WaterC'' Data'!$B$2:$G$8,6,FALSE))</f>
        <v/>
      </c>
      <c r="R69" s="376" t="str">
        <f>IFERROR(IF(D69="","",IF(AND(Q69='G-1 All Habitats'!$X$3,U69&gt;0),V69+W69,IF(AND(Q69='G-1 All Habitats'!$X$3,T69&gt;0),V69+W69,IF(AND(Q69='G-1 All Habitats'!$X$3,AD69&gt;0),"Any Loss Unacceptable ⚠",IF(AND(Q69='G-1 All Habitats'!$X$3,AE69&gt;0),"Any Loss Unacceptable ⚠", E69*G69*I69*L69*N69*P69 ))))),"Check Data ▲")</f>
        <v/>
      </c>
      <c r="S69" s="32"/>
      <c r="T69" s="114"/>
      <c r="U69" s="125"/>
      <c r="V69" s="374" t="str">
        <f t="shared" si="0"/>
        <v/>
      </c>
      <c r="W69" s="374" t="str">
        <f t="shared" si="1"/>
        <v/>
      </c>
      <c r="X69" s="374" t="str">
        <f t="shared" si="2"/>
        <v/>
      </c>
      <c r="Y69" s="670" t="str">
        <f t="shared" si="3"/>
        <v/>
      </c>
      <c r="Z69" s="706"/>
      <c r="AA69" s="704"/>
      <c r="AB69" s="120"/>
      <c r="AC69" s="120"/>
      <c r="AD69" s="57" t="str">
        <f>IF(Q69="","",IF(Q69='G-1 All Habitats'!$X$3,E69-T69-U69,"None"))</f>
        <v/>
      </c>
      <c r="AE69" s="58" t="str">
        <f>IF(Q69="","", IF(Q69='G-1 All Habitats'!$X$3, AD69*G69*I69*L69*N69*P69,"None"))</f>
        <v/>
      </c>
      <c r="AH69" s="30">
        <f t="shared" si="4"/>
        <v>0</v>
      </c>
      <c r="AI69" s="124" t="str">
        <f t="shared" si="5"/>
        <v/>
      </c>
      <c r="AJ69" s="124" t="str">
        <f t="shared" si="6"/>
        <v/>
      </c>
      <c r="AL69" s="124">
        <v>60</v>
      </c>
      <c r="AN69" s="124" t="str">
        <f t="array" ref="AN69">IFERROR(INDEX($AL$10:$AL$258, MATCH(0, IF(TRUE=$AI$10:$AI$258, COUNTIF($AN$9:$AN68, $AL$10:$AL$258), ""), 0)),"")</f>
        <v/>
      </c>
      <c r="AO69" s="124" t="str">
        <f t="array" ref="AO69">IFERROR(INDEX($AL$10:$AL$258, MATCH(0, IF(TRUE=$AJ$10:$AJ$258, COUNTIF($AO$9:$AO68, $AL$10:$AL$258), ""), 0)),"")</f>
        <v/>
      </c>
      <c r="AQ69" s="30" t="str">
        <f>IFERROR(INDEX('G-7 WaterC'' Data'!$AZ$3:$AZ$7,MATCH(D69,'G-7 WaterC'' Data'!$AY$3:$AY$7,0)),"")</f>
        <v/>
      </c>
      <c r="AR69" s="30" t="str">
        <f>IFERROR(INDEX('G-7 WaterC'' Data'!AZ69:AZ73,MATCH(D69,'G-7 WaterC'' Data'!$AY$10:$AY$14,0)),"")</f>
        <v/>
      </c>
    </row>
    <row r="70" spans="3:44" ht="15">
      <c r="C70" s="110">
        <v>61</v>
      </c>
      <c r="D70" s="338"/>
      <c r="E70" s="139"/>
      <c r="F70" s="362" t="str">
        <f>IF(D70="","",VLOOKUP(D70,'G-7 WaterC'' Data'!$B$2:$G$8,2,FALSE))</f>
        <v/>
      </c>
      <c r="G70" s="363" t="str">
        <f>IFERROR(VLOOKUP(F70,'G-7 WaterC'' Data'!$C$4:$D$8,2,FALSE),"")</f>
        <v/>
      </c>
      <c r="H70" s="114"/>
      <c r="I70" s="363" t="str">
        <f>IFERROR(INDEX('G-7 WaterC'' Data'!$H$4:$L$8,MATCH(D70,'G-7 WaterC'' Data'!$B$4:$B$8,0),MATCH(H70,'G-7 WaterC'' Data'!$H$3:$L$3,0)),"")</f>
        <v/>
      </c>
      <c r="J70" s="320"/>
      <c r="K70" s="398" t="str">
        <f>IF(J70="","",IF(VLOOKUP(J70,'G-7 WaterC'' Data'!$AK$4:$AM$6,2,FALSE)=0,"Spatial Data Missing ⚠",VLOOKUP(J70,'G-7 WaterC'' Data'!$AK$4:$AM$6,2,FALSE)))</f>
        <v/>
      </c>
      <c r="L70" s="368" t="str">
        <f>IF(J70="","",IF(VLOOKUP(J70,'G-7 WaterC'' Data'!$AK$4:$AM$9,3,FALSE)=0,"Spatial Data Missing ⚠",VLOOKUP(J70,'G-7 WaterC'' Data'!$AK$4:$AM$6,3,FALSE)))</f>
        <v/>
      </c>
      <c r="M70" s="54"/>
      <c r="N70" s="363" t="str">
        <f>IF(M70="","",IF(VLOOKUP(M70,'G-7 WaterC'' Data'!$AA$4:$AB$7,2,FALSE)=0,"Spatial Data Missing ⚠",VLOOKUP(M70,'G-7 WaterC'' Data'!$AA$4:$AB$7,2,FALSE)))</f>
        <v/>
      </c>
      <c r="O70" s="60"/>
      <c r="P70" s="363" t="str">
        <f>IF(O70="","",IF(VLOOKUP(O70,'G-7 WaterC'' Data'!$AD$4:$AE$14,2,FALSE)=0,"Spatial Data Missing ⚠",VLOOKUP(O70,'G-7 WaterC'' Data'!$AD$4:$AE$14,2,FALSE)))</f>
        <v/>
      </c>
      <c r="Q70" s="369" t="str">
        <f>IF(D70="","",VLOOKUP(D70,'G-7 WaterC'' Data'!$B$2:$G$8,6,FALSE))</f>
        <v/>
      </c>
      <c r="R70" s="376" t="str">
        <f>IFERROR(IF(D70="","",IF(AND(Q70='G-1 All Habitats'!$X$3,U70&gt;0),V70+W70,IF(AND(Q70='G-1 All Habitats'!$X$3,T70&gt;0),V70+W70,IF(AND(Q70='G-1 All Habitats'!$X$3,AD70&gt;0),"Any Loss Unacceptable ⚠",IF(AND(Q70='G-1 All Habitats'!$X$3,AE70&gt;0),"Any Loss Unacceptable ⚠", E70*G70*I70*L70*N70*P70 ))))),"Check Data ▲")</f>
        <v/>
      </c>
      <c r="S70" s="32"/>
      <c r="T70" s="114"/>
      <c r="U70" s="125"/>
      <c r="V70" s="374" t="str">
        <f t="shared" si="0"/>
        <v/>
      </c>
      <c r="W70" s="374" t="str">
        <f t="shared" si="1"/>
        <v/>
      </c>
      <c r="X70" s="374" t="str">
        <f t="shared" si="2"/>
        <v/>
      </c>
      <c r="Y70" s="670" t="str">
        <f t="shared" si="3"/>
        <v/>
      </c>
      <c r="Z70" s="706"/>
      <c r="AA70" s="704"/>
      <c r="AB70" s="120"/>
      <c r="AC70" s="120"/>
      <c r="AD70" s="57" t="str">
        <f>IF(Q70="","",IF(Q70='G-1 All Habitats'!$X$3,E70-T70-U70,"None"))</f>
        <v/>
      </c>
      <c r="AE70" s="58" t="str">
        <f>IF(Q70="","", IF(Q70='G-1 All Habitats'!$X$3, AD70*G70*I70*L70*N70*P70,"None"))</f>
        <v/>
      </c>
      <c r="AH70" s="30">
        <f t="shared" si="4"/>
        <v>0</v>
      </c>
      <c r="AI70" s="124" t="str">
        <f t="shared" si="5"/>
        <v/>
      </c>
      <c r="AJ70" s="124" t="str">
        <f t="shared" si="6"/>
        <v/>
      </c>
      <c r="AL70" s="124">
        <v>61</v>
      </c>
      <c r="AN70" s="124" t="str">
        <f t="array" ref="AN70">IFERROR(INDEX($AL$10:$AL$258, MATCH(0, IF(TRUE=$AI$10:$AI$258, COUNTIF($AN$9:$AN69, $AL$10:$AL$258), ""), 0)),"")</f>
        <v/>
      </c>
      <c r="AO70" s="124" t="str">
        <f t="array" ref="AO70">IFERROR(INDEX($AL$10:$AL$258, MATCH(0, IF(TRUE=$AJ$10:$AJ$258, COUNTIF($AO$9:$AO69, $AL$10:$AL$258), ""), 0)),"")</f>
        <v/>
      </c>
      <c r="AQ70" s="30" t="str">
        <f>IFERROR(INDEX('G-7 WaterC'' Data'!$AZ$3:$AZ$7,MATCH(D70,'G-7 WaterC'' Data'!$AY$3:$AY$7,0)),"")</f>
        <v/>
      </c>
      <c r="AR70" s="30" t="str">
        <f>IFERROR(INDEX('G-7 WaterC'' Data'!AZ70:AZ74,MATCH(D70,'G-7 WaterC'' Data'!$AY$10:$AY$14,0)),"")</f>
        <v/>
      </c>
    </row>
    <row r="71" spans="3:44" ht="15">
      <c r="C71" s="110">
        <v>62</v>
      </c>
      <c r="D71" s="338"/>
      <c r="E71" s="139"/>
      <c r="F71" s="362" t="str">
        <f>IF(D71="","",VLOOKUP(D71,'G-7 WaterC'' Data'!$B$2:$G$8,2,FALSE))</f>
        <v/>
      </c>
      <c r="G71" s="363" t="str">
        <f>IFERROR(VLOOKUP(F71,'G-7 WaterC'' Data'!$C$4:$D$8,2,FALSE),"")</f>
        <v/>
      </c>
      <c r="H71" s="114"/>
      <c r="I71" s="363" t="str">
        <f>IFERROR(INDEX('G-7 WaterC'' Data'!$H$4:$L$8,MATCH(D71,'G-7 WaterC'' Data'!$B$4:$B$8,0),MATCH(H71,'G-7 WaterC'' Data'!$H$3:$L$3,0)),"")</f>
        <v/>
      </c>
      <c r="J71" s="320"/>
      <c r="K71" s="398" t="str">
        <f>IF(J71="","",IF(VLOOKUP(J71,'G-7 WaterC'' Data'!$AK$4:$AM$6,2,FALSE)=0,"Spatial Data Missing ⚠",VLOOKUP(J71,'G-7 WaterC'' Data'!$AK$4:$AM$6,2,FALSE)))</f>
        <v/>
      </c>
      <c r="L71" s="368" t="str">
        <f>IF(J71="","",IF(VLOOKUP(J71,'G-7 WaterC'' Data'!$AK$4:$AM$9,3,FALSE)=0,"Spatial Data Missing ⚠",VLOOKUP(J71,'G-7 WaterC'' Data'!$AK$4:$AM$6,3,FALSE)))</f>
        <v/>
      </c>
      <c r="M71" s="54"/>
      <c r="N71" s="363" t="str">
        <f>IF(M71="","",IF(VLOOKUP(M71,'G-7 WaterC'' Data'!$AA$4:$AB$7,2,FALSE)=0,"Spatial Data Missing ⚠",VLOOKUP(M71,'G-7 WaterC'' Data'!$AA$4:$AB$7,2,FALSE)))</f>
        <v/>
      </c>
      <c r="O71" s="60"/>
      <c r="P71" s="363" t="str">
        <f>IF(O71="","",IF(VLOOKUP(O71,'G-7 WaterC'' Data'!$AD$4:$AE$14,2,FALSE)=0,"Spatial Data Missing ⚠",VLOOKUP(O71,'G-7 WaterC'' Data'!$AD$4:$AE$14,2,FALSE)))</f>
        <v/>
      </c>
      <c r="Q71" s="369" t="str">
        <f>IF(D71="","",VLOOKUP(D71,'G-7 WaterC'' Data'!$B$2:$G$8,6,FALSE))</f>
        <v/>
      </c>
      <c r="R71" s="376" t="str">
        <f>IFERROR(IF(D71="","",IF(AND(Q71='G-1 All Habitats'!$X$3,U71&gt;0),V71+W71,IF(AND(Q71='G-1 All Habitats'!$X$3,T71&gt;0),V71+W71,IF(AND(Q71='G-1 All Habitats'!$X$3,AD71&gt;0),"Any Loss Unacceptable ⚠",IF(AND(Q71='G-1 All Habitats'!$X$3,AE71&gt;0),"Any Loss Unacceptable ⚠", E71*G71*I71*L71*N71*P71 ))))),"Check Data ▲")</f>
        <v/>
      </c>
      <c r="S71" s="32"/>
      <c r="T71" s="114"/>
      <c r="U71" s="125"/>
      <c r="V71" s="374" t="str">
        <f t="shared" si="0"/>
        <v/>
      </c>
      <c r="W71" s="374" t="str">
        <f t="shared" si="1"/>
        <v/>
      </c>
      <c r="X71" s="374" t="str">
        <f t="shared" si="2"/>
        <v/>
      </c>
      <c r="Y71" s="670" t="str">
        <f t="shared" si="3"/>
        <v/>
      </c>
      <c r="Z71" s="706"/>
      <c r="AA71" s="704"/>
      <c r="AB71" s="120"/>
      <c r="AC71" s="120"/>
      <c r="AD71" s="57" t="str">
        <f>IF(Q71="","",IF(Q71='G-1 All Habitats'!$X$3,E71-T71-U71,"None"))</f>
        <v/>
      </c>
      <c r="AE71" s="58" t="str">
        <f>IF(Q71="","", IF(Q71='G-1 All Habitats'!$X$3, AD71*G71*I71*L71*N71*P71,"None"))</f>
        <v/>
      </c>
      <c r="AH71" s="30">
        <f t="shared" si="4"/>
        <v>0</v>
      </c>
      <c r="AI71" s="124" t="str">
        <f t="shared" si="5"/>
        <v/>
      </c>
      <c r="AJ71" s="124" t="str">
        <f t="shared" si="6"/>
        <v/>
      </c>
      <c r="AL71" s="124">
        <v>62</v>
      </c>
      <c r="AN71" s="124" t="str">
        <f t="array" ref="AN71">IFERROR(INDEX($AL$10:$AL$258, MATCH(0, IF(TRUE=$AI$10:$AI$258, COUNTIF($AN$9:$AN70, $AL$10:$AL$258), ""), 0)),"")</f>
        <v/>
      </c>
      <c r="AO71" s="124" t="str">
        <f t="array" ref="AO71">IFERROR(INDEX($AL$10:$AL$258, MATCH(0, IF(TRUE=$AJ$10:$AJ$258, COUNTIF($AO$9:$AO70, $AL$10:$AL$258), ""), 0)),"")</f>
        <v/>
      </c>
      <c r="AQ71" s="30" t="str">
        <f>IFERROR(INDEX('G-7 WaterC'' Data'!$AZ$3:$AZ$7,MATCH(D71,'G-7 WaterC'' Data'!$AY$3:$AY$7,0)),"")</f>
        <v/>
      </c>
      <c r="AR71" s="30" t="str">
        <f>IFERROR(INDEX('G-7 WaterC'' Data'!AZ71:AZ75,MATCH(D71,'G-7 WaterC'' Data'!$AY$10:$AY$14,0)),"")</f>
        <v/>
      </c>
    </row>
    <row r="72" spans="3:44" ht="15">
      <c r="C72" s="110">
        <v>63</v>
      </c>
      <c r="D72" s="338"/>
      <c r="E72" s="139"/>
      <c r="F72" s="362" t="str">
        <f>IF(D72="","",VLOOKUP(D72,'G-7 WaterC'' Data'!$B$2:$G$8,2,FALSE))</f>
        <v/>
      </c>
      <c r="G72" s="363" t="str">
        <f>IFERROR(VLOOKUP(F72,'G-7 WaterC'' Data'!$C$4:$D$8,2,FALSE),"")</f>
        <v/>
      </c>
      <c r="H72" s="114"/>
      <c r="I72" s="363" t="str">
        <f>IFERROR(INDEX('G-7 WaterC'' Data'!$H$4:$L$8,MATCH(D72,'G-7 WaterC'' Data'!$B$4:$B$8,0),MATCH(H72,'G-7 WaterC'' Data'!$H$3:$L$3,0)),"")</f>
        <v/>
      </c>
      <c r="J72" s="320"/>
      <c r="K72" s="398" t="str">
        <f>IF(J72="","",IF(VLOOKUP(J72,'G-7 WaterC'' Data'!$AK$4:$AM$6,2,FALSE)=0,"Spatial Data Missing ⚠",VLOOKUP(J72,'G-7 WaterC'' Data'!$AK$4:$AM$6,2,FALSE)))</f>
        <v/>
      </c>
      <c r="L72" s="368" t="str">
        <f>IF(J72="","",IF(VLOOKUP(J72,'G-7 WaterC'' Data'!$AK$4:$AM$9,3,FALSE)=0,"Spatial Data Missing ⚠",VLOOKUP(J72,'G-7 WaterC'' Data'!$AK$4:$AM$6,3,FALSE)))</f>
        <v/>
      </c>
      <c r="M72" s="54"/>
      <c r="N72" s="363" t="str">
        <f>IF(M72="","",IF(VLOOKUP(M72,'G-7 WaterC'' Data'!$AA$4:$AB$7,2,FALSE)=0,"Spatial Data Missing ⚠",VLOOKUP(M72,'G-7 WaterC'' Data'!$AA$4:$AB$7,2,FALSE)))</f>
        <v/>
      </c>
      <c r="O72" s="60"/>
      <c r="P72" s="363" t="str">
        <f>IF(O72="","",IF(VLOOKUP(O72,'G-7 WaterC'' Data'!$AD$4:$AE$14,2,FALSE)=0,"Spatial Data Missing ⚠",VLOOKUP(O72,'G-7 WaterC'' Data'!$AD$4:$AE$14,2,FALSE)))</f>
        <v/>
      </c>
      <c r="Q72" s="369" t="str">
        <f>IF(D72="","",VLOOKUP(D72,'G-7 WaterC'' Data'!$B$2:$G$8,6,FALSE))</f>
        <v/>
      </c>
      <c r="R72" s="376" t="str">
        <f>IFERROR(IF(D72="","",IF(AND(Q72='G-1 All Habitats'!$X$3,U72&gt;0),V72+W72,IF(AND(Q72='G-1 All Habitats'!$X$3,T72&gt;0),V72+W72,IF(AND(Q72='G-1 All Habitats'!$X$3,AD72&gt;0),"Any Loss Unacceptable ⚠",IF(AND(Q72='G-1 All Habitats'!$X$3,AE72&gt;0),"Any Loss Unacceptable ⚠", E72*G72*I72*L72*N72*P72 ))))),"Check Data ▲")</f>
        <v/>
      </c>
      <c r="S72" s="32"/>
      <c r="T72" s="114"/>
      <c r="U72" s="125"/>
      <c r="V72" s="374" t="str">
        <f t="shared" si="0"/>
        <v/>
      </c>
      <c r="W72" s="374" t="str">
        <f t="shared" si="1"/>
        <v/>
      </c>
      <c r="X72" s="374" t="str">
        <f t="shared" si="2"/>
        <v/>
      </c>
      <c r="Y72" s="670" t="str">
        <f t="shared" si="3"/>
        <v/>
      </c>
      <c r="Z72" s="706"/>
      <c r="AA72" s="704"/>
      <c r="AB72" s="120"/>
      <c r="AC72" s="120"/>
      <c r="AD72" s="57" t="str">
        <f>IF(Q72="","",IF(Q72='G-1 All Habitats'!$X$3,E72-T72-U72,"None"))</f>
        <v/>
      </c>
      <c r="AE72" s="58" t="str">
        <f>IF(Q72="","", IF(Q72='G-1 All Habitats'!$X$3, AD72*G72*I72*L72*N72*P72,"None"))</f>
        <v/>
      </c>
      <c r="AH72" s="30">
        <f t="shared" si="4"/>
        <v>0</v>
      </c>
      <c r="AI72" s="124" t="str">
        <f t="shared" si="5"/>
        <v/>
      </c>
      <c r="AJ72" s="124" t="str">
        <f t="shared" si="6"/>
        <v/>
      </c>
      <c r="AL72" s="124">
        <v>63</v>
      </c>
      <c r="AN72" s="124" t="str">
        <f t="array" ref="AN72">IFERROR(INDEX($AL$10:$AL$258, MATCH(0, IF(TRUE=$AI$10:$AI$258, COUNTIF($AN$9:$AN71, $AL$10:$AL$258), ""), 0)),"")</f>
        <v/>
      </c>
      <c r="AO72" s="124" t="str">
        <f t="array" ref="AO72">IFERROR(INDEX($AL$10:$AL$258, MATCH(0, IF(TRUE=$AJ$10:$AJ$258, COUNTIF($AO$9:$AO71, $AL$10:$AL$258), ""), 0)),"")</f>
        <v/>
      </c>
      <c r="AQ72" s="30" t="str">
        <f>IFERROR(INDEX('G-7 WaterC'' Data'!$AZ$3:$AZ$7,MATCH(D72,'G-7 WaterC'' Data'!$AY$3:$AY$7,0)),"")</f>
        <v/>
      </c>
      <c r="AR72" s="30" t="str">
        <f>IFERROR(INDEX('G-7 WaterC'' Data'!AZ72:AZ76,MATCH(D72,'G-7 WaterC'' Data'!$AY$10:$AY$14,0)),"")</f>
        <v/>
      </c>
    </row>
    <row r="73" spans="3:44" ht="15">
      <c r="C73" s="110">
        <v>64</v>
      </c>
      <c r="D73" s="338"/>
      <c r="E73" s="139"/>
      <c r="F73" s="362" t="str">
        <f>IF(D73="","",VLOOKUP(D73,'G-7 WaterC'' Data'!$B$2:$G$8,2,FALSE))</f>
        <v/>
      </c>
      <c r="G73" s="363" t="str">
        <f>IFERROR(VLOOKUP(F73,'G-7 WaterC'' Data'!$C$4:$D$8,2,FALSE),"")</f>
        <v/>
      </c>
      <c r="H73" s="114"/>
      <c r="I73" s="363" t="str">
        <f>IFERROR(INDEX('G-7 WaterC'' Data'!$H$4:$L$8,MATCH(D73,'G-7 WaterC'' Data'!$B$4:$B$8,0),MATCH(H73,'G-7 WaterC'' Data'!$H$3:$L$3,0)),"")</f>
        <v/>
      </c>
      <c r="J73" s="320"/>
      <c r="K73" s="398" t="str">
        <f>IF(J73="","",IF(VLOOKUP(J73,'G-7 WaterC'' Data'!$AK$4:$AM$6,2,FALSE)=0,"Spatial Data Missing ⚠",VLOOKUP(J73,'G-7 WaterC'' Data'!$AK$4:$AM$6,2,FALSE)))</f>
        <v/>
      </c>
      <c r="L73" s="368" t="str">
        <f>IF(J73="","",IF(VLOOKUP(J73,'G-7 WaterC'' Data'!$AK$4:$AM$9,3,FALSE)=0,"Spatial Data Missing ⚠",VLOOKUP(J73,'G-7 WaterC'' Data'!$AK$4:$AM$6,3,FALSE)))</f>
        <v/>
      </c>
      <c r="M73" s="54"/>
      <c r="N73" s="363" t="str">
        <f>IF(M73="","",IF(VLOOKUP(M73,'G-7 WaterC'' Data'!$AA$4:$AB$7,2,FALSE)=0,"Spatial Data Missing ⚠",VLOOKUP(M73,'G-7 WaterC'' Data'!$AA$4:$AB$7,2,FALSE)))</f>
        <v/>
      </c>
      <c r="O73" s="60"/>
      <c r="P73" s="363" t="str">
        <f>IF(O73="","",IF(VLOOKUP(O73,'G-7 WaterC'' Data'!$AD$4:$AE$14,2,FALSE)=0,"Spatial Data Missing ⚠",VLOOKUP(O73,'G-7 WaterC'' Data'!$AD$4:$AE$14,2,FALSE)))</f>
        <v/>
      </c>
      <c r="Q73" s="369" t="str">
        <f>IF(D73="","",VLOOKUP(D73,'G-7 WaterC'' Data'!$B$2:$G$8,6,FALSE))</f>
        <v/>
      </c>
      <c r="R73" s="376" t="str">
        <f>IFERROR(IF(D73="","",IF(AND(Q73='G-1 All Habitats'!$X$3,U73&gt;0),V73+W73,IF(AND(Q73='G-1 All Habitats'!$X$3,T73&gt;0),V73+W73,IF(AND(Q73='G-1 All Habitats'!$X$3,AD73&gt;0),"Any Loss Unacceptable ⚠",IF(AND(Q73='G-1 All Habitats'!$X$3,AE73&gt;0),"Any Loss Unacceptable ⚠", E73*G73*I73*L73*N73*P73 ))))),"Check Data ▲")</f>
        <v/>
      </c>
      <c r="S73" s="32"/>
      <c r="T73" s="114"/>
      <c r="U73" s="125"/>
      <c r="V73" s="374" t="str">
        <f t="shared" si="0"/>
        <v/>
      </c>
      <c r="W73" s="374" t="str">
        <f t="shared" si="1"/>
        <v/>
      </c>
      <c r="X73" s="374" t="str">
        <f t="shared" si="2"/>
        <v/>
      </c>
      <c r="Y73" s="670" t="str">
        <f t="shared" si="3"/>
        <v/>
      </c>
      <c r="Z73" s="706"/>
      <c r="AA73" s="704"/>
      <c r="AB73" s="120"/>
      <c r="AC73" s="120"/>
      <c r="AD73" s="57" t="str">
        <f>IF(Q73="","",IF(Q73='G-1 All Habitats'!$X$3,E73-T73-U73,"None"))</f>
        <v/>
      </c>
      <c r="AE73" s="58" t="str">
        <f>IF(Q73="","", IF(Q73='G-1 All Habitats'!$X$3, AD73*G73*I73*L73*N73*P73,"None"))</f>
        <v/>
      </c>
      <c r="AH73" s="30">
        <f t="shared" si="4"/>
        <v>0</v>
      </c>
      <c r="AI73" s="124" t="str">
        <f t="shared" si="5"/>
        <v/>
      </c>
      <c r="AJ73" s="124" t="str">
        <f t="shared" si="6"/>
        <v/>
      </c>
      <c r="AL73" s="124">
        <v>64</v>
      </c>
      <c r="AN73" s="124" t="str">
        <f t="array" ref="AN73">IFERROR(INDEX($AL$10:$AL$258, MATCH(0, IF(TRUE=$AI$10:$AI$258, COUNTIF($AN$9:$AN72, $AL$10:$AL$258), ""), 0)),"")</f>
        <v/>
      </c>
      <c r="AO73" s="124" t="str">
        <f t="array" ref="AO73">IFERROR(INDEX($AL$10:$AL$258, MATCH(0, IF(TRUE=$AJ$10:$AJ$258, COUNTIF($AO$9:$AO72, $AL$10:$AL$258), ""), 0)),"")</f>
        <v/>
      </c>
      <c r="AQ73" s="30" t="str">
        <f>IFERROR(INDEX('G-7 WaterC'' Data'!$AZ$3:$AZ$7,MATCH(D73,'G-7 WaterC'' Data'!$AY$3:$AY$7,0)),"")</f>
        <v/>
      </c>
      <c r="AR73" s="30" t="str">
        <f>IFERROR(INDEX('G-7 WaterC'' Data'!AZ73:AZ77,MATCH(D73,'G-7 WaterC'' Data'!$AY$10:$AY$14,0)),"")</f>
        <v/>
      </c>
    </row>
    <row r="74" spans="3:44" ht="15">
      <c r="C74" s="110">
        <v>65</v>
      </c>
      <c r="D74" s="338"/>
      <c r="E74" s="139"/>
      <c r="F74" s="362" t="str">
        <f>IF(D74="","",VLOOKUP(D74,'G-7 WaterC'' Data'!$B$2:$G$8,2,FALSE))</f>
        <v/>
      </c>
      <c r="G74" s="363" t="str">
        <f>IFERROR(VLOOKUP(F74,'G-7 WaterC'' Data'!$C$4:$D$8,2,FALSE),"")</f>
        <v/>
      </c>
      <c r="H74" s="114"/>
      <c r="I74" s="363" t="str">
        <f>IFERROR(INDEX('G-7 WaterC'' Data'!$H$4:$L$8,MATCH(D74,'G-7 WaterC'' Data'!$B$4:$B$8,0),MATCH(H74,'G-7 WaterC'' Data'!$H$3:$L$3,0)),"")</f>
        <v/>
      </c>
      <c r="J74" s="320"/>
      <c r="K74" s="398" t="str">
        <f>IF(J74="","",IF(VLOOKUP(J74,'G-7 WaterC'' Data'!$AK$4:$AM$6,2,FALSE)=0,"Spatial Data Missing ⚠",VLOOKUP(J74,'G-7 WaterC'' Data'!$AK$4:$AM$6,2,FALSE)))</f>
        <v/>
      </c>
      <c r="L74" s="368" t="str">
        <f>IF(J74="","",IF(VLOOKUP(J74,'G-7 WaterC'' Data'!$AK$4:$AM$9,3,FALSE)=0,"Spatial Data Missing ⚠",VLOOKUP(J74,'G-7 WaterC'' Data'!$AK$4:$AM$6,3,FALSE)))</f>
        <v/>
      </c>
      <c r="M74" s="54"/>
      <c r="N74" s="363" t="str">
        <f>IF(M74="","",IF(VLOOKUP(M74,'G-7 WaterC'' Data'!$AA$4:$AB$7,2,FALSE)=0,"Spatial Data Missing ⚠",VLOOKUP(M74,'G-7 WaterC'' Data'!$AA$4:$AB$7,2,FALSE)))</f>
        <v/>
      </c>
      <c r="O74" s="60"/>
      <c r="P74" s="363" t="str">
        <f>IF(O74="","",IF(VLOOKUP(O74,'G-7 WaterC'' Data'!$AD$4:$AE$14,2,FALSE)=0,"Spatial Data Missing ⚠",VLOOKUP(O74,'G-7 WaterC'' Data'!$AD$4:$AE$14,2,FALSE)))</f>
        <v/>
      </c>
      <c r="Q74" s="369" t="str">
        <f>IF(D74="","",VLOOKUP(D74,'G-7 WaterC'' Data'!$B$2:$G$8,6,FALSE))</f>
        <v/>
      </c>
      <c r="R74" s="376" t="str">
        <f>IFERROR(IF(D74="","",IF(AND(Q74='G-1 All Habitats'!$X$3,U74&gt;0),V74+W74,IF(AND(Q74='G-1 All Habitats'!$X$3,T74&gt;0),V74+W74,IF(AND(Q74='G-1 All Habitats'!$X$3,AD74&gt;0),"Any Loss Unacceptable ⚠",IF(AND(Q74='G-1 All Habitats'!$X$3,AE74&gt;0),"Any Loss Unacceptable ⚠", E74*G74*I74*L74*N74*P74 ))))),"Check Data ▲")</f>
        <v/>
      </c>
      <c r="S74" s="32"/>
      <c r="T74" s="114"/>
      <c r="U74" s="125"/>
      <c r="V74" s="374" t="str">
        <f t="shared" si="0"/>
        <v/>
      </c>
      <c r="W74" s="374" t="str">
        <f t="shared" si="1"/>
        <v/>
      </c>
      <c r="X74" s="374" t="str">
        <f t="shared" si="2"/>
        <v/>
      </c>
      <c r="Y74" s="670" t="str">
        <f t="shared" si="3"/>
        <v/>
      </c>
      <c r="Z74" s="706"/>
      <c r="AA74" s="704"/>
      <c r="AB74" s="120"/>
      <c r="AC74" s="120"/>
      <c r="AD74" s="57" t="str">
        <f>IF(Q74="","",IF(Q74='G-1 All Habitats'!$X$3,E74-T74-U74,"None"))</f>
        <v/>
      </c>
      <c r="AE74" s="58" t="str">
        <f>IF(Q74="","", IF(Q74='G-1 All Habitats'!$X$3, AD74*G74*I74*L74*N74*P74,"None"))</f>
        <v/>
      </c>
      <c r="AH74" s="30">
        <f t="shared" si="4"/>
        <v>0</v>
      </c>
      <c r="AI74" s="124" t="str">
        <f t="shared" si="5"/>
        <v/>
      </c>
      <c r="AJ74" s="124" t="str">
        <f t="shared" si="6"/>
        <v/>
      </c>
      <c r="AL74" s="124">
        <v>65</v>
      </c>
      <c r="AN74" s="124" t="str">
        <f t="array" ref="AN74">IFERROR(INDEX($AL$10:$AL$258, MATCH(0, IF(TRUE=$AI$10:$AI$258, COUNTIF($AN$9:$AN73, $AL$10:$AL$258), ""), 0)),"")</f>
        <v/>
      </c>
      <c r="AO74" s="124" t="str">
        <f t="array" ref="AO74">IFERROR(INDEX($AL$10:$AL$258, MATCH(0, IF(TRUE=$AJ$10:$AJ$258, COUNTIF($AO$9:$AO73, $AL$10:$AL$258), ""), 0)),"")</f>
        <v/>
      </c>
      <c r="AQ74" s="30" t="str">
        <f>IFERROR(INDEX('G-7 WaterC'' Data'!$AZ$3:$AZ$7,MATCH(D74,'G-7 WaterC'' Data'!$AY$3:$AY$7,0)),"")</f>
        <v/>
      </c>
      <c r="AR74" s="30" t="str">
        <f>IFERROR(INDEX('G-7 WaterC'' Data'!AZ74:AZ78,MATCH(D74,'G-7 WaterC'' Data'!$AY$10:$AY$14,0)),"")</f>
        <v/>
      </c>
    </row>
    <row r="75" spans="3:44" ht="15">
      <c r="C75" s="110">
        <v>66</v>
      </c>
      <c r="D75" s="338"/>
      <c r="E75" s="139"/>
      <c r="F75" s="362" t="str">
        <f>IF(D75="","",VLOOKUP(D75,'G-7 WaterC'' Data'!$B$2:$G$8,2,FALSE))</f>
        <v/>
      </c>
      <c r="G75" s="363" t="str">
        <f>IFERROR(VLOOKUP(F75,'G-7 WaterC'' Data'!$C$4:$D$8,2,FALSE),"")</f>
        <v/>
      </c>
      <c r="H75" s="114"/>
      <c r="I75" s="363" t="str">
        <f>IFERROR(INDEX('G-7 WaterC'' Data'!$H$4:$L$8,MATCH(D75,'G-7 WaterC'' Data'!$B$4:$B$8,0),MATCH(H75,'G-7 WaterC'' Data'!$H$3:$L$3,0)),"")</f>
        <v/>
      </c>
      <c r="J75" s="320"/>
      <c r="K75" s="398" t="str">
        <f>IF(J75="","",IF(VLOOKUP(J75,'G-7 WaterC'' Data'!$AK$4:$AM$6,2,FALSE)=0,"Spatial Data Missing ⚠",VLOOKUP(J75,'G-7 WaterC'' Data'!$AK$4:$AM$6,2,FALSE)))</f>
        <v/>
      </c>
      <c r="L75" s="368" t="str">
        <f>IF(J75="","",IF(VLOOKUP(J75,'G-7 WaterC'' Data'!$AK$4:$AM$9,3,FALSE)=0,"Spatial Data Missing ⚠",VLOOKUP(J75,'G-7 WaterC'' Data'!$AK$4:$AM$6,3,FALSE)))</f>
        <v/>
      </c>
      <c r="M75" s="54"/>
      <c r="N75" s="363" t="str">
        <f>IF(M75="","",IF(VLOOKUP(M75,'G-7 WaterC'' Data'!$AA$4:$AB$7,2,FALSE)=0,"Spatial Data Missing ⚠",VLOOKUP(M75,'G-7 WaterC'' Data'!$AA$4:$AB$7,2,FALSE)))</f>
        <v/>
      </c>
      <c r="O75" s="60"/>
      <c r="P75" s="363" t="str">
        <f>IF(O75="","",IF(VLOOKUP(O75,'G-7 WaterC'' Data'!$AD$4:$AE$14,2,FALSE)=0,"Spatial Data Missing ⚠",VLOOKUP(O75,'G-7 WaterC'' Data'!$AD$4:$AE$14,2,FALSE)))</f>
        <v/>
      </c>
      <c r="Q75" s="369" t="str">
        <f>IF(D75="","",VLOOKUP(D75,'G-7 WaterC'' Data'!$B$2:$G$8,6,FALSE))</f>
        <v/>
      </c>
      <c r="R75" s="376" t="str">
        <f>IFERROR(IF(D75="","",IF(AND(Q75='G-1 All Habitats'!$X$3,U75&gt;0),V75+W75,IF(AND(Q75='G-1 All Habitats'!$X$3,T75&gt;0),V75+W75,IF(AND(Q75='G-1 All Habitats'!$X$3,AD75&gt;0),"Any Loss Unacceptable ⚠",IF(AND(Q75='G-1 All Habitats'!$X$3,AE75&gt;0),"Any Loss Unacceptable ⚠", E75*G75*I75*L75*N75*P75 ))))),"Check Data ▲")</f>
        <v/>
      </c>
      <c r="S75" s="32"/>
      <c r="T75" s="114"/>
      <c r="U75" s="125"/>
      <c r="V75" s="374" t="str">
        <f t="shared" ref="V75:V138" si="7">IFERROR(IF(T75&gt;E75,"Error in Lengths ▲",T75*G75*I75*L75*N75*P75),"")</f>
        <v/>
      </c>
      <c r="W75" s="374" t="str">
        <f t="shared" ref="W75:W138" si="8">IFERROR(IF(D75="","",U75*G75*I75*L75*N75*P75),"")</f>
        <v/>
      </c>
      <c r="X75" s="374" t="str">
        <f t="shared" ref="X75:X138" si="9">IFERROR(IF(D75="","", IF(AND(F75="V.High",Z75="Yes"), "Unacceptable Loss ⚠", IF(E75&gt;(T75+U75),E75-T75-U75,0))),"")</f>
        <v/>
      </c>
      <c r="Y75" s="670" t="str">
        <f t="shared" ref="Y75:Y138" si="10">IFERROR(IF(E75="","",IF((V75+W75)&gt;R75,0, IF(AND(Z75="Yes", D75="Priority habitat"), "Alternative compensation agreed ✓", IF(AND(D75="Priority habitat", U75+T75&lt;&gt;E75),"Any loss unacceptable ▲", R75-V75-W75)))),"Check Data ⚠")</f>
        <v/>
      </c>
      <c r="Z75" s="706"/>
      <c r="AA75" s="704"/>
      <c r="AB75" s="120"/>
      <c r="AC75" s="120"/>
      <c r="AD75" s="57" t="str">
        <f>IF(Q75="","",IF(Q75='G-1 All Habitats'!$X$3,E75-T75-U75,"None"))</f>
        <v/>
      </c>
      <c r="AE75" s="58" t="str">
        <f>IF(Q75="","", IF(Q75='G-1 All Habitats'!$X$3, AD75*G75*I75*L75*N75*P75,"None"))</f>
        <v/>
      </c>
      <c r="AH75" s="30">
        <f t="shared" ref="AH75:AH138" si="11">IFERROR(IF(T75+U75&gt;E75,1,0),"")</f>
        <v>0</v>
      </c>
      <c r="AI75" s="124" t="str">
        <f t="shared" ref="AI75:AI138" si="12">IF(D75="","",IF(T75&gt;0,TRUE,FALSE))</f>
        <v/>
      </c>
      <c r="AJ75" s="124" t="str">
        <f t="shared" ref="AJ75:AJ138" si="13">IF(D75="","",IF(U75&gt;0,TRUE,FALSE))</f>
        <v/>
      </c>
      <c r="AL75" s="124">
        <v>66</v>
      </c>
      <c r="AN75" s="124" t="str">
        <f t="array" ref="AN75">IFERROR(INDEX($AL$10:$AL$258, MATCH(0, IF(TRUE=$AI$10:$AI$258, COUNTIF($AN$9:$AN74, $AL$10:$AL$258), ""), 0)),"")</f>
        <v/>
      </c>
      <c r="AO75" s="124" t="str">
        <f t="array" ref="AO75">IFERROR(INDEX($AL$10:$AL$258, MATCH(0, IF(TRUE=$AJ$10:$AJ$258, COUNTIF($AO$9:$AO74, $AL$10:$AL$258), ""), 0)),"")</f>
        <v/>
      </c>
      <c r="AQ75" s="30" t="str">
        <f>IFERROR(INDEX('G-7 WaterC'' Data'!$AZ$3:$AZ$7,MATCH(D75,'G-7 WaterC'' Data'!$AY$3:$AY$7,0)),"")</f>
        <v/>
      </c>
      <c r="AR75" s="30" t="str">
        <f>IFERROR(INDEX('G-7 WaterC'' Data'!AZ75:AZ79,MATCH(D75,'G-7 WaterC'' Data'!$AY$10:$AY$14,0)),"")</f>
        <v/>
      </c>
    </row>
    <row r="76" spans="3:44" ht="15">
      <c r="C76" s="110">
        <v>67</v>
      </c>
      <c r="D76" s="338"/>
      <c r="E76" s="139"/>
      <c r="F76" s="362" t="str">
        <f>IF(D76="","",VLOOKUP(D76,'G-7 WaterC'' Data'!$B$2:$G$8,2,FALSE))</f>
        <v/>
      </c>
      <c r="G76" s="363" t="str">
        <f>IFERROR(VLOOKUP(F76,'G-7 WaterC'' Data'!$C$4:$D$8,2,FALSE),"")</f>
        <v/>
      </c>
      <c r="H76" s="114"/>
      <c r="I76" s="363" t="str">
        <f>IFERROR(INDEX('G-7 WaterC'' Data'!$H$4:$L$8,MATCH(D76,'G-7 WaterC'' Data'!$B$4:$B$8,0),MATCH(H76,'G-7 WaterC'' Data'!$H$3:$L$3,0)),"")</f>
        <v/>
      </c>
      <c r="J76" s="320"/>
      <c r="K76" s="398" t="str">
        <f>IF(J76="","",IF(VLOOKUP(J76,'G-7 WaterC'' Data'!$AK$4:$AM$6,2,FALSE)=0,"Spatial Data Missing ⚠",VLOOKUP(J76,'G-7 WaterC'' Data'!$AK$4:$AM$6,2,FALSE)))</f>
        <v/>
      </c>
      <c r="L76" s="368" t="str">
        <f>IF(J76="","",IF(VLOOKUP(J76,'G-7 WaterC'' Data'!$AK$4:$AM$9,3,FALSE)=0,"Spatial Data Missing ⚠",VLOOKUP(J76,'G-7 WaterC'' Data'!$AK$4:$AM$6,3,FALSE)))</f>
        <v/>
      </c>
      <c r="M76" s="54"/>
      <c r="N76" s="363" t="str">
        <f>IF(M76="","",IF(VLOOKUP(M76,'G-7 WaterC'' Data'!$AA$4:$AB$7,2,FALSE)=0,"Spatial Data Missing ⚠",VLOOKUP(M76,'G-7 WaterC'' Data'!$AA$4:$AB$7,2,FALSE)))</f>
        <v/>
      </c>
      <c r="O76" s="60"/>
      <c r="P76" s="363" t="str">
        <f>IF(O76="","",IF(VLOOKUP(O76,'G-7 WaterC'' Data'!$AD$4:$AE$14,2,FALSE)=0,"Spatial Data Missing ⚠",VLOOKUP(O76,'G-7 WaterC'' Data'!$AD$4:$AE$14,2,FALSE)))</f>
        <v/>
      </c>
      <c r="Q76" s="369" t="str">
        <f>IF(D76="","",VLOOKUP(D76,'G-7 WaterC'' Data'!$B$2:$G$8,6,FALSE))</f>
        <v/>
      </c>
      <c r="R76" s="376" t="str">
        <f>IFERROR(IF(D76="","",IF(AND(Q76='G-1 All Habitats'!$X$3,U76&gt;0),V76+W76,IF(AND(Q76='G-1 All Habitats'!$X$3,T76&gt;0),V76+W76,IF(AND(Q76='G-1 All Habitats'!$X$3,AD76&gt;0),"Any Loss Unacceptable ⚠",IF(AND(Q76='G-1 All Habitats'!$X$3,AE76&gt;0),"Any Loss Unacceptable ⚠", E76*G76*I76*L76*N76*P76 ))))),"Check Data ▲")</f>
        <v/>
      </c>
      <c r="S76" s="32"/>
      <c r="T76" s="114"/>
      <c r="U76" s="125"/>
      <c r="V76" s="374" t="str">
        <f t="shared" si="7"/>
        <v/>
      </c>
      <c r="W76" s="374" t="str">
        <f t="shared" si="8"/>
        <v/>
      </c>
      <c r="X76" s="374" t="str">
        <f t="shared" si="9"/>
        <v/>
      </c>
      <c r="Y76" s="670" t="str">
        <f t="shared" si="10"/>
        <v/>
      </c>
      <c r="Z76" s="706"/>
      <c r="AA76" s="704"/>
      <c r="AB76" s="120"/>
      <c r="AC76" s="120"/>
      <c r="AD76" s="57" t="str">
        <f>IF(Q76="","",IF(Q76='G-1 All Habitats'!$X$3,E76-T76-U76,"None"))</f>
        <v/>
      </c>
      <c r="AE76" s="58" t="str">
        <f>IF(Q76="","", IF(Q76='G-1 All Habitats'!$X$3, AD76*G76*I76*L76*N76*P76,"None"))</f>
        <v/>
      </c>
      <c r="AH76" s="30">
        <f t="shared" si="11"/>
        <v>0</v>
      </c>
      <c r="AI76" s="124" t="str">
        <f t="shared" si="12"/>
        <v/>
      </c>
      <c r="AJ76" s="124" t="str">
        <f t="shared" si="13"/>
        <v/>
      </c>
      <c r="AL76" s="124">
        <v>67</v>
      </c>
      <c r="AN76" s="124" t="str">
        <f t="array" ref="AN76">IFERROR(INDEX($AL$10:$AL$258, MATCH(0, IF(TRUE=$AI$10:$AI$258, COUNTIF($AN$9:$AN75, $AL$10:$AL$258), ""), 0)),"")</f>
        <v/>
      </c>
      <c r="AO76" s="124" t="str">
        <f t="array" ref="AO76">IFERROR(INDEX($AL$10:$AL$258, MATCH(0, IF(TRUE=$AJ$10:$AJ$258, COUNTIF($AO$9:$AO75, $AL$10:$AL$258), ""), 0)),"")</f>
        <v/>
      </c>
      <c r="AQ76" s="30" t="str">
        <f>IFERROR(INDEX('G-7 WaterC'' Data'!$AZ$3:$AZ$7,MATCH(D76,'G-7 WaterC'' Data'!$AY$3:$AY$7,0)),"")</f>
        <v/>
      </c>
      <c r="AR76" s="30" t="str">
        <f>IFERROR(INDEX('G-7 WaterC'' Data'!AZ76:AZ80,MATCH(D76,'G-7 WaterC'' Data'!$AY$10:$AY$14,0)),"")</f>
        <v/>
      </c>
    </row>
    <row r="77" spans="3:44" ht="15">
      <c r="C77" s="110">
        <v>68</v>
      </c>
      <c r="D77" s="338"/>
      <c r="E77" s="139"/>
      <c r="F77" s="362" t="str">
        <f>IF(D77="","",VLOOKUP(D77,'G-7 WaterC'' Data'!$B$2:$G$8,2,FALSE))</f>
        <v/>
      </c>
      <c r="G77" s="363" t="str">
        <f>IFERROR(VLOOKUP(F77,'G-7 WaterC'' Data'!$C$4:$D$8,2,FALSE),"")</f>
        <v/>
      </c>
      <c r="H77" s="114"/>
      <c r="I77" s="363" t="str">
        <f>IFERROR(INDEX('G-7 WaterC'' Data'!$H$4:$L$8,MATCH(D77,'G-7 WaterC'' Data'!$B$4:$B$8,0),MATCH(H77,'G-7 WaterC'' Data'!$H$3:$L$3,0)),"")</f>
        <v/>
      </c>
      <c r="J77" s="320"/>
      <c r="K77" s="398" t="str">
        <f>IF(J77="","",IF(VLOOKUP(J77,'G-7 WaterC'' Data'!$AK$4:$AM$6,2,FALSE)=0,"Spatial Data Missing ⚠",VLOOKUP(J77,'G-7 WaterC'' Data'!$AK$4:$AM$6,2,FALSE)))</f>
        <v/>
      </c>
      <c r="L77" s="368" t="str">
        <f>IF(J77="","",IF(VLOOKUP(J77,'G-7 WaterC'' Data'!$AK$4:$AM$9,3,FALSE)=0,"Spatial Data Missing ⚠",VLOOKUP(J77,'G-7 WaterC'' Data'!$AK$4:$AM$6,3,FALSE)))</f>
        <v/>
      </c>
      <c r="M77" s="54"/>
      <c r="N77" s="363" t="str">
        <f>IF(M77="","",IF(VLOOKUP(M77,'G-7 WaterC'' Data'!$AA$4:$AB$7,2,FALSE)=0,"Spatial Data Missing ⚠",VLOOKUP(M77,'G-7 WaterC'' Data'!$AA$4:$AB$7,2,FALSE)))</f>
        <v/>
      </c>
      <c r="O77" s="60"/>
      <c r="P77" s="363" t="str">
        <f>IF(O77="","",IF(VLOOKUP(O77,'G-7 WaterC'' Data'!$AD$4:$AE$14,2,FALSE)=0,"Spatial Data Missing ⚠",VLOOKUP(O77,'G-7 WaterC'' Data'!$AD$4:$AE$14,2,FALSE)))</f>
        <v/>
      </c>
      <c r="Q77" s="369" t="str">
        <f>IF(D77="","",VLOOKUP(D77,'G-7 WaterC'' Data'!$B$2:$G$8,6,FALSE))</f>
        <v/>
      </c>
      <c r="R77" s="376" t="str">
        <f>IFERROR(IF(D77="","",IF(AND(Q77='G-1 All Habitats'!$X$3,U77&gt;0),V77+W77,IF(AND(Q77='G-1 All Habitats'!$X$3,T77&gt;0),V77+W77,IF(AND(Q77='G-1 All Habitats'!$X$3,AD77&gt;0),"Any Loss Unacceptable ⚠",IF(AND(Q77='G-1 All Habitats'!$X$3,AE77&gt;0),"Any Loss Unacceptable ⚠", E77*G77*I77*L77*N77*P77 ))))),"Check Data ▲")</f>
        <v/>
      </c>
      <c r="S77" s="32"/>
      <c r="T77" s="114"/>
      <c r="U77" s="125"/>
      <c r="V77" s="374" t="str">
        <f t="shared" si="7"/>
        <v/>
      </c>
      <c r="W77" s="374" t="str">
        <f t="shared" si="8"/>
        <v/>
      </c>
      <c r="X77" s="374" t="str">
        <f t="shared" si="9"/>
        <v/>
      </c>
      <c r="Y77" s="670" t="str">
        <f t="shared" si="10"/>
        <v/>
      </c>
      <c r="Z77" s="706"/>
      <c r="AA77" s="704"/>
      <c r="AB77" s="120"/>
      <c r="AC77" s="120"/>
      <c r="AD77" s="57" t="str">
        <f>IF(Q77="","",IF(Q77='G-1 All Habitats'!$X$3,E77-T77-U77,"None"))</f>
        <v/>
      </c>
      <c r="AE77" s="58" t="str">
        <f>IF(Q77="","", IF(Q77='G-1 All Habitats'!$X$3, AD77*G77*I77*L77*N77*P77,"None"))</f>
        <v/>
      </c>
      <c r="AH77" s="30">
        <f t="shared" si="11"/>
        <v>0</v>
      </c>
      <c r="AI77" s="124" t="str">
        <f t="shared" si="12"/>
        <v/>
      </c>
      <c r="AJ77" s="124" t="str">
        <f t="shared" si="13"/>
        <v/>
      </c>
      <c r="AL77" s="124">
        <v>68</v>
      </c>
      <c r="AN77" s="124" t="str">
        <f t="array" ref="AN77">IFERROR(INDEX($AL$10:$AL$258, MATCH(0, IF(TRUE=$AI$10:$AI$258, COUNTIF($AN$9:$AN76, $AL$10:$AL$258), ""), 0)),"")</f>
        <v/>
      </c>
      <c r="AO77" s="124" t="str">
        <f t="array" ref="AO77">IFERROR(INDEX($AL$10:$AL$258, MATCH(0, IF(TRUE=$AJ$10:$AJ$258, COUNTIF($AO$9:$AO76, $AL$10:$AL$258), ""), 0)),"")</f>
        <v/>
      </c>
      <c r="AQ77" s="30" t="str">
        <f>IFERROR(INDEX('G-7 WaterC'' Data'!$AZ$3:$AZ$7,MATCH(D77,'G-7 WaterC'' Data'!$AY$3:$AY$7,0)),"")</f>
        <v/>
      </c>
      <c r="AR77" s="30" t="str">
        <f>IFERROR(INDEX('G-7 WaterC'' Data'!AZ77:AZ81,MATCH(D77,'G-7 WaterC'' Data'!$AY$10:$AY$14,0)),"")</f>
        <v/>
      </c>
    </row>
    <row r="78" spans="3:44" ht="15">
      <c r="C78" s="110">
        <v>69</v>
      </c>
      <c r="D78" s="338"/>
      <c r="E78" s="139"/>
      <c r="F78" s="362" t="str">
        <f>IF(D78="","",VLOOKUP(D78,'G-7 WaterC'' Data'!$B$2:$G$8,2,FALSE))</f>
        <v/>
      </c>
      <c r="G78" s="363" t="str">
        <f>IFERROR(VLOOKUP(F78,'G-7 WaterC'' Data'!$C$4:$D$8,2,FALSE),"")</f>
        <v/>
      </c>
      <c r="H78" s="114"/>
      <c r="I78" s="363" t="str">
        <f>IFERROR(INDEX('G-7 WaterC'' Data'!$H$4:$L$8,MATCH(D78,'G-7 WaterC'' Data'!$B$4:$B$8,0),MATCH(H78,'G-7 WaterC'' Data'!$H$3:$L$3,0)),"")</f>
        <v/>
      </c>
      <c r="J78" s="320"/>
      <c r="K78" s="398" t="str">
        <f>IF(J78="","",IF(VLOOKUP(J78,'G-7 WaterC'' Data'!$AK$4:$AM$6,2,FALSE)=0,"Spatial Data Missing ⚠",VLOOKUP(J78,'G-7 WaterC'' Data'!$AK$4:$AM$6,2,FALSE)))</f>
        <v/>
      </c>
      <c r="L78" s="368" t="str">
        <f>IF(J78="","",IF(VLOOKUP(J78,'G-7 WaterC'' Data'!$AK$4:$AM$9,3,FALSE)=0,"Spatial Data Missing ⚠",VLOOKUP(J78,'G-7 WaterC'' Data'!$AK$4:$AM$6,3,FALSE)))</f>
        <v/>
      </c>
      <c r="M78" s="54"/>
      <c r="N78" s="363" t="str">
        <f>IF(M78="","",IF(VLOOKUP(M78,'G-7 WaterC'' Data'!$AA$4:$AB$7,2,FALSE)=0,"Spatial Data Missing ⚠",VLOOKUP(M78,'G-7 WaterC'' Data'!$AA$4:$AB$7,2,FALSE)))</f>
        <v/>
      </c>
      <c r="O78" s="60"/>
      <c r="P78" s="363" t="str">
        <f>IF(O78="","",IF(VLOOKUP(O78,'G-7 WaterC'' Data'!$AD$4:$AE$14,2,FALSE)=0,"Spatial Data Missing ⚠",VLOOKUP(O78,'G-7 WaterC'' Data'!$AD$4:$AE$14,2,FALSE)))</f>
        <v/>
      </c>
      <c r="Q78" s="369" t="str">
        <f>IF(D78="","",VLOOKUP(D78,'G-7 WaterC'' Data'!$B$2:$G$8,6,FALSE))</f>
        <v/>
      </c>
      <c r="R78" s="376" t="str">
        <f>IFERROR(IF(D78="","",IF(AND(Q78='G-1 All Habitats'!$X$3,U78&gt;0),V78+W78,IF(AND(Q78='G-1 All Habitats'!$X$3,T78&gt;0),V78+W78,IF(AND(Q78='G-1 All Habitats'!$X$3,AD78&gt;0),"Any Loss Unacceptable ⚠",IF(AND(Q78='G-1 All Habitats'!$X$3,AE78&gt;0),"Any Loss Unacceptable ⚠", E78*G78*I78*L78*N78*P78 ))))),"Check Data ▲")</f>
        <v/>
      </c>
      <c r="S78" s="32"/>
      <c r="T78" s="114"/>
      <c r="U78" s="125"/>
      <c r="V78" s="374" t="str">
        <f t="shared" si="7"/>
        <v/>
      </c>
      <c r="W78" s="374" t="str">
        <f t="shared" si="8"/>
        <v/>
      </c>
      <c r="X78" s="374" t="str">
        <f t="shared" si="9"/>
        <v/>
      </c>
      <c r="Y78" s="670" t="str">
        <f t="shared" si="10"/>
        <v/>
      </c>
      <c r="Z78" s="706"/>
      <c r="AA78" s="704"/>
      <c r="AB78" s="120"/>
      <c r="AC78" s="120"/>
      <c r="AD78" s="57" t="str">
        <f>IF(Q78="","",IF(Q78='G-1 All Habitats'!$X$3,E78-T78-U78,"None"))</f>
        <v/>
      </c>
      <c r="AE78" s="58" t="str">
        <f>IF(Q78="","", IF(Q78='G-1 All Habitats'!$X$3, AD78*G78*I78*L78*N78*P78,"None"))</f>
        <v/>
      </c>
      <c r="AH78" s="30">
        <f t="shared" si="11"/>
        <v>0</v>
      </c>
      <c r="AI78" s="124" t="str">
        <f t="shared" si="12"/>
        <v/>
      </c>
      <c r="AJ78" s="124" t="str">
        <f t="shared" si="13"/>
        <v/>
      </c>
      <c r="AL78" s="124">
        <v>69</v>
      </c>
      <c r="AN78" s="124" t="str">
        <f t="array" ref="AN78">IFERROR(INDEX($AL$10:$AL$258, MATCH(0, IF(TRUE=$AI$10:$AI$258, COUNTIF($AN$9:$AN77, $AL$10:$AL$258), ""), 0)),"")</f>
        <v/>
      </c>
      <c r="AO78" s="124" t="str">
        <f t="array" ref="AO78">IFERROR(INDEX($AL$10:$AL$258, MATCH(0, IF(TRUE=$AJ$10:$AJ$258, COUNTIF($AO$9:$AO77, $AL$10:$AL$258), ""), 0)),"")</f>
        <v/>
      </c>
      <c r="AQ78" s="30" t="str">
        <f>IFERROR(INDEX('G-7 WaterC'' Data'!$AZ$3:$AZ$7,MATCH(D78,'G-7 WaterC'' Data'!$AY$3:$AY$7,0)),"")</f>
        <v/>
      </c>
      <c r="AR78" s="30" t="str">
        <f>IFERROR(INDEX('G-7 WaterC'' Data'!AZ78:AZ82,MATCH(D78,'G-7 WaterC'' Data'!$AY$10:$AY$14,0)),"")</f>
        <v/>
      </c>
    </row>
    <row r="79" spans="3:44" ht="15">
      <c r="C79" s="110">
        <v>70</v>
      </c>
      <c r="D79" s="338"/>
      <c r="E79" s="139"/>
      <c r="F79" s="362" t="str">
        <f>IF(D79="","",VLOOKUP(D79,'G-7 WaterC'' Data'!$B$2:$G$8,2,FALSE))</f>
        <v/>
      </c>
      <c r="G79" s="363" t="str">
        <f>IFERROR(VLOOKUP(F79,'G-7 WaterC'' Data'!$C$4:$D$8,2,FALSE),"")</f>
        <v/>
      </c>
      <c r="H79" s="114"/>
      <c r="I79" s="363" t="str">
        <f>IFERROR(INDEX('G-7 WaterC'' Data'!$H$4:$L$8,MATCH(D79,'G-7 WaterC'' Data'!$B$4:$B$8,0),MATCH(H79,'G-7 WaterC'' Data'!$H$3:$L$3,0)),"")</f>
        <v/>
      </c>
      <c r="J79" s="320"/>
      <c r="K79" s="398" t="str">
        <f>IF(J79="","",IF(VLOOKUP(J79,'G-7 WaterC'' Data'!$AK$4:$AM$6,2,FALSE)=0,"Spatial Data Missing ⚠",VLOOKUP(J79,'G-7 WaterC'' Data'!$AK$4:$AM$6,2,FALSE)))</f>
        <v/>
      </c>
      <c r="L79" s="368" t="str">
        <f>IF(J79="","",IF(VLOOKUP(J79,'G-7 WaterC'' Data'!$AK$4:$AM$9,3,FALSE)=0,"Spatial Data Missing ⚠",VLOOKUP(J79,'G-7 WaterC'' Data'!$AK$4:$AM$6,3,FALSE)))</f>
        <v/>
      </c>
      <c r="M79" s="54"/>
      <c r="N79" s="363" t="str">
        <f>IF(M79="","",IF(VLOOKUP(M79,'G-7 WaterC'' Data'!$AA$4:$AB$7,2,FALSE)=0,"Spatial Data Missing ⚠",VLOOKUP(M79,'G-7 WaterC'' Data'!$AA$4:$AB$7,2,FALSE)))</f>
        <v/>
      </c>
      <c r="O79" s="60"/>
      <c r="P79" s="363" t="str">
        <f>IF(O79="","",IF(VLOOKUP(O79,'G-7 WaterC'' Data'!$AD$4:$AE$14,2,FALSE)=0,"Spatial Data Missing ⚠",VLOOKUP(O79,'G-7 WaterC'' Data'!$AD$4:$AE$14,2,FALSE)))</f>
        <v/>
      </c>
      <c r="Q79" s="369" t="str">
        <f>IF(D79="","",VLOOKUP(D79,'G-7 WaterC'' Data'!$B$2:$G$8,6,FALSE))</f>
        <v/>
      </c>
      <c r="R79" s="376" t="str">
        <f>IFERROR(IF(D79="","",IF(AND(Q79='G-1 All Habitats'!$X$3,U79&gt;0),V79+W79,IF(AND(Q79='G-1 All Habitats'!$X$3,T79&gt;0),V79+W79,IF(AND(Q79='G-1 All Habitats'!$X$3,AD79&gt;0),"Any Loss Unacceptable ⚠",IF(AND(Q79='G-1 All Habitats'!$X$3,AE79&gt;0),"Any Loss Unacceptable ⚠", E79*G79*I79*L79*N79*P79 ))))),"Check Data ▲")</f>
        <v/>
      </c>
      <c r="S79" s="32"/>
      <c r="T79" s="114"/>
      <c r="U79" s="125"/>
      <c r="V79" s="374" t="str">
        <f t="shared" si="7"/>
        <v/>
      </c>
      <c r="W79" s="374" t="str">
        <f t="shared" si="8"/>
        <v/>
      </c>
      <c r="X79" s="374" t="str">
        <f t="shared" si="9"/>
        <v/>
      </c>
      <c r="Y79" s="670" t="str">
        <f t="shared" si="10"/>
        <v/>
      </c>
      <c r="Z79" s="706"/>
      <c r="AA79" s="704"/>
      <c r="AB79" s="120"/>
      <c r="AC79" s="120"/>
      <c r="AD79" s="57" t="str">
        <f>IF(Q79="","",IF(Q79='G-1 All Habitats'!$X$3,E79-T79-U79,"None"))</f>
        <v/>
      </c>
      <c r="AE79" s="58" t="str">
        <f>IF(Q79="","", IF(Q79='G-1 All Habitats'!$X$3, AD79*G79*I79*L79*N79*P79,"None"))</f>
        <v/>
      </c>
      <c r="AH79" s="30">
        <f t="shared" si="11"/>
        <v>0</v>
      </c>
      <c r="AI79" s="124" t="str">
        <f t="shared" si="12"/>
        <v/>
      </c>
      <c r="AJ79" s="124" t="str">
        <f t="shared" si="13"/>
        <v/>
      </c>
      <c r="AL79" s="124">
        <v>70</v>
      </c>
      <c r="AN79" s="124" t="str">
        <f t="array" ref="AN79">IFERROR(INDEX($AL$10:$AL$258, MATCH(0, IF(TRUE=$AI$10:$AI$258, COUNTIF($AN$9:$AN78, $AL$10:$AL$258), ""), 0)),"")</f>
        <v/>
      </c>
      <c r="AO79" s="124" t="str">
        <f t="array" ref="AO79">IFERROR(INDEX($AL$10:$AL$258, MATCH(0, IF(TRUE=$AJ$10:$AJ$258, COUNTIF($AO$9:$AO78, $AL$10:$AL$258), ""), 0)),"")</f>
        <v/>
      </c>
      <c r="AQ79" s="30" t="str">
        <f>IFERROR(INDEX('G-7 WaterC'' Data'!$AZ$3:$AZ$7,MATCH(D79,'G-7 WaterC'' Data'!$AY$3:$AY$7,0)),"")</f>
        <v/>
      </c>
      <c r="AR79" s="30" t="str">
        <f>IFERROR(INDEX('G-7 WaterC'' Data'!AZ79:AZ83,MATCH(D79,'G-7 WaterC'' Data'!$AY$10:$AY$14,0)),"")</f>
        <v/>
      </c>
    </row>
    <row r="80" spans="3:44" ht="15">
      <c r="C80" s="110">
        <v>71</v>
      </c>
      <c r="D80" s="338"/>
      <c r="E80" s="139"/>
      <c r="F80" s="362" t="str">
        <f>IF(D80="","",VLOOKUP(D80,'G-7 WaterC'' Data'!$B$2:$G$8,2,FALSE))</f>
        <v/>
      </c>
      <c r="G80" s="363" t="str">
        <f>IFERROR(VLOOKUP(F80,'G-7 WaterC'' Data'!$C$4:$D$8,2,FALSE),"")</f>
        <v/>
      </c>
      <c r="H80" s="114"/>
      <c r="I80" s="363" t="str">
        <f>IFERROR(INDEX('G-7 WaterC'' Data'!$H$4:$L$8,MATCH(D80,'G-7 WaterC'' Data'!$B$4:$B$8,0),MATCH(H80,'G-7 WaterC'' Data'!$H$3:$L$3,0)),"")</f>
        <v/>
      </c>
      <c r="J80" s="320"/>
      <c r="K80" s="398" t="str">
        <f>IF(J80="","",IF(VLOOKUP(J80,'G-7 WaterC'' Data'!$AK$4:$AM$6,2,FALSE)=0,"Spatial Data Missing ⚠",VLOOKUP(J80,'G-7 WaterC'' Data'!$AK$4:$AM$6,2,FALSE)))</f>
        <v/>
      </c>
      <c r="L80" s="368" t="str">
        <f>IF(J80="","",IF(VLOOKUP(J80,'G-7 WaterC'' Data'!$AK$4:$AM$9,3,FALSE)=0,"Spatial Data Missing ⚠",VLOOKUP(J80,'G-7 WaterC'' Data'!$AK$4:$AM$6,3,FALSE)))</f>
        <v/>
      </c>
      <c r="M80" s="54"/>
      <c r="N80" s="363" t="str">
        <f>IF(M80="","",IF(VLOOKUP(M80,'G-7 WaterC'' Data'!$AA$4:$AB$7,2,FALSE)=0,"Spatial Data Missing ⚠",VLOOKUP(M80,'G-7 WaterC'' Data'!$AA$4:$AB$7,2,FALSE)))</f>
        <v/>
      </c>
      <c r="O80" s="60"/>
      <c r="P80" s="363" t="str">
        <f>IF(O80="","",IF(VLOOKUP(O80,'G-7 WaterC'' Data'!$AD$4:$AE$14,2,FALSE)=0,"Spatial Data Missing ⚠",VLOOKUP(O80,'G-7 WaterC'' Data'!$AD$4:$AE$14,2,FALSE)))</f>
        <v/>
      </c>
      <c r="Q80" s="369" t="str">
        <f>IF(D80="","",VLOOKUP(D80,'G-7 WaterC'' Data'!$B$2:$G$8,6,FALSE))</f>
        <v/>
      </c>
      <c r="R80" s="376" t="str">
        <f>IFERROR(IF(D80="","",IF(AND(Q80='G-1 All Habitats'!$X$3,U80&gt;0),V80+W80,IF(AND(Q80='G-1 All Habitats'!$X$3,T80&gt;0),V80+W80,IF(AND(Q80='G-1 All Habitats'!$X$3,AD80&gt;0),"Any Loss Unacceptable ⚠",IF(AND(Q80='G-1 All Habitats'!$X$3,AE80&gt;0),"Any Loss Unacceptable ⚠", E80*G80*I80*L80*N80*P80 ))))),"Check Data ▲")</f>
        <v/>
      </c>
      <c r="S80" s="32"/>
      <c r="T80" s="114"/>
      <c r="U80" s="125"/>
      <c r="V80" s="374" t="str">
        <f t="shared" si="7"/>
        <v/>
      </c>
      <c r="W80" s="374" t="str">
        <f t="shared" si="8"/>
        <v/>
      </c>
      <c r="X80" s="374" t="str">
        <f t="shared" si="9"/>
        <v/>
      </c>
      <c r="Y80" s="670" t="str">
        <f t="shared" si="10"/>
        <v/>
      </c>
      <c r="Z80" s="706"/>
      <c r="AA80" s="704"/>
      <c r="AB80" s="120"/>
      <c r="AC80" s="120"/>
      <c r="AD80" s="57" t="str">
        <f>IF(Q80="","",IF(Q80='G-1 All Habitats'!$X$3,E80-T80-U80,"None"))</f>
        <v/>
      </c>
      <c r="AE80" s="58" t="str">
        <f>IF(Q80="","", IF(Q80='G-1 All Habitats'!$X$3, AD80*G80*I80*L80*N80*P80,"None"))</f>
        <v/>
      </c>
      <c r="AH80" s="30">
        <f t="shared" si="11"/>
        <v>0</v>
      </c>
      <c r="AI80" s="124" t="str">
        <f t="shared" si="12"/>
        <v/>
      </c>
      <c r="AJ80" s="124" t="str">
        <f t="shared" si="13"/>
        <v/>
      </c>
      <c r="AL80" s="124">
        <v>71</v>
      </c>
      <c r="AN80" s="124" t="str">
        <f t="array" ref="AN80">IFERROR(INDEX($AL$10:$AL$258, MATCH(0, IF(TRUE=$AI$10:$AI$258, COUNTIF($AN$9:$AN79, $AL$10:$AL$258), ""), 0)),"")</f>
        <v/>
      </c>
      <c r="AO80" s="124" t="str">
        <f t="array" ref="AO80">IFERROR(INDEX($AL$10:$AL$258, MATCH(0, IF(TRUE=$AJ$10:$AJ$258, COUNTIF($AO$9:$AO79, $AL$10:$AL$258), ""), 0)),"")</f>
        <v/>
      </c>
      <c r="AQ80" s="30" t="str">
        <f>IFERROR(INDEX('G-7 WaterC'' Data'!$AZ$3:$AZ$7,MATCH(D80,'G-7 WaterC'' Data'!$AY$3:$AY$7,0)),"")</f>
        <v/>
      </c>
      <c r="AR80" s="30" t="str">
        <f>IFERROR(INDEX('G-7 WaterC'' Data'!AZ80:AZ84,MATCH(D80,'G-7 WaterC'' Data'!$AY$10:$AY$14,0)),"")</f>
        <v/>
      </c>
    </row>
    <row r="81" spans="3:44" ht="15">
      <c r="C81" s="110">
        <v>72</v>
      </c>
      <c r="D81" s="338"/>
      <c r="E81" s="139"/>
      <c r="F81" s="362" t="str">
        <f>IF(D81="","",VLOOKUP(D81,'G-7 WaterC'' Data'!$B$2:$G$8,2,FALSE))</f>
        <v/>
      </c>
      <c r="G81" s="363" t="str">
        <f>IFERROR(VLOOKUP(F81,'G-7 WaterC'' Data'!$C$4:$D$8,2,FALSE),"")</f>
        <v/>
      </c>
      <c r="H81" s="114"/>
      <c r="I81" s="363" t="str">
        <f>IFERROR(INDEX('G-7 WaterC'' Data'!$H$4:$L$8,MATCH(D81,'G-7 WaterC'' Data'!$B$4:$B$8,0),MATCH(H81,'G-7 WaterC'' Data'!$H$3:$L$3,0)),"")</f>
        <v/>
      </c>
      <c r="J81" s="320"/>
      <c r="K81" s="398" t="str">
        <f>IF(J81="","",IF(VLOOKUP(J81,'G-7 WaterC'' Data'!$AK$4:$AM$6,2,FALSE)=0,"Spatial Data Missing ⚠",VLOOKUP(J81,'G-7 WaterC'' Data'!$AK$4:$AM$6,2,FALSE)))</f>
        <v/>
      </c>
      <c r="L81" s="368" t="str">
        <f>IF(J81="","",IF(VLOOKUP(J81,'G-7 WaterC'' Data'!$AK$4:$AM$9,3,FALSE)=0,"Spatial Data Missing ⚠",VLOOKUP(J81,'G-7 WaterC'' Data'!$AK$4:$AM$6,3,FALSE)))</f>
        <v/>
      </c>
      <c r="M81" s="54"/>
      <c r="N81" s="363" t="str">
        <f>IF(M81="","",IF(VLOOKUP(M81,'G-7 WaterC'' Data'!$AA$4:$AB$7,2,FALSE)=0,"Spatial Data Missing ⚠",VLOOKUP(M81,'G-7 WaterC'' Data'!$AA$4:$AB$7,2,FALSE)))</f>
        <v/>
      </c>
      <c r="O81" s="60"/>
      <c r="P81" s="363" t="str">
        <f>IF(O81="","",IF(VLOOKUP(O81,'G-7 WaterC'' Data'!$AD$4:$AE$14,2,FALSE)=0,"Spatial Data Missing ⚠",VLOOKUP(O81,'G-7 WaterC'' Data'!$AD$4:$AE$14,2,FALSE)))</f>
        <v/>
      </c>
      <c r="Q81" s="369" t="str">
        <f>IF(D81="","",VLOOKUP(D81,'G-7 WaterC'' Data'!$B$2:$G$8,6,FALSE))</f>
        <v/>
      </c>
      <c r="R81" s="376" t="str">
        <f>IFERROR(IF(D81="","",IF(AND(Q81='G-1 All Habitats'!$X$3,U81&gt;0),V81+W81,IF(AND(Q81='G-1 All Habitats'!$X$3,T81&gt;0),V81+W81,IF(AND(Q81='G-1 All Habitats'!$X$3,AD81&gt;0),"Any Loss Unacceptable ⚠",IF(AND(Q81='G-1 All Habitats'!$X$3,AE81&gt;0),"Any Loss Unacceptable ⚠", E81*G81*I81*L81*N81*P81 ))))),"Check Data ▲")</f>
        <v/>
      </c>
      <c r="S81" s="32"/>
      <c r="T81" s="114"/>
      <c r="U81" s="125"/>
      <c r="V81" s="374" t="str">
        <f t="shared" si="7"/>
        <v/>
      </c>
      <c r="W81" s="374" t="str">
        <f t="shared" si="8"/>
        <v/>
      </c>
      <c r="X81" s="374" t="str">
        <f t="shared" si="9"/>
        <v/>
      </c>
      <c r="Y81" s="670" t="str">
        <f t="shared" si="10"/>
        <v/>
      </c>
      <c r="Z81" s="706"/>
      <c r="AA81" s="704"/>
      <c r="AB81" s="120"/>
      <c r="AC81" s="120"/>
      <c r="AD81" s="57" t="str">
        <f>IF(Q81="","",IF(Q81='G-1 All Habitats'!$X$3,E81-T81-U81,"None"))</f>
        <v/>
      </c>
      <c r="AE81" s="58" t="str">
        <f>IF(Q81="","", IF(Q81='G-1 All Habitats'!$X$3, AD81*G81*I81*L81*N81*P81,"None"))</f>
        <v/>
      </c>
      <c r="AH81" s="30">
        <f t="shared" si="11"/>
        <v>0</v>
      </c>
      <c r="AI81" s="124" t="str">
        <f t="shared" si="12"/>
        <v/>
      </c>
      <c r="AJ81" s="124" t="str">
        <f t="shared" si="13"/>
        <v/>
      </c>
      <c r="AL81" s="124">
        <v>72</v>
      </c>
      <c r="AN81" s="124" t="str">
        <f t="array" ref="AN81">IFERROR(INDEX($AL$10:$AL$258, MATCH(0, IF(TRUE=$AI$10:$AI$258, COUNTIF($AN$9:$AN80, $AL$10:$AL$258), ""), 0)),"")</f>
        <v/>
      </c>
      <c r="AO81" s="124" t="str">
        <f t="array" ref="AO81">IFERROR(INDEX($AL$10:$AL$258, MATCH(0, IF(TRUE=$AJ$10:$AJ$258, COUNTIF($AO$9:$AO80, $AL$10:$AL$258), ""), 0)),"")</f>
        <v/>
      </c>
      <c r="AQ81" s="30" t="str">
        <f>IFERROR(INDEX('G-7 WaterC'' Data'!$AZ$3:$AZ$7,MATCH(D81,'G-7 WaterC'' Data'!$AY$3:$AY$7,0)),"")</f>
        <v/>
      </c>
      <c r="AR81" s="30" t="str">
        <f>IFERROR(INDEX('G-7 WaterC'' Data'!AZ81:AZ85,MATCH(D81,'G-7 WaterC'' Data'!$AY$10:$AY$14,0)),"")</f>
        <v/>
      </c>
    </row>
    <row r="82" spans="3:44" ht="15">
      <c r="C82" s="110">
        <v>73</v>
      </c>
      <c r="D82" s="338"/>
      <c r="E82" s="139"/>
      <c r="F82" s="362" t="str">
        <f>IF(D82="","",VLOOKUP(D82,'G-7 WaterC'' Data'!$B$2:$G$8,2,FALSE))</f>
        <v/>
      </c>
      <c r="G82" s="363" t="str">
        <f>IFERROR(VLOOKUP(F82,'G-7 WaterC'' Data'!$C$4:$D$8,2,FALSE),"")</f>
        <v/>
      </c>
      <c r="H82" s="114"/>
      <c r="I82" s="363" t="str">
        <f>IFERROR(INDEX('G-7 WaterC'' Data'!$H$4:$L$8,MATCH(D82,'G-7 WaterC'' Data'!$B$4:$B$8,0),MATCH(H82,'G-7 WaterC'' Data'!$H$3:$L$3,0)),"")</f>
        <v/>
      </c>
      <c r="J82" s="320"/>
      <c r="K82" s="398" t="str">
        <f>IF(J82="","",IF(VLOOKUP(J82,'G-7 WaterC'' Data'!$AK$4:$AM$6,2,FALSE)=0,"Spatial Data Missing ⚠",VLOOKUP(J82,'G-7 WaterC'' Data'!$AK$4:$AM$6,2,FALSE)))</f>
        <v/>
      </c>
      <c r="L82" s="368" t="str">
        <f>IF(J82="","",IF(VLOOKUP(J82,'G-7 WaterC'' Data'!$AK$4:$AM$9,3,FALSE)=0,"Spatial Data Missing ⚠",VLOOKUP(J82,'G-7 WaterC'' Data'!$AK$4:$AM$6,3,FALSE)))</f>
        <v/>
      </c>
      <c r="M82" s="54"/>
      <c r="N82" s="363" t="str">
        <f>IF(M82="","",IF(VLOOKUP(M82,'G-7 WaterC'' Data'!$AA$4:$AB$7,2,FALSE)=0,"Spatial Data Missing ⚠",VLOOKUP(M82,'G-7 WaterC'' Data'!$AA$4:$AB$7,2,FALSE)))</f>
        <v/>
      </c>
      <c r="O82" s="60"/>
      <c r="P82" s="363" t="str">
        <f>IF(O82="","",IF(VLOOKUP(O82,'G-7 WaterC'' Data'!$AD$4:$AE$14,2,FALSE)=0,"Spatial Data Missing ⚠",VLOOKUP(O82,'G-7 WaterC'' Data'!$AD$4:$AE$14,2,FALSE)))</f>
        <v/>
      </c>
      <c r="Q82" s="369" t="str">
        <f>IF(D82="","",VLOOKUP(D82,'G-7 WaterC'' Data'!$B$2:$G$8,6,FALSE))</f>
        <v/>
      </c>
      <c r="R82" s="376" t="str">
        <f>IFERROR(IF(D82="","",IF(AND(Q82='G-1 All Habitats'!$X$3,U82&gt;0),V82+W82,IF(AND(Q82='G-1 All Habitats'!$X$3,T82&gt;0),V82+W82,IF(AND(Q82='G-1 All Habitats'!$X$3,AD82&gt;0),"Any Loss Unacceptable ⚠",IF(AND(Q82='G-1 All Habitats'!$X$3,AE82&gt;0),"Any Loss Unacceptable ⚠", E82*G82*I82*L82*N82*P82 ))))),"Check Data ▲")</f>
        <v/>
      </c>
      <c r="S82" s="32"/>
      <c r="T82" s="114"/>
      <c r="U82" s="125"/>
      <c r="V82" s="374" t="str">
        <f t="shared" si="7"/>
        <v/>
      </c>
      <c r="W82" s="374" t="str">
        <f t="shared" si="8"/>
        <v/>
      </c>
      <c r="X82" s="374" t="str">
        <f t="shared" si="9"/>
        <v/>
      </c>
      <c r="Y82" s="670" t="str">
        <f t="shared" si="10"/>
        <v/>
      </c>
      <c r="Z82" s="706"/>
      <c r="AA82" s="704"/>
      <c r="AB82" s="120"/>
      <c r="AC82" s="120"/>
      <c r="AD82" s="57" t="str">
        <f>IF(Q82="","",IF(Q82='G-1 All Habitats'!$X$3,E82-T82-U82,"None"))</f>
        <v/>
      </c>
      <c r="AE82" s="58" t="str">
        <f>IF(Q82="","", IF(Q82='G-1 All Habitats'!$X$3, AD82*G82*I82*L82*N82*P82,"None"))</f>
        <v/>
      </c>
      <c r="AH82" s="30">
        <f t="shared" si="11"/>
        <v>0</v>
      </c>
      <c r="AI82" s="124" t="str">
        <f t="shared" si="12"/>
        <v/>
      </c>
      <c r="AJ82" s="124" t="str">
        <f t="shared" si="13"/>
        <v/>
      </c>
      <c r="AL82" s="124">
        <v>73</v>
      </c>
      <c r="AN82" s="124" t="str">
        <f t="array" ref="AN82">IFERROR(INDEX($AL$10:$AL$258, MATCH(0, IF(TRUE=$AI$10:$AI$258, COUNTIF($AN$9:$AN81, $AL$10:$AL$258), ""), 0)),"")</f>
        <v/>
      </c>
      <c r="AO82" s="124" t="str">
        <f t="array" ref="AO82">IFERROR(INDEX($AL$10:$AL$258, MATCH(0, IF(TRUE=$AJ$10:$AJ$258, COUNTIF($AO$9:$AO81, $AL$10:$AL$258), ""), 0)),"")</f>
        <v/>
      </c>
      <c r="AQ82" s="30" t="str">
        <f>IFERROR(INDEX('G-7 WaterC'' Data'!$AZ$3:$AZ$7,MATCH(D82,'G-7 WaterC'' Data'!$AY$3:$AY$7,0)),"")</f>
        <v/>
      </c>
      <c r="AR82" s="30" t="str">
        <f>IFERROR(INDEX('G-7 WaterC'' Data'!AZ82:AZ86,MATCH(D82,'G-7 WaterC'' Data'!$AY$10:$AY$14,0)),"")</f>
        <v/>
      </c>
    </row>
    <row r="83" spans="3:44" ht="15">
      <c r="C83" s="110">
        <v>74</v>
      </c>
      <c r="D83" s="338"/>
      <c r="E83" s="139"/>
      <c r="F83" s="362" t="str">
        <f>IF(D83="","",VLOOKUP(D83,'G-7 WaterC'' Data'!$B$2:$G$8,2,FALSE))</f>
        <v/>
      </c>
      <c r="G83" s="363" t="str">
        <f>IFERROR(VLOOKUP(F83,'G-7 WaterC'' Data'!$C$4:$D$8,2,FALSE),"")</f>
        <v/>
      </c>
      <c r="H83" s="114"/>
      <c r="I83" s="363" t="str">
        <f>IFERROR(INDEX('G-7 WaterC'' Data'!$H$4:$L$8,MATCH(D83,'G-7 WaterC'' Data'!$B$4:$B$8,0),MATCH(H83,'G-7 WaterC'' Data'!$H$3:$L$3,0)),"")</f>
        <v/>
      </c>
      <c r="J83" s="320"/>
      <c r="K83" s="398" t="str">
        <f>IF(J83="","",IF(VLOOKUP(J83,'G-7 WaterC'' Data'!$AK$4:$AM$6,2,FALSE)=0,"Spatial Data Missing ⚠",VLOOKUP(J83,'G-7 WaterC'' Data'!$AK$4:$AM$6,2,FALSE)))</f>
        <v/>
      </c>
      <c r="L83" s="368" t="str">
        <f>IF(J83="","",IF(VLOOKUP(J83,'G-7 WaterC'' Data'!$AK$4:$AM$9,3,FALSE)=0,"Spatial Data Missing ⚠",VLOOKUP(J83,'G-7 WaterC'' Data'!$AK$4:$AM$6,3,FALSE)))</f>
        <v/>
      </c>
      <c r="M83" s="54"/>
      <c r="N83" s="363" t="str">
        <f>IF(M83="","",IF(VLOOKUP(M83,'G-7 WaterC'' Data'!$AA$4:$AB$7,2,FALSE)=0,"Spatial Data Missing ⚠",VLOOKUP(M83,'G-7 WaterC'' Data'!$AA$4:$AB$7,2,FALSE)))</f>
        <v/>
      </c>
      <c r="O83" s="60"/>
      <c r="P83" s="363" t="str">
        <f>IF(O83="","",IF(VLOOKUP(O83,'G-7 WaterC'' Data'!$AD$4:$AE$14,2,FALSE)=0,"Spatial Data Missing ⚠",VLOOKUP(O83,'G-7 WaterC'' Data'!$AD$4:$AE$14,2,FALSE)))</f>
        <v/>
      </c>
      <c r="Q83" s="369" t="str">
        <f>IF(D83="","",VLOOKUP(D83,'G-7 WaterC'' Data'!$B$2:$G$8,6,FALSE))</f>
        <v/>
      </c>
      <c r="R83" s="376" t="str">
        <f>IFERROR(IF(D83="","",IF(AND(Q83='G-1 All Habitats'!$X$3,U83&gt;0),V83+W83,IF(AND(Q83='G-1 All Habitats'!$X$3,T83&gt;0),V83+W83,IF(AND(Q83='G-1 All Habitats'!$X$3,AD83&gt;0),"Any Loss Unacceptable ⚠",IF(AND(Q83='G-1 All Habitats'!$X$3,AE83&gt;0),"Any Loss Unacceptable ⚠", E83*G83*I83*L83*N83*P83 ))))),"Check Data ▲")</f>
        <v/>
      </c>
      <c r="S83" s="32"/>
      <c r="T83" s="114"/>
      <c r="U83" s="125"/>
      <c r="V83" s="374" t="str">
        <f t="shared" si="7"/>
        <v/>
      </c>
      <c r="W83" s="374" t="str">
        <f t="shared" si="8"/>
        <v/>
      </c>
      <c r="X83" s="374" t="str">
        <f t="shared" si="9"/>
        <v/>
      </c>
      <c r="Y83" s="670" t="str">
        <f t="shared" si="10"/>
        <v/>
      </c>
      <c r="Z83" s="706"/>
      <c r="AA83" s="704"/>
      <c r="AB83" s="120"/>
      <c r="AC83" s="120"/>
      <c r="AD83" s="57" t="str">
        <f>IF(Q83="","",IF(Q83='G-1 All Habitats'!$X$3,E83-T83-U83,"None"))</f>
        <v/>
      </c>
      <c r="AE83" s="58" t="str">
        <f>IF(Q83="","", IF(Q83='G-1 All Habitats'!$X$3, AD83*G83*I83*L83*N83*P83,"None"))</f>
        <v/>
      </c>
      <c r="AH83" s="30">
        <f t="shared" si="11"/>
        <v>0</v>
      </c>
      <c r="AI83" s="124" t="str">
        <f t="shared" si="12"/>
        <v/>
      </c>
      <c r="AJ83" s="124" t="str">
        <f t="shared" si="13"/>
        <v/>
      </c>
      <c r="AL83" s="124">
        <v>74</v>
      </c>
      <c r="AN83" s="124" t="str">
        <f t="array" ref="AN83">IFERROR(INDEX($AL$10:$AL$258, MATCH(0, IF(TRUE=$AI$10:$AI$258, COUNTIF($AN$9:$AN82, $AL$10:$AL$258), ""), 0)),"")</f>
        <v/>
      </c>
      <c r="AO83" s="124" t="str">
        <f t="array" ref="AO83">IFERROR(INDEX($AL$10:$AL$258, MATCH(0, IF(TRUE=$AJ$10:$AJ$258, COUNTIF($AO$9:$AO82, $AL$10:$AL$258), ""), 0)),"")</f>
        <v/>
      </c>
      <c r="AQ83" s="30" t="str">
        <f>IFERROR(INDEX('G-7 WaterC'' Data'!$AZ$3:$AZ$7,MATCH(D83,'G-7 WaterC'' Data'!$AY$3:$AY$7,0)),"")</f>
        <v/>
      </c>
      <c r="AR83" s="30" t="str">
        <f>IFERROR(INDEX('G-7 WaterC'' Data'!AZ83:AZ87,MATCH(D83,'G-7 WaterC'' Data'!$AY$10:$AY$14,0)),"")</f>
        <v/>
      </c>
    </row>
    <row r="84" spans="3:44" ht="15">
      <c r="C84" s="110">
        <v>75</v>
      </c>
      <c r="D84" s="338"/>
      <c r="E84" s="139"/>
      <c r="F84" s="362" t="str">
        <f>IF(D84="","",VLOOKUP(D84,'G-7 WaterC'' Data'!$B$2:$G$8,2,FALSE))</f>
        <v/>
      </c>
      <c r="G84" s="363" t="str">
        <f>IFERROR(VLOOKUP(F84,'G-7 WaterC'' Data'!$C$4:$D$8,2,FALSE),"")</f>
        <v/>
      </c>
      <c r="H84" s="114"/>
      <c r="I84" s="363" t="str">
        <f>IFERROR(INDEX('G-7 WaterC'' Data'!$H$4:$L$8,MATCH(D84,'G-7 WaterC'' Data'!$B$4:$B$8,0),MATCH(H84,'G-7 WaterC'' Data'!$H$3:$L$3,0)),"")</f>
        <v/>
      </c>
      <c r="J84" s="320"/>
      <c r="K84" s="398" t="str">
        <f>IF(J84="","",IF(VLOOKUP(J84,'G-7 WaterC'' Data'!$AK$4:$AM$6,2,FALSE)=0,"Spatial Data Missing ⚠",VLOOKUP(J84,'G-7 WaterC'' Data'!$AK$4:$AM$6,2,FALSE)))</f>
        <v/>
      </c>
      <c r="L84" s="368" t="str">
        <f>IF(J84="","",IF(VLOOKUP(J84,'G-7 WaterC'' Data'!$AK$4:$AM$9,3,FALSE)=0,"Spatial Data Missing ⚠",VLOOKUP(J84,'G-7 WaterC'' Data'!$AK$4:$AM$6,3,FALSE)))</f>
        <v/>
      </c>
      <c r="M84" s="54"/>
      <c r="N84" s="363" t="str">
        <f>IF(M84="","",IF(VLOOKUP(M84,'G-7 WaterC'' Data'!$AA$4:$AB$7,2,FALSE)=0,"Spatial Data Missing ⚠",VLOOKUP(M84,'G-7 WaterC'' Data'!$AA$4:$AB$7,2,FALSE)))</f>
        <v/>
      </c>
      <c r="O84" s="60"/>
      <c r="P84" s="363" t="str">
        <f>IF(O84="","",IF(VLOOKUP(O84,'G-7 WaterC'' Data'!$AD$4:$AE$14,2,FALSE)=0,"Spatial Data Missing ⚠",VLOOKUP(O84,'G-7 WaterC'' Data'!$AD$4:$AE$14,2,FALSE)))</f>
        <v/>
      </c>
      <c r="Q84" s="369" t="str">
        <f>IF(D84="","",VLOOKUP(D84,'G-7 WaterC'' Data'!$B$2:$G$8,6,FALSE))</f>
        <v/>
      </c>
      <c r="R84" s="376" t="str">
        <f>IFERROR(IF(D84="","",IF(AND(Q84='G-1 All Habitats'!$X$3,U84&gt;0),V84+W84,IF(AND(Q84='G-1 All Habitats'!$X$3,T84&gt;0),V84+W84,IF(AND(Q84='G-1 All Habitats'!$X$3,AD84&gt;0),"Any Loss Unacceptable ⚠",IF(AND(Q84='G-1 All Habitats'!$X$3,AE84&gt;0),"Any Loss Unacceptable ⚠", E84*G84*I84*L84*N84*P84 ))))),"Check Data ▲")</f>
        <v/>
      </c>
      <c r="S84" s="32"/>
      <c r="T84" s="114"/>
      <c r="U84" s="125"/>
      <c r="V84" s="374" t="str">
        <f t="shared" si="7"/>
        <v/>
      </c>
      <c r="W84" s="374" t="str">
        <f t="shared" si="8"/>
        <v/>
      </c>
      <c r="X84" s="374" t="str">
        <f t="shared" si="9"/>
        <v/>
      </c>
      <c r="Y84" s="670" t="str">
        <f t="shared" si="10"/>
        <v/>
      </c>
      <c r="Z84" s="706"/>
      <c r="AA84" s="704"/>
      <c r="AB84" s="120"/>
      <c r="AC84" s="120"/>
      <c r="AD84" s="57" t="str">
        <f>IF(Q84="","",IF(Q84='G-1 All Habitats'!$X$3,E84-T84-U84,"None"))</f>
        <v/>
      </c>
      <c r="AE84" s="58" t="str">
        <f>IF(Q84="","", IF(Q84='G-1 All Habitats'!$X$3, AD84*G84*I84*L84*N84*P84,"None"))</f>
        <v/>
      </c>
      <c r="AH84" s="30">
        <f t="shared" si="11"/>
        <v>0</v>
      </c>
      <c r="AI84" s="124" t="str">
        <f t="shared" si="12"/>
        <v/>
      </c>
      <c r="AJ84" s="124" t="str">
        <f t="shared" si="13"/>
        <v/>
      </c>
      <c r="AL84" s="124">
        <v>75</v>
      </c>
      <c r="AN84" s="124" t="str">
        <f t="array" ref="AN84">IFERROR(INDEX($AL$10:$AL$258, MATCH(0, IF(TRUE=$AI$10:$AI$258, COUNTIF($AN$9:$AN83, $AL$10:$AL$258), ""), 0)),"")</f>
        <v/>
      </c>
      <c r="AO84" s="124" t="str">
        <f t="array" ref="AO84">IFERROR(INDEX($AL$10:$AL$258, MATCH(0, IF(TRUE=$AJ$10:$AJ$258, COUNTIF($AO$9:$AO83, $AL$10:$AL$258), ""), 0)),"")</f>
        <v/>
      </c>
      <c r="AQ84" s="30" t="str">
        <f>IFERROR(INDEX('G-7 WaterC'' Data'!$AZ$3:$AZ$7,MATCH(D84,'G-7 WaterC'' Data'!$AY$3:$AY$7,0)),"")</f>
        <v/>
      </c>
      <c r="AR84" s="30" t="str">
        <f>IFERROR(INDEX('G-7 WaterC'' Data'!AZ84:AZ88,MATCH(D84,'G-7 WaterC'' Data'!$AY$10:$AY$14,0)),"")</f>
        <v/>
      </c>
    </row>
    <row r="85" spans="3:44" ht="15">
      <c r="C85" s="110">
        <v>76</v>
      </c>
      <c r="D85" s="338"/>
      <c r="E85" s="139"/>
      <c r="F85" s="362" t="str">
        <f>IF(D85="","",VLOOKUP(D85,'G-7 WaterC'' Data'!$B$2:$G$8,2,FALSE))</f>
        <v/>
      </c>
      <c r="G85" s="363" t="str">
        <f>IFERROR(VLOOKUP(F85,'G-7 WaterC'' Data'!$C$4:$D$8,2,FALSE),"")</f>
        <v/>
      </c>
      <c r="H85" s="114"/>
      <c r="I85" s="363" t="str">
        <f>IFERROR(INDEX('G-7 WaterC'' Data'!$H$4:$L$8,MATCH(D85,'G-7 WaterC'' Data'!$B$4:$B$8,0),MATCH(H85,'G-7 WaterC'' Data'!$H$3:$L$3,0)),"")</f>
        <v/>
      </c>
      <c r="J85" s="320"/>
      <c r="K85" s="398" t="str">
        <f>IF(J85="","",IF(VLOOKUP(J85,'G-7 WaterC'' Data'!$AK$4:$AM$6,2,FALSE)=0,"Spatial Data Missing ⚠",VLOOKUP(J85,'G-7 WaterC'' Data'!$AK$4:$AM$6,2,FALSE)))</f>
        <v/>
      </c>
      <c r="L85" s="368" t="str">
        <f>IF(J85="","",IF(VLOOKUP(J85,'G-7 WaterC'' Data'!$AK$4:$AM$9,3,FALSE)=0,"Spatial Data Missing ⚠",VLOOKUP(J85,'G-7 WaterC'' Data'!$AK$4:$AM$6,3,FALSE)))</f>
        <v/>
      </c>
      <c r="M85" s="54"/>
      <c r="N85" s="363" t="str">
        <f>IF(M85="","",IF(VLOOKUP(M85,'G-7 WaterC'' Data'!$AA$4:$AB$7,2,FALSE)=0,"Spatial Data Missing ⚠",VLOOKUP(M85,'G-7 WaterC'' Data'!$AA$4:$AB$7,2,FALSE)))</f>
        <v/>
      </c>
      <c r="O85" s="60"/>
      <c r="P85" s="363" t="str">
        <f>IF(O85="","",IF(VLOOKUP(O85,'G-7 WaterC'' Data'!$AD$4:$AE$14,2,FALSE)=0,"Spatial Data Missing ⚠",VLOOKUP(O85,'G-7 WaterC'' Data'!$AD$4:$AE$14,2,FALSE)))</f>
        <v/>
      </c>
      <c r="Q85" s="369" t="str">
        <f>IF(D85="","",VLOOKUP(D85,'G-7 WaterC'' Data'!$B$2:$G$8,6,FALSE))</f>
        <v/>
      </c>
      <c r="R85" s="376" t="str">
        <f>IFERROR(IF(D85="","",IF(AND(Q85='G-1 All Habitats'!$X$3,U85&gt;0),V85+W85,IF(AND(Q85='G-1 All Habitats'!$X$3,T85&gt;0),V85+W85,IF(AND(Q85='G-1 All Habitats'!$X$3,AD85&gt;0),"Any Loss Unacceptable ⚠",IF(AND(Q85='G-1 All Habitats'!$X$3,AE85&gt;0),"Any Loss Unacceptable ⚠", E85*G85*I85*L85*N85*P85 ))))),"Check Data ▲")</f>
        <v/>
      </c>
      <c r="S85" s="32"/>
      <c r="T85" s="114"/>
      <c r="U85" s="125"/>
      <c r="V85" s="374" t="str">
        <f t="shared" si="7"/>
        <v/>
      </c>
      <c r="W85" s="374" t="str">
        <f t="shared" si="8"/>
        <v/>
      </c>
      <c r="X85" s="374" t="str">
        <f t="shared" si="9"/>
        <v/>
      </c>
      <c r="Y85" s="670" t="str">
        <f t="shared" si="10"/>
        <v/>
      </c>
      <c r="Z85" s="706"/>
      <c r="AA85" s="704"/>
      <c r="AB85" s="120"/>
      <c r="AC85" s="120"/>
      <c r="AD85" s="57" t="str">
        <f>IF(Q85="","",IF(Q85='G-1 All Habitats'!$X$3,E85-T85-U85,"None"))</f>
        <v/>
      </c>
      <c r="AE85" s="58" t="str">
        <f>IF(Q85="","", IF(Q85='G-1 All Habitats'!$X$3, AD85*G85*I85*L85*N85*P85,"None"))</f>
        <v/>
      </c>
      <c r="AH85" s="30">
        <f t="shared" si="11"/>
        <v>0</v>
      </c>
      <c r="AI85" s="124" t="str">
        <f t="shared" si="12"/>
        <v/>
      </c>
      <c r="AJ85" s="124" t="str">
        <f t="shared" si="13"/>
        <v/>
      </c>
      <c r="AL85" s="124">
        <v>76</v>
      </c>
      <c r="AN85" s="124" t="str">
        <f t="array" ref="AN85">IFERROR(INDEX($AL$10:$AL$258, MATCH(0, IF(TRUE=$AI$10:$AI$258, COUNTIF($AN$9:$AN84, $AL$10:$AL$258), ""), 0)),"")</f>
        <v/>
      </c>
      <c r="AO85" s="124" t="str">
        <f t="array" ref="AO85">IFERROR(INDEX($AL$10:$AL$258, MATCH(0, IF(TRUE=$AJ$10:$AJ$258, COUNTIF($AO$9:$AO84, $AL$10:$AL$258), ""), 0)),"")</f>
        <v/>
      </c>
      <c r="AQ85" s="30" t="str">
        <f>IFERROR(INDEX('G-7 WaterC'' Data'!$AZ$3:$AZ$7,MATCH(D85,'G-7 WaterC'' Data'!$AY$3:$AY$7,0)),"")</f>
        <v/>
      </c>
      <c r="AR85" s="30" t="str">
        <f>IFERROR(INDEX('G-7 WaterC'' Data'!AZ85:AZ89,MATCH(D85,'G-7 WaterC'' Data'!$AY$10:$AY$14,0)),"")</f>
        <v/>
      </c>
    </row>
    <row r="86" spans="3:44" ht="15">
      <c r="C86" s="110">
        <v>77</v>
      </c>
      <c r="D86" s="338"/>
      <c r="E86" s="139"/>
      <c r="F86" s="362" t="str">
        <f>IF(D86="","",VLOOKUP(D86,'G-7 WaterC'' Data'!$B$2:$G$8,2,FALSE))</f>
        <v/>
      </c>
      <c r="G86" s="363" t="str">
        <f>IFERROR(VLOOKUP(F86,'G-7 WaterC'' Data'!$C$4:$D$8,2,FALSE),"")</f>
        <v/>
      </c>
      <c r="H86" s="114"/>
      <c r="I86" s="363" t="str">
        <f>IFERROR(INDEX('G-7 WaterC'' Data'!$H$4:$L$8,MATCH(D86,'G-7 WaterC'' Data'!$B$4:$B$8,0),MATCH(H86,'G-7 WaterC'' Data'!$H$3:$L$3,0)),"")</f>
        <v/>
      </c>
      <c r="J86" s="320"/>
      <c r="K86" s="398" t="str">
        <f>IF(J86="","",IF(VLOOKUP(J86,'G-7 WaterC'' Data'!$AK$4:$AM$6,2,FALSE)=0,"Spatial Data Missing ⚠",VLOOKUP(J86,'G-7 WaterC'' Data'!$AK$4:$AM$6,2,FALSE)))</f>
        <v/>
      </c>
      <c r="L86" s="368" t="str">
        <f>IF(J86="","",IF(VLOOKUP(J86,'G-7 WaterC'' Data'!$AK$4:$AM$9,3,FALSE)=0,"Spatial Data Missing ⚠",VLOOKUP(J86,'G-7 WaterC'' Data'!$AK$4:$AM$6,3,FALSE)))</f>
        <v/>
      </c>
      <c r="M86" s="54"/>
      <c r="N86" s="363" t="str">
        <f>IF(M86="","",IF(VLOOKUP(M86,'G-7 WaterC'' Data'!$AA$4:$AB$7,2,FALSE)=0,"Spatial Data Missing ⚠",VLOOKUP(M86,'G-7 WaterC'' Data'!$AA$4:$AB$7,2,FALSE)))</f>
        <v/>
      </c>
      <c r="O86" s="60"/>
      <c r="P86" s="363" t="str">
        <f>IF(O86="","",IF(VLOOKUP(O86,'G-7 WaterC'' Data'!$AD$4:$AE$14,2,FALSE)=0,"Spatial Data Missing ⚠",VLOOKUP(O86,'G-7 WaterC'' Data'!$AD$4:$AE$14,2,FALSE)))</f>
        <v/>
      </c>
      <c r="Q86" s="369" t="str">
        <f>IF(D86="","",VLOOKUP(D86,'G-7 WaterC'' Data'!$B$2:$G$8,6,FALSE))</f>
        <v/>
      </c>
      <c r="R86" s="376" t="str">
        <f>IFERROR(IF(D86="","",IF(AND(Q86='G-1 All Habitats'!$X$3,U86&gt;0),V86+W86,IF(AND(Q86='G-1 All Habitats'!$X$3,T86&gt;0),V86+W86,IF(AND(Q86='G-1 All Habitats'!$X$3,AD86&gt;0),"Any Loss Unacceptable ⚠",IF(AND(Q86='G-1 All Habitats'!$X$3,AE86&gt;0),"Any Loss Unacceptable ⚠", E86*G86*I86*L86*N86*P86 ))))),"Check Data ▲")</f>
        <v/>
      </c>
      <c r="S86" s="32"/>
      <c r="T86" s="114"/>
      <c r="U86" s="125"/>
      <c r="V86" s="374" t="str">
        <f t="shared" si="7"/>
        <v/>
      </c>
      <c r="W86" s="374" t="str">
        <f t="shared" si="8"/>
        <v/>
      </c>
      <c r="X86" s="374" t="str">
        <f t="shared" si="9"/>
        <v/>
      </c>
      <c r="Y86" s="670" t="str">
        <f t="shared" si="10"/>
        <v/>
      </c>
      <c r="Z86" s="706"/>
      <c r="AA86" s="704"/>
      <c r="AB86" s="120"/>
      <c r="AC86" s="120"/>
      <c r="AD86" s="57" t="str">
        <f>IF(Q86="","",IF(Q86='G-1 All Habitats'!$X$3,E86-T86-U86,"None"))</f>
        <v/>
      </c>
      <c r="AE86" s="58" t="str">
        <f>IF(Q86="","", IF(Q86='G-1 All Habitats'!$X$3, AD86*G86*I86*L86*N86*P86,"None"))</f>
        <v/>
      </c>
      <c r="AH86" s="30">
        <f t="shared" si="11"/>
        <v>0</v>
      </c>
      <c r="AI86" s="124" t="str">
        <f t="shared" si="12"/>
        <v/>
      </c>
      <c r="AJ86" s="124" t="str">
        <f t="shared" si="13"/>
        <v/>
      </c>
      <c r="AL86" s="124">
        <v>77</v>
      </c>
      <c r="AN86" s="124" t="str">
        <f t="array" ref="AN86">IFERROR(INDEX($AL$10:$AL$258, MATCH(0, IF(TRUE=$AI$10:$AI$258, COUNTIF($AN$9:$AN85, $AL$10:$AL$258), ""), 0)),"")</f>
        <v/>
      </c>
      <c r="AO86" s="124" t="str">
        <f t="array" ref="AO86">IFERROR(INDEX($AL$10:$AL$258, MATCH(0, IF(TRUE=$AJ$10:$AJ$258, COUNTIF($AO$9:$AO85, $AL$10:$AL$258), ""), 0)),"")</f>
        <v/>
      </c>
      <c r="AQ86" s="30" t="str">
        <f>IFERROR(INDEX('G-7 WaterC'' Data'!$AZ$3:$AZ$7,MATCH(D86,'G-7 WaterC'' Data'!$AY$3:$AY$7,0)),"")</f>
        <v/>
      </c>
      <c r="AR86" s="30" t="str">
        <f>IFERROR(INDEX('G-7 WaterC'' Data'!AZ86:AZ90,MATCH(D86,'G-7 WaterC'' Data'!$AY$10:$AY$14,0)),"")</f>
        <v/>
      </c>
    </row>
    <row r="87" spans="3:44" ht="15">
      <c r="C87" s="110">
        <v>78</v>
      </c>
      <c r="D87" s="338"/>
      <c r="E87" s="139"/>
      <c r="F87" s="362" t="str">
        <f>IF(D87="","",VLOOKUP(D87,'G-7 WaterC'' Data'!$B$2:$G$8,2,FALSE))</f>
        <v/>
      </c>
      <c r="G87" s="363" t="str">
        <f>IFERROR(VLOOKUP(F87,'G-7 WaterC'' Data'!$C$4:$D$8,2,FALSE),"")</f>
        <v/>
      </c>
      <c r="H87" s="114"/>
      <c r="I87" s="363" t="str">
        <f>IFERROR(INDEX('G-7 WaterC'' Data'!$H$4:$L$8,MATCH(D87,'G-7 WaterC'' Data'!$B$4:$B$8,0),MATCH(H87,'G-7 WaterC'' Data'!$H$3:$L$3,0)),"")</f>
        <v/>
      </c>
      <c r="J87" s="320"/>
      <c r="K87" s="398" t="str">
        <f>IF(J87="","",IF(VLOOKUP(J87,'G-7 WaterC'' Data'!$AK$4:$AM$6,2,FALSE)=0,"Spatial Data Missing ⚠",VLOOKUP(J87,'G-7 WaterC'' Data'!$AK$4:$AM$6,2,FALSE)))</f>
        <v/>
      </c>
      <c r="L87" s="368" t="str">
        <f>IF(J87="","",IF(VLOOKUP(J87,'G-7 WaterC'' Data'!$AK$4:$AM$9,3,FALSE)=0,"Spatial Data Missing ⚠",VLOOKUP(J87,'G-7 WaterC'' Data'!$AK$4:$AM$6,3,FALSE)))</f>
        <v/>
      </c>
      <c r="M87" s="54"/>
      <c r="N87" s="363" t="str">
        <f>IF(M87="","",IF(VLOOKUP(M87,'G-7 WaterC'' Data'!$AA$4:$AB$7,2,FALSE)=0,"Spatial Data Missing ⚠",VLOOKUP(M87,'G-7 WaterC'' Data'!$AA$4:$AB$7,2,FALSE)))</f>
        <v/>
      </c>
      <c r="O87" s="60"/>
      <c r="P87" s="363" t="str">
        <f>IF(O87="","",IF(VLOOKUP(O87,'G-7 WaterC'' Data'!$AD$4:$AE$14,2,FALSE)=0,"Spatial Data Missing ⚠",VLOOKUP(O87,'G-7 WaterC'' Data'!$AD$4:$AE$14,2,FALSE)))</f>
        <v/>
      </c>
      <c r="Q87" s="369" t="str">
        <f>IF(D87="","",VLOOKUP(D87,'G-7 WaterC'' Data'!$B$2:$G$8,6,FALSE))</f>
        <v/>
      </c>
      <c r="R87" s="376" t="str">
        <f>IFERROR(IF(D87="","",IF(AND(Q87='G-1 All Habitats'!$X$3,U87&gt;0),V87+W87,IF(AND(Q87='G-1 All Habitats'!$X$3,T87&gt;0),V87+W87,IF(AND(Q87='G-1 All Habitats'!$X$3,AD87&gt;0),"Any Loss Unacceptable ⚠",IF(AND(Q87='G-1 All Habitats'!$X$3,AE87&gt;0),"Any Loss Unacceptable ⚠", E87*G87*I87*L87*N87*P87 ))))),"Check Data ▲")</f>
        <v/>
      </c>
      <c r="S87" s="32"/>
      <c r="T87" s="114"/>
      <c r="U87" s="125"/>
      <c r="V87" s="374" t="str">
        <f t="shared" si="7"/>
        <v/>
      </c>
      <c r="W87" s="374" t="str">
        <f t="shared" si="8"/>
        <v/>
      </c>
      <c r="X87" s="374" t="str">
        <f t="shared" si="9"/>
        <v/>
      </c>
      <c r="Y87" s="670" t="str">
        <f t="shared" si="10"/>
        <v/>
      </c>
      <c r="Z87" s="706"/>
      <c r="AA87" s="704"/>
      <c r="AB87" s="120"/>
      <c r="AC87" s="120"/>
      <c r="AD87" s="57" t="str">
        <f>IF(Q87="","",IF(Q87='G-1 All Habitats'!$X$3,E87-T87-U87,"None"))</f>
        <v/>
      </c>
      <c r="AE87" s="58" t="str">
        <f>IF(Q87="","", IF(Q87='G-1 All Habitats'!$X$3, AD87*G87*I87*L87*N87*P87,"None"))</f>
        <v/>
      </c>
      <c r="AH87" s="30">
        <f t="shared" si="11"/>
        <v>0</v>
      </c>
      <c r="AI87" s="124" t="str">
        <f t="shared" si="12"/>
        <v/>
      </c>
      <c r="AJ87" s="124" t="str">
        <f t="shared" si="13"/>
        <v/>
      </c>
      <c r="AL87" s="124">
        <v>78</v>
      </c>
      <c r="AN87" s="124" t="str">
        <f t="array" ref="AN87">IFERROR(INDEX($AL$10:$AL$258, MATCH(0, IF(TRUE=$AI$10:$AI$258, COUNTIF($AN$9:$AN86, $AL$10:$AL$258), ""), 0)),"")</f>
        <v/>
      </c>
      <c r="AO87" s="124" t="str">
        <f t="array" ref="AO87">IFERROR(INDEX($AL$10:$AL$258, MATCH(0, IF(TRUE=$AJ$10:$AJ$258, COUNTIF($AO$9:$AO86, $AL$10:$AL$258), ""), 0)),"")</f>
        <v/>
      </c>
      <c r="AQ87" s="30" t="str">
        <f>IFERROR(INDEX('G-7 WaterC'' Data'!$AZ$3:$AZ$7,MATCH(D87,'G-7 WaterC'' Data'!$AY$3:$AY$7,0)),"")</f>
        <v/>
      </c>
      <c r="AR87" s="30" t="str">
        <f>IFERROR(INDEX('G-7 WaterC'' Data'!AZ87:AZ91,MATCH(D87,'G-7 WaterC'' Data'!$AY$10:$AY$14,0)),"")</f>
        <v/>
      </c>
    </row>
    <row r="88" spans="3:44" ht="15">
      <c r="C88" s="110">
        <v>79</v>
      </c>
      <c r="D88" s="338"/>
      <c r="E88" s="139"/>
      <c r="F88" s="362" t="str">
        <f>IF(D88="","",VLOOKUP(D88,'G-7 WaterC'' Data'!$B$2:$G$8,2,FALSE))</f>
        <v/>
      </c>
      <c r="G88" s="363" t="str">
        <f>IFERROR(VLOOKUP(F88,'G-7 WaterC'' Data'!$C$4:$D$8,2,FALSE),"")</f>
        <v/>
      </c>
      <c r="H88" s="114"/>
      <c r="I88" s="363" t="str">
        <f>IFERROR(INDEX('G-7 WaterC'' Data'!$H$4:$L$8,MATCH(D88,'G-7 WaterC'' Data'!$B$4:$B$8,0),MATCH(H88,'G-7 WaterC'' Data'!$H$3:$L$3,0)),"")</f>
        <v/>
      </c>
      <c r="J88" s="320"/>
      <c r="K88" s="398" t="str">
        <f>IF(J88="","",IF(VLOOKUP(J88,'G-7 WaterC'' Data'!$AK$4:$AM$6,2,FALSE)=0,"Spatial Data Missing ⚠",VLOOKUP(J88,'G-7 WaterC'' Data'!$AK$4:$AM$6,2,FALSE)))</f>
        <v/>
      </c>
      <c r="L88" s="368" t="str">
        <f>IF(J88="","",IF(VLOOKUP(J88,'G-7 WaterC'' Data'!$AK$4:$AM$9,3,FALSE)=0,"Spatial Data Missing ⚠",VLOOKUP(J88,'G-7 WaterC'' Data'!$AK$4:$AM$6,3,FALSE)))</f>
        <v/>
      </c>
      <c r="M88" s="54"/>
      <c r="N88" s="363" t="str">
        <f>IF(M88="","",IF(VLOOKUP(M88,'G-7 WaterC'' Data'!$AA$4:$AB$7,2,FALSE)=0,"Spatial Data Missing ⚠",VLOOKUP(M88,'G-7 WaterC'' Data'!$AA$4:$AB$7,2,FALSE)))</f>
        <v/>
      </c>
      <c r="O88" s="60"/>
      <c r="P88" s="363" t="str">
        <f>IF(O88="","",IF(VLOOKUP(O88,'G-7 WaterC'' Data'!$AD$4:$AE$14,2,FALSE)=0,"Spatial Data Missing ⚠",VLOOKUP(O88,'G-7 WaterC'' Data'!$AD$4:$AE$14,2,FALSE)))</f>
        <v/>
      </c>
      <c r="Q88" s="369" t="str">
        <f>IF(D88="","",VLOOKUP(D88,'G-7 WaterC'' Data'!$B$2:$G$8,6,FALSE))</f>
        <v/>
      </c>
      <c r="R88" s="376" t="str">
        <f>IFERROR(IF(D88="","",IF(AND(Q88='G-1 All Habitats'!$X$3,U88&gt;0),V88+W88,IF(AND(Q88='G-1 All Habitats'!$X$3,T88&gt;0),V88+W88,IF(AND(Q88='G-1 All Habitats'!$X$3,AD88&gt;0),"Any Loss Unacceptable ⚠",IF(AND(Q88='G-1 All Habitats'!$X$3,AE88&gt;0),"Any Loss Unacceptable ⚠", E88*G88*I88*L88*N88*P88 ))))),"Check Data ▲")</f>
        <v/>
      </c>
      <c r="S88" s="32"/>
      <c r="T88" s="114"/>
      <c r="U88" s="125"/>
      <c r="V88" s="374" t="str">
        <f t="shared" si="7"/>
        <v/>
      </c>
      <c r="W88" s="374" t="str">
        <f t="shared" si="8"/>
        <v/>
      </c>
      <c r="X88" s="374" t="str">
        <f t="shared" si="9"/>
        <v/>
      </c>
      <c r="Y88" s="670" t="str">
        <f t="shared" si="10"/>
        <v/>
      </c>
      <c r="Z88" s="706"/>
      <c r="AA88" s="704"/>
      <c r="AB88" s="120"/>
      <c r="AC88" s="120"/>
      <c r="AD88" s="57" t="str">
        <f>IF(Q88="","",IF(Q88='G-1 All Habitats'!$X$3,E88-T88-U88,"None"))</f>
        <v/>
      </c>
      <c r="AE88" s="58" t="str">
        <f>IF(Q88="","", IF(Q88='G-1 All Habitats'!$X$3, AD88*G88*I88*L88*N88*P88,"None"))</f>
        <v/>
      </c>
      <c r="AH88" s="30">
        <f t="shared" si="11"/>
        <v>0</v>
      </c>
      <c r="AI88" s="124" t="str">
        <f t="shared" si="12"/>
        <v/>
      </c>
      <c r="AJ88" s="124" t="str">
        <f t="shared" si="13"/>
        <v/>
      </c>
      <c r="AL88" s="124">
        <v>79</v>
      </c>
      <c r="AN88" s="124" t="str">
        <f t="array" ref="AN88">IFERROR(INDEX($AL$10:$AL$258, MATCH(0, IF(TRUE=$AI$10:$AI$258, COUNTIF($AN$9:$AN87, $AL$10:$AL$258), ""), 0)),"")</f>
        <v/>
      </c>
      <c r="AO88" s="124" t="str">
        <f t="array" ref="AO88">IFERROR(INDEX($AL$10:$AL$258, MATCH(0, IF(TRUE=$AJ$10:$AJ$258, COUNTIF($AO$9:$AO87, $AL$10:$AL$258), ""), 0)),"")</f>
        <v/>
      </c>
      <c r="AQ88" s="30" t="str">
        <f>IFERROR(INDEX('G-7 WaterC'' Data'!$AZ$3:$AZ$7,MATCH(D88,'G-7 WaterC'' Data'!$AY$3:$AY$7,0)),"")</f>
        <v/>
      </c>
      <c r="AR88" s="30" t="str">
        <f>IFERROR(INDEX('G-7 WaterC'' Data'!AZ88:AZ92,MATCH(D88,'G-7 WaterC'' Data'!$AY$10:$AY$14,0)),"")</f>
        <v/>
      </c>
    </row>
    <row r="89" spans="3:44" ht="15">
      <c r="C89" s="110">
        <v>80</v>
      </c>
      <c r="D89" s="338"/>
      <c r="E89" s="139"/>
      <c r="F89" s="362" t="str">
        <f>IF(D89="","",VLOOKUP(D89,'G-7 WaterC'' Data'!$B$2:$G$8,2,FALSE))</f>
        <v/>
      </c>
      <c r="G89" s="363" t="str">
        <f>IFERROR(VLOOKUP(F89,'G-7 WaterC'' Data'!$C$4:$D$8,2,FALSE),"")</f>
        <v/>
      </c>
      <c r="H89" s="114"/>
      <c r="I89" s="363" t="str">
        <f>IFERROR(INDEX('G-7 WaterC'' Data'!$H$4:$L$8,MATCH(D89,'G-7 WaterC'' Data'!$B$4:$B$8,0),MATCH(H89,'G-7 WaterC'' Data'!$H$3:$L$3,0)),"")</f>
        <v/>
      </c>
      <c r="J89" s="320"/>
      <c r="K89" s="398" t="str">
        <f>IF(J89="","",IF(VLOOKUP(J89,'G-7 WaterC'' Data'!$AK$4:$AM$6,2,FALSE)=0,"Spatial Data Missing ⚠",VLOOKUP(J89,'G-7 WaterC'' Data'!$AK$4:$AM$6,2,FALSE)))</f>
        <v/>
      </c>
      <c r="L89" s="368" t="str">
        <f>IF(J89="","",IF(VLOOKUP(J89,'G-7 WaterC'' Data'!$AK$4:$AM$9,3,FALSE)=0,"Spatial Data Missing ⚠",VLOOKUP(J89,'G-7 WaterC'' Data'!$AK$4:$AM$6,3,FALSE)))</f>
        <v/>
      </c>
      <c r="M89" s="54"/>
      <c r="N89" s="363" t="str">
        <f>IF(M89="","",IF(VLOOKUP(M89,'G-7 WaterC'' Data'!$AA$4:$AB$7,2,FALSE)=0,"Spatial Data Missing ⚠",VLOOKUP(M89,'G-7 WaterC'' Data'!$AA$4:$AB$7,2,FALSE)))</f>
        <v/>
      </c>
      <c r="O89" s="60"/>
      <c r="P89" s="363" t="str">
        <f>IF(O89="","",IF(VLOOKUP(O89,'G-7 WaterC'' Data'!$AD$4:$AE$14,2,FALSE)=0,"Spatial Data Missing ⚠",VLOOKUP(O89,'G-7 WaterC'' Data'!$AD$4:$AE$14,2,FALSE)))</f>
        <v/>
      </c>
      <c r="Q89" s="369" t="str">
        <f>IF(D89="","",VLOOKUP(D89,'G-7 WaterC'' Data'!$B$2:$G$8,6,FALSE))</f>
        <v/>
      </c>
      <c r="R89" s="376" t="str">
        <f>IFERROR(IF(D89="","",IF(AND(Q89='G-1 All Habitats'!$X$3,U89&gt;0),V89+W89,IF(AND(Q89='G-1 All Habitats'!$X$3,T89&gt;0),V89+W89,IF(AND(Q89='G-1 All Habitats'!$X$3,AD89&gt;0),"Any Loss Unacceptable ⚠",IF(AND(Q89='G-1 All Habitats'!$X$3,AE89&gt;0),"Any Loss Unacceptable ⚠", E89*G89*I89*L89*N89*P89 ))))),"Check Data ▲")</f>
        <v/>
      </c>
      <c r="S89" s="32"/>
      <c r="T89" s="114"/>
      <c r="U89" s="125"/>
      <c r="V89" s="374" t="str">
        <f t="shared" si="7"/>
        <v/>
      </c>
      <c r="W89" s="374" t="str">
        <f t="shared" si="8"/>
        <v/>
      </c>
      <c r="X89" s="374" t="str">
        <f t="shared" si="9"/>
        <v/>
      </c>
      <c r="Y89" s="670" t="str">
        <f t="shared" si="10"/>
        <v/>
      </c>
      <c r="Z89" s="706"/>
      <c r="AA89" s="704"/>
      <c r="AB89" s="120"/>
      <c r="AC89" s="120"/>
      <c r="AD89" s="57" t="str">
        <f>IF(Q89="","",IF(Q89='G-1 All Habitats'!$X$3,E89-T89-U89,"None"))</f>
        <v/>
      </c>
      <c r="AE89" s="58" t="str">
        <f>IF(Q89="","", IF(Q89='G-1 All Habitats'!$X$3, AD89*G89*I89*L89*N89*P89,"None"))</f>
        <v/>
      </c>
      <c r="AH89" s="30">
        <f t="shared" si="11"/>
        <v>0</v>
      </c>
      <c r="AI89" s="124" t="str">
        <f t="shared" si="12"/>
        <v/>
      </c>
      <c r="AJ89" s="124" t="str">
        <f t="shared" si="13"/>
        <v/>
      </c>
      <c r="AL89" s="124">
        <v>80</v>
      </c>
      <c r="AN89" s="124" t="str">
        <f t="array" ref="AN89">IFERROR(INDEX($AL$10:$AL$258, MATCH(0, IF(TRUE=$AI$10:$AI$258, COUNTIF($AN$9:$AN88, $AL$10:$AL$258), ""), 0)),"")</f>
        <v/>
      </c>
      <c r="AO89" s="124" t="str">
        <f t="array" ref="AO89">IFERROR(INDEX($AL$10:$AL$258, MATCH(0, IF(TRUE=$AJ$10:$AJ$258, COUNTIF($AO$9:$AO88, $AL$10:$AL$258), ""), 0)),"")</f>
        <v/>
      </c>
      <c r="AQ89" s="30" t="str">
        <f>IFERROR(INDEX('G-7 WaterC'' Data'!$AZ$3:$AZ$7,MATCH(D89,'G-7 WaterC'' Data'!$AY$3:$AY$7,0)),"")</f>
        <v/>
      </c>
      <c r="AR89" s="30" t="str">
        <f>IFERROR(INDEX('G-7 WaterC'' Data'!AZ89:AZ93,MATCH(D89,'G-7 WaterC'' Data'!$AY$10:$AY$14,0)),"")</f>
        <v/>
      </c>
    </row>
    <row r="90" spans="3:44" ht="15">
      <c r="C90" s="110">
        <v>81</v>
      </c>
      <c r="D90" s="338"/>
      <c r="E90" s="139"/>
      <c r="F90" s="362" t="str">
        <f>IF(D90="","",VLOOKUP(D90,'G-7 WaterC'' Data'!$B$2:$G$8,2,FALSE))</f>
        <v/>
      </c>
      <c r="G90" s="363" t="str">
        <f>IFERROR(VLOOKUP(F90,'G-7 WaterC'' Data'!$C$4:$D$8,2,FALSE),"")</f>
        <v/>
      </c>
      <c r="H90" s="114"/>
      <c r="I90" s="363" t="str">
        <f>IFERROR(INDEX('G-7 WaterC'' Data'!$H$4:$L$8,MATCH(D90,'G-7 WaterC'' Data'!$B$4:$B$8,0),MATCH(H90,'G-7 WaterC'' Data'!$H$3:$L$3,0)),"")</f>
        <v/>
      </c>
      <c r="J90" s="320"/>
      <c r="K90" s="398" t="str">
        <f>IF(J90="","",IF(VLOOKUP(J90,'G-7 WaterC'' Data'!$AK$4:$AM$6,2,FALSE)=0,"Spatial Data Missing ⚠",VLOOKUP(J90,'G-7 WaterC'' Data'!$AK$4:$AM$6,2,FALSE)))</f>
        <v/>
      </c>
      <c r="L90" s="368" t="str">
        <f>IF(J90="","",IF(VLOOKUP(J90,'G-7 WaterC'' Data'!$AK$4:$AM$9,3,FALSE)=0,"Spatial Data Missing ⚠",VLOOKUP(J90,'G-7 WaterC'' Data'!$AK$4:$AM$6,3,FALSE)))</f>
        <v/>
      </c>
      <c r="M90" s="54"/>
      <c r="N90" s="363" t="str">
        <f>IF(M90="","",IF(VLOOKUP(M90,'G-7 WaterC'' Data'!$AA$4:$AB$7,2,FALSE)=0,"Spatial Data Missing ⚠",VLOOKUP(M90,'G-7 WaterC'' Data'!$AA$4:$AB$7,2,FALSE)))</f>
        <v/>
      </c>
      <c r="O90" s="60"/>
      <c r="P90" s="363" t="str">
        <f>IF(O90="","",IF(VLOOKUP(O90,'G-7 WaterC'' Data'!$AD$4:$AE$14,2,FALSE)=0,"Spatial Data Missing ⚠",VLOOKUP(O90,'G-7 WaterC'' Data'!$AD$4:$AE$14,2,FALSE)))</f>
        <v/>
      </c>
      <c r="Q90" s="369" t="str">
        <f>IF(D90="","",VLOOKUP(D90,'G-7 WaterC'' Data'!$B$2:$G$8,6,FALSE))</f>
        <v/>
      </c>
      <c r="R90" s="376" t="str">
        <f>IFERROR(IF(D90="","",IF(AND(Q90='G-1 All Habitats'!$X$3,U90&gt;0),V90+W90,IF(AND(Q90='G-1 All Habitats'!$X$3,T90&gt;0),V90+W90,IF(AND(Q90='G-1 All Habitats'!$X$3,AD90&gt;0),"Any Loss Unacceptable ⚠",IF(AND(Q90='G-1 All Habitats'!$X$3,AE90&gt;0),"Any Loss Unacceptable ⚠", E90*G90*I90*L90*N90*P90 ))))),"Check Data ▲")</f>
        <v/>
      </c>
      <c r="S90" s="32"/>
      <c r="T90" s="114"/>
      <c r="U90" s="125"/>
      <c r="V90" s="374" t="str">
        <f t="shared" si="7"/>
        <v/>
      </c>
      <c r="W90" s="374" t="str">
        <f t="shared" si="8"/>
        <v/>
      </c>
      <c r="X90" s="374" t="str">
        <f t="shared" si="9"/>
        <v/>
      </c>
      <c r="Y90" s="670" t="str">
        <f t="shared" si="10"/>
        <v/>
      </c>
      <c r="Z90" s="706"/>
      <c r="AA90" s="704"/>
      <c r="AB90" s="120"/>
      <c r="AC90" s="120"/>
      <c r="AD90" s="57" t="str">
        <f>IF(Q90="","",IF(Q90='G-1 All Habitats'!$X$3,E90-T90-U90,"None"))</f>
        <v/>
      </c>
      <c r="AE90" s="58" t="str">
        <f>IF(Q90="","", IF(Q90='G-1 All Habitats'!$X$3, AD90*G90*I90*L90*N90*P90,"None"))</f>
        <v/>
      </c>
      <c r="AH90" s="30">
        <f t="shared" si="11"/>
        <v>0</v>
      </c>
      <c r="AI90" s="124" t="str">
        <f t="shared" si="12"/>
        <v/>
      </c>
      <c r="AJ90" s="124" t="str">
        <f t="shared" si="13"/>
        <v/>
      </c>
      <c r="AL90" s="124">
        <v>81</v>
      </c>
      <c r="AN90" s="124" t="str">
        <f t="array" ref="AN90">IFERROR(INDEX($AL$10:$AL$258, MATCH(0, IF(TRUE=$AI$10:$AI$258, COUNTIF($AN$9:$AN89, $AL$10:$AL$258), ""), 0)),"")</f>
        <v/>
      </c>
      <c r="AO90" s="124" t="str">
        <f t="array" ref="AO90">IFERROR(INDEX($AL$10:$AL$258, MATCH(0, IF(TRUE=$AJ$10:$AJ$258, COUNTIF($AO$9:$AO89, $AL$10:$AL$258), ""), 0)),"")</f>
        <v/>
      </c>
      <c r="AQ90" s="30" t="str">
        <f>IFERROR(INDEX('G-7 WaterC'' Data'!$AZ$3:$AZ$7,MATCH(D90,'G-7 WaterC'' Data'!$AY$3:$AY$7,0)),"")</f>
        <v/>
      </c>
      <c r="AR90" s="30" t="str">
        <f>IFERROR(INDEX('G-7 WaterC'' Data'!AZ90:AZ94,MATCH(D90,'G-7 WaterC'' Data'!$AY$10:$AY$14,0)),"")</f>
        <v/>
      </c>
    </row>
    <row r="91" spans="3:44" ht="15">
      <c r="C91" s="110">
        <v>82</v>
      </c>
      <c r="D91" s="338"/>
      <c r="E91" s="139"/>
      <c r="F91" s="362" t="str">
        <f>IF(D91="","",VLOOKUP(D91,'G-7 WaterC'' Data'!$B$2:$G$8,2,FALSE))</f>
        <v/>
      </c>
      <c r="G91" s="363" t="str">
        <f>IFERROR(VLOOKUP(F91,'G-7 WaterC'' Data'!$C$4:$D$8,2,FALSE),"")</f>
        <v/>
      </c>
      <c r="H91" s="114"/>
      <c r="I91" s="363" t="str">
        <f>IFERROR(INDEX('G-7 WaterC'' Data'!$H$4:$L$8,MATCH(D91,'G-7 WaterC'' Data'!$B$4:$B$8,0),MATCH(H91,'G-7 WaterC'' Data'!$H$3:$L$3,0)),"")</f>
        <v/>
      </c>
      <c r="J91" s="320"/>
      <c r="K91" s="398" t="str">
        <f>IF(J91="","",IF(VLOOKUP(J91,'G-7 WaterC'' Data'!$AK$4:$AM$6,2,FALSE)=0,"Spatial Data Missing ⚠",VLOOKUP(J91,'G-7 WaterC'' Data'!$AK$4:$AM$6,2,FALSE)))</f>
        <v/>
      </c>
      <c r="L91" s="368" t="str">
        <f>IF(J91="","",IF(VLOOKUP(J91,'G-7 WaterC'' Data'!$AK$4:$AM$9,3,FALSE)=0,"Spatial Data Missing ⚠",VLOOKUP(J91,'G-7 WaterC'' Data'!$AK$4:$AM$6,3,FALSE)))</f>
        <v/>
      </c>
      <c r="M91" s="54"/>
      <c r="N91" s="363" t="str">
        <f>IF(M91="","",IF(VLOOKUP(M91,'G-7 WaterC'' Data'!$AA$4:$AB$7,2,FALSE)=0,"Spatial Data Missing ⚠",VLOOKUP(M91,'G-7 WaterC'' Data'!$AA$4:$AB$7,2,FALSE)))</f>
        <v/>
      </c>
      <c r="O91" s="60"/>
      <c r="P91" s="363" t="str">
        <f>IF(O91="","",IF(VLOOKUP(O91,'G-7 WaterC'' Data'!$AD$4:$AE$14,2,FALSE)=0,"Spatial Data Missing ⚠",VLOOKUP(O91,'G-7 WaterC'' Data'!$AD$4:$AE$14,2,FALSE)))</f>
        <v/>
      </c>
      <c r="Q91" s="369" t="str">
        <f>IF(D91="","",VLOOKUP(D91,'G-7 WaterC'' Data'!$B$2:$G$8,6,FALSE))</f>
        <v/>
      </c>
      <c r="R91" s="376" t="str">
        <f>IFERROR(IF(D91="","",IF(AND(Q91='G-1 All Habitats'!$X$3,U91&gt;0),V91+W91,IF(AND(Q91='G-1 All Habitats'!$X$3,T91&gt;0),V91+W91,IF(AND(Q91='G-1 All Habitats'!$X$3,AD91&gt;0),"Any Loss Unacceptable ⚠",IF(AND(Q91='G-1 All Habitats'!$X$3,AE91&gt;0),"Any Loss Unacceptable ⚠", E91*G91*I91*L91*N91*P91 ))))),"Check Data ▲")</f>
        <v/>
      </c>
      <c r="S91" s="32"/>
      <c r="T91" s="114"/>
      <c r="U91" s="125"/>
      <c r="V91" s="374" t="str">
        <f t="shared" si="7"/>
        <v/>
      </c>
      <c r="W91" s="374" t="str">
        <f t="shared" si="8"/>
        <v/>
      </c>
      <c r="X91" s="374" t="str">
        <f t="shared" si="9"/>
        <v/>
      </c>
      <c r="Y91" s="670" t="str">
        <f t="shared" si="10"/>
        <v/>
      </c>
      <c r="Z91" s="706"/>
      <c r="AA91" s="704"/>
      <c r="AB91" s="120"/>
      <c r="AC91" s="120"/>
      <c r="AD91" s="57" t="str">
        <f>IF(Q91="","",IF(Q91='G-1 All Habitats'!$X$3,E91-T91-U91,"None"))</f>
        <v/>
      </c>
      <c r="AE91" s="58" t="str">
        <f>IF(Q91="","", IF(Q91='G-1 All Habitats'!$X$3, AD91*G91*I91*L91*N91*P91,"None"))</f>
        <v/>
      </c>
      <c r="AH91" s="30">
        <f t="shared" si="11"/>
        <v>0</v>
      </c>
      <c r="AI91" s="124" t="str">
        <f t="shared" si="12"/>
        <v/>
      </c>
      <c r="AJ91" s="124" t="str">
        <f t="shared" si="13"/>
        <v/>
      </c>
      <c r="AL91" s="124">
        <v>82</v>
      </c>
      <c r="AN91" s="124" t="str">
        <f t="array" ref="AN91">IFERROR(INDEX($AL$10:$AL$258, MATCH(0, IF(TRUE=$AI$10:$AI$258, COUNTIF($AN$9:$AN90, $AL$10:$AL$258), ""), 0)),"")</f>
        <v/>
      </c>
      <c r="AO91" s="124" t="str">
        <f t="array" ref="AO91">IFERROR(INDEX($AL$10:$AL$258, MATCH(0, IF(TRUE=$AJ$10:$AJ$258, COUNTIF($AO$9:$AO90, $AL$10:$AL$258), ""), 0)),"")</f>
        <v/>
      </c>
      <c r="AQ91" s="30" t="str">
        <f>IFERROR(INDEX('G-7 WaterC'' Data'!$AZ$3:$AZ$7,MATCH(D91,'G-7 WaterC'' Data'!$AY$3:$AY$7,0)),"")</f>
        <v/>
      </c>
      <c r="AR91" s="30" t="str">
        <f>IFERROR(INDEX('G-7 WaterC'' Data'!AZ91:AZ95,MATCH(D91,'G-7 WaterC'' Data'!$AY$10:$AY$14,0)),"")</f>
        <v/>
      </c>
    </row>
    <row r="92" spans="3:44" ht="15">
      <c r="C92" s="110">
        <v>83</v>
      </c>
      <c r="D92" s="338"/>
      <c r="E92" s="139"/>
      <c r="F92" s="362" t="str">
        <f>IF(D92="","",VLOOKUP(D92,'G-7 WaterC'' Data'!$B$2:$G$8,2,FALSE))</f>
        <v/>
      </c>
      <c r="G92" s="363" t="str">
        <f>IFERROR(VLOOKUP(F92,'G-7 WaterC'' Data'!$C$4:$D$8,2,FALSE),"")</f>
        <v/>
      </c>
      <c r="H92" s="114"/>
      <c r="I92" s="363" t="str">
        <f>IFERROR(INDEX('G-7 WaterC'' Data'!$H$4:$L$8,MATCH(D92,'G-7 WaterC'' Data'!$B$4:$B$8,0),MATCH(H92,'G-7 WaterC'' Data'!$H$3:$L$3,0)),"")</f>
        <v/>
      </c>
      <c r="J92" s="320"/>
      <c r="K92" s="398" t="str">
        <f>IF(J92="","",IF(VLOOKUP(J92,'G-7 WaterC'' Data'!$AK$4:$AM$6,2,FALSE)=0,"Spatial Data Missing ⚠",VLOOKUP(J92,'G-7 WaterC'' Data'!$AK$4:$AM$6,2,FALSE)))</f>
        <v/>
      </c>
      <c r="L92" s="368" t="str">
        <f>IF(J92="","",IF(VLOOKUP(J92,'G-7 WaterC'' Data'!$AK$4:$AM$9,3,FALSE)=0,"Spatial Data Missing ⚠",VLOOKUP(J92,'G-7 WaterC'' Data'!$AK$4:$AM$6,3,FALSE)))</f>
        <v/>
      </c>
      <c r="M92" s="54"/>
      <c r="N92" s="363" t="str">
        <f>IF(M92="","",IF(VLOOKUP(M92,'G-7 WaterC'' Data'!$AA$4:$AB$7,2,FALSE)=0,"Spatial Data Missing ⚠",VLOOKUP(M92,'G-7 WaterC'' Data'!$AA$4:$AB$7,2,FALSE)))</f>
        <v/>
      </c>
      <c r="O92" s="60"/>
      <c r="P92" s="363" t="str">
        <f>IF(O92="","",IF(VLOOKUP(O92,'G-7 WaterC'' Data'!$AD$4:$AE$14,2,FALSE)=0,"Spatial Data Missing ⚠",VLOOKUP(O92,'G-7 WaterC'' Data'!$AD$4:$AE$14,2,FALSE)))</f>
        <v/>
      </c>
      <c r="Q92" s="369" t="str">
        <f>IF(D92="","",VLOOKUP(D92,'G-7 WaterC'' Data'!$B$2:$G$8,6,FALSE))</f>
        <v/>
      </c>
      <c r="R92" s="376" t="str">
        <f>IFERROR(IF(D92="","",IF(AND(Q92='G-1 All Habitats'!$X$3,U92&gt;0),V92+W92,IF(AND(Q92='G-1 All Habitats'!$X$3,T92&gt;0),V92+W92,IF(AND(Q92='G-1 All Habitats'!$X$3,AD92&gt;0),"Any Loss Unacceptable ⚠",IF(AND(Q92='G-1 All Habitats'!$X$3,AE92&gt;0),"Any Loss Unacceptable ⚠", E92*G92*I92*L92*N92*P92 ))))),"Check Data ▲")</f>
        <v/>
      </c>
      <c r="S92" s="32"/>
      <c r="T92" s="114"/>
      <c r="U92" s="125"/>
      <c r="V92" s="374" t="str">
        <f t="shared" si="7"/>
        <v/>
      </c>
      <c r="W92" s="374" t="str">
        <f t="shared" si="8"/>
        <v/>
      </c>
      <c r="X92" s="374" t="str">
        <f t="shared" si="9"/>
        <v/>
      </c>
      <c r="Y92" s="670" t="str">
        <f t="shared" si="10"/>
        <v/>
      </c>
      <c r="Z92" s="706"/>
      <c r="AA92" s="704"/>
      <c r="AB92" s="120"/>
      <c r="AC92" s="120"/>
      <c r="AD92" s="57" t="str">
        <f>IF(Q92="","",IF(Q92='G-1 All Habitats'!$X$3,E92-T92-U92,"None"))</f>
        <v/>
      </c>
      <c r="AE92" s="58" t="str">
        <f>IF(Q92="","", IF(Q92='G-1 All Habitats'!$X$3, AD92*G92*I92*L92*N92*P92,"None"))</f>
        <v/>
      </c>
      <c r="AH92" s="30">
        <f t="shared" si="11"/>
        <v>0</v>
      </c>
      <c r="AI92" s="124" t="str">
        <f t="shared" si="12"/>
        <v/>
      </c>
      <c r="AJ92" s="124" t="str">
        <f t="shared" si="13"/>
        <v/>
      </c>
      <c r="AL92" s="124">
        <v>83</v>
      </c>
      <c r="AN92" s="124" t="str">
        <f t="array" ref="AN92">IFERROR(INDEX($AL$10:$AL$258, MATCH(0, IF(TRUE=$AI$10:$AI$258, COUNTIF($AN$9:$AN91, $AL$10:$AL$258), ""), 0)),"")</f>
        <v/>
      </c>
      <c r="AO92" s="124" t="str">
        <f t="array" ref="AO92">IFERROR(INDEX($AL$10:$AL$258, MATCH(0, IF(TRUE=$AJ$10:$AJ$258, COUNTIF($AO$9:$AO91, $AL$10:$AL$258), ""), 0)),"")</f>
        <v/>
      </c>
      <c r="AQ92" s="30" t="str">
        <f>IFERROR(INDEX('G-7 WaterC'' Data'!$AZ$3:$AZ$7,MATCH(D92,'G-7 WaterC'' Data'!$AY$3:$AY$7,0)),"")</f>
        <v/>
      </c>
      <c r="AR92" s="30" t="str">
        <f>IFERROR(INDEX('G-7 WaterC'' Data'!AZ92:AZ96,MATCH(D92,'G-7 WaterC'' Data'!$AY$10:$AY$14,0)),"")</f>
        <v/>
      </c>
    </row>
    <row r="93" spans="3:44" ht="15">
      <c r="C93" s="110">
        <v>84</v>
      </c>
      <c r="D93" s="338"/>
      <c r="E93" s="139"/>
      <c r="F93" s="362" t="str">
        <f>IF(D93="","",VLOOKUP(D93,'G-7 WaterC'' Data'!$B$2:$G$8,2,FALSE))</f>
        <v/>
      </c>
      <c r="G93" s="363" t="str">
        <f>IFERROR(VLOOKUP(F93,'G-7 WaterC'' Data'!$C$4:$D$8,2,FALSE),"")</f>
        <v/>
      </c>
      <c r="H93" s="114"/>
      <c r="I93" s="363" t="str">
        <f>IFERROR(INDEX('G-7 WaterC'' Data'!$H$4:$L$8,MATCH(D93,'G-7 WaterC'' Data'!$B$4:$B$8,0),MATCH(H93,'G-7 WaterC'' Data'!$H$3:$L$3,0)),"")</f>
        <v/>
      </c>
      <c r="J93" s="320"/>
      <c r="K93" s="398" t="str">
        <f>IF(J93="","",IF(VLOOKUP(J93,'G-7 WaterC'' Data'!$AK$4:$AM$6,2,FALSE)=0,"Spatial Data Missing ⚠",VLOOKUP(J93,'G-7 WaterC'' Data'!$AK$4:$AM$6,2,FALSE)))</f>
        <v/>
      </c>
      <c r="L93" s="368" t="str">
        <f>IF(J93="","",IF(VLOOKUP(J93,'G-7 WaterC'' Data'!$AK$4:$AM$9,3,FALSE)=0,"Spatial Data Missing ⚠",VLOOKUP(J93,'G-7 WaterC'' Data'!$AK$4:$AM$6,3,FALSE)))</f>
        <v/>
      </c>
      <c r="M93" s="54"/>
      <c r="N93" s="363" t="str">
        <f>IF(M93="","",IF(VLOOKUP(M93,'G-7 WaterC'' Data'!$AA$4:$AB$7,2,FALSE)=0,"Spatial Data Missing ⚠",VLOOKUP(M93,'G-7 WaterC'' Data'!$AA$4:$AB$7,2,FALSE)))</f>
        <v/>
      </c>
      <c r="O93" s="60"/>
      <c r="P93" s="363" t="str">
        <f>IF(O93="","",IF(VLOOKUP(O93,'G-7 WaterC'' Data'!$AD$4:$AE$14,2,FALSE)=0,"Spatial Data Missing ⚠",VLOOKUP(O93,'G-7 WaterC'' Data'!$AD$4:$AE$14,2,FALSE)))</f>
        <v/>
      </c>
      <c r="Q93" s="369" t="str">
        <f>IF(D93="","",VLOOKUP(D93,'G-7 WaterC'' Data'!$B$2:$G$8,6,FALSE))</f>
        <v/>
      </c>
      <c r="R93" s="376" t="str">
        <f>IFERROR(IF(D93="","",IF(AND(Q93='G-1 All Habitats'!$X$3,U93&gt;0),V93+W93,IF(AND(Q93='G-1 All Habitats'!$X$3,T93&gt;0),V93+W93,IF(AND(Q93='G-1 All Habitats'!$X$3,AD93&gt;0),"Any Loss Unacceptable ⚠",IF(AND(Q93='G-1 All Habitats'!$X$3,AE93&gt;0),"Any Loss Unacceptable ⚠", E93*G93*I93*L93*N93*P93 ))))),"Check Data ▲")</f>
        <v/>
      </c>
      <c r="S93" s="32"/>
      <c r="T93" s="114"/>
      <c r="U93" s="125"/>
      <c r="V93" s="374" t="str">
        <f t="shared" si="7"/>
        <v/>
      </c>
      <c r="W93" s="374" t="str">
        <f t="shared" si="8"/>
        <v/>
      </c>
      <c r="X93" s="374" t="str">
        <f t="shared" si="9"/>
        <v/>
      </c>
      <c r="Y93" s="670" t="str">
        <f t="shared" si="10"/>
        <v/>
      </c>
      <c r="Z93" s="706"/>
      <c r="AA93" s="704"/>
      <c r="AB93" s="120"/>
      <c r="AC93" s="120"/>
      <c r="AD93" s="57" t="str">
        <f>IF(Q93="","",IF(Q93='G-1 All Habitats'!$X$3,E93-T93-U93,"None"))</f>
        <v/>
      </c>
      <c r="AE93" s="58" t="str">
        <f>IF(Q93="","", IF(Q93='G-1 All Habitats'!$X$3, AD93*G93*I93*L93*N93*P93,"None"))</f>
        <v/>
      </c>
      <c r="AH93" s="30">
        <f t="shared" si="11"/>
        <v>0</v>
      </c>
      <c r="AI93" s="124" t="str">
        <f t="shared" si="12"/>
        <v/>
      </c>
      <c r="AJ93" s="124" t="str">
        <f t="shared" si="13"/>
        <v/>
      </c>
      <c r="AL93" s="124">
        <v>84</v>
      </c>
      <c r="AN93" s="124" t="str">
        <f t="array" ref="AN93">IFERROR(INDEX($AL$10:$AL$258, MATCH(0, IF(TRUE=$AI$10:$AI$258, COUNTIF($AN$9:$AN92, $AL$10:$AL$258), ""), 0)),"")</f>
        <v/>
      </c>
      <c r="AO93" s="124" t="str">
        <f t="array" ref="AO93">IFERROR(INDEX($AL$10:$AL$258, MATCH(0, IF(TRUE=$AJ$10:$AJ$258, COUNTIF($AO$9:$AO92, $AL$10:$AL$258), ""), 0)),"")</f>
        <v/>
      </c>
      <c r="AQ93" s="30" t="str">
        <f>IFERROR(INDEX('G-7 WaterC'' Data'!$AZ$3:$AZ$7,MATCH(D93,'G-7 WaterC'' Data'!$AY$3:$AY$7,0)),"")</f>
        <v/>
      </c>
      <c r="AR93" s="30" t="str">
        <f>IFERROR(INDEX('G-7 WaterC'' Data'!AZ93:AZ97,MATCH(D93,'G-7 WaterC'' Data'!$AY$10:$AY$14,0)),"")</f>
        <v/>
      </c>
    </row>
    <row r="94" spans="3:44" ht="15">
      <c r="C94" s="110">
        <v>85</v>
      </c>
      <c r="D94" s="338"/>
      <c r="E94" s="139"/>
      <c r="F94" s="362" t="str">
        <f>IF(D94="","",VLOOKUP(D94,'G-7 WaterC'' Data'!$B$2:$G$8,2,FALSE))</f>
        <v/>
      </c>
      <c r="G94" s="363" t="str">
        <f>IFERROR(VLOOKUP(F94,'G-7 WaterC'' Data'!$C$4:$D$8,2,FALSE),"")</f>
        <v/>
      </c>
      <c r="H94" s="114"/>
      <c r="I94" s="363" t="str">
        <f>IFERROR(INDEX('G-7 WaterC'' Data'!$H$4:$L$8,MATCH(D94,'G-7 WaterC'' Data'!$B$4:$B$8,0),MATCH(H94,'G-7 WaterC'' Data'!$H$3:$L$3,0)),"")</f>
        <v/>
      </c>
      <c r="J94" s="320"/>
      <c r="K94" s="398" t="str">
        <f>IF(J94="","",IF(VLOOKUP(J94,'G-7 WaterC'' Data'!$AK$4:$AM$6,2,FALSE)=0,"Spatial Data Missing ⚠",VLOOKUP(J94,'G-7 WaterC'' Data'!$AK$4:$AM$6,2,FALSE)))</f>
        <v/>
      </c>
      <c r="L94" s="368" t="str">
        <f>IF(J94="","",IF(VLOOKUP(J94,'G-7 WaterC'' Data'!$AK$4:$AM$9,3,FALSE)=0,"Spatial Data Missing ⚠",VLOOKUP(J94,'G-7 WaterC'' Data'!$AK$4:$AM$6,3,FALSE)))</f>
        <v/>
      </c>
      <c r="M94" s="54"/>
      <c r="N94" s="363" t="str">
        <f>IF(M94="","",IF(VLOOKUP(M94,'G-7 WaterC'' Data'!$AA$4:$AB$7,2,FALSE)=0,"Spatial Data Missing ⚠",VLOOKUP(M94,'G-7 WaterC'' Data'!$AA$4:$AB$7,2,FALSE)))</f>
        <v/>
      </c>
      <c r="O94" s="60"/>
      <c r="P94" s="363" t="str">
        <f>IF(O94="","",IF(VLOOKUP(O94,'G-7 WaterC'' Data'!$AD$4:$AE$14,2,FALSE)=0,"Spatial Data Missing ⚠",VLOOKUP(O94,'G-7 WaterC'' Data'!$AD$4:$AE$14,2,FALSE)))</f>
        <v/>
      </c>
      <c r="Q94" s="369" t="str">
        <f>IF(D94="","",VLOOKUP(D94,'G-7 WaterC'' Data'!$B$2:$G$8,6,FALSE))</f>
        <v/>
      </c>
      <c r="R94" s="376" t="str">
        <f>IFERROR(IF(D94="","",IF(AND(Q94='G-1 All Habitats'!$X$3,U94&gt;0),V94+W94,IF(AND(Q94='G-1 All Habitats'!$X$3,T94&gt;0),V94+W94,IF(AND(Q94='G-1 All Habitats'!$X$3,AD94&gt;0),"Any Loss Unacceptable ⚠",IF(AND(Q94='G-1 All Habitats'!$X$3,AE94&gt;0),"Any Loss Unacceptable ⚠", E94*G94*I94*L94*N94*P94 ))))),"Check Data ▲")</f>
        <v/>
      </c>
      <c r="S94" s="32"/>
      <c r="T94" s="114"/>
      <c r="U94" s="125"/>
      <c r="V94" s="374" t="str">
        <f t="shared" si="7"/>
        <v/>
      </c>
      <c r="W94" s="374" t="str">
        <f t="shared" si="8"/>
        <v/>
      </c>
      <c r="X94" s="374" t="str">
        <f t="shared" si="9"/>
        <v/>
      </c>
      <c r="Y94" s="670" t="str">
        <f t="shared" si="10"/>
        <v/>
      </c>
      <c r="Z94" s="706"/>
      <c r="AA94" s="704"/>
      <c r="AB94" s="120"/>
      <c r="AC94" s="120"/>
      <c r="AD94" s="57" t="str">
        <f>IF(Q94="","",IF(Q94='G-1 All Habitats'!$X$3,E94-T94-U94,"None"))</f>
        <v/>
      </c>
      <c r="AE94" s="58" t="str">
        <f>IF(Q94="","", IF(Q94='G-1 All Habitats'!$X$3, AD94*G94*I94*L94*N94*P94,"None"))</f>
        <v/>
      </c>
      <c r="AH94" s="30">
        <f t="shared" si="11"/>
        <v>0</v>
      </c>
      <c r="AI94" s="124" t="str">
        <f t="shared" si="12"/>
        <v/>
      </c>
      <c r="AJ94" s="124" t="str">
        <f t="shared" si="13"/>
        <v/>
      </c>
      <c r="AL94" s="124">
        <v>85</v>
      </c>
      <c r="AN94" s="124" t="str">
        <f t="array" ref="AN94">IFERROR(INDEX($AL$10:$AL$258, MATCH(0, IF(TRUE=$AI$10:$AI$258, COUNTIF($AN$9:$AN93, $AL$10:$AL$258), ""), 0)),"")</f>
        <v/>
      </c>
      <c r="AO94" s="124" t="str">
        <f t="array" ref="AO94">IFERROR(INDEX($AL$10:$AL$258, MATCH(0, IF(TRUE=$AJ$10:$AJ$258, COUNTIF($AO$9:$AO93, $AL$10:$AL$258), ""), 0)),"")</f>
        <v/>
      </c>
      <c r="AQ94" s="30" t="str">
        <f>IFERROR(INDEX('G-7 WaterC'' Data'!$AZ$3:$AZ$7,MATCH(D94,'G-7 WaterC'' Data'!$AY$3:$AY$7,0)),"")</f>
        <v/>
      </c>
      <c r="AR94" s="30" t="str">
        <f>IFERROR(INDEX('G-7 WaterC'' Data'!AZ94:AZ98,MATCH(D94,'G-7 WaterC'' Data'!$AY$10:$AY$14,0)),"")</f>
        <v/>
      </c>
    </row>
    <row r="95" spans="3:44" ht="15">
      <c r="C95" s="110">
        <v>86</v>
      </c>
      <c r="D95" s="338"/>
      <c r="E95" s="139"/>
      <c r="F95" s="362" t="str">
        <f>IF(D95="","",VLOOKUP(D95,'G-7 WaterC'' Data'!$B$2:$G$8,2,FALSE))</f>
        <v/>
      </c>
      <c r="G95" s="363" t="str">
        <f>IFERROR(VLOOKUP(F95,'G-7 WaterC'' Data'!$C$4:$D$8,2,FALSE),"")</f>
        <v/>
      </c>
      <c r="H95" s="114"/>
      <c r="I95" s="363" t="str">
        <f>IFERROR(INDEX('G-7 WaterC'' Data'!$H$4:$L$8,MATCH(D95,'G-7 WaterC'' Data'!$B$4:$B$8,0),MATCH(H95,'G-7 WaterC'' Data'!$H$3:$L$3,0)),"")</f>
        <v/>
      </c>
      <c r="J95" s="320"/>
      <c r="K95" s="398" t="str">
        <f>IF(J95="","",IF(VLOOKUP(J95,'G-7 WaterC'' Data'!$AK$4:$AM$6,2,FALSE)=0,"Spatial Data Missing ⚠",VLOOKUP(J95,'G-7 WaterC'' Data'!$AK$4:$AM$6,2,FALSE)))</f>
        <v/>
      </c>
      <c r="L95" s="368" t="str">
        <f>IF(J95="","",IF(VLOOKUP(J95,'G-7 WaterC'' Data'!$AK$4:$AM$9,3,FALSE)=0,"Spatial Data Missing ⚠",VLOOKUP(J95,'G-7 WaterC'' Data'!$AK$4:$AM$6,3,FALSE)))</f>
        <v/>
      </c>
      <c r="M95" s="54"/>
      <c r="N95" s="363" t="str">
        <f>IF(M95="","",IF(VLOOKUP(M95,'G-7 WaterC'' Data'!$AA$4:$AB$7,2,FALSE)=0,"Spatial Data Missing ⚠",VLOOKUP(M95,'G-7 WaterC'' Data'!$AA$4:$AB$7,2,FALSE)))</f>
        <v/>
      </c>
      <c r="O95" s="60"/>
      <c r="P95" s="363" t="str">
        <f>IF(O95="","",IF(VLOOKUP(O95,'G-7 WaterC'' Data'!$AD$4:$AE$14,2,FALSE)=0,"Spatial Data Missing ⚠",VLOOKUP(O95,'G-7 WaterC'' Data'!$AD$4:$AE$14,2,FALSE)))</f>
        <v/>
      </c>
      <c r="Q95" s="369" t="str">
        <f>IF(D95="","",VLOOKUP(D95,'G-7 WaterC'' Data'!$B$2:$G$8,6,FALSE))</f>
        <v/>
      </c>
      <c r="R95" s="376" t="str">
        <f>IFERROR(IF(D95="","",IF(AND(Q95='G-1 All Habitats'!$X$3,U95&gt;0),V95+W95,IF(AND(Q95='G-1 All Habitats'!$X$3,T95&gt;0),V95+W95,IF(AND(Q95='G-1 All Habitats'!$X$3,AD95&gt;0),"Any Loss Unacceptable ⚠",IF(AND(Q95='G-1 All Habitats'!$X$3,AE95&gt;0),"Any Loss Unacceptable ⚠", E95*G95*I95*L95*N95*P95 ))))),"Check Data ▲")</f>
        <v/>
      </c>
      <c r="S95" s="32"/>
      <c r="T95" s="114"/>
      <c r="U95" s="125"/>
      <c r="V95" s="374" t="str">
        <f t="shared" si="7"/>
        <v/>
      </c>
      <c r="W95" s="374" t="str">
        <f t="shared" si="8"/>
        <v/>
      </c>
      <c r="X95" s="374" t="str">
        <f t="shared" si="9"/>
        <v/>
      </c>
      <c r="Y95" s="670" t="str">
        <f t="shared" si="10"/>
        <v/>
      </c>
      <c r="Z95" s="706"/>
      <c r="AA95" s="704"/>
      <c r="AB95" s="120"/>
      <c r="AC95" s="120"/>
      <c r="AD95" s="57" t="str">
        <f>IF(Q95="","",IF(Q95='G-1 All Habitats'!$X$3,E95-T95-U95,"None"))</f>
        <v/>
      </c>
      <c r="AE95" s="58" t="str">
        <f>IF(Q95="","", IF(Q95='G-1 All Habitats'!$X$3, AD95*G95*I95*L95*N95*P95,"None"))</f>
        <v/>
      </c>
      <c r="AH95" s="30">
        <f t="shared" si="11"/>
        <v>0</v>
      </c>
      <c r="AI95" s="124" t="str">
        <f t="shared" si="12"/>
        <v/>
      </c>
      <c r="AJ95" s="124" t="str">
        <f t="shared" si="13"/>
        <v/>
      </c>
      <c r="AL95" s="124">
        <v>86</v>
      </c>
      <c r="AN95" s="124" t="str">
        <f t="array" ref="AN95">IFERROR(INDEX($AL$10:$AL$258, MATCH(0, IF(TRUE=$AI$10:$AI$258, COUNTIF($AN$9:$AN94, $AL$10:$AL$258), ""), 0)),"")</f>
        <v/>
      </c>
      <c r="AO95" s="124" t="str">
        <f t="array" ref="AO95">IFERROR(INDEX($AL$10:$AL$258, MATCH(0, IF(TRUE=$AJ$10:$AJ$258, COUNTIF($AO$9:$AO94, $AL$10:$AL$258), ""), 0)),"")</f>
        <v/>
      </c>
      <c r="AQ95" s="30" t="str">
        <f>IFERROR(INDEX('G-7 WaterC'' Data'!$AZ$3:$AZ$7,MATCH(D95,'G-7 WaterC'' Data'!$AY$3:$AY$7,0)),"")</f>
        <v/>
      </c>
      <c r="AR95" s="30" t="str">
        <f>IFERROR(INDEX('G-7 WaterC'' Data'!AZ95:AZ99,MATCH(D95,'G-7 WaterC'' Data'!$AY$10:$AY$14,0)),"")</f>
        <v/>
      </c>
    </row>
    <row r="96" spans="3:44" ht="15">
      <c r="C96" s="110">
        <v>87</v>
      </c>
      <c r="D96" s="338"/>
      <c r="E96" s="139"/>
      <c r="F96" s="362" t="str">
        <f>IF(D96="","",VLOOKUP(D96,'G-7 WaterC'' Data'!$B$2:$G$8,2,FALSE))</f>
        <v/>
      </c>
      <c r="G96" s="363" t="str">
        <f>IFERROR(VLOOKUP(F96,'G-7 WaterC'' Data'!$C$4:$D$8,2,FALSE),"")</f>
        <v/>
      </c>
      <c r="H96" s="114"/>
      <c r="I96" s="363" t="str">
        <f>IFERROR(INDEX('G-7 WaterC'' Data'!$H$4:$L$8,MATCH(D96,'G-7 WaterC'' Data'!$B$4:$B$8,0),MATCH(H96,'G-7 WaterC'' Data'!$H$3:$L$3,0)),"")</f>
        <v/>
      </c>
      <c r="J96" s="320"/>
      <c r="K96" s="398" t="str">
        <f>IF(J96="","",IF(VLOOKUP(J96,'G-7 WaterC'' Data'!$AK$4:$AM$6,2,FALSE)=0,"Spatial Data Missing ⚠",VLOOKUP(J96,'G-7 WaterC'' Data'!$AK$4:$AM$6,2,FALSE)))</f>
        <v/>
      </c>
      <c r="L96" s="368" t="str">
        <f>IF(J96="","",IF(VLOOKUP(J96,'G-7 WaterC'' Data'!$AK$4:$AM$9,3,FALSE)=0,"Spatial Data Missing ⚠",VLOOKUP(J96,'G-7 WaterC'' Data'!$AK$4:$AM$6,3,FALSE)))</f>
        <v/>
      </c>
      <c r="M96" s="54"/>
      <c r="N96" s="363" t="str">
        <f>IF(M96="","",IF(VLOOKUP(M96,'G-7 WaterC'' Data'!$AA$4:$AB$7,2,FALSE)=0,"Spatial Data Missing ⚠",VLOOKUP(M96,'G-7 WaterC'' Data'!$AA$4:$AB$7,2,FALSE)))</f>
        <v/>
      </c>
      <c r="O96" s="60"/>
      <c r="P96" s="363" t="str">
        <f>IF(O96="","",IF(VLOOKUP(O96,'G-7 WaterC'' Data'!$AD$4:$AE$14,2,FALSE)=0,"Spatial Data Missing ⚠",VLOOKUP(O96,'G-7 WaterC'' Data'!$AD$4:$AE$14,2,FALSE)))</f>
        <v/>
      </c>
      <c r="Q96" s="369" t="str">
        <f>IF(D96="","",VLOOKUP(D96,'G-7 WaterC'' Data'!$B$2:$G$8,6,FALSE))</f>
        <v/>
      </c>
      <c r="R96" s="376" t="str">
        <f>IFERROR(IF(D96="","",IF(AND(Q96='G-1 All Habitats'!$X$3,U96&gt;0),V96+W96,IF(AND(Q96='G-1 All Habitats'!$X$3,T96&gt;0),V96+W96,IF(AND(Q96='G-1 All Habitats'!$X$3,AD96&gt;0),"Any Loss Unacceptable ⚠",IF(AND(Q96='G-1 All Habitats'!$X$3,AE96&gt;0),"Any Loss Unacceptable ⚠", E96*G96*I96*L96*N96*P96 ))))),"Check Data ▲")</f>
        <v/>
      </c>
      <c r="S96" s="32"/>
      <c r="T96" s="114"/>
      <c r="U96" s="125"/>
      <c r="V96" s="374" t="str">
        <f t="shared" si="7"/>
        <v/>
      </c>
      <c r="W96" s="374" t="str">
        <f t="shared" si="8"/>
        <v/>
      </c>
      <c r="X96" s="374" t="str">
        <f t="shared" si="9"/>
        <v/>
      </c>
      <c r="Y96" s="670" t="str">
        <f t="shared" si="10"/>
        <v/>
      </c>
      <c r="Z96" s="706"/>
      <c r="AA96" s="704"/>
      <c r="AB96" s="120"/>
      <c r="AC96" s="120"/>
      <c r="AD96" s="57" t="str">
        <f>IF(Q96="","",IF(Q96='G-1 All Habitats'!$X$3,E96-T96-U96,"None"))</f>
        <v/>
      </c>
      <c r="AE96" s="58" t="str">
        <f>IF(Q96="","", IF(Q96='G-1 All Habitats'!$X$3, AD96*G96*I96*L96*N96*P96,"None"))</f>
        <v/>
      </c>
      <c r="AH96" s="30">
        <f t="shared" si="11"/>
        <v>0</v>
      </c>
      <c r="AI96" s="124" t="str">
        <f t="shared" si="12"/>
        <v/>
      </c>
      <c r="AJ96" s="124" t="str">
        <f t="shared" si="13"/>
        <v/>
      </c>
      <c r="AL96" s="124">
        <v>87</v>
      </c>
      <c r="AN96" s="124" t="str">
        <f t="array" ref="AN96">IFERROR(INDEX($AL$10:$AL$258, MATCH(0, IF(TRUE=$AI$10:$AI$258, COUNTIF($AN$9:$AN95, $AL$10:$AL$258), ""), 0)),"")</f>
        <v/>
      </c>
      <c r="AO96" s="124" t="str">
        <f t="array" ref="AO96">IFERROR(INDEX($AL$10:$AL$258, MATCH(0, IF(TRUE=$AJ$10:$AJ$258, COUNTIF($AO$9:$AO95, $AL$10:$AL$258), ""), 0)),"")</f>
        <v/>
      </c>
      <c r="AQ96" s="30" t="str">
        <f>IFERROR(INDEX('G-7 WaterC'' Data'!$AZ$3:$AZ$7,MATCH(D96,'G-7 WaterC'' Data'!$AY$3:$AY$7,0)),"")</f>
        <v/>
      </c>
      <c r="AR96" s="30" t="str">
        <f>IFERROR(INDEX('G-7 WaterC'' Data'!AZ96:AZ100,MATCH(D96,'G-7 WaterC'' Data'!$AY$10:$AY$14,0)),"")</f>
        <v/>
      </c>
    </row>
    <row r="97" spans="3:44" ht="15">
      <c r="C97" s="110">
        <v>88</v>
      </c>
      <c r="D97" s="338"/>
      <c r="E97" s="139"/>
      <c r="F97" s="362" t="str">
        <f>IF(D97="","",VLOOKUP(D97,'G-7 WaterC'' Data'!$B$2:$G$8,2,FALSE))</f>
        <v/>
      </c>
      <c r="G97" s="363" t="str">
        <f>IFERROR(VLOOKUP(F97,'G-7 WaterC'' Data'!$C$4:$D$8,2,FALSE),"")</f>
        <v/>
      </c>
      <c r="H97" s="114"/>
      <c r="I97" s="363" t="str">
        <f>IFERROR(INDEX('G-7 WaterC'' Data'!$H$4:$L$8,MATCH(D97,'G-7 WaterC'' Data'!$B$4:$B$8,0),MATCH(H97,'G-7 WaterC'' Data'!$H$3:$L$3,0)),"")</f>
        <v/>
      </c>
      <c r="J97" s="320"/>
      <c r="K97" s="398" t="str">
        <f>IF(J97="","",IF(VLOOKUP(J97,'G-7 WaterC'' Data'!$AK$4:$AM$6,2,FALSE)=0,"Spatial Data Missing ⚠",VLOOKUP(J97,'G-7 WaterC'' Data'!$AK$4:$AM$6,2,FALSE)))</f>
        <v/>
      </c>
      <c r="L97" s="368" t="str">
        <f>IF(J97="","",IF(VLOOKUP(J97,'G-7 WaterC'' Data'!$AK$4:$AM$9,3,FALSE)=0,"Spatial Data Missing ⚠",VLOOKUP(J97,'G-7 WaterC'' Data'!$AK$4:$AM$6,3,FALSE)))</f>
        <v/>
      </c>
      <c r="M97" s="54"/>
      <c r="N97" s="363" t="str">
        <f>IF(M97="","",IF(VLOOKUP(M97,'G-7 WaterC'' Data'!$AA$4:$AB$7,2,FALSE)=0,"Spatial Data Missing ⚠",VLOOKUP(M97,'G-7 WaterC'' Data'!$AA$4:$AB$7,2,FALSE)))</f>
        <v/>
      </c>
      <c r="O97" s="60"/>
      <c r="P97" s="363" t="str">
        <f>IF(O97="","",IF(VLOOKUP(O97,'G-7 WaterC'' Data'!$AD$4:$AE$14,2,FALSE)=0,"Spatial Data Missing ⚠",VLOOKUP(O97,'G-7 WaterC'' Data'!$AD$4:$AE$14,2,FALSE)))</f>
        <v/>
      </c>
      <c r="Q97" s="369" t="str">
        <f>IF(D97="","",VLOOKUP(D97,'G-7 WaterC'' Data'!$B$2:$G$8,6,FALSE))</f>
        <v/>
      </c>
      <c r="R97" s="376" t="str">
        <f>IFERROR(IF(D97="","",IF(AND(Q97='G-1 All Habitats'!$X$3,U97&gt;0),V97+W97,IF(AND(Q97='G-1 All Habitats'!$X$3,T97&gt;0),V97+W97,IF(AND(Q97='G-1 All Habitats'!$X$3,AD97&gt;0),"Any Loss Unacceptable ⚠",IF(AND(Q97='G-1 All Habitats'!$X$3,AE97&gt;0),"Any Loss Unacceptable ⚠", E97*G97*I97*L97*N97*P97 ))))),"Check Data ▲")</f>
        <v/>
      </c>
      <c r="S97" s="32"/>
      <c r="T97" s="114"/>
      <c r="U97" s="125"/>
      <c r="V97" s="374" t="str">
        <f t="shared" si="7"/>
        <v/>
      </c>
      <c r="W97" s="374" t="str">
        <f t="shared" si="8"/>
        <v/>
      </c>
      <c r="X97" s="374" t="str">
        <f t="shared" si="9"/>
        <v/>
      </c>
      <c r="Y97" s="670" t="str">
        <f t="shared" si="10"/>
        <v/>
      </c>
      <c r="Z97" s="706"/>
      <c r="AA97" s="704"/>
      <c r="AB97" s="120"/>
      <c r="AC97" s="120"/>
      <c r="AD97" s="57" t="str">
        <f>IF(Q97="","",IF(Q97='G-1 All Habitats'!$X$3,E97-T97-U97,"None"))</f>
        <v/>
      </c>
      <c r="AE97" s="58" t="str">
        <f>IF(Q97="","", IF(Q97='G-1 All Habitats'!$X$3, AD97*G97*I97*L97*N97*P97,"None"))</f>
        <v/>
      </c>
      <c r="AH97" s="30">
        <f t="shared" si="11"/>
        <v>0</v>
      </c>
      <c r="AI97" s="124" t="str">
        <f t="shared" si="12"/>
        <v/>
      </c>
      <c r="AJ97" s="124" t="str">
        <f t="shared" si="13"/>
        <v/>
      </c>
      <c r="AL97" s="124">
        <v>88</v>
      </c>
      <c r="AN97" s="124" t="str">
        <f t="array" ref="AN97">IFERROR(INDEX($AL$10:$AL$258, MATCH(0, IF(TRUE=$AI$10:$AI$258, COUNTIF($AN$9:$AN96, $AL$10:$AL$258), ""), 0)),"")</f>
        <v/>
      </c>
      <c r="AO97" s="124" t="str">
        <f t="array" ref="AO97">IFERROR(INDEX($AL$10:$AL$258, MATCH(0, IF(TRUE=$AJ$10:$AJ$258, COUNTIF($AO$9:$AO96, $AL$10:$AL$258), ""), 0)),"")</f>
        <v/>
      </c>
      <c r="AQ97" s="30" t="str">
        <f>IFERROR(INDEX('G-7 WaterC'' Data'!$AZ$3:$AZ$7,MATCH(D97,'G-7 WaterC'' Data'!$AY$3:$AY$7,0)),"")</f>
        <v/>
      </c>
      <c r="AR97" s="30" t="str">
        <f>IFERROR(INDEX('G-7 WaterC'' Data'!AZ97:AZ101,MATCH(D97,'G-7 WaterC'' Data'!$AY$10:$AY$14,0)),"")</f>
        <v/>
      </c>
    </row>
    <row r="98" spans="3:44" ht="15">
      <c r="C98" s="110">
        <v>89</v>
      </c>
      <c r="D98" s="338"/>
      <c r="E98" s="139"/>
      <c r="F98" s="362" t="str">
        <f>IF(D98="","",VLOOKUP(D98,'G-7 WaterC'' Data'!$B$2:$G$8,2,FALSE))</f>
        <v/>
      </c>
      <c r="G98" s="363" t="str">
        <f>IFERROR(VLOOKUP(F98,'G-7 WaterC'' Data'!$C$4:$D$8,2,FALSE),"")</f>
        <v/>
      </c>
      <c r="H98" s="114"/>
      <c r="I98" s="363" t="str">
        <f>IFERROR(INDEX('G-7 WaterC'' Data'!$H$4:$L$8,MATCH(D98,'G-7 WaterC'' Data'!$B$4:$B$8,0),MATCH(H98,'G-7 WaterC'' Data'!$H$3:$L$3,0)),"")</f>
        <v/>
      </c>
      <c r="J98" s="320"/>
      <c r="K98" s="398" t="str">
        <f>IF(J98="","",IF(VLOOKUP(J98,'G-7 WaterC'' Data'!$AK$4:$AM$6,2,FALSE)=0,"Spatial Data Missing ⚠",VLOOKUP(J98,'G-7 WaterC'' Data'!$AK$4:$AM$6,2,FALSE)))</f>
        <v/>
      </c>
      <c r="L98" s="368" t="str">
        <f>IF(J98="","",IF(VLOOKUP(J98,'G-7 WaterC'' Data'!$AK$4:$AM$9,3,FALSE)=0,"Spatial Data Missing ⚠",VLOOKUP(J98,'G-7 WaterC'' Data'!$AK$4:$AM$6,3,FALSE)))</f>
        <v/>
      </c>
      <c r="M98" s="54"/>
      <c r="N98" s="363" t="str">
        <f>IF(M98="","",IF(VLOOKUP(M98,'G-7 WaterC'' Data'!$AA$4:$AB$7,2,FALSE)=0,"Spatial Data Missing ⚠",VLOOKUP(M98,'G-7 WaterC'' Data'!$AA$4:$AB$7,2,FALSE)))</f>
        <v/>
      </c>
      <c r="O98" s="60"/>
      <c r="P98" s="363" t="str">
        <f>IF(O98="","",IF(VLOOKUP(O98,'G-7 WaterC'' Data'!$AD$4:$AE$14,2,FALSE)=0,"Spatial Data Missing ⚠",VLOOKUP(O98,'G-7 WaterC'' Data'!$AD$4:$AE$14,2,FALSE)))</f>
        <v/>
      </c>
      <c r="Q98" s="369" t="str">
        <f>IF(D98="","",VLOOKUP(D98,'G-7 WaterC'' Data'!$B$2:$G$8,6,FALSE))</f>
        <v/>
      </c>
      <c r="R98" s="376" t="str">
        <f>IFERROR(IF(D98="","",IF(AND(Q98='G-1 All Habitats'!$X$3,U98&gt;0),V98+W98,IF(AND(Q98='G-1 All Habitats'!$X$3,T98&gt;0),V98+W98,IF(AND(Q98='G-1 All Habitats'!$X$3,AD98&gt;0),"Any Loss Unacceptable ⚠",IF(AND(Q98='G-1 All Habitats'!$X$3,AE98&gt;0),"Any Loss Unacceptable ⚠", E98*G98*I98*L98*N98*P98 ))))),"Check Data ▲")</f>
        <v/>
      </c>
      <c r="S98" s="32"/>
      <c r="T98" s="114"/>
      <c r="U98" s="125"/>
      <c r="V98" s="374" t="str">
        <f t="shared" si="7"/>
        <v/>
      </c>
      <c r="W98" s="374" t="str">
        <f t="shared" si="8"/>
        <v/>
      </c>
      <c r="X98" s="374" t="str">
        <f t="shared" si="9"/>
        <v/>
      </c>
      <c r="Y98" s="670" t="str">
        <f t="shared" si="10"/>
        <v/>
      </c>
      <c r="Z98" s="706"/>
      <c r="AA98" s="704"/>
      <c r="AB98" s="120"/>
      <c r="AC98" s="120"/>
      <c r="AD98" s="57" t="str">
        <f>IF(Q98="","",IF(Q98='G-1 All Habitats'!$X$3,E98-T98-U98,"None"))</f>
        <v/>
      </c>
      <c r="AE98" s="58" t="str">
        <f>IF(Q98="","", IF(Q98='G-1 All Habitats'!$X$3, AD98*G98*I98*L98*N98*P98,"None"))</f>
        <v/>
      </c>
      <c r="AH98" s="30">
        <f t="shared" si="11"/>
        <v>0</v>
      </c>
      <c r="AI98" s="124" t="str">
        <f t="shared" si="12"/>
        <v/>
      </c>
      <c r="AJ98" s="124" t="str">
        <f t="shared" si="13"/>
        <v/>
      </c>
      <c r="AL98" s="124">
        <v>89</v>
      </c>
      <c r="AN98" s="124" t="str">
        <f t="array" ref="AN98">IFERROR(INDEX($AL$10:$AL$258, MATCH(0, IF(TRUE=$AI$10:$AI$258, COUNTIF($AN$9:$AN97, $AL$10:$AL$258), ""), 0)),"")</f>
        <v/>
      </c>
      <c r="AO98" s="124" t="str">
        <f t="array" ref="AO98">IFERROR(INDEX($AL$10:$AL$258, MATCH(0, IF(TRUE=$AJ$10:$AJ$258, COUNTIF($AO$9:$AO97, $AL$10:$AL$258), ""), 0)),"")</f>
        <v/>
      </c>
      <c r="AQ98" s="30" t="str">
        <f>IFERROR(INDEX('G-7 WaterC'' Data'!$AZ$3:$AZ$7,MATCH(D98,'G-7 WaterC'' Data'!$AY$3:$AY$7,0)),"")</f>
        <v/>
      </c>
      <c r="AR98" s="30" t="str">
        <f>IFERROR(INDEX('G-7 WaterC'' Data'!AZ98:AZ102,MATCH(D98,'G-7 WaterC'' Data'!$AY$10:$AY$14,0)),"")</f>
        <v/>
      </c>
    </row>
    <row r="99" spans="3:44" ht="15">
      <c r="C99" s="110">
        <v>90</v>
      </c>
      <c r="D99" s="338"/>
      <c r="E99" s="139"/>
      <c r="F99" s="362" t="str">
        <f>IF(D99="","",VLOOKUP(D99,'G-7 WaterC'' Data'!$B$2:$G$8,2,FALSE))</f>
        <v/>
      </c>
      <c r="G99" s="363" t="str">
        <f>IFERROR(VLOOKUP(F99,'G-7 WaterC'' Data'!$C$4:$D$8,2,FALSE),"")</f>
        <v/>
      </c>
      <c r="H99" s="114"/>
      <c r="I99" s="363" t="str">
        <f>IFERROR(INDEX('G-7 WaterC'' Data'!$H$4:$L$8,MATCH(D99,'G-7 WaterC'' Data'!$B$4:$B$8,0),MATCH(H99,'G-7 WaterC'' Data'!$H$3:$L$3,0)),"")</f>
        <v/>
      </c>
      <c r="J99" s="320"/>
      <c r="K99" s="398" t="str">
        <f>IF(J99="","",IF(VLOOKUP(J99,'G-7 WaterC'' Data'!$AK$4:$AM$6,2,FALSE)=0,"Spatial Data Missing ⚠",VLOOKUP(J99,'G-7 WaterC'' Data'!$AK$4:$AM$6,2,FALSE)))</f>
        <v/>
      </c>
      <c r="L99" s="368" t="str">
        <f>IF(J99="","",IF(VLOOKUP(J99,'G-7 WaterC'' Data'!$AK$4:$AM$9,3,FALSE)=0,"Spatial Data Missing ⚠",VLOOKUP(J99,'G-7 WaterC'' Data'!$AK$4:$AM$6,3,FALSE)))</f>
        <v/>
      </c>
      <c r="M99" s="54"/>
      <c r="N99" s="363" t="str">
        <f>IF(M99="","",IF(VLOOKUP(M99,'G-7 WaterC'' Data'!$AA$4:$AB$7,2,FALSE)=0,"Spatial Data Missing ⚠",VLOOKUP(M99,'G-7 WaterC'' Data'!$AA$4:$AB$7,2,FALSE)))</f>
        <v/>
      </c>
      <c r="O99" s="60"/>
      <c r="P99" s="363" t="str">
        <f>IF(O99="","",IF(VLOOKUP(O99,'G-7 WaterC'' Data'!$AD$4:$AE$14,2,FALSE)=0,"Spatial Data Missing ⚠",VLOOKUP(O99,'G-7 WaterC'' Data'!$AD$4:$AE$14,2,FALSE)))</f>
        <v/>
      </c>
      <c r="Q99" s="369" t="str">
        <f>IF(D99="","",VLOOKUP(D99,'G-7 WaterC'' Data'!$B$2:$G$8,6,FALSE))</f>
        <v/>
      </c>
      <c r="R99" s="376" t="str">
        <f>IFERROR(IF(D99="","",IF(AND(Q99='G-1 All Habitats'!$X$3,U99&gt;0),V99+W99,IF(AND(Q99='G-1 All Habitats'!$X$3,T99&gt;0),V99+W99,IF(AND(Q99='G-1 All Habitats'!$X$3,AD99&gt;0),"Any Loss Unacceptable ⚠",IF(AND(Q99='G-1 All Habitats'!$X$3,AE99&gt;0),"Any Loss Unacceptable ⚠", E99*G99*I99*L99*N99*P99 ))))),"Check Data ▲")</f>
        <v/>
      </c>
      <c r="S99" s="32"/>
      <c r="T99" s="114"/>
      <c r="U99" s="125"/>
      <c r="V99" s="374" t="str">
        <f t="shared" si="7"/>
        <v/>
      </c>
      <c r="W99" s="374" t="str">
        <f t="shared" si="8"/>
        <v/>
      </c>
      <c r="X99" s="374" t="str">
        <f t="shared" si="9"/>
        <v/>
      </c>
      <c r="Y99" s="670" t="str">
        <f t="shared" si="10"/>
        <v/>
      </c>
      <c r="Z99" s="706"/>
      <c r="AA99" s="704"/>
      <c r="AB99" s="120"/>
      <c r="AC99" s="120"/>
      <c r="AD99" s="57" t="str">
        <f>IF(Q99="","",IF(Q99='G-1 All Habitats'!$X$3,E99-T99-U99,"None"))</f>
        <v/>
      </c>
      <c r="AE99" s="58" t="str">
        <f>IF(Q99="","", IF(Q99='G-1 All Habitats'!$X$3, AD99*G99*I99*L99*N99*P99,"None"))</f>
        <v/>
      </c>
      <c r="AH99" s="30">
        <f t="shared" si="11"/>
        <v>0</v>
      </c>
      <c r="AI99" s="124" t="str">
        <f t="shared" si="12"/>
        <v/>
      </c>
      <c r="AJ99" s="124" t="str">
        <f t="shared" si="13"/>
        <v/>
      </c>
      <c r="AL99" s="124">
        <v>90</v>
      </c>
      <c r="AN99" s="124" t="str">
        <f t="array" ref="AN99">IFERROR(INDEX($AL$10:$AL$258, MATCH(0, IF(TRUE=$AI$10:$AI$258, COUNTIF($AN$9:$AN98, $AL$10:$AL$258), ""), 0)),"")</f>
        <v/>
      </c>
      <c r="AO99" s="124" t="str">
        <f t="array" ref="AO99">IFERROR(INDEX($AL$10:$AL$258, MATCH(0, IF(TRUE=$AJ$10:$AJ$258, COUNTIF($AO$9:$AO98, $AL$10:$AL$258), ""), 0)),"")</f>
        <v/>
      </c>
      <c r="AQ99" s="30" t="str">
        <f>IFERROR(INDEX('G-7 WaterC'' Data'!$AZ$3:$AZ$7,MATCH(D99,'G-7 WaterC'' Data'!$AY$3:$AY$7,0)),"")</f>
        <v/>
      </c>
      <c r="AR99" s="30" t="str">
        <f>IFERROR(INDEX('G-7 WaterC'' Data'!AZ99:AZ103,MATCH(D99,'G-7 WaterC'' Data'!$AY$10:$AY$14,0)),"")</f>
        <v/>
      </c>
    </row>
    <row r="100" spans="3:44" ht="15">
      <c r="C100" s="110">
        <v>91</v>
      </c>
      <c r="D100" s="338"/>
      <c r="E100" s="139"/>
      <c r="F100" s="362" t="str">
        <f>IF(D100="","",VLOOKUP(D100,'G-7 WaterC'' Data'!$B$2:$G$8,2,FALSE))</f>
        <v/>
      </c>
      <c r="G100" s="363" t="str">
        <f>IFERROR(VLOOKUP(F100,'G-7 WaterC'' Data'!$C$4:$D$8,2,FALSE),"")</f>
        <v/>
      </c>
      <c r="H100" s="114"/>
      <c r="I100" s="363" t="str">
        <f>IFERROR(INDEX('G-7 WaterC'' Data'!$H$4:$L$8,MATCH(D100,'G-7 WaterC'' Data'!$B$4:$B$8,0),MATCH(H100,'G-7 WaterC'' Data'!$H$3:$L$3,0)),"")</f>
        <v/>
      </c>
      <c r="J100" s="320"/>
      <c r="K100" s="398" t="str">
        <f>IF(J100="","",IF(VLOOKUP(J100,'G-7 WaterC'' Data'!$AK$4:$AM$6,2,FALSE)=0,"Spatial Data Missing ⚠",VLOOKUP(J100,'G-7 WaterC'' Data'!$AK$4:$AM$6,2,FALSE)))</f>
        <v/>
      </c>
      <c r="L100" s="368" t="str">
        <f>IF(J100="","",IF(VLOOKUP(J100,'G-7 WaterC'' Data'!$AK$4:$AM$9,3,FALSE)=0,"Spatial Data Missing ⚠",VLOOKUP(J100,'G-7 WaterC'' Data'!$AK$4:$AM$6,3,FALSE)))</f>
        <v/>
      </c>
      <c r="M100" s="54"/>
      <c r="N100" s="363" t="str">
        <f>IF(M100="","",IF(VLOOKUP(M100,'G-7 WaterC'' Data'!$AA$4:$AB$7,2,FALSE)=0,"Spatial Data Missing ⚠",VLOOKUP(M100,'G-7 WaterC'' Data'!$AA$4:$AB$7,2,FALSE)))</f>
        <v/>
      </c>
      <c r="O100" s="60"/>
      <c r="P100" s="363" t="str">
        <f>IF(O100="","",IF(VLOOKUP(O100,'G-7 WaterC'' Data'!$AD$4:$AE$14,2,FALSE)=0,"Spatial Data Missing ⚠",VLOOKUP(O100,'G-7 WaterC'' Data'!$AD$4:$AE$14,2,FALSE)))</f>
        <v/>
      </c>
      <c r="Q100" s="369" t="str">
        <f>IF(D100="","",VLOOKUP(D100,'G-7 WaterC'' Data'!$B$2:$G$8,6,FALSE))</f>
        <v/>
      </c>
      <c r="R100" s="376" t="str">
        <f>IFERROR(IF(D100="","",IF(AND(Q100='G-1 All Habitats'!$X$3,U100&gt;0),V100+W100,IF(AND(Q100='G-1 All Habitats'!$X$3,T100&gt;0),V100+W100,IF(AND(Q100='G-1 All Habitats'!$X$3,AD100&gt;0),"Any Loss Unacceptable ⚠",IF(AND(Q100='G-1 All Habitats'!$X$3,AE100&gt;0),"Any Loss Unacceptable ⚠", E100*G100*I100*L100*N100*P100 ))))),"Check Data ▲")</f>
        <v/>
      </c>
      <c r="S100" s="32"/>
      <c r="T100" s="114"/>
      <c r="U100" s="125"/>
      <c r="V100" s="374" t="str">
        <f t="shared" si="7"/>
        <v/>
      </c>
      <c r="W100" s="374" t="str">
        <f t="shared" si="8"/>
        <v/>
      </c>
      <c r="X100" s="374" t="str">
        <f t="shared" si="9"/>
        <v/>
      </c>
      <c r="Y100" s="670" t="str">
        <f t="shared" si="10"/>
        <v/>
      </c>
      <c r="Z100" s="706"/>
      <c r="AA100" s="704"/>
      <c r="AB100" s="120"/>
      <c r="AC100" s="120"/>
      <c r="AD100" s="57" t="str">
        <f>IF(Q100="","",IF(Q100='G-1 All Habitats'!$X$3,E100-T100-U100,"None"))</f>
        <v/>
      </c>
      <c r="AE100" s="58" t="str">
        <f>IF(Q100="","", IF(Q100='G-1 All Habitats'!$X$3, AD100*G100*I100*L100*N100*P100,"None"))</f>
        <v/>
      </c>
      <c r="AH100" s="30">
        <f t="shared" si="11"/>
        <v>0</v>
      </c>
      <c r="AI100" s="124" t="str">
        <f t="shared" si="12"/>
        <v/>
      </c>
      <c r="AJ100" s="124" t="str">
        <f t="shared" si="13"/>
        <v/>
      </c>
      <c r="AL100" s="124">
        <v>91</v>
      </c>
      <c r="AN100" s="124" t="str">
        <f t="array" ref="AN100">IFERROR(INDEX($AL$10:$AL$258, MATCH(0, IF(TRUE=$AI$10:$AI$258, COUNTIF($AN$9:$AN99, $AL$10:$AL$258), ""), 0)),"")</f>
        <v/>
      </c>
      <c r="AO100" s="124" t="str">
        <f t="array" ref="AO100">IFERROR(INDEX($AL$10:$AL$258, MATCH(0, IF(TRUE=$AJ$10:$AJ$258, COUNTIF($AO$9:$AO99, $AL$10:$AL$258), ""), 0)),"")</f>
        <v/>
      </c>
      <c r="AQ100" s="30" t="str">
        <f>IFERROR(INDEX('G-7 WaterC'' Data'!$AZ$3:$AZ$7,MATCH(D100,'G-7 WaterC'' Data'!$AY$3:$AY$7,0)),"")</f>
        <v/>
      </c>
      <c r="AR100" s="30" t="str">
        <f>IFERROR(INDEX('G-7 WaterC'' Data'!AZ100:AZ104,MATCH(D100,'G-7 WaterC'' Data'!$AY$10:$AY$14,0)),"")</f>
        <v/>
      </c>
    </row>
    <row r="101" spans="3:44" ht="15">
      <c r="C101" s="110">
        <v>92</v>
      </c>
      <c r="D101" s="338"/>
      <c r="E101" s="139"/>
      <c r="F101" s="362" t="str">
        <f>IF(D101="","",VLOOKUP(D101,'G-7 WaterC'' Data'!$B$2:$G$8,2,FALSE))</f>
        <v/>
      </c>
      <c r="G101" s="363" t="str">
        <f>IFERROR(VLOOKUP(F101,'G-7 WaterC'' Data'!$C$4:$D$8,2,FALSE),"")</f>
        <v/>
      </c>
      <c r="H101" s="114"/>
      <c r="I101" s="363" t="str">
        <f>IFERROR(INDEX('G-7 WaterC'' Data'!$H$4:$L$8,MATCH(D101,'G-7 WaterC'' Data'!$B$4:$B$8,0),MATCH(H101,'G-7 WaterC'' Data'!$H$3:$L$3,0)),"")</f>
        <v/>
      </c>
      <c r="J101" s="320"/>
      <c r="K101" s="398" t="str">
        <f>IF(J101="","",IF(VLOOKUP(J101,'G-7 WaterC'' Data'!$AK$4:$AM$6,2,FALSE)=0,"Spatial Data Missing ⚠",VLOOKUP(J101,'G-7 WaterC'' Data'!$AK$4:$AM$6,2,FALSE)))</f>
        <v/>
      </c>
      <c r="L101" s="368" t="str">
        <f>IF(J101="","",IF(VLOOKUP(J101,'G-7 WaterC'' Data'!$AK$4:$AM$9,3,FALSE)=0,"Spatial Data Missing ⚠",VLOOKUP(J101,'G-7 WaterC'' Data'!$AK$4:$AM$6,3,FALSE)))</f>
        <v/>
      </c>
      <c r="M101" s="54"/>
      <c r="N101" s="363" t="str">
        <f>IF(M101="","",IF(VLOOKUP(M101,'G-7 WaterC'' Data'!$AA$4:$AB$7,2,FALSE)=0,"Spatial Data Missing ⚠",VLOOKUP(M101,'G-7 WaterC'' Data'!$AA$4:$AB$7,2,FALSE)))</f>
        <v/>
      </c>
      <c r="O101" s="60"/>
      <c r="P101" s="363" t="str">
        <f>IF(O101="","",IF(VLOOKUP(O101,'G-7 WaterC'' Data'!$AD$4:$AE$14,2,FALSE)=0,"Spatial Data Missing ⚠",VLOOKUP(O101,'G-7 WaterC'' Data'!$AD$4:$AE$14,2,FALSE)))</f>
        <v/>
      </c>
      <c r="Q101" s="369" t="str">
        <f>IF(D101="","",VLOOKUP(D101,'G-7 WaterC'' Data'!$B$2:$G$8,6,FALSE))</f>
        <v/>
      </c>
      <c r="R101" s="376" t="str">
        <f>IFERROR(IF(D101="","",IF(AND(Q101='G-1 All Habitats'!$X$3,U101&gt;0),V101+W101,IF(AND(Q101='G-1 All Habitats'!$X$3,T101&gt;0),V101+W101,IF(AND(Q101='G-1 All Habitats'!$X$3,AD101&gt;0),"Any Loss Unacceptable ⚠",IF(AND(Q101='G-1 All Habitats'!$X$3,AE101&gt;0),"Any Loss Unacceptable ⚠", E101*G101*I101*L101*N101*P101 ))))),"Check Data ▲")</f>
        <v/>
      </c>
      <c r="S101" s="32"/>
      <c r="T101" s="114"/>
      <c r="U101" s="125"/>
      <c r="V101" s="374" t="str">
        <f t="shared" si="7"/>
        <v/>
      </c>
      <c r="W101" s="374" t="str">
        <f t="shared" si="8"/>
        <v/>
      </c>
      <c r="X101" s="374" t="str">
        <f t="shared" si="9"/>
        <v/>
      </c>
      <c r="Y101" s="670" t="str">
        <f t="shared" si="10"/>
        <v/>
      </c>
      <c r="Z101" s="706"/>
      <c r="AA101" s="704"/>
      <c r="AB101" s="120"/>
      <c r="AC101" s="120"/>
      <c r="AD101" s="57" t="str">
        <f>IF(Q101="","",IF(Q101='G-1 All Habitats'!$X$3,E101-T101-U101,"None"))</f>
        <v/>
      </c>
      <c r="AE101" s="58" t="str">
        <f>IF(Q101="","", IF(Q101='G-1 All Habitats'!$X$3, AD101*G101*I101*L101*N101*P101,"None"))</f>
        <v/>
      </c>
      <c r="AH101" s="30">
        <f t="shared" si="11"/>
        <v>0</v>
      </c>
      <c r="AI101" s="124" t="str">
        <f t="shared" si="12"/>
        <v/>
      </c>
      <c r="AJ101" s="124" t="str">
        <f t="shared" si="13"/>
        <v/>
      </c>
      <c r="AL101" s="124">
        <v>92</v>
      </c>
      <c r="AN101" s="124" t="str">
        <f t="array" ref="AN101">IFERROR(INDEX($AL$10:$AL$258, MATCH(0, IF(TRUE=$AI$10:$AI$258, COUNTIF($AN$9:$AN100, $AL$10:$AL$258), ""), 0)),"")</f>
        <v/>
      </c>
      <c r="AO101" s="124" t="str">
        <f t="array" ref="AO101">IFERROR(INDEX($AL$10:$AL$258, MATCH(0, IF(TRUE=$AJ$10:$AJ$258, COUNTIF($AO$9:$AO100, $AL$10:$AL$258), ""), 0)),"")</f>
        <v/>
      </c>
      <c r="AQ101" s="30" t="str">
        <f>IFERROR(INDEX('G-7 WaterC'' Data'!$AZ$3:$AZ$7,MATCH(D101,'G-7 WaterC'' Data'!$AY$3:$AY$7,0)),"")</f>
        <v/>
      </c>
      <c r="AR101" s="30" t="str">
        <f>IFERROR(INDEX('G-7 WaterC'' Data'!AZ101:AZ105,MATCH(D101,'G-7 WaterC'' Data'!$AY$10:$AY$14,0)),"")</f>
        <v/>
      </c>
    </row>
    <row r="102" spans="3:44" ht="15">
      <c r="C102" s="110">
        <v>93</v>
      </c>
      <c r="D102" s="338"/>
      <c r="E102" s="139"/>
      <c r="F102" s="362" t="str">
        <f>IF(D102="","",VLOOKUP(D102,'G-7 WaterC'' Data'!$B$2:$G$8,2,FALSE))</f>
        <v/>
      </c>
      <c r="G102" s="363" t="str">
        <f>IFERROR(VLOOKUP(F102,'G-7 WaterC'' Data'!$C$4:$D$8,2,FALSE),"")</f>
        <v/>
      </c>
      <c r="H102" s="114"/>
      <c r="I102" s="363" t="str">
        <f>IFERROR(INDEX('G-7 WaterC'' Data'!$H$4:$L$8,MATCH(D102,'G-7 WaterC'' Data'!$B$4:$B$8,0),MATCH(H102,'G-7 WaterC'' Data'!$H$3:$L$3,0)),"")</f>
        <v/>
      </c>
      <c r="J102" s="320"/>
      <c r="K102" s="398" t="str">
        <f>IF(J102="","",IF(VLOOKUP(J102,'G-7 WaterC'' Data'!$AK$4:$AM$6,2,FALSE)=0,"Spatial Data Missing ⚠",VLOOKUP(J102,'G-7 WaterC'' Data'!$AK$4:$AM$6,2,FALSE)))</f>
        <v/>
      </c>
      <c r="L102" s="368" t="str">
        <f>IF(J102="","",IF(VLOOKUP(J102,'G-7 WaterC'' Data'!$AK$4:$AM$9,3,FALSE)=0,"Spatial Data Missing ⚠",VLOOKUP(J102,'G-7 WaterC'' Data'!$AK$4:$AM$6,3,FALSE)))</f>
        <v/>
      </c>
      <c r="M102" s="54"/>
      <c r="N102" s="363" t="str">
        <f>IF(M102="","",IF(VLOOKUP(M102,'G-7 WaterC'' Data'!$AA$4:$AB$7,2,FALSE)=0,"Spatial Data Missing ⚠",VLOOKUP(M102,'G-7 WaterC'' Data'!$AA$4:$AB$7,2,FALSE)))</f>
        <v/>
      </c>
      <c r="O102" s="60"/>
      <c r="P102" s="363" t="str">
        <f>IF(O102="","",IF(VLOOKUP(O102,'G-7 WaterC'' Data'!$AD$4:$AE$14,2,FALSE)=0,"Spatial Data Missing ⚠",VLOOKUP(O102,'G-7 WaterC'' Data'!$AD$4:$AE$14,2,FALSE)))</f>
        <v/>
      </c>
      <c r="Q102" s="369" t="str">
        <f>IF(D102="","",VLOOKUP(D102,'G-7 WaterC'' Data'!$B$2:$G$8,6,FALSE))</f>
        <v/>
      </c>
      <c r="R102" s="376" t="str">
        <f>IFERROR(IF(D102="","",IF(AND(Q102='G-1 All Habitats'!$X$3,U102&gt;0),V102+W102,IF(AND(Q102='G-1 All Habitats'!$X$3,T102&gt;0),V102+W102,IF(AND(Q102='G-1 All Habitats'!$X$3,AD102&gt;0),"Any Loss Unacceptable ⚠",IF(AND(Q102='G-1 All Habitats'!$X$3,AE102&gt;0),"Any Loss Unacceptable ⚠", E102*G102*I102*L102*N102*P102 ))))),"Check Data ▲")</f>
        <v/>
      </c>
      <c r="S102" s="32"/>
      <c r="T102" s="114"/>
      <c r="U102" s="125"/>
      <c r="V102" s="374" t="str">
        <f t="shared" si="7"/>
        <v/>
      </c>
      <c r="W102" s="374" t="str">
        <f t="shared" si="8"/>
        <v/>
      </c>
      <c r="X102" s="374" t="str">
        <f t="shared" si="9"/>
        <v/>
      </c>
      <c r="Y102" s="670" t="str">
        <f t="shared" si="10"/>
        <v/>
      </c>
      <c r="Z102" s="706"/>
      <c r="AA102" s="704"/>
      <c r="AB102" s="120"/>
      <c r="AC102" s="120"/>
      <c r="AD102" s="57" t="str">
        <f>IF(Q102="","",IF(Q102='G-1 All Habitats'!$X$3,E102-T102-U102,"None"))</f>
        <v/>
      </c>
      <c r="AE102" s="58" t="str">
        <f>IF(Q102="","", IF(Q102='G-1 All Habitats'!$X$3, AD102*G102*I102*L102*N102*P102,"None"))</f>
        <v/>
      </c>
      <c r="AH102" s="30">
        <f t="shared" si="11"/>
        <v>0</v>
      </c>
      <c r="AI102" s="124" t="str">
        <f t="shared" si="12"/>
        <v/>
      </c>
      <c r="AJ102" s="124" t="str">
        <f t="shared" si="13"/>
        <v/>
      </c>
      <c r="AL102" s="124">
        <v>93</v>
      </c>
      <c r="AN102" s="124" t="str">
        <f t="array" ref="AN102">IFERROR(INDEX($AL$10:$AL$258, MATCH(0, IF(TRUE=$AI$10:$AI$258, COUNTIF($AN$9:$AN101, $AL$10:$AL$258), ""), 0)),"")</f>
        <v/>
      </c>
      <c r="AO102" s="124" t="str">
        <f t="array" ref="AO102">IFERROR(INDEX($AL$10:$AL$258, MATCH(0, IF(TRUE=$AJ$10:$AJ$258, COUNTIF($AO$9:$AO101, $AL$10:$AL$258), ""), 0)),"")</f>
        <v/>
      </c>
      <c r="AQ102" s="30" t="str">
        <f>IFERROR(INDEX('G-7 WaterC'' Data'!$AZ$3:$AZ$7,MATCH(D102,'G-7 WaterC'' Data'!$AY$3:$AY$7,0)),"")</f>
        <v/>
      </c>
      <c r="AR102" s="30" t="str">
        <f>IFERROR(INDEX('G-7 WaterC'' Data'!AZ102:AZ106,MATCH(D102,'G-7 WaterC'' Data'!$AY$10:$AY$14,0)),"")</f>
        <v/>
      </c>
    </row>
    <row r="103" spans="3:44" ht="15">
      <c r="C103" s="110">
        <v>94</v>
      </c>
      <c r="D103" s="338"/>
      <c r="E103" s="139"/>
      <c r="F103" s="362" t="str">
        <f>IF(D103="","",VLOOKUP(D103,'G-7 WaterC'' Data'!$B$2:$G$8,2,FALSE))</f>
        <v/>
      </c>
      <c r="G103" s="363" t="str">
        <f>IFERROR(VLOOKUP(F103,'G-7 WaterC'' Data'!$C$4:$D$8,2,FALSE),"")</f>
        <v/>
      </c>
      <c r="H103" s="114"/>
      <c r="I103" s="363" t="str">
        <f>IFERROR(INDEX('G-7 WaterC'' Data'!$H$4:$L$8,MATCH(D103,'G-7 WaterC'' Data'!$B$4:$B$8,0),MATCH(H103,'G-7 WaterC'' Data'!$H$3:$L$3,0)),"")</f>
        <v/>
      </c>
      <c r="J103" s="320"/>
      <c r="K103" s="398" t="str">
        <f>IF(J103="","",IF(VLOOKUP(J103,'G-7 WaterC'' Data'!$AK$4:$AM$6,2,FALSE)=0,"Spatial Data Missing ⚠",VLOOKUP(J103,'G-7 WaterC'' Data'!$AK$4:$AM$6,2,FALSE)))</f>
        <v/>
      </c>
      <c r="L103" s="368" t="str">
        <f>IF(J103="","",IF(VLOOKUP(J103,'G-7 WaterC'' Data'!$AK$4:$AM$9,3,FALSE)=0,"Spatial Data Missing ⚠",VLOOKUP(J103,'G-7 WaterC'' Data'!$AK$4:$AM$6,3,FALSE)))</f>
        <v/>
      </c>
      <c r="M103" s="54"/>
      <c r="N103" s="363" t="str">
        <f>IF(M103="","",IF(VLOOKUP(M103,'G-7 WaterC'' Data'!$AA$4:$AB$7,2,FALSE)=0,"Spatial Data Missing ⚠",VLOOKUP(M103,'G-7 WaterC'' Data'!$AA$4:$AB$7,2,FALSE)))</f>
        <v/>
      </c>
      <c r="O103" s="60"/>
      <c r="P103" s="363" t="str">
        <f>IF(O103="","",IF(VLOOKUP(O103,'G-7 WaterC'' Data'!$AD$4:$AE$14,2,FALSE)=0,"Spatial Data Missing ⚠",VLOOKUP(O103,'G-7 WaterC'' Data'!$AD$4:$AE$14,2,FALSE)))</f>
        <v/>
      </c>
      <c r="Q103" s="369" t="str">
        <f>IF(D103="","",VLOOKUP(D103,'G-7 WaterC'' Data'!$B$2:$G$8,6,FALSE))</f>
        <v/>
      </c>
      <c r="R103" s="376" t="str">
        <f>IFERROR(IF(D103="","",IF(AND(Q103='G-1 All Habitats'!$X$3,U103&gt;0),V103+W103,IF(AND(Q103='G-1 All Habitats'!$X$3,T103&gt;0),V103+W103,IF(AND(Q103='G-1 All Habitats'!$X$3,AD103&gt;0),"Any Loss Unacceptable ⚠",IF(AND(Q103='G-1 All Habitats'!$X$3,AE103&gt;0),"Any Loss Unacceptable ⚠", E103*G103*I103*L103*N103*P103 ))))),"Check Data ▲")</f>
        <v/>
      </c>
      <c r="S103" s="32"/>
      <c r="T103" s="114"/>
      <c r="U103" s="125"/>
      <c r="V103" s="374" t="str">
        <f t="shared" si="7"/>
        <v/>
      </c>
      <c r="W103" s="374" t="str">
        <f t="shared" si="8"/>
        <v/>
      </c>
      <c r="X103" s="374" t="str">
        <f t="shared" si="9"/>
        <v/>
      </c>
      <c r="Y103" s="670" t="str">
        <f t="shared" si="10"/>
        <v/>
      </c>
      <c r="Z103" s="706"/>
      <c r="AA103" s="704"/>
      <c r="AB103" s="120"/>
      <c r="AC103" s="120"/>
      <c r="AD103" s="57" t="str">
        <f>IF(Q103="","",IF(Q103='G-1 All Habitats'!$X$3,E103-T103-U103,"None"))</f>
        <v/>
      </c>
      <c r="AE103" s="58" t="str">
        <f>IF(Q103="","", IF(Q103='G-1 All Habitats'!$X$3, AD103*G103*I103*L103*N103*P103,"None"))</f>
        <v/>
      </c>
      <c r="AH103" s="30">
        <f t="shared" si="11"/>
        <v>0</v>
      </c>
      <c r="AI103" s="124" t="str">
        <f t="shared" si="12"/>
        <v/>
      </c>
      <c r="AJ103" s="124" t="str">
        <f t="shared" si="13"/>
        <v/>
      </c>
      <c r="AL103" s="124">
        <v>94</v>
      </c>
      <c r="AN103" s="124" t="str">
        <f t="array" ref="AN103">IFERROR(INDEX($AL$10:$AL$258, MATCH(0, IF(TRUE=$AI$10:$AI$258, COUNTIF($AN$9:$AN102, $AL$10:$AL$258), ""), 0)),"")</f>
        <v/>
      </c>
      <c r="AO103" s="124" t="str">
        <f t="array" ref="AO103">IFERROR(INDEX($AL$10:$AL$258, MATCH(0, IF(TRUE=$AJ$10:$AJ$258, COUNTIF($AO$9:$AO102, $AL$10:$AL$258), ""), 0)),"")</f>
        <v/>
      </c>
      <c r="AQ103" s="30" t="str">
        <f>IFERROR(INDEX('G-7 WaterC'' Data'!$AZ$3:$AZ$7,MATCH(D103,'G-7 WaterC'' Data'!$AY$3:$AY$7,0)),"")</f>
        <v/>
      </c>
      <c r="AR103" s="30" t="str">
        <f>IFERROR(INDEX('G-7 WaterC'' Data'!AZ103:AZ107,MATCH(D103,'G-7 WaterC'' Data'!$AY$10:$AY$14,0)),"")</f>
        <v/>
      </c>
    </row>
    <row r="104" spans="3:44" ht="15">
      <c r="C104" s="110">
        <v>95</v>
      </c>
      <c r="D104" s="338"/>
      <c r="E104" s="139"/>
      <c r="F104" s="362" t="str">
        <f>IF(D104="","",VLOOKUP(D104,'G-7 WaterC'' Data'!$B$2:$G$8,2,FALSE))</f>
        <v/>
      </c>
      <c r="G104" s="363" t="str">
        <f>IFERROR(VLOOKUP(F104,'G-7 WaterC'' Data'!$C$4:$D$8,2,FALSE),"")</f>
        <v/>
      </c>
      <c r="H104" s="114"/>
      <c r="I104" s="363" t="str">
        <f>IFERROR(INDEX('G-7 WaterC'' Data'!$H$4:$L$8,MATCH(D104,'G-7 WaterC'' Data'!$B$4:$B$8,0),MATCH(H104,'G-7 WaterC'' Data'!$H$3:$L$3,0)),"")</f>
        <v/>
      </c>
      <c r="J104" s="320"/>
      <c r="K104" s="398" t="str">
        <f>IF(J104="","",IF(VLOOKUP(J104,'G-7 WaterC'' Data'!$AK$4:$AM$6,2,FALSE)=0,"Spatial Data Missing ⚠",VLOOKUP(J104,'G-7 WaterC'' Data'!$AK$4:$AM$6,2,FALSE)))</f>
        <v/>
      </c>
      <c r="L104" s="368" t="str">
        <f>IF(J104="","",IF(VLOOKUP(J104,'G-7 WaterC'' Data'!$AK$4:$AM$9,3,FALSE)=0,"Spatial Data Missing ⚠",VLOOKUP(J104,'G-7 WaterC'' Data'!$AK$4:$AM$6,3,FALSE)))</f>
        <v/>
      </c>
      <c r="M104" s="54"/>
      <c r="N104" s="363" t="str">
        <f>IF(M104="","",IF(VLOOKUP(M104,'G-7 WaterC'' Data'!$AA$4:$AB$7,2,FALSE)=0,"Spatial Data Missing ⚠",VLOOKUP(M104,'G-7 WaterC'' Data'!$AA$4:$AB$7,2,FALSE)))</f>
        <v/>
      </c>
      <c r="O104" s="60"/>
      <c r="P104" s="363" t="str">
        <f>IF(O104="","",IF(VLOOKUP(O104,'G-7 WaterC'' Data'!$AD$4:$AE$14,2,FALSE)=0,"Spatial Data Missing ⚠",VLOOKUP(O104,'G-7 WaterC'' Data'!$AD$4:$AE$14,2,FALSE)))</f>
        <v/>
      </c>
      <c r="Q104" s="369" t="str">
        <f>IF(D104="","",VLOOKUP(D104,'G-7 WaterC'' Data'!$B$2:$G$8,6,FALSE))</f>
        <v/>
      </c>
      <c r="R104" s="376" t="str">
        <f>IFERROR(IF(D104="","",IF(AND(Q104='G-1 All Habitats'!$X$3,U104&gt;0),V104+W104,IF(AND(Q104='G-1 All Habitats'!$X$3,T104&gt;0),V104+W104,IF(AND(Q104='G-1 All Habitats'!$X$3,AD104&gt;0),"Any Loss Unacceptable ⚠",IF(AND(Q104='G-1 All Habitats'!$X$3,AE104&gt;0),"Any Loss Unacceptable ⚠", E104*G104*I104*L104*N104*P104 ))))),"Check Data ▲")</f>
        <v/>
      </c>
      <c r="S104" s="32"/>
      <c r="T104" s="114"/>
      <c r="U104" s="125"/>
      <c r="V104" s="374" t="str">
        <f t="shared" si="7"/>
        <v/>
      </c>
      <c r="W104" s="374" t="str">
        <f t="shared" si="8"/>
        <v/>
      </c>
      <c r="X104" s="374" t="str">
        <f t="shared" si="9"/>
        <v/>
      </c>
      <c r="Y104" s="670" t="str">
        <f t="shared" si="10"/>
        <v/>
      </c>
      <c r="Z104" s="706"/>
      <c r="AA104" s="704"/>
      <c r="AB104" s="120"/>
      <c r="AC104" s="120"/>
      <c r="AD104" s="57" t="str">
        <f>IF(Q104="","",IF(Q104='G-1 All Habitats'!$X$3,E104-T104-U104,"None"))</f>
        <v/>
      </c>
      <c r="AE104" s="58" t="str">
        <f>IF(Q104="","", IF(Q104='G-1 All Habitats'!$X$3, AD104*G104*I104*L104*N104*P104,"None"))</f>
        <v/>
      </c>
      <c r="AH104" s="30">
        <f t="shared" si="11"/>
        <v>0</v>
      </c>
      <c r="AI104" s="124" t="str">
        <f t="shared" si="12"/>
        <v/>
      </c>
      <c r="AJ104" s="124" t="str">
        <f t="shared" si="13"/>
        <v/>
      </c>
      <c r="AL104" s="124">
        <v>95</v>
      </c>
      <c r="AN104" s="124" t="str">
        <f t="array" ref="AN104">IFERROR(INDEX($AL$10:$AL$258, MATCH(0, IF(TRUE=$AI$10:$AI$258, COUNTIF($AN$9:$AN103, $AL$10:$AL$258), ""), 0)),"")</f>
        <v/>
      </c>
      <c r="AO104" s="124" t="str">
        <f t="array" ref="AO104">IFERROR(INDEX($AL$10:$AL$258, MATCH(0, IF(TRUE=$AJ$10:$AJ$258, COUNTIF($AO$9:$AO103, $AL$10:$AL$258), ""), 0)),"")</f>
        <v/>
      </c>
      <c r="AQ104" s="30" t="str">
        <f>IFERROR(INDEX('G-7 WaterC'' Data'!$AZ$3:$AZ$7,MATCH(D104,'G-7 WaterC'' Data'!$AY$3:$AY$7,0)),"")</f>
        <v/>
      </c>
      <c r="AR104" s="30" t="str">
        <f>IFERROR(INDEX('G-7 WaterC'' Data'!AZ104:AZ108,MATCH(D104,'G-7 WaterC'' Data'!$AY$10:$AY$14,0)),"")</f>
        <v/>
      </c>
    </row>
    <row r="105" spans="3:44" ht="15">
      <c r="C105" s="110">
        <v>96</v>
      </c>
      <c r="D105" s="338"/>
      <c r="E105" s="139"/>
      <c r="F105" s="362" t="str">
        <f>IF(D105="","",VLOOKUP(D105,'G-7 WaterC'' Data'!$B$2:$G$8,2,FALSE))</f>
        <v/>
      </c>
      <c r="G105" s="363" t="str">
        <f>IFERROR(VLOOKUP(F105,'G-7 WaterC'' Data'!$C$4:$D$8,2,FALSE),"")</f>
        <v/>
      </c>
      <c r="H105" s="114"/>
      <c r="I105" s="363" t="str">
        <f>IFERROR(INDEX('G-7 WaterC'' Data'!$H$4:$L$8,MATCH(D105,'G-7 WaterC'' Data'!$B$4:$B$8,0),MATCH(H105,'G-7 WaterC'' Data'!$H$3:$L$3,0)),"")</f>
        <v/>
      </c>
      <c r="J105" s="320"/>
      <c r="K105" s="398" t="str">
        <f>IF(J105="","",IF(VLOOKUP(J105,'G-7 WaterC'' Data'!$AK$4:$AM$6,2,FALSE)=0,"Spatial Data Missing ⚠",VLOOKUP(J105,'G-7 WaterC'' Data'!$AK$4:$AM$6,2,FALSE)))</f>
        <v/>
      </c>
      <c r="L105" s="368" t="str">
        <f>IF(J105="","",IF(VLOOKUP(J105,'G-7 WaterC'' Data'!$AK$4:$AM$9,3,FALSE)=0,"Spatial Data Missing ⚠",VLOOKUP(J105,'G-7 WaterC'' Data'!$AK$4:$AM$6,3,FALSE)))</f>
        <v/>
      </c>
      <c r="M105" s="54"/>
      <c r="N105" s="363" t="str">
        <f>IF(M105="","",IF(VLOOKUP(M105,'G-7 WaterC'' Data'!$AA$4:$AB$7,2,FALSE)=0,"Spatial Data Missing ⚠",VLOOKUP(M105,'G-7 WaterC'' Data'!$AA$4:$AB$7,2,FALSE)))</f>
        <v/>
      </c>
      <c r="O105" s="60"/>
      <c r="P105" s="363" t="str">
        <f>IF(O105="","",IF(VLOOKUP(O105,'G-7 WaterC'' Data'!$AD$4:$AE$14,2,FALSE)=0,"Spatial Data Missing ⚠",VLOOKUP(O105,'G-7 WaterC'' Data'!$AD$4:$AE$14,2,FALSE)))</f>
        <v/>
      </c>
      <c r="Q105" s="369" t="str">
        <f>IF(D105="","",VLOOKUP(D105,'G-7 WaterC'' Data'!$B$2:$G$8,6,FALSE))</f>
        <v/>
      </c>
      <c r="R105" s="376" t="str">
        <f>IFERROR(IF(D105="","",IF(AND(Q105='G-1 All Habitats'!$X$3,U105&gt;0),V105+W105,IF(AND(Q105='G-1 All Habitats'!$X$3,T105&gt;0),V105+W105,IF(AND(Q105='G-1 All Habitats'!$X$3,AD105&gt;0),"Any Loss Unacceptable ⚠",IF(AND(Q105='G-1 All Habitats'!$X$3,AE105&gt;0),"Any Loss Unacceptable ⚠", E105*G105*I105*L105*N105*P105 ))))),"Check Data ▲")</f>
        <v/>
      </c>
      <c r="S105" s="32"/>
      <c r="T105" s="114"/>
      <c r="U105" s="125"/>
      <c r="V105" s="374" t="str">
        <f t="shared" si="7"/>
        <v/>
      </c>
      <c r="W105" s="374" t="str">
        <f t="shared" si="8"/>
        <v/>
      </c>
      <c r="X105" s="374" t="str">
        <f t="shared" si="9"/>
        <v/>
      </c>
      <c r="Y105" s="670" t="str">
        <f t="shared" si="10"/>
        <v/>
      </c>
      <c r="Z105" s="706"/>
      <c r="AA105" s="704"/>
      <c r="AB105" s="120"/>
      <c r="AC105" s="120"/>
      <c r="AD105" s="57" t="str">
        <f>IF(Q105="","",IF(Q105='G-1 All Habitats'!$X$3,E105-T105-U105,"None"))</f>
        <v/>
      </c>
      <c r="AE105" s="58" t="str">
        <f>IF(Q105="","", IF(Q105='G-1 All Habitats'!$X$3, AD105*G105*I105*L105*N105*P105,"None"))</f>
        <v/>
      </c>
      <c r="AH105" s="30">
        <f t="shared" si="11"/>
        <v>0</v>
      </c>
      <c r="AI105" s="124" t="str">
        <f t="shared" si="12"/>
        <v/>
      </c>
      <c r="AJ105" s="124" t="str">
        <f t="shared" si="13"/>
        <v/>
      </c>
      <c r="AL105" s="124">
        <v>96</v>
      </c>
      <c r="AN105" s="124" t="str">
        <f t="array" ref="AN105">IFERROR(INDEX($AL$10:$AL$258, MATCH(0, IF(TRUE=$AI$10:$AI$258, COUNTIF($AN$9:$AN104, $AL$10:$AL$258), ""), 0)),"")</f>
        <v/>
      </c>
      <c r="AO105" s="124" t="str">
        <f t="array" ref="AO105">IFERROR(INDEX($AL$10:$AL$258, MATCH(0, IF(TRUE=$AJ$10:$AJ$258, COUNTIF($AO$9:$AO104, $AL$10:$AL$258), ""), 0)),"")</f>
        <v/>
      </c>
      <c r="AQ105" s="30" t="str">
        <f>IFERROR(INDEX('G-7 WaterC'' Data'!$AZ$3:$AZ$7,MATCH(D105,'G-7 WaterC'' Data'!$AY$3:$AY$7,0)),"")</f>
        <v/>
      </c>
      <c r="AR105" s="30" t="str">
        <f>IFERROR(INDEX('G-7 WaterC'' Data'!AZ105:AZ109,MATCH(D105,'G-7 WaterC'' Data'!$AY$10:$AY$14,0)),"")</f>
        <v/>
      </c>
    </row>
    <row r="106" spans="3:44" ht="15">
      <c r="C106" s="110">
        <v>97</v>
      </c>
      <c r="D106" s="338"/>
      <c r="E106" s="139"/>
      <c r="F106" s="362" t="str">
        <f>IF(D106="","",VLOOKUP(D106,'G-7 WaterC'' Data'!$B$2:$G$8,2,FALSE))</f>
        <v/>
      </c>
      <c r="G106" s="363" t="str">
        <f>IFERROR(VLOOKUP(F106,'G-7 WaterC'' Data'!$C$4:$D$8,2,FALSE),"")</f>
        <v/>
      </c>
      <c r="H106" s="114"/>
      <c r="I106" s="363" t="str">
        <f>IFERROR(INDEX('G-7 WaterC'' Data'!$H$4:$L$8,MATCH(D106,'G-7 WaterC'' Data'!$B$4:$B$8,0),MATCH(H106,'G-7 WaterC'' Data'!$H$3:$L$3,0)),"")</f>
        <v/>
      </c>
      <c r="J106" s="320"/>
      <c r="K106" s="398" t="str">
        <f>IF(J106="","",IF(VLOOKUP(J106,'G-7 WaterC'' Data'!$AK$4:$AM$6,2,FALSE)=0,"Spatial Data Missing ⚠",VLOOKUP(J106,'G-7 WaterC'' Data'!$AK$4:$AM$6,2,FALSE)))</f>
        <v/>
      </c>
      <c r="L106" s="368" t="str">
        <f>IF(J106="","",IF(VLOOKUP(J106,'G-7 WaterC'' Data'!$AK$4:$AM$9,3,FALSE)=0,"Spatial Data Missing ⚠",VLOOKUP(J106,'G-7 WaterC'' Data'!$AK$4:$AM$6,3,FALSE)))</f>
        <v/>
      </c>
      <c r="M106" s="54"/>
      <c r="N106" s="363" t="str">
        <f>IF(M106="","",IF(VLOOKUP(M106,'G-7 WaterC'' Data'!$AA$4:$AB$7,2,FALSE)=0,"Spatial Data Missing ⚠",VLOOKUP(M106,'G-7 WaterC'' Data'!$AA$4:$AB$7,2,FALSE)))</f>
        <v/>
      </c>
      <c r="O106" s="60"/>
      <c r="P106" s="363" t="str">
        <f>IF(O106="","",IF(VLOOKUP(O106,'G-7 WaterC'' Data'!$AD$4:$AE$14,2,FALSE)=0,"Spatial Data Missing ⚠",VLOOKUP(O106,'G-7 WaterC'' Data'!$AD$4:$AE$14,2,FALSE)))</f>
        <v/>
      </c>
      <c r="Q106" s="369" t="str">
        <f>IF(D106="","",VLOOKUP(D106,'G-7 WaterC'' Data'!$B$2:$G$8,6,FALSE))</f>
        <v/>
      </c>
      <c r="R106" s="376" t="str">
        <f>IFERROR(IF(D106="","",IF(AND(Q106='G-1 All Habitats'!$X$3,U106&gt;0),V106+W106,IF(AND(Q106='G-1 All Habitats'!$X$3,T106&gt;0),V106+W106,IF(AND(Q106='G-1 All Habitats'!$X$3,AD106&gt;0),"Any Loss Unacceptable ⚠",IF(AND(Q106='G-1 All Habitats'!$X$3,AE106&gt;0),"Any Loss Unacceptable ⚠", E106*G106*I106*L106*N106*P106 ))))),"Check Data ▲")</f>
        <v/>
      </c>
      <c r="S106" s="32"/>
      <c r="T106" s="114"/>
      <c r="U106" s="125"/>
      <c r="V106" s="374" t="str">
        <f t="shared" si="7"/>
        <v/>
      </c>
      <c r="W106" s="374" t="str">
        <f t="shared" si="8"/>
        <v/>
      </c>
      <c r="X106" s="374" t="str">
        <f t="shared" si="9"/>
        <v/>
      </c>
      <c r="Y106" s="670" t="str">
        <f t="shared" si="10"/>
        <v/>
      </c>
      <c r="Z106" s="706"/>
      <c r="AA106" s="704"/>
      <c r="AB106" s="120"/>
      <c r="AC106" s="120"/>
      <c r="AD106" s="57" t="str">
        <f>IF(Q106="","",IF(Q106='G-1 All Habitats'!$X$3,E106-T106-U106,"None"))</f>
        <v/>
      </c>
      <c r="AE106" s="58" t="str">
        <f>IF(Q106="","", IF(Q106='G-1 All Habitats'!$X$3, AD106*G106*I106*L106*N106*P106,"None"))</f>
        <v/>
      </c>
      <c r="AH106" s="30">
        <f t="shared" si="11"/>
        <v>0</v>
      </c>
      <c r="AI106" s="124" t="str">
        <f t="shared" si="12"/>
        <v/>
      </c>
      <c r="AJ106" s="124" t="str">
        <f t="shared" si="13"/>
        <v/>
      </c>
      <c r="AL106" s="124">
        <v>97</v>
      </c>
      <c r="AN106" s="124" t="str">
        <f t="array" ref="AN106">IFERROR(INDEX($AL$10:$AL$258, MATCH(0, IF(TRUE=$AI$10:$AI$258, COUNTIF($AN$9:$AN105, $AL$10:$AL$258), ""), 0)),"")</f>
        <v/>
      </c>
      <c r="AO106" s="124" t="str">
        <f t="array" ref="AO106">IFERROR(INDEX($AL$10:$AL$258, MATCH(0, IF(TRUE=$AJ$10:$AJ$258, COUNTIF($AO$9:$AO105, $AL$10:$AL$258), ""), 0)),"")</f>
        <v/>
      </c>
      <c r="AQ106" s="30" t="str">
        <f>IFERROR(INDEX('G-7 WaterC'' Data'!$AZ$3:$AZ$7,MATCH(D106,'G-7 WaterC'' Data'!$AY$3:$AY$7,0)),"")</f>
        <v/>
      </c>
      <c r="AR106" s="30" t="str">
        <f>IFERROR(INDEX('G-7 WaterC'' Data'!AZ106:AZ110,MATCH(D106,'G-7 WaterC'' Data'!$AY$10:$AY$14,0)),"")</f>
        <v/>
      </c>
    </row>
    <row r="107" spans="3:44" ht="15">
      <c r="C107" s="110">
        <v>98</v>
      </c>
      <c r="D107" s="338"/>
      <c r="E107" s="139"/>
      <c r="F107" s="362" t="str">
        <f>IF(D107="","",VLOOKUP(D107,'G-7 WaterC'' Data'!$B$2:$G$8,2,FALSE))</f>
        <v/>
      </c>
      <c r="G107" s="363" t="str">
        <f>IFERROR(VLOOKUP(F107,'G-7 WaterC'' Data'!$C$4:$D$8,2,FALSE),"")</f>
        <v/>
      </c>
      <c r="H107" s="114"/>
      <c r="I107" s="363" t="str">
        <f>IFERROR(INDEX('G-7 WaterC'' Data'!$H$4:$L$8,MATCH(D107,'G-7 WaterC'' Data'!$B$4:$B$8,0),MATCH(H107,'G-7 WaterC'' Data'!$H$3:$L$3,0)),"")</f>
        <v/>
      </c>
      <c r="J107" s="320"/>
      <c r="K107" s="398" t="str">
        <f>IF(J107="","",IF(VLOOKUP(J107,'G-7 WaterC'' Data'!$AK$4:$AM$6,2,FALSE)=0,"Spatial Data Missing ⚠",VLOOKUP(J107,'G-7 WaterC'' Data'!$AK$4:$AM$6,2,FALSE)))</f>
        <v/>
      </c>
      <c r="L107" s="368" t="str">
        <f>IF(J107="","",IF(VLOOKUP(J107,'G-7 WaterC'' Data'!$AK$4:$AM$9,3,FALSE)=0,"Spatial Data Missing ⚠",VLOOKUP(J107,'G-7 WaterC'' Data'!$AK$4:$AM$6,3,FALSE)))</f>
        <v/>
      </c>
      <c r="M107" s="54"/>
      <c r="N107" s="363" t="str">
        <f>IF(M107="","",IF(VLOOKUP(M107,'G-7 WaterC'' Data'!$AA$4:$AB$7,2,FALSE)=0,"Spatial Data Missing ⚠",VLOOKUP(M107,'G-7 WaterC'' Data'!$AA$4:$AB$7,2,FALSE)))</f>
        <v/>
      </c>
      <c r="O107" s="60"/>
      <c r="P107" s="363" t="str">
        <f>IF(O107="","",IF(VLOOKUP(O107,'G-7 WaterC'' Data'!$AD$4:$AE$14,2,FALSE)=0,"Spatial Data Missing ⚠",VLOOKUP(O107,'G-7 WaterC'' Data'!$AD$4:$AE$14,2,FALSE)))</f>
        <v/>
      </c>
      <c r="Q107" s="369" t="str">
        <f>IF(D107="","",VLOOKUP(D107,'G-7 WaterC'' Data'!$B$2:$G$8,6,FALSE))</f>
        <v/>
      </c>
      <c r="R107" s="376" t="str">
        <f>IFERROR(IF(D107="","",IF(AND(Q107='G-1 All Habitats'!$X$3,U107&gt;0),V107+W107,IF(AND(Q107='G-1 All Habitats'!$X$3,T107&gt;0),V107+W107,IF(AND(Q107='G-1 All Habitats'!$X$3,AD107&gt;0),"Any Loss Unacceptable ⚠",IF(AND(Q107='G-1 All Habitats'!$X$3,AE107&gt;0),"Any Loss Unacceptable ⚠", E107*G107*I107*L107*N107*P107 ))))),"Check Data ▲")</f>
        <v/>
      </c>
      <c r="S107" s="32"/>
      <c r="T107" s="114"/>
      <c r="U107" s="125"/>
      <c r="V107" s="374" t="str">
        <f t="shared" si="7"/>
        <v/>
      </c>
      <c r="W107" s="374" t="str">
        <f t="shared" si="8"/>
        <v/>
      </c>
      <c r="X107" s="374" t="str">
        <f t="shared" si="9"/>
        <v/>
      </c>
      <c r="Y107" s="670" t="str">
        <f t="shared" si="10"/>
        <v/>
      </c>
      <c r="Z107" s="706"/>
      <c r="AA107" s="704"/>
      <c r="AB107" s="120"/>
      <c r="AC107" s="120"/>
      <c r="AD107" s="57" t="str">
        <f>IF(Q107="","",IF(Q107='G-1 All Habitats'!$X$3,E107-T107-U107,"None"))</f>
        <v/>
      </c>
      <c r="AE107" s="58" t="str">
        <f>IF(Q107="","", IF(Q107='G-1 All Habitats'!$X$3, AD107*G107*I107*L107*N107*P107,"None"))</f>
        <v/>
      </c>
      <c r="AH107" s="30">
        <f t="shared" si="11"/>
        <v>0</v>
      </c>
      <c r="AI107" s="124" t="str">
        <f t="shared" si="12"/>
        <v/>
      </c>
      <c r="AJ107" s="124" t="str">
        <f t="shared" si="13"/>
        <v/>
      </c>
      <c r="AL107" s="124">
        <v>98</v>
      </c>
      <c r="AN107" s="124" t="str">
        <f t="array" ref="AN107">IFERROR(INDEX($AL$10:$AL$258, MATCH(0, IF(TRUE=$AI$10:$AI$258, COUNTIF($AN$9:$AN106, $AL$10:$AL$258), ""), 0)),"")</f>
        <v/>
      </c>
      <c r="AO107" s="124" t="str">
        <f t="array" ref="AO107">IFERROR(INDEX($AL$10:$AL$258, MATCH(0, IF(TRUE=$AJ$10:$AJ$258, COUNTIF($AO$9:$AO106, $AL$10:$AL$258), ""), 0)),"")</f>
        <v/>
      </c>
      <c r="AQ107" s="30" t="str">
        <f>IFERROR(INDEX('G-7 WaterC'' Data'!$AZ$3:$AZ$7,MATCH(D107,'G-7 WaterC'' Data'!$AY$3:$AY$7,0)),"")</f>
        <v/>
      </c>
      <c r="AR107" s="30" t="str">
        <f>IFERROR(INDEX('G-7 WaterC'' Data'!AZ107:AZ111,MATCH(D107,'G-7 WaterC'' Data'!$AY$10:$AY$14,0)),"")</f>
        <v/>
      </c>
    </row>
    <row r="108" spans="3:44" ht="15">
      <c r="C108" s="110">
        <v>99</v>
      </c>
      <c r="D108" s="338"/>
      <c r="E108" s="139"/>
      <c r="F108" s="362" t="str">
        <f>IF(D108="","",VLOOKUP(D108,'G-7 WaterC'' Data'!$B$2:$G$8,2,FALSE))</f>
        <v/>
      </c>
      <c r="G108" s="363" t="str">
        <f>IFERROR(VLOOKUP(F108,'G-7 WaterC'' Data'!$C$4:$D$8,2,FALSE),"")</f>
        <v/>
      </c>
      <c r="H108" s="114"/>
      <c r="I108" s="363" t="str">
        <f>IFERROR(INDEX('G-7 WaterC'' Data'!$H$4:$L$8,MATCH(D108,'G-7 WaterC'' Data'!$B$4:$B$8,0),MATCH(H108,'G-7 WaterC'' Data'!$H$3:$L$3,0)),"")</f>
        <v/>
      </c>
      <c r="J108" s="320"/>
      <c r="K108" s="398" t="str">
        <f>IF(J108="","",IF(VLOOKUP(J108,'G-7 WaterC'' Data'!$AK$4:$AM$6,2,FALSE)=0,"Spatial Data Missing ⚠",VLOOKUP(J108,'G-7 WaterC'' Data'!$AK$4:$AM$6,2,FALSE)))</f>
        <v/>
      </c>
      <c r="L108" s="368" t="str">
        <f>IF(J108="","",IF(VLOOKUP(J108,'G-7 WaterC'' Data'!$AK$4:$AM$9,3,FALSE)=0,"Spatial Data Missing ⚠",VLOOKUP(J108,'G-7 WaterC'' Data'!$AK$4:$AM$6,3,FALSE)))</f>
        <v/>
      </c>
      <c r="M108" s="54"/>
      <c r="N108" s="363" t="str">
        <f>IF(M108="","",IF(VLOOKUP(M108,'G-7 WaterC'' Data'!$AA$4:$AB$7,2,FALSE)=0,"Spatial Data Missing ⚠",VLOOKUP(M108,'G-7 WaterC'' Data'!$AA$4:$AB$7,2,FALSE)))</f>
        <v/>
      </c>
      <c r="O108" s="60"/>
      <c r="P108" s="363" t="str">
        <f>IF(O108="","",IF(VLOOKUP(O108,'G-7 WaterC'' Data'!$AD$4:$AE$14,2,FALSE)=0,"Spatial Data Missing ⚠",VLOOKUP(O108,'G-7 WaterC'' Data'!$AD$4:$AE$14,2,FALSE)))</f>
        <v/>
      </c>
      <c r="Q108" s="369" t="str">
        <f>IF(D108="","",VLOOKUP(D108,'G-7 WaterC'' Data'!$B$2:$G$8,6,FALSE))</f>
        <v/>
      </c>
      <c r="R108" s="376" t="str">
        <f>IFERROR(IF(D108="","",IF(AND(Q108='G-1 All Habitats'!$X$3,U108&gt;0),V108+W108,IF(AND(Q108='G-1 All Habitats'!$X$3,T108&gt;0),V108+W108,IF(AND(Q108='G-1 All Habitats'!$X$3,AD108&gt;0),"Any Loss Unacceptable ⚠",IF(AND(Q108='G-1 All Habitats'!$X$3,AE108&gt;0),"Any Loss Unacceptable ⚠", E108*G108*I108*L108*N108*P108 ))))),"Check Data ▲")</f>
        <v/>
      </c>
      <c r="S108" s="32"/>
      <c r="T108" s="114"/>
      <c r="U108" s="125"/>
      <c r="V108" s="374" t="str">
        <f t="shared" si="7"/>
        <v/>
      </c>
      <c r="W108" s="374" t="str">
        <f t="shared" si="8"/>
        <v/>
      </c>
      <c r="X108" s="374" t="str">
        <f t="shared" si="9"/>
        <v/>
      </c>
      <c r="Y108" s="670" t="str">
        <f t="shared" si="10"/>
        <v/>
      </c>
      <c r="Z108" s="706"/>
      <c r="AA108" s="704"/>
      <c r="AB108" s="120"/>
      <c r="AC108" s="120"/>
      <c r="AD108" s="57" t="str">
        <f>IF(Q108="","",IF(Q108='G-1 All Habitats'!$X$3,E108-T108-U108,"None"))</f>
        <v/>
      </c>
      <c r="AE108" s="58" t="str">
        <f>IF(Q108="","", IF(Q108='G-1 All Habitats'!$X$3, AD108*G108*I108*L108*N108*P108,"None"))</f>
        <v/>
      </c>
      <c r="AH108" s="30">
        <f t="shared" si="11"/>
        <v>0</v>
      </c>
      <c r="AI108" s="124" t="str">
        <f t="shared" si="12"/>
        <v/>
      </c>
      <c r="AJ108" s="124" t="str">
        <f t="shared" si="13"/>
        <v/>
      </c>
      <c r="AL108" s="124">
        <v>99</v>
      </c>
      <c r="AN108" s="124" t="str">
        <f t="array" ref="AN108">IFERROR(INDEX($AL$10:$AL$258, MATCH(0, IF(TRUE=$AI$10:$AI$258, COUNTIF($AN$9:$AN107, $AL$10:$AL$258), ""), 0)),"")</f>
        <v/>
      </c>
      <c r="AO108" s="124" t="str">
        <f t="array" ref="AO108">IFERROR(INDEX($AL$10:$AL$258, MATCH(0, IF(TRUE=$AJ$10:$AJ$258, COUNTIF($AO$9:$AO107, $AL$10:$AL$258), ""), 0)),"")</f>
        <v/>
      </c>
      <c r="AQ108" s="30" t="str">
        <f>IFERROR(INDEX('G-7 WaterC'' Data'!$AZ$3:$AZ$7,MATCH(D108,'G-7 WaterC'' Data'!$AY$3:$AY$7,0)),"")</f>
        <v/>
      </c>
      <c r="AR108" s="30" t="str">
        <f>IFERROR(INDEX('G-7 WaterC'' Data'!AZ108:AZ112,MATCH(D108,'G-7 WaterC'' Data'!$AY$10:$AY$14,0)),"")</f>
        <v/>
      </c>
    </row>
    <row r="109" spans="3:44" ht="15">
      <c r="C109" s="110">
        <v>100</v>
      </c>
      <c r="D109" s="338"/>
      <c r="E109" s="139"/>
      <c r="F109" s="362" t="str">
        <f>IF(D109="","",VLOOKUP(D109,'G-7 WaterC'' Data'!$B$2:$G$8,2,FALSE))</f>
        <v/>
      </c>
      <c r="G109" s="363" t="str">
        <f>IFERROR(VLOOKUP(F109,'G-7 WaterC'' Data'!$C$4:$D$8,2,FALSE),"")</f>
        <v/>
      </c>
      <c r="H109" s="114"/>
      <c r="I109" s="363" t="str">
        <f>IFERROR(INDEX('G-7 WaterC'' Data'!$H$4:$L$8,MATCH(D109,'G-7 WaterC'' Data'!$B$4:$B$8,0),MATCH(H109,'G-7 WaterC'' Data'!$H$3:$L$3,0)),"")</f>
        <v/>
      </c>
      <c r="J109" s="320"/>
      <c r="K109" s="398" t="str">
        <f>IF(J109="","",IF(VLOOKUP(J109,'G-7 WaterC'' Data'!$AK$4:$AM$6,2,FALSE)=0,"Spatial Data Missing ⚠",VLOOKUP(J109,'G-7 WaterC'' Data'!$AK$4:$AM$6,2,FALSE)))</f>
        <v/>
      </c>
      <c r="L109" s="368" t="str">
        <f>IF(J109="","",IF(VLOOKUP(J109,'G-7 WaterC'' Data'!$AK$4:$AM$9,3,FALSE)=0,"Spatial Data Missing ⚠",VLOOKUP(J109,'G-7 WaterC'' Data'!$AK$4:$AM$6,3,FALSE)))</f>
        <v/>
      </c>
      <c r="M109" s="54"/>
      <c r="N109" s="363" t="str">
        <f>IF(M109="","",IF(VLOOKUP(M109,'G-7 WaterC'' Data'!$AA$4:$AB$7,2,FALSE)=0,"Spatial Data Missing ⚠",VLOOKUP(M109,'G-7 WaterC'' Data'!$AA$4:$AB$7,2,FALSE)))</f>
        <v/>
      </c>
      <c r="O109" s="60"/>
      <c r="P109" s="363" t="str">
        <f>IF(O109="","",IF(VLOOKUP(O109,'G-7 WaterC'' Data'!$AD$4:$AE$14,2,FALSE)=0,"Spatial Data Missing ⚠",VLOOKUP(O109,'G-7 WaterC'' Data'!$AD$4:$AE$14,2,FALSE)))</f>
        <v/>
      </c>
      <c r="Q109" s="369" t="str">
        <f>IF(D109="","",VLOOKUP(D109,'G-7 WaterC'' Data'!$B$2:$G$8,6,FALSE))</f>
        <v/>
      </c>
      <c r="R109" s="376" t="str">
        <f>IFERROR(IF(D109="","",IF(AND(Q109='G-1 All Habitats'!$X$3,U109&gt;0),V109+W109,IF(AND(Q109='G-1 All Habitats'!$X$3,T109&gt;0),V109+W109,IF(AND(Q109='G-1 All Habitats'!$X$3,AD109&gt;0),"Any Loss Unacceptable ⚠",IF(AND(Q109='G-1 All Habitats'!$X$3,AE109&gt;0),"Any Loss Unacceptable ⚠", E109*G109*I109*L109*N109*P109 ))))),"Check Data ▲")</f>
        <v/>
      </c>
      <c r="S109" s="32"/>
      <c r="T109" s="114"/>
      <c r="U109" s="125"/>
      <c r="V109" s="374" t="str">
        <f t="shared" si="7"/>
        <v/>
      </c>
      <c r="W109" s="374" t="str">
        <f t="shared" si="8"/>
        <v/>
      </c>
      <c r="X109" s="374" t="str">
        <f t="shared" si="9"/>
        <v/>
      </c>
      <c r="Y109" s="670" t="str">
        <f t="shared" si="10"/>
        <v/>
      </c>
      <c r="Z109" s="706"/>
      <c r="AA109" s="704"/>
      <c r="AB109" s="120"/>
      <c r="AC109" s="120"/>
      <c r="AD109" s="57" t="str">
        <f>IF(Q109="","",IF(Q109='G-1 All Habitats'!$X$3,E109-T109-U109,"None"))</f>
        <v/>
      </c>
      <c r="AE109" s="58" t="str">
        <f>IF(Q109="","", IF(Q109='G-1 All Habitats'!$X$3, AD109*G109*I109*L109*N109*P109,"None"))</f>
        <v/>
      </c>
      <c r="AH109" s="30">
        <f t="shared" si="11"/>
        <v>0</v>
      </c>
      <c r="AI109" s="124" t="str">
        <f t="shared" si="12"/>
        <v/>
      </c>
      <c r="AJ109" s="124" t="str">
        <f t="shared" si="13"/>
        <v/>
      </c>
      <c r="AL109" s="124">
        <v>100</v>
      </c>
      <c r="AN109" s="124" t="str">
        <f t="array" ref="AN109">IFERROR(INDEX($AL$10:$AL$258, MATCH(0, IF(TRUE=$AI$10:$AI$258, COUNTIF($AN$9:$AN108, $AL$10:$AL$258), ""), 0)),"")</f>
        <v/>
      </c>
      <c r="AO109" s="124" t="str">
        <f t="array" ref="AO109">IFERROR(INDEX($AL$10:$AL$258, MATCH(0, IF(TRUE=$AJ$10:$AJ$258, COUNTIF($AO$9:$AO108, $AL$10:$AL$258), ""), 0)),"")</f>
        <v/>
      </c>
      <c r="AQ109" s="30" t="str">
        <f>IFERROR(INDEX('G-7 WaterC'' Data'!$AZ$3:$AZ$7,MATCH(D109,'G-7 WaterC'' Data'!$AY$3:$AY$7,0)),"")</f>
        <v/>
      </c>
      <c r="AR109" s="30" t="str">
        <f>IFERROR(INDEX('G-7 WaterC'' Data'!AZ109:AZ113,MATCH(D109,'G-7 WaterC'' Data'!$AY$10:$AY$14,0)),"")</f>
        <v/>
      </c>
    </row>
    <row r="110" spans="3:44" ht="15">
      <c r="C110" s="110">
        <v>101</v>
      </c>
      <c r="D110" s="338"/>
      <c r="E110" s="139"/>
      <c r="F110" s="362" t="str">
        <f>IF(D110="","",VLOOKUP(D110,'G-7 WaterC'' Data'!$B$2:$G$8,2,FALSE))</f>
        <v/>
      </c>
      <c r="G110" s="363" t="str">
        <f>IFERROR(VLOOKUP(F110,'G-7 WaterC'' Data'!$C$4:$D$8,2,FALSE),"")</f>
        <v/>
      </c>
      <c r="H110" s="114"/>
      <c r="I110" s="363" t="str">
        <f>IFERROR(INDEX('G-7 WaterC'' Data'!$H$4:$L$8,MATCH(D110,'G-7 WaterC'' Data'!$B$4:$B$8,0),MATCH(H110,'G-7 WaterC'' Data'!$H$3:$L$3,0)),"")</f>
        <v/>
      </c>
      <c r="J110" s="320"/>
      <c r="K110" s="398" t="str">
        <f>IF(J110="","",IF(VLOOKUP(J110,'G-7 WaterC'' Data'!$AK$4:$AM$6,2,FALSE)=0,"Spatial Data Missing ⚠",VLOOKUP(J110,'G-7 WaterC'' Data'!$AK$4:$AM$6,2,FALSE)))</f>
        <v/>
      </c>
      <c r="L110" s="368" t="str">
        <f>IF(J110="","",IF(VLOOKUP(J110,'G-7 WaterC'' Data'!$AK$4:$AM$9,3,FALSE)=0,"Spatial Data Missing ⚠",VLOOKUP(J110,'G-7 WaterC'' Data'!$AK$4:$AM$6,3,FALSE)))</f>
        <v/>
      </c>
      <c r="M110" s="54"/>
      <c r="N110" s="363" t="str">
        <f>IF(M110="","",IF(VLOOKUP(M110,'G-7 WaterC'' Data'!$AA$4:$AB$7,2,FALSE)=0,"Spatial Data Missing ⚠",VLOOKUP(M110,'G-7 WaterC'' Data'!$AA$4:$AB$7,2,FALSE)))</f>
        <v/>
      </c>
      <c r="O110" s="60"/>
      <c r="P110" s="363" t="str">
        <f>IF(O110="","",IF(VLOOKUP(O110,'G-7 WaterC'' Data'!$AD$4:$AE$14,2,FALSE)=0,"Spatial Data Missing ⚠",VLOOKUP(O110,'G-7 WaterC'' Data'!$AD$4:$AE$14,2,FALSE)))</f>
        <v/>
      </c>
      <c r="Q110" s="369" t="str">
        <f>IF(D110="","",VLOOKUP(D110,'G-7 WaterC'' Data'!$B$2:$G$8,6,FALSE))</f>
        <v/>
      </c>
      <c r="R110" s="376" t="str">
        <f>IFERROR(IF(D110="","",IF(AND(Q110='G-1 All Habitats'!$X$3,U110&gt;0),V110+W110,IF(AND(Q110='G-1 All Habitats'!$X$3,T110&gt;0),V110+W110,IF(AND(Q110='G-1 All Habitats'!$X$3,AD110&gt;0),"Any Loss Unacceptable ⚠",IF(AND(Q110='G-1 All Habitats'!$X$3,AE110&gt;0),"Any Loss Unacceptable ⚠", E110*G110*I110*L110*N110*P110 ))))),"Check Data ▲")</f>
        <v/>
      </c>
      <c r="S110" s="32"/>
      <c r="T110" s="114"/>
      <c r="U110" s="125"/>
      <c r="V110" s="374" t="str">
        <f t="shared" si="7"/>
        <v/>
      </c>
      <c r="W110" s="374" t="str">
        <f t="shared" si="8"/>
        <v/>
      </c>
      <c r="X110" s="374" t="str">
        <f t="shared" si="9"/>
        <v/>
      </c>
      <c r="Y110" s="670" t="str">
        <f t="shared" si="10"/>
        <v/>
      </c>
      <c r="Z110" s="706"/>
      <c r="AA110" s="704"/>
      <c r="AB110" s="120"/>
      <c r="AC110" s="120"/>
      <c r="AD110" s="57" t="str">
        <f>IF(Q110="","",IF(Q110='G-1 All Habitats'!$X$3,E110-T110-U110,"None"))</f>
        <v/>
      </c>
      <c r="AE110" s="58" t="str">
        <f>IF(Q110="","", IF(Q110='G-1 All Habitats'!$X$3, AD110*G110*I110*L110*N110*P110,"None"))</f>
        <v/>
      </c>
      <c r="AH110" s="30">
        <f t="shared" si="11"/>
        <v>0</v>
      </c>
      <c r="AI110" s="124" t="str">
        <f t="shared" si="12"/>
        <v/>
      </c>
      <c r="AJ110" s="124" t="str">
        <f t="shared" si="13"/>
        <v/>
      </c>
      <c r="AL110" s="124">
        <v>101</v>
      </c>
      <c r="AN110" s="124" t="str">
        <f t="array" ref="AN110">IFERROR(INDEX($AL$10:$AL$258, MATCH(0, IF(TRUE=$AI$10:$AI$258, COUNTIF($AN$9:$AN109, $AL$10:$AL$258), ""), 0)),"")</f>
        <v/>
      </c>
      <c r="AO110" s="124" t="str">
        <f t="array" ref="AO110">IFERROR(INDEX($AL$10:$AL$258, MATCH(0, IF(TRUE=$AJ$10:$AJ$258, COUNTIF($AO$9:$AO109, $AL$10:$AL$258), ""), 0)),"")</f>
        <v/>
      </c>
      <c r="AQ110" s="30" t="str">
        <f>IFERROR(INDEX('G-7 WaterC'' Data'!$AZ$3:$AZ$7,MATCH(D110,'G-7 WaterC'' Data'!$AY$3:$AY$7,0)),"")</f>
        <v/>
      </c>
      <c r="AR110" s="30" t="str">
        <f>IFERROR(INDEX('G-7 WaterC'' Data'!AZ110:AZ114,MATCH(D110,'G-7 WaterC'' Data'!$AY$10:$AY$14,0)),"")</f>
        <v/>
      </c>
    </row>
    <row r="111" spans="3:44" ht="15">
      <c r="C111" s="110">
        <v>102</v>
      </c>
      <c r="D111" s="338"/>
      <c r="E111" s="139"/>
      <c r="F111" s="362" t="str">
        <f>IF(D111="","",VLOOKUP(D111,'G-7 WaterC'' Data'!$B$2:$G$8,2,FALSE))</f>
        <v/>
      </c>
      <c r="G111" s="363" t="str">
        <f>IFERROR(VLOOKUP(F111,'G-7 WaterC'' Data'!$C$4:$D$8,2,FALSE),"")</f>
        <v/>
      </c>
      <c r="H111" s="114"/>
      <c r="I111" s="363" t="str">
        <f>IFERROR(INDEX('G-7 WaterC'' Data'!$H$4:$L$8,MATCH(D111,'G-7 WaterC'' Data'!$B$4:$B$8,0),MATCH(H111,'G-7 WaterC'' Data'!$H$3:$L$3,0)),"")</f>
        <v/>
      </c>
      <c r="J111" s="320"/>
      <c r="K111" s="398" t="str">
        <f>IF(J111="","",IF(VLOOKUP(J111,'G-7 WaterC'' Data'!$AK$4:$AM$6,2,FALSE)=0,"Spatial Data Missing ⚠",VLOOKUP(J111,'G-7 WaterC'' Data'!$AK$4:$AM$6,2,FALSE)))</f>
        <v/>
      </c>
      <c r="L111" s="368" t="str">
        <f>IF(J111="","",IF(VLOOKUP(J111,'G-7 WaterC'' Data'!$AK$4:$AM$9,3,FALSE)=0,"Spatial Data Missing ⚠",VLOOKUP(J111,'G-7 WaterC'' Data'!$AK$4:$AM$6,3,FALSE)))</f>
        <v/>
      </c>
      <c r="M111" s="54"/>
      <c r="N111" s="363" t="str">
        <f>IF(M111="","",IF(VLOOKUP(M111,'G-7 WaterC'' Data'!$AA$4:$AB$7,2,FALSE)=0,"Spatial Data Missing ⚠",VLOOKUP(M111,'G-7 WaterC'' Data'!$AA$4:$AB$7,2,FALSE)))</f>
        <v/>
      </c>
      <c r="O111" s="60"/>
      <c r="P111" s="363" t="str">
        <f>IF(O111="","",IF(VLOOKUP(O111,'G-7 WaterC'' Data'!$AD$4:$AE$14,2,FALSE)=0,"Spatial Data Missing ⚠",VLOOKUP(O111,'G-7 WaterC'' Data'!$AD$4:$AE$14,2,FALSE)))</f>
        <v/>
      </c>
      <c r="Q111" s="369" t="str">
        <f>IF(D111="","",VLOOKUP(D111,'G-7 WaterC'' Data'!$B$2:$G$8,6,FALSE))</f>
        <v/>
      </c>
      <c r="R111" s="376" t="str">
        <f>IFERROR(IF(D111="","",IF(AND(Q111='G-1 All Habitats'!$X$3,U111&gt;0),V111+W111,IF(AND(Q111='G-1 All Habitats'!$X$3,T111&gt;0),V111+W111,IF(AND(Q111='G-1 All Habitats'!$X$3,AD111&gt;0),"Any Loss Unacceptable ⚠",IF(AND(Q111='G-1 All Habitats'!$X$3,AE111&gt;0),"Any Loss Unacceptable ⚠", E111*G111*I111*L111*N111*P111 ))))),"Check Data ▲")</f>
        <v/>
      </c>
      <c r="S111" s="32"/>
      <c r="T111" s="114"/>
      <c r="U111" s="125"/>
      <c r="V111" s="374" t="str">
        <f t="shared" si="7"/>
        <v/>
      </c>
      <c r="W111" s="374" t="str">
        <f t="shared" si="8"/>
        <v/>
      </c>
      <c r="X111" s="374" t="str">
        <f t="shared" si="9"/>
        <v/>
      </c>
      <c r="Y111" s="670" t="str">
        <f t="shared" si="10"/>
        <v/>
      </c>
      <c r="Z111" s="706"/>
      <c r="AA111" s="704"/>
      <c r="AB111" s="120"/>
      <c r="AC111" s="120"/>
      <c r="AD111" s="57" t="str">
        <f>IF(Q111="","",IF(Q111='G-1 All Habitats'!$X$3,E111-T111-U111,"None"))</f>
        <v/>
      </c>
      <c r="AE111" s="58" t="str">
        <f>IF(Q111="","", IF(Q111='G-1 All Habitats'!$X$3, AD111*G111*I111*L111*N111*P111,"None"))</f>
        <v/>
      </c>
      <c r="AH111" s="30">
        <f t="shared" si="11"/>
        <v>0</v>
      </c>
      <c r="AI111" s="124" t="str">
        <f t="shared" si="12"/>
        <v/>
      </c>
      <c r="AJ111" s="124" t="str">
        <f t="shared" si="13"/>
        <v/>
      </c>
      <c r="AL111" s="124">
        <v>102</v>
      </c>
      <c r="AN111" s="124" t="str">
        <f t="array" ref="AN111">IFERROR(INDEX($AL$10:$AL$258, MATCH(0, IF(TRUE=$AI$10:$AI$258, COUNTIF($AN$9:$AN110, $AL$10:$AL$258), ""), 0)),"")</f>
        <v/>
      </c>
      <c r="AO111" s="124" t="str">
        <f t="array" ref="AO111">IFERROR(INDEX($AL$10:$AL$258, MATCH(0, IF(TRUE=$AJ$10:$AJ$258, COUNTIF($AO$9:$AO110, $AL$10:$AL$258), ""), 0)),"")</f>
        <v/>
      </c>
      <c r="AQ111" s="30" t="str">
        <f>IFERROR(INDEX('G-7 WaterC'' Data'!$AZ$3:$AZ$7,MATCH(D111,'G-7 WaterC'' Data'!$AY$3:$AY$7,0)),"")</f>
        <v/>
      </c>
      <c r="AR111" s="30" t="str">
        <f>IFERROR(INDEX('G-7 WaterC'' Data'!AZ111:AZ115,MATCH(D111,'G-7 WaterC'' Data'!$AY$10:$AY$14,0)),"")</f>
        <v/>
      </c>
    </row>
    <row r="112" spans="3:44" ht="15">
      <c r="C112" s="110">
        <v>103</v>
      </c>
      <c r="D112" s="338"/>
      <c r="E112" s="139"/>
      <c r="F112" s="362" t="str">
        <f>IF(D112="","",VLOOKUP(D112,'G-7 WaterC'' Data'!$B$2:$G$8,2,FALSE))</f>
        <v/>
      </c>
      <c r="G112" s="363" t="str">
        <f>IFERROR(VLOOKUP(F112,'G-7 WaterC'' Data'!$C$4:$D$8,2,FALSE),"")</f>
        <v/>
      </c>
      <c r="H112" s="114"/>
      <c r="I112" s="363" t="str">
        <f>IFERROR(INDEX('G-7 WaterC'' Data'!$H$4:$L$8,MATCH(D112,'G-7 WaterC'' Data'!$B$4:$B$8,0),MATCH(H112,'G-7 WaterC'' Data'!$H$3:$L$3,0)),"")</f>
        <v/>
      </c>
      <c r="J112" s="320"/>
      <c r="K112" s="398" t="str">
        <f>IF(J112="","",IF(VLOOKUP(J112,'G-7 WaterC'' Data'!$AK$4:$AM$6,2,FALSE)=0,"Spatial Data Missing ⚠",VLOOKUP(J112,'G-7 WaterC'' Data'!$AK$4:$AM$6,2,FALSE)))</f>
        <v/>
      </c>
      <c r="L112" s="368" t="str">
        <f>IF(J112="","",IF(VLOOKUP(J112,'G-7 WaterC'' Data'!$AK$4:$AM$9,3,FALSE)=0,"Spatial Data Missing ⚠",VLOOKUP(J112,'G-7 WaterC'' Data'!$AK$4:$AM$6,3,FALSE)))</f>
        <v/>
      </c>
      <c r="M112" s="54"/>
      <c r="N112" s="363" t="str">
        <f>IF(M112="","",IF(VLOOKUP(M112,'G-7 WaterC'' Data'!$AA$4:$AB$7,2,FALSE)=0,"Spatial Data Missing ⚠",VLOOKUP(M112,'G-7 WaterC'' Data'!$AA$4:$AB$7,2,FALSE)))</f>
        <v/>
      </c>
      <c r="O112" s="60"/>
      <c r="P112" s="363" t="str">
        <f>IF(O112="","",IF(VLOOKUP(O112,'G-7 WaterC'' Data'!$AD$4:$AE$14,2,FALSE)=0,"Spatial Data Missing ⚠",VLOOKUP(O112,'G-7 WaterC'' Data'!$AD$4:$AE$14,2,FALSE)))</f>
        <v/>
      </c>
      <c r="Q112" s="369" t="str">
        <f>IF(D112="","",VLOOKUP(D112,'G-7 WaterC'' Data'!$B$2:$G$8,6,FALSE))</f>
        <v/>
      </c>
      <c r="R112" s="376" t="str">
        <f>IFERROR(IF(D112="","",IF(AND(Q112='G-1 All Habitats'!$X$3,U112&gt;0),V112+W112,IF(AND(Q112='G-1 All Habitats'!$X$3,T112&gt;0),V112+W112,IF(AND(Q112='G-1 All Habitats'!$X$3,AD112&gt;0),"Any Loss Unacceptable ⚠",IF(AND(Q112='G-1 All Habitats'!$X$3,AE112&gt;0),"Any Loss Unacceptable ⚠", E112*G112*I112*L112*N112*P112 ))))),"Check Data ▲")</f>
        <v/>
      </c>
      <c r="S112" s="32"/>
      <c r="T112" s="114"/>
      <c r="U112" s="125"/>
      <c r="V112" s="374" t="str">
        <f t="shared" si="7"/>
        <v/>
      </c>
      <c r="W112" s="374" t="str">
        <f t="shared" si="8"/>
        <v/>
      </c>
      <c r="X112" s="374" t="str">
        <f t="shared" si="9"/>
        <v/>
      </c>
      <c r="Y112" s="670" t="str">
        <f t="shared" si="10"/>
        <v/>
      </c>
      <c r="Z112" s="706"/>
      <c r="AA112" s="704"/>
      <c r="AB112" s="120"/>
      <c r="AC112" s="120"/>
      <c r="AD112" s="57" t="str">
        <f>IF(Q112="","",IF(Q112='G-1 All Habitats'!$X$3,E112-T112-U112,"None"))</f>
        <v/>
      </c>
      <c r="AE112" s="58" t="str">
        <f>IF(Q112="","", IF(Q112='G-1 All Habitats'!$X$3, AD112*G112*I112*L112*N112*P112,"None"))</f>
        <v/>
      </c>
      <c r="AH112" s="30">
        <f t="shared" si="11"/>
        <v>0</v>
      </c>
      <c r="AI112" s="124" t="str">
        <f t="shared" si="12"/>
        <v/>
      </c>
      <c r="AJ112" s="124" t="str">
        <f t="shared" si="13"/>
        <v/>
      </c>
      <c r="AL112" s="124">
        <v>103</v>
      </c>
      <c r="AN112" s="124" t="str">
        <f t="array" ref="AN112">IFERROR(INDEX($AL$10:$AL$258, MATCH(0, IF(TRUE=$AI$10:$AI$258, COUNTIF($AN$9:$AN111, $AL$10:$AL$258), ""), 0)),"")</f>
        <v/>
      </c>
      <c r="AO112" s="124" t="str">
        <f t="array" ref="AO112">IFERROR(INDEX($AL$10:$AL$258, MATCH(0, IF(TRUE=$AJ$10:$AJ$258, COUNTIF($AO$9:$AO111, $AL$10:$AL$258), ""), 0)),"")</f>
        <v/>
      </c>
      <c r="AQ112" s="30" t="str">
        <f>IFERROR(INDEX('G-7 WaterC'' Data'!$AZ$3:$AZ$7,MATCH(D112,'G-7 WaterC'' Data'!$AY$3:$AY$7,0)),"")</f>
        <v/>
      </c>
      <c r="AR112" s="30" t="str">
        <f>IFERROR(INDEX('G-7 WaterC'' Data'!AZ112:AZ116,MATCH(D112,'G-7 WaterC'' Data'!$AY$10:$AY$14,0)),"")</f>
        <v/>
      </c>
    </row>
    <row r="113" spans="3:44" ht="15">
      <c r="C113" s="110">
        <v>104</v>
      </c>
      <c r="D113" s="338"/>
      <c r="E113" s="139"/>
      <c r="F113" s="362" t="str">
        <f>IF(D113="","",VLOOKUP(D113,'G-7 WaterC'' Data'!$B$2:$G$8,2,FALSE))</f>
        <v/>
      </c>
      <c r="G113" s="363" t="str">
        <f>IFERROR(VLOOKUP(F113,'G-7 WaterC'' Data'!$C$4:$D$8,2,FALSE),"")</f>
        <v/>
      </c>
      <c r="H113" s="114"/>
      <c r="I113" s="363" t="str">
        <f>IFERROR(INDEX('G-7 WaterC'' Data'!$H$4:$L$8,MATCH(D113,'G-7 WaterC'' Data'!$B$4:$B$8,0),MATCH(H113,'G-7 WaterC'' Data'!$H$3:$L$3,0)),"")</f>
        <v/>
      </c>
      <c r="J113" s="320"/>
      <c r="K113" s="398" t="str">
        <f>IF(J113="","",IF(VLOOKUP(J113,'G-7 WaterC'' Data'!$AK$4:$AM$6,2,FALSE)=0,"Spatial Data Missing ⚠",VLOOKUP(J113,'G-7 WaterC'' Data'!$AK$4:$AM$6,2,FALSE)))</f>
        <v/>
      </c>
      <c r="L113" s="368" t="str">
        <f>IF(J113="","",IF(VLOOKUP(J113,'G-7 WaterC'' Data'!$AK$4:$AM$9,3,FALSE)=0,"Spatial Data Missing ⚠",VLOOKUP(J113,'G-7 WaterC'' Data'!$AK$4:$AM$6,3,FALSE)))</f>
        <v/>
      </c>
      <c r="M113" s="54"/>
      <c r="N113" s="363" t="str">
        <f>IF(M113="","",IF(VLOOKUP(M113,'G-7 WaterC'' Data'!$AA$4:$AB$7,2,FALSE)=0,"Spatial Data Missing ⚠",VLOOKUP(M113,'G-7 WaterC'' Data'!$AA$4:$AB$7,2,FALSE)))</f>
        <v/>
      </c>
      <c r="O113" s="60"/>
      <c r="P113" s="363" t="str">
        <f>IF(O113="","",IF(VLOOKUP(O113,'G-7 WaterC'' Data'!$AD$4:$AE$14,2,FALSE)=0,"Spatial Data Missing ⚠",VLOOKUP(O113,'G-7 WaterC'' Data'!$AD$4:$AE$14,2,FALSE)))</f>
        <v/>
      </c>
      <c r="Q113" s="369" t="str">
        <f>IF(D113="","",VLOOKUP(D113,'G-7 WaterC'' Data'!$B$2:$G$8,6,FALSE))</f>
        <v/>
      </c>
      <c r="R113" s="376" t="str">
        <f>IFERROR(IF(D113="","",IF(AND(Q113='G-1 All Habitats'!$X$3,U113&gt;0),V113+W113,IF(AND(Q113='G-1 All Habitats'!$X$3,T113&gt;0),V113+W113,IF(AND(Q113='G-1 All Habitats'!$X$3,AD113&gt;0),"Any Loss Unacceptable ⚠",IF(AND(Q113='G-1 All Habitats'!$X$3,AE113&gt;0),"Any Loss Unacceptable ⚠", E113*G113*I113*L113*N113*P113 ))))),"Check Data ▲")</f>
        <v/>
      </c>
      <c r="S113" s="32"/>
      <c r="T113" s="114"/>
      <c r="U113" s="125"/>
      <c r="V113" s="374" t="str">
        <f t="shared" si="7"/>
        <v/>
      </c>
      <c r="W113" s="374" t="str">
        <f t="shared" si="8"/>
        <v/>
      </c>
      <c r="X113" s="374" t="str">
        <f t="shared" si="9"/>
        <v/>
      </c>
      <c r="Y113" s="670" t="str">
        <f t="shared" si="10"/>
        <v/>
      </c>
      <c r="Z113" s="706"/>
      <c r="AA113" s="704"/>
      <c r="AB113" s="120"/>
      <c r="AC113" s="120"/>
      <c r="AD113" s="57" t="str">
        <f>IF(Q113="","",IF(Q113='G-1 All Habitats'!$X$3,E113-T113-U113,"None"))</f>
        <v/>
      </c>
      <c r="AE113" s="58" t="str">
        <f>IF(Q113="","", IF(Q113='G-1 All Habitats'!$X$3, AD113*G113*I113*L113*N113*P113,"None"))</f>
        <v/>
      </c>
      <c r="AH113" s="30">
        <f t="shared" si="11"/>
        <v>0</v>
      </c>
      <c r="AI113" s="124" t="str">
        <f t="shared" si="12"/>
        <v/>
      </c>
      <c r="AJ113" s="124" t="str">
        <f t="shared" si="13"/>
        <v/>
      </c>
      <c r="AL113" s="124">
        <v>104</v>
      </c>
      <c r="AN113" s="124" t="str">
        <f t="array" ref="AN113">IFERROR(INDEX($AL$10:$AL$258, MATCH(0, IF(TRUE=$AI$10:$AI$258, COUNTIF($AN$9:$AN112, $AL$10:$AL$258), ""), 0)),"")</f>
        <v/>
      </c>
      <c r="AO113" s="124" t="str">
        <f t="array" ref="AO113">IFERROR(INDEX($AL$10:$AL$258, MATCH(0, IF(TRUE=$AJ$10:$AJ$258, COUNTIF($AO$9:$AO112, $AL$10:$AL$258), ""), 0)),"")</f>
        <v/>
      </c>
      <c r="AQ113" s="30" t="str">
        <f>IFERROR(INDEX('G-7 WaterC'' Data'!$AZ$3:$AZ$7,MATCH(D113,'G-7 WaterC'' Data'!$AY$3:$AY$7,0)),"")</f>
        <v/>
      </c>
      <c r="AR113" s="30" t="str">
        <f>IFERROR(INDEX('G-7 WaterC'' Data'!AZ113:AZ117,MATCH(D113,'G-7 WaterC'' Data'!$AY$10:$AY$14,0)),"")</f>
        <v/>
      </c>
    </row>
    <row r="114" spans="3:44" ht="15">
      <c r="C114" s="110">
        <v>105</v>
      </c>
      <c r="D114" s="338"/>
      <c r="E114" s="139"/>
      <c r="F114" s="362" t="str">
        <f>IF(D114="","",VLOOKUP(D114,'G-7 WaterC'' Data'!$B$2:$G$8,2,FALSE))</f>
        <v/>
      </c>
      <c r="G114" s="363" t="str">
        <f>IFERROR(VLOOKUP(F114,'G-7 WaterC'' Data'!$C$4:$D$8,2,FALSE),"")</f>
        <v/>
      </c>
      <c r="H114" s="114"/>
      <c r="I114" s="363" t="str">
        <f>IFERROR(INDEX('G-7 WaterC'' Data'!$H$4:$L$8,MATCH(D114,'G-7 WaterC'' Data'!$B$4:$B$8,0),MATCH(H114,'G-7 WaterC'' Data'!$H$3:$L$3,0)),"")</f>
        <v/>
      </c>
      <c r="J114" s="320"/>
      <c r="K114" s="398" t="str">
        <f>IF(J114="","",IF(VLOOKUP(J114,'G-7 WaterC'' Data'!$AK$4:$AM$6,2,FALSE)=0,"Spatial Data Missing ⚠",VLOOKUP(J114,'G-7 WaterC'' Data'!$AK$4:$AM$6,2,FALSE)))</f>
        <v/>
      </c>
      <c r="L114" s="368" t="str">
        <f>IF(J114="","",IF(VLOOKUP(J114,'G-7 WaterC'' Data'!$AK$4:$AM$9,3,FALSE)=0,"Spatial Data Missing ⚠",VLOOKUP(J114,'G-7 WaterC'' Data'!$AK$4:$AM$6,3,FALSE)))</f>
        <v/>
      </c>
      <c r="M114" s="54"/>
      <c r="N114" s="363" t="str">
        <f>IF(M114="","",IF(VLOOKUP(M114,'G-7 WaterC'' Data'!$AA$4:$AB$7,2,FALSE)=0,"Spatial Data Missing ⚠",VLOOKUP(M114,'G-7 WaterC'' Data'!$AA$4:$AB$7,2,FALSE)))</f>
        <v/>
      </c>
      <c r="O114" s="60"/>
      <c r="P114" s="363" t="str">
        <f>IF(O114="","",IF(VLOOKUP(O114,'G-7 WaterC'' Data'!$AD$4:$AE$14,2,FALSE)=0,"Spatial Data Missing ⚠",VLOOKUP(O114,'G-7 WaterC'' Data'!$AD$4:$AE$14,2,FALSE)))</f>
        <v/>
      </c>
      <c r="Q114" s="369" t="str">
        <f>IF(D114="","",VLOOKUP(D114,'G-7 WaterC'' Data'!$B$2:$G$8,6,FALSE))</f>
        <v/>
      </c>
      <c r="R114" s="376" t="str">
        <f>IFERROR(IF(D114="","",IF(AND(Q114='G-1 All Habitats'!$X$3,U114&gt;0),V114+W114,IF(AND(Q114='G-1 All Habitats'!$X$3,T114&gt;0),V114+W114,IF(AND(Q114='G-1 All Habitats'!$X$3,AD114&gt;0),"Any Loss Unacceptable ⚠",IF(AND(Q114='G-1 All Habitats'!$X$3,AE114&gt;0),"Any Loss Unacceptable ⚠", E114*G114*I114*L114*N114*P114 ))))),"Check Data ▲")</f>
        <v/>
      </c>
      <c r="S114" s="32"/>
      <c r="T114" s="114"/>
      <c r="U114" s="125"/>
      <c r="V114" s="374" t="str">
        <f t="shared" si="7"/>
        <v/>
      </c>
      <c r="W114" s="374" t="str">
        <f t="shared" si="8"/>
        <v/>
      </c>
      <c r="X114" s="374" t="str">
        <f t="shared" si="9"/>
        <v/>
      </c>
      <c r="Y114" s="670" t="str">
        <f t="shared" si="10"/>
        <v/>
      </c>
      <c r="Z114" s="706"/>
      <c r="AA114" s="704"/>
      <c r="AB114" s="120"/>
      <c r="AC114" s="120"/>
      <c r="AD114" s="57" t="str">
        <f>IF(Q114="","",IF(Q114='G-1 All Habitats'!$X$3,E114-T114-U114,"None"))</f>
        <v/>
      </c>
      <c r="AE114" s="58" t="str">
        <f>IF(Q114="","", IF(Q114='G-1 All Habitats'!$X$3, AD114*G114*I114*L114*N114*P114,"None"))</f>
        <v/>
      </c>
      <c r="AH114" s="30">
        <f t="shared" si="11"/>
        <v>0</v>
      </c>
      <c r="AI114" s="124" t="str">
        <f t="shared" si="12"/>
        <v/>
      </c>
      <c r="AJ114" s="124" t="str">
        <f t="shared" si="13"/>
        <v/>
      </c>
      <c r="AL114" s="124">
        <v>105</v>
      </c>
      <c r="AN114" s="124" t="str">
        <f t="array" ref="AN114">IFERROR(INDEX($AL$10:$AL$258, MATCH(0, IF(TRUE=$AI$10:$AI$258, COUNTIF($AN$9:$AN113, $AL$10:$AL$258), ""), 0)),"")</f>
        <v/>
      </c>
      <c r="AO114" s="124" t="str">
        <f t="array" ref="AO114">IFERROR(INDEX($AL$10:$AL$258, MATCH(0, IF(TRUE=$AJ$10:$AJ$258, COUNTIF($AO$9:$AO113, $AL$10:$AL$258), ""), 0)),"")</f>
        <v/>
      </c>
      <c r="AQ114" s="30" t="str">
        <f>IFERROR(INDEX('G-7 WaterC'' Data'!$AZ$3:$AZ$7,MATCH(D114,'G-7 WaterC'' Data'!$AY$3:$AY$7,0)),"")</f>
        <v/>
      </c>
      <c r="AR114" s="30" t="str">
        <f>IFERROR(INDEX('G-7 WaterC'' Data'!AZ114:AZ118,MATCH(D114,'G-7 WaterC'' Data'!$AY$10:$AY$14,0)),"")</f>
        <v/>
      </c>
    </row>
    <row r="115" spans="3:44" ht="15">
      <c r="C115" s="110">
        <v>106</v>
      </c>
      <c r="D115" s="338"/>
      <c r="E115" s="139"/>
      <c r="F115" s="362" t="str">
        <f>IF(D115="","",VLOOKUP(D115,'G-7 WaterC'' Data'!$B$2:$G$8,2,FALSE))</f>
        <v/>
      </c>
      <c r="G115" s="363" t="str">
        <f>IFERROR(VLOOKUP(F115,'G-7 WaterC'' Data'!$C$4:$D$8,2,FALSE),"")</f>
        <v/>
      </c>
      <c r="H115" s="114"/>
      <c r="I115" s="363" t="str">
        <f>IFERROR(INDEX('G-7 WaterC'' Data'!$H$4:$L$8,MATCH(D115,'G-7 WaterC'' Data'!$B$4:$B$8,0),MATCH(H115,'G-7 WaterC'' Data'!$H$3:$L$3,0)),"")</f>
        <v/>
      </c>
      <c r="J115" s="320"/>
      <c r="K115" s="398" t="str">
        <f>IF(J115="","",IF(VLOOKUP(J115,'G-7 WaterC'' Data'!$AK$4:$AM$6,2,FALSE)=0,"Spatial Data Missing ⚠",VLOOKUP(J115,'G-7 WaterC'' Data'!$AK$4:$AM$6,2,FALSE)))</f>
        <v/>
      </c>
      <c r="L115" s="368" t="str">
        <f>IF(J115="","",IF(VLOOKUP(J115,'G-7 WaterC'' Data'!$AK$4:$AM$9,3,FALSE)=0,"Spatial Data Missing ⚠",VLOOKUP(J115,'G-7 WaterC'' Data'!$AK$4:$AM$6,3,FALSE)))</f>
        <v/>
      </c>
      <c r="M115" s="54"/>
      <c r="N115" s="363" t="str">
        <f>IF(M115="","",IF(VLOOKUP(M115,'G-7 WaterC'' Data'!$AA$4:$AB$7,2,FALSE)=0,"Spatial Data Missing ⚠",VLOOKUP(M115,'G-7 WaterC'' Data'!$AA$4:$AB$7,2,FALSE)))</f>
        <v/>
      </c>
      <c r="O115" s="60"/>
      <c r="P115" s="363" t="str">
        <f>IF(O115="","",IF(VLOOKUP(O115,'G-7 WaterC'' Data'!$AD$4:$AE$14,2,FALSE)=0,"Spatial Data Missing ⚠",VLOOKUP(O115,'G-7 WaterC'' Data'!$AD$4:$AE$14,2,FALSE)))</f>
        <v/>
      </c>
      <c r="Q115" s="369" t="str">
        <f>IF(D115="","",VLOOKUP(D115,'G-7 WaterC'' Data'!$B$2:$G$8,6,FALSE))</f>
        <v/>
      </c>
      <c r="R115" s="376" t="str">
        <f>IFERROR(IF(D115="","",IF(AND(Q115='G-1 All Habitats'!$X$3,U115&gt;0),V115+W115,IF(AND(Q115='G-1 All Habitats'!$X$3,T115&gt;0),V115+W115,IF(AND(Q115='G-1 All Habitats'!$X$3,AD115&gt;0),"Any Loss Unacceptable ⚠",IF(AND(Q115='G-1 All Habitats'!$X$3,AE115&gt;0),"Any Loss Unacceptable ⚠", E115*G115*I115*L115*N115*P115 ))))),"Check Data ▲")</f>
        <v/>
      </c>
      <c r="S115" s="32"/>
      <c r="T115" s="114"/>
      <c r="U115" s="125"/>
      <c r="V115" s="374" t="str">
        <f t="shared" si="7"/>
        <v/>
      </c>
      <c r="W115" s="374" t="str">
        <f t="shared" si="8"/>
        <v/>
      </c>
      <c r="X115" s="374" t="str">
        <f t="shared" si="9"/>
        <v/>
      </c>
      <c r="Y115" s="670" t="str">
        <f t="shared" si="10"/>
        <v/>
      </c>
      <c r="Z115" s="706"/>
      <c r="AA115" s="704"/>
      <c r="AB115" s="120"/>
      <c r="AC115" s="120"/>
      <c r="AD115" s="57" t="str">
        <f>IF(Q115="","",IF(Q115='G-1 All Habitats'!$X$3,E115-T115-U115,"None"))</f>
        <v/>
      </c>
      <c r="AE115" s="58" t="str">
        <f>IF(Q115="","", IF(Q115='G-1 All Habitats'!$X$3, AD115*G115*I115*L115*N115*P115,"None"))</f>
        <v/>
      </c>
      <c r="AH115" s="30">
        <f t="shared" si="11"/>
        <v>0</v>
      </c>
      <c r="AI115" s="124" t="str">
        <f t="shared" si="12"/>
        <v/>
      </c>
      <c r="AJ115" s="124" t="str">
        <f t="shared" si="13"/>
        <v/>
      </c>
      <c r="AL115" s="124">
        <v>106</v>
      </c>
      <c r="AN115" s="124" t="str">
        <f t="array" ref="AN115">IFERROR(INDEX($AL$10:$AL$258, MATCH(0, IF(TRUE=$AI$10:$AI$258, COUNTIF($AN$9:$AN114, $AL$10:$AL$258), ""), 0)),"")</f>
        <v/>
      </c>
      <c r="AO115" s="124" t="str">
        <f t="array" ref="AO115">IFERROR(INDEX($AL$10:$AL$258, MATCH(0, IF(TRUE=$AJ$10:$AJ$258, COUNTIF($AO$9:$AO114, $AL$10:$AL$258), ""), 0)),"")</f>
        <v/>
      </c>
      <c r="AQ115" s="30" t="str">
        <f>IFERROR(INDEX('G-7 WaterC'' Data'!$AZ$3:$AZ$7,MATCH(D115,'G-7 WaterC'' Data'!$AY$3:$AY$7,0)),"")</f>
        <v/>
      </c>
      <c r="AR115" s="30" t="str">
        <f>IFERROR(INDEX('G-7 WaterC'' Data'!AZ115:AZ119,MATCH(D115,'G-7 WaterC'' Data'!$AY$10:$AY$14,0)),"")</f>
        <v/>
      </c>
    </row>
    <row r="116" spans="3:44" ht="15">
      <c r="C116" s="110">
        <v>107</v>
      </c>
      <c r="D116" s="338"/>
      <c r="E116" s="139"/>
      <c r="F116" s="362" t="str">
        <f>IF(D116="","",VLOOKUP(D116,'G-7 WaterC'' Data'!$B$2:$G$8,2,FALSE))</f>
        <v/>
      </c>
      <c r="G116" s="363" t="str">
        <f>IFERROR(VLOOKUP(F116,'G-7 WaterC'' Data'!$C$4:$D$8,2,FALSE),"")</f>
        <v/>
      </c>
      <c r="H116" s="114"/>
      <c r="I116" s="363" t="str">
        <f>IFERROR(INDEX('G-7 WaterC'' Data'!$H$4:$L$8,MATCH(D116,'G-7 WaterC'' Data'!$B$4:$B$8,0),MATCH(H116,'G-7 WaterC'' Data'!$H$3:$L$3,0)),"")</f>
        <v/>
      </c>
      <c r="J116" s="320"/>
      <c r="K116" s="398" t="str">
        <f>IF(J116="","",IF(VLOOKUP(J116,'G-7 WaterC'' Data'!$AK$4:$AM$6,2,FALSE)=0,"Spatial Data Missing ⚠",VLOOKUP(J116,'G-7 WaterC'' Data'!$AK$4:$AM$6,2,FALSE)))</f>
        <v/>
      </c>
      <c r="L116" s="368" t="str">
        <f>IF(J116="","",IF(VLOOKUP(J116,'G-7 WaterC'' Data'!$AK$4:$AM$9,3,FALSE)=0,"Spatial Data Missing ⚠",VLOOKUP(J116,'G-7 WaterC'' Data'!$AK$4:$AM$6,3,FALSE)))</f>
        <v/>
      </c>
      <c r="M116" s="54"/>
      <c r="N116" s="363" t="str">
        <f>IF(M116="","",IF(VLOOKUP(M116,'G-7 WaterC'' Data'!$AA$4:$AB$7,2,FALSE)=0,"Spatial Data Missing ⚠",VLOOKUP(M116,'G-7 WaterC'' Data'!$AA$4:$AB$7,2,FALSE)))</f>
        <v/>
      </c>
      <c r="O116" s="60"/>
      <c r="P116" s="363" t="str">
        <f>IF(O116="","",IF(VLOOKUP(O116,'G-7 WaterC'' Data'!$AD$4:$AE$14,2,FALSE)=0,"Spatial Data Missing ⚠",VLOOKUP(O116,'G-7 WaterC'' Data'!$AD$4:$AE$14,2,FALSE)))</f>
        <v/>
      </c>
      <c r="Q116" s="369" t="str">
        <f>IF(D116="","",VLOOKUP(D116,'G-7 WaterC'' Data'!$B$2:$G$8,6,FALSE))</f>
        <v/>
      </c>
      <c r="R116" s="376" t="str">
        <f>IFERROR(IF(D116="","",IF(AND(Q116='G-1 All Habitats'!$X$3,U116&gt;0),V116+W116,IF(AND(Q116='G-1 All Habitats'!$X$3,T116&gt;0),V116+W116,IF(AND(Q116='G-1 All Habitats'!$X$3,AD116&gt;0),"Any Loss Unacceptable ⚠",IF(AND(Q116='G-1 All Habitats'!$X$3,AE116&gt;0),"Any Loss Unacceptable ⚠", E116*G116*I116*L116*N116*P116 ))))),"Check Data ▲")</f>
        <v/>
      </c>
      <c r="S116" s="32"/>
      <c r="T116" s="114"/>
      <c r="U116" s="125"/>
      <c r="V116" s="374" t="str">
        <f t="shared" si="7"/>
        <v/>
      </c>
      <c r="W116" s="374" t="str">
        <f t="shared" si="8"/>
        <v/>
      </c>
      <c r="X116" s="374" t="str">
        <f t="shared" si="9"/>
        <v/>
      </c>
      <c r="Y116" s="670" t="str">
        <f t="shared" si="10"/>
        <v/>
      </c>
      <c r="Z116" s="706"/>
      <c r="AA116" s="704"/>
      <c r="AB116" s="120"/>
      <c r="AC116" s="120"/>
      <c r="AD116" s="57" t="str">
        <f>IF(Q116="","",IF(Q116='G-1 All Habitats'!$X$3,E116-T116-U116,"None"))</f>
        <v/>
      </c>
      <c r="AE116" s="58" t="str">
        <f>IF(Q116="","", IF(Q116='G-1 All Habitats'!$X$3, AD116*G116*I116*L116*N116*P116,"None"))</f>
        <v/>
      </c>
      <c r="AH116" s="30">
        <f t="shared" si="11"/>
        <v>0</v>
      </c>
      <c r="AI116" s="124" t="str">
        <f t="shared" si="12"/>
        <v/>
      </c>
      <c r="AJ116" s="124" t="str">
        <f t="shared" si="13"/>
        <v/>
      </c>
      <c r="AL116" s="124">
        <v>107</v>
      </c>
      <c r="AN116" s="124" t="str">
        <f t="array" ref="AN116">IFERROR(INDEX($AL$10:$AL$258, MATCH(0, IF(TRUE=$AI$10:$AI$258, COUNTIF($AN$9:$AN115, $AL$10:$AL$258), ""), 0)),"")</f>
        <v/>
      </c>
      <c r="AO116" s="124" t="str">
        <f t="array" ref="AO116">IFERROR(INDEX($AL$10:$AL$258, MATCH(0, IF(TRUE=$AJ$10:$AJ$258, COUNTIF($AO$9:$AO115, $AL$10:$AL$258), ""), 0)),"")</f>
        <v/>
      </c>
      <c r="AQ116" s="30" t="str">
        <f>IFERROR(INDEX('G-7 WaterC'' Data'!$AZ$3:$AZ$7,MATCH(D116,'G-7 WaterC'' Data'!$AY$3:$AY$7,0)),"")</f>
        <v/>
      </c>
      <c r="AR116" s="30" t="str">
        <f>IFERROR(INDEX('G-7 WaterC'' Data'!AZ116:AZ120,MATCH(D116,'G-7 WaterC'' Data'!$AY$10:$AY$14,0)),"")</f>
        <v/>
      </c>
    </row>
    <row r="117" spans="3:44" ht="15">
      <c r="C117" s="110">
        <v>108</v>
      </c>
      <c r="D117" s="338"/>
      <c r="E117" s="139"/>
      <c r="F117" s="362" t="str">
        <f>IF(D117="","",VLOOKUP(D117,'G-7 WaterC'' Data'!$B$2:$G$8,2,FALSE))</f>
        <v/>
      </c>
      <c r="G117" s="363" t="str">
        <f>IFERROR(VLOOKUP(F117,'G-7 WaterC'' Data'!$C$4:$D$8,2,FALSE),"")</f>
        <v/>
      </c>
      <c r="H117" s="114"/>
      <c r="I117" s="363" t="str">
        <f>IFERROR(INDEX('G-7 WaterC'' Data'!$H$4:$L$8,MATCH(D117,'G-7 WaterC'' Data'!$B$4:$B$8,0),MATCH(H117,'G-7 WaterC'' Data'!$H$3:$L$3,0)),"")</f>
        <v/>
      </c>
      <c r="J117" s="320"/>
      <c r="K117" s="398" t="str">
        <f>IF(J117="","",IF(VLOOKUP(J117,'G-7 WaterC'' Data'!$AK$4:$AM$6,2,FALSE)=0,"Spatial Data Missing ⚠",VLOOKUP(J117,'G-7 WaterC'' Data'!$AK$4:$AM$6,2,FALSE)))</f>
        <v/>
      </c>
      <c r="L117" s="368" t="str">
        <f>IF(J117="","",IF(VLOOKUP(J117,'G-7 WaterC'' Data'!$AK$4:$AM$9,3,FALSE)=0,"Spatial Data Missing ⚠",VLOOKUP(J117,'G-7 WaterC'' Data'!$AK$4:$AM$6,3,FALSE)))</f>
        <v/>
      </c>
      <c r="M117" s="54"/>
      <c r="N117" s="363" t="str">
        <f>IF(M117="","",IF(VLOOKUP(M117,'G-7 WaterC'' Data'!$AA$4:$AB$7,2,FALSE)=0,"Spatial Data Missing ⚠",VLOOKUP(M117,'G-7 WaterC'' Data'!$AA$4:$AB$7,2,FALSE)))</f>
        <v/>
      </c>
      <c r="O117" s="60"/>
      <c r="P117" s="363" t="str">
        <f>IF(O117="","",IF(VLOOKUP(O117,'G-7 WaterC'' Data'!$AD$4:$AE$14,2,FALSE)=0,"Spatial Data Missing ⚠",VLOOKUP(O117,'G-7 WaterC'' Data'!$AD$4:$AE$14,2,FALSE)))</f>
        <v/>
      </c>
      <c r="Q117" s="369" t="str">
        <f>IF(D117="","",VLOOKUP(D117,'G-7 WaterC'' Data'!$B$2:$G$8,6,FALSE))</f>
        <v/>
      </c>
      <c r="R117" s="376" t="str">
        <f>IFERROR(IF(D117="","",IF(AND(Q117='G-1 All Habitats'!$X$3,U117&gt;0),V117+W117,IF(AND(Q117='G-1 All Habitats'!$X$3,T117&gt;0),V117+W117,IF(AND(Q117='G-1 All Habitats'!$X$3,AD117&gt;0),"Any Loss Unacceptable ⚠",IF(AND(Q117='G-1 All Habitats'!$X$3,AE117&gt;0),"Any Loss Unacceptable ⚠", E117*G117*I117*L117*N117*P117 ))))),"Check Data ▲")</f>
        <v/>
      </c>
      <c r="S117" s="32"/>
      <c r="T117" s="114"/>
      <c r="U117" s="125"/>
      <c r="V117" s="374" t="str">
        <f t="shared" si="7"/>
        <v/>
      </c>
      <c r="W117" s="374" t="str">
        <f t="shared" si="8"/>
        <v/>
      </c>
      <c r="X117" s="374" t="str">
        <f t="shared" si="9"/>
        <v/>
      </c>
      <c r="Y117" s="670" t="str">
        <f t="shared" si="10"/>
        <v/>
      </c>
      <c r="Z117" s="706"/>
      <c r="AA117" s="704"/>
      <c r="AB117" s="120"/>
      <c r="AC117" s="120"/>
      <c r="AD117" s="57" t="str">
        <f>IF(Q117="","",IF(Q117='G-1 All Habitats'!$X$3,E117-T117-U117,"None"))</f>
        <v/>
      </c>
      <c r="AE117" s="58" t="str">
        <f>IF(Q117="","", IF(Q117='G-1 All Habitats'!$X$3, AD117*G117*I117*L117*N117*P117,"None"))</f>
        <v/>
      </c>
      <c r="AH117" s="30">
        <f t="shared" si="11"/>
        <v>0</v>
      </c>
      <c r="AI117" s="124" t="str">
        <f t="shared" si="12"/>
        <v/>
      </c>
      <c r="AJ117" s="124" t="str">
        <f t="shared" si="13"/>
        <v/>
      </c>
      <c r="AL117" s="124">
        <v>108</v>
      </c>
      <c r="AN117" s="124" t="str">
        <f t="array" ref="AN117">IFERROR(INDEX($AL$10:$AL$258, MATCH(0, IF(TRUE=$AI$10:$AI$258, COUNTIF($AN$9:$AN116, $AL$10:$AL$258), ""), 0)),"")</f>
        <v/>
      </c>
      <c r="AO117" s="124" t="str">
        <f t="array" ref="AO117">IFERROR(INDEX($AL$10:$AL$258, MATCH(0, IF(TRUE=$AJ$10:$AJ$258, COUNTIF($AO$9:$AO116, $AL$10:$AL$258), ""), 0)),"")</f>
        <v/>
      </c>
      <c r="AQ117" s="30" t="str">
        <f>IFERROR(INDEX('G-7 WaterC'' Data'!$AZ$3:$AZ$7,MATCH(D117,'G-7 WaterC'' Data'!$AY$3:$AY$7,0)),"")</f>
        <v/>
      </c>
      <c r="AR117" s="30" t="str">
        <f>IFERROR(INDEX('G-7 WaterC'' Data'!AZ117:AZ121,MATCH(D117,'G-7 WaterC'' Data'!$AY$10:$AY$14,0)),"")</f>
        <v/>
      </c>
    </row>
    <row r="118" spans="3:44" ht="15">
      <c r="C118" s="110">
        <v>109</v>
      </c>
      <c r="D118" s="338"/>
      <c r="E118" s="139"/>
      <c r="F118" s="362" t="str">
        <f>IF(D118="","",VLOOKUP(D118,'G-7 WaterC'' Data'!$B$2:$G$8,2,FALSE))</f>
        <v/>
      </c>
      <c r="G118" s="363" t="str">
        <f>IFERROR(VLOOKUP(F118,'G-7 WaterC'' Data'!$C$4:$D$8,2,FALSE),"")</f>
        <v/>
      </c>
      <c r="H118" s="114"/>
      <c r="I118" s="363" t="str">
        <f>IFERROR(INDEX('G-7 WaterC'' Data'!$H$4:$L$8,MATCH(D118,'G-7 WaterC'' Data'!$B$4:$B$8,0),MATCH(H118,'G-7 WaterC'' Data'!$H$3:$L$3,0)),"")</f>
        <v/>
      </c>
      <c r="J118" s="320"/>
      <c r="K118" s="398" t="str">
        <f>IF(J118="","",IF(VLOOKUP(J118,'G-7 WaterC'' Data'!$AK$4:$AM$6,2,FALSE)=0,"Spatial Data Missing ⚠",VLOOKUP(J118,'G-7 WaterC'' Data'!$AK$4:$AM$6,2,FALSE)))</f>
        <v/>
      </c>
      <c r="L118" s="368" t="str">
        <f>IF(J118="","",IF(VLOOKUP(J118,'G-7 WaterC'' Data'!$AK$4:$AM$9,3,FALSE)=0,"Spatial Data Missing ⚠",VLOOKUP(J118,'G-7 WaterC'' Data'!$AK$4:$AM$6,3,FALSE)))</f>
        <v/>
      </c>
      <c r="M118" s="54"/>
      <c r="N118" s="363" t="str">
        <f>IF(M118="","",IF(VLOOKUP(M118,'G-7 WaterC'' Data'!$AA$4:$AB$7,2,FALSE)=0,"Spatial Data Missing ⚠",VLOOKUP(M118,'G-7 WaterC'' Data'!$AA$4:$AB$7,2,FALSE)))</f>
        <v/>
      </c>
      <c r="O118" s="60"/>
      <c r="P118" s="363" t="str">
        <f>IF(O118="","",IF(VLOOKUP(O118,'G-7 WaterC'' Data'!$AD$4:$AE$14,2,FALSE)=0,"Spatial Data Missing ⚠",VLOOKUP(O118,'G-7 WaterC'' Data'!$AD$4:$AE$14,2,FALSE)))</f>
        <v/>
      </c>
      <c r="Q118" s="369" t="str">
        <f>IF(D118="","",VLOOKUP(D118,'G-7 WaterC'' Data'!$B$2:$G$8,6,FALSE))</f>
        <v/>
      </c>
      <c r="R118" s="376" t="str">
        <f>IFERROR(IF(D118="","",IF(AND(Q118='G-1 All Habitats'!$X$3,U118&gt;0),V118+W118,IF(AND(Q118='G-1 All Habitats'!$X$3,T118&gt;0),V118+W118,IF(AND(Q118='G-1 All Habitats'!$X$3,AD118&gt;0),"Any Loss Unacceptable ⚠",IF(AND(Q118='G-1 All Habitats'!$X$3,AE118&gt;0),"Any Loss Unacceptable ⚠", E118*G118*I118*L118*N118*P118 ))))),"Check Data ▲")</f>
        <v/>
      </c>
      <c r="S118" s="32"/>
      <c r="T118" s="114"/>
      <c r="U118" s="125"/>
      <c r="V118" s="374" t="str">
        <f t="shared" si="7"/>
        <v/>
      </c>
      <c r="W118" s="374" t="str">
        <f t="shared" si="8"/>
        <v/>
      </c>
      <c r="X118" s="374" t="str">
        <f t="shared" si="9"/>
        <v/>
      </c>
      <c r="Y118" s="670" t="str">
        <f t="shared" si="10"/>
        <v/>
      </c>
      <c r="Z118" s="706"/>
      <c r="AA118" s="704"/>
      <c r="AB118" s="120"/>
      <c r="AC118" s="120"/>
      <c r="AD118" s="57" t="str">
        <f>IF(Q118="","",IF(Q118='G-1 All Habitats'!$X$3,E118-T118-U118,"None"))</f>
        <v/>
      </c>
      <c r="AE118" s="58" t="str">
        <f>IF(Q118="","", IF(Q118='G-1 All Habitats'!$X$3, AD118*G118*I118*L118*N118*P118,"None"))</f>
        <v/>
      </c>
      <c r="AH118" s="30">
        <f t="shared" si="11"/>
        <v>0</v>
      </c>
      <c r="AI118" s="124" t="str">
        <f t="shared" si="12"/>
        <v/>
      </c>
      <c r="AJ118" s="124" t="str">
        <f t="shared" si="13"/>
        <v/>
      </c>
      <c r="AL118" s="124">
        <v>109</v>
      </c>
      <c r="AN118" s="124" t="str">
        <f t="array" ref="AN118">IFERROR(INDEX($AL$10:$AL$258, MATCH(0, IF(TRUE=$AI$10:$AI$258, COUNTIF($AN$9:$AN117, $AL$10:$AL$258), ""), 0)),"")</f>
        <v/>
      </c>
      <c r="AO118" s="124" t="str">
        <f t="array" ref="AO118">IFERROR(INDEX($AL$10:$AL$258, MATCH(0, IF(TRUE=$AJ$10:$AJ$258, COUNTIF($AO$9:$AO117, $AL$10:$AL$258), ""), 0)),"")</f>
        <v/>
      </c>
      <c r="AQ118" s="30" t="str">
        <f>IFERROR(INDEX('G-7 WaterC'' Data'!$AZ$3:$AZ$7,MATCH(D118,'G-7 WaterC'' Data'!$AY$3:$AY$7,0)),"")</f>
        <v/>
      </c>
      <c r="AR118" s="30" t="str">
        <f>IFERROR(INDEX('G-7 WaterC'' Data'!AZ118:AZ122,MATCH(D118,'G-7 WaterC'' Data'!$AY$10:$AY$14,0)),"")</f>
        <v/>
      </c>
    </row>
    <row r="119" spans="3:44" ht="15">
      <c r="C119" s="110">
        <v>110</v>
      </c>
      <c r="D119" s="338"/>
      <c r="E119" s="139"/>
      <c r="F119" s="362" t="str">
        <f>IF(D119="","",VLOOKUP(D119,'G-7 WaterC'' Data'!$B$2:$G$8,2,FALSE))</f>
        <v/>
      </c>
      <c r="G119" s="363" t="str">
        <f>IFERROR(VLOOKUP(F119,'G-7 WaterC'' Data'!$C$4:$D$8,2,FALSE),"")</f>
        <v/>
      </c>
      <c r="H119" s="114"/>
      <c r="I119" s="363" t="str">
        <f>IFERROR(INDEX('G-7 WaterC'' Data'!$H$4:$L$8,MATCH(D119,'G-7 WaterC'' Data'!$B$4:$B$8,0),MATCH(H119,'G-7 WaterC'' Data'!$H$3:$L$3,0)),"")</f>
        <v/>
      </c>
      <c r="J119" s="320"/>
      <c r="K119" s="398" t="str">
        <f>IF(J119="","",IF(VLOOKUP(J119,'G-7 WaterC'' Data'!$AK$4:$AM$6,2,FALSE)=0,"Spatial Data Missing ⚠",VLOOKUP(J119,'G-7 WaterC'' Data'!$AK$4:$AM$6,2,FALSE)))</f>
        <v/>
      </c>
      <c r="L119" s="368" t="str">
        <f>IF(J119="","",IF(VLOOKUP(J119,'G-7 WaterC'' Data'!$AK$4:$AM$9,3,FALSE)=0,"Spatial Data Missing ⚠",VLOOKUP(J119,'G-7 WaterC'' Data'!$AK$4:$AM$6,3,FALSE)))</f>
        <v/>
      </c>
      <c r="M119" s="54"/>
      <c r="N119" s="363" t="str">
        <f>IF(M119="","",IF(VLOOKUP(M119,'G-7 WaterC'' Data'!$AA$4:$AB$7,2,FALSE)=0,"Spatial Data Missing ⚠",VLOOKUP(M119,'G-7 WaterC'' Data'!$AA$4:$AB$7,2,FALSE)))</f>
        <v/>
      </c>
      <c r="O119" s="60"/>
      <c r="P119" s="363" t="str">
        <f>IF(O119="","",IF(VLOOKUP(O119,'G-7 WaterC'' Data'!$AD$4:$AE$14,2,FALSE)=0,"Spatial Data Missing ⚠",VLOOKUP(O119,'G-7 WaterC'' Data'!$AD$4:$AE$14,2,FALSE)))</f>
        <v/>
      </c>
      <c r="Q119" s="369" t="str">
        <f>IF(D119="","",VLOOKUP(D119,'G-7 WaterC'' Data'!$B$2:$G$8,6,FALSE))</f>
        <v/>
      </c>
      <c r="R119" s="376" t="str">
        <f>IFERROR(IF(D119="","",IF(AND(Q119='G-1 All Habitats'!$X$3,U119&gt;0),V119+W119,IF(AND(Q119='G-1 All Habitats'!$X$3,T119&gt;0),V119+W119,IF(AND(Q119='G-1 All Habitats'!$X$3,AD119&gt;0),"Any Loss Unacceptable ⚠",IF(AND(Q119='G-1 All Habitats'!$X$3,AE119&gt;0),"Any Loss Unacceptable ⚠", E119*G119*I119*L119*N119*P119 ))))),"Check Data ▲")</f>
        <v/>
      </c>
      <c r="S119" s="32"/>
      <c r="T119" s="114"/>
      <c r="U119" s="125"/>
      <c r="V119" s="374" t="str">
        <f t="shared" si="7"/>
        <v/>
      </c>
      <c r="W119" s="374" t="str">
        <f t="shared" si="8"/>
        <v/>
      </c>
      <c r="X119" s="374" t="str">
        <f t="shared" si="9"/>
        <v/>
      </c>
      <c r="Y119" s="670" t="str">
        <f t="shared" si="10"/>
        <v/>
      </c>
      <c r="Z119" s="706"/>
      <c r="AA119" s="704"/>
      <c r="AB119" s="120"/>
      <c r="AC119" s="120"/>
      <c r="AD119" s="57" t="str">
        <f>IF(Q119="","",IF(Q119='G-1 All Habitats'!$X$3,E119-T119-U119,"None"))</f>
        <v/>
      </c>
      <c r="AE119" s="58" t="str">
        <f>IF(Q119="","", IF(Q119='G-1 All Habitats'!$X$3, AD119*G119*I119*L119*N119*P119,"None"))</f>
        <v/>
      </c>
      <c r="AH119" s="30">
        <f t="shared" si="11"/>
        <v>0</v>
      </c>
      <c r="AI119" s="124" t="str">
        <f t="shared" si="12"/>
        <v/>
      </c>
      <c r="AJ119" s="124" t="str">
        <f t="shared" si="13"/>
        <v/>
      </c>
      <c r="AL119" s="124">
        <v>110</v>
      </c>
      <c r="AN119" s="124" t="str">
        <f t="array" ref="AN119">IFERROR(INDEX($AL$10:$AL$258, MATCH(0, IF(TRUE=$AI$10:$AI$258, COUNTIF($AN$9:$AN118, $AL$10:$AL$258), ""), 0)),"")</f>
        <v/>
      </c>
      <c r="AO119" s="124" t="str">
        <f t="array" ref="AO119">IFERROR(INDEX($AL$10:$AL$258, MATCH(0, IF(TRUE=$AJ$10:$AJ$258, COUNTIF($AO$9:$AO118, $AL$10:$AL$258), ""), 0)),"")</f>
        <v/>
      </c>
      <c r="AQ119" s="30" t="str">
        <f>IFERROR(INDEX('G-7 WaterC'' Data'!$AZ$3:$AZ$7,MATCH(D119,'G-7 WaterC'' Data'!$AY$3:$AY$7,0)),"")</f>
        <v/>
      </c>
      <c r="AR119" s="30" t="str">
        <f>IFERROR(INDEX('G-7 WaterC'' Data'!AZ119:AZ123,MATCH(D119,'G-7 WaterC'' Data'!$AY$10:$AY$14,0)),"")</f>
        <v/>
      </c>
    </row>
    <row r="120" spans="3:44" ht="15">
      <c r="C120" s="110">
        <v>111</v>
      </c>
      <c r="D120" s="338"/>
      <c r="E120" s="139"/>
      <c r="F120" s="362" t="str">
        <f>IF(D120="","",VLOOKUP(D120,'G-7 WaterC'' Data'!$B$2:$G$8,2,FALSE))</f>
        <v/>
      </c>
      <c r="G120" s="363" t="str">
        <f>IFERROR(VLOOKUP(F120,'G-7 WaterC'' Data'!$C$4:$D$8,2,FALSE),"")</f>
        <v/>
      </c>
      <c r="H120" s="114"/>
      <c r="I120" s="363" t="str">
        <f>IFERROR(INDEX('G-7 WaterC'' Data'!$H$4:$L$8,MATCH(D120,'G-7 WaterC'' Data'!$B$4:$B$8,0),MATCH(H120,'G-7 WaterC'' Data'!$H$3:$L$3,0)),"")</f>
        <v/>
      </c>
      <c r="J120" s="320"/>
      <c r="K120" s="398" t="str">
        <f>IF(J120="","",IF(VLOOKUP(J120,'G-7 WaterC'' Data'!$AK$4:$AM$6,2,FALSE)=0,"Spatial Data Missing ⚠",VLOOKUP(J120,'G-7 WaterC'' Data'!$AK$4:$AM$6,2,FALSE)))</f>
        <v/>
      </c>
      <c r="L120" s="368" t="str">
        <f>IF(J120="","",IF(VLOOKUP(J120,'G-7 WaterC'' Data'!$AK$4:$AM$9,3,FALSE)=0,"Spatial Data Missing ⚠",VLOOKUP(J120,'G-7 WaterC'' Data'!$AK$4:$AM$6,3,FALSE)))</f>
        <v/>
      </c>
      <c r="M120" s="54"/>
      <c r="N120" s="363" t="str">
        <f>IF(M120="","",IF(VLOOKUP(M120,'G-7 WaterC'' Data'!$AA$4:$AB$7,2,FALSE)=0,"Spatial Data Missing ⚠",VLOOKUP(M120,'G-7 WaterC'' Data'!$AA$4:$AB$7,2,FALSE)))</f>
        <v/>
      </c>
      <c r="O120" s="60"/>
      <c r="P120" s="363" t="str">
        <f>IF(O120="","",IF(VLOOKUP(O120,'G-7 WaterC'' Data'!$AD$4:$AE$14,2,FALSE)=0,"Spatial Data Missing ⚠",VLOOKUP(O120,'G-7 WaterC'' Data'!$AD$4:$AE$14,2,FALSE)))</f>
        <v/>
      </c>
      <c r="Q120" s="369" t="str">
        <f>IF(D120="","",VLOOKUP(D120,'G-7 WaterC'' Data'!$B$2:$G$8,6,FALSE))</f>
        <v/>
      </c>
      <c r="R120" s="376" t="str">
        <f>IFERROR(IF(D120="","",IF(AND(Q120='G-1 All Habitats'!$X$3,U120&gt;0),V120+W120,IF(AND(Q120='G-1 All Habitats'!$X$3,T120&gt;0),V120+W120,IF(AND(Q120='G-1 All Habitats'!$X$3,AD120&gt;0),"Any Loss Unacceptable ⚠",IF(AND(Q120='G-1 All Habitats'!$X$3,AE120&gt;0),"Any Loss Unacceptable ⚠", E120*G120*I120*L120*N120*P120 ))))),"Check Data ▲")</f>
        <v/>
      </c>
      <c r="S120" s="32"/>
      <c r="T120" s="114"/>
      <c r="U120" s="125"/>
      <c r="V120" s="374" t="str">
        <f t="shared" si="7"/>
        <v/>
      </c>
      <c r="W120" s="374" t="str">
        <f t="shared" si="8"/>
        <v/>
      </c>
      <c r="X120" s="374" t="str">
        <f t="shared" si="9"/>
        <v/>
      </c>
      <c r="Y120" s="670" t="str">
        <f t="shared" si="10"/>
        <v/>
      </c>
      <c r="Z120" s="706"/>
      <c r="AA120" s="704"/>
      <c r="AB120" s="120"/>
      <c r="AC120" s="120"/>
      <c r="AD120" s="57" t="str">
        <f>IF(Q120="","",IF(Q120='G-1 All Habitats'!$X$3,E120-T120-U120,"None"))</f>
        <v/>
      </c>
      <c r="AE120" s="58" t="str">
        <f>IF(Q120="","", IF(Q120='G-1 All Habitats'!$X$3, AD120*G120*I120*L120*N120*P120,"None"))</f>
        <v/>
      </c>
      <c r="AH120" s="30">
        <f t="shared" si="11"/>
        <v>0</v>
      </c>
      <c r="AI120" s="124" t="str">
        <f t="shared" si="12"/>
        <v/>
      </c>
      <c r="AJ120" s="124" t="str">
        <f t="shared" si="13"/>
        <v/>
      </c>
      <c r="AL120" s="124">
        <v>111</v>
      </c>
      <c r="AN120" s="124" t="str">
        <f t="array" ref="AN120">IFERROR(INDEX($AL$10:$AL$258, MATCH(0, IF(TRUE=$AI$10:$AI$258, COUNTIF($AN$9:$AN119, $AL$10:$AL$258), ""), 0)),"")</f>
        <v/>
      </c>
      <c r="AO120" s="124" t="str">
        <f t="array" ref="AO120">IFERROR(INDEX($AL$10:$AL$258, MATCH(0, IF(TRUE=$AJ$10:$AJ$258, COUNTIF($AO$9:$AO119, $AL$10:$AL$258), ""), 0)),"")</f>
        <v/>
      </c>
      <c r="AQ120" s="30" t="str">
        <f>IFERROR(INDEX('G-7 WaterC'' Data'!$AZ$3:$AZ$7,MATCH(D120,'G-7 WaterC'' Data'!$AY$3:$AY$7,0)),"")</f>
        <v/>
      </c>
      <c r="AR120" s="30" t="str">
        <f>IFERROR(INDEX('G-7 WaterC'' Data'!AZ120:AZ124,MATCH(D120,'G-7 WaterC'' Data'!$AY$10:$AY$14,0)),"")</f>
        <v/>
      </c>
    </row>
    <row r="121" spans="3:44" ht="15">
      <c r="C121" s="110">
        <v>112</v>
      </c>
      <c r="D121" s="338"/>
      <c r="E121" s="139"/>
      <c r="F121" s="362" t="str">
        <f>IF(D121="","",VLOOKUP(D121,'G-7 WaterC'' Data'!$B$2:$G$8,2,FALSE))</f>
        <v/>
      </c>
      <c r="G121" s="363" t="str">
        <f>IFERROR(VLOOKUP(F121,'G-7 WaterC'' Data'!$C$4:$D$8,2,FALSE),"")</f>
        <v/>
      </c>
      <c r="H121" s="114"/>
      <c r="I121" s="363" t="str">
        <f>IFERROR(INDEX('G-7 WaterC'' Data'!$H$4:$L$8,MATCH(D121,'G-7 WaterC'' Data'!$B$4:$B$8,0),MATCH(H121,'G-7 WaterC'' Data'!$H$3:$L$3,0)),"")</f>
        <v/>
      </c>
      <c r="J121" s="320"/>
      <c r="K121" s="398" t="str">
        <f>IF(J121="","",IF(VLOOKUP(J121,'G-7 WaterC'' Data'!$AK$4:$AM$6,2,FALSE)=0,"Spatial Data Missing ⚠",VLOOKUP(J121,'G-7 WaterC'' Data'!$AK$4:$AM$6,2,FALSE)))</f>
        <v/>
      </c>
      <c r="L121" s="368" t="str">
        <f>IF(J121="","",IF(VLOOKUP(J121,'G-7 WaterC'' Data'!$AK$4:$AM$9,3,FALSE)=0,"Spatial Data Missing ⚠",VLOOKUP(J121,'G-7 WaterC'' Data'!$AK$4:$AM$6,3,FALSE)))</f>
        <v/>
      </c>
      <c r="M121" s="54"/>
      <c r="N121" s="363" t="str">
        <f>IF(M121="","",IF(VLOOKUP(M121,'G-7 WaterC'' Data'!$AA$4:$AB$7,2,FALSE)=0,"Spatial Data Missing ⚠",VLOOKUP(M121,'G-7 WaterC'' Data'!$AA$4:$AB$7,2,FALSE)))</f>
        <v/>
      </c>
      <c r="O121" s="60"/>
      <c r="P121" s="363" t="str">
        <f>IF(O121="","",IF(VLOOKUP(O121,'G-7 WaterC'' Data'!$AD$4:$AE$14,2,FALSE)=0,"Spatial Data Missing ⚠",VLOOKUP(O121,'G-7 WaterC'' Data'!$AD$4:$AE$14,2,FALSE)))</f>
        <v/>
      </c>
      <c r="Q121" s="369" t="str">
        <f>IF(D121="","",VLOOKUP(D121,'G-7 WaterC'' Data'!$B$2:$G$8,6,FALSE))</f>
        <v/>
      </c>
      <c r="R121" s="376" t="str">
        <f>IFERROR(IF(D121="","",IF(AND(Q121='G-1 All Habitats'!$X$3,U121&gt;0),V121+W121,IF(AND(Q121='G-1 All Habitats'!$X$3,T121&gt;0),V121+W121,IF(AND(Q121='G-1 All Habitats'!$X$3,AD121&gt;0),"Any Loss Unacceptable ⚠",IF(AND(Q121='G-1 All Habitats'!$X$3,AE121&gt;0),"Any Loss Unacceptable ⚠", E121*G121*I121*L121*N121*P121 ))))),"Check Data ▲")</f>
        <v/>
      </c>
      <c r="S121" s="32"/>
      <c r="T121" s="114"/>
      <c r="U121" s="125"/>
      <c r="V121" s="374" t="str">
        <f t="shared" si="7"/>
        <v/>
      </c>
      <c r="W121" s="374" t="str">
        <f t="shared" si="8"/>
        <v/>
      </c>
      <c r="X121" s="374" t="str">
        <f t="shared" si="9"/>
        <v/>
      </c>
      <c r="Y121" s="670" t="str">
        <f t="shared" si="10"/>
        <v/>
      </c>
      <c r="Z121" s="706"/>
      <c r="AA121" s="704"/>
      <c r="AB121" s="120"/>
      <c r="AC121" s="120"/>
      <c r="AD121" s="57" t="str">
        <f>IF(Q121="","",IF(Q121='G-1 All Habitats'!$X$3,E121-T121-U121,"None"))</f>
        <v/>
      </c>
      <c r="AE121" s="58" t="str">
        <f>IF(Q121="","", IF(Q121='G-1 All Habitats'!$X$3, AD121*G121*I121*L121*N121*P121,"None"))</f>
        <v/>
      </c>
      <c r="AH121" s="30">
        <f t="shared" si="11"/>
        <v>0</v>
      </c>
      <c r="AI121" s="124" t="str">
        <f t="shared" si="12"/>
        <v/>
      </c>
      <c r="AJ121" s="124" t="str">
        <f t="shared" si="13"/>
        <v/>
      </c>
      <c r="AL121" s="124">
        <v>112</v>
      </c>
      <c r="AN121" s="124" t="str">
        <f t="array" ref="AN121">IFERROR(INDEX($AL$10:$AL$258, MATCH(0, IF(TRUE=$AI$10:$AI$258, COUNTIF($AN$9:$AN120, $AL$10:$AL$258), ""), 0)),"")</f>
        <v/>
      </c>
      <c r="AO121" s="124" t="str">
        <f t="array" ref="AO121">IFERROR(INDEX($AL$10:$AL$258, MATCH(0, IF(TRUE=$AJ$10:$AJ$258, COUNTIF($AO$9:$AO120, $AL$10:$AL$258), ""), 0)),"")</f>
        <v/>
      </c>
      <c r="AQ121" s="30" t="str">
        <f>IFERROR(INDEX('G-7 WaterC'' Data'!$AZ$3:$AZ$7,MATCH(D121,'G-7 WaterC'' Data'!$AY$3:$AY$7,0)),"")</f>
        <v/>
      </c>
      <c r="AR121" s="30" t="str">
        <f>IFERROR(INDEX('G-7 WaterC'' Data'!AZ121:AZ125,MATCH(D121,'G-7 WaterC'' Data'!$AY$10:$AY$14,0)),"")</f>
        <v/>
      </c>
    </row>
    <row r="122" spans="3:44" ht="15">
      <c r="C122" s="110">
        <v>113</v>
      </c>
      <c r="D122" s="338"/>
      <c r="E122" s="139"/>
      <c r="F122" s="362" t="str">
        <f>IF(D122="","",VLOOKUP(D122,'G-7 WaterC'' Data'!$B$2:$G$8,2,FALSE))</f>
        <v/>
      </c>
      <c r="G122" s="363" t="str">
        <f>IFERROR(VLOOKUP(F122,'G-7 WaterC'' Data'!$C$4:$D$8,2,FALSE),"")</f>
        <v/>
      </c>
      <c r="H122" s="114"/>
      <c r="I122" s="363" t="str">
        <f>IFERROR(INDEX('G-7 WaterC'' Data'!$H$4:$L$8,MATCH(D122,'G-7 WaterC'' Data'!$B$4:$B$8,0),MATCH(H122,'G-7 WaterC'' Data'!$H$3:$L$3,0)),"")</f>
        <v/>
      </c>
      <c r="J122" s="320"/>
      <c r="K122" s="398" t="str">
        <f>IF(J122="","",IF(VLOOKUP(J122,'G-7 WaterC'' Data'!$AK$4:$AM$6,2,FALSE)=0,"Spatial Data Missing ⚠",VLOOKUP(J122,'G-7 WaterC'' Data'!$AK$4:$AM$6,2,FALSE)))</f>
        <v/>
      </c>
      <c r="L122" s="368" t="str">
        <f>IF(J122="","",IF(VLOOKUP(J122,'G-7 WaterC'' Data'!$AK$4:$AM$9,3,FALSE)=0,"Spatial Data Missing ⚠",VLOOKUP(J122,'G-7 WaterC'' Data'!$AK$4:$AM$6,3,FALSE)))</f>
        <v/>
      </c>
      <c r="M122" s="54"/>
      <c r="N122" s="363" t="str">
        <f>IF(M122="","",IF(VLOOKUP(M122,'G-7 WaterC'' Data'!$AA$4:$AB$7,2,FALSE)=0,"Spatial Data Missing ⚠",VLOOKUP(M122,'G-7 WaterC'' Data'!$AA$4:$AB$7,2,FALSE)))</f>
        <v/>
      </c>
      <c r="O122" s="60"/>
      <c r="P122" s="363" t="str">
        <f>IF(O122="","",IF(VLOOKUP(O122,'G-7 WaterC'' Data'!$AD$4:$AE$14,2,FALSE)=0,"Spatial Data Missing ⚠",VLOOKUP(O122,'G-7 WaterC'' Data'!$AD$4:$AE$14,2,FALSE)))</f>
        <v/>
      </c>
      <c r="Q122" s="369" t="str">
        <f>IF(D122="","",VLOOKUP(D122,'G-7 WaterC'' Data'!$B$2:$G$8,6,FALSE))</f>
        <v/>
      </c>
      <c r="R122" s="376" t="str">
        <f>IFERROR(IF(D122="","",IF(AND(Q122='G-1 All Habitats'!$X$3,U122&gt;0),V122+W122,IF(AND(Q122='G-1 All Habitats'!$X$3,T122&gt;0),V122+W122,IF(AND(Q122='G-1 All Habitats'!$X$3,AD122&gt;0),"Any Loss Unacceptable ⚠",IF(AND(Q122='G-1 All Habitats'!$X$3,AE122&gt;0),"Any Loss Unacceptable ⚠", E122*G122*I122*L122*N122*P122 ))))),"Check Data ▲")</f>
        <v/>
      </c>
      <c r="S122" s="32"/>
      <c r="T122" s="114"/>
      <c r="U122" s="125"/>
      <c r="V122" s="374" t="str">
        <f t="shared" si="7"/>
        <v/>
      </c>
      <c r="W122" s="374" t="str">
        <f t="shared" si="8"/>
        <v/>
      </c>
      <c r="X122" s="374" t="str">
        <f t="shared" si="9"/>
        <v/>
      </c>
      <c r="Y122" s="670" t="str">
        <f t="shared" si="10"/>
        <v/>
      </c>
      <c r="Z122" s="706"/>
      <c r="AA122" s="704"/>
      <c r="AB122" s="120"/>
      <c r="AC122" s="120"/>
      <c r="AD122" s="57" t="str">
        <f>IF(Q122="","",IF(Q122='G-1 All Habitats'!$X$3,E122-T122-U122,"None"))</f>
        <v/>
      </c>
      <c r="AE122" s="58" t="str">
        <f>IF(Q122="","", IF(Q122='G-1 All Habitats'!$X$3, AD122*G122*I122*L122*N122*P122,"None"))</f>
        <v/>
      </c>
      <c r="AH122" s="30">
        <f t="shared" si="11"/>
        <v>0</v>
      </c>
      <c r="AI122" s="124" t="str">
        <f t="shared" si="12"/>
        <v/>
      </c>
      <c r="AJ122" s="124" t="str">
        <f t="shared" si="13"/>
        <v/>
      </c>
      <c r="AL122" s="124">
        <v>113</v>
      </c>
      <c r="AN122" s="124" t="str">
        <f t="array" ref="AN122">IFERROR(INDEX($AL$10:$AL$258, MATCH(0, IF(TRUE=$AI$10:$AI$258, COUNTIF($AN$9:$AN121, $AL$10:$AL$258), ""), 0)),"")</f>
        <v/>
      </c>
      <c r="AO122" s="124" t="str">
        <f t="array" ref="AO122">IFERROR(INDEX($AL$10:$AL$258, MATCH(0, IF(TRUE=$AJ$10:$AJ$258, COUNTIF($AO$9:$AO121, $AL$10:$AL$258), ""), 0)),"")</f>
        <v/>
      </c>
      <c r="AQ122" s="30" t="str">
        <f>IFERROR(INDEX('G-7 WaterC'' Data'!$AZ$3:$AZ$7,MATCH(D122,'G-7 WaterC'' Data'!$AY$3:$AY$7,0)),"")</f>
        <v/>
      </c>
      <c r="AR122" s="30" t="str">
        <f>IFERROR(INDEX('G-7 WaterC'' Data'!AZ122:AZ126,MATCH(D122,'G-7 WaterC'' Data'!$AY$10:$AY$14,0)),"")</f>
        <v/>
      </c>
    </row>
    <row r="123" spans="3:44" ht="15">
      <c r="C123" s="110">
        <v>114</v>
      </c>
      <c r="D123" s="338"/>
      <c r="E123" s="139"/>
      <c r="F123" s="362" t="str">
        <f>IF(D123="","",VLOOKUP(D123,'G-7 WaterC'' Data'!$B$2:$G$8,2,FALSE))</f>
        <v/>
      </c>
      <c r="G123" s="363" t="str">
        <f>IFERROR(VLOOKUP(F123,'G-7 WaterC'' Data'!$C$4:$D$8,2,FALSE),"")</f>
        <v/>
      </c>
      <c r="H123" s="114"/>
      <c r="I123" s="363" t="str">
        <f>IFERROR(INDEX('G-7 WaterC'' Data'!$H$4:$L$8,MATCH(D123,'G-7 WaterC'' Data'!$B$4:$B$8,0),MATCH(H123,'G-7 WaterC'' Data'!$H$3:$L$3,0)),"")</f>
        <v/>
      </c>
      <c r="J123" s="320"/>
      <c r="K123" s="398" t="str">
        <f>IF(J123="","",IF(VLOOKUP(J123,'G-7 WaterC'' Data'!$AK$4:$AM$6,2,FALSE)=0,"Spatial Data Missing ⚠",VLOOKUP(J123,'G-7 WaterC'' Data'!$AK$4:$AM$6,2,FALSE)))</f>
        <v/>
      </c>
      <c r="L123" s="368" t="str">
        <f>IF(J123="","",IF(VLOOKUP(J123,'G-7 WaterC'' Data'!$AK$4:$AM$9,3,FALSE)=0,"Spatial Data Missing ⚠",VLOOKUP(J123,'G-7 WaterC'' Data'!$AK$4:$AM$6,3,FALSE)))</f>
        <v/>
      </c>
      <c r="M123" s="54"/>
      <c r="N123" s="363" t="str">
        <f>IF(M123="","",IF(VLOOKUP(M123,'G-7 WaterC'' Data'!$AA$4:$AB$7,2,FALSE)=0,"Spatial Data Missing ⚠",VLOOKUP(M123,'G-7 WaterC'' Data'!$AA$4:$AB$7,2,FALSE)))</f>
        <v/>
      </c>
      <c r="O123" s="60"/>
      <c r="P123" s="363" t="str">
        <f>IF(O123="","",IF(VLOOKUP(O123,'G-7 WaterC'' Data'!$AD$4:$AE$14,2,FALSE)=0,"Spatial Data Missing ⚠",VLOOKUP(O123,'G-7 WaterC'' Data'!$AD$4:$AE$14,2,FALSE)))</f>
        <v/>
      </c>
      <c r="Q123" s="369" t="str">
        <f>IF(D123="","",VLOOKUP(D123,'G-7 WaterC'' Data'!$B$2:$G$8,6,FALSE))</f>
        <v/>
      </c>
      <c r="R123" s="376" t="str">
        <f>IFERROR(IF(D123="","",IF(AND(Q123='G-1 All Habitats'!$X$3,U123&gt;0),V123+W123,IF(AND(Q123='G-1 All Habitats'!$X$3,T123&gt;0),V123+W123,IF(AND(Q123='G-1 All Habitats'!$X$3,AD123&gt;0),"Any Loss Unacceptable ⚠",IF(AND(Q123='G-1 All Habitats'!$X$3,AE123&gt;0),"Any Loss Unacceptable ⚠", E123*G123*I123*L123*N123*P123 ))))),"Check Data ▲")</f>
        <v/>
      </c>
      <c r="S123" s="32"/>
      <c r="T123" s="114"/>
      <c r="U123" s="125"/>
      <c r="V123" s="374" t="str">
        <f t="shared" si="7"/>
        <v/>
      </c>
      <c r="W123" s="374" t="str">
        <f t="shared" si="8"/>
        <v/>
      </c>
      <c r="X123" s="374" t="str">
        <f t="shared" si="9"/>
        <v/>
      </c>
      <c r="Y123" s="670" t="str">
        <f t="shared" si="10"/>
        <v/>
      </c>
      <c r="Z123" s="706"/>
      <c r="AA123" s="704"/>
      <c r="AB123" s="120"/>
      <c r="AC123" s="120"/>
      <c r="AD123" s="57" t="str">
        <f>IF(Q123="","",IF(Q123='G-1 All Habitats'!$X$3,E123-T123-U123,"None"))</f>
        <v/>
      </c>
      <c r="AE123" s="58" t="str">
        <f>IF(Q123="","", IF(Q123='G-1 All Habitats'!$X$3, AD123*G123*I123*L123*N123*P123,"None"))</f>
        <v/>
      </c>
      <c r="AH123" s="30">
        <f t="shared" si="11"/>
        <v>0</v>
      </c>
      <c r="AI123" s="124" t="str">
        <f t="shared" si="12"/>
        <v/>
      </c>
      <c r="AJ123" s="124" t="str">
        <f t="shared" si="13"/>
        <v/>
      </c>
      <c r="AL123" s="124">
        <v>114</v>
      </c>
      <c r="AN123" s="124" t="str">
        <f t="array" ref="AN123">IFERROR(INDEX($AL$10:$AL$258, MATCH(0, IF(TRUE=$AI$10:$AI$258, COUNTIF($AN$9:$AN122, $AL$10:$AL$258), ""), 0)),"")</f>
        <v/>
      </c>
      <c r="AO123" s="124" t="str">
        <f t="array" ref="AO123">IFERROR(INDEX($AL$10:$AL$258, MATCH(0, IF(TRUE=$AJ$10:$AJ$258, COUNTIF($AO$9:$AO122, $AL$10:$AL$258), ""), 0)),"")</f>
        <v/>
      </c>
      <c r="AQ123" s="30" t="str">
        <f>IFERROR(INDEX('G-7 WaterC'' Data'!$AZ$3:$AZ$7,MATCH(D123,'G-7 WaterC'' Data'!$AY$3:$AY$7,0)),"")</f>
        <v/>
      </c>
      <c r="AR123" s="30" t="str">
        <f>IFERROR(INDEX('G-7 WaterC'' Data'!AZ123:AZ127,MATCH(D123,'G-7 WaterC'' Data'!$AY$10:$AY$14,0)),"")</f>
        <v/>
      </c>
    </row>
    <row r="124" spans="3:44" ht="15">
      <c r="C124" s="110">
        <v>115</v>
      </c>
      <c r="D124" s="338"/>
      <c r="E124" s="139"/>
      <c r="F124" s="362" t="str">
        <f>IF(D124="","",VLOOKUP(D124,'G-7 WaterC'' Data'!$B$2:$G$8,2,FALSE))</f>
        <v/>
      </c>
      <c r="G124" s="363" t="str">
        <f>IFERROR(VLOOKUP(F124,'G-7 WaterC'' Data'!$C$4:$D$8,2,FALSE),"")</f>
        <v/>
      </c>
      <c r="H124" s="114"/>
      <c r="I124" s="363" t="str">
        <f>IFERROR(INDEX('G-7 WaterC'' Data'!$H$4:$L$8,MATCH(D124,'G-7 WaterC'' Data'!$B$4:$B$8,0),MATCH(H124,'G-7 WaterC'' Data'!$H$3:$L$3,0)),"")</f>
        <v/>
      </c>
      <c r="J124" s="320"/>
      <c r="K124" s="398" t="str">
        <f>IF(J124="","",IF(VLOOKUP(J124,'G-7 WaterC'' Data'!$AK$4:$AM$6,2,FALSE)=0,"Spatial Data Missing ⚠",VLOOKUP(J124,'G-7 WaterC'' Data'!$AK$4:$AM$6,2,FALSE)))</f>
        <v/>
      </c>
      <c r="L124" s="368" t="str">
        <f>IF(J124="","",IF(VLOOKUP(J124,'G-7 WaterC'' Data'!$AK$4:$AM$9,3,FALSE)=0,"Spatial Data Missing ⚠",VLOOKUP(J124,'G-7 WaterC'' Data'!$AK$4:$AM$6,3,FALSE)))</f>
        <v/>
      </c>
      <c r="M124" s="54"/>
      <c r="N124" s="363" t="str">
        <f>IF(M124="","",IF(VLOOKUP(M124,'G-7 WaterC'' Data'!$AA$4:$AB$7,2,FALSE)=0,"Spatial Data Missing ⚠",VLOOKUP(M124,'G-7 WaterC'' Data'!$AA$4:$AB$7,2,FALSE)))</f>
        <v/>
      </c>
      <c r="O124" s="60"/>
      <c r="P124" s="363" t="str">
        <f>IF(O124="","",IF(VLOOKUP(O124,'G-7 WaterC'' Data'!$AD$4:$AE$14,2,FALSE)=0,"Spatial Data Missing ⚠",VLOOKUP(O124,'G-7 WaterC'' Data'!$AD$4:$AE$14,2,FALSE)))</f>
        <v/>
      </c>
      <c r="Q124" s="369" t="str">
        <f>IF(D124="","",VLOOKUP(D124,'G-7 WaterC'' Data'!$B$2:$G$8,6,FALSE))</f>
        <v/>
      </c>
      <c r="R124" s="376" t="str">
        <f>IFERROR(IF(D124="","",IF(AND(Q124='G-1 All Habitats'!$X$3,U124&gt;0),V124+W124,IF(AND(Q124='G-1 All Habitats'!$X$3,T124&gt;0),V124+W124,IF(AND(Q124='G-1 All Habitats'!$X$3,AD124&gt;0),"Any Loss Unacceptable ⚠",IF(AND(Q124='G-1 All Habitats'!$X$3,AE124&gt;0),"Any Loss Unacceptable ⚠", E124*G124*I124*L124*N124*P124 ))))),"Check Data ▲")</f>
        <v/>
      </c>
      <c r="S124" s="32"/>
      <c r="T124" s="114"/>
      <c r="U124" s="125"/>
      <c r="V124" s="374" t="str">
        <f t="shared" si="7"/>
        <v/>
      </c>
      <c r="W124" s="374" t="str">
        <f t="shared" si="8"/>
        <v/>
      </c>
      <c r="X124" s="374" t="str">
        <f t="shared" si="9"/>
        <v/>
      </c>
      <c r="Y124" s="670" t="str">
        <f t="shared" si="10"/>
        <v/>
      </c>
      <c r="Z124" s="706"/>
      <c r="AA124" s="704"/>
      <c r="AB124" s="120"/>
      <c r="AC124" s="120"/>
      <c r="AD124" s="57" t="str">
        <f>IF(Q124="","",IF(Q124='G-1 All Habitats'!$X$3,E124-T124-U124,"None"))</f>
        <v/>
      </c>
      <c r="AE124" s="58" t="str">
        <f>IF(Q124="","", IF(Q124='G-1 All Habitats'!$X$3, AD124*G124*I124*L124*N124*P124,"None"))</f>
        <v/>
      </c>
      <c r="AH124" s="30">
        <f t="shared" si="11"/>
        <v>0</v>
      </c>
      <c r="AI124" s="124" t="str">
        <f t="shared" si="12"/>
        <v/>
      </c>
      <c r="AJ124" s="124" t="str">
        <f t="shared" si="13"/>
        <v/>
      </c>
      <c r="AL124" s="124">
        <v>115</v>
      </c>
      <c r="AN124" s="124" t="str">
        <f t="array" ref="AN124">IFERROR(INDEX($AL$10:$AL$258, MATCH(0, IF(TRUE=$AI$10:$AI$258, COUNTIF($AN$9:$AN123, $AL$10:$AL$258), ""), 0)),"")</f>
        <v/>
      </c>
      <c r="AO124" s="124" t="str">
        <f t="array" ref="AO124">IFERROR(INDEX($AL$10:$AL$258, MATCH(0, IF(TRUE=$AJ$10:$AJ$258, COUNTIF($AO$9:$AO123, $AL$10:$AL$258), ""), 0)),"")</f>
        <v/>
      </c>
      <c r="AQ124" s="30" t="str">
        <f>IFERROR(INDEX('G-7 WaterC'' Data'!$AZ$3:$AZ$7,MATCH(D124,'G-7 WaterC'' Data'!$AY$3:$AY$7,0)),"")</f>
        <v/>
      </c>
      <c r="AR124" s="30" t="str">
        <f>IFERROR(INDEX('G-7 WaterC'' Data'!AZ124:AZ128,MATCH(D124,'G-7 WaterC'' Data'!$AY$10:$AY$14,0)),"")</f>
        <v/>
      </c>
    </row>
    <row r="125" spans="3:44" ht="15">
      <c r="C125" s="110">
        <v>116</v>
      </c>
      <c r="D125" s="338"/>
      <c r="E125" s="139"/>
      <c r="F125" s="362" t="str">
        <f>IF(D125="","",VLOOKUP(D125,'G-7 WaterC'' Data'!$B$2:$G$8,2,FALSE))</f>
        <v/>
      </c>
      <c r="G125" s="363" t="str">
        <f>IFERROR(VLOOKUP(F125,'G-7 WaterC'' Data'!$C$4:$D$8,2,FALSE),"")</f>
        <v/>
      </c>
      <c r="H125" s="114"/>
      <c r="I125" s="363" t="str">
        <f>IFERROR(INDEX('G-7 WaterC'' Data'!$H$4:$L$8,MATCH(D125,'G-7 WaterC'' Data'!$B$4:$B$8,0),MATCH(H125,'G-7 WaterC'' Data'!$H$3:$L$3,0)),"")</f>
        <v/>
      </c>
      <c r="J125" s="320"/>
      <c r="K125" s="398" t="str">
        <f>IF(J125="","",IF(VLOOKUP(J125,'G-7 WaterC'' Data'!$AK$4:$AM$6,2,FALSE)=0,"Spatial Data Missing ⚠",VLOOKUP(J125,'G-7 WaterC'' Data'!$AK$4:$AM$6,2,FALSE)))</f>
        <v/>
      </c>
      <c r="L125" s="368" t="str">
        <f>IF(J125="","",IF(VLOOKUP(J125,'G-7 WaterC'' Data'!$AK$4:$AM$9,3,FALSE)=0,"Spatial Data Missing ⚠",VLOOKUP(J125,'G-7 WaterC'' Data'!$AK$4:$AM$6,3,FALSE)))</f>
        <v/>
      </c>
      <c r="M125" s="54"/>
      <c r="N125" s="363" t="str">
        <f>IF(M125="","",IF(VLOOKUP(M125,'G-7 WaterC'' Data'!$AA$4:$AB$7,2,FALSE)=0,"Spatial Data Missing ⚠",VLOOKUP(M125,'G-7 WaterC'' Data'!$AA$4:$AB$7,2,FALSE)))</f>
        <v/>
      </c>
      <c r="O125" s="60"/>
      <c r="P125" s="363" t="str">
        <f>IF(O125="","",IF(VLOOKUP(O125,'G-7 WaterC'' Data'!$AD$4:$AE$14,2,FALSE)=0,"Spatial Data Missing ⚠",VLOOKUP(O125,'G-7 WaterC'' Data'!$AD$4:$AE$14,2,FALSE)))</f>
        <v/>
      </c>
      <c r="Q125" s="369" t="str">
        <f>IF(D125="","",VLOOKUP(D125,'G-7 WaterC'' Data'!$B$2:$G$8,6,FALSE))</f>
        <v/>
      </c>
      <c r="R125" s="376" t="str">
        <f>IFERROR(IF(D125="","",IF(AND(Q125='G-1 All Habitats'!$X$3,U125&gt;0),V125+W125,IF(AND(Q125='G-1 All Habitats'!$X$3,T125&gt;0),V125+W125,IF(AND(Q125='G-1 All Habitats'!$X$3,AD125&gt;0),"Any Loss Unacceptable ⚠",IF(AND(Q125='G-1 All Habitats'!$X$3,AE125&gt;0),"Any Loss Unacceptable ⚠", E125*G125*I125*L125*N125*P125 ))))),"Check Data ▲")</f>
        <v/>
      </c>
      <c r="S125" s="32"/>
      <c r="T125" s="114"/>
      <c r="U125" s="125"/>
      <c r="V125" s="374" t="str">
        <f t="shared" si="7"/>
        <v/>
      </c>
      <c r="W125" s="374" t="str">
        <f t="shared" si="8"/>
        <v/>
      </c>
      <c r="X125" s="374" t="str">
        <f t="shared" si="9"/>
        <v/>
      </c>
      <c r="Y125" s="670" t="str">
        <f t="shared" si="10"/>
        <v/>
      </c>
      <c r="Z125" s="706"/>
      <c r="AA125" s="704"/>
      <c r="AB125" s="120"/>
      <c r="AC125" s="120"/>
      <c r="AD125" s="57" t="str">
        <f>IF(Q125="","",IF(Q125='G-1 All Habitats'!$X$3,E125-T125-U125,"None"))</f>
        <v/>
      </c>
      <c r="AE125" s="58" t="str">
        <f>IF(Q125="","", IF(Q125='G-1 All Habitats'!$X$3, AD125*G125*I125*L125*N125*P125,"None"))</f>
        <v/>
      </c>
      <c r="AH125" s="30">
        <f t="shared" si="11"/>
        <v>0</v>
      </c>
      <c r="AI125" s="124" t="str">
        <f t="shared" si="12"/>
        <v/>
      </c>
      <c r="AJ125" s="124" t="str">
        <f t="shared" si="13"/>
        <v/>
      </c>
      <c r="AL125" s="124">
        <v>116</v>
      </c>
      <c r="AN125" s="124" t="str">
        <f t="array" ref="AN125">IFERROR(INDEX($AL$10:$AL$258, MATCH(0, IF(TRUE=$AI$10:$AI$258, COUNTIF($AN$9:$AN124, $AL$10:$AL$258), ""), 0)),"")</f>
        <v/>
      </c>
      <c r="AO125" s="124" t="str">
        <f t="array" ref="AO125">IFERROR(INDEX($AL$10:$AL$258, MATCH(0, IF(TRUE=$AJ$10:$AJ$258, COUNTIF($AO$9:$AO124, $AL$10:$AL$258), ""), 0)),"")</f>
        <v/>
      </c>
      <c r="AQ125" s="30" t="str">
        <f>IFERROR(INDEX('G-7 WaterC'' Data'!$AZ$3:$AZ$7,MATCH(D125,'G-7 WaterC'' Data'!$AY$3:$AY$7,0)),"")</f>
        <v/>
      </c>
      <c r="AR125" s="30" t="str">
        <f>IFERROR(INDEX('G-7 WaterC'' Data'!AZ125:AZ129,MATCH(D125,'G-7 WaterC'' Data'!$AY$10:$AY$14,0)),"")</f>
        <v/>
      </c>
    </row>
    <row r="126" spans="3:44" ht="15">
      <c r="C126" s="110">
        <v>117</v>
      </c>
      <c r="D126" s="338"/>
      <c r="E126" s="139"/>
      <c r="F126" s="362" t="str">
        <f>IF(D126="","",VLOOKUP(D126,'G-7 WaterC'' Data'!$B$2:$G$8,2,FALSE))</f>
        <v/>
      </c>
      <c r="G126" s="363" t="str">
        <f>IFERROR(VLOOKUP(F126,'G-7 WaterC'' Data'!$C$4:$D$8,2,FALSE),"")</f>
        <v/>
      </c>
      <c r="H126" s="114"/>
      <c r="I126" s="363" t="str">
        <f>IFERROR(INDEX('G-7 WaterC'' Data'!$H$4:$L$8,MATCH(D126,'G-7 WaterC'' Data'!$B$4:$B$8,0),MATCH(H126,'G-7 WaterC'' Data'!$H$3:$L$3,0)),"")</f>
        <v/>
      </c>
      <c r="J126" s="320"/>
      <c r="K126" s="398" t="str">
        <f>IF(J126="","",IF(VLOOKUP(J126,'G-7 WaterC'' Data'!$AK$4:$AM$6,2,FALSE)=0,"Spatial Data Missing ⚠",VLOOKUP(J126,'G-7 WaterC'' Data'!$AK$4:$AM$6,2,FALSE)))</f>
        <v/>
      </c>
      <c r="L126" s="368" t="str">
        <f>IF(J126="","",IF(VLOOKUP(J126,'G-7 WaterC'' Data'!$AK$4:$AM$9,3,FALSE)=0,"Spatial Data Missing ⚠",VLOOKUP(J126,'G-7 WaterC'' Data'!$AK$4:$AM$6,3,FALSE)))</f>
        <v/>
      </c>
      <c r="M126" s="54"/>
      <c r="N126" s="363" t="str">
        <f>IF(M126="","",IF(VLOOKUP(M126,'G-7 WaterC'' Data'!$AA$4:$AB$7,2,FALSE)=0,"Spatial Data Missing ⚠",VLOOKUP(M126,'G-7 WaterC'' Data'!$AA$4:$AB$7,2,FALSE)))</f>
        <v/>
      </c>
      <c r="O126" s="60"/>
      <c r="P126" s="363" t="str">
        <f>IF(O126="","",IF(VLOOKUP(O126,'G-7 WaterC'' Data'!$AD$4:$AE$14,2,FALSE)=0,"Spatial Data Missing ⚠",VLOOKUP(O126,'G-7 WaterC'' Data'!$AD$4:$AE$14,2,FALSE)))</f>
        <v/>
      </c>
      <c r="Q126" s="369" t="str">
        <f>IF(D126="","",VLOOKUP(D126,'G-7 WaterC'' Data'!$B$2:$G$8,6,FALSE))</f>
        <v/>
      </c>
      <c r="R126" s="376" t="str">
        <f>IFERROR(IF(D126="","",IF(AND(Q126='G-1 All Habitats'!$X$3,U126&gt;0),V126+W126,IF(AND(Q126='G-1 All Habitats'!$X$3,T126&gt;0),V126+W126,IF(AND(Q126='G-1 All Habitats'!$X$3,AD126&gt;0),"Any Loss Unacceptable ⚠",IF(AND(Q126='G-1 All Habitats'!$X$3,AE126&gt;0),"Any Loss Unacceptable ⚠", E126*G126*I126*L126*N126*P126 ))))),"Check Data ▲")</f>
        <v/>
      </c>
      <c r="S126" s="32"/>
      <c r="T126" s="114"/>
      <c r="U126" s="125"/>
      <c r="V126" s="374" t="str">
        <f t="shared" si="7"/>
        <v/>
      </c>
      <c r="W126" s="374" t="str">
        <f t="shared" si="8"/>
        <v/>
      </c>
      <c r="X126" s="374" t="str">
        <f t="shared" si="9"/>
        <v/>
      </c>
      <c r="Y126" s="670" t="str">
        <f t="shared" si="10"/>
        <v/>
      </c>
      <c r="Z126" s="706"/>
      <c r="AA126" s="704"/>
      <c r="AB126" s="120"/>
      <c r="AC126" s="120"/>
      <c r="AD126" s="57" t="str">
        <f>IF(Q126="","",IF(Q126='G-1 All Habitats'!$X$3,E126-T126-U126,"None"))</f>
        <v/>
      </c>
      <c r="AE126" s="58" t="str">
        <f>IF(Q126="","", IF(Q126='G-1 All Habitats'!$X$3, AD126*G126*I126*L126*N126*P126,"None"))</f>
        <v/>
      </c>
      <c r="AH126" s="30">
        <f t="shared" si="11"/>
        <v>0</v>
      </c>
      <c r="AI126" s="124" t="str">
        <f t="shared" si="12"/>
        <v/>
      </c>
      <c r="AJ126" s="124" t="str">
        <f t="shared" si="13"/>
        <v/>
      </c>
      <c r="AL126" s="124">
        <v>117</v>
      </c>
      <c r="AN126" s="124" t="str">
        <f t="array" ref="AN126">IFERROR(INDEX($AL$10:$AL$258, MATCH(0, IF(TRUE=$AI$10:$AI$258, COUNTIF($AN$9:$AN125, $AL$10:$AL$258), ""), 0)),"")</f>
        <v/>
      </c>
      <c r="AO126" s="124" t="str">
        <f t="array" ref="AO126">IFERROR(INDEX($AL$10:$AL$258, MATCH(0, IF(TRUE=$AJ$10:$AJ$258, COUNTIF($AO$9:$AO125, $AL$10:$AL$258), ""), 0)),"")</f>
        <v/>
      </c>
      <c r="AQ126" s="30" t="str">
        <f>IFERROR(INDEX('G-7 WaterC'' Data'!$AZ$3:$AZ$7,MATCH(D126,'G-7 WaterC'' Data'!$AY$3:$AY$7,0)),"")</f>
        <v/>
      </c>
      <c r="AR126" s="30" t="str">
        <f>IFERROR(INDEX('G-7 WaterC'' Data'!AZ126:AZ130,MATCH(D126,'G-7 WaterC'' Data'!$AY$10:$AY$14,0)),"")</f>
        <v/>
      </c>
    </row>
    <row r="127" spans="3:44" ht="15">
      <c r="C127" s="110">
        <v>118</v>
      </c>
      <c r="D127" s="338"/>
      <c r="E127" s="139"/>
      <c r="F127" s="362" t="str">
        <f>IF(D127="","",VLOOKUP(D127,'G-7 WaterC'' Data'!$B$2:$G$8,2,FALSE))</f>
        <v/>
      </c>
      <c r="G127" s="363" t="str">
        <f>IFERROR(VLOOKUP(F127,'G-7 WaterC'' Data'!$C$4:$D$8,2,FALSE),"")</f>
        <v/>
      </c>
      <c r="H127" s="114"/>
      <c r="I127" s="363" t="str">
        <f>IFERROR(INDEX('G-7 WaterC'' Data'!$H$4:$L$8,MATCH(D127,'G-7 WaterC'' Data'!$B$4:$B$8,0),MATCH(H127,'G-7 WaterC'' Data'!$H$3:$L$3,0)),"")</f>
        <v/>
      </c>
      <c r="J127" s="320"/>
      <c r="K127" s="398" t="str">
        <f>IF(J127="","",IF(VLOOKUP(J127,'G-7 WaterC'' Data'!$AK$4:$AM$6,2,FALSE)=0,"Spatial Data Missing ⚠",VLOOKUP(J127,'G-7 WaterC'' Data'!$AK$4:$AM$6,2,FALSE)))</f>
        <v/>
      </c>
      <c r="L127" s="368" t="str">
        <f>IF(J127="","",IF(VLOOKUP(J127,'G-7 WaterC'' Data'!$AK$4:$AM$9,3,FALSE)=0,"Spatial Data Missing ⚠",VLOOKUP(J127,'G-7 WaterC'' Data'!$AK$4:$AM$6,3,FALSE)))</f>
        <v/>
      </c>
      <c r="M127" s="54"/>
      <c r="N127" s="363" t="str">
        <f>IF(M127="","",IF(VLOOKUP(M127,'G-7 WaterC'' Data'!$AA$4:$AB$7,2,FALSE)=0,"Spatial Data Missing ⚠",VLOOKUP(M127,'G-7 WaterC'' Data'!$AA$4:$AB$7,2,FALSE)))</f>
        <v/>
      </c>
      <c r="O127" s="60"/>
      <c r="P127" s="363" t="str">
        <f>IF(O127="","",IF(VLOOKUP(O127,'G-7 WaterC'' Data'!$AD$4:$AE$14,2,FALSE)=0,"Spatial Data Missing ⚠",VLOOKUP(O127,'G-7 WaterC'' Data'!$AD$4:$AE$14,2,FALSE)))</f>
        <v/>
      </c>
      <c r="Q127" s="369" t="str">
        <f>IF(D127="","",VLOOKUP(D127,'G-7 WaterC'' Data'!$B$2:$G$8,6,FALSE))</f>
        <v/>
      </c>
      <c r="R127" s="376" t="str">
        <f>IFERROR(IF(D127="","",IF(AND(Q127='G-1 All Habitats'!$X$3,U127&gt;0),V127+W127,IF(AND(Q127='G-1 All Habitats'!$X$3,T127&gt;0),V127+W127,IF(AND(Q127='G-1 All Habitats'!$X$3,AD127&gt;0),"Any Loss Unacceptable ⚠",IF(AND(Q127='G-1 All Habitats'!$X$3,AE127&gt;0),"Any Loss Unacceptable ⚠", E127*G127*I127*L127*N127*P127 ))))),"Check Data ▲")</f>
        <v/>
      </c>
      <c r="S127" s="32"/>
      <c r="T127" s="114"/>
      <c r="U127" s="125"/>
      <c r="V127" s="374" t="str">
        <f t="shared" si="7"/>
        <v/>
      </c>
      <c r="W127" s="374" t="str">
        <f t="shared" si="8"/>
        <v/>
      </c>
      <c r="X127" s="374" t="str">
        <f t="shared" si="9"/>
        <v/>
      </c>
      <c r="Y127" s="670" t="str">
        <f t="shared" si="10"/>
        <v/>
      </c>
      <c r="Z127" s="706"/>
      <c r="AA127" s="704"/>
      <c r="AB127" s="120"/>
      <c r="AC127" s="120"/>
      <c r="AD127" s="57" t="str">
        <f>IF(Q127="","",IF(Q127='G-1 All Habitats'!$X$3,E127-T127-U127,"None"))</f>
        <v/>
      </c>
      <c r="AE127" s="58" t="str">
        <f>IF(Q127="","", IF(Q127='G-1 All Habitats'!$X$3, AD127*G127*I127*L127*N127*P127,"None"))</f>
        <v/>
      </c>
      <c r="AH127" s="30">
        <f t="shared" si="11"/>
        <v>0</v>
      </c>
      <c r="AI127" s="124" t="str">
        <f t="shared" si="12"/>
        <v/>
      </c>
      <c r="AJ127" s="124" t="str">
        <f t="shared" si="13"/>
        <v/>
      </c>
      <c r="AL127" s="124">
        <v>118</v>
      </c>
      <c r="AN127" s="124" t="str">
        <f t="array" ref="AN127">IFERROR(INDEX($AL$10:$AL$258, MATCH(0, IF(TRUE=$AI$10:$AI$258, COUNTIF($AN$9:$AN126, $AL$10:$AL$258), ""), 0)),"")</f>
        <v/>
      </c>
      <c r="AO127" s="124" t="str">
        <f t="array" ref="AO127">IFERROR(INDEX($AL$10:$AL$258, MATCH(0, IF(TRUE=$AJ$10:$AJ$258, COUNTIF($AO$9:$AO126, $AL$10:$AL$258), ""), 0)),"")</f>
        <v/>
      </c>
      <c r="AQ127" s="30" t="str">
        <f>IFERROR(INDEX('G-7 WaterC'' Data'!$AZ$3:$AZ$7,MATCH(D127,'G-7 WaterC'' Data'!$AY$3:$AY$7,0)),"")</f>
        <v/>
      </c>
      <c r="AR127" s="30" t="str">
        <f>IFERROR(INDEX('G-7 WaterC'' Data'!AZ127:AZ131,MATCH(D127,'G-7 WaterC'' Data'!$AY$10:$AY$14,0)),"")</f>
        <v/>
      </c>
    </row>
    <row r="128" spans="3:44" ht="15">
      <c r="C128" s="110">
        <v>119</v>
      </c>
      <c r="D128" s="338"/>
      <c r="E128" s="139"/>
      <c r="F128" s="362" t="str">
        <f>IF(D128="","",VLOOKUP(D128,'G-7 WaterC'' Data'!$B$2:$G$8,2,FALSE))</f>
        <v/>
      </c>
      <c r="G128" s="363" t="str">
        <f>IFERROR(VLOOKUP(F128,'G-7 WaterC'' Data'!$C$4:$D$8,2,FALSE),"")</f>
        <v/>
      </c>
      <c r="H128" s="114"/>
      <c r="I128" s="363" t="str">
        <f>IFERROR(INDEX('G-7 WaterC'' Data'!$H$4:$L$8,MATCH(D128,'G-7 WaterC'' Data'!$B$4:$B$8,0),MATCH(H128,'G-7 WaterC'' Data'!$H$3:$L$3,0)),"")</f>
        <v/>
      </c>
      <c r="J128" s="320"/>
      <c r="K128" s="398" t="str">
        <f>IF(J128="","",IF(VLOOKUP(J128,'G-7 WaterC'' Data'!$AK$4:$AM$6,2,FALSE)=0,"Spatial Data Missing ⚠",VLOOKUP(J128,'G-7 WaterC'' Data'!$AK$4:$AM$6,2,FALSE)))</f>
        <v/>
      </c>
      <c r="L128" s="368" t="str">
        <f>IF(J128="","",IF(VLOOKUP(J128,'G-7 WaterC'' Data'!$AK$4:$AM$9,3,FALSE)=0,"Spatial Data Missing ⚠",VLOOKUP(J128,'G-7 WaterC'' Data'!$AK$4:$AM$6,3,FALSE)))</f>
        <v/>
      </c>
      <c r="M128" s="54"/>
      <c r="N128" s="363" t="str">
        <f>IF(M128="","",IF(VLOOKUP(M128,'G-7 WaterC'' Data'!$AA$4:$AB$7,2,FALSE)=0,"Spatial Data Missing ⚠",VLOOKUP(M128,'G-7 WaterC'' Data'!$AA$4:$AB$7,2,FALSE)))</f>
        <v/>
      </c>
      <c r="O128" s="60"/>
      <c r="P128" s="363" t="str">
        <f>IF(O128="","",IF(VLOOKUP(O128,'G-7 WaterC'' Data'!$AD$4:$AE$14,2,FALSE)=0,"Spatial Data Missing ⚠",VLOOKUP(O128,'G-7 WaterC'' Data'!$AD$4:$AE$14,2,FALSE)))</f>
        <v/>
      </c>
      <c r="Q128" s="369" t="str">
        <f>IF(D128="","",VLOOKUP(D128,'G-7 WaterC'' Data'!$B$2:$G$8,6,FALSE))</f>
        <v/>
      </c>
      <c r="R128" s="376" t="str">
        <f>IFERROR(IF(D128="","",IF(AND(Q128='G-1 All Habitats'!$X$3,U128&gt;0),V128+W128,IF(AND(Q128='G-1 All Habitats'!$X$3,T128&gt;0),V128+W128,IF(AND(Q128='G-1 All Habitats'!$X$3,AD128&gt;0),"Any Loss Unacceptable ⚠",IF(AND(Q128='G-1 All Habitats'!$X$3,AE128&gt;0),"Any Loss Unacceptable ⚠", E128*G128*I128*L128*N128*P128 ))))),"Check Data ▲")</f>
        <v/>
      </c>
      <c r="S128" s="32"/>
      <c r="T128" s="114"/>
      <c r="U128" s="125"/>
      <c r="V128" s="374" t="str">
        <f t="shared" si="7"/>
        <v/>
      </c>
      <c r="W128" s="374" t="str">
        <f t="shared" si="8"/>
        <v/>
      </c>
      <c r="X128" s="374" t="str">
        <f t="shared" si="9"/>
        <v/>
      </c>
      <c r="Y128" s="670" t="str">
        <f t="shared" si="10"/>
        <v/>
      </c>
      <c r="Z128" s="706"/>
      <c r="AA128" s="704"/>
      <c r="AB128" s="120"/>
      <c r="AC128" s="120"/>
      <c r="AD128" s="57" t="str">
        <f>IF(Q128="","",IF(Q128='G-1 All Habitats'!$X$3,E128-T128-U128,"None"))</f>
        <v/>
      </c>
      <c r="AE128" s="58" t="str">
        <f>IF(Q128="","", IF(Q128='G-1 All Habitats'!$X$3, AD128*G128*I128*L128*N128*P128,"None"))</f>
        <v/>
      </c>
      <c r="AH128" s="30">
        <f t="shared" si="11"/>
        <v>0</v>
      </c>
      <c r="AI128" s="124" t="str">
        <f t="shared" si="12"/>
        <v/>
      </c>
      <c r="AJ128" s="124" t="str">
        <f t="shared" si="13"/>
        <v/>
      </c>
      <c r="AL128" s="124">
        <v>119</v>
      </c>
      <c r="AN128" s="124" t="str">
        <f t="array" ref="AN128">IFERROR(INDEX($AL$10:$AL$258, MATCH(0, IF(TRUE=$AI$10:$AI$258, COUNTIF($AN$9:$AN127, $AL$10:$AL$258), ""), 0)),"")</f>
        <v/>
      </c>
      <c r="AO128" s="124" t="str">
        <f t="array" ref="AO128">IFERROR(INDEX($AL$10:$AL$258, MATCH(0, IF(TRUE=$AJ$10:$AJ$258, COUNTIF($AO$9:$AO127, $AL$10:$AL$258), ""), 0)),"")</f>
        <v/>
      </c>
      <c r="AQ128" s="30" t="str">
        <f>IFERROR(INDEX('G-7 WaterC'' Data'!$AZ$3:$AZ$7,MATCH(D128,'G-7 WaterC'' Data'!$AY$3:$AY$7,0)),"")</f>
        <v/>
      </c>
      <c r="AR128" s="30" t="str">
        <f>IFERROR(INDEX('G-7 WaterC'' Data'!AZ128:AZ132,MATCH(D128,'G-7 WaterC'' Data'!$AY$10:$AY$14,0)),"")</f>
        <v/>
      </c>
    </row>
    <row r="129" spans="3:44" ht="15">
      <c r="C129" s="110">
        <v>120</v>
      </c>
      <c r="D129" s="338"/>
      <c r="E129" s="139"/>
      <c r="F129" s="362" t="str">
        <f>IF(D129="","",VLOOKUP(D129,'G-7 WaterC'' Data'!$B$2:$G$8,2,FALSE))</f>
        <v/>
      </c>
      <c r="G129" s="363" t="str">
        <f>IFERROR(VLOOKUP(F129,'G-7 WaterC'' Data'!$C$4:$D$8,2,FALSE),"")</f>
        <v/>
      </c>
      <c r="H129" s="114"/>
      <c r="I129" s="363" t="str">
        <f>IFERROR(INDEX('G-7 WaterC'' Data'!$H$4:$L$8,MATCH(D129,'G-7 WaterC'' Data'!$B$4:$B$8,0),MATCH(H129,'G-7 WaterC'' Data'!$H$3:$L$3,0)),"")</f>
        <v/>
      </c>
      <c r="J129" s="320"/>
      <c r="K129" s="398" t="str">
        <f>IF(J129="","",IF(VLOOKUP(J129,'G-7 WaterC'' Data'!$AK$4:$AM$6,2,FALSE)=0,"Spatial Data Missing ⚠",VLOOKUP(J129,'G-7 WaterC'' Data'!$AK$4:$AM$6,2,FALSE)))</f>
        <v/>
      </c>
      <c r="L129" s="368" t="str">
        <f>IF(J129="","",IF(VLOOKUP(J129,'G-7 WaterC'' Data'!$AK$4:$AM$9,3,FALSE)=0,"Spatial Data Missing ⚠",VLOOKUP(J129,'G-7 WaterC'' Data'!$AK$4:$AM$6,3,FALSE)))</f>
        <v/>
      </c>
      <c r="M129" s="54"/>
      <c r="N129" s="363" t="str">
        <f>IF(M129="","",IF(VLOOKUP(M129,'G-7 WaterC'' Data'!$AA$4:$AB$7,2,FALSE)=0,"Spatial Data Missing ⚠",VLOOKUP(M129,'G-7 WaterC'' Data'!$AA$4:$AB$7,2,FALSE)))</f>
        <v/>
      </c>
      <c r="O129" s="60"/>
      <c r="P129" s="363" t="str">
        <f>IF(O129="","",IF(VLOOKUP(O129,'G-7 WaterC'' Data'!$AD$4:$AE$14,2,FALSE)=0,"Spatial Data Missing ⚠",VLOOKUP(O129,'G-7 WaterC'' Data'!$AD$4:$AE$14,2,FALSE)))</f>
        <v/>
      </c>
      <c r="Q129" s="369" t="str">
        <f>IF(D129="","",VLOOKUP(D129,'G-7 WaterC'' Data'!$B$2:$G$8,6,FALSE))</f>
        <v/>
      </c>
      <c r="R129" s="376" t="str">
        <f>IFERROR(IF(D129="","",IF(AND(Q129='G-1 All Habitats'!$X$3,U129&gt;0),V129+W129,IF(AND(Q129='G-1 All Habitats'!$X$3,T129&gt;0),V129+W129,IF(AND(Q129='G-1 All Habitats'!$X$3,AD129&gt;0),"Any Loss Unacceptable ⚠",IF(AND(Q129='G-1 All Habitats'!$X$3,AE129&gt;0),"Any Loss Unacceptable ⚠", E129*G129*I129*L129*N129*P129 ))))),"Check Data ▲")</f>
        <v/>
      </c>
      <c r="S129" s="32"/>
      <c r="T129" s="114"/>
      <c r="U129" s="125"/>
      <c r="V129" s="374" t="str">
        <f t="shared" si="7"/>
        <v/>
      </c>
      <c r="W129" s="374" t="str">
        <f t="shared" si="8"/>
        <v/>
      </c>
      <c r="X129" s="374" t="str">
        <f t="shared" si="9"/>
        <v/>
      </c>
      <c r="Y129" s="670" t="str">
        <f t="shared" si="10"/>
        <v/>
      </c>
      <c r="Z129" s="706"/>
      <c r="AA129" s="704"/>
      <c r="AB129" s="120"/>
      <c r="AC129" s="120"/>
      <c r="AD129" s="57" t="str">
        <f>IF(Q129="","",IF(Q129='G-1 All Habitats'!$X$3,E129-T129-U129,"None"))</f>
        <v/>
      </c>
      <c r="AE129" s="58" t="str">
        <f>IF(Q129="","", IF(Q129='G-1 All Habitats'!$X$3, AD129*G129*I129*L129*N129*P129,"None"))</f>
        <v/>
      </c>
      <c r="AH129" s="30">
        <f t="shared" si="11"/>
        <v>0</v>
      </c>
      <c r="AI129" s="124" t="str">
        <f t="shared" si="12"/>
        <v/>
      </c>
      <c r="AJ129" s="124" t="str">
        <f t="shared" si="13"/>
        <v/>
      </c>
      <c r="AL129" s="124">
        <v>120</v>
      </c>
      <c r="AN129" s="124" t="str">
        <f t="array" ref="AN129">IFERROR(INDEX($AL$10:$AL$258, MATCH(0, IF(TRUE=$AI$10:$AI$258, COUNTIF($AN$9:$AN128, $AL$10:$AL$258), ""), 0)),"")</f>
        <v/>
      </c>
      <c r="AO129" s="124" t="str">
        <f t="array" ref="AO129">IFERROR(INDEX($AL$10:$AL$258, MATCH(0, IF(TRUE=$AJ$10:$AJ$258, COUNTIF($AO$9:$AO128, $AL$10:$AL$258), ""), 0)),"")</f>
        <v/>
      </c>
      <c r="AQ129" s="30" t="str">
        <f>IFERROR(INDEX('G-7 WaterC'' Data'!$AZ$3:$AZ$7,MATCH(D129,'G-7 WaterC'' Data'!$AY$3:$AY$7,0)),"")</f>
        <v/>
      </c>
      <c r="AR129" s="30" t="str">
        <f>IFERROR(INDEX('G-7 WaterC'' Data'!AZ129:AZ133,MATCH(D129,'G-7 WaterC'' Data'!$AY$10:$AY$14,0)),"")</f>
        <v/>
      </c>
    </row>
    <row r="130" spans="3:44" ht="15">
      <c r="C130" s="110">
        <v>121</v>
      </c>
      <c r="D130" s="338"/>
      <c r="E130" s="139"/>
      <c r="F130" s="362" t="str">
        <f>IF(D130="","",VLOOKUP(D130,'G-7 WaterC'' Data'!$B$2:$G$8,2,FALSE))</f>
        <v/>
      </c>
      <c r="G130" s="363" t="str">
        <f>IFERROR(VLOOKUP(F130,'G-7 WaterC'' Data'!$C$4:$D$8,2,FALSE),"")</f>
        <v/>
      </c>
      <c r="H130" s="114"/>
      <c r="I130" s="363" t="str">
        <f>IFERROR(INDEX('G-7 WaterC'' Data'!$H$4:$L$8,MATCH(D130,'G-7 WaterC'' Data'!$B$4:$B$8,0),MATCH(H130,'G-7 WaterC'' Data'!$H$3:$L$3,0)),"")</f>
        <v/>
      </c>
      <c r="J130" s="320"/>
      <c r="K130" s="398" t="str">
        <f>IF(J130="","",IF(VLOOKUP(J130,'G-7 WaterC'' Data'!$AK$4:$AM$6,2,FALSE)=0,"Spatial Data Missing ⚠",VLOOKUP(J130,'G-7 WaterC'' Data'!$AK$4:$AM$6,2,FALSE)))</f>
        <v/>
      </c>
      <c r="L130" s="368" t="str">
        <f>IF(J130="","",IF(VLOOKUP(J130,'G-7 WaterC'' Data'!$AK$4:$AM$9,3,FALSE)=0,"Spatial Data Missing ⚠",VLOOKUP(J130,'G-7 WaterC'' Data'!$AK$4:$AM$6,3,FALSE)))</f>
        <v/>
      </c>
      <c r="M130" s="54"/>
      <c r="N130" s="363" t="str">
        <f>IF(M130="","",IF(VLOOKUP(M130,'G-7 WaterC'' Data'!$AA$4:$AB$7,2,FALSE)=0,"Spatial Data Missing ⚠",VLOOKUP(M130,'G-7 WaterC'' Data'!$AA$4:$AB$7,2,FALSE)))</f>
        <v/>
      </c>
      <c r="O130" s="60"/>
      <c r="P130" s="363" t="str">
        <f>IF(O130="","",IF(VLOOKUP(O130,'G-7 WaterC'' Data'!$AD$4:$AE$14,2,FALSE)=0,"Spatial Data Missing ⚠",VLOOKUP(O130,'G-7 WaterC'' Data'!$AD$4:$AE$14,2,FALSE)))</f>
        <v/>
      </c>
      <c r="Q130" s="369" t="str">
        <f>IF(D130="","",VLOOKUP(D130,'G-7 WaterC'' Data'!$B$2:$G$8,6,FALSE))</f>
        <v/>
      </c>
      <c r="R130" s="376" t="str">
        <f>IFERROR(IF(D130="","",IF(AND(Q130='G-1 All Habitats'!$X$3,U130&gt;0),V130+W130,IF(AND(Q130='G-1 All Habitats'!$X$3,T130&gt;0),V130+W130,IF(AND(Q130='G-1 All Habitats'!$X$3,AD130&gt;0),"Any Loss Unacceptable ⚠",IF(AND(Q130='G-1 All Habitats'!$X$3,AE130&gt;0),"Any Loss Unacceptable ⚠", E130*G130*I130*L130*N130*P130 ))))),"Check Data ▲")</f>
        <v/>
      </c>
      <c r="S130" s="32"/>
      <c r="T130" s="114"/>
      <c r="U130" s="125"/>
      <c r="V130" s="374" t="str">
        <f t="shared" si="7"/>
        <v/>
      </c>
      <c r="W130" s="374" t="str">
        <f t="shared" si="8"/>
        <v/>
      </c>
      <c r="X130" s="374" t="str">
        <f t="shared" si="9"/>
        <v/>
      </c>
      <c r="Y130" s="670" t="str">
        <f t="shared" si="10"/>
        <v/>
      </c>
      <c r="Z130" s="706"/>
      <c r="AA130" s="704"/>
      <c r="AB130" s="120"/>
      <c r="AC130" s="120"/>
      <c r="AD130" s="57" t="str">
        <f>IF(Q130="","",IF(Q130='G-1 All Habitats'!$X$3,E130-T130-U130,"None"))</f>
        <v/>
      </c>
      <c r="AE130" s="58" t="str">
        <f>IF(Q130="","", IF(Q130='G-1 All Habitats'!$X$3, AD130*G130*I130*L130*N130*P130,"None"))</f>
        <v/>
      </c>
      <c r="AH130" s="30">
        <f t="shared" si="11"/>
        <v>0</v>
      </c>
      <c r="AI130" s="124" t="str">
        <f t="shared" si="12"/>
        <v/>
      </c>
      <c r="AJ130" s="124" t="str">
        <f t="shared" si="13"/>
        <v/>
      </c>
      <c r="AL130" s="124">
        <v>121</v>
      </c>
      <c r="AN130" s="124" t="str">
        <f t="array" ref="AN130">IFERROR(INDEX($AL$10:$AL$258, MATCH(0, IF(TRUE=$AI$10:$AI$258, COUNTIF($AN$9:$AN129, $AL$10:$AL$258), ""), 0)),"")</f>
        <v/>
      </c>
      <c r="AO130" s="124" t="str">
        <f t="array" ref="AO130">IFERROR(INDEX($AL$10:$AL$258, MATCH(0, IF(TRUE=$AJ$10:$AJ$258, COUNTIF($AO$9:$AO129, $AL$10:$AL$258), ""), 0)),"")</f>
        <v/>
      </c>
      <c r="AQ130" s="30" t="str">
        <f>IFERROR(INDEX('G-7 WaterC'' Data'!$AZ$3:$AZ$7,MATCH(D130,'G-7 WaterC'' Data'!$AY$3:$AY$7,0)),"")</f>
        <v/>
      </c>
      <c r="AR130" s="30" t="str">
        <f>IFERROR(INDEX('G-7 WaterC'' Data'!AZ130:AZ134,MATCH(D130,'G-7 WaterC'' Data'!$AY$10:$AY$14,0)),"")</f>
        <v/>
      </c>
    </row>
    <row r="131" spans="3:44" ht="15">
      <c r="C131" s="110">
        <v>122</v>
      </c>
      <c r="D131" s="338"/>
      <c r="E131" s="139"/>
      <c r="F131" s="362" t="str">
        <f>IF(D131="","",VLOOKUP(D131,'G-7 WaterC'' Data'!$B$2:$G$8,2,FALSE))</f>
        <v/>
      </c>
      <c r="G131" s="363" t="str">
        <f>IFERROR(VLOOKUP(F131,'G-7 WaterC'' Data'!$C$4:$D$8,2,FALSE),"")</f>
        <v/>
      </c>
      <c r="H131" s="114"/>
      <c r="I131" s="363" t="str">
        <f>IFERROR(INDEX('G-7 WaterC'' Data'!$H$4:$L$8,MATCH(D131,'G-7 WaterC'' Data'!$B$4:$B$8,0),MATCH(H131,'G-7 WaterC'' Data'!$H$3:$L$3,0)),"")</f>
        <v/>
      </c>
      <c r="J131" s="320"/>
      <c r="K131" s="398" t="str">
        <f>IF(J131="","",IF(VLOOKUP(J131,'G-7 WaterC'' Data'!$AK$4:$AM$6,2,FALSE)=0,"Spatial Data Missing ⚠",VLOOKUP(J131,'G-7 WaterC'' Data'!$AK$4:$AM$6,2,FALSE)))</f>
        <v/>
      </c>
      <c r="L131" s="368" t="str">
        <f>IF(J131="","",IF(VLOOKUP(J131,'G-7 WaterC'' Data'!$AK$4:$AM$9,3,FALSE)=0,"Spatial Data Missing ⚠",VLOOKUP(J131,'G-7 WaterC'' Data'!$AK$4:$AM$6,3,FALSE)))</f>
        <v/>
      </c>
      <c r="M131" s="54"/>
      <c r="N131" s="363" t="str">
        <f>IF(M131="","",IF(VLOOKUP(M131,'G-7 WaterC'' Data'!$AA$4:$AB$7,2,FALSE)=0,"Spatial Data Missing ⚠",VLOOKUP(M131,'G-7 WaterC'' Data'!$AA$4:$AB$7,2,FALSE)))</f>
        <v/>
      </c>
      <c r="O131" s="60"/>
      <c r="P131" s="363" t="str">
        <f>IF(O131="","",IF(VLOOKUP(O131,'G-7 WaterC'' Data'!$AD$4:$AE$14,2,FALSE)=0,"Spatial Data Missing ⚠",VLOOKUP(O131,'G-7 WaterC'' Data'!$AD$4:$AE$14,2,FALSE)))</f>
        <v/>
      </c>
      <c r="Q131" s="369" t="str">
        <f>IF(D131="","",VLOOKUP(D131,'G-7 WaterC'' Data'!$B$2:$G$8,6,FALSE))</f>
        <v/>
      </c>
      <c r="R131" s="376" t="str">
        <f>IFERROR(IF(D131="","",IF(AND(Q131='G-1 All Habitats'!$X$3,U131&gt;0),V131+W131,IF(AND(Q131='G-1 All Habitats'!$X$3,T131&gt;0),V131+W131,IF(AND(Q131='G-1 All Habitats'!$X$3,AD131&gt;0),"Any Loss Unacceptable ⚠",IF(AND(Q131='G-1 All Habitats'!$X$3,AE131&gt;0),"Any Loss Unacceptable ⚠", E131*G131*I131*L131*N131*P131 ))))),"Check Data ▲")</f>
        <v/>
      </c>
      <c r="S131" s="32"/>
      <c r="T131" s="114"/>
      <c r="U131" s="125"/>
      <c r="V131" s="374" t="str">
        <f t="shared" si="7"/>
        <v/>
      </c>
      <c r="W131" s="374" t="str">
        <f t="shared" si="8"/>
        <v/>
      </c>
      <c r="X131" s="374" t="str">
        <f t="shared" si="9"/>
        <v/>
      </c>
      <c r="Y131" s="670" t="str">
        <f t="shared" si="10"/>
        <v/>
      </c>
      <c r="Z131" s="706"/>
      <c r="AA131" s="704"/>
      <c r="AB131" s="120"/>
      <c r="AC131" s="120"/>
      <c r="AD131" s="57" t="str">
        <f>IF(Q131="","",IF(Q131='G-1 All Habitats'!$X$3,E131-T131-U131,"None"))</f>
        <v/>
      </c>
      <c r="AE131" s="58" t="str">
        <f>IF(Q131="","", IF(Q131='G-1 All Habitats'!$X$3, AD131*G131*I131*L131*N131*P131,"None"))</f>
        <v/>
      </c>
      <c r="AH131" s="30">
        <f t="shared" si="11"/>
        <v>0</v>
      </c>
      <c r="AI131" s="124" t="str">
        <f t="shared" si="12"/>
        <v/>
      </c>
      <c r="AJ131" s="124" t="str">
        <f t="shared" si="13"/>
        <v/>
      </c>
      <c r="AL131" s="124">
        <v>122</v>
      </c>
      <c r="AN131" s="124" t="str">
        <f t="array" ref="AN131">IFERROR(INDEX($AL$10:$AL$258, MATCH(0, IF(TRUE=$AI$10:$AI$258, COUNTIF($AN$9:$AN130, $AL$10:$AL$258), ""), 0)),"")</f>
        <v/>
      </c>
      <c r="AO131" s="124" t="str">
        <f t="array" ref="AO131">IFERROR(INDEX($AL$10:$AL$258, MATCH(0, IF(TRUE=$AJ$10:$AJ$258, COUNTIF($AO$9:$AO130, $AL$10:$AL$258), ""), 0)),"")</f>
        <v/>
      </c>
      <c r="AQ131" s="30" t="str">
        <f>IFERROR(INDEX('G-7 WaterC'' Data'!$AZ$3:$AZ$7,MATCH(D131,'G-7 WaterC'' Data'!$AY$3:$AY$7,0)),"")</f>
        <v/>
      </c>
      <c r="AR131" s="30" t="str">
        <f>IFERROR(INDEX('G-7 WaterC'' Data'!AZ131:AZ135,MATCH(D131,'G-7 WaterC'' Data'!$AY$10:$AY$14,0)),"")</f>
        <v/>
      </c>
    </row>
    <row r="132" spans="3:44" ht="15">
      <c r="C132" s="110">
        <v>123</v>
      </c>
      <c r="D132" s="338"/>
      <c r="E132" s="139"/>
      <c r="F132" s="362" t="str">
        <f>IF(D132="","",VLOOKUP(D132,'G-7 WaterC'' Data'!$B$2:$G$8,2,FALSE))</f>
        <v/>
      </c>
      <c r="G132" s="363" t="str">
        <f>IFERROR(VLOOKUP(F132,'G-7 WaterC'' Data'!$C$4:$D$8,2,FALSE),"")</f>
        <v/>
      </c>
      <c r="H132" s="114"/>
      <c r="I132" s="363" t="str">
        <f>IFERROR(INDEX('G-7 WaterC'' Data'!$H$4:$L$8,MATCH(D132,'G-7 WaterC'' Data'!$B$4:$B$8,0),MATCH(H132,'G-7 WaterC'' Data'!$H$3:$L$3,0)),"")</f>
        <v/>
      </c>
      <c r="J132" s="320"/>
      <c r="K132" s="398" t="str">
        <f>IF(J132="","",IF(VLOOKUP(J132,'G-7 WaterC'' Data'!$AK$4:$AM$6,2,FALSE)=0,"Spatial Data Missing ⚠",VLOOKUP(J132,'G-7 WaterC'' Data'!$AK$4:$AM$6,2,FALSE)))</f>
        <v/>
      </c>
      <c r="L132" s="368" t="str">
        <f>IF(J132="","",IF(VLOOKUP(J132,'G-7 WaterC'' Data'!$AK$4:$AM$9,3,FALSE)=0,"Spatial Data Missing ⚠",VLOOKUP(J132,'G-7 WaterC'' Data'!$AK$4:$AM$6,3,FALSE)))</f>
        <v/>
      </c>
      <c r="M132" s="54"/>
      <c r="N132" s="363" t="str">
        <f>IF(M132="","",IF(VLOOKUP(M132,'G-7 WaterC'' Data'!$AA$4:$AB$7,2,FALSE)=0,"Spatial Data Missing ⚠",VLOOKUP(M132,'G-7 WaterC'' Data'!$AA$4:$AB$7,2,FALSE)))</f>
        <v/>
      </c>
      <c r="O132" s="60"/>
      <c r="P132" s="363" t="str">
        <f>IF(O132="","",IF(VLOOKUP(O132,'G-7 WaterC'' Data'!$AD$4:$AE$14,2,FALSE)=0,"Spatial Data Missing ⚠",VLOOKUP(O132,'G-7 WaterC'' Data'!$AD$4:$AE$14,2,FALSE)))</f>
        <v/>
      </c>
      <c r="Q132" s="369" t="str">
        <f>IF(D132="","",VLOOKUP(D132,'G-7 WaterC'' Data'!$B$2:$G$8,6,FALSE))</f>
        <v/>
      </c>
      <c r="R132" s="376" t="str">
        <f>IFERROR(IF(D132="","",IF(AND(Q132='G-1 All Habitats'!$X$3,U132&gt;0),V132+W132,IF(AND(Q132='G-1 All Habitats'!$X$3,T132&gt;0),V132+W132,IF(AND(Q132='G-1 All Habitats'!$X$3,AD132&gt;0),"Any Loss Unacceptable ⚠",IF(AND(Q132='G-1 All Habitats'!$X$3,AE132&gt;0),"Any Loss Unacceptable ⚠", E132*G132*I132*L132*N132*P132 ))))),"Check Data ▲")</f>
        <v/>
      </c>
      <c r="S132" s="32"/>
      <c r="T132" s="114"/>
      <c r="U132" s="125"/>
      <c r="V132" s="374" t="str">
        <f t="shared" si="7"/>
        <v/>
      </c>
      <c r="W132" s="374" t="str">
        <f t="shared" si="8"/>
        <v/>
      </c>
      <c r="X132" s="374" t="str">
        <f t="shared" si="9"/>
        <v/>
      </c>
      <c r="Y132" s="670" t="str">
        <f t="shared" si="10"/>
        <v/>
      </c>
      <c r="Z132" s="706"/>
      <c r="AA132" s="704"/>
      <c r="AB132" s="120"/>
      <c r="AC132" s="120"/>
      <c r="AD132" s="57" t="str">
        <f>IF(Q132="","",IF(Q132='G-1 All Habitats'!$X$3,E132-T132-U132,"None"))</f>
        <v/>
      </c>
      <c r="AE132" s="58" t="str">
        <f>IF(Q132="","", IF(Q132='G-1 All Habitats'!$X$3, AD132*G132*I132*L132*N132*P132,"None"))</f>
        <v/>
      </c>
      <c r="AH132" s="30">
        <f t="shared" si="11"/>
        <v>0</v>
      </c>
      <c r="AI132" s="124" t="str">
        <f t="shared" si="12"/>
        <v/>
      </c>
      <c r="AJ132" s="124" t="str">
        <f t="shared" si="13"/>
        <v/>
      </c>
      <c r="AL132" s="124">
        <v>123</v>
      </c>
      <c r="AN132" s="124" t="str">
        <f t="array" ref="AN132">IFERROR(INDEX($AL$10:$AL$258, MATCH(0, IF(TRUE=$AI$10:$AI$258, COUNTIF($AN$9:$AN131, $AL$10:$AL$258), ""), 0)),"")</f>
        <v/>
      </c>
      <c r="AO132" s="124" t="str">
        <f t="array" ref="AO132">IFERROR(INDEX($AL$10:$AL$258, MATCH(0, IF(TRUE=$AJ$10:$AJ$258, COUNTIF($AO$9:$AO131, $AL$10:$AL$258), ""), 0)),"")</f>
        <v/>
      </c>
      <c r="AQ132" s="30" t="str">
        <f>IFERROR(INDEX('G-7 WaterC'' Data'!$AZ$3:$AZ$7,MATCH(D132,'G-7 WaterC'' Data'!$AY$3:$AY$7,0)),"")</f>
        <v/>
      </c>
      <c r="AR132" s="30" t="str">
        <f>IFERROR(INDEX('G-7 WaterC'' Data'!AZ132:AZ136,MATCH(D132,'G-7 WaterC'' Data'!$AY$10:$AY$14,0)),"")</f>
        <v/>
      </c>
    </row>
    <row r="133" spans="3:44" ht="15">
      <c r="C133" s="110">
        <v>124</v>
      </c>
      <c r="D133" s="338"/>
      <c r="E133" s="139"/>
      <c r="F133" s="362" t="str">
        <f>IF(D133="","",VLOOKUP(D133,'G-7 WaterC'' Data'!$B$2:$G$8,2,FALSE))</f>
        <v/>
      </c>
      <c r="G133" s="363" t="str">
        <f>IFERROR(VLOOKUP(F133,'G-7 WaterC'' Data'!$C$4:$D$8,2,FALSE),"")</f>
        <v/>
      </c>
      <c r="H133" s="114"/>
      <c r="I133" s="363" t="str">
        <f>IFERROR(INDEX('G-7 WaterC'' Data'!$H$4:$L$8,MATCH(D133,'G-7 WaterC'' Data'!$B$4:$B$8,0),MATCH(H133,'G-7 WaterC'' Data'!$H$3:$L$3,0)),"")</f>
        <v/>
      </c>
      <c r="J133" s="320"/>
      <c r="K133" s="398" t="str">
        <f>IF(J133="","",IF(VLOOKUP(J133,'G-7 WaterC'' Data'!$AK$4:$AM$6,2,FALSE)=0,"Spatial Data Missing ⚠",VLOOKUP(J133,'G-7 WaterC'' Data'!$AK$4:$AM$6,2,FALSE)))</f>
        <v/>
      </c>
      <c r="L133" s="368" t="str">
        <f>IF(J133="","",IF(VLOOKUP(J133,'G-7 WaterC'' Data'!$AK$4:$AM$9,3,FALSE)=0,"Spatial Data Missing ⚠",VLOOKUP(J133,'G-7 WaterC'' Data'!$AK$4:$AM$6,3,FALSE)))</f>
        <v/>
      </c>
      <c r="M133" s="54"/>
      <c r="N133" s="363" t="str">
        <f>IF(M133="","",IF(VLOOKUP(M133,'G-7 WaterC'' Data'!$AA$4:$AB$7,2,FALSE)=0,"Spatial Data Missing ⚠",VLOOKUP(M133,'G-7 WaterC'' Data'!$AA$4:$AB$7,2,FALSE)))</f>
        <v/>
      </c>
      <c r="O133" s="60"/>
      <c r="P133" s="363" t="str">
        <f>IF(O133="","",IF(VLOOKUP(O133,'G-7 WaterC'' Data'!$AD$4:$AE$14,2,FALSE)=0,"Spatial Data Missing ⚠",VLOOKUP(O133,'G-7 WaterC'' Data'!$AD$4:$AE$14,2,FALSE)))</f>
        <v/>
      </c>
      <c r="Q133" s="369" t="str">
        <f>IF(D133="","",VLOOKUP(D133,'G-7 WaterC'' Data'!$B$2:$G$8,6,FALSE))</f>
        <v/>
      </c>
      <c r="R133" s="376" t="str">
        <f>IFERROR(IF(D133="","",IF(AND(Q133='G-1 All Habitats'!$X$3,U133&gt;0),V133+W133,IF(AND(Q133='G-1 All Habitats'!$X$3,T133&gt;0),V133+W133,IF(AND(Q133='G-1 All Habitats'!$X$3,AD133&gt;0),"Any Loss Unacceptable ⚠",IF(AND(Q133='G-1 All Habitats'!$X$3,AE133&gt;0),"Any Loss Unacceptable ⚠", E133*G133*I133*L133*N133*P133 ))))),"Check Data ▲")</f>
        <v/>
      </c>
      <c r="S133" s="32"/>
      <c r="T133" s="114"/>
      <c r="U133" s="125"/>
      <c r="V133" s="374" t="str">
        <f t="shared" si="7"/>
        <v/>
      </c>
      <c r="W133" s="374" t="str">
        <f t="shared" si="8"/>
        <v/>
      </c>
      <c r="X133" s="374" t="str">
        <f t="shared" si="9"/>
        <v/>
      </c>
      <c r="Y133" s="670" t="str">
        <f t="shared" si="10"/>
        <v/>
      </c>
      <c r="Z133" s="706"/>
      <c r="AA133" s="704"/>
      <c r="AB133" s="120"/>
      <c r="AC133" s="120"/>
      <c r="AD133" s="57" t="str">
        <f>IF(Q133="","",IF(Q133='G-1 All Habitats'!$X$3,E133-T133-U133,"None"))</f>
        <v/>
      </c>
      <c r="AE133" s="58" t="str">
        <f>IF(Q133="","", IF(Q133='G-1 All Habitats'!$X$3, AD133*G133*I133*L133*N133*P133,"None"))</f>
        <v/>
      </c>
      <c r="AH133" s="30">
        <f t="shared" si="11"/>
        <v>0</v>
      </c>
      <c r="AI133" s="124" t="str">
        <f t="shared" si="12"/>
        <v/>
      </c>
      <c r="AJ133" s="124" t="str">
        <f t="shared" si="13"/>
        <v/>
      </c>
      <c r="AL133" s="124">
        <v>124</v>
      </c>
      <c r="AN133" s="124" t="str">
        <f t="array" ref="AN133">IFERROR(INDEX($AL$10:$AL$258, MATCH(0, IF(TRUE=$AI$10:$AI$258, COUNTIF($AN$9:$AN132, $AL$10:$AL$258), ""), 0)),"")</f>
        <v/>
      </c>
      <c r="AO133" s="124" t="str">
        <f t="array" ref="AO133">IFERROR(INDEX($AL$10:$AL$258, MATCH(0, IF(TRUE=$AJ$10:$AJ$258, COUNTIF($AO$9:$AO132, $AL$10:$AL$258), ""), 0)),"")</f>
        <v/>
      </c>
      <c r="AQ133" s="30" t="str">
        <f>IFERROR(INDEX('G-7 WaterC'' Data'!$AZ$3:$AZ$7,MATCH(D133,'G-7 WaterC'' Data'!$AY$3:$AY$7,0)),"")</f>
        <v/>
      </c>
      <c r="AR133" s="30" t="str">
        <f>IFERROR(INDEX('G-7 WaterC'' Data'!AZ133:AZ137,MATCH(D133,'G-7 WaterC'' Data'!$AY$10:$AY$14,0)),"")</f>
        <v/>
      </c>
    </row>
    <row r="134" spans="3:44" ht="15">
      <c r="C134" s="110">
        <v>125</v>
      </c>
      <c r="D134" s="338"/>
      <c r="E134" s="139"/>
      <c r="F134" s="362" t="str">
        <f>IF(D134="","",VLOOKUP(D134,'G-7 WaterC'' Data'!$B$2:$G$8,2,FALSE))</f>
        <v/>
      </c>
      <c r="G134" s="363" t="str">
        <f>IFERROR(VLOOKUP(F134,'G-7 WaterC'' Data'!$C$4:$D$8,2,FALSE),"")</f>
        <v/>
      </c>
      <c r="H134" s="114"/>
      <c r="I134" s="363" t="str">
        <f>IFERROR(INDEX('G-7 WaterC'' Data'!$H$4:$L$8,MATCH(D134,'G-7 WaterC'' Data'!$B$4:$B$8,0),MATCH(H134,'G-7 WaterC'' Data'!$H$3:$L$3,0)),"")</f>
        <v/>
      </c>
      <c r="J134" s="320"/>
      <c r="K134" s="398" t="str">
        <f>IF(J134="","",IF(VLOOKUP(J134,'G-7 WaterC'' Data'!$AK$4:$AM$6,2,FALSE)=0,"Spatial Data Missing ⚠",VLOOKUP(J134,'G-7 WaterC'' Data'!$AK$4:$AM$6,2,FALSE)))</f>
        <v/>
      </c>
      <c r="L134" s="368" t="str">
        <f>IF(J134="","",IF(VLOOKUP(J134,'G-7 WaterC'' Data'!$AK$4:$AM$9,3,FALSE)=0,"Spatial Data Missing ⚠",VLOOKUP(J134,'G-7 WaterC'' Data'!$AK$4:$AM$6,3,FALSE)))</f>
        <v/>
      </c>
      <c r="M134" s="54"/>
      <c r="N134" s="363" t="str">
        <f>IF(M134="","",IF(VLOOKUP(M134,'G-7 WaterC'' Data'!$AA$4:$AB$7,2,FALSE)=0,"Spatial Data Missing ⚠",VLOOKUP(M134,'G-7 WaterC'' Data'!$AA$4:$AB$7,2,FALSE)))</f>
        <v/>
      </c>
      <c r="O134" s="60"/>
      <c r="P134" s="363" t="str">
        <f>IF(O134="","",IF(VLOOKUP(O134,'G-7 WaterC'' Data'!$AD$4:$AE$14,2,FALSE)=0,"Spatial Data Missing ⚠",VLOOKUP(O134,'G-7 WaterC'' Data'!$AD$4:$AE$14,2,FALSE)))</f>
        <v/>
      </c>
      <c r="Q134" s="369" t="str">
        <f>IF(D134="","",VLOOKUP(D134,'G-7 WaterC'' Data'!$B$2:$G$8,6,FALSE))</f>
        <v/>
      </c>
      <c r="R134" s="376" t="str">
        <f>IFERROR(IF(D134="","",IF(AND(Q134='G-1 All Habitats'!$X$3,U134&gt;0),V134+W134,IF(AND(Q134='G-1 All Habitats'!$X$3,T134&gt;0),V134+W134,IF(AND(Q134='G-1 All Habitats'!$X$3,AD134&gt;0),"Any Loss Unacceptable ⚠",IF(AND(Q134='G-1 All Habitats'!$X$3,AE134&gt;0),"Any Loss Unacceptable ⚠", E134*G134*I134*L134*N134*P134 ))))),"Check Data ▲")</f>
        <v/>
      </c>
      <c r="S134" s="32"/>
      <c r="T134" s="114"/>
      <c r="U134" s="125"/>
      <c r="V134" s="374" t="str">
        <f t="shared" si="7"/>
        <v/>
      </c>
      <c r="W134" s="374" t="str">
        <f t="shared" si="8"/>
        <v/>
      </c>
      <c r="X134" s="374" t="str">
        <f t="shared" si="9"/>
        <v/>
      </c>
      <c r="Y134" s="670" t="str">
        <f t="shared" si="10"/>
        <v/>
      </c>
      <c r="Z134" s="706"/>
      <c r="AA134" s="704"/>
      <c r="AB134" s="120"/>
      <c r="AC134" s="120"/>
      <c r="AD134" s="57" t="str">
        <f>IF(Q134="","",IF(Q134='G-1 All Habitats'!$X$3,E134-T134-U134,"None"))</f>
        <v/>
      </c>
      <c r="AE134" s="58" t="str">
        <f>IF(Q134="","", IF(Q134='G-1 All Habitats'!$X$3, AD134*G134*I134*L134*N134*P134,"None"))</f>
        <v/>
      </c>
      <c r="AH134" s="30">
        <f t="shared" si="11"/>
        <v>0</v>
      </c>
      <c r="AI134" s="124" t="str">
        <f t="shared" si="12"/>
        <v/>
      </c>
      <c r="AJ134" s="124" t="str">
        <f t="shared" si="13"/>
        <v/>
      </c>
      <c r="AL134" s="124">
        <v>125</v>
      </c>
      <c r="AN134" s="124" t="str">
        <f t="array" ref="AN134">IFERROR(INDEX($AL$10:$AL$258, MATCH(0, IF(TRUE=$AI$10:$AI$258, COUNTIF($AN$9:$AN133, $AL$10:$AL$258), ""), 0)),"")</f>
        <v/>
      </c>
      <c r="AO134" s="124" t="str">
        <f t="array" ref="AO134">IFERROR(INDEX($AL$10:$AL$258, MATCH(0, IF(TRUE=$AJ$10:$AJ$258, COUNTIF($AO$9:$AO133, $AL$10:$AL$258), ""), 0)),"")</f>
        <v/>
      </c>
      <c r="AQ134" s="30" t="str">
        <f>IFERROR(INDEX('G-7 WaterC'' Data'!$AZ$3:$AZ$7,MATCH(D134,'G-7 WaterC'' Data'!$AY$3:$AY$7,0)),"")</f>
        <v/>
      </c>
      <c r="AR134" s="30" t="str">
        <f>IFERROR(INDEX('G-7 WaterC'' Data'!AZ134:AZ138,MATCH(D134,'G-7 WaterC'' Data'!$AY$10:$AY$14,0)),"")</f>
        <v/>
      </c>
    </row>
    <row r="135" spans="3:44" ht="15">
      <c r="C135" s="110">
        <v>126</v>
      </c>
      <c r="D135" s="338"/>
      <c r="E135" s="139"/>
      <c r="F135" s="362" t="str">
        <f>IF(D135="","",VLOOKUP(D135,'G-7 WaterC'' Data'!$B$2:$G$8,2,FALSE))</f>
        <v/>
      </c>
      <c r="G135" s="363" t="str">
        <f>IFERROR(VLOOKUP(F135,'G-7 WaterC'' Data'!$C$4:$D$8,2,FALSE),"")</f>
        <v/>
      </c>
      <c r="H135" s="114"/>
      <c r="I135" s="363" t="str">
        <f>IFERROR(INDEX('G-7 WaterC'' Data'!$H$4:$L$8,MATCH(D135,'G-7 WaterC'' Data'!$B$4:$B$8,0),MATCH(H135,'G-7 WaterC'' Data'!$H$3:$L$3,0)),"")</f>
        <v/>
      </c>
      <c r="J135" s="320"/>
      <c r="K135" s="398" t="str">
        <f>IF(J135="","",IF(VLOOKUP(J135,'G-7 WaterC'' Data'!$AK$4:$AM$6,2,FALSE)=0,"Spatial Data Missing ⚠",VLOOKUP(J135,'G-7 WaterC'' Data'!$AK$4:$AM$6,2,FALSE)))</f>
        <v/>
      </c>
      <c r="L135" s="368" t="str">
        <f>IF(J135="","",IF(VLOOKUP(J135,'G-7 WaterC'' Data'!$AK$4:$AM$9,3,FALSE)=0,"Spatial Data Missing ⚠",VLOOKUP(J135,'G-7 WaterC'' Data'!$AK$4:$AM$6,3,FALSE)))</f>
        <v/>
      </c>
      <c r="M135" s="54"/>
      <c r="N135" s="363" t="str">
        <f>IF(M135="","",IF(VLOOKUP(M135,'G-7 WaterC'' Data'!$AA$4:$AB$7,2,FALSE)=0,"Spatial Data Missing ⚠",VLOOKUP(M135,'G-7 WaterC'' Data'!$AA$4:$AB$7,2,FALSE)))</f>
        <v/>
      </c>
      <c r="O135" s="60"/>
      <c r="P135" s="363" t="str">
        <f>IF(O135="","",IF(VLOOKUP(O135,'G-7 WaterC'' Data'!$AD$4:$AE$14,2,FALSE)=0,"Spatial Data Missing ⚠",VLOOKUP(O135,'G-7 WaterC'' Data'!$AD$4:$AE$14,2,FALSE)))</f>
        <v/>
      </c>
      <c r="Q135" s="369" t="str">
        <f>IF(D135="","",VLOOKUP(D135,'G-7 WaterC'' Data'!$B$2:$G$8,6,FALSE))</f>
        <v/>
      </c>
      <c r="R135" s="376" t="str">
        <f>IFERROR(IF(D135="","",IF(AND(Q135='G-1 All Habitats'!$X$3,U135&gt;0),V135+W135,IF(AND(Q135='G-1 All Habitats'!$X$3,T135&gt;0),V135+W135,IF(AND(Q135='G-1 All Habitats'!$X$3,AD135&gt;0),"Any Loss Unacceptable ⚠",IF(AND(Q135='G-1 All Habitats'!$X$3,AE135&gt;0),"Any Loss Unacceptable ⚠", E135*G135*I135*L135*N135*P135 ))))),"Check Data ▲")</f>
        <v/>
      </c>
      <c r="S135" s="32"/>
      <c r="T135" s="114"/>
      <c r="U135" s="125"/>
      <c r="V135" s="374" t="str">
        <f t="shared" si="7"/>
        <v/>
      </c>
      <c r="W135" s="374" t="str">
        <f t="shared" si="8"/>
        <v/>
      </c>
      <c r="X135" s="374" t="str">
        <f t="shared" si="9"/>
        <v/>
      </c>
      <c r="Y135" s="670" t="str">
        <f t="shared" si="10"/>
        <v/>
      </c>
      <c r="Z135" s="706"/>
      <c r="AA135" s="704"/>
      <c r="AB135" s="120"/>
      <c r="AC135" s="120"/>
      <c r="AD135" s="57" t="str">
        <f>IF(Q135="","",IF(Q135='G-1 All Habitats'!$X$3,E135-T135-U135,"None"))</f>
        <v/>
      </c>
      <c r="AE135" s="58" t="str">
        <f>IF(Q135="","", IF(Q135='G-1 All Habitats'!$X$3, AD135*G135*I135*L135*N135*P135,"None"))</f>
        <v/>
      </c>
      <c r="AH135" s="30">
        <f t="shared" si="11"/>
        <v>0</v>
      </c>
      <c r="AI135" s="124" t="str">
        <f t="shared" si="12"/>
        <v/>
      </c>
      <c r="AJ135" s="124" t="str">
        <f t="shared" si="13"/>
        <v/>
      </c>
      <c r="AL135" s="124">
        <v>126</v>
      </c>
      <c r="AN135" s="124" t="str">
        <f t="array" ref="AN135">IFERROR(INDEX($AL$10:$AL$258, MATCH(0, IF(TRUE=$AI$10:$AI$258, COUNTIF($AN$9:$AN134, $AL$10:$AL$258), ""), 0)),"")</f>
        <v/>
      </c>
      <c r="AO135" s="124" t="str">
        <f t="array" ref="AO135">IFERROR(INDEX($AL$10:$AL$258, MATCH(0, IF(TRUE=$AJ$10:$AJ$258, COUNTIF($AO$9:$AO134, $AL$10:$AL$258), ""), 0)),"")</f>
        <v/>
      </c>
      <c r="AQ135" s="30" t="str">
        <f>IFERROR(INDEX('G-7 WaterC'' Data'!$AZ$3:$AZ$7,MATCH(D135,'G-7 WaterC'' Data'!$AY$3:$AY$7,0)),"")</f>
        <v/>
      </c>
      <c r="AR135" s="30" t="str">
        <f>IFERROR(INDEX('G-7 WaterC'' Data'!AZ135:AZ139,MATCH(D135,'G-7 WaterC'' Data'!$AY$10:$AY$14,0)),"")</f>
        <v/>
      </c>
    </row>
    <row r="136" spans="3:44" ht="15">
      <c r="C136" s="110">
        <v>127</v>
      </c>
      <c r="D136" s="338"/>
      <c r="E136" s="139"/>
      <c r="F136" s="362" t="str">
        <f>IF(D136="","",VLOOKUP(D136,'G-7 WaterC'' Data'!$B$2:$G$8,2,FALSE))</f>
        <v/>
      </c>
      <c r="G136" s="363" t="str">
        <f>IFERROR(VLOOKUP(F136,'G-7 WaterC'' Data'!$C$4:$D$8,2,FALSE),"")</f>
        <v/>
      </c>
      <c r="H136" s="114"/>
      <c r="I136" s="363" t="str">
        <f>IFERROR(INDEX('G-7 WaterC'' Data'!$H$4:$L$8,MATCH(D136,'G-7 WaterC'' Data'!$B$4:$B$8,0),MATCH(H136,'G-7 WaterC'' Data'!$H$3:$L$3,0)),"")</f>
        <v/>
      </c>
      <c r="J136" s="320"/>
      <c r="K136" s="398" t="str">
        <f>IF(J136="","",IF(VLOOKUP(J136,'G-7 WaterC'' Data'!$AK$4:$AM$6,2,FALSE)=0,"Spatial Data Missing ⚠",VLOOKUP(J136,'G-7 WaterC'' Data'!$AK$4:$AM$6,2,FALSE)))</f>
        <v/>
      </c>
      <c r="L136" s="368" t="str">
        <f>IF(J136="","",IF(VLOOKUP(J136,'G-7 WaterC'' Data'!$AK$4:$AM$9,3,FALSE)=0,"Spatial Data Missing ⚠",VLOOKUP(J136,'G-7 WaterC'' Data'!$AK$4:$AM$6,3,FALSE)))</f>
        <v/>
      </c>
      <c r="M136" s="54"/>
      <c r="N136" s="363" t="str">
        <f>IF(M136="","",IF(VLOOKUP(M136,'G-7 WaterC'' Data'!$AA$4:$AB$7,2,FALSE)=0,"Spatial Data Missing ⚠",VLOOKUP(M136,'G-7 WaterC'' Data'!$AA$4:$AB$7,2,FALSE)))</f>
        <v/>
      </c>
      <c r="O136" s="60"/>
      <c r="P136" s="363" t="str">
        <f>IF(O136="","",IF(VLOOKUP(O136,'G-7 WaterC'' Data'!$AD$4:$AE$14,2,FALSE)=0,"Spatial Data Missing ⚠",VLOOKUP(O136,'G-7 WaterC'' Data'!$AD$4:$AE$14,2,FALSE)))</f>
        <v/>
      </c>
      <c r="Q136" s="369" t="str">
        <f>IF(D136="","",VLOOKUP(D136,'G-7 WaterC'' Data'!$B$2:$G$8,6,FALSE))</f>
        <v/>
      </c>
      <c r="R136" s="376" t="str">
        <f>IFERROR(IF(D136="","",IF(AND(Q136='G-1 All Habitats'!$X$3,U136&gt;0),V136+W136,IF(AND(Q136='G-1 All Habitats'!$X$3,T136&gt;0),V136+W136,IF(AND(Q136='G-1 All Habitats'!$X$3,AD136&gt;0),"Any Loss Unacceptable ⚠",IF(AND(Q136='G-1 All Habitats'!$X$3,AE136&gt;0),"Any Loss Unacceptable ⚠", E136*G136*I136*L136*N136*P136 ))))),"Check Data ▲")</f>
        <v/>
      </c>
      <c r="S136" s="32"/>
      <c r="T136" s="114"/>
      <c r="U136" s="125"/>
      <c r="V136" s="374" t="str">
        <f t="shared" si="7"/>
        <v/>
      </c>
      <c r="W136" s="374" t="str">
        <f t="shared" si="8"/>
        <v/>
      </c>
      <c r="X136" s="374" t="str">
        <f t="shared" si="9"/>
        <v/>
      </c>
      <c r="Y136" s="670" t="str">
        <f t="shared" si="10"/>
        <v/>
      </c>
      <c r="Z136" s="706"/>
      <c r="AA136" s="704"/>
      <c r="AB136" s="120"/>
      <c r="AC136" s="120"/>
      <c r="AD136" s="57" t="str">
        <f>IF(Q136="","",IF(Q136='G-1 All Habitats'!$X$3,E136-T136-U136,"None"))</f>
        <v/>
      </c>
      <c r="AE136" s="58" t="str">
        <f>IF(Q136="","", IF(Q136='G-1 All Habitats'!$X$3, AD136*G136*I136*L136*N136*P136,"None"))</f>
        <v/>
      </c>
      <c r="AH136" s="30">
        <f t="shared" si="11"/>
        <v>0</v>
      </c>
      <c r="AI136" s="124" t="str">
        <f t="shared" si="12"/>
        <v/>
      </c>
      <c r="AJ136" s="124" t="str">
        <f t="shared" si="13"/>
        <v/>
      </c>
      <c r="AL136" s="124">
        <v>127</v>
      </c>
      <c r="AN136" s="124" t="str">
        <f t="array" ref="AN136">IFERROR(INDEX($AL$10:$AL$258, MATCH(0, IF(TRUE=$AI$10:$AI$258, COUNTIF($AN$9:$AN135, $AL$10:$AL$258), ""), 0)),"")</f>
        <v/>
      </c>
      <c r="AO136" s="124" t="str">
        <f t="array" ref="AO136">IFERROR(INDEX($AL$10:$AL$258, MATCH(0, IF(TRUE=$AJ$10:$AJ$258, COUNTIF($AO$9:$AO135, $AL$10:$AL$258), ""), 0)),"")</f>
        <v/>
      </c>
      <c r="AQ136" s="30" t="str">
        <f>IFERROR(INDEX('G-7 WaterC'' Data'!$AZ$3:$AZ$7,MATCH(D136,'G-7 WaterC'' Data'!$AY$3:$AY$7,0)),"")</f>
        <v/>
      </c>
      <c r="AR136" s="30" t="str">
        <f>IFERROR(INDEX('G-7 WaterC'' Data'!AZ136:AZ140,MATCH(D136,'G-7 WaterC'' Data'!$AY$10:$AY$14,0)),"")</f>
        <v/>
      </c>
    </row>
    <row r="137" spans="3:44" ht="15">
      <c r="C137" s="110">
        <v>128</v>
      </c>
      <c r="D137" s="338"/>
      <c r="E137" s="139"/>
      <c r="F137" s="362" t="str">
        <f>IF(D137="","",VLOOKUP(D137,'G-7 WaterC'' Data'!$B$2:$G$8,2,FALSE))</f>
        <v/>
      </c>
      <c r="G137" s="363" t="str">
        <f>IFERROR(VLOOKUP(F137,'G-7 WaterC'' Data'!$C$4:$D$8,2,FALSE),"")</f>
        <v/>
      </c>
      <c r="H137" s="114"/>
      <c r="I137" s="363" t="str">
        <f>IFERROR(INDEX('G-7 WaterC'' Data'!$H$4:$L$8,MATCH(D137,'G-7 WaterC'' Data'!$B$4:$B$8,0),MATCH(H137,'G-7 WaterC'' Data'!$H$3:$L$3,0)),"")</f>
        <v/>
      </c>
      <c r="J137" s="320"/>
      <c r="K137" s="398" t="str">
        <f>IF(J137="","",IF(VLOOKUP(J137,'G-7 WaterC'' Data'!$AK$4:$AM$6,2,FALSE)=0,"Spatial Data Missing ⚠",VLOOKUP(J137,'G-7 WaterC'' Data'!$AK$4:$AM$6,2,FALSE)))</f>
        <v/>
      </c>
      <c r="L137" s="368" t="str">
        <f>IF(J137="","",IF(VLOOKUP(J137,'G-7 WaterC'' Data'!$AK$4:$AM$9,3,FALSE)=0,"Spatial Data Missing ⚠",VLOOKUP(J137,'G-7 WaterC'' Data'!$AK$4:$AM$6,3,FALSE)))</f>
        <v/>
      </c>
      <c r="M137" s="54"/>
      <c r="N137" s="363" t="str">
        <f>IF(M137="","",IF(VLOOKUP(M137,'G-7 WaterC'' Data'!$AA$4:$AB$7,2,FALSE)=0,"Spatial Data Missing ⚠",VLOOKUP(M137,'G-7 WaterC'' Data'!$AA$4:$AB$7,2,FALSE)))</f>
        <v/>
      </c>
      <c r="O137" s="60"/>
      <c r="P137" s="363" t="str">
        <f>IF(O137="","",IF(VLOOKUP(O137,'G-7 WaterC'' Data'!$AD$4:$AE$14,2,FALSE)=0,"Spatial Data Missing ⚠",VLOOKUP(O137,'G-7 WaterC'' Data'!$AD$4:$AE$14,2,FALSE)))</f>
        <v/>
      </c>
      <c r="Q137" s="369" t="str">
        <f>IF(D137="","",VLOOKUP(D137,'G-7 WaterC'' Data'!$B$2:$G$8,6,FALSE))</f>
        <v/>
      </c>
      <c r="R137" s="376" t="str">
        <f>IFERROR(IF(D137="","",IF(AND(Q137='G-1 All Habitats'!$X$3,U137&gt;0),V137+W137,IF(AND(Q137='G-1 All Habitats'!$X$3,T137&gt;0),V137+W137,IF(AND(Q137='G-1 All Habitats'!$X$3,AD137&gt;0),"Any Loss Unacceptable ⚠",IF(AND(Q137='G-1 All Habitats'!$X$3,AE137&gt;0),"Any Loss Unacceptable ⚠", E137*G137*I137*L137*N137*P137 ))))),"Check Data ▲")</f>
        <v/>
      </c>
      <c r="S137" s="32"/>
      <c r="T137" s="114"/>
      <c r="U137" s="125"/>
      <c r="V137" s="374" t="str">
        <f t="shared" si="7"/>
        <v/>
      </c>
      <c r="W137" s="374" t="str">
        <f t="shared" si="8"/>
        <v/>
      </c>
      <c r="X137" s="374" t="str">
        <f t="shared" si="9"/>
        <v/>
      </c>
      <c r="Y137" s="670" t="str">
        <f t="shared" si="10"/>
        <v/>
      </c>
      <c r="Z137" s="706"/>
      <c r="AA137" s="704"/>
      <c r="AB137" s="120"/>
      <c r="AC137" s="120"/>
      <c r="AD137" s="57" t="str">
        <f>IF(Q137="","",IF(Q137='G-1 All Habitats'!$X$3,E137-T137-U137,"None"))</f>
        <v/>
      </c>
      <c r="AE137" s="58" t="str">
        <f>IF(Q137="","", IF(Q137='G-1 All Habitats'!$X$3, AD137*G137*I137*L137*N137*P137,"None"))</f>
        <v/>
      </c>
      <c r="AH137" s="30">
        <f t="shared" si="11"/>
        <v>0</v>
      </c>
      <c r="AI137" s="124" t="str">
        <f t="shared" si="12"/>
        <v/>
      </c>
      <c r="AJ137" s="124" t="str">
        <f t="shared" si="13"/>
        <v/>
      </c>
      <c r="AL137" s="124">
        <v>128</v>
      </c>
      <c r="AN137" s="124" t="str">
        <f t="array" ref="AN137">IFERROR(INDEX($AL$10:$AL$258, MATCH(0, IF(TRUE=$AI$10:$AI$258, COUNTIF($AN$9:$AN136, $AL$10:$AL$258), ""), 0)),"")</f>
        <v/>
      </c>
      <c r="AO137" s="124" t="str">
        <f t="array" ref="AO137">IFERROR(INDEX($AL$10:$AL$258, MATCH(0, IF(TRUE=$AJ$10:$AJ$258, COUNTIF($AO$9:$AO136, $AL$10:$AL$258), ""), 0)),"")</f>
        <v/>
      </c>
      <c r="AQ137" s="30" t="str">
        <f>IFERROR(INDEX('G-7 WaterC'' Data'!$AZ$3:$AZ$7,MATCH(D137,'G-7 WaterC'' Data'!$AY$3:$AY$7,0)),"")</f>
        <v/>
      </c>
      <c r="AR137" s="30" t="str">
        <f>IFERROR(INDEX('G-7 WaterC'' Data'!AZ137:AZ141,MATCH(D137,'G-7 WaterC'' Data'!$AY$10:$AY$14,0)),"")</f>
        <v/>
      </c>
    </row>
    <row r="138" spans="3:44" ht="15">
      <c r="C138" s="110">
        <v>129</v>
      </c>
      <c r="D138" s="338"/>
      <c r="E138" s="139"/>
      <c r="F138" s="362" t="str">
        <f>IF(D138="","",VLOOKUP(D138,'G-7 WaterC'' Data'!$B$2:$G$8,2,FALSE))</f>
        <v/>
      </c>
      <c r="G138" s="363" t="str">
        <f>IFERROR(VLOOKUP(F138,'G-7 WaterC'' Data'!$C$4:$D$8,2,FALSE),"")</f>
        <v/>
      </c>
      <c r="H138" s="114"/>
      <c r="I138" s="363" t="str">
        <f>IFERROR(INDEX('G-7 WaterC'' Data'!$H$4:$L$8,MATCH(D138,'G-7 WaterC'' Data'!$B$4:$B$8,0),MATCH(H138,'G-7 WaterC'' Data'!$H$3:$L$3,0)),"")</f>
        <v/>
      </c>
      <c r="J138" s="320"/>
      <c r="K138" s="398" t="str">
        <f>IF(J138="","",IF(VLOOKUP(J138,'G-7 WaterC'' Data'!$AK$4:$AM$6,2,FALSE)=0,"Spatial Data Missing ⚠",VLOOKUP(J138,'G-7 WaterC'' Data'!$AK$4:$AM$6,2,FALSE)))</f>
        <v/>
      </c>
      <c r="L138" s="368" t="str">
        <f>IF(J138="","",IF(VLOOKUP(J138,'G-7 WaterC'' Data'!$AK$4:$AM$9,3,FALSE)=0,"Spatial Data Missing ⚠",VLOOKUP(J138,'G-7 WaterC'' Data'!$AK$4:$AM$6,3,FALSE)))</f>
        <v/>
      </c>
      <c r="M138" s="54"/>
      <c r="N138" s="363" t="str">
        <f>IF(M138="","",IF(VLOOKUP(M138,'G-7 WaterC'' Data'!$AA$4:$AB$7,2,FALSE)=0,"Spatial Data Missing ⚠",VLOOKUP(M138,'G-7 WaterC'' Data'!$AA$4:$AB$7,2,FALSE)))</f>
        <v/>
      </c>
      <c r="O138" s="60"/>
      <c r="P138" s="363" t="str">
        <f>IF(O138="","",IF(VLOOKUP(O138,'G-7 WaterC'' Data'!$AD$4:$AE$14,2,FALSE)=0,"Spatial Data Missing ⚠",VLOOKUP(O138,'G-7 WaterC'' Data'!$AD$4:$AE$14,2,FALSE)))</f>
        <v/>
      </c>
      <c r="Q138" s="369" t="str">
        <f>IF(D138="","",VLOOKUP(D138,'G-7 WaterC'' Data'!$B$2:$G$8,6,FALSE))</f>
        <v/>
      </c>
      <c r="R138" s="376" t="str">
        <f>IFERROR(IF(D138="","",IF(AND(Q138='G-1 All Habitats'!$X$3,U138&gt;0),V138+W138,IF(AND(Q138='G-1 All Habitats'!$X$3,T138&gt;0),V138+W138,IF(AND(Q138='G-1 All Habitats'!$X$3,AD138&gt;0),"Any Loss Unacceptable ⚠",IF(AND(Q138='G-1 All Habitats'!$X$3,AE138&gt;0),"Any Loss Unacceptable ⚠", E138*G138*I138*L138*N138*P138 ))))),"Check Data ▲")</f>
        <v/>
      </c>
      <c r="S138" s="32"/>
      <c r="T138" s="114"/>
      <c r="U138" s="125"/>
      <c r="V138" s="374" t="str">
        <f t="shared" si="7"/>
        <v/>
      </c>
      <c r="W138" s="374" t="str">
        <f t="shared" si="8"/>
        <v/>
      </c>
      <c r="X138" s="374" t="str">
        <f t="shared" si="9"/>
        <v/>
      </c>
      <c r="Y138" s="670" t="str">
        <f t="shared" si="10"/>
        <v/>
      </c>
      <c r="Z138" s="706"/>
      <c r="AA138" s="704"/>
      <c r="AB138" s="120"/>
      <c r="AC138" s="120"/>
      <c r="AD138" s="57" t="str">
        <f>IF(Q138="","",IF(Q138='G-1 All Habitats'!$X$3,E138-T138-U138,"None"))</f>
        <v/>
      </c>
      <c r="AE138" s="58" t="str">
        <f>IF(Q138="","", IF(Q138='G-1 All Habitats'!$X$3, AD138*G138*I138*L138*N138*P138,"None"))</f>
        <v/>
      </c>
      <c r="AH138" s="30">
        <f t="shared" si="11"/>
        <v>0</v>
      </c>
      <c r="AI138" s="124" t="str">
        <f t="shared" si="12"/>
        <v/>
      </c>
      <c r="AJ138" s="124" t="str">
        <f t="shared" si="13"/>
        <v/>
      </c>
      <c r="AL138" s="124">
        <v>129</v>
      </c>
      <c r="AN138" s="124" t="str">
        <f t="array" ref="AN138">IFERROR(INDEX($AL$10:$AL$258, MATCH(0, IF(TRUE=$AI$10:$AI$258, COUNTIF($AN$9:$AN137, $AL$10:$AL$258), ""), 0)),"")</f>
        <v/>
      </c>
      <c r="AO138" s="124" t="str">
        <f t="array" ref="AO138">IFERROR(INDEX($AL$10:$AL$258, MATCH(0, IF(TRUE=$AJ$10:$AJ$258, COUNTIF($AO$9:$AO137, $AL$10:$AL$258), ""), 0)),"")</f>
        <v/>
      </c>
      <c r="AQ138" s="30" t="str">
        <f>IFERROR(INDEX('G-7 WaterC'' Data'!$AZ$3:$AZ$7,MATCH(D138,'G-7 WaterC'' Data'!$AY$3:$AY$7,0)),"")</f>
        <v/>
      </c>
      <c r="AR138" s="30" t="str">
        <f>IFERROR(INDEX('G-7 WaterC'' Data'!AZ138:AZ142,MATCH(D138,'G-7 WaterC'' Data'!$AY$10:$AY$14,0)),"")</f>
        <v/>
      </c>
    </row>
    <row r="139" spans="3:44" ht="15">
      <c r="C139" s="110">
        <v>130</v>
      </c>
      <c r="D139" s="338"/>
      <c r="E139" s="139"/>
      <c r="F139" s="362" t="str">
        <f>IF(D139="","",VLOOKUP(D139,'G-7 WaterC'' Data'!$B$2:$G$8,2,FALSE))</f>
        <v/>
      </c>
      <c r="G139" s="363" t="str">
        <f>IFERROR(VLOOKUP(F139,'G-7 WaterC'' Data'!$C$4:$D$8,2,FALSE),"")</f>
        <v/>
      </c>
      <c r="H139" s="114"/>
      <c r="I139" s="363" t="str">
        <f>IFERROR(INDEX('G-7 WaterC'' Data'!$H$4:$L$8,MATCH(D139,'G-7 WaterC'' Data'!$B$4:$B$8,0),MATCH(H139,'G-7 WaterC'' Data'!$H$3:$L$3,0)),"")</f>
        <v/>
      </c>
      <c r="J139" s="320"/>
      <c r="K139" s="398" t="str">
        <f>IF(J139="","",IF(VLOOKUP(J139,'G-7 WaterC'' Data'!$AK$4:$AM$6,2,FALSE)=0,"Spatial Data Missing ⚠",VLOOKUP(J139,'G-7 WaterC'' Data'!$AK$4:$AM$6,2,FALSE)))</f>
        <v/>
      </c>
      <c r="L139" s="368" t="str">
        <f>IF(J139="","",IF(VLOOKUP(J139,'G-7 WaterC'' Data'!$AK$4:$AM$9,3,FALSE)=0,"Spatial Data Missing ⚠",VLOOKUP(J139,'G-7 WaterC'' Data'!$AK$4:$AM$6,3,FALSE)))</f>
        <v/>
      </c>
      <c r="M139" s="54"/>
      <c r="N139" s="363" t="str">
        <f>IF(M139="","",IF(VLOOKUP(M139,'G-7 WaterC'' Data'!$AA$4:$AB$7,2,FALSE)=0,"Spatial Data Missing ⚠",VLOOKUP(M139,'G-7 WaterC'' Data'!$AA$4:$AB$7,2,FALSE)))</f>
        <v/>
      </c>
      <c r="O139" s="60"/>
      <c r="P139" s="363" t="str">
        <f>IF(O139="","",IF(VLOOKUP(O139,'G-7 WaterC'' Data'!$AD$4:$AE$14,2,FALSE)=0,"Spatial Data Missing ⚠",VLOOKUP(O139,'G-7 WaterC'' Data'!$AD$4:$AE$14,2,FALSE)))</f>
        <v/>
      </c>
      <c r="Q139" s="369" t="str">
        <f>IF(D139="","",VLOOKUP(D139,'G-7 WaterC'' Data'!$B$2:$G$8,6,FALSE))</f>
        <v/>
      </c>
      <c r="R139" s="376" t="str">
        <f>IFERROR(IF(D139="","",IF(AND(Q139='G-1 All Habitats'!$X$3,U139&gt;0),V139+W139,IF(AND(Q139='G-1 All Habitats'!$X$3,T139&gt;0),V139+W139,IF(AND(Q139='G-1 All Habitats'!$X$3,AD139&gt;0),"Any Loss Unacceptable ⚠",IF(AND(Q139='G-1 All Habitats'!$X$3,AE139&gt;0),"Any Loss Unacceptable ⚠", E139*G139*I139*L139*N139*P139 ))))),"Check Data ▲")</f>
        <v/>
      </c>
      <c r="S139" s="32"/>
      <c r="T139" s="114"/>
      <c r="U139" s="125"/>
      <c r="V139" s="374" t="str">
        <f t="shared" ref="V139:V202" si="14">IFERROR(IF(T139&gt;E139,"Error in Lengths ▲",T139*G139*I139*L139*N139*P139),"")</f>
        <v/>
      </c>
      <c r="W139" s="374" t="str">
        <f t="shared" ref="W139:W202" si="15">IFERROR(IF(D139="","",U139*G139*I139*L139*N139*P139),"")</f>
        <v/>
      </c>
      <c r="X139" s="374" t="str">
        <f t="shared" ref="X139:X202" si="16">IFERROR(IF(D139="","", IF(AND(F139="V.High",Z139="Yes"), "Unacceptable Loss ⚠", IF(E139&gt;(T139+U139),E139-T139-U139,0))),"")</f>
        <v/>
      </c>
      <c r="Y139" s="670" t="str">
        <f t="shared" ref="Y139:Y202" si="17">IFERROR(IF(E139="","",IF((V139+W139)&gt;R139,0, IF(AND(Z139="Yes", D139="Priority habitat"), "Alternative compensation agreed ✓", IF(AND(D139="Priority habitat", U139+T139&lt;&gt;E139),"Any loss unacceptable ▲", R139-V139-W139)))),"Check Data ⚠")</f>
        <v/>
      </c>
      <c r="Z139" s="706"/>
      <c r="AA139" s="704"/>
      <c r="AB139" s="120"/>
      <c r="AC139" s="120"/>
      <c r="AD139" s="57" t="str">
        <f>IF(Q139="","",IF(Q139='G-1 All Habitats'!$X$3,E139-T139-U139,"None"))</f>
        <v/>
      </c>
      <c r="AE139" s="58" t="str">
        <f>IF(Q139="","", IF(Q139='G-1 All Habitats'!$X$3, AD139*G139*I139*L139*N139*P139,"None"))</f>
        <v/>
      </c>
      <c r="AH139" s="30">
        <f t="shared" ref="AH139:AH202" si="18">IFERROR(IF(T139+U139&gt;E139,1,0),"")</f>
        <v>0</v>
      </c>
      <c r="AI139" s="124" t="str">
        <f t="shared" ref="AI139:AI202" si="19">IF(D139="","",IF(T139&gt;0,TRUE,FALSE))</f>
        <v/>
      </c>
      <c r="AJ139" s="124" t="str">
        <f t="shared" ref="AJ139:AJ202" si="20">IF(D139="","",IF(U139&gt;0,TRUE,FALSE))</f>
        <v/>
      </c>
      <c r="AL139" s="124">
        <v>130</v>
      </c>
      <c r="AN139" s="124" t="str">
        <f t="array" ref="AN139">IFERROR(INDEX($AL$10:$AL$258, MATCH(0, IF(TRUE=$AI$10:$AI$258, COUNTIF($AN$9:$AN138, $AL$10:$AL$258), ""), 0)),"")</f>
        <v/>
      </c>
      <c r="AO139" s="124" t="str">
        <f t="array" ref="AO139">IFERROR(INDEX($AL$10:$AL$258, MATCH(0, IF(TRUE=$AJ$10:$AJ$258, COUNTIF($AO$9:$AO138, $AL$10:$AL$258), ""), 0)),"")</f>
        <v/>
      </c>
      <c r="AQ139" s="30" t="str">
        <f>IFERROR(INDEX('G-7 WaterC'' Data'!$AZ$3:$AZ$7,MATCH(D139,'G-7 WaterC'' Data'!$AY$3:$AY$7,0)),"")</f>
        <v/>
      </c>
      <c r="AR139" s="30" t="str">
        <f>IFERROR(INDEX('G-7 WaterC'' Data'!AZ139:AZ143,MATCH(D139,'G-7 WaterC'' Data'!$AY$10:$AY$14,0)),"")</f>
        <v/>
      </c>
    </row>
    <row r="140" spans="3:44" ht="15">
      <c r="C140" s="110">
        <v>131</v>
      </c>
      <c r="D140" s="338"/>
      <c r="E140" s="139"/>
      <c r="F140" s="362" t="str">
        <f>IF(D140="","",VLOOKUP(D140,'G-7 WaterC'' Data'!$B$2:$G$8,2,FALSE))</f>
        <v/>
      </c>
      <c r="G140" s="363" t="str">
        <f>IFERROR(VLOOKUP(F140,'G-7 WaterC'' Data'!$C$4:$D$8,2,FALSE),"")</f>
        <v/>
      </c>
      <c r="H140" s="114"/>
      <c r="I140" s="363" t="str">
        <f>IFERROR(INDEX('G-7 WaterC'' Data'!$H$4:$L$8,MATCH(D140,'G-7 WaterC'' Data'!$B$4:$B$8,0),MATCH(H140,'G-7 WaterC'' Data'!$H$3:$L$3,0)),"")</f>
        <v/>
      </c>
      <c r="J140" s="320"/>
      <c r="K140" s="398" t="str">
        <f>IF(J140="","",IF(VLOOKUP(J140,'G-7 WaterC'' Data'!$AK$4:$AM$6,2,FALSE)=0,"Spatial Data Missing ⚠",VLOOKUP(J140,'G-7 WaterC'' Data'!$AK$4:$AM$6,2,FALSE)))</f>
        <v/>
      </c>
      <c r="L140" s="368" t="str">
        <f>IF(J140="","",IF(VLOOKUP(J140,'G-7 WaterC'' Data'!$AK$4:$AM$9,3,FALSE)=0,"Spatial Data Missing ⚠",VLOOKUP(J140,'G-7 WaterC'' Data'!$AK$4:$AM$6,3,FALSE)))</f>
        <v/>
      </c>
      <c r="M140" s="54"/>
      <c r="N140" s="363" t="str">
        <f>IF(M140="","",IF(VLOOKUP(M140,'G-7 WaterC'' Data'!$AA$4:$AB$7,2,FALSE)=0,"Spatial Data Missing ⚠",VLOOKUP(M140,'G-7 WaterC'' Data'!$AA$4:$AB$7,2,FALSE)))</f>
        <v/>
      </c>
      <c r="O140" s="60"/>
      <c r="P140" s="363" t="str">
        <f>IF(O140="","",IF(VLOOKUP(O140,'G-7 WaterC'' Data'!$AD$4:$AE$14,2,FALSE)=0,"Spatial Data Missing ⚠",VLOOKUP(O140,'G-7 WaterC'' Data'!$AD$4:$AE$14,2,FALSE)))</f>
        <v/>
      </c>
      <c r="Q140" s="369" t="str">
        <f>IF(D140="","",VLOOKUP(D140,'G-7 WaterC'' Data'!$B$2:$G$8,6,FALSE))</f>
        <v/>
      </c>
      <c r="R140" s="376" t="str">
        <f>IFERROR(IF(D140="","",IF(AND(Q140='G-1 All Habitats'!$X$3,U140&gt;0),V140+W140,IF(AND(Q140='G-1 All Habitats'!$X$3,T140&gt;0),V140+W140,IF(AND(Q140='G-1 All Habitats'!$X$3,AD140&gt;0),"Any Loss Unacceptable ⚠",IF(AND(Q140='G-1 All Habitats'!$X$3,AE140&gt;0),"Any Loss Unacceptable ⚠", E140*G140*I140*L140*N140*P140 ))))),"Check Data ▲")</f>
        <v/>
      </c>
      <c r="S140" s="32"/>
      <c r="T140" s="114"/>
      <c r="U140" s="125"/>
      <c r="V140" s="374" t="str">
        <f t="shared" si="14"/>
        <v/>
      </c>
      <c r="W140" s="374" t="str">
        <f t="shared" si="15"/>
        <v/>
      </c>
      <c r="X140" s="374" t="str">
        <f t="shared" si="16"/>
        <v/>
      </c>
      <c r="Y140" s="670" t="str">
        <f t="shared" si="17"/>
        <v/>
      </c>
      <c r="Z140" s="706"/>
      <c r="AA140" s="704"/>
      <c r="AB140" s="120"/>
      <c r="AC140" s="120"/>
      <c r="AD140" s="57" t="str">
        <f>IF(Q140="","",IF(Q140='G-1 All Habitats'!$X$3,E140-T140-U140,"None"))</f>
        <v/>
      </c>
      <c r="AE140" s="58" t="str">
        <f>IF(Q140="","", IF(Q140='G-1 All Habitats'!$X$3, AD140*G140*I140*L140*N140*P140,"None"))</f>
        <v/>
      </c>
      <c r="AH140" s="30">
        <f t="shared" si="18"/>
        <v>0</v>
      </c>
      <c r="AI140" s="124" t="str">
        <f t="shared" si="19"/>
        <v/>
      </c>
      <c r="AJ140" s="124" t="str">
        <f t="shared" si="20"/>
        <v/>
      </c>
      <c r="AL140" s="124">
        <v>131</v>
      </c>
      <c r="AN140" s="124" t="str">
        <f t="array" ref="AN140">IFERROR(INDEX($AL$10:$AL$258, MATCH(0, IF(TRUE=$AI$10:$AI$258, COUNTIF($AN$9:$AN139, $AL$10:$AL$258), ""), 0)),"")</f>
        <v/>
      </c>
      <c r="AO140" s="124" t="str">
        <f t="array" ref="AO140">IFERROR(INDEX($AL$10:$AL$258, MATCH(0, IF(TRUE=$AJ$10:$AJ$258, COUNTIF($AO$9:$AO139, $AL$10:$AL$258), ""), 0)),"")</f>
        <v/>
      </c>
      <c r="AQ140" s="30" t="str">
        <f>IFERROR(INDEX('G-7 WaterC'' Data'!$AZ$3:$AZ$7,MATCH(D140,'G-7 WaterC'' Data'!$AY$3:$AY$7,0)),"")</f>
        <v/>
      </c>
      <c r="AR140" s="30" t="str">
        <f>IFERROR(INDEX('G-7 WaterC'' Data'!AZ140:AZ144,MATCH(D140,'G-7 WaterC'' Data'!$AY$10:$AY$14,0)),"")</f>
        <v/>
      </c>
    </row>
    <row r="141" spans="3:44" ht="15">
      <c r="C141" s="110">
        <v>132</v>
      </c>
      <c r="D141" s="338"/>
      <c r="E141" s="139"/>
      <c r="F141" s="362" t="str">
        <f>IF(D141="","",VLOOKUP(D141,'G-7 WaterC'' Data'!$B$2:$G$8,2,FALSE))</f>
        <v/>
      </c>
      <c r="G141" s="363" t="str">
        <f>IFERROR(VLOOKUP(F141,'G-7 WaterC'' Data'!$C$4:$D$8,2,FALSE),"")</f>
        <v/>
      </c>
      <c r="H141" s="114"/>
      <c r="I141" s="363" t="str">
        <f>IFERROR(INDEX('G-7 WaterC'' Data'!$H$4:$L$8,MATCH(D141,'G-7 WaterC'' Data'!$B$4:$B$8,0),MATCH(H141,'G-7 WaterC'' Data'!$H$3:$L$3,0)),"")</f>
        <v/>
      </c>
      <c r="J141" s="320"/>
      <c r="K141" s="398" t="str">
        <f>IF(J141="","",IF(VLOOKUP(J141,'G-7 WaterC'' Data'!$AK$4:$AM$6,2,FALSE)=0,"Spatial Data Missing ⚠",VLOOKUP(J141,'G-7 WaterC'' Data'!$AK$4:$AM$6,2,FALSE)))</f>
        <v/>
      </c>
      <c r="L141" s="368" t="str">
        <f>IF(J141="","",IF(VLOOKUP(J141,'G-7 WaterC'' Data'!$AK$4:$AM$9,3,FALSE)=0,"Spatial Data Missing ⚠",VLOOKUP(J141,'G-7 WaterC'' Data'!$AK$4:$AM$6,3,FALSE)))</f>
        <v/>
      </c>
      <c r="M141" s="54"/>
      <c r="N141" s="363" t="str">
        <f>IF(M141="","",IF(VLOOKUP(M141,'G-7 WaterC'' Data'!$AA$4:$AB$7,2,FALSE)=0,"Spatial Data Missing ⚠",VLOOKUP(M141,'G-7 WaterC'' Data'!$AA$4:$AB$7,2,FALSE)))</f>
        <v/>
      </c>
      <c r="O141" s="60"/>
      <c r="P141" s="363" t="str">
        <f>IF(O141="","",IF(VLOOKUP(O141,'G-7 WaterC'' Data'!$AD$4:$AE$14,2,FALSE)=0,"Spatial Data Missing ⚠",VLOOKUP(O141,'G-7 WaterC'' Data'!$AD$4:$AE$14,2,FALSE)))</f>
        <v/>
      </c>
      <c r="Q141" s="369" t="str">
        <f>IF(D141="","",VLOOKUP(D141,'G-7 WaterC'' Data'!$B$2:$G$8,6,FALSE))</f>
        <v/>
      </c>
      <c r="R141" s="376" t="str">
        <f>IFERROR(IF(D141="","",IF(AND(Q141='G-1 All Habitats'!$X$3,U141&gt;0),V141+W141,IF(AND(Q141='G-1 All Habitats'!$X$3,T141&gt;0),V141+W141,IF(AND(Q141='G-1 All Habitats'!$X$3,AD141&gt;0),"Any Loss Unacceptable ⚠",IF(AND(Q141='G-1 All Habitats'!$X$3,AE141&gt;0),"Any Loss Unacceptable ⚠", E141*G141*I141*L141*N141*P141 ))))),"Check Data ▲")</f>
        <v/>
      </c>
      <c r="S141" s="32"/>
      <c r="T141" s="114"/>
      <c r="U141" s="125"/>
      <c r="V141" s="374" t="str">
        <f t="shared" si="14"/>
        <v/>
      </c>
      <c r="W141" s="374" t="str">
        <f t="shared" si="15"/>
        <v/>
      </c>
      <c r="X141" s="374" t="str">
        <f t="shared" si="16"/>
        <v/>
      </c>
      <c r="Y141" s="670" t="str">
        <f t="shared" si="17"/>
        <v/>
      </c>
      <c r="Z141" s="706"/>
      <c r="AA141" s="704"/>
      <c r="AB141" s="120"/>
      <c r="AC141" s="120"/>
      <c r="AD141" s="57" t="str">
        <f>IF(Q141="","",IF(Q141='G-1 All Habitats'!$X$3,E141-T141-U141,"None"))</f>
        <v/>
      </c>
      <c r="AE141" s="58" t="str">
        <f>IF(Q141="","", IF(Q141='G-1 All Habitats'!$X$3, AD141*G141*I141*L141*N141*P141,"None"))</f>
        <v/>
      </c>
      <c r="AH141" s="30">
        <f t="shared" si="18"/>
        <v>0</v>
      </c>
      <c r="AI141" s="124" t="str">
        <f t="shared" si="19"/>
        <v/>
      </c>
      <c r="AJ141" s="124" t="str">
        <f t="shared" si="20"/>
        <v/>
      </c>
      <c r="AL141" s="124">
        <v>132</v>
      </c>
      <c r="AN141" s="124" t="str">
        <f t="array" ref="AN141">IFERROR(INDEX($AL$10:$AL$258, MATCH(0, IF(TRUE=$AI$10:$AI$258, COUNTIF($AN$9:$AN140, $AL$10:$AL$258), ""), 0)),"")</f>
        <v/>
      </c>
      <c r="AO141" s="124" t="str">
        <f t="array" ref="AO141">IFERROR(INDEX($AL$10:$AL$258, MATCH(0, IF(TRUE=$AJ$10:$AJ$258, COUNTIF($AO$9:$AO140, $AL$10:$AL$258), ""), 0)),"")</f>
        <v/>
      </c>
      <c r="AQ141" s="30" t="str">
        <f>IFERROR(INDEX('G-7 WaterC'' Data'!$AZ$3:$AZ$7,MATCH(D141,'G-7 WaterC'' Data'!$AY$3:$AY$7,0)),"")</f>
        <v/>
      </c>
      <c r="AR141" s="30" t="str">
        <f>IFERROR(INDEX('G-7 WaterC'' Data'!AZ141:AZ145,MATCH(D141,'G-7 WaterC'' Data'!$AY$10:$AY$14,0)),"")</f>
        <v/>
      </c>
    </row>
    <row r="142" spans="3:44" ht="15">
      <c r="C142" s="110">
        <v>133</v>
      </c>
      <c r="D142" s="338"/>
      <c r="E142" s="139"/>
      <c r="F142" s="362" t="str">
        <f>IF(D142="","",VLOOKUP(D142,'G-7 WaterC'' Data'!$B$2:$G$8,2,FALSE))</f>
        <v/>
      </c>
      <c r="G142" s="363" t="str">
        <f>IFERROR(VLOOKUP(F142,'G-7 WaterC'' Data'!$C$4:$D$8,2,FALSE),"")</f>
        <v/>
      </c>
      <c r="H142" s="114"/>
      <c r="I142" s="363" t="str">
        <f>IFERROR(INDEX('G-7 WaterC'' Data'!$H$4:$L$8,MATCH(D142,'G-7 WaterC'' Data'!$B$4:$B$8,0),MATCH(H142,'G-7 WaterC'' Data'!$H$3:$L$3,0)),"")</f>
        <v/>
      </c>
      <c r="J142" s="320"/>
      <c r="K142" s="398" t="str">
        <f>IF(J142="","",IF(VLOOKUP(J142,'G-7 WaterC'' Data'!$AK$4:$AM$6,2,FALSE)=0,"Spatial Data Missing ⚠",VLOOKUP(J142,'G-7 WaterC'' Data'!$AK$4:$AM$6,2,FALSE)))</f>
        <v/>
      </c>
      <c r="L142" s="368" t="str">
        <f>IF(J142="","",IF(VLOOKUP(J142,'G-7 WaterC'' Data'!$AK$4:$AM$9,3,FALSE)=0,"Spatial Data Missing ⚠",VLOOKUP(J142,'G-7 WaterC'' Data'!$AK$4:$AM$6,3,FALSE)))</f>
        <v/>
      </c>
      <c r="M142" s="54"/>
      <c r="N142" s="363" t="str">
        <f>IF(M142="","",IF(VLOOKUP(M142,'G-7 WaterC'' Data'!$AA$4:$AB$7,2,FALSE)=0,"Spatial Data Missing ⚠",VLOOKUP(M142,'G-7 WaterC'' Data'!$AA$4:$AB$7,2,FALSE)))</f>
        <v/>
      </c>
      <c r="O142" s="60"/>
      <c r="P142" s="363" t="str">
        <f>IF(O142="","",IF(VLOOKUP(O142,'G-7 WaterC'' Data'!$AD$4:$AE$14,2,FALSE)=0,"Spatial Data Missing ⚠",VLOOKUP(O142,'G-7 WaterC'' Data'!$AD$4:$AE$14,2,FALSE)))</f>
        <v/>
      </c>
      <c r="Q142" s="369" t="str">
        <f>IF(D142="","",VLOOKUP(D142,'G-7 WaterC'' Data'!$B$2:$G$8,6,FALSE))</f>
        <v/>
      </c>
      <c r="R142" s="376" t="str">
        <f>IFERROR(IF(D142="","",IF(AND(Q142='G-1 All Habitats'!$X$3,U142&gt;0),V142+W142,IF(AND(Q142='G-1 All Habitats'!$X$3,T142&gt;0),V142+W142,IF(AND(Q142='G-1 All Habitats'!$X$3,AD142&gt;0),"Any Loss Unacceptable ⚠",IF(AND(Q142='G-1 All Habitats'!$X$3,AE142&gt;0),"Any Loss Unacceptable ⚠", E142*G142*I142*L142*N142*P142 ))))),"Check Data ▲")</f>
        <v/>
      </c>
      <c r="S142" s="32"/>
      <c r="T142" s="114"/>
      <c r="U142" s="125"/>
      <c r="V142" s="374" t="str">
        <f t="shared" si="14"/>
        <v/>
      </c>
      <c r="W142" s="374" t="str">
        <f t="shared" si="15"/>
        <v/>
      </c>
      <c r="X142" s="374" t="str">
        <f t="shared" si="16"/>
        <v/>
      </c>
      <c r="Y142" s="670" t="str">
        <f t="shared" si="17"/>
        <v/>
      </c>
      <c r="Z142" s="706"/>
      <c r="AA142" s="704"/>
      <c r="AB142" s="120"/>
      <c r="AC142" s="120"/>
      <c r="AD142" s="57" t="str">
        <f>IF(Q142="","",IF(Q142='G-1 All Habitats'!$X$3,E142-T142-U142,"None"))</f>
        <v/>
      </c>
      <c r="AE142" s="58" t="str">
        <f>IF(Q142="","", IF(Q142='G-1 All Habitats'!$X$3, AD142*G142*I142*L142*N142*P142,"None"))</f>
        <v/>
      </c>
      <c r="AH142" s="30">
        <f t="shared" si="18"/>
        <v>0</v>
      </c>
      <c r="AI142" s="124" t="str">
        <f t="shared" si="19"/>
        <v/>
      </c>
      <c r="AJ142" s="124" t="str">
        <f t="shared" si="20"/>
        <v/>
      </c>
      <c r="AL142" s="124">
        <v>133</v>
      </c>
      <c r="AN142" s="124" t="str">
        <f t="array" ref="AN142">IFERROR(INDEX($AL$10:$AL$258, MATCH(0, IF(TRUE=$AI$10:$AI$258, COUNTIF($AN$9:$AN141, $AL$10:$AL$258), ""), 0)),"")</f>
        <v/>
      </c>
      <c r="AO142" s="124" t="str">
        <f t="array" ref="AO142">IFERROR(INDEX($AL$10:$AL$258, MATCH(0, IF(TRUE=$AJ$10:$AJ$258, COUNTIF($AO$9:$AO141, $AL$10:$AL$258), ""), 0)),"")</f>
        <v/>
      </c>
      <c r="AQ142" s="30" t="str">
        <f>IFERROR(INDEX('G-7 WaterC'' Data'!$AZ$3:$AZ$7,MATCH(D142,'G-7 WaterC'' Data'!$AY$3:$AY$7,0)),"")</f>
        <v/>
      </c>
      <c r="AR142" s="30" t="str">
        <f>IFERROR(INDEX('G-7 WaterC'' Data'!AZ142:AZ146,MATCH(D142,'G-7 WaterC'' Data'!$AY$10:$AY$14,0)),"")</f>
        <v/>
      </c>
    </row>
    <row r="143" spans="3:44" ht="15">
      <c r="C143" s="110">
        <v>134</v>
      </c>
      <c r="D143" s="338"/>
      <c r="E143" s="139"/>
      <c r="F143" s="362" t="str">
        <f>IF(D143="","",VLOOKUP(D143,'G-7 WaterC'' Data'!$B$2:$G$8,2,FALSE))</f>
        <v/>
      </c>
      <c r="G143" s="363" t="str">
        <f>IFERROR(VLOOKUP(F143,'G-7 WaterC'' Data'!$C$4:$D$8,2,FALSE),"")</f>
        <v/>
      </c>
      <c r="H143" s="114"/>
      <c r="I143" s="363" t="str">
        <f>IFERROR(INDEX('G-7 WaterC'' Data'!$H$4:$L$8,MATCH(D143,'G-7 WaterC'' Data'!$B$4:$B$8,0),MATCH(H143,'G-7 WaterC'' Data'!$H$3:$L$3,0)),"")</f>
        <v/>
      </c>
      <c r="J143" s="320"/>
      <c r="K143" s="398" t="str">
        <f>IF(J143="","",IF(VLOOKUP(J143,'G-7 WaterC'' Data'!$AK$4:$AM$6,2,FALSE)=0,"Spatial Data Missing ⚠",VLOOKUP(J143,'G-7 WaterC'' Data'!$AK$4:$AM$6,2,FALSE)))</f>
        <v/>
      </c>
      <c r="L143" s="368" t="str">
        <f>IF(J143="","",IF(VLOOKUP(J143,'G-7 WaterC'' Data'!$AK$4:$AM$9,3,FALSE)=0,"Spatial Data Missing ⚠",VLOOKUP(J143,'G-7 WaterC'' Data'!$AK$4:$AM$6,3,FALSE)))</f>
        <v/>
      </c>
      <c r="M143" s="54"/>
      <c r="N143" s="363" t="str">
        <f>IF(M143="","",IF(VLOOKUP(M143,'G-7 WaterC'' Data'!$AA$4:$AB$7,2,FALSE)=0,"Spatial Data Missing ⚠",VLOOKUP(M143,'G-7 WaterC'' Data'!$AA$4:$AB$7,2,FALSE)))</f>
        <v/>
      </c>
      <c r="O143" s="60"/>
      <c r="P143" s="363" t="str">
        <f>IF(O143="","",IF(VLOOKUP(O143,'G-7 WaterC'' Data'!$AD$4:$AE$14,2,FALSE)=0,"Spatial Data Missing ⚠",VLOOKUP(O143,'G-7 WaterC'' Data'!$AD$4:$AE$14,2,FALSE)))</f>
        <v/>
      </c>
      <c r="Q143" s="369" t="str">
        <f>IF(D143="","",VLOOKUP(D143,'G-7 WaterC'' Data'!$B$2:$G$8,6,FALSE))</f>
        <v/>
      </c>
      <c r="R143" s="376" t="str">
        <f>IFERROR(IF(D143="","",IF(AND(Q143='G-1 All Habitats'!$X$3,U143&gt;0),V143+W143,IF(AND(Q143='G-1 All Habitats'!$X$3,T143&gt;0),V143+W143,IF(AND(Q143='G-1 All Habitats'!$X$3,AD143&gt;0),"Any Loss Unacceptable ⚠",IF(AND(Q143='G-1 All Habitats'!$X$3,AE143&gt;0),"Any Loss Unacceptable ⚠", E143*G143*I143*L143*N143*P143 ))))),"Check Data ▲")</f>
        <v/>
      </c>
      <c r="S143" s="32"/>
      <c r="T143" s="114"/>
      <c r="U143" s="125"/>
      <c r="V143" s="374" t="str">
        <f t="shared" si="14"/>
        <v/>
      </c>
      <c r="W143" s="374" t="str">
        <f t="shared" si="15"/>
        <v/>
      </c>
      <c r="X143" s="374" t="str">
        <f t="shared" si="16"/>
        <v/>
      </c>
      <c r="Y143" s="670" t="str">
        <f t="shared" si="17"/>
        <v/>
      </c>
      <c r="Z143" s="706"/>
      <c r="AA143" s="704"/>
      <c r="AB143" s="120"/>
      <c r="AC143" s="120"/>
      <c r="AD143" s="57" t="str">
        <f>IF(Q143="","",IF(Q143='G-1 All Habitats'!$X$3,E143-T143-U143,"None"))</f>
        <v/>
      </c>
      <c r="AE143" s="58" t="str">
        <f>IF(Q143="","", IF(Q143='G-1 All Habitats'!$X$3, AD143*G143*I143*L143*N143*P143,"None"))</f>
        <v/>
      </c>
      <c r="AH143" s="30">
        <f t="shared" si="18"/>
        <v>0</v>
      </c>
      <c r="AI143" s="124" t="str">
        <f t="shared" si="19"/>
        <v/>
      </c>
      <c r="AJ143" s="124" t="str">
        <f t="shared" si="20"/>
        <v/>
      </c>
      <c r="AL143" s="124">
        <v>134</v>
      </c>
      <c r="AN143" s="124" t="str">
        <f t="array" ref="AN143">IFERROR(INDEX($AL$10:$AL$258, MATCH(0, IF(TRUE=$AI$10:$AI$258, COUNTIF($AN$9:$AN142, $AL$10:$AL$258), ""), 0)),"")</f>
        <v/>
      </c>
      <c r="AO143" s="124" t="str">
        <f t="array" ref="AO143">IFERROR(INDEX($AL$10:$AL$258, MATCH(0, IF(TRUE=$AJ$10:$AJ$258, COUNTIF($AO$9:$AO142, $AL$10:$AL$258), ""), 0)),"")</f>
        <v/>
      </c>
      <c r="AQ143" s="30" t="str">
        <f>IFERROR(INDEX('G-7 WaterC'' Data'!$AZ$3:$AZ$7,MATCH(D143,'G-7 WaterC'' Data'!$AY$3:$AY$7,0)),"")</f>
        <v/>
      </c>
      <c r="AR143" s="30" t="str">
        <f>IFERROR(INDEX('G-7 WaterC'' Data'!AZ143:AZ147,MATCH(D143,'G-7 WaterC'' Data'!$AY$10:$AY$14,0)),"")</f>
        <v/>
      </c>
    </row>
    <row r="144" spans="3:44" ht="15">
      <c r="C144" s="110">
        <v>135</v>
      </c>
      <c r="D144" s="338"/>
      <c r="E144" s="139"/>
      <c r="F144" s="362" t="str">
        <f>IF(D144="","",VLOOKUP(D144,'G-7 WaterC'' Data'!$B$2:$G$8,2,FALSE))</f>
        <v/>
      </c>
      <c r="G144" s="363" t="str">
        <f>IFERROR(VLOOKUP(F144,'G-7 WaterC'' Data'!$C$4:$D$8,2,FALSE),"")</f>
        <v/>
      </c>
      <c r="H144" s="114"/>
      <c r="I144" s="363" t="str">
        <f>IFERROR(INDEX('G-7 WaterC'' Data'!$H$4:$L$8,MATCH(D144,'G-7 WaterC'' Data'!$B$4:$B$8,0),MATCH(H144,'G-7 WaterC'' Data'!$H$3:$L$3,0)),"")</f>
        <v/>
      </c>
      <c r="J144" s="320"/>
      <c r="K144" s="398" t="str">
        <f>IF(J144="","",IF(VLOOKUP(J144,'G-7 WaterC'' Data'!$AK$4:$AM$6,2,FALSE)=0,"Spatial Data Missing ⚠",VLOOKUP(J144,'G-7 WaterC'' Data'!$AK$4:$AM$6,2,FALSE)))</f>
        <v/>
      </c>
      <c r="L144" s="368" t="str">
        <f>IF(J144="","",IF(VLOOKUP(J144,'G-7 WaterC'' Data'!$AK$4:$AM$9,3,FALSE)=0,"Spatial Data Missing ⚠",VLOOKUP(J144,'G-7 WaterC'' Data'!$AK$4:$AM$6,3,FALSE)))</f>
        <v/>
      </c>
      <c r="M144" s="54"/>
      <c r="N144" s="363" t="str">
        <f>IF(M144="","",IF(VLOOKUP(M144,'G-7 WaterC'' Data'!$AA$4:$AB$7,2,FALSE)=0,"Spatial Data Missing ⚠",VLOOKUP(M144,'G-7 WaterC'' Data'!$AA$4:$AB$7,2,FALSE)))</f>
        <v/>
      </c>
      <c r="O144" s="60"/>
      <c r="P144" s="363" t="str">
        <f>IF(O144="","",IF(VLOOKUP(O144,'G-7 WaterC'' Data'!$AD$4:$AE$14,2,FALSE)=0,"Spatial Data Missing ⚠",VLOOKUP(O144,'G-7 WaterC'' Data'!$AD$4:$AE$14,2,FALSE)))</f>
        <v/>
      </c>
      <c r="Q144" s="369" t="str">
        <f>IF(D144="","",VLOOKUP(D144,'G-7 WaterC'' Data'!$B$2:$G$8,6,FALSE))</f>
        <v/>
      </c>
      <c r="R144" s="376" t="str">
        <f>IFERROR(IF(D144="","",IF(AND(Q144='G-1 All Habitats'!$X$3,U144&gt;0),V144+W144,IF(AND(Q144='G-1 All Habitats'!$X$3,T144&gt;0),V144+W144,IF(AND(Q144='G-1 All Habitats'!$X$3,AD144&gt;0),"Any Loss Unacceptable ⚠",IF(AND(Q144='G-1 All Habitats'!$X$3,AE144&gt;0),"Any Loss Unacceptable ⚠", E144*G144*I144*L144*N144*P144 ))))),"Check Data ▲")</f>
        <v/>
      </c>
      <c r="S144" s="32"/>
      <c r="T144" s="114"/>
      <c r="U144" s="125"/>
      <c r="V144" s="374" t="str">
        <f t="shared" si="14"/>
        <v/>
      </c>
      <c r="W144" s="374" t="str">
        <f t="shared" si="15"/>
        <v/>
      </c>
      <c r="X144" s="374" t="str">
        <f t="shared" si="16"/>
        <v/>
      </c>
      <c r="Y144" s="670" t="str">
        <f t="shared" si="17"/>
        <v/>
      </c>
      <c r="Z144" s="706"/>
      <c r="AA144" s="704"/>
      <c r="AB144" s="120"/>
      <c r="AC144" s="120"/>
      <c r="AD144" s="57" t="str">
        <f>IF(Q144="","",IF(Q144='G-1 All Habitats'!$X$3,E144-T144-U144,"None"))</f>
        <v/>
      </c>
      <c r="AE144" s="58" t="str">
        <f>IF(Q144="","", IF(Q144='G-1 All Habitats'!$X$3, AD144*G144*I144*L144*N144*P144,"None"))</f>
        <v/>
      </c>
      <c r="AH144" s="30">
        <f t="shared" si="18"/>
        <v>0</v>
      </c>
      <c r="AI144" s="124" t="str">
        <f t="shared" si="19"/>
        <v/>
      </c>
      <c r="AJ144" s="124" t="str">
        <f t="shared" si="20"/>
        <v/>
      </c>
      <c r="AL144" s="124">
        <v>135</v>
      </c>
      <c r="AN144" s="124" t="str">
        <f t="array" ref="AN144">IFERROR(INDEX($AL$10:$AL$258, MATCH(0, IF(TRUE=$AI$10:$AI$258, COUNTIF($AN$9:$AN143, $AL$10:$AL$258), ""), 0)),"")</f>
        <v/>
      </c>
      <c r="AO144" s="124" t="str">
        <f t="array" ref="AO144">IFERROR(INDEX($AL$10:$AL$258, MATCH(0, IF(TRUE=$AJ$10:$AJ$258, COUNTIF($AO$9:$AO143, $AL$10:$AL$258), ""), 0)),"")</f>
        <v/>
      </c>
      <c r="AQ144" s="30" t="str">
        <f>IFERROR(INDEX('G-7 WaterC'' Data'!$AZ$3:$AZ$7,MATCH(D144,'G-7 WaterC'' Data'!$AY$3:$AY$7,0)),"")</f>
        <v/>
      </c>
      <c r="AR144" s="30" t="str">
        <f>IFERROR(INDEX('G-7 WaterC'' Data'!AZ144:AZ148,MATCH(D144,'G-7 WaterC'' Data'!$AY$10:$AY$14,0)),"")</f>
        <v/>
      </c>
    </row>
    <row r="145" spans="3:44" ht="15">
      <c r="C145" s="110">
        <v>136</v>
      </c>
      <c r="D145" s="338"/>
      <c r="E145" s="139"/>
      <c r="F145" s="362" t="str">
        <f>IF(D145="","",VLOOKUP(D145,'G-7 WaterC'' Data'!$B$2:$G$8,2,FALSE))</f>
        <v/>
      </c>
      <c r="G145" s="363" t="str">
        <f>IFERROR(VLOOKUP(F145,'G-7 WaterC'' Data'!$C$4:$D$8,2,FALSE),"")</f>
        <v/>
      </c>
      <c r="H145" s="114"/>
      <c r="I145" s="363" t="str">
        <f>IFERROR(INDEX('G-7 WaterC'' Data'!$H$4:$L$8,MATCH(D145,'G-7 WaterC'' Data'!$B$4:$B$8,0),MATCH(H145,'G-7 WaterC'' Data'!$H$3:$L$3,0)),"")</f>
        <v/>
      </c>
      <c r="J145" s="320"/>
      <c r="K145" s="398" t="str">
        <f>IF(J145="","",IF(VLOOKUP(J145,'G-7 WaterC'' Data'!$AK$4:$AM$6,2,FALSE)=0,"Spatial Data Missing ⚠",VLOOKUP(J145,'G-7 WaterC'' Data'!$AK$4:$AM$6,2,FALSE)))</f>
        <v/>
      </c>
      <c r="L145" s="368" t="str">
        <f>IF(J145="","",IF(VLOOKUP(J145,'G-7 WaterC'' Data'!$AK$4:$AM$9,3,FALSE)=0,"Spatial Data Missing ⚠",VLOOKUP(J145,'G-7 WaterC'' Data'!$AK$4:$AM$6,3,FALSE)))</f>
        <v/>
      </c>
      <c r="M145" s="54"/>
      <c r="N145" s="363" t="str">
        <f>IF(M145="","",IF(VLOOKUP(M145,'G-7 WaterC'' Data'!$AA$4:$AB$7,2,FALSE)=0,"Spatial Data Missing ⚠",VLOOKUP(M145,'G-7 WaterC'' Data'!$AA$4:$AB$7,2,FALSE)))</f>
        <v/>
      </c>
      <c r="O145" s="60"/>
      <c r="P145" s="363" t="str">
        <f>IF(O145="","",IF(VLOOKUP(O145,'G-7 WaterC'' Data'!$AD$4:$AE$14,2,FALSE)=0,"Spatial Data Missing ⚠",VLOOKUP(O145,'G-7 WaterC'' Data'!$AD$4:$AE$14,2,FALSE)))</f>
        <v/>
      </c>
      <c r="Q145" s="369" t="str">
        <f>IF(D145="","",VLOOKUP(D145,'G-7 WaterC'' Data'!$B$2:$G$8,6,FALSE))</f>
        <v/>
      </c>
      <c r="R145" s="376" t="str">
        <f>IFERROR(IF(D145="","",IF(AND(Q145='G-1 All Habitats'!$X$3,U145&gt;0),V145+W145,IF(AND(Q145='G-1 All Habitats'!$X$3,T145&gt;0),V145+W145,IF(AND(Q145='G-1 All Habitats'!$X$3,AD145&gt;0),"Any Loss Unacceptable ⚠",IF(AND(Q145='G-1 All Habitats'!$X$3,AE145&gt;0),"Any Loss Unacceptable ⚠", E145*G145*I145*L145*N145*P145 ))))),"Check Data ▲")</f>
        <v/>
      </c>
      <c r="S145" s="32"/>
      <c r="T145" s="114"/>
      <c r="U145" s="125"/>
      <c r="V145" s="374" t="str">
        <f t="shared" si="14"/>
        <v/>
      </c>
      <c r="W145" s="374" t="str">
        <f t="shared" si="15"/>
        <v/>
      </c>
      <c r="X145" s="374" t="str">
        <f t="shared" si="16"/>
        <v/>
      </c>
      <c r="Y145" s="670" t="str">
        <f t="shared" si="17"/>
        <v/>
      </c>
      <c r="Z145" s="706"/>
      <c r="AA145" s="704"/>
      <c r="AB145" s="120"/>
      <c r="AC145" s="120"/>
      <c r="AD145" s="57" t="str">
        <f>IF(Q145="","",IF(Q145='G-1 All Habitats'!$X$3,E145-T145-U145,"None"))</f>
        <v/>
      </c>
      <c r="AE145" s="58" t="str">
        <f>IF(Q145="","", IF(Q145='G-1 All Habitats'!$X$3, AD145*G145*I145*L145*N145*P145,"None"))</f>
        <v/>
      </c>
      <c r="AH145" s="30">
        <f t="shared" si="18"/>
        <v>0</v>
      </c>
      <c r="AI145" s="124" t="str">
        <f t="shared" si="19"/>
        <v/>
      </c>
      <c r="AJ145" s="124" t="str">
        <f t="shared" si="20"/>
        <v/>
      </c>
      <c r="AL145" s="124">
        <v>136</v>
      </c>
      <c r="AN145" s="124" t="str">
        <f t="array" ref="AN145">IFERROR(INDEX($AL$10:$AL$258, MATCH(0, IF(TRUE=$AI$10:$AI$258, COUNTIF($AN$9:$AN144, $AL$10:$AL$258), ""), 0)),"")</f>
        <v/>
      </c>
      <c r="AO145" s="124" t="str">
        <f t="array" ref="AO145">IFERROR(INDEX($AL$10:$AL$258, MATCH(0, IF(TRUE=$AJ$10:$AJ$258, COUNTIF($AO$9:$AO144, $AL$10:$AL$258), ""), 0)),"")</f>
        <v/>
      </c>
      <c r="AQ145" s="30" t="str">
        <f>IFERROR(INDEX('G-7 WaterC'' Data'!$AZ$3:$AZ$7,MATCH(D145,'G-7 WaterC'' Data'!$AY$3:$AY$7,0)),"")</f>
        <v/>
      </c>
      <c r="AR145" s="30" t="str">
        <f>IFERROR(INDEX('G-7 WaterC'' Data'!AZ145:AZ149,MATCH(D145,'G-7 WaterC'' Data'!$AY$10:$AY$14,0)),"")</f>
        <v/>
      </c>
    </row>
    <row r="146" spans="3:44" ht="15">
      <c r="C146" s="110">
        <v>137</v>
      </c>
      <c r="D146" s="338"/>
      <c r="E146" s="139"/>
      <c r="F146" s="362" t="str">
        <f>IF(D146="","",VLOOKUP(D146,'G-7 WaterC'' Data'!$B$2:$G$8,2,FALSE))</f>
        <v/>
      </c>
      <c r="G146" s="363" t="str">
        <f>IFERROR(VLOOKUP(F146,'G-7 WaterC'' Data'!$C$4:$D$8,2,FALSE),"")</f>
        <v/>
      </c>
      <c r="H146" s="114"/>
      <c r="I146" s="363" t="str">
        <f>IFERROR(INDEX('G-7 WaterC'' Data'!$H$4:$L$8,MATCH(D146,'G-7 WaterC'' Data'!$B$4:$B$8,0),MATCH(H146,'G-7 WaterC'' Data'!$H$3:$L$3,0)),"")</f>
        <v/>
      </c>
      <c r="J146" s="320"/>
      <c r="K146" s="398" t="str">
        <f>IF(J146="","",IF(VLOOKUP(J146,'G-7 WaterC'' Data'!$AK$4:$AM$6,2,FALSE)=0,"Spatial Data Missing ⚠",VLOOKUP(J146,'G-7 WaterC'' Data'!$AK$4:$AM$6,2,FALSE)))</f>
        <v/>
      </c>
      <c r="L146" s="368" t="str">
        <f>IF(J146="","",IF(VLOOKUP(J146,'G-7 WaterC'' Data'!$AK$4:$AM$9,3,FALSE)=0,"Spatial Data Missing ⚠",VLOOKUP(J146,'G-7 WaterC'' Data'!$AK$4:$AM$6,3,FALSE)))</f>
        <v/>
      </c>
      <c r="M146" s="54"/>
      <c r="N146" s="363" t="str">
        <f>IF(M146="","",IF(VLOOKUP(M146,'G-7 WaterC'' Data'!$AA$4:$AB$7,2,FALSE)=0,"Spatial Data Missing ⚠",VLOOKUP(M146,'G-7 WaterC'' Data'!$AA$4:$AB$7,2,FALSE)))</f>
        <v/>
      </c>
      <c r="O146" s="60"/>
      <c r="P146" s="363" t="str">
        <f>IF(O146="","",IF(VLOOKUP(O146,'G-7 WaterC'' Data'!$AD$4:$AE$14,2,FALSE)=0,"Spatial Data Missing ⚠",VLOOKUP(O146,'G-7 WaterC'' Data'!$AD$4:$AE$14,2,FALSE)))</f>
        <v/>
      </c>
      <c r="Q146" s="369" t="str">
        <f>IF(D146="","",VLOOKUP(D146,'G-7 WaterC'' Data'!$B$2:$G$8,6,FALSE))</f>
        <v/>
      </c>
      <c r="R146" s="376" t="str">
        <f>IFERROR(IF(D146="","",IF(AND(Q146='G-1 All Habitats'!$X$3,U146&gt;0),V146+W146,IF(AND(Q146='G-1 All Habitats'!$X$3,T146&gt;0),V146+W146,IF(AND(Q146='G-1 All Habitats'!$X$3,AD146&gt;0),"Any Loss Unacceptable ⚠",IF(AND(Q146='G-1 All Habitats'!$X$3,AE146&gt;0),"Any Loss Unacceptable ⚠", E146*G146*I146*L146*N146*P146 ))))),"Check Data ▲")</f>
        <v/>
      </c>
      <c r="S146" s="32"/>
      <c r="T146" s="114"/>
      <c r="U146" s="125"/>
      <c r="V146" s="374" t="str">
        <f t="shared" si="14"/>
        <v/>
      </c>
      <c r="W146" s="374" t="str">
        <f t="shared" si="15"/>
        <v/>
      </c>
      <c r="X146" s="374" t="str">
        <f t="shared" si="16"/>
        <v/>
      </c>
      <c r="Y146" s="670" t="str">
        <f t="shared" si="17"/>
        <v/>
      </c>
      <c r="Z146" s="706"/>
      <c r="AA146" s="704"/>
      <c r="AB146" s="120"/>
      <c r="AC146" s="120"/>
      <c r="AD146" s="57" t="str">
        <f>IF(Q146="","",IF(Q146='G-1 All Habitats'!$X$3,E146-T146-U146,"None"))</f>
        <v/>
      </c>
      <c r="AE146" s="58" t="str">
        <f>IF(Q146="","", IF(Q146='G-1 All Habitats'!$X$3, AD146*G146*I146*L146*N146*P146,"None"))</f>
        <v/>
      </c>
      <c r="AH146" s="30">
        <f t="shared" si="18"/>
        <v>0</v>
      </c>
      <c r="AI146" s="124" t="str">
        <f t="shared" si="19"/>
        <v/>
      </c>
      <c r="AJ146" s="124" t="str">
        <f t="shared" si="20"/>
        <v/>
      </c>
      <c r="AL146" s="124">
        <v>137</v>
      </c>
      <c r="AN146" s="124" t="str">
        <f t="array" ref="AN146">IFERROR(INDEX($AL$10:$AL$258, MATCH(0, IF(TRUE=$AI$10:$AI$258, COUNTIF($AN$9:$AN145, $AL$10:$AL$258), ""), 0)),"")</f>
        <v/>
      </c>
      <c r="AO146" s="124" t="str">
        <f t="array" ref="AO146">IFERROR(INDEX($AL$10:$AL$258, MATCH(0, IF(TRUE=$AJ$10:$AJ$258, COUNTIF($AO$9:$AO145, $AL$10:$AL$258), ""), 0)),"")</f>
        <v/>
      </c>
      <c r="AQ146" s="30" t="str">
        <f>IFERROR(INDEX('G-7 WaterC'' Data'!$AZ$3:$AZ$7,MATCH(D146,'G-7 WaterC'' Data'!$AY$3:$AY$7,0)),"")</f>
        <v/>
      </c>
      <c r="AR146" s="30" t="str">
        <f>IFERROR(INDEX('G-7 WaterC'' Data'!AZ146:AZ150,MATCH(D146,'G-7 WaterC'' Data'!$AY$10:$AY$14,0)),"")</f>
        <v/>
      </c>
    </row>
    <row r="147" spans="3:44" ht="15">
      <c r="C147" s="110">
        <v>138</v>
      </c>
      <c r="D147" s="338"/>
      <c r="E147" s="139"/>
      <c r="F147" s="362" t="str">
        <f>IF(D147="","",VLOOKUP(D147,'G-7 WaterC'' Data'!$B$2:$G$8,2,FALSE))</f>
        <v/>
      </c>
      <c r="G147" s="363" t="str">
        <f>IFERROR(VLOOKUP(F147,'G-7 WaterC'' Data'!$C$4:$D$8,2,FALSE),"")</f>
        <v/>
      </c>
      <c r="H147" s="114"/>
      <c r="I147" s="363" t="str">
        <f>IFERROR(INDEX('G-7 WaterC'' Data'!$H$4:$L$8,MATCH(D147,'G-7 WaterC'' Data'!$B$4:$B$8,0),MATCH(H147,'G-7 WaterC'' Data'!$H$3:$L$3,0)),"")</f>
        <v/>
      </c>
      <c r="J147" s="320"/>
      <c r="K147" s="398" t="str">
        <f>IF(J147="","",IF(VLOOKUP(J147,'G-7 WaterC'' Data'!$AK$4:$AM$6,2,FALSE)=0,"Spatial Data Missing ⚠",VLOOKUP(J147,'G-7 WaterC'' Data'!$AK$4:$AM$6,2,FALSE)))</f>
        <v/>
      </c>
      <c r="L147" s="368" t="str">
        <f>IF(J147="","",IF(VLOOKUP(J147,'G-7 WaterC'' Data'!$AK$4:$AM$9,3,FALSE)=0,"Spatial Data Missing ⚠",VLOOKUP(J147,'G-7 WaterC'' Data'!$AK$4:$AM$6,3,FALSE)))</f>
        <v/>
      </c>
      <c r="M147" s="54"/>
      <c r="N147" s="363" t="str">
        <f>IF(M147="","",IF(VLOOKUP(M147,'G-7 WaterC'' Data'!$AA$4:$AB$7,2,FALSE)=0,"Spatial Data Missing ⚠",VLOOKUP(M147,'G-7 WaterC'' Data'!$AA$4:$AB$7,2,FALSE)))</f>
        <v/>
      </c>
      <c r="O147" s="60"/>
      <c r="P147" s="363" t="str">
        <f>IF(O147="","",IF(VLOOKUP(O147,'G-7 WaterC'' Data'!$AD$4:$AE$14,2,FALSE)=0,"Spatial Data Missing ⚠",VLOOKUP(O147,'G-7 WaterC'' Data'!$AD$4:$AE$14,2,FALSE)))</f>
        <v/>
      </c>
      <c r="Q147" s="369" t="str">
        <f>IF(D147="","",VLOOKUP(D147,'G-7 WaterC'' Data'!$B$2:$G$8,6,FALSE))</f>
        <v/>
      </c>
      <c r="R147" s="376" t="str">
        <f>IFERROR(IF(D147="","",IF(AND(Q147='G-1 All Habitats'!$X$3,U147&gt;0),V147+W147,IF(AND(Q147='G-1 All Habitats'!$X$3,T147&gt;0),V147+W147,IF(AND(Q147='G-1 All Habitats'!$X$3,AD147&gt;0),"Any Loss Unacceptable ⚠",IF(AND(Q147='G-1 All Habitats'!$X$3,AE147&gt;0),"Any Loss Unacceptable ⚠", E147*G147*I147*L147*N147*P147 ))))),"Check Data ▲")</f>
        <v/>
      </c>
      <c r="S147" s="32"/>
      <c r="T147" s="114"/>
      <c r="U147" s="125"/>
      <c r="V147" s="374" t="str">
        <f t="shared" si="14"/>
        <v/>
      </c>
      <c r="W147" s="374" t="str">
        <f t="shared" si="15"/>
        <v/>
      </c>
      <c r="X147" s="374" t="str">
        <f t="shared" si="16"/>
        <v/>
      </c>
      <c r="Y147" s="670" t="str">
        <f t="shared" si="17"/>
        <v/>
      </c>
      <c r="Z147" s="706"/>
      <c r="AA147" s="704"/>
      <c r="AB147" s="120"/>
      <c r="AC147" s="120"/>
      <c r="AD147" s="57" t="str">
        <f>IF(Q147="","",IF(Q147='G-1 All Habitats'!$X$3,E147-T147-U147,"None"))</f>
        <v/>
      </c>
      <c r="AE147" s="58" t="str">
        <f>IF(Q147="","", IF(Q147='G-1 All Habitats'!$X$3, AD147*G147*I147*L147*N147*P147,"None"))</f>
        <v/>
      </c>
      <c r="AH147" s="30">
        <f t="shared" si="18"/>
        <v>0</v>
      </c>
      <c r="AI147" s="124" t="str">
        <f t="shared" si="19"/>
        <v/>
      </c>
      <c r="AJ147" s="124" t="str">
        <f t="shared" si="20"/>
        <v/>
      </c>
      <c r="AL147" s="124">
        <v>138</v>
      </c>
      <c r="AN147" s="124" t="str">
        <f t="array" ref="AN147">IFERROR(INDEX($AL$10:$AL$258, MATCH(0, IF(TRUE=$AI$10:$AI$258, COUNTIF($AN$9:$AN146, $AL$10:$AL$258), ""), 0)),"")</f>
        <v/>
      </c>
      <c r="AO147" s="124" t="str">
        <f t="array" ref="AO147">IFERROR(INDEX($AL$10:$AL$258, MATCH(0, IF(TRUE=$AJ$10:$AJ$258, COUNTIF($AO$9:$AO146, $AL$10:$AL$258), ""), 0)),"")</f>
        <v/>
      </c>
      <c r="AQ147" s="30" t="str">
        <f>IFERROR(INDEX('G-7 WaterC'' Data'!$AZ$3:$AZ$7,MATCH(D147,'G-7 WaterC'' Data'!$AY$3:$AY$7,0)),"")</f>
        <v/>
      </c>
      <c r="AR147" s="30" t="str">
        <f>IFERROR(INDEX('G-7 WaterC'' Data'!AZ147:AZ151,MATCH(D147,'G-7 WaterC'' Data'!$AY$10:$AY$14,0)),"")</f>
        <v/>
      </c>
    </row>
    <row r="148" spans="3:44" ht="15">
      <c r="C148" s="110">
        <v>139</v>
      </c>
      <c r="D148" s="338"/>
      <c r="E148" s="139"/>
      <c r="F148" s="362" t="str">
        <f>IF(D148="","",VLOOKUP(D148,'G-7 WaterC'' Data'!$B$2:$G$8,2,FALSE))</f>
        <v/>
      </c>
      <c r="G148" s="363" t="str">
        <f>IFERROR(VLOOKUP(F148,'G-7 WaterC'' Data'!$C$4:$D$8,2,FALSE),"")</f>
        <v/>
      </c>
      <c r="H148" s="114"/>
      <c r="I148" s="363" t="str">
        <f>IFERROR(INDEX('G-7 WaterC'' Data'!$H$4:$L$8,MATCH(D148,'G-7 WaterC'' Data'!$B$4:$B$8,0),MATCH(H148,'G-7 WaterC'' Data'!$H$3:$L$3,0)),"")</f>
        <v/>
      </c>
      <c r="J148" s="320"/>
      <c r="K148" s="398" t="str">
        <f>IF(J148="","",IF(VLOOKUP(J148,'G-7 WaterC'' Data'!$AK$4:$AM$6,2,FALSE)=0,"Spatial Data Missing ⚠",VLOOKUP(J148,'G-7 WaterC'' Data'!$AK$4:$AM$6,2,FALSE)))</f>
        <v/>
      </c>
      <c r="L148" s="368" t="str">
        <f>IF(J148="","",IF(VLOOKUP(J148,'G-7 WaterC'' Data'!$AK$4:$AM$9,3,FALSE)=0,"Spatial Data Missing ⚠",VLOOKUP(J148,'G-7 WaterC'' Data'!$AK$4:$AM$6,3,FALSE)))</f>
        <v/>
      </c>
      <c r="M148" s="54"/>
      <c r="N148" s="363" t="str">
        <f>IF(M148="","",IF(VLOOKUP(M148,'G-7 WaterC'' Data'!$AA$4:$AB$7,2,FALSE)=0,"Spatial Data Missing ⚠",VLOOKUP(M148,'G-7 WaterC'' Data'!$AA$4:$AB$7,2,FALSE)))</f>
        <v/>
      </c>
      <c r="O148" s="60"/>
      <c r="P148" s="363" t="str">
        <f>IF(O148="","",IF(VLOOKUP(O148,'G-7 WaterC'' Data'!$AD$4:$AE$14,2,FALSE)=0,"Spatial Data Missing ⚠",VLOOKUP(O148,'G-7 WaterC'' Data'!$AD$4:$AE$14,2,FALSE)))</f>
        <v/>
      </c>
      <c r="Q148" s="369" t="str">
        <f>IF(D148="","",VLOOKUP(D148,'G-7 WaterC'' Data'!$B$2:$G$8,6,FALSE))</f>
        <v/>
      </c>
      <c r="R148" s="376" t="str">
        <f>IFERROR(IF(D148="","",IF(AND(Q148='G-1 All Habitats'!$X$3,U148&gt;0),V148+W148,IF(AND(Q148='G-1 All Habitats'!$X$3,T148&gt;0),V148+W148,IF(AND(Q148='G-1 All Habitats'!$X$3,AD148&gt;0),"Any Loss Unacceptable ⚠",IF(AND(Q148='G-1 All Habitats'!$X$3,AE148&gt;0),"Any Loss Unacceptable ⚠", E148*G148*I148*L148*N148*P148 ))))),"Check Data ▲")</f>
        <v/>
      </c>
      <c r="S148" s="32"/>
      <c r="T148" s="114"/>
      <c r="U148" s="125"/>
      <c r="V148" s="374" t="str">
        <f t="shared" si="14"/>
        <v/>
      </c>
      <c r="W148" s="374" t="str">
        <f t="shared" si="15"/>
        <v/>
      </c>
      <c r="X148" s="374" t="str">
        <f t="shared" si="16"/>
        <v/>
      </c>
      <c r="Y148" s="670" t="str">
        <f t="shared" si="17"/>
        <v/>
      </c>
      <c r="Z148" s="706"/>
      <c r="AA148" s="704"/>
      <c r="AB148" s="120"/>
      <c r="AC148" s="120"/>
      <c r="AD148" s="57" t="str">
        <f>IF(Q148="","",IF(Q148='G-1 All Habitats'!$X$3,E148-T148-U148,"None"))</f>
        <v/>
      </c>
      <c r="AE148" s="58" t="str">
        <f>IF(Q148="","", IF(Q148='G-1 All Habitats'!$X$3, AD148*G148*I148*L148*N148*P148,"None"))</f>
        <v/>
      </c>
      <c r="AH148" s="30">
        <f t="shared" si="18"/>
        <v>0</v>
      </c>
      <c r="AI148" s="124" t="str">
        <f t="shared" si="19"/>
        <v/>
      </c>
      <c r="AJ148" s="124" t="str">
        <f t="shared" si="20"/>
        <v/>
      </c>
      <c r="AL148" s="124">
        <v>139</v>
      </c>
      <c r="AN148" s="124" t="str">
        <f t="array" ref="AN148">IFERROR(INDEX($AL$10:$AL$258, MATCH(0, IF(TRUE=$AI$10:$AI$258, COUNTIF($AN$9:$AN147, $AL$10:$AL$258), ""), 0)),"")</f>
        <v/>
      </c>
      <c r="AO148" s="124" t="str">
        <f t="array" ref="AO148">IFERROR(INDEX($AL$10:$AL$258, MATCH(0, IF(TRUE=$AJ$10:$AJ$258, COUNTIF($AO$9:$AO147, $AL$10:$AL$258), ""), 0)),"")</f>
        <v/>
      </c>
      <c r="AQ148" s="30" t="str">
        <f>IFERROR(INDEX('G-7 WaterC'' Data'!$AZ$3:$AZ$7,MATCH(D148,'G-7 WaterC'' Data'!$AY$3:$AY$7,0)),"")</f>
        <v/>
      </c>
      <c r="AR148" s="30" t="str">
        <f>IFERROR(INDEX('G-7 WaterC'' Data'!AZ148:AZ152,MATCH(D148,'G-7 WaterC'' Data'!$AY$10:$AY$14,0)),"")</f>
        <v/>
      </c>
    </row>
    <row r="149" spans="3:44" ht="15">
      <c r="C149" s="110">
        <v>140</v>
      </c>
      <c r="D149" s="338"/>
      <c r="E149" s="139"/>
      <c r="F149" s="362" t="str">
        <f>IF(D149="","",VLOOKUP(D149,'G-7 WaterC'' Data'!$B$2:$G$8,2,FALSE))</f>
        <v/>
      </c>
      <c r="G149" s="363" t="str">
        <f>IFERROR(VLOOKUP(F149,'G-7 WaterC'' Data'!$C$4:$D$8,2,FALSE),"")</f>
        <v/>
      </c>
      <c r="H149" s="114"/>
      <c r="I149" s="363" t="str">
        <f>IFERROR(INDEX('G-7 WaterC'' Data'!$H$4:$L$8,MATCH(D149,'G-7 WaterC'' Data'!$B$4:$B$8,0),MATCH(H149,'G-7 WaterC'' Data'!$H$3:$L$3,0)),"")</f>
        <v/>
      </c>
      <c r="J149" s="320"/>
      <c r="K149" s="398" t="str">
        <f>IF(J149="","",IF(VLOOKUP(J149,'G-7 WaterC'' Data'!$AK$4:$AM$6,2,FALSE)=0,"Spatial Data Missing ⚠",VLOOKUP(J149,'G-7 WaterC'' Data'!$AK$4:$AM$6,2,FALSE)))</f>
        <v/>
      </c>
      <c r="L149" s="368" t="str">
        <f>IF(J149="","",IF(VLOOKUP(J149,'G-7 WaterC'' Data'!$AK$4:$AM$9,3,FALSE)=0,"Spatial Data Missing ⚠",VLOOKUP(J149,'G-7 WaterC'' Data'!$AK$4:$AM$6,3,FALSE)))</f>
        <v/>
      </c>
      <c r="M149" s="54"/>
      <c r="N149" s="363" t="str">
        <f>IF(M149="","",IF(VLOOKUP(M149,'G-7 WaterC'' Data'!$AA$4:$AB$7,2,FALSE)=0,"Spatial Data Missing ⚠",VLOOKUP(M149,'G-7 WaterC'' Data'!$AA$4:$AB$7,2,FALSE)))</f>
        <v/>
      </c>
      <c r="O149" s="60"/>
      <c r="P149" s="363" t="str">
        <f>IF(O149="","",IF(VLOOKUP(O149,'G-7 WaterC'' Data'!$AD$4:$AE$14,2,FALSE)=0,"Spatial Data Missing ⚠",VLOOKUP(O149,'G-7 WaterC'' Data'!$AD$4:$AE$14,2,FALSE)))</f>
        <v/>
      </c>
      <c r="Q149" s="369" t="str">
        <f>IF(D149="","",VLOOKUP(D149,'G-7 WaterC'' Data'!$B$2:$G$8,6,FALSE))</f>
        <v/>
      </c>
      <c r="R149" s="376" t="str">
        <f>IFERROR(IF(D149="","",IF(AND(Q149='G-1 All Habitats'!$X$3,U149&gt;0),V149+W149,IF(AND(Q149='G-1 All Habitats'!$X$3,T149&gt;0),V149+W149,IF(AND(Q149='G-1 All Habitats'!$X$3,AD149&gt;0),"Any Loss Unacceptable ⚠",IF(AND(Q149='G-1 All Habitats'!$X$3,AE149&gt;0),"Any Loss Unacceptable ⚠", E149*G149*I149*L149*N149*P149 ))))),"Check Data ▲")</f>
        <v/>
      </c>
      <c r="S149" s="32"/>
      <c r="T149" s="114"/>
      <c r="U149" s="125"/>
      <c r="V149" s="374" t="str">
        <f t="shared" si="14"/>
        <v/>
      </c>
      <c r="W149" s="374" t="str">
        <f t="shared" si="15"/>
        <v/>
      </c>
      <c r="X149" s="374" t="str">
        <f t="shared" si="16"/>
        <v/>
      </c>
      <c r="Y149" s="670" t="str">
        <f t="shared" si="17"/>
        <v/>
      </c>
      <c r="Z149" s="706"/>
      <c r="AA149" s="704"/>
      <c r="AB149" s="120"/>
      <c r="AC149" s="120"/>
      <c r="AD149" s="57" t="str">
        <f>IF(Q149="","",IF(Q149='G-1 All Habitats'!$X$3,E149-T149-U149,"None"))</f>
        <v/>
      </c>
      <c r="AE149" s="58" t="str">
        <f>IF(Q149="","", IF(Q149='G-1 All Habitats'!$X$3, AD149*G149*I149*L149*N149*P149,"None"))</f>
        <v/>
      </c>
      <c r="AH149" s="30">
        <f t="shared" si="18"/>
        <v>0</v>
      </c>
      <c r="AI149" s="124" t="str">
        <f t="shared" si="19"/>
        <v/>
      </c>
      <c r="AJ149" s="124" t="str">
        <f t="shared" si="20"/>
        <v/>
      </c>
      <c r="AL149" s="124">
        <v>140</v>
      </c>
      <c r="AN149" s="124" t="str">
        <f t="array" ref="AN149">IFERROR(INDEX($AL$10:$AL$258, MATCH(0, IF(TRUE=$AI$10:$AI$258, COUNTIF($AN$9:$AN148, $AL$10:$AL$258), ""), 0)),"")</f>
        <v/>
      </c>
      <c r="AO149" s="124" t="str">
        <f t="array" ref="AO149">IFERROR(INDEX($AL$10:$AL$258, MATCH(0, IF(TRUE=$AJ$10:$AJ$258, COUNTIF($AO$9:$AO148, $AL$10:$AL$258), ""), 0)),"")</f>
        <v/>
      </c>
      <c r="AQ149" s="30" t="str">
        <f>IFERROR(INDEX('G-7 WaterC'' Data'!$AZ$3:$AZ$7,MATCH(D149,'G-7 WaterC'' Data'!$AY$3:$AY$7,0)),"")</f>
        <v/>
      </c>
      <c r="AR149" s="30" t="str">
        <f>IFERROR(INDEX('G-7 WaterC'' Data'!AZ149:AZ153,MATCH(D149,'G-7 WaterC'' Data'!$AY$10:$AY$14,0)),"")</f>
        <v/>
      </c>
    </row>
    <row r="150" spans="3:44" ht="15">
      <c r="C150" s="110">
        <v>141</v>
      </c>
      <c r="D150" s="338"/>
      <c r="E150" s="139"/>
      <c r="F150" s="362" t="str">
        <f>IF(D150="","",VLOOKUP(D150,'G-7 WaterC'' Data'!$B$2:$G$8,2,FALSE))</f>
        <v/>
      </c>
      <c r="G150" s="363" t="str">
        <f>IFERROR(VLOOKUP(F150,'G-7 WaterC'' Data'!$C$4:$D$8,2,FALSE),"")</f>
        <v/>
      </c>
      <c r="H150" s="114"/>
      <c r="I150" s="363" t="str">
        <f>IFERROR(INDEX('G-7 WaterC'' Data'!$H$4:$L$8,MATCH(D150,'G-7 WaterC'' Data'!$B$4:$B$8,0),MATCH(H150,'G-7 WaterC'' Data'!$H$3:$L$3,0)),"")</f>
        <v/>
      </c>
      <c r="J150" s="320"/>
      <c r="K150" s="398" t="str">
        <f>IF(J150="","",IF(VLOOKUP(J150,'G-7 WaterC'' Data'!$AK$4:$AM$6,2,FALSE)=0,"Spatial Data Missing ⚠",VLOOKUP(J150,'G-7 WaterC'' Data'!$AK$4:$AM$6,2,FALSE)))</f>
        <v/>
      </c>
      <c r="L150" s="368" t="str">
        <f>IF(J150="","",IF(VLOOKUP(J150,'G-7 WaterC'' Data'!$AK$4:$AM$9,3,FALSE)=0,"Spatial Data Missing ⚠",VLOOKUP(J150,'G-7 WaterC'' Data'!$AK$4:$AM$6,3,FALSE)))</f>
        <v/>
      </c>
      <c r="M150" s="54"/>
      <c r="N150" s="363" t="str">
        <f>IF(M150="","",IF(VLOOKUP(M150,'G-7 WaterC'' Data'!$AA$4:$AB$7,2,FALSE)=0,"Spatial Data Missing ⚠",VLOOKUP(M150,'G-7 WaterC'' Data'!$AA$4:$AB$7,2,FALSE)))</f>
        <v/>
      </c>
      <c r="O150" s="60"/>
      <c r="P150" s="363" t="str">
        <f>IF(O150="","",IF(VLOOKUP(O150,'G-7 WaterC'' Data'!$AD$4:$AE$14,2,FALSE)=0,"Spatial Data Missing ⚠",VLOOKUP(O150,'G-7 WaterC'' Data'!$AD$4:$AE$14,2,FALSE)))</f>
        <v/>
      </c>
      <c r="Q150" s="369" t="str">
        <f>IF(D150="","",VLOOKUP(D150,'G-7 WaterC'' Data'!$B$2:$G$8,6,FALSE))</f>
        <v/>
      </c>
      <c r="R150" s="376" t="str">
        <f>IFERROR(IF(D150="","",IF(AND(Q150='G-1 All Habitats'!$X$3,U150&gt;0),V150+W150,IF(AND(Q150='G-1 All Habitats'!$X$3,T150&gt;0),V150+W150,IF(AND(Q150='G-1 All Habitats'!$X$3,AD150&gt;0),"Any Loss Unacceptable ⚠",IF(AND(Q150='G-1 All Habitats'!$X$3,AE150&gt;0),"Any Loss Unacceptable ⚠", E150*G150*I150*L150*N150*P150 ))))),"Check Data ▲")</f>
        <v/>
      </c>
      <c r="S150" s="32"/>
      <c r="T150" s="114"/>
      <c r="U150" s="125"/>
      <c r="V150" s="374" t="str">
        <f t="shared" si="14"/>
        <v/>
      </c>
      <c r="W150" s="374" t="str">
        <f t="shared" si="15"/>
        <v/>
      </c>
      <c r="X150" s="374" t="str">
        <f t="shared" si="16"/>
        <v/>
      </c>
      <c r="Y150" s="670" t="str">
        <f t="shared" si="17"/>
        <v/>
      </c>
      <c r="Z150" s="706"/>
      <c r="AA150" s="704"/>
      <c r="AB150" s="120"/>
      <c r="AC150" s="120"/>
      <c r="AD150" s="57" t="str">
        <f>IF(Q150="","",IF(Q150='G-1 All Habitats'!$X$3,E150-T150-U150,"None"))</f>
        <v/>
      </c>
      <c r="AE150" s="58" t="str">
        <f>IF(Q150="","", IF(Q150='G-1 All Habitats'!$X$3, AD150*G150*I150*L150*N150*P150,"None"))</f>
        <v/>
      </c>
      <c r="AH150" s="30">
        <f t="shared" si="18"/>
        <v>0</v>
      </c>
      <c r="AI150" s="124" t="str">
        <f t="shared" si="19"/>
        <v/>
      </c>
      <c r="AJ150" s="124" t="str">
        <f t="shared" si="20"/>
        <v/>
      </c>
      <c r="AL150" s="124">
        <v>141</v>
      </c>
      <c r="AN150" s="124" t="str">
        <f t="array" ref="AN150">IFERROR(INDEX($AL$10:$AL$258, MATCH(0, IF(TRUE=$AI$10:$AI$258, COUNTIF($AN$9:$AN149, $AL$10:$AL$258), ""), 0)),"")</f>
        <v/>
      </c>
      <c r="AO150" s="124" t="str">
        <f t="array" ref="AO150">IFERROR(INDEX($AL$10:$AL$258, MATCH(0, IF(TRUE=$AJ$10:$AJ$258, COUNTIF($AO$9:$AO149, $AL$10:$AL$258), ""), 0)),"")</f>
        <v/>
      </c>
      <c r="AQ150" s="30" t="str">
        <f>IFERROR(INDEX('G-7 WaterC'' Data'!$AZ$3:$AZ$7,MATCH(D150,'G-7 WaterC'' Data'!$AY$3:$AY$7,0)),"")</f>
        <v/>
      </c>
      <c r="AR150" s="30" t="str">
        <f>IFERROR(INDEX('G-7 WaterC'' Data'!AZ150:AZ154,MATCH(D150,'G-7 WaterC'' Data'!$AY$10:$AY$14,0)),"")</f>
        <v/>
      </c>
    </row>
    <row r="151" spans="3:44" ht="15">
      <c r="C151" s="110">
        <v>142</v>
      </c>
      <c r="D151" s="338"/>
      <c r="E151" s="139"/>
      <c r="F151" s="362" t="str">
        <f>IF(D151="","",VLOOKUP(D151,'G-7 WaterC'' Data'!$B$2:$G$8,2,FALSE))</f>
        <v/>
      </c>
      <c r="G151" s="363" t="str">
        <f>IFERROR(VLOOKUP(F151,'G-7 WaterC'' Data'!$C$4:$D$8,2,FALSE),"")</f>
        <v/>
      </c>
      <c r="H151" s="114"/>
      <c r="I151" s="363" t="str">
        <f>IFERROR(INDEX('G-7 WaterC'' Data'!$H$4:$L$8,MATCH(D151,'G-7 WaterC'' Data'!$B$4:$B$8,0),MATCH(H151,'G-7 WaterC'' Data'!$H$3:$L$3,0)),"")</f>
        <v/>
      </c>
      <c r="J151" s="320"/>
      <c r="K151" s="398" t="str">
        <f>IF(J151="","",IF(VLOOKUP(J151,'G-7 WaterC'' Data'!$AK$4:$AM$6,2,FALSE)=0,"Spatial Data Missing ⚠",VLOOKUP(J151,'G-7 WaterC'' Data'!$AK$4:$AM$6,2,FALSE)))</f>
        <v/>
      </c>
      <c r="L151" s="368" t="str">
        <f>IF(J151="","",IF(VLOOKUP(J151,'G-7 WaterC'' Data'!$AK$4:$AM$9,3,FALSE)=0,"Spatial Data Missing ⚠",VLOOKUP(J151,'G-7 WaterC'' Data'!$AK$4:$AM$6,3,FALSE)))</f>
        <v/>
      </c>
      <c r="M151" s="54"/>
      <c r="N151" s="363" t="str">
        <f>IF(M151="","",IF(VLOOKUP(M151,'G-7 WaterC'' Data'!$AA$4:$AB$7,2,FALSE)=0,"Spatial Data Missing ⚠",VLOOKUP(M151,'G-7 WaterC'' Data'!$AA$4:$AB$7,2,FALSE)))</f>
        <v/>
      </c>
      <c r="O151" s="60"/>
      <c r="P151" s="363" t="str">
        <f>IF(O151="","",IF(VLOOKUP(O151,'G-7 WaterC'' Data'!$AD$4:$AE$14,2,FALSE)=0,"Spatial Data Missing ⚠",VLOOKUP(O151,'G-7 WaterC'' Data'!$AD$4:$AE$14,2,FALSE)))</f>
        <v/>
      </c>
      <c r="Q151" s="369" t="str">
        <f>IF(D151="","",VLOOKUP(D151,'G-7 WaterC'' Data'!$B$2:$G$8,6,FALSE))</f>
        <v/>
      </c>
      <c r="R151" s="376" t="str">
        <f>IFERROR(IF(D151="","",IF(AND(Q151='G-1 All Habitats'!$X$3,U151&gt;0),V151+W151,IF(AND(Q151='G-1 All Habitats'!$X$3,T151&gt;0),V151+W151,IF(AND(Q151='G-1 All Habitats'!$X$3,AD151&gt;0),"Any Loss Unacceptable ⚠",IF(AND(Q151='G-1 All Habitats'!$X$3,AE151&gt;0),"Any Loss Unacceptable ⚠", E151*G151*I151*L151*N151*P151 ))))),"Check Data ▲")</f>
        <v/>
      </c>
      <c r="S151" s="32"/>
      <c r="T151" s="114"/>
      <c r="U151" s="125"/>
      <c r="V151" s="374" t="str">
        <f t="shared" si="14"/>
        <v/>
      </c>
      <c r="W151" s="374" t="str">
        <f t="shared" si="15"/>
        <v/>
      </c>
      <c r="X151" s="374" t="str">
        <f t="shared" si="16"/>
        <v/>
      </c>
      <c r="Y151" s="670" t="str">
        <f t="shared" si="17"/>
        <v/>
      </c>
      <c r="Z151" s="706"/>
      <c r="AA151" s="704"/>
      <c r="AB151" s="120"/>
      <c r="AC151" s="120"/>
      <c r="AD151" s="57" t="str">
        <f>IF(Q151="","",IF(Q151='G-1 All Habitats'!$X$3,E151-T151-U151,"None"))</f>
        <v/>
      </c>
      <c r="AE151" s="58" t="str">
        <f>IF(Q151="","", IF(Q151='G-1 All Habitats'!$X$3, AD151*G151*I151*L151*N151*P151,"None"))</f>
        <v/>
      </c>
      <c r="AH151" s="30">
        <f t="shared" si="18"/>
        <v>0</v>
      </c>
      <c r="AI151" s="124" t="str">
        <f t="shared" si="19"/>
        <v/>
      </c>
      <c r="AJ151" s="124" t="str">
        <f t="shared" si="20"/>
        <v/>
      </c>
      <c r="AL151" s="124">
        <v>142</v>
      </c>
      <c r="AN151" s="124" t="str">
        <f t="array" ref="AN151">IFERROR(INDEX($AL$10:$AL$258, MATCH(0, IF(TRUE=$AI$10:$AI$258, COUNTIF($AN$9:$AN150, $AL$10:$AL$258), ""), 0)),"")</f>
        <v/>
      </c>
      <c r="AO151" s="124" t="str">
        <f t="array" ref="AO151">IFERROR(INDEX($AL$10:$AL$258, MATCH(0, IF(TRUE=$AJ$10:$AJ$258, COUNTIF($AO$9:$AO150, $AL$10:$AL$258), ""), 0)),"")</f>
        <v/>
      </c>
      <c r="AQ151" s="30" t="str">
        <f>IFERROR(INDEX('G-7 WaterC'' Data'!$AZ$3:$AZ$7,MATCH(D151,'G-7 WaterC'' Data'!$AY$3:$AY$7,0)),"")</f>
        <v/>
      </c>
      <c r="AR151" s="30" t="str">
        <f>IFERROR(INDEX('G-7 WaterC'' Data'!AZ151:AZ155,MATCH(D151,'G-7 WaterC'' Data'!$AY$10:$AY$14,0)),"")</f>
        <v/>
      </c>
    </row>
    <row r="152" spans="3:44" ht="15">
      <c r="C152" s="110">
        <v>143</v>
      </c>
      <c r="D152" s="338"/>
      <c r="E152" s="139"/>
      <c r="F152" s="362" t="str">
        <f>IF(D152="","",VLOOKUP(D152,'G-7 WaterC'' Data'!$B$2:$G$8,2,FALSE))</f>
        <v/>
      </c>
      <c r="G152" s="363" t="str">
        <f>IFERROR(VLOOKUP(F152,'G-7 WaterC'' Data'!$C$4:$D$8,2,FALSE),"")</f>
        <v/>
      </c>
      <c r="H152" s="114"/>
      <c r="I152" s="363" t="str">
        <f>IFERROR(INDEX('G-7 WaterC'' Data'!$H$4:$L$8,MATCH(D152,'G-7 WaterC'' Data'!$B$4:$B$8,0),MATCH(H152,'G-7 WaterC'' Data'!$H$3:$L$3,0)),"")</f>
        <v/>
      </c>
      <c r="J152" s="320"/>
      <c r="K152" s="398" t="str">
        <f>IF(J152="","",IF(VLOOKUP(J152,'G-7 WaterC'' Data'!$AK$4:$AM$6,2,FALSE)=0,"Spatial Data Missing ⚠",VLOOKUP(J152,'G-7 WaterC'' Data'!$AK$4:$AM$6,2,FALSE)))</f>
        <v/>
      </c>
      <c r="L152" s="368" t="str">
        <f>IF(J152="","",IF(VLOOKUP(J152,'G-7 WaterC'' Data'!$AK$4:$AM$9,3,FALSE)=0,"Spatial Data Missing ⚠",VLOOKUP(J152,'G-7 WaterC'' Data'!$AK$4:$AM$6,3,FALSE)))</f>
        <v/>
      </c>
      <c r="M152" s="54"/>
      <c r="N152" s="363" t="str">
        <f>IF(M152="","",IF(VLOOKUP(M152,'G-7 WaterC'' Data'!$AA$4:$AB$7,2,FALSE)=0,"Spatial Data Missing ⚠",VLOOKUP(M152,'G-7 WaterC'' Data'!$AA$4:$AB$7,2,FALSE)))</f>
        <v/>
      </c>
      <c r="O152" s="60"/>
      <c r="P152" s="363" t="str">
        <f>IF(O152="","",IF(VLOOKUP(O152,'G-7 WaterC'' Data'!$AD$4:$AE$14,2,FALSE)=0,"Spatial Data Missing ⚠",VLOOKUP(O152,'G-7 WaterC'' Data'!$AD$4:$AE$14,2,FALSE)))</f>
        <v/>
      </c>
      <c r="Q152" s="369" t="str">
        <f>IF(D152="","",VLOOKUP(D152,'G-7 WaterC'' Data'!$B$2:$G$8,6,FALSE))</f>
        <v/>
      </c>
      <c r="R152" s="376" t="str">
        <f>IFERROR(IF(D152="","",IF(AND(Q152='G-1 All Habitats'!$X$3,U152&gt;0),V152+W152,IF(AND(Q152='G-1 All Habitats'!$X$3,T152&gt;0),V152+W152,IF(AND(Q152='G-1 All Habitats'!$X$3,AD152&gt;0),"Any Loss Unacceptable ⚠",IF(AND(Q152='G-1 All Habitats'!$X$3,AE152&gt;0),"Any Loss Unacceptable ⚠", E152*G152*I152*L152*N152*P152 ))))),"Check Data ▲")</f>
        <v/>
      </c>
      <c r="S152" s="32"/>
      <c r="T152" s="114"/>
      <c r="U152" s="125"/>
      <c r="V152" s="374" t="str">
        <f t="shared" si="14"/>
        <v/>
      </c>
      <c r="W152" s="374" t="str">
        <f t="shared" si="15"/>
        <v/>
      </c>
      <c r="X152" s="374" t="str">
        <f t="shared" si="16"/>
        <v/>
      </c>
      <c r="Y152" s="670" t="str">
        <f t="shared" si="17"/>
        <v/>
      </c>
      <c r="Z152" s="706"/>
      <c r="AA152" s="704"/>
      <c r="AB152" s="120"/>
      <c r="AC152" s="120"/>
      <c r="AD152" s="57" t="str">
        <f>IF(Q152="","",IF(Q152='G-1 All Habitats'!$X$3,E152-T152-U152,"None"))</f>
        <v/>
      </c>
      <c r="AE152" s="58" t="str">
        <f>IF(Q152="","", IF(Q152='G-1 All Habitats'!$X$3, AD152*G152*I152*L152*N152*P152,"None"))</f>
        <v/>
      </c>
      <c r="AH152" s="30">
        <f t="shared" si="18"/>
        <v>0</v>
      </c>
      <c r="AI152" s="124" t="str">
        <f t="shared" si="19"/>
        <v/>
      </c>
      <c r="AJ152" s="124" t="str">
        <f t="shared" si="20"/>
        <v/>
      </c>
      <c r="AL152" s="124">
        <v>143</v>
      </c>
      <c r="AN152" s="124" t="str">
        <f t="array" ref="AN152">IFERROR(INDEX($AL$10:$AL$258, MATCH(0, IF(TRUE=$AI$10:$AI$258, COUNTIF($AN$9:$AN151, $AL$10:$AL$258), ""), 0)),"")</f>
        <v/>
      </c>
      <c r="AO152" s="124" t="str">
        <f t="array" ref="AO152">IFERROR(INDEX($AL$10:$AL$258, MATCH(0, IF(TRUE=$AJ$10:$AJ$258, COUNTIF($AO$9:$AO151, $AL$10:$AL$258), ""), 0)),"")</f>
        <v/>
      </c>
      <c r="AQ152" s="30" t="str">
        <f>IFERROR(INDEX('G-7 WaterC'' Data'!$AZ$3:$AZ$7,MATCH(D152,'G-7 WaterC'' Data'!$AY$3:$AY$7,0)),"")</f>
        <v/>
      </c>
      <c r="AR152" s="30" t="str">
        <f>IFERROR(INDEX('G-7 WaterC'' Data'!AZ152:AZ156,MATCH(D152,'G-7 WaterC'' Data'!$AY$10:$AY$14,0)),"")</f>
        <v/>
      </c>
    </row>
    <row r="153" spans="3:44" ht="15">
      <c r="C153" s="110">
        <v>144</v>
      </c>
      <c r="D153" s="338"/>
      <c r="E153" s="139"/>
      <c r="F153" s="362" t="str">
        <f>IF(D153="","",VLOOKUP(D153,'G-7 WaterC'' Data'!$B$2:$G$8,2,FALSE))</f>
        <v/>
      </c>
      <c r="G153" s="363" t="str">
        <f>IFERROR(VLOOKUP(F153,'G-7 WaterC'' Data'!$C$4:$D$8,2,FALSE),"")</f>
        <v/>
      </c>
      <c r="H153" s="114"/>
      <c r="I153" s="363" t="str">
        <f>IFERROR(INDEX('G-7 WaterC'' Data'!$H$4:$L$8,MATCH(D153,'G-7 WaterC'' Data'!$B$4:$B$8,0),MATCH(H153,'G-7 WaterC'' Data'!$H$3:$L$3,0)),"")</f>
        <v/>
      </c>
      <c r="J153" s="320"/>
      <c r="K153" s="398" t="str">
        <f>IF(J153="","",IF(VLOOKUP(J153,'G-7 WaterC'' Data'!$AK$4:$AM$6,2,FALSE)=0,"Spatial Data Missing ⚠",VLOOKUP(J153,'G-7 WaterC'' Data'!$AK$4:$AM$6,2,FALSE)))</f>
        <v/>
      </c>
      <c r="L153" s="368" t="str">
        <f>IF(J153="","",IF(VLOOKUP(J153,'G-7 WaterC'' Data'!$AK$4:$AM$9,3,FALSE)=0,"Spatial Data Missing ⚠",VLOOKUP(J153,'G-7 WaterC'' Data'!$AK$4:$AM$6,3,FALSE)))</f>
        <v/>
      </c>
      <c r="M153" s="54"/>
      <c r="N153" s="363" t="str">
        <f>IF(M153="","",IF(VLOOKUP(M153,'G-7 WaterC'' Data'!$AA$4:$AB$7,2,FALSE)=0,"Spatial Data Missing ⚠",VLOOKUP(M153,'G-7 WaterC'' Data'!$AA$4:$AB$7,2,FALSE)))</f>
        <v/>
      </c>
      <c r="O153" s="60"/>
      <c r="P153" s="363" t="str">
        <f>IF(O153="","",IF(VLOOKUP(O153,'G-7 WaterC'' Data'!$AD$4:$AE$14,2,FALSE)=0,"Spatial Data Missing ⚠",VLOOKUP(O153,'G-7 WaterC'' Data'!$AD$4:$AE$14,2,FALSE)))</f>
        <v/>
      </c>
      <c r="Q153" s="369" t="str">
        <f>IF(D153="","",VLOOKUP(D153,'G-7 WaterC'' Data'!$B$2:$G$8,6,FALSE))</f>
        <v/>
      </c>
      <c r="R153" s="376" t="str">
        <f>IFERROR(IF(D153="","",IF(AND(Q153='G-1 All Habitats'!$X$3,U153&gt;0),V153+W153,IF(AND(Q153='G-1 All Habitats'!$X$3,T153&gt;0),V153+W153,IF(AND(Q153='G-1 All Habitats'!$X$3,AD153&gt;0),"Any Loss Unacceptable ⚠",IF(AND(Q153='G-1 All Habitats'!$X$3,AE153&gt;0),"Any Loss Unacceptable ⚠", E153*G153*I153*L153*N153*P153 ))))),"Check Data ▲")</f>
        <v/>
      </c>
      <c r="S153" s="32"/>
      <c r="T153" s="114"/>
      <c r="U153" s="125"/>
      <c r="V153" s="374" t="str">
        <f t="shared" si="14"/>
        <v/>
      </c>
      <c r="W153" s="374" t="str">
        <f t="shared" si="15"/>
        <v/>
      </c>
      <c r="X153" s="374" t="str">
        <f t="shared" si="16"/>
        <v/>
      </c>
      <c r="Y153" s="670" t="str">
        <f t="shared" si="17"/>
        <v/>
      </c>
      <c r="Z153" s="706"/>
      <c r="AA153" s="704"/>
      <c r="AB153" s="120"/>
      <c r="AC153" s="120"/>
      <c r="AD153" s="57" t="str">
        <f>IF(Q153="","",IF(Q153='G-1 All Habitats'!$X$3,E153-T153-U153,"None"))</f>
        <v/>
      </c>
      <c r="AE153" s="58" t="str">
        <f>IF(Q153="","", IF(Q153='G-1 All Habitats'!$X$3, AD153*G153*I153*L153*N153*P153,"None"))</f>
        <v/>
      </c>
      <c r="AH153" s="30">
        <f t="shared" si="18"/>
        <v>0</v>
      </c>
      <c r="AI153" s="124" t="str">
        <f t="shared" si="19"/>
        <v/>
      </c>
      <c r="AJ153" s="124" t="str">
        <f t="shared" si="20"/>
        <v/>
      </c>
      <c r="AL153" s="124">
        <v>144</v>
      </c>
      <c r="AN153" s="124" t="str">
        <f t="array" ref="AN153">IFERROR(INDEX($AL$10:$AL$258, MATCH(0, IF(TRUE=$AI$10:$AI$258, COUNTIF($AN$9:$AN152, $AL$10:$AL$258), ""), 0)),"")</f>
        <v/>
      </c>
      <c r="AO153" s="124" t="str">
        <f t="array" ref="AO153">IFERROR(INDEX($AL$10:$AL$258, MATCH(0, IF(TRUE=$AJ$10:$AJ$258, COUNTIF($AO$9:$AO152, $AL$10:$AL$258), ""), 0)),"")</f>
        <v/>
      </c>
      <c r="AQ153" s="30" t="str">
        <f>IFERROR(INDEX('G-7 WaterC'' Data'!$AZ$3:$AZ$7,MATCH(D153,'G-7 WaterC'' Data'!$AY$3:$AY$7,0)),"")</f>
        <v/>
      </c>
      <c r="AR153" s="30" t="str">
        <f>IFERROR(INDEX('G-7 WaterC'' Data'!AZ153:AZ157,MATCH(D153,'G-7 WaterC'' Data'!$AY$10:$AY$14,0)),"")</f>
        <v/>
      </c>
    </row>
    <row r="154" spans="3:44" ht="15">
      <c r="C154" s="110">
        <v>145</v>
      </c>
      <c r="D154" s="338"/>
      <c r="E154" s="139"/>
      <c r="F154" s="362" t="str">
        <f>IF(D154="","",VLOOKUP(D154,'G-7 WaterC'' Data'!$B$2:$G$8,2,FALSE))</f>
        <v/>
      </c>
      <c r="G154" s="363" t="str">
        <f>IFERROR(VLOOKUP(F154,'G-7 WaterC'' Data'!$C$4:$D$8,2,FALSE),"")</f>
        <v/>
      </c>
      <c r="H154" s="114"/>
      <c r="I154" s="363" t="str">
        <f>IFERROR(INDEX('G-7 WaterC'' Data'!$H$4:$L$8,MATCH(D154,'G-7 WaterC'' Data'!$B$4:$B$8,0),MATCH(H154,'G-7 WaterC'' Data'!$H$3:$L$3,0)),"")</f>
        <v/>
      </c>
      <c r="J154" s="320"/>
      <c r="K154" s="398" t="str">
        <f>IF(J154="","",IF(VLOOKUP(J154,'G-7 WaterC'' Data'!$AK$4:$AM$6,2,FALSE)=0,"Spatial Data Missing ⚠",VLOOKUP(J154,'G-7 WaterC'' Data'!$AK$4:$AM$6,2,FALSE)))</f>
        <v/>
      </c>
      <c r="L154" s="368" t="str">
        <f>IF(J154="","",IF(VLOOKUP(J154,'G-7 WaterC'' Data'!$AK$4:$AM$9,3,FALSE)=0,"Spatial Data Missing ⚠",VLOOKUP(J154,'G-7 WaterC'' Data'!$AK$4:$AM$6,3,FALSE)))</f>
        <v/>
      </c>
      <c r="M154" s="54"/>
      <c r="N154" s="363" t="str">
        <f>IF(M154="","",IF(VLOOKUP(M154,'G-7 WaterC'' Data'!$AA$4:$AB$7,2,FALSE)=0,"Spatial Data Missing ⚠",VLOOKUP(M154,'G-7 WaterC'' Data'!$AA$4:$AB$7,2,FALSE)))</f>
        <v/>
      </c>
      <c r="O154" s="60"/>
      <c r="P154" s="363" t="str">
        <f>IF(O154="","",IF(VLOOKUP(O154,'G-7 WaterC'' Data'!$AD$4:$AE$14,2,FALSE)=0,"Spatial Data Missing ⚠",VLOOKUP(O154,'G-7 WaterC'' Data'!$AD$4:$AE$14,2,FALSE)))</f>
        <v/>
      </c>
      <c r="Q154" s="369" t="str">
        <f>IF(D154="","",VLOOKUP(D154,'G-7 WaterC'' Data'!$B$2:$G$8,6,FALSE))</f>
        <v/>
      </c>
      <c r="R154" s="376" t="str">
        <f>IFERROR(IF(D154="","",IF(AND(Q154='G-1 All Habitats'!$X$3,U154&gt;0),V154+W154,IF(AND(Q154='G-1 All Habitats'!$X$3,T154&gt;0),V154+W154,IF(AND(Q154='G-1 All Habitats'!$X$3,AD154&gt;0),"Any Loss Unacceptable ⚠",IF(AND(Q154='G-1 All Habitats'!$X$3,AE154&gt;0),"Any Loss Unacceptable ⚠", E154*G154*I154*L154*N154*P154 ))))),"Check Data ▲")</f>
        <v/>
      </c>
      <c r="S154" s="32"/>
      <c r="T154" s="114"/>
      <c r="U154" s="125"/>
      <c r="V154" s="374" t="str">
        <f t="shared" si="14"/>
        <v/>
      </c>
      <c r="W154" s="374" t="str">
        <f t="shared" si="15"/>
        <v/>
      </c>
      <c r="X154" s="374" t="str">
        <f t="shared" si="16"/>
        <v/>
      </c>
      <c r="Y154" s="670" t="str">
        <f t="shared" si="17"/>
        <v/>
      </c>
      <c r="Z154" s="706"/>
      <c r="AA154" s="704"/>
      <c r="AB154" s="120"/>
      <c r="AC154" s="120"/>
      <c r="AD154" s="57" t="str">
        <f>IF(Q154="","",IF(Q154='G-1 All Habitats'!$X$3,E154-T154-U154,"None"))</f>
        <v/>
      </c>
      <c r="AE154" s="58" t="str">
        <f>IF(Q154="","", IF(Q154='G-1 All Habitats'!$X$3, AD154*G154*I154*L154*N154*P154,"None"))</f>
        <v/>
      </c>
      <c r="AH154" s="30">
        <f t="shared" si="18"/>
        <v>0</v>
      </c>
      <c r="AI154" s="124" t="str">
        <f t="shared" si="19"/>
        <v/>
      </c>
      <c r="AJ154" s="124" t="str">
        <f t="shared" si="20"/>
        <v/>
      </c>
      <c r="AL154" s="124">
        <v>145</v>
      </c>
      <c r="AN154" s="124" t="str">
        <f t="array" ref="AN154">IFERROR(INDEX($AL$10:$AL$258, MATCH(0, IF(TRUE=$AI$10:$AI$258, COUNTIF($AN$9:$AN153, $AL$10:$AL$258), ""), 0)),"")</f>
        <v/>
      </c>
      <c r="AO154" s="124" t="str">
        <f t="array" ref="AO154">IFERROR(INDEX($AL$10:$AL$258, MATCH(0, IF(TRUE=$AJ$10:$AJ$258, COUNTIF($AO$9:$AO153, $AL$10:$AL$258), ""), 0)),"")</f>
        <v/>
      </c>
      <c r="AQ154" s="30" t="str">
        <f>IFERROR(INDEX('G-7 WaterC'' Data'!$AZ$3:$AZ$7,MATCH(D154,'G-7 WaterC'' Data'!$AY$3:$AY$7,0)),"")</f>
        <v/>
      </c>
      <c r="AR154" s="30" t="str">
        <f>IFERROR(INDEX('G-7 WaterC'' Data'!AZ154:AZ158,MATCH(D154,'G-7 WaterC'' Data'!$AY$10:$AY$14,0)),"")</f>
        <v/>
      </c>
    </row>
    <row r="155" spans="3:44" ht="15">
      <c r="C155" s="110">
        <v>146</v>
      </c>
      <c r="D155" s="338"/>
      <c r="E155" s="139"/>
      <c r="F155" s="362" t="str">
        <f>IF(D155="","",VLOOKUP(D155,'G-7 WaterC'' Data'!$B$2:$G$8,2,FALSE))</f>
        <v/>
      </c>
      <c r="G155" s="363" t="str">
        <f>IFERROR(VLOOKUP(F155,'G-7 WaterC'' Data'!$C$4:$D$8,2,FALSE),"")</f>
        <v/>
      </c>
      <c r="H155" s="114"/>
      <c r="I155" s="363" t="str">
        <f>IFERROR(INDEX('G-7 WaterC'' Data'!$H$4:$L$8,MATCH(D155,'G-7 WaterC'' Data'!$B$4:$B$8,0),MATCH(H155,'G-7 WaterC'' Data'!$H$3:$L$3,0)),"")</f>
        <v/>
      </c>
      <c r="J155" s="320"/>
      <c r="K155" s="398" t="str">
        <f>IF(J155="","",IF(VLOOKUP(J155,'G-7 WaterC'' Data'!$AK$4:$AM$6,2,FALSE)=0,"Spatial Data Missing ⚠",VLOOKUP(J155,'G-7 WaterC'' Data'!$AK$4:$AM$6,2,FALSE)))</f>
        <v/>
      </c>
      <c r="L155" s="368" t="str">
        <f>IF(J155="","",IF(VLOOKUP(J155,'G-7 WaterC'' Data'!$AK$4:$AM$9,3,FALSE)=0,"Spatial Data Missing ⚠",VLOOKUP(J155,'G-7 WaterC'' Data'!$AK$4:$AM$6,3,FALSE)))</f>
        <v/>
      </c>
      <c r="M155" s="54"/>
      <c r="N155" s="363" t="str">
        <f>IF(M155="","",IF(VLOOKUP(M155,'G-7 WaterC'' Data'!$AA$4:$AB$7,2,FALSE)=0,"Spatial Data Missing ⚠",VLOOKUP(M155,'G-7 WaterC'' Data'!$AA$4:$AB$7,2,FALSE)))</f>
        <v/>
      </c>
      <c r="O155" s="60"/>
      <c r="P155" s="363" t="str">
        <f>IF(O155="","",IF(VLOOKUP(O155,'G-7 WaterC'' Data'!$AD$4:$AE$14,2,FALSE)=0,"Spatial Data Missing ⚠",VLOOKUP(O155,'G-7 WaterC'' Data'!$AD$4:$AE$14,2,FALSE)))</f>
        <v/>
      </c>
      <c r="Q155" s="369" t="str">
        <f>IF(D155="","",VLOOKUP(D155,'G-7 WaterC'' Data'!$B$2:$G$8,6,FALSE))</f>
        <v/>
      </c>
      <c r="R155" s="376" t="str">
        <f>IFERROR(IF(D155="","",IF(AND(Q155='G-1 All Habitats'!$X$3,U155&gt;0),V155+W155,IF(AND(Q155='G-1 All Habitats'!$X$3,T155&gt;0),V155+W155,IF(AND(Q155='G-1 All Habitats'!$X$3,AD155&gt;0),"Any Loss Unacceptable ⚠",IF(AND(Q155='G-1 All Habitats'!$X$3,AE155&gt;0),"Any Loss Unacceptable ⚠", E155*G155*I155*L155*N155*P155 ))))),"Check Data ▲")</f>
        <v/>
      </c>
      <c r="S155" s="32"/>
      <c r="T155" s="114"/>
      <c r="U155" s="125"/>
      <c r="V155" s="374" t="str">
        <f t="shared" si="14"/>
        <v/>
      </c>
      <c r="W155" s="374" t="str">
        <f t="shared" si="15"/>
        <v/>
      </c>
      <c r="X155" s="374" t="str">
        <f t="shared" si="16"/>
        <v/>
      </c>
      <c r="Y155" s="670" t="str">
        <f t="shared" si="17"/>
        <v/>
      </c>
      <c r="Z155" s="706"/>
      <c r="AA155" s="704"/>
      <c r="AB155" s="120"/>
      <c r="AC155" s="120"/>
      <c r="AD155" s="57" t="str">
        <f>IF(Q155="","",IF(Q155='G-1 All Habitats'!$X$3,E155-T155-U155,"None"))</f>
        <v/>
      </c>
      <c r="AE155" s="58" t="str">
        <f>IF(Q155="","", IF(Q155='G-1 All Habitats'!$X$3, AD155*G155*I155*L155*N155*P155,"None"))</f>
        <v/>
      </c>
      <c r="AH155" s="30">
        <f t="shared" si="18"/>
        <v>0</v>
      </c>
      <c r="AI155" s="124" t="str">
        <f t="shared" si="19"/>
        <v/>
      </c>
      <c r="AJ155" s="124" t="str">
        <f t="shared" si="20"/>
        <v/>
      </c>
      <c r="AL155" s="124">
        <v>146</v>
      </c>
      <c r="AN155" s="124" t="str">
        <f t="array" ref="AN155">IFERROR(INDEX($AL$10:$AL$258, MATCH(0, IF(TRUE=$AI$10:$AI$258, COUNTIF($AN$9:$AN154, $AL$10:$AL$258), ""), 0)),"")</f>
        <v/>
      </c>
      <c r="AO155" s="124" t="str">
        <f t="array" ref="AO155">IFERROR(INDEX($AL$10:$AL$258, MATCH(0, IF(TRUE=$AJ$10:$AJ$258, COUNTIF($AO$9:$AO154, $AL$10:$AL$258), ""), 0)),"")</f>
        <v/>
      </c>
      <c r="AQ155" s="30" t="str">
        <f>IFERROR(INDEX('G-7 WaterC'' Data'!$AZ$3:$AZ$7,MATCH(D155,'G-7 WaterC'' Data'!$AY$3:$AY$7,0)),"")</f>
        <v/>
      </c>
      <c r="AR155" s="30" t="str">
        <f>IFERROR(INDEX('G-7 WaterC'' Data'!AZ155:AZ159,MATCH(D155,'G-7 WaterC'' Data'!$AY$10:$AY$14,0)),"")</f>
        <v/>
      </c>
    </row>
    <row r="156" spans="3:44" ht="15">
      <c r="C156" s="110">
        <v>147</v>
      </c>
      <c r="D156" s="338"/>
      <c r="E156" s="139"/>
      <c r="F156" s="362" t="str">
        <f>IF(D156="","",VLOOKUP(D156,'G-7 WaterC'' Data'!$B$2:$G$8,2,FALSE))</f>
        <v/>
      </c>
      <c r="G156" s="363" t="str">
        <f>IFERROR(VLOOKUP(F156,'G-7 WaterC'' Data'!$C$4:$D$8,2,FALSE),"")</f>
        <v/>
      </c>
      <c r="H156" s="114"/>
      <c r="I156" s="363" t="str">
        <f>IFERROR(INDEX('G-7 WaterC'' Data'!$H$4:$L$8,MATCH(D156,'G-7 WaterC'' Data'!$B$4:$B$8,0),MATCH(H156,'G-7 WaterC'' Data'!$H$3:$L$3,0)),"")</f>
        <v/>
      </c>
      <c r="J156" s="320"/>
      <c r="K156" s="398" t="str">
        <f>IF(J156="","",IF(VLOOKUP(J156,'G-7 WaterC'' Data'!$AK$4:$AM$6,2,FALSE)=0,"Spatial Data Missing ⚠",VLOOKUP(J156,'G-7 WaterC'' Data'!$AK$4:$AM$6,2,FALSE)))</f>
        <v/>
      </c>
      <c r="L156" s="368" t="str">
        <f>IF(J156="","",IF(VLOOKUP(J156,'G-7 WaterC'' Data'!$AK$4:$AM$9,3,FALSE)=0,"Spatial Data Missing ⚠",VLOOKUP(J156,'G-7 WaterC'' Data'!$AK$4:$AM$6,3,FALSE)))</f>
        <v/>
      </c>
      <c r="M156" s="54"/>
      <c r="N156" s="363" t="str">
        <f>IF(M156="","",IF(VLOOKUP(M156,'G-7 WaterC'' Data'!$AA$4:$AB$7,2,FALSE)=0,"Spatial Data Missing ⚠",VLOOKUP(M156,'G-7 WaterC'' Data'!$AA$4:$AB$7,2,FALSE)))</f>
        <v/>
      </c>
      <c r="O156" s="60"/>
      <c r="P156" s="363" t="str">
        <f>IF(O156="","",IF(VLOOKUP(O156,'G-7 WaterC'' Data'!$AD$4:$AE$14,2,FALSE)=0,"Spatial Data Missing ⚠",VLOOKUP(O156,'G-7 WaterC'' Data'!$AD$4:$AE$14,2,FALSE)))</f>
        <v/>
      </c>
      <c r="Q156" s="369" t="str">
        <f>IF(D156="","",VLOOKUP(D156,'G-7 WaterC'' Data'!$B$2:$G$8,6,FALSE))</f>
        <v/>
      </c>
      <c r="R156" s="376" t="str">
        <f>IFERROR(IF(D156="","",IF(AND(Q156='G-1 All Habitats'!$X$3,U156&gt;0),V156+W156,IF(AND(Q156='G-1 All Habitats'!$X$3,T156&gt;0),V156+W156,IF(AND(Q156='G-1 All Habitats'!$X$3,AD156&gt;0),"Any Loss Unacceptable ⚠",IF(AND(Q156='G-1 All Habitats'!$X$3,AE156&gt;0),"Any Loss Unacceptable ⚠", E156*G156*I156*L156*N156*P156 ))))),"Check Data ▲")</f>
        <v/>
      </c>
      <c r="S156" s="32"/>
      <c r="T156" s="114"/>
      <c r="U156" s="125"/>
      <c r="V156" s="374" t="str">
        <f t="shared" si="14"/>
        <v/>
      </c>
      <c r="W156" s="374" t="str">
        <f t="shared" si="15"/>
        <v/>
      </c>
      <c r="X156" s="374" t="str">
        <f t="shared" si="16"/>
        <v/>
      </c>
      <c r="Y156" s="670" t="str">
        <f t="shared" si="17"/>
        <v/>
      </c>
      <c r="Z156" s="706"/>
      <c r="AA156" s="704"/>
      <c r="AB156" s="120"/>
      <c r="AC156" s="120"/>
      <c r="AD156" s="57" t="str">
        <f>IF(Q156="","",IF(Q156='G-1 All Habitats'!$X$3,E156-T156-U156,"None"))</f>
        <v/>
      </c>
      <c r="AE156" s="58" t="str">
        <f>IF(Q156="","", IF(Q156='G-1 All Habitats'!$X$3, AD156*G156*I156*L156*N156*P156,"None"))</f>
        <v/>
      </c>
      <c r="AH156" s="30">
        <f t="shared" si="18"/>
        <v>0</v>
      </c>
      <c r="AI156" s="124" t="str">
        <f t="shared" si="19"/>
        <v/>
      </c>
      <c r="AJ156" s="124" t="str">
        <f t="shared" si="20"/>
        <v/>
      </c>
      <c r="AL156" s="124">
        <v>147</v>
      </c>
      <c r="AN156" s="124" t="str">
        <f t="array" ref="AN156">IFERROR(INDEX($AL$10:$AL$258, MATCH(0, IF(TRUE=$AI$10:$AI$258, COUNTIF($AN$9:$AN155, $AL$10:$AL$258), ""), 0)),"")</f>
        <v/>
      </c>
      <c r="AO156" s="124" t="str">
        <f t="array" ref="AO156">IFERROR(INDEX($AL$10:$AL$258, MATCH(0, IF(TRUE=$AJ$10:$AJ$258, COUNTIF($AO$9:$AO155, $AL$10:$AL$258), ""), 0)),"")</f>
        <v/>
      </c>
      <c r="AQ156" s="30" t="str">
        <f>IFERROR(INDEX('G-7 WaterC'' Data'!$AZ$3:$AZ$7,MATCH(D156,'G-7 WaterC'' Data'!$AY$3:$AY$7,0)),"")</f>
        <v/>
      </c>
      <c r="AR156" s="30" t="str">
        <f>IFERROR(INDEX('G-7 WaterC'' Data'!AZ156:AZ160,MATCH(D156,'G-7 WaterC'' Data'!$AY$10:$AY$14,0)),"")</f>
        <v/>
      </c>
    </row>
    <row r="157" spans="3:44" ht="15">
      <c r="C157" s="110">
        <v>148</v>
      </c>
      <c r="D157" s="338"/>
      <c r="E157" s="139"/>
      <c r="F157" s="362" t="str">
        <f>IF(D157="","",VLOOKUP(D157,'G-7 WaterC'' Data'!$B$2:$G$8,2,FALSE))</f>
        <v/>
      </c>
      <c r="G157" s="363" t="str">
        <f>IFERROR(VLOOKUP(F157,'G-7 WaterC'' Data'!$C$4:$D$8,2,FALSE),"")</f>
        <v/>
      </c>
      <c r="H157" s="114"/>
      <c r="I157" s="363" t="str">
        <f>IFERROR(INDEX('G-7 WaterC'' Data'!$H$4:$L$8,MATCH(D157,'G-7 WaterC'' Data'!$B$4:$B$8,0),MATCH(H157,'G-7 WaterC'' Data'!$H$3:$L$3,0)),"")</f>
        <v/>
      </c>
      <c r="J157" s="320"/>
      <c r="K157" s="398" t="str">
        <f>IF(J157="","",IF(VLOOKUP(J157,'G-7 WaterC'' Data'!$AK$4:$AM$6,2,FALSE)=0,"Spatial Data Missing ⚠",VLOOKUP(J157,'G-7 WaterC'' Data'!$AK$4:$AM$6,2,FALSE)))</f>
        <v/>
      </c>
      <c r="L157" s="368" t="str">
        <f>IF(J157="","",IF(VLOOKUP(J157,'G-7 WaterC'' Data'!$AK$4:$AM$9,3,FALSE)=0,"Spatial Data Missing ⚠",VLOOKUP(J157,'G-7 WaterC'' Data'!$AK$4:$AM$6,3,FALSE)))</f>
        <v/>
      </c>
      <c r="M157" s="54"/>
      <c r="N157" s="363" t="str">
        <f>IF(M157="","",IF(VLOOKUP(M157,'G-7 WaterC'' Data'!$AA$4:$AB$7,2,FALSE)=0,"Spatial Data Missing ⚠",VLOOKUP(M157,'G-7 WaterC'' Data'!$AA$4:$AB$7,2,FALSE)))</f>
        <v/>
      </c>
      <c r="O157" s="60"/>
      <c r="P157" s="363" t="str">
        <f>IF(O157="","",IF(VLOOKUP(O157,'G-7 WaterC'' Data'!$AD$4:$AE$14,2,FALSE)=0,"Spatial Data Missing ⚠",VLOOKUP(O157,'G-7 WaterC'' Data'!$AD$4:$AE$14,2,FALSE)))</f>
        <v/>
      </c>
      <c r="Q157" s="369" t="str">
        <f>IF(D157="","",VLOOKUP(D157,'G-7 WaterC'' Data'!$B$2:$G$8,6,FALSE))</f>
        <v/>
      </c>
      <c r="R157" s="376" t="str">
        <f>IFERROR(IF(D157="","",IF(AND(Q157='G-1 All Habitats'!$X$3,U157&gt;0),V157+W157,IF(AND(Q157='G-1 All Habitats'!$X$3,T157&gt;0),V157+W157,IF(AND(Q157='G-1 All Habitats'!$X$3,AD157&gt;0),"Any Loss Unacceptable ⚠",IF(AND(Q157='G-1 All Habitats'!$X$3,AE157&gt;0),"Any Loss Unacceptable ⚠", E157*G157*I157*L157*N157*P157 ))))),"Check Data ▲")</f>
        <v/>
      </c>
      <c r="S157" s="32"/>
      <c r="T157" s="114"/>
      <c r="U157" s="125"/>
      <c r="V157" s="374" t="str">
        <f t="shared" si="14"/>
        <v/>
      </c>
      <c r="W157" s="374" t="str">
        <f t="shared" si="15"/>
        <v/>
      </c>
      <c r="X157" s="374" t="str">
        <f t="shared" si="16"/>
        <v/>
      </c>
      <c r="Y157" s="670" t="str">
        <f t="shared" si="17"/>
        <v/>
      </c>
      <c r="Z157" s="706"/>
      <c r="AA157" s="704"/>
      <c r="AB157" s="120"/>
      <c r="AC157" s="120"/>
      <c r="AD157" s="57" t="str">
        <f>IF(Q157="","",IF(Q157='G-1 All Habitats'!$X$3,E157-T157-U157,"None"))</f>
        <v/>
      </c>
      <c r="AE157" s="58" t="str">
        <f>IF(Q157="","", IF(Q157='G-1 All Habitats'!$X$3, AD157*G157*I157*L157*N157*P157,"None"))</f>
        <v/>
      </c>
      <c r="AH157" s="30">
        <f t="shared" si="18"/>
        <v>0</v>
      </c>
      <c r="AI157" s="124" t="str">
        <f t="shared" si="19"/>
        <v/>
      </c>
      <c r="AJ157" s="124" t="str">
        <f t="shared" si="20"/>
        <v/>
      </c>
      <c r="AL157" s="124">
        <v>148</v>
      </c>
      <c r="AN157" s="124" t="str">
        <f t="array" ref="AN157">IFERROR(INDEX($AL$10:$AL$258, MATCH(0, IF(TRUE=$AI$10:$AI$258, COUNTIF($AN$9:$AN156, $AL$10:$AL$258), ""), 0)),"")</f>
        <v/>
      </c>
      <c r="AO157" s="124" t="str">
        <f t="array" ref="AO157">IFERROR(INDEX($AL$10:$AL$258, MATCH(0, IF(TRUE=$AJ$10:$AJ$258, COUNTIF($AO$9:$AO156, $AL$10:$AL$258), ""), 0)),"")</f>
        <v/>
      </c>
      <c r="AQ157" s="30" t="str">
        <f>IFERROR(INDEX('G-7 WaterC'' Data'!$AZ$3:$AZ$7,MATCH(D157,'G-7 WaterC'' Data'!$AY$3:$AY$7,0)),"")</f>
        <v/>
      </c>
      <c r="AR157" s="30" t="str">
        <f>IFERROR(INDEX('G-7 WaterC'' Data'!AZ157:AZ161,MATCH(D157,'G-7 WaterC'' Data'!$AY$10:$AY$14,0)),"")</f>
        <v/>
      </c>
    </row>
    <row r="158" spans="3:44" ht="15">
      <c r="C158" s="110">
        <v>149</v>
      </c>
      <c r="D158" s="338"/>
      <c r="E158" s="139"/>
      <c r="F158" s="362" t="str">
        <f>IF(D158="","",VLOOKUP(D158,'G-7 WaterC'' Data'!$B$2:$G$8,2,FALSE))</f>
        <v/>
      </c>
      <c r="G158" s="363" t="str">
        <f>IFERROR(VLOOKUP(F158,'G-7 WaterC'' Data'!$C$4:$D$8,2,FALSE),"")</f>
        <v/>
      </c>
      <c r="H158" s="114"/>
      <c r="I158" s="363" t="str">
        <f>IFERROR(INDEX('G-7 WaterC'' Data'!$H$4:$L$8,MATCH(D158,'G-7 WaterC'' Data'!$B$4:$B$8,0),MATCH(H158,'G-7 WaterC'' Data'!$H$3:$L$3,0)),"")</f>
        <v/>
      </c>
      <c r="J158" s="320"/>
      <c r="K158" s="398" t="str">
        <f>IF(J158="","",IF(VLOOKUP(J158,'G-7 WaterC'' Data'!$AK$4:$AM$6,2,FALSE)=0,"Spatial Data Missing ⚠",VLOOKUP(J158,'G-7 WaterC'' Data'!$AK$4:$AM$6,2,FALSE)))</f>
        <v/>
      </c>
      <c r="L158" s="368" t="str">
        <f>IF(J158="","",IF(VLOOKUP(J158,'G-7 WaterC'' Data'!$AK$4:$AM$9,3,FALSE)=0,"Spatial Data Missing ⚠",VLOOKUP(J158,'G-7 WaterC'' Data'!$AK$4:$AM$6,3,FALSE)))</f>
        <v/>
      </c>
      <c r="M158" s="54"/>
      <c r="N158" s="363" t="str">
        <f>IF(M158="","",IF(VLOOKUP(M158,'G-7 WaterC'' Data'!$AA$4:$AB$7,2,FALSE)=0,"Spatial Data Missing ⚠",VLOOKUP(M158,'G-7 WaterC'' Data'!$AA$4:$AB$7,2,FALSE)))</f>
        <v/>
      </c>
      <c r="O158" s="60"/>
      <c r="P158" s="363" t="str">
        <f>IF(O158="","",IF(VLOOKUP(O158,'G-7 WaterC'' Data'!$AD$4:$AE$14,2,FALSE)=0,"Spatial Data Missing ⚠",VLOOKUP(O158,'G-7 WaterC'' Data'!$AD$4:$AE$14,2,FALSE)))</f>
        <v/>
      </c>
      <c r="Q158" s="369" t="str">
        <f>IF(D158="","",VLOOKUP(D158,'G-7 WaterC'' Data'!$B$2:$G$8,6,FALSE))</f>
        <v/>
      </c>
      <c r="R158" s="376" t="str">
        <f>IFERROR(IF(D158="","",IF(AND(Q158='G-1 All Habitats'!$X$3,U158&gt;0),V158+W158,IF(AND(Q158='G-1 All Habitats'!$X$3,T158&gt;0),V158+W158,IF(AND(Q158='G-1 All Habitats'!$X$3,AD158&gt;0),"Any Loss Unacceptable ⚠",IF(AND(Q158='G-1 All Habitats'!$X$3,AE158&gt;0),"Any Loss Unacceptable ⚠", E158*G158*I158*L158*N158*P158 ))))),"Check Data ▲")</f>
        <v/>
      </c>
      <c r="S158" s="32"/>
      <c r="T158" s="114"/>
      <c r="U158" s="125"/>
      <c r="V158" s="374" t="str">
        <f t="shared" si="14"/>
        <v/>
      </c>
      <c r="W158" s="374" t="str">
        <f t="shared" si="15"/>
        <v/>
      </c>
      <c r="X158" s="374" t="str">
        <f t="shared" si="16"/>
        <v/>
      </c>
      <c r="Y158" s="670" t="str">
        <f t="shared" si="17"/>
        <v/>
      </c>
      <c r="Z158" s="706"/>
      <c r="AA158" s="704"/>
      <c r="AB158" s="120"/>
      <c r="AC158" s="120"/>
      <c r="AD158" s="57" t="str">
        <f>IF(Q158="","",IF(Q158='G-1 All Habitats'!$X$3,E158-T158-U158,"None"))</f>
        <v/>
      </c>
      <c r="AE158" s="58" t="str">
        <f>IF(Q158="","", IF(Q158='G-1 All Habitats'!$X$3, AD158*G158*I158*L158*N158*P158,"None"))</f>
        <v/>
      </c>
      <c r="AH158" s="30">
        <f t="shared" si="18"/>
        <v>0</v>
      </c>
      <c r="AI158" s="124" t="str">
        <f t="shared" si="19"/>
        <v/>
      </c>
      <c r="AJ158" s="124" t="str">
        <f t="shared" si="20"/>
        <v/>
      </c>
      <c r="AL158" s="124">
        <v>149</v>
      </c>
      <c r="AN158" s="124" t="str">
        <f t="array" ref="AN158">IFERROR(INDEX($AL$10:$AL$258, MATCH(0, IF(TRUE=$AI$10:$AI$258, COUNTIF($AN$9:$AN157, $AL$10:$AL$258), ""), 0)),"")</f>
        <v/>
      </c>
      <c r="AO158" s="124" t="str">
        <f t="array" ref="AO158">IFERROR(INDEX($AL$10:$AL$258, MATCH(0, IF(TRUE=$AJ$10:$AJ$258, COUNTIF($AO$9:$AO157, $AL$10:$AL$258), ""), 0)),"")</f>
        <v/>
      </c>
      <c r="AQ158" s="30" t="str">
        <f>IFERROR(INDEX('G-7 WaterC'' Data'!$AZ$3:$AZ$7,MATCH(D158,'G-7 WaterC'' Data'!$AY$3:$AY$7,0)),"")</f>
        <v/>
      </c>
      <c r="AR158" s="30" t="str">
        <f>IFERROR(INDEX('G-7 WaterC'' Data'!AZ158:AZ162,MATCH(D158,'G-7 WaterC'' Data'!$AY$10:$AY$14,0)),"")</f>
        <v/>
      </c>
    </row>
    <row r="159" spans="3:44" ht="15">
      <c r="C159" s="110">
        <v>150</v>
      </c>
      <c r="D159" s="338"/>
      <c r="E159" s="139"/>
      <c r="F159" s="362" t="str">
        <f>IF(D159="","",VLOOKUP(D159,'G-7 WaterC'' Data'!$B$2:$G$8,2,FALSE))</f>
        <v/>
      </c>
      <c r="G159" s="363" t="str">
        <f>IFERROR(VLOOKUP(F159,'G-7 WaterC'' Data'!$C$4:$D$8,2,FALSE),"")</f>
        <v/>
      </c>
      <c r="H159" s="114"/>
      <c r="I159" s="363" t="str">
        <f>IFERROR(INDEX('G-7 WaterC'' Data'!$H$4:$L$8,MATCH(D159,'G-7 WaterC'' Data'!$B$4:$B$8,0),MATCH(H159,'G-7 WaterC'' Data'!$H$3:$L$3,0)),"")</f>
        <v/>
      </c>
      <c r="J159" s="320"/>
      <c r="K159" s="398" t="str">
        <f>IF(J159="","",IF(VLOOKUP(J159,'G-7 WaterC'' Data'!$AK$4:$AM$6,2,FALSE)=0,"Spatial Data Missing ⚠",VLOOKUP(J159,'G-7 WaterC'' Data'!$AK$4:$AM$6,2,FALSE)))</f>
        <v/>
      </c>
      <c r="L159" s="368" t="str">
        <f>IF(J159="","",IF(VLOOKUP(J159,'G-7 WaterC'' Data'!$AK$4:$AM$9,3,FALSE)=0,"Spatial Data Missing ⚠",VLOOKUP(J159,'G-7 WaterC'' Data'!$AK$4:$AM$6,3,FALSE)))</f>
        <v/>
      </c>
      <c r="M159" s="54"/>
      <c r="N159" s="363" t="str">
        <f>IF(M159="","",IF(VLOOKUP(M159,'G-7 WaterC'' Data'!$AA$4:$AB$7,2,FALSE)=0,"Spatial Data Missing ⚠",VLOOKUP(M159,'G-7 WaterC'' Data'!$AA$4:$AB$7,2,FALSE)))</f>
        <v/>
      </c>
      <c r="O159" s="60"/>
      <c r="P159" s="363" t="str">
        <f>IF(O159="","",IF(VLOOKUP(O159,'G-7 WaterC'' Data'!$AD$4:$AE$14,2,FALSE)=0,"Spatial Data Missing ⚠",VLOOKUP(O159,'G-7 WaterC'' Data'!$AD$4:$AE$14,2,FALSE)))</f>
        <v/>
      </c>
      <c r="Q159" s="369" t="str">
        <f>IF(D159="","",VLOOKUP(D159,'G-7 WaterC'' Data'!$B$2:$G$8,6,FALSE))</f>
        <v/>
      </c>
      <c r="R159" s="376" t="str">
        <f>IFERROR(IF(D159="","",IF(AND(Q159='G-1 All Habitats'!$X$3,U159&gt;0),V159+W159,IF(AND(Q159='G-1 All Habitats'!$X$3,T159&gt;0),V159+W159,IF(AND(Q159='G-1 All Habitats'!$X$3,AD159&gt;0),"Any Loss Unacceptable ⚠",IF(AND(Q159='G-1 All Habitats'!$X$3,AE159&gt;0),"Any Loss Unacceptable ⚠", E159*G159*I159*L159*N159*P159 ))))),"Check Data ▲")</f>
        <v/>
      </c>
      <c r="S159" s="32"/>
      <c r="T159" s="114"/>
      <c r="U159" s="125"/>
      <c r="V159" s="374" t="str">
        <f t="shared" si="14"/>
        <v/>
      </c>
      <c r="W159" s="374" t="str">
        <f t="shared" si="15"/>
        <v/>
      </c>
      <c r="X159" s="374" t="str">
        <f t="shared" si="16"/>
        <v/>
      </c>
      <c r="Y159" s="670" t="str">
        <f t="shared" si="17"/>
        <v/>
      </c>
      <c r="Z159" s="706"/>
      <c r="AA159" s="704"/>
      <c r="AB159" s="120"/>
      <c r="AC159" s="120"/>
      <c r="AD159" s="57" t="str">
        <f>IF(Q159="","",IF(Q159='G-1 All Habitats'!$X$3,E159-T159-U159,"None"))</f>
        <v/>
      </c>
      <c r="AE159" s="58" t="str">
        <f>IF(Q159="","", IF(Q159='G-1 All Habitats'!$X$3, AD159*G159*I159*L159*N159*P159,"None"))</f>
        <v/>
      </c>
      <c r="AH159" s="30">
        <f t="shared" si="18"/>
        <v>0</v>
      </c>
      <c r="AI159" s="124" t="str">
        <f t="shared" si="19"/>
        <v/>
      </c>
      <c r="AJ159" s="124" t="str">
        <f t="shared" si="20"/>
        <v/>
      </c>
      <c r="AL159" s="124">
        <v>150</v>
      </c>
      <c r="AN159" s="124" t="str">
        <f t="array" ref="AN159">IFERROR(INDEX($AL$10:$AL$258, MATCH(0, IF(TRUE=$AI$10:$AI$258, COUNTIF($AN$9:$AN158, $AL$10:$AL$258), ""), 0)),"")</f>
        <v/>
      </c>
      <c r="AO159" s="124" t="str">
        <f t="array" ref="AO159">IFERROR(INDEX($AL$10:$AL$258, MATCH(0, IF(TRUE=$AJ$10:$AJ$258, COUNTIF($AO$9:$AO158, $AL$10:$AL$258), ""), 0)),"")</f>
        <v/>
      </c>
      <c r="AQ159" s="30" t="str">
        <f>IFERROR(INDEX('G-7 WaterC'' Data'!$AZ$3:$AZ$7,MATCH(D159,'G-7 WaterC'' Data'!$AY$3:$AY$7,0)),"")</f>
        <v/>
      </c>
      <c r="AR159" s="30" t="str">
        <f>IFERROR(INDEX('G-7 WaterC'' Data'!AZ159:AZ163,MATCH(D159,'G-7 WaterC'' Data'!$AY$10:$AY$14,0)),"")</f>
        <v/>
      </c>
    </row>
    <row r="160" spans="3:44" ht="15">
      <c r="C160" s="110">
        <v>151</v>
      </c>
      <c r="D160" s="338"/>
      <c r="E160" s="139"/>
      <c r="F160" s="362" t="str">
        <f>IF(D160="","",VLOOKUP(D160,'G-7 WaterC'' Data'!$B$2:$G$8,2,FALSE))</f>
        <v/>
      </c>
      <c r="G160" s="363" t="str">
        <f>IFERROR(VLOOKUP(F160,'G-7 WaterC'' Data'!$C$4:$D$8,2,FALSE),"")</f>
        <v/>
      </c>
      <c r="H160" s="114"/>
      <c r="I160" s="363" t="str">
        <f>IFERROR(INDEX('G-7 WaterC'' Data'!$H$4:$L$8,MATCH(D160,'G-7 WaterC'' Data'!$B$4:$B$8,0),MATCH(H160,'G-7 WaterC'' Data'!$H$3:$L$3,0)),"")</f>
        <v/>
      </c>
      <c r="J160" s="320"/>
      <c r="K160" s="398" t="str">
        <f>IF(J160="","",IF(VLOOKUP(J160,'G-7 WaterC'' Data'!$AK$4:$AM$6,2,FALSE)=0,"Spatial Data Missing ⚠",VLOOKUP(J160,'G-7 WaterC'' Data'!$AK$4:$AM$6,2,FALSE)))</f>
        <v/>
      </c>
      <c r="L160" s="368" t="str">
        <f>IF(J160="","",IF(VLOOKUP(J160,'G-7 WaterC'' Data'!$AK$4:$AM$9,3,FALSE)=0,"Spatial Data Missing ⚠",VLOOKUP(J160,'G-7 WaterC'' Data'!$AK$4:$AM$6,3,FALSE)))</f>
        <v/>
      </c>
      <c r="M160" s="54"/>
      <c r="N160" s="363" t="str">
        <f>IF(M160="","",IF(VLOOKUP(M160,'G-7 WaterC'' Data'!$AA$4:$AB$7,2,FALSE)=0,"Spatial Data Missing ⚠",VLOOKUP(M160,'G-7 WaterC'' Data'!$AA$4:$AB$7,2,FALSE)))</f>
        <v/>
      </c>
      <c r="O160" s="60"/>
      <c r="P160" s="363" t="str">
        <f>IF(O160="","",IF(VLOOKUP(O160,'G-7 WaterC'' Data'!$AD$4:$AE$14,2,FALSE)=0,"Spatial Data Missing ⚠",VLOOKUP(O160,'G-7 WaterC'' Data'!$AD$4:$AE$14,2,FALSE)))</f>
        <v/>
      </c>
      <c r="Q160" s="369" t="str">
        <f>IF(D160="","",VLOOKUP(D160,'G-7 WaterC'' Data'!$B$2:$G$8,6,FALSE))</f>
        <v/>
      </c>
      <c r="R160" s="376" t="str">
        <f>IFERROR(IF(D160="","",IF(AND(Q160='G-1 All Habitats'!$X$3,U160&gt;0),V160+W160,IF(AND(Q160='G-1 All Habitats'!$X$3,T160&gt;0),V160+W160,IF(AND(Q160='G-1 All Habitats'!$X$3,AD160&gt;0),"Any Loss Unacceptable ⚠",IF(AND(Q160='G-1 All Habitats'!$X$3,AE160&gt;0),"Any Loss Unacceptable ⚠", E160*G160*I160*L160*N160*P160 ))))),"Check Data ▲")</f>
        <v/>
      </c>
      <c r="S160" s="32"/>
      <c r="T160" s="114"/>
      <c r="U160" s="125"/>
      <c r="V160" s="374" t="str">
        <f t="shared" si="14"/>
        <v/>
      </c>
      <c r="W160" s="374" t="str">
        <f t="shared" si="15"/>
        <v/>
      </c>
      <c r="X160" s="374" t="str">
        <f t="shared" si="16"/>
        <v/>
      </c>
      <c r="Y160" s="670" t="str">
        <f t="shared" si="17"/>
        <v/>
      </c>
      <c r="Z160" s="706"/>
      <c r="AA160" s="704"/>
      <c r="AB160" s="120"/>
      <c r="AC160" s="120"/>
      <c r="AD160" s="57" t="str">
        <f>IF(Q160="","",IF(Q160='G-1 All Habitats'!$X$3,E160-T160-U160,"None"))</f>
        <v/>
      </c>
      <c r="AE160" s="58" t="str">
        <f>IF(Q160="","", IF(Q160='G-1 All Habitats'!$X$3, AD160*G160*I160*L160*N160*P160,"None"))</f>
        <v/>
      </c>
      <c r="AH160" s="30">
        <f t="shared" si="18"/>
        <v>0</v>
      </c>
      <c r="AI160" s="124" t="str">
        <f t="shared" si="19"/>
        <v/>
      </c>
      <c r="AJ160" s="124" t="str">
        <f t="shared" si="20"/>
        <v/>
      </c>
      <c r="AL160" s="124">
        <v>151</v>
      </c>
      <c r="AN160" s="124" t="str">
        <f t="array" ref="AN160">IFERROR(INDEX($AL$10:$AL$258, MATCH(0, IF(TRUE=$AI$10:$AI$258, COUNTIF($AN$9:$AN159, $AL$10:$AL$258), ""), 0)),"")</f>
        <v/>
      </c>
      <c r="AO160" s="124" t="str">
        <f t="array" ref="AO160">IFERROR(INDEX($AL$10:$AL$258, MATCH(0, IF(TRUE=$AJ$10:$AJ$258, COUNTIF($AO$9:$AO159, $AL$10:$AL$258), ""), 0)),"")</f>
        <v/>
      </c>
      <c r="AQ160" s="30" t="str">
        <f>IFERROR(INDEX('G-7 WaterC'' Data'!$AZ$3:$AZ$7,MATCH(D160,'G-7 WaterC'' Data'!$AY$3:$AY$7,0)),"")</f>
        <v/>
      </c>
      <c r="AR160" s="30" t="str">
        <f>IFERROR(INDEX('G-7 WaterC'' Data'!AZ160:AZ164,MATCH(D160,'G-7 WaterC'' Data'!$AY$10:$AY$14,0)),"")</f>
        <v/>
      </c>
    </row>
    <row r="161" spans="3:44" ht="15">
      <c r="C161" s="110">
        <v>152</v>
      </c>
      <c r="D161" s="338"/>
      <c r="E161" s="139"/>
      <c r="F161" s="362" t="str">
        <f>IF(D161="","",VLOOKUP(D161,'G-7 WaterC'' Data'!$B$2:$G$8,2,FALSE))</f>
        <v/>
      </c>
      <c r="G161" s="363" t="str">
        <f>IFERROR(VLOOKUP(F161,'G-7 WaterC'' Data'!$C$4:$D$8,2,FALSE),"")</f>
        <v/>
      </c>
      <c r="H161" s="114"/>
      <c r="I161" s="363" t="str">
        <f>IFERROR(INDEX('G-7 WaterC'' Data'!$H$4:$L$8,MATCH(D161,'G-7 WaterC'' Data'!$B$4:$B$8,0),MATCH(H161,'G-7 WaterC'' Data'!$H$3:$L$3,0)),"")</f>
        <v/>
      </c>
      <c r="J161" s="320"/>
      <c r="K161" s="398" t="str">
        <f>IF(J161="","",IF(VLOOKUP(J161,'G-7 WaterC'' Data'!$AK$4:$AM$6,2,FALSE)=0,"Spatial Data Missing ⚠",VLOOKUP(J161,'G-7 WaterC'' Data'!$AK$4:$AM$6,2,FALSE)))</f>
        <v/>
      </c>
      <c r="L161" s="368" t="str">
        <f>IF(J161="","",IF(VLOOKUP(J161,'G-7 WaterC'' Data'!$AK$4:$AM$9,3,FALSE)=0,"Spatial Data Missing ⚠",VLOOKUP(J161,'G-7 WaterC'' Data'!$AK$4:$AM$6,3,FALSE)))</f>
        <v/>
      </c>
      <c r="M161" s="54"/>
      <c r="N161" s="363" t="str">
        <f>IF(M161="","",IF(VLOOKUP(M161,'G-7 WaterC'' Data'!$AA$4:$AB$7,2,FALSE)=0,"Spatial Data Missing ⚠",VLOOKUP(M161,'G-7 WaterC'' Data'!$AA$4:$AB$7,2,FALSE)))</f>
        <v/>
      </c>
      <c r="O161" s="60"/>
      <c r="P161" s="363" t="str">
        <f>IF(O161="","",IF(VLOOKUP(O161,'G-7 WaterC'' Data'!$AD$4:$AE$14,2,FALSE)=0,"Spatial Data Missing ⚠",VLOOKUP(O161,'G-7 WaterC'' Data'!$AD$4:$AE$14,2,FALSE)))</f>
        <v/>
      </c>
      <c r="Q161" s="369" t="str">
        <f>IF(D161="","",VLOOKUP(D161,'G-7 WaterC'' Data'!$B$2:$G$8,6,FALSE))</f>
        <v/>
      </c>
      <c r="R161" s="376" t="str">
        <f>IFERROR(IF(D161="","",IF(AND(Q161='G-1 All Habitats'!$X$3,U161&gt;0),V161+W161,IF(AND(Q161='G-1 All Habitats'!$X$3,T161&gt;0),V161+W161,IF(AND(Q161='G-1 All Habitats'!$X$3,AD161&gt;0),"Any Loss Unacceptable ⚠",IF(AND(Q161='G-1 All Habitats'!$X$3,AE161&gt;0),"Any Loss Unacceptable ⚠", E161*G161*I161*L161*N161*P161 ))))),"Check Data ▲")</f>
        <v/>
      </c>
      <c r="S161" s="32"/>
      <c r="T161" s="114"/>
      <c r="U161" s="125"/>
      <c r="V161" s="374" t="str">
        <f t="shared" si="14"/>
        <v/>
      </c>
      <c r="W161" s="374" t="str">
        <f t="shared" si="15"/>
        <v/>
      </c>
      <c r="X161" s="374" t="str">
        <f t="shared" si="16"/>
        <v/>
      </c>
      <c r="Y161" s="670" t="str">
        <f t="shared" si="17"/>
        <v/>
      </c>
      <c r="Z161" s="706"/>
      <c r="AA161" s="704"/>
      <c r="AB161" s="120"/>
      <c r="AC161" s="120"/>
      <c r="AD161" s="57" t="str">
        <f>IF(Q161="","",IF(Q161='G-1 All Habitats'!$X$3,E161-T161-U161,"None"))</f>
        <v/>
      </c>
      <c r="AE161" s="58" t="str">
        <f>IF(Q161="","", IF(Q161='G-1 All Habitats'!$X$3, AD161*G161*I161*L161*N161*P161,"None"))</f>
        <v/>
      </c>
      <c r="AH161" s="30">
        <f t="shared" si="18"/>
        <v>0</v>
      </c>
      <c r="AI161" s="124" t="str">
        <f t="shared" si="19"/>
        <v/>
      </c>
      <c r="AJ161" s="124" t="str">
        <f t="shared" si="20"/>
        <v/>
      </c>
      <c r="AL161" s="124">
        <v>152</v>
      </c>
      <c r="AN161" s="124" t="str">
        <f t="array" ref="AN161">IFERROR(INDEX($AL$10:$AL$258, MATCH(0, IF(TRUE=$AI$10:$AI$258, COUNTIF($AN$9:$AN160, $AL$10:$AL$258), ""), 0)),"")</f>
        <v/>
      </c>
      <c r="AO161" s="124" t="str">
        <f t="array" ref="AO161">IFERROR(INDEX($AL$10:$AL$258, MATCH(0, IF(TRUE=$AJ$10:$AJ$258, COUNTIF($AO$9:$AO160, $AL$10:$AL$258), ""), 0)),"")</f>
        <v/>
      </c>
      <c r="AQ161" s="30" t="str">
        <f>IFERROR(INDEX('G-7 WaterC'' Data'!$AZ$3:$AZ$7,MATCH(D161,'G-7 WaterC'' Data'!$AY$3:$AY$7,0)),"")</f>
        <v/>
      </c>
      <c r="AR161" s="30" t="str">
        <f>IFERROR(INDEX('G-7 WaterC'' Data'!AZ161:AZ165,MATCH(D161,'G-7 WaterC'' Data'!$AY$10:$AY$14,0)),"")</f>
        <v/>
      </c>
    </row>
    <row r="162" spans="3:44" ht="15">
      <c r="C162" s="110">
        <v>153</v>
      </c>
      <c r="D162" s="338"/>
      <c r="E162" s="139"/>
      <c r="F162" s="362" t="str">
        <f>IF(D162="","",VLOOKUP(D162,'G-7 WaterC'' Data'!$B$2:$G$8,2,FALSE))</f>
        <v/>
      </c>
      <c r="G162" s="363" t="str">
        <f>IFERROR(VLOOKUP(F162,'G-7 WaterC'' Data'!$C$4:$D$8,2,FALSE),"")</f>
        <v/>
      </c>
      <c r="H162" s="114"/>
      <c r="I162" s="363" t="str">
        <f>IFERROR(INDEX('G-7 WaterC'' Data'!$H$4:$L$8,MATCH(D162,'G-7 WaterC'' Data'!$B$4:$B$8,0),MATCH(H162,'G-7 WaterC'' Data'!$H$3:$L$3,0)),"")</f>
        <v/>
      </c>
      <c r="J162" s="320"/>
      <c r="K162" s="398" t="str">
        <f>IF(J162="","",IF(VLOOKUP(J162,'G-7 WaterC'' Data'!$AK$4:$AM$6,2,FALSE)=0,"Spatial Data Missing ⚠",VLOOKUP(J162,'G-7 WaterC'' Data'!$AK$4:$AM$6,2,FALSE)))</f>
        <v/>
      </c>
      <c r="L162" s="368" t="str">
        <f>IF(J162="","",IF(VLOOKUP(J162,'G-7 WaterC'' Data'!$AK$4:$AM$9,3,FALSE)=0,"Spatial Data Missing ⚠",VLOOKUP(J162,'G-7 WaterC'' Data'!$AK$4:$AM$6,3,FALSE)))</f>
        <v/>
      </c>
      <c r="M162" s="54"/>
      <c r="N162" s="363" t="str">
        <f>IF(M162="","",IF(VLOOKUP(M162,'G-7 WaterC'' Data'!$AA$4:$AB$7,2,FALSE)=0,"Spatial Data Missing ⚠",VLOOKUP(M162,'G-7 WaterC'' Data'!$AA$4:$AB$7,2,FALSE)))</f>
        <v/>
      </c>
      <c r="O162" s="60"/>
      <c r="P162" s="363" t="str">
        <f>IF(O162="","",IF(VLOOKUP(O162,'G-7 WaterC'' Data'!$AD$4:$AE$14,2,FALSE)=0,"Spatial Data Missing ⚠",VLOOKUP(O162,'G-7 WaterC'' Data'!$AD$4:$AE$14,2,FALSE)))</f>
        <v/>
      </c>
      <c r="Q162" s="369" t="str">
        <f>IF(D162="","",VLOOKUP(D162,'G-7 WaterC'' Data'!$B$2:$G$8,6,FALSE))</f>
        <v/>
      </c>
      <c r="R162" s="376" t="str">
        <f>IFERROR(IF(D162="","",IF(AND(Q162='G-1 All Habitats'!$X$3,U162&gt;0),V162+W162,IF(AND(Q162='G-1 All Habitats'!$X$3,T162&gt;0),V162+W162,IF(AND(Q162='G-1 All Habitats'!$X$3,AD162&gt;0),"Any Loss Unacceptable ⚠",IF(AND(Q162='G-1 All Habitats'!$X$3,AE162&gt;0),"Any Loss Unacceptable ⚠", E162*G162*I162*L162*N162*P162 ))))),"Check Data ▲")</f>
        <v/>
      </c>
      <c r="S162" s="32"/>
      <c r="T162" s="114"/>
      <c r="U162" s="125"/>
      <c r="V162" s="374" t="str">
        <f t="shared" si="14"/>
        <v/>
      </c>
      <c r="W162" s="374" t="str">
        <f t="shared" si="15"/>
        <v/>
      </c>
      <c r="X162" s="374" t="str">
        <f t="shared" si="16"/>
        <v/>
      </c>
      <c r="Y162" s="670" t="str">
        <f t="shared" si="17"/>
        <v/>
      </c>
      <c r="Z162" s="706"/>
      <c r="AA162" s="704"/>
      <c r="AB162" s="120"/>
      <c r="AC162" s="120"/>
      <c r="AD162" s="57" t="str">
        <f>IF(Q162="","",IF(Q162='G-1 All Habitats'!$X$3,E162-T162-U162,"None"))</f>
        <v/>
      </c>
      <c r="AE162" s="58" t="str">
        <f>IF(Q162="","", IF(Q162='G-1 All Habitats'!$X$3, AD162*G162*I162*L162*N162*P162,"None"))</f>
        <v/>
      </c>
      <c r="AH162" s="30">
        <f t="shared" si="18"/>
        <v>0</v>
      </c>
      <c r="AI162" s="124" t="str">
        <f t="shared" si="19"/>
        <v/>
      </c>
      <c r="AJ162" s="124" t="str">
        <f t="shared" si="20"/>
        <v/>
      </c>
      <c r="AL162" s="124">
        <v>153</v>
      </c>
      <c r="AN162" s="124" t="str">
        <f t="array" ref="AN162">IFERROR(INDEX($AL$10:$AL$258, MATCH(0, IF(TRUE=$AI$10:$AI$258, COUNTIF($AN$9:$AN161, $AL$10:$AL$258), ""), 0)),"")</f>
        <v/>
      </c>
      <c r="AO162" s="124" t="str">
        <f t="array" ref="AO162">IFERROR(INDEX($AL$10:$AL$258, MATCH(0, IF(TRUE=$AJ$10:$AJ$258, COUNTIF($AO$9:$AO161, $AL$10:$AL$258), ""), 0)),"")</f>
        <v/>
      </c>
      <c r="AQ162" s="30" t="str">
        <f>IFERROR(INDEX('G-7 WaterC'' Data'!$AZ$3:$AZ$7,MATCH(D162,'G-7 WaterC'' Data'!$AY$3:$AY$7,0)),"")</f>
        <v/>
      </c>
      <c r="AR162" s="30" t="str">
        <f>IFERROR(INDEX('G-7 WaterC'' Data'!AZ162:AZ166,MATCH(D162,'G-7 WaterC'' Data'!$AY$10:$AY$14,0)),"")</f>
        <v/>
      </c>
    </row>
    <row r="163" spans="3:44" ht="15">
      <c r="C163" s="110">
        <v>154</v>
      </c>
      <c r="D163" s="338"/>
      <c r="E163" s="139"/>
      <c r="F163" s="362" t="str">
        <f>IF(D163="","",VLOOKUP(D163,'G-7 WaterC'' Data'!$B$2:$G$8,2,FALSE))</f>
        <v/>
      </c>
      <c r="G163" s="363" t="str">
        <f>IFERROR(VLOOKUP(F163,'G-7 WaterC'' Data'!$C$4:$D$8,2,FALSE),"")</f>
        <v/>
      </c>
      <c r="H163" s="114"/>
      <c r="I163" s="363" t="str">
        <f>IFERROR(INDEX('G-7 WaterC'' Data'!$H$4:$L$8,MATCH(D163,'G-7 WaterC'' Data'!$B$4:$B$8,0),MATCH(H163,'G-7 WaterC'' Data'!$H$3:$L$3,0)),"")</f>
        <v/>
      </c>
      <c r="J163" s="320"/>
      <c r="K163" s="398" t="str">
        <f>IF(J163="","",IF(VLOOKUP(J163,'G-7 WaterC'' Data'!$AK$4:$AM$6,2,FALSE)=0,"Spatial Data Missing ⚠",VLOOKUP(J163,'G-7 WaterC'' Data'!$AK$4:$AM$6,2,FALSE)))</f>
        <v/>
      </c>
      <c r="L163" s="368" t="str">
        <f>IF(J163="","",IF(VLOOKUP(J163,'G-7 WaterC'' Data'!$AK$4:$AM$9,3,FALSE)=0,"Spatial Data Missing ⚠",VLOOKUP(J163,'G-7 WaterC'' Data'!$AK$4:$AM$6,3,FALSE)))</f>
        <v/>
      </c>
      <c r="M163" s="54"/>
      <c r="N163" s="363" t="str">
        <f>IF(M163="","",IF(VLOOKUP(M163,'G-7 WaterC'' Data'!$AA$4:$AB$7,2,FALSE)=0,"Spatial Data Missing ⚠",VLOOKUP(M163,'G-7 WaterC'' Data'!$AA$4:$AB$7,2,FALSE)))</f>
        <v/>
      </c>
      <c r="O163" s="60"/>
      <c r="P163" s="363" t="str">
        <f>IF(O163="","",IF(VLOOKUP(O163,'G-7 WaterC'' Data'!$AD$4:$AE$14,2,FALSE)=0,"Spatial Data Missing ⚠",VLOOKUP(O163,'G-7 WaterC'' Data'!$AD$4:$AE$14,2,FALSE)))</f>
        <v/>
      </c>
      <c r="Q163" s="369" t="str">
        <f>IF(D163="","",VLOOKUP(D163,'G-7 WaterC'' Data'!$B$2:$G$8,6,FALSE))</f>
        <v/>
      </c>
      <c r="R163" s="376" t="str">
        <f>IFERROR(IF(D163="","",IF(AND(Q163='G-1 All Habitats'!$X$3,U163&gt;0),V163+W163,IF(AND(Q163='G-1 All Habitats'!$X$3,T163&gt;0),V163+W163,IF(AND(Q163='G-1 All Habitats'!$X$3,AD163&gt;0),"Any Loss Unacceptable ⚠",IF(AND(Q163='G-1 All Habitats'!$X$3,AE163&gt;0),"Any Loss Unacceptable ⚠", E163*G163*I163*L163*N163*P163 ))))),"Check Data ▲")</f>
        <v/>
      </c>
      <c r="S163" s="32"/>
      <c r="T163" s="114"/>
      <c r="U163" s="125"/>
      <c r="V163" s="374" t="str">
        <f t="shared" si="14"/>
        <v/>
      </c>
      <c r="W163" s="374" t="str">
        <f t="shared" si="15"/>
        <v/>
      </c>
      <c r="X163" s="374" t="str">
        <f t="shared" si="16"/>
        <v/>
      </c>
      <c r="Y163" s="670" t="str">
        <f t="shared" si="17"/>
        <v/>
      </c>
      <c r="Z163" s="706"/>
      <c r="AA163" s="704"/>
      <c r="AB163" s="120"/>
      <c r="AC163" s="120"/>
      <c r="AD163" s="57" t="str">
        <f>IF(Q163="","",IF(Q163='G-1 All Habitats'!$X$3,E163-T163-U163,"None"))</f>
        <v/>
      </c>
      <c r="AE163" s="58" t="str">
        <f>IF(Q163="","", IF(Q163='G-1 All Habitats'!$X$3, AD163*G163*I163*L163*N163*P163,"None"))</f>
        <v/>
      </c>
      <c r="AH163" s="30">
        <f t="shared" si="18"/>
        <v>0</v>
      </c>
      <c r="AI163" s="124" t="str">
        <f t="shared" si="19"/>
        <v/>
      </c>
      <c r="AJ163" s="124" t="str">
        <f t="shared" si="20"/>
        <v/>
      </c>
      <c r="AL163" s="124">
        <v>154</v>
      </c>
      <c r="AN163" s="124" t="str">
        <f t="array" ref="AN163">IFERROR(INDEX($AL$10:$AL$258, MATCH(0, IF(TRUE=$AI$10:$AI$258, COUNTIF($AN$9:$AN162, $AL$10:$AL$258), ""), 0)),"")</f>
        <v/>
      </c>
      <c r="AO163" s="124" t="str">
        <f t="array" ref="AO163">IFERROR(INDEX($AL$10:$AL$258, MATCH(0, IF(TRUE=$AJ$10:$AJ$258, COUNTIF($AO$9:$AO162, $AL$10:$AL$258), ""), 0)),"")</f>
        <v/>
      </c>
      <c r="AQ163" s="30" t="str">
        <f>IFERROR(INDEX('G-7 WaterC'' Data'!$AZ$3:$AZ$7,MATCH(D163,'G-7 WaterC'' Data'!$AY$3:$AY$7,0)),"")</f>
        <v/>
      </c>
      <c r="AR163" s="30" t="str">
        <f>IFERROR(INDEX('G-7 WaterC'' Data'!AZ163:AZ167,MATCH(D163,'G-7 WaterC'' Data'!$AY$10:$AY$14,0)),"")</f>
        <v/>
      </c>
    </row>
    <row r="164" spans="3:44" ht="15">
      <c r="C164" s="110">
        <v>155</v>
      </c>
      <c r="D164" s="338"/>
      <c r="E164" s="139"/>
      <c r="F164" s="362" t="str">
        <f>IF(D164="","",VLOOKUP(D164,'G-7 WaterC'' Data'!$B$2:$G$8,2,FALSE))</f>
        <v/>
      </c>
      <c r="G164" s="363" t="str">
        <f>IFERROR(VLOOKUP(F164,'G-7 WaterC'' Data'!$C$4:$D$8,2,FALSE),"")</f>
        <v/>
      </c>
      <c r="H164" s="114"/>
      <c r="I164" s="363" t="str">
        <f>IFERROR(INDEX('G-7 WaterC'' Data'!$H$4:$L$8,MATCH(D164,'G-7 WaterC'' Data'!$B$4:$B$8,0),MATCH(H164,'G-7 WaterC'' Data'!$H$3:$L$3,0)),"")</f>
        <v/>
      </c>
      <c r="J164" s="320"/>
      <c r="K164" s="398" t="str">
        <f>IF(J164="","",IF(VLOOKUP(J164,'G-7 WaterC'' Data'!$AK$4:$AM$6,2,FALSE)=0,"Spatial Data Missing ⚠",VLOOKUP(J164,'G-7 WaterC'' Data'!$AK$4:$AM$6,2,FALSE)))</f>
        <v/>
      </c>
      <c r="L164" s="368" t="str">
        <f>IF(J164="","",IF(VLOOKUP(J164,'G-7 WaterC'' Data'!$AK$4:$AM$9,3,FALSE)=0,"Spatial Data Missing ⚠",VLOOKUP(J164,'G-7 WaterC'' Data'!$AK$4:$AM$6,3,FALSE)))</f>
        <v/>
      </c>
      <c r="M164" s="54"/>
      <c r="N164" s="363" t="str">
        <f>IF(M164="","",IF(VLOOKUP(M164,'G-7 WaterC'' Data'!$AA$4:$AB$7,2,FALSE)=0,"Spatial Data Missing ⚠",VLOOKUP(M164,'G-7 WaterC'' Data'!$AA$4:$AB$7,2,FALSE)))</f>
        <v/>
      </c>
      <c r="O164" s="60"/>
      <c r="P164" s="363" t="str">
        <f>IF(O164="","",IF(VLOOKUP(O164,'G-7 WaterC'' Data'!$AD$4:$AE$14,2,FALSE)=0,"Spatial Data Missing ⚠",VLOOKUP(O164,'G-7 WaterC'' Data'!$AD$4:$AE$14,2,FALSE)))</f>
        <v/>
      </c>
      <c r="Q164" s="369" t="str">
        <f>IF(D164="","",VLOOKUP(D164,'G-7 WaterC'' Data'!$B$2:$G$8,6,FALSE))</f>
        <v/>
      </c>
      <c r="R164" s="376" t="str">
        <f>IFERROR(IF(D164="","",IF(AND(Q164='G-1 All Habitats'!$X$3,U164&gt;0),V164+W164,IF(AND(Q164='G-1 All Habitats'!$X$3,T164&gt;0),V164+W164,IF(AND(Q164='G-1 All Habitats'!$X$3,AD164&gt;0),"Any Loss Unacceptable ⚠",IF(AND(Q164='G-1 All Habitats'!$X$3,AE164&gt;0),"Any Loss Unacceptable ⚠", E164*G164*I164*L164*N164*P164 ))))),"Check Data ▲")</f>
        <v/>
      </c>
      <c r="S164" s="32"/>
      <c r="T164" s="114"/>
      <c r="U164" s="125"/>
      <c r="V164" s="374" t="str">
        <f t="shared" si="14"/>
        <v/>
      </c>
      <c r="W164" s="374" t="str">
        <f t="shared" si="15"/>
        <v/>
      </c>
      <c r="X164" s="374" t="str">
        <f t="shared" si="16"/>
        <v/>
      </c>
      <c r="Y164" s="670" t="str">
        <f t="shared" si="17"/>
        <v/>
      </c>
      <c r="Z164" s="706"/>
      <c r="AA164" s="704"/>
      <c r="AB164" s="120"/>
      <c r="AC164" s="120"/>
      <c r="AD164" s="57" t="str">
        <f>IF(Q164="","",IF(Q164='G-1 All Habitats'!$X$3,E164-T164-U164,"None"))</f>
        <v/>
      </c>
      <c r="AE164" s="58" t="str">
        <f>IF(Q164="","", IF(Q164='G-1 All Habitats'!$X$3, AD164*G164*I164*L164*N164*P164,"None"))</f>
        <v/>
      </c>
      <c r="AH164" s="30">
        <f t="shared" si="18"/>
        <v>0</v>
      </c>
      <c r="AI164" s="124" t="str">
        <f t="shared" si="19"/>
        <v/>
      </c>
      <c r="AJ164" s="124" t="str">
        <f t="shared" si="20"/>
        <v/>
      </c>
      <c r="AL164" s="124">
        <v>155</v>
      </c>
      <c r="AN164" s="124" t="str">
        <f t="array" ref="AN164">IFERROR(INDEX($AL$10:$AL$258, MATCH(0, IF(TRUE=$AI$10:$AI$258, COUNTIF($AN$9:$AN163, $AL$10:$AL$258), ""), 0)),"")</f>
        <v/>
      </c>
      <c r="AO164" s="124" t="str">
        <f t="array" ref="AO164">IFERROR(INDEX($AL$10:$AL$258, MATCH(0, IF(TRUE=$AJ$10:$AJ$258, COUNTIF($AO$9:$AO163, $AL$10:$AL$258), ""), 0)),"")</f>
        <v/>
      </c>
      <c r="AQ164" s="30" t="str">
        <f>IFERROR(INDEX('G-7 WaterC'' Data'!$AZ$3:$AZ$7,MATCH(D164,'G-7 WaterC'' Data'!$AY$3:$AY$7,0)),"")</f>
        <v/>
      </c>
      <c r="AR164" s="30" t="str">
        <f>IFERROR(INDEX('G-7 WaterC'' Data'!AZ164:AZ168,MATCH(D164,'G-7 WaterC'' Data'!$AY$10:$AY$14,0)),"")</f>
        <v/>
      </c>
    </row>
    <row r="165" spans="3:44" ht="15">
      <c r="C165" s="110">
        <v>156</v>
      </c>
      <c r="D165" s="338"/>
      <c r="E165" s="139"/>
      <c r="F165" s="362" t="str">
        <f>IF(D165="","",VLOOKUP(D165,'G-7 WaterC'' Data'!$B$2:$G$8,2,FALSE))</f>
        <v/>
      </c>
      <c r="G165" s="363" t="str">
        <f>IFERROR(VLOOKUP(F165,'G-7 WaterC'' Data'!$C$4:$D$8,2,FALSE),"")</f>
        <v/>
      </c>
      <c r="H165" s="114"/>
      <c r="I165" s="363" t="str">
        <f>IFERROR(INDEX('G-7 WaterC'' Data'!$H$4:$L$8,MATCH(D165,'G-7 WaterC'' Data'!$B$4:$B$8,0),MATCH(H165,'G-7 WaterC'' Data'!$H$3:$L$3,0)),"")</f>
        <v/>
      </c>
      <c r="J165" s="320"/>
      <c r="K165" s="398" t="str">
        <f>IF(J165="","",IF(VLOOKUP(J165,'G-7 WaterC'' Data'!$AK$4:$AM$6,2,FALSE)=0,"Spatial Data Missing ⚠",VLOOKUP(J165,'G-7 WaterC'' Data'!$AK$4:$AM$6,2,FALSE)))</f>
        <v/>
      </c>
      <c r="L165" s="368" t="str">
        <f>IF(J165="","",IF(VLOOKUP(J165,'G-7 WaterC'' Data'!$AK$4:$AM$9,3,FALSE)=0,"Spatial Data Missing ⚠",VLOOKUP(J165,'G-7 WaterC'' Data'!$AK$4:$AM$6,3,FALSE)))</f>
        <v/>
      </c>
      <c r="M165" s="54"/>
      <c r="N165" s="363" t="str">
        <f>IF(M165="","",IF(VLOOKUP(M165,'G-7 WaterC'' Data'!$AA$4:$AB$7,2,FALSE)=0,"Spatial Data Missing ⚠",VLOOKUP(M165,'G-7 WaterC'' Data'!$AA$4:$AB$7,2,FALSE)))</f>
        <v/>
      </c>
      <c r="O165" s="60"/>
      <c r="P165" s="363" t="str">
        <f>IF(O165="","",IF(VLOOKUP(O165,'G-7 WaterC'' Data'!$AD$4:$AE$14,2,FALSE)=0,"Spatial Data Missing ⚠",VLOOKUP(O165,'G-7 WaterC'' Data'!$AD$4:$AE$14,2,FALSE)))</f>
        <v/>
      </c>
      <c r="Q165" s="369" t="str">
        <f>IF(D165="","",VLOOKUP(D165,'G-7 WaterC'' Data'!$B$2:$G$8,6,FALSE))</f>
        <v/>
      </c>
      <c r="R165" s="376" t="str">
        <f>IFERROR(IF(D165="","",IF(AND(Q165='G-1 All Habitats'!$X$3,U165&gt;0),V165+W165,IF(AND(Q165='G-1 All Habitats'!$X$3,T165&gt;0),V165+W165,IF(AND(Q165='G-1 All Habitats'!$X$3,AD165&gt;0),"Any Loss Unacceptable ⚠",IF(AND(Q165='G-1 All Habitats'!$X$3,AE165&gt;0),"Any Loss Unacceptable ⚠", E165*G165*I165*L165*N165*P165 ))))),"Check Data ▲")</f>
        <v/>
      </c>
      <c r="S165" s="32"/>
      <c r="T165" s="114"/>
      <c r="U165" s="125"/>
      <c r="V165" s="374" t="str">
        <f t="shared" si="14"/>
        <v/>
      </c>
      <c r="W165" s="374" t="str">
        <f t="shared" si="15"/>
        <v/>
      </c>
      <c r="X165" s="374" t="str">
        <f t="shared" si="16"/>
        <v/>
      </c>
      <c r="Y165" s="670" t="str">
        <f t="shared" si="17"/>
        <v/>
      </c>
      <c r="Z165" s="706"/>
      <c r="AA165" s="704"/>
      <c r="AB165" s="120"/>
      <c r="AC165" s="120"/>
      <c r="AD165" s="57" t="str">
        <f>IF(Q165="","",IF(Q165='G-1 All Habitats'!$X$3,E165-T165-U165,"None"))</f>
        <v/>
      </c>
      <c r="AE165" s="58" t="str">
        <f>IF(Q165="","", IF(Q165='G-1 All Habitats'!$X$3, AD165*G165*I165*L165*N165*P165,"None"))</f>
        <v/>
      </c>
      <c r="AH165" s="30">
        <f t="shared" si="18"/>
        <v>0</v>
      </c>
      <c r="AI165" s="124" t="str">
        <f t="shared" si="19"/>
        <v/>
      </c>
      <c r="AJ165" s="124" t="str">
        <f t="shared" si="20"/>
        <v/>
      </c>
      <c r="AL165" s="124">
        <v>156</v>
      </c>
      <c r="AN165" s="124" t="str">
        <f t="array" ref="AN165">IFERROR(INDEX($AL$10:$AL$258, MATCH(0, IF(TRUE=$AI$10:$AI$258, COUNTIF($AN$9:$AN164, $AL$10:$AL$258), ""), 0)),"")</f>
        <v/>
      </c>
      <c r="AO165" s="124" t="str">
        <f t="array" ref="AO165">IFERROR(INDEX($AL$10:$AL$258, MATCH(0, IF(TRUE=$AJ$10:$AJ$258, COUNTIF($AO$9:$AO164, $AL$10:$AL$258), ""), 0)),"")</f>
        <v/>
      </c>
      <c r="AQ165" s="30" t="str">
        <f>IFERROR(INDEX('G-7 WaterC'' Data'!$AZ$3:$AZ$7,MATCH(D165,'G-7 WaterC'' Data'!$AY$3:$AY$7,0)),"")</f>
        <v/>
      </c>
      <c r="AR165" s="30" t="str">
        <f>IFERROR(INDEX('G-7 WaterC'' Data'!AZ165:AZ169,MATCH(D165,'G-7 WaterC'' Data'!$AY$10:$AY$14,0)),"")</f>
        <v/>
      </c>
    </row>
    <row r="166" spans="3:44" ht="15">
      <c r="C166" s="110">
        <v>157</v>
      </c>
      <c r="D166" s="338"/>
      <c r="E166" s="139"/>
      <c r="F166" s="362" t="str">
        <f>IF(D166="","",VLOOKUP(D166,'G-7 WaterC'' Data'!$B$2:$G$8,2,FALSE))</f>
        <v/>
      </c>
      <c r="G166" s="363" t="str">
        <f>IFERROR(VLOOKUP(F166,'G-7 WaterC'' Data'!$C$4:$D$8,2,FALSE),"")</f>
        <v/>
      </c>
      <c r="H166" s="114"/>
      <c r="I166" s="363" t="str">
        <f>IFERROR(INDEX('G-7 WaterC'' Data'!$H$4:$L$8,MATCH(D166,'G-7 WaterC'' Data'!$B$4:$B$8,0),MATCH(H166,'G-7 WaterC'' Data'!$H$3:$L$3,0)),"")</f>
        <v/>
      </c>
      <c r="J166" s="320"/>
      <c r="K166" s="398" t="str">
        <f>IF(J166="","",IF(VLOOKUP(J166,'G-7 WaterC'' Data'!$AK$4:$AM$6,2,FALSE)=0,"Spatial Data Missing ⚠",VLOOKUP(J166,'G-7 WaterC'' Data'!$AK$4:$AM$6,2,FALSE)))</f>
        <v/>
      </c>
      <c r="L166" s="368" t="str">
        <f>IF(J166="","",IF(VLOOKUP(J166,'G-7 WaterC'' Data'!$AK$4:$AM$9,3,FALSE)=0,"Spatial Data Missing ⚠",VLOOKUP(J166,'G-7 WaterC'' Data'!$AK$4:$AM$6,3,FALSE)))</f>
        <v/>
      </c>
      <c r="M166" s="54"/>
      <c r="N166" s="363" t="str">
        <f>IF(M166="","",IF(VLOOKUP(M166,'G-7 WaterC'' Data'!$AA$4:$AB$7,2,FALSE)=0,"Spatial Data Missing ⚠",VLOOKUP(M166,'G-7 WaterC'' Data'!$AA$4:$AB$7,2,FALSE)))</f>
        <v/>
      </c>
      <c r="O166" s="60"/>
      <c r="P166" s="363" t="str">
        <f>IF(O166="","",IF(VLOOKUP(O166,'G-7 WaterC'' Data'!$AD$4:$AE$14,2,FALSE)=0,"Spatial Data Missing ⚠",VLOOKUP(O166,'G-7 WaterC'' Data'!$AD$4:$AE$14,2,FALSE)))</f>
        <v/>
      </c>
      <c r="Q166" s="369" t="str">
        <f>IF(D166="","",VLOOKUP(D166,'G-7 WaterC'' Data'!$B$2:$G$8,6,FALSE))</f>
        <v/>
      </c>
      <c r="R166" s="376" t="str">
        <f>IFERROR(IF(D166="","",IF(AND(Q166='G-1 All Habitats'!$X$3,U166&gt;0),V166+W166,IF(AND(Q166='G-1 All Habitats'!$X$3,T166&gt;0),V166+W166,IF(AND(Q166='G-1 All Habitats'!$X$3,AD166&gt;0),"Any Loss Unacceptable ⚠",IF(AND(Q166='G-1 All Habitats'!$X$3,AE166&gt;0),"Any Loss Unacceptable ⚠", E166*G166*I166*L166*N166*P166 ))))),"Check Data ▲")</f>
        <v/>
      </c>
      <c r="S166" s="32"/>
      <c r="T166" s="114"/>
      <c r="U166" s="125"/>
      <c r="V166" s="374" t="str">
        <f t="shared" si="14"/>
        <v/>
      </c>
      <c r="W166" s="374" t="str">
        <f t="shared" si="15"/>
        <v/>
      </c>
      <c r="X166" s="374" t="str">
        <f t="shared" si="16"/>
        <v/>
      </c>
      <c r="Y166" s="670" t="str">
        <f t="shared" si="17"/>
        <v/>
      </c>
      <c r="Z166" s="706"/>
      <c r="AA166" s="704"/>
      <c r="AB166" s="120"/>
      <c r="AC166" s="120"/>
      <c r="AD166" s="57" t="str">
        <f>IF(Q166="","",IF(Q166='G-1 All Habitats'!$X$3,E166-T166-U166,"None"))</f>
        <v/>
      </c>
      <c r="AE166" s="58" t="str">
        <f>IF(Q166="","", IF(Q166='G-1 All Habitats'!$X$3, AD166*G166*I166*L166*N166*P166,"None"))</f>
        <v/>
      </c>
      <c r="AH166" s="30">
        <f t="shared" si="18"/>
        <v>0</v>
      </c>
      <c r="AI166" s="124" t="str">
        <f t="shared" si="19"/>
        <v/>
      </c>
      <c r="AJ166" s="124" t="str">
        <f t="shared" si="20"/>
        <v/>
      </c>
      <c r="AL166" s="124">
        <v>157</v>
      </c>
      <c r="AN166" s="124" t="str">
        <f t="array" ref="AN166">IFERROR(INDEX($AL$10:$AL$258, MATCH(0, IF(TRUE=$AI$10:$AI$258, COUNTIF($AN$9:$AN165, $AL$10:$AL$258), ""), 0)),"")</f>
        <v/>
      </c>
      <c r="AO166" s="124" t="str">
        <f t="array" ref="AO166">IFERROR(INDEX($AL$10:$AL$258, MATCH(0, IF(TRUE=$AJ$10:$AJ$258, COUNTIF($AO$9:$AO165, $AL$10:$AL$258), ""), 0)),"")</f>
        <v/>
      </c>
      <c r="AQ166" s="30" t="str">
        <f>IFERROR(INDEX('G-7 WaterC'' Data'!$AZ$3:$AZ$7,MATCH(D166,'G-7 WaterC'' Data'!$AY$3:$AY$7,0)),"")</f>
        <v/>
      </c>
      <c r="AR166" s="30" t="str">
        <f>IFERROR(INDEX('G-7 WaterC'' Data'!AZ166:AZ170,MATCH(D166,'G-7 WaterC'' Data'!$AY$10:$AY$14,0)),"")</f>
        <v/>
      </c>
    </row>
    <row r="167" spans="3:44" ht="15">
      <c r="C167" s="110">
        <v>158</v>
      </c>
      <c r="D167" s="338"/>
      <c r="E167" s="139"/>
      <c r="F167" s="362" t="str">
        <f>IF(D167="","",VLOOKUP(D167,'G-7 WaterC'' Data'!$B$2:$G$8,2,FALSE))</f>
        <v/>
      </c>
      <c r="G167" s="363" t="str">
        <f>IFERROR(VLOOKUP(F167,'G-7 WaterC'' Data'!$C$4:$D$8,2,FALSE),"")</f>
        <v/>
      </c>
      <c r="H167" s="114"/>
      <c r="I167" s="363" t="str">
        <f>IFERROR(INDEX('G-7 WaterC'' Data'!$H$4:$L$8,MATCH(D167,'G-7 WaterC'' Data'!$B$4:$B$8,0),MATCH(H167,'G-7 WaterC'' Data'!$H$3:$L$3,0)),"")</f>
        <v/>
      </c>
      <c r="J167" s="320"/>
      <c r="K167" s="398" t="str">
        <f>IF(J167="","",IF(VLOOKUP(J167,'G-7 WaterC'' Data'!$AK$4:$AM$6,2,FALSE)=0,"Spatial Data Missing ⚠",VLOOKUP(J167,'G-7 WaterC'' Data'!$AK$4:$AM$6,2,FALSE)))</f>
        <v/>
      </c>
      <c r="L167" s="368" t="str">
        <f>IF(J167="","",IF(VLOOKUP(J167,'G-7 WaterC'' Data'!$AK$4:$AM$9,3,FALSE)=0,"Spatial Data Missing ⚠",VLOOKUP(J167,'G-7 WaterC'' Data'!$AK$4:$AM$6,3,FALSE)))</f>
        <v/>
      </c>
      <c r="M167" s="54"/>
      <c r="N167" s="363" t="str">
        <f>IF(M167="","",IF(VLOOKUP(M167,'G-7 WaterC'' Data'!$AA$4:$AB$7,2,FALSE)=0,"Spatial Data Missing ⚠",VLOOKUP(M167,'G-7 WaterC'' Data'!$AA$4:$AB$7,2,FALSE)))</f>
        <v/>
      </c>
      <c r="O167" s="60"/>
      <c r="P167" s="363" t="str">
        <f>IF(O167="","",IF(VLOOKUP(O167,'G-7 WaterC'' Data'!$AD$4:$AE$14,2,FALSE)=0,"Spatial Data Missing ⚠",VLOOKUP(O167,'G-7 WaterC'' Data'!$AD$4:$AE$14,2,FALSE)))</f>
        <v/>
      </c>
      <c r="Q167" s="369" t="str">
        <f>IF(D167="","",VLOOKUP(D167,'G-7 WaterC'' Data'!$B$2:$G$8,6,FALSE))</f>
        <v/>
      </c>
      <c r="R167" s="376" t="str">
        <f>IFERROR(IF(D167="","",IF(AND(Q167='G-1 All Habitats'!$X$3,U167&gt;0),V167+W167,IF(AND(Q167='G-1 All Habitats'!$X$3,T167&gt;0),V167+W167,IF(AND(Q167='G-1 All Habitats'!$X$3,AD167&gt;0),"Any Loss Unacceptable ⚠",IF(AND(Q167='G-1 All Habitats'!$X$3,AE167&gt;0),"Any Loss Unacceptable ⚠", E167*G167*I167*L167*N167*P167 ))))),"Check Data ▲")</f>
        <v/>
      </c>
      <c r="S167" s="32"/>
      <c r="T167" s="114"/>
      <c r="U167" s="125"/>
      <c r="V167" s="374" t="str">
        <f t="shared" si="14"/>
        <v/>
      </c>
      <c r="W167" s="374" t="str">
        <f t="shared" si="15"/>
        <v/>
      </c>
      <c r="X167" s="374" t="str">
        <f t="shared" si="16"/>
        <v/>
      </c>
      <c r="Y167" s="670" t="str">
        <f t="shared" si="17"/>
        <v/>
      </c>
      <c r="Z167" s="706"/>
      <c r="AA167" s="704"/>
      <c r="AB167" s="120"/>
      <c r="AC167" s="120"/>
      <c r="AD167" s="57" t="str">
        <f>IF(Q167="","",IF(Q167='G-1 All Habitats'!$X$3,E167-T167-U167,"None"))</f>
        <v/>
      </c>
      <c r="AE167" s="58" t="str">
        <f>IF(Q167="","", IF(Q167='G-1 All Habitats'!$X$3, AD167*G167*I167*L167*N167*P167,"None"))</f>
        <v/>
      </c>
      <c r="AH167" s="30">
        <f t="shared" si="18"/>
        <v>0</v>
      </c>
      <c r="AI167" s="124" t="str">
        <f t="shared" si="19"/>
        <v/>
      </c>
      <c r="AJ167" s="124" t="str">
        <f t="shared" si="20"/>
        <v/>
      </c>
      <c r="AL167" s="124">
        <v>158</v>
      </c>
      <c r="AN167" s="124" t="str">
        <f t="array" ref="AN167">IFERROR(INDEX($AL$10:$AL$258, MATCH(0, IF(TRUE=$AI$10:$AI$258, COUNTIF($AN$9:$AN166, $AL$10:$AL$258), ""), 0)),"")</f>
        <v/>
      </c>
      <c r="AO167" s="124" t="str">
        <f t="array" ref="AO167">IFERROR(INDEX($AL$10:$AL$258, MATCH(0, IF(TRUE=$AJ$10:$AJ$258, COUNTIF($AO$9:$AO166, $AL$10:$AL$258), ""), 0)),"")</f>
        <v/>
      </c>
      <c r="AQ167" s="30" t="str">
        <f>IFERROR(INDEX('G-7 WaterC'' Data'!$AZ$3:$AZ$7,MATCH(D167,'G-7 WaterC'' Data'!$AY$3:$AY$7,0)),"")</f>
        <v/>
      </c>
      <c r="AR167" s="30" t="str">
        <f>IFERROR(INDEX('G-7 WaterC'' Data'!AZ167:AZ171,MATCH(D167,'G-7 WaterC'' Data'!$AY$10:$AY$14,0)),"")</f>
        <v/>
      </c>
    </row>
    <row r="168" spans="3:44" ht="15">
      <c r="C168" s="110">
        <v>159</v>
      </c>
      <c r="D168" s="338"/>
      <c r="E168" s="139"/>
      <c r="F168" s="362" t="str">
        <f>IF(D168="","",VLOOKUP(D168,'G-7 WaterC'' Data'!$B$2:$G$8,2,FALSE))</f>
        <v/>
      </c>
      <c r="G168" s="363" t="str">
        <f>IFERROR(VLOOKUP(F168,'G-7 WaterC'' Data'!$C$4:$D$8,2,FALSE),"")</f>
        <v/>
      </c>
      <c r="H168" s="114"/>
      <c r="I168" s="363" t="str">
        <f>IFERROR(INDEX('G-7 WaterC'' Data'!$H$4:$L$8,MATCH(D168,'G-7 WaterC'' Data'!$B$4:$B$8,0),MATCH(H168,'G-7 WaterC'' Data'!$H$3:$L$3,0)),"")</f>
        <v/>
      </c>
      <c r="J168" s="320"/>
      <c r="K168" s="398" t="str">
        <f>IF(J168="","",IF(VLOOKUP(J168,'G-7 WaterC'' Data'!$AK$4:$AM$6,2,FALSE)=0,"Spatial Data Missing ⚠",VLOOKUP(J168,'G-7 WaterC'' Data'!$AK$4:$AM$6,2,FALSE)))</f>
        <v/>
      </c>
      <c r="L168" s="368" t="str">
        <f>IF(J168="","",IF(VLOOKUP(J168,'G-7 WaterC'' Data'!$AK$4:$AM$9,3,FALSE)=0,"Spatial Data Missing ⚠",VLOOKUP(J168,'G-7 WaterC'' Data'!$AK$4:$AM$6,3,FALSE)))</f>
        <v/>
      </c>
      <c r="M168" s="54"/>
      <c r="N168" s="363" t="str">
        <f>IF(M168="","",IF(VLOOKUP(M168,'G-7 WaterC'' Data'!$AA$4:$AB$7,2,FALSE)=0,"Spatial Data Missing ⚠",VLOOKUP(M168,'G-7 WaterC'' Data'!$AA$4:$AB$7,2,FALSE)))</f>
        <v/>
      </c>
      <c r="O168" s="60"/>
      <c r="P168" s="363" t="str">
        <f>IF(O168="","",IF(VLOOKUP(O168,'G-7 WaterC'' Data'!$AD$4:$AE$14,2,FALSE)=0,"Spatial Data Missing ⚠",VLOOKUP(O168,'G-7 WaterC'' Data'!$AD$4:$AE$14,2,FALSE)))</f>
        <v/>
      </c>
      <c r="Q168" s="369" t="str">
        <f>IF(D168="","",VLOOKUP(D168,'G-7 WaterC'' Data'!$B$2:$G$8,6,FALSE))</f>
        <v/>
      </c>
      <c r="R168" s="376" t="str">
        <f>IFERROR(IF(D168="","",IF(AND(Q168='G-1 All Habitats'!$X$3,U168&gt;0),V168+W168,IF(AND(Q168='G-1 All Habitats'!$X$3,T168&gt;0),V168+W168,IF(AND(Q168='G-1 All Habitats'!$X$3,AD168&gt;0),"Any Loss Unacceptable ⚠",IF(AND(Q168='G-1 All Habitats'!$X$3,AE168&gt;0),"Any Loss Unacceptable ⚠", E168*G168*I168*L168*N168*P168 ))))),"Check Data ▲")</f>
        <v/>
      </c>
      <c r="S168" s="32"/>
      <c r="T168" s="114"/>
      <c r="U168" s="125"/>
      <c r="V168" s="374" t="str">
        <f t="shared" si="14"/>
        <v/>
      </c>
      <c r="W168" s="374" t="str">
        <f t="shared" si="15"/>
        <v/>
      </c>
      <c r="X168" s="374" t="str">
        <f t="shared" si="16"/>
        <v/>
      </c>
      <c r="Y168" s="670" t="str">
        <f t="shared" si="17"/>
        <v/>
      </c>
      <c r="Z168" s="706"/>
      <c r="AA168" s="704"/>
      <c r="AB168" s="120"/>
      <c r="AC168" s="120"/>
      <c r="AD168" s="57" t="str">
        <f>IF(Q168="","",IF(Q168='G-1 All Habitats'!$X$3,E168-T168-U168,"None"))</f>
        <v/>
      </c>
      <c r="AE168" s="58" t="str">
        <f>IF(Q168="","", IF(Q168='G-1 All Habitats'!$X$3, AD168*G168*I168*L168*N168*P168,"None"))</f>
        <v/>
      </c>
      <c r="AH168" s="30">
        <f t="shared" si="18"/>
        <v>0</v>
      </c>
      <c r="AI168" s="124" t="str">
        <f t="shared" si="19"/>
        <v/>
      </c>
      <c r="AJ168" s="124" t="str">
        <f t="shared" si="20"/>
        <v/>
      </c>
      <c r="AL168" s="124">
        <v>159</v>
      </c>
      <c r="AN168" s="124" t="str">
        <f t="array" ref="AN168">IFERROR(INDEX($AL$10:$AL$258, MATCH(0, IF(TRUE=$AI$10:$AI$258, COUNTIF($AN$9:$AN167, $AL$10:$AL$258), ""), 0)),"")</f>
        <v/>
      </c>
      <c r="AO168" s="124" t="str">
        <f t="array" ref="AO168">IFERROR(INDEX($AL$10:$AL$258, MATCH(0, IF(TRUE=$AJ$10:$AJ$258, COUNTIF($AO$9:$AO167, $AL$10:$AL$258), ""), 0)),"")</f>
        <v/>
      </c>
      <c r="AQ168" s="30" t="str">
        <f>IFERROR(INDEX('G-7 WaterC'' Data'!$AZ$3:$AZ$7,MATCH(D168,'G-7 WaterC'' Data'!$AY$3:$AY$7,0)),"")</f>
        <v/>
      </c>
      <c r="AR168" s="30" t="str">
        <f>IFERROR(INDEX('G-7 WaterC'' Data'!AZ168:AZ172,MATCH(D168,'G-7 WaterC'' Data'!$AY$10:$AY$14,0)),"")</f>
        <v/>
      </c>
    </row>
    <row r="169" spans="3:44" ht="15">
      <c r="C169" s="110">
        <v>160</v>
      </c>
      <c r="D169" s="338"/>
      <c r="E169" s="139"/>
      <c r="F169" s="362" t="str">
        <f>IF(D169="","",VLOOKUP(D169,'G-7 WaterC'' Data'!$B$2:$G$8,2,FALSE))</f>
        <v/>
      </c>
      <c r="G169" s="363" t="str">
        <f>IFERROR(VLOOKUP(F169,'G-7 WaterC'' Data'!$C$4:$D$8,2,FALSE),"")</f>
        <v/>
      </c>
      <c r="H169" s="114"/>
      <c r="I169" s="363" t="str">
        <f>IFERROR(INDEX('G-7 WaterC'' Data'!$H$4:$L$8,MATCH(D169,'G-7 WaterC'' Data'!$B$4:$B$8,0),MATCH(H169,'G-7 WaterC'' Data'!$H$3:$L$3,0)),"")</f>
        <v/>
      </c>
      <c r="J169" s="320"/>
      <c r="K169" s="398" t="str">
        <f>IF(J169="","",IF(VLOOKUP(J169,'G-7 WaterC'' Data'!$AK$4:$AM$6,2,FALSE)=0,"Spatial Data Missing ⚠",VLOOKUP(J169,'G-7 WaterC'' Data'!$AK$4:$AM$6,2,FALSE)))</f>
        <v/>
      </c>
      <c r="L169" s="368" t="str">
        <f>IF(J169="","",IF(VLOOKUP(J169,'G-7 WaterC'' Data'!$AK$4:$AM$9,3,FALSE)=0,"Spatial Data Missing ⚠",VLOOKUP(J169,'G-7 WaterC'' Data'!$AK$4:$AM$6,3,FALSE)))</f>
        <v/>
      </c>
      <c r="M169" s="54"/>
      <c r="N169" s="363" t="str">
        <f>IF(M169="","",IF(VLOOKUP(M169,'G-7 WaterC'' Data'!$AA$4:$AB$7,2,FALSE)=0,"Spatial Data Missing ⚠",VLOOKUP(M169,'G-7 WaterC'' Data'!$AA$4:$AB$7,2,FALSE)))</f>
        <v/>
      </c>
      <c r="O169" s="60"/>
      <c r="P169" s="363" t="str">
        <f>IF(O169="","",IF(VLOOKUP(O169,'G-7 WaterC'' Data'!$AD$4:$AE$14,2,FALSE)=0,"Spatial Data Missing ⚠",VLOOKUP(O169,'G-7 WaterC'' Data'!$AD$4:$AE$14,2,FALSE)))</f>
        <v/>
      </c>
      <c r="Q169" s="369" t="str">
        <f>IF(D169="","",VLOOKUP(D169,'G-7 WaterC'' Data'!$B$2:$G$8,6,FALSE))</f>
        <v/>
      </c>
      <c r="R169" s="376" t="str">
        <f>IFERROR(IF(D169="","",IF(AND(Q169='G-1 All Habitats'!$X$3,U169&gt;0),V169+W169,IF(AND(Q169='G-1 All Habitats'!$X$3,T169&gt;0),V169+W169,IF(AND(Q169='G-1 All Habitats'!$X$3,AD169&gt;0),"Any Loss Unacceptable ⚠",IF(AND(Q169='G-1 All Habitats'!$X$3,AE169&gt;0),"Any Loss Unacceptable ⚠", E169*G169*I169*L169*N169*P169 ))))),"Check Data ▲")</f>
        <v/>
      </c>
      <c r="S169" s="32"/>
      <c r="T169" s="114"/>
      <c r="U169" s="125"/>
      <c r="V169" s="374" t="str">
        <f t="shared" si="14"/>
        <v/>
      </c>
      <c r="W169" s="374" t="str">
        <f t="shared" si="15"/>
        <v/>
      </c>
      <c r="X169" s="374" t="str">
        <f t="shared" si="16"/>
        <v/>
      </c>
      <c r="Y169" s="670" t="str">
        <f t="shared" si="17"/>
        <v/>
      </c>
      <c r="Z169" s="706"/>
      <c r="AA169" s="704"/>
      <c r="AB169" s="120"/>
      <c r="AC169" s="120"/>
      <c r="AD169" s="57" t="str">
        <f>IF(Q169="","",IF(Q169='G-1 All Habitats'!$X$3,E169-T169-U169,"None"))</f>
        <v/>
      </c>
      <c r="AE169" s="58" t="str">
        <f>IF(Q169="","", IF(Q169='G-1 All Habitats'!$X$3, AD169*G169*I169*L169*N169*P169,"None"))</f>
        <v/>
      </c>
      <c r="AH169" s="30">
        <f t="shared" si="18"/>
        <v>0</v>
      </c>
      <c r="AI169" s="124" t="str">
        <f t="shared" si="19"/>
        <v/>
      </c>
      <c r="AJ169" s="124" t="str">
        <f t="shared" si="20"/>
        <v/>
      </c>
      <c r="AL169" s="124">
        <v>160</v>
      </c>
      <c r="AN169" s="124" t="str">
        <f t="array" ref="AN169">IFERROR(INDEX($AL$10:$AL$258, MATCH(0, IF(TRUE=$AI$10:$AI$258, COUNTIF($AN$9:$AN168, $AL$10:$AL$258), ""), 0)),"")</f>
        <v/>
      </c>
      <c r="AO169" s="124" t="str">
        <f t="array" ref="AO169">IFERROR(INDEX($AL$10:$AL$258, MATCH(0, IF(TRUE=$AJ$10:$AJ$258, COUNTIF($AO$9:$AO168, $AL$10:$AL$258), ""), 0)),"")</f>
        <v/>
      </c>
      <c r="AQ169" s="30" t="str">
        <f>IFERROR(INDEX('G-7 WaterC'' Data'!$AZ$3:$AZ$7,MATCH(D169,'G-7 WaterC'' Data'!$AY$3:$AY$7,0)),"")</f>
        <v/>
      </c>
      <c r="AR169" s="30" t="str">
        <f>IFERROR(INDEX('G-7 WaterC'' Data'!AZ169:AZ173,MATCH(D169,'G-7 WaterC'' Data'!$AY$10:$AY$14,0)),"")</f>
        <v/>
      </c>
    </row>
    <row r="170" spans="3:44" ht="15">
      <c r="C170" s="110">
        <v>161</v>
      </c>
      <c r="D170" s="338"/>
      <c r="E170" s="139"/>
      <c r="F170" s="362" t="str">
        <f>IF(D170="","",VLOOKUP(D170,'G-7 WaterC'' Data'!$B$2:$G$8,2,FALSE))</f>
        <v/>
      </c>
      <c r="G170" s="363" t="str">
        <f>IFERROR(VLOOKUP(F170,'G-7 WaterC'' Data'!$C$4:$D$8,2,FALSE),"")</f>
        <v/>
      </c>
      <c r="H170" s="114"/>
      <c r="I170" s="363" t="str">
        <f>IFERROR(INDEX('G-7 WaterC'' Data'!$H$4:$L$8,MATCH(D170,'G-7 WaterC'' Data'!$B$4:$B$8,0),MATCH(H170,'G-7 WaterC'' Data'!$H$3:$L$3,0)),"")</f>
        <v/>
      </c>
      <c r="J170" s="320"/>
      <c r="K170" s="398" t="str">
        <f>IF(J170="","",IF(VLOOKUP(J170,'G-7 WaterC'' Data'!$AK$4:$AM$6,2,FALSE)=0,"Spatial Data Missing ⚠",VLOOKUP(J170,'G-7 WaterC'' Data'!$AK$4:$AM$6,2,FALSE)))</f>
        <v/>
      </c>
      <c r="L170" s="368" t="str">
        <f>IF(J170="","",IF(VLOOKUP(J170,'G-7 WaterC'' Data'!$AK$4:$AM$9,3,FALSE)=0,"Spatial Data Missing ⚠",VLOOKUP(J170,'G-7 WaterC'' Data'!$AK$4:$AM$6,3,FALSE)))</f>
        <v/>
      </c>
      <c r="M170" s="54"/>
      <c r="N170" s="363" t="str">
        <f>IF(M170="","",IF(VLOOKUP(M170,'G-7 WaterC'' Data'!$AA$4:$AB$7,2,FALSE)=0,"Spatial Data Missing ⚠",VLOOKUP(M170,'G-7 WaterC'' Data'!$AA$4:$AB$7,2,FALSE)))</f>
        <v/>
      </c>
      <c r="O170" s="60"/>
      <c r="P170" s="363" t="str">
        <f>IF(O170="","",IF(VLOOKUP(O170,'G-7 WaterC'' Data'!$AD$4:$AE$14,2,FALSE)=0,"Spatial Data Missing ⚠",VLOOKUP(O170,'G-7 WaterC'' Data'!$AD$4:$AE$14,2,FALSE)))</f>
        <v/>
      </c>
      <c r="Q170" s="369" t="str">
        <f>IF(D170="","",VLOOKUP(D170,'G-7 WaterC'' Data'!$B$2:$G$8,6,FALSE))</f>
        <v/>
      </c>
      <c r="R170" s="376" t="str">
        <f>IFERROR(IF(D170="","",IF(AND(Q170='G-1 All Habitats'!$X$3,U170&gt;0),V170+W170,IF(AND(Q170='G-1 All Habitats'!$X$3,T170&gt;0),V170+W170,IF(AND(Q170='G-1 All Habitats'!$X$3,AD170&gt;0),"Any Loss Unacceptable ⚠",IF(AND(Q170='G-1 All Habitats'!$X$3,AE170&gt;0),"Any Loss Unacceptable ⚠", E170*G170*I170*L170*N170*P170 ))))),"Check Data ▲")</f>
        <v/>
      </c>
      <c r="S170" s="32"/>
      <c r="T170" s="114"/>
      <c r="U170" s="125"/>
      <c r="V170" s="374" t="str">
        <f t="shared" si="14"/>
        <v/>
      </c>
      <c r="W170" s="374" t="str">
        <f t="shared" si="15"/>
        <v/>
      </c>
      <c r="X170" s="374" t="str">
        <f t="shared" si="16"/>
        <v/>
      </c>
      <c r="Y170" s="670" t="str">
        <f t="shared" si="17"/>
        <v/>
      </c>
      <c r="Z170" s="706"/>
      <c r="AA170" s="704"/>
      <c r="AB170" s="120"/>
      <c r="AC170" s="120"/>
      <c r="AD170" s="57" t="str">
        <f>IF(Q170="","",IF(Q170='G-1 All Habitats'!$X$3,E170-T170-U170,"None"))</f>
        <v/>
      </c>
      <c r="AE170" s="58" t="str">
        <f>IF(Q170="","", IF(Q170='G-1 All Habitats'!$X$3, AD170*G170*I170*L170*N170*P170,"None"))</f>
        <v/>
      </c>
      <c r="AH170" s="30">
        <f t="shared" si="18"/>
        <v>0</v>
      </c>
      <c r="AI170" s="124" t="str">
        <f t="shared" si="19"/>
        <v/>
      </c>
      <c r="AJ170" s="124" t="str">
        <f t="shared" si="20"/>
        <v/>
      </c>
      <c r="AL170" s="124">
        <v>161</v>
      </c>
      <c r="AN170" s="124" t="str">
        <f t="array" ref="AN170">IFERROR(INDEX($AL$10:$AL$258, MATCH(0, IF(TRUE=$AI$10:$AI$258, COUNTIF($AN$9:$AN169, $AL$10:$AL$258), ""), 0)),"")</f>
        <v/>
      </c>
      <c r="AO170" s="124" t="str">
        <f t="array" ref="AO170">IFERROR(INDEX($AL$10:$AL$258, MATCH(0, IF(TRUE=$AJ$10:$AJ$258, COUNTIF($AO$9:$AO169, $AL$10:$AL$258), ""), 0)),"")</f>
        <v/>
      </c>
      <c r="AQ170" s="30" t="str">
        <f>IFERROR(INDEX('G-7 WaterC'' Data'!$AZ$3:$AZ$7,MATCH(D170,'G-7 WaterC'' Data'!$AY$3:$AY$7,0)),"")</f>
        <v/>
      </c>
      <c r="AR170" s="30" t="str">
        <f>IFERROR(INDEX('G-7 WaterC'' Data'!AZ170:AZ174,MATCH(D170,'G-7 WaterC'' Data'!$AY$10:$AY$14,0)),"")</f>
        <v/>
      </c>
    </row>
    <row r="171" spans="3:44" ht="15">
      <c r="C171" s="110">
        <v>162</v>
      </c>
      <c r="D171" s="338"/>
      <c r="E171" s="139"/>
      <c r="F171" s="362" t="str">
        <f>IF(D171="","",VLOOKUP(D171,'G-7 WaterC'' Data'!$B$2:$G$8,2,FALSE))</f>
        <v/>
      </c>
      <c r="G171" s="363" t="str">
        <f>IFERROR(VLOOKUP(F171,'G-7 WaterC'' Data'!$C$4:$D$8,2,FALSE),"")</f>
        <v/>
      </c>
      <c r="H171" s="114"/>
      <c r="I171" s="363" t="str">
        <f>IFERROR(INDEX('G-7 WaterC'' Data'!$H$4:$L$8,MATCH(D171,'G-7 WaterC'' Data'!$B$4:$B$8,0),MATCH(H171,'G-7 WaterC'' Data'!$H$3:$L$3,0)),"")</f>
        <v/>
      </c>
      <c r="J171" s="320"/>
      <c r="K171" s="398" t="str">
        <f>IF(J171="","",IF(VLOOKUP(J171,'G-7 WaterC'' Data'!$AK$4:$AM$6,2,FALSE)=0,"Spatial Data Missing ⚠",VLOOKUP(J171,'G-7 WaterC'' Data'!$AK$4:$AM$6,2,FALSE)))</f>
        <v/>
      </c>
      <c r="L171" s="368" t="str">
        <f>IF(J171="","",IF(VLOOKUP(J171,'G-7 WaterC'' Data'!$AK$4:$AM$9,3,FALSE)=0,"Spatial Data Missing ⚠",VLOOKUP(J171,'G-7 WaterC'' Data'!$AK$4:$AM$6,3,FALSE)))</f>
        <v/>
      </c>
      <c r="M171" s="54"/>
      <c r="N171" s="363" t="str">
        <f>IF(M171="","",IF(VLOOKUP(M171,'G-7 WaterC'' Data'!$AA$4:$AB$7,2,FALSE)=0,"Spatial Data Missing ⚠",VLOOKUP(M171,'G-7 WaterC'' Data'!$AA$4:$AB$7,2,FALSE)))</f>
        <v/>
      </c>
      <c r="O171" s="60"/>
      <c r="P171" s="363" t="str">
        <f>IF(O171="","",IF(VLOOKUP(O171,'G-7 WaterC'' Data'!$AD$4:$AE$14,2,FALSE)=0,"Spatial Data Missing ⚠",VLOOKUP(O171,'G-7 WaterC'' Data'!$AD$4:$AE$14,2,FALSE)))</f>
        <v/>
      </c>
      <c r="Q171" s="369" t="str">
        <f>IF(D171="","",VLOOKUP(D171,'G-7 WaterC'' Data'!$B$2:$G$8,6,FALSE))</f>
        <v/>
      </c>
      <c r="R171" s="376" t="str">
        <f>IFERROR(IF(D171="","",IF(AND(Q171='G-1 All Habitats'!$X$3,U171&gt;0),V171+W171,IF(AND(Q171='G-1 All Habitats'!$X$3,T171&gt;0),V171+W171,IF(AND(Q171='G-1 All Habitats'!$X$3,AD171&gt;0),"Any Loss Unacceptable ⚠",IF(AND(Q171='G-1 All Habitats'!$X$3,AE171&gt;0),"Any Loss Unacceptable ⚠", E171*G171*I171*L171*N171*P171 ))))),"Check Data ▲")</f>
        <v/>
      </c>
      <c r="S171" s="32"/>
      <c r="T171" s="114"/>
      <c r="U171" s="125"/>
      <c r="V171" s="374" t="str">
        <f t="shared" si="14"/>
        <v/>
      </c>
      <c r="W171" s="374" t="str">
        <f t="shared" si="15"/>
        <v/>
      </c>
      <c r="X171" s="374" t="str">
        <f t="shared" si="16"/>
        <v/>
      </c>
      <c r="Y171" s="670" t="str">
        <f t="shared" si="17"/>
        <v/>
      </c>
      <c r="Z171" s="706"/>
      <c r="AA171" s="704"/>
      <c r="AB171" s="120"/>
      <c r="AC171" s="120"/>
      <c r="AD171" s="57" t="str">
        <f>IF(Q171="","",IF(Q171='G-1 All Habitats'!$X$3,E171-T171-U171,"None"))</f>
        <v/>
      </c>
      <c r="AE171" s="58" t="str">
        <f>IF(Q171="","", IF(Q171='G-1 All Habitats'!$X$3, AD171*G171*I171*L171*N171*P171,"None"))</f>
        <v/>
      </c>
      <c r="AH171" s="30">
        <f t="shared" si="18"/>
        <v>0</v>
      </c>
      <c r="AI171" s="124" t="str">
        <f t="shared" si="19"/>
        <v/>
      </c>
      <c r="AJ171" s="124" t="str">
        <f t="shared" si="20"/>
        <v/>
      </c>
      <c r="AL171" s="124">
        <v>162</v>
      </c>
      <c r="AN171" s="124" t="str">
        <f t="array" ref="AN171">IFERROR(INDEX($AL$10:$AL$258, MATCH(0, IF(TRUE=$AI$10:$AI$258, COUNTIF($AN$9:$AN170, $AL$10:$AL$258), ""), 0)),"")</f>
        <v/>
      </c>
      <c r="AO171" s="124" t="str">
        <f t="array" ref="AO171">IFERROR(INDEX($AL$10:$AL$258, MATCH(0, IF(TRUE=$AJ$10:$AJ$258, COUNTIF($AO$9:$AO170, $AL$10:$AL$258), ""), 0)),"")</f>
        <v/>
      </c>
      <c r="AQ171" s="30" t="str">
        <f>IFERROR(INDEX('G-7 WaterC'' Data'!$AZ$3:$AZ$7,MATCH(D171,'G-7 WaterC'' Data'!$AY$3:$AY$7,0)),"")</f>
        <v/>
      </c>
      <c r="AR171" s="30" t="str">
        <f>IFERROR(INDEX('G-7 WaterC'' Data'!AZ171:AZ175,MATCH(D171,'G-7 WaterC'' Data'!$AY$10:$AY$14,0)),"")</f>
        <v/>
      </c>
    </row>
    <row r="172" spans="3:44" ht="15">
      <c r="C172" s="110">
        <v>163</v>
      </c>
      <c r="D172" s="338"/>
      <c r="E172" s="139"/>
      <c r="F172" s="362" t="str">
        <f>IF(D172="","",VLOOKUP(D172,'G-7 WaterC'' Data'!$B$2:$G$8,2,FALSE))</f>
        <v/>
      </c>
      <c r="G172" s="363" t="str">
        <f>IFERROR(VLOOKUP(F172,'G-7 WaterC'' Data'!$C$4:$D$8,2,FALSE),"")</f>
        <v/>
      </c>
      <c r="H172" s="114"/>
      <c r="I172" s="363" t="str">
        <f>IFERROR(INDEX('G-7 WaterC'' Data'!$H$4:$L$8,MATCH(D172,'G-7 WaterC'' Data'!$B$4:$B$8,0),MATCH(H172,'G-7 WaterC'' Data'!$H$3:$L$3,0)),"")</f>
        <v/>
      </c>
      <c r="J172" s="320"/>
      <c r="K172" s="398" t="str">
        <f>IF(J172="","",IF(VLOOKUP(J172,'G-7 WaterC'' Data'!$AK$4:$AM$6,2,FALSE)=0,"Spatial Data Missing ⚠",VLOOKUP(J172,'G-7 WaterC'' Data'!$AK$4:$AM$6,2,FALSE)))</f>
        <v/>
      </c>
      <c r="L172" s="368" t="str">
        <f>IF(J172="","",IF(VLOOKUP(J172,'G-7 WaterC'' Data'!$AK$4:$AM$9,3,FALSE)=0,"Spatial Data Missing ⚠",VLOOKUP(J172,'G-7 WaterC'' Data'!$AK$4:$AM$6,3,FALSE)))</f>
        <v/>
      </c>
      <c r="M172" s="54"/>
      <c r="N172" s="363" t="str">
        <f>IF(M172="","",IF(VLOOKUP(M172,'G-7 WaterC'' Data'!$AA$4:$AB$7,2,FALSE)=0,"Spatial Data Missing ⚠",VLOOKUP(M172,'G-7 WaterC'' Data'!$AA$4:$AB$7,2,FALSE)))</f>
        <v/>
      </c>
      <c r="O172" s="60"/>
      <c r="P172" s="363" t="str">
        <f>IF(O172="","",IF(VLOOKUP(O172,'G-7 WaterC'' Data'!$AD$4:$AE$14,2,FALSE)=0,"Spatial Data Missing ⚠",VLOOKUP(O172,'G-7 WaterC'' Data'!$AD$4:$AE$14,2,FALSE)))</f>
        <v/>
      </c>
      <c r="Q172" s="369" t="str">
        <f>IF(D172="","",VLOOKUP(D172,'G-7 WaterC'' Data'!$B$2:$G$8,6,FALSE))</f>
        <v/>
      </c>
      <c r="R172" s="376" t="str">
        <f>IFERROR(IF(D172="","",IF(AND(Q172='G-1 All Habitats'!$X$3,U172&gt;0),V172+W172,IF(AND(Q172='G-1 All Habitats'!$X$3,T172&gt;0),V172+W172,IF(AND(Q172='G-1 All Habitats'!$X$3,AD172&gt;0),"Any Loss Unacceptable ⚠",IF(AND(Q172='G-1 All Habitats'!$X$3,AE172&gt;0),"Any Loss Unacceptable ⚠", E172*G172*I172*L172*N172*P172 ))))),"Check Data ▲")</f>
        <v/>
      </c>
      <c r="S172" s="32"/>
      <c r="T172" s="114"/>
      <c r="U172" s="125"/>
      <c r="V172" s="374" t="str">
        <f t="shared" si="14"/>
        <v/>
      </c>
      <c r="W172" s="374" t="str">
        <f t="shared" si="15"/>
        <v/>
      </c>
      <c r="X172" s="374" t="str">
        <f t="shared" si="16"/>
        <v/>
      </c>
      <c r="Y172" s="670" t="str">
        <f t="shared" si="17"/>
        <v/>
      </c>
      <c r="Z172" s="706"/>
      <c r="AA172" s="704"/>
      <c r="AB172" s="120"/>
      <c r="AC172" s="120"/>
      <c r="AD172" s="57" t="str">
        <f>IF(Q172="","",IF(Q172='G-1 All Habitats'!$X$3,E172-T172-U172,"None"))</f>
        <v/>
      </c>
      <c r="AE172" s="58" t="str">
        <f>IF(Q172="","", IF(Q172='G-1 All Habitats'!$X$3, AD172*G172*I172*L172*N172*P172,"None"))</f>
        <v/>
      </c>
      <c r="AH172" s="30">
        <f t="shared" si="18"/>
        <v>0</v>
      </c>
      <c r="AI172" s="124" t="str">
        <f t="shared" si="19"/>
        <v/>
      </c>
      <c r="AJ172" s="124" t="str">
        <f t="shared" si="20"/>
        <v/>
      </c>
      <c r="AL172" s="124">
        <v>163</v>
      </c>
      <c r="AN172" s="124" t="str">
        <f t="array" ref="AN172">IFERROR(INDEX($AL$10:$AL$258, MATCH(0, IF(TRUE=$AI$10:$AI$258, COUNTIF($AN$9:$AN171, $AL$10:$AL$258), ""), 0)),"")</f>
        <v/>
      </c>
      <c r="AO172" s="124" t="str">
        <f t="array" ref="AO172">IFERROR(INDEX($AL$10:$AL$258, MATCH(0, IF(TRUE=$AJ$10:$AJ$258, COUNTIF($AO$9:$AO171, $AL$10:$AL$258), ""), 0)),"")</f>
        <v/>
      </c>
      <c r="AQ172" s="30" t="str">
        <f>IFERROR(INDEX('G-7 WaterC'' Data'!$AZ$3:$AZ$7,MATCH(D172,'G-7 WaterC'' Data'!$AY$3:$AY$7,0)),"")</f>
        <v/>
      </c>
      <c r="AR172" s="30" t="str">
        <f>IFERROR(INDEX('G-7 WaterC'' Data'!AZ172:AZ176,MATCH(D172,'G-7 WaterC'' Data'!$AY$10:$AY$14,0)),"")</f>
        <v/>
      </c>
    </row>
    <row r="173" spans="3:44" ht="15">
      <c r="C173" s="110">
        <v>164</v>
      </c>
      <c r="D173" s="338"/>
      <c r="E173" s="139"/>
      <c r="F173" s="362" t="str">
        <f>IF(D173="","",VLOOKUP(D173,'G-7 WaterC'' Data'!$B$2:$G$8,2,FALSE))</f>
        <v/>
      </c>
      <c r="G173" s="363" t="str">
        <f>IFERROR(VLOOKUP(F173,'G-7 WaterC'' Data'!$C$4:$D$8,2,FALSE),"")</f>
        <v/>
      </c>
      <c r="H173" s="114"/>
      <c r="I173" s="363" t="str">
        <f>IFERROR(INDEX('G-7 WaterC'' Data'!$H$4:$L$8,MATCH(D173,'G-7 WaterC'' Data'!$B$4:$B$8,0),MATCH(H173,'G-7 WaterC'' Data'!$H$3:$L$3,0)),"")</f>
        <v/>
      </c>
      <c r="J173" s="320"/>
      <c r="K173" s="398" t="str">
        <f>IF(J173="","",IF(VLOOKUP(J173,'G-7 WaterC'' Data'!$AK$4:$AM$6,2,FALSE)=0,"Spatial Data Missing ⚠",VLOOKUP(J173,'G-7 WaterC'' Data'!$AK$4:$AM$6,2,FALSE)))</f>
        <v/>
      </c>
      <c r="L173" s="368" t="str">
        <f>IF(J173="","",IF(VLOOKUP(J173,'G-7 WaterC'' Data'!$AK$4:$AM$9,3,FALSE)=0,"Spatial Data Missing ⚠",VLOOKUP(J173,'G-7 WaterC'' Data'!$AK$4:$AM$6,3,FALSE)))</f>
        <v/>
      </c>
      <c r="M173" s="54"/>
      <c r="N173" s="363" t="str">
        <f>IF(M173="","",IF(VLOOKUP(M173,'G-7 WaterC'' Data'!$AA$4:$AB$7,2,FALSE)=0,"Spatial Data Missing ⚠",VLOOKUP(M173,'G-7 WaterC'' Data'!$AA$4:$AB$7,2,FALSE)))</f>
        <v/>
      </c>
      <c r="O173" s="60"/>
      <c r="P173" s="363" t="str">
        <f>IF(O173="","",IF(VLOOKUP(O173,'G-7 WaterC'' Data'!$AD$4:$AE$14,2,FALSE)=0,"Spatial Data Missing ⚠",VLOOKUP(O173,'G-7 WaterC'' Data'!$AD$4:$AE$14,2,FALSE)))</f>
        <v/>
      </c>
      <c r="Q173" s="369" t="str">
        <f>IF(D173="","",VLOOKUP(D173,'G-7 WaterC'' Data'!$B$2:$G$8,6,FALSE))</f>
        <v/>
      </c>
      <c r="R173" s="376" t="str">
        <f>IFERROR(IF(D173="","",IF(AND(Q173='G-1 All Habitats'!$X$3,U173&gt;0),V173+W173,IF(AND(Q173='G-1 All Habitats'!$X$3,T173&gt;0),V173+W173,IF(AND(Q173='G-1 All Habitats'!$X$3,AD173&gt;0),"Any Loss Unacceptable ⚠",IF(AND(Q173='G-1 All Habitats'!$X$3,AE173&gt;0),"Any Loss Unacceptable ⚠", E173*G173*I173*L173*N173*P173 ))))),"Check Data ▲")</f>
        <v/>
      </c>
      <c r="S173" s="32"/>
      <c r="T173" s="114"/>
      <c r="U173" s="125"/>
      <c r="V173" s="374" t="str">
        <f t="shared" si="14"/>
        <v/>
      </c>
      <c r="W173" s="374" t="str">
        <f t="shared" si="15"/>
        <v/>
      </c>
      <c r="X173" s="374" t="str">
        <f t="shared" si="16"/>
        <v/>
      </c>
      <c r="Y173" s="670" t="str">
        <f t="shared" si="17"/>
        <v/>
      </c>
      <c r="Z173" s="706"/>
      <c r="AA173" s="704"/>
      <c r="AB173" s="120"/>
      <c r="AC173" s="120"/>
      <c r="AD173" s="57" t="str">
        <f>IF(Q173="","",IF(Q173='G-1 All Habitats'!$X$3,E173-T173-U173,"None"))</f>
        <v/>
      </c>
      <c r="AE173" s="58" t="str">
        <f>IF(Q173="","", IF(Q173='G-1 All Habitats'!$X$3, AD173*G173*I173*L173*N173*P173,"None"))</f>
        <v/>
      </c>
      <c r="AH173" s="30">
        <f t="shared" si="18"/>
        <v>0</v>
      </c>
      <c r="AI173" s="124" t="str">
        <f t="shared" si="19"/>
        <v/>
      </c>
      <c r="AJ173" s="124" t="str">
        <f t="shared" si="20"/>
        <v/>
      </c>
      <c r="AL173" s="124">
        <v>164</v>
      </c>
      <c r="AN173" s="124" t="str">
        <f t="array" ref="AN173">IFERROR(INDEX($AL$10:$AL$258, MATCH(0, IF(TRUE=$AI$10:$AI$258, COUNTIF($AN$9:$AN172, $AL$10:$AL$258), ""), 0)),"")</f>
        <v/>
      </c>
      <c r="AO173" s="124" t="str">
        <f t="array" ref="AO173">IFERROR(INDEX($AL$10:$AL$258, MATCH(0, IF(TRUE=$AJ$10:$AJ$258, COUNTIF($AO$9:$AO172, $AL$10:$AL$258), ""), 0)),"")</f>
        <v/>
      </c>
      <c r="AQ173" s="30" t="str">
        <f>IFERROR(INDEX('G-7 WaterC'' Data'!$AZ$3:$AZ$7,MATCH(D173,'G-7 WaterC'' Data'!$AY$3:$AY$7,0)),"")</f>
        <v/>
      </c>
      <c r="AR173" s="30" t="str">
        <f>IFERROR(INDEX('G-7 WaterC'' Data'!AZ173:AZ177,MATCH(D173,'G-7 WaterC'' Data'!$AY$10:$AY$14,0)),"")</f>
        <v/>
      </c>
    </row>
    <row r="174" spans="3:44" ht="15">
      <c r="C174" s="110">
        <v>165</v>
      </c>
      <c r="D174" s="338"/>
      <c r="E174" s="139"/>
      <c r="F174" s="362" t="str">
        <f>IF(D174="","",VLOOKUP(D174,'G-7 WaterC'' Data'!$B$2:$G$8,2,FALSE))</f>
        <v/>
      </c>
      <c r="G174" s="363" t="str">
        <f>IFERROR(VLOOKUP(F174,'G-7 WaterC'' Data'!$C$4:$D$8,2,FALSE),"")</f>
        <v/>
      </c>
      <c r="H174" s="114"/>
      <c r="I174" s="363" t="str">
        <f>IFERROR(INDEX('G-7 WaterC'' Data'!$H$4:$L$8,MATCH(D174,'G-7 WaterC'' Data'!$B$4:$B$8,0),MATCH(H174,'G-7 WaterC'' Data'!$H$3:$L$3,0)),"")</f>
        <v/>
      </c>
      <c r="J174" s="320"/>
      <c r="K174" s="398" t="str">
        <f>IF(J174="","",IF(VLOOKUP(J174,'G-7 WaterC'' Data'!$AK$4:$AM$6,2,FALSE)=0,"Spatial Data Missing ⚠",VLOOKUP(J174,'G-7 WaterC'' Data'!$AK$4:$AM$6,2,FALSE)))</f>
        <v/>
      </c>
      <c r="L174" s="368" t="str">
        <f>IF(J174="","",IF(VLOOKUP(J174,'G-7 WaterC'' Data'!$AK$4:$AM$9,3,FALSE)=0,"Spatial Data Missing ⚠",VLOOKUP(J174,'G-7 WaterC'' Data'!$AK$4:$AM$6,3,FALSE)))</f>
        <v/>
      </c>
      <c r="M174" s="54"/>
      <c r="N174" s="363" t="str">
        <f>IF(M174="","",IF(VLOOKUP(M174,'G-7 WaterC'' Data'!$AA$4:$AB$7,2,FALSE)=0,"Spatial Data Missing ⚠",VLOOKUP(M174,'G-7 WaterC'' Data'!$AA$4:$AB$7,2,FALSE)))</f>
        <v/>
      </c>
      <c r="O174" s="60"/>
      <c r="P174" s="363" t="str">
        <f>IF(O174="","",IF(VLOOKUP(O174,'G-7 WaterC'' Data'!$AD$4:$AE$14,2,FALSE)=0,"Spatial Data Missing ⚠",VLOOKUP(O174,'G-7 WaterC'' Data'!$AD$4:$AE$14,2,FALSE)))</f>
        <v/>
      </c>
      <c r="Q174" s="369" t="str">
        <f>IF(D174="","",VLOOKUP(D174,'G-7 WaterC'' Data'!$B$2:$G$8,6,FALSE))</f>
        <v/>
      </c>
      <c r="R174" s="376" t="str">
        <f>IFERROR(IF(D174="","",IF(AND(Q174='G-1 All Habitats'!$X$3,U174&gt;0),V174+W174,IF(AND(Q174='G-1 All Habitats'!$X$3,T174&gt;0),V174+W174,IF(AND(Q174='G-1 All Habitats'!$X$3,AD174&gt;0),"Any Loss Unacceptable ⚠",IF(AND(Q174='G-1 All Habitats'!$X$3,AE174&gt;0),"Any Loss Unacceptable ⚠", E174*G174*I174*L174*N174*P174 ))))),"Check Data ▲")</f>
        <v/>
      </c>
      <c r="S174" s="32"/>
      <c r="T174" s="114"/>
      <c r="U174" s="125"/>
      <c r="V174" s="374" t="str">
        <f t="shared" si="14"/>
        <v/>
      </c>
      <c r="W174" s="374" t="str">
        <f t="shared" si="15"/>
        <v/>
      </c>
      <c r="X174" s="374" t="str">
        <f t="shared" si="16"/>
        <v/>
      </c>
      <c r="Y174" s="670" t="str">
        <f t="shared" si="17"/>
        <v/>
      </c>
      <c r="Z174" s="706"/>
      <c r="AA174" s="704"/>
      <c r="AB174" s="120"/>
      <c r="AC174" s="120"/>
      <c r="AD174" s="57" t="str">
        <f>IF(Q174="","",IF(Q174='G-1 All Habitats'!$X$3,E174-T174-U174,"None"))</f>
        <v/>
      </c>
      <c r="AE174" s="58" t="str">
        <f>IF(Q174="","", IF(Q174='G-1 All Habitats'!$X$3, AD174*G174*I174*L174*N174*P174,"None"))</f>
        <v/>
      </c>
      <c r="AH174" s="30">
        <f t="shared" si="18"/>
        <v>0</v>
      </c>
      <c r="AI174" s="124" t="str">
        <f t="shared" si="19"/>
        <v/>
      </c>
      <c r="AJ174" s="124" t="str">
        <f t="shared" si="20"/>
        <v/>
      </c>
      <c r="AL174" s="124">
        <v>165</v>
      </c>
      <c r="AN174" s="124" t="str">
        <f t="array" ref="AN174">IFERROR(INDEX($AL$10:$AL$258, MATCH(0, IF(TRUE=$AI$10:$AI$258, COUNTIF($AN$9:$AN173, $AL$10:$AL$258), ""), 0)),"")</f>
        <v/>
      </c>
      <c r="AO174" s="124" t="str">
        <f t="array" ref="AO174">IFERROR(INDEX($AL$10:$AL$258, MATCH(0, IF(TRUE=$AJ$10:$AJ$258, COUNTIF($AO$9:$AO173, $AL$10:$AL$258), ""), 0)),"")</f>
        <v/>
      </c>
      <c r="AQ174" s="30" t="str">
        <f>IFERROR(INDEX('G-7 WaterC'' Data'!$AZ$3:$AZ$7,MATCH(D174,'G-7 WaterC'' Data'!$AY$3:$AY$7,0)),"")</f>
        <v/>
      </c>
      <c r="AR174" s="30" t="str">
        <f>IFERROR(INDEX('G-7 WaterC'' Data'!AZ174:AZ178,MATCH(D174,'G-7 WaterC'' Data'!$AY$10:$AY$14,0)),"")</f>
        <v/>
      </c>
    </row>
    <row r="175" spans="3:44" ht="15">
      <c r="C175" s="110">
        <v>166</v>
      </c>
      <c r="D175" s="338"/>
      <c r="E175" s="139"/>
      <c r="F175" s="362" t="str">
        <f>IF(D175="","",VLOOKUP(D175,'G-7 WaterC'' Data'!$B$2:$G$8,2,FALSE))</f>
        <v/>
      </c>
      <c r="G175" s="363" t="str">
        <f>IFERROR(VLOOKUP(F175,'G-7 WaterC'' Data'!$C$4:$D$8,2,FALSE),"")</f>
        <v/>
      </c>
      <c r="H175" s="114"/>
      <c r="I175" s="363" t="str">
        <f>IFERROR(INDEX('G-7 WaterC'' Data'!$H$4:$L$8,MATCH(D175,'G-7 WaterC'' Data'!$B$4:$B$8,0),MATCH(H175,'G-7 WaterC'' Data'!$H$3:$L$3,0)),"")</f>
        <v/>
      </c>
      <c r="J175" s="320"/>
      <c r="K175" s="398" t="str">
        <f>IF(J175="","",IF(VLOOKUP(J175,'G-7 WaterC'' Data'!$AK$4:$AM$6,2,FALSE)=0,"Spatial Data Missing ⚠",VLOOKUP(J175,'G-7 WaterC'' Data'!$AK$4:$AM$6,2,FALSE)))</f>
        <v/>
      </c>
      <c r="L175" s="368" t="str">
        <f>IF(J175="","",IF(VLOOKUP(J175,'G-7 WaterC'' Data'!$AK$4:$AM$9,3,FALSE)=0,"Spatial Data Missing ⚠",VLOOKUP(J175,'G-7 WaterC'' Data'!$AK$4:$AM$6,3,FALSE)))</f>
        <v/>
      </c>
      <c r="M175" s="54"/>
      <c r="N175" s="363" t="str">
        <f>IF(M175="","",IF(VLOOKUP(M175,'G-7 WaterC'' Data'!$AA$4:$AB$7,2,FALSE)=0,"Spatial Data Missing ⚠",VLOOKUP(M175,'G-7 WaterC'' Data'!$AA$4:$AB$7,2,FALSE)))</f>
        <v/>
      </c>
      <c r="O175" s="60"/>
      <c r="P175" s="363" t="str">
        <f>IF(O175="","",IF(VLOOKUP(O175,'G-7 WaterC'' Data'!$AD$4:$AE$14,2,FALSE)=0,"Spatial Data Missing ⚠",VLOOKUP(O175,'G-7 WaterC'' Data'!$AD$4:$AE$14,2,FALSE)))</f>
        <v/>
      </c>
      <c r="Q175" s="369" t="str">
        <f>IF(D175="","",VLOOKUP(D175,'G-7 WaterC'' Data'!$B$2:$G$8,6,FALSE))</f>
        <v/>
      </c>
      <c r="R175" s="376" t="str">
        <f>IFERROR(IF(D175="","",IF(AND(Q175='G-1 All Habitats'!$X$3,U175&gt;0),V175+W175,IF(AND(Q175='G-1 All Habitats'!$X$3,T175&gt;0),V175+W175,IF(AND(Q175='G-1 All Habitats'!$X$3,AD175&gt;0),"Any Loss Unacceptable ⚠",IF(AND(Q175='G-1 All Habitats'!$X$3,AE175&gt;0),"Any Loss Unacceptable ⚠", E175*G175*I175*L175*N175*P175 ))))),"Check Data ▲")</f>
        <v/>
      </c>
      <c r="S175" s="32"/>
      <c r="T175" s="114"/>
      <c r="U175" s="125"/>
      <c r="V175" s="374" t="str">
        <f t="shared" si="14"/>
        <v/>
      </c>
      <c r="W175" s="374" t="str">
        <f t="shared" si="15"/>
        <v/>
      </c>
      <c r="X175" s="374" t="str">
        <f t="shared" si="16"/>
        <v/>
      </c>
      <c r="Y175" s="670" t="str">
        <f t="shared" si="17"/>
        <v/>
      </c>
      <c r="Z175" s="706"/>
      <c r="AA175" s="704"/>
      <c r="AB175" s="120"/>
      <c r="AC175" s="120"/>
      <c r="AD175" s="57" t="str">
        <f>IF(Q175="","",IF(Q175='G-1 All Habitats'!$X$3,E175-T175-U175,"None"))</f>
        <v/>
      </c>
      <c r="AE175" s="58" t="str">
        <f>IF(Q175="","", IF(Q175='G-1 All Habitats'!$X$3, AD175*G175*I175*L175*N175*P175,"None"))</f>
        <v/>
      </c>
      <c r="AH175" s="30">
        <f t="shared" si="18"/>
        <v>0</v>
      </c>
      <c r="AI175" s="124" t="str">
        <f t="shared" si="19"/>
        <v/>
      </c>
      <c r="AJ175" s="124" t="str">
        <f t="shared" si="20"/>
        <v/>
      </c>
      <c r="AL175" s="124">
        <v>166</v>
      </c>
      <c r="AN175" s="124" t="str">
        <f t="array" ref="AN175">IFERROR(INDEX($AL$10:$AL$258, MATCH(0, IF(TRUE=$AI$10:$AI$258, COUNTIF($AN$9:$AN174, $AL$10:$AL$258), ""), 0)),"")</f>
        <v/>
      </c>
      <c r="AO175" s="124" t="str">
        <f t="array" ref="AO175">IFERROR(INDEX($AL$10:$AL$258, MATCH(0, IF(TRUE=$AJ$10:$AJ$258, COUNTIF($AO$9:$AO174, $AL$10:$AL$258), ""), 0)),"")</f>
        <v/>
      </c>
      <c r="AQ175" s="30" t="str">
        <f>IFERROR(INDEX('G-7 WaterC'' Data'!$AZ$3:$AZ$7,MATCH(D175,'G-7 WaterC'' Data'!$AY$3:$AY$7,0)),"")</f>
        <v/>
      </c>
      <c r="AR175" s="30" t="str">
        <f>IFERROR(INDEX('G-7 WaterC'' Data'!AZ175:AZ179,MATCH(D175,'G-7 WaterC'' Data'!$AY$10:$AY$14,0)),"")</f>
        <v/>
      </c>
    </row>
    <row r="176" spans="3:44" ht="15">
      <c r="C176" s="110">
        <v>167</v>
      </c>
      <c r="D176" s="338"/>
      <c r="E176" s="139"/>
      <c r="F176" s="362" t="str">
        <f>IF(D176="","",VLOOKUP(D176,'G-7 WaterC'' Data'!$B$2:$G$8,2,FALSE))</f>
        <v/>
      </c>
      <c r="G176" s="363" t="str">
        <f>IFERROR(VLOOKUP(F176,'G-7 WaterC'' Data'!$C$4:$D$8,2,FALSE),"")</f>
        <v/>
      </c>
      <c r="H176" s="114"/>
      <c r="I176" s="363" t="str">
        <f>IFERROR(INDEX('G-7 WaterC'' Data'!$H$4:$L$8,MATCH(D176,'G-7 WaterC'' Data'!$B$4:$B$8,0),MATCH(H176,'G-7 WaterC'' Data'!$H$3:$L$3,0)),"")</f>
        <v/>
      </c>
      <c r="J176" s="320"/>
      <c r="K176" s="398" t="str">
        <f>IF(J176="","",IF(VLOOKUP(J176,'G-7 WaterC'' Data'!$AK$4:$AM$6,2,FALSE)=0,"Spatial Data Missing ⚠",VLOOKUP(J176,'G-7 WaterC'' Data'!$AK$4:$AM$6,2,FALSE)))</f>
        <v/>
      </c>
      <c r="L176" s="368" t="str">
        <f>IF(J176="","",IF(VLOOKUP(J176,'G-7 WaterC'' Data'!$AK$4:$AM$9,3,FALSE)=0,"Spatial Data Missing ⚠",VLOOKUP(J176,'G-7 WaterC'' Data'!$AK$4:$AM$6,3,FALSE)))</f>
        <v/>
      </c>
      <c r="M176" s="54"/>
      <c r="N176" s="363" t="str">
        <f>IF(M176="","",IF(VLOOKUP(M176,'G-7 WaterC'' Data'!$AA$4:$AB$7,2,FALSE)=0,"Spatial Data Missing ⚠",VLOOKUP(M176,'G-7 WaterC'' Data'!$AA$4:$AB$7,2,FALSE)))</f>
        <v/>
      </c>
      <c r="O176" s="60"/>
      <c r="P176" s="363" t="str">
        <f>IF(O176="","",IF(VLOOKUP(O176,'G-7 WaterC'' Data'!$AD$4:$AE$14,2,FALSE)=0,"Spatial Data Missing ⚠",VLOOKUP(O176,'G-7 WaterC'' Data'!$AD$4:$AE$14,2,FALSE)))</f>
        <v/>
      </c>
      <c r="Q176" s="369" t="str">
        <f>IF(D176="","",VLOOKUP(D176,'G-7 WaterC'' Data'!$B$2:$G$8,6,FALSE))</f>
        <v/>
      </c>
      <c r="R176" s="376" t="str">
        <f>IFERROR(IF(D176="","",IF(AND(Q176='G-1 All Habitats'!$X$3,U176&gt;0),V176+W176,IF(AND(Q176='G-1 All Habitats'!$X$3,T176&gt;0),V176+W176,IF(AND(Q176='G-1 All Habitats'!$X$3,AD176&gt;0),"Any Loss Unacceptable ⚠",IF(AND(Q176='G-1 All Habitats'!$X$3,AE176&gt;0),"Any Loss Unacceptable ⚠", E176*G176*I176*L176*N176*P176 ))))),"Check Data ▲")</f>
        <v/>
      </c>
      <c r="S176" s="32"/>
      <c r="T176" s="114"/>
      <c r="U176" s="125"/>
      <c r="V176" s="374" t="str">
        <f t="shared" si="14"/>
        <v/>
      </c>
      <c r="W176" s="374" t="str">
        <f t="shared" si="15"/>
        <v/>
      </c>
      <c r="X176" s="374" t="str">
        <f t="shared" si="16"/>
        <v/>
      </c>
      <c r="Y176" s="670" t="str">
        <f t="shared" si="17"/>
        <v/>
      </c>
      <c r="Z176" s="706"/>
      <c r="AA176" s="704"/>
      <c r="AB176" s="120"/>
      <c r="AC176" s="120"/>
      <c r="AD176" s="57" t="str">
        <f>IF(Q176="","",IF(Q176='G-1 All Habitats'!$X$3,E176-T176-U176,"None"))</f>
        <v/>
      </c>
      <c r="AE176" s="58" t="str">
        <f>IF(Q176="","", IF(Q176='G-1 All Habitats'!$X$3, AD176*G176*I176*L176*N176*P176,"None"))</f>
        <v/>
      </c>
      <c r="AH176" s="30">
        <f t="shared" si="18"/>
        <v>0</v>
      </c>
      <c r="AI176" s="124" t="str">
        <f t="shared" si="19"/>
        <v/>
      </c>
      <c r="AJ176" s="124" t="str">
        <f t="shared" si="20"/>
        <v/>
      </c>
      <c r="AL176" s="124">
        <v>167</v>
      </c>
      <c r="AN176" s="124" t="str">
        <f t="array" ref="AN176">IFERROR(INDEX($AL$10:$AL$258, MATCH(0, IF(TRUE=$AI$10:$AI$258, COUNTIF($AN$9:$AN175, $AL$10:$AL$258), ""), 0)),"")</f>
        <v/>
      </c>
      <c r="AO176" s="124" t="str">
        <f t="array" ref="AO176">IFERROR(INDEX($AL$10:$AL$258, MATCH(0, IF(TRUE=$AJ$10:$AJ$258, COUNTIF($AO$9:$AO175, $AL$10:$AL$258), ""), 0)),"")</f>
        <v/>
      </c>
      <c r="AQ176" s="30" t="str">
        <f>IFERROR(INDEX('G-7 WaterC'' Data'!$AZ$3:$AZ$7,MATCH(D176,'G-7 WaterC'' Data'!$AY$3:$AY$7,0)),"")</f>
        <v/>
      </c>
      <c r="AR176" s="30" t="str">
        <f>IFERROR(INDEX('G-7 WaterC'' Data'!AZ176:AZ180,MATCH(D176,'G-7 WaterC'' Data'!$AY$10:$AY$14,0)),"")</f>
        <v/>
      </c>
    </row>
    <row r="177" spans="3:44" ht="15">
      <c r="C177" s="110">
        <v>168</v>
      </c>
      <c r="D177" s="338"/>
      <c r="E177" s="139"/>
      <c r="F177" s="362" t="str">
        <f>IF(D177="","",VLOOKUP(D177,'G-7 WaterC'' Data'!$B$2:$G$8,2,FALSE))</f>
        <v/>
      </c>
      <c r="G177" s="363" t="str">
        <f>IFERROR(VLOOKUP(F177,'G-7 WaterC'' Data'!$C$4:$D$8,2,FALSE),"")</f>
        <v/>
      </c>
      <c r="H177" s="114"/>
      <c r="I177" s="363" t="str">
        <f>IFERROR(INDEX('G-7 WaterC'' Data'!$H$4:$L$8,MATCH(D177,'G-7 WaterC'' Data'!$B$4:$B$8,0),MATCH(H177,'G-7 WaterC'' Data'!$H$3:$L$3,0)),"")</f>
        <v/>
      </c>
      <c r="J177" s="320"/>
      <c r="K177" s="398" t="str">
        <f>IF(J177="","",IF(VLOOKUP(J177,'G-7 WaterC'' Data'!$AK$4:$AM$6,2,FALSE)=0,"Spatial Data Missing ⚠",VLOOKUP(J177,'G-7 WaterC'' Data'!$AK$4:$AM$6,2,FALSE)))</f>
        <v/>
      </c>
      <c r="L177" s="368" t="str">
        <f>IF(J177="","",IF(VLOOKUP(J177,'G-7 WaterC'' Data'!$AK$4:$AM$9,3,FALSE)=0,"Spatial Data Missing ⚠",VLOOKUP(J177,'G-7 WaterC'' Data'!$AK$4:$AM$6,3,FALSE)))</f>
        <v/>
      </c>
      <c r="M177" s="54"/>
      <c r="N177" s="363" t="str">
        <f>IF(M177="","",IF(VLOOKUP(M177,'G-7 WaterC'' Data'!$AA$4:$AB$7,2,FALSE)=0,"Spatial Data Missing ⚠",VLOOKUP(M177,'G-7 WaterC'' Data'!$AA$4:$AB$7,2,FALSE)))</f>
        <v/>
      </c>
      <c r="O177" s="60"/>
      <c r="P177" s="363" t="str">
        <f>IF(O177="","",IF(VLOOKUP(O177,'G-7 WaterC'' Data'!$AD$4:$AE$14,2,FALSE)=0,"Spatial Data Missing ⚠",VLOOKUP(O177,'G-7 WaterC'' Data'!$AD$4:$AE$14,2,FALSE)))</f>
        <v/>
      </c>
      <c r="Q177" s="369" t="str">
        <f>IF(D177="","",VLOOKUP(D177,'G-7 WaterC'' Data'!$B$2:$G$8,6,FALSE))</f>
        <v/>
      </c>
      <c r="R177" s="376" t="str">
        <f>IFERROR(IF(D177="","",IF(AND(Q177='G-1 All Habitats'!$X$3,U177&gt;0),V177+W177,IF(AND(Q177='G-1 All Habitats'!$X$3,T177&gt;0),V177+W177,IF(AND(Q177='G-1 All Habitats'!$X$3,AD177&gt;0),"Any Loss Unacceptable ⚠",IF(AND(Q177='G-1 All Habitats'!$X$3,AE177&gt;0),"Any Loss Unacceptable ⚠", E177*G177*I177*L177*N177*P177 ))))),"Check Data ▲")</f>
        <v/>
      </c>
      <c r="S177" s="32"/>
      <c r="T177" s="114"/>
      <c r="U177" s="125"/>
      <c r="V177" s="374" t="str">
        <f t="shared" si="14"/>
        <v/>
      </c>
      <c r="W177" s="374" t="str">
        <f t="shared" si="15"/>
        <v/>
      </c>
      <c r="X177" s="374" t="str">
        <f t="shared" si="16"/>
        <v/>
      </c>
      <c r="Y177" s="670" t="str">
        <f t="shared" si="17"/>
        <v/>
      </c>
      <c r="Z177" s="706"/>
      <c r="AA177" s="704"/>
      <c r="AB177" s="120"/>
      <c r="AC177" s="120"/>
      <c r="AD177" s="57" t="str">
        <f>IF(Q177="","",IF(Q177='G-1 All Habitats'!$X$3,E177-T177-U177,"None"))</f>
        <v/>
      </c>
      <c r="AE177" s="58" t="str">
        <f>IF(Q177="","", IF(Q177='G-1 All Habitats'!$X$3, AD177*G177*I177*L177*N177*P177,"None"))</f>
        <v/>
      </c>
      <c r="AH177" s="30">
        <f t="shared" si="18"/>
        <v>0</v>
      </c>
      <c r="AI177" s="124" t="str">
        <f t="shared" si="19"/>
        <v/>
      </c>
      <c r="AJ177" s="124" t="str">
        <f t="shared" si="20"/>
        <v/>
      </c>
      <c r="AL177" s="124">
        <v>168</v>
      </c>
      <c r="AN177" s="124" t="str">
        <f t="array" ref="AN177">IFERROR(INDEX($AL$10:$AL$258, MATCH(0, IF(TRUE=$AI$10:$AI$258, COUNTIF($AN$9:$AN176, $AL$10:$AL$258), ""), 0)),"")</f>
        <v/>
      </c>
      <c r="AO177" s="124" t="str">
        <f t="array" ref="AO177">IFERROR(INDEX($AL$10:$AL$258, MATCH(0, IF(TRUE=$AJ$10:$AJ$258, COUNTIF($AO$9:$AO176, $AL$10:$AL$258), ""), 0)),"")</f>
        <v/>
      </c>
      <c r="AQ177" s="30" t="str">
        <f>IFERROR(INDEX('G-7 WaterC'' Data'!$AZ$3:$AZ$7,MATCH(D177,'G-7 WaterC'' Data'!$AY$3:$AY$7,0)),"")</f>
        <v/>
      </c>
      <c r="AR177" s="30" t="str">
        <f>IFERROR(INDEX('G-7 WaterC'' Data'!AZ177:AZ181,MATCH(D177,'G-7 WaterC'' Data'!$AY$10:$AY$14,0)),"")</f>
        <v/>
      </c>
    </row>
    <row r="178" spans="3:44" ht="15">
      <c r="C178" s="110">
        <v>169</v>
      </c>
      <c r="D178" s="338"/>
      <c r="E178" s="139"/>
      <c r="F178" s="362" t="str">
        <f>IF(D178="","",VLOOKUP(D178,'G-7 WaterC'' Data'!$B$2:$G$8,2,FALSE))</f>
        <v/>
      </c>
      <c r="G178" s="363" t="str">
        <f>IFERROR(VLOOKUP(F178,'G-7 WaterC'' Data'!$C$4:$D$8,2,FALSE),"")</f>
        <v/>
      </c>
      <c r="H178" s="114"/>
      <c r="I178" s="363" t="str">
        <f>IFERROR(INDEX('G-7 WaterC'' Data'!$H$4:$L$8,MATCH(D178,'G-7 WaterC'' Data'!$B$4:$B$8,0),MATCH(H178,'G-7 WaterC'' Data'!$H$3:$L$3,0)),"")</f>
        <v/>
      </c>
      <c r="J178" s="320"/>
      <c r="K178" s="398" t="str">
        <f>IF(J178="","",IF(VLOOKUP(J178,'G-7 WaterC'' Data'!$AK$4:$AM$6,2,FALSE)=0,"Spatial Data Missing ⚠",VLOOKUP(J178,'G-7 WaterC'' Data'!$AK$4:$AM$6,2,FALSE)))</f>
        <v/>
      </c>
      <c r="L178" s="368" t="str">
        <f>IF(J178="","",IF(VLOOKUP(J178,'G-7 WaterC'' Data'!$AK$4:$AM$9,3,FALSE)=0,"Spatial Data Missing ⚠",VLOOKUP(J178,'G-7 WaterC'' Data'!$AK$4:$AM$6,3,FALSE)))</f>
        <v/>
      </c>
      <c r="M178" s="54"/>
      <c r="N178" s="363" t="str">
        <f>IF(M178="","",IF(VLOOKUP(M178,'G-7 WaterC'' Data'!$AA$4:$AB$7,2,FALSE)=0,"Spatial Data Missing ⚠",VLOOKUP(M178,'G-7 WaterC'' Data'!$AA$4:$AB$7,2,FALSE)))</f>
        <v/>
      </c>
      <c r="O178" s="60"/>
      <c r="P178" s="363" t="str">
        <f>IF(O178="","",IF(VLOOKUP(O178,'G-7 WaterC'' Data'!$AD$4:$AE$14,2,FALSE)=0,"Spatial Data Missing ⚠",VLOOKUP(O178,'G-7 WaterC'' Data'!$AD$4:$AE$14,2,FALSE)))</f>
        <v/>
      </c>
      <c r="Q178" s="369" t="str">
        <f>IF(D178="","",VLOOKUP(D178,'G-7 WaterC'' Data'!$B$2:$G$8,6,FALSE))</f>
        <v/>
      </c>
      <c r="R178" s="376" t="str">
        <f>IFERROR(IF(D178="","",IF(AND(Q178='G-1 All Habitats'!$X$3,U178&gt;0),V178+W178,IF(AND(Q178='G-1 All Habitats'!$X$3,T178&gt;0),V178+W178,IF(AND(Q178='G-1 All Habitats'!$X$3,AD178&gt;0),"Any Loss Unacceptable ⚠",IF(AND(Q178='G-1 All Habitats'!$X$3,AE178&gt;0),"Any Loss Unacceptable ⚠", E178*G178*I178*L178*N178*P178 ))))),"Check Data ▲")</f>
        <v/>
      </c>
      <c r="S178" s="32"/>
      <c r="T178" s="114"/>
      <c r="U178" s="125"/>
      <c r="V178" s="374" t="str">
        <f t="shared" si="14"/>
        <v/>
      </c>
      <c r="W178" s="374" t="str">
        <f t="shared" si="15"/>
        <v/>
      </c>
      <c r="X178" s="374" t="str">
        <f t="shared" si="16"/>
        <v/>
      </c>
      <c r="Y178" s="670" t="str">
        <f t="shared" si="17"/>
        <v/>
      </c>
      <c r="Z178" s="706"/>
      <c r="AA178" s="704"/>
      <c r="AB178" s="120"/>
      <c r="AC178" s="120"/>
      <c r="AD178" s="57" t="str">
        <f>IF(Q178="","",IF(Q178='G-1 All Habitats'!$X$3,E178-T178-U178,"None"))</f>
        <v/>
      </c>
      <c r="AE178" s="58" t="str">
        <f>IF(Q178="","", IF(Q178='G-1 All Habitats'!$X$3, AD178*G178*I178*L178*N178*P178,"None"))</f>
        <v/>
      </c>
      <c r="AH178" s="30">
        <f t="shared" si="18"/>
        <v>0</v>
      </c>
      <c r="AI178" s="124" t="str">
        <f t="shared" si="19"/>
        <v/>
      </c>
      <c r="AJ178" s="124" t="str">
        <f t="shared" si="20"/>
        <v/>
      </c>
      <c r="AL178" s="124">
        <v>169</v>
      </c>
      <c r="AN178" s="124" t="str">
        <f t="array" ref="AN178">IFERROR(INDEX($AL$10:$AL$258, MATCH(0, IF(TRUE=$AI$10:$AI$258, COUNTIF($AN$9:$AN177, $AL$10:$AL$258), ""), 0)),"")</f>
        <v/>
      </c>
      <c r="AO178" s="124" t="str">
        <f t="array" ref="AO178">IFERROR(INDEX($AL$10:$AL$258, MATCH(0, IF(TRUE=$AJ$10:$AJ$258, COUNTIF($AO$9:$AO177, $AL$10:$AL$258), ""), 0)),"")</f>
        <v/>
      </c>
      <c r="AQ178" s="30" t="str">
        <f>IFERROR(INDEX('G-7 WaterC'' Data'!$AZ$3:$AZ$7,MATCH(D178,'G-7 WaterC'' Data'!$AY$3:$AY$7,0)),"")</f>
        <v/>
      </c>
      <c r="AR178" s="30" t="str">
        <f>IFERROR(INDEX('G-7 WaterC'' Data'!AZ178:AZ182,MATCH(D178,'G-7 WaterC'' Data'!$AY$10:$AY$14,0)),"")</f>
        <v/>
      </c>
    </row>
    <row r="179" spans="3:44" ht="15">
      <c r="C179" s="110">
        <v>170</v>
      </c>
      <c r="D179" s="338"/>
      <c r="E179" s="139"/>
      <c r="F179" s="362" t="str">
        <f>IF(D179="","",VLOOKUP(D179,'G-7 WaterC'' Data'!$B$2:$G$8,2,FALSE))</f>
        <v/>
      </c>
      <c r="G179" s="363" t="str">
        <f>IFERROR(VLOOKUP(F179,'G-7 WaterC'' Data'!$C$4:$D$8,2,FALSE),"")</f>
        <v/>
      </c>
      <c r="H179" s="114"/>
      <c r="I179" s="363" t="str">
        <f>IFERROR(INDEX('G-7 WaterC'' Data'!$H$4:$L$8,MATCH(D179,'G-7 WaterC'' Data'!$B$4:$B$8,0),MATCH(H179,'G-7 WaterC'' Data'!$H$3:$L$3,0)),"")</f>
        <v/>
      </c>
      <c r="J179" s="320"/>
      <c r="K179" s="398" t="str">
        <f>IF(J179="","",IF(VLOOKUP(J179,'G-7 WaterC'' Data'!$AK$4:$AM$6,2,FALSE)=0,"Spatial Data Missing ⚠",VLOOKUP(J179,'G-7 WaterC'' Data'!$AK$4:$AM$6,2,FALSE)))</f>
        <v/>
      </c>
      <c r="L179" s="368" t="str">
        <f>IF(J179="","",IF(VLOOKUP(J179,'G-7 WaterC'' Data'!$AK$4:$AM$9,3,FALSE)=0,"Spatial Data Missing ⚠",VLOOKUP(J179,'G-7 WaterC'' Data'!$AK$4:$AM$6,3,FALSE)))</f>
        <v/>
      </c>
      <c r="M179" s="54"/>
      <c r="N179" s="363" t="str">
        <f>IF(M179="","",IF(VLOOKUP(M179,'G-7 WaterC'' Data'!$AA$4:$AB$7,2,FALSE)=0,"Spatial Data Missing ⚠",VLOOKUP(M179,'G-7 WaterC'' Data'!$AA$4:$AB$7,2,FALSE)))</f>
        <v/>
      </c>
      <c r="O179" s="60"/>
      <c r="P179" s="363" t="str">
        <f>IF(O179="","",IF(VLOOKUP(O179,'G-7 WaterC'' Data'!$AD$4:$AE$14,2,FALSE)=0,"Spatial Data Missing ⚠",VLOOKUP(O179,'G-7 WaterC'' Data'!$AD$4:$AE$14,2,FALSE)))</f>
        <v/>
      </c>
      <c r="Q179" s="369" t="str">
        <f>IF(D179="","",VLOOKUP(D179,'G-7 WaterC'' Data'!$B$2:$G$8,6,FALSE))</f>
        <v/>
      </c>
      <c r="R179" s="376" t="str">
        <f>IFERROR(IF(D179="","",IF(AND(Q179='G-1 All Habitats'!$X$3,U179&gt;0),V179+W179,IF(AND(Q179='G-1 All Habitats'!$X$3,T179&gt;0),V179+W179,IF(AND(Q179='G-1 All Habitats'!$X$3,AD179&gt;0),"Any Loss Unacceptable ⚠",IF(AND(Q179='G-1 All Habitats'!$X$3,AE179&gt;0),"Any Loss Unacceptable ⚠", E179*G179*I179*L179*N179*P179 ))))),"Check Data ▲")</f>
        <v/>
      </c>
      <c r="S179" s="32"/>
      <c r="T179" s="114"/>
      <c r="U179" s="125"/>
      <c r="V179" s="374" t="str">
        <f t="shared" si="14"/>
        <v/>
      </c>
      <c r="W179" s="374" t="str">
        <f t="shared" si="15"/>
        <v/>
      </c>
      <c r="X179" s="374" t="str">
        <f t="shared" si="16"/>
        <v/>
      </c>
      <c r="Y179" s="670" t="str">
        <f t="shared" si="17"/>
        <v/>
      </c>
      <c r="Z179" s="706"/>
      <c r="AA179" s="704"/>
      <c r="AB179" s="120"/>
      <c r="AC179" s="120"/>
      <c r="AD179" s="57" t="str">
        <f>IF(Q179="","",IF(Q179='G-1 All Habitats'!$X$3,E179-T179-U179,"None"))</f>
        <v/>
      </c>
      <c r="AE179" s="58" t="str">
        <f>IF(Q179="","", IF(Q179='G-1 All Habitats'!$X$3, AD179*G179*I179*L179*N179*P179,"None"))</f>
        <v/>
      </c>
      <c r="AH179" s="30">
        <f t="shared" si="18"/>
        <v>0</v>
      </c>
      <c r="AI179" s="124" t="str">
        <f t="shared" si="19"/>
        <v/>
      </c>
      <c r="AJ179" s="124" t="str">
        <f t="shared" si="20"/>
        <v/>
      </c>
      <c r="AL179" s="124">
        <v>170</v>
      </c>
      <c r="AN179" s="124" t="str">
        <f t="array" ref="AN179">IFERROR(INDEX($AL$10:$AL$258, MATCH(0, IF(TRUE=$AI$10:$AI$258, COUNTIF($AN$9:$AN178, $AL$10:$AL$258), ""), 0)),"")</f>
        <v/>
      </c>
      <c r="AO179" s="124" t="str">
        <f t="array" ref="AO179">IFERROR(INDEX($AL$10:$AL$258, MATCH(0, IF(TRUE=$AJ$10:$AJ$258, COUNTIF($AO$9:$AO178, $AL$10:$AL$258), ""), 0)),"")</f>
        <v/>
      </c>
      <c r="AQ179" s="30" t="str">
        <f>IFERROR(INDEX('G-7 WaterC'' Data'!$AZ$3:$AZ$7,MATCH(D179,'G-7 WaterC'' Data'!$AY$3:$AY$7,0)),"")</f>
        <v/>
      </c>
      <c r="AR179" s="30" t="str">
        <f>IFERROR(INDEX('G-7 WaterC'' Data'!AZ179:AZ183,MATCH(D179,'G-7 WaterC'' Data'!$AY$10:$AY$14,0)),"")</f>
        <v/>
      </c>
    </row>
    <row r="180" spans="3:44" ht="15">
      <c r="C180" s="110">
        <v>171</v>
      </c>
      <c r="D180" s="338"/>
      <c r="E180" s="139"/>
      <c r="F180" s="362" t="str">
        <f>IF(D180="","",VLOOKUP(D180,'G-7 WaterC'' Data'!$B$2:$G$8,2,FALSE))</f>
        <v/>
      </c>
      <c r="G180" s="363" t="str">
        <f>IFERROR(VLOOKUP(F180,'G-7 WaterC'' Data'!$C$4:$D$8,2,FALSE),"")</f>
        <v/>
      </c>
      <c r="H180" s="114"/>
      <c r="I180" s="363" t="str">
        <f>IFERROR(INDEX('G-7 WaterC'' Data'!$H$4:$L$8,MATCH(D180,'G-7 WaterC'' Data'!$B$4:$B$8,0),MATCH(H180,'G-7 WaterC'' Data'!$H$3:$L$3,0)),"")</f>
        <v/>
      </c>
      <c r="J180" s="320"/>
      <c r="K180" s="398" t="str">
        <f>IF(J180="","",IF(VLOOKUP(J180,'G-7 WaterC'' Data'!$AK$4:$AM$6,2,FALSE)=0,"Spatial Data Missing ⚠",VLOOKUP(J180,'G-7 WaterC'' Data'!$AK$4:$AM$6,2,FALSE)))</f>
        <v/>
      </c>
      <c r="L180" s="368" t="str">
        <f>IF(J180="","",IF(VLOOKUP(J180,'G-7 WaterC'' Data'!$AK$4:$AM$9,3,FALSE)=0,"Spatial Data Missing ⚠",VLOOKUP(J180,'G-7 WaterC'' Data'!$AK$4:$AM$6,3,FALSE)))</f>
        <v/>
      </c>
      <c r="M180" s="54"/>
      <c r="N180" s="363" t="str">
        <f>IF(M180="","",IF(VLOOKUP(M180,'G-7 WaterC'' Data'!$AA$4:$AB$7,2,FALSE)=0,"Spatial Data Missing ⚠",VLOOKUP(M180,'G-7 WaterC'' Data'!$AA$4:$AB$7,2,FALSE)))</f>
        <v/>
      </c>
      <c r="O180" s="60"/>
      <c r="P180" s="363" t="str">
        <f>IF(O180="","",IF(VLOOKUP(O180,'G-7 WaterC'' Data'!$AD$4:$AE$14,2,FALSE)=0,"Spatial Data Missing ⚠",VLOOKUP(O180,'G-7 WaterC'' Data'!$AD$4:$AE$14,2,FALSE)))</f>
        <v/>
      </c>
      <c r="Q180" s="369" t="str">
        <f>IF(D180="","",VLOOKUP(D180,'G-7 WaterC'' Data'!$B$2:$G$8,6,FALSE))</f>
        <v/>
      </c>
      <c r="R180" s="376" t="str">
        <f>IFERROR(IF(D180="","",IF(AND(Q180='G-1 All Habitats'!$X$3,U180&gt;0),V180+W180,IF(AND(Q180='G-1 All Habitats'!$X$3,T180&gt;0),V180+W180,IF(AND(Q180='G-1 All Habitats'!$X$3,AD180&gt;0),"Any Loss Unacceptable ⚠",IF(AND(Q180='G-1 All Habitats'!$X$3,AE180&gt;0),"Any Loss Unacceptable ⚠", E180*G180*I180*L180*N180*P180 ))))),"Check Data ▲")</f>
        <v/>
      </c>
      <c r="S180" s="32"/>
      <c r="T180" s="114"/>
      <c r="U180" s="125"/>
      <c r="V180" s="374" t="str">
        <f t="shared" si="14"/>
        <v/>
      </c>
      <c r="W180" s="374" t="str">
        <f t="shared" si="15"/>
        <v/>
      </c>
      <c r="X180" s="374" t="str">
        <f t="shared" si="16"/>
        <v/>
      </c>
      <c r="Y180" s="670" t="str">
        <f t="shared" si="17"/>
        <v/>
      </c>
      <c r="Z180" s="706"/>
      <c r="AA180" s="704"/>
      <c r="AB180" s="120"/>
      <c r="AC180" s="120"/>
      <c r="AD180" s="57" t="str">
        <f>IF(Q180="","",IF(Q180='G-1 All Habitats'!$X$3,E180-T180-U180,"None"))</f>
        <v/>
      </c>
      <c r="AE180" s="58" t="str">
        <f>IF(Q180="","", IF(Q180='G-1 All Habitats'!$X$3, AD180*G180*I180*L180*N180*P180,"None"))</f>
        <v/>
      </c>
      <c r="AH180" s="30">
        <f t="shared" si="18"/>
        <v>0</v>
      </c>
      <c r="AI180" s="124" t="str">
        <f t="shared" si="19"/>
        <v/>
      </c>
      <c r="AJ180" s="124" t="str">
        <f t="shared" si="20"/>
        <v/>
      </c>
      <c r="AL180" s="124">
        <v>171</v>
      </c>
      <c r="AN180" s="124" t="str">
        <f t="array" ref="AN180">IFERROR(INDEX($AL$10:$AL$258, MATCH(0, IF(TRUE=$AI$10:$AI$258, COUNTIF($AN$9:$AN179, $AL$10:$AL$258), ""), 0)),"")</f>
        <v/>
      </c>
      <c r="AO180" s="124" t="str">
        <f t="array" ref="AO180">IFERROR(INDEX($AL$10:$AL$258, MATCH(0, IF(TRUE=$AJ$10:$AJ$258, COUNTIF($AO$9:$AO179, $AL$10:$AL$258), ""), 0)),"")</f>
        <v/>
      </c>
      <c r="AQ180" s="30" t="str">
        <f>IFERROR(INDEX('G-7 WaterC'' Data'!$AZ$3:$AZ$7,MATCH(D180,'G-7 WaterC'' Data'!$AY$3:$AY$7,0)),"")</f>
        <v/>
      </c>
      <c r="AR180" s="30" t="str">
        <f>IFERROR(INDEX('G-7 WaterC'' Data'!AZ180:AZ184,MATCH(D180,'G-7 WaterC'' Data'!$AY$10:$AY$14,0)),"")</f>
        <v/>
      </c>
    </row>
    <row r="181" spans="3:44" ht="15">
      <c r="C181" s="110">
        <v>172</v>
      </c>
      <c r="D181" s="338"/>
      <c r="E181" s="139"/>
      <c r="F181" s="362" t="str">
        <f>IF(D181="","",VLOOKUP(D181,'G-7 WaterC'' Data'!$B$2:$G$8,2,FALSE))</f>
        <v/>
      </c>
      <c r="G181" s="363" t="str">
        <f>IFERROR(VLOOKUP(F181,'G-7 WaterC'' Data'!$C$4:$D$8,2,FALSE),"")</f>
        <v/>
      </c>
      <c r="H181" s="114"/>
      <c r="I181" s="363" t="str">
        <f>IFERROR(INDEX('G-7 WaterC'' Data'!$H$4:$L$8,MATCH(D181,'G-7 WaterC'' Data'!$B$4:$B$8,0),MATCH(H181,'G-7 WaterC'' Data'!$H$3:$L$3,0)),"")</f>
        <v/>
      </c>
      <c r="J181" s="320"/>
      <c r="K181" s="398" t="str">
        <f>IF(J181="","",IF(VLOOKUP(J181,'G-7 WaterC'' Data'!$AK$4:$AM$6,2,FALSE)=0,"Spatial Data Missing ⚠",VLOOKUP(J181,'G-7 WaterC'' Data'!$AK$4:$AM$6,2,FALSE)))</f>
        <v/>
      </c>
      <c r="L181" s="368" t="str">
        <f>IF(J181="","",IF(VLOOKUP(J181,'G-7 WaterC'' Data'!$AK$4:$AM$9,3,FALSE)=0,"Spatial Data Missing ⚠",VLOOKUP(J181,'G-7 WaterC'' Data'!$AK$4:$AM$6,3,FALSE)))</f>
        <v/>
      </c>
      <c r="M181" s="54"/>
      <c r="N181" s="363" t="str">
        <f>IF(M181="","",IF(VLOOKUP(M181,'G-7 WaterC'' Data'!$AA$4:$AB$7,2,FALSE)=0,"Spatial Data Missing ⚠",VLOOKUP(M181,'G-7 WaterC'' Data'!$AA$4:$AB$7,2,FALSE)))</f>
        <v/>
      </c>
      <c r="O181" s="60"/>
      <c r="P181" s="363" t="str">
        <f>IF(O181="","",IF(VLOOKUP(O181,'G-7 WaterC'' Data'!$AD$4:$AE$14,2,FALSE)=0,"Spatial Data Missing ⚠",VLOOKUP(O181,'G-7 WaterC'' Data'!$AD$4:$AE$14,2,FALSE)))</f>
        <v/>
      </c>
      <c r="Q181" s="369" t="str">
        <f>IF(D181="","",VLOOKUP(D181,'G-7 WaterC'' Data'!$B$2:$G$8,6,FALSE))</f>
        <v/>
      </c>
      <c r="R181" s="376" t="str">
        <f>IFERROR(IF(D181="","",IF(AND(Q181='G-1 All Habitats'!$X$3,U181&gt;0),V181+W181,IF(AND(Q181='G-1 All Habitats'!$X$3,T181&gt;0),V181+W181,IF(AND(Q181='G-1 All Habitats'!$X$3,AD181&gt;0),"Any Loss Unacceptable ⚠",IF(AND(Q181='G-1 All Habitats'!$X$3,AE181&gt;0),"Any Loss Unacceptable ⚠", E181*G181*I181*L181*N181*P181 ))))),"Check Data ▲")</f>
        <v/>
      </c>
      <c r="S181" s="32"/>
      <c r="T181" s="114"/>
      <c r="U181" s="125"/>
      <c r="V181" s="374" t="str">
        <f t="shared" si="14"/>
        <v/>
      </c>
      <c r="W181" s="374" t="str">
        <f t="shared" si="15"/>
        <v/>
      </c>
      <c r="X181" s="374" t="str">
        <f t="shared" si="16"/>
        <v/>
      </c>
      <c r="Y181" s="670" t="str">
        <f t="shared" si="17"/>
        <v/>
      </c>
      <c r="Z181" s="706"/>
      <c r="AA181" s="704"/>
      <c r="AB181" s="120"/>
      <c r="AC181" s="120"/>
      <c r="AD181" s="57" t="str">
        <f>IF(Q181="","",IF(Q181='G-1 All Habitats'!$X$3,E181-T181-U181,"None"))</f>
        <v/>
      </c>
      <c r="AE181" s="58" t="str">
        <f>IF(Q181="","", IF(Q181='G-1 All Habitats'!$X$3, AD181*G181*I181*L181*N181*P181,"None"))</f>
        <v/>
      </c>
      <c r="AH181" s="30">
        <f t="shared" si="18"/>
        <v>0</v>
      </c>
      <c r="AI181" s="124" t="str">
        <f t="shared" si="19"/>
        <v/>
      </c>
      <c r="AJ181" s="124" t="str">
        <f t="shared" si="20"/>
        <v/>
      </c>
      <c r="AL181" s="124">
        <v>172</v>
      </c>
      <c r="AN181" s="124" t="str">
        <f t="array" ref="AN181">IFERROR(INDEX($AL$10:$AL$258, MATCH(0, IF(TRUE=$AI$10:$AI$258, COUNTIF($AN$9:$AN180, $AL$10:$AL$258), ""), 0)),"")</f>
        <v/>
      </c>
      <c r="AO181" s="124" t="str">
        <f t="array" ref="AO181">IFERROR(INDEX($AL$10:$AL$258, MATCH(0, IF(TRUE=$AJ$10:$AJ$258, COUNTIF($AO$9:$AO180, $AL$10:$AL$258), ""), 0)),"")</f>
        <v/>
      </c>
      <c r="AQ181" s="30" t="str">
        <f>IFERROR(INDEX('G-7 WaterC'' Data'!$AZ$3:$AZ$7,MATCH(D181,'G-7 WaterC'' Data'!$AY$3:$AY$7,0)),"")</f>
        <v/>
      </c>
      <c r="AR181" s="30" t="str">
        <f>IFERROR(INDEX('G-7 WaterC'' Data'!AZ181:AZ185,MATCH(D181,'G-7 WaterC'' Data'!$AY$10:$AY$14,0)),"")</f>
        <v/>
      </c>
    </row>
    <row r="182" spans="3:44" ht="15">
      <c r="C182" s="110">
        <v>173</v>
      </c>
      <c r="D182" s="338"/>
      <c r="E182" s="139"/>
      <c r="F182" s="362" t="str">
        <f>IF(D182="","",VLOOKUP(D182,'G-7 WaterC'' Data'!$B$2:$G$8,2,FALSE))</f>
        <v/>
      </c>
      <c r="G182" s="363" t="str">
        <f>IFERROR(VLOOKUP(F182,'G-7 WaterC'' Data'!$C$4:$D$8,2,FALSE),"")</f>
        <v/>
      </c>
      <c r="H182" s="114"/>
      <c r="I182" s="363" t="str">
        <f>IFERROR(INDEX('G-7 WaterC'' Data'!$H$4:$L$8,MATCH(D182,'G-7 WaterC'' Data'!$B$4:$B$8,0),MATCH(H182,'G-7 WaterC'' Data'!$H$3:$L$3,0)),"")</f>
        <v/>
      </c>
      <c r="J182" s="320"/>
      <c r="K182" s="398" t="str">
        <f>IF(J182="","",IF(VLOOKUP(J182,'G-7 WaterC'' Data'!$AK$4:$AM$6,2,FALSE)=0,"Spatial Data Missing ⚠",VLOOKUP(J182,'G-7 WaterC'' Data'!$AK$4:$AM$6,2,FALSE)))</f>
        <v/>
      </c>
      <c r="L182" s="368" t="str">
        <f>IF(J182="","",IF(VLOOKUP(J182,'G-7 WaterC'' Data'!$AK$4:$AM$9,3,FALSE)=0,"Spatial Data Missing ⚠",VLOOKUP(J182,'G-7 WaterC'' Data'!$AK$4:$AM$6,3,FALSE)))</f>
        <v/>
      </c>
      <c r="M182" s="54"/>
      <c r="N182" s="363" t="str">
        <f>IF(M182="","",IF(VLOOKUP(M182,'G-7 WaterC'' Data'!$AA$4:$AB$7,2,FALSE)=0,"Spatial Data Missing ⚠",VLOOKUP(M182,'G-7 WaterC'' Data'!$AA$4:$AB$7,2,FALSE)))</f>
        <v/>
      </c>
      <c r="O182" s="60"/>
      <c r="P182" s="363" t="str">
        <f>IF(O182="","",IF(VLOOKUP(O182,'G-7 WaterC'' Data'!$AD$4:$AE$14,2,FALSE)=0,"Spatial Data Missing ⚠",VLOOKUP(O182,'G-7 WaterC'' Data'!$AD$4:$AE$14,2,FALSE)))</f>
        <v/>
      </c>
      <c r="Q182" s="369" t="str">
        <f>IF(D182="","",VLOOKUP(D182,'G-7 WaterC'' Data'!$B$2:$G$8,6,FALSE))</f>
        <v/>
      </c>
      <c r="R182" s="376" t="str">
        <f>IFERROR(IF(D182="","",IF(AND(Q182='G-1 All Habitats'!$X$3,U182&gt;0),V182+W182,IF(AND(Q182='G-1 All Habitats'!$X$3,T182&gt;0),V182+W182,IF(AND(Q182='G-1 All Habitats'!$X$3,AD182&gt;0),"Any Loss Unacceptable ⚠",IF(AND(Q182='G-1 All Habitats'!$X$3,AE182&gt;0),"Any Loss Unacceptable ⚠", E182*G182*I182*L182*N182*P182 ))))),"Check Data ▲")</f>
        <v/>
      </c>
      <c r="S182" s="32"/>
      <c r="T182" s="114"/>
      <c r="U182" s="125"/>
      <c r="V182" s="374" t="str">
        <f t="shared" si="14"/>
        <v/>
      </c>
      <c r="W182" s="374" t="str">
        <f t="shared" si="15"/>
        <v/>
      </c>
      <c r="X182" s="374" t="str">
        <f t="shared" si="16"/>
        <v/>
      </c>
      <c r="Y182" s="670" t="str">
        <f t="shared" si="17"/>
        <v/>
      </c>
      <c r="Z182" s="706"/>
      <c r="AA182" s="704"/>
      <c r="AB182" s="120"/>
      <c r="AC182" s="120"/>
      <c r="AD182" s="57" t="str">
        <f>IF(Q182="","",IF(Q182='G-1 All Habitats'!$X$3,E182-T182-U182,"None"))</f>
        <v/>
      </c>
      <c r="AE182" s="58" t="str">
        <f>IF(Q182="","", IF(Q182='G-1 All Habitats'!$X$3, AD182*G182*I182*L182*N182*P182,"None"))</f>
        <v/>
      </c>
      <c r="AH182" s="30">
        <f t="shared" si="18"/>
        <v>0</v>
      </c>
      <c r="AI182" s="124" t="str">
        <f t="shared" si="19"/>
        <v/>
      </c>
      <c r="AJ182" s="124" t="str">
        <f t="shared" si="20"/>
        <v/>
      </c>
      <c r="AL182" s="124">
        <v>173</v>
      </c>
      <c r="AN182" s="124" t="str">
        <f t="array" ref="AN182">IFERROR(INDEX($AL$10:$AL$258, MATCH(0, IF(TRUE=$AI$10:$AI$258, COUNTIF($AN$9:$AN181, $AL$10:$AL$258), ""), 0)),"")</f>
        <v/>
      </c>
      <c r="AO182" s="124" t="str">
        <f t="array" ref="AO182">IFERROR(INDEX($AL$10:$AL$258, MATCH(0, IF(TRUE=$AJ$10:$AJ$258, COUNTIF($AO$9:$AO181, $AL$10:$AL$258), ""), 0)),"")</f>
        <v/>
      </c>
      <c r="AQ182" s="30" t="str">
        <f>IFERROR(INDEX('G-7 WaterC'' Data'!$AZ$3:$AZ$7,MATCH(D182,'G-7 WaterC'' Data'!$AY$3:$AY$7,0)),"")</f>
        <v/>
      </c>
      <c r="AR182" s="30" t="str">
        <f>IFERROR(INDEX('G-7 WaterC'' Data'!AZ182:AZ186,MATCH(D182,'G-7 WaterC'' Data'!$AY$10:$AY$14,0)),"")</f>
        <v/>
      </c>
    </row>
    <row r="183" spans="3:44" ht="15">
      <c r="C183" s="110">
        <v>174</v>
      </c>
      <c r="D183" s="338"/>
      <c r="E183" s="139"/>
      <c r="F183" s="362" t="str">
        <f>IF(D183="","",VLOOKUP(D183,'G-7 WaterC'' Data'!$B$2:$G$8,2,FALSE))</f>
        <v/>
      </c>
      <c r="G183" s="363" t="str">
        <f>IFERROR(VLOOKUP(F183,'G-7 WaterC'' Data'!$C$4:$D$8,2,FALSE),"")</f>
        <v/>
      </c>
      <c r="H183" s="114"/>
      <c r="I183" s="363" t="str">
        <f>IFERROR(INDEX('G-7 WaterC'' Data'!$H$4:$L$8,MATCH(D183,'G-7 WaterC'' Data'!$B$4:$B$8,0),MATCH(H183,'G-7 WaterC'' Data'!$H$3:$L$3,0)),"")</f>
        <v/>
      </c>
      <c r="J183" s="320"/>
      <c r="K183" s="398" t="str">
        <f>IF(J183="","",IF(VLOOKUP(J183,'G-7 WaterC'' Data'!$AK$4:$AM$6,2,FALSE)=0,"Spatial Data Missing ⚠",VLOOKUP(J183,'G-7 WaterC'' Data'!$AK$4:$AM$6,2,FALSE)))</f>
        <v/>
      </c>
      <c r="L183" s="368" t="str">
        <f>IF(J183="","",IF(VLOOKUP(J183,'G-7 WaterC'' Data'!$AK$4:$AM$9,3,FALSE)=0,"Spatial Data Missing ⚠",VLOOKUP(J183,'G-7 WaterC'' Data'!$AK$4:$AM$6,3,FALSE)))</f>
        <v/>
      </c>
      <c r="M183" s="54"/>
      <c r="N183" s="363" t="str">
        <f>IF(M183="","",IF(VLOOKUP(M183,'G-7 WaterC'' Data'!$AA$4:$AB$7,2,FALSE)=0,"Spatial Data Missing ⚠",VLOOKUP(M183,'G-7 WaterC'' Data'!$AA$4:$AB$7,2,FALSE)))</f>
        <v/>
      </c>
      <c r="O183" s="60"/>
      <c r="P183" s="363" t="str">
        <f>IF(O183="","",IF(VLOOKUP(O183,'G-7 WaterC'' Data'!$AD$4:$AE$14,2,FALSE)=0,"Spatial Data Missing ⚠",VLOOKUP(O183,'G-7 WaterC'' Data'!$AD$4:$AE$14,2,FALSE)))</f>
        <v/>
      </c>
      <c r="Q183" s="369" t="str">
        <f>IF(D183="","",VLOOKUP(D183,'G-7 WaterC'' Data'!$B$2:$G$8,6,FALSE))</f>
        <v/>
      </c>
      <c r="R183" s="376" t="str">
        <f>IFERROR(IF(D183="","",IF(AND(Q183='G-1 All Habitats'!$X$3,U183&gt;0),V183+W183,IF(AND(Q183='G-1 All Habitats'!$X$3,T183&gt;0),V183+W183,IF(AND(Q183='G-1 All Habitats'!$X$3,AD183&gt;0),"Any Loss Unacceptable ⚠",IF(AND(Q183='G-1 All Habitats'!$X$3,AE183&gt;0),"Any Loss Unacceptable ⚠", E183*G183*I183*L183*N183*P183 ))))),"Check Data ▲")</f>
        <v/>
      </c>
      <c r="S183" s="32"/>
      <c r="T183" s="114"/>
      <c r="U183" s="125"/>
      <c r="V183" s="374" t="str">
        <f t="shared" si="14"/>
        <v/>
      </c>
      <c r="W183" s="374" t="str">
        <f t="shared" si="15"/>
        <v/>
      </c>
      <c r="X183" s="374" t="str">
        <f t="shared" si="16"/>
        <v/>
      </c>
      <c r="Y183" s="670" t="str">
        <f t="shared" si="17"/>
        <v/>
      </c>
      <c r="Z183" s="706"/>
      <c r="AA183" s="704"/>
      <c r="AB183" s="120"/>
      <c r="AC183" s="120"/>
      <c r="AD183" s="57" t="str">
        <f>IF(Q183="","",IF(Q183='G-1 All Habitats'!$X$3,E183-T183-U183,"None"))</f>
        <v/>
      </c>
      <c r="AE183" s="58" t="str">
        <f>IF(Q183="","", IF(Q183='G-1 All Habitats'!$X$3, AD183*G183*I183*L183*N183*P183,"None"))</f>
        <v/>
      </c>
      <c r="AH183" s="30">
        <f t="shared" si="18"/>
        <v>0</v>
      </c>
      <c r="AI183" s="124" t="str">
        <f t="shared" si="19"/>
        <v/>
      </c>
      <c r="AJ183" s="124" t="str">
        <f t="shared" si="20"/>
        <v/>
      </c>
      <c r="AL183" s="124">
        <v>174</v>
      </c>
      <c r="AN183" s="124" t="str">
        <f t="array" ref="AN183">IFERROR(INDEX($AL$10:$AL$258, MATCH(0, IF(TRUE=$AI$10:$AI$258, COUNTIF($AN$9:$AN182, $AL$10:$AL$258), ""), 0)),"")</f>
        <v/>
      </c>
      <c r="AO183" s="124" t="str">
        <f t="array" ref="AO183">IFERROR(INDEX($AL$10:$AL$258, MATCH(0, IF(TRUE=$AJ$10:$AJ$258, COUNTIF($AO$9:$AO182, $AL$10:$AL$258), ""), 0)),"")</f>
        <v/>
      </c>
      <c r="AQ183" s="30" t="str">
        <f>IFERROR(INDEX('G-7 WaterC'' Data'!$AZ$3:$AZ$7,MATCH(D183,'G-7 WaterC'' Data'!$AY$3:$AY$7,0)),"")</f>
        <v/>
      </c>
      <c r="AR183" s="30" t="str">
        <f>IFERROR(INDEX('G-7 WaterC'' Data'!AZ183:AZ187,MATCH(D183,'G-7 WaterC'' Data'!$AY$10:$AY$14,0)),"")</f>
        <v/>
      </c>
    </row>
    <row r="184" spans="3:44" ht="15">
      <c r="C184" s="110">
        <v>175</v>
      </c>
      <c r="D184" s="338"/>
      <c r="E184" s="139"/>
      <c r="F184" s="362" t="str">
        <f>IF(D184="","",VLOOKUP(D184,'G-7 WaterC'' Data'!$B$2:$G$8,2,FALSE))</f>
        <v/>
      </c>
      <c r="G184" s="363" t="str">
        <f>IFERROR(VLOOKUP(F184,'G-7 WaterC'' Data'!$C$4:$D$8,2,FALSE),"")</f>
        <v/>
      </c>
      <c r="H184" s="114"/>
      <c r="I184" s="363" t="str">
        <f>IFERROR(INDEX('G-7 WaterC'' Data'!$H$4:$L$8,MATCH(D184,'G-7 WaterC'' Data'!$B$4:$B$8,0),MATCH(H184,'G-7 WaterC'' Data'!$H$3:$L$3,0)),"")</f>
        <v/>
      </c>
      <c r="J184" s="320"/>
      <c r="K184" s="398" t="str">
        <f>IF(J184="","",IF(VLOOKUP(J184,'G-7 WaterC'' Data'!$AK$4:$AM$6,2,FALSE)=0,"Spatial Data Missing ⚠",VLOOKUP(J184,'G-7 WaterC'' Data'!$AK$4:$AM$6,2,FALSE)))</f>
        <v/>
      </c>
      <c r="L184" s="368" t="str">
        <f>IF(J184="","",IF(VLOOKUP(J184,'G-7 WaterC'' Data'!$AK$4:$AM$9,3,FALSE)=0,"Spatial Data Missing ⚠",VLOOKUP(J184,'G-7 WaterC'' Data'!$AK$4:$AM$6,3,FALSE)))</f>
        <v/>
      </c>
      <c r="M184" s="54"/>
      <c r="N184" s="363" t="str">
        <f>IF(M184="","",IF(VLOOKUP(M184,'G-7 WaterC'' Data'!$AA$4:$AB$7,2,FALSE)=0,"Spatial Data Missing ⚠",VLOOKUP(M184,'G-7 WaterC'' Data'!$AA$4:$AB$7,2,FALSE)))</f>
        <v/>
      </c>
      <c r="O184" s="60"/>
      <c r="P184" s="363" t="str">
        <f>IF(O184="","",IF(VLOOKUP(O184,'G-7 WaterC'' Data'!$AD$4:$AE$14,2,FALSE)=0,"Spatial Data Missing ⚠",VLOOKUP(O184,'G-7 WaterC'' Data'!$AD$4:$AE$14,2,FALSE)))</f>
        <v/>
      </c>
      <c r="Q184" s="369" t="str">
        <f>IF(D184="","",VLOOKUP(D184,'G-7 WaterC'' Data'!$B$2:$G$8,6,FALSE))</f>
        <v/>
      </c>
      <c r="R184" s="376" t="str">
        <f>IFERROR(IF(D184="","",IF(AND(Q184='G-1 All Habitats'!$X$3,U184&gt;0),V184+W184,IF(AND(Q184='G-1 All Habitats'!$X$3,T184&gt;0),V184+W184,IF(AND(Q184='G-1 All Habitats'!$X$3,AD184&gt;0),"Any Loss Unacceptable ⚠",IF(AND(Q184='G-1 All Habitats'!$X$3,AE184&gt;0),"Any Loss Unacceptable ⚠", E184*G184*I184*L184*N184*P184 ))))),"Check Data ▲")</f>
        <v/>
      </c>
      <c r="S184" s="32"/>
      <c r="T184" s="114"/>
      <c r="U184" s="125"/>
      <c r="V184" s="374" t="str">
        <f t="shared" si="14"/>
        <v/>
      </c>
      <c r="W184" s="374" t="str">
        <f t="shared" si="15"/>
        <v/>
      </c>
      <c r="X184" s="374" t="str">
        <f t="shared" si="16"/>
        <v/>
      </c>
      <c r="Y184" s="670" t="str">
        <f t="shared" si="17"/>
        <v/>
      </c>
      <c r="Z184" s="706"/>
      <c r="AA184" s="704"/>
      <c r="AB184" s="120"/>
      <c r="AC184" s="120"/>
      <c r="AD184" s="57" t="str">
        <f>IF(Q184="","",IF(Q184='G-1 All Habitats'!$X$3,E184-T184-U184,"None"))</f>
        <v/>
      </c>
      <c r="AE184" s="58" t="str">
        <f>IF(Q184="","", IF(Q184='G-1 All Habitats'!$X$3, AD184*G184*I184*L184*N184*P184,"None"))</f>
        <v/>
      </c>
      <c r="AH184" s="30">
        <f t="shared" si="18"/>
        <v>0</v>
      </c>
      <c r="AI184" s="124" t="str">
        <f t="shared" si="19"/>
        <v/>
      </c>
      <c r="AJ184" s="124" t="str">
        <f t="shared" si="20"/>
        <v/>
      </c>
      <c r="AL184" s="124">
        <v>175</v>
      </c>
      <c r="AN184" s="124" t="str">
        <f t="array" ref="AN184">IFERROR(INDEX($AL$10:$AL$258, MATCH(0, IF(TRUE=$AI$10:$AI$258, COUNTIF($AN$9:$AN183, $AL$10:$AL$258), ""), 0)),"")</f>
        <v/>
      </c>
      <c r="AO184" s="124" t="str">
        <f t="array" ref="AO184">IFERROR(INDEX($AL$10:$AL$258, MATCH(0, IF(TRUE=$AJ$10:$AJ$258, COUNTIF($AO$9:$AO183, $AL$10:$AL$258), ""), 0)),"")</f>
        <v/>
      </c>
      <c r="AQ184" s="30" t="str">
        <f>IFERROR(INDEX('G-7 WaterC'' Data'!$AZ$3:$AZ$7,MATCH(D184,'G-7 WaterC'' Data'!$AY$3:$AY$7,0)),"")</f>
        <v/>
      </c>
      <c r="AR184" s="30" t="str">
        <f>IFERROR(INDEX('G-7 WaterC'' Data'!AZ184:AZ188,MATCH(D184,'G-7 WaterC'' Data'!$AY$10:$AY$14,0)),"")</f>
        <v/>
      </c>
    </row>
    <row r="185" spans="3:44" ht="15">
      <c r="C185" s="110">
        <v>176</v>
      </c>
      <c r="D185" s="338"/>
      <c r="E185" s="139"/>
      <c r="F185" s="362" t="str">
        <f>IF(D185="","",VLOOKUP(D185,'G-7 WaterC'' Data'!$B$2:$G$8,2,FALSE))</f>
        <v/>
      </c>
      <c r="G185" s="363" t="str">
        <f>IFERROR(VLOOKUP(F185,'G-7 WaterC'' Data'!$C$4:$D$8,2,FALSE),"")</f>
        <v/>
      </c>
      <c r="H185" s="114"/>
      <c r="I185" s="363" t="str">
        <f>IFERROR(INDEX('G-7 WaterC'' Data'!$H$4:$L$8,MATCH(D185,'G-7 WaterC'' Data'!$B$4:$B$8,0),MATCH(H185,'G-7 WaterC'' Data'!$H$3:$L$3,0)),"")</f>
        <v/>
      </c>
      <c r="J185" s="320"/>
      <c r="K185" s="398" t="str">
        <f>IF(J185="","",IF(VLOOKUP(J185,'G-7 WaterC'' Data'!$AK$4:$AM$6,2,FALSE)=0,"Spatial Data Missing ⚠",VLOOKUP(J185,'G-7 WaterC'' Data'!$AK$4:$AM$6,2,FALSE)))</f>
        <v/>
      </c>
      <c r="L185" s="368" t="str">
        <f>IF(J185="","",IF(VLOOKUP(J185,'G-7 WaterC'' Data'!$AK$4:$AM$9,3,FALSE)=0,"Spatial Data Missing ⚠",VLOOKUP(J185,'G-7 WaterC'' Data'!$AK$4:$AM$6,3,FALSE)))</f>
        <v/>
      </c>
      <c r="M185" s="54"/>
      <c r="N185" s="363" t="str">
        <f>IF(M185="","",IF(VLOOKUP(M185,'G-7 WaterC'' Data'!$AA$4:$AB$7,2,FALSE)=0,"Spatial Data Missing ⚠",VLOOKUP(M185,'G-7 WaterC'' Data'!$AA$4:$AB$7,2,FALSE)))</f>
        <v/>
      </c>
      <c r="O185" s="60"/>
      <c r="P185" s="363" t="str">
        <f>IF(O185="","",IF(VLOOKUP(O185,'G-7 WaterC'' Data'!$AD$4:$AE$14,2,FALSE)=0,"Spatial Data Missing ⚠",VLOOKUP(O185,'G-7 WaterC'' Data'!$AD$4:$AE$14,2,FALSE)))</f>
        <v/>
      </c>
      <c r="Q185" s="369" t="str">
        <f>IF(D185="","",VLOOKUP(D185,'G-7 WaterC'' Data'!$B$2:$G$8,6,FALSE))</f>
        <v/>
      </c>
      <c r="R185" s="376" t="str">
        <f>IFERROR(IF(D185="","",IF(AND(Q185='G-1 All Habitats'!$X$3,U185&gt;0),V185+W185,IF(AND(Q185='G-1 All Habitats'!$X$3,T185&gt;0),V185+W185,IF(AND(Q185='G-1 All Habitats'!$X$3,AD185&gt;0),"Any Loss Unacceptable ⚠",IF(AND(Q185='G-1 All Habitats'!$X$3,AE185&gt;0),"Any Loss Unacceptable ⚠", E185*G185*I185*L185*N185*P185 ))))),"Check Data ▲")</f>
        <v/>
      </c>
      <c r="S185" s="32"/>
      <c r="T185" s="114"/>
      <c r="U185" s="125"/>
      <c r="V185" s="374" t="str">
        <f t="shared" si="14"/>
        <v/>
      </c>
      <c r="W185" s="374" t="str">
        <f t="shared" si="15"/>
        <v/>
      </c>
      <c r="X185" s="374" t="str">
        <f t="shared" si="16"/>
        <v/>
      </c>
      <c r="Y185" s="670" t="str">
        <f t="shared" si="17"/>
        <v/>
      </c>
      <c r="Z185" s="706"/>
      <c r="AA185" s="704"/>
      <c r="AB185" s="120"/>
      <c r="AC185" s="120"/>
      <c r="AD185" s="57" t="str">
        <f>IF(Q185="","",IF(Q185='G-1 All Habitats'!$X$3,E185-T185-U185,"None"))</f>
        <v/>
      </c>
      <c r="AE185" s="58" t="str">
        <f>IF(Q185="","", IF(Q185='G-1 All Habitats'!$X$3, AD185*G185*I185*L185*N185*P185,"None"))</f>
        <v/>
      </c>
      <c r="AH185" s="30">
        <f t="shared" si="18"/>
        <v>0</v>
      </c>
      <c r="AI185" s="124" t="str">
        <f t="shared" si="19"/>
        <v/>
      </c>
      <c r="AJ185" s="124" t="str">
        <f t="shared" si="20"/>
        <v/>
      </c>
      <c r="AL185" s="124">
        <v>176</v>
      </c>
      <c r="AN185" s="124" t="str">
        <f t="array" ref="AN185">IFERROR(INDEX($AL$10:$AL$258, MATCH(0, IF(TRUE=$AI$10:$AI$258, COUNTIF($AN$9:$AN184, $AL$10:$AL$258), ""), 0)),"")</f>
        <v/>
      </c>
      <c r="AO185" s="124" t="str">
        <f t="array" ref="AO185">IFERROR(INDEX($AL$10:$AL$258, MATCH(0, IF(TRUE=$AJ$10:$AJ$258, COUNTIF($AO$9:$AO184, $AL$10:$AL$258), ""), 0)),"")</f>
        <v/>
      </c>
      <c r="AQ185" s="30" t="str">
        <f>IFERROR(INDEX('G-7 WaterC'' Data'!$AZ$3:$AZ$7,MATCH(D185,'G-7 WaterC'' Data'!$AY$3:$AY$7,0)),"")</f>
        <v/>
      </c>
      <c r="AR185" s="30" t="str">
        <f>IFERROR(INDEX('G-7 WaterC'' Data'!AZ185:AZ189,MATCH(D185,'G-7 WaterC'' Data'!$AY$10:$AY$14,0)),"")</f>
        <v/>
      </c>
    </row>
    <row r="186" spans="3:44" ht="15">
      <c r="C186" s="110">
        <v>177</v>
      </c>
      <c r="D186" s="338"/>
      <c r="E186" s="139"/>
      <c r="F186" s="362" t="str">
        <f>IF(D186="","",VLOOKUP(D186,'G-7 WaterC'' Data'!$B$2:$G$8,2,FALSE))</f>
        <v/>
      </c>
      <c r="G186" s="363" t="str">
        <f>IFERROR(VLOOKUP(F186,'G-7 WaterC'' Data'!$C$4:$D$8,2,FALSE),"")</f>
        <v/>
      </c>
      <c r="H186" s="114"/>
      <c r="I186" s="363" t="str">
        <f>IFERROR(INDEX('G-7 WaterC'' Data'!$H$4:$L$8,MATCH(D186,'G-7 WaterC'' Data'!$B$4:$B$8,0),MATCH(H186,'G-7 WaterC'' Data'!$H$3:$L$3,0)),"")</f>
        <v/>
      </c>
      <c r="J186" s="320"/>
      <c r="K186" s="398" t="str">
        <f>IF(J186="","",IF(VLOOKUP(J186,'G-7 WaterC'' Data'!$AK$4:$AM$6,2,FALSE)=0,"Spatial Data Missing ⚠",VLOOKUP(J186,'G-7 WaterC'' Data'!$AK$4:$AM$6,2,FALSE)))</f>
        <v/>
      </c>
      <c r="L186" s="368" t="str">
        <f>IF(J186="","",IF(VLOOKUP(J186,'G-7 WaterC'' Data'!$AK$4:$AM$9,3,FALSE)=0,"Spatial Data Missing ⚠",VLOOKUP(J186,'G-7 WaterC'' Data'!$AK$4:$AM$6,3,FALSE)))</f>
        <v/>
      </c>
      <c r="M186" s="54"/>
      <c r="N186" s="363" t="str">
        <f>IF(M186="","",IF(VLOOKUP(M186,'G-7 WaterC'' Data'!$AA$4:$AB$7,2,FALSE)=0,"Spatial Data Missing ⚠",VLOOKUP(M186,'G-7 WaterC'' Data'!$AA$4:$AB$7,2,FALSE)))</f>
        <v/>
      </c>
      <c r="O186" s="60"/>
      <c r="P186" s="363" t="str">
        <f>IF(O186="","",IF(VLOOKUP(O186,'G-7 WaterC'' Data'!$AD$4:$AE$14,2,FALSE)=0,"Spatial Data Missing ⚠",VLOOKUP(O186,'G-7 WaterC'' Data'!$AD$4:$AE$14,2,FALSE)))</f>
        <v/>
      </c>
      <c r="Q186" s="369" t="str">
        <f>IF(D186="","",VLOOKUP(D186,'G-7 WaterC'' Data'!$B$2:$G$8,6,FALSE))</f>
        <v/>
      </c>
      <c r="R186" s="376" t="str">
        <f>IFERROR(IF(D186="","",IF(AND(Q186='G-1 All Habitats'!$X$3,U186&gt;0),V186+W186,IF(AND(Q186='G-1 All Habitats'!$X$3,T186&gt;0),V186+W186,IF(AND(Q186='G-1 All Habitats'!$X$3,AD186&gt;0),"Any Loss Unacceptable ⚠",IF(AND(Q186='G-1 All Habitats'!$X$3,AE186&gt;0),"Any Loss Unacceptable ⚠", E186*G186*I186*L186*N186*P186 ))))),"Check Data ▲")</f>
        <v/>
      </c>
      <c r="S186" s="32"/>
      <c r="T186" s="114"/>
      <c r="U186" s="125"/>
      <c r="V186" s="374" t="str">
        <f t="shared" si="14"/>
        <v/>
      </c>
      <c r="W186" s="374" t="str">
        <f t="shared" si="15"/>
        <v/>
      </c>
      <c r="X186" s="374" t="str">
        <f t="shared" si="16"/>
        <v/>
      </c>
      <c r="Y186" s="670" t="str">
        <f t="shared" si="17"/>
        <v/>
      </c>
      <c r="Z186" s="706"/>
      <c r="AA186" s="704"/>
      <c r="AB186" s="120"/>
      <c r="AC186" s="120"/>
      <c r="AD186" s="57" t="str">
        <f>IF(Q186="","",IF(Q186='G-1 All Habitats'!$X$3,E186-T186-U186,"None"))</f>
        <v/>
      </c>
      <c r="AE186" s="58" t="str">
        <f>IF(Q186="","", IF(Q186='G-1 All Habitats'!$X$3, AD186*G186*I186*L186*N186*P186,"None"))</f>
        <v/>
      </c>
      <c r="AH186" s="30">
        <f t="shared" si="18"/>
        <v>0</v>
      </c>
      <c r="AI186" s="124" t="str">
        <f t="shared" si="19"/>
        <v/>
      </c>
      <c r="AJ186" s="124" t="str">
        <f t="shared" si="20"/>
        <v/>
      </c>
      <c r="AL186" s="124">
        <v>177</v>
      </c>
      <c r="AN186" s="124" t="str">
        <f t="array" ref="AN186">IFERROR(INDEX($AL$10:$AL$258, MATCH(0, IF(TRUE=$AI$10:$AI$258, COUNTIF($AN$9:$AN185, $AL$10:$AL$258), ""), 0)),"")</f>
        <v/>
      </c>
      <c r="AO186" s="124" t="str">
        <f t="array" ref="AO186">IFERROR(INDEX($AL$10:$AL$258, MATCH(0, IF(TRUE=$AJ$10:$AJ$258, COUNTIF($AO$9:$AO185, $AL$10:$AL$258), ""), 0)),"")</f>
        <v/>
      </c>
      <c r="AQ186" s="30" t="str">
        <f>IFERROR(INDEX('G-7 WaterC'' Data'!$AZ$3:$AZ$7,MATCH(D186,'G-7 WaterC'' Data'!$AY$3:$AY$7,0)),"")</f>
        <v/>
      </c>
      <c r="AR186" s="30" t="str">
        <f>IFERROR(INDEX('G-7 WaterC'' Data'!AZ186:AZ190,MATCH(D186,'G-7 WaterC'' Data'!$AY$10:$AY$14,0)),"")</f>
        <v/>
      </c>
    </row>
    <row r="187" spans="3:44" ht="15">
      <c r="C187" s="110">
        <v>178</v>
      </c>
      <c r="D187" s="338"/>
      <c r="E187" s="139"/>
      <c r="F187" s="362" t="str">
        <f>IF(D187="","",VLOOKUP(D187,'G-7 WaterC'' Data'!$B$2:$G$8,2,FALSE))</f>
        <v/>
      </c>
      <c r="G187" s="363" t="str">
        <f>IFERROR(VLOOKUP(F187,'G-7 WaterC'' Data'!$C$4:$D$8,2,FALSE),"")</f>
        <v/>
      </c>
      <c r="H187" s="114"/>
      <c r="I187" s="363" t="str">
        <f>IFERROR(INDEX('G-7 WaterC'' Data'!$H$4:$L$8,MATCH(D187,'G-7 WaterC'' Data'!$B$4:$B$8,0),MATCH(H187,'G-7 WaterC'' Data'!$H$3:$L$3,0)),"")</f>
        <v/>
      </c>
      <c r="J187" s="320"/>
      <c r="K187" s="398" t="str">
        <f>IF(J187="","",IF(VLOOKUP(J187,'G-7 WaterC'' Data'!$AK$4:$AM$6,2,FALSE)=0,"Spatial Data Missing ⚠",VLOOKUP(J187,'G-7 WaterC'' Data'!$AK$4:$AM$6,2,FALSE)))</f>
        <v/>
      </c>
      <c r="L187" s="368" t="str">
        <f>IF(J187="","",IF(VLOOKUP(J187,'G-7 WaterC'' Data'!$AK$4:$AM$9,3,FALSE)=0,"Spatial Data Missing ⚠",VLOOKUP(J187,'G-7 WaterC'' Data'!$AK$4:$AM$6,3,FALSE)))</f>
        <v/>
      </c>
      <c r="M187" s="54"/>
      <c r="N187" s="363" t="str">
        <f>IF(M187="","",IF(VLOOKUP(M187,'G-7 WaterC'' Data'!$AA$4:$AB$7,2,FALSE)=0,"Spatial Data Missing ⚠",VLOOKUP(M187,'G-7 WaterC'' Data'!$AA$4:$AB$7,2,FALSE)))</f>
        <v/>
      </c>
      <c r="O187" s="60"/>
      <c r="P187" s="363" t="str">
        <f>IF(O187="","",IF(VLOOKUP(O187,'G-7 WaterC'' Data'!$AD$4:$AE$14,2,FALSE)=0,"Spatial Data Missing ⚠",VLOOKUP(O187,'G-7 WaterC'' Data'!$AD$4:$AE$14,2,FALSE)))</f>
        <v/>
      </c>
      <c r="Q187" s="369" t="str">
        <f>IF(D187="","",VLOOKUP(D187,'G-7 WaterC'' Data'!$B$2:$G$8,6,FALSE))</f>
        <v/>
      </c>
      <c r="R187" s="376" t="str">
        <f>IFERROR(IF(D187="","",IF(AND(Q187='G-1 All Habitats'!$X$3,U187&gt;0),V187+W187,IF(AND(Q187='G-1 All Habitats'!$X$3,T187&gt;0),V187+W187,IF(AND(Q187='G-1 All Habitats'!$X$3,AD187&gt;0),"Any Loss Unacceptable ⚠",IF(AND(Q187='G-1 All Habitats'!$X$3,AE187&gt;0),"Any Loss Unacceptable ⚠", E187*G187*I187*L187*N187*P187 ))))),"Check Data ▲")</f>
        <v/>
      </c>
      <c r="S187" s="32"/>
      <c r="T187" s="114"/>
      <c r="U187" s="125"/>
      <c r="V187" s="374" t="str">
        <f t="shared" si="14"/>
        <v/>
      </c>
      <c r="W187" s="374" t="str">
        <f t="shared" si="15"/>
        <v/>
      </c>
      <c r="X187" s="374" t="str">
        <f t="shared" si="16"/>
        <v/>
      </c>
      <c r="Y187" s="670" t="str">
        <f t="shared" si="17"/>
        <v/>
      </c>
      <c r="Z187" s="706"/>
      <c r="AA187" s="704"/>
      <c r="AB187" s="120"/>
      <c r="AC187" s="120"/>
      <c r="AD187" s="57" t="str">
        <f>IF(Q187="","",IF(Q187='G-1 All Habitats'!$X$3,E187-T187-U187,"None"))</f>
        <v/>
      </c>
      <c r="AE187" s="58" t="str">
        <f>IF(Q187="","", IF(Q187='G-1 All Habitats'!$X$3, AD187*G187*I187*L187*N187*P187,"None"))</f>
        <v/>
      </c>
      <c r="AH187" s="30">
        <f t="shared" si="18"/>
        <v>0</v>
      </c>
      <c r="AI187" s="124" t="str">
        <f t="shared" si="19"/>
        <v/>
      </c>
      <c r="AJ187" s="124" t="str">
        <f t="shared" si="20"/>
        <v/>
      </c>
      <c r="AL187" s="124">
        <v>178</v>
      </c>
      <c r="AN187" s="124" t="str">
        <f t="array" ref="AN187">IFERROR(INDEX($AL$10:$AL$258, MATCH(0, IF(TRUE=$AI$10:$AI$258, COUNTIF($AN$9:$AN186, $AL$10:$AL$258), ""), 0)),"")</f>
        <v/>
      </c>
      <c r="AO187" s="124" t="str">
        <f t="array" ref="AO187">IFERROR(INDEX($AL$10:$AL$258, MATCH(0, IF(TRUE=$AJ$10:$AJ$258, COUNTIF($AO$9:$AO186, $AL$10:$AL$258), ""), 0)),"")</f>
        <v/>
      </c>
      <c r="AQ187" s="30" t="str">
        <f>IFERROR(INDEX('G-7 WaterC'' Data'!$AZ$3:$AZ$7,MATCH(D187,'G-7 WaterC'' Data'!$AY$3:$AY$7,0)),"")</f>
        <v/>
      </c>
      <c r="AR187" s="30" t="str">
        <f>IFERROR(INDEX('G-7 WaterC'' Data'!AZ187:AZ191,MATCH(D187,'G-7 WaterC'' Data'!$AY$10:$AY$14,0)),"")</f>
        <v/>
      </c>
    </row>
    <row r="188" spans="3:44" ht="15">
      <c r="C188" s="110">
        <v>179</v>
      </c>
      <c r="D188" s="338"/>
      <c r="E188" s="139"/>
      <c r="F188" s="362" t="str">
        <f>IF(D188="","",VLOOKUP(D188,'G-7 WaterC'' Data'!$B$2:$G$8,2,FALSE))</f>
        <v/>
      </c>
      <c r="G188" s="363" t="str">
        <f>IFERROR(VLOOKUP(F188,'G-7 WaterC'' Data'!$C$4:$D$8,2,FALSE),"")</f>
        <v/>
      </c>
      <c r="H188" s="114"/>
      <c r="I188" s="363" t="str">
        <f>IFERROR(INDEX('G-7 WaterC'' Data'!$H$4:$L$8,MATCH(D188,'G-7 WaterC'' Data'!$B$4:$B$8,0),MATCH(H188,'G-7 WaterC'' Data'!$H$3:$L$3,0)),"")</f>
        <v/>
      </c>
      <c r="J188" s="320"/>
      <c r="K188" s="398" t="str">
        <f>IF(J188="","",IF(VLOOKUP(J188,'G-7 WaterC'' Data'!$AK$4:$AM$6,2,FALSE)=0,"Spatial Data Missing ⚠",VLOOKUP(J188,'G-7 WaterC'' Data'!$AK$4:$AM$6,2,FALSE)))</f>
        <v/>
      </c>
      <c r="L188" s="368" t="str">
        <f>IF(J188="","",IF(VLOOKUP(J188,'G-7 WaterC'' Data'!$AK$4:$AM$9,3,FALSE)=0,"Spatial Data Missing ⚠",VLOOKUP(J188,'G-7 WaterC'' Data'!$AK$4:$AM$6,3,FALSE)))</f>
        <v/>
      </c>
      <c r="M188" s="54"/>
      <c r="N188" s="363" t="str">
        <f>IF(M188="","",IF(VLOOKUP(M188,'G-7 WaterC'' Data'!$AA$4:$AB$7,2,FALSE)=0,"Spatial Data Missing ⚠",VLOOKUP(M188,'G-7 WaterC'' Data'!$AA$4:$AB$7,2,FALSE)))</f>
        <v/>
      </c>
      <c r="O188" s="60"/>
      <c r="P188" s="363" t="str">
        <f>IF(O188="","",IF(VLOOKUP(O188,'G-7 WaterC'' Data'!$AD$4:$AE$14,2,FALSE)=0,"Spatial Data Missing ⚠",VLOOKUP(O188,'G-7 WaterC'' Data'!$AD$4:$AE$14,2,FALSE)))</f>
        <v/>
      </c>
      <c r="Q188" s="369" t="str">
        <f>IF(D188="","",VLOOKUP(D188,'G-7 WaterC'' Data'!$B$2:$G$8,6,FALSE))</f>
        <v/>
      </c>
      <c r="R188" s="376" t="str">
        <f>IFERROR(IF(D188="","",IF(AND(Q188='G-1 All Habitats'!$X$3,U188&gt;0),V188+W188,IF(AND(Q188='G-1 All Habitats'!$X$3,T188&gt;0),V188+W188,IF(AND(Q188='G-1 All Habitats'!$X$3,AD188&gt;0),"Any Loss Unacceptable ⚠",IF(AND(Q188='G-1 All Habitats'!$X$3,AE188&gt;0),"Any Loss Unacceptable ⚠", E188*G188*I188*L188*N188*P188 ))))),"Check Data ▲")</f>
        <v/>
      </c>
      <c r="S188" s="32"/>
      <c r="T188" s="114"/>
      <c r="U188" s="125"/>
      <c r="V188" s="374" t="str">
        <f t="shared" si="14"/>
        <v/>
      </c>
      <c r="W188" s="374" t="str">
        <f t="shared" si="15"/>
        <v/>
      </c>
      <c r="X188" s="374" t="str">
        <f t="shared" si="16"/>
        <v/>
      </c>
      <c r="Y188" s="670" t="str">
        <f t="shared" si="17"/>
        <v/>
      </c>
      <c r="Z188" s="706"/>
      <c r="AA188" s="704"/>
      <c r="AB188" s="120"/>
      <c r="AC188" s="120"/>
      <c r="AD188" s="57" t="str">
        <f>IF(Q188="","",IF(Q188='G-1 All Habitats'!$X$3,E188-T188-U188,"None"))</f>
        <v/>
      </c>
      <c r="AE188" s="58" t="str">
        <f>IF(Q188="","", IF(Q188='G-1 All Habitats'!$X$3, AD188*G188*I188*L188*N188*P188,"None"))</f>
        <v/>
      </c>
      <c r="AH188" s="30">
        <f t="shared" si="18"/>
        <v>0</v>
      </c>
      <c r="AI188" s="124" t="str">
        <f t="shared" si="19"/>
        <v/>
      </c>
      <c r="AJ188" s="124" t="str">
        <f t="shared" si="20"/>
        <v/>
      </c>
      <c r="AL188" s="124">
        <v>179</v>
      </c>
      <c r="AN188" s="124" t="str">
        <f t="array" ref="AN188">IFERROR(INDEX($AL$10:$AL$258, MATCH(0, IF(TRUE=$AI$10:$AI$258, COUNTIF($AN$9:$AN187, $AL$10:$AL$258), ""), 0)),"")</f>
        <v/>
      </c>
      <c r="AO188" s="124" t="str">
        <f t="array" ref="AO188">IFERROR(INDEX($AL$10:$AL$258, MATCH(0, IF(TRUE=$AJ$10:$AJ$258, COUNTIF($AO$9:$AO187, $AL$10:$AL$258), ""), 0)),"")</f>
        <v/>
      </c>
      <c r="AQ188" s="30" t="str">
        <f>IFERROR(INDEX('G-7 WaterC'' Data'!$AZ$3:$AZ$7,MATCH(D188,'G-7 WaterC'' Data'!$AY$3:$AY$7,0)),"")</f>
        <v/>
      </c>
      <c r="AR188" s="30" t="str">
        <f>IFERROR(INDEX('G-7 WaterC'' Data'!AZ188:AZ192,MATCH(D188,'G-7 WaterC'' Data'!$AY$10:$AY$14,0)),"")</f>
        <v/>
      </c>
    </row>
    <row r="189" spans="3:44" ht="15">
      <c r="C189" s="110">
        <v>180</v>
      </c>
      <c r="D189" s="338"/>
      <c r="E189" s="139"/>
      <c r="F189" s="362" t="str">
        <f>IF(D189="","",VLOOKUP(D189,'G-7 WaterC'' Data'!$B$2:$G$8,2,FALSE))</f>
        <v/>
      </c>
      <c r="G189" s="363" t="str">
        <f>IFERROR(VLOOKUP(F189,'G-7 WaterC'' Data'!$C$4:$D$8,2,FALSE),"")</f>
        <v/>
      </c>
      <c r="H189" s="114"/>
      <c r="I189" s="363" t="str">
        <f>IFERROR(INDEX('G-7 WaterC'' Data'!$H$4:$L$8,MATCH(D189,'G-7 WaterC'' Data'!$B$4:$B$8,0),MATCH(H189,'G-7 WaterC'' Data'!$H$3:$L$3,0)),"")</f>
        <v/>
      </c>
      <c r="J189" s="320"/>
      <c r="K189" s="398" t="str">
        <f>IF(J189="","",IF(VLOOKUP(J189,'G-7 WaterC'' Data'!$AK$4:$AM$6,2,FALSE)=0,"Spatial Data Missing ⚠",VLOOKUP(J189,'G-7 WaterC'' Data'!$AK$4:$AM$6,2,FALSE)))</f>
        <v/>
      </c>
      <c r="L189" s="368" t="str">
        <f>IF(J189="","",IF(VLOOKUP(J189,'G-7 WaterC'' Data'!$AK$4:$AM$9,3,FALSE)=0,"Spatial Data Missing ⚠",VLOOKUP(J189,'G-7 WaterC'' Data'!$AK$4:$AM$6,3,FALSE)))</f>
        <v/>
      </c>
      <c r="M189" s="54"/>
      <c r="N189" s="363" t="str">
        <f>IF(M189="","",IF(VLOOKUP(M189,'G-7 WaterC'' Data'!$AA$4:$AB$7,2,FALSE)=0,"Spatial Data Missing ⚠",VLOOKUP(M189,'G-7 WaterC'' Data'!$AA$4:$AB$7,2,FALSE)))</f>
        <v/>
      </c>
      <c r="O189" s="60"/>
      <c r="P189" s="363" t="str">
        <f>IF(O189="","",IF(VLOOKUP(O189,'G-7 WaterC'' Data'!$AD$4:$AE$14,2,FALSE)=0,"Spatial Data Missing ⚠",VLOOKUP(O189,'G-7 WaterC'' Data'!$AD$4:$AE$14,2,FALSE)))</f>
        <v/>
      </c>
      <c r="Q189" s="369" t="str">
        <f>IF(D189="","",VLOOKUP(D189,'G-7 WaterC'' Data'!$B$2:$G$8,6,FALSE))</f>
        <v/>
      </c>
      <c r="R189" s="376" t="str">
        <f>IFERROR(IF(D189="","",IF(AND(Q189='G-1 All Habitats'!$X$3,U189&gt;0),V189+W189,IF(AND(Q189='G-1 All Habitats'!$X$3,T189&gt;0),V189+W189,IF(AND(Q189='G-1 All Habitats'!$X$3,AD189&gt;0),"Any Loss Unacceptable ⚠",IF(AND(Q189='G-1 All Habitats'!$X$3,AE189&gt;0),"Any Loss Unacceptable ⚠", E189*G189*I189*L189*N189*P189 ))))),"Check Data ▲")</f>
        <v/>
      </c>
      <c r="S189" s="32"/>
      <c r="T189" s="114"/>
      <c r="U189" s="125"/>
      <c r="V189" s="374" t="str">
        <f t="shared" si="14"/>
        <v/>
      </c>
      <c r="W189" s="374" t="str">
        <f t="shared" si="15"/>
        <v/>
      </c>
      <c r="X189" s="374" t="str">
        <f t="shared" si="16"/>
        <v/>
      </c>
      <c r="Y189" s="670" t="str">
        <f t="shared" si="17"/>
        <v/>
      </c>
      <c r="Z189" s="706"/>
      <c r="AA189" s="704"/>
      <c r="AB189" s="120"/>
      <c r="AC189" s="120"/>
      <c r="AD189" s="57" t="str">
        <f>IF(Q189="","",IF(Q189='G-1 All Habitats'!$X$3,E189-T189-U189,"None"))</f>
        <v/>
      </c>
      <c r="AE189" s="58" t="str">
        <f>IF(Q189="","", IF(Q189='G-1 All Habitats'!$X$3, AD189*G189*I189*L189*N189*P189,"None"))</f>
        <v/>
      </c>
      <c r="AH189" s="30">
        <f t="shared" si="18"/>
        <v>0</v>
      </c>
      <c r="AI189" s="124" t="str">
        <f t="shared" si="19"/>
        <v/>
      </c>
      <c r="AJ189" s="124" t="str">
        <f t="shared" si="20"/>
        <v/>
      </c>
      <c r="AL189" s="124">
        <v>180</v>
      </c>
      <c r="AN189" s="124" t="str">
        <f t="array" ref="AN189">IFERROR(INDEX($AL$10:$AL$258, MATCH(0, IF(TRUE=$AI$10:$AI$258, COUNTIF($AN$9:$AN188, $AL$10:$AL$258), ""), 0)),"")</f>
        <v/>
      </c>
      <c r="AO189" s="124" t="str">
        <f t="array" ref="AO189">IFERROR(INDEX($AL$10:$AL$258, MATCH(0, IF(TRUE=$AJ$10:$AJ$258, COUNTIF($AO$9:$AO188, $AL$10:$AL$258), ""), 0)),"")</f>
        <v/>
      </c>
      <c r="AQ189" s="30" t="str">
        <f>IFERROR(INDEX('G-7 WaterC'' Data'!$AZ$3:$AZ$7,MATCH(D189,'G-7 WaterC'' Data'!$AY$3:$AY$7,0)),"")</f>
        <v/>
      </c>
      <c r="AR189" s="30" t="str">
        <f>IFERROR(INDEX('G-7 WaterC'' Data'!AZ189:AZ193,MATCH(D189,'G-7 WaterC'' Data'!$AY$10:$AY$14,0)),"")</f>
        <v/>
      </c>
    </row>
    <row r="190" spans="3:44" ht="15">
      <c r="C190" s="110">
        <v>181</v>
      </c>
      <c r="D190" s="338"/>
      <c r="E190" s="139"/>
      <c r="F190" s="362" t="str">
        <f>IF(D190="","",VLOOKUP(D190,'G-7 WaterC'' Data'!$B$2:$G$8,2,FALSE))</f>
        <v/>
      </c>
      <c r="G190" s="363" t="str">
        <f>IFERROR(VLOOKUP(F190,'G-7 WaterC'' Data'!$C$4:$D$8,2,FALSE),"")</f>
        <v/>
      </c>
      <c r="H190" s="114"/>
      <c r="I190" s="363" t="str">
        <f>IFERROR(INDEX('G-7 WaterC'' Data'!$H$4:$L$8,MATCH(D190,'G-7 WaterC'' Data'!$B$4:$B$8,0),MATCH(H190,'G-7 WaterC'' Data'!$H$3:$L$3,0)),"")</f>
        <v/>
      </c>
      <c r="J190" s="320"/>
      <c r="K190" s="398" t="str">
        <f>IF(J190="","",IF(VLOOKUP(J190,'G-7 WaterC'' Data'!$AK$4:$AM$6,2,FALSE)=0,"Spatial Data Missing ⚠",VLOOKUP(J190,'G-7 WaterC'' Data'!$AK$4:$AM$6,2,FALSE)))</f>
        <v/>
      </c>
      <c r="L190" s="368" t="str">
        <f>IF(J190="","",IF(VLOOKUP(J190,'G-7 WaterC'' Data'!$AK$4:$AM$9,3,FALSE)=0,"Spatial Data Missing ⚠",VLOOKUP(J190,'G-7 WaterC'' Data'!$AK$4:$AM$6,3,FALSE)))</f>
        <v/>
      </c>
      <c r="M190" s="54"/>
      <c r="N190" s="363" t="str">
        <f>IF(M190="","",IF(VLOOKUP(M190,'G-7 WaterC'' Data'!$AA$4:$AB$7,2,FALSE)=0,"Spatial Data Missing ⚠",VLOOKUP(M190,'G-7 WaterC'' Data'!$AA$4:$AB$7,2,FALSE)))</f>
        <v/>
      </c>
      <c r="O190" s="60"/>
      <c r="P190" s="363" t="str">
        <f>IF(O190="","",IF(VLOOKUP(O190,'G-7 WaterC'' Data'!$AD$4:$AE$14,2,FALSE)=0,"Spatial Data Missing ⚠",VLOOKUP(O190,'G-7 WaterC'' Data'!$AD$4:$AE$14,2,FALSE)))</f>
        <v/>
      </c>
      <c r="Q190" s="369" t="str">
        <f>IF(D190="","",VLOOKUP(D190,'G-7 WaterC'' Data'!$B$2:$G$8,6,FALSE))</f>
        <v/>
      </c>
      <c r="R190" s="376" t="str">
        <f>IFERROR(IF(D190="","",IF(AND(Q190='G-1 All Habitats'!$X$3,U190&gt;0),V190+W190,IF(AND(Q190='G-1 All Habitats'!$X$3,T190&gt;0),V190+W190,IF(AND(Q190='G-1 All Habitats'!$X$3,AD190&gt;0),"Any Loss Unacceptable ⚠",IF(AND(Q190='G-1 All Habitats'!$X$3,AE190&gt;0),"Any Loss Unacceptable ⚠", E190*G190*I190*L190*N190*P190 ))))),"Check Data ▲")</f>
        <v/>
      </c>
      <c r="S190" s="32"/>
      <c r="T190" s="114"/>
      <c r="U190" s="125"/>
      <c r="V190" s="374" t="str">
        <f t="shared" si="14"/>
        <v/>
      </c>
      <c r="W190" s="374" t="str">
        <f t="shared" si="15"/>
        <v/>
      </c>
      <c r="X190" s="374" t="str">
        <f t="shared" si="16"/>
        <v/>
      </c>
      <c r="Y190" s="670" t="str">
        <f t="shared" si="17"/>
        <v/>
      </c>
      <c r="Z190" s="706"/>
      <c r="AA190" s="704"/>
      <c r="AB190" s="120"/>
      <c r="AC190" s="120"/>
      <c r="AD190" s="57" t="str">
        <f>IF(Q190="","",IF(Q190='G-1 All Habitats'!$X$3,E190-T190-U190,"None"))</f>
        <v/>
      </c>
      <c r="AE190" s="58" t="str">
        <f>IF(Q190="","", IF(Q190='G-1 All Habitats'!$X$3, AD190*G190*I190*L190*N190*P190,"None"))</f>
        <v/>
      </c>
      <c r="AH190" s="30">
        <f t="shared" si="18"/>
        <v>0</v>
      </c>
      <c r="AI190" s="124" t="str">
        <f t="shared" si="19"/>
        <v/>
      </c>
      <c r="AJ190" s="124" t="str">
        <f t="shared" si="20"/>
        <v/>
      </c>
      <c r="AL190" s="124">
        <v>181</v>
      </c>
      <c r="AN190" s="124" t="str">
        <f t="array" ref="AN190">IFERROR(INDEX($AL$10:$AL$258, MATCH(0, IF(TRUE=$AI$10:$AI$258, COUNTIF($AN$9:$AN189, $AL$10:$AL$258), ""), 0)),"")</f>
        <v/>
      </c>
      <c r="AO190" s="124" t="str">
        <f t="array" ref="AO190">IFERROR(INDEX($AL$10:$AL$258, MATCH(0, IF(TRUE=$AJ$10:$AJ$258, COUNTIF($AO$9:$AO189, $AL$10:$AL$258), ""), 0)),"")</f>
        <v/>
      </c>
      <c r="AQ190" s="30" t="str">
        <f>IFERROR(INDEX('G-7 WaterC'' Data'!$AZ$3:$AZ$7,MATCH(D190,'G-7 WaterC'' Data'!$AY$3:$AY$7,0)),"")</f>
        <v/>
      </c>
      <c r="AR190" s="30" t="str">
        <f>IFERROR(INDEX('G-7 WaterC'' Data'!AZ190:AZ194,MATCH(D190,'G-7 WaterC'' Data'!$AY$10:$AY$14,0)),"")</f>
        <v/>
      </c>
    </row>
    <row r="191" spans="3:44" ht="15">
      <c r="C191" s="110">
        <v>182</v>
      </c>
      <c r="D191" s="338"/>
      <c r="E191" s="139"/>
      <c r="F191" s="362" t="str">
        <f>IF(D191="","",VLOOKUP(D191,'G-7 WaterC'' Data'!$B$2:$G$8,2,FALSE))</f>
        <v/>
      </c>
      <c r="G191" s="363" t="str">
        <f>IFERROR(VLOOKUP(F191,'G-7 WaterC'' Data'!$C$4:$D$8,2,FALSE),"")</f>
        <v/>
      </c>
      <c r="H191" s="114"/>
      <c r="I191" s="363" t="str">
        <f>IFERROR(INDEX('G-7 WaterC'' Data'!$H$4:$L$8,MATCH(D191,'G-7 WaterC'' Data'!$B$4:$B$8,0),MATCH(H191,'G-7 WaterC'' Data'!$H$3:$L$3,0)),"")</f>
        <v/>
      </c>
      <c r="J191" s="320"/>
      <c r="K191" s="398" t="str">
        <f>IF(J191="","",IF(VLOOKUP(J191,'G-7 WaterC'' Data'!$AK$4:$AM$6,2,FALSE)=0,"Spatial Data Missing ⚠",VLOOKUP(J191,'G-7 WaterC'' Data'!$AK$4:$AM$6,2,FALSE)))</f>
        <v/>
      </c>
      <c r="L191" s="368" t="str">
        <f>IF(J191="","",IF(VLOOKUP(J191,'G-7 WaterC'' Data'!$AK$4:$AM$9,3,FALSE)=0,"Spatial Data Missing ⚠",VLOOKUP(J191,'G-7 WaterC'' Data'!$AK$4:$AM$6,3,FALSE)))</f>
        <v/>
      </c>
      <c r="M191" s="54"/>
      <c r="N191" s="363" t="str">
        <f>IF(M191="","",IF(VLOOKUP(M191,'G-7 WaterC'' Data'!$AA$4:$AB$7,2,FALSE)=0,"Spatial Data Missing ⚠",VLOOKUP(M191,'G-7 WaterC'' Data'!$AA$4:$AB$7,2,FALSE)))</f>
        <v/>
      </c>
      <c r="O191" s="60"/>
      <c r="P191" s="363" t="str">
        <f>IF(O191="","",IF(VLOOKUP(O191,'G-7 WaterC'' Data'!$AD$4:$AE$14,2,FALSE)=0,"Spatial Data Missing ⚠",VLOOKUP(O191,'G-7 WaterC'' Data'!$AD$4:$AE$14,2,FALSE)))</f>
        <v/>
      </c>
      <c r="Q191" s="369" t="str">
        <f>IF(D191="","",VLOOKUP(D191,'G-7 WaterC'' Data'!$B$2:$G$8,6,FALSE))</f>
        <v/>
      </c>
      <c r="R191" s="376" t="str">
        <f>IFERROR(IF(D191="","",IF(AND(Q191='G-1 All Habitats'!$X$3,U191&gt;0),V191+W191,IF(AND(Q191='G-1 All Habitats'!$X$3,T191&gt;0),V191+W191,IF(AND(Q191='G-1 All Habitats'!$X$3,AD191&gt;0),"Any Loss Unacceptable ⚠",IF(AND(Q191='G-1 All Habitats'!$X$3,AE191&gt;0),"Any Loss Unacceptable ⚠", E191*G191*I191*L191*N191*P191 ))))),"Check Data ▲")</f>
        <v/>
      </c>
      <c r="S191" s="32"/>
      <c r="T191" s="114"/>
      <c r="U191" s="125"/>
      <c r="V191" s="374" t="str">
        <f t="shared" si="14"/>
        <v/>
      </c>
      <c r="W191" s="374" t="str">
        <f t="shared" si="15"/>
        <v/>
      </c>
      <c r="X191" s="374" t="str">
        <f t="shared" si="16"/>
        <v/>
      </c>
      <c r="Y191" s="670" t="str">
        <f t="shared" si="17"/>
        <v/>
      </c>
      <c r="Z191" s="706"/>
      <c r="AA191" s="704"/>
      <c r="AB191" s="120"/>
      <c r="AC191" s="120"/>
      <c r="AD191" s="57" t="str">
        <f>IF(Q191="","",IF(Q191='G-1 All Habitats'!$X$3,E191-T191-U191,"None"))</f>
        <v/>
      </c>
      <c r="AE191" s="58" t="str">
        <f>IF(Q191="","", IF(Q191='G-1 All Habitats'!$X$3, AD191*G191*I191*L191*N191*P191,"None"))</f>
        <v/>
      </c>
      <c r="AH191" s="30">
        <f t="shared" si="18"/>
        <v>0</v>
      </c>
      <c r="AI191" s="124" t="str">
        <f t="shared" si="19"/>
        <v/>
      </c>
      <c r="AJ191" s="124" t="str">
        <f t="shared" si="20"/>
        <v/>
      </c>
      <c r="AL191" s="124">
        <v>182</v>
      </c>
      <c r="AN191" s="124" t="str">
        <f t="array" ref="AN191">IFERROR(INDEX($AL$10:$AL$258, MATCH(0, IF(TRUE=$AI$10:$AI$258, COUNTIF($AN$9:$AN190, $AL$10:$AL$258), ""), 0)),"")</f>
        <v/>
      </c>
      <c r="AO191" s="124" t="str">
        <f t="array" ref="AO191">IFERROR(INDEX($AL$10:$AL$258, MATCH(0, IF(TRUE=$AJ$10:$AJ$258, COUNTIF($AO$9:$AO190, $AL$10:$AL$258), ""), 0)),"")</f>
        <v/>
      </c>
      <c r="AQ191" s="30" t="str">
        <f>IFERROR(INDEX('G-7 WaterC'' Data'!$AZ$3:$AZ$7,MATCH(D191,'G-7 WaterC'' Data'!$AY$3:$AY$7,0)),"")</f>
        <v/>
      </c>
      <c r="AR191" s="30" t="str">
        <f>IFERROR(INDEX('G-7 WaterC'' Data'!AZ191:AZ195,MATCH(D191,'G-7 WaterC'' Data'!$AY$10:$AY$14,0)),"")</f>
        <v/>
      </c>
    </row>
    <row r="192" spans="3:44" ht="15">
      <c r="C192" s="110">
        <v>183</v>
      </c>
      <c r="D192" s="338"/>
      <c r="E192" s="139"/>
      <c r="F192" s="362" t="str">
        <f>IF(D192="","",VLOOKUP(D192,'G-7 WaterC'' Data'!$B$2:$G$8,2,FALSE))</f>
        <v/>
      </c>
      <c r="G192" s="363" t="str">
        <f>IFERROR(VLOOKUP(F192,'G-7 WaterC'' Data'!$C$4:$D$8,2,FALSE),"")</f>
        <v/>
      </c>
      <c r="H192" s="114"/>
      <c r="I192" s="363" t="str">
        <f>IFERROR(INDEX('G-7 WaterC'' Data'!$H$4:$L$8,MATCH(D192,'G-7 WaterC'' Data'!$B$4:$B$8,0),MATCH(H192,'G-7 WaterC'' Data'!$H$3:$L$3,0)),"")</f>
        <v/>
      </c>
      <c r="J192" s="320"/>
      <c r="K192" s="398" t="str">
        <f>IF(J192="","",IF(VLOOKUP(J192,'G-7 WaterC'' Data'!$AK$4:$AM$6,2,FALSE)=0,"Spatial Data Missing ⚠",VLOOKUP(J192,'G-7 WaterC'' Data'!$AK$4:$AM$6,2,FALSE)))</f>
        <v/>
      </c>
      <c r="L192" s="368" t="str">
        <f>IF(J192="","",IF(VLOOKUP(J192,'G-7 WaterC'' Data'!$AK$4:$AM$9,3,FALSE)=0,"Spatial Data Missing ⚠",VLOOKUP(J192,'G-7 WaterC'' Data'!$AK$4:$AM$6,3,FALSE)))</f>
        <v/>
      </c>
      <c r="M192" s="54"/>
      <c r="N192" s="363" t="str">
        <f>IF(M192="","",IF(VLOOKUP(M192,'G-7 WaterC'' Data'!$AA$4:$AB$7,2,FALSE)=0,"Spatial Data Missing ⚠",VLOOKUP(M192,'G-7 WaterC'' Data'!$AA$4:$AB$7,2,FALSE)))</f>
        <v/>
      </c>
      <c r="O192" s="60"/>
      <c r="P192" s="363" t="str">
        <f>IF(O192="","",IF(VLOOKUP(O192,'G-7 WaterC'' Data'!$AD$4:$AE$14,2,FALSE)=0,"Spatial Data Missing ⚠",VLOOKUP(O192,'G-7 WaterC'' Data'!$AD$4:$AE$14,2,FALSE)))</f>
        <v/>
      </c>
      <c r="Q192" s="369" t="str">
        <f>IF(D192="","",VLOOKUP(D192,'G-7 WaterC'' Data'!$B$2:$G$8,6,FALSE))</f>
        <v/>
      </c>
      <c r="R192" s="376" t="str">
        <f>IFERROR(IF(D192="","",IF(AND(Q192='G-1 All Habitats'!$X$3,U192&gt;0),V192+W192,IF(AND(Q192='G-1 All Habitats'!$X$3,T192&gt;0),V192+W192,IF(AND(Q192='G-1 All Habitats'!$X$3,AD192&gt;0),"Any Loss Unacceptable ⚠",IF(AND(Q192='G-1 All Habitats'!$X$3,AE192&gt;0),"Any Loss Unacceptable ⚠", E192*G192*I192*L192*N192*P192 ))))),"Check Data ▲")</f>
        <v/>
      </c>
      <c r="S192" s="32"/>
      <c r="T192" s="114"/>
      <c r="U192" s="125"/>
      <c r="V192" s="374" t="str">
        <f t="shared" si="14"/>
        <v/>
      </c>
      <c r="W192" s="374" t="str">
        <f t="shared" si="15"/>
        <v/>
      </c>
      <c r="X192" s="374" t="str">
        <f t="shared" si="16"/>
        <v/>
      </c>
      <c r="Y192" s="670" t="str">
        <f t="shared" si="17"/>
        <v/>
      </c>
      <c r="Z192" s="706"/>
      <c r="AA192" s="704"/>
      <c r="AB192" s="120"/>
      <c r="AC192" s="120"/>
      <c r="AD192" s="57" t="str">
        <f>IF(Q192="","",IF(Q192='G-1 All Habitats'!$X$3,E192-T192-U192,"None"))</f>
        <v/>
      </c>
      <c r="AE192" s="58" t="str">
        <f>IF(Q192="","", IF(Q192='G-1 All Habitats'!$X$3, AD192*G192*I192*L192*N192*P192,"None"))</f>
        <v/>
      </c>
      <c r="AH192" s="30">
        <f t="shared" si="18"/>
        <v>0</v>
      </c>
      <c r="AI192" s="124" t="str">
        <f t="shared" si="19"/>
        <v/>
      </c>
      <c r="AJ192" s="124" t="str">
        <f t="shared" si="20"/>
        <v/>
      </c>
      <c r="AL192" s="124">
        <v>183</v>
      </c>
      <c r="AN192" s="124" t="str">
        <f t="array" ref="AN192">IFERROR(INDEX($AL$10:$AL$258, MATCH(0, IF(TRUE=$AI$10:$AI$258, COUNTIF($AN$9:$AN191, $AL$10:$AL$258), ""), 0)),"")</f>
        <v/>
      </c>
      <c r="AO192" s="124" t="str">
        <f t="array" ref="AO192">IFERROR(INDEX($AL$10:$AL$258, MATCH(0, IF(TRUE=$AJ$10:$AJ$258, COUNTIF($AO$9:$AO191, $AL$10:$AL$258), ""), 0)),"")</f>
        <v/>
      </c>
      <c r="AQ192" s="30" t="str">
        <f>IFERROR(INDEX('G-7 WaterC'' Data'!$AZ$3:$AZ$7,MATCH(D192,'G-7 WaterC'' Data'!$AY$3:$AY$7,0)),"")</f>
        <v/>
      </c>
      <c r="AR192" s="30" t="str">
        <f>IFERROR(INDEX('G-7 WaterC'' Data'!AZ192:AZ196,MATCH(D192,'G-7 WaterC'' Data'!$AY$10:$AY$14,0)),"")</f>
        <v/>
      </c>
    </row>
    <row r="193" spans="3:44" ht="15">
      <c r="C193" s="110">
        <v>184</v>
      </c>
      <c r="D193" s="338"/>
      <c r="E193" s="139"/>
      <c r="F193" s="362" t="str">
        <f>IF(D193="","",VLOOKUP(D193,'G-7 WaterC'' Data'!$B$2:$G$8,2,FALSE))</f>
        <v/>
      </c>
      <c r="G193" s="363" t="str">
        <f>IFERROR(VLOOKUP(F193,'G-7 WaterC'' Data'!$C$4:$D$8,2,FALSE),"")</f>
        <v/>
      </c>
      <c r="H193" s="114"/>
      <c r="I193" s="363" t="str">
        <f>IFERROR(INDEX('G-7 WaterC'' Data'!$H$4:$L$8,MATCH(D193,'G-7 WaterC'' Data'!$B$4:$B$8,0),MATCH(H193,'G-7 WaterC'' Data'!$H$3:$L$3,0)),"")</f>
        <v/>
      </c>
      <c r="J193" s="320"/>
      <c r="K193" s="398" t="str">
        <f>IF(J193="","",IF(VLOOKUP(J193,'G-7 WaterC'' Data'!$AK$4:$AM$6,2,FALSE)=0,"Spatial Data Missing ⚠",VLOOKUP(J193,'G-7 WaterC'' Data'!$AK$4:$AM$6,2,FALSE)))</f>
        <v/>
      </c>
      <c r="L193" s="368" t="str">
        <f>IF(J193="","",IF(VLOOKUP(J193,'G-7 WaterC'' Data'!$AK$4:$AM$9,3,FALSE)=0,"Spatial Data Missing ⚠",VLOOKUP(J193,'G-7 WaterC'' Data'!$AK$4:$AM$6,3,FALSE)))</f>
        <v/>
      </c>
      <c r="M193" s="54"/>
      <c r="N193" s="363" t="str">
        <f>IF(M193="","",IF(VLOOKUP(M193,'G-7 WaterC'' Data'!$AA$4:$AB$7,2,FALSE)=0,"Spatial Data Missing ⚠",VLOOKUP(M193,'G-7 WaterC'' Data'!$AA$4:$AB$7,2,FALSE)))</f>
        <v/>
      </c>
      <c r="O193" s="60"/>
      <c r="P193" s="363" t="str">
        <f>IF(O193="","",IF(VLOOKUP(O193,'G-7 WaterC'' Data'!$AD$4:$AE$14,2,FALSE)=0,"Spatial Data Missing ⚠",VLOOKUP(O193,'G-7 WaterC'' Data'!$AD$4:$AE$14,2,FALSE)))</f>
        <v/>
      </c>
      <c r="Q193" s="369" t="str">
        <f>IF(D193="","",VLOOKUP(D193,'G-7 WaterC'' Data'!$B$2:$G$8,6,FALSE))</f>
        <v/>
      </c>
      <c r="R193" s="376" t="str">
        <f>IFERROR(IF(D193="","",IF(AND(Q193='G-1 All Habitats'!$X$3,U193&gt;0),V193+W193,IF(AND(Q193='G-1 All Habitats'!$X$3,T193&gt;0),V193+W193,IF(AND(Q193='G-1 All Habitats'!$X$3,AD193&gt;0),"Any Loss Unacceptable ⚠",IF(AND(Q193='G-1 All Habitats'!$X$3,AE193&gt;0),"Any Loss Unacceptable ⚠", E193*G193*I193*L193*N193*P193 ))))),"Check Data ▲")</f>
        <v/>
      </c>
      <c r="S193" s="32"/>
      <c r="T193" s="114"/>
      <c r="U193" s="125"/>
      <c r="V193" s="374" t="str">
        <f t="shared" si="14"/>
        <v/>
      </c>
      <c r="W193" s="374" t="str">
        <f t="shared" si="15"/>
        <v/>
      </c>
      <c r="X193" s="374" t="str">
        <f t="shared" si="16"/>
        <v/>
      </c>
      <c r="Y193" s="670" t="str">
        <f t="shared" si="17"/>
        <v/>
      </c>
      <c r="Z193" s="706"/>
      <c r="AA193" s="704"/>
      <c r="AB193" s="120"/>
      <c r="AC193" s="120"/>
      <c r="AD193" s="57" t="str">
        <f>IF(Q193="","",IF(Q193='G-1 All Habitats'!$X$3,E193-T193-U193,"None"))</f>
        <v/>
      </c>
      <c r="AE193" s="58" t="str">
        <f>IF(Q193="","", IF(Q193='G-1 All Habitats'!$X$3, AD193*G193*I193*L193*N193*P193,"None"))</f>
        <v/>
      </c>
      <c r="AH193" s="30">
        <f t="shared" si="18"/>
        <v>0</v>
      </c>
      <c r="AI193" s="124" t="str">
        <f t="shared" si="19"/>
        <v/>
      </c>
      <c r="AJ193" s="124" t="str">
        <f t="shared" si="20"/>
        <v/>
      </c>
      <c r="AL193" s="124">
        <v>184</v>
      </c>
      <c r="AN193" s="124" t="str">
        <f t="array" ref="AN193">IFERROR(INDEX($AL$10:$AL$258, MATCH(0, IF(TRUE=$AI$10:$AI$258, COUNTIF($AN$9:$AN192, $AL$10:$AL$258), ""), 0)),"")</f>
        <v/>
      </c>
      <c r="AO193" s="124" t="str">
        <f t="array" ref="AO193">IFERROR(INDEX($AL$10:$AL$258, MATCH(0, IF(TRUE=$AJ$10:$AJ$258, COUNTIF($AO$9:$AO192, $AL$10:$AL$258), ""), 0)),"")</f>
        <v/>
      </c>
      <c r="AQ193" s="30" t="str">
        <f>IFERROR(INDEX('G-7 WaterC'' Data'!$AZ$3:$AZ$7,MATCH(D193,'G-7 WaterC'' Data'!$AY$3:$AY$7,0)),"")</f>
        <v/>
      </c>
      <c r="AR193" s="30" t="str">
        <f>IFERROR(INDEX('G-7 WaterC'' Data'!AZ193:AZ197,MATCH(D193,'G-7 WaterC'' Data'!$AY$10:$AY$14,0)),"")</f>
        <v/>
      </c>
    </row>
    <row r="194" spans="3:44" ht="15">
      <c r="C194" s="110">
        <v>185</v>
      </c>
      <c r="D194" s="338"/>
      <c r="E194" s="139"/>
      <c r="F194" s="362" t="str">
        <f>IF(D194="","",VLOOKUP(D194,'G-7 WaterC'' Data'!$B$2:$G$8,2,FALSE))</f>
        <v/>
      </c>
      <c r="G194" s="363" t="str">
        <f>IFERROR(VLOOKUP(F194,'G-7 WaterC'' Data'!$C$4:$D$8,2,FALSE),"")</f>
        <v/>
      </c>
      <c r="H194" s="114"/>
      <c r="I194" s="363" t="str">
        <f>IFERROR(INDEX('G-7 WaterC'' Data'!$H$4:$L$8,MATCH(D194,'G-7 WaterC'' Data'!$B$4:$B$8,0),MATCH(H194,'G-7 WaterC'' Data'!$H$3:$L$3,0)),"")</f>
        <v/>
      </c>
      <c r="J194" s="320"/>
      <c r="K194" s="398" t="str">
        <f>IF(J194="","",IF(VLOOKUP(J194,'G-7 WaterC'' Data'!$AK$4:$AM$6,2,FALSE)=0,"Spatial Data Missing ⚠",VLOOKUP(J194,'G-7 WaterC'' Data'!$AK$4:$AM$6,2,FALSE)))</f>
        <v/>
      </c>
      <c r="L194" s="368" t="str">
        <f>IF(J194="","",IF(VLOOKUP(J194,'G-7 WaterC'' Data'!$AK$4:$AM$9,3,FALSE)=0,"Spatial Data Missing ⚠",VLOOKUP(J194,'G-7 WaterC'' Data'!$AK$4:$AM$6,3,FALSE)))</f>
        <v/>
      </c>
      <c r="M194" s="54"/>
      <c r="N194" s="363" t="str">
        <f>IF(M194="","",IF(VLOOKUP(M194,'G-7 WaterC'' Data'!$AA$4:$AB$7,2,FALSE)=0,"Spatial Data Missing ⚠",VLOOKUP(M194,'G-7 WaterC'' Data'!$AA$4:$AB$7,2,FALSE)))</f>
        <v/>
      </c>
      <c r="O194" s="60"/>
      <c r="P194" s="363" t="str">
        <f>IF(O194="","",IF(VLOOKUP(O194,'G-7 WaterC'' Data'!$AD$4:$AE$14,2,FALSE)=0,"Spatial Data Missing ⚠",VLOOKUP(O194,'G-7 WaterC'' Data'!$AD$4:$AE$14,2,FALSE)))</f>
        <v/>
      </c>
      <c r="Q194" s="369" t="str">
        <f>IF(D194="","",VLOOKUP(D194,'G-7 WaterC'' Data'!$B$2:$G$8,6,FALSE))</f>
        <v/>
      </c>
      <c r="R194" s="376" t="str">
        <f>IFERROR(IF(D194="","",IF(AND(Q194='G-1 All Habitats'!$X$3,U194&gt;0),V194+W194,IF(AND(Q194='G-1 All Habitats'!$X$3,T194&gt;0),V194+W194,IF(AND(Q194='G-1 All Habitats'!$X$3,AD194&gt;0),"Any Loss Unacceptable ⚠",IF(AND(Q194='G-1 All Habitats'!$X$3,AE194&gt;0),"Any Loss Unacceptable ⚠", E194*G194*I194*L194*N194*P194 ))))),"Check Data ▲")</f>
        <v/>
      </c>
      <c r="S194" s="32"/>
      <c r="T194" s="114"/>
      <c r="U194" s="125"/>
      <c r="V194" s="374" t="str">
        <f t="shared" si="14"/>
        <v/>
      </c>
      <c r="W194" s="374" t="str">
        <f t="shared" si="15"/>
        <v/>
      </c>
      <c r="X194" s="374" t="str">
        <f t="shared" si="16"/>
        <v/>
      </c>
      <c r="Y194" s="670" t="str">
        <f t="shared" si="17"/>
        <v/>
      </c>
      <c r="Z194" s="706"/>
      <c r="AA194" s="704"/>
      <c r="AB194" s="120"/>
      <c r="AC194" s="120"/>
      <c r="AD194" s="57" t="str">
        <f>IF(Q194="","",IF(Q194='G-1 All Habitats'!$X$3,E194-T194-U194,"None"))</f>
        <v/>
      </c>
      <c r="AE194" s="58" t="str">
        <f>IF(Q194="","", IF(Q194='G-1 All Habitats'!$X$3, AD194*G194*I194*L194*N194*P194,"None"))</f>
        <v/>
      </c>
      <c r="AH194" s="30">
        <f t="shared" si="18"/>
        <v>0</v>
      </c>
      <c r="AI194" s="124" t="str">
        <f t="shared" si="19"/>
        <v/>
      </c>
      <c r="AJ194" s="124" t="str">
        <f t="shared" si="20"/>
        <v/>
      </c>
      <c r="AL194" s="124">
        <v>185</v>
      </c>
      <c r="AN194" s="124" t="str">
        <f t="array" ref="AN194">IFERROR(INDEX($AL$10:$AL$258, MATCH(0, IF(TRUE=$AI$10:$AI$258, COUNTIF($AN$9:$AN193, $AL$10:$AL$258), ""), 0)),"")</f>
        <v/>
      </c>
      <c r="AO194" s="124" t="str">
        <f t="array" ref="AO194">IFERROR(INDEX($AL$10:$AL$258, MATCH(0, IF(TRUE=$AJ$10:$AJ$258, COUNTIF($AO$9:$AO193, $AL$10:$AL$258), ""), 0)),"")</f>
        <v/>
      </c>
      <c r="AQ194" s="30" t="str">
        <f>IFERROR(INDEX('G-7 WaterC'' Data'!$AZ$3:$AZ$7,MATCH(D194,'G-7 WaterC'' Data'!$AY$3:$AY$7,0)),"")</f>
        <v/>
      </c>
      <c r="AR194" s="30" t="str">
        <f>IFERROR(INDEX('G-7 WaterC'' Data'!AZ194:AZ198,MATCH(D194,'G-7 WaterC'' Data'!$AY$10:$AY$14,0)),"")</f>
        <v/>
      </c>
    </row>
    <row r="195" spans="3:44" ht="15">
      <c r="C195" s="110">
        <v>186</v>
      </c>
      <c r="D195" s="338"/>
      <c r="E195" s="139"/>
      <c r="F195" s="362" t="str">
        <f>IF(D195="","",VLOOKUP(D195,'G-7 WaterC'' Data'!$B$2:$G$8,2,FALSE))</f>
        <v/>
      </c>
      <c r="G195" s="363" t="str">
        <f>IFERROR(VLOOKUP(F195,'G-7 WaterC'' Data'!$C$4:$D$8,2,FALSE),"")</f>
        <v/>
      </c>
      <c r="H195" s="114"/>
      <c r="I195" s="363" t="str">
        <f>IFERROR(INDEX('G-7 WaterC'' Data'!$H$4:$L$8,MATCH(D195,'G-7 WaterC'' Data'!$B$4:$B$8,0),MATCH(H195,'G-7 WaterC'' Data'!$H$3:$L$3,0)),"")</f>
        <v/>
      </c>
      <c r="J195" s="320"/>
      <c r="K195" s="398" t="str">
        <f>IF(J195="","",IF(VLOOKUP(J195,'G-7 WaterC'' Data'!$AK$4:$AM$6,2,FALSE)=0,"Spatial Data Missing ⚠",VLOOKUP(J195,'G-7 WaterC'' Data'!$AK$4:$AM$6,2,FALSE)))</f>
        <v/>
      </c>
      <c r="L195" s="368" t="str">
        <f>IF(J195="","",IF(VLOOKUP(J195,'G-7 WaterC'' Data'!$AK$4:$AM$9,3,FALSE)=0,"Spatial Data Missing ⚠",VLOOKUP(J195,'G-7 WaterC'' Data'!$AK$4:$AM$6,3,FALSE)))</f>
        <v/>
      </c>
      <c r="M195" s="54"/>
      <c r="N195" s="363" t="str">
        <f>IF(M195="","",IF(VLOOKUP(M195,'G-7 WaterC'' Data'!$AA$4:$AB$7,2,FALSE)=0,"Spatial Data Missing ⚠",VLOOKUP(M195,'G-7 WaterC'' Data'!$AA$4:$AB$7,2,FALSE)))</f>
        <v/>
      </c>
      <c r="O195" s="60"/>
      <c r="P195" s="363" t="str">
        <f>IF(O195="","",IF(VLOOKUP(O195,'G-7 WaterC'' Data'!$AD$4:$AE$14,2,FALSE)=0,"Spatial Data Missing ⚠",VLOOKUP(O195,'G-7 WaterC'' Data'!$AD$4:$AE$14,2,FALSE)))</f>
        <v/>
      </c>
      <c r="Q195" s="369" t="str">
        <f>IF(D195="","",VLOOKUP(D195,'G-7 WaterC'' Data'!$B$2:$G$8,6,FALSE))</f>
        <v/>
      </c>
      <c r="R195" s="376" t="str">
        <f>IFERROR(IF(D195="","",IF(AND(Q195='G-1 All Habitats'!$X$3,U195&gt;0),V195+W195,IF(AND(Q195='G-1 All Habitats'!$X$3,T195&gt;0),V195+W195,IF(AND(Q195='G-1 All Habitats'!$X$3,AD195&gt;0),"Any Loss Unacceptable ⚠",IF(AND(Q195='G-1 All Habitats'!$X$3,AE195&gt;0),"Any Loss Unacceptable ⚠", E195*G195*I195*L195*N195*P195 ))))),"Check Data ▲")</f>
        <v/>
      </c>
      <c r="S195" s="32"/>
      <c r="T195" s="114"/>
      <c r="U195" s="125"/>
      <c r="V195" s="374" t="str">
        <f t="shared" si="14"/>
        <v/>
      </c>
      <c r="W195" s="374" t="str">
        <f t="shared" si="15"/>
        <v/>
      </c>
      <c r="X195" s="374" t="str">
        <f t="shared" si="16"/>
        <v/>
      </c>
      <c r="Y195" s="670" t="str">
        <f t="shared" si="17"/>
        <v/>
      </c>
      <c r="Z195" s="706"/>
      <c r="AA195" s="704"/>
      <c r="AB195" s="120"/>
      <c r="AC195" s="120"/>
      <c r="AD195" s="57" t="str">
        <f>IF(Q195="","",IF(Q195='G-1 All Habitats'!$X$3,E195-T195-U195,"None"))</f>
        <v/>
      </c>
      <c r="AE195" s="58" t="str">
        <f>IF(Q195="","", IF(Q195='G-1 All Habitats'!$X$3, AD195*G195*I195*L195*N195*P195,"None"))</f>
        <v/>
      </c>
      <c r="AH195" s="30">
        <f t="shared" si="18"/>
        <v>0</v>
      </c>
      <c r="AI195" s="124" t="str">
        <f t="shared" si="19"/>
        <v/>
      </c>
      <c r="AJ195" s="124" t="str">
        <f t="shared" si="20"/>
        <v/>
      </c>
      <c r="AL195" s="124">
        <v>186</v>
      </c>
      <c r="AN195" s="124" t="str">
        <f t="array" ref="AN195">IFERROR(INDEX($AL$10:$AL$258, MATCH(0, IF(TRUE=$AI$10:$AI$258, COUNTIF($AN$9:$AN194, $AL$10:$AL$258), ""), 0)),"")</f>
        <v/>
      </c>
      <c r="AO195" s="124" t="str">
        <f t="array" ref="AO195">IFERROR(INDEX($AL$10:$AL$258, MATCH(0, IF(TRUE=$AJ$10:$AJ$258, COUNTIF($AO$9:$AO194, $AL$10:$AL$258), ""), 0)),"")</f>
        <v/>
      </c>
      <c r="AQ195" s="30" t="str">
        <f>IFERROR(INDEX('G-7 WaterC'' Data'!$AZ$3:$AZ$7,MATCH(D195,'G-7 WaterC'' Data'!$AY$3:$AY$7,0)),"")</f>
        <v/>
      </c>
      <c r="AR195" s="30" t="str">
        <f>IFERROR(INDEX('G-7 WaterC'' Data'!AZ195:AZ199,MATCH(D195,'G-7 WaterC'' Data'!$AY$10:$AY$14,0)),"")</f>
        <v/>
      </c>
    </row>
    <row r="196" spans="3:44" ht="15">
      <c r="C196" s="110">
        <v>187</v>
      </c>
      <c r="D196" s="338"/>
      <c r="E196" s="139"/>
      <c r="F196" s="362" t="str">
        <f>IF(D196="","",VLOOKUP(D196,'G-7 WaterC'' Data'!$B$2:$G$8,2,FALSE))</f>
        <v/>
      </c>
      <c r="G196" s="363" t="str">
        <f>IFERROR(VLOOKUP(F196,'G-7 WaterC'' Data'!$C$4:$D$8,2,FALSE),"")</f>
        <v/>
      </c>
      <c r="H196" s="114"/>
      <c r="I196" s="363" t="str">
        <f>IFERROR(INDEX('G-7 WaterC'' Data'!$H$4:$L$8,MATCH(D196,'G-7 WaterC'' Data'!$B$4:$B$8,0),MATCH(H196,'G-7 WaterC'' Data'!$H$3:$L$3,0)),"")</f>
        <v/>
      </c>
      <c r="J196" s="320"/>
      <c r="K196" s="398" t="str">
        <f>IF(J196="","",IF(VLOOKUP(J196,'G-7 WaterC'' Data'!$AK$4:$AM$6,2,FALSE)=0,"Spatial Data Missing ⚠",VLOOKUP(J196,'G-7 WaterC'' Data'!$AK$4:$AM$6,2,FALSE)))</f>
        <v/>
      </c>
      <c r="L196" s="368" t="str">
        <f>IF(J196="","",IF(VLOOKUP(J196,'G-7 WaterC'' Data'!$AK$4:$AM$9,3,FALSE)=0,"Spatial Data Missing ⚠",VLOOKUP(J196,'G-7 WaterC'' Data'!$AK$4:$AM$6,3,FALSE)))</f>
        <v/>
      </c>
      <c r="M196" s="54"/>
      <c r="N196" s="363" t="str">
        <f>IF(M196="","",IF(VLOOKUP(M196,'G-7 WaterC'' Data'!$AA$4:$AB$7,2,FALSE)=0,"Spatial Data Missing ⚠",VLOOKUP(M196,'G-7 WaterC'' Data'!$AA$4:$AB$7,2,FALSE)))</f>
        <v/>
      </c>
      <c r="O196" s="60"/>
      <c r="P196" s="363" t="str">
        <f>IF(O196="","",IF(VLOOKUP(O196,'G-7 WaterC'' Data'!$AD$4:$AE$14,2,FALSE)=0,"Spatial Data Missing ⚠",VLOOKUP(O196,'G-7 WaterC'' Data'!$AD$4:$AE$14,2,FALSE)))</f>
        <v/>
      </c>
      <c r="Q196" s="369" t="str">
        <f>IF(D196="","",VLOOKUP(D196,'G-7 WaterC'' Data'!$B$2:$G$8,6,FALSE))</f>
        <v/>
      </c>
      <c r="R196" s="376" t="str">
        <f>IFERROR(IF(D196="","",IF(AND(Q196='G-1 All Habitats'!$X$3,U196&gt;0),V196+W196,IF(AND(Q196='G-1 All Habitats'!$X$3,T196&gt;0),V196+W196,IF(AND(Q196='G-1 All Habitats'!$X$3,AD196&gt;0),"Any Loss Unacceptable ⚠",IF(AND(Q196='G-1 All Habitats'!$X$3,AE196&gt;0),"Any Loss Unacceptable ⚠", E196*G196*I196*L196*N196*P196 ))))),"Check Data ▲")</f>
        <v/>
      </c>
      <c r="S196" s="32"/>
      <c r="T196" s="114"/>
      <c r="U196" s="125"/>
      <c r="V196" s="374" t="str">
        <f t="shared" si="14"/>
        <v/>
      </c>
      <c r="W196" s="374" t="str">
        <f t="shared" si="15"/>
        <v/>
      </c>
      <c r="X196" s="374" t="str">
        <f t="shared" si="16"/>
        <v/>
      </c>
      <c r="Y196" s="670" t="str">
        <f t="shared" si="17"/>
        <v/>
      </c>
      <c r="Z196" s="706"/>
      <c r="AA196" s="704"/>
      <c r="AB196" s="120"/>
      <c r="AC196" s="120"/>
      <c r="AD196" s="57" t="str">
        <f>IF(Q196="","",IF(Q196='G-1 All Habitats'!$X$3,E196-T196-U196,"None"))</f>
        <v/>
      </c>
      <c r="AE196" s="58" t="str">
        <f>IF(Q196="","", IF(Q196='G-1 All Habitats'!$X$3, AD196*G196*I196*L196*N196*P196,"None"))</f>
        <v/>
      </c>
      <c r="AH196" s="30">
        <f t="shared" si="18"/>
        <v>0</v>
      </c>
      <c r="AI196" s="124" t="str">
        <f t="shared" si="19"/>
        <v/>
      </c>
      <c r="AJ196" s="124" t="str">
        <f t="shared" si="20"/>
        <v/>
      </c>
      <c r="AL196" s="124">
        <v>187</v>
      </c>
      <c r="AN196" s="124" t="str">
        <f t="array" ref="AN196">IFERROR(INDEX($AL$10:$AL$258, MATCH(0, IF(TRUE=$AI$10:$AI$258, COUNTIF($AN$9:$AN195, $AL$10:$AL$258), ""), 0)),"")</f>
        <v/>
      </c>
      <c r="AO196" s="124" t="str">
        <f t="array" ref="AO196">IFERROR(INDEX($AL$10:$AL$258, MATCH(0, IF(TRUE=$AJ$10:$AJ$258, COUNTIF($AO$9:$AO195, $AL$10:$AL$258), ""), 0)),"")</f>
        <v/>
      </c>
      <c r="AQ196" s="30" t="str">
        <f>IFERROR(INDEX('G-7 WaterC'' Data'!$AZ$3:$AZ$7,MATCH(D196,'G-7 WaterC'' Data'!$AY$3:$AY$7,0)),"")</f>
        <v/>
      </c>
      <c r="AR196" s="30" t="str">
        <f>IFERROR(INDEX('G-7 WaterC'' Data'!AZ196:AZ200,MATCH(D196,'G-7 WaterC'' Data'!$AY$10:$AY$14,0)),"")</f>
        <v/>
      </c>
    </row>
    <row r="197" spans="3:44" ht="15">
      <c r="C197" s="110">
        <v>188</v>
      </c>
      <c r="D197" s="338"/>
      <c r="E197" s="139"/>
      <c r="F197" s="362" t="str">
        <f>IF(D197="","",VLOOKUP(D197,'G-7 WaterC'' Data'!$B$2:$G$8,2,FALSE))</f>
        <v/>
      </c>
      <c r="G197" s="363" t="str">
        <f>IFERROR(VLOOKUP(F197,'G-7 WaterC'' Data'!$C$4:$D$8,2,FALSE),"")</f>
        <v/>
      </c>
      <c r="H197" s="114"/>
      <c r="I197" s="363" t="str">
        <f>IFERROR(INDEX('G-7 WaterC'' Data'!$H$4:$L$8,MATCH(D197,'G-7 WaterC'' Data'!$B$4:$B$8,0),MATCH(H197,'G-7 WaterC'' Data'!$H$3:$L$3,0)),"")</f>
        <v/>
      </c>
      <c r="J197" s="320"/>
      <c r="K197" s="398" t="str">
        <f>IF(J197="","",IF(VLOOKUP(J197,'G-7 WaterC'' Data'!$AK$4:$AM$6,2,FALSE)=0,"Spatial Data Missing ⚠",VLOOKUP(J197,'G-7 WaterC'' Data'!$AK$4:$AM$6,2,FALSE)))</f>
        <v/>
      </c>
      <c r="L197" s="368" t="str">
        <f>IF(J197="","",IF(VLOOKUP(J197,'G-7 WaterC'' Data'!$AK$4:$AM$9,3,FALSE)=0,"Spatial Data Missing ⚠",VLOOKUP(J197,'G-7 WaterC'' Data'!$AK$4:$AM$6,3,FALSE)))</f>
        <v/>
      </c>
      <c r="M197" s="54"/>
      <c r="N197" s="363" t="str">
        <f>IF(M197="","",IF(VLOOKUP(M197,'G-7 WaterC'' Data'!$AA$4:$AB$7,2,FALSE)=0,"Spatial Data Missing ⚠",VLOOKUP(M197,'G-7 WaterC'' Data'!$AA$4:$AB$7,2,FALSE)))</f>
        <v/>
      </c>
      <c r="O197" s="60"/>
      <c r="P197" s="363" t="str">
        <f>IF(O197="","",IF(VLOOKUP(O197,'G-7 WaterC'' Data'!$AD$4:$AE$14,2,FALSE)=0,"Spatial Data Missing ⚠",VLOOKUP(O197,'G-7 WaterC'' Data'!$AD$4:$AE$14,2,FALSE)))</f>
        <v/>
      </c>
      <c r="Q197" s="369" t="str">
        <f>IF(D197="","",VLOOKUP(D197,'G-7 WaterC'' Data'!$B$2:$G$8,6,FALSE))</f>
        <v/>
      </c>
      <c r="R197" s="376" t="str">
        <f>IFERROR(IF(D197="","",IF(AND(Q197='G-1 All Habitats'!$X$3,U197&gt;0),V197+W197,IF(AND(Q197='G-1 All Habitats'!$X$3,T197&gt;0),V197+W197,IF(AND(Q197='G-1 All Habitats'!$X$3,AD197&gt;0),"Any Loss Unacceptable ⚠",IF(AND(Q197='G-1 All Habitats'!$X$3,AE197&gt;0),"Any Loss Unacceptable ⚠", E197*G197*I197*L197*N197*P197 ))))),"Check Data ▲")</f>
        <v/>
      </c>
      <c r="S197" s="32"/>
      <c r="T197" s="114"/>
      <c r="U197" s="125"/>
      <c r="V197" s="374" t="str">
        <f t="shared" si="14"/>
        <v/>
      </c>
      <c r="W197" s="374" t="str">
        <f t="shared" si="15"/>
        <v/>
      </c>
      <c r="X197" s="374" t="str">
        <f t="shared" si="16"/>
        <v/>
      </c>
      <c r="Y197" s="670" t="str">
        <f t="shared" si="17"/>
        <v/>
      </c>
      <c r="Z197" s="706"/>
      <c r="AA197" s="704"/>
      <c r="AB197" s="120"/>
      <c r="AC197" s="120"/>
      <c r="AD197" s="57" t="str">
        <f>IF(Q197="","",IF(Q197='G-1 All Habitats'!$X$3,E197-T197-U197,"None"))</f>
        <v/>
      </c>
      <c r="AE197" s="58" t="str">
        <f>IF(Q197="","", IF(Q197='G-1 All Habitats'!$X$3, AD197*G197*I197*L197*N197*P197,"None"))</f>
        <v/>
      </c>
      <c r="AH197" s="30">
        <f t="shared" si="18"/>
        <v>0</v>
      </c>
      <c r="AI197" s="124" t="str">
        <f t="shared" si="19"/>
        <v/>
      </c>
      <c r="AJ197" s="124" t="str">
        <f t="shared" si="20"/>
        <v/>
      </c>
      <c r="AL197" s="124">
        <v>188</v>
      </c>
      <c r="AN197" s="124" t="str">
        <f t="array" ref="AN197">IFERROR(INDEX($AL$10:$AL$258, MATCH(0, IF(TRUE=$AI$10:$AI$258, COUNTIF($AN$9:$AN196, $AL$10:$AL$258), ""), 0)),"")</f>
        <v/>
      </c>
      <c r="AO197" s="124" t="str">
        <f t="array" ref="AO197">IFERROR(INDEX($AL$10:$AL$258, MATCH(0, IF(TRUE=$AJ$10:$AJ$258, COUNTIF($AO$9:$AO196, $AL$10:$AL$258), ""), 0)),"")</f>
        <v/>
      </c>
      <c r="AQ197" s="30" t="str">
        <f>IFERROR(INDEX('G-7 WaterC'' Data'!$AZ$3:$AZ$7,MATCH(D197,'G-7 WaterC'' Data'!$AY$3:$AY$7,0)),"")</f>
        <v/>
      </c>
      <c r="AR197" s="30" t="str">
        <f>IFERROR(INDEX('G-7 WaterC'' Data'!AZ197:AZ201,MATCH(D197,'G-7 WaterC'' Data'!$AY$10:$AY$14,0)),"")</f>
        <v/>
      </c>
    </row>
    <row r="198" spans="3:44" ht="15">
      <c r="C198" s="110">
        <v>189</v>
      </c>
      <c r="D198" s="338"/>
      <c r="E198" s="139"/>
      <c r="F198" s="362" t="str">
        <f>IF(D198="","",VLOOKUP(D198,'G-7 WaterC'' Data'!$B$2:$G$8,2,FALSE))</f>
        <v/>
      </c>
      <c r="G198" s="363" t="str">
        <f>IFERROR(VLOOKUP(F198,'G-7 WaterC'' Data'!$C$4:$D$8,2,FALSE),"")</f>
        <v/>
      </c>
      <c r="H198" s="114"/>
      <c r="I198" s="363" t="str">
        <f>IFERROR(INDEX('G-7 WaterC'' Data'!$H$4:$L$8,MATCH(D198,'G-7 WaterC'' Data'!$B$4:$B$8,0),MATCH(H198,'G-7 WaterC'' Data'!$H$3:$L$3,0)),"")</f>
        <v/>
      </c>
      <c r="J198" s="320"/>
      <c r="K198" s="398" t="str">
        <f>IF(J198="","",IF(VLOOKUP(J198,'G-7 WaterC'' Data'!$AK$4:$AM$6,2,FALSE)=0,"Spatial Data Missing ⚠",VLOOKUP(J198,'G-7 WaterC'' Data'!$AK$4:$AM$6,2,FALSE)))</f>
        <v/>
      </c>
      <c r="L198" s="368" t="str">
        <f>IF(J198="","",IF(VLOOKUP(J198,'G-7 WaterC'' Data'!$AK$4:$AM$9,3,FALSE)=0,"Spatial Data Missing ⚠",VLOOKUP(J198,'G-7 WaterC'' Data'!$AK$4:$AM$6,3,FALSE)))</f>
        <v/>
      </c>
      <c r="M198" s="54"/>
      <c r="N198" s="363" t="str">
        <f>IF(M198="","",IF(VLOOKUP(M198,'G-7 WaterC'' Data'!$AA$4:$AB$7,2,FALSE)=0,"Spatial Data Missing ⚠",VLOOKUP(M198,'G-7 WaterC'' Data'!$AA$4:$AB$7,2,FALSE)))</f>
        <v/>
      </c>
      <c r="O198" s="60"/>
      <c r="P198" s="363" t="str">
        <f>IF(O198="","",IF(VLOOKUP(O198,'G-7 WaterC'' Data'!$AD$4:$AE$14,2,FALSE)=0,"Spatial Data Missing ⚠",VLOOKUP(O198,'G-7 WaterC'' Data'!$AD$4:$AE$14,2,FALSE)))</f>
        <v/>
      </c>
      <c r="Q198" s="369" t="str">
        <f>IF(D198="","",VLOOKUP(D198,'G-7 WaterC'' Data'!$B$2:$G$8,6,FALSE))</f>
        <v/>
      </c>
      <c r="R198" s="376" t="str">
        <f>IFERROR(IF(D198="","",IF(AND(Q198='G-1 All Habitats'!$X$3,U198&gt;0),V198+W198,IF(AND(Q198='G-1 All Habitats'!$X$3,T198&gt;0),V198+W198,IF(AND(Q198='G-1 All Habitats'!$X$3,AD198&gt;0),"Any Loss Unacceptable ⚠",IF(AND(Q198='G-1 All Habitats'!$X$3,AE198&gt;0),"Any Loss Unacceptable ⚠", E198*G198*I198*L198*N198*P198 ))))),"Check Data ▲")</f>
        <v/>
      </c>
      <c r="S198" s="32"/>
      <c r="T198" s="114"/>
      <c r="U198" s="125"/>
      <c r="V198" s="374" t="str">
        <f t="shared" si="14"/>
        <v/>
      </c>
      <c r="W198" s="374" t="str">
        <f t="shared" si="15"/>
        <v/>
      </c>
      <c r="X198" s="374" t="str">
        <f t="shared" si="16"/>
        <v/>
      </c>
      <c r="Y198" s="670" t="str">
        <f t="shared" si="17"/>
        <v/>
      </c>
      <c r="Z198" s="706"/>
      <c r="AA198" s="704"/>
      <c r="AB198" s="120"/>
      <c r="AC198" s="120"/>
      <c r="AD198" s="57" t="str">
        <f>IF(Q198="","",IF(Q198='G-1 All Habitats'!$X$3,E198-T198-U198,"None"))</f>
        <v/>
      </c>
      <c r="AE198" s="58" t="str">
        <f>IF(Q198="","", IF(Q198='G-1 All Habitats'!$X$3, AD198*G198*I198*L198*N198*P198,"None"))</f>
        <v/>
      </c>
      <c r="AH198" s="30">
        <f t="shared" si="18"/>
        <v>0</v>
      </c>
      <c r="AI198" s="124" t="str">
        <f t="shared" si="19"/>
        <v/>
      </c>
      <c r="AJ198" s="124" t="str">
        <f t="shared" si="20"/>
        <v/>
      </c>
      <c r="AL198" s="124">
        <v>189</v>
      </c>
      <c r="AN198" s="124" t="str">
        <f t="array" ref="AN198">IFERROR(INDEX($AL$10:$AL$258, MATCH(0, IF(TRUE=$AI$10:$AI$258, COUNTIF($AN$9:$AN197, $AL$10:$AL$258), ""), 0)),"")</f>
        <v/>
      </c>
      <c r="AO198" s="124" t="str">
        <f t="array" ref="AO198">IFERROR(INDEX($AL$10:$AL$258, MATCH(0, IF(TRUE=$AJ$10:$AJ$258, COUNTIF($AO$9:$AO197, $AL$10:$AL$258), ""), 0)),"")</f>
        <v/>
      </c>
      <c r="AQ198" s="30" t="str">
        <f>IFERROR(INDEX('G-7 WaterC'' Data'!$AZ$3:$AZ$7,MATCH(D198,'G-7 WaterC'' Data'!$AY$3:$AY$7,0)),"")</f>
        <v/>
      </c>
      <c r="AR198" s="30" t="str">
        <f>IFERROR(INDEX('G-7 WaterC'' Data'!AZ198:AZ202,MATCH(D198,'G-7 WaterC'' Data'!$AY$10:$AY$14,0)),"")</f>
        <v/>
      </c>
    </row>
    <row r="199" spans="3:44" ht="15">
      <c r="C199" s="110">
        <v>190</v>
      </c>
      <c r="D199" s="338"/>
      <c r="E199" s="139"/>
      <c r="F199" s="362" t="str">
        <f>IF(D199="","",VLOOKUP(D199,'G-7 WaterC'' Data'!$B$2:$G$8,2,FALSE))</f>
        <v/>
      </c>
      <c r="G199" s="363" t="str">
        <f>IFERROR(VLOOKUP(F199,'G-7 WaterC'' Data'!$C$4:$D$8,2,FALSE),"")</f>
        <v/>
      </c>
      <c r="H199" s="114"/>
      <c r="I199" s="363" t="str">
        <f>IFERROR(INDEX('G-7 WaterC'' Data'!$H$4:$L$8,MATCH(D199,'G-7 WaterC'' Data'!$B$4:$B$8,0),MATCH(H199,'G-7 WaterC'' Data'!$H$3:$L$3,0)),"")</f>
        <v/>
      </c>
      <c r="J199" s="320"/>
      <c r="K199" s="398" t="str">
        <f>IF(J199="","",IF(VLOOKUP(J199,'G-7 WaterC'' Data'!$AK$4:$AM$6,2,FALSE)=0,"Spatial Data Missing ⚠",VLOOKUP(J199,'G-7 WaterC'' Data'!$AK$4:$AM$6,2,FALSE)))</f>
        <v/>
      </c>
      <c r="L199" s="368" t="str">
        <f>IF(J199="","",IF(VLOOKUP(J199,'G-7 WaterC'' Data'!$AK$4:$AM$9,3,FALSE)=0,"Spatial Data Missing ⚠",VLOOKUP(J199,'G-7 WaterC'' Data'!$AK$4:$AM$6,3,FALSE)))</f>
        <v/>
      </c>
      <c r="M199" s="54"/>
      <c r="N199" s="363" t="str">
        <f>IF(M199="","",IF(VLOOKUP(M199,'G-7 WaterC'' Data'!$AA$4:$AB$7,2,FALSE)=0,"Spatial Data Missing ⚠",VLOOKUP(M199,'G-7 WaterC'' Data'!$AA$4:$AB$7,2,FALSE)))</f>
        <v/>
      </c>
      <c r="O199" s="60"/>
      <c r="P199" s="363" t="str">
        <f>IF(O199="","",IF(VLOOKUP(O199,'G-7 WaterC'' Data'!$AD$4:$AE$14,2,FALSE)=0,"Spatial Data Missing ⚠",VLOOKUP(O199,'G-7 WaterC'' Data'!$AD$4:$AE$14,2,FALSE)))</f>
        <v/>
      </c>
      <c r="Q199" s="369" t="str">
        <f>IF(D199="","",VLOOKUP(D199,'G-7 WaterC'' Data'!$B$2:$G$8,6,FALSE))</f>
        <v/>
      </c>
      <c r="R199" s="376" t="str">
        <f>IFERROR(IF(D199="","",IF(AND(Q199='G-1 All Habitats'!$X$3,U199&gt;0),V199+W199,IF(AND(Q199='G-1 All Habitats'!$X$3,T199&gt;0),V199+W199,IF(AND(Q199='G-1 All Habitats'!$X$3,AD199&gt;0),"Any Loss Unacceptable ⚠",IF(AND(Q199='G-1 All Habitats'!$X$3,AE199&gt;0),"Any Loss Unacceptable ⚠", E199*G199*I199*L199*N199*P199 ))))),"Check Data ▲")</f>
        <v/>
      </c>
      <c r="S199" s="32"/>
      <c r="T199" s="114"/>
      <c r="U199" s="125"/>
      <c r="V199" s="374" t="str">
        <f t="shared" si="14"/>
        <v/>
      </c>
      <c r="W199" s="374" t="str">
        <f t="shared" si="15"/>
        <v/>
      </c>
      <c r="X199" s="374" t="str">
        <f t="shared" si="16"/>
        <v/>
      </c>
      <c r="Y199" s="670" t="str">
        <f t="shared" si="17"/>
        <v/>
      </c>
      <c r="Z199" s="706"/>
      <c r="AA199" s="704"/>
      <c r="AB199" s="120"/>
      <c r="AC199" s="120"/>
      <c r="AD199" s="57" t="str">
        <f>IF(Q199="","",IF(Q199='G-1 All Habitats'!$X$3,E199-T199-U199,"None"))</f>
        <v/>
      </c>
      <c r="AE199" s="58" t="str">
        <f>IF(Q199="","", IF(Q199='G-1 All Habitats'!$X$3, AD199*G199*I199*L199*N199*P199,"None"))</f>
        <v/>
      </c>
      <c r="AH199" s="30">
        <f t="shared" si="18"/>
        <v>0</v>
      </c>
      <c r="AI199" s="124" t="str">
        <f t="shared" si="19"/>
        <v/>
      </c>
      <c r="AJ199" s="124" t="str">
        <f t="shared" si="20"/>
        <v/>
      </c>
      <c r="AL199" s="124">
        <v>190</v>
      </c>
      <c r="AN199" s="124" t="str">
        <f t="array" ref="AN199">IFERROR(INDEX($AL$10:$AL$258, MATCH(0, IF(TRUE=$AI$10:$AI$258, COUNTIF($AN$9:$AN198, $AL$10:$AL$258), ""), 0)),"")</f>
        <v/>
      </c>
      <c r="AO199" s="124" t="str">
        <f t="array" ref="AO199">IFERROR(INDEX($AL$10:$AL$258, MATCH(0, IF(TRUE=$AJ$10:$AJ$258, COUNTIF($AO$9:$AO198, $AL$10:$AL$258), ""), 0)),"")</f>
        <v/>
      </c>
      <c r="AQ199" s="30" t="str">
        <f>IFERROR(INDEX('G-7 WaterC'' Data'!$AZ$3:$AZ$7,MATCH(D199,'G-7 WaterC'' Data'!$AY$3:$AY$7,0)),"")</f>
        <v/>
      </c>
      <c r="AR199" s="30" t="str">
        <f>IFERROR(INDEX('G-7 WaterC'' Data'!AZ199:AZ203,MATCH(D199,'G-7 WaterC'' Data'!$AY$10:$AY$14,0)),"")</f>
        <v/>
      </c>
    </row>
    <row r="200" spans="3:44" ht="15">
      <c r="C200" s="110">
        <v>191</v>
      </c>
      <c r="D200" s="338"/>
      <c r="E200" s="139"/>
      <c r="F200" s="362" t="str">
        <f>IF(D200="","",VLOOKUP(D200,'G-7 WaterC'' Data'!$B$2:$G$8,2,FALSE))</f>
        <v/>
      </c>
      <c r="G200" s="363" t="str">
        <f>IFERROR(VLOOKUP(F200,'G-7 WaterC'' Data'!$C$4:$D$8,2,FALSE),"")</f>
        <v/>
      </c>
      <c r="H200" s="114"/>
      <c r="I200" s="363" t="str">
        <f>IFERROR(INDEX('G-7 WaterC'' Data'!$H$4:$L$8,MATCH(D200,'G-7 WaterC'' Data'!$B$4:$B$8,0),MATCH(H200,'G-7 WaterC'' Data'!$H$3:$L$3,0)),"")</f>
        <v/>
      </c>
      <c r="J200" s="320"/>
      <c r="K200" s="398" t="str">
        <f>IF(J200="","",IF(VLOOKUP(J200,'G-7 WaterC'' Data'!$AK$4:$AM$6,2,FALSE)=0,"Spatial Data Missing ⚠",VLOOKUP(J200,'G-7 WaterC'' Data'!$AK$4:$AM$6,2,FALSE)))</f>
        <v/>
      </c>
      <c r="L200" s="368" t="str">
        <f>IF(J200="","",IF(VLOOKUP(J200,'G-7 WaterC'' Data'!$AK$4:$AM$9,3,FALSE)=0,"Spatial Data Missing ⚠",VLOOKUP(J200,'G-7 WaterC'' Data'!$AK$4:$AM$6,3,FALSE)))</f>
        <v/>
      </c>
      <c r="M200" s="54"/>
      <c r="N200" s="363" t="str">
        <f>IF(M200="","",IF(VLOOKUP(M200,'G-7 WaterC'' Data'!$AA$4:$AB$7,2,FALSE)=0,"Spatial Data Missing ⚠",VLOOKUP(M200,'G-7 WaterC'' Data'!$AA$4:$AB$7,2,FALSE)))</f>
        <v/>
      </c>
      <c r="O200" s="60"/>
      <c r="P200" s="363" t="str">
        <f>IF(O200="","",IF(VLOOKUP(O200,'G-7 WaterC'' Data'!$AD$4:$AE$14,2,FALSE)=0,"Spatial Data Missing ⚠",VLOOKUP(O200,'G-7 WaterC'' Data'!$AD$4:$AE$14,2,FALSE)))</f>
        <v/>
      </c>
      <c r="Q200" s="369" t="str">
        <f>IF(D200="","",VLOOKUP(D200,'G-7 WaterC'' Data'!$B$2:$G$8,6,FALSE))</f>
        <v/>
      </c>
      <c r="R200" s="376" t="str">
        <f>IFERROR(IF(D200="","",IF(AND(Q200='G-1 All Habitats'!$X$3,U200&gt;0),V200+W200,IF(AND(Q200='G-1 All Habitats'!$X$3,T200&gt;0),V200+W200,IF(AND(Q200='G-1 All Habitats'!$X$3,AD200&gt;0),"Any Loss Unacceptable ⚠",IF(AND(Q200='G-1 All Habitats'!$X$3,AE200&gt;0),"Any Loss Unacceptable ⚠", E200*G200*I200*L200*N200*P200 ))))),"Check Data ▲")</f>
        <v/>
      </c>
      <c r="S200" s="32"/>
      <c r="T200" s="114"/>
      <c r="U200" s="125"/>
      <c r="V200" s="374" t="str">
        <f t="shared" si="14"/>
        <v/>
      </c>
      <c r="W200" s="374" t="str">
        <f t="shared" si="15"/>
        <v/>
      </c>
      <c r="X200" s="374" t="str">
        <f t="shared" si="16"/>
        <v/>
      </c>
      <c r="Y200" s="670" t="str">
        <f t="shared" si="17"/>
        <v/>
      </c>
      <c r="Z200" s="706"/>
      <c r="AA200" s="704"/>
      <c r="AB200" s="120"/>
      <c r="AC200" s="120"/>
      <c r="AD200" s="57" t="str">
        <f>IF(Q200="","",IF(Q200='G-1 All Habitats'!$X$3,E200-T200-U200,"None"))</f>
        <v/>
      </c>
      <c r="AE200" s="58" t="str">
        <f>IF(Q200="","", IF(Q200='G-1 All Habitats'!$X$3, AD200*G200*I200*L200*N200*P200,"None"))</f>
        <v/>
      </c>
      <c r="AH200" s="30">
        <f t="shared" si="18"/>
        <v>0</v>
      </c>
      <c r="AI200" s="124" t="str">
        <f t="shared" si="19"/>
        <v/>
      </c>
      <c r="AJ200" s="124" t="str">
        <f t="shared" si="20"/>
        <v/>
      </c>
      <c r="AL200" s="124">
        <v>191</v>
      </c>
      <c r="AN200" s="124" t="str">
        <f t="array" ref="AN200">IFERROR(INDEX($AL$10:$AL$258, MATCH(0, IF(TRUE=$AI$10:$AI$258, COUNTIF($AN$9:$AN199, $AL$10:$AL$258), ""), 0)),"")</f>
        <v/>
      </c>
      <c r="AO200" s="124" t="str">
        <f t="array" ref="AO200">IFERROR(INDEX($AL$10:$AL$258, MATCH(0, IF(TRUE=$AJ$10:$AJ$258, COUNTIF($AO$9:$AO199, $AL$10:$AL$258), ""), 0)),"")</f>
        <v/>
      </c>
      <c r="AQ200" s="30" t="str">
        <f>IFERROR(INDEX('G-7 WaterC'' Data'!$AZ$3:$AZ$7,MATCH(D200,'G-7 WaterC'' Data'!$AY$3:$AY$7,0)),"")</f>
        <v/>
      </c>
      <c r="AR200" s="30" t="str">
        <f>IFERROR(INDEX('G-7 WaterC'' Data'!AZ200:AZ204,MATCH(D200,'G-7 WaterC'' Data'!$AY$10:$AY$14,0)),"")</f>
        <v/>
      </c>
    </row>
    <row r="201" spans="3:44" ht="15">
      <c r="C201" s="110">
        <v>192</v>
      </c>
      <c r="D201" s="338"/>
      <c r="E201" s="139"/>
      <c r="F201" s="362" t="str">
        <f>IF(D201="","",VLOOKUP(D201,'G-7 WaterC'' Data'!$B$2:$G$8,2,FALSE))</f>
        <v/>
      </c>
      <c r="G201" s="363" t="str">
        <f>IFERROR(VLOOKUP(F201,'G-7 WaterC'' Data'!$C$4:$D$8,2,FALSE),"")</f>
        <v/>
      </c>
      <c r="H201" s="114"/>
      <c r="I201" s="363" t="str">
        <f>IFERROR(INDEX('G-7 WaterC'' Data'!$H$4:$L$8,MATCH(D201,'G-7 WaterC'' Data'!$B$4:$B$8,0),MATCH(H201,'G-7 WaterC'' Data'!$H$3:$L$3,0)),"")</f>
        <v/>
      </c>
      <c r="J201" s="320"/>
      <c r="K201" s="398" t="str">
        <f>IF(J201="","",IF(VLOOKUP(J201,'G-7 WaterC'' Data'!$AK$4:$AM$6,2,FALSE)=0,"Spatial Data Missing ⚠",VLOOKUP(J201,'G-7 WaterC'' Data'!$AK$4:$AM$6,2,FALSE)))</f>
        <v/>
      </c>
      <c r="L201" s="368" t="str">
        <f>IF(J201="","",IF(VLOOKUP(J201,'G-7 WaterC'' Data'!$AK$4:$AM$9,3,FALSE)=0,"Spatial Data Missing ⚠",VLOOKUP(J201,'G-7 WaterC'' Data'!$AK$4:$AM$6,3,FALSE)))</f>
        <v/>
      </c>
      <c r="M201" s="54"/>
      <c r="N201" s="363" t="str">
        <f>IF(M201="","",IF(VLOOKUP(M201,'G-7 WaterC'' Data'!$AA$4:$AB$7,2,FALSE)=0,"Spatial Data Missing ⚠",VLOOKUP(M201,'G-7 WaterC'' Data'!$AA$4:$AB$7,2,FALSE)))</f>
        <v/>
      </c>
      <c r="O201" s="60"/>
      <c r="P201" s="363" t="str">
        <f>IF(O201="","",IF(VLOOKUP(O201,'G-7 WaterC'' Data'!$AD$4:$AE$14,2,FALSE)=0,"Spatial Data Missing ⚠",VLOOKUP(O201,'G-7 WaterC'' Data'!$AD$4:$AE$14,2,FALSE)))</f>
        <v/>
      </c>
      <c r="Q201" s="369" t="str">
        <f>IF(D201="","",VLOOKUP(D201,'G-7 WaterC'' Data'!$B$2:$G$8,6,FALSE))</f>
        <v/>
      </c>
      <c r="R201" s="376" t="str">
        <f>IFERROR(IF(D201="","",IF(AND(Q201='G-1 All Habitats'!$X$3,U201&gt;0),V201+W201,IF(AND(Q201='G-1 All Habitats'!$X$3,T201&gt;0),V201+W201,IF(AND(Q201='G-1 All Habitats'!$X$3,AD201&gt;0),"Any Loss Unacceptable ⚠",IF(AND(Q201='G-1 All Habitats'!$X$3,AE201&gt;0),"Any Loss Unacceptable ⚠", E201*G201*I201*L201*N201*P201 ))))),"Check Data ▲")</f>
        <v/>
      </c>
      <c r="S201" s="32"/>
      <c r="T201" s="114"/>
      <c r="U201" s="125"/>
      <c r="V201" s="374" t="str">
        <f t="shared" si="14"/>
        <v/>
      </c>
      <c r="W201" s="374" t="str">
        <f t="shared" si="15"/>
        <v/>
      </c>
      <c r="X201" s="374" t="str">
        <f t="shared" si="16"/>
        <v/>
      </c>
      <c r="Y201" s="670" t="str">
        <f t="shared" si="17"/>
        <v/>
      </c>
      <c r="Z201" s="706"/>
      <c r="AA201" s="704"/>
      <c r="AB201" s="120"/>
      <c r="AC201" s="120"/>
      <c r="AD201" s="57" t="str">
        <f>IF(Q201="","",IF(Q201='G-1 All Habitats'!$X$3,E201-T201-U201,"None"))</f>
        <v/>
      </c>
      <c r="AE201" s="58" t="str">
        <f>IF(Q201="","", IF(Q201='G-1 All Habitats'!$X$3, AD201*G201*I201*L201*N201*P201,"None"))</f>
        <v/>
      </c>
      <c r="AH201" s="30">
        <f t="shared" si="18"/>
        <v>0</v>
      </c>
      <c r="AI201" s="124" t="str">
        <f t="shared" si="19"/>
        <v/>
      </c>
      <c r="AJ201" s="124" t="str">
        <f t="shared" si="20"/>
        <v/>
      </c>
      <c r="AL201" s="124">
        <v>192</v>
      </c>
      <c r="AN201" s="124" t="str">
        <f t="array" ref="AN201">IFERROR(INDEX($AL$10:$AL$258, MATCH(0, IF(TRUE=$AI$10:$AI$258, COUNTIF($AN$9:$AN200, $AL$10:$AL$258), ""), 0)),"")</f>
        <v/>
      </c>
      <c r="AO201" s="124" t="str">
        <f t="array" ref="AO201">IFERROR(INDEX($AL$10:$AL$258, MATCH(0, IF(TRUE=$AJ$10:$AJ$258, COUNTIF($AO$9:$AO200, $AL$10:$AL$258), ""), 0)),"")</f>
        <v/>
      </c>
      <c r="AQ201" s="30" t="str">
        <f>IFERROR(INDEX('G-7 WaterC'' Data'!$AZ$3:$AZ$7,MATCH(D201,'G-7 WaterC'' Data'!$AY$3:$AY$7,0)),"")</f>
        <v/>
      </c>
      <c r="AR201" s="30" t="str">
        <f>IFERROR(INDEX('G-7 WaterC'' Data'!AZ201:AZ205,MATCH(D201,'G-7 WaterC'' Data'!$AY$10:$AY$14,0)),"")</f>
        <v/>
      </c>
    </row>
    <row r="202" spans="3:44" ht="15">
      <c r="C202" s="110">
        <v>193</v>
      </c>
      <c r="D202" s="338"/>
      <c r="E202" s="139"/>
      <c r="F202" s="362" t="str">
        <f>IF(D202="","",VLOOKUP(D202,'G-7 WaterC'' Data'!$B$2:$G$8,2,FALSE))</f>
        <v/>
      </c>
      <c r="G202" s="363" t="str">
        <f>IFERROR(VLOOKUP(F202,'G-7 WaterC'' Data'!$C$4:$D$8,2,FALSE),"")</f>
        <v/>
      </c>
      <c r="H202" s="114"/>
      <c r="I202" s="363" t="str">
        <f>IFERROR(INDEX('G-7 WaterC'' Data'!$H$4:$L$8,MATCH(D202,'G-7 WaterC'' Data'!$B$4:$B$8,0),MATCH(H202,'G-7 WaterC'' Data'!$H$3:$L$3,0)),"")</f>
        <v/>
      </c>
      <c r="J202" s="320"/>
      <c r="K202" s="398" t="str">
        <f>IF(J202="","",IF(VLOOKUP(J202,'G-7 WaterC'' Data'!$AK$4:$AM$6,2,FALSE)=0,"Spatial Data Missing ⚠",VLOOKUP(J202,'G-7 WaterC'' Data'!$AK$4:$AM$6,2,FALSE)))</f>
        <v/>
      </c>
      <c r="L202" s="368" t="str">
        <f>IF(J202="","",IF(VLOOKUP(J202,'G-7 WaterC'' Data'!$AK$4:$AM$9,3,FALSE)=0,"Spatial Data Missing ⚠",VLOOKUP(J202,'G-7 WaterC'' Data'!$AK$4:$AM$6,3,FALSE)))</f>
        <v/>
      </c>
      <c r="M202" s="54"/>
      <c r="N202" s="363" t="str">
        <f>IF(M202="","",IF(VLOOKUP(M202,'G-7 WaterC'' Data'!$AA$4:$AB$7,2,FALSE)=0,"Spatial Data Missing ⚠",VLOOKUP(M202,'G-7 WaterC'' Data'!$AA$4:$AB$7,2,FALSE)))</f>
        <v/>
      </c>
      <c r="O202" s="60"/>
      <c r="P202" s="363" t="str">
        <f>IF(O202="","",IF(VLOOKUP(O202,'G-7 WaterC'' Data'!$AD$4:$AE$14,2,FALSE)=0,"Spatial Data Missing ⚠",VLOOKUP(O202,'G-7 WaterC'' Data'!$AD$4:$AE$14,2,FALSE)))</f>
        <v/>
      </c>
      <c r="Q202" s="369" t="str">
        <f>IF(D202="","",VLOOKUP(D202,'G-7 WaterC'' Data'!$B$2:$G$8,6,FALSE))</f>
        <v/>
      </c>
      <c r="R202" s="376" t="str">
        <f>IFERROR(IF(D202="","",IF(AND(Q202='G-1 All Habitats'!$X$3,U202&gt;0),V202+W202,IF(AND(Q202='G-1 All Habitats'!$X$3,T202&gt;0),V202+W202,IF(AND(Q202='G-1 All Habitats'!$X$3,AD202&gt;0),"Any Loss Unacceptable ⚠",IF(AND(Q202='G-1 All Habitats'!$X$3,AE202&gt;0),"Any Loss Unacceptable ⚠", E202*G202*I202*L202*N202*P202 ))))),"Check Data ▲")</f>
        <v/>
      </c>
      <c r="S202" s="32"/>
      <c r="T202" s="114"/>
      <c r="U202" s="125"/>
      <c r="V202" s="374" t="str">
        <f t="shared" si="14"/>
        <v/>
      </c>
      <c r="W202" s="374" t="str">
        <f t="shared" si="15"/>
        <v/>
      </c>
      <c r="X202" s="374" t="str">
        <f t="shared" si="16"/>
        <v/>
      </c>
      <c r="Y202" s="670" t="str">
        <f t="shared" si="17"/>
        <v/>
      </c>
      <c r="Z202" s="706"/>
      <c r="AA202" s="704"/>
      <c r="AB202" s="120"/>
      <c r="AC202" s="120"/>
      <c r="AD202" s="57" t="str">
        <f>IF(Q202="","",IF(Q202='G-1 All Habitats'!$X$3,E202-T202-U202,"None"))</f>
        <v/>
      </c>
      <c r="AE202" s="58" t="str">
        <f>IF(Q202="","", IF(Q202='G-1 All Habitats'!$X$3, AD202*G202*I202*L202*N202*P202,"None"))</f>
        <v/>
      </c>
      <c r="AH202" s="30">
        <f t="shared" si="18"/>
        <v>0</v>
      </c>
      <c r="AI202" s="124" t="str">
        <f t="shared" si="19"/>
        <v/>
      </c>
      <c r="AJ202" s="124" t="str">
        <f t="shared" si="20"/>
        <v/>
      </c>
      <c r="AL202" s="124">
        <v>193</v>
      </c>
      <c r="AN202" s="124" t="str">
        <f t="array" ref="AN202">IFERROR(INDEX($AL$10:$AL$258, MATCH(0, IF(TRUE=$AI$10:$AI$258, COUNTIF($AN$9:$AN201, $AL$10:$AL$258), ""), 0)),"")</f>
        <v/>
      </c>
      <c r="AO202" s="124" t="str">
        <f t="array" ref="AO202">IFERROR(INDEX($AL$10:$AL$258, MATCH(0, IF(TRUE=$AJ$10:$AJ$258, COUNTIF($AO$9:$AO201, $AL$10:$AL$258), ""), 0)),"")</f>
        <v/>
      </c>
      <c r="AQ202" s="30" t="str">
        <f>IFERROR(INDEX('G-7 WaterC'' Data'!$AZ$3:$AZ$7,MATCH(D202,'G-7 WaterC'' Data'!$AY$3:$AY$7,0)),"")</f>
        <v/>
      </c>
      <c r="AR202" s="30" t="str">
        <f>IFERROR(INDEX('G-7 WaterC'' Data'!AZ202:AZ206,MATCH(D202,'G-7 WaterC'' Data'!$AY$10:$AY$14,0)),"")</f>
        <v/>
      </c>
    </row>
    <row r="203" spans="3:44" ht="15">
      <c r="C203" s="110">
        <v>194</v>
      </c>
      <c r="D203" s="338"/>
      <c r="E203" s="139"/>
      <c r="F203" s="362" t="str">
        <f>IF(D203="","",VLOOKUP(D203,'G-7 WaterC'' Data'!$B$2:$G$8,2,FALSE))</f>
        <v/>
      </c>
      <c r="G203" s="363" t="str">
        <f>IFERROR(VLOOKUP(F203,'G-7 WaterC'' Data'!$C$4:$D$8,2,FALSE),"")</f>
        <v/>
      </c>
      <c r="H203" s="114"/>
      <c r="I203" s="363" t="str">
        <f>IFERROR(INDEX('G-7 WaterC'' Data'!$H$4:$L$8,MATCH(D203,'G-7 WaterC'' Data'!$B$4:$B$8,0),MATCH(H203,'G-7 WaterC'' Data'!$H$3:$L$3,0)),"")</f>
        <v/>
      </c>
      <c r="J203" s="320"/>
      <c r="K203" s="398" t="str">
        <f>IF(J203="","",IF(VLOOKUP(J203,'G-7 WaterC'' Data'!$AK$4:$AM$6,2,FALSE)=0,"Spatial Data Missing ⚠",VLOOKUP(J203,'G-7 WaterC'' Data'!$AK$4:$AM$6,2,FALSE)))</f>
        <v/>
      </c>
      <c r="L203" s="368" t="str">
        <f>IF(J203="","",IF(VLOOKUP(J203,'G-7 WaterC'' Data'!$AK$4:$AM$9,3,FALSE)=0,"Spatial Data Missing ⚠",VLOOKUP(J203,'G-7 WaterC'' Data'!$AK$4:$AM$6,3,FALSE)))</f>
        <v/>
      </c>
      <c r="M203" s="54"/>
      <c r="N203" s="363" t="str">
        <f>IF(M203="","",IF(VLOOKUP(M203,'G-7 WaterC'' Data'!$AA$4:$AB$7,2,FALSE)=0,"Spatial Data Missing ⚠",VLOOKUP(M203,'G-7 WaterC'' Data'!$AA$4:$AB$7,2,FALSE)))</f>
        <v/>
      </c>
      <c r="O203" s="60"/>
      <c r="P203" s="363" t="str">
        <f>IF(O203="","",IF(VLOOKUP(O203,'G-7 WaterC'' Data'!$AD$4:$AE$14,2,FALSE)=0,"Spatial Data Missing ⚠",VLOOKUP(O203,'G-7 WaterC'' Data'!$AD$4:$AE$14,2,FALSE)))</f>
        <v/>
      </c>
      <c r="Q203" s="369" t="str">
        <f>IF(D203="","",VLOOKUP(D203,'G-7 WaterC'' Data'!$B$2:$G$8,6,FALSE))</f>
        <v/>
      </c>
      <c r="R203" s="376" t="str">
        <f>IFERROR(IF(D203="","",IF(AND(Q203='G-1 All Habitats'!$X$3,U203&gt;0),V203+W203,IF(AND(Q203='G-1 All Habitats'!$X$3,T203&gt;0),V203+W203,IF(AND(Q203='G-1 All Habitats'!$X$3,AD203&gt;0),"Any Loss Unacceptable ⚠",IF(AND(Q203='G-1 All Habitats'!$X$3,AE203&gt;0),"Any Loss Unacceptable ⚠", E203*G203*I203*L203*N203*P203 ))))),"Check Data ▲")</f>
        <v/>
      </c>
      <c r="S203" s="32"/>
      <c r="T203" s="114"/>
      <c r="U203" s="125"/>
      <c r="V203" s="374" t="str">
        <f t="shared" ref="V203:V257" si="21">IFERROR(IF(T203&gt;E203,"Error in Lengths ▲",T203*G203*I203*L203*N203*P203),"")</f>
        <v/>
      </c>
      <c r="W203" s="374" t="str">
        <f t="shared" ref="W203:W257" si="22">IFERROR(IF(D203="","",U203*G203*I203*L203*N203*P203),"")</f>
        <v/>
      </c>
      <c r="X203" s="374" t="str">
        <f t="shared" ref="X203:X257" si="23">IFERROR(IF(D203="","", IF(AND(F203="V.High",Z203="Yes"), "Unacceptable Loss ⚠", IF(E203&gt;(T203+U203),E203-T203-U203,0))),"")</f>
        <v/>
      </c>
      <c r="Y203" s="670" t="str">
        <f t="shared" ref="Y203:Y257" si="24">IFERROR(IF(E203="","",IF((V203+W203)&gt;R203,0, IF(AND(Z203="Yes", D203="Priority habitat"), "Alternative compensation agreed ✓", IF(AND(D203="Priority habitat", U203+T203&lt;&gt;E203),"Any loss unacceptable ▲", R203-V203-W203)))),"Check Data ⚠")</f>
        <v/>
      </c>
      <c r="Z203" s="706"/>
      <c r="AA203" s="704"/>
      <c r="AB203" s="120"/>
      <c r="AC203" s="120"/>
      <c r="AD203" s="57" t="str">
        <f>IF(Q203="","",IF(Q203='G-1 All Habitats'!$X$3,E203-T203-U203,"None"))</f>
        <v/>
      </c>
      <c r="AE203" s="58" t="str">
        <f>IF(Q203="","", IF(Q203='G-1 All Habitats'!$X$3, AD203*G203*I203*L203*N203*P203,"None"))</f>
        <v/>
      </c>
      <c r="AH203" s="30">
        <f t="shared" ref="AH203:AH257" si="25">IFERROR(IF(T203+U203&gt;E203,1,0),"")</f>
        <v>0</v>
      </c>
      <c r="AI203" s="124" t="str">
        <f t="shared" ref="AI203:AI257" si="26">IF(D203="","",IF(T203&gt;0,TRUE,FALSE))</f>
        <v/>
      </c>
      <c r="AJ203" s="124" t="str">
        <f t="shared" ref="AJ203:AJ257" si="27">IF(D203="","",IF(U203&gt;0,TRUE,FALSE))</f>
        <v/>
      </c>
      <c r="AL203" s="124">
        <v>194</v>
      </c>
      <c r="AN203" s="124" t="str">
        <f t="array" ref="AN203">IFERROR(INDEX($AL$10:$AL$258, MATCH(0, IF(TRUE=$AI$10:$AI$258, COUNTIF($AN$9:$AN202, $AL$10:$AL$258), ""), 0)),"")</f>
        <v/>
      </c>
      <c r="AO203" s="124" t="str">
        <f t="array" ref="AO203">IFERROR(INDEX($AL$10:$AL$258, MATCH(0, IF(TRUE=$AJ$10:$AJ$258, COUNTIF($AO$9:$AO202, $AL$10:$AL$258), ""), 0)),"")</f>
        <v/>
      </c>
      <c r="AQ203" s="30" t="str">
        <f>IFERROR(INDEX('G-7 WaterC'' Data'!$AZ$3:$AZ$7,MATCH(D203,'G-7 WaterC'' Data'!$AY$3:$AY$7,0)),"")</f>
        <v/>
      </c>
      <c r="AR203" s="30" t="str">
        <f>IFERROR(INDEX('G-7 WaterC'' Data'!AZ203:AZ207,MATCH(D203,'G-7 WaterC'' Data'!$AY$10:$AY$14,0)),"")</f>
        <v/>
      </c>
    </row>
    <row r="204" spans="3:44" ht="15">
      <c r="C204" s="110">
        <v>195</v>
      </c>
      <c r="D204" s="338"/>
      <c r="E204" s="139"/>
      <c r="F204" s="362" t="str">
        <f>IF(D204="","",VLOOKUP(D204,'G-7 WaterC'' Data'!$B$2:$G$8,2,FALSE))</f>
        <v/>
      </c>
      <c r="G204" s="363" t="str">
        <f>IFERROR(VLOOKUP(F204,'G-7 WaterC'' Data'!$C$4:$D$8,2,FALSE),"")</f>
        <v/>
      </c>
      <c r="H204" s="114"/>
      <c r="I204" s="363" t="str">
        <f>IFERROR(INDEX('G-7 WaterC'' Data'!$H$4:$L$8,MATCH(D204,'G-7 WaterC'' Data'!$B$4:$B$8,0),MATCH(H204,'G-7 WaterC'' Data'!$H$3:$L$3,0)),"")</f>
        <v/>
      </c>
      <c r="J204" s="320"/>
      <c r="K204" s="398" t="str">
        <f>IF(J204="","",IF(VLOOKUP(J204,'G-7 WaterC'' Data'!$AK$4:$AM$6,2,FALSE)=0,"Spatial Data Missing ⚠",VLOOKUP(J204,'G-7 WaterC'' Data'!$AK$4:$AM$6,2,FALSE)))</f>
        <v/>
      </c>
      <c r="L204" s="368" t="str">
        <f>IF(J204="","",IF(VLOOKUP(J204,'G-7 WaterC'' Data'!$AK$4:$AM$9,3,FALSE)=0,"Spatial Data Missing ⚠",VLOOKUP(J204,'G-7 WaterC'' Data'!$AK$4:$AM$6,3,FALSE)))</f>
        <v/>
      </c>
      <c r="M204" s="54"/>
      <c r="N204" s="363" t="str">
        <f>IF(M204="","",IF(VLOOKUP(M204,'G-7 WaterC'' Data'!$AA$4:$AB$7,2,FALSE)=0,"Spatial Data Missing ⚠",VLOOKUP(M204,'G-7 WaterC'' Data'!$AA$4:$AB$7,2,FALSE)))</f>
        <v/>
      </c>
      <c r="O204" s="60"/>
      <c r="P204" s="363" t="str">
        <f>IF(O204="","",IF(VLOOKUP(O204,'G-7 WaterC'' Data'!$AD$4:$AE$14,2,FALSE)=0,"Spatial Data Missing ⚠",VLOOKUP(O204,'G-7 WaterC'' Data'!$AD$4:$AE$14,2,FALSE)))</f>
        <v/>
      </c>
      <c r="Q204" s="369" t="str">
        <f>IF(D204="","",VLOOKUP(D204,'G-7 WaterC'' Data'!$B$2:$G$8,6,FALSE))</f>
        <v/>
      </c>
      <c r="R204" s="376" t="str">
        <f>IFERROR(IF(D204="","",IF(AND(Q204='G-1 All Habitats'!$X$3,U204&gt;0),V204+W204,IF(AND(Q204='G-1 All Habitats'!$X$3,T204&gt;0),V204+W204,IF(AND(Q204='G-1 All Habitats'!$X$3,AD204&gt;0),"Any Loss Unacceptable ⚠",IF(AND(Q204='G-1 All Habitats'!$X$3,AE204&gt;0),"Any Loss Unacceptable ⚠", E204*G204*I204*L204*N204*P204 ))))),"Check Data ▲")</f>
        <v/>
      </c>
      <c r="S204" s="32"/>
      <c r="T204" s="114"/>
      <c r="U204" s="125"/>
      <c r="V204" s="374" t="str">
        <f t="shared" si="21"/>
        <v/>
      </c>
      <c r="W204" s="374" t="str">
        <f t="shared" si="22"/>
        <v/>
      </c>
      <c r="X204" s="374" t="str">
        <f t="shared" si="23"/>
        <v/>
      </c>
      <c r="Y204" s="670" t="str">
        <f t="shared" si="24"/>
        <v/>
      </c>
      <c r="Z204" s="706"/>
      <c r="AA204" s="704"/>
      <c r="AB204" s="120"/>
      <c r="AC204" s="120"/>
      <c r="AD204" s="57" t="str">
        <f>IF(Q204="","",IF(Q204='G-1 All Habitats'!$X$3,E204-T204-U204,"None"))</f>
        <v/>
      </c>
      <c r="AE204" s="58" t="str">
        <f>IF(Q204="","", IF(Q204='G-1 All Habitats'!$X$3, AD204*G204*I204*L204*N204*P204,"None"))</f>
        <v/>
      </c>
      <c r="AH204" s="30">
        <f t="shared" si="25"/>
        <v>0</v>
      </c>
      <c r="AI204" s="124" t="str">
        <f t="shared" si="26"/>
        <v/>
      </c>
      <c r="AJ204" s="124" t="str">
        <f t="shared" si="27"/>
        <v/>
      </c>
      <c r="AL204" s="124">
        <v>195</v>
      </c>
      <c r="AN204" s="124" t="str">
        <f t="array" ref="AN204">IFERROR(INDEX($AL$10:$AL$258, MATCH(0, IF(TRUE=$AI$10:$AI$258, COUNTIF($AN$9:$AN203, $AL$10:$AL$258), ""), 0)),"")</f>
        <v/>
      </c>
      <c r="AO204" s="124" t="str">
        <f t="array" ref="AO204">IFERROR(INDEX($AL$10:$AL$258, MATCH(0, IF(TRUE=$AJ$10:$AJ$258, COUNTIF($AO$9:$AO203, $AL$10:$AL$258), ""), 0)),"")</f>
        <v/>
      </c>
      <c r="AQ204" s="30" t="str">
        <f>IFERROR(INDEX('G-7 WaterC'' Data'!$AZ$3:$AZ$7,MATCH(D204,'G-7 WaterC'' Data'!$AY$3:$AY$7,0)),"")</f>
        <v/>
      </c>
      <c r="AR204" s="30" t="str">
        <f>IFERROR(INDEX('G-7 WaterC'' Data'!AZ204:AZ208,MATCH(D204,'G-7 WaterC'' Data'!$AY$10:$AY$14,0)),"")</f>
        <v/>
      </c>
    </row>
    <row r="205" spans="3:44" ht="15">
      <c r="C205" s="110">
        <v>196</v>
      </c>
      <c r="D205" s="338"/>
      <c r="E205" s="139"/>
      <c r="F205" s="362" t="str">
        <f>IF(D205="","",VLOOKUP(D205,'G-7 WaterC'' Data'!$B$2:$G$8,2,FALSE))</f>
        <v/>
      </c>
      <c r="G205" s="363" t="str">
        <f>IFERROR(VLOOKUP(F205,'G-7 WaterC'' Data'!$C$4:$D$8,2,FALSE),"")</f>
        <v/>
      </c>
      <c r="H205" s="114"/>
      <c r="I205" s="363" t="str">
        <f>IFERROR(INDEX('G-7 WaterC'' Data'!$H$4:$L$8,MATCH(D205,'G-7 WaterC'' Data'!$B$4:$B$8,0),MATCH(H205,'G-7 WaterC'' Data'!$H$3:$L$3,0)),"")</f>
        <v/>
      </c>
      <c r="J205" s="320"/>
      <c r="K205" s="398" t="str">
        <f>IF(J205="","",IF(VLOOKUP(J205,'G-7 WaterC'' Data'!$AK$4:$AM$6,2,FALSE)=0,"Spatial Data Missing ⚠",VLOOKUP(J205,'G-7 WaterC'' Data'!$AK$4:$AM$6,2,FALSE)))</f>
        <v/>
      </c>
      <c r="L205" s="368" t="str">
        <f>IF(J205="","",IF(VLOOKUP(J205,'G-7 WaterC'' Data'!$AK$4:$AM$9,3,FALSE)=0,"Spatial Data Missing ⚠",VLOOKUP(J205,'G-7 WaterC'' Data'!$AK$4:$AM$6,3,FALSE)))</f>
        <v/>
      </c>
      <c r="M205" s="54"/>
      <c r="N205" s="363" t="str">
        <f>IF(M205="","",IF(VLOOKUP(M205,'G-7 WaterC'' Data'!$AA$4:$AB$7,2,FALSE)=0,"Spatial Data Missing ⚠",VLOOKUP(M205,'G-7 WaterC'' Data'!$AA$4:$AB$7,2,FALSE)))</f>
        <v/>
      </c>
      <c r="O205" s="60"/>
      <c r="P205" s="363" t="str">
        <f>IF(O205="","",IF(VLOOKUP(O205,'G-7 WaterC'' Data'!$AD$4:$AE$14,2,FALSE)=0,"Spatial Data Missing ⚠",VLOOKUP(O205,'G-7 WaterC'' Data'!$AD$4:$AE$14,2,FALSE)))</f>
        <v/>
      </c>
      <c r="Q205" s="369" t="str">
        <f>IF(D205="","",VLOOKUP(D205,'G-7 WaterC'' Data'!$B$2:$G$8,6,FALSE))</f>
        <v/>
      </c>
      <c r="R205" s="376" t="str">
        <f>IFERROR(IF(D205="","",IF(AND(Q205='G-1 All Habitats'!$X$3,U205&gt;0),V205+W205,IF(AND(Q205='G-1 All Habitats'!$X$3,T205&gt;0),V205+W205,IF(AND(Q205='G-1 All Habitats'!$X$3,AD205&gt;0),"Any Loss Unacceptable ⚠",IF(AND(Q205='G-1 All Habitats'!$X$3,AE205&gt;0),"Any Loss Unacceptable ⚠", E205*G205*I205*L205*N205*P205 ))))),"Check Data ▲")</f>
        <v/>
      </c>
      <c r="S205" s="32"/>
      <c r="T205" s="114"/>
      <c r="U205" s="125"/>
      <c r="V205" s="374" t="str">
        <f t="shared" si="21"/>
        <v/>
      </c>
      <c r="W205" s="374" t="str">
        <f t="shared" si="22"/>
        <v/>
      </c>
      <c r="X205" s="374" t="str">
        <f t="shared" si="23"/>
        <v/>
      </c>
      <c r="Y205" s="670" t="str">
        <f t="shared" si="24"/>
        <v/>
      </c>
      <c r="Z205" s="706"/>
      <c r="AA205" s="704"/>
      <c r="AB205" s="120"/>
      <c r="AC205" s="120"/>
      <c r="AD205" s="57" t="str">
        <f>IF(Q205="","",IF(Q205='G-1 All Habitats'!$X$3,E205-T205-U205,"None"))</f>
        <v/>
      </c>
      <c r="AE205" s="58" t="str">
        <f>IF(Q205="","", IF(Q205='G-1 All Habitats'!$X$3, AD205*G205*I205*L205*N205*P205,"None"))</f>
        <v/>
      </c>
      <c r="AH205" s="30">
        <f t="shared" si="25"/>
        <v>0</v>
      </c>
      <c r="AI205" s="124" t="str">
        <f t="shared" si="26"/>
        <v/>
      </c>
      <c r="AJ205" s="124" t="str">
        <f t="shared" si="27"/>
        <v/>
      </c>
      <c r="AL205" s="124">
        <v>196</v>
      </c>
      <c r="AN205" s="124" t="str">
        <f t="array" ref="AN205">IFERROR(INDEX($AL$10:$AL$258, MATCH(0, IF(TRUE=$AI$10:$AI$258, COUNTIF($AN$9:$AN204, $AL$10:$AL$258), ""), 0)),"")</f>
        <v/>
      </c>
      <c r="AO205" s="124" t="str">
        <f t="array" ref="AO205">IFERROR(INDEX($AL$10:$AL$258, MATCH(0, IF(TRUE=$AJ$10:$AJ$258, COUNTIF($AO$9:$AO204, $AL$10:$AL$258), ""), 0)),"")</f>
        <v/>
      </c>
      <c r="AQ205" s="30" t="str">
        <f>IFERROR(INDEX('G-7 WaterC'' Data'!$AZ$3:$AZ$7,MATCH(D205,'G-7 WaterC'' Data'!$AY$3:$AY$7,0)),"")</f>
        <v/>
      </c>
      <c r="AR205" s="30" t="str">
        <f>IFERROR(INDEX('G-7 WaterC'' Data'!AZ205:AZ209,MATCH(D205,'G-7 WaterC'' Data'!$AY$10:$AY$14,0)),"")</f>
        <v/>
      </c>
    </row>
    <row r="206" spans="3:44" ht="15">
      <c r="C206" s="110">
        <v>197</v>
      </c>
      <c r="D206" s="338"/>
      <c r="E206" s="139"/>
      <c r="F206" s="362" t="str">
        <f>IF(D206="","",VLOOKUP(D206,'G-7 WaterC'' Data'!$B$2:$G$8,2,FALSE))</f>
        <v/>
      </c>
      <c r="G206" s="363" t="str">
        <f>IFERROR(VLOOKUP(F206,'G-7 WaterC'' Data'!$C$4:$D$8,2,FALSE),"")</f>
        <v/>
      </c>
      <c r="H206" s="114"/>
      <c r="I206" s="363" t="str">
        <f>IFERROR(INDEX('G-7 WaterC'' Data'!$H$4:$L$8,MATCH(D206,'G-7 WaterC'' Data'!$B$4:$B$8,0),MATCH(H206,'G-7 WaterC'' Data'!$H$3:$L$3,0)),"")</f>
        <v/>
      </c>
      <c r="J206" s="320"/>
      <c r="K206" s="398" t="str">
        <f>IF(J206="","",IF(VLOOKUP(J206,'G-7 WaterC'' Data'!$AK$4:$AM$6,2,FALSE)=0,"Spatial Data Missing ⚠",VLOOKUP(J206,'G-7 WaterC'' Data'!$AK$4:$AM$6,2,FALSE)))</f>
        <v/>
      </c>
      <c r="L206" s="368" t="str">
        <f>IF(J206="","",IF(VLOOKUP(J206,'G-7 WaterC'' Data'!$AK$4:$AM$9,3,FALSE)=0,"Spatial Data Missing ⚠",VLOOKUP(J206,'G-7 WaterC'' Data'!$AK$4:$AM$6,3,FALSE)))</f>
        <v/>
      </c>
      <c r="M206" s="54"/>
      <c r="N206" s="363" t="str">
        <f>IF(M206="","",IF(VLOOKUP(M206,'G-7 WaterC'' Data'!$AA$4:$AB$7,2,FALSE)=0,"Spatial Data Missing ⚠",VLOOKUP(M206,'G-7 WaterC'' Data'!$AA$4:$AB$7,2,FALSE)))</f>
        <v/>
      </c>
      <c r="O206" s="60"/>
      <c r="P206" s="363" t="str">
        <f>IF(O206="","",IF(VLOOKUP(O206,'G-7 WaterC'' Data'!$AD$4:$AE$14,2,FALSE)=0,"Spatial Data Missing ⚠",VLOOKUP(O206,'G-7 WaterC'' Data'!$AD$4:$AE$14,2,FALSE)))</f>
        <v/>
      </c>
      <c r="Q206" s="369" t="str">
        <f>IF(D206="","",VLOOKUP(D206,'G-7 WaterC'' Data'!$B$2:$G$8,6,FALSE))</f>
        <v/>
      </c>
      <c r="R206" s="376" t="str">
        <f>IFERROR(IF(D206="","",IF(AND(Q206='G-1 All Habitats'!$X$3,U206&gt;0),V206+W206,IF(AND(Q206='G-1 All Habitats'!$X$3,T206&gt;0),V206+W206,IF(AND(Q206='G-1 All Habitats'!$X$3,AD206&gt;0),"Any Loss Unacceptable ⚠",IF(AND(Q206='G-1 All Habitats'!$X$3,AE206&gt;0),"Any Loss Unacceptable ⚠", E206*G206*I206*L206*N206*P206 ))))),"Check Data ▲")</f>
        <v/>
      </c>
      <c r="S206" s="32"/>
      <c r="T206" s="114"/>
      <c r="U206" s="125"/>
      <c r="V206" s="374" t="str">
        <f t="shared" si="21"/>
        <v/>
      </c>
      <c r="W206" s="374" t="str">
        <f t="shared" si="22"/>
        <v/>
      </c>
      <c r="X206" s="374" t="str">
        <f t="shared" si="23"/>
        <v/>
      </c>
      <c r="Y206" s="670" t="str">
        <f t="shared" si="24"/>
        <v/>
      </c>
      <c r="Z206" s="706"/>
      <c r="AA206" s="704"/>
      <c r="AB206" s="120"/>
      <c r="AC206" s="120"/>
      <c r="AD206" s="57" t="str">
        <f>IF(Q206="","",IF(Q206='G-1 All Habitats'!$X$3,E206-T206-U206,"None"))</f>
        <v/>
      </c>
      <c r="AE206" s="58" t="str">
        <f>IF(Q206="","", IF(Q206='G-1 All Habitats'!$X$3, AD206*G206*I206*L206*N206*P206,"None"))</f>
        <v/>
      </c>
      <c r="AH206" s="30">
        <f t="shared" si="25"/>
        <v>0</v>
      </c>
      <c r="AI206" s="124" t="str">
        <f t="shared" si="26"/>
        <v/>
      </c>
      <c r="AJ206" s="124" t="str">
        <f t="shared" si="27"/>
        <v/>
      </c>
      <c r="AL206" s="124">
        <v>197</v>
      </c>
      <c r="AN206" s="124" t="str">
        <f t="array" ref="AN206">IFERROR(INDEX($AL$10:$AL$258, MATCH(0, IF(TRUE=$AI$10:$AI$258, COUNTIF($AN$9:$AN205, $AL$10:$AL$258), ""), 0)),"")</f>
        <v/>
      </c>
      <c r="AO206" s="124" t="str">
        <f t="array" ref="AO206">IFERROR(INDEX($AL$10:$AL$258, MATCH(0, IF(TRUE=$AJ$10:$AJ$258, COUNTIF($AO$9:$AO205, $AL$10:$AL$258), ""), 0)),"")</f>
        <v/>
      </c>
      <c r="AQ206" s="30" t="str">
        <f>IFERROR(INDEX('G-7 WaterC'' Data'!$AZ$3:$AZ$7,MATCH(D206,'G-7 WaterC'' Data'!$AY$3:$AY$7,0)),"")</f>
        <v/>
      </c>
      <c r="AR206" s="30" t="str">
        <f>IFERROR(INDEX('G-7 WaterC'' Data'!AZ206:AZ210,MATCH(D206,'G-7 WaterC'' Data'!$AY$10:$AY$14,0)),"")</f>
        <v/>
      </c>
    </row>
    <row r="207" spans="3:44" ht="15">
      <c r="C207" s="110">
        <v>198</v>
      </c>
      <c r="D207" s="338"/>
      <c r="E207" s="139"/>
      <c r="F207" s="362" t="str">
        <f>IF(D207="","",VLOOKUP(D207,'G-7 WaterC'' Data'!$B$2:$G$8,2,FALSE))</f>
        <v/>
      </c>
      <c r="G207" s="363" t="str">
        <f>IFERROR(VLOOKUP(F207,'G-7 WaterC'' Data'!$C$4:$D$8,2,FALSE),"")</f>
        <v/>
      </c>
      <c r="H207" s="114"/>
      <c r="I207" s="363" t="str">
        <f>IFERROR(INDEX('G-7 WaterC'' Data'!$H$4:$L$8,MATCH(D207,'G-7 WaterC'' Data'!$B$4:$B$8,0),MATCH(H207,'G-7 WaterC'' Data'!$H$3:$L$3,0)),"")</f>
        <v/>
      </c>
      <c r="J207" s="320"/>
      <c r="K207" s="398" t="str">
        <f>IF(J207="","",IF(VLOOKUP(J207,'G-7 WaterC'' Data'!$AK$4:$AM$6,2,FALSE)=0,"Spatial Data Missing ⚠",VLOOKUP(J207,'G-7 WaterC'' Data'!$AK$4:$AM$6,2,FALSE)))</f>
        <v/>
      </c>
      <c r="L207" s="368" t="str">
        <f>IF(J207="","",IF(VLOOKUP(J207,'G-7 WaterC'' Data'!$AK$4:$AM$9,3,FALSE)=0,"Spatial Data Missing ⚠",VLOOKUP(J207,'G-7 WaterC'' Data'!$AK$4:$AM$6,3,FALSE)))</f>
        <v/>
      </c>
      <c r="M207" s="54"/>
      <c r="N207" s="363" t="str">
        <f>IF(M207="","",IF(VLOOKUP(M207,'G-7 WaterC'' Data'!$AA$4:$AB$7,2,FALSE)=0,"Spatial Data Missing ⚠",VLOOKUP(M207,'G-7 WaterC'' Data'!$AA$4:$AB$7,2,FALSE)))</f>
        <v/>
      </c>
      <c r="O207" s="60"/>
      <c r="P207" s="363" t="str">
        <f>IF(O207="","",IF(VLOOKUP(O207,'G-7 WaterC'' Data'!$AD$4:$AE$14,2,FALSE)=0,"Spatial Data Missing ⚠",VLOOKUP(O207,'G-7 WaterC'' Data'!$AD$4:$AE$14,2,FALSE)))</f>
        <v/>
      </c>
      <c r="Q207" s="369" t="str">
        <f>IF(D207="","",VLOOKUP(D207,'G-7 WaterC'' Data'!$B$2:$G$8,6,FALSE))</f>
        <v/>
      </c>
      <c r="R207" s="376" t="str">
        <f>IFERROR(IF(D207="","",IF(AND(Q207='G-1 All Habitats'!$X$3,U207&gt;0),V207+W207,IF(AND(Q207='G-1 All Habitats'!$X$3,T207&gt;0),V207+W207,IF(AND(Q207='G-1 All Habitats'!$X$3,AD207&gt;0),"Any Loss Unacceptable ⚠",IF(AND(Q207='G-1 All Habitats'!$X$3,AE207&gt;0),"Any Loss Unacceptable ⚠", E207*G207*I207*L207*N207*P207 ))))),"Check Data ▲")</f>
        <v/>
      </c>
      <c r="S207" s="32"/>
      <c r="T207" s="114"/>
      <c r="U207" s="125"/>
      <c r="V207" s="374" t="str">
        <f t="shared" si="21"/>
        <v/>
      </c>
      <c r="W207" s="374" t="str">
        <f t="shared" si="22"/>
        <v/>
      </c>
      <c r="X207" s="374" t="str">
        <f t="shared" si="23"/>
        <v/>
      </c>
      <c r="Y207" s="670" t="str">
        <f t="shared" si="24"/>
        <v/>
      </c>
      <c r="Z207" s="706"/>
      <c r="AA207" s="704"/>
      <c r="AB207" s="120"/>
      <c r="AC207" s="120"/>
      <c r="AD207" s="57" t="str">
        <f>IF(Q207="","",IF(Q207='G-1 All Habitats'!$X$3,E207-T207-U207,"None"))</f>
        <v/>
      </c>
      <c r="AE207" s="58" t="str">
        <f>IF(Q207="","", IF(Q207='G-1 All Habitats'!$X$3, AD207*G207*I207*L207*N207*P207,"None"))</f>
        <v/>
      </c>
      <c r="AH207" s="30">
        <f t="shared" si="25"/>
        <v>0</v>
      </c>
      <c r="AI207" s="124" t="str">
        <f t="shared" si="26"/>
        <v/>
      </c>
      <c r="AJ207" s="124" t="str">
        <f t="shared" si="27"/>
        <v/>
      </c>
      <c r="AL207" s="124">
        <v>198</v>
      </c>
      <c r="AN207" s="124" t="str">
        <f t="array" ref="AN207">IFERROR(INDEX($AL$10:$AL$258, MATCH(0, IF(TRUE=$AI$10:$AI$258, COUNTIF($AN$9:$AN206, $AL$10:$AL$258), ""), 0)),"")</f>
        <v/>
      </c>
      <c r="AO207" s="124" t="str">
        <f t="array" ref="AO207">IFERROR(INDEX($AL$10:$AL$258, MATCH(0, IF(TRUE=$AJ$10:$AJ$258, COUNTIF($AO$9:$AO206, $AL$10:$AL$258), ""), 0)),"")</f>
        <v/>
      </c>
      <c r="AQ207" s="30" t="str">
        <f>IFERROR(INDEX('G-7 WaterC'' Data'!$AZ$3:$AZ$7,MATCH(D207,'G-7 WaterC'' Data'!$AY$3:$AY$7,0)),"")</f>
        <v/>
      </c>
      <c r="AR207" s="30" t="str">
        <f>IFERROR(INDEX('G-7 WaterC'' Data'!AZ207:AZ211,MATCH(D207,'G-7 WaterC'' Data'!$AY$10:$AY$14,0)),"")</f>
        <v/>
      </c>
    </row>
    <row r="208" spans="3:44" ht="15">
      <c r="C208" s="110">
        <v>199</v>
      </c>
      <c r="D208" s="338"/>
      <c r="E208" s="139"/>
      <c r="F208" s="362" t="str">
        <f>IF(D208="","",VLOOKUP(D208,'G-7 WaterC'' Data'!$B$2:$G$8,2,FALSE))</f>
        <v/>
      </c>
      <c r="G208" s="363" t="str">
        <f>IFERROR(VLOOKUP(F208,'G-7 WaterC'' Data'!$C$4:$D$8,2,FALSE),"")</f>
        <v/>
      </c>
      <c r="H208" s="114"/>
      <c r="I208" s="363" t="str">
        <f>IFERROR(INDEX('G-7 WaterC'' Data'!$H$4:$L$8,MATCH(D208,'G-7 WaterC'' Data'!$B$4:$B$8,0),MATCH(H208,'G-7 WaterC'' Data'!$H$3:$L$3,0)),"")</f>
        <v/>
      </c>
      <c r="J208" s="320"/>
      <c r="K208" s="398" t="str">
        <f>IF(J208="","",IF(VLOOKUP(J208,'G-7 WaterC'' Data'!$AK$4:$AM$6,2,FALSE)=0,"Spatial Data Missing ⚠",VLOOKUP(J208,'G-7 WaterC'' Data'!$AK$4:$AM$6,2,FALSE)))</f>
        <v/>
      </c>
      <c r="L208" s="368" t="str">
        <f>IF(J208="","",IF(VLOOKUP(J208,'G-7 WaterC'' Data'!$AK$4:$AM$9,3,FALSE)=0,"Spatial Data Missing ⚠",VLOOKUP(J208,'G-7 WaterC'' Data'!$AK$4:$AM$6,3,FALSE)))</f>
        <v/>
      </c>
      <c r="M208" s="54"/>
      <c r="N208" s="363" t="str">
        <f>IF(M208="","",IF(VLOOKUP(M208,'G-7 WaterC'' Data'!$AA$4:$AB$7,2,FALSE)=0,"Spatial Data Missing ⚠",VLOOKUP(M208,'G-7 WaterC'' Data'!$AA$4:$AB$7,2,FALSE)))</f>
        <v/>
      </c>
      <c r="O208" s="60"/>
      <c r="P208" s="363" t="str">
        <f>IF(O208="","",IF(VLOOKUP(O208,'G-7 WaterC'' Data'!$AD$4:$AE$14,2,FALSE)=0,"Spatial Data Missing ⚠",VLOOKUP(O208,'G-7 WaterC'' Data'!$AD$4:$AE$14,2,FALSE)))</f>
        <v/>
      </c>
      <c r="Q208" s="369" t="str">
        <f>IF(D208="","",VLOOKUP(D208,'G-7 WaterC'' Data'!$B$2:$G$8,6,FALSE))</f>
        <v/>
      </c>
      <c r="R208" s="376" t="str">
        <f>IFERROR(IF(D208="","",IF(AND(Q208='G-1 All Habitats'!$X$3,U208&gt;0),V208+W208,IF(AND(Q208='G-1 All Habitats'!$X$3,T208&gt;0),V208+W208,IF(AND(Q208='G-1 All Habitats'!$X$3,AD208&gt;0),"Any Loss Unacceptable ⚠",IF(AND(Q208='G-1 All Habitats'!$X$3,AE208&gt;0),"Any Loss Unacceptable ⚠", E208*G208*I208*L208*N208*P208 ))))),"Check Data ▲")</f>
        <v/>
      </c>
      <c r="S208" s="32"/>
      <c r="T208" s="114"/>
      <c r="U208" s="125"/>
      <c r="V208" s="374" t="str">
        <f t="shared" si="21"/>
        <v/>
      </c>
      <c r="W208" s="374" t="str">
        <f t="shared" si="22"/>
        <v/>
      </c>
      <c r="X208" s="374" t="str">
        <f t="shared" si="23"/>
        <v/>
      </c>
      <c r="Y208" s="670" t="str">
        <f t="shared" si="24"/>
        <v/>
      </c>
      <c r="Z208" s="706"/>
      <c r="AA208" s="704"/>
      <c r="AB208" s="120"/>
      <c r="AC208" s="120"/>
      <c r="AD208" s="57" t="str">
        <f>IF(Q208="","",IF(Q208='G-1 All Habitats'!$X$3,E208-T208-U208,"None"))</f>
        <v/>
      </c>
      <c r="AE208" s="58" t="str">
        <f>IF(Q208="","", IF(Q208='G-1 All Habitats'!$X$3, AD208*G208*I208*L208*N208*P208,"None"))</f>
        <v/>
      </c>
      <c r="AH208" s="30">
        <f t="shared" si="25"/>
        <v>0</v>
      </c>
      <c r="AI208" s="124" t="str">
        <f t="shared" si="26"/>
        <v/>
      </c>
      <c r="AJ208" s="124" t="str">
        <f t="shared" si="27"/>
        <v/>
      </c>
      <c r="AL208" s="124">
        <v>199</v>
      </c>
      <c r="AN208" s="124" t="str">
        <f t="array" ref="AN208">IFERROR(INDEX($AL$10:$AL$258, MATCH(0, IF(TRUE=$AI$10:$AI$258, COUNTIF($AN$9:$AN207, $AL$10:$AL$258), ""), 0)),"")</f>
        <v/>
      </c>
      <c r="AO208" s="124" t="str">
        <f t="array" ref="AO208">IFERROR(INDEX($AL$10:$AL$258, MATCH(0, IF(TRUE=$AJ$10:$AJ$258, COUNTIF($AO$9:$AO207, $AL$10:$AL$258), ""), 0)),"")</f>
        <v/>
      </c>
      <c r="AQ208" s="30" t="str">
        <f>IFERROR(INDEX('G-7 WaterC'' Data'!$AZ$3:$AZ$7,MATCH(D208,'G-7 WaterC'' Data'!$AY$3:$AY$7,0)),"")</f>
        <v/>
      </c>
      <c r="AR208" s="30" t="str">
        <f>IFERROR(INDEX('G-7 WaterC'' Data'!AZ208:AZ212,MATCH(D208,'G-7 WaterC'' Data'!$AY$10:$AY$14,0)),"")</f>
        <v/>
      </c>
    </row>
    <row r="209" spans="3:44" ht="15">
      <c r="C209" s="110">
        <v>200</v>
      </c>
      <c r="D209" s="338"/>
      <c r="E209" s="139"/>
      <c r="F209" s="362" t="str">
        <f>IF(D209="","",VLOOKUP(D209,'G-7 WaterC'' Data'!$B$2:$G$8,2,FALSE))</f>
        <v/>
      </c>
      <c r="G209" s="363" t="str">
        <f>IFERROR(VLOOKUP(F209,'G-7 WaterC'' Data'!$C$4:$D$8,2,FALSE),"")</f>
        <v/>
      </c>
      <c r="H209" s="114"/>
      <c r="I209" s="363" t="str">
        <f>IFERROR(INDEX('G-7 WaterC'' Data'!$H$4:$L$8,MATCH(D209,'G-7 WaterC'' Data'!$B$4:$B$8,0),MATCH(H209,'G-7 WaterC'' Data'!$H$3:$L$3,0)),"")</f>
        <v/>
      </c>
      <c r="J209" s="320"/>
      <c r="K209" s="398" t="str">
        <f>IF(J209="","",IF(VLOOKUP(J209,'G-7 WaterC'' Data'!$AK$4:$AM$6,2,FALSE)=0,"Spatial Data Missing ⚠",VLOOKUP(J209,'G-7 WaterC'' Data'!$AK$4:$AM$6,2,FALSE)))</f>
        <v/>
      </c>
      <c r="L209" s="368" t="str">
        <f>IF(J209="","",IF(VLOOKUP(J209,'G-7 WaterC'' Data'!$AK$4:$AM$9,3,FALSE)=0,"Spatial Data Missing ⚠",VLOOKUP(J209,'G-7 WaterC'' Data'!$AK$4:$AM$6,3,FALSE)))</f>
        <v/>
      </c>
      <c r="M209" s="54"/>
      <c r="N209" s="363" t="str">
        <f>IF(M209="","",IF(VLOOKUP(M209,'G-7 WaterC'' Data'!$AA$4:$AB$7,2,FALSE)=0,"Spatial Data Missing ⚠",VLOOKUP(M209,'G-7 WaterC'' Data'!$AA$4:$AB$7,2,FALSE)))</f>
        <v/>
      </c>
      <c r="O209" s="60"/>
      <c r="P209" s="363" t="str">
        <f>IF(O209="","",IF(VLOOKUP(O209,'G-7 WaterC'' Data'!$AD$4:$AE$14,2,FALSE)=0,"Spatial Data Missing ⚠",VLOOKUP(O209,'G-7 WaterC'' Data'!$AD$4:$AE$14,2,FALSE)))</f>
        <v/>
      </c>
      <c r="Q209" s="369" t="str">
        <f>IF(D209="","",VLOOKUP(D209,'G-7 WaterC'' Data'!$B$2:$G$8,6,FALSE))</f>
        <v/>
      </c>
      <c r="R209" s="376" t="str">
        <f>IFERROR(IF(D209="","",IF(AND(Q209='G-1 All Habitats'!$X$3,U209&gt;0),V209+W209,IF(AND(Q209='G-1 All Habitats'!$X$3,T209&gt;0),V209+W209,IF(AND(Q209='G-1 All Habitats'!$X$3,AD209&gt;0),"Any Loss Unacceptable ⚠",IF(AND(Q209='G-1 All Habitats'!$X$3,AE209&gt;0),"Any Loss Unacceptable ⚠", E209*G209*I209*L209*N209*P209 ))))),"Check Data ▲")</f>
        <v/>
      </c>
      <c r="S209" s="32"/>
      <c r="T209" s="114"/>
      <c r="U209" s="125"/>
      <c r="V209" s="374" t="str">
        <f t="shared" si="21"/>
        <v/>
      </c>
      <c r="W209" s="374" t="str">
        <f t="shared" si="22"/>
        <v/>
      </c>
      <c r="X209" s="374" t="str">
        <f t="shared" si="23"/>
        <v/>
      </c>
      <c r="Y209" s="670" t="str">
        <f t="shared" si="24"/>
        <v/>
      </c>
      <c r="Z209" s="706"/>
      <c r="AA209" s="704"/>
      <c r="AB209" s="120"/>
      <c r="AC209" s="120"/>
      <c r="AD209" s="57" t="str">
        <f>IF(Q209="","",IF(Q209='G-1 All Habitats'!$X$3,E209-T209-U209,"None"))</f>
        <v/>
      </c>
      <c r="AE209" s="58" t="str">
        <f>IF(Q209="","", IF(Q209='G-1 All Habitats'!$X$3, AD209*G209*I209*L209*N209*P209,"None"))</f>
        <v/>
      </c>
      <c r="AH209" s="30">
        <f t="shared" si="25"/>
        <v>0</v>
      </c>
      <c r="AI209" s="124" t="str">
        <f t="shared" si="26"/>
        <v/>
      </c>
      <c r="AJ209" s="124" t="str">
        <f t="shared" si="27"/>
        <v/>
      </c>
      <c r="AL209" s="124">
        <v>200</v>
      </c>
      <c r="AN209" s="124" t="str">
        <f t="array" ref="AN209">IFERROR(INDEX($AL$10:$AL$258, MATCH(0, IF(TRUE=$AI$10:$AI$258, COUNTIF($AN$9:$AN208, $AL$10:$AL$258), ""), 0)),"")</f>
        <v/>
      </c>
      <c r="AO209" s="124" t="str">
        <f t="array" ref="AO209">IFERROR(INDEX($AL$10:$AL$258, MATCH(0, IF(TRUE=$AJ$10:$AJ$258, COUNTIF($AO$9:$AO208, $AL$10:$AL$258), ""), 0)),"")</f>
        <v/>
      </c>
      <c r="AQ209" s="30" t="str">
        <f>IFERROR(INDEX('G-7 WaterC'' Data'!$AZ$3:$AZ$7,MATCH(D209,'G-7 WaterC'' Data'!$AY$3:$AY$7,0)),"")</f>
        <v/>
      </c>
      <c r="AR209" s="30" t="str">
        <f>IFERROR(INDEX('G-7 WaterC'' Data'!AZ209:AZ213,MATCH(D209,'G-7 WaterC'' Data'!$AY$10:$AY$14,0)),"")</f>
        <v/>
      </c>
    </row>
    <row r="210" spans="3:44" ht="15">
      <c r="C210" s="110">
        <v>201</v>
      </c>
      <c r="D210" s="338"/>
      <c r="E210" s="139"/>
      <c r="F210" s="362" t="str">
        <f>IF(D210="","",VLOOKUP(D210,'G-7 WaterC'' Data'!$B$2:$G$8,2,FALSE))</f>
        <v/>
      </c>
      <c r="G210" s="363" t="str">
        <f>IFERROR(VLOOKUP(F210,'G-7 WaterC'' Data'!$C$4:$D$8,2,FALSE),"")</f>
        <v/>
      </c>
      <c r="H210" s="114"/>
      <c r="I210" s="363" t="str">
        <f>IFERROR(INDEX('G-7 WaterC'' Data'!$H$4:$L$8,MATCH(D210,'G-7 WaterC'' Data'!$B$4:$B$8,0),MATCH(H210,'G-7 WaterC'' Data'!$H$3:$L$3,0)),"")</f>
        <v/>
      </c>
      <c r="J210" s="320"/>
      <c r="K210" s="398" t="str">
        <f>IF(J210="","",IF(VLOOKUP(J210,'G-7 WaterC'' Data'!$AK$4:$AM$6,2,FALSE)=0,"Spatial Data Missing ⚠",VLOOKUP(J210,'G-7 WaterC'' Data'!$AK$4:$AM$6,2,FALSE)))</f>
        <v/>
      </c>
      <c r="L210" s="368" t="str">
        <f>IF(J210="","",IF(VLOOKUP(J210,'G-7 WaterC'' Data'!$AK$4:$AM$9,3,FALSE)=0,"Spatial Data Missing ⚠",VLOOKUP(J210,'G-7 WaterC'' Data'!$AK$4:$AM$6,3,FALSE)))</f>
        <v/>
      </c>
      <c r="M210" s="54"/>
      <c r="N210" s="363" t="str">
        <f>IF(M210="","",IF(VLOOKUP(M210,'G-7 WaterC'' Data'!$AA$4:$AB$7,2,FALSE)=0,"Spatial Data Missing ⚠",VLOOKUP(M210,'G-7 WaterC'' Data'!$AA$4:$AB$7,2,FALSE)))</f>
        <v/>
      </c>
      <c r="O210" s="60"/>
      <c r="P210" s="363" t="str">
        <f>IF(O210="","",IF(VLOOKUP(O210,'G-7 WaterC'' Data'!$AD$4:$AE$14,2,FALSE)=0,"Spatial Data Missing ⚠",VLOOKUP(O210,'G-7 WaterC'' Data'!$AD$4:$AE$14,2,FALSE)))</f>
        <v/>
      </c>
      <c r="Q210" s="369" t="str">
        <f>IF(D210="","",VLOOKUP(D210,'G-7 WaterC'' Data'!$B$2:$G$8,6,FALSE))</f>
        <v/>
      </c>
      <c r="R210" s="376" t="str">
        <f>IFERROR(IF(D210="","",IF(AND(Q210='G-1 All Habitats'!$X$3,U210&gt;0),V210+W210,IF(AND(Q210='G-1 All Habitats'!$X$3,T210&gt;0),V210+W210,IF(AND(Q210='G-1 All Habitats'!$X$3,AD210&gt;0),"Any Loss Unacceptable ⚠",IF(AND(Q210='G-1 All Habitats'!$X$3,AE210&gt;0),"Any Loss Unacceptable ⚠", E210*G210*I210*L210*N210*P210 ))))),"Check Data ▲")</f>
        <v/>
      </c>
      <c r="S210" s="32"/>
      <c r="T210" s="114"/>
      <c r="U210" s="125"/>
      <c r="V210" s="374" t="str">
        <f t="shared" si="21"/>
        <v/>
      </c>
      <c r="W210" s="374" t="str">
        <f t="shared" si="22"/>
        <v/>
      </c>
      <c r="X210" s="374" t="str">
        <f t="shared" si="23"/>
        <v/>
      </c>
      <c r="Y210" s="670" t="str">
        <f t="shared" si="24"/>
        <v/>
      </c>
      <c r="Z210" s="706"/>
      <c r="AA210" s="704"/>
      <c r="AB210" s="120"/>
      <c r="AC210" s="120"/>
      <c r="AD210" s="57" t="str">
        <f>IF(Q210="","",IF(Q210='G-1 All Habitats'!$X$3,E210-T210-U210,"None"))</f>
        <v/>
      </c>
      <c r="AE210" s="58" t="str">
        <f>IF(Q210="","", IF(Q210='G-1 All Habitats'!$X$3, AD210*G210*I210*L210*N210*P210,"None"))</f>
        <v/>
      </c>
      <c r="AH210" s="30">
        <f t="shared" si="25"/>
        <v>0</v>
      </c>
      <c r="AI210" s="124" t="str">
        <f t="shared" si="26"/>
        <v/>
      </c>
      <c r="AJ210" s="124" t="str">
        <f t="shared" si="27"/>
        <v/>
      </c>
      <c r="AL210" s="124">
        <v>201</v>
      </c>
      <c r="AN210" s="124" t="str">
        <f t="array" ref="AN210">IFERROR(INDEX($AL$10:$AL$258, MATCH(0, IF(TRUE=$AI$10:$AI$258, COUNTIF($AN$9:$AN209, $AL$10:$AL$258), ""), 0)),"")</f>
        <v/>
      </c>
      <c r="AO210" s="124" t="str">
        <f t="array" ref="AO210">IFERROR(INDEX($AL$10:$AL$258, MATCH(0, IF(TRUE=$AJ$10:$AJ$258, COUNTIF($AO$9:$AO209, $AL$10:$AL$258), ""), 0)),"")</f>
        <v/>
      </c>
      <c r="AQ210" s="30" t="str">
        <f>IFERROR(INDEX('G-7 WaterC'' Data'!$AZ$3:$AZ$7,MATCH(D210,'G-7 WaterC'' Data'!$AY$3:$AY$7,0)),"")</f>
        <v/>
      </c>
      <c r="AR210" s="30" t="str">
        <f>IFERROR(INDEX('G-7 WaterC'' Data'!AZ210:AZ214,MATCH(D210,'G-7 WaterC'' Data'!$AY$10:$AY$14,0)),"")</f>
        <v/>
      </c>
    </row>
    <row r="211" spans="3:44" ht="15">
      <c r="C211" s="110">
        <v>202</v>
      </c>
      <c r="D211" s="338"/>
      <c r="E211" s="139"/>
      <c r="F211" s="362" t="str">
        <f>IF(D211="","",VLOOKUP(D211,'G-7 WaterC'' Data'!$B$2:$G$8,2,FALSE))</f>
        <v/>
      </c>
      <c r="G211" s="363" t="str">
        <f>IFERROR(VLOOKUP(F211,'G-7 WaterC'' Data'!$C$4:$D$8,2,FALSE),"")</f>
        <v/>
      </c>
      <c r="H211" s="114"/>
      <c r="I211" s="363" t="str">
        <f>IFERROR(INDEX('G-7 WaterC'' Data'!$H$4:$L$8,MATCH(D211,'G-7 WaterC'' Data'!$B$4:$B$8,0),MATCH(H211,'G-7 WaterC'' Data'!$H$3:$L$3,0)),"")</f>
        <v/>
      </c>
      <c r="J211" s="320"/>
      <c r="K211" s="398" t="str">
        <f>IF(J211="","",IF(VLOOKUP(J211,'G-7 WaterC'' Data'!$AK$4:$AM$6,2,FALSE)=0,"Spatial Data Missing ⚠",VLOOKUP(J211,'G-7 WaterC'' Data'!$AK$4:$AM$6,2,FALSE)))</f>
        <v/>
      </c>
      <c r="L211" s="368" t="str">
        <f>IF(J211="","",IF(VLOOKUP(J211,'G-7 WaterC'' Data'!$AK$4:$AM$9,3,FALSE)=0,"Spatial Data Missing ⚠",VLOOKUP(J211,'G-7 WaterC'' Data'!$AK$4:$AM$6,3,FALSE)))</f>
        <v/>
      </c>
      <c r="M211" s="54"/>
      <c r="N211" s="363" t="str">
        <f>IF(M211="","",IF(VLOOKUP(M211,'G-7 WaterC'' Data'!$AA$4:$AB$7,2,FALSE)=0,"Spatial Data Missing ⚠",VLOOKUP(M211,'G-7 WaterC'' Data'!$AA$4:$AB$7,2,FALSE)))</f>
        <v/>
      </c>
      <c r="O211" s="60"/>
      <c r="P211" s="363" t="str">
        <f>IF(O211="","",IF(VLOOKUP(O211,'G-7 WaterC'' Data'!$AD$4:$AE$14,2,FALSE)=0,"Spatial Data Missing ⚠",VLOOKUP(O211,'G-7 WaterC'' Data'!$AD$4:$AE$14,2,FALSE)))</f>
        <v/>
      </c>
      <c r="Q211" s="369" t="str">
        <f>IF(D211="","",VLOOKUP(D211,'G-7 WaterC'' Data'!$B$2:$G$8,6,FALSE))</f>
        <v/>
      </c>
      <c r="R211" s="376" t="str">
        <f>IFERROR(IF(D211="","",IF(AND(Q211='G-1 All Habitats'!$X$3,U211&gt;0),V211+W211,IF(AND(Q211='G-1 All Habitats'!$X$3,T211&gt;0),V211+W211,IF(AND(Q211='G-1 All Habitats'!$X$3,AD211&gt;0),"Any Loss Unacceptable ⚠",IF(AND(Q211='G-1 All Habitats'!$X$3,AE211&gt;0),"Any Loss Unacceptable ⚠", E211*G211*I211*L211*N211*P211 ))))),"Check Data ▲")</f>
        <v/>
      </c>
      <c r="S211" s="32"/>
      <c r="T211" s="114"/>
      <c r="U211" s="125"/>
      <c r="V211" s="374" t="str">
        <f t="shared" si="21"/>
        <v/>
      </c>
      <c r="W211" s="374" t="str">
        <f t="shared" si="22"/>
        <v/>
      </c>
      <c r="X211" s="374" t="str">
        <f t="shared" si="23"/>
        <v/>
      </c>
      <c r="Y211" s="670" t="str">
        <f t="shared" si="24"/>
        <v/>
      </c>
      <c r="Z211" s="706"/>
      <c r="AA211" s="704"/>
      <c r="AB211" s="120"/>
      <c r="AC211" s="120"/>
      <c r="AD211" s="57" t="str">
        <f>IF(Q211="","",IF(Q211='G-1 All Habitats'!$X$3,E211-T211-U211,"None"))</f>
        <v/>
      </c>
      <c r="AE211" s="58" t="str">
        <f>IF(Q211="","", IF(Q211='G-1 All Habitats'!$X$3, AD211*G211*I211*L211*N211*P211,"None"))</f>
        <v/>
      </c>
      <c r="AH211" s="30">
        <f t="shared" si="25"/>
        <v>0</v>
      </c>
      <c r="AI211" s="124" t="str">
        <f t="shared" si="26"/>
        <v/>
      </c>
      <c r="AJ211" s="124" t="str">
        <f t="shared" si="27"/>
        <v/>
      </c>
      <c r="AL211" s="124">
        <v>202</v>
      </c>
      <c r="AN211" s="124" t="str">
        <f t="array" ref="AN211">IFERROR(INDEX($AL$10:$AL$258, MATCH(0, IF(TRUE=$AI$10:$AI$258, COUNTIF($AN$9:$AN210, $AL$10:$AL$258), ""), 0)),"")</f>
        <v/>
      </c>
      <c r="AO211" s="124" t="str">
        <f t="array" ref="AO211">IFERROR(INDEX($AL$10:$AL$258, MATCH(0, IF(TRUE=$AJ$10:$AJ$258, COUNTIF($AO$9:$AO210, $AL$10:$AL$258), ""), 0)),"")</f>
        <v/>
      </c>
      <c r="AQ211" s="30" t="str">
        <f>IFERROR(INDEX('G-7 WaterC'' Data'!$AZ$3:$AZ$7,MATCH(D211,'G-7 WaterC'' Data'!$AY$3:$AY$7,0)),"")</f>
        <v/>
      </c>
      <c r="AR211" s="30" t="str">
        <f>IFERROR(INDEX('G-7 WaterC'' Data'!AZ211:AZ215,MATCH(D211,'G-7 WaterC'' Data'!$AY$10:$AY$14,0)),"")</f>
        <v/>
      </c>
    </row>
    <row r="212" spans="3:44" ht="15">
      <c r="C212" s="110">
        <v>203</v>
      </c>
      <c r="D212" s="338"/>
      <c r="E212" s="139"/>
      <c r="F212" s="362" t="str">
        <f>IF(D212="","",VLOOKUP(D212,'G-7 WaterC'' Data'!$B$2:$G$8,2,FALSE))</f>
        <v/>
      </c>
      <c r="G212" s="363" t="str">
        <f>IFERROR(VLOOKUP(F212,'G-7 WaterC'' Data'!$C$4:$D$8,2,FALSE),"")</f>
        <v/>
      </c>
      <c r="H212" s="114"/>
      <c r="I212" s="363" t="str">
        <f>IFERROR(INDEX('G-7 WaterC'' Data'!$H$4:$L$8,MATCH(D212,'G-7 WaterC'' Data'!$B$4:$B$8,0),MATCH(H212,'G-7 WaterC'' Data'!$H$3:$L$3,0)),"")</f>
        <v/>
      </c>
      <c r="J212" s="320"/>
      <c r="K212" s="398" t="str">
        <f>IF(J212="","",IF(VLOOKUP(J212,'G-7 WaterC'' Data'!$AK$4:$AM$6,2,FALSE)=0,"Spatial Data Missing ⚠",VLOOKUP(J212,'G-7 WaterC'' Data'!$AK$4:$AM$6,2,FALSE)))</f>
        <v/>
      </c>
      <c r="L212" s="368" t="str">
        <f>IF(J212="","",IF(VLOOKUP(J212,'G-7 WaterC'' Data'!$AK$4:$AM$9,3,FALSE)=0,"Spatial Data Missing ⚠",VLOOKUP(J212,'G-7 WaterC'' Data'!$AK$4:$AM$6,3,FALSE)))</f>
        <v/>
      </c>
      <c r="M212" s="54"/>
      <c r="N212" s="363" t="str">
        <f>IF(M212="","",IF(VLOOKUP(M212,'G-7 WaterC'' Data'!$AA$4:$AB$7,2,FALSE)=0,"Spatial Data Missing ⚠",VLOOKUP(M212,'G-7 WaterC'' Data'!$AA$4:$AB$7,2,FALSE)))</f>
        <v/>
      </c>
      <c r="O212" s="60"/>
      <c r="P212" s="363" t="str">
        <f>IF(O212="","",IF(VLOOKUP(O212,'G-7 WaterC'' Data'!$AD$4:$AE$14,2,FALSE)=0,"Spatial Data Missing ⚠",VLOOKUP(O212,'G-7 WaterC'' Data'!$AD$4:$AE$14,2,FALSE)))</f>
        <v/>
      </c>
      <c r="Q212" s="369" t="str">
        <f>IF(D212="","",VLOOKUP(D212,'G-7 WaterC'' Data'!$B$2:$G$8,6,FALSE))</f>
        <v/>
      </c>
      <c r="R212" s="376" t="str">
        <f>IFERROR(IF(D212="","",IF(AND(Q212='G-1 All Habitats'!$X$3,U212&gt;0),V212+W212,IF(AND(Q212='G-1 All Habitats'!$X$3,T212&gt;0),V212+W212,IF(AND(Q212='G-1 All Habitats'!$X$3,AD212&gt;0),"Any Loss Unacceptable ⚠",IF(AND(Q212='G-1 All Habitats'!$X$3,AE212&gt;0),"Any Loss Unacceptable ⚠", E212*G212*I212*L212*N212*P212 ))))),"Check Data ▲")</f>
        <v/>
      </c>
      <c r="S212" s="32"/>
      <c r="T212" s="114"/>
      <c r="U212" s="125"/>
      <c r="V212" s="374" t="str">
        <f t="shared" si="21"/>
        <v/>
      </c>
      <c r="W212" s="374" t="str">
        <f t="shared" si="22"/>
        <v/>
      </c>
      <c r="X212" s="374" t="str">
        <f t="shared" si="23"/>
        <v/>
      </c>
      <c r="Y212" s="670" t="str">
        <f t="shared" si="24"/>
        <v/>
      </c>
      <c r="Z212" s="706"/>
      <c r="AA212" s="704"/>
      <c r="AB212" s="120"/>
      <c r="AC212" s="120"/>
      <c r="AD212" s="57" t="str">
        <f>IF(Q212="","",IF(Q212='G-1 All Habitats'!$X$3,E212-T212-U212,"None"))</f>
        <v/>
      </c>
      <c r="AE212" s="58" t="str">
        <f>IF(Q212="","", IF(Q212='G-1 All Habitats'!$X$3, AD212*G212*I212*L212*N212*P212,"None"))</f>
        <v/>
      </c>
      <c r="AH212" s="30">
        <f t="shared" si="25"/>
        <v>0</v>
      </c>
      <c r="AI212" s="124" t="str">
        <f t="shared" si="26"/>
        <v/>
      </c>
      <c r="AJ212" s="124" t="str">
        <f t="shared" si="27"/>
        <v/>
      </c>
      <c r="AL212" s="124">
        <v>203</v>
      </c>
      <c r="AN212" s="124" t="str">
        <f t="array" ref="AN212">IFERROR(INDEX($AL$10:$AL$258, MATCH(0, IF(TRUE=$AI$10:$AI$258, COUNTIF($AN$9:$AN211, $AL$10:$AL$258), ""), 0)),"")</f>
        <v/>
      </c>
      <c r="AO212" s="124" t="str">
        <f t="array" ref="AO212">IFERROR(INDEX($AL$10:$AL$258, MATCH(0, IF(TRUE=$AJ$10:$AJ$258, COUNTIF($AO$9:$AO211, $AL$10:$AL$258), ""), 0)),"")</f>
        <v/>
      </c>
      <c r="AQ212" s="30" t="str">
        <f>IFERROR(INDEX('G-7 WaterC'' Data'!$AZ$3:$AZ$7,MATCH(D212,'G-7 WaterC'' Data'!$AY$3:$AY$7,0)),"")</f>
        <v/>
      </c>
      <c r="AR212" s="30" t="str">
        <f>IFERROR(INDEX('G-7 WaterC'' Data'!AZ212:AZ216,MATCH(D212,'G-7 WaterC'' Data'!$AY$10:$AY$14,0)),"")</f>
        <v/>
      </c>
    </row>
    <row r="213" spans="3:44" ht="15">
      <c r="C213" s="110">
        <v>204</v>
      </c>
      <c r="D213" s="338"/>
      <c r="E213" s="139"/>
      <c r="F213" s="362" t="str">
        <f>IF(D213="","",VLOOKUP(D213,'G-7 WaterC'' Data'!$B$2:$G$8,2,FALSE))</f>
        <v/>
      </c>
      <c r="G213" s="363" t="str">
        <f>IFERROR(VLOOKUP(F213,'G-7 WaterC'' Data'!$C$4:$D$8,2,FALSE),"")</f>
        <v/>
      </c>
      <c r="H213" s="114"/>
      <c r="I213" s="363" t="str">
        <f>IFERROR(INDEX('G-7 WaterC'' Data'!$H$4:$L$8,MATCH(D213,'G-7 WaterC'' Data'!$B$4:$B$8,0),MATCH(H213,'G-7 WaterC'' Data'!$H$3:$L$3,0)),"")</f>
        <v/>
      </c>
      <c r="J213" s="320"/>
      <c r="K213" s="398" t="str">
        <f>IF(J213="","",IF(VLOOKUP(J213,'G-7 WaterC'' Data'!$AK$4:$AM$6,2,FALSE)=0,"Spatial Data Missing ⚠",VLOOKUP(J213,'G-7 WaterC'' Data'!$AK$4:$AM$6,2,FALSE)))</f>
        <v/>
      </c>
      <c r="L213" s="368" t="str">
        <f>IF(J213="","",IF(VLOOKUP(J213,'G-7 WaterC'' Data'!$AK$4:$AM$9,3,FALSE)=0,"Spatial Data Missing ⚠",VLOOKUP(J213,'G-7 WaterC'' Data'!$AK$4:$AM$6,3,FALSE)))</f>
        <v/>
      </c>
      <c r="M213" s="54"/>
      <c r="N213" s="363" t="str">
        <f>IF(M213="","",IF(VLOOKUP(M213,'G-7 WaterC'' Data'!$AA$4:$AB$7,2,FALSE)=0,"Spatial Data Missing ⚠",VLOOKUP(M213,'G-7 WaterC'' Data'!$AA$4:$AB$7,2,FALSE)))</f>
        <v/>
      </c>
      <c r="O213" s="60"/>
      <c r="P213" s="363" t="str">
        <f>IF(O213="","",IF(VLOOKUP(O213,'G-7 WaterC'' Data'!$AD$4:$AE$14,2,FALSE)=0,"Spatial Data Missing ⚠",VLOOKUP(O213,'G-7 WaterC'' Data'!$AD$4:$AE$14,2,FALSE)))</f>
        <v/>
      </c>
      <c r="Q213" s="369" t="str">
        <f>IF(D213="","",VLOOKUP(D213,'G-7 WaterC'' Data'!$B$2:$G$8,6,FALSE))</f>
        <v/>
      </c>
      <c r="R213" s="376" t="str">
        <f>IFERROR(IF(D213="","",IF(AND(Q213='G-1 All Habitats'!$X$3,U213&gt;0),V213+W213,IF(AND(Q213='G-1 All Habitats'!$X$3,T213&gt;0),V213+W213,IF(AND(Q213='G-1 All Habitats'!$X$3,AD213&gt;0),"Any Loss Unacceptable ⚠",IF(AND(Q213='G-1 All Habitats'!$X$3,AE213&gt;0),"Any Loss Unacceptable ⚠", E213*G213*I213*L213*N213*P213 ))))),"Check Data ▲")</f>
        <v/>
      </c>
      <c r="S213" s="32"/>
      <c r="T213" s="114"/>
      <c r="U213" s="125"/>
      <c r="V213" s="374" t="str">
        <f t="shared" si="21"/>
        <v/>
      </c>
      <c r="W213" s="374" t="str">
        <f t="shared" si="22"/>
        <v/>
      </c>
      <c r="X213" s="374" t="str">
        <f t="shared" si="23"/>
        <v/>
      </c>
      <c r="Y213" s="670" t="str">
        <f t="shared" si="24"/>
        <v/>
      </c>
      <c r="Z213" s="706"/>
      <c r="AA213" s="704"/>
      <c r="AB213" s="120"/>
      <c r="AC213" s="120"/>
      <c r="AD213" s="57" t="str">
        <f>IF(Q213="","",IF(Q213='G-1 All Habitats'!$X$3,E213-T213-U213,"None"))</f>
        <v/>
      </c>
      <c r="AE213" s="58" t="str">
        <f>IF(Q213="","", IF(Q213='G-1 All Habitats'!$X$3, AD213*G213*I213*L213*N213*P213,"None"))</f>
        <v/>
      </c>
      <c r="AH213" s="30">
        <f t="shared" si="25"/>
        <v>0</v>
      </c>
      <c r="AI213" s="124" t="str">
        <f t="shared" si="26"/>
        <v/>
      </c>
      <c r="AJ213" s="124" t="str">
        <f t="shared" si="27"/>
        <v/>
      </c>
      <c r="AL213" s="124">
        <v>204</v>
      </c>
      <c r="AN213" s="124" t="str">
        <f t="array" ref="AN213">IFERROR(INDEX($AL$10:$AL$258, MATCH(0, IF(TRUE=$AI$10:$AI$258, COUNTIF($AN$9:$AN212, $AL$10:$AL$258), ""), 0)),"")</f>
        <v/>
      </c>
      <c r="AO213" s="124" t="str">
        <f t="array" ref="AO213">IFERROR(INDEX($AL$10:$AL$258, MATCH(0, IF(TRUE=$AJ$10:$AJ$258, COUNTIF($AO$9:$AO212, $AL$10:$AL$258), ""), 0)),"")</f>
        <v/>
      </c>
      <c r="AQ213" s="30" t="str">
        <f>IFERROR(INDEX('G-7 WaterC'' Data'!$AZ$3:$AZ$7,MATCH(D213,'G-7 WaterC'' Data'!$AY$3:$AY$7,0)),"")</f>
        <v/>
      </c>
      <c r="AR213" s="30" t="str">
        <f>IFERROR(INDEX('G-7 WaterC'' Data'!AZ213:AZ217,MATCH(D213,'G-7 WaterC'' Data'!$AY$10:$AY$14,0)),"")</f>
        <v/>
      </c>
    </row>
    <row r="214" spans="3:44" ht="15">
      <c r="C214" s="110">
        <v>205</v>
      </c>
      <c r="D214" s="338"/>
      <c r="E214" s="139"/>
      <c r="F214" s="362" t="str">
        <f>IF(D214="","",VLOOKUP(D214,'G-7 WaterC'' Data'!$B$2:$G$8,2,FALSE))</f>
        <v/>
      </c>
      <c r="G214" s="363" t="str">
        <f>IFERROR(VLOOKUP(F214,'G-7 WaterC'' Data'!$C$4:$D$8,2,FALSE),"")</f>
        <v/>
      </c>
      <c r="H214" s="114"/>
      <c r="I214" s="363" t="str">
        <f>IFERROR(INDEX('G-7 WaterC'' Data'!$H$4:$L$8,MATCH(D214,'G-7 WaterC'' Data'!$B$4:$B$8,0),MATCH(H214,'G-7 WaterC'' Data'!$H$3:$L$3,0)),"")</f>
        <v/>
      </c>
      <c r="J214" s="320"/>
      <c r="K214" s="398" t="str">
        <f>IF(J214="","",IF(VLOOKUP(J214,'G-7 WaterC'' Data'!$AK$4:$AM$6,2,FALSE)=0,"Spatial Data Missing ⚠",VLOOKUP(J214,'G-7 WaterC'' Data'!$AK$4:$AM$6,2,FALSE)))</f>
        <v/>
      </c>
      <c r="L214" s="368" t="str">
        <f>IF(J214="","",IF(VLOOKUP(J214,'G-7 WaterC'' Data'!$AK$4:$AM$9,3,FALSE)=0,"Spatial Data Missing ⚠",VLOOKUP(J214,'G-7 WaterC'' Data'!$AK$4:$AM$6,3,FALSE)))</f>
        <v/>
      </c>
      <c r="M214" s="54"/>
      <c r="N214" s="363" t="str">
        <f>IF(M214="","",IF(VLOOKUP(M214,'G-7 WaterC'' Data'!$AA$4:$AB$7,2,FALSE)=0,"Spatial Data Missing ⚠",VLOOKUP(M214,'G-7 WaterC'' Data'!$AA$4:$AB$7,2,FALSE)))</f>
        <v/>
      </c>
      <c r="O214" s="60"/>
      <c r="P214" s="363" t="str">
        <f>IF(O214="","",IF(VLOOKUP(O214,'G-7 WaterC'' Data'!$AD$4:$AE$14,2,FALSE)=0,"Spatial Data Missing ⚠",VLOOKUP(O214,'G-7 WaterC'' Data'!$AD$4:$AE$14,2,FALSE)))</f>
        <v/>
      </c>
      <c r="Q214" s="369" t="str">
        <f>IF(D214="","",VLOOKUP(D214,'G-7 WaterC'' Data'!$B$2:$G$8,6,FALSE))</f>
        <v/>
      </c>
      <c r="R214" s="376" t="str">
        <f>IFERROR(IF(D214="","",IF(AND(Q214='G-1 All Habitats'!$X$3,U214&gt;0),V214+W214,IF(AND(Q214='G-1 All Habitats'!$X$3,T214&gt;0),V214+W214,IF(AND(Q214='G-1 All Habitats'!$X$3,AD214&gt;0),"Any Loss Unacceptable ⚠",IF(AND(Q214='G-1 All Habitats'!$X$3,AE214&gt;0),"Any Loss Unacceptable ⚠", E214*G214*I214*L214*N214*P214 ))))),"Check Data ▲")</f>
        <v/>
      </c>
      <c r="S214" s="32"/>
      <c r="T214" s="114"/>
      <c r="U214" s="125"/>
      <c r="V214" s="374" t="str">
        <f t="shared" si="21"/>
        <v/>
      </c>
      <c r="W214" s="374" t="str">
        <f t="shared" si="22"/>
        <v/>
      </c>
      <c r="X214" s="374" t="str">
        <f t="shared" si="23"/>
        <v/>
      </c>
      <c r="Y214" s="670" t="str">
        <f t="shared" si="24"/>
        <v/>
      </c>
      <c r="Z214" s="706"/>
      <c r="AA214" s="704"/>
      <c r="AB214" s="120"/>
      <c r="AC214" s="120"/>
      <c r="AD214" s="57" t="str">
        <f>IF(Q214="","",IF(Q214='G-1 All Habitats'!$X$3,E214-T214-U214,"None"))</f>
        <v/>
      </c>
      <c r="AE214" s="58" t="str">
        <f>IF(Q214="","", IF(Q214='G-1 All Habitats'!$X$3, AD214*G214*I214*L214*N214*P214,"None"))</f>
        <v/>
      </c>
      <c r="AH214" s="30">
        <f t="shared" si="25"/>
        <v>0</v>
      </c>
      <c r="AI214" s="124" t="str">
        <f t="shared" si="26"/>
        <v/>
      </c>
      <c r="AJ214" s="124" t="str">
        <f t="shared" si="27"/>
        <v/>
      </c>
      <c r="AL214" s="124">
        <v>205</v>
      </c>
      <c r="AN214" s="124" t="str">
        <f t="array" ref="AN214">IFERROR(INDEX($AL$10:$AL$258, MATCH(0, IF(TRUE=$AI$10:$AI$258, COUNTIF($AN$9:$AN213, $AL$10:$AL$258), ""), 0)),"")</f>
        <v/>
      </c>
      <c r="AO214" s="124" t="str">
        <f t="array" ref="AO214">IFERROR(INDEX($AL$10:$AL$258, MATCH(0, IF(TRUE=$AJ$10:$AJ$258, COUNTIF($AO$9:$AO213, $AL$10:$AL$258), ""), 0)),"")</f>
        <v/>
      </c>
      <c r="AQ214" s="30" t="str">
        <f>IFERROR(INDEX('G-7 WaterC'' Data'!$AZ$3:$AZ$7,MATCH(D214,'G-7 WaterC'' Data'!$AY$3:$AY$7,0)),"")</f>
        <v/>
      </c>
      <c r="AR214" s="30" t="str">
        <f>IFERROR(INDEX('G-7 WaterC'' Data'!AZ214:AZ218,MATCH(D214,'G-7 WaterC'' Data'!$AY$10:$AY$14,0)),"")</f>
        <v/>
      </c>
    </row>
    <row r="215" spans="3:44" ht="15">
      <c r="C215" s="110">
        <v>206</v>
      </c>
      <c r="D215" s="338"/>
      <c r="E215" s="139"/>
      <c r="F215" s="362" t="str">
        <f>IF(D215="","",VLOOKUP(D215,'G-7 WaterC'' Data'!$B$2:$G$8,2,FALSE))</f>
        <v/>
      </c>
      <c r="G215" s="363" t="str">
        <f>IFERROR(VLOOKUP(F215,'G-7 WaterC'' Data'!$C$4:$D$8,2,FALSE),"")</f>
        <v/>
      </c>
      <c r="H215" s="114"/>
      <c r="I215" s="363" t="str">
        <f>IFERROR(INDEX('G-7 WaterC'' Data'!$H$4:$L$8,MATCH(D215,'G-7 WaterC'' Data'!$B$4:$B$8,0),MATCH(H215,'G-7 WaterC'' Data'!$H$3:$L$3,0)),"")</f>
        <v/>
      </c>
      <c r="J215" s="320"/>
      <c r="K215" s="398" t="str">
        <f>IF(J215="","",IF(VLOOKUP(J215,'G-7 WaterC'' Data'!$AK$4:$AM$6,2,FALSE)=0,"Spatial Data Missing ⚠",VLOOKUP(J215,'G-7 WaterC'' Data'!$AK$4:$AM$6,2,FALSE)))</f>
        <v/>
      </c>
      <c r="L215" s="368" t="str">
        <f>IF(J215="","",IF(VLOOKUP(J215,'G-7 WaterC'' Data'!$AK$4:$AM$9,3,FALSE)=0,"Spatial Data Missing ⚠",VLOOKUP(J215,'G-7 WaterC'' Data'!$AK$4:$AM$6,3,FALSE)))</f>
        <v/>
      </c>
      <c r="M215" s="54"/>
      <c r="N215" s="363" t="str">
        <f>IF(M215="","",IF(VLOOKUP(M215,'G-7 WaterC'' Data'!$AA$4:$AB$7,2,FALSE)=0,"Spatial Data Missing ⚠",VLOOKUP(M215,'G-7 WaterC'' Data'!$AA$4:$AB$7,2,FALSE)))</f>
        <v/>
      </c>
      <c r="O215" s="60"/>
      <c r="P215" s="363" t="str">
        <f>IF(O215="","",IF(VLOOKUP(O215,'G-7 WaterC'' Data'!$AD$4:$AE$14,2,FALSE)=0,"Spatial Data Missing ⚠",VLOOKUP(O215,'G-7 WaterC'' Data'!$AD$4:$AE$14,2,FALSE)))</f>
        <v/>
      </c>
      <c r="Q215" s="369" t="str">
        <f>IF(D215="","",VLOOKUP(D215,'G-7 WaterC'' Data'!$B$2:$G$8,6,FALSE))</f>
        <v/>
      </c>
      <c r="R215" s="376" t="str">
        <f>IFERROR(IF(D215="","",IF(AND(Q215='G-1 All Habitats'!$X$3,U215&gt;0),V215+W215,IF(AND(Q215='G-1 All Habitats'!$X$3,T215&gt;0),V215+W215,IF(AND(Q215='G-1 All Habitats'!$X$3,AD215&gt;0),"Any Loss Unacceptable ⚠",IF(AND(Q215='G-1 All Habitats'!$X$3,AE215&gt;0),"Any Loss Unacceptable ⚠", E215*G215*I215*L215*N215*P215 ))))),"Check Data ▲")</f>
        <v/>
      </c>
      <c r="S215" s="32"/>
      <c r="T215" s="114"/>
      <c r="U215" s="125"/>
      <c r="V215" s="374" t="str">
        <f t="shared" si="21"/>
        <v/>
      </c>
      <c r="W215" s="374" t="str">
        <f t="shared" si="22"/>
        <v/>
      </c>
      <c r="X215" s="374" t="str">
        <f t="shared" si="23"/>
        <v/>
      </c>
      <c r="Y215" s="670" t="str">
        <f t="shared" si="24"/>
        <v/>
      </c>
      <c r="Z215" s="706"/>
      <c r="AA215" s="704"/>
      <c r="AB215" s="120"/>
      <c r="AC215" s="120"/>
      <c r="AD215" s="57" t="str">
        <f>IF(Q215="","",IF(Q215='G-1 All Habitats'!$X$3,E215-T215-U215,"None"))</f>
        <v/>
      </c>
      <c r="AE215" s="58" t="str">
        <f>IF(Q215="","", IF(Q215='G-1 All Habitats'!$X$3, AD215*G215*I215*L215*N215*P215,"None"))</f>
        <v/>
      </c>
      <c r="AH215" s="30">
        <f t="shared" si="25"/>
        <v>0</v>
      </c>
      <c r="AI215" s="124" t="str">
        <f t="shared" si="26"/>
        <v/>
      </c>
      <c r="AJ215" s="124" t="str">
        <f t="shared" si="27"/>
        <v/>
      </c>
      <c r="AL215" s="124">
        <v>206</v>
      </c>
      <c r="AN215" s="124" t="str">
        <f t="array" ref="AN215">IFERROR(INDEX($AL$10:$AL$258, MATCH(0, IF(TRUE=$AI$10:$AI$258, COUNTIF($AN$9:$AN214, $AL$10:$AL$258), ""), 0)),"")</f>
        <v/>
      </c>
      <c r="AO215" s="124" t="str">
        <f t="array" ref="AO215">IFERROR(INDEX($AL$10:$AL$258, MATCH(0, IF(TRUE=$AJ$10:$AJ$258, COUNTIF($AO$9:$AO214, $AL$10:$AL$258), ""), 0)),"")</f>
        <v/>
      </c>
      <c r="AQ215" s="30" t="str">
        <f>IFERROR(INDEX('G-7 WaterC'' Data'!$AZ$3:$AZ$7,MATCH(D215,'G-7 WaterC'' Data'!$AY$3:$AY$7,0)),"")</f>
        <v/>
      </c>
      <c r="AR215" s="30" t="str">
        <f>IFERROR(INDEX('G-7 WaterC'' Data'!AZ215:AZ219,MATCH(D215,'G-7 WaterC'' Data'!$AY$10:$AY$14,0)),"")</f>
        <v/>
      </c>
    </row>
    <row r="216" spans="3:44" ht="15">
      <c r="C216" s="110">
        <v>207</v>
      </c>
      <c r="D216" s="338"/>
      <c r="E216" s="139"/>
      <c r="F216" s="362" t="str">
        <f>IF(D216="","",VLOOKUP(D216,'G-7 WaterC'' Data'!$B$2:$G$8,2,FALSE))</f>
        <v/>
      </c>
      <c r="G216" s="363" t="str">
        <f>IFERROR(VLOOKUP(F216,'G-7 WaterC'' Data'!$C$4:$D$8,2,FALSE),"")</f>
        <v/>
      </c>
      <c r="H216" s="114"/>
      <c r="I216" s="363" t="str">
        <f>IFERROR(INDEX('G-7 WaterC'' Data'!$H$4:$L$8,MATCH(D216,'G-7 WaterC'' Data'!$B$4:$B$8,0),MATCH(H216,'G-7 WaterC'' Data'!$H$3:$L$3,0)),"")</f>
        <v/>
      </c>
      <c r="J216" s="320"/>
      <c r="K216" s="398" t="str">
        <f>IF(J216="","",IF(VLOOKUP(J216,'G-7 WaterC'' Data'!$AK$4:$AM$6,2,FALSE)=0,"Spatial Data Missing ⚠",VLOOKUP(J216,'G-7 WaterC'' Data'!$AK$4:$AM$6,2,FALSE)))</f>
        <v/>
      </c>
      <c r="L216" s="368" t="str">
        <f>IF(J216="","",IF(VLOOKUP(J216,'G-7 WaterC'' Data'!$AK$4:$AM$9,3,FALSE)=0,"Spatial Data Missing ⚠",VLOOKUP(J216,'G-7 WaterC'' Data'!$AK$4:$AM$6,3,FALSE)))</f>
        <v/>
      </c>
      <c r="M216" s="54"/>
      <c r="N216" s="363" t="str">
        <f>IF(M216="","",IF(VLOOKUP(M216,'G-7 WaterC'' Data'!$AA$4:$AB$7,2,FALSE)=0,"Spatial Data Missing ⚠",VLOOKUP(M216,'G-7 WaterC'' Data'!$AA$4:$AB$7,2,FALSE)))</f>
        <v/>
      </c>
      <c r="O216" s="60"/>
      <c r="P216" s="363" t="str">
        <f>IF(O216="","",IF(VLOOKUP(O216,'G-7 WaterC'' Data'!$AD$4:$AE$14,2,FALSE)=0,"Spatial Data Missing ⚠",VLOOKUP(O216,'G-7 WaterC'' Data'!$AD$4:$AE$14,2,FALSE)))</f>
        <v/>
      </c>
      <c r="Q216" s="369" t="str">
        <f>IF(D216="","",VLOOKUP(D216,'G-7 WaterC'' Data'!$B$2:$G$8,6,FALSE))</f>
        <v/>
      </c>
      <c r="R216" s="376" t="str">
        <f>IFERROR(IF(D216="","",IF(AND(Q216='G-1 All Habitats'!$X$3,U216&gt;0),V216+W216,IF(AND(Q216='G-1 All Habitats'!$X$3,T216&gt;0),V216+W216,IF(AND(Q216='G-1 All Habitats'!$X$3,AD216&gt;0),"Any Loss Unacceptable ⚠",IF(AND(Q216='G-1 All Habitats'!$X$3,AE216&gt;0),"Any Loss Unacceptable ⚠", E216*G216*I216*L216*N216*P216 ))))),"Check Data ▲")</f>
        <v/>
      </c>
      <c r="S216" s="32"/>
      <c r="T216" s="114"/>
      <c r="U216" s="125"/>
      <c r="V216" s="374" t="str">
        <f t="shared" si="21"/>
        <v/>
      </c>
      <c r="W216" s="374" t="str">
        <f t="shared" si="22"/>
        <v/>
      </c>
      <c r="X216" s="374" t="str">
        <f t="shared" si="23"/>
        <v/>
      </c>
      <c r="Y216" s="670" t="str">
        <f t="shared" si="24"/>
        <v/>
      </c>
      <c r="Z216" s="706"/>
      <c r="AA216" s="704"/>
      <c r="AB216" s="120"/>
      <c r="AC216" s="120"/>
      <c r="AD216" s="57" t="str">
        <f>IF(Q216="","",IF(Q216='G-1 All Habitats'!$X$3,E216-T216-U216,"None"))</f>
        <v/>
      </c>
      <c r="AE216" s="58" t="str">
        <f>IF(Q216="","", IF(Q216='G-1 All Habitats'!$X$3, AD216*G216*I216*L216*N216*P216,"None"))</f>
        <v/>
      </c>
      <c r="AH216" s="30">
        <f t="shared" si="25"/>
        <v>0</v>
      </c>
      <c r="AI216" s="124" t="str">
        <f t="shared" si="26"/>
        <v/>
      </c>
      <c r="AJ216" s="124" t="str">
        <f t="shared" si="27"/>
        <v/>
      </c>
      <c r="AL216" s="124">
        <v>207</v>
      </c>
      <c r="AN216" s="124" t="str">
        <f t="array" ref="AN216">IFERROR(INDEX($AL$10:$AL$258, MATCH(0, IF(TRUE=$AI$10:$AI$258, COUNTIF($AN$9:$AN215, $AL$10:$AL$258), ""), 0)),"")</f>
        <v/>
      </c>
      <c r="AO216" s="124" t="str">
        <f t="array" ref="AO216">IFERROR(INDEX($AL$10:$AL$258, MATCH(0, IF(TRUE=$AJ$10:$AJ$258, COUNTIF($AO$9:$AO215, $AL$10:$AL$258), ""), 0)),"")</f>
        <v/>
      </c>
      <c r="AQ216" s="30" t="str">
        <f>IFERROR(INDEX('G-7 WaterC'' Data'!$AZ$3:$AZ$7,MATCH(D216,'G-7 WaterC'' Data'!$AY$3:$AY$7,0)),"")</f>
        <v/>
      </c>
      <c r="AR216" s="30" t="str">
        <f>IFERROR(INDEX('G-7 WaterC'' Data'!AZ216:AZ220,MATCH(D216,'G-7 WaterC'' Data'!$AY$10:$AY$14,0)),"")</f>
        <v/>
      </c>
    </row>
    <row r="217" spans="3:44" ht="15">
      <c r="C217" s="110">
        <v>208</v>
      </c>
      <c r="D217" s="338"/>
      <c r="E217" s="139"/>
      <c r="F217" s="362" t="str">
        <f>IF(D217="","",VLOOKUP(D217,'G-7 WaterC'' Data'!$B$2:$G$8,2,FALSE))</f>
        <v/>
      </c>
      <c r="G217" s="363" t="str">
        <f>IFERROR(VLOOKUP(F217,'G-7 WaterC'' Data'!$C$4:$D$8,2,FALSE),"")</f>
        <v/>
      </c>
      <c r="H217" s="114"/>
      <c r="I217" s="363" t="str">
        <f>IFERROR(INDEX('G-7 WaterC'' Data'!$H$4:$L$8,MATCH(D217,'G-7 WaterC'' Data'!$B$4:$B$8,0),MATCH(H217,'G-7 WaterC'' Data'!$H$3:$L$3,0)),"")</f>
        <v/>
      </c>
      <c r="J217" s="320"/>
      <c r="K217" s="398" t="str">
        <f>IF(J217="","",IF(VLOOKUP(J217,'G-7 WaterC'' Data'!$AK$4:$AM$6,2,FALSE)=0,"Spatial Data Missing ⚠",VLOOKUP(J217,'G-7 WaterC'' Data'!$AK$4:$AM$6,2,FALSE)))</f>
        <v/>
      </c>
      <c r="L217" s="368" t="str">
        <f>IF(J217="","",IF(VLOOKUP(J217,'G-7 WaterC'' Data'!$AK$4:$AM$9,3,FALSE)=0,"Spatial Data Missing ⚠",VLOOKUP(J217,'G-7 WaterC'' Data'!$AK$4:$AM$6,3,FALSE)))</f>
        <v/>
      </c>
      <c r="M217" s="54"/>
      <c r="N217" s="363" t="str">
        <f>IF(M217="","",IF(VLOOKUP(M217,'G-7 WaterC'' Data'!$AA$4:$AB$7,2,FALSE)=0,"Spatial Data Missing ⚠",VLOOKUP(M217,'G-7 WaterC'' Data'!$AA$4:$AB$7,2,FALSE)))</f>
        <v/>
      </c>
      <c r="O217" s="60"/>
      <c r="P217" s="363" t="str">
        <f>IF(O217="","",IF(VLOOKUP(O217,'G-7 WaterC'' Data'!$AD$4:$AE$14,2,FALSE)=0,"Spatial Data Missing ⚠",VLOOKUP(O217,'G-7 WaterC'' Data'!$AD$4:$AE$14,2,FALSE)))</f>
        <v/>
      </c>
      <c r="Q217" s="369" t="str">
        <f>IF(D217="","",VLOOKUP(D217,'G-7 WaterC'' Data'!$B$2:$G$8,6,FALSE))</f>
        <v/>
      </c>
      <c r="R217" s="376" t="str">
        <f>IFERROR(IF(D217="","",IF(AND(Q217='G-1 All Habitats'!$X$3,U217&gt;0),V217+W217,IF(AND(Q217='G-1 All Habitats'!$X$3,T217&gt;0),V217+W217,IF(AND(Q217='G-1 All Habitats'!$X$3,AD217&gt;0),"Any Loss Unacceptable ⚠",IF(AND(Q217='G-1 All Habitats'!$X$3,AE217&gt;0),"Any Loss Unacceptable ⚠", E217*G217*I217*L217*N217*P217 ))))),"Check Data ▲")</f>
        <v/>
      </c>
      <c r="S217" s="32"/>
      <c r="T217" s="114"/>
      <c r="U217" s="125"/>
      <c r="V217" s="374" t="str">
        <f t="shared" si="21"/>
        <v/>
      </c>
      <c r="W217" s="374" t="str">
        <f t="shared" si="22"/>
        <v/>
      </c>
      <c r="X217" s="374" t="str">
        <f t="shared" si="23"/>
        <v/>
      </c>
      <c r="Y217" s="670" t="str">
        <f t="shared" si="24"/>
        <v/>
      </c>
      <c r="Z217" s="706"/>
      <c r="AA217" s="704"/>
      <c r="AB217" s="120"/>
      <c r="AC217" s="120"/>
      <c r="AD217" s="57" t="str">
        <f>IF(Q217="","",IF(Q217='G-1 All Habitats'!$X$3,E217-T217-U217,"None"))</f>
        <v/>
      </c>
      <c r="AE217" s="58" t="str">
        <f>IF(Q217="","", IF(Q217='G-1 All Habitats'!$X$3, AD217*G217*I217*L217*N217*P217,"None"))</f>
        <v/>
      </c>
      <c r="AH217" s="30">
        <f t="shared" si="25"/>
        <v>0</v>
      </c>
      <c r="AI217" s="124" t="str">
        <f t="shared" si="26"/>
        <v/>
      </c>
      <c r="AJ217" s="124" t="str">
        <f t="shared" si="27"/>
        <v/>
      </c>
      <c r="AL217" s="124">
        <v>208</v>
      </c>
      <c r="AN217" s="124" t="str">
        <f t="array" ref="AN217">IFERROR(INDEX($AL$10:$AL$258, MATCH(0, IF(TRUE=$AI$10:$AI$258, COUNTIF($AN$9:$AN216, $AL$10:$AL$258), ""), 0)),"")</f>
        <v/>
      </c>
      <c r="AO217" s="124" t="str">
        <f t="array" ref="AO217">IFERROR(INDEX($AL$10:$AL$258, MATCH(0, IF(TRUE=$AJ$10:$AJ$258, COUNTIF($AO$9:$AO216, $AL$10:$AL$258), ""), 0)),"")</f>
        <v/>
      </c>
      <c r="AQ217" s="30" t="str">
        <f>IFERROR(INDEX('G-7 WaterC'' Data'!$AZ$3:$AZ$7,MATCH(D217,'G-7 WaterC'' Data'!$AY$3:$AY$7,0)),"")</f>
        <v/>
      </c>
      <c r="AR217" s="30" t="str">
        <f>IFERROR(INDEX('G-7 WaterC'' Data'!AZ217:AZ221,MATCH(D217,'G-7 WaterC'' Data'!$AY$10:$AY$14,0)),"")</f>
        <v/>
      </c>
    </row>
    <row r="218" spans="3:44" ht="15">
      <c r="C218" s="110">
        <v>209</v>
      </c>
      <c r="D218" s="338"/>
      <c r="E218" s="139"/>
      <c r="F218" s="362" t="str">
        <f>IF(D218="","",VLOOKUP(D218,'G-7 WaterC'' Data'!$B$2:$G$8,2,FALSE))</f>
        <v/>
      </c>
      <c r="G218" s="363" t="str">
        <f>IFERROR(VLOOKUP(F218,'G-7 WaterC'' Data'!$C$4:$D$8,2,FALSE),"")</f>
        <v/>
      </c>
      <c r="H218" s="114"/>
      <c r="I218" s="363" t="str">
        <f>IFERROR(INDEX('G-7 WaterC'' Data'!$H$4:$L$8,MATCH(D218,'G-7 WaterC'' Data'!$B$4:$B$8,0),MATCH(H218,'G-7 WaterC'' Data'!$H$3:$L$3,0)),"")</f>
        <v/>
      </c>
      <c r="J218" s="320"/>
      <c r="K218" s="398" t="str">
        <f>IF(J218="","",IF(VLOOKUP(J218,'G-7 WaterC'' Data'!$AK$4:$AM$6,2,FALSE)=0,"Spatial Data Missing ⚠",VLOOKUP(J218,'G-7 WaterC'' Data'!$AK$4:$AM$6,2,FALSE)))</f>
        <v/>
      </c>
      <c r="L218" s="368" t="str">
        <f>IF(J218="","",IF(VLOOKUP(J218,'G-7 WaterC'' Data'!$AK$4:$AM$9,3,FALSE)=0,"Spatial Data Missing ⚠",VLOOKUP(J218,'G-7 WaterC'' Data'!$AK$4:$AM$6,3,FALSE)))</f>
        <v/>
      </c>
      <c r="M218" s="54"/>
      <c r="N218" s="363" t="str">
        <f>IF(M218="","",IF(VLOOKUP(M218,'G-7 WaterC'' Data'!$AA$4:$AB$7,2,FALSE)=0,"Spatial Data Missing ⚠",VLOOKUP(M218,'G-7 WaterC'' Data'!$AA$4:$AB$7,2,FALSE)))</f>
        <v/>
      </c>
      <c r="O218" s="60"/>
      <c r="P218" s="363" t="str">
        <f>IF(O218="","",IF(VLOOKUP(O218,'G-7 WaterC'' Data'!$AD$4:$AE$14,2,FALSE)=0,"Spatial Data Missing ⚠",VLOOKUP(O218,'G-7 WaterC'' Data'!$AD$4:$AE$14,2,FALSE)))</f>
        <v/>
      </c>
      <c r="Q218" s="369" t="str">
        <f>IF(D218="","",VLOOKUP(D218,'G-7 WaterC'' Data'!$B$2:$G$8,6,FALSE))</f>
        <v/>
      </c>
      <c r="R218" s="376" t="str">
        <f>IFERROR(IF(D218="","",IF(AND(Q218='G-1 All Habitats'!$X$3,U218&gt;0),V218+W218,IF(AND(Q218='G-1 All Habitats'!$X$3,T218&gt;0),V218+W218,IF(AND(Q218='G-1 All Habitats'!$X$3,AD218&gt;0),"Any Loss Unacceptable ⚠",IF(AND(Q218='G-1 All Habitats'!$X$3,AE218&gt;0),"Any Loss Unacceptable ⚠", E218*G218*I218*L218*N218*P218 ))))),"Check Data ▲")</f>
        <v/>
      </c>
      <c r="S218" s="32"/>
      <c r="T218" s="114"/>
      <c r="U218" s="125"/>
      <c r="V218" s="374" t="str">
        <f t="shared" si="21"/>
        <v/>
      </c>
      <c r="W218" s="374" t="str">
        <f t="shared" si="22"/>
        <v/>
      </c>
      <c r="X218" s="374" t="str">
        <f t="shared" si="23"/>
        <v/>
      </c>
      <c r="Y218" s="670" t="str">
        <f t="shared" si="24"/>
        <v/>
      </c>
      <c r="Z218" s="706"/>
      <c r="AA218" s="704"/>
      <c r="AB218" s="120"/>
      <c r="AC218" s="120"/>
      <c r="AD218" s="57" t="str">
        <f>IF(Q218="","",IF(Q218='G-1 All Habitats'!$X$3,E218-T218-U218,"None"))</f>
        <v/>
      </c>
      <c r="AE218" s="58" t="str">
        <f>IF(Q218="","", IF(Q218='G-1 All Habitats'!$X$3, AD218*G218*I218*L218*N218*P218,"None"))</f>
        <v/>
      </c>
      <c r="AH218" s="30">
        <f t="shared" si="25"/>
        <v>0</v>
      </c>
      <c r="AI218" s="124" t="str">
        <f t="shared" si="26"/>
        <v/>
      </c>
      <c r="AJ218" s="124" t="str">
        <f t="shared" si="27"/>
        <v/>
      </c>
      <c r="AL218" s="124">
        <v>209</v>
      </c>
      <c r="AN218" s="124" t="str">
        <f t="array" ref="AN218">IFERROR(INDEX($AL$10:$AL$258, MATCH(0, IF(TRUE=$AI$10:$AI$258, COUNTIF($AN$9:$AN217, $AL$10:$AL$258), ""), 0)),"")</f>
        <v/>
      </c>
      <c r="AO218" s="124" t="str">
        <f t="array" ref="AO218">IFERROR(INDEX($AL$10:$AL$258, MATCH(0, IF(TRUE=$AJ$10:$AJ$258, COUNTIF($AO$9:$AO217, $AL$10:$AL$258), ""), 0)),"")</f>
        <v/>
      </c>
      <c r="AQ218" s="30" t="str">
        <f>IFERROR(INDEX('G-7 WaterC'' Data'!$AZ$3:$AZ$7,MATCH(D218,'G-7 WaterC'' Data'!$AY$3:$AY$7,0)),"")</f>
        <v/>
      </c>
      <c r="AR218" s="30" t="str">
        <f>IFERROR(INDEX('G-7 WaterC'' Data'!AZ218:AZ222,MATCH(D218,'G-7 WaterC'' Data'!$AY$10:$AY$14,0)),"")</f>
        <v/>
      </c>
    </row>
    <row r="219" spans="3:44" ht="15">
      <c r="C219" s="110">
        <v>210</v>
      </c>
      <c r="D219" s="338"/>
      <c r="E219" s="139"/>
      <c r="F219" s="362" t="str">
        <f>IF(D219="","",VLOOKUP(D219,'G-7 WaterC'' Data'!$B$2:$G$8,2,FALSE))</f>
        <v/>
      </c>
      <c r="G219" s="363" t="str">
        <f>IFERROR(VLOOKUP(F219,'G-7 WaterC'' Data'!$C$4:$D$8,2,FALSE),"")</f>
        <v/>
      </c>
      <c r="H219" s="114"/>
      <c r="I219" s="363" t="str">
        <f>IFERROR(INDEX('G-7 WaterC'' Data'!$H$4:$L$8,MATCH(D219,'G-7 WaterC'' Data'!$B$4:$B$8,0),MATCH(H219,'G-7 WaterC'' Data'!$H$3:$L$3,0)),"")</f>
        <v/>
      </c>
      <c r="J219" s="320"/>
      <c r="K219" s="398" t="str">
        <f>IF(J219="","",IF(VLOOKUP(J219,'G-7 WaterC'' Data'!$AK$4:$AM$6,2,FALSE)=0,"Spatial Data Missing ⚠",VLOOKUP(J219,'G-7 WaterC'' Data'!$AK$4:$AM$6,2,FALSE)))</f>
        <v/>
      </c>
      <c r="L219" s="368" t="str">
        <f>IF(J219="","",IF(VLOOKUP(J219,'G-7 WaterC'' Data'!$AK$4:$AM$9,3,FALSE)=0,"Spatial Data Missing ⚠",VLOOKUP(J219,'G-7 WaterC'' Data'!$AK$4:$AM$6,3,FALSE)))</f>
        <v/>
      </c>
      <c r="M219" s="54"/>
      <c r="N219" s="363" t="str">
        <f>IF(M219="","",IF(VLOOKUP(M219,'G-7 WaterC'' Data'!$AA$4:$AB$7,2,FALSE)=0,"Spatial Data Missing ⚠",VLOOKUP(M219,'G-7 WaterC'' Data'!$AA$4:$AB$7,2,FALSE)))</f>
        <v/>
      </c>
      <c r="O219" s="60"/>
      <c r="P219" s="363" t="str">
        <f>IF(O219="","",IF(VLOOKUP(O219,'G-7 WaterC'' Data'!$AD$4:$AE$14,2,FALSE)=0,"Spatial Data Missing ⚠",VLOOKUP(O219,'G-7 WaterC'' Data'!$AD$4:$AE$14,2,FALSE)))</f>
        <v/>
      </c>
      <c r="Q219" s="369" t="str">
        <f>IF(D219="","",VLOOKUP(D219,'G-7 WaterC'' Data'!$B$2:$G$8,6,FALSE))</f>
        <v/>
      </c>
      <c r="R219" s="376" t="str">
        <f>IFERROR(IF(D219="","",IF(AND(Q219='G-1 All Habitats'!$X$3,U219&gt;0),V219+W219,IF(AND(Q219='G-1 All Habitats'!$X$3,T219&gt;0),V219+W219,IF(AND(Q219='G-1 All Habitats'!$X$3,AD219&gt;0),"Any Loss Unacceptable ⚠",IF(AND(Q219='G-1 All Habitats'!$X$3,AE219&gt;0),"Any Loss Unacceptable ⚠", E219*G219*I219*L219*N219*P219 ))))),"Check Data ▲")</f>
        <v/>
      </c>
      <c r="S219" s="32"/>
      <c r="T219" s="114"/>
      <c r="U219" s="125"/>
      <c r="V219" s="374" t="str">
        <f t="shared" si="21"/>
        <v/>
      </c>
      <c r="W219" s="374" t="str">
        <f t="shared" si="22"/>
        <v/>
      </c>
      <c r="X219" s="374" t="str">
        <f t="shared" si="23"/>
        <v/>
      </c>
      <c r="Y219" s="670" t="str">
        <f t="shared" si="24"/>
        <v/>
      </c>
      <c r="Z219" s="706"/>
      <c r="AA219" s="704"/>
      <c r="AB219" s="120"/>
      <c r="AC219" s="120"/>
      <c r="AD219" s="57" t="str">
        <f>IF(Q219="","",IF(Q219='G-1 All Habitats'!$X$3,E219-T219-U219,"None"))</f>
        <v/>
      </c>
      <c r="AE219" s="58" t="str">
        <f>IF(Q219="","", IF(Q219='G-1 All Habitats'!$X$3, AD219*G219*I219*L219*N219*P219,"None"))</f>
        <v/>
      </c>
      <c r="AH219" s="30">
        <f t="shared" si="25"/>
        <v>0</v>
      </c>
      <c r="AI219" s="124" t="str">
        <f t="shared" si="26"/>
        <v/>
      </c>
      <c r="AJ219" s="124" t="str">
        <f t="shared" si="27"/>
        <v/>
      </c>
      <c r="AL219" s="124">
        <v>210</v>
      </c>
      <c r="AN219" s="124" t="str">
        <f t="array" ref="AN219">IFERROR(INDEX($AL$10:$AL$258, MATCH(0, IF(TRUE=$AI$10:$AI$258, COUNTIF($AN$9:$AN218, $AL$10:$AL$258), ""), 0)),"")</f>
        <v/>
      </c>
      <c r="AO219" s="124" t="str">
        <f t="array" ref="AO219">IFERROR(INDEX($AL$10:$AL$258, MATCH(0, IF(TRUE=$AJ$10:$AJ$258, COUNTIF($AO$9:$AO218, $AL$10:$AL$258), ""), 0)),"")</f>
        <v/>
      </c>
      <c r="AQ219" s="30" t="str">
        <f>IFERROR(INDEX('G-7 WaterC'' Data'!$AZ$3:$AZ$7,MATCH(D219,'G-7 WaterC'' Data'!$AY$3:$AY$7,0)),"")</f>
        <v/>
      </c>
      <c r="AR219" s="30" t="str">
        <f>IFERROR(INDEX('G-7 WaterC'' Data'!AZ219:AZ223,MATCH(D219,'G-7 WaterC'' Data'!$AY$10:$AY$14,0)),"")</f>
        <v/>
      </c>
    </row>
    <row r="220" spans="3:44" ht="15">
      <c r="C220" s="110">
        <v>211</v>
      </c>
      <c r="D220" s="338"/>
      <c r="E220" s="139"/>
      <c r="F220" s="362" t="str">
        <f>IF(D220="","",VLOOKUP(D220,'G-7 WaterC'' Data'!$B$2:$G$8,2,FALSE))</f>
        <v/>
      </c>
      <c r="G220" s="363" t="str">
        <f>IFERROR(VLOOKUP(F220,'G-7 WaterC'' Data'!$C$4:$D$8,2,FALSE),"")</f>
        <v/>
      </c>
      <c r="H220" s="114"/>
      <c r="I220" s="363" t="str">
        <f>IFERROR(INDEX('G-7 WaterC'' Data'!$H$4:$L$8,MATCH(D220,'G-7 WaterC'' Data'!$B$4:$B$8,0),MATCH(H220,'G-7 WaterC'' Data'!$H$3:$L$3,0)),"")</f>
        <v/>
      </c>
      <c r="J220" s="320"/>
      <c r="K220" s="398" t="str">
        <f>IF(J220="","",IF(VLOOKUP(J220,'G-7 WaterC'' Data'!$AK$4:$AM$6,2,FALSE)=0,"Spatial Data Missing ⚠",VLOOKUP(J220,'G-7 WaterC'' Data'!$AK$4:$AM$6,2,FALSE)))</f>
        <v/>
      </c>
      <c r="L220" s="368" t="str">
        <f>IF(J220="","",IF(VLOOKUP(J220,'G-7 WaterC'' Data'!$AK$4:$AM$9,3,FALSE)=0,"Spatial Data Missing ⚠",VLOOKUP(J220,'G-7 WaterC'' Data'!$AK$4:$AM$6,3,FALSE)))</f>
        <v/>
      </c>
      <c r="M220" s="54"/>
      <c r="N220" s="363" t="str">
        <f>IF(M220="","",IF(VLOOKUP(M220,'G-7 WaterC'' Data'!$AA$4:$AB$7,2,FALSE)=0,"Spatial Data Missing ⚠",VLOOKUP(M220,'G-7 WaterC'' Data'!$AA$4:$AB$7,2,FALSE)))</f>
        <v/>
      </c>
      <c r="O220" s="60"/>
      <c r="P220" s="363" t="str">
        <f>IF(O220="","",IF(VLOOKUP(O220,'G-7 WaterC'' Data'!$AD$4:$AE$14,2,FALSE)=0,"Spatial Data Missing ⚠",VLOOKUP(O220,'G-7 WaterC'' Data'!$AD$4:$AE$14,2,FALSE)))</f>
        <v/>
      </c>
      <c r="Q220" s="369" t="str">
        <f>IF(D220="","",VLOOKUP(D220,'G-7 WaterC'' Data'!$B$2:$G$8,6,FALSE))</f>
        <v/>
      </c>
      <c r="R220" s="376" t="str">
        <f>IFERROR(IF(D220="","",IF(AND(Q220='G-1 All Habitats'!$X$3,U220&gt;0),V220+W220,IF(AND(Q220='G-1 All Habitats'!$X$3,T220&gt;0),V220+W220,IF(AND(Q220='G-1 All Habitats'!$X$3,AD220&gt;0),"Any Loss Unacceptable ⚠",IF(AND(Q220='G-1 All Habitats'!$X$3,AE220&gt;0),"Any Loss Unacceptable ⚠", E220*G220*I220*L220*N220*P220 ))))),"Check Data ▲")</f>
        <v/>
      </c>
      <c r="S220" s="32"/>
      <c r="T220" s="114"/>
      <c r="U220" s="125"/>
      <c r="V220" s="374" t="str">
        <f t="shared" si="21"/>
        <v/>
      </c>
      <c r="W220" s="374" t="str">
        <f t="shared" si="22"/>
        <v/>
      </c>
      <c r="X220" s="374" t="str">
        <f t="shared" si="23"/>
        <v/>
      </c>
      <c r="Y220" s="670" t="str">
        <f t="shared" si="24"/>
        <v/>
      </c>
      <c r="Z220" s="706"/>
      <c r="AA220" s="704"/>
      <c r="AB220" s="120"/>
      <c r="AC220" s="120"/>
      <c r="AD220" s="57" t="str">
        <f>IF(Q220="","",IF(Q220='G-1 All Habitats'!$X$3,E220-T220-U220,"None"))</f>
        <v/>
      </c>
      <c r="AE220" s="58" t="str">
        <f>IF(Q220="","", IF(Q220='G-1 All Habitats'!$X$3, AD220*G220*I220*L220*N220*P220,"None"))</f>
        <v/>
      </c>
      <c r="AH220" s="30">
        <f t="shared" si="25"/>
        <v>0</v>
      </c>
      <c r="AI220" s="124" t="str">
        <f t="shared" si="26"/>
        <v/>
      </c>
      <c r="AJ220" s="124" t="str">
        <f t="shared" si="27"/>
        <v/>
      </c>
      <c r="AL220" s="124">
        <v>211</v>
      </c>
      <c r="AN220" s="124" t="str">
        <f t="array" ref="AN220">IFERROR(INDEX($AL$10:$AL$258, MATCH(0, IF(TRUE=$AI$10:$AI$258, COUNTIF($AN$9:$AN219, $AL$10:$AL$258), ""), 0)),"")</f>
        <v/>
      </c>
      <c r="AO220" s="124" t="str">
        <f t="array" ref="AO220">IFERROR(INDEX($AL$10:$AL$258, MATCH(0, IF(TRUE=$AJ$10:$AJ$258, COUNTIF($AO$9:$AO219, $AL$10:$AL$258), ""), 0)),"")</f>
        <v/>
      </c>
      <c r="AQ220" s="30" t="str">
        <f>IFERROR(INDEX('G-7 WaterC'' Data'!$AZ$3:$AZ$7,MATCH(D220,'G-7 WaterC'' Data'!$AY$3:$AY$7,0)),"")</f>
        <v/>
      </c>
      <c r="AR220" s="30" t="str">
        <f>IFERROR(INDEX('G-7 WaterC'' Data'!AZ220:AZ224,MATCH(D220,'G-7 WaterC'' Data'!$AY$10:$AY$14,0)),"")</f>
        <v/>
      </c>
    </row>
    <row r="221" spans="3:44" ht="15">
      <c r="C221" s="110">
        <v>212</v>
      </c>
      <c r="D221" s="338"/>
      <c r="E221" s="139"/>
      <c r="F221" s="362" t="str">
        <f>IF(D221="","",VLOOKUP(D221,'G-7 WaterC'' Data'!$B$2:$G$8,2,FALSE))</f>
        <v/>
      </c>
      <c r="G221" s="363" t="str">
        <f>IFERROR(VLOOKUP(F221,'G-7 WaterC'' Data'!$C$4:$D$8,2,FALSE),"")</f>
        <v/>
      </c>
      <c r="H221" s="114"/>
      <c r="I221" s="363" t="str">
        <f>IFERROR(INDEX('G-7 WaterC'' Data'!$H$4:$L$8,MATCH(D221,'G-7 WaterC'' Data'!$B$4:$B$8,0),MATCH(H221,'G-7 WaterC'' Data'!$H$3:$L$3,0)),"")</f>
        <v/>
      </c>
      <c r="J221" s="320"/>
      <c r="K221" s="398" t="str">
        <f>IF(J221="","",IF(VLOOKUP(J221,'G-7 WaterC'' Data'!$AK$4:$AM$6,2,FALSE)=0,"Spatial Data Missing ⚠",VLOOKUP(J221,'G-7 WaterC'' Data'!$AK$4:$AM$6,2,FALSE)))</f>
        <v/>
      </c>
      <c r="L221" s="368" t="str">
        <f>IF(J221="","",IF(VLOOKUP(J221,'G-7 WaterC'' Data'!$AK$4:$AM$9,3,FALSE)=0,"Spatial Data Missing ⚠",VLOOKUP(J221,'G-7 WaterC'' Data'!$AK$4:$AM$6,3,FALSE)))</f>
        <v/>
      </c>
      <c r="M221" s="54"/>
      <c r="N221" s="363" t="str">
        <f>IF(M221="","",IF(VLOOKUP(M221,'G-7 WaterC'' Data'!$AA$4:$AB$7,2,FALSE)=0,"Spatial Data Missing ⚠",VLOOKUP(M221,'G-7 WaterC'' Data'!$AA$4:$AB$7,2,FALSE)))</f>
        <v/>
      </c>
      <c r="O221" s="60"/>
      <c r="P221" s="363" t="str">
        <f>IF(O221="","",IF(VLOOKUP(O221,'G-7 WaterC'' Data'!$AD$4:$AE$14,2,FALSE)=0,"Spatial Data Missing ⚠",VLOOKUP(O221,'G-7 WaterC'' Data'!$AD$4:$AE$14,2,FALSE)))</f>
        <v/>
      </c>
      <c r="Q221" s="369" t="str">
        <f>IF(D221="","",VLOOKUP(D221,'G-7 WaterC'' Data'!$B$2:$G$8,6,FALSE))</f>
        <v/>
      </c>
      <c r="R221" s="376" t="str">
        <f>IFERROR(IF(D221="","",IF(AND(Q221='G-1 All Habitats'!$X$3,U221&gt;0),V221+W221,IF(AND(Q221='G-1 All Habitats'!$X$3,T221&gt;0),V221+W221,IF(AND(Q221='G-1 All Habitats'!$X$3,AD221&gt;0),"Any Loss Unacceptable ⚠",IF(AND(Q221='G-1 All Habitats'!$X$3,AE221&gt;0),"Any Loss Unacceptable ⚠", E221*G221*I221*L221*N221*P221 ))))),"Check Data ▲")</f>
        <v/>
      </c>
      <c r="S221" s="32"/>
      <c r="T221" s="114"/>
      <c r="U221" s="125"/>
      <c r="V221" s="374" t="str">
        <f t="shared" si="21"/>
        <v/>
      </c>
      <c r="W221" s="374" t="str">
        <f t="shared" si="22"/>
        <v/>
      </c>
      <c r="X221" s="374" t="str">
        <f t="shared" si="23"/>
        <v/>
      </c>
      <c r="Y221" s="670" t="str">
        <f t="shared" si="24"/>
        <v/>
      </c>
      <c r="Z221" s="706"/>
      <c r="AA221" s="704"/>
      <c r="AB221" s="120"/>
      <c r="AC221" s="120"/>
      <c r="AD221" s="57" t="str">
        <f>IF(Q221="","",IF(Q221='G-1 All Habitats'!$X$3,E221-T221-U221,"None"))</f>
        <v/>
      </c>
      <c r="AE221" s="58" t="str">
        <f>IF(Q221="","", IF(Q221='G-1 All Habitats'!$X$3, AD221*G221*I221*L221*N221*P221,"None"))</f>
        <v/>
      </c>
      <c r="AH221" s="30">
        <f t="shared" si="25"/>
        <v>0</v>
      </c>
      <c r="AI221" s="124" t="str">
        <f t="shared" si="26"/>
        <v/>
      </c>
      <c r="AJ221" s="124" t="str">
        <f t="shared" si="27"/>
        <v/>
      </c>
      <c r="AL221" s="124">
        <v>212</v>
      </c>
      <c r="AN221" s="124" t="str">
        <f t="array" ref="AN221">IFERROR(INDEX($AL$10:$AL$258, MATCH(0, IF(TRUE=$AI$10:$AI$258, COUNTIF($AN$9:$AN220, $AL$10:$AL$258), ""), 0)),"")</f>
        <v/>
      </c>
      <c r="AO221" s="124" t="str">
        <f t="array" ref="AO221">IFERROR(INDEX($AL$10:$AL$258, MATCH(0, IF(TRUE=$AJ$10:$AJ$258, COUNTIF($AO$9:$AO220, $AL$10:$AL$258), ""), 0)),"")</f>
        <v/>
      </c>
      <c r="AQ221" s="30" t="str">
        <f>IFERROR(INDEX('G-7 WaterC'' Data'!$AZ$3:$AZ$7,MATCH(D221,'G-7 WaterC'' Data'!$AY$3:$AY$7,0)),"")</f>
        <v/>
      </c>
      <c r="AR221" s="30" t="str">
        <f>IFERROR(INDEX('G-7 WaterC'' Data'!AZ221:AZ225,MATCH(D221,'G-7 WaterC'' Data'!$AY$10:$AY$14,0)),"")</f>
        <v/>
      </c>
    </row>
    <row r="222" spans="3:44" ht="15">
      <c r="C222" s="110">
        <v>213</v>
      </c>
      <c r="D222" s="338"/>
      <c r="E222" s="139"/>
      <c r="F222" s="362" t="str">
        <f>IF(D222="","",VLOOKUP(D222,'G-7 WaterC'' Data'!$B$2:$G$8,2,FALSE))</f>
        <v/>
      </c>
      <c r="G222" s="363" t="str">
        <f>IFERROR(VLOOKUP(F222,'G-7 WaterC'' Data'!$C$4:$D$8,2,FALSE),"")</f>
        <v/>
      </c>
      <c r="H222" s="114"/>
      <c r="I222" s="363" t="str">
        <f>IFERROR(INDEX('G-7 WaterC'' Data'!$H$4:$L$8,MATCH(D222,'G-7 WaterC'' Data'!$B$4:$B$8,0),MATCH(H222,'G-7 WaterC'' Data'!$H$3:$L$3,0)),"")</f>
        <v/>
      </c>
      <c r="J222" s="320"/>
      <c r="K222" s="398" t="str">
        <f>IF(J222="","",IF(VLOOKUP(J222,'G-7 WaterC'' Data'!$AK$4:$AM$6,2,FALSE)=0,"Spatial Data Missing ⚠",VLOOKUP(J222,'G-7 WaterC'' Data'!$AK$4:$AM$6,2,FALSE)))</f>
        <v/>
      </c>
      <c r="L222" s="368" t="str">
        <f>IF(J222="","",IF(VLOOKUP(J222,'G-7 WaterC'' Data'!$AK$4:$AM$9,3,FALSE)=0,"Spatial Data Missing ⚠",VLOOKUP(J222,'G-7 WaterC'' Data'!$AK$4:$AM$6,3,FALSE)))</f>
        <v/>
      </c>
      <c r="M222" s="54"/>
      <c r="N222" s="363" t="str">
        <f>IF(M222="","",IF(VLOOKUP(M222,'G-7 WaterC'' Data'!$AA$4:$AB$7,2,FALSE)=0,"Spatial Data Missing ⚠",VLOOKUP(M222,'G-7 WaterC'' Data'!$AA$4:$AB$7,2,FALSE)))</f>
        <v/>
      </c>
      <c r="O222" s="60"/>
      <c r="P222" s="363" t="str">
        <f>IF(O222="","",IF(VLOOKUP(O222,'G-7 WaterC'' Data'!$AD$4:$AE$14,2,FALSE)=0,"Spatial Data Missing ⚠",VLOOKUP(O222,'G-7 WaterC'' Data'!$AD$4:$AE$14,2,FALSE)))</f>
        <v/>
      </c>
      <c r="Q222" s="369" t="str">
        <f>IF(D222="","",VLOOKUP(D222,'G-7 WaterC'' Data'!$B$2:$G$8,6,FALSE))</f>
        <v/>
      </c>
      <c r="R222" s="376" t="str">
        <f>IFERROR(IF(D222="","",IF(AND(Q222='G-1 All Habitats'!$X$3,U222&gt;0),V222+W222,IF(AND(Q222='G-1 All Habitats'!$X$3,T222&gt;0),V222+W222,IF(AND(Q222='G-1 All Habitats'!$X$3,AD222&gt;0),"Any Loss Unacceptable ⚠",IF(AND(Q222='G-1 All Habitats'!$X$3,AE222&gt;0),"Any Loss Unacceptable ⚠", E222*G222*I222*L222*N222*P222 ))))),"Check Data ▲")</f>
        <v/>
      </c>
      <c r="S222" s="32"/>
      <c r="T222" s="114"/>
      <c r="U222" s="125"/>
      <c r="V222" s="374" t="str">
        <f t="shared" si="21"/>
        <v/>
      </c>
      <c r="W222" s="374" t="str">
        <f t="shared" si="22"/>
        <v/>
      </c>
      <c r="X222" s="374" t="str">
        <f t="shared" si="23"/>
        <v/>
      </c>
      <c r="Y222" s="670" t="str">
        <f t="shared" si="24"/>
        <v/>
      </c>
      <c r="Z222" s="706"/>
      <c r="AA222" s="704"/>
      <c r="AB222" s="120"/>
      <c r="AC222" s="120"/>
      <c r="AD222" s="57" t="str">
        <f>IF(Q222="","",IF(Q222='G-1 All Habitats'!$X$3,E222-T222-U222,"None"))</f>
        <v/>
      </c>
      <c r="AE222" s="58" t="str">
        <f>IF(Q222="","", IF(Q222='G-1 All Habitats'!$X$3, AD222*G222*I222*L222*N222*P222,"None"))</f>
        <v/>
      </c>
      <c r="AH222" s="30">
        <f t="shared" si="25"/>
        <v>0</v>
      </c>
      <c r="AI222" s="124" t="str">
        <f t="shared" si="26"/>
        <v/>
      </c>
      <c r="AJ222" s="124" t="str">
        <f t="shared" si="27"/>
        <v/>
      </c>
      <c r="AL222" s="124">
        <v>213</v>
      </c>
      <c r="AN222" s="124" t="str">
        <f t="array" ref="AN222">IFERROR(INDEX($AL$10:$AL$258, MATCH(0, IF(TRUE=$AI$10:$AI$258, COUNTIF($AN$9:$AN221, $AL$10:$AL$258), ""), 0)),"")</f>
        <v/>
      </c>
      <c r="AO222" s="124" t="str">
        <f t="array" ref="AO222">IFERROR(INDEX($AL$10:$AL$258, MATCH(0, IF(TRUE=$AJ$10:$AJ$258, COUNTIF($AO$9:$AO221, $AL$10:$AL$258), ""), 0)),"")</f>
        <v/>
      </c>
      <c r="AQ222" s="30" t="str">
        <f>IFERROR(INDEX('G-7 WaterC'' Data'!$AZ$3:$AZ$7,MATCH(D222,'G-7 WaterC'' Data'!$AY$3:$AY$7,0)),"")</f>
        <v/>
      </c>
      <c r="AR222" s="30" t="str">
        <f>IFERROR(INDEX('G-7 WaterC'' Data'!AZ222:AZ226,MATCH(D222,'G-7 WaterC'' Data'!$AY$10:$AY$14,0)),"")</f>
        <v/>
      </c>
    </row>
    <row r="223" spans="3:44" ht="15">
      <c r="C223" s="110">
        <v>214</v>
      </c>
      <c r="D223" s="338"/>
      <c r="E223" s="139"/>
      <c r="F223" s="362" t="str">
        <f>IF(D223="","",VLOOKUP(D223,'G-7 WaterC'' Data'!$B$2:$G$8,2,FALSE))</f>
        <v/>
      </c>
      <c r="G223" s="363" t="str">
        <f>IFERROR(VLOOKUP(F223,'G-7 WaterC'' Data'!$C$4:$D$8,2,FALSE),"")</f>
        <v/>
      </c>
      <c r="H223" s="114"/>
      <c r="I223" s="363" t="str">
        <f>IFERROR(INDEX('G-7 WaterC'' Data'!$H$4:$L$8,MATCH(D223,'G-7 WaterC'' Data'!$B$4:$B$8,0),MATCH(H223,'G-7 WaterC'' Data'!$H$3:$L$3,0)),"")</f>
        <v/>
      </c>
      <c r="J223" s="320"/>
      <c r="K223" s="398" t="str">
        <f>IF(J223="","",IF(VLOOKUP(J223,'G-7 WaterC'' Data'!$AK$4:$AM$6,2,FALSE)=0,"Spatial Data Missing ⚠",VLOOKUP(J223,'G-7 WaterC'' Data'!$AK$4:$AM$6,2,FALSE)))</f>
        <v/>
      </c>
      <c r="L223" s="368" t="str">
        <f>IF(J223="","",IF(VLOOKUP(J223,'G-7 WaterC'' Data'!$AK$4:$AM$9,3,FALSE)=0,"Spatial Data Missing ⚠",VLOOKUP(J223,'G-7 WaterC'' Data'!$AK$4:$AM$6,3,FALSE)))</f>
        <v/>
      </c>
      <c r="M223" s="54"/>
      <c r="N223" s="363" t="str">
        <f>IF(M223="","",IF(VLOOKUP(M223,'G-7 WaterC'' Data'!$AA$4:$AB$7,2,FALSE)=0,"Spatial Data Missing ⚠",VLOOKUP(M223,'G-7 WaterC'' Data'!$AA$4:$AB$7,2,FALSE)))</f>
        <v/>
      </c>
      <c r="O223" s="60"/>
      <c r="P223" s="363" t="str">
        <f>IF(O223="","",IF(VLOOKUP(O223,'G-7 WaterC'' Data'!$AD$4:$AE$14,2,FALSE)=0,"Spatial Data Missing ⚠",VLOOKUP(O223,'G-7 WaterC'' Data'!$AD$4:$AE$14,2,FALSE)))</f>
        <v/>
      </c>
      <c r="Q223" s="369" t="str">
        <f>IF(D223="","",VLOOKUP(D223,'G-7 WaterC'' Data'!$B$2:$G$8,6,FALSE))</f>
        <v/>
      </c>
      <c r="R223" s="376" t="str">
        <f>IFERROR(IF(D223="","",IF(AND(Q223='G-1 All Habitats'!$X$3,U223&gt;0),V223+W223,IF(AND(Q223='G-1 All Habitats'!$X$3,T223&gt;0),V223+W223,IF(AND(Q223='G-1 All Habitats'!$X$3,AD223&gt;0),"Any Loss Unacceptable ⚠",IF(AND(Q223='G-1 All Habitats'!$X$3,AE223&gt;0),"Any Loss Unacceptable ⚠", E223*G223*I223*L223*N223*P223 ))))),"Check Data ▲")</f>
        <v/>
      </c>
      <c r="S223" s="32"/>
      <c r="T223" s="114"/>
      <c r="U223" s="125"/>
      <c r="V223" s="374" t="str">
        <f t="shared" si="21"/>
        <v/>
      </c>
      <c r="W223" s="374" t="str">
        <f t="shared" si="22"/>
        <v/>
      </c>
      <c r="X223" s="374" t="str">
        <f t="shared" si="23"/>
        <v/>
      </c>
      <c r="Y223" s="670" t="str">
        <f t="shared" si="24"/>
        <v/>
      </c>
      <c r="Z223" s="706"/>
      <c r="AA223" s="704"/>
      <c r="AB223" s="120"/>
      <c r="AC223" s="120"/>
      <c r="AD223" s="57" t="str">
        <f>IF(Q223="","",IF(Q223='G-1 All Habitats'!$X$3,E223-T223-U223,"None"))</f>
        <v/>
      </c>
      <c r="AE223" s="58" t="str">
        <f>IF(Q223="","", IF(Q223='G-1 All Habitats'!$X$3, AD223*G223*I223*L223*N223*P223,"None"))</f>
        <v/>
      </c>
      <c r="AH223" s="30">
        <f t="shared" si="25"/>
        <v>0</v>
      </c>
      <c r="AI223" s="124" t="str">
        <f t="shared" si="26"/>
        <v/>
      </c>
      <c r="AJ223" s="124" t="str">
        <f t="shared" si="27"/>
        <v/>
      </c>
      <c r="AL223" s="124">
        <v>214</v>
      </c>
      <c r="AN223" s="124" t="str">
        <f t="array" ref="AN223">IFERROR(INDEX($AL$10:$AL$258, MATCH(0, IF(TRUE=$AI$10:$AI$258, COUNTIF($AN$9:$AN222, $AL$10:$AL$258), ""), 0)),"")</f>
        <v/>
      </c>
      <c r="AO223" s="124" t="str">
        <f t="array" ref="AO223">IFERROR(INDEX($AL$10:$AL$258, MATCH(0, IF(TRUE=$AJ$10:$AJ$258, COUNTIF($AO$9:$AO222, $AL$10:$AL$258), ""), 0)),"")</f>
        <v/>
      </c>
      <c r="AQ223" s="30" t="str">
        <f>IFERROR(INDEX('G-7 WaterC'' Data'!$AZ$3:$AZ$7,MATCH(D223,'G-7 WaterC'' Data'!$AY$3:$AY$7,0)),"")</f>
        <v/>
      </c>
      <c r="AR223" s="30" t="str">
        <f>IFERROR(INDEX('G-7 WaterC'' Data'!AZ223:AZ227,MATCH(D223,'G-7 WaterC'' Data'!$AY$10:$AY$14,0)),"")</f>
        <v/>
      </c>
    </row>
    <row r="224" spans="3:44" ht="15">
      <c r="C224" s="110">
        <v>215</v>
      </c>
      <c r="D224" s="338"/>
      <c r="E224" s="139"/>
      <c r="F224" s="362" t="str">
        <f>IF(D224="","",VLOOKUP(D224,'G-7 WaterC'' Data'!$B$2:$G$8,2,FALSE))</f>
        <v/>
      </c>
      <c r="G224" s="363" t="str">
        <f>IFERROR(VLOOKUP(F224,'G-7 WaterC'' Data'!$C$4:$D$8,2,FALSE),"")</f>
        <v/>
      </c>
      <c r="H224" s="114"/>
      <c r="I224" s="363" t="str">
        <f>IFERROR(INDEX('G-7 WaterC'' Data'!$H$4:$L$8,MATCH(D224,'G-7 WaterC'' Data'!$B$4:$B$8,0),MATCH(H224,'G-7 WaterC'' Data'!$H$3:$L$3,0)),"")</f>
        <v/>
      </c>
      <c r="J224" s="320"/>
      <c r="K224" s="398" t="str">
        <f>IF(J224="","",IF(VLOOKUP(J224,'G-7 WaterC'' Data'!$AK$4:$AM$6,2,FALSE)=0,"Spatial Data Missing ⚠",VLOOKUP(J224,'G-7 WaterC'' Data'!$AK$4:$AM$6,2,FALSE)))</f>
        <v/>
      </c>
      <c r="L224" s="368" t="str">
        <f>IF(J224="","",IF(VLOOKUP(J224,'G-7 WaterC'' Data'!$AK$4:$AM$9,3,FALSE)=0,"Spatial Data Missing ⚠",VLOOKUP(J224,'G-7 WaterC'' Data'!$AK$4:$AM$6,3,FALSE)))</f>
        <v/>
      </c>
      <c r="M224" s="54"/>
      <c r="N224" s="363" t="str">
        <f>IF(M224="","",IF(VLOOKUP(M224,'G-7 WaterC'' Data'!$AA$4:$AB$7,2,FALSE)=0,"Spatial Data Missing ⚠",VLOOKUP(M224,'G-7 WaterC'' Data'!$AA$4:$AB$7,2,FALSE)))</f>
        <v/>
      </c>
      <c r="O224" s="60"/>
      <c r="P224" s="363" t="str">
        <f>IF(O224="","",IF(VLOOKUP(O224,'G-7 WaterC'' Data'!$AD$4:$AE$14,2,FALSE)=0,"Spatial Data Missing ⚠",VLOOKUP(O224,'G-7 WaterC'' Data'!$AD$4:$AE$14,2,FALSE)))</f>
        <v/>
      </c>
      <c r="Q224" s="369" t="str">
        <f>IF(D224="","",VLOOKUP(D224,'G-7 WaterC'' Data'!$B$2:$G$8,6,FALSE))</f>
        <v/>
      </c>
      <c r="R224" s="376" t="str">
        <f>IFERROR(IF(D224="","",IF(AND(Q224='G-1 All Habitats'!$X$3,U224&gt;0),V224+W224,IF(AND(Q224='G-1 All Habitats'!$X$3,T224&gt;0),V224+W224,IF(AND(Q224='G-1 All Habitats'!$X$3,AD224&gt;0),"Any Loss Unacceptable ⚠",IF(AND(Q224='G-1 All Habitats'!$X$3,AE224&gt;0),"Any Loss Unacceptable ⚠", E224*G224*I224*L224*N224*P224 ))))),"Check Data ▲")</f>
        <v/>
      </c>
      <c r="S224" s="32"/>
      <c r="T224" s="114"/>
      <c r="U224" s="125"/>
      <c r="V224" s="374" t="str">
        <f t="shared" si="21"/>
        <v/>
      </c>
      <c r="W224" s="374" t="str">
        <f t="shared" si="22"/>
        <v/>
      </c>
      <c r="X224" s="374" t="str">
        <f t="shared" si="23"/>
        <v/>
      </c>
      <c r="Y224" s="670" t="str">
        <f t="shared" si="24"/>
        <v/>
      </c>
      <c r="Z224" s="706"/>
      <c r="AA224" s="704"/>
      <c r="AB224" s="120"/>
      <c r="AC224" s="120"/>
      <c r="AD224" s="57" t="str">
        <f>IF(Q224="","",IF(Q224='G-1 All Habitats'!$X$3,E224-T224-U224,"None"))</f>
        <v/>
      </c>
      <c r="AE224" s="58" t="str">
        <f>IF(Q224="","", IF(Q224='G-1 All Habitats'!$X$3, AD224*G224*I224*L224*N224*P224,"None"))</f>
        <v/>
      </c>
      <c r="AH224" s="30">
        <f t="shared" si="25"/>
        <v>0</v>
      </c>
      <c r="AI224" s="124" t="str">
        <f t="shared" si="26"/>
        <v/>
      </c>
      <c r="AJ224" s="124" t="str">
        <f t="shared" si="27"/>
        <v/>
      </c>
      <c r="AL224" s="124">
        <v>215</v>
      </c>
      <c r="AN224" s="124" t="str">
        <f t="array" ref="AN224">IFERROR(INDEX($AL$10:$AL$258, MATCH(0, IF(TRUE=$AI$10:$AI$258, COUNTIF($AN$9:$AN223, $AL$10:$AL$258), ""), 0)),"")</f>
        <v/>
      </c>
      <c r="AO224" s="124" t="str">
        <f t="array" ref="AO224">IFERROR(INDEX($AL$10:$AL$258, MATCH(0, IF(TRUE=$AJ$10:$AJ$258, COUNTIF($AO$9:$AO223, $AL$10:$AL$258), ""), 0)),"")</f>
        <v/>
      </c>
      <c r="AQ224" s="30" t="str">
        <f>IFERROR(INDEX('G-7 WaterC'' Data'!$AZ$3:$AZ$7,MATCH(D224,'G-7 WaterC'' Data'!$AY$3:$AY$7,0)),"")</f>
        <v/>
      </c>
      <c r="AR224" s="30" t="str">
        <f>IFERROR(INDEX('G-7 WaterC'' Data'!AZ224:AZ228,MATCH(D224,'G-7 WaterC'' Data'!$AY$10:$AY$14,0)),"")</f>
        <v/>
      </c>
    </row>
    <row r="225" spans="3:44" ht="15">
      <c r="C225" s="110">
        <v>216</v>
      </c>
      <c r="D225" s="338"/>
      <c r="E225" s="139"/>
      <c r="F225" s="362" t="str">
        <f>IF(D225="","",VLOOKUP(D225,'G-7 WaterC'' Data'!$B$2:$G$8,2,FALSE))</f>
        <v/>
      </c>
      <c r="G225" s="363" t="str">
        <f>IFERROR(VLOOKUP(F225,'G-7 WaterC'' Data'!$C$4:$D$8,2,FALSE),"")</f>
        <v/>
      </c>
      <c r="H225" s="114"/>
      <c r="I225" s="363" t="str">
        <f>IFERROR(INDEX('G-7 WaterC'' Data'!$H$4:$L$8,MATCH(D225,'G-7 WaterC'' Data'!$B$4:$B$8,0),MATCH(H225,'G-7 WaterC'' Data'!$H$3:$L$3,0)),"")</f>
        <v/>
      </c>
      <c r="J225" s="320"/>
      <c r="K225" s="398" t="str">
        <f>IF(J225="","",IF(VLOOKUP(J225,'G-7 WaterC'' Data'!$AK$4:$AM$6,2,FALSE)=0,"Spatial Data Missing ⚠",VLOOKUP(J225,'G-7 WaterC'' Data'!$AK$4:$AM$6,2,FALSE)))</f>
        <v/>
      </c>
      <c r="L225" s="368" t="str">
        <f>IF(J225="","",IF(VLOOKUP(J225,'G-7 WaterC'' Data'!$AK$4:$AM$9,3,FALSE)=0,"Spatial Data Missing ⚠",VLOOKUP(J225,'G-7 WaterC'' Data'!$AK$4:$AM$6,3,FALSE)))</f>
        <v/>
      </c>
      <c r="M225" s="54"/>
      <c r="N225" s="363" t="str">
        <f>IF(M225="","",IF(VLOOKUP(M225,'G-7 WaterC'' Data'!$AA$4:$AB$7,2,FALSE)=0,"Spatial Data Missing ⚠",VLOOKUP(M225,'G-7 WaterC'' Data'!$AA$4:$AB$7,2,FALSE)))</f>
        <v/>
      </c>
      <c r="O225" s="60"/>
      <c r="P225" s="363" t="str">
        <f>IF(O225="","",IF(VLOOKUP(O225,'G-7 WaterC'' Data'!$AD$4:$AE$14,2,FALSE)=0,"Spatial Data Missing ⚠",VLOOKUP(O225,'G-7 WaterC'' Data'!$AD$4:$AE$14,2,FALSE)))</f>
        <v/>
      </c>
      <c r="Q225" s="369" t="str">
        <f>IF(D225="","",VLOOKUP(D225,'G-7 WaterC'' Data'!$B$2:$G$8,6,FALSE))</f>
        <v/>
      </c>
      <c r="R225" s="376" t="str">
        <f>IFERROR(IF(D225="","",IF(AND(Q225='G-1 All Habitats'!$X$3,U225&gt;0),V225+W225,IF(AND(Q225='G-1 All Habitats'!$X$3,T225&gt;0),V225+W225,IF(AND(Q225='G-1 All Habitats'!$X$3,AD225&gt;0),"Any Loss Unacceptable ⚠",IF(AND(Q225='G-1 All Habitats'!$X$3,AE225&gt;0),"Any Loss Unacceptable ⚠", E225*G225*I225*L225*N225*P225 ))))),"Check Data ▲")</f>
        <v/>
      </c>
      <c r="S225" s="32"/>
      <c r="T225" s="114"/>
      <c r="U225" s="125"/>
      <c r="V225" s="374" t="str">
        <f t="shared" si="21"/>
        <v/>
      </c>
      <c r="W225" s="374" t="str">
        <f t="shared" si="22"/>
        <v/>
      </c>
      <c r="X225" s="374" t="str">
        <f t="shared" si="23"/>
        <v/>
      </c>
      <c r="Y225" s="670" t="str">
        <f t="shared" si="24"/>
        <v/>
      </c>
      <c r="Z225" s="706"/>
      <c r="AA225" s="704"/>
      <c r="AB225" s="120"/>
      <c r="AC225" s="120"/>
      <c r="AD225" s="57" t="str">
        <f>IF(Q225="","",IF(Q225='G-1 All Habitats'!$X$3,E225-T225-U225,"None"))</f>
        <v/>
      </c>
      <c r="AE225" s="58" t="str">
        <f>IF(Q225="","", IF(Q225='G-1 All Habitats'!$X$3, AD225*G225*I225*L225*N225*P225,"None"))</f>
        <v/>
      </c>
      <c r="AH225" s="30">
        <f t="shared" si="25"/>
        <v>0</v>
      </c>
      <c r="AI225" s="124" t="str">
        <f t="shared" si="26"/>
        <v/>
      </c>
      <c r="AJ225" s="124" t="str">
        <f t="shared" si="27"/>
        <v/>
      </c>
      <c r="AL225" s="124">
        <v>216</v>
      </c>
      <c r="AN225" s="124" t="str">
        <f t="array" ref="AN225">IFERROR(INDEX($AL$10:$AL$258, MATCH(0, IF(TRUE=$AI$10:$AI$258, COUNTIF($AN$9:$AN224, $AL$10:$AL$258), ""), 0)),"")</f>
        <v/>
      </c>
      <c r="AO225" s="124" t="str">
        <f t="array" ref="AO225">IFERROR(INDEX($AL$10:$AL$258, MATCH(0, IF(TRUE=$AJ$10:$AJ$258, COUNTIF($AO$9:$AO224, $AL$10:$AL$258), ""), 0)),"")</f>
        <v/>
      </c>
      <c r="AQ225" s="30" t="str">
        <f>IFERROR(INDEX('G-7 WaterC'' Data'!$AZ$3:$AZ$7,MATCH(D225,'G-7 WaterC'' Data'!$AY$3:$AY$7,0)),"")</f>
        <v/>
      </c>
      <c r="AR225" s="30" t="str">
        <f>IFERROR(INDEX('G-7 WaterC'' Data'!AZ225:AZ229,MATCH(D225,'G-7 WaterC'' Data'!$AY$10:$AY$14,0)),"")</f>
        <v/>
      </c>
    </row>
    <row r="226" spans="3:44" ht="15">
      <c r="C226" s="110">
        <v>217</v>
      </c>
      <c r="D226" s="338"/>
      <c r="E226" s="139"/>
      <c r="F226" s="362" t="str">
        <f>IF(D226="","",VLOOKUP(D226,'G-7 WaterC'' Data'!$B$2:$G$8,2,FALSE))</f>
        <v/>
      </c>
      <c r="G226" s="363" t="str">
        <f>IFERROR(VLOOKUP(F226,'G-7 WaterC'' Data'!$C$4:$D$8,2,FALSE),"")</f>
        <v/>
      </c>
      <c r="H226" s="114"/>
      <c r="I226" s="363" t="str">
        <f>IFERROR(INDEX('G-7 WaterC'' Data'!$H$4:$L$8,MATCH(D226,'G-7 WaterC'' Data'!$B$4:$B$8,0),MATCH(H226,'G-7 WaterC'' Data'!$H$3:$L$3,0)),"")</f>
        <v/>
      </c>
      <c r="J226" s="320"/>
      <c r="K226" s="398" t="str">
        <f>IF(J226="","",IF(VLOOKUP(J226,'G-7 WaterC'' Data'!$AK$4:$AM$6,2,FALSE)=0,"Spatial Data Missing ⚠",VLOOKUP(J226,'G-7 WaterC'' Data'!$AK$4:$AM$6,2,FALSE)))</f>
        <v/>
      </c>
      <c r="L226" s="368" t="str">
        <f>IF(J226="","",IF(VLOOKUP(J226,'G-7 WaterC'' Data'!$AK$4:$AM$9,3,FALSE)=0,"Spatial Data Missing ⚠",VLOOKUP(J226,'G-7 WaterC'' Data'!$AK$4:$AM$6,3,FALSE)))</f>
        <v/>
      </c>
      <c r="M226" s="54"/>
      <c r="N226" s="363" t="str">
        <f>IF(M226="","",IF(VLOOKUP(M226,'G-7 WaterC'' Data'!$AA$4:$AB$7,2,FALSE)=0,"Spatial Data Missing ⚠",VLOOKUP(M226,'G-7 WaterC'' Data'!$AA$4:$AB$7,2,FALSE)))</f>
        <v/>
      </c>
      <c r="O226" s="60"/>
      <c r="P226" s="363" t="str">
        <f>IF(O226="","",IF(VLOOKUP(O226,'G-7 WaterC'' Data'!$AD$4:$AE$14,2,FALSE)=0,"Spatial Data Missing ⚠",VLOOKUP(O226,'G-7 WaterC'' Data'!$AD$4:$AE$14,2,FALSE)))</f>
        <v/>
      </c>
      <c r="Q226" s="369" t="str">
        <f>IF(D226="","",VLOOKUP(D226,'G-7 WaterC'' Data'!$B$2:$G$8,6,FALSE))</f>
        <v/>
      </c>
      <c r="R226" s="376" t="str">
        <f>IFERROR(IF(D226="","",IF(AND(Q226='G-1 All Habitats'!$X$3,U226&gt;0),V226+W226,IF(AND(Q226='G-1 All Habitats'!$X$3,T226&gt;0),V226+W226,IF(AND(Q226='G-1 All Habitats'!$X$3,AD226&gt;0),"Any Loss Unacceptable ⚠",IF(AND(Q226='G-1 All Habitats'!$X$3,AE226&gt;0),"Any Loss Unacceptable ⚠", E226*G226*I226*L226*N226*P226 ))))),"Check Data ▲")</f>
        <v/>
      </c>
      <c r="S226" s="32"/>
      <c r="T226" s="114"/>
      <c r="U226" s="125"/>
      <c r="V226" s="374" t="str">
        <f t="shared" si="21"/>
        <v/>
      </c>
      <c r="W226" s="374" t="str">
        <f t="shared" si="22"/>
        <v/>
      </c>
      <c r="X226" s="374" t="str">
        <f t="shared" si="23"/>
        <v/>
      </c>
      <c r="Y226" s="670" t="str">
        <f t="shared" si="24"/>
        <v/>
      </c>
      <c r="Z226" s="706"/>
      <c r="AA226" s="704"/>
      <c r="AB226" s="120"/>
      <c r="AC226" s="120"/>
      <c r="AD226" s="57" t="str">
        <f>IF(Q226="","",IF(Q226='G-1 All Habitats'!$X$3,E226-T226-U226,"None"))</f>
        <v/>
      </c>
      <c r="AE226" s="58" t="str">
        <f>IF(Q226="","", IF(Q226='G-1 All Habitats'!$X$3, AD226*G226*I226*L226*N226*P226,"None"))</f>
        <v/>
      </c>
      <c r="AH226" s="30">
        <f t="shared" si="25"/>
        <v>0</v>
      </c>
      <c r="AI226" s="124" t="str">
        <f t="shared" si="26"/>
        <v/>
      </c>
      <c r="AJ226" s="124" t="str">
        <f t="shared" si="27"/>
        <v/>
      </c>
      <c r="AL226" s="124">
        <v>217</v>
      </c>
      <c r="AN226" s="124" t="str">
        <f t="array" ref="AN226">IFERROR(INDEX($AL$10:$AL$258, MATCH(0, IF(TRUE=$AI$10:$AI$258, COUNTIF($AN$9:$AN225, $AL$10:$AL$258), ""), 0)),"")</f>
        <v/>
      </c>
      <c r="AO226" s="124" t="str">
        <f t="array" ref="AO226">IFERROR(INDEX($AL$10:$AL$258, MATCH(0, IF(TRUE=$AJ$10:$AJ$258, COUNTIF($AO$9:$AO225, $AL$10:$AL$258), ""), 0)),"")</f>
        <v/>
      </c>
      <c r="AQ226" s="30" t="str">
        <f>IFERROR(INDEX('G-7 WaterC'' Data'!$AZ$3:$AZ$7,MATCH(D226,'G-7 WaterC'' Data'!$AY$3:$AY$7,0)),"")</f>
        <v/>
      </c>
      <c r="AR226" s="30" t="str">
        <f>IFERROR(INDEX('G-7 WaterC'' Data'!AZ226:AZ230,MATCH(D226,'G-7 WaterC'' Data'!$AY$10:$AY$14,0)),"")</f>
        <v/>
      </c>
    </row>
    <row r="227" spans="3:44" ht="15">
      <c r="C227" s="110">
        <v>218</v>
      </c>
      <c r="D227" s="338"/>
      <c r="E227" s="139"/>
      <c r="F227" s="362" t="str">
        <f>IF(D227="","",VLOOKUP(D227,'G-7 WaterC'' Data'!$B$2:$G$8,2,FALSE))</f>
        <v/>
      </c>
      <c r="G227" s="363" t="str">
        <f>IFERROR(VLOOKUP(F227,'G-7 WaterC'' Data'!$C$4:$D$8,2,FALSE),"")</f>
        <v/>
      </c>
      <c r="H227" s="114"/>
      <c r="I227" s="363" t="str">
        <f>IFERROR(INDEX('G-7 WaterC'' Data'!$H$4:$L$8,MATCH(D227,'G-7 WaterC'' Data'!$B$4:$B$8,0),MATCH(H227,'G-7 WaterC'' Data'!$H$3:$L$3,0)),"")</f>
        <v/>
      </c>
      <c r="J227" s="320"/>
      <c r="K227" s="398" t="str">
        <f>IF(J227="","",IF(VLOOKUP(J227,'G-7 WaterC'' Data'!$AK$4:$AM$6,2,FALSE)=0,"Spatial Data Missing ⚠",VLOOKUP(J227,'G-7 WaterC'' Data'!$AK$4:$AM$6,2,FALSE)))</f>
        <v/>
      </c>
      <c r="L227" s="368" t="str">
        <f>IF(J227="","",IF(VLOOKUP(J227,'G-7 WaterC'' Data'!$AK$4:$AM$9,3,FALSE)=0,"Spatial Data Missing ⚠",VLOOKUP(J227,'G-7 WaterC'' Data'!$AK$4:$AM$6,3,FALSE)))</f>
        <v/>
      </c>
      <c r="M227" s="54"/>
      <c r="N227" s="363" t="str">
        <f>IF(M227="","",IF(VLOOKUP(M227,'G-7 WaterC'' Data'!$AA$4:$AB$7,2,FALSE)=0,"Spatial Data Missing ⚠",VLOOKUP(M227,'G-7 WaterC'' Data'!$AA$4:$AB$7,2,FALSE)))</f>
        <v/>
      </c>
      <c r="O227" s="60"/>
      <c r="P227" s="363" t="str">
        <f>IF(O227="","",IF(VLOOKUP(O227,'G-7 WaterC'' Data'!$AD$4:$AE$14,2,FALSE)=0,"Spatial Data Missing ⚠",VLOOKUP(O227,'G-7 WaterC'' Data'!$AD$4:$AE$14,2,FALSE)))</f>
        <v/>
      </c>
      <c r="Q227" s="369" t="str">
        <f>IF(D227="","",VLOOKUP(D227,'G-7 WaterC'' Data'!$B$2:$G$8,6,FALSE))</f>
        <v/>
      </c>
      <c r="R227" s="376" t="str">
        <f>IFERROR(IF(D227="","",IF(AND(Q227='G-1 All Habitats'!$X$3,U227&gt;0),V227+W227,IF(AND(Q227='G-1 All Habitats'!$X$3,T227&gt;0),V227+W227,IF(AND(Q227='G-1 All Habitats'!$X$3,AD227&gt;0),"Any Loss Unacceptable ⚠",IF(AND(Q227='G-1 All Habitats'!$X$3,AE227&gt;0),"Any Loss Unacceptable ⚠", E227*G227*I227*L227*N227*P227 ))))),"Check Data ▲")</f>
        <v/>
      </c>
      <c r="S227" s="32"/>
      <c r="T227" s="114"/>
      <c r="U227" s="125"/>
      <c r="V227" s="374" t="str">
        <f t="shared" si="21"/>
        <v/>
      </c>
      <c r="W227" s="374" t="str">
        <f t="shared" si="22"/>
        <v/>
      </c>
      <c r="X227" s="374" t="str">
        <f t="shared" si="23"/>
        <v/>
      </c>
      <c r="Y227" s="670" t="str">
        <f t="shared" si="24"/>
        <v/>
      </c>
      <c r="Z227" s="706"/>
      <c r="AA227" s="704"/>
      <c r="AB227" s="120"/>
      <c r="AC227" s="120"/>
      <c r="AD227" s="57" t="str">
        <f>IF(Q227="","",IF(Q227='G-1 All Habitats'!$X$3,E227-T227-U227,"None"))</f>
        <v/>
      </c>
      <c r="AE227" s="58" t="str">
        <f>IF(Q227="","", IF(Q227='G-1 All Habitats'!$X$3, AD227*G227*I227*L227*N227*P227,"None"))</f>
        <v/>
      </c>
      <c r="AH227" s="30">
        <f t="shared" si="25"/>
        <v>0</v>
      </c>
      <c r="AI227" s="124" t="str">
        <f t="shared" si="26"/>
        <v/>
      </c>
      <c r="AJ227" s="124" t="str">
        <f t="shared" si="27"/>
        <v/>
      </c>
      <c r="AL227" s="124">
        <v>218</v>
      </c>
      <c r="AN227" s="124" t="str">
        <f t="array" ref="AN227">IFERROR(INDEX($AL$10:$AL$258, MATCH(0, IF(TRUE=$AI$10:$AI$258, COUNTIF($AN$9:$AN226, $AL$10:$AL$258), ""), 0)),"")</f>
        <v/>
      </c>
      <c r="AO227" s="124" t="str">
        <f t="array" ref="AO227">IFERROR(INDEX($AL$10:$AL$258, MATCH(0, IF(TRUE=$AJ$10:$AJ$258, COUNTIF($AO$9:$AO226, $AL$10:$AL$258), ""), 0)),"")</f>
        <v/>
      </c>
      <c r="AQ227" s="30" t="str">
        <f>IFERROR(INDEX('G-7 WaterC'' Data'!$AZ$3:$AZ$7,MATCH(D227,'G-7 WaterC'' Data'!$AY$3:$AY$7,0)),"")</f>
        <v/>
      </c>
      <c r="AR227" s="30" t="str">
        <f>IFERROR(INDEX('G-7 WaterC'' Data'!AZ227:AZ231,MATCH(D227,'G-7 WaterC'' Data'!$AY$10:$AY$14,0)),"")</f>
        <v/>
      </c>
    </row>
    <row r="228" spans="3:44" ht="15">
      <c r="C228" s="110">
        <v>219</v>
      </c>
      <c r="D228" s="338"/>
      <c r="E228" s="139"/>
      <c r="F228" s="362" t="str">
        <f>IF(D228="","",VLOOKUP(D228,'G-7 WaterC'' Data'!$B$2:$G$8,2,FALSE))</f>
        <v/>
      </c>
      <c r="G228" s="363" t="str">
        <f>IFERROR(VLOOKUP(F228,'G-7 WaterC'' Data'!$C$4:$D$8,2,FALSE),"")</f>
        <v/>
      </c>
      <c r="H228" s="114"/>
      <c r="I228" s="363" t="str">
        <f>IFERROR(INDEX('G-7 WaterC'' Data'!$H$4:$L$8,MATCH(D228,'G-7 WaterC'' Data'!$B$4:$B$8,0),MATCH(H228,'G-7 WaterC'' Data'!$H$3:$L$3,0)),"")</f>
        <v/>
      </c>
      <c r="J228" s="320"/>
      <c r="K228" s="398" t="str">
        <f>IF(J228="","",IF(VLOOKUP(J228,'G-7 WaterC'' Data'!$AK$4:$AM$6,2,FALSE)=0,"Spatial Data Missing ⚠",VLOOKUP(J228,'G-7 WaterC'' Data'!$AK$4:$AM$6,2,FALSE)))</f>
        <v/>
      </c>
      <c r="L228" s="368" t="str">
        <f>IF(J228="","",IF(VLOOKUP(J228,'G-7 WaterC'' Data'!$AK$4:$AM$9,3,FALSE)=0,"Spatial Data Missing ⚠",VLOOKUP(J228,'G-7 WaterC'' Data'!$AK$4:$AM$6,3,FALSE)))</f>
        <v/>
      </c>
      <c r="M228" s="54"/>
      <c r="N228" s="363" t="str">
        <f>IF(M228="","",IF(VLOOKUP(M228,'G-7 WaterC'' Data'!$AA$4:$AB$7,2,FALSE)=0,"Spatial Data Missing ⚠",VLOOKUP(M228,'G-7 WaterC'' Data'!$AA$4:$AB$7,2,FALSE)))</f>
        <v/>
      </c>
      <c r="O228" s="60"/>
      <c r="P228" s="363" t="str">
        <f>IF(O228="","",IF(VLOOKUP(O228,'G-7 WaterC'' Data'!$AD$4:$AE$14,2,FALSE)=0,"Spatial Data Missing ⚠",VLOOKUP(O228,'G-7 WaterC'' Data'!$AD$4:$AE$14,2,FALSE)))</f>
        <v/>
      </c>
      <c r="Q228" s="369" t="str">
        <f>IF(D228="","",VLOOKUP(D228,'G-7 WaterC'' Data'!$B$2:$G$8,6,FALSE))</f>
        <v/>
      </c>
      <c r="R228" s="376" t="str">
        <f>IFERROR(IF(D228="","",IF(AND(Q228='G-1 All Habitats'!$X$3,U228&gt;0),V228+W228,IF(AND(Q228='G-1 All Habitats'!$X$3,T228&gt;0),V228+W228,IF(AND(Q228='G-1 All Habitats'!$X$3,AD228&gt;0),"Any Loss Unacceptable ⚠",IF(AND(Q228='G-1 All Habitats'!$X$3,AE228&gt;0),"Any Loss Unacceptable ⚠", E228*G228*I228*L228*N228*P228 ))))),"Check Data ▲")</f>
        <v/>
      </c>
      <c r="S228" s="32"/>
      <c r="T228" s="114"/>
      <c r="U228" s="125"/>
      <c r="V228" s="374" t="str">
        <f t="shared" si="21"/>
        <v/>
      </c>
      <c r="W228" s="374" t="str">
        <f t="shared" si="22"/>
        <v/>
      </c>
      <c r="X228" s="374" t="str">
        <f t="shared" si="23"/>
        <v/>
      </c>
      <c r="Y228" s="670" t="str">
        <f t="shared" si="24"/>
        <v/>
      </c>
      <c r="Z228" s="706"/>
      <c r="AA228" s="704"/>
      <c r="AB228" s="120"/>
      <c r="AC228" s="120"/>
      <c r="AD228" s="57" t="str">
        <f>IF(Q228="","",IF(Q228='G-1 All Habitats'!$X$3,E228-T228-U228,"None"))</f>
        <v/>
      </c>
      <c r="AE228" s="58" t="str">
        <f>IF(Q228="","", IF(Q228='G-1 All Habitats'!$X$3, AD228*G228*I228*L228*N228*P228,"None"))</f>
        <v/>
      </c>
      <c r="AH228" s="30">
        <f t="shared" si="25"/>
        <v>0</v>
      </c>
      <c r="AI228" s="124" t="str">
        <f t="shared" si="26"/>
        <v/>
      </c>
      <c r="AJ228" s="124" t="str">
        <f t="shared" si="27"/>
        <v/>
      </c>
      <c r="AL228" s="124">
        <v>219</v>
      </c>
      <c r="AN228" s="124" t="str">
        <f t="array" ref="AN228">IFERROR(INDEX($AL$10:$AL$258, MATCH(0, IF(TRUE=$AI$10:$AI$258, COUNTIF($AN$9:$AN227, $AL$10:$AL$258), ""), 0)),"")</f>
        <v/>
      </c>
      <c r="AO228" s="124" t="str">
        <f t="array" ref="AO228">IFERROR(INDEX($AL$10:$AL$258, MATCH(0, IF(TRUE=$AJ$10:$AJ$258, COUNTIF($AO$9:$AO227, $AL$10:$AL$258), ""), 0)),"")</f>
        <v/>
      </c>
      <c r="AQ228" s="30" t="str">
        <f>IFERROR(INDEX('G-7 WaterC'' Data'!$AZ$3:$AZ$7,MATCH(D228,'G-7 WaterC'' Data'!$AY$3:$AY$7,0)),"")</f>
        <v/>
      </c>
      <c r="AR228" s="30" t="str">
        <f>IFERROR(INDEX('G-7 WaterC'' Data'!AZ228:AZ232,MATCH(D228,'G-7 WaterC'' Data'!$AY$10:$AY$14,0)),"")</f>
        <v/>
      </c>
    </row>
    <row r="229" spans="3:44" ht="15">
      <c r="C229" s="110">
        <v>220</v>
      </c>
      <c r="D229" s="338"/>
      <c r="E229" s="139"/>
      <c r="F229" s="362" t="str">
        <f>IF(D229="","",VLOOKUP(D229,'G-7 WaterC'' Data'!$B$2:$G$8,2,FALSE))</f>
        <v/>
      </c>
      <c r="G229" s="363" t="str">
        <f>IFERROR(VLOOKUP(F229,'G-7 WaterC'' Data'!$C$4:$D$8,2,FALSE),"")</f>
        <v/>
      </c>
      <c r="H229" s="114"/>
      <c r="I229" s="363" t="str">
        <f>IFERROR(INDEX('G-7 WaterC'' Data'!$H$4:$L$8,MATCH(D229,'G-7 WaterC'' Data'!$B$4:$B$8,0),MATCH(H229,'G-7 WaterC'' Data'!$H$3:$L$3,0)),"")</f>
        <v/>
      </c>
      <c r="J229" s="320"/>
      <c r="K229" s="398" t="str">
        <f>IF(J229="","",IF(VLOOKUP(J229,'G-7 WaterC'' Data'!$AK$4:$AM$6,2,FALSE)=0,"Spatial Data Missing ⚠",VLOOKUP(J229,'G-7 WaterC'' Data'!$AK$4:$AM$6,2,FALSE)))</f>
        <v/>
      </c>
      <c r="L229" s="368" t="str">
        <f>IF(J229="","",IF(VLOOKUP(J229,'G-7 WaterC'' Data'!$AK$4:$AM$9,3,FALSE)=0,"Spatial Data Missing ⚠",VLOOKUP(J229,'G-7 WaterC'' Data'!$AK$4:$AM$6,3,FALSE)))</f>
        <v/>
      </c>
      <c r="M229" s="54"/>
      <c r="N229" s="363" t="str">
        <f>IF(M229="","",IF(VLOOKUP(M229,'G-7 WaterC'' Data'!$AA$4:$AB$7,2,FALSE)=0,"Spatial Data Missing ⚠",VLOOKUP(M229,'G-7 WaterC'' Data'!$AA$4:$AB$7,2,FALSE)))</f>
        <v/>
      </c>
      <c r="O229" s="60"/>
      <c r="P229" s="363" t="str">
        <f>IF(O229="","",IF(VLOOKUP(O229,'G-7 WaterC'' Data'!$AD$4:$AE$14,2,FALSE)=0,"Spatial Data Missing ⚠",VLOOKUP(O229,'G-7 WaterC'' Data'!$AD$4:$AE$14,2,FALSE)))</f>
        <v/>
      </c>
      <c r="Q229" s="369" t="str">
        <f>IF(D229="","",VLOOKUP(D229,'G-7 WaterC'' Data'!$B$2:$G$8,6,FALSE))</f>
        <v/>
      </c>
      <c r="R229" s="376" t="str">
        <f>IFERROR(IF(D229="","",IF(AND(Q229='G-1 All Habitats'!$X$3,U229&gt;0),V229+W229,IF(AND(Q229='G-1 All Habitats'!$X$3,T229&gt;0),V229+W229,IF(AND(Q229='G-1 All Habitats'!$X$3,AD229&gt;0),"Any Loss Unacceptable ⚠",IF(AND(Q229='G-1 All Habitats'!$X$3,AE229&gt;0),"Any Loss Unacceptable ⚠", E229*G229*I229*L229*N229*P229 ))))),"Check Data ▲")</f>
        <v/>
      </c>
      <c r="S229" s="32"/>
      <c r="T229" s="114"/>
      <c r="U229" s="125"/>
      <c r="V229" s="374" t="str">
        <f t="shared" si="21"/>
        <v/>
      </c>
      <c r="W229" s="374" t="str">
        <f t="shared" si="22"/>
        <v/>
      </c>
      <c r="X229" s="374" t="str">
        <f t="shared" si="23"/>
        <v/>
      </c>
      <c r="Y229" s="670" t="str">
        <f t="shared" si="24"/>
        <v/>
      </c>
      <c r="Z229" s="706"/>
      <c r="AA229" s="704"/>
      <c r="AB229" s="120"/>
      <c r="AC229" s="120"/>
      <c r="AD229" s="57" t="str">
        <f>IF(Q229="","",IF(Q229='G-1 All Habitats'!$X$3,E229-T229-U229,"None"))</f>
        <v/>
      </c>
      <c r="AE229" s="58" t="str">
        <f>IF(Q229="","", IF(Q229='G-1 All Habitats'!$X$3, AD229*G229*I229*L229*N229*P229,"None"))</f>
        <v/>
      </c>
      <c r="AH229" s="30">
        <f t="shared" si="25"/>
        <v>0</v>
      </c>
      <c r="AI229" s="124" t="str">
        <f t="shared" si="26"/>
        <v/>
      </c>
      <c r="AJ229" s="124" t="str">
        <f t="shared" si="27"/>
        <v/>
      </c>
      <c r="AL229" s="124">
        <v>220</v>
      </c>
      <c r="AN229" s="124" t="str">
        <f t="array" ref="AN229">IFERROR(INDEX($AL$10:$AL$258, MATCH(0, IF(TRUE=$AI$10:$AI$258, COUNTIF($AN$9:$AN228, $AL$10:$AL$258), ""), 0)),"")</f>
        <v/>
      </c>
      <c r="AO229" s="124" t="str">
        <f t="array" ref="AO229">IFERROR(INDEX($AL$10:$AL$258, MATCH(0, IF(TRUE=$AJ$10:$AJ$258, COUNTIF($AO$9:$AO228, $AL$10:$AL$258), ""), 0)),"")</f>
        <v/>
      </c>
      <c r="AQ229" s="30" t="str">
        <f>IFERROR(INDEX('G-7 WaterC'' Data'!$AZ$3:$AZ$7,MATCH(D229,'G-7 WaterC'' Data'!$AY$3:$AY$7,0)),"")</f>
        <v/>
      </c>
      <c r="AR229" s="30" t="str">
        <f>IFERROR(INDEX('G-7 WaterC'' Data'!AZ229:AZ233,MATCH(D229,'G-7 WaterC'' Data'!$AY$10:$AY$14,0)),"")</f>
        <v/>
      </c>
    </row>
    <row r="230" spans="3:44" ht="15">
      <c r="C230" s="110">
        <v>221</v>
      </c>
      <c r="D230" s="338"/>
      <c r="E230" s="139"/>
      <c r="F230" s="362" t="str">
        <f>IF(D230="","",VLOOKUP(D230,'G-7 WaterC'' Data'!$B$2:$G$8,2,FALSE))</f>
        <v/>
      </c>
      <c r="G230" s="363" t="str">
        <f>IFERROR(VLOOKUP(F230,'G-7 WaterC'' Data'!$C$4:$D$8,2,FALSE),"")</f>
        <v/>
      </c>
      <c r="H230" s="114"/>
      <c r="I230" s="363" t="str">
        <f>IFERROR(INDEX('G-7 WaterC'' Data'!$H$4:$L$8,MATCH(D230,'G-7 WaterC'' Data'!$B$4:$B$8,0),MATCH(H230,'G-7 WaterC'' Data'!$H$3:$L$3,0)),"")</f>
        <v/>
      </c>
      <c r="J230" s="320"/>
      <c r="K230" s="398" t="str">
        <f>IF(J230="","",IF(VLOOKUP(J230,'G-7 WaterC'' Data'!$AK$4:$AM$6,2,FALSE)=0,"Spatial Data Missing ⚠",VLOOKUP(J230,'G-7 WaterC'' Data'!$AK$4:$AM$6,2,FALSE)))</f>
        <v/>
      </c>
      <c r="L230" s="368" t="str">
        <f>IF(J230="","",IF(VLOOKUP(J230,'G-7 WaterC'' Data'!$AK$4:$AM$9,3,FALSE)=0,"Spatial Data Missing ⚠",VLOOKUP(J230,'G-7 WaterC'' Data'!$AK$4:$AM$6,3,FALSE)))</f>
        <v/>
      </c>
      <c r="M230" s="54"/>
      <c r="N230" s="363" t="str">
        <f>IF(M230="","",IF(VLOOKUP(M230,'G-7 WaterC'' Data'!$AA$4:$AB$7,2,FALSE)=0,"Spatial Data Missing ⚠",VLOOKUP(M230,'G-7 WaterC'' Data'!$AA$4:$AB$7,2,FALSE)))</f>
        <v/>
      </c>
      <c r="O230" s="60"/>
      <c r="P230" s="363" t="str">
        <f>IF(O230="","",IF(VLOOKUP(O230,'G-7 WaterC'' Data'!$AD$4:$AE$14,2,FALSE)=0,"Spatial Data Missing ⚠",VLOOKUP(O230,'G-7 WaterC'' Data'!$AD$4:$AE$14,2,FALSE)))</f>
        <v/>
      </c>
      <c r="Q230" s="369" t="str">
        <f>IF(D230="","",VLOOKUP(D230,'G-7 WaterC'' Data'!$B$2:$G$8,6,FALSE))</f>
        <v/>
      </c>
      <c r="R230" s="376" t="str">
        <f>IFERROR(IF(D230="","",IF(AND(Q230='G-1 All Habitats'!$X$3,U230&gt;0),V230+W230,IF(AND(Q230='G-1 All Habitats'!$X$3,T230&gt;0),V230+W230,IF(AND(Q230='G-1 All Habitats'!$X$3,AD230&gt;0),"Any Loss Unacceptable ⚠",IF(AND(Q230='G-1 All Habitats'!$X$3,AE230&gt;0),"Any Loss Unacceptable ⚠", E230*G230*I230*L230*N230*P230 ))))),"Check Data ▲")</f>
        <v/>
      </c>
      <c r="S230" s="32"/>
      <c r="T230" s="114"/>
      <c r="U230" s="125"/>
      <c r="V230" s="374" t="str">
        <f t="shared" si="21"/>
        <v/>
      </c>
      <c r="W230" s="374" t="str">
        <f t="shared" si="22"/>
        <v/>
      </c>
      <c r="X230" s="374" t="str">
        <f t="shared" si="23"/>
        <v/>
      </c>
      <c r="Y230" s="670" t="str">
        <f t="shared" si="24"/>
        <v/>
      </c>
      <c r="Z230" s="706"/>
      <c r="AA230" s="704"/>
      <c r="AB230" s="120"/>
      <c r="AC230" s="120"/>
      <c r="AD230" s="57" t="str">
        <f>IF(Q230="","",IF(Q230='G-1 All Habitats'!$X$3,E230-T230-U230,"None"))</f>
        <v/>
      </c>
      <c r="AE230" s="58" t="str">
        <f>IF(Q230="","", IF(Q230='G-1 All Habitats'!$X$3, AD230*G230*I230*L230*N230*P230,"None"))</f>
        <v/>
      </c>
      <c r="AH230" s="30">
        <f t="shared" si="25"/>
        <v>0</v>
      </c>
      <c r="AI230" s="124" t="str">
        <f t="shared" si="26"/>
        <v/>
      </c>
      <c r="AJ230" s="124" t="str">
        <f t="shared" si="27"/>
        <v/>
      </c>
      <c r="AL230" s="124">
        <v>221</v>
      </c>
      <c r="AN230" s="124" t="str">
        <f t="array" ref="AN230">IFERROR(INDEX($AL$10:$AL$258, MATCH(0, IF(TRUE=$AI$10:$AI$258, COUNTIF($AN$9:$AN229, $AL$10:$AL$258), ""), 0)),"")</f>
        <v/>
      </c>
      <c r="AO230" s="124" t="str">
        <f t="array" ref="AO230">IFERROR(INDEX($AL$10:$AL$258, MATCH(0, IF(TRUE=$AJ$10:$AJ$258, COUNTIF($AO$9:$AO229, $AL$10:$AL$258), ""), 0)),"")</f>
        <v/>
      </c>
      <c r="AQ230" s="30" t="str">
        <f>IFERROR(INDEX('G-7 WaterC'' Data'!$AZ$3:$AZ$7,MATCH(D230,'G-7 WaterC'' Data'!$AY$3:$AY$7,0)),"")</f>
        <v/>
      </c>
      <c r="AR230" s="30" t="str">
        <f>IFERROR(INDEX('G-7 WaterC'' Data'!AZ230:AZ234,MATCH(D230,'G-7 WaterC'' Data'!$AY$10:$AY$14,0)),"")</f>
        <v/>
      </c>
    </row>
    <row r="231" spans="3:44" ht="15">
      <c r="C231" s="110">
        <v>222</v>
      </c>
      <c r="D231" s="338"/>
      <c r="E231" s="139"/>
      <c r="F231" s="362" t="str">
        <f>IF(D231="","",VLOOKUP(D231,'G-7 WaterC'' Data'!$B$2:$G$8,2,FALSE))</f>
        <v/>
      </c>
      <c r="G231" s="363" t="str">
        <f>IFERROR(VLOOKUP(F231,'G-7 WaterC'' Data'!$C$4:$D$8,2,FALSE),"")</f>
        <v/>
      </c>
      <c r="H231" s="114"/>
      <c r="I231" s="363" t="str">
        <f>IFERROR(INDEX('G-7 WaterC'' Data'!$H$4:$L$8,MATCH(D231,'G-7 WaterC'' Data'!$B$4:$B$8,0),MATCH(H231,'G-7 WaterC'' Data'!$H$3:$L$3,0)),"")</f>
        <v/>
      </c>
      <c r="J231" s="320"/>
      <c r="K231" s="398" t="str">
        <f>IF(J231="","",IF(VLOOKUP(J231,'G-7 WaterC'' Data'!$AK$4:$AM$6,2,FALSE)=0,"Spatial Data Missing ⚠",VLOOKUP(J231,'G-7 WaterC'' Data'!$AK$4:$AM$6,2,FALSE)))</f>
        <v/>
      </c>
      <c r="L231" s="368" t="str">
        <f>IF(J231="","",IF(VLOOKUP(J231,'G-7 WaterC'' Data'!$AK$4:$AM$9,3,FALSE)=0,"Spatial Data Missing ⚠",VLOOKUP(J231,'G-7 WaterC'' Data'!$AK$4:$AM$6,3,FALSE)))</f>
        <v/>
      </c>
      <c r="M231" s="54"/>
      <c r="N231" s="363" t="str">
        <f>IF(M231="","",IF(VLOOKUP(M231,'G-7 WaterC'' Data'!$AA$4:$AB$7,2,FALSE)=0,"Spatial Data Missing ⚠",VLOOKUP(M231,'G-7 WaterC'' Data'!$AA$4:$AB$7,2,FALSE)))</f>
        <v/>
      </c>
      <c r="O231" s="60"/>
      <c r="P231" s="363" t="str">
        <f>IF(O231="","",IF(VLOOKUP(O231,'G-7 WaterC'' Data'!$AD$4:$AE$14,2,FALSE)=0,"Spatial Data Missing ⚠",VLOOKUP(O231,'G-7 WaterC'' Data'!$AD$4:$AE$14,2,FALSE)))</f>
        <v/>
      </c>
      <c r="Q231" s="369" t="str">
        <f>IF(D231="","",VLOOKUP(D231,'G-7 WaterC'' Data'!$B$2:$G$8,6,FALSE))</f>
        <v/>
      </c>
      <c r="R231" s="376" t="str">
        <f>IFERROR(IF(D231="","",IF(AND(Q231='G-1 All Habitats'!$X$3,U231&gt;0),V231+W231,IF(AND(Q231='G-1 All Habitats'!$X$3,T231&gt;0),V231+W231,IF(AND(Q231='G-1 All Habitats'!$X$3,AD231&gt;0),"Any Loss Unacceptable ⚠",IF(AND(Q231='G-1 All Habitats'!$X$3,AE231&gt;0),"Any Loss Unacceptable ⚠", E231*G231*I231*L231*N231*P231 ))))),"Check Data ▲")</f>
        <v/>
      </c>
      <c r="S231" s="32"/>
      <c r="T231" s="114"/>
      <c r="U231" s="125"/>
      <c r="V231" s="374" t="str">
        <f t="shared" si="21"/>
        <v/>
      </c>
      <c r="W231" s="374" t="str">
        <f t="shared" si="22"/>
        <v/>
      </c>
      <c r="X231" s="374" t="str">
        <f t="shared" si="23"/>
        <v/>
      </c>
      <c r="Y231" s="670" t="str">
        <f t="shared" si="24"/>
        <v/>
      </c>
      <c r="Z231" s="706"/>
      <c r="AA231" s="704"/>
      <c r="AB231" s="120"/>
      <c r="AC231" s="120"/>
      <c r="AD231" s="57" t="str">
        <f>IF(Q231="","",IF(Q231='G-1 All Habitats'!$X$3,E231-T231-U231,"None"))</f>
        <v/>
      </c>
      <c r="AE231" s="58" t="str">
        <f>IF(Q231="","", IF(Q231='G-1 All Habitats'!$X$3, AD231*G231*I231*L231*N231*P231,"None"))</f>
        <v/>
      </c>
      <c r="AH231" s="30">
        <f t="shared" si="25"/>
        <v>0</v>
      </c>
      <c r="AI231" s="124" t="str">
        <f t="shared" si="26"/>
        <v/>
      </c>
      <c r="AJ231" s="124" t="str">
        <f t="shared" si="27"/>
        <v/>
      </c>
      <c r="AL231" s="124">
        <v>222</v>
      </c>
      <c r="AN231" s="124" t="str">
        <f t="array" ref="AN231">IFERROR(INDEX($AL$10:$AL$258, MATCH(0, IF(TRUE=$AI$10:$AI$258, COUNTIF($AN$9:$AN230, $AL$10:$AL$258), ""), 0)),"")</f>
        <v/>
      </c>
      <c r="AO231" s="124" t="str">
        <f t="array" ref="AO231">IFERROR(INDEX($AL$10:$AL$258, MATCH(0, IF(TRUE=$AJ$10:$AJ$258, COUNTIF($AO$9:$AO230, $AL$10:$AL$258), ""), 0)),"")</f>
        <v/>
      </c>
      <c r="AQ231" s="30" t="str">
        <f>IFERROR(INDEX('G-7 WaterC'' Data'!$AZ$3:$AZ$7,MATCH(D231,'G-7 WaterC'' Data'!$AY$3:$AY$7,0)),"")</f>
        <v/>
      </c>
      <c r="AR231" s="30" t="str">
        <f>IFERROR(INDEX('G-7 WaterC'' Data'!AZ231:AZ235,MATCH(D231,'G-7 WaterC'' Data'!$AY$10:$AY$14,0)),"")</f>
        <v/>
      </c>
    </row>
    <row r="232" spans="3:44" ht="15">
      <c r="C232" s="110">
        <v>223</v>
      </c>
      <c r="D232" s="338"/>
      <c r="E232" s="139"/>
      <c r="F232" s="362" t="str">
        <f>IF(D232="","",VLOOKUP(D232,'G-7 WaterC'' Data'!$B$2:$G$8,2,FALSE))</f>
        <v/>
      </c>
      <c r="G232" s="363" t="str">
        <f>IFERROR(VLOOKUP(F232,'G-7 WaterC'' Data'!$C$4:$D$8,2,FALSE),"")</f>
        <v/>
      </c>
      <c r="H232" s="114"/>
      <c r="I232" s="363" t="str">
        <f>IFERROR(INDEX('G-7 WaterC'' Data'!$H$4:$L$8,MATCH(D232,'G-7 WaterC'' Data'!$B$4:$B$8,0),MATCH(H232,'G-7 WaterC'' Data'!$H$3:$L$3,0)),"")</f>
        <v/>
      </c>
      <c r="J232" s="320"/>
      <c r="K232" s="398" t="str">
        <f>IF(J232="","",IF(VLOOKUP(J232,'G-7 WaterC'' Data'!$AK$4:$AM$6,2,FALSE)=0,"Spatial Data Missing ⚠",VLOOKUP(J232,'G-7 WaterC'' Data'!$AK$4:$AM$6,2,FALSE)))</f>
        <v/>
      </c>
      <c r="L232" s="368" t="str">
        <f>IF(J232="","",IF(VLOOKUP(J232,'G-7 WaterC'' Data'!$AK$4:$AM$9,3,FALSE)=0,"Spatial Data Missing ⚠",VLOOKUP(J232,'G-7 WaterC'' Data'!$AK$4:$AM$6,3,FALSE)))</f>
        <v/>
      </c>
      <c r="M232" s="54"/>
      <c r="N232" s="363" t="str">
        <f>IF(M232="","",IF(VLOOKUP(M232,'G-7 WaterC'' Data'!$AA$4:$AB$7,2,FALSE)=0,"Spatial Data Missing ⚠",VLOOKUP(M232,'G-7 WaterC'' Data'!$AA$4:$AB$7,2,FALSE)))</f>
        <v/>
      </c>
      <c r="O232" s="60"/>
      <c r="P232" s="363" t="str">
        <f>IF(O232="","",IF(VLOOKUP(O232,'G-7 WaterC'' Data'!$AD$4:$AE$14,2,FALSE)=0,"Spatial Data Missing ⚠",VLOOKUP(O232,'G-7 WaterC'' Data'!$AD$4:$AE$14,2,FALSE)))</f>
        <v/>
      </c>
      <c r="Q232" s="369" t="str">
        <f>IF(D232="","",VLOOKUP(D232,'G-7 WaterC'' Data'!$B$2:$G$8,6,FALSE))</f>
        <v/>
      </c>
      <c r="R232" s="376" t="str">
        <f>IFERROR(IF(D232="","",IF(AND(Q232='G-1 All Habitats'!$X$3,U232&gt;0),V232+W232,IF(AND(Q232='G-1 All Habitats'!$X$3,T232&gt;0),V232+W232,IF(AND(Q232='G-1 All Habitats'!$X$3,AD232&gt;0),"Any Loss Unacceptable ⚠",IF(AND(Q232='G-1 All Habitats'!$X$3,AE232&gt;0),"Any Loss Unacceptable ⚠", E232*G232*I232*L232*N232*P232 ))))),"Check Data ▲")</f>
        <v/>
      </c>
      <c r="S232" s="32"/>
      <c r="T232" s="114"/>
      <c r="U232" s="125"/>
      <c r="V232" s="374" t="str">
        <f t="shared" si="21"/>
        <v/>
      </c>
      <c r="W232" s="374" t="str">
        <f t="shared" si="22"/>
        <v/>
      </c>
      <c r="X232" s="374" t="str">
        <f t="shared" si="23"/>
        <v/>
      </c>
      <c r="Y232" s="670" t="str">
        <f t="shared" si="24"/>
        <v/>
      </c>
      <c r="Z232" s="706"/>
      <c r="AA232" s="704"/>
      <c r="AB232" s="120"/>
      <c r="AC232" s="120"/>
      <c r="AD232" s="57" t="str">
        <f>IF(Q232="","",IF(Q232='G-1 All Habitats'!$X$3,E232-T232-U232,"None"))</f>
        <v/>
      </c>
      <c r="AE232" s="58" t="str">
        <f>IF(Q232="","", IF(Q232='G-1 All Habitats'!$X$3, AD232*G232*I232*L232*N232*P232,"None"))</f>
        <v/>
      </c>
      <c r="AH232" s="30">
        <f t="shared" si="25"/>
        <v>0</v>
      </c>
      <c r="AI232" s="124" t="str">
        <f t="shared" si="26"/>
        <v/>
      </c>
      <c r="AJ232" s="124" t="str">
        <f t="shared" si="27"/>
        <v/>
      </c>
      <c r="AL232" s="124">
        <v>223</v>
      </c>
      <c r="AN232" s="124" t="str">
        <f t="array" ref="AN232">IFERROR(INDEX($AL$10:$AL$258, MATCH(0, IF(TRUE=$AI$10:$AI$258, COUNTIF($AN$9:$AN231, $AL$10:$AL$258), ""), 0)),"")</f>
        <v/>
      </c>
      <c r="AO232" s="124" t="str">
        <f t="array" ref="AO232">IFERROR(INDEX($AL$10:$AL$258, MATCH(0, IF(TRUE=$AJ$10:$AJ$258, COUNTIF($AO$9:$AO231, $AL$10:$AL$258), ""), 0)),"")</f>
        <v/>
      </c>
      <c r="AQ232" s="30" t="str">
        <f>IFERROR(INDEX('G-7 WaterC'' Data'!$AZ$3:$AZ$7,MATCH(D232,'G-7 WaterC'' Data'!$AY$3:$AY$7,0)),"")</f>
        <v/>
      </c>
      <c r="AR232" s="30" t="str">
        <f>IFERROR(INDEX('G-7 WaterC'' Data'!AZ232:AZ236,MATCH(D232,'G-7 WaterC'' Data'!$AY$10:$AY$14,0)),"")</f>
        <v/>
      </c>
    </row>
    <row r="233" spans="3:44" ht="15">
      <c r="C233" s="110">
        <v>224</v>
      </c>
      <c r="D233" s="338"/>
      <c r="E233" s="139"/>
      <c r="F233" s="362" t="str">
        <f>IF(D233="","",VLOOKUP(D233,'G-7 WaterC'' Data'!$B$2:$G$8,2,FALSE))</f>
        <v/>
      </c>
      <c r="G233" s="363" t="str">
        <f>IFERROR(VLOOKUP(F233,'G-7 WaterC'' Data'!$C$4:$D$8,2,FALSE),"")</f>
        <v/>
      </c>
      <c r="H233" s="114"/>
      <c r="I233" s="363" t="str">
        <f>IFERROR(INDEX('G-7 WaterC'' Data'!$H$4:$L$8,MATCH(D233,'G-7 WaterC'' Data'!$B$4:$B$8,0),MATCH(H233,'G-7 WaterC'' Data'!$H$3:$L$3,0)),"")</f>
        <v/>
      </c>
      <c r="J233" s="320"/>
      <c r="K233" s="398" t="str">
        <f>IF(J233="","",IF(VLOOKUP(J233,'G-7 WaterC'' Data'!$AK$4:$AM$6,2,FALSE)=0,"Spatial Data Missing ⚠",VLOOKUP(J233,'G-7 WaterC'' Data'!$AK$4:$AM$6,2,FALSE)))</f>
        <v/>
      </c>
      <c r="L233" s="368" t="str">
        <f>IF(J233="","",IF(VLOOKUP(J233,'G-7 WaterC'' Data'!$AK$4:$AM$9,3,FALSE)=0,"Spatial Data Missing ⚠",VLOOKUP(J233,'G-7 WaterC'' Data'!$AK$4:$AM$6,3,FALSE)))</f>
        <v/>
      </c>
      <c r="M233" s="54"/>
      <c r="N233" s="363" t="str">
        <f>IF(M233="","",IF(VLOOKUP(M233,'G-7 WaterC'' Data'!$AA$4:$AB$7,2,FALSE)=0,"Spatial Data Missing ⚠",VLOOKUP(M233,'G-7 WaterC'' Data'!$AA$4:$AB$7,2,FALSE)))</f>
        <v/>
      </c>
      <c r="O233" s="60"/>
      <c r="P233" s="363" t="str">
        <f>IF(O233="","",IF(VLOOKUP(O233,'G-7 WaterC'' Data'!$AD$4:$AE$14,2,FALSE)=0,"Spatial Data Missing ⚠",VLOOKUP(O233,'G-7 WaterC'' Data'!$AD$4:$AE$14,2,FALSE)))</f>
        <v/>
      </c>
      <c r="Q233" s="369" t="str">
        <f>IF(D233="","",VLOOKUP(D233,'G-7 WaterC'' Data'!$B$2:$G$8,6,FALSE))</f>
        <v/>
      </c>
      <c r="R233" s="376" t="str">
        <f>IFERROR(IF(D233="","",IF(AND(Q233='G-1 All Habitats'!$X$3,U233&gt;0),V233+W233,IF(AND(Q233='G-1 All Habitats'!$X$3,T233&gt;0),V233+W233,IF(AND(Q233='G-1 All Habitats'!$X$3,AD233&gt;0),"Any Loss Unacceptable ⚠",IF(AND(Q233='G-1 All Habitats'!$X$3,AE233&gt;0),"Any Loss Unacceptable ⚠", E233*G233*I233*L233*N233*P233 ))))),"Check Data ▲")</f>
        <v/>
      </c>
      <c r="S233" s="32"/>
      <c r="T233" s="114"/>
      <c r="U233" s="125"/>
      <c r="V233" s="374" t="str">
        <f t="shared" si="21"/>
        <v/>
      </c>
      <c r="W233" s="374" t="str">
        <f t="shared" si="22"/>
        <v/>
      </c>
      <c r="X233" s="374" t="str">
        <f t="shared" si="23"/>
        <v/>
      </c>
      <c r="Y233" s="670" t="str">
        <f t="shared" si="24"/>
        <v/>
      </c>
      <c r="Z233" s="706"/>
      <c r="AA233" s="704"/>
      <c r="AB233" s="120"/>
      <c r="AC233" s="120"/>
      <c r="AD233" s="57" t="str">
        <f>IF(Q233="","",IF(Q233='G-1 All Habitats'!$X$3,E233-T233-U233,"None"))</f>
        <v/>
      </c>
      <c r="AE233" s="58" t="str">
        <f>IF(Q233="","", IF(Q233='G-1 All Habitats'!$X$3, AD233*G233*I233*L233*N233*P233,"None"))</f>
        <v/>
      </c>
      <c r="AH233" s="30">
        <f t="shared" si="25"/>
        <v>0</v>
      </c>
      <c r="AI233" s="124" t="str">
        <f t="shared" si="26"/>
        <v/>
      </c>
      <c r="AJ233" s="124" t="str">
        <f t="shared" si="27"/>
        <v/>
      </c>
      <c r="AL233" s="124">
        <v>224</v>
      </c>
      <c r="AN233" s="124" t="str">
        <f t="array" ref="AN233">IFERROR(INDEX($AL$10:$AL$258, MATCH(0, IF(TRUE=$AI$10:$AI$258, COUNTIF($AN$9:$AN232, $AL$10:$AL$258), ""), 0)),"")</f>
        <v/>
      </c>
      <c r="AO233" s="124" t="str">
        <f t="array" ref="AO233">IFERROR(INDEX($AL$10:$AL$258, MATCH(0, IF(TRUE=$AJ$10:$AJ$258, COUNTIF($AO$9:$AO232, $AL$10:$AL$258), ""), 0)),"")</f>
        <v/>
      </c>
      <c r="AQ233" s="30" t="str">
        <f>IFERROR(INDEX('G-7 WaterC'' Data'!$AZ$3:$AZ$7,MATCH(D233,'G-7 WaterC'' Data'!$AY$3:$AY$7,0)),"")</f>
        <v/>
      </c>
      <c r="AR233" s="30" t="str">
        <f>IFERROR(INDEX('G-7 WaterC'' Data'!AZ233:AZ237,MATCH(D233,'G-7 WaterC'' Data'!$AY$10:$AY$14,0)),"")</f>
        <v/>
      </c>
    </row>
    <row r="234" spans="3:44" ht="15">
      <c r="C234" s="110">
        <v>225</v>
      </c>
      <c r="D234" s="338"/>
      <c r="E234" s="139"/>
      <c r="F234" s="362" t="str">
        <f>IF(D234="","",VLOOKUP(D234,'G-7 WaterC'' Data'!$B$2:$G$8,2,FALSE))</f>
        <v/>
      </c>
      <c r="G234" s="363" t="str">
        <f>IFERROR(VLOOKUP(F234,'G-7 WaterC'' Data'!$C$4:$D$8,2,FALSE),"")</f>
        <v/>
      </c>
      <c r="H234" s="114"/>
      <c r="I234" s="363" t="str">
        <f>IFERROR(INDEX('G-7 WaterC'' Data'!$H$4:$L$8,MATCH(D234,'G-7 WaterC'' Data'!$B$4:$B$8,0),MATCH(H234,'G-7 WaterC'' Data'!$H$3:$L$3,0)),"")</f>
        <v/>
      </c>
      <c r="J234" s="320"/>
      <c r="K234" s="398" t="str">
        <f>IF(J234="","",IF(VLOOKUP(J234,'G-7 WaterC'' Data'!$AK$4:$AM$6,2,FALSE)=0,"Spatial Data Missing ⚠",VLOOKUP(J234,'G-7 WaterC'' Data'!$AK$4:$AM$6,2,FALSE)))</f>
        <v/>
      </c>
      <c r="L234" s="368" t="str">
        <f>IF(J234="","",IF(VLOOKUP(J234,'G-7 WaterC'' Data'!$AK$4:$AM$9,3,FALSE)=0,"Spatial Data Missing ⚠",VLOOKUP(J234,'G-7 WaterC'' Data'!$AK$4:$AM$6,3,FALSE)))</f>
        <v/>
      </c>
      <c r="M234" s="54"/>
      <c r="N234" s="363" t="str">
        <f>IF(M234="","",IF(VLOOKUP(M234,'G-7 WaterC'' Data'!$AA$4:$AB$7,2,FALSE)=0,"Spatial Data Missing ⚠",VLOOKUP(M234,'G-7 WaterC'' Data'!$AA$4:$AB$7,2,FALSE)))</f>
        <v/>
      </c>
      <c r="O234" s="60"/>
      <c r="P234" s="363" t="str">
        <f>IF(O234="","",IF(VLOOKUP(O234,'G-7 WaterC'' Data'!$AD$4:$AE$14,2,FALSE)=0,"Spatial Data Missing ⚠",VLOOKUP(O234,'G-7 WaterC'' Data'!$AD$4:$AE$14,2,FALSE)))</f>
        <v/>
      </c>
      <c r="Q234" s="369" t="str">
        <f>IF(D234="","",VLOOKUP(D234,'G-7 WaterC'' Data'!$B$2:$G$8,6,FALSE))</f>
        <v/>
      </c>
      <c r="R234" s="376" t="str">
        <f>IFERROR(IF(D234="","",IF(AND(Q234='G-1 All Habitats'!$X$3,U234&gt;0),V234+W234,IF(AND(Q234='G-1 All Habitats'!$X$3,T234&gt;0),V234+W234,IF(AND(Q234='G-1 All Habitats'!$X$3,AD234&gt;0),"Any Loss Unacceptable ⚠",IF(AND(Q234='G-1 All Habitats'!$X$3,AE234&gt;0),"Any Loss Unacceptable ⚠", E234*G234*I234*L234*N234*P234 ))))),"Check Data ▲")</f>
        <v/>
      </c>
      <c r="S234" s="32"/>
      <c r="T234" s="114"/>
      <c r="U234" s="125"/>
      <c r="V234" s="374" t="str">
        <f t="shared" si="21"/>
        <v/>
      </c>
      <c r="W234" s="374" t="str">
        <f t="shared" si="22"/>
        <v/>
      </c>
      <c r="X234" s="374" t="str">
        <f t="shared" si="23"/>
        <v/>
      </c>
      <c r="Y234" s="670" t="str">
        <f t="shared" si="24"/>
        <v/>
      </c>
      <c r="Z234" s="706"/>
      <c r="AA234" s="704"/>
      <c r="AB234" s="120"/>
      <c r="AC234" s="120"/>
      <c r="AD234" s="57" t="str">
        <f>IF(Q234="","",IF(Q234='G-1 All Habitats'!$X$3,E234-T234-U234,"None"))</f>
        <v/>
      </c>
      <c r="AE234" s="58" t="str">
        <f>IF(Q234="","", IF(Q234='G-1 All Habitats'!$X$3, AD234*G234*I234*L234*N234*P234,"None"))</f>
        <v/>
      </c>
      <c r="AH234" s="30">
        <f t="shared" si="25"/>
        <v>0</v>
      </c>
      <c r="AI234" s="124" t="str">
        <f t="shared" si="26"/>
        <v/>
      </c>
      <c r="AJ234" s="124" t="str">
        <f t="shared" si="27"/>
        <v/>
      </c>
      <c r="AL234" s="124">
        <v>225</v>
      </c>
      <c r="AN234" s="124" t="str">
        <f t="array" ref="AN234">IFERROR(INDEX($AL$10:$AL$258, MATCH(0, IF(TRUE=$AI$10:$AI$258, COUNTIF($AN$9:$AN233, $AL$10:$AL$258), ""), 0)),"")</f>
        <v/>
      </c>
      <c r="AO234" s="124" t="str">
        <f t="array" ref="AO234">IFERROR(INDEX($AL$10:$AL$258, MATCH(0, IF(TRUE=$AJ$10:$AJ$258, COUNTIF($AO$9:$AO233, $AL$10:$AL$258), ""), 0)),"")</f>
        <v/>
      </c>
      <c r="AQ234" s="30" t="str">
        <f>IFERROR(INDEX('G-7 WaterC'' Data'!$AZ$3:$AZ$7,MATCH(D234,'G-7 WaterC'' Data'!$AY$3:$AY$7,0)),"")</f>
        <v/>
      </c>
      <c r="AR234" s="30" t="str">
        <f>IFERROR(INDEX('G-7 WaterC'' Data'!AZ234:AZ238,MATCH(D234,'G-7 WaterC'' Data'!$AY$10:$AY$14,0)),"")</f>
        <v/>
      </c>
    </row>
    <row r="235" spans="3:44" ht="15">
      <c r="C235" s="110">
        <v>226</v>
      </c>
      <c r="D235" s="338"/>
      <c r="E235" s="139"/>
      <c r="F235" s="362" t="str">
        <f>IF(D235="","",VLOOKUP(D235,'G-7 WaterC'' Data'!$B$2:$G$8,2,FALSE))</f>
        <v/>
      </c>
      <c r="G235" s="363" t="str">
        <f>IFERROR(VLOOKUP(F235,'G-7 WaterC'' Data'!$C$4:$D$8,2,FALSE),"")</f>
        <v/>
      </c>
      <c r="H235" s="114"/>
      <c r="I235" s="363" t="str">
        <f>IFERROR(INDEX('G-7 WaterC'' Data'!$H$4:$L$8,MATCH(D235,'G-7 WaterC'' Data'!$B$4:$B$8,0),MATCH(H235,'G-7 WaterC'' Data'!$H$3:$L$3,0)),"")</f>
        <v/>
      </c>
      <c r="J235" s="320"/>
      <c r="K235" s="398" t="str">
        <f>IF(J235="","",IF(VLOOKUP(J235,'G-7 WaterC'' Data'!$AK$4:$AM$6,2,FALSE)=0,"Spatial Data Missing ⚠",VLOOKUP(J235,'G-7 WaterC'' Data'!$AK$4:$AM$6,2,FALSE)))</f>
        <v/>
      </c>
      <c r="L235" s="368" t="str">
        <f>IF(J235="","",IF(VLOOKUP(J235,'G-7 WaterC'' Data'!$AK$4:$AM$9,3,FALSE)=0,"Spatial Data Missing ⚠",VLOOKUP(J235,'G-7 WaterC'' Data'!$AK$4:$AM$6,3,FALSE)))</f>
        <v/>
      </c>
      <c r="M235" s="54"/>
      <c r="N235" s="363" t="str">
        <f>IF(M235="","",IF(VLOOKUP(M235,'G-7 WaterC'' Data'!$AA$4:$AB$7,2,FALSE)=0,"Spatial Data Missing ⚠",VLOOKUP(M235,'G-7 WaterC'' Data'!$AA$4:$AB$7,2,FALSE)))</f>
        <v/>
      </c>
      <c r="O235" s="60"/>
      <c r="P235" s="363" t="str">
        <f>IF(O235="","",IF(VLOOKUP(O235,'G-7 WaterC'' Data'!$AD$4:$AE$14,2,FALSE)=0,"Spatial Data Missing ⚠",VLOOKUP(O235,'G-7 WaterC'' Data'!$AD$4:$AE$14,2,FALSE)))</f>
        <v/>
      </c>
      <c r="Q235" s="369" t="str">
        <f>IF(D235="","",VLOOKUP(D235,'G-7 WaterC'' Data'!$B$2:$G$8,6,FALSE))</f>
        <v/>
      </c>
      <c r="R235" s="376" t="str">
        <f>IFERROR(IF(D235="","",IF(AND(Q235='G-1 All Habitats'!$X$3,U235&gt;0),V235+W235,IF(AND(Q235='G-1 All Habitats'!$X$3,T235&gt;0),V235+W235,IF(AND(Q235='G-1 All Habitats'!$X$3,AD235&gt;0),"Any Loss Unacceptable ⚠",IF(AND(Q235='G-1 All Habitats'!$X$3,AE235&gt;0),"Any Loss Unacceptable ⚠", E235*G235*I235*L235*N235*P235 ))))),"Check Data ▲")</f>
        <v/>
      </c>
      <c r="S235" s="32"/>
      <c r="T235" s="114"/>
      <c r="U235" s="125"/>
      <c r="V235" s="374" t="str">
        <f t="shared" si="21"/>
        <v/>
      </c>
      <c r="W235" s="374" t="str">
        <f t="shared" si="22"/>
        <v/>
      </c>
      <c r="X235" s="374" t="str">
        <f t="shared" si="23"/>
        <v/>
      </c>
      <c r="Y235" s="670" t="str">
        <f t="shared" si="24"/>
        <v/>
      </c>
      <c r="Z235" s="706"/>
      <c r="AA235" s="704"/>
      <c r="AB235" s="120"/>
      <c r="AC235" s="120"/>
      <c r="AD235" s="57" t="str">
        <f>IF(Q235="","",IF(Q235='G-1 All Habitats'!$X$3,E235-T235-U235,"None"))</f>
        <v/>
      </c>
      <c r="AE235" s="58" t="str">
        <f>IF(Q235="","", IF(Q235='G-1 All Habitats'!$X$3, AD235*G235*I235*L235*N235*P235,"None"))</f>
        <v/>
      </c>
      <c r="AH235" s="30">
        <f t="shared" si="25"/>
        <v>0</v>
      </c>
      <c r="AI235" s="124" t="str">
        <f t="shared" si="26"/>
        <v/>
      </c>
      <c r="AJ235" s="124" t="str">
        <f t="shared" si="27"/>
        <v/>
      </c>
      <c r="AL235" s="124">
        <v>226</v>
      </c>
      <c r="AN235" s="124" t="str">
        <f t="array" ref="AN235">IFERROR(INDEX($AL$10:$AL$258, MATCH(0, IF(TRUE=$AI$10:$AI$258, COUNTIF($AN$9:$AN234, $AL$10:$AL$258), ""), 0)),"")</f>
        <v/>
      </c>
      <c r="AO235" s="124" t="str">
        <f t="array" ref="AO235">IFERROR(INDEX($AL$10:$AL$258, MATCH(0, IF(TRUE=$AJ$10:$AJ$258, COUNTIF($AO$9:$AO234, $AL$10:$AL$258), ""), 0)),"")</f>
        <v/>
      </c>
      <c r="AQ235" s="30" t="str">
        <f>IFERROR(INDEX('G-7 WaterC'' Data'!$AZ$3:$AZ$7,MATCH(D235,'G-7 WaterC'' Data'!$AY$3:$AY$7,0)),"")</f>
        <v/>
      </c>
      <c r="AR235" s="30" t="str">
        <f>IFERROR(INDEX('G-7 WaterC'' Data'!AZ235:AZ239,MATCH(D235,'G-7 WaterC'' Data'!$AY$10:$AY$14,0)),"")</f>
        <v/>
      </c>
    </row>
    <row r="236" spans="3:44" ht="15">
      <c r="C236" s="110">
        <v>227</v>
      </c>
      <c r="D236" s="338"/>
      <c r="E236" s="139"/>
      <c r="F236" s="362" t="str">
        <f>IF(D236="","",VLOOKUP(D236,'G-7 WaterC'' Data'!$B$2:$G$8,2,FALSE))</f>
        <v/>
      </c>
      <c r="G236" s="363" t="str">
        <f>IFERROR(VLOOKUP(F236,'G-7 WaterC'' Data'!$C$4:$D$8,2,FALSE),"")</f>
        <v/>
      </c>
      <c r="H236" s="114"/>
      <c r="I236" s="363" t="str">
        <f>IFERROR(INDEX('G-7 WaterC'' Data'!$H$4:$L$8,MATCH(D236,'G-7 WaterC'' Data'!$B$4:$B$8,0),MATCH(H236,'G-7 WaterC'' Data'!$H$3:$L$3,0)),"")</f>
        <v/>
      </c>
      <c r="J236" s="320"/>
      <c r="K236" s="398" t="str">
        <f>IF(J236="","",IF(VLOOKUP(J236,'G-7 WaterC'' Data'!$AK$4:$AM$6,2,FALSE)=0,"Spatial Data Missing ⚠",VLOOKUP(J236,'G-7 WaterC'' Data'!$AK$4:$AM$6,2,FALSE)))</f>
        <v/>
      </c>
      <c r="L236" s="368" t="str">
        <f>IF(J236="","",IF(VLOOKUP(J236,'G-7 WaterC'' Data'!$AK$4:$AM$9,3,FALSE)=0,"Spatial Data Missing ⚠",VLOOKUP(J236,'G-7 WaterC'' Data'!$AK$4:$AM$6,3,FALSE)))</f>
        <v/>
      </c>
      <c r="M236" s="54"/>
      <c r="N236" s="363" t="str">
        <f>IF(M236="","",IF(VLOOKUP(M236,'G-7 WaterC'' Data'!$AA$4:$AB$7,2,FALSE)=0,"Spatial Data Missing ⚠",VLOOKUP(M236,'G-7 WaterC'' Data'!$AA$4:$AB$7,2,FALSE)))</f>
        <v/>
      </c>
      <c r="O236" s="60"/>
      <c r="P236" s="363" t="str">
        <f>IF(O236="","",IF(VLOOKUP(O236,'G-7 WaterC'' Data'!$AD$4:$AE$14,2,FALSE)=0,"Spatial Data Missing ⚠",VLOOKUP(O236,'G-7 WaterC'' Data'!$AD$4:$AE$14,2,FALSE)))</f>
        <v/>
      </c>
      <c r="Q236" s="369" t="str">
        <f>IF(D236="","",VLOOKUP(D236,'G-7 WaterC'' Data'!$B$2:$G$8,6,FALSE))</f>
        <v/>
      </c>
      <c r="R236" s="376" t="str">
        <f>IFERROR(IF(D236="","",IF(AND(Q236='G-1 All Habitats'!$X$3,U236&gt;0),V236+W236,IF(AND(Q236='G-1 All Habitats'!$X$3,T236&gt;0),V236+W236,IF(AND(Q236='G-1 All Habitats'!$X$3,AD236&gt;0),"Any Loss Unacceptable ⚠",IF(AND(Q236='G-1 All Habitats'!$X$3,AE236&gt;0),"Any Loss Unacceptable ⚠", E236*G236*I236*L236*N236*P236 ))))),"Check Data ▲")</f>
        <v/>
      </c>
      <c r="S236" s="32"/>
      <c r="T236" s="114"/>
      <c r="U236" s="125"/>
      <c r="V236" s="374" t="str">
        <f t="shared" si="21"/>
        <v/>
      </c>
      <c r="W236" s="374" t="str">
        <f t="shared" si="22"/>
        <v/>
      </c>
      <c r="X236" s="374" t="str">
        <f t="shared" si="23"/>
        <v/>
      </c>
      <c r="Y236" s="670" t="str">
        <f t="shared" si="24"/>
        <v/>
      </c>
      <c r="Z236" s="706"/>
      <c r="AA236" s="704"/>
      <c r="AB236" s="120"/>
      <c r="AC236" s="120"/>
      <c r="AD236" s="57" t="str">
        <f>IF(Q236="","",IF(Q236='G-1 All Habitats'!$X$3,E236-T236-U236,"None"))</f>
        <v/>
      </c>
      <c r="AE236" s="58" t="str">
        <f>IF(Q236="","", IF(Q236='G-1 All Habitats'!$X$3, AD236*G236*I236*L236*N236*P236,"None"))</f>
        <v/>
      </c>
      <c r="AH236" s="30">
        <f t="shared" si="25"/>
        <v>0</v>
      </c>
      <c r="AI236" s="124" t="str">
        <f t="shared" si="26"/>
        <v/>
      </c>
      <c r="AJ236" s="124" t="str">
        <f t="shared" si="27"/>
        <v/>
      </c>
      <c r="AL236" s="124">
        <v>227</v>
      </c>
      <c r="AN236" s="124" t="str">
        <f t="array" ref="AN236">IFERROR(INDEX($AL$10:$AL$258, MATCH(0, IF(TRUE=$AI$10:$AI$258, COUNTIF($AN$9:$AN235, $AL$10:$AL$258), ""), 0)),"")</f>
        <v/>
      </c>
      <c r="AO236" s="124" t="str">
        <f t="array" ref="AO236">IFERROR(INDEX($AL$10:$AL$258, MATCH(0, IF(TRUE=$AJ$10:$AJ$258, COUNTIF($AO$9:$AO235, $AL$10:$AL$258), ""), 0)),"")</f>
        <v/>
      </c>
      <c r="AQ236" s="30" t="str">
        <f>IFERROR(INDEX('G-7 WaterC'' Data'!$AZ$3:$AZ$7,MATCH(D236,'G-7 WaterC'' Data'!$AY$3:$AY$7,0)),"")</f>
        <v/>
      </c>
      <c r="AR236" s="30" t="str">
        <f>IFERROR(INDEX('G-7 WaterC'' Data'!AZ236:AZ240,MATCH(D236,'G-7 WaterC'' Data'!$AY$10:$AY$14,0)),"")</f>
        <v/>
      </c>
    </row>
    <row r="237" spans="3:44" ht="15">
      <c r="C237" s="110">
        <v>228</v>
      </c>
      <c r="D237" s="338"/>
      <c r="E237" s="139"/>
      <c r="F237" s="362" t="str">
        <f>IF(D237="","",VLOOKUP(D237,'G-7 WaterC'' Data'!$B$2:$G$8,2,FALSE))</f>
        <v/>
      </c>
      <c r="G237" s="363" t="str">
        <f>IFERROR(VLOOKUP(F237,'G-7 WaterC'' Data'!$C$4:$D$8,2,FALSE),"")</f>
        <v/>
      </c>
      <c r="H237" s="114"/>
      <c r="I237" s="363" t="str">
        <f>IFERROR(INDEX('G-7 WaterC'' Data'!$H$4:$L$8,MATCH(D237,'G-7 WaterC'' Data'!$B$4:$B$8,0),MATCH(H237,'G-7 WaterC'' Data'!$H$3:$L$3,0)),"")</f>
        <v/>
      </c>
      <c r="J237" s="320"/>
      <c r="K237" s="398" t="str">
        <f>IF(J237="","",IF(VLOOKUP(J237,'G-7 WaterC'' Data'!$AK$4:$AM$6,2,FALSE)=0,"Spatial Data Missing ⚠",VLOOKUP(J237,'G-7 WaterC'' Data'!$AK$4:$AM$6,2,FALSE)))</f>
        <v/>
      </c>
      <c r="L237" s="368" t="str">
        <f>IF(J237="","",IF(VLOOKUP(J237,'G-7 WaterC'' Data'!$AK$4:$AM$9,3,FALSE)=0,"Spatial Data Missing ⚠",VLOOKUP(J237,'G-7 WaterC'' Data'!$AK$4:$AM$6,3,FALSE)))</f>
        <v/>
      </c>
      <c r="M237" s="54"/>
      <c r="N237" s="363" t="str">
        <f>IF(M237="","",IF(VLOOKUP(M237,'G-7 WaterC'' Data'!$AA$4:$AB$7,2,FALSE)=0,"Spatial Data Missing ⚠",VLOOKUP(M237,'G-7 WaterC'' Data'!$AA$4:$AB$7,2,FALSE)))</f>
        <v/>
      </c>
      <c r="O237" s="60"/>
      <c r="P237" s="363" t="str">
        <f>IF(O237="","",IF(VLOOKUP(O237,'G-7 WaterC'' Data'!$AD$4:$AE$14,2,FALSE)=0,"Spatial Data Missing ⚠",VLOOKUP(O237,'G-7 WaterC'' Data'!$AD$4:$AE$14,2,FALSE)))</f>
        <v/>
      </c>
      <c r="Q237" s="369" t="str">
        <f>IF(D237="","",VLOOKUP(D237,'G-7 WaterC'' Data'!$B$2:$G$8,6,FALSE))</f>
        <v/>
      </c>
      <c r="R237" s="376" t="str">
        <f>IFERROR(IF(D237="","",IF(AND(Q237='G-1 All Habitats'!$X$3,U237&gt;0),V237+W237,IF(AND(Q237='G-1 All Habitats'!$X$3,T237&gt;0),V237+W237,IF(AND(Q237='G-1 All Habitats'!$X$3,AD237&gt;0),"Any Loss Unacceptable ⚠",IF(AND(Q237='G-1 All Habitats'!$X$3,AE237&gt;0),"Any Loss Unacceptable ⚠", E237*G237*I237*L237*N237*P237 ))))),"Check Data ▲")</f>
        <v/>
      </c>
      <c r="S237" s="32"/>
      <c r="T237" s="114"/>
      <c r="U237" s="125"/>
      <c r="V237" s="374" t="str">
        <f t="shared" si="21"/>
        <v/>
      </c>
      <c r="W237" s="374" t="str">
        <f t="shared" si="22"/>
        <v/>
      </c>
      <c r="X237" s="374" t="str">
        <f t="shared" si="23"/>
        <v/>
      </c>
      <c r="Y237" s="670" t="str">
        <f t="shared" si="24"/>
        <v/>
      </c>
      <c r="Z237" s="706"/>
      <c r="AA237" s="704"/>
      <c r="AB237" s="120"/>
      <c r="AC237" s="120"/>
      <c r="AD237" s="57" t="str">
        <f>IF(Q237="","",IF(Q237='G-1 All Habitats'!$X$3,E237-T237-U237,"None"))</f>
        <v/>
      </c>
      <c r="AE237" s="58" t="str">
        <f>IF(Q237="","", IF(Q237='G-1 All Habitats'!$X$3, AD237*G237*I237*L237*N237*P237,"None"))</f>
        <v/>
      </c>
      <c r="AH237" s="30">
        <f t="shared" si="25"/>
        <v>0</v>
      </c>
      <c r="AI237" s="124" t="str">
        <f t="shared" si="26"/>
        <v/>
      </c>
      <c r="AJ237" s="124" t="str">
        <f t="shared" si="27"/>
        <v/>
      </c>
      <c r="AL237" s="124">
        <v>228</v>
      </c>
      <c r="AN237" s="124" t="str">
        <f t="array" ref="AN237">IFERROR(INDEX($AL$10:$AL$258, MATCH(0, IF(TRUE=$AI$10:$AI$258, COUNTIF($AN$9:$AN236, $AL$10:$AL$258), ""), 0)),"")</f>
        <v/>
      </c>
      <c r="AO237" s="124" t="str">
        <f t="array" ref="AO237">IFERROR(INDEX($AL$10:$AL$258, MATCH(0, IF(TRUE=$AJ$10:$AJ$258, COUNTIF($AO$9:$AO236, $AL$10:$AL$258), ""), 0)),"")</f>
        <v/>
      </c>
      <c r="AQ237" s="30" t="str">
        <f>IFERROR(INDEX('G-7 WaterC'' Data'!$AZ$3:$AZ$7,MATCH(D237,'G-7 WaterC'' Data'!$AY$3:$AY$7,0)),"")</f>
        <v/>
      </c>
      <c r="AR237" s="30" t="str">
        <f>IFERROR(INDEX('G-7 WaterC'' Data'!AZ237:AZ241,MATCH(D237,'G-7 WaterC'' Data'!$AY$10:$AY$14,0)),"")</f>
        <v/>
      </c>
    </row>
    <row r="238" spans="3:44" ht="15">
      <c r="C238" s="110">
        <v>229</v>
      </c>
      <c r="D238" s="338"/>
      <c r="E238" s="139"/>
      <c r="F238" s="362" t="str">
        <f>IF(D238="","",VLOOKUP(D238,'G-7 WaterC'' Data'!$B$2:$G$8,2,FALSE))</f>
        <v/>
      </c>
      <c r="G238" s="363" t="str">
        <f>IFERROR(VLOOKUP(F238,'G-7 WaterC'' Data'!$C$4:$D$8,2,FALSE),"")</f>
        <v/>
      </c>
      <c r="H238" s="114"/>
      <c r="I238" s="363" t="str">
        <f>IFERROR(INDEX('G-7 WaterC'' Data'!$H$4:$L$8,MATCH(D238,'G-7 WaterC'' Data'!$B$4:$B$8,0),MATCH(H238,'G-7 WaterC'' Data'!$H$3:$L$3,0)),"")</f>
        <v/>
      </c>
      <c r="J238" s="320"/>
      <c r="K238" s="398" t="str">
        <f>IF(J238="","",IF(VLOOKUP(J238,'G-7 WaterC'' Data'!$AK$4:$AM$6,2,FALSE)=0,"Spatial Data Missing ⚠",VLOOKUP(J238,'G-7 WaterC'' Data'!$AK$4:$AM$6,2,FALSE)))</f>
        <v/>
      </c>
      <c r="L238" s="368" t="str">
        <f>IF(J238="","",IF(VLOOKUP(J238,'G-7 WaterC'' Data'!$AK$4:$AM$9,3,FALSE)=0,"Spatial Data Missing ⚠",VLOOKUP(J238,'G-7 WaterC'' Data'!$AK$4:$AM$6,3,FALSE)))</f>
        <v/>
      </c>
      <c r="M238" s="54"/>
      <c r="N238" s="363" t="str">
        <f>IF(M238="","",IF(VLOOKUP(M238,'G-7 WaterC'' Data'!$AA$4:$AB$7,2,FALSE)=0,"Spatial Data Missing ⚠",VLOOKUP(M238,'G-7 WaterC'' Data'!$AA$4:$AB$7,2,FALSE)))</f>
        <v/>
      </c>
      <c r="O238" s="60"/>
      <c r="P238" s="363" t="str">
        <f>IF(O238="","",IF(VLOOKUP(O238,'G-7 WaterC'' Data'!$AD$4:$AE$14,2,FALSE)=0,"Spatial Data Missing ⚠",VLOOKUP(O238,'G-7 WaterC'' Data'!$AD$4:$AE$14,2,FALSE)))</f>
        <v/>
      </c>
      <c r="Q238" s="369" t="str">
        <f>IF(D238="","",VLOOKUP(D238,'G-7 WaterC'' Data'!$B$2:$G$8,6,FALSE))</f>
        <v/>
      </c>
      <c r="R238" s="376" t="str">
        <f>IFERROR(IF(D238="","",IF(AND(Q238='G-1 All Habitats'!$X$3,U238&gt;0),V238+W238,IF(AND(Q238='G-1 All Habitats'!$X$3,T238&gt;0),V238+W238,IF(AND(Q238='G-1 All Habitats'!$X$3,AD238&gt;0),"Any Loss Unacceptable ⚠",IF(AND(Q238='G-1 All Habitats'!$X$3,AE238&gt;0),"Any Loss Unacceptable ⚠", E238*G238*I238*L238*N238*P238 ))))),"Check Data ▲")</f>
        <v/>
      </c>
      <c r="S238" s="32"/>
      <c r="T238" s="114"/>
      <c r="U238" s="125"/>
      <c r="V238" s="374" t="str">
        <f t="shared" si="21"/>
        <v/>
      </c>
      <c r="W238" s="374" t="str">
        <f t="shared" si="22"/>
        <v/>
      </c>
      <c r="X238" s="374" t="str">
        <f t="shared" si="23"/>
        <v/>
      </c>
      <c r="Y238" s="670" t="str">
        <f t="shared" si="24"/>
        <v/>
      </c>
      <c r="Z238" s="706"/>
      <c r="AA238" s="704"/>
      <c r="AB238" s="120"/>
      <c r="AC238" s="120"/>
      <c r="AD238" s="57" t="str">
        <f>IF(Q238="","",IF(Q238='G-1 All Habitats'!$X$3,E238-T238-U238,"None"))</f>
        <v/>
      </c>
      <c r="AE238" s="58" t="str">
        <f>IF(Q238="","", IF(Q238='G-1 All Habitats'!$X$3, AD238*G238*I238*L238*N238*P238,"None"))</f>
        <v/>
      </c>
      <c r="AH238" s="30">
        <f t="shared" si="25"/>
        <v>0</v>
      </c>
      <c r="AI238" s="124" t="str">
        <f t="shared" si="26"/>
        <v/>
      </c>
      <c r="AJ238" s="124" t="str">
        <f t="shared" si="27"/>
        <v/>
      </c>
      <c r="AL238" s="124">
        <v>229</v>
      </c>
      <c r="AN238" s="124" t="str">
        <f t="array" ref="AN238">IFERROR(INDEX($AL$10:$AL$258, MATCH(0, IF(TRUE=$AI$10:$AI$258, COUNTIF($AN$9:$AN237, $AL$10:$AL$258), ""), 0)),"")</f>
        <v/>
      </c>
      <c r="AO238" s="124" t="str">
        <f t="array" ref="AO238">IFERROR(INDEX($AL$10:$AL$258, MATCH(0, IF(TRUE=$AJ$10:$AJ$258, COUNTIF($AO$9:$AO237, $AL$10:$AL$258), ""), 0)),"")</f>
        <v/>
      </c>
      <c r="AQ238" s="30" t="str">
        <f>IFERROR(INDEX('G-7 WaterC'' Data'!$AZ$3:$AZ$7,MATCH(D238,'G-7 WaterC'' Data'!$AY$3:$AY$7,0)),"")</f>
        <v/>
      </c>
      <c r="AR238" s="30" t="str">
        <f>IFERROR(INDEX('G-7 WaterC'' Data'!AZ238:AZ242,MATCH(D238,'G-7 WaterC'' Data'!$AY$10:$AY$14,0)),"")</f>
        <v/>
      </c>
    </row>
    <row r="239" spans="3:44" ht="15">
      <c r="C239" s="110">
        <v>230</v>
      </c>
      <c r="D239" s="338"/>
      <c r="E239" s="139"/>
      <c r="F239" s="362" t="str">
        <f>IF(D239="","",VLOOKUP(D239,'G-7 WaterC'' Data'!$B$2:$G$8,2,FALSE))</f>
        <v/>
      </c>
      <c r="G239" s="363" t="str">
        <f>IFERROR(VLOOKUP(F239,'G-7 WaterC'' Data'!$C$4:$D$8,2,FALSE),"")</f>
        <v/>
      </c>
      <c r="H239" s="114"/>
      <c r="I239" s="363" t="str">
        <f>IFERROR(INDEX('G-7 WaterC'' Data'!$H$4:$L$8,MATCH(D239,'G-7 WaterC'' Data'!$B$4:$B$8,0),MATCH(H239,'G-7 WaterC'' Data'!$H$3:$L$3,0)),"")</f>
        <v/>
      </c>
      <c r="J239" s="320"/>
      <c r="K239" s="398" t="str">
        <f>IF(J239="","",IF(VLOOKUP(J239,'G-7 WaterC'' Data'!$AK$4:$AM$6,2,FALSE)=0,"Spatial Data Missing ⚠",VLOOKUP(J239,'G-7 WaterC'' Data'!$AK$4:$AM$6,2,FALSE)))</f>
        <v/>
      </c>
      <c r="L239" s="368" t="str">
        <f>IF(J239="","",IF(VLOOKUP(J239,'G-7 WaterC'' Data'!$AK$4:$AM$9,3,FALSE)=0,"Spatial Data Missing ⚠",VLOOKUP(J239,'G-7 WaterC'' Data'!$AK$4:$AM$6,3,FALSE)))</f>
        <v/>
      </c>
      <c r="M239" s="54"/>
      <c r="N239" s="363" t="str">
        <f>IF(M239="","",IF(VLOOKUP(M239,'G-7 WaterC'' Data'!$AA$4:$AB$7,2,FALSE)=0,"Spatial Data Missing ⚠",VLOOKUP(M239,'G-7 WaterC'' Data'!$AA$4:$AB$7,2,FALSE)))</f>
        <v/>
      </c>
      <c r="O239" s="60"/>
      <c r="P239" s="363" t="str">
        <f>IF(O239="","",IF(VLOOKUP(O239,'G-7 WaterC'' Data'!$AD$4:$AE$14,2,FALSE)=0,"Spatial Data Missing ⚠",VLOOKUP(O239,'G-7 WaterC'' Data'!$AD$4:$AE$14,2,FALSE)))</f>
        <v/>
      </c>
      <c r="Q239" s="369" t="str">
        <f>IF(D239="","",VLOOKUP(D239,'G-7 WaterC'' Data'!$B$2:$G$8,6,FALSE))</f>
        <v/>
      </c>
      <c r="R239" s="376" t="str">
        <f>IFERROR(IF(D239="","",IF(AND(Q239='G-1 All Habitats'!$X$3,U239&gt;0),V239+W239,IF(AND(Q239='G-1 All Habitats'!$X$3,T239&gt;0),V239+W239,IF(AND(Q239='G-1 All Habitats'!$X$3,AD239&gt;0),"Any Loss Unacceptable ⚠",IF(AND(Q239='G-1 All Habitats'!$X$3,AE239&gt;0),"Any Loss Unacceptable ⚠", E239*G239*I239*L239*N239*P239 ))))),"Check Data ▲")</f>
        <v/>
      </c>
      <c r="S239" s="32"/>
      <c r="T239" s="114"/>
      <c r="U239" s="125"/>
      <c r="V239" s="374" t="str">
        <f t="shared" si="21"/>
        <v/>
      </c>
      <c r="W239" s="374" t="str">
        <f t="shared" si="22"/>
        <v/>
      </c>
      <c r="X239" s="374" t="str">
        <f t="shared" si="23"/>
        <v/>
      </c>
      <c r="Y239" s="670" t="str">
        <f t="shared" si="24"/>
        <v/>
      </c>
      <c r="Z239" s="706"/>
      <c r="AA239" s="704"/>
      <c r="AB239" s="120"/>
      <c r="AC239" s="120"/>
      <c r="AD239" s="57" t="str">
        <f>IF(Q239="","",IF(Q239='G-1 All Habitats'!$X$3,E239-T239-U239,"None"))</f>
        <v/>
      </c>
      <c r="AE239" s="58" t="str">
        <f>IF(Q239="","", IF(Q239='G-1 All Habitats'!$X$3, AD239*G239*I239*L239*N239*P239,"None"))</f>
        <v/>
      </c>
      <c r="AH239" s="30">
        <f t="shared" si="25"/>
        <v>0</v>
      </c>
      <c r="AI239" s="124" t="str">
        <f t="shared" si="26"/>
        <v/>
      </c>
      <c r="AJ239" s="124" t="str">
        <f t="shared" si="27"/>
        <v/>
      </c>
      <c r="AL239" s="124">
        <v>230</v>
      </c>
      <c r="AN239" s="124" t="str">
        <f t="array" ref="AN239">IFERROR(INDEX($AL$10:$AL$258, MATCH(0, IF(TRUE=$AI$10:$AI$258, COUNTIF($AN$9:$AN238, $AL$10:$AL$258), ""), 0)),"")</f>
        <v/>
      </c>
      <c r="AO239" s="124" t="str">
        <f t="array" ref="AO239">IFERROR(INDEX($AL$10:$AL$258, MATCH(0, IF(TRUE=$AJ$10:$AJ$258, COUNTIF($AO$9:$AO238, $AL$10:$AL$258), ""), 0)),"")</f>
        <v/>
      </c>
      <c r="AQ239" s="30" t="str">
        <f>IFERROR(INDEX('G-7 WaterC'' Data'!$AZ$3:$AZ$7,MATCH(D239,'G-7 WaterC'' Data'!$AY$3:$AY$7,0)),"")</f>
        <v/>
      </c>
      <c r="AR239" s="30" t="str">
        <f>IFERROR(INDEX('G-7 WaterC'' Data'!AZ239:AZ243,MATCH(D239,'G-7 WaterC'' Data'!$AY$10:$AY$14,0)),"")</f>
        <v/>
      </c>
    </row>
    <row r="240" spans="3:44" ht="15">
      <c r="C240" s="110">
        <v>231</v>
      </c>
      <c r="D240" s="338"/>
      <c r="E240" s="139"/>
      <c r="F240" s="362" t="str">
        <f>IF(D240="","",VLOOKUP(D240,'G-7 WaterC'' Data'!$B$2:$G$8,2,FALSE))</f>
        <v/>
      </c>
      <c r="G240" s="363" t="str">
        <f>IFERROR(VLOOKUP(F240,'G-7 WaterC'' Data'!$C$4:$D$8,2,FALSE),"")</f>
        <v/>
      </c>
      <c r="H240" s="114"/>
      <c r="I240" s="363" t="str">
        <f>IFERROR(INDEX('G-7 WaterC'' Data'!$H$4:$L$8,MATCH(D240,'G-7 WaterC'' Data'!$B$4:$B$8,0),MATCH(H240,'G-7 WaterC'' Data'!$H$3:$L$3,0)),"")</f>
        <v/>
      </c>
      <c r="J240" s="320"/>
      <c r="K240" s="398" t="str">
        <f>IF(J240="","",IF(VLOOKUP(J240,'G-7 WaterC'' Data'!$AK$4:$AM$6,2,FALSE)=0,"Spatial Data Missing ⚠",VLOOKUP(J240,'G-7 WaterC'' Data'!$AK$4:$AM$6,2,FALSE)))</f>
        <v/>
      </c>
      <c r="L240" s="368" t="str">
        <f>IF(J240="","",IF(VLOOKUP(J240,'G-7 WaterC'' Data'!$AK$4:$AM$9,3,FALSE)=0,"Spatial Data Missing ⚠",VLOOKUP(J240,'G-7 WaterC'' Data'!$AK$4:$AM$6,3,FALSE)))</f>
        <v/>
      </c>
      <c r="M240" s="54"/>
      <c r="N240" s="363" t="str">
        <f>IF(M240="","",IF(VLOOKUP(M240,'G-7 WaterC'' Data'!$AA$4:$AB$7,2,FALSE)=0,"Spatial Data Missing ⚠",VLOOKUP(M240,'G-7 WaterC'' Data'!$AA$4:$AB$7,2,FALSE)))</f>
        <v/>
      </c>
      <c r="O240" s="60"/>
      <c r="P240" s="363" t="str">
        <f>IF(O240="","",IF(VLOOKUP(O240,'G-7 WaterC'' Data'!$AD$4:$AE$14,2,FALSE)=0,"Spatial Data Missing ⚠",VLOOKUP(O240,'G-7 WaterC'' Data'!$AD$4:$AE$14,2,FALSE)))</f>
        <v/>
      </c>
      <c r="Q240" s="369" t="str">
        <f>IF(D240="","",VLOOKUP(D240,'G-7 WaterC'' Data'!$B$2:$G$8,6,FALSE))</f>
        <v/>
      </c>
      <c r="R240" s="376" t="str">
        <f>IFERROR(IF(D240="","",IF(AND(Q240='G-1 All Habitats'!$X$3,U240&gt;0),V240+W240,IF(AND(Q240='G-1 All Habitats'!$X$3,T240&gt;0),V240+W240,IF(AND(Q240='G-1 All Habitats'!$X$3,AD240&gt;0),"Any Loss Unacceptable ⚠",IF(AND(Q240='G-1 All Habitats'!$X$3,AE240&gt;0),"Any Loss Unacceptable ⚠", E240*G240*I240*L240*N240*P240 ))))),"Check Data ▲")</f>
        <v/>
      </c>
      <c r="S240" s="32"/>
      <c r="T240" s="114"/>
      <c r="U240" s="125"/>
      <c r="V240" s="374" t="str">
        <f t="shared" si="21"/>
        <v/>
      </c>
      <c r="W240" s="374" t="str">
        <f t="shared" si="22"/>
        <v/>
      </c>
      <c r="X240" s="374" t="str">
        <f t="shared" si="23"/>
        <v/>
      </c>
      <c r="Y240" s="670" t="str">
        <f t="shared" si="24"/>
        <v/>
      </c>
      <c r="Z240" s="706"/>
      <c r="AA240" s="704"/>
      <c r="AB240" s="120"/>
      <c r="AC240" s="120"/>
      <c r="AD240" s="57" t="str">
        <f>IF(Q240="","",IF(Q240='G-1 All Habitats'!$X$3,E240-T240-U240,"None"))</f>
        <v/>
      </c>
      <c r="AE240" s="58" t="str">
        <f>IF(Q240="","", IF(Q240='G-1 All Habitats'!$X$3, AD240*G240*I240*L240*N240*P240,"None"))</f>
        <v/>
      </c>
      <c r="AH240" s="30">
        <f t="shared" si="25"/>
        <v>0</v>
      </c>
      <c r="AI240" s="124" t="str">
        <f t="shared" si="26"/>
        <v/>
      </c>
      <c r="AJ240" s="124" t="str">
        <f t="shared" si="27"/>
        <v/>
      </c>
      <c r="AL240" s="124">
        <v>231</v>
      </c>
      <c r="AN240" s="124" t="str">
        <f t="array" ref="AN240">IFERROR(INDEX($AL$10:$AL$258, MATCH(0, IF(TRUE=$AI$10:$AI$258, COUNTIF($AN$9:$AN239, $AL$10:$AL$258), ""), 0)),"")</f>
        <v/>
      </c>
      <c r="AO240" s="124" t="str">
        <f t="array" ref="AO240">IFERROR(INDEX($AL$10:$AL$258, MATCH(0, IF(TRUE=$AJ$10:$AJ$258, COUNTIF($AO$9:$AO239, $AL$10:$AL$258), ""), 0)),"")</f>
        <v/>
      </c>
      <c r="AQ240" s="30" t="str">
        <f>IFERROR(INDEX('G-7 WaterC'' Data'!$AZ$3:$AZ$7,MATCH(D240,'G-7 WaterC'' Data'!$AY$3:$AY$7,0)),"")</f>
        <v/>
      </c>
      <c r="AR240" s="30" t="str">
        <f>IFERROR(INDEX('G-7 WaterC'' Data'!AZ240:AZ244,MATCH(D240,'G-7 WaterC'' Data'!$AY$10:$AY$14,0)),"")</f>
        <v/>
      </c>
    </row>
    <row r="241" spans="3:44" ht="15">
      <c r="C241" s="110">
        <v>232</v>
      </c>
      <c r="D241" s="338"/>
      <c r="E241" s="139"/>
      <c r="F241" s="362" t="str">
        <f>IF(D241="","",VLOOKUP(D241,'G-7 WaterC'' Data'!$B$2:$G$8,2,FALSE))</f>
        <v/>
      </c>
      <c r="G241" s="363" t="str">
        <f>IFERROR(VLOOKUP(F241,'G-7 WaterC'' Data'!$C$4:$D$8,2,FALSE),"")</f>
        <v/>
      </c>
      <c r="H241" s="114"/>
      <c r="I241" s="363" t="str">
        <f>IFERROR(INDEX('G-7 WaterC'' Data'!$H$4:$L$8,MATCH(D241,'G-7 WaterC'' Data'!$B$4:$B$8,0),MATCH(H241,'G-7 WaterC'' Data'!$H$3:$L$3,0)),"")</f>
        <v/>
      </c>
      <c r="J241" s="320"/>
      <c r="K241" s="398" t="str">
        <f>IF(J241="","",IF(VLOOKUP(J241,'G-7 WaterC'' Data'!$AK$4:$AM$6,2,FALSE)=0,"Spatial Data Missing ⚠",VLOOKUP(J241,'G-7 WaterC'' Data'!$AK$4:$AM$6,2,FALSE)))</f>
        <v/>
      </c>
      <c r="L241" s="368" t="str">
        <f>IF(J241="","",IF(VLOOKUP(J241,'G-7 WaterC'' Data'!$AK$4:$AM$9,3,FALSE)=0,"Spatial Data Missing ⚠",VLOOKUP(J241,'G-7 WaterC'' Data'!$AK$4:$AM$6,3,FALSE)))</f>
        <v/>
      </c>
      <c r="M241" s="54"/>
      <c r="N241" s="363" t="str">
        <f>IF(M241="","",IF(VLOOKUP(M241,'G-7 WaterC'' Data'!$AA$4:$AB$7,2,FALSE)=0,"Spatial Data Missing ⚠",VLOOKUP(M241,'G-7 WaterC'' Data'!$AA$4:$AB$7,2,FALSE)))</f>
        <v/>
      </c>
      <c r="O241" s="60"/>
      <c r="P241" s="363" t="str">
        <f>IF(O241="","",IF(VLOOKUP(O241,'G-7 WaterC'' Data'!$AD$4:$AE$14,2,FALSE)=0,"Spatial Data Missing ⚠",VLOOKUP(O241,'G-7 WaterC'' Data'!$AD$4:$AE$14,2,FALSE)))</f>
        <v/>
      </c>
      <c r="Q241" s="369" t="str">
        <f>IF(D241="","",VLOOKUP(D241,'G-7 WaterC'' Data'!$B$2:$G$8,6,FALSE))</f>
        <v/>
      </c>
      <c r="R241" s="376" t="str">
        <f>IFERROR(IF(D241="","",IF(AND(Q241='G-1 All Habitats'!$X$3,U241&gt;0),V241+W241,IF(AND(Q241='G-1 All Habitats'!$X$3,T241&gt;0),V241+W241,IF(AND(Q241='G-1 All Habitats'!$X$3,AD241&gt;0),"Any Loss Unacceptable ⚠",IF(AND(Q241='G-1 All Habitats'!$X$3,AE241&gt;0),"Any Loss Unacceptable ⚠", E241*G241*I241*L241*N241*P241 ))))),"Check Data ▲")</f>
        <v/>
      </c>
      <c r="S241" s="32"/>
      <c r="T241" s="114"/>
      <c r="U241" s="125"/>
      <c r="V241" s="374" t="str">
        <f t="shared" si="21"/>
        <v/>
      </c>
      <c r="W241" s="374" t="str">
        <f t="shared" si="22"/>
        <v/>
      </c>
      <c r="X241" s="374" t="str">
        <f t="shared" si="23"/>
        <v/>
      </c>
      <c r="Y241" s="670" t="str">
        <f t="shared" si="24"/>
        <v/>
      </c>
      <c r="Z241" s="706"/>
      <c r="AA241" s="704"/>
      <c r="AB241" s="120"/>
      <c r="AC241" s="120"/>
      <c r="AD241" s="57" t="str">
        <f>IF(Q241="","",IF(Q241='G-1 All Habitats'!$X$3,E241-T241-U241,"None"))</f>
        <v/>
      </c>
      <c r="AE241" s="58" t="str">
        <f>IF(Q241="","", IF(Q241='G-1 All Habitats'!$X$3, AD241*G241*I241*L241*N241*P241,"None"))</f>
        <v/>
      </c>
      <c r="AH241" s="30">
        <f t="shared" si="25"/>
        <v>0</v>
      </c>
      <c r="AI241" s="124" t="str">
        <f t="shared" si="26"/>
        <v/>
      </c>
      <c r="AJ241" s="124" t="str">
        <f t="shared" si="27"/>
        <v/>
      </c>
      <c r="AL241" s="124">
        <v>232</v>
      </c>
      <c r="AN241" s="124" t="str">
        <f t="array" ref="AN241">IFERROR(INDEX($AL$10:$AL$258, MATCH(0, IF(TRUE=$AI$10:$AI$258, COUNTIF($AN$9:$AN240, $AL$10:$AL$258), ""), 0)),"")</f>
        <v/>
      </c>
      <c r="AO241" s="124" t="str">
        <f t="array" ref="AO241">IFERROR(INDEX($AL$10:$AL$258, MATCH(0, IF(TRUE=$AJ$10:$AJ$258, COUNTIF($AO$9:$AO240, $AL$10:$AL$258), ""), 0)),"")</f>
        <v/>
      </c>
      <c r="AQ241" s="30" t="str">
        <f>IFERROR(INDEX('G-7 WaterC'' Data'!$AZ$3:$AZ$7,MATCH(D241,'G-7 WaterC'' Data'!$AY$3:$AY$7,0)),"")</f>
        <v/>
      </c>
      <c r="AR241" s="30" t="str">
        <f>IFERROR(INDEX('G-7 WaterC'' Data'!AZ241:AZ245,MATCH(D241,'G-7 WaterC'' Data'!$AY$10:$AY$14,0)),"")</f>
        <v/>
      </c>
    </row>
    <row r="242" spans="3:44" ht="15">
      <c r="C242" s="110">
        <v>233</v>
      </c>
      <c r="D242" s="338"/>
      <c r="E242" s="139"/>
      <c r="F242" s="362" t="str">
        <f>IF(D242="","",VLOOKUP(D242,'G-7 WaterC'' Data'!$B$2:$G$8,2,FALSE))</f>
        <v/>
      </c>
      <c r="G242" s="363" t="str">
        <f>IFERROR(VLOOKUP(F242,'G-7 WaterC'' Data'!$C$4:$D$8,2,FALSE),"")</f>
        <v/>
      </c>
      <c r="H242" s="114"/>
      <c r="I242" s="363" t="str">
        <f>IFERROR(INDEX('G-7 WaterC'' Data'!$H$4:$L$8,MATCH(D242,'G-7 WaterC'' Data'!$B$4:$B$8,0),MATCH(H242,'G-7 WaterC'' Data'!$H$3:$L$3,0)),"")</f>
        <v/>
      </c>
      <c r="J242" s="320"/>
      <c r="K242" s="398" t="str">
        <f>IF(J242="","",IF(VLOOKUP(J242,'G-7 WaterC'' Data'!$AK$4:$AM$6,2,FALSE)=0,"Spatial Data Missing ⚠",VLOOKUP(J242,'G-7 WaterC'' Data'!$AK$4:$AM$6,2,FALSE)))</f>
        <v/>
      </c>
      <c r="L242" s="368" t="str">
        <f>IF(J242="","",IF(VLOOKUP(J242,'G-7 WaterC'' Data'!$AK$4:$AM$9,3,FALSE)=0,"Spatial Data Missing ⚠",VLOOKUP(J242,'G-7 WaterC'' Data'!$AK$4:$AM$6,3,FALSE)))</f>
        <v/>
      </c>
      <c r="M242" s="54"/>
      <c r="N242" s="363" t="str">
        <f>IF(M242="","",IF(VLOOKUP(M242,'G-7 WaterC'' Data'!$AA$4:$AB$7,2,FALSE)=0,"Spatial Data Missing ⚠",VLOOKUP(M242,'G-7 WaterC'' Data'!$AA$4:$AB$7,2,FALSE)))</f>
        <v/>
      </c>
      <c r="O242" s="60"/>
      <c r="P242" s="363" t="str">
        <f>IF(O242="","",IF(VLOOKUP(O242,'G-7 WaterC'' Data'!$AD$4:$AE$14,2,FALSE)=0,"Spatial Data Missing ⚠",VLOOKUP(O242,'G-7 WaterC'' Data'!$AD$4:$AE$14,2,FALSE)))</f>
        <v/>
      </c>
      <c r="Q242" s="369" t="str">
        <f>IF(D242="","",VLOOKUP(D242,'G-7 WaterC'' Data'!$B$2:$G$8,6,FALSE))</f>
        <v/>
      </c>
      <c r="R242" s="376" t="str">
        <f>IFERROR(IF(D242="","",IF(AND(Q242='G-1 All Habitats'!$X$3,U242&gt;0),V242+W242,IF(AND(Q242='G-1 All Habitats'!$X$3,T242&gt;0),V242+W242,IF(AND(Q242='G-1 All Habitats'!$X$3,AD242&gt;0),"Any Loss Unacceptable ⚠",IF(AND(Q242='G-1 All Habitats'!$X$3,AE242&gt;0),"Any Loss Unacceptable ⚠", E242*G242*I242*L242*N242*P242 ))))),"Check Data ▲")</f>
        <v/>
      </c>
      <c r="S242" s="32"/>
      <c r="T242" s="114"/>
      <c r="U242" s="125"/>
      <c r="V242" s="374" t="str">
        <f t="shared" si="21"/>
        <v/>
      </c>
      <c r="W242" s="374" t="str">
        <f t="shared" si="22"/>
        <v/>
      </c>
      <c r="X242" s="374" t="str">
        <f t="shared" si="23"/>
        <v/>
      </c>
      <c r="Y242" s="670" t="str">
        <f t="shared" si="24"/>
        <v/>
      </c>
      <c r="Z242" s="706"/>
      <c r="AA242" s="704"/>
      <c r="AB242" s="120"/>
      <c r="AC242" s="120"/>
      <c r="AD242" s="57" t="str">
        <f>IF(Q242="","",IF(Q242='G-1 All Habitats'!$X$3,E242-T242-U242,"None"))</f>
        <v/>
      </c>
      <c r="AE242" s="58" t="str">
        <f>IF(Q242="","", IF(Q242='G-1 All Habitats'!$X$3, AD242*G242*I242*L242*N242*P242,"None"))</f>
        <v/>
      </c>
      <c r="AH242" s="30">
        <f t="shared" si="25"/>
        <v>0</v>
      </c>
      <c r="AI242" s="124" t="str">
        <f t="shared" si="26"/>
        <v/>
      </c>
      <c r="AJ242" s="124" t="str">
        <f t="shared" si="27"/>
        <v/>
      </c>
      <c r="AL242" s="124">
        <v>233</v>
      </c>
      <c r="AN242" s="124" t="str">
        <f t="array" ref="AN242">IFERROR(INDEX($AL$10:$AL$258, MATCH(0, IF(TRUE=$AI$10:$AI$258, COUNTIF($AN$9:$AN241, $AL$10:$AL$258), ""), 0)),"")</f>
        <v/>
      </c>
      <c r="AO242" s="124" t="str">
        <f t="array" ref="AO242">IFERROR(INDEX($AL$10:$AL$258, MATCH(0, IF(TRUE=$AJ$10:$AJ$258, COUNTIF($AO$9:$AO241, $AL$10:$AL$258), ""), 0)),"")</f>
        <v/>
      </c>
      <c r="AQ242" s="30" t="str">
        <f>IFERROR(INDEX('G-7 WaterC'' Data'!$AZ$3:$AZ$7,MATCH(D242,'G-7 WaterC'' Data'!$AY$3:$AY$7,0)),"")</f>
        <v/>
      </c>
      <c r="AR242" s="30" t="str">
        <f>IFERROR(INDEX('G-7 WaterC'' Data'!AZ242:AZ246,MATCH(D242,'G-7 WaterC'' Data'!$AY$10:$AY$14,0)),"")</f>
        <v/>
      </c>
    </row>
    <row r="243" spans="3:44" ht="15">
      <c r="C243" s="110">
        <v>234</v>
      </c>
      <c r="D243" s="338"/>
      <c r="E243" s="139"/>
      <c r="F243" s="362" t="str">
        <f>IF(D243="","",VLOOKUP(D243,'G-7 WaterC'' Data'!$B$2:$G$8,2,FALSE))</f>
        <v/>
      </c>
      <c r="G243" s="363" t="str">
        <f>IFERROR(VLOOKUP(F243,'G-7 WaterC'' Data'!$C$4:$D$8,2,FALSE),"")</f>
        <v/>
      </c>
      <c r="H243" s="114"/>
      <c r="I243" s="363" t="str">
        <f>IFERROR(INDEX('G-7 WaterC'' Data'!$H$4:$L$8,MATCH(D243,'G-7 WaterC'' Data'!$B$4:$B$8,0),MATCH(H243,'G-7 WaterC'' Data'!$H$3:$L$3,0)),"")</f>
        <v/>
      </c>
      <c r="J243" s="320"/>
      <c r="K243" s="398" t="str">
        <f>IF(J243="","",IF(VLOOKUP(J243,'G-7 WaterC'' Data'!$AK$4:$AM$6,2,FALSE)=0,"Spatial Data Missing ⚠",VLOOKUP(J243,'G-7 WaterC'' Data'!$AK$4:$AM$6,2,FALSE)))</f>
        <v/>
      </c>
      <c r="L243" s="368" t="str">
        <f>IF(J243="","",IF(VLOOKUP(J243,'G-7 WaterC'' Data'!$AK$4:$AM$9,3,FALSE)=0,"Spatial Data Missing ⚠",VLOOKUP(J243,'G-7 WaterC'' Data'!$AK$4:$AM$6,3,FALSE)))</f>
        <v/>
      </c>
      <c r="M243" s="54"/>
      <c r="N243" s="363" t="str">
        <f>IF(M243="","",IF(VLOOKUP(M243,'G-7 WaterC'' Data'!$AA$4:$AB$7,2,FALSE)=0,"Spatial Data Missing ⚠",VLOOKUP(M243,'G-7 WaterC'' Data'!$AA$4:$AB$7,2,FALSE)))</f>
        <v/>
      </c>
      <c r="O243" s="60"/>
      <c r="P243" s="363" t="str">
        <f>IF(O243="","",IF(VLOOKUP(O243,'G-7 WaterC'' Data'!$AD$4:$AE$14,2,FALSE)=0,"Spatial Data Missing ⚠",VLOOKUP(O243,'G-7 WaterC'' Data'!$AD$4:$AE$14,2,FALSE)))</f>
        <v/>
      </c>
      <c r="Q243" s="369" t="str">
        <f>IF(D243="","",VLOOKUP(D243,'G-7 WaterC'' Data'!$B$2:$G$8,6,FALSE))</f>
        <v/>
      </c>
      <c r="R243" s="376" t="str">
        <f>IFERROR(IF(D243="","",IF(AND(Q243='G-1 All Habitats'!$X$3,U243&gt;0),V243+W243,IF(AND(Q243='G-1 All Habitats'!$X$3,T243&gt;0),V243+W243,IF(AND(Q243='G-1 All Habitats'!$X$3,AD243&gt;0),"Any Loss Unacceptable ⚠",IF(AND(Q243='G-1 All Habitats'!$X$3,AE243&gt;0),"Any Loss Unacceptable ⚠", E243*G243*I243*L243*N243*P243 ))))),"Check Data ▲")</f>
        <v/>
      </c>
      <c r="S243" s="32"/>
      <c r="T243" s="114"/>
      <c r="U243" s="125"/>
      <c r="V243" s="374" t="str">
        <f t="shared" si="21"/>
        <v/>
      </c>
      <c r="W243" s="374" t="str">
        <f t="shared" si="22"/>
        <v/>
      </c>
      <c r="X243" s="374" t="str">
        <f t="shared" si="23"/>
        <v/>
      </c>
      <c r="Y243" s="670" t="str">
        <f t="shared" si="24"/>
        <v/>
      </c>
      <c r="Z243" s="706"/>
      <c r="AA243" s="704"/>
      <c r="AB243" s="120"/>
      <c r="AC243" s="120"/>
      <c r="AD243" s="57" t="str">
        <f>IF(Q243="","",IF(Q243='G-1 All Habitats'!$X$3,E243-T243-U243,"None"))</f>
        <v/>
      </c>
      <c r="AE243" s="58" t="str">
        <f>IF(Q243="","", IF(Q243='G-1 All Habitats'!$X$3, AD243*G243*I243*L243*N243*P243,"None"))</f>
        <v/>
      </c>
      <c r="AH243" s="30">
        <f t="shared" si="25"/>
        <v>0</v>
      </c>
      <c r="AI243" s="124" t="str">
        <f t="shared" si="26"/>
        <v/>
      </c>
      <c r="AJ243" s="124" t="str">
        <f t="shared" si="27"/>
        <v/>
      </c>
      <c r="AL243" s="124">
        <v>234</v>
      </c>
      <c r="AN243" s="124" t="str">
        <f t="array" ref="AN243">IFERROR(INDEX($AL$10:$AL$258, MATCH(0, IF(TRUE=$AI$10:$AI$258, COUNTIF($AN$9:$AN242, $AL$10:$AL$258), ""), 0)),"")</f>
        <v/>
      </c>
      <c r="AO243" s="124" t="str">
        <f t="array" ref="AO243">IFERROR(INDEX($AL$10:$AL$258, MATCH(0, IF(TRUE=$AJ$10:$AJ$258, COUNTIF($AO$9:$AO242, $AL$10:$AL$258), ""), 0)),"")</f>
        <v/>
      </c>
      <c r="AQ243" s="30" t="str">
        <f>IFERROR(INDEX('G-7 WaterC'' Data'!$AZ$3:$AZ$7,MATCH(D243,'G-7 WaterC'' Data'!$AY$3:$AY$7,0)),"")</f>
        <v/>
      </c>
      <c r="AR243" s="30" t="str">
        <f>IFERROR(INDEX('G-7 WaterC'' Data'!AZ243:AZ247,MATCH(D243,'G-7 WaterC'' Data'!$AY$10:$AY$14,0)),"")</f>
        <v/>
      </c>
    </row>
    <row r="244" spans="3:44" ht="15">
      <c r="C244" s="110">
        <v>235</v>
      </c>
      <c r="D244" s="338"/>
      <c r="E244" s="139"/>
      <c r="F244" s="362" t="str">
        <f>IF(D244="","",VLOOKUP(D244,'G-7 WaterC'' Data'!$B$2:$G$8,2,FALSE))</f>
        <v/>
      </c>
      <c r="G244" s="363" t="str">
        <f>IFERROR(VLOOKUP(F244,'G-7 WaterC'' Data'!$C$4:$D$8,2,FALSE),"")</f>
        <v/>
      </c>
      <c r="H244" s="114"/>
      <c r="I244" s="363" t="str">
        <f>IFERROR(INDEX('G-7 WaterC'' Data'!$H$4:$L$8,MATCH(D244,'G-7 WaterC'' Data'!$B$4:$B$8,0),MATCH(H244,'G-7 WaterC'' Data'!$H$3:$L$3,0)),"")</f>
        <v/>
      </c>
      <c r="J244" s="320"/>
      <c r="K244" s="398" t="str">
        <f>IF(J244="","",IF(VLOOKUP(J244,'G-7 WaterC'' Data'!$AK$4:$AM$6,2,FALSE)=0,"Spatial Data Missing ⚠",VLOOKUP(J244,'G-7 WaterC'' Data'!$AK$4:$AM$6,2,FALSE)))</f>
        <v/>
      </c>
      <c r="L244" s="368" t="str">
        <f>IF(J244="","",IF(VLOOKUP(J244,'G-7 WaterC'' Data'!$AK$4:$AM$9,3,FALSE)=0,"Spatial Data Missing ⚠",VLOOKUP(J244,'G-7 WaterC'' Data'!$AK$4:$AM$6,3,FALSE)))</f>
        <v/>
      </c>
      <c r="M244" s="54"/>
      <c r="N244" s="363" t="str">
        <f>IF(M244="","",IF(VLOOKUP(M244,'G-7 WaterC'' Data'!$AA$4:$AB$7,2,FALSE)=0,"Spatial Data Missing ⚠",VLOOKUP(M244,'G-7 WaterC'' Data'!$AA$4:$AB$7,2,FALSE)))</f>
        <v/>
      </c>
      <c r="O244" s="60"/>
      <c r="P244" s="363" t="str">
        <f>IF(O244="","",IF(VLOOKUP(O244,'G-7 WaterC'' Data'!$AD$4:$AE$14,2,FALSE)=0,"Spatial Data Missing ⚠",VLOOKUP(O244,'G-7 WaterC'' Data'!$AD$4:$AE$14,2,FALSE)))</f>
        <v/>
      </c>
      <c r="Q244" s="369" t="str">
        <f>IF(D244="","",VLOOKUP(D244,'G-7 WaterC'' Data'!$B$2:$G$8,6,FALSE))</f>
        <v/>
      </c>
      <c r="R244" s="376" t="str">
        <f>IFERROR(IF(D244="","",IF(AND(Q244='G-1 All Habitats'!$X$3,U244&gt;0),V244+W244,IF(AND(Q244='G-1 All Habitats'!$X$3,T244&gt;0),V244+W244,IF(AND(Q244='G-1 All Habitats'!$X$3,AD244&gt;0),"Any Loss Unacceptable ⚠",IF(AND(Q244='G-1 All Habitats'!$X$3,AE244&gt;0),"Any Loss Unacceptable ⚠", E244*G244*I244*L244*N244*P244 ))))),"Check Data ▲")</f>
        <v/>
      </c>
      <c r="S244" s="32"/>
      <c r="T244" s="114"/>
      <c r="U244" s="125"/>
      <c r="V244" s="374" t="str">
        <f t="shared" si="21"/>
        <v/>
      </c>
      <c r="W244" s="374" t="str">
        <f t="shared" si="22"/>
        <v/>
      </c>
      <c r="X244" s="374" t="str">
        <f t="shared" si="23"/>
        <v/>
      </c>
      <c r="Y244" s="670" t="str">
        <f t="shared" si="24"/>
        <v/>
      </c>
      <c r="Z244" s="706"/>
      <c r="AA244" s="704"/>
      <c r="AB244" s="120"/>
      <c r="AC244" s="120"/>
      <c r="AD244" s="57" t="str">
        <f>IF(Q244="","",IF(Q244='G-1 All Habitats'!$X$3,E244-T244-U244,"None"))</f>
        <v/>
      </c>
      <c r="AE244" s="58" t="str">
        <f>IF(Q244="","", IF(Q244='G-1 All Habitats'!$X$3, AD244*G244*I244*L244*N244*P244,"None"))</f>
        <v/>
      </c>
      <c r="AH244" s="30">
        <f t="shared" si="25"/>
        <v>0</v>
      </c>
      <c r="AI244" s="124" t="str">
        <f t="shared" si="26"/>
        <v/>
      </c>
      <c r="AJ244" s="124" t="str">
        <f t="shared" si="27"/>
        <v/>
      </c>
      <c r="AL244" s="124">
        <v>235</v>
      </c>
      <c r="AN244" s="124" t="str">
        <f t="array" ref="AN244">IFERROR(INDEX($AL$10:$AL$258, MATCH(0, IF(TRUE=$AI$10:$AI$258, COUNTIF($AN$9:$AN243, $AL$10:$AL$258), ""), 0)),"")</f>
        <v/>
      </c>
      <c r="AO244" s="124" t="str">
        <f t="array" ref="AO244">IFERROR(INDEX($AL$10:$AL$258, MATCH(0, IF(TRUE=$AJ$10:$AJ$258, COUNTIF($AO$9:$AO243, $AL$10:$AL$258), ""), 0)),"")</f>
        <v/>
      </c>
      <c r="AQ244" s="30" t="str">
        <f>IFERROR(INDEX('G-7 WaterC'' Data'!$AZ$3:$AZ$7,MATCH(D244,'G-7 WaterC'' Data'!$AY$3:$AY$7,0)),"")</f>
        <v/>
      </c>
      <c r="AR244" s="30" t="str">
        <f>IFERROR(INDEX('G-7 WaterC'' Data'!AZ244:AZ248,MATCH(D244,'G-7 WaterC'' Data'!$AY$10:$AY$14,0)),"")</f>
        <v/>
      </c>
    </row>
    <row r="245" spans="3:44" ht="15">
      <c r="C245" s="110">
        <v>236</v>
      </c>
      <c r="D245" s="338"/>
      <c r="E245" s="139"/>
      <c r="F245" s="362" t="str">
        <f>IF(D245="","",VLOOKUP(D245,'G-7 WaterC'' Data'!$B$2:$G$8,2,FALSE))</f>
        <v/>
      </c>
      <c r="G245" s="363" t="str">
        <f>IFERROR(VLOOKUP(F245,'G-7 WaterC'' Data'!$C$4:$D$8,2,FALSE),"")</f>
        <v/>
      </c>
      <c r="H245" s="114"/>
      <c r="I245" s="363" t="str">
        <f>IFERROR(INDEX('G-7 WaterC'' Data'!$H$4:$L$8,MATCH(D245,'G-7 WaterC'' Data'!$B$4:$B$8,0),MATCH(H245,'G-7 WaterC'' Data'!$H$3:$L$3,0)),"")</f>
        <v/>
      </c>
      <c r="J245" s="320"/>
      <c r="K245" s="398" t="str">
        <f>IF(J245="","",IF(VLOOKUP(J245,'G-7 WaterC'' Data'!$AK$4:$AM$6,2,FALSE)=0,"Spatial Data Missing ⚠",VLOOKUP(J245,'G-7 WaterC'' Data'!$AK$4:$AM$6,2,FALSE)))</f>
        <v/>
      </c>
      <c r="L245" s="368" t="str">
        <f>IF(J245="","",IF(VLOOKUP(J245,'G-7 WaterC'' Data'!$AK$4:$AM$9,3,FALSE)=0,"Spatial Data Missing ⚠",VLOOKUP(J245,'G-7 WaterC'' Data'!$AK$4:$AM$6,3,FALSE)))</f>
        <v/>
      </c>
      <c r="M245" s="54"/>
      <c r="N245" s="363" t="str">
        <f>IF(M245="","",IF(VLOOKUP(M245,'G-7 WaterC'' Data'!$AA$4:$AB$7,2,FALSE)=0,"Spatial Data Missing ⚠",VLOOKUP(M245,'G-7 WaterC'' Data'!$AA$4:$AB$7,2,FALSE)))</f>
        <v/>
      </c>
      <c r="O245" s="60"/>
      <c r="P245" s="363" t="str">
        <f>IF(O245="","",IF(VLOOKUP(O245,'G-7 WaterC'' Data'!$AD$4:$AE$14,2,FALSE)=0,"Spatial Data Missing ⚠",VLOOKUP(O245,'G-7 WaterC'' Data'!$AD$4:$AE$14,2,FALSE)))</f>
        <v/>
      </c>
      <c r="Q245" s="369" t="str">
        <f>IF(D245="","",VLOOKUP(D245,'G-7 WaterC'' Data'!$B$2:$G$8,6,FALSE))</f>
        <v/>
      </c>
      <c r="R245" s="376" t="str">
        <f>IFERROR(IF(D245="","",IF(AND(Q245='G-1 All Habitats'!$X$3,U245&gt;0),V245+W245,IF(AND(Q245='G-1 All Habitats'!$X$3,T245&gt;0),V245+W245,IF(AND(Q245='G-1 All Habitats'!$X$3,AD245&gt;0),"Any Loss Unacceptable ⚠",IF(AND(Q245='G-1 All Habitats'!$X$3,AE245&gt;0),"Any Loss Unacceptable ⚠", E245*G245*I245*L245*N245*P245 ))))),"Check Data ▲")</f>
        <v/>
      </c>
      <c r="S245" s="32"/>
      <c r="T245" s="114"/>
      <c r="U245" s="125"/>
      <c r="V245" s="374" t="str">
        <f t="shared" si="21"/>
        <v/>
      </c>
      <c r="W245" s="374" t="str">
        <f t="shared" si="22"/>
        <v/>
      </c>
      <c r="X245" s="374" t="str">
        <f t="shared" si="23"/>
        <v/>
      </c>
      <c r="Y245" s="670" t="str">
        <f t="shared" si="24"/>
        <v/>
      </c>
      <c r="Z245" s="706"/>
      <c r="AA245" s="704"/>
      <c r="AB245" s="120"/>
      <c r="AC245" s="120"/>
      <c r="AD245" s="57" t="str">
        <f>IF(Q245="","",IF(Q245='G-1 All Habitats'!$X$3,E245-T245-U245,"None"))</f>
        <v/>
      </c>
      <c r="AE245" s="58" t="str">
        <f>IF(Q245="","", IF(Q245='G-1 All Habitats'!$X$3, AD245*G245*I245*L245*N245*P245,"None"))</f>
        <v/>
      </c>
      <c r="AH245" s="30">
        <f t="shared" si="25"/>
        <v>0</v>
      </c>
      <c r="AI245" s="124" t="str">
        <f t="shared" si="26"/>
        <v/>
      </c>
      <c r="AJ245" s="124" t="str">
        <f t="shared" si="27"/>
        <v/>
      </c>
      <c r="AL245" s="124">
        <v>236</v>
      </c>
      <c r="AN245" s="124" t="str">
        <f t="array" ref="AN245">IFERROR(INDEX($AL$10:$AL$258, MATCH(0, IF(TRUE=$AI$10:$AI$258, COUNTIF($AN$9:$AN244, $AL$10:$AL$258), ""), 0)),"")</f>
        <v/>
      </c>
      <c r="AO245" s="124" t="str">
        <f t="array" ref="AO245">IFERROR(INDEX($AL$10:$AL$258, MATCH(0, IF(TRUE=$AJ$10:$AJ$258, COUNTIF($AO$9:$AO244, $AL$10:$AL$258), ""), 0)),"")</f>
        <v/>
      </c>
      <c r="AQ245" s="30" t="str">
        <f>IFERROR(INDEX('G-7 WaterC'' Data'!$AZ$3:$AZ$7,MATCH(D245,'G-7 WaterC'' Data'!$AY$3:$AY$7,0)),"")</f>
        <v/>
      </c>
      <c r="AR245" s="30" t="str">
        <f>IFERROR(INDEX('G-7 WaterC'' Data'!AZ245:AZ249,MATCH(D245,'G-7 WaterC'' Data'!$AY$10:$AY$14,0)),"")</f>
        <v/>
      </c>
    </row>
    <row r="246" spans="3:44" ht="15">
      <c r="C246" s="110">
        <v>237</v>
      </c>
      <c r="D246" s="338"/>
      <c r="E246" s="139"/>
      <c r="F246" s="362" t="str">
        <f>IF(D246="","",VLOOKUP(D246,'G-7 WaterC'' Data'!$B$2:$G$8,2,FALSE))</f>
        <v/>
      </c>
      <c r="G246" s="363" t="str">
        <f>IFERROR(VLOOKUP(F246,'G-7 WaterC'' Data'!$C$4:$D$8,2,FALSE),"")</f>
        <v/>
      </c>
      <c r="H246" s="114"/>
      <c r="I246" s="363" t="str">
        <f>IFERROR(INDEX('G-7 WaterC'' Data'!$H$4:$L$8,MATCH(D246,'G-7 WaterC'' Data'!$B$4:$B$8,0),MATCH(H246,'G-7 WaterC'' Data'!$H$3:$L$3,0)),"")</f>
        <v/>
      </c>
      <c r="J246" s="320"/>
      <c r="K246" s="398" t="str">
        <f>IF(J246="","",IF(VLOOKUP(J246,'G-7 WaterC'' Data'!$AK$4:$AM$6,2,FALSE)=0,"Spatial Data Missing ⚠",VLOOKUP(J246,'G-7 WaterC'' Data'!$AK$4:$AM$6,2,FALSE)))</f>
        <v/>
      </c>
      <c r="L246" s="368" t="str">
        <f>IF(J246="","",IF(VLOOKUP(J246,'G-7 WaterC'' Data'!$AK$4:$AM$9,3,FALSE)=0,"Spatial Data Missing ⚠",VLOOKUP(J246,'G-7 WaterC'' Data'!$AK$4:$AM$6,3,FALSE)))</f>
        <v/>
      </c>
      <c r="M246" s="54"/>
      <c r="N246" s="363" t="str">
        <f>IF(M246="","",IF(VLOOKUP(M246,'G-7 WaterC'' Data'!$AA$4:$AB$7,2,FALSE)=0,"Spatial Data Missing ⚠",VLOOKUP(M246,'G-7 WaterC'' Data'!$AA$4:$AB$7,2,FALSE)))</f>
        <v/>
      </c>
      <c r="O246" s="60"/>
      <c r="P246" s="363" t="str">
        <f>IF(O246="","",IF(VLOOKUP(O246,'G-7 WaterC'' Data'!$AD$4:$AE$14,2,FALSE)=0,"Spatial Data Missing ⚠",VLOOKUP(O246,'G-7 WaterC'' Data'!$AD$4:$AE$14,2,FALSE)))</f>
        <v/>
      </c>
      <c r="Q246" s="369" t="str">
        <f>IF(D246="","",VLOOKUP(D246,'G-7 WaterC'' Data'!$B$2:$G$8,6,FALSE))</f>
        <v/>
      </c>
      <c r="R246" s="376" t="str">
        <f>IFERROR(IF(D246="","",IF(AND(Q246='G-1 All Habitats'!$X$3,U246&gt;0),V246+W246,IF(AND(Q246='G-1 All Habitats'!$X$3,T246&gt;0),V246+W246,IF(AND(Q246='G-1 All Habitats'!$X$3,AD246&gt;0),"Any Loss Unacceptable ⚠",IF(AND(Q246='G-1 All Habitats'!$X$3,AE246&gt;0),"Any Loss Unacceptable ⚠", E246*G246*I246*L246*N246*P246 ))))),"Check Data ▲")</f>
        <v/>
      </c>
      <c r="S246" s="32"/>
      <c r="T246" s="114"/>
      <c r="U246" s="125"/>
      <c r="V246" s="374" t="str">
        <f t="shared" si="21"/>
        <v/>
      </c>
      <c r="W246" s="374" t="str">
        <f t="shared" si="22"/>
        <v/>
      </c>
      <c r="X246" s="374" t="str">
        <f t="shared" si="23"/>
        <v/>
      </c>
      <c r="Y246" s="670" t="str">
        <f t="shared" si="24"/>
        <v/>
      </c>
      <c r="Z246" s="706"/>
      <c r="AA246" s="704"/>
      <c r="AB246" s="120"/>
      <c r="AC246" s="120"/>
      <c r="AD246" s="57" t="str">
        <f>IF(Q246="","",IF(Q246='G-1 All Habitats'!$X$3,E246-T246-U246,"None"))</f>
        <v/>
      </c>
      <c r="AE246" s="58" t="str">
        <f>IF(Q246="","", IF(Q246='G-1 All Habitats'!$X$3, AD246*G246*I246*L246*N246*P246,"None"))</f>
        <v/>
      </c>
      <c r="AH246" s="30">
        <f t="shared" si="25"/>
        <v>0</v>
      </c>
      <c r="AI246" s="124" t="str">
        <f t="shared" si="26"/>
        <v/>
      </c>
      <c r="AJ246" s="124" t="str">
        <f t="shared" si="27"/>
        <v/>
      </c>
      <c r="AL246" s="124">
        <v>237</v>
      </c>
      <c r="AN246" s="124" t="str">
        <f t="array" ref="AN246">IFERROR(INDEX($AL$10:$AL$258, MATCH(0, IF(TRUE=$AI$10:$AI$258, COUNTIF($AN$9:$AN245, $AL$10:$AL$258), ""), 0)),"")</f>
        <v/>
      </c>
      <c r="AO246" s="124" t="str">
        <f t="array" ref="AO246">IFERROR(INDEX($AL$10:$AL$258, MATCH(0, IF(TRUE=$AJ$10:$AJ$258, COUNTIF($AO$9:$AO245, $AL$10:$AL$258), ""), 0)),"")</f>
        <v/>
      </c>
      <c r="AQ246" s="30" t="str">
        <f>IFERROR(INDEX('G-7 WaterC'' Data'!$AZ$3:$AZ$7,MATCH(D246,'G-7 WaterC'' Data'!$AY$3:$AY$7,0)),"")</f>
        <v/>
      </c>
      <c r="AR246" s="30" t="str">
        <f>IFERROR(INDEX('G-7 WaterC'' Data'!AZ246:AZ250,MATCH(D246,'G-7 WaterC'' Data'!$AY$10:$AY$14,0)),"")</f>
        <v/>
      </c>
    </row>
    <row r="247" spans="3:44" ht="15">
      <c r="C247" s="110">
        <v>238</v>
      </c>
      <c r="D247" s="338"/>
      <c r="E247" s="139"/>
      <c r="F247" s="362" t="str">
        <f>IF(D247="","",VLOOKUP(D247,'G-7 WaterC'' Data'!$B$2:$G$8,2,FALSE))</f>
        <v/>
      </c>
      <c r="G247" s="363" t="str">
        <f>IFERROR(VLOOKUP(F247,'G-7 WaterC'' Data'!$C$4:$D$8,2,FALSE),"")</f>
        <v/>
      </c>
      <c r="H247" s="114"/>
      <c r="I247" s="363" t="str">
        <f>IFERROR(INDEX('G-7 WaterC'' Data'!$H$4:$L$8,MATCH(D247,'G-7 WaterC'' Data'!$B$4:$B$8,0),MATCH(H247,'G-7 WaterC'' Data'!$H$3:$L$3,0)),"")</f>
        <v/>
      </c>
      <c r="J247" s="320"/>
      <c r="K247" s="398" t="str">
        <f>IF(J247="","",IF(VLOOKUP(J247,'G-7 WaterC'' Data'!$AK$4:$AM$6,2,FALSE)=0,"Spatial Data Missing ⚠",VLOOKUP(J247,'G-7 WaterC'' Data'!$AK$4:$AM$6,2,FALSE)))</f>
        <v/>
      </c>
      <c r="L247" s="368" t="str">
        <f>IF(J247="","",IF(VLOOKUP(J247,'G-7 WaterC'' Data'!$AK$4:$AM$9,3,FALSE)=0,"Spatial Data Missing ⚠",VLOOKUP(J247,'G-7 WaterC'' Data'!$AK$4:$AM$6,3,FALSE)))</f>
        <v/>
      </c>
      <c r="M247" s="54"/>
      <c r="N247" s="363" t="str">
        <f>IF(M247="","",IF(VLOOKUP(M247,'G-7 WaterC'' Data'!$AA$4:$AB$7,2,FALSE)=0,"Spatial Data Missing ⚠",VLOOKUP(M247,'G-7 WaterC'' Data'!$AA$4:$AB$7,2,FALSE)))</f>
        <v/>
      </c>
      <c r="O247" s="60"/>
      <c r="P247" s="363" t="str">
        <f>IF(O247="","",IF(VLOOKUP(O247,'G-7 WaterC'' Data'!$AD$4:$AE$14,2,FALSE)=0,"Spatial Data Missing ⚠",VLOOKUP(O247,'G-7 WaterC'' Data'!$AD$4:$AE$14,2,FALSE)))</f>
        <v/>
      </c>
      <c r="Q247" s="369" t="str">
        <f>IF(D247="","",VLOOKUP(D247,'G-7 WaterC'' Data'!$B$2:$G$8,6,FALSE))</f>
        <v/>
      </c>
      <c r="R247" s="376" t="str">
        <f>IFERROR(IF(D247="","",IF(AND(Q247='G-1 All Habitats'!$X$3,U247&gt;0),V247+W247,IF(AND(Q247='G-1 All Habitats'!$X$3,T247&gt;0),V247+W247,IF(AND(Q247='G-1 All Habitats'!$X$3,AD247&gt;0),"Any Loss Unacceptable ⚠",IF(AND(Q247='G-1 All Habitats'!$X$3,AE247&gt;0),"Any Loss Unacceptable ⚠", E247*G247*I247*L247*N247*P247 ))))),"Check Data ▲")</f>
        <v/>
      </c>
      <c r="S247" s="32"/>
      <c r="T247" s="114"/>
      <c r="U247" s="125"/>
      <c r="V247" s="374" t="str">
        <f t="shared" si="21"/>
        <v/>
      </c>
      <c r="W247" s="374" t="str">
        <f t="shared" si="22"/>
        <v/>
      </c>
      <c r="X247" s="374" t="str">
        <f t="shared" si="23"/>
        <v/>
      </c>
      <c r="Y247" s="670" t="str">
        <f t="shared" si="24"/>
        <v/>
      </c>
      <c r="Z247" s="706"/>
      <c r="AA247" s="704"/>
      <c r="AB247" s="120"/>
      <c r="AC247" s="120"/>
      <c r="AD247" s="57" t="str">
        <f>IF(Q247="","",IF(Q247='G-1 All Habitats'!$X$3,E247-T247-U247,"None"))</f>
        <v/>
      </c>
      <c r="AE247" s="58" t="str">
        <f>IF(Q247="","", IF(Q247='G-1 All Habitats'!$X$3, AD247*G247*I247*L247*N247*P247,"None"))</f>
        <v/>
      </c>
      <c r="AH247" s="30">
        <f t="shared" si="25"/>
        <v>0</v>
      </c>
      <c r="AI247" s="124" t="str">
        <f t="shared" si="26"/>
        <v/>
      </c>
      <c r="AJ247" s="124" t="str">
        <f t="shared" si="27"/>
        <v/>
      </c>
      <c r="AL247" s="124">
        <v>238</v>
      </c>
      <c r="AN247" s="124" t="str">
        <f t="array" ref="AN247">IFERROR(INDEX($AL$10:$AL$258, MATCH(0, IF(TRUE=$AI$10:$AI$258, COUNTIF($AN$9:$AN246, $AL$10:$AL$258), ""), 0)),"")</f>
        <v/>
      </c>
      <c r="AO247" s="124" t="str">
        <f t="array" ref="AO247">IFERROR(INDEX($AL$10:$AL$258, MATCH(0, IF(TRUE=$AJ$10:$AJ$258, COUNTIF($AO$9:$AO246, $AL$10:$AL$258), ""), 0)),"")</f>
        <v/>
      </c>
      <c r="AQ247" s="30" t="str">
        <f>IFERROR(INDEX('G-7 WaterC'' Data'!$AZ$3:$AZ$7,MATCH(D247,'G-7 WaterC'' Data'!$AY$3:$AY$7,0)),"")</f>
        <v/>
      </c>
      <c r="AR247" s="30" t="str">
        <f>IFERROR(INDEX('G-7 WaterC'' Data'!AZ247:AZ251,MATCH(D247,'G-7 WaterC'' Data'!$AY$10:$AY$14,0)),"")</f>
        <v/>
      </c>
    </row>
    <row r="248" spans="3:44" ht="15">
      <c r="C248" s="110">
        <v>239</v>
      </c>
      <c r="D248" s="338"/>
      <c r="E248" s="139"/>
      <c r="F248" s="362" t="str">
        <f>IF(D248="","",VLOOKUP(D248,'G-7 WaterC'' Data'!$B$2:$G$8,2,FALSE))</f>
        <v/>
      </c>
      <c r="G248" s="363" t="str">
        <f>IFERROR(VLOOKUP(F248,'G-7 WaterC'' Data'!$C$4:$D$8,2,FALSE),"")</f>
        <v/>
      </c>
      <c r="H248" s="114"/>
      <c r="I248" s="363" t="str">
        <f>IFERROR(INDEX('G-7 WaterC'' Data'!$H$4:$L$8,MATCH(D248,'G-7 WaterC'' Data'!$B$4:$B$8,0),MATCH(H248,'G-7 WaterC'' Data'!$H$3:$L$3,0)),"")</f>
        <v/>
      </c>
      <c r="J248" s="320"/>
      <c r="K248" s="398" t="str">
        <f>IF(J248="","",IF(VLOOKUP(J248,'G-7 WaterC'' Data'!$AK$4:$AM$6,2,FALSE)=0,"Spatial Data Missing ⚠",VLOOKUP(J248,'G-7 WaterC'' Data'!$AK$4:$AM$6,2,FALSE)))</f>
        <v/>
      </c>
      <c r="L248" s="368" t="str">
        <f>IF(J248="","",IF(VLOOKUP(J248,'G-7 WaterC'' Data'!$AK$4:$AM$9,3,FALSE)=0,"Spatial Data Missing ⚠",VLOOKUP(J248,'G-7 WaterC'' Data'!$AK$4:$AM$6,3,FALSE)))</f>
        <v/>
      </c>
      <c r="M248" s="54"/>
      <c r="N248" s="363" t="str">
        <f>IF(M248="","",IF(VLOOKUP(M248,'G-7 WaterC'' Data'!$AA$4:$AB$7,2,FALSE)=0,"Spatial Data Missing ⚠",VLOOKUP(M248,'G-7 WaterC'' Data'!$AA$4:$AB$7,2,FALSE)))</f>
        <v/>
      </c>
      <c r="O248" s="60"/>
      <c r="P248" s="363" t="str">
        <f>IF(O248="","",IF(VLOOKUP(O248,'G-7 WaterC'' Data'!$AD$4:$AE$14,2,FALSE)=0,"Spatial Data Missing ⚠",VLOOKUP(O248,'G-7 WaterC'' Data'!$AD$4:$AE$14,2,FALSE)))</f>
        <v/>
      </c>
      <c r="Q248" s="369" t="str">
        <f>IF(D248="","",VLOOKUP(D248,'G-7 WaterC'' Data'!$B$2:$G$8,6,FALSE))</f>
        <v/>
      </c>
      <c r="R248" s="376" t="str">
        <f>IFERROR(IF(D248="","",IF(AND(Q248='G-1 All Habitats'!$X$3,U248&gt;0),V248+W248,IF(AND(Q248='G-1 All Habitats'!$X$3,T248&gt;0),V248+W248,IF(AND(Q248='G-1 All Habitats'!$X$3,AD248&gt;0),"Any Loss Unacceptable ⚠",IF(AND(Q248='G-1 All Habitats'!$X$3,AE248&gt;0),"Any Loss Unacceptable ⚠", E248*G248*I248*L248*N248*P248 ))))),"Check Data ▲")</f>
        <v/>
      </c>
      <c r="S248" s="32"/>
      <c r="T248" s="114"/>
      <c r="U248" s="125"/>
      <c r="V248" s="374" t="str">
        <f t="shared" si="21"/>
        <v/>
      </c>
      <c r="W248" s="374" t="str">
        <f t="shared" si="22"/>
        <v/>
      </c>
      <c r="X248" s="374" t="str">
        <f t="shared" si="23"/>
        <v/>
      </c>
      <c r="Y248" s="670" t="str">
        <f t="shared" si="24"/>
        <v/>
      </c>
      <c r="Z248" s="706"/>
      <c r="AA248" s="704"/>
      <c r="AB248" s="120"/>
      <c r="AC248" s="120"/>
      <c r="AD248" s="57" t="str">
        <f>IF(Q248="","",IF(Q248='G-1 All Habitats'!$X$3,E248-T248-U248,"None"))</f>
        <v/>
      </c>
      <c r="AE248" s="58" t="str">
        <f>IF(Q248="","", IF(Q248='G-1 All Habitats'!$X$3, AD248*G248*I248*L248*N248*P248,"None"))</f>
        <v/>
      </c>
      <c r="AH248" s="30">
        <f t="shared" si="25"/>
        <v>0</v>
      </c>
      <c r="AI248" s="124" t="str">
        <f t="shared" si="26"/>
        <v/>
      </c>
      <c r="AJ248" s="124" t="str">
        <f t="shared" si="27"/>
        <v/>
      </c>
      <c r="AL248" s="124">
        <v>239</v>
      </c>
      <c r="AN248" s="124" t="str">
        <f t="array" ref="AN248">IFERROR(INDEX($AL$10:$AL$258, MATCH(0, IF(TRUE=$AI$10:$AI$258, COUNTIF($AN$9:$AN247, $AL$10:$AL$258), ""), 0)),"")</f>
        <v/>
      </c>
      <c r="AO248" s="124" t="str">
        <f t="array" ref="AO248">IFERROR(INDEX($AL$10:$AL$258, MATCH(0, IF(TRUE=$AJ$10:$AJ$258, COUNTIF($AO$9:$AO247, $AL$10:$AL$258), ""), 0)),"")</f>
        <v/>
      </c>
      <c r="AQ248" s="30" t="str">
        <f>IFERROR(INDEX('G-7 WaterC'' Data'!$AZ$3:$AZ$7,MATCH(D248,'G-7 WaterC'' Data'!$AY$3:$AY$7,0)),"")</f>
        <v/>
      </c>
      <c r="AR248" s="30" t="str">
        <f>IFERROR(INDEX('G-7 WaterC'' Data'!AZ248:AZ252,MATCH(D248,'G-7 WaterC'' Data'!$AY$10:$AY$14,0)),"")</f>
        <v/>
      </c>
    </row>
    <row r="249" spans="3:44" ht="15">
      <c r="C249" s="110">
        <v>240</v>
      </c>
      <c r="D249" s="338"/>
      <c r="E249" s="139"/>
      <c r="F249" s="362" t="str">
        <f>IF(D249="","",VLOOKUP(D249,'G-7 WaterC'' Data'!$B$2:$G$8,2,FALSE))</f>
        <v/>
      </c>
      <c r="G249" s="363" t="str">
        <f>IFERROR(VLOOKUP(F249,'G-7 WaterC'' Data'!$C$4:$D$8,2,FALSE),"")</f>
        <v/>
      </c>
      <c r="H249" s="114"/>
      <c r="I249" s="363" t="str">
        <f>IFERROR(INDEX('G-7 WaterC'' Data'!$H$4:$L$8,MATCH(D249,'G-7 WaterC'' Data'!$B$4:$B$8,0),MATCH(H249,'G-7 WaterC'' Data'!$H$3:$L$3,0)),"")</f>
        <v/>
      </c>
      <c r="J249" s="320"/>
      <c r="K249" s="398" t="str">
        <f>IF(J249="","",IF(VLOOKUP(J249,'G-7 WaterC'' Data'!$AK$4:$AM$6,2,FALSE)=0,"Spatial Data Missing ⚠",VLOOKUP(J249,'G-7 WaterC'' Data'!$AK$4:$AM$6,2,FALSE)))</f>
        <v/>
      </c>
      <c r="L249" s="368" t="str">
        <f>IF(J249="","",IF(VLOOKUP(J249,'G-7 WaterC'' Data'!$AK$4:$AM$9,3,FALSE)=0,"Spatial Data Missing ⚠",VLOOKUP(J249,'G-7 WaterC'' Data'!$AK$4:$AM$6,3,FALSE)))</f>
        <v/>
      </c>
      <c r="M249" s="54"/>
      <c r="N249" s="363" t="str">
        <f>IF(M249="","",IF(VLOOKUP(M249,'G-7 WaterC'' Data'!$AA$4:$AB$7,2,FALSE)=0,"Spatial Data Missing ⚠",VLOOKUP(M249,'G-7 WaterC'' Data'!$AA$4:$AB$7,2,FALSE)))</f>
        <v/>
      </c>
      <c r="O249" s="60"/>
      <c r="P249" s="363" t="str">
        <f>IF(O249="","",IF(VLOOKUP(O249,'G-7 WaterC'' Data'!$AD$4:$AE$14,2,FALSE)=0,"Spatial Data Missing ⚠",VLOOKUP(O249,'G-7 WaterC'' Data'!$AD$4:$AE$14,2,FALSE)))</f>
        <v/>
      </c>
      <c r="Q249" s="369" t="str">
        <f>IF(D249="","",VLOOKUP(D249,'G-7 WaterC'' Data'!$B$2:$G$8,6,FALSE))</f>
        <v/>
      </c>
      <c r="R249" s="376" t="str">
        <f>IFERROR(IF(D249="","",IF(AND(Q249='G-1 All Habitats'!$X$3,U249&gt;0),V249+W249,IF(AND(Q249='G-1 All Habitats'!$X$3,T249&gt;0),V249+W249,IF(AND(Q249='G-1 All Habitats'!$X$3,AD249&gt;0),"Any Loss Unacceptable ⚠",IF(AND(Q249='G-1 All Habitats'!$X$3,AE249&gt;0),"Any Loss Unacceptable ⚠", E249*G249*I249*L249*N249*P249 ))))),"Check Data ▲")</f>
        <v/>
      </c>
      <c r="S249" s="32"/>
      <c r="T249" s="114"/>
      <c r="U249" s="125"/>
      <c r="V249" s="374" t="str">
        <f t="shared" si="21"/>
        <v/>
      </c>
      <c r="W249" s="374" t="str">
        <f t="shared" si="22"/>
        <v/>
      </c>
      <c r="X249" s="374" t="str">
        <f t="shared" si="23"/>
        <v/>
      </c>
      <c r="Y249" s="670" t="str">
        <f t="shared" si="24"/>
        <v/>
      </c>
      <c r="Z249" s="706"/>
      <c r="AA249" s="704"/>
      <c r="AB249" s="120"/>
      <c r="AC249" s="120"/>
      <c r="AD249" s="57" t="str">
        <f>IF(Q249="","",IF(Q249='G-1 All Habitats'!$X$3,E249-T249-U249,"None"))</f>
        <v/>
      </c>
      <c r="AE249" s="58" t="str">
        <f>IF(Q249="","", IF(Q249='G-1 All Habitats'!$X$3, AD249*G249*I249*L249*N249*P249,"None"))</f>
        <v/>
      </c>
      <c r="AH249" s="30">
        <f t="shared" si="25"/>
        <v>0</v>
      </c>
      <c r="AI249" s="124" t="str">
        <f t="shared" si="26"/>
        <v/>
      </c>
      <c r="AJ249" s="124" t="str">
        <f t="shared" si="27"/>
        <v/>
      </c>
      <c r="AL249" s="124">
        <v>240</v>
      </c>
      <c r="AN249" s="124" t="str">
        <f t="array" ref="AN249">IFERROR(INDEX($AL$10:$AL$258, MATCH(0, IF(TRUE=$AI$10:$AI$258, COUNTIF($AN$9:$AN248, $AL$10:$AL$258), ""), 0)),"")</f>
        <v/>
      </c>
      <c r="AO249" s="124" t="str">
        <f t="array" ref="AO249">IFERROR(INDEX($AL$10:$AL$258, MATCH(0, IF(TRUE=$AJ$10:$AJ$258, COUNTIF($AO$9:$AO248, $AL$10:$AL$258), ""), 0)),"")</f>
        <v/>
      </c>
      <c r="AQ249" s="30" t="str">
        <f>IFERROR(INDEX('G-7 WaterC'' Data'!$AZ$3:$AZ$7,MATCH(D249,'G-7 WaterC'' Data'!$AY$3:$AY$7,0)),"")</f>
        <v/>
      </c>
      <c r="AR249" s="30" t="str">
        <f>IFERROR(INDEX('G-7 WaterC'' Data'!AZ249:AZ253,MATCH(D249,'G-7 WaterC'' Data'!$AY$10:$AY$14,0)),"")</f>
        <v/>
      </c>
    </row>
    <row r="250" spans="3:44" ht="15">
      <c r="C250" s="110">
        <v>241</v>
      </c>
      <c r="D250" s="338"/>
      <c r="E250" s="139"/>
      <c r="F250" s="362" t="str">
        <f>IF(D250="","",VLOOKUP(D250,'G-7 WaterC'' Data'!$B$2:$G$8,2,FALSE))</f>
        <v/>
      </c>
      <c r="G250" s="363" t="str">
        <f>IFERROR(VLOOKUP(F250,'G-7 WaterC'' Data'!$C$4:$D$8,2,FALSE),"")</f>
        <v/>
      </c>
      <c r="H250" s="114"/>
      <c r="I250" s="363" t="str">
        <f>IFERROR(INDEX('G-7 WaterC'' Data'!$H$4:$L$8,MATCH(D250,'G-7 WaterC'' Data'!$B$4:$B$8,0),MATCH(H250,'G-7 WaterC'' Data'!$H$3:$L$3,0)),"")</f>
        <v/>
      </c>
      <c r="J250" s="320"/>
      <c r="K250" s="398" t="str">
        <f>IF(J250="","",IF(VLOOKUP(J250,'G-7 WaterC'' Data'!$AK$4:$AM$6,2,FALSE)=0,"Spatial Data Missing ⚠",VLOOKUP(J250,'G-7 WaterC'' Data'!$AK$4:$AM$6,2,FALSE)))</f>
        <v/>
      </c>
      <c r="L250" s="368" t="str">
        <f>IF(J250="","",IF(VLOOKUP(J250,'G-7 WaterC'' Data'!$AK$4:$AM$9,3,FALSE)=0,"Spatial Data Missing ⚠",VLOOKUP(J250,'G-7 WaterC'' Data'!$AK$4:$AM$6,3,FALSE)))</f>
        <v/>
      </c>
      <c r="M250" s="54"/>
      <c r="N250" s="363" t="str">
        <f>IF(M250="","",IF(VLOOKUP(M250,'G-7 WaterC'' Data'!$AA$4:$AB$7,2,FALSE)=0,"Spatial Data Missing ⚠",VLOOKUP(M250,'G-7 WaterC'' Data'!$AA$4:$AB$7,2,FALSE)))</f>
        <v/>
      </c>
      <c r="O250" s="60"/>
      <c r="P250" s="363" t="str">
        <f>IF(O250="","",IF(VLOOKUP(O250,'G-7 WaterC'' Data'!$AD$4:$AE$14,2,FALSE)=0,"Spatial Data Missing ⚠",VLOOKUP(O250,'G-7 WaterC'' Data'!$AD$4:$AE$14,2,FALSE)))</f>
        <v/>
      </c>
      <c r="Q250" s="369" t="str">
        <f>IF(D250="","",VLOOKUP(D250,'G-7 WaterC'' Data'!$B$2:$G$8,6,FALSE))</f>
        <v/>
      </c>
      <c r="R250" s="376" t="str">
        <f>IFERROR(IF(D250="","",IF(AND(Q250='G-1 All Habitats'!$X$3,U250&gt;0),V250+W250,IF(AND(Q250='G-1 All Habitats'!$X$3,T250&gt;0),V250+W250,IF(AND(Q250='G-1 All Habitats'!$X$3,AD250&gt;0),"Any Loss Unacceptable ⚠",IF(AND(Q250='G-1 All Habitats'!$X$3,AE250&gt;0),"Any Loss Unacceptable ⚠", E250*G250*I250*L250*N250*P250 ))))),"Check Data ▲")</f>
        <v/>
      </c>
      <c r="S250" s="32"/>
      <c r="T250" s="114"/>
      <c r="U250" s="125"/>
      <c r="V250" s="374" t="str">
        <f t="shared" si="21"/>
        <v/>
      </c>
      <c r="W250" s="374" t="str">
        <f t="shared" si="22"/>
        <v/>
      </c>
      <c r="X250" s="374" t="str">
        <f t="shared" si="23"/>
        <v/>
      </c>
      <c r="Y250" s="670" t="str">
        <f t="shared" si="24"/>
        <v/>
      </c>
      <c r="Z250" s="706"/>
      <c r="AA250" s="704"/>
      <c r="AB250" s="120"/>
      <c r="AC250" s="120"/>
      <c r="AD250" s="57" t="str">
        <f>IF(Q250="","",IF(Q250='G-1 All Habitats'!$X$3,E250-T250-U250,"None"))</f>
        <v/>
      </c>
      <c r="AE250" s="58" t="str">
        <f>IF(Q250="","", IF(Q250='G-1 All Habitats'!$X$3, AD250*G250*I250*L250*N250*P250,"None"))</f>
        <v/>
      </c>
      <c r="AH250" s="30">
        <f t="shared" si="25"/>
        <v>0</v>
      </c>
      <c r="AI250" s="124" t="str">
        <f t="shared" si="26"/>
        <v/>
      </c>
      <c r="AJ250" s="124" t="str">
        <f t="shared" si="27"/>
        <v/>
      </c>
      <c r="AL250" s="124">
        <v>241</v>
      </c>
      <c r="AN250" s="124" t="str">
        <f t="array" ref="AN250">IFERROR(INDEX($AL$10:$AL$258, MATCH(0, IF(TRUE=$AI$10:$AI$258, COUNTIF($AN$9:$AN249, $AL$10:$AL$258), ""), 0)),"")</f>
        <v/>
      </c>
      <c r="AO250" s="124" t="str">
        <f t="array" ref="AO250">IFERROR(INDEX($AL$10:$AL$258, MATCH(0, IF(TRUE=$AJ$10:$AJ$258, COUNTIF($AO$9:$AO249, $AL$10:$AL$258), ""), 0)),"")</f>
        <v/>
      </c>
      <c r="AQ250" s="30" t="str">
        <f>IFERROR(INDEX('G-7 WaterC'' Data'!$AZ$3:$AZ$7,MATCH(D250,'G-7 WaterC'' Data'!$AY$3:$AY$7,0)),"")</f>
        <v/>
      </c>
      <c r="AR250" s="30" t="str">
        <f>IFERROR(INDEX('G-7 WaterC'' Data'!AZ250:AZ254,MATCH(D250,'G-7 WaterC'' Data'!$AY$10:$AY$14,0)),"")</f>
        <v/>
      </c>
    </row>
    <row r="251" spans="3:44" ht="15">
      <c r="C251" s="110">
        <v>242</v>
      </c>
      <c r="D251" s="338"/>
      <c r="E251" s="139"/>
      <c r="F251" s="362" t="str">
        <f>IF(D251="","",VLOOKUP(D251,'G-7 WaterC'' Data'!$B$2:$G$8,2,FALSE))</f>
        <v/>
      </c>
      <c r="G251" s="363" t="str">
        <f>IFERROR(VLOOKUP(F251,'G-7 WaterC'' Data'!$C$4:$D$8,2,FALSE),"")</f>
        <v/>
      </c>
      <c r="H251" s="114"/>
      <c r="I251" s="363" t="str">
        <f>IFERROR(INDEX('G-7 WaterC'' Data'!$H$4:$L$8,MATCH(D251,'G-7 WaterC'' Data'!$B$4:$B$8,0),MATCH(H251,'G-7 WaterC'' Data'!$H$3:$L$3,0)),"")</f>
        <v/>
      </c>
      <c r="J251" s="320"/>
      <c r="K251" s="398" t="str">
        <f>IF(J251="","",IF(VLOOKUP(J251,'G-7 WaterC'' Data'!$AK$4:$AM$6,2,FALSE)=0,"Spatial Data Missing ⚠",VLOOKUP(J251,'G-7 WaterC'' Data'!$AK$4:$AM$6,2,FALSE)))</f>
        <v/>
      </c>
      <c r="L251" s="368" t="str">
        <f>IF(J251="","",IF(VLOOKUP(J251,'G-7 WaterC'' Data'!$AK$4:$AM$9,3,FALSE)=0,"Spatial Data Missing ⚠",VLOOKUP(J251,'G-7 WaterC'' Data'!$AK$4:$AM$6,3,FALSE)))</f>
        <v/>
      </c>
      <c r="M251" s="54"/>
      <c r="N251" s="363" t="str">
        <f>IF(M251="","",IF(VLOOKUP(M251,'G-7 WaterC'' Data'!$AA$4:$AB$7,2,FALSE)=0,"Spatial Data Missing ⚠",VLOOKUP(M251,'G-7 WaterC'' Data'!$AA$4:$AB$7,2,FALSE)))</f>
        <v/>
      </c>
      <c r="O251" s="60"/>
      <c r="P251" s="363" t="str">
        <f>IF(O251="","",IF(VLOOKUP(O251,'G-7 WaterC'' Data'!$AD$4:$AE$14,2,FALSE)=0,"Spatial Data Missing ⚠",VLOOKUP(O251,'G-7 WaterC'' Data'!$AD$4:$AE$14,2,FALSE)))</f>
        <v/>
      </c>
      <c r="Q251" s="369" t="str">
        <f>IF(D251="","",VLOOKUP(D251,'G-7 WaterC'' Data'!$B$2:$G$8,6,FALSE))</f>
        <v/>
      </c>
      <c r="R251" s="376" t="str">
        <f>IFERROR(IF(D251="","",IF(AND(Q251='G-1 All Habitats'!$X$3,U251&gt;0),V251+W251,IF(AND(Q251='G-1 All Habitats'!$X$3,T251&gt;0),V251+W251,IF(AND(Q251='G-1 All Habitats'!$X$3,AD251&gt;0),"Any Loss Unacceptable ⚠",IF(AND(Q251='G-1 All Habitats'!$X$3,AE251&gt;0),"Any Loss Unacceptable ⚠", E251*G251*I251*L251*N251*P251 ))))),"Check Data ▲")</f>
        <v/>
      </c>
      <c r="S251" s="32"/>
      <c r="T251" s="114"/>
      <c r="U251" s="125"/>
      <c r="V251" s="374" t="str">
        <f t="shared" si="21"/>
        <v/>
      </c>
      <c r="W251" s="374" t="str">
        <f t="shared" si="22"/>
        <v/>
      </c>
      <c r="X251" s="374" t="str">
        <f t="shared" si="23"/>
        <v/>
      </c>
      <c r="Y251" s="670" t="str">
        <f t="shared" si="24"/>
        <v/>
      </c>
      <c r="Z251" s="706"/>
      <c r="AA251" s="704"/>
      <c r="AB251" s="120"/>
      <c r="AC251" s="120"/>
      <c r="AD251" s="57" t="str">
        <f>IF(Q251="","",IF(Q251='G-1 All Habitats'!$X$3,E251-T251-U251,"None"))</f>
        <v/>
      </c>
      <c r="AE251" s="58" t="str">
        <f>IF(Q251="","", IF(Q251='G-1 All Habitats'!$X$3, AD251*G251*I251*L251*N251*P251,"None"))</f>
        <v/>
      </c>
      <c r="AH251" s="30">
        <f t="shared" si="25"/>
        <v>0</v>
      </c>
      <c r="AI251" s="124" t="str">
        <f t="shared" si="26"/>
        <v/>
      </c>
      <c r="AJ251" s="124" t="str">
        <f t="shared" si="27"/>
        <v/>
      </c>
      <c r="AL251" s="124">
        <v>242</v>
      </c>
      <c r="AN251" s="124" t="str">
        <f t="array" ref="AN251">IFERROR(INDEX($AL$10:$AL$258, MATCH(0, IF(TRUE=$AI$10:$AI$258, COUNTIF($AN$9:$AN250, $AL$10:$AL$258), ""), 0)),"")</f>
        <v/>
      </c>
      <c r="AO251" s="124" t="str">
        <f t="array" ref="AO251">IFERROR(INDEX($AL$10:$AL$258, MATCH(0, IF(TRUE=$AJ$10:$AJ$258, COUNTIF($AO$9:$AO250, $AL$10:$AL$258), ""), 0)),"")</f>
        <v/>
      </c>
      <c r="AQ251" s="30" t="str">
        <f>IFERROR(INDEX('G-7 WaterC'' Data'!$AZ$3:$AZ$7,MATCH(D251,'G-7 WaterC'' Data'!$AY$3:$AY$7,0)),"")</f>
        <v/>
      </c>
      <c r="AR251" s="30" t="str">
        <f>IFERROR(INDEX('G-7 WaterC'' Data'!AZ251:AZ255,MATCH(D251,'G-7 WaterC'' Data'!$AY$10:$AY$14,0)),"")</f>
        <v/>
      </c>
    </row>
    <row r="252" spans="3:44" ht="15">
      <c r="C252" s="110">
        <v>243</v>
      </c>
      <c r="D252" s="338"/>
      <c r="E252" s="139"/>
      <c r="F252" s="362" t="str">
        <f>IF(D252="","",VLOOKUP(D252,'G-7 WaterC'' Data'!$B$2:$G$8,2,FALSE))</f>
        <v/>
      </c>
      <c r="G252" s="363" t="str">
        <f>IFERROR(VLOOKUP(F252,'G-7 WaterC'' Data'!$C$4:$D$8,2,FALSE),"")</f>
        <v/>
      </c>
      <c r="H252" s="114"/>
      <c r="I252" s="363" t="str">
        <f>IFERROR(INDEX('G-7 WaterC'' Data'!$H$4:$L$8,MATCH(D252,'G-7 WaterC'' Data'!$B$4:$B$8,0),MATCH(H252,'G-7 WaterC'' Data'!$H$3:$L$3,0)),"")</f>
        <v/>
      </c>
      <c r="J252" s="320"/>
      <c r="K252" s="398" t="str">
        <f>IF(J252="","",IF(VLOOKUP(J252,'G-7 WaterC'' Data'!$AK$4:$AM$6,2,FALSE)=0,"Spatial Data Missing ⚠",VLOOKUP(J252,'G-7 WaterC'' Data'!$AK$4:$AM$6,2,FALSE)))</f>
        <v/>
      </c>
      <c r="L252" s="368" t="str">
        <f>IF(J252="","",IF(VLOOKUP(J252,'G-7 WaterC'' Data'!$AK$4:$AM$9,3,FALSE)=0,"Spatial Data Missing ⚠",VLOOKUP(J252,'G-7 WaterC'' Data'!$AK$4:$AM$6,3,FALSE)))</f>
        <v/>
      </c>
      <c r="M252" s="54"/>
      <c r="N252" s="363" t="str">
        <f>IF(M252="","",IF(VLOOKUP(M252,'G-7 WaterC'' Data'!$AA$4:$AB$7,2,FALSE)=0,"Spatial Data Missing ⚠",VLOOKUP(M252,'G-7 WaterC'' Data'!$AA$4:$AB$7,2,FALSE)))</f>
        <v/>
      </c>
      <c r="O252" s="60"/>
      <c r="P252" s="363" t="str">
        <f>IF(O252="","",IF(VLOOKUP(O252,'G-7 WaterC'' Data'!$AD$4:$AE$14,2,FALSE)=0,"Spatial Data Missing ⚠",VLOOKUP(O252,'G-7 WaterC'' Data'!$AD$4:$AE$14,2,FALSE)))</f>
        <v/>
      </c>
      <c r="Q252" s="369" t="str">
        <f>IF(D252="","",VLOOKUP(D252,'G-7 WaterC'' Data'!$B$2:$G$8,6,FALSE))</f>
        <v/>
      </c>
      <c r="R252" s="376" t="str">
        <f>IFERROR(IF(D252="","",IF(AND(Q252='G-1 All Habitats'!$X$3,U252&gt;0),V252+W252,IF(AND(Q252='G-1 All Habitats'!$X$3,T252&gt;0),V252+W252,IF(AND(Q252='G-1 All Habitats'!$X$3,AD252&gt;0),"Any Loss Unacceptable ⚠",IF(AND(Q252='G-1 All Habitats'!$X$3,AE252&gt;0),"Any Loss Unacceptable ⚠", E252*G252*I252*L252*N252*P252 ))))),"Check Data ▲")</f>
        <v/>
      </c>
      <c r="S252" s="32"/>
      <c r="T252" s="114"/>
      <c r="U252" s="125"/>
      <c r="V252" s="374" t="str">
        <f t="shared" si="21"/>
        <v/>
      </c>
      <c r="W252" s="374" t="str">
        <f t="shared" si="22"/>
        <v/>
      </c>
      <c r="X252" s="374" t="str">
        <f t="shared" si="23"/>
        <v/>
      </c>
      <c r="Y252" s="670" t="str">
        <f t="shared" si="24"/>
        <v/>
      </c>
      <c r="Z252" s="706"/>
      <c r="AA252" s="704"/>
      <c r="AB252" s="120"/>
      <c r="AC252" s="120"/>
      <c r="AD252" s="57" t="str">
        <f>IF(Q252="","",IF(Q252='G-1 All Habitats'!$X$3,E252-T252-U252,"None"))</f>
        <v/>
      </c>
      <c r="AE252" s="58" t="str">
        <f>IF(Q252="","", IF(Q252='G-1 All Habitats'!$X$3, AD252*G252*I252*L252*N252*P252,"None"))</f>
        <v/>
      </c>
      <c r="AH252" s="30">
        <f t="shared" si="25"/>
        <v>0</v>
      </c>
      <c r="AI252" s="124" t="str">
        <f t="shared" si="26"/>
        <v/>
      </c>
      <c r="AJ252" s="124" t="str">
        <f t="shared" si="27"/>
        <v/>
      </c>
      <c r="AL252" s="124">
        <v>243</v>
      </c>
      <c r="AN252" s="124" t="str">
        <f t="array" ref="AN252">IFERROR(INDEX($AL$10:$AL$258, MATCH(0, IF(TRUE=$AI$10:$AI$258, COUNTIF($AN$9:$AN251, $AL$10:$AL$258), ""), 0)),"")</f>
        <v/>
      </c>
      <c r="AO252" s="124" t="str">
        <f t="array" ref="AO252">IFERROR(INDEX($AL$10:$AL$258, MATCH(0, IF(TRUE=$AJ$10:$AJ$258, COUNTIF($AO$9:$AO251, $AL$10:$AL$258), ""), 0)),"")</f>
        <v/>
      </c>
      <c r="AQ252" s="30" t="str">
        <f>IFERROR(INDEX('G-7 WaterC'' Data'!$AZ$3:$AZ$7,MATCH(D252,'G-7 WaterC'' Data'!$AY$3:$AY$7,0)),"")</f>
        <v/>
      </c>
      <c r="AR252" s="30" t="str">
        <f>IFERROR(INDEX('G-7 WaterC'' Data'!AZ252:AZ256,MATCH(D252,'G-7 WaterC'' Data'!$AY$10:$AY$14,0)),"")</f>
        <v/>
      </c>
    </row>
    <row r="253" spans="3:44" ht="15">
      <c r="C253" s="110">
        <v>244</v>
      </c>
      <c r="D253" s="338"/>
      <c r="E253" s="139"/>
      <c r="F253" s="362" t="str">
        <f>IF(D253="","",VLOOKUP(D253,'G-7 WaterC'' Data'!$B$2:$G$8,2,FALSE))</f>
        <v/>
      </c>
      <c r="G253" s="363" t="str">
        <f>IFERROR(VLOOKUP(F253,'G-7 WaterC'' Data'!$C$4:$D$8,2,FALSE),"")</f>
        <v/>
      </c>
      <c r="H253" s="114"/>
      <c r="I253" s="363" t="str">
        <f>IFERROR(INDEX('G-7 WaterC'' Data'!$H$4:$L$8,MATCH(D253,'G-7 WaterC'' Data'!$B$4:$B$8,0),MATCH(H253,'G-7 WaterC'' Data'!$H$3:$L$3,0)),"")</f>
        <v/>
      </c>
      <c r="J253" s="320"/>
      <c r="K253" s="398" t="str">
        <f>IF(J253="","",IF(VLOOKUP(J253,'G-7 WaterC'' Data'!$AK$4:$AM$6,2,FALSE)=0,"Spatial Data Missing ⚠",VLOOKUP(J253,'G-7 WaterC'' Data'!$AK$4:$AM$6,2,FALSE)))</f>
        <v/>
      </c>
      <c r="L253" s="368" t="str">
        <f>IF(J253="","",IF(VLOOKUP(J253,'G-7 WaterC'' Data'!$AK$4:$AM$9,3,FALSE)=0,"Spatial Data Missing ⚠",VLOOKUP(J253,'G-7 WaterC'' Data'!$AK$4:$AM$6,3,FALSE)))</f>
        <v/>
      </c>
      <c r="M253" s="54"/>
      <c r="N253" s="363" t="str">
        <f>IF(M253="","",IF(VLOOKUP(M253,'G-7 WaterC'' Data'!$AA$4:$AB$7,2,FALSE)=0,"Spatial Data Missing ⚠",VLOOKUP(M253,'G-7 WaterC'' Data'!$AA$4:$AB$7,2,FALSE)))</f>
        <v/>
      </c>
      <c r="O253" s="60"/>
      <c r="P253" s="363" t="str">
        <f>IF(O253="","",IF(VLOOKUP(O253,'G-7 WaterC'' Data'!$AD$4:$AE$14,2,FALSE)=0,"Spatial Data Missing ⚠",VLOOKUP(O253,'G-7 WaterC'' Data'!$AD$4:$AE$14,2,FALSE)))</f>
        <v/>
      </c>
      <c r="Q253" s="369" t="str">
        <f>IF(D253="","",VLOOKUP(D253,'G-7 WaterC'' Data'!$B$2:$G$8,6,FALSE))</f>
        <v/>
      </c>
      <c r="R253" s="376" t="str">
        <f>IFERROR(IF(D253="","",IF(AND(Q253='G-1 All Habitats'!$X$3,U253&gt;0),V253+W253,IF(AND(Q253='G-1 All Habitats'!$X$3,T253&gt;0),V253+W253,IF(AND(Q253='G-1 All Habitats'!$X$3,AD253&gt;0),"Any Loss Unacceptable ⚠",IF(AND(Q253='G-1 All Habitats'!$X$3,AE253&gt;0),"Any Loss Unacceptable ⚠", E253*G253*I253*L253*N253*P253 ))))),"Check Data ▲")</f>
        <v/>
      </c>
      <c r="S253" s="32"/>
      <c r="T253" s="114"/>
      <c r="U253" s="125"/>
      <c r="V253" s="374" t="str">
        <f t="shared" si="21"/>
        <v/>
      </c>
      <c r="W253" s="374" t="str">
        <f t="shared" si="22"/>
        <v/>
      </c>
      <c r="X253" s="374" t="str">
        <f t="shared" si="23"/>
        <v/>
      </c>
      <c r="Y253" s="670" t="str">
        <f t="shared" si="24"/>
        <v/>
      </c>
      <c r="Z253" s="706"/>
      <c r="AA253" s="704"/>
      <c r="AB253" s="120"/>
      <c r="AC253" s="120"/>
      <c r="AD253" s="57" t="str">
        <f>IF(Q253="","",IF(Q253='G-1 All Habitats'!$X$3,E253-T253-U253,"None"))</f>
        <v/>
      </c>
      <c r="AE253" s="58" t="str">
        <f>IF(Q253="","", IF(Q253='G-1 All Habitats'!$X$3, AD253*G253*I253*L253*N253*P253,"None"))</f>
        <v/>
      </c>
      <c r="AH253" s="30">
        <f t="shared" si="25"/>
        <v>0</v>
      </c>
      <c r="AI253" s="124" t="str">
        <f t="shared" si="26"/>
        <v/>
      </c>
      <c r="AJ253" s="124" t="str">
        <f t="shared" si="27"/>
        <v/>
      </c>
      <c r="AL253" s="124">
        <v>244</v>
      </c>
      <c r="AN253" s="124" t="str">
        <f t="array" ref="AN253">IFERROR(INDEX($AL$10:$AL$258, MATCH(0, IF(TRUE=$AI$10:$AI$258, COUNTIF($AN$9:$AN252, $AL$10:$AL$258), ""), 0)),"")</f>
        <v/>
      </c>
      <c r="AO253" s="124" t="str">
        <f t="array" ref="AO253">IFERROR(INDEX($AL$10:$AL$258, MATCH(0, IF(TRUE=$AJ$10:$AJ$258, COUNTIF($AO$9:$AO252, $AL$10:$AL$258), ""), 0)),"")</f>
        <v/>
      </c>
      <c r="AQ253" s="30" t="str">
        <f>IFERROR(INDEX('G-7 WaterC'' Data'!$AZ$3:$AZ$7,MATCH(D253,'G-7 WaterC'' Data'!$AY$3:$AY$7,0)),"")</f>
        <v/>
      </c>
      <c r="AR253" s="30" t="str">
        <f>IFERROR(INDEX('G-7 WaterC'' Data'!AZ253:AZ257,MATCH(D253,'G-7 WaterC'' Data'!$AY$10:$AY$14,0)),"")</f>
        <v/>
      </c>
    </row>
    <row r="254" spans="3:44" ht="15">
      <c r="C254" s="110">
        <v>245</v>
      </c>
      <c r="D254" s="338"/>
      <c r="E254" s="139"/>
      <c r="F254" s="362" t="str">
        <f>IF(D254="","",VLOOKUP(D254,'G-7 WaterC'' Data'!$B$2:$G$8,2,FALSE))</f>
        <v/>
      </c>
      <c r="G254" s="363" t="str">
        <f>IFERROR(VLOOKUP(F254,'G-7 WaterC'' Data'!$C$4:$D$8,2,FALSE),"")</f>
        <v/>
      </c>
      <c r="H254" s="114"/>
      <c r="I254" s="363" t="str">
        <f>IFERROR(INDEX('G-7 WaterC'' Data'!$H$4:$L$8,MATCH(D254,'G-7 WaterC'' Data'!$B$4:$B$8,0),MATCH(H254,'G-7 WaterC'' Data'!$H$3:$L$3,0)),"")</f>
        <v/>
      </c>
      <c r="J254" s="320"/>
      <c r="K254" s="398" t="str">
        <f>IF(J254="","",IF(VLOOKUP(J254,'G-7 WaterC'' Data'!$AK$4:$AM$6,2,FALSE)=0,"Spatial Data Missing ⚠",VLOOKUP(J254,'G-7 WaterC'' Data'!$AK$4:$AM$6,2,FALSE)))</f>
        <v/>
      </c>
      <c r="L254" s="368" t="str">
        <f>IF(J254="","",IF(VLOOKUP(J254,'G-7 WaterC'' Data'!$AK$4:$AM$9,3,FALSE)=0,"Spatial Data Missing ⚠",VLOOKUP(J254,'G-7 WaterC'' Data'!$AK$4:$AM$6,3,FALSE)))</f>
        <v/>
      </c>
      <c r="M254" s="54"/>
      <c r="N254" s="363" t="str">
        <f>IF(M254="","",IF(VLOOKUP(M254,'G-7 WaterC'' Data'!$AA$4:$AB$7,2,FALSE)=0,"Spatial Data Missing ⚠",VLOOKUP(M254,'G-7 WaterC'' Data'!$AA$4:$AB$7,2,FALSE)))</f>
        <v/>
      </c>
      <c r="O254" s="60"/>
      <c r="P254" s="363" t="str">
        <f>IF(O254="","",IF(VLOOKUP(O254,'G-7 WaterC'' Data'!$AD$4:$AE$14,2,FALSE)=0,"Spatial Data Missing ⚠",VLOOKUP(O254,'G-7 WaterC'' Data'!$AD$4:$AE$14,2,FALSE)))</f>
        <v/>
      </c>
      <c r="Q254" s="369" t="str">
        <f>IF(D254="","",VLOOKUP(D254,'G-7 WaterC'' Data'!$B$2:$G$8,6,FALSE))</f>
        <v/>
      </c>
      <c r="R254" s="376" t="str">
        <f>IFERROR(IF(D254="","",IF(AND(Q254='G-1 All Habitats'!$X$3,U254&gt;0),V254+W254,IF(AND(Q254='G-1 All Habitats'!$X$3,T254&gt;0),V254+W254,IF(AND(Q254='G-1 All Habitats'!$X$3,AD254&gt;0),"Any Loss Unacceptable ⚠",IF(AND(Q254='G-1 All Habitats'!$X$3,AE254&gt;0),"Any Loss Unacceptable ⚠", E254*G254*I254*L254*N254*P254 ))))),"Check Data ▲")</f>
        <v/>
      </c>
      <c r="S254" s="32"/>
      <c r="T254" s="114"/>
      <c r="U254" s="125"/>
      <c r="V254" s="374" t="str">
        <f t="shared" si="21"/>
        <v/>
      </c>
      <c r="W254" s="374" t="str">
        <f t="shared" si="22"/>
        <v/>
      </c>
      <c r="X254" s="374" t="str">
        <f t="shared" si="23"/>
        <v/>
      </c>
      <c r="Y254" s="670" t="str">
        <f t="shared" si="24"/>
        <v/>
      </c>
      <c r="Z254" s="706"/>
      <c r="AA254" s="704"/>
      <c r="AB254" s="120"/>
      <c r="AC254" s="120"/>
      <c r="AD254" s="57" t="str">
        <f>IF(Q254="","",IF(Q254='G-1 All Habitats'!$X$3,E254-T254-U254,"None"))</f>
        <v/>
      </c>
      <c r="AE254" s="58" t="str">
        <f>IF(Q254="","", IF(Q254='G-1 All Habitats'!$X$3, AD254*G254*I254*L254*N254*P254,"None"))</f>
        <v/>
      </c>
      <c r="AH254" s="30">
        <f t="shared" si="25"/>
        <v>0</v>
      </c>
      <c r="AI254" s="124" t="str">
        <f t="shared" si="26"/>
        <v/>
      </c>
      <c r="AJ254" s="124" t="str">
        <f t="shared" si="27"/>
        <v/>
      </c>
      <c r="AL254" s="124">
        <v>245</v>
      </c>
      <c r="AN254" s="124" t="str">
        <f t="array" ref="AN254">IFERROR(INDEX($AL$10:$AL$258, MATCH(0, IF(TRUE=$AI$10:$AI$258, COUNTIF($AN$9:$AN253, $AL$10:$AL$258), ""), 0)),"")</f>
        <v/>
      </c>
      <c r="AO254" s="124" t="str">
        <f t="array" ref="AO254">IFERROR(INDEX($AL$10:$AL$258, MATCH(0, IF(TRUE=$AJ$10:$AJ$258, COUNTIF($AO$9:$AO253, $AL$10:$AL$258), ""), 0)),"")</f>
        <v/>
      </c>
      <c r="AQ254" s="30" t="str">
        <f>IFERROR(INDEX('G-7 WaterC'' Data'!$AZ$3:$AZ$7,MATCH(D254,'G-7 WaterC'' Data'!$AY$3:$AY$7,0)),"")</f>
        <v/>
      </c>
      <c r="AR254" s="30" t="str">
        <f>IFERROR(INDEX('G-7 WaterC'' Data'!AZ254:AZ258,MATCH(D254,'G-7 WaterC'' Data'!$AY$10:$AY$14,0)),"")</f>
        <v/>
      </c>
    </row>
    <row r="255" spans="3:44" ht="15">
      <c r="C255" s="110">
        <v>246</v>
      </c>
      <c r="D255" s="338"/>
      <c r="E255" s="139"/>
      <c r="F255" s="362" t="str">
        <f>IF(D255="","",VLOOKUP(D255,'G-7 WaterC'' Data'!$B$2:$G$8,2,FALSE))</f>
        <v/>
      </c>
      <c r="G255" s="363" t="str">
        <f>IFERROR(VLOOKUP(F255,'G-7 WaterC'' Data'!$C$4:$D$8,2,FALSE),"")</f>
        <v/>
      </c>
      <c r="H255" s="114"/>
      <c r="I255" s="363" t="str">
        <f>IFERROR(INDEX('G-7 WaterC'' Data'!$H$4:$L$8,MATCH(D255,'G-7 WaterC'' Data'!$B$4:$B$8,0),MATCH(H255,'G-7 WaterC'' Data'!$H$3:$L$3,0)),"")</f>
        <v/>
      </c>
      <c r="J255" s="320"/>
      <c r="K255" s="398" t="str">
        <f>IF(J255="","",IF(VLOOKUP(J255,'G-7 WaterC'' Data'!$AK$4:$AM$6,2,FALSE)=0,"Spatial Data Missing ⚠",VLOOKUP(J255,'G-7 WaterC'' Data'!$AK$4:$AM$6,2,FALSE)))</f>
        <v/>
      </c>
      <c r="L255" s="368" t="str">
        <f>IF(J255="","",IF(VLOOKUP(J255,'G-7 WaterC'' Data'!$AK$4:$AM$9,3,FALSE)=0,"Spatial Data Missing ⚠",VLOOKUP(J255,'G-7 WaterC'' Data'!$AK$4:$AM$6,3,FALSE)))</f>
        <v/>
      </c>
      <c r="M255" s="54"/>
      <c r="N255" s="363" t="str">
        <f>IF(M255="","",IF(VLOOKUP(M255,'G-7 WaterC'' Data'!$AA$4:$AB$7,2,FALSE)=0,"Spatial Data Missing ⚠",VLOOKUP(M255,'G-7 WaterC'' Data'!$AA$4:$AB$7,2,FALSE)))</f>
        <v/>
      </c>
      <c r="O255" s="60"/>
      <c r="P255" s="363" t="str">
        <f>IF(O255="","",IF(VLOOKUP(O255,'G-7 WaterC'' Data'!$AD$4:$AE$14,2,FALSE)=0,"Spatial Data Missing ⚠",VLOOKUP(O255,'G-7 WaterC'' Data'!$AD$4:$AE$14,2,FALSE)))</f>
        <v/>
      </c>
      <c r="Q255" s="369" t="str">
        <f>IF(D255="","",VLOOKUP(D255,'G-7 WaterC'' Data'!$B$2:$G$8,6,FALSE))</f>
        <v/>
      </c>
      <c r="R255" s="376" t="str">
        <f>IFERROR(IF(D255="","",IF(AND(Q255='G-1 All Habitats'!$X$3,U255&gt;0),V255+W255,IF(AND(Q255='G-1 All Habitats'!$X$3,T255&gt;0),V255+W255,IF(AND(Q255='G-1 All Habitats'!$X$3,AD255&gt;0),"Any Loss Unacceptable ⚠",IF(AND(Q255='G-1 All Habitats'!$X$3,AE255&gt;0),"Any Loss Unacceptable ⚠", E255*G255*I255*L255*N255*P255 ))))),"Check Data ▲")</f>
        <v/>
      </c>
      <c r="S255" s="32"/>
      <c r="T255" s="114"/>
      <c r="U255" s="125"/>
      <c r="V255" s="374" t="str">
        <f t="shared" si="21"/>
        <v/>
      </c>
      <c r="W255" s="374" t="str">
        <f t="shared" si="22"/>
        <v/>
      </c>
      <c r="X255" s="374" t="str">
        <f t="shared" si="23"/>
        <v/>
      </c>
      <c r="Y255" s="670" t="str">
        <f t="shared" si="24"/>
        <v/>
      </c>
      <c r="Z255" s="706"/>
      <c r="AA255" s="704"/>
      <c r="AB255" s="120"/>
      <c r="AC255" s="120"/>
      <c r="AD255" s="57" t="str">
        <f>IF(Q255="","",IF(Q255='G-1 All Habitats'!$X$3,E255-T255-U255,"None"))</f>
        <v/>
      </c>
      <c r="AE255" s="58" t="str">
        <f>IF(Q255="","", IF(Q255='G-1 All Habitats'!$X$3, AD255*G255*I255*L255*N255*P255,"None"))</f>
        <v/>
      </c>
      <c r="AH255" s="30">
        <f t="shared" si="25"/>
        <v>0</v>
      </c>
      <c r="AI255" s="124" t="str">
        <f t="shared" si="26"/>
        <v/>
      </c>
      <c r="AJ255" s="124" t="str">
        <f t="shared" si="27"/>
        <v/>
      </c>
      <c r="AL255" s="124">
        <v>246</v>
      </c>
      <c r="AN255" s="124" t="str">
        <f t="array" ref="AN255">IFERROR(INDEX($AL$10:$AL$258, MATCH(0, IF(TRUE=$AI$10:$AI$258, COUNTIF($AN$9:$AN254, $AL$10:$AL$258), ""), 0)),"")</f>
        <v/>
      </c>
      <c r="AO255" s="124" t="str">
        <f t="array" ref="AO255">IFERROR(INDEX($AL$10:$AL$258, MATCH(0, IF(TRUE=$AJ$10:$AJ$258, COUNTIF($AO$9:$AO254, $AL$10:$AL$258), ""), 0)),"")</f>
        <v/>
      </c>
      <c r="AQ255" s="30" t="str">
        <f>IFERROR(INDEX('G-7 WaterC'' Data'!$AZ$3:$AZ$7,MATCH(D255,'G-7 WaterC'' Data'!$AY$3:$AY$7,0)),"")</f>
        <v/>
      </c>
      <c r="AR255" s="30" t="str">
        <f>IFERROR(INDEX('G-7 WaterC'' Data'!AZ255:AZ259,MATCH(D255,'G-7 WaterC'' Data'!$AY$10:$AY$14,0)),"")</f>
        <v/>
      </c>
    </row>
    <row r="256" spans="3:44" ht="15">
      <c r="C256" s="110">
        <v>247</v>
      </c>
      <c r="D256" s="338"/>
      <c r="E256" s="139"/>
      <c r="F256" s="362" t="str">
        <f>IF(D256="","",VLOOKUP(D256,'G-7 WaterC'' Data'!$B$2:$G$8,2,FALSE))</f>
        <v/>
      </c>
      <c r="G256" s="363" t="str">
        <f>IFERROR(VLOOKUP(F256,'G-7 WaterC'' Data'!$C$4:$D$8,2,FALSE),"")</f>
        <v/>
      </c>
      <c r="H256" s="114"/>
      <c r="I256" s="363" t="str">
        <f>IFERROR(INDEX('G-7 WaterC'' Data'!$H$4:$L$8,MATCH(D256,'G-7 WaterC'' Data'!$B$4:$B$8,0),MATCH(H256,'G-7 WaterC'' Data'!$H$3:$L$3,0)),"")</f>
        <v/>
      </c>
      <c r="J256" s="320"/>
      <c r="K256" s="398" t="str">
        <f>IF(J256="","",IF(VLOOKUP(J256,'G-7 WaterC'' Data'!$AK$4:$AM$6,2,FALSE)=0,"Spatial Data Missing ⚠",VLOOKUP(J256,'G-7 WaterC'' Data'!$AK$4:$AM$6,2,FALSE)))</f>
        <v/>
      </c>
      <c r="L256" s="368" t="str">
        <f>IF(J256="","",IF(VLOOKUP(J256,'G-7 WaterC'' Data'!$AK$4:$AM$9,3,FALSE)=0,"Spatial Data Missing ⚠",VLOOKUP(J256,'G-7 WaterC'' Data'!$AK$4:$AM$6,3,FALSE)))</f>
        <v/>
      </c>
      <c r="M256" s="54"/>
      <c r="N256" s="363" t="str">
        <f>IF(M256="","",IF(VLOOKUP(M256,'G-7 WaterC'' Data'!$AA$4:$AB$7,2,FALSE)=0,"Spatial Data Missing ⚠",VLOOKUP(M256,'G-7 WaterC'' Data'!$AA$4:$AB$7,2,FALSE)))</f>
        <v/>
      </c>
      <c r="O256" s="60"/>
      <c r="P256" s="363" t="str">
        <f>IF(O256="","",IF(VLOOKUP(O256,'G-7 WaterC'' Data'!$AD$4:$AE$14,2,FALSE)=0,"Spatial Data Missing ⚠",VLOOKUP(O256,'G-7 WaterC'' Data'!$AD$4:$AE$14,2,FALSE)))</f>
        <v/>
      </c>
      <c r="Q256" s="369" t="str">
        <f>IF(D256="","",VLOOKUP(D256,'G-7 WaterC'' Data'!$B$2:$G$8,6,FALSE))</f>
        <v/>
      </c>
      <c r="R256" s="376" t="str">
        <f>IFERROR(IF(D256="","",IF(AND(Q256='G-1 All Habitats'!$X$3,U256&gt;0),V256+W256,IF(AND(Q256='G-1 All Habitats'!$X$3,T256&gt;0),V256+W256,IF(AND(Q256='G-1 All Habitats'!$X$3,AD256&gt;0),"Any Loss Unacceptable ⚠",IF(AND(Q256='G-1 All Habitats'!$X$3,AE256&gt;0),"Any Loss Unacceptable ⚠", E256*G256*I256*L256*N256*P256 ))))),"Check Data ▲")</f>
        <v/>
      </c>
      <c r="S256" s="32"/>
      <c r="T256" s="114"/>
      <c r="U256" s="125"/>
      <c r="V256" s="374" t="str">
        <f t="shared" si="21"/>
        <v/>
      </c>
      <c r="W256" s="374" t="str">
        <f t="shared" si="22"/>
        <v/>
      </c>
      <c r="X256" s="374" t="str">
        <f t="shared" si="23"/>
        <v/>
      </c>
      <c r="Y256" s="670" t="str">
        <f t="shared" si="24"/>
        <v/>
      </c>
      <c r="Z256" s="706"/>
      <c r="AA256" s="704"/>
      <c r="AB256" s="120"/>
      <c r="AC256" s="120"/>
      <c r="AD256" s="57" t="str">
        <f>IF(Q256="","",IF(Q256='G-1 All Habitats'!$X$3,E256-T256-U256,"None"))</f>
        <v/>
      </c>
      <c r="AE256" s="58" t="str">
        <f>IF(Q256="","", IF(Q256='G-1 All Habitats'!$X$3, AD256*G256*I256*L256*N256*P256,"None"))</f>
        <v/>
      </c>
      <c r="AH256" s="30">
        <f t="shared" si="25"/>
        <v>0</v>
      </c>
      <c r="AI256" s="124" t="str">
        <f t="shared" si="26"/>
        <v/>
      </c>
      <c r="AJ256" s="124" t="str">
        <f t="shared" si="27"/>
        <v/>
      </c>
      <c r="AL256" s="124">
        <v>247</v>
      </c>
      <c r="AN256" s="124" t="str">
        <f t="array" ref="AN256">IFERROR(INDEX($AL$10:$AL$258, MATCH(0, IF(TRUE=$AI$10:$AI$258, COUNTIF($AN$9:$AN255, $AL$10:$AL$258), ""), 0)),"")</f>
        <v/>
      </c>
      <c r="AO256" s="124" t="str">
        <f t="array" ref="AO256">IFERROR(INDEX($AL$10:$AL$258, MATCH(0, IF(TRUE=$AJ$10:$AJ$258, COUNTIF($AO$9:$AO255, $AL$10:$AL$258), ""), 0)),"")</f>
        <v/>
      </c>
      <c r="AQ256" s="30" t="str">
        <f>IFERROR(INDEX('G-7 WaterC'' Data'!$AZ$3:$AZ$7,MATCH(D256,'G-7 WaterC'' Data'!$AY$3:$AY$7,0)),"")</f>
        <v/>
      </c>
      <c r="AR256" s="30" t="str">
        <f>IFERROR(INDEX('G-7 WaterC'' Data'!AZ256:AZ260,MATCH(D256,'G-7 WaterC'' Data'!$AY$10:$AY$14,0)),"")</f>
        <v/>
      </c>
    </row>
    <row r="257" spans="2:44" ht="15.75" thickBot="1">
      <c r="C257" s="126">
        <v>248</v>
      </c>
      <c r="D257" s="338"/>
      <c r="E257" s="139"/>
      <c r="F257" s="364" t="str">
        <f>IF(D257="","",VLOOKUP(D257,'G-7 WaterC'' Data'!$B$2:$G$8,2,FALSE))</f>
        <v/>
      </c>
      <c r="G257" s="365" t="str">
        <f>IFERROR(VLOOKUP(F257,'G-7 WaterC'' Data'!$C$4:$D$8,2,FALSE),"")</f>
        <v/>
      </c>
      <c r="H257" s="129"/>
      <c r="I257" s="363" t="str">
        <f>IFERROR(INDEX('G-7 WaterC'' Data'!$H$4:$L$8,MATCH(D257,'G-7 WaterC'' Data'!$B$4:$B$8,0),MATCH(H257,'G-7 WaterC'' Data'!$H$3:$L$3,0)),"")</f>
        <v/>
      </c>
      <c r="J257" s="320"/>
      <c r="K257" s="398" t="str">
        <f>IF(J257="","",IF(VLOOKUP(J257,'G-7 WaterC'' Data'!$AK$4:$AM$6,2,FALSE)=0,"Spatial Data Missing ⚠",VLOOKUP(J257,'G-7 WaterC'' Data'!$AK$4:$AM$6,2,FALSE)))</f>
        <v/>
      </c>
      <c r="L257" s="368" t="str">
        <f>IF(J257="","",IF(VLOOKUP(J257,'G-7 WaterC'' Data'!$AK$4:$AM$9,3,FALSE)=0,"Spatial Data Missing ⚠",VLOOKUP(J257,'G-7 WaterC'' Data'!$AK$4:$AM$6,3,FALSE)))</f>
        <v/>
      </c>
      <c r="M257" s="54"/>
      <c r="N257" s="363" t="str">
        <f>IF(M257="","",IF(VLOOKUP(M257,'G-7 WaterC'' Data'!$AA$4:$AB$7,2,FALSE)=0,"Spatial Data Missing ⚠",VLOOKUP(M257,'G-7 WaterC'' Data'!$AA$4:$AB$7,2,FALSE)))</f>
        <v/>
      </c>
      <c r="O257" s="60"/>
      <c r="P257" s="363" t="str">
        <f>IF(O257="","",IF(VLOOKUP(O257,'G-7 WaterC'' Data'!$AD$4:$AE$14,2,FALSE)=0,"Spatial Data Missing ⚠",VLOOKUP(O257,'G-7 WaterC'' Data'!$AD$4:$AE$14,2,FALSE)))</f>
        <v/>
      </c>
      <c r="Q257" s="373" t="str">
        <f>IF(D257="","",VLOOKUP(D257,'G-7 WaterC'' Data'!$B$2:$G$8,6,FALSE))</f>
        <v/>
      </c>
      <c r="R257" s="376" t="str">
        <f>IFERROR(IF(D257="","",IF(AND(Q257='G-1 All Habitats'!$X$3,U257&gt;0),V257+W257,IF(AND(Q257='G-1 All Habitats'!$X$3,T257&gt;0),V257+W257,IF(AND(Q257='G-1 All Habitats'!$X$3,AD257&gt;0),"Any Loss Unacceptable ⚠",IF(AND(Q257='G-1 All Habitats'!$X$3,AE257&gt;0),"Any Loss Unacceptable ⚠", E257*G257*I257*L257*N257*P257 ))))),"Check Data ▲")</f>
        <v/>
      </c>
      <c r="S257" s="32"/>
      <c r="T257" s="872"/>
      <c r="U257" s="877"/>
      <c r="V257" s="804" t="str">
        <f t="shared" si="21"/>
        <v/>
      </c>
      <c r="W257" s="804" t="str">
        <f t="shared" si="22"/>
        <v/>
      </c>
      <c r="X257" s="804" t="str">
        <f t="shared" si="23"/>
        <v/>
      </c>
      <c r="Y257" s="878" t="str">
        <f t="shared" si="24"/>
        <v/>
      </c>
      <c r="Z257" s="879"/>
      <c r="AA257" s="705"/>
      <c r="AB257" s="131"/>
      <c r="AC257" s="131"/>
      <c r="AD257" s="57" t="str">
        <f>IF(Q257="","",IF(Q257='G-1 All Habitats'!$X$3,E257-T257-U257,"None"))</f>
        <v/>
      </c>
      <c r="AE257" s="58" t="str">
        <f>IF(Q257="","", IF(Q257='G-1 All Habitats'!$X$3, AD257*G257*I257*L257*N257*P257,"None"))</f>
        <v/>
      </c>
      <c r="AH257" s="30">
        <f t="shared" si="25"/>
        <v>0</v>
      </c>
      <c r="AI257" s="124" t="str">
        <f t="shared" si="26"/>
        <v/>
      </c>
      <c r="AJ257" s="124" t="str">
        <f t="shared" si="27"/>
        <v/>
      </c>
      <c r="AL257" s="124">
        <v>248</v>
      </c>
      <c r="AN257" s="124" t="str">
        <f t="array" ref="AN257">IFERROR(INDEX($AL$10:$AL$258, MATCH(0, IF(TRUE=$AI$10:$AI$258, COUNTIF($AN$9:$AN256, $AL$10:$AL$258), ""), 0)),"")</f>
        <v/>
      </c>
      <c r="AO257" s="124" t="str">
        <f t="array" ref="AO257">IFERROR(INDEX($AL$10:$AL$258, MATCH(0, IF(TRUE=$AJ$10:$AJ$258, COUNTIF($AO$9:$AO256, $AL$10:$AL$258), ""), 0)),"")</f>
        <v/>
      </c>
      <c r="AQ257" s="30" t="str">
        <f>IFERROR(INDEX('G-7 WaterC'' Data'!$AZ$3:$AZ$7,MATCH(D257,'G-7 WaterC'' Data'!$AY$3:$AY$7,0)),"")</f>
        <v/>
      </c>
      <c r="AR257" s="30" t="str">
        <f>IFERROR(INDEX('G-7 WaterC'' Data'!AZ257:AZ261,MATCH(D257,'G-7 WaterC'' Data'!$AY$10:$AY$14,0)),"")</f>
        <v/>
      </c>
    </row>
    <row r="258" spans="2:44" ht="13.9" customHeight="1" thickBot="1">
      <c r="B258" s="30"/>
      <c r="C258" s="34"/>
      <c r="D258" s="328"/>
      <c r="E258" s="421">
        <f>IF('Detailed Results'!K164&gt;0,"Error ▲",SUM(E10:E257))</f>
        <v>0</v>
      </c>
      <c r="F258" s="34"/>
      <c r="G258" s="34"/>
      <c r="H258" s="34"/>
      <c r="I258" s="34"/>
      <c r="J258" s="34"/>
      <c r="K258" s="34"/>
      <c r="L258" s="34"/>
      <c r="M258" s="34"/>
      <c r="N258" s="34"/>
      <c r="O258" s="34"/>
      <c r="P258" s="1529"/>
      <c r="Q258" s="1609"/>
      <c r="R258" s="421">
        <f>IF('Detailed Results'!K164&gt;0,"Error ▲",SUM(R10:R257))</f>
        <v>0</v>
      </c>
      <c r="S258" s="133"/>
      <c r="T258" s="609">
        <f>IF('Detailed Results'!K164&gt;0,"Error ▲",SUM(T10:T257))</f>
        <v>0</v>
      </c>
      <c r="U258" s="610">
        <f>IF('Detailed Results'!K164&gt;0,"Error ▲",SUM(U10:U257))</f>
        <v>0</v>
      </c>
      <c r="V258" s="610" cm="1">
        <f t="array" ref="V258">IF(OR(V10:V257="Error in Lengths ▲", V10:V257="Error", 'Detailed Results'!K164&gt;0), "Error ▲",SUM(V10:V257))</f>
        <v>0</v>
      </c>
      <c r="W258" s="610" cm="1">
        <f t="array" ref="W258">IF(OR(V10:V257="Error in Lengths ▲",W10:W257="Error", 'Detailed Results'!K164&gt;0),"Error ▲",SUM(W10:W257))</f>
        <v>0</v>
      </c>
      <c r="X258" s="610">
        <f>IF('Detailed Results'!K164&gt;0,"Error ▲", SUM(X10:X257))</f>
        <v>0</v>
      </c>
      <c r="Y258" s="610">
        <f>IFERROR(IF(E258="","",IF('Detailed Results'!K164&gt;0,"Error ▲", IF((V258+W258)&gt;R258,0,R258-V258-W258))),"Check Data ⚠")</f>
        <v>0</v>
      </c>
      <c r="Z258" s="563"/>
    </row>
    <row r="259" spans="2:44" ht="15">
      <c r="B259" s="30"/>
      <c r="C259" s="30"/>
      <c r="S259" s="133"/>
      <c r="T259" s="133"/>
      <c r="U259" s="133"/>
      <c r="V259" s="133"/>
      <c r="W259" s="133"/>
      <c r="X259" s="133"/>
      <c r="Y259" s="133"/>
      <c r="Z259" s="133"/>
    </row>
    <row r="260" spans="2:44" ht="15"/>
    <row r="261" spans="2:44" ht="15"/>
    <row r="262" spans="2:44" ht="15"/>
    <row r="263" spans="2:44" ht="15"/>
    <row r="264" spans="2:44" ht="15"/>
    <row r="265" spans="2:44" ht="15"/>
    <row r="266" spans="2:44" ht="15"/>
    <row r="267" spans="2:44" ht="15"/>
    <row r="268" spans="2:44" ht="15"/>
    <row r="269" spans="2:44" ht="15"/>
    <row r="270" spans="2:44" ht="15"/>
    <row r="271" spans="2:44" ht="15"/>
    <row r="272" spans="2:44" ht="15"/>
  </sheetData>
  <sheetProtection algorithmName="SHA-512" hashValue="K1FHhDTFpDVgNY45m565V1fXKbRUyepO6TYla/NRO3YF1QOhtQaKPI9aWI2l1CWtYY1Qw8B7Y5bIPsc3gWH6lA==" saltValue="mhAnhMPXWoskN4uAdk5sig==" spinCount="100000" sheet="1" objects="1" scenarios="1"/>
  <customSheetViews>
    <customSheetView guid="{8BDA793C-C9C5-4FC6-A0A5-F1109F6D4F22}" state="hidden">
      <pane ySplit="9" topLeftCell="A10" activePane="bottomLeft" state="frozen"/>
      <selection pane="bottomLeft" activeCell="D14" sqref="D14"/>
    </customSheetView>
  </customSheetViews>
  <mergeCells count="22">
    <mergeCell ref="L2:R4"/>
    <mergeCell ref="T5:Y6"/>
    <mergeCell ref="P258:Q258"/>
    <mergeCell ref="AA8:AB8"/>
    <mergeCell ref="J8:L8"/>
    <mergeCell ref="M8:N8"/>
    <mergeCell ref="O8:P8"/>
    <mergeCell ref="Q8:Q9"/>
    <mergeCell ref="T8:Y8"/>
    <mergeCell ref="Z8:Z9"/>
    <mergeCell ref="B2:D2"/>
    <mergeCell ref="B3:D4"/>
    <mergeCell ref="C8:E8"/>
    <mergeCell ref="F8:G8"/>
    <mergeCell ref="H8:I8"/>
    <mergeCell ref="F3:H3"/>
    <mergeCell ref="F4:H4"/>
    <mergeCell ref="I3:J3"/>
    <mergeCell ref="I4:J4"/>
    <mergeCell ref="F2:J2"/>
    <mergeCell ref="F5:H5"/>
    <mergeCell ref="I5:J5"/>
  </mergeCells>
  <conditionalFormatting sqref="Q10:Q257">
    <cfRule type="containsText" dxfId="216" priority="26" operator="containsText" text="Bespoke">
      <formula>NOT(ISERROR(SEARCH("Bespoke",Q10)))</formula>
    </cfRule>
    <cfRule type="containsText" dxfId="215" priority="65" operator="containsText" text="Restore">
      <formula>NOT(ISERROR(SEARCH("Restore",Q10)))</formula>
    </cfRule>
  </conditionalFormatting>
  <conditionalFormatting sqref="K10:L257">
    <cfRule type="containsText" dxfId="214" priority="60" operator="containsText" text="Spatial">
      <formula>NOT(ISERROR(SEARCH("Spatial",K10)))</formula>
    </cfRule>
  </conditionalFormatting>
  <conditionalFormatting sqref="P10:P257">
    <cfRule type="containsText" dxfId="213" priority="59" operator="containsText" text="Spatial">
      <formula>NOT(ISERROR(SEARCH("Spatial",P10)))</formula>
    </cfRule>
  </conditionalFormatting>
  <conditionalFormatting sqref="X10:X257">
    <cfRule type="containsText" dxfId="212" priority="58" operator="containsText" text="Error">
      <formula>NOT(ISERROR(SEARCH("Error",X10)))</formula>
    </cfRule>
  </conditionalFormatting>
  <conditionalFormatting sqref="Y10:Z257">
    <cfRule type="containsText" dxfId="211" priority="56" operator="containsText" text="Check">
      <formula>NOT(ISERROR(SEARCH("Check",Y10)))</formula>
    </cfRule>
    <cfRule type="containsText" dxfId="210" priority="57" operator="containsText" text="Error">
      <formula>NOT(ISERROR(SEARCH("Error",Y10)))</formula>
    </cfRule>
  </conditionalFormatting>
  <conditionalFormatting sqref="T5:Z6">
    <cfRule type="containsText" dxfId="209" priority="47" operator="containsText" text="Check">
      <formula>NOT(ISERROR(SEARCH("Check",T5)))</formula>
    </cfRule>
  </conditionalFormatting>
  <conditionalFormatting sqref="I4">
    <cfRule type="containsText" dxfId="208" priority="32" operator="containsText" text="Error">
      <formula>NOT(ISERROR(SEARCH("Error",I4)))</formula>
    </cfRule>
    <cfRule type="containsText" dxfId="207" priority="33" operator="containsText" text="Check">
      <formula>NOT(ISERROR(SEARCH("Check",I4)))</formula>
    </cfRule>
  </conditionalFormatting>
  <conditionalFormatting sqref="I3">
    <cfRule type="containsText" dxfId="206" priority="45" operator="containsText" text="Error">
      <formula>NOT(ISERROR(SEARCH("Error",I3)))</formula>
    </cfRule>
    <cfRule type="containsText" dxfId="205" priority="46" operator="containsText" text="Check">
      <formula>NOT(ISERROR(SEARCH("Check",I3)))</formula>
    </cfRule>
  </conditionalFormatting>
  <conditionalFormatting sqref="L2:R4">
    <cfRule type="containsText" dxfId="204" priority="40" operator="containsText" text="Check">
      <formula>NOT(ISERROR(SEARCH("Check",L2)))</formula>
    </cfRule>
  </conditionalFormatting>
  <conditionalFormatting sqref="I5">
    <cfRule type="containsText" dxfId="203" priority="38" operator="containsText" text="No">
      <formula>NOT(ISERROR(SEARCH("No",I5)))</formula>
    </cfRule>
    <cfRule type="containsText" dxfId="202" priority="39" operator="containsText" text="Yes">
      <formula>NOT(ISERROR(SEARCH("Yes",I5)))</formula>
    </cfRule>
  </conditionalFormatting>
  <conditionalFormatting sqref="I10:I257">
    <cfRule type="containsText" dxfId="201" priority="37" operator="containsText" text="Not possible">
      <formula>NOT(ISERROR(SEARCH("Not possible",I10)))</formula>
    </cfRule>
  </conditionalFormatting>
  <conditionalFormatting sqref="V258:W258">
    <cfRule type="containsText" dxfId="200" priority="36" operator="containsText" text="Error">
      <formula>NOT(ISERROR(SEARCH("Error",V258)))</formula>
    </cfRule>
  </conditionalFormatting>
  <conditionalFormatting sqref="V10:V257">
    <cfRule type="containsText" dxfId="199" priority="35" operator="containsText" text="Error">
      <formula>NOT(ISERROR(SEARCH("Error",V10)))</formula>
    </cfRule>
  </conditionalFormatting>
  <conditionalFormatting sqref="I4:J4">
    <cfRule type="cellIs" dxfId="198" priority="31" operator="equal">
      <formula>0</formula>
    </cfRule>
    <cfRule type="cellIs" dxfId="197" priority="34" operator="lessThan">
      <formula>0</formula>
    </cfRule>
    <cfRule type="cellIs" dxfId="196" priority="42" operator="greaterThanOrEqual">
      <formula>0.1</formula>
    </cfRule>
  </conditionalFormatting>
  <conditionalFormatting sqref="Z1:Z1048576">
    <cfRule type="containsText" dxfId="195" priority="29" operator="containsText" text="Yes">
      <formula>NOT(ISERROR(SEARCH("Yes",Z1)))</formula>
    </cfRule>
    <cfRule type="containsText" dxfId="194" priority="30" operator="containsText" text="No">
      <formula>NOT(ISERROR(SEARCH("No",Z1)))</formula>
    </cfRule>
  </conditionalFormatting>
  <conditionalFormatting sqref="Y10:Y257">
    <cfRule type="containsText" dxfId="193" priority="27" operator="containsText" text="▲">
      <formula>NOT(ISERROR(SEARCH("▲",Y10)))</formula>
    </cfRule>
    <cfRule type="containsText" dxfId="192" priority="28" operator="containsText" text="✓">
      <formula>NOT(ISERROR(SEARCH("✓",Y10)))</formula>
    </cfRule>
  </conditionalFormatting>
  <conditionalFormatting sqref="R10:R257">
    <cfRule type="containsText" dxfId="191" priority="25" operator="containsText" text="⚠">
      <formula>NOT(ISERROR(SEARCH("⚠",R10)))</formula>
    </cfRule>
  </conditionalFormatting>
  <conditionalFormatting sqref="X10:X257">
    <cfRule type="containsText" dxfId="190" priority="24" operator="containsText" text="⚠">
      <formula>NOT(ISERROR(SEARCH("⚠",X10)))</formula>
    </cfRule>
  </conditionalFormatting>
  <conditionalFormatting sqref="T258:Y258">
    <cfRule type="containsText" dxfId="189" priority="23" operator="containsText" text="▲">
      <formula>NOT(ISERROR(SEARCH("▲",T258)))</formula>
    </cfRule>
  </conditionalFormatting>
  <conditionalFormatting sqref="R258">
    <cfRule type="containsText" dxfId="188" priority="22" operator="containsText" text="▲">
      <formula>NOT(ISERROR(SEARCH("▲",R258)))</formula>
    </cfRule>
  </conditionalFormatting>
  <conditionalFormatting sqref="E258">
    <cfRule type="containsText" dxfId="187" priority="21" operator="containsText" text="▲">
      <formula>NOT(ISERROR(SEARCH("▲",E258)))</formula>
    </cfRule>
  </conditionalFormatting>
  <conditionalFormatting sqref="AD10:AD257">
    <cfRule type="cellIs" dxfId="186" priority="17" operator="equal">
      <formula>""</formula>
    </cfRule>
    <cfRule type="cellIs" dxfId="185" priority="18" operator="equal">
      <formula>"None"</formula>
    </cfRule>
    <cfRule type="cellIs" dxfId="184" priority="20" operator="greaterThan">
      <formula>0</formula>
    </cfRule>
  </conditionalFormatting>
  <conditionalFormatting sqref="AE11">
    <cfRule type="cellIs" dxfId="183" priority="15" operator="equal">
      <formula>"None"</formula>
    </cfRule>
    <cfRule type="cellIs" dxfId="182" priority="16" operator="equal">
      <formula>""</formula>
    </cfRule>
    <cfRule type="cellIs" dxfId="181" priority="19" operator="greaterThan">
      <formula>0</formula>
    </cfRule>
  </conditionalFormatting>
  <conditionalFormatting sqref="AD10:AD257">
    <cfRule type="cellIs" dxfId="180" priority="11" operator="equal">
      <formula>""</formula>
    </cfRule>
    <cfRule type="cellIs" dxfId="179" priority="12" operator="equal">
      <formula>"None"</formula>
    </cfRule>
    <cfRule type="cellIs" dxfId="178" priority="14" operator="greaterThan">
      <formula>0</formula>
    </cfRule>
  </conditionalFormatting>
  <conditionalFormatting sqref="AE10:AE257">
    <cfRule type="cellIs" dxfId="177" priority="9" operator="equal">
      <formula>"None"</formula>
    </cfRule>
    <cfRule type="cellIs" dxfId="176" priority="10" operator="equal">
      <formula>""</formula>
    </cfRule>
    <cfRule type="cellIs" dxfId="175" priority="13" operator="greaterThan">
      <formula>0</formula>
    </cfRule>
  </conditionalFormatting>
  <conditionalFormatting sqref="AD10:AD257">
    <cfRule type="cellIs" dxfId="174" priority="5" operator="equal">
      <formula>""</formula>
    </cfRule>
    <cfRule type="cellIs" dxfId="173" priority="6" operator="equal">
      <formula>"None"</formula>
    </cfRule>
    <cfRule type="cellIs" dxfId="172" priority="8" operator="greaterThan">
      <formula>0</formula>
    </cfRule>
  </conditionalFormatting>
  <conditionalFormatting sqref="AE12:AE257">
    <cfRule type="cellIs" dxfId="171" priority="3" operator="equal">
      <formula>"None"</formula>
    </cfRule>
    <cfRule type="cellIs" dxfId="170" priority="4" operator="equal">
      <formula>""</formula>
    </cfRule>
    <cfRule type="cellIs" dxfId="169" priority="7" operator="greaterThan">
      <formula>0</formula>
    </cfRule>
  </conditionalFormatting>
  <conditionalFormatting sqref="AD10:AD257">
    <cfRule type="cellIs" dxfId="168" priority="2" operator="equal">
      <formula>0</formula>
    </cfRule>
  </conditionalFormatting>
  <conditionalFormatting sqref="I3:J5">
    <cfRule type="containsText" dxfId="167" priority="1" operator="containsText" text="N/A">
      <formula>NOT(ISERROR(SEARCH("N/A",I3)))</formula>
    </cfRule>
  </conditionalFormatting>
  <dataValidations count="4">
    <dataValidation type="list" allowBlank="1" showInputMessage="1" showErrorMessage="1" sqref="H10:H14" xr:uid="{00000000-0002-0000-1700-000000000000}">
      <formula1>INDIRECT(AQ10)</formula1>
    </dataValidation>
    <dataValidation type="list" allowBlank="1" showInputMessage="1" showErrorMessage="1" sqref="M10:M257" xr:uid="{52B43732-67F4-43E1-836B-58A40E91B558}">
      <formula1>IF(D10="Culvert",riparianencroachment2,riparianencroachment1)</formula1>
    </dataValidation>
    <dataValidation type="list" allowBlank="1" showInputMessage="1" showErrorMessage="1" sqref="Z10:Z257" xr:uid="{1C83826F-6F3B-4C35-93D3-3FA428A7CAE5}">
      <formula1>"Yes, No"</formula1>
    </dataValidation>
    <dataValidation type="list" allowBlank="1" showInputMessage="1" showErrorMessage="1" sqref="O10:O257" xr:uid="{7D324509-9B5C-44C8-8954-F6948F29EBF9}">
      <formula1>IF(D10="Culvert",Encroachment2,Encroachment1)</formula1>
    </dataValidation>
  </dataValidations>
  <pageMargins left="0.7" right="0.7" top="0.75" bottom="0.75" header="0.3" footer="0.3"/>
  <pageSetup paperSize="9" orientation="portrait" horizontalDpi="90" verticalDpi="90" r:id="rId1"/>
  <drawing r:id="rId2"/>
  <extLst>
    <ext xmlns:x14="http://schemas.microsoft.com/office/spreadsheetml/2009/9/main" uri="{78C0D931-6437-407d-A8EE-F0AAD7539E65}">
      <x14:conditionalFormattings>
        <x14:conditionalFormatting xmlns:xm="http://schemas.microsoft.com/office/excel/2006/main">
          <x14:cfRule type="cellIs" priority="470" operator="lessThan" id="{571EE12E-7470-4D31-9B2B-F99DC7D2579B}">
            <xm:f>Start!$F$22</xm:f>
            <x14:dxf>
              <font>
                <color rgb="FF383745"/>
              </font>
              <fill>
                <patternFill>
                  <bgColor rgb="FFFFC000"/>
                </patternFill>
              </fill>
            </x14:dxf>
          </x14:cfRule>
          <xm:sqref>I4:J4</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00000000-0002-0000-1700-000001000000}">
          <x14:formula1>
            <xm:f>'G-7 WaterC'' Data'!$H$3:$L$3</xm:f>
          </x14:formula1>
          <xm:sqref>H15:H257</xm:sqref>
        </x14:dataValidation>
        <x14:dataValidation type="list" allowBlank="1" showInputMessage="1" showErrorMessage="1" xr:uid="{00000000-0002-0000-1700-000005000000}">
          <x14:formula1>
            <xm:f>'G-7 WaterC'' Data'!$B$4:$B$8</xm:f>
          </x14:formula1>
          <xm:sqref>D10:D257</xm:sqref>
        </x14:dataValidation>
        <x14:dataValidation type="list" allowBlank="1" showInputMessage="1" showErrorMessage="1" xr:uid="{02D8227C-D643-4A3D-B071-6D19ABEDB255}">
          <x14:formula1>
            <xm:f>IF(D10="Culvert",'G-7 WaterC'' Data'!$AK$6,'G-7 WaterC'' Data'!$AK$4:$AK$6)</xm:f>
          </x14:formula1>
          <xm:sqref>J10:J257</xm:sqref>
        </x14:dataValidation>
      </x14:dataValidations>
    </ext>
  </extLst>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7">
    <tabColor rgb="FF0033CC"/>
  </sheetPr>
  <dimension ref="A1:AH268"/>
  <sheetViews>
    <sheetView showGridLines="0" zoomScale="80" zoomScaleNormal="80" workbookViewId="0">
      <pane ySplit="11" topLeftCell="A12" activePane="bottomLeft" state="frozen"/>
      <selection pane="bottomLeft" activeCell="A2" sqref="A2"/>
    </sheetView>
  </sheetViews>
  <sheetFormatPr defaultColWidth="0" defaultRowHeight="0" customHeight="1" zeroHeight="1"/>
  <cols>
    <col min="1" max="1" width="2.7109375" style="30" customWidth="1"/>
    <col min="2" max="2" width="10.7109375" style="30" customWidth="1"/>
    <col min="3" max="3" width="41" style="30" customWidth="1"/>
    <col min="4" max="4" width="10" style="30" customWidth="1"/>
    <col min="5" max="5" width="18.28515625" style="30" customWidth="1"/>
    <col min="6" max="6" width="13.28515625" style="30" customWidth="1"/>
    <col min="7" max="7" width="12.5703125" style="30" bestFit="1" customWidth="1"/>
    <col min="8" max="8" width="12.5703125" style="30" customWidth="1"/>
    <col min="9" max="9" width="33.7109375" style="30" customWidth="1"/>
    <col min="10" max="10" width="22.28515625" style="30" customWidth="1"/>
    <col min="11" max="11" width="12.28515625" style="30" customWidth="1"/>
    <col min="12" max="12" width="20.7109375" style="30" customWidth="1"/>
    <col min="13" max="14" width="17.7109375" style="30" customWidth="1"/>
    <col min="15" max="15" width="23.5703125" style="30" customWidth="1"/>
    <col min="16" max="16" width="20.42578125" style="30" customWidth="1"/>
    <col min="17" max="17" width="15.28515625" style="30" customWidth="1"/>
    <col min="18" max="18" width="15" style="30" customWidth="1"/>
    <col min="19" max="19" width="21.7109375" style="30" customWidth="1"/>
    <col min="20" max="20" width="15.5703125" style="30" customWidth="1"/>
    <col min="21" max="21" width="13.7109375" style="30" customWidth="1"/>
    <col min="22" max="22" width="17.7109375" style="30" customWidth="1"/>
    <col min="23" max="23" width="13.28515625" style="30" customWidth="1"/>
    <col min="24" max="24" width="21.28515625" style="30" customWidth="1"/>
    <col min="25" max="25" width="13.28515625" style="30" customWidth="1"/>
    <col min="26" max="26" width="17.28515625" style="30" customWidth="1"/>
    <col min="27" max="28" width="34.7109375" style="30" customWidth="1"/>
    <col min="29" max="29" width="14.28515625" style="30" customWidth="1"/>
    <col min="30" max="32" width="8.7109375" style="30" customWidth="1"/>
    <col min="33" max="33" width="8.7109375" style="30" hidden="1" customWidth="1"/>
    <col min="34" max="34" width="10.7109375" style="30" hidden="1" customWidth="1"/>
    <col min="35" max="16384" width="8.7109375" style="30" hidden="1"/>
  </cols>
  <sheetData>
    <row r="1" spans="2:34" ht="15.75" hidden="1" thickBot="1"/>
    <row r="2" spans="2:34" ht="24.6" customHeight="1" thickBot="1">
      <c r="B2" s="1600" t="str">
        <f>CONCATENATE("Project Name:", " ", Start!F12, "     ", "Map Reference:", " ", Start!K55)</f>
        <v xml:space="preserve">Project Name: Grove Farm Solar     Map Reference: </v>
      </c>
      <c r="C2" s="1603"/>
      <c r="D2" s="1603"/>
      <c r="E2" s="1601"/>
      <c r="J2" s="309"/>
      <c r="K2" s="309"/>
      <c r="V2" s="1463" t="str">
        <f>IF(OR(COUNTIF(L$12:$L260,"*30+*")&gt;0,COUNTIF(P$12:$P260,"*30+*")&gt;0),"Note; Habitat selected has a time to target condition greater than 30 years. Non standard agreement may be required. ⚠","")</f>
        <v/>
      </c>
      <c r="W2" s="1463"/>
      <c r="X2" s="1463"/>
      <c r="Y2" s="1463"/>
      <c r="Z2" s="1463"/>
      <c r="AA2" s="1463"/>
    </row>
    <row r="3" spans="2:34" ht="15.6" customHeight="1" thickBot="1">
      <c r="B3" s="1610" t="str">
        <f ca="1">MID(CELL("filename",A1),FIND("]",CELL("filename",A1))+1,256)</f>
        <v>C-2 On-Site WaterC' Creation</v>
      </c>
      <c r="C3" s="1611"/>
      <c r="D3" s="1611"/>
      <c r="E3" s="1612"/>
      <c r="I3" s="1404" t="s">
        <v>404</v>
      </c>
      <c r="J3" s="1405"/>
      <c r="K3" s="1405"/>
      <c r="L3" s="1405"/>
      <c r="M3" s="1405"/>
      <c r="N3" s="1405"/>
      <c r="O3" s="1406"/>
      <c r="Q3" s="312"/>
      <c r="R3" s="312"/>
      <c r="S3" s="312"/>
      <c r="V3" s="1463"/>
      <c r="W3" s="1463"/>
      <c r="X3" s="1463"/>
      <c r="Y3" s="1463"/>
      <c r="Z3" s="1463"/>
      <c r="AA3" s="1463"/>
    </row>
    <row r="4" spans="2:34" ht="15" customHeight="1" thickBot="1">
      <c r="B4" s="1610"/>
      <c r="C4" s="1611"/>
      <c r="D4" s="1611"/>
      <c r="E4" s="1612"/>
      <c r="I4" s="1505" t="s">
        <v>263</v>
      </c>
      <c r="J4" s="1506"/>
      <c r="K4" s="1506"/>
      <c r="L4" s="1506"/>
      <c r="M4" s="1501">
        <f>'Headline Results'!H49</f>
        <v>0</v>
      </c>
      <c r="N4" s="1501"/>
      <c r="O4" s="1502"/>
      <c r="Q4" s="312"/>
      <c r="R4" s="312"/>
      <c r="S4" s="312"/>
      <c r="V4" s="1463"/>
      <c r="W4" s="1463"/>
      <c r="X4" s="1463"/>
      <c r="Y4" s="1463"/>
      <c r="Z4" s="1463"/>
      <c r="AA4" s="1463"/>
    </row>
    <row r="5" spans="2:34" ht="26.65" customHeight="1">
      <c r="I5" s="1583" t="s">
        <v>265</v>
      </c>
      <c r="J5" s="1584"/>
      <c r="K5" s="1584"/>
      <c r="L5" s="1584"/>
      <c r="M5" s="1577">
        <f>'Headline Results'!H53</f>
        <v>0</v>
      </c>
      <c r="N5" s="1577"/>
      <c r="O5" s="1578"/>
      <c r="Q5" s="312"/>
      <c r="R5" s="312"/>
      <c r="S5" s="312"/>
      <c r="V5" s="1613" t="str" cm="1">
        <f t="array" ref="V5">IF(OR(G12:G259 = "Fairly Good", G12:G259 = "Fairly Poor"),"A 'Fairly' Category has been used - check evidence to ensure this is appropriate ⚠", "")</f>
        <v/>
      </c>
      <c r="W5" s="1613"/>
      <c r="X5" s="1613"/>
      <c r="Y5" s="1613"/>
      <c r="Z5" s="1613"/>
    </row>
    <row r="6" spans="2:34" ht="23.25" customHeight="1" thickBot="1">
      <c r="I6" s="1582" t="s">
        <v>267</v>
      </c>
      <c r="J6" s="1579"/>
      <c r="K6" s="1579"/>
      <c r="L6" s="1579"/>
      <c r="M6" s="1579" t="str" cm="1">
        <f t="array" ref="M6">IF(OR('Trading Summary WaterC''s'!G5:H8="No ▲"), "No - check trading summary ▲", "Yes ✓")</f>
        <v>Yes ✓</v>
      </c>
      <c r="N6" s="1579"/>
      <c r="O6" s="1580"/>
      <c r="P6" s="312"/>
      <c r="Q6" s="312"/>
      <c r="R6" s="312"/>
      <c r="S6" s="312"/>
      <c r="V6" s="1613"/>
      <c r="W6" s="1613"/>
      <c r="X6" s="1613"/>
      <c r="Y6" s="1613"/>
      <c r="Z6" s="1613"/>
    </row>
    <row r="7" spans="2:34" ht="6" customHeight="1">
      <c r="L7" s="312"/>
      <c r="M7" s="312"/>
      <c r="N7" s="312"/>
      <c r="O7" s="312"/>
      <c r="P7" s="312"/>
    </row>
    <row r="8" spans="2:34" ht="6" customHeight="1"/>
    <row r="9" spans="2:34" ht="15.75" customHeight="1" thickBot="1"/>
    <row r="10" spans="2:34" s="33" customFormat="1" ht="29.25" customHeight="1" thickBot="1">
      <c r="B10" s="200"/>
      <c r="C10" s="1552" t="s">
        <v>389</v>
      </c>
      <c r="D10" s="1552"/>
      <c r="E10" s="1552" t="s">
        <v>269</v>
      </c>
      <c r="F10" s="1552"/>
      <c r="G10" s="1552" t="s">
        <v>357</v>
      </c>
      <c r="H10" s="1552"/>
      <c r="I10" s="1552" t="s">
        <v>271</v>
      </c>
      <c r="J10" s="1552"/>
      <c r="K10" s="1552"/>
      <c r="L10" s="1573" t="s">
        <v>314</v>
      </c>
      <c r="M10" s="1574"/>
      <c r="N10" s="1574"/>
      <c r="O10" s="1574"/>
      <c r="P10" s="1574"/>
      <c r="Q10" s="1575"/>
      <c r="R10" s="1573" t="s">
        <v>315</v>
      </c>
      <c r="S10" s="1574"/>
      <c r="T10" s="1574"/>
      <c r="U10" s="1575"/>
      <c r="V10" s="1552" t="s">
        <v>406</v>
      </c>
      <c r="W10" s="1552"/>
      <c r="X10" s="1552" t="s">
        <v>407</v>
      </c>
      <c r="Y10" s="1552"/>
      <c r="Z10" s="1534" t="s">
        <v>418</v>
      </c>
      <c r="AA10" s="1315" t="s">
        <v>276</v>
      </c>
      <c r="AB10" s="1313"/>
    </row>
    <row r="11" spans="2:34" s="33" customFormat="1" ht="62.1" customHeight="1" thickBot="1">
      <c r="B11" s="719" t="s">
        <v>339</v>
      </c>
      <c r="C11" s="132" t="s">
        <v>193</v>
      </c>
      <c r="D11" s="752" t="s">
        <v>34</v>
      </c>
      <c r="E11" s="132" t="s">
        <v>269</v>
      </c>
      <c r="F11" s="752" t="s">
        <v>286</v>
      </c>
      <c r="G11" s="132" t="s">
        <v>270</v>
      </c>
      <c r="H11" s="752" t="s">
        <v>286</v>
      </c>
      <c r="I11" s="132" t="s">
        <v>271</v>
      </c>
      <c r="J11" s="811" t="s">
        <v>271</v>
      </c>
      <c r="K11" s="752" t="s">
        <v>317</v>
      </c>
      <c r="L11" s="132" t="s">
        <v>392</v>
      </c>
      <c r="M11" s="811" t="s">
        <v>319</v>
      </c>
      <c r="N11" s="811" t="s">
        <v>320</v>
      </c>
      <c r="O11" s="811" t="s">
        <v>321</v>
      </c>
      <c r="P11" s="811" t="s">
        <v>322</v>
      </c>
      <c r="Q11" s="752" t="s">
        <v>397</v>
      </c>
      <c r="R11" s="132" t="s">
        <v>324</v>
      </c>
      <c r="S11" s="811" t="s">
        <v>419</v>
      </c>
      <c r="T11" s="811" t="s">
        <v>326</v>
      </c>
      <c r="U11" s="752" t="s">
        <v>327</v>
      </c>
      <c r="V11" s="126" t="s">
        <v>409</v>
      </c>
      <c r="W11" s="861" t="s">
        <v>410</v>
      </c>
      <c r="X11" s="126" t="s">
        <v>411</v>
      </c>
      <c r="Y11" s="861" t="s">
        <v>410</v>
      </c>
      <c r="Z11" s="1534"/>
      <c r="AA11" s="126" t="s">
        <v>295</v>
      </c>
      <c r="AB11" s="861" t="s">
        <v>296</v>
      </c>
      <c r="AC11" s="48" t="s">
        <v>297</v>
      </c>
      <c r="AH11" s="210" t="s">
        <v>280</v>
      </c>
    </row>
    <row r="12" spans="2:34" ht="15">
      <c r="B12" s="291">
        <v>1</v>
      </c>
      <c r="C12" s="209"/>
      <c r="D12" s="53"/>
      <c r="E12" s="362" t="str">
        <f>IF(C12="","",VLOOKUP(C12,'G-7 WaterC'' Data'!$B$2:$G$8,2,FALSE))</f>
        <v/>
      </c>
      <c r="F12" s="363" t="str">
        <f>IFERROR(VLOOKUP(E12,'G-7 WaterC'' Data'!$C$4:$D$8,2,FALSE),"")</f>
        <v/>
      </c>
      <c r="G12" s="114"/>
      <c r="H12" s="363" t="str">
        <f>IFERROR(INDEX('G-7 WaterC'' Data'!$H$4:$L$8,MATCH(C12,'G-7 WaterC'' Data'!$B$4:$B$8,0),MATCH(G12,'G-7 WaterC'' Data'!$H$3:$L$3,0)),"")</f>
        <v/>
      </c>
      <c r="I12" s="54"/>
      <c r="J12" s="370" t="str">
        <f>IF(I12="","",IF(VLOOKUP(I12,'G-7 WaterC'' Data'!$AK$4:$AM$6,2,FALSE)=0,"Spatial Data Missing ⚠",VLOOKUP(I12,'G-7 WaterC'' Data'!$AK$4:$AM$6,2,FALSE)))</f>
        <v/>
      </c>
      <c r="K12" s="363" t="str">
        <f>IF(I12="","",IF(VLOOKUP(I12,'G-7 WaterC'' Data'!$AK$4:$AM$6,3,FALSE)=0,"Spatial Data Missing ⚠",VLOOKUP(I12,'G-7 WaterC'' Data'!$AK$4:$AM$6,3,FALSE)))</f>
        <v/>
      </c>
      <c r="L12" s="362" t="str">
        <f>IFERROR(INDEX('G-7 WaterC'' Data'!$O$3:$O$7,MATCH(G12,'G-7 WaterC'' Data'!$N$3:$N$7,0)),"")</f>
        <v/>
      </c>
      <c r="M12" s="63"/>
      <c r="N12" s="63"/>
      <c r="O12" s="370" t="str">
        <f>IF(L12="","",IF(AND(M12&gt;0,N12&gt;0),"Error -both advance and delayed habitat creation ▲",IF(AND(OR(M12="Habitat already in target condition",L12&lt;=M12),N12=0),"Check details - Is there evidence that habitat has reached target condition? ⚠",IF(M12&gt;0,"Check details - Is there evidence habitat creation started/in place? ⚠",IF(N12&gt;0,"Check details- Delay in starting habitat in required condition? ⚠","Standard time to target condition applied")))))</f>
        <v/>
      </c>
      <c r="P12" s="383" t="str">
        <f>IF(O12="Error -both advance and delayed habitat creation ▲","Check Data ⚠",IF(L12="","",IF(M12="30+",0,IF(N12="30+","30+",IF(L12+N12&gt;30,"30+ ⚠",IF(L12+N12-M12&gt;0,L12+N12-M12,IF(L12-M12&lt;0,0,L12+N12-M12)))))))</f>
        <v/>
      </c>
      <c r="Q12" s="422" t="str">
        <f>IFERROR(IF(P12="Check Data ⚠","Check Data ⚠",VLOOKUP(P12,'G-4 Temporal multipliers'!$A$4:$C$37,3,FALSE)),"")</f>
        <v/>
      </c>
      <c r="R12" s="362" t="str">
        <f>IF(C12="","",VLOOKUP(C12,'G-7 WaterC'' Data'!$B$4:$G$8,4,FALSE))</f>
        <v/>
      </c>
      <c r="S12" s="370" t="str">
        <f>IF(C12="","",IF(P12="Check Data ⚠","Check Data ⚠",IF(G12="","",IF($O12="Check details - Is there evidence that habitat has reached target condition? ⚠","Low Difficulty - only applicable if all habitat created before losses ⚠","Standard difficulty applied"))))</f>
        <v/>
      </c>
      <c r="T12" s="401" t="str">
        <f>(IF(AND(S12="Standard difficulty applied",L12&gt;M12),R12,IF(AND(S12="Low Difficulty - only applicable if all habitat created before losses ⚠",M12&gt;=L12),"Low",R12)))</f>
        <v/>
      </c>
      <c r="U12" s="363" t="str">
        <f>IF(C12="","",VLOOKUP(T12,'G-3 Multipliers'!$P$2:$Q$6,2,FALSE))</f>
        <v/>
      </c>
      <c r="V12" s="54"/>
      <c r="W12" s="363" t="str">
        <f>IF(V12="","",IF(VLOOKUP(V12,'G-7 WaterC'' Data'!$AA$4:$AB$7,2,FALSE)=0,"Spatial Data Missing ⚠",VLOOKUP(V12,'G-7 WaterC'' Data'!$AA$4:$AB$7,2,FALSE)))</f>
        <v/>
      </c>
      <c r="X12" s="60"/>
      <c r="Y12" s="363" t="str">
        <f>IF(X12="","",IF(VLOOKUP(X12,'G-7 WaterC'' Data'!$AD$4:$AE$14,2,FALSE)=0,"Enrcoachment Data Missing ⚠",VLOOKUP(X12,'G-7 WaterC'' Data'!$AD$4:$AE$14,2,FALSE)))</f>
        <v/>
      </c>
      <c r="Z12" s="423" t="str">
        <f>IFERROR(IF(C12="","",D12*F12*H12*K12*Q12*U12*Y12*W12),"")</f>
        <v/>
      </c>
      <c r="AA12" s="117"/>
      <c r="AB12" s="118"/>
      <c r="AC12" s="118"/>
      <c r="AH12" s="30" t="str">
        <f>IFERROR(INDEX('G-7 WaterC'' Data'!$AZ$3:$AZ$7,MATCH(C12,'G-7 WaterC'' Data'!$AY$3:$AY$7,0)),"")</f>
        <v/>
      </c>
    </row>
    <row r="13" spans="2:34" ht="15">
      <c r="B13" s="110">
        <v>2</v>
      </c>
      <c r="C13" s="135"/>
      <c r="D13" s="53"/>
      <c r="E13" s="362" t="str">
        <f>IF(C13="","",VLOOKUP(C13,'G-7 WaterC'' Data'!$B$2:$G$8,2,FALSE))</f>
        <v/>
      </c>
      <c r="F13" s="363" t="str">
        <f>IFERROR(VLOOKUP(E13,'G-7 WaterC'' Data'!$C$4:$D$8,2,FALSE),"")</f>
        <v/>
      </c>
      <c r="G13" s="114"/>
      <c r="H13" s="363" t="str">
        <f>IFERROR(INDEX('G-7 WaterC'' Data'!$H$4:$L$8,MATCH(C13,'G-7 WaterC'' Data'!$B$4:$B$8,0),MATCH(G13,'G-7 WaterC'' Data'!$H$3:$L$3,0)),"")</f>
        <v/>
      </c>
      <c r="I13" s="54"/>
      <c r="J13" s="370" t="str">
        <f>IF(I13="","",IF(VLOOKUP(I13,'G-7 WaterC'' Data'!$AK$4:$AM$6,2,FALSE)=0,"Spatial Data Missing ⚠",VLOOKUP(I13,'G-7 WaterC'' Data'!$AK$4:$AM$6,2,FALSE)))</f>
        <v/>
      </c>
      <c r="K13" s="363" t="str">
        <f>IF(I13="","",IF(VLOOKUP(I13,'G-7 WaterC'' Data'!$AK$4:$AM$6,3,FALSE)=0,"Spatial Data Missing ⚠",VLOOKUP(I13,'G-7 WaterC'' Data'!$AK$4:$AM$6,3,FALSE)))</f>
        <v/>
      </c>
      <c r="L13" s="362" t="str">
        <f>IFERROR(INDEX('G-7 WaterC'' Data'!$O$3:$O$7,MATCH(G13,'G-7 WaterC'' Data'!$N$3:$N$7,0)),"")</f>
        <v/>
      </c>
      <c r="M13" s="63"/>
      <c r="N13" s="63"/>
      <c r="O13" s="370" t="str">
        <f t="shared" ref="O13:O76" si="0">IF(L13="","",IF(AND(M13&gt;0,N13&gt;0),"Error -both advance and delayed habitat creation ▲",IF(AND(OR(M13="Habitat already in target condition",L13&lt;=M13),N13=0),"Check details - Is there evidence that habitat has reached target condition? ⚠",IF(M13&gt;0,"Check details - Is there evidence habitat creation started/in place? ⚠",IF(N13&gt;0,"Check details- Delay in starting habitat in required condition? ⚠","Standard time to target condition applied")))))</f>
        <v/>
      </c>
      <c r="P13" s="383" t="str">
        <f t="shared" ref="P13:P76" si="1">IF(O13="Error -both advance and delayed habitat creation ▲","Check Data ⚠",IF(L13="","",IF(M13="30+",0,IF(N13="30+","30+",IF(L13+N13&gt;30,"30+ ⚠",IF(L13+N13-M13&gt;0,L13+N13-M13,IF(L13-M13&lt;0,0,L13+N13-M13)))))))</f>
        <v/>
      </c>
      <c r="Q13" s="422" t="str">
        <f>IFERROR(IF(P13="Check Data ⚠","Check Data ⚠",VLOOKUP(P13,'G-4 Temporal multipliers'!$A$4:$C$37,3,FALSE)),"")</f>
        <v/>
      </c>
      <c r="R13" s="362" t="str">
        <f>IF(C13="","",VLOOKUP(C13,'G-7 WaterC'' Data'!$B$4:$G$8,4,FALSE))</f>
        <v/>
      </c>
      <c r="S13" s="370" t="str">
        <f t="shared" ref="S13:S76" si="2">IF(C13="","",IF(P13="Check Data ⚠","Check Data ⚠",IF(G13="","",IF($O13="Check details - Is there evidence that habitat has reached target condition? ⚠","Low Difficulty - only applicable if all habitat created before losses ⚠","Standard difficulty applied"))))</f>
        <v/>
      </c>
      <c r="T13" s="401" t="str">
        <f t="shared" ref="T13:T76" si="3">(IF(AND(S13="Standard difficulty applied",L13&gt;M13),R13,IF(AND(S13="Low Difficulty - only applicable if all habitat created before losses ⚠",M13&gt;=L13),"Low",R13)))</f>
        <v/>
      </c>
      <c r="U13" s="363" t="str">
        <f>IF(C13="","",VLOOKUP(T13,'G-3 Multipliers'!$P$2:$Q$6,2,FALSE))</f>
        <v/>
      </c>
      <c r="V13" s="115"/>
      <c r="W13" s="363" t="str">
        <f>IF(V13="","",IF(VLOOKUP(V13,'G-7 WaterC'' Data'!$AA$4:$AB$7,2,FALSE)=0,"Spatial Data Missing ⚠",VLOOKUP(V13,'G-7 WaterC'' Data'!$AA$4:$AB$7,2,FALSE)))</f>
        <v/>
      </c>
      <c r="X13" s="60"/>
      <c r="Y13" s="363" t="str">
        <f>IF(X13="","",IF(VLOOKUP(X13,'G-7 WaterC'' Data'!$AD$4:$AE$14,2,FALSE)=0,"Enrcoachment Data Missing ⚠",VLOOKUP(X13,'G-7 WaterC'' Data'!$AD$4:$AE$14,2,FALSE)))</f>
        <v/>
      </c>
      <c r="Z13" s="423" t="str">
        <f t="shared" ref="Z13:Z76" si="4">IFERROR(IF(C13="","",D13*F13*H13*K13*Q13*U13*Y13*W13),"")</f>
        <v/>
      </c>
      <c r="AA13" s="117"/>
      <c r="AB13" s="118"/>
      <c r="AC13" s="120"/>
      <c r="AH13" s="30" t="str">
        <f>IFERROR(INDEX('G-7 WaterC'' Data'!$AZ$3:$AZ$7,MATCH(C13,'G-7 WaterC'' Data'!$AY$3:$AY$7,0)),"")</f>
        <v/>
      </c>
    </row>
    <row r="14" spans="2:34" ht="15">
      <c r="B14" s="110">
        <v>3</v>
      </c>
      <c r="C14" s="135"/>
      <c r="D14" s="53"/>
      <c r="E14" s="362" t="str">
        <f>IF(C14="","",VLOOKUP(C14,'G-7 WaterC'' Data'!$B$2:$G$8,2,FALSE))</f>
        <v/>
      </c>
      <c r="F14" s="363" t="str">
        <f>IFERROR(VLOOKUP(E14,'G-7 WaterC'' Data'!$C$4:$D$8,2,FALSE),"")</f>
        <v/>
      </c>
      <c r="G14" s="114"/>
      <c r="H14" s="363" t="str">
        <f>IFERROR(INDEX('G-7 WaterC'' Data'!$H$4:$L$8,MATCH(C14,'G-7 WaterC'' Data'!$B$4:$B$8,0),MATCH(G14,'G-7 WaterC'' Data'!$H$3:$L$3,0)),"")</f>
        <v/>
      </c>
      <c r="I14" s="54"/>
      <c r="J14" s="370" t="str">
        <f>IF(I14="","",IF(VLOOKUP(I14,'G-7 WaterC'' Data'!$AK$4:$AM$6,2,FALSE)=0,"Spatial Data Missing ⚠",VLOOKUP(I14,'G-7 WaterC'' Data'!$AK$4:$AM$6,2,FALSE)))</f>
        <v/>
      </c>
      <c r="K14" s="363" t="str">
        <f>IF(I14="","",IF(VLOOKUP(I14,'G-7 WaterC'' Data'!$AK$4:$AM$6,3,FALSE)=0,"Spatial Data Missing ⚠",VLOOKUP(I14,'G-7 WaterC'' Data'!$AK$4:$AM$6,3,FALSE)))</f>
        <v/>
      </c>
      <c r="L14" s="362" t="str">
        <f>IFERROR(INDEX('G-7 WaterC'' Data'!$O$3:$O$7,MATCH(G14,'G-7 WaterC'' Data'!$N$3:$N$7,0)),"")</f>
        <v/>
      </c>
      <c r="M14" s="63"/>
      <c r="N14" s="63"/>
      <c r="O14" s="370" t="str">
        <f t="shared" si="0"/>
        <v/>
      </c>
      <c r="P14" s="383" t="str">
        <f t="shared" si="1"/>
        <v/>
      </c>
      <c r="Q14" s="422" t="str">
        <f>IFERROR(IF(P14="Check Data ⚠","Check Data ⚠",VLOOKUP(P14,'G-4 Temporal multipliers'!$A$4:$C$37,3,FALSE)),"")</f>
        <v/>
      </c>
      <c r="R14" s="362" t="str">
        <f>IF(C14="","",VLOOKUP(C14,'G-7 WaterC'' Data'!$B$4:$G$8,4,FALSE))</f>
        <v/>
      </c>
      <c r="S14" s="370" t="str">
        <f t="shared" si="2"/>
        <v/>
      </c>
      <c r="T14" s="401" t="str">
        <f t="shared" si="3"/>
        <v/>
      </c>
      <c r="U14" s="363" t="str">
        <f>IF(C14="","",VLOOKUP(T14,'G-3 Multipliers'!$P$2:$Q$6,2,FALSE))</f>
        <v/>
      </c>
      <c r="V14" s="115"/>
      <c r="W14" s="363" t="str">
        <f>IF(V14="","",IF(VLOOKUP(V14,'G-7 WaterC'' Data'!$AA$4:$AB$7,2,FALSE)=0,"Spatial Data Missing ⚠",VLOOKUP(V14,'G-7 WaterC'' Data'!$AA$4:$AB$7,2,FALSE)))</f>
        <v/>
      </c>
      <c r="X14" s="60"/>
      <c r="Y14" s="363" t="str">
        <f>IF(X14="","",IF(VLOOKUP(X14,'G-7 WaterC'' Data'!$AD$4:$AE$14,2,FALSE)=0,"Enrcoachment Data Missing ⚠",VLOOKUP(X14,'G-7 WaterC'' Data'!$AD$4:$AE$14,2,FALSE)))</f>
        <v/>
      </c>
      <c r="Z14" s="423" t="str">
        <f t="shared" si="4"/>
        <v/>
      </c>
      <c r="AA14" s="117"/>
      <c r="AB14" s="118"/>
      <c r="AC14" s="120"/>
      <c r="AH14" s="30" t="str">
        <f>IFERROR(INDEX('G-7 WaterC'' Data'!$AZ$3:$AZ$7,MATCH(C14,'G-7 WaterC'' Data'!$AY$3:$AY$7,0)),"")</f>
        <v/>
      </c>
    </row>
    <row r="15" spans="2:34" ht="15">
      <c r="B15" s="110">
        <v>4</v>
      </c>
      <c r="C15" s="135"/>
      <c r="D15" s="53"/>
      <c r="E15" s="362" t="str">
        <f>IF(C15="","",VLOOKUP(C15,'G-7 WaterC'' Data'!$B$2:$G$8,2,FALSE))</f>
        <v/>
      </c>
      <c r="F15" s="363" t="str">
        <f>IFERROR(VLOOKUP(E15,'G-7 WaterC'' Data'!$C$4:$D$8,2,FALSE),"")</f>
        <v/>
      </c>
      <c r="G15" s="114"/>
      <c r="H15" s="363" t="str">
        <f>IFERROR(INDEX('G-7 WaterC'' Data'!$H$4:$L$8,MATCH(C15,'G-7 WaterC'' Data'!$B$4:$B$8,0),MATCH(G15,'G-7 WaterC'' Data'!$H$3:$L$3,0)),"")</f>
        <v/>
      </c>
      <c r="I15" s="54"/>
      <c r="J15" s="370" t="str">
        <f>IF(I15="","",IF(VLOOKUP(I15,'G-7 WaterC'' Data'!$AK$4:$AM$6,2,FALSE)=0,"Spatial Data Missing ⚠",VLOOKUP(I15,'G-7 WaterC'' Data'!$AK$4:$AM$6,2,FALSE)))</f>
        <v/>
      </c>
      <c r="K15" s="363" t="str">
        <f>IF(I15="","",IF(VLOOKUP(I15,'G-7 WaterC'' Data'!$AK$4:$AM$6,3,FALSE)=0,"Spatial Data Missing ⚠",VLOOKUP(I15,'G-7 WaterC'' Data'!$AK$4:$AM$6,3,FALSE)))</f>
        <v/>
      </c>
      <c r="L15" s="362" t="str">
        <f>IFERROR(INDEX('G-7 WaterC'' Data'!$O$3:$O$7,MATCH(G15,'G-7 WaterC'' Data'!$N$3:$N$7,0)),"")</f>
        <v/>
      </c>
      <c r="M15" s="63"/>
      <c r="N15" s="63"/>
      <c r="O15" s="370" t="str">
        <f t="shared" si="0"/>
        <v/>
      </c>
      <c r="P15" s="383" t="str">
        <f t="shared" si="1"/>
        <v/>
      </c>
      <c r="Q15" s="422" t="str">
        <f>IFERROR(IF(P15="Check Data ⚠","Check Data ⚠",VLOOKUP(P15,'G-4 Temporal multipliers'!$A$4:$C$37,3,FALSE)),"")</f>
        <v/>
      </c>
      <c r="R15" s="362" t="str">
        <f>IF(C15="","",VLOOKUP(C15,'G-7 WaterC'' Data'!$B$4:$G$8,4,FALSE))</f>
        <v/>
      </c>
      <c r="S15" s="370" t="str">
        <f t="shared" si="2"/>
        <v/>
      </c>
      <c r="T15" s="401" t="str">
        <f t="shared" si="3"/>
        <v/>
      </c>
      <c r="U15" s="363" t="str">
        <f>IF(C15="","",VLOOKUP(T15,'G-3 Multipliers'!$P$2:$Q$6,2,FALSE))</f>
        <v/>
      </c>
      <c r="V15" s="115"/>
      <c r="W15" s="363" t="str">
        <f>IF(V15="","",IF(VLOOKUP(V15,'G-7 WaterC'' Data'!$AA$4:$AB$7,2,FALSE)=0,"Spatial Data Missing ⚠",VLOOKUP(V15,'G-7 WaterC'' Data'!$AA$4:$AB$7,2,FALSE)))</f>
        <v/>
      </c>
      <c r="X15" s="60"/>
      <c r="Y15" s="363" t="str">
        <f>IF(X15="","",IF(VLOOKUP(X15,'G-7 WaterC'' Data'!$AD$4:$AE$14,2,FALSE)=0,"Enrcoachment Data Missing ⚠",VLOOKUP(X15,'G-7 WaterC'' Data'!$AD$4:$AE$14,2,FALSE)))</f>
        <v/>
      </c>
      <c r="Z15" s="423" t="str">
        <f t="shared" si="4"/>
        <v/>
      </c>
      <c r="AA15" s="117"/>
      <c r="AB15" s="118"/>
      <c r="AC15" s="120"/>
      <c r="AH15" s="30" t="str">
        <f>IFERROR(INDEX('G-7 WaterC'' Data'!$AZ$3:$AZ$7,MATCH(C15,'G-7 WaterC'' Data'!$AY$3:$AY$7,0)),"")</f>
        <v/>
      </c>
    </row>
    <row r="16" spans="2:34" ht="15">
      <c r="B16" s="110">
        <v>5</v>
      </c>
      <c r="C16" s="138"/>
      <c r="D16" s="139"/>
      <c r="E16" s="362" t="str">
        <f>IF(C16="","",VLOOKUP(C16,'G-7 WaterC'' Data'!$B$2:$G$8,2,FALSE))</f>
        <v/>
      </c>
      <c r="F16" s="363" t="str">
        <f>IFERROR(VLOOKUP(E16,'G-7 WaterC'' Data'!$C$4:$D$8,2,FALSE),"")</f>
        <v/>
      </c>
      <c r="G16" s="114"/>
      <c r="H16" s="363" t="str">
        <f>IFERROR(INDEX('G-7 WaterC'' Data'!$H$4:$L$8,MATCH(C16,'G-7 WaterC'' Data'!$B$4:$B$8,0),MATCH(G16,'G-7 WaterC'' Data'!$H$3:$L$3,0)),"")</f>
        <v/>
      </c>
      <c r="I16" s="54"/>
      <c r="J16" s="370" t="str">
        <f>IF(I16="","",IF(VLOOKUP(I16,'G-7 WaterC'' Data'!$AK$4:$AM$6,2,FALSE)=0,"Spatial Data Missing ⚠",VLOOKUP(I16,'G-7 WaterC'' Data'!$AK$4:$AM$6,2,FALSE)))</f>
        <v/>
      </c>
      <c r="K16" s="363" t="str">
        <f>IF(I16="","",IF(VLOOKUP(I16,'G-7 WaterC'' Data'!$AK$4:$AM$6,3,FALSE)=0,"Spatial Data Missing ⚠",VLOOKUP(I16,'G-7 WaterC'' Data'!$AK$4:$AM$6,3,FALSE)))</f>
        <v/>
      </c>
      <c r="L16" s="362" t="str">
        <f>IFERROR(INDEX('G-7 WaterC'' Data'!$O$3:$O$7,MATCH(G16,'G-7 WaterC'' Data'!$N$3:$N$7,0)),"")</f>
        <v/>
      </c>
      <c r="M16" s="63"/>
      <c r="N16" s="159"/>
      <c r="O16" s="370" t="str">
        <f t="shared" si="0"/>
        <v/>
      </c>
      <c r="P16" s="383" t="str">
        <f t="shared" si="1"/>
        <v/>
      </c>
      <c r="Q16" s="422" t="str">
        <f>IFERROR(IF(P16="Check Data ⚠","Check Data ⚠",VLOOKUP(P16,'G-4 Temporal multipliers'!$A$4:$C$37,3,FALSE)),"")</f>
        <v/>
      </c>
      <c r="R16" s="362" t="str">
        <f>IF(C16="","",VLOOKUP(C16,'G-7 WaterC'' Data'!$B$4:$G$8,4,FALSE))</f>
        <v/>
      </c>
      <c r="S16" s="370" t="str">
        <f t="shared" si="2"/>
        <v/>
      </c>
      <c r="T16" s="401" t="str">
        <f t="shared" si="3"/>
        <v/>
      </c>
      <c r="U16" s="363" t="str">
        <f>IF(C16="","",VLOOKUP(T16,'G-3 Multipliers'!$P$2:$Q$6,2,FALSE))</f>
        <v/>
      </c>
      <c r="V16" s="115"/>
      <c r="W16" s="363" t="str">
        <f>IF(V16="","",IF(VLOOKUP(V16,'G-7 WaterC'' Data'!$AA$4:$AB$7,2,FALSE)=0,"Spatial Data Missing ⚠",VLOOKUP(V16,'G-7 WaterC'' Data'!$AA$4:$AB$7,2,FALSE)))</f>
        <v/>
      </c>
      <c r="X16" s="60"/>
      <c r="Y16" s="363" t="str">
        <f>IF(X16="","",IF(VLOOKUP(X16,'G-7 WaterC'' Data'!$AD$4:$AE$14,2,FALSE)=0,"Enrcoachment Data Missing ⚠",VLOOKUP(X16,'G-7 WaterC'' Data'!$AD$4:$AE$14,2,FALSE)))</f>
        <v/>
      </c>
      <c r="Z16" s="423" t="str">
        <f t="shared" si="4"/>
        <v/>
      </c>
      <c r="AA16" s="117"/>
      <c r="AB16" s="118"/>
      <c r="AC16" s="120"/>
      <c r="AH16" s="30" t="str">
        <f>IFERROR(INDEX('G-7 WaterC'' Data'!$AZ$3:$AZ$7,MATCH(C16,'G-7 WaterC'' Data'!$AY$3:$AY$7,0)),"")</f>
        <v/>
      </c>
    </row>
    <row r="17" spans="2:34" ht="15">
      <c r="B17" s="110">
        <v>6</v>
      </c>
      <c r="C17" s="138"/>
      <c r="D17" s="139"/>
      <c r="E17" s="362" t="str">
        <f>IF(C17="","",VLOOKUP(C17,'G-7 WaterC'' Data'!$B$2:$G$8,2,FALSE))</f>
        <v/>
      </c>
      <c r="F17" s="363" t="str">
        <f>IFERROR(VLOOKUP(E17,'G-7 WaterC'' Data'!$C$4:$D$8,2,FALSE),"")</f>
        <v/>
      </c>
      <c r="G17" s="114"/>
      <c r="H17" s="363" t="str">
        <f>IFERROR(INDEX('G-7 WaterC'' Data'!$H$4:$L$8,MATCH(C17,'G-7 WaterC'' Data'!$B$4:$B$8,0),MATCH(G17,'G-7 WaterC'' Data'!$H$3:$L$3,0)),"")</f>
        <v/>
      </c>
      <c r="I17" s="54"/>
      <c r="J17" s="370" t="str">
        <f>IF(I17="","",IF(VLOOKUP(I17,'G-7 WaterC'' Data'!$AK$4:$AM$6,2,FALSE)=0,"Spatial Data Missing ⚠",VLOOKUP(I17,'G-7 WaterC'' Data'!$AK$4:$AM$6,2,FALSE)))</f>
        <v/>
      </c>
      <c r="K17" s="363" t="str">
        <f>IF(I17="","",IF(VLOOKUP(I17,'G-7 WaterC'' Data'!$AK$4:$AM$6,3,FALSE)=0,"Spatial Data Missing ⚠",VLOOKUP(I17,'G-7 WaterC'' Data'!$AK$4:$AM$6,3,FALSE)))</f>
        <v/>
      </c>
      <c r="L17" s="362" t="str">
        <f>IFERROR(INDEX('G-7 WaterC'' Data'!$O$3:$O$7,MATCH(G17,'G-7 WaterC'' Data'!$N$3:$N$7,0)),"")</f>
        <v/>
      </c>
      <c r="M17" s="63"/>
      <c r="N17" s="159"/>
      <c r="O17" s="370" t="str">
        <f t="shared" si="0"/>
        <v/>
      </c>
      <c r="P17" s="383" t="str">
        <f t="shared" si="1"/>
        <v/>
      </c>
      <c r="Q17" s="422" t="str">
        <f>IFERROR(IF(P17="Check Data ⚠","Check Data ⚠",VLOOKUP(P17,'G-4 Temporal multipliers'!$A$4:$C$37,3,FALSE)),"")</f>
        <v/>
      </c>
      <c r="R17" s="362" t="str">
        <f>IF(C17="","",VLOOKUP(C17,'G-7 WaterC'' Data'!$B$4:$G$8,4,FALSE))</f>
        <v/>
      </c>
      <c r="S17" s="370" t="str">
        <f t="shared" si="2"/>
        <v/>
      </c>
      <c r="T17" s="401" t="str">
        <f t="shared" si="3"/>
        <v/>
      </c>
      <c r="U17" s="363" t="str">
        <f>IF(C17="","",VLOOKUP(T17,'G-3 Multipliers'!$P$2:$Q$6,2,FALSE))</f>
        <v/>
      </c>
      <c r="V17" s="115"/>
      <c r="W17" s="363" t="str">
        <f>IF(V17="","",IF(VLOOKUP(V17,'G-7 WaterC'' Data'!$AA$4:$AB$7,2,FALSE)=0,"Spatial Data Missing ⚠",VLOOKUP(V17,'G-7 WaterC'' Data'!$AA$4:$AB$7,2,FALSE)))</f>
        <v/>
      </c>
      <c r="X17" s="60"/>
      <c r="Y17" s="363" t="str">
        <f>IF(X17="","",IF(VLOOKUP(X17,'G-7 WaterC'' Data'!$AD$4:$AE$14,2,FALSE)=0,"Enrcoachment Data Missing ⚠",VLOOKUP(X17,'G-7 WaterC'' Data'!$AD$4:$AE$14,2,FALSE)))</f>
        <v/>
      </c>
      <c r="Z17" s="423" t="str">
        <f t="shared" si="4"/>
        <v/>
      </c>
      <c r="AA17" s="117"/>
      <c r="AB17" s="118"/>
      <c r="AC17" s="120"/>
      <c r="AH17" s="30" t="str">
        <f>IFERROR(INDEX('G-7 WaterC'' Data'!$AZ$3:$AZ$7,MATCH(C17,'G-7 WaterC'' Data'!$AY$3:$AY$7,0)),"")</f>
        <v/>
      </c>
    </row>
    <row r="18" spans="2:34" ht="15">
      <c r="B18" s="110">
        <v>7</v>
      </c>
      <c r="C18" s="138"/>
      <c r="D18" s="139"/>
      <c r="E18" s="362" t="str">
        <f>IF(C18="","",VLOOKUP(C18,'G-7 WaterC'' Data'!$B$2:$G$8,2,FALSE))</f>
        <v/>
      </c>
      <c r="F18" s="363" t="str">
        <f>IFERROR(VLOOKUP(E18,'G-7 WaterC'' Data'!$C$4:$D$8,2,FALSE),"")</f>
        <v/>
      </c>
      <c r="G18" s="114"/>
      <c r="H18" s="363" t="str">
        <f>IFERROR(INDEX('G-7 WaterC'' Data'!$H$4:$L$8,MATCH(C18,'G-7 WaterC'' Data'!$B$4:$B$8,0),MATCH(G18,'G-7 WaterC'' Data'!$H$3:$L$3,0)),"")</f>
        <v/>
      </c>
      <c r="I18" s="54"/>
      <c r="J18" s="370" t="str">
        <f>IF(I18="","",IF(VLOOKUP(I18,'G-7 WaterC'' Data'!$AK$4:$AM$6,2,FALSE)=0,"Spatial Data Missing ⚠",VLOOKUP(I18,'G-7 WaterC'' Data'!$AK$4:$AM$6,2,FALSE)))</f>
        <v/>
      </c>
      <c r="K18" s="363" t="str">
        <f>IF(I18="","",IF(VLOOKUP(I18,'G-7 WaterC'' Data'!$AK$4:$AM$6,3,FALSE)=0,"Spatial Data Missing ⚠",VLOOKUP(I18,'G-7 WaterC'' Data'!$AK$4:$AM$6,3,FALSE)))</f>
        <v/>
      </c>
      <c r="L18" s="362" t="str">
        <f>IFERROR(INDEX('G-7 WaterC'' Data'!$O$3:$O$7,MATCH(G18,'G-7 WaterC'' Data'!$N$3:$N$7,0)),"")</f>
        <v/>
      </c>
      <c r="M18" s="63"/>
      <c r="N18" s="159"/>
      <c r="O18" s="370" t="str">
        <f t="shared" si="0"/>
        <v/>
      </c>
      <c r="P18" s="383" t="str">
        <f t="shared" si="1"/>
        <v/>
      </c>
      <c r="Q18" s="422" t="str">
        <f>IFERROR(IF(P18="Check Data ⚠","Check Data ⚠",VLOOKUP(P18,'G-4 Temporal multipliers'!$A$4:$C$37,3,FALSE)),"")</f>
        <v/>
      </c>
      <c r="R18" s="362" t="str">
        <f>IF(C18="","",VLOOKUP(C18,'G-7 WaterC'' Data'!$B$4:$G$8,4,FALSE))</f>
        <v/>
      </c>
      <c r="S18" s="370" t="str">
        <f t="shared" si="2"/>
        <v/>
      </c>
      <c r="T18" s="401" t="str">
        <f t="shared" si="3"/>
        <v/>
      </c>
      <c r="U18" s="363" t="str">
        <f>IF(C18="","",VLOOKUP(T18,'G-3 Multipliers'!$P$2:$Q$6,2,FALSE))</f>
        <v/>
      </c>
      <c r="V18" s="115"/>
      <c r="W18" s="363" t="str">
        <f>IF(V18="","",IF(VLOOKUP(V18,'G-7 WaterC'' Data'!$AA$4:$AB$7,2,FALSE)=0,"Spatial Data Missing ⚠",VLOOKUP(V18,'G-7 WaterC'' Data'!$AA$4:$AB$7,2,FALSE)))</f>
        <v/>
      </c>
      <c r="X18" s="60"/>
      <c r="Y18" s="363" t="str">
        <f>IF(X18="","",IF(VLOOKUP(X18,'G-7 WaterC'' Data'!$AD$4:$AE$14,2,FALSE)=0,"Enrcoachment Data Missing ⚠",VLOOKUP(X18,'G-7 WaterC'' Data'!$AD$4:$AE$14,2,FALSE)))</f>
        <v/>
      </c>
      <c r="Z18" s="423" t="str">
        <f t="shared" si="4"/>
        <v/>
      </c>
      <c r="AA18" s="117"/>
      <c r="AB18" s="118"/>
      <c r="AC18" s="120"/>
      <c r="AH18" s="30" t="str">
        <f>IFERROR(INDEX('G-7 WaterC'' Data'!$AZ$3:$AZ$7,MATCH(C18,'G-7 WaterC'' Data'!$AY$3:$AY$7,0)),"")</f>
        <v/>
      </c>
    </row>
    <row r="19" spans="2:34" ht="15">
      <c r="B19" s="110">
        <v>8</v>
      </c>
      <c r="C19" s="138"/>
      <c r="D19" s="139"/>
      <c r="E19" s="362" t="str">
        <f>IF(C19="","",VLOOKUP(C19,'G-7 WaterC'' Data'!$B$2:$G$8,2,FALSE))</f>
        <v/>
      </c>
      <c r="F19" s="363" t="str">
        <f>IFERROR(VLOOKUP(E19,'G-7 WaterC'' Data'!$C$4:$D$8,2,FALSE),"")</f>
        <v/>
      </c>
      <c r="G19" s="114"/>
      <c r="H19" s="363" t="str">
        <f>IFERROR(INDEX('G-7 WaterC'' Data'!$H$4:$L$8,MATCH(C19,'G-7 WaterC'' Data'!$B$4:$B$8,0),MATCH(G19,'G-7 WaterC'' Data'!$H$3:$L$3,0)),"")</f>
        <v/>
      </c>
      <c r="I19" s="54"/>
      <c r="J19" s="370" t="str">
        <f>IF(I19="","",IF(VLOOKUP(I19,'G-7 WaterC'' Data'!$AK$4:$AM$6,2,FALSE)=0,"Spatial Data Missing ⚠",VLOOKUP(I19,'G-7 WaterC'' Data'!$AK$4:$AM$6,2,FALSE)))</f>
        <v/>
      </c>
      <c r="K19" s="363" t="str">
        <f>IF(I19="","",IF(VLOOKUP(I19,'G-7 WaterC'' Data'!$AK$4:$AM$6,3,FALSE)=0,"Spatial Data Missing ⚠",VLOOKUP(I19,'G-7 WaterC'' Data'!$AK$4:$AM$6,3,FALSE)))</f>
        <v/>
      </c>
      <c r="L19" s="362" t="str">
        <f>IFERROR(INDEX('G-7 WaterC'' Data'!$O$3:$O$7,MATCH(G19,'G-7 WaterC'' Data'!$N$3:$N$7,0)),"")</f>
        <v/>
      </c>
      <c r="M19" s="63"/>
      <c r="N19" s="159"/>
      <c r="O19" s="370" t="str">
        <f t="shared" si="0"/>
        <v/>
      </c>
      <c r="P19" s="383" t="str">
        <f t="shared" si="1"/>
        <v/>
      </c>
      <c r="Q19" s="422" t="str">
        <f>IFERROR(IF(P19="Check Data ⚠","Check Data ⚠",VLOOKUP(P19,'G-4 Temporal multipliers'!$A$4:$C$37,3,FALSE)),"")</f>
        <v/>
      </c>
      <c r="R19" s="362" t="str">
        <f>IF(C19="","",VLOOKUP(C19,'G-7 WaterC'' Data'!$B$4:$G$8,4,FALSE))</f>
        <v/>
      </c>
      <c r="S19" s="370" t="str">
        <f t="shared" si="2"/>
        <v/>
      </c>
      <c r="T19" s="401" t="str">
        <f t="shared" si="3"/>
        <v/>
      </c>
      <c r="U19" s="363" t="str">
        <f>IF(C19="","",VLOOKUP(T19,'G-3 Multipliers'!$P$2:$Q$6,2,FALSE))</f>
        <v/>
      </c>
      <c r="V19" s="115"/>
      <c r="W19" s="363" t="str">
        <f>IF(V19="","",IF(VLOOKUP(V19,'G-7 WaterC'' Data'!$AA$4:$AB$7,2,FALSE)=0,"Spatial Data Missing ⚠",VLOOKUP(V19,'G-7 WaterC'' Data'!$AA$4:$AB$7,2,FALSE)))</f>
        <v/>
      </c>
      <c r="X19" s="60"/>
      <c r="Y19" s="363" t="str">
        <f>IF(X19="","",IF(VLOOKUP(X19,'G-7 WaterC'' Data'!$AD$4:$AE$14,2,FALSE)=0,"Enrcoachment Data Missing ⚠",VLOOKUP(X19,'G-7 WaterC'' Data'!$AD$4:$AE$14,2,FALSE)))</f>
        <v/>
      </c>
      <c r="Z19" s="423" t="str">
        <f t="shared" si="4"/>
        <v/>
      </c>
      <c r="AA19" s="117"/>
      <c r="AB19" s="118"/>
      <c r="AC19" s="120"/>
      <c r="AH19" s="30" t="str">
        <f>IFERROR(INDEX('G-7 WaterC'' Data'!$AZ$3:$AZ$7,MATCH(C19,'G-7 WaterC'' Data'!$AY$3:$AY$7,0)),"")</f>
        <v/>
      </c>
    </row>
    <row r="20" spans="2:34" ht="15">
      <c r="B20" s="110">
        <v>9</v>
      </c>
      <c r="C20" s="138"/>
      <c r="D20" s="139"/>
      <c r="E20" s="362" t="str">
        <f>IF(C20="","",VLOOKUP(C20,'G-7 WaterC'' Data'!$B$2:$G$8,2,FALSE))</f>
        <v/>
      </c>
      <c r="F20" s="363" t="str">
        <f>IFERROR(VLOOKUP(E20,'G-7 WaterC'' Data'!$C$4:$D$8,2,FALSE),"")</f>
        <v/>
      </c>
      <c r="G20" s="114"/>
      <c r="H20" s="363" t="str">
        <f>IFERROR(INDEX('G-7 WaterC'' Data'!$H$4:$L$8,MATCH(C20,'G-7 WaterC'' Data'!$B$4:$B$8,0),MATCH(G20,'G-7 WaterC'' Data'!$H$3:$L$3,0)),"")</f>
        <v/>
      </c>
      <c r="I20" s="54"/>
      <c r="J20" s="370" t="str">
        <f>IF(I20="","",IF(VLOOKUP(I20,'G-7 WaterC'' Data'!$AK$4:$AM$6,2,FALSE)=0,"Spatial Data Missing ⚠",VLOOKUP(I20,'G-7 WaterC'' Data'!$AK$4:$AM$6,2,FALSE)))</f>
        <v/>
      </c>
      <c r="K20" s="363" t="str">
        <f>IF(I20="","",IF(VLOOKUP(I20,'G-7 WaterC'' Data'!$AK$4:$AM$6,3,FALSE)=0,"Spatial Data Missing ⚠",VLOOKUP(I20,'G-7 WaterC'' Data'!$AK$4:$AM$6,3,FALSE)))</f>
        <v/>
      </c>
      <c r="L20" s="362" t="str">
        <f>IFERROR(INDEX('G-7 WaterC'' Data'!$O$3:$O$7,MATCH(G20,'G-7 WaterC'' Data'!$N$3:$N$7,0)),"")</f>
        <v/>
      </c>
      <c r="M20" s="63"/>
      <c r="N20" s="159"/>
      <c r="O20" s="370" t="str">
        <f t="shared" si="0"/>
        <v/>
      </c>
      <c r="P20" s="383" t="str">
        <f t="shared" si="1"/>
        <v/>
      </c>
      <c r="Q20" s="422" t="str">
        <f>IFERROR(IF(P20="Check Data ⚠","Check Data ⚠",VLOOKUP(P20,'G-4 Temporal multipliers'!$A$4:$C$37,3,FALSE)),"")</f>
        <v/>
      </c>
      <c r="R20" s="362" t="str">
        <f>IF(C20="","",VLOOKUP(C20,'G-7 WaterC'' Data'!$B$4:$G$8,4,FALSE))</f>
        <v/>
      </c>
      <c r="S20" s="370" t="str">
        <f t="shared" si="2"/>
        <v/>
      </c>
      <c r="T20" s="401" t="str">
        <f t="shared" si="3"/>
        <v/>
      </c>
      <c r="U20" s="363" t="str">
        <f>IF(C20="","",VLOOKUP(T20,'G-3 Multipliers'!$P$2:$Q$6,2,FALSE))</f>
        <v/>
      </c>
      <c r="V20" s="115"/>
      <c r="W20" s="363" t="str">
        <f>IF(V20="","",IF(VLOOKUP(V20,'G-7 WaterC'' Data'!$AA$4:$AB$7,2,FALSE)=0,"Spatial Data Missing ⚠",VLOOKUP(V20,'G-7 WaterC'' Data'!$AA$4:$AB$7,2,FALSE)))</f>
        <v/>
      </c>
      <c r="X20" s="60"/>
      <c r="Y20" s="363" t="str">
        <f>IF(X20="","",IF(VLOOKUP(X20,'G-7 WaterC'' Data'!$AD$4:$AE$14,2,FALSE)=0,"Enrcoachment Data Missing ⚠",VLOOKUP(X20,'G-7 WaterC'' Data'!$AD$4:$AE$14,2,FALSE)))</f>
        <v/>
      </c>
      <c r="Z20" s="423" t="str">
        <f t="shared" si="4"/>
        <v/>
      </c>
      <c r="AA20" s="117"/>
      <c r="AB20" s="118"/>
      <c r="AC20" s="120"/>
      <c r="AH20" s="30" t="str">
        <f>IFERROR(INDEX('G-7 WaterC'' Data'!$AZ$3:$AZ$7,MATCH(C20,'G-7 WaterC'' Data'!$AY$3:$AY$7,0)),"")</f>
        <v/>
      </c>
    </row>
    <row r="21" spans="2:34" ht="15">
      <c r="B21" s="110">
        <v>10</v>
      </c>
      <c r="C21" s="138"/>
      <c r="D21" s="139"/>
      <c r="E21" s="362" t="str">
        <f>IF(C21="","",VLOOKUP(C21,'G-7 WaterC'' Data'!$B$2:$G$8,2,FALSE))</f>
        <v/>
      </c>
      <c r="F21" s="363" t="str">
        <f>IFERROR(VLOOKUP(E21,'G-7 WaterC'' Data'!$C$4:$D$8,2,FALSE),"")</f>
        <v/>
      </c>
      <c r="G21" s="114"/>
      <c r="H21" s="363" t="str">
        <f>IFERROR(INDEX('G-7 WaterC'' Data'!$H$4:$L$8,MATCH(C21,'G-7 WaterC'' Data'!$B$4:$B$8,0),MATCH(G21,'G-7 WaterC'' Data'!$H$3:$L$3,0)),"")</f>
        <v/>
      </c>
      <c r="I21" s="54"/>
      <c r="J21" s="370" t="str">
        <f>IF(I21="","",IF(VLOOKUP(I21,'G-7 WaterC'' Data'!$AK$4:$AM$6,2,FALSE)=0,"Spatial Data Missing ⚠",VLOOKUP(I21,'G-7 WaterC'' Data'!$AK$4:$AM$6,2,FALSE)))</f>
        <v/>
      </c>
      <c r="K21" s="363" t="str">
        <f>IF(I21="","",IF(VLOOKUP(I21,'G-7 WaterC'' Data'!$AK$4:$AM$6,3,FALSE)=0,"Spatial Data Missing ⚠",VLOOKUP(I21,'G-7 WaterC'' Data'!$AK$4:$AM$6,3,FALSE)))</f>
        <v/>
      </c>
      <c r="L21" s="362" t="str">
        <f>IFERROR(INDEX('G-7 WaterC'' Data'!$O$3:$O$7,MATCH(G21,'G-7 WaterC'' Data'!$N$3:$N$7,0)),"")</f>
        <v/>
      </c>
      <c r="M21" s="63"/>
      <c r="N21" s="159"/>
      <c r="O21" s="370" t="str">
        <f t="shared" si="0"/>
        <v/>
      </c>
      <c r="P21" s="383" t="str">
        <f t="shared" si="1"/>
        <v/>
      </c>
      <c r="Q21" s="422" t="str">
        <f>IFERROR(IF(P21="Check Data ⚠","Check Data ⚠",VLOOKUP(P21,'G-4 Temporal multipliers'!$A$4:$C$37,3,FALSE)),"")</f>
        <v/>
      </c>
      <c r="R21" s="362" t="str">
        <f>IF(C21="","",VLOOKUP(C21,'G-7 WaterC'' Data'!$B$4:$G$8,4,FALSE))</f>
        <v/>
      </c>
      <c r="S21" s="370" t="str">
        <f t="shared" si="2"/>
        <v/>
      </c>
      <c r="T21" s="401" t="str">
        <f t="shared" si="3"/>
        <v/>
      </c>
      <c r="U21" s="363" t="str">
        <f>IF(C21="","",VLOOKUP(T21,'G-3 Multipliers'!$P$2:$Q$6,2,FALSE))</f>
        <v/>
      </c>
      <c r="V21" s="115"/>
      <c r="W21" s="363" t="str">
        <f>IF(V21="","",IF(VLOOKUP(V21,'G-7 WaterC'' Data'!$AA$4:$AB$7,2,FALSE)=0,"Spatial Data Missing ⚠",VLOOKUP(V21,'G-7 WaterC'' Data'!$AA$4:$AB$7,2,FALSE)))</f>
        <v/>
      </c>
      <c r="X21" s="60"/>
      <c r="Y21" s="363" t="str">
        <f>IF(X21="","",IF(VLOOKUP(X21,'G-7 WaterC'' Data'!$AD$4:$AE$14,2,FALSE)=0,"Enrcoachment Data Missing ⚠",VLOOKUP(X21,'G-7 WaterC'' Data'!$AD$4:$AE$14,2,FALSE)))</f>
        <v/>
      </c>
      <c r="Z21" s="423" t="str">
        <f t="shared" si="4"/>
        <v/>
      </c>
      <c r="AA21" s="117"/>
      <c r="AB21" s="118"/>
      <c r="AC21" s="120"/>
      <c r="AH21" s="30" t="str">
        <f>IFERROR(INDEX('G-7 WaterC'' Data'!$AZ$3:$AZ$7,MATCH(C21,'G-7 WaterC'' Data'!$AY$3:$AY$7,0)),"")</f>
        <v/>
      </c>
    </row>
    <row r="22" spans="2:34" ht="15">
      <c r="B22" s="110">
        <v>11</v>
      </c>
      <c r="C22" s="138"/>
      <c r="D22" s="139"/>
      <c r="E22" s="362" t="str">
        <f>IF(C22="","",VLOOKUP(C22,'G-7 WaterC'' Data'!$B$2:$G$8,2,FALSE))</f>
        <v/>
      </c>
      <c r="F22" s="363" t="str">
        <f>IFERROR(VLOOKUP(E22,'G-7 WaterC'' Data'!$C$4:$D$8,2,FALSE),"")</f>
        <v/>
      </c>
      <c r="G22" s="114"/>
      <c r="H22" s="363" t="str">
        <f>IFERROR(INDEX('G-7 WaterC'' Data'!$H$4:$L$8,MATCH(C22,'G-7 WaterC'' Data'!$B$4:$B$8,0),MATCH(G22,'G-7 WaterC'' Data'!$H$3:$L$3,0)),"")</f>
        <v/>
      </c>
      <c r="I22" s="54"/>
      <c r="J22" s="370" t="str">
        <f>IF(I22="","",IF(VLOOKUP(I22,'G-7 WaterC'' Data'!$AK$4:$AM$6,2,FALSE)=0,"Spatial Data Missing ⚠",VLOOKUP(I22,'G-7 WaterC'' Data'!$AK$4:$AM$6,2,FALSE)))</f>
        <v/>
      </c>
      <c r="K22" s="363" t="str">
        <f>IF(I22="","",IF(VLOOKUP(I22,'G-7 WaterC'' Data'!$AK$4:$AM$6,3,FALSE)=0,"Spatial Data Missing ⚠",VLOOKUP(I22,'G-7 WaterC'' Data'!$AK$4:$AM$6,3,FALSE)))</f>
        <v/>
      </c>
      <c r="L22" s="362" t="str">
        <f>IFERROR(INDEX('G-7 WaterC'' Data'!$O$3:$O$7,MATCH(G22,'G-7 WaterC'' Data'!$N$3:$N$7,0)),"")</f>
        <v/>
      </c>
      <c r="M22" s="63"/>
      <c r="N22" s="159"/>
      <c r="O22" s="370" t="str">
        <f t="shared" si="0"/>
        <v/>
      </c>
      <c r="P22" s="383" t="str">
        <f t="shared" si="1"/>
        <v/>
      </c>
      <c r="Q22" s="422" t="str">
        <f>IFERROR(IF(P22="Check Data ⚠","Check Data ⚠",VLOOKUP(P22,'G-4 Temporal multipliers'!$A$4:$C$37,3,FALSE)),"")</f>
        <v/>
      </c>
      <c r="R22" s="362" t="str">
        <f>IF(C22="","",VLOOKUP(C22,'G-7 WaterC'' Data'!$B$4:$G$8,4,FALSE))</f>
        <v/>
      </c>
      <c r="S22" s="370" t="str">
        <f t="shared" si="2"/>
        <v/>
      </c>
      <c r="T22" s="401" t="str">
        <f t="shared" si="3"/>
        <v/>
      </c>
      <c r="U22" s="363" t="str">
        <f>IF(C22="","",VLOOKUP(T22,'G-3 Multipliers'!$P$2:$Q$6,2,FALSE))</f>
        <v/>
      </c>
      <c r="V22" s="115"/>
      <c r="W22" s="363" t="str">
        <f>IF(V22="","",IF(VLOOKUP(V22,'G-7 WaterC'' Data'!$AA$4:$AB$7,2,FALSE)=0,"Spatial Data Missing ⚠",VLOOKUP(V22,'G-7 WaterC'' Data'!$AA$4:$AB$7,2,FALSE)))</f>
        <v/>
      </c>
      <c r="X22" s="60"/>
      <c r="Y22" s="363" t="str">
        <f>IF(X22="","",IF(VLOOKUP(X22,'G-7 WaterC'' Data'!$AD$4:$AE$14,2,FALSE)=0,"Enrcoachment Data Missing ⚠",VLOOKUP(X22,'G-7 WaterC'' Data'!$AD$4:$AE$14,2,FALSE)))</f>
        <v/>
      </c>
      <c r="Z22" s="423" t="str">
        <f t="shared" si="4"/>
        <v/>
      </c>
      <c r="AA22" s="117"/>
      <c r="AB22" s="118"/>
      <c r="AC22" s="120"/>
      <c r="AH22" s="30" t="str">
        <f>IFERROR(INDEX('G-7 WaterC'' Data'!$AZ$3:$AZ$7,MATCH(C22,'G-7 WaterC'' Data'!$AY$3:$AY$7,0)),"")</f>
        <v/>
      </c>
    </row>
    <row r="23" spans="2:34" ht="15">
      <c r="B23" s="110">
        <v>12</v>
      </c>
      <c r="C23" s="138"/>
      <c r="D23" s="139"/>
      <c r="E23" s="362" t="str">
        <f>IF(C23="","",VLOOKUP(C23,'G-7 WaterC'' Data'!$B$2:$G$8,2,FALSE))</f>
        <v/>
      </c>
      <c r="F23" s="363" t="str">
        <f>IFERROR(VLOOKUP(E23,'G-7 WaterC'' Data'!$C$4:$D$8,2,FALSE),"")</f>
        <v/>
      </c>
      <c r="G23" s="114"/>
      <c r="H23" s="363" t="str">
        <f>IFERROR(INDEX('G-7 WaterC'' Data'!$H$4:$L$8,MATCH(C23,'G-7 WaterC'' Data'!$B$4:$B$8,0),MATCH(G23,'G-7 WaterC'' Data'!$H$3:$L$3,0)),"")</f>
        <v/>
      </c>
      <c r="I23" s="54"/>
      <c r="J23" s="370" t="str">
        <f>IF(I23="","",IF(VLOOKUP(I23,'G-7 WaterC'' Data'!$AK$4:$AM$6,2,FALSE)=0,"Spatial Data Missing ⚠",VLOOKUP(I23,'G-7 WaterC'' Data'!$AK$4:$AM$6,2,FALSE)))</f>
        <v/>
      </c>
      <c r="K23" s="363" t="str">
        <f>IF(I23="","",IF(VLOOKUP(I23,'G-7 WaterC'' Data'!$AK$4:$AM$6,3,FALSE)=0,"Spatial Data Missing ⚠",VLOOKUP(I23,'G-7 WaterC'' Data'!$AK$4:$AM$6,3,FALSE)))</f>
        <v/>
      </c>
      <c r="L23" s="362" t="str">
        <f>IFERROR(INDEX('G-7 WaterC'' Data'!$O$3:$O$7,MATCH(G23,'G-7 WaterC'' Data'!$N$3:$N$7,0)),"")</f>
        <v/>
      </c>
      <c r="M23" s="63"/>
      <c r="N23" s="159"/>
      <c r="O23" s="370" t="str">
        <f t="shared" si="0"/>
        <v/>
      </c>
      <c r="P23" s="383" t="str">
        <f t="shared" si="1"/>
        <v/>
      </c>
      <c r="Q23" s="422" t="str">
        <f>IFERROR(IF(P23="Check Data ⚠","Check Data ⚠",VLOOKUP(P23,'G-4 Temporal multipliers'!$A$4:$C$37,3,FALSE)),"")</f>
        <v/>
      </c>
      <c r="R23" s="362" t="str">
        <f>IF(C23="","",VLOOKUP(C23,'G-7 WaterC'' Data'!$B$4:$G$8,4,FALSE))</f>
        <v/>
      </c>
      <c r="S23" s="370" t="str">
        <f t="shared" si="2"/>
        <v/>
      </c>
      <c r="T23" s="401" t="str">
        <f t="shared" si="3"/>
        <v/>
      </c>
      <c r="U23" s="363" t="str">
        <f>IF(C23="","",VLOOKUP(T23,'G-3 Multipliers'!$P$2:$Q$6,2,FALSE))</f>
        <v/>
      </c>
      <c r="V23" s="115"/>
      <c r="W23" s="363" t="str">
        <f>IF(V23="","",IF(VLOOKUP(V23,'G-7 WaterC'' Data'!$AA$4:$AB$7,2,FALSE)=0,"Spatial Data Missing ⚠",VLOOKUP(V23,'G-7 WaterC'' Data'!$AA$4:$AB$7,2,FALSE)))</f>
        <v/>
      </c>
      <c r="X23" s="60"/>
      <c r="Y23" s="363" t="str">
        <f>IF(X23="","",IF(VLOOKUP(X23,'G-7 WaterC'' Data'!$AD$4:$AE$14,2,FALSE)=0,"Enrcoachment Data Missing ⚠",VLOOKUP(X23,'G-7 WaterC'' Data'!$AD$4:$AE$14,2,FALSE)))</f>
        <v/>
      </c>
      <c r="Z23" s="423" t="str">
        <f t="shared" si="4"/>
        <v/>
      </c>
      <c r="AA23" s="117"/>
      <c r="AB23" s="118"/>
      <c r="AC23" s="120"/>
      <c r="AH23" s="30" t="str">
        <f>IFERROR(INDEX('G-7 WaterC'' Data'!$AZ$3:$AZ$7,MATCH(C23,'G-7 WaterC'' Data'!$AY$3:$AY$7,0)),"")</f>
        <v/>
      </c>
    </row>
    <row r="24" spans="2:34" ht="15">
      <c r="B24" s="110">
        <v>13</v>
      </c>
      <c r="C24" s="138"/>
      <c r="D24" s="139"/>
      <c r="E24" s="362" t="str">
        <f>IF(C24="","",VLOOKUP(C24,'G-7 WaterC'' Data'!$B$2:$G$8,2,FALSE))</f>
        <v/>
      </c>
      <c r="F24" s="363" t="str">
        <f>IFERROR(VLOOKUP(E24,'G-7 WaterC'' Data'!$C$4:$D$8,2,FALSE),"")</f>
        <v/>
      </c>
      <c r="G24" s="114"/>
      <c r="H24" s="363" t="str">
        <f>IFERROR(INDEX('G-7 WaterC'' Data'!$H$4:$L$8,MATCH(C24,'G-7 WaterC'' Data'!$B$4:$B$8,0),MATCH(G24,'G-7 WaterC'' Data'!$H$3:$L$3,0)),"")</f>
        <v/>
      </c>
      <c r="I24" s="54"/>
      <c r="J24" s="370" t="str">
        <f>IF(I24="","",IF(VLOOKUP(I24,'G-7 WaterC'' Data'!$AK$4:$AM$6,2,FALSE)=0,"Spatial Data Missing ⚠",VLOOKUP(I24,'G-7 WaterC'' Data'!$AK$4:$AM$6,2,FALSE)))</f>
        <v/>
      </c>
      <c r="K24" s="363" t="str">
        <f>IF(I24="","",IF(VLOOKUP(I24,'G-7 WaterC'' Data'!$AK$4:$AM$6,3,FALSE)=0,"Spatial Data Missing ⚠",VLOOKUP(I24,'G-7 WaterC'' Data'!$AK$4:$AM$6,3,FALSE)))</f>
        <v/>
      </c>
      <c r="L24" s="362" t="str">
        <f>IFERROR(INDEX('G-7 WaterC'' Data'!$O$3:$O$7,MATCH(G24,'G-7 WaterC'' Data'!$N$3:$N$7,0)),"")</f>
        <v/>
      </c>
      <c r="M24" s="63"/>
      <c r="N24" s="159"/>
      <c r="O24" s="370" t="str">
        <f t="shared" si="0"/>
        <v/>
      </c>
      <c r="P24" s="383" t="str">
        <f t="shared" si="1"/>
        <v/>
      </c>
      <c r="Q24" s="422" t="str">
        <f>IFERROR(IF(P24="Check Data ⚠","Check Data ⚠",VLOOKUP(P24,'G-4 Temporal multipliers'!$A$4:$C$37,3,FALSE)),"")</f>
        <v/>
      </c>
      <c r="R24" s="362" t="str">
        <f>IF(C24="","",VLOOKUP(C24,'G-7 WaterC'' Data'!$B$4:$G$8,4,FALSE))</f>
        <v/>
      </c>
      <c r="S24" s="370" t="str">
        <f t="shared" si="2"/>
        <v/>
      </c>
      <c r="T24" s="401" t="str">
        <f t="shared" si="3"/>
        <v/>
      </c>
      <c r="U24" s="363" t="str">
        <f>IF(C24="","",VLOOKUP(T24,'G-3 Multipliers'!$P$2:$Q$6,2,FALSE))</f>
        <v/>
      </c>
      <c r="V24" s="115"/>
      <c r="W24" s="363" t="str">
        <f>IF(V24="","",IF(VLOOKUP(V24,'G-7 WaterC'' Data'!$AA$4:$AB$7,2,FALSE)=0,"Spatial Data Missing ⚠",VLOOKUP(V24,'G-7 WaterC'' Data'!$AA$4:$AB$7,2,FALSE)))</f>
        <v/>
      </c>
      <c r="X24" s="60"/>
      <c r="Y24" s="363" t="str">
        <f>IF(X24="","",IF(VLOOKUP(X24,'G-7 WaterC'' Data'!$AD$4:$AE$14,2,FALSE)=0,"Enrcoachment Data Missing ⚠",VLOOKUP(X24,'G-7 WaterC'' Data'!$AD$4:$AE$14,2,FALSE)))</f>
        <v/>
      </c>
      <c r="Z24" s="423" t="str">
        <f t="shared" si="4"/>
        <v/>
      </c>
      <c r="AA24" s="117"/>
      <c r="AB24" s="118"/>
      <c r="AC24" s="120"/>
      <c r="AH24" s="30" t="str">
        <f>IFERROR(INDEX('G-7 WaterC'' Data'!$AZ$3:$AZ$7,MATCH(C24,'G-7 WaterC'' Data'!$AY$3:$AY$7,0)),"")</f>
        <v/>
      </c>
    </row>
    <row r="25" spans="2:34" ht="15">
      <c r="B25" s="110">
        <v>14</v>
      </c>
      <c r="C25" s="138"/>
      <c r="D25" s="139"/>
      <c r="E25" s="362" t="str">
        <f>IF(C25="","",VLOOKUP(C25,'G-7 WaterC'' Data'!$B$2:$G$8,2,FALSE))</f>
        <v/>
      </c>
      <c r="F25" s="363" t="str">
        <f>IFERROR(VLOOKUP(E25,'G-7 WaterC'' Data'!$C$4:$D$8,2,FALSE),"")</f>
        <v/>
      </c>
      <c r="G25" s="114"/>
      <c r="H25" s="363" t="str">
        <f>IFERROR(INDEX('G-7 WaterC'' Data'!$H$4:$L$8,MATCH(C25,'G-7 WaterC'' Data'!$B$4:$B$8,0),MATCH(G25,'G-7 WaterC'' Data'!$H$3:$L$3,0)),"")</f>
        <v/>
      </c>
      <c r="I25" s="54"/>
      <c r="J25" s="370" t="str">
        <f>IF(I25="","",IF(VLOOKUP(I25,'G-7 WaterC'' Data'!$AK$4:$AM$6,2,FALSE)=0,"Spatial Data Missing ⚠",VLOOKUP(I25,'G-7 WaterC'' Data'!$AK$4:$AM$6,2,FALSE)))</f>
        <v/>
      </c>
      <c r="K25" s="363" t="str">
        <f>IF(I25="","",IF(VLOOKUP(I25,'G-7 WaterC'' Data'!$AK$4:$AM$6,3,FALSE)=0,"Spatial Data Missing ⚠",VLOOKUP(I25,'G-7 WaterC'' Data'!$AK$4:$AM$6,3,FALSE)))</f>
        <v/>
      </c>
      <c r="L25" s="362" t="str">
        <f>IFERROR(INDEX('G-7 WaterC'' Data'!$O$3:$O$7,MATCH(G25,'G-7 WaterC'' Data'!$N$3:$N$7,0)),"")</f>
        <v/>
      </c>
      <c r="M25" s="63"/>
      <c r="N25" s="159"/>
      <c r="O25" s="370" t="str">
        <f t="shared" si="0"/>
        <v/>
      </c>
      <c r="P25" s="383" t="str">
        <f t="shared" si="1"/>
        <v/>
      </c>
      <c r="Q25" s="422" t="str">
        <f>IFERROR(IF(P25="Check Data ⚠","Check Data ⚠",VLOOKUP(P25,'G-4 Temporal multipliers'!$A$4:$C$37,3,FALSE)),"")</f>
        <v/>
      </c>
      <c r="R25" s="362" t="str">
        <f>IF(C25="","",VLOOKUP(C25,'G-7 WaterC'' Data'!$B$4:$G$8,4,FALSE))</f>
        <v/>
      </c>
      <c r="S25" s="370" t="str">
        <f t="shared" si="2"/>
        <v/>
      </c>
      <c r="T25" s="401" t="str">
        <f t="shared" si="3"/>
        <v/>
      </c>
      <c r="U25" s="363" t="str">
        <f>IF(C25="","",VLOOKUP(T25,'G-3 Multipliers'!$P$2:$Q$6,2,FALSE))</f>
        <v/>
      </c>
      <c r="V25" s="115"/>
      <c r="W25" s="363" t="str">
        <f>IF(V25="","",IF(VLOOKUP(V25,'G-7 WaterC'' Data'!$AA$4:$AB$7,2,FALSE)=0,"Spatial Data Missing ⚠",VLOOKUP(V25,'G-7 WaterC'' Data'!$AA$4:$AB$7,2,FALSE)))</f>
        <v/>
      </c>
      <c r="X25" s="60"/>
      <c r="Y25" s="363" t="str">
        <f>IF(X25="","",IF(VLOOKUP(X25,'G-7 WaterC'' Data'!$AD$4:$AE$14,2,FALSE)=0,"Enrcoachment Data Missing ⚠",VLOOKUP(X25,'G-7 WaterC'' Data'!$AD$4:$AE$14,2,FALSE)))</f>
        <v/>
      </c>
      <c r="Z25" s="423" t="str">
        <f t="shared" si="4"/>
        <v/>
      </c>
      <c r="AA25" s="117"/>
      <c r="AB25" s="118"/>
      <c r="AC25" s="120"/>
      <c r="AH25" s="30" t="str">
        <f>IFERROR(INDEX('G-7 WaterC'' Data'!$AZ$3:$AZ$7,MATCH(C25,'G-7 WaterC'' Data'!$AY$3:$AY$7,0)),"")</f>
        <v/>
      </c>
    </row>
    <row r="26" spans="2:34" ht="15">
      <c r="B26" s="110">
        <v>15</v>
      </c>
      <c r="C26" s="138"/>
      <c r="D26" s="139"/>
      <c r="E26" s="362" t="str">
        <f>IF(C26="","",VLOOKUP(C26,'G-7 WaterC'' Data'!$B$2:$G$8,2,FALSE))</f>
        <v/>
      </c>
      <c r="F26" s="363" t="str">
        <f>IFERROR(VLOOKUP(E26,'G-7 WaterC'' Data'!$C$4:$D$8,2,FALSE),"")</f>
        <v/>
      </c>
      <c r="G26" s="114"/>
      <c r="H26" s="363" t="str">
        <f>IFERROR(INDEX('G-7 WaterC'' Data'!$H$4:$L$8,MATCH(C26,'G-7 WaterC'' Data'!$B$4:$B$8,0),MATCH(G26,'G-7 WaterC'' Data'!$H$3:$L$3,0)),"")</f>
        <v/>
      </c>
      <c r="I26" s="54"/>
      <c r="J26" s="370" t="str">
        <f>IF(I26="","",IF(VLOOKUP(I26,'G-7 WaterC'' Data'!$AK$4:$AM$6,2,FALSE)=0,"Spatial Data Missing ⚠",VLOOKUP(I26,'G-7 WaterC'' Data'!$AK$4:$AM$6,2,FALSE)))</f>
        <v/>
      </c>
      <c r="K26" s="363" t="str">
        <f>IF(I26="","",IF(VLOOKUP(I26,'G-7 WaterC'' Data'!$AK$4:$AM$6,3,FALSE)=0,"Spatial Data Missing ⚠",VLOOKUP(I26,'G-7 WaterC'' Data'!$AK$4:$AM$6,3,FALSE)))</f>
        <v/>
      </c>
      <c r="L26" s="362" t="str">
        <f>IFERROR(INDEX('G-7 WaterC'' Data'!$O$3:$O$7,MATCH(G26,'G-7 WaterC'' Data'!$N$3:$N$7,0)),"")</f>
        <v/>
      </c>
      <c r="M26" s="63"/>
      <c r="N26" s="159"/>
      <c r="O26" s="370" t="str">
        <f t="shared" si="0"/>
        <v/>
      </c>
      <c r="P26" s="383" t="str">
        <f t="shared" si="1"/>
        <v/>
      </c>
      <c r="Q26" s="422" t="str">
        <f>IFERROR(IF(P26="Check Data ⚠","Check Data ⚠",VLOOKUP(P26,'G-4 Temporal multipliers'!$A$4:$C$37,3,FALSE)),"")</f>
        <v/>
      </c>
      <c r="R26" s="362" t="str">
        <f>IF(C26="","",VLOOKUP(C26,'G-7 WaterC'' Data'!$B$4:$G$8,4,FALSE))</f>
        <v/>
      </c>
      <c r="S26" s="370" t="str">
        <f t="shared" si="2"/>
        <v/>
      </c>
      <c r="T26" s="401" t="str">
        <f t="shared" si="3"/>
        <v/>
      </c>
      <c r="U26" s="363" t="str">
        <f>IF(C26="","",VLOOKUP(T26,'G-3 Multipliers'!$P$2:$Q$6,2,FALSE))</f>
        <v/>
      </c>
      <c r="V26" s="115"/>
      <c r="W26" s="363" t="str">
        <f>IF(V26="","",IF(VLOOKUP(V26,'G-7 WaterC'' Data'!$AA$4:$AB$7,2,FALSE)=0,"Spatial Data Missing ⚠",VLOOKUP(V26,'G-7 WaterC'' Data'!$AA$4:$AB$7,2,FALSE)))</f>
        <v/>
      </c>
      <c r="X26" s="60"/>
      <c r="Y26" s="363" t="str">
        <f>IF(X26="","",IF(VLOOKUP(X26,'G-7 WaterC'' Data'!$AD$4:$AE$14,2,FALSE)=0,"Enrcoachment Data Missing ⚠",VLOOKUP(X26,'G-7 WaterC'' Data'!$AD$4:$AE$14,2,FALSE)))</f>
        <v/>
      </c>
      <c r="Z26" s="423" t="str">
        <f t="shared" si="4"/>
        <v/>
      </c>
      <c r="AA26" s="117"/>
      <c r="AB26" s="118"/>
      <c r="AC26" s="120"/>
      <c r="AH26" s="30" t="str">
        <f>IFERROR(INDEX('G-7 WaterC'' Data'!$AZ$3:$AZ$7,MATCH(C26,'G-7 WaterC'' Data'!$AY$3:$AY$7,0)),"")</f>
        <v/>
      </c>
    </row>
    <row r="27" spans="2:34" ht="15">
      <c r="B27" s="110">
        <v>16</v>
      </c>
      <c r="C27" s="138"/>
      <c r="D27" s="139"/>
      <c r="E27" s="362" t="str">
        <f>IF(C27="","",VLOOKUP(C27,'G-7 WaterC'' Data'!$B$2:$G$8,2,FALSE))</f>
        <v/>
      </c>
      <c r="F27" s="363" t="str">
        <f>IFERROR(VLOOKUP(E27,'G-7 WaterC'' Data'!$C$4:$D$8,2,FALSE),"")</f>
        <v/>
      </c>
      <c r="G27" s="114"/>
      <c r="H27" s="363" t="str">
        <f>IFERROR(INDEX('G-7 WaterC'' Data'!$H$4:$L$8,MATCH(C27,'G-7 WaterC'' Data'!$B$4:$B$8,0),MATCH(G27,'G-7 WaterC'' Data'!$H$3:$L$3,0)),"")</f>
        <v/>
      </c>
      <c r="I27" s="54"/>
      <c r="J27" s="370" t="str">
        <f>IF(I27="","",IF(VLOOKUP(I27,'G-7 WaterC'' Data'!$AK$4:$AM$6,2,FALSE)=0,"Spatial Data Missing ⚠",VLOOKUP(I27,'G-7 WaterC'' Data'!$AK$4:$AM$6,2,FALSE)))</f>
        <v/>
      </c>
      <c r="K27" s="363" t="str">
        <f>IF(I27="","",IF(VLOOKUP(I27,'G-7 WaterC'' Data'!$AK$4:$AM$6,3,FALSE)=0,"Spatial Data Missing ⚠",VLOOKUP(I27,'G-7 WaterC'' Data'!$AK$4:$AM$6,3,FALSE)))</f>
        <v/>
      </c>
      <c r="L27" s="362" t="str">
        <f>IFERROR(INDEX('G-7 WaterC'' Data'!$O$3:$O$7,MATCH(G27,'G-7 WaterC'' Data'!$N$3:$N$7,0)),"")</f>
        <v/>
      </c>
      <c r="M27" s="63"/>
      <c r="N27" s="159"/>
      <c r="O27" s="370" t="str">
        <f t="shared" si="0"/>
        <v/>
      </c>
      <c r="P27" s="383" t="str">
        <f t="shared" si="1"/>
        <v/>
      </c>
      <c r="Q27" s="422" t="str">
        <f>IFERROR(IF(P27="Check Data ⚠","Check Data ⚠",VLOOKUP(P27,'G-4 Temporal multipliers'!$A$4:$C$37,3,FALSE)),"")</f>
        <v/>
      </c>
      <c r="R27" s="362" t="str">
        <f>IF(C27="","",VLOOKUP(C27,'G-7 WaterC'' Data'!$B$4:$G$8,4,FALSE))</f>
        <v/>
      </c>
      <c r="S27" s="370" t="str">
        <f t="shared" si="2"/>
        <v/>
      </c>
      <c r="T27" s="401" t="str">
        <f t="shared" si="3"/>
        <v/>
      </c>
      <c r="U27" s="363" t="str">
        <f>IF(C27="","",VLOOKUP(T27,'G-3 Multipliers'!$P$2:$Q$6,2,FALSE))</f>
        <v/>
      </c>
      <c r="V27" s="115"/>
      <c r="W27" s="363" t="str">
        <f>IF(V27="","",IF(VLOOKUP(V27,'G-7 WaterC'' Data'!$AA$4:$AB$7,2,FALSE)=0,"Spatial Data Missing ⚠",VLOOKUP(V27,'G-7 WaterC'' Data'!$AA$4:$AB$7,2,FALSE)))</f>
        <v/>
      </c>
      <c r="X27" s="60"/>
      <c r="Y27" s="363" t="str">
        <f>IF(X27="","",IF(VLOOKUP(X27,'G-7 WaterC'' Data'!$AD$4:$AE$14,2,FALSE)=0,"Enrcoachment Data Missing ⚠",VLOOKUP(X27,'G-7 WaterC'' Data'!$AD$4:$AE$14,2,FALSE)))</f>
        <v/>
      </c>
      <c r="Z27" s="423" t="str">
        <f t="shared" si="4"/>
        <v/>
      </c>
      <c r="AA27" s="117"/>
      <c r="AB27" s="118"/>
      <c r="AC27" s="120"/>
      <c r="AH27" s="30" t="str">
        <f>IFERROR(INDEX('G-7 WaterC'' Data'!$AZ$3:$AZ$7,MATCH(C27,'G-7 WaterC'' Data'!$AY$3:$AY$7,0)),"")</f>
        <v/>
      </c>
    </row>
    <row r="28" spans="2:34" ht="15">
      <c r="B28" s="110">
        <v>17</v>
      </c>
      <c r="C28" s="138"/>
      <c r="D28" s="139"/>
      <c r="E28" s="362" t="str">
        <f>IF(C28="","",VLOOKUP(C28,'G-7 WaterC'' Data'!$B$2:$G$8,2,FALSE))</f>
        <v/>
      </c>
      <c r="F28" s="363" t="str">
        <f>IFERROR(VLOOKUP(E28,'G-7 WaterC'' Data'!$C$4:$D$8,2,FALSE),"")</f>
        <v/>
      </c>
      <c r="G28" s="114"/>
      <c r="H28" s="363" t="str">
        <f>IFERROR(INDEX('G-7 WaterC'' Data'!$H$4:$L$8,MATCH(C28,'G-7 WaterC'' Data'!$B$4:$B$8,0),MATCH(G28,'G-7 WaterC'' Data'!$H$3:$L$3,0)),"")</f>
        <v/>
      </c>
      <c r="I28" s="54"/>
      <c r="J28" s="370" t="str">
        <f>IF(I28="","",IF(VLOOKUP(I28,'G-7 WaterC'' Data'!$AK$4:$AM$6,2,FALSE)=0,"Spatial Data Missing ⚠",VLOOKUP(I28,'G-7 WaterC'' Data'!$AK$4:$AM$6,2,FALSE)))</f>
        <v/>
      </c>
      <c r="K28" s="363" t="str">
        <f>IF(I28="","",IF(VLOOKUP(I28,'G-7 WaterC'' Data'!$AK$4:$AM$6,3,FALSE)=0,"Spatial Data Missing ⚠",VLOOKUP(I28,'G-7 WaterC'' Data'!$AK$4:$AM$6,3,FALSE)))</f>
        <v/>
      </c>
      <c r="L28" s="362" t="str">
        <f>IFERROR(INDEX('G-7 WaterC'' Data'!$O$3:$O$7,MATCH(G28,'G-7 WaterC'' Data'!$N$3:$N$7,0)),"")</f>
        <v/>
      </c>
      <c r="M28" s="63"/>
      <c r="N28" s="159"/>
      <c r="O28" s="370" t="str">
        <f t="shared" si="0"/>
        <v/>
      </c>
      <c r="P28" s="383" t="str">
        <f t="shared" si="1"/>
        <v/>
      </c>
      <c r="Q28" s="422" t="str">
        <f>IFERROR(IF(P28="Check Data ⚠","Check Data ⚠",VLOOKUP(P28,'G-4 Temporal multipliers'!$A$4:$C$37,3,FALSE)),"")</f>
        <v/>
      </c>
      <c r="R28" s="362" t="str">
        <f>IF(C28="","",VLOOKUP(C28,'G-7 WaterC'' Data'!$B$4:$G$8,4,FALSE))</f>
        <v/>
      </c>
      <c r="S28" s="370" t="str">
        <f t="shared" si="2"/>
        <v/>
      </c>
      <c r="T28" s="401" t="str">
        <f t="shared" si="3"/>
        <v/>
      </c>
      <c r="U28" s="363" t="str">
        <f>IF(C28="","",VLOOKUP(T28,'G-3 Multipliers'!$P$2:$Q$6,2,FALSE))</f>
        <v/>
      </c>
      <c r="V28" s="115"/>
      <c r="W28" s="363" t="str">
        <f>IF(V28="","",IF(VLOOKUP(V28,'G-7 WaterC'' Data'!$AA$4:$AB$7,2,FALSE)=0,"Spatial Data Missing ⚠",VLOOKUP(V28,'G-7 WaterC'' Data'!$AA$4:$AB$7,2,FALSE)))</f>
        <v/>
      </c>
      <c r="X28" s="60"/>
      <c r="Y28" s="363" t="str">
        <f>IF(X28="","",IF(VLOOKUP(X28,'G-7 WaterC'' Data'!$AD$4:$AE$14,2,FALSE)=0,"Enrcoachment Data Missing ⚠",VLOOKUP(X28,'G-7 WaterC'' Data'!$AD$4:$AE$14,2,FALSE)))</f>
        <v/>
      </c>
      <c r="Z28" s="423" t="str">
        <f t="shared" si="4"/>
        <v/>
      </c>
      <c r="AA28" s="117"/>
      <c r="AB28" s="118"/>
      <c r="AC28" s="120"/>
      <c r="AH28" s="30" t="str">
        <f>IFERROR(INDEX('G-7 WaterC'' Data'!$AZ$3:$AZ$7,MATCH(C28,'G-7 WaterC'' Data'!$AY$3:$AY$7,0)),"")</f>
        <v/>
      </c>
    </row>
    <row r="29" spans="2:34" ht="15">
      <c r="B29" s="110">
        <v>18</v>
      </c>
      <c r="C29" s="138"/>
      <c r="D29" s="139"/>
      <c r="E29" s="362" t="str">
        <f>IF(C29="","",VLOOKUP(C29,'G-7 WaterC'' Data'!$B$2:$G$8,2,FALSE))</f>
        <v/>
      </c>
      <c r="F29" s="363" t="str">
        <f>IFERROR(VLOOKUP(E29,'G-7 WaterC'' Data'!$C$4:$D$8,2,FALSE),"")</f>
        <v/>
      </c>
      <c r="G29" s="114"/>
      <c r="H29" s="363" t="str">
        <f>IFERROR(INDEX('G-7 WaterC'' Data'!$H$4:$L$8,MATCH(C29,'G-7 WaterC'' Data'!$B$4:$B$8,0),MATCH(G29,'G-7 WaterC'' Data'!$H$3:$L$3,0)),"")</f>
        <v/>
      </c>
      <c r="I29" s="54"/>
      <c r="J29" s="370" t="str">
        <f>IF(I29="","",IF(VLOOKUP(I29,'G-7 WaterC'' Data'!$AK$4:$AM$6,2,FALSE)=0,"Spatial Data Missing ⚠",VLOOKUP(I29,'G-7 WaterC'' Data'!$AK$4:$AM$6,2,FALSE)))</f>
        <v/>
      </c>
      <c r="K29" s="363" t="str">
        <f>IF(I29="","",IF(VLOOKUP(I29,'G-7 WaterC'' Data'!$AK$4:$AM$6,3,FALSE)=0,"Spatial Data Missing ⚠",VLOOKUP(I29,'G-7 WaterC'' Data'!$AK$4:$AM$6,3,FALSE)))</f>
        <v/>
      </c>
      <c r="L29" s="362" t="str">
        <f>IFERROR(INDEX('G-7 WaterC'' Data'!$O$3:$O$7,MATCH(G29,'G-7 WaterC'' Data'!$N$3:$N$7,0)),"")</f>
        <v/>
      </c>
      <c r="M29" s="63"/>
      <c r="N29" s="159"/>
      <c r="O29" s="370" t="str">
        <f t="shared" si="0"/>
        <v/>
      </c>
      <c r="P29" s="383" t="str">
        <f t="shared" si="1"/>
        <v/>
      </c>
      <c r="Q29" s="422" t="str">
        <f>IFERROR(IF(P29="Check Data ⚠","Check Data ⚠",VLOOKUP(P29,'G-4 Temporal multipliers'!$A$4:$C$37,3,FALSE)),"")</f>
        <v/>
      </c>
      <c r="R29" s="362" t="str">
        <f>IF(C29="","",VLOOKUP(C29,'G-7 WaterC'' Data'!$B$4:$G$8,4,FALSE))</f>
        <v/>
      </c>
      <c r="S29" s="370" t="str">
        <f t="shared" si="2"/>
        <v/>
      </c>
      <c r="T29" s="401" t="str">
        <f t="shared" si="3"/>
        <v/>
      </c>
      <c r="U29" s="363" t="str">
        <f>IF(C29="","",VLOOKUP(T29,'G-3 Multipliers'!$P$2:$Q$6,2,FALSE))</f>
        <v/>
      </c>
      <c r="V29" s="115"/>
      <c r="W29" s="363" t="str">
        <f>IF(V29="","",IF(VLOOKUP(V29,'G-7 WaterC'' Data'!$AA$4:$AB$7,2,FALSE)=0,"Spatial Data Missing ⚠",VLOOKUP(V29,'G-7 WaterC'' Data'!$AA$4:$AB$7,2,FALSE)))</f>
        <v/>
      </c>
      <c r="X29" s="60"/>
      <c r="Y29" s="363" t="str">
        <f>IF(X29="","",IF(VLOOKUP(X29,'G-7 WaterC'' Data'!$AD$4:$AE$14,2,FALSE)=0,"Enrcoachment Data Missing ⚠",VLOOKUP(X29,'G-7 WaterC'' Data'!$AD$4:$AE$14,2,FALSE)))</f>
        <v/>
      </c>
      <c r="Z29" s="423" t="str">
        <f t="shared" si="4"/>
        <v/>
      </c>
      <c r="AA29" s="117"/>
      <c r="AB29" s="118"/>
      <c r="AC29" s="120"/>
      <c r="AH29" s="30" t="str">
        <f>IFERROR(INDEX('G-7 WaterC'' Data'!$AZ$3:$AZ$7,MATCH(C29,'G-7 WaterC'' Data'!$AY$3:$AY$7,0)),"")</f>
        <v/>
      </c>
    </row>
    <row r="30" spans="2:34" ht="15">
      <c r="B30" s="110">
        <v>19</v>
      </c>
      <c r="C30" s="138"/>
      <c r="D30" s="139"/>
      <c r="E30" s="362" t="str">
        <f>IF(C30="","",VLOOKUP(C30,'G-7 WaterC'' Data'!$B$2:$G$8,2,FALSE))</f>
        <v/>
      </c>
      <c r="F30" s="363" t="str">
        <f>IFERROR(VLOOKUP(E30,'G-7 WaterC'' Data'!$C$4:$D$8,2,FALSE),"")</f>
        <v/>
      </c>
      <c r="G30" s="114"/>
      <c r="H30" s="363" t="str">
        <f>IFERROR(INDEX('G-7 WaterC'' Data'!$H$4:$L$8,MATCH(C30,'G-7 WaterC'' Data'!$B$4:$B$8,0),MATCH(G30,'G-7 WaterC'' Data'!$H$3:$L$3,0)),"")</f>
        <v/>
      </c>
      <c r="I30" s="54"/>
      <c r="J30" s="370" t="str">
        <f>IF(I30="","",IF(VLOOKUP(I30,'G-7 WaterC'' Data'!$AK$4:$AM$6,2,FALSE)=0,"Spatial Data Missing ⚠",VLOOKUP(I30,'G-7 WaterC'' Data'!$AK$4:$AM$6,2,FALSE)))</f>
        <v/>
      </c>
      <c r="K30" s="363" t="str">
        <f>IF(I30="","",IF(VLOOKUP(I30,'G-7 WaterC'' Data'!$AK$4:$AM$6,3,FALSE)=0,"Spatial Data Missing ⚠",VLOOKUP(I30,'G-7 WaterC'' Data'!$AK$4:$AM$6,3,FALSE)))</f>
        <v/>
      </c>
      <c r="L30" s="362" t="str">
        <f>IFERROR(INDEX('G-7 WaterC'' Data'!$O$3:$O$7,MATCH(G30,'G-7 WaterC'' Data'!$N$3:$N$7,0)),"")</f>
        <v/>
      </c>
      <c r="M30" s="63"/>
      <c r="N30" s="159"/>
      <c r="O30" s="370" t="str">
        <f t="shared" si="0"/>
        <v/>
      </c>
      <c r="P30" s="383" t="str">
        <f t="shared" si="1"/>
        <v/>
      </c>
      <c r="Q30" s="422" t="str">
        <f>IFERROR(IF(P30="Check Data ⚠","Check Data ⚠",VLOOKUP(P30,'G-4 Temporal multipliers'!$A$4:$C$37,3,FALSE)),"")</f>
        <v/>
      </c>
      <c r="R30" s="362" t="str">
        <f>IF(C30="","",VLOOKUP(C30,'G-7 WaterC'' Data'!$B$4:$G$8,4,FALSE))</f>
        <v/>
      </c>
      <c r="S30" s="370" t="str">
        <f t="shared" si="2"/>
        <v/>
      </c>
      <c r="T30" s="401" t="str">
        <f t="shared" si="3"/>
        <v/>
      </c>
      <c r="U30" s="363" t="str">
        <f>IF(C30="","",VLOOKUP(T30,'G-3 Multipliers'!$P$2:$Q$6,2,FALSE))</f>
        <v/>
      </c>
      <c r="V30" s="115"/>
      <c r="W30" s="363" t="str">
        <f>IF(V30="","",IF(VLOOKUP(V30,'G-7 WaterC'' Data'!$AA$4:$AB$7,2,FALSE)=0,"Spatial Data Missing ⚠",VLOOKUP(V30,'G-7 WaterC'' Data'!$AA$4:$AB$7,2,FALSE)))</f>
        <v/>
      </c>
      <c r="X30" s="60"/>
      <c r="Y30" s="363" t="str">
        <f>IF(X30="","",IF(VLOOKUP(X30,'G-7 WaterC'' Data'!$AD$4:$AE$14,2,FALSE)=0,"Enrcoachment Data Missing ⚠",VLOOKUP(X30,'G-7 WaterC'' Data'!$AD$4:$AE$14,2,FALSE)))</f>
        <v/>
      </c>
      <c r="Z30" s="423" t="str">
        <f t="shared" si="4"/>
        <v/>
      </c>
      <c r="AA30" s="117"/>
      <c r="AB30" s="118"/>
      <c r="AC30" s="120"/>
      <c r="AH30" s="30" t="str">
        <f>IFERROR(INDEX('G-7 WaterC'' Data'!$AZ$3:$AZ$7,MATCH(C30,'G-7 WaterC'' Data'!$AY$3:$AY$7,0)),"")</f>
        <v/>
      </c>
    </row>
    <row r="31" spans="2:34" ht="15">
      <c r="B31" s="110">
        <v>20</v>
      </c>
      <c r="C31" s="138"/>
      <c r="D31" s="139"/>
      <c r="E31" s="362" t="str">
        <f>IF(C31="","",VLOOKUP(C31,'G-7 WaterC'' Data'!$B$2:$G$8,2,FALSE))</f>
        <v/>
      </c>
      <c r="F31" s="363" t="str">
        <f>IFERROR(VLOOKUP(E31,'G-7 WaterC'' Data'!$C$4:$D$8,2,FALSE),"")</f>
        <v/>
      </c>
      <c r="G31" s="114"/>
      <c r="H31" s="363" t="str">
        <f>IFERROR(INDEX('G-7 WaterC'' Data'!$H$4:$L$8,MATCH(C31,'G-7 WaterC'' Data'!$B$4:$B$8,0),MATCH(G31,'G-7 WaterC'' Data'!$H$3:$L$3,0)),"")</f>
        <v/>
      </c>
      <c r="I31" s="54"/>
      <c r="J31" s="370" t="str">
        <f>IF(I31="","",IF(VLOOKUP(I31,'G-7 WaterC'' Data'!$AK$4:$AM$6,2,FALSE)=0,"Spatial Data Missing ⚠",VLOOKUP(I31,'G-7 WaterC'' Data'!$AK$4:$AM$6,2,FALSE)))</f>
        <v/>
      </c>
      <c r="K31" s="363" t="str">
        <f>IF(I31="","",IF(VLOOKUP(I31,'G-7 WaterC'' Data'!$AK$4:$AM$6,3,FALSE)=0,"Spatial Data Missing ⚠",VLOOKUP(I31,'G-7 WaterC'' Data'!$AK$4:$AM$6,3,FALSE)))</f>
        <v/>
      </c>
      <c r="L31" s="362" t="str">
        <f>IFERROR(INDEX('G-7 WaterC'' Data'!$O$3:$O$7,MATCH(G31,'G-7 WaterC'' Data'!$N$3:$N$7,0)),"")</f>
        <v/>
      </c>
      <c r="M31" s="63"/>
      <c r="N31" s="159"/>
      <c r="O31" s="370" t="str">
        <f t="shared" si="0"/>
        <v/>
      </c>
      <c r="P31" s="383" t="str">
        <f t="shared" si="1"/>
        <v/>
      </c>
      <c r="Q31" s="422" t="str">
        <f>IFERROR(IF(P31="Check Data ⚠","Check Data ⚠",VLOOKUP(P31,'G-4 Temporal multipliers'!$A$4:$C$37,3,FALSE)),"")</f>
        <v/>
      </c>
      <c r="R31" s="362" t="str">
        <f>IF(C31="","",VLOOKUP(C31,'G-7 WaterC'' Data'!$B$4:$G$8,4,FALSE))</f>
        <v/>
      </c>
      <c r="S31" s="370" t="str">
        <f t="shared" si="2"/>
        <v/>
      </c>
      <c r="T31" s="401" t="str">
        <f t="shared" si="3"/>
        <v/>
      </c>
      <c r="U31" s="363" t="str">
        <f>IF(C31="","",VLOOKUP(T31,'G-3 Multipliers'!$P$2:$Q$6,2,FALSE))</f>
        <v/>
      </c>
      <c r="V31" s="115"/>
      <c r="W31" s="363" t="str">
        <f>IF(V31="","",IF(VLOOKUP(V31,'G-7 WaterC'' Data'!$AA$4:$AB$7,2,FALSE)=0,"Spatial Data Missing ⚠",VLOOKUP(V31,'G-7 WaterC'' Data'!$AA$4:$AB$7,2,FALSE)))</f>
        <v/>
      </c>
      <c r="X31" s="60"/>
      <c r="Y31" s="363" t="str">
        <f>IF(X31="","",IF(VLOOKUP(X31,'G-7 WaterC'' Data'!$AD$4:$AE$14,2,FALSE)=0,"Enrcoachment Data Missing ⚠",VLOOKUP(X31,'G-7 WaterC'' Data'!$AD$4:$AE$14,2,FALSE)))</f>
        <v/>
      </c>
      <c r="Z31" s="423" t="str">
        <f t="shared" si="4"/>
        <v/>
      </c>
      <c r="AA31" s="117"/>
      <c r="AB31" s="118"/>
      <c r="AC31" s="120"/>
      <c r="AH31" s="30" t="str">
        <f>IFERROR(INDEX('G-7 WaterC'' Data'!$AZ$3:$AZ$7,MATCH(C31,'G-7 WaterC'' Data'!$AY$3:$AY$7,0)),"")</f>
        <v/>
      </c>
    </row>
    <row r="32" spans="2:34" ht="15">
      <c r="B32" s="110">
        <v>21</v>
      </c>
      <c r="C32" s="138"/>
      <c r="D32" s="139"/>
      <c r="E32" s="362" t="str">
        <f>IF(C32="","",VLOOKUP(C32,'G-7 WaterC'' Data'!$B$2:$G$8,2,FALSE))</f>
        <v/>
      </c>
      <c r="F32" s="363" t="str">
        <f>IFERROR(VLOOKUP(E32,'G-7 WaterC'' Data'!$C$4:$D$8,2,FALSE),"")</f>
        <v/>
      </c>
      <c r="G32" s="114"/>
      <c r="H32" s="363" t="str">
        <f>IFERROR(INDEX('G-7 WaterC'' Data'!$H$4:$L$8,MATCH(C32,'G-7 WaterC'' Data'!$B$4:$B$8,0),MATCH(G32,'G-7 WaterC'' Data'!$H$3:$L$3,0)),"")</f>
        <v/>
      </c>
      <c r="I32" s="54"/>
      <c r="J32" s="370" t="str">
        <f>IF(I32="","",IF(VLOOKUP(I32,'G-7 WaterC'' Data'!$AK$4:$AM$6,2,FALSE)=0,"Spatial Data Missing ⚠",VLOOKUP(I32,'G-7 WaterC'' Data'!$AK$4:$AM$6,2,FALSE)))</f>
        <v/>
      </c>
      <c r="K32" s="363" t="str">
        <f>IF(I32="","",IF(VLOOKUP(I32,'G-7 WaterC'' Data'!$AK$4:$AM$6,3,FALSE)=0,"Spatial Data Missing ⚠",VLOOKUP(I32,'G-7 WaterC'' Data'!$AK$4:$AM$6,3,FALSE)))</f>
        <v/>
      </c>
      <c r="L32" s="362" t="str">
        <f>IFERROR(INDEX('G-7 WaterC'' Data'!$O$3:$O$7,MATCH(G32,'G-7 WaterC'' Data'!$N$3:$N$7,0)),"")</f>
        <v/>
      </c>
      <c r="M32" s="63"/>
      <c r="N32" s="159"/>
      <c r="O32" s="370" t="str">
        <f t="shared" si="0"/>
        <v/>
      </c>
      <c r="P32" s="383" t="str">
        <f t="shared" si="1"/>
        <v/>
      </c>
      <c r="Q32" s="422" t="str">
        <f>IFERROR(IF(P32="Check Data ⚠","Check Data ⚠",VLOOKUP(P32,'G-4 Temporal multipliers'!$A$4:$C$37,3,FALSE)),"")</f>
        <v/>
      </c>
      <c r="R32" s="362" t="str">
        <f>IF(C32="","",VLOOKUP(C32,'G-7 WaterC'' Data'!$B$4:$G$8,4,FALSE))</f>
        <v/>
      </c>
      <c r="S32" s="370" t="str">
        <f t="shared" si="2"/>
        <v/>
      </c>
      <c r="T32" s="401" t="str">
        <f t="shared" si="3"/>
        <v/>
      </c>
      <c r="U32" s="363" t="str">
        <f>IF(C32="","",VLOOKUP(T32,'G-3 Multipliers'!$P$2:$Q$6,2,FALSE))</f>
        <v/>
      </c>
      <c r="V32" s="115"/>
      <c r="W32" s="363" t="str">
        <f>IF(V32="","",IF(VLOOKUP(V32,'G-7 WaterC'' Data'!$AA$4:$AB$7,2,FALSE)=0,"Spatial Data Missing ⚠",VLOOKUP(V32,'G-7 WaterC'' Data'!$AA$4:$AB$7,2,FALSE)))</f>
        <v/>
      </c>
      <c r="X32" s="60"/>
      <c r="Y32" s="363" t="str">
        <f>IF(X32="","",IF(VLOOKUP(X32,'G-7 WaterC'' Data'!$AD$4:$AE$14,2,FALSE)=0,"Enrcoachment Data Missing ⚠",VLOOKUP(X32,'G-7 WaterC'' Data'!$AD$4:$AE$14,2,FALSE)))</f>
        <v/>
      </c>
      <c r="Z32" s="423" t="str">
        <f t="shared" si="4"/>
        <v/>
      </c>
      <c r="AA32" s="117"/>
      <c r="AB32" s="118"/>
      <c r="AC32" s="120"/>
      <c r="AH32" s="30" t="str">
        <f>IFERROR(INDEX('G-7 WaterC'' Data'!$AZ$3:$AZ$7,MATCH(C32,'G-7 WaterC'' Data'!$AY$3:$AY$7,0)),"")</f>
        <v/>
      </c>
    </row>
    <row r="33" spans="2:34" ht="15">
      <c r="B33" s="110">
        <v>22</v>
      </c>
      <c r="C33" s="138"/>
      <c r="D33" s="139"/>
      <c r="E33" s="362" t="str">
        <f>IF(C33="","",VLOOKUP(C33,'G-7 WaterC'' Data'!$B$2:$G$8,2,FALSE))</f>
        <v/>
      </c>
      <c r="F33" s="363" t="str">
        <f>IFERROR(VLOOKUP(E33,'G-7 WaterC'' Data'!$C$4:$D$8,2,FALSE),"")</f>
        <v/>
      </c>
      <c r="G33" s="114"/>
      <c r="H33" s="363" t="str">
        <f>IFERROR(INDEX('G-7 WaterC'' Data'!$H$4:$L$8,MATCH(C33,'G-7 WaterC'' Data'!$B$4:$B$8,0),MATCH(G33,'G-7 WaterC'' Data'!$H$3:$L$3,0)),"")</f>
        <v/>
      </c>
      <c r="I33" s="54"/>
      <c r="J33" s="370" t="str">
        <f>IF(I33="","",IF(VLOOKUP(I33,'G-7 WaterC'' Data'!$AK$4:$AM$6,2,FALSE)=0,"Spatial Data Missing ⚠",VLOOKUP(I33,'G-7 WaterC'' Data'!$AK$4:$AM$6,2,FALSE)))</f>
        <v/>
      </c>
      <c r="K33" s="363" t="str">
        <f>IF(I33="","",IF(VLOOKUP(I33,'G-7 WaterC'' Data'!$AK$4:$AM$6,3,FALSE)=0,"Spatial Data Missing ⚠",VLOOKUP(I33,'G-7 WaterC'' Data'!$AK$4:$AM$6,3,FALSE)))</f>
        <v/>
      </c>
      <c r="L33" s="362" t="str">
        <f>IFERROR(INDEX('G-7 WaterC'' Data'!$O$3:$O$7,MATCH(G33,'G-7 WaterC'' Data'!$N$3:$N$7,0)),"")</f>
        <v/>
      </c>
      <c r="M33" s="63"/>
      <c r="N33" s="159"/>
      <c r="O33" s="370" t="str">
        <f t="shared" si="0"/>
        <v/>
      </c>
      <c r="P33" s="383" t="str">
        <f t="shared" si="1"/>
        <v/>
      </c>
      <c r="Q33" s="422" t="str">
        <f>IFERROR(IF(P33="Check Data ⚠","Check Data ⚠",VLOOKUP(P33,'G-4 Temporal multipliers'!$A$4:$C$37,3,FALSE)),"")</f>
        <v/>
      </c>
      <c r="R33" s="362" t="str">
        <f>IF(C33="","",VLOOKUP(C33,'G-7 WaterC'' Data'!$B$4:$G$8,4,FALSE))</f>
        <v/>
      </c>
      <c r="S33" s="370" t="str">
        <f t="shared" si="2"/>
        <v/>
      </c>
      <c r="T33" s="401" t="str">
        <f t="shared" si="3"/>
        <v/>
      </c>
      <c r="U33" s="363" t="str">
        <f>IF(C33="","",VLOOKUP(T33,'G-3 Multipliers'!$P$2:$Q$6,2,FALSE))</f>
        <v/>
      </c>
      <c r="V33" s="115"/>
      <c r="W33" s="363" t="str">
        <f>IF(V33="","",IF(VLOOKUP(V33,'G-7 WaterC'' Data'!$AA$4:$AB$7,2,FALSE)=0,"Spatial Data Missing ⚠",VLOOKUP(V33,'G-7 WaterC'' Data'!$AA$4:$AB$7,2,FALSE)))</f>
        <v/>
      </c>
      <c r="X33" s="60"/>
      <c r="Y33" s="363" t="str">
        <f>IF(X33="","",IF(VLOOKUP(X33,'G-7 WaterC'' Data'!$AD$4:$AE$14,2,FALSE)=0,"Enrcoachment Data Missing ⚠",VLOOKUP(X33,'G-7 WaterC'' Data'!$AD$4:$AE$14,2,FALSE)))</f>
        <v/>
      </c>
      <c r="Z33" s="423" t="str">
        <f t="shared" si="4"/>
        <v/>
      </c>
      <c r="AA33" s="117"/>
      <c r="AB33" s="118"/>
      <c r="AC33" s="120"/>
      <c r="AH33" s="30" t="str">
        <f>IFERROR(INDEX('G-7 WaterC'' Data'!$AZ$3:$AZ$7,MATCH(C33,'G-7 WaterC'' Data'!$AY$3:$AY$7,0)),"")</f>
        <v/>
      </c>
    </row>
    <row r="34" spans="2:34" ht="15">
      <c r="B34" s="110">
        <v>23</v>
      </c>
      <c r="C34" s="138"/>
      <c r="D34" s="139"/>
      <c r="E34" s="362" t="str">
        <f>IF(C34="","",VLOOKUP(C34,'G-7 WaterC'' Data'!$B$2:$G$8,2,FALSE))</f>
        <v/>
      </c>
      <c r="F34" s="363" t="str">
        <f>IFERROR(VLOOKUP(E34,'G-7 WaterC'' Data'!$C$4:$D$8,2,FALSE),"")</f>
        <v/>
      </c>
      <c r="G34" s="114"/>
      <c r="H34" s="363" t="str">
        <f>IFERROR(INDEX('G-7 WaterC'' Data'!$H$4:$L$8,MATCH(C34,'G-7 WaterC'' Data'!$B$4:$B$8,0),MATCH(G34,'G-7 WaterC'' Data'!$H$3:$L$3,0)),"")</f>
        <v/>
      </c>
      <c r="I34" s="54"/>
      <c r="J34" s="370" t="str">
        <f>IF(I34="","",IF(VLOOKUP(I34,'G-7 WaterC'' Data'!$AK$4:$AM$6,2,FALSE)=0,"Spatial Data Missing ⚠",VLOOKUP(I34,'G-7 WaterC'' Data'!$AK$4:$AM$6,2,FALSE)))</f>
        <v/>
      </c>
      <c r="K34" s="363" t="str">
        <f>IF(I34="","",IF(VLOOKUP(I34,'G-7 WaterC'' Data'!$AK$4:$AM$6,3,FALSE)=0,"Spatial Data Missing ⚠",VLOOKUP(I34,'G-7 WaterC'' Data'!$AK$4:$AM$6,3,FALSE)))</f>
        <v/>
      </c>
      <c r="L34" s="362" t="str">
        <f>IFERROR(INDEX('G-7 WaterC'' Data'!$O$3:$O$7,MATCH(G34,'G-7 WaterC'' Data'!$N$3:$N$7,0)),"")</f>
        <v/>
      </c>
      <c r="M34" s="63"/>
      <c r="N34" s="159"/>
      <c r="O34" s="370" t="str">
        <f t="shared" si="0"/>
        <v/>
      </c>
      <c r="P34" s="383" t="str">
        <f t="shared" si="1"/>
        <v/>
      </c>
      <c r="Q34" s="422" t="str">
        <f>IFERROR(IF(P34="Check Data ⚠","Check Data ⚠",VLOOKUP(P34,'G-4 Temporal multipliers'!$A$4:$C$37,3,FALSE)),"")</f>
        <v/>
      </c>
      <c r="R34" s="362" t="str">
        <f>IF(C34="","",VLOOKUP(C34,'G-7 WaterC'' Data'!$B$4:$G$8,4,FALSE))</f>
        <v/>
      </c>
      <c r="S34" s="370" t="str">
        <f t="shared" si="2"/>
        <v/>
      </c>
      <c r="T34" s="401" t="str">
        <f t="shared" si="3"/>
        <v/>
      </c>
      <c r="U34" s="363" t="str">
        <f>IF(C34="","",VLOOKUP(T34,'G-3 Multipliers'!$P$2:$Q$6,2,FALSE))</f>
        <v/>
      </c>
      <c r="V34" s="115"/>
      <c r="W34" s="363" t="str">
        <f>IF(V34="","",IF(VLOOKUP(V34,'G-7 WaterC'' Data'!$AA$4:$AB$7,2,FALSE)=0,"Spatial Data Missing ⚠",VLOOKUP(V34,'G-7 WaterC'' Data'!$AA$4:$AB$7,2,FALSE)))</f>
        <v/>
      </c>
      <c r="X34" s="60"/>
      <c r="Y34" s="363" t="str">
        <f>IF(X34="","",IF(VLOOKUP(X34,'G-7 WaterC'' Data'!$AD$4:$AE$14,2,FALSE)=0,"Enrcoachment Data Missing ⚠",VLOOKUP(X34,'G-7 WaterC'' Data'!$AD$4:$AE$14,2,FALSE)))</f>
        <v/>
      </c>
      <c r="Z34" s="423" t="str">
        <f t="shared" si="4"/>
        <v/>
      </c>
      <c r="AA34" s="117"/>
      <c r="AB34" s="118"/>
      <c r="AC34" s="120"/>
      <c r="AH34" s="30" t="str">
        <f>IFERROR(INDEX('G-7 WaterC'' Data'!$AZ$3:$AZ$7,MATCH(C34,'G-7 WaterC'' Data'!$AY$3:$AY$7,0)),"")</f>
        <v/>
      </c>
    </row>
    <row r="35" spans="2:34" ht="15">
      <c r="B35" s="110">
        <v>24</v>
      </c>
      <c r="C35" s="138"/>
      <c r="D35" s="139"/>
      <c r="E35" s="362" t="str">
        <f>IF(C35="","",VLOOKUP(C35,'G-7 WaterC'' Data'!$B$2:$G$8,2,FALSE))</f>
        <v/>
      </c>
      <c r="F35" s="363" t="str">
        <f>IFERROR(VLOOKUP(E35,'G-7 WaterC'' Data'!$C$4:$D$8,2,FALSE),"")</f>
        <v/>
      </c>
      <c r="G35" s="114"/>
      <c r="H35" s="363" t="str">
        <f>IFERROR(INDEX('G-7 WaterC'' Data'!$H$4:$L$8,MATCH(C35,'G-7 WaterC'' Data'!$B$4:$B$8,0),MATCH(G35,'G-7 WaterC'' Data'!$H$3:$L$3,0)),"")</f>
        <v/>
      </c>
      <c r="I35" s="54"/>
      <c r="J35" s="370" t="str">
        <f>IF(I35="","",IF(VLOOKUP(I35,'G-7 WaterC'' Data'!$AK$4:$AM$6,2,FALSE)=0,"Spatial Data Missing ⚠",VLOOKUP(I35,'G-7 WaterC'' Data'!$AK$4:$AM$6,2,FALSE)))</f>
        <v/>
      </c>
      <c r="K35" s="363" t="str">
        <f>IF(I35="","",IF(VLOOKUP(I35,'G-7 WaterC'' Data'!$AK$4:$AM$6,3,FALSE)=0,"Spatial Data Missing ⚠",VLOOKUP(I35,'G-7 WaterC'' Data'!$AK$4:$AM$6,3,FALSE)))</f>
        <v/>
      </c>
      <c r="L35" s="362" t="str">
        <f>IFERROR(INDEX('G-7 WaterC'' Data'!$O$3:$O$7,MATCH(G35,'G-7 WaterC'' Data'!$N$3:$N$7,0)),"")</f>
        <v/>
      </c>
      <c r="M35" s="63"/>
      <c r="N35" s="159"/>
      <c r="O35" s="370" t="str">
        <f t="shared" si="0"/>
        <v/>
      </c>
      <c r="P35" s="383" t="str">
        <f t="shared" si="1"/>
        <v/>
      </c>
      <c r="Q35" s="422" t="str">
        <f>IFERROR(IF(P35="Check Data ⚠","Check Data ⚠",VLOOKUP(P35,'G-4 Temporal multipliers'!$A$4:$C$37,3,FALSE)),"")</f>
        <v/>
      </c>
      <c r="R35" s="362" t="str">
        <f>IF(C35="","",VLOOKUP(C35,'G-7 WaterC'' Data'!$B$4:$G$8,4,FALSE))</f>
        <v/>
      </c>
      <c r="S35" s="370" t="str">
        <f t="shared" si="2"/>
        <v/>
      </c>
      <c r="T35" s="401" t="str">
        <f t="shared" si="3"/>
        <v/>
      </c>
      <c r="U35" s="363" t="str">
        <f>IF(C35="","",VLOOKUP(T35,'G-3 Multipliers'!$P$2:$Q$6,2,FALSE))</f>
        <v/>
      </c>
      <c r="V35" s="115"/>
      <c r="W35" s="363" t="str">
        <f>IF(V35="","",IF(VLOOKUP(V35,'G-7 WaterC'' Data'!$AA$4:$AB$7,2,FALSE)=0,"Spatial Data Missing ⚠",VLOOKUP(V35,'G-7 WaterC'' Data'!$AA$4:$AB$7,2,FALSE)))</f>
        <v/>
      </c>
      <c r="X35" s="60"/>
      <c r="Y35" s="363" t="str">
        <f>IF(X35="","",IF(VLOOKUP(X35,'G-7 WaterC'' Data'!$AD$4:$AE$14,2,FALSE)=0,"Enrcoachment Data Missing ⚠",VLOOKUP(X35,'G-7 WaterC'' Data'!$AD$4:$AE$14,2,FALSE)))</f>
        <v/>
      </c>
      <c r="Z35" s="423" t="str">
        <f t="shared" si="4"/>
        <v/>
      </c>
      <c r="AA35" s="117"/>
      <c r="AB35" s="118"/>
      <c r="AC35" s="120"/>
      <c r="AH35" s="30" t="str">
        <f>IFERROR(INDEX('G-7 WaterC'' Data'!$AZ$3:$AZ$7,MATCH(C35,'G-7 WaterC'' Data'!$AY$3:$AY$7,0)),"")</f>
        <v/>
      </c>
    </row>
    <row r="36" spans="2:34" ht="15">
      <c r="B36" s="110">
        <v>25</v>
      </c>
      <c r="C36" s="138"/>
      <c r="D36" s="139"/>
      <c r="E36" s="362" t="str">
        <f>IF(C36="","",VLOOKUP(C36,'G-7 WaterC'' Data'!$B$2:$G$8,2,FALSE))</f>
        <v/>
      </c>
      <c r="F36" s="363" t="str">
        <f>IFERROR(VLOOKUP(E36,'G-7 WaterC'' Data'!$C$4:$D$8,2,FALSE),"")</f>
        <v/>
      </c>
      <c r="G36" s="114"/>
      <c r="H36" s="363" t="str">
        <f>IFERROR(INDEX('G-7 WaterC'' Data'!$H$4:$L$8,MATCH(C36,'G-7 WaterC'' Data'!$B$4:$B$8,0),MATCH(G36,'G-7 WaterC'' Data'!$H$3:$L$3,0)),"")</f>
        <v/>
      </c>
      <c r="I36" s="54"/>
      <c r="J36" s="370" t="str">
        <f>IF(I36="","",IF(VLOOKUP(I36,'G-7 WaterC'' Data'!$AK$4:$AM$6,2,FALSE)=0,"Spatial Data Missing ⚠",VLOOKUP(I36,'G-7 WaterC'' Data'!$AK$4:$AM$6,2,FALSE)))</f>
        <v/>
      </c>
      <c r="K36" s="363" t="str">
        <f>IF(I36="","",IF(VLOOKUP(I36,'G-7 WaterC'' Data'!$AK$4:$AM$6,3,FALSE)=0,"Spatial Data Missing ⚠",VLOOKUP(I36,'G-7 WaterC'' Data'!$AK$4:$AM$6,3,FALSE)))</f>
        <v/>
      </c>
      <c r="L36" s="362" t="str">
        <f>IFERROR(INDEX('G-7 WaterC'' Data'!$O$3:$O$7,MATCH(G36,'G-7 WaterC'' Data'!$N$3:$N$7,0)),"")</f>
        <v/>
      </c>
      <c r="M36" s="63"/>
      <c r="N36" s="159"/>
      <c r="O36" s="370" t="str">
        <f t="shared" si="0"/>
        <v/>
      </c>
      <c r="P36" s="383" t="str">
        <f t="shared" si="1"/>
        <v/>
      </c>
      <c r="Q36" s="422" t="str">
        <f>IFERROR(IF(P36="Check Data ⚠","Check Data ⚠",VLOOKUP(P36,'G-4 Temporal multipliers'!$A$4:$C$37,3,FALSE)),"")</f>
        <v/>
      </c>
      <c r="R36" s="362" t="str">
        <f>IF(C36="","",VLOOKUP(C36,'G-7 WaterC'' Data'!$B$4:$G$8,4,FALSE))</f>
        <v/>
      </c>
      <c r="S36" s="370" t="str">
        <f t="shared" si="2"/>
        <v/>
      </c>
      <c r="T36" s="401" t="str">
        <f t="shared" si="3"/>
        <v/>
      </c>
      <c r="U36" s="363" t="str">
        <f>IF(C36="","",VLOOKUP(T36,'G-3 Multipliers'!$P$2:$Q$6,2,FALSE))</f>
        <v/>
      </c>
      <c r="V36" s="115"/>
      <c r="W36" s="363" t="str">
        <f>IF(V36="","",IF(VLOOKUP(V36,'G-7 WaterC'' Data'!$AA$4:$AB$7,2,FALSE)=0,"Spatial Data Missing ⚠",VLOOKUP(V36,'G-7 WaterC'' Data'!$AA$4:$AB$7,2,FALSE)))</f>
        <v/>
      </c>
      <c r="X36" s="60"/>
      <c r="Y36" s="363" t="str">
        <f>IF(X36="","",IF(VLOOKUP(X36,'G-7 WaterC'' Data'!$AD$4:$AE$14,2,FALSE)=0,"Enrcoachment Data Missing ⚠",VLOOKUP(X36,'G-7 WaterC'' Data'!$AD$4:$AE$14,2,FALSE)))</f>
        <v/>
      </c>
      <c r="Z36" s="423" t="str">
        <f t="shared" si="4"/>
        <v/>
      </c>
      <c r="AA36" s="117"/>
      <c r="AB36" s="118"/>
      <c r="AC36" s="120"/>
      <c r="AH36" s="30" t="str">
        <f>IFERROR(INDEX('G-7 WaterC'' Data'!$AZ$3:$AZ$7,MATCH(C36,'G-7 WaterC'' Data'!$AY$3:$AY$7,0)),"")</f>
        <v/>
      </c>
    </row>
    <row r="37" spans="2:34" ht="15">
      <c r="B37" s="110">
        <v>26</v>
      </c>
      <c r="C37" s="138"/>
      <c r="D37" s="139"/>
      <c r="E37" s="362" t="str">
        <f>IF(C37="","",VLOOKUP(C37,'G-7 WaterC'' Data'!$B$2:$G$8,2,FALSE))</f>
        <v/>
      </c>
      <c r="F37" s="363" t="str">
        <f>IFERROR(VLOOKUP(E37,'G-7 WaterC'' Data'!$C$4:$D$8,2,FALSE),"")</f>
        <v/>
      </c>
      <c r="G37" s="114"/>
      <c r="H37" s="363" t="str">
        <f>IFERROR(INDEX('G-7 WaterC'' Data'!$H$4:$L$8,MATCH(C37,'G-7 WaterC'' Data'!$B$4:$B$8,0),MATCH(G37,'G-7 WaterC'' Data'!$H$3:$L$3,0)),"")</f>
        <v/>
      </c>
      <c r="I37" s="54"/>
      <c r="J37" s="370" t="str">
        <f>IF(I37="","",IF(VLOOKUP(I37,'G-7 WaterC'' Data'!$AK$4:$AM$6,2,FALSE)=0,"Spatial Data Missing ⚠",VLOOKUP(I37,'G-7 WaterC'' Data'!$AK$4:$AM$6,2,FALSE)))</f>
        <v/>
      </c>
      <c r="K37" s="363" t="str">
        <f>IF(I37="","",IF(VLOOKUP(I37,'G-7 WaterC'' Data'!$AK$4:$AM$6,3,FALSE)=0,"Spatial Data Missing ⚠",VLOOKUP(I37,'G-7 WaterC'' Data'!$AK$4:$AM$6,3,FALSE)))</f>
        <v/>
      </c>
      <c r="L37" s="362" t="str">
        <f>IFERROR(INDEX('G-7 WaterC'' Data'!$O$3:$O$7,MATCH(G37,'G-7 WaterC'' Data'!$N$3:$N$7,0)),"")</f>
        <v/>
      </c>
      <c r="M37" s="63"/>
      <c r="N37" s="159"/>
      <c r="O37" s="370" t="str">
        <f t="shared" si="0"/>
        <v/>
      </c>
      <c r="P37" s="383" t="str">
        <f t="shared" si="1"/>
        <v/>
      </c>
      <c r="Q37" s="422" t="str">
        <f>IFERROR(IF(P37="Check Data ⚠","Check Data ⚠",VLOOKUP(P37,'G-4 Temporal multipliers'!$A$4:$C$37,3,FALSE)),"")</f>
        <v/>
      </c>
      <c r="R37" s="362" t="str">
        <f>IF(C37="","",VLOOKUP(C37,'G-7 WaterC'' Data'!$B$4:$G$8,4,FALSE))</f>
        <v/>
      </c>
      <c r="S37" s="370" t="str">
        <f t="shared" si="2"/>
        <v/>
      </c>
      <c r="T37" s="401" t="str">
        <f t="shared" si="3"/>
        <v/>
      </c>
      <c r="U37" s="363" t="str">
        <f>IF(C37="","",VLOOKUP(T37,'G-3 Multipliers'!$P$2:$Q$6,2,FALSE))</f>
        <v/>
      </c>
      <c r="V37" s="115"/>
      <c r="W37" s="363" t="str">
        <f>IF(V37="","",IF(VLOOKUP(V37,'G-7 WaterC'' Data'!$AA$4:$AB$7,2,FALSE)=0,"Spatial Data Missing ⚠",VLOOKUP(V37,'G-7 WaterC'' Data'!$AA$4:$AB$7,2,FALSE)))</f>
        <v/>
      </c>
      <c r="X37" s="60"/>
      <c r="Y37" s="363" t="str">
        <f>IF(X37="","",IF(VLOOKUP(X37,'G-7 WaterC'' Data'!$AD$4:$AE$14,2,FALSE)=0,"Enrcoachment Data Missing ⚠",VLOOKUP(X37,'G-7 WaterC'' Data'!$AD$4:$AE$14,2,FALSE)))</f>
        <v/>
      </c>
      <c r="Z37" s="423" t="str">
        <f t="shared" si="4"/>
        <v/>
      </c>
      <c r="AA37" s="117"/>
      <c r="AB37" s="118"/>
      <c r="AC37" s="120"/>
      <c r="AH37" s="30" t="str">
        <f>IFERROR(INDEX('G-7 WaterC'' Data'!$AZ$3:$AZ$7,MATCH(C37,'G-7 WaterC'' Data'!$AY$3:$AY$7,0)),"")</f>
        <v/>
      </c>
    </row>
    <row r="38" spans="2:34" ht="15">
      <c r="B38" s="110">
        <v>27</v>
      </c>
      <c r="C38" s="138"/>
      <c r="D38" s="139"/>
      <c r="E38" s="362" t="str">
        <f>IF(C38="","",VLOOKUP(C38,'G-7 WaterC'' Data'!$B$2:$G$8,2,FALSE))</f>
        <v/>
      </c>
      <c r="F38" s="363" t="str">
        <f>IFERROR(VLOOKUP(E38,'G-7 WaterC'' Data'!$C$4:$D$8,2,FALSE),"")</f>
        <v/>
      </c>
      <c r="G38" s="114"/>
      <c r="H38" s="363" t="str">
        <f>IFERROR(INDEX('G-7 WaterC'' Data'!$H$4:$L$8,MATCH(C38,'G-7 WaterC'' Data'!$B$4:$B$8,0),MATCH(G38,'G-7 WaterC'' Data'!$H$3:$L$3,0)),"")</f>
        <v/>
      </c>
      <c r="I38" s="54"/>
      <c r="J38" s="370" t="str">
        <f>IF(I38="","",IF(VLOOKUP(I38,'G-7 WaterC'' Data'!$AK$4:$AM$6,2,FALSE)=0,"Spatial Data Missing ⚠",VLOOKUP(I38,'G-7 WaterC'' Data'!$AK$4:$AM$6,2,FALSE)))</f>
        <v/>
      </c>
      <c r="K38" s="363" t="str">
        <f>IF(I38="","",IF(VLOOKUP(I38,'G-7 WaterC'' Data'!$AK$4:$AM$6,3,FALSE)=0,"Spatial Data Missing ⚠",VLOOKUP(I38,'G-7 WaterC'' Data'!$AK$4:$AM$6,3,FALSE)))</f>
        <v/>
      </c>
      <c r="L38" s="362" t="str">
        <f>IFERROR(INDEX('G-7 WaterC'' Data'!$O$3:$O$7,MATCH(G38,'G-7 WaterC'' Data'!$N$3:$N$7,0)),"")</f>
        <v/>
      </c>
      <c r="M38" s="63"/>
      <c r="N38" s="159"/>
      <c r="O38" s="370" t="str">
        <f t="shared" si="0"/>
        <v/>
      </c>
      <c r="P38" s="383" t="str">
        <f t="shared" si="1"/>
        <v/>
      </c>
      <c r="Q38" s="422" t="str">
        <f>IFERROR(IF(P38="Check Data ⚠","Check Data ⚠",VLOOKUP(P38,'G-4 Temporal multipliers'!$A$4:$C$37,3,FALSE)),"")</f>
        <v/>
      </c>
      <c r="R38" s="362" t="str">
        <f>IF(C38="","",VLOOKUP(C38,'G-7 WaterC'' Data'!$B$4:$G$8,4,FALSE))</f>
        <v/>
      </c>
      <c r="S38" s="370" t="str">
        <f t="shared" si="2"/>
        <v/>
      </c>
      <c r="T38" s="401" t="str">
        <f t="shared" si="3"/>
        <v/>
      </c>
      <c r="U38" s="363" t="str">
        <f>IF(C38="","",VLOOKUP(T38,'G-3 Multipliers'!$P$2:$Q$6,2,FALSE))</f>
        <v/>
      </c>
      <c r="V38" s="115"/>
      <c r="W38" s="363" t="str">
        <f>IF(V38="","",IF(VLOOKUP(V38,'G-7 WaterC'' Data'!$AA$4:$AB$7,2,FALSE)=0,"Spatial Data Missing ⚠",VLOOKUP(V38,'G-7 WaterC'' Data'!$AA$4:$AB$7,2,FALSE)))</f>
        <v/>
      </c>
      <c r="X38" s="60"/>
      <c r="Y38" s="363" t="str">
        <f>IF(X38="","",IF(VLOOKUP(X38,'G-7 WaterC'' Data'!$AD$4:$AE$14,2,FALSE)=0,"Enrcoachment Data Missing ⚠",VLOOKUP(X38,'G-7 WaterC'' Data'!$AD$4:$AE$14,2,FALSE)))</f>
        <v/>
      </c>
      <c r="Z38" s="423" t="str">
        <f t="shared" si="4"/>
        <v/>
      </c>
      <c r="AA38" s="117"/>
      <c r="AB38" s="118"/>
      <c r="AC38" s="120"/>
      <c r="AH38" s="30" t="str">
        <f>IFERROR(INDEX('G-7 WaterC'' Data'!$AZ$3:$AZ$7,MATCH(C38,'G-7 WaterC'' Data'!$AY$3:$AY$7,0)),"")</f>
        <v/>
      </c>
    </row>
    <row r="39" spans="2:34" ht="15">
      <c r="B39" s="110">
        <v>28</v>
      </c>
      <c r="C39" s="138"/>
      <c r="D39" s="139"/>
      <c r="E39" s="362" t="str">
        <f>IF(C39="","",VLOOKUP(C39,'G-7 WaterC'' Data'!$B$2:$G$8,2,FALSE))</f>
        <v/>
      </c>
      <c r="F39" s="363" t="str">
        <f>IFERROR(VLOOKUP(E39,'G-7 WaterC'' Data'!$C$4:$D$8,2,FALSE),"")</f>
        <v/>
      </c>
      <c r="G39" s="114"/>
      <c r="H39" s="363" t="str">
        <f>IFERROR(INDEX('G-7 WaterC'' Data'!$H$4:$L$8,MATCH(C39,'G-7 WaterC'' Data'!$B$4:$B$8,0),MATCH(G39,'G-7 WaterC'' Data'!$H$3:$L$3,0)),"")</f>
        <v/>
      </c>
      <c r="I39" s="54"/>
      <c r="J39" s="370" t="str">
        <f>IF(I39="","",IF(VLOOKUP(I39,'G-7 WaterC'' Data'!$AK$4:$AM$6,2,FALSE)=0,"Spatial Data Missing ⚠",VLOOKUP(I39,'G-7 WaterC'' Data'!$AK$4:$AM$6,2,FALSE)))</f>
        <v/>
      </c>
      <c r="K39" s="363" t="str">
        <f>IF(I39="","",IF(VLOOKUP(I39,'G-7 WaterC'' Data'!$AK$4:$AM$6,3,FALSE)=0,"Spatial Data Missing ⚠",VLOOKUP(I39,'G-7 WaterC'' Data'!$AK$4:$AM$6,3,FALSE)))</f>
        <v/>
      </c>
      <c r="L39" s="362" t="str">
        <f>IFERROR(INDEX('G-7 WaterC'' Data'!$O$3:$O$7,MATCH(G39,'G-7 WaterC'' Data'!$N$3:$N$7,0)),"")</f>
        <v/>
      </c>
      <c r="M39" s="63"/>
      <c r="N39" s="159"/>
      <c r="O39" s="370" t="str">
        <f t="shared" si="0"/>
        <v/>
      </c>
      <c r="P39" s="383" t="str">
        <f t="shared" si="1"/>
        <v/>
      </c>
      <c r="Q39" s="422" t="str">
        <f>IFERROR(IF(P39="Check Data ⚠","Check Data ⚠",VLOOKUP(P39,'G-4 Temporal multipliers'!$A$4:$C$37,3,FALSE)),"")</f>
        <v/>
      </c>
      <c r="R39" s="362" t="str">
        <f>IF(C39="","",VLOOKUP(C39,'G-7 WaterC'' Data'!$B$4:$G$8,4,FALSE))</f>
        <v/>
      </c>
      <c r="S39" s="370" t="str">
        <f t="shared" si="2"/>
        <v/>
      </c>
      <c r="T39" s="401" t="str">
        <f t="shared" si="3"/>
        <v/>
      </c>
      <c r="U39" s="363" t="str">
        <f>IF(C39="","",VLOOKUP(T39,'G-3 Multipliers'!$P$2:$Q$6,2,FALSE))</f>
        <v/>
      </c>
      <c r="V39" s="115"/>
      <c r="W39" s="363" t="str">
        <f>IF(V39="","",IF(VLOOKUP(V39,'G-7 WaterC'' Data'!$AA$4:$AB$7,2,FALSE)=0,"Spatial Data Missing ⚠",VLOOKUP(V39,'G-7 WaterC'' Data'!$AA$4:$AB$7,2,FALSE)))</f>
        <v/>
      </c>
      <c r="X39" s="60"/>
      <c r="Y39" s="363" t="str">
        <f>IF(X39="","",IF(VLOOKUP(X39,'G-7 WaterC'' Data'!$AD$4:$AE$14,2,FALSE)=0,"Enrcoachment Data Missing ⚠",VLOOKUP(X39,'G-7 WaterC'' Data'!$AD$4:$AE$14,2,FALSE)))</f>
        <v/>
      </c>
      <c r="Z39" s="423" t="str">
        <f t="shared" si="4"/>
        <v/>
      </c>
      <c r="AA39" s="117"/>
      <c r="AB39" s="118"/>
      <c r="AC39" s="120"/>
      <c r="AH39" s="30" t="str">
        <f>IFERROR(INDEX('G-7 WaterC'' Data'!$AZ$3:$AZ$7,MATCH(C39,'G-7 WaterC'' Data'!$AY$3:$AY$7,0)),"")</f>
        <v/>
      </c>
    </row>
    <row r="40" spans="2:34" ht="15">
      <c r="B40" s="110">
        <v>29</v>
      </c>
      <c r="C40" s="138"/>
      <c r="D40" s="139"/>
      <c r="E40" s="362" t="str">
        <f>IF(C40="","",VLOOKUP(C40,'G-7 WaterC'' Data'!$B$2:$G$8,2,FALSE))</f>
        <v/>
      </c>
      <c r="F40" s="363" t="str">
        <f>IFERROR(VLOOKUP(E40,'G-7 WaterC'' Data'!$C$4:$D$8,2,FALSE),"")</f>
        <v/>
      </c>
      <c r="G40" s="114"/>
      <c r="H40" s="363" t="str">
        <f>IFERROR(INDEX('G-7 WaterC'' Data'!$H$4:$L$8,MATCH(C40,'G-7 WaterC'' Data'!$B$4:$B$8,0),MATCH(G40,'G-7 WaterC'' Data'!$H$3:$L$3,0)),"")</f>
        <v/>
      </c>
      <c r="I40" s="54"/>
      <c r="J40" s="370" t="str">
        <f>IF(I40="","",IF(VLOOKUP(I40,'G-7 WaterC'' Data'!$AK$4:$AM$6,2,FALSE)=0,"Spatial Data Missing ⚠",VLOOKUP(I40,'G-7 WaterC'' Data'!$AK$4:$AM$6,2,FALSE)))</f>
        <v/>
      </c>
      <c r="K40" s="363" t="str">
        <f>IF(I40="","",IF(VLOOKUP(I40,'G-7 WaterC'' Data'!$AK$4:$AM$6,3,FALSE)=0,"Spatial Data Missing ⚠",VLOOKUP(I40,'G-7 WaterC'' Data'!$AK$4:$AM$6,3,FALSE)))</f>
        <v/>
      </c>
      <c r="L40" s="362" t="str">
        <f>IFERROR(INDEX('G-7 WaterC'' Data'!$O$3:$O$7,MATCH(G40,'G-7 WaterC'' Data'!$N$3:$N$7,0)),"")</f>
        <v/>
      </c>
      <c r="M40" s="63"/>
      <c r="N40" s="159"/>
      <c r="O40" s="370" t="str">
        <f t="shared" si="0"/>
        <v/>
      </c>
      <c r="P40" s="383" t="str">
        <f t="shared" si="1"/>
        <v/>
      </c>
      <c r="Q40" s="422" t="str">
        <f>IFERROR(IF(P40="Check Data ⚠","Check Data ⚠",VLOOKUP(P40,'G-4 Temporal multipliers'!$A$4:$C$37,3,FALSE)),"")</f>
        <v/>
      </c>
      <c r="R40" s="362" t="str">
        <f>IF(C40="","",VLOOKUP(C40,'G-7 WaterC'' Data'!$B$4:$G$8,4,FALSE))</f>
        <v/>
      </c>
      <c r="S40" s="370" t="str">
        <f t="shared" si="2"/>
        <v/>
      </c>
      <c r="T40" s="401" t="str">
        <f t="shared" si="3"/>
        <v/>
      </c>
      <c r="U40" s="363" t="str">
        <f>IF(C40="","",VLOOKUP(T40,'G-3 Multipliers'!$P$2:$Q$6,2,FALSE))</f>
        <v/>
      </c>
      <c r="V40" s="115"/>
      <c r="W40" s="363" t="str">
        <f>IF(V40="","",IF(VLOOKUP(V40,'G-7 WaterC'' Data'!$AA$4:$AB$7,2,FALSE)=0,"Spatial Data Missing ⚠",VLOOKUP(V40,'G-7 WaterC'' Data'!$AA$4:$AB$7,2,FALSE)))</f>
        <v/>
      </c>
      <c r="X40" s="60"/>
      <c r="Y40" s="363" t="str">
        <f>IF(X40="","",IF(VLOOKUP(X40,'G-7 WaterC'' Data'!$AD$4:$AE$14,2,FALSE)=0,"Enrcoachment Data Missing ⚠",VLOOKUP(X40,'G-7 WaterC'' Data'!$AD$4:$AE$14,2,FALSE)))</f>
        <v/>
      </c>
      <c r="Z40" s="423" t="str">
        <f t="shared" si="4"/>
        <v/>
      </c>
      <c r="AA40" s="117"/>
      <c r="AB40" s="118"/>
      <c r="AC40" s="120"/>
      <c r="AH40" s="30" t="str">
        <f>IFERROR(INDEX('G-7 WaterC'' Data'!$AZ$3:$AZ$7,MATCH(C40,'G-7 WaterC'' Data'!$AY$3:$AY$7,0)),"")</f>
        <v/>
      </c>
    </row>
    <row r="41" spans="2:34" ht="15">
      <c r="B41" s="110">
        <v>30</v>
      </c>
      <c r="C41" s="138"/>
      <c r="D41" s="139"/>
      <c r="E41" s="362" t="str">
        <f>IF(C41="","",VLOOKUP(C41,'G-7 WaterC'' Data'!$B$2:$G$8,2,FALSE))</f>
        <v/>
      </c>
      <c r="F41" s="363" t="str">
        <f>IFERROR(VLOOKUP(E41,'G-7 WaterC'' Data'!$C$4:$D$8,2,FALSE),"")</f>
        <v/>
      </c>
      <c r="G41" s="114"/>
      <c r="H41" s="363" t="str">
        <f>IFERROR(INDEX('G-7 WaterC'' Data'!$H$4:$L$8,MATCH(C41,'G-7 WaterC'' Data'!$B$4:$B$8,0),MATCH(G41,'G-7 WaterC'' Data'!$H$3:$L$3,0)),"")</f>
        <v/>
      </c>
      <c r="I41" s="54"/>
      <c r="J41" s="370" t="str">
        <f>IF(I41="","",IF(VLOOKUP(I41,'G-7 WaterC'' Data'!$AK$4:$AM$6,2,FALSE)=0,"Spatial Data Missing ⚠",VLOOKUP(I41,'G-7 WaterC'' Data'!$AK$4:$AM$6,2,FALSE)))</f>
        <v/>
      </c>
      <c r="K41" s="363" t="str">
        <f>IF(I41="","",IF(VLOOKUP(I41,'G-7 WaterC'' Data'!$AK$4:$AM$6,3,FALSE)=0,"Spatial Data Missing ⚠",VLOOKUP(I41,'G-7 WaterC'' Data'!$AK$4:$AM$6,3,FALSE)))</f>
        <v/>
      </c>
      <c r="L41" s="362" t="str">
        <f>IFERROR(INDEX('G-7 WaterC'' Data'!$O$3:$O$7,MATCH(G41,'G-7 WaterC'' Data'!$N$3:$N$7,0)),"")</f>
        <v/>
      </c>
      <c r="M41" s="63"/>
      <c r="N41" s="159"/>
      <c r="O41" s="370" t="str">
        <f t="shared" si="0"/>
        <v/>
      </c>
      <c r="P41" s="383" t="str">
        <f t="shared" si="1"/>
        <v/>
      </c>
      <c r="Q41" s="422" t="str">
        <f>IFERROR(IF(P41="Check Data ⚠","Check Data ⚠",VLOOKUP(P41,'G-4 Temporal multipliers'!$A$4:$C$37,3,FALSE)),"")</f>
        <v/>
      </c>
      <c r="R41" s="362" t="str">
        <f>IF(C41="","",VLOOKUP(C41,'G-7 WaterC'' Data'!$B$4:$G$8,4,FALSE))</f>
        <v/>
      </c>
      <c r="S41" s="370" t="str">
        <f t="shared" si="2"/>
        <v/>
      </c>
      <c r="T41" s="401" t="str">
        <f t="shared" si="3"/>
        <v/>
      </c>
      <c r="U41" s="363" t="str">
        <f>IF(C41="","",VLOOKUP(T41,'G-3 Multipliers'!$P$2:$Q$6,2,FALSE))</f>
        <v/>
      </c>
      <c r="V41" s="115"/>
      <c r="W41" s="363" t="str">
        <f>IF(V41="","",IF(VLOOKUP(V41,'G-7 WaterC'' Data'!$AA$4:$AB$7,2,FALSE)=0,"Spatial Data Missing ⚠",VLOOKUP(V41,'G-7 WaterC'' Data'!$AA$4:$AB$7,2,FALSE)))</f>
        <v/>
      </c>
      <c r="X41" s="60"/>
      <c r="Y41" s="363" t="str">
        <f>IF(X41="","",IF(VLOOKUP(X41,'G-7 WaterC'' Data'!$AD$4:$AE$14,2,FALSE)=0,"Enrcoachment Data Missing ⚠",VLOOKUP(X41,'G-7 WaterC'' Data'!$AD$4:$AE$14,2,FALSE)))</f>
        <v/>
      </c>
      <c r="Z41" s="423" t="str">
        <f t="shared" si="4"/>
        <v/>
      </c>
      <c r="AA41" s="117"/>
      <c r="AB41" s="118"/>
      <c r="AC41" s="120"/>
      <c r="AH41" s="30" t="str">
        <f>IFERROR(INDEX('G-7 WaterC'' Data'!$AZ$3:$AZ$7,MATCH(C41,'G-7 WaterC'' Data'!$AY$3:$AY$7,0)),"")</f>
        <v/>
      </c>
    </row>
    <row r="42" spans="2:34" ht="15">
      <c r="B42" s="110">
        <v>31</v>
      </c>
      <c r="C42" s="138"/>
      <c r="D42" s="139"/>
      <c r="E42" s="362" t="str">
        <f>IF(C42="","",VLOOKUP(C42,'G-7 WaterC'' Data'!$B$2:$G$8,2,FALSE))</f>
        <v/>
      </c>
      <c r="F42" s="363" t="str">
        <f>IFERROR(VLOOKUP(E42,'G-7 WaterC'' Data'!$C$4:$D$8,2,FALSE),"")</f>
        <v/>
      </c>
      <c r="G42" s="114"/>
      <c r="H42" s="363" t="str">
        <f>IFERROR(INDEX('G-7 WaterC'' Data'!$H$4:$L$8,MATCH(C42,'G-7 WaterC'' Data'!$B$4:$B$8,0),MATCH(G42,'G-7 WaterC'' Data'!$H$3:$L$3,0)),"")</f>
        <v/>
      </c>
      <c r="I42" s="54"/>
      <c r="J42" s="370" t="str">
        <f>IF(I42="","",IF(VLOOKUP(I42,'G-7 WaterC'' Data'!$AK$4:$AM$6,2,FALSE)=0,"Spatial Data Missing ⚠",VLOOKUP(I42,'G-7 WaterC'' Data'!$AK$4:$AM$6,2,FALSE)))</f>
        <v/>
      </c>
      <c r="K42" s="363" t="str">
        <f>IF(I42="","",IF(VLOOKUP(I42,'G-7 WaterC'' Data'!$AK$4:$AM$6,3,FALSE)=0,"Spatial Data Missing ⚠",VLOOKUP(I42,'G-7 WaterC'' Data'!$AK$4:$AM$6,3,FALSE)))</f>
        <v/>
      </c>
      <c r="L42" s="362" t="str">
        <f>IFERROR(INDEX('G-7 WaterC'' Data'!$O$3:$O$7,MATCH(G42,'G-7 WaterC'' Data'!$N$3:$N$7,0)),"")</f>
        <v/>
      </c>
      <c r="M42" s="63"/>
      <c r="N42" s="159"/>
      <c r="O42" s="370" t="str">
        <f t="shared" si="0"/>
        <v/>
      </c>
      <c r="P42" s="383" t="str">
        <f t="shared" si="1"/>
        <v/>
      </c>
      <c r="Q42" s="422" t="str">
        <f>IFERROR(IF(P42="Check Data ⚠","Check Data ⚠",VLOOKUP(P42,'G-4 Temporal multipliers'!$A$4:$C$37,3,FALSE)),"")</f>
        <v/>
      </c>
      <c r="R42" s="362" t="str">
        <f>IF(C42="","",VLOOKUP(C42,'G-7 WaterC'' Data'!$B$4:$G$8,4,FALSE))</f>
        <v/>
      </c>
      <c r="S42" s="370" t="str">
        <f t="shared" si="2"/>
        <v/>
      </c>
      <c r="T42" s="401" t="str">
        <f t="shared" si="3"/>
        <v/>
      </c>
      <c r="U42" s="363" t="str">
        <f>IF(C42="","",VLOOKUP(T42,'G-3 Multipliers'!$P$2:$Q$6,2,FALSE))</f>
        <v/>
      </c>
      <c r="V42" s="115"/>
      <c r="W42" s="363" t="str">
        <f>IF(V42="","",IF(VLOOKUP(V42,'G-7 WaterC'' Data'!$AA$4:$AB$7,2,FALSE)=0,"Spatial Data Missing ⚠",VLOOKUP(V42,'G-7 WaterC'' Data'!$AA$4:$AB$7,2,FALSE)))</f>
        <v/>
      </c>
      <c r="X42" s="60"/>
      <c r="Y42" s="363" t="str">
        <f>IF(X42="","",IF(VLOOKUP(X42,'G-7 WaterC'' Data'!$AD$4:$AE$14,2,FALSE)=0,"Enrcoachment Data Missing ⚠",VLOOKUP(X42,'G-7 WaterC'' Data'!$AD$4:$AE$14,2,FALSE)))</f>
        <v/>
      </c>
      <c r="Z42" s="423" t="str">
        <f t="shared" si="4"/>
        <v/>
      </c>
      <c r="AA42" s="117"/>
      <c r="AB42" s="118"/>
      <c r="AC42" s="120"/>
      <c r="AH42" s="30" t="str">
        <f>IFERROR(INDEX('G-7 WaterC'' Data'!$AZ$3:$AZ$7,MATCH(C42,'G-7 WaterC'' Data'!$AY$3:$AY$7,0)),"")</f>
        <v/>
      </c>
    </row>
    <row r="43" spans="2:34" ht="15">
      <c r="B43" s="110">
        <v>32</v>
      </c>
      <c r="C43" s="138"/>
      <c r="D43" s="139"/>
      <c r="E43" s="362" t="str">
        <f>IF(C43="","",VLOOKUP(C43,'G-7 WaterC'' Data'!$B$2:$G$8,2,FALSE))</f>
        <v/>
      </c>
      <c r="F43" s="363" t="str">
        <f>IFERROR(VLOOKUP(E43,'G-7 WaterC'' Data'!$C$4:$D$8,2,FALSE),"")</f>
        <v/>
      </c>
      <c r="G43" s="114"/>
      <c r="H43" s="363" t="str">
        <f>IFERROR(INDEX('G-7 WaterC'' Data'!$H$4:$L$8,MATCH(C43,'G-7 WaterC'' Data'!$B$4:$B$8,0),MATCH(G43,'G-7 WaterC'' Data'!$H$3:$L$3,0)),"")</f>
        <v/>
      </c>
      <c r="I43" s="54"/>
      <c r="J43" s="370" t="str">
        <f>IF(I43="","",IF(VLOOKUP(I43,'G-7 WaterC'' Data'!$AK$4:$AM$6,2,FALSE)=0,"Spatial Data Missing ⚠",VLOOKUP(I43,'G-7 WaterC'' Data'!$AK$4:$AM$6,2,FALSE)))</f>
        <v/>
      </c>
      <c r="K43" s="363" t="str">
        <f>IF(I43="","",IF(VLOOKUP(I43,'G-7 WaterC'' Data'!$AK$4:$AM$6,3,FALSE)=0,"Spatial Data Missing ⚠",VLOOKUP(I43,'G-7 WaterC'' Data'!$AK$4:$AM$6,3,FALSE)))</f>
        <v/>
      </c>
      <c r="L43" s="362" t="str">
        <f>IFERROR(INDEX('G-7 WaterC'' Data'!$O$3:$O$7,MATCH(G43,'G-7 WaterC'' Data'!$N$3:$N$7,0)),"")</f>
        <v/>
      </c>
      <c r="M43" s="63"/>
      <c r="N43" s="159"/>
      <c r="O43" s="370" t="str">
        <f t="shared" si="0"/>
        <v/>
      </c>
      <c r="P43" s="383" t="str">
        <f t="shared" si="1"/>
        <v/>
      </c>
      <c r="Q43" s="422" t="str">
        <f>IFERROR(IF(P43="Check Data ⚠","Check Data ⚠",VLOOKUP(P43,'G-4 Temporal multipliers'!$A$4:$C$37,3,FALSE)),"")</f>
        <v/>
      </c>
      <c r="R43" s="362" t="str">
        <f>IF(C43="","",VLOOKUP(C43,'G-7 WaterC'' Data'!$B$4:$G$8,4,FALSE))</f>
        <v/>
      </c>
      <c r="S43" s="370" t="str">
        <f t="shared" si="2"/>
        <v/>
      </c>
      <c r="T43" s="401" t="str">
        <f t="shared" si="3"/>
        <v/>
      </c>
      <c r="U43" s="363" t="str">
        <f>IF(C43="","",VLOOKUP(T43,'G-3 Multipliers'!$P$2:$Q$6,2,FALSE))</f>
        <v/>
      </c>
      <c r="V43" s="115"/>
      <c r="W43" s="363" t="str">
        <f>IF(V43="","",IF(VLOOKUP(V43,'G-7 WaterC'' Data'!$AA$4:$AB$7,2,FALSE)=0,"Spatial Data Missing ⚠",VLOOKUP(V43,'G-7 WaterC'' Data'!$AA$4:$AB$7,2,FALSE)))</f>
        <v/>
      </c>
      <c r="X43" s="60"/>
      <c r="Y43" s="363" t="str">
        <f>IF(X43="","",IF(VLOOKUP(X43,'G-7 WaterC'' Data'!$AD$4:$AE$14,2,FALSE)=0,"Enrcoachment Data Missing ⚠",VLOOKUP(X43,'G-7 WaterC'' Data'!$AD$4:$AE$14,2,FALSE)))</f>
        <v/>
      </c>
      <c r="Z43" s="423" t="str">
        <f t="shared" si="4"/>
        <v/>
      </c>
      <c r="AA43" s="117"/>
      <c r="AB43" s="118"/>
      <c r="AC43" s="120"/>
      <c r="AH43" s="30" t="str">
        <f>IFERROR(INDEX('G-7 WaterC'' Data'!$AZ$3:$AZ$7,MATCH(C43,'G-7 WaterC'' Data'!$AY$3:$AY$7,0)),"")</f>
        <v/>
      </c>
    </row>
    <row r="44" spans="2:34" ht="15">
      <c r="B44" s="110">
        <v>33</v>
      </c>
      <c r="C44" s="138"/>
      <c r="D44" s="139"/>
      <c r="E44" s="362" t="str">
        <f>IF(C44="","",VLOOKUP(C44,'G-7 WaterC'' Data'!$B$2:$G$8,2,FALSE))</f>
        <v/>
      </c>
      <c r="F44" s="363" t="str">
        <f>IFERROR(VLOOKUP(E44,'G-7 WaterC'' Data'!$C$4:$D$8,2,FALSE),"")</f>
        <v/>
      </c>
      <c r="G44" s="114"/>
      <c r="H44" s="363" t="str">
        <f>IFERROR(INDEX('G-7 WaterC'' Data'!$H$4:$L$8,MATCH(C44,'G-7 WaterC'' Data'!$B$4:$B$8,0),MATCH(G44,'G-7 WaterC'' Data'!$H$3:$L$3,0)),"")</f>
        <v/>
      </c>
      <c r="I44" s="54"/>
      <c r="J44" s="370" t="str">
        <f>IF(I44="","",IF(VLOOKUP(I44,'G-7 WaterC'' Data'!$AK$4:$AM$6,2,FALSE)=0,"Spatial Data Missing ⚠",VLOOKUP(I44,'G-7 WaterC'' Data'!$AK$4:$AM$6,2,FALSE)))</f>
        <v/>
      </c>
      <c r="K44" s="363" t="str">
        <f>IF(I44="","",IF(VLOOKUP(I44,'G-7 WaterC'' Data'!$AK$4:$AM$6,3,FALSE)=0,"Spatial Data Missing ⚠",VLOOKUP(I44,'G-7 WaterC'' Data'!$AK$4:$AM$6,3,FALSE)))</f>
        <v/>
      </c>
      <c r="L44" s="362" t="str">
        <f>IFERROR(INDEX('G-7 WaterC'' Data'!$O$3:$O$7,MATCH(G44,'G-7 WaterC'' Data'!$N$3:$N$7,0)),"")</f>
        <v/>
      </c>
      <c r="M44" s="63"/>
      <c r="N44" s="159"/>
      <c r="O44" s="370" t="str">
        <f t="shared" si="0"/>
        <v/>
      </c>
      <c r="P44" s="383" t="str">
        <f t="shared" si="1"/>
        <v/>
      </c>
      <c r="Q44" s="422" t="str">
        <f>IFERROR(IF(P44="Check Data ⚠","Check Data ⚠",VLOOKUP(P44,'G-4 Temporal multipliers'!$A$4:$C$37,3,FALSE)),"")</f>
        <v/>
      </c>
      <c r="R44" s="362" t="str">
        <f>IF(C44="","",VLOOKUP(C44,'G-7 WaterC'' Data'!$B$4:$G$8,4,FALSE))</f>
        <v/>
      </c>
      <c r="S44" s="370" t="str">
        <f t="shared" si="2"/>
        <v/>
      </c>
      <c r="T44" s="401" t="str">
        <f t="shared" si="3"/>
        <v/>
      </c>
      <c r="U44" s="363" t="str">
        <f>IF(C44="","",VLOOKUP(T44,'G-3 Multipliers'!$P$2:$Q$6,2,FALSE))</f>
        <v/>
      </c>
      <c r="V44" s="115"/>
      <c r="W44" s="363" t="str">
        <f>IF(V44="","",IF(VLOOKUP(V44,'G-7 WaterC'' Data'!$AA$4:$AB$7,2,FALSE)=0,"Spatial Data Missing ⚠",VLOOKUP(V44,'G-7 WaterC'' Data'!$AA$4:$AB$7,2,FALSE)))</f>
        <v/>
      </c>
      <c r="X44" s="60"/>
      <c r="Y44" s="363" t="str">
        <f>IF(X44="","",IF(VLOOKUP(X44,'G-7 WaterC'' Data'!$AD$4:$AE$14,2,FALSE)=0,"Enrcoachment Data Missing ⚠",VLOOKUP(X44,'G-7 WaterC'' Data'!$AD$4:$AE$14,2,FALSE)))</f>
        <v/>
      </c>
      <c r="Z44" s="423" t="str">
        <f t="shared" si="4"/>
        <v/>
      </c>
      <c r="AA44" s="117"/>
      <c r="AB44" s="118"/>
      <c r="AC44" s="120"/>
      <c r="AH44" s="30" t="str">
        <f>IFERROR(INDEX('G-7 WaterC'' Data'!$AZ$3:$AZ$7,MATCH(C44,'G-7 WaterC'' Data'!$AY$3:$AY$7,0)),"")</f>
        <v/>
      </c>
    </row>
    <row r="45" spans="2:34" ht="15">
      <c r="B45" s="110">
        <v>34</v>
      </c>
      <c r="C45" s="138"/>
      <c r="D45" s="139"/>
      <c r="E45" s="362" t="str">
        <f>IF(C45="","",VLOOKUP(C45,'G-7 WaterC'' Data'!$B$2:$G$8,2,FALSE))</f>
        <v/>
      </c>
      <c r="F45" s="363" t="str">
        <f>IFERROR(VLOOKUP(E45,'G-7 WaterC'' Data'!$C$4:$D$8,2,FALSE),"")</f>
        <v/>
      </c>
      <c r="G45" s="114"/>
      <c r="H45" s="363" t="str">
        <f>IFERROR(INDEX('G-7 WaterC'' Data'!$H$4:$L$8,MATCH(C45,'G-7 WaterC'' Data'!$B$4:$B$8,0),MATCH(G45,'G-7 WaterC'' Data'!$H$3:$L$3,0)),"")</f>
        <v/>
      </c>
      <c r="I45" s="54"/>
      <c r="J45" s="370" t="str">
        <f>IF(I45="","",IF(VLOOKUP(I45,'G-7 WaterC'' Data'!$AK$4:$AM$6,2,FALSE)=0,"Spatial Data Missing ⚠",VLOOKUP(I45,'G-7 WaterC'' Data'!$AK$4:$AM$6,2,FALSE)))</f>
        <v/>
      </c>
      <c r="K45" s="363" t="str">
        <f>IF(I45="","",IF(VLOOKUP(I45,'G-7 WaterC'' Data'!$AK$4:$AM$6,3,FALSE)=0,"Spatial Data Missing ⚠",VLOOKUP(I45,'G-7 WaterC'' Data'!$AK$4:$AM$6,3,FALSE)))</f>
        <v/>
      </c>
      <c r="L45" s="362" t="str">
        <f>IFERROR(INDEX('G-7 WaterC'' Data'!$O$3:$O$7,MATCH(G45,'G-7 WaterC'' Data'!$N$3:$N$7,0)),"")</f>
        <v/>
      </c>
      <c r="M45" s="63"/>
      <c r="N45" s="159"/>
      <c r="O45" s="370" t="str">
        <f t="shared" si="0"/>
        <v/>
      </c>
      <c r="P45" s="383" t="str">
        <f t="shared" si="1"/>
        <v/>
      </c>
      <c r="Q45" s="422" t="str">
        <f>IFERROR(IF(P45="Check Data ⚠","Check Data ⚠",VLOOKUP(P45,'G-4 Temporal multipliers'!$A$4:$C$37,3,FALSE)),"")</f>
        <v/>
      </c>
      <c r="R45" s="362" t="str">
        <f>IF(C45="","",VLOOKUP(C45,'G-7 WaterC'' Data'!$B$4:$G$8,4,FALSE))</f>
        <v/>
      </c>
      <c r="S45" s="370" t="str">
        <f t="shared" si="2"/>
        <v/>
      </c>
      <c r="T45" s="401" t="str">
        <f t="shared" si="3"/>
        <v/>
      </c>
      <c r="U45" s="363" t="str">
        <f>IF(C45="","",VLOOKUP(T45,'G-3 Multipliers'!$P$2:$Q$6,2,FALSE))</f>
        <v/>
      </c>
      <c r="V45" s="115"/>
      <c r="W45" s="363" t="str">
        <f>IF(V45="","",IF(VLOOKUP(V45,'G-7 WaterC'' Data'!$AA$4:$AB$7,2,FALSE)=0,"Spatial Data Missing ⚠",VLOOKUP(V45,'G-7 WaterC'' Data'!$AA$4:$AB$7,2,FALSE)))</f>
        <v/>
      </c>
      <c r="X45" s="60"/>
      <c r="Y45" s="363" t="str">
        <f>IF(X45="","",IF(VLOOKUP(X45,'G-7 WaterC'' Data'!$AD$4:$AE$14,2,FALSE)=0,"Enrcoachment Data Missing ⚠",VLOOKUP(X45,'G-7 WaterC'' Data'!$AD$4:$AE$14,2,FALSE)))</f>
        <v/>
      </c>
      <c r="Z45" s="423" t="str">
        <f t="shared" si="4"/>
        <v/>
      </c>
      <c r="AA45" s="117"/>
      <c r="AB45" s="118"/>
      <c r="AC45" s="120"/>
      <c r="AH45" s="30" t="str">
        <f>IFERROR(INDEX('G-7 WaterC'' Data'!$AZ$3:$AZ$7,MATCH(C45,'G-7 WaterC'' Data'!$AY$3:$AY$7,0)),"")</f>
        <v/>
      </c>
    </row>
    <row r="46" spans="2:34" ht="15">
      <c r="B46" s="110">
        <v>35</v>
      </c>
      <c r="C46" s="138"/>
      <c r="D46" s="139"/>
      <c r="E46" s="362" t="str">
        <f>IF(C46="","",VLOOKUP(C46,'G-7 WaterC'' Data'!$B$2:$G$8,2,FALSE))</f>
        <v/>
      </c>
      <c r="F46" s="363" t="str">
        <f>IFERROR(VLOOKUP(E46,'G-7 WaterC'' Data'!$C$4:$D$8,2,FALSE),"")</f>
        <v/>
      </c>
      <c r="G46" s="114"/>
      <c r="H46" s="363" t="str">
        <f>IFERROR(INDEX('G-7 WaterC'' Data'!$H$4:$L$8,MATCH(C46,'G-7 WaterC'' Data'!$B$4:$B$8,0),MATCH(G46,'G-7 WaterC'' Data'!$H$3:$L$3,0)),"")</f>
        <v/>
      </c>
      <c r="I46" s="54"/>
      <c r="J46" s="370" t="str">
        <f>IF(I46="","",IF(VLOOKUP(I46,'G-7 WaterC'' Data'!$AK$4:$AM$6,2,FALSE)=0,"Spatial Data Missing ⚠",VLOOKUP(I46,'G-7 WaterC'' Data'!$AK$4:$AM$6,2,FALSE)))</f>
        <v/>
      </c>
      <c r="K46" s="363" t="str">
        <f>IF(I46="","",IF(VLOOKUP(I46,'G-7 WaterC'' Data'!$AK$4:$AM$6,3,FALSE)=0,"Spatial Data Missing ⚠",VLOOKUP(I46,'G-7 WaterC'' Data'!$AK$4:$AM$6,3,FALSE)))</f>
        <v/>
      </c>
      <c r="L46" s="362" t="str">
        <f>IFERROR(INDEX('G-7 WaterC'' Data'!$O$3:$O$7,MATCH(G46,'G-7 WaterC'' Data'!$N$3:$N$7,0)),"")</f>
        <v/>
      </c>
      <c r="M46" s="63"/>
      <c r="N46" s="159"/>
      <c r="O46" s="370" t="str">
        <f t="shared" si="0"/>
        <v/>
      </c>
      <c r="P46" s="383" t="str">
        <f t="shared" si="1"/>
        <v/>
      </c>
      <c r="Q46" s="422" t="str">
        <f>IFERROR(IF(P46="Check Data ⚠","Check Data ⚠",VLOOKUP(P46,'G-4 Temporal multipliers'!$A$4:$C$37,3,FALSE)),"")</f>
        <v/>
      </c>
      <c r="R46" s="362" t="str">
        <f>IF(C46="","",VLOOKUP(C46,'G-7 WaterC'' Data'!$B$4:$G$8,4,FALSE))</f>
        <v/>
      </c>
      <c r="S46" s="370" t="str">
        <f t="shared" si="2"/>
        <v/>
      </c>
      <c r="T46" s="401" t="str">
        <f t="shared" si="3"/>
        <v/>
      </c>
      <c r="U46" s="363" t="str">
        <f>IF(C46="","",VLOOKUP(T46,'G-3 Multipliers'!$P$2:$Q$6,2,FALSE))</f>
        <v/>
      </c>
      <c r="V46" s="115"/>
      <c r="W46" s="363" t="str">
        <f>IF(V46="","",IF(VLOOKUP(V46,'G-7 WaterC'' Data'!$AA$4:$AB$7,2,FALSE)=0,"Spatial Data Missing ⚠",VLOOKUP(V46,'G-7 WaterC'' Data'!$AA$4:$AB$7,2,FALSE)))</f>
        <v/>
      </c>
      <c r="X46" s="60"/>
      <c r="Y46" s="363" t="str">
        <f>IF(X46="","",IF(VLOOKUP(X46,'G-7 WaterC'' Data'!$AD$4:$AE$14,2,FALSE)=0,"Enrcoachment Data Missing ⚠",VLOOKUP(X46,'G-7 WaterC'' Data'!$AD$4:$AE$14,2,FALSE)))</f>
        <v/>
      </c>
      <c r="Z46" s="423" t="str">
        <f t="shared" si="4"/>
        <v/>
      </c>
      <c r="AA46" s="117"/>
      <c r="AB46" s="118"/>
      <c r="AC46" s="120"/>
      <c r="AH46" s="30" t="str">
        <f>IFERROR(INDEX('G-7 WaterC'' Data'!$AZ$3:$AZ$7,MATCH(C46,'G-7 WaterC'' Data'!$AY$3:$AY$7,0)),"")</f>
        <v/>
      </c>
    </row>
    <row r="47" spans="2:34" ht="15">
      <c r="B47" s="110">
        <v>36</v>
      </c>
      <c r="C47" s="138"/>
      <c r="D47" s="139"/>
      <c r="E47" s="362" t="str">
        <f>IF(C47="","",VLOOKUP(C47,'G-7 WaterC'' Data'!$B$2:$G$8,2,FALSE))</f>
        <v/>
      </c>
      <c r="F47" s="363" t="str">
        <f>IFERROR(VLOOKUP(E47,'G-7 WaterC'' Data'!$C$4:$D$8,2,FALSE),"")</f>
        <v/>
      </c>
      <c r="G47" s="114"/>
      <c r="H47" s="363" t="str">
        <f>IFERROR(INDEX('G-7 WaterC'' Data'!$H$4:$L$8,MATCH(C47,'G-7 WaterC'' Data'!$B$4:$B$8,0),MATCH(G47,'G-7 WaterC'' Data'!$H$3:$L$3,0)),"")</f>
        <v/>
      </c>
      <c r="I47" s="54"/>
      <c r="J47" s="370" t="str">
        <f>IF(I47="","",IF(VLOOKUP(I47,'G-7 WaterC'' Data'!$AK$4:$AM$6,2,FALSE)=0,"Spatial Data Missing ⚠",VLOOKUP(I47,'G-7 WaterC'' Data'!$AK$4:$AM$6,2,FALSE)))</f>
        <v/>
      </c>
      <c r="K47" s="363" t="str">
        <f>IF(I47="","",IF(VLOOKUP(I47,'G-7 WaterC'' Data'!$AK$4:$AM$6,3,FALSE)=0,"Spatial Data Missing ⚠",VLOOKUP(I47,'G-7 WaterC'' Data'!$AK$4:$AM$6,3,FALSE)))</f>
        <v/>
      </c>
      <c r="L47" s="362" t="str">
        <f>IFERROR(INDEX('G-7 WaterC'' Data'!$O$3:$O$7,MATCH(G47,'G-7 WaterC'' Data'!$N$3:$N$7,0)),"")</f>
        <v/>
      </c>
      <c r="M47" s="63"/>
      <c r="N47" s="159"/>
      <c r="O47" s="370" t="str">
        <f t="shared" si="0"/>
        <v/>
      </c>
      <c r="P47" s="383" t="str">
        <f t="shared" si="1"/>
        <v/>
      </c>
      <c r="Q47" s="422" t="str">
        <f>IFERROR(IF(P47="Check Data ⚠","Check Data ⚠",VLOOKUP(P47,'G-4 Temporal multipliers'!$A$4:$C$37,3,FALSE)),"")</f>
        <v/>
      </c>
      <c r="R47" s="362" t="str">
        <f>IF(C47="","",VLOOKUP(C47,'G-7 WaterC'' Data'!$B$4:$G$8,4,FALSE))</f>
        <v/>
      </c>
      <c r="S47" s="370" t="str">
        <f t="shared" si="2"/>
        <v/>
      </c>
      <c r="T47" s="401" t="str">
        <f t="shared" si="3"/>
        <v/>
      </c>
      <c r="U47" s="363" t="str">
        <f>IF(C47="","",VLOOKUP(T47,'G-3 Multipliers'!$P$2:$Q$6,2,FALSE))</f>
        <v/>
      </c>
      <c r="V47" s="115"/>
      <c r="W47" s="363" t="str">
        <f>IF(V47="","",IF(VLOOKUP(V47,'G-7 WaterC'' Data'!$AA$4:$AB$7,2,FALSE)=0,"Spatial Data Missing ⚠",VLOOKUP(V47,'G-7 WaterC'' Data'!$AA$4:$AB$7,2,FALSE)))</f>
        <v/>
      </c>
      <c r="X47" s="60"/>
      <c r="Y47" s="363" t="str">
        <f>IF(X47="","",IF(VLOOKUP(X47,'G-7 WaterC'' Data'!$AD$4:$AE$14,2,FALSE)=0,"Enrcoachment Data Missing ⚠",VLOOKUP(X47,'G-7 WaterC'' Data'!$AD$4:$AE$14,2,FALSE)))</f>
        <v/>
      </c>
      <c r="Z47" s="423" t="str">
        <f t="shared" si="4"/>
        <v/>
      </c>
      <c r="AA47" s="117"/>
      <c r="AB47" s="118"/>
      <c r="AC47" s="120"/>
      <c r="AH47" s="30" t="str">
        <f>IFERROR(INDEX('G-7 WaterC'' Data'!$AZ$3:$AZ$7,MATCH(C47,'G-7 WaterC'' Data'!$AY$3:$AY$7,0)),"")</f>
        <v/>
      </c>
    </row>
    <row r="48" spans="2:34" ht="15">
      <c r="B48" s="110">
        <v>37</v>
      </c>
      <c r="C48" s="138"/>
      <c r="D48" s="139"/>
      <c r="E48" s="362" t="str">
        <f>IF(C48="","",VLOOKUP(C48,'G-7 WaterC'' Data'!$B$2:$G$8,2,FALSE))</f>
        <v/>
      </c>
      <c r="F48" s="363" t="str">
        <f>IFERROR(VLOOKUP(E48,'G-7 WaterC'' Data'!$C$4:$D$8,2,FALSE),"")</f>
        <v/>
      </c>
      <c r="G48" s="114"/>
      <c r="H48" s="363" t="str">
        <f>IFERROR(INDEX('G-7 WaterC'' Data'!$H$4:$L$8,MATCH(C48,'G-7 WaterC'' Data'!$B$4:$B$8,0),MATCH(G48,'G-7 WaterC'' Data'!$H$3:$L$3,0)),"")</f>
        <v/>
      </c>
      <c r="I48" s="54"/>
      <c r="J48" s="370" t="str">
        <f>IF(I48="","",IF(VLOOKUP(I48,'G-7 WaterC'' Data'!$AK$4:$AM$6,2,FALSE)=0,"Spatial Data Missing ⚠",VLOOKUP(I48,'G-7 WaterC'' Data'!$AK$4:$AM$6,2,FALSE)))</f>
        <v/>
      </c>
      <c r="K48" s="363" t="str">
        <f>IF(I48="","",IF(VLOOKUP(I48,'G-7 WaterC'' Data'!$AK$4:$AM$6,3,FALSE)=0,"Spatial Data Missing ⚠",VLOOKUP(I48,'G-7 WaterC'' Data'!$AK$4:$AM$6,3,FALSE)))</f>
        <v/>
      </c>
      <c r="L48" s="362" t="str">
        <f>IFERROR(INDEX('G-7 WaterC'' Data'!$O$3:$O$7,MATCH(G48,'G-7 WaterC'' Data'!$N$3:$N$7,0)),"")</f>
        <v/>
      </c>
      <c r="M48" s="63"/>
      <c r="N48" s="159"/>
      <c r="O48" s="370" t="str">
        <f t="shared" si="0"/>
        <v/>
      </c>
      <c r="P48" s="383" t="str">
        <f t="shared" si="1"/>
        <v/>
      </c>
      <c r="Q48" s="422" t="str">
        <f>IFERROR(IF(P48="Check Data ⚠","Check Data ⚠",VLOOKUP(P48,'G-4 Temporal multipliers'!$A$4:$C$37,3,FALSE)),"")</f>
        <v/>
      </c>
      <c r="R48" s="362" t="str">
        <f>IF(C48="","",VLOOKUP(C48,'G-7 WaterC'' Data'!$B$4:$G$8,4,FALSE))</f>
        <v/>
      </c>
      <c r="S48" s="370" t="str">
        <f t="shared" si="2"/>
        <v/>
      </c>
      <c r="T48" s="401" t="str">
        <f t="shared" si="3"/>
        <v/>
      </c>
      <c r="U48" s="363" t="str">
        <f>IF(C48="","",VLOOKUP(T48,'G-3 Multipliers'!$P$2:$Q$6,2,FALSE))</f>
        <v/>
      </c>
      <c r="V48" s="115"/>
      <c r="W48" s="363" t="str">
        <f>IF(V48="","",IF(VLOOKUP(V48,'G-7 WaterC'' Data'!$AA$4:$AB$7,2,FALSE)=0,"Spatial Data Missing ⚠",VLOOKUP(V48,'G-7 WaterC'' Data'!$AA$4:$AB$7,2,FALSE)))</f>
        <v/>
      </c>
      <c r="X48" s="60"/>
      <c r="Y48" s="363" t="str">
        <f>IF(X48="","",IF(VLOOKUP(X48,'G-7 WaterC'' Data'!$AD$4:$AE$14,2,FALSE)=0,"Enrcoachment Data Missing ⚠",VLOOKUP(X48,'G-7 WaterC'' Data'!$AD$4:$AE$14,2,FALSE)))</f>
        <v/>
      </c>
      <c r="Z48" s="423" t="str">
        <f t="shared" si="4"/>
        <v/>
      </c>
      <c r="AA48" s="117"/>
      <c r="AB48" s="118"/>
      <c r="AC48" s="120"/>
      <c r="AH48" s="30" t="str">
        <f>IFERROR(INDEX('G-7 WaterC'' Data'!$AZ$3:$AZ$7,MATCH(C48,'G-7 WaterC'' Data'!$AY$3:$AY$7,0)),"")</f>
        <v/>
      </c>
    </row>
    <row r="49" spans="2:34" ht="15">
      <c r="B49" s="110">
        <v>38</v>
      </c>
      <c r="C49" s="138"/>
      <c r="D49" s="139"/>
      <c r="E49" s="362" t="str">
        <f>IF(C49="","",VLOOKUP(C49,'G-7 WaterC'' Data'!$B$2:$G$8,2,FALSE))</f>
        <v/>
      </c>
      <c r="F49" s="363" t="str">
        <f>IFERROR(VLOOKUP(E49,'G-7 WaterC'' Data'!$C$4:$D$8,2,FALSE),"")</f>
        <v/>
      </c>
      <c r="G49" s="114"/>
      <c r="H49" s="363" t="str">
        <f>IFERROR(INDEX('G-7 WaterC'' Data'!$H$4:$L$8,MATCH(C49,'G-7 WaterC'' Data'!$B$4:$B$8,0),MATCH(G49,'G-7 WaterC'' Data'!$H$3:$L$3,0)),"")</f>
        <v/>
      </c>
      <c r="I49" s="54"/>
      <c r="J49" s="370" t="str">
        <f>IF(I49="","",IF(VLOOKUP(I49,'G-7 WaterC'' Data'!$AK$4:$AM$6,2,FALSE)=0,"Spatial Data Missing ⚠",VLOOKUP(I49,'G-7 WaterC'' Data'!$AK$4:$AM$6,2,FALSE)))</f>
        <v/>
      </c>
      <c r="K49" s="363" t="str">
        <f>IF(I49="","",IF(VLOOKUP(I49,'G-7 WaterC'' Data'!$AK$4:$AM$6,3,FALSE)=0,"Spatial Data Missing ⚠",VLOOKUP(I49,'G-7 WaterC'' Data'!$AK$4:$AM$6,3,FALSE)))</f>
        <v/>
      </c>
      <c r="L49" s="362" t="str">
        <f>IFERROR(INDEX('G-7 WaterC'' Data'!$O$3:$O$7,MATCH(G49,'G-7 WaterC'' Data'!$N$3:$N$7,0)),"")</f>
        <v/>
      </c>
      <c r="M49" s="63"/>
      <c r="N49" s="159"/>
      <c r="O49" s="370" t="str">
        <f t="shared" si="0"/>
        <v/>
      </c>
      <c r="P49" s="383" t="str">
        <f t="shared" si="1"/>
        <v/>
      </c>
      <c r="Q49" s="422" t="str">
        <f>IFERROR(IF(P49="Check Data ⚠","Check Data ⚠",VLOOKUP(P49,'G-4 Temporal multipliers'!$A$4:$C$37,3,FALSE)),"")</f>
        <v/>
      </c>
      <c r="R49" s="362" t="str">
        <f>IF(C49="","",VLOOKUP(C49,'G-7 WaterC'' Data'!$B$4:$G$8,4,FALSE))</f>
        <v/>
      </c>
      <c r="S49" s="370" t="str">
        <f t="shared" si="2"/>
        <v/>
      </c>
      <c r="T49" s="401" t="str">
        <f t="shared" si="3"/>
        <v/>
      </c>
      <c r="U49" s="363" t="str">
        <f>IF(C49="","",VLOOKUP(T49,'G-3 Multipliers'!$P$2:$Q$6,2,FALSE))</f>
        <v/>
      </c>
      <c r="V49" s="115"/>
      <c r="W49" s="363" t="str">
        <f>IF(V49="","",IF(VLOOKUP(V49,'G-7 WaterC'' Data'!$AA$4:$AB$7,2,FALSE)=0,"Spatial Data Missing ⚠",VLOOKUP(V49,'G-7 WaterC'' Data'!$AA$4:$AB$7,2,FALSE)))</f>
        <v/>
      </c>
      <c r="X49" s="60"/>
      <c r="Y49" s="363" t="str">
        <f>IF(X49="","",IF(VLOOKUP(X49,'G-7 WaterC'' Data'!$AD$4:$AE$14,2,FALSE)=0,"Enrcoachment Data Missing ⚠",VLOOKUP(X49,'G-7 WaterC'' Data'!$AD$4:$AE$14,2,FALSE)))</f>
        <v/>
      </c>
      <c r="Z49" s="423" t="str">
        <f t="shared" si="4"/>
        <v/>
      </c>
      <c r="AA49" s="117"/>
      <c r="AB49" s="118"/>
      <c r="AC49" s="120"/>
      <c r="AH49" s="30" t="str">
        <f>IFERROR(INDEX('G-7 WaterC'' Data'!$AZ$3:$AZ$7,MATCH(C49,'G-7 WaterC'' Data'!$AY$3:$AY$7,0)),"")</f>
        <v/>
      </c>
    </row>
    <row r="50" spans="2:34" ht="15">
      <c r="B50" s="110">
        <v>39</v>
      </c>
      <c r="C50" s="138"/>
      <c r="D50" s="139"/>
      <c r="E50" s="362" t="str">
        <f>IF(C50="","",VLOOKUP(C50,'G-7 WaterC'' Data'!$B$2:$G$8,2,FALSE))</f>
        <v/>
      </c>
      <c r="F50" s="363" t="str">
        <f>IFERROR(VLOOKUP(E50,'G-7 WaterC'' Data'!$C$4:$D$8,2,FALSE),"")</f>
        <v/>
      </c>
      <c r="G50" s="114"/>
      <c r="H50" s="363" t="str">
        <f>IFERROR(INDEX('G-7 WaterC'' Data'!$H$4:$L$8,MATCH(C50,'G-7 WaterC'' Data'!$B$4:$B$8,0),MATCH(G50,'G-7 WaterC'' Data'!$H$3:$L$3,0)),"")</f>
        <v/>
      </c>
      <c r="I50" s="54"/>
      <c r="J50" s="370" t="str">
        <f>IF(I50="","",IF(VLOOKUP(I50,'G-7 WaterC'' Data'!$AK$4:$AM$6,2,FALSE)=0,"Spatial Data Missing ⚠",VLOOKUP(I50,'G-7 WaterC'' Data'!$AK$4:$AM$6,2,FALSE)))</f>
        <v/>
      </c>
      <c r="K50" s="363" t="str">
        <f>IF(I50="","",IF(VLOOKUP(I50,'G-7 WaterC'' Data'!$AK$4:$AM$6,3,FALSE)=0,"Spatial Data Missing ⚠",VLOOKUP(I50,'G-7 WaterC'' Data'!$AK$4:$AM$6,3,FALSE)))</f>
        <v/>
      </c>
      <c r="L50" s="362" t="str">
        <f>IFERROR(INDEX('G-7 WaterC'' Data'!$O$3:$O$7,MATCH(G50,'G-7 WaterC'' Data'!$N$3:$N$7,0)),"")</f>
        <v/>
      </c>
      <c r="M50" s="63"/>
      <c r="N50" s="159"/>
      <c r="O50" s="370" t="str">
        <f t="shared" si="0"/>
        <v/>
      </c>
      <c r="P50" s="383" t="str">
        <f t="shared" si="1"/>
        <v/>
      </c>
      <c r="Q50" s="422" t="str">
        <f>IFERROR(IF(P50="Check Data ⚠","Check Data ⚠",VLOOKUP(P50,'G-4 Temporal multipliers'!$A$4:$C$37,3,FALSE)),"")</f>
        <v/>
      </c>
      <c r="R50" s="362" t="str">
        <f>IF(C50="","",VLOOKUP(C50,'G-7 WaterC'' Data'!$B$4:$G$8,4,FALSE))</f>
        <v/>
      </c>
      <c r="S50" s="370" t="str">
        <f t="shared" si="2"/>
        <v/>
      </c>
      <c r="T50" s="401" t="str">
        <f t="shared" si="3"/>
        <v/>
      </c>
      <c r="U50" s="363" t="str">
        <f>IF(C50="","",VLOOKUP(T50,'G-3 Multipliers'!$P$2:$Q$6,2,FALSE))</f>
        <v/>
      </c>
      <c r="V50" s="115"/>
      <c r="W50" s="363" t="str">
        <f>IF(V50="","",IF(VLOOKUP(V50,'G-7 WaterC'' Data'!$AA$4:$AB$7,2,FALSE)=0,"Spatial Data Missing ⚠",VLOOKUP(V50,'G-7 WaterC'' Data'!$AA$4:$AB$7,2,FALSE)))</f>
        <v/>
      </c>
      <c r="X50" s="60"/>
      <c r="Y50" s="363" t="str">
        <f>IF(X50="","",IF(VLOOKUP(X50,'G-7 WaterC'' Data'!$AD$4:$AE$14,2,FALSE)=0,"Enrcoachment Data Missing ⚠",VLOOKUP(X50,'G-7 WaterC'' Data'!$AD$4:$AE$14,2,FALSE)))</f>
        <v/>
      </c>
      <c r="Z50" s="423" t="str">
        <f t="shared" si="4"/>
        <v/>
      </c>
      <c r="AA50" s="117"/>
      <c r="AB50" s="118"/>
      <c r="AC50" s="120"/>
      <c r="AH50" s="30" t="str">
        <f>IFERROR(INDEX('G-7 WaterC'' Data'!$AZ$3:$AZ$7,MATCH(C50,'G-7 WaterC'' Data'!$AY$3:$AY$7,0)),"")</f>
        <v/>
      </c>
    </row>
    <row r="51" spans="2:34" ht="15">
      <c r="B51" s="110">
        <v>40</v>
      </c>
      <c r="C51" s="138"/>
      <c r="D51" s="139"/>
      <c r="E51" s="362" t="str">
        <f>IF(C51="","",VLOOKUP(C51,'G-7 WaterC'' Data'!$B$2:$G$8,2,FALSE))</f>
        <v/>
      </c>
      <c r="F51" s="363" t="str">
        <f>IFERROR(VLOOKUP(E51,'G-7 WaterC'' Data'!$C$4:$D$8,2,FALSE),"")</f>
        <v/>
      </c>
      <c r="G51" s="114"/>
      <c r="H51" s="363" t="str">
        <f>IFERROR(INDEX('G-7 WaterC'' Data'!$H$4:$L$8,MATCH(C51,'G-7 WaterC'' Data'!$B$4:$B$8,0),MATCH(G51,'G-7 WaterC'' Data'!$H$3:$L$3,0)),"")</f>
        <v/>
      </c>
      <c r="I51" s="54"/>
      <c r="J51" s="370" t="str">
        <f>IF(I51="","",IF(VLOOKUP(I51,'G-7 WaterC'' Data'!$AK$4:$AM$6,2,FALSE)=0,"Spatial Data Missing ⚠",VLOOKUP(I51,'G-7 WaterC'' Data'!$AK$4:$AM$6,2,FALSE)))</f>
        <v/>
      </c>
      <c r="K51" s="363" t="str">
        <f>IF(I51="","",IF(VLOOKUP(I51,'G-7 WaterC'' Data'!$AK$4:$AM$6,3,FALSE)=0,"Spatial Data Missing ⚠",VLOOKUP(I51,'G-7 WaterC'' Data'!$AK$4:$AM$6,3,FALSE)))</f>
        <v/>
      </c>
      <c r="L51" s="362" t="str">
        <f>IFERROR(INDEX('G-7 WaterC'' Data'!$O$3:$O$7,MATCH(G51,'G-7 WaterC'' Data'!$N$3:$N$7,0)),"")</f>
        <v/>
      </c>
      <c r="M51" s="63"/>
      <c r="N51" s="159"/>
      <c r="O51" s="370" t="str">
        <f t="shared" si="0"/>
        <v/>
      </c>
      <c r="P51" s="383" t="str">
        <f t="shared" si="1"/>
        <v/>
      </c>
      <c r="Q51" s="422" t="str">
        <f>IFERROR(IF(P51="Check Data ⚠","Check Data ⚠",VLOOKUP(P51,'G-4 Temporal multipliers'!$A$4:$C$37,3,FALSE)),"")</f>
        <v/>
      </c>
      <c r="R51" s="362" t="str">
        <f>IF(C51="","",VLOOKUP(C51,'G-7 WaterC'' Data'!$B$4:$G$8,4,FALSE))</f>
        <v/>
      </c>
      <c r="S51" s="370" t="str">
        <f t="shared" si="2"/>
        <v/>
      </c>
      <c r="T51" s="401" t="str">
        <f t="shared" si="3"/>
        <v/>
      </c>
      <c r="U51" s="363" t="str">
        <f>IF(C51="","",VLOOKUP(T51,'G-3 Multipliers'!$P$2:$Q$6,2,FALSE))</f>
        <v/>
      </c>
      <c r="V51" s="115"/>
      <c r="W51" s="363" t="str">
        <f>IF(V51="","",IF(VLOOKUP(V51,'G-7 WaterC'' Data'!$AA$4:$AB$7,2,FALSE)=0,"Spatial Data Missing ⚠",VLOOKUP(V51,'G-7 WaterC'' Data'!$AA$4:$AB$7,2,FALSE)))</f>
        <v/>
      </c>
      <c r="X51" s="60"/>
      <c r="Y51" s="363" t="str">
        <f>IF(X51="","",IF(VLOOKUP(X51,'G-7 WaterC'' Data'!$AD$4:$AE$14,2,FALSE)=0,"Enrcoachment Data Missing ⚠",VLOOKUP(X51,'G-7 WaterC'' Data'!$AD$4:$AE$14,2,FALSE)))</f>
        <v/>
      </c>
      <c r="Z51" s="423" t="str">
        <f t="shared" si="4"/>
        <v/>
      </c>
      <c r="AA51" s="117"/>
      <c r="AB51" s="118"/>
      <c r="AC51" s="120"/>
      <c r="AH51" s="30" t="str">
        <f>IFERROR(INDEX('G-7 WaterC'' Data'!$AZ$3:$AZ$7,MATCH(C51,'G-7 WaterC'' Data'!$AY$3:$AY$7,0)),"")</f>
        <v/>
      </c>
    </row>
    <row r="52" spans="2:34" ht="15">
      <c r="B52" s="110">
        <v>41</v>
      </c>
      <c r="C52" s="138"/>
      <c r="D52" s="139"/>
      <c r="E52" s="362" t="str">
        <f>IF(C52="","",VLOOKUP(C52,'G-7 WaterC'' Data'!$B$2:$G$8,2,FALSE))</f>
        <v/>
      </c>
      <c r="F52" s="363" t="str">
        <f>IFERROR(VLOOKUP(E52,'G-7 WaterC'' Data'!$C$4:$D$8,2,FALSE),"")</f>
        <v/>
      </c>
      <c r="G52" s="114"/>
      <c r="H52" s="363" t="str">
        <f>IFERROR(INDEX('G-7 WaterC'' Data'!$H$4:$L$8,MATCH(C52,'G-7 WaterC'' Data'!$B$4:$B$8,0),MATCH(G52,'G-7 WaterC'' Data'!$H$3:$L$3,0)),"")</f>
        <v/>
      </c>
      <c r="I52" s="54"/>
      <c r="J52" s="370" t="str">
        <f>IF(I52="","",IF(VLOOKUP(I52,'G-7 WaterC'' Data'!$AK$4:$AM$6,2,FALSE)=0,"Spatial Data Missing ⚠",VLOOKUP(I52,'G-7 WaterC'' Data'!$AK$4:$AM$6,2,FALSE)))</f>
        <v/>
      </c>
      <c r="K52" s="363" t="str">
        <f>IF(I52="","",IF(VLOOKUP(I52,'G-7 WaterC'' Data'!$AK$4:$AM$6,3,FALSE)=0,"Spatial Data Missing ⚠",VLOOKUP(I52,'G-7 WaterC'' Data'!$AK$4:$AM$6,3,FALSE)))</f>
        <v/>
      </c>
      <c r="L52" s="362" t="str">
        <f>IFERROR(INDEX('G-7 WaterC'' Data'!$O$3:$O$7,MATCH(G52,'G-7 WaterC'' Data'!$N$3:$N$7,0)),"")</f>
        <v/>
      </c>
      <c r="M52" s="63"/>
      <c r="N52" s="159"/>
      <c r="O52" s="370" t="str">
        <f t="shared" si="0"/>
        <v/>
      </c>
      <c r="P52" s="383" t="str">
        <f t="shared" si="1"/>
        <v/>
      </c>
      <c r="Q52" s="422" t="str">
        <f>IFERROR(IF(P52="Check Data ⚠","Check Data ⚠",VLOOKUP(P52,'G-4 Temporal multipliers'!$A$4:$C$37,3,FALSE)),"")</f>
        <v/>
      </c>
      <c r="R52" s="362" t="str">
        <f>IF(C52="","",VLOOKUP(C52,'G-7 WaterC'' Data'!$B$4:$G$8,4,FALSE))</f>
        <v/>
      </c>
      <c r="S52" s="370" t="str">
        <f t="shared" si="2"/>
        <v/>
      </c>
      <c r="T52" s="401" t="str">
        <f t="shared" si="3"/>
        <v/>
      </c>
      <c r="U52" s="363" t="str">
        <f>IF(C52="","",VLOOKUP(T52,'G-3 Multipliers'!$P$2:$Q$6,2,FALSE))</f>
        <v/>
      </c>
      <c r="V52" s="115"/>
      <c r="W52" s="363" t="str">
        <f>IF(V52="","",IF(VLOOKUP(V52,'G-7 WaterC'' Data'!$AA$4:$AB$7,2,FALSE)=0,"Spatial Data Missing ⚠",VLOOKUP(V52,'G-7 WaterC'' Data'!$AA$4:$AB$7,2,FALSE)))</f>
        <v/>
      </c>
      <c r="X52" s="60"/>
      <c r="Y52" s="363" t="str">
        <f>IF(X52="","",IF(VLOOKUP(X52,'G-7 WaterC'' Data'!$AD$4:$AE$14,2,FALSE)=0,"Enrcoachment Data Missing ⚠",VLOOKUP(X52,'G-7 WaterC'' Data'!$AD$4:$AE$14,2,FALSE)))</f>
        <v/>
      </c>
      <c r="Z52" s="423" t="str">
        <f t="shared" si="4"/>
        <v/>
      </c>
      <c r="AA52" s="117"/>
      <c r="AB52" s="118"/>
      <c r="AC52" s="120"/>
      <c r="AH52" s="30" t="str">
        <f>IFERROR(INDEX('G-7 WaterC'' Data'!$AZ$3:$AZ$7,MATCH(C52,'G-7 WaterC'' Data'!$AY$3:$AY$7,0)),"")</f>
        <v/>
      </c>
    </row>
    <row r="53" spans="2:34" ht="15">
      <c r="B53" s="110">
        <v>42</v>
      </c>
      <c r="C53" s="138"/>
      <c r="D53" s="139"/>
      <c r="E53" s="362" t="str">
        <f>IF(C53="","",VLOOKUP(C53,'G-7 WaterC'' Data'!$B$2:$G$8,2,FALSE))</f>
        <v/>
      </c>
      <c r="F53" s="363" t="str">
        <f>IFERROR(VLOOKUP(E53,'G-7 WaterC'' Data'!$C$4:$D$8,2,FALSE),"")</f>
        <v/>
      </c>
      <c r="G53" s="114"/>
      <c r="H53" s="363" t="str">
        <f>IFERROR(INDEX('G-7 WaterC'' Data'!$H$4:$L$8,MATCH(C53,'G-7 WaterC'' Data'!$B$4:$B$8,0),MATCH(G53,'G-7 WaterC'' Data'!$H$3:$L$3,0)),"")</f>
        <v/>
      </c>
      <c r="I53" s="54"/>
      <c r="J53" s="370" t="str">
        <f>IF(I53="","",IF(VLOOKUP(I53,'G-7 WaterC'' Data'!$AK$4:$AM$6,2,FALSE)=0,"Spatial Data Missing ⚠",VLOOKUP(I53,'G-7 WaterC'' Data'!$AK$4:$AM$6,2,FALSE)))</f>
        <v/>
      </c>
      <c r="K53" s="363" t="str">
        <f>IF(I53="","",IF(VLOOKUP(I53,'G-7 WaterC'' Data'!$AK$4:$AM$6,3,FALSE)=0,"Spatial Data Missing ⚠",VLOOKUP(I53,'G-7 WaterC'' Data'!$AK$4:$AM$6,3,FALSE)))</f>
        <v/>
      </c>
      <c r="L53" s="362" t="str">
        <f>IFERROR(INDEX('G-7 WaterC'' Data'!$O$3:$O$7,MATCH(G53,'G-7 WaterC'' Data'!$N$3:$N$7,0)),"")</f>
        <v/>
      </c>
      <c r="M53" s="63"/>
      <c r="N53" s="159"/>
      <c r="O53" s="370" t="str">
        <f t="shared" si="0"/>
        <v/>
      </c>
      <c r="P53" s="383" t="str">
        <f t="shared" si="1"/>
        <v/>
      </c>
      <c r="Q53" s="422" t="str">
        <f>IFERROR(IF(P53="Check Data ⚠","Check Data ⚠",VLOOKUP(P53,'G-4 Temporal multipliers'!$A$4:$C$37,3,FALSE)),"")</f>
        <v/>
      </c>
      <c r="R53" s="362" t="str">
        <f>IF(C53="","",VLOOKUP(C53,'G-7 WaterC'' Data'!$B$4:$G$8,4,FALSE))</f>
        <v/>
      </c>
      <c r="S53" s="370" t="str">
        <f t="shared" si="2"/>
        <v/>
      </c>
      <c r="T53" s="401" t="str">
        <f t="shared" si="3"/>
        <v/>
      </c>
      <c r="U53" s="363" t="str">
        <f>IF(C53="","",VLOOKUP(T53,'G-3 Multipliers'!$P$2:$Q$6,2,FALSE))</f>
        <v/>
      </c>
      <c r="V53" s="115"/>
      <c r="W53" s="363" t="str">
        <f>IF(V53="","",IF(VLOOKUP(V53,'G-7 WaterC'' Data'!$AA$4:$AB$7,2,FALSE)=0,"Spatial Data Missing ⚠",VLOOKUP(V53,'G-7 WaterC'' Data'!$AA$4:$AB$7,2,FALSE)))</f>
        <v/>
      </c>
      <c r="X53" s="60"/>
      <c r="Y53" s="363" t="str">
        <f>IF(X53="","",IF(VLOOKUP(X53,'G-7 WaterC'' Data'!$AD$4:$AE$14,2,FALSE)=0,"Enrcoachment Data Missing ⚠",VLOOKUP(X53,'G-7 WaterC'' Data'!$AD$4:$AE$14,2,FALSE)))</f>
        <v/>
      </c>
      <c r="Z53" s="423" t="str">
        <f t="shared" si="4"/>
        <v/>
      </c>
      <c r="AA53" s="117"/>
      <c r="AB53" s="118"/>
      <c r="AC53" s="120"/>
      <c r="AH53" s="30" t="str">
        <f>IFERROR(INDEX('G-7 WaterC'' Data'!$AZ$3:$AZ$7,MATCH(C53,'G-7 WaterC'' Data'!$AY$3:$AY$7,0)),"")</f>
        <v/>
      </c>
    </row>
    <row r="54" spans="2:34" ht="15">
      <c r="B54" s="110">
        <v>43</v>
      </c>
      <c r="C54" s="138"/>
      <c r="D54" s="139"/>
      <c r="E54" s="362" t="str">
        <f>IF(C54="","",VLOOKUP(C54,'G-7 WaterC'' Data'!$B$2:$G$8,2,FALSE))</f>
        <v/>
      </c>
      <c r="F54" s="363" t="str">
        <f>IFERROR(VLOOKUP(E54,'G-7 WaterC'' Data'!$C$4:$D$8,2,FALSE),"")</f>
        <v/>
      </c>
      <c r="G54" s="114"/>
      <c r="H54" s="363" t="str">
        <f>IFERROR(INDEX('G-7 WaterC'' Data'!$H$4:$L$8,MATCH(C54,'G-7 WaterC'' Data'!$B$4:$B$8,0),MATCH(G54,'G-7 WaterC'' Data'!$H$3:$L$3,0)),"")</f>
        <v/>
      </c>
      <c r="I54" s="54"/>
      <c r="J54" s="370" t="str">
        <f>IF(I54="","",IF(VLOOKUP(I54,'G-7 WaterC'' Data'!$AK$4:$AM$6,2,FALSE)=0,"Spatial Data Missing ⚠",VLOOKUP(I54,'G-7 WaterC'' Data'!$AK$4:$AM$6,2,FALSE)))</f>
        <v/>
      </c>
      <c r="K54" s="363" t="str">
        <f>IF(I54="","",IF(VLOOKUP(I54,'G-7 WaterC'' Data'!$AK$4:$AM$6,3,FALSE)=0,"Spatial Data Missing ⚠",VLOOKUP(I54,'G-7 WaterC'' Data'!$AK$4:$AM$6,3,FALSE)))</f>
        <v/>
      </c>
      <c r="L54" s="362" t="str">
        <f>IFERROR(INDEX('G-7 WaterC'' Data'!$O$3:$O$7,MATCH(G54,'G-7 WaterC'' Data'!$N$3:$N$7,0)),"")</f>
        <v/>
      </c>
      <c r="M54" s="63"/>
      <c r="N54" s="159"/>
      <c r="O54" s="370" t="str">
        <f t="shared" si="0"/>
        <v/>
      </c>
      <c r="P54" s="383" t="str">
        <f t="shared" si="1"/>
        <v/>
      </c>
      <c r="Q54" s="422" t="str">
        <f>IFERROR(IF(P54="Check Data ⚠","Check Data ⚠",VLOOKUP(P54,'G-4 Temporal multipliers'!$A$4:$C$37,3,FALSE)),"")</f>
        <v/>
      </c>
      <c r="R54" s="362" t="str">
        <f>IF(C54="","",VLOOKUP(C54,'G-7 WaterC'' Data'!$B$4:$G$8,4,FALSE))</f>
        <v/>
      </c>
      <c r="S54" s="370" t="str">
        <f t="shared" si="2"/>
        <v/>
      </c>
      <c r="T54" s="401" t="str">
        <f t="shared" si="3"/>
        <v/>
      </c>
      <c r="U54" s="363" t="str">
        <f>IF(C54="","",VLOOKUP(T54,'G-3 Multipliers'!$P$2:$Q$6,2,FALSE))</f>
        <v/>
      </c>
      <c r="V54" s="115"/>
      <c r="W54" s="363" t="str">
        <f>IF(V54="","",IF(VLOOKUP(V54,'G-7 WaterC'' Data'!$AA$4:$AB$7,2,FALSE)=0,"Spatial Data Missing ⚠",VLOOKUP(V54,'G-7 WaterC'' Data'!$AA$4:$AB$7,2,FALSE)))</f>
        <v/>
      </c>
      <c r="X54" s="60"/>
      <c r="Y54" s="363" t="str">
        <f>IF(X54="","",IF(VLOOKUP(X54,'G-7 WaterC'' Data'!$AD$4:$AE$14,2,FALSE)=0,"Enrcoachment Data Missing ⚠",VLOOKUP(X54,'G-7 WaterC'' Data'!$AD$4:$AE$14,2,FALSE)))</f>
        <v/>
      </c>
      <c r="Z54" s="423" t="str">
        <f t="shared" si="4"/>
        <v/>
      </c>
      <c r="AA54" s="117"/>
      <c r="AB54" s="118"/>
      <c r="AC54" s="120"/>
      <c r="AH54" s="30" t="str">
        <f>IFERROR(INDEX('G-7 WaterC'' Data'!$AZ$3:$AZ$7,MATCH(C54,'G-7 WaterC'' Data'!$AY$3:$AY$7,0)),"")</f>
        <v/>
      </c>
    </row>
    <row r="55" spans="2:34" ht="15">
      <c r="B55" s="110">
        <v>44</v>
      </c>
      <c r="C55" s="138"/>
      <c r="D55" s="139"/>
      <c r="E55" s="362" t="str">
        <f>IF(C55="","",VLOOKUP(C55,'G-7 WaterC'' Data'!$B$2:$G$8,2,FALSE))</f>
        <v/>
      </c>
      <c r="F55" s="363" t="str">
        <f>IFERROR(VLOOKUP(E55,'G-7 WaterC'' Data'!$C$4:$D$8,2,FALSE),"")</f>
        <v/>
      </c>
      <c r="G55" s="114"/>
      <c r="H55" s="363" t="str">
        <f>IFERROR(INDEX('G-7 WaterC'' Data'!$H$4:$L$8,MATCH(C55,'G-7 WaterC'' Data'!$B$4:$B$8,0),MATCH(G55,'G-7 WaterC'' Data'!$H$3:$L$3,0)),"")</f>
        <v/>
      </c>
      <c r="I55" s="54"/>
      <c r="J55" s="370" t="str">
        <f>IF(I55="","",IF(VLOOKUP(I55,'G-7 WaterC'' Data'!$AK$4:$AM$6,2,FALSE)=0,"Spatial Data Missing ⚠",VLOOKUP(I55,'G-7 WaterC'' Data'!$AK$4:$AM$6,2,FALSE)))</f>
        <v/>
      </c>
      <c r="K55" s="363" t="str">
        <f>IF(I55="","",IF(VLOOKUP(I55,'G-7 WaterC'' Data'!$AK$4:$AM$6,3,FALSE)=0,"Spatial Data Missing ⚠",VLOOKUP(I55,'G-7 WaterC'' Data'!$AK$4:$AM$6,3,FALSE)))</f>
        <v/>
      </c>
      <c r="L55" s="362" t="str">
        <f>IFERROR(INDEX('G-7 WaterC'' Data'!$O$3:$O$7,MATCH(G55,'G-7 WaterC'' Data'!$N$3:$N$7,0)),"")</f>
        <v/>
      </c>
      <c r="M55" s="63"/>
      <c r="N55" s="159"/>
      <c r="O55" s="370" t="str">
        <f t="shared" si="0"/>
        <v/>
      </c>
      <c r="P55" s="383" t="str">
        <f t="shared" si="1"/>
        <v/>
      </c>
      <c r="Q55" s="422" t="str">
        <f>IFERROR(IF(P55="Check Data ⚠","Check Data ⚠",VLOOKUP(P55,'G-4 Temporal multipliers'!$A$4:$C$37,3,FALSE)),"")</f>
        <v/>
      </c>
      <c r="R55" s="362" t="str">
        <f>IF(C55="","",VLOOKUP(C55,'G-7 WaterC'' Data'!$B$4:$G$8,4,FALSE))</f>
        <v/>
      </c>
      <c r="S55" s="370" t="str">
        <f t="shared" si="2"/>
        <v/>
      </c>
      <c r="T55" s="401" t="str">
        <f t="shared" si="3"/>
        <v/>
      </c>
      <c r="U55" s="363" t="str">
        <f>IF(C55="","",VLOOKUP(T55,'G-3 Multipliers'!$P$2:$Q$6,2,FALSE))</f>
        <v/>
      </c>
      <c r="V55" s="115"/>
      <c r="W55" s="363" t="str">
        <f>IF(V55="","",IF(VLOOKUP(V55,'G-7 WaterC'' Data'!$AA$4:$AB$7,2,FALSE)=0,"Spatial Data Missing ⚠",VLOOKUP(V55,'G-7 WaterC'' Data'!$AA$4:$AB$7,2,FALSE)))</f>
        <v/>
      </c>
      <c r="X55" s="60"/>
      <c r="Y55" s="363" t="str">
        <f>IF(X55="","",IF(VLOOKUP(X55,'G-7 WaterC'' Data'!$AD$4:$AE$14,2,FALSE)=0,"Enrcoachment Data Missing ⚠",VLOOKUP(X55,'G-7 WaterC'' Data'!$AD$4:$AE$14,2,FALSE)))</f>
        <v/>
      </c>
      <c r="Z55" s="423" t="str">
        <f t="shared" si="4"/>
        <v/>
      </c>
      <c r="AA55" s="117"/>
      <c r="AB55" s="118"/>
      <c r="AC55" s="120"/>
      <c r="AH55" s="30" t="str">
        <f>IFERROR(INDEX('G-7 WaterC'' Data'!$AZ$3:$AZ$7,MATCH(C55,'G-7 WaterC'' Data'!$AY$3:$AY$7,0)),"")</f>
        <v/>
      </c>
    </row>
    <row r="56" spans="2:34" ht="15">
      <c r="B56" s="110">
        <v>45</v>
      </c>
      <c r="C56" s="138"/>
      <c r="D56" s="139"/>
      <c r="E56" s="362" t="str">
        <f>IF(C56="","",VLOOKUP(C56,'G-7 WaterC'' Data'!$B$2:$G$8,2,FALSE))</f>
        <v/>
      </c>
      <c r="F56" s="363" t="str">
        <f>IFERROR(VLOOKUP(E56,'G-7 WaterC'' Data'!$C$4:$D$8,2,FALSE),"")</f>
        <v/>
      </c>
      <c r="G56" s="114"/>
      <c r="H56" s="363" t="str">
        <f>IFERROR(INDEX('G-7 WaterC'' Data'!$H$4:$L$8,MATCH(C56,'G-7 WaterC'' Data'!$B$4:$B$8,0),MATCH(G56,'G-7 WaterC'' Data'!$H$3:$L$3,0)),"")</f>
        <v/>
      </c>
      <c r="I56" s="54"/>
      <c r="J56" s="370" t="str">
        <f>IF(I56="","",IF(VLOOKUP(I56,'G-7 WaterC'' Data'!$AK$4:$AM$6,2,FALSE)=0,"Spatial Data Missing ⚠",VLOOKUP(I56,'G-7 WaterC'' Data'!$AK$4:$AM$6,2,FALSE)))</f>
        <v/>
      </c>
      <c r="K56" s="363" t="str">
        <f>IF(I56="","",IF(VLOOKUP(I56,'G-7 WaterC'' Data'!$AK$4:$AM$6,3,FALSE)=0,"Spatial Data Missing ⚠",VLOOKUP(I56,'G-7 WaterC'' Data'!$AK$4:$AM$6,3,FALSE)))</f>
        <v/>
      </c>
      <c r="L56" s="362" t="str">
        <f>IFERROR(INDEX('G-7 WaterC'' Data'!$O$3:$O$7,MATCH(G56,'G-7 WaterC'' Data'!$N$3:$N$7,0)),"")</f>
        <v/>
      </c>
      <c r="M56" s="63"/>
      <c r="N56" s="159"/>
      <c r="O56" s="370" t="str">
        <f t="shared" si="0"/>
        <v/>
      </c>
      <c r="P56" s="383" t="str">
        <f t="shared" si="1"/>
        <v/>
      </c>
      <c r="Q56" s="422" t="str">
        <f>IFERROR(IF(P56="Check Data ⚠","Check Data ⚠",VLOOKUP(P56,'G-4 Temporal multipliers'!$A$4:$C$37,3,FALSE)),"")</f>
        <v/>
      </c>
      <c r="R56" s="362" t="str">
        <f>IF(C56="","",VLOOKUP(C56,'G-7 WaterC'' Data'!$B$4:$G$8,4,FALSE))</f>
        <v/>
      </c>
      <c r="S56" s="370" t="str">
        <f t="shared" si="2"/>
        <v/>
      </c>
      <c r="T56" s="401" t="str">
        <f t="shared" si="3"/>
        <v/>
      </c>
      <c r="U56" s="363" t="str">
        <f>IF(C56="","",VLOOKUP(T56,'G-3 Multipliers'!$P$2:$Q$6,2,FALSE))</f>
        <v/>
      </c>
      <c r="V56" s="115"/>
      <c r="W56" s="363" t="str">
        <f>IF(V56="","",IF(VLOOKUP(V56,'G-7 WaterC'' Data'!$AA$4:$AB$7,2,FALSE)=0,"Spatial Data Missing ⚠",VLOOKUP(V56,'G-7 WaterC'' Data'!$AA$4:$AB$7,2,FALSE)))</f>
        <v/>
      </c>
      <c r="X56" s="60"/>
      <c r="Y56" s="363" t="str">
        <f>IF(X56="","",IF(VLOOKUP(X56,'G-7 WaterC'' Data'!$AD$4:$AE$14,2,FALSE)=0,"Enrcoachment Data Missing ⚠",VLOOKUP(X56,'G-7 WaterC'' Data'!$AD$4:$AE$14,2,FALSE)))</f>
        <v/>
      </c>
      <c r="Z56" s="423" t="str">
        <f t="shared" si="4"/>
        <v/>
      </c>
      <c r="AA56" s="117"/>
      <c r="AB56" s="118"/>
      <c r="AC56" s="120"/>
      <c r="AH56" s="30" t="str">
        <f>IFERROR(INDEX('G-7 WaterC'' Data'!$AZ$3:$AZ$7,MATCH(C56,'G-7 WaterC'' Data'!$AY$3:$AY$7,0)),"")</f>
        <v/>
      </c>
    </row>
    <row r="57" spans="2:34" ht="15">
      <c r="B57" s="110">
        <v>46</v>
      </c>
      <c r="C57" s="138"/>
      <c r="D57" s="139"/>
      <c r="E57" s="362" t="str">
        <f>IF(C57="","",VLOOKUP(C57,'G-7 WaterC'' Data'!$B$2:$G$8,2,FALSE))</f>
        <v/>
      </c>
      <c r="F57" s="363" t="str">
        <f>IFERROR(VLOOKUP(E57,'G-7 WaterC'' Data'!$C$4:$D$8,2,FALSE),"")</f>
        <v/>
      </c>
      <c r="G57" s="114"/>
      <c r="H57" s="363" t="str">
        <f>IFERROR(INDEX('G-7 WaterC'' Data'!$H$4:$L$8,MATCH(C57,'G-7 WaterC'' Data'!$B$4:$B$8,0),MATCH(G57,'G-7 WaterC'' Data'!$H$3:$L$3,0)),"")</f>
        <v/>
      </c>
      <c r="I57" s="54"/>
      <c r="J57" s="370" t="str">
        <f>IF(I57="","",IF(VLOOKUP(I57,'G-7 WaterC'' Data'!$AK$4:$AM$6,2,FALSE)=0,"Spatial Data Missing ⚠",VLOOKUP(I57,'G-7 WaterC'' Data'!$AK$4:$AM$6,2,FALSE)))</f>
        <v/>
      </c>
      <c r="K57" s="363" t="str">
        <f>IF(I57="","",IF(VLOOKUP(I57,'G-7 WaterC'' Data'!$AK$4:$AM$6,3,FALSE)=0,"Spatial Data Missing ⚠",VLOOKUP(I57,'G-7 WaterC'' Data'!$AK$4:$AM$6,3,FALSE)))</f>
        <v/>
      </c>
      <c r="L57" s="362" t="str">
        <f>IFERROR(INDEX('G-7 WaterC'' Data'!$O$3:$O$7,MATCH(G57,'G-7 WaterC'' Data'!$N$3:$N$7,0)),"")</f>
        <v/>
      </c>
      <c r="M57" s="63"/>
      <c r="N57" s="159"/>
      <c r="O57" s="370" t="str">
        <f t="shared" si="0"/>
        <v/>
      </c>
      <c r="P57" s="383" t="str">
        <f t="shared" si="1"/>
        <v/>
      </c>
      <c r="Q57" s="422" t="str">
        <f>IFERROR(IF(P57="Check Data ⚠","Check Data ⚠",VLOOKUP(P57,'G-4 Temporal multipliers'!$A$4:$C$37,3,FALSE)),"")</f>
        <v/>
      </c>
      <c r="R57" s="362" t="str">
        <f>IF(C57="","",VLOOKUP(C57,'G-7 WaterC'' Data'!$B$4:$G$8,4,FALSE))</f>
        <v/>
      </c>
      <c r="S57" s="370" t="str">
        <f t="shared" si="2"/>
        <v/>
      </c>
      <c r="T57" s="401" t="str">
        <f t="shared" si="3"/>
        <v/>
      </c>
      <c r="U57" s="363" t="str">
        <f>IF(C57="","",VLOOKUP(T57,'G-3 Multipliers'!$P$2:$Q$6,2,FALSE))</f>
        <v/>
      </c>
      <c r="V57" s="115"/>
      <c r="W57" s="363" t="str">
        <f>IF(V57="","",IF(VLOOKUP(V57,'G-7 WaterC'' Data'!$AA$4:$AB$7,2,FALSE)=0,"Spatial Data Missing ⚠",VLOOKUP(V57,'G-7 WaterC'' Data'!$AA$4:$AB$7,2,FALSE)))</f>
        <v/>
      </c>
      <c r="X57" s="60"/>
      <c r="Y57" s="363" t="str">
        <f>IF(X57="","",IF(VLOOKUP(X57,'G-7 WaterC'' Data'!$AD$4:$AE$14,2,FALSE)=0,"Enrcoachment Data Missing ⚠",VLOOKUP(X57,'G-7 WaterC'' Data'!$AD$4:$AE$14,2,FALSE)))</f>
        <v/>
      </c>
      <c r="Z57" s="423" t="str">
        <f t="shared" si="4"/>
        <v/>
      </c>
      <c r="AA57" s="117"/>
      <c r="AB57" s="118"/>
      <c r="AC57" s="120"/>
      <c r="AH57" s="30" t="str">
        <f>IFERROR(INDEX('G-7 WaterC'' Data'!$AZ$3:$AZ$7,MATCH(C57,'G-7 WaterC'' Data'!$AY$3:$AY$7,0)),"")</f>
        <v/>
      </c>
    </row>
    <row r="58" spans="2:34" ht="15">
      <c r="B58" s="110">
        <v>47</v>
      </c>
      <c r="C58" s="138"/>
      <c r="D58" s="139"/>
      <c r="E58" s="362" t="str">
        <f>IF(C58="","",VLOOKUP(C58,'G-7 WaterC'' Data'!$B$2:$G$8,2,FALSE))</f>
        <v/>
      </c>
      <c r="F58" s="363" t="str">
        <f>IFERROR(VLOOKUP(E58,'G-7 WaterC'' Data'!$C$4:$D$8,2,FALSE),"")</f>
        <v/>
      </c>
      <c r="G58" s="114"/>
      <c r="H58" s="363" t="str">
        <f>IFERROR(INDEX('G-7 WaterC'' Data'!$H$4:$L$8,MATCH(C58,'G-7 WaterC'' Data'!$B$4:$B$8,0),MATCH(G58,'G-7 WaterC'' Data'!$H$3:$L$3,0)),"")</f>
        <v/>
      </c>
      <c r="I58" s="54"/>
      <c r="J58" s="370" t="str">
        <f>IF(I58="","",IF(VLOOKUP(I58,'G-7 WaterC'' Data'!$AK$4:$AM$6,2,FALSE)=0,"Spatial Data Missing ⚠",VLOOKUP(I58,'G-7 WaterC'' Data'!$AK$4:$AM$6,2,FALSE)))</f>
        <v/>
      </c>
      <c r="K58" s="363" t="str">
        <f>IF(I58="","",IF(VLOOKUP(I58,'G-7 WaterC'' Data'!$AK$4:$AM$6,3,FALSE)=0,"Spatial Data Missing ⚠",VLOOKUP(I58,'G-7 WaterC'' Data'!$AK$4:$AM$6,3,FALSE)))</f>
        <v/>
      </c>
      <c r="L58" s="362" t="str">
        <f>IFERROR(INDEX('G-7 WaterC'' Data'!$O$3:$O$7,MATCH(G58,'G-7 WaterC'' Data'!$N$3:$N$7,0)),"")</f>
        <v/>
      </c>
      <c r="M58" s="63"/>
      <c r="N58" s="159"/>
      <c r="O58" s="370" t="str">
        <f t="shared" si="0"/>
        <v/>
      </c>
      <c r="P58" s="383" t="str">
        <f t="shared" si="1"/>
        <v/>
      </c>
      <c r="Q58" s="422" t="str">
        <f>IFERROR(IF(P58="Check Data ⚠","Check Data ⚠",VLOOKUP(P58,'G-4 Temporal multipliers'!$A$4:$C$37,3,FALSE)),"")</f>
        <v/>
      </c>
      <c r="R58" s="362" t="str">
        <f>IF(C58="","",VLOOKUP(C58,'G-7 WaterC'' Data'!$B$4:$G$8,4,FALSE))</f>
        <v/>
      </c>
      <c r="S58" s="370" t="str">
        <f t="shared" si="2"/>
        <v/>
      </c>
      <c r="T58" s="401" t="str">
        <f t="shared" si="3"/>
        <v/>
      </c>
      <c r="U58" s="363" t="str">
        <f>IF(C58="","",VLOOKUP(T58,'G-3 Multipliers'!$P$2:$Q$6,2,FALSE))</f>
        <v/>
      </c>
      <c r="V58" s="115"/>
      <c r="W58" s="363" t="str">
        <f>IF(V58="","",IF(VLOOKUP(V58,'G-7 WaterC'' Data'!$AA$4:$AB$7,2,FALSE)=0,"Spatial Data Missing ⚠",VLOOKUP(V58,'G-7 WaterC'' Data'!$AA$4:$AB$7,2,FALSE)))</f>
        <v/>
      </c>
      <c r="X58" s="60"/>
      <c r="Y58" s="363" t="str">
        <f>IF(X58="","",IF(VLOOKUP(X58,'G-7 WaterC'' Data'!$AD$4:$AE$14,2,FALSE)=0,"Enrcoachment Data Missing ⚠",VLOOKUP(X58,'G-7 WaterC'' Data'!$AD$4:$AE$14,2,FALSE)))</f>
        <v/>
      </c>
      <c r="Z58" s="423" t="str">
        <f t="shared" si="4"/>
        <v/>
      </c>
      <c r="AA58" s="117"/>
      <c r="AB58" s="118"/>
      <c r="AC58" s="120"/>
      <c r="AH58" s="30" t="str">
        <f>IFERROR(INDEX('G-7 WaterC'' Data'!$AZ$3:$AZ$7,MATCH(C58,'G-7 WaterC'' Data'!$AY$3:$AY$7,0)),"")</f>
        <v/>
      </c>
    </row>
    <row r="59" spans="2:34" ht="15">
      <c r="B59" s="110">
        <v>48</v>
      </c>
      <c r="C59" s="138"/>
      <c r="D59" s="139"/>
      <c r="E59" s="362" t="str">
        <f>IF(C59="","",VLOOKUP(C59,'G-7 WaterC'' Data'!$B$2:$G$8,2,FALSE))</f>
        <v/>
      </c>
      <c r="F59" s="363" t="str">
        <f>IFERROR(VLOOKUP(E59,'G-7 WaterC'' Data'!$C$4:$D$8,2,FALSE),"")</f>
        <v/>
      </c>
      <c r="G59" s="114"/>
      <c r="H59" s="363" t="str">
        <f>IFERROR(INDEX('G-7 WaterC'' Data'!$H$4:$L$8,MATCH(C59,'G-7 WaterC'' Data'!$B$4:$B$8,0),MATCH(G59,'G-7 WaterC'' Data'!$H$3:$L$3,0)),"")</f>
        <v/>
      </c>
      <c r="I59" s="54"/>
      <c r="J59" s="370" t="str">
        <f>IF(I59="","",IF(VLOOKUP(I59,'G-7 WaterC'' Data'!$AK$4:$AM$6,2,FALSE)=0,"Spatial Data Missing ⚠",VLOOKUP(I59,'G-7 WaterC'' Data'!$AK$4:$AM$6,2,FALSE)))</f>
        <v/>
      </c>
      <c r="K59" s="363" t="str">
        <f>IF(I59="","",IF(VLOOKUP(I59,'G-7 WaterC'' Data'!$AK$4:$AM$6,3,FALSE)=0,"Spatial Data Missing ⚠",VLOOKUP(I59,'G-7 WaterC'' Data'!$AK$4:$AM$6,3,FALSE)))</f>
        <v/>
      </c>
      <c r="L59" s="362" t="str">
        <f>IFERROR(INDEX('G-7 WaterC'' Data'!$O$3:$O$7,MATCH(G59,'G-7 WaterC'' Data'!$N$3:$N$7,0)),"")</f>
        <v/>
      </c>
      <c r="M59" s="63"/>
      <c r="N59" s="159"/>
      <c r="O59" s="370" t="str">
        <f t="shared" si="0"/>
        <v/>
      </c>
      <c r="P59" s="383" t="str">
        <f t="shared" si="1"/>
        <v/>
      </c>
      <c r="Q59" s="422" t="str">
        <f>IFERROR(IF(P59="Check Data ⚠","Check Data ⚠",VLOOKUP(P59,'G-4 Temporal multipliers'!$A$4:$C$37,3,FALSE)),"")</f>
        <v/>
      </c>
      <c r="R59" s="362" t="str">
        <f>IF(C59="","",VLOOKUP(C59,'G-7 WaterC'' Data'!$B$4:$G$8,4,FALSE))</f>
        <v/>
      </c>
      <c r="S59" s="370" t="str">
        <f t="shared" si="2"/>
        <v/>
      </c>
      <c r="T59" s="401" t="str">
        <f t="shared" si="3"/>
        <v/>
      </c>
      <c r="U59" s="363" t="str">
        <f>IF(C59="","",VLOOKUP(T59,'G-3 Multipliers'!$P$2:$Q$6,2,FALSE))</f>
        <v/>
      </c>
      <c r="V59" s="115"/>
      <c r="W59" s="363" t="str">
        <f>IF(V59="","",IF(VLOOKUP(V59,'G-7 WaterC'' Data'!$AA$4:$AB$7,2,FALSE)=0,"Spatial Data Missing ⚠",VLOOKUP(V59,'G-7 WaterC'' Data'!$AA$4:$AB$7,2,FALSE)))</f>
        <v/>
      </c>
      <c r="X59" s="60"/>
      <c r="Y59" s="363" t="str">
        <f>IF(X59="","",IF(VLOOKUP(X59,'G-7 WaterC'' Data'!$AD$4:$AE$14,2,FALSE)=0,"Enrcoachment Data Missing ⚠",VLOOKUP(X59,'G-7 WaterC'' Data'!$AD$4:$AE$14,2,FALSE)))</f>
        <v/>
      </c>
      <c r="Z59" s="423" t="str">
        <f t="shared" si="4"/>
        <v/>
      </c>
      <c r="AA59" s="117"/>
      <c r="AB59" s="118"/>
      <c r="AC59" s="120"/>
      <c r="AH59" s="30" t="str">
        <f>IFERROR(INDEX('G-7 WaterC'' Data'!$AZ$3:$AZ$7,MATCH(C59,'G-7 WaterC'' Data'!$AY$3:$AY$7,0)),"")</f>
        <v/>
      </c>
    </row>
    <row r="60" spans="2:34" ht="15">
      <c r="B60" s="110">
        <v>49</v>
      </c>
      <c r="C60" s="138"/>
      <c r="D60" s="139"/>
      <c r="E60" s="362" t="str">
        <f>IF(C60="","",VLOOKUP(C60,'G-7 WaterC'' Data'!$B$2:$G$8,2,FALSE))</f>
        <v/>
      </c>
      <c r="F60" s="363" t="str">
        <f>IFERROR(VLOOKUP(E60,'G-7 WaterC'' Data'!$C$4:$D$8,2,FALSE),"")</f>
        <v/>
      </c>
      <c r="G60" s="114"/>
      <c r="H60" s="363" t="str">
        <f>IFERROR(INDEX('G-7 WaterC'' Data'!$H$4:$L$8,MATCH(C60,'G-7 WaterC'' Data'!$B$4:$B$8,0),MATCH(G60,'G-7 WaterC'' Data'!$H$3:$L$3,0)),"")</f>
        <v/>
      </c>
      <c r="I60" s="54"/>
      <c r="J60" s="370" t="str">
        <f>IF(I60="","",IF(VLOOKUP(I60,'G-7 WaterC'' Data'!$AK$4:$AM$6,2,FALSE)=0,"Spatial Data Missing ⚠",VLOOKUP(I60,'G-7 WaterC'' Data'!$AK$4:$AM$6,2,FALSE)))</f>
        <v/>
      </c>
      <c r="K60" s="363" t="str">
        <f>IF(I60="","",IF(VLOOKUP(I60,'G-7 WaterC'' Data'!$AK$4:$AM$6,3,FALSE)=0,"Spatial Data Missing ⚠",VLOOKUP(I60,'G-7 WaterC'' Data'!$AK$4:$AM$6,3,FALSE)))</f>
        <v/>
      </c>
      <c r="L60" s="362" t="str">
        <f>IFERROR(INDEX('G-7 WaterC'' Data'!$O$3:$O$7,MATCH(G60,'G-7 WaterC'' Data'!$N$3:$N$7,0)),"")</f>
        <v/>
      </c>
      <c r="M60" s="63"/>
      <c r="N60" s="159"/>
      <c r="O60" s="370" t="str">
        <f t="shared" si="0"/>
        <v/>
      </c>
      <c r="P60" s="383" t="str">
        <f t="shared" si="1"/>
        <v/>
      </c>
      <c r="Q60" s="422" t="str">
        <f>IFERROR(IF(P60="Check Data ⚠","Check Data ⚠",VLOOKUP(P60,'G-4 Temporal multipliers'!$A$4:$C$37,3,FALSE)),"")</f>
        <v/>
      </c>
      <c r="R60" s="362" t="str">
        <f>IF(C60="","",VLOOKUP(C60,'G-7 WaterC'' Data'!$B$4:$G$8,4,FALSE))</f>
        <v/>
      </c>
      <c r="S60" s="370" t="str">
        <f t="shared" si="2"/>
        <v/>
      </c>
      <c r="T60" s="401" t="str">
        <f t="shared" si="3"/>
        <v/>
      </c>
      <c r="U60" s="363" t="str">
        <f>IF(C60="","",VLOOKUP(T60,'G-3 Multipliers'!$P$2:$Q$6,2,FALSE))</f>
        <v/>
      </c>
      <c r="V60" s="115"/>
      <c r="W60" s="363" t="str">
        <f>IF(V60="","",IF(VLOOKUP(V60,'G-7 WaterC'' Data'!$AA$4:$AB$7,2,FALSE)=0,"Spatial Data Missing ⚠",VLOOKUP(V60,'G-7 WaterC'' Data'!$AA$4:$AB$7,2,FALSE)))</f>
        <v/>
      </c>
      <c r="X60" s="60"/>
      <c r="Y60" s="363" t="str">
        <f>IF(X60="","",IF(VLOOKUP(X60,'G-7 WaterC'' Data'!$AD$4:$AE$14,2,FALSE)=0,"Enrcoachment Data Missing ⚠",VLOOKUP(X60,'G-7 WaterC'' Data'!$AD$4:$AE$14,2,FALSE)))</f>
        <v/>
      </c>
      <c r="Z60" s="423" t="str">
        <f t="shared" si="4"/>
        <v/>
      </c>
      <c r="AA60" s="117"/>
      <c r="AB60" s="118"/>
      <c r="AC60" s="120"/>
      <c r="AH60" s="30" t="str">
        <f>IFERROR(INDEX('G-7 WaterC'' Data'!$AZ$3:$AZ$7,MATCH(C60,'G-7 WaterC'' Data'!$AY$3:$AY$7,0)),"")</f>
        <v/>
      </c>
    </row>
    <row r="61" spans="2:34" ht="15">
      <c r="B61" s="110">
        <v>50</v>
      </c>
      <c r="C61" s="138"/>
      <c r="D61" s="139"/>
      <c r="E61" s="362" t="str">
        <f>IF(C61="","",VLOOKUP(C61,'G-7 WaterC'' Data'!$B$2:$G$8,2,FALSE))</f>
        <v/>
      </c>
      <c r="F61" s="363" t="str">
        <f>IFERROR(VLOOKUP(E61,'G-7 WaterC'' Data'!$C$4:$D$8,2,FALSE),"")</f>
        <v/>
      </c>
      <c r="G61" s="114"/>
      <c r="H61" s="363" t="str">
        <f>IFERROR(INDEX('G-7 WaterC'' Data'!$H$4:$L$8,MATCH(C61,'G-7 WaterC'' Data'!$B$4:$B$8,0),MATCH(G61,'G-7 WaterC'' Data'!$H$3:$L$3,0)),"")</f>
        <v/>
      </c>
      <c r="I61" s="54"/>
      <c r="J61" s="370" t="str">
        <f>IF(I61="","",IF(VLOOKUP(I61,'G-7 WaterC'' Data'!$AK$4:$AM$6,2,FALSE)=0,"Spatial Data Missing ⚠",VLOOKUP(I61,'G-7 WaterC'' Data'!$AK$4:$AM$6,2,FALSE)))</f>
        <v/>
      </c>
      <c r="K61" s="363" t="str">
        <f>IF(I61="","",IF(VLOOKUP(I61,'G-7 WaterC'' Data'!$AK$4:$AM$6,3,FALSE)=0,"Spatial Data Missing ⚠",VLOOKUP(I61,'G-7 WaterC'' Data'!$AK$4:$AM$6,3,FALSE)))</f>
        <v/>
      </c>
      <c r="L61" s="362" t="str">
        <f>IFERROR(INDEX('G-7 WaterC'' Data'!$O$3:$O$7,MATCH(G61,'G-7 WaterC'' Data'!$N$3:$N$7,0)),"")</f>
        <v/>
      </c>
      <c r="M61" s="63"/>
      <c r="N61" s="159"/>
      <c r="O61" s="370" t="str">
        <f t="shared" si="0"/>
        <v/>
      </c>
      <c r="P61" s="383" t="str">
        <f t="shared" si="1"/>
        <v/>
      </c>
      <c r="Q61" s="422" t="str">
        <f>IFERROR(IF(P61="Check Data ⚠","Check Data ⚠",VLOOKUP(P61,'G-4 Temporal multipliers'!$A$4:$C$37,3,FALSE)),"")</f>
        <v/>
      </c>
      <c r="R61" s="362" t="str">
        <f>IF(C61="","",VLOOKUP(C61,'G-7 WaterC'' Data'!$B$4:$G$8,4,FALSE))</f>
        <v/>
      </c>
      <c r="S61" s="370" t="str">
        <f t="shared" si="2"/>
        <v/>
      </c>
      <c r="T61" s="401" t="str">
        <f t="shared" si="3"/>
        <v/>
      </c>
      <c r="U61" s="363" t="str">
        <f>IF(C61="","",VLOOKUP(T61,'G-3 Multipliers'!$P$2:$Q$6,2,FALSE))</f>
        <v/>
      </c>
      <c r="V61" s="115"/>
      <c r="W61" s="363" t="str">
        <f>IF(V61="","",IF(VLOOKUP(V61,'G-7 WaterC'' Data'!$AA$4:$AB$7,2,FALSE)=0,"Spatial Data Missing ⚠",VLOOKUP(V61,'G-7 WaterC'' Data'!$AA$4:$AB$7,2,FALSE)))</f>
        <v/>
      </c>
      <c r="X61" s="60"/>
      <c r="Y61" s="363" t="str">
        <f>IF(X61="","",IF(VLOOKUP(X61,'G-7 WaterC'' Data'!$AD$4:$AE$14,2,FALSE)=0,"Enrcoachment Data Missing ⚠",VLOOKUP(X61,'G-7 WaterC'' Data'!$AD$4:$AE$14,2,FALSE)))</f>
        <v/>
      </c>
      <c r="Z61" s="423" t="str">
        <f t="shared" si="4"/>
        <v/>
      </c>
      <c r="AA61" s="117"/>
      <c r="AB61" s="118"/>
      <c r="AC61" s="120"/>
      <c r="AH61" s="30" t="str">
        <f>IFERROR(INDEX('G-7 WaterC'' Data'!$AZ$3:$AZ$7,MATCH(C61,'G-7 WaterC'' Data'!$AY$3:$AY$7,0)),"")</f>
        <v/>
      </c>
    </row>
    <row r="62" spans="2:34" ht="15">
      <c r="B62" s="110">
        <v>51</v>
      </c>
      <c r="C62" s="138"/>
      <c r="D62" s="139"/>
      <c r="E62" s="362" t="str">
        <f>IF(C62="","",VLOOKUP(C62,'G-7 WaterC'' Data'!$B$2:$G$8,2,FALSE))</f>
        <v/>
      </c>
      <c r="F62" s="363" t="str">
        <f>IFERROR(VLOOKUP(E62,'G-7 WaterC'' Data'!$C$4:$D$8,2,FALSE),"")</f>
        <v/>
      </c>
      <c r="G62" s="114"/>
      <c r="H62" s="363" t="str">
        <f>IFERROR(INDEX('G-7 WaterC'' Data'!$H$4:$L$8,MATCH(C62,'G-7 WaterC'' Data'!$B$4:$B$8,0),MATCH(G62,'G-7 WaterC'' Data'!$H$3:$L$3,0)),"")</f>
        <v/>
      </c>
      <c r="I62" s="54"/>
      <c r="J62" s="370" t="str">
        <f>IF(I62="","",IF(VLOOKUP(I62,'G-7 WaterC'' Data'!$AK$4:$AM$6,2,FALSE)=0,"Spatial Data Missing ⚠",VLOOKUP(I62,'G-7 WaterC'' Data'!$AK$4:$AM$6,2,FALSE)))</f>
        <v/>
      </c>
      <c r="K62" s="363" t="str">
        <f>IF(I62="","",IF(VLOOKUP(I62,'G-7 WaterC'' Data'!$AK$4:$AM$6,3,FALSE)=0,"Spatial Data Missing ⚠",VLOOKUP(I62,'G-7 WaterC'' Data'!$AK$4:$AM$6,3,FALSE)))</f>
        <v/>
      </c>
      <c r="L62" s="362" t="str">
        <f>IFERROR(INDEX('G-7 WaterC'' Data'!$O$3:$O$7,MATCH(G62,'G-7 WaterC'' Data'!$N$3:$N$7,0)),"")</f>
        <v/>
      </c>
      <c r="M62" s="63"/>
      <c r="N62" s="159"/>
      <c r="O62" s="370" t="str">
        <f t="shared" si="0"/>
        <v/>
      </c>
      <c r="P62" s="383" t="str">
        <f t="shared" si="1"/>
        <v/>
      </c>
      <c r="Q62" s="422" t="str">
        <f>IFERROR(IF(P62="Check Data ⚠","Check Data ⚠",VLOOKUP(P62,'G-4 Temporal multipliers'!$A$4:$C$37,3,FALSE)),"")</f>
        <v/>
      </c>
      <c r="R62" s="362" t="str">
        <f>IF(C62="","",VLOOKUP(C62,'G-7 WaterC'' Data'!$B$4:$G$8,4,FALSE))</f>
        <v/>
      </c>
      <c r="S62" s="370" t="str">
        <f t="shared" si="2"/>
        <v/>
      </c>
      <c r="T62" s="401" t="str">
        <f t="shared" si="3"/>
        <v/>
      </c>
      <c r="U62" s="363" t="str">
        <f>IF(C62="","",VLOOKUP(T62,'G-3 Multipliers'!$P$2:$Q$6,2,FALSE))</f>
        <v/>
      </c>
      <c r="V62" s="115"/>
      <c r="W62" s="363" t="str">
        <f>IF(V62="","",IF(VLOOKUP(V62,'G-7 WaterC'' Data'!$AA$4:$AB$7,2,FALSE)=0,"Spatial Data Missing ⚠",VLOOKUP(V62,'G-7 WaterC'' Data'!$AA$4:$AB$7,2,FALSE)))</f>
        <v/>
      </c>
      <c r="X62" s="60"/>
      <c r="Y62" s="363" t="str">
        <f>IF(X62="","",IF(VLOOKUP(X62,'G-7 WaterC'' Data'!$AD$4:$AE$14,2,FALSE)=0,"Enrcoachment Data Missing ⚠",VLOOKUP(X62,'G-7 WaterC'' Data'!$AD$4:$AE$14,2,FALSE)))</f>
        <v/>
      </c>
      <c r="Z62" s="423" t="str">
        <f t="shared" si="4"/>
        <v/>
      </c>
      <c r="AA62" s="117"/>
      <c r="AB62" s="118"/>
      <c r="AC62" s="120"/>
      <c r="AH62" s="30" t="str">
        <f>IFERROR(INDEX('G-7 WaterC'' Data'!$AZ$3:$AZ$7,MATCH(C62,'G-7 WaterC'' Data'!$AY$3:$AY$7,0)),"")</f>
        <v/>
      </c>
    </row>
    <row r="63" spans="2:34" ht="15">
      <c r="B63" s="110">
        <v>52</v>
      </c>
      <c r="C63" s="138"/>
      <c r="D63" s="139"/>
      <c r="E63" s="362" t="str">
        <f>IF(C63="","",VLOOKUP(C63,'G-7 WaterC'' Data'!$B$2:$G$8,2,FALSE))</f>
        <v/>
      </c>
      <c r="F63" s="363" t="str">
        <f>IFERROR(VLOOKUP(E63,'G-7 WaterC'' Data'!$C$4:$D$8,2,FALSE),"")</f>
        <v/>
      </c>
      <c r="G63" s="114"/>
      <c r="H63" s="363" t="str">
        <f>IFERROR(INDEX('G-7 WaterC'' Data'!$H$4:$L$8,MATCH(C63,'G-7 WaterC'' Data'!$B$4:$B$8,0),MATCH(G63,'G-7 WaterC'' Data'!$H$3:$L$3,0)),"")</f>
        <v/>
      </c>
      <c r="I63" s="54"/>
      <c r="J63" s="370" t="str">
        <f>IF(I63="","",IF(VLOOKUP(I63,'G-7 WaterC'' Data'!$AK$4:$AM$6,2,FALSE)=0,"Spatial Data Missing ⚠",VLOOKUP(I63,'G-7 WaterC'' Data'!$AK$4:$AM$6,2,FALSE)))</f>
        <v/>
      </c>
      <c r="K63" s="363" t="str">
        <f>IF(I63="","",IF(VLOOKUP(I63,'G-7 WaterC'' Data'!$AK$4:$AM$6,3,FALSE)=0,"Spatial Data Missing ⚠",VLOOKUP(I63,'G-7 WaterC'' Data'!$AK$4:$AM$6,3,FALSE)))</f>
        <v/>
      </c>
      <c r="L63" s="362" t="str">
        <f>IFERROR(INDEX('G-7 WaterC'' Data'!$O$3:$O$7,MATCH(G63,'G-7 WaterC'' Data'!$N$3:$N$7,0)),"")</f>
        <v/>
      </c>
      <c r="M63" s="63"/>
      <c r="N63" s="159"/>
      <c r="O63" s="370" t="str">
        <f t="shared" si="0"/>
        <v/>
      </c>
      <c r="P63" s="383" t="str">
        <f t="shared" si="1"/>
        <v/>
      </c>
      <c r="Q63" s="422" t="str">
        <f>IFERROR(IF(P63="Check Data ⚠","Check Data ⚠",VLOOKUP(P63,'G-4 Temporal multipliers'!$A$4:$C$37,3,FALSE)),"")</f>
        <v/>
      </c>
      <c r="R63" s="362" t="str">
        <f>IF(C63="","",VLOOKUP(C63,'G-7 WaterC'' Data'!$B$4:$G$8,4,FALSE))</f>
        <v/>
      </c>
      <c r="S63" s="370" t="str">
        <f t="shared" si="2"/>
        <v/>
      </c>
      <c r="T63" s="401" t="str">
        <f t="shared" si="3"/>
        <v/>
      </c>
      <c r="U63" s="363" t="str">
        <f>IF(C63="","",VLOOKUP(T63,'G-3 Multipliers'!$P$2:$Q$6,2,FALSE))</f>
        <v/>
      </c>
      <c r="V63" s="115"/>
      <c r="W63" s="363" t="str">
        <f>IF(V63="","",IF(VLOOKUP(V63,'G-7 WaterC'' Data'!$AA$4:$AB$7,2,FALSE)=0,"Spatial Data Missing ⚠",VLOOKUP(V63,'G-7 WaterC'' Data'!$AA$4:$AB$7,2,FALSE)))</f>
        <v/>
      </c>
      <c r="X63" s="60"/>
      <c r="Y63" s="363" t="str">
        <f>IF(X63="","",IF(VLOOKUP(X63,'G-7 WaterC'' Data'!$AD$4:$AE$14,2,FALSE)=0,"Enrcoachment Data Missing ⚠",VLOOKUP(X63,'G-7 WaterC'' Data'!$AD$4:$AE$14,2,FALSE)))</f>
        <v/>
      </c>
      <c r="Z63" s="423" t="str">
        <f t="shared" si="4"/>
        <v/>
      </c>
      <c r="AA63" s="117"/>
      <c r="AB63" s="118"/>
      <c r="AC63" s="120"/>
      <c r="AH63" s="30" t="str">
        <f>IFERROR(INDEX('G-7 WaterC'' Data'!$AZ$3:$AZ$7,MATCH(C63,'G-7 WaterC'' Data'!$AY$3:$AY$7,0)),"")</f>
        <v/>
      </c>
    </row>
    <row r="64" spans="2:34" ht="15">
      <c r="B64" s="110">
        <v>53</v>
      </c>
      <c r="C64" s="138"/>
      <c r="D64" s="139"/>
      <c r="E64" s="362" t="str">
        <f>IF(C64="","",VLOOKUP(C64,'G-7 WaterC'' Data'!$B$2:$G$8,2,FALSE))</f>
        <v/>
      </c>
      <c r="F64" s="363" t="str">
        <f>IFERROR(VLOOKUP(E64,'G-7 WaterC'' Data'!$C$4:$D$8,2,FALSE),"")</f>
        <v/>
      </c>
      <c r="G64" s="114"/>
      <c r="H64" s="363" t="str">
        <f>IFERROR(INDEX('G-7 WaterC'' Data'!$H$4:$L$8,MATCH(C64,'G-7 WaterC'' Data'!$B$4:$B$8,0),MATCH(G64,'G-7 WaterC'' Data'!$H$3:$L$3,0)),"")</f>
        <v/>
      </c>
      <c r="I64" s="54"/>
      <c r="J64" s="370" t="str">
        <f>IF(I64="","",IF(VLOOKUP(I64,'G-7 WaterC'' Data'!$AK$4:$AM$6,2,FALSE)=0,"Spatial Data Missing ⚠",VLOOKUP(I64,'G-7 WaterC'' Data'!$AK$4:$AM$6,2,FALSE)))</f>
        <v/>
      </c>
      <c r="K64" s="363" t="str">
        <f>IF(I64="","",IF(VLOOKUP(I64,'G-7 WaterC'' Data'!$AK$4:$AM$6,3,FALSE)=0,"Spatial Data Missing ⚠",VLOOKUP(I64,'G-7 WaterC'' Data'!$AK$4:$AM$6,3,FALSE)))</f>
        <v/>
      </c>
      <c r="L64" s="362" t="str">
        <f>IFERROR(INDEX('G-7 WaterC'' Data'!$O$3:$O$7,MATCH(G64,'G-7 WaterC'' Data'!$N$3:$N$7,0)),"")</f>
        <v/>
      </c>
      <c r="M64" s="63"/>
      <c r="N64" s="159"/>
      <c r="O64" s="370" t="str">
        <f t="shared" si="0"/>
        <v/>
      </c>
      <c r="P64" s="383" t="str">
        <f t="shared" si="1"/>
        <v/>
      </c>
      <c r="Q64" s="422" t="str">
        <f>IFERROR(IF(P64="Check Data ⚠","Check Data ⚠",VLOOKUP(P64,'G-4 Temporal multipliers'!$A$4:$C$37,3,FALSE)),"")</f>
        <v/>
      </c>
      <c r="R64" s="362" t="str">
        <f>IF(C64="","",VLOOKUP(C64,'G-7 WaterC'' Data'!$B$4:$G$8,4,FALSE))</f>
        <v/>
      </c>
      <c r="S64" s="370" t="str">
        <f t="shared" si="2"/>
        <v/>
      </c>
      <c r="T64" s="401" t="str">
        <f t="shared" si="3"/>
        <v/>
      </c>
      <c r="U64" s="363" t="str">
        <f>IF(C64="","",VLOOKUP(T64,'G-3 Multipliers'!$P$2:$Q$6,2,FALSE))</f>
        <v/>
      </c>
      <c r="V64" s="115"/>
      <c r="W64" s="363" t="str">
        <f>IF(V64="","",IF(VLOOKUP(V64,'G-7 WaterC'' Data'!$AA$4:$AB$7,2,FALSE)=0,"Spatial Data Missing ⚠",VLOOKUP(V64,'G-7 WaterC'' Data'!$AA$4:$AB$7,2,FALSE)))</f>
        <v/>
      </c>
      <c r="X64" s="60"/>
      <c r="Y64" s="363" t="str">
        <f>IF(X64="","",IF(VLOOKUP(X64,'G-7 WaterC'' Data'!$AD$4:$AE$14,2,FALSE)=0,"Enrcoachment Data Missing ⚠",VLOOKUP(X64,'G-7 WaterC'' Data'!$AD$4:$AE$14,2,FALSE)))</f>
        <v/>
      </c>
      <c r="Z64" s="423" t="str">
        <f t="shared" si="4"/>
        <v/>
      </c>
      <c r="AA64" s="117"/>
      <c r="AB64" s="118"/>
      <c r="AC64" s="120"/>
      <c r="AH64" s="30" t="str">
        <f>IFERROR(INDEX('G-7 WaterC'' Data'!$AZ$3:$AZ$7,MATCH(C64,'G-7 WaterC'' Data'!$AY$3:$AY$7,0)),"")</f>
        <v/>
      </c>
    </row>
    <row r="65" spans="2:34" ht="15">
      <c r="B65" s="110">
        <v>54</v>
      </c>
      <c r="C65" s="138"/>
      <c r="D65" s="139"/>
      <c r="E65" s="362" t="str">
        <f>IF(C65="","",VLOOKUP(C65,'G-7 WaterC'' Data'!$B$2:$G$8,2,FALSE))</f>
        <v/>
      </c>
      <c r="F65" s="363" t="str">
        <f>IFERROR(VLOOKUP(E65,'G-7 WaterC'' Data'!$C$4:$D$8,2,FALSE),"")</f>
        <v/>
      </c>
      <c r="G65" s="114"/>
      <c r="H65" s="363" t="str">
        <f>IFERROR(INDEX('G-7 WaterC'' Data'!$H$4:$L$8,MATCH(C65,'G-7 WaterC'' Data'!$B$4:$B$8,0),MATCH(G65,'G-7 WaterC'' Data'!$H$3:$L$3,0)),"")</f>
        <v/>
      </c>
      <c r="I65" s="54"/>
      <c r="J65" s="370" t="str">
        <f>IF(I65="","",IF(VLOOKUP(I65,'G-7 WaterC'' Data'!$AK$4:$AM$6,2,FALSE)=0,"Spatial Data Missing ⚠",VLOOKUP(I65,'G-7 WaterC'' Data'!$AK$4:$AM$6,2,FALSE)))</f>
        <v/>
      </c>
      <c r="K65" s="363" t="str">
        <f>IF(I65="","",IF(VLOOKUP(I65,'G-7 WaterC'' Data'!$AK$4:$AM$6,3,FALSE)=0,"Spatial Data Missing ⚠",VLOOKUP(I65,'G-7 WaterC'' Data'!$AK$4:$AM$6,3,FALSE)))</f>
        <v/>
      </c>
      <c r="L65" s="362" t="str">
        <f>IFERROR(INDEX('G-7 WaterC'' Data'!$O$3:$O$7,MATCH(G65,'G-7 WaterC'' Data'!$N$3:$N$7,0)),"")</f>
        <v/>
      </c>
      <c r="M65" s="63"/>
      <c r="N65" s="159"/>
      <c r="O65" s="370" t="str">
        <f t="shared" si="0"/>
        <v/>
      </c>
      <c r="P65" s="383" t="str">
        <f t="shared" si="1"/>
        <v/>
      </c>
      <c r="Q65" s="422" t="str">
        <f>IFERROR(IF(P65="Check Data ⚠","Check Data ⚠",VLOOKUP(P65,'G-4 Temporal multipliers'!$A$4:$C$37,3,FALSE)),"")</f>
        <v/>
      </c>
      <c r="R65" s="362" t="str">
        <f>IF(C65="","",VLOOKUP(C65,'G-7 WaterC'' Data'!$B$4:$G$8,4,FALSE))</f>
        <v/>
      </c>
      <c r="S65" s="370" t="str">
        <f t="shared" si="2"/>
        <v/>
      </c>
      <c r="T65" s="401" t="str">
        <f t="shared" si="3"/>
        <v/>
      </c>
      <c r="U65" s="363" t="str">
        <f>IF(C65="","",VLOOKUP(T65,'G-3 Multipliers'!$P$2:$Q$6,2,FALSE))</f>
        <v/>
      </c>
      <c r="V65" s="115"/>
      <c r="W65" s="363" t="str">
        <f>IF(V65="","",IF(VLOOKUP(V65,'G-7 WaterC'' Data'!$AA$4:$AB$7,2,FALSE)=0,"Spatial Data Missing ⚠",VLOOKUP(V65,'G-7 WaterC'' Data'!$AA$4:$AB$7,2,FALSE)))</f>
        <v/>
      </c>
      <c r="X65" s="60"/>
      <c r="Y65" s="363" t="str">
        <f>IF(X65="","",IF(VLOOKUP(X65,'G-7 WaterC'' Data'!$AD$4:$AE$14,2,FALSE)=0,"Enrcoachment Data Missing ⚠",VLOOKUP(X65,'G-7 WaterC'' Data'!$AD$4:$AE$14,2,FALSE)))</f>
        <v/>
      </c>
      <c r="Z65" s="423" t="str">
        <f t="shared" si="4"/>
        <v/>
      </c>
      <c r="AA65" s="117"/>
      <c r="AB65" s="118"/>
      <c r="AC65" s="120"/>
      <c r="AH65" s="30" t="str">
        <f>IFERROR(INDEX('G-7 WaterC'' Data'!$AZ$3:$AZ$7,MATCH(C65,'G-7 WaterC'' Data'!$AY$3:$AY$7,0)),"")</f>
        <v/>
      </c>
    </row>
    <row r="66" spans="2:34" ht="15">
      <c r="B66" s="110">
        <v>55</v>
      </c>
      <c r="C66" s="138"/>
      <c r="D66" s="139"/>
      <c r="E66" s="362" t="str">
        <f>IF(C66="","",VLOOKUP(C66,'G-7 WaterC'' Data'!$B$2:$G$8,2,FALSE))</f>
        <v/>
      </c>
      <c r="F66" s="363" t="str">
        <f>IFERROR(VLOOKUP(E66,'G-7 WaterC'' Data'!$C$4:$D$8,2,FALSE),"")</f>
        <v/>
      </c>
      <c r="G66" s="114"/>
      <c r="H66" s="363" t="str">
        <f>IFERROR(INDEX('G-7 WaterC'' Data'!$H$4:$L$8,MATCH(C66,'G-7 WaterC'' Data'!$B$4:$B$8,0),MATCH(G66,'G-7 WaterC'' Data'!$H$3:$L$3,0)),"")</f>
        <v/>
      </c>
      <c r="I66" s="54"/>
      <c r="J66" s="370" t="str">
        <f>IF(I66="","",IF(VLOOKUP(I66,'G-7 WaterC'' Data'!$AK$4:$AM$6,2,FALSE)=0,"Spatial Data Missing ⚠",VLOOKUP(I66,'G-7 WaterC'' Data'!$AK$4:$AM$6,2,FALSE)))</f>
        <v/>
      </c>
      <c r="K66" s="363" t="str">
        <f>IF(I66="","",IF(VLOOKUP(I66,'G-7 WaterC'' Data'!$AK$4:$AM$6,3,FALSE)=0,"Spatial Data Missing ⚠",VLOOKUP(I66,'G-7 WaterC'' Data'!$AK$4:$AM$6,3,FALSE)))</f>
        <v/>
      </c>
      <c r="L66" s="362" t="str">
        <f>IFERROR(INDEX('G-7 WaterC'' Data'!$O$3:$O$7,MATCH(G66,'G-7 WaterC'' Data'!$N$3:$N$7,0)),"")</f>
        <v/>
      </c>
      <c r="M66" s="63"/>
      <c r="N66" s="159"/>
      <c r="O66" s="370" t="str">
        <f t="shared" si="0"/>
        <v/>
      </c>
      <c r="P66" s="383" t="str">
        <f t="shared" si="1"/>
        <v/>
      </c>
      <c r="Q66" s="422" t="str">
        <f>IFERROR(IF(P66="Check Data ⚠","Check Data ⚠",VLOOKUP(P66,'G-4 Temporal multipliers'!$A$4:$C$37,3,FALSE)),"")</f>
        <v/>
      </c>
      <c r="R66" s="362" t="str">
        <f>IF(C66="","",VLOOKUP(C66,'G-7 WaterC'' Data'!$B$4:$G$8,4,FALSE))</f>
        <v/>
      </c>
      <c r="S66" s="370" t="str">
        <f t="shared" si="2"/>
        <v/>
      </c>
      <c r="T66" s="401" t="str">
        <f t="shared" si="3"/>
        <v/>
      </c>
      <c r="U66" s="363" t="str">
        <f>IF(C66="","",VLOOKUP(T66,'G-3 Multipliers'!$P$2:$Q$6,2,FALSE))</f>
        <v/>
      </c>
      <c r="V66" s="115"/>
      <c r="W66" s="363" t="str">
        <f>IF(V66="","",IF(VLOOKUP(V66,'G-7 WaterC'' Data'!$AA$4:$AB$7,2,FALSE)=0,"Spatial Data Missing ⚠",VLOOKUP(V66,'G-7 WaterC'' Data'!$AA$4:$AB$7,2,FALSE)))</f>
        <v/>
      </c>
      <c r="X66" s="60"/>
      <c r="Y66" s="363" t="str">
        <f>IF(X66="","",IF(VLOOKUP(X66,'G-7 WaterC'' Data'!$AD$4:$AE$14,2,FALSE)=0,"Enrcoachment Data Missing ⚠",VLOOKUP(X66,'G-7 WaterC'' Data'!$AD$4:$AE$14,2,FALSE)))</f>
        <v/>
      </c>
      <c r="Z66" s="423" t="str">
        <f t="shared" si="4"/>
        <v/>
      </c>
      <c r="AA66" s="117"/>
      <c r="AB66" s="118"/>
      <c r="AC66" s="120"/>
      <c r="AH66" s="30" t="str">
        <f>IFERROR(INDEX('G-7 WaterC'' Data'!$AZ$3:$AZ$7,MATCH(C66,'G-7 WaterC'' Data'!$AY$3:$AY$7,0)),"")</f>
        <v/>
      </c>
    </row>
    <row r="67" spans="2:34" ht="15">
      <c r="B67" s="110">
        <v>56</v>
      </c>
      <c r="C67" s="138"/>
      <c r="D67" s="139"/>
      <c r="E67" s="362" t="str">
        <f>IF(C67="","",VLOOKUP(C67,'G-7 WaterC'' Data'!$B$2:$G$8,2,FALSE))</f>
        <v/>
      </c>
      <c r="F67" s="363" t="str">
        <f>IFERROR(VLOOKUP(E67,'G-7 WaterC'' Data'!$C$4:$D$8,2,FALSE),"")</f>
        <v/>
      </c>
      <c r="G67" s="114"/>
      <c r="H67" s="363" t="str">
        <f>IFERROR(INDEX('G-7 WaterC'' Data'!$H$4:$L$8,MATCH(C67,'G-7 WaterC'' Data'!$B$4:$B$8,0),MATCH(G67,'G-7 WaterC'' Data'!$H$3:$L$3,0)),"")</f>
        <v/>
      </c>
      <c r="I67" s="54"/>
      <c r="J67" s="370" t="str">
        <f>IF(I67="","",IF(VLOOKUP(I67,'G-7 WaterC'' Data'!$AK$4:$AM$6,2,FALSE)=0,"Spatial Data Missing ⚠",VLOOKUP(I67,'G-7 WaterC'' Data'!$AK$4:$AM$6,2,FALSE)))</f>
        <v/>
      </c>
      <c r="K67" s="363" t="str">
        <f>IF(I67="","",IF(VLOOKUP(I67,'G-7 WaterC'' Data'!$AK$4:$AM$6,3,FALSE)=0,"Spatial Data Missing ⚠",VLOOKUP(I67,'G-7 WaterC'' Data'!$AK$4:$AM$6,3,FALSE)))</f>
        <v/>
      </c>
      <c r="L67" s="362" t="str">
        <f>IFERROR(INDEX('G-7 WaterC'' Data'!$O$3:$O$7,MATCH(G67,'G-7 WaterC'' Data'!$N$3:$N$7,0)),"")</f>
        <v/>
      </c>
      <c r="M67" s="63"/>
      <c r="N67" s="159"/>
      <c r="O67" s="370" t="str">
        <f t="shared" si="0"/>
        <v/>
      </c>
      <c r="P67" s="383" t="str">
        <f t="shared" si="1"/>
        <v/>
      </c>
      <c r="Q67" s="422" t="str">
        <f>IFERROR(IF(P67="Check Data ⚠","Check Data ⚠",VLOOKUP(P67,'G-4 Temporal multipliers'!$A$4:$C$37,3,FALSE)),"")</f>
        <v/>
      </c>
      <c r="R67" s="362" t="str">
        <f>IF(C67="","",VLOOKUP(C67,'G-7 WaterC'' Data'!$B$4:$G$8,4,FALSE))</f>
        <v/>
      </c>
      <c r="S67" s="370" t="str">
        <f t="shared" si="2"/>
        <v/>
      </c>
      <c r="T67" s="401" t="str">
        <f t="shared" si="3"/>
        <v/>
      </c>
      <c r="U67" s="363" t="str">
        <f>IF(C67="","",VLOOKUP(T67,'G-3 Multipliers'!$P$2:$Q$6,2,FALSE))</f>
        <v/>
      </c>
      <c r="V67" s="115"/>
      <c r="W67" s="363" t="str">
        <f>IF(V67="","",IF(VLOOKUP(V67,'G-7 WaterC'' Data'!$AA$4:$AB$7,2,FALSE)=0,"Spatial Data Missing ⚠",VLOOKUP(V67,'G-7 WaterC'' Data'!$AA$4:$AB$7,2,FALSE)))</f>
        <v/>
      </c>
      <c r="X67" s="60"/>
      <c r="Y67" s="363" t="str">
        <f>IF(X67="","",IF(VLOOKUP(X67,'G-7 WaterC'' Data'!$AD$4:$AE$14,2,FALSE)=0,"Enrcoachment Data Missing ⚠",VLOOKUP(X67,'G-7 WaterC'' Data'!$AD$4:$AE$14,2,FALSE)))</f>
        <v/>
      </c>
      <c r="Z67" s="423" t="str">
        <f t="shared" si="4"/>
        <v/>
      </c>
      <c r="AA67" s="117"/>
      <c r="AB67" s="118"/>
      <c r="AC67" s="120"/>
      <c r="AH67" s="30" t="str">
        <f>IFERROR(INDEX('G-7 WaterC'' Data'!$AZ$3:$AZ$7,MATCH(C67,'G-7 WaterC'' Data'!$AY$3:$AY$7,0)),"")</f>
        <v/>
      </c>
    </row>
    <row r="68" spans="2:34" ht="15">
      <c r="B68" s="110">
        <v>57</v>
      </c>
      <c r="C68" s="138"/>
      <c r="D68" s="139"/>
      <c r="E68" s="362" t="str">
        <f>IF(C68="","",VLOOKUP(C68,'G-7 WaterC'' Data'!$B$2:$G$8,2,FALSE))</f>
        <v/>
      </c>
      <c r="F68" s="363" t="str">
        <f>IFERROR(VLOOKUP(E68,'G-7 WaterC'' Data'!$C$4:$D$8,2,FALSE),"")</f>
        <v/>
      </c>
      <c r="G68" s="114"/>
      <c r="H68" s="363" t="str">
        <f>IFERROR(INDEX('G-7 WaterC'' Data'!$H$4:$L$8,MATCH(C68,'G-7 WaterC'' Data'!$B$4:$B$8,0),MATCH(G68,'G-7 WaterC'' Data'!$H$3:$L$3,0)),"")</f>
        <v/>
      </c>
      <c r="I68" s="54"/>
      <c r="J68" s="370" t="str">
        <f>IF(I68="","",IF(VLOOKUP(I68,'G-7 WaterC'' Data'!$AK$4:$AM$6,2,FALSE)=0,"Spatial Data Missing ⚠",VLOOKUP(I68,'G-7 WaterC'' Data'!$AK$4:$AM$6,2,FALSE)))</f>
        <v/>
      </c>
      <c r="K68" s="363" t="str">
        <f>IF(I68="","",IF(VLOOKUP(I68,'G-7 WaterC'' Data'!$AK$4:$AM$6,3,FALSE)=0,"Spatial Data Missing ⚠",VLOOKUP(I68,'G-7 WaterC'' Data'!$AK$4:$AM$6,3,FALSE)))</f>
        <v/>
      </c>
      <c r="L68" s="362" t="str">
        <f>IFERROR(INDEX('G-7 WaterC'' Data'!$O$3:$O$7,MATCH(G68,'G-7 WaterC'' Data'!$N$3:$N$7,0)),"")</f>
        <v/>
      </c>
      <c r="M68" s="63"/>
      <c r="N68" s="159"/>
      <c r="O68" s="370" t="str">
        <f t="shared" si="0"/>
        <v/>
      </c>
      <c r="P68" s="383" t="str">
        <f t="shared" si="1"/>
        <v/>
      </c>
      <c r="Q68" s="422" t="str">
        <f>IFERROR(IF(P68="Check Data ⚠","Check Data ⚠",VLOOKUP(P68,'G-4 Temporal multipliers'!$A$4:$C$37,3,FALSE)),"")</f>
        <v/>
      </c>
      <c r="R68" s="362" t="str">
        <f>IF(C68="","",VLOOKUP(C68,'G-7 WaterC'' Data'!$B$4:$G$8,4,FALSE))</f>
        <v/>
      </c>
      <c r="S68" s="370" t="str">
        <f t="shared" si="2"/>
        <v/>
      </c>
      <c r="T68" s="401" t="str">
        <f t="shared" si="3"/>
        <v/>
      </c>
      <c r="U68" s="363" t="str">
        <f>IF(C68="","",VLOOKUP(T68,'G-3 Multipliers'!$P$2:$Q$6,2,FALSE))</f>
        <v/>
      </c>
      <c r="V68" s="115"/>
      <c r="W68" s="363" t="str">
        <f>IF(V68="","",IF(VLOOKUP(V68,'G-7 WaterC'' Data'!$AA$4:$AB$7,2,FALSE)=0,"Spatial Data Missing ⚠",VLOOKUP(V68,'G-7 WaterC'' Data'!$AA$4:$AB$7,2,FALSE)))</f>
        <v/>
      </c>
      <c r="X68" s="60"/>
      <c r="Y68" s="363" t="str">
        <f>IF(X68="","",IF(VLOOKUP(X68,'G-7 WaterC'' Data'!$AD$4:$AE$14,2,FALSE)=0,"Enrcoachment Data Missing ⚠",VLOOKUP(X68,'G-7 WaterC'' Data'!$AD$4:$AE$14,2,FALSE)))</f>
        <v/>
      </c>
      <c r="Z68" s="423" t="str">
        <f t="shared" si="4"/>
        <v/>
      </c>
      <c r="AA68" s="117"/>
      <c r="AB68" s="118"/>
      <c r="AC68" s="120"/>
      <c r="AH68" s="30" t="str">
        <f>IFERROR(INDEX('G-7 WaterC'' Data'!$AZ$3:$AZ$7,MATCH(C68,'G-7 WaterC'' Data'!$AY$3:$AY$7,0)),"")</f>
        <v/>
      </c>
    </row>
    <row r="69" spans="2:34" ht="15">
      <c r="B69" s="110">
        <v>58</v>
      </c>
      <c r="C69" s="138"/>
      <c r="D69" s="139"/>
      <c r="E69" s="362" t="str">
        <f>IF(C69="","",VLOOKUP(C69,'G-7 WaterC'' Data'!$B$2:$G$8,2,FALSE))</f>
        <v/>
      </c>
      <c r="F69" s="363" t="str">
        <f>IFERROR(VLOOKUP(E69,'G-7 WaterC'' Data'!$C$4:$D$8,2,FALSE),"")</f>
        <v/>
      </c>
      <c r="G69" s="114"/>
      <c r="H69" s="363" t="str">
        <f>IFERROR(INDEX('G-7 WaterC'' Data'!$H$4:$L$8,MATCH(C69,'G-7 WaterC'' Data'!$B$4:$B$8,0),MATCH(G69,'G-7 WaterC'' Data'!$H$3:$L$3,0)),"")</f>
        <v/>
      </c>
      <c r="I69" s="54"/>
      <c r="J69" s="370" t="str">
        <f>IF(I69="","",IF(VLOOKUP(I69,'G-7 WaterC'' Data'!$AK$4:$AM$6,2,FALSE)=0,"Spatial Data Missing ⚠",VLOOKUP(I69,'G-7 WaterC'' Data'!$AK$4:$AM$6,2,FALSE)))</f>
        <v/>
      </c>
      <c r="K69" s="363" t="str">
        <f>IF(I69="","",IF(VLOOKUP(I69,'G-7 WaterC'' Data'!$AK$4:$AM$6,3,FALSE)=0,"Spatial Data Missing ⚠",VLOOKUP(I69,'G-7 WaterC'' Data'!$AK$4:$AM$6,3,FALSE)))</f>
        <v/>
      </c>
      <c r="L69" s="362" t="str">
        <f>IFERROR(INDEX('G-7 WaterC'' Data'!$O$3:$O$7,MATCH(G69,'G-7 WaterC'' Data'!$N$3:$N$7,0)),"")</f>
        <v/>
      </c>
      <c r="M69" s="63"/>
      <c r="N69" s="159"/>
      <c r="O69" s="370" t="str">
        <f t="shared" si="0"/>
        <v/>
      </c>
      <c r="P69" s="383" t="str">
        <f t="shared" si="1"/>
        <v/>
      </c>
      <c r="Q69" s="422" t="str">
        <f>IFERROR(IF(P69="Check Data ⚠","Check Data ⚠",VLOOKUP(P69,'G-4 Temporal multipliers'!$A$4:$C$37,3,FALSE)),"")</f>
        <v/>
      </c>
      <c r="R69" s="362" t="str">
        <f>IF(C69="","",VLOOKUP(C69,'G-7 WaterC'' Data'!$B$4:$G$8,4,FALSE))</f>
        <v/>
      </c>
      <c r="S69" s="370" t="str">
        <f t="shared" si="2"/>
        <v/>
      </c>
      <c r="T69" s="401" t="str">
        <f t="shared" si="3"/>
        <v/>
      </c>
      <c r="U69" s="363" t="str">
        <f>IF(C69="","",VLOOKUP(T69,'G-3 Multipliers'!$P$2:$Q$6,2,FALSE))</f>
        <v/>
      </c>
      <c r="V69" s="115"/>
      <c r="W69" s="363" t="str">
        <f>IF(V69="","",IF(VLOOKUP(V69,'G-7 WaterC'' Data'!$AA$4:$AB$7,2,FALSE)=0,"Spatial Data Missing ⚠",VLOOKUP(V69,'G-7 WaterC'' Data'!$AA$4:$AB$7,2,FALSE)))</f>
        <v/>
      </c>
      <c r="X69" s="60"/>
      <c r="Y69" s="363" t="str">
        <f>IF(X69="","",IF(VLOOKUP(X69,'G-7 WaterC'' Data'!$AD$4:$AE$14,2,FALSE)=0,"Enrcoachment Data Missing ⚠",VLOOKUP(X69,'G-7 WaterC'' Data'!$AD$4:$AE$14,2,FALSE)))</f>
        <v/>
      </c>
      <c r="Z69" s="423" t="str">
        <f t="shared" si="4"/>
        <v/>
      </c>
      <c r="AA69" s="117"/>
      <c r="AB69" s="118"/>
      <c r="AC69" s="120"/>
      <c r="AH69" s="30" t="str">
        <f>IFERROR(INDEX('G-7 WaterC'' Data'!$AZ$3:$AZ$7,MATCH(C69,'G-7 WaterC'' Data'!$AY$3:$AY$7,0)),"")</f>
        <v/>
      </c>
    </row>
    <row r="70" spans="2:34" ht="15">
      <c r="B70" s="110">
        <v>59</v>
      </c>
      <c r="C70" s="138"/>
      <c r="D70" s="139"/>
      <c r="E70" s="362" t="str">
        <f>IF(C70="","",VLOOKUP(C70,'G-7 WaterC'' Data'!$B$2:$G$8,2,FALSE))</f>
        <v/>
      </c>
      <c r="F70" s="363" t="str">
        <f>IFERROR(VLOOKUP(E70,'G-7 WaterC'' Data'!$C$4:$D$8,2,FALSE),"")</f>
        <v/>
      </c>
      <c r="G70" s="114"/>
      <c r="H70" s="363" t="str">
        <f>IFERROR(INDEX('G-7 WaterC'' Data'!$H$4:$L$8,MATCH(C70,'G-7 WaterC'' Data'!$B$4:$B$8,0),MATCH(G70,'G-7 WaterC'' Data'!$H$3:$L$3,0)),"")</f>
        <v/>
      </c>
      <c r="I70" s="54"/>
      <c r="J70" s="370" t="str">
        <f>IF(I70="","",IF(VLOOKUP(I70,'G-7 WaterC'' Data'!$AK$4:$AM$6,2,FALSE)=0,"Spatial Data Missing ⚠",VLOOKUP(I70,'G-7 WaterC'' Data'!$AK$4:$AM$6,2,FALSE)))</f>
        <v/>
      </c>
      <c r="K70" s="363" t="str">
        <f>IF(I70="","",IF(VLOOKUP(I70,'G-7 WaterC'' Data'!$AK$4:$AM$6,3,FALSE)=0,"Spatial Data Missing ⚠",VLOOKUP(I70,'G-7 WaterC'' Data'!$AK$4:$AM$6,3,FALSE)))</f>
        <v/>
      </c>
      <c r="L70" s="362" t="str">
        <f>IFERROR(INDEX('G-7 WaterC'' Data'!$O$3:$O$7,MATCH(G70,'G-7 WaterC'' Data'!$N$3:$N$7,0)),"")</f>
        <v/>
      </c>
      <c r="M70" s="63"/>
      <c r="N70" s="159"/>
      <c r="O70" s="370" t="str">
        <f t="shared" si="0"/>
        <v/>
      </c>
      <c r="P70" s="383" t="str">
        <f t="shared" si="1"/>
        <v/>
      </c>
      <c r="Q70" s="422" t="str">
        <f>IFERROR(IF(P70="Check Data ⚠","Check Data ⚠",VLOOKUP(P70,'G-4 Temporal multipliers'!$A$4:$C$37,3,FALSE)),"")</f>
        <v/>
      </c>
      <c r="R70" s="362" t="str">
        <f>IF(C70="","",VLOOKUP(C70,'G-7 WaterC'' Data'!$B$4:$G$8,4,FALSE))</f>
        <v/>
      </c>
      <c r="S70" s="370" t="str">
        <f t="shared" si="2"/>
        <v/>
      </c>
      <c r="T70" s="401" t="str">
        <f t="shared" si="3"/>
        <v/>
      </c>
      <c r="U70" s="363" t="str">
        <f>IF(C70="","",VLOOKUP(T70,'G-3 Multipliers'!$P$2:$Q$6,2,FALSE))</f>
        <v/>
      </c>
      <c r="V70" s="115"/>
      <c r="W70" s="363" t="str">
        <f>IF(V70="","",IF(VLOOKUP(V70,'G-7 WaterC'' Data'!$AA$4:$AB$7,2,FALSE)=0,"Spatial Data Missing ⚠",VLOOKUP(V70,'G-7 WaterC'' Data'!$AA$4:$AB$7,2,FALSE)))</f>
        <v/>
      </c>
      <c r="X70" s="60"/>
      <c r="Y70" s="363" t="str">
        <f>IF(X70="","",IF(VLOOKUP(X70,'G-7 WaterC'' Data'!$AD$4:$AE$14,2,FALSE)=0,"Enrcoachment Data Missing ⚠",VLOOKUP(X70,'G-7 WaterC'' Data'!$AD$4:$AE$14,2,FALSE)))</f>
        <v/>
      </c>
      <c r="Z70" s="423" t="str">
        <f t="shared" si="4"/>
        <v/>
      </c>
      <c r="AA70" s="117"/>
      <c r="AB70" s="118"/>
      <c r="AC70" s="120"/>
      <c r="AH70" s="30" t="str">
        <f>IFERROR(INDEX('G-7 WaterC'' Data'!$AZ$3:$AZ$7,MATCH(C70,'G-7 WaterC'' Data'!$AY$3:$AY$7,0)),"")</f>
        <v/>
      </c>
    </row>
    <row r="71" spans="2:34" ht="15">
      <c r="B71" s="110">
        <v>60</v>
      </c>
      <c r="C71" s="138"/>
      <c r="D71" s="139"/>
      <c r="E71" s="362" t="str">
        <f>IF(C71="","",VLOOKUP(C71,'G-7 WaterC'' Data'!$B$2:$G$8,2,FALSE))</f>
        <v/>
      </c>
      <c r="F71" s="363" t="str">
        <f>IFERROR(VLOOKUP(E71,'G-7 WaterC'' Data'!$C$4:$D$8,2,FALSE),"")</f>
        <v/>
      </c>
      <c r="G71" s="114"/>
      <c r="H71" s="363" t="str">
        <f>IFERROR(INDEX('G-7 WaterC'' Data'!$H$4:$L$8,MATCH(C71,'G-7 WaterC'' Data'!$B$4:$B$8,0),MATCH(G71,'G-7 WaterC'' Data'!$H$3:$L$3,0)),"")</f>
        <v/>
      </c>
      <c r="I71" s="54"/>
      <c r="J71" s="370" t="str">
        <f>IF(I71="","",IF(VLOOKUP(I71,'G-7 WaterC'' Data'!$AK$4:$AM$6,2,FALSE)=0,"Spatial Data Missing ⚠",VLOOKUP(I71,'G-7 WaterC'' Data'!$AK$4:$AM$6,2,FALSE)))</f>
        <v/>
      </c>
      <c r="K71" s="363" t="str">
        <f>IF(I71="","",IF(VLOOKUP(I71,'G-7 WaterC'' Data'!$AK$4:$AM$6,3,FALSE)=0,"Spatial Data Missing ⚠",VLOOKUP(I71,'G-7 WaterC'' Data'!$AK$4:$AM$6,3,FALSE)))</f>
        <v/>
      </c>
      <c r="L71" s="362" t="str">
        <f>IFERROR(INDEX('G-7 WaterC'' Data'!$O$3:$O$7,MATCH(G71,'G-7 WaterC'' Data'!$N$3:$N$7,0)),"")</f>
        <v/>
      </c>
      <c r="M71" s="63"/>
      <c r="N71" s="159"/>
      <c r="O71" s="370" t="str">
        <f t="shared" si="0"/>
        <v/>
      </c>
      <c r="P71" s="383" t="str">
        <f t="shared" si="1"/>
        <v/>
      </c>
      <c r="Q71" s="422" t="str">
        <f>IFERROR(IF(P71="Check Data ⚠","Check Data ⚠",VLOOKUP(P71,'G-4 Temporal multipliers'!$A$4:$C$37,3,FALSE)),"")</f>
        <v/>
      </c>
      <c r="R71" s="362" t="str">
        <f>IF(C71="","",VLOOKUP(C71,'G-7 WaterC'' Data'!$B$4:$G$8,4,FALSE))</f>
        <v/>
      </c>
      <c r="S71" s="370" t="str">
        <f t="shared" si="2"/>
        <v/>
      </c>
      <c r="T71" s="401" t="str">
        <f t="shared" si="3"/>
        <v/>
      </c>
      <c r="U71" s="363" t="str">
        <f>IF(C71="","",VLOOKUP(T71,'G-3 Multipliers'!$P$2:$Q$6,2,FALSE))</f>
        <v/>
      </c>
      <c r="V71" s="115"/>
      <c r="W71" s="363" t="str">
        <f>IF(V71="","",IF(VLOOKUP(V71,'G-7 WaterC'' Data'!$AA$4:$AB$7,2,FALSE)=0,"Spatial Data Missing ⚠",VLOOKUP(V71,'G-7 WaterC'' Data'!$AA$4:$AB$7,2,FALSE)))</f>
        <v/>
      </c>
      <c r="X71" s="60"/>
      <c r="Y71" s="363" t="str">
        <f>IF(X71="","",IF(VLOOKUP(X71,'G-7 WaterC'' Data'!$AD$4:$AE$14,2,FALSE)=0,"Enrcoachment Data Missing ⚠",VLOOKUP(X71,'G-7 WaterC'' Data'!$AD$4:$AE$14,2,FALSE)))</f>
        <v/>
      </c>
      <c r="Z71" s="423" t="str">
        <f t="shared" si="4"/>
        <v/>
      </c>
      <c r="AA71" s="117"/>
      <c r="AB71" s="118"/>
      <c r="AC71" s="120"/>
      <c r="AH71" s="30" t="str">
        <f>IFERROR(INDEX('G-7 WaterC'' Data'!$AZ$3:$AZ$7,MATCH(C71,'G-7 WaterC'' Data'!$AY$3:$AY$7,0)),"")</f>
        <v/>
      </c>
    </row>
    <row r="72" spans="2:34" ht="15">
      <c r="B72" s="110">
        <v>61</v>
      </c>
      <c r="C72" s="138"/>
      <c r="D72" s="139"/>
      <c r="E72" s="362" t="str">
        <f>IF(C72="","",VLOOKUP(C72,'G-7 WaterC'' Data'!$B$2:$G$8,2,FALSE))</f>
        <v/>
      </c>
      <c r="F72" s="363" t="str">
        <f>IFERROR(VLOOKUP(E72,'G-7 WaterC'' Data'!$C$4:$D$8,2,FALSE),"")</f>
        <v/>
      </c>
      <c r="G72" s="114"/>
      <c r="H72" s="363" t="str">
        <f>IFERROR(INDEX('G-7 WaterC'' Data'!$H$4:$L$8,MATCH(C72,'G-7 WaterC'' Data'!$B$4:$B$8,0),MATCH(G72,'G-7 WaterC'' Data'!$H$3:$L$3,0)),"")</f>
        <v/>
      </c>
      <c r="I72" s="54"/>
      <c r="J72" s="370" t="str">
        <f>IF(I72="","",IF(VLOOKUP(I72,'G-7 WaterC'' Data'!$AK$4:$AM$6,2,FALSE)=0,"Spatial Data Missing ⚠",VLOOKUP(I72,'G-7 WaterC'' Data'!$AK$4:$AM$6,2,FALSE)))</f>
        <v/>
      </c>
      <c r="K72" s="363" t="str">
        <f>IF(I72="","",IF(VLOOKUP(I72,'G-7 WaterC'' Data'!$AK$4:$AM$6,3,FALSE)=0,"Spatial Data Missing ⚠",VLOOKUP(I72,'G-7 WaterC'' Data'!$AK$4:$AM$6,3,FALSE)))</f>
        <v/>
      </c>
      <c r="L72" s="362" t="str">
        <f>IFERROR(INDEX('G-7 WaterC'' Data'!$O$3:$O$7,MATCH(G72,'G-7 WaterC'' Data'!$N$3:$N$7,0)),"")</f>
        <v/>
      </c>
      <c r="M72" s="63"/>
      <c r="N72" s="159"/>
      <c r="O72" s="370" t="str">
        <f t="shared" si="0"/>
        <v/>
      </c>
      <c r="P72" s="383" t="str">
        <f t="shared" si="1"/>
        <v/>
      </c>
      <c r="Q72" s="422" t="str">
        <f>IFERROR(IF(P72="Check Data ⚠","Check Data ⚠",VLOOKUP(P72,'G-4 Temporal multipliers'!$A$4:$C$37,3,FALSE)),"")</f>
        <v/>
      </c>
      <c r="R72" s="362" t="str">
        <f>IF(C72="","",VLOOKUP(C72,'G-7 WaterC'' Data'!$B$4:$G$8,4,FALSE))</f>
        <v/>
      </c>
      <c r="S72" s="370" t="str">
        <f t="shared" si="2"/>
        <v/>
      </c>
      <c r="T72" s="401" t="str">
        <f t="shared" si="3"/>
        <v/>
      </c>
      <c r="U72" s="363" t="str">
        <f>IF(C72="","",VLOOKUP(T72,'G-3 Multipliers'!$P$2:$Q$6,2,FALSE))</f>
        <v/>
      </c>
      <c r="V72" s="115"/>
      <c r="W72" s="363" t="str">
        <f>IF(V72="","",IF(VLOOKUP(V72,'G-7 WaterC'' Data'!$AA$4:$AB$7,2,FALSE)=0,"Spatial Data Missing ⚠",VLOOKUP(V72,'G-7 WaterC'' Data'!$AA$4:$AB$7,2,FALSE)))</f>
        <v/>
      </c>
      <c r="X72" s="60"/>
      <c r="Y72" s="363" t="str">
        <f>IF(X72="","",IF(VLOOKUP(X72,'G-7 WaterC'' Data'!$AD$4:$AE$14,2,FALSE)=0,"Enrcoachment Data Missing ⚠",VLOOKUP(X72,'G-7 WaterC'' Data'!$AD$4:$AE$14,2,FALSE)))</f>
        <v/>
      </c>
      <c r="Z72" s="423" t="str">
        <f t="shared" si="4"/>
        <v/>
      </c>
      <c r="AA72" s="117"/>
      <c r="AB72" s="118"/>
      <c r="AC72" s="120"/>
      <c r="AH72" s="30" t="str">
        <f>IFERROR(INDEX('G-7 WaterC'' Data'!$AZ$3:$AZ$7,MATCH(C72,'G-7 WaterC'' Data'!$AY$3:$AY$7,0)),"")</f>
        <v/>
      </c>
    </row>
    <row r="73" spans="2:34" ht="15">
      <c r="B73" s="110">
        <v>62</v>
      </c>
      <c r="C73" s="138"/>
      <c r="D73" s="139"/>
      <c r="E73" s="362" t="str">
        <f>IF(C73="","",VLOOKUP(C73,'G-7 WaterC'' Data'!$B$2:$G$8,2,FALSE))</f>
        <v/>
      </c>
      <c r="F73" s="363" t="str">
        <f>IFERROR(VLOOKUP(E73,'G-7 WaterC'' Data'!$C$4:$D$8,2,FALSE),"")</f>
        <v/>
      </c>
      <c r="G73" s="114"/>
      <c r="H73" s="363" t="str">
        <f>IFERROR(INDEX('G-7 WaterC'' Data'!$H$4:$L$8,MATCH(C73,'G-7 WaterC'' Data'!$B$4:$B$8,0),MATCH(G73,'G-7 WaterC'' Data'!$H$3:$L$3,0)),"")</f>
        <v/>
      </c>
      <c r="I73" s="54"/>
      <c r="J73" s="370" t="str">
        <f>IF(I73="","",IF(VLOOKUP(I73,'G-7 WaterC'' Data'!$AK$4:$AM$6,2,FALSE)=0,"Spatial Data Missing ⚠",VLOOKUP(I73,'G-7 WaterC'' Data'!$AK$4:$AM$6,2,FALSE)))</f>
        <v/>
      </c>
      <c r="K73" s="363" t="str">
        <f>IF(I73="","",IF(VLOOKUP(I73,'G-7 WaterC'' Data'!$AK$4:$AM$6,3,FALSE)=0,"Spatial Data Missing ⚠",VLOOKUP(I73,'G-7 WaterC'' Data'!$AK$4:$AM$6,3,FALSE)))</f>
        <v/>
      </c>
      <c r="L73" s="362" t="str">
        <f>IFERROR(INDEX('G-7 WaterC'' Data'!$O$3:$O$7,MATCH(G73,'G-7 WaterC'' Data'!$N$3:$N$7,0)),"")</f>
        <v/>
      </c>
      <c r="M73" s="63"/>
      <c r="N73" s="159"/>
      <c r="O73" s="370" t="str">
        <f t="shared" si="0"/>
        <v/>
      </c>
      <c r="P73" s="383" t="str">
        <f t="shared" si="1"/>
        <v/>
      </c>
      <c r="Q73" s="422" t="str">
        <f>IFERROR(IF(P73="Check Data ⚠","Check Data ⚠",VLOOKUP(P73,'G-4 Temporal multipliers'!$A$4:$C$37,3,FALSE)),"")</f>
        <v/>
      </c>
      <c r="R73" s="362" t="str">
        <f>IF(C73="","",VLOOKUP(C73,'G-7 WaterC'' Data'!$B$4:$G$8,4,FALSE))</f>
        <v/>
      </c>
      <c r="S73" s="370" t="str">
        <f t="shared" si="2"/>
        <v/>
      </c>
      <c r="T73" s="401" t="str">
        <f t="shared" si="3"/>
        <v/>
      </c>
      <c r="U73" s="363" t="str">
        <f>IF(C73="","",VLOOKUP(T73,'G-3 Multipliers'!$P$2:$Q$6,2,FALSE))</f>
        <v/>
      </c>
      <c r="V73" s="115"/>
      <c r="W73" s="363" t="str">
        <f>IF(V73="","",IF(VLOOKUP(V73,'G-7 WaterC'' Data'!$AA$4:$AB$7,2,FALSE)=0,"Spatial Data Missing ⚠",VLOOKUP(V73,'G-7 WaterC'' Data'!$AA$4:$AB$7,2,FALSE)))</f>
        <v/>
      </c>
      <c r="X73" s="60"/>
      <c r="Y73" s="363" t="str">
        <f>IF(X73="","",IF(VLOOKUP(X73,'G-7 WaterC'' Data'!$AD$4:$AE$14,2,FALSE)=0,"Enrcoachment Data Missing ⚠",VLOOKUP(X73,'G-7 WaterC'' Data'!$AD$4:$AE$14,2,FALSE)))</f>
        <v/>
      </c>
      <c r="Z73" s="423" t="str">
        <f t="shared" si="4"/>
        <v/>
      </c>
      <c r="AA73" s="117"/>
      <c r="AB73" s="118"/>
      <c r="AC73" s="120"/>
      <c r="AH73" s="30" t="str">
        <f>IFERROR(INDEX('G-7 WaterC'' Data'!$AZ$3:$AZ$7,MATCH(C73,'G-7 WaterC'' Data'!$AY$3:$AY$7,0)),"")</f>
        <v/>
      </c>
    </row>
    <row r="74" spans="2:34" ht="15">
      <c r="B74" s="110">
        <v>63</v>
      </c>
      <c r="C74" s="138"/>
      <c r="D74" s="139"/>
      <c r="E74" s="362" t="str">
        <f>IF(C74="","",VLOOKUP(C74,'G-7 WaterC'' Data'!$B$2:$G$8,2,FALSE))</f>
        <v/>
      </c>
      <c r="F74" s="363" t="str">
        <f>IFERROR(VLOOKUP(E74,'G-7 WaterC'' Data'!$C$4:$D$8,2,FALSE),"")</f>
        <v/>
      </c>
      <c r="G74" s="114"/>
      <c r="H74" s="363" t="str">
        <f>IFERROR(INDEX('G-7 WaterC'' Data'!$H$4:$L$8,MATCH(C74,'G-7 WaterC'' Data'!$B$4:$B$8,0),MATCH(G74,'G-7 WaterC'' Data'!$H$3:$L$3,0)),"")</f>
        <v/>
      </c>
      <c r="I74" s="54"/>
      <c r="J74" s="370" t="str">
        <f>IF(I74="","",IF(VLOOKUP(I74,'G-7 WaterC'' Data'!$AK$4:$AM$6,2,FALSE)=0,"Spatial Data Missing ⚠",VLOOKUP(I74,'G-7 WaterC'' Data'!$AK$4:$AM$6,2,FALSE)))</f>
        <v/>
      </c>
      <c r="K74" s="363" t="str">
        <f>IF(I74="","",IF(VLOOKUP(I74,'G-7 WaterC'' Data'!$AK$4:$AM$6,3,FALSE)=0,"Spatial Data Missing ⚠",VLOOKUP(I74,'G-7 WaterC'' Data'!$AK$4:$AM$6,3,FALSE)))</f>
        <v/>
      </c>
      <c r="L74" s="362" t="str">
        <f>IFERROR(INDEX('G-7 WaterC'' Data'!$O$3:$O$7,MATCH(G74,'G-7 WaterC'' Data'!$N$3:$N$7,0)),"")</f>
        <v/>
      </c>
      <c r="M74" s="63"/>
      <c r="N74" s="159"/>
      <c r="O74" s="370" t="str">
        <f t="shared" si="0"/>
        <v/>
      </c>
      <c r="P74" s="383" t="str">
        <f t="shared" si="1"/>
        <v/>
      </c>
      <c r="Q74" s="422" t="str">
        <f>IFERROR(IF(P74="Check Data ⚠","Check Data ⚠",VLOOKUP(P74,'G-4 Temporal multipliers'!$A$4:$C$37,3,FALSE)),"")</f>
        <v/>
      </c>
      <c r="R74" s="362" t="str">
        <f>IF(C74="","",VLOOKUP(C74,'G-7 WaterC'' Data'!$B$4:$G$8,4,FALSE))</f>
        <v/>
      </c>
      <c r="S74" s="370" t="str">
        <f t="shared" si="2"/>
        <v/>
      </c>
      <c r="T74" s="401" t="str">
        <f t="shared" si="3"/>
        <v/>
      </c>
      <c r="U74" s="363" t="str">
        <f>IF(C74="","",VLOOKUP(T74,'G-3 Multipliers'!$P$2:$Q$6,2,FALSE))</f>
        <v/>
      </c>
      <c r="V74" s="115"/>
      <c r="W74" s="363" t="str">
        <f>IF(V74="","",IF(VLOOKUP(V74,'G-7 WaterC'' Data'!$AA$4:$AB$7,2,FALSE)=0,"Spatial Data Missing ⚠",VLOOKUP(V74,'G-7 WaterC'' Data'!$AA$4:$AB$7,2,FALSE)))</f>
        <v/>
      </c>
      <c r="X74" s="60"/>
      <c r="Y74" s="363" t="str">
        <f>IF(X74="","",IF(VLOOKUP(X74,'G-7 WaterC'' Data'!$AD$4:$AE$14,2,FALSE)=0,"Enrcoachment Data Missing ⚠",VLOOKUP(X74,'G-7 WaterC'' Data'!$AD$4:$AE$14,2,FALSE)))</f>
        <v/>
      </c>
      <c r="Z74" s="423" t="str">
        <f t="shared" si="4"/>
        <v/>
      </c>
      <c r="AA74" s="117"/>
      <c r="AB74" s="118"/>
      <c r="AC74" s="120"/>
      <c r="AH74" s="30" t="str">
        <f>IFERROR(INDEX('G-7 WaterC'' Data'!$AZ$3:$AZ$7,MATCH(C74,'G-7 WaterC'' Data'!$AY$3:$AY$7,0)),"")</f>
        <v/>
      </c>
    </row>
    <row r="75" spans="2:34" ht="15">
      <c r="B75" s="110">
        <v>64</v>
      </c>
      <c r="C75" s="138"/>
      <c r="D75" s="139"/>
      <c r="E75" s="362" t="str">
        <f>IF(C75="","",VLOOKUP(C75,'G-7 WaterC'' Data'!$B$2:$G$8,2,FALSE))</f>
        <v/>
      </c>
      <c r="F75" s="363" t="str">
        <f>IFERROR(VLOOKUP(E75,'G-7 WaterC'' Data'!$C$4:$D$8,2,FALSE),"")</f>
        <v/>
      </c>
      <c r="G75" s="114"/>
      <c r="H75" s="363" t="str">
        <f>IFERROR(INDEX('G-7 WaterC'' Data'!$H$4:$L$8,MATCH(C75,'G-7 WaterC'' Data'!$B$4:$B$8,0),MATCH(G75,'G-7 WaterC'' Data'!$H$3:$L$3,0)),"")</f>
        <v/>
      </c>
      <c r="I75" s="54"/>
      <c r="J75" s="370" t="str">
        <f>IF(I75="","",IF(VLOOKUP(I75,'G-7 WaterC'' Data'!$AK$4:$AM$6,2,FALSE)=0,"Spatial Data Missing ⚠",VLOOKUP(I75,'G-7 WaterC'' Data'!$AK$4:$AM$6,2,FALSE)))</f>
        <v/>
      </c>
      <c r="K75" s="363" t="str">
        <f>IF(I75="","",IF(VLOOKUP(I75,'G-7 WaterC'' Data'!$AK$4:$AM$6,3,FALSE)=0,"Spatial Data Missing ⚠",VLOOKUP(I75,'G-7 WaterC'' Data'!$AK$4:$AM$6,3,FALSE)))</f>
        <v/>
      </c>
      <c r="L75" s="362" t="str">
        <f>IFERROR(INDEX('G-7 WaterC'' Data'!$O$3:$O$7,MATCH(G75,'G-7 WaterC'' Data'!$N$3:$N$7,0)),"")</f>
        <v/>
      </c>
      <c r="M75" s="63"/>
      <c r="N75" s="159"/>
      <c r="O75" s="370" t="str">
        <f t="shared" si="0"/>
        <v/>
      </c>
      <c r="P75" s="383" t="str">
        <f t="shared" si="1"/>
        <v/>
      </c>
      <c r="Q75" s="422" t="str">
        <f>IFERROR(IF(P75="Check Data ⚠","Check Data ⚠",VLOOKUP(P75,'G-4 Temporal multipliers'!$A$4:$C$37,3,FALSE)),"")</f>
        <v/>
      </c>
      <c r="R75" s="362" t="str">
        <f>IF(C75="","",VLOOKUP(C75,'G-7 WaterC'' Data'!$B$4:$G$8,4,FALSE))</f>
        <v/>
      </c>
      <c r="S75" s="370" t="str">
        <f t="shared" si="2"/>
        <v/>
      </c>
      <c r="T75" s="401" t="str">
        <f t="shared" si="3"/>
        <v/>
      </c>
      <c r="U75" s="363" t="str">
        <f>IF(C75="","",VLOOKUP(T75,'G-3 Multipliers'!$P$2:$Q$6,2,FALSE))</f>
        <v/>
      </c>
      <c r="V75" s="115"/>
      <c r="W75" s="363" t="str">
        <f>IF(V75="","",IF(VLOOKUP(V75,'G-7 WaterC'' Data'!$AA$4:$AB$7,2,FALSE)=0,"Spatial Data Missing ⚠",VLOOKUP(V75,'G-7 WaterC'' Data'!$AA$4:$AB$7,2,FALSE)))</f>
        <v/>
      </c>
      <c r="X75" s="60"/>
      <c r="Y75" s="363" t="str">
        <f>IF(X75="","",IF(VLOOKUP(X75,'G-7 WaterC'' Data'!$AD$4:$AE$14,2,FALSE)=0,"Enrcoachment Data Missing ⚠",VLOOKUP(X75,'G-7 WaterC'' Data'!$AD$4:$AE$14,2,FALSE)))</f>
        <v/>
      </c>
      <c r="Z75" s="423" t="str">
        <f t="shared" si="4"/>
        <v/>
      </c>
      <c r="AA75" s="117"/>
      <c r="AB75" s="118"/>
      <c r="AC75" s="120"/>
      <c r="AH75" s="30" t="str">
        <f>IFERROR(INDEX('G-7 WaterC'' Data'!$AZ$3:$AZ$7,MATCH(C75,'G-7 WaterC'' Data'!$AY$3:$AY$7,0)),"")</f>
        <v/>
      </c>
    </row>
    <row r="76" spans="2:34" ht="15">
      <c r="B76" s="110">
        <v>65</v>
      </c>
      <c r="C76" s="138"/>
      <c r="D76" s="139"/>
      <c r="E76" s="362" t="str">
        <f>IF(C76="","",VLOOKUP(C76,'G-7 WaterC'' Data'!$B$2:$G$8,2,FALSE))</f>
        <v/>
      </c>
      <c r="F76" s="363" t="str">
        <f>IFERROR(VLOOKUP(E76,'G-7 WaterC'' Data'!$C$4:$D$8,2,FALSE),"")</f>
        <v/>
      </c>
      <c r="G76" s="114"/>
      <c r="H76" s="363" t="str">
        <f>IFERROR(INDEX('G-7 WaterC'' Data'!$H$4:$L$8,MATCH(C76,'G-7 WaterC'' Data'!$B$4:$B$8,0),MATCH(G76,'G-7 WaterC'' Data'!$H$3:$L$3,0)),"")</f>
        <v/>
      </c>
      <c r="I76" s="54"/>
      <c r="J76" s="370" t="str">
        <f>IF(I76="","",IF(VLOOKUP(I76,'G-7 WaterC'' Data'!$AK$4:$AM$6,2,FALSE)=0,"Spatial Data Missing ⚠",VLOOKUP(I76,'G-7 WaterC'' Data'!$AK$4:$AM$6,2,FALSE)))</f>
        <v/>
      </c>
      <c r="K76" s="363" t="str">
        <f>IF(I76="","",IF(VLOOKUP(I76,'G-7 WaterC'' Data'!$AK$4:$AM$6,3,FALSE)=0,"Spatial Data Missing ⚠",VLOOKUP(I76,'G-7 WaterC'' Data'!$AK$4:$AM$6,3,FALSE)))</f>
        <v/>
      </c>
      <c r="L76" s="362" t="str">
        <f>IFERROR(INDEX('G-7 WaterC'' Data'!$O$3:$O$7,MATCH(G76,'G-7 WaterC'' Data'!$N$3:$N$7,0)),"")</f>
        <v/>
      </c>
      <c r="M76" s="63"/>
      <c r="N76" s="159"/>
      <c r="O76" s="370" t="str">
        <f t="shared" si="0"/>
        <v/>
      </c>
      <c r="P76" s="383" t="str">
        <f t="shared" si="1"/>
        <v/>
      </c>
      <c r="Q76" s="422" t="str">
        <f>IFERROR(IF(P76="Check Data ⚠","Check Data ⚠",VLOOKUP(P76,'G-4 Temporal multipliers'!$A$4:$C$37,3,FALSE)),"")</f>
        <v/>
      </c>
      <c r="R76" s="362" t="str">
        <f>IF(C76="","",VLOOKUP(C76,'G-7 WaterC'' Data'!$B$4:$G$8,4,FALSE))</f>
        <v/>
      </c>
      <c r="S76" s="370" t="str">
        <f t="shared" si="2"/>
        <v/>
      </c>
      <c r="T76" s="401" t="str">
        <f t="shared" si="3"/>
        <v/>
      </c>
      <c r="U76" s="363" t="str">
        <f>IF(C76="","",VLOOKUP(T76,'G-3 Multipliers'!$P$2:$Q$6,2,FALSE))</f>
        <v/>
      </c>
      <c r="V76" s="115"/>
      <c r="W76" s="363" t="str">
        <f>IF(V76="","",IF(VLOOKUP(V76,'G-7 WaterC'' Data'!$AA$4:$AB$7,2,FALSE)=0,"Spatial Data Missing ⚠",VLOOKUP(V76,'G-7 WaterC'' Data'!$AA$4:$AB$7,2,FALSE)))</f>
        <v/>
      </c>
      <c r="X76" s="60"/>
      <c r="Y76" s="363" t="str">
        <f>IF(X76="","",IF(VLOOKUP(X76,'G-7 WaterC'' Data'!$AD$4:$AE$14,2,FALSE)=0,"Enrcoachment Data Missing ⚠",VLOOKUP(X76,'G-7 WaterC'' Data'!$AD$4:$AE$14,2,FALSE)))</f>
        <v/>
      </c>
      <c r="Z76" s="423" t="str">
        <f t="shared" si="4"/>
        <v/>
      </c>
      <c r="AA76" s="117"/>
      <c r="AB76" s="118"/>
      <c r="AC76" s="120"/>
      <c r="AH76" s="30" t="str">
        <f>IFERROR(INDEX('G-7 WaterC'' Data'!$AZ$3:$AZ$7,MATCH(C76,'G-7 WaterC'' Data'!$AY$3:$AY$7,0)),"")</f>
        <v/>
      </c>
    </row>
    <row r="77" spans="2:34" ht="15">
      <c r="B77" s="110">
        <v>66</v>
      </c>
      <c r="C77" s="138"/>
      <c r="D77" s="139"/>
      <c r="E77" s="362" t="str">
        <f>IF(C77="","",VLOOKUP(C77,'G-7 WaterC'' Data'!$B$2:$G$8,2,FALSE))</f>
        <v/>
      </c>
      <c r="F77" s="363" t="str">
        <f>IFERROR(VLOOKUP(E77,'G-7 WaterC'' Data'!$C$4:$D$8,2,FALSE),"")</f>
        <v/>
      </c>
      <c r="G77" s="114"/>
      <c r="H77" s="363" t="str">
        <f>IFERROR(INDEX('G-7 WaterC'' Data'!$H$4:$L$8,MATCH(C77,'G-7 WaterC'' Data'!$B$4:$B$8,0),MATCH(G77,'G-7 WaterC'' Data'!$H$3:$L$3,0)),"")</f>
        <v/>
      </c>
      <c r="I77" s="54"/>
      <c r="J77" s="370" t="str">
        <f>IF(I77="","",IF(VLOOKUP(I77,'G-7 WaterC'' Data'!$AK$4:$AM$6,2,FALSE)=0,"Spatial Data Missing ⚠",VLOOKUP(I77,'G-7 WaterC'' Data'!$AK$4:$AM$6,2,FALSE)))</f>
        <v/>
      </c>
      <c r="K77" s="363" t="str">
        <f>IF(I77="","",IF(VLOOKUP(I77,'G-7 WaterC'' Data'!$AK$4:$AM$6,3,FALSE)=0,"Spatial Data Missing ⚠",VLOOKUP(I77,'G-7 WaterC'' Data'!$AK$4:$AM$6,3,FALSE)))</f>
        <v/>
      </c>
      <c r="L77" s="362" t="str">
        <f>IFERROR(INDEX('G-7 WaterC'' Data'!$O$3:$O$7,MATCH(G77,'G-7 WaterC'' Data'!$N$3:$N$7,0)),"")</f>
        <v/>
      </c>
      <c r="M77" s="63"/>
      <c r="N77" s="159"/>
      <c r="O77" s="370" t="str">
        <f t="shared" ref="O77:O140" si="5">IF(L77="","",IF(AND(M77&gt;0,N77&gt;0),"Error -both advance and delayed habitat creation ▲",IF(AND(OR(M77="Habitat already in target condition",L77&lt;=M77),N77=0),"Check details - Is there evidence that habitat has reached target condition? ⚠",IF(M77&gt;0,"Check details - Is there evidence habitat creation started/in place? ⚠",IF(N77&gt;0,"Check details- Delay in starting habitat in required condition? ⚠","Standard time to target condition applied")))))</f>
        <v/>
      </c>
      <c r="P77" s="383" t="str">
        <f t="shared" ref="P77:P140" si="6">IF(O77="Error -both advance and delayed habitat creation ▲","Check Data ⚠",IF(L77="","",IF(M77="30+",0,IF(N77="30+","30+",IF(L77+N77&gt;30,"30+ ⚠",IF(L77+N77-M77&gt;0,L77+N77-M77,IF(L77-M77&lt;0,0,L77+N77-M77)))))))</f>
        <v/>
      </c>
      <c r="Q77" s="422" t="str">
        <f>IFERROR(IF(P77="Check Data ⚠","Check Data ⚠",VLOOKUP(P77,'G-4 Temporal multipliers'!$A$4:$C$37,3,FALSE)),"")</f>
        <v/>
      </c>
      <c r="R77" s="362" t="str">
        <f>IF(C77="","",VLOOKUP(C77,'G-7 WaterC'' Data'!$B$4:$G$8,4,FALSE))</f>
        <v/>
      </c>
      <c r="S77" s="370" t="str">
        <f t="shared" ref="S77:S140" si="7">IF(C77="","",IF(P77="Check Data ⚠","Check Data ⚠",IF(G77="","",IF($O77="Check details - Is there evidence that habitat has reached target condition? ⚠","Low Difficulty - only applicable if all habitat created before losses ⚠","Standard difficulty applied"))))</f>
        <v/>
      </c>
      <c r="T77" s="401" t="str">
        <f t="shared" ref="T77:T140" si="8">(IF(AND(S77="Standard difficulty applied",L77&gt;M77),R77,IF(AND(S77="Low Difficulty - only applicable if all habitat created before losses ⚠",M77&gt;=L77),"Low",R77)))</f>
        <v/>
      </c>
      <c r="U77" s="363" t="str">
        <f>IF(C77="","",VLOOKUP(T77,'G-3 Multipliers'!$P$2:$Q$6,2,FALSE))</f>
        <v/>
      </c>
      <c r="V77" s="115"/>
      <c r="W77" s="363" t="str">
        <f>IF(V77="","",IF(VLOOKUP(V77,'G-7 WaterC'' Data'!$AA$4:$AB$7,2,FALSE)=0,"Spatial Data Missing ⚠",VLOOKUP(V77,'G-7 WaterC'' Data'!$AA$4:$AB$7,2,FALSE)))</f>
        <v/>
      </c>
      <c r="X77" s="60"/>
      <c r="Y77" s="363" t="str">
        <f>IF(X77="","",IF(VLOOKUP(X77,'G-7 WaterC'' Data'!$AD$4:$AE$14,2,FALSE)=0,"Enrcoachment Data Missing ⚠",VLOOKUP(X77,'G-7 WaterC'' Data'!$AD$4:$AE$14,2,FALSE)))</f>
        <v/>
      </c>
      <c r="Z77" s="423" t="str">
        <f t="shared" ref="Z77:Z140" si="9">IFERROR(IF(C77="","",D77*F77*H77*K77*Q77*U77*Y77*W77),"")</f>
        <v/>
      </c>
      <c r="AA77" s="117"/>
      <c r="AB77" s="118"/>
      <c r="AC77" s="120"/>
      <c r="AH77" s="30" t="str">
        <f>IFERROR(INDEX('G-7 WaterC'' Data'!$AZ$3:$AZ$7,MATCH(C77,'G-7 WaterC'' Data'!$AY$3:$AY$7,0)),"")</f>
        <v/>
      </c>
    </row>
    <row r="78" spans="2:34" ht="15">
      <c r="B78" s="110">
        <v>67</v>
      </c>
      <c r="C78" s="138"/>
      <c r="D78" s="139"/>
      <c r="E78" s="362" t="str">
        <f>IF(C78="","",VLOOKUP(C78,'G-7 WaterC'' Data'!$B$2:$G$8,2,FALSE))</f>
        <v/>
      </c>
      <c r="F78" s="363" t="str">
        <f>IFERROR(VLOOKUP(E78,'G-7 WaterC'' Data'!$C$4:$D$8,2,FALSE),"")</f>
        <v/>
      </c>
      <c r="G78" s="114"/>
      <c r="H78" s="363" t="str">
        <f>IFERROR(INDEX('G-7 WaterC'' Data'!$H$4:$L$8,MATCH(C78,'G-7 WaterC'' Data'!$B$4:$B$8,0),MATCH(G78,'G-7 WaterC'' Data'!$H$3:$L$3,0)),"")</f>
        <v/>
      </c>
      <c r="I78" s="54"/>
      <c r="J78" s="370" t="str">
        <f>IF(I78="","",IF(VLOOKUP(I78,'G-7 WaterC'' Data'!$AK$4:$AM$6,2,FALSE)=0,"Spatial Data Missing ⚠",VLOOKUP(I78,'G-7 WaterC'' Data'!$AK$4:$AM$6,2,FALSE)))</f>
        <v/>
      </c>
      <c r="K78" s="363" t="str">
        <f>IF(I78="","",IF(VLOOKUP(I78,'G-7 WaterC'' Data'!$AK$4:$AM$6,3,FALSE)=0,"Spatial Data Missing ⚠",VLOOKUP(I78,'G-7 WaterC'' Data'!$AK$4:$AM$6,3,FALSE)))</f>
        <v/>
      </c>
      <c r="L78" s="362" t="str">
        <f>IFERROR(INDEX('G-7 WaterC'' Data'!$O$3:$O$7,MATCH(G78,'G-7 WaterC'' Data'!$N$3:$N$7,0)),"")</f>
        <v/>
      </c>
      <c r="M78" s="63"/>
      <c r="N78" s="159"/>
      <c r="O78" s="370" t="str">
        <f t="shared" si="5"/>
        <v/>
      </c>
      <c r="P78" s="383" t="str">
        <f t="shared" si="6"/>
        <v/>
      </c>
      <c r="Q78" s="422" t="str">
        <f>IFERROR(IF(P78="Check Data ⚠","Check Data ⚠",VLOOKUP(P78,'G-4 Temporal multipliers'!$A$4:$C$37,3,FALSE)),"")</f>
        <v/>
      </c>
      <c r="R78" s="362" t="str">
        <f>IF(C78="","",VLOOKUP(C78,'G-7 WaterC'' Data'!$B$4:$G$8,4,FALSE))</f>
        <v/>
      </c>
      <c r="S78" s="370" t="str">
        <f t="shared" si="7"/>
        <v/>
      </c>
      <c r="T78" s="401" t="str">
        <f t="shared" si="8"/>
        <v/>
      </c>
      <c r="U78" s="363" t="str">
        <f>IF(C78="","",VLOOKUP(T78,'G-3 Multipliers'!$P$2:$Q$6,2,FALSE))</f>
        <v/>
      </c>
      <c r="V78" s="115"/>
      <c r="W78" s="363" t="str">
        <f>IF(V78="","",IF(VLOOKUP(V78,'G-7 WaterC'' Data'!$AA$4:$AB$7,2,FALSE)=0,"Spatial Data Missing ⚠",VLOOKUP(V78,'G-7 WaterC'' Data'!$AA$4:$AB$7,2,FALSE)))</f>
        <v/>
      </c>
      <c r="X78" s="60"/>
      <c r="Y78" s="363" t="str">
        <f>IF(X78="","",IF(VLOOKUP(X78,'G-7 WaterC'' Data'!$AD$4:$AE$14,2,FALSE)=0,"Enrcoachment Data Missing ⚠",VLOOKUP(X78,'G-7 WaterC'' Data'!$AD$4:$AE$14,2,FALSE)))</f>
        <v/>
      </c>
      <c r="Z78" s="423" t="str">
        <f t="shared" si="9"/>
        <v/>
      </c>
      <c r="AA78" s="117"/>
      <c r="AB78" s="118"/>
      <c r="AC78" s="120"/>
      <c r="AH78" s="30" t="str">
        <f>IFERROR(INDEX('G-7 WaterC'' Data'!$AZ$3:$AZ$7,MATCH(C78,'G-7 WaterC'' Data'!$AY$3:$AY$7,0)),"")</f>
        <v/>
      </c>
    </row>
    <row r="79" spans="2:34" ht="15">
      <c r="B79" s="110">
        <v>68</v>
      </c>
      <c r="C79" s="138"/>
      <c r="D79" s="139"/>
      <c r="E79" s="362" t="str">
        <f>IF(C79="","",VLOOKUP(C79,'G-7 WaterC'' Data'!$B$2:$G$8,2,FALSE))</f>
        <v/>
      </c>
      <c r="F79" s="363" t="str">
        <f>IFERROR(VLOOKUP(E79,'G-7 WaterC'' Data'!$C$4:$D$8,2,FALSE),"")</f>
        <v/>
      </c>
      <c r="G79" s="114"/>
      <c r="H79" s="363" t="str">
        <f>IFERROR(INDEX('G-7 WaterC'' Data'!$H$4:$L$8,MATCH(C79,'G-7 WaterC'' Data'!$B$4:$B$8,0),MATCH(G79,'G-7 WaterC'' Data'!$H$3:$L$3,0)),"")</f>
        <v/>
      </c>
      <c r="I79" s="54"/>
      <c r="J79" s="370" t="str">
        <f>IF(I79="","",IF(VLOOKUP(I79,'G-7 WaterC'' Data'!$AK$4:$AM$6,2,FALSE)=0,"Spatial Data Missing ⚠",VLOOKUP(I79,'G-7 WaterC'' Data'!$AK$4:$AM$6,2,FALSE)))</f>
        <v/>
      </c>
      <c r="K79" s="363" t="str">
        <f>IF(I79="","",IF(VLOOKUP(I79,'G-7 WaterC'' Data'!$AK$4:$AM$6,3,FALSE)=0,"Spatial Data Missing ⚠",VLOOKUP(I79,'G-7 WaterC'' Data'!$AK$4:$AM$6,3,FALSE)))</f>
        <v/>
      </c>
      <c r="L79" s="362" t="str">
        <f>IFERROR(INDEX('G-7 WaterC'' Data'!$O$3:$O$7,MATCH(G79,'G-7 WaterC'' Data'!$N$3:$N$7,0)),"")</f>
        <v/>
      </c>
      <c r="M79" s="63"/>
      <c r="N79" s="159"/>
      <c r="O79" s="370" t="str">
        <f t="shared" si="5"/>
        <v/>
      </c>
      <c r="P79" s="383" t="str">
        <f t="shared" si="6"/>
        <v/>
      </c>
      <c r="Q79" s="422" t="str">
        <f>IFERROR(IF(P79="Check Data ⚠","Check Data ⚠",VLOOKUP(P79,'G-4 Temporal multipliers'!$A$4:$C$37,3,FALSE)),"")</f>
        <v/>
      </c>
      <c r="R79" s="362" t="str">
        <f>IF(C79="","",VLOOKUP(C79,'G-7 WaterC'' Data'!$B$4:$G$8,4,FALSE))</f>
        <v/>
      </c>
      <c r="S79" s="370" t="str">
        <f t="shared" si="7"/>
        <v/>
      </c>
      <c r="T79" s="401" t="str">
        <f t="shared" si="8"/>
        <v/>
      </c>
      <c r="U79" s="363" t="str">
        <f>IF(C79="","",VLOOKUP(T79,'G-3 Multipliers'!$P$2:$Q$6,2,FALSE))</f>
        <v/>
      </c>
      <c r="V79" s="115"/>
      <c r="W79" s="363" t="str">
        <f>IF(V79="","",IF(VLOOKUP(V79,'G-7 WaterC'' Data'!$AA$4:$AB$7,2,FALSE)=0,"Spatial Data Missing ⚠",VLOOKUP(V79,'G-7 WaterC'' Data'!$AA$4:$AB$7,2,FALSE)))</f>
        <v/>
      </c>
      <c r="X79" s="60"/>
      <c r="Y79" s="363" t="str">
        <f>IF(X79="","",IF(VLOOKUP(X79,'G-7 WaterC'' Data'!$AD$4:$AE$14,2,FALSE)=0,"Enrcoachment Data Missing ⚠",VLOOKUP(X79,'G-7 WaterC'' Data'!$AD$4:$AE$14,2,FALSE)))</f>
        <v/>
      </c>
      <c r="Z79" s="423" t="str">
        <f t="shared" si="9"/>
        <v/>
      </c>
      <c r="AA79" s="117"/>
      <c r="AB79" s="118"/>
      <c r="AC79" s="120"/>
      <c r="AH79" s="30" t="str">
        <f>IFERROR(INDEX('G-7 WaterC'' Data'!$AZ$3:$AZ$7,MATCH(C79,'G-7 WaterC'' Data'!$AY$3:$AY$7,0)),"")</f>
        <v/>
      </c>
    </row>
    <row r="80" spans="2:34" ht="15">
      <c r="B80" s="110">
        <v>69</v>
      </c>
      <c r="C80" s="138"/>
      <c r="D80" s="139"/>
      <c r="E80" s="362" t="str">
        <f>IF(C80="","",VLOOKUP(C80,'G-7 WaterC'' Data'!$B$2:$G$8,2,FALSE))</f>
        <v/>
      </c>
      <c r="F80" s="363" t="str">
        <f>IFERROR(VLOOKUP(E80,'G-7 WaterC'' Data'!$C$4:$D$8,2,FALSE),"")</f>
        <v/>
      </c>
      <c r="G80" s="114"/>
      <c r="H80" s="363" t="str">
        <f>IFERROR(INDEX('G-7 WaterC'' Data'!$H$4:$L$8,MATCH(C80,'G-7 WaterC'' Data'!$B$4:$B$8,0),MATCH(G80,'G-7 WaterC'' Data'!$H$3:$L$3,0)),"")</f>
        <v/>
      </c>
      <c r="I80" s="54"/>
      <c r="J80" s="370" t="str">
        <f>IF(I80="","",IF(VLOOKUP(I80,'G-7 WaterC'' Data'!$AK$4:$AM$6,2,FALSE)=0,"Spatial Data Missing ⚠",VLOOKUP(I80,'G-7 WaterC'' Data'!$AK$4:$AM$6,2,FALSE)))</f>
        <v/>
      </c>
      <c r="K80" s="363" t="str">
        <f>IF(I80="","",IF(VLOOKUP(I80,'G-7 WaterC'' Data'!$AK$4:$AM$6,3,FALSE)=0,"Spatial Data Missing ⚠",VLOOKUP(I80,'G-7 WaterC'' Data'!$AK$4:$AM$6,3,FALSE)))</f>
        <v/>
      </c>
      <c r="L80" s="362" t="str">
        <f>IFERROR(INDEX('G-7 WaterC'' Data'!$O$3:$O$7,MATCH(G80,'G-7 WaterC'' Data'!$N$3:$N$7,0)),"")</f>
        <v/>
      </c>
      <c r="M80" s="63"/>
      <c r="N80" s="159"/>
      <c r="O80" s="370" t="str">
        <f t="shared" si="5"/>
        <v/>
      </c>
      <c r="P80" s="383" t="str">
        <f t="shared" si="6"/>
        <v/>
      </c>
      <c r="Q80" s="422" t="str">
        <f>IFERROR(IF(P80="Check Data ⚠","Check Data ⚠",VLOOKUP(P80,'G-4 Temporal multipliers'!$A$4:$C$37,3,FALSE)),"")</f>
        <v/>
      </c>
      <c r="R80" s="362" t="str">
        <f>IF(C80="","",VLOOKUP(C80,'G-7 WaterC'' Data'!$B$4:$G$8,4,FALSE))</f>
        <v/>
      </c>
      <c r="S80" s="370" t="str">
        <f t="shared" si="7"/>
        <v/>
      </c>
      <c r="T80" s="401" t="str">
        <f t="shared" si="8"/>
        <v/>
      </c>
      <c r="U80" s="363" t="str">
        <f>IF(C80="","",VLOOKUP(T80,'G-3 Multipliers'!$P$2:$Q$6,2,FALSE))</f>
        <v/>
      </c>
      <c r="V80" s="115"/>
      <c r="W80" s="363" t="str">
        <f>IF(V80="","",IF(VLOOKUP(V80,'G-7 WaterC'' Data'!$AA$4:$AB$7,2,FALSE)=0,"Spatial Data Missing ⚠",VLOOKUP(V80,'G-7 WaterC'' Data'!$AA$4:$AB$7,2,FALSE)))</f>
        <v/>
      </c>
      <c r="X80" s="60"/>
      <c r="Y80" s="363" t="str">
        <f>IF(X80="","",IF(VLOOKUP(X80,'G-7 WaterC'' Data'!$AD$4:$AE$14,2,FALSE)=0,"Enrcoachment Data Missing ⚠",VLOOKUP(X80,'G-7 WaterC'' Data'!$AD$4:$AE$14,2,FALSE)))</f>
        <v/>
      </c>
      <c r="Z80" s="423" t="str">
        <f t="shared" si="9"/>
        <v/>
      </c>
      <c r="AA80" s="117"/>
      <c r="AB80" s="118"/>
      <c r="AC80" s="120"/>
      <c r="AH80" s="30" t="str">
        <f>IFERROR(INDEX('G-7 WaterC'' Data'!$AZ$3:$AZ$7,MATCH(C80,'G-7 WaterC'' Data'!$AY$3:$AY$7,0)),"")</f>
        <v/>
      </c>
    </row>
    <row r="81" spans="2:34" ht="15">
      <c r="B81" s="110">
        <v>70</v>
      </c>
      <c r="C81" s="138"/>
      <c r="D81" s="139"/>
      <c r="E81" s="362" t="str">
        <f>IF(C81="","",VLOOKUP(C81,'G-7 WaterC'' Data'!$B$2:$G$8,2,FALSE))</f>
        <v/>
      </c>
      <c r="F81" s="363" t="str">
        <f>IFERROR(VLOOKUP(E81,'G-7 WaterC'' Data'!$C$4:$D$8,2,FALSE),"")</f>
        <v/>
      </c>
      <c r="G81" s="114"/>
      <c r="H81" s="363" t="str">
        <f>IFERROR(INDEX('G-7 WaterC'' Data'!$H$4:$L$8,MATCH(C81,'G-7 WaterC'' Data'!$B$4:$B$8,0),MATCH(G81,'G-7 WaterC'' Data'!$H$3:$L$3,0)),"")</f>
        <v/>
      </c>
      <c r="I81" s="54"/>
      <c r="J81" s="370" t="str">
        <f>IF(I81="","",IF(VLOOKUP(I81,'G-7 WaterC'' Data'!$AK$4:$AM$6,2,FALSE)=0,"Spatial Data Missing ⚠",VLOOKUP(I81,'G-7 WaterC'' Data'!$AK$4:$AM$6,2,FALSE)))</f>
        <v/>
      </c>
      <c r="K81" s="363" t="str">
        <f>IF(I81="","",IF(VLOOKUP(I81,'G-7 WaterC'' Data'!$AK$4:$AM$6,3,FALSE)=0,"Spatial Data Missing ⚠",VLOOKUP(I81,'G-7 WaterC'' Data'!$AK$4:$AM$6,3,FALSE)))</f>
        <v/>
      </c>
      <c r="L81" s="362" t="str">
        <f>IFERROR(INDEX('G-7 WaterC'' Data'!$O$3:$O$7,MATCH(G81,'G-7 WaterC'' Data'!$N$3:$N$7,0)),"")</f>
        <v/>
      </c>
      <c r="M81" s="63"/>
      <c r="N81" s="159"/>
      <c r="O81" s="370" t="str">
        <f t="shared" si="5"/>
        <v/>
      </c>
      <c r="P81" s="383" t="str">
        <f t="shared" si="6"/>
        <v/>
      </c>
      <c r="Q81" s="422" t="str">
        <f>IFERROR(IF(P81="Check Data ⚠","Check Data ⚠",VLOOKUP(P81,'G-4 Temporal multipliers'!$A$4:$C$37,3,FALSE)),"")</f>
        <v/>
      </c>
      <c r="R81" s="362" t="str">
        <f>IF(C81="","",VLOOKUP(C81,'G-7 WaterC'' Data'!$B$4:$G$8,4,FALSE))</f>
        <v/>
      </c>
      <c r="S81" s="370" t="str">
        <f t="shared" si="7"/>
        <v/>
      </c>
      <c r="T81" s="401" t="str">
        <f t="shared" si="8"/>
        <v/>
      </c>
      <c r="U81" s="363" t="str">
        <f>IF(C81="","",VLOOKUP(T81,'G-3 Multipliers'!$P$2:$Q$6,2,FALSE))</f>
        <v/>
      </c>
      <c r="V81" s="115"/>
      <c r="W81" s="363" t="str">
        <f>IF(V81="","",IF(VLOOKUP(V81,'G-7 WaterC'' Data'!$AA$4:$AB$7,2,FALSE)=0,"Spatial Data Missing ⚠",VLOOKUP(V81,'G-7 WaterC'' Data'!$AA$4:$AB$7,2,FALSE)))</f>
        <v/>
      </c>
      <c r="X81" s="60"/>
      <c r="Y81" s="363" t="str">
        <f>IF(X81="","",IF(VLOOKUP(X81,'G-7 WaterC'' Data'!$AD$4:$AE$14,2,FALSE)=0,"Enrcoachment Data Missing ⚠",VLOOKUP(X81,'G-7 WaterC'' Data'!$AD$4:$AE$14,2,FALSE)))</f>
        <v/>
      </c>
      <c r="Z81" s="423" t="str">
        <f t="shared" si="9"/>
        <v/>
      </c>
      <c r="AA81" s="117"/>
      <c r="AB81" s="118"/>
      <c r="AC81" s="120"/>
      <c r="AH81" s="30" t="str">
        <f>IFERROR(INDEX('G-7 WaterC'' Data'!$AZ$3:$AZ$7,MATCH(C81,'G-7 WaterC'' Data'!$AY$3:$AY$7,0)),"")</f>
        <v/>
      </c>
    </row>
    <row r="82" spans="2:34" ht="15">
      <c r="B82" s="110">
        <v>71</v>
      </c>
      <c r="C82" s="138"/>
      <c r="D82" s="139"/>
      <c r="E82" s="362" t="str">
        <f>IF(C82="","",VLOOKUP(C82,'G-7 WaterC'' Data'!$B$2:$G$8,2,FALSE))</f>
        <v/>
      </c>
      <c r="F82" s="363" t="str">
        <f>IFERROR(VLOOKUP(E82,'G-7 WaterC'' Data'!$C$4:$D$8,2,FALSE),"")</f>
        <v/>
      </c>
      <c r="G82" s="114"/>
      <c r="H82" s="363" t="str">
        <f>IFERROR(INDEX('G-7 WaterC'' Data'!$H$4:$L$8,MATCH(C82,'G-7 WaterC'' Data'!$B$4:$B$8,0),MATCH(G82,'G-7 WaterC'' Data'!$H$3:$L$3,0)),"")</f>
        <v/>
      </c>
      <c r="I82" s="54"/>
      <c r="J82" s="370" t="str">
        <f>IF(I82="","",IF(VLOOKUP(I82,'G-7 WaterC'' Data'!$AK$4:$AM$6,2,FALSE)=0,"Spatial Data Missing ⚠",VLOOKUP(I82,'G-7 WaterC'' Data'!$AK$4:$AM$6,2,FALSE)))</f>
        <v/>
      </c>
      <c r="K82" s="363" t="str">
        <f>IF(I82="","",IF(VLOOKUP(I82,'G-7 WaterC'' Data'!$AK$4:$AM$6,3,FALSE)=0,"Spatial Data Missing ⚠",VLOOKUP(I82,'G-7 WaterC'' Data'!$AK$4:$AM$6,3,FALSE)))</f>
        <v/>
      </c>
      <c r="L82" s="362" t="str">
        <f>IFERROR(INDEX('G-7 WaterC'' Data'!$O$3:$O$7,MATCH(G82,'G-7 WaterC'' Data'!$N$3:$N$7,0)),"")</f>
        <v/>
      </c>
      <c r="M82" s="63"/>
      <c r="N82" s="159"/>
      <c r="O82" s="370" t="str">
        <f t="shared" si="5"/>
        <v/>
      </c>
      <c r="P82" s="383" t="str">
        <f t="shared" si="6"/>
        <v/>
      </c>
      <c r="Q82" s="422" t="str">
        <f>IFERROR(IF(P82="Check Data ⚠","Check Data ⚠",VLOOKUP(P82,'G-4 Temporal multipliers'!$A$4:$C$37,3,FALSE)),"")</f>
        <v/>
      </c>
      <c r="R82" s="362" t="str">
        <f>IF(C82="","",VLOOKUP(C82,'G-7 WaterC'' Data'!$B$4:$G$8,4,FALSE))</f>
        <v/>
      </c>
      <c r="S82" s="370" t="str">
        <f t="shared" si="7"/>
        <v/>
      </c>
      <c r="T82" s="401" t="str">
        <f t="shared" si="8"/>
        <v/>
      </c>
      <c r="U82" s="363" t="str">
        <f>IF(C82="","",VLOOKUP(T82,'G-3 Multipliers'!$P$2:$Q$6,2,FALSE))</f>
        <v/>
      </c>
      <c r="V82" s="115"/>
      <c r="W82" s="363" t="str">
        <f>IF(V82="","",IF(VLOOKUP(V82,'G-7 WaterC'' Data'!$AA$4:$AB$7,2,FALSE)=0,"Spatial Data Missing ⚠",VLOOKUP(V82,'G-7 WaterC'' Data'!$AA$4:$AB$7,2,FALSE)))</f>
        <v/>
      </c>
      <c r="X82" s="60"/>
      <c r="Y82" s="363" t="str">
        <f>IF(X82="","",IF(VLOOKUP(X82,'G-7 WaterC'' Data'!$AD$4:$AE$14,2,FALSE)=0,"Enrcoachment Data Missing ⚠",VLOOKUP(X82,'G-7 WaterC'' Data'!$AD$4:$AE$14,2,FALSE)))</f>
        <v/>
      </c>
      <c r="Z82" s="423" t="str">
        <f t="shared" si="9"/>
        <v/>
      </c>
      <c r="AA82" s="117"/>
      <c r="AB82" s="118"/>
      <c r="AC82" s="120"/>
      <c r="AH82" s="30" t="str">
        <f>IFERROR(INDEX('G-7 WaterC'' Data'!$AZ$3:$AZ$7,MATCH(C82,'G-7 WaterC'' Data'!$AY$3:$AY$7,0)),"")</f>
        <v/>
      </c>
    </row>
    <row r="83" spans="2:34" ht="15">
      <c r="B83" s="110">
        <v>72</v>
      </c>
      <c r="C83" s="138"/>
      <c r="D83" s="139"/>
      <c r="E83" s="362" t="str">
        <f>IF(C83="","",VLOOKUP(C83,'G-7 WaterC'' Data'!$B$2:$G$8,2,FALSE))</f>
        <v/>
      </c>
      <c r="F83" s="363" t="str">
        <f>IFERROR(VLOOKUP(E83,'G-7 WaterC'' Data'!$C$4:$D$8,2,FALSE),"")</f>
        <v/>
      </c>
      <c r="G83" s="114"/>
      <c r="H83" s="363" t="str">
        <f>IFERROR(INDEX('G-7 WaterC'' Data'!$H$4:$L$8,MATCH(C83,'G-7 WaterC'' Data'!$B$4:$B$8,0),MATCH(G83,'G-7 WaterC'' Data'!$H$3:$L$3,0)),"")</f>
        <v/>
      </c>
      <c r="I83" s="54"/>
      <c r="J83" s="370" t="str">
        <f>IF(I83="","",IF(VLOOKUP(I83,'G-7 WaterC'' Data'!$AK$4:$AM$6,2,FALSE)=0,"Spatial Data Missing ⚠",VLOOKUP(I83,'G-7 WaterC'' Data'!$AK$4:$AM$6,2,FALSE)))</f>
        <v/>
      </c>
      <c r="K83" s="363" t="str">
        <f>IF(I83="","",IF(VLOOKUP(I83,'G-7 WaterC'' Data'!$AK$4:$AM$6,3,FALSE)=0,"Spatial Data Missing ⚠",VLOOKUP(I83,'G-7 WaterC'' Data'!$AK$4:$AM$6,3,FALSE)))</f>
        <v/>
      </c>
      <c r="L83" s="362" t="str">
        <f>IFERROR(INDEX('G-7 WaterC'' Data'!$O$3:$O$7,MATCH(G83,'G-7 WaterC'' Data'!$N$3:$N$7,0)),"")</f>
        <v/>
      </c>
      <c r="M83" s="63"/>
      <c r="N83" s="159"/>
      <c r="O83" s="370" t="str">
        <f t="shared" si="5"/>
        <v/>
      </c>
      <c r="P83" s="383" t="str">
        <f t="shared" si="6"/>
        <v/>
      </c>
      <c r="Q83" s="422" t="str">
        <f>IFERROR(IF(P83="Check Data ⚠","Check Data ⚠",VLOOKUP(P83,'G-4 Temporal multipliers'!$A$4:$C$37,3,FALSE)),"")</f>
        <v/>
      </c>
      <c r="R83" s="362" t="str">
        <f>IF(C83="","",VLOOKUP(C83,'G-7 WaterC'' Data'!$B$4:$G$8,4,FALSE))</f>
        <v/>
      </c>
      <c r="S83" s="370" t="str">
        <f t="shared" si="7"/>
        <v/>
      </c>
      <c r="T83" s="401" t="str">
        <f t="shared" si="8"/>
        <v/>
      </c>
      <c r="U83" s="363" t="str">
        <f>IF(C83="","",VLOOKUP(T83,'G-3 Multipliers'!$P$2:$Q$6,2,FALSE))</f>
        <v/>
      </c>
      <c r="V83" s="115"/>
      <c r="W83" s="363" t="str">
        <f>IF(V83="","",IF(VLOOKUP(V83,'G-7 WaterC'' Data'!$AA$4:$AB$7,2,FALSE)=0,"Spatial Data Missing ⚠",VLOOKUP(V83,'G-7 WaterC'' Data'!$AA$4:$AB$7,2,FALSE)))</f>
        <v/>
      </c>
      <c r="X83" s="60"/>
      <c r="Y83" s="363" t="str">
        <f>IF(X83="","",IF(VLOOKUP(X83,'G-7 WaterC'' Data'!$AD$4:$AE$14,2,FALSE)=0,"Enrcoachment Data Missing ⚠",VLOOKUP(X83,'G-7 WaterC'' Data'!$AD$4:$AE$14,2,FALSE)))</f>
        <v/>
      </c>
      <c r="Z83" s="423" t="str">
        <f t="shared" si="9"/>
        <v/>
      </c>
      <c r="AA83" s="117"/>
      <c r="AB83" s="118"/>
      <c r="AC83" s="120"/>
      <c r="AH83" s="30" t="str">
        <f>IFERROR(INDEX('G-7 WaterC'' Data'!$AZ$3:$AZ$7,MATCH(C83,'G-7 WaterC'' Data'!$AY$3:$AY$7,0)),"")</f>
        <v/>
      </c>
    </row>
    <row r="84" spans="2:34" ht="15">
      <c r="B84" s="110">
        <v>73</v>
      </c>
      <c r="C84" s="138"/>
      <c r="D84" s="139"/>
      <c r="E84" s="362" t="str">
        <f>IF(C84="","",VLOOKUP(C84,'G-7 WaterC'' Data'!$B$2:$G$8,2,FALSE))</f>
        <v/>
      </c>
      <c r="F84" s="363" t="str">
        <f>IFERROR(VLOOKUP(E84,'G-7 WaterC'' Data'!$C$4:$D$8,2,FALSE),"")</f>
        <v/>
      </c>
      <c r="G84" s="114"/>
      <c r="H84" s="363" t="str">
        <f>IFERROR(INDEX('G-7 WaterC'' Data'!$H$4:$L$8,MATCH(C84,'G-7 WaterC'' Data'!$B$4:$B$8,0),MATCH(G84,'G-7 WaterC'' Data'!$H$3:$L$3,0)),"")</f>
        <v/>
      </c>
      <c r="I84" s="54"/>
      <c r="J84" s="370" t="str">
        <f>IF(I84="","",IF(VLOOKUP(I84,'G-7 WaterC'' Data'!$AK$4:$AM$6,2,FALSE)=0,"Spatial Data Missing ⚠",VLOOKUP(I84,'G-7 WaterC'' Data'!$AK$4:$AM$6,2,FALSE)))</f>
        <v/>
      </c>
      <c r="K84" s="363" t="str">
        <f>IF(I84="","",IF(VLOOKUP(I84,'G-7 WaterC'' Data'!$AK$4:$AM$6,3,FALSE)=0,"Spatial Data Missing ⚠",VLOOKUP(I84,'G-7 WaterC'' Data'!$AK$4:$AM$6,3,FALSE)))</f>
        <v/>
      </c>
      <c r="L84" s="362" t="str">
        <f>IFERROR(INDEX('G-7 WaterC'' Data'!$O$3:$O$7,MATCH(G84,'G-7 WaterC'' Data'!$N$3:$N$7,0)),"")</f>
        <v/>
      </c>
      <c r="M84" s="63"/>
      <c r="N84" s="159"/>
      <c r="O84" s="370" t="str">
        <f t="shared" si="5"/>
        <v/>
      </c>
      <c r="P84" s="383" t="str">
        <f t="shared" si="6"/>
        <v/>
      </c>
      <c r="Q84" s="422" t="str">
        <f>IFERROR(IF(P84="Check Data ⚠","Check Data ⚠",VLOOKUP(P84,'G-4 Temporal multipliers'!$A$4:$C$37,3,FALSE)),"")</f>
        <v/>
      </c>
      <c r="R84" s="362" t="str">
        <f>IF(C84="","",VLOOKUP(C84,'G-7 WaterC'' Data'!$B$4:$G$8,4,FALSE))</f>
        <v/>
      </c>
      <c r="S84" s="370" t="str">
        <f t="shared" si="7"/>
        <v/>
      </c>
      <c r="T84" s="401" t="str">
        <f t="shared" si="8"/>
        <v/>
      </c>
      <c r="U84" s="363" t="str">
        <f>IF(C84="","",VLOOKUP(T84,'G-3 Multipliers'!$P$2:$Q$6,2,FALSE))</f>
        <v/>
      </c>
      <c r="V84" s="115"/>
      <c r="W84" s="363" t="str">
        <f>IF(V84="","",IF(VLOOKUP(V84,'G-7 WaterC'' Data'!$AA$4:$AB$7,2,FALSE)=0,"Spatial Data Missing ⚠",VLOOKUP(V84,'G-7 WaterC'' Data'!$AA$4:$AB$7,2,FALSE)))</f>
        <v/>
      </c>
      <c r="X84" s="60"/>
      <c r="Y84" s="363" t="str">
        <f>IF(X84="","",IF(VLOOKUP(X84,'G-7 WaterC'' Data'!$AD$4:$AE$14,2,FALSE)=0,"Enrcoachment Data Missing ⚠",VLOOKUP(X84,'G-7 WaterC'' Data'!$AD$4:$AE$14,2,FALSE)))</f>
        <v/>
      </c>
      <c r="Z84" s="423" t="str">
        <f t="shared" si="9"/>
        <v/>
      </c>
      <c r="AA84" s="117"/>
      <c r="AB84" s="118"/>
      <c r="AC84" s="120"/>
      <c r="AH84" s="30" t="str">
        <f>IFERROR(INDEX('G-7 WaterC'' Data'!$AZ$3:$AZ$7,MATCH(C84,'G-7 WaterC'' Data'!$AY$3:$AY$7,0)),"")</f>
        <v/>
      </c>
    </row>
    <row r="85" spans="2:34" ht="15">
      <c r="B85" s="110">
        <v>74</v>
      </c>
      <c r="C85" s="138"/>
      <c r="D85" s="139"/>
      <c r="E85" s="362" t="str">
        <f>IF(C85="","",VLOOKUP(C85,'G-7 WaterC'' Data'!$B$2:$G$8,2,FALSE))</f>
        <v/>
      </c>
      <c r="F85" s="363" t="str">
        <f>IFERROR(VLOOKUP(E85,'G-7 WaterC'' Data'!$C$4:$D$8,2,FALSE),"")</f>
        <v/>
      </c>
      <c r="G85" s="114"/>
      <c r="H85" s="363" t="str">
        <f>IFERROR(INDEX('G-7 WaterC'' Data'!$H$4:$L$8,MATCH(C85,'G-7 WaterC'' Data'!$B$4:$B$8,0),MATCH(G85,'G-7 WaterC'' Data'!$H$3:$L$3,0)),"")</f>
        <v/>
      </c>
      <c r="I85" s="54"/>
      <c r="J85" s="370" t="str">
        <f>IF(I85="","",IF(VLOOKUP(I85,'G-7 WaterC'' Data'!$AK$4:$AM$6,2,FALSE)=0,"Spatial Data Missing ⚠",VLOOKUP(I85,'G-7 WaterC'' Data'!$AK$4:$AM$6,2,FALSE)))</f>
        <v/>
      </c>
      <c r="K85" s="363" t="str">
        <f>IF(I85="","",IF(VLOOKUP(I85,'G-7 WaterC'' Data'!$AK$4:$AM$6,3,FALSE)=0,"Spatial Data Missing ⚠",VLOOKUP(I85,'G-7 WaterC'' Data'!$AK$4:$AM$6,3,FALSE)))</f>
        <v/>
      </c>
      <c r="L85" s="362" t="str">
        <f>IFERROR(INDEX('G-7 WaterC'' Data'!$O$3:$O$7,MATCH(G85,'G-7 WaterC'' Data'!$N$3:$N$7,0)),"")</f>
        <v/>
      </c>
      <c r="M85" s="63"/>
      <c r="N85" s="159"/>
      <c r="O85" s="370" t="str">
        <f t="shared" si="5"/>
        <v/>
      </c>
      <c r="P85" s="383" t="str">
        <f t="shared" si="6"/>
        <v/>
      </c>
      <c r="Q85" s="422" t="str">
        <f>IFERROR(IF(P85="Check Data ⚠","Check Data ⚠",VLOOKUP(P85,'G-4 Temporal multipliers'!$A$4:$C$37,3,FALSE)),"")</f>
        <v/>
      </c>
      <c r="R85" s="362" t="str">
        <f>IF(C85="","",VLOOKUP(C85,'G-7 WaterC'' Data'!$B$4:$G$8,4,FALSE))</f>
        <v/>
      </c>
      <c r="S85" s="370" t="str">
        <f t="shared" si="7"/>
        <v/>
      </c>
      <c r="T85" s="401" t="str">
        <f t="shared" si="8"/>
        <v/>
      </c>
      <c r="U85" s="363" t="str">
        <f>IF(C85="","",VLOOKUP(T85,'G-3 Multipliers'!$P$2:$Q$6,2,FALSE))</f>
        <v/>
      </c>
      <c r="V85" s="115"/>
      <c r="W85" s="363" t="str">
        <f>IF(V85="","",IF(VLOOKUP(V85,'G-7 WaterC'' Data'!$AA$4:$AB$7,2,FALSE)=0,"Spatial Data Missing ⚠",VLOOKUP(V85,'G-7 WaterC'' Data'!$AA$4:$AB$7,2,FALSE)))</f>
        <v/>
      </c>
      <c r="X85" s="60"/>
      <c r="Y85" s="363" t="str">
        <f>IF(X85="","",IF(VLOOKUP(X85,'G-7 WaterC'' Data'!$AD$4:$AE$14,2,FALSE)=0,"Enrcoachment Data Missing ⚠",VLOOKUP(X85,'G-7 WaterC'' Data'!$AD$4:$AE$14,2,FALSE)))</f>
        <v/>
      </c>
      <c r="Z85" s="423" t="str">
        <f t="shared" si="9"/>
        <v/>
      </c>
      <c r="AA85" s="117"/>
      <c r="AB85" s="118"/>
      <c r="AC85" s="120"/>
      <c r="AH85" s="30" t="str">
        <f>IFERROR(INDEX('G-7 WaterC'' Data'!$AZ$3:$AZ$7,MATCH(C85,'G-7 WaterC'' Data'!$AY$3:$AY$7,0)),"")</f>
        <v/>
      </c>
    </row>
    <row r="86" spans="2:34" ht="15">
      <c r="B86" s="110">
        <v>75</v>
      </c>
      <c r="C86" s="138"/>
      <c r="D86" s="139"/>
      <c r="E86" s="362" t="str">
        <f>IF(C86="","",VLOOKUP(C86,'G-7 WaterC'' Data'!$B$2:$G$8,2,FALSE))</f>
        <v/>
      </c>
      <c r="F86" s="363" t="str">
        <f>IFERROR(VLOOKUP(E86,'G-7 WaterC'' Data'!$C$4:$D$8,2,FALSE),"")</f>
        <v/>
      </c>
      <c r="G86" s="114"/>
      <c r="H86" s="363" t="str">
        <f>IFERROR(INDEX('G-7 WaterC'' Data'!$H$4:$L$8,MATCH(C86,'G-7 WaterC'' Data'!$B$4:$B$8,0),MATCH(G86,'G-7 WaterC'' Data'!$H$3:$L$3,0)),"")</f>
        <v/>
      </c>
      <c r="I86" s="54"/>
      <c r="J86" s="370" t="str">
        <f>IF(I86="","",IF(VLOOKUP(I86,'G-7 WaterC'' Data'!$AK$4:$AM$6,2,FALSE)=0,"Spatial Data Missing ⚠",VLOOKUP(I86,'G-7 WaterC'' Data'!$AK$4:$AM$6,2,FALSE)))</f>
        <v/>
      </c>
      <c r="K86" s="363" t="str">
        <f>IF(I86="","",IF(VLOOKUP(I86,'G-7 WaterC'' Data'!$AK$4:$AM$6,3,FALSE)=0,"Spatial Data Missing ⚠",VLOOKUP(I86,'G-7 WaterC'' Data'!$AK$4:$AM$6,3,FALSE)))</f>
        <v/>
      </c>
      <c r="L86" s="362" t="str">
        <f>IFERROR(INDEX('G-7 WaterC'' Data'!$O$3:$O$7,MATCH(G86,'G-7 WaterC'' Data'!$N$3:$N$7,0)),"")</f>
        <v/>
      </c>
      <c r="M86" s="63"/>
      <c r="N86" s="159"/>
      <c r="O86" s="370" t="str">
        <f t="shared" si="5"/>
        <v/>
      </c>
      <c r="P86" s="383" t="str">
        <f t="shared" si="6"/>
        <v/>
      </c>
      <c r="Q86" s="422" t="str">
        <f>IFERROR(IF(P86="Check Data ⚠","Check Data ⚠",VLOOKUP(P86,'G-4 Temporal multipliers'!$A$4:$C$37,3,FALSE)),"")</f>
        <v/>
      </c>
      <c r="R86" s="362" t="str">
        <f>IF(C86="","",VLOOKUP(C86,'G-7 WaterC'' Data'!$B$4:$G$8,4,FALSE))</f>
        <v/>
      </c>
      <c r="S86" s="370" t="str">
        <f t="shared" si="7"/>
        <v/>
      </c>
      <c r="T86" s="401" t="str">
        <f t="shared" si="8"/>
        <v/>
      </c>
      <c r="U86" s="363" t="str">
        <f>IF(C86="","",VLOOKUP(T86,'G-3 Multipliers'!$P$2:$Q$6,2,FALSE))</f>
        <v/>
      </c>
      <c r="V86" s="115"/>
      <c r="W86" s="363" t="str">
        <f>IF(V86="","",IF(VLOOKUP(V86,'G-7 WaterC'' Data'!$AA$4:$AB$7,2,FALSE)=0,"Spatial Data Missing ⚠",VLOOKUP(V86,'G-7 WaterC'' Data'!$AA$4:$AB$7,2,FALSE)))</f>
        <v/>
      </c>
      <c r="X86" s="60"/>
      <c r="Y86" s="363" t="str">
        <f>IF(X86="","",IF(VLOOKUP(X86,'G-7 WaterC'' Data'!$AD$4:$AE$14,2,FALSE)=0,"Enrcoachment Data Missing ⚠",VLOOKUP(X86,'G-7 WaterC'' Data'!$AD$4:$AE$14,2,FALSE)))</f>
        <v/>
      </c>
      <c r="Z86" s="423" t="str">
        <f t="shared" si="9"/>
        <v/>
      </c>
      <c r="AA86" s="117"/>
      <c r="AB86" s="118"/>
      <c r="AC86" s="120"/>
      <c r="AH86" s="30" t="str">
        <f>IFERROR(INDEX('G-7 WaterC'' Data'!$AZ$3:$AZ$7,MATCH(C86,'G-7 WaterC'' Data'!$AY$3:$AY$7,0)),"")</f>
        <v/>
      </c>
    </row>
    <row r="87" spans="2:34" ht="15">
      <c r="B87" s="110">
        <v>76</v>
      </c>
      <c r="C87" s="138"/>
      <c r="D87" s="139"/>
      <c r="E87" s="362" t="str">
        <f>IF(C87="","",VLOOKUP(C87,'G-7 WaterC'' Data'!$B$2:$G$8,2,FALSE))</f>
        <v/>
      </c>
      <c r="F87" s="363" t="str">
        <f>IFERROR(VLOOKUP(E87,'G-7 WaterC'' Data'!$C$4:$D$8,2,FALSE),"")</f>
        <v/>
      </c>
      <c r="G87" s="114"/>
      <c r="H87" s="363" t="str">
        <f>IFERROR(INDEX('G-7 WaterC'' Data'!$H$4:$L$8,MATCH(C87,'G-7 WaterC'' Data'!$B$4:$B$8,0),MATCH(G87,'G-7 WaterC'' Data'!$H$3:$L$3,0)),"")</f>
        <v/>
      </c>
      <c r="I87" s="54"/>
      <c r="J87" s="370" t="str">
        <f>IF(I87="","",IF(VLOOKUP(I87,'G-7 WaterC'' Data'!$AK$4:$AM$6,2,FALSE)=0,"Spatial Data Missing ⚠",VLOOKUP(I87,'G-7 WaterC'' Data'!$AK$4:$AM$6,2,FALSE)))</f>
        <v/>
      </c>
      <c r="K87" s="363" t="str">
        <f>IF(I87="","",IF(VLOOKUP(I87,'G-7 WaterC'' Data'!$AK$4:$AM$6,3,FALSE)=0,"Spatial Data Missing ⚠",VLOOKUP(I87,'G-7 WaterC'' Data'!$AK$4:$AM$6,3,FALSE)))</f>
        <v/>
      </c>
      <c r="L87" s="362" t="str">
        <f>IFERROR(INDEX('G-7 WaterC'' Data'!$O$3:$O$7,MATCH(G87,'G-7 WaterC'' Data'!$N$3:$N$7,0)),"")</f>
        <v/>
      </c>
      <c r="M87" s="63"/>
      <c r="N87" s="159"/>
      <c r="O87" s="370" t="str">
        <f t="shared" si="5"/>
        <v/>
      </c>
      <c r="P87" s="383" t="str">
        <f t="shared" si="6"/>
        <v/>
      </c>
      <c r="Q87" s="422" t="str">
        <f>IFERROR(IF(P87="Check Data ⚠","Check Data ⚠",VLOOKUP(P87,'G-4 Temporal multipliers'!$A$4:$C$37,3,FALSE)),"")</f>
        <v/>
      </c>
      <c r="R87" s="362" t="str">
        <f>IF(C87="","",VLOOKUP(C87,'G-7 WaterC'' Data'!$B$4:$G$8,4,FALSE))</f>
        <v/>
      </c>
      <c r="S87" s="370" t="str">
        <f t="shared" si="7"/>
        <v/>
      </c>
      <c r="T87" s="401" t="str">
        <f t="shared" si="8"/>
        <v/>
      </c>
      <c r="U87" s="363" t="str">
        <f>IF(C87="","",VLOOKUP(T87,'G-3 Multipliers'!$P$2:$Q$6,2,FALSE))</f>
        <v/>
      </c>
      <c r="V87" s="115"/>
      <c r="W87" s="363" t="str">
        <f>IF(V87="","",IF(VLOOKUP(V87,'G-7 WaterC'' Data'!$AA$4:$AB$7,2,FALSE)=0,"Spatial Data Missing ⚠",VLOOKUP(V87,'G-7 WaterC'' Data'!$AA$4:$AB$7,2,FALSE)))</f>
        <v/>
      </c>
      <c r="X87" s="60"/>
      <c r="Y87" s="363" t="str">
        <f>IF(X87="","",IF(VLOOKUP(X87,'G-7 WaterC'' Data'!$AD$4:$AE$14,2,FALSE)=0,"Enrcoachment Data Missing ⚠",VLOOKUP(X87,'G-7 WaterC'' Data'!$AD$4:$AE$14,2,FALSE)))</f>
        <v/>
      </c>
      <c r="Z87" s="423" t="str">
        <f t="shared" si="9"/>
        <v/>
      </c>
      <c r="AA87" s="117"/>
      <c r="AB87" s="118"/>
      <c r="AC87" s="120"/>
      <c r="AH87" s="30" t="str">
        <f>IFERROR(INDEX('G-7 WaterC'' Data'!$AZ$3:$AZ$7,MATCH(C87,'G-7 WaterC'' Data'!$AY$3:$AY$7,0)),"")</f>
        <v/>
      </c>
    </row>
    <row r="88" spans="2:34" ht="15">
      <c r="B88" s="110">
        <v>77</v>
      </c>
      <c r="C88" s="138"/>
      <c r="D88" s="139"/>
      <c r="E88" s="362" t="str">
        <f>IF(C88="","",VLOOKUP(C88,'G-7 WaterC'' Data'!$B$2:$G$8,2,FALSE))</f>
        <v/>
      </c>
      <c r="F88" s="363" t="str">
        <f>IFERROR(VLOOKUP(E88,'G-7 WaterC'' Data'!$C$4:$D$8,2,FALSE),"")</f>
        <v/>
      </c>
      <c r="G88" s="114"/>
      <c r="H88" s="363" t="str">
        <f>IFERROR(INDEX('G-7 WaterC'' Data'!$H$4:$L$8,MATCH(C88,'G-7 WaterC'' Data'!$B$4:$B$8,0),MATCH(G88,'G-7 WaterC'' Data'!$H$3:$L$3,0)),"")</f>
        <v/>
      </c>
      <c r="I88" s="54"/>
      <c r="J88" s="370" t="str">
        <f>IF(I88="","",IF(VLOOKUP(I88,'G-7 WaterC'' Data'!$AK$4:$AM$6,2,FALSE)=0,"Spatial Data Missing ⚠",VLOOKUP(I88,'G-7 WaterC'' Data'!$AK$4:$AM$6,2,FALSE)))</f>
        <v/>
      </c>
      <c r="K88" s="363" t="str">
        <f>IF(I88="","",IF(VLOOKUP(I88,'G-7 WaterC'' Data'!$AK$4:$AM$6,3,FALSE)=0,"Spatial Data Missing ⚠",VLOOKUP(I88,'G-7 WaterC'' Data'!$AK$4:$AM$6,3,FALSE)))</f>
        <v/>
      </c>
      <c r="L88" s="362" t="str">
        <f>IFERROR(INDEX('G-7 WaterC'' Data'!$O$3:$O$7,MATCH(G88,'G-7 WaterC'' Data'!$N$3:$N$7,0)),"")</f>
        <v/>
      </c>
      <c r="M88" s="63"/>
      <c r="N88" s="159"/>
      <c r="O88" s="370" t="str">
        <f t="shared" si="5"/>
        <v/>
      </c>
      <c r="P88" s="383" t="str">
        <f t="shared" si="6"/>
        <v/>
      </c>
      <c r="Q88" s="422" t="str">
        <f>IFERROR(IF(P88="Check Data ⚠","Check Data ⚠",VLOOKUP(P88,'G-4 Temporal multipliers'!$A$4:$C$37,3,FALSE)),"")</f>
        <v/>
      </c>
      <c r="R88" s="362" t="str">
        <f>IF(C88="","",VLOOKUP(C88,'G-7 WaterC'' Data'!$B$4:$G$8,4,FALSE))</f>
        <v/>
      </c>
      <c r="S88" s="370" t="str">
        <f t="shared" si="7"/>
        <v/>
      </c>
      <c r="T88" s="401" t="str">
        <f t="shared" si="8"/>
        <v/>
      </c>
      <c r="U88" s="363" t="str">
        <f>IF(C88="","",VLOOKUP(T88,'G-3 Multipliers'!$P$2:$Q$6,2,FALSE))</f>
        <v/>
      </c>
      <c r="V88" s="115"/>
      <c r="W88" s="363" t="str">
        <f>IF(V88="","",IF(VLOOKUP(V88,'G-7 WaterC'' Data'!$AA$4:$AB$7,2,FALSE)=0,"Spatial Data Missing ⚠",VLOOKUP(V88,'G-7 WaterC'' Data'!$AA$4:$AB$7,2,FALSE)))</f>
        <v/>
      </c>
      <c r="X88" s="60"/>
      <c r="Y88" s="363" t="str">
        <f>IF(X88="","",IF(VLOOKUP(X88,'G-7 WaterC'' Data'!$AD$4:$AE$14,2,FALSE)=0,"Enrcoachment Data Missing ⚠",VLOOKUP(X88,'G-7 WaterC'' Data'!$AD$4:$AE$14,2,FALSE)))</f>
        <v/>
      </c>
      <c r="Z88" s="423" t="str">
        <f t="shared" si="9"/>
        <v/>
      </c>
      <c r="AA88" s="117"/>
      <c r="AB88" s="118"/>
      <c r="AC88" s="120"/>
      <c r="AH88" s="30" t="str">
        <f>IFERROR(INDEX('G-7 WaterC'' Data'!$AZ$3:$AZ$7,MATCH(C88,'G-7 WaterC'' Data'!$AY$3:$AY$7,0)),"")</f>
        <v/>
      </c>
    </row>
    <row r="89" spans="2:34" ht="15">
      <c r="B89" s="110">
        <v>78</v>
      </c>
      <c r="C89" s="138"/>
      <c r="D89" s="139"/>
      <c r="E89" s="362" t="str">
        <f>IF(C89="","",VLOOKUP(C89,'G-7 WaterC'' Data'!$B$2:$G$8,2,FALSE))</f>
        <v/>
      </c>
      <c r="F89" s="363" t="str">
        <f>IFERROR(VLOOKUP(E89,'G-7 WaterC'' Data'!$C$4:$D$8,2,FALSE),"")</f>
        <v/>
      </c>
      <c r="G89" s="114"/>
      <c r="H89" s="363" t="str">
        <f>IFERROR(INDEX('G-7 WaterC'' Data'!$H$4:$L$8,MATCH(C89,'G-7 WaterC'' Data'!$B$4:$B$8,0),MATCH(G89,'G-7 WaterC'' Data'!$H$3:$L$3,0)),"")</f>
        <v/>
      </c>
      <c r="I89" s="54"/>
      <c r="J89" s="370" t="str">
        <f>IF(I89="","",IF(VLOOKUP(I89,'G-7 WaterC'' Data'!$AK$4:$AM$6,2,FALSE)=0,"Spatial Data Missing ⚠",VLOOKUP(I89,'G-7 WaterC'' Data'!$AK$4:$AM$6,2,FALSE)))</f>
        <v/>
      </c>
      <c r="K89" s="363" t="str">
        <f>IF(I89="","",IF(VLOOKUP(I89,'G-7 WaterC'' Data'!$AK$4:$AM$6,3,FALSE)=0,"Spatial Data Missing ⚠",VLOOKUP(I89,'G-7 WaterC'' Data'!$AK$4:$AM$6,3,FALSE)))</f>
        <v/>
      </c>
      <c r="L89" s="362" t="str">
        <f>IFERROR(INDEX('G-7 WaterC'' Data'!$O$3:$O$7,MATCH(G89,'G-7 WaterC'' Data'!$N$3:$N$7,0)),"")</f>
        <v/>
      </c>
      <c r="M89" s="63"/>
      <c r="N89" s="159"/>
      <c r="O89" s="370" t="str">
        <f t="shared" si="5"/>
        <v/>
      </c>
      <c r="P89" s="383" t="str">
        <f t="shared" si="6"/>
        <v/>
      </c>
      <c r="Q89" s="422" t="str">
        <f>IFERROR(IF(P89="Check Data ⚠","Check Data ⚠",VLOOKUP(P89,'G-4 Temporal multipliers'!$A$4:$C$37,3,FALSE)),"")</f>
        <v/>
      </c>
      <c r="R89" s="362" t="str">
        <f>IF(C89="","",VLOOKUP(C89,'G-7 WaterC'' Data'!$B$4:$G$8,4,FALSE))</f>
        <v/>
      </c>
      <c r="S89" s="370" t="str">
        <f t="shared" si="7"/>
        <v/>
      </c>
      <c r="T89" s="401" t="str">
        <f t="shared" si="8"/>
        <v/>
      </c>
      <c r="U89" s="363" t="str">
        <f>IF(C89="","",VLOOKUP(T89,'G-3 Multipliers'!$P$2:$Q$6,2,FALSE))</f>
        <v/>
      </c>
      <c r="V89" s="115"/>
      <c r="W89" s="363" t="str">
        <f>IF(V89="","",IF(VLOOKUP(V89,'G-7 WaterC'' Data'!$AA$4:$AB$7,2,FALSE)=0,"Spatial Data Missing ⚠",VLOOKUP(V89,'G-7 WaterC'' Data'!$AA$4:$AB$7,2,FALSE)))</f>
        <v/>
      </c>
      <c r="X89" s="60"/>
      <c r="Y89" s="363" t="str">
        <f>IF(X89="","",IF(VLOOKUP(X89,'G-7 WaterC'' Data'!$AD$4:$AE$14,2,FALSE)=0,"Enrcoachment Data Missing ⚠",VLOOKUP(X89,'G-7 WaterC'' Data'!$AD$4:$AE$14,2,FALSE)))</f>
        <v/>
      </c>
      <c r="Z89" s="423" t="str">
        <f t="shared" si="9"/>
        <v/>
      </c>
      <c r="AA89" s="117"/>
      <c r="AB89" s="118"/>
      <c r="AC89" s="120"/>
      <c r="AH89" s="30" t="str">
        <f>IFERROR(INDEX('G-7 WaterC'' Data'!$AZ$3:$AZ$7,MATCH(C89,'G-7 WaterC'' Data'!$AY$3:$AY$7,0)),"")</f>
        <v/>
      </c>
    </row>
    <row r="90" spans="2:34" ht="15">
      <c r="B90" s="110">
        <v>79</v>
      </c>
      <c r="C90" s="138"/>
      <c r="D90" s="139"/>
      <c r="E90" s="362" t="str">
        <f>IF(C90="","",VLOOKUP(C90,'G-7 WaterC'' Data'!$B$2:$G$8,2,FALSE))</f>
        <v/>
      </c>
      <c r="F90" s="363" t="str">
        <f>IFERROR(VLOOKUP(E90,'G-7 WaterC'' Data'!$C$4:$D$8,2,FALSE),"")</f>
        <v/>
      </c>
      <c r="G90" s="114"/>
      <c r="H90" s="363" t="str">
        <f>IFERROR(INDEX('G-7 WaterC'' Data'!$H$4:$L$8,MATCH(C90,'G-7 WaterC'' Data'!$B$4:$B$8,0),MATCH(G90,'G-7 WaterC'' Data'!$H$3:$L$3,0)),"")</f>
        <v/>
      </c>
      <c r="I90" s="54"/>
      <c r="J90" s="370" t="str">
        <f>IF(I90="","",IF(VLOOKUP(I90,'G-7 WaterC'' Data'!$AK$4:$AM$6,2,FALSE)=0,"Spatial Data Missing ⚠",VLOOKUP(I90,'G-7 WaterC'' Data'!$AK$4:$AM$6,2,FALSE)))</f>
        <v/>
      </c>
      <c r="K90" s="363" t="str">
        <f>IF(I90="","",IF(VLOOKUP(I90,'G-7 WaterC'' Data'!$AK$4:$AM$6,3,FALSE)=0,"Spatial Data Missing ⚠",VLOOKUP(I90,'G-7 WaterC'' Data'!$AK$4:$AM$6,3,FALSE)))</f>
        <v/>
      </c>
      <c r="L90" s="362" t="str">
        <f>IFERROR(INDEX('G-7 WaterC'' Data'!$O$3:$O$7,MATCH(G90,'G-7 WaterC'' Data'!$N$3:$N$7,0)),"")</f>
        <v/>
      </c>
      <c r="M90" s="63"/>
      <c r="N90" s="159"/>
      <c r="O90" s="370" t="str">
        <f t="shared" si="5"/>
        <v/>
      </c>
      <c r="P90" s="383" t="str">
        <f t="shared" si="6"/>
        <v/>
      </c>
      <c r="Q90" s="422" t="str">
        <f>IFERROR(IF(P90="Check Data ⚠","Check Data ⚠",VLOOKUP(P90,'G-4 Temporal multipliers'!$A$4:$C$37,3,FALSE)),"")</f>
        <v/>
      </c>
      <c r="R90" s="362" t="str">
        <f>IF(C90="","",VLOOKUP(C90,'G-7 WaterC'' Data'!$B$4:$G$8,4,FALSE))</f>
        <v/>
      </c>
      <c r="S90" s="370" t="str">
        <f t="shared" si="7"/>
        <v/>
      </c>
      <c r="T90" s="401" t="str">
        <f t="shared" si="8"/>
        <v/>
      </c>
      <c r="U90" s="363" t="str">
        <f>IF(C90="","",VLOOKUP(T90,'G-3 Multipliers'!$P$2:$Q$6,2,FALSE))</f>
        <v/>
      </c>
      <c r="V90" s="115"/>
      <c r="W90" s="363" t="str">
        <f>IF(V90="","",IF(VLOOKUP(V90,'G-7 WaterC'' Data'!$AA$4:$AB$7,2,FALSE)=0,"Spatial Data Missing ⚠",VLOOKUP(V90,'G-7 WaterC'' Data'!$AA$4:$AB$7,2,FALSE)))</f>
        <v/>
      </c>
      <c r="X90" s="60"/>
      <c r="Y90" s="363" t="str">
        <f>IF(X90="","",IF(VLOOKUP(X90,'G-7 WaterC'' Data'!$AD$4:$AE$14,2,FALSE)=0,"Enrcoachment Data Missing ⚠",VLOOKUP(X90,'G-7 WaterC'' Data'!$AD$4:$AE$14,2,FALSE)))</f>
        <v/>
      </c>
      <c r="Z90" s="423" t="str">
        <f t="shared" si="9"/>
        <v/>
      </c>
      <c r="AA90" s="117"/>
      <c r="AB90" s="118"/>
      <c r="AC90" s="120"/>
      <c r="AH90" s="30" t="str">
        <f>IFERROR(INDEX('G-7 WaterC'' Data'!$AZ$3:$AZ$7,MATCH(C90,'G-7 WaterC'' Data'!$AY$3:$AY$7,0)),"")</f>
        <v/>
      </c>
    </row>
    <row r="91" spans="2:34" ht="15">
      <c r="B91" s="110">
        <v>80</v>
      </c>
      <c r="C91" s="138"/>
      <c r="D91" s="139"/>
      <c r="E91" s="362" t="str">
        <f>IF(C91="","",VLOOKUP(C91,'G-7 WaterC'' Data'!$B$2:$G$8,2,FALSE))</f>
        <v/>
      </c>
      <c r="F91" s="363" t="str">
        <f>IFERROR(VLOOKUP(E91,'G-7 WaterC'' Data'!$C$4:$D$8,2,FALSE),"")</f>
        <v/>
      </c>
      <c r="G91" s="114"/>
      <c r="H91" s="363" t="str">
        <f>IFERROR(INDEX('G-7 WaterC'' Data'!$H$4:$L$8,MATCH(C91,'G-7 WaterC'' Data'!$B$4:$B$8,0),MATCH(G91,'G-7 WaterC'' Data'!$H$3:$L$3,0)),"")</f>
        <v/>
      </c>
      <c r="I91" s="54"/>
      <c r="J91" s="370" t="str">
        <f>IF(I91="","",IF(VLOOKUP(I91,'G-7 WaterC'' Data'!$AK$4:$AM$6,2,FALSE)=0,"Spatial Data Missing ⚠",VLOOKUP(I91,'G-7 WaterC'' Data'!$AK$4:$AM$6,2,FALSE)))</f>
        <v/>
      </c>
      <c r="K91" s="363" t="str">
        <f>IF(I91="","",IF(VLOOKUP(I91,'G-7 WaterC'' Data'!$AK$4:$AM$6,3,FALSE)=0,"Spatial Data Missing ⚠",VLOOKUP(I91,'G-7 WaterC'' Data'!$AK$4:$AM$6,3,FALSE)))</f>
        <v/>
      </c>
      <c r="L91" s="362" t="str">
        <f>IFERROR(INDEX('G-7 WaterC'' Data'!$O$3:$O$7,MATCH(G91,'G-7 WaterC'' Data'!$N$3:$N$7,0)),"")</f>
        <v/>
      </c>
      <c r="M91" s="63"/>
      <c r="N91" s="159"/>
      <c r="O91" s="370" t="str">
        <f t="shared" si="5"/>
        <v/>
      </c>
      <c r="P91" s="383" t="str">
        <f t="shared" si="6"/>
        <v/>
      </c>
      <c r="Q91" s="422" t="str">
        <f>IFERROR(IF(P91="Check Data ⚠","Check Data ⚠",VLOOKUP(P91,'G-4 Temporal multipliers'!$A$4:$C$37,3,FALSE)),"")</f>
        <v/>
      </c>
      <c r="R91" s="362" t="str">
        <f>IF(C91="","",VLOOKUP(C91,'G-7 WaterC'' Data'!$B$4:$G$8,4,FALSE))</f>
        <v/>
      </c>
      <c r="S91" s="370" t="str">
        <f t="shared" si="7"/>
        <v/>
      </c>
      <c r="T91" s="401" t="str">
        <f t="shared" si="8"/>
        <v/>
      </c>
      <c r="U91" s="363" t="str">
        <f>IF(C91="","",VLOOKUP(T91,'G-3 Multipliers'!$P$2:$Q$6,2,FALSE))</f>
        <v/>
      </c>
      <c r="V91" s="115"/>
      <c r="W91" s="363" t="str">
        <f>IF(V91="","",IF(VLOOKUP(V91,'G-7 WaterC'' Data'!$AA$4:$AB$7,2,FALSE)=0,"Spatial Data Missing ⚠",VLOOKUP(V91,'G-7 WaterC'' Data'!$AA$4:$AB$7,2,FALSE)))</f>
        <v/>
      </c>
      <c r="X91" s="60"/>
      <c r="Y91" s="363" t="str">
        <f>IF(X91="","",IF(VLOOKUP(X91,'G-7 WaterC'' Data'!$AD$4:$AE$14,2,FALSE)=0,"Enrcoachment Data Missing ⚠",VLOOKUP(X91,'G-7 WaterC'' Data'!$AD$4:$AE$14,2,FALSE)))</f>
        <v/>
      </c>
      <c r="Z91" s="423" t="str">
        <f t="shared" si="9"/>
        <v/>
      </c>
      <c r="AA91" s="117"/>
      <c r="AB91" s="118"/>
      <c r="AC91" s="120"/>
      <c r="AH91" s="30" t="str">
        <f>IFERROR(INDEX('G-7 WaterC'' Data'!$AZ$3:$AZ$7,MATCH(C91,'G-7 WaterC'' Data'!$AY$3:$AY$7,0)),"")</f>
        <v/>
      </c>
    </row>
    <row r="92" spans="2:34" ht="15">
      <c r="B92" s="110">
        <v>81</v>
      </c>
      <c r="C92" s="138"/>
      <c r="D92" s="139"/>
      <c r="E92" s="362" t="str">
        <f>IF(C92="","",VLOOKUP(C92,'G-7 WaterC'' Data'!$B$2:$G$8,2,FALSE))</f>
        <v/>
      </c>
      <c r="F92" s="363" t="str">
        <f>IFERROR(VLOOKUP(E92,'G-7 WaterC'' Data'!$C$4:$D$8,2,FALSE),"")</f>
        <v/>
      </c>
      <c r="G92" s="114"/>
      <c r="H92" s="363" t="str">
        <f>IFERROR(INDEX('G-7 WaterC'' Data'!$H$4:$L$8,MATCH(C92,'G-7 WaterC'' Data'!$B$4:$B$8,0),MATCH(G92,'G-7 WaterC'' Data'!$H$3:$L$3,0)),"")</f>
        <v/>
      </c>
      <c r="I92" s="54"/>
      <c r="J92" s="370" t="str">
        <f>IF(I92="","",IF(VLOOKUP(I92,'G-7 WaterC'' Data'!$AK$4:$AM$6,2,FALSE)=0,"Spatial Data Missing ⚠",VLOOKUP(I92,'G-7 WaterC'' Data'!$AK$4:$AM$6,2,FALSE)))</f>
        <v/>
      </c>
      <c r="K92" s="363" t="str">
        <f>IF(I92="","",IF(VLOOKUP(I92,'G-7 WaterC'' Data'!$AK$4:$AM$6,3,FALSE)=0,"Spatial Data Missing ⚠",VLOOKUP(I92,'G-7 WaterC'' Data'!$AK$4:$AM$6,3,FALSE)))</f>
        <v/>
      </c>
      <c r="L92" s="362" t="str">
        <f>IFERROR(INDEX('G-7 WaterC'' Data'!$O$3:$O$7,MATCH(G92,'G-7 WaterC'' Data'!$N$3:$N$7,0)),"")</f>
        <v/>
      </c>
      <c r="M92" s="63"/>
      <c r="N92" s="159"/>
      <c r="O92" s="370" t="str">
        <f t="shared" si="5"/>
        <v/>
      </c>
      <c r="P92" s="383" t="str">
        <f t="shared" si="6"/>
        <v/>
      </c>
      <c r="Q92" s="422" t="str">
        <f>IFERROR(IF(P92="Check Data ⚠","Check Data ⚠",VLOOKUP(P92,'G-4 Temporal multipliers'!$A$4:$C$37,3,FALSE)),"")</f>
        <v/>
      </c>
      <c r="R92" s="362" t="str">
        <f>IF(C92="","",VLOOKUP(C92,'G-7 WaterC'' Data'!$B$4:$G$8,4,FALSE))</f>
        <v/>
      </c>
      <c r="S92" s="370" t="str">
        <f t="shared" si="7"/>
        <v/>
      </c>
      <c r="T92" s="401" t="str">
        <f t="shared" si="8"/>
        <v/>
      </c>
      <c r="U92" s="363" t="str">
        <f>IF(C92="","",VLOOKUP(T92,'G-3 Multipliers'!$P$2:$Q$6,2,FALSE))</f>
        <v/>
      </c>
      <c r="V92" s="115"/>
      <c r="W92" s="363" t="str">
        <f>IF(V92="","",IF(VLOOKUP(V92,'G-7 WaterC'' Data'!$AA$4:$AB$7,2,FALSE)=0,"Spatial Data Missing ⚠",VLOOKUP(V92,'G-7 WaterC'' Data'!$AA$4:$AB$7,2,FALSE)))</f>
        <v/>
      </c>
      <c r="X92" s="60"/>
      <c r="Y92" s="363" t="str">
        <f>IF(X92="","",IF(VLOOKUP(X92,'G-7 WaterC'' Data'!$AD$4:$AE$14,2,FALSE)=0,"Enrcoachment Data Missing ⚠",VLOOKUP(X92,'G-7 WaterC'' Data'!$AD$4:$AE$14,2,FALSE)))</f>
        <v/>
      </c>
      <c r="Z92" s="423" t="str">
        <f t="shared" si="9"/>
        <v/>
      </c>
      <c r="AA92" s="117"/>
      <c r="AB92" s="118"/>
      <c r="AC92" s="120"/>
      <c r="AH92" s="30" t="str">
        <f>IFERROR(INDEX('G-7 WaterC'' Data'!$AZ$3:$AZ$7,MATCH(C92,'G-7 WaterC'' Data'!$AY$3:$AY$7,0)),"")</f>
        <v/>
      </c>
    </row>
    <row r="93" spans="2:34" ht="15">
      <c r="B93" s="110">
        <v>82</v>
      </c>
      <c r="C93" s="138"/>
      <c r="D93" s="139"/>
      <c r="E93" s="362" t="str">
        <f>IF(C93="","",VLOOKUP(C93,'G-7 WaterC'' Data'!$B$2:$G$8,2,FALSE))</f>
        <v/>
      </c>
      <c r="F93" s="363" t="str">
        <f>IFERROR(VLOOKUP(E93,'G-7 WaterC'' Data'!$C$4:$D$8,2,FALSE),"")</f>
        <v/>
      </c>
      <c r="G93" s="114"/>
      <c r="H93" s="363" t="str">
        <f>IFERROR(INDEX('G-7 WaterC'' Data'!$H$4:$L$8,MATCH(C93,'G-7 WaterC'' Data'!$B$4:$B$8,0),MATCH(G93,'G-7 WaterC'' Data'!$H$3:$L$3,0)),"")</f>
        <v/>
      </c>
      <c r="I93" s="54"/>
      <c r="J93" s="370" t="str">
        <f>IF(I93="","",IF(VLOOKUP(I93,'G-7 WaterC'' Data'!$AK$4:$AM$6,2,FALSE)=0,"Spatial Data Missing ⚠",VLOOKUP(I93,'G-7 WaterC'' Data'!$AK$4:$AM$6,2,FALSE)))</f>
        <v/>
      </c>
      <c r="K93" s="363" t="str">
        <f>IF(I93="","",IF(VLOOKUP(I93,'G-7 WaterC'' Data'!$AK$4:$AM$6,3,FALSE)=0,"Spatial Data Missing ⚠",VLOOKUP(I93,'G-7 WaterC'' Data'!$AK$4:$AM$6,3,FALSE)))</f>
        <v/>
      </c>
      <c r="L93" s="362" t="str">
        <f>IFERROR(INDEX('G-7 WaterC'' Data'!$O$3:$O$7,MATCH(G93,'G-7 WaterC'' Data'!$N$3:$N$7,0)),"")</f>
        <v/>
      </c>
      <c r="M93" s="63"/>
      <c r="N93" s="159"/>
      <c r="O93" s="370" t="str">
        <f t="shared" si="5"/>
        <v/>
      </c>
      <c r="P93" s="383" t="str">
        <f t="shared" si="6"/>
        <v/>
      </c>
      <c r="Q93" s="422" t="str">
        <f>IFERROR(IF(P93="Check Data ⚠","Check Data ⚠",VLOOKUP(P93,'G-4 Temporal multipliers'!$A$4:$C$37,3,FALSE)),"")</f>
        <v/>
      </c>
      <c r="R93" s="362" t="str">
        <f>IF(C93="","",VLOOKUP(C93,'G-7 WaterC'' Data'!$B$4:$G$8,4,FALSE))</f>
        <v/>
      </c>
      <c r="S93" s="370" t="str">
        <f t="shared" si="7"/>
        <v/>
      </c>
      <c r="T93" s="401" t="str">
        <f t="shared" si="8"/>
        <v/>
      </c>
      <c r="U93" s="363" t="str">
        <f>IF(C93="","",VLOOKUP(T93,'G-3 Multipliers'!$P$2:$Q$6,2,FALSE))</f>
        <v/>
      </c>
      <c r="V93" s="115"/>
      <c r="W93" s="363" t="str">
        <f>IF(V93="","",IF(VLOOKUP(V93,'G-7 WaterC'' Data'!$AA$4:$AB$7,2,FALSE)=0,"Spatial Data Missing ⚠",VLOOKUP(V93,'G-7 WaterC'' Data'!$AA$4:$AB$7,2,FALSE)))</f>
        <v/>
      </c>
      <c r="X93" s="60"/>
      <c r="Y93" s="363" t="str">
        <f>IF(X93="","",IF(VLOOKUP(X93,'G-7 WaterC'' Data'!$AD$4:$AE$14,2,FALSE)=0,"Enrcoachment Data Missing ⚠",VLOOKUP(X93,'G-7 WaterC'' Data'!$AD$4:$AE$14,2,FALSE)))</f>
        <v/>
      </c>
      <c r="Z93" s="423" t="str">
        <f t="shared" si="9"/>
        <v/>
      </c>
      <c r="AA93" s="117"/>
      <c r="AB93" s="118"/>
      <c r="AC93" s="120"/>
      <c r="AH93" s="30" t="str">
        <f>IFERROR(INDEX('G-7 WaterC'' Data'!$AZ$3:$AZ$7,MATCH(C93,'G-7 WaterC'' Data'!$AY$3:$AY$7,0)),"")</f>
        <v/>
      </c>
    </row>
    <row r="94" spans="2:34" ht="15">
      <c r="B94" s="110">
        <v>83</v>
      </c>
      <c r="C94" s="138"/>
      <c r="D94" s="139"/>
      <c r="E94" s="362" t="str">
        <f>IF(C94="","",VLOOKUP(C94,'G-7 WaterC'' Data'!$B$2:$G$8,2,FALSE))</f>
        <v/>
      </c>
      <c r="F94" s="363" t="str">
        <f>IFERROR(VLOOKUP(E94,'G-7 WaterC'' Data'!$C$4:$D$8,2,FALSE),"")</f>
        <v/>
      </c>
      <c r="G94" s="114"/>
      <c r="H94" s="363" t="str">
        <f>IFERROR(INDEX('G-7 WaterC'' Data'!$H$4:$L$8,MATCH(C94,'G-7 WaterC'' Data'!$B$4:$B$8,0),MATCH(G94,'G-7 WaterC'' Data'!$H$3:$L$3,0)),"")</f>
        <v/>
      </c>
      <c r="I94" s="54"/>
      <c r="J94" s="370" t="str">
        <f>IF(I94="","",IF(VLOOKUP(I94,'G-7 WaterC'' Data'!$AK$4:$AM$6,2,FALSE)=0,"Spatial Data Missing ⚠",VLOOKUP(I94,'G-7 WaterC'' Data'!$AK$4:$AM$6,2,FALSE)))</f>
        <v/>
      </c>
      <c r="K94" s="363" t="str">
        <f>IF(I94="","",IF(VLOOKUP(I94,'G-7 WaterC'' Data'!$AK$4:$AM$6,3,FALSE)=0,"Spatial Data Missing ⚠",VLOOKUP(I94,'G-7 WaterC'' Data'!$AK$4:$AM$6,3,FALSE)))</f>
        <v/>
      </c>
      <c r="L94" s="362" t="str">
        <f>IFERROR(INDEX('G-7 WaterC'' Data'!$O$3:$O$7,MATCH(G94,'G-7 WaterC'' Data'!$N$3:$N$7,0)),"")</f>
        <v/>
      </c>
      <c r="M94" s="63"/>
      <c r="N94" s="159"/>
      <c r="O94" s="370" t="str">
        <f t="shared" si="5"/>
        <v/>
      </c>
      <c r="P94" s="383" t="str">
        <f t="shared" si="6"/>
        <v/>
      </c>
      <c r="Q94" s="422" t="str">
        <f>IFERROR(IF(P94="Check Data ⚠","Check Data ⚠",VLOOKUP(P94,'G-4 Temporal multipliers'!$A$4:$C$37,3,FALSE)),"")</f>
        <v/>
      </c>
      <c r="R94" s="362" t="str">
        <f>IF(C94="","",VLOOKUP(C94,'G-7 WaterC'' Data'!$B$4:$G$8,4,FALSE))</f>
        <v/>
      </c>
      <c r="S94" s="370" t="str">
        <f t="shared" si="7"/>
        <v/>
      </c>
      <c r="T94" s="401" t="str">
        <f t="shared" si="8"/>
        <v/>
      </c>
      <c r="U94" s="363" t="str">
        <f>IF(C94="","",VLOOKUP(T94,'G-3 Multipliers'!$P$2:$Q$6,2,FALSE))</f>
        <v/>
      </c>
      <c r="V94" s="115"/>
      <c r="W94" s="363" t="str">
        <f>IF(V94="","",IF(VLOOKUP(V94,'G-7 WaterC'' Data'!$AA$4:$AB$7,2,FALSE)=0,"Spatial Data Missing ⚠",VLOOKUP(V94,'G-7 WaterC'' Data'!$AA$4:$AB$7,2,FALSE)))</f>
        <v/>
      </c>
      <c r="X94" s="60"/>
      <c r="Y94" s="363" t="str">
        <f>IF(X94="","",IF(VLOOKUP(X94,'G-7 WaterC'' Data'!$AD$4:$AE$14,2,FALSE)=0,"Enrcoachment Data Missing ⚠",VLOOKUP(X94,'G-7 WaterC'' Data'!$AD$4:$AE$14,2,FALSE)))</f>
        <v/>
      </c>
      <c r="Z94" s="423" t="str">
        <f t="shared" si="9"/>
        <v/>
      </c>
      <c r="AA94" s="117"/>
      <c r="AB94" s="118"/>
      <c r="AC94" s="120"/>
      <c r="AH94" s="30" t="str">
        <f>IFERROR(INDEX('G-7 WaterC'' Data'!$AZ$3:$AZ$7,MATCH(C94,'G-7 WaterC'' Data'!$AY$3:$AY$7,0)),"")</f>
        <v/>
      </c>
    </row>
    <row r="95" spans="2:34" ht="15">
      <c r="B95" s="110">
        <v>84</v>
      </c>
      <c r="C95" s="138"/>
      <c r="D95" s="139"/>
      <c r="E95" s="362" t="str">
        <f>IF(C95="","",VLOOKUP(C95,'G-7 WaterC'' Data'!$B$2:$G$8,2,FALSE))</f>
        <v/>
      </c>
      <c r="F95" s="363" t="str">
        <f>IFERROR(VLOOKUP(E95,'G-7 WaterC'' Data'!$C$4:$D$8,2,FALSE),"")</f>
        <v/>
      </c>
      <c r="G95" s="114"/>
      <c r="H95" s="363" t="str">
        <f>IFERROR(INDEX('G-7 WaterC'' Data'!$H$4:$L$8,MATCH(C95,'G-7 WaterC'' Data'!$B$4:$B$8,0),MATCH(G95,'G-7 WaterC'' Data'!$H$3:$L$3,0)),"")</f>
        <v/>
      </c>
      <c r="I95" s="54"/>
      <c r="J95" s="370" t="str">
        <f>IF(I95="","",IF(VLOOKUP(I95,'G-7 WaterC'' Data'!$AK$4:$AM$6,2,FALSE)=0,"Spatial Data Missing ⚠",VLOOKUP(I95,'G-7 WaterC'' Data'!$AK$4:$AM$6,2,FALSE)))</f>
        <v/>
      </c>
      <c r="K95" s="363" t="str">
        <f>IF(I95="","",IF(VLOOKUP(I95,'G-7 WaterC'' Data'!$AK$4:$AM$6,3,FALSE)=0,"Spatial Data Missing ⚠",VLOOKUP(I95,'G-7 WaterC'' Data'!$AK$4:$AM$6,3,FALSE)))</f>
        <v/>
      </c>
      <c r="L95" s="362" t="str">
        <f>IFERROR(INDEX('G-7 WaterC'' Data'!$O$3:$O$7,MATCH(G95,'G-7 WaterC'' Data'!$N$3:$N$7,0)),"")</f>
        <v/>
      </c>
      <c r="M95" s="63"/>
      <c r="N95" s="159"/>
      <c r="O95" s="370" t="str">
        <f t="shared" si="5"/>
        <v/>
      </c>
      <c r="P95" s="383" t="str">
        <f t="shared" si="6"/>
        <v/>
      </c>
      <c r="Q95" s="422" t="str">
        <f>IFERROR(IF(P95="Check Data ⚠","Check Data ⚠",VLOOKUP(P95,'G-4 Temporal multipliers'!$A$4:$C$37,3,FALSE)),"")</f>
        <v/>
      </c>
      <c r="R95" s="362" t="str">
        <f>IF(C95="","",VLOOKUP(C95,'G-7 WaterC'' Data'!$B$4:$G$8,4,FALSE))</f>
        <v/>
      </c>
      <c r="S95" s="370" t="str">
        <f t="shared" si="7"/>
        <v/>
      </c>
      <c r="T95" s="401" t="str">
        <f t="shared" si="8"/>
        <v/>
      </c>
      <c r="U95" s="363" t="str">
        <f>IF(C95="","",VLOOKUP(T95,'G-3 Multipliers'!$P$2:$Q$6,2,FALSE))</f>
        <v/>
      </c>
      <c r="V95" s="115"/>
      <c r="W95" s="363" t="str">
        <f>IF(V95="","",IF(VLOOKUP(V95,'G-7 WaterC'' Data'!$AA$4:$AB$7,2,FALSE)=0,"Spatial Data Missing ⚠",VLOOKUP(V95,'G-7 WaterC'' Data'!$AA$4:$AB$7,2,FALSE)))</f>
        <v/>
      </c>
      <c r="X95" s="60"/>
      <c r="Y95" s="363" t="str">
        <f>IF(X95="","",IF(VLOOKUP(X95,'G-7 WaterC'' Data'!$AD$4:$AE$14,2,FALSE)=0,"Enrcoachment Data Missing ⚠",VLOOKUP(X95,'G-7 WaterC'' Data'!$AD$4:$AE$14,2,FALSE)))</f>
        <v/>
      </c>
      <c r="Z95" s="423" t="str">
        <f t="shared" si="9"/>
        <v/>
      </c>
      <c r="AA95" s="117"/>
      <c r="AB95" s="118"/>
      <c r="AC95" s="120"/>
      <c r="AH95" s="30" t="str">
        <f>IFERROR(INDEX('G-7 WaterC'' Data'!$AZ$3:$AZ$7,MATCH(C95,'G-7 WaterC'' Data'!$AY$3:$AY$7,0)),"")</f>
        <v/>
      </c>
    </row>
    <row r="96" spans="2:34" ht="15">
      <c r="B96" s="110">
        <v>85</v>
      </c>
      <c r="C96" s="138"/>
      <c r="D96" s="139"/>
      <c r="E96" s="362" t="str">
        <f>IF(C96="","",VLOOKUP(C96,'G-7 WaterC'' Data'!$B$2:$G$8,2,FALSE))</f>
        <v/>
      </c>
      <c r="F96" s="363" t="str">
        <f>IFERROR(VLOOKUP(E96,'G-7 WaterC'' Data'!$C$4:$D$8,2,FALSE),"")</f>
        <v/>
      </c>
      <c r="G96" s="114"/>
      <c r="H96" s="363" t="str">
        <f>IFERROR(INDEX('G-7 WaterC'' Data'!$H$4:$L$8,MATCH(C96,'G-7 WaterC'' Data'!$B$4:$B$8,0),MATCH(G96,'G-7 WaterC'' Data'!$H$3:$L$3,0)),"")</f>
        <v/>
      </c>
      <c r="I96" s="54"/>
      <c r="J96" s="370" t="str">
        <f>IF(I96="","",IF(VLOOKUP(I96,'G-7 WaterC'' Data'!$AK$4:$AM$6,2,FALSE)=0,"Spatial Data Missing ⚠",VLOOKUP(I96,'G-7 WaterC'' Data'!$AK$4:$AM$6,2,FALSE)))</f>
        <v/>
      </c>
      <c r="K96" s="363" t="str">
        <f>IF(I96="","",IF(VLOOKUP(I96,'G-7 WaterC'' Data'!$AK$4:$AM$6,3,FALSE)=0,"Spatial Data Missing ⚠",VLOOKUP(I96,'G-7 WaterC'' Data'!$AK$4:$AM$6,3,FALSE)))</f>
        <v/>
      </c>
      <c r="L96" s="362" t="str">
        <f>IFERROR(INDEX('G-7 WaterC'' Data'!$O$3:$O$7,MATCH(G96,'G-7 WaterC'' Data'!$N$3:$N$7,0)),"")</f>
        <v/>
      </c>
      <c r="M96" s="63"/>
      <c r="N96" s="159"/>
      <c r="O96" s="370" t="str">
        <f t="shared" si="5"/>
        <v/>
      </c>
      <c r="P96" s="383" t="str">
        <f t="shared" si="6"/>
        <v/>
      </c>
      <c r="Q96" s="422" t="str">
        <f>IFERROR(IF(P96="Check Data ⚠","Check Data ⚠",VLOOKUP(P96,'G-4 Temporal multipliers'!$A$4:$C$37,3,FALSE)),"")</f>
        <v/>
      </c>
      <c r="R96" s="362" t="str">
        <f>IF(C96="","",VLOOKUP(C96,'G-7 WaterC'' Data'!$B$4:$G$8,4,FALSE))</f>
        <v/>
      </c>
      <c r="S96" s="370" t="str">
        <f t="shared" si="7"/>
        <v/>
      </c>
      <c r="T96" s="401" t="str">
        <f t="shared" si="8"/>
        <v/>
      </c>
      <c r="U96" s="363" t="str">
        <f>IF(C96="","",VLOOKUP(T96,'G-3 Multipliers'!$P$2:$Q$6,2,FALSE))</f>
        <v/>
      </c>
      <c r="V96" s="115"/>
      <c r="W96" s="363" t="str">
        <f>IF(V96="","",IF(VLOOKUP(V96,'G-7 WaterC'' Data'!$AA$4:$AB$7,2,FALSE)=0,"Spatial Data Missing ⚠",VLOOKUP(V96,'G-7 WaterC'' Data'!$AA$4:$AB$7,2,FALSE)))</f>
        <v/>
      </c>
      <c r="X96" s="60"/>
      <c r="Y96" s="363" t="str">
        <f>IF(X96="","",IF(VLOOKUP(X96,'G-7 WaterC'' Data'!$AD$4:$AE$14,2,FALSE)=0,"Enrcoachment Data Missing ⚠",VLOOKUP(X96,'G-7 WaterC'' Data'!$AD$4:$AE$14,2,FALSE)))</f>
        <v/>
      </c>
      <c r="Z96" s="423" t="str">
        <f t="shared" si="9"/>
        <v/>
      </c>
      <c r="AA96" s="117"/>
      <c r="AB96" s="118"/>
      <c r="AC96" s="120"/>
      <c r="AH96" s="30" t="str">
        <f>IFERROR(INDEX('G-7 WaterC'' Data'!$AZ$3:$AZ$7,MATCH(C96,'G-7 WaterC'' Data'!$AY$3:$AY$7,0)),"")</f>
        <v/>
      </c>
    </row>
    <row r="97" spans="2:34" ht="15">
      <c r="B97" s="110">
        <v>86</v>
      </c>
      <c r="C97" s="138"/>
      <c r="D97" s="139"/>
      <c r="E97" s="362" t="str">
        <f>IF(C97="","",VLOOKUP(C97,'G-7 WaterC'' Data'!$B$2:$G$8,2,FALSE))</f>
        <v/>
      </c>
      <c r="F97" s="363" t="str">
        <f>IFERROR(VLOOKUP(E97,'G-7 WaterC'' Data'!$C$4:$D$8,2,FALSE),"")</f>
        <v/>
      </c>
      <c r="G97" s="114"/>
      <c r="H97" s="363" t="str">
        <f>IFERROR(INDEX('G-7 WaterC'' Data'!$H$4:$L$8,MATCH(C97,'G-7 WaterC'' Data'!$B$4:$B$8,0),MATCH(G97,'G-7 WaterC'' Data'!$H$3:$L$3,0)),"")</f>
        <v/>
      </c>
      <c r="I97" s="54"/>
      <c r="J97" s="370" t="str">
        <f>IF(I97="","",IF(VLOOKUP(I97,'G-7 WaterC'' Data'!$AK$4:$AM$6,2,FALSE)=0,"Spatial Data Missing ⚠",VLOOKUP(I97,'G-7 WaterC'' Data'!$AK$4:$AM$6,2,FALSE)))</f>
        <v/>
      </c>
      <c r="K97" s="363" t="str">
        <f>IF(I97="","",IF(VLOOKUP(I97,'G-7 WaterC'' Data'!$AK$4:$AM$6,3,FALSE)=0,"Spatial Data Missing ⚠",VLOOKUP(I97,'G-7 WaterC'' Data'!$AK$4:$AM$6,3,FALSE)))</f>
        <v/>
      </c>
      <c r="L97" s="362" t="str">
        <f>IFERROR(INDEX('G-7 WaterC'' Data'!$O$3:$O$7,MATCH(G97,'G-7 WaterC'' Data'!$N$3:$N$7,0)),"")</f>
        <v/>
      </c>
      <c r="M97" s="63"/>
      <c r="N97" s="159"/>
      <c r="O97" s="370" t="str">
        <f t="shared" si="5"/>
        <v/>
      </c>
      <c r="P97" s="383" t="str">
        <f t="shared" si="6"/>
        <v/>
      </c>
      <c r="Q97" s="422" t="str">
        <f>IFERROR(IF(P97="Check Data ⚠","Check Data ⚠",VLOOKUP(P97,'G-4 Temporal multipliers'!$A$4:$C$37,3,FALSE)),"")</f>
        <v/>
      </c>
      <c r="R97" s="362" t="str">
        <f>IF(C97="","",VLOOKUP(C97,'G-7 WaterC'' Data'!$B$4:$G$8,4,FALSE))</f>
        <v/>
      </c>
      <c r="S97" s="370" t="str">
        <f t="shared" si="7"/>
        <v/>
      </c>
      <c r="T97" s="401" t="str">
        <f t="shared" si="8"/>
        <v/>
      </c>
      <c r="U97" s="363" t="str">
        <f>IF(C97="","",VLOOKUP(T97,'G-3 Multipliers'!$P$2:$Q$6,2,FALSE))</f>
        <v/>
      </c>
      <c r="V97" s="115"/>
      <c r="W97" s="363" t="str">
        <f>IF(V97="","",IF(VLOOKUP(V97,'G-7 WaterC'' Data'!$AA$4:$AB$7,2,FALSE)=0,"Spatial Data Missing ⚠",VLOOKUP(V97,'G-7 WaterC'' Data'!$AA$4:$AB$7,2,FALSE)))</f>
        <v/>
      </c>
      <c r="X97" s="60"/>
      <c r="Y97" s="363" t="str">
        <f>IF(X97="","",IF(VLOOKUP(X97,'G-7 WaterC'' Data'!$AD$4:$AE$14,2,FALSE)=0,"Enrcoachment Data Missing ⚠",VLOOKUP(X97,'G-7 WaterC'' Data'!$AD$4:$AE$14,2,FALSE)))</f>
        <v/>
      </c>
      <c r="Z97" s="423" t="str">
        <f t="shared" si="9"/>
        <v/>
      </c>
      <c r="AA97" s="117"/>
      <c r="AB97" s="118"/>
      <c r="AC97" s="120"/>
      <c r="AH97" s="30" t="str">
        <f>IFERROR(INDEX('G-7 WaterC'' Data'!$AZ$3:$AZ$7,MATCH(C97,'G-7 WaterC'' Data'!$AY$3:$AY$7,0)),"")</f>
        <v/>
      </c>
    </row>
    <row r="98" spans="2:34" ht="15">
      <c r="B98" s="110">
        <v>87</v>
      </c>
      <c r="C98" s="138"/>
      <c r="D98" s="139"/>
      <c r="E98" s="362" t="str">
        <f>IF(C98="","",VLOOKUP(C98,'G-7 WaterC'' Data'!$B$2:$G$8,2,FALSE))</f>
        <v/>
      </c>
      <c r="F98" s="363" t="str">
        <f>IFERROR(VLOOKUP(E98,'G-7 WaterC'' Data'!$C$4:$D$8,2,FALSE),"")</f>
        <v/>
      </c>
      <c r="G98" s="114"/>
      <c r="H98" s="363" t="str">
        <f>IFERROR(INDEX('G-7 WaterC'' Data'!$H$4:$L$8,MATCH(C98,'G-7 WaterC'' Data'!$B$4:$B$8,0),MATCH(G98,'G-7 WaterC'' Data'!$H$3:$L$3,0)),"")</f>
        <v/>
      </c>
      <c r="I98" s="54"/>
      <c r="J98" s="370" t="str">
        <f>IF(I98="","",IF(VLOOKUP(I98,'G-7 WaterC'' Data'!$AK$4:$AM$6,2,FALSE)=0,"Spatial Data Missing ⚠",VLOOKUP(I98,'G-7 WaterC'' Data'!$AK$4:$AM$6,2,FALSE)))</f>
        <v/>
      </c>
      <c r="K98" s="363" t="str">
        <f>IF(I98="","",IF(VLOOKUP(I98,'G-7 WaterC'' Data'!$AK$4:$AM$6,3,FALSE)=0,"Spatial Data Missing ⚠",VLOOKUP(I98,'G-7 WaterC'' Data'!$AK$4:$AM$6,3,FALSE)))</f>
        <v/>
      </c>
      <c r="L98" s="362" t="str">
        <f>IFERROR(INDEX('G-7 WaterC'' Data'!$O$3:$O$7,MATCH(G98,'G-7 WaterC'' Data'!$N$3:$N$7,0)),"")</f>
        <v/>
      </c>
      <c r="M98" s="63"/>
      <c r="N98" s="159"/>
      <c r="O98" s="370" t="str">
        <f t="shared" si="5"/>
        <v/>
      </c>
      <c r="P98" s="383" t="str">
        <f t="shared" si="6"/>
        <v/>
      </c>
      <c r="Q98" s="422" t="str">
        <f>IFERROR(IF(P98="Check Data ⚠","Check Data ⚠",VLOOKUP(P98,'G-4 Temporal multipliers'!$A$4:$C$37,3,FALSE)),"")</f>
        <v/>
      </c>
      <c r="R98" s="362" t="str">
        <f>IF(C98="","",VLOOKUP(C98,'G-7 WaterC'' Data'!$B$4:$G$8,4,FALSE))</f>
        <v/>
      </c>
      <c r="S98" s="370" t="str">
        <f t="shared" si="7"/>
        <v/>
      </c>
      <c r="T98" s="401" t="str">
        <f t="shared" si="8"/>
        <v/>
      </c>
      <c r="U98" s="363" t="str">
        <f>IF(C98="","",VLOOKUP(T98,'G-3 Multipliers'!$P$2:$Q$6,2,FALSE))</f>
        <v/>
      </c>
      <c r="V98" s="115"/>
      <c r="W98" s="363" t="str">
        <f>IF(V98="","",IF(VLOOKUP(V98,'G-7 WaterC'' Data'!$AA$4:$AB$7,2,FALSE)=0,"Spatial Data Missing ⚠",VLOOKUP(V98,'G-7 WaterC'' Data'!$AA$4:$AB$7,2,FALSE)))</f>
        <v/>
      </c>
      <c r="X98" s="60"/>
      <c r="Y98" s="363" t="str">
        <f>IF(X98="","",IF(VLOOKUP(X98,'G-7 WaterC'' Data'!$AD$4:$AE$14,2,FALSE)=0,"Enrcoachment Data Missing ⚠",VLOOKUP(X98,'G-7 WaterC'' Data'!$AD$4:$AE$14,2,FALSE)))</f>
        <v/>
      </c>
      <c r="Z98" s="423" t="str">
        <f t="shared" si="9"/>
        <v/>
      </c>
      <c r="AA98" s="117"/>
      <c r="AB98" s="118"/>
      <c r="AC98" s="120"/>
      <c r="AH98" s="30" t="str">
        <f>IFERROR(INDEX('G-7 WaterC'' Data'!$AZ$3:$AZ$7,MATCH(C98,'G-7 WaterC'' Data'!$AY$3:$AY$7,0)),"")</f>
        <v/>
      </c>
    </row>
    <row r="99" spans="2:34" ht="15">
      <c r="B99" s="110">
        <v>88</v>
      </c>
      <c r="C99" s="138"/>
      <c r="D99" s="139"/>
      <c r="E99" s="362" t="str">
        <f>IF(C99="","",VLOOKUP(C99,'G-7 WaterC'' Data'!$B$2:$G$8,2,FALSE))</f>
        <v/>
      </c>
      <c r="F99" s="363" t="str">
        <f>IFERROR(VLOOKUP(E99,'G-7 WaterC'' Data'!$C$4:$D$8,2,FALSE),"")</f>
        <v/>
      </c>
      <c r="G99" s="114"/>
      <c r="H99" s="363" t="str">
        <f>IFERROR(INDEX('G-7 WaterC'' Data'!$H$4:$L$8,MATCH(C99,'G-7 WaterC'' Data'!$B$4:$B$8,0),MATCH(G99,'G-7 WaterC'' Data'!$H$3:$L$3,0)),"")</f>
        <v/>
      </c>
      <c r="I99" s="54"/>
      <c r="J99" s="370" t="str">
        <f>IF(I99="","",IF(VLOOKUP(I99,'G-7 WaterC'' Data'!$AK$4:$AM$6,2,FALSE)=0,"Spatial Data Missing ⚠",VLOOKUP(I99,'G-7 WaterC'' Data'!$AK$4:$AM$6,2,FALSE)))</f>
        <v/>
      </c>
      <c r="K99" s="363" t="str">
        <f>IF(I99="","",IF(VLOOKUP(I99,'G-7 WaterC'' Data'!$AK$4:$AM$6,3,FALSE)=0,"Spatial Data Missing ⚠",VLOOKUP(I99,'G-7 WaterC'' Data'!$AK$4:$AM$6,3,FALSE)))</f>
        <v/>
      </c>
      <c r="L99" s="362" t="str">
        <f>IFERROR(INDEX('G-7 WaterC'' Data'!$O$3:$O$7,MATCH(G99,'G-7 WaterC'' Data'!$N$3:$N$7,0)),"")</f>
        <v/>
      </c>
      <c r="M99" s="63"/>
      <c r="N99" s="159"/>
      <c r="O99" s="370" t="str">
        <f t="shared" si="5"/>
        <v/>
      </c>
      <c r="P99" s="383" t="str">
        <f t="shared" si="6"/>
        <v/>
      </c>
      <c r="Q99" s="422" t="str">
        <f>IFERROR(IF(P99="Check Data ⚠","Check Data ⚠",VLOOKUP(P99,'G-4 Temporal multipliers'!$A$4:$C$37,3,FALSE)),"")</f>
        <v/>
      </c>
      <c r="R99" s="362" t="str">
        <f>IF(C99="","",VLOOKUP(C99,'G-7 WaterC'' Data'!$B$4:$G$8,4,FALSE))</f>
        <v/>
      </c>
      <c r="S99" s="370" t="str">
        <f t="shared" si="7"/>
        <v/>
      </c>
      <c r="T99" s="401" t="str">
        <f t="shared" si="8"/>
        <v/>
      </c>
      <c r="U99" s="363" t="str">
        <f>IF(C99="","",VLOOKUP(T99,'G-3 Multipliers'!$P$2:$Q$6,2,FALSE))</f>
        <v/>
      </c>
      <c r="V99" s="115"/>
      <c r="W99" s="363" t="str">
        <f>IF(V99="","",IF(VLOOKUP(V99,'G-7 WaterC'' Data'!$AA$4:$AB$7,2,FALSE)=0,"Spatial Data Missing ⚠",VLOOKUP(V99,'G-7 WaterC'' Data'!$AA$4:$AB$7,2,FALSE)))</f>
        <v/>
      </c>
      <c r="X99" s="60"/>
      <c r="Y99" s="363" t="str">
        <f>IF(X99="","",IF(VLOOKUP(X99,'G-7 WaterC'' Data'!$AD$4:$AE$14,2,FALSE)=0,"Enrcoachment Data Missing ⚠",VLOOKUP(X99,'G-7 WaterC'' Data'!$AD$4:$AE$14,2,FALSE)))</f>
        <v/>
      </c>
      <c r="Z99" s="423" t="str">
        <f t="shared" si="9"/>
        <v/>
      </c>
      <c r="AA99" s="117"/>
      <c r="AB99" s="118"/>
      <c r="AC99" s="120"/>
      <c r="AH99" s="30" t="str">
        <f>IFERROR(INDEX('G-7 WaterC'' Data'!$AZ$3:$AZ$7,MATCH(C99,'G-7 WaterC'' Data'!$AY$3:$AY$7,0)),"")</f>
        <v/>
      </c>
    </row>
    <row r="100" spans="2:34" ht="15">
      <c r="B100" s="110">
        <v>89</v>
      </c>
      <c r="C100" s="138"/>
      <c r="D100" s="139"/>
      <c r="E100" s="362" t="str">
        <f>IF(C100="","",VLOOKUP(C100,'G-7 WaterC'' Data'!$B$2:$G$8,2,FALSE))</f>
        <v/>
      </c>
      <c r="F100" s="363" t="str">
        <f>IFERROR(VLOOKUP(E100,'G-7 WaterC'' Data'!$C$4:$D$8,2,FALSE),"")</f>
        <v/>
      </c>
      <c r="G100" s="114"/>
      <c r="H100" s="363" t="str">
        <f>IFERROR(INDEX('G-7 WaterC'' Data'!$H$4:$L$8,MATCH(C100,'G-7 WaterC'' Data'!$B$4:$B$8,0),MATCH(G100,'G-7 WaterC'' Data'!$H$3:$L$3,0)),"")</f>
        <v/>
      </c>
      <c r="I100" s="54"/>
      <c r="J100" s="370" t="str">
        <f>IF(I100="","",IF(VLOOKUP(I100,'G-7 WaterC'' Data'!$AK$4:$AM$6,2,FALSE)=0,"Spatial Data Missing ⚠",VLOOKUP(I100,'G-7 WaterC'' Data'!$AK$4:$AM$6,2,FALSE)))</f>
        <v/>
      </c>
      <c r="K100" s="363" t="str">
        <f>IF(I100="","",IF(VLOOKUP(I100,'G-7 WaterC'' Data'!$AK$4:$AM$6,3,FALSE)=0,"Spatial Data Missing ⚠",VLOOKUP(I100,'G-7 WaterC'' Data'!$AK$4:$AM$6,3,FALSE)))</f>
        <v/>
      </c>
      <c r="L100" s="362" t="str">
        <f>IFERROR(INDEX('G-7 WaterC'' Data'!$O$3:$O$7,MATCH(G100,'G-7 WaterC'' Data'!$N$3:$N$7,0)),"")</f>
        <v/>
      </c>
      <c r="M100" s="63"/>
      <c r="N100" s="159"/>
      <c r="O100" s="370" t="str">
        <f t="shared" si="5"/>
        <v/>
      </c>
      <c r="P100" s="383" t="str">
        <f t="shared" si="6"/>
        <v/>
      </c>
      <c r="Q100" s="422" t="str">
        <f>IFERROR(IF(P100="Check Data ⚠","Check Data ⚠",VLOOKUP(P100,'G-4 Temporal multipliers'!$A$4:$C$37,3,FALSE)),"")</f>
        <v/>
      </c>
      <c r="R100" s="362" t="str">
        <f>IF(C100="","",VLOOKUP(C100,'G-7 WaterC'' Data'!$B$4:$G$8,4,FALSE))</f>
        <v/>
      </c>
      <c r="S100" s="370" t="str">
        <f t="shared" si="7"/>
        <v/>
      </c>
      <c r="T100" s="401" t="str">
        <f t="shared" si="8"/>
        <v/>
      </c>
      <c r="U100" s="363" t="str">
        <f>IF(C100="","",VLOOKUP(T100,'G-3 Multipliers'!$P$2:$Q$6,2,FALSE))</f>
        <v/>
      </c>
      <c r="V100" s="115"/>
      <c r="W100" s="363" t="str">
        <f>IF(V100="","",IF(VLOOKUP(V100,'G-7 WaterC'' Data'!$AA$4:$AB$7,2,FALSE)=0,"Spatial Data Missing ⚠",VLOOKUP(V100,'G-7 WaterC'' Data'!$AA$4:$AB$7,2,FALSE)))</f>
        <v/>
      </c>
      <c r="X100" s="60"/>
      <c r="Y100" s="363" t="str">
        <f>IF(X100="","",IF(VLOOKUP(X100,'G-7 WaterC'' Data'!$AD$4:$AE$14,2,FALSE)=0,"Enrcoachment Data Missing ⚠",VLOOKUP(X100,'G-7 WaterC'' Data'!$AD$4:$AE$14,2,FALSE)))</f>
        <v/>
      </c>
      <c r="Z100" s="423" t="str">
        <f t="shared" si="9"/>
        <v/>
      </c>
      <c r="AA100" s="117"/>
      <c r="AB100" s="118"/>
      <c r="AC100" s="120"/>
      <c r="AH100" s="30" t="str">
        <f>IFERROR(INDEX('G-7 WaterC'' Data'!$AZ$3:$AZ$7,MATCH(C100,'G-7 WaterC'' Data'!$AY$3:$AY$7,0)),"")</f>
        <v/>
      </c>
    </row>
    <row r="101" spans="2:34" ht="15">
      <c r="B101" s="110">
        <v>90</v>
      </c>
      <c r="C101" s="138"/>
      <c r="D101" s="139"/>
      <c r="E101" s="362" t="str">
        <f>IF(C101="","",VLOOKUP(C101,'G-7 WaterC'' Data'!$B$2:$G$8,2,FALSE))</f>
        <v/>
      </c>
      <c r="F101" s="363" t="str">
        <f>IFERROR(VLOOKUP(E101,'G-7 WaterC'' Data'!$C$4:$D$8,2,FALSE),"")</f>
        <v/>
      </c>
      <c r="G101" s="114"/>
      <c r="H101" s="363" t="str">
        <f>IFERROR(INDEX('G-7 WaterC'' Data'!$H$4:$L$8,MATCH(C101,'G-7 WaterC'' Data'!$B$4:$B$8,0),MATCH(G101,'G-7 WaterC'' Data'!$H$3:$L$3,0)),"")</f>
        <v/>
      </c>
      <c r="I101" s="54"/>
      <c r="J101" s="370" t="str">
        <f>IF(I101="","",IF(VLOOKUP(I101,'G-7 WaterC'' Data'!$AK$4:$AM$6,2,FALSE)=0,"Spatial Data Missing ⚠",VLOOKUP(I101,'G-7 WaterC'' Data'!$AK$4:$AM$6,2,FALSE)))</f>
        <v/>
      </c>
      <c r="K101" s="363" t="str">
        <f>IF(I101="","",IF(VLOOKUP(I101,'G-7 WaterC'' Data'!$AK$4:$AM$6,3,FALSE)=0,"Spatial Data Missing ⚠",VLOOKUP(I101,'G-7 WaterC'' Data'!$AK$4:$AM$6,3,FALSE)))</f>
        <v/>
      </c>
      <c r="L101" s="362" t="str">
        <f>IFERROR(INDEX('G-7 WaterC'' Data'!$O$3:$O$7,MATCH(G101,'G-7 WaterC'' Data'!$N$3:$N$7,0)),"")</f>
        <v/>
      </c>
      <c r="M101" s="63"/>
      <c r="N101" s="159"/>
      <c r="O101" s="370" t="str">
        <f t="shared" si="5"/>
        <v/>
      </c>
      <c r="P101" s="383" t="str">
        <f t="shared" si="6"/>
        <v/>
      </c>
      <c r="Q101" s="422" t="str">
        <f>IFERROR(IF(P101="Check Data ⚠","Check Data ⚠",VLOOKUP(P101,'G-4 Temporal multipliers'!$A$4:$C$37,3,FALSE)),"")</f>
        <v/>
      </c>
      <c r="R101" s="362" t="str">
        <f>IF(C101="","",VLOOKUP(C101,'G-7 WaterC'' Data'!$B$4:$G$8,4,FALSE))</f>
        <v/>
      </c>
      <c r="S101" s="370" t="str">
        <f t="shared" si="7"/>
        <v/>
      </c>
      <c r="T101" s="401" t="str">
        <f t="shared" si="8"/>
        <v/>
      </c>
      <c r="U101" s="363" t="str">
        <f>IF(C101="","",VLOOKUP(T101,'G-3 Multipliers'!$P$2:$Q$6,2,FALSE))</f>
        <v/>
      </c>
      <c r="V101" s="115"/>
      <c r="W101" s="363" t="str">
        <f>IF(V101="","",IF(VLOOKUP(V101,'G-7 WaterC'' Data'!$AA$4:$AB$7,2,FALSE)=0,"Spatial Data Missing ⚠",VLOOKUP(V101,'G-7 WaterC'' Data'!$AA$4:$AB$7,2,FALSE)))</f>
        <v/>
      </c>
      <c r="X101" s="60"/>
      <c r="Y101" s="363" t="str">
        <f>IF(X101="","",IF(VLOOKUP(X101,'G-7 WaterC'' Data'!$AD$4:$AE$14,2,FALSE)=0,"Enrcoachment Data Missing ⚠",VLOOKUP(X101,'G-7 WaterC'' Data'!$AD$4:$AE$14,2,FALSE)))</f>
        <v/>
      </c>
      <c r="Z101" s="423" t="str">
        <f t="shared" si="9"/>
        <v/>
      </c>
      <c r="AA101" s="117"/>
      <c r="AB101" s="118"/>
      <c r="AC101" s="120"/>
      <c r="AH101" s="30" t="str">
        <f>IFERROR(INDEX('G-7 WaterC'' Data'!$AZ$3:$AZ$7,MATCH(C101,'G-7 WaterC'' Data'!$AY$3:$AY$7,0)),"")</f>
        <v/>
      </c>
    </row>
    <row r="102" spans="2:34" ht="15">
      <c r="B102" s="110">
        <v>91</v>
      </c>
      <c r="C102" s="138"/>
      <c r="D102" s="139"/>
      <c r="E102" s="362" t="str">
        <f>IF(C102="","",VLOOKUP(C102,'G-7 WaterC'' Data'!$B$2:$G$8,2,FALSE))</f>
        <v/>
      </c>
      <c r="F102" s="363" t="str">
        <f>IFERROR(VLOOKUP(E102,'G-7 WaterC'' Data'!$C$4:$D$8,2,FALSE),"")</f>
        <v/>
      </c>
      <c r="G102" s="114"/>
      <c r="H102" s="363" t="str">
        <f>IFERROR(INDEX('G-7 WaterC'' Data'!$H$4:$L$8,MATCH(C102,'G-7 WaterC'' Data'!$B$4:$B$8,0),MATCH(G102,'G-7 WaterC'' Data'!$H$3:$L$3,0)),"")</f>
        <v/>
      </c>
      <c r="I102" s="54"/>
      <c r="J102" s="370" t="str">
        <f>IF(I102="","",IF(VLOOKUP(I102,'G-7 WaterC'' Data'!$AK$4:$AM$6,2,FALSE)=0,"Spatial Data Missing ⚠",VLOOKUP(I102,'G-7 WaterC'' Data'!$AK$4:$AM$6,2,FALSE)))</f>
        <v/>
      </c>
      <c r="K102" s="363" t="str">
        <f>IF(I102="","",IF(VLOOKUP(I102,'G-7 WaterC'' Data'!$AK$4:$AM$6,3,FALSE)=0,"Spatial Data Missing ⚠",VLOOKUP(I102,'G-7 WaterC'' Data'!$AK$4:$AM$6,3,FALSE)))</f>
        <v/>
      </c>
      <c r="L102" s="362" t="str">
        <f>IFERROR(INDEX('G-7 WaterC'' Data'!$O$3:$O$7,MATCH(G102,'G-7 WaterC'' Data'!$N$3:$N$7,0)),"")</f>
        <v/>
      </c>
      <c r="M102" s="63"/>
      <c r="N102" s="159"/>
      <c r="O102" s="370" t="str">
        <f t="shared" si="5"/>
        <v/>
      </c>
      <c r="P102" s="383" t="str">
        <f t="shared" si="6"/>
        <v/>
      </c>
      <c r="Q102" s="422" t="str">
        <f>IFERROR(IF(P102="Check Data ⚠","Check Data ⚠",VLOOKUP(P102,'G-4 Temporal multipliers'!$A$4:$C$37,3,FALSE)),"")</f>
        <v/>
      </c>
      <c r="R102" s="362" t="str">
        <f>IF(C102="","",VLOOKUP(C102,'G-7 WaterC'' Data'!$B$4:$G$8,4,FALSE))</f>
        <v/>
      </c>
      <c r="S102" s="370" t="str">
        <f t="shared" si="7"/>
        <v/>
      </c>
      <c r="T102" s="401" t="str">
        <f t="shared" si="8"/>
        <v/>
      </c>
      <c r="U102" s="363" t="str">
        <f>IF(C102="","",VLOOKUP(T102,'G-3 Multipliers'!$P$2:$Q$6,2,FALSE))</f>
        <v/>
      </c>
      <c r="V102" s="115"/>
      <c r="W102" s="363" t="str">
        <f>IF(V102="","",IF(VLOOKUP(V102,'G-7 WaterC'' Data'!$AA$4:$AB$7,2,FALSE)=0,"Spatial Data Missing ⚠",VLOOKUP(V102,'G-7 WaterC'' Data'!$AA$4:$AB$7,2,FALSE)))</f>
        <v/>
      </c>
      <c r="X102" s="60"/>
      <c r="Y102" s="363" t="str">
        <f>IF(X102="","",IF(VLOOKUP(X102,'G-7 WaterC'' Data'!$AD$4:$AE$14,2,FALSE)=0,"Enrcoachment Data Missing ⚠",VLOOKUP(X102,'G-7 WaterC'' Data'!$AD$4:$AE$14,2,FALSE)))</f>
        <v/>
      </c>
      <c r="Z102" s="423" t="str">
        <f t="shared" si="9"/>
        <v/>
      </c>
      <c r="AA102" s="117"/>
      <c r="AB102" s="118"/>
      <c r="AC102" s="120"/>
      <c r="AH102" s="30" t="str">
        <f>IFERROR(INDEX('G-7 WaterC'' Data'!$AZ$3:$AZ$7,MATCH(C102,'G-7 WaterC'' Data'!$AY$3:$AY$7,0)),"")</f>
        <v/>
      </c>
    </row>
    <row r="103" spans="2:34" ht="15">
      <c r="B103" s="110">
        <v>92</v>
      </c>
      <c r="C103" s="138"/>
      <c r="D103" s="139"/>
      <c r="E103" s="362" t="str">
        <f>IF(C103="","",VLOOKUP(C103,'G-7 WaterC'' Data'!$B$2:$G$8,2,FALSE))</f>
        <v/>
      </c>
      <c r="F103" s="363" t="str">
        <f>IFERROR(VLOOKUP(E103,'G-7 WaterC'' Data'!$C$4:$D$8,2,FALSE),"")</f>
        <v/>
      </c>
      <c r="G103" s="114"/>
      <c r="H103" s="363" t="str">
        <f>IFERROR(INDEX('G-7 WaterC'' Data'!$H$4:$L$8,MATCH(C103,'G-7 WaterC'' Data'!$B$4:$B$8,0),MATCH(G103,'G-7 WaterC'' Data'!$H$3:$L$3,0)),"")</f>
        <v/>
      </c>
      <c r="I103" s="54"/>
      <c r="J103" s="370" t="str">
        <f>IF(I103="","",IF(VLOOKUP(I103,'G-7 WaterC'' Data'!$AK$4:$AM$6,2,FALSE)=0,"Spatial Data Missing ⚠",VLOOKUP(I103,'G-7 WaterC'' Data'!$AK$4:$AM$6,2,FALSE)))</f>
        <v/>
      </c>
      <c r="K103" s="363" t="str">
        <f>IF(I103="","",IF(VLOOKUP(I103,'G-7 WaterC'' Data'!$AK$4:$AM$6,3,FALSE)=0,"Spatial Data Missing ⚠",VLOOKUP(I103,'G-7 WaterC'' Data'!$AK$4:$AM$6,3,FALSE)))</f>
        <v/>
      </c>
      <c r="L103" s="362" t="str">
        <f>IFERROR(INDEX('G-7 WaterC'' Data'!$O$3:$O$7,MATCH(G103,'G-7 WaterC'' Data'!$N$3:$N$7,0)),"")</f>
        <v/>
      </c>
      <c r="M103" s="63"/>
      <c r="N103" s="159"/>
      <c r="O103" s="370" t="str">
        <f t="shared" si="5"/>
        <v/>
      </c>
      <c r="P103" s="383" t="str">
        <f t="shared" si="6"/>
        <v/>
      </c>
      <c r="Q103" s="422" t="str">
        <f>IFERROR(IF(P103="Check Data ⚠","Check Data ⚠",VLOOKUP(P103,'G-4 Temporal multipliers'!$A$4:$C$37,3,FALSE)),"")</f>
        <v/>
      </c>
      <c r="R103" s="362" t="str">
        <f>IF(C103="","",VLOOKUP(C103,'G-7 WaterC'' Data'!$B$4:$G$8,4,FALSE))</f>
        <v/>
      </c>
      <c r="S103" s="370" t="str">
        <f t="shared" si="7"/>
        <v/>
      </c>
      <c r="T103" s="401" t="str">
        <f t="shared" si="8"/>
        <v/>
      </c>
      <c r="U103" s="363" t="str">
        <f>IF(C103="","",VLOOKUP(T103,'G-3 Multipliers'!$P$2:$Q$6,2,FALSE))</f>
        <v/>
      </c>
      <c r="V103" s="115"/>
      <c r="W103" s="363" t="str">
        <f>IF(V103="","",IF(VLOOKUP(V103,'G-7 WaterC'' Data'!$AA$4:$AB$7,2,FALSE)=0,"Spatial Data Missing ⚠",VLOOKUP(V103,'G-7 WaterC'' Data'!$AA$4:$AB$7,2,FALSE)))</f>
        <v/>
      </c>
      <c r="X103" s="60"/>
      <c r="Y103" s="363" t="str">
        <f>IF(X103="","",IF(VLOOKUP(X103,'G-7 WaterC'' Data'!$AD$4:$AE$14,2,FALSE)=0,"Enrcoachment Data Missing ⚠",VLOOKUP(X103,'G-7 WaterC'' Data'!$AD$4:$AE$14,2,FALSE)))</f>
        <v/>
      </c>
      <c r="Z103" s="423" t="str">
        <f t="shared" si="9"/>
        <v/>
      </c>
      <c r="AA103" s="117"/>
      <c r="AB103" s="118"/>
      <c r="AC103" s="120"/>
      <c r="AH103" s="30" t="str">
        <f>IFERROR(INDEX('G-7 WaterC'' Data'!$AZ$3:$AZ$7,MATCH(C103,'G-7 WaterC'' Data'!$AY$3:$AY$7,0)),"")</f>
        <v/>
      </c>
    </row>
    <row r="104" spans="2:34" ht="15">
      <c r="B104" s="110">
        <v>93</v>
      </c>
      <c r="C104" s="138"/>
      <c r="D104" s="139"/>
      <c r="E104" s="362" t="str">
        <f>IF(C104="","",VLOOKUP(C104,'G-7 WaterC'' Data'!$B$2:$G$8,2,FALSE))</f>
        <v/>
      </c>
      <c r="F104" s="363" t="str">
        <f>IFERROR(VLOOKUP(E104,'G-7 WaterC'' Data'!$C$4:$D$8,2,FALSE),"")</f>
        <v/>
      </c>
      <c r="G104" s="114"/>
      <c r="H104" s="363" t="str">
        <f>IFERROR(INDEX('G-7 WaterC'' Data'!$H$4:$L$8,MATCH(C104,'G-7 WaterC'' Data'!$B$4:$B$8,0),MATCH(G104,'G-7 WaterC'' Data'!$H$3:$L$3,0)),"")</f>
        <v/>
      </c>
      <c r="I104" s="54"/>
      <c r="J104" s="370" t="str">
        <f>IF(I104="","",IF(VLOOKUP(I104,'G-7 WaterC'' Data'!$AK$4:$AM$6,2,FALSE)=0,"Spatial Data Missing ⚠",VLOOKUP(I104,'G-7 WaterC'' Data'!$AK$4:$AM$6,2,FALSE)))</f>
        <v/>
      </c>
      <c r="K104" s="363" t="str">
        <f>IF(I104="","",IF(VLOOKUP(I104,'G-7 WaterC'' Data'!$AK$4:$AM$6,3,FALSE)=0,"Spatial Data Missing ⚠",VLOOKUP(I104,'G-7 WaterC'' Data'!$AK$4:$AM$6,3,FALSE)))</f>
        <v/>
      </c>
      <c r="L104" s="362" t="str">
        <f>IFERROR(INDEX('G-7 WaterC'' Data'!$O$3:$O$7,MATCH(G104,'G-7 WaterC'' Data'!$N$3:$N$7,0)),"")</f>
        <v/>
      </c>
      <c r="M104" s="63"/>
      <c r="N104" s="159"/>
      <c r="O104" s="370" t="str">
        <f t="shared" si="5"/>
        <v/>
      </c>
      <c r="P104" s="383" t="str">
        <f t="shared" si="6"/>
        <v/>
      </c>
      <c r="Q104" s="422" t="str">
        <f>IFERROR(IF(P104="Check Data ⚠","Check Data ⚠",VLOOKUP(P104,'G-4 Temporal multipliers'!$A$4:$C$37,3,FALSE)),"")</f>
        <v/>
      </c>
      <c r="R104" s="362" t="str">
        <f>IF(C104="","",VLOOKUP(C104,'G-7 WaterC'' Data'!$B$4:$G$8,4,FALSE))</f>
        <v/>
      </c>
      <c r="S104" s="370" t="str">
        <f t="shared" si="7"/>
        <v/>
      </c>
      <c r="T104" s="401" t="str">
        <f t="shared" si="8"/>
        <v/>
      </c>
      <c r="U104" s="363" t="str">
        <f>IF(C104="","",VLOOKUP(T104,'G-3 Multipliers'!$P$2:$Q$6,2,FALSE))</f>
        <v/>
      </c>
      <c r="V104" s="115"/>
      <c r="W104" s="363" t="str">
        <f>IF(V104="","",IF(VLOOKUP(V104,'G-7 WaterC'' Data'!$AA$4:$AB$7,2,FALSE)=0,"Spatial Data Missing ⚠",VLOOKUP(V104,'G-7 WaterC'' Data'!$AA$4:$AB$7,2,FALSE)))</f>
        <v/>
      </c>
      <c r="X104" s="60"/>
      <c r="Y104" s="363" t="str">
        <f>IF(X104="","",IF(VLOOKUP(X104,'G-7 WaterC'' Data'!$AD$4:$AE$14,2,FALSE)=0,"Enrcoachment Data Missing ⚠",VLOOKUP(X104,'G-7 WaterC'' Data'!$AD$4:$AE$14,2,FALSE)))</f>
        <v/>
      </c>
      <c r="Z104" s="423" t="str">
        <f t="shared" si="9"/>
        <v/>
      </c>
      <c r="AA104" s="117"/>
      <c r="AB104" s="118"/>
      <c r="AC104" s="120"/>
      <c r="AH104" s="30" t="str">
        <f>IFERROR(INDEX('G-7 WaterC'' Data'!$AZ$3:$AZ$7,MATCH(C104,'G-7 WaterC'' Data'!$AY$3:$AY$7,0)),"")</f>
        <v/>
      </c>
    </row>
    <row r="105" spans="2:34" ht="15">
      <c r="B105" s="110">
        <v>94</v>
      </c>
      <c r="C105" s="138"/>
      <c r="D105" s="139"/>
      <c r="E105" s="362" t="str">
        <f>IF(C105="","",VLOOKUP(C105,'G-7 WaterC'' Data'!$B$2:$G$8,2,FALSE))</f>
        <v/>
      </c>
      <c r="F105" s="363" t="str">
        <f>IFERROR(VLOOKUP(E105,'G-7 WaterC'' Data'!$C$4:$D$8,2,FALSE),"")</f>
        <v/>
      </c>
      <c r="G105" s="114"/>
      <c r="H105" s="363" t="str">
        <f>IFERROR(INDEX('G-7 WaterC'' Data'!$H$4:$L$8,MATCH(C105,'G-7 WaterC'' Data'!$B$4:$B$8,0),MATCH(G105,'G-7 WaterC'' Data'!$H$3:$L$3,0)),"")</f>
        <v/>
      </c>
      <c r="I105" s="54"/>
      <c r="J105" s="370" t="str">
        <f>IF(I105="","",IF(VLOOKUP(I105,'G-7 WaterC'' Data'!$AK$4:$AM$6,2,FALSE)=0,"Spatial Data Missing ⚠",VLOOKUP(I105,'G-7 WaterC'' Data'!$AK$4:$AM$6,2,FALSE)))</f>
        <v/>
      </c>
      <c r="K105" s="363" t="str">
        <f>IF(I105="","",IF(VLOOKUP(I105,'G-7 WaterC'' Data'!$AK$4:$AM$6,3,FALSE)=0,"Spatial Data Missing ⚠",VLOOKUP(I105,'G-7 WaterC'' Data'!$AK$4:$AM$6,3,FALSE)))</f>
        <v/>
      </c>
      <c r="L105" s="362" t="str">
        <f>IFERROR(INDEX('G-7 WaterC'' Data'!$O$3:$O$7,MATCH(G105,'G-7 WaterC'' Data'!$N$3:$N$7,0)),"")</f>
        <v/>
      </c>
      <c r="M105" s="63"/>
      <c r="N105" s="159"/>
      <c r="O105" s="370" t="str">
        <f t="shared" si="5"/>
        <v/>
      </c>
      <c r="P105" s="383" t="str">
        <f t="shared" si="6"/>
        <v/>
      </c>
      <c r="Q105" s="422" t="str">
        <f>IFERROR(IF(P105="Check Data ⚠","Check Data ⚠",VLOOKUP(P105,'G-4 Temporal multipliers'!$A$4:$C$37,3,FALSE)),"")</f>
        <v/>
      </c>
      <c r="R105" s="362" t="str">
        <f>IF(C105="","",VLOOKUP(C105,'G-7 WaterC'' Data'!$B$4:$G$8,4,FALSE))</f>
        <v/>
      </c>
      <c r="S105" s="370" t="str">
        <f t="shared" si="7"/>
        <v/>
      </c>
      <c r="T105" s="401" t="str">
        <f t="shared" si="8"/>
        <v/>
      </c>
      <c r="U105" s="363" t="str">
        <f>IF(C105="","",VLOOKUP(T105,'G-3 Multipliers'!$P$2:$Q$6,2,FALSE))</f>
        <v/>
      </c>
      <c r="V105" s="115"/>
      <c r="W105" s="363" t="str">
        <f>IF(V105="","",IF(VLOOKUP(V105,'G-7 WaterC'' Data'!$AA$4:$AB$7,2,FALSE)=0,"Spatial Data Missing ⚠",VLOOKUP(V105,'G-7 WaterC'' Data'!$AA$4:$AB$7,2,FALSE)))</f>
        <v/>
      </c>
      <c r="X105" s="60"/>
      <c r="Y105" s="363" t="str">
        <f>IF(X105="","",IF(VLOOKUP(X105,'G-7 WaterC'' Data'!$AD$4:$AE$14,2,FALSE)=0,"Enrcoachment Data Missing ⚠",VLOOKUP(X105,'G-7 WaterC'' Data'!$AD$4:$AE$14,2,FALSE)))</f>
        <v/>
      </c>
      <c r="Z105" s="423" t="str">
        <f t="shared" si="9"/>
        <v/>
      </c>
      <c r="AA105" s="117"/>
      <c r="AB105" s="118"/>
      <c r="AC105" s="120"/>
      <c r="AH105" s="30" t="str">
        <f>IFERROR(INDEX('G-7 WaterC'' Data'!$AZ$3:$AZ$7,MATCH(C105,'G-7 WaterC'' Data'!$AY$3:$AY$7,0)),"")</f>
        <v/>
      </c>
    </row>
    <row r="106" spans="2:34" ht="15">
      <c r="B106" s="110">
        <v>95</v>
      </c>
      <c r="C106" s="138"/>
      <c r="D106" s="139"/>
      <c r="E106" s="362" t="str">
        <f>IF(C106="","",VLOOKUP(C106,'G-7 WaterC'' Data'!$B$2:$G$8,2,FALSE))</f>
        <v/>
      </c>
      <c r="F106" s="363" t="str">
        <f>IFERROR(VLOOKUP(E106,'G-7 WaterC'' Data'!$C$4:$D$8,2,FALSE),"")</f>
        <v/>
      </c>
      <c r="G106" s="114"/>
      <c r="H106" s="363" t="str">
        <f>IFERROR(INDEX('G-7 WaterC'' Data'!$H$4:$L$8,MATCH(C106,'G-7 WaterC'' Data'!$B$4:$B$8,0),MATCH(G106,'G-7 WaterC'' Data'!$H$3:$L$3,0)),"")</f>
        <v/>
      </c>
      <c r="I106" s="54"/>
      <c r="J106" s="370" t="str">
        <f>IF(I106="","",IF(VLOOKUP(I106,'G-7 WaterC'' Data'!$AK$4:$AM$6,2,FALSE)=0,"Spatial Data Missing ⚠",VLOOKUP(I106,'G-7 WaterC'' Data'!$AK$4:$AM$6,2,FALSE)))</f>
        <v/>
      </c>
      <c r="K106" s="363" t="str">
        <f>IF(I106="","",IF(VLOOKUP(I106,'G-7 WaterC'' Data'!$AK$4:$AM$6,3,FALSE)=0,"Spatial Data Missing ⚠",VLOOKUP(I106,'G-7 WaterC'' Data'!$AK$4:$AM$6,3,FALSE)))</f>
        <v/>
      </c>
      <c r="L106" s="362" t="str">
        <f>IFERROR(INDEX('G-7 WaterC'' Data'!$O$3:$O$7,MATCH(G106,'G-7 WaterC'' Data'!$N$3:$N$7,0)),"")</f>
        <v/>
      </c>
      <c r="M106" s="63"/>
      <c r="N106" s="159"/>
      <c r="O106" s="370" t="str">
        <f t="shared" si="5"/>
        <v/>
      </c>
      <c r="P106" s="383" t="str">
        <f t="shared" si="6"/>
        <v/>
      </c>
      <c r="Q106" s="422" t="str">
        <f>IFERROR(IF(P106="Check Data ⚠","Check Data ⚠",VLOOKUP(P106,'G-4 Temporal multipliers'!$A$4:$C$37,3,FALSE)),"")</f>
        <v/>
      </c>
      <c r="R106" s="362" t="str">
        <f>IF(C106="","",VLOOKUP(C106,'G-7 WaterC'' Data'!$B$4:$G$8,4,FALSE))</f>
        <v/>
      </c>
      <c r="S106" s="370" t="str">
        <f t="shared" si="7"/>
        <v/>
      </c>
      <c r="T106" s="401" t="str">
        <f t="shared" si="8"/>
        <v/>
      </c>
      <c r="U106" s="363" t="str">
        <f>IF(C106="","",VLOOKUP(T106,'G-3 Multipliers'!$P$2:$Q$6,2,FALSE))</f>
        <v/>
      </c>
      <c r="V106" s="115"/>
      <c r="W106" s="363" t="str">
        <f>IF(V106="","",IF(VLOOKUP(V106,'G-7 WaterC'' Data'!$AA$4:$AB$7,2,FALSE)=0,"Spatial Data Missing ⚠",VLOOKUP(V106,'G-7 WaterC'' Data'!$AA$4:$AB$7,2,FALSE)))</f>
        <v/>
      </c>
      <c r="X106" s="60"/>
      <c r="Y106" s="363" t="str">
        <f>IF(X106="","",IF(VLOOKUP(X106,'G-7 WaterC'' Data'!$AD$4:$AE$14,2,FALSE)=0,"Enrcoachment Data Missing ⚠",VLOOKUP(X106,'G-7 WaterC'' Data'!$AD$4:$AE$14,2,FALSE)))</f>
        <v/>
      </c>
      <c r="Z106" s="423" t="str">
        <f t="shared" si="9"/>
        <v/>
      </c>
      <c r="AA106" s="117"/>
      <c r="AB106" s="118"/>
      <c r="AC106" s="120"/>
      <c r="AH106" s="30" t="str">
        <f>IFERROR(INDEX('G-7 WaterC'' Data'!$AZ$3:$AZ$7,MATCH(C106,'G-7 WaterC'' Data'!$AY$3:$AY$7,0)),"")</f>
        <v/>
      </c>
    </row>
    <row r="107" spans="2:34" ht="15">
      <c r="B107" s="110">
        <v>96</v>
      </c>
      <c r="C107" s="138"/>
      <c r="D107" s="139"/>
      <c r="E107" s="362" t="str">
        <f>IF(C107="","",VLOOKUP(C107,'G-7 WaterC'' Data'!$B$2:$G$8,2,FALSE))</f>
        <v/>
      </c>
      <c r="F107" s="363" t="str">
        <f>IFERROR(VLOOKUP(E107,'G-7 WaterC'' Data'!$C$4:$D$8,2,FALSE),"")</f>
        <v/>
      </c>
      <c r="G107" s="114"/>
      <c r="H107" s="363" t="str">
        <f>IFERROR(INDEX('G-7 WaterC'' Data'!$H$4:$L$8,MATCH(C107,'G-7 WaterC'' Data'!$B$4:$B$8,0),MATCH(G107,'G-7 WaterC'' Data'!$H$3:$L$3,0)),"")</f>
        <v/>
      </c>
      <c r="I107" s="54"/>
      <c r="J107" s="370" t="str">
        <f>IF(I107="","",IF(VLOOKUP(I107,'G-7 WaterC'' Data'!$AK$4:$AM$6,2,FALSE)=0,"Spatial Data Missing ⚠",VLOOKUP(I107,'G-7 WaterC'' Data'!$AK$4:$AM$6,2,FALSE)))</f>
        <v/>
      </c>
      <c r="K107" s="363" t="str">
        <f>IF(I107="","",IF(VLOOKUP(I107,'G-7 WaterC'' Data'!$AK$4:$AM$6,3,FALSE)=0,"Spatial Data Missing ⚠",VLOOKUP(I107,'G-7 WaterC'' Data'!$AK$4:$AM$6,3,FALSE)))</f>
        <v/>
      </c>
      <c r="L107" s="362" t="str">
        <f>IFERROR(INDEX('G-7 WaterC'' Data'!$O$3:$O$7,MATCH(G107,'G-7 WaterC'' Data'!$N$3:$N$7,0)),"")</f>
        <v/>
      </c>
      <c r="M107" s="63"/>
      <c r="N107" s="159"/>
      <c r="O107" s="370" t="str">
        <f t="shared" si="5"/>
        <v/>
      </c>
      <c r="P107" s="383" t="str">
        <f t="shared" si="6"/>
        <v/>
      </c>
      <c r="Q107" s="422" t="str">
        <f>IFERROR(IF(P107="Check Data ⚠","Check Data ⚠",VLOOKUP(P107,'G-4 Temporal multipliers'!$A$4:$C$37,3,FALSE)),"")</f>
        <v/>
      </c>
      <c r="R107" s="362" t="str">
        <f>IF(C107="","",VLOOKUP(C107,'G-7 WaterC'' Data'!$B$4:$G$8,4,FALSE))</f>
        <v/>
      </c>
      <c r="S107" s="370" t="str">
        <f t="shared" si="7"/>
        <v/>
      </c>
      <c r="T107" s="401" t="str">
        <f t="shared" si="8"/>
        <v/>
      </c>
      <c r="U107" s="363" t="str">
        <f>IF(C107="","",VLOOKUP(T107,'G-3 Multipliers'!$P$2:$Q$6,2,FALSE))</f>
        <v/>
      </c>
      <c r="V107" s="115"/>
      <c r="W107" s="363" t="str">
        <f>IF(V107="","",IF(VLOOKUP(V107,'G-7 WaterC'' Data'!$AA$4:$AB$7,2,FALSE)=0,"Spatial Data Missing ⚠",VLOOKUP(V107,'G-7 WaterC'' Data'!$AA$4:$AB$7,2,FALSE)))</f>
        <v/>
      </c>
      <c r="X107" s="60"/>
      <c r="Y107" s="363" t="str">
        <f>IF(X107="","",IF(VLOOKUP(X107,'G-7 WaterC'' Data'!$AD$4:$AE$14,2,FALSE)=0,"Enrcoachment Data Missing ⚠",VLOOKUP(X107,'G-7 WaterC'' Data'!$AD$4:$AE$14,2,FALSE)))</f>
        <v/>
      </c>
      <c r="Z107" s="423" t="str">
        <f t="shared" si="9"/>
        <v/>
      </c>
      <c r="AA107" s="117"/>
      <c r="AB107" s="118"/>
      <c r="AC107" s="120"/>
      <c r="AH107" s="30" t="str">
        <f>IFERROR(INDEX('G-7 WaterC'' Data'!$AZ$3:$AZ$7,MATCH(C107,'G-7 WaterC'' Data'!$AY$3:$AY$7,0)),"")</f>
        <v/>
      </c>
    </row>
    <row r="108" spans="2:34" ht="15">
      <c r="B108" s="110">
        <v>97</v>
      </c>
      <c r="C108" s="138"/>
      <c r="D108" s="139"/>
      <c r="E108" s="362" t="str">
        <f>IF(C108="","",VLOOKUP(C108,'G-7 WaterC'' Data'!$B$2:$G$8,2,FALSE))</f>
        <v/>
      </c>
      <c r="F108" s="363" t="str">
        <f>IFERROR(VLOOKUP(E108,'G-7 WaterC'' Data'!$C$4:$D$8,2,FALSE),"")</f>
        <v/>
      </c>
      <c r="G108" s="114"/>
      <c r="H108" s="363" t="str">
        <f>IFERROR(INDEX('G-7 WaterC'' Data'!$H$4:$L$8,MATCH(C108,'G-7 WaterC'' Data'!$B$4:$B$8,0),MATCH(G108,'G-7 WaterC'' Data'!$H$3:$L$3,0)),"")</f>
        <v/>
      </c>
      <c r="I108" s="54"/>
      <c r="J108" s="370" t="str">
        <f>IF(I108="","",IF(VLOOKUP(I108,'G-7 WaterC'' Data'!$AK$4:$AM$6,2,FALSE)=0,"Spatial Data Missing ⚠",VLOOKUP(I108,'G-7 WaterC'' Data'!$AK$4:$AM$6,2,FALSE)))</f>
        <v/>
      </c>
      <c r="K108" s="363" t="str">
        <f>IF(I108="","",IF(VLOOKUP(I108,'G-7 WaterC'' Data'!$AK$4:$AM$6,3,FALSE)=0,"Spatial Data Missing ⚠",VLOOKUP(I108,'G-7 WaterC'' Data'!$AK$4:$AM$6,3,FALSE)))</f>
        <v/>
      </c>
      <c r="L108" s="362" t="str">
        <f>IFERROR(INDEX('G-7 WaterC'' Data'!$O$3:$O$7,MATCH(G108,'G-7 WaterC'' Data'!$N$3:$N$7,0)),"")</f>
        <v/>
      </c>
      <c r="M108" s="63"/>
      <c r="N108" s="159"/>
      <c r="O108" s="370" t="str">
        <f t="shared" si="5"/>
        <v/>
      </c>
      <c r="P108" s="383" t="str">
        <f t="shared" si="6"/>
        <v/>
      </c>
      <c r="Q108" s="422" t="str">
        <f>IFERROR(IF(P108="Check Data ⚠","Check Data ⚠",VLOOKUP(P108,'G-4 Temporal multipliers'!$A$4:$C$37,3,FALSE)),"")</f>
        <v/>
      </c>
      <c r="R108" s="362" t="str">
        <f>IF(C108="","",VLOOKUP(C108,'G-7 WaterC'' Data'!$B$4:$G$8,4,FALSE))</f>
        <v/>
      </c>
      <c r="S108" s="370" t="str">
        <f t="shared" si="7"/>
        <v/>
      </c>
      <c r="T108" s="401" t="str">
        <f t="shared" si="8"/>
        <v/>
      </c>
      <c r="U108" s="363" t="str">
        <f>IF(C108="","",VLOOKUP(T108,'G-3 Multipliers'!$P$2:$Q$6,2,FALSE))</f>
        <v/>
      </c>
      <c r="V108" s="115"/>
      <c r="W108" s="363" t="str">
        <f>IF(V108="","",IF(VLOOKUP(V108,'G-7 WaterC'' Data'!$AA$4:$AB$7,2,FALSE)=0,"Spatial Data Missing ⚠",VLOOKUP(V108,'G-7 WaterC'' Data'!$AA$4:$AB$7,2,FALSE)))</f>
        <v/>
      </c>
      <c r="X108" s="60"/>
      <c r="Y108" s="363" t="str">
        <f>IF(X108="","",IF(VLOOKUP(X108,'G-7 WaterC'' Data'!$AD$4:$AE$14,2,FALSE)=0,"Enrcoachment Data Missing ⚠",VLOOKUP(X108,'G-7 WaterC'' Data'!$AD$4:$AE$14,2,FALSE)))</f>
        <v/>
      </c>
      <c r="Z108" s="423" t="str">
        <f t="shared" si="9"/>
        <v/>
      </c>
      <c r="AA108" s="117"/>
      <c r="AB108" s="118"/>
      <c r="AC108" s="120"/>
      <c r="AH108" s="30" t="str">
        <f>IFERROR(INDEX('G-7 WaterC'' Data'!$AZ$3:$AZ$7,MATCH(C108,'G-7 WaterC'' Data'!$AY$3:$AY$7,0)),"")</f>
        <v/>
      </c>
    </row>
    <row r="109" spans="2:34" ht="15">
      <c r="B109" s="110">
        <v>98</v>
      </c>
      <c r="C109" s="138"/>
      <c r="D109" s="139"/>
      <c r="E109" s="362" t="str">
        <f>IF(C109="","",VLOOKUP(C109,'G-7 WaterC'' Data'!$B$2:$G$8,2,FALSE))</f>
        <v/>
      </c>
      <c r="F109" s="363" t="str">
        <f>IFERROR(VLOOKUP(E109,'G-7 WaterC'' Data'!$C$4:$D$8,2,FALSE),"")</f>
        <v/>
      </c>
      <c r="G109" s="114"/>
      <c r="H109" s="363" t="str">
        <f>IFERROR(INDEX('G-7 WaterC'' Data'!$H$4:$L$8,MATCH(C109,'G-7 WaterC'' Data'!$B$4:$B$8,0),MATCH(G109,'G-7 WaterC'' Data'!$H$3:$L$3,0)),"")</f>
        <v/>
      </c>
      <c r="I109" s="54"/>
      <c r="J109" s="370" t="str">
        <f>IF(I109="","",IF(VLOOKUP(I109,'G-7 WaterC'' Data'!$AK$4:$AM$6,2,FALSE)=0,"Spatial Data Missing ⚠",VLOOKUP(I109,'G-7 WaterC'' Data'!$AK$4:$AM$6,2,FALSE)))</f>
        <v/>
      </c>
      <c r="K109" s="363" t="str">
        <f>IF(I109="","",IF(VLOOKUP(I109,'G-7 WaterC'' Data'!$AK$4:$AM$6,3,FALSE)=0,"Spatial Data Missing ⚠",VLOOKUP(I109,'G-7 WaterC'' Data'!$AK$4:$AM$6,3,FALSE)))</f>
        <v/>
      </c>
      <c r="L109" s="362" t="str">
        <f>IFERROR(INDEX('G-7 WaterC'' Data'!$O$3:$O$7,MATCH(G109,'G-7 WaterC'' Data'!$N$3:$N$7,0)),"")</f>
        <v/>
      </c>
      <c r="M109" s="63"/>
      <c r="N109" s="159"/>
      <c r="O109" s="370" t="str">
        <f t="shared" si="5"/>
        <v/>
      </c>
      <c r="P109" s="383" t="str">
        <f t="shared" si="6"/>
        <v/>
      </c>
      <c r="Q109" s="422" t="str">
        <f>IFERROR(IF(P109="Check Data ⚠","Check Data ⚠",VLOOKUP(P109,'G-4 Temporal multipliers'!$A$4:$C$37,3,FALSE)),"")</f>
        <v/>
      </c>
      <c r="R109" s="362" t="str">
        <f>IF(C109="","",VLOOKUP(C109,'G-7 WaterC'' Data'!$B$4:$G$8,4,FALSE))</f>
        <v/>
      </c>
      <c r="S109" s="370" t="str">
        <f t="shared" si="7"/>
        <v/>
      </c>
      <c r="T109" s="401" t="str">
        <f t="shared" si="8"/>
        <v/>
      </c>
      <c r="U109" s="363" t="str">
        <f>IF(C109="","",VLOOKUP(T109,'G-3 Multipliers'!$P$2:$Q$6,2,FALSE))</f>
        <v/>
      </c>
      <c r="V109" s="115"/>
      <c r="W109" s="363" t="str">
        <f>IF(V109="","",IF(VLOOKUP(V109,'G-7 WaterC'' Data'!$AA$4:$AB$7,2,FALSE)=0,"Spatial Data Missing ⚠",VLOOKUP(V109,'G-7 WaterC'' Data'!$AA$4:$AB$7,2,FALSE)))</f>
        <v/>
      </c>
      <c r="X109" s="60"/>
      <c r="Y109" s="363" t="str">
        <f>IF(X109="","",IF(VLOOKUP(X109,'G-7 WaterC'' Data'!$AD$4:$AE$14,2,FALSE)=0,"Enrcoachment Data Missing ⚠",VLOOKUP(X109,'G-7 WaterC'' Data'!$AD$4:$AE$14,2,FALSE)))</f>
        <v/>
      </c>
      <c r="Z109" s="423" t="str">
        <f t="shared" si="9"/>
        <v/>
      </c>
      <c r="AA109" s="117"/>
      <c r="AB109" s="118"/>
      <c r="AC109" s="120"/>
      <c r="AH109" s="30" t="str">
        <f>IFERROR(INDEX('G-7 WaterC'' Data'!$AZ$3:$AZ$7,MATCH(C109,'G-7 WaterC'' Data'!$AY$3:$AY$7,0)),"")</f>
        <v/>
      </c>
    </row>
    <row r="110" spans="2:34" ht="15">
      <c r="B110" s="110">
        <v>99</v>
      </c>
      <c r="C110" s="138"/>
      <c r="D110" s="139"/>
      <c r="E110" s="362" t="str">
        <f>IF(C110="","",VLOOKUP(C110,'G-7 WaterC'' Data'!$B$2:$G$8,2,FALSE))</f>
        <v/>
      </c>
      <c r="F110" s="363" t="str">
        <f>IFERROR(VLOOKUP(E110,'G-7 WaterC'' Data'!$C$4:$D$8,2,FALSE),"")</f>
        <v/>
      </c>
      <c r="G110" s="114"/>
      <c r="H110" s="363" t="str">
        <f>IFERROR(INDEX('G-7 WaterC'' Data'!$H$4:$L$8,MATCH(C110,'G-7 WaterC'' Data'!$B$4:$B$8,0),MATCH(G110,'G-7 WaterC'' Data'!$H$3:$L$3,0)),"")</f>
        <v/>
      </c>
      <c r="I110" s="54"/>
      <c r="J110" s="370" t="str">
        <f>IF(I110="","",IF(VLOOKUP(I110,'G-7 WaterC'' Data'!$AK$4:$AM$6,2,FALSE)=0,"Spatial Data Missing ⚠",VLOOKUP(I110,'G-7 WaterC'' Data'!$AK$4:$AM$6,2,FALSE)))</f>
        <v/>
      </c>
      <c r="K110" s="363" t="str">
        <f>IF(I110="","",IF(VLOOKUP(I110,'G-7 WaterC'' Data'!$AK$4:$AM$6,3,FALSE)=0,"Spatial Data Missing ⚠",VLOOKUP(I110,'G-7 WaterC'' Data'!$AK$4:$AM$6,3,FALSE)))</f>
        <v/>
      </c>
      <c r="L110" s="362" t="str">
        <f>IFERROR(INDEX('G-7 WaterC'' Data'!$O$3:$O$7,MATCH(G110,'G-7 WaterC'' Data'!$N$3:$N$7,0)),"")</f>
        <v/>
      </c>
      <c r="M110" s="63"/>
      <c r="N110" s="159"/>
      <c r="O110" s="370" t="str">
        <f t="shared" si="5"/>
        <v/>
      </c>
      <c r="P110" s="383" t="str">
        <f t="shared" si="6"/>
        <v/>
      </c>
      <c r="Q110" s="422" t="str">
        <f>IFERROR(IF(P110="Check Data ⚠","Check Data ⚠",VLOOKUP(P110,'G-4 Temporal multipliers'!$A$4:$C$37,3,FALSE)),"")</f>
        <v/>
      </c>
      <c r="R110" s="362" t="str">
        <f>IF(C110="","",VLOOKUP(C110,'G-7 WaterC'' Data'!$B$4:$G$8,4,FALSE))</f>
        <v/>
      </c>
      <c r="S110" s="370" t="str">
        <f t="shared" si="7"/>
        <v/>
      </c>
      <c r="T110" s="401" t="str">
        <f t="shared" si="8"/>
        <v/>
      </c>
      <c r="U110" s="363" t="str">
        <f>IF(C110="","",VLOOKUP(T110,'G-3 Multipliers'!$P$2:$Q$6,2,FALSE))</f>
        <v/>
      </c>
      <c r="V110" s="115"/>
      <c r="W110" s="363" t="str">
        <f>IF(V110="","",IF(VLOOKUP(V110,'G-7 WaterC'' Data'!$AA$4:$AB$7,2,FALSE)=0,"Spatial Data Missing ⚠",VLOOKUP(V110,'G-7 WaterC'' Data'!$AA$4:$AB$7,2,FALSE)))</f>
        <v/>
      </c>
      <c r="X110" s="60"/>
      <c r="Y110" s="363" t="str">
        <f>IF(X110="","",IF(VLOOKUP(X110,'G-7 WaterC'' Data'!$AD$4:$AE$14,2,FALSE)=0,"Enrcoachment Data Missing ⚠",VLOOKUP(X110,'G-7 WaterC'' Data'!$AD$4:$AE$14,2,FALSE)))</f>
        <v/>
      </c>
      <c r="Z110" s="423" t="str">
        <f t="shared" si="9"/>
        <v/>
      </c>
      <c r="AA110" s="117"/>
      <c r="AB110" s="118"/>
      <c r="AC110" s="120"/>
      <c r="AH110" s="30" t="str">
        <f>IFERROR(INDEX('G-7 WaterC'' Data'!$AZ$3:$AZ$7,MATCH(C110,'G-7 WaterC'' Data'!$AY$3:$AY$7,0)),"")</f>
        <v/>
      </c>
    </row>
    <row r="111" spans="2:34" ht="15">
      <c r="B111" s="110">
        <v>100</v>
      </c>
      <c r="C111" s="138"/>
      <c r="D111" s="139"/>
      <c r="E111" s="362" t="str">
        <f>IF(C111="","",VLOOKUP(C111,'G-7 WaterC'' Data'!$B$2:$G$8,2,FALSE))</f>
        <v/>
      </c>
      <c r="F111" s="363" t="str">
        <f>IFERROR(VLOOKUP(E111,'G-7 WaterC'' Data'!$C$4:$D$8,2,FALSE),"")</f>
        <v/>
      </c>
      <c r="G111" s="114"/>
      <c r="H111" s="363" t="str">
        <f>IFERROR(INDEX('G-7 WaterC'' Data'!$H$4:$L$8,MATCH(C111,'G-7 WaterC'' Data'!$B$4:$B$8,0),MATCH(G111,'G-7 WaterC'' Data'!$H$3:$L$3,0)),"")</f>
        <v/>
      </c>
      <c r="I111" s="54"/>
      <c r="J111" s="370" t="str">
        <f>IF(I111="","",IF(VLOOKUP(I111,'G-7 WaterC'' Data'!$AK$4:$AM$6,2,FALSE)=0,"Spatial Data Missing ⚠",VLOOKUP(I111,'G-7 WaterC'' Data'!$AK$4:$AM$6,2,FALSE)))</f>
        <v/>
      </c>
      <c r="K111" s="363" t="str">
        <f>IF(I111="","",IF(VLOOKUP(I111,'G-7 WaterC'' Data'!$AK$4:$AM$6,3,FALSE)=0,"Spatial Data Missing ⚠",VLOOKUP(I111,'G-7 WaterC'' Data'!$AK$4:$AM$6,3,FALSE)))</f>
        <v/>
      </c>
      <c r="L111" s="362" t="str">
        <f>IFERROR(INDEX('G-7 WaterC'' Data'!$O$3:$O$7,MATCH(G111,'G-7 WaterC'' Data'!$N$3:$N$7,0)),"")</f>
        <v/>
      </c>
      <c r="M111" s="63"/>
      <c r="N111" s="159"/>
      <c r="O111" s="370" t="str">
        <f t="shared" si="5"/>
        <v/>
      </c>
      <c r="P111" s="383" t="str">
        <f t="shared" si="6"/>
        <v/>
      </c>
      <c r="Q111" s="422" t="str">
        <f>IFERROR(IF(P111="Check Data ⚠","Check Data ⚠",VLOOKUP(P111,'G-4 Temporal multipliers'!$A$4:$C$37,3,FALSE)),"")</f>
        <v/>
      </c>
      <c r="R111" s="362" t="str">
        <f>IF(C111="","",VLOOKUP(C111,'G-7 WaterC'' Data'!$B$4:$G$8,4,FALSE))</f>
        <v/>
      </c>
      <c r="S111" s="370" t="str">
        <f t="shared" si="7"/>
        <v/>
      </c>
      <c r="T111" s="401" t="str">
        <f t="shared" si="8"/>
        <v/>
      </c>
      <c r="U111" s="363" t="str">
        <f>IF(C111="","",VLOOKUP(T111,'G-3 Multipliers'!$P$2:$Q$6,2,FALSE))</f>
        <v/>
      </c>
      <c r="V111" s="115"/>
      <c r="W111" s="363" t="str">
        <f>IF(V111="","",IF(VLOOKUP(V111,'G-7 WaterC'' Data'!$AA$4:$AB$7,2,FALSE)=0,"Spatial Data Missing ⚠",VLOOKUP(V111,'G-7 WaterC'' Data'!$AA$4:$AB$7,2,FALSE)))</f>
        <v/>
      </c>
      <c r="X111" s="60"/>
      <c r="Y111" s="363" t="str">
        <f>IF(X111="","",IF(VLOOKUP(X111,'G-7 WaterC'' Data'!$AD$4:$AE$14,2,FALSE)=0,"Enrcoachment Data Missing ⚠",VLOOKUP(X111,'G-7 WaterC'' Data'!$AD$4:$AE$14,2,FALSE)))</f>
        <v/>
      </c>
      <c r="Z111" s="423" t="str">
        <f t="shared" si="9"/>
        <v/>
      </c>
      <c r="AA111" s="117"/>
      <c r="AB111" s="118"/>
      <c r="AC111" s="120"/>
      <c r="AH111" s="30" t="str">
        <f>IFERROR(INDEX('G-7 WaterC'' Data'!$AZ$3:$AZ$7,MATCH(C111,'G-7 WaterC'' Data'!$AY$3:$AY$7,0)),"")</f>
        <v/>
      </c>
    </row>
    <row r="112" spans="2:34" ht="15">
      <c r="B112" s="110">
        <v>101</v>
      </c>
      <c r="C112" s="138"/>
      <c r="D112" s="139"/>
      <c r="E112" s="362" t="str">
        <f>IF(C112="","",VLOOKUP(C112,'G-7 WaterC'' Data'!$B$2:$G$8,2,FALSE))</f>
        <v/>
      </c>
      <c r="F112" s="363" t="str">
        <f>IFERROR(VLOOKUP(E112,'G-7 WaterC'' Data'!$C$4:$D$8,2,FALSE),"")</f>
        <v/>
      </c>
      <c r="G112" s="114"/>
      <c r="H112" s="363" t="str">
        <f>IFERROR(INDEX('G-7 WaterC'' Data'!$H$4:$L$8,MATCH(C112,'G-7 WaterC'' Data'!$B$4:$B$8,0),MATCH(G112,'G-7 WaterC'' Data'!$H$3:$L$3,0)),"")</f>
        <v/>
      </c>
      <c r="I112" s="54"/>
      <c r="J112" s="370" t="str">
        <f>IF(I112="","",IF(VLOOKUP(I112,'G-7 WaterC'' Data'!$AK$4:$AM$6,2,FALSE)=0,"Spatial Data Missing ⚠",VLOOKUP(I112,'G-7 WaterC'' Data'!$AK$4:$AM$6,2,FALSE)))</f>
        <v/>
      </c>
      <c r="K112" s="363" t="str">
        <f>IF(I112="","",IF(VLOOKUP(I112,'G-7 WaterC'' Data'!$AK$4:$AM$6,3,FALSE)=0,"Spatial Data Missing ⚠",VLOOKUP(I112,'G-7 WaterC'' Data'!$AK$4:$AM$6,3,FALSE)))</f>
        <v/>
      </c>
      <c r="L112" s="362" t="str">
        <f>IFERROR(INDEX('G-7 WaterC'' Data'!$O$3:$O$7,MATCH(G112,'G-7 WaterC'' Data'!$N$3:$N$7,0)),"")</f>
        <v/>
      </c>
      <c r="M112" s="63"/>
      <c r="N112" s="159"/>
      <c r="O112" s="370" t="str">
        <f t="shared" si="5"/>
        <v/>
      </c>
      <c r="P112" s="383" t="str">
        <f t="shared" si="6"/>
        <v/>
      </c>
      <c r="Q112" s="422" t="str">
        <f>IFERROR(IF(P112="Check Data ⚠","Check Data ⚠",VLOOKUP(P112,'G-4 Temporal multipliers'!$A$4:$C$37,3,FALSE)),"")</f>
        <v/>
      </c>
      <c r="R112" s="362" t="str">
        <f>IF(C112="","",VLOOKUP(C112,'G-7 WaterC'' Data'!$B$4:$G$8,4,FALSE))</f>
        <v/>
      </c>
      <c r="S112" s="370" t="str">
        <f t="shared" si="7"/>
        <v/>
      </c>
      <c r="T112" s="401" t="str">
        <f t="shared" si="8"/>
        <v/>
      </c>
      <c r="U112" s="363" t="str">
        <f>IF(C112="","",VLOOKUP(T112,'G-3 Multipliers'!$P$2:$Q$6,2,FALSE))</f>
        <v/>
      </c>
      <c r="V112" s="115"/>
      <c r="W112" s="363" t="str">
        <f>IF(V112="","",IF(VLOOKUP(V112,'G-7 WaterC'' Data'!$AA$4:$AB$7,2,FALSE)=0,"Spatial Data Missing ⚠",VLOOKUP(V112,'G-7 WaterC'' Data'!$AA$4:$AB$7,2,FALSE)))</f>
        <v/>
      </c>
      <c r="X112" s="60"/>
      <c r="Y112" s="363" t="str">
        <f>IF(X112="","",IF(VLOOKUP(X112,'G-7 WaterC'' Data'!$AD$4:$AE$14,2,FALSE)=0,"Enrcoachment Data Missing ⚠",VLOOKUP(X112,'G-7 WaterC'' Data'!$AD$4:$AE$14,2,FALSE)))</f>
        <v/>
      </c>
      <c r="Z112" s="423" t="str">
        <f t="shared" si="9"/>
        <v/>
      </c>
      <c r="AA112" s="117"/>
      <c r="AB112" s="118"/>
      <c r="AC112" s="120"/>
      <c r="AH112" s="30" t="str">
        <f>IFERROR(INDEX('G-7 WaterC'' Data'!$AZ$3:$AZ$7,MATCH(C112,'G-7 WaterC'' Data'!$AY$3:$AY$7,0)),"")</f>
        <v/>
      </c>
    </row>
    <row r="113" spans="2:34" ht="15">
      <c r="B113" s="110">
        <v>102</v>
      </c>
      <c r="C113" s="138"/>
      <c r="D113" s="139"/>
      <c r="E113" s="362" t="str">
        <f>IF(C113="","",VLOOKUP(C113,'G-7 WaterC'' Data'!$B$2:$G$8,2,FALSE))</f>
        <v/>
      </c>
      <c r="F113" s="363" t="str">
        <f>IFERROR(VLOOKUP(E113,'G-7 WaterC'' Data'!$C$4:$D$8,2,FALSE),"")</f>
        <v/>
      </c>
      <c r="G113" s="114"/>
      <c r="H113" s="363" t="str">
        <f>IFERROR(INDEX('G-7 WaterC'' Data'!$H$4:$L$8,MATCH(C113,'G-7 WaterC'' Data'!$B$4:$B$8,0),MATCH(G113,'G-7 WaterC'' Data'!$H$3:$L$3,0)),"")</f>
        <v/>
      </c>
      <c r="I113" s="54"/>
      <c r="J113" s="370" t="str">
        <f>IF(I113="","",IF(VLOOKUP(I113,'G-7 WaterC'' Data'!$AK$4:$AM$6,2,FALSE)=0,"Spatial Data Missing ⚠",VLOOKUP(I113,'G-7 WaterC'' Data'!$AK$4:$AM$6,2,FALSE)))</f>
        <v/>
      </c>
      <c r="K113" s="363" t="str">
        <f>IF(I113="","",IF(VLOOKUP(I113,'G-7 WaterC'' Data'!$AK$4:$AM$6,3,FALSE)=0,"Spatial Data Missing ⚠",VLOOKUP(I113,'G-7 WaterC'' Data'!$AK$4:$AM$6,3,FALSE)))</f>
        <v/>
      </c>
      <c r="L113" s="362" t="str">
        <f>IFERROR(INDEX('G-7 WaterC'' Data'!$O$3:$O$7,MATCH(G113,'G-7 WaterC'' Data'!$N$3:$N$7,0)),"")</f>
        <v/>
      </c>
      <c r="M113" s="63"/>
      <c r="N113" s="159"/>
      <c r="O113" s="370" t="str">
        <f t="shared" si="5"/>
        <v/>
      </c>
      <c r="P113" s="383" t="str">
        <f t="shared" si="6"/>
        <v/>
      </c>
      <c r="Q113" s="422" t="str">
        <f>IFERROR(IF(P113="Check Data ⚠","Check Data ⚠",VLOOKUP(P113,'G-4 Temporal multipliers'!$A$4:$C$37,3,FALSE)),"")</f>
        <v/>
      </c>
      <c r="R113" s="362" t="str">
        <f>IF(C113="","",VLOOKUP(C113,'G-7 WaterC'' Data'!$B$4:$G$8,4,FALSE))</f>
        <v/>
      </c>
      <c r="S113" s="370" t="str">
        <f t="shared" si="7"/>
        <v/>
      </c>
      <c r="T113" s="401" t="str">
        <f t="shared" si="8"/>
        <v/>
      </c>
      <c r="U113" s="363" t="str">
        <f>IF(C113="","",VLOOKUP(T113,'G-3 Multipliers'!$P$2:$Q$6,2,FALSE))</f>
        <v/>
      </c>
      <c r="V113" s="115"/>
      <c r="W113" s="363" t="str">
        <f>IF(V113="","",IF(VLOOKUP(V113,'G-7 WaterC'' Data'!$AA$4:$AB$7,2,FALSE)=0,"Spatial Data Missing ⚠",VLOOKUP(V113,'G-7 WaterC'' Data'!$AA$4:$AB$7,2,FALSE)))</f>
        <v/>
      </c>
      <c r="X113" s="60"/>
      <c r="Y113" s="363" t="str">
        <f>IF(X113="","",IF(VLOOKUP(X113,'G-7 WaterC'' Data'!$AD$4:$AE$14,2,FALSE)=0,"Enrcoachment Data Missing ⚠",VLOOKUP(X113,'G-7 WaterC'' Data'!$AD$4:$AE$14,2,FALSE)))</f>
        <v/>
      </c>
      <c r="Z113" s="423" t="str">
        <f t="shared" si="9"/>
        <v/>
      </c>
      <c r="AA113" s="117"/>
      <c r="AB113" s="118"/>
      <c r="AC113" s="120"/>
      <c r="AH113" s="30" t="str">
        <f>IFERROR(INDEX('G-7 WaterC'' Data'!$AZ$3:$AZ$7,MATCH(C113,'G-7 WaterC'' Data'!$AY$3:$AY$7,0)),"")</f>
        <v/>
      </c>
    </row>
    <row r="114" spans="2:34" ht="15">
      <c r="B114" s="110">
        <v>103</v>
      </c>
      <c r="C114" s="138"/>
      <c r="D114" s="139"/>
      <c r="E114" s="362" t="str">
        <f>IF(C114="","",VLOOKUP(C114,'G-7 WaterC'' Data'!$B$2:$G$8,2,FALSE))</f>
        <v/>
      </c>
      <c r="F114" s="363" t="str">
        <f>IFERROR(VLOOKUP(E114,'G-7 WaterC'' Data'!$C$4:$D$8,2,FALSE),"")</f>
        <v/>
      </c>
      <c r="G114" s="114"/>
      <c r="H114" s="363" t="str">
        <f>IFERROR(INDEX('G-7 WaterC'' Data'!$H$4:$L$8,MATCH(C114,'G-7 WaterC'' Data'!$B$4:$B$8,0),MATCH(G114,'G-7 WaterC'' Data'!$H$3:$L$3,0)),"")</f>
        <v/>
      </c>
      <c r="I114" s="54"/>
      <c r="J114" s="370" t="str">
        <f>IF(I114="","",IF(VLOOKUP(I114,'G-7 WaterC'' Data'!$AK$4:$AM$6,2,FALSE)=0,"Spatial Data Missing ⚠",VLOOKUP(I114,'G-7 WaterC'' Data'!$AK$4:$AM$6,2,FALSE)))</f>
        <v/>
      </c>
      <c r="K114" s="363" t="str">
        <f>IF(I114="","",IF(VLOOKUP(I114,'G-7 WaterC'' Data'!$AK$4:$AM$6,3,FALSE)=0,"Spatial Data Missing ⚠",VLOOKUP(I114,'G-7 WaterC'' Data'!$AK$4:$AM$6,3,FALSE)))</f>
        <v/>
      </c>
      <c r="L114" s="362" t="str">
        <f>IFERROR(INDEX('G-7 WaterC'' Data'!$O$3:$O$7,MATCH(G114,'G-7 WaterC'' Data'!$N$3:$N$7,0)),"")</f>
        <v/>
      </c>
      <c r="M114" s="63"/>
      <c r="N114" s="159"/>
      <c r="O114" s="370" t="str">
        <f t="shared" si="5"/>
        <v/>
      </c>
      <c r="P114" s="383" t="str">
        <f t="shared" si="6"/>
        <v/>
      </c>
      <c r="Q114" s="422" t="str">
        <f>IFERROR(IF(P114="Check Data ⚠","Check Data ⚠",VLOOKUP(P114,'G-4 Temporal multipliers'!$A$4:$C$37,3,FALSE)),"")</f>
        <v/>
      </c>
      <c r="R114" s="362" t="str">
        <f>IF(C114="","",VLOOKUP(C114,'G-7 WaterC'' Data'!$B$4:$G$8,4,FALSE))</f>
        <v/>
      </c>
      <c r="S114" s="370" t="str">
        <f t="shared" si="7"/>
        <v/>
      </c>
      <c r="T114" s="401" t="str">
        <f t="shared" si="8"/>
        <v/>
      </c>
      <c r="U114" s="363" t="str">
        <f>IF(C114="","",VLOOKUP(T114,'G-3 Multipliers'!$P$2:$Q$6,2,FALSE))</f>
        <v/>
      </c>
      <c r="V114" s="115"/>
      <c r="W114" s="363" t="str">
        <f>IF(V114="","",IF(VLOOKUP(V114,'G-7 WaterC'' Data'!$AA$4:$AB$7,2,FALSE)=0,"Spatial Data Missing ⚠",VLOOKUP(V114,'G-7 WaterC'' Data'!$AA$4:$AB$7,2,FALSE)))</f>
        <v/>
      </c>
      <c r="X114" s="60"/>
      <c r="Y114" s="363" t="str">
        <f>IF(X114="","",IF(VLOOKUP(X114,'G-7 WaterC'' Data'!$AD$4:$AE$14,2,FALSE)=0,"Enrcoachment Data Missing ⚠",VLOOKUP(X114,'G-7 WaterC'' Data'!$AD$4:$AE$14,2,FALSE)))</f>
        <v/>
      </c>
      <c r="Z114" s="423" t="str">
        <f t="shared" si="9"/>
        <v/>
      </c>
      <c r="AA114" s="117"/>
      <c r="AB114" s="118"/>
      <c r="AC114" s="120"/>
      <c r="AH114" s="30" t="str">
        <f>IFERROR(INDEX('G-7 WaterC'' Data'!$AZ$3:$AZ$7,MATCH(C114,'G-7 WaterC'' Data'!$AY$3:$AY$7,0)),"")</f>
        <v/>
      </c>
    </row>
    <row r="115" spans="2:34" ht="15">
      <c r="B115" s="110">
        <v>104</v>
      </c>
      <c r="C115" s="138"/>
      <c r="D115" s="139"/>
      <c r="E115" s="362" t="str">
        <f>IF(C115="","",VLOOKUP(C115,'G-7 WaterC'' Data'!$B$2:$G$8,2,FALSE))</f>
        <v/>
      </c>
      <c r="F115" s="363" t="str">
        <f>IFERROR(VLOOKUP(E115,'G-7 WaterC'' Data'!$C$4:$D$8,2,FALSE),"")</f>
        <v/>
      </c>
      <c r="G115" s="114"/>
      <c r="H115" s="363" t="str">
        <f>IFERROR(INDEX('G-7 WaterC'' Data'!$H$4:$L$8,MATCH(C115,'G-7 WaterC'' Data'!$B$4:$B$8,0),MATCH(G115,'G-7 WaterC'' Data'!$H$3:$L$3,0)),"")</f>
        <v/>
      </c>
      <c r="I115" s="54"/>
      <c r="J115" s="370" t="str">
        <f>IF(I115="","",IF(VLOOKUP(I115,'G-7 WaterC'' Data'!$AK$4:$AM$6,2,FALSE)=0,"Spatial Data Missing ⚠",VLOOKUP(I115,'G-7 WaterC'' Data'!$AK$4:$AM$6,2,FALSE)))</f>
        <v/>
      </c>
      <c r="K115" s="363" t="str">
        <f>IF(I115="","",IF(VLOOKUP(I115,'G-7 WaterC'' Data'!$AK$4:$AM$6,3,FALSE)=0,"Spatial Data Missing ⚠",VLOOKUP(I115,'G-7 WaterC'' Data'!$AK$4:$AM$6,3,FALSE)))</f>
        <v/>
      </c>
      <c r="L115" s="362" t="str">
        <f>IFERROR(INDEX('G-7 WaterC'' Data'!$O$3:$O$7,MATCH(G115,'G-7 WaterC'' Data'!$N$3:$N$7,0)),"")</f>
        <v/>
      </c>
      <c r="M115" s="63"/>
      <c r="N115" s="159"/>
      <c r="O115" s="370" t="str">
        <f t="shared" si="5"/>
        <v/>
      </c>
      <c r="P115" s="383" t="str">
        <f t="shared" si="6"/>
        <v/>
      </c>
      <c r="Q115" s="422" t="str">
        <f>IFERROR(IF(P115="Check Data ⚠","Check Data ⚠",VLOOKUP(P115,'G-4 Temporal multipliers'!$A$4:$C$37,3,FALSE)),"")</f>
        <v/>
      </c>
      <c r="R115" s="362" t="str">
        <f>IF(C115="","",VLOOKUP(C115,'G-7 WaterC'' Data'!$B$4:$G$8,4,FALSE))</f>
        <v/>
      </c>
      <c r="S115" s="370" t="str">
        <f t="shared" si="7"/>
        <v/>
      </c>
      <c r="T115" s="401" t="str">
        <f t="shared" si="8"/>
        <v/>
      </c>
      <c r="U115" s="363" t="str">
        <f>IF(C115="","",VLOOKUP(T115,'G-3 Multipliers'!$P$2:$Q$6,2,FALSE))</f>
        <v/>
      </c>
      <c r="V115" s="115"/>
      <c r="W115" s="363" t="str">
        <f>IF(V115="","",IF(VLOOKUP(V115,'G-7 WaterC'' Data'!$AA$4:$AB$7,2,FALSE)=0,"Spatial Data Missing ⚠",VLOOKUP(V115,'G-7 WaterC'' Data'!$AA$4:$AB$7,2,FALSE)))</f>
        <v/>
      </c>
      <c r="X115" s="60"/>
      <c r="Y115" s="363" t="str">
        <f>IF(X115="","",IF(VLOOKUP(X115,'G-7 WaterC'' Data'!$AD$4:$AE$14,2,FALSE)=0,"Enrcoachment Data Missing ⚠",VLOOKUP(X115,'G-7 WaterC'' Data'!$AD$4:$AE$14,2,FALSE)))</f>
        <v/>
      </c>
      <c r="Z115" s="423" t="str">
        <f t="shared" si="9"/>
        <v/>
      </c>
      <c r="AA115" s="117"/>
      <c r="AB115" s="118"/>
      <c r="AC115" s="120"/>
      <c r="AH115" s="30" t="str">
        <f>IFERROR(INDEX('G-7 WaterC'' Data'!$AZ$3:$AZ$7,MATCH(C115,'G-7 WaterC'' Data'!$AY$3:$AY$7,0)),"")</f>
        <v/>
      </c>
    </row>
    <row r="116" spans="2:34" ht="15">
      <c r="B116" s="110">
        <v>105</v>
      </c>
      <c r="C116" s="138"/>
      <c r="D116" s="139"/>
      <c r="E116" s="362" t="str">
        <f>IF(C116="","",VLOOKUP(C116,'G-7 WaterC'' Data'!$B$2:$G$8,2,FALSE))</f>
        <v/>
      </c>
      <c r="F116" s="363" t="str">
        <f>IFERROR(VLOOKUP(E116,'G-7 WaterC'' Data'!$C$4:$D$8,2,FALSE),"")</f>
        <v/>
      </c>
      <c r="G116" s="114"/>
      <c r="H116" s="363" t="str">
        <f>IFERROR(INDEX('G-7 WaterC'' Data'!$H$4:$L$8,MATCH(C116,'G-7 WaterC'' Data'!$B$4:$B$8,0),MATCH(G116,'G-7 WaterC'' Data'!$H$3:$L$3,0)),"")</f>
        <v/>
      </c>
      <c r="I116" s="54"/>
      <c r="J116" s="370" t="str">
        <f>IF(I116="","",IF(VLOOKUP(I116,'G-7 WaterC'' Data'!$AK$4:$AM$6,2,FALSE)=0,"Spatial Data Missing ⚠",VLOOKUP(I116,'G-7 WaterC'' Data'!$AK$4:$AM$6,2,FALSE)))</f>
        <v/>
      </c>
      <c r="K116" s="363" t="str">
        <f>IF(I116="","",IF(VLOOKUP(I116,'G-7 WaterC'' Data'!$AK$4:$AM$6,3,FALSE)=0,"Spatial Data Missing ⚠",VLOOKUP(I116,'G-7 WaterC'' Data'!$AK$4:$AM$6,3,FALSE)))</f>
        <v/>
      </c>
      <c r="L116" s="362" t="str">
        <f>IFERROR(INDEX('G-7 WaterC'' Data'!$O$3:$O$7,MATCH(G116,'G-7 WaterC'' Data'!$N$3:$N$7,0)),"")</f>
        <v/>
      </c>
      <c r="M116" s="63"/>
      <c r="N116" s="159"/>
      <c r="O116" s="370" t="str">
        <f t="shared" si="5"/>
        <v/>
      </c>
      <c r="P116" s="383" t="str">
        <f t="shared" si="6"/>
        <v/>
      </c>
      <c r="Q116" s="422" t="str">
        <f>IFERROR(IF(P116="Check Data ⚠","Check Data ⚠",VLOOKUP(P116,'G-4 Temporal multipliers'!$A$4:$C$37,3,FALSE)),"")</f>
        <v/>
      </c>
      <c r="R116" s="362" t="str">
        <f>IF(C116="","",VLOOKUP(C116,'G-7 WaterC'' Data'!$B$4:$G$8,4,FALSE))</f>
        <v/>
      </c>
      <c r="S116" s="370" t="str">
        <f t="shared" si="7"/>
        <v/>
      </c>
      <c r="T116" s="401" t="str">
        <f t="shared" si="8"/>
        <v/>
      </c>
      <c r="U116" s="363" t="str">
        <f>IF(C116="","",VLOOKUP(T116,'G-3 Multipliers'!$P$2:$Q$6,2,FALSE))</f>
        <v/>
      </c>
      <c r="V116" s="115"/>
      <c r="W116" s="363" t="str">
        <f>IF(V116="","",IF(VLOOKUP(V116,'G-7 WaterC'' Data'!$AA$4:$AB$7,2,FALSE)=0,"Spatial Data Missing ⚠",VLOOKUP(V116,'G-7 WaterC'' Data'!$AA$4:$AB$7,2,FALSE)))</f>
        <v/>
      </c>
      <c r="X116" s="60"/>
      <c r="Y116" s="363" t="str">
        <f>IF(X116="","",IF(VLOOKUP(X116,'G-7 WaterC'' Data'!$AD$4:$AE$14,2,FALSE)=0,"Enrcoachment Data Missing ⚠",VLOOKUP(X116,'G-7 WaterC'' Data'!$AD$4:$AE$14,2,FALSE)))</f>
        <v/>
      </c>
      <c r="Z116" s="423" t="str">
        <f t="shared" si="9"/>
        <v/>
      </c>
      <c r="AA116" s="117"/>
      <c r="AB116" s="118"/>
      <c r="AC116" s="120"/>
      <c r="AH116" s="30" t="str">
        <f>IFERROR(INDEX('G-7 WaterC'' Data'!$AZ$3:$AZ$7,MATCH(C116,'G-7 WaterC'' Data'!$AY$3:$AY$7,0)),"")</f>
        <v/>
      </c>
    </row>
    <row r="117" spans="2:34" ht="15">
      <c r="B117" s="110">
        <v>106</v>
      </c>
      <c r="C117" s="138"/>
      <c r="D117" s="139"/>
      <c r="E117" s="362" t="str">
        <f>IF(C117="","",VLOOKUP(C117,'G-7 WaterC'' Data'!$B$2:$G$8,2,FALSE))</f>
        <v/>
      </c>
      <c r="F117" s="363" t="str">
        <f>IFERROR(VLOOKUP(E117,'G-7 WaterC'' Data'!$C$4:$D$8,2,FALSE),"")</f>
        <v/>
      </c>
      <c r="G117" s="114"/>
      <c r="H117" s="363" t="str">
        <f>IFERROR(INDEX('G-7 WaterC'' Data'!$H$4:$L$8,MATCH(C117,'G-7 WaterC'' Data'!$B$4:$B$8,0),MATCH(G117,'G-7 WaterC'' Data'!$H$3:$L$3,0)),"")</f>
        <v/>
      </c>
      <c r="I117" s="54"/>
      <c r="J117" s="370" t="str">
        <f>IF(I117="","",IF(VLOOKUP(I117,'G-7 WaterC'' Data'!$AK$4:$AM$6,2,FALSE)=0,"Spatial Data Missing ⚠",VLOOKUP(I117,'G-7 WaterC'' Data'!$AK$4:$AM$6,2,FALSE)))</f>
        <v/>
      </c>
      <c r="K117" s="363" t="str">
        <f>IF(I117="","",IF(VLOOKUP(I117,'G-7 WaterC'' Data'!$AK$4:$AM$6,3,FALSE)=0,"Spatial Data Missing ⚠",VLOOKUP(I117,'G-7 WaterC'' Data'!$AK$4:$AM$6,3,FALSE)))</f>
        <v/>
      </c>
      <c r="L117" s="362" t="str">
        <f>IFERROR(INDEX('G-7 WaterC'' Data'!$O$3:$O$7,MATCH(G117,'G-7 WaterC'' Data'!$N$3:$N$7,0)),"")</f>
        <v/>
      </c>
      <c r="M117" s="63"/>
      <c r="N117" s="159"/>
      <c r="O117" s="370" t="str">
        <f t="shared" si="5"/>
        <v/>
      </c>
      <c r="P117" s="383" t="str">
        <f t="shared" si="6"/>
        <v/>
      </c>
      <c r="Q117" s="422" t="str">
        <f>IFERROR(IF(P117="Check Data ⚠","Check Data ⚠",VLOOKUP(P117,'G-4 Temporal multipliers'!$A$4:$C$37,3,FALSE)),"")</f>
        <v/>
      </c>
      <c r="R117" s="362" t="str">
        <f>IF(C117="","",VLOOKUP(C117,'G-7 WaterC'' Data'!$B$4:$G$8,4,FALSE))</f>
        <v/>
      </c>
      <c r="S117" s="370" t="str">
        <f t="shared" si="7"/>
        <v/>
      </c>
      <c r="T117" s="401" t="str">
        <f t="shared" si="8"/>
        <v/>
      </c>
      <c r="U117" s="363" t="str">
        <f>IF(C117="","",VLOOKUP(T117,'G-3 Multipliers'!$P$2:$Q$6,2,FALSE))</f>
        <v/>
      </c>
      <c r="V117" s="115"/>
      <c r="W117" s="363" t="str">
        <f>IF(V117="","",IF(VLOOKUP(V117,'G-7 WaterC'' Data'!$AA$4:$AB$7,2,FALSE)=0,"Spatial Data Missing ⚠",VLOOKUP(V117,'G-7 WaterC'' Data'!$AA$4:$AB$7,2,FALSE)))</f>
        <v/>
      </c>
      <c r="X117" s="60"/>
      <c r="Y117" s="363" t="str">
        <f>IF(X117="","",IF(VLOOKUP(X117,'G-7 WaterC'' Data'!$AD$4:$AE$14,2,FALSE)=0,"Enrcoachment Data Missing ⚠",VLOOKUP(X117,'G-7 WaterC'' Data'!$AD$4:$AE$14,2,FALSE)))</f>
        <v/>
      </c>
      <c r="Z117" s="423" t="str">
        <f t="shared" si="9"/>
        <v/>
      </c>
      <c r="AA117" s="117"/>
      <c r="AB117" s="118"/>
      <c r="AC117" s="120"/>
      <c r="AH117" s="30" t="str">
        <f>IFERROR(INDEX('G-7 WaterC'' Data'!$AZ$3:$AZ$7,MATCH(C117,'G-7 WaterC'' Data'!$AY$3:$AY$7,0)),"")</f>
        <v/>
      </c>
    </row>
    <row r="118" spans="2:34" ht="15">
      <c r="B118" s="110">
        <v>107</v>
      </c>
      <c r="C118" s="138"/>
      <c r="D118" s="139"/>
      <c r="E118" s="362" t="str">
        <f>IF(C118="","",VLOOKUP(C118,'G-7 WaterC'' Data'!$B$2:$G$8,2,FALSE))</f>
        <v/>
      </c>
      <c r="F118" s="363" t="str">
        <f>IFERROR(VLOOKUP(E118,'G-7 WaterC'' Data'!$C$4:$D$8,2,FALSE),"")</f>
        <v/>
      </c>
      <c r="G118" s="114"/>
      <c r="H118" s="363" t="str">
        <f>IFERROR(INDEX('G-7 WaterC'' Data'!$H$4:$L$8,MATCH(C118,'G-7 WaterC'' Data'!$B$4:$B$8,0),MATCH(G118,'G-7 WaterC'' Data'!$H$3:$L$3,0)),"")</f>
        <v/>
      </c>
      <c r="I118" s="54"/>
      <c r="J118" s="370" t="str">
        <f>IF(I118="","",IF(VLOOKUP(I118,'G-7 WaterC'' Data'!$AK$4:$AM$6,2,FALSE)=0,"Spatial Data Missing ⚠",VLOOKUP(I118,'G-7 WaterC'' Data'!$AK$4:$AM$6,2,FALSE)))</f>
        <v/>
      </c>
      <c r="K118" s="363" t="str">
        <f>IF(I118="","",IF(VLOOKUP(I118,'G-7 WaterC'' Data'!$AK$4:$AM$6,3,FALSE)=0,"Spatial Data Missing ⚠",VLOOKUP(I118,'G-7 WaterC'' Data'!$AK$4:$AM$6,3,FALSE)))</f>
        <v/>
      </c>
      <c r="L118" s="362" t="str">
        <f>IFERROR(INDEX('G-7 WaterC'' Data'!$O$3:$O$7,MATCH(G118,'G-7 WaterC'' Data'!$N$3:$N$7,0)),"")</f>
        <v/>
      </c>
      <c r="M118" s="63"/>
      <c r="N118" s="159"/>
      <c r="O118" s="370" t="str">
        <f t="shared" si="5"/>
        <v/>
      </c>
      <c r="P118" s="383" t="str">
        <f t="shared" si="6"/>
        <v/>
      </c>
      <c r="Q118" s="422" t="str">
        <f>IFERROR(IF(P118="Check Data ⚠","Check Data ⚠",VLOOKUP(P118,'G-4 Temporal multipliers'!$A$4:$C$37,3,FALSE)),"")</f>
        <v/>
      </c>
      <c r="R118" s="362" t="str">
        <f>IF(C118="","",VLOOKUP(C118,'G-7 WaterC'' Data'!$B$4:$G$8,4,FALSE))</f>
        <v/>
      </c>
      <c r="S118" s="370" t="str">
        <f t="shared" si="7"/>
        <v/>
      </c>
      <c r="T118" s="401" t="str">
        <f t="shared" si="8"/>
        <v/>
      </c>
      <c r="U118" s="363" t="str">
        <f>IF(C118="","",VLOOKUP(T118,'G-3 Multipliers'!$P$2:$Q$6,2,FALSE))</f>
        <v/>
      </c>
      <c r="V118" s="115"/>
      <c r="W118" s="363" t="str">
        <f>IF(V118="","",IF(VLOOKUP(V118,'G-7 WaterC'' Data'!$AA$4:$AB$7,2,FALSE)=0,"Spatial Data Missing ⚠",VLOOKUP(V118,'G-7 WaterC'' Data'!$AA$4:$AB$7,2,FALSE)))</f>
        <v/>
      </c>
      <c r="X118" s="60"/>
      <c r="Y118" s="363" t="str">
        <f>IF(X118="","",IF(VLOOKUP(X118,'G-7 WaterC'' Data'!$AD$4:$AE$14,2,FALSE)=0,"Enrcoachment Data Missing ⚠",VLOOKUP(X118,'G-7 WaterC'' Data'!$AD$4:$AE$14,2,FALSE)))</f>
        <v/>
      </c>
      <c r="Z118" s="423" t="str">
        <f t="shared" si="9"/>
        <v/>
      </c>
      <c r="AA118" s="117"/>
      <c r="AB118" s="118"/>
      <c r="AC118" s="120"/>
      <c r="AH118" s="30" t="str">
        <f>IFERROR(INDEX('G-7 WaterC'' Data'!$AZ$3:$AZ$7,MATCH(C118,'G-7 WaterC'' Data'!$AY$3:$AY$7,0)),"")</f>
        <v/>
      </c>
    </row>
    <row r="119" spans="2:34" ht="15">
      <c r="B119" s="110">
        <v>108</v>
      </c>
      <c r="C119" s="138"/>
      <c r="D119" s="139"/>
      <c r="E119" s="362" t="str">
        <f>IF(C119="","",VLOOKUP(C119,'G-7 WaterC'' Data'!$B$2:$G$8,2,FALSE))</f>
        <v/>
      </c>
      <c r="F119" s="363" t="str">
        <f>IFERROR(VLOOKUP(E119,'G-7 WaterC'' Data'!$C$4:$D$8,2,FALSE),"")</f>
        <v/>
      </c>
      <c r="G119" s="114"/>
      <c r="H119" s="363" t="str">
        <f>IFERROR(INDEX('G-7 WaterC'' Data'!$H$4:$L$8,MATCH(C119,'G-7 WaterC'' Data'!$B$4:$B$8,0),MATCH(G119,'G-7 WaterC'' Data'!$H$3:$L$3,0)),"")</f>
        <v/>
      </c>
      <c r="I119" s="54"/>
      <c r="J119" s="370" t="str">
        <f>IF(I119="","",IF(VLOOKUP(I119,'G-7 WaterC'' Data'!$AK$4:$AM$6,2,FALSE)=0,"Spatial Data Missing ⚠",VLOOKUP(I119,'G-7 WaterC'' Data'!$AK$4:$AM$6,2,FALSE)))</f>
        <v/>
      </c>
      <c r="K119" s="363" t="str">
        <f>IF(I119="","",IF(VLOOKUP(I119,'G-7 WaterC'' Data'!$AK$4:$AM$6,3,FALSE)=0,"Spatial Data Missing ⚠",VLOOKUP(I119,'G-7 WaterC'' Data'!$AK$4:$AM$6,3,FALSE)))</f>
        <v/>
      </c>
      <c r="L119" s="362" t="str">
        <f>IFERROR(INDEX('G-7 WaterC'' Data'!$O$3:$O$7,MATCH(G119,'G-7 WaterC'' Data'!$N$3:$N$7,0)),"")</f>
        <v/>
      </c>
      <c r="M119" s="63"/>
      <c r="N119" s="159"/>
      <c r="O119" s="370" t="str">
        <f t="shared" si="5"/>
        <v/>
      </c>
      <c r="P119" s="383" t="str">
        <f t="shared" si="6"/>
        <v/>
      </c>
      <c r="Q119" s="422" t="str">
        <f>IFERROR(IF(P119="Check Data ⚠","Check Data ⚠",VLOOKUP(P119,'G-4 Temporal multipliers'!$A$4:$C$37,3,FALSE)),"")</f>
        <v/>
      </c>
      <c r="R119" s="362" t="str">
        <f>IF(C119="","",VLOOKUP(C119,'G-7 WaterC'' Data'!$B$4:$G$8,4,FALSE))</f>
        <v/>
      </c>
      <c r="S119" s="370" t="str">
        <f t="shared" si="7"/>
        <v/>
      </c>
      <c r="T119" s="401" t="str">
        <f t="shared" si="8"/>
        <v/>
      </c>
      <c r="U119" s="363" t="str">
        <f>IF(C119="","",VLOOKUP(T119,'G-3 Multipliers'!$P$2:$Q$6,2,FALSE))</f>
        <v/>
      </c>
      <c r="V119" s="115"/>
      <c r="W119" s="363" t="str">
        <f>IF(V119="","",IF(VLOOKUP(V119,'G-7 WaterC'' Data'!$AA$4:$AB$7,2,FALSE)=0,"Spatial Data Missing ⚠",VLOOKUP(V119,'G-7 WaterC'' Data'!$AA$4:$AB$7,2,FALSE)))</f>
        <v/>
      </c>
      <c r="X119" s="60"/>
      <c r="Y119" s="363" t="str">
        <f>IF(X119="","",IF(VLOOKUP(X119,'G-7 WaterC'' Data'!$AD$4:$AE$14,2,FALSE)=0,"Enrcoachment Data Missing ⚠",VLOOKUP(X119,'G-7 WaterC'' Data'!$AD$4:$AE$14,2,FALSE)))</f>
        <v/>
      </c>
      <c r="Z119" s="423" t="str">
        <f t="shared" si="9"/>
        <v/>
      </c>
      <c r="AA119" s="117"/>
      <c r="AB119" s="118"/>
      <c r="AC119" s="120"/>
      <c r="AH119" s="30" t="str">
        <f>IFERROR(INDEX('G-7 WaterC'' Data'!$AZ$3:$AZ$7,MATCH(C119,'G-7 WaterC'' Data'!$AY$3:$AY$7,0)),"")</f>
        <v/>
      </c>
    </row>
    <row r="120" spans="2:34" ht="15">
      <c r="B120" s="110">
        <v>109</v>
      </c>
      <c r="C120" s="138"/>
      <c r="D120" s="139"/>
      <c r="E120" s="362" t="str">
        <f>IF(C120="","",VLOOKUP(C120,'G-7 WaterC'' Data'!$B$2:$G$8,2,FALSE))</f>
        <v/>
      </c>
      <c r="F120" s="363" t="str">
        <f>IFERROR(VLOOKUP(E120,'G-7 WaterC'' Data'!$C$4:$D$8,2,FALSE),"")</f>
        <v/>
      </c>
      <c r="G120" s="114"/>
      <c r="H120" s="363" t="str">
        <f>IFERROR(INDEX('G-7 WaterC'' Data'!$H$4:$L$8,MATCH(C120,'G-7 WaterC'' Data'!$B$4:$B$8,0),MATCH(G120,'G-7 WaterC'' Data'!$H$3:$L$3,0)),"")</f>
        <v/>
      </c>
      <c r="I120" s="54"/>
      <c r="J120" s="370" t="str">
        <f>IF(I120="","",IF(VLOOKUP(I120,'G-7 WaterC'' Data'!$AK$4:$AM$6,2,FALSE)=0,"Spatial Data Missing ⚠",VLOOKUP(I120,'G-7 WaterC'' Data'!$AK$4:$AM$6,2,FALSE)))</f>
        <v/>
      </c>
      <c r="K120" s="363" t="str">
        <f>IF(I120="","",IF(VLOOKUP(I120,'G-7 WaterC'' Data'!$AK$4:$AM$6,3,FALSE)=0,"Spatial Data Missing ⚠",VLOOKUP(I120,'G-7 WaterC'' Data'!$AK$4:$AM$6,3,FALSE)))</f>
        <v/>
      </c>
      <c r="L120" s="362" t="str">
        <f>IFERROR(INDEX('G-7 WaterC'' Data'!$O$3:$O$7,MATCH(G120,'G-7 WaterC'' Data'!$N$3:$N$7,0)),"")</f>
        <v/>
      </c>
      <c r="M120" s="63"/>
      <c r="N120" s="159"/>
      <c r="O120" s="370" t="str">
        <f t="shared" si="5"/>
        <v/>
      </c>
      <c r="P120" s="383" t="str">
        <f t="shared" si="6"/>
        <v/>
      </c>
      <c r="Q120" s="422" t="str">
        <f>IFERROR(IF(P120="Check Data ⚠","Check Data ⚠",VLOOKUP(P120,'G-4 Temporal multipliers'!$A$4:$C$37,3,FALSE)),"")</f>
        <v/>
      </c>
      <c r="R120" s="362" t="str">
        <f>IF(C120="","",VLOOKUP(C120,'G-7 WaterC'' Data'!$B$4:$G$8,4,FALSE))</f>
        <v/>
      </c>
      <c r="S120" s="370" t="str">
        <f t="shared" si="7"/>
        <v/>
      </c>
      <c r="T120" s="401" t="str">
        <f t="shared" si="8"/>
        <v/>
      </c>
      <c r="U120" s="363" t="str">
        <f>IF(C120="","",VLOOKUP(T120,'G-3 Multipliers'!$P$2:$Q$6,2,FALSE))</f>
        <v/>
      </c>
      <c r="V120" s="115"/>
      <c r="W120" s="363" t="str">
        <f>IF(V120="","",IF(VLOOKUP(V120,'G-7 WaterC'' Data'!$AA$4:$AB$7,2,FALSE)=0,"Spatial Data Missing ⚠",VLOOKUP(V120,'G-7 WaterC'' Data'!$AA$4:$AB$7,2,FALSE)))</f>
        <v/>
      </c>
      <c r="X120" s="60"/>
      <c r="Y120" s="363" t="str">
        <f>IF(X120="","",IF(VLOOKUP(X120,'G-7 WaterC'' Data'!$AD$4:$AE$14,2,FALSE)=0,"Enrcoachment Data Missing ⚠",VLOOKUP(X120,'G-7 WaterC'' Data'!$AD$4:$AE$14,2,FALSE)))</f>
        <v/>
      </c>
      <c r="Z120" s="423" t="str">
        <f t="shared" si="9"/>
        <v/>
      </c>
      <c r="AA120" s="117"/>
      <c r="AB120" s="118"/>
      <c r="AC120" s="120"/>
      <c r="AH120" s="30" t="str">
        <f>IFERROR(INDEX('G-7 WaterC'' Data'!$AZ$3:$AZ$7,MATCH(C120,'G-7 WaterC'' Data'!$AY$3:$AY$7,0)),"")</f>
        <v/>
      </c>
    </row>
    <row r="121" spans="2:34" ht="15">
      <c r="B121" s="110">
        <v>110</v>
      </c>
      <c r="C121" s="138"/>
      <c r="D121" s="139"/>
      <c r="E121" s="362" t="str">
        <f>IF(C121="","",VLOOKUP(C121,'G-7 WaterC'' Data'!$B$2:$G$8,2,FALSE))</f>
        <v/>
      </c>
      <c r="F121" s="363" t="str">
        <f>IFERROR(VLOOKUP(E121,'G-7 WaterC'' Data'!$C$4:$D$8,2,FALSE),"")</f>
        <v/>
      </c>
      <c r="G121" s="114"/>
      <c r="H121" s="363" t="str">
        <f>IFERROR(INDEX('G-7 WaterC'' Data'!$H$4:$L$8,MATCH(C121,'G-7 WaterC'' Data'!$B$4:$B$8,0),MATCH(G121,'G-7 WaterC'' Data'!$H$3:$L$3,0)),"")</f>
        <v/>
      </c>
      <c r="I121" s="54"/>
      <c r="J121" s="370" t="str">
        <f>IF(I121="","",IF(VLOOKUP(I121,'G-7 WaterC'' Data'!$AK$4:$AM$6,2,FALSE)=0,"Spatial Data Missing ⚠",VLOOKUP(I121,'G-7 WaterC'' Data'!$AK$4:$AM$6,2,FALSE)))</f>
        <v/>
      </c>
      <c r="K121" s="363" t="str">
        <f>IF(I121="","",IF(VLOOKUP(I121,'G-7 WaterC'' Data'!$AK$4:$AM$6,3,FALSE)=0,"Spatial Data Missing ⚠",VLOOKUP(I121,'G-7 WaterC'' Data'!$AK$4:$AM$6,3,FALSE)))</f>
        <v/>
      </c>
      <c r="L121" s="362" t="str">
        <f>IFERROR(INDEX('G-7 WaterC'' Data'!$O$3:$O$7,MATCH(G121,'G-7 WaterC'' Data'!$N$3:$N$7,0)),"")</f>
        <v/>
      </c>
      <c r="M121" s="63"/>
      <c r="N121" s="159"/>
      <c r="O121" s="370" t="str">
        <f t="shared" si="5"/>
        <v/>
      </c>
      <c r="P121" s="383" t="str">
        <f t="shared" si="6"/>
        <v/>
      </c>
      <c r="Q121" s="422" t="str">
        <f>IFERROR(IF(P121="Check Data ⚠","Check Data ⚠",VLOOKUP(P121,'G-4 Temporal multipliers'!$A$4:$C$37,3,FALSE)),"")</f>
        <v/>
      </c>
      <c r="R121" s="362" t="str">
        <f>IF(C121="","",VLOOKUP(C121,'G-7 WaterC'' Data'!$B$4:$G$8,4,FALSE))</f>
        <v/>
      </c>
      <c r="S121" s="370" t="str">
        <f t="shared" si="7"/>
        <v/>
      </c>
      <c r="T121" s="401" t="str">
        <f t="shared" si="8"/>
        <v/>
      </c>
      <c r="U121" s="363" t="str">
        <f>IF(C121="","",VLOOKUP(T121,'G-3 Multipliers'!$P$2:$Q$6,2,FALSE))</f>
        <v/>
      </c>
      <c r="V121" s="115"/>
      <c r="W121" s="363" t="str">
        <f>IF(V121="","",IF(VLOOKUP(V121,'G-7 WaterC'' Data'!$AA$4:$AB$7,2,FALSE)=0,"Spatial Data Missing ⚠",VLOOKUP(V121,'G-7 WaterC'' Data'!$AA$4:$AB$7,2,FALSE)))</f>
        <v/>
      </c>
      <c r="X121" s="60"/>
      <c r="Y121" s="363" t="str">
        <f>IF(X121="","",IF(VLOOKUP(X121,'G-7 WaterC'' Data'!$AD$4:$AE$14,2,FALSE)=0,"Enrcoachment Data Missing ⚠",VLOOKUP(X121,'G-7 WaterC'' Data'!$AD$4:$AE$14,2,FALSE)))</f>
        <v/>
      </c>
      <c r="Z121" s="423" t="str">
        <f t="shared" si="9"/>
        <v/>
      </c>
      <c r="AA121" s="117"/>
      <c r="AB121" s="118"/>
      <c r="AC121" s="120"/>
      <c r="AH121" s="30" t="str">
        <f>IFERROR(INDEX('G-7 WaterC'' Data'!$AZ$3:$AZ$7,MATCH(C121,'G-7 WaterC'' Data'!$AY$3:$AY$7,0)),"")</f>
        <v/>
      </c>
    </row>
    <row r="122" spans="2:34" ht="15">
      <c r="B122" s="110">
        <v>111</v>
      </c>
      <c r="C122" s="138"/>
      <c r="D122" s="139"/>
      <c r="E122" s="362" t="str">
        <f>IF(C122="","",VLOOKUP(C122,'G-7 WaterC'' Data'!$B$2:$G$8,2,FALSE))</f>
        <v/>
      </c>
      <c r="F122" s="363" t="str">
        <f>IFERROR(VLOOKUP(E122,'G-7 WaterC'' Data'!$C$4:$D$8,2,FALSE),"")</f>
        <v/>
      </c>
      <c r="G122" s="114"/>
      <c r="H122" s="363" t="str">
        <f>IFERROR(INDEX('G-7 WaterC'' Data'!$H$4:$L$8,MATCH(C122,'G-7 WaterC'' Data'!$B$4:$B$8,0),MATCH(G122,'G-7 WaterC'' Data'!$H$3:$L$3,0)),"")</f>
        <v/>
      </c>
      <c r="I122" s="54"/>
      <c r="J122" s="370" t="str">
        <f>IF(I122="","",IF(VLOOKUP(I122,'G-7 WaterC'' Data'!$AK$4:$AM$6,2,FALSE)=0,"Spatial Data Missing ⚠",VLOOKUP(I122,'G-7 WaterC'' Data'!$AK$4:$AM$6,2,FALSE)))</f>
        <v/>
      </c>
      <c r="K122" s="363" t="str">
        <f>IF(I122="","",IF(VLOOKUP(I122,'G-7 WaterC'' Data'!$AK$4:$AM$6,3,FALSE)=0,"Spatial Data Missing ⚠",VLOOKUP(I122,'G-7 WaterC'' Data'!$AK$4:$AM$6,3,FALSE)))</f>
        <v/>
      </c>
      <c r="L122" s="362" t="str">
        <f>IFERROR(INDEX('G-7 WaterC'' Data'!$O$3:$O$7,MATCH(G122,'G-7 WaterC'' Data'!$N$3:$N$7,0)),"")</f>
        <v/>
      </c>
      <c r="M122" s="63"/>
      <c r="N122" s="159"/>
      <c r="O122" s="370" t="str">
        <f t="shared" si="5"/>
        <v/>
      </c>
      <c r="P122" s="383" t="str">
        <f t="shared" si="6"/>
        <v/>
      </c>
      <c r="Q122" s="422" t="str">
        <f>IFERROR(IF(P122="Check Data ⚠","Check Data ⚠",VLOOKUP(P122,'G-4 Temporal multipliers'!$A$4:$C$37,3,FALSE)),"")</f>
        <v/>
      </c>
      <c r="R122" s="362" t="str">
        <f>IF(C122="","",VLOOKUP(C122,'G-7 WaterC'' Data'!$B$4:$G$8,4,FALSE))</f>
        <v/>
      </c>
      <c r="S122" s="370" t="str">
        <f t="shared" si="7"/>
        <v/>
      </c>
      <c r="T122" s="401" t="str">
        <f t="shared" si="8"/>
        <v/>
      </c>
      <c r="U122" s="363" t="str">
        <f>IF(C122="","",VLOOKUP(T122,'G-3 Multipliers'!$P$2:$Q$6,2,FALSE))</f>
        <v/>
      </c>
      <c r="V122" s="115"/>
      <c r="W122" s="363" t="str">
        <f>IF(V122="","",IF(VLOOKUP(V122,'G-7 WaterC'' Data'!$AA$4:$AB$7,2,FALSE)=0,"Spatial Data Missing ⚠",VLOOKUP(V122,'G-7 WaterC'' Data'!$AA$4:$AB$7,2,FALSE)))</f>
        <v/>
      </c>
      <c r="X122" s="60"/>
      <c r="Y122" s="363" t="str">
        <f>IF(X122="","",IF(VLOOKUP(X122,'G-7 WaterC'' Data'!$AD$4:$AE$14,2,FALSE)=0,"Enrcoachment Data Missing ⚠",VLOOKUP(X122,'G-7 WaterC'' Data'!$AD$4:$AE$14,2,FALSE)))</f>
        <v/>
      </c>
      <c r="Z122" s="423" t="str">
        <f t="shared" si="9"/>
        <v/>
      </c>
      <c r="AA122" s="117"/>
      <c r="AB122" s="118"/>
      <c r="AC122" s="120"/>
      <c r="AH122" s="30" t="str">
        <f>IFERROR(INDEX('G-7 WaterC'' Data'!$AZ$3:$AZ$7,MATCH(C122,'G-7 WaterC'' Data'!$AY$3:$AY$7,0)),"")</f>
        <v/>
      </c>
    </row>
    <row r="123" spans="2:34" ht="15">
      <c r="B123" s="110">
        <v>112</v>
      </c>
      <c r="C123" s="138"/>
      <c r="D123" s="139"/>
      <c r="E123" s="362" t="str">
        <f>IF(C123="","",VLOOKUP(C123,'G-7 WaterC'' Data'!$B$2:$G$8,2,FALSE))</f>
        <v/>
      </c>
      <c r="F123" s="363" t="str">
        <f>IFERROR(VLOOKUP(E123,'G-7 WaterC'' Data'!$C$4:$D$8,2,FALSE),"")</f>
        <v/>
      </c>
      <c r="G123" s="114"/>
      <c r="H123" s="363" t="str">
        <f>IFERROR(INDEX('G-7 WaterC'' Data'!$H$4:$L$8,MATCH(C123,'G-7 WaterC'' Data'!$B$4:$B$8,0),MATCH(G123,'G-7 WaterC'' Data'!$H$3:$L$3,0)),"")</f>
        <v/>
      </c>
      <c r="I123" s="54"/>
      <c r="J123" s="370" t="str">
        <f>IF(I123="","",IF(VLOOKUP(I123,'G-7 WaterC'' Data'!$AK$4:$AM$6,2,FALSE)=0,"Spatial Data Missing ⚠",VLOOKUP(I123,'G-7 WaterC'' Data'!$AK$4:$AM$6,2,FALSE)))</f>
        <v/>
      </c>
      <c r="K123" s="363" t="str">
        <f>IF(I123="","",IF(VLOOKUP(I123,'G-7 WaterC'' Data'!$AK$4:$AM$6,3,FALSE)=0,"Spatial Data Missing ⚠",VLOOKUP(I123,'G-7 WaterC'' Data'!$AK$4:$AM$6,3,FALSE)))</f>
        <v/>
      </c>
      <c r="L123" s="362" t="str">
        <f>IFERROR(INDEX('G-7 WaterC'' Data'!$O$3:$O$7,MATCH(G123,'G-7 WaterC'' Data'!$N$3:$N$7,0)),"")</f>
        <v/>
      </c>
      <c r="M123" s="63"/>
      <c r="N123" s="159"/>
      <c r="O123" s="370" t="str">
        <f t="shared" si="5"/>
        <v/>
      </c>
      <c r="P123" s="383" t="str">
        <f t="shared" si="6"/>
        <v/>
      </c>
      <c r="Q123" s="422" t="str">
        <f>IFERROR(IF(P123="Check Data ⚠","Check Data ⚠",VLOOKUP(P123,'G-4 Temporal multipliers'!$A$4:$C$37,3,FALSE)),"")</f>
        <v/>
      </c>
      <c r="R123" s="362" t="str">
        <f>IF(C123="","",VLOOKUP(C123,'G-7 WaterC'' Data'!$B$4:$G$8,4,FALSE))</f>
        <v/>
      </c>
      <c r="S123" s="370" t="str">
        <f t="shared" si="7"/>
        <v/>
      </c>
      <c r="T123" s="401" t="str">
        <f t="shared" si="8"/>
        <v/>
      </c>
      <c r="U123" s="363" t="str">
        <f>IF(C123="","",VLOOKUP(T123,'G-3 Multipliers'!$P$2:$Q$6,2,FALSE))</f>
        <v/>
      </c>
      <c r="V123" s="115"/>
      <c r="W123" s="363" t="str">
        <f>IF(V123="","",IF(VLOOKUP(V123,'G-7 WaterC'' Data'!$AA$4:$AB$7,2,FALSE)=0,"Spatial Data Missing ⚠",VLOOKUP(V123,'G-7 WaterC'' Data'!$AA$4:$AB$7,2,FALSE)))</f>
        <v/>
      </c>
      <c r="X123" s="60"/>
      <c r="Y123" s="363" t="str">
        <f>IF(X123="","",IF(VLOOKUP(X123,'G-7 WaterC'' Data'!$AD$4:$AE$14,2,FALSE)=0,"Enrcoachment Data Missing ⚠",VLOOKUP(X123,'G-7 WaterC'' Data'!$AD$4:$AE$14,2,FALSE)))</f>
        <v/>
      </c>
      <c r="Z123" s="423" t="str">
        <f t="shared" si="9"/>
        <v/>
      </c>
      <c r="AA123" s="117"/>
      <c r="AB123" s="118"/>
      <c r="AC123" s="120"/>
      <c r="AH123" s="30" t="str">
        <f>IFERROR(INDEX('G-7 WaterC'' Data'!$AZ$3:$AZ$7,MATCH(C123,'G-7 WaterC'' Data'!$AY$3:$AY$7,0)),"")</f>
        <v/>
      </c>
    </row>
    <row r="124" spans="2:34" ht="15">
      <c r="B124" s="110">
        <v>113</v>
      </c>
      <c r="C124" s="138"/>
      <c r="D124" s="139"/>
      <c r="E124" s="362" t="str">
        <f>IF(C124="","",VLOOKUP(C124,'G-7 WaterC'' Data'!$B$2:$G$8,2,FALSE))</f>
        <v/>
      </c>
      <c r="F124" s="363" t="str">
        <f>IFERROR(VLOOKUP(E124,'G-7 WaterC'' Data'!$C$4:$D$8,2,FALSE),"")</f>
        <v/>
      </c>
      <c r="G124" s="114"/>
      <c r="H124" s="363" t="str">
        <f>IFERROR(INDEX('G-7 WaterC'' Data'!$H$4:$L$8,MATCH(C124,'G-7 WaterC'' Data'!$B$4:$B$8,0),MATCH(G124,'G-7 WaterC'' Data'!$H$3:$L$3,0)),"")</f>
        <v/>
      </c>
      <c r="I124" s="54"/>
      <c r="J124" s="370" t="str">
        <f>IF(I124="","",IF(VLOOKUP(I124,'G-7 WaterC'' Data'!$AK$4:$AM$6,2,FALSE)=0,"Spatial Data Missing ⚠",VLOOKUP(I124,'G-7 WaterC'' Data'!$AK$4:$AM$6,2,FALSE)))</f>
        <v/>
      </c>
      <c r="K124" s="363" t="str">
        <f>IF(I124="","",IF(VLOOKUP(I124,'G-7 WaterC'' Data'!$AK$4:$AM$6,3,FALSE)=0,"Spatial Data Missing ⚠",VLOOKUP(I124,'G-7 WaterC'' Data'!$AK$4:$AM$6,3,FALSE)))</f>
        <v/>
      </c>
      <c r="L124" s="362" t="str">
        <f>IFERROR(INDEX('G-7 WaterC'' Data'!$O$3:$O$7,MATCH(G124,'G-7 WaterC'' Data'!$N$3:$N$7,0)),"")</f>
        <v/>
      </c>
      <c r="M124" s="63"/>
      <c r="N124" s="159"/>
      <c r="O124" s="370" t="str">
        <f t="shared" si="5"/>
        <v/>
      </c>
      <c r="P124" s="383" t="str">
        <f t="shared" si="6"/>
        <v/>
      </c>
      <c r="Q124" s="422" t="str">
        <f>IFERROR(IF(P124="Check Data ⚠","Check Data ⚠",VLOOKUP(P124,'G-4 Temporal multipliers'!$A$4:$C$37,3,FALSE)),"")</f>
        <v/>
      </c>
      <c r="R124" s="362" t="str">
        <f>IF(C124="","",VLOOKUP(C124,'G-7 WaterC'' Data'!$B$4:$G$8,4,FALSE))</f>
        <v/>
      </c>
      <c r="S124" s="370" t="str">
        <f t="shared" si="7"/>
        <v/>
      </c>
      <c r="T124" s="401" t="str">
        <f t="shared" si="8"/>
        <v/>
      </c>
      <c r="U124" s="363" t="str">
        <f>IF(C124="","",VLOOKUP(T124,'G-3 Multipliers'!$P$2:$Q$6,2,FALSE))</f>
        <v/>
      </c>
      <c r="V124" s="115"/>
      <c r="W124" s="363" t="str">
        <f>IF(V124="","",IF(VLOOKUP(V124,'G-7 WaterC'' Data'!$AA$4:$AB$7,2,FALSE)=0,"Spatial Data Missing ⚠",VLOOKUP(V124,'G-7 WaterC'' Data'!$AA$4:$AB$7,2,FALSE)))</f>
        <v/>
      </c>
      <c r="X124" s="60"/>
      <c r="Y124" s="363" t="str">
        <f>IF(X124="","",IF(VLOOKUP(X124,'G-7 WaterC'' Data'!$AD$4:$AE$14,2,FALSE)=0,"Enrcoachment Data Missing ⚠",VLOOKUP(X124,'G-7 WaterC'' Data'!$AD$4:$AE$14,2,FALSE)))</f>
        <v/>
      </c>
      <c r="Z124" s="423" t="str">
        <f t="shared" si="9"/>
        <v/>
      </c>
      <c r="AA124" s="117"/>
      <c r="AB124" s="118"/>
      <c r="AC124" s="120"/>
      <c r="AH124" s="30" t="str">
        <f>IFERROR(INDEX('G-7 WaterC'' Data'!$AZ$3:$AZ$7,MATCH(C124,'G-7 WaterC'' Data'!$AY$3:$AY$7,0)),"")</f>
        <v/>
      </c>
    </row>
    <row r="125" spans="2:34" ht="15">
      <c r="B125" s="110">
        <v>114</v>
      </c>
      <c r="C125" s="138"/>
      <c r="D125" s="139"/>
      <c r="E125" s="362" t="str">
        <f>IF(C125="","",VLOOKUP(C125,'G-7 WaterC'' Data'!$B$2:$G$8,2,FALSE))</f>
        <v/>
      </c>
      <c r="F125" s="363" t="str">
        <f>IFERROR(VLOOKUP(E125,'G-7 WaterC'' Data'!$C$4:$D$8,2,FALSE),"")</f>
        <v/>
      </c>
      <c r="G125" s="114"/>
      <c r="H125" s="363" t="str">
        <f>IFERROR(INDEX('G-7 WaterC'' Data'!$H$4:$L$8,MATCH(C125,'G-7 WaterC'' Data'!$B$4:$B$8,0),MATCH(G125,'G-7 WaterC'' Data'!$H$3:$L$3,0)),"")</f>
        <v/>
      </c>
      <c r="I125" s="54"/>
      <c r="J125" s="370" t="str">
        <f>IF(I125="","",IF(VLOOKUP(I125,'G-7 WaterC'' Data'!$AK$4:$AM$6,2,FALSE)=0,"Spatial Data Missing ⚠",VLOOKUP(I125,'G-7 WaterC'' Data'!$AK$4:$AM$6,2,FALSE)))</f>
        <v/>
      </c>
      <c r="K125" s="363" t="str">
        <f>IF(I125="","",IF(VLOOKUP(I125,'G-7 WaterC'' Data'!$AK$4:$AM$6,3,FALSE)=0,"Spatial Data Missing ⚠",VLOOKUP(I125,'G-7 WaterC'' Data'!$AK$4:$AM$6,3,FALSE)))</f>
        <v/>
      </c>
      <c r="L125" s="362" t="str">
        <f>IFERROR(INDEX('G-7 WaterC'' Data'!$O$3:$O$7,MATCH(G125,'G-7 WaterC'' Data'!$N$3:$N$7,0)),"")</f>
        <v/>
      </c>
      <c r="M125" s="63"/>
      <c r="N125" s="159"/>
      <c r="O125" s="370" t="str">
        <f t="shared" si="5"/>
        <v/>
      </c>
      <c r="P125" s="383" t="str">
        <f t="shared" si="6"/>
        <v/>
      </c>
      <c r="Q125" s="422" t="str">
        <f>IFERROR(IF(P125="Check Data ⚠","Check Data ⚠",VLOOKUP(P125,'G-4 Temporal multipliers'!$A$4:$C$37,3,FALSE)),"")</f>
        <v/>
      </c>
      <c r="R125" s="362" t="str">
        <f>IF(C125="","",VLOOKUP(C125,'G-7 WaterC'' Data'!$B$4:$G$8,4,FALSE))</f>
        <v/>
      </c>
      <c r="S125" s="370" t="str">
        <f t="shared" si="7"/>
        <v/>
      </c>
      <c r="T125" s="401" t="str">
        <f t="shared" si="8"/>
        <v/>
      </c>
      <c r="U125" s="363" t="str">
        <f>IF(C125="","",VLOOKUP(T125,'G-3 Multipliers'!$P$2:$Q$6,2,FALSE))</f>
        <v/>
      </c>
      <c r="V125" s="115"/>
      <c r="W125" s="363" t="str">
        <f>IF(V125="","",IF(VLOOKUP(V125,'G-7 WaterC'' Data'!$AA$4:$AB$7,2,FALSE)=0,"Spatial Data Missing ⚠",VLOOKUP(V125,'G-7 WaterC'' Data'!$AA$4:$AB$7,2,FALSE)))</f>
        <v/>
      </c>
      <c r="X125" s="60"/>
      <c r="Y125" s="363" t="str">
        <f>IF(X125="","",IF(VLOOKUP(X125,'G-7 WaterC'' Data'!$AD$4:$AE$14,2,FALSE)=0,"Enrcoachment Data Missing ⚠",VLOOKUP(X125,'G-7 WaterC'' Data'!$AD$4:$AE$14,2,FALSE)))</f>
        <v/>
      </c>
      <c r="Z125" s="423" t="str">
        <f t="shared" si="9"/>
        <v/>
      </c>
      <c r="AA125" s="117"/>
      <c r="AB125" s="118"/>
      <c r="AC125" s="120"/>
      <c r="AH125" s="30" t="str">
        <f>IFERROR(INDEX('G-7 WaterC'' Data'!$AZ$3:$AZ$7,MATCH(C125,'G-7 WaterC'' Data'!$AY$3:$AY$7,0)),"")</f>
        <v/>
      </c>
    </row>
    <row r="126" spans="2:34" ht="15">
      <c r="B126" s="110">
        <v>115</v>
      </c>
      <c r="C126" s="138"/>
      <c r="D126" s="139"/>
      <c r="E126" s="362" t="str">
        <f>IF(C126="","",VLOOKUP(C126,'G-7 WaterC'' Data'!$B$2:$G$8,2,FALSE))</f>
        <v/>
      </c>
      <c r="F126" s="363" t="str">
        <f>IFERROR(VLOOKUP(E126,'G-7 WaterC'' Data'!$C$4:$D$8,2,FALSE),"")</f>
        <v/>
      </c>
      <c r="G126" s="114"/>
      <c r="H126" s="363" t="str">
        <f>IFERROR(INDEX('G-7 WaterC'' Data'!$H$4:$L$8,MATCH(C126,'G-7 WaterC'' Data'!$B$4:$B$8,0),MATCH(G126,'G-7 WaterC'' Data'!$H$3:$L$3,0)),"")</f>
        <v/>
      </c>
      <c r="I126" s="54"/>
      <c r="J126" s="370" t="str">
        <f>IF(I126="","",IF(VLOOKUP(I126,'G-7 WaterC'' Data'!$AK$4:$AM$6,2,FALSE)=0,"Spatial Data Missing ⚠",VLOOKUP(I126,'G-7 WaterC'' Data'!$AK$4:$AM$6,2,FALSE)))</f>
        <v/>
      </c>
      <c r="K126" s="363" t="str">
        <f>IF(I126="","",IF(VLOOKUP(I126,'G-7 WaterC'' Data'!$AK$4:$AM$6,3,FALSE)=0,"Spatial Data Missing ⚠",VLOOKUP(I126,'G-7 WaterC'' Data'!$AK$4:$AM$6,3,FALSE)))</f>
        <v/>
      </c>
      <c r="L126" s="362" t="str">
        <f>IFERROR(INDEX('G-7 WaterC'' Data'!$O$3:$O$7,MATCH(G126,'G-7 WaterC'' Data'!$N$3:$N$7,0)),"")</f>
        <v/>
      </c>
      <c r="M126" s="63"/>
      <c r="N126" s="159"/>
      <c r="O126" s="370" t="str">
        <f t="shared" si="5"/>
        <v/>
      </c>
      <c r="P126" s="383" t="str">
        <f t="shared" si="6"/>
        <v/>
      </c>
      <c r="Q126" s="422" t="str">
        <f>IFERROR(IF(P126="Check Data ⚠","Check Data ⚠",VLOOKUP(P126,'G-4 Temporal multipliers'!$A$4:$C$37,3,FALSE)),"")</f>
        <v/>
      </c>
      <c r="R126" s="362" t="str">
        <f>IF(C126="","",VLOOKUP(C126,'G-7 WaterC'' Data'!$B$4:$G$8,4,FALSE))</f>
        <v/>
      </c>
      <c r="S126" s="370" t="str">
        <f t="shared" si="7"/>
        <v/>
      </c>
      <c r="T126" s="401" t="str">
        <f t="shared" si="8"/>
        <v/>
      </c>
      <c r="U126" s="363" t="str">
        <f>IF(C126="","",VLOOKUP(T126,'G-3 Multipliers'!$P$2:$Q$6,2,FALSE))</f>
        <v/>
      </c>
      <c r="V126" s="115"/>
      <c r="W126" s="363" t="str">
        <f>IF(V126="","",IF(VLOOKUP(V126,'G-7 WaterC'' Data'!$AA$4:$AB$7,2,FALSE)=0,"Spatial Data Missing ⚠",VLOOKUP(V126,'G-7 WaterC'' Data'!$AA$4:$AB$7,2,FALSE)))</f>
        <v/>
      </c>
      <c r="X126" s="60"/>
      <c r="Y126" s="363" t="str">
        <f>IF(X126="","",IF(VLOOKUP(X126,'G-7 WaterC'' Data'!$AD$4:$AE$14,2,FALSE)=0,"Enrcoachment Data Missing ⚠",VLOOKUP(X126,'G-7 WaterC'' Data'!$AD$4:$AE$14,2,FALSE)))</f>
        <v/>
      </c>
      <c r="Z126" s="423" t="str">
        <f t="shared" si="9"/>
        <v/>
      </c>
      <c r="AA126" s="117"/>
      <c r="AB126" s="118"/>
      <c r="AC126" s="120"/>
      <c r="AH126" s="30" t="str">
        <f>IFERROR(INDEX('G-7 WaterC'' Data'!$AZ$3:$AZ$7,MATCH(C126,'G-7 WaterC'' Data'!$AY$3:$AY$7,0)),"")</f>
        <v/>
      </c>
    </row>
    <row r="127" spans="2:34" ht="15">
      <c r="B127" s="110">
        <v>116</v>
      </c>
      <c r="C127" s="138"/>
      <c r="D127" s="139"/>
      <c r="E127" s="362" t="str">
        <f>IF(C127="","",VLOOKUP(C127,'G-7 WaterC'' Data'!$B$2:$G$8,2,FALSE))</f>
        <v/>
      </c>
      <c r="F127" s="363" t="str">
        <f>IFERROR(VLOOKUP(E127,'G-7 WaterC'' Data'!$C$4:$D$8,2,FALSE),"")</f>
        <v/>
      </c>
      <c r="G127" s="114"/>
      <c r="H127" s="363" t="str">
        <f>IFERROR(INDEX('G-7 WaterC'' Data'!$H$4:$L$8,MATCH(C127,'G-7 WaterC'' Data'!$B$4:$B$8,0),MATCH(G127,'G-7 WaterC'' Data'!$H$3:$L$3,0)),"")</f>
        <v/>
      </c>
      <c r="I127" s="54"/>
      <c r="J127" s="370" t="str">
        <f>IF(I127="","",IF(VLOOKUP(I127,'G-7 WaterC'' Data'!$AK$4:$AM$6,2,FALSE)=0,"Spatial Data Missing ⚠",VLOOKUP(I127,'G-7 WaterC'' Data'!$AK$4:$AM$6,2,FALSE)))</f>
        <v/>
      </c>
      <c r="K127" s="363" t="str">
        <f>IF(I127="","",IF(VLOOKUP(I127,'G-7 WaterC'' Data'!$AK$4:$AM$6,3,FALSE)=0,"Spatial Data Missing ⚠",VLOOKUP(I127,'G-7 WaterC'' Data'!$AK$4:$AM$6,3,FALSE)))</f>
        <v/>
      </c>
      <c r="L127" s="362" t="str">
        <f>IFERROR(INDEX('G-7 WaterC'' Data'!$O$3:$O$7,MATCH(G127,'G-7 WaterC'' Data'!$N$3:$N$7,0)),"")</f>
        <v/>
      </c>
      <c r="M127" s="63"/>
      <c r="N127" s="159"/>
      <c r="O127" s="370" t="str">
        <f t="shared" si="5"/>
        <v/>
      </c>
      <c r="P127" s="383" t="str">
        <f t="shared" si="6"/>
        <v/>
      </c>
      <c r="Q127" s="422" t="str">
        <f>IFERROR(IF(P127="Check Data ⚠","Check Data ⚠",VLOOKUP(P127,'G-4 Temporal multipliers'!$A$4:$C$37,3,FALSE)),"")</f>
        <v/>
      </c>
      <c r="R127" s="362" t="str">
        <f>IF(C127="","",VLOOKUP(C127,'G-7 WaterC'' Data'!$B$4:$G$8,4,FALSE))</f>
        <v/>
      </c>
      <c r="S127" s="370" t="str">
        <f t="shared" si="7"/>
        <v/>
      </c>
      <c r="T127" s="401" t="str">
        <f t="shared" si="8"/>
        <v/>
      </c>
      <c r="U127" s="363" t="str">
        <f>IF(C127="","",VLOOKUP(T127,'G-3 Multipliers'!$P$2:$Q$6,2,FALSE))</f>
        <v/>
      </c>
      <c r="V127" s="115"/>
      <c r="W127" s="363" t="str">
        <f>IF(V127="","",IF(VLOOKUP(V127,'G-7 WaterC'' Data'!$AA$4:$AB$7,2,FALSE)=0,"Spatial Data Missing ⚠",VLOOKUP(V127,'G-7 WaterC'' Data'!$AA$4:$AB$7,2,FALSE)))</f>
        <v/>
      </c>
      <c r="X127" s="60"/>
      <c r="Y127" s="363" t="str">
        <f>IF(X127="","",IF(VLOOKUP(X127,'G-7 WaterC'' Data'!$AD$4:$AE$14,2,FALSE)=0,"Enrcoachment Data Missing ⚠",VLOOKUP(X127,'G-7 WaterC'' Data'!$AD$4:$AE$14,2,FALSE)))</f>
        <v/>
      </c>
      <c r="Z127" s="423" t="str">
        <f t="shared" si="9"/>
        <v/>
      </c>
      <c r="AA127" s="117"/>
      <c r="AB127" s="118"/>
      <c r="AC127" s="120"/>
      <c r="AH127" s="30" t="str">
        <f>IFERROR(INDEX('G-7 WaterC'' Data'!$AZ$3:$AZ$7,MATCH(C127,'G-7 WaterC'' Data'!$AY$3:$AY$7,0)),"")</f>
        <v/>
      </c>
    </row>
    <row r="128" spans="2:34" ht="15">
      <c r="B128" s="110">
        <v>117</v>
      </c>
      <c r="C128" s="138"/>
      <c r="D128" s="139"/>
      <c r="E128" s="362" t="str">
        <f>IF(C128="","",VLOOKUP(C128,'G-7 WaterC'' Data'!$B$2:$G$8,2,FALSE))</f>
        <v/>
      </c>
      <c r="F128" s="363" t="str">
        <f>IFERROR(VLOOKUP(E128,'G-7 WaterC'' Data'!$C$4:$D$8,2,FALSE),"")</f>
        <v/>
      </c>
      <c r="G128" s="114"/>
      <c r="H128" s="363" t="str">
        <f>IFERROR(INDEX('G-7 WaterC'' Data'!$H$4:$L$8,MATCH(C128,'G-7 WaterC'' Data'!$B$4:$B$8,0),MATCH(G128,'G-7 WaterC'' Data'!$H$3:$L$3,0)),"")</f>
        <v/>
      </c>
      <c r="I128" s="54"/>
      <c r="J128" s="370" t="str">
        <f>IF(I128="","",IF(VLOOKUP(I128,'G-7 WaterC'' Data'!$AK$4:$AM$6,2,FALSE)=0,"Spatial Data Missing ⚠",VLOOKUP(I128,'G-7 WaterC'' Data'!$AK$4:$AM$6,2,FALSE)))</f>
        <v/>
      </c>
      <c r="K128" s="363" t="str">
        <f>IF(I128="","",IF(VLOOKUP(I128,'G-7 WaterC'' Data'!$AK$4:$AM$6,3,FALSE)=0,"Spatial Data Missing ⚠",VLOOKUP(I128,'G-7 WaterC'' Data'!$AK$4:$AM$6,3,FALSE)))</f>
        <v/>
      </c>
      <c r="L128" s="362" t="str">
        <f>IFERROR(INDEX('G-7 WaterC'' Data'!$O$3:$O$7,MATCH(G128,'G-7 WaterC'' Data'!$N$3:$N$7,0)),"")</f>
        <v/>
      </c>
      <c r="M128" s="63"/>
      <c r="N128" s="159"/>
      <c r="O128" s="370" t="str">
        <f t="shared" si="5"/>
        <v/>
      </c>
      <c r="P128" s="383" t="str">
        <f t="shared" si="6"/>
        <v/>
      </c>
      <c r="Q128" s="422" t="str">
        <f>IFERROR(IF(P128="Check Data ⚠","Check Data ⚠",VLOOKUP(P128,'G-4 Temporal multipliers'!$A$4:$C$37,3,FALSE)),"")</f>
        <v/>
      </c>
      <c r="R128" s="362" t="str">
        <f>IF(C128="","",VLOOKUP(C128,'G-7 WaterC'' Data'!$B$4:$G$8,4,FALSE))</f>
        <v/>
      </c>
      <c r="S128" s="370" t="str">
        <f t="shared" si="7"/>
        <v/>
      </c>
      <c r="T128" s="401" t="str">
        <f t="shared" si="8"/>
        <v/>
      </c>
      <c r="U128" s="363" t="str">
        <f>IF(C128="","",VLOOKUP(T128,'G-3 Multipliers'!$P$2:$Q$6,2,FALSE))</f>
        <v/>
      </c>
      <c r="V128" s="115"/>
      <c r="W128" s="363" t="str">
        <f>IF(V128="","",IF(VLOOKUP(V128,'G-7 WaterC'' Data'!$AA$4:$AB$7,2,FALSE)=0,"Spatial Data Missing ⚠",VLOOKUP(V128,'G-7 WaterC'' Data'!$AA$4:$AB$7,2,FALSE)))</f>
        <v/>
      </c>
      <c r="X128" s="60"/>
      <c r="Y128" s="363" t="str">
        <f>IF(X128="","",IF(VLOOKUP(X128,'G-7 WaterC'' Data'!$AD$4:$AE$14,2,FALSE)=0,"Enrcoachment Data Missing ⚠",VLOOKUP(X128,'G-7 WaterC'' Data'!$AD$4:$AE$14,2,FALSE)))</f>
        <v/>
      </c>
      <c r="Z128" s="423" t="str">
        <f t="shared" si="9"/>
        <v/>
      </c>
      <c r="AA128" s="117"/>
      <c r="AB128" s="118"/>
      <c r="AC128" s="120"/>
      <c r="AH128" s="30" t="str">
        <f>IFERROR(INDEX('G-7 WaterC'' Data'!$AZ$3:$AZ$7,MATCH(C128,'G-7 WaterC'' Data'!$AY$3:$AY$7,0)),"")</f>
        <v/>
      </c>
    </row>
    <row r="129" spans="2:34" ht="15">
      <c r="B129" s="110">
        <v>118</v>
      </c>
      <c r="C129" s="138"/>
      <c r="D129" s="139"/>
      <c r="E129" s="362" t="str">
        <f>IF(C129="","",VLOOKUP(C129,'G-7 WaterC'' Data'!$B$2:$G$8,2,FALSE))</f>
        <v/>
      </c>
      <c r="F129" s="363" t="str">
        <f>IFERROR(VLOOKUP(E129,'G-7 WaterC'' Data'!$C$4:$D$8,2,FALSE),"")</f>
        <v/>
      </c>
      <c r="G129" s="114"/>
      <c r="H129" s="363" t="str">
        <f>IFERROR(INDEX('G-7 WaterC'' Data'!$H$4:$L$8,MATCH(C129,'G-7 WaterC'' Data'!$B$4:$B$8,0),MATCH(G129,'G-7 WaterC'' Data'!$H$3:$L$3,0)),"")</f>
        <v/>
      </c>
      <c r="I129" s="54"/>
      <c r="J129" s="370" t="str">
        <f>IF(I129="","",IF(VLOOKUP(I129,'G-7 WaterC'' Data'!$AK$4:$AM$6,2,FALSE)=0,"Spatial Data Missing ⚠",VLOOKUP(I129,'G-7 WaterC'' Data'!$AK$4:$AM$6,2,FALSE)))</f>
        <v/>
      </c>
      <c r="K129" s="363" t="str">
        <f>IF(I129="","",IF(VLOOKUP(I129,'G-7 WaterC'' Data'!$AK$4:$AM$6,3,FALSE)=0,"Spatial Data Missing ⚠",VLOOKUP(I129,'G-7 WaterC'' Data'!$AK$4:$AM$6,3,FALSE)))</f>
        <v/>
      </c>
      <c r="L129" s="362" t="str">
        <f>IFERROR(INDEX('G-7 WaterC'' Data'!$O$3:$O$7,MATCH(G129,'G-7 WaterC'' Data'!$N$3:$N$7,0)),"")</f>
        <v/>
      </c>
      <c r="M129" s="63"/>
      <c r="N129" s="159"/>
      <c r="O129" s="370" t="str">
        <f t="shared" si="5"/>
        <v/>
      </c>
      <c r="P129" s="383" t="str">
        <f t="shared" si="6"/>
        <v/>
      </c>
      <c r="Q129" s="422" t="str">
        <f>IFERROR(IF(P129="Check Data ⚠","Check Data ⚠",VLOOKUP(P129,'G-4 Temporal multipliers'!$A$4:$C$37,3,FALSE)),"")</f>
        <v/>
      </c>
      <c r="R129" s="362" t="str">
        <f>IF(C129="","",VLOOKUP(C129,'G-7 WaterC'' Data'!$B$4:$G$8,4,FALSE))</f>
        <v/>
      </c>
      <c r="S129" s="370" t="str">
        <f t="shared" si="7"/>
        <v/>
      </c>
      <c r="T129" s="401" t="str">
        <f t="shared" si="8"/>
        <v/>
      </c>
      <c r="U129" s="363" t="str">
        <f>IF(C129="","",VLOOKUP(T129,'G-3 Multipliers'!$P$2:$Q$6,2,FALSE))</f>
        <v/>
      </c>
      <c r="V129" s="115"/>
      <c r="W129" s="363" t="str">
        <f>IF(V129="","",IF(VLOOKUP(V129,'G-7 WaterC'' Data'!$AA$4:$AB$7,2,FALSE)=0,"Spatial Data Missing ⚠",VLOOKUP(V129,'G-7 WaterC'' Data'!$AA$4:$AB$7,2,FALSE)))</f>
        <v/>
      </c>
      <c r="X129" s="60"/>
      <c r="Y129" s="363" t="str">
        <f>IF(X129="","",IF(VLOOKUP(X129,'G-7 WaterC'' Data'!$AD$4:$AE$14,2,FALSE)=0,"Enrcoachment Data Missing ⚠",VLOOKUP(X129,'G-7 WaterC'' Data'!$AD$4:$AE$14,2,FALSE)))</f>
        <v/>
      </c>
      <c r="Z129" s="423" t="str">
        <f t="shared" si="9"/>
        <v/>
      </c>
      <c r="AA129" s="117"/>
      <c r="AB129" s="118"/>
      <c r="AC129" s="120"/>
      <c r="AH129" s="30" t="str">
        <f>IFERROR(INDEX('G-7 WaterC'' Data'!$AZ$3:$AZ$7,MATCH(C129,'G-7 WaterC'' Data'!$AY$3:$AY$7,0)),"")</f>
        <v/>
      </c>
    </row>
    <row r="130" spans="2:34" ht="15">
      <c r="B130" s="110">
        <v>119</v>
      </c>
      <c r="C130" s="138"/>
      <c r="D130" s="139"/>
      <c r="E130" s="362" t="str">
        <f>IF(C130="","",VLOOKUP(C130,'G-7 WaterC'' Data'!$B$2:$G$8,2,FALSE))</f>
        <v/>
      </c>
      <c r="F130" s="363" t="str">
        <f>IFERROR(VLOOKUP(E130,'G-7 WaterC'' Data'!$C$4:$D$8,2,FALSE),"")</f>
        <v/>
      </c>
      <c r="G130" s="114"/>
      <c r="H130" s="363" t="str">
        <f>IFERROR(INDEX('G-7 WaterC'' Data'!$H$4:$L$8,MATCH(C130,'G-7 WaterC'' Data'!$B$4:$B$8,0),MATCH(G130,'G-7 WaterC'' Data'!$H$3:$L$3,0)),"")</f>
        <v/>
      </c>
      <c r="I130" s="54"/>
      <c r="J130" s="370" t="str">
        <f>IF(I130="","",IF(VLOOKUP(I130,'G-7 WaterC'' Data'!$AK$4:$AM$6,2,FALSE)=0,"Spatial Data Missing ⚠",VLOOKUP(I130,'G-7 WaterC'' Data'!$AK$4:$AM$6,2,FALSE)))</f>
        <v/>
      </c>
      <c r="K130" s="363" t="str">
        <f>IF(I130="","",IF(VLOOKUP(I130,'G-7 WaterC'' Data'!$AK$4:$AM$6,3,FALSE)=0,"Spatial Data Missing ⚠",VLOOKUP(I130,'G-7 WaterC'' Data'!$AK$4:$AM$6,3,FALSE)))</f>
        <v/>
      </c>
      <c r="L130" s="362" t="str">
        <f>IFERROR(INDEX('G-7 WaterC'' Data'!$O$3:$O$7,MATCH(G130,'G-7 WaterC'' Data'!$N$3:$N$7,0)),"")</f>
        <v/>
      </c>
      <c r="M130" s="63"/>
      <c r="N130" s="159"/>
      <c r="O130" s="370" t="str">
        <f t="shared" si="5"/>
        <v/>
      </c>
      <c r="P130" s="383" t="str">
        <f t="shared" si="6"/>
        <v/>
      </c>
      <c r="Q130" s="422" t="str">
        <f>IFERROR(IF(P130="Check Data ⚠","Check Data ⚠",VLOOKUP(P130,'G-4 Temporal multipliers'!$A$4:$C$37,3,FALSE)),"")</f>
        <v/>
      </c>
      <c r="R130" s="362" t="str">
        <f>IF(C130="","",VLOOKUP(C130,'G-7 WaterC'' Data'!$B$4:$G$8,4,FALSE))</f>
        <v/>
      </c>
      <c r="S130" s="370" t="str">
        <f t="shared" si="7"/>
        <v/>
      </c>
      <c r="T130" s="401" t="str">
        <f t="shared" si="8"/>
        <v/>
      </c>
      <c r="U130" s="363" t="str">
        <f>IF(C130="","",VLOOKUP(T130,'G-3 Multipliers'!$P$2:$Q$6,2,FALSE))</f>
        <v/>
      </c>
      <c r="V130" s="115"/>
      <c r="W130" s="363" t="str">
        <f>IF(V130="","",IF(VLOOKUP(V130,'G-7 WaterC'' Data'!$AA$4:$AB$7,2,FALSE)=0,"Spatial Data Missing ⚠",VLOOKUP(V130,'G-7 WaterC'' Data'!$AA$4:$AB$7,2,FALSE)))</f>
        <v/>
      </c>
      <c r="X130" s="60"/>
      <c r="Y130" s="363" t="str">
        <f>IF(X130="","",IF(VLOOKUP(X130,'G-7 WaterC'' Data'!$AD$4:$AE$14,2,FALSE)=0,"Enrcoachment Data Missing ⚠",VLOOKUP(X130,'G-7 WaterC'' Data'!$AD$4:$AE$14,2,FALSE)))</f>
        <v/>
      </c>
      <c r="Z130" s="423" t="str">
        <f t="shared" si="9"/>
        <v/>
      </c>
      <c r="AA130" s="117"/>
      <c r="AB130" s="118"/>
      <c r="AC130" s="120"/>
      <c r="AH130" s="30" t="str">
        <f>IFERROR(INDEX('G-7 WaterC'' Data'!$AZ$3:$AZ$7,MATCH(C130,'G-7 WaterC'' Data'!$AY$3:$AY$7,0)),"")</f>
        <v/>
      </c>
    </row>
    <row r="131" spans="2:34" ht="15">
      <c r="B131" s="110">
        <v>120</v>
      </c>
      <c r="C131" s="138"/>
      <c r="D131" s="139"/>
      <c r="E131" s="362" t="str">
        <f>IF(C131="","",VLOOKUP(C131,'G-7 WaterC'' Data'!$B$2:$G$8,2,FALSE))</f>
        <v/>
      </c>
      <c r="F131" s="363" t="str">
        <f>IFERROR(VLOOKUP(E131,'G-7 WaterC'' Data'!$C$4:$D$8,2,FALSE),"")</f>
        <v/>
      </c>
      <c r="G131" s="114"/>
      <c r="H131" s="363" t="str">
        <f>IFERROR(INDEX('G-7 WaterC'' Data'!$H$4:$L$8,MATCH(C131,'G-7 WaterC'' Data'!$B$4:$B$8,0),MATCH(G131,'G-7 WaterC'' Data'!$H$3:$L$3,0)),"")</f>
        <v/>
      </c>
      <c r="I131" s="54"/>
      <c r="J131" s="370" t="str">
        <f>IF(I131="","",IF(VLOOKUP(I131,'G-7 WaterC'' Data'!$AK$4:$AM$6,2,FALSE)=0,"Spatial Data Missing ⚠",VLOOKUP(I131,'G-7 WaterC'' Data'!$AK$4:$AM$6,2,FALSE)))</f>
        <v/>
      </c>
      <c r="K131" s="363" t="str">
        <f>IF(I131="","",IF(VLOOKUP(I131,'G-7 WaterC'' Data'!$AK$4:$AM$6,3,FALSE)=0,"Spatial Data Missing ⚠",VLOOKUP(I131,'G-7 WaterC'' Data'!$AK$4:$AM$6,3,FALSE)))</f>
        <v/>
      </c>
      <c r="L131" s="362" t="str">
        <f>IFERROR(INDEX('G-7 WaterC'' Data'!$O$3:$O$7,MATCH(G131,'G-7 WaterC'' Data'!$N$3:$N$7,0)),"")</f>
        <v/>
      </c>
      <c r="M131" s="63"/>
      <c r="N131" s="159"/>
      <c r="O131" s="370" t="str">
        <f t="shared" si="5"/>
        <v/>
      </c>
      <c r="P131" s="383" t="str">
        <f t="shared" si="6"/>
        <v/>
      </c>
      <c r="Q131" s="422" t="str">
        <f>IFERROR(IF(P131="Check Data ⚠","Check Data ⚠",VLOOKUP(P131,'G-4 Temporal multipliers'!$A$4:$C$37,3,FALSE)),"")</f>
        <v/>
      </c>
      <c r="R131" s="362" t="str">
        <f>IF(C131="","",VLOOKUP(C131,'G-7 WaterC'' Data'!$B$4:$G$8,4,FALSE))</f>
        <v/>
      </c>
      <c r="S131" s="370" t="str">
        <f t="shared" si="7"/>
        <v/>
      </c>
      <c r="T131" s="401" t="str">
        <f t="shared" si="8"/>
        <v/>
      </c>
      <c r="U131" s="363" t="str">
        <f>IF(C131="","",VLOOKUP(T131,'G-3 Multipliers'!$P$2:$Q$6,2,FALSE))</f>
        <v/>
      </c>
      <c r="V131" s="115"/>
      <c r="W131" s="363" t="str">
        <f>IF(V131="","",IF(VLOOKUP(V131,'G-7 WaterC'' Data'!$AA$4:$AB$7,2,FALSE)=0,"Spatial Data Missing ⚠",VLOOKUP(V131,'G-7 WaterC'' Data'!$AA$4:$AB$7,2,FALSE)))</f>
        <v/>
      </c>
      <c r="X131" s="60"/>
      <c r="Y131" s="363" t="str">
        <f>IF(X131="","",IF(VLOOKUP(X131,'G-7 WaterC'' Data'!$AD$4:$AE$14,2,FALSE)=0,"Enrcoachment Data Missing ⚠",VLOOKUP(X131,'G-7 WaterC'' Data'!$AD$4:$AE$14,2,FALSE)))</f>
        <v/>
      </c>
      <c r="Z131" s="423" t="str">
        <f t="shared" si="9"/>
        <v/>
      </c>
      <c r="AA131" s="117"/>
      <c r="AB131" s="118"/>
      <c r="AC131" s="120"/>
      <c r="AH131" s="30" t="str">
        <f>IFERROR(INDEX('G-7 WaterC'' Data'!$AZ$3:$AZ$7,MATCH(C131,'G-7 WaterC'' Data'!$AY$3:$AY$7,0)),"")</f>
        <v/>
      </c>
    </row>
    <row r="132" spans="2:34" ht="15">
      <c r="B132" s="110">
        <v>121</v>
      </c>
      <c r="C132" s="138"/>
      <c r="D132" s="139"/>
      <c r="E132" s="362" t="str">
        <f>IF(C132="","",VLOOKUP(C132,'G-7 WaterC'' Data'!$B$2:$G$8,2,FALSE))</f>
        <v/>
      </c>
      <c r="F132" s="363" t="str">
        <f>IFERROR(VLOOKUP(E132,'G-7 WaterC'' Data'!$C$4:$D$8,2,FALSE),"")</f>
        <v/>
      </c>
      <c r="G132" s="114"/>
      <c r="H132" s="363" t="str">
        <f>IFERROR(INDEX('G-7 WaterC'' Data'!$H$4:$L$8,MATCH(C132,'G-7 WaterC'' Data'!$B$4:$B$8,0),MATCH(G132,'G-7 WaterC'' Data'!$H$3:$L$3,0)),"")</f>
        <v/>
      </c>
      <c r="I132" s="54"/>
      <c r="J132" s="370" t="str">
        <f>IF(I132="","",IF(VLOOKUP(I132,'G-7 WaterC'' Data'!$AK$4:$AM$6,2,FALSE)=0,"Spatial Data Missing ⚠",VLOOKUP(I132,'G-7 WaterC'' Data'!$AK$4:$AM$6,2,FALSE)))</f>
        <v/>
      </c>
      <c r="K132" s="363" t="str">
        <f>IF(I132="","",IF(VLOOKUP(I132,'G-7 WaterC'' Data'!$AK$4:$AM$6,3,FALSE)=0,"Spatial Data Missing ⚠",VLOOKUP(I132,'G-7 WaterC'' Data'!$AK$4:$AM$6,3,FALSE)))</f>
        <v/>
      </c>
      <c r="L132" s="362" t="str">
        <f>IFERROR(INDEX('G-7 WaterC'' Data'!$O$3:$O$7,MATCH(G132,'G-7 WaterC'' Data'!$N$3:$N$7,0)),"")</f>
        <v/>
      </c>
      <c r="M132" s="63"/>
      <c r="N132" s="159"/>
      <c r="O132" s="370" t="str">
        <f t="shared" si="5"/>
        <v/>
      </c>
      <c r="P132" s="383" t="str">
        <f t="shared" si="6"/>
        <v/>
      </c>
      <c r="Q132" s="422" t="str">
        <f>IFERROR(IF(P132="Check Data ⚠","Check Data ⚠",VLOOKUP(P132,'G-4 Temporal multipliers'!$A$4:$C$37,3,FALSE)),"")</f>
        <v/>
      </c>
      <c r="R132" s="362" t="str">
        <f>IF(C132="","",VLOOKUP(C132,'G-7 WaterC'' Data'!$B$4:$G$8,4,FALSE))</f>
        <v/>
      </c>
      <c r="S132" s="370" t="str">
        <f t="shared" si="7"/>
        <v/>
      </c>
      <c r="T132" s="401" t="str">
        <f t="shared" si="8"/>
        <v/>
      </c>
      <c r="U132" s="363" t="str">
        <f>IF(C132="","",VLOOKUP(T132,'G-3 Multipliers'!$P$2:$Q$6,2,FALSE))</f>
        <v/>
      </c>
      <c r="V132" s="115"/>
      <c r="W132" s="363" t="str">
        <f>IF(V132="","",IF(VLOOKUP(V132,'G-7 WaterC'' Data'!$AA$4:$AB$7,2,FALSE)=0,"Spatial Data Missing ⚠",VLOOKUP(V132,'G-7 WaterC'' Data'!$AA$4:$AB$7,2,FALSE)))</f>
        <v/>
      </c>
      <c r="X132" s="60"/>
      <c r="Y132" s="363" t="str">
        <f>IF(X132="","",IF(VLOOKUP(X132,'G-7 WaterC'' Data'!$AD$4:$AE$14,2,FALSE)=0,"Enrcoachment Data Missing ⚠",VLOOKUP(X132,'G-7 WaterC'' Data'!$AD$4:$AE$14,2,FALSE)))</f>
        <v/>
      </c>
      <c r="Z132" s="423" t="str">
        <f t="shared" si="9"/>
        <v/>
      </c>
      <c r="AA132" s="117"/>
      <c r="AB132" s="118"/>
      <c r="AC132" s="120"/>
      <c r="AH132" s="30" t="str">
        <f>IFERROR(INDEX('G-7 WaterC'' Data'!$AZ$3:$AZ$7,MATCH(C132,'G-7 WaterC'' Data'!$AY$3:$AY$7,0)),"")</f>
        <v/>
      </c>
    </row>
    <row r="133" spans="2:34" ht="15">
      <c r="B133" s="110">
        <v>122</v>
      </c>
      <c r="C133" s="138"/>
      <c r="D133" s="139"/>
      <c r="E133" s="362" t="str">
        <f>IF(C133="","",VLOOKUP(C133,'G-7 WaterC'' Data'!$B$2:$G$8,2,FALSE))</f>
        <v/>
      </c>
      <c r="F133" s="363" t="str">
        <f>IFERROR(VLOOKUP(E133,'G-7 WaterC'' Data'!$C$4:$D$8,2,FALSE),"")</f>
        <v/>
      </c>
      <c r="G133" s="114"/>
      <c r="H133" s="363" t="str">
        <f>IFERROR(INDEX('G-7 WaterC'' Data'!$H$4:$L$8,MATCH(C133,'G-7 WaterC'' Data'!$B$4:$B$8,0),MATCH(G133,'G-7 WaterC'' Data'!$H$3:$L$3,0)),"")</f>
        <v/>
      </c>
      <c r="I133" s="54"/>
      <c r="J133" s="370" t="str">
        <f>IF(I133="","",IF(VLOOKUP(I133,'G-7 WaterC'' Data'!$AK$4:$AM$6,2,FALSE)=0,"Spatial Data Missing ⚠",VLOOKUP(I133,'G-7 WaterC'' Data'!$AK$4:$AM$6,2,FALSE)))</f>
        <v/>
      </c>
      <c r="K133" s="363" t="str">
        <f>IF(I133="","",IF(VLOOKUP(I133,'G-7 WaterC'' Data'!$AK$4:$AM$6,3,FALSE)=0,"Spatial Data Missing ⚠",VLOOKUP(I133,'G-7 WaterC'' Data'!$AK$4:$AM$6,3,FALSE)))</f>
        <v/>
      </c>
      <c r="L133" s="362" t="str">
        <f>IFERROR(INDEX('G-7 WaterC'' Data'!$O$3:$O$7,MATCH(G133,'G-7 WaterC'' Data'!$N$3:$N$7,0)),"")</f>
        <v/>
      </c>
      <c r="M133" s="63"/>
      <c r="N133" s="159"/>
      <c r="O133" s="370" t="str">
        <f t="shared" si="5"/>
        <v/>
      </c>
      <c r="P133" s="383" t="str">
        <f t="shared" si="6"/>
        <v/>
      </c>
      <c r="Q133" s="422" t="str">
        <f>IFERROR(IF(P133="Check Data ⚠","Check Data ⚠",VLOOKUP(P133,'G-4 Temporal multipliers'!$A$4:$C$37,3,FALSE)),"")</f>
        <v/>
      </c>
      <c r="R133" s="362" t="str">
        <f>IF(C133="","",VLOOKUP(C133,'G-7 WaterC'' Data'!$B$4:$G$8,4,FALSE))</f>
        <v/>
      </c>
      <c r="S133" s="370" t="str">
        <f t="shared" si="7"/>
        <v/>
      </c>
      <c r="T133" s="401" t="str">
        <f t="shared" si="8"/>
        <v/>
      </c>
      <c r="U133" s="363" t="str">
        <f>IF(C133="","",VLOOKUP(T133,'G-3 Multipliers'!$P$2:$Q$6,2,FALSE))</f>
        <v/>
      </c>
      <c r="V133" s="115"/>
      <c r="W133" s="363" t="str">
        <f>IF(V133="","",IF(VLOOKUP(V133,'G-7 WaterC'' Data'!$AA$4:$AB$7,2,FALSE)=0,"Spatial Data Missing ⚠",VLOOKUP(V133,'G-7 WaterC'' Data'!$AA$4:$AB$7,2,FALSE)))</f>
        <v/>
      </c>
      <c r="X133" s="60"/>
      <c r="Y133" s="363" t="str">
        <f>IF(X133="","",IF(VLOOKUP(X133,'G-7 WaterC'' Data'!$AD$4:$AE$14,2,FALSE)=0,"Enrcoachment Data Missing ⚠",VLOOKUP(X133,'G-7 WaterC'' Data'!$AD$4:$AE$14,2,FALSE)))</f>
        <v/>
      </c>
      <c r="Z133" s="423" t="str">
        <f t="shared" si="9"/>
        <v/>
      </c>
      <c r="AA133" s="117"/>
      <c r="AB133" s="118"/>
      <c r="AC133" s="120"/>
      <c r="AH133" s="30" t="str">
        <f>IFERROR(INDEX('G-7 WaterC'' Data'!$AZ$3:$AZ$7,MATCH(C133,'G-7 WaterC'' Data'!$AY$3:$AY$7,0)),"")</f>
        <v/>
      </c>
    </row>
    <row r="134" spans="2:34" ht="15">
      <c r="B134" s="110">
        <v>123</v>
      </c>
      <c r="C134" s="138"/>
      <c r="D134" s="139"/>
      <c r="E134" s="362" t="str">
        <f>IF(C134="","",VLOOKUP(C134,'G-7 WaterC'' Data'!$B$2:$G$8,2,FALSE))</f>
        <v/>
      </c>
      <c r="F134" s="363" t="str">
        <f>IFERROR(VLOOKUP(E134,'G-7 WaterC'' Data'!$C$4:$D$8,2,FALSE),"")</f>
        <v/>
      </c>
      <c r="G134" s="114"/>
      <c r="H134" s="363" t="str">
        <f>IFERROR(INDEX('G-7 WaterC'' Data'!$H$4:$L$8,MATCH(C134,'G-7 WaterC'' Data'!$B$4:$B$8,0),MATCH(G134,'G-7 WaterC'' Data'!$H$3:$L$3,0)),"")</f>
        <v/>
      </c>
      <c r="I134" s="54"/>
      <c r="J134" s="370" t="str">
        <f>IF(I134="","",IF(VLOOKUP(I134,'G-7 WaterC'' Data'!$AK$4:$AM$6,2,FALSE)=0,"Spatial Data Missing ⚠",VLOOKUP(I134,'G-7 WaterC'' Data'!$AK$4:$AM$6,2,FALSE)))</f>
        <v/>
      </c>
      <c r="K134" s="363" t="str">
        <f>IF(I134="","",IF(VLOOKUP(I134,'G-7 WaterC'' Data'!$AK$4:$AM$6,3,FALSE)=0,"Spatial Data Missing ⚠",VLOOKUP(I134,'G-7 WaterC'' Data'!$AK$4:$AM$6,3,FALSE)))</f>
        <v/>
      </c>
      <c r="L134" s="362" t="str">
        <f>IFERROR(INDEX('G-7 WaterC'' Data'!$O$3:$O$7,MATCH(G134,'G-7 WaterC'' Data'!$N$3:$N$7,0)),"")</f>
        <v/>
      </c>
      <c r="M134" s="63"/>
      <c r="N134" s="159"/>
      <c r="O134" s="370" t="str">
        <f t="shared" si="5"/>
        <v/>
      </c>
      <c r="P134" s="383" t="str">
        <f t="shared" si="6"/>
        <v/>
      </c>
      <c r="Q134" s="422" t="str">
        <f>IFERROR(IF(P134="Check Data ⚠","Check Data ⚠",VLOOKUP(P134,'G-4 Temporal multipliers'!$A$4:$C$37,3,FALSE)),"")</f>
        <v/>
      </c>
      <c r="R134" s="362" t="str">
        <f>IF(C134="","",VLOOKUP(C134,'G-7 WaterC'' Data'!$B$4:$G$8,4,FALSE))</f>
        <v/>
      </c>
      <c r="S134" s="370" t="str">
        <f t="shared" si="7"/>
        <v/>
      </c>
      <c r="T134" s="401" t="str">
        <f t="shared" si="8"/>
        <v/>
      </c>
      <c r="U134" s="363" t="str">
        <f>IF(C134="","",VLOOKUP(T134,'G-3 Multipliers'!$P$2:$Q$6,2,FALSE))</f>
        <v/>
      </c>
      <c r="V134" s="115"/>
      <c r="W134" s="363" t="str">
        <f>IF(V134="","",IF(VLOOKUP(V134,'G-7 WaterC'' Data'!$AA$4:$AB$7,2,FALSE)=0,"Spatial Data Missing ⚠",VLOOKUP(V134,'G-7 WaterC'' Data'!$AA$4:$AB$7,2,FALSE)))</f>
        <v/>
      </c>
      <c r="X134" s="60"/>
      <c r="Y134" s="363" t="str">
        <f>IF(X134="","",IF(VLOOKUP(X134,'G-7 WaterC'' Data'!$AD$4:$AE$14,2,FALSE)=0,"Enrcoachment Data Missing ⚠",VLOOKUP(X134,'G-7 WaterC'' Data'!$AD$4:$AE$14,2,FALSE)))</f>
        <v/>
      </c>
      <c r="Z134" s="423" t="str">
        <f t="shared" si="9"/>
        <v/>
      </c>
      <c r="AA134" s="117"/>
      <c r="AB134" s="118"/>
      <c r="AC134" s="120"/>
      <c r="AH134" s="30" t="str">
        <f>IFERROR(INDEX('G-7 WaterC'' Data'!$AZ$3:$AZ$7,MATCH(C134,'G-7 WaterC'' Data'!$AY$3:$AY$7,0)),"")</f>
        <v/>
      </c>
    </row>
    <row r="135" spans="2:34" ht="15">
      <c r="B135" s="110">
        <v>124</v>
      </c>
      <c r="C135" s="138"/>
      <c r="D135" s="139"/>
      <c r="E135" s="362" t="str">
        <f>IF(C135="","",VLOOKUP(C135,'G-7 WaterC'' Data'!$B$2:$G$8,2,FALSE))</f>
        <v/>
      </c>
      <c r="F135" s="363" t="str">
        <f>IFERROR(VLOOKUP(E135,'G-7 WaterC'' Data'!$C$4:$D$8,2,FALSE),"")</f>
        <v/>
      </c>
      <c r="G135" s="114"/>
      <c r="H135" s="363" t="str">
        <f>IFERROR(INDEX('G-7 WaterC'' Data'!$H$4:$L$8,MATCH(C135,'G-7 WaterC'' Data'!$B$4:$B$8,0),MATCH(G135,'G-7 WaterC'' Data'!$H$3:$L$3,0)),"")</f>
        <v/>
      </c>
      <c r="I135" s="54"/>
      <c r="J135" s="370" t="str">
        <f>IF(I135="","",IF(VLOOKUP(I135,'G-7 WaterC'' Data'!$AK$4:$AM$6,2,FALSE)=0,"Spatial Data Missing ⚠",VLOOKUP(I135,'G-7 WaterC'' Data'!$AK$4:$AM$6,2,FALSE)))</f>
        <v/>
      </c>
      <c r="K135" s="363" t="str">
        <f>IF(I135="","",IF(VLOOKUP(I135,'G-7 WaterC'' Data'!$AK$4:$AM$6,3,FALSE)=0,"Spatial Data Missing ⚠",VLOOKUP(I135,'G-7 WaterC'' Data'!$AK$4:$AM$6,3,FALSE)))</f>
        <v/>
      </c>
      <c r="L135" s="362" t="str">
        <f>IFERROR(INDEX('G-7 WaterC'' Data'!$O$3:$O$7,MATCH(G135,'G-7 WaterC'' Data'!$N$3:$N$7,0)),"")</f>
        <v/>
      </c>
      <c r="M135" s="63"/>
      <c r="N135" s="159"/>
      <c r="O135" s="370" t="str">
        <f t="shared" si="5"/>
        <v/>
      </c>
      <c r="P135" s="383" t="str">
        <f t="shared" si="6"/>
        <v/>
      </c>
      <c r="Q135" s="422" t="str">
        <f>IFERROR(IF(P135="Check Data ⚠","Check Data ⚠",VLOOKUP(P135,'G-4 Temporal multipliers'!$A$4:$C$37,3,FALSE)),"")</f>
        <v/>
      </c>
      <c r="R135" s="362" t="str">
        <f>IF(C135="","",VLOOKUP(C135,'G-7 WaterC'' Data'!$B$4:$G$8,4,FALSE))</f>
        <v/>
      </c>
      <c r="S135" s="370" t="str">
        <f t="shared" si="7"/>
        <v/>
      </c>
      <c r="T135" s="401" t="str">
        <f t="shared" si="8"/>
        <v/>
      </c>
      <c r="U135" s="363" t="str">
        <f>IF(C135="","",VLOOKUP(T135,'G-3 Multipliers'!$P$2:$Q$6,2,FALSE))</f>
        <v/>
      </c>
      <c r="V135" s="115"/>
      <c r="W135" s="363" t="str">
        <f>IF(V135="","",IF(VLOOKUP(V135,'G-7 WaterC'' Data'!$AA$4:$AB$7,2,FALSE)=0,"Spatial Data Missing ⚠",VLOOKUP(V135,'G-7 WaterC'' Data'!$AA$4:$AB$7,2,FALSE)))</f>
        <v/>
      </c>
      <c r="X135" s="60"/>
      <c r="Y135" s="363" t="str">
        <f>IF(X135="","",IF(VLOOKUP(X135,'G-7 WaterC'' Data'!$AD$4:$AE$14,2,FALSE)=0,"Enrcoachment Data Missing ⚠",VLOOKUP(X135,'G-7 WaterC'' Data'!$AD$4:$AE$14,2,FALSE)))</f>
        <v/>
      </c>
      <c r="Z135" s="423" t="str">
        <f t="shared" si="9"/>
        <v/>
      </c>
      <c r="AA135" s="117"/>
      <c r="AB135" s="118"/>
      <c r="AC135" s="120"/>
      <c r="AH135" s="30" t="str">
        <f>IFERROR(INDEX('G-7 WaterC'' Data'!$AZ$3:$AZ$7,MATCH(C135,'G-7 WaterC'' Data'!$AY$3:$AY$7,0)),"")</f>
        <v/>
      </c>
    </row>
    <row r="136" spans="2:34" ht="15">
      <c r="B136" s="110">
        <v>125</v>
      </c>
      <c r="C136" s="138"/>
      <c r="D136" s="139"/>
      <c r="E136" s="362" t="str">
        <f>IF(C136="","",VLOOKUP(C136,'G-7 WaterC'' Data'!$B$2:$G$8,2,FALSE))</f>
        <v/>
      </c>
      <c r="F136" s="363" t="str">
        <f>IFERROR(VLOOKUP(E136,'G-7 WaterC'' Data'!$C$4:$D$8,2,FALSE),"")</f>
        <v/>
      </c>
      <c r="G136" s="114"/>
      <c r="H136" s="363" t="str">
        <f>IFERROR(INDEX('G-7 WaterC'' Data'!$H$4:$L$8,MATCH(C136,'G-7 WaterC'' Data'!$B$4:$B$8,0),MATCH(G136,'G-7 WaterC'' Data'!$H$3:$L$3,0)),"")</f>
        <v/>
      </c>
      <c r="I136" s="54"/>
      <c r="J136" s="370" t="str">
        <f>IF(I136="","",IF(VLOOKUP(I136,'G-7 WaterC'' Data'!$AK$4:$AM$6,2,FALSE)=0,"Spatial Data Missing ⚠",VLOOKUP(I136,'G-7 WaterC'' Data'!$AK$4:$AM$6,2,FALSE)))</f>
        <v/>
      </c>
      <c r="K136" s="363" t="str">
        <f>IF(I136="","",IF(VLOOKUP(I136,'G-7 WaterC'' Data'!$AK$4:$AM$6,3,FALSE)=0,"Spatial Data Missing ⚠",VLOOKUP(I136,'G-7 WaterC'' Data'!$AK$4:$AM$6,3,FALSE)))</f>
        <v/>
      </c>
      <c r="L136" s="362" t="str">
        <f>IFERROR(INDEX('G-7 WaterC'' Data'!$O$3:$O$7,MATCH(G136,'G-7 WaterC'' Data'!$N$3:$N$7,0)),"")</f>
        <v/>
      </c>
      <c r="M136" s="63"/>
      <c r="N136" s="159"/>
      <c r="O136" s="370" t="str">
        <f t="shared" si="5"/>
        <v/>
      </c>
      <c r="P136" s="383" t="str">
        <f t="shared" si="6"/>
        <v/>
      </c>
      <c r="Q136" s="422" t="str">
        <f>IFERROR(IF(P136="Check Data ⚠","Check Data ⚠",VLOOKUP(P136,'G-4 Temporal multipliers'!$A$4:$C$37,3,FALSE)),"")</f>
        <v/>
      </c>
      <c r="R136" s="362" t="str">
        <f>IF(C136="","",VLOOKUP(C136,'G-7 WaterC'' Data'!$B$4:$G$8,4,FALSE))</f>
        <v/>
      </c>
      <c r="S136" s="370" t="str">
        <f t="shared" si="7"/>
        <v/>
      </c>
      <c r="T136" s="401" t="str">
        <f t="shared" si="8"/>
        <v/>
      </c>
      <c r="U136" s="363" t="str">
        <f>IF(C136="","",VLOOKUP(T136,'G-3 Multipliers'!$P$2:$Q$6,2,FALSE))</f>
        <v/>
      </c>
      <c r="V136" s="115"/>
      <c r="W136" s="363" t="str">
        <f>IF(V136="","",IF(VLOOKUP(V136,'G-7 WaterC'' Data'!$AA$4:$AB$7,2,FALSE)=0,"Spatial Data Missing ⚠",VLOOKUP(V136,'G-7 WaterC'' Data'!$AA$4:$AB$7,2,FALSE)))</f>
        <v/>
      </c>
      <c r="X136" s="60"/>
      <c r="Y136" s="363" t="str">
        <f>IF(X136="","",IF(VLOOKUP(X136,'G-7 WaterC'' Data'!$AD$4:$AE$14,2,FALSE)=0,"Enrcoachment Data Missing ⚠",VLOOKUP(X136,'G-7 WaterC'' Data'!$AD$4:$AE$14,2,FALSE)))</f>
        <v/>
      </c>
      <c r="Z136" s="423" t="str">
        <f t="shared" si="9"/>
        <v/>
      </c>
      <c r="AA136" s="117"/>
      <c r="AB136" s="118"/>
      <c r="AC136" s="120"/>
      <c r="AH136" s="30" t="str">
        <f>IFERROR(INDEX('G-7 WaterC'' Data'!$AZ$3:$AZ$7,MATCH(C136,'G-7 WaterC'' Data'!$AY$3:$AY$7,0)),"")</f>
        <v/>
      </c>
    </row>
    <row r="137" spans="2:34" ht="15">
      <c r="B137" s="110">
        <v>126</v>
      </c>
      <c r="C137" s="138"/>
      <c r="D137" s="139"/>
      <c r="E137" s="362" t="str">
        <f>IF(C137="","",VLOOKUP(C137,'G-7 WaterC'' Data'!$B$2:$G$8,2,FALSE))</f>
        <v/>
      </c>
      <c r="F137" s="363" t="str">
        <f>IFERROR(VLOOKUP(E137,'G-7 WaterC'' Data'!$C$4:$D$8,2,FALSE),"")</f>
        <v/>
      </c>
      <c r="G137" s="114"/>
      <c r="H137" s="363" t="str">
        <f>IFERROR(INDEX('G-7 WaterC'' Data'!$H$4:$L$8,MATCH(C137,'G-7 WaterC'' Data'!$B$4:$B$8,0),MATCH(G137,'G-7 WaterC'' Data'!$H$3:$L$3,0)),"")</f>
        <v/>
      </c>
      <c r="I137" s="54"/>
      <c r="J137" s="370" t="str">
        <f>IF(I137="","",IF(VLOOKUP(I137,'G-7 WaterC'' Data'!$AK$4:$AM$6,2,FALSE)=0,"Spatial Data Missing ⚠",VLOOKUP(I137,'G-7 WaterC'' Data'!$AK$4:$AM$6,2,FALSE)))</f>
        <v/>
      </c>
      <c r="K137" s="363" t="str">
        <f>IF(I137="","",IF(VLOOKUP(I137,'G-7 WaterC'' Data'!$AK$4:$AM$6,3,FALSE)=0,"Spatial Data Missing ⚠",VLOOKUP(I137,'G-7 WaterC'' Data'!$AK$4:$AM$6,3,FALSE)))</f>
        <v/>
      </c>
      <c r="L137" s="362" t="str">
        <f>IFERROR(INDEX('G-7 WaterC'' Data'!$O$3:$O$7,MATCH(G137,'G-7 WaterC'' Data'!$N$3:$N$7,0)),"")</f>
        <v/>
      </c>
      <c r="M137" s="63"/>
      <c r="N137" s="159"/>
      <c r="O137" s="370" t="str">
        <f t="shared" si="5"/>
        <v/>
      </c>
      <c r="P137" s="383" t="str">
        <f t="shared" si="6"/>
        <v/>
      </c>
      <c r="Q137" s="422" t="str">
        <f>IFERROR(IF(P137="Check Data ⚠","Check Data ⚠",VLOOKUP(P137,'G-4 Temporal multipliers'!$A$4:$C$37,3,FALSE)),"")</f>
        <v/>
      </c>
      <c r="R137" s="362" t="str">
        <f>IF(C137="","",VLOOKUP(C137,'G-7 WaterC'' Data'!$B$4:$G$8,4,FALSE))</f>
        <v/>
      </c>
      <c r="S137" s="370" t="str">
        <f t="shared" si="7"/>
        <v/>
      </c>
      <c r="T137" s="401" t="str">
        <f t="shared" si="8"/>
        <v/>
      </c>
      <c r="U137" s="363" t="str">
        <f>IF(C137="","",VLOOKUP(T137,'G-3 Multipliers'!$P$2:$Q$6,2,FALSE))</f>
        <v/>
      </c>
      <c r="V137" s="115"/>
      <c r="W137" s="363" t="str">
        <f>IF(V137="","",IF(VLOOKUP(V137,'G-7 WaterC'' Data'!$AA$4:$AB$7,2,FALSE)=0,"Spatial Data Missing ⚠",VLOOKUP(V137,'G-7 WaterC'' Data'!$AA$4:$AB$7,2,FALSE)))</f>
        <v/>
      </c>
      <c r="X137" s="60"/>
      <c r="Y137" s="363" t="str">
        <f>IF(X137="","",IF(VLOOKUP(X137,'G-7 WaterC'' Data'!$AD$4:$AE$14,2,FALSE)=0,"Enrcoachment Data Missing ⚠",VLOOKUP(X137,'G-7 WaterC'' Data'!$AD$4:$AE$14,2,FALSE)))</f>
        <v/>
      </c>
      <c r="Z137" s="423" t="str">
        <f t="shared" si="9"/>
        <v/>
      </c>
      <c r="AA137" s="117"/>
      <c r="AB137" s="118"/>
      <c r="AC137" s="120"/>
      <c r="AH137" s="30" t="str">
        <f>IFERROR(INDEX('G-7 WaterC'' Data'!$AZ$3:$AZ$7,MATCH(C137,'G-7 WaterC'' Data'!$AY$3:$AY$7,0)),"")</f>
        <v/>
      </c>
    </row>
    <row r="138" spans="2:34" ht="15">
      <c r="B138" s="110">
        <v>127</v>
      </c>
      <c r="C138" s="138"/>
      <c r="D138" s="139"/>
      <c r="E138" s="362" t="str">
        <f>IF(C138="","",VLOOKUP(C138,'G-7 WaterC'' Data'!$B$2:$G$8,2,FALSE))</f>
        <v/>
      </c>
      <c r="F138" s="363" t="str">
        <f>IFERROR(VLOOKUP(E138,'G-7 WaterC'' Data'!$C$4:$D$8,2,FALSE),"")</f>
        <v/>
      </c>
      <c r="G138" s="114"/>
      <c r="H138" s="363" t="str">
        <f>IFERROR(INDEX('G-7 WaterC'' Data'!$H$4:$L$8,MATCH(C138,'G-7 WaterC'' Data'!$B$4:$B$8,0),MATCH(G138,'G-7 WaterC'' Data'!$H$3:$L$3,0)),"")</f>
        <v/>
      </c>
      <c r="I138" s="54"/>
      <c r="J138" s="370" t="str">
        <f>IF(I138="","",IF(VLOOKUP(I138,'G-7 WaterC'' Data'!$AK$4:$AM$6,2,FALSE)=0,"Spatial Data Missing ⚠",VLOOKUP(I138,'G-7 WaterC'' Data'!$AK$4:$AM$6,2,FALSE)))</f>
        <v/>
      </c>
      <c r="K138" s="363" t="str">
        <f>IF(I138="","",IF(VLOOKUP(I138,'G-7 WaterC'' Data'!$AK$4:$AM$6,3,FALSE)=0,"Spatial Data Missing ⚠",VLOOKUP(I138,'G-7 WaterC'' Data'!$AK$4:$AM$6,3,FALSE)))</f>
        <v/>
      </c>
      <c r="L138" s="362" t="str">
        <f>IFERROR(INDEX('G-7 WaterC'' Data'!$O$3:$O$7,MATCH(G138,'G-7 WaterC'' Data'!$N$3:$N$7,0)),"")</f>
        <v/>
      </c>
      <c r="M138" s="63"/>
      <c r="N138" s="159"/>
      <c r="O138" s="370" t="str">
        <f t="shared" si="5"/>
        <v/>
      </c>
      <c r="P138" s="383" t="str">
        <f t="shared" si="6"/>
        <v/>
      </c>
      <c r="Q138" s="422" t="str">
        <f>IFERROR(IF(P138="Check Data ⚠","Check Data ⚠",VLOOKUP(P138,'G-4 Temporal multipliers'!$A$4:$C$37,3,FALSE)),"")</f>
        <v/>
      </c>
      <c r="R138" s="362" t="str">
        <f>IF(C138="","",VLOOKUP(C138,'G-7 WaterC'' Data'!$B$4:$G$8,4,FALSE))</f>
        <v/>
      </c>
      <c r="S138" s="370" t="str">
        <f t="shared" si="7"/>
        <v/>
      </c>
      <c r="T138" s="401" t="str">
        <f t="shared" si="8"/>
        <v/>
      </c>
      <c r="U138" s="363" t="str">
        <f>IF(C138="","",VLOOKUP(T138,'G-3 Multipliers'!$P$2:$Q$6,2,FALSE))</f>
        <v/>
      </c>
      <c r="V138" s="115"/>
      <c r="W138" s="363" t="str">
        <f>IF(V138="","",IF(VLOOKUP(V138,'G-7 WaterC'' Data'!$AA$4:$AB$7,2,FALSE)=0,"Spatial Data Missing ⚠",VLOOKUP(V138,'G-7 WaterC'' Data'!$AA$4:$AB$7,2,FALSE)))</f>
        <v/>
      </c>
      <c r="X138" s="60"/>
      <c r="Y138" s="363" t="str">
        <f>IF(X138="","",IF(VLOOKUP(X138,'G-7 WaterC'' Data'!$AD$4:$AE$14,2,FALSE)=0,"Enrcoachment Data Missing ⚠",VLOOKUP(X138,'G-7 WaterC'' Data'!$AD$4:$AE$14,2,FALSE)))</f>
        <v/>
      </c>
      <c r="Z138" s="423" t="str">
        <f t="shared" si="9"/>
        <v/>
      </c>
      <c r="AA138" s="117"/>
      <c r="AB138" s="118"/>
      <c r="AC138" s="120"/>
      <c r="AH138" s="30" t="str">
        <f>IFERROR(INDEX('G-7 WaterC'' Data'!$AZ$3:$AZ$7,MATCH(C138,'G-7 WaterC'' Data'!$AY$3:$AY$7,0)),"")</f>
        <v/>
      </c>
    </row>
    <row r="139" spans="2:34" ht="15">
      <c r="B139" s="110">
        <v>128</v>
      </c>
      <c r="C139" s="138"/>
      <c r="D139" s="139"/>
      <c r="E139" s="362" t="str">
        <f>IF(C139="","",VLOOKUP(C139,'G-7 WaterC'' Data'!$B$2:$G$8,2,FALSE))</f>
        <v/>
      </c>
      <c r="F139" s="363" t="str">
        <f>IFERROR(VLOOKUP(E139,'G-7 WaterC'' Data'!$C$4:$D$8,2,FALSE),"")</f>
        <v/>
      </c>
      <c r="G139" s="114"/>
      <c r="H139" s="363" t="str">
        <f>IFERROR(INDEX('G-7 WaterC'' Data'!$H$4:$L$8,MATCH(C139,'G-7 WaterC'' Data'!$B$4:$B$8,0),MATCH(G139,'G-7 WaterC'' Data'!$H$3:$L$3,0)),"")</f>
        <v/>
      </c>
      <c r="I139" s="54"/>
      <c r="J139" s="370" t="str">
        <f>IF(I139="","",IF(VLOOKUP(I139,'G-7 WaterC'' Data'!$AK$4:$AM$6,2,FALSE)=0,"Spatial Data Missing ⚠",VLOOKUP(I139,'G-7 WaterC'' Data'!$AK$4:$AM$6,2,FALSE)))</f>
        <v/>
      </c>
      <c r="K139" s="363" t="str">
        <f>IF(I139="","",IF(VLOOKUP(I139,'G-7 WaterC'' Data'!$AK$4:$AM$6,3,FALSE)=0,"Spatial Data Missing ⚠",VLOOKUP(I139,'G-7 WaterC'' Data'!$AK$4:$AM$6,3,FALSE)))</f>
        <v/>
      </c>
      <c r="L139" s="362" t="str">
        <f>IFERROR(INDEX('G-7 WaterC'' Data'!$O$3:$O$7,MATCH(G139,'G-7 WaterC'' Data'!$N$3:$N$7,0)),"")</f>
        <v/>
      </c>
      <c r="M139" s="63"/>
      <c r="N139" s="159"/>
      <c r="O139" s="370" t="str">
        <f t="shared" si="5"/>
        <v/>
      </c>
      <c r="P139" s="383" t="str">
        <f t="shared" si="6"/>
        <v/>
      </c>
      <c r="Q139" s="422" t="str">
        <f>IFERROR(IF(P139="Check Data ⚠","Check Data ⚠",VLOOKUP(P139,'G-4 Temporal multipliers'!$A$4:$C$37,3,FALSE)),"")</f>
        <v/>
      </c>
      <c r="R139" s="362" t="str">
        <f>IF(C139="","",VLOOKUP(C139,'G-7 WaterC'' Data'!$B$4:$G$8,4,FALSE))</f>
        <v/>
      </c>
      <c r="S139" s="370" t="str">
        <f t="shared" si="7"/>
        <v/>
      </c>
      <c r="T139" s="401" t="str">
        <f t="shared" si="8"/>
        <v/>
      </c>
      <c r="U139" s="363" t="str">
        <f>IF(C139="","",VLOOKUP(T139,'G-3 Multipliers'!$P$2:$Q$6,2,FALSE))</f>
        <v/>
      </c>
      <c r="V139" s="115"/>
      <c r="W139" s="363" t="str">
        <f>IF(V139="","",IF(VLOOKUP(V139,'G-7 WaterC'' Data'!$AA$4:$AB$7,2,FALSE)=0,"Spatial Data Missing ⚠",VLOOKUP(V139,'G-7 WaterC'' Data'!$AA$4:$AB$7,2,FALSE)))</f>
        <v/>
      </c>
      <c r="X139" s="60"/>
      <c r="Y139" s="363" t="str">
        <f>IF(X139="","",IF(VLOOKUP(X139,'G-7 WaterC'' Data'!$AD$4:$AE$14,2,FALSE)=0,"Enrcoachment Data Missing ⚠",VLOOKUP(X139,'G-7 WaterC'' Data'!$AD$4:$AE$14,2,FALSE)))</f>
        <v/>
      </c>
      <c r="Z139" s="423" t="str">
        <f t="shared" si="9"/>
        <v/>
      </c>
      <c r="AA139" s="117"/>
      <c r="AB139" s="118"/>
      <c r="AC139" s="120"/>
      <c r="AH139" s="30" t="str">
        <f>IFERROR(INDEX('G-7 WaterC'' Data'!$AZ$3:$AZ$7,MATCH(C139,'G-7 WaterC'' Data'!$AY$3:$AY$7,0)),"")</f>
        <v/>
      </c>
    </row>
    <row r="140" spans="2:34" ht="15">
      <c r="B140" s="110">
        <v>129</v>
      </c>
      <c r="C140" s="138"/>
      <c r="D140" s="139"/>
      <c r="E140" s="362" t="str">
        <f>IF(C140="","",VLOOKUP(C140,'G-7 WaterC'' Data'!$B$2:$G$8,2,FALSE))</f>
        <v/>
      </c>
      <c r="F140" s="363" t="str">
        <f>IFERROR(VLOOKUP(E140,'G-7 WaterC'' Data'!$C$4:$D$8,2,FALSE),"")</f>
        <v/>
      </c>
      <c r="G140" s="114"/>
      <c r="H140" s="363" t="str">
        <f>IFERROR(INDEX('G-7 WaterC'' Data'!$H$4:$L$8,MATCH(C140,'G-7 WaterC'' Data'!$B$4:$B$8,0),MATCH(G140,'G-7 WaterC'' Data'!$H$3:$L$3,0)),"")</f>
        <v/>
      </c>
      <c r="I140" s="54"/>
      <c r="J140" s="370" t="str">
        <f>IF(I140="","",IF(VLOOKUP(I140,'G-7 WaterC'' Data'!$AK$4:$AM$6,2,FALSE)=0,"Spatial Data Missing ⚠",VLOOKUP(I140,'G-7 WaterC'' Data'!$AK$4:$AM$6,2,FALSE)))</f>
        <v/>
      </c>
      <c r="K140" s="363" t="str">
        <f>IF(I140="","",IF(VLOOKUP(I140,'G-7 WaterC'' Data'!$AK$4:$AM$6,3,FALSE)=0,"Spatial Data Missing ⚠",VLOOKUP(I140,'G-7 WaterC'' Data'!$AK$4:$AM$6,3,FALSE)))</f>
        <v/>
      </c>
      <c r="L140" s="362" t="str">
        <f>IFERROR(INDEX('G-7 WaterC'' Data'!$O$3:$O$7,MATCH(G140,'G-7 WaterC'' Data'!$N$3:$N$7,0)),"")</f>
        <v/>
      </c>
      <c r="M140" s="63"/>
      <c r="N140" s="159"/>
      <c r="O140" s="370" t="str">
        <f t="shared" si="5"/>
        <v/>
      </c>
      <c r="P140" s="383" t="str">
        <f t="shared" si="6"/>
        <v/>
      </c>
      <c r="Q140" s="422" t="str">
        <f>IFERROR(IF(P140="Check Data ⚠","Check Data ⚠",VLOOKUP(P140,'G-4 Temporal multipliers'!$A$4:$C$37,3,FALSE)),"")</f>
        <v/>
      </c>
      <c r="R140" s="362" t="str">
        <f>IF(C140="","",VLOOKUP(C140,'G-7 WaterC'' Data'!$B$4:$G$8,4,FALSE))</f>
        <v/>
      </c>
      <c r="S140" s="370" t="str">
        <f t="shared" si="7"/>
        <v/>
      </c>
      <c r="T140" s="401" t="str">
        <f t="shared" si="8"/>
        <v/>
      </c>
      <c r="U140" s="363" t="str">
        <f>IF(C140="","",VLOOKUP(T140,'G-3 Multipliers'!$P$2:$Q$6,2,FALSE))</f>
        <v/>
      </c>
      <c r="V140" s="115"/>
      <c r="W140" s="363" t="str">
        <f>IF(V140="","",IF(VLOOKUP(V140,'G-7 WaterC'' Data'!$AA$4:$AB$7,2,FALSE)=0,"Spatial Data Missing ⚠",VLOOKUP(V140,'G-7 WaterC'' Data'!$AA$4:$AB$7,2,FALSE)))</f>
        <v/>
      </c>
      <c r="X140" s="60"/>
      <c r="Y140" s="363" t="str">
        <f>IF(X140="","",IF(VLOOKUP(X140,'G-7 WaterC'' Data'!$AD$4:$AE$14,2,FALSE)=0,"Enrcoachment Data Missing ⚠",VLOOKUP(X140,'G-7 WaterC'' Data'!$AD$4:$AE$14,2,FALSE)))</f>
        <v/>
      </c>
      <c r="Z140" s="423" t="str">
        <f t="shared" si="9"/>
        <v/>
      </c>
      <c r="AA140" s="117"/>
      <c r="AB140" s="118"/>
      <c r="AC140" s="120"/>
      <c r="AH140" s="30" t="str">
        <f>IFERROR(INDEX('G-7 WaterC'' Data'!$AZ$3:$AZ$7,MATCH(C140,'G-7 WaterC'' Data'!$AY$3:$AY$7,0)),"")</f>
        <v/>
      </c>
    </row>
    <row r="141" spans="2:34" ht="15">
      <c r="B141" s="110">
        <v>130</v>
      </c>
      <c r="C141" s="138"/>
      <c r="D141" s="139"/>
      <c r="E141" s="362" t="str">
        <f>IF(C141="","",VLOOKUP(C141,'G-7 WaterC'' Data'!$B$2:$G$8,2,FALSE))</f>
        <v/>
      </c>
      <c r="F141" s="363" t="str">
        <f>IFERROR(VLOOKUP(E141,'G-7 WaterC'' Data'!$C$4:$D$8,2,FALSE),"")</f>
        <v/>
      </c>
      <c r="G141" s="114"/>
      <c r="H141" s="363" t="str">
        <f>IFERROR(INDEX('G-7 WaterC'' Data'!$H$4:$L$8,MATCH(C141,'G-7 WaterC'' Data'!$B$4:$B$8,0),MATCH(G141,'G-7 WaterC'' Data'!$H$3:$L$3,0)),"")</f>
        <v/>
      </c>
      <c r="I141" s="54"/>
      <c r="J141" s="370" t="str">
        <f>IF(I141="","",IF(VLOOKUP(I141,'G-7 WaterC'' Data'!$AK$4:$AM$6,2,FALSE)=0,"Spatial Data Missing ⚠",VLOOKUP(I141,'G-7 WaterC'' Data'!$AK$4:$AM$6,2,FALSE)))</f>
        <v/>
      </c>
      <c r="K141" s="363" t="str">
        <f>IF(I141="","",IF(VLOOKUP(I141,'G-7 WaterC'' Data'!$AK$4:$AM$6,3,FALSE)=0,"Spatial Data Missing ⚠",VLOOKUP(I141,'G-7 WaterC'' Data'!$AK$4:$AM$6,3,FALSE)))</f>
        <v/>
      </c>
      <c r="L141" s="362" t="str">
        <f>IFERROR(INDEX('G-7 WaterC'' Data'!$O$3:$O$7,MATCH(G141,'G-7 WaterC'' Data'!$N$3:$N$7,0)),"")</f>
        <v/>
      </c>
      <c r="M141" s="63"/>
      <c r="N141" s="159"/>
      <c r="O141" s="370" t="str">
        <f t="shared" ref="O141:O204" si="10">IF(L141="","",IF(AND(M141&gt;0,N141&gt;0),"Error -both advance and delayed habitat creation ▲",IF(AND(OR(M141="Habitat already in target condition",L141&lt;=M141),N141=0),"Check details - Is there evidence that habitat has reached target condition? ⚠",IF(M141&gt;0,"Check details - Is there evidence habitat creation started/in place? ⚠",IF(N141&gt;0,"Check details- Delay in starting habitat in required condition? ⚠","Standard time to target condition applied")))))</f>
        <v/>
      </c>
      <c r="P141" s="383" t="str">
        <f t="shared" ref="P141:P204" si="11">IF(O141="Error -both advance and delayed habitat creation ▲","Check Data ⚠",IF(L141="","",IF(M141="30+",0,IF(N141="30+","30+",IF(L141+N141&gt;30,"30+ ⚠",IF(L141+N141-M141&gt;0,L141+N141-M141,IF(L141-M141&lt;0,0,L141+N141-M141)))))))</f>
        <v/>
      </c>
      <c r="Q141" s="422" t="str">
        <f>IFERROR(IF(P141="Check Data ⚠","Check Data ⚠",VLOOKUP(P141,'G-4 Temporal multipliers'!$A$4:$C$37,3,FALSE)),"")</f>
        <v/>
      </c>
      <c r="R141" s="362" t="str">
        <f>IF(C141="","",VLOOKUP(C141,'G-7 WaterC'' Data'!$B$4:$G$8,4,FALSE))</f>
        <v/>
      </c>
      <c r="S141" s="370" t="str">
        <f t="shared" ref="S141:S204" si="12">IF(C141="","",IF(P141="Check Data ⚠","Check Data ⚠",IF(G141="","",IF($O141="Check details - Is there evidence that habitat has reached target condition? ⚠","Low Difficulty - only applicable if all habitat created before losses ⚠","Standard difficulty applied"))))</f>
        <v/>
      </c>
      <c r="T141" s="401" t="str">
        <f t="shared" ref="T141:T204" si="13">(IF(AND(S141="Standard difficulty applied",L141&gt;M141),R141,IF(AND(S141="Low Difficulty - only applicable if all habitat created before losses ⚠",M141&gt;=L141),"Low",R141)))</f>
        <v/>
      </c>
      <c r="U141" s="363" t="str">
        <f>IF(C141="","",VLOOKUP(T141,'G-3 Multipliers'!$P$2:$Q$6,2,FALSE))</f>
        <v/>
      </c>
      <c r="V141" s="115"/>
      <c r="W141" s="363" t="str">
        <f>IF(V141="","",IF(VLOOKUP(V141,'G-7 WaterC'' Data'!$AA$4:$AB$7,2,FALSE)=0,"Spatial Data Missing ⚠",VLOOKUP(V141,'G-7 WaterC'' Data'!$AA$4:$AB$7,2,FALSE)))</f>
        <v/>
      </c>
      <c r="X141" s="60"/>
      <c r="Y141" s="363" t="str">
        <f>IF(X141="","",IF(VLOOKUP(X141,'G-7 WaterC'' Data'!$AD$4:$AE$14,2,FALSE)=0,"Enrcoachment Data Missing ⚠",VLOOKUP(X141,'G-7 WaterC'' Data'!$AD$4:$AE$14,2,FALSE)))</f>
        <v/>
      </c>
      <c r="Z141" s="423" t="str">
        <f t="shared" ref="Z141:Z204" si="14">IFERROR(IF(C141="","",D141*F141*H141*K141*Q141*U141*Y141*W141),"")</f>
        <v/>
      </c>
      <c r="AA141" s="117"/>
      <c r="AB141" s="118"/>
      <c r="AC141" s="120"/>
      <c r="AH141" s="30" t="str">
        <f>IFERROR(INDEX('G-7 WaterC'' Data'!$AZ$3:$AZ$7,MATCH(C141,'G-7 WaterC'' Data'!$AY$3:$AY$7,0)),"")</f>
        <v/>
      </c>
    </row>
    <row r="142" spans="2:34" ht="15">
      <c r="B142" s="110">
        <v>131</v>
      </c>
      <c r="C142" s="138"/>
      <c r="D142" s="139"/>
      <c r="E142" s="362" t="str">
        <f>IF(C142="","",VLOOKUP(C142,'G-7 WaterC'' Data'!$B$2:$G$8,2,FALSE))</f>
        <v/>
      </c>
      <c r="F142" s="363" t="str">
        <f>IFERROR(VLOOKUP(E142,'G-7 WaterC'' Data'!$C$4:$D$8,2,FALSE),"")</f>
        <v/>
      </c>
      <c r="G142" s="114"/>
      <c r="H142" s="363" t="str">
        <f>IFERROR(INDEX('G-7 WaterC'' Data'!$H$4:$L$8,MATCH(C142,'G-7 WaterC'' Data'!$B$4:$B$8,0),MATCH(G142,'G-7 WaterC'' Data'!$H$3:$L$3,0)),"")</f>
        <v/>
      </c>
      <c r="I142" s="54"/>
      <c r="J142" s="370" t="str">
        <f>IF(I142="","",IF(VLOOKUP(I142,'G-7 WaterC'' Data'!$AK$4:$AM$6,2,FALSE)=0,"Spatial Data Missing ⚠",VLOOKUP(I142,'G-7 WaterC'' Data'!$AK$4:$AM$6,2,FALSE)))</f>
        <v/>
      </c>
      <c r="K142" s="363" t="str">
        <f>IF(I142="","",IF(VLOOKUP(I142,'G-7 WaterC'' Data'!$AK$4:$AM$6,3,FALSE)=0,"Spatial Data Missing ⚠",VLOOKUP(I142,'G-7 WaterC'' Data'!$AK$4:$AM$6,3,FALSE)))</f>
        <v/>
      </c>
      <c r="L142" s="362" t="str">
        <f>IFERROR(INDEX('G-7 WaterC'' Data'!$O$3:$O$7,MATCH(G142,'G-7 WaterC'' Data'!$N$3:$N$7,0)),"")</f>
        <v/>
      </c>
      <c r="M142" s="63"/>
      <c r="N142" s="159"/>
      <c r="O142" s="370" t="str">
        <f t="shared" si="10"/>
        <v/>
      </c>
      <c r="P142" s="383" t="str">
        <f t="shared" si="11"/>
        <v/>
      </c>
      <c r="Q142" s="422" t="str">
        <f>IFERROR(IF(P142="Check Data ⚠","Check Data ⚠",VLOOKUP(P142,'G-4 Temporal multipliers'!$A$4:$C$37,3,FALSE)),"")</f>
        <v/>
      </c>
      <c r="R142" s="362" t="str">
        <f>IF(C142="","",VLOOKUP(C142,'G-7 WaterC'' Data'!$B$4:$G$8,4,FALSE))</f>
        <v/>
      </c>
      <c r="S142" s="370" t="str">
        <f t="shared" si="12"/>
        <v/>
      </c>
      <c r="T142" s="401" t="str">
        <f t="shared" si="13"/>
        <v/>
      </c>
      <c r="U142" s="363" t="str">
        <f>IF(C142="","",VLOOKUP(T142,'G-3 Multipliers'!$P$2:$Q$6,2,FALSE))</f>
        <v/>
      </c>
      <c r="V142" s="115"/>
      <c r="W142" s="363" t="str">
        <f>IF(V142="","",IF(VLOOKUP(V142,'G-7 WaterC'' Data'!$AA$4:$AB$7,2,FALSE)=0,"Spatial Data Missing ⚠",VLOOKUP(V142,'G-7 WaterC'' Data'!$AA$4:$AB$7,2,FALSE)))</f>
        <v/>
      </c>
      <c r="X142" s="60"/>
      <c r="Y142" s="363" t="str">
        <f>IF(X142="","",IF(VLOOKUP(X142,'G-7 WaterC'' Data'!$AD$4:$AE$14,2,FALSE)=0,"Enrcoachment Data Missing ⚠",VLOOKUP(X142,'G-7 WaterC'' Data'!$AD$4:$AE$14,2,FALSE)))</f>
        <v/>
      </c>
      <c r="Z142" s="423" t="str">
        <f t="shared" si="14"/>
        <v/>
      </c>
      <c r="AA142" s="117"/>
      <c r="AB142" s="118"/>
      <c r="AC142" s="120"/>
      <c r="AH142" s="30" t="str">
        <f>IFERROR(INDEX('G-7 WaterC'' Data'!$AZ$3:$AZ$7,MATCH(C142,'G-7 WaterC'' Data'!$AY$3:$AY$7,0)),"")</f>
        <v/>
      </c>
    </row>
    <row r="143" spans="2:34" ht="15">
      <c r="B143" s="110">
        <v>132</v>
      </c>
      <c r="C143" s="138"/>
      <c r="D143" s="139"/>
      <c r="E143" s="362" t="str">
        <f>IF(C143="","",VLOOKUP(C143,'G-7 WaterC'' Data'!$B$2:$G$8,2,FALSE))</f>
        <v/>
      </c>
      <c r="F143" s="363" t="str">
        <f>IFERROR(VLOOKUP(E143,'G-7 WaterC'' Data'!$C$4:$D$8,2,FALSE),"")</f>
        <v/>
      </c>
      <c r="G143" s="114"/>
      <c r="H143" s="363" t="str">
        <f>IFERROR(INDEX('G-7 WaterC'' Data'!$H$4:$L$8,MATCH(C143,'G-7 WaterC'' Data'!$B$4:$B$8,0),MATCH(G143,'G-7 WaterC'' Data'!$H$3:$L$3,0)),"")</f>
        <v/>
      </c>
      <c r="I143" s="54"/>
      <c r="J143" s="370" t="str">
        <f>IF(I143="","",IF(VLOOKUP(I143,'G-7 WaterC'' Data'!$AK$4:$AM$6,2,FALSE)=0,"Spatial Data Missing ⚠",VLOOKUP(I143,'G-7 WaterC'' Data'!$AK$4:$AM$6,2,FALSE)))</f>
        <v/>
      </c>
      <c r="K143" s="363" t="str">
        <f>IF(I143="","",IF(VLOOKUP(I143,'G-7 WaterC'' Data'!$AK$4:$AM$6,3,FALSE)=0,"Spatial Data Missing ⚠",VLOOKUP(I143,'G-7 WaterC'' Data'!$AK$4:$AM$6,3,FALSE)))</f>
        <v/>
      </c>
      <c r="L143" s="362" t="str">
        <f>IFERROR(INDEX('G-7 WaterC'' Data'!$O$3:$O$7,MATCH(G143,'G-7 WaterC'' Data'!$N$3:$N$7,0)),"")</f>
        <v/>
      </c>
      <c r="M143" s="63"/>
      <c r="N143" s="159"/>
      <c r="O143" s="370" t="str">
        <f t="shared" si="10"/>
        <v/>
      </c>
      <c r="P143" s="383" t="str">
        <f t="shared" si="11"/>
        <v/>
      </c>
      <c r="Q143" s="422" t="str">
        <f>IFERROR(IF(P143="Check Data ⚠","Check Data ⚠",VLOOKUP(P143,'G-4 Temporal multipliers'!$A$4:$C$37,3,FALSE)),"")</f>
        <v/>
      </c>
      <c r="R143" s="362" t="str">
        <f>IF(C143="","",VLOOKUP(C143,'G-7 WaterC'' Data'!$B$4:$G$8,4,FALSE))</f>
        <v/>
      </c>
      <c r="S143" s="370" t="str">
        <f t="shared" si="12"/>
        <v/>
      </c>
      <c r="T143" s="401" t="str">
        <f t="shared" si="13"/>
        <v/>
      </c>
      <c r="U143" s="363" t="str">
        <f>IF(C143="","",VLOOKUP(T143,'G-3 Multipliers'!$P$2:$Q$6,2,FALSE))</f>
        <v/>
      </c>
      <c r="V143" s="115"/>
      <c r="W143" s="363" t="str">
        <f>IF(V143="","",IF(VLOOKUP(V143,'G-7 WaterC'' Data'!$AA$4:$AB$7,2,FALSE)=0,"Spatial Data Missing ⚠",VLOOKUP(V143,'G-7 WaterC'' Data'!$AA$4:$AB$7,2,FALSE)))</f>
        <v/>
      </c>
      <c r="X143" s="60"/>
      <c r="Y143" s="363" t="str">
        <f>IF(X143="","",IF(VLOOKUP(X143,'G-7 WaterC'' Data'!$AD$4:$AE$14,2,FALSE)=0,"Enrcoachment Data Missing ⚠",VLOOKUP(X143,'G-7 WaterC'' Data'!$AD$4:$AE$14,2,FALSE)))</f>
        <v/>
      </c>
      <c r="Z143" s="423" t="str">
        <f t="shared" si="14"/>
        <v/>
      </c>
      <c r="AA143" s="117"/>
      <c r="AB143" s="118"/>
      <c r="AC143" s="120"/>
      <c r="AH143" s="30" t="str">
        <f>IFERROR(INDEX('G-7 WaterC'' Data'!$AZ$3:$AZ$7,MATCH(C143,'G-7 WaterC'' Data'!$AY$3:$AY$7,0)),"")</f>
        <v/>
      </c>
    </row>
    <row r="144" spans="2:34" ht="15">
      <c r="B144" s="110">
        <v>133</v>
      </c>
      <c r="C144" s="138"/>
      <c r="D144" s="139"/>
      <c r="E144" s="362" t="str">
        <f>IF(C144="","",VLOOKUP(C144,'G-7 WaterC'' Data'!$B$2:$G$8,2,FALSE))</f>
        <v/>
      </c>
      <c r="F144" s="363" t="str">
        <f>IFERROR(VLOOKUP(E144,'G-7 WaterC'' Data'!$C$4:$D$8,2,FALSE),"")</f>
        <v/>
      </c>
      <c r="G144" s="114"/>
      <c r="H144" s="363" t="str">
        <f>IFERROR(INDEX('G-7 WaterC'' Data'!$H$4:$L$8,MATCH(C144,'G-7 WaterC'' Data'!$B$4:$B$8,0),MATCH(G144,'G-7 WaterC'' Data'!$H$3:$L$3,0)),"")</f>
        <v/>
      </c>
      <c r="I144" s="54"/>
      <c r="J144" s="370" t="str">
        <f>IF(I144="","",IF(VLOOKUP(I144,'G-7 WaterC'' Data'!$AK$4:$AM$6,2,FALSE)=0,"Spatial Data Missing ⚠",VLOOKUP(I144,'G-7 WaterC'' Data'!$AK$4:$AM$6,2,FALSE)))</f>
        <v/>
      </c>
      <c r="K144" s="363" t="str">
        <f>IF(I144="","",IF(VLOOKUP(I144,'G-7 WaterC'' Data'!$AK$4:$AM$6,3,FALSE)=0,"Spatial Data Missing ⚠",VLOOKUP(I144,'G-7 WaterC'' Data'!$AK$4:$AM$6,3,FALSE)))</f>
        <v/>
      </c>
      <c r="L144" s="362" t="str">
        <f>IFERROR(INDEX('G-7 WaterC'' Data'!$O$3:$O$7,MATCH(G144,'G-7 WaterC'' Data'!$N$3:$N$7,0)),"")</f>
        <v/>
      </c>
      <c r="M144" s="63"/>
      <c r="N144" s="159"/>
      <c r="O144" s="370" t="str">
        <f t="shared" si="10"/>
        <v/>
      </c>
      <c r="P144" s="383" t="str">
        <f t="shared" si="11"/>
        <v/>
      </c>
      <c r="Q144" s="422" t="str">
        <f>IFERROR(IF(P144="Check Data ⚠","Check Data ⚠",VLOOKUP(P144,'G-4 Temporal multipliers'!$A$4:$C$37,3,FALSE)),"")</f>
        <v/>
      </c>
      <c r="R144" s="362" t="str">
        <f>IF(C144="","",VLOOKUP(C144,'G-7 WaterC'' Data'!$B$4:$G$8,4,FALSE))</f>
        <v/>
      </c>
      <c r="S144" s="370" t="str">
        <f t="shared" si="12"/>
        <v/>
      </c>
      <c r="T144" s="401" t="str">
        <f t="shared" si="13"/>
        <v/>
      </c>
      <c r="U144" s="363" t="str">
        <f>IF(C144="","",VLOOKUP(T144,'G-3 Multipliers'!$P$2:$Q$6,2,FALSE))</f>
        <v/>
      </c>
      <c r="V144" s="115"/>
      <c r="W144" s="363" t="str">
        <f>IF(V144="","",IF(VLOOKUP(V144,'G-7 WaterC'' Data'!$AA$4:$AB$7,2,FALSE)=0,"Spatial Data Missing ⚠",VLOOKUP(V144,'G-7 WaterC'' Data'!$AA$4:$AB$7,2,FALSE)))</f>
        <v/>
      </c>
      <c r="X144" s="60"/>
      <c r="Y144" s="363" t="str">
        <f>IF(X144="","",IF(VLOOKUP(X144,'G-7 WaterC'' Data'!$AD$4:$AE$14,2,FALSE)=0,"Enrcoachment Data Missing ⚠",VLOOKUP(X144,'G-7 WaterC'' Data'!$AD$4:$AE$14,2,FALSE)))</f>
        <v/>
      </c>
      <c r="Z144" s="423" t="str">
        <f t="shared" si="14"/>
        <v/>
      </c>
      <c r="AA144" s="117"/>
      <c r="AB144" s="118"/>
      <c r="AC144" s="120"/>
      <c r="AH144" s="30" t="str">
        <f>IFERROR(INDEX('G-7 WaterC'' Data'!$AZ$3:$AZ$7,MATCH(C144,'G-7 WaterC'' Data'!$AY$3:$AY$7,0)),"")</f>
        <v/>
      </c>
    </row>
    <row r="145" spans="2:34" ht="15">
      <c r="B145" s="110">
        <v>134</v>
      </c>
      <c r="C145" s="138"/>
      <c r="D145" s="139"/>
      <c r="E145" s="362" t="str">
        <f>IF(C145="","",VLOOKUP(C145,'G-7 WaterC'' Data'!$B$2:$G$8,2,FALSE))</f>
        <v/>
      </c>
      <c r="F145" s="363" t="str">
        <f>IFERROR(VLOOKUP(E145,'G-7 WaterC'' Data'!$C$4:$D$8,2,FALSE),"")</f>
        <v/>
      </c>
      <c r="G145" s="114"/>
      <c r="H145" s="363" t="str">
        <f>IFERROR(INDEX('G-7 WaterC'' Data'!$H$4:$L$8,MATCH(C145,'G-7 WaterC'' Data'!$B$4:$B$8,0),MATCH(G145,'G-7 WaterC'' Data'!$H$3:$L$3,0)),"")</f>
        <v/>
      </c>
      <c r="I145" s="54"/>
      <c r="J145" s="370" t="str">
        <f>IF(I145="","",IF(VLOOKUP(I145,'G-7 WaterC'' Data'!$AK$4:$AM$6,2,FALSE)=0,"Spatial Data Missing ⚠",VLOOKUP(I145,'G-7 WaterC'' Data'!$AK$4:$AM$6,2,FALSE)))</f>
        <v/>
      </c>
      <c r="K145" s="363" t="str">
        <f>IF(I145="","",IF(VLOOKUP(I145,'G-7 WaterC'' Data'!$AK$4:$AM$6,3,FALSE)=0,"Spatial Data Missing ⚠",VLOOKUP(I145,'G-7 WaterC'' Data'!$AK$4:$AM$6,3,FALSE)))</f>
        <v/>
      </c>
      <c r="L145" s="362" t="str">
        <f>IFERROR(INDEX('G-7 WaterC'' Data'!$O$3:$O$7,MATCH(G145,'G-7 WaterC'' Data'!$N$3:$N$7,0)),"")</f>
        <v/>
      </c>
      <c r="M145" s="63"/>
      <c r="N145" s="159"/>
      <c r="O145" s="370" t="str">
        <f t="shared" si="10"/>
        <v/>
      </c>
      <c r="P145" s="383" t="str">
        <f t="shared" si="11"/>
        <v/>
      </c>
      <c r="Q145" s="422" t="str">
        <f>IFERROR(IF(P145="Check Data ⚠","Check Data ⚠",VLOOKUP(P145,'G-4 Temporal multipliers'!$A$4:$C$37,3,FALSE)),"")</f>
        <v/>
      </c>
      <c r="R145" s="362" t="str">
        <f>IF(C145="","",VLOOKUP(C145,'G-7 WaterC'' Data'!$B$4:$G$8,4,FALSE))</f>
        <v/>
      </c>
      <c r="S145" s="370" t="str">
        <f t="shared" si="12"/>
        <v/>
      </c>
      <c r="T145" s="401" t="str">
        <f t="shared" si="13"/>
        <v/>
      </c>
      <c r="U145" s="363" t="str">
        <f>IF(C145="","",VLOOKUP(T145,'G-3 Multipliers'!$P$2:$Q$6,2,FALSE))</f>
        <v/>
      </c>
      <c r="V145" s="115"/>
      <c r="W145" s="363" t="str">
        <f>IF(V145="","",IF(VLOOKUP(V145,'G-7 WaterC'' Data'!$AA$4:$AB$7,2,FALSE)=0,"Spatial Data Missing ⚠",VLOOKUP(V145,'G-7 WaterC'' Data'!$AA$4:$AB$7,2,FALSE)))</f>
        <v/>
      </c>
      <c r="X145" s="60"/>
      <c r="Y145" s="363" t="str">
        <f>IF(X145="","",IF(VLOOKUP(X145,'G-7 WaterC'' Data'!$AD$4:$AE$14,2,FALSE)=0,"Enrcoachment Data Missing ⚠",VLOOKUP(X145,'G-7 WaterC'' Data'!$AD$4:$AE$14,2,FALSE)))</f>
        <v/>
      </c>
      <c r="Z145" s="423" t="str">
        <f t="shared" si="14"/>
        <v/>
      </c>
      <c r="AA145" s="117"/>
      <c r="AB145" s="118"/>
      <c r="AC145" s="120"/>
      <c r="AH145" s="30" t="str">
        <f>IFERROR(INDEX('G-7 WaterC'' Data'!$AZ$3:$AZ$7,MATCH(C145,'G-7 WaterC'' Data'!$AY$3:$AY$7,0)),"")</f>
        <v/>
      </c>
    </row>
    <row r="146" spans="2:34" ht="15">
      <c r="B146" s="110">
        <v>135</v>
      </c>
      <c r="C146" s="138"/>
      <c r="D146" s="139"/>
      <c r="E146" s="362" t="str">
        <f>IF(C146="","",VLOOKUP(C146,'G-7 WaterC'' Data'!$B$2:$G$8,2,FALSE))</f>
        <v/>
      </c>
      <c r="F146" s="363" t="str">
        <f>IFERROR(VLOOKUP(E146,'G-7 WaterC'' Data'!$C$4:$D$8,2,FALSE),"")</f>
        <v/>
      </c>
      <c r="G146" s="114"/>
      <c r="H146" s="363" t="str">
        <f>IFERROR(INDEX('G-7 WaterC'' Data'!$H$4:$L$8,MATCH(C146,'G-7 WaterC'' Data'!$B$4:$B$8,0),MATCH(G146,'G-7 WaterC'' Data'!$H$3:$L$3,0)),"")</f>
        <v/>
      </c>
      <c r="I146" s="54"/>
      <c r="J146" s="370" t="str">
        <f>IF(I146="","",IF(VLOOKUP(I146,'G-7 WaterC'' Data'!$AK$4:$AM$6,2,FALSE)=0,"Spatial Data Missing ⚠",VLOOKUP(I146,'G-7 WaterC'' Data'!$AK$4:$AM$6,2,FALSE)))</f>
        <v/>
      </c>
      <c r="K146" s="363" t="str">
        <f>IF(I146="","",IF(VLOOKUP(I146,'G-7 WaterC'' Data'!$AK$4:$AM$6,3,FALSE)=0,"Spatial Data Missing ⚠",VLOOKUP(I146,'G-7 WaterC'' Data'!$AK$4:$AM$6,3,FALSE)))</f>
        <v/>
      </c>
      <c r="L146" s="362" t="str">
        <f>IFERROR(INDEX('G-7 WaterC'' Data'!$O$3:$O$7,MATCH(G146,'G-7 WaterC'' Data'!$N$3:$N$7,0)),"")</f>
        <v/>
      </c>
      <c r="M146" s="63"/>
      <c r="N146" s="159"/>
      <c r="O146" s="370" t="str">
        <f t="shared" si="10"/>
        <v/>
      </c>
      <c r="P146" s="383" t="str">
        <f t="shared" si="11"/>
        <v/>
      </c>
      <c r="Q146" s="422" t="str">
        <f>IFERROR(IF(P146="Check Data ⚠","Check Data ⚠",VLOOKUP(P146,'G-4 Temporal multipliers'!$A$4:$C$37,3,FALSE)),"")</f>
        <v/>
      </c>
      <c r="R146" s="362" t="str">
        <f>IF(C146="","",VLOOKUP(C146,'G-7 WaterC'' Data'!$B$4:$G$8,4,FALSE))</f>
        <v/>
      </c>
      <c r="S146" s="370" t="str">
        <f t="shared" si="12"/>
        <v/>
      </c>
      <c r="T146" s="401" t="str">
        <f t="shared" si="13"/>
        <v/>
      </c>
      <c r="U146" s="363" t="str">
        <f>IF(C146="","",VLOOKUP(T146,'G-3 Multipliers'!$P$2:$Q$6,2,FALSE))</f>
        <v/>
      </c>
      <c r="V146" s="115"/>
      <c r="W146" s="363" t="str">
        <f>IF(V146="","",IF(VLOOKUP(V146,'G-7 WaterC'' Data'!$AA$4:$AB$7,2,FALSE)=0,"Spatial Data Missing ⚠",VLOOKUP(V146,'G-7 WaterC'' Data'!$AA$4:$AB$7,2,FALSE)))</f>
        <v/>
      </c>
      <c r="X146" s="60"/>
      <c r="Y146" s="363" t="str">
        <f>IF(X146="","",IF(VLOOKUP(X146,'G-7 WaterC'' Data'!$AD$4:$AE$14,2,FALSE)=0,"Enrcoachment Data Missing ⚠",VLOOKUP(X146,'G-7 WaterC'' Data'!$AD$4:$AE$14,2,FALSE)))</f>
        <v/>
      </c>
      <c r="Z146" s="423" t="str">
        <f t="shared" si="14"/>
        <v/>
      </c>
      <c r="AA146" s="117"/>
      <c r="AB146" s="118"/>
      <c r="AC146" s="120"/>
      <c r="AH146" s="30" t="str">
        <f>IFERROR(INDEX('G-7 WaterC'' Data'!$AZ$3:$AZ$7,MATCH(C146,'G-7 WaterC'' Data'!$AY$3:$AY$7,0)),"")</f>
        <v/>
      </c>
    </row>
    <row r="147" spans="2:34" ht="15">
      <c r="B147" s="110">
        <v>136</v>
      </c>
      <c r="C147" s="138"/>
      <c r="D147" s="139"/>
      <c r="E147" s="362" t="str">
        <f>IF(C147="","",VLOOKUP(C147,'G-7 WaterC'' Data'!$B$2:$G$8,2,FALSE))</f>
        <v/>
      </c>
      <c r="F147" s="363" t="str">
        <f>IFERROR(VLOOKUP(E147,'G-7 WaterC'' Data'!$C$4:$D$8,2,FALSE),"")</f>
        <v/>
      </c>
      <c r="G147" s="114"/>
      <c r="H147" s="363" t="str">
        <f>IFERROR(INDEX('G-7 WaterC'' Data'!$H$4:$L$8,MATCH(C147,'G-7 WaterC'' Data'!$B$4:$B$8,0),MATCH(G147,'G-7 WaterC'' Data'!$H$3:$L$3,0)),"")</f>
        <v/>
      </c>
      <c r="I147" s="54"/>
      <c r="J147" s="370" t="str">
        <f>IF(I147="","",IF(VLOOKUP(I147,'G-7 WaterC'' Data'!$AK$4:$AM$6,2,FALSE)=0,"Spatial Data Missing ⚠",VLOOKUP(I147,'G-7 WaterC'' Data'!$AK$4:$AM$6,2,FALSE)))</f>
        <v/>
      </c>
      <c r="K147" s="363" t="str">
        <f>IF(I147="","",IF(VLOOKUP(I147,'G-7 WaterC'' Data'!$AK$4:$AM$6,3,FALSE)=0,"Spatial Data Missing ⚠",VLOOKUP(I147,'G-7 WaterC'' Data'!$AK$4:$AM$6,3,FALSE)))</f>
        <v/>
      </c>
      <c r="L147" s="362" t="str">
        <f>IFERROR(INDEX('G-7 WaterC'' Data'!$O$3:$O$7,MATCH(G147,'G-7 WaterC'' Data'!$N$3:$N$7,0)),"")</f>
        <v/>
      </c>
      <c r="M147" s="63"/>
      <c r="N147" s="159"/>
      <c r="O147" s="370" t="str">
        <f t="shared" si="10"/>
        <v/>
      </c>
      <c r="P147" s="383" t="str">
        <f t="shared" si="11"/>
        <v/>
      </c>
      <c r="Q147" s="422" t="str">
        <f>IFERROR(IF(P147="Check Data ⚠","Check Data ⚠",VLOOKUP(P147,'G-4 Temporal multipliers'!$A$4:$C$37,3,FALSE)),"")</f>
        <v/>
      </c>
      <c r="R147" s="362" t="str">
        <f>IF(C147="","",VLOOKUP(C147,'G-7 WaterC'' Data'!$B$4:$G$8,4,FALSE))</f>
        <v/>
      </c>
      <c r="S147" s="370" t="str">
        <f t="shared" si="12"/>
        <v/>
      </c>
      <c r="T147" s="401" t="str">
        <f t="shared" si="13"/>
        <v/>
      </c>
      <c r="U147" s="363" t="str">
        <f>IF(C147="","",VLOOKUP(T147,'G-3 Multipliers'!$P$2:$Q$6,2,FALSE))</f>
        <v/>
      </c>
      <c r="V147" s="115"/>
      <c r="W147" s="363" t="str">
        <f>IF(V147="","",IF(VLOOKUP(V147,'G-7 WaterC'' Data'!$AA$4:$AB$7,2,FALSE)=0,"Spatial Data Missing ⚠",VLOOKUP(V147,'G-7 WaterC'' Data'!$AA$4:$AB$7,2,FALSE)))</f>
        <v/>
      </c>
      <c r="X147" s="60"/>
      <c r="Y147" s="363" t="str">
        <f>IF(X147="","",IF(VLOOKUP(X147,'G-7 WaterC'' Data'!$AD$4:$AE$14,2,FALSE)=0,"Enrcoachment Data Missing ⚠",VLOOKUP(X147,'G-7 WaterC'' Data'!$AD$4:$AE$14,2,FALSE)))</f>
        <v/>
      </c>
      <c r="Z147" s="423" t="str">
        <f t="shared" si="14"/>
        <v/>
      </c>
      <c r="AA147" s="117"/>
      <c r="AB147" s="118"/>
      <c r="AC147" s="120"/>
      <c r="AH147" s="30" t="str">
        <f>IFERROR(INDEX('G-7 WaterC'' Data'!$AZ$3:$AZ$7,MATCH(C147,'G-7 WaterC'' Data'!$AY$3:$AY$7,0)),"")</f>
        <v/>
      </c>
    </row>
    <row r="148" spans="2:34" ht="15">
      <c r="B148" s="110">
        <v>137</v>
      </c>
      <c r="C148" s="138"/>
      <c r="D148" s="139"/>
      <c r="E148" s="362" t="str">
        <f>IF(C148="","",VLOOKUP(C148,'G-7 WaterC'' Data'!$B$2:$G$8,2,FALSE))</f>
        <v/>
      </c>
      <c r="F148" s="363" t="str">
        <f>IFERROR(VLOOKUP(E148,'G-7 WaterC'' Data'!$C$4:$D$8,2,FALSE),"")</f>
        <v/>
      </c>
      <c r="G148" s="114"/>
      <c r="H148" s="363" t="str">
        <f>IFERROR(INDEX('G-7 WaterC'' Data'!$H$4:$L$8,MATCH(C148,'G-7 WaterC'' Data'!$B$4:$B$8,0),MATCH(G148,'G-7 WaterC'' Data'!$H$3:$L$3,0)),"")</f>
        <v/>
      </c>
      <c r="I148" s="54"/>
      <c r="J148" s="370" t="str">
        <f>IF(I148="","",IF(VLOOKUP(I148,'G-7 WaterC'' Data'!$AK$4:$AM$6,2,FALSE)=0,"Spatial Data Missing ⚠",VLOOKUP(I148,'G-7 WaterC'' Data'!$AK$4:$AM$6,2,FALSE)))</f>
        <v/>
      </c>
      <c r="K148" s="363" t="str">
        <f>IF(I148="","",IF(VLOOKUP(I148,'G-7 WaterC'' Data'!$AK$4:$AM$6,3,FALSE)=0,"Spatial Data Missing ⚠",VLOOKUP(I148,'G-7 WaterC'' Data'!$AK$4:$AM$6,3,FALSE)))</f>
        <v/>
      </c>
      <c r="L148" s="362" t="str">
        <f>IFERROR(INDEX('G-7 WaterC'' Data'!$O$3:$O$7,MATCH(G148,'G-7 WaterC'' Data'!$N$3:$N$7,0)),"")</f>
        <v/>
      </c>
      <c r="M148" s="63"/>
      <c r="N148" s="159"/>
      <c r="O148" s="370" t="str">
        <f t="shared" si="10"/>
        <v/>
      </c>
      <c r="P148" s="383" t="str">
        <f t="shared" si="11"/>
        <v/>
      </c>
      <c r="Q148" s="422" t="str">
        <f>IFERROR(IF(P148="Check Data ⚠","Check Data ⚠",VLOOKUP(P148,'G-4 Temporal multipliers'!$A$4:$C$37,3,FALSE)),"")</f>
        <v/>
      </c>
      <c r="R148" s="362" t="str">
        <f>IF(C148="","",VLOOKUP(C148,'G-7 WaterC'' Data'!$B$4:$G$8,4,FALSE))</f>
        <v/>
      </c>
      <c r="S148" s="370" t="str">
        <f t="shared" si="12"/>
        <v/>
      </c>
      <c r="T148" s="401" t="str">
        <f t="shared" si="13"/>
        <v/>
      </c>
      <c r="U148" s="363" t="str">
        <f>IF(C148="","",VLOOKUP(T148,'G-3 Multipliers'!$P$2:$Q$6,2,FALSE))</f>
        <v/>
      </c>
      <c r="V148" s="115"/>
      <c r="W148" s="363" t="str">
        <f>IF(V148="","",IF(VLOOKUP(V148,'G-7 WaterC'' Data'!$AA$4:$AB$7,2,FALSE)=0,"Spatial Data Missing ⚠",VLOOKUP(V148,'G-7 WaterC'' Data'!$AA$4:$AB$7,2,FALSE)))</f>
        <v/>
      </c>
      <c r="X148" s="60"/>
      <c r="Y148" s="363" t="str">
        <f>IF(X148="","",IF(VLOOKUP(X148,'G-7 WaterC'' Data'!$AD$4:$AE$14,2,FALSE)=0,"Enrcoachment Data Missing ⚠",VLOOKUP(X148,'G-7 WaterC'' Data'!$AD$4:$AE$14,2,FALSE)))</f>
        <v/>
      </c>
      <c r="Z148" s="423" t="str">
        <f t="shared" si="14"/>
        <v/>
      </c>
      <c r="AA148" s="117"/>
      <c r="AB148" s="118"/>
      <c r="AC148" s="120"/>
      <c r="AH148" s="30" t="str">
        <f>IFERROR(INDEX('G-7 WaterC'' Data'!$AZ$3:$AZ$7,MATCH(C148,'G-7 WaterC'' Data'!$AY$3:$AY$7,0)),"")</f>
        <v/>
      </c>
    </row>
    <row r="149" spans="2:34" ht="15">
      <c r="B149" s="110">
        <v>138</v>
      </c>
      <c r="C149" s="138"/>
      <c r="D149" s="139"/>
      <c r="E149" s="362" t="str">
        <f>IF(C149="","",VLOOKUP(C149,'G-7 WaterC'' Data'!$B$2:$G$8,2,FALSE))</f>
        <v/>
      </c>
      <c r="F149" s="363" t="str">
        <f>IFERROR(VLOOKUP(E149,'G-7 WaterC'' Data'!$C$4:$D$8,2,FALSE),"")</f>
        <v/>
      </c>
      <c r="G149" s="114"/>
      <c r="H149" s="363" t="str">
        <f>IFERROR(INDEX('G-7 WaterC'' Data'!$H$4:$L$8,MATCH(C149,'G-7 WaterC'' Data'!$B$4:$B$8,0),MATCH(G149,'G-7 WaterC'' Data'!$H$3:$L$3,0)),"")</f>
        <v/>
      </c>
      <c r="I149" s="54"/>
      <c r="J149" s="370" t="str">
        <f>IF(I149="","",IF(VLOOKUP(I149,'G-7 WaterC'' Data'!$AK$4:$AM$6,2,FALSE)=0,"Spatial Data Missing ⚠",VLOOKUP(I149,'G-7 WaterC'' Data'!$AK$4:$AM$6,2,FALSE)))</f>
        <v/>
      </c>
      <c r="K149" s="363" t="str">
        <f>IF(I149="","",IF(VLOOKUP(I149,'G-7 WaterC'' Data'!$AK$4:$AM$6,3,FALSE)=0,"Spatial Data Missing ⚠",VLOOKUP(I149,'G-7 WaterC'' Data'!$AK$4:$AM$6,3,FALSE)))</f>
        <v/>
      </c>
      <c r="L149" s="362" t="str">
        <f>IFERROR(INDEX('G-7 WaterC'' Data'!$O$3:$O$7,MATCH(G149,'G-7 WaterC'' Data'!$N$3:$N$7,0)),"")</f>
        <v/>
      </c>
      <c r="M149" s="63"/>
      <c r="N149" s="159"/>
      <c r="O149" s="370" t="str">
        <f t="shared" si="10"/>
        <v/>
      </c>
      <c r="P149" s="383" t="str">
        <f t="shared" si="11"/>
        <v/>
      </c>
      <c r="Q149" s="422" t="str">
        <f>IFERROR(IF(P149="Check Data ⚠","Check Data ⚠",VLOOKUP(P149,'G-4 Temporal multipliers'!$A$4:$C$37,3,FALSE)),"")</f>
        <v/>
      </c>
      <c r="R149" s="362" t="str">
        <f>IF(C149="","",VLOOKUP(C149,'G-7 WaterC'' Data'!$B$4:$G$8,4,FALSE))</f>
        <v/>
      </c>
      <c r="S149" s="370" t="str">
        <f t="shared" si="12"/>
        <v/>
      </c>
      <c r="T149" s="401" t="str">
        <f t="shared" si="13"/>
        <v/>
      </c>
      <c r="U149" s="363" t="str">
        <f>IF(C149="","",VLOOKUP(T149,'G-3 Multipliers'!$P$2:$Q$6,2,FALSE))</f>
        <v/>
      </c>
      <c r="V149" s="115"/>
      <c r="W149" s="363" t="str">
        <f>IF(V149="","",IF(VLOOKUP(V149,'G-7 WaterC'' Data'!$AA$4:$AB$7,2,FALSE)=0,"Spatial Data Missing ⚠",VLOOKUP(V149,'G-7 WaterC'' Data'!$AA$4:$AB$7,2,FALSE)))</f>
        <v/>
      </c>
      <c r="X149" s="60"/>
      <c r="Y149" s="363" t="str">
        <f>IF(X149="","",IF(VLOOKUP(X149,'G-7 WaterC'' Data'!$AD$4:$AE$14,2,FALSE)=0,"Enrcoachment Data Missing ⚠",VLOOKUP(X149,'G-7 WaterC'' Data'!$AD$4:$AE$14,2,FALSE)))</f>
        <v/>
      </c>
      <c r="Z149" s="423" t="str">
        <f t="shared" si="14"/>
        <v/>
      </c>
      <c r="AA149" s="117"/>
      <c r="AB149" s="118"/>
      <c r="AC149" s="120"/>
      <c r="AH149" s="30" t="str">
        <f>IFERROR(INDEX('G-7 WaterC'' Data'!$AZ$3:$AZ$7,MATCH(C149,'G-7 WaterC'' Data'!$AY$3:$AY$7,0)),"")</f>
        <v/>
      </c>
    </row>
    <row r="150" spans="2:34" ht="15">
      <c r="B150" s="110">
        <v>139</v>
      </c>
      <c r="C150" s="138"/>
      <c r="D150" s="139"/>
      <c r="E150" s="362" t="str">
        <f>IF(C150="","",VLOOKUP(C150,'G-7 WaterC'' Data'!$B$2:$G$8,2,FALSE))</f>
        <v/>
      </c>
      <c r="F150" s="363" t="str">
        <f>IFERROR(VLOOKUP(E150,'G-7 WaterC'' Data'!$C$4:$D$8,2,FALSE),"")</f>
        <v/>
      </c>
      <c r="G150" s="114"/>
      <c r="H150" s="363" t="str">
        <f>IFERROR(INDEX('G-7 WaterC'' Data'!$H$4:$L$8,MATCH(C150,'G-7 WaterC'' Data'!$B$4:$B$8,0),MATCH(G150,'G-7 WaterC'' Data'!$H$3:$L$3,0)),"")</f>
        <v/>
      </c>
      <c r="I150" s="54"/>
      <c r="J150" s="370" t="str">
        <f>IF(I150="","",IF(VLOOKUP(I150,'G-7 WaterC'' Data'!$AK$4:$AM$6,2,FALSE)=0,"Spatial Data Missing ⚠",VLOOKUP(I150,'G-7 WaterC'' Data'!$AK$4:$AM$6,2,FALSE)))</f>
        <v/>
      </c>
      <c r="K150" s="363" t="str">
        <f>IF(I150="","",IF(VLOOKUP(I150,'G-7 WaterC'' Data'!$AK$4:$AM$6,3,FALSE)=0,"Spatial Data Missing ⚠",VLOOKUP(I150,'G-7 WaterC'' Data'!$AK$4:$AM$6,3,FALSE)))</f>
        <v/>
      </c>
      <c r="L150" s="362" t="str">
        <f>IFERROR(INDEX('G-7 WaterC'' Data'!$O$3:$O$7,MATCH(G150,'G-7 WaterC'' Data'!$N$3:$N$7,0)),"")</f>
        <v/>
      </c>
      <c r="M150" s="63"/>
      <c r="N150" s="159"/>
      <c r="O150" s="370" t="str">
        <f t="shared" si="10"/>
        <v/>
      </c>
      <c r="P150" s="383" t="str">
        <f t="shared" si="11"/>
        <v/>
      </c>
      <c r="Q150" s="422" t="str">
        <f>IFERROR(IF(P150="Check Data ⚠","Check Data ⚠",VLOOKUP(P150,'G-4 Temporal multipliers'!$A$4:$C$37,3,FALSE)),"")</f>
        <v/>
      </c>
      <c r="R150" s="362" t="str">
        <f>IF(C150="","",VLOOKUP(C150,'G-7 WaterC'' Data'!$B$4:$G$8,4,FALSE))</f>
        <v/>
      </c>
      <c r="S150" s="370" t="str">
        <f t="shared" si="12"/>
        <v/>
      </c>
      <c r="T150" s="401" t="str">
        <f t="shared" si="13"/>
        <v/>
      </c>
      <c r="U150" s="363" t="str">
        <f>IF(C150="","",VLOOKUP(T150,'G-3 Multipliers'!$P$2:$Q$6,2,FALSE))</f>
        <v/>
      </c>
      <c r="V150" s="115"/>
      <c r="W150" s="363" t="str">
        <f>IF(V150="","",IF(VLOOKUP(V150,'G-7 WaterC'' Data'!$AA$4:$AB$7,2,FALSE)=0,"Spatial Data Missing ⚠",VLOOKUP(V150,'G-7 WaterC'' Data'!$AA$4:$AB$7,2,FALSE)))</f>
        <v/>
      </c>
      <c r="X150" s="60"/>
      <c r="Y150" s="363" t="str">
        <f>IF(X150="","",IF(VLOOKUP(X150,'G-7 WaterC'' Data'!$AD$4:$AE$14,2,FALSE)=0,"Enrcoachment Data Missing ⚠",VLOOKUP(X150,'G-7 WaterC'' Data'!$AD$4:$AE$14,2,FALSE)))</f>
        <v/>
      </c>
      <c r="Z150" s="423" t="str">
        <f t="shared" si="14"/>
        <v/>
      </c>
      <c r="AA150" s="117"/>
      <c r="AB150" s="118"/>
      <c r="AC150" s="120"/>
      <c r="AH150" s="30" t="str">
        <f>IFERROR(INDEX('G-7 WaterC'' Data'!$AZ$3:$AZ$7,MATCH(C150,'G-7 WaterC'' Data'!$AY$3:$AY$7,0)),"")</f>
        <v/>
      </c>
    </row>
    <row r="151" spans="2:34" ht="15">
      <c r="B151" s="110">
        <v>140</v>
      </c>
      <c r="C151" s="138"/>
      <c r="D151" s="139"/>
      <c r="E151" s="362" t="str">
        <f>IF(C151="","",VLOOKUP(C151,'G-7 WaterC'' Data'!$B$2:$G$8,2,FALSE))</f>
        <v/>
      </c>
      <c r="F151" s="363" t="str">
        <f>IFERROR(VLOOKUP(E151,'G-7 WaterC'' Data'!$C$4:$D$8,2,FALSE),"")</f>
        <v/>
      </c>
      <c r="G151" s="114"/>
      <c r="H151" s="363" t="str">
        <f>IFERROR(INDEX('G-7 WaterC'' Data'!$H$4:$L$8,MATCH(C151,'G-7 WaterC'' Data'!$B$4:$B$8,0),MATCH(G151,'G-7 WaterC'' Data'!$H$3:$L$3,0)),"")</f>
        <v/>
      </c>
      <c r="I151" s="54"/>
      <c r="J151" s="370" t="str">
        <f>IF(I151="","",IF(VLOOKUP(I151,'G-7 WaterC'' Data'!$AK$4:$AM$6,2,FALSE)=0,"Spatial Data Missing ⚠",VLOOKUP(I151,'G-7 WaterC'' Data'!$AK$4:$AM$6,2,FALSE)))</f>
        <v/>
      </c>
      <c r="K151" s="363" t="str">
        <f>IF(I151="","",IF(VLOOKUP(I151,'G-7 WaterC'' Data'!$AK$4:$AM$6,3,FALSE)=0,"Spatial Data Missing ⚠",VLOOKUP(I151,'G-7 WaterC'' Data'!$AK$4:$AM$6,3,FALSE)))</f>
        <v/>
      </c>
      <c r="L151" s="362" t="str">
        <f>IFERROR(INDEX('G-7 WaterC'' Data'!$O$3:$O$7,MATCH(G151,'G-7 WaterC'' Data'!$N$3:$N$7,0)),"")</f>
        <v/>
      </c>
      <c r="M151" s="63"/>
      <c r="N151" s="159"/>
      <c r="O151" s="370" t="str">
        <f t="shared" si="10"/>
        <v/>
      </c>
      <c r="P151" s="383" t="str">
        <f t="shared" si="11"/>
        <v/>
      </c>
      <c r="Q151" s="422" t="str">
        <f>IFERROR(IF(P151="Check Data ⚠","Check Data ⚠",VLOOKUP(P151,'G-4 Temporal multipliers'!$A$4:$C$37,3,FALSE)),"")</f>
        <v/>
      </c>
      <c r="R151" s="362" t="str">
        <f>IF(C151="","",VLOOKUP(C151,'G-7 WaterC'' Data'!$B$4:$G$8,4,FALSE))</f>
        <v/>
      </c>
      <c r="S151" s="370" t="str">
        <f t="shared" si="12"/>
        <v/>
      </c>
      <c r="T151" s="401" t="str">
        <f t="shared" si="13"/>
        <v/>
      </c>
      <c r="U151" s="363" t="str">
        <f>IF(C151="","",VLOOKUP(T151,'G-3 Multipliers'!$P$2:$Q$6,2,FALSE))</f>
        <v/>
      </c>
      <c r="V151" s="115"/>
      <c r="W151" s="363" t="str">
        <f>IF(V151="","",IF(VLOOKUP(V151,'G-7 WaterC'' Data'!$AA$4:$AB$7,2,FALSE)=0,"Spatial Data Missing ⚠",VLOOKUP(V151,'G-7 WaterC'' Data'!$AA$4:$AB$7,2,FALSE)))</f>
        <v/>
      </c>
      <c r="X151" s="60"/>
      <c r="Y151" s="363" t="str">
        <f>IF(X151="","",IF(VLOOKUP(X151,'G-7 WaterC'' Data'!$AD$4:$AE$14,2,FALSE)=0,"Enrcoachment Data Missing ⚠",VLOOKUP(X151,'G-7 WaterC'' Data'!$AD$4:$AE$14,2,FALSE)))</f>
        <v/>
      </c>
      <c r="Z151" s="423" t="str">
        <f t="shared" si="14"/>
        <v/>
      </c>
      <c r="AA151" s="117"/>
      <c r="AB151" s="118"/>
      <c r="AC151" s="120"/>
      <c r="AH151" s="30" t="str">
        <f>IFERROR(INDEX('G-7 WaterC'' Data'!$AZ$3:$AZ$7,MATCH(C151,'G-7 WaterC'' Data'!$AY$3:$AY$7,0)),"")</f>
        <v/>
      </c>
    </row>
    <row r="152" spans="2:34" ht="15">
      <c r="B152" s="110">
        <v>141</v>
      </c>
      <c r="C152" s="138"/>
      <c r="D152" s="139"/>
      <c r="E152" s="362" t="str">
        <f>IF(C152="","",VLOOKUP(C152,'G-7 WaterC'' Data'!$B$2:$G$8,2,FALSE))</f>
        <v/>
      </c>
      <c r="F152" s="363" t="str">
        <f>IFERROR(VLOOKUP(E152,'G-7 WaterC'' Data'!$C$4:$D$8,2,FALSE),"")</f>
        <v/>
      </c>
      <c r="G152" s="114"/>
      <c r="H152" s="363" t="str">
        <f>IFERROR(INDEX('G-7 WaterC'' Data'!$H$4:$L$8,MATCH(C152,'G-7 WaterC'' Data'!$B$4:$B$8,0),MATCH(G152,'G-7 WaterC'' Data'!$H$3:$L$3,0)),"")</f>
        <v/>
      </c>
      <c r="I152" s="54"/>
      <c r="J152" s="370" t="str">
        <f>IF(I152="","",IF(VLOOKUP(I152,'G-7 WaterC'' Data'!$AK$4:$AM$6,2,FALSE)=0,"Spatial Data Missing ⚠",VLOOKUP(I152,'G-7 WaterC'' Data'!$AK$4:$AM$6,2,FALSE)))</f>
        <v/>
      </c>
      <c r="K152" s="363" t="str">
        <f>IF(I152="","",IF(VLOOKUP(I152,'G-7 WaterC'' Data'!$AK$4:$AM$6,3,FALSE)=0,"Spatial Data Missing ⚠",VLOOKUP(I152,'G-7 WaterC'' Data'!$AK$4:$AM$6,3,FALSE)))</f>
        <v/>
      </c>
      <c r="L152" s="362" t="str">
        <f>IFERROR(INDEX('G-7 WaterC'' Data'!$O$3:$O$7,MATCH(G152,'G-7 WaterC'' Data'!$N$3:$N$7,0)),"")</f>
        <v/>
      </c>
      <c r="M152" s="63"/>
      <c r="N152" s="159"/>
      <c r="O152" s="370" t="str">
        <f t="shared" si="10"/>
        <v/>
      </c>
      <c r="P152" s="383" t="str">
        <f t="shared" si="11"/>
        <v/>
      </c>
      <c r="Q152" s="422" t="str">
        <f>IFERROR(IF(P152="Check Data ⚠","Check Data ⚠",VLOOKUP(P152,'G-4 Temporal multipliers'!$A$4:$C$37,3,FALSE)),"")</f>
        <v/>
      </c>
      <c r="R152" s="362" t="str">
        <f>IF(C152="","",VLOOKUP(C152,'G-7 WaterC'' Data'!$B$4:$G$8,4,FALSE))</f>
        <v/>
      </c>
      <c r="S152" s="370" t="str">
        <f t="shared" si="12"/>
        <v/>
      </c>
      <c r="T152" s="401" t="str">
        <f t="shared" si="13"/>
        <v/>
      </c>
      <c r="U152" s="363" t="str">
        <f>IF(C152="","",VLOOKUP(T152,'G-3 Multipliers'!$P$2:$Q$6,2,FALSE))</f>
        <v/>
      </c>
      <c r="V152" s="115"/>
      <c r="W152" s="363" t="str">
        <f>IF(V152="","",IF(VLOOKUP(V152,'G-7 WaterC'' Data'!$AA$4:$AB$7,2,FALSE)=0,"Spatial Data Missing ⚠",VLOOKUP(V152,'G-7 WaterC'' Data'!$AA$4:$AB$7,2,FALSE)))</f>
        <v/>
      </c>
      <c r="X152" s="60"/>
      <c r="Y152" s="363" t="str">
        <f>IF(X152="","",IF(VLOOKUP(X152,'G-7 WaterC'' Data'!$AD$4:$AE$14,2,FALSE)=0,"Enrcoachment Data Missing ⚠",VLOOKUP(X152,'G-7 WaterC'' Data'!$AD$4:$AE$14,2,FALSE)))</f>
        <v/>
      </c>
      <c r="Z152" s="423" t="str">
        <f t="shared" si="14"/>
        <v/>
      </c>
      <c r="AA152" s="117"/>
      <c r="AB152" s="118"/>
      <c r="AC152" s="120"/>
      <c r="AH152" s="30" t="str">
        <f>IFERROR(INDEX('G-7 WaterC'' Data'!$AZ$3:$AZ$7,MATCH(C152,'G-7 WaterC'' Data'!$AY$3:$AY$7,0)),"")</f>
        <v/>
      </c>
    </row>
    <row r="153" spans="2:34" ht="15">
      <c r="B153" s="110">
        <v>142</v>
      </c>
      <c r="C153" s="138"/>
      <c r="D153" s="139"/>
      <c r="E153" s="362" t="str">
        <f>IF(C153="","",VLOOKUP(C153,'G-7 WaterC'' Data'!$B$2:$G$8,2,FALSE))</f>
        <v/>
      </c>
      <c r="F153" s="363" t="str">
        <f>IFERROR(VLOOKUP(E153,'G-7 WaterC'' Data'!$C$4:$D$8,2,FALSE),"")</f>
        <v/>
      </c>
      <c r="G153" s="114"/>
      <c r="H153" s="363" t="str">
        <f>IFERROR(INDEX('G-7 WaterC'' Data'!$H$4:$L$8,MATCH(C153,'G-7 WaterC'' Data'!$B$4:$B$8,0),MATCH(G153,'G-7 WaterC'' Data'!$H$3:$L$3,0)),"")</f>
        <v/>
      </c>
      <c r="I153" s="54"/>
      <c r="J153" s="370" t="str">
        <f>IF(I153="","",IF(VLOOKUP(I153,'G-7 WaterC'' Data'!$AK$4:$AM$6,2,FALSE)=0,"Spatial Data Missing ⚠",VLOOKUP(I153,'G-7 WaterC'' Data'!$AK$4:$AM$6,2,FALSE)))</f>
        <v/>
      </c>
      <c r="K153" s="363" t="str">
        <f>IF(I153="","",IF(VLOOKUP(I153,'G-7 WaterC'' Data'!$AK$4:$AM$6,3,FALSE)=0,"Spatial Data Missing ⚠",VLOOKUP(I153,'G-7 WaterC'' Data'!$AK$4:$AM$6,3,FALSE)))</f>
        <v/>
      </c>
      <c r="L153" s="362" t="str">
        <f>IFERROR(INDEX('G-7 WaterC'' Data'!$O$3:$O$7,MATCH(G153,'G-7 WaterC'' Data'!$N$3:$N$7,0)),"")</f>
        <v/>
      </c>
      <c r="M153" s="63"/>
      <c r="N153" s="159"/>
      <c r="O153" s="370" t="str">
        <f t="shared" si="10"/>
        <v/>
      </c>
      <c r="P153" s="383" t="str">
        <f t="shared" si="11"/>
        <v/>
      </c>
      <c r="Q153" s="422" t="str">
        <f>IFERROR(IF(P153="Check Data ⚠","Check Data ⚠",VLOOKUP(P153,'G-4 Temporal multipliers'!$A$4:$C$37,3,FALSE)),"")</f>
        <v/>
      </c>
      <c r="R153" s="362" t="str">
        <f>IF(C153="","",VLOOKUP(C153,'G-7 WaterC'' Data'!$B$4:$G$8,4,FALSE))</f>
        <v/>
      </c>
      <c r="S153" s="370" t="str">
        <f t="shared" si="12"/>
        <v/>
      </c>
      <c r="T153" s="401" t="str">
        <f t="shared" si="13"/>
        <v/>
      </c>
      <c r="U153" s="363" t="str">
        <f>IF(C153="","",VLOOKUP(T153,'G-3 Multipliers'!$P$2:$Q$6,2,FALSE))</f>
        <v/>
      </c>
      <c r="V153" s="115"/>
      <c r="W153" s="363" t="str">
        <f>IF(V153="","",IF(VLOOKUP(V153,'G-7 WaterC'' Data'!$AA$4:$AB$7,2,FALSE)=0,"Spatial Data Missing ⚠",VLOOKUP(V153,'G-7 WaterC'' Data'!$AA$4:$AB$7,2,FALSE)))</f>
        <v/>
      </c>
      <c r="X153" s="60"/>
      <c r="Y153" s="363" t="str">
        <f>IF(X153="","",IF(VLOOKUP(X153,'G-7 WaterC'' Data'!$AD$4:$AE$14,2,FALSE)=0,"Enrcoachment Data Missing ⚠",VLOOKUP(X153,'G-7 WaterC'' Data'!$AD$4:$AE$14,2,FALSE)))</f>
        <v/>
      </c>
      <c r="Z153" s="423" t="str">
        <f t="shared" si="14"/>
        <v/>
      </c>
      <c r="AA153" s="117"/>
      <c r="AB153" s="118"/>
      <c r="AC153" s="120"/>
      <c r="AH153" s="30" t="str">
        <f>IFERROR(INDEX('G-7 WaterC'' Data'!$AZ$3:$AZ$7,MATCH(C153,'G-7 WaterC'' Data'!$AY$3:$AY$7,0)),"")</f>
        <v/>
      </c>
    </row>
    <row r="154" spans="2:34" ht="15">
      <c r="B154" s="110">
        <v>143</v>
      </c>
      <c r="C154" s="138"/>
      <c r="D154" s="139"/>
      <c r="E154" s="362" t="str">
        <f>IF(C154="","",VLOOKUP(C154,'G-7 WaterC'' Data'!$B$2:$G$8,2,FALSE))</f>
        <v/>
      </c>
      <c r="F154" s="363" t="str">
        <f>IFERROR(VLOOKUP(E154,'G-7 WaterC'' Data'!$C$4:$D$8,2,FALSE),"")</f>
        <v/>
      </c>
      <c r="G154" s="114"/>
      <c r="H154" s="363" t="str">
        <f>IFERROR(INDEX('G-7 WaterC'' Data'!$H$4:$L$8,MATCH(C154,'G-7 WaterC'' Data'!$B$4:$B$8,0),MATCH(G154,'G-7 WaterC'' Data'!$H$3:$L$3,0)),"")</f>
        <v/>
      </c>
      <c r="I154" s="54"/>
      <c r="J154" s="370" t="str">
        <f>IF(I154="","",IF(VLOOKUP(I154,'G-7 WaterC'' Data'!$AK$4:$AM$6,2,FALSE)=0,"Spatial Data Missing ⚠",VLOOKUP(I154,'G-7 WaterC'' Data'!$AK$4:$AM$6,2,FALSE)))</f>
        <v/>
      </c>
      <c r="K154" s="363" t="str">
        <f>IF(I154="","",IF(VLOOKUP(I154,'G-7 WaterC'' Data'!$AK$4:$AM$6,3,FALSE)=0,"Spatial Data Missing ⚠",VLOOKUP(I154,'G-7 WaterC'' Data'!$AK$4:$AM$6,3,FALSE)))</f>
        <v/>
      </c>
      <c r="L154" s="362" t="str">
        <f>IFERROR(INDEX('G-7 WaterC'' Data'!$O$3:$O$7,MATCH(G154,'G-7 WaterC'' Data'!$N$3:$N$7,0)),"")</f>
        <v/>
      </c>
      <c r="M154" s="63"/>
      <c r="N154" s="159"/>
      <c r="O154" s="370" t="str">
        <f t="shared" si="10"/>
        <v/>
      </c>
      <c r="P154" s="383" t="str">
        <f t="shared" si="11"/>
        <v/>
      </c>
      <c r="Q154" s="422" t="str">
        <f>IFERROR(IF(P154="Check Data ⚠","Check Data ⚠",VLOOKUP(P154,'G-4 Temporal multipliers'!$A$4:$C$37,3,FALSE)),"")</f>
        <v/>
      </c>
      <c r="R154" s="362" t="str">
        <f>IF(C154="","",VLOOKUP(C154,'G-7 WaterC'' Data'!$B$4:$G$8,4,FALSE))</f>
        <v/>
      </c>
      <c r="S154" s="370" t="str">
        <f t="shared" si="12"/>
        <v/>
      </c>
      <c r="T154" s="401" t="str">
        <f t="shared" si="13"/>
        <v/>
      </c>
      <c r="U154" s="363" t="str">
        <f>IF(C154="","",VLOOKUP(T154,'G-3 Multipliers'!$P$2:$Q$6,2,FALSE))</f>
        <v/>
      </c>
      <c r="V154" s="115"/>
      <c r="W154" s="363" t="str">
        <f>IF(V154="","",IF(VLOOKUP(V154,'G-7 WaterC'' Data'!$AA$4:$AB$7,2,FALSE)=0,"Spatial Data Missing ⚠",VLOOKUP(V154,'G-7 WaterC'' Data'!$AA$4:$AB$7,2,FALSE)))</f>
        <v/>
      </c>
      <c r="X154" s="60"/>
      <c r="Y154" s="363" t="str">
        <f>IF(X154="","",IF(VLOOKUP(X154,'G-7 WaterC'' Data'!$AD$4:$AE$14,2,FALSE)=0,"Enrcoachment Data Missing ⚠",VLOOKUP(X154,'G-7 WaterC'' Data'!$AD$4:$AE$14,2,FALSE)))</f>
        <v/>
      </c>
      <c r="Z154" s="423" t="str">
        <f t="shared" si="14"/>
        <v/>
      </c>
      <c r="AA154" s="117"/>
      <c r="AB154" s="118"/>
      <c r="AC154" s="120"/>
      <c r="AH154" s="30" t="str">
        <f>IFERROR(INDEX('G-7 WaterC'' Data'!$AZ$3:$AZ$7,MATCH(C154,'G-7 WaterC'' Data'!$AY$3:$AY$7,0)),"")</f>
        <v/>
      </c>
    </row>
    <row r="155" spans="2:34" ht="15">
      <c r="B155" s="110">
        <v>144</v>
      </c>
      <c r="C155" s="138"/>
      <c r="D155" s="139"/>
      <c r="E155" s="362" t="str">
        <f>IF(C155="","",VLOOKUP(C155,'G-7 WaterC'' Data'!$B$2:$G$8,2,FALSE))</f>
        <v/>
      </c>
      <c r="F155" s="363" t="str">
        <f>IFERROR(VLOOKUP(E155,'G-7 WaterC'' Data'!$C$4:$D$8,2,FALSE),"")</f>
        <v/>
      </c>
      <c r="G155" s="114"/>
      <c r="H155" s="363" t="str">
        <f>IFERROR(INDEX('G-7 WaterC'' Data'!$H$4:$L$8,MATCH(C155,'G-7 WaterC'' Data'!$B$4:$B$8,0),MATCH(G155,'G-7 WaterC'' Data'!$H$3:$L$3,0)),"")</f>
        <v/>
      </c>
      <c r="I155" s="54"/>
      <c r="J155" s="370" t="str">
        <f>IF(I155="","",IF(VLOOKUP(I155,'G-7 WaterC'' Data'!$AK$4:$AM$6,2,FALSE)=0,"Spatial Data Missing ⚠",VLOOKUP(I155,'G-7 WaterC'' Data'!$AK$4:$AM$6,2,FALSE)))</f>
        <v/>
      </c>
      <c r="K155" s="363" t="str">
        <f>IF(I155="","",IF(VLOOKUP(I155,'G-7 WaterC'' Data'!$AK$4:$AM$6,3,FALSE)=0,"Spatial Data Missing ⚠",VLOOKUP(I155,'G-7 WaterC'' Data'!$AK$4:$AM$6,3,FALSE)))</f>
        <v/>
      </c>
      <c r="L155" s="362" t="str">
        <f>IFERROR(INDEX('G-7 WaterC'' Data'!$O$3:$O$7,MATCH(G155,'G-7 WaterC'' Data'!$N$3:$N$7,0)),"")</f>
        <v/>
      </c>
      <c r="M155" s="63"/>
      <c r="N155" s="159"/>
      <c r="O155" s="370" t="str">
        <f t="shared" si="10"/>
        <v/>
      </c>
      <c r="P155" s="383" t="str">
        <f t="shared" si="11"/>
        <v/>
      </c>
      <c r="Q155" s="422" t="str">
        <f>IFERROR(IF(P155="Check Data ⚠","Check Data ⚠",VLOOKUP(P155,'G-4 Temporal multipliers'!$A$4:$C$37,3,FALSE)),"")</f>
        <v/>
      </c>
      <c r="R155" s="362" t="str">
        <f>IF(C155="","",VLOOKUP(C155,'G-7 WaterC'' Data'!$B$4:$G$8,4,FALSE))</f>
        <v/>
      </c>
      <c r="S155" s="370" t="str">
        <f t="shared" si="12"/>
        <v/>
      </c>
      <c r="T155" s="401" t="str">
        <f t="shared" si="13"/>
        <v/>
      </c>
      <c r="U155" s="363" t="str">
        <f>IF(C155="","",VLOOKUP(T155,'G-3 Multipliers'!$P$2:$Q$6,2,FALSE))</f>
        <v/>
      </c>
      <c r="V155" s="115"/>
      <c r="W155" s="363" t="str">
        <f>IF(V155="","",IF(VLOOKUP(V155,'G-7 WaterC'' Data'!$AA$4:$AB$7,2,FALSE)=0,"Spatial Data Missing ⚠",VLOOKUP(V155,'G-7 WaterC'' Data'!$AA$4:$AB$7,2,FALSE)))</f>
        <v/>
      </c>
      <c r="X155" s="60"/>
      <c r="Y155" s="363" t="str">
        <f>IF(X155="","",IF(VLOOKUP(X155,'G-7 WaterC'' Data'!$AD$4:$AE$14,2,FALSE)=0,"Enrcoachment Data Missing ⚠",VLOOKUP(X155,'G-7 WaterC'' Data'!$AD$4:$AE$14,2,FALSE)))</f>
        <v/>
      </c>
      <c r="Z155" s="423" t="str">
        <f t="shared" si="14"/>
        <v/>
      </c>
      <c r="AA155" s="117"/>
      <c r="AB155" s="118"/>
      <c r="AC155" s="120"/>
      <c r="AH155" s="30" t="str">
        <f>IFERROR(INDEX('G-7 WaterC'' Data'!$AZ$3:$AZ$7,MATCH(C155,'G-7 WaterC'' Data'!$AY$3:$AY$7,0)),"")</f>
        <v/>
      </c>
    </row>
    <row r="156" spans="2:34" ht="15">
      <c r="B156" s="110">
        <v>145</v>
      </c>
      <c r="C156" s="138"/>
      <c r="D156" s="139"/>
      <c r="E156" s="362" t="str">
        <f>IF(C156="","",VLOOKUP(C156,'G-7 WaterC'' Data'!$B$2:$G$8,2,FALSE))</f>
        <v/>
      </c>
      <c r="F156" s="363" t="str">
        <f>IFERROR(VLOOKUP(E156,'G-7 WaterC'' Data'!$C$4:$D$8,2,FALSE),"")</f>
        <v/>
      </c>
      <c r="G156" s="114"/>
      <c r="H156" s="363" t="str">
        <f>IFERROR(INDEX('G-7 WaterC'' Data'!$H$4:$L$8,MATCH(C156,'G-7 WaterC'' Data'!$B$4:$B$8,0),MATCH(G156,'G-7 WaterC'' Data'!$H$3:$L$3,0)),"")</f>
        <v/>
      </c>
      <c r="I156" s="54"/>
      <c r="J156" s="370" t="str">
        <f>IF(I156="","",IF(VLOOKUP(I156,'G-7 WaterC'' Data'!$AK$4:$AM$6,2,FALSE)=0,"Spatial Data Missing ⚠",VLOOKUP(I156,'G-7 WaterC'' Data'!$AK$4:$AM$6,2,FALSE)))</f>
        <v/>
      </c>
      <c r="K156" s="363" t="str">
        <f>IF(I156="","",IF(VLOOKUP(I156,'G-7 WaterC'' Data'!$AK$4:$AM$6,3,FALSE)=0,"Spatial Data Missing ⚠",VLOOKUP(I156,'G-7 WaterC'' Data'!$AK$4:$AM$6,3,FALSE)))</f>
        <v/>
      </c>
      <c r="L156" s="362" t="str">
        <f>IFERROR(INDEX('G-7 WaterC'' Data'!$O$3:$O$7,MATCH(G156,'G-7 WaterC'' Data'!$N$3:$N$7,0)),"")</f>
        <v/>
      </c>
      <c r="M156" s="63"/>
      <c r="N156" s="159"/>
      <c r="O156" s="370" t="str">
        <f t="shared" si="10"/>
        <v/>
      </c>
      <c r="P156" s="383" t="str">
        <f t="shared" si="11"/>
        <v/>
      </c>
      <c r="Q156" s="422" t="str">
        <f>IFERROR(IF(P156="Check Data ⚠","Check Data ⚠",VLOOKUP(P156,'G-4 Temporal multipliers'!$A$4:$C$37,3,FALSE)),"")</f>
        <v/>
      </c>
      <c r="R156" s="362" t="str">
        <f>IF(C156="","",VLOOKUP(C156,'G-7 WaterC'' Data'!$B$4:$G$8,4,FALSE))</f>
        <v/>
      </c>
      <c r="S156" s="370" t="str">
        <f t="shared" si="12"/>
        <v/>
      </c>
      <c r="T156" s="401" t="str">
        <f t="shared" si="13"/>
        <v/>
      </c>
      <c r="U156" s="363" t="str">
        <f>IF(C156="","",VLOOKUP(T156,'G-3 Multipliers'!$P$2:$Q$6,2,FALSE))</f>
        <v/>
      </c>
      <c r="V156" s="115"/>
      <c r="W156" s="363" t="str">
        <f>IF(V156="","",IF(VLOOKUP(V156,'G-7 WaterC'' Data'!$AA$4:$AB$7,2,FALSE)=0,"Spatial Data Missing ⚠",VLOOKUP(V156,'G-7 WaterC'' Data'!$AA$4:$AB$7,2,FALSE)))</f>
        <v/>
      </c>
      <c r="X156" s="60"/>
      <c r="Y156" s="363" t="str">
        <f>IF(X156="","",IF(VLOOKUP(X156,'G-7 WaterC'' Data'!$AD$4:$AE$14,2,FALSE)=0,"Enrcoachment Data Missing ⚠",VLOOKUP(X156,'G-7 WaterC'' Data'!$AD$4:$AE$14,2,FALSE)))</f>
        <v/>
      </c>
      <c r="Z156" s="423" t="str">
        <f t="shared" si="14"/>
        <v/>
      </c>
      <c r="AA156" s="117"/>
      <c r="AB156" s="118"/>
      <c r="AC156" s="120"/>
      <c r="AH156" s="30" t="str">
        <f>IFERROR(INDEX('G-7 WaterC'' Data'!$AZ$3:$AZ$7,MATCH(C156,'G-7 WaterC'' Data'!$AY$3:$AY$7,0)),"")</f>
        <v/>
      </c>
    </row>
    <row r="157" spans="2:34" ht="15">
      <c r="B157" s="110">
        <v>146</v>
      </c>
      <c r="C157" s="138"/>
      <c r="D157" s="139"/>
      <c r="E157" s="362" t="str">
        <f>IF(C157="","",VLOOKUP(C157,'G-7 WaterC'' Data'!$B$2:$G$8,2,FALSE))</f>
        <v/>
      </c>
      <c r="F157" s="363" t="str">
        <f>IFERROR(VLOOKUP(E157,'G-7 WaterC'' Data'!$C$4:$D$8,2,FALSE),"")</f>
        <v/>
      </c>
      <c r="G157" s="114"/>
      <c r="H157" s="363" t="str">
        <f>IFERROR(INDEX('G-7 WaterC'' Data'!$H$4:$L$8,MATCH(C157,'G-7 WaterC'' Data'!$B$4:$B$8,0),MATCH(G157,'G-7 WaterC'' Data'!$H$3:$L$3,0)),"")</f>
        <v/>
      </c>
      <c r="I157" s="54"/>
      <c r="J157" s="370" t="str">
        <f>IF(I157="","",IF(VLOOKUP(I157,'G-7 WaterC'' Data'!$AK$4:$AM$6,2,FALSE)=0,"Spatial Data Missing ⚠",VLOOKUP(I157,'G-7 WaterC'' Data'!$AK$4:$AM$6,2,FALSE)))</f>
        <v/>
      </c>
      <c r="K157" s="363" t="str">
        <f>IF(I157="","",IF(VLOOKUP(I157,'G-7 WaterC'' Data'!$AK$4:$AM$6,3,FALSE)=0,"Spatial Data Missing ⚠",VLOOKUP(I157,'G-7 WaterC'' Data'!$AK$4:$AM$6,3,FALSE)))</f>
        <v/>
      </c>
      <c r="L157" s="362" t="str">
        <f>IFERROR(INDEX('G-7 WaterC'' Data'!$O$3:$O$7,MATCH(G157,'G-7 WaterC'' Data'!$N$3:$N$7,0)),"")</f>
        <v/>
      </c>
      <c r="M157" s="63"/>
      <c r="N157" s="159"/>
      <c r="O157" s="370" t="str">
        <f t="shared" si="10"/>
        <v/>
      </c>
      <c r="P157" s="383" t="str">
        <f t="shared" si="11"/>
        <v/>
      </c>
      <c r="Q157" s="422" t="str">
        <f>IFERROR(IF(P157="Check Data ⚠","Check Data ⚠",VLOOKUP(P157,'G-4 Temporal multipliers'!$A$4:$C$37,3,FALSE)),"")</f>
        <v/>
      </c>
      <c r="R157" s="362" t="str">
        <f>IF(C157="","",VLOOKUP(C157,'G-7 WaterC'' Data'!$B$4:$G$8,4,FALSE))</f>
        <v/>
      </c>
      <c r="S157" s="370" t="str">
        <f t="shared" si="12"/>
        <v/>
      </c>
      <c r="T157" s="401" t="str">
        <f t="shared" si="13"/>
        <v/>
      </c>
      <c r="U157" s="363" t="str">
        <f>IF(C157="","",VLOOKUP(T157,'G-3 Multipliers'!$P$2:$Q$6,2,FALSE))</f>
        <v/>
      </c>
      <c r="V157" s="115"/>
      <c r="W157" s="363" t="str">
        <f>IF(V157="","",IF(VLOOKUP(V157,'G-7 WaterC'' Data'!$AA$4:$AB$7,2,FALSE)=0,"Spatial Data Missing ⚠",VLOOKUP(V157,'G-7 WaterC'' Data'!$AA$4:$AB$7,2,FALSE)))</f>
        <v/>
      </c>
      <c r="X157" s="60"/>
      <c r="Y157" s="363" t="str">
        <f>IF(X157="","",IF(VLOOKUP(X157,'G-7 WaterC'' Data'!$AD$4:$AE$14,2,FALSE)=0,"Enrcoachment Data Missing ⚠",VLOOKUP(X157,'G-7 WaterC'' Data'!$AD$4:$AE$14,2,FALSE)))</f>
        <v/>
      </c>
      <c r="Z157" s="423" t="str">
        <f t="shared" si="14"/>
        <v/>
      </c>
      <c r="AA157" s="117"/>
      <c r="AB157" s="118"/>
      <c r="AC157" s="120"/>
      <c r="AH157" s="30" t="str">
        <f>IFERROR(INDEX('G-7 WaterC'' Data'!$AZ$3:$AZ$7,MATCH(C157,'G-7 WaterC'' Data'!$AY$3:$AY$7,0)),"")</f>
        <v/>
      </c>
    </row>
    <row r="158" spans="2:34" ht="15">
      <c r="B158" s="110">
        <v>147</v>
      </c>
      <c r="C158" s="138"/>
      <c r="D158" s="139"/>
      <c r="E158" s="362" t="str">
        <f>IF(C158="","",VLOOKUP(C158,'G-7 WaterC'' Data'!$B$2:$G$8,2,FALSE))</f>
        <v/>
      </c>
      <c r="F158" s="363" t="str">
        <f>IFERROR(VLOOKUP(E158,'G-7 WaterC'' Data'!$C$4:$D$8,2,FALSE),"")</f>
        <v/>
      </c>
      <c r="G158" s="114"/>
      <c r="H158" s="363" t="str">
        <f>IFERROR(INDEX('G-7 WaterC'' Data'!$H$4:$L$8,MATCH(C158,'G-7 WaterC'' Data'!$B$4:$B$8,0),MATCH(G158,'G-7 WaterC'' Data'!$H$3:$L$3,0)),"")</f>
        <v/>
      </c>
      <c r="I158" s="54"/>
      <c r="J158" s="370" t="str">
        <f>IF(I158="","",IF(VLOOKUP(I158,'G-7 WaterC'' Data'!$AK$4:$AM$6,2,FALSE)=0,"Spatial Data Missing ⚠",VLOOKUP(I158,'G-7 WaterC'' Data'!$AK$4:$AM$6,2,FALSE)))</f>
        <v/>
      </c>
      <c r="K158" s="363" t="str">
        <f>IF(I158="","",IF(VLOOKUP(I158,'G-7 WaterC'' Data'!$AK$4:$AM$6,3,FALSE)=0,"Spatial Data Missing ⚠",VLOOKUP(I158,'G-7 WaterC'' Data'!$AK$4:$AM$6,3,FALSE)))</f>
        <v/>
      </c>
      <c r="L158" s="362" t="str">
        <f>IFERROR(INDEX('G-7 WaterC'' Data'!$O$3:$O$7,MATCH(G158,'G-7 WaterC'' Data'!$N$3:$N$7,0)),"")</f>
        <v/>
      </c>
      <c r="M158" s="63"/>
      <c r="N158" s="159"/>
      <c r="O158" s="370" t="str">
        <f t="shared" si="10"/>
        <v/>
      </c>
      <c r="P158" s="383" t="str">
        <f t="shared" si="11"/>
        <v/>
      </c>
      <c r="Q158" s="422" t="str">
        <f>IFERROR(IF(P158="Check Data ⚠","Check Data ⚠",VLOOKUP(P158,'G-4 Temporal multipliers'!$A$4:$C$37,3,FALSE)),"")</f>
        <v/>
      </c>
      <c r="R158" s="362" t="str">
        <f>IF(C158="","",VLOOKUP(C158,'G-7 WaterC'' Data'!$B$4:$G$8,4,FALSE))</f>
        <v/>
      </c>
      <c r="S158" s="370" t="str">
        <f t="shared" si="12"/>
        <v/>
      </c>
      <c r="T158" s="401" t="str">
        <f t="shared" si="13"/>
        <v/>
      </c>
      <c r="U158" s="363" t="str">
        <f>IF(C158="","",VLOOKUP(T158,'G-3 Multipliers'!$P$2:$Q$6,2,FALSE))</f>
        <v/>
      </c>
      <c r="V158" s="115"/>
      <c r="W158" s="363" t="str">
        <f>IF(V158="","",IF(VLOOKUP(V158,'G-7 WaterC'' Data'!$AA$4:$AB$7,2,FALSE)=0,"Spatial Data Missing ⚠",VLOOKUP(V158,'G-7 WaterC'' Data'!$AA$4:$AB$7,2,FALSE)))</f>
        <v/>
      </c>
      <c r="X158" s="60"/>
      <c r="Y158" s="363" t="str">
        <f>IF(X158="","",IF(VLOOKUP(X158,'G-7 WaterC'' Data'!$AD$4:$AE$14,2,FALSE)=0,"Enrcoachment Data Missing ⚠",VLOOKUP(X158,'G-7 WaterC'' Data'!$AD$4:$AE$14,2,FALSE)))</f>
        <v/>
      </c>
      <c r="Z158" s="423" t="str">
        <f t="shared" si="14"/>
        <v/>
      </c>
      <c r="AA158" s="117"/>
      <c r="AB158" s="118"/>
      <c r="AC158" s="120"/>
      <c r="AH158" s="30" t="str">
        <f>IFERROR(INDEX('G-7 WaterC'' Data'!$AZ$3:$AZ$7,MATCH(C158,'G-7 WaterC'' Data'!$AY$3:$AY$7,0)),"")</f>
        <v/>
      </c>
    </row>
    <row r="159" spans="2:34" ht="15">
      <c r="B159" s="110">
        <v>148</v>
      </c>
      <c r="C159" s="138"/>
      <c r="D159" s="139"/>
      <c r="E159" s="362" t="str">
        <f>IF(C159="","",VLOOKUP(C159,'G-7 WaterC'' Data'!$B$2:$G$8,2,FALSE))</f>
        <v/>
      </c>
      <c r="F159" s="363" t="str">
        <f>IFERROR(VLOOKUP(E159,'G-7 WaterC'' Data'!$C$4:$D$8,2,FALSE),"")</f>
        <v/>
      </c>
      <c r="G159" s="114"/>
      <c r="H159" s="363" t="str">
        <f>IFERROR(INDEX('G-7 WaterC'' Data'!$H$4:$L$8,MATCH(C159,'G-7 WaterC'' Data'!$B$4:$B$8,0),MATCH(G159,'G-7 WaterC'' Data'!$H$3:$L$3,0)),"")</f>
        <v/>
      </c>
      <c r="I159" s="54"/>
      <c r="J159" s="370" t="str">
        <f>IF(I159="","",IF(VLOOKUP(I159,'G-7 WaterC'' Data'!$AK$4:$AM$6,2,FALSE)=0,"Spatial Data Missing ⚠",VLOOKUP(I159,'G-7 WaterC'' Data'!$AK$4:$AM$6,2,FALSE)))</f>
        <v/>
      </c>
      <c r="K159" s="363" t="str">
        <f>IF(I159="","",IF(VLOOKUP(I159,'G-7 WaterC'' Data'!$AK$4:$AM$6,3,FALSE)=0,"Spatial Data Missing ⚠",VLOOKUP(I159,'G-7 WaterC'' Data'!$AK$4:$AM$6,3,FALSE)))</f>
        <v/>
      </c>
      <c r="L159" s="362" t="str">
        <f>IFERROR(INDEX('G-7 WaterC'' Data'!$O$3:$O$7,MATCH(G159,'G-7 WaterC'' Data'!$N$3:$N$7,0)),"")</f>
        <v/>
      </c>
      <c r="M159" s="63"/>
      <c r="N159" s="159"/>
      <c r="O159" s="370" t="str">
        <f t="shared" si="10"/>
        <v/>
      </c>
      <c r="P159" s="383" t="str">
        <f t="shared" si="11"/>
        <v/>
      </c>
      <c r="Q159" s="422" t="str">
        <f>IFERROR(IF(P159="Check Data ⚠","Check Data ⚠",VLOOKUP(P159,'G-4 Temporal multipliers'!$A$4:$C$37,3,FALSE)),"")</f>
        <v/>
      </c>
      <c r="R159" s="362" t="str">
        <f>IF(C159="","",VLOOKUP(C159,'G-7 WaterC'' Data'!$B$4:$G$8,4,FALSE))</f>
        <v/>
      </c>
      <c r="S159" s="370" t="str">
        <f t="shared" si="12"/>
        <v/>
      </c>
      <c r="T159" s="401" t="str">
        <f t="shared" si="13"/>
        <v/>
      </c>
      <c r="U159" s="363" t="str">
        <f>IF(C159="","",VLOOKUP(T159,'G-3 Multipliers'!$P$2:$Q$6,2,FALSE))</f>
        <v/>
      </c>
      <c r="V159" s="115"/>
      <c r="W159" s="363" t="str">
        <f>IF(V159="","",IF(VLOOKUP(V159,'G-7 WaterC'' Data'!$AA$4:$AB$7,2,FALSE)=0,"Spatial Data Missing ⚠",VLOOKUP(V159,'G-7 WaterC'' Data'!$AA$4:$AB$7,2,FALSE)))</f>
        <v/>
      </c>
      <c r="X159" s="60"/>
      <c r="Y159" s="363" t="str">
        <f>IF(X159="","",IF(VLOOKUP(X159,'G-7 WaterC'' Data'!$AD$4:$AE$14,2,FALSE)=0,"Enrcoachment Data Missing ⚠",VLOOKUP(X159,'G-7 WaterC'' Data'!$AD$4:$AE$14,2,FALSE)))</f>
        <v/>
      </c>
      <c r="Z159" s="423" t="str">
        <f t="shared" si="14"/>
        <v/>
      </c>
      <c r="AA159" s="117"/>
      <c r="AB159" s="118"/>
      <c r="AC159" s="120"/>
      <c r="AH159" s="30" t="str">
        <f>IFERROR(INDEX('G-7 WaterC'' Data'!$AZ$3:$AZ$7,MATCH(C159,'G-7 WaterC'' Data'!$AY$3:$AY$7,0)),"")</f>
        <v/>
      </c>
    </row>
    <row r="160" spans="2:34" ht="15">
      <c r="B160" s="110">
        <v>149</v>
      </c>
      <c r="C160" s="138"/>
      <c r="D160" s="139"/>
      <c r="E160" s="362" t="str">
        <f>IF(C160="","",VLOOKUP(C160,'G-7 WaterC'' Data'!$B$2:$G$8,2,FALSE))</f>
        <v/>
      </c>
      <c r="F160" s="363" t="str">
        <f>IFERROR(VLOOKUP(E160,'G-7 WaterC'' Data'!$C$4:$D$8,2,FALSE),"")</f>
        <v/>
      </c>
      <c r="G160" s="114"/>
      <c r="H160" s="363" t="str">
        <f>IFERROR(INDEX('G-7 WaterC'' Data'!$H$4:$L$8,MATCH(C160,'G-7 WaterC'' Data'!$B$4:$B$8,0),MATCH(G160,'G-7 WaterC'' Data'!$H$3:$L$3,0)),"")</f>
        <v/>
      </c>
      <c r="I160" s="54"/>
      <c r="J160" s="370" t="str">
        <f>IF(I160="","",IF(VLOOKUP(I160,'G-7 WaterC'' Data'!$AK$4:$AM$6,2,FALSE)=0,"Spatial Data Missing ⚠",VLOOKUP(I160,'G-7 WaterC'' Data'!$AK$4:$AM$6,2,FALSE)))</f>
        <v/>
      </c>
      <c r="K160" s="363" t="str">
        <f>IF(I160="","",IF(VLOOKUP(I160,'G-7 WaterC'' Data'!$AK$4:$AM$6,3,FALSE)=0,"Spatial Data Missing ⚠",VLOOKUP(I160,'G-7 WaterC'' Data'!$AK$4:$AM$6,3,FALSE)))</f>
        <v/>
      </c>
      <c r="L160" s="362" t="str">
        <f>IFERROR(INDEX('G-7 WaterC'' Data'!$O$3:$O$7,MATCH(G160,'G-7 WaterC'' Data'!$N$3:$N$7,0)),"")</f>
        <v/>
      </c>
      <c r="M160" s="63"/>
      <c r="N160" s="159"/>
      <c r="O160" s="370" t="str">
        <f t="shared" si="10"/>
        <v/>
      </c>
      <c r="P160" s="383" t="str">
        <f t="shared" si="11"/>
        <v/>
      </c>
      <c r="Q160" s="422" t="str">
        <f>IFERROR(IF(P160="Check Data ⚠","Check Data ⚠",VLOOKUP(P160,'G-4 Temporal multipliers'!$A$4:$C$37,3,FALSE)),"")</f>
        <v/>
      </c>
      <c r="R160" s="362" t="str">
        <f>IF(C160="","",VLOOKUP(C160,'G-7 WaterC'' Data'!$B$4:$G$8,4,FALSE))</f>
        <v/>
      </c>
      <c r="S160" s="370" t="str">
        <f t="shared" si="12"/>
        <v/>
      </c>
      <c r="T160" s="401" t="str">
        <f t="shared" si="13"/>
        <v/>
      </c>
      <c r="U160" s="363" t="str">
        <f>IF(C160="","",VLOOKUP(T160,'G-3 Multipliers'!$P$2:$Q$6,2,FALSE))</f>
        <v/>
      </c>
      <c r="V160" s="115"/>
      <c r="W160" s="363" t="str">
        <f>IF(V160="","",IF(VLOOKUP(V160,'G-7 WaterC'' Data'!$AA$4:$AB$7,2,FALSE)=0,"Spatial Data Missing ⚠",VLOOKUP(V160,'G-7 WaterC'' Data'!$AA$4:$AB$7,2,FALSE)))</f>
        <v/>
      </c>
      <c r="X160" s="60"/>
      <c r="Y160" s="363" t="str">
        <f>IF(X160="","",IF(VLOOKUP(X160,'G-7 WaterC'' Data'!$AD$4:$AE$14,2,FALSE)=0,"Enrcoachment Data Missing ⚠",VLOOKUP(X160,'G-7 WaterC'' Data'!$AD$4:$AE$14,2,FALSE)))</f>
        <v/>
      </c>
      <c r="Z160" s="423" t="str">
        <f t="shared" si="14"/>
        <v/>
      </c>
      <c r="AA160" s="117"/>
      <c r="AB160" s="118"/>
      <c r="AC160" s="120"/>
      <c r="AH160" s="30" t="str">
        <f>IFERROR(INDEX('G-7 WaterC'' Data'!$AZ$3:$AZ$7,MATCH(C160,'G-7 WaterC'' Data'!$AY$3:$AY$7,0)),"")</f>
        <v/>
      </c>
    </row>
    <row r="161" spans="2:34" ht="15">
      <c r="B161" s="110">
        <v>150</v>
      </c>
      <c r="C161" s="138"/>
      <c r="D161" s="139"/>
      <c r="E161" s="362" t="str">
        <f>IF(C161="","",VLOOKUP(C161,'G-7 WaterC'' Data'!$B$2:$G$8,2,FALSE))</f>
        <v/>
      </c>
      <c r="F161" s="363" t="str">
        <f>IFERROR(VLOOKUP(E161,'G-7 WaterC'' Data'!$C$4:$D$8,2,FALSE),"")</f>
        <v/>
      </c>
      <c r="G161" s="114"/>
      <c r="H161" s="363" t="str">
        <f>IFERROR(INDEX('G-7 WaterC'' Data'!$H$4:$L$8,MATCH(C161,'G-7 WaterC'' Data'!$B$4:$B$8,0),MATCH(G161,'G-7 WaterC'' Data'!$H$3:$L$3,0)),"")</f>
        <v/>
      </c>
      <c r="I161" s="54"/>
      <c r="J161" s="370" t="str">
        <f>IF(I161="","",IF(VLOOKUP(I161,'G-7 WaterC'' Data'!$AK$4:$AM$6,2,FALSE)=0,"Spatial Data Missing ⚠",VLOOKUP(I161,'G-7 WaterC'' Data'!$AK$4:$AM$6,2,FALSE)))</f>
        <v/>
      </c>
      <c r="K161" s="363" t="str">
        <f>IF(I161="","",IF(VLOOKUP(I161,'G-7 WaterC'' Data'!$AK$4:$AM$6,3,FALSE)=0,"Spatial Data Missing ⚠",VLOOKUP(I161,'G-7 WaterC'' Data'!$AK$4:$AM$6,3,FALSE)))</f>
        <v/>
      </c>
      <c r="L161" s="362" t="str">
        <f>IFERROR(INDEX('G-7 WaterC'' Data'!$O$3:$O$7,MATCH(G161,'G-7 WaterC'' Data'!$N$3:$N$7,0)),"")</f>
        <v/>
      </c>
      <c r="M161" s="63"/>
      <c r="N161" s="159"/>
      <c r="O161" s="370" t="str">
        <f t="shared" si="10"/>
        <v/>
      </c>
      <c r="P161" s="383" t="str">
        <f t="shared" si="11"/>
        <v/>
      </c>
      <c r="Q161" s="422" t="str">
        <f>IFERROR(IF(P161="Check Data ⚠","Check Data ⚠",VLOOKUP(P161,'G-4 Temporal multipliers'!$A$4:$C$37,3,FALSE)),"")</f>
        <v/>
      </c>
      <c r="R161" s="362" t="str">
        <f>IF(C161="","",VLOOKUP(C161,'G-7 WaterC'' Data'!$B$4:$G$8,4,FALSE))</f>
        <v/>
      </c>
      <c r="S161" s="370" t="str">
        <f t="shared" si="12"/>
        <v/>
      </c>
      <c r="T161" s="401" t="str">
        <f t="shared" si="13"/>
        <v/>
      </c>
      <c r="U161" s="363" t="str">
        <f>IF(C161="","",VLOOKUP(T161,'G-3 Multipliers'!$P$2:$Q$6,2,FALSE))</f>
        <v/>
      </c>
      <c r="V161" s="115"/>
      <c r="W161" s="363" t="str">
        <f>IF(V161="","",IF(VLOOKUP(V161,'G-7 WaterC'' Data'!$AA$4:$AB$7,2,FALSE)=0,"Spatial Data Missing ⚠",VLOOKUP(V161,'G-7 WaterC'' Data'!$AA$4:$AB$7,2,FALSE)))</f>
        <v/>
      </c>
      <c r="X161" s="60"/>
      <c r="Y161" s="363" t="str">
        <f>IF(X161="","",IF(VLOOKUP(X161,'G-7 WaterC'' Data'!$AD$4:$AE$14,2,FALSE)=0,"Enrcoachment Data Missing ⚠",VLOOKUP(X161,'G-7 WaterC'' Data'!$AD$4:$AE$14,2,FALSE)))</f>
        <v/>
      </c>
      <c r="Z161" s="423" t="str">
        <f t="shared" si="14"/>
        <v/>
      </c>
      <c r="AA161" s="117"/>
      <c r="AB161" s="118"/>
      <c r="AC161" s="120"/>
      <c r="AH161" s="30" t="str">
        <f>IFERROR(INDEX('G-7 WaterC'' Data'!$AZ$3:$AZ$7,MATCH(C161,'G-7 WaterC'' Data'!$AY$3:$AY$7,0)),"")</f>
        <v/>
      </c>
    </row>
    <row r="162" spans="2:34" ht="15">
      <c r="B162" s="110">
        <v>151</v>
      </c>
      <c r="C162" s="138"/>
      <c r="D162" s="139"/>
      <c r="E162" s="362" t="str">
        <f>IF(C162="","",VLOOKUP(C162,'G-7 WaterC'' Data'!$B$2:$G$8,2,FALSE))</f>
        <v/>
      </c>
      <c r="F162" s="363" t="str">
        <f>IFERROR(VLOOKUP(E162,'G-7 WaterC'' Data'!$C$4:$D$8,2,FALSE),"")</f>
        <v/>
      </c>
      <c r="G162" s="114"/>
      <c r="H162" s="363" t="str">
        <f>IFERROR(INDEX('G-7 WaterC'' Data'!$H$4:$L$8,MATCH(C162,'G-7 WaterC'' Data'!$B$4:$B$8,0),MATCH(G162,'G-7 WaterC'' Data'!$H$3:$L$3,0)),"")</f>
        <v/>
      </c>
      <c r="I162" s="54"/>
      <c r="J162" s="370" t="str">
        <f>IF(I162="","",IF(VLOOKUP(I162,'G-7 WaterC'' Data'!$AK$4:$AM$6,2,FALSE)=0,"Spatial Data Missing ⚠",VLOOKUP(I162,'G-7 WaterC'' Data'!$AK$4:$AM$6,2,FALSE)))</f>
        <v/>
      </c>
      <c r="K162" s="363" t="str">
        <f>IF(I162="","",IF(VLOOKUP(I162,'G-7 WaterC'' Data'!$AK$4:$AM$6,3,FALSE)=0,"Spatial Data Missing ⚠",VLOOKUP(I162,'G-7 WaterC'' Data'!$AK$4:$AM$6,3,FALSE)))</f>
        <v/>
      </c>
      <c r="L162" s="362" t="str">
        <f>IFERROR(INDEX('G-7 WaterC'' Data'!$O$3:$O$7,MATCH(G162,'G-7 WaterC'' Data'!$N$3:$N$7,0)),"")</f>
        <v/>
      </c>
      <c r="M162" s="63"/>
      <c r="N162" s="159"/>
      <c r="O162" s="370" t="str">
        <f t="shared" si="10"/>
        <v/>
      </c>
      <c r="P162" s="383" t="str">
        <f t="shared" si="11"/>
        <v/>
      </c>
      <c r="Q162" s="422" t="str">
        <f>IFERROR(IF(P162="Check Data ⚠","Check Data ⚠",VLOOKUP(P162,'G-4 Temporal multipliers'!$A$4:$C$37,3,FALSE)),"")</f>
        <v/>
      </c>
      <c r="R162" s="362" t="str">
        <f>IF(C162="","",VLOOKUP(C162,'G-7 WaterC'' Data'!$B$4:$G$8,4,FALSE))</f>
        <v/>
      </c>
      <c r="S162" s="370" t="str">
        <f t="shared" si="12"/>
        <v/>
      </c>
      <c r="T162" s="401" t="str">
        <f t="shared" si="13"/>
        <v/>
      </c>
      <c r="U162" s="363" t="str">
        <f>IF(C162="","",VLOOKUP(T162,'G-3 Multipliers'!$P$2:$Q$6,2,FALSE))</f>
        <v/>
      </c>
      <c r="V162" s="115"/>
      <c r="W162" s="363" t="str">
        <f>IF(V162="","",IF(VLOOKUP(V162,'G-7 WaterC'' Data'!$AA$4:$AB$7,2,FALSE)=0,"Spatial Data Missing ⚠",VLOOKUP(V162,'G-7 WaterC'' Data'!$AA$4:$AB$7,2,FALSE)))</f>
        <v/>
      </c>
      <c r="X162" s="60"/>
      <c r="Y162" s="363" t="str">
        <f>IF(X162="","",IF(VLOOKUP(X162,'G-7 WaterC'' Data'!$AD$4:$AE$14,2,FALSE)=0,"Enrcoachment Data Missing ⚠",VLOOKUP(X162,'G-7 WaterC'' Data'!$AD$4:$AE$14,2,FALSE)))</f>
        <v/>
      </c>
      <c r="Z162" s="423" t="str">
        <f t="shared" si="14"/>
        <v/>
      </c>
      <c r="AA162" s="117"/>
      <c r="AB162" s="118"/>
      <c r="AC162" s="120"/>
      <c r="AH162" s="30" t="str">
        <f>IFERROR(INDEX('G-7 WaterC'' Data'!$AZ$3:$AZ$7,MATCH(C162,'G-7 WaterC'' Data'!$AY$3:$AY$7,0)),"")</f>
        <v/>
      </c>
    </row>
    <row r="163" spans="2:34" ht="15">
      <c r="B163" s="110">
        <v>152</v>
      </c>
      <c r="C163" s="138"/>
      <c r="D163" s="139"/>
      <c r="E163" s="362" t="str">
        <f>IF(C163="","",VLOOKUP(C163,'G-7 WaterC'' Data'!$B$2:$G$8,2,FALSE))</f>
        <v/>
      </c>
      <c r="F163" s="363" t="str">
        <f>IFERROR(VLOOKUP(E163,'G-7 WaterC'' Data'!$C$4:$D$8,2,FALSE),"")</f>
        <v/>
      </c>
      <c r="G163" s="114"/>
      <c r="H163" s="363" t="str">
        <f>IFERROR(INDEX('G-7 WaterC'' Data'!$H$4:$L$8,MATCH(C163,'G-7 WaterC'' Data'!$B$4:$B$8,0),MATCH(G163,'G-7 WaterC'' Data'!$H$3:$L$3,0)),"")</f>
        <v/>
      </c>
      <c r="I163" s="54"/>
      <c r="J163" s="370" t="str">
        <f>IF(I163="","",IF(VLOOKUP(I163,'G-7 WaterC'' Data'!$AK$4:$AM$6,2,FALSE)=0,"Spatial Data Missing ⚠",VLOOKUP(I163,'G-7 WaterC'' Data'!$AK$4:$AM$6,2,FALSE)))</f>
        <v/>
      </c>
      <c r="K163" s="363" t="str">
        <f>IF(I163="","",IF(VLOOKUP(I163,'G-7 WaterC'' Data'!$AK$4:$AM$6,3,FALSE)=0,"Spatial Data Missing ⚠",VLOOKUP(I163,'G-7 WaterC'' Data'!$AK$4:$AM$6,3,FALSE)))</f>
        <v/>
      </c>
      <c r="L163" s="362" t="str">
        <f>IFERROR(INDEX('G-7 WaterC'' Data'!$O$3:$O$7,MATCH(G163,'G-7 WaterC'' Data'!$N$3:$N$7,0)),"")</f>
        <v/>
      </c>
      <c r="M163" s="63"/>
      <c r="N163" s="159"/>
      <c r="O163" s="370" t="str">
        <f t="shared" si="10"/>
        <v/>
      </c>
      <c r="P163" s="383" t="str">
        <f t="shared" si="11"/>
        <v/>
      </c>
      <c r="Q163" s="422" t="str">
        <f>IFERROR(IF(P163="Check Data ⚠","Check Data ⚠",VLOOKUP(P163,'G-4 Temporal multipliers'!$A$4:$C$37,3,FALSE)),"")</f>
        <v/>
      </c>
      <c r="R163" s="362" t="str">
        <f>IF(C163="","",VLOOKUP(C163,'G-7 WaterC'' Data'!$B$4:$G$8,4,FALSE))</f>
        <v/>
      </c>
      <c r="S163" s="370" t="str">
        <f t="shared" si="12"/>
        <v/>
      </c>
      <c r="T163" s="401" t="str">
        <f t="shared" si="13"/>
        <v/>
      </c>
      <c r="U163" s="363" t="str">
        <f>IF(C163="","",VLOOKUP(T163,'G-3 Multipliers'!$P$2:$Q$6,2,FALSE))</f>
        <v/>
      </c>
      <c r="V163" s="115"/>
      <c r="W163" s="363" t="str">
        <f>IF(V163="","",IF(VLOOKUP(V163,'G-7 WaterC'' Data'!$AA$4:$AB$7,2,FALSE)=0,"Spatial Data Missing ⚠",VLOOKUP(V163,'G-7 WaterC'' Data'!$AA$4:$AB$7,2,FALSE)))</f>
        <v/>
      </c>
      <c r="X163" s="60"/>
      <c r="Y163" s="363" t="str">
        <f>IF(X163="","",IF(VLOOKUP(X163,'G-7 WaterC'' Data'!$AD$4:$AE$14,2,FALSE)=0,"Enrcoachment Data Missing ⚠",VLOOKUP(X163,'G-7 WaterC'' Data'!$AD$4:$AE$14,2,FALSE)))</f>
        <v/>
      </c>
      <c r="Z163" s="423" t="str">
        <f t="shared" si="14"/>
        <v/>
      </c>
      <c r="AA163" s="117"/>
      <c r="AB163" s="118"/>
      <c r="AC163" s="120"/>
      <c r="AH163" s="30" t="str">
        <f>IFERROR(INDEX('G-7 WaterC'' Data'!$AZ$3:$AZ$7,MATCH(C163,'G-7 WaterC'' Data'!$AY$3:$AY$7,0)),"")</f>
        <v/>
      </c>
    </row>
    <row r="164" spans="2:34" ht="15">
      <c r="B164" s="110">
        <v>153</v>
      </c>
      <c r="C164" s="138"/>
      <c r="D164" s="139"/>
      <c r="E164" s="362" t="str">
        <f>IF(C164="","",VLOOKUP(C164,'G-7 WaterC'' Data'!$B$2:$G$8,2,FALSE))</f>
        <v/>
      </c>
      <c r="F164" s="363" t="str">
        <f>IFERROR(VLOOKUP(E164,'G-7 WaterC'' Data'!$C$4:$D$8,2,FALSE),"")</f>
        <v/>
      </c>
      <c r="G164" s="114"/>
      <c r="H164" s="363" t="str">
        <f>IFERROR(INDEX('G-7 WaterC'' Data'!$H$4:$L$8,MATCH(C164,'G-7 WaterC'' Data'!$B$4:$B$8,0),MATCH(G164,'G-7 WaterC'' Data'!$H$3:$L$3,0)),"")</f>
        <v/>
      </c>
      <c r="I164" s="54"/>
      <c r="J164" s="370" t="str">
        <f>IF(I164="","",IF(VLOOKUP(I164,'G-7 WaterC'' Data'!$AK$4:$AM$6,2,FALSE)=0,"Spatial Data Missing ⚠",VLOOKUP(I164,'G-7 WaterC'' Data'!$AK$4:$AM$6,2,FALSE)))</f>
        <v/>
      </c>
      <c r="K164" s="363" t="str">
        <f>IF(I164="","",IF(VLOOKUP(I164,'G-7 WaterC'' Data'!$AK$4:$AM$6,3,FALSE)=0,"Spatial Data Missing ⚠",VLOOKUP(I164,'G-7 WaterC'' Data'!$AK$4:$AM$6,3,FALSE)))</f>
        <v/>
      </c>
      <c r="L164" s="362" t="str">
        <f>IFERROR(INDEX('G-7 WaterC'' Data'!$O$3:$O$7,MATCH(G164,'G-7 WaterC'' Data'!$N$3:$N$7,0)),"")</f>
        <v/>
      </c>
      <c r="M164" s="63"/>
      <c r="N164" s="159"/>
      <c r="O164" s="370" t="str">
        <f t="shared" si="10"/>
        <v/>
      </c>
      <c r="P164" s="383" t="str">
        <f t="shared" si="11"/>
        <v/>
      </c>
      <c r="Q164" s="422" t="str">
        <f>IFERROR(IF(P164="Check Data ⚠","Check Data ⚠",VLOOKUP(P164,'G-4 Temporal multipliers'!$A$4:$C$37,3,FALSE)),"")</f>
        <v/>
      </c>
      <c r="R164" s="362" t="str">
        <f>IF(C164="","",VLOOKUP(C164,'G-7 WaterC'' Data'!$B$4:$G$8,4,FALSE))</f>
        <v/>
      </c>
      <c r="S164" s="370" t="str">
        <f t="shared" si="12"/>
        <v/>
      </c>
      <c r="T164" s="401" t="str">
        <f t="shared" si="13"/>
        <v/>
      </c>
      <c r="U164" s="363" t="str">
        <f>IF(C164="","",VLOOKUP(T164,'G-3 Multipliers'!$P$2:$Q$6,2,FALSE))</f>
        <v/>
      </c>
      <c r="V164" s="115"/>
      <c r="W164" s="363" t="str">
        <f>IF(V164="","",IF(VLOOKUP(V164,'G-7 WaterC'' Data'!$AA$4:$AB$7,2,FALSE)=0,"Spatial Data Missing ⚠",VLOOKUP(V164,'G-7 WaterC'' Data'!$AA$4:$AB$7,2,FALSE)))</f>
        <v/>
      </c>
      <c r="X164" s="60"/>
      <c r="Y164" s="363" t="str">
        <f>IF(X164="","",IF(VLOOKUP(X164,'G-7 WaterC'' Data'!$AD$4:$AE$14,2,FALSE)=0,"Enrcoachment Data Missing ⚠",VLOOKUP(X164,'G-7 WaterC'' Data'!$AD$4:$AE$14,2,FALSE)))</f>
        <v/>
      </c>
      <c r="Z164" s="423" t="str">
        <f t="shared" si="14"/>
        <v/>
      </c>
      <c r="AA164" s="117"/>
      <c r="AB164" s="118"/>
      <c r="AC164" s="120"/>
      <c r="AH164" s="30" t="str">
        <f>IFERROR(INDEX('G-7 WaterC'' Data'!$AZ$3:$AZ$7,MATCH(C164,'G-7 WaterC'' Data'!$AY$3:$AY$7,0)),"")</f>
        <v/>
      </c>
    </row>
    <row r="165" spans="2:34" ht="15">
      <c r="B165" s="110">
        <v>154</v>
      </c>
      <c r="C165" s="138"/>
      <c r="D165" s="139"/>
      <c r="E165" s="362" t="str">
        <f>IF(C165="","",VLOOKUP(C165,'G-7 WaterC'' Data'!$B$2:$G$8,2,FALSE))</f>
        <v/>
      </c>
      <c r="F165" s="363" t="str">
        <f>IFERROR(VLOOKUP(E165,'G-7 WaterC'' Data'!$C$4:$D$8,2,FALSE),"")</f>
        <v/>
      </c>
      <c r="G165" s="114"/>
      <c r="H165" s="363" t="str">
        <f>IFERROR(INDEX('G-7 WaterC'' Data'!$H$4:$L$8,MATCH(C165,'G-7 WaterC'' Data'!$B$4:$B$8,0),MATCH(G165,'G-7 WaterC'' Data'!$H$3:$L$3,0)),"")</f>
        <v/>
      </c>
      <c r="I165" s="54"/>
      <c r="J165" s="370" t="str">
        <f>IF(I165="","",IF(VLOOKUP(I165,'G-7 WaterC'' Data'!$AK$4:$AM$6,2,FALSE)=0,"Spatial Data Missing ⚠",VLOOKUP(I165,'G-7 WaterC'' Data'!$AK$4:$AM$6,2,FALSE)))</f>
        <v/>
      </c>
      <c r="K165" s="363" t="str">
        <f>IF(I165="","",IF(VLOOKUP(I165,'G-7 WaterC'' Data'!$AK$4:$AM$6,3,FALSE)=0,"Spatial Data Missing ⚠",VLOOKUP(I165,'G-7 WaterC'' Data'!$AK$4:$AM$6,3,FALSE)))</f>
        <v/>
      </c>
      <c r="L165" s="362" t="str">
        <f>IFERROR(INDEX('G-7 WaterC'' Data'!$O$3:$O$7,MATCH(G165,'G-7 WaterC'' Data'!$N$3:$N$7,0)),"")</f>
        <v/>
      </c>
      <c r="M165" s="63"/>
      <c r="N165" s="159"/>
      <c r="O165" s="370" t="str">
        <f t="shared" si="10"/>
        <v/>
      </c>
      <c r="P165" s="383" t="str">
        <f t="shared" si="11"/>
        <v/>
      </c>
      <c r="Q165" s="422" t="str">
        <f>IFERROR(IF(P165="Check Data ⚠","Check Data ⚠",VLOOKUP(P165,'G-4 Temporal multipliers'!$A$4:$C$37,3,FALSE)),"")</f>
        <v/>
      </c>
      <c r="R165" s="362" t="str">
        <f>IF(C165="","",VLOOKUP(C165,'G-7 WaterC'' Data'!$B$4:$G$8,4,FALSE))</f>
        <v/>
      </c>
      <c r="S165" s="370" t="str">
        <f t="shared" si="12"/>
        <v/>
      </c>
      <c r="T165" s="401" t="str">
        <f t="shared" si="13"/>
        <v/>
      </c>
      <c r="U165" s="363" t="str">
        <f>IF(C165="","",VLOOKUP(T165,'G-3 Multipliers'!$P$2:$Q$6,2,FALSE))</f>
        <v/>
      </c>
      <c r="V165" s="115"/>
      <c r="W165" s="363" t="str">
        <f>IF(V165="","",IF(VLOOKUP(V165,'G-7 WaterC'' Data'!$AA$4:$AB$7,2,FALSE)=0,"Spatial Data Missing ⚠",VLOOKUP(V165,'G-7 WaterC'' Data'!$AA$4:$AB$7,2,FALSE)))</f>
        <v/>
      </c>
      <c r="X165" s="60"/>
      <c r="Y165" s="363" t="str">
        <f>IF(X165="","",IF(VLOOKUP(X165,'G-7 WaterC'' Data'!$AD$4:$AE$14,2,FALSE)=0,"Enrcoachment Data Missing ⚠",VLOOKUP(X165,'G-7 WaterC'' Data'!$AD$4:$AE$14,2,FALSE)))</f>
        <v/>
      </c>
      <c r="Z165" s="423" t="str">
        <f t="shared" si="14"/>
        <v/>
      </c>
      <c r="AA165" s="117"/>
      <c r="AB165" s="118"/>
      <c r="AC165" s="120"/>
      <c r="AH165" s="30" t="str">
        <f>IFERROR(INDEX('G-7 WaterC'' Data'!$AZ$3:$AZ$7,MATCH(C165,'G-7 WaterC'' Data'!$AY$3:$AY$7,0)),"")</f>
        <v/>
      </c>
    </row>
    <row r="166" spans="2:34" ht="15">
      <c r="B166" s="110">
        <v>155</v>
      </c>
      <c r="C166" s="138"/>
      <c r="D166" s="139"/>
      <c r="E166" s="362" t="str">
        <f>IF(C166="","",VLOOKUP(C166,'G-7 WaterC'' Data'!$B$2:$G$8,2,FALSE))</f>
        <v/>
      </c>
      <c r="F166" s="363" t="str">
        <f>IFERROR(VLOOKUP(E166,'G-7 WaterC'' Data'!$C$4:$D$8,2,FALSE),"")</f>
        <v/>
      </c>
      <c r="G166" s="114"/>
      <c r="H166" s="363" t="str">
        <f>IFERROR(INDEX('G-7 WaterC'' Data'!$H$4:$L$8,MATCH(C166,'G-7 WaterC'' Data'!$B$4:$B$8,0),MATCH(G166,'G-7 WaterC'' Data'!$H$3:$L$3,0)),"")</f>
        <v/>
      </c>
      <c r="I166" s="54"/>
      <c r="J166" s="370" t="str">
        <f>IF(I166="","",IF(VLOOKUP(I166,'G-7 WaterC'' Data'!$AK$4:$AM$6,2,FALSE)=0,"Spatial Data Missing ⚠",VLOOKUP(I166,'G-7 WaterC'' Data'!$AK$4:$AM$6,2,FALSE)))</f>
        <v/>
      </c>
      <c r="K166" s="363" t="str">
        <f>IF(I166="","",IF(VLOOKUP(I166,'G-7 WaterC'' Data'!$AK$4:$AM$6,3,FALSE)=0,"Spatial Data Missing ⚠",VLOOKUP(I166,'G-7 WaterC'' Data'!$AK$4:$AM$6,3,FALSE)))</f>
        <v/>
      </c>
      <c r="L166" s="362" t="str">
        <f>IFERROR(INDEX('G-7 WaterC'' Data'!$O$3:$O$7,MATCH(G166,'G-7 WaterC'' Data'!$N$3:$N$7,0)),"")</f>
        <v/>
      </c>
      <c r="M166" s="63"/>
      <c r="N166" s="159"/>
      <c r="O166" s="370" t="str">
        <f t="shared" si="10"/>
        <v/>
      </c>
      <c r="P166" s="383" t="str">
        <f t="shared" si="11"/>
        <v/>
      </c>
      <c r="Q166" s="422" t="str">
        <f>IFERROR(IF(P166="Check Data ⚠","Check Data ⚠",VLOOKUP(P166,'G-4 Temporal multipliers'!$A$4:$C$37,3,FALSE)),"")</f>
        <v/>
      </c>
      <c r="R166" s="362" t="str">
        <f>IF(C166="","",VLOOKUP(C166,'G-7 WaterC'' Data'!$B$4:$G$8,4,FALSE))</f>
        <v/>
      </c>
      <c r="S166" s="370" t="str">
        <f t="shared" si="12"/>
        <v/>
      </c>
      <c r="T166" s="401" t="str">
        <f t="shared" si="13"/>
        <v/>
      </c>
      <c r="U166" s="363" t="str">
        <f>IF(C166="","",VLOOKUP(T166,'G-3 Multipliers'!$P$2:$Q$6,2,FALSE))</f>
        <v/>
      </c>
      <c r="V166" s="115"/>
      <c r="W166" s="363" t="str">
        <f>IF(V166="","",IF(VLOOKUP(V166,'G-7 WaterC'' Data'!$AA$4:$AB$7,2,FALSE)=0,"Spatial Data Missing ⚠",VLOOKUP(V166,'G-7 WaterC'' Data'!$AA$4:$AB$7,2,FALSE)))</f>
        <v/>
      </c>
      <c r="X166" s="60"/>
      <c r="Y166" s="363" t="str">
        <f>IF(X166="","",IF(VLOOKUP(X166,'G-7 WaterC'' Data'!$AD$4:$AE$14,2,FALSE)=0,"Enrcoachment Data Missing ⚠",VLOOKUP(X166,'G-7 WaterC'' Data'!$AD$4:$AE$14,2,FALSE)))</f>
        <v/>
      </c>
      <c r="Z166" s="423" t="str">
        <f t="shared" si="14"/>
        <v/>
      </c>
      <c r="AA166" s="117"/>
      <c r="AB166" s="118"/>
      <c r="AC166" s="120"/>
      <c r="AH166" s="30" t="str">
        <f>IFERROR(INDEX('G-7 WaterC'' Data'!$AZ$3:$AZ$7,MATCH(C166,'G-7 WaterC'' Data'!$AY$3:$AY$7,0)),"")</f>
        <v/>
      </c>
    </row>
    <row r="167" spans="2:34" ht="15">
      <c r="B167" s="110">
        <v>156</v>
      </c>
      <c r="C167" s="138"/>
      <c r="D167" s="139"/>
      <c r="E167" s="362" t="str">
        <f>IF(C167="","",VLOOKUP(C167,'G-7 WaterC'' Data'!$B$2:$G$8,2,FALSE))</f>
        <v/>
      </c>
      <c r="F167" s="363" t="str">
        <f>IFERROR(VLOOKUP(E167,'G-7 WaterC'' Data'!$C$4:$D$8,2,FALSE),"")</f>
        <v/>
      </c>
      <c r="G167" s="114"/>
      <c r="H167" s="363" t="str">
        <f>IFERROR(INDEX('G-7 WaterC'' Data'!$H$4:$L$8,MATCH(C167,'G-7 WaterC'' Data'!$B$4:$B$8,0),MATCH(G167,'G-7 WaterC'' Data'!$H$3:$L$3,0)),"")</f>
        <v/>
      </c>
      <c r="I167" s="54"/>
      <c r="J167" s="370" t="str">
        <f>IF(I167="","",IF(VLOOKUP(I167,'G-7 WaterC'' Data'!$AK$4:$AM$6,2,FALSE)=0,"Spatial Data Missing ⚠",VLOOKUP(I167,'G-7 WaterC'' Data'!$AK$4:$AM$6,2,FALSE)))</f>
        <v/>
      </c>
      <c r="K167" s="363" t="str">
        <f>IF(I167="","",IF(VLOOKUP(I167,'G-7 WaterC'' Data'!$AK$4:$AM$6,3,FALSE)=0,"Spatial Data Missing ⚠",VLOOKUP(I167,'G-7 WaterC'' Data'!$AK$4:$AM$6,3,FALSE)))</f>
        <v/>
      </c>
      <c r="L167" s="362" t="str">
        <f>IFERROR(INDEX('G-7 WaterC'' Data'!$O$3:$O$7,MATCH(G167,'G-7 WaterC'' Data'!$N$3:$N$7,0)),"")</f>
        <v/>
      </c>
      <c r="M167" s="63"/>
      <c r="N167" s="159"/>
      <c r="O167" s="370" t="str">
        <f t="shared" si="10"/>
        <v/>
      </c>
      <c r="P167" s="383" t="str">
        <f t="shared" si="11"/>
        <v/>
      </c>
      <c r="Q167" s="422" t="str">
        <f>IFERROR(IF(P167="Check Data ⚠","Check Data ⚠",VLOOKUP(P167,'G-4 Temporal multipliers'!$A$4:$C$37,3,FALSE)),"")</f>
        <v/>
      </c>
      <c r="R167" s="362" t="str">
        <f>IF(C167="","",VLOOKUP(C167,'G-7 WaterC'' Data'!$B$4:$G$8,4,FALSE))</f>
        <v/>
      </c>
      <c r="S167" s="370" t="str">
        <f t="shared" si="12"/>
        <v/>
      </c>
      <c r="T167" s="401" t="str">
        <f t="shared" si="13"/>
        <v/>
      </c>
      <c r="U167" s="363" t="str">
        <f>IF(C167="","",VLOOKUP(T167,'G-3 Multipliers'!$P$2:$Q$6,2,FALSE))</f>
        <v/>
      </c>
      <c r="V167" s="115"/>
      <c r="W167" s="363" t="str">
        <f>IF(V167="","",IF(VLOOKUP(V167,'G-7 WaterC'' Data'!$AA$4:$AB$7,2,FALSE)=0,"Spatial Data Missing ⚠",VLOOKUP(V167,'G-7 WaterC'' Data'!$AA$4:$AB$7,2,FALSE)))</f>
        <v/>
      </c>
      <c r="X167" s="60"/>
      <c r="Y167" s="363" t="str">
        <f>IF(X167="","",IF(VLOOKUP(X167,'G-7 WaterC'' Data'!$AD$4:$AE$14,2,FALSE)=0,"Enrcoachment Data Missing ⚠",VLOOKUP(X167,'G-7 WaterC'' Data'!$AD$4:$AE$14,2,FALSE)))</f>
        <v/>
      </c>
      <c r="Z167" s="423" t="str">
        <f t="shared" si="14"/>
        <v/>
      </c>
      <c r="AA167" s="117"/>
      <c r="AB167" s="118"/>
      <c r="AC167" s="120"/>
      <c r="AH167" s="30" t="str">
        <f>IFERROR(INDEX('G-7 WaterC'' Data'!$AZ$3:$AZ$7,MATCH(C167,'G-7 WaterC'' Data'!$AY$3:$AY$7,0)),"")</f>
        <v/>
      </c>
    </row>
    <row r="168" spans="2:34" ht="15">
      <c r="B168" s="110">
        <v>157</v>
      </c>
      <c r="C168" s="138"/>
      <c r="D168" s="139"/>
      <c r="E168" s="362" t="str">
        <f>IF(C168="","",VLOOKUP(C168,'G-7 WaterC'' Data'!$B$2:$G$8,2,FALSE))</f>
        <v/>
      </c>
      <c r="F168" s="363" t="str">
        <f>IFERROR(VLOOKUP(E168,'G-7 WaterC'' Data'!$C$4:$D$8,2,FALSE),"")</f>
        <v/>
      </c>
      <c r="G168" s="114"/>
      <c r="H168" s="363" t="str">
        <f>IFERROR(INDEX('G-7 WaterC'' Data'!$H$4:$L$8,MATCH(C168,'G-7 WaterC'' Data'!$B$4:$B$8,0),MATCH(G168,'G-7 WaterC'' Data'!$H$3:$L$3,0)),"")</f>
        <v/>
      </c>
      <c r="I168" s="54"/>
      <c r="J168" s="370" t="str">
        <f>IF(I168="","",IF(VLOOKUP(I168,'G-7 WaterC'' Data'!$AK$4:$AM$6,2,FALSE)=0,"Spatial Data Missing ⚠",VLOOKUP(I168,'G-7 WaterC'' Data'!$AK$4:$AM$6,2,FALSE)))</f>
        <v/>
      </c>
      <c r="K168" s="363" t="str">
        <f>IF(I168="","",IF(VLOOKUP(I168,'G-7 WaterC'' Data'!$AK$4:$AM$6,3,FALSE)=0,"Spatial Data Missing ⚠",VLOOKUP(I168,'G-7 WaterC'' Data'!$AK$4:$AM$6,3,FALSE)))</f>
        <v/>
      </c>
      <c r="L168" s="362" t="str">
        <f>IFERROR(INDEX('G-7 WaterC'' Data'!$O$3:$O$7,MATCH(G168,'G-7 WaterC'' Data'!$N$3:$N$7,0)),"")</f>
        <v/>
      </c>
      <c r="M168" s="63"/>
      <c r="N168" s="159"/>
      <c r="O168" s="370" t="str">
        <f t="shared" si="10"/>
        <v/>
      </c>
      <c r="P168" s="383" t="str">
        <f t="shared" si="11"/>
        <v/>
      </c>
      <c r="Q168" s="422" t="str">
        <f>IFERROR(IF(P168="Check Data ⚠","Check Data ⚠",VLOOKUP(P168,'G-4 Temporal multipliers'!$A$4:$C$37,3,FALSE)),"")</f>
        <v/>
      </c>
      <c r="R168" s="362" t="str">
        <f>IF(C168="","",VLOOKUP(C168,'G-7 WaterC'' Data'!$B$4:$G$8,4,FALSE))</f>
        <v/>
      </c>
      <c r="S168" s="370" t="str">
        <f t="shared" si="12"/>
        <v/>
      </c>
      <c r="T168" s="401" t="str">
        <f t="shared" si="13"/>
        <v/>
      </c>
      <c r="U168" s="363" t="str">
        <f>IF(C168="","",VLOOKUP(T168,'G-3 Multipliers'!$P$2:$Q$6,2,FALSE))</f>
        <v/>
      </c>
      <c r="V168" s="115"/>
      <c r="W168" s="363" t="str">
        <f>IF(V168="","",IF(VLOOKUP(V168,'G-7 WaterC'' Data'!$AA$4:$AB$7,2,FALSE)=0,"Spatial Data Missing ⚠",VLOOKUP(V168,'G-7 WaterC'' Data'!$AA$4:$AB$7,2,FALSE)))</f>
        <v/>
      </c>
      <c r="X168" s="60"/>
      <c r="Y168" s="363" t="str">
        <f>IF(X168="","",IF(VLOOKUP(X168,'G-7 WaterC'' Data'!$AD$4:$AE$14,2,FALSE)=0,"Enrcoachment Data Missing ⚠",VLOOKUP(X168,'G-7 WaterC'' Data'!$AD$4:$AE$14,2,FALSE)))</f>
        <v/>
      </c>
      <c r="Z168" s="423" t="str">
        <f t="shared" si="14"/>
        <v/>
      </c>
      <c r="AA168" s="117"/>
      <c r="AB168" s="118"/>
      <c r="AC168" s="120"/>
      <c r="AH168" s="30" t="str">
        <f>IFERROR(INDEX('G-7 WaterC'' Data'!$AZ$3:$AZ$7,MATCH(C168,'G-7 WaterC'' Data'!$AY$3:$AY$7,0)),"")</f>
        <v/>
      </c>
    </row>
    <row r="169" spans="2:34" ht="15">
      <c r="B169" s="110">
        <v>158</v>
      </c>
      <c r="C169" s="138"/>
      <c r="D169" s="139"/>
      <c r="E169" s="362" t="str">
        <f>IF(C169="","",VLOOKUP(C169,'G-7 WaterC'' Data'!$B$2:$G$8,2,FALSE))</f>
        <v/>
      </c>
      <c r="F169" s="363" t="str">
        <f>IFERROR(VLOOKUP(E169,'G-7 WaterC'' Data'!$C$4:$D$8,2,FALSE),"")</f>
        <v/>
      </c>
      <c r="G169" s="114"/>
      <c r="H169" s="363" t="str">
        <f>IFERROR(INDEX('G-7 WaterC'' Data'!$H$4:$L$8,MATCH(C169,'G-7 WaterC'' Data'!$B$4:$B$8,0),MATCH(G169,'G-7 WaterC'' Data'!$H$3:$L$3,0)),"")</f>
        <v/>
      </c>
      <c r="I169" s="54"/>
      <c r="J169" s="370" t="str">
        <f>IF(I169="","",IF(VLOOKUP(I169,'G-7 WaterC'' Data'!$AK$4:$AM$6,2,FALSE)=0,"Spatial Data Missing ⚠",VLOOKUP(I169,'G-7 WaterC'' Data'!$AK$4:$AM$6,2,FALSE)))</f>
        <v/>
      </c>
      <c r="K169" s="363" t="str">
        <f>IF(I169="","",IF(VLOOKUP(I169,'G-7 WaterC'' Data'!$AK$4:$AM$6,3,FALSE)=0,"Spatial Data Missing ⚠",VLOOKUP(I169,'G-7 WaterC'' Data'!$AK$4:$AM$6,3,FALSE)))</f>
        <v/>
      </c>
      <c r="L169" s="362" t="str">
        <f>IFERROR(INDEX('G-7 WaterC'' Data'!$O$3:$O$7,MATCH(G169,'G-7 WaterC'' Data'!$N$3:$N$7,0)),"")</f>
        <v/>
      </c>
      <c r="M169" s="63"/>
      <c r="N169" s="159"/>
      <c r="O169" s="370" t="str">
        <f t="shared" si="10"/>
        <v/>
      </c>
      <c r="P169" s="383" t="str">
        <f t="shared" si="11"/>
        <v/>
      </c>
      <c r="Q169" s="422" t="str">
        <f>IFERROR(IF(P169="Check Data ⚠","Check Data ⚠",VLOOKUP(P169,'G-4 Temporal multipliers'!$A$4:$C$37,3,FALSE)),"")</f>
        <v/>
      </c>
      <c r="R169" s="362" t="str">
        <f>IF(C169="","",VLOOKUP(C169,'G-7 WaterC'' Data'!$B$4:$G$8,4,FALSE))</f>
        <v/>
      </c>
      <c r="S169" s="370" t="str">
        <f t="shared" si="12"/>
        <v/>
      </c>
      <c r="T169" s="401" t="str">
        <f t="shared" si="13"/>
        <v/>
      </c>
      <c r="U169" s="363" t="str">
        <f>IF(C169="","",VLOOKUP(T169,'G-3 Multipliers'!$P$2:$Q$6,2,FALSE))</f>
        <v/>
      </c>
      <c r="V169" s="115"/>
      <c r="W169" s="363" t="str">
        <f>IF(V169="","",IF(VLOOKUP(V169,'G-7 WaterC'' Data'!$AA$4:$AB$7,2,FALSE)=0,"Spatial Data Missing ⚠",VLOOKUP(V169,'G-7 WaterC'' Data'!$AA$4:$AB$7,2,FALSE)))</f>
        <v/>
      </c>
      <c r="X169" s="60"/>
      <c r="Y169" s="363" t="str">
        <f>IF(X169="","",IF(VLOOKUP(X169,'G-7 WaterC'' Data'!$AD$4:$AE$14,2,FALSE)=0,"Enrcoachment Data Missing ⚠",VLOOKUP(X169,'G-7 WaterC'' Data'!$AD$4:$AE$14,2,FALSE)))</f>
        <v/>
      </c>
      <c r="Z169" s="423" t="str">
        <f t="shared" si="14"/>
        <v/>
      </c>
      <c r="AA169" s="117"/>
      <c r="AB169" s="118"/>
      <c r="AC169" s="120"/>
      <c r="AH169" s="30" t="str">
        <f>IFERROR(INDEX('G-7 WaterC'' Data'!$AZ$3:$AZ$7,MATCH(C169,'G-7 WaterC'' Data'!$AY$3:$AY$7,0)),"")</f>
        <v/>
      </c>
    </row>
    <row r="170" spans="2:34" ht="15">
      <c r="B170" s="110">
        <v>159</v>
      </c>
      <c r="C170" s="138"/>
      <c r="D170" s="139"/>
      <c r="E170" s="362" t="str">
        <f>IF(C170="","",VLOOKUP(C170,'G-7 WaterC'' Data'!$B$2:$G$8,2,FALSE))</f>
        <v/>
      </c>
      <c r="F170" s="363" t="str">
        <f>IFERROR(VLOOKUP(E170,'G-7 WaterC'' Data'!$C$4:$D$8,2,FALSE),"")</f>
        <v/>
      </c>
      <c r="G170" s="114"/>
      <c r="H170" s="363" t="str">
        <f>IFERROR(INDEX('G-7 WaterC'' Data'!$H$4:$L$8,MATCH(C170,'G-7 WaterC'' Data'!$B$4:$B$8,0),MATCH(G170,'G-7 WaterC'' Data'!$H$3:$L$3,0)),"")</f>
        <v/>
      </c>
      <c r="I170" s="54"/>
      <c r="J170" s="370" t="str">
        <f>IF(I170="","",IF(VLOOKUP(I170,'G-7 WaterC'' Data'!$AK$4:$AM$6,2,FALSE)=0,"Spatial Data Missing ⚠",VLOOKUP(I170,'G-7 WaterC'' Data'!$AK$4:$AM$6,2,FALSE)))</f>
        <v/>
      </c>
      <c r="K170" s="363" t="str">
        <f>IF(I170="","",IF(VLOOKUP(I170,'G-7 WaterC'' Data'!$AK$4:$AM$6,3,FALSE)=0,"Spatial Data Missing ⚠",VLOOKUP(I170,'G-7 WaterC'' Data'!$AK$4:$AM$6,3,FALSE)))</f>
        <v/>
      </c>
      <c r="L170" s="362" t="str">
        <f>IFERROR(INDEX('G-7 WaterC'' Data'!$O$3:$O$7,MATCH(G170,'G-7 WaterC'' Data'!$N$3:$N$7,0)),"")</f>
        <v/>
      </c>
      <c r="M170" s="63"/>
      <c r="N170" s="159"/>
      <c r="O170" s="370" t="str">
        <f t="shared" si="10"/>
        <v/>
      </c>
      <c r="P170" s="383" t="str">
        <f t="shared" si="11"/>
        <v/>
      </c>
      <c r="Q170" s="422" t="str">
        <f>IFERROR(IF(P170="Check Data ⚠","Check Data ⚠",VLOOKUP(P170,'G-4 Temporal multipliers'!$A$4:$C$37,3,FALSE)),"")</f>
        <v/>
      </c>
      <c r="R170" s="362" t="str">
        <f>IF(C170="","",VLOOKUP(C170,'G-7 WaterC'' Data'!$B$4:$G$8,4,FALSE))</f>
        <v/>
      </c>
      <c r="S170" s="370" t="str">
        <f t="shared" si="12"/>
        <v/>
      </c>
      <c r="T170" s="401" t="str">
        <f t="shared" si="13"/>
        <v/>
      </c>
      <c r="U170" s="363" t="str">
        <f>IF(C170="","",VLOOKUP(T170,'G-3 Multipliers'!$P$2:$Q$6,2,FALSE))</f>
        <v/>
      </c>
      <c r="V170" s="115"/>
      <c r="W170" s="363" t="str">
        <f>IF(V170="","",IF(VLOOKUP(V170,'G-7 WaterC'' Data'!$AA$4:$AB$7,2,FALSE)=0,"Spatial Data Missing ⚠",VLOOKUP(V170,'G-7 WaterC'' Data'!$AA$4:$AB$7,2,FALSE)))</f>
        <v/>
      </c>
      <c r="X170" s="60"/>
      <c r="Y170" s="363" t="str">
        <f>IF(X170="","",IF(VLOOKUP(X170,'G-7 WaterC'' Data'!$AD$4:$AE$14,2,FALSE)=0,"Enrcoachment Data Missing ⚠",VLOOKUP(X170,'G-7 WaterC'' Data'!$AD$4:$AE$14,2,FALSE)))</f>
        <v/>
      </c>
      <c r="Z170" s="423" t="str">
        <f t="shared" si="14"/>
        <v/>
      </c>
      <c r="AA170" s="117"/>
      <c r="AB170" s="118"/>
      <c r="AC170" s="120"/>
      <c r="AH170" s="30" t="str">
        <f>IFERROR(INDEX('G-7 WaterC'' Data'!$AZ$3:$AZ$7,MATCH(C170,'G-7 WaterC'' Data'!$AY$3:$AY$7,0)),"")</f>
        <v/>
      </c>
    </row>
    <row r="171" spans="2:34" ht="15">
      <c r="B171" s="110">
        <v>160</v>
      </c>
      <c r="C171" s="138"/>
      <c r="D171" s="139"/>
      <c r="E171" s="362" t="str">
        <f>IF(C171="","",VLOOKUP(C171,'G-7 WaterC'' Data'!$B$2:$G$8,2,FALSE))</f>
        <v/>
      </c>
      <c r="F171" s="363" t="str">
        <f>IFERROR(VLOOKUP(E171,'G-7 WaterC'' Data'!$C$4:$D$8,2,FALSE),"")</f>
        <v/>
      </c>
      <c r="G171" s="114"/>
      <c r="H171" s="363" t="str">
        <f>IFERROR(INDEX('G-7 WaterC'' Data'!$H$4:$L$8,MATCH(C171,'G-7 WaterC'' Data'!$B$4:$B$8,0),MATCH(G171,'G-7 WaterC'' Data'!$H$3:$L$3,0)),"")</f>
        <v/>
      </c>
      <c r="I171" s="54"/>
      <c r="J171" s="370" t="str">
        <f>IF(I171="","",IF(VLOOKUP(I171,'G-7 WaterC'' Data'!$AK$4:$AM$6,2,FALSE)=0,"Spatial Data Missing ⚠",VLOOKUP(I171,'G-7 WaterC'' Data'!$AK$4:$AM$6,2,FALSE)))</f>
        <v/>
      </c>
      <c r="K171" s="363" t="str">
        <f>IF(I171="","",IF(VLOOKUP(I171,'G-7 WaterC'' Data'!$AK$4:$AM$6,3,FALSE)=0,"Spatial Data Missing ⚠",VLOOKUP(I171,'G-7 WaterC'' Data'!$AK$4:$AM$6,3,FALSE)))</f>
        <v/>
      </c>
      <c r="L171" s="362" t="str">
        <f>IFERROR(INDEX('G-7 WaterC'' Data'!$O$3:$O$7,MATCH(G171,'G-7 WaterC'' Data'!$N$3:$N$7,0)),"")</f>
        <v/>
      </c>
      <c r="M171" s="63"/>
      <c r="N171" s="159"/>
      <c r="O171" s="370" t="str">
        <f t="shared" si="10"/>
        <v/>
      </c>
      <c r="P171" s="383" t="str">
        <f t="shared" si="11"/>
        <v/>
      </c>
      <c r="Q171" s="422" t="str">
        <f>IFERROR(IF(P171="Check Data ⚠","Check Data ⚠",VLOOKUP(P171,'G-4 Temporal multipliers'!$A$4:$C$37,3,FALSE)),"")</f>
        <v/>
      </c>
      <c r="R171" s="362" t="str">
        <f>IF(C171="","",VLOOKUP(C171,'G-7 WaterC'' Data'!$B$4:$G$8,4,FALSE))</f>
        <v/>
      </c>
      <c r="S171" s="370" t="str">
        <f t="shared" si="12"/>
        <v/>
      </c>
      <c r="T171" s="401" t="str">
        <f t="shared" si="13"/>
        <v/>
      </c>
      <c r="U171" s="363" t="str">
        <f>IF(C171="","",VLOOKUP(T171,'G-3 Multipliers'!$P$2:$Q$6,2,FALSE))</f>
        <v/>
      </c>
      <c r="V171" s="115"/>
      <c r="W171" s="363" t="str">
        <f>IF(V171="","",IF(VLOOKUP(V171,'G-7 WaterC'' Data'!$AA$4:$AB$7,2,FALSE)=0,"Spatial Data Missing ⚠",VLOOKUP(V171,'G-7 WaterC'' Data'!$AA$4:$AB$7,2,FALSE)))</f>
        <v/>
      </c>
      <c r="X171" s="60"/>
      <c r="Y171" s="363" t="str">
        <f>IF(X171="","",IF(VLOOKUP(X171,'G-7 WaterC'' Data'!$AD$4:$AE$14,2,FALSE)=0,"Enrcoachment Data Missing ⚠",VLOOKUP(X171,'G-7 WaterC'' Data'!$AD$4:$AE$14,2,FALSE)))</f>
        <v/>
      </c>
      <c r="Z171" s="423" t="str">
        <f t="shared" si="14"/>
        <v/>
      </c>
      <c r="AA171" s="117"/>
      <c r="AB171" s="118"/>
      <c r="AC171" s="120"/>
      <c r="AH171" s="30" t="str">
        <f>IFERROR(INDEX('G-7 WaterC'' Data'!$AZ$3:$AZ$7,MATCH(C171,'G-7 WaterC'' Data'!$AY$3:$AY$7,0)),"")</f>
        <v/>
      </c>
    </row>
    <row r="172" spans="2:34" ht="15">
      <c r="B172" s="110">
        <v>161</v>
      </c>
      <c r="C172" s="138"/>
      <c r="D172" s="139"/>
      <c r="E172" s="362" t="str">
        <f>IF(C172="","",VLOOKUP(C172,'G-7 WaterC'' Data'!$B$2:$G$8,2,FALSE))</f>
        <v/>
      </c>
      <c r="F172" s="363" t="str">
        <f>IFERROR(VLOOKUP(E172,'G-7 WaterC'' Data'!$C$4:$D$8,2,FALSE),"")</f>
        <v/>
      </c>
      <c r="G172" s="114"/>
      <c r="H172" s="363" t="str">
        <f>IFERROR(INDEX('G-7 WaterC'' Data'!$H$4:$L$8,MATCH(C172,'G-7 WaterC'' Data'!$B$4:$B$8,0),MATCH(G172,'G-7 WaterC'' Data'!$H$3:$L$3,0)),"")</f>
        <v/>
      </c>
      <c r="I172" s="54"/>
      <c r="J172" s="370" t="str">
        <f>IF(I172="","",IF(VLOOKUP(I172,'G-7 WaterC'' Data'!$AK$4:$AM$6,2,FALSE)=0,"Spatial Data Missing ⚠",VLOOKUP(I172,'G-7 WaterC'' Data'!$AK$4:$AM$6,2,FALSE)))</f>
        <v/>
      </c>
      <c r="K172" s="363" t="str">
        <f>IF(I172="","",IF(VLOOKUP(I172,'G-7 WaterC'' Data'!$AK$4:$AM$6,3,FALSE)=0,"Spatial Data Missing ⚠",VLOOKUP(I172,'G-7 WaterC'' Data'!$AK$4:$AM$6,3,FALSE)))</f>
        <v/>
      </c>
      <c r="L172" s="362" t="str">
        <f>IFERROR(INDEX('G-7 WaterC'' Data'!$O$3:$O$7,MATCH(G172,'G-7 WaterC'' Data'!$N$3:$N$7,0)),"")</f>
        <v/>
      </c>
      <c r="M172" s="63"/>
      <c r="N172" s="159"/>
      <c r="O172" s="370" t="str">
        <f t="shared" si="10"/>
        <v/>
      </c>
      <c r="P172" s="383" t="str">
        <f t="shared" si="11"/>
        <v/>
      </c>
      <c r="Q172" s="422" t="str">
        <f>IFERROR(IF(P172="Check Data ⚠","Check Data ⚠",VLOOKUP(P172,'G-4 Temporal multipliers'!$A$4:$C$37,3,FALSE)),"")</f>
        <v/>
      </c>
      <c r="R172" s="362" t="str">
        <f>IF(C172="","",VLOOKUP(C172,'G-7 WaterC'' Data'!$B$4:$G$8,4,FALSE))</f>
        <v/>
      </c>
      <c r="S172" s="370" t="str">
        <f t="shared" si="12"/>
        <v/>
      </c>
      <c r="T172" s="401" t="str">
        <f t="shared" si="13"/>
        <v/>
      </c>
      <c r="U172" s="363" t="str">
        <f>IF(C172="","",VLOOKUP(T172,'G-3 Multipliers'!$P$2:$Q$6,2,FALSE))</f>
        <v/>
      </c>
      <c r="V172" s="115"/>
      <c r="W172" s="363" t="str">
        <f>IF(V172="","",IF(VLOOKUP(V172,'G-7 WaterC'' Data'!$AA$4:$AB$7,2,FALSE)=0,"Spatial Data Missing ⚠",VLOOKUP(V172,'G-7 WaterC'' Data'!$AA$4:$AB$7,2,FALSE)))</f>
        <v/>
      </c>
      <c r="X172" s="60"/>
      <c r="Y172" s="363" t="str">
        <f>IF(X172="","",IF(VLOOKUP(X172,'G-7 WaterC'' Data'!$AD$4:$AE$14,2,FALSE)=0,"Enrcoachment Data Missing ⚠",VLOOKUP(X172,'G-7 WaterC'' Data'!$AD$4:$AE$14,2,FALSE)))</f>
        <v/>
      </c>
      <c r="Z172" s="423" t="str">
        <f t="shared" si="14"/>
        <v/>
      </c>
      <c r="AA172" s="117"/>
      <c r="AB172" s="118"/>
      <c r="AC172" s="120"/>
      <c r="AH172" s="30" t="str">
        <f>IFERROR(INDEX('G-7 WaterC'' Data'!$AZ$3:$AZ$7,MATCH(C172,'G-7 WaterC'' Data'!$AY$3:$AY$7,0)),"")</f>
        <v/>
      </c>
    </row>
    <row r="173" spans="2:34" ht="15">
      <c r="B173" s="110">
        <v>162</v>
      </c>
      <c r="C173" s="138"/>
      <c r="D173" s="139"/>
      <c r="E173" s="362" t="str">
        <f>IF(C173="","",VLOOKUP(C173,'G-7 WaterC'' Data'!$B$2:$G$8,2,FALSE))</f>
        <v/>
      </c>
      <c r="F173" s="363" t="str">
        <f>IFERROR(VLOOKUP(E173,'G-7 WaterC'' Data'!$C$4:$D$8,2,FALSE),"")</f>
        <v/>
      </c>
      <c r="G173" s="114"/>
      <c r="H173" s="363" t="str">
        <f>IFERROR(INDEX('G-7 WaterC'' Data'!$H$4:$L$8,MATCH(C173,'G-7 WaterC'' Data'!$B$4:$B$8,0),MATCH(G173,'G-7 WaterC'' Data'!$H$3:$L$3,0)),"")</f>
        <v/>
      </c>
      <c r="I173" s="54"/>
      <c r="J173" s="370" t="str">
        <f>IF(I173="","",IF(VLOOKUP(I173,'G-7 WaterC'' Data'!$AK$4:$AM$6,2,FALSE)=0,"Spatial Data Missing ⚠",VLOOKUP(I173,'G-7 WaterC'' Data'!$AK$4:$AM$6,2,FALSE)))</f>
        <v/>
      </c>
      <c r="K173" s="363" t="str">
        <f>IF(I173="","",IF(VLOOKUP(I173,'G-7 WaterC'' Data'!$AK$4:$AM$6,3,FALSE)=0,"Spatial Data Missing ⚠",VLOOKUP(I173,'G-7 WaterC'' Data'!$AK$4:$AM$6,3,FALSE)))</f>
        <v/>
      </c>
      <c r="L173" s="362" t="str">
        <f>IFERROR(INDEX('G-7 WaterC'' Data'!$O$3:$O$7,MATCH(G173,'G-7 WaterC'' Data'!$N$3:$N$7,0)),"")</f>
        <v/>
      </c>
      <c r="M173" s="63"/>
      <c r="N173" s="159"/>
      <c r="O173" s="370" t="str">
        <f t="shared" si="10"/>
        <v/>
      </c>
      <c r="P173" s="383" t="str">
        <f t="shared" si="11"/>
        <v/>
      </c>
      <c r="Q173" s="422" t="str">
        <f>IFERROR(IF(P173="Check Data ⚠","Check Data ⚠",VLOOKUP(P173,'G-4 Temporal multipliers'!$A$4:$C$37,3,FALSE)),"")</f>
        <v/>
      </c>
      <c r="R173" s="362" t="str">
        <f>IF(C173="","",VLOOKUP(C173,'G-7 WaterC'' Data'!$B$4:$G$8,4,FALSE))</f>
        <v/>
      </c>
      <c r="S173" s="370" t="str">
        <f t="shared" si="12"/>
        <v/>
      </c>
      <c r="T173" s="401" t="str">
        <f t="shared" si="13"/>
        <v/>
      </c>
      <c r="U173" s="363" t="str">
        <f>IF(C173="","",VLOOKUP(T173,'G-3 Multipliers'!$P$2:$Q$6,2,FALSE))</f>
        <v/>
      </c>
      <c r="V173" s="115"/>
      <c r="W173" s="363" t="str">
        <f>IF(V173="","",IF(VLOOKUP(V173,'G-7 WaterC'' Data'!$AA$4:$AB$7,2,FALSE)=0,"Spatial Data Missing ⚠",VLOOKUP(V173,'G-7 WaterC'' Data'!$AA$4:$AB$7,2,FALSE)))</f>
        <v/>
      </c>
      <c r="X173" s="60"/>
      <c r="Y173" s="363" t="str">
        <f>IF(X173="","",IF(VLOOKUP(X173,'G-7 WaterC'' Data'!$AD$4:$AE$14,2,FALSE)=0,"Enrcoachment Data Missing ⚠",VLOOKUP(X173,'G-7 WaterC'' Data'!$AD$4:$AE$14,2,FALSE)))</f>
        <v/>
      </c>
      <c r="Z173" s="423" t="str">
        <f t="shared" si="14"/>
        <v/>
      </c>
      <c r="AA173" s="117"/>
      <c r="AB173" s="118"/>
      <c r="AC173" s="120"/>
      <c r="AH173" s="30" t="str">
        <f>IFERROR(INDEX('G-7 WaterC'' Data'!$AZ$3:$AZ$7,MATCH(C173,'G-7 WaterC'' Data'!$AY$3:$AY$7,0)),"")</f>
        <v/>
      </c>
    </row>
    <row r="174" spans="2:34" ht="15">
      <c r="B174" s="110">
        <v>163</v>
      </c>
      <c r="C174" s="138"/>
      <c r="D174" s="139"/>
      <c r="E174" s="362" t="str">
        <f>IF(C174="","",VLOOKUP(C174,'G-7 WaterC'' Data'!$B$2:$G$8,2,FALSE))</f>
        <v/>
      </c>
      <c r="F174" s="363" t="str">
        <f>IFERROR(VLOOKUP(E174,'G-7 WaterC'' Data'!$C$4:$D$8,2,FALSE),"")</f>
        <v/>
      </c>
      <c r="G174" s="114"/>
      <c r="H174" s="363" t="str">
        <f>IFERROR(INDEX('G-7 WaterC'' Data'!$H$4:$L$8,MATCH(C174,'G-7 WaterC'' Data'!$B$4:$B$8,0),MATCH(G174,'G-7 WaterC'' Data'!$H$3:$L$3,0)),"")</f>
        <v/>
      </c>
      <c r="I174" s="54"/>
      <c r="J174" s="370" t="str">
        <f>IF(I174="","",IF(VLOOKUP(I174,'G-7 WaterC'' Data'!$AK$4:$AM$6,2,FALSE)=0,"Spatial Data Missing ⚠",VLOOKUP(I174,'G-7 WaterC'' Data'!$AK$4:$AM$6,2,FALSE)))</f>
        <v/>
      </c>
      <c r="K174" s="363" t="str">
        <f>IF(I174="","",IF(VLOOKUP(I174,'G-7 WaterC'' Data'!$AK$4:$AM$6,3,FALSE)=0,"Spatial Data Missing ⚠",VLOOKUP(I174,'G-7 WaterC'' Data'!$AK$4:$AM$6,3,FALSE)))</f>
        <v/>
      </c>
      <c r="L174" s="362" t="str">
        <f>IFERROR(INDEX('G-7 WaterC'' Data'!$O$3:$O$7,MATCH(G174,'G-7 WaterC'' Data'!$N$3:$N$7,0)),"")</f>
        <v/>
      </c>
      <c r="M174" s="63"/>
      <c r="N174" s="159"/>
      <c r="O174" s="370" t="str">
        <f t="shared" si="10"/>
        <v/>
      </c>
      <c r="P174" s="383" t="str">
        <f t="shared" si="11"/>
        <v/>
      </c>
      <c r="Q174" s="422" t="str">
        <f>IFERROR(IF(P174="Check Data ⚠","Check Data ⚠",VLOOKUP(P174,'G-4 Temporal multipliers'!$A$4:$C$37,3,FALSE)),"")</f>
        <v/>
      </c>
      <c r="R174" s="362" t="str">
        <f>IF(C174="","",VLOOKUP(C174,'G-7 WaterC'' Data'!$B$4:$G$8,4,FALSE))</f>
        <v/>
      </c>
      <c r="S174" s="370" t="str">
        <f t="shared" si="12"/>
        <v/>
      </c>
      <c r="T174" s="401" t="str">
        <f t="shared" si="13"/>
        <v/>
      </c>
      <c r="U174" s="363" t="str">
        <f>IF(C174="","",VLOOKUP(T174,'G-3 Multipliers'!$P$2:$Q$6,2,FALSE))</f>
        <v/>
      </c>
      <c r="V174" s="115"/>
      <c r="W174" s="363" t="str">
        <f>IF(V174="","",IF(VLOOKUP(V174,'G-7 WaterC'' Data'!$AA$4:$AB$7,2,FALSE)=0,"Spatial Data Missing ⚠",VLOOKUP(V174,'G-7 WaterC'' Data'!$AA$4:$AB$7,2,FALSE)))</f>
        <v/>
      </c>
      <c r="X174" s="60"/>
      <c r="Y174" s="363" t="str">
        <f>IF(X174="","",IF(VLOOKUP(X174,'G-7 WaterC'' Data'!$AD$4:$AE$14,2,FALSE)=0,"Enrcoachment Data Missing ⚠",VLOOKUP(X174,'G-7 WaterC'' Data'!$AD$4:$AE$14,2,FALSE)))</f>
        <v/>
      </c>
      <c r="Z174" s="423" t="str">
        <f t="shared" si="14"/>
        <v/>
      </c>
      <c r="AA174" s="117"/>
      <c r="AB174" s="118"/>
      <c r="AC174" s="120"/>
      <c r="AH174" s="30" t="str">
        <f>IFERROR(INDEX('G-7 WaterC'' Data'!$AZ$3:$AZ$7,MATCH(C174,'G-7 WaterC'' Data'!$AY$3:$AY$7,0)),"")</f>
        <v/>
      </c>
    </row>
    <row r="175" spans="2:34" ht="15">
      <c r="B175" s="110">
        <v>164</v>
      </c>
      <c r="C175" s="138"/>
      <c r="D175" s="139"/>
      <c r="E175" s="362" t="str">
        <f>IF(C175="","",VLOOKUP(C175,'G-7 WaterC'' Data'!$B$2:$G$8,2,FALSE))</f>
        <v/>
      </c>
      <c r="F175" s="363" t="str">
        <f>IFERROR(VLOOKUP(E175,'G-7 WaterC'' Data'!$C$4:$D$8,2,FALSE),"")</f>
        <v/>
      </c>
      <c r="G175" s="114"/>
      <c r="H175" s="363" t="str">
        <f>IFERROR(INDEX('G-7 WaterC'' Data'!$H$4:$L$8,MATCH(C175,'G-7 WaterC'' Data'!$B$4:$B$8,0),MATCH(G175,'G-7 WaterC'' Data'!$H$3:$L$3,0)),"")</f>
        <v/>
      </c>
      <c r="I175" s="54"/>
      <c r="J175" s="370" t="str">
        <f>IF(I175="","",IF(VLOOKUP(I175,'G-7 WaterC'' Data'!$AK$4:$AM$6,2,FALSE)=0,"Spatial Data Missing ⚠",VLOOKUP(I175,'G-7 WaterC'' Data'!$AK$4:$AM$6,2,FALSE)))</f>
        <v/>
      </c>
      <c r="K175" s="363" t="str">
        <f>IF(I175="","",IF(VLOOKUP(I175,'G-7 WaterC'' Data'!$AK$4:$AM$6,3,FALSE)=0,"Spatial Data Missing ⚠",VLOOKUP(I175,'G-7 WaterC'' Data'!$AK$4:$AM$6,3,FALSE)))</f>
        <v/>
      </c>
      <c r="L175" s="362" t="str">
        <f>IFERROR(INDEX('G-7 WaterC'' Data'!$O$3:$O$7,MATCH(G175,'G-7 WaterC'' Data'!$N$3:$N$7,0)),"")</f>
        <v/>
      </c>
      <c r="M175" s="63"/>
      <c r="N175" s="159"/>
      <c r="O175" s="370" t="str">
        <f t="shared" si="10"/>
        <v/>
      </c>
      <c r="P175" s="383" t="str">
        <f t="shared" si="11"/>
        <v/>
      </c>
      <c r="Q175" s="422" t="str">
        <f>IFERROR(IF(P175="Check Data ⚠","Check Data ⚠",VLOOKUP(P175,'G-4 Temporal multipliers'!$A$4:$C$37,3,FALSE)),"")</f>
        <v/>
      </c>
      <c r="R175" s="362" t="str">
        <f>IF(C175="","",VLOOKUP(C175,'G-7 WaterC'' Data'!$B$4:$G$8,4,FALSE))</f>
        <v/>
      </c>
      <c r="S175" s="370" t="str">
        <f t="shared" si="12"/>
        <v/>
      </c>
      <c r="T175" s="401" t="str">
        <f t="shared" si="13"/>
        <v/>
      </c>
      <c r="U175" s="363" t="str">
        <f>IF(C175="","",VLOOKUP(T175,'G-3 Multipliers'!$P$2:$Q$6,2,FALSE))</f>
        <v/>
      </c>
      <c r="V175" s="115"/>
      <c r="W175" s="363" t="str">
        <f>IF(V175="","",IF(VLOOKUP(V175,'G-7 WaterC'' Data'!$AA$4:$AB$7,2,FALSE)=0,"Spatial Data Missing ⚠",VLOOKUP(V175,'G-7 WaterC'' Data'!$AA$4:$AB$7,2,FALSE)))</f>
        <v/>
      </c>
      <c r="X175" s="60"/>
      <c r="Y175" s="363" t="str">
        <f>IF(X175="","",IF(VLOOKUP(X175,'G-7 WaterC'' Data'!$AD$4:$AE$14,2,FALSE)=0,"Enrcoachment Data Missing ⚠",VLOOKUP(X175,'G-7 WaterC'' Data'!$AD$4:$AE$14,2,FALSE)))</f>
        <v/>
      </c>
      <c r="Z175" s="423" t="str">
        <f t="shared" si="14"/>
        <v/>
      </c>
      <c r="AA175" s="117"/>
      <c r="AB175" s="118"/>
      <c r="AC175" s="120"/>
      <c r="AH175" s="30" t="str">
        <f>IFERROR(INDEX('G-7 WaterC'' Data'!$AZ$3:$AZ$7,MATCH(C175,'G-7 WaterC'' Data'!$AY$3:$AY$7,0)),"")</f>
        <v/>
      </c>
    </row>
    <row r="176" spans="2:34" ht="15">
      <c r="B176" s="110">
        <v>165</v>
      </c>
      <c r="C176" s="138"/>
      <c r="D176" s="139"/>
      <c r="E176" s="362" t="str">
        <f>IF(C176="","",VLOOKUP(C176,'G-7 WaterC'' Data'!$B$2:$G$8,2,FALSE))</f>
        <v/>
      </c>
      <c r="F176" s="363" t="str">
        <f>IFERROR(VLOOKUP(E176,'G-7 WaterC'' Data'!$C$4:$D$8,2,FALSE),"")</f>
        <v/>
      </c>
      <c r="G176" s="114"/>
      <c r="H176" s="363" t="str">
        <f>IFERROR(INDEX('G-7 WaterC'' Data'!$H$4:$L$8,MATCH(C176,'G-7 WaterC'' Data'!$B$4:$B$8,0),MATCH(G176,'G-7 WaterC'' Data'!$H$3:$L$3,0)),"")</f>
        <v/>
      </c>
      <c r="I176" s="54"/>
      <c r="J176" s="370" t="str">
        <f>IF(I176="","",IF(VLOOKUP(I176,'G-7 WaterC'' Data'!$AK$4:$AM$6,2,FALSE)=0,"Spatial Data Missing ⚠",VLOOKUP(I176,'G-7 WaterC'' Data'!$AK$4:$AM$6,2,FALSE)))</f>
        <v/>
      </c>
      <c r="K176" s="363" t="str">
        <f>IF(I176="","",IF(VLOOKUP(I176,'G-7 WaterC'' Data'!$AK$4:$AM$6,3,FALSE)=0,"Spatial Data Missing ⚠",VLOOKUP(I176,'G-7 WaterC'' Data'!$AK$4:$AM$6,3,FALSE)))</f>
        <v/>
      </c>
      <c r="L176" s="362" t="str">
        <f>IFERROR(INDEX('G-7 WaterC'' Data'!$O$3:$O$7,MATCH(G176,'G-7 WaterC'' Data'!$N$3:$N$7,0)),"")</f>
        <v/>
      </c>
      <c r="M176" s="63"/>
      <c r="N176" s="159"/>
      <c r="O176" s="370" t="str">
        <f t="shared" si="10"/>
        <v/>
      </c>
      <c r="P176" s="383" t="str">
        <f t="shared" si="11"/>
        <v/>
      </c>
      <c r="Q176" s="422" t="str">
        <f>IFERROR(IF(P176="Check Data ⚠","Check Data ⚠",VLOOKUP(P176,'G-4 Temporal multipliers'!$A$4:$C$37,3,FALSE)),"")</f>
        <v/>
      </c>
      <c r="R176" s="362" t="str">
        <f>IF(C176="","",VLOOKUP(C176,'G-7 WaterC'' Data'!$B$4:$G$8,4,FALSE))</f>
        <v/>
      </c>
      <c r="S176" s="370" t="str">
        <f t="shared" si="12"/>
        <v/>
      </c>
      <c r="T176" s="401" t="str">
        <f t="shared" si="13"/>
        <v/>
      </c>
      <c r="U176" s="363" t="str">
        <f>IF(C176="","",VLOOKUP(T176,'G-3 Multipliers'!$P$2:$Q$6,2,FALSE))</f>
        <v/>
      </c>
      <c r="V176" s="115"/>
      <c r="W176" s="363" t="str">
        <f>IF(V176="","",IF(VLOOKUP(V176,'G-7 WaterC'' Data'!$AA$4:$AB$7,2,FALSE)=0,"Spatial Data Missing ⚠",VLOOKUP(V176,'G-7 WaterC'' Data'!$AA$4:$AB$7,2,FALSE)))</f>
        <v/>
      </c>
      <c r="X176" s="60"/>
      <c r="Y176" s="363" t="str">
        <f>IF(X176="","",IF(VLOOKUP(X176,'G-7 WaterC'' Data'!$AD$4:$AE$14,2,FALSE)=0,"Enrcoachment Data Missing ⚠",VLOOKUP(X176,'G-7 WaterC'' Data'!$AD$4:$AE$14,2,FALSE)))</f>
        <v/>
      </c>
      <c r="Z176" s="423" t="str">
        <f t="shared" si="14"/>
        <v/>
      </c>
      <c r="AA176" s="117"/>
      <c r="AB176" s="118"/>
      <c r="AC176" s="120"/>
      <c r="AH176" s="30" t="str">
        <f>IFERROR(INDEX('G-7 WaterC'' Data'!$AZ$3:$AZ$7,MATCH(C176,'G-7 WaterC'' Data'!$AY$3:$AY$7,0)),"")</f>
        <v/>
      </c>
    </row>
    <row r="177" spans="2:34" ht="15">
      <c r="B177" s="110">
        <v>166</v>
      </c>
      <c r="C177" s="138"/>
      <c r="D177" s="139"/>
      <c r="E177" s="362" t="str">
        <f>IF(C177="","",VLOOKUP(C177,'G-7 WaterC'' Data'!$B$2:$G$8,2,FALSE))</f>
        <v/>
      </c>
      <c r="F177" s="363" t="str">
        <f>IFERROR(VLOOKUP(E177,'G-7 WaterC'' Data'!$C$4:$D$8,2,FALSE),"")</f>
        <v/>
      </c>
      <c r="G177" s="114"/>
      <c r="H177" s="363" t="str">
        <f>IFERROR(INDEX('G-7 WaterC'' Data'!$H$4:$L$8,MATCH(C177,'G-7 WaterC'' Data'!$B$4:$B$8,0),MATCH(G177,'G-7 WaterC'' Data'!$H$3:$L$3,0)),"")</f>
        <v/>
      </c>
      <c r="I177" s="54"/>
      <c r="J177" s="370" t="str">
        <f>IF(I177="","",IF(VLOOKUP(I177,'G-7 WaterC'' Data'!$AK$4:$AM$6,2,FALSE)=0,"Spatial Data Missing ⚠",VLOOKUP(I177,'G-7 WaterC'' Data'!$AK$4:$AM$6,2,FALSE)))</f>
        <v/>
      </c>
      <c r="K177" s="363" t="str">
        <f>IF(I177="","",IF(VLOOKUP(I177,'G-7 WaterC'' Data'!$AK$4:$AM$6,3,FALSE)=0,"Spatial Data Missing ⚠",VLOOKUP(I177,'G-7 WaterC'' Data'!$AK$4:$AM$6,3,FALSE)))</f>
        <v/>
      </c>
      <c r="L177" s="362" t="str">
        <f>IFERROR(INDEX('G-7 WaterC'' Data'!$O$3:$O$7,MATCH(G177,'G-7 WaterC'' Data'!$N$3:$N$7,0)),"")</f>
        <v/>
      </c>
      <c r="M177" s="63"/>
      <c r="N177" s="159"/>
      <c r="O177" s="370" t="str">
        <f t="shared" si="10"/>
        <v/>
      </c>
      <c r="P177" s="383" t="str">
        <f t="shared" si="11"/>
        <v/>
      </c>
      <c r="Q177" s="422" t="str">
        <f>IFERROR(IF(P177="Check Data ⚠","Check Data ⚠",VLOOKUP(P177,'G-4 Temporal multipliers'!$A$4:$C$37,3,FALSE)),"")</f>
        <v/>
      </c>
      <c r="R177" s="362" t="str">
        <f>IF(C177="","",VLOOKUP(C177,'G-7 WaterC'' Data'!$B$4:$G$8,4,FALSE))</f>
        <v/>
      </c>
      <c r="S177" s="370" t="str">
        <f t="shared" si="12"/>
        <v/>
      </c>
      <c r="T177" s="401" t="str">
        <f t="shared" si="13"/>
        <v/>
      </c>
      <c r="U177" s="363" t="str">
        <f>IF(C177="","",VLOOKUP(T177,'G-3 Multipliers'!$P$2:$Q$6,2,FALSE))</f>
        <v/>
      </c>
      <c r="V177" s="115"/>
      <c r="W177" s="363" t="str">
        <f>IF(V177="","",IF(VLOOKUP(V177,'G-7 WaterC'' Data'!$AA$4:$AB$7,2,FALSE)=0,"Spatial Data Missing ⚠",VLOOKUP(V177,'G-7 WaterC'' Data'!$AA$4:$AB$7,2,FALSE)))</f>
        <v/>
      </c>
      <c r="X177" s="60"/>
      <c r="Y177" s="363" t="str">
        <f>IF(X177="","",IF(VLOOKUP(X177,'G-7 WaterC'' Data'!$AD$4:$AE$14,2,FALSE)=0,"Enrcoachment Data Missing ⚠",VLOOKUP(X177,'G-7 WaterC'' Data'!$AD$4:$AE$14,2,FALSE)))</f>
        <v/>
      </c>
      <c r="Z177" s="423" t="str">
        <f t="shared" si="14"/>
        <v/>
      </c>
      <c r="AA177" s="117"/>
      <c r="AB177" s="118"/>
      <c r="AC177" s="120"/>
      <c r="AH177" s="30" t="str">
        <f>IFERROR(INDEX('G-7 WaterC'' Data'!$AZ$3:$AZ$7,MATCH(C177,'G-7 WaterC'' Data'!$AY$3:$AY$7,0)),"")</f>
        <v/>
      </c>
    </row>
    <row r="178" spans="2:34" ht="15">
      <c r="B178" s="110">
        <v>167</v>
      </c>
      <c r="C178" s="138"/>
      <c r="D178" s="139"/>
      <c r="E178" s="362" t="str">
        <f>IF(C178="","",VLOOKUP(C178,'G-7 WaterC'' Data'!$B$2:$G$8,2,FALSE))</f>
        <v/>
      </c>
      <c r="F178" s="363" t="str">
        <f>IFERROR(VLOOKUP(E178,'G-7 WaterC'' Data'!$C$4:$D$8,2,FALSE),"")</f>
        <v/>
      </c>
      <c r="G178" s="114"/>
      <c r="H178" s="363" t="str">
        <f>IFERROR(INDEX('G-7 WaterC'' Data'!$H$4:$L$8,MATCH(C178,'G-7 WaterC'' Data'!$B$4:$B$8,0),MATCH(G178,'G-7 WaterC'' Data'!$H$3:$L$3,0)),"")</f>
        <v/>
      </c>
      <c r="I178" s="54"/>
      <c r="J178" s="370" t="str">
        <f>IF(I178="","",IF(VLOOKUP(I178,'G-7 WaterC'' Data'!$AK$4:$AM$6,2,FALSE)=0,"Spatial Data Missing ⚠",VLOOKUP(I178,'G-7 WaterC'' Data'!$AK$4:$AM$6,2,FALSE)))</f>
        <v/>
      </c>
      <c r="K178" s="363" t="str">
        <f>IF(I178="","",IF(VLOOKUP(I178,'G-7 WaterC'' Data'!$AK$4:$AM$6,3,FALSE)=0,"Spatial Data Missing ⚠",VLOOKUP(I178,'G-7 WaterC'' Data'!$AK$4:$AM$6,3,FALSE)))</f>
        <v/>
      </c>
      <c r="L178" s="362" t="str">
        <f>IFERROR(INDEX('G-7 WaterC'' Data'!$O$3:$O$7,MATCH(G178,'G-7 WaterC'' Data'!$N$3:$N$7,0)),"")</f>
        <v/>
      </c>
      <c r="M178" s="63"/>
      <c r="N178" s="159"/>
      <c r="O178" s="370" t="str">
        <f t="shared" si="10"/>
        <v/>
      </c>
      <c r="P178" s="383" t="str">
        <f t="shared" si="11"/>
        <v/>
      </c>
      <c r="Q178" s="422" t="str">
        <f>IFERROR(IF(P178="Check Data ⚠","Check Data ⚠",VLOOKUP(P178,'G-4 Temporal multipliers'!$A$4:$C$37,3,FALSE)),"")</f>
        <v/>
      </c>
      <c r="R178" s="362" t="str">
        <f>IF(C178="","",VLOOKUP(C178,'G-7 WaterC'' Data'!$B$4:$G$8,4,FALSE))</f>
        <v/>
      </c>
      <c r="S178" s="370" t="str">
        <f t="shared" si="12"/>
        <v/>
      </c>
      <c r="T178" s="401" t="str">
        <f t="shared" si="13"/>
        <v/>
      </c>
      <c r="U178" s="363" t="str">
        <f>IF(C178="","",VLOOKUP(T178,'G-3 Multipliers'!$P$2:$Q$6,2,FALSE))</f>
        <v/>
      </c>
      <c r="V178" s="115"/>
      <c r="W178" s="363" t="str">
        <f>IF(V178="","",IF(VLOOKUP(V178,'G-7 WaterC'' Data'!$AA$4:$AB$7,2,FALSE)=0,"Spatial Data Missing ⚠",VLOOKUP(V178,'G-7 WaterC'' Data'!$AA$4:$AB$7,2,FALSE)))</f>
        <v/>
      </c>
      <c r="X178" s="60"/>
      <c r="Y178" s="363" t="str">
        <f>IF(X178="","",IF(VLOOKUP(X178,'G-7 WaterC'' Data'!$AD$4:$AE$14,2,FALSE)=0,"Enrcoachment Data Missing ⚠",VLOOKUP(X178,'G-7 WaterC'' Data'!$AD$4:$AE$14,2,FALSE)))</f>
        <v/>
      </c>
      <c r="Z178" s="423" t="str">
        <f t="shared" si="14"/>
        <v/>
      </c>
      <c r="AA178" s="117"/>
      <c r="AB178" s="118"/>
      <c r="AC178" s="120"/>
      <c r="AH178" s="30" t="str">
        <f>IFERROR(INDEX('G-7 WaterC'' Data'!$AZ$3:$AZ$7,MATCH(C178,'G-7 WaterC'' Data'!$AY$3:$AY$7,0)),"")</f>
        <v/>
      </c>
    </row>
    <row r="179" spans="2:34" ht="15">
      <c r="B179" s="110">
        <v>168</v>
      </c>
      <c r="C179" s="138"/>
      <c r="D179" s="139"/>
      <c r="E179" s="362" t="str">
        <f>IF(C179="","",VLOOKUP(C179,'G-7 WaterC'' Data'!$B$2:$G$8,2,FALSE))</f>
        <v/>
      </c>
      <c r="F179" s="363" t="str">
        <f>IFERROR(VLOOKUP(E179,'G-7 WaterC'' Data'!$C$4:$D$8,2,FALSE),"")</f>
        <v/>
      </c>
      <c r="G179" s="114"/>
      <c r="H179" s="363" t="str">
        <f>IFERROR(INDEX('G-7 WaterC'' Data'!$H$4:$L$8,MATCH(C179,'G-7 WaterC'' Data'!$B$4:$B$8,0),MATCH(G179,'G-7 WaterC'' Data'!$H$3:$L$3,0)),"")</f>
        <v/>
      </c>
      <c r="I179" s="54"/>
      <c r="J179" s="370" t="str">
        <f>IF(I179="","",IF(VLOOKUP(I179,'G-7 WaterC'' Data'!$AK$4:$AM$6,2,FALSE)=0,"Spatial Data Missing ⚠",VLOOKUP(I179,'G-7 WaterC'' Data'!$AK$4:$AM$6,2,FALSE)))</f>
        <v/>
      </c>
      <c r="K179" s="363" t="str">
        <f>IF(I179="","",IF(VLOOKUP(I179,'G-7 WaterC'' Data'!$AK$4:$AM$6,3,FALSE)=0,"Spatial Data Missing ⚠",VLOOKUP(I179,'G-7 WaterC'' Data'!$AK$4:$AM$6,3,FALSE)))</f>
        <v/>
      </c>
      <c r="L179" s="362" t="str">
        <f>IFERROR(INDEX('G-7 WaterC'' Data'!$O$3:$O$7,MATCH(G179,'G-7 WaterC'' Data'!$N$3:$N$7,0)),"")</f>
        <v/>
      </c>
      <c r="M179" s="63"/>
      <c r="N179" s="159"/>
      <c r="O179" s="370" t="str">
        <f t="shared" si="10"/>
        <v/>
      </c>
      <c r="P179" s="383" t="str">
        <f t="shared" si="11"/>
        <v/>
      </c>
      <c r="Q179" s="422" t="str">
        <f>IFERROR(IF(P179="Check Data ⚠","Check Data ⚠",VLOOKUP(P179,'G-4 Temporal multipliers'!$A$4:$C$37,3,FALSE)),"")</f>
        <v/>
      </c>
      <c r="R179" s="362" t="str">
        <f>IF(C179="","",VLOOKUP(C179,'G-7 WaterC'' Data'!$B$4:$G$8,4,FALSE))</f>
        <v/>
      </c>
      <c r="S179" s="370" t="str">
        <f t="shared" si="12"/>
        <v/>
      </c>
      <c r="T179" s="401" t="str">
        <f t="shared" si="13"/>
        <v/>
      </c>
      <c r="U179" s="363" t="str">
        <f>IF(C179="","",VLOOKUP(T179,'G-3 Multipliers'!$P$2:$Q$6,2,FALSE))</f>
        <v/>
      </c>
      <c r="V179" s="115"/>
      <c r="W179" s="363" t="str">
        <f>IF(V179="","",IF(VLOOKUP(V179,'G-7 WaterC'' Data'!$AA$4:$AB$7,2,FALSE)=0,"Spatial Data Missing ⚠",VLOOKUP(V179,'G-7 WaterC'' Data'!$AA$4:$AB$7,2,FALSE)))</f>
        <v/>
      </c>
      <c r="X179" s="60"/>
      <c r="Y179" s="363" t="str">
        <f>IF(X179="","",IF(VLOOKUP(X179,'G-7 WaterC'' Data'!$AD$4:$AE$14,2,FALSE)=0,"Enrcoachment Data Missing ⚠",VLOOKUP(X179,'G-7 WaterC'' Data'!$AD$4:$AE$14,2,FALSE)))</f>
        <v/>
      </c>
      <c r="Z179" s="423" t="str">
        <f t="shared" si="14"/>
        <v/>
      </c>
      <c r="AA179" s="117"/>
      <c r="AB179" s="118"/>
      <c r="AC179" s="120"/>
      <c r="AH179" s="30" t="str">
        <f>IFERROR(INDEX('G-7 WaterC'' Data'!$AZ$3:$AZ$7,MATCH(C179,'G-7 WaterC'' Data'!$AY$3:$AY$7,0)),"")</f>
        <v/>
      </c>
    </row>
    <row r="180" spans="2:34" ht="15">
      <c r="B180" s="110">
        <v>169</v>
      </c>
      <c r="C180" s="138"/>
      <c r="D180" s="139"/>
      <c r="E180" s="362" t="str">
        <f>IF(C180="","",VLOOKUP(C180,'G-7 WaterC'' Data'!$B$2:$G$8,2,FALSE))</f>
        <v/>
      </c>
      <c r="F180" s="363" t="str">
        <f>IFERROR(VLOOKUP(E180,'G-7 WaterC'' Data'!$C$4:$D$8,2,FALSE),"")</f>
        <v/>
      </c>
      <c r="G180" s="114"/>
      <c r="H180" s="363" t="str">
        <f>IFERROR(INDEX('G-7 WaterC'' Data'!$H$4:$L$8,MATCH(C180,'G-7 WaterC'' Data'!$B$4:$B$8,0),MATCH(G180,'G-7 WaterC'' Data'!$H$3:$L$3,0)),"")</f>
        <v/>
      </c>
      <c r="I180" s="54"/>
      <c r="J180" s="370" t="str">
        <f>IF(I180="","",IF(VLOOKUP(I180,'G-7 WaterC'' Data'!$AK$4:$AM$6,2,FALSE)=0,"Spatial Data Missing ⚠",VLOOKUP(I180,'G-7 WaterC'' Data'!$AK$4:$AM$6,2,FALSE)))</f>
        <v/>
      </c>
      <c r="K180" s="363" t="str">
        <f>IF(I180="","",IF(VLOOKUP(I180,'G-7 WaterC'' Data'!$AK$4:$AM$6,3,FALSE)=0,"Spatial Data Missing ⚠",VLOOKUP(I180,'G-7 WaterC'' Data'!$AK$4:$AM$6,3,FALSE)))</f>
        <v/>
      </c>
      <c r="L180" s="362" t="str">
        <f>IFERROR(INDEX('G-7 WaterC'' Data'!$O$3:$O$7,MATCH(G180,'G-7 WaterC'' Data'!$N$3:$N$7,0)),"")</f>
        <v/>
      </c>
      <c r="M180" s="63"/>
      <c r="N180" s="159"/>
      <c r="O180" s="370" t="str">
        <f t="shared" si="10"/>
        <v/>
      </c>
      <c r="P180" s="383" t="str">
        <f t="shared" si="11"/>
        <v/>
      </c>
      <c r="Q180" s="422" t="str">
        <f>IFERROR(IF(P180="Check Data ⚠","Check Data ⚠",VLOOKUP(P180,'G-4 Temporal multipliers'!$A$4:$C$37,3,FALSE)),"")</f>
        <v/>
      </c>
      <c r="R180" s="362" t="str">
        <f>IF(C180="","",VLOOKUP(C180,'G-7 WaterC'' Data'!$B$4:$G$8,4,FALSE))</f>
        <v/>
      </c>
      <c r="S180" s="370" t="str">
        <f t="shared" si="12"/>
        <v/>
      </c>
      <c r="T180" s="401" t="str">
        <f t="shared" si="13"/>
        <v/>
      </c>
      <c r="U180" s="363" t="str">
        <f>IF(C180="","",VLOOKUP(T180,'G-3 Multipliers'!$P$2:$Q$6,2,FALSE))</f>
        <v/>
      </c>
      <c r="V180" s="115"/>
      <c r="W180" s="363" t="str">
        <f>IF(V180="","",IF(VLOOKUP(V180,'G-7 WaterC'' Data'!$AA$4:$AB$7,2,FALSE)=0,"Spatial Data Missing ⚠",VLOOKUP(V180,'G-7 WaterC'' Data'!$AA$4:$AB$7,2,FALSE)))</f>
        <v/>
      </c>
      <c r="X180" s="60"/>
      <c r="Y180" s="363" t="str">
        <f>IF(X180="","",IF(VLOOKUP(X180,'G-7 WaterC'' Data'!$AD$4:$AE$14,2,FALSE)=0,"Enrcoachment Data Missing ⚠",VLOOKUP(X180,'G-7 WaterC'' Data'!$AD$4:$AE$14,2,FALSE)))</f>
        <v/>
      </c>
      <c r="Z180" s="423" t="str">
        <f t="shared" si="14"/>
        <v/>
      </c>
      <c r="AA180" s="117"/>
      <c r="AB180" s="118"/>
      <c r="AC180" s="120"/>
      <c r="AH180" s="30" t="str">
        <f>IFERROR(INDEX('G-7 WaterC'' Data'!$AZ$3:$AZ$7,MATCH(C180,'G-7 WaterC'' Data'!$AY$3:$AY$7,0)),"")</f>
        <v/>
      </c>
    </row>
    <row r="181" spans="2:34" ht="15">
      <c r="B181" s="110">
        <v>170</v>
      </c>
      <c r="C181" s="138"/>
      <c r="D181" s="139"/>
      <c r="E181" s="362" t="str">
        <f>IF(C181="","",VLOOKUP(C181,'G-7 WaterC'' Data'!$B$2:$G$8,2,FALSE))</f>
        <v/>
      </c>
      <c r="F181" s="363" t="str">
        <f>IFERROR(VLOOKUP(E181,'G-7 WaterC'' Data'!$C$4:$D$8,2,FALSE),"")</f>
        <v/>
      </c>
      <c r="G181" s="114"/>
      <c r="H181" s="363" t="str">
        <f>IFERROR(INDEX('G-7 WaterC'' Data'!$H$4:$L$8,MATCH(C181,'G-7 WaterC'' Data'!$B$4:$B$8,0),MATCH(G181,'G-7 WaterC'' Data'!$H$3:$L$3,0)),"")</f>
        <v/>
      </c>
      <c r="I181" s="54"/>
      <c r="J181" s="370" t="str">
        <f>IF(I181="","",IF(VLOOKUP(I181,'G-7 WaterC'' Data'!$AK$4:$AM$6,2,FALSE)=0,"Spatial Data Missing ⚠",VLOOKUP(I181,'G-7 WaterC'' Data'!$AK$4:$AM$6,2,FALSE)))</f>
        <v/>
      </c>
      <c r="K181" s="363" t="str">
        <f>IF(I181="","",IF(VLOOKUP(I181,'G-7 WaterC'' Data'!$AK$4:$AM$6,3,FALSE)=0,"Spatial Data Missing ⚠",VLOOKUP(I181,'G-7 WaterC'' Data'!$AK$4:$AM$6,3,FALSE)))</f>
        <v/>
      </c>
      <c r="L181" s="362" t="str">
        <f>IFERROR(INDEX('G-7 WaterC'' Data'!$O$3:$O$7,MATCH(G181,'G-7 WaterC'' Data'!$N$3:$N$7,0)),"")</f>
        <v/>
      </c>
      <c r="M181" s="63"/>
      <c r="N181" s="159"/>
      <c r="O181" s="370" t="str">
        <f t="shared" si="10"/>
        <v/>
      </c>
      <c r="P181" s="383" t="str">
        <f t="shared" si="11"/>
        <v/>
      </c>
      <c r="Q181" s="422" t="str">
        <f>IFERROR(IF(P181="Check Data ⚠","Check Data ⚠",VLOOKUP(P181,'G-4 Temporal multipliers'!$A$4:$C$37,3,FALSE)),"")</f>
        <v/>
      </c>
      <c r="R181" s="362" t="str">
        <f>IF(C181="","",VLOOKUP(C181,'G-7 WaterC'' Data'!$B$4:$G$8,4,FALSE))</f>
        <v/>
      </c>
      <c r="S181" s="370" t="str">
        <f t="shared" si="12"/>
        <v/>
      </c>
      <c r="T181" s="401" t="str">
        <f t="shared" si="13"/>
        <v/>
      </c>
      <c r="U181" s="363" t="str">
        <f>IF(C181="","",VLOOKUP(T181,'G-3 Multipliers'!$P$2:$Q$6,2,FALSE))</f>
        <v/>
      </c>
      <c r="V181" s="115"/>
      <c r="W181" s="363" t="str">
        <f>IF(V181="","",IF(VLOOKUP(V181,'G-7 WaterC'' Data'!$AA$4:$AB$7,2,FALSE)=0,"Spatial Data Missing ⚠",VLOOKUP(V181,'G-7 WaterC'' Data'!$AA$4:$AB$7,2,FALSE)))</f>
        <v/>
      </c>
      <c r="X181" s="60"/>
      <c r="Y181" s="363" t="str">
        <f>IF(X181="","",IF(VLOOKUP(X181,'G-7 WaterC'' Data'!$AD$4:$AE$14,2,FALSE)=0,"Enrcoachment Data Missing ⚠",VLOOKUP(X181,'G-7 WaterC'' Data'!$AD$4:$AE$14,2,FALSE)))</f>
        <v/>
      </c>
      <c r="Z181" s="423" t="str">
        <f t="shared" si="14"/>
        <v/>
      </c>
      <c r="AA181" s="117"/>
      <c r="AB181" s="118"/>
      <c r="AC181" s="120"/>
      <c r="AH181" s="30" t="str">
        <f>IFERROR(INDEX('G-7 WaterC'' Data'!$AZ$3:$AZ$7,MATCH(C181,'G-7 WaterC'' Data'!$AY$3:$AY$7,0)),"")</f>
        <v/>
      </c>
    </row>
    <row r="182" spans="2:34" ht="15">
      <c r="B182" s="110">
        <v>171</v>
      </c>
      <c r="C182" s="138"/>
      <c r="D182" s="139"/>
      <c r="E182" s="362" t="str">
        <f>IF(C182="","",VLOOKUP(C182,'G-7 WaterC'' Data'!$B$2:$G$8,2,FALSE))</f>
        <v/>
      </c>
      <c r="F182" s="363" t="str">
        <f>IFERROR(VLOOKUP(E182,'G-7 WaterC'' Data'!$C$4:$D$8,2,FALSE),"")</f>
        <v/>
      </c>
      <c r="G182" s="114"/>
      <c r="H182" s="363" t="str">
        <f>IFERROR(INDEX('G-7 WaterC'' Data'!$H$4:$L$8,MATCH(C182,'G-7 WaterC'' Data'!$B$4:$B$8,0),MATCH(G182,'G-7 WaterC'' Data'!$H$3:$L$3,0)),"")</f>
        <v/>
      </c>
      <c r="I182" s="54"/>
      <c r="J182" s="370" t="str">
        <f>IF(I182="","",IF(VLOOKUP(I182,'G-7 WaterC'' Data'!$AK$4:$AM$6,2,FALSE)=0,"Spatial Data Missing ⚠",VLOOKUP(I182,'G-7 WaterC'' Data'!$AK$4:$AM$6,2,FALSE)))</f>
        <v/>
      </c>
      <c r="K182" s="363" t="str">
        <f>IF(I182="","",IF(VLOOKUP(I182,'G-7 WaterC'' Data'!$AK$4:$AM$6,3,FALSE)=0,"Spatial Data Missing ⚠",VLOOKUP(I182,'G-7 WaterC'' Data'!$AK$4:$AM$6,3,FALSE)))</f>
        <v/>
      </c>
      <c r="L182" s="362" t="str">
        <f>IFERROR(INDEX('G-7 WaterC'' Data'!$O$3:$O$7,MATCH(G182,'G-7 WaterC'' Data'!$N$3:$N$7,0)),"")</f>
        <v/>
      </c>
      <c r="M182" s="63"/>
      <c r="N182" s="159"/>
      <c r="O182" s="370" t="str">
        <f t="shared" si="10"/>
        <v/>
      </c>
      <c r="P182" s="383" t="str">
        <f t="shared" si="11"/>
        <v/>
      </c>
      <c r="Q182" s="422" t="str">
        <f>IFERROR(IF(P182="Check Data ⚠","Check Data ⚠",VLOOKUP(P182,'G-4 Temporal multipliers'!$A$4:$C$37,3,FALSE)),"")</f>
        <v/>
      </c>
      <c r="R182" s="362" t="str">
        <f>IF(C182="","",VLOOKUP(C182,'G-7 WaterC'' Data'!$B$4:$G$8,4,FALSE))</f>
        <v/>
      </c>
      <c r="S182" s="370" t="str">
        <f t="shared" si="12"/>
        <v/>
      </c>
      <c r="T182" s="401" t="str">
        <f t="shared" si="13"/>
        <v/>
      </c>
      <c r="U182" s="363" t="str">
        <f>IF(C182="","",VLOOKUP(T182,'G-3 Multipliers'!$P$2:$Q$6,2,FALSE))</f>
        <v/>
      </c>
      <c r="V182" s="115"/>
      <c r="W182" s="363" t="str">
        <f>IF(V182="","",IF(VLOOKUP(V182,'G-7 WaterC'' Data'!$AA$4:$AB$7,2,FALSE)=0,"Spatial Data Missing ⚠",VLOOKUP(V182,'G-7 WaterC'' Data'!$AA$4:$AB$7,2,FALSE)))</f>
        <v/>
      </c>
      <c r="X182" s="60"/>
      <c r="Y182" s="363" t="str">
        <f>IF(X182="","",IF(VLOOKUP(X182,'G-7 WaterC'' Data'!$AD$4:$AE$14,2,FALSE)=0,"Enrcoachment Data Missing ⚠",VLOOKUP(X182,'G-7 WaterC'' Data'!$AD$4:$AE$14,2,FALSE)))</f>
        <v/>
      </c>
      <c r="Z182" s="423" t="str">
        <f t="shared" si="14"/>
        <v/>
      </c>
      <c r="AA182" s="117"/>
      <c r="AB182" s="118"/>
      <c r="AC182" s="120"/>
      <c r="AH182" s="30" t="str">
        <f>IFERROR(INDEX('G-7 WaterC'' Data'!$AZ$3:$AZ$7,MATCH(C182,'G-7 WaterC'' Data'!$AY$3:$AY$7,0)),"")</f>
        <v/>
      </c>
    </row>
    <row r="183" spans="2:34" ht="15">
      <c r="B183" s="110">
        <v>172</v>
      </c>
      <c r="C183" s="138"/>
      <c r="D183" s="139"/>
      <c r="E183" s="362" t="str">
        <f>IF(C183="","",VLOOKUP(C183,'G-7 WaterC'' Data'!$B$2:$G$8,2,FALSE))</f>
        <v/>
      </c>
      <c r="F183" s="363" t="str">
        <f>IFERROR(VLOOKUP(E183,'G-7 WaterC'' Data'!$C$4:$D$8,2,FALSE),"")</f>
        <v/>
      </c>
      <c r="G183" s="114"/>
      <c r="H183" s="363" t="str">
        <f>IFERROR(INDEX('G-7 WaterC'' Data'!$H$4:$L$8,MATCH(C183,'G-7 WaterC'' Data'!$B$4:$B$8,0),MATCH(G183,'G-7 WaterC'' Data'!$H$3:$L$3,0)),"")</f>
        <v/>
      </c>
      <c r="I183" s="54"/>
      <c r="J183" s="370" t="str">
        <f>IF(I183="","",IF(VLOOKUP(I183,'G-7 WaterC'' Data'!$AK$4:$AM$6,2,FALSE)=0,"Spatial Data Missing ⚠",VLOOKUP(I183,'G-7 WaterC'' Data'!$AK$4:$AM$6,2,FALSE)))</f>
        <v/>
      </c>
      <c r="K183" s="363" t="str">
        <f>IF(I183="","",IF(VLOOKUP(I183,'G-7 WaterC'' Data'!$AK$4:$AM$6,3,FALSE)=0,"Spatial Data Missing ⚠",VLOOKUP(I183,'G-7 WaterC'' Data'!$AK$4:$AM$6,3,FALSE)))</f>
        <v/>
      </c>
      <c r="L183" s="362" t="str">
        <f>IFERROR(INDEX('G-7 WaterC'' Data'!$O$3:$O$7,MATCH(G183,'G-7 WaterC'' Data'!$N$3:$N$7,0)),"")</f>
        <v/>
      </c>
      <c r="M183" s="63"/>
      <c r="N183" s="159"/>
      <c r="O183" s="370" t="str">
        <f t="shared" si="10"/>
        <v/>
      </c>
      <c r="P183" s="383" t="str">
        <f t="shared" si="11"/>
        <v/>
      </c>
      <c r="Q183" s="422" t="str">
        <f>IFERROR(IF(P183="Check Data ⚠","Check Data ⚠",VLOOKUP(P183,'G-4 Temporal multipliers'!$A$4:$C$37,3,FALSE)),"")</f>
        <v/>
      </c>
      <c r="R183" s="362" t="str">
        <f>IF(C183="","",VLOOKUP(C183,'G-7 WaterC'' Data'!$B$4:$G$8,4,FALSE))</f>
        <v/>
      </c>
      <c r="S183" s="370" t="str">
        <f t="shared" si="12"/>
        <v/>
      </c>
      <c r="T183" s="401" t="str">
        <f t="shared" si="13"/>
        <v/>
      </c>
      <c r="U183" s="363" t="str">
        <f>IF(C183="","",VLOOKUP(T183,'G-3 Multipliers'!$P$2:$Q$6,2,FALSE))</f>
        <v/>
      </c>
      <c r="V183" s="115"/>
      <c r="W183" s="363" t="str">
        <f>IF(V183="","",IF(VLOOKUP(V183,'G-7 WaterC'' Data'!$AA$4:$AB$7,2,FALSE)=0,"Spatial Data Missing ⚠",VLOOKUP(V183,'G-7 WaterC'' Data'!$AA$4:$AB$7,2,FALSE)))</f>
        <v/>
      </c>
      <c r="X183" s="60"/>
      <c r="Y183" s="363" t="str">
        <f>IF(X183="","",IF(VLOOKUP(X183,'G-7 WaterC'' Data'!$AD$4:$AE$14,2,FALSE)=0,"Enrcoachment Data Missing ⚠",VLOOKUP(X183,'G-7 WaterC'' Data'!$AD$4:$AE$14,2,FALSE)))</f>
        <v/>
      </c>
      <c r="Z183" s="423" t="str">
        <f t="shared" si="14"/>
        <v/>
      </c>
      <c r="AA183" s="117"/>
      <c r="AB183" s="118"/>
      <c r="AC183" s="120"/>
      <c r="AH183" s="30" t="str">
        <f>IFERROR(INDEX('G-7 WaterC'' Data'!$AZ$3:$AZ$7,MATCH(C183,'G-7 WaterC'' Data'!$AY$3:$AY$7,0)),"")</f>
        <v/>
      </c>
    </row>
    <row r="184" spans="2:34" ht="15">
      <c r="B184" s="110">
        <v>173</v>
      </c>
      <c r="C184" s="138"/>
      <c r="D184" s="139"/>
      <c r="E184" s="362" t="str">
        <f>IF(C184="","",VLOOKUP(C184,'G-7 WaterC'' Data'!$B$2:$G$8,2,FALSE))</f>
        <v/>
      </c>
      <c r="F184" s="363" t="str">
        <f>IFERROR(VLOOKUP(E184,'G-7 WaterC'' Data'!$C$4:$D$8,2,FALSE),"")</f>
        <v/>
      </c>
      <c r="G184" s="114"/>
      <c r="H184" s="363" t="str">
        <f>IFERROR(INDEX('G-7 WaterC'' Data'!$H$4:$L$8,MATCH(C184,'G-7 WaterC'' Data'!$B$4:$B$8,0),MATCH(G184,'G-7 WaterC'' Data'!$H$3:$L$3,0)),"")</f>
        <v/>
      </c>
      <c r="I184" s="54"/>
      <c r="J184" s="370" t="str">
        <f>IF(I184="","",IF(VLOOKUP(I184,'G-7 WaterC'' Data'!$AK$4:$AM$6,2,FALSE)=0,"Spatial Data Missing ⚠",VLOOKUP(I184,'G-7 WaterC'' Data'!$AK$4:$AM$6,2,FALSE)))</f>
        <v/>
      </c>
      <c r="K184" s="363" t="str">
        <f>IF(I184="","",IF(VLOOKUP(I184,'G-7 WaterC'' Data'!$AK$4:$AM$6,3,FALSE)=0,"Spatial Data Missing ⚠",VLOOKUP(I184,'G-7 WaterC'' Data'!$AK$4:$AM$6,3,FALSE)))</f>
        <v/>
      </c>
      <c r="L184" s="362" t="str">
        <f>IFERROR(INDEX('G-7 WaterC'' Data'!$O$3:$O$7,MATCH(G184,'G-7 WaterC'' Data'!$N$3:$N$7,0)),"")</f>
        <v/>
      </c>
      <c r="M184" s="63"/>
      <c r="N184" s="159"/>
      <c r="O184" s="370" t="str">
        <f t="shared" si="10"/>
        <v/>
      </c>
      <c r="P184" s="383" t="str">
        <f t="shared" si="11"/>
        <v/>
      </c>
      <c r="Q184" s="422" t="str">
        <f>IFERROR(IF(P184="Check Data ⚠","Check Data ⚠",VLOOKUP(P184,'G-4 Temporal multipliers'!$A$4:$C$37,3,FALSE)),"")</f>
        <v/>
      </c>
      <c r="R184" s="362" t="str">
        <f>IF(C184="","",VLOOKUP(C184,'G-7 WaterC'' Data'!$B$4:$G$8,4,FALSE))</f>
        <v/>
      </c>
      <c r="S184" s="370" t="str">
        <f t="shared" si="12"/>
        <v/>
      </c>
      <c r="T184" s="401" t="str">
        <f t="shared" si="13"/>
        <v/>
      </c>
      <c r="U184" s="363" t="str">
        <f>IF(C184="","",VLOOKUP(T184,'G-3 Multipliers'!$P$2:$Q$6,2,FALSE))</f>
        <v/>
      </c>
      <c r="V184" s="115"/>
      <c r="W184" s="363" t="str">
        <f>IF(V184="","",IF(VLOOKUP(V184,'G-7 WaterC'' Data'!$AA$4:$AB$7,2,FALSE)=0,"Spatial Data Missing ⚠",VLOOKUP(V184,'G-7 WaterC'' Data'!$AA$4:$AB$7,2,FALSE)))</f>
        <v/>
      </c>
      <c r="X184" s="60"/>
      <c r="Y184" s="363" t="str">
        <f>IF(X184="","",IF(VLOOKUP(X184,'G-7 WaterC'' Data'!$AD$4:$AE$14,2,FALSE)=0,"Enrcoachment Data Missing ⚠",VLOOKUP(X184,'G-7 WaterC'' Data'!$AD$4:$AE$14,2,FALSE)))</f>
        <v/>
      </c>
      <c r="Z184" s="423" t="str">
        <f t="shared" si="14"/>
        <v/>
      </c>
      <c r="AA184" s="117"/>
      <c r="AB184" s="118"/>
      <c r="AC184" s="120"/>
      <c r="AH184" s="30" t="str">
        <f>IFERROR(INDEX('G-7 WaterC'' Data'!$AZ$3:$AZ$7,MATCH(C184,'G-7 WaterC'' Data'!$AY$3:$AY$7,0)),"")</f>
        <v/>
      </c>
    </row>
    <row r="185" spans="2:34" ht="15">
      <c r="B185" s="110">
        <v>174</v>
      </c>
      <c r="C185" s="138"/>
      <c r="D185" s="139"/>
      <c r="E185" s="362" t="str">
        <f>IF(C185="","",VLOOKUP(C185,'G-7 WaterC'' Data'!$B$2:$G$8,2,FALSE))</f>
        <v/>
      </c>
      <c r="F185" s="363" t="str">
        <f>IFERROR(VLOOKUP(E185,'G-7 WaterC'' Data'!$C$4:$D$8,2,FALSE),"")</f>
        <v/>
      </c>
      <c r="G185" s="114"/>
      <c r="H185" s="363" t="str">
        <f>IFERROR(INDEX('G-7 WaterC'' Data'!$H$4:$L$8,MATCH(C185,'G-7 WaterC'' Data'!$B$4:$B$8,0),MATCH(G185,'G-7 WaterC'' Data'!$H$3:$L$3,0)),"")</f>
        <v/>
      </c>
      <c r="I185" s="54"/>
      <c r="J185" s="370" t="str">
        <f>IF(I185="","",IF(VLOOKUP(I185,'G-7 WaterC'' Data'!$AK$4:$AM$6,2,FALSE)=0,"Spatial Data Missing ⚠",VLOOKUP(I185,'G-7 WaterC'' Data'!$AK$4:$AM$6,2,FALSE)))</f>
        <v/>
      </c>
      <c r="K185" s="363" t="str">
        <f>IF(I185="","",IF(VLOOKUP(I185,'G-7 WaterC'' Data'!$AK$4:$AM$6,3,FALSE)=0,"Spatial Data Missing ⚠",VLOOKUP(I185,'G-7 WaterC'' Data'!$AK$4:$AM$6,3,FALSE)))</f>
        <v/>
      </c>
      <c r="L185" s="362" t="str">
        <f>IFERROR(INDEX('G-7 WaterC'' Data'!$O$3:$O$7,MATCH(G185,'G-7 WaterC'' Data'!$N$3:$N$7,0)),"")</f>
        <v/>
      </c>
      <c r="M185" s="63"/>
      <c r="N185" s="159"/>
      <c r="O185" s="370" t="str">
        <f t="shared" si="10"/>
        <v/>
      </c>
      <c r="P185" s="383" t="str">
        <f t="shared" si="11"/>
        <v/>
      </c>
      <c r="Q185" s="422" t="str">
        <f>IFERROR(IF(P185="Check Data ⚠","Check Data ⚠",VLOOKUP(P185,'G-4 Temporal multipliers'!$A$4:$C$37,3,FALSE)),"")</f>
        <v/>
      </c>
      <c r="R185" s="362" t="str">
        <f>IF(C185="","",VLOOKUP(C185,'G-7 WaterC'' Data'!$B$4:$G$8,4,FALSE))</f>
        <v/>
      </c>
      <c r="S185" s="370" t="str">
        <f t="shared" si="12"/>
        <v/>
      </c>
      <c r="T185" s="401" t="str">
        <f t="shared" si="13"/>
        <v/>
      </c>
      <c r="U185" s="363" t="str">
        <f>IF(C185="","",VLOOKUP(T185,'G-3 Multipliers'!$P$2:$Q$6,2,FALSE))</f>
        <v/>
      </c>
      <c r="V185" s="115"/>
      <c r="W185" s="363" t="str">
        <f>IF(V185="","",IF(VLOOKUP(V185,'G-7 WaterC'' Data'!$AA$4:$AB$7,2,FALSE)=0,"Spatial Data Missing ⚠",VLOOKUP(V185,'G-7 WaterC'' Data'!$AA$4:$AB$7,2,FALSE)))</f>
        <v/>
      </c>
      <c r="X185" s="60"/>
      <c r="Y185" s="363" t="str">
        <f>IF(X185="","",IF(VLOOKUP(X185,'G-7 WaterC'' Data'!$AD$4:$AE$14,2,FALSE)=0,"Enrcoachment Data Missing ⚠",VLOOKUP(X185,'G-7 WaterC'' Data'!$AD$4:$AE$14,2,FALSE)))</f>
        <v/>
      </c>
      <c r="Z185" s="423" t="str">
        <f t="shared" si="14"/>
        <v/>
      </c>
      <c r="AA185" s="117"/>
      <c r="AB185" s="118"/>
      <c r="AC185" s="120"/>
      <c r="AH185" s="30" t="str">
        <f>IFERROR(INDEX('G-7 WaterC'' Data'!$AZ$3:$AZ$7,MATCH(C185,'G-7 WaterC'' Data'!$AY$3:$AY$7,0)),"")</f>
        <v/>
      </c>
    </row>
    <row r="186" spans="2:34" ht="15">
      <c r="B186" s="110">
        <v>175</v>
      </c>
      <c r="C186" s="138"/>
      <c r="D186" s="139"/>
      <c r="E186" s="362" t="str">
        <f>IF(C186="","",VLOOKUP(C186,'G-7 WaterC'' Data'!$B$2:$G$8,2,FALSE))</f>
        <v/>
      </c>
      <c r="F186" s="363" t="str">
        <f>IFERROR(VLOOKUP(E186,'G-7 WaterC'' Data'!$C$4:$D$8,2,FALSE),"")</f>
        <v/>
      </c>
      <c r="G186" s="114"/>
      <c r="H186" s="363" t="str">
        <f>IFERROR(INDEX('G-7 WaterC'' Data'!$H$4:$L$8,MATCH(C186,'G-7 WaterC'' Data'!$B$4:$B$8,0),MATCH(G186,'G-7 WaterC'' Data'!$H$3:$L$3,0)),"")</f>
        <v/>
      </c>
      <c r="I186" s="54"/>
      <c r="J186" s="370" t="str">
        <f>IF(I186="","",IF(VLOOKUP(I186,'G-7 WaterC'' Data'!$AK$4:$AM$6,2,FALSE)=0,"Spatial Data Missing ⚠",VLOOKUP(I186,'G-7 WaterC'' Data'!$AK$4:$AM$6,2,FALSE)))</f>
        <v/>
      </c>
      <c r="K186" s="363" t="str">
        <f>IF(I186="","",IF(VLOOKUP(I186,'G-7 WaterC'' Data'!$AK$4:$AM$6,3,FALSE)=0,"Spatial Data Missing ⚠",VLOOKUP(I186,'G-7 WaterC'' Data'!$AK$4:$AM$6,3,FALSE)))</f>
        <v/>
      </c>
      <c r="L186" s="362" t="str">
        <f>IFERROR(INDEX('G-7 WaterC'' Data'!$O$3:$O$7,MATCH(G186,'G-7 WaterC'' Data'!$N$3:$N$7,0)),"")</f>
        <v/>
      </c>
      <c r="M186" s="63"/>
      <c r="N186" s="159"/>
      <c r="O186" s="370" t="str">
        <f t="shared" si="10"/>
        <v/>
      </c>
      <c r="P186" s="383" t="str">
        <f t="shared" si="11"/>
        <v/>
      </c>
      <c r="Q186" s="422" t="str">
        <f>IFERROR(IF(P186="Check Data ⚠","Check Data ⚠",VLOOKUP(P186,'G-4 Temporal multipliers'!$A$4:$C$37,3,FALSE)),"")</f>
        <v/>
      </c>
      <c r="R186" s="362" t="str">
        <f>IF(C186="","",VLOOKUP(C186,'G-7 WaterC'' Data'!$B$4:$G$8,4,FALSE))</f>
        <v/>
      </c>
      <c r="S186" s="370" t="str">
        <f t="shared" si="12"/>
        <v/>
      </c>
      <c r="T186" s="401" t="str">
        <f t="shared" si="13"/>
        <v/>
      </c>
      <c r="U186" s="363" t="str">
        <f>IF(C186="","",VLOOKUP(T186,'G-3 Multipliers'!$P$2:$Q$6,2,FALSE))</f>
        <v/>
      </c>
      <c r="V186" s="115"/>
      <c r="W186" s="363" t="str">
        <f>IF(V186="","",IF(VLOOKUP(V186,'G-7 WaterC'' Data'!$AA$4:$AB$7,2,FALSE)=0,"Spatial Data Missing ⚠",VLOOKUP(V186,'G-7 WaterC'' Data'!$AA$4:$AB$7,2,FALSE)))</f>
        <v/>
      </c>
      <c r="X186" s="60"/>
      <c r="Y186" s="363" t="str">
        <f>IF(X186="","",IF(VLOOKUP(X186,'G-7 WaterC'' Data'!$AD$4:$AE$14,2,FALSE)=0,"Enrcoachment Data Missing ⚠",VLOOKUP(X186,'G-7 WaterC'' Data'!$AD$4:$AE$14,2,FALSE)))</f>
        <v/>
      </c>
      <c r="Z186" s="423" t="str">
        <f t="shared" si="14"/>
        <v/>
      </c>
      <c r="AA186" s="117"/>
      <c r="AB186" s="118"/>
      <c r="AC186" s="120"/>
      <c r="AH186" s="30" t="str">
        <f>IFERROR(INDEX('G-7 WaterC'' Data'!$AZ$3:$AZ$7,MATCH(C186,'G-7 WaterC'' Data'!$AY$3:$AY$7,0)),"")</f>
        <v/>
      </c>
    </row>
    <row r="187" spans="2:34" ht="15">
      <c r="B187" s="110">
        <v>176</v>
      </c>
      <c r="C187" s="138"/>
      <c r="D187" s="139"/>
      <c r="E187" s="362" t="str">
        <f>IF(C187="","",VLOOKUP(C187,'G-7 WaterC'' Data'!$B$2:$G$8,2,FALSE))</f>
        <v/>
      </c>
      <c r="F187" s="363" t="str">
        <f>IFERROR(VLOOKUP(E187,'G-7 WaterC'' Data'!$C$4:$D$8,2,FALSE),"")</f>
        <v/>
      </c>
      <c r="G187" s="114"/>
      <c r="H187" s="363" t="str">
        <f>IFERROR(INDEX('G-7 WaterC'' Data'!$H$4:$L$8,MATCH(C187,'G-7 WaterC'' Data'!$B$4:$B$8,0),MATCH(G187,'G-7 WaterC'' Data'!$H$3:$L$3,0)),"")</f>
        <v/>
      </c>
      <c r="I187" s="54"/>
      <c r="J187" s="370" t="str">
        <f>IF(I187="","",IF(VLOOKUP(I187,'G-7 WaterC'' Data'!$AK$4:$AM$6,2,FALSE)=0,"Spatial Data Missing ⚠",VLOOKUP(I187,'G-7 WaterC'' Data'!$AK$4:$AM$6,2,FALSE)))</f>
        <v/>
      </c>
      <c r="K187" s="363" t="str">
        <f>IF(I187="","",IF(VLOOKUP(I187,'G-7 WaterC'' Data'!$AK$4:$AM$6,3,FALSE)=0,"Spatial Data Missing ⚠",VLOOKUP(I187,'G-7 WaterC'' Data'!$AK$4:$AM$6,3,FALSE)))</f>
        <v/>
      </c>
      <c r="L187" s="362" t="str">
        <f>IFERROR(INDEX('G-7 WaterC'' Data'!$O$3:$O$7,MATCH(G187,'G-7 WaterC'' Data'!$N$3:$N$7,0)),"")</f>
        <v/>
      </c>
      <c r="M187" s="63"/>
      <c r="N187" s="159"/>
      <c r="O187" s="370" t="str">
        <f t="shared" si="10"/>
        <v/>
      </c>
      <c r="P187" s="383" t="str">
        <f t="shared" si="11"/>
        <v/>
      </c>
      <c r="Q187" s="422" t="str">
        <f>IFERROR(IF(P187="Check Data ⚠","Check Data ⚠",VLOOKUP(P187,'G-4 Temporal multipliers'!$A$4:$C$37,3,FALSE)),"")</f>
        <v/>
      </c>
      <c r="R187" s="362" t="str">
        <f>IF(C187="","",VLOOKUP(C187,'G-7 WaterC'' Data'!$B$4:$G$8,4,FALSE))</f>
        <v/>
      </c>
      <c r="S187" s="370" t="str">
        <f t="shared" si="12"/>
        <v/>
      </c>
      <c r="T187" s="401" t="str">
        <f t="shared" si="13"/>
        <v/>
      </c>
      <c r="U187" s="363" t="str">
        <f>IF(C187="","",VLOOKUP(T187,'G-3 Multipliers'!$P$2:$Q$6,2,FALSE))</f>
        <v/>
      </c>
      <c r="V187" s="115"/>
      <c r="W187" s="363" t="str">
        <f>IF(V187="","",IF(VLOOKUP(V187,'G-7 WaterC'' Data'!$AA$4:$AB$7,2,FALSE)=0,"Spatial Data Missing ⚠",VLOOKUP(V187,'G-7 WaterC'' Data'!$AA$4:$AB$7,2,FALSE)))</f>
        <v/>
      </c>
      <c r="X187" s="60"/>
      <c r="Y187" s="363" t="str">
        <f>IF(X187="","",IF(VLOOKUP(X187,'G-7 WaterC'' Data'!$AD$4:$AE$14,2,FALSE)=0,"Enrcoachment Data Missing ⚠",VLOOKUP(X187,'G-7 WaterC'' Data'!$AD$4:$AE$14,2,FALSE)))</f>
        <v/>
      </c>
      <c r="Z187" s="423" t="str">
        <f t="shared" si="14"/>
        <v/>
      </c>
      <c r="AA187" s="117"/>
      <c r="AB187" s="118"/>
      <c r="AC187" s="120"/>
      <c r="AH187" s="30" t="str">
        <f>IFERROR(INDEX('G-7 WaterC'' Data'!$AZ$3:$AZ$7,MATCH(C187,'G-7 WaterC'' Data'!$AY$3:$AY$7,0)),"")</f>
        <v/>
      </c>
    </row>
    <row r="188" spans="2:34" ht="15">
      <c r="B188" s="110">
        <v>177</v>
      </c>
      <c r="C188" s="138"/>
      <c r="D188" s="139"/>
      <c r="E188" s="362" t="str">
        <f>IF(C188="","",VLOOKUP(C188,'G-7 WaterC'' Data'!$B$2:$G$8,2,FALSE))</f>
        <v/>
      </c>
      <c r="F188" s="363" t="str">
        <f>IFERROR(VLOOKUP(E188,'G-7 WaterC'' Data'!$C$4:$D$8,2,FALSE),"")</f>
        <v/>
      </c>
      <c r="G188" s="114"/>
      <c r="H188" s="363" t="str">
        <f>IFERROR(INDEX('G-7 WaterC'' Data'!$H$4:$L$8,MATCH(C188,'G-7 WaterC'' Data'!$B$4:$B$8,0),MATCH(G188,'G-7 WaterC'' Data'!$H$3:$L$3,0)),"")</f>
        <v/>
      </c>
      <c r="I188" s="54"/>
      <c r="J188" s="370" t="str">
        <f>IF(I188="","",IF(VLOOKUP(I188,'G-7 WaterC'' Data'!$AK$4:$AM$6,2,FALSE)=0,"Spatial Data Missing ⚠",VLOOKUP(I188,'G-7 WaterC'' Data'!$AK$4:$AM$6,2,FALSE)))</f>
        <v/>
      </c>
      <c r="K188" s="363" t="str">
        <f>IF(I188="","",IF(VLOOKUP(I188,'G-7 WaterC'' Data'!$AK$4:$AM$6,3,FALSE)=0,"Spatial Data Missing ⚠",VLOOKUP(I188,'G-7 WaterC'' Data'!$AK$4:$AM$6,3,FALSE)))</f>
        <v/>
      </c>
      <c r="L188" s="362" t="str">
        <f>IFERROR(INDEX('G-7 WaterC'' Data'!$O$3:$O$7,MATCH(G188,'G-7 WaterC'' Data'!$N$3:$N$7,0)),"")</f>
        <v/>
      </c>
      <c r="M188" s="63"/>
      <c r="N188" s="159"/>
      <c r="O188" s="370" t="str">
        <f t="shared" si="10"/>
        <v/>
      </c>
      <c r="P188" s="383" t="str">
        <f t="shared" si="11"/>
        <v/>
      </c>
      <c r="Q188" s="422" t="str">
        <f>IFERROR(IF(P188="Check Data ⚠","Check Data ⚠",VLOOKUP(P188,'G-4 Temporal multipliers'!$A$4:$C$37,3,FALSE)),"")</f>
        <v/>
      </c>
      <c r="R188" s="362" t="str">
        <f>IF(C188="","",VLOOKUP(C188,'G-7 WaterC'' Data'!$B$4:$G$8,4,FALSE))</f>
        <v/>
      </c>
      <c r="S188" s="370" t="str">
        <f t="shared" si="12"/>
        <v/>
      </c>
      <c r="T188" s="401" t="str">
        <f t="shared" si="13"/>
        <v/>
      </c>
      <c r="U188" s="363" t="str">
        <f>IF(C188="","",VLOOKUP(T188,'G-3 Multipliers'!$P$2:$Q$6,2,FALSE))</f>
        <v/>
      </c>
      <c r="V188" s="115"/>
      <c r="W188" s="363" t="str">
        <f>IF(V188="","",IF(VLOOKUP(V188,'G-7 WaterC'' Data'!$AA$4:$AB$7,2,FALSE)=0,"Spatial Data Missing ⚠",VLOOKUP(V188,'G-7 WaterC'' Data'!$AA$4:$AB$7,2,FALSE)))</f>
        <v/>
      </c>
      <c r="X188" s="60"/>
      <c r="Y188" s="363" t="str">
        <f>IF(X188="","",IF(VLOOKUP(X188,'G-7 WaterC'' Data'!$AD$4:$AE$14,2,FALSE)=0,"Enrcoachment Data Missing ⚠",VLOOKUP(X188,'G-7 WaterC'' Data'!$AD$4:$AE$14,2,FALSE)))</f>
        <v/>
      </c>
      <c r="Z188" s="423" t="str">
        <f t="shared" si="14"/>
        <v/>
      </c>
      <c r="AA188" s="117"/>
      <c r="AB188" s="118"/>
      <c r="AC188" s="120"/>
      <c r="AH188" s="30" t="str">
        <f>IFERROR(INDEX('G-7 WaterC'' Data'!$AZ$3:$AZ$7,MATCH(C188,'G-7 WaterC'' Data'!$AY$3:$AY$7,0)),"")</f>
        <v/>
      </c>
    </row>
    <row r="189" spans="2:34" ht="15">
      <c r="B189" s="110">
        <v>178</v>
      </c>
      <c r="C189" s="138"/>
      <c r="D189" s="139"/>
      <c r="E189" s="362" t="str">
        <f>IF(C189="","",VLOOKUP(C189,'G-7 WaterC'' Data'!$B$2:$G$8,2,FALSE))</f>
        <v/>
      </c>
      <c r="F189" s="363" t="str">
        <f>IFERROR(VLOOKUP(E189,'G-7 WaterC'' Data'!$C$4:$D$8,2,FALSE),"")</f>
        <v/>
      </c>
      <c r="G189" s="114"/>
      <c r="H189" s="363" t="str">
        <f>IFERROR(INDEX('G-7 WaterC'' Data'!$H$4:$L$8,MATCH(C189,'G-7 WaterC'' Data'!$B$4:$B$8,0),MATCH(G189,'G-7 WaterC'' Data'!$H$3:$L$3,0)),"")</f>
        <v/>
      </c>
      <c r="I189" s="54"/>
      <c r="J189" s="370" t="str">
        <f>IF(I189="","",IF(VLOOKUP(I189,'G-7 WaterC'' Data'!$AK$4:$AM$6,2,FALSE)=0,"Spatial Data Missing ⚠",VLOOKUP(I189,'G-7 WaterC'' Data'!$AK$4:$AM$6,2,FALSE)))</f>
        <v/>
      </c>
      <c r="K189" s="363" t="str">
        <f>IF(I189="","",IF(VLOOKUP(I189,'G-7 WaterC'' Data'!$AK$4:$AM$6,3,FALSE)=0,"Spatial Data Missing ⚠",VLOOKUP(I189,'G-7 WaterC'' Data'!$AK$4:$AM$6,3,FALSE)))</f>
        <v/>
      </c>
      <c r="L189" s="362" t="str">
        <f>IFERROR(INDEX('G-7 WaterC'' Data'!$O$3:$O$7,MATCH(G189,'G-7 WaterC'' Data'!$N$3:$N$7,0)),"")</f>
        <v/>
      </c>
      <c r="M189" s="63"/>
      <c r="N189" s="159"/>
      <c r="O189" s="370" t="str">
        <f t="shared" si="10"/>
        <v/>
      </c>
      <c r="P189" s="383" t="str">
        <f t="shared" si="11"/>
        <v/>
      </c>
      <c r="Q189" s="422" t="str">
        <f>IFERROR(IF(P189="Check Data ⚠","Check Data ⚠",VLOOKUP(P189,'G-4 Temporal multipliers'!$A$4:$C$37,3,FALSE)),"")</f>
        <v/>
      </c>
      <c r="R189" s="362" t="str">
        <f>IF(C189="","",VLOOKUP(C189,'G-7 WaterC'' Data'!$B$4:$G$8,4,FALSE))</f>
        <v/>
      </c>
      <c r="S189" s="370" t="str">
        <f t="shared" si="12"/>
        <v/>
      </c>
      <c r="T189" s="401" t="str">
        <f t="shared" si="13"/>
        <v/>
      </c>
      <c r="U189" s="363" t="str">
        <f>IF(C189="","",VLOOKUP(T189,'G-3 Multipliers'!$P$2:$Q$6,2,FALSE))</f>
        <v/>
      </c>
      <c r="V189" s="115"/>
      <c r="W189" s="363" t="str">
        <f>IF(V189="","",IF(VLOOKUP(V189,'G-7 WaterC'' Data'!$AA$4:$AB$7,2,FALSE)=0,"Spatial Data Missing ⚠",VLOOKUP(V189,'G-7 WaterC'' Data'!$AA$4:$AB$7,2,FALSE)))</f>
        <v/>
      </c>
      <c r="X189" s="60"/>
      <c r="Y189" s="363" t="str">
        <f>IF(X189="","",IF(VLOOKUP(X189,'G-7 WaterC'' Data'!$AD$4:$AE$14,2,FALSE)=0,"Enrcoachment Data Missing ⚠",VLOOKUP(X189,'G-7 WaterC'' Data'!$AD$4:$AE$14,2,FALSE)))</f>
        <v/>
      </c>
      <c r="Z189" s="423" t="str">
        <f t="shared" si="14"/>
        <v/>
      </c>
      <c r="AA189" s="117"/>
      <c r="AB189" s="118"/>
      <c r="AC189" s="120"/>
      <c r="AH189" s="30" t="str">
        <f>IFERROR(INDEX('G-7 WaterC'' Data'!$AZ$3:$AZ$7,MATCH(C189,'G-7 WaterC'' Data'!$AY$3:$AY$7,0)),"")</f>
        <v/>
      </c>
    </row>
    <row r="190" spans="2:34" ht="15">
      <c r="B190" s="110">
        <v>179</v>
      </c>
      <c r="C190" s="138"/>
      <c r="D190" s="139"/>
      <c r="E190" s="362" t="str">
        <f>IF(C190="","",VLOOKUP(C190,'G-7 WaterC'' Data'!$B$2:$G$8,2,FALSE))</f>
        <v/>
      </c>
      <c r="F190" s="363" t="str">
        <f>IFERROR(VLOOKUP(E190,'G-7 WaterC'' Data'!$C$4:$D$8,2,FALSE),"")</f>
        <v/>
      </c>
      <c r="G190" s="114"/>
      <c r="H190" s="363" t="str">
        <f>IFERROR(INDEX('G-7 WaterC'' Data'!$H$4:$L$8,MATCH(C190,'G-7 WaterC'' Data'!$B$4:$B$8,0),MATCH(G190,'G-7 WaterC'' Data'!$H$3:$L$3,0)),"")</f>
        <v/>
      </c>
      <c r="I190" s="54"/>
      <c r="J190" s="370" t="str">
        <f>IF(I190="","",IF(VLOOKUP(I190,'G-7 WaterC'' Data'!$AK$4:$AM$6,2,FALSE)=0,"Spatial Data Missing ⚠",VLOOKUP(I190,'G-7 WaterC'' Data'!$AK$4:$AM$6,2,FALSE)))</f>
        <v/>
      </c>
      <c r="K190" s="363" t="str">
        <f>IF(I190="","",IF(VLOOKUP(I190,'G-7 WaterC'' Data'!$AK$4:$AM$6,3,FALSE)=0,"Spatial Data Missing ⚠",VLOOKUP(I190,'G-7 WaterC'' Data'!$AK$4:$AM$6,3,FALSE)))</f>
        <v/>
      </c>
      <c r="L190" s="362" t="str">
        <f>IFERROR(INDEX('G-7 WaterC'' Data'!$O$3:$O$7,MATCH(G190,'G-7 WaterC'' Data'!$N$3:$N$7,0)),"")</f>
        <v/>
      </c>
      <c r="M190" s="63"/>
      <c r="N190" s="159"/>
      <c r="O190" s="370" t="str">
        <f t="shared" si="10"/>
        <v/>
      </c>
      <c r="P190" s="383" t="str">
        <f t="shared" si="11"/>
        <v/>
      </c>
      <c r="Q190" s="422" t="str">
        <f>IFERROR(IF(P190="Check Data ⚠","Check Data ⚠",VLOOKUP(P190,'G-4 Temporal multipliers'!$A$4:$C$37,3,FALSE)),"")</f>
        <v/>
      </c>
      <c r="R190" s="362" t="str">
        <f>IF(C190="","",VLOOKUP(C190,'G-7 WaterC'' Data'!$B$4:$G$8,4,FALSE))</f>
        <v/>
      </c>
      <c r="S190" s="370" t="str">
        <f t="shared" si="12"/>
        <v/>
      </c>
      <c r="T190" s="401" t="str">
        <f t="shared" si="13"/>
        <v/>
      </c>
      <c r="U190" s="363" t="str">
        <f>IF(C190="","",VLOOKUP(T190,'G-3 Multipliers'!$P$2:$Q$6,2,FALSE))</f>
        <v/>
      </c>
      <c r="V190" s="115"/>
      <c r="W190" s="363" t="str">
        <f>IF(V190="","",IF(VLOOKUP(V190,'G-7 WaterC'' Data'!$AA$4:$AB$7,2,FALSE)=0,"Spatial Data Missing ⚠",VLOOKUP(V190,'G-7 WaterC'' Data'!$AA$4:$AB$7,2,FALSE)))</f>
        <v/>
      </c>
      <c r="X190" s="60"/>
      <c r="Y190" s="363" t="str">
        <f>IF(X190="","",IF(VLOOKUP(X190,'G-7 WaterC'' Data'!$AD$4:$AE$14,2,FALSE)=0,"Enrcoachment Data Missing ⚠",VLOOKUP(X190,'G-7 WaterC'' Data'!$AD$4:$AE$14,2,FALSE)))</f>
        <v/>
      </c>
      <c r="Z190" s="423" t="str">
        <f t="shared" si="14"/>
        <v/>
      </c>
      <c r="AA190" s="117"/>
      <c r="AB190" s="118"/>
      <c r="AC190" s="120"/>
      <c r="AH190" s="30" t="str">
        <f>IFERROR(INDEX('G-7 WaterC'' Data'!$AZ$3:$AZ$7,MATCH(C190,'G-7 WaterC'' Data'!$AY$3:$AY$7,0)),"")</f>
        <v/>
      </c>
    </row>
    <row r="191" spans="2:34" ht="15">
      <c r="B191" s="110">
        <v>180</v>
      </c>
      <c r="C191" s="138"/>
      <c r="D191" s="139"/>
      <c r="E191" s="362" t="str">
        <f>IF(C191="","",VLOOKUP(C191,'G-7 WaterC'' Data'!$B$2:$G$8,2,FALSE))</f>
        <v/>
      </c>
      <c r="F191" s="363" t="str">
        <f>IFERROR(VLOOKUP(E191,'G-7 WaterC'' Data'!$C$4:$D$8,2,FALSE),"")</f>
        <v/>
      </c>
      <c r="G191" s="114"/>
      <c r="H191" s="363" t="str">
        <f>IFERROR(INDEX('G-7 WaterC'' Data'!$H$4:$L$8,MATCH(C191,'G-7 WaterC'' Data'!$B$4:$B$8,0),MATCH(G191,'G-7 WaterC'' Data'!$H$3:$L$3,0)),"")</f>
        <v/>
      </c>
      <c r="I191" s="54"/>
      <c r="J191" s="370" t="str">
        <f>IF(I191="","",IF(VLOOKUP(I191,'G-7 WaterC'' Data'!$AK$4:$AM$6,2,FALSE)=0,"Spatial Data Missing ⚠",VLOOKUP(I191,'G-7 WaterC'' Data'!$AK$4:$AM$6,2,FALSE)))</f>
        <v/>
      </c>
      <c r="K191" s="363" t="str">
        <f>IF(I191="","",IF(VLOOKUP(I191,'G-7 WaterC'' Data'!$AK$4:$AM$6,3,FALSE)=0,"Spatial Data Missing ⚠",VLOOKUP(I191,'G-7 WaterC'' Data'!$AK$4:$AM$6,3,FALSE)))</f>
        <v/>
      </c>
      <c r="L191" s="362" t="str">
        <f>IFERROR(INDEX('G-7 WaterC'' Data'!$O$3:$O$7,MATCH(G191,'G-7 WaterC'' Data'!$N$3:$N$7,0)),"")</f>
        <v/>
      </c>
      <c r="M191" s="63"/>
      <c r="N191" s="159"/>
      <c r="O191" s="370" t="str">
        <f t="shared" si="10"/>
        <v/>
      </c>
      <c r="P191" s="383" t="str">
        <f t="shared" si="11"/>
        <v/>
      </c>
      <c r="Q191" s="422" t="str">
        <f>IFERROR(IF(P191="Check Data ⚠","Check Data ⚠",VLOOKUP(P191,'G-4 Temporal multipliers'!$A$4:$C$37,3,FALSE)),"")</f>
        <v/>
      </c>
      <c r="R191" s="362" t="str">
        <f>IF(C191="","",VLOOKUP(C191,'G-7 WaterC'' Data'!$B$4:$G$8,4,FALSE))</f>
        <v/>
      </c>
      <c r="S191" s="370" t="str">
        <f t="shared" si="12"/>
        <v/>
      </c>
      <c r="T191" s="401" t="str">
        <f t="shared" si="13"/>
        <v/>
      </c>
      <c r="U191" s="363" t="str">
        <f>IF(C191="","",VLOOKUP(T191,'G-3 Multipliers'!$P$2:$Q$6,2,FALSE))</f>
        <v/>
      </c>
      <c r="V191" s="115"/>
      <c r="W191" s="363" t="str">
        <f>IF(V191="","",IF(VLOOKUP(V191,'G-7 WaterC'' Data'!$AA$4:$AB$7,2,FALSE)=0,"Spatial Data Missing ⚠",VLOOKUP(V191,'G-7 WaterC'' Data'!$AA$4:$AB$7,2,FALSE)))</f>
        <v/>
      </c>
      <c r="X191" s="60"/>
      <c r="Y191" s="363" t="str">
        <f>IF(X191="","",IF(VLOOKUP(X191,'G-7 WaterC'' Data'!$AD$4:$AE$14,2,FALSE)=0,"Enrcoachment Data Missing ⚠",VLOOKUP(X191,'G-7 WaterC'' Data'!$AD$4:$AE$14,2,FALSE)))</f>
        <v/>
      </c>
      <c r="Z191" s="423" t="str">
        <f t="shared" si="14"/>
        <v/>
      </c>
      <c r="AA191" s="117"/>
      <c r="AB191" s="118"/>
      <c r="AC191" s="120"/>
      <c r="AH191" s="30" t="str">
        <f>IFERROR(INDEX('G-7 WaterC'' Data'!$AZ$3:$AZ$7,MATCH(C191,'G-7 WaterC'' Data'!$AY$3:$AY$7,0)),"")</f>
        <v/>
      </c>
    </row>
    <row r="192" spans="2:34" ht="15">
      <c r="B192" s="110">
        <v>181</v>
      </c>
      <c r="C192" s="138"/>
      <c r="D192" s="139"/>
      <c r="E192" s="362" t="str">
        <f>IF(C192="","",VLOOKUP(C192,'G-7 WaterC'' Data'!$B$2:$G$8,2,FALSE))</f>
        <v/>
      </c>
      <c r="F192" s="363" t="str">
        <f>IFERROR(VLOOKUP(E192,'G-7 WaterC'' Data'!$C$4:$D$8,2,FALSE),"")</f>
        <v/>
      </c>
      <c r="G192" s="114"/>
      <c r="H192" s="363" t="str">
        <f>IFERROR(INDEX('G-7 WaterC'' Data'!$H$4:$L$8,MATCH(C192,'G-7 WaterC'' Data'!$B$4:$B$8,0),MATCH(G192,'G-7 WaterC'' Data'!$H$3:$L$3,0)),"")</f>
        <v/>
      </c>
      <c r="I192" s="54"/>
      <c r="J192" s="370" t="str">
        <f>IF(I192="","",IF(VLOOKUP(I192,'G-7 WaterC'' Data'!$AK$4:$AM$6,2,FALSE)=0,"Spatial Data Missing ⚠",VLOOKUP(I192,'G-7 WaterC'' Data'!$AK$4:$AM$6,2,FALSE)))</f>
        <v/>
      </c>
      <c r="K192" s="363" t="str">
        <f>IF(I192="","",IF(VLOOKUP(I192,'G-7 WaterC'' Data'!$AK$4:$AM$6,3,FALSE)=0,"Spatial Data Missing ⚠",VLOOKUP(I192,'G-7 WaterC'' Data'!$AK$4:$AM$6,3,FALSE)))</f>
        <v/>
      </c>
      <c r="L192" s="362" t="str">
        <f>IFERROR(INDEX('G-7 WaterC'' Data'!$O$3:$O$7,MATCH(G192,'G-7 WaterC'' Data'!$N$3:$N$7,0)),"")</f>
        <v/>
      </c>
      <c r="M192" s="63"/>
      <c r="N192" s="159"/>
      <c r="O192" s="370" t="str">
        <f t="shared" si="10"/>
        <v/>
      </c>
      <c r="P192" s="383" t="str">
        <f t="shared" si="11"/>
        <v/>
      </c>
      <c r="Q192" s="422" t="str">
        <f>IFERROR(IF(P192="Check Data ⚠","Check Data ⚠",VLOOKUP(P192,'G-4 Temporal multipliers'!$A$4:$C$37,3,FALSE)),"")</f>
        <v/>
      </c>
      <c r="R192" s="362" t="str">
        <f>IF(C192="","",VLOOKUP(C192,'G-7 WaterC'' Data'!$B$4:$G$8,4,FALSE))</f>
        <v/>
      </c>
      <c r="S192" s="370" t="str">
        <f t="shared" si="12"/>
        <v/>
      </c>
      <c r="T192" s="401" t="str">
        <f t="shared" si="13"/>
        <v/>
      </c>
      <c r="U192" s="363" t="str">
        <f>IF(C192="","",VLOOKUP(T192,'G-3 Multipliers'!$P$2:$Q$6,2,FALSE))</f>
        <v/>
      </c>
      <c r="V192" s="115"/>
      <c r="W192" s="363" t="str">
        <f>IF(V192="","",IF(VLOOKUP(V192,'G-7 WaterC'' Data'!$AA$4:$AB$7,2,FALSE)=0,"Spatial Data Missing ⚠",VLOOKUP(V192,'G-7 WaterC'' Data'!$AA$4:$AB$7,2,FALSE)))</f>
        <v/>
      </c>
      <c r="X192" s="60"/>
      <c r="Y192" s="363" t="str">
        <f>IF(X192="","",IF(VLOOKUP(X192,'G-7 WaterC'' Data'!$AD$4:$AE$14,2,FALSE)=0,"Enrcoachment Data Missing ⚠",VLOOKUP(X192,'G-7 WaterC'' Data'!$AD$4:$AE$14,2,FALSE)))</f>
        <v/>
      </c>
      <c r="Z192" s="423" t="str">
        <f t="shared" si="14"/>
        <v/>
      </c>
      <c r="AA192" s="117"/>
      <c r="AB192" s="118"/>
      <c r="AC192" s="120"/>
      <c r="AH192" s="30" t="str">
        <f>IFERROR(INDEX('G-7 WaterC'' Data'!$AZ$3:$AZ$7,MATCH(C192,'G-7 WaterC'' Data'!$AY$3:$AY$7,0)),"")</f>
        <v/>
      </c>
    </row>
    <row r="193" spans="2:34" ht="15">
      <c r="B193" s="110">
        <v>182</v>
      </c>
      <c r="C193" s="138"/>
      <c r="D193" s="139"/>
      <c r="E193" s="362" t="str">
        <f>IF(C193="","",VLOOKUP(C193,'G-7 WaterC'' Data'!$B$2:$G$8,2,FALSE))</f>
        <v/>
      </c>
      <c r="F193" s="363" t="str">
        <f>IFERROR(VLOOKUP(E193,'G-7 WaterC'' Data'!$C$4:$D$8,2,FALSE),"")</f>
        <v/>
      </c>
      <c r="G193" s="114"/>
      <c r="H193" s="363" t="str">
        <f>IFERROR(INDEX('G-7 WaterC'' Data'!$H$4:$L$8,MATCH(C193,'G-7 WaterC'' Data'!$B$4:$B$8,0),MATCH(G193,'G-7 WaterC'' Data'!$H$3:$L$3,0)),"")</f>
        <v/>
      </c>
      <c r="I193" s="54"/>
      <c r="J193" s="370" t="str">
        <f>IF(I193="","",IF(VLOOKUP(I193,'G-7 WaterC'' Data'!$AK$4:$AM$6,2,FALSE)=0,"Spatial Data Missing ⚠",VLOOKUP(I193,'G-7 WaterC'' Data'!$AK$4:$AM$6,2,FALSE)))</f>
        <v/>
      </c>
      <c r="K193" s="363" t="str">
        <f>IF(I193="","",IF(VLOOKUP(I193,'G-7 WaterC'' Data'!$AK$4:$AM$6,3,FALSE)=0,"Spatial Data Missing ⚠",VLOOKUP(I193,'G-7 WaterC'' Data'!$AK$4:$AM$6,3,FALSE)))</f>
        <v/>
      </c>
      <c r="L193" s="362" t="str">
        <f>IFERROR(INDEX('G-7 WaterC'' Data'!$O$3:$O$7,MATCH(G193,'G-7 WaterC'' Data'!$N$3:$N$7,0)),"")</f>
        <v/>
      </c>
      <c r="M193" s="63"/>
      <c r="N193" s="159"/>
      <c r="O193" s="370" t="str">
        <f t="shared" si="10"/>
        <v/>
      </c>
      <c r="P193" s="383" t="str">
        <f t="shared" si="11"/>
        <v/>
      </c>
      <c r="Q193" s="422" t="str">
        <f>IFERROR(IF(P193="Check Data ⚠","Check Data ⚠",VLOOKUP(P193,'G-4 Temporal multipliers'!$A$4:$C$37,3,FALSE)),"")</f>
        <v/>
      </c>
      <c r="R193" s="362" t="str">
        <f>IF(C193="","",VLOOKUP(C193,'G-7 WaterC'' Data'!$B$4:$G$8,4,FALSE))</f>
        <v/>
      </c>
      <c r="S193" s="370" t="str">
        <f t="shared" si="12"/>
        <v/>
      </c>
      <c r="T193" s="401" t="str">
        <f t="shared" si="13"/>
        <v/>
      </c>
      <c r="U193" s="363" t="str">
        <f>IF(C193="","",VLOOKUP(T193,'G-3 Multipliers'!$P$2:$Q$6,2,FALSE))</f>
        <v/>
      </c>
      <c r="V193" s="115"/>
      <c r="W193" s="363" t="str">
        <f>IF(V193="","",IF(VLOOKUP(V193,'G-7 WaterC'' Data'!$AA$4:$AB$7,2,FALSE)=0,"Spatial Data Missing ⚠",VLOOKUP(V193,'G-7 WaterC'' Data'!$AA$4:$AB$7,2,FALSE)))</f>
        <v/>
      </c>
      <c r="X193" s="60"/>
      <c r="Y193" s="363" t="str">
        <f>IF(X193="","",IF(VLOOKUP(X193,'G-7 WaterC'' Data'!$AD$4:$AE$14,2,FALSE)=0,"Enrcoachment Data Missing ⚠",VLOOKUP(X193,'G-7 WaterC'' Data'!$AD$4:$AE$14,2,FALSE)))</f>
        <v/>
      </c>
      <c r="Z193" s="423" t="str">
        <f t="shared" si="14"/>
        <v/>
      </c>
      <c r="AA193" s="117"/>
      <c r="AB193" s="118"/>
      <c r="AC193" s="120"/>
      <c r="AH193" s="30" t="str">
        <f>IFERROR(INDEX('G-7 WaterC'' Data'!$AZ$3:$AZ$7,MATCH(C193,'G-7 WaterC'' Data'!$AY$3:$AY$7,0)),"")</f>
        <v/>
      </c>
    </row>
    <row r="194" spans="2:34" ht="15">
      <c r="B194" s="110">
        <v>183</v>
      </c>
      <c r="C194" s="138"/>
      <c r="D194" s="139"/>
      <c r="E194" s="362" t="str">
        <f>IF(C194="","",VLOOKUP(C194,'G-7 WaterC'' Data'!$B$2:$G$8,2,FALSE))</f>
        <v/>
      </c>
      <c r="F194" s="363" t="str">
        <f>IFERROR(VLOOKUP(E194,'G-7 WaterC'' Data'!$C$4:$D$8,2,FALSE),"")</f>
        <v/>
      </c>
      <c r="G194" s="114"/>
      <c r="H194" s="363" t="str">
        <f>IFERROR(INDEX('G-7 WaterC'' Data'!$H$4:$L$8,MATCH(C194,'G-7 WaterC'' Data'!$B$4:$B$8,0),MATCH(G194,'G-7 WaterC'' Data'!$H$3:$L$3,0)),"")</f>
        <v/>
      </c>
      <c r="I194" s="54"/>
      <c r="J194" s="370" t="str">
        <f>IF(I194="","",IF(VLOOKUP(I194,'G-7 WaterC'' Data'!$AK$4:$AM$6,2,FALSE)=0,"Spatial Data Missing ⚠",VLOOKUP(I194,'G-7 WaterC'' Data'!$AK$4:$AM$6,2,FALSE)))</f>
        <v/>
      </c>
      <c r="K194" s="363" t="str">
        <f>IF(I194="","",IF(VLOOKUP(I194,'G-7 WaterC'' Data'!$AK$4:$AM$6,3,FALSE)=0,"Spatial Data Missing ⚠",VLOOKUP(I194,'G-7 WaterC'' Data'!$AK$4:$AM$6,3,FALSE)))</f>
        <v/>
      </c>
      <c r="L194" s="362" t="str">
        <f>IFERROR(INDEX('G-7 WaterC'' Data'!$O$3:$O$7,MATCH(G194,'G-7 WaterC'' Data'!$N$3:$N$7,0)),"")</f>
        <v/>
      </c>
      <c r="M194" s="63"/>
      <c r="N194" s="159"/>
      <c r="O194" s="370" t="str">
        <f t="shared" si="10"/>
        <v/>
      </c>
      <c r="P194" s="383" t="str">
        <f t="shared" si="11"/>
        <v/>
      </c>
      <c r="Q194" s="422" t="str">
        <f>IFERROR(IF(P194="Check Data ⚠","Check Data ⚠",VLOOKUP(P194,'G-4 Temporal multipliers'!$A$4:$C$37,3,FALSE)),"")</f>
        <v/>
      </c>
      <c r="R194" s="362" t="str">
        <f>IF(C194="","",VLOOKUP(C194,'G-7 WaterC'' Data'!$B$4:$G$8,4,FALSE))</f>
        <v/>
      </c>
      <c r="S194" s="370" t="str">
        <f t="shared" si="12"/>
        <v/>
      </c>
      <c r="T194" s="401" t="str">
        <f t="shared" si="13"/>
        <v/>
      </c>
      <c r="U194" s="363" t="str">
        <f>IF(C194="","",VLOOKUP(T194,'G-3 Multipliers'!$P$2:$Q$6,2,FALSE))</f>
        <v/>
      </c>
      <c r="V194" s="115"/>
      <c r="W194" s="363" t="str">
        <f>IF(V194="","",IF(VLOOKUP(V194,'G-7 WaterC'' Data'!$AA$4:$AB$7,2,FALSE)=0,"Spatial Data Missing ⚠",VLOOKUP(V194,'G-7 WaterC'' Data'!$AA$4:$AB$7,2,FALSE)))</f>
        <v/>
      </c>
      <c r="X194" s="60"/>
      <c r="Y194" s="363" t="str">
        <f>IF(X194="","",IF(VLOOKUP(X194,'G-7 WaterC'' Data'!$AD$4:$AE$14,2,FALSE)=0,"Enrcoachment Data Missing ⚠",VLOOKUP(X194,'G-7 WaterC'' Data'!$AD$4:$AE$14,2,FALSE)))</f>
        <v/>
      </c>
      <c r="Z194" s="423" t="str">
        <f t="shared" si="14"/>
        <v/>
      </c>
      <c r="AA194" s="117"/>
      <c r="AB194" s="118"/>
      <c r="AC194" s="120"/>
      <c r="AH194" s="30" t="str">
        <f>IFERROR(INDEX('G-7 WaterC'' Data'!$AZ$3:$AZ$7,MATCH(C194,'G-7 WaterC'' Data'!$AY$3:$AY$7,0)),"")</f>
        <v/>
      </c>
    </row>
    <row r="195" spans="2:34" ht="15">
      <c r="B195" s="110">
        <v>184</v>
      </c>
      <c r="C195" s="138"/>
      <c r="D195" s="139"/>
      <c r="E195" s="362" t="str">
        <f>IF(C195="","",VLOOKUP(C195,'G-7 WaterC'' Data'!$B$2:$G$8,2,FALSE))</f>
        <v/>
      </c>
      <c r="F195" s="363" t="str">
        <f>IFERROR(VLOOKUP(E195,'G-7 WaterC'' Data'!$C$4:$D$8,2,FALSE),"")</f>
        <v/>
      </c>
      <c r="G195" s="114"/>
      <c r="H195" s="363" t="str">
        <f>IFERROR(INDEX('G-7 WaterC'' Data'!$H$4:$L$8,MATCH(C195,'G-7 WaterC'' Data'!$B$4:$B$8,0),MATCH(G195,'G-7 WaterC'' Data'!$H$3:$L$3,0)),"")</f>
        <v/>
      </c>
      <c r="I195" s="54"/>
      <c r="J195" s="370" t="str">
        <f>IF(I195="","",IF(VLOOKUP(I195,'G-7 WaterC'' Data'!$AK$4:$AM$6,2,FALSE)=0,"Spatial Data Missing ⚠",VLOOKUP(I195,'G-7 WaterC'' Data'!$AK$4:$AM$6,2,FALSE)))</f>
        <v/>
      </c>
      <c r="K195" s="363" t="str">
        <f>IF(I195="","",IF(VLOOKUP(I195,'G-7 WaterC'' Data'!$AK$4:$AM$6,3,FALSE)=0,"Spatial Data Missing ⚠",VLOOKUP(I195,'G-7 WaterC'' Data'!$AK$4:$AM$6,3,FALSE)))</f>
        <v/>
      </c>
      <c r="L195" s="362" t="str">
        <f>IFERROR(INDEX('G-7 WaterC'' Data'!$O$3:$O$7,MATCH(G195,'G-7 WaterC'' Data'!$N$3:$N$7,0)),"")</f>
        <v/>
      </c>
      <c r="M195" s="63"/>
      <c r="N195" s="159"/>
      <c r="O195" s="370" t="str">
        <f t="shared" si="10"/>
        <v/>
      </c>
      <c r="P195" s="383" t="str">
        <f t="shared" si="11"/>
        <v/>
      </c>
      <c r="Q195" s="422" t="str">
        <f>IFERROR(IF(P195="Check Data ⚠","Check Data ⚠",VLOOKUP(P195,'G-4 Temporal multipliers'!$A$4:$C$37,3,FALSE)),"")</f>
        <v/>
      </c>
      <c r="R195" s="362" t="str">
        <f>IF(C195="","",VLOOKUP(C195,'G-7 WaterC'' Data'!$B$4:$G$8,4,FALSE))</f>
        <v/>
      </c>
      <c r="S195" s="370" t="str">
        <f t="shared" si="12"/>
        <v/>
      </c>
      <c r="T195" s="401" t="str">
        <f t="shared" si="13"/>
        <v/>
      </c>
      <c r="U195" s="363" t="str">
        <f>IF(C195="","",VLOOKUP(T195,'G-3 Multipliers'!$P$2:$Q$6,2,FALSE))</f>
        <v/>
      </c>
      <c r="V195" s="115"/>
      <c r="W195" s="363" t="str">
        <f>IF(V195="","",IF(VLOOKUP(V195,'G-7 WaterC'' Data'!$AA$4:$AB$7,2,FALSE)=0,"Spatial Data Missing ⚠",VLOOKUP(V195,'G-7 WaterC'' Data'!$AA$4:$AB$7,2,FALSE)))</f>
        <v/>
      </c>
      <c r="X195" s="60"/>
      <c r="Y195" s="363" t="str">
        <f>IF(X195="","",IF(VLOOKUP(X195,'G-7 WaterC'' Data'!$AD$4:$AE$14,2,FALSE)=0,"Enrcoachment Data Missing ⚠",VLOOKUP(X195,'G-7 WaterC'' Data'!$AD$4:$AE$14,2,FALSE)))</f>
        <v/>
      </c>
      <c r="Z195" s="423" t="str">
        <f t="shared" si="14"/>
        <v/>
      </c>
      <c r="AA195" s="117"/>
      <c r="AB195" s="118"/>
      <c r="AC195" s="120"/>
      <c r="AH195" s="30" t="str">
        <f>IFERROR(INDEX('G-7 WaterC'' Data'!$AZ$3:$AZ$7,MATCH(C195,'G-7 WaterC'' Data'!$AY$3:$AY$7,0)),"")</f>
        <v/>
      </c>
    </row>
    <row r="196" spans="2:34" ht="15">
      <c r="B196" s="110">
        <v>185</v>
      </c>
      <c r="C196" s="138"/>
      <c r="D196" s="139"/>
      <c r="E196" s="362" t="str">
        <f>IF(C196="","",VLOOKUP(C196,'G-7 WaterC'' Data'!$B$2:$G$8,2,FALSE))</f>
        <v/>
      </c>
      <c r="F196" s="363" t="str">
        <f>IFERROR(VLOOKUP(E196,'G-7 WaterC'' Data'!$C$4:$D$8,2,FALSE),"")</f>
        <v/>
      </c>
      <c r="G196" s="114"/>
      <c r="H196" s="363" t="str">
        <f>IFERROR(INDEX('G-7 WaterC'' Data'!$H$4:$L$8,MATCH(C196,'G-7 WaterC'' Data'!$B$4:$B$8,0),MATCH(G196,'G-7 WaterC'' Data'!$H$3:$L$3,0)),"")</f>
        <v/>
      </c>
      <c r="I196" s="54"/>
      <c r="J196" s="370" t="str">
        <f>IF(I196="","",IF(VLOOKUP(I196,'G-7 WaterC'' Data'!$AK$4:$AM$6,2,FALSE)=0,"Spatial Data Missing ⚠",VLOOKUP(I196,'G-7 WaterC'' Data'!$AK$4:$AM$6,2,FALSE)))</f>
        <v/>
      </c>
      <c r="K196" s="363" t="str">
        <f>IF(I196="","",IF(VLOOKUP(I196,'G-7 WaterC'' Data'!$AK$4:$AM$6,3,FALSE)=0,"Spatial Data Missing ⚠",VLOOKUP(I196,'G-7 WaterC'' Data'!$AK$4:$AM$6,3,FALSE)))</f>
        <v/>
      </c>
      <c r="L196" s="362" t="str">
        <f>IFERROR(INDEX('G-7 WaterC'' Data'!$O$3:$O$7,MATCH(G196,'G-7 WaterC'' Data'!$N$3:$N$7,0)),"")</f>
        <v/>
      </c>
      <c r="M196" s="63"/>
      <c r="N196" s="159"/>
      <c r="O196" s="370" t="str">
        <f t="shared" si="10"/>
        <v/>
      </c>
      <c r="P196" s="383" t="str">
        <f t="shared" si="11"/>
        <v/>
      </c>
      <c r="Q196" s="422" t="str">
        <f>IFERROR(IF(P196="Check Data ⚠","Check Data ⚠",VLOOKUP(P196,'G-4 Temporal multipliers'!$A$4:$C$37,3,FALSE)),"")</f>
        <v/>
      </c>
      <c r="R196" s="362" t="str">
        <f>IF(C196="","",VLOOKUP(C196,'G-7 WaterC'' Data'!$B$4:$G$8,4,FALSE))</f>
        <v/>
      </c>
      <c r="S196" s="370" t="str">
        <f t="shared" si="12"/>
        <v/>
      </c>
      <c r="T196" s="401" t="str">
        <f t="shared" si="13"/>
        <v/>
      </c>
      <c r="U196" s="363" t="str">
        <f>IF(C196="","",VLOOKUP(T196,'G-3 Multipliers'!$P$2:$Q$6,2,FALSE))</f>
        <v/>
      </c>
      <c r="V196" s="115"/>
      <c r="W196" s="363" t="str">
        <f>IF(V196="","",IF(VLOOKUP(V196,'G-7 WaterC'' Data'!$AA$4:$AB$7,2,FALSE)=0,"Spatial Data Missing ⚠",VLOOKUP(V196,'G-7 WaterC'' Data'!$AA$4:$AB$7,2,FALSE)))</f>
        <v/>
      </c>
      <c r="X196" s="60"/>
      <c r="Y196" s="363" t="str">
        <f>IF(X196="","",IF(VLOOKUP(X196,'G-7 WaterC'' Data'!$AD$4:$AE$14,2,FALSE)=0,"Enrcoachment Data Missing ⚠",VLOOKUP(X196,'G-7 WaterC'' Data'!$AD$4:$AE$14,2,FALSE)))</f>
        <v/>
      </c>
      <c r="Z196" s="423" t="str">
        <f t="shared" si="14"/>
        <v/>
      </c>
      <c r="AA196" s="117"/>
      <c r="AB196" s="118"/>
      <c r="AC196" s="120"/>
      <c r="AH196" s="30" t="str">
        <f>IFERROR(INDEX('G-7 WaterC'' Data'!$AZ$3:$AZ$7,MATCH(C196,'G-7 WaterC'' Data'!$AY$3:$AY$7,0)),"")</f>
        <v/>
      </c>
    </row>
    <row r="197" spans="2:34" ht="15">
      <c r="B197" s="110">
        <v>186</v>
      </c>
      <c r="C197" s="138"/>
      <c r="D197" s="139"/>
      <c r="E197" s="362" t="str">
        <f>IF(C197="","",VLOOKUP(C197,'G-7 WaterC'' Data'!$B$2:$G$8,2,FALSE))</f>
        <v/>
      </c>
      <c r="F197" s="363" t="str">
        <f>IFERROR(VLOOKUP(E197,'G-7 WaterC'' Data'!$C$4:$D$8,2,FALSE),"")</f>
        <v/>
      </c>
      <c r="G197" s="114"/>
      <c r="H197" s="363" t="str">
        <f>IFERROR(INDEX('G-7 WaterC'' Data'!$H$4:$L$8,MATCH(C197,'G-7 WaterC'' Data'!$B$4:$B$8,0),MATCH(G197,'G-7 WaterC'' Data'!$H$3:$L$3,0)),"")</f>
        <v/>
      </c>
      <c r="I197" s="54"/>
      <c r="J197" s="370" t="str">
        <f>IF(I197="","",IF(VLOOKUP(I197,'G-7 WaterC'' Data'!$AK$4:$AM$6,2,FALSE)=0,"Spatial Data Missing ⚠",VLOOKUP(I197,'G-7 WaterC'' Data'!$AK$4:$AM$6,2,FALSE)))</f>
        <v/>
      </c>
      <c r="K197" s="363" t="str">
        <f>IF(I197="","",IF(VLOOKUP(I197,'G-7 WaterC'' Data'!$AK$4:$AM$6,3,FALSE)=0,"Spatial Data Missing ⚠",VLOOKUP(I197,'G-7 WaterC'' Data'!$AK$4:$AM$6,3,FALSE)))</f>
        <v/>
      </c>
      <c r="L197" s="362" t="str">
        <f>IFERROR(INDEX('G-7 WaterC'' Data'!$O$3:$O$7,MATCH(G197,'G-7 WaterC'' Data'!$N$3:$N$7,0)),"")</f>
        <v/>
      </c>
      <c r="M197" s="63"/>
      <c r="N197" s="159"/>
      <c r="O197" s="370" t="str">
        <f t="shared" si="10"/>
        <v/>
      </c>
      <c r="P197" s="383" t="str">
        <f t="shared" si="11"/>
        <v/>
      </c>
      <c r="Q197" s="422" t="str">
        <f>IFERROR(IF(P197="Check Data ⚠","Check Data ⚠",VLOOKUP(P197,'G-4 Temporal multipliers'!$A$4:$C$37,3,FALSE)),"")</f>
        <v/>
      </c>
      <c r="R197" s="362" t="str">
        <f>IF(C197="","",VLOOKUP(C197,'G-7 WaterC'' Data'!$B$4:$G$8,4,FALSE))</f>
        <v/>
      </c>
      <c r="S197" s="370" t="str">
        <f t="shared" si="12"/>
        <v/>
      </c>
      <c r="T197" s="401" t="str">
        <f t="shared" si="13"/>
        <v/>
      </c>
      <c r="U197" s="363" t="str">
        <f>IF(C197="","",VLOOKUP(T197,'G-3 Multipliers'!$P$2:$Q$6,2,FALSE))</f>
        <v/>
      </c>
      <c r="V197" s="115"/>
      <c r="W197" s="363" t="str">
        <f>IF(V197="","",IF(VLOOKUP(V197,'G-7 WaterC'' Data'!$AA$4:$AB$7,2,FALSE)=0,"Spatial Data Missing ⚠",VLOOKUP(V197,'G-7 WaterC'' Data'!$AA$4:$AB$7,2,FALSE)))</f>
        <v/>
      </c>
      <c r="X197" s="60"/>
      <c r="Y197" s="363" t="str">
        <f>IF(X197="","",IF(VLOOKUP(X197,'G-7 WaterC'' Data'!$AD$4:$AE$14,2,FALSE)=0,"Enrcoachment Data Missing ⚠",VLOOKUP(X197,'G-7 WaterC'' Data'!$AD$4:$AE$14,2,FALSE)))</f>
        <v/>
      </c>
      <c r="Z197" s="423" t="str">
        <f t="shared" si="14"/>
        <v/>
      </c>
      <c r="AA197" s="117"/>
      <c r="AB197" s="118"/>
      <c r="AC197" s="120"/>
      <c r="AH197" s="30" t="str">
        <f>IFERROR(INDEX('G-7 WaterC'' Data'!$AZ$3:$AZ$7,MATCH(C197,'G-7 WaterC'' Data'!$AY$3:$AY$7,0)),"")</f>
        <v/>
      </c>
    </row>
    <row r="198" spans="2:34" ht="15">
      <c r="B198" s="110">
        <v>187</v>
      </c>
      <c r="C198" s="138"/>
      <c r="D198" s="139"/>
      <c r="E198" s="362" t="str">
        <f>IF(C198="","",VLOOKUP(C198,'G-7 WaterC'' Data'!$B$2:$G$8,2,FALSE))</f>
        <v/>
      </c>
      <c r="F198" s="363" t="str">
        <f>IFERROR(VLOOKUP(E198,'G-7 WaterC'' Data'!$C$4:$D$8,2,FALSE),"")</f>
        <v/>
      </c>
      <c r="G198" s="114"/>
      <c r="H198" s="363" t="str">
        <f>IFERROR(INDEX('G-7 WaterC'' Data'!$H$4:$L$8,MATCH(C198,'G-7 WaterC'' Data'!$B$4:$B$8,0),MATCH(G198,'G-7 WaterC'' Data'!$H$3:$L$3,0)),"")</f>
        <v/>
      </c>
      <c r="I198" s="54"/>
      <c r="J198" s="370" t="str">
        <f>IF(I198="","",IF(VLOOKUP(I198,'G-7 WaterC'' Data'!$AK$4:$AM$6,2,FALSE)=0,"Spatial Data Missing ⚠",VLOOKUP(I198,'G-7 WaterC'' Data'!$AK$4:$AM$6,2,FALSE)))</f>
        <v/>
      </c>
      <c r="K198" s="363" t="str">
        <f>IF(I198="","",IF(VLOOKUP(I198,'G-7 WaterC'' Data'!$AK$4:$AM$6,3,FALSE)=0,"Spatial Data Missing ⚠",VLOOKUP(I198,'G-7 WaterC'' Data'!$AK$4:$AM$6,3,FALSE)))</f>
        <v/>
      </c>
      <c r="L198" s="362" t="str">
        <f>IFERROR(INDEX('G-7 WaterC'' Data'!$O$3:$O$7,MATCH(G198,'G-7 WaterC'' Data'!$N$3:$N$7,0)),"")</f>
        <v/>
      </c>
      <c r="M198" s="63"/>
      <c r="N198" s="159"/>
      <c r="O198" s="370" t="str">
        <f t="shared" si="10"/>
        <v/>
      </c>
      <c r="P198" s="383" t="str">
        <f t="shared" si="11"/>
        <v/>
      </c>
      <c r="Q198" s="422" t="str">
        <f>IFERROR(IF(P198="Check Data ⚠","Check Data ⚠",VLOOKUP(P198,'G-4 Temporal multipliers'!$A$4:$C$37,3,FALSE)),"")</f>
        <v/>
      </c>
      <c r="R198" s="362" t="str">
        <f>IF(C198="","",VLOOKUP(C198,'G-7 WaterC'' Data'!$B$4:$G$8,4,FALSE))</f>
        <v/>
      </c>
      <c r="S198" s="370" t="str">
        <f t="shared" si="12"/>
        <v/>
      </c>
      <c r="T198" s="401" t="str">
        <f t="shared" si="13"/>
        <v/>
      </c>
      <c r="U198" s="363" t="str">
        <f>IF(C198="","",VLOOKUP(T198,'G-3 Multipliers'!$P$2:$Q$6,2,FALSE))</f>
        <v/>
      </c>
      <c r="V198" s="115"/>
      <c r="W198" s="363" t="str">
        <f>IF(V198="","",IF(VLOOKUP(V198,'G-7 WaterC'' Data'!$AA$4:$AB$7,2,FALSE)=0,"Spatial Data Missing ⚠",VLOOKUP(V198,'G-7 WaterC'' Data'!$AA$4:$AB$7,2,FALSE)))</f>
        <v/>
      </c>
      <c r="X198" s="60"/>
      <c r="Y198" s="363" t="str">
        <f>IF(X198="","",IF(VLOOKUP(X198,'G-7 WaterC'' Data'!$AD$4:$AE$14,2,FALSE)=0,"Enrcoachment Data Missing ⚠",VLOOKUP(X198,'G-7 WaterC'' Data'!$AD$4:$AE$14,2,FALSE)))</f>
        <v/>
      </c>
      <c r="Z198" s="423" t="str">
        <f t="shared" si="14"/>
        <v/>
      </c>
      <c r="AA198" s="117"/>
      <c r="AB198" s="118"/>
      <c r="AC198" s="120"/>
      <c r="AH198" s="30" t="str">
        <f>IFERROR(INDEX('G-7 WaterC'' Data'!$AZ$3:$AZ$7,MATCH(C198,'G-7 WaterC'' Data'!$AY$3:$AY$7,0)),"")</f>
        <v/>
      </c>
    </row>
    <row r="199" spans="2:34" ht="15">
      <c r="B199" s="110">
        <v>188</v>
      </c>
      <c r="C199" s="138"/>
      <c r="D199" s="139"/>
      <c r="E199" s="362" t="str">
        <f>IF(C199="","",VLOOKUP(C199,'G-7 WaterC'' Data'!$B$2:$G$8,2,FALSE))</f>
        <v/>
      </c>
      <c r="F199" s="363" t="str">
        <f>IFERROR(VLOOKUP(E199,'G-7 WaterC'' Data'!$C$4:$D$8,2,FALSE),"")</f>
        <v/>
      </c>
      <c r="G199" s="114"/>
      <c r="H199" s="363" t="str">
        <f>IFERROR(INDEX('G-7 WaterC'' Data'!$H$4:$L$8,MATCH(C199,'G-7 WaterC'' Data'!$B$4:$B$8,0),MATCH(G199,'G-7 WaterC'' Data'!$H$3:$L$3,0)),"")</f>
        <v/>
      </c>
      <c r="I199" s="54"/>
      <c r="J199" s="370" t="str">
        <f>IF(I199="","",IF(VLOOKUP(I199,'G-7 WaterC'' Data'!$AK$4:$AM$6,2,FALSE)=0,"Spatial Data Missing ⚠",VLOOKUP(I199,'G-7 WaterC'' Data'!$AK$4:$AM$6,2,FALSE)))</f>
        <v/>
      </c>
      <c r="K199" s="363" t="str">
        <f>IF(I199="","",IF(VLOOKUP(I199,'G-7 WaterC'' Data'!$AK$4:$AM$6,3,FALSE)=0,"Spatial Data Missing ⚠",VLOOKUP(I199,'G-7 WaterC'' Data'!$AK$4:$AM$6,3,FALSE)))</f>
        <v/>
      </c>
      <c r="L199" s="362" t="str">
        <f>IFERROR(INDEX('G-7 WaterC'' Data'!$O$3:$O$7,MATCH(G199,'G-7 WaterC'' Data'!$N$3:$N$7,0)),"")</f>
        <v/>
      </c>
      <c r="M199" s="63"/>
      <c r="N199" s="159"/>
      <c r="O199" s="370" t="str">
        <f t="shared" si="10"/>
        <v/>
      </c>
      <c r="P199" s="383" t="str">
        <f t="shared" si="11"/>
        <v/>
      </c>
      <c r="Q199" s="422" t="str">
        <f>IFERROR(IF(P199="Check Data ⚠","Check Data ⚠",VLOOKUP(P199,'G-4 Temporal multipliers'!$A$4:$C$37,3,FALSE)),"")</f>
        <v/>
      </c>
      <c r="R199" s="362" t="str">
        <f>IF(C199="","",VLOOKUP(C199,'G-7 WaterC'' Data'!$B$4:$G$8,4,FALSE))</f>
        <v/>
      </c>
      <c r="S199" s="370" t="str">
        <f t="shared" si="12"/>
        <v/>
      </c>
      <c r="T199" s="401" t="str">
        <f t="shared" si="13"/>
        <v/>
      </c>
      <c r="U199" s="363" t="str">
        <f>IF(C199="","",VLOOKUP(T199,'G-3 Multipliers'!$P$2:$Q$6,2,FALSE))</f>
        <v/>
      </c>
      <c r="V199" s="115"/>
      <c r="W199" s="363" t="str">
        <f>IF(V199="","",IF(VLOOKUP(V199,'G-7 WaterC'' Data'!$AA$4:$AB$7,2,FALSE)=0,"Spatial Data Missing ⚠",VLOOKUP(V199,'G-7 WaterC'' Data'!$AA$4:$AB$7,2,FALSE)))</f>
        <v/>
      </c>
      <c r="X199" s="60"/>
      <c r="Y199" s="363" t="str">
        <f>IF(X199="","",IF(VLOOKUP(X199,'G-7 WaterC'' Data'!$AD$4:$AE$14,2,FALSE)=0,"Enrcoachment Data Missing ⚠",VLOOKUP(X199,'G-7 WaterC'' Data'!$AD$4:$AE$14,2,FALSE)))</f>
        <v/>
      </c>
      <c r="Z199" s="423" t="str">
        <f t="shared" si="14"/>
        <v/>
      </c>
      <c r="AA199" s="117"/>
      <c r="AB199" s="118"/>
      <c r="AC199" s="120"/>
      <c r="AH199" s="30" t="str">
        <f>IFERROR(INDEX('G-7 WaterC'' Data'!$AZ$3:$AZ$7,MATCH(C199,'G-7 WaterC'' Data'!$AY$3:$AY$7,0)),"")</f>
        <v/>
      </c>
    </row>
    <row r="200" spans="2:34" ht="15">
      <c r="B200" s="110">
        <v>189</v>
      </c>
      <c r="C200" s="138"/>
      <c r="D200" s="139"/>
      <c r="E200" s="362" t="str">
        <f>IF(C200="","",VLOOKUP(C200,'G-7 WaterC'' Data'!$B$2:$G$8,2,FALSE))</f>
        <v/>
      </c>
      <c r="F200" s="363" t="str">
        <f>IFERROR(VLOOKUP(E200,'G-7 WaterC'' Data'!$C$4:$D$8,2,FALSE),"")</f>
        <v/>
      </c>
      <c r="G200" s="114"/>
      <c r="H200" s="363" t="str">
        <f>IFERROR(INDEX('G-7 WaterC'' Data'!$H$4:$L$8,MATCH(C200,'G-7 WaterC'' Data'!$B$4:$B$8,0),MATCH(G200,'G-7 WaterC'' Data'!$H$3:$L$3,0)),"")</f>
        <v/>
      </c>
      <c r="I200" s="54"/>
      <c r="J200" s="370" t="str">
        <f>IF(I200="","",IF(VLOOKUP(I200,'G-7 WaterC'' Data'!$AK$4:$AM$6,2,FALSE)=0,"Spatial Data Missing ⚠",VLOOKUP(I200,'G-7 WaterC'' Data'!$AK$4:$AM$6,2,FALSE)))</f>
        <v/>
      </c>
      <c r="K200" s="363" t="str">
        <f>IF(I200="","",IF(VLOOKUP(I200,'G-7 WaterC'' Data'!$AK$4:$AM$6,3,FALSE)=0,"Spatial Data Missing ⚠",VLOOKUP(I200,'G-7 WaterC'' Data'!$AK$4:$AM$6,3,FALSE)))</f>
        <v/>
      </c>
      <c r="L200" s="362" t="str">
        <f>IFERROR(INDEX('G-7 WaterC'' Data'!$O$3:$O$7,MATCH(G200,'G-7 WaterC'' Data'!$N$3:$N$7,0)),"")</f>
        <v/>
      </c>
      <c r="M200" s="63"/>
      <c r="N200" s="159"/>
      <c r="O200" s="370" t="str">
        <f t="shared" si="10"/>
        <v/>
      </c>
      <c r="P200" s="383" t="str">
        <f t="shared" si="11"/>
        <v/>
      </c>
      <c r="Q200" s="422" t="str">
        <f>IFERROR(IF(P200="Check Data ⚠","Check Data ⚠",VLOOKUP(P200,'G-4 Temporal multipliers'!$A$4:$C$37,3,FALSE)),"")</f>
        <v/>
      </c>
      <c r="R200" s="362" t="str">
        <f>IF(C200="","",VLOOKUP(C200,'G-7 WaterC'' Data'!$B$4:$G$8,4,FALSE))</f>
        <v/>
      </c>
      <c r="S200" s="370" t="str">
        <f t="shared" si="12"/>
        <v/>
      </c>
      <c r="T200" s="401" t="str">
        <f t="shared" si="13"/>
        <v/>
      </c>
      <c r="U200" s="363" t="str">
        <f>IF(C200="","",VLOOKUP(T200,'G-3 Multipliers'!$P$2:$Q$6,2,FALSE))</f>
        <v/>
      </c>
      <c r="V200" s="115"/>
      <c r="W200" s="363" t="str">
        <f>IF(V200="","",IF(VLOOKUP(V200,'G-7 WaterC'' Data'!$AA$4:$AB$7,2,FALSE)=0,"Spatial Data Missing ⚠",VLOOKUP(V200,'G-7 WaterC'' Data'!$AA$4:$AB$7,2,FALSE)))</f>
        <v/>
      </c>
      <c r="X200" s="60"/>
      <c r="Y200" s="363" t="str">
        <f>IF(X200="","",IF(VLOOKUP(X200,'G-7 WaterC'' Data'!$AD$4:$AE$14,2,FALSE)=0,"Enrcoachment Data Missing ⚠",VLOOKUP(X200,'G-7 WaterC'' Data'!$AD$4:$AE$14,2,FALSE)))</f>
        <v/>
      </c>
      <c r="Z200" s="423" t="str">
        <f t="shared" si="14"/>
        <v/>
      </c>
      <c r="AA200" s="117"/>
      <c r="AB200" s="118"/>
      <c r="AC200" s="120"/>
      <c r="AH200" s="30" t="str">
        <f>IFERROR(INDEX('G-7 WaterC'' Data'!$AZ$3:$AZ$7,MATCH(C200,'G-7 WaterC'' Data'!$AY$3:$AY$7,0)),"")</f>
        <v/>
      </c>
    </row>
    <row r="201" spans="2:34" ht="15">
      <c r="B201" s="110">
        <v>190</v>
      </c>
      <c r="C201" s="138"/>
      <c r="D201" s="139"/>
      <c r="E201" s="362" t="str">
        <f>IF(C201="","",VLOOKUP(C201,'G-7 WaterC'' Data'!$B$2:$G$8,2,FALSE))</f>
        <v/>
      </c>
      <c r="F201" s="363" t="str">
        <f>IFERROR(VLOOKUP(E201,'G-7 WaterC'' Data'!$C$4:$D$8,2,FALSE),"")</f>
        <v/>
      </c>
      <c r="G201" s="114"/>
      <c r="H201" s="363" t="str">
        <f>IFERROR(INDEX('G-7 WaterC'' Data'!$H$4:$L$8,MATCH(C201,'G-7 WaterC'' Data'!$B$4:$B$8,0),MATCH(G201,'G-7 WaterC'' Data'!$H$3:$L$3,0)),"")</f>
        <v/>
      </c>
      <c r="I201" s="54"/>
      <c r="J201" s="370" t="str">
        <f>IF(I201="","",IF(VLOOKUP(I201,'G-7 WaterC'' Data'!$AK$4:$AM$6,2,FALSE)=0,"Spatial Data Missing ⚠",VLOOKUP(I201,'G-7 WaterC'' Data'!$AK$4:$AM$6,2,FALSE)))</f>
        <v/>
      </c>
      <c r="K201" s="363" t="str">
        <f>IF(I201="","",IF(VLOOKUP(I201,'G-7 WaterC'' Data'!$AK$4:$AM$6,3,FALSE)=0,"Spatial Data Missing ⚠",VLOOKUP(I201,'G-7 WaterC'' Data'!$AK$4:$AM$6,3,FALSE)))</f>
        <v/>
      </c>
      <c r="L201" s="362" t="str">
        <f>IFERROR(INDEX('G-7 WaterC'' Data'!$O$3:$O$7,MATCH(G201,'G-7 WaterC'' Data'!$N$3:$N$7,0)),"")</f>
        <v/>
      </c>
      <c r="M201" s="63"/>
      <c r="N201" s="159"/>
      <c r="O201" s="370" t="str">
        <f t="shared" si="10"/>
        <v/>
      </c>
      <c r="P201" s="383" t="str">
        <f t="shared" si="11"/>
        <v/>
      </c>
      <c r="Q201" s="422" t="str">
        <f>IFERROR(IF(P201="Check Data ⚠","Check Data ⚠",VLOOKUP(P201,'G-4 Temporal multipliers'!$A$4:$C$37,3,FALSE)),"")</f>
        <v/>
      </c>
      <c r="R201" s="362" t="str">
        <f>IF(C201="","",VLOOKUP(C201,'G-7 WaterC'' Data'!$B$4:$G$8,4,FALSE))</f>
        <v/>
      </c>
      <c r="S201" s="370" t="str">
        <f t="shared" si="12"/>
        <v/>
      </c>
      <c r="T201" s="401" t="str">
        <f t="shared" si="13"/>
        <v/>
      </c>
      <c r="U201" s="363" t="str">
        <f>IF(C201="","",VLOOKUP(T201,'G-3 Multipliers'!$P$2:$Q$6,2,FALSE))</f>
        <v/>
      </c>
      <c r="V201" s="115"/>
      <c r="W201" s="363" t="str">
        <f>IF(V201="","",IF(VLOOKUP(V201,'G-7 WaterC'' Data'!$AA$4:$AB$7,2,FALSE)=0,"Spatial Data Missing ⚠",VLOOKUP(V201,'G-7 WaterC'' Data'!$AA$4:$AB$7,2,FALSE)))</f>
        <v/>
      </c>
      <c r="X201" s="60"/>
      <c r="Y201" s="363" t="str">
        <f>IF(X201="","",IF(VLOOKUP(X201,'G-7 WaterC'' Data'!$AD$4:$AE$14,2,FALSE)=0,"Enrcoachment Data Missing ⚠",VLOOKUP(X201,'G-7 WaterC'' Data'!$AD$4:$AE$14,2,FALSE)))</f>
        <v/>
      </c>
      <c r="Z201" s="423" t="str">
        <f t="shared" si="14"/>
        <v/>
      </c>
      <c r="AA201" s="117"/>
      <c r="AB201" s="118"/>
      <c r="AC201" s="120"/>
      <c r="AH201" s="30" t="str">
        <f>IFERROR(INDEX('G-7 WaterC'' Data'!$AZ$3:$AZ$7,MATCH(C201,'G-7 WaterC'' Data'!$AY$3:$AY$7,0)),"")</f>
        <v/>
      </c>
    </row>
    <row r="202" spans="2:34" ht="15">
      <c r="B202" s="110">
        <v>191</v>
      </c>
      <c r="C202" s="138"/>
      <c r="D202" s="139"/>
      <c r="E202" s="362" t="str">
        <f>IF(C202="","",VLOOKUP(C202,'G-7 WaterC'' Data'!$B$2:$G$8,2,FALSE))</f>
        <v/>
      </c>
      <c r="F202" s="363" t="str">
        <f>IFERROR(VLOOKUP(E202,'G-7 WaterC'' Data'!$C$4:$D$8,2,FALSE),"")</f>
        <v/>
      </c>
      <c r="G202" s="114"/>
      <c r="H202" s="363" t="str">
        <f>IFERROR(INDEX('G-7 WaterC'' Data'!$H$4:$L$8,MATCH(C202,'G-7 WaterC'' Data'!$B$4:$B$8,0),MATCH(G202,'G-7 WaterC'' Data'!$H$3:$L$3,0)),"")</f>
        <v/>
      </c>
      <c r="I202" s="54"/>
      <c r="J202" s="370" t="str">
        <f>IF(I202="","",IF(VLOOKUP(I202,'G-7 WaterC'' Data'!$AK$4:$AM$6,2,FALSE)=0,"Spatial Data Missing ⚠",VLOOKUP(I202,'G-7 WaterC'' Data'!$AK$4:$AM$6,2,FALSE)))</f>
        <v/>
      </c>
      <c r="K202" s="363" t="str">
        <f>IF(I202="","",IF(VLOOKUP(I202,'G-7 WaterC'' Data'!$AK$4:$AM$6,3,FALSE)=0,"Spatial Data Missing ⚠",VLOOKUP(I202,'G-7 WaterC'' Data'!$AK$4:$AM$6,3,FALSE)))</f>
        <v/>
      </c>
      <c r="L202" s="362" t="str">
        <f>IFERROR(INDEX('G-7 WaterC'' Data'!$O$3:$O$7,MATCH(G202,'G-7 WaterC'' Data'!$N$3:$N$7,0)),"")</f>
        <v/>
      </c>
      <c r="M202" s="63"/>
      <c r="N202" s="159"/>
      <c r="O202" s="370" t="str">
        <f t="shared" si="10"/>
        <v/>
      </c>
      <c r="P202" s="383" t="str">
        <f t="shared" si="11"/>
        <v/>
      </c>
      <c r="Q202" s="422" t="str">
        <f>IFERROR(IF(P202="Check Data ⚠","Check Data ⚠",VLOOKUP(P202,'G-4 Temporal multipliers'!$A$4:$C$37,3,FALSE)),"")</f>
        <v/>
      </c>
      <c r="R202" s="362" t="str">
        <f>IF(C202="","",VLOOKUP(C202,'G-7 WaterC'' Data'!$B$4:$G$8,4,FALSE))</f>
        <v/>
      </c>
      <c r="S202" s="370" t="str">
        <f t="shared" si="12"/>
        <v/>
      </c>
      <c r="T202" s="401" t="str">
        <f t="shared" si="13"/>
        <v/>
      </c>
      <c r="U202" s="363" t="str">
        <f>IF(C202="","",VLOOKUP(T202,'G-3 Multipliers'!$P$2:$Q$6,2,FALSE))</f>
        <v/>
      </c>
      <c r="V202" s="115"/>
      <c r="W202" s="363" t="str">
        <f>IF(V202="","",IF(VLOOKUP(V202,'G-7 WaterC'' Data'!$AA$4:$AB$7,2,FALSE)=0,"Spatial Data Missing ⚠",VLOOKUP(V202,'G-7 WaterC'' Data'!$AA$4:$AB$7,2,FALSE)))</f>
        <v/>
      </c>
      <c r="X202" s="60"/>
      <c r="Y202" s="363" t="str">
        <f>IF(X202="","",IF(VLOOKUP(X202,'G-7 WaterC'' Data'!$AD$4:$AE$14,2,FALSE)=0,"Enrcoachment Data Missing ⚠",VLOOKUP(X202,'G-7 WaterC'' Data'!$AD$4:$AE$14,2,FALSE)))</f>
        <v/>
      </c>
      <c r="Z202" s="423" t="str">
        <f t="shared" si="14"/>
        <v/>
      </c>
      <c r="AA202" s="117"/>
      <c r="AB202" s="118"/>
      <c r="AC202" s="120"/>
      <c r="AH202" s="30" t="str">
        <f>IFERROR(INDEX('G-7 WaterC'' Data'!$AZ$3:$AZ$7,MATCH(C202,'G-7 WaterC'' Data'!$AY$3:$AY$7,0)),"")</f>
        <v/>
      </c>
    </row>
    <row r="203" spans="2:34" ht="15">
      <c r="B203" s="110">
        <v>192</v>
      </c>
      <c r="C203" s="138"/>
      <c r="D203" s="139"/>
      <c r="E203" s="362" t="str">
        <f>IF(C203="","",VLOOKUP(C203,'G-7 WaterC'' Data'!$B$2:$G$8,2,FALSE))</f>
        <v/>
      </c>
      <c r="F203" s="363" t="str">
        <f>IFERROR(VLOOKUP(E203,'G-7 WaterC'' Data'!$C$4:$D$8,2,FALSE),"")</f>
        <v/>
      </c>
      <c r="G203" s="114"/>
      <c r="H203" s="363" t="str">
        <f>IFERROR(INDEX('G-7 WaterC'' Data'!$H$4:$L$8,MATCH(C203,'G-7 WaterC'' Data'!$B$4:$B$8,0),MATCH(G203,'G-7 WaterC'' Data'!$H$3:$L$3,0)),"")</f>
        <v/>
      </c>
      <c r="I203" s="54"/>
      <c r="J203" s="370" t="str">
        <f>IF(I203="","",IF(VLOOKUP(I203,'G-7 WaterC'' Data'!$AK$4:$AM$6,2,FALSE)=0,"Spatial Data Missing ⚠",VLOOKUP(I203,'G-7 WaterC'' Data'!$AK$4:$AM$6,2,FALSE)))</f>
        <v/>
      </c>
      <c r="K203" s="363" t="str">
        <f>IF(I203="","",IF(VLOOKUP(I203,'G-7 WaterC'' Data'!$AK$4:$AM$6,3,FALSE)=0,"Spatial Data Missing ⚠",VLOOKUP(I203,'G-7 WaterC'' Data'!$AK$4:$AM$6,3,FALSE)))</f>
        <v/>
      </c>
      <c r="L203" s="362" t="str">
        <f>IFERROR(INDEX('G-7 WaterC'' Data'!$O$3:$O$7,MATCH(G203,'G-7 WaterC'' Data'!$N$3:$N$7,0)),"")</f>
        <v/>
      </c>
      <c r="M203" s="63"/>
      <c r="N203" s="159"/>
      <c r="O203" s="370" t="str">
        <f t="shared" si="10"/>
        <v/>
      </c>
      <c r="P203" s="383" t="str">
        <f t="shared" si="11"/>
        <v/>
      </c>
      <c r="Q203" s="422" t="str">
        <f>IFERROR(IF(P203="Check Data ⚠","Check Data ⚠",VLOOKUP(P203,'G-4 Temporal multipliers'!$A$4:$C$37,3,FALSE)),"")</f>
        <v/>
      </c>
      <c r="R203" s="362" t="str">
        <f>IF(C203="","",VLOOKUP(C203,'G-7 WaterC'' Data'!$B$4:$G$8,4,FALSE))</f>
        <v/>
      </c>
      <c r="S203" s="370" t="str">
        <f t="shared" si="12"/>
        <v/>
      </c>
      <c r="T203" s="401" t="str">
        <f t="shared" si="13"/>
        <v/>
      </c>
      <c r="U203" s="363" t="str">
        <f>IF(C203="","",VLOOKUP(T203,'G-3 Multipliers'!$P$2:$Q$6,2,FALSE))</f>
        <v/>
      </c>
      <c r="V203" s="115"/>
      <c r="W203" s="363" t="str">
        <f>IF(V203="","",IF(VLOOKUP(V203,'G-7 WaterC'' Data'!$AA$4:$AB$7,2,FALSE)=0,"Spatial Data Missing ⚠",VLOOKUP(V203,'G-7 WaterC'' Data'!$AA$4:$AB$7,2,FALSE)))</f>
        <v/>
      </c>
      <c r="X203" s="60"/>
      <c r="Y203" s="363" t="str">
        <f>IF(X203="","",IF(VLOOKUP(X203,'G-7 WaterC'' Data'!$AD$4:$AE$14,2,FALSE)=0,"Enrcoachment Data Missing ⚠",VLOOKUP(X203,'G-7 WaterC'' Data'!$AD$4:$AE$14,2,FALSE)))</f>
        <v/>
      </c>
      <c r="Z203" s="423" t="str">
        <f t="shared" si="14"/>
        <v/>
      </c>
      <c r="AA203" s="117"/>
      <c r="AB203" s="118"/>
      <c r="AC203" s="120"/>
      <c r="AH203" s="30" t="str">
        <f>IFERROR(INDEX('G-7 WaterC'' Data'!$AZ$3:$AZ$7,MATCH(C203,'G-7 WaterC'' Data'!$AY$3:$AY$7,0)),"")</f>
        <v/>
      </c>
    </row>
    <row r="204" spans="2:34" ht="15">
      <c r="B204" s="110">
        <v>193</v>
      </c>
      <c r="C204" s="138"/>
      <c r="D204" s="139"/>
      <c r="E204" s="362" t="str">
        <f>IF(C204="","",VLOOKUP(C204,'G-7 WaterC'' Data'!$B$2:$G$8,2,FALSE))</f>
        <v/>
      </c>
      <c r="F204" s="363" t="str">
        <f>IFERROR(VLOOKUP(E204,'G-7 WaterC'' Data'!$C$4:$D$8,2,FALSE),"")</f>
        <v/>
      </c>
      <c r="G204" s="114"/>
      <c r="H204" s="363" t="str">
        <f>IFERROR(INDEX('G-7 WaterC'' Data'!$H$4:$L$8,MATCH(C204,'G-7 WaterC'' Data'!$B$4:$B$8,0),MATCH(G204,'G-7 WaterC'' Data'!$H$3:$L$3,0)),"")</f>
        <v/>
      </c>
      <c r="I204" s="54"/>
      <c r="J204" s="370" t="str">
        <f>IF(I204="","",IF(VLOOKUP(I204,'G-7 WaterC'' Data'!$AK$4:$AM$6,2,FALSE)=0,"Spatial Data Missing ⚠",VLOOKUP(I204,'G-7 WaterC'' Data'!$AK$4:$AM$6,2,FALSE)))</f>
        <v/>
      </c>
      <c r="K204" s="363" t="str">
        <f>IF(I204="","",IF(VLOOKUP(I204,'G-7 WaterC'' Data'!$AK$4:$AM$6,3,FALSE)=0,"Spatial Data Missing ⚠",VLOOKUP(I204,'G-7 WaterC'' Data'!$AK$4:$AM$6,3,FALSE)))</f>
        <v/>
      </c>
      <c r="L204" s="362" t="str">
        <f>IFERROR(INDEX('G-7 WaterC'' Data'!$O$3:$O$7,MATCH(G204,'G-7 WaterC'' Data'!$N$3:$N$7,0)),"")</f>
        <v/>
      </c>
      <c r="M204" s="63"/>
      <c r="N204" s="159"/>
      <c r="O204" s="370" t="str">
        <f t="shared" si="10"/>
        <v/>
      </c>
      <c r="P204" s="383" t="str">
        <f t="shared" si="11"/>
        <v/>
      </c>
      <c r="Q204" s="422" t="str">
        <f>IFERROR(IF(P204="Check Data ⚠","Check Data ⚠",VLOOKUP(P204,'G-4 Temporal multipliers'!$A$4:$C$37,3,FALSE)),"")</f>
        <v/>
      </c>
      <c r="R204" s="362" t="str">
        <f>IF(C204="","",VLOOKUP(C204,'G-7 WaterC'' Data'!$B$4:$G$8,4,FALSE))</f>
        <v/>
      </c>
      <c r="S204" s="370" t="str">
        <f t="shared" si="12"/>
        <v/>
      </c>
      <c r="T204" s="401" t="str">
        <f t="shared" si="13"/>
        <v/>
      </c>
      <c r="U204" s="363" t="str">
        <f>IF(C204="","",VLOOKUP(T204,'G-3 Multipliers'!$P$2:$Q$6,2,FALSE))</f>
        <v/>
      </c>
      <c r="V204" s="115"/>
      <c r="W204" s="363" t="str">
        <f>IF(V204="","",IF(VLOOKUP(V204,'G-7 WaterC'' Data'!$AA$4:$AB$7,2,FALSE)=0,"Spatial Data Missing ⚠",VLOOKUP(V204,'G-7 WaterC'' Data'!$AA$4:$AB$7,2,FALSE)))</f>
        <v/>
      </c>
      <c r="X204" s="60"/>
      <c r="Y204" s="363" t="str">
        <f>IF(X204="","",IF(VLOOKUP(X204,'G-7 WaterC'' Data'!$AD$4:$AE$14,2,FALSE)=0,"Enrcoachment Data Missing ⚠",VLOOKUP(X204,'G-7 WaterC'' Data'!$AD$4:$AE$14,2,FALSE)))</f>
        <v/>
      </c>
      <c r="Z204" s="423" t="str">
        <f t="shared" si="14"/>
        <v/>
      </c>
      <c r="AA204" s="117"/>
      <c r="AB204" s="118"/>
      <c r="AC204" s="120"/>
      <c r="AH204" s="30" t="str">
        <f>IFERROR(INDEX('G-7 WaterC'' Data'!$AZ$3:$AZ$7,MATCH(C204,'G-7 WaterC'' Data'!$AY$3:$AY$7,0)),"")</f>
        <v/>
      </c>
    </row>
    <row r="205" spans="2:34" ht="15">
      <c r="B205" s="110">
        <v>194</v>
      </c>
      <c r="C205" s="138"/>
      <c r="D205" s="139"/>
      <c r="E205" s="362" t="str">
        <f>IF(C205="","",VLOOKUP(C205,'G-7 WaterC'' Data'!$B$2:$G$8,2,FALSE))</f>
        <v/>
      </c>
      <c r="F205" s="363" t="str">
        <f>IFERROR(VLOOKUP(E205,'G-7 WaterC'' Data'!$C$4:$D$8,2,FALSE),"")</f>
        <v/>
      </c>
      <c r="G205" s="114"/>
      <c r="H205" s="363" t="str">
        <f>IFERROR(INDEX('G-7 WaterC'' Data'!$H$4:$L$8,MATCH(C205,'G-7 WaterC'' Data'!$B$4:$B$8,0),MATCH(G205,'G-7 WaterC'' Data'!$H$3:$L$3,0)),"")</f>
        <v/>
      </c>
      <c r="I205" s="54"/>
      <c r="J205" s="370" t="str">
        <f>IF(I205="","",IF(VLOOKUP(I205,'G-7 WaterC'' Data'!$AK$4:$AM$6,2,FALSE)=0,"Spatial Data Missing ⚠",VLOOKUP(I205,'G-7 WaterC'' Data'!$AK$4:$AM$6,2,FALSE)))</f>
        <v/>
      </c>
      <c r="K205" s="363" t="str">
        <f>IF(I205="","",IF(VLOOKUP(I205,'G-7 WaterC'' Data'!$AK$4:$AM$6,3,FALSE)=0,"Spatial Data Missing ⚠",VLOOKUP(I205,'G-7 WaterC'' Data'!$AK$4:$AM$6,3,FALSE)))</f>
        <v/>
      </c>
      <c r="L205" s="362" t="str">
        <f>IFERROR(INDEX('G-7 WaterC'' Data'!$O$3:$O$7,MATCH(G205,'G-7 WaterC'' Data'!$N$3:$N$7,0)),"")</f>
        <v/>
      </c>
      <c r="M205" s="63"/>
      <c r="N205" s="159"/>
      <c r="O205" s="370" t="str">
        <f t="shared" ref="O205:O259" si="15">IF(L205="","",IF(AND(M205&gt;0,N205&gt;0),"Error -both advance and delayed habitat creation ▲",IF(AND(OR(M205="Habitat already in target condition",L205&lt;=M205),N205=0),"Check details - Is there evidence that habitat has reached target condition? ⚠",IF(M205&gt;0,"Check details - Is there evidence habitat creation started/in place? ⚠",IF(N205&gt;0,"Check details- Delay in starting habitat in required condition? ⚠","Standard time to target condition applied")))))</f>
        <v/>
      </c>
      <c r="P205" s="383" t="str">
        <f t="shared" ref="P205:P259" si="16">IF(O205="Error -both advance and delayed habitat creation ▲","Check Data ⚠",IF(L205="","",IF(M205="30+",0,IF(N205="30+","30+",IF(L205+N205&gt;30,"30+ ⚠",IF(L205+N205-M205&gt;0,L205+N205-M205,IF(L205-M205&lt;0,0,L205+N205-M205)))))))</f>
        <v/>
      </c>
      <c r="Q205" s="422" t="str">
        <f>IFERROR(IF(P205="Check Data ⚠","Check Data ⚠",VLOOKUP(P205,'G-4 Temporal multipliers'!$A$4:$C$37,3,FALSE)),"")</f>
        <v/>
      </c>
      <c r="R205" s="362" t="str">
        <f>IF(C205="","",VLOOKUP(C205,'G-7 WaterC'' Data'!$B$4:$G$8,4,FALSE))</f>
        <v/>
      </c>
      <c r="S205" s="370" t="str">
        <f t="shared" ref="S205:S259" si="17">IF(C205="","",IF(P205="Check Data ⚠","Check Data ⚠",IF(G205="","",IF($O205="Check details - Is there evidence that habitat has reached target condition? ⚠","Low Difficulty - only applicable if all habitat created before losses ⚠","Standard difficulty applied"))))</f>
        <v/>
      </c>
      <c r="T205" s="401" t="str">
        <f t="shared" ref="T205:T259" si="18">(IF(AND(S205="Standard difficulty applied",L205&gt;M205),R205,IF(AND(S205="Low Difficulty - only applicable if all habitat created before losses ⚠",M205&gt;=L205),"Low",R205)))</f>
        <v/>
      </c>
      <c r="U205" s="363" t="str">
        <f>IF(C205="","",VLOOKUP(T205,'G-3 Multipliers'!$P$2:$Q$6,2,FALSE))</f>
        <v/>
      </c>
      <c r="V205" s="115"/>
      <c r="W205" s="363" t="str">
        <f>IF(V205="","",IF(VLOOKUP(V205,'G-7 WaterC'' Data'!$AA$4:$AB$7,2,FALSE)=0,"Spatial Data Missing ⚠",VLOOKUP(V205,'G-7 WaterC'' Data'!$AA$4:$AB$7,2,FALSE)))</f>
        <v/>
      </c>
      <c r="X205" s="60"/>
      <c r="Y205" s="363" t="str">
        <f>IF(X205="","",IF(VLOOKUP(X205,'G-7 WaterC'' Data'!$AD$4:$AE$14,2,FALSE)=0,"Enrcoachment Data Missing ⚠",VLOOKUP(X205,'G-7 WaterC'' Data'!$AD$4:$AE$14,2,FALSE)))</f>
        <v/>
      </c>
      <c r="Z205" s="423" t="str">
        <f t="shared" ref="Z205:Z259" si="19">IFERROR(IF(C205="","",D205*F205*H205*K205*Q205*U205*Y205*W205),"")</f>
        <v/>
      </c>
      <c r="AA205" s="117"/>
      <c r="AB205" s="118"/>
      <c r="AC205" s="120"/>
      <c r="AH205" s="30" t="str">
        <f>IFERROR(INDEX('G-7 WaterC'' Data'!$AZ$3:$AZ$7,MATCH(C205,'G-7 WaterC'' Data'!$AY$3:$AY$7,0)),"")</f>
        <v/>
      </c>
    </row>
    <row r="206" spans="2:34" ht="15">
      <c r="B206" s="110">
        <v>195</v>
      </c>
      <c r="C206" s="138"/>
      <c r="D206" s="139"/>
      <c r="E206" s="362" t="str">
        <f>IF(C206="","",VLOOKUP(C206,'G-7 WaterC'' Data'!$B$2:$G$8,2,FALSE))</f>
        <v/>
      </c>
      <c r="F206" s="363" t="str">
        <f>IFERROR(VLOOKUP(E206,'G-7 WaterC'' Data'!$C$4:$D$8,2,FALSE),"")</f>
        <v/>
      </c>
      <c r="G206" s="114"/>
      <c r="H206" s="363" t="str">
        <f>IFERROR(INDEX('G-7 WaterC'' Data'!$H$4:$L$8,MATCH(C206,'G-7 WaterC'' Data'!$B$4:$B$8,0),MATCH(G206,'G-7 WaterC'' Data'!$H$3:$L$3,0)),"")</f>
        <v/>
      </c>
      <c r="I206" s="54"/>
      <c r="J206" s="370" t="str">
        <f>IF(I206="","",IF(VLOOKUP(I206,'G-7 WaterC'' Data'!$AK$4:$AM$6,2,FALSE)=0,"Spatial Data Missing ⚠",VLOOKUP(I206,'G-7 WaterC'' Data'!$AK$4:$AM$6,2,FALSE)))</f>
        <v/>
      </c>
      <c r="K206" s="363" t="str">
        <f>IF(I206="","",IF(VLOOKUP(I206,'G-7 WaterC'' Data'!$AK$4:$AM$6,3,FALSE)=0,"Spatial Data Missing ⚠",VLOOKUP(I206,'G-7 WaterC'' Data'!$AK$4:$AM$6,3,FALSE)))</f>
        <v/>
      </c>
      <c r="L206" s="362" t="str">
        <f>IFERROR(INDEX('G-7 WaterC'' Data'!$O$3:$O$7,MATCH(G206,'G-7 WaterC'' Data'!$N$3:$N$7,0)),"")</f>
        <v/>
      </c>
      <c r="M206" s="63"/>
      <c r="N206" s="159"/>
      <c r="O206" s="370" t="str">
        <f t="shared" si="15"/>
        <v/>
      </c>
      <c r="P206" s="383" t="str">
        <f t="shared" si="16"/>
        <v/>
      </c>
      <c r="Q206" s="422" t="str">
        <f>IFERROR(IF(P206="Check Data ⚠","Check Data ⚠",VLOOKUP(P206,'G-4 Temporal multipliers'!$A$4:$C$37,3,FALSE)),"")</f>
        <v/>
      </c>
      <c r="R206" s="362" t="str">
        <f>IF(C206="","",VLOOKUP(C206,'G-7 WaterC'' Data'!$B$4:$G$8,4,FALSE))</f>
        <v/>
      </c>
      <c r="S206" s="370" t="str">
        <f t="shared" si="17"/>
        <v/>
      </c>
      <c r="T206" s="401" t="str">
        <f t="shared" si="18"/>
        <v/>
      </c>
      <c r="U206" s="363" t="str">
        <f>IF(C206="","",VLOOKUP(T206,'G-3 Multipliers'!$P$2:$Q$6,2,FALSE))</f>
        <v/>
      </c>
      <c r="V206" s="115"/>
      <c r="W206" s="363" t="str">
        <f>IF(V206="","",IF(VLOOKUP(V206,'G-7 WaterC'' Data'!$AA$4:$AB$7,2,FALSE)=0,"Spatial Data Missing ⚠",VLOOKUP(V206,'G-7 WaterC'' Data'!$AA$4:$AB$7,2,FALSE)))</f>
        <v/>
      </c>
      <c r="X206" s="60"/>
      <c r="Y206" s="363" t="str">
        <f>IF(X206="","",IF(VLOOKUP(X206,'G-7 WaterC'' Data'!$AD$4:$AE$14,2,FALSE)=0,"Enrcoachment Data Missing ⚠",VLOOKUP(X206,'G-7 WaterC'' Data'!$AD$4:$AE$14,2,FALSE)))</f>
        <v/>
      </c>
      <c r="Z206" s="423" t="str">
        <f t="shared" si="19"/>
        <v/>
      </c>
      <c r="AA206" s="117"/>
      <c r="AB206" s="118"/>
      <c r="AC206" s="120"/>
      <c r="AH206" s="30" t="str">
        <f>IFERROR(INDEX('G-7 WaterC'' Data'!$AZ$3:$AZ$7,MATCH(C206,'G-7 WaterC'' Data'!$AY$3:$AY$7,0)),"")</f>
        <v/>
      </c>
    </row>
    <row r="207" spans="2:34" ht="15">
      <c r="B207" s="110">
        <v>196</v>
      </c>
      <c r="C207" s="138"/>
      <c r="D207" s="139"/>
      <c r="E207" s="362" t="str">
        <f>IF(C207="","",VLOOKUP(C207,'G-7 WaterC'' Data'!$B$2:$G$8,2,FALSE))</f>
        <v/>
      </c>
      <c r="F207" s="363" t="str">
        <f>IFERROR(VLOOKUP(E207,'G-7 WaterC'' Data'!$C$4:$D$8,2,FALSE),"")</f>
        <v/>
      </c>
      <c r="G207" s="114"/>
      <c r="H207" s="363" t="str">
        <f>IFERROR(INDEX('G-7 WaterC'' Data'!$H$4:$L$8,MATCH(C207,'G-7 WaterC'' Data'!$B$4:$B$8,0),MATCH(G207,'G-7 WaterC'' Data'!$H$3:$L$3,0)),"")</f>
        <v/>
      </c>
      <c r="I207" s="54"/>
      <c r="J207" s="370" t="str">
        <f>IF(I207="","",IF(VLOOKUP(I207,'G-7 WaterC'' Data'!$AK$4:$AM$6,2,FALSE)=0,"Spatial Data Missing ⚠",VLOOKUP(I207,'G-7 WaterC'' Data'!$AK$4:$AM$6,2,FALSE)))</f>
        <v/>
      </c>
      <c r="K207" s="363" t="str">
        <f>IF(I207="","",IF(VLOOKUP(I207,'G-7 WaterC'' Data'!$AK$4:$AM$6,3,FALSE)=0,"Spatial Data Missing ⚠",VLOOKUP(I207,'G-7 WaterC'' Data'!$AK$4:$AM$6,3,FALSE)))</f>
        <v/>
      </c>
      <c r="L207" s="362" t="str">
        <f>IFERROR(INDEX('G-7 WaterC'' Data'!$O$3:$O$7,MATCH(G207,'G-7 WaterC'' Data'!$N$3:$N$7,0)),"")</f>
        <v/>
      </c>
      <c r="M207" s="63"/>
      <c r="N207" s="159"/>
      <c r="O207" s="370" t="str">
        <f t="shared" si="15"/>
        <v/>
      </c>
      <c r="P207" s="383" t="str">
        <f t="shared" si="16"/>
        <v/>
      </c>
      <c r="Q207" s="422" t="str">
        <f>IFERROR(IF(P207="Check Data ⚠","Check Data ⚠",VLOOKUP(P207,'G-4 Temporal multipliers'!$A$4:$C$37,3,FALSE)),"")</f>
        <v/>
      </c>
      <c r="R207" s="362" t="str">
        <f>IF(C207="","",VLOOKUP(C207,'G-7 WaterC'' Data'!$B$4:$G$8,4,FALSE))</f>
        <v/>
      </c>
      <c r="S207" s="370" t="str">
        <f t="shared" si="17"/>
        <v/>
      </c>
      <c r="T207" s="401" t="str">
        <f t="shared" si="18"/>
        <v/>
      </c>
      <c r="U207" s="363" t="str">
        <f>IF(C207="","",VLOOKUP(T207,'G-3 Multipliers'!$P$2:$Q$6,2,FALSE))</f>
        <v/>
      </c>
      <c r="V207" s="115"/>
      <c r="W207" s="363" t="str">
        <f>IF(V207="","",IF(VLOOKUP(V207,'G-7 WaterC'' Data'!$AA$4:$AB$7,2,FALSE)=0,"Spatial Data Missing ⚠",VLOOKUP(V207,'G-7 WaterC'' Data'!$AA$4:$AB$7,2,FALSE)))</f>
        <v/>
      </c>
      <c r="X207" s="60"/>
      <c r="Y207" s="363" t="str">
        <f>IF(X207="","",IF(VLOOKUP(X207,'G-7 WaterC'' Data'!$AD$4:$AE$14,2,FALSE)=0,"Enrcoachment Data Missing ⚠",VLOOKUP(X207,'G-7 WaterC'' Data'!$AD$4:$AE$14,2,FALSE)))</f>
        <v/>
      </c>
      <c r="Z207" s="423" t="str">
        <f t="shared" si="19"/>
        <v/>
      </c>
      <c r="AA207" s="117"/>
      <c r="AB207" s="118"/>
      <c r="AC207" s="120"/>
      <c r="AH207" s="30" t="str">
        <f>IFERROR(INDEX('G-7 WaterC'' Data'!$AZ$3:$AZ$7,MATCH(C207,'G-7 WaterC'' Data'!$AY$3:$AY$7,0)),"")</f>
        <v/>
      </c>
    </row>
    <row r="208" spans="2:34" ht="15">
      <c r="B208" s="110">
        <v>197</v>
      </c>
      <c r="C208" s="138"/>
      <c r="D208" s="139"/>
      <c r="E208" s="362" t="str">
        <f>IF(C208="","",VLOOKUP(C208,'G-7 WaterC'' Data'!$B$2:$G$8,2,FALSE))</f>
        <v/>
      </c>
      <c r="F208" s="363" t="str">
        <f>IFERROR(VLOOKUP(E208,'G-7 WaterC'' Data'!$C$4:$D$8,2,FALSE),"")</f>
        <v/>
      </c>
      <c r="G208" s="114"/>
      <c r="H208" s="363" t="str">
        <f>IFERROR(INDEX('G-7 WaterC'' Data'!$H$4:$L$8,MATCH(C208,'G-7 WaterC'' Data'!$B$4:$B$8,0),MATCH(G208,'G-7 WaterC'' Data'!$H$3:$L$3,0)),"")</f>
        <v/>
      </c>
      <c r="I208" s="54"/>
      <c r="J208" s="370" t="str">
        <f>IF(I208="","",IF(VLOOKUP(I208,'G-7 WaterC'' Data'!$AK$4:$AM$6,2,FALSE)=0,"Spatial Data Missing ⚠",VLOOKUP(I208,'G-7 WaterC'' Data'!$AK$4:$AM$6,2,FALSE)))</f>
        <v/>
      </c>
      <c r="K208" s="363" t="str">
        <f>IF(I208="","",IF(VLOOKUP(I208,'G-7 WaterC'' Data'!$AK$4:$AM$6,3,FALSE)=0,"Spatial Data Missing ⚠",VLOOKUP(I208,'G-7 WaterC'' Data'!$AK$4:$AM$6,3,FALSE)))</f>
        <v/>
      </c>
      <c r="L208" s="362" t="str">
        <f>IFERROR(INDEX('G-7 WaterC'' Data'!$O$3:$O$7,MATCH(G208,'G-7 WaterC'' Data'!$N$3:$N$7,0)),"")</f>
        <v/>
      </c>
      <c r="M208" s="63"/>
      <c r="N208" s="159"/>
      <c r="O208" s="370" t="str">
        <f t="shared" si="15"/>
        <v/>
      </c>
      <c r="P208" s="383" t="str">
        <f t="shared" si="16"/>
        <v/>
      </c>
      <c r="Q208" s="422" t="str">
        <f>IFERROR(IF(P208="Check Data ⚠","Check Data ⚠",VLOOKUP(P208,'G-4 Temporal multipliers'!$A$4:$C$37,3,FALSE)),"")</f>
        <v/>
      </c>
      <c r="R208" s="362" t="str">
        <f>IF(C208="","",VLOOKUP(C208,'G-7 WaterC'' Data'!$B$4:$G$8,4,FALSE))</f>
        <v/>
      </c>
      <c r="S208" s="370" t="str">
        <f t="shared" si="17"/>
        <v/>
      </c>
      <c r="T208" s="401" t="str">
        <f t="shared" si="18"/>
        <v/>
      </c>
      <c r="U208" s="363" t="str">
        <f>IF(C208="","",VLOOKUP(T208,'G-3 Multipliers'!$P$2:$Q$6,2,FALSE))</f>
        <v/>
      </c>
      <c r="V208" s="115"/>
      <c r="W208" s="363" t="str">
        <f>IF(V208="","",IF(VLOOKUP(V208,'G-7 WaterC'' Data'!$AA$4:$AB$7,2,FALSE)=0,"Spatial Data Missing ⚠",VLOOKUP(V208,'G-7 WaterC'' Data'!$AA$4:$AB$7,2,FALSE)))</f>
        <v/>
      </c>
      <c r="X208" s="60"/>
      <c r="Y208" s="363" t="str">
        <f>IF(X208="","",IF(VLOOKUP(X208,'G-7 WaterC'' Data'!$AD$4:$AE$14,2,FALSE)=0,"Enrcoachment Data Missing ⚠",VLOOKUP(X208,'G-7 WaterC'' Data'!$AD$4:$AE$14,2,FALSE)))</f>
        <v/>
      </c>
      <c r="Z208" s="423" t="str">
        <f t="shared" si="19"/>
        <v/>
      </c>
      <c r="AA208" s="117"/>
      <c r="AB208" s="118"/>
      <c r="AC208" s="120"/>
      <c r="AH208" s="30" t="str">
        <f>IFERROR(INDEX('G-7 WaterC'' Data'!$AZ$3:$AZ$7,MATCH(C208,'G-7 WaterC'' Data'!$AY$3:$AY$7,0)),"")</f>
        <v/>
      </c>
    </row>
    <row r="209" spans="2:34" ht="15">
      <c r="B209" s="110">
        <v>198</v>
      </c>
      <c r="C209" s="138"/>
      <c r="D209" s="139"/>
      <c r="E209" s="362" t="str">
        <f>IF(C209="","",VLOOKUP(C209,'G-7 WaterC'' Data'!$B$2:$G$8,2,FALSE))</f>
        <v/>
      </c>
      <c r="F209" s="363" t="str">
        <f>IFERROR(VLOOKUP(E209,'G-7 WaterC'' Data'!$C$4:$D$8,2,FALSE),"")</f>
        <v/>
      </c>
      <c r="G209" s="114"/>
      <c r="H209" s="363" t="str">
        <f>IFERROR(INDEX('G-7 WaterC'' Data'!$H$4:$L$8,MATCH(C209,'G-7 WaterC'' Data'!$B$4:$B$8,0),MATCH(G209,'G-7 WaterC'' Data'!$H$3:$L$3,0)),"")</f>
        <v/>
      </c>
      <c r="I209" s="54"/>
      <c r="J209" s="370" t="str">
        <f>IF(I209="","",IF(VLOOKUP(I209,'G-7 WaterC'' Data'!$AK$4:$AM$6,2,FALSE)=0,"Spatial Data Missing ⚠",VLOOKUP(I209,'G-7 WaterC'' Data'!$AK$4:$AM$6,2,FALSE)))</f>
        <v/>
      </c>
      <c r="K209" s="363" t="str">
        <f>IF(I209="","",IF(VLOOKUP(I209,'G-7 WaterC'' Data'!$AK$4:$AM$6,3,FALSE)=0,"Spatial Data Missing ⚠",VLOOKUP(I209,'G-7 WaterC'' Data'!$AK$4:$AM$6,3,FALSE)))</f>
        <v/>
      </c>
      <c r="L209" s="362" t="str">
        <f>IFERROR(INDEX('G-7 WaterC'' Data'!$O$3:$O$7,MATCH(G209,'G-7 WaterC'' Data'!$N$3:$N$7,0)),"")</f>
        <v/>
      </c>
      <c r="M209" s="63"/>
      <c r="N209" s="159"/>
      <c r="O209" s="370" t="str">
        <f t="shared" si="15"/>
        <v/>
      </c>
      <c r="P209" s="383" t="str">
        <f t="shared" si="16"/>
        <v/>
      </c>
      <c r="Q209" s="422" t="str">
        <f>IFERROR(IF(P209="Check Data ⚠","Check Data ⚠",VLOOKUP(P209,'G-4 Temporal multipliers'!$A$4:$C$37,3,FALSE)),"")</f>
        <v/>
      </c>
      <c r="R209" s="362" t="str">
        <f>IF(C209="","",VLOOKUP(C209,'G-7 WaterC'' Data'!$B$4:$G$8,4,FALSE))</f>
        <v/>
      </c>
      <c r="S209" s="370" t="str">
        <f t="shared" si="17"/>
        <v/>
      </c>
      <c r="T209" s="401" t="str">
        <f t="shared" si="18"/>
        <v/>
      </c>
      <c r="U209" s="363" t="str">
        <f>IF(C209="","",VLOOKUP(T209,'G-3 Multipliers'!$P$2:$Q$6,2,FALSE))</f>
        <v/>
      </c>
      <c r="V209" s="115"/>
      <c r="W209" s="363" t="str">
        <f>IF(V209="","",IF(VLOOKUP(V209,'G-7 WaterC'' Data'!$AA$4:$AB$7,2,FALSE)=0,"Spatial Data Missing ⚠",VLOOKUP(V209,'G-7 WaterC'' Data'!$AA$4:$AB$7,2,FALSE)))</f>
        <v/>
      </c>
      <c r="X209" s="60"/>
      <c r="Y209" s="363" t="str">
        <f>IF(X209="","",IF(VLOOKUP(X209,'G-7 WaterC'' Data'!$AD$4:$AE$14,2,FALSE)=0,"Enrcoachment Data Missing ⚠",VLOOKUP(X209,'G-7 WaterC'' Data'!$AD$4:$AE$14,2,FALSE)))</f>
        <v/>
      </c>
      <c r="Z209" s="423" t="str">
        <f t="shared" si="19"/>
        <v/>
      </c>
      <c r="AA209" s="117"/>
      <c r="AB209" s="118"/>
      <c r="AC209" s="120"/>
      <c r="AH209" s="30" t="str">
        <f>IFERROR(INDEX('G-7 WaterC'' Data'!$AZ$3:$AZ$7,MATCH(C209,'G-7 WaterC'' Data'!$AY$3:$AY$7,0)),"")</f>
        <v/>
      </c>
    </row>
    <row r="210" spans="2:34" ht="15">
      <c r="B210" s="110">
        <v>199</v>
      </c>
      <c r="C210" s="138"/>
      <c r="D210" s="139"/>
      <c r="E210" s="362" t="str">
        <f>IF(C210="","",VLOOKUP(C210,'G-7 WaterC'' Data'!$B$2:$G$8,2,FALSE))</f>
        <v/>
      </c>
      <c r="F210" s="363" t="str">
        <f>IFERROR(VLOOKUP(E210,'G-7 WaterC'' Data'!$C$4:$D$8,2,FALSE),"")</f>
        <v/>
      </c>
      <c r="G210" s="114"/>
      <c r="H210" s="363" t="str">
        <f>IFERROR(INDEX('G-7 WaterC'' Data'!$H$4:$L$8,MATCH(C210,'G-7 WaterC'' Data'!$B$4:$B$8,0),MATCH(G210,'G-7 WaterC'' Data'!$H$3:$L$3,0)),"")</f>
        <v/>
      </c>
      <c r="I210" s="54"/>
      <c r="J210" s="370" t="str">
        <f>IF(I210="","",IF(VLOOKUP(I210,'G-7 WaterC'' Data'!$AK$4:$AM$6,2,FALSE)=0,"Spatial Data Missing ⚠",VLOOKUP(I210,'G-7 WaterC'' Data'!$AK$4:$AM$6,2,FALSE)))</f>
        <v/>
      </c>
      <c r="K210" s="363" t="str">
        <f>IF(I210="","",IF(VLOOKUP(I210,'G-7 WaterC'' Data'!$AK$4:$AM$6,3,FALSE)=0,"Spatial Data Missing ⚠",VLOOKUP(I210,'G-7 WaterC'' Data'!$AK$4:$AM$6,3,FALSE)))</f>
        <v/>
      </c>
      <c r="L210" s="362" t="str">
        <f>IFERROR(INDEX('G-7 WaterC'' Data'!$O$3:$O$7,MATCH(G210,'G-7 WaterC'' Data'!$N$3:$N$7,0)),"")</f>
        <v/>
      </c>
      <c r="M210" s="63"/>
      <c r="N210" s="159"/>
      <c r="O210" s="370" t="str">
        <f t="shared" si="15"/>
        <v/>
      </c>
      <c r="P210" s="383" t="str">
        <f t="shared" si="16"/>
        <v/>
      </c>
      <c r="Q210" s="422" t="str">
        <f>IFERROR(IF(P210="Check Data ⚠","Check Data ⚠",VLOOKUP(P210,'G-4 Temporal multipliers'!$A$4:$C$37,3,FALSE)),"")</f>
        <v/>
      </c>
      <c r="R210" s="362" t="str">
        <f>IF(C210="","",VLOOKUP(C210,'G-7 WaterC'' Data'!$B$4:$G$8,4,FALSE))</f>
        <v/>
      </c>
      <c r="S210" s="370" t="str">
        <f t="shared" si="17"/>
        <v/>
      </c>
      <c r="T210" s="401" t="str">
        <f t="shared" si="18"/>
        <v/>
      </c>
      <c r="U210" s="363" t="str">
        <f>IF(C210="","",VLOOKUP(T210,'G-3 Multipliers'!$P$2:$Q$6,2,FALSE))</f>
        <v/>
      </c>
      <c r="V210" s="115"/>
      <c r="W210" s="363" t="str">
        <f>IF(V210="","",IF(VLOOKUP(V210,'G-7 WaterC'' Data'!$AA$4:$AB$7,2,FALSE)=0,"Spatial Data Missing ⚠",VLOOKUP(V210,'G-7 WaterC'' Data'!$AA$4:$AB$7,2,FALSE)))</f>
        <v/>
      </c>
      <c r="X210" s="60"/>
      <c r="Y210" s="363" t="str">
        <f>IF(X210="","",IF(VLOOKUP(X210,'G-7 WaterC'' Data'!$AD$4:$AE$14,2,FALSE)=0,"Enrcoachment Data Missing ⚠",VLOOKUP(X210,'G-7 WaterC'' Data'!$AD$4:$AE$14,2,FALSE)))</f>
        <v/>
      </c>
      <c r="Z210" s="423" t="str">
        <f t="shared" si="19"/>
        <v/>
      </c>
      <c r="AA210" s="117"/>
      <c r="AB210" s="118"/>
      <c r="AC210" s="120"/>
      <c r="AH210" s="30" t="str">
        <f>IFERROR(INDEX('G-7 WaterC'' Data'!$AZ$3:$AZ$7,MATCH(C210,'G-7 WaterC'' Data'!$AY$3:$AY$7,0)),"")</f>
        <v/>
      </c>
    </row>
    <row r="211" spans="2:34" ht="15">
      <c r="B211" s="110">
        <v>200</v>
      </c>
      <c r="C211" s="138"/>
      <c r="D211" s="139"/>
      <c r="E211" s="362" t="str">
        <f>IF(C211="","",VLOOKUP(C211,'G-7 WaterC'' Data'!$B$2:$G$8,2,FALSE))</f>
        <v/>
      </c>
      <c r="F211" s="363" t="str">
        <f>IFERROR(VLOOKUP(E211,'G-7 WaterC'' Data'!$C$4:$D$8,2,FALSE),"")</f>
        <v/>
      </c>
      <c r="G211" s="114"/>
      <c r="H211" s="363" t="str">
        <f>IFERROR(INDEX('G-7 WaterC'' Data'!$H$4:$L$8,MATCH(C211,'G-7 WaterC'' Data'!$B$4:$B$8,0),MATCH(G211,'G-7 WaterC'' Data'!$H$3:$L$3,0)),"")</f>
        <v/>
      </c>
      <c r="I211" s="54"/>
      <c r="J211" s="370" t="str">
        <f>IF(I211="","",IF(VLOOKUP(I211,'G-7 WaterC'' Data'!$AK$4:$AM$6,2,FALSE)=0,"Spatial Data Missing ⚠",VLOOKUP(I211,'G-7 WaterC'' Data'!$AK$4:$AM$6,2,FALSE)))</f>
        <v/>
      </c>
      <c r="K211" s="363" t="str">
        <f>IF(I211="","",IF(VLOOKUP(I211,'G-7 WaterC'' Data'!$AK$4:$AM$6,3,FALSE)=0,"Spatial Data Missing ⚠",VLOOKUP(I211,'G-7 WaterC'' Data'!$AK$4:$AM$6,3,FALSE)))</f>
        <v/>
      </c>
      <c r="L211" s="362" t="str">
        <f>IFERROR(INDEX('G-7 WaterC'' Data'!$O$3:$O$7,MATCH(G211,'G-7 WaterC'' Data'!$N$3:$N$7,0)),"")</f>
        <v/>
      </c>
      <c r="M211" s="63"/>
      <c r="N211" s="159"/>
      <c r="O211" s="370" t="str">
        <f t="shared" si="15"/>
        <v/>
      </c>
      <c r="P211" s="383" t="str">
        <f t="shared" si="16"/>
        <v/>
      </c>
      <c r="Q211" s="422" t="str">
        <f>IFERROR(IF(P211="Check Data ⚠","Check Data ⚠",VLOOKUP(P211,'G-4 Temporal multipliers'!$A$4:$C$37,3,FALSE)),"")</f>
        <v/>
      </c>
      <c r="R211" s="362" t="str">
        <f>IF(C211="","",VLOOKUP(C211,'G-7 WaterC'' Data'!$B$4:$G$8,4,FALSE))</f>
        <v/>
      </c>
      <c r="S211" s="370" t="str">
        <f t="shared" si="17"/>
        <v/>
      </c>
      <c r="T211" s="401" t="str">
        <f t="shared" si="18"/>
        <v/>
      </c>
      <c r="U211" s="363" t="str">
        <f>IF(C211="","",VLOOKUP(T211,'G-3 Multipliers'!$P$2:$Q$6,2,FALSE))</f>
        <v/>
      </c>
      <c r="V211" s="115"/>
      <c r="W211" s="363" t="str">
        <f>IF(V211="","",IF(VLOOKUP(V211,'G-7 WaterC'' Data'!$AA$4:$AB$7,2,FALSE)=0,"Spatial Data Missing ⚠",VLOOKUP(V211,'G-7 WaterC'' Data'!$AA$4:$AB$7,2,FALSE)))</f>
        <v/>
      </c>
      <c r="X211" s="60"/>
      <c r="Y211" s="363" t="str">
        <f>IF(X211="","",IF(VLOOKUP(X211,'G-7 WaterC'' Data'!$AD$4:$AE$14,2,FALSE)=0,"Enrcoachment Data Missing ⚠",VLOOKUP(X211,'G-7 WaterC'' Data'!$AD$4:$AE$14,2,FALSE)))</f>
        <v/>
      </c>
      <c r="Z211" s="423" t="str">
        <f t="shared" si="19"/>
        <v/>
      </c>
      <c r="AA211" s="117"/>
      <c r="AB211" s="118"/>
      <c r="AC211" s="120"/>
      <c r="AH211" s="30" t="str">
        <f>IFERROR(INDEX('G-7 WaterC'' Data'!$AZ$3:$AZ$7,MATCH(C211,'G-7 WaterC'' Data'!$AY$3:$AY$7,0)),"")</f>
        <v/>
      </c>
    </row>
    <row r="212" spans="2:34" ht="15">
      <c r="B212" s="110">
        <v>201</v>
      </c>
      <c r="C212" s="138"/>
      <c r="D212" s="139"/>
      <c r="E212" s="362" t="str">
        <f>IF(C212="","",VLOOKUP(C212,'G-7 WaterC'' Data'!$B$2:$G$8,2,FALSE))</f>
        <v/>
      </c>
      <c r="F212" s="363" t="str">
        <f>IFERROR(VLOOKUP(E212,'G-7 WaterC'' Data'!$C$4:$D$8,2,FALSE),"")</f>
        <v/>
      </c>
      <c r="G212" s="114"/>
      <c r="H212" s="363" t="str">
        <f>IFERROR(INDEX('G-7 WaterC'' Data'!$H$4:$L$8,MATCH(C212,'G-7 WaterC'' Data'!$B$4:$B$8,0),MATCH(G212,'G-7 WaterC'' Data'!$H$3:$L$3,0)),"")</f>
        <v/>
      </c>
      <c r="I212" s="54"/>
      <c r="J212" s="370" t="str">
        <f>IF(I212="","",IF(VLOOKUP(I212,'G-7 WaterC'' Data'!$AK$4:$AM$6,2,FALSE)=0,"Spatial Data Missing ⚠",VLOOKUP(I212,'G-7 WaterC'' Data'!$AK$4:$AM$6,2,FALSE)))</f>
        <v/>
      </c>
      <c r="K212" s="363" t="str">
        <f>IF(I212="","",IF(VLOOKUP(I212,'G-7 WaterC'' Data'!$AK$4:$AM$6,3,FALSE)=0,"Spatial Data Missing ⚠",VLOOKUP(I212,'G-7 WaterC'' Data'!$AK$4:$AM$6,3,FALSE)))</f>
        <v/>
      </c>
      <c r="L212" s="362" t="str">
        <f>IFERROR(INDEX('G-7 WaterC'' Data'!$O$3:$O$7,MATCH(G212,'G-7 WaterC'' Data'!$N$3:$N$7,0)),"")</f>
        <v/>
      </c>
      <c r="M212" s="63"/>
      <c r="N212" s="159"/>
      <c r="O212" s="370" t="str">
        <f t="shared" si="15"/>
        <v/>
      </c>
      <c r="P212" s="383" t="str">
        <f t="shared" si="16"/>
        <v/>
      </c>
      <c r="Q212" s="422" t="str">
        <f>IFERROR(IF(P212="Check Data ⚠","Check Data ⚠",VLOOKUP(P212,'G-4 Temporal multipliers'!$A$4:$C$37,3,FALSE)),"")</f>
        <v/>
      </c>
      <c r="R212" s="362" t="str">
        <f>IF(C212="","",VLOOKUP(C212,'G-7 WaterC'' Data'!$B$4:$G$8,4,FALSE))</f>
        <v/>
      </c>
      <c r="S212" s="370" t="str">
        <f t="shared" si="17"/>
        <v/>
      </c>
      <c r="T212" s="401" t="str">
        <f t="shared" si="18"/>
        <v/>
      </c>
      <c r="U212" s="363" t="str">
        <f>IF(C212="","",VLOOKUP(T212,'G-3 Multipliers'!$P$2:$Q$6,2,FALSE))</f>
        <v/>
      </c>
      <c r="V212" s="115"/>
      <c r="W212" s="363" t="str">
        <f>IF(V212="","",IF(VLOOKUP(V212,'G-7 WaterC'' Data'!$AA$4:$AB$7,2,FALSE)=0,"Spatial Data Missing ⚠",VLOOKUP(V212,'G-7 WaterC'' Data'!$AA$4:$AB$7,2,FALSE)))</f>
        <v/>
      </c>
      <c r="X212" s="60"/>
      <c r="Y212" s="363" t="str">
        <f>IF(X212="","",IF(VLOOKUP(X212,'G-7 WaterC'' Data'!$AD$4:$AE$14,2,FALSE)=0,"Enrcoachment Data Missing ⚠",VLOOKUP(X212,'G-7 WaterC'' Data'!$AD$4:$AE$14,2,FALSE)))</f>
        <v/>
      </c>
      <c r="Z212" s="423" t="str">
        <f t="shared" si="19"/>
        <v/>
      </c>
      <c r="AA212" s="117"/>
      <c r="AB212" s="118"/>
      <c r="AC212" s="120"/>
      <c r="AH212" s="30" t="str">
        <f>IFERROR(INDEX('G-7 WaterC'' Data'!$AZ$3:$AZ$7,MATCH(C212,'G-7 WaterC'' Data'!$AY$3:$AY$7,0)),"")</f>
        <v/>
      </c>
    </row>
    <row r="213" spans="2:34" ht="15">
      <c r="B213" s="110">
        <v>202</v>
      </c>
      <c r="C213" s="138"/>
      <c r="D213" s="139"/>
      <c r="E213" s="362" t="str">
        <f>IF(C213="","",VLOOKUP(C213,'G-7 WaterC'' Data'!$B$2:$G$8,2,FALSE))</f>
        <v/>
      </c>
      <c r="F213" s="363" t="str">
        <f>IFERROR(VLOOKUP(E213,'G-7 WaterC'' Data'!$C$4:$D$8,2,FALSE),"")</f>
        <v/>
      </c>
      <c r="G213" s="114"/>
      <c r="H213" s="363" t="str">
        <f>IFERROR(INDEX('G-7 WaterC'' Data'!$H$4:$L$8,MATCH(C213,'G-7 WaterC'' Data'!$B$4:$B$8,0),MATCH(G213,'G-7 WaterC'' Data'!$H$3:$L$3,0)),"")</f>
        <v/>
      </c>
      <c r="I213" s="54"/>
      <c r="J213" s="370" t="str">
        <f>IF(I213="","",IF(VLOOKUP(I213,'G-7 WaterC'' Data'!$AK$4:$AM$6,2,FALSE)=0,"Spatial Data Missing ⚠",VLOOKUP(I213,'G-7 WaterC'' Data'!$AK$4:$AM$6,2,FALSE)))</f>
        <v/>
      </c>
      <c r="K213" s="363" t="str">
        <f>IF(I213="","",IF(VLOOKUP(I213,'G-7 WaterC'' Data'!$AK$4:$AM$6,3,FALSE)=0,"Spatial Data Missing ⚠",VLOOKUP(I213,'G-7 WaterC'' Data'!$AK$4:$AM$6,3,FALSE)))</f>
        <v/>
      </c>
      <c r="L213" s="362" t="str">
        <f>IFERROR(INDEX('G-7 WaterC'' Data'!$O$3:$O$7,MATCH(G213,'G-7 WaterC'' Data'!$N$3:$N$7,0)),"")</f>
        <v/>
      </c>
      <c r="M213" s="63"/>
      <c r="N213" s="159"/>
      <c r="O213" s="370" t="str">
        <f t="shared" si="15"/>
        <v/>
      </c>
      <c r="P213" s="383" t="str">
        <f t="shared" si="16"/>
        <v/>
      </c>
      <c r="Q213" s="422" t="str">
        <f>IFERROR(IF(P213="Check Data ⚠","Check Data ⚠",VLOOKUP(P213,'G-4 Temporal multipliers'!$A$4:$C$37,3,FALSE)),"")</f>
        <v/>
      </c>
      <c r="R213" s="362" t="str">
        <f>IF(C213="","",VLOOKUP(C213,'G-7 WaterC'' Data'!$B$4:$G$8,4,FALSE))</f>
        <v/>
      </c>
      <c r="S213" s="370" t="str">
        <f t="shared" si="17"/>
        <v/>
      </c>
      <c r="T213" s="401" t="str">
        <f t="shared" si="18"/>
        <v/>
      </c>
      <c r="U213" s="363" t="str">
        <f>IF(C213="","",VLOOKUP(T213,'G-3 Multipliers'!$P$2:$Q$6,2,FALSE))</f>
        <v/>
      </c>
      <c r="V213" s="115"/>
      <c r="W213" s="363" t="str">
        <f>IF(V213="","",IF(VLOOKUP(V213,'G-7 WaterC'' Data'!$AA$4:$AB$7,2,FALSE)=0,"Spatial Data Missing ⚠",VLOOKUP(V213,'G-7 WaterC'' Data'!$AA$4:$AB$7,2,FALSE)))</f>
        <v/>
      </c>
      <c r="X213" s="60"/>
      <c r="Y213" s="363" t="str">
        <f>IF(X213="","",IF(VLOOKUP(X213,'G-7 WaterC'' Data'!$AD$4:$AE$14,2,FALSE)=0,"Enrcoachment Data Missing ⚠",VLOOKUP(X213,'G-7 WaterC'' Data'!$AD$4:$AE$14,2,FALSE)))</f>
        <v/>
      </c>
      <c r="Z213" s="423" t="str">
        <f t="shared" si="19"/>
        <v/>
      </c>
      <c r="AA213" s="117"/>
      <c r="AB213" s="118"/>
      <c r="AC213" s="120"/>
      <c r="AH213" s="30" t="str">
        <f>IFERROR(INDEX('G-7 WaterC'' Data'!$AZ$3:$AZ$7,MATCH(C213,'G-7 WaterC'' Data'!$AY$3:$AY$7,0)),"")</f>
        <v/>
      </c>
    </row>
    <row r="214" spans="2:34" ht="15">
      <c r="B214" s="110">
        <v>203</v>
      </c>
      <c r="C214" s="138"/>
      <c r="D214" s="139"/>
      <c r="E214" s="362" t="str">
        <f>IF(C214="","",VLOOKUP(C214,'G-7 WaterC'' Data'!$B$2:$G$8,2,FALSE))</f>
        <v/>
      </c>
      <c r="F214" s="363" t="str">
        <f>IFERROR(VLOOKUP(E214,'G-7 WaterC'' Data'!$C$4:$D$8,2,FALSE),"")</f>
        <v/>
      </c>
      <c r="G214" s="114"/>
      <c r="H214" s="363" t="str">
        <f>IFERROR(INDEX('G-7 WaterC'' Data'!$H$4:$L$8,MATCH(C214,'G-7 WaterC'' Data'!$B$4:$B$8,0),MATCH(G214,'G-7 WaterC'' Data'!$H$3:$L$3,0)),"")</f>
        <v/>
      </c>
      <c r="I214" s="54"/>
      <c r="J214" s="370" t="str">
        <f>IF(I214="","",IF(VLOOKUP(I214,'G-7 WaterC'' Data'!$AK$4:$AM$6,2,FALSE)=0,"Spatial Data Missing ⚠",VLOOKUP(I214,'G-7 WaterC'' Data'!$AK$4:$AM$6,2,FALSE)))</f>
        <v/>
      </c>
      <c r="K214" s="363" t="str">
        <f>IF(I214="","",IF(VLOOKUP(I214,'G-7 WaterC'' Data'!$AK$4:$AM$6,3,FALSE)=0,"Spatial Data Missing ⚠",VLOOKUP(I214,'G-7 WaterC'' Data'!$AK$4:$AM$6,3,FALSE)))</f>
        <v/>
      </c>
      <c r="L214" s="362" t="str">
        <f>IFERROR(INDEX('G-7 WaterC'' Data'!$O$3:$O$7,MATCH(G214,'G-7 WaterC'' Data'!$N$3:$N$7,0)),"")</f>
        <v/>
      </c>
      <c r="M214" s="63"/>
      <c r="N214" s="159"/>
      <c r="O214" s="370" t="str">
        <f t="shared" si="15"/>
        <v/>
      </c>
      <c r="P214" s="383" t="str">
        <f t="shared" si="16"/>
        <v/>
      </c>
      <c r="Q214" s="422" t="str">
        <f>IFERROR(IF(P214="Check Data ⚠","Check Data ⚠",VLOOKUP(P214,'G-4 Temporal multipliers'!$A$4:$C$37,3,FALSE)),"")</f>
        <v/>
      </c>
      <c r="R214" s="362" t="str">
        <f>IF(C214="","",VLOOKUP(C214,'G-7 WaterC'' Data'!$B$4:$G$8,4,FALSE))</f>
        <v/>
      </c>
      <c r="S214" s="370" t="str">
        <f t="shared" si="17"/>
        <v/>
      </c>
      <c r="T214" s="401" t="str">
        <f t="shared" si="18"/>
        <v/>
      </c>
      <c r="U214" s="363" t="str">
        <f>IF(C214="","",VLOOKUP(T214,'G-3 Multipliers'!$P$2:$Q$6,2,FALSE))</f>
        <v/>
      </c>
      <c r="V214" s="115"/>
      <c r="W214" s="363" t="str">
        <f>IF(V214="","",IF(VLOOKUP(V214,'G-7 WaterC'' Data'!$AA$4:$AB$7,2,FALSE)=0,"Spatial Data Missing ⚠",VLOOKUP(V214,'G-7 WaterC'' Data'!$AA$4:$AB$7,2,FALSE)))</f>
        <v/>
      </c>
      <c r="X214" s="60"/>
      <c r="Y214" s="363" t="str">
        <f>IF(X214="","",IF(VLOOKUP(X214,'G-7 WaterC'' Data'!$AD$4:$AE$14,2,FALSE)=0,"Enrcoachment Data Missing ⚠",VLOOKUP(X214,'G-7 WaterC'' Data'!$AD$4:$AE$14,2,FALSE)))</f>
        <v/>
      </c>
      <c r="Z214" s="423" t="str">
        <f t="shared" si="19"/>
        <v/>
      </c>
      <c r="AA214" s="117"/>
      <c r="AB214" s="118"/>
      <c r="AC214" s="120"/>
      <c r="AH214" s="30" t="str">
        <f>IFERROR(INDEX('G-7 WaterC'' Data'!$AZ$3:$AZ$7,MATCH(C214,'G-7 WaterC'' Data'!$AY$3:$AY$7,0)),"")</f>
        <v/>
      </c>
    </row>
    <row r="215" spans="2:34" ht="15">
      <c r="B215" s="110">
        <v>204</v>
      </c>
      <c r="C215" s="138"/>
      <c r="D215" s="139"/>
      <c r="E215" s="362" t="str">
        <f>IF(C215="","",VLOOKUP(C215,'G-7 WaterC'' Data'!$B$2:$G$8,2,FALSE))</f>
        <v/>
      </c>
      <c r="F215" s="363" t="str">
        <f>IFERROR(VLOOKUP(E215,'G-7 WaterC'' Data'!$C$4:$D$8,2,FALSE),"")</f>
        <v/>
      </c>
      <c r="G215" s="114"/>
      <c r="H215" s="363" t="str">
        <f>IFERROR(INDEX('G-7 WaterC'' Data'!$H$4:$L$8,MATCH(C215,'G-7 WaterC'' Data'!$B$4:$B$8,0),MATCH(G215,'G-7 WaterC'' Data'!$H$3:$L$3,0)),"")</f>
        <v/>
      </c>
      <c r="I215" s="54"/>
      <c r="J215" s="370" t="str">
        <f>IF(I215="","",IF(VLOOKUP(I215,'G-7 WaterC'' Data'!$AK$4:$AM$6,2,FALSE)=0,"Spatial Data Missing ⚠",VLOOKUP(I215,'G-7 WaterC'' Data'!$AK$4:$AM$6,2,FALSE)))</f>
        <v/>
      </c>
      <c r="K215" s="363" t="str">
        <f>IF(I215="","",IF(VLOOKUP(I215,'G-7 WaterC'' Data'!$AK$4:$AM$6,3,FALSE)=0,"Spatial Data Missing ⚠",VLOOKUP(I215,'G-7 WaterC'' Data'!$AK$4:$AM$6,3,FALSE)))</f>
        <v/>
      </c>
      <c r="L215" s="362" t="str">
        <f>IFERROR(INDEX('G-7 WaterC'' Data'!$O$3:$O$7,MATCH(G215,'G-7 WaterC'' Data'!$N$3:$N$7,0)),"")</f>
        <v/>
      </c>
      <c r="M215" s="63"/>
      <c r="N215" s="159"/>
      <c r="O215" s="370" t="str">
        <f t="shared" si="15"/>
        <v/>
      </c>
      <c r="P215" s="383" t="str">
        <f t="shared" si="16"/>
        <v/>
      </c>
      <c r="Q215" s="422" t="str">
        <f>IFERROR(IF(P215="Check Data ⚠","Check Data ⚠",VLOOKUP(P215,'G-4 Temporal multipliers'!$A$4:$C$37,3,FALSE)),"")</f>
        <v/>
      </c>
      <c r="R215" s="362" t="str">
        <f>IF(C215="","",VLOOKUP(C215,'G-7 WaterC'' Data'!$B$4:$G$8,4,FALSE))</f>
        <v/>
      </c>
      <c r="S215" s="370" t="str">
        <f t="shared" si="17"/>
        <v/>
      </c>
      <c r="T215" s="401" t="str">
        <f t="shared" si="18"/>
        <v/>
      </c>
      <c r="U215" s="363" t="str">
        <f>IF(C215="","",VLOOKUP(T215,'G-3 Multipliers'!$P$2:$Q$6,2,FALSE))</f>
        <v/>
      </c>
      <c r="V215" s="115"/>
      <c r="W215" s="363" t="str">
        <f>IF(V215="","",IF(VLOOKUP(V215,'G-7 WaterC'' Data'!$AA$4:$AB$7,2,FALSE)=0,"Spatial Data Missing ⚠",VLOOKUP(V215,'G-7 WaterC'' Data'!$AA$4:$AB$7,2,FALSE)))</f>
        <v/>
      </c>
      <c r="X215" s="60"/>
      <c r="Y215" s="363" t="str">
        <f>IF(X215="","",IF(VLOOKUP(X215,'G-7 WaterC'' Data'!$AD$4:$AE$14,2,FALSE)=0,"Enrcoachment Data Missing ⚠",VLOOKUP(X215,'G-7 WaterC'' Data'!$AD$4:$AE$14,2,FALSE)))</f>
        <v/>
      </c>
      <c r="Z215" s="423" t="str">
        <f t="shared" si="19"/>
        <v/>
      </c>
      <c r="AA215" s="117"/>
      <c r="AB215" s="118"/>
      <c r="AC215" s="120"/>
      <c r="AH215" s="30" t="str">
        <f>IFERROR(INDEX('G-7 WaterC'' Data'!$AZ$3:$AZ$7,MATCH(C215,'G-7 WaterC'' Data'!$AY$3:$AY$7,0)),"")</f>
        <v/>
      </c>
    </row>
    <row r="216" spans="2:34" ht="15">
      <c r="B216" s="110">
        <v>205</v>
      </c>
      <c r="C216" s="138"/>
      <c r="D216" s="139"/>
      <c r="E216" s="362" t="str">
        <f>IF(C216="","",VLOOKUP(C216,'G-7 WaterC'' Data'!$B$2:$G$8,2,FALSE))</f>
        <v/>
      </c>
      <c r="F216" s="363" t="str">
        <f>IFERROR(VLOOKUP(E216,'G-7 WaterC'' Data'!$C$4:$D$8,2,FALSE),"")</f>
        <v/>
      </c>
      <c r="G216" s="114"/>
      <c r="H216" s="363" t="str">
        <f>IFERROR(INDEX('G-7 WaterC'' Data'!$H$4:$L$8,MATCH(C216,'G-7 WaterC'' Data'!$B$4:$B$8,0),MATCH(G216,'G-7 WaterC'' Data'!$H$3:$L$3,0)),"")</f>
        <v/>
      </c>
      <c r="I216" s="54"/>
      <c r="J216" s="370" t="str">
        <f>IF(I216="","",IF(VLOOKUP(I216,'G-7 WaterC'' Data'!$AK$4:$AM$6,2,FALSE)=0,"Spatial Data Missing ⚠",VLOOKUP(I216,'G-7 WaterC'' Data'!$AK$4:$AM$6,2,FALSE)))</f>
        <v/>
      </c>
      <c r="K216" s="363" t="str">
        <f>IF(I216="","",IF(VLOOKUP(I216,'G-7 WaterC'' Data'!$AK$4:$AM$6,3,FALSE)=0,"Spatial Data Missing ⚠",VLOOKUP(I216,'G-7 WaterC'' Data'!$AK$4:$AM$6,3,FALSE)))</f>
        <v/>
      </c>
      <c r="L216" s="362" t="str">
        <f>IFERROR(INDEX('G-7 WaterC'' Data'!$O$3:$O$7,MATCH(G216,'G-7 WaterC'' Data'!$N$3:$N$7,0)),"")</f>
        <v/>
      </c>
      <c r="M216" s="63"/>
      <c r="N216" s="159"/>
      <c r="O216" s="370" t="str">
        <f t="shared" si="15"/>
        <v/>
      </c>
      <c r="P216" s="383" t="str">
        <f t="shared" si="16"/>
        <v/>
      </c>
      <c r="Q216" s="422" t="str">
        <f>IFERROR(IF(P216="Check Data ⚠","Check Data ⚠",VLOOKUP(P216,'G-4 Temporal multipliers'!$A$4:$C$37,3,FALSE)),"")</f>
        <v/>
      </c>
      <c r="R216" s="362" t="str">
        <f>IF(C216="","",VLOOKUP(C216,'G-7 WaterC'' Data'!$B$4:$G$8,4,FALSE))</f>
        <v/>
      </c>
      <c r="S216" s="370" t="str">
        <f t="shared" si="17"/>
        <v/>
      </c>
      <c r="T216" s="401" t="str">
        <f t="shared" si="18"/>
        <v/>
      </c>
      <c r="U216" s="363" t="str">
        <f>IF(C216="","",VLOOKUP(T216,'G-3 Multipliers'!$P$2:$Q$6,2,FALSE))</f>
        <v/>
      </c>
      <c r="V216" s="115"/>
      <c r="W216" s="363" t="str">
        <f>IF(V216="","",IF(VLOOKUP(V216,'G-7 WaterC'' Data'!$AA$4:$AB$7,2,FALSE)=0,"Spatial Data Missing ⚠",VLOOKUP(V216,'G-7 WaterC'' Data'!$AA$4:$AB$7,2,FALSE)))</f>
        <v/>
      </c>
      <c r="X216" s="60"/>
      <c r="Y216" s="363" t="str">
        <f>IF(X216="","",IF(VLOOKUP(X216,'G-7 WaterC'' Data'!$AD$4:$AE$14,2,FALSE)=0,"Enrcoachment Data Missing ⚠",VLOOKUP(X216,'G-7 WaterC'' Data'!$AD$4:$AE$14,2,FALSE)))</f>
        <v/>
      </c>
      <c r="Z216" s="423" t="str">
        <f t="shared" si="19"/>
        <v/>
      </c>
      <c r="AA216" s="117"/>
      <c r="AB216" s="118"/>
      <c r="AC216" s="120"/>
      <c r="AH216" s="30" t="str">
        <f>IFERROR(INDEX('G-7 WaterC'' Data'!$AZ$3:$AZ$7,MATCH(C216,'G-7 WaterC'' Data'!$AY$3:$AY$7,0)),"")</f>
        <v/>
      </c>
    </row>
    <row r="217" spans="2:34" ht="15">
      <c r="B217" s="110">
        <v>206</v>
      </c>
      <c r="C217" s="138"/>
      <c r="D217" s="139"/>
      <c r="E217" s="362" t="str">
        <f>IF(C217="","",VLOOKUP(C217,'G-7 WaterC'' Data'!$B$2:$G$8,2,FALSE))</f>
        <v/>
      </c>
      <c r="F217" s="363" t="str">
        <f>IFERROR(VLOOKUP(E217,'G-7 WaterC'' Data'!$C$4:$D$8,2,FALSE),"")</f>
        <v/>
      </c>
      <c r="G217" s="114"/>
      <c r="H217" s="363" t="str">
        <f>IFERROR(INDEX('G-7 WaterC'' Data'!$H$4:$L$8,MATCH(C217,'G-7 WaterC'' Data'!$B$4:$B$8,0),MATCH(G217,'G-7 WaterC'' Data'!$H$3:$L$3,0)),"")</f>
        <v/>
      </c>
      <c r="I217" s="54"/>
      <c r="J217" s="370" t="str">
        <f>IF(I217="","",IF(VLOOKUP(I217,'G-7 WaterC'' Data'!$AK$4:$AM$6,2,FALSE)=0,"Spatial Data Missing ⚠",VLOOKUP(I217,'G-7 WaterC'' Data'!$AK$4:$AM$6,2,FALSE)))</f>
        <v/>
      </c>
      <c r="K217" s="363" t="str">
        <f>IF(I217="","",IF(VLOOKUP(I217,'G-7 WaterC'' Data'!$AK$4:$AM$6,3,FALSE)=0,"Spatial Data Missing ⚠",VLOOKUP(I217,'G-7 WaterC'' Data'!$AK$4:$AM$6,3,FALSE)))</f>
        <v/>
      </c>
      <c r="L217" s="362" t="str">
        <f>IFERROR(INDEX('G-7 WaterC'' Data'!$O$3:$O$7,MATCH(G217,'G-7 WaterC'' Data'!$N$3:$N$7,0)),"")</f>
        <v/>
      </c>
      <c r="M217" s="63"/>
      <c r="N217" s="159"/>
      <c r="O217" s="370" t="str">
        <f t="shared" si="15"/>
        <v/>
      </c>
      <c r="P217" s="383" t="str">
        <f t="shared" si="16"/>
        <v/>
      </c>
      <c r="Q217" s="422" t="str">
        <f>IFERROR(IF(P217="Check Data ⚠","Check Data ⚠",VLOOKUP(P217,'G-4 Temporal multipliers'!$A$4:$C$37,3,FALSE)),"")</f>
        <v/>
      </c>
      <c r="R217" s="362" t="str">
        <f>IF(C217="","",VLOOKUP(C217,'G-7 WaterC'' Data'!$B$4:$G$8,4,FALSE))</f>
        <v/>
      </c>
      <c r="S217" s="370" t="str">
        <f t="shared" si="17"/>
        <v/>
      </c>
      <c r="T217" s="401" t="str">
        <f t="shared" si="18"/>
        <v/>
      </c>
      <c r="U217" s="363" t="str">
        <f>IF(C217="","",VLOOKUP(T217,'G-3 Multipliers'!$P$2:$Q$6,2,FALSE))</f>
        <v/>
      </c>
      <c r="V217" s="115"/>
      <c r="W217" s="363" t="str">
        <f>IF(V217="","",IF(VLOOKUP(V217,'G-7 WaterC'' Data'!$AA$4:$AB$7,2,FALSE)=0,"Spatial Data Missing ⚠",VLOOKUP(V217,'G-7 WaterC'' Data'!$AA$4:$AB$7,2,FALSE)))</f>
        <v/>
      </c>
      <c r="X217" s="60"/>
      <c r="Y217" s="363" t="str">
        <f>IF(X217="","",IF(VLOOKUP(X217,'G-7 WaterC'' Data'!$AD$4:$AE$14,2,FALSE)=0,"Enrcoachment Data Missing ⚠",VLOOKUP(X217,'G-7 WaterC'' Data'!$AD$4:$AE$14,2,FALSE)))</f>
        <v/>
      </c>
      <c r="Z217" s="423" t="str">
        <f t="shared" si="19"/>
        <v/>
      </c>
      <c r="AA217" s="117"/>
      <c r="AB217" s="118"/>
      <c r="AC217" s="120"/>
      <c r="AH217" s="30" t="str">
        <f>IFERROR(INDEX('G-7 WaterC'' Data'!$AZ$3:$AZ$7,MATCH(C217,'G-7 WaterC'' Data'!$AY$3:$AY$7,0)),"")</f>
        <v/>
      </c>
    </row>
    <row r="218" spans="2:34" ht="15">
      <c r="B218" s="110">
        <v>207</v>
      </c>
      <c r="C218" s="138"/>
      <c r="D218" s="139"/>
      <c r="E218" s="362" t="str">
        <f>IF(C218="","",VLOOKUP(C218,'G-7 WaterC'' Data'!$B$2:$G$8,2,FALSE))</f>
        <v/>
      </c>
      <c r="F218" s="363" t="str">
        <f>IFERROR(VLOOKUP(E218,'G-7 WaterC'' Data'!$C$4:$D$8,2,FALSE),"")</f>
        <v/>
      </c>
      <c r="G218" s="114"/>
      <c r="H218" s="363" t="str">
        <f>IFERROR(INDEX('G-7 WaterC'' Data'!$H$4:$L$8,MATCH(C218,'G-7 WaterC'' Data'!$B$4:$B$8,0),MATCH(G218,'G-7 WaterC'' Data'!$H$3:$L$3,0)),"")</f>
        <v/>
      </c>
      <c r="I218" s="54"/>
      <c r="J218" s="370" t="str">
        <f>IF(I218="","",IF(VLOOKUP(I218,'G-7 WaterC'' Data'!$AK$4:$AM$6,2,FALSE)=0,"Spatial Data Missing ⚠",VLOOKUP(I218,'G-7 WaterC'' Data'!$AK$4:$AM$6,2,FALSE)))</f>
        <v/>
      </c>
      <c r="K218" s="363" t="str">
        <f>IF(I218="","",IF(VLOOKUP(I218,'G-7 WaterC'' Data'!$AK$4:$AM$6,3,FALSE)=0,"Spatial Data Missing ⚠",VLOOKUP(I218,'G-7 WaterC'' Data'!$AK$4:$AM$6,3,FALSE)))</f>
        <v/>
      </c>
      <c r="L218" s="362" t="str">
        <f>IFERROR(INDEX('G-7 WaterC'' Data'!$O$3:$O$7,MATCH(G218,'G-7 WaterC'' Data'!$N$3:$N$7,0)),"")</f>
        <v/>
      </c>
      <c r="M218" s="63"/>
      <c r="N218" s="159"/>
      <c r="O218" s="370" t="str">
        <f t="shared" si="15"/>
        <v/>
      </c>
      <c r="P218" s="383" t="str">
        <f t="shared" si="16"/>
        <v/>
      </c>
      <c r="Q218" s="422" t="str">
        <f>IFERROR(IF(P218="Check Data ⚠","Check Data ⚠",VLOOKUP(P218,'G-4 Temporal multipliers'!$A$4:$C$37,3,FALSE)),"")</f>
        <v/>
      </c>
      <c r="R218" s="362" t="str">
        <f>IF(C218="","",VLOOKUP(C218,'G-7 WaterC'' Data'!$B$4:$G$8,4,FALSE))</f>
        <v/>
      </c>
      <c r="S218" s="370" t="str">
        <f t="shared" si="17"/>
        <v/>
      </c>
      <c r="T218" s="401" t="str">
        <f t="shared" si="18"/>
        <v/>
      </c>
      <c r="U218" s="363" t="str">
        <f>IF(C218="","",VLOOKUP(T218,'G-3 Multipliers'!$P$2:$Q$6,2,FALSE))</f>
        <v/>
      </c>
      <c r="V218" s="115"/>
      <c r="W218" s="363" t="str">
        <f>IF(V218="","",IF(VLOOKUP(V218,'G-7 WaterC'' Data'!$AA$4:$AB$7,2,FALSE)=0,"Spatial Data Missing ⚠",VLOOKUP(V218,'G-7 WaterC'' Data'!$AA$4:$AB$7,2,FALSE)))</f>
        <v/>
      </c>
      <c r="X218" s="60"/>
      <c r="Y218" s="363" t="str">
        <f>IF(X218="","",IF(VLOOKUP(X218,'G-7 WaterC'' Data'!$AD$4:$AE$14,2,FALSE)=0,"Enrcoachment Data Missing ⚠",VLOOKUP(X218,'G-7 WaterC'' Data'!$AD$4:$AE$14,2,FALSE)))</f>
        <v/>
      </c>
      <c r="Z218" s="423" t="str">
        <f t="shared" si="19"/>
        <v/>
      </c>
      <c r="AA218" s="117"/>
      <c r="AB218" s="118"/>
      <c r="AC218" s="120"/>
      <c r="AH218" s="30" t="str">
        <f>IFERROR(INDEX('G-7 WaterC'' Data'!$AZ$3:$AZ$7,MATCH(C218,'G-7 WaterC'' Data'!$AY$3:$AY$7,0)),"")</f>
        <v/>
      </c>
    </row>
    <row r="219" spans="2:34" ht="15">
      <c r="B219" s="110">
        <v>208</v>
      </c>
      <c r="C219" s="138"/>
      <c r="D219" s="139"/>
      <c r="E219" s="362" t="str">
        <f>IF(C219="","",VLOOKUP(C219,'G-7 WaterC'' Data'!$B$2:$G$8,2,FALSE))</f>
        <v/>
      </c>
      <c r="F219" s="363" t="str">
        <f>IFERROR(VLOOKUP(E219,'G-7 WaterC'' Data'!$C$4:$D$8,2,FALSE),"")</f>
        <v/>
      </c>
      <c r="G219" s="114"/>
      <c r="H219" s="363" t="str">
        <f>IFERROR(INDEX('G-7 WaterC'' Data'!$H$4:$L$8,MATCH(C219,'G-7 WaterC'' Data'!$B$4:$B$8,0),MATCH(G219,'G-7 WaterC'' Data'!$H$3:$L$3,0)),"")</f>
        <v/>
      </c>
      <c r="I219" s="54"/>
      <c r="J219" s="370" t="str">
        <f>IF(I219="","",IF(VLOOKUP(I219,'G-7 WaterC'' Data'!$AK$4:$AM$6,2,FALSE)=0,"Spatial Data Missing ⚠",VLOOKUP(I219,'G-7 WaterC'' Data'!$AK$4:$AM$6,2,FALSE)))</f>
        <v/>
      </c>
      <c r="K219" s="363" t="str">
        <f>IF(I219="","",IF(VLOOKUP(I219,'G-7 WaterC'' Data'!$AK$4:$AM$6,3,FALSE)=0,"Spatial Data Missing ⚠",VLOOKUP(I219,'G-7 WaterC'' Data'!$AK$4:$AM$6,3,FALSE)))</f>
        <v/>
      </c>
      <c r="L219" s="362" t="str">
        <f>IFERROR(INDEX('G-7 WaterC'' Data'!$O$3:$O$7,MATCH(G219,'G-7 WaterC'' Data'!$N$3:$N$7,0)),"")</f>
        <v/>
      </c>
      <c r="M219" s="63"/>
      <c r="N219" s="159"/>
      <c r="O219" s="370" t="str">
        <f t="shared" si="15"/>
        <v/>
      </c>
      <c r="P219" s="383" t="str">
        <f t="shared" si="16"/>
        <v/>
      </c>
      <c r="Q219" s="422" t="str">
        <f>IFERROR(IF(P219="Check Data ⚠","Check Data ⚠",VLOOKUP(P219,'G-4 Temporal multipliers'!$A$4:$C$37,3,FALSE)),"")</f>
        <v/>
      </c>
      <c r="R219" s="362" t="str">
        <f>IF(C219="","",VLOOKUP(C219,'G-7 WaterC'' Data'!$B$4:$G$8,4,FALSE))</f>
        <v/>
      </c>
      <c r="S219" s="370" t="str">
        <f t="shared" si="17"/>
        <v/>
      </c>
      <c r="T219" s="401" t="str">
        <f t="shared" si="18"/>
        <v/>
      </c>
      <c r="U219" s="363" t="str">
        <f>IF(C219="","",VLOOKUP(T219,'G-3 Multipliers'!$P$2:$Q$6,2,FALSE))</f>
        <v/>
      </c>
      <c r="V219" s="115"/>
      <c r="W219" s="363" t="str">
        <f>IF(V219="","",IF(VLOOKUP(V219,'G-7 WaterC'' Data'!$AA$4:$AB$7,2,FALSE)=0,"Spatial Data Missing ⚠",VLOOKUP(V219,'G-7 WaterC'' Data'!$AA$4:$AB$7,2,FALSE)))</f>
        <v/>
      </c>
      <c r="X219" s="60"/>
      <c r="Y219" s="363" t="str">
        <f>IF(X219="","",IF(VLOOKUP(X219,'G-7 WaterC'' Data'!$AD$4:$AE$14,2,FALSE)=0,"Enrcoachment Data Missing ⚠",VLOOKUP(X219,'G-7 WaterC'' Data'!$AD$4:$AE$14,2,FALSE)))</f>
        <v/>
      </c>
      <c r="Z219" s="423" t="str">
        <f t="shared" si="19"/>
        <v/>
      </c>
      <c r="AA219" s="117"/>
      <c r="AB219" s="118"/>
      <c r="AC219" s="120"/>
      <c r="AH219" s="30" t="str">
        <f>IFERROR(INDEX('G-7 WaterC'' Data'!$AZ$3:$AZ$7,MATCH(C219,'G-7 WaterC'' Data'!$AY$3:$AY$7,0)),"")</f>
        <v/>
      </c>
    </row>
    <row r="220" spans="2:34" ht="15">
      <c r="B220" s="110">
        <v>209</v>
      </c>
      <c r="C220" s="138"/>
      <c r="D220" s="139"/>
      <c r="E220" s="362" t="str">
        <f>IF(C220="","",VLOOKUP(C220,'G-7 WaterC'' Data'!$B$2:$G$8,2,FALSE))</f>
        <v/>
      </c>
      <c r="F220" s="363" t="str">
        <f>IFERROR(VLOOKUP(E220,'G-7 WaterC'' Data'!$C$4:$D$8,2,FALSE),"")</f>
        <v/>
      </c>
      <c r="G220" s="114"/>
      <c r="H220" s="363" t="str">
        <f>IFERROR(INDEX('G-7 WaterC'' Data'!$H$4:$L$8,MATCH(C220,'G-7 WaterC'' Data'!$B$4:$B$8,0),MATCH(G220,'G-7 WaterC'' Data'!$H$3:$L$3,0)),"")</f>
        <v/>
      </c>
      <c r="I220" s="54"/>
      <c r="J220" s="370" t="str">
        <f>IF(I220="","",IF(VLOOKUP(I220,'G-7 WaterC'' Data'!$AK$4:$AM$6,2,FALSE)=0,"Spatial Data Missing ⚠",VLOOKUP(I220,'G-7 WaterC'' Data'!$AK$4:$AM$6,2,FALSE)))</f>
        <v/>
      </c>
      <c r="K220" s="363" t="str">
        <f>IF(I220="","",IF(VLOOKUP(I220,'G-7 WaterC'' Data'!$AK$4:$AM$6,3,FALSE)=0,"Spatial Data Missing ⚠",VLOOKUP(I220,'G-7 WaterC'' Data'!$AK$4:$AM$6,3,FALSE)))</f>
        <v/>
      </c>
      <c r="L220" s="362" t="str">
        <f>IFERROR(INDEX('G-7 WaterC'' Data'!$O$3:$O$7,MATCH(G220,'G-7 WaterC'' Data'!$N$3:$N$7,0)),"")</f>
        <v/>
      </c>
      <c r="M220" s="63"/>
      <c r="N220" s="159"/>
      <c r="O220" s="370" t="str">
        <f t="shared" si="15"/>
        <v/>
      </c>
      <c r="P220" s="383" t="str">
        <f t="shared" si="16"/>
        <v/>
      </c>
      <c r="Q220" s="422" t="str">
        <f>IFERROR(IF(P220="Check Data ⚠","Check Data ⚠",VLOOKUP(P220,'G-4 Temporal multipliers'!$A$4:$C$37,3,FALSE)),"")</f>
        <v/>
      </c>
      <c r="R220" s="362" t="str">
        <f>IF(C220="","",VLOOKUP(C220,'G-7 WaterC'' Data'!$B$4:$G$8,4,FALSE))</f>
        <v/>
      </c>
      <c r="S220" s="370" t="str">
        <f t="shared" si="17"/>
        <v/>
      </c>
      <c r="T220" s="401" t="str">
        <f t="shared" si="18"/>
        <v/>
      </c>
      <c r="U220" s="363" t="str">
        <f>IF(C220="","",VLOOKUP(T220,'G-3 Multipliers'!$P$2:$Q$6,2,FALSE))</f>
        <v/>
      </c>
      <c r="V220" s="115"/>
      <c r="W220" s="363" t="str">
        <f>IF(V220="","",IF(VLOOKUP(V220,'G-7 WaterC'' Data'!$AA$4:$AB$7,2,FALSE)=0,"Spatial Data Missing ⚠",VLOOKUP(V220,'G-7 WaterC'' Data'!$AA$4:$AB$7,2,FALSE)))</f>
        <v/>
      </c>
      <c r="X220" s="60"/>
      <c r="Y220" s="363" t="str">
        <f>IF(X220="","",IF(VLOOKUP(X220,'G-7 WaterC'' Data'!$AD$4:$AE$14,2,FALSE)=0,"Enrcoachment Data Missing ⚠",VLOOKUP(X220,'G-7 WaterC'' Data'!$AD$4:$AE$14,2,FALSE)))</f>
        <v/>
      </c>
      <c r="Z220" s="423" t="str">
        <f t="shared" si="19"/>
        <v/>
      </c>
      <c r="AA220" s="117"/>
      <c r="AB220" s="118"/>
      <c r="AC220" s="120"/>
      <c r="AH220" s="30" t="str">
        <f>IFERROR(INDEX('G-7 WaterC'' Data'!$AZ$3:$AZ$7,MATCH(C220,'G-7 WaterC'' Data'!$AY$3:$AY$7,0)),"")</f>
        <v/>
      </c>
    </row>
    <row r="221" spans="2:34" ht="15">
      <c r="B221" s="110">
        <v>210</v>
      </c>
      <c r="C221" s="138"/>
      <c r="D221" s="139"/>
      <c r="E221" s="362" t="str">
        <f>IF(C221="","",VLOOKUP(C221,'G-7 WaterC'' Data'!$B$2:$G$8,2,FALSE))</f>
        <v/>
      </c>
      <c r="F221" s="363" t="str">
        <f>IFERROR(VLOOKUP(E221,'G-7 WaterC'' Data'!$C$4:$D$8,2,FALSE),"")</f>
        <v/>
      </c>
      <c r="G221" s="114"/>
      <c r="H221" s="363" t="str">
        <f>IFERROR(INDEX('G-7 WaterC'' Data'!$H$4:$L$8,MATCH(C221,'G-7 WaterC'' Data'!$B$4:$B$8,0),MATCH(G221,'G-7 WaterC'' Data'!$H$3:$L$3,0)),"")</f>
        <v/>
      </c>
      <c r="I221" s="54"/>
      <c r="J221" s="370" t="str">
        <f>IF(I221="","",IF(VLOOKUP(I221,'G-7 WaterC'' Data'!$AK$4:$AM$6,2,FALSE)=0,"Spatial Data Missing ⚠",VLOOKUP(I221,'G-7 WaterC'' Data'!$AK$4:$AM$6,2,FALSE)))</f>
        <v/>
      </c>
      <c r="K221" s="363" t="str">
        <f>IF(I221="","",IF(VLOOKUP(I221,'G-7 WaterC'' Data'!$AK$4:$AM$6,3,FALSE)=0,"Spatial Data Missing ⚠",VLOOKUP(I221,'G-7 WaterC'' Data'!$AK$4:$AM$6,3,FALSE)))</f>
        <v/>
      </c>
      <c r="L221" s="362" t="str">
        <f>IFERROR(INDEX('G-7 WaterC'' Data'!$O$3:$O$7,MATCH(G221,'G-7 WaterC'' Data'!$N$3:$N$7,0)),"")</f>
        <v/>
      </c>
      <c r="M221" s="63"/>
      <c r="N221" s="159"/>
      <c r="O221" s="370" t="str">
        <f t="shared" si="15"/>
        <v/>
      </c>
      <c r="P221" s="383" t="str">
        <f t="shared" si="16"/>
        <v/>
      </c>
      <c r="Q221" s="422" t="str">
        <f>IFERROR(IF(P221="Check Data ⚠","Check Data ⚠",VLOOKUP(P221,'G-4 Temporal multipliers'!$A$4:$C$37,3,FALSE)),"")</f>
        <v/>
      </c>
      <c r="R221" s="362" t="str">
        <f>IF(C221="","",VLOOKUP(C221,'G-7 WaterC'' Data'!$B$4:$G$8,4,FALSE))</f>
        <v/>
      </c>
      <c r="S221" s="370" t="str">
        <f t="shared" si="17"/>
        <v/>
      </c>
      <c r="T221" s="401" t="str">
        <f t="shared" si="18"/>
        <v/>
      </c>
      <c r="U221" s="363" t="str">
        <f>IF(C221="","",VLOOKUP(T221,'G-3 Multipliers'!$P$2:$Q$6,2,FALSE))</f>
        <v/>
      </c>
      <c r="V221" s="115"/>
      <c r="W221" s="363" t="str">
        <f>IF(V221="","",IF(VLOOKUP(V221,'G-7 WaterC'' Data'!$AA$4:$AB$7,2,FALSE)=0,"Spatial Data Missing ⚠",VLOOKUP(V221,'G-7 WaterC'' Data'!$AA$4:$AB$7,2,FALSE)))</f>
        <v/>
      </c>
      <c r="X221" s="60"/>
      <c r="Y221" s="363" t="str">
        <f>IF(X221="","",IF(VLOOKUP(X221,'G-7 WaterC'' Data'!$AD$4:$AE$14,2,FALSE)=0,"Enrcoachment Data Missing ⚠",VLOOKUP(X221,'G-7 WaterC'' Data'!$AD$4:$AE$14,2,FALSE)))</f>
        <v/>
      </c>
      <c r="Z221" s="423" t="str">
        <f t="shared" si="19"/>
        <v/>
      </c>
      <c r="AA221" s="117"/>
      <c r="AB221" s="118"/>
      <c r="AC221" s="120"/>
      <c r="AH221" s="30" t="str">
        <f>IFERROR(INDEX('G-7 WaterC'' Data'!$AZ$3:$AZ$7,MATCH(C221,'G-7 WaterC'' Data'!$AY$3:$AY$7,0)),"")</f>
        <v/>
      </c>
    </row>
    <row r="222" spans="2:34" ht="15">
      <c r="B222" s="110">
        <v>211</v>
      </c>
      <c r="C222" s="138"/>
      <c r="D222" s="139"/>
      <c r="E222" s="362" t="str">
        <f>IF(C222="","",VLOOKUP(C222,'G-7 WaterC'' Data'!$B$2:$G$8,2,FALSE))</f>
        <v/>
      </c>
      <c r="F222" s="363" t="str">
        <f>IFERROR(VLOOKUP(E222,'G-7 WaterC'' Data'!$C$4:$D$8,2,FALSE),"")</f>
        <v/>
      </c>
      <c r="G222" s="114"/>
      <c r="H222" s="363" t="str">
        <f>IFERROR(INDEX('G-7 WaterC'' Data'!$H$4:$L$8,MATCH(C222,'G-7 WaterC'' Data'!$B$4:$B$8,0),MATCH(G222,'G-7 WaterC'' Data'!$H$3:$L$3,0)),"")</f>
        <v/>
      </c>
      <c r="I222" s="54"/>
      <c r="J222" s="370" t="str">
        <f>IF(I222="","",IF(VLOOKUP(I222,'G-7 WaterC'' Data'!$AK$4:$AM$6,2,FALSE)=0,"Spatial Data Missing ⚠",VLOOKUP(I222,'G-7 WaterC'' Data'!$AK$4:$AM$6,2,FALSE)))</f>
        <v/>
      </c>
      <c r="K222" s="363" t="str">
        <f>IF(I222="","",IF(VLOOKUP(I222,'G-7 WaterC'' Data'!$AK$4:$AM$6,3,FALSE)=0,"Spatial Data Missing ⚠",VLOOKUP(I222,'G-7 WaterC'' Data'!$AK$4:$AM$6,3,FALSE)))</f>
        <v/>
      </c>
      <c r="L222" s="362" t="str">
        <f>IFERROR(INDEX('G-7 WaterC'' Data'!$O$3:$O$7,MATCH(G222,'G-7 WaterC'' Data'!$N$3:$N$7,0)),"")</f>
        <v/>
      </c>
      <c r="M222" s="63"/>
      <c r="N222" s="159"/>
      <c r="O222" s="370" t="str">
        <f t="shared" si="15"/>
        <v/>
      </c>
      <c r="P222" s="383" t="str">
        <f t="shared" si="16"/>
        <v/>
      </c>
      <c r="Q222" s="422" t="str">
        <f>IFERROR(IF(P222="Check Data ⚠","Check Data ⚠",VLOOKUP(P222,'G-4 Temporal multipliers'!$A$4:$C$37,3,FALSE)),"")</f>
        <v/>
      </c>
      <c r="R222" s="362" t="str">
        <f>IF(C222="","",VLOOKUP(C222,'G-7 WaterC'' Data'!$B$4:$G$8,4,FALSE))</f>
        <v/>
      </c>
      <c r="S222" s="370" t="str">
        <f t="shared" si="17"/>
        <v/>
      </c>
      <c r="T222" s="401" t="str">
        <f t="shared" si="18"/>
        <v/>
      </c>
      <c r="U222" s="363" t="str">
        <f>IF(C222="","",VLOOKUP(T222,'G-3 Multipliers'!$P$2:$Q$6,2,FALSE))</f>
        <v/>
      </c>
      <c r="V222" s="115"/>
      <c r="W222" s="363" t="str">
        <f>IF(V222="","",IF(VLOOKUP(V222,'G-7 WaterC'' Data'!$AA$4:$AB$7,2,FALSE)=0,"Spatial Data Missing ⚠",VLOOKUP(V222,'G-7 WaterC'' Data'!$AA$4:$AB$7,2,FALSE)))</f>
        <v/>
      </c>
      <c r="X222" s="60"/>
      <c r="Y222" s="363" t="str">
        <f>IF(X222="","",IF(VLOOKUP(X222,'G-7 WaterC'' Data'!$AD$4:$AE$14,2,FALSE)=0,"Enrcoachment Data Missing ⚠",VLOOKUP(X222,'G-7 WaterC'' Data'!$AD$4:$AE$14,2,FALSE)))</f>
        <v/>
      </c>
      <c r="Z222" s="423" t="str">
        <f t="shared" si="19"/>
        <v/>
      </c>
      <c r="AA222" s="117"/>
      <c r="AB222" s="118"/>
      <c r="AC222" s="120"/>
      <c r="AH222" s="30" t="str">
        <f>IFERROR(INDEX('G-7 WaterC'' Data'!$AZ$3:$AZ$7,MATCH(C222,'G-7 WaterC'' Data'!$AY$3:$AY$7,0)),"")</f>
        <v/>
      </c>
    </row>
    <row r="223" spans="2:34" ht="15">
      <c r="B223" s="110">
        <v>212</v>
      </c>
      <c r="C223" s="138"/>
      <c r="D223" s="139"/>
      <c r="E223" s="362" t="str">
        <f>IF(C223="","",VLOOKUP(C223,'G-7 WaterC'' Data'!$B$2:$G$8,2,FALSE))</f>
        <v/>
      </c>
      <c r="F223" s="363" t="str">
        <f>IFERROR(VLOOKUP(E223,'G-7 WaterC'' Data'!$C$4:$D$8,2,FALSE),"")</f>
        <v/>
      </c>
      <c r="G223" s="114"/>
      <c r="H223" s="363" t="str">
        <f>IFERROR(INDEX('G-7 WaterC'' Data'!$H$4:$L$8,MATCH(C223,'G-7 WaterC'' Data'!$B$4:$B$8,0),MATCH(G223,'G-7 WaterC'' Data'!$H$3:$L$3,0)),"")</f>
        <v/>
      </c>
      <c r="I223" s="54"/>
      <c r="J223" s="370" t="str">
        <f>IF(I223="","",IF(VLOOKUP(I223,'G-7 WaterC'' Data'!$AK$4:$AM$6,2,FALSE)=0,"Spatial Data Missing ⚠",VLOOKUP(I223,'G-7 WaterC'' Data'!$AK$4:$AM$6,2,FALSE)))</f>
        <v/>
      </c>
      <c r="K223" s="363" t="str">
        <f>IF(I223="","",IF(VLOOKUP(I223,'G-7 WaterC'' Data'!$AK$4:$AM$6,3,FALSE)=0,"Spatial Data Missing ⚠",VLOOKUP(I223,'G-7 WaterC'' Data'!$AK$4:$AM$6,3,FALSE)))</f>
        <v/>
      </c>
      <c r="L223" s="362" t="str">
        <f>IFERROR(INDEX('G-7 WaterC'' Data'!$O$3:$O$7,MATCH(G223,'G-7 WaterC'' Data'!$N$3:$N$7,0)),"")</f>
        <v/>
      </c>
      <c r="M223" s="63"/>
      <c r="N223" s="159"/>
      <c r="O223" s="370" t="str">
        <f t="shared" si="15"/>
        <v/>
      </c>
      <c r="P223" s="383" t="str">
        <f t="shared" si="16"/>
        <v/>
      </c>
      <c r="Q223" s="422" t="str">
        <f>IFERROR(IF(P223="Check Data ⚠","Check Data ⚠",VLOOKUP(P223,'G-4 Temporal multipliers'!$A$4:$C$37,3,FALSE)),"")</f>
        <v/>
      </c>
      <c r="R223" s="362" t="str">
        <f>IF(C223="","",VLOOKUP(C223,'G-7 WaterC'' Data'!$B$4:$G$8,4,FALSE))</f>
        <v/>
      </c>
      <c r="S223" s="370" t="str">
        <f t="shared" si="17"/>
        <v/>
      </c>
      <c r="T223" s="401" t="str">
        <f t="shared" si="18"/>
        <v/>
      </c>
      <c r="U223" s="363" t="str">
        <f>IF(C223="","",VLOOKUP(T223,'G-3 Multipliers'!$P$2:$Q$6,2,FALSE))</f>
        <v/>
      </c>
      <c r="V223" s="115"/>
      <c r="W223" s="363" t="str">
        <f>IF(V223="","",IF(VLOOKUP(V223,'G-7 WaterC'' Data'!$AA$4:$AB$7,2,FALSE)=0,"Spatial Data Missing ⚠",VLOOKUP(V223,'G-7 WaterC'' Data'!$AA$4:$AB$7,2,FALSE)))</f>
        <v/>
      </c>
      <c r="X223" s="60"/>
      <c r="Y223" s="363" t="str">
        <f>IF(X223="","",IF(VLOOKUP(X223,'G-7 WaterC'' Data'!$AD$4:$AE$14,2,FALSE)=0,"Enrcoachment Data Missing ⚠",VLOOKUP(X223,'G-7 WaterC'' Data'!$AD$4:$AE$14,2,FALSE)))</f>
        <v/>
      </c>
      <c r="Z223" s="423" t="str">
        <f t="shared" si="19"/>
        <v/>
      </c>
      <c r="AA223" s="117"/>
      <c r="AB223" s="118"/>
      <c r="AC223" s="120"/>
      <c r="AH223" s="30" t="str">
        <f>IFERROR(INDEX('G-7 WaterC'' Data'!$AZ$3:$AZ$7,MATCH(C223,'G-7 WaterC'' Data'!$AY$3:$AY$7,0)),"")</f>
        <v/>
      </c>
    </row>
    <row r="224" spans="2:34" ht="15">
      <c r="B224" s="110">
        <v>213</v>
      </c>
      <c r="C224" s="138"/>
      <c r="D224" s="139"/>
      <c r="E224" s="362" t="str">
        <f>IF(C224="","",VLOOKUP(C224,'G-7 WaterC'' Data'!$B$2:$G$8,2,FALSE))</f>
        <v/>
      </c>
      <c r="F224" s="363" t="str">
        <f>IFERROR(VLOOKUP(E224,'G-7 WaterC'' Data'!$C$4:$D$8,2,FALSE),"")</f>
        <v/>
      </c>
      <c r="G224" s="114"/>
      <c r="H224" s="363" t="str">
        <f>IFERROR(INDEX('G-7 WaterC'' Data'!$H$4:$L$8,MATCH(C224,'G-7 WaterC'' Data'!$B$4:$B$8,0),MATCH(G224,'G-7 WaterC'' Data'!$H$3:$L$3,0)),"")</f>
        <v/>
      </c>
      <c r="I224" s="54"/>
      <c r="J224" s="370" t="str">
        <f>IF(I224="","",IF(VLOOKUP(I224,'G-7 WaterC'' Data'!$AK$4:$AM$6,2,FALSE)=0,"Spatial Data Missing ⚠",VLOOKUP(I224,'G-7 WaterC'' Data'!$AK$4:$AM$6,2,FALSE)))</f>
        <v/>
      </c>
      <c r="K224" s="363" t="str">
        <f>IF(I224="","",IF(VLOOKUP(I224,'G-7 WaterC'' Data'!$AK$4:$AM$6,3,FALSE)=0,"Spatial Data Missing ⚠",VLOOKUP(I224,'G-7 WaterC'' Data'!$AK$4:$AM$6,3,FALSE)))</f>
        <v/>
      </c>
      <c r="L224" s="362" t="str">
        <f>IFERROR(INDEX('G-7 WaterC'' Data'!$O$3:$O$7,MATCH(G224,'G-7 WaterC'' Data'!$N$3:$N$7,0)),"")</f>
        <v/>
      </c>
      <c r="M224" s="63"/>
      <c r="N224" s="159"/>
      <c r="O224" s="370" t="str">
        <f t="shared" si="15"/>
        <v/>
      </c>
      <c r="P224" s="383" t="str">
        <f t="shared" si="16"/>
        <v/>
      </c>
      <c r="Q224" s="422" t="str">
        <f>IFERROR(IF(P224="Check Data ⚠","Check Data ⚠",VLOOKUP(P224,'G-4 Temporal multipliers'!$A$4:$C$37,3,FALSE)),"")</f>
        <v/>
      </c>
      <c r="R224" s="362" t="str">
        <f>IF(C224="","",VLOOKUP(C224,'G-7 WaterC'' Data'!$B$4:$G$8,4,FALSE))</f>
        <v/>
      </c>
      <c r="S224" s="370" t="str">
        <f t="shared" si="17"/>
        <v/>
      </c>
      <c r="T224" s="401" t="str">
        <f t="shared" si="18"/>
        <v/>
      </c>
      <c r="U224" s="363" t="str">
        <f>IF(C224="","",VLOOKUP(T224,'G-3 Multipliers'!$P$2:$Q$6,2,FALSE))</f>
        <v/>
      </c>
      <c r="V224" s="115"/>
      <c r="W224" s="363" t="str">
        <f>IF(V224="","",IF(VLOOKUP(V224,'G-7 WaterC'' Data'!$AA$4:$AB$7,2,FALSE)=0,"Spatial Data Missing ⚠",VLOOKUP(V224,'G-7 WaterC'' Data'!$AA$4:$AB$7,2,FALSE)))</f>
        <v/>
      </c>
      <c r="X224" s="60"/>
      <c r="Y224" s="363" t="str">
        <f>IF(X224="","",IF(VLOOKUP(X224,'G-7 WaterC'' Data'!$AD$4:$AE$14,2,FALSE)=0,"Enrcoachment Data Missing ⚠",VLOOKUP(X224,'G-7 WaterC'' Data'!$AD$4:$AE$14,2,FALSE)))</f>
        <v/>
      </c>
      <c r="Z224" s="423" t="str">
        <f t="shared" si="19"/>
        <v/>
      </c>
      <c r="AA224" s="117"/>
      <c r="AB224" s="118"/>
      <c r="AC224" s="120"/>
      <c r="AH224" s="30" t="str">
        <f>IFERROR(INDEX('G-7 WaterC'' Data'!$AZ$3:$AZ$7,MATCH(C224,'G-7 WaterC'' Data'!$AY$3:$AY$7,0)),"")</f>
        <v/>
      </c>
    </row>
    <row r="225" spans="2:34" ht="15">
      <c r="B225" s="110">
        <v>214</v>
      </c>
      <c r="C225" s="138"/>
      <c r="D225" s="139"/>
      <c r="E225" s="362" t="str">
        <f>IF(C225="","",VLOOKUP(C225,'G-7 WaterC'' Data'!$B$2:$G$8,2,FALSE))</f>
        <v/>
      </c>
      <c r="F225" s="363" t="str">
        <f>IFERROR(VLOOKUP(E225,'G-7 WaterC'' Data'!$C$4:$D$8,2,FALSE),"")</f>
        <v/>
      </c>
      <c r="G225" s="114"/>
      <c r="H225" s="363" t="str">
        <f>IFERROR(INDEX('G-7 WaterC'' Data'!$H$4:$L$8,MATCH(C225,'G-7 WaterC'' Data'!$B$4:$B$8,0),MATCH(G225,'G-7 WaterC'' Data'!$H$3:$L$3,0)),"")</f>
        <v/>
      </c>
      <c r="I225" s="54"/>
      <c r="J225" s="370" t="str">
        <f>IF(I225="","",IF(VLOOKUP(I225,'G-7 WaterC'' Data'!$AK$4:$AM$6,2,FALSE)=0,"Spatial Data Missing ⚠",VLOOKUP(I225,'G-7 WaterC'' Data'!$AK$4:$AM$6,2,FALSE)))</f>
        <v/>
      </c>
      <c r="K225" s="363" t="str">
        <f>IF(I225="","",IF(VLOOKUP(I225,'G-7 WaterC'' Data'!$AK$4:$AM$6,3,FALSE)=0,"Spatial Data Missing ⚠",VLOOKUP(I225,'G-7 WaterC'' Data'!$AK$4:$AM$6,3,FALSE)))</f>
        <v/>
      </c>
      <c r="L225" s="362" t="str">
        <f>IFERROR(INDEX('G-7 WaterC'' Data'!$O$3:$O$7,MATCH(G225,'G-7 WaterC'' Data'!$N$3:$N$7,0)),"")</f>
        <v/>
      </c>
      <c r="M225" s="63"/>
      <c r="N225" s="159"/>
      <c r="O225" s="370" t="str">
        <f t="shared" si="15"/>
        <v/>
      </c>
      <c r="P225" s="383" t="str">
        <f t="shared" si="16"/>
        <v/>
      </c>
      <c r="Q225" s="422" t="str">
        <f>IFERROR(IF(P225="Check Data ⚠","Check Data ⚠",VLOOKUP(P225,'G-4 Temporal multipliers'!$A$4:$C$37,3,FALSE)),"")</f>
        <v/>
      </c>
      <c r="R225" s="362" t="str">
        <f>IF(C225="","",VLOOKUP(C225,'G-7 WaterC'' Data'!$B$4:$G$8,4,FALSE))</f>
        <v/>
      </c>
      <c r="S225" s="370" t="str">
        <f t="shared" si="17"/>
        <v/>
      </c>
      <c r="T225" s="401" t="str">
        <f t="shared" si="18"/>
        <v/>
      </c>
      <c r="U225" s="363" t="str">
        <f>IF(C225="","",VLOOKUP(T225,'G-3 Multipliers'!$P$2:$Q$6,2,FALSE))</f>
        <v/>
      </c>
      <c r="V225" s="115"/>
      <c r="W225" s="363" t="str">
        <f>IF(V225="","",IF(VLOOKUP(V225,'G-7 WaterC'' Data'!$AA$4:$AB$7,2,FALSE)=0,"Spatial Data Missing ⚠",VLOOKUP(V225,'G-7 WaterC'' Data'!$AA$4:$AB$7,2,FALSE)))</f>
        <v/>
      </c>
      <c r="X225" s="60"/>
      <c r="Y225" s="363" t="str">
        <f>IF(X225="","",IF(VLOOKUP(X225,'G-7 WaterC'' Data'!$AD$4:$AE$14,2,FALSE)=0,"Enrcoachment Data Missing ⚠",VLOOKUP(X225,'G-7 WaterC'' Data'!$AD$4:$AE$14,2,FALSE)))</f>
        <v/>
      </c>
      <c r="Z225" s="423" t="str">
        <f t="shared" si="19"/>
        <v/>
      </c>
      <c r="AA225" s="117"/>
      <c r="AB225" s="118"/>
      <c r="AC225" s="120"/>
      <c r="AH225" s="30" t="str">
        <f>IFERROR(INDEX('G-7 WaterC'' Data'!$AZ$3:$AZ$7,MATCH(C225,'G-7 WaterC'' Data'!$AY$3:$AY$7,0)),"")</f>
        <v/>
      </c>
    </row>
    <row r="226" spans="2:34" ht="15">
      <c r="B226" s="110">
        <v>215</v>
      </c>
      <c r="C226" s="138"/>
      <c r="D226" s="139"/>
      <c r="E226" s="362" t="str">
        <f>IF(C226="","",VLOOKUP(C226,'G-7 WaterC'' Data'!$B$2:$G$8,2,FALSE))</f>
        <v/>
      </c>
      <c r="F226" s="363" t="str">
        <f>IFERROR(VLOOKUP(E226,'G-7 WaterC'' Data'!$C$4:$D$8,2,FALSE),"")</f>
        <v/>
      </c>
      <c r="G226" s="114"/>
      <c r="H226" s="363" t="str">
        <f>IFERROR(INDEX('G-7 WaterC'' Data'!$H$4:$L$8,MATCH(C226,'G-7 WaterC'' Data'!$B$4:$B$8,0),MATCH(G226,'G-7 WaterC'' Data'!$H$3:$L$3,0)),"")</f>
        <v/>
      </c>
      <c r="I226" s="54"/>
      <c r="J226" s="370" t="str">
        <f>IF(I226="","",IF(VLOOKUP(I226,'G-7 WaterC'' Data'!$AK$4:$AM$6,2,FALSE)=0,"Spatial Data Missing ⚠",VLOOKUP(I226,'G-7 WaterC'' Data'!$AK$4:$AM$6,2,FALSE)))</f>
        <v/>
      </c>
      <c r="K226" s="363" t="str">
        <f>IF(I226="","",IF(VLOOKUP(I226,'G-7 WaterC'' Data'!$AK$4:$AM$6,3,FALSE)=0,"Spatial Data Missing ⚠",VLOOKUP(I226,'G-7 WaterC'' Data'!$AK$4:$AM$6,3,FALSE)))</f>
        <v/>
      </c>
      <c r="L226" s="362" t="str">
        <f>IFERROR(INDEX('G-7 WaterC'' Data'!$O$3:$O$7,MATCH(G226,'G-7 WaterC'' Data'!$N$3:$N$7,0)),"")</f>
        <v/>
      </c>
      <c r="M226" s="63"/>
      <c r="N226" s="159"/>
      <c r="O226" s="370" t="str">
        <f t="shared" si="15"/>
        <v/>
      </c>
      <c r="P226" s="383" t="str">
        <f t="shared" si="16"/>
        <v/>
      </c>
      <c r="Q226" s="422" t="str">
        <f>IFERROR(IF(P226="Check Data ⚠","Check Data ⚠",VLOOKUP(P226,'G-4 Temporal multipliers'!$A$4:$C$37,3,FALSE)),"")</f>
        <v/>
      </c>
      <c r="R226" s="362" t="str">
        <f>IF(C226="","",VLOOKUP(C226,'G-7 WaterC'' Data'!$B$4:$G$8,4,FALSE))</f>
        <v/>
      </c>
      <c r="S226" s="370" t="str">
        <f t="shared" si="17"/>
        <v/>
      </c>
      <c r="T226" s="401" t="str">
        <f t="shared" si="18"/>
        <v/>
      </c>
      <c r="U226" s="363" t="str">
        <f>IF(C226="","",VLOOKUP(T226,'G-3 Multipliers'!$P$2:$Q$6,2,FALSE))</f>
        <v/>
      </c>
      <c r="V226" s="115"/>
      <c r="W226" s="363" t="str">
        <f>IF(V226="","",IF(VLOOKUP(V226,'G-7 WaterC'' Data'!$AA$4:$AB$7,2,FALSE)=0,"Spatial Data Missing ⚠",VLOOKUP(V226,'G-7 WaterC'' Data'!$AA$4:$AB$7,2,FALSE)))</f>
        <v/>
      </c>
      <c r="X226" s="60"/>
      <c r="Y226" s="363" t="str">
        <f>IF(X226="","",IF(VLOOKUP(X226,'G-7 WaterC'' Data'!$AD$4:$AE$14,2,FALSE)=0,"Enrcoachment Data Missing ⚠",VLOOKUP(X226,'G-7 WaterC'' Data'!$AD$4:$AE$14,2,FALSE)))</f>
        <v/>
      </c>
      <c r="Z226" s="423" t="str">
        <f t="shared" si="19"/>
        <v/>
      </c>
      <c r="AA226" s="117"/>
      <c r="AB226" s="118"/>
      <c r="AC226" s="120"/>
      <c r="AH226" s="30" t="str">
        <f>IFERROR(INDEX('G-7 WaterC'' Data'!$AZ$3:$AZ$7,MATCH(C226,'G-7 WaterC'' Data'!$AY$3:$AY$7,0)),"")</f>
        <v/>
      </c>
    </row>
    <row r="227" spans="2:34" ht="15">
      <c r="B227" s="110">
        <v>216</v>
      </c>
      <c r="C227" s="138"/>
      <c r="D227" s="139"/>
      <c r="E227" s="362" t="str">
        <f>IF(C227="","",VLOOKUP(C227,'G-7 WaterC'' Data'!$B$2:$G$8,2,FALSE))</f>
        <v/>
      </c>
      <c r="F227" s="363" t="str">
        <f>IFERROR(VLOOKUP(E227,'G-7 WaterC'' Data'!$C$4:$D$8,2,FALSE),"")</f>
        <v/>
      </c>
      <c r="G227" s="114"/>
      <c r="H227" s="363" t="str">
        <f>IFERROR(INDEX('G-7 WaterC'' Data'!$H$4:$L$8,MATCH(C227,'G-7 WaterC'' Data'!$B$4:$B$8,0),MATCH(G227,'G-7 WaterC'' Data'!$H$3:$L$3,0)),"")</f>
        <v/>
      </c>
      <c r="I227" s="54"/>
      <c r="J227" s="370" t="str">
        <f>IF(I227="","",IF(VLOOKUP(I227,'G-7 WaterC'' Data'!$AK$4:$AM$6,2,FALSE)=0,"Spatial Data Missing ⚠",VLOOKUP(I227,'G-7 WaterC'' Data'!$AK$4:$AM$6,2,FALSE)))</f>
        <v/>
      </c>
      <c r="K227" s="363" t="str">
        <f>IF(I227="","",IF(VLOOKUP(I227,'G-7 WaterC'' Data'!$AK$4:$AM$6,3,FALSE)=0,"Spatial Data Missing ⚠",VLOOKUP(I227,'G-7 WaterC'' Data'!$AK$4:$AM$6,3,FALSE)))</f>
        <v/>
      </c>
      <c r="L227" s="362" t="str">
        <f>IFERROR(INDEX('G-7 WaterC'' Data'!$O$3:$O$7,MATCH(G227,'G-7 WaterC'' Data'!$N$3:$N$7,0)),"")</f>
        <v/>
      </c>
      <c r="M227" s="63"/>
      <c r="N227" s="159"/>
      <c r="O227" s="370" t="str">
        <f t="shared" si="15"/>
        <v/>
      </c>
      <c r="P227" s="383" t="str">
        <f t="shared" si="16"/>
        <v/>
      </c>
      <c r="Q227" s="422" t="str">
        <f>IFERROR(IF(P227="Check Data ⚠","Check Data ⚠",VLOOKUP(P227,'G-4 Temporal multipliers'!$A$4:$C$37,3,FALSE)),"")</f>
        <v/>
      </c>
      <c r="R227" s="362" t="str">
        <f>IF(C227="","",VLOOKUP(C227,'G-7 WaterC'' Data'!$B$4:$G$8,4,FALSE))</f>
        <v/>
      </c>
      <c r="S227" s="370" t="str">
        <f t="shared" si="17"/>
        <v/>
      </c>
      <c r="T227" s="401" t="str">
        <f t="shared" si="18"/>
        <v/>
      </c>
      <c r="U227" s="363" t="str">
        <f>IF(C227="","",VLOOKUP(T227,'G-3 Multipliers'!$P$2:$Q$6,2,FALSE))</f>
        <v/>
      </c>
      <c r="V227" s="115"/>
      <c r="W227" s="363" t="str">
        <f>IF(V227="","",IF(VLOOKUP(V227,'G-7 WaterC'' Data'!$AA$4:$AB$7,2,FALSE)=0,"Spatial Data Missing ⚠",VLOOKUP(V227,'G-7 WaterC'' Data'!$AA$4:$AB$7,2,FALSE)))</f>
        <v/>
      </c>
      <c r="X227" s="60"/>
      <c r="Y227" s="363" t="str">
        <f>IF(X227="","",IF(VLOOKUP(X227,'G-7 WaterC'' Data'!$AD$4:$AE$14,2,FALSE)=0,"Enrcoachment Data Missing ⚠",VLOOKUP(X227,'G-7 WaterC'' Data'!$AD$4:$AE$14,2,FALSE)))</f>
        <v/>
      </c>
      <c r="Z227" s="423" t="str">
        <f t="shared" si="19"/>
        <v/>
      </c>
      <c r="AA227" s="117"/>
      <c r="AB227" s="118"/>
      <c r="AC227" s="120"/>
      <c r="AH227" s="30" t="str">
        <f>IFERROR(INDEX('G-7 WaterC'' Data'!$AZ$3:$AZ$7,MATCH(C227,'G-7 WaterC'' Data'!$AY$3:$AY$7,0)),"")</f>
        <v/>
      </c>
    </row>
    <row r="228" spans="2:34" ht="15">
      <c r="B228" s="110">
        <v>217</v>
      </c>
      <c r="C228" s="138"/>
      <c r="D228" s="139"/>
      <c r="E228" s="362" t="str">
        <f>IF(C228="","",VLOOKUP(C228,'G-7 WaterC'' Data'!$B$2:$G$8,2,FALSE))</f>
        <v/>
      </c>
      <c r="F228" s="363" t="str">
        <f>IFERROR(VLOOKUP(E228,'G-7 WaterC'' Data'!$C$4:$D$8,2,FALSE),"")</f>
        <v/>
      </c>
      <c r="G228" s="114"/>
      <c r="H228" s="363" t="str">
        <f>IFERROR(INDEX('G-7 WaterC'' Data'!$H$4:$L$8,MATCH(C228,'G-7 WaterC'' Data'!$B$4:$B$8,0),MATCH(G228,'G-7 WaterC'' Data'!$H$3:$L$3,0)),"")</f>
        <v/>
      </c>
      <c r="I228" s="54"/>
      <c r="J228" s="370" t="str">
        <f>IF(I228="","",IF(VLOOKUP(I228,'G-7 WaterC'' Data'!$AK$4:$AM$6,2,FALSE)=0,"Spatial Data Missing ⚠",VLOOKUP(I228,'G-7 WaterC'' Data'!$AK$4:$AM$6,2,FALSE)))</f>
        <v/>
      </c>
      <c r="K228" s="363" t="str">
        <f>IF(I228="","",IF(VLOOKUP(I228,'G-7 WaterC'' Data'!$AK$4:$AM$6,3,FALSE)=0,"Spatial Data Missing ⚠",VLOOKUP(I228,'G-7 WaterC'' Data'!$AK$4:$AM$6,3,FALSE)))</f>
        <v/>
      </c>
      <c r="L228" s="362" t="str">
        <f>IFERROR(INDEX('G-7 WaterC'' Data'!$O$3:$O$7,MATCH(G228,'G-7 WaterC'' Data'!$N$3:$N$7,0)),"")</f>
        <v/>
      </c>
      <c r="M228" s="63"/>
      <c r="N228" s="159"/>
      <c r="O228" s="370" t="str">
        <f t="shared" si="15"/>
        <v/>
      </c>
      <c r="P228" s="383" t="str">
        <f t="shared" si="16"/>
        <v/>
      </c>
      <c r="Q228" s="422" t="str">
        <f>IFERROR(IF(P228="Check Data ⚠","Check Data ⚠",VLOOKUP(P228,'G-4 Temporal multipliers'!$A$4:$C$37,3,FALSE)),"")</f>
        <v/>
      </c>
      <c r="R228" s="362" t="str">
        <f>IF(C228="","",VLOOKUP(C228,'G-7 WaterC'' Data'!$B$4:$G$8,4,FALSE))</f>
        <v/>
      </c>
      <c r="S228" s="370" t="str">
        <f t="shared" si="17"/>
        <v/>
      </c>
      <c r="T228" s="401" t="str">
        <f t="shared" si="18"/>
        <v/>
      </c>
      <c r="U228" s="363" t="str">
        <f>IF(C228="","",VLOOKUP(T228,'G-3 Multipliers'!$P$2:$Q$6,2,FALSE))</f>
        <v/>
      </c>
      <c r="V228" s="115"/>
      <c r="W228" s="363" t="str">
        <f>IF(V228="","",IF(VLOOKUP(V228,'G-7 WaterC'' Data'!$AA$4:$AB$7,2,FALSE)=0,"Spatial Data Missing ⚠",VLOOKUP(V228,'G-7 WaterC'' Data'!$AA$4:$AB$7,2,FALSE)))</f>
        <v/>
      </c>
      <c r="X228" s="60"/>
      <c r="Y228" s="363" t="str">
        <f>IF(X228="","",IF(VLOOKUP(X228,'G-7 WaterC'' Data'!$AD$4:$AE$14,2,FALSE)=0,"Enrcoachment Data Missing ⚠",VLOOKUP(X228,'G-7 WaterC'' Data'!$AD$4:$AE$14,2,FALSE)))</f>
        <v/>
      </c>
      <c r="Z228" s="423" t="str">
        <f t="shared" si="19"/>
        <v/>
      </c>
      <c r="AA228" s="117"/>
      <c r="AB228" s="118"/>
      <c r="AC228" s="120"/>
      <c r="AH228" s="30" t="str">
        <f>IFERROR(INDEX('G-7 WaterC'' Data'!$AZ$3:$AZ$7,MATCH(C228,'G-7 WaterC'' Data'!$AY$3:$AY$7,0)),"")</f>
        <v/>
      </c>
    </row>
    <row r="229" spans="2:34" ht="15">
      <c r="B229" s="110">
        <v>218</v>
      </c>
      <c r="C229" s="138"/>
      <c r="D229" s="139"/>
      <c r="E229" s="362" t="str">
        <f>IF(C229="","",VLOOKUP(C229,'G-7 WaterC'' Data'!$B$2:$G$8,2,FALSE))</f>
        <v/>
      </c>
      <c r="F229" s="363" t="str">
        <f>IFERROR(VLOOKUP(E229,'G-7 WaterC'' Data'!$C$4:$D$8,2,FALSE),"")</f>
        <v/>
      </c>
      <c r="G229" s="114"/>
      <c r="H229" s="363" t="str">
        <f>IFERROR(INDEX('G-7 WaterC'' Data'!$H$4:$L$8,MATCH(C229,'G-7 WaterC'' Data'!$B$4:$B$8,0),MATCH(G229,'G-7 WaterC'' Data'!$H$3:$L$3,0)),"")</f>
        <v/>
      </c>
      <c r="I229" s="54"/>
      <c r="J229" s="370" t="str">
        <f>IF(I229="","",IF(VLOOKUP(I229,'G-7 WaterC'' Data'!$AK$4:$AM$6,2,FALSE)=0,"Spatial Data Missing ⚠",VLOOKUP(I229,'G-7 WaterC'' Data'!$AK$4:$AM$6,2,FALSE)))</f>
        <v/>
      </c>
      <c r="K229" s="363" t="str">
        <f>IF(I229="","",IF(VLOOKUP(I229,'G-7 WaterC'' Data'!$AK$4:$AM$6,3,FALSE)=0,"Spatial Data Missing ⚠",VLOOKUP(I229,'G-7 WaterC'' Data'!$AK$4:$AM$6,3,FALSE)))</f>
        <v/>
      </c>
      <c r="L229" s="362" t="str">
        <f>IFERROR(INDEX('G-7 WaterC'' Data'!$O$3:$O$7,MATCH(G229,'G-7 WaterC'' Data'!$N$3:$N$7,0)),"")</f>
        <v/>
      </c>
      <c r="M229" s="63"/>
      <c r="N229" s="159"/>
      <c r="O229" s="370" t="str">
        <f t="shared" si="15"/>
        <v/>
      </c>
      <c r="P229" s="383" t="str">
        <f t="shared" si="16"/>
        <v/>
      </c>
      <c r="Q229" s="422" t="str">
        <f>IFERROR(IF(P229="Check Data ⚠","Check Data ⚠",VLOOKUP(P229,'G-4 Temporal multipliers'!$A$4:$C$37,3,FALSE)),"")</f>
        <v/>
      </c>
      <c r="R229" s="362" t="str">
        <f>IF(C229="","",VLOOKUP(C229,'G-7 WaterC'' Data'!$B$4:$G$8,4,FALSE))</f>
        <v/>
      </c>
      <c r="S229" s="370" t="str">
        <f t="shared" si="17"/>
        <v/>
      </c>
      <c r="T229" s="401" t="str">
        <f t="shared" si="18"/>
        <v/>
      </c>
      <c r="U229" s="363" t="str">
        <f>IF(C229="","",VLOOKUP(T229,'G-3 Multipliers'!$P$2:$Q$6,2,FALSE))</f>
        <v/>
      </c>
      <c r="V229" s="115"/>
      <c r="W229" s="363" t="str">
        <f>IF(V229="","",IF(VLOOKUP(V229,'G-7 WaterC'' Data'!$AA$4:$AB$7,2,FALSE)=0,"Spatial Data Missing ⚠",VLOOKUP(V229,'G-7 WaterC'' Data'!$AA$4:$AB$7,2,FALSE)))</f>
        <v/>
      </c>
      <c r="X229" s="60"/>
      <c r="Y229" s="363" t="str">
        <f>IF(X229="","",IF(VLOOKUP(X229,'G-7 WaterC'' Data'!$AD$4:$AE$14,2,FALSE)=0,"Enrcoachment Data Missing ⚠",VLOOKUP(X229,'G-7 WaterC'' Data'!$AD$4:$AE$14,2,FALSE)))</f>
        <v/>
      </c>
      <c r="Z229" s="423" t="str">
        <f t="shared" si="19"/>
        <v/>
      </c>
      <c r="AA229" s="117"/>
      <c r="AB229" s="118"/>
      <c r="AC229" s="120"/>
      <c r="AH229" s="30" t="str">
        <f>IFERROR(INDEX('G-7 WaterC'' Data'!$AZ$3:$AZ$7,MATCH(C229,'G-7 WaterC'' Data'!$AY$3:$AY$7,0)),"")</f>
        <v/>
      </c>
    </row>
    <row r="230" spans="2:34" ht="15">
      <c r="B230" s="110">
        <v>219</v>
      </c>
      <c r="C230" s="138"/>
      <c r="D230" s="139"/>
      <c r="E230" s="362" t="str">
        <f>IF(C230="","",VLOOKUP(C230,'G-7 WaterC'' Data'!$B$2:$G$8,2,FALSE))</f>
        <v/>
      </c>
      <c r="F230" s="363" t="str">
        <f>IFERROR(VLOOKUP(E230,'G-7 WaterC'' Data'!$C$4:$D$8,2,FALSE),"")</f>
        <v/>
      </c>
      <c r="G230" s="114"/>
      <c r="H230" s="363" t="str">
        <f>IFERROR(INDEX('G-7 WaterC'' Data'!$H$4:$L$8,MATCH(C230,'G-7 WaterC'' Data'!$B$4:$B$8,0),MATCH(G230,'G-7 WaterC'' Data'!$H$3:$L$3,0)),"")</f>
        <v/>
      </c>
      <c r="I230" s="54"/>
      <c r="J230" s="370" t="str">
        <f>IF(I230="","",IF(VLOOKUP(I230,'G-7 WaterC'' Data'!$AK$4:$AM$6,2,FALSE)=0,"Spatial Data Missing ⚠",VLOOKUP(I230,'G-7 WaterC'' Data'!$AK$4:$AM$6,2,FALSE)))</f>
        <v/>
      </c>
      <c r="K230" s="363" t="str">
        <f>IF(I230="","",IF(VLOOKUP(I230,'G-7 WaterC'' Data'!$AK$4:$AM$6,3,FALSE)=0,"Spatial Data Missing ⚠",VLOOKUP(I230,'G-7 WaterC'' Data'!$AK$4:$AM$6,3,FALSE)))</f>
        <v/>
      </c>
      <c r="L230" s="362" t="str">
        <f>IFERROR(INDEX('G-7 WaterC'' Data'!$O$3:$O$7,MATCH(G230,'G-7 WaterC'' Data'!$N$3:$N$7,0)),"")</f>
        <v/>
      </c>
      <c r="M230" s="63"/>
      <c r="N230" s="159"/>
      <c r="O230" s="370" t="str">
        <f t="shared" si="15"/>
        <v/>
      </c>
      <c r="P230" s="383" t="str">
        <f t="shared" si="16"/>
        <v/>
      </c>
      <c r="Q230" s="422" t="str">
        <f>IFERROR(IF(P230="Check Data ⚠","Check Data ⚠",VLOOKUP(P230,'G-4 Temporal multipliers'!$A$4:$C$37,3,FALSE)),"")</f>
        <v/>
      </c>
      <c r="R230" s="362" t="str">
        <f>IF(C230="","",VLOOKUP(C230,'G-7 WaterC'' Data'!$B$4:$G$8,4,FALSE))</f>
        <v/>
      </c>
      <c r="S230" s="370" t="str">
        <f t="shared" si="17"/>
        <v/>
      </c>
      <c r="T230" s="401" t="str">
        <f t="shared" si="18"/>
        <v/>
      </c>
      <c r="U230" s="363" t="str">
        <f>IF(C230="","",VLOOKUP(T230,'G-3 Multipliers'!$P$2:$Q$6,2,FALSE))</f>
        <v/>
      </c>
      <c r="V230" s="115"/>
      <c r="W230" s="363" t="str">
        <f>IF(V230="","",IF(VLOOKUP(V230,'G-7 WaterC'' Data'!$AA$4:$AB$7,2,FALSE)=0,"Spatial Data Missing ⚠",VLOOKUP(V230,'G-7 WaterC'' Data'!$AA$4:$AB$7,2,FALSE)))</f>
        <v/>
      </c>
      <c r="X230" s="60"/>
      <c r="Y230" s="363" t="str">
        <f>IF(X230="","",IF(VLOOKUP(X230,'G-7 WaterC'' Data'!$AD$4:$AE$14,2,FALSE)=0,"Enrcoachment Data Missing ⚠",VLOOKUP(X230,'G-7 WaterC'' Data'!$AD$4:$AE$14,2,FALSE)))</f>
        <v/>
      </c>
      <c r="Z230" s="423" t="str">
        <f t="shared" si="19"/>
        <v/>
      </c>
      <c r="AA230" s="117"/>
      <c r="AB230" s="118"/>
      <c r="AC230" s="120"/>
      <c r="AH230" s="30" t="str">
        <f>IFERROR(INDEX('G-7 WaterC'' Data'!$AZ$3:$AZ$7,MATCH(C230,'G-7 WaterC'' Data'!$AY$3:$AY$7,0)),"")</f>
        <v/>
      </c>
    </row>
    <row r="231" spans="2:34" ht="15">
      <c r="B231" s="110">
        <v>220</v>
      </c>
      <c r="C231" s="138"/>
      <c r="D231" s="139"/>
      <c r="E231" s="362" t="str">
        <f>IF(C231="","",VLOOKUP(C231,'G-7 WaterC'' Data'!$B$2:$G$8,2,FALSE))</f>
        <v/>
      </c>
      <c r="F231" s="363" t="str">
        <f>IFERROR(VLOOKUP(E231,'G-7 WaterC'' Data'!$C$4:$D$8,2,FALSE),"")</f>
        <v/>
      </c>
      <c r="G231" s="114"/>
      <c r="H231" s="363" t="str">
        <f>IFERROR(INDEX('G-7 WaterC'' Data'!$H$4:$L$8,MATCH(C231,'G-7 WaterC'' Data'!$B$4:$B$8,0),MATCH(G231,'G-7 WaterC'' Data'!$H$3:$L$3,0)),"")</f>
        <v/>
      </c>
      <c r="I231" s="54"/>
      <c r="J231" s="370" t="str">
        <f>IF(I231="","",IF(VLOOKUP(I231,'G-7 WaterC'' Data'!$AK$4:$AM$6,2,FALSE)=0,"Spatial Data Missing ⚠",VLOOKUP(I231,'G-7 WaterC'' Data'!$AK$4:$AM$6,2,FALSE)))</f>
        <v/>
      </c>
      <c r="K231" s="363" t="str">
        <f>IF(I231="","",IF(VLOOKUP(I231,'G-7 WaterC'' Data'!$AK$4:$AM$6,3,FALSE)=0,"Spatial Data Missing ⚠",VLOOKUP(I231,'G-7 WaterC'' Data'!$AK$4:$AM$6,3,FALSE)))</f>
        <v/>
      </c>
      <c r="L231" s="362" t="str">
        <f>IFERROR(INDEX('G-7 WaterC'' Data'!$O$3:$O$7,MATCH(G231,'G-7 WaterC'' Data'!$N$3:$N$7,0)),"")</f>
        <v/>
      </c>
      <c r="M231" s="63"/>
      <c r="N231" s="159"/>
      <c r="O231" s="370" t="str">
        <f t="shared" si="15"/>
        <v/>
      </c>
      <c r="P231" s="383" t="str">
        <f t="shared" si="16"/>
        <v/>
      </c>
      <c r="Q231" s="422" t="str">
        <f>IFERROR(IF(P231="Check Data ⚠","Check Data ⚠",VLOOKUP(P231,'G-4 Temporal multipliers'!$A$4:$C$37,3,FALSE)),"")</f>
        <v/>
      </c>
      <c r="R231" s="362" t="str">
        <f>IF(C231="","",VLOOKUP(C231,'G-7 WaterC'' Data'!$B$4:$G$8,4,FALSE))</f>
        <v/>
      </c>
      <c r="S231" s="370" t="str">
        <f t="shared" si="17"/>
        <v/>
      </c>
      <c r="T231" s="401" t="str">
        <f t="shared" si="18"/>
        <v/>
      </c>
      <c r="U231" s="363" t="str">
        <f>IF(C231="","",VLOOKUP(T231,'G-3 Multipliers'!$P$2:$Q$6,2,FALSE))</f>
        <v/>
      </c>
      <c r="V231" s="115"/>
      <c r="W231" s="363" t="str">
        <f>IF(V231="","",IF(VLOOKUP(V231,'G-7 WaterC'' Data'!$AA$4:$AB$7,2,FALSE)=0,"Spatial Data Missing ⚠",VLOOKUP(V231,'G-7 WaterC'' Data'!$AA$4:$AB$7,2,FALSE)))</f>
        <v/>
      </c>
      <c r="X231" s="60"/>
      <c r="Y231" s="363" t="str">
        <f>IF(X231="","",IF(VLOOKUP(X231,'G-7 WaterC'' Data'!$AD$4:$AE$14,2,FALSE)=0,"Enrcoachment Data Missing ⚠",VLOOKUP(X231,'G-7 WaterC'' Data'!$AD$4:$AE$14,2,FALSE)))</f>
        <v/>
      </c>
      <c r="Z231" s="423" t="str">
        <f t="shared" si="19"/>
        <v/>
      </c>
      <c r="AA231" s="117"/>
      <c r="AB231" s="118"/>
      <c r="AC231" s="120"/>
      <c r="AH231" s="30" t="str">
        <f>IFERROR(INDEX('G-7 WaterC'' Data'!$AZ$3:$AZ$7,MATCH(C231,'G-7 WaterC'' Data'!$AY$3:$AY$7,0)),"")</f>
        <v/>
      </c>
    </row>
    <row r="232" spans="2:34" ht="15">
      <c r="B232" s="110">
        <v>221</v>
      </c>
      <c r="C232" s="138"/>
      <c r="D232" s="139"/>
      <c r="E232" s="362" t="str">
        <f>IF(C232="","",VLOOKUP(C232,'G-7 WaterC'' Data'!$B$2:$G$8,2,FALSE))</f>
        <v/>
      </c>
      <c r="F232" s="363" t="str">
        <f>IFERROR(VLOOKUP(E232,'G-7 WaterC'' Data'!$C$4:$D$8,2,FALSE),"")</f>
        <v/>
      </c>
      <c r="G232" s="114"/>
      <c r="H232" s="363" t="str">
        <f>IFERROR(INDEX('G-7 WaterC'' Data'!$H$4:$L$8,MATCH(C232,'G-7 WaterC'' Data'!$B$4:$B$8,0),MATCH(G232,'G-7 WaterC'' Data'!$H$3:$L$3,0)),"")</f>
        <v/>
      </c>
      <c r="I232" s="54"/>
      <c r="J232" s="370" t="str">
        <f>IF(I232="","",IF(VLOOKUP(I232,'G-7 WaterC'' Data'!$AK$4:$AM$6,2,FALSE)=0,"Spatial Data Missing ⚠",VLOOKUP(I232,'G-7 WaterC'' Data'!$AK$4:$AM$6,2,FALSE)))</f>
        <v/>
      </c>
      <c r="K232" s="363" t="str">
        <f>IF(I232="","",IF(VLOOKUP(I232,'G-7 WaterC'' Data'!$AK$4:$AM$6,3,FALSE)=0,"Spatial Data Missing ⚠",VLOOKUP(I232,'G-7 WaterC'' Data'!$AK$4:$AM$6,3,FALSE)))</f>
        <v/>
      </c>
      <c r="L232" s="362" t="str">
        <f>IFERROR(INDEX('G-7 WaterC'' Data'!$O$3:$O$7,MATCH(G232,'G-7 WaterC'' Data'!$N$3:$N$7,0)),"")</f>
        <v/>
      </c>
      <c r="M232" s="63"/>
      <c r="N232" s="159"/>
      <c r="O232" s="370" t="str">
        <f t="shared" si="15"/>
        <v/>
      </c>
      <c r="P232" s="383" t="str">
        <f t="shared" si="16"/>
        <v/>
      </c>
      <c r="Q232" s="422" t="str">
        <f>IFERROR(IF(P232="Check Data ⚠","Check Data ⚠",VLOOKUP(P232,'G-4 Temporal multipliers'!$A$4:$C$37,3,FALSE)),"")</f>
        <v/>
      </c>
      <c r="R232" s="362" t="str">
        <f>IF(C232="","",VLOOKUP(C232,'G-7 WaterC'' Data'!$B$4:$G$8,4,FALSE))</f>
        <v/>
      </c>
      <c r="S232" s="370" t="str">
        <f t="shared" si="17"/>
        <v/>
      </c>
      <c r="T232" s="401" t="str">
        <f t="shared" si="18"/>
        <v/>
      </c>
      <c r="U232" s="363" t="str">
        <f>IF(C232="","",VLOOKUP(T232,'G-3 Multipliers'!$P$2:$Q$6,2,FALSE))</f>
        <v/>
      </c>
      <c r="V232" s="115"/>
      <c r="W232" s="363" t="str">
        <f>IF(V232="","",IF(VLOOKUP(V232,'G-7 WaterC'' Data'!$AA$4:$AB$7,2,FALSE)=0,"Spatial Data Missing ⚠",VLOOKUP(V232,'G-7 WaterC'' Data'!$AA$4:$AB$7,2,FALSE)))</f>
        <v/>
      </c>
      <c r="X232" s="60"/>
      <c r="Y232" s="363" t="str">
        <f>IF(X232="","",IF(VLOOKUP(X232,'G-7 WaterC'' Data'!$AD$4:$AE$14,2,FALSE)=0,"Enrcoachment Data Missing ⚠",VLOOKUP(X232,'G-7 WaterC'' Data'!$AD$4:$AE$14,2,FALSE)))</f>
        <v/>
      </c>
      <c r="Z232" s="423" t="str">
        <f t="shared" si="19"/>
        <v/>
      </c>
      <c r="AA232" s="117"/>
      <c r="AB232" s="118"/>
      <c r="AC232" s="120"/>
      <c r="AH232" s="30" t="str">
        <f>IFERROR(INDEX('G-7 WaterC'' Data'!$AZ$3:$AZ$7,MATCH(C232,'G-7 WaterC'' Data'!$AY$3:$AY$7,0)),"")</f>
        <v/>
      </c>
    </row>
    <row r="233" spans="2:34" ht="15">
      <c r="B233" s="110">
        <v>222</v>
      </c>
      <c r="C233" s="138"/>
      <c r="D233" s="139"/>
      <c r="E233" s="362" t="str">
        <f>IF(C233="","",VLOOKUP(C233,'G-7 WaterC'' Data'!$B$2:$G$8,2,FALSE))</f>
        <v/>
      </c>
      <c r="F233" s="363" t="str">
        <f>IFERROR(VLOOKUP(E233,'G-7 WaterC'' Data'!$C$4:$D$8,2,FALSE),"")</f>
        <v/>
      </c>
      <c r="G233" s="114"/>
      <c r="H233" s="363" t="str">
        <f>IFERROR(INDEX('G-7 WaterC'' Data'!$H$4:$L$8,MATCH(C233,'G-7 WaterC'' Data'!$B$4:$B$8,0),MATCH(G233,'G-7 WaterC'' Data'!$H$3:$L$3,0)),"")</f>
        <v/>
      </c>
      <c r="I233" s="54"/>
      <c r="J233" s="370" t="str">
        <f>IF(I233="","",IF(VLOOKUP(I233,'G-7 WaterC'' Data'!$AK$4:$AM$6,2,FALSE)=0,"Spatial Data Missing ⚠",VLOOKUP(I233,'G-7 WaterC'' Data'!$AK$4:$AM$6,2,FALSE)))</f>
        <v/>
      </c>
      <c r="K233" s="363" t="str">
        <f>IF(I233="","",IF(VLOOKUP(I233,'G-7 WaterC'' Data'!$AK$4:$AM$6,3,FALSE)=0,"Spatial Data Missing ⚠",VLOOKUP(I233,'G-7 WaterC'' Data'!$AK$4:$AM$6,3,FALSE)))</f>
        <v/>
      </c>
      <c r="L233" s="362" t="str">
        <f>IFERROR(INDEX('G-7 WaterC'' Data'!$O$3:$O$7,MATCH(G233,'G-7 WaterC'' Data'!$N$3:$N$7,0)),"")</f>
        <v/>
      </c>
      <c r="M233" s="63"/>
      <c r="N233" s="159"/>
      <c r="O233" s="370" t="str">
        <f t="shared" si="15"/>
        <v/>
      </c>
      <c r="P233" s="383" t="str">
        <f t="shared" si="16"/>
        <v/>
      </c>
      <c r="Q233" s="422" t="str">
        <f>IFERROR(IF(P233="Check Data ⚠","Check Data ⚠",VLOOKUP(P233,'G-4 Temporal multipliers'!$A$4:$C$37,3,FALSE)),"")</f>
        <v/>
      </c>
      <c r="R233" s="362" t="str">
        <f>IF(C233="","",VLOOKUP(C233,'G-7 WaterC'' Data'!$B$4:$G$8,4,FALSE))</f>
        <v/>
      </c>
      <c r="S233" s="370" t="str">
        <f t="shared" si="17"/>
        <v/>
      </c>
      <c r="T233" s="401" t="str">
        <f t="shared" si="18"/>
        <v/>
      </c>
      <c r="U233" s="363" t="str">
        <f>IF(C233="","",VLOOKUP(T233,'G-3 Multipliers'!$P$2:$Q$6,2,FALSE))</f>
        <v/>
      </c>
      <c r="V233" s="115"/>
      <c r="W233" s="363" t="str">
        <f>IF(V233="","",IF(VLOOKUP(V233,'G-7 WaterC'' Data'!$AA$4:$AB$7,2,FALSE)=0,"Spatial Data Missing ⚠",VLOOKUP(V233,'G-7 WaterC'' Data'!$AA$4:$AB$7,2,FALSE)))</f>
        <v/>
      </c>
      <c r="X233" s="60"/>
      <c r="Y233" s="363" t="str">
        <f>IF(X233="","",IF(VLOOKUP(X233,'G-7 WaterC'' Data'!$AD$4:$AE$14,2,FALSE)=0,"Enrcoachment Data Missing ⚠",VLOOKUP(X233,'G-7 WaterC'' Data'!$AD$4:$AE$14,2,FALSE)))</f>
        <v/>
      </c>
      <c r="Z233" s="423" t="str">
        <f t="shared" si="19"/>
        <v/>
      </c>
      <c r="AA233" s="117"/>
      <c r="AB233" s="118"/>
      <c r="AC233" s="120"/>
      <c r="AH233" s="30" t="str">
        <f>IFERROR(INDEX('G-7 WaterC'' Data'!$AZ$3:$AZ$7,MATCH(C233,'G-7 WaterC'' Data'!$AY$3:$AY$7,0)),"")</f>
        <v/>
      </c>
    </row>
    <row r="234" spans="2:34" ht="15">
      <c r="B234" s="110">
        <v>223</v>
      </c>
      <c r="C234" s="138"/>
      <c r="D234" s="139"/>
      <c r="E234" s="362" t="str">
        <f>IF(C234="","",VLOOKUP(C234,'G-7 WaterC'' Data'!$B$2:$G$8,2,FALSE))</f>
        <v/>
      </c>
      <c r="F234" s="363" t="str">
        <f>IFERROR(VLOOKUP(E234,'G-7 WaterC'' Data'!$C$4:$D$8,2,FALSE),"")</f>
        <v/>
      </c>
      <c r="G234" s="114"/>
      <c r="H234" s="363" t="str">
        <f>IFERROR(INDEX('G-7 WaterC'' Data'!$H$4:$L$8,MATCH(C234,'G-7 WaterC'' Data'!$B$4:$B$8,0),MATCH(G234,'G-7 WaterC'' Data'!$H$3:$L$3,0)),"")</f>
        <v/>
      </c>
      <c r="I234" s="54"/>
      <c r="J234" s="370" t="str">
        <f>IF(I234="","",IF(VLOOKUP(I234,'G-7 WaterC'' Data'!$AK$4:$AM$6,2,FALSE)=0,"Spatial Data Missing ⚠",VLOOKUP(I234,'G-7 WaterC'' Data'!$AK$4:$AM$6,2,FALSE)))</f>
        <v/>
      </c>
      <c r="K234" s="363" t="str">
        <f>IF(I234="","",IF(VLOOKUP(I234,'G-7 WaterC'' Data'!$AK$4:$AM$6,3,FALSE)=0,"Spatial Data Missing ⚠",VLOOKUP(I234,'G-7 WaterC'' Data'!$AK$4:$AM$6,3,FALSE)))</f>
        <v/>
      </c>
      <c r="L234" s="362" t="str">
        <f>IFERROR(INDEX('G-7 WaterC'' Data'!$O$3:$O$7,MATCH(G234,'G-7 WaterC'' Data'!$N$3:$N$7,0)),"")</f>
        <v/>
      </c>
      <c r="M234" s="63"/>
      <c r="N234" s="159"/>
      <c r="O234" s="370" t="str">
        <f t="shared" si="15"/>
        <v/>
      </c>
      <c r="P234" s="383" t="str">
        <f t="shared" si="16"/>
        <v/>
      </c>
      <c r="Q234" s="422" t="str">
        <f>IFERROR(IF(P234="Check Data ⚠","Check Data ⚠",VLOOKUP(P234,'G-4 Temporal multipliers'!$A$4:$C$37,3,FALSE)),"")</f>
        <v/>
      </c>
      <c r="R234" s="362" t="str">
        <f>IF(C234="","",VLOOKUP(C234,'G-7 WaterC'' Data'!$B$4:$G$8,4,FALSE))</f>
        <v/>
      </c>
      <c r="S234" s="370" t="str">
        <f t="shared" si="17"/>
        <v/>
      </c>
      <c r="T234" s="401" t="str">
        <f t="shared" si="18"/>
        <v/>
      </c>
      <c r="U234" s="363" t="str">
        <f>IF(C234="","",VLOOKUP(T234,'G-3 Multipliers'!$P$2:$Q$6,2,FALSE))</f>
        <v/>
      </c>
      <c r="V234" s="115"/>
      <c r="W234" s="363" t="str">
        <f>IF(V234="","",IF(VLOOKUP(V234,'G-7 WaterC'' Data'!$AA$4:$AB$7,2,FALSE)=0,"Spatial Data Missing ⚠",VLOOKUP(V234,'G-7 WaterC'' Data'!$AA$4:$AB$7,2,FALSE)))</f>
        <v/>
      </c>
      <c r="X234" s="60"/>
      <c r="Y234" s="363" t="str">
        <f>IF(X234="","",IF(VLOOKUP(X234,'G-7 WaterC'' Data'!$AD$4:$AE$14,2,FALSE)=0,"Enrcoachment Data Missing ⚠",VLOOKUP(X234,'G-7 WaterC'' Data'!$AD$4:$AE$14,2,FALSE)))</f>
        <v/>
      </c>
      <c r="Z234" s="423" t="str">
        <f t="shared" si="19"/>
        <v/>
      </c>
      <c r="AA234" s="117"/>
      <c r="AB234" s="118"/>
      <c r="AC234" s="120"/>
      <c r="AH234" s="30" t="str">
        <f>IFERROR(INDEX('G-7 WaterC'' Data'!$AZ$3:$AZ$7,MATCH(C234,'G-7 WaterC'' Data'!$AY$3:$AY$7,0)),"")</f>
        <v/>
      </c>
    </row>
    <row r="235" spans="2:34" ht="15">
      <c r="B235" s="110">
        <v>224</v>
      </c>
      <c r="C235" s="138"/>
      <c r="D235" s="139"/>
      <c r="E235" s="362" t="str">
        <f>IF(C235="","",VLOOKUP(C235,'G-7 WaterC'' Data'!$B$2:$G$8,2,FALSE))</f>
        <v/>
      </c>
      <c r="F235" s="363" t="str">
        <f>IFERROR(VLOOKUP(E235,'G-7 WaterC'' Data'!$C$4:$D$8,2,FALSE),"")</f>
        <v/>
      </c>
      <c r="G235" s="114"/>
      <c r="H235" s="363" t="str">
        <f>IFERROR(INDEX('G-7 WaterC'' Data'!$H$4:$L$8,MATCH(C235,'G-7 WaterC'' Data'!$B$4:$B$8,0),MATCH(G235,'G-7 WaterC'' Data'!$H$3:$L$3,0)),"")</f>
        <v/>
      </c>
      <c r="I235" s="54"/>
      <c r="J235" s="370" t="str">
        <f>IF(I235="","",IF(VLOOKUP(I235,'G-7 WaterC'' Data'!$AK$4:$AM$6,2,FALSE)=0,"Spatial Data Missing ⚠",VLOOKUP(I235,'G-7 WaterC'' Data'!$AK$4:$AM$6,2,FALSE)))</f>
        <v/>
      </c>
      <c r="K235" s="363" t="str">
        <f>IF(I235="","",IF(VLOOKUP(I235,'G-7 WaterC'' Data'!$AK$4:$AM$6,3,FALSE)=0,"Spatial Data Missing ⚠",VLOOKUP(I235,'G-7 WaterC'' Data'!$AK$4:$AM$6,3,FALSE)))</f>
        <v/>
      </c>
      <c r="L235" s="362" t="str">
        <f>IFERROR(INDEX('G-7 WaterC'' Data'!$O$3:$O$7,MATCH(G235,'G-7 WaterC'' Data'!$N$3:$N$7,0)),"")</f>
        <v/>
      </c>
      <c r="M235" s="63"/>
      <c r="N235" s="159"/>
      <c r="O235" s="370" t="str">
        <f t="shared" si="15"/>
        <v/>
      </c>
      <c r="P235" s="383" t="str">
        <f t="shared" si="16"/>
        <v/>
      </c>
      <c r="Q235" s="422" t="str">
        <f>IFERROR(IF(P235="Check Data ⚠","Check Data ⚠",VLOOKUP(P235,'G-4 Temporal multipliers'!$A$4:$C$37,3,FALSE)),"")</f>
        <v/>
      </c>
      <c r="R235" s="362" t="str">
        <f>IF(C235="","",VLOOKUP(C235,'G-7 WaterC'' Data'!$B$4:$G$8,4,FALSE))</f>
        <v/>
      </c>
      <c r="S235" s="370" t="str">
        <f t="shared" si="17"/>
        <v/>
      </c>
      <c r="T235" s="401" t="str">
        <f t="shared" si="18"/>
        <v/>
      </c>
      <c r="U235" s="363" t="str">
        <f>IF(C235="","",VLOOKUP(T235,'G-3 Multipliers'!$P$2:$Q$6,2,FALSE))</f>
        <v/>
      </c>
      <c r="V235" s="115"/>
      <c r="W235" s="363" t="str">
        <f>IF(V235="","",IF(VLOOKUP(V235,'G-7 WaterC'' Data'!$AA$4:$AB$7,2,FALSE)=0,"Spatial Data Missing ⚠",VLOOKUP(V235,'G-7 WaterC'' Data'!$AA$4:$AB$7,2,FALSE)))</f>
        <v/>
      </c>
      <c r="X235" s="60"/>
      <c r="Y235" s="363" t="str">
        <f>IF(X235="","",IF(VLOOKUP(X235,'G-7 WaterC'' Data'!$AD$4:$AE$14,2,FALSE)=0,"Enrcoachment Data Missing ⚠",VLOOKUP(X235,'G-7 WaterC'' Data'!$AD$4:$AE$14,2,FALSE)))</f>
        <v/>
      </c>
      <c r="Z235" s="423" t="str">
        <f t="shared" si="19"/>
        <v/>
      </c>
      <c r="AA235" s="117"/>
      <c r="AB235" s="118"/>
      <c r="AC235" s="120"/>
      <c r="AH235" s="30" t="str">
        <f>IFERROR(INDEX('G-7 WaterC'' Data'!$AZ$3:$AZ$7,MATCH(C235,'G-7 WaterC'' Data'!$AY$3:$AY$7,0)),"")</f>
        <v/>
      </c>
    </row>
    <row r="236" spans="2:34" ht="15">
      <c r="B236" s="110">
        <v>225</v>
      </c>
      <c r="C236" s="138"/>
      <c r="D236" s="139"/>
      <c r="E236" s="362" t="str">
        <f>IF(C236="","",VLOOKUP(C236,'G-7 WaterC'' Data'!$B$2:$G$8,2,FALSE))</f>
        <v/>
      </c>
      <c r="F236" s="363" t="str">
        <f>IFERROR(VLOOKUP(E236,'G-7 WaterC'' Data'!$C$4:$D$8,2,FALSE),"")</f>
        <v/>
      </c>
      <c r="G236" s="114"/>
      <c r="H236" s="363" t="str">
        <f>IFERROR(INDEX('G-7 WaterC'' Data'!$H$4:$L$8,MATCH(C236,'G-7 WaterC'' Data'!$B$4:$B$8,0),MATCH(G236,'G-7 WaterC'' Data'!$H$3:$L$3,0)),"")</f>
        <v/>
      </c>
      <c r="I236" s="54"/>
      <c r="J236" s="370" t="str">
        <f>IF(I236="","",IF(VLOOKUP(I236,'G-7 WaterC'' Data'!$AK$4:$AM$6,2,FALSE)=0,"Spatial Data Missing ⚠",VLOOKUP(I236,'G-7 WaterC'' Data'!$AK$4:$AM$6,2,FALSE)))</f>
        <v/>
      </c>
      <c r="K236" s="363" t="str">
        <f>IF(I236="","",IF(VLOOKUP(I236,'G-7 WaterC'' Data'!$AK$4:$AM$6,3,FALSE)=0,"Spatial Data Missing ⚠",VLOOKUP(I236,'G-7 WaterC'' Data'!$AK$4:$AM$6,3,FALSE)))</f>
        <v/>
      </c>
      <c r="L236" s="362" t="str">
        <f>IFERROR(INDEX('G-7 WaterC'' Data'!$O$3:$O$7,MATCH(G236,'G-7 WaterC'' Data'!$N$3:$N$7,0)),"")</f>
        <v/>
      </c>
      <c r="M236" s="63"/>
      <c r="N236" s="159"/>
      <c r="O236" s="370" t="str">
        <f t="shared" si="15"/>
        <v/>
      </c>
      <c r="P236" s="383" t="str">
        <f t="shared" si="16"/>
        <v/>
      </c>
      <c r="Q236" s="422" t="str">
        <f>IFERROR(IF(P236="Check Data ⚠","Check Data ⚠",VLOOKUP(P236,'G-4 Temporal multipliers'!$A$4:$C$37,3,FALSE)),"")</f>
        <v/>
      </c>
      <c r="R236" s="362" t="str">
        <f>IF(C236="","",VLOOKUP(C236,'G-7 WaterC'' Data'!$B$4:$G$8,4,FALSE))</f>
        <v/>
      </c>
      <c r="S236" s="370" t="str">
        <f t="shared" si="17"/>
        <v/>
      </c>
      <c r="T236" s="401" t="str">
        <f t="shared" si="18"/>
        <v/>
      </c>
      <c r="U236" s="363" t="str">
        <f>IF(C236="","",VLOOKUP(T236,'G-3 Multipliers'!$P$2:$Q$6,2,FALSE))</f>
        <v/>
      </c>
      <c r="V236" s="115"/>
      <c r="W236" s="363" t="str">
        <f>IF(V236="","",IF(VLOOKUP(V236,'G-7 WaterC'' Data'!$AA$4:$AB$7,2,FALSE)=0,"Spatial Data Missing ⚠",VLOOKUP(V236,'G-7 WaterC'' Data'!$AA$4:$AB$7,2,FALSE)))</f>
        <v/>
      </c>
      <c r="X236" s="60"/>
      <c r="Y236" s="363" t="str">
        <f>IF(X236="","",IF(VLOOKUP(X236,'G-7 WaterC'' Data'!$AD$4:$AE$14,2,FALSE)=0,"Enrcoachment Data Missing ⚠",VLOOKUP(X236,'G-7 WaterC'' Data'!$AD$4:$AE$14,2,FALSE)))</f>
        <v/>
      </c>
      <c r="Z236" s="423" t="str">
        <f t="shared" si="19"/>
        <v/>
      </c>
      <c r="AA236" s="117"/>
      <c r="AB236" s="118"/>
      <c r="AC236" s="120"/>
      <c r="AH236" s="30" t="str">
        <f>IFERROR(INDEX('G-7 WaterC'' Data'!$AZ$3:$AZ$7,MATCH(C236,'G-7 WaterC'' Data'!$AY$3:$AY$7,0)),"")</f>
        <v/>
      </c>
    </row>
    <row r="237" spans="2:34" ht="15">
      <c r="B237" s="110">
        <v>226</v>
      </c>
      <c r="C237" s="138"/>
      <c r="D237" s="139"/>
      <c r="E237" s="362" t="str">
        <f>IF(C237="","",VLOOKUP(C237,'G-7 WaterC'' Data'!$B$2:$G$8,2,FALSE))</f>
        <v/>
      </c>
      <c r="F237" s="363" t="str">
        <f>IFERROR(VLOOKUP(E237,'G-7 WaterC'' Data'!$C$4:$D$8,2,FALSE),"")</f>
        <v/>
      </c>
      <c r="G237" s="114"/>
      <c r="H237" s="363" t="str">
        <f>IFERROR(INDEX('G-7 WaterC'' Data'!$H$4:$L$8,MATCH(C237,'G-7 WaterC'' Data'!$B$4:$B$8,0),MATCH(G237,'G-7 WaterC'' Data'!$H$3:$L$3,0)),"")</f>
        <v/>
      </c>
      <c r="I237" s="54"/>
      <c r="J237" s="370" t="str">
        <f>IF(I237="","",IF(VLOOKUP(I237,'G-7 WaterC'' Data'!$AK$4:$AM$6,2,FALSE)=0,"Spatial Data Missing ⚠",VLOOKUP(I237,'G-7 WaterC'' Data'!$AK$4:$AM$6,2,FALSE)))</f>
        <v/>
      </c>
      <c r="K237" s="363" t="str">
        <f>IF(I237="","",IF(VLOOKUP(I237,'G-7 WaterC'' Data'!$AK$4:$AM$6,3,FALSE)=0,"Spatial Data Missing ⚠",VLOOKUP(I237,'G-7 WaterC'' Data'!$AK$4:$AM$6,3,FALSE)))</f>
        <v/>
      </c>
      <c r="L237" s="362" t="str">
        <f>IFERROR(INDEX('G-7 WaterC'' Data'!$O$3:$O$7,MATCH(G237,'G-7 WaterC'' Data'!$N$3:$N$7,0)),"")</f>
        <v/>
      </c>
      <c r="M237" s="63"/>
      <c r="N237" s="159"/>
      <c r="O237" s="370" t="str">
        <f t="shared" si="15"/>
        <v/>
      </c>
      <c r="P237" s="383" t="str">
        <f t="shared" si="16"/>
        <v/>
      </c>
      <c r="Q237" s="422" t="str">
        <f>IFERROR(IF(P237="Check Data ⚠","Check Data ⚠",VLOOKUP(P237,'G-4 Temporal multipliers'!$A$4:$C$37,3,FALSE)),"")</f>
        <v/>
      </c>
      <c r="R237" s="362" t="str">
        <f>IF(C237="","",VLOOKUP(C237,'G-7 WaterC'' Data'!$B$4:$G$8,4,FALSE))</f>
        <v/>
      </c>
      <c r="S237" s="370" t="str">
        <f t="shared" si="17"/>
        <v/>
      </c>
      <c r="T237" s="401" t="str">
        <f t="shared" si="18"/>
        <v/>
      </c>
      <c r="U237" s="363" t="str">
        <f>IF(C237="","",VLOOKUP(T237,'G-3 Multipliers'!$P$2:$Q$6,2,FALSE))</f>
        <v/>
      </c>
      <c r="V237" s="115"/>
      <c r="W237" s="363" t="str">
        <f>IF(V237="","",IF(VLOOKUP(V237,'G-7 WaterC'' Data'!$AA$4:$AB$7,2,FALSE)=0,"Spatial Data Missing ⚠",VLOOKUP(V237,'G-7 WaterC'' Data'!$AA$4:$AB$7,2,FALSE)))</f>
        <v/>
      </c>
      <c r="X237" s="60"/>
      <c r="Y237" s="363" t="str">
        <f>IF(X237="","",IF(VLOOKUP(X237,'G-7 WaterC'' Data'!$AD$4:$AE$14,2,FALSE)=0,"Enrcoachment Data Missing ⚠",VLOOKUP(X237,'G-7 WaterC'' Data'!$AD$4:$AE$14,2,FALSE)))</f>
        <v/>
      </c>
      <c r="Z237" s="423" t="str">
        <f t="shared" si="19"/>
        <v/>
      </c>
      <c r="AA237" s="117"/>
      <c r="AB237" s="118"/>
      <c r="AC237" s="120"/>
      <c r="AH237" s="30" t="str">
        <f>IFERROR(INDEX('G-7 WaterC'' Data'!$AZ$3:$AZ$7,MATCH(C237,'G-7 WaterC'' Data'!$AY$3:$AY$7,0)),"")</f>
        <v/>
      </c>
    </row>
    <row r="238" spans="2:34" ht="15">
      <c r="B238" s="110">
        <v>227</v>
      </c>
      <c r="C238" s="138"/>
      <c r="D238" s="139"/>
      <c r="E238" s="362" t="str">
        <f>IF(C238="","",VLOOKUP(C238,'G-7 WaterC'' Data'!$B$2:$G$8,2,FALSE))</f>
        <v/>
      </c>
      <c r="F238" s="363" t="str">
        <f>IFERROR(VLOOKUP(E238,'G-7 WaterC'' Data'!$C$4:$D$8,2,FALSE),"")</f>
        <v/>
      </c>
      <c r="G238" s="114"/>
      <c r="H238" s="363" t="str">
        <f>IFERROR(INDEX('G-7 WaterC'' Data'!$H$4:$L$8,MATCH(C238,'G-7 WaterC'' Data'!$B$4:$B$8,0),MATCH(G238,'G-7 WaterC'' Data'!$H$3:$L$3,0)),"")</f>
        <v/>
      </c>
      <c r="I238" s="54"/>
      <c r="J238" s="370" t="str">
        <f>IF(I238="","",IF(VLOOKUP(I238,'G-7 WaterC'' Data'!$AK$4:$AM$6,2,FALSE)=0,"Spatial Data Missing ⚠",VLOOKUP(I238,'G-7 WaterC'' Data'!$AK$4:$AM$6,2,FALSE)))</f>
        <v/>
      </c>
      <c r="K238" s="363" t="str">
        <f>IF(I238="","",IF(VLOOKUP(I238,'G-7 WaterC'' Data'!$AK$4:$AM$6,3,FALSE)=0,"Spatial Data Missing ⚠",VLOOKUP(I238,'G-7 WaterC'' Data'!$AK$4:$AM$6,3,FALSE)))</f>
        <v/>
      </c>
      <c r="L238" s="362" t="str">
        <f>IFERROR(INDEX('G-7 WaterC'' Data'!$O$3:$O$7,MATCH(G238,'G-7 WaterC'' Data'!$N$3:$N$7,0)),"")</f>
        <v/>
      </c>
      <c r="M238" s="63"/>
      <c r="N238" s="159"/>
      <c r="O238" s="370" t="str">
        <f t="shared" si="15"/>
        <v/>
      </c>
      <c r="P238" s="383" t="str">
        <f t="shared" si="16"/>
        <v/>
      </c>
      <c r="Q238" s="422" t="str">
        <f>IFERROR(IF(P238="Check Data ⚠","Check Data ⚠",VLOOKUP(P238,'G-4 Temporal multipliers'!$A$4:$C$37,3,FALSE)),"")</f>
        <v/>
      </c>
      <c r="R238" s="362" t="str">
        <f>IF(C238="","",VLOOKUP(C238,'G-7 WaterC'' Data'!$B$4:$G$8,4,FALSE))</f>
        <v/>
      </c>
      <c r="S238" s="370" t="str">
        <f t="shared" si="17"/>
        <v/>
      </c>
      <c r="T238" s="401" t="str">
        <f t="shared" si="18"/>
        <v/>
      </c>
      <c r="U238" s="363" t="str">
        <f>IF(C238="","",VLOOKUP(T238,'G-3 Multipliers'!$P$2:$Q$6,2,FALSE))</f>
        <v/>
      </c>
      <c r="V238" s="115"/>
      <c r="W238" s="363" t="str">
        <f>IF(V238="","",IF(VLOOKUP(V238,'G-7 WaterC'' Data'!$AA$4:$AB$7,2,FALSE)=0,"Spatial Data Missing ⚠",VLOOKUP(V238,'G-7 WaterC'' Data'!$AA$4:$AB$7,2,FALSE)))</f>
        <v/>
      </c>
      <c r="X238" s="60"/>
      <c r="Y238" s="363" t="str">
        <f>IF(X238="","",IF(VLOOKUP(X238,'G-7 WaterC'' Data'!$AD$4:$AE$14,2,FALSE)=0,"Enrcoachment Data Missing ⚠",VLOOKUP(X238,'G-7 WaterC'' Data'!$AD$4:$AE$14,2,FALSE)))</f>
        <v/>
      </c>
      <c r="Z238" s="423" t="str">
        <f t="shared" si="19"/>
        <v/>
      </c>
      <c r="AA238" s="117"/>
      <c r="AB238" s="118"/>
      <c r="AC238" s="120"/>
      <c r="AH238" s="30" t="str">
        <f>IFERROR(INDEX('G-7 WaterC'' Data'!$AZ$3:$AZ$7,MATCH(C238,'G-7 WaterC'' Data'!$AY$3:$AY$7,0)),"")</f>
        <v/>
      </c>
    </row>
    <row r="239" spans="2:34" ht="15">
      <c r="B239" s="110">
        <v>228</v>
      </c>
      <c r="C239" s="138"/>
      <c r="D239" s="139"/>
      <c r="E239" s="362" t="str">
        <f>IF(C239="","",VLOOKUP(C239,'G-7 WaterC'' Data'!$B$2:$G$8,2,FALSE))</f>
        <v/>
      </c>
      <c r="F239" s="363" t="str">
        <f>IFERROR(VLOOKUP(E239,'G-7 WaterC'' Data'!$C$4:$D$8,2,FALSE),"")</f>
        <v/>
      </c>
      <c r="G239" s="114"/>
      <c r="H239" s="363" t="str">
        <f>IFERROR(INDEX('G-7 WaterC'' Data'!$H$4:$L$8,MATCH(C239,'G-7 WaterC'' Data'!$B$4:$B$8,0),MATCH(G239,'G-7 WaterC'' Data'!$H$3:$L$3,0)),"")</f>
        <v/>
      </c>
      <c r="I239" s="54"/>
      <c r="J239" s="370" t="str">
        <f>IF(I239="","",IF(VLOOKUP(I239,'G-7 WaterC'' Data'!$AK$4:$AM$6,2,FALSE)=0,"Spatial Data Missing ⚠",VLOOKUP(I239,'G-7 WaterC'' Data'!$AK$4:$AM$6,2,FALSE)))</f>
        <v/>
      </c>
      <c r="K239" s="363" t="str">
        <f>IF(I239="","",IF(VLOOKUP(I239,'G-7 WaterC'' Data'!$AK$4:$AM$6,3,FALSE)=0,"Spatial Data Missing ⚠",VLOOKUP(I239,'G-7 WaterC'' Data'!$AK$4:$AM$6,3,FALSE)))</f>
        <v/>
      </c>
      <c r="L239" s="362" t="str">
        <f>IFERROR(INDEX('G-7 WaterC'' Data'!$O$3:$O$7,MATCH(G239,'G-7 WaterC'' Data'!$N$3:$N$7,0)),"")</f>
        <v/>
      </c>
      <c r="M239" s="63"/>
      <c r="N239" s="159"/>
      <c r="O239" s="370" t="str">
        <f t="shared" si="15"/>
        <v/>
      </c>
      <c r="P239" s="383" t="str">
        <f t="shared" si="16"/>
        <v/>
      </c>
      <c r="Q239" s="422" t="str">
        <f>IFERROR(IF(P239="Check Data ⚠","Check Data ⚠",VLOOKUP(P239,'G-4 Temporal multipliers'!$A$4:$C$37,3,FALSE)),"")</f>
        <v/>
      </c>
      <c r="R239" s="362" t="str">
        <f>IF(C239="","",VLOOKUP(C239,'G-7 WaterC'' Data'!$B$4:$G$8,4,FALSE))</f>
        <v/>
      </c>
      <c r="S239" s="370" t="str">
        <f t="shared" si="17"/>
        <v/>
      </c>
      <c r="T239" s="401" t="str">
        <f t="shared" si="18"/>
        <v/>
      </c>
      <c r="U239" s="363" t="str">
        <f>IF(C239="","",VLOOKUP(T239,'G-3 Multipliers'!$P$2:$Q$6,2,FALSE))</f>
        <v/>
      </c>
      <c r="V239" s="115"/>
      <c r="W239" s="363" t="str">
        <f>IF(V239="","",IF(VLOOKUP(V239,'G-7 WaterC'' Data'!$AA$4:$AB$7,2,FALSE)=0,"Spatial Data Missing ⚠",VLOOKUP(V239,'G-7 WaterC'' Data'!$AA$4:$AB$7,2,FALSE)))</f>
        <v/>
      </c>
      <c r="X239" s="60"/>
      <c r="Y239" s="363" t="str">
        <f>IF(X239="","",IF(VLOOKUP(X239,'G-7 WaterC'' Data'!$AD$4:$AE$14,2,FALSE)=0,"Enrcoachment Data Missing ⚠",VLOOKUP(X239,'G-7 WaterC'' Data'!$AD$4:$AE$14,2,FALSE)))</f>
        <v/>
      </c>
      <c r="Z239" s="423" t="str">
        <f t="shared" si="19"/>
        <v/>
      </c>
      <c r="AA239" s="117"/>
      <c r="AB239" s="118"/>
      <c r="AC239" s="120"/>
      <c r="AH239" s="30" t="str">
        <f>IFERROR(INDEX('G-7 WaterC'' Data'!$AZ$3:$AZ$7,MATCH(C239,'G-7 WaterC'' Data'!$AY$3:$AY$7,0)),"")</f>
        <v/>
      </c>
    </row>
    <row r="240" spans="2:34" ht="15">
      <c r="B240" s="110">
        <v>229</v>
      </c>
      <c r="C240" s="138"/>
      <c r="D240" s="139"/>
      <c r="E240" s="362" t="str">
        <f>IF(C240="","",VLOOKUP(C240,'G-7 WaterC'' Data'!$B$2:$G$8,2,FALSE))</f>
        <v/>
      </c>
      <c r="F240" s="363" t="str">
        <f>IFERROR(VLOOKUP(E240,'G-7 WaterC'' Data'!$C$4:$D$8,2,FALSE),"")</f>
        <v/>
      </c>
      <c r="G240" s="114"/>
      <c r="H240" s="363" t="str">
        <f>IFERROR(INDEX('G-7 WaterC'' Data'!$H$4:$L$8,MATCH(C240,'G-7 WaterC'' Data'!$B$4:$B$8,0),MATCH(G240,'G-7 WaterC'' Data'!$H$3:$L$3,0)),"")</f>
        <v/>
      </c>
      <c r="I240" s="54"/>
      <c r="J240" s="370" t="str">
        <f>IF(I240="","",IF(VLOOKUP(I240,'G-7 WaterC'' Data'!$AK$4:$AM$6,2,FALSE)=0,"Spatial Data Missing ⚠",VLOOKUP(I240,'G-7 WaterC'' Data'!$AK$4:$AM$6,2,FALSE)))</f>
        <v/>
      </c>
      <c r="K240" s="363" t="str">
        <f>IF(I240="","",IF(VLOOKUP(I240,'G-7 WaterC'' Data'!$AK$4:$AM$6,3,FALSE)=0,"Spatial Data Missing ⚠",VLOOKUP(I240,'G-7 WaterC'' Data'!$AK$4:$AM$6,3,FALSE)))</f>
        <v/>
      </c>
      <c r="L240" s="362" t="str">
        <f>IFERROR(INDEX('G-7 WaterC'' Data'!$O$3:$O$7,MATCH(G240,'G-7 WaterC'' Data'!$N$3:$N$7,0)),"")</f>
        <v/>
      </c>
      <c r="M240" s="63"/>
      <c r="N240" s="159"/>
      <c r="O240" s="370" t="str">
        <f t="shared" si="15"/>
        <v/>
      </c>
      <c r="P240" s="383" t="str">
        <f t="shared" si="16"/>
        <v/>
      </c>
      <c r="Q240" s="422" t="str">
        <f>IFERROR(IF(P240="Check Data ⚠","Check Data ⚠",VLOOKUP(P240,'G-4 Temporal multipliers'!$A$4:$C$37,3,FALSE)),"")</f>
        <v/>
      </c>
      <c r="R240" s="362" t="str">
        <f>IF(C240="","",VLOOKUP(C240,'G-7 WaterC'' Data'!$B$4:$G$8,4,FALSE))</f>
        <v/>
      </c>
      <c r="S240" s="370" t="str">
        <f t="shared" si="17"/>
        <v/>
      </c>
      <c r="T240" s="401" t="str">
        <f t="shared" si="18"/>
        <v/>
      </c>
      <c r="U240" s="363" t="str">
        <f>IF(C240="","",VLOOKUP(T240,'G-3 Multipliers'!$P$2:$Q$6,2,FALSE))</f>
        <v/>
      </c>
      <c r="V240" s="115"/>
      <c r="W240" s="363" t="str">
        <f>IF(V240="","",IF(VLOOKUP(V240,'G-7 WaterC'' Data'!$AA$4:$AB$7,2,FALSE)=0,"Spatial Data Missing ⚠",VLOOKUP(V240,'G-7 WaterC'' Data'!$AA$4:$AB$7,2,FALSE)))</f>
        <v/>
      </c>
      <c r="X240" s="60"/>
      <c r="Y240" s="363" t="str">
        <f>IF(X240="","",IF(VLOOKUP(X240,'G-7 WaterC'' Data'!$AD$4:$AE$14,2,FALSE)=0,"Enrcoachment Data Missing ⚠",VLOOKUP(X240,'G-7 WaterC'' Data'!$AD$4:$AE$14,2,FALSE)))</f>
        <v/>
      </c>
      <c r="Z240" s="423" t="str">
        <f t="shared" si="19"/>
        <v/>
      </c>
      <c r="AA240" s="117"/>
      <c r="AB240" s="118"/>
      <c r="AC240" s="120"/>
      <c r="AH240" s="30" t="str">
        <f>IFERROR(INDEX('G-7 WaterC'' Data'!$AZ$3:$AZ$7,MATCH(C240,'G-7 WaterC'' Data'!$AY$3:$AY$7,0)),"")</f>
        <v/>
      </c>
    </row>
    <row r="241" spans="2:34" ht="15">
      <c r="B241" s="110">
        <v>230</v>
      </c>
      <c r="C241" s="138"/>
      <c r="D241" s="139"/>
      <c r="E241" s="362" t="str">
        <f>IF(C241="","",VLOOKUP(C241,'G-7 WaterC'' Data'!$B$2:$G$8,2,FALSE))</f>
        <v/>
      </c>
      <c r="F241" s="363" t="str">
        <f>IFERROR(VLOOKUP(E241,'G-7 WaterC'' Data'!$C$4:$D$8,2,FALSE),"")</f>
        <v/>
      </c>
      <c r="G241" s="114"/>
      <c r="H241" s="363" t="str">
        <f>IFERROR(INDEX('G-7 WaterC'' Data'!$H$4:$L$8,MATCH(C241,'G-7 WaterC'' Data'!$B$4:$B$8,0),MATCH(G241,'G-7 WaterC'' Data'!$H$3:$L$3,0)),"")</f>
        <v/>
      </c>
      <c r="I241" s="54"/>
      <c r="J241" s="370" t="str">
        <f>IF(I241="","",IF(VLOOKUP(I241,'G-7 WaterC'' Data'!$AK$4:$AM$6,2,FALSE)=0,"Spatial Data Missing ⚠",VLOOKUP(I241,'G-7 WaterC'' Data'!$AK$4:$AM$6,2,FALSE)))</f>
        <v/>
      </c>
      <c r="K241" s="363" t="str">
        <f>IF(I241="","",IF(VLOOKUP(I241,'G-7 WaterC'' Data'!$AK$4:$AM$6,3,FALSE)=0,"Spatial Data Missing ⚠",VLOOKUP(I241,'G-7 WaterC'' Data'!$AK$4:$AM$6,3,FALSE)))</f>
        <v/>
      </c>
      <c r="L241" s="362" t="str">
        <f>IFERROR(INDEX('G-7 WaterC'' Data'!$O$3:$O$7,MATCH(G241,'G-7 WaterC'' Data'!$N$3:$N$7,0)),"")</f>
        <v/>
      </c>
      <c r="M241" s="63"/>
      <c r="N241" s="159"/>
      <c r="O241" s="370" t="str">
        <f t="shared" si="15"/>
        <v/>
      </c>
      <c r="P241" s="383" t="str">
        <f t="shared" si="16"/>
        <v/>
      </c>
      <c r="Q241" s="422" t="str">
        <f>IFERROR(IF(P241="Check Data ⚠","Check Data ⚠",VLOOKUP(P241,'G-4 Temporal multipliers'!$A$4:$C$37,3,FALSE)),"")</f>
        <v/>
      </c>
      <c r="R241" s="362" t="str">
        <f>IF(C241="","",VLOOKUP(C241,'G-7 WaterC'' Data'!$B$4:$G$8,4,FALSE))</f>
        <v/>
      </c>
      <c r="S241" s="370" t="str">
        <f t="shared" si="17"/>
        <v/>
      </c>
      <c r="T241" s="401" t="str">
        <f t="shared" si="18"/>
        <v/>
      </c>
      <c r="U241" s="363" t="str">
        <f>IF(C241="","",VLOOKUP(T241,'G-3 Multipliers'!$P$2:$Q$6,2,FALSE))</f>
        <v/>
      </c>
      <c r="V241" s="115"/>
      <c r="W241" s="363" t="str">
        <f>IF(V241="","",IF(VLOOKUP(V241,'G-7 WaterC'' Data'!$AA$4:$AB$7,2,FALSE)=0,"Spatial Data Missing ⚠",VLOOKUP(V241,'G-7 WaterC'' Data'!$AA$4:$AB$7,2,FALSE)))</f>
        <v/>
      </c>
      <c r="X241" s="60"/>
      <c r="Y241" s="363" t="str">
        <f>IF(X241="","",IF(VLOOKUP(X241,'G-7 WaterC'' Data'!$AD$4:$AE$14,2,FALSE)=0,"Enrcoachment Data Missing ⚠",VLOOKUP(X241,'G-7 WaterC'' Data'!$AD$4:$AE$14,2,FALSE)))</f>
        <v/>
      </c>
      <c r="Z241" s="423" t="str">
        <f t="shared" si="19"/>
        <v/>
      </c>
      <c r="AA241" s="117"/>
      <c r="AB241" s="118"/>
      <c r="AC241" s="120"/>
      <c r="AH241" s="30" t="str">
        <f>IFERROR(INDEX('G-7 WaterC'' Data'!$AZ$3:$AZ$7,MATCH(C241,'G-7 WaterC'' Data'!$AY$3:$AY$7,0)),"")</f>
        <v/>
      </c>
    </row>
    <row r="242" spans="2:34" ht="15">
      <c r="B242" s="110">
        <v>231</v>
      </c>
      <c r="C242" s="138"/>
      <c r="D242" s="139"/>
      <c r="E242" s="362" t="str">
        <f>IF(C242="","",VLOOKUP(C242,'G-7 WaterC'' Data'!$B$2:$G$8,2,FALSE))</f>
        <v/>
      </c>
      <c r="F242" s="363" t="str">
        <f>IFERROR(VLOOKUP(E242,'G-7 WaterC'' Data'!$C$4:$D$8,2,FALSE),"")</f>
        <v/>
      </c>
      <c r="G242" s="114"/>
      <c r="H242" s="363" t="str">
        <f>IFERROR(INDEX('G-7 WaterC'' Data'!$H$4:$L$8,MATCH(C242,'G-7 WaterC'' Data'!$B$4:$B$8,0),MATCH(G242,'G-7 WaterC'' Data'!$H$3:$L$3,0)),"")</f>
        <v/>
      </c>
      <c r="I242" s="54"/>
      <c r="J242" s="370" t="str">
        <f>IF(I242="","",IF(VLOOKUP(I242,'G-7 WaterC'' Data'!$AK$4:$AM$6,2,FALSE)=0,"Spatial Data Missing ⚠",VLOOKUP(I242,'G-7 WaterC'' Data'!$AK$4:$AM$6,2,FALSE)))</f>
        <v/>
      </c>
      <c r="K242" s="363" t="str">
        <f>IF(I242="","",IF(VLOOKUP(I242,'G-7 WaterC'' Data'!$AK$4:$AM$6,3,FALSE)=0,"Spatial Data Missing ⚠",VLOOKUP(I242,'G-7 WaterC'' Data'!$AK$4:$AM$6,3,FALSE)))</f>
        <v/>
      </c>
      <c r="L242" s="362" t="str">
        <f>IFERROR(INDEX('G-7 WaterC'' Data'!$O$3:$O$7,MATCH(G242,'G-7 WaterC'' Data'!$N$3:$N$7,0)),"")</f>
        <v/>
      </c>
      <c r="M242" s="63"/>
      <c r="N242" s="159"/>
      <c r="O242" s="370" t="str">
        <f t="shared" si="15"/>
        <v/>
      </c>
      <c r="P242" s="383" t="str">
        <f t="shared" si="16"/>
        <v/>
      </c>
      <c r="Q242" s="422" t="str">
        <f>IFERROR(IF(P242="Check Data ⚠","Check Data ⚠",VLOOKUP(P242,'G-4 Temporal multipliers'!$A$4:$C$37,3,FALSE)),"")</f>
        <v/>
      </c>
      <c r="R242" s="362" t="str">
        <f>IF(C242="","",VLOOKUP(C242,'G-7 WaterC'' Data'!$B$4:$G$8,4,FALSE))</f>
        <v/>
      </c>
      <c r="S242" s="370" t="str">
        <f t="shared" si="17"/>
        <v/>
      </c>
      <c r="T242" s="401" t="str">
        <f t="shared" si="18"/>
        <v/>
      </c>
      <c r="U242" s="363" t="str">
        <f>IF(C242="","",VLOOKUP(T242,'G-3 Multipliers'!$P$2:$Q$6,2,FALSE))</f>
        <v/>
      </c>
      <c r="V242" s="115"/>
      <c r="W242" s="363" t="str">
        <f>IF(V242="","",IF(VLOOKUP(V242,'G-7 WaterC'' Data'!$AA$4:$AB$7,2,FALSE)=0,"Spatial Data Missing ⚠",VLOOKUP(V242,'G-7 WaterC'' Data'!$AA$4:$AB$7,2,FALSE)))</f>
        <v/>
      </c>
      <c r="X242" s="60"/>
      <c r="Y242" s="363" t="str">
        <f>IF(X242="","",IF(VLOOKUP(X242,'G-7 WaterC'' Data'!$AD$4:$AE$14,2,FALSE)=0,"Enrcoachment Data Missing ⚠",VLOOKUP(X242,'G-7 WaterC'' Data'!$AD$4:$AE$14,2,FALSE)))</f>
        <v/>
      </c>
      <c r="Z242" s="423" t="str">
        <f t="shared" si="19"/>
        <v/>
      </c>
      <c r="AA242" s="117"/>
      <c r="AB242" s="118"/>
      <c r="AC242" s="120"/>
      <c r="AH242" s="30" t="str">
        <f>IFERROR(INDEX('G-7 WaterC'' Data'!$AZ$3:$AZ$7,MATCH(C242,'G-7 WaterC'' Data'!$AY$3:$AY$7,0)),"")</f>
        <v/>
      </c>
    </row>
    <row r="243" spans="2:34" ht="15">
      <c r="B243" s="110">
        <v>232</v>
      </c>
      <c r="C243" s="138"/>
      <c r="D243" s="139"/>
      <c r="E243" s="362" t="str">
        <f>IF(C243="","",VLOOKUP(C243,'G-7 WaterC'' Data'!$B$2:$G$8,2,FALSE))</f>
        <v/>
      </c>
      <c r="F243" s="363" t="str">
        <f>IFERROR(VLOOKUP(E243,'G-7 WaterC'' Data'!$C$4:$D$8,2,FALSE),"")</f>
        <v/>
      </c>
      <c r="G243" s="114"/>
      <c r="H243" s="363" t="str">
        <f>IFERROR(INDEX('G-7 WaterC'' Data'!$H$4:$L$8,MATCH(C243,'G-7 WaterC'' Data'!$B$4:$B$8,0),MATCH(G243,'G-7 WaterC'' Data'!$H$3:$L$3,0)),"")</f>
        <v/>
      </c>
      <c r="I243" s="54"/>
      <c r="J243" s="370" t="str">
        <f>IF(I243="","",IF(VLOOKUP(I243,'G-7 WaterC'' Data'!$AK$4:$AM$6,2,FALSE)=0,"Spatial Data Missing ⚠",VLOOKUP(I243,'G-7 WaterC'' Data'!$AK$4:$AM$6,2,FALSE)))</f>
        <v/>
      </c>
      <c r="K243" s="363" t="str">
        <f>IF(I243="","",IF(VLOOKUP(I243,'G-7 WaterC'' Data'!$AK$4:$AM$6,3,FALSE)=0,"Spatial Data Missing ⚠",VLOOKUP(I243,'G-7 WaterC'' Data'!$AK$4:$AM$6,3,FALSE)))</f>
        <v/>
      </c>
      <c r="L243" s="362" t="str">
        <f>IFERROR(INDEX('G-7 WaterC'' Data'!$O$3:$O$7,MATCH(G243,'G-7 WaterC'' Data'!$N$3:$N$7,0)),"")</f>
        <v/>
      </c>
      <c r="M243" s="63"/>
      <c r="N243" s="159"/>
      <c r="O243" s="370" t="str">
        <f t="shared" si="15"/>
        <v/>
      </c>
      <c r="P243" s="383" t="str">
        <f t="shared" si="16"/>
        <v/>
      </c>
      <c r="Q243" s="422" t="str">
        <f>IFERROR(IF(P243="Check Data ⚠","Check Data ⚠",VLOOKUP(P243,'G-4 Temporal multipliers'!$A$4:$C$37,3,FALSE)),"")</f>
        <v/>
      </c>
      <c r="R243" s="362" t="str">
        <f>IF(C243="","",VLOOKUP(C243,'G-7 WaterC'' Data'!$B$4:$G$8,4,FALSE))</f>
        <v/>
      </c>
      <c r="S243" s="370" t="str">
        <f t="shared" si="17"/>
        <v/>
      </c>
      <c r="T243" s="401" t="str">
        <f t="shared" si="18"/>
        <v/>
      </c>
      <c r="U243" s="363" t="str">
        <f>IF(C243="","",VLOOKUP(T243,'G-3 Multipliers'!$P$2:$Q$6,2,FALSE))</f>
        <v/>
      </c>
      <c r="V243" s="115"/>
      <c r="W243" s="363" t="str">
        <f>IF(V243="","",IF(VLOOKUP(V243,'G-7 WaterC'' Data'!$AA$4:$AB$7,2,FALSE)=0,"Spatial Data Missing ⚠",VLOOKUP(V243,'G-7 WaterC'' Data'!$AA$4:$AB$7,2,FALSE)))</f>
        <v/>
      </c>
      <c r="X243" s="60"/>
      <c r="Y243" s="363" t="str">
        <f>IF(X243="","",IF(VLOOKUP(X243,'G-7 WaterC'' Data'!$AD$4:$AE$14,2,FALSE)=0,"Enrcoachment Data Missing ⚠",VLOOKUP(X243,'G-7 WaterC'' Data'!$AD$4:$AE$14,2,FALSE)))</f>
        <v/>
      </c>
      <c r="Z243" s="423" t="str">
        <f t="shared" si="19"/>
        <v/>
      </c>
      <c r="AA243" s="117"/>
      <c r="AB243" s="118"/>
      <c r="AC243" s="120"/>
      <c r="AH243" s="30" t="str">
        <f>IFERROR(INDEX('G-7 WaterC'' Data'!$AZ$3:$AZ$7,MATCH(C243,'G-7 WaterC'' Data'!$AY$3:$AY$7,0)),"")</f>
        <v/>
      </c>
    </row>
    <row r="244" spans="2:34" ht="15">
      <c r="B244" s="110">
        <v>233</v>
      </c>
      <c r="C244" s="138"/>
      <c r="D244" s="139"/>
      <c r="E244" s="362" t="str">
        <f>IF(C244="","",VLOOKUP(C244,'G-7 WaterC'' Data'!$B$2:$G$8,2,FALSE))</f>
        <v/>
      </c>
      <c r="F244" s="363" t="str">
        <f>IFERROR(VLOOKUP(E244,'G-7 WaterC'' Data'!$C$4:$D$8,2,FALSE),"")</f>
        <v/>
      </c>
      <c r="G244" s="114"/>
      <c r="H244" s="363" t="str">
        <f>IFERROR(INDEX('G-7 WaterC'' Data'!$H$4:$L$8,MATCH(C244,'G-7 WaterC'' Data'!$B$4:$B$8,0),MATCH(G244,'G-7 WaterC'' Data'!$H$3:$L$3,0)),"")</f>
        <v/>
      </c>
      <c r="I244" s="54"/>
      <c r="J244" s="370" t="str">
        <f>IF(I244="","",IF(VLOOKUP(I244,'G-7 WaterC'' Data'!$AK$4:$AM$6,2,FALSE)=0,"Spatial Data Missing ⚠",VLOOKUP(I244,'G-7 WaterC'' Data'!$AK$4:$AM$6,2,FALSE)))</f>
        <v/>
      </c>
      <c r="K244" s="363" t="str">
        <f>IF(I244="","",IF(VLOOKUP(I244,'G-7 WaterC'' Data'!$AK$4:$AM$6,3,FALSE)=0,"Spatial Data Missing ⚠",VLOOKUP(I244,'G-7 WaterC'' Data'!$AK$4:$AM$6,3,FALSE)))</f>
        <v/>
      </c>
      <c r="L244" s="362" t="str">
        <f>IFERROR(INDEX('G-7 WaterC'' Data'!$O$3:$O$7,MATCH(G244,'G-7 WaterC'' Data'!$N$3:$N$7,0)),"")</f>
        <v/>
      </c>
      <c r="M244" s="63"/>
      <c r="N244" s="159"/>
      <c r="O244" s="370" t="str">
        <f t="shared" si="15"/>
        <v/>
      </c>
      <c r="P244" s="383" t="str">
        <f t="shared" si="16"/>
        <v/>
      </c>
      <c r="Q244" s="422" t="str">
        <f>IFERROR(IF(P244="Check Data ⚠","Check Data ⚠",VLOOKUP(P244,'G-4 Temporal multipliers'!$A$4:$C$37,3,FALSE)),"")</f>
        <v/>
      </c>
      <c r="R244" s="362" t="str">
        <f>IF(C244="","",VLOOKUP(C244,'G-7 WaterC'' Data'!$B$4:$G$8,4,FALSE))</f>
        <v/>
      </c>
      <c r="S244" s="370" t="str">
        <f t="shared" si="17"/>
        <v/>
      </c>
      <c r="T244" s="401" t="str">
        <f t="shared" si="18"/>
        <v/>
      </c>
      <c r="U244" s="363" t="str">
        <f>IF(C244="","",VLOOKUP(T244,'G-3 Multipliers'!$P$2:$Q$6,2,FALSE))</f>
        <v/>
      </c>
      <c r="V244" s="115"/>
      <c r="W244" s="363" t="str">
        <f>IF(V244="","",IF(VLOOKUP(V244,'G-7 WaterC'' Data'!$AA$4:$AB$7,2,FALSE)=0,"Spatial Data Missing ⚠",VLOOKUP(V244,'G-7 WaterC'' Data'!$AA$4:$AB$7,2,FALSE)))</f>
        <v/>
      </c>
      <c r="X244" s="60"/>
      <c r="Y244" s="363" t="str">
        <f>IF(X244="","",IF(VLOOKUP(X244,'G-7 WaterC'' Data'!$AD$4:$AE$14,2,FALSE)=0,"Enrcoachment Data Missing ⚠",VLOOKUP(X244,'G-7 WaterC'' Data'!$AD$4:$AE$14,2,FALSE)))</f>
        <v/>
      </c>
      <c r="Z244" s="423" t="str">
        <f t="shared" si="19"/>
        <v/>
      </c>
      <c r="AA244" s="117"/>
      <c r="AB244" s="118"/>
      <c r="AC244" s="120"/>
      <c r="AH244" s="30" t="str">
        <f>IFERROR(INDEX('G-7 WaterC'' Data'!$AZ$3:$AZ$7,MATCH(C244,'G-7 WaterC'' Data'!$AY$3:$AY$7,0)),"")</f>
        <v/>
      </c>
    </row>
    <row r="245" spans="2:34" ht="15">
      <c r="B245" s="110">
        <v>234</v>
      </c>
      <c r="C245" s="138"/>
      <c r="D245" s="139"/>
      <c r="E245" s="362" t="str">
        <f>IF(C245="","",VLOOKUP(C245,'G-7 WaterC'' Data'!$B$2:$G$8,2,FALSE))</f>
        <v/>
      </c>
      <c r="F245" s="363" t="str">
        <f>IFERROR(VLOOKUP(E245,'G-7 WaterC'' Data'!$C$4:$D$8,2,FALSE),"")</f>
        <v/>
      </c>
      <c r="G245" s="114"/>
      <c r="H245" s="363" t="str">
        <f>IFERROR(INDEX('G-7 WaterC'' Data'!$H$4:$L$8,MATCH(C245,'G-7 WaterC'' Data'!$B$4:$B$8,0),MATCH(G245,'G-7 WaterC'' Data'!$H$3:$L$3,0)),"")</f>
        <v/>
      </c>
      <c r="I245" s="54"/>
      <c r="J245" s="370" t="str">
        <f>IF(I245="","",IF(VLOOKUP(I245,'G-7 WaterC'' Data'!$AK$4:$AM$6,2,FALSE)=0,"Spatial Data Missing ⚠",VLOOKUP(I245,'G-7 WaterC'' Data'!$AK$4:$AM$6,2,FALSE)))</f>
        <v/>
      </c>
      <c r="K245" s="363" t="str">
        <f>IF(I245="","",IF(VLOOKUP(I245,'G-7 WaterC'' Data'!$AK$4:$AM$6,3,FALSE)=0,"Spatial Data Missing ⚠",VLOOKUP(I245,'G-7 WaterC'' Data'!$AK$4:$AM$6,3,FALSE)))</f>
        <v/>
      </c>
      <c r="L245" s="362" t="str">
        <f>IFERROR(INDEX('G-7 WaterC'' Data'!$O$3:$O$7,MATCH(G245,'G-7 WaterC'' Data'!$N$3:$N$7,0)),"")</f>
        <v/>
      </c>
      <c r="M245" s="63"/>
      <c r="N245" s="159"/>
      <c r="O245" s="370" t="str">
        <f t="shared" si="15"/>
        <v/>
      </c>
      <c r="P245" s="383" t="str">
        <f t="shared" si="16"/>
        <v/>
      </c>
      <c r="Q245" s="422" t="str">
        <f>IFERROR(IF(P245="Check Data ⚠","Check Data ⚠",VLOOKUP(P245,'G-4 Temporal multipliers'!$A$4:$C$37,3,FALSE)),"")</f>
        <v/>
      </c>
      <c r="R245" s="362" t="str">
        <f>IF(C245="","",VLOOKUP(C245,'G-7 WaterC'' Data'!$B$4:$G$8,4,FALSE))</f>
        <v/>
      </c>
      <c r="S245" s="370" t="str">
        <f t="shared" si="17"/>
        <v/>
      </c>
      <c r="T245" s="401" t="str">
        <f t="shared" si="18"/>
        <v/>
      </c>
      <c r="U245" s="363" t="str">
        <f>IF(C245="","",VLOOKUP(T245,'G-3 Multipliers'!$P$2:$Q$6,2,FALSE))</f>
        <v/>
      </c>
      <c r="V245" s="115"/>
      <c r="W245" s="363" t="str">
        <f>IF(V245="","",IF(VLOOKUP(V245,'G-7 WaterC'' Data'!$AA$4:$AB$7,2,FALSE)=0,"Spatial Data Missing ⚠",VLOOKUP(V245,'G-7 WaterC'' Data'!$AA$4:$AB$7,2,FALSE)))</f>
        <v/>
      </c>
      <c r="X245" s="60"/>
      <c r="Y245" s="363" t="str">
        <f>IF(X245="","",IF(VLOOKUP(X245,'G-7 WaterC'' Data'!$AD$4:$AE$14,2,FALSE)=0,"Enrcoachment Data Missing ⚠",VLOOKUP(X245,'G-7 WaterC'' Data'!$AD$4:$AE$14,2,FALSE)))</f>
        <v/>
      </c>
      <c r="Z245" s="423" t="str">
        <f t="shared" si="19"/>
        <v/>
      </c>
      <c r="AA245" s="117"/>
      <c r="AB245" s="118"/>
      <c r="AC245" s="120"/>
      <c r="AH245" s="30" t="str">
        <f>IFERROR(INDEX('G-7 WaterC'' Data'!$AZ$3:$AZ$7,MATCH(C245,'G-7 WaterC'' Data'!$AY$3:$AY$7,0)),"")</f>
        <v/>
      </c>
    </row>
    <row r="246" spans="2:34" ht="15">
      <c r="B246" s="110">
        <v>235</v>
      </c>
      <c r="C246" s="138"/>
      <c r="D246" s="139"/>
      <c r="E246" s="362" t="str">
        <f>IF(C246="","",VLOOKUP(C246,'G-7 WaterC'' Data'!$B$2:$G$8,2,FALSE))</f>
        <v/>
      </c>
      <c r="F246" s="363" t="str">
        <f>IFERROR(VLOOKUP(E246,'G-7 WaterC'' Data'!$C$4:$D$8,2,FALSE),"")</f>
        <v/>
      </c>
      <c r="G246" s="114"/>
      <c r="H246" s="363" t="str">
        <f>IFERROR(INDEX('G-7 WaterC'' Data'!$H$4:$L$8,MATCH(C246,'G-7 WaterC'' Data'!$B$4:$B$8,0),MATCH(G246,'G-7 WaterC'' Data'!$H$3:$L$3,0)),"")</f>
        <v/>
      </c>
      <c r="I246" s="54"/>
      <c r="J246" s="370" t="str">
        <f>IF(I246="","",IF(VLOOKUP(I246,'G-7 WaterC'' Data'!$AK$4:$AM$6,2,FALSE)=0,"Spatial Data Missing ⚠",VLOOKUP(I246,'G-7 WaterC'' Data'!$AK$4:$AM$6,2,FALSE)))</f>
        <v/>
      </c>
      <c r="K246" s="363" t="str">
        <f>IF(I246="","",IF(VLOOKUP(I246,'G-7 WaterC'' Data'!$AK$4:$AM$6,3,FALSE)=0,"Spatial Data Missing ⚠",VLOOKUP(I246,'G-7 WaterC'' Data'!$AK$4:$AM$6,3,FALSE)))</f>
        <v/>
      </c>
      <c r="L246" s="362" t="str">
        <f>IFERROR(INDEX('G-7 WaterC'' Data'!$O$3:$O$7,MATCH(G246,'G-7 WaterC'' Data'!$N$3:$N$7,0)),"")</f>
        <v/>
      </c>
      <c r="M246" s="63"/>
      <c r="N246" s="159"/>
      <c r="O246" s="370" t="str">
        <f t="shared" si="15"/>
        <v/>
      </c>
      <c r="P246" s="383" t="str">
        <f t="shared" si="16"/>
        <v/>
      </c>
      <c r="Q246" s="422" t="str">
        <f>IFERROR(IF(P246="Check Data ⚠","Check Data ⚠",VLOOKUP(P246,'G-4 Temporal multipliers'!$A$4:$C$37,3,FALSE)),"")</f>
        <v/>
      </c>
      <c r="R246" s="362" t="str">
        <f>IF(C246="","",VLOOKUP(C246,'G-7 WaterC'' Data'!$B$4:$G$8,4,FALSE))</f>
        <v/>
      </c>
      <c r="S246" s="370" t="str">
        <f t="shared" si="17"/>
        <v/>
      </c>
      <c r="T246" s="401" t="str">
        <f t="shared" si="18"/>
        <v/>
      </c>
      <c r="U246" s="363" t="str">
        <f>IF(C246="","",VLOOKUP(T246,'G-3 Multipliers'!$P$2:$Q$6,2,FALSE))</f>
        <v/>
      </c>
      <c r="V246" s="115"/>
      <c r="W246" s="363" t="str">
        <f>IF(V246="","",IF(VLOOKUP(V246,'G-7 WaterC'' Data'!$AA$4:$AB$7,2,FALSE)=0,"Spatial Data Missing ⚠",VLOOKUP(V246,'G-7 WaterC'' Data'!$AA$4:$AB$7,2,FALSE)))</f>
        <v/>
      </c>
      <c r="X246" s="60"/>
      <c r="Y246" s="363" t="str">
        <f>IF(X246="","",IF(VLOOKUP(X246,'G-7 WaterC'' Data'!$AD$4:$AE$14,2,FALSE)=0,"Enrcoachment Data Missing ⚠",VLOOKUP(X246,'G-7 WaterC'' Data'!$AD$4:$AE$14,2,FALSE)))</f>
        <v/>
      </c>
      <c r="Z246" s="423" t="str">
        <f t="shared" si="19"/>
        <v/>
      </c>
      <c r="AA246" s="117"/>
      <c r="AB246" s="118"/>
      <c r="AC246" s="120"/>
      <c r="AH246" s="30" t="str">
        <f>IFERROR(INDEX('G-7 WaterC'' Data'!$AZ$3:$AZ$7,MATCH(C246,'G-7 WaterC'' Data'!$AY$3:$AY$7,0)),"")</f>
        <v/>
      </c>
    </row>
    <row r="247" spans="2:34" ht="15">
      <c r="B247" s="110">
        <v>236</v>
      </c>
      <c r="C247" s="138"/>
      <c r="D247" s="139"/>
      <c r="E247" s="362" t="str">
        <f>IF(C247="","",VLOOKUP(C247,'G-7 WaterC'' Data'!$B$2:$G$8,2,FALSE))</f>
        <v/>
      </c>
      <c r="F247" s="363" t="str">
        <f>IFERROR(VLOOKUP(E247,'G-7 WaterC'' Data'!$C$4:$D$8,2,FALSE),"")</f>
        <v/>
      </c>
      <c r="G247" s="114"/>
      <c r="H247" s="363" t="str">
        <f>IFERROR(INDEX('G-7 WaterC'' Data'!$H$4:$L$8,MATCH(C247,'G-7 WaterC'' Data'!$B$4:$B$8,0),MATCH(G247,'G-7 WaterC'' Data'!$H$3:$L$3,0)),"")</f>
        <v/>
      </c>
      <c r="I247" s="54"/>
      <c r="J247" s="370" t="str">
        <f>IF(I247="","",IF(VLOOKUP(I247,'G-7 WaterC'' Data'!$AK$4:$AM$6,2,FALSE)=0,"Spatial Data Missing ⚠",VLOOKUP(I247,'G-7 WaterC'' Data'!$AK$4:$AM$6,2,FALSE)))</f>
        <v/>
      </c>
      <c r="K247" s="363" t="str">
        <f>IF(I247="","",IF(VLOOKUP(I247,'G-7 WaterC'' Data'!$AK$4:$AM$6,3,FALSE)=0,"Spatial Data Missing ⚠",VLOOKUP(I247,'G-7 WaterC'' Data'!$AK$4:$AM$6,3,FALSE)))</f>
        <v/>
      </c>
      <c r="L247" s="362" t="str">
        <f>IFERROR(INDEX('G-7 WaterC'' Data'!$O$3:$O$7,MATCH(G247,'G-7 WaterC'' Data'!$N$3:$N$7,0)),"")</f>
        <v/>
      </c>
      <c r="M247" s="63"/>
      <c r="N247" s="159"/>
      <c r="O247" s="370" t="str">
        <f t="shared" si="15"/>
        <v/>
      </c>
      <c r="P247" s="383" t="str">
        <f t="shared" si="16"/>
        <v/>
      </c>
      <c r="Q247" s="422" t="str">
        <f>IFERROR(IF(P247="Check Data ⚠","Check Data ⚠",VLOOKUP(P247,'G-4 Temporal multipliers'!$A$4:$C$37,3,FALSE)),"")</f>
        <v/>
      </c>
      <c r="R247" s="362" t="str">
        <f>IF(C247="","",VLOOKUP(C247,'G-7 WaterC'' Data'!$B$4:$G$8,4,FALSE))</f>
        <v/>
      </c>
      <c r="S247" s="370" t="str">
        <f t="shared" si="17"/>
        <v/>
      </c>
      <c r="T247" s="401" t="str">
        <f t="shared" si="18"/>
        <v/>
      </c>
      <c r="U247" s="363" t="str">
        <f>IF(C247="","",VLOOKUP(T247,'G-3 Multipliers'!$P$2:$Q$6,2,FALSE))</f>
        <v/>
      </c>
      <c r="V247" s="115"/>
      <c r="W247" s="363" t="str">
        <f>IF(V247="","",IF(VLOOKUP(V247,'G-7 WaterC'' Data'!$AA$4:$AB$7,2,FALSE)=0,"Spatial Data Missing ⚠",VLOOKUP(V247,'G-7 WaterC'' Data'!$AA$4:$AB$7,2,FALSE)))</f>
        <v/>
      </c>
      <c r="X247" s="60"/>
      <c r="Y247" s="363" t="str">
        <f>IF(X247="","",IF(VLOOKUP(X247,'G-7 WaterC'' Data'!$AD$4:$AE$14,2,FALSE)=0,"Enrcoachment Data Missing ⚠",VLOOKUP(X247,'G-7 WaterC'' Data'!$AD$4:$AE$14,2,FALSE)))</f>
        <v/>
      </c>
      <c r="Z247" s="423" t="str">
        <f t="shared" si="19"/>
        <v/>
      </c>
      <c r="AA247" s="117"/>
      <c r="AB247" s="118"/>
      <c r="AC247" s="120"/>
      <c r="AH247" s="30" t="str">
        <f>IFERROR(INDEX('G-7 WaterC'' Data'!$AZ$3:$AZ$7,MATCH(C247,'G-7 WaterC'' Data'!$AY$3:$AY$7,0)),"")</f>
        <v/>
      </c>
    </row>
    <row r="248" spans="2:34" ht="15">
      <c r="B248" s="110">
        <v>237</v>
      </c>
      <c r="C248" s="138"/>
      <c r="D248" s="139"/>
      <c r="E248" s="362" t="str">
        <f>IF(C248="","",VLOOKUP(C248,'G-7 WaterC'' Data'!$B$2:$G$8,2,FALSE))</f>
        <v/>
      </c>
      <c r="F248" s="363" t="str">
        <f>IFERROR(VLOOKUP(E248,'G-7 WaterC'' Data'!$C$4:$D$8,2,FALSE),"")</f>
        <v/>
      </c>
      <c r="G248" s="114"/>
      <c r="H248" s="363" t="str">
        <f>IFERROR(INDEX('G-7 WaterC'' Data'!$H$4:$L$8,MATCH(C248,'G-7 WaterC'' Data'!$B$4:$B$8,0),MATCH(G248,'G-7 WaterC'' Data'!$H$3:$L$3,0)),"")</f>
        <v/>
      </c>
      <c r="I248" s="54"/>
      <c r="J248" s="370" t="str">
        <f>IF(I248="","",IF(VLOOKUP(I248,'G-7 WaterC'' Data'!$AK$4:$AM$6,2,FALSE)=0,"Spatial Data Missing ⚠",VLOOKUP(I248,'G-7 WaterC'' Data'!$AK$4:$AM$6,2,FALSE)))</f>
        <v/>
      </c>
      <c r="K248" s="363" t="str">
        <f>IF(I248="","",IF(VLOOKUP(I248,'G-7 WaterC'' Data'!$AK$4:$AM$6,3,FALSE)=0,"Spatial Data Missing ⚠",VLOOKUP(I248,'G-7 WaterC'' Data'!$AK$4:$AM$6,3,FALSE)))</f>
        <v/>
      </c>
      <c r="L248" s="362" t="str">
        <f>IFERROR(INDEX('G-7 WaterC'' Data'!$O$3:$O$7,MATCH(G248,'G-7 WaterC'' Data'!$N$3:$N$7,0)),"")</f>
        <v/>
      </c>
      <c r="M248" s="63"/>
      <c r="N248" s="159"/>
      <c r="O248" s="370" t="str">
        <f t="shared" si="15"/>
        <v/>
      </c>
      <c r="P248" s="383" t="str">
        <f t="shared" si="16"/>
        <v/>
      </c>
      <c r="Q248" s="422" t="str">
        <f>IFERROR(IF(P248="Check Data ⚠","Check Data ⚠",VLOOKUP(P248,'G-4 Temporal multipliers'!$A$4:$C$37,3,FALSE)),"")</f>
        <v/>
      </c>
      <c r="R248" s="362" t="str">
        <f>IF(C248="","",VLOOKUP(C248,'G-7 WaterC'' Data'!$B$4:$G$8,4,FALSE))</f>
        <v/>
      </c>
      <c r="S248" s="370" t="str">
        <f t="shared" si="17"/>
        <v/>
      </c>
      <c r="T248" s="401" t="str">
        <f t="shared" si="18"/>
        <v/>
      </c>
      <c r="U248" s="363" t="str">
        <f>IF(C248="","",VLOOKUP(T248,'G-3 Multipliers'!$P$2:$Q$6,2,FALSE))</f>
        <v/>
      </c>
      <c r="V248" s="115"/>
      <c r="W248" s="363" t="str">
        <f>IF(V248="","",IF(VLOOKUP(V248,'G-7 WaterC'' Data'!$AA$4:$AB$7,2,FALSE)=0,"Spatial Data Missing ⚠",VLOOKUP(V248,'G-7 WaterC'' Data'!$AA$4:$AB$7,2,FALSE)))</f>
        <v/>
      </c>
      <c r="X248" s="60"/>
      <c r="Y248" s="363" t="str">
        <f>IF(X248="","",IF(VLOOKUP(X248,'G-7 WaterC'' Data'!$AD$4:$AE$14,2,FALSE)=0,"Enrcoachment Data Missing ⚠",VLOOKUP(X248,'G-7 WaterC'' Data'!$AD$4:$AE$14,2,FALSE)))</f>
        <v/>
      </c>
      <c r="Z248" s="423" t="str">
        <f t="shared" si="19"/>
        <v/>
      </c>
      <c r="AA248" s="117"/>
      <c r="AB248" s="118"/>
      <c r="AC248" s="120"/>
      <c r="AH248" s="30" t="str">
        <f>IFERROR(INDEX('G-7 WaterC'' Data'!$AZ$3:$AZ$7,MATCH(C248,'G-7 WaterC'' Data'!$AY$3:$AY$7,0)),"")</f>
        <v/>
      </c>
    </row>
    <row r="249" spans="2:34" ht="15">
      <c r="B249" s="110">
        <v>238</v>
      </c>
      <c r="C249" s="138"/>
      <c r="D249" s="139"/>
      <c r="E249" s="362" t="str">
        <f>IF(C249="","",VLOOKUP(C249,'G-7 WaterC'' Data'!$B$2:$G$8,2,FALSE))</f>
        <v/>
      </c>
      <c r="F249" s="363" t="str">
        <f>IFERROR(VLOOKUP(E249,'G-7 WaterC'' Data'!$C$4:$D$8,2,FALSE),"")</f>
        <v/>
      </c>
      <c r="G249" s="114"/>
      <c r="H249" s="363" t="str">
        <f>IFERROR(INDEX('G-7 WaterC'' Data'!$H$4:$L$8,MATCH(C249,'G-7 WaterC'' Data'!$B$4:$B$8,0),MATCH(G249,'G-7 WaterC'' Data'!$H$3:$L$3,0)),"")</f>
        <v/>
      </c>
      <c r="I249" s="54"/>
      <c r="J249" s="370" t="str">
        <f>IF(I249="","",IF(VLOOKUP(I249,'G-7 WaterC'' Data'!$AK$4:$AM$6,2,FALSE)=0,"Spatial Data Missing ⚠",VLOOKUP(I249,'G-7 WaterC'' Data'!$AK$4:$AM$6,2,FALSE)))</f>
        <v/>
      </c>
      <c r="K249" s="363" t="str">
        <f>IF(I249="","",IF(VLOOKUP(I249,'G-7 WaterC'' Data'!$AK$4:$AM$6,3,FALSE)=0,"Spatial Data Missing ⚠",VLOOKUP(I249,'G-7 WaterC'' Data'!$AK$4:$AM$6,3,FALSE)))</f>
        <v/>
      </c>
      <c r="L249" s="362" t="str">
        <f>IFERROR(INDEX('G-7 WaterC'' Data'!$O$3:$O$7,MATCH(G249,'G-7 WaterC'' Data'!$N$3:$N$7,0)),"")</f>
        <v/>
      </c>
      <c r="M249" s="63"/>
      <c r="N249" s="159"/>
      <c r="O249" s="370" t="str">
        <f t="shared" si="15"/>
        <v/>
      </c>
      <c r="P249" s="383" t="str">
        <f t="shared" si="16"/>
        <v/>
      </c>
      <c r="Q249" s="422" t="str">
        <f>IFERROR(IF(P249="Check Data ⚠","Check Data ⚠",VLOOKUP(P249,'G-4 Temporal multipliers'!$A$4:$C$37,3,FALSE)),"")</f>
        <v/>
      </c>
      <c r="R249" s="362" t="str">
        <f>IF(C249="","",VLOOKUP(C249,'G-7 WaterC'' Data'!$B$4:$G$8,4,FALSE))</f>
        <v/>
      </c>
      <c r="S249" s="370" t="str">
        <f t="shared" si="17"/>
        <v/>
      </c>
      <c r="T249" s="401" t="str">
        <f t="shared" si="18"/>
        <v/>
      </c>
      <c r="U249" s="363" t="str">
        <f>IF(C249="","",VLOOKUP(T249,'G-3 Multipliers'!$P$2:$Q$6,2,FALSE))</f>
        <v/>
      </c>
      <c r="V249" s="115"/>
      <c r="W249" s="363" t="str">
        <f>IF(V249="","",IF(VLOOKUP(V249,'G-7 WaterC'' Data'!$AA$4:$AB$7,2,FALSE)=0,"Spatial Data Missing ⚠",VLOOKUP(V249,'G-7 WaterC'' Data'!$AA$4:$AB$7,2,FALSE)))</f>
        <v/>
      </c>
      <c r="X249" s="60"/>
      <c r="Y249" s="363" t="str">
        <f>IF(X249="","",IF(VLOOKUP(X249,'G-7 WaterC'' Data'!$AD$4:$AE$14,2,FALSE)=0,"Enrcoachment Data Missing ⚠",VLOOKUP(X249,'G-7 WaterC'' Data'!$AD$4:$AE$14,2,FALSE)))</f>
        <v/>
      </c>
      <c r="Z249" s="423" t="str">
        <f t="shared" si="19"/>
        <v/>
      </c>
      <c r="AA249" s="117"/>
      <c r="AB249" s="118"/>
      <c r="AC249" s="120"/>
      <c r="AH249" s="30" t="str">
        <f>IFERROR(INDEX('G-7 WaterC'' Data'!$AZ$3:$AZ$7,MATCH(C249,'G-7 WaterC'' Data'!$AY$3:$AY$7,0)),"")</f>
        <v/>
      </c>
    </row>
    <row r="250" spans="2:34" ht="15">
      <c r="B250" s="110">
        <v>239</v>
      </c>
      <c r="C250" s="138"/>
      <c r="D250" s="139"/>
      <c r="E250" s="362" t="str">
        <f>IF(C250="","",VLOOKUP(C250,'G-7 WaterC'' Data'!$B$2:$G$8,2,FALSE))</f>
        <v/>
      </c>
      <c r="F250" s="363" t="str">
        <f>IFERROR(VLOOKUP(E250,'G-7 WaterC'' Data'!$C$4:$D$8,2,FALSE),"")</f>
        <v/>
      </c>
      <c r="G250" s="114"/>
      <c r="H250" s="363" t="str">
        <f>IFERROR(INDEX('G-7 WaterC'' Data'!$H$4:$L$8,MATCH(C250,'G-7 WaterC'' Data'!$B$4:$B$8,0),MATCH(G250,'G-7 WaterC'' Data'!$H$3:$L$3,0)),"")</f>
        <v/>
      </c>
      <c r="I250" s="54"/>
      <c r="J250" s="370" t="str">
        <f>IF(I250="","",IF(VLOOKUP(I250,'G-7 WaterC'' Data'!$AK$4:$AM$6,2,FALSE)=0,"Spatial Data Missing ⚠",VLOOKUP(I250,'G-7 WaterC'' Data'!$AK$4:$AM$6,2,FALSE)))</f>
        <v/>
      </c>
      <c r="K250" s="363" t="str">
        <f>IF(I250="","",IF(VLOOKUP(I250,'G-7 WaterC'' Data'!$AK$4:$AM$6,3,FALSE)=0,"Spatial Data Missing ⚠",VLOOKUP(I250,'G-7 WaterC'' Data'!$AK$4:$AM$6,3,FALSE)))</f>
        <v/>
      </c>
      <c r="L250" s="362" t="str">
        <f>IFERROR(INDEX('G-7 WaterC'' Data'!$O$3:$O$7,MATCH(G250,'G-7 WaterC'' Data'!$N$3:$N$7,0)),"")</f>
        <v/>
      </c>
      <c r="M250" s="63"/>
      <c r="N250" s="159"/>
      <c r="O250" s="370" t="str">
        <f t="shared" si="15"/>
        <v/>
      </c>
      <c r="P250" s="383" t="str">
        <f t="shared" si="16"/>
        <v/>
      </c>
      <c r="Q250" s="422" t="str">
        <f>IFERROR(IF(P250="Check Data ⚠","Check Data ⚠",VLOOKUP(P250,'G-4 Temporal multipliers'!$A$4:$C$37,3,FALSE)),"")</f>
        <v/>
      </c>
      <c r="R250" s="362" t="str">
        <f>IF(C250="","",VLOOKUP(C250,'G-7 WaterC'' Data'!$B$4:$G$8,4,FALSE))</f>
        <v/>
      </c>
      <c r="S250" s="370" t="str">
        <f t="shared" si="17"/>
        <v/>
      </c>
      <c r="T250" s="401" t="str">
        <f t="shared" si="18"/>
        <v/>
      </c>
      <c r="U250" s="363" t="str">
        <f>IF(C250="","",VLOOKUP(T250,'G-3 Multipliers'!$P$2:$Q$6,2,FALSE))</f>
        <v/>
      </c>
      <c r="V250" s="115"/>
      <c r="W250" s="363" t="str">
        <f>IF(V250="","",IF(VLOOKUP(V250,'G-7 WaterC'' Data'!$AA$4:$AB$7,2,FALSE)=0,"Spatial Data Missing ⚠",VLOOKUP(V250,'G-7 WaterC'' Data'!$AA$4:$AB$7,2,FALSE)))</f>
        <v/>
      </c>
      <c r="X250" s="60"/>
      <c r="Y250" s="363" t="str">
        <f>IF(X250="","",IF(VLOOKUP(X250,'G-7 WaterC'' Data'!$AD$4:$AE$14,2,FALSE)=0,"Enrcoachment Data Missing ⚠",VLOOKUP(X250,'G-7 WaterC'' Data'!$AD$4:$AE$14,2,FALSE)))</f>
        <v/>
      </c>
      <c r="Z250" s="423" t="str">
        <f t="shared" si="19"/>
        <v/>
      </c>
      <c r="AA250" s="117"/>
      <c r="AB250" s="118"/>
      <c r="AC250" s="120"/>
      <c r="AH250" s="30" t="str">
        <f>IFERROR(INDEX('G-7 WaterC'' Data'!$AZ$3:$AZ$7,MATCH(C250,'G-7 WaterC'' Data'!$AY$3:$AY$7,0)),"")</f>
        <v/>
      </c>
    </row>
    <row r="251" spans="2:34" ht="15">
      <c r="B251" s="110">
        <v>240</v>
      </c>
      <c r="C251" s="138"/>
      <c r="D251" s="139"/>
      <c r="E251" s="362" t="str">
        <f>IF(C251="","",VLOOKUP(C251,'G-7 WaterC'' Data'!$B$2:$G$8,2,FALSE))</f>
        <v/>
      </c>
      <c r="F251" s="363" t="str">
        <f>IFERROR(VLOOKUP(E251,'G-7 WaterC'' Data'!$C$4:$D$8,2,FALSE),"")</f>
        <v/>
      </c>
      <c r="G251" s="114"/>
      <c r="H251" s="363" t="str">
        <f>IFERROR(INDEX('G-7 WaterC'' Data'!$H$4:$L$8,MATCH(C251,'G-7 WaterC'' Data'!$B$4:$B$8,0),MATCH(G251,'G-7 WaterC'' Data'!$H$3:$L$3,0)),"")</f>
        <v/>
      </c>
      <c r="I251" s="54"/>
      <c r="J251" s="370" t="str">
        <f>IF(I251="","",IF(VLOOKUP(I251,'G-7 WaterC'' Data'!$AK$4:$AM$6,2,FALSE)=0,"Spatial Data Missing ⚠",VLOOKUP(I251,'G-7 WaterC'' Data'!$AK$4:$AM$6,2,FALSE)))</f>
        <v/>
      </c>
      <c r="K251" s="363" t="str">
        <f>IF(I251="","",IF(VLOOKUP(I251,'G-7 WaterC'' Data'!$AK$4:$AM$6,3,FALSE)=0,"Spatial Data Missing ⚠",VLOOKUP(I251,'G-7 WaterC'' Data'!$AK$4:$AM$6,3,FALSE)))</f>
        <v/>
      </c>
      <c r="L251" s="362" t="str">
        <f>IFERROR(INDEX('G-7 WaterC'' Data'!$O$3:$O$7,MATCH(G251,'G-7 WaterC'' Data'!$N$3:$N$7,0)),"")</f>
        <v/>
      </c>
      <c r="M251" s="63"/>
      <c r="N251" s="159"/>
      <c r="O251" s="370" t="str">
        <f t="shared" si="15"/>
        <v/>
      </c>
      <c r="P251" s="383" t="str">
        <f t="shared" si="16"/>
        <v/>
      </c>
      <c r="Q251" s="422" t="str">
        <f>IFERROR(IF(P251="Check Data ⚠","Check Data ⚠",VLOOKUP(P251,'G-4 Temporal multipliers'!$A$4:$C$37,3,FALSE)),"")</f>
        <v/>
      </c>
      <c r="R251" s="362" t="str">
        <f>IF(C251="","",VLOOKUP(C251,'G-7 WaterC'' Data'!$B$4:$G$8,4,FALSE))</f>
        <v/>
      </c>
      <c r="S251" s="370" t="str">
        <f t="shared" si="17"/>
        <v/>
      </c>
      <c r="T251" s="401" t="str">
        <f t="shared" si="18"/>
        <v/>
      </c>
      <c r="U251" s="363" t="str">
        <f>IF(C251="","",VLOOKUP(T251,'G-3 Multipliers'!$P$2:$Q$6,2,FALSE))</f>
        <v/>
      </c>
      <c r="V251" s="115"/>
      <c r="W251" s="363" t="str">
        <f>IF(V251="","",IF(VLOOKUP(V251,'G-7 WaterC'' Data'!$AA$4:$AB$7,2,FALSE)=0,"Spatial Data Missing ⚠",VLOOKUP(V251,'G-7 WaterC'' Data'!$AA$4:$AB$7,2,FALSE)))</f>
        <v/>
      </c>
      <c r="X251" s="60"/>
      <c r="Y251" s="363" t="str">
        <f>IF(X251="","",IF(VLOOKUP(X251,'G-7 WaterC'' Data'!$AD$4:$AE$14,2,FALSE)=0,"Enrcoachment Data Missing ⚠",VLOOKUP(X251,'G-7 WaterC'' Data'!$AD$4:$AE$14,2,FALSE)))</f>
        <v/>
      </c>
      <c r="Z251" s="423" t="str">
        <f t="shared" si="19"/>
        <v/>
      </c>
      <c r="AA251" s="117"/>
      <c r="AB251" s="118"/>
      <c r="AC251" s="120"/>
      <c r="AH251" s="30" t="str">
        <f>IFERROR(INDEX('G-7 WaterC'' Data'!$AZ$3:$AZ$7,MATCH(C251,'G-7 WaterC'' Data'!$AY$3:$AY$7,0)),"")</f>
        <v/>
      </c>
    </row>
    <row r="252" spans="2:34" ht="15">
      <c r="B252" s="110">
        <v>241</v>
      </c>
      <c r="C252" s="138"/>
      <c r="D252" s="139"/>
      <c r="E252" s="362" t="str">
        <f>IF(C252="","",VLOOKUP(C252,'G-7 WaterC'' Data'!$B$2:$G$8,2,FALSE))</f>
        <v/>
      </c>
      <c r="F252" s="363" t="str">
        <f>IFERROR(VLOOKUP(E252,'G-7 WaterC'' Data'!$C$4:$D$8,2,FALSE),"")</f>
        <v/>
      </c>
      <c r="G252" s="114"/>
      <c r="H252" s="363" t="str">
        <f>IFERROR(INDEX('G-7 WaterC'' Data'!$H$4:$L$8,MATCH(C252,'G-7 WaterC'' Data'!$B$4:$B$8,0),MATCH(G252,'G-7 WaterC'' Data'!$H$3:$L$3,0)),"")</f>
        <v/>
      </c>
      <c r="I252" s="54"/>
      <c r="J252" s="370" t="str">
        <f>IF(I252="","",IF(VLOOKUP(I252,'G-7 WaterC'' Data'!$AK$4:$AM$6,2,FALSE)=0,"Spatial Data Missing ⚠",VLOOKUP(I252,'G-7 WaterC'' Data'!$AK$4:$AM$6,2,FALSE)))</f>
        <v/>
      </c>
      <c r="K252" s="363" t="str">
        <f>IF(I252="","",IF(VLOOKUP(I252,'G-7 WaterC'' Data'!$AK$4:$AM$6,3,FALSE)=0,"Spatial Data Missing ⚠",VLOOKUP(I252,'G-7 WaterC'' Data'!$AK$4:$AM$6,3,FALSE)))</f>
        <v/>
      </c>
      <c r="L252" s="362" t="str">
        <f>IFERROR(INDEX('G-7 WaterC'' Data'!$O$3:$O$7,MATCH(G252,'G-7 WaterC'' Data'!$N$3:$N$7,0)),"")</f>
        <v/>
      </c>
      <c r="M252" s="63"/>
      <c r="N252" s="159"/>
      <c r="O252" s="370" t="str">
        <f t="shared" si="15"/>
        <v/>
      </c>
      <c r="P252" s="383" t="str">
        <f t="shared" si="16"/>
        <v/>
      </c>
      <c r="Q252" s="422" t="str">
        <f>IFERROR(IF(P252="Check Data ⚠","Check Data ⚠",VLOOKUP(P252,'G-4 Temporal multipliers'!$A$4:$C$37,3,FALSE)),"")</f>
        <v/>
      </c>
      <c r="R252" s="362" t="str">
        <f>IF(C252="","",VLOOKUP(C252,'G-7 WaterC'' Data'!$B$4:$G$8,4,FALSE))</f>
        <v/>
      </c>
      <c r="S252" s="370" t="str">
        <f t="shared" si="17"/>
        <v/>
      </c>
      <c r="T252" s="401" t="str">
        <f t="shared" si="18"/>
        <v/>
      </c>
      <c r="U252" s="363" t="str">
        <f>IF(C252="","",VLOOKUP(T252,'G-3 Multipliers'!$P$2:$Q$6,2,FALSE))</f>
        <v/>
      </c>
      <c r="V252" s="115"/>
      <c r="W252" s="363" t="str">
        <f>IF(V252="","",IF(VLOOKUP(V252,'G-7 WaterC'' Data'!$AA$4:$AB$7,2,FALSE)=0,"Spatial Data Missing ⚠",VLOOKUP(V252,'G-7 WaterC'' Data'!$AA$4:$AB$7,2,FALSE)))</f>
        <v/>
      </c>
      <c r="X252" s="60"/>
      <c r="Y252" s="363" t="str">
        <f>IF(X252="","",IF(VLOOKUP(X252,'G-7 WaterC'' Data'!$AD$4:$AE$14,2,FALSE)=0,"Enrcoachment Data Missing ⚠",VLOOKUP(X252,'G-7 WaterC'' Data'!$AD$4:$AE$14,2,FALSE)))</f>
        <v/>
      </c>
      <c r="Z252" s="423" t="str">
        <f t="shared" si="19"/>
        <v/>
      </c>
      <c r="AA252" s="117"/>
      <c r="AB252" s="118"/>
      <c r="AC252" s="120"/>
      <c r="AH252" s="30" t="str">
        <f>IFERROR(INDEX('G-7 WaterC'' Data'!$AZ$3:$AZ$7,MATCH(C252,'G-7 WaterC'' Data'!$AY$3:$AY$7,0)),"")</f>
        <v/>
      </c>
    </row>
    <row r="253" spans="2:34" ht="15">
      <c r="B253" s="110">
        <v>242</v>
      </c>
      <c r="C253" s="138"/>
      <c r="D253" s="139"/>
      <c r="E253" s="362" t="str">
        <f>IF(C253="","",VLOOKUP(C253,'G-7 WaterC'' Data'!$B$2:$G$8,2,FALSE))</f>
        <v/>
      </c>
      <c r="F253" s="363" t="str">
        <f>IFERROR(VLOOKUP(E253,'G-7 WaterC'' Data'!$C$4:$D$8,2,FALSE),"")</f>
        <v/>
      </c>
      <c r="G253" s="114"/>
      <c r="H253" s="363" t="str">
        <f>IFERROR(INDEX('G-7 WaterC'' Data'!$H$4:$L$8,MATCH(C253,'G-7 WaterC'' Data'!$B$4:$B$8,0),MATCH(G253,'G-7 WaterC'' Data'!$H$3:$L$3,0)),"")</f>
        <v/>
      </c>
      <c r="I253" s="54"/>
      <c r="J253" s="370" t="str">
        <f>IF(I253="","",IF(VLOOKUP(I253,'G-7 WaterC'' Data'!$AK$4:$AM$6,2,FALSE)=0,"Spatial Data Missing ⚠",VLOOKUP(I253,'G-7 WaterC'' Data'!$AK$4:$AM$6,2,FALSE)))</f>
        <v/>
      </c>
      <c r="K253" s="363" t="str">
        <f>IF(I253="","",IF(VLOOKUP(I253,'G-7 WaterC'' Data'!$AK$4:$AM$6,3,FALSE)=0,"Spatial Data Missing ⚠",VLOOKUP(I253,'G-7 WaterC'' Data'!$AK$4:$AM$6,3,FALSE)))</f>
        <v/>
      </c>
      <c r="L253" s="362" t="str">
        <f>IFERROR(INDEX('G-7 WaterC'' Data'!$O$3:$O$7,MATCH(G253,'G-7 WaterC'' Data'!$N$3:$N$7,0)),"")</f>
        <v/>
      </c>
      <c r="M253" s="63"/>
      <c r="N253" s="159"/>
      <c r="O253" s="370" t="str">
        <f t="shared" si="15"/>
        <v/>
      </c>
      <c r="P253" s="383" t="str">
        <f t="shared" si="16"/>
        <v/>
      </c>
      <c r="Q253" s="422" t="str">
        <f>IFERROR(IF(P253="Check Data ⚠","Check Data ⚠",VLOOKUP(P253,'G-4 Temporal multipliers'!$A$4:$C$37,3,FALSE)),"")</f>
        <v/>
      </c>
      <c r="R253" s="362" t="str">
        <f>IF(C253="","",VLOOKUP(C253,'G-7 WaterC'' Data'!$B$4:$G$8,4,FALSE))</f>
        <v/>
      </c>
      <c r="S253" s="370" t="str">
        <f t="shared" si="17"/>
        <v/>
      </c>
      <c r="T253" s="401" t="str">
        <f t="shared" si="18"/>
        <v/>
      </c>
      <c r="U253" s="363" t="str">
        <f>IF(C253="","",VLOOKUP(T253,'G-3 Multipliers'!$P$2:$Q$6,2,FALSE))</f>
        <v/>
      </c>
      <c r="V253" s="115"/>
      <c r="W253" s="363" t="str">
        <f>IF(V253="","",IF(VLOOKUP(V253,'G-7 WaterC'' Data'!$AA$4:$AB$7,2,FALSE)=0,"Spatial Data Missing ⚠",VLOOKUP(V253,'G-7 WaterC'' Data'!$AA$4:$AB$7,2,FALSE)))</f>
        <v/>
      </c>
      <c r="X253" s="60"/>
      <c r="Y253" s="363" t="str">
        <f>IF(X253="","",IF(VLOOKUP(X253,'G-7 WaterC'' Data'!$AD$4:$AE$14,2,FALSE)=0,"Enrcoachment Data Missing ⚠",VLOOKUP(X253,'G-7 WaterC'' Data'!$AD$4:$AE$14,2,FALSE)))</f>
        <v/>
      </c>
      <c r="Z253" s="423" t="str">
        <f t="shared" si="19"/>
        <v/>
      </c>
      <c r="AA253" s="117"/>
      <c r="AB253" s="118"/>
      <c r="AC253" s="120"/>
      <c r="AH253" s="30" t="str">
        <f>IFERROR(INDEX('G-7 WaterC'' Data'!$AZ$3:$AZ$7,MATCH(C253,'G-7 WaterC'' Data'!$AY$3:$AY$7,0)),"")</f>
        <v/>
      </c>
    </row>
    <row r="254" spans="2:34" ht="15">
      <c r="B254" s="110">
        <v>243</v>
      </c>
      <c r="C254" s="138"/>
      <c r="D254" s="139"/>
      <c r="E254" s="362" t="str">
        <f>IF(C254="","",VLOOKUP(C254,'G-7 WaterC'' Data'!$B$2:$G$8,2,FALSE))</f>
        <v/>
      </c>
      <c r="F254" s="363" t="str">
        <f>IFERROR(VLOOKUP(E254,'G-7 WaterC'' Data'!$C$4:$D$8,2,FALSE),"")</f>
        <v/>
      </c>
      <c r="G254" s="114"/>
      <c r="H254" s="363" t="str">
        <f>IFERROR(INDEX('G-7 WaterC'' Data'!$H$4:$L$8,MATCH(C254,'G-7 WaterC'' Data'!$B$4:$B$8,0),MATCH(G254,'G-7 WaterC'' Data'!$H$3:$L$3,0)),"")</f>
        <v/>
      </c>
      <c r="I254" s="54"/>
      <c r="J254" s="370" t="str">
        <f>IF(I254="","",IF(VLOOKUP(I254,'G-7 WaterC'' Data'!$AK$4:$AM$6,2,FALSE)=0,"Spatial Data Missing ⚠",VLOOKUP(I254,'G-7 WaterC'' Data'!$AK$4:$AM$6,2,FALSE)))</f>
        <v/>
      </c>
      <c r="K254" s="363" t="str">
        <f>IF(I254="","",IF(VLOOKUP(I254,'G-7 WaterC'' Data'!$AK$4:$AM$6,3,FALSE)=0,"Spatial Data Missing ⚠",VLOOKUP(I254,'G-7 WaterC'' Data'!$AK$4:$AM$6,3,FALSE)))</f>
        <v/>
      </c>
      <c r="L254" s="362" t="str">
        <f>IFERROR(INDEX('G-7 WaterC'' Data'!$O$3:$O$7,MATCH(G254,'G-7 WaterC'' Data'!$N$3:$N$7,0)),"")</f>
        <v/>
      </c>
      <c r="M254" s="63"/>
      <c r="N254" s="159"/>
      <c r="O254" s="370" t="str">
        <f t="shared" si="15"/>
        <v/>
      </c>
      <c r="P254" s="383" t="str">
        <f t="shared" si="16"/>
        <v/>
      </c>
      <c r="Q254" s="422" t="str">
        <f>IFERROR(IF(P254="Check Data ⚠","Check Data ⚠",VLOOKUP(P254,'G-4 Temporal multipliers'!$A$4:$C$37,3,FALSE)),"")</f>
        <v/>
      </c>
      <c r="R254" s="362" t="str">
        <f>IF(C254="","",VLOOKUP(C254,'G-7 WaterC'' Data'!$B$4:$G$8,4,FALSE))</f>
        <v/>
      </c>
      <c r="S254" s="370" t="str">
        <f t="shared" si="17"/>
        <v/>
      </c>
      <c r="T254" s="401" t="str">
        <f t="shared" si="18"/>
        <v/>
      </c>
      <c r="U254" s="363" t="str">
        <f>IF(C254="","",VLOOKUP(T254,'G-3 Multipliers'!$P$2:$Q$6,2,FALSE))</f>
        <v/>
      </c>
      <c r="V254" s="115"/>
      <c r="W254" s="363" t="str">
        <f>IF(V254="","",IF(VLOOKUP(V254,'G-7 WaterC'' Data'!$AA$4:$AB$7,2,FALSE)=0,"Spatial Data Missing ⚠",VLOOKUP(V254,'G-7 WaterC'' Data'!$AA$4:$AB$7,2,FALSE)))</f>
        <v/>
      </c>
      <c r="X254" s="60"/>
      <c r="Y254" s="363" t="str">
        <f>IF(X254="","",IF(VLOOKUP(X254,'G-7 WaterC'' Data'!$AD$4:$AE$14,2,FALSE)=0,"Enrcoachment Data Missing ⚠",VLOOKUP(X254,'G-7 WaterC'' Data'!$AD$4:$AE$14,2,FALSE)))</f>
        <v/>
      </c>
      <c r="Z254" s="423" t="str">
        <f t="shared" si="19"/>
        <v/>
      </c>
      <c r="AA254" s="117"/>
      <c r="AB254" s="118"/>
      <c r="AC254" s="120"/>
      <c r="AH254" s="30" t="str">
        <f>IFERROR(INDEX('G-7 WaterC'' Data'!$AZ$3:$AZ$7,MATCH(C254,'G-7 WaterC'' Data'!$AY$3:$AY$7,0)),"")</f>
        <v/>
      </c>
    </row>
    <row r="255" spans="2:34" ht="15">
      <c r="B255" s="110">
        <v>244</v>
      </c>
      <c r="C255" s="138"/>
      <c r="D255" s="139"/>
      <c r="E255" s="362" t="str">
        <f>IF(C255="","",VLOOKUP(C255,'G-7 WaterC'' Data'!$B$2:$G$8,2,FALSE))</f>
        <v/>
      </c>
      <c r="F255" s="363" t="str">
        <f>IFERROR(VLOOKUP(E255,'G-7 WaterC'' Data'!$C$4:$D$8,2,FALSE),"")</f>
        <v/>
      </c>
      <c r="G255" s="114"/>
      <c r="H255" s="363" t="str">
        <f>IFERROR(INDEX('G-7 WaterC'' Data'!$H$4:$L$8,MATCH(C255,'G-7 WaterC'' Data'!$B$4:$B$8,0),MATCH(G255,'G-7 WaterC'' Data'!$H$3:$L$3,0)),"")</f>
        <v/>
      </c>
      <c r="I255" s="54"/>
      <c r="J255" s="370" t="str">
        <f>IF(I255="","",IF(VLOOKUP(I255,'G-7 WaterC'' Data'!$AK$4:$AM$6,2,FALSE)=0,"Spatial Data Missing ⚠",VLOOKUP(I255,'G-7 WaterC'' Data'!$AK$4:$AM$6,2,FALSE)))</f>
        <v/>
      </c>
      <c r="K255" s="363" t="str">
        <f>IF(I255="","",IF(VLOOKUP(I255,'G-7 WaterC'' Data'!$AK$4:$AM$6,3,FALSE)=0,"Spatial Data Missing ⚠",VLOOKUP(I255,'G-7 WaterC'' Data'!$AK$4:$AM$6,3,FALSE)))</f>
        <v/>
      </c>
      <c r="L255" s="362" t="str">
        <f>IFERROR(INDEX('G-7 WaterC'' Data'!$O$3:$O$7,MATCH(G255,'G-7 WaterC'' Data'!$N$3:$N$7,0)),"")</f>
        <v/>
      </c>
      <c r="M255" s="63"/>
      <c r="N255" s="159"/>
      <c r="O255" s="370" t="str">
        <f t="shared" si="15"/>
        <v/>
      </c>
      <c r="P255" s="383" t="str">
        <f t="shared" si="16"/>
        <v/>
      </c>
      <c r="Q255" s="422" t="str">
        <f>IFERROR(IF(P255="Check Data ⚠","Check Data ⚠",VLOOKUP(P255,'G-4 Temporal multipliers'!$A$4:$C$37,3,FALSE)),"")</f>
        <v/>
      </c>
      <c r="R255" s="362" t="str">
        <f>IF(C255="","",VLOOKUP(C255,'G-7 WaterC'' Data'!$B$4:$G$8,4,FALSE))</f>
        <v/>
      </c>
      <c r="S255" s="370" t="str">
        <f t="shared" si="17"/>
        <v/>
      </c>
      <c r="T255" s="401" t="str">
        <f t="shared" si="18"/>
        <v/>
      </c>
      <c r="U255" s="363" t="str">
        <f>IF(C255="","",VLOOKUP(T255,'G-3 Multipliers'!$P$2:$Q$6,2,FALSE))</f>
        <v/>
      </c>
      <c r="V255" s="115"/>
      <c r="W255" s="363" t="str">
        <f>IF(V255="","",IF(VLOOKUP(V255,'G-7 WaterC'' Data'!$AA$4:$AB$7,2,FALSE)=0,"Spatial Data Missing ⚠",VLOOKUP(V255,'G-7 WaterC'' Data'!$AA$4:$AB$7,2,FALSE)))</f>
        <v/>
      </c>
      <c r="X255" s="60"/>
      <c r="Y255" s="363" t="str">
        <f>IF(X255="","",IF(VLOOKUP(X255,'G-7 WaterC'' Data'!$AD$4:$AE$14,2,FALSE)=0,"Enrcoachment Data Missing ⚠",VLOOKUP(X255,'G-7 WaterC'' Data'!$AD$4:$AE$14,2,FALSE)))</f>
        <v/>
      </c>
      <c r="Z255" s="423" t="str">
        <f t="shared" si="19"/>
        <v/>
      </c>
      <c r="AA255" s="117"/>
      <c r="AB255" s="118"/>
      <c r="AC255" s="120"/>
      <c r="AH255" s="30" t="str">
        <f>IFERROR(INDEX('G-7 WaterC'' Data'!$AZ$3:$AZ$7,MATCH(C255,'G-7 WaterC'' Data'!$AY$3:$AY$7,0)),"")</f>
        <v/>
      </c>
    </row>
    <row r="256" spans="2:34" ht="15">
      <c r="B256" s="110">
        <v>245</v>
      </c>
      <c r="C256" s="138"/>
      <c r="D256" s="139"/>
      <c r="E256" s="362" t="str">
        <f>IF(C256="","",VLOOKUP(C256,'G-7 WaterC'' Data'!$B$2:$G$8,2,FALSE))</f>
        <v/>
      </c>
      <c r="F256" s="363" t="str">
        <f>IFERROR(VLOOKUP(E256,'G-7 WaterC'' Data'!$C$4:$D$8,2,FALSE),"")</f>
        <v/>
      </c>
      <c r="G256" s="114"/>
      <c r="H256" s="363" t="str">
        <f>IFERROR(INDEX('G-7 WaterC'' Data'!$H$4:$L$8,MATCH(C256,'G-7 WaterC'' Data'!$B$4:$B$8,0),MATCH(G256,'G-7 WaterC'' Data'!$H$3:$L$3,0)),"")</f>
        <v/>
      </c>
      <c r="I256" s="54"/>
      <c r="J256" s="370" t="str">
        <f>IF(I256="","",IF(VLOOKUP(I256,'G-7 WaterC'' Data'!$AK$4:$AM$6,2,FALSE)=0,"Spatial Data Missing ⚠",VLOOKUP(I256,'G-7 WaterC'' Data'!$AK$4:$AM$6,2,FALSE)))</f>
        <v/>
      </c>
      <c r="K256" s="363" t="str">
        <f>IF(I256="","",IF(VLOOKUP(I256,'G-7 WaterC'' Data'!$AK$4:$AM$6,3,FALSE)=0,"Spatial Data Missing ⚠",VLOOKUP(I256,'G-7 WaterC'' Data'!$AK$4:$AM$6,3,FALSE)))</f>
        <v/>
      </c>
      <c r="L256" s="362" t="str">
        <f>IFERROR(INDEX('G-7 WaterC'' Data'!$O$3:$O$7,MATCH(G256,'G-7 WaterC'' Data'!$N$3:$N$7,0)),"")</f>
        <v/>
      </c>
      <c r="M256" s="63"/>
      <c r="N256" s="159"/>
      <c r="O256" s="370" t="str">
        <f t="shared" si="15"/>
        <v/>
      </c>
      <c r="P256" s="383" t="str">
        <f t="shared" si="16"/>
        <v/>
      </c>
      <c r="Q256" s="422" t="str">
        <f>IFERROR(IF(P256="Check Data ⚠","Check Data ⚠",VLOOKUP(P256,'G-4 Temporal multipliers'!$A$4:$C$37,3,FALSE)),"")</f>
        <v/>
      </c>
      <c r="R256" s="362" t="str">
        <f>IF(C256="","",VLOOKUP(C256,'G-7 WaterC'' Data'!$B$4:$G$8,4,FALSE))</f>
        <v/>
      </c>
      <c r="S256" s="370" t="str">
        <f t="shared" si="17"/>
        <v/>
      </c>
      <c r="T256" s="401" t="str">
        <f t="shared" si="18"/>
        <v/>
      </c>
      <c r="U256" s="363" t="str">
        <f>IF(C256="","",VLOOKUP(T256,'G-3 Multipliers'!$P$2:$Q$6,2,FALSE))</f>
        <v/>
      </c>
      <c r="V256" s="115"/>
      <c r="W256" s="363" t="str">
        <f>IF(V256="","",IF(VLOOKUP(V256,'G-7 WaterC'' Data'!$AA$4:$AB$7,2,FALSE)=0,"Spatial Data Missing ⚠",VLOOKUP(V256,'G-7 WaterC'' Data'!$AA$4:$AB$7,2,FALSE)))</f>
        <v/>
      </c>
      <c r="X256" s="60"/>
      <c r="Y256" s="363" t="str">
        <f>IF(X256="","",IF(VLOOKUP(X256,'G-7 WaterC'' Data'!$AD$4:$AE$14,2,FALSE)=0,"Enrcoachment Data Missing ⚠",VLOOKUP(X256,'G-7 WaterC'' Data'!$AD$4:$AE$14,2,FALSE)))</f>
        <v/>
      </c>
      <c r="Z256" s="423" t="str">
        <f t="shared" si="19"/>
        <v/>
      </c>
      <c r="AA256" s="117"/>
      <c r="AB256" s="118"/>
      <c r="AC256" s="120"/>
      <c r="AH256" s="30" t="str">
        <f>IFERROR(INDEX('G-7 WaterC'' Data'!$AZ$3:$AZ$7,MATCH(C256,'G-7 WaterC'' Data'!$AY$3:$AY$7,0)),"")</f>
        <v/>
      </c>
    </row>
    <row r="257" spans="2:34" ht="15">
      <c r="B257" s="110">
        <v>246</v>
      </c>
      <c r="C257" s="138"/>
      <c r="D257" s="139"/>
      <c r="E257" s="362" t="str">
        <f>IF(C257="","",VLOOKUP(C257,'G-7 WaterC'' Data'!$B$2:$G$8,2,FALSE))</f>
        <v/>
      </c>
      <c r="F257" s="363" t="str">
        <f>IFERROR(VLOOKUP(E257,'G-7 WaterC'' Data'!$C$4:$D$8,2,FALSE),"")</f>
        <v/>
      </c>
      <c r="G257" s="114"/>
      <c r="H257" s="363" t="str">
        <f>IFERROR(INDEX('G-7 WaterC'' Data'!$H$4:$L$8,MATCH(C257,'G-7 WaterC'' Data'!$B$4:$B$8,0),MATCH(G257,'G-7 WaterC'' Data'!$H$3:$L$3,0)),"")</f>
        <v/>
      </c>
      <c r="I257" s="54"/>
      <c r="J257" s="370" t="str">
        <f>IF(I257="","",IF(VLOOKUP(I257,'G-7 WaterC'' Data'!$AK$4:$AM$6,2,FALSE)=0,"Spatial Data Missing ⚠",VLOOKUP(I257,'G-7 WaterC'' Data'!$AK$4:$AM$6,2,FALSE)))</f>
        <v/>
      </c>
      <c r="K257" s="363" t="str">
        <f>IF(I257="","",IF(VLOOKUP(I257,'G-7 WaterC'' Data'!$AK$4:$AM$6,3,FALSE)=0,"Spatial Data Missing ⚠",VLOOKUP(I257,'G-7 WaterC'' Data'!$AK$4:$AM$6,3,FALSE)))</f>
        <v/>
      </c>
      <c r="L257" s="362" t="str">
        <f>IFERROR(INDEX('G-7 WaterC'' Data'!$O$3:$O$7,MATCH(G257,'G-7 WaterC'' Data'!$N$3:$N$7,0)),"")</f>
        <v/>
      </c>
      <c r="M257" s="63"/>
      <c r="N257" s="159"/>
      <c r="O257" s="370" t="str">
        <f t="shared" si="15"/>
        <v/>
      </c>
      <c r="P257" s="383" t="str">
        <f t="shared" si="16"/>
        <v/>
      </c>
      <c r="Q257" s="422" t="str">
        <f>IFERROR(IF(P257="Check Data ⚠","Check Data ⚠",VLOOKUP(P257,'G-4 Temporal multipliers'!$A$4:$C$37,3,FALSE)),"")</f>
        <v/>
      </c>
      <c r="R257" s="362" t="str">
        <f>IF(C257="","",VLOOKUP(C257,'G-7 WaterC'' Data'!$B$4:$G$8,4,FALSE))</f>
        <v/>
      </c>
      <c r="S257" s="370" t="str">
        <f t="shared" si="17"/>
        <v/>
      </c>
      <c r="T257" s="401" t="str">
        <f t="shared" si="18"/>
        <v/>
      </c>
      <c r="U257" s="363" t="str">
        <f>IF(C257="","",VLOOKUP(T257,'G-3 Multipliers'!$P$2:$Q$6,2,FALSE))</f>
        <v/>
      </c>
      <c r="V257" s="115"/>
      <c r="W257" s="363" t="str">
        <f>IF(V257="","",IF(VLOOKUP(V257,'G-7 WaterC'' Data'!$AA$4:$AB$7,2,FALSE)=0,"Spatial Data Missing ⚠",VLOOKUP(V257,'G-7 WaterC'' Data'!$AA$4:$AB$7,2,FALSE)))</f>
        <v/>
      </c>
      <c r="X257" s="60"/>
      <c r="Y257" s="363" t="str">
        <f>IF(X257="","",IF(VLOOKUP(X257,'G-7 WaterC'' Data'!$AD$4:$AE$14,2,FALSE)=0,"Enrcoachment Data Missing ⚠",VLOOKUP(X257,'G-7 WaterC'' Data'!$AD$4:$AE$14,2,FALSE)))</f>
        <v/>
      </c>
      <c r="Z257" s="423" t="str">
        <f t="shared" si="19"/>
        <v/>
      </c>
      <c r="AA257" s="117"/>
      <c r="AB257" s="118"/>
      <c r="AC257" s="120"/>
      <c r="AH257" s="30" t="str">
        <f>IFERROR(INDEX('G-7 WaterC'' Data'!$AZ$3:$AZ$7,MATCH(C257,'G-7 WaterC'' Data'!$AY$3:$AY$7,0)),"")</f>
        <v/>
      </c>
    </row>
    <row r="258" spans="2:34" ht="15">
      <c r="B258" s="110">
        <v>247</v>
      </c>
      <c r="C258" s="138"/>
      <c r="D258" s="139"/>
      <c r="E258" s="362" t="str">
        <f>IF(C258="","",VLOOKUP(C258,'G-7 WaterC'' Data'!$B$2:$G$8,2,FALSE))</f>
        <v/>
      </c>
      <c r="F258" s="363" t="str">
        <f>IFERROR(VLOOKUP(E258,'G-7 WaterC'' Data'!$C$4:$D$8,2,FALSE),"")</f>
        <v/>
      </c>
      <c r="G258" s="114"/>
      <c r="H258" s="363" t="str">
        <f>IFERROR(INDEX('G-7 WaterC'' Data'!$H$4:$L$8,MATCH(C258,'G-7 WaterC'' Data'!$B$4:$B$8,0),MATCH(G258,'G-7 WaterC'' Data'!$H$3:$L$3,0)),"")</f>
        <v/>
      </c>
      <c r="I258" s="54"/>
      <c r="J258" s="370" t="str">
        <f>IF(I258="","",IF(VLOOKUP(I258,'G-7 WaterC'' Data'!$AK$4:$AM$6,2,FALSE)=0,"Spatial Data Missing ⚠",VLOOKUP(I258,'G-7 WaterC'' Data'!$AK$4:$AM$6,2,FALSE)))</f>
        <v/>
      </c>
      <c r="K258" s="363" t="str">
        <f>IF(I258="","",IF(VLOOKUP(I258,'G-7 WaterC'' Data'!$AK$4:$AM$6,3,FALSE)=0,"Spatial Data Missing ⚠",VLOOKUP(I258,'G-7 WaterC'' Data'!$AK$4:$AM$6,3,FALSE)))</f>
        <v/>
      </c>
      <c r="L258" s="362" t="str">
        <f>IFERROR(INDEX('G-7 WaterC'' Data'!$O$3:$O$7,MATCH(G258,'G-7 WaterC'' Data'!$N$3:$N$7,0)),"")</f>
        <v/>
      </c>
      <c r="M258" s="63"/>
      <c r="N258" s="159"/>
      <c r="O258" s="370" t="str">
        <f t="shared" si="15"/>
        <v/>
      </c>
      <c r="P258" s="383" t="str">
        <f t="shared" si="16"/>
        <v/>
      </c>
      <c r="Q258" s="422" t="str">
        <f>IFERROR(IF(P258="Check Data ⚠","Check Data ⚠",VLOOKUP(P258,'G-4 Temporal multipliers'!$A$4:$C$37,3,FALSE)),"")</f>
        <v/>
      </c>
      <c r="R258" s="362" t="str">
        <f>IF(C258="","",VLOOKUP(C258,'G-7 WaterC'' Data'!$B$4:$G$8,4,FALSE))</f>
        <v/>
      </c>
      <c r="S258" s="370" t="str">
        <f t="shared" si="17"/>
        <v/>
      </c>
      <c r="T258" s="401" t="str">
        <f t="shared" si="18"/>
        <v/>
      </c>
      <c r="U258" s="363" t="str">
        <f>IF(C258="","",VLOOKUP(T258,'G-3 Multipliers'!$P$2:$Q$6,2,FALSE))</f>
        <v/>
      </c>
      <c r="V258" s="115"/>
      <c r="W258" s="363" t="str">
        <f>IF(V258="","",IF(VLOOKUP(V258,'G-7 WaterC'' Data'!$AA$4:$AB$7,2,FALSE)=0,"Spatial Data Missing ⚠",VLOOKUP(V258,'G-7 WaterC'' Data'!$AA$4:$AB$7,2,FALSE)))</f>
        <v/>
      </c>
      <c r="X258" s="60"/>
      <c r="Y258" s="363" t="str">
        <f>IF(X258="","",IF(VLOOKUP(X258,'G-7 WaterC'' Data'!$AD$4:$AE$14,2,FALSE)=0,"Enrcoachment Data Missing ⚠",VLOOKUP(X258,'G-7 WaterC'' Data'!$AD$4:$AE$14,2,FALSE)))</f>
        <v/>
      </c>
      <c r="Z258" s="423" t="str">
        <f t="shared" si="19"/>
        <v/>
      </c>
      <c r="AA258" s="117"/>
      <c r="AB258" s="118"/>
      <c r="AC258" s="120"/>
      <c r="AH258" s="30" t="str">
        <f>IFERROR(INDEX('G-7 WaterC'' Data'!$AZ$3:$AZ$7,MATCH(C258,'G-7 WaterC'' Data'!$AY$3:$AY$7,0)),"")</f>
        <v/>
      </c>
    </row>
    <row r="259" spans="2:34" ht="15.75" thickBot="1">
      <c r="B259" s="126">
        <v>248</v>
      </c>
      <c r="C259" s="127"/>
      <c r="D259" s="128"/>
      <c r="E259" s="364" t="str">
        <f>IF(C259="","",VLOOKUP(C259,'G-7 WaterC'' Data'!$B$2:$G$8,2,FALSE))</f>
        <v/>
      </c>
      <c r="F259" s="365" t="str">
        <f>IFERROR(VLOOKUP(E259,'G-7 WaterC'' Data'!$C$4:$D$8,2,FALSE),"")</f>
        <v/>
      </c>
      <c r="G259" s="129"/>
      <c r="H259" s="365" t="str">
        <f>IFERROR(INDEX('G-7 WaterC'' Data'!$H$4:$L$8,MATCH(C259,'G-7 WaterC'' Data'!$B$4:$B$8,0),MATCH(G259,'G-7 WaterC'' Data'!$H$3:$L$3,0)),"")</f>
        <v/>
      </c>
      <c r="I259" s="54"/>
      <c r="J259" s="370" t="str">
        <f>IF(I259="","",IF(VLOOKUP(I259,'G-7 WaterC'' Data'!$AK$4:$AM$6,2,FALSE)=0,"Spatial Data Missing ⚠",VLOOKUP(I259,'G-7 WaterC'' Data'!$AK$4:$AM$6,2,FALSE)))</f>
        <v/>
      </c>
      <c r="K259" s="363" t="str">
        <f>IF(I259="","",IF(VLOOKUP(I259,'G-7 WaterC'' Data'!$AK$4:$AM$6,3,FALSE)=0,"Spatial Data Missing ⚠",VLOOKUP(I259,'G-7 WaterC'' Data'!$AK$4:$AM$6,3,FALSE)))</f>
        <v/>
      </c>
      <c r="L259" s="364" t="str">
        <f>IFERROR(INDEX('G-7 WaterC'' Data'!$O$3:$O$7,MATCH(G259,'G-7 WaterC'' Data'!$N$3:$N$7,0)),"")</f>
        <v/>
      </c>
      <c r="M259" s="63"/>
      <c r="N259" s="168"/>
      <c r="O259" s="370" t="str">
        <f t="shared" si="15"/>
        <v/>
      </c>
      <c r="P259" s="383" t="str">
        <f t="shared" si="16"/>
        <v/>
      </c>
      <c r="Q259" s="422" t="str">
        <f>IFERROR(IF(P259="Check Data ⚠","Check Data ⚠",VLOOKUP(P259,'G-4 Temporal multipliers'!$A$4:$C$37,3,FALSE)),"")</f>
        <v/>
      </c>
      <c r="R259" s="364" t="str">
        <f>IF(C259="","",VLOOKUP(C259,'G-7 WaterC'' Data'!$B$4:$G$8,4,FALSE))</f>
        <v/>
      </c>
      <c r="S259" s="370" t="str">
        <f t="shared" si="17"/>
        <v/>
      </c>
      <c r="T259" s="401" t="str">
        <f t="shared" si="18"/>
        <v/>
      </c>
      <c r="U259" s="363" t="str">
        <f>IF(C259="","",VLOOKUP(T259,'G-3 Multipliers'!$P$2:$Q$6,2,FALSE))</f>
        <v/>
      </c>
      <c r="V259" s="115"/>
      <c r="W259" s="363" t="str">
        <f>IF(V259="","",IF(VLOOKUP(V259,'G-7 WaterC'' Data'!$AA$4:$AB$7,2,FALSE)=0,"Spatial Data Missing ⚠",VLOOKUP(V259,'G-7 WaterC'' Data'!$AA$4:$AB$7,2,FALSE)))</f>
        <v/>
      </c>
      <c r="X259" s="60"/>
      <c r="Y259" s="363" t="str">
        <f>IF(X259="","",IF(VLOOKUP(X259,'G-7 WaterC'' Data'!$AD$4:$AE$14,2,FALSE)=0,"Enrcoachment Data Missing ⚠",VLOOKUP(X259,'G-7 WaterC'' Data'!$AD$4:$AE$14,2,FALSE)))</f>
        <v/>
      </c>
      <c r="Z259" s="351" t="str">
        <f t="shared" si="19"/>
        <v/>
      </c>
      <c r="AA259" s="130"/>
      <c r="AB259" s="131"/>
      <c r="AC259" s="131"/>
      <c r="AH259" s="30" t="str">
        <f>IFERROR(INDEX('G-7 WaterC'' Data'!$AZ$3:$AZ$7,MATCH(C259,'G-7 WaterC'' Data'!$AY$3:$AY$7,0)),"")</f>
        <v/>
      </c>
    </row>
    <row r="260" spans="2:34" ht="15.75" thickBot="1">
      <c r="B260" s="34"/>
      <c r="C260" s="223"/>
      <c r="D260" s="366">
        <f>SUM(D12:D259)</f>
        <v>0</v>
      </c>
      <c r="E260" s="34"/>
      <c r="F260" s="34"/>
      <c r="G260" s="34"/>
      <c r="H260" s="34"/>
      <c r="I260" s="34"/>
      <c r="J260" s="34"/>
      <c r="K260" s="34"/>
      <c r="L260" s="34"/>
      <c r="M260" s="34"/>
      <c r="N260" s="34"/>
      <c r="O260" s="34"/>
      <c r="P260" s="34"/>
      <c r="Q260" s="34"/>
      <c r="R260" s="34"/>
      <c r="S260" s="34"/>
      <c r="T260" s="34"/>
      <c r="U260" s="34"/>
      <c r="V260" s="34"/>
      <c r="W260" s="34"/>
      <c r="X260" s="1529"/>
      <c r="Y260" s="1529"/>
      <c r="Z260" s="366">
        <f>SUM(Z12:Z259)</f>
        <v>0</v>
      </c>
      <c r="AA260" s="34"/>
      <c r="AB260" s="34"/>
    </row>
    <row r="261" spans="2:34" ht="28.9" customHeight="1"/>
    <row r="262" spans="2:34" ht="27" customHeight="1"/>
    <row r="263" spans="2:34" ht="15" hidden="1"/>
    <row r="264" spans="2:34" ht="15" hidden="1"/>
    <row r="265" spans="2:34" ht="15" hidden="1"/>
    <row r="266" spans="2:34" ht="15" hidden="1"/>
    <row r="267" spans="2:34" ht="15" hidden="1"/>
    <row r="268" spans="2:34" ht="15" hidden="1"/>
  </sheetData>
  <sheetProtection algorithmName="SHA-512" hashValue="u0Q/HH8lCm6Z3YdE0Vmj5BsZSVxM5HqdjFwpNSTvaksHQRG4++GXLUtYhXbjcC6K5Tv0kG9wRnpSCLrvbjSVJw==" saltValue="F01YVU2rL7WUXAmDVopCQQ==" spinCount="100000" sheet="1" objects="1" scenarios="1"/>
  <customSheetViews>
    <customSheetView guid="{8BDA793C-C9C5-4FC6-A0A5-F1109F6D4F22}" state="hidden">
      <pane ySplit="11" topLeftCell="A12" activePane="bottomLeft" state="frozen"/>
      <selection pane="bottomLeft" activeCell="D14" sqref="D14"/>
    </customSheetView>
  </customSheetViews>
  <mergeCells count="22">
    <mergeCell ref="AA10:AB10"/>
    <mergeCell ref="L10:Q10"/>
    <mergeCell ref="M5:O5"/>
    <mergeCell ref="I3:O3"/>
    <mergeCell ref="M4:O4"/>
    <mergeCell ref="V2:AA4"/>
    <mergeCell ref="V5:Z6"/>
    <mergeCell ref="V10:W10"/>
    <mergeCell ref="X10:Y10"/>
    <mergeCell ref="Z10:Z11"/>
    <mergeCell ref="R10:U10"/>
    <mergeCell ref="X260:Y260"/>
    <mergeCell ref="I6:L6"/>
    <mergeCell ref="M6:O6"/>
    <mergeCell ref="B2:E2"/>
    <mergeCell ref="B3:E4"/>
    <mergeCell ref="I10:K10"/>
    <mergeCell ref="C10:D10"/>
    <mergeCell ref="E10:F10"/>
    <mergeCell ref="G10:H10"/>
    <mergeCell ref="I4:L4"/>
    <mergeCell ref="I5:L5"/>
  </mergeCells>
  <conditionalFormatting sqref="Z12:Z259">
    <cfRule type="containsText" dxfId="165" priority="29" operator="containsText" text="Existing Value Not Required">
      <formula>NOT(ISERROR(SEARCH("Existing Value Not Required",Z12)))</formula>
    </cfRule>
    <cfRule type="containsText" dxfId="164" priority="30" operator="containsText" text="Existing Value Required">
      <formula>NOT(ISERROR(SEARCH("Existing Value Required",Z12)))</formula>
    </cfRule>
  </conditionalFormatting>
  <conditionalFormatting sqref="J12:K259">
    <cfRule type="containsText" dxfId="163" priority="28" operator="containsText" text="Spatial">
      <formula>NOT(ISERROR(SEARCH("Spatial",J12)))</formula>
    </cfRule>
  </conditionalFormatting>
  <conditionalFormatting sqref="O12:Q259">
    <cfRule type="cellIs" dxfId="162" priority="16" operator="equal">
      <formula>"30+ ⚠"</formula>
    </cfRule>
    <cfRule type="containsText" dxfId="161" priority="26" operator="containsText" text="Check">
      <formula>NOT(ISERROR(SEARCH("Check",O12)))</formula>
    </cfRule>
    <cfRule type="containsText" dxfId="160" priority="27" operator="containsText" text="Error">
      <formula>NOT(ISERROR(SEARCH("Error",O12)))</formula>
    </cfRule>
  </conditionalFormatting>
  <conditionalFormatting sqref="S12:Z259">
    <cfRule type="containsText" dxfId="159" priority="22" operator="containsText" text="Error">
      <formula>NOT(ISERROR(SEARCH("Error",S12)))</formula>
    </cfRule>
    <cfRule type="containsText" dxfId="158" priority="23" operator="containsText" text="Check">
      <formula>NOT(ISERROR(SEARCH("Check",S12)))</formula>
    </cfRule>
  </conditionalFormatting>
  <conditionalFormatting sqref="S12:S259">
    <cfRule type="beginsWith" dxfId="157" priority="21" operator="beginsWith" text="No - Low Difficulty">
      <formula>LEFT(S12,LEN("No - Low Difficulty"))="No - Low Difficulty"</formula>
    </cfRule>
  </conditionalFormatting>
  <conditionalFormatting sqref="W12:W259">
    <cfRule type="containsText" dxfId="156" priority="20" operator="containsText" text="Spatial">
      <formula>NOT(ISERROR(SEARCH("Spatial",W12)))</formula>
    </cfRule>
  </conditionalFormatting>
  <conditionalFormatting sqref="Y12:Y259">
    <cfRule type="containsText" dxfId="155" priority="19" operator="containsText" text="Missing">
      <formula>NOT(ISERROR(SEARCH("Missing",Y12)))</formula>
    </cfRule>
  </conditionalFormatting>
  <conditionalFormatting sqref="H12:H259">
    <cfRule type="beginsWith" dxfId="154" priority="18" operator="beginsWith" text="Not Possible">
      <formula>LEFT(H12,LEN("Not Possible"))="Not Possible"</formula>
    </cfRule>
  </conditionalFormatting>
  <conditionalFormatting sqref="L7:P7 V2">
    <cfRule type="containsText" dxfId="153" priority="17" operator="containsText" text="Note">
      <formula>NOT(ISERROR(SEARCH("Note",L2)))</formula>
    </cfRule>
  </conditionalFormatting>
  <conditionalFormatting sqref="M4">
    <cfRule type="containsText" dxfId="152" priority="14" operator="containsText" text="Error">
      <formula>NOT(ISERROR(SEARCH("Error",M4)))</formula>
    </cfRule>
    <cfRule type="containsText" dxfId="151" priority="15" operator="containsText" text="Check">
      <formula>NOT(ISERROR(SEARCH("Check",M4)))</formula>
    </cfRule>
  </conditionalFormatting>
  <conditionalFormatting sqref="M5">
    <cfRule type="containsText" dxfId="150" priority="3" operator="containsText" text="Error">
      <formula>NOT(ISERROR(SEARCH("Error",M5)))</formula>
    </cfRule>
    <cfRule type="containsText" dxfId="149" priority="4" operator="containsText" text="Check">
      <formula>NOT(ISERROR(SEARCH("Check",M5)))</formula>
    </cfRule>
  </conditionalFormatting>
  <conditionalFormatting sqref="V2 V5">
    <cfRule type="containsText" dxfId="148" priority="9" operator="containsText" text="Error">
      <formula>NOT(ISERROR(SEARCH("Error",V2)))</formula>
    </cfRule>
  </conditionalFormatting>
  <conditionalFormatting sqref="V5:Z6">
    <cfRule type="containsText" dxfId="147" priority="8" operator="containsText" text="Check">
      <formula>NOT(ISERROR(SEARCH("Check",V5)))</formula>
    </cfRule>
  </conditionalFormatting>
  <conditionalFormatting sqref="M6">
    <cfRule type="containsText" dxfId="146" priority="6" operator="containsText" text="No">
      <formula>NOT(ISERROR(SEARCH("No",M6)))</formula>
    </cfRule>
    <cfRule type="containsText" dxfId="145" priority="7" operator="containsText" text="Yes">
      <formula>NOT(ISERROR(SEARCH("Yes",M6)))</formula>
    </cfRule>
  </conditionalFormatting>
  <conditionalFormatting sqref="M5:O5">
    <cfRule type="cellIs" dxfId="144" priority="2" operator="equal">
      <formula>0</formula>
    </cfRule>
    <cfRule type="cellIs" dxfId="143" priority="5" operator="lessThan">
      <formula>0</formula>
    </cfRule>
  </conditionalFormatting>
  <conditionalFormatting sqref="M4:O6">
    <cfRule type="containsText" dxfId="142" priority="1" operator="containsText" text="N/A">
      <formula>NOT(ISERROR(SEARCH("N/A",M4)))</formula>
    </cfRule>
  </conditionalFormatting>
  <dataValidations count="3">
    <dataValidation type="list" allowBlank="1" showInputMessage="1" showErrorMessage="1" sqref="G12:G259" xr:uid="{00000000-0002-0000-1900-000000000000}">
      <formula1>INDIRECT(AH12)</formula1>
    </dataValidation>
    <dataValidation type="list" allowBlank="1" showInputMessage="1" showErrorMessage="1" sqref="V12:V259" xr:uid="{E5ED14EB-7AAD-4CCC-8D4C-187B077F5FF3}">
      <formula1>IF(C12="Culvert",riparianencroachment2,riparianencroachment1)</formula1>
    </dataValidation>
    <dataValidation type="list" allowBlank="1" showInputMessage="1" showErrorMessage="1" sqref="X12:X259" xr:uid="{715F5744-C7FB-45AD-BCC9-047294F1BEFE}">
      <formula1>IF(C12="Culvert",Encroachment2,Encroachment1)</formula1>
    </dataValidation>
  </dataValidations>
  <pageMargins left="0.7" right="0.7" top="0.75" bottom="0.75" header="0.3" footer="0.3"/>
  <pageSetup paperSize="9" orientation="portrait" horizontalDpi="90" verticalDpi="90" r:id="rId1"/>
  <drawing r:id="rId2"/>
  <extLst>
    <ext xmlns:x14="http://schemas.microsoft.com/office/spreadsheetml/2009/9/main" uri="{78C0D931-6437-407d-A8EE-F0AAD7539E65}">
      <x14:conditionalFormattings>
        <x14:conditionalFormatting xmlns:xm="http://schemas.microsoft.com/office/excel/2006/main">
          <x14:cfRule type="cellIs" priority="446" operator="lessThan" id="{84BACA77-6ED3-4402-B70B-8E87E52B228F}">
            <xm:f>Start!$F$22</xm:f>
            <x14:dxf>
              <font>
                <color rgb="FF383745"/>
              </font>
              <fill>
                <patternFill>
                  <bgColor rgb="FFFFC000"/>
                </patternFill>
              </fill>
            </x14:dxf>
          </x14:cfRule>
          <x14:cfRule type="cellIs" priority="447" operator="greaterThanOrEqual" id="{1DDB35E0-9F96-4A59-9099-5FC45D1AEB5F}">
            <xm:f>Start!$F$22</xm:f>
            <x14:dxf>
              <font>
                <color rgb="FF383745"/>
              </font>
              <fill>
                <patternFill>
                  <bgColor rgb="FF92D050"/>
                </patternFill>
              </fill>
            </x14:dxf>
          </x14:cfRule>
          <xm:sqref>M5:O5</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00000000-0002-0000-1900-000004000000}">
          <x14:formula1>
            <xm:f>'G-7 WaterC'' Data'!$B$4:$B$8</xm:f>
          </x14:formula1>
          <xm:sqref>C12:C259</xm:sqref>
        </x14:dataValidation>
        <x14:dataValidation type="list" allowBlank="1" showInputMessage="1" showErrorMessage="1" xr:uid="{25777F3A-E1C1-4658-AE53-D4B933CB57A5}">
          <x14:formula1>
            <xm:f>IF(C12="Culvert",'G-7 WaterC'' Data'!$AK$6,'G-7 WaterC'' Data'!$AK$4:$AK$6)</xm:f>
          </x14:formula1>
          <xm:sqref>I12:I259</xm:sqref>
        </x14:dataValidation>
        <x14:dataValidation type="list" allowBlank="1" showInputMessage="1" showErrorMessage="1" xr:uid="{00000000-0002-0000-1900-000006000000}">
          <x14:formula1>
            <xm:f>'G-4 Temporal multipliers'!$A$42:$A$73</xm:f>
          </x14:formula1>
          <xm:sqref>M12:N259</xm:sqref>
        </x14:dataValidation>
      </x14:dataValidations>
    </ext>
  </extLst>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8">
    <tabColor rgb="FF0033CC"/>
  </sheetPr>
  <dimension ref="A1:BD266"/>
  <sheetViews>
    <sheetView showGridLines="0" zoomScale="80" zoomScaleNormal="80" workbookViewId="0">
      <pane ySplit="11" topLeftCell="A12" activePane="bottomLeft" state="frozen"/>
      <selection pane="bottomLeft"/>
    </sheetView>
  </sheetViews>
  <sheetFormatPr defaultColWidth="0" defaultRowHeight="0" customHeight="1" zeroHeight="1"/>
  <cols>
    <col min="1" max="1" width="2.7109375" style="30" customWidth="1"/>
    <col min="2" max="2" width="14.28515625" style="30" customWidth="1"/>
    <col min="3" max="3" width="41.28515625" style="30" customWidth="1"/>
    <col min="4" max="4" width="9" style="30" customWidth="1"/>
    <col min="5" max="5" width="18.7109375" style="30" customWidth="1"/>
    <col min="6" max="7" width="18.28515625" style="30" customWidth="1"/>
    <col min="8" max="8" width="19.28515625" style="30" customWidth="1"/>
    <col min="9" max="9" width="25.7109375" style="30" customWidth="1"/>
    <col min="10" max="13" width="19.28515625" style="30" customWidth="1"/>
    <col min="14" max="14" width="45.7109375" style="30" customWidth="1"/>
    <col min="15" max="15" width="34.28515625" style="30" customWidth="1"/>
    <col min="16" max="16" width="46.7109375" style="30" customWidth="1"/>
    <col min="17" max="17" width="10" style="30" customWidth="1"/>
    <col min="18" max="18" width="19.42578125" style="30" customWidth="1"/>
    <col min="19" max="19" width="13.28515625" style="30" customWidth="1"/>
    <col min="20" max="20" width="12.5703125" style="30" bestFit="1" customWidth="1"/>
    <col min="21" max="21" width="12.5703125" style="30" customWidth="1"/>
    <col min="22" max="22" width="33.7109375" style="30" customWidth="1"/>
    <col min="23" max="23" width="15.42578125" style="30" customWidth="1"/>
    <col min="24" max="24" width="12.28515625" style="30" customWidth="1"/>
    <col min="25" max="25" width="18.42578125" style="30" customWidth="1"/>
    <col min="26" max="26" width="21" style="30" customWidth="1"/>
    <col min="27" max="27" width="24.42578125" style="30" customWidth="1"/>
    <col min="28" max="28" width="34.42578125" style="30" customWidth="1"/>
    <col min="29" max="29" width="18.42578125" style="30" customWidth="1"/>
    <col min="30" max="30" width="15.28515625" style="30" customWidth="1"/>
    <col min="31" max="31" width="16.5703125" style="30" customWidth="1"/>
    <col min="32" max="32" width="28.28515625" style="30" customWidth="1"/>
    <col min="33" max="33" width="16.28515625" style="30" customWidth="1"/>
    <col min="34" max="34" width="15.28515625" style="30" customWidth="1"/>
    <col min="35" max="35" width="17.5703125" style="30" customWidth="1"/>
    <col min="36" max="36" width="15.28515625" style="30" customWidth="1"/>
    <col min="37" max="37" width="19.5703125" style="30" customWidth="1"/>
    <col min="38" max="38" width="12.7109375" style="30" customWidth="1"/>
    <col min="39" max="39" width="15.28515625" style="30" customWidth="1"/>
    <col min="40" max="41" width="34.7109375" style="30" customWidth="1"/>
    <col min="42" max="42" width="14.28515625" style="30" customWidth="1"/>
    <col min="43" max="47" width="8.7109375" style="30" customWidth="1"/>
    <col min="48" max="48" width="10.7109375" style="30" hidden="1" customWidth="1"/>
    <col min="49" max="56" width="0" style="30" hidden="1" customWidth="1"/>
    <col min="57" max="16384" width="8.7109375" style="30" hidden="1"/>
  </cols>
  <sheetData>
    <row r="1" spans="2:48" ht="20.65" customHeight="1" thickBot="1"/>
    <row r="2" spans="2:48" ht="27" customHeight="1" thickBot="1">
      <c r="B2" s="1554" t="str">
        <f>CONCATENATE("Project Name:", " ", Start!F12, "     ", "Map Reference:", " ", Start!K55)</f>
        <v xml:space="preserve">Project Name: Grove Farm Solar     Map Reference: </v>
      </c>
      <c r="C2" s="1555"/>
      <c r="D2" s="1555"/>
      <c r="E2" s="1556"/>
      <c r="O2" s="1595" t="s">
        <v>404</v>
      </c>
      <c r="P2" s="1596"/>
      <c r="Q2" s="510"/>
      <c r="R2" s="102"/>
      <c r="S2" s="1518" t="str" cm="1">
        <f t="array" ref="S2">IF(OR(T12:T257 = "Fairly Good", T12:T257 = "Fairly Poor"),"A 'Fairly' Category has been used - check evidence to ensure this is appropriate ⚠", "")</f>
        <v/>
      </c>
      <c r="T2" s="1518"/>
      <c r="U2" s="1518"/>
      <c r="V2" s="1518"/>
      <c r="W2" s="1518"/>
      <c r="X2" s="1518"/>
      <c r="Y2" s="1463" t="str">
        <f>IF(OR(COUNTIF($Y$12:Y259,"*30+*")&gt;0,COUNTIF($AC$12:AC259,"*30+*")&gt;0),"Note; Habitat selected has a time to target condition greater than 30 years. Non standard agreement may be required. ⚠","")</f>
        <v/>
      </c>
      <c r="Z2" s="1463"/>
      <c r="AA2" s="1463"/>
      <c r="AB2" s="1463"/>
      <c r="AC2" s="1463"/>
      <c r="AD2" s="1463"/>
    </row>
    <row r="3" spans="2:48" ht="18" customHeight="1" thickBot="1">
      <c r="B3" s="1610" t="str">
        <f ca="1">MID(CELL("filename",A1),FIND("]",CELL("filename",A1))+1,256)</f>
        <v>C-3 On-Site WaterC' Enhancement</v>
      </c>
      <c r="C3" s="1611"/>
      <c r="D3" s="1611"/>
      <c r="E3" s="1612"/>
      <c r="O3" s="535" t="s">
        <v>263</v>
      </c>
      <c r="P3" s="512">
        <f>'Headline Results'!H49</f>
        <v>0</v>
      </c>
      <c r="Q3" s="509"/>
      <c r="S3" s="1518"/>
      <c r="T3" s="1518"/>
      <c r="U3" s="1518"/>
      <c r="V3" s="1518"/>
      <c r="W3" s="1518"/>
      <c r="X3" s="1518"/>
      <c r="Y3" s="1463"/>
      <c r="Z3" s="1463"/>
      <c r="AA3" s="1463"/>
      <c r="AB3" s="1463"/>
      <c r="AC3" s="1463"/>
      <c r="AD3" s="1463"/>
    </row>
    <row r="4" spans="2:48" ht="21" customHeight="1" thickBot="1">
      <c r="B4" s="1610"/>
      <c r="C4" s="1611"/>
      <c r="D4" s="1611"/>
      <c r="E4" s="1612"/>
      <c r="O4" s="506" t="s">
        <v>265</v>
      </c>
      <c r="P4" s="581">
        <f>'Headline Results'!H53</f>
        <v>0</v>
      </c>
      <c r="Q4" s="509"/>
      <c r="S4" s="1518"/>
      <c r="T4" s="1518"/>
      <c r="U4" s="1518"/>
      <c r="V4" s="1518"/>
      <c r="W4" s="1518"/>
      <c r="X4" s="1518"/>
      <c r="Y4" s="1463"/>
      <c r="Z4" s="1463"/>
      <c r="AA4" s="1463"/>
      <c r="AB4" s="1463"/>
      <c r="AC4" s="1463"/>
      <c r="AD4" s="1463"/>
    </row>
    <row r="5" spans="2:48" ht="15.6" customHeight="1" thickBot="1">
      <c r="O5" s="536" t="s">
        <v>267</v>
      </c>
      <c r="P5" s="504" t="str" cm="1">
        <f t="array" ref="P5">IF(OR('Trading Summary WaterC''s'!G5:H8="No ▲"), "No - check trading summary ▲", "Yes ✓")</f>
        <v>Yes ✓</v>
      </c>
      <c r="Q5" s="509"/>
      <c r="R5" s="509"/>
      <c r="AH5" s="158"/>
      <c r="AI5" s="158"/>
      <c r="AJ5" s="158"/>
      <c r="AK5" s="158"/>
      <c r="AL5" s="158"/>
    </row>
    <row r="6" spans="2:48" ht="16.149999999999999" customHeight="1">
      <c r="F6" s="101"/>
    </row>
    <row r="7" spans="2:48" ht="15"/>
    <row r="8" spans="2:48" ht="15.75" thickBot="1"/>
    <row r="9" spans="2:48" ht="15.75" thickBot="1">
      <c r="C9" s="101"/>
      <c r="D9" s="101"/>
      <c r="E9" s="101"/>
      <c r="F9" s="101"/>
      <c r="G9" s="101"/>
      <c r="H9" s="101"/>
      <c r="I9" s="101"/>
      <c r="J9" s="101"/>
      <c r="K9" s="101"/>
      <c r="L9" s="101"/>
      <c r="M9" s="101"/>
      <c r="N9" s="1542" t="s">
        <v>311</v>
      </c>
      <c r="O9" s="1543"/>
      <c r="P9" s="1543"/>
      <c r="Q9" s="1543"/>
      <c r="R9" s="1543"/>
      <c r="S9" s="1543"/>
      <c r="T9" s="1543"/>
      <c r="U9" s="1543"/>
      <c r="V9" s="1543"/>
      <c r="W9" s="1543"/>
      <c r="X9" s="1543"/>
      <c r="Y9" s="1543"/>
      <c r="Z9" s="1543"/>
      <c r="AA9" s="1543"/>
      <c r="AB9" s="1543"/>
      <c r="AC9" s="1543"/>
      <c r="AD9" s="1543"/>
      <c r="AE9" s="1543"/>
      <c r="AF9" s="1543"/>
      <c r="AG9" s="1543"/>
      <c r="AH9" s="1543"/>
      <c r="AI9" s="1543"/>
      <c r="AJ9" s="1543"/>
      <c r="AK9" s="1543"/>
      <c r="AL9" s="1544"/>
      <c r="AM9" s="332"/>
    </row>
    <row r="10" spans="2:48" s="33" customFormat="1" ht="27" customHeight="1" thickBot="1">
      <c r="C10" s="1534" t="s">
        <v>332</v>
      </c>
      <c r="D10" s="1534"/>
      <c r="E10" s="1534"/>
      <c r="F10" s="1534"/>
      <c r="G10" s="1534"/>
      <c r="H10" s="1534"/>
      <c r="I10" s="1534"/>
      <c r="J10" s="1534"/>
      <c r="K10" s="1534"/>
      <c r="L10" s="1534"/>
      <c r="M10" s="1534"/>
      <c r="N10" s="1573" t="s">
        <v>420</v>
      </c>
      <c r="O10" s="1589" t="s">
        <v>334</v>
      </c>
      <c r="P10" s="1589"/>
      <c r="Q10" s="1552" t="s">
        <v>34</v>
      </c>
      <c r="R10" s="1552" t="s">
        <v>421</v>
      </c>
      <c r="S10" s="1552"/>
      <c r="T10" s="1552" t="s">
        <v>422</v>
      </c>
      <c r="U10" s="1552"/>
      <c r="V10" s="1573" t="s">
        <v>271</v>
      </c>
      <c r="W10" s="1574"/>
      <c r="X10" s="1575"/>
      <c r="Y10" s="1573" t="s">
        <v>314</v>
      </c>
      <c r="Z10" s="1574"/>
      <c r="AA10" s="1574"/>
      <c r="AB10" s="1574"/>
      <c r="AC10" s="1574"/>
      <c r="AD10" s="1575"/>
      <c r="AE10" s="1573" t="s">
        <v>315</v>
      </c>
      <c r="AF10" s="1574"/>
      <c r="AG10" s="1574"/>
      <c r="AH10" s="1575"/>
      <c r="AI10" s="1552" t="s">
        <v>406</v>
      </c>
      <c r="AJ10" s="1552"/>
      <c r="AK10" s="1573" t="s">
        <v>407</v>
      </c>
      <c r="AL10" s="1575"/>
      <c r="AM10" s="1552" t="s">
        <v>418</v>
      </c>
      <c r="AN10" s="1315" t="s">
        <v>276</v>
      </c>
      <c r="AO10" s="1313"/>
    </row>
    <row r="11" spans="2:48" ht="62.25" customHeight="1" thickBot="1">
      <c r="B11" s="719" t="s">
        <v>339</v>
      </c>
      <c r="C11" s="140" t="s">
        <v>340</v>
      </c>
      <c r="D11" s="145" t="s">
        <v>34</v>
      </c>
      <c r="E11" s="145" t="s">
        <v>342</v>
      </c>
      <c r="F11" s="145" t="s">
        <v>343</v>
      </c>
      <c r="G11" s="145" t="s">
        <v>344</v>
      </c>
      <c r="H11" s="145" t="s">
        <v>345</v>
      </c>
      <c r="I11" s="145" t="s">
        <v>346</v>
      </c>
      <c r="J11" s="145" t="s">
        <v>271</v>
      </c>
      <c r="K11" s="145" t="s">
        <v>423</v>
      </c>
      <c r="L11" s="145" t="s">
        <v>272</v>
      </c>
      <c r="M11" s="144" t="s">
        <v>424</v>
      </c>
      <c r="N11" s="1614"/>
      <c r="O11" s="126" t="s">
        <v>395</v>
      </c>
      <c r="P11" s="861" t="s">
        <v>396</v>
      </c>
      <c r="Q11" s="1588"/>
      <c r="R11" s="126" t="s">
        <v>269</v>
      </c>
      <c r="S11" s="861" t="s">
        <v>286</v>
      </c>
      <c r="T11" s="126" t="s">
        <v>270</v>
      </c>
      <c r="U11" s="861" t="s">
        <v>286</v>
      </c>
      <c r="V11" s="126" t="s">
        <v>271</v>
      </c>
      <c r="W11" s="874" t="s">
        <v>271</v>
      </c>
      <c r="X11" s="861" t="s">
        <v>317</v>
      </c>
      <c r="Y11" s="126" t="s">
        <v>392</v>
      </c>
      <c r="Z11" s="874" t="s">
        <v>377</v>
      </c>
      <c r="AA11" s="874" t="s">
        <v>354</v>
      </c>
      <c r="AB11" s="874" t="s">
        <v>321</v>
      </c>
      <c r="AC11" s="874" t="s">
        <v>322</v>
      </c>
      <c r="AD11" s="861" t="s">
        <v>397</v>
      </c>
      <c r="AE11" s="126" t="s">
        <v>398</v>
      </c>
      <c r="AF11" s="874" t="s">
        <v>1679</v>
      </c>
      <c r="AG11" s="874" t="s">
        <v>356</v>
      </c>
      <c r="AH11" s="861" t="s">
        <v>327</v>
      </c>
      <c r="AI11" s="126" t="s">
        <v>409</v>
      </c>
      <c r="AJ11" s="861" t="s">
        <v>410</v>
      </c>
      <c r="AK11" s="126" t="s">
        <v>411</v>
      </c>
      <c r="AL11" s="861" t="s">
        <v>410</v>
      </c>
      <c r="AM11" s="1588"/>
      <c r="AN11" s="126" t="s">
        <v>295</v>
      </c>
      <c r="AO11" s="861" t="s">
        <v>296</v>
      </c>
      <c r="AP11" s="48" t="s">
        <v>297</v>
      </c>
      <c r="AV11" s="210" t="s">
        <v>280</v>
      </c>
    </row>
    <row r="12" spans="2:48" ht="15">
      <c r="B12" s="863" t="str">
        <f>'C-1 On-Site WaterC'' Baseline'!AO10</f>
        <v/>
      </c>
      <c r="C12" s="370" t="str">
        <f>IF(B12="","",VLOOKUP($B12,'C-1 On-Site WaterC'' Baseline'!$C$9:$R$257,2,FALSE))</f>
        <v/>
      </c>
      <c r="D12" s="370" t="str">
        <f>IF(C12="","",VLOOKUP($B12,'C-1 On-Site WaterC'' Baseline'!$C$9:$R$257,3,FALSE))</f>
        <v/>
      </c>
      <c r="E12" s="370" t="str">
        <f>IF(D12="","",VLOOKUP($B12,'C-1 On-Site WaterC'' Baseline'!$C$9:$R$257,4,FALSE))</f>
        <v/>
      </c>
      <c r="F12" s="370" t="str">
        <f>IF(E12="","",VLOOKUP($B12,'C-1 On-Site WaterC'' Baseline'!$C$9:$R$257,5,FALSE))</f>
        <v/>
      </c>
      <c r="G12" s="370" t="str">
        <f>IF(F12="","",VLOOKUP($B12,'C-1 On-Site WaterC'' Baseline'!$C$9:$R$257,6,FALSE))</f>
        <v/>
      </c>
      <c r="H12" s="370" t="str">
        <f>IF(G12="","",VLOOKUP($B12,'C-1 On-Site WaterC'' Baseline'!$C$9:$R$257,7,FALSE))</f>
        <v/>
      </c>
      <c r="I12" s="370" t="str">
        <f>IF(H12="","",VLOOKUP($B12,'C-1 On-Site WaterC'' Baseline'!$C$9:$R$257,8,FALSE))</f>
        <v/>
      </c>
      <c r="J12" s="370" t="str">
        <f>IF(I12="","",VLOOKUP($B12,'C-1 On-Site WaterC'' Baseline'!$C$9:$R$257,9,FALSE))</f>
        <v/>
      </c>
      <c r="K12" s="370" t="str">
        <f>IF(J12="","",VLOOKUP($B12,'C-1 On-Site WaterC'' Baseline'!$C$9:$R$257,10,FALSE))</f>
        <v/>
      </c>
      <c r="L12" s="370" t="str">
        <f>IF(B12="","",VLOOKUP($B12,'C-1 On-Site WaterC'' Baseline'!$C$9:$R$257,15,FALSE))</f>
        <v/>
      </c>
      <c r="M12" s="363" t="str">
        <f>IF(L12="","",VLOOKUP($B12,'C-1 On-Site WaterC'' Baseline'!$C$9:$R$257,16,FALSE))</f>
        <v/>
      </c>
      <c r="N12" s="320" t="str">
        <f t="shared" ref="N12:N75" si="0">C12</f>
        <v/>
      </c>
      <c r="O12" s="362" t="str">
        <f>IF(B12="","",IF(S12&lt;F12,"Error Trading Down ▲",E12&amp;" - "&amp;R12))</f>
        <v/>
      </c>
      <c r="P12" s="363" t="str">
        <f>IF(C12="","",IF(AND(LEFT(C12,55)&lt;&gt;LEFT(N12,55),O12="High - High"),"Error - Not like for like ▲",IF(H12&gt;U12,"Error - Can not reduce condition ▲",IF(AND(F12=S12,H12=U12,AJ12='C-1 On-Site WaterC'' Baseline'!N10,'C-1 On-Site WaterC'' Baseline'!P10=AL12),"Error - No enhancement ▲",IF(AND(C12&lt;&gt;N12,F12&lt;S12),"Lower Distinctiveness Habitat"&amp;" - "&amp;T12,G12&amp;" - "&amp;T12)))))</f>
        <v/>
      </c>
      <c r="Q12" s="425" t="str">
        <f>IF(N12="","",VLOOKUP(B12,'C-1 On-Site WaterC'' Baseline'!$C$10:$AB$257,19,FALSE))</f>
        <v/>
      </c>
      <c r="R12" s="362" t="str">
        <f>IF(N12="","",VLOOKUP(N12,'G-7 WaterC'' Data'!$B$2:$G$8,2,FALSE))</f>
        <v/>
      </c>
      <c r="S12" s="363" t="str">
        <f>IFERROR(VLOOKUP(R12,'G-7 WaterC'' Data'!$C$4:$D$8,2,FALSE),"")</f>
        <v/>
      </c>
      <c r="T12" s="841"/>
      <c r="U12" s="790" t="str">
        <f>IFERROR(INDEX('G-7 WaterC'' Data'!$H$4:$L$8,MATCH(N12,'G-7 WaterC'' Data'!$B$4:$B$8,0),MATCH(T12,'G-7 WaterC'' Data'!$H$3:$L$3,0)),"")</f>
        <v/>
      </c>
      <c r="V12" s="841"/>
      <c r="W12" s="367" t="str">
        <f>IF(V12="","",IF(VLOOKUP(V12,'G-7 WaterC'' Data'!$AK$4:$AM$6,2,FALSE)=0,"Spatial Data Missing ⚠",VLOOKUP(V12,'G-7 WaterC'' Data'!$AK$4:$AM$6,2,FALSE)))</f>
        <v/>
      </c>
      <c r="X12" s="790" t="str">
        <f>IF(V12="","",IF(VLOOKUP(V12,'G-7 WaterC'' Data'!$AK$4:$AM$6,3,FALSE)=0,"Spatial Data Missing ⚠",VLOOKUP(V12,'G-7 WaterC'' Data'!$AK$4:$AM$6,3,FALSE)))</f>
        <v/>
      </c>
      <c r="Y12" s="443" t="str">
        <f>IFERROR(IF(OR(LEFT(P12,5)="Error",LEFT(O12,5)="Error ▲"),"Check Data ⚠",IF(F12&lt;S12,'G-7 WaterC'' Data'!$R$3,INDEX('G-7 WaterC'' Data'!$U$5:$Y$9,MATCH(G12,'G-7 WaterC'' Data'!$T$5:$T$9,0),MATCH(T12,'G-7 WaterC'' Data'!$U$4:$Y$4,0)))),"")</f>
        <v/>
      </c>
      <c r="Z12" s="842"/>
      <c r="AA12" s="842"/>
      <c r="AB12" s="367" t="str">
        <f>IF(Y12="","",IF(Y12="Check Data ⚠","Check Data ⚠",IF(AND(Z12&gt;0,AA12&gt;0),"Error -both advance and delayed habitat creation ▲",IF(AND(OR(Z12="Habitat already in target condition",Y12&lt;=Z12),AA12=0),"Check details - Is there evidence that habitat has reached target condition? ⚠",IF(Z12&gt;0,"Check details - Is there evidence habitat creation started/in place? ⚠",IF(AA12&gt;0,"Check details- Delay in starting habitat in required condition? ⚠","Standard time to target condition applied"))))))</f>
        <v/>
      </c>
      <c r="AC12" s="446" t="str">
        <f>IF(AB12="Error -both advance and delayed habitat creation ▲","Check Data ⚠",IF(AB12="Check Data ⚠","Check Data ⚠",IF(Y12="","",IF(Z12="30+",0,IF(AA12="30+","30+ ⚠",IF(Y12+AA12&gt;30,"30+ ⚠",IF(Y12+AA12-Z12&gt;0,Y12+AA12-Z12,IF(Y12-Z12&lt;0,0,Y12+AA12-Z12))))))))</f>
        <v/>
      </c>
      <c r="AD12" s="880" t="str">
        <f>IFERROR(IF(AC12="Check Data ⚠","Check Data ⚠",VLOOKUP(AC12,'G-4 Temporal multipliers'!$A$4:$C$37,3,FALSE)),"")</f>
        <v/>
      </c>
      <c r="AE12" s="443" t="str">
        <f>IF(N12="","",VLOOKUP(N12,'G-7 WaterC'' Data'!$B$4:$G$8,5,FALSE))</f>
        <v/>
      </c>
      <c r="AF12" s="367" t="str">
        <f>IF(N12="","",IF(AC12="Check Data ⚠","Check Data ⚠",IF(T12="","",IF($AB12="Check details - Is there evidence that habitat has reached target condition? ⚠","Low Difficulty - only applicable if all habitat created before losses ⚠","Standard difficulty applied"))))</f>
        <v/>
      </c>
      <c r="AG12" s="846" t="str">
        <f>(IF(AND(AF12="Standard difficulty applied",Y12&gt;Z12),AE12,IF(AND(AF12="Low Difficulty - only applicable if all habitat created before losses ⚠",Z12&gt;=Y12),"Low",AE12)))</f>
        <v/>
      </c>
      <c r="AH12" s="790" t="str">
        <f t="shared" ref="AH12:AH75" si="1">IF(N12="","",VLOOKUP(AE12,Difficulty,2,FALSE))</f>
        <v/>
      </c>
      <c r="AI12" s="841"/>
      <c r="AJ12" s="790" t="str">
        <f>IF(AI12="","",IF(VLOOKUP(AI12,'G-7 WaterC'' Data'!$AA$4:$AB$7,2,FALSE)=0,"Spatial Data Missing ⚠",VLOOKUP(AI12,'G-7 WaterC'' Data'!$AA$4:$AB$7,2,FALSE)))</f>
        <v/>
      </c>
      <c r="AK12" s="881"/>
      <c r="AL12" s="790" t="str">
        <f>IF(AK12="","",IF(VLOOKUP(AK12,'G-7 WaterC'' Data'!$AD$4:$AE$14,2,FALSE)=0,"Spatial Data Missing ⚠",VLOOKUP(AK12,'G-7 WaterC'' Data'!$AD$4:$AE$14,2,FALSE)))</f>
        <v/>
      </c>
      <c r="AM12" s="848" t="str">
        <f>IFERROR(IF(C12="","",IF(Q12&gt;D12,((((Q12*S12*U12)-(D12*F12*H12))*(AH12*AD12))+(D12*F12*H12))*(AL12*X12*AJ12),((((Q12*S12*U12)-(Q12*F12*H12))*(AH12*AD12))+(Q12*F12*H12))*(AL12*X12*AJ12))),"")</f>
        <v/>
      </c>
      <c r="AN12" s="136"/>
      <c r="AO12" s="137"/>
      <c r="AP12" s="118"/>
      <c r="AV12" s="30" t="str">
        <f>IFERROR(INDEX('G-7 WaterC'' Data'!$AZ$3:$AZ$7,MATCH(N12,'G-7 WaterC'' Data'!$AY$3:$AY$7,0)),"")</f>
        <v/>
      </c>
    </row>
    <row r="13" spans="2:48" ht="15">
      <c r="B13" s="392" t="str">
        <f>'C-1 On-Site WaterC'' Baseline'!AO11</f>
        <v/>
      </c>
      <c r="C13" s="382" t="str">
        <f>IF(B13="","",VLOOKUP($B13,'C-1 On-Site WaterC'' Baseline'!$C$9:$R$257,2,FALSE))</f>
        <v/>
      </c>
      <c r="D13" s="382" t="str">
        <f>IF(C13="","",VLOOKUP($B13,'C-1 On-Site WaterC'' Baseline'!$C$9:$R$257,3,FALSE))</f>
        <v/>
      </c>
      <c r="E13" s="382" t="str">
        <f>IF(D13="","",VLOOKUP($B13,'C-1 On-Site WaterC'' Baseline'!$C$9:$R$257,4,FALSE))</f>
        <v/>
      </c>
      <c r="F13" s="382" t="str">
        <f>IF(E13="","",VLOOKUP($B13,'C-1 On-Site WaterC'' Baseline'!$C$9:$R$257,5,FALSE))</f>
        <v/>
      </c>
      <c r="G13" s="382" t="str">
        <f>IF(F13="","",VLOOKUP($B13,'C-1 On-Site WaterC'' Baseline'!$C$9:$R$257,6,FALSE))</f>
        <v/>
      </c>
      <c r="H13" s="382" t="str">
        <f>IF(G13="","",VLOOKUP($B13,'C-1 On-Site WaterC'' Baseline'!$C$9:$R$257,7,FALSE))</f>
        <v/>
      </c>
      <c r="I13" s="382" t="str">
        <f>IF(H13="","",VLOOKUP($B13,'C-1 On-Site WaterC'' Baseline'!$C$9:$R$257,8,FALSE))</f>
        <v/>
      </c>
      <c r="J13" s="382" t="str">
        <f>IF(I13="","",VLOOKUP($B13,'C-1 On-Site WaterC'' Baseline'!$C$9:$R$257,9,FALSE))</f>
        <v/>
      </c>
      <c r="K13" s="382" t="str">
        <f>IF(J13="","",VLOOKUP($B13,'C-1 On-Site WaterC'' Baseline'!$C$9:$R$257,10,FALSE))</f>
        <v/>
      </c>
      <c r="L13" s="382" t="str">
        <f>IF(B13="","",VLOOKUP($B13,'C-1 On-Site WaterC'' Baseline'!$C$9:$R$257,15,FALSE))</f>
        <v/>
      </c>
      <c r="M13" s="386" t="str">
        <f>IF(L13="","",VLOOKUP($B13,'C-1 On-Site WaterC'' Baseline'!$C$9:$R$257,16,FALSE))</f>
        <v/>
      </c>
      <c r="N13" s="320" t="str">
        <f t="shared" si="0"/>
        <v/>
      </c>
      <c r="O13" s="362" t="str">
        <f t="shared" ref="O13:O76" si="2">IF(B13="","",IF(S13&lt;F13,"Error Trading Down ▲",E13&amp;" - "&amp;R13))</f>
        <v/>
      </c>
      <c r="P13" s="363" t="str">
        <f>IF(C13="","",IF(AND(LEFT(C13,55)&lt;&gt;LEFT(N13,55),O13="High - High"),"Error - Not like for like ▲",IF(H13&gt;U13,"Error - Can not reduce condition ▲",IF(AND(F13=S13,H13=U13,AJ13='C-1 On-Site WaterC'' Baseline'!N11,'C-1 On-Site WaterC'' Baseline'!P11=AL13),"Error - No enhancement ▲",IF(AND(C13&lt;&gt;N13,F13&lt;S13),"Lower Distinctiveness Habitat"&amp;" - "&amp;T13,G13&amp;" - "&amp;T13)))))</f>
        <v/>
      </c>
      <c r="Q13" s="425" t="str">
        <f>IF(N13="","",VLOOKUP(B13,'C-1 On-Site WaterC'' Baseline'!$C$10:$AB$257,19,FALSE))</f>
        <v/>
      </c>
      <c r="R13" s="362" t="str">
        <f>IF(N13="","",VLOOKUP(N13,'G-7 WaterC'' Data'!$B$2:$G$8,2,FALSE))</f>
        <v/>
      </c>
      <c r="S13" s="363" t="str">
        <f>IFERROR(VLOOKUP(R13,'G-7 WaterC'' Data'!$C$4:$D$8,2,FALSE),"")</f>
        <v/>
      </c>
      <c r="T13" s="114"/>
      <c r="U13" s="363" t="str">
        <f>IFERROR(INDEX('G-7 WaterC'' Data'!$H$4:$L$8,MATCH(N13,'G-7 WaterC'' Data'!$B$4:$B$8,0),MATCH(T13,'G-7 WaterC'' Data'!$H$3:$L$3,0)),"")</f>
        <v/>
      </c>
      <c r="V13" s="114"/>
      <c r="W13" s="370" t="str">
        <f>IF(V13="","",IF(VLOOKUP(V13,'G-7 WaterC'' Data'!$AK$4:$AM$6,2,FALSE)=0,"Spatial Data Missing ⚠",VLOOKUP(V13,'G-7 WaterC'' Data'!$AK$4:$AM$6,2,FALSE)))</f>
        <v/>
      </c>
      <c r="X13" s="363" t="str">
        <f>IF(V13="","",IF(VLOOKUP(V13,'G-7 WaterC'' Data'!$AK$4:$AM$6,3,FALSE)=0,"Spatial Data Missing ⚠",VLOOKUP(V13,'G-7 WaterC'' Data'!$AK$4:$AM$6,3,FALSE)))</f>
        <v/>
      </c>
      <c r="Y13" s="362" t="str">
        <f>IFERROR(IF(OR(LEFT(P13,5)="Error",LEFT(O13,5)="Error ▲"),"Check Data ⚠",IF(F13&lt;S13,'G-7 WaterC'' Data'!$R$3,INDEX('G-7 WaterC'' Data'!$U$5:$Y$9,MATCH(G13,'G-7 WaterC'' Data'!$T$5:$T$9,0),MATCH(T13,'G-7 WaterC'' Data'!$U$4:$Y$4,0)))),"")</f>
        <v/>
      </c>
      <c r="Z13" s="159"/>
      <c r="AA13" s="159"/>
      <c r="AB13" s="370" t="str">
        <f t="shared" ref="AB13:AB76" si="3">IF(Y13="","",IF(Y13="Check Data ⚠","Check Data ⚠",IF(AND(Z13&gt;0,AA13&gt;0),"Error -both advance and delayed habitat creation ▲",IF(AND(OR(Z13="Habitat already in target condition",Y13&lt;=Z13),AA13=0),"Check details - Is there evidence that habitat has reached target condition? ⚠",IF(Z13&gt;0,"Check details - Is there evidence habitat creation started/in place? ⚠",IF(AA13&gt;0,"Check details- Delay in starting habitat in required condition? ⚠","Standard time to target condition applied"))))))</f>
        <v/>
      </c>
      <c r="AC13" s="383" t="str">
        <f t="shared" ref="AC13:AC76" si="4">IF(AB13="Error -both advance and delayed habitat creation ▲","Check Data ⚠",IF(AB13="Check Data ⚠","Check Data ⚠",IF(Y13="","",IF(Z13="30+",0,IF(AA13="30+","30+ ⚠",IF(Y13+AA13&gt;30,"30+ ⚠",IF(Y13+AA13-Z13&gt;0,Y13+AA13-Z13,IF(Y13-Z13&lt;0,0,Y13+AA13-Z13))))))))</f>
        <v/>
      </c>
      <c r="AD13" s="422" t="str">
        <f>IFERROR(IF(AC13="Check Data ⚠","Check Data ⚠",VLOOKUP(AC13,'G-4 Temporal multipliers'!$A$4:$C$37,3,FALSE)),"")</f>
        <v/>
      </c>
      <c r="AE13" s="362" t="str">
        <f>IF(N13="","",VLOOKUP(N13,'G-7 WaterC'' Data'!$B$4:$G$8,5,FALSE))</f>
        <v/>
      </c>
      <c r="AF13" s="370" t="str">
        <f t="shared" ref="AF13:AF76" si="5">IF(N13="","",IF(AC13="Check Data ⚠","Check Data ⚠",IF(T13="","",IF($AB13="Check details - Is there evidence that habitat has reached target condition? ⚠","Low Difficulty - only applicable if all habitat created before losses ⚠","Standard difficulty applied"))))</f>
        <v/>
      </c>
      <c r="AG13" s="401" t="str">
        <f t="shared" ref="AG13:AG76" si="6">(IF(AND(AF13="Standard difficulty applied",Y13&gt;Z13),AE13,IF(AND(AF13="Low Difficulty - only applicable if all habitat created before losses ⚠",Z13&gt;=Y13),"Low",AE13)))</f>
        <v/>
      </c>
      <c r="AH13" s="363" t="str">
        <f t="shared" si="1"/>
        <v/>
      </c>
      <c r="AI13" s="122"/>
      <c r="AJ13" s="363" t="str">
        <f>IF(AI13="","",IF(VLOOKUP(AI13,'G-7 WaterC'' Data'!$AA$4:$AB$7,2,FALSE)=0,"Spatial Data Missing ⚠",VLOOKUP(AI13,'G-7 WaterC'' Data'!$AA$4:$AB$7,2,FALSE)))</f>
        <v/>
      </c>
      <c r="AK13" s="123"/>
      <c r="AL13" s="363" t="str">
        <f>IF(AK13="","",IF(VLOOKUP(AK13,'G-7 WaterC'' Data'!$AD$4:$AE$14,2,FALSE)=0,"Spatial Data Missing ⚠",VLOOKUP(AK13,'G-7 WaterC'' Data'!$AD$4:$AE$14,2,FALSE)))</f>
        <v/>
      </c>
      <c r="AM13" s="405" t="str">
        <f>IFERROR(IF(C13="","",IF(Q13&gt;D13,((((Q13*S13*U13)-(D13*F13*H13))*(AH13*AD13))+(D13*F13*H13))*(AL13*X13*AJ13),((((Q13*S13*U13)-(Q13*F13*H13))*(AH13*AD13))+(Q13*F13*H13))*(AL13*X13*AJ13))),"")</f>
        <v/>
      </c>
      <c r="AN13" s="117"/>
      <c r="AO13" s="118"/>
      <c r="AP13" s="120"/>
      <c r="AV13" s="30" t="str">
        <f>IFERROR(INDEX('G-7 WaterC'' Data'!$AZ$3:$AZ$7,MATCH(N13,'G-7 WaterC'' Data'!$AY$3:$AY$7,0)),"")</f>
        <v/>
      </c>
    </row>
    <row r="14" spans="2:48" ht="15">
      <c r="B14" s="392" t="str">
        <f>'C-1 On-Site WaterC'' Baseline'!AO12</f>
        <v/>
      </c>
      <c r="C14" s="382" t="str">
        <f>IF(B14="","",VLOOKUP($B14,'C-1 On-Site WaterC'' Baseline'!$C$9:$R$257,2,FALSE))</f>
        <v/>
      </c>
      <c r="D14" s="382" t="str">
        <f>IF(C14="","",VLOOKUP($B14,'C-1 On-Site WaterC'' Baseline'!$C$9:$R$257,3,FALSE))</f>
        <v/>
      </c>
      <c r="E14" s="382" t="str">
        <f>IF(D14="","",VLOOKUP($B14,'C-1 On-Site WaterC'' Baseline'!$C$9:$R$257,4,FALSE))</f>
        <v/>
      </c>
      <c r="F14" s="382" t="str">
        <f>IF(E14="","",VLOOKUP($B14,'C-1 On-Site WaterC'' Baseline'!$C$9:$R$257,5,FALSE))</f>
        <v/>
      </c>
      <c r="G14" s="382" t="str">
        <f>IF(F14="","",VLOOKUP($B14,'C-1 On-Site WaterC'' Baseline'!$C$9:$R$257,6,FALSE))</f>
        <v/>
      </c>
      <c r="H14" s="382" t="str">
        <f>IF(G14="","",VLOOKUP($B14,'C-1 On-Site WaterC'' Baseline'!$C$9:$R$257,7,FALSE))</f>
        <v/>
      </c>
      <c r="I14" s="382" t="str">
        <f>IF(H14="","",VLOOKUP($B14,'C-1 On-Site WaterC'' Baseline'!$C$9:$R$257,8,FALSE))</f>
        <v/>
      </c>
      <c r="J14" s="382" t="str">
        <f>IF(I14="","",VLOOKUP($B14,'C-1 On-Site WaterC'' Baseline'!$C$9:$R$257,9,FALSE))</f>
        <v/>
      </c>
      <c r="K14" s="382" t="str">
        <f>IF(J14="","",VLOOKUP($B14,'C-1 On-Site WaterC'' Baseline'!$C$9:$R$257,10,FALSE))</f>
        <v/>
      </c>
      <c r="L14" s="382" t="str">
        <f>IF(B14="","",VLOOKUP($B14,'C-1 On-Site WaterC'' Baseline'!$C$9:$R$257,15,FALSE))</f>
        <v/>
      </c>
      <c r="M14" s="386" t="str">
        <f>IF(L14="","",VLOOKUP($B14,'C-1 On-Site WaterC'' Baseline'!$C$9:$R$257,16,FALSE))</f>
        <v/>
      </c>
      <c r="N14" s="320" t="str">
        <f t="shared" si="0"/>
        <v/>
      </c>
      <c r="O14" s="362" t="str">
        <f t="shared" si="2"/>
        <v/>
      </c>
      <c r="P14" s="363" t="str">
        <f>IF(C14="","",IF(AND(LEFT(C14,55)&lt;&gt;LEFT(N14,55),O14="High - High"),"Error - Not like for like ▲",IF(H14&gt;U14,"Error - Can not reduce condition ▲",IF(AND(F14=S14,H14=U14,AJ14='C-1 On-Site WaterC'' Baseline'!N12,'C-1 On-Site WaterC'' Baseline'!P12=AL14),"Error - No enhancement ▲",IF(AND(C14&lt;&gt;N14,F14&lt;S14),"Lower Distinctiveness Habitat"&amp;" - "&amp;T14,G14&amp;" - "&amp;T14)))))</f>
        <v/>
      </c>
      <c r="Q14" s="425" t="str">
        <f>IF(N14="","",VLOOKUP(B14,'C-1 On-Site WaterC'' Baseline'!$C$10:$AB$257,19,FALSE))</f>
        <v/>
      </c>
      <c r="R14" s="362" t="str">
        <f>IF(N14="","",VLOOKUP(N14,'G-7 WaterC'' Data'!$B$2:$G$8,2,FALSE))</f>
        <v/>
      </c>
      <c r="S14" s="363" t="str">
        <f>IFERROR(VLOOKUP(R14,'G-7 WaterC'' Data'!$C$4:$D$8,2,FALSE),"")</f>
        <v/>
      </c>
      <c r="T14" s="114"/>
      <c r="U14" s="363" t="str">
        <f>IFERROR(INDEX('G-7 WaterC'' Data'!$H$4:$L$8,MATCH(N14,'G-7 WaterC'' Data'!$B$4:$B$8,0),MATCH(T14,'G-7 WaterC'' Data'!$H$3:$L$3,0)),"")</f>
        <v/>
      </c>
      <c r="V14" s="114"/>
      <c r="W14" s="370" t="str">
        <f>IF(V14="","",IF(VLOOKUP(V14,'G-7 WaterC'' Data'!$AK$4:$AM$6,2,FALSE)=0,"Spatial Data Missing ⚠",VLOOKUP(V14,'G-7 WaterC'' Data'!$AK$4:$AM$6,2,FALSE)))</f>
        <v/>
      </c>
      <c r="X14" s="363" t="str">
        <f>IF(V14="","",IF(VLOOKUP(V14,'G-7 WaterC'' Data'!$AK$4:$AM$6,3,FALSE)=0,"Spatial Data Missing ⚠",VLOOKUP(V14,'G-7 WaterC'' Data'!$AK$4:$AM$6,3,FALSE)))</f>
        <v/>
      </c>
      <c r="Y14" s="362" t="str">
        <f>IFERROR(IF(OR(LEFT(P14,5)="Error",LEFT(O14,5)="Error ▲"),"Check Data ⚠",IF(F14&lt;S14,'G-7 WaterC'' Data'!$R$3,INDEX('G-7 WaterC'' Data'!$U$5:$Y$9,MATCH(G14,'G-7 WaterC'' Data'!$T$5:$T$9,0),MATCH(T14,'G-7 WaterC'' Data'!$U$4:$Y$4,0)))),"")</f>
        <v/>
      </c>
      <c r="Z14" s="159"/>
      <c r="AA14" s="159"/>
      <c r="AB14" s="370" t="str">
        <f t="shared" si="3"/>
        <v/>
      </c>
      <c r="AC14" s="383" t="str">
        <f t="shared" si="4"/>
        <v/>
      </c>
      <c r="AD14" s="422" t="str">
        <f>IFERROR(IF(AC14="Check Data ⚠","Check Data ⚠",VLOOKUP(AC14,'G-4 Temporal multipliers'!$A$4:$C$37,3,FALSE)),"")</f>
        <v/>
      </c>
      <c r="AE14" s="362" t="str">
        <f>IF(N14="","",VLOOKUP(N14,'G-7 WaterC'' Data'!$B$4:$G$8,5,FALSE))</f>
        <v/>
      </c>
      <c r="AF14" s="370" t="str">
        <f t="shared" si="5"/>
        <v/>
      </c>
      <c r="AG14" s="401" t="str">
        <f t="shared" si="6"/>
        <v/>
      </c>
      <c r="AH14" s="363" t="str">
        <f t="shared" si="1"/>
        <v/>
      </c>
      <c r="AI14" s="122"/>
      <c r="AJ14" s="363" t="str">
        <f>IF(AI14="","",IF(VLOOKUP(AI14,'G-7 WaterC'' Data'!$AA$4:$AB$7,2,FALSE)=0,"Spatial Data Missing ⚠",VLOOKUP(AI14,'G-7 WaterC'' Data'!$AA$4:$AB$7,2,FALSE)))</f>
        <v/>
      </c>
      <c r="AK14" s="123"/>
      <c r="AL14" s="363" t="str">
        <f>IF(AK14="","",IF(VLOOKUP(AK14,'G-7 WaterC'' Data'!$AD$4:$AE$14,2,FALSE)=0,"Spatial Data Missing ⚠",VLOOKUP(AK14,'G-7 WaterC'' Data'!$AD$4:$AE$14,2,FALSE)))</f>
        <v/>
      </c>
      <c r="AM14" s="405" t="str">
        <f t="shared" ref="AM14:AM77" si="7">IFERROR(IF(C14="","",IF(Q14&gt;D14,((((Q14*S14*U14)-(D14*F14*H14))*(AH14*AD14))+(D14*F14*H14))*(AL14*X14*AJ14),((((Q14*S14*U14)-(Q14*F14*H14))*(AH14*AD14))+(Q14*F14*H14))*(AL14*X14*AJ14))),"")</f>
        <v/>
      </c>
      <c r="AN14" s="117"/>
      <c r="AO14" s="118"/>
      <c r="AP14" s="120"/>
      <c r="AV14" s="30" t="str">
        <f>IFERROR(INDEX('G-7 WaterC'' Data'!$AZ$3:$AZ$7,MATCH(N14,'G-7 WaterC'' Data'!$AY$3:$AY$7,0)),"")</f>
        <v/>
      </c>
    </row>
    <row r="15" spans="2:48" ht="15">
      <c r="B15" s="392" t="str">
        <f>'C-1 On-Site WaterC'' Baseline'!AO13</f>
        <v/>
      </c>
      <c r="C15" s="382" t="str">
        <f>IF(B15="","",VLOOKUP($B15,'C-1 On-Site WaterC'' Baseline'!$C$9:$R$257,2,FALSE))</f>
        <v/>
      </c>
      <c r="D15" s="382" t="str">
        <f>IF(C15="","",VLOOKUP($B15,'C-1 On-Site WaterC'' Baseline'!$C$9:$R$257,3,FALSE))</f>
        <v/>
      </c>
      <c r="E15" s="382" t="str">
        <f>IF(D15="","",VLOOKUP($B15,'C-1 On-Site WaterC'' Baseline'!$C$9:$R$257,4,FALSE))</f>
        <v/>
      </c>
      <c r="F15" s="382" t="str">
        <f>IF(E15="","",VLOOKUP($B15,'C-1 On-Site WaterC'' Baseline'!$C$9:$R$257,5,FALSE))</f>
        <v/>
      </c>
      <c r="G15" s="382" t="str">
        <f>IF(F15="","",VLOOKUP($B15,'C-1 On-Site WaterC'' Baseline'!$C$9:$R$257,6,FALSE))</f>
        <v/>
      </c>
      <c r="H15" s="382" t="str">
        <f>IF(G15="","",VLOOKUP($B15,'C-1 On-Site WaterC'' Baseline'!$C$9:$R$257,7,FALSE))</f>
        <v/>
      </c>
      <c r="I15" s="382" t="str">
        <f>IF(H15="","",VLOOKUP($B15,'C-1 On-Site WaterC'' Baseline'!$C$9:$R$257,8,FALSE))</f>
        <v/>
      </c>
      <c r="J15" s="382" t="str">
        <f>IF(I15="","",VLOOKUP($B15,'C-1 On-Site WaterC'' Baseline'!$C$9:$R$257,9,FALSE))</f>
        <v/>
      </c>
      <c r="K15" s="382" t="str">
        <f>IF(J15="","",VLOOKUP($B15,'C-1 On-Site WaterC'' Baseline'!$C$9:$R$257,10,FALSE))</f>
        <v/>
      </c>
      <c r="L15" s="382" t="str">
        <f>IF(B15="","",VLOOKUP($B15,'C-1 On-Site WaterC'' Baseline'!$C$9:$R$257,15,FALSE))</f>
        <v/>
      </c>
      <c r="M15" s="386" t="str">
        <f>IF(L15="","",VLOOKUP($B15,'C-1 On-Site WaterC'' Baseline'!$C$9:$R$257,16,FALSE))</f>
        <v/>
      </c>
      <c r="N15" s="320" t="str">
        <f t="shared" si="0"/>
        <v/>
      </c>
      <c r="O15" s="362" t="str">
        <f t="shared" si="2"/>
        <v/>
      </c>
      <c r="P15" s="363" t="str">
        <f>IF(C15="","",IF(AND(LEFT(C15,55)&lt;&gt;LEFT(N15,55),O15="High - High"),"Error - Not like for like ▲",IF(H15&gt;U15,"Error - Can not reduce condition ▲",IF(AND(F15=S15,H15=U15,AJ15='C-1 On-Site WaterC'' Baseline'!N13,'C-1 On-Site WaterC'' Baseline'!P13=AL15),"Error - No enhancement ▲",IF(AND(C15&lt;&gt;N15,F15&lt;S15),"Lower Distinctiveness Habitat"&amp;" - "&amp;T15,G15&amp;" - "&amp;T15)))))</f>
        <v/>
      </c>
      <c r="Q15" s="425" t="str">
        <f>IF(N15="","",VLOOKUP(B15,'C-1 On-Site WaterC'' Baseline'!$C$10:$AB$257,19,FALSE))</f>
        <v/>
      </c>
      <c r="R15" s="362" t="str">
        <f>IF(N15="","",VLOOKUP(N15,'G-7 WaterC'' Data'!$B$2:$G$8,2,FALSE))</f>
        <v/>
      </c>
      <c r="S15" s="363" t="str">
        <f>IFERROR(VLOOKUP(R15,'G-7 WaterC'' Data'!$C$4:$D$8,2,FALSE),"")</f>
        <v/>
      </c>
      <c r="T15" s="114"/>
      <c r="U15" s="363" t="str">
        <f>IFERROR(INDEX('G-7 WaterC'' Data'!$H$4:$L$8,MATCH(N15,'G-7 WaterC'' Data'!$B$4:$B$8,0),MATCH(T15,'G-7 WaterC'' Data'!$H$3:$L$3,0)),"")</f>
        <v/>
      </c>
      <c r="V15" s="114"/>
      <c r="W15" s="370" t="str">
        <f>IF(V15="","",IF(VLOOKUP(V15,'G-7 WaterC'' Data'!$AK$4:$AM$6,2,FALSE)=0,"Spatial Data Missing ⚠",VLOOKUP(V15,'G-7 WaterC'' Data'!$AK$4:$AM$6,2,FALSE)))</f>
        <v/>
      </c>
      <c r="X15" s="363" t="str">
        <f>IF(V15="","",IF(VLOOKUP(V15,'G-7 WaterC'' Data'!$AK$4:$AM$6,3,FALSE)=0,"Spatial Data Missing ⚠",VLOOKUP(V15,'G-7 WaterC'' Data'!$AK$4:$AM$6,3,FALSE)))</f>
        <v/>
      </c>
      <c r="Y15" s="362" t="str">
        <f>IFERROR(IF(OR(LEFT(P15,5)="Error",LEFT(O15,5)="Error ▲"),"Check Data ⚠",IF(F15&lt;S15,'G-7 WaterC'' Data'!$R$3,INDEX('G-7 WaterC'' Data'!$U$5:$Y$9,MATCH(G15,'G-7 WaterC'' Data'!$T$5:$T$9,0),MATCH(T15,'G-7 WaterC'' Data'!$U$4:$Y$4,0)))),"")</f>
        <v/>
      </c>
      <c r="Z15" s="159"/>
      <c r="AA15" s="159"/>
      <c r="AB15" s="370" t="str">
        <f t="shared" si="3"/>
        <v/>
      </c>
      <c r="AC15" s="383" t="str">
        <f t="shared" si="4"/>
        <v/>
      </c>
      <c r="AD15" s="422" t="str">
        <f>IFERROR(IF(AC15="Check Data ⚠","Check Data ⚠",VLOOKUP(AC15,'G-4 Temporal multipliers'!$A$4:$C$37,3,FALSE)),"")</f>
        <v/>
      </c>
      <c r="AE15" s="362" t="str">
        <f>IF(N15="","",VLOOKUP(N15,'G-7 WaterC'' Data'!$B$4:$G$8,5,FALSE))</f>
        <v/>
      </c>
      <c r="AF15" s="370" t="str">
        <f t="shared" si="5"/>
        <v/>
      </c>
      <c r="AG15" s="401" t="str">
        <f t="shared" si="6"/>
        <v/>
      </c>
      <c r="AH15" s="363" t="str">
        <f t="shared" si="1"/>
        <v/>
      </c>
      <c r="AI15" s="122"/>
      <c r="AJ15" s="363" t="str">
        <f>IF(AI15="","",IF(VLOOKUP(AI15,'G-7 WaterC'' Data'!$AA$4:$AB$7,2,FALSE)=0,"Spatial Data Missing ⚠",VLOOKUP(AI15,'G-7 WaterC'' Data'!$AA$4:$AB$7,2,FALSE)))</f>
        <v/>
      </c>
      <c r="AK15" s="123"/>
      <c r="AL15" s="363" t="str">
        <f>IF(AK15="","",IF(VLOOKUP(AK15,'G-7 WaterC'' Data'!$AD$4:$AE$14,2,FALSE)=0,"Spatial Data Missing ⚠",VLOOKUP(AK15,'G-7 WaterC'' Data'!$AD$4:$AE$14,2,FALSE)))</f>
        <v/>
      </c>
      <c r="AM15" s="405" t="str">
        <f t="shared" si="7"/>
        <v/>
      </c>
      <c r="AN15" s="117"/>
      <c r="AO15" s="118"/>
      <c r="AP15" s="120"/>
      <c r="AV15" s="30" t="str">
        <f>IFERROR(INDEX('G-7 WaterC'' Data'!$AZ$3:$AZ$7,MATCH(N15,'G-7 WaterC'' Data'!$AY$3:$AY$7,0)),"")</f>
        <v/>
      </c>
    </row>
    <row r="16" spans="2:48" ht="15">
      <c r="B16" s="392" t="str">
        <f>'C-1 On-Site WaterC'' Baseline'!AO14</f>
        <v/>
      </c>
      <c r="C16" s="382" t="str">
        <f>IF(B16="","",VLOOKUP($B16,'C-1 On-Site WaterC'' Baseline'!$C$9:$R$257,2,FALSE))</f>
        <v/>
      </c>
      <c r="D16" s="382" t="str">
        <f>IF(C16="","",VLOOKUP($B16,'C-1 On-Site WaterC'' Baseline'!$C$9:$R$257,3,FALSE))</f>
        <v/>
      </c>
      <c r="E16" s="382" t="str">
        <f>IF(D16="","",VLOOKUP($B16,'C-1 On-Site WaterC'' Baseline'!$C$9:$R$257,4,FALSE))</f>
        <v/>
      </c>
      <c r="F16" s="382" t="str">
        <f>IF(E16="","",VLOOKUP($B16,'C-1 On-Site WaterC'' Baseline'!$C$9:$R$257,5,FALSE))</f>
        <v/>
      </c>
      <c r="G16" s="382" t="str">
        <f>IF(F16="","",VLOOKUP($B16,'C-1 On-Site WaterC'' Baseline'!$C$9:$R$257,6,FALSE))</f>
        <v/>
      </c>
      <c r="H16" s="382" t="str">
        <f>IF(G16="","",VLOOKUP($B16,'C-1 On-Site WaterC'' Baseline'!$C$9:$R$257,7,FALSE))</f>
        <v/>
      </c>
      <c r="I16" s="382" t="str">
        <f>IF(H16="","",VLOOKUP($B16,'C-1 On-Site WaterC'' Baseline'!$C$9:$R$257,8,FALSE))</f>
        <v/>
      </c>
      <c r="J16" s="382" t="str">
        <f>IF(I16="","",VLOOKUP($B16,'C-1 On-Site WaterC'' Baseline'!$C$9:$R$257,9,FALSE))</f>
        <v/>
      </c>
      <c r="K16" s="382" t="str">
        <f>IF(J16="","",VLOOKUP($B16,'C-1 On-Site WaterC'' Baseline'!$C$9:$R$257,10,FALSE))</f>
        <v/>
      </c>
      <c r="L16" s="382" t="str">
        <f>IF(B16="","",VLOOKUP($B16,'C-1 On-Site WaterC'' Baseline'!$C$9:$R$257,15,FALSE))</f>
        <v/>
      </c>
      <c r="M16" s="386" t="str">
        <f>IF(L16="","",VLOOKUP($B16,'C-1 On-Site WaterC'' Baseline'!$C$9:$R$257,16,FALSE))</f>
        <v/>
      </c>
      <c r="N16" s="320" t="str">
        <f t="shared" si="0"/>
        <v/>
      </c>
      <c r="O16" s="362" t="str">
        <f t="shared" si="2"/>
        <v/>
      </c>
      <c r="P16" s="363" t="str">
        <f>IF(C16="","",IF(AND(LEFT(C16,55)&lt;&gt;LEFT(N16,55),O16="High - High"),"Error - Not like for like ▲",IF(H16&gt;U16,"Error - Can not reduce condition ▲",IF(AND(F16=S16,H16=U16,AJ16='C-1 On-Site WaterC'' Baseline'!N14,'C-1 On-Site WaterC'' Baseline'!P14=AL16),"Error - No enhancement ▲",IF(AND(C16&lt;&gt;N16,F16&lt;S16),"Lower Distinctiveness Habitat"&amp;" - "&amp;T16,G16&amp;" - "&amp;T16)))))</f>
        <v/>
      </c>
      <c r="Q16" s="425" t="str">
        <f>IF(N16="","",VLOOKUP(B16,'C-1 On-Site WaterC'' Baseline'!$C$10:$AB$257,19,FALSE))</f>
        <v/>
      </c>
      <c r="R16" s="362" t="str">
        <f>IF(N16="","",VLOOKUP(N16,'G-7 WaterC'' Data'!$B$2:$G$8,2,FALSE))</f>
        <v/>
      </c>
      <c r="S16" s="363" t="str">
        <f>IFERROR(VLOOKUP(R16,'G-7 WaterC'' Data'!$C$4:$D$8,2,FALSE),"")</f>
        <v/>
      </c>
      <c r="T16" s="114"/>
      <c r="U16" s="363" t="str">
        <f>IFERROR(INDEX('G-7 WaterC'' Data'!$H$4:$L$8,MATCH(N16,'G-7 WaterC'' Data'!$B$4:$B$8,0),MATCH(T16,'G-7 WaterC'' Data'!$H$3:$L$3,0)),"")</f>
        <v/>
      </c>
      <c r="V16" s="114"/>
      <c r="W16" s="370" t="str">
        <f>IF(V16="","",IF(VLOOKUP(V16,'G-7 WaterC'' Data'!$AK$4:$AM$6,2,FALSE)=0,"Spatial Data Missing ⚠",VLOOKUP(V16,'G-7 WaterC'' Data'!$AK$4:$AM$6,2,FALSE)))</f>
        <v/>
      </c>
      <c r="X16" s="363" t="str">
        <f>IF(V16="","",IF(VLOOKUP(V16,'G-7 WaterC'' Data'!$AK$4:$AM$6,3,FALSE)=0,"Spatial Data Missing ⚠",VLOOKUP(V16,'G-7 WaterC'' Data'!$AK$4:$AM$6,3,FALSE)))</f>
        <v/>
      </c>
      <c r="Y16" s="362" t="str">
        <f>IFERROR(IF(OR(LEFT(P16,5)="Error",LEFT(O16,5)="Error ▲"),"Check Data ⚠",IF(F16&lt;S16,'G-7 WaterC'' Data'!$R$3,INDEX('G-7 WaterC'' Data'!$U$5:$Y$9,MATCH(G16,'G-7 WaterC'' Data'!$T$5:$T$9,0),MATCH(T16,'G-7 WaterC'' Data'!$U$4:$Y$4,0)))),"")</f>
        <v/>
      </c>
      <c r="Z16" s="159"/>
      <c r="AA16" s="159"/>
      <c r="AB16" s="370" t="str">
        <f t="shared" si="3"/>
        <v/>
      </c>
      <c r="AC16" s="383" t="str">
        <f t="shared" si="4"/>
        <v/>
      </c>
      <c r="AD16" s="422" t="str">
        <f>IFERROR(IF(AC16="Check Data ⚠","Check Data ⚠",VLOOKUP(AC16,'G-4 Temporal multipliers'!$A$4:$C$37,3,FALSE)),"")</f>
        <v/>
      </c>
      <c r="AE16" s="362" t="str">
        <f>IF(N16="","",VLOOKUP(N16,'G-7 WaterC'' Data'!$B$4:$G$8,5,FALSE))</f>
        <v/>
      </c>
      <c r="AF16" s="370" t="str">
        <f t="shared" si="5"/>
        <v/>
      </c>
      <c r="AG16" s="401" t="str">
        <f t="shared" si="6"/>
        <v/>
      </c>
      <c r="AH16" s="363" t="str">
        <f t="shared" si="1"/>
        <v/>
      </c>
      <c r="AI16" s="122"/>
      <c r="AJ16" s="363" t="str">
        <f>IF(AI16="","",IF(VLOOKUP(AI16,'G-7 WaterC'' Data'!$AA$4:$AB$7,2,FALSE)=0,"Spatial Data Missing ⚠",VLOOKUP(AI16,'G-7 WaterC'' Data'!$AA$4:$AB$7,2,FALSE)))</f>
        <v/>
      </c>
      <c r="AK16" s="123"/>
      <c r="AL16" s="363" t="str">
        <f>IF(AK16="","",IF(VLOOKUP(AK16,'G-7 WaterC'' Data'!$AD$4:$AE$14,2,FALSE)=0,"Spatial Data Missing ⚠",VLOOKUP(AK16,'G-7 WaterC'' Data'!$AD$4:$AE$14,2,FALSE)))</f>
        <v/>
      </c>
      <c r="AM16" s="405" t="str">
        <f t="shared" si="7"/>
        <v/>
      </c>
      <c r="AN16" s="117"/>
      <c r="AO16" s="118"/>
      <c r="AP16" s="120"/>
      <c r="AV16" s="30" t="str">
        <f>IFERROR(INDEX('G-7 WaterC'' Data'!$AZ$3:$AZ$7,MATCH(N16,'G-7 WaterC'' Data'!$AY$3:$AY$7,0)),"")</f>
        <v/>
      </c>
    </row>
    <row r="17" spans="2:48" ht="15">
      <c r="B17" s="392" t="str">
        <f>'C-1 On-Site WaterC'' Baseline'!AO15</f>
        <v/>
      </c>
      <c r="C17" s="382" t="str">
        <f>IF(B17="","",VLOOKUP($B17,'C-1 On-Site WaterC'' Baseline'!$C$9:$R$257,2,FALSE))</f>
        <v/>
      </c>
      <c r="D17" s="382" t="str">
        <f>IF(C17="","",VLOOKUP($B17,'C-1 On-Site WaterC'' Baseline'!$C$9:$R$257,3,FALSE))</f>
        <v/>
      </c>
      <c r="E17" s="382" t="str">
        <f>IF(D17="","",VLOOKUP($B17,'C-1 On-Site WaterC'' Baseline'!$C$9:$R$257,4,FALSE))</f>
        <v/>
      </c>
      <c r="F17" s="382" t="str">
        <f>IF(E17="","",VLOOKUP($B17,'C-1 On-Site WaterC'' Baseline'!$C$9:$R$257,5,FALSE))</f>
        <v/>
      </c>
      <c r="G17" s="382" t="str">
        <f>IF(F17="","",VLOOKUP($B17,'C-1 On-Site WaterC'' Baseline'!$C$9:$R$257,6,FALSE))</f>
        <v/>
      </c>
      <c r="H17" s="382" t="str">
        <f>IF(G17="","",VLOOKUP($B17,'C-1 On-Site WaterC'' Baseline'!$C$9:$R$257,7,FALSE))</f>
        <v/>
      </c>
      <c r="I17" s="382" t="str">
        <f>IF(H17="","",VLOOKUP($B17,'C-1 On-Site WaterC'' Baseline'!$C$9:$R$257,8,FALSE))</f>
        <v/>
      </c>
      <c r="J17" s="382" t="str">
        <f>IF(I17="","",VLOOKUP($B17,'C-1 On-Site WaterC'' Baseline'!$C$9:$R$257,9,FALSE))</f>
        <v/>
      </c>
      <c r="K17" s="382" t="str">
        <f>IF(J17="","",VLOOKUP($B17,'C-1 On-Site WaterC'' Baseline'!$C$9:$R$257,10,FALSE))</f>
        <v/>
      </c>
      <c r="L17" s="382" t="str">
        <f>IF(B17="","",VLOOKUP($B17,'C-1 On-Site WaterC'' Baseline'!$C$9:$R$257,15,FALSE))</f>
        <v/>
      </c>
      <c r="M17" s="386" t="str">
        <f>IF(L17="","",VLOOKUP($B17,'C-1 On-Site WaterC'' Baseline'!$C$9:$R$257,16,FALSE))</f>
        <v/>
      </c>
      <c r="N17" s="320" t="str">
        <f t="shared" si="0"/>
        <v/>
      </c>
      <c r="O17" s="362" t="str">
        <f t="shared" si="2"/>
        <v/>
      </c>
      <c r="P17" s="363" t="str">
        <f>IF(C17="","",IF(AND(LEFT(C17,55)&lt;&gt;LEFT(N17,55),O17="High - High"),"Error - Not like for like ▲",IF(H17&gt;U17,"Error - Can not reduce condition ▲",IF(AND(F17=S17,H17=U17,AJ17='C-1 On-Site WaterC'' Baseline'!N15,'C-1 On-Site WaterC'' Baseline'!P15=AL17),"Error - No enhancement ▲",IF(AND(C17&lt;&gt;N17,F17&lt;S17),"Lower Distinctiveness Habitat"&amp;" - "&amp;T17,G17&amp;" - "&amp;T17)))))</f>
        <v/>
      </c>
      <c r="Q17" s="425" t="str">
        <f>IF(N17="","",VLOOKUP(B17,'C-1 On-Site WaterC'' Baseline'!$C$10:$AB$257,19,FALSE))</f>
        <v/>
      </c>
      <c r="R17" s="362" t="str">
        <f>IF(N17="","",VLOOKUP(N17,'G-7 WaterC'' Data'!$B$2:$G$8,2,FALSE))</f>
        <v/>
      </c>
      <c r="S17" s="363" t="str">
        <f>IFERROR(VLOOKUP(R17,'G-7 WaterC'' Data'!$C$4:$D$8,2,FALSE),"")</f>
        <v/>
      </c>
      <c r="T17" s="114"/>
      <c r="U17" s="363" t="str">
        <f>IFERROR(INDEX('G-7 WaterC'' Data'!$H$4:$L$8,MATCH(N17,'G-7 WaterC'' Data'!$B$4:$B$8,0),MATCH(T17,'G-7 WaterC'' Data'!$H$3:$L$3,0)),"")</f>
        <v/>
      </c>
      <c r="V17" s="114"/>
      <c r="W17" s="370" t="str">
        <f>IF(V17="","",IF(VLOOKUP(V17,'G-7 WaterC'' Data'!$AK$4:$AM$6,2,FALSE)=0,"Spatial Data Missing ⚠",VLOOKUP(V17,'G-7 WaterC'' Data'!$AK$4:$AM$6,2,FALSE)))</f>
        <v/>
      </c>
      <c r="X17" s="363" t="str">
        <f>IF(V17="","",IF(VLOOKUP(V17,'G-7 WaterC'' Data'!$AK$4:$AM$6,3,FALSE)=0,"Spatial Data Missing ⚠",VLOOKUP(V17,'G-7 WaterC'' Data'!$AK$4:$AM$6,3,FALSE)))</f>
        <v/>
      </c>
      <c r="Y17" s="362" t="str">
        <f>IFERROR(IF(OR(LEFT(P17,5)="Error",LEFT(O17,5)="Error ▲"),"Check Data ⚠",IF(F17&lt;S17,'G-7 WaterC'' Data'!$R$3,INDEX('G-7 WaterC'' Data'!$U$5:$Y$9,MATCH(G17,'G-7 WaterC'' Data'!$T$5:$T$9,0),MATCH(T17,'G-7 WaterC'' Data'!$U$4:$Y$4,0)))),"")</f>
        <v/>
      </c>
      <c r="Z17" s="159"/>
      <c r="AA17" s="159"/>
      <c r="AB17" s="370" t="str">
        <f t="shared" si="3"/>
        <v/>
      </c>
      <c r="AC17" s="383" t="str">
        <f t="shared" si="4"/>
        <v/>
      </c>
      <c r="AD17" s="422" t="str">
        <f>IFERROR(IF(AC17="Check Data ⚠","Check Data ⚠",VLOOKUP(AC17,'G-4 Temporal multipliers'!$A$4:$C$37,3,FALSE)),"")</f>
        <v/>
      </c>
      <c r="AE17" s="362" t="str">
        <f>IF(N17="","",VLOOKUP(N17,'G-7 WaterC'' Data'!$B$4:$G$8,5,FALSE))</f>
        <v/>
      </c>
      <c r="AF17" s="370" t="str">
        <f t="shared" si="5"/>
        <v/>
      </c>
      <c r="AG17" s="401" t="str">
        <f t="shared" si="6"/>
        <v/>
      </c>
      <c r="AH17" s="363" t="str">
        <f t="shared" si="1"/>
        <v/>
      </c>
      <c r="AI17" s="122"/>
      <c r="AJ17" s="363" t="str">
        <f>IF(AI17="","",IF(VLOOKUP(AI17,'G-7 WaterC'' Data'!$AA$4:$AB$7,2,FALSE)=0,"Spatial Data Missing ⚠",VLOOKUP(AI17,'G-7 WaterC'' Data'!$AA$4:$AB$7,2,FALSE)))</f>
        <v/>
      </c>
      <c r="AK17" s="123"/>
      <c r="AL17" s="363" t="str">
        <f>IF(AK17="","",IF(VLOOKUP(AK17,'G-7 WaterC'' Data'!$AD$4:$AE$14,2,FALSE)=0,"Spatial Data Missing ⚠",VLOOKUP(AK17,'G-7 WaterC'' Data'!$AD$4:$AE$14,2,FALSE)))</f>
        <v/>
      </c>
      <c r="AM17" s="405" t="str">
        <f t="shared" si="7"/>
        <v/>
      </c>
      <c r="AN17" s="117"/>
      <c r="AO17" s="118"/>
      <c r="AP17" s="120"/>
      <c r="AV17" s="30" t="str">
        <f>IFERROR(INDEX('G-7 WaterC'' Data'!$AZ$3:$AZ$7,MATCH(N17,'G-7 WaterC'' Data'!$AY$3:$AY$7,0)),"")</f>
        <v/>
      </c>
    </row>
    <row r="18" spans="2:48" ht="15">
      <c r="B18" s="392" t="str">
        <f>'C-1 On-Site WaterC'' Baseline'!AO16</f>
        <v/>
      </c>
      <c r="C18" s="382" t="str">
        <f>IF(B18="","",VLOOKUP($B18,'C-1 On-Site WaterC'' Baseline'!$C$9:$R$257,2,FALSE))</f>
        <v/>
      </c>
      <c r="D18" s="382" t="str">
        <f>IF(C18="","",VLOOKUP($B18,'C-1 On-Site WaterC'' Baseline'!$C$9:$R$257,3,FALSE))</f>
        <v/>
      </c>
      <c r="E18" s="382" t="str">
        <f>IF(D18="","",VLOOKUP($B18,'C-1 On-Site WaterC'' Baseline'!$C$9:$R$257,4,FALSE))</f>
        <v/>
      </c>
      <c r="F18" s="382" t="str">
        <f>IF(E18="","",VLOOKUP($B18,'C-1 On-Site WaterC'' Baseline'!$C$9:$R$257,5,FALSE))</f>
        <v/>
      </c>
      <c r="G18" s="382" t="str">
        <f>IF(F18="","",VLOOKUP($B18,'C-1 On-Site WaterC'' Baseline'!$C$9:$R$257,6,FALSE))</f>
        <v/>
      </c>
      <c r="H18" s="382" t="str">
        <f>IF(G18="","",VLOOKUP($B18,'C-1 On-Site WaterC'' Baseline'!$C$9:$R$257,7,FALSE))</f>
        <v/>
      </c>
      <c r="I18" s="382" t="str">
        <f>IF(H18="","",VLOOKUP($B18,'C-1 On-Site WaterC'' Baseline'!$C$9:$R$257,8,FALSE))</f>
        <v/>
      </c>
      <c r="J18" s="382" t="str">
        <f>IF(I18="","",VLOOKUP($B18,'C-1 On-Site WaterC'' Baseline'!$C$9:$R$257,9,FALSE))</f>
        <v/>
      </c>
      <c r="K18" s="382" t="str">
        <f>IF(J18="","",VLOOKUP($B18,'C-1 On-Site WaterC'' Baseline'!$C$9:$R$257,10,FALSE))</f>
        <v/>
      </c>
      <c r="L18" s="382" t="str">
        <f>IF(B18="","",VLOOKUP($B18,'C-1 On-Site WaterC'' Baseline'!$C$9:$R$257,15,FALSE))</f>
        <v/>
      </c>
      <c r="M18" s="386" t="str">
        <f>IF(L18="","",VLOOKUP($B18,'C-1 On-Site WaterC'' Baseline'!$C$9:$R$257,16,FALSE))</f>
        <v/>
      </c>
      <c r="N18" s="320" t="str">
        <f t="shared" si="0"/>
        <v/>
      </c>
      <c r="O18" s="362" t="str">
        <f t="shared" si="2"/>
        <v/>
      </c>
      <c r="P18" s="363" t="str">
        <f>IF(C18="","",IF(AND(LEFT(C18,55)&lt;&gt;LEFT(N18,55),O18="High - High"),"Error - Not like for like ▲",IF(H18&gt;U18,"Error - Can not reduce condition ▲",IF(AND(F18=S18,H18=U18,AJ18='C-1 On-Site WaterC'' Baseline'!N16,'C-1 On-Site WaterC'' Baseline'!P16=AL18),"Error - No enhancement ▲",IF(AND(C18&lt;&gt;N18,F18&lt;S18),"Lower Distinctiveness Habitat"&amp;" - "&amp;T18,G18&amp;" - "&amp;T18)))))</f>
        <v/>
      </c>
      <c r="Q18" s="425" t="str">
        <f>IF(N18="","",VLOOKUP(B18,'C-1 On-Site WaterC'' Baseline'!$C$10:$AB$257,19,FALSE))</f>
        <v/>
      </c>
      <c r="R18" s="362" t="str">
        <f>IF(N18="","",VLOOKUP(N18,'G-7 WaterC'' Data'!$B$2:$G$8,2,FALSE))</f>
        <v/>
      </c>
      <c r="S18" s="363" t="str">
        <f>IFERROR(VLOOKUP(R18,'G-7 WaterC'' Data'!$C$4:$D$8,2,FALSE),"")</f>
        <v/>
      </c>
      <c r="T18" s="114"/>
      <c r="U18" s="363" t="str">
        <f>IFERROR(INDEX('G-7 WaterC'' Data'!$H$4:$L$8,MATCH(N18,'G-7 WaterC'' Data'!$B$4:$B$8,0),MATCH(T18,'G-7 WaterC'' Data'!$H$3:$L$3,0)),"")</f>
        <v/>
      </c>
      <c r="V18" s="114"/>
      <c r="W18" s="370" t="str">
        <f>IF(V18="","",IF(VLOOKUP(V18,'G-7 WaterC'' Data'!$AK$4:$AM$6,2,FALSE)=0,"Spatial Data Missing ⚠",VLOOKUP(V18,'G-7 WaterC'' Data'!$AK$4:$AM$6,2,FALSE)))</f>
        <v/>
      </c>
      <c r="X18" s="363" t="str">
        <f>IF(V18="","",IF(VLOOKUP(V18,'G-7 WaterC'' Data'!$AK$4:$AM$6,3,FALSE)=0,"Spatial Data Missing ⚠",VLOOKUP(V18,'G-7 WaterC'' Data'!$AK$4:$AM$6,3,FALSE)))</f>
        <v/>
      </c>
      <c r="Y18" s="362" t="str">
        <f>IFERROR(IF(OR(LEFT(P18,5)="Error",LEFT(O18,5)="Error ▲"),"Check Data ⚠",IF(F18&lt;S18,'G-7 WaterC'' Data'!$R$3,INDEX('G-7 WaterC'' Data'!$U$5:$Y$9,MATCH(G18,'G-7 WaterC'' Data'!$T$5:$T$9,0),MATCH(T18,'G-7 WaterC'' Data'!$U$4:$Y$4,0)))),"")</f>
        <v/>
      </c>
      <c r="Z18" s="159"/>
      <c r="AA18" s="159"/>
      <c r="AB18" s="370" t="str">
        <f t="shared" si="3"/>
        <v/>
      </c>
      <c r="AC18" s="383" t="str">
        <f t="shared" si="4"/>
        <v/>
      </c>
      <c r="AD18" s="422" t="str">
        <f>IFERROR(IF(AC18="Check Data ⚠","Check Data ⚠",VLOOKUP(AC18,'G-4 Temporal multipliers'!$A$4:$C$37,3,FALSE)),"")</f>
        <v/>
      </c>
      <c r="AE18" s="362" t="str">
        <f>IF(N18="","",VLOOKUP(N18,'G-7 WaterC'' Data'!$B$4:$G$8,5,FALSE))</f>
        <v/>
      </c>
      <c r="AF18" s="370" t="str">
        <f t="shared" si="5"/>
        <v/>
      </c>
      <c r="AG18" s="401" t="str">
        <f t="shared" si="6"/>
        <v/>
      </c>
      <c r="AH18" s="363" t="str">
        <f t="shared" si="1"/>
        <v/>
      </c>
      <c r="AI18" s="122"/>
      <c r="AJ18" s="363" t="str">
        <f>IF(AI18="","",IF(VLOOKUP(AI18,'G-7 WaterC'' Data'!$AA$4:$AB$7,2,FALSE)=0,"Spatial Data Missing ⚠",VLOOKUP(AI18,'G-7 WaterC'' Data'!$AA$4:$AB$7,2,FALSE)))</f>
        <v/>
      </c>
      <c r="AK18" s="123"/>
      <c r="AL18" s="363" t="str">
        <f>IF(AK18="","",IF(VLOOKUP(AK18,'G-7 WaterC'' Data'!$AD$4:$AE$14,2,FALSE)=0,"Spatial Data Missing ⚠",VLOOKUP(AK18,'G-7 WaterC'' Data'!$AD$4:$AE$14,2,FALSE)))</f>
        <v/>
      </c>
      <c r="AM18" s="405" t="str">
        <f t="shared" si="7"/>
        <v/>
      </c>
      <c r="AN18" s="117"/>
      <c r="AO18" s="118"/>
      <c r="AP18" s="120"/>
      <c r="AV18" s="30" t="str">
        <f>IFERROR(INDEX('G-7 WaterC'' Data'!$AZ$3:$AZ$7,MATCH(N18,'G-7 WaterC'' Data'!$AY$3:$AY$7,0)),"")</f>
        <v/>
      </c>
    </row>
    <row r="19" spans="2:48" ht="15">
      <c r="B19" s="392" t="str">
        <f>'C-1 On-Site WaterC'' Baseline'!AO17</f>
        <v/>
      </c>
      <c r="C19" s="382" t="str">
        <f>IF(B19="","",VLOOKUP($B19,'C-1 On-Site WaterC'' Baseline'!$C$9:$R$257,2,FALSE))</f>
        <v/>
      </c>
      <c r="D19" s="382" t="str">
        <f>IF(C19="","",VLOOKUP($B19,'C-1 On-Site WaterC'' Baseline'!$C$9:$R$257,3,FALSE))</f>
        <v/>
      </c>
      <c r="E19" s="382" t="str">
        <f>IF(D19="","",VLOOKUP($B19,'C-1 On-Site WaterC'' Baseline'!$C$9:$R$257,4,FALSE))</f>
        <v/>
      </c>
      <c r="F19" s="382" t="str">
        <f>IF(E19="","",VLOOKUP($B19,'C-1 On-Site WaterC'' Baseline'!$C$9:$R$257,5,FALSE))</f>
        <v/>
      </c>
      <c r="G19" s="382" t="str">
        <f>IF(F19="","",VLOOKUP($B19,'C-1 On-Site WaterC'' Baseline'!$C$9:$R$257,6,FALSE))</f>
        <v/>
      </c>
      <c r="H19" s="382" t="str">
        <f>IF(G19="","",VLOOKUP($B19,'C-1 On-Site WaterC'' Baseline'!$C$9:$R$257,7,FALSE))</f>
        <v/>
      </c>
      <c r="I19" s="382" t="str">
        <f>IF(H19="","",VLOOKUP($B19,'C-1 On-Site WaterC'' Baseline'!$C$9:$R$257,8,FALSE))</f>
        <v/>
      </c>
      <c r="J19" s="382" t="str">
        <f>IF(I19="","",VLOOKUP($B19,'C-1 On-Site WaterC'' Baseline'!$C$9:$R$257,9,FALSE))</f>
        <v/>
      </c>
      <c r="K19" s="382" t="str">
        <f>IF(J19="","",VLOOKUP($B19,'C-1 On-Site WaterC'' Baseline'!$C$9:$R$257,10,FALSE))</f>
        <v/>
      </c>
      <c r="L19" s="382" t="str">
        <f>IF(B19="","",VLOOKUP($B19,'C-1 On-Site WaterC'' Baseline'!$C$9:$R$257,15,FALSE))</f>
        <v/>
      </c>
      <c r="M19" s="386" t="str">
        <f>IF(L19="","",VLOOKUP($B19,'C-1 On-Site WaterC'' Baseline'!$C$9:$R$257,16,FALSE))</f>
        <v/>
      </c>
      <c r="N19" s="320" t="str">
        <f t="shared" si="0"/>
        <v/>
      </c>
      <c r="O19" s="362" t="str">
        <f t="shared" si="2"/>
        <v/>
      </c>
      <c r="P19" s="363" t="str">
        <f>IF(C19="","",IF(AND(LEFT(C19,55)&lt;&gt;LEFT(N19,55),O19="High - High"),"Error - Not like for like ▲",IF(H19&gt;U19,"Error - Can not reduce condition ▲",IF(AND(F19=S19,H19=U19,AJ19='C-1 On-Site WaterC'' Baseline'!N17,'C-1 On-Site WaterC'' Baseline'!P17=AL19),"Error - No enhancement ▲",IF(AND(C19&lt;&gt;N19,F19&lt;S19),"Lower Distinctiveness Habitat"&amp;" - "&amp;T19,G19&amp;" - "&amp;T19)))))</f>
        <v/>
      </c>
      <c r="Q19" s="425" t="str">
        <f>IF(N19="","",VLOOKUP(B19,'C-1 On-Site WaterC'' Baseline'!$C$10:$AB$257,19,FALSE))</f>
        <v/>
      </c>
      <c r="R19" s="362" t="str">
        <f>IF(N19="","",VLOOKUP(N19,'G-7 WaterC'' Data'!$B$2:$G$8,2,FALSE))</f>
        <v/>
      </c>
      <c r="S19" s="363" t="str">
        <f>IFERROR(VLOOKUP(R19,'G-7 WaterC'' Data'!$C$4:$D$8,2,FALSE),"")</f>
        <v/>
      </c>
      <c r="T19" s="114"/>
      <c r="U19" s="363" t="str">
        <f>IFERROR(INDEX('G-7 WaterC'' Data'!$H$4:$L$8,MATCH(N19,'G-7 WaterC'' Data'!$B$4:$B$8,0),MATCH(T19,'G-7 WaterC'' Data'!$H$3:$L$3,0)),"")</f>
        <v/>
      </c>
      <c r="V19" s="114"/>
      <c r="W19" s="370" t="str">
        <f>IF(V19="","",IF(VLOOKUP(V19,'G-7 WaterC'' Data'!$AK$4:$AM$6,2,FALSE)=0,"Spatial Data Missing ⚠",VLOOKUP(V19,'G-7 WaterC'' Data'!$AK$4:$AM$6,2,FALSE)))</f>
        <v/>
      </c>
      <c r="X19" s="363" t="str">
        <f>IF(V19="","",IF(VLOOKUP(V19,'G-7 WaterC'' Data'!$AK$4:$AM$6,3,FALSE)=0,"Spatial Data Missing ⚠",VLOOKUP(V19,'G-7 WaterC'' Data'!$AK$4:$AM$6,3,FALSE)))</f>
        <v/>
      </c>
      <c r="Y19" s="362" t="str">
        <f>IFERROR(IF(OR(LEFT(P19,5)="Error",LEFT(O19,5)="Error ▲"),"Check Data ⚠",IF(F19&lt;S19,'G-7 WaterC'' Data'!$R$3,INDEX('G-7 WaterC'' Data'!$U$5:$Y$9,MATCH(G19,'G-7 WaterC'' Data'!$T$5:$T$9,0),MATCH(T19,'G-7 WaterC'' Data'!$U$4:$Y$4,0)))),"")</f>
        <v/>
      </c>
      <c r="Z19" s="159"/>
      <c r="AA19" s="159"/>
      <c r="AB19" s="370" t="str">
        <f t="shared" si="3"/>
        <v/>
      </c>
      <c r="AC19" s="383" t="str">
        <f t="shared" si="4"/>
        <v/>
      </c>
      <c r="AD19" s="422" t="str">
        <f>IFERROR(IF(AC19="Check Data ⚠","Check Data ⚠",VLOOKUP(AC19,'G-4 Temporal multipliers'!$A$4:$C$37,3,FALSE)),"")</f>
        <v/>
      </c>
      <c r="AE19" s="362" t="str">
        <f>IF(N19="","",VLOOKUP(N19,'G-7 WaterC'' Data'!$B$4:$G$8,5,FALSE))</f>
        <v/>
      </c>
      <c r="AF19" s="370" t="str">
        <f t="shared" si="5"/>
        <v/>
      </c>
      <c r="AG19" s="401" t="str">
        <f t="shared" si="6"/>
        <v/>
      </c>
      <c r="AH19" s="363" t="str">
        <f t="shared" si="1"/>
        <v/>
      </c>
      <c r="AI19" s="122"/>
      <c r="AJ19" s="363" t="str">
        <f>IF(AI19="","",IF(VLOOKUP(AI19,'G-7 WaterC'' Data'!$AA$4:$AB$7,2,FALSE)=0,"Spatial Data Missing ⚠",VLOOKUP(AI19,'G-7 WaterC'' Data'!$AA$4:$AB$7,2,FALSE)))</f>
        <v/>
      </c>
      <c r="AK19" s="123"/>
      <c r="AL19" s="363" t="str">
        <f>IF(AK19="","",IF(VLOOKUP(AK19,'G-7 WaterC'' Data'!$AD$4:$AE$14,2,FALSE)=0,"Spatial Data Missing ⚠",VLOOKUP(AK19,'G-7 WaterC'' Data'!$AD$4:$AE$14,2,FALSE)))</f>
        <v/>
      </c>
      <c r="AM19" s="405" t="str">
        <f t="shared" si="7"/>
        <v/>
      </c>
      <c r="AN19" s="117"/>
      <c r="AO19" s="118"/>
      <c r="AP19" s="120"/>
      <c r="AV19" s="30" t="str">
        <f>IFERROR(INDEX('G-7 WaterC'' Data'!$AZ$3:$AZ$7,MATCH(N19,'G-7 WaterC'' Data'!$AY$3:$AY$7,0)),"")</f>
        <v/>
      </c>
    </row>
    <row r="20" spans="2:48" ht="15">
      <c r="B20" s="392" t="str">
        <f>'C-1 On-Site WaterC'' Baseline'!AO18</f>
        <v/>
      </c>
      <c r="C20" s="382" t="str">
        <f>IF(B20="","",VLOOKUP($B20,'C-1 On-Site WaterC'' Baseline'!$C$9:$R$257,2,FALSE))</f>
        <v/>
      </c>
      <c r="D20" s="382" t="str">
        <f>IF(C20="","",VLOOKUP($B20,'C-1 On-Site WaterC'' Baseline'!$C$9:$R$257,3,FALSE))</f>
        <v/>
      </c>
      <c r="E20" s="382" t="str">
        <f>IF(D20="","",VLOOKUP($B20,'C-1 On-Site WaterC'' Baseline'!$C$9:$R$257,4,FALSE))</f>
        <v/>
      </c>
      <c r="F20" s="382" t="str">
        <f>IF(E20="","",VLOOKUP($B20,'C-1 On-Site WaterC'' Baseline'!$C$9:$R$257,5,FALSE))</f>
        <v/>
      </c>
      <c r="G20" s="382" t="str">
        <f>IF(F20="","",VLOOKUP($B20,'C-1 On-Site WaterC'' Baseline'!$C$9:$R$257,6,FALSE))</f>
        <v/>
      </c>
      <c r="H20" s="382" t="str">
        <f>IF(G20="","",VLOOKUP($B20,'C-1 On-Site WaterC'' Baseline'!$C$9:$R$257,7,FALSE))</f>
        <v/>
      </c>
      <c r="I20" s="382" t="str">
        <f>IF(H20="","",VLOOKUP($B20,'C-1 On-Site WaterC'' Baseline'!$C$9:$R$257,8,FALSE))</f>
        <v/>
      </c>
      <c r="J20" s="382" t="str">
        <f>IF(I20="","",VLOOKUP($B20,'C-1 On-Site WaterC'' Baseline'!$C$9:$R$257,9,FALSE))</f>
        <v/>
      </c>
      <c r="K20" s="382" t="str">
        <f>IF(J20="","",VLOOKUP($B20,'C-1 On-Site WaterC'' Baseline'!$C$9:$R$257,10,FALSE))</f>
        <v/>
      </c>
      <c r="L20" s="382" t="str">
        <f>IF(B20="","",VLOOKUP($B20,'C-1 On-Site WaterC'' Baseline'!$C$9:$R$257,15,FALSE))</f>
        <v/>
      </c>
      <c r="M20" s="386" t="str">
        <f>IF(L20="","",VLOOKUP($B20,'C-1 On-Site WaterC'' Baseline'!$C$9:$R$257,16,FALSE))</f>
        <v/>
      </c>
      <c r="N20" s="320" t="str">
        <f t="shared" si="0"/>
        <v/>
      </c>
      <c r="O20" s="362" t="str">
        <f t="shared" si="2"/>
        <v/>
      </c>
      <c r="P20" s="363" t="str">
        <f>IF(C20="","",IF(AND(LEFT(C20,55)&lt;&gt;LEFT(N20,55),O20="High - High"),"Error - Not like for like ▲",IF(H20&gt;U20,"Error - Can not reduce condition ▲",IF(AND(F20=S20,H20=U20,AJ20='C-1 On-Site WaterC'' Baseline'!N18,'C-1 On-Site WaterC'' Baseline'!P18=AL20),"Error - No enhancement ▲",IF(AND(C20&lt;&gt;N20,F20&lt;S20),"Lower Distinctiveness Habitat"&amp;" - "&amp;T20,G20&amp;" - "&amp;T20)))))</f>
        <v/>
      </c>
      <c r="Q20" s="425" t="str">
        <f>IF(N20="","",VLOOKUP(B20,'C-1 On-Site WaterC'' Baseline'!$C$10:$AB$257,19,FALSE))</f>
        <v/>
      </c>
      <c r="R20" s="362" t="str">
        <f>IF(N20="","",VLOOKUP(N20,'G-7 WaterC'' Data'!$B$2:$G$8,2,FALSE))</f>
        <v/>
      </c>
      <c r="S20" s="363" t="str">
        <f>IFERROR(VLOOKUP(R20,'G-7 WaterC'' Data'!$C$4:$D$8,2,FALSE),"")</f>
        <v/>
      </c>
      <c r="T20" s="114"/>
      <c r="U20" s="363" t="str">
        <f>IFERROR(INDEX('G-7 WaterC'' Data'!$H$4:$L$8,MATCH(N20,'G-7 WaterC'' Data'!$B$4:$B$8,0),MATCH(T20,'G-7 WaterC'' Data'!$H$3:$L$3,0)),"")</f>
        <v/>
      </c>
      <c r="V20" s="114"/>
      <c r="W20" s="370" t="str">
        <f>IF(V20="","",IF(VLOOKUP(V20,'G-7 WaterC'' Data'!$AK$4:$AM$6,2,FALSE)=0,"Spatial Data Missing ⚠",VLOOKUP(V20,'G-7 WaterC'' Data'!$AK$4:$AM$6,2,FALSE)))</f>
        <v/>
      </c>
      <c r="X20" s="363" t="str">
        <f>IF(V20="","",IF(VLOOKUP(V20,'G-7 WaterC'' Data'!$AK$4:$AM$6,3,FALSE)=0,"Spatial Data Missing ⚠",VLOOKUP(V20,'G-7 WaterC'' Data'!$AK$4:$AM$6,3,FALSE)))</f>
        <v/>
      </c>
      <c r="Y20" s="362" t="str">
        <f>IFERROR(IF(OR(LEFT(P20,5)="Error",LEFT(O20,5)="Error ▲"),"Check Data ⚠",IF(F20&lt;S20,'G-7 WaterC'' Data'!$R$3,INDEX('G-7 WaterC'' Data'!$U$5:$Y$9,MATCH(G20,'G-7 WaterC'' Data'!$T$5:$T$9,0),MATCH(T20,'G-7 WaterC'' Data'!$U$4:$Y$4,0)))),"")</f>
        <v/>
      </c>
      <c r="Z20" s="159"/>
      <c r="AA20" s="159"/>
      <c r="AB20" s="370" t="str">
        <f t="shared" si="3"/>
        <v/>
      </c>
      <c r="AC20" s="383" t="str">
        <f t="shared" si="4"/>
        <v/>
      </c>
      <c r="AD20" s="422" t="str">
        <f>IFERROR(IF(AC20="Check Data ⚠","Check Data ⚠",VLOOKUP(AC20,'G-4 Temporal multipliers'!$A$4:$C$37,3,FALSE)),"")</f>
        <v/>
      </c>
      <c r="AE20" s="362" t="str">
        <f>IF(N20="","",VLOOKUP(N20,'G-7 WaterC'' Data'!$B$4:$G$8,5,FALSE))</f>
        <v/>
      </c>
      <c r="AF20" s="370" t="str">
        <f t="shared" si="5"/>
        <v/>
      </c>
      <c r="AG20" s="401" t="str">
        <f t="shared" si="6"/>
        <v/>
      </c>
      <c r="AH20" s="363" t="str">
        <f t="shared" si="1"/>
        <v/>
      </c>
      <c r="AI20" s="122"/>
      <c r="AJ20" s="363" t="str">
        <f>IF(AI20="","",IF(VLOOKUP(AI20,'G-7 WaterC'' Data'!$AA$4:$AB$7,2,FALSE)=0,"Spatial Data Missing ⚠",VLOOKUP(AI20,'G-7 WaterC'' Data'!$AA$4:$AB$7,2,FALSE)))</f>
        <v/>
      </c>
      <c r="AK20" s="123"/>
      <c r="AL20" s="363" t="str">
        <f>IF(AK20="","",IF(VLOOKUP(AK20,'G-7 WaterC'' Data'!$AD$4:$AE$14,2,FALSE)=0,"Spatial Data Missing ⚠",VLOOKUP(AK20,'G-7 WaterC'' Data'!$AD$4:$AE$14,2,FALSE)))</f>
        <v/>
      </c>
      <c r="AM20" s="405" t="str">
        <f t="shared" si="7"/>
        <v/>
      </c>
      <c r="AN20" s="117"/>
      <c r="AO20" s="118"/>
      <c r="AP20" s="120"/>
      <c r="AV20" s="30" t="str">
        <f>IFERROR(INDEX('G-7 WaterC'' Data'!$AZ$3:$AZ$7,MATCH(N20,'G-7 WaterC'' Data'!$AY$3:$AY$7,0)),"")</f>
        <v/>
      </c>
    </row>
    <row r="21" spans="2:48" ht="15">
      <c r="B21" s="392" t="str">
        <f>'C-1 On-Site WaterC'' Baseline'!AO19</f>
        <v/>
      </c>
      <c r="C21" s="382" t="str">
        <f>IF(B21="","",VLOOKUP($B21,'C-1 On-Site WaterC'' Baseline'!$C$9:$R$257,2,FALSE))</f>
        <v/>
      </c>
      <c r="D21" s="382" t="str">
        <f>IF(C21="","",VLOOKUP($B21,'C-1 On-Site WaterC'' Baseline'!$C$9:$R$257,3,FALSE))</f>
        <v/>
      </c>
      <c r="E21" s="382" t="str">
        <f>IF(D21="","",VLOOKUP($B21,'C-1 On-Site WaterC'' Baseline'!$C$9:$R$257,4,FALSE))</f>
        <v/>
      </c>
      <c r="F21" s="382" t="str">
        <f>IF(E21="","",VLOOKUP($B21,'C-1 On-Site WaterC'' Baseline'!$C$9:$R$257,5,FALSE))</f>
        <v/>
      </c>
      <c r="G21" s="382" t="str">
        <f>IF(F21="","",VLOOKUP($B21,'C-1 On-Site WaterC'' Baseline'!$C$9:$R$257,6,FALSE))</f>
        <v/>
      </c>
      <c r="H21" s="382" t="str">
        <f>IF(G21="","",VLOOKUP($B21,'C-1 On-Site WaterC'' Baseline'!$C$9:$R$257,7,FALSE))</f>
        <v/>
      </c>
      <c r="I21" s="382" t="str">
        <f>IF(H21="","",VLOOKUP($B21,'C-1 On-Site WaterC'' Baseline'!$C$9:$R$257,8,FALSE))</f>
        <v/>
      </c>
      <c r="J21" s="382" t="str">
        <f>IF(I21="","",VLOOKUP($B21,'C-1 On-Site WaterC'' Baseline'!$C$9:$R$257,9,FALSE))</f>
        <v/>
      </c>
      <c r="K21" s="382" t="str">
        <f>IF(J21="","",VLOOKUP($B21,'C-1 On-Site WaterC'' Baseline'!$C$9:$R$257,10,FALSE))</f>
        <v/>
      </c>
      <c r="L21" s="382" t="str">
        <f>IF(B21="","",VLOOKUP($B21,'C-1 On-Site WaterC'' Baseline'!$C$9:$R$257,15,FALSE))</f>
        <v/>
      </c>
      <c r="M21" s="386" t="str">
        <f>IF(L21="","",VLOOKUP($B21,'C-1 On-Site WaterC'' Baseline'!$C$9:$R$257,16,FALSE))</f>
        <v/>
      </c>
      <c r="N21" s="320" t="str">
        <f t="shared" si="0"/>
        <v/>
      </c>
      <c r="O21" s="362" t="str">
        <f t="shared" si="2"/>
        <v/>
      </c>
      <c r="P21" s="363" t="str">
        <f>IF(C21="","",IF(AND(LEFT(C21,55)&lt;&gt;LEFT(N21,55),O21="High - High"),"Error - Not like for like ▲",IF(H21&gt;U21,"Error - Can not reduce condition ▲",IF(AND(F21=S21,H21=U21,AJ21='C-1 On-Site WaterC'' Baseline'!N19,'C-1 On-Site WaterC'' Baseline'!P19=AL21),"Error - No enhancement ▲",IF(AND(C21&lt;&gt;N21,F21&lt;S21),"Lower Distinctiveness Habitat"&amp;" - "&amp;T21,G21&amp;" - "&amp;T21)))))</f>
        <v/>
      </c>
      <c r="Q21" s="425" t="str">
        <f>IF(N21="","",VLOOKUP(B21,'C-1 On-Site WaterC'' Baseline'!$C$10:$AB$257,19,FALSE))</f>
        <v/>
      </c>
      <c r="R21" s="362" t="str">
        <f>IF(N21="","",VLOOKUP(N21,'G-7 WaterC'' Data'!$B$2:$G$8,2,FALSE))</f>
        <v/>
      </c>
      <c r="S21" s="363" t="str">
        <f>IFERROR(VLOOKUP(R21,'G-7 WaterC'' Data'!$C$4:$D$8,2,FALSE),"")</f>
        <v/>
      </c>
      <c r="T21" s="114"/>
      <c r="U21" s="363" t="str">
        <f>IFERROR(INDEX('G-7 WaterC'' Data'!$H$4:$L$8,MATCH(N21,'G-7 WaterC'' Data'!$B$4:$B$8,0),MATCH(T21,'G-7 WaterC'' Data'!$H$3:$L$3,0)),"")</f>
        <v/>
      </c>
      <c r="V21" s="114"/>
      <c r="W21" s="370" t="str">
        <f>IF(V21="","",IF(VLOOKUP(V21,'G-7 WaterC'' Data'!$AK$4:$AM$6,2,FALSE)=0,"Spatial Data Missing ⚠",VLOOKUP(V21,'G-7 WaterC'' Data'!$AK$4:$AM$6,2,FALSE)))</f>
        <v/>
      </c>
      <c r="X21" s="363" t="str">
        <f>IF(V21="","",IF(VLOOKUP(V21,'G-7 WaterC'' Data'!$AK$4:$AM$6,3,FALSE)=0,"Spatial Data Missing ⚠",VLOOKUP(V21,'G-7 WaterC'' Data'!$AK$4:$AM$6,3,FALSE)))</f>
        <v/>
      </c>
      <c r="Y21" s="362" t="str">
        <f>IFERROR(IF(OR(LEFT(P21,5)="Error",LEFT(O21,5)="Error ▲"),"Check Data ⚠",IF(F21&lt;S21,'G-7 WaterC'' Data'!$R$3,INDEX('G-7 WaterC'' Data'!$U$5:$Y$9,MATCH(G21,'G-7 WaterC'' Data'!$T$5:$T$9,0),MATCH(T21,'G-7 WaterC'' Data'!$U$4:$Y$4,0)))),"")</f>
        <v/>
      </c>
      <c r="Z21" s="159"/>
      <c r="AA21" s="159"/>
      <c r="AB21" s="370" t="str">
        <f t="shared" si="3"/>
        <v/>
      </c>
      <c r="AC21" s="383" t="str">
        <f t="shared" si="4"/>
        <v/>
      </c>
      <c r="AD21" s="422" t="str">
        <f>IFERROR(IF(AC21="Check Data ⚠","Check Data ⚠",VLOOKUP(AC21,'G-4 Temporal multipliers'!$A$4:$C$37,3,FALSE)),"")</f>
        <v/>
      </c>
      <c r="AE21" s="362" t="str">
        <f>IF(N21="","",VLOOKUP(N21,'G-7 WaterC'' Data'!$B$4:$G$8,5,FALSE))</f>
        <v/>
      </c>
      <c r="AF21" s="370" t="str">
        <f t="shared" si="5"/>
        <v/>
      </c>
      <c r="AG21" s="401" t="str">
        <f t="shared" si="6"/>
        <v/>
      </c>
      <c r="AH21" s="363" t="str">
        <f t="shared" si="1"/>
        <v/>
      </c>
      <c r="AI21" s="122"/>
      <c r="AJ21" s="363" t="str">
        <f>IF(AI21="","",IF(VLOOKUP(AI21,'G-7 WaterC'' Data'!$AA$4:$AB$7,2,FALSE)=0,"Spatial Data Missing ⚠",VLOOKUP(AI21,'G-7 WaterC'' Data'!$AA$4:$AB$7,2,FALSE)))</f>
        <v/>
      </c>
      <c r="AK21" s="123"/>
      <c r="AL21" s="363" t="str">
        <f>IF(AK21="","",IF(VLOOKUP(AK21,'G-7 WaterC'' Data'!$AD$4:$AE$14,2,FALSE)=0,"Spatial Data Missing ⚠",VLOOKUP(AK21,'G-7 WaterC'' Data'!$AD$4:$AE$14,2,FALSE)))</f>
        <v/>
      </c>
      <c r="AM21" s="405" t="str">
        <f t="shared" si="7"/>
        <v/>
      </c>
      <c r="AN21" s="117"/>
      <c r="AO21" s="118"/>
      <c r="AP21" s="120"/>
      <c r="AV21" s="30" t="str">
        <f>IFERROR(INDEX('G-7 WaterC'' Data'!$AZ$3:$AZ$7,MATCH(N21,'G-7 WaterC'' Data'!$AY$3:$AY$7,0)),"")</f>
        <v/>
      </c>
    </row>
    <row r="22" spans="2:48" ht="15">
      <c r="B22" s="392" t="str">
        <f>'C-1 On-Site WaterC'' Baseline'!AO20</f>
        <v/>
      </c>
      <c r="C22" s="382" t="str">
        <f>IF(B22="","",VLOOKUP($B22,'C-1 On-Site WaterC'' Baseline'!$C$9:$R$257,2,FALSE))</f>
        <v/>
      </c>
      <c r="D22" s="382" t="str">
        <f>IF(C22="","",VLOOKUP($B22,'C-1 On-Site WaterC'' Baseline'!$C$9:$R$257,3,FALSE))</f>
        <v/>
      </c>
      <c r="E22" s="382" t="str">
        <f>IF(D22="","",VLOOKUP($B22,'C-1 On-Site WaterC'' Baseline'!$C$9:$R$257,4,FALSE))</f>
        <v/>
      </c>
      <c r="F22" s="382" t="str">
        <f>IF(E22="","",VLOOKUP($B22,'C-1 On-Site WaterC'' Baseline'!$C$9:$R$257,5,FALSE))</f>
        <v/>
      </c>
      <c r="G22" s="382" t="str">
        <f>IF(F22="","",VLOOKUP($B22,'C-1 On-Site WaterC'' Baseline'!$C$9:$R$257,6,FALSE))</f>
        <v/>
      </c>
      <c r="H22" s="382" t="str">
        <f>IF(G22="","",VLOOKUP($B22,'C-1 On-Site WaterC'' Baseline'!$C$9:$R$257,7,FALSE))</f>
        <v/>
      </c>
      <c r="I22" s="382" t="str">
        <f>IF(H22="","",VLOOKUP($B22,'C-1 On-Site WaterC'' Baseline'!$C$9:$R$257,8,FALSE))</f>
        <v/>
      </c>
      <c r="J22" s="382" t="str">
        <f>IF(I22="","",VLOOKUP($B22,'C-1 On-Site WaterC'' Baseline'!$C$9:$R$257,9,FALSE))</f>
        <v/>
      </c>
      <c r="K22" s="382" t="str">
        <f>IF(J22="","",VLOOKUP($B22,'C-1 On-Site WaterC'' Baseline'!$C$9:$R$257,10,FALSE))</f>
        <v/>
      </c>
      <c r="L22" s="382" t="str">
        <f>IF(B22="","",VLOOKUP($B22,'C-1 On-Site WaterC'' Baseline'!$C$9:$R$257,15,FALSE))</f>
        <v/>
      </c>
      <c r="M22" s="386" t="str">
        <f>IF(L22="","",VLOOKUP($B22,'C-1 On-Site WaterC'' Baseline'!$C$9:$R$257,16,FALSE))</f>
        <v/>
      </c>
      <c r="N22" s="320" t="str">
        <f t="shared" si="0"/>
        <v/>
      </c>
      <c r="O22" s="362" t="str">
        <f t="shared" si="2"/>
        <v/>
      </c>
      <c r="P22" s="363" t="str">
        <f>IF(C22="","",IF(AND(LEFT(C22,55)&lt;&gt;LEFT(N22,55),O22="High - High"),"Error - Not like for like ▲",IF(H22&gt;U22,"Error - Can not reduce condition ▲",IF(AND(F22=S22,H22=U22,AJ22='C-1 On-Site WaterC'' Baseline'!N20,'C-1 On-Site WaterC'' Baseline'!P20=AL22),"Error - No enhancement ▲",IF(AND(C22&lt;&gt;N22,F22&lt;S22),"Lower Distinctiveness Habitat"&amp;" - "&amp;T22,G22&amp;" - "&amp;T22)))))</f>
        <v/>
      </c>
      <c r="Q22" s="425" t="str">
        <f>IF(N22="","",VLOOKUP(B22,'C-1 On-Site WaterC'' Baseline'!$C$10:$AB$257,19,FALSE))</f>
        <v/>
      </c>
      <c r="R22" s="362" t="str">
        <f>IF(N22="","",VLOOKUP(N22,'G-7 WaterC'' Data'!$B$2:$G$8,2,FALSE))</f>
        <v/>
      </c>
      <c r="S22" s="363" t="str">
        <f>IFERROR(VLOOKUP(R22,'G-7 WaterC'' Data'!$C$4:$D$8,2,FALSE),"")</f>
        <v/>
      </c>
      <c r="T22" s="114"/>
      <c r="U22" s="363" t="str">
        <f>IFERROR(INDEX('G-7 WaterC'' Data'!$H$4:$L$8,MATCH(N22,'G-7 WaterC'' Data'!$B$4:$B$8,0),MATCH(T22,'G-7 WaterC'' Data'!$H$3:$L$3,0)),"")</f>
        <v/>
      </c>
      <c r="V22" s="114"/>
      <c r="W22" s="370" t="str">
        <f>IF(V22="","",IF(VLOOKUP(V22,'G-7 WaterC'' Data'!$AK$4:$AM$6,2,FALSE)=0,"Spatial Data Missing ⚠",VLOOKUP(V22,'G-7 WaterC'' Data'!$AK$4:$AM$6,2,FALSE)))</f>
        <v/>
      </c>
      <c r="X22" s="363" t="str">
        <f>IF(V22="","",IF(VLOOKUP(V22,'G-7 WaterC'' Data'!$AK$4:$AM$6,3,FALSE)=0,"Spatial Data Missing ⚠",VLOOKUP(V22,'G-7 WaterC'' Data'!$AK$4:$AM$6,3,FALSE)))</f>
        <v/>
      </c>
      <c r="Y22" s="362" t="str">
        <f>IFERROR(IF(OR(LEFT(P22,5)="Error",LEFT(O22,5)="Error ▲"),"Check Data ⚠",IF(F22&lt;S22,'G-7 WaterC'' Data'!$R$3,INDEX('G-7 WaterC'' Data'!$U$5:$Y$9,MATCH(G22,'G-7 WaterC'' Data'!$T$5:$T$9,0),MATCH(T22,'G-7 WaterC'' Data'!$U$4:$Y$4,0)))),"")</f>
        <v/>
      </c>
      <c r="Z22" s="159"/>
      <c r="AA22" s="159"/>
      <c r="AB22" s="370" t="str">
        <f t="shared" si="3"/>
        <v/>
      </c>
      <c r="AC22" s="383" t="str">
        <f t="shared" si="4"/>
        <v/>
      </c>
      <c r="AD22" s="422" t="str">
        <f>IFERROR(IF(AC22="Check Data ⚠","Check Data ⚠",VLOOKUP(AC22,'G-4 Temporal multipliers'!$A$4:$C$37,3,FALSE)),"")</f>
        <v/>
      </c>
      <c r="AE22" s="362" t="str">
        <f>IF(N22="","",VLOOKUP(N22,'G-7 WaterC'' Data'!$B$4:$G$8,5,FALSE))</f>
        <v/>
      </c>
      <c r="AF22" s="370" t="str">
        <f t="shared" si="5"/>
        <v/>
      </c>
      <c r="AG22" s="401" t="str">
        <f t="shared" si="6"/>
        <v/>
      </c>
      <c r="AH22" s="363" t="str">
        <f t="shared" si="1"/>
        <v/>
      </c>
      <c r="AI22" s="122"/>
      <c r="AJ22" s="363" t="str">
        <f>IF(AI22="","",IF(VLOOKUP(AI22,'G-7 WaterC'' Data'!$AA$4:$AB$7,2,FALSE)=0,"Spatial Data Missing ⚠",VLOOKUP(AI22,'G-7 WaterC'' Data'!$AA$4:$AB$7,2,FALSE)))</f>
        <v/>
      </c>
      <c r="AK22" s="123"/>
      <c r="AL22" s="363" t="str">
        <f>IF(AK22="","",IF(VLOOKUP(AK22,'G-7 WaterC'' Data'!$AD$4:$AE$14,2,FALSE)=0,"Spatial Data Missing ⚠",VLOOKUP(AK22,'G-7 WaterC'' Data'!$AD$4:$AE$14,2,FALSE)))</f>
        <v/>
      </c>
      <c r="AM22" s="405" t="str">
        <f t="shared" si="7"/>
        <v/>
      </c>
      <c r="AN22" s="117"/>
      <c r="AO22" s="118"/>
      <c r="AP22" s="120"/>
      <c r="AV22" s="30" t="str">
        <f>IFERROR(INDEX('G-7 WaterC'' Data'!$AZ$3:$AZ$7,MATCH(N22,'G-7 WaterC'' Data'!$AY$3:$AY$7,0)),"")</f>
        <v/>
      </c>
    </row>
    <row r="23" spans="2:48" ht="15">
      <c r="B23" s="392" t="str">
        <f>'C-1 On-Site WaterC'' Baseline'!AO21</f>
        <v/>
      </c>
      <c r="C23" s="382" t="str">
        <f>IF(B23="","",VLOOKUP($B23,'C-1 On-Site WaterC'' Baseline'!$C$9:$R$257,2,FALSE))</f>
        <v/>
      </c>
      <c r="D23" s="382" t="str">
        <f>IF(C23="","",VLOOKUP($B23,'C-1 On-Site WaterC'' Baseline'!$C$9:$R$257,3,FALSE))</f>
        <v/>
      </c>
      <c r="E23" s="382" t="str">
        <f>IF(D23="","",VLOOKUP($B23,'C-1 On-Site WaterC'' Baseline'!$C$9:$R$257,4,FALSE))</f>
        <v/>
      </c>
      <c r="F23" s="382" t="str">
        <f>IF(E23="","",VLOOKUP($B23,'C-1 On-Site WaterC'' Baseline'!$C$9:$R$257,5,FALSE))</f>
        <v/>
      </c>
      <c r="G23" s="382" t="str">
        <f>IF(F23="","",VLOOKUP($B23,'C-1 On-Site WaterC'' Baseline'!$C$9:$R$257,6,FALSE))</f>
        <v/>
      </c>
      <c r="H23" s="382" t="str">
        <f>IF(G23="","",VLOOKUP($B23,'C-1 On-Site WaterC'' Baseline'!$C$9:$R$257,7,FALSE))</f>
        <v/>
      </c>
      <c r="I23" s="382" t="str">
        <f>IF(H23="","",VLOOKUP($B23,'C-1 On-Site WaterC'' Baseline'!$C$9:$R$257,8,FALSE))</f>
        <v/>
      </c>
      <c r="J23" s="382" t="str">
        <f>IF(I23="","",VLOOKUP($B23,'C-1 On-Site WaterC'' Baseline'!$C$9:$R$257,9,FALSE))</f>
        <v/>
      </c>
      <c r="K23" s="382" t="str">
        <f>IF(J23="","",VLOOKUP($B23,'C-1 On-Site WaterC'' Baseline'!$C$9:$R$257,10,FALSE))</f>
        <v/>
      </c>
      <c r="L23" s="382" t="str">
        <f>IF(B23="","",VLOOKUP($B23,'C-1 On-Site WaterC'' Baseline'!$C$9:$R$257,15,FALSE))</f>
        <v/>
      </c>
      <c r="M23" s="386" t="str">
        <f>IF(L23="","",VLOOKUP($B23,'C-1 On-Site WaterC'' Baseline'!$C$9:$R$257,16,FALSE))</f>
        <v/>
      </c>
      <c r="N23" s="320" t="str">
        <f t="shared" si="0"/>
        <v/>
      </c>
      <c r="O23" s="362" t="str">
        <f t="shared" si="2"/>
        <v/>
      </c>
      <c r="P23" s="363" t="str">
        <f>IF(C23="","",IF(AND(LEFT(C23,55)&lt;&gt;LEFT(N23,55),O23="High - High"),"Error - Not like for like ▲",IF(H23&gt;U23,"Error - Can not reduce condition ▲",IF(AND(F23=S23,H23=U23,AJ23='C-1 On-Site WaterC'' Baseline'!N21,'C-1 On-Site WaterC'' Baseline'!P21=AL23),"Error - No enhancement ▲",IF(AND(C23&lt;&gt;N23,F23&lt;S23),"Lower Distinctiveness Habitat"&amp;" - "&amp;T23,G23&amp;" - "&amp;T23)))))</f>
        <v/>
      </c>
      <c r="Q23" s="425" t="str">
        <f>IF(N23="","",VLOOKUP(B23,'C-1 On-Site WaterC'' Baseline'!$C$10:$AB$257,19,FALSE))</f>
        <v/>
      </c>
      <c r="R23" s="362" t="str">
        <f>IF(N23="","",VLOOKUP(N23,'G-7 WaterC'' Data'!$B$2:$G$8,2,FALSE))</f>
        <v/>
      </c>
      <c r="S23" s="363" t="str">
        <f>IFERROR(VLOOKUP(R23,'G-7 WaterC'' Data'!$C$4:$D$8,2,FALSE),"")</f>
        <v/>
      </c>
      <c r="T23" s="114"/>
      <c r="U23" s="363" t="str">
        <f>IFERROR(INDEX('G-7 WaterC'' Data'!$H$4:$L$8,MATCH(N23,'G-7 WaterC'' Data'!$B$4:$B$8,0),MATCH(T23,'G-7 WaterC'' Data'!$H$3:$L$3,0)),"")</f>
        <v/>
      </c>
      <c r="V23" s="114"/>
      <c r="W23" s="370" t="str">
        <f>IF(V23="","",IF(VLOOKUP(V23,'G-7 WaterC'' Data'!$AK$4:$AM$6,2,FALSE)=0,"Spatial Data Missing ⚠",VLOOKUP(V23,'G-7 WaterC'' Data'!$AK$4:$AM$6,2,FALSE)))</f>
        <v/>
      </c>
      <c r="X23" s="363" t="str">
        <f>IF(V23="","",IF(VLOOKUP(V23,'G-7 WaterC'' Data'!$AK$4:$AM$6,3,FALSE)=0,"Spatial Data Missing ⚠",VLOOKUP(V23,'G-7 WaterC'' Data'!$AK$4:$AM$6,3,FALSE)))</f>
        <v/>
      </c>
      <c r="Y23" s="362" t="str">
        <f>IFERROR(IF(OR(LEFT(P23,5)="Error",LEFT(O23,5)="Error ▲"),"Check Data ⚠",IF(F23&lt;S23,'G-7 WaterC'' Data'!$R$3,INDEX('G-7 WaterC'' Data'!$U$5:$Y$9,MATCH(G23,'G-7 WaterC'' Data'!$T$5:$T$9,0),MATCH(T23,'G-7 WaterC'' Data'!$U$4:$Y$4,0)))),"")</f>
        <v/>
      </c>
      <c r="Z23" s="159"/>
      <c r="AA23" s="159"/>
      <c r="AB23" s="370" t="str">
        <f t="shared" si="3"/>
        <v/>
      </c>
      <c r="AC23" s="383" t="str">
        <f t="shared" si="4"/>
        <v/>
      </c>
      <c r="AD23" s="422" t="str">
        <f>IFERROR(IF(AC23="Check Data ⚠","Check Data ⚠",VLOOKUP(AC23,'G-4 Temporal multipliers'!$A$4:$C$37,3,FALSE)),"")</f>
        <v/>
      </c>
      <c r="AE23" s="362" t="str">
        <f>IF(N23="","",VLOOKUP(N23,'G-7 WaterC'' Data'!$B$4:$G$8,5,FALSE))</f>
        <v/>
      </c>
      <c r="AF23" s="370" t="str">
        <f t="shared" si="5"/>
        <v/>
      </c>
      <c r="AG23" s="401" t="str">
        <f t="shared" si="6"/>
        <v/>
      </c>
      <c r="AH23" s="363" t="str">
        <f t="shared" si="1"/>
        <v/>
      </c>
      <c r="AI23" s="122"/>
      <c r="AJ23" s="363" t="str">
        <f>IF(AI23="","",IF(VLOOKUP(AI23,'G-7 WaterC'' Data'!$AA$4:$AB$7,2,FALSE)=0,"Spatial Data Missing ⚠",VLOOKUP(AI23,'G-7 WaterC'' Data'!$AA$4:$AB$7,2,FALSE)))</f>
        <v/>
      </c>
      <c r="AK23" s="123"/>
      <c r="AL23" s="363" t="str">
        <f>IF(AK23="","",IF(VLOOKUP(AK23,'G-7 WaterC'' Data'!$AD$4:$AE$14,2,FALSE)=0,"Spatial Data Missing ⚠",VLOOKUP(AK23,'G-7 WaterC'' Data'!$AD$4:$AE$14,2,FALSE)))</f>
        <v/>
      </c>
      <c r="AM23" s="405" t="str">
        <f t="shared" si="7"/>
        <v/>
      </c>
      <c r="AN23" s="117"/>
      <c r="AO23" s="118"/>
      <c r="AP23" s="120"/>
      <c r="AV23" s="30" t="str">
        <f>IFERROR(INDEX('G-7 WaterC'' Data'!$AZ$3:$AZ$7,MATCH(N23,'G-7 WaterC'' Data'!$AY$3:$AY$7,0)),"")</f>
        <v/>
      </c>
    </row>
    <row r="24" spans="2:48" ht="15">
      <c r="B24" s="392" t="str">
        <f>'C-1 On-Site WaterC'' Baseline'!AO22</f>
        <v/>
      </c>
      <c r="C24" s="382" t="str">
        <f>IF(B24="","",VLOOKUP($B24,'C-1 On-Site WaterC'' Baseline'!$C$9:$R$257,2,FALSE))</f>
        <v/>
      </c>
      <c r="D24" s="382" t="str">
        <f>IF(C24="","",VLOOKUP($B24,'C-1 On-Site WaterC'' Baseline'!$C$9:$R$257,3,FALSE))</f>
        <v/>
      </c>
      <c r="E24" s="382" t="str">
        <f>IF(D24="","",VLOOKUP($B24,'C-1 On-Site WaterC'' Baseline'!$C$9:$R$257,4,FALSE))</f>
        <v/>
      </c>
      <c r="F24" s="382" t="str">
        <f>IF(E24="","",VLOOKUP($B24,'C-1 On-Site WaterC'' Baseline'!$C$9:$R$257,5,FALSE))</f>
        <v/>
      </c>
      <c r="G24" s="382" t="str">
        <f>IF(F24="","",VLOOKUP($B24,'C-1 On-Site WaterC'' Baseline'!$C$9:$R$257,6,FALSE))</f>
        <v/>
      </c>
      <c r="H24" s="382" t="str">
        <f>IF(G24="","",VLOOKUP($B24,'C-1 On-Site WaterC'' Baseline'!$C$9:$R$257,7,FALSE))</f>
        <v/>
      </c>
      <c r="I24" s="382" t="str">
        <f>IF(H24="","",VLOOKUP($B24,'C-1 On-Site WaterC'' Baseline'!$C$9:$R$257,8,FALSE))</f>
        <v/>
      </c>
      <c r="J24" s="382" t="str">
        <f>IF(I24="","",VLOOKUP($B24,'C-1 On-Site WaterC'' Baseline'!$C$9:$R$257,9,FALSE))</f>
        <v/>
      </c>
      <c r="K24" s="382" t="str">
        <f>IF(J24="","",VLOOKUP($B24,'C-1 On-Site WaterC'' Baseline'!$C$9:$R$257,10,FALSE))</f>
        <v/>
      </c>
      <c r="L24" s="382" t="str">
        <f>IF(B24="","",VLOOKUP($B24,'C-1 On-Site WaterC'' Baseline'!$C$9:$R$257,15,FALSE))</f>
        <v/>
      </c>
      <c r="M24" s="386" t="str">
        <f>IF(L24="","",VLOOKUP($B24,'C-1 On-Site WaterC'' Baseline'!$C$9:$R$257,16,FALSE))</f>
        <v/>
      </c>
      <c r="N24" s="320" t="str">
        <f t="shared" si="0"/>
        <v/>
      </c>
      <c r="O24" s="362" t="str">
        <f t="shared" si="2"/>
        <v/>
      </c>
      <c r="P24" s="363" t="str">
        <f>IF(C24="","",IF(AND(LEFT(C24,55)&lt;&gt;LEFT(N24,55),O24="High - High"),"Error - Not like for like ▲",IF(H24&gt;U24,"Error - Can not reduce condition ▲",IF(AND(F24=S24,H24=U24,AJ24='C-1 On-Site WaterC'' Baseline'!N22,'C-1 On-Site WaterC'' Baseline'!P22=AL24),"Error - No enhancement ▲",IF(AND(C24&lt;&gt;N24,F24&lt;S24),"Lower Distinctiveness Habitat"&amp;" - "&amp;T24,G24&amp;" - "&amp;T24)))))</f>
        <v/>
      </c>
      <c r="Q24" s="425" t="str">
        <f>IF(N24="","",VLOOKUP(B24,'C-1 On-Site WaterC'' Baseline'!$C$10:$AB$257,19,FALSE))</f>
        <v/>
      </c>
      <c r="R24" s="362" t="str">
        <f>IF(N24="","",VLOOKUP(N24,'G-7 WaterC'' Data'!$B$2:$G$8,2,FALSE))</f>
        <v/>
      </c>
      <c r="S24" s="363" t="str">
        <f>IFERROR(VLOOKUP(R24,'G-7 WaterC'' Data'!$C$4:$D$8,2,FALSE),"")</f>
        <v/>
      </c>
      <c r="T24" s="114"/>
      <c r="U24" s="363" t="str">
        <f>IFERROR(INDEX('G-7 WaterC'' Data'!$H$4:$L$8,MATCH(N24,'G-7 WaterC'' Data'!$B$4:$B$8,0),MATCH(T24,'G-7 WaterC'' Data'!$H$3:$L$3,0)),"")</f>
        <v/>
      </c>
      <c r="V24" s="114"/>
      <c r="W24" s="370" t="str">
        <f>IF(V24="","",IF(VLOOKUP(V24,'G-7 WaterC'' Data'!$AK$4:$AM$6,2,FALSE)=0,"Spatial Data Missing ⚠",VLOOKUP(V24,'G-7 WaterC'' Data'!$AK$4:$AM$6,2,FALSE)))</f>
        <v/>
      </c>
      <c r="X24" s="363" t="str">
        <f>IF(V24="","",IF(VLOOKUP(V24,'G-7 WaterC'' Data'!$AK$4:$AM$6,3,FALSE)=0,"Spatial Data Missing ⚠",VLOOKUP(V24,'G-7 WaterC'' Data'!$AK$4:$AM$6,3,FALSE)))</f>
        <v/>
      </c>
      <c r="Y24" s="362" t="str">
        <f>IFERROR(IF(OR(LEFT(P24,5)="Error",LEFT(O24,5)="Error ▲"),"Check Data ⚠",IF(F24&lt;S24,'G-7 WaterC'' Data'!$R$3,INDEX('G-7 WaterC'' Data'!$U$5:$Y$9,MATCH(G24,'G-7 WaterC'' Data'!$T$5:$T$9,0),MATCH(T24,'G-7 WaterC'' Data'!$U$4:$Y$4,0)))),"")</f>
        <v/>
      </c>
      <c r="Z24" s="159"/>
      <c r="AA24" s="159"/>
      <c r="AB24" s="370" t="str">
        <f t="shared" si="3"/>
        <v/>
      </c>
      <c r="AC24" s="383" t="str">
        <f t="shared" si="4"/>
        <v/>
      </c>
      <c r="AD24" s="422" t="str">
        <f>IFERROR(IF(AC24="Check Data ⚠","Check Data ⚠",VLOOKUP(AC24,'G-4 Temporal multipliers'!$A$4:$C$37,3,FALSE)),"")</f>
        <v/>
      </c>
      <c r="AE24" s="362" t="str">
        <f>IF(N24="","",VLOOKUP(N24,'G-7 WaterC'' Data'!$B$4:$G$8,5,FALSE))</f>
        <v/>
      </c>
      <c r="AF24" s="370" t="str">
        <f t="shared" si="5"/>
        <v/>
      </c>
      <c r="AG24" s="401" t="str">
        <f t="shared" si="6"/>
        <v/>
      </c>
      <c r="AH24" s="363" t="str">
        <f t="shared" si="1"/>
        <v/>
      </c>
      <c r="AI24" s="122"/>
      <c r="AJ24" s="363" t="str">
        <f>IF(AI24="","",IF(VLOOKUP(AI24,'G-7 WaterC'' Data'!$AA$4:$AB$7,2,FALSE)=0,"Spatial Data Missing ⚠",VLOOKUP(AI24,'G-7 WaterC'' Data'!$AA$4:$AB$7,2,FALSE)))</f>
        <v/>
      </c>
      <c r="AK24" s="123"/>
      <c r="AL24" s="363" t="str">
        <f>IF(AK24="","",IF(VLOOKUP(AK24,'G-7 WaterC'' Data'!$AD$4:$AE$14,2,FALSE)=0,"Spatial Data Missing ⚠",VLOOKUP(AK24,'G-7 WaterC'' Data'!$AD$4:$AE$14,2,FALSE)))</f>
        <v/>
      </c>
      <c r="AM24" s="405" t="str">
        <f t="shared" si="7"/>
        <v/>
      </c>
      <c r="AN24" s="117"/>
      <c r="AO24" s="118"/>
      <c r="AP24" s="120"/>
      <c r="AV24" s="30" t="str">
        <f>IFERROR(INDEX('G-7 WaterC'' Data'!$AZ$3:$AZ$7,MATCH(N24,'G-7 WaterC'' Data'!$AY$3:$AY$7,0)),"")</f>
        <v/>
      </c>
    </row>
    <row r="25" spans="2:48" ht="15">
      <c r="B25" s="392" t="str">
        <f>'C-1 On-Site WaterC'' Baseline'!AO23</f>
        <v/>
      </c>
      <c r="C25" s="382" t="str">
        <f>IF(B25="","",VLOOKUP($B25,'C-1 On-Site WaterC'' Baseline'!$C$9:$R$257,2,FALSE))</f>
        <v/>
      </c>
      <c r="D25" s="382" t="str">
        <f>IF(C25="","",VLOOKUP($B25,'C-1 On-Site WaterC'' Baseline'!$C$9:$R$257,3,FALSE))</f>
        <v/>
      </c>
      <c r="E25" s="382" t="str">
        <f>IF(D25="","",VLOOKUP($B25,'C-1 On-Site WaterC'' Baseline'!$C$9:$R$257,4,FALSE))</f>
        <v/>
      </c>
      <c r="F25" s="382" t="str">
        <f>IF(E25="","",VLOOKUP($B25,'C-1 On-Site WaterC'' Baseline'!$C$9:$R$257,5,FALSE))</f>
        <v/>
      </c>
      <c r="G25" s="382" t="str">
        <f>IF(F25="","",VLOOKUP($B25,'C-1 On-Site WaterC'' Baseline'!$C$9:$R$257,6,FALSE))</f>
        <v/>
      </c>
      <c r="H25" s="382" t="str">
        <f>IF(G25="","",VLOOKUP($B25,'C-1 On-Site WaterC'' Baseline'!$C$9:$R$257,7,FALSE))</f>
        <v/>
      </c>
      <c r="I25" s="382" t="str">
        <f>IF(H25="","",VLOOKUP($B25,'C-1 On-Site WaterC'' Baseline'!$C$9:$R$257,8,FALSE))</f>
        <v/>
      </c>
      <c r="J25" s="382" t="str">
        <f>IF(I25="","",VLOOKUP($B25,'C-1 On-Site WaterC'' Baseline'!$C$9:$R$257,9,FALSE))</f>
        <v/>
      </c>
      <c r="K25" s="382" t="str">
        <f>IF(J25="","",VLOOKUP($B25,'C-1 On-Site WaterC'' Baseline'!$C$9:$R$257,10,FALSE))</f>
        <v/>
      </c>
      <c r="L25" s="382" t="str">
        <f>IF(B25="","",VLOOKUP($B25,'C-1 On-Site WaterC'' Baseline'!$C$9:$R$257,15,FALSE))</f>
        <v/>
      </c>
      <c r="M25" s="386" t="str">
        <f>IF(L25="","",VLOOKUP($B25,'C-1 On-Site WaterC'' Baseline'!$C$9:$R$257,16,FALSE))</f>
        <v/>
      </c>
      <c r="N25" s="320" t="str">
        <f t="shared" si="0"/>
        <v/>
      </c>
      <c r="O25" s="362" t="str">
        <f t="shared" si="2"/>
        <v/>
      </c>
      <c r="P25" s="363" t="str">
        <f>IF(C25="","",IF(AND(LEFT(C25,55)&lt;&gt;LEFT(N25,55),O25="High - High"),"Error - Not like for like ▲",IF(H25&gt;U25,"Error - Can not reduce condition ▲",IF(AND(F25=S25,H25=U25,AJ25='C-1 On-Site WaterC'' Baseline'!N23,'C-1 On-Site WaterC'' Baseline'!P23=AL25),"Error - No enhancement ▲",IF(AND(C25&lt;&gt;N25,F25&lt;S25),"Lower Distinctiveness Habitat"&amp;" - "&amp;T25,G25&amp;" - "&amp;T25)))))</f>
        <v/>
      </c>
      <c r="Q25" s="425" t="str">
        <f>IF(N25="","",VLOOKUP(B25,'C-1 On-Site WaterC'' Baseline'!$C$10:$AB$257,19,FALSE))</f>
        <v/>
      </c>
      <c r="R25" s="362" t="str">
        <f>IF(N25="","",VLOOKUP(N25,'G-7 WaterC'' Data'!$B$2:$G$8,2,FALSE))</f>
        <v/>
      </c>
      <c r="S25" s="363" t="str">
        <f>IFERROR(VLOOKUP(R25,'G-7 WaterC'' Data'!$C$4:$D$8,2,FALSE),"")</f>
        <v/>
      </c>
      <c r="T25" s="114"/>
      <c r="U25" s="363" t="str">
        <f>IFERROR(INDEX('G-7 WaterC'' Data'!$H$4:$L$8,MATCH(N25,'G-7 WaterC'' Data'!$B$4:$B$8,0),MATCH(T25,'G-7 WaterC'' Data'!$H$3:$L$3,0)),"")</f>
        <v/>
      </c>
      <c r="V25" s="114"/>
      <c r="W25" s="370" t="str">
        <f>IF(V25="","",IF(VLOOKUP(V25,'G-7 WaterC'' Data'!$AK$4:$AM$6,2,FALSE)=0,"Spatial Data Missing ⚠",VLOOKUP(V25,'G-7 WaterC'' Data'!$AK$4:$AM$6,2,FALSE)))</f>
        <v/>
      </c>
      <c r="X25" s="363" t="str">
        <f>IF(V25="","",IF(VLOOKUP(V25,'G-7 WaterC'' Data'!$AK$4:$AM$6,3,FALSE)=0,"Spatial Data Missing ⚠",VLOOKUP(V25,'G-7 WaterC'' Data'!$AK$4:$AM$6,3,FALSE)))</f>
        <v/>
      </c>
      <c r="Y25" s="362" t="str">
        <f>IFERROR(IF(OR(LEFT(P25,5)="Error",LEFT(O25,5)="Error ▲"),"Check Data ⚠",IF(F25&lt;S25,'G-7 WaterC'' Data'!$R$3,INDEX('G-7 WaterC'' Data'!$U$5:$Y$9,MATCH(G25,'G-7 WaterC'' Data'!$T$5:$T$9,0),MATCH(T25,'G-7 WaterC'' Data'!$U$4:$Y$4,0)))),"")</f>
        <v/>
      </c>
      <c r="Z25" s="159"/>
      <c r="AA25" s="159"/>
      <c r="AB25" s="370" t="str">
        <f t="shared" si="3"/>
        <v/>
      </c>
      <c r="AC25" s="383" t="str">
        <f t="shared" si="4"/>
        <v/>
      </c>
      <c r="AD25" s="422" t="str">
        <f>IFERROR(IF(AC25="Check Data ⚠","Check Data ⚠",VLOOKUP(AC25,'G-4 Temporal multipliers'!$A$4:$C$37,3,FALSE)),"")</f>
        <v/>
      </c>
      <c r="AE25" s="362" t="str">
        <f>IF(N25="","",VLOOKUP(N25,'G-7 WaterC'' Data'!$B$4:$G$8,5,FALSE))</f>
        <v/>
      </c>
      <c r="AF25" s="370" t="str">
        <f t="shared" si="5"/>
        <v/>
      </c>
      <c r="AG25" s="401" t="str">
        <f t="shared" si="6"/>
        <v/>
      </c>
      <c r="AH25" s="363" t="str">
        <f t="shared" si="1"/>
        <v/>
      </c>
      <c r="AI25" s="122"/>
      <c r="AJ25" s="363" t="str">
        <f>IF(AI25="","",IF(VLOOKUP(AI25,'G-7 WaterC'' Data'!$AA$4:$AB$7,2,FALSE)=0,"Spatial Data Missing ⚠",VLOOKUP(AI25,'G-7 WaterC'' Data'!$AA$4:$AB$7,2,FALSE)))</f>
        <v/>
      </c>
      <c r="AK25" s="123"/>
      <c r="AL25" s="363" t="str">
        <f>IF(AK25="","",IF(VLOOKUP(AK25,'G-7 WaterC'' Data'!$AD$4:$AE$14,2,FALSE)=0,"Spatial Data Missing ⚠",VLOOKUP(AK25,'G-7 WaterC'' Data'!$AD$4:$AE$14,2,FALSE)))</f>
        <v/>
      </c>
      <c r="AM25" s="405" t="str">
        <f t="shared" si="7"/>
        <v/>
      </c>
      <c r="AN25" s="117"/>
      <c r="AO25" s="118"/>
      <c r="AP25" s="120"/>
      <c r="AV25" s="30" t="str">
        <f>IFERROR(INDEX('G-7 WaterC'' Data'!$AZ$3:$AZ$7,MATCH(N25,'G-7 WaterC'' Data'!$AY$3:$AY$7,0)),"")</f>
        <v/>
      </c>
    </row>
    <row r="26" spans="2:48" ht="15">
      <c r="B26" s="392" t="str">
        <f>'C-1 On-Site WaterC'' Baseline'!AO24</f>
        <v/>
      </c>
      <c r="C26" s="382" t="str">
        <f>IF(B26="","",VLOOKUP($B26,'C-1 On-Site WaterC'' Baseline'!$C$9:$R$257,2,FALSE))</f>
        <v/>
      </c>
      <c r="D26" s="382" t="str">
        <f>IF(C26="","",VLOOKUP($B26,'C-1 On-Site WaterC'' Baseline'!$C$9:$R$257,3,FALSE))</f>
        <v/>
      </c>
      <c r="E26" s="382" t="str">
        <f>IF(D26="","",VLOOKUP($B26,'C-1 On-Site WaterC'' Baseline'!$C$9:$R$257,4,FALSE))</f>
        <v/>
      </c>
      <c r="F26" s="382" t="str">
        <f>IF(E26="","",VLOOKUP($B26,'C-1 On-Site WaterC'' Baseline'!$C$9:$R$257,5,FALSE))</f>
        <v/>
      </c>
      <c r="G26" s="382" t="str">
        <f>IF(F26="","",VLOOKUP($B26,'C-1 On-Site WaterC'' Baseline'!$C$9:$R$257,6,FALSE))</f>
        <v/>
      </c>
      <c r="H26" s="382" t="str">
        <f>IF(G26="","",VLOOKUP($B26,'C-1 On-Site WaterC'' Baseline'!$C$9:$R$257,7,FALSE))</f>
        <v/>
      </c>
      <c r="I26" s="382" t="str">
        <f>IF(H26="","",VLOOKUP($B26,'C-1 On-Site WaterC'' Baseline'!$C$9:$R$257,8,FALSE))</f>
        <v/>
      </c>
      <c r="J26" s="382" t="str">
        <f>IF(I26="","",VLOOKUP($B26,'C-1 On-Site WaterC'' Baseline'!$C$9:$R$257,9,FALSE))</f>
        <v/>
      </c>
      <c r="K26" s="382" t="str">
        <f>IF(J26="","",VLOOKUP($B26,'C-1 On-Site WaterC'' Baseline'!$C$9:$R$257,10,FALSE))</f>
        <v/>
      </c>
      <c r="L26" s="382" t="str">
        <f>IF(B26="","",VLOOKUP($B26,'C-1 On-Site WaterC'' Baseline'!$C$9:$R$257,15,FALSE))</f>
        <v/>
      </c>
      <c r="M26" s="386" t="str">
        <f>IF(L26="","",VLOOKUP($B26,'C-1 On-Site WaterC'' Baseline'!$C$9:$R$257,16,FALSE))</f>
        <v/>
      </c>
      <c r="N26" s="320" t="str">
        <f t="shared" si="0"/>
        <v/>
      </c>
      <c r="O26" s="362" t="str">
        <f t="shared" si="2"/>
        <v/>
      </c>
      <c r="P26" s="363" t="str">
        <f>IF(C26="","",IF(AND(LEFT(C26,55)&lt;&gt;LEFT(N26,55),O26="High - High"),"Error - Not like for like ▲",IF(H26&gt;U26,"Error - Can not reduce condition ▲",IF(AND(F26=S26,H26=U26,AJ26='C-1 On-Site WaterC'' Baseline'!N24,'C-1 On-Site WaterC'' Baseline'!P24=AL26),"Error - No enhancement ▲",IF(AND(C26&lt;&gt;N26,F26&lt;S26),"Lower Distinctiveness Habitat"&amp;" - "&amp;T26,G26&amp;" - "&amp;T26)))))</f>
        <v/>
      </c>
      <c r="Q26" s="425" t="str">
        <f>IF(N26="","",VLOOKUP(B26,'C-1 On-Site WaterC'' Baseline'!$C$10:$AB$257,19,FALSE))</f>
        <v/>
      </c>
      <c r="R26" s="362" t="str">
        <f>IF(N26="","",VLOOKUP(N26,'G-7 WaterC'' Data'!$B$2:$G$8,2,FALSE))</f>
        <v/>
      </c>
      <c r="S26" s="363" t="str">
        <f>IFERROR(VLOOKUP(R26,'G-7 WaterC'' Data'!$C$4:$D$8,2,FALSE),"")</f>
        <v/>
      </c>
      <c r="T26" s="114"/>
      <c r="U26" s="363" t="str">
        <f>IFERROR(INDEX('G-7 WaterC'' Data'!$H$4:$L$8,MATCH(N26,'G-7 WaterC'' Data'!$B$4:$B$8,0),MATCH(T26,'G-7 WaterC'' Data'!$H$3:$L$3,0)),"")</f>
        <v/>
      </c>
      <c r="V26" s="114"/>
      <c r="W26" s="370" t="str">
        <f>IF(V26="","",IF(VLOOKUP(V26,'G-7 WaterC'' Data'!$AK$4:$AM$6,2,FALSE)=0,"Spatial Data Missing ⚠",VLOOKUP(V26,'G-7 WaterC'' Data'!$AK$4:$AM$6,2,FALSE)))</f>
        <v/>
      </c>
      <c r="X26" s="363" t="str">
        <f>IF(V26="","",IF(VLOOKUP(V26,'G-7 WaterC'' Data'!$AK$4:$AM$6,3,FALSE)=0,"Spatial Data Missing ⚠",VLOOKUP(V26,'G-7 WaterC'' Data'!$AK$4:$AM$6,3,FALSE)))</f>
        <v/>
      </c>
      <c r="Y26" s="362" t="str">
        <f>IFERROR(IF(OR(LEFT(P26,5)="Error",LEFT(O26,5)="Error ▲"),"Check Data ⚠",IF(F26&lt;S26,'G-7 WaterC'' Data'!$R$3,INDEX('G-7 WaterC'' Data'!$U$5:$Y$9,MATCH(G26,'G-7 WaterC'' Data'!$T$5:$T$9,0),MATCH(T26,'G-7 WaterC'' Data'!$U$4:$Y$4,0)))),"")</f>
        <v/>
      </c>
      <c r="Z26" s="159"/>
      <c r="AA26" s="159"/>
      <c r="AB26" s="370" t="str">
        <f t="shared" si="3"/>
        <v/>
      </c>
      <c r="AC26" s="383" t="str">
        <f t="shared" si="4"/>
        <v/>
      </c>
      <c r="AD26" s="422" t="str">
        <f>IFERROR(IF(AC26="Check Data ⚠","Check Data ⚠",VLOOKUP(AC26,'G-4 Temporal multipliers'!$A$4:$C$37,3,FALSE)),"")</f>
        <v/>
      </c>
      <c r="AE26" s="362" t="str">
        <f>IF(N26="","",VLOOKUP(N26,'G-7 WaterC'' Data'!$B$4:$G$8,5,FALSE))</f>
        <v/>
      </c>
      <c r="AF26" s="370" t="str">
        <f t="shared" si="5"/>
        <v/>
      </c>
      <c r="AG26" s="401" t="str">
        <f t="shared" si="6"/>
        <v/>
      </c>
      <c r="AH26" s="363" t="str">
        <f t="shared" si="1"/>
        <v/>
      </c>
      <c r="AI26" s="122"/>
      <c r="AJ26" s="363" t="str">
        <f>IF(AI26="","",IF(VLOOKUP(AI26,'G-7 WaterC'' Data'!$AA$4:$AB$7,2,FALSE)=0,"Spatial Data Missing ⚠",VLOOKUP(AI26,'G-7 WaterC'' Data'!$AA$4:$AB$7,2,FALSE)))</f>
        <v/>
      </c>
      <c r="AK26" s="123"/>
      <c r="AL26" s="363" t="str">
        <f>IF(AK26="","",IF(VLOOKUP(AK26,'G-7 WaterC'' Data'!$AD$4:$AE$14,2,FALSE)=0,"Spatial Data Missing ⚠",VLOOKUP(AK26,'G-7 WaterC'' Data'!$AD$4:$AE$14,2,FALSE)))</f>
        <v/>
      </c>
      <c r="AM26" s="405" t="str">
        <f t="shared" si="7"/>
        <v/>
      </c>
      <c r="AN26" s="117"/>
      <c r="AO26" s="118"/>
      <c r="AP26" s="120"/>
      <c r="AV26" s="30" t="str">
        <f>IFERROR(INDEX('G-7 WaterC'' Data'!$AZ$3:$AZ$7,MATCH(N26,'G-7 WaterC'' Data'!$AY$3:$AY$7,0)),"")</f>
        <v/>
      </c>
    </row>
    <row r="27" spans="2:48" ht="15">
      <c r="B27" s="392" t="str">
        <f>'C-1 On-Site WaterC'' Baseline'!AO25</f>
        <v/>
      </c>
      <c r="C27" s="382" t="str">
        <f>IF(B27="","",VLOOKUP($B27,'C-1 On-Site WaterC'' Baseline'!$C$9:$R$257,2,FALSE))</f>
        <v/>
      </c>
      <c r="D27" s="382" t="str">
        <f>IF(C27="","",VLOOKUP($B27,'C-1 On-Site WaterC'' Baseline'!$C$9:$R$257,3,FALSE))</f>
        <v/>
      </c>
      <c r="E27" s="382" t="str">
        <f>IF(D27="","",VLOOKUP($B27,'C-1 On-Site WaterC'' Baseline'!$C$9:$R$257,4,FALSE))</f>
        <v/>
      </c>
      <c r="F27" s="382" t="str">
        <f>IF(E27="","",VLOOKUP($B27,'C-1 On-Site WaterC'' Baseline'!$C$9:$R$257,5,FALSE))</f>
        <v/>
      </c>
      <c r="G27" s="382" t="str">
        <f>IF(F27="","",VLOOKUP($B27,'C-1 On-Site WaterC'' Baseline'!$C$9:$R$257,6,FALSE))</f>
        <v/>
      </c>
      <c r="H27" s="382" t="str">
        <f>IF(G27="","",VLOOKUP($B27,'C-1 On-Site WaterC'' Baseline'!$C$9:$R$257,7,FALSE))</f>
        <v/>
      </c>
      <c r="I27" s="382" t="str">
        <f>IF(H27="","",VLOOKUP($B27,'C-1 On-Site WaterC'' Baseline'!$C$9:$R$257,8,FALSE))</f>
        <v/>
      </c>
      <c r="J27" s="382" t="str">
        <f>IF(I27="","",VLOOKUP($B27,'C-1 On-Site WaterC'' Baseline'!$C$9:$R$257,9,FALSE))</f>
        <v/>
      </c>
      <c r="K27" s="382" t="str">
        <f>IF(J27="","",VLOOKUP($B27,'C-1 On-Site WaterC'' Baseline'!$C$9:$R$257,10,FALSE))</f>
        <v/>
      </c>
      <c r="L27" s="382" t="str">
        <f>IF(B27="","",VLOOKUP($B27,'C-1 On-Site WaterC'' Baseline'!$C$9:$R$257,15,FALSE))</f>
        <v/>
      </c>
      <c r="M27" s="386" t="str">
        <f>IF(L27="","",VLOOKUP($B27,'C-1 On-Site WaterC'' Baseline'!$C$9:$R$257,16,FALSE))</f>
        <v/>
      </c>
      <c r="N27" s="320" t="str">
        <f t="shared" si="0"/>
        <v/>
      </c>
      <c r="O27" s="362" t="str">
        <f t="shared" si="2"/>
        <v/>
      </c>
      <c r="P27" s="363" t="str">
        <f>IF(C27="","",IF(AND(LEFT(C27,55)&lt;&gt;LEFT(N27,55),O27="High - High"),"Error - Not like for like ▲",IF(H27&gt;U27,"Error - Can not reduce condition ▲",IF(AND(F27=S27,H27=U27,AJ27='C-1 On-Site WaterC'' Baseline'!N25,'C-1 On-Site WaterC'' Baseline'!P25=AL27),"Error - No enhancement ▲",IF(AND(C27&lt;&gt;N27,F27&lt;S27),"Lower Distinctiveness Habitat"&amp;" - "&amp;T27,G27&amp;" - "&amp;T27)))))</f>
        <v/>
      </c>
      <c r="Q27" s="425" t="str">
        <f>IF(N27="","",VLOOKUP(B27,'C-1 On-Site WaterC'' Baseline'!$C$10:$AB$257,19,FALSE))</f>
        <v/>
      </c>
      <c r="R27" s="362" t="str">
        <f>IF(N27="","",VLOOKUP(N27,'G-7 WaterC'' Data'!$B$2:$G$8,2,FALSE))</f>
        <v/>
      </c>
      <c r="S27" s="363" t="str">
        <f>IFERROR(VLOOKUP(R27,'G-7 WaterC'' Data'!$C$4:$D$8,2,FALSE),"")</f>
        <v/>
      </c>
      <c r="T27" s="114"/>
      <c r="U27" s="363" t="str">
        <f>IFERROR(INDEX('G-7 WaterC'' Data'!$H$4:$L$8,MATCH(N27,'G-7 WaterC'' Data'!$B$4:$B$8,0),MATCH(T27,'G-7 WaterC'' Data'!$H$3:$L$3,0)),"")</f>
        <v/>
      </c>
      <c r="V27" s="114"/>
      <c r="W27" s="370" t="str">
        <f>IF(V27="","",IF(VLOOKUP(V27,'G-7 WaterC'' Data'!$AK$4:$AM$6,2,FALSE)=0,"Spatial Data Missing ⚠",VLOOKUP(V27,'G-7 WaterC'' Data'!$AK$4:$AM$6,2,FALSE)))</f>
        <v/>
      </c>
      <c r="X27" s="363" t="str">
        <f>IF(V27="","",IF(VLOOKUP(V27,'G-7 WaterC'' Data'!$AK$4:$AM$6,3,FALSE)=0,"Spatial Data Missing ⚠",VLOOKUP(V27,'G-7 WaterC'' Data'!$AK$4:$AM$6,3,FALSE)))</f>
        <v/>
      </c>
      <c r="Y27" s="362" t="str">
        <f>IFERROR(IF(OR(LEFT(P27,5)="Error",LEFT(O27,5)="Error ▲"),"Check Data ⚠",IF(F27&lt;S27,'G-7 WaterC'' Data'!$R$3,INDEX('G-7 WaterC'' Data'!$U$5:$Y$9,MATCH(G27,'G-7 WaterC'' Data'!$T$5:$T$9,0),MATCH(T27,'G-7 WaterC'' Data'!$U$4:$Y$4,0)))),"")</f>
        <v/>
      </c>
      <c r="Z27" s="159"/>
      <c r="AA27" s="159"/>
      <c r="AB27" s="370" t="str">
        <f t="shared" si="3"/>
        <v/>
      </c>
      <c r="AC27" s="383" t="str">
        <f t="shared" si="4"/>
        <v/>
      </c>
      <c r="AD27" s="422" t="str">
        <f>IFERROR(IF(AC27="Check Data ⚠","Check Data ⚠",VLOOKUP(AC27,'G-4 Temporal multipliers'!$A$4:$C$37,3,FALSE)),"")</f>
        <v/>
      </c>
      <c r="AE27" s="362" t="str">
        <f>IF(N27="","",VLOOKUP(N27,'G-7 WaterC'' Data'!$B$4:$G$8,5,FALSE))</f>
        <v/>
      </c>
      <c r="AF27" s="370" t="str">
        <f t="shared" si="5"/>
        <v/>
      </c>
      <c r="AG27" s="401" t="str">
        <f t="shared" si="6"/>
        <v/>
      </c>
      <c r="AH27" s="363" t="str">
        <f t="shared" si="1"/>
        <v/>
      </c>
      <c r="AI27" s="122"/>
      <c r="AJ27" s="363" t="str">
        <f>IF(AI27="","",IF(VLOOKUP(AI27,'G-7 WaterC'' Data'!$AA$4:$AB$7,2,FALSE)=0,"Spatial Data Missing ⚠",VLOOKUP(AI27,'G-7 WaterC'' Data'!$AA$4:$AB$7,2,FALSE)))</f>
        <v/>
      </c>
      <c r="AK27" s="123"/>
      <c r="AL27" s="363" t="str">
        <f>IF(AK27="","",IF(VLOOKUP(AK27,'G-7 WaterC'' Data'!$AD$4:$AE$14,2,FALSE)=0,"Spatial Data Missing ⚠",VLOOKUP(AK27,'G-7 WaterC'' Data'!$AD$4:$AE$14,2,FALSE)))</f>
        <v/>
      </c>
      <c r="AM27" s="405" t="str">
        <f t="shared" si="7"/>
        <v/>
      </c>
      <c r="AN27" s="117"/>
      <c r="AO27" s="118"/>
      <c r="AP27" s="120"/>
      <c r="AV27" s="30" t="str">
        <f>IFERROR(INDEX('G-7 WaterC'' Data'!$AZ$3:$AZ$7,MATCH(N27,'G-7 WaterC'' Data'!$AY$3:$AY$7,0)),"")</f>
        <v/>
      </c>
    </row>
    <row r="28" spans="2:48" ht="15">
      <c r="B28" s="392" t="str">
        <f>'C-1 On-Site WaterC'' Baseline'!AO26</f>
        <v/>
      </c>
      <c r="C28" s="382" t="str">
        <f>IF(B28="","",VLOOKUP($B28,'C-1 On-Site WaterC'' Baseline'!$C$9:$R$257,2,FALSE))</f>
        <v/>
      </c>
      <c r="D28" s="382" t="str">
        <f>IF(C28="","",VLOOKUP($B28,'C-1 On-Site WaterC'' Baseline'!$C$9:$R$257,3,FALSE))</f>
        <v/>
      </c>
      <c r="E28" s="382" t="str">
        <f>IF(D28="","",VLOOKUP($B28,'C-1 On-Site WaterC'' Baseline'!$C$9:$R$257,4,FALSE))</f>
        <v/>
      </c>
      <c r="F28" s="382" t="str">
        <f>IF(E28="","",VLOOKUP($B28,'C-1 On-Site WaterC'' Baseline'!$C$9:$R$257,5,FALSE))</f>
        <v/>
      </c>
      <c r="G28" s="382" t="str">
        <f>IF(F28="","",VLOOKUP($B28,'C-1 On-Site WaterC'' Baseline'!$C$9:$R$257,6,FALSE))</f>
        <v/>
      </c>
      <c r="H28" s="382" t="str">
        <f>IF(G28="","",VLOOKUP($B28,'C-1 On-Site WaterC'' Baseline'!$C$9:$R$257,7,FALSE))</f>
        <v/>
      </c>
      <c r="I28" s="382" t="str">
        <f>IF(H28="","",VLOOKUP($B28,'C-1 On-Site WaterC'' Baseline'!$C$9:$R$257,8,FALSE))</f>
        <v/>
      </c>
      <c r="J28" s="382" t="str">
        <f>IF(I28="","",VLOOKUP($B28,'C-1 On-Site WaterC'' Baseline'!$C$9:$R$257,9,FALSE))</f>
        <v/>
      </c>
      <c r="K28" s="382" t="str">
        <f>IF(J28="","",VLOOKUP($B28,'C-1 On-Site WaterC'' Baseline'!$C$9:$R$257,10,FALSE))</f>
        <v/>
      </c>
      <c r="L28" s="382" t="str">
        <f>IF(B28="","",VLOOKUP($B28,'C-1 On-Site WaterC'' Baseline'!$C$9:$R$257,15,FALSE))</f>
        <v/>
      </c>
      <c r="M28" s="386" t="str">
        <f>IF(L28="","",VLOOKUP($B28,'C-1 On-Site WaterC'' Baseline'!$C$9:$R$257,16,FALSE))</f>
        <v/>
      </c>
      <c r="N28" s="320" t="str">
        <f t="shared" si="0"/>
        <v/>
      </c>
      <c r="O28" s="362" t="str">
        <f t="shared" si="2"/>
        <v/>
      </c>
      <c r="P28" s="363" t="str">
        <f>IF(C28="","",IF(AND(LEFT(C28,55)&lt;&gt;LEFT(N28,55),O28="High - High"),"Error - Not like for like ▲",IF(H28&gt;U28,"Error - Can not reduce condition ▲",IF(AND(F28=S28,H28=U28,AJ28='C-1 On-Site WaterC'' Baseline'!N26,'C-1 On-Site WaterC'' Baseline'!P26=AL28),"Error - No enhancement ▲",IF(AND(C28&lt;&gt;N28,F28&lt;S28),"Lower Distinctiveness Habitat"&amp;" - "&amp;T28,G28&amp;" - "&amp;T28)))))</f>
        <v/>
      </c>
      <c r="Q28" s="425" t="str">
        <f>IF(N28="","",VLOOKUP(B28,'C-1 On-Site WaterC'' Baseline'!$C$10:$AB$257,19,FALSE))</f>
        <v/>
      </c>
      <c r="R28" s="362" t="str">
        <f>IF(N28="","",VLOOKUP(N28,'G-7 WaterC'' Data'!$B$2:$G$8,2,FALSE))</f>
        <v/>
      </c>
      <c r="S28" s="363" t="str">
        <f>IFERROR(VLOOKUP(R28,'G-7 WaterC'' Data'!$C$4:$D$8,2,FALSE),"")</f>
        <v/>
      </c>
      <c r="T28" s="114"/>
      <c r="U28" s="363" t="str">
        <f>IFERROR(INDEX('G-7 WaterC'' Data'!$H$4:$L$8,MATCH(N28,'G-7 WaterC'' Data'!$B$4:$B$8,0),MATCH(T28,'G-7 WaterC'' Data'!$H$3:$L$3,0)),"")</f>
        <v/>
      </c>
      <c r="V28" s="114"/>
      <c r="W28" s="370" t="str">
        <f>IF(V28="","",IF(VLOOKUP(V28,'G-7 WaterC'' Data'!$AK$4:$AM$6,2,FALSE)=0,"Spatial Data Missing ⚠",VLOOKUP(V28,'G-7 WaterC'' Data'!$AK$4:$AM$6,2,FALSE)))</f>
        <v/>
      </c>
      <c r="X28" s="363" t="str">
        <f>IF(V28="","",IF(VLOOKUP(V28,'G-7 WaterC'' Data'!$AK$4:$AM$6,3,FALSE)=0,"Spatial Data Missing ⚠",VLOOKUP(V28,'G-7 WaterC'' Data'!$AK$4:$AM$6,3,FALSE)))</f>
        <v/>
      </c>
      <c r="Y28" s="362" t="str">
        <f>IFERROR(IF(OR(LEFT(P28,5)="Error",LEFT(O28,5)="Error ▲"),"Check Data ⚠",IF(F28&lt;S28,'G-7 WaterC'' Data'!$R$3,INDEX('G-7 WaterC'' Data'!$U$5:$Y$9,MATCH(G28,'G-7 WaterC'' Data'!$T$5:$T$9,0),MATCH(T28,'G-7 WaterC'' Data'!$U$4:$Y$4,0)))),"")</f>
        <v/>
      </c>
      <c r="Z28" s="159"/>
      <c r="AA28" s="159"/>
      <c r="AB28" s="370" t="str">
        <f t="shared" si="3"/>
        <v/>
      </c>
      <c r="AC28" s="383" t="str">
        <f t="shared" si="4"/>
        <v/>
      </c>
      <c r="AD28" s="422" t="str">
        <f>IFERROR(IF(AC28="Check Data ⚠","Check Data ⚠",VLOOKUP(AC28,'G-4 Temporal multipliers'!$A$4:$C$37,3,FALSE)),"")</f>
        <v/>
      </c>
      <c r="AE28" s="362" t="str">
        <f>IF(N28="","",VLOOKUP(N28,'G-7 WaterC'' Data'!$B$4:$G$8,5,FALSE))</f>
        <v/>
      </c>
      <c r="AF28" s="370" t="str">
        <f t="shared" si="5"/>
        <v/>
      </c>
      <c r="AG28" s="401" t="str">
        <f t="shared" si="6"/>
        <v/>
      </c>
      <c r="AH28" s="363" t="str">
        <f t="shared" si="1"/>
        <v/>
      </c>
      <c r="AI28" s="122"/>
      <c r="AJ28" s="363" t="str">
        <f>IF(AI28="","",IF(VLOOKUP(AI28,'G-7 WaterC'' Data'!$AA$4:$AB$7,2,FALSE)=0,"Spatial Data Missing ⚠",VLOOKUP(AI28,'G-7 WaterC'' Data'!$AA$4:$AB$7,2,FALSE)))</f>
        <v/>
      </c>
      <c r="AK28" s="123"/>
      <c r="AL28" s="363" t="str">
        <f>IF(AK28="","",IF(VLOOKUP(AK28,'G-7 WaterC'' Data'!$AD$4:$AE$14,2,FALSE)=0,"Spatial Data Missing ⚠",VLOOKUP(AK28,'G-7 WaterC'' Data'!$AD$4:$AE$14,2,FALSE)))</f>
        <v/>
      </c>
      <c r="AM28" s="405" t="str">
        <f t="shared" si="7"/>
        <v/>
      </c>
      <c r="AN28" s="117"/>
      <c r="AO28" s="118"/>
      <c r="AP28" s="120"/>
      <c r="AV28" s="30" t="str">
        <f>IFERROR(INDEX('G-7 WaterC'' Data'!$AZ$3:$AZ$7,MATCH(N28,'G-7 WaterC'' Data'!$AY$3:$AY$7,0)),"")</f>
        <v/>
      </c>
    </row>
    <row r="29" spans="2:48" ht="15">
      <c r="B29" s="392" t="str">
        <f>'C-1 On-Site WaterC'' Baseline'!AO27</f>
        <v/>
      </c>
      <c r="C29" s="382" t="str">
        <f>IF(B29="","",VLOOKUP($B29,'C-1 On-Site WaterC'' Baseline'!$C$9:$R$257,2,FALSE))</f>
        <v/>
      </c>
      <c r="D29" s="382" t="str">
        <f>IF(C29="","",VLOOKUP($B29,'C-1 On-Site WaterC'' Baseline'!$C$9:$R$257,3,FALSE))</f>
        <v/>
      </c>
      <c r="E29" s="382" t="str">
        <f>IF(D29="","",VLOOKUP($B29,'C-1 On-Site WaterC'' Baseline'!$C$9:$R$257,4,FALSE))</f>
        <v/>
      </c>
      <c r="F29" s="382" t="str">
        <f>IF(E29="","",VLOOKUP($B29,'C-1 On-Site WaterC'' Baseline'!$C$9:$R$257,5,FALSE))</f>
        <v/>
      </c>
      <c r="G29" s="382" t="str">
        <f>IF(F29="","",VLOOKUP($B29,'C-1 On-Site WaterC'' Baseline'!$C$9:$R$257,6,FALSE))</f>
        <v/>
      </c>
      <c r="H29" s="382" t="str">
        <f>IF(G29="","",VLOOKUP($B29,'C-1 On-Site WaterC'' Baseline'!$C$9:$R$257,7,FALSE))</f>
        <v/>
      </c>
      <c r="I29" s="382" t="str">
        <f>IF(H29="","",VLOOKUP($B29,'C-1 On-Site WaterC'' Baseline'!$C$9:$R$257,8,FALSE))</f>
        <v/>
      </c>
      <c r="J29" s="382" t="str">
        <f>IF(I29="","",VLOOKUP($B29,'C-1 On-Site WaterC'' Baseline'!$C$9:$R$257,9,FALSE))</f>
        <v/>
      </c>
      <c r="K29" s="382" t="str">
        <f>IF(J29="","",VLOOKUP($B29,'C-1 On-Site WaterC'' Baseline'!$C$9:$R$257,10,FALSE))</f>
        <v/>
      </c>
      <c r="L29" s="382" t="str">
        <f>IF(B29="","",VLOOKUP($B29,'C-1 On-Site WaterC'' Baseline'!$C$9:$R$257,15,FALSE))</f>
        <v/>
      </c>
      <c r="M29" s="386" t="str">
        <f>IF(L29="","",VLOOKUP($B29,'C-1 On-Site WaterC'' Baseline'!$C$9:$R$257,16,FALSE))</f>
        <v/>
      </c>
      <c r="N29" s="320" t="str">
        <f t="shared" si="0"/>
        <v/>
      </c>
      <c r="O29" s="362" t="str">
        <f t="shared" si="2"/>
        <v/>
      </c>
      <c r="P29" s="363" t="str">
        <f>IF(C29="","",IF(AND(LEFT(C29,55)&lt;&gt;LEFT(N29,55),O29="High - High"),"Error - Not like for like ▲",IF(H29&gt;U29,"Error - Can not reduce condition ▲",IF(AND(F29=S29,H29=U29,AJ29='C-1 On-Site WaterC'' Baseline'!N27,'C-1 On-Site WaterC'' Baseline'!P27=AL29),"Error - No enhancement ▲",IF(AND(C29&lt;&gt;N29,F29&lt;S29),"Lower Distinctiveness Habitat"&amp;" - "&amp;T29,G29&amp;" - "&amp;T29)))))</f>
        <v/>
      </c>
      <c r="Q29" s="425" t="str">
        <f>IF(N29="","",VLOOKUP(B29,'C-1 On-Site WaterC'' Baseline'!$C$10:$AB$257,19,FALSE))</f>
        <v/>
      </c>
      <c r="R29" s="362" t="str">
        <f>IF(N29="","",VLOOKUP(N29,'G-7 WaterC'' Data'!$B$2:$G$8,2,FALSE))</f>
        <v/>
      </c>
      <c r="S29" s="363" t="str">
        <f>IFERROR(VLOOKUP(R29,'G-7 WaterC'' Data'!$C$4:$D$8,2,FALSE),"")</f>
        <v/>
      </c>
      <c r="T29" s="114"/>
      <c r="U29" s="363" t="str">
        <f>IFERROR(INDEX('G-7 WaterC'' Data'!$H$4:$L$8,MATCH(N29,'G-7 WaterC'' Data'!$B$4:$B$8,0),MATCH(T29,'G-7 WaterC'' Data'!$H$3:$L$3,0)),"")</f>
        <v/>
      </c>
      <c r="V29" s="114"/>
      <c r="W29" s="370" t="str">
        <f>IF(V29="","",IF(VLOOKUP(V29,'G-7 WaterC'' Data'!$AK$4:$AM$6,2,FALSE)=0,"Spatial Data Missing ⚠",VLOOKUP(V29,'G-7 WaterC'' Data'!$AK$4:$AM$6,2,FALSE)))</f>
        <v/>
      </c>
      <c r="X29" s="363" t="str">
        <f>IF(V29="","",IF(VLOOKUP(V29,'G-7 WaterC'' Data'!$AK$4:$AM$6,3,FALSE)=0,"Spatial Data Missing ⚠",VLOOKUP(V29,'G-7 WaterC'' Data'!$AK$4:$AM$6,3,FALSE)))</f>
        <v/>
      </c>
      <c r="Y29" s="362" t="str">
        <f>IFERROR(IF(OR(LEFT(P29,5)="Error",LEFT(O29,5)="Error ▲"),"Check Data ⚠",IF(F29&lt;S29,'G-7 WaterC'' Data'!$R$3,INDEX('G-7 WaterC'' Data'!$U$5:$Y$9,MATCH(G29,'G-7 WaterC'' Data'!$T$5:$T$9,0),MATCH(T29,'G-7 WaterC'' Data'!$U$4:$Y$4,0)))),"")</f>
        <v/>
      </c>
      <c r="Z29" s="159"/>
      <c r="AA29" s="159"/>
      <c r="AB29" s="370" t="str">
        <f t="shared" si="3"/>
        <v/>
      </c>
      <c r="AC29" s="383" t="str">
        <f t="shared" si="4"/>
        <v/>
      </c>
      <c r="AD29" s="422" t="str">
        <f>IFERROR(IF(AC29="Check Data ⚠","Check Data ⚠",VLOOKUP(AC29,'G-4 Temporal multipliers'!$A$4:$C$37,3,FALSE)),"")</f>
        <v/>
      </c>
      <c r="AE29" s="362" t="str">
        <f>IF(N29="","",VLOOKUP(N29,'G-7 WaterC'' Data'!$B$4:$G$8,5,FALSE))</f>
        <v/>
      </c>
      <c r="AF29" s="370" t="str">
        <f t="shared" si="5"/>
        <v/>
      </c>
      <c r="AG29" s="401" t="str">
        <f t="shared" si="6"/>
        <v/>
      </c>
      <c r="AH29" s="363" t="str">
        <f t="shared" si="1"/>
        <v/>
      </c>
      <c r="AI29" s="122"/>
      <c r="AJ29" s="363" t="str">
        <f>IF(AI29="","",IF(VLOOKUP(AI29,'G-7 WaterC'' Data'!$AA$4:$AB$7,2,FALSE)=0,"Spatial Data Missing ⚠",VLOOKUP(AI29,'G-7 WaterC'' Data'!$AA$4:$AB$7,2,FALSE)))</f>
        <v/>
      </c>
      <c r="AK29" s="123"/>
      <c r="AL29" s="363" t="str">
        <f>IF(AK29="","",IF(VLOOKUP(AK29,'G-7 WaterC'' Data'!$AD$4:$AE$14,2,FALSE)=0,"Spatial Data Missing ⚠",VLOOKUP(AK29,'G-7 WaterC'' Data'!$AD$4:$AE$14,2,FALSE)))</f>
        <v/>
      </c>
      <c r="AM29" s="405" t="str">
        <f t="shared" si="7"/>
        <v/>
      </c>
      <c r="AN29" s="117"/>
      <c r="AO29" s="118"/>
      <c r="AP29" s="120"/>
      <c r="AV29" s="30" t="str">
        <f>IFERROR(INDEX('G-7 WaterC'' Data'!$AZ$3:$AZ$7,MATCH(N29,'G-7 WaterC'' Data'!$AY$3:$AY$7,0)),"")</f>
        <v/>
      </c>
    </row>
    <row r="30" spans="2:48" ht="15">
      <c r="B30" s="392" t="str">
        <f>'C-1 On-Site WaterC'' Baseline'!AO28</f>
        <v/>
      </c>
      <c r="C30" s="382" t="str">
        <f>IF(B30="","",VLOOKUP($B30,'C-1 On-Site WaterC'' Baseline'!$C$9:$R$257,2,FALSE))</f>
        <v/>
      </c>
      <c r="D30" s="382" t="str">
        <f>IF(C30="","",VLOOKUP($B30,'C-1 On-Site WaterC'' Baseline'!$C$9:$R$257,3,FALSE))</f>
        <v/>
      </c>
      <c r="E30" s="382" t="str">
        <f>IF(D30="","",VLOOKUP($B30,'C-1 On-Site WaterC'' Baseline'!$C$9:$R$257,4,FALSE))</f>
        <v/>
      </c>
      <c r="F30" s="382" t="str">
        <f>IF(E30="","",VLOOKUP($B30,'C-1 On-Site WaterC'' Baseline'!$C$9:$R$257,5,FALSE))</f>
        <v/>
      </c>
      <c r="G30" s="382" t="str">
        <f>IF(F30="","",VLOOKUP($B30,'C-1 On-Site WaterC'' Baseline'!$C$9:$R$257,6,FALSE))</f>
        <v/>
      </c>
      <c r="H30" s="382" t="str">
        <f>IF(G30="","",VLOOKUP($B30,'C-1 On-Site WaterC'' Baseline'!$C$9:$R$257,7,FALSE))</f>
        <v/>
      </c>
      <c r="I30" s="382" t="str">
        <f>IF(H30="","",VLOOKUP($B30,'C-1 On-Site WaterC'' Baseline'!$C$9:$R$257,8,FALSE))</f>
        <v/>
      </c>
      <c r="J30" s="382" t="str">
        <f>IF(I30="","",VLOOKUP($B30,'C-1 On-Site WaterC'' Baseline'!$C$9:$R$257,9,FALSE))</f>
        <v/>
      </c>
      <c r="K30" s="382" t="str">
        <f>IF(J30="","",VLOOKUP($B30,'C-1 On-Site WaterC'' Baseline'!$C$9:$R$257,10,FALSE))</f>
        <v/>
      </c>
      <c r="L30" s="382" t="str">
        <f>IF(B30="","",VLOOKUP($B30,'C-1 On-Site WaterC'' Baseline'!$C$9:$R$257,15,FALSE))</f>
        <v/>
      </c>
      <c r="M30" s="386" t="str">
        <f>IF(L30="","",VLOOKUP($B30,'C-1 On-Site WaterC'' Baseline'!$C$9:$R$257,16,FALSE))</f>
        <v/>
      </c>
      <c r="N30" s="320" t="str">
        <f t="shared" si="0"/>
        <v/>
      </c>
      <c r="O30" s="362" t="str">
        <f t="shared" si="2"/>
        <v/>
      </c>
      <c r="P30" s="363" t="str">
        <f>IF(C30="","",IF(AND(LEFT(C30,55)&lt;&gt;LEFT(N30,55),O30="High - High"),"Error - Not like for like ▲",IF(H30&gt;U30,"Error - Can not reduce condition ▲",IF(AND(F30=S30,H30=U30,AJ30='C-1 On-Site WaterC'' Baseline'!N28,'C-1 On-Site WaterC'' Baseline'!P28=AL30),"Error - No enhancement ▲",IF(AND(C30&lt;&gt;N30,F30&lt;S30),"Lower Distinctiveness Habitat"&amp;" - "&amp;T30,G30&amp;" - "&amp;T30)))))</f>
        <v/>
      </c>
      <c r="Q30" s="425" t="str">
        <f>IF(N30="","",VLOOKUP(B30,'C-1 On-Site WaterC'' Baseline'!$C$10:$AB$257,19,FALSE))</f>
        <v/>
      </c>
      <c r="R30" s="362" t="str">
        <f>IF(N30="","",VLOOKUP(N30,'G-7 WaterC'' Data'!$B$2:$G$8,2,FALSE))</f>
        <v/>
      </c>
      <c r="S30" s="363" t="str">
        <f>IFERROR(VLOOKUP(R30,'G-7 WaterC'' Data'!$C$4:$D$8,2,FALSE),"")</f>
        <v/>
      </c>
      <c r="T30" s="114"/>
      <c r="U30" s="363" t="str">
        <f>IFERROR(INDEX('G-7 WaterC'' Data'!$H$4:$L$8,MATCH(N30,'G-7 WaterC'' Data'!$B$4:$B$8,0),MATCH(T30,'G-7 WaterC'' Data'!$H$3:$L$3,0)),"")</f>
        <v/>
      </c>
      <c r="V30" s="114"/>
      <c r="W30" s="370" t="str">
        <f>IF(V30="","",IF(VLOOKUP(V30,'G-7 WaterC'' Data'!$AK$4:$AM$6,2,FALSE)=0,"Spatial Data Missing ⚠",VLOOKUP(V30,'G-7 WaterC'' Data'!$AK$4:$AM$6,2,FALSE)))</f>
        <v/>
      </c>
      <c r="X30" s="363" t="str">
        <f>IF(V30="","",IF(VLOOKUP(V30,'G-7 WaterC'' Data'!$AK$4:$AM$6,3,FALSE)=0,"Spatial Data Missing ⚠",VLOOKUP(V30,'G-7 WaterC'' Data'!$AK$4:$AM$6,3,FALSE)))</f>
        <v/>
      </c>
      <c r="Y30" s="362" t="str">
        <f>IFERROR(IF(OR(LEFT(P30,5)="Error",LEFT(O30,5)="Error ▲"),"Check Data ⚠",IF(F30&lt;S30,'G-7 WaterC'' Data'!$R$3,INDEX('G-7 WaterC'' Data'!$U$5:$Y$9,MATCH(G30,'G-7 WaterC'' Data'!$T$5:$T$9,0),MATCH(T30,'G-7 WaterC'' Data'!$U$4:$Y$4,0)))),"")</f>
        <v/>
      </c>
      <c r="Z30" s="159"/>
      <c r="AA30" s="159"/>
      <c r="AB30" s="370" t="str">
        <f t="shared" si="3"/>
        <v/>
      </c>
      <c r="AC30" s="383" t="str">
        <f t="shared" si="4"/>
        <v/>
      </c>
      <c r="AD30" s="422" t="str">
        <f>IFERROR(IF(AC30="Check Data ⚠","Check Data ⚠",VLOOKUP(AC30,'G-4 Temporal multipliers'!$A$4:$C$37,3,FALSE)),"")</f>
        <v/>
      </c>
      <c r="AE30" s="362" t="str">
        <f>IF(N30="","",VLOOKUP(N30,'G-7 WaterC'' Data'!$B$4:$G$8,5,FALSE))</f>
        <v/>
      </c>
      <c r="AF30" s="370" t="str">
        <f t="shared" si="5"/>
        <v/>
      </c>
      <c r="AG30" s="401" t="str">
        <f t="shared" si="6"/>
        <v/>
      </c>
      <c r="AH30" s="363" t="str">
        <f t="shared" si="1"/>
        <v/>
      </c>
      <c r="AI30" s="122"/>
      <c r="AJ30" s="363" t="str">
        <f>IF(AI30="","",IF(VLOOKUP(AI30,'G-7 WaterC'' Data'!$AA$4:$AB$7,2,FALSE)=0,"Spatial Data Missing ⚠",VLOOKUP(AI30,'G-7 WaterC'' Data'!$AA$4:$AB$7,2,FALSE)))</f>
        <v/>
      </c>
      <c r="AK30" s="123"/>
      <c r="AL30" s="363" t="str">
        <f>IF(AK30="","",IF(VLOOKUP(AK30,'G-7 WaterC'' Data'!$AD$4:$AE$14,2,FALSE)=0,"Spatial Data Missing ⚠",VLOOKUP(AK30,'G-7 WaterC'' Data'!$AD$4:$AE$14,2,FALSE)))</f>
        <v/>
      </c>
      <c r="AM30" s="405" t="str">
        <f t="shared" si="7"/>
        <v/>
      </c>
      <c r="AN30" s="117"/>
      <c r="AO30" s="118"/>
      <c r="AP30" s="120"/>
      <c r="AV30" s="30" t="str">
        <f>IFERROR(INDEX('G-7 WaterC'' Data'!$AZ$3:$AZ$7,MATCH(N30,'G-7 WaterC'' Data'!$AY$3:$AY$7,0)),"")</f>
        <v/>
      </c>
    </row>
    <row r="31" spans="2:48" ht="15">
      <c r="B31" s="392" t="str">
        <f>'C-1 On-Site WaterC'' Baseline'!AO29</f>
        <v/>
      </c>
      <c r="C31" s="382" t="str">
        <f>IF(B31="","",VLOOKUP($B31,'C-1 On-Site WaterC'' Baseline'!$C$9:$R$257,2,FALSE))</f>
        <v/>
      </c>
      <c r="D31" s="382" t="str">
        <f>IF(C31="","",VLOOKUP($B31,'C-1 On-Site WaterC'' Baseline'!$C$9:$R$257,3,FALSE))</f>
        <v/>
      </c>
      <c r="E31" s="382" t="str">
        <f>IF(D31="","",VLOOKUP($B31,'C-1 On-Site WaterC'' Baseline'!$C$9:$R$257,4,FALSE))</f>
        <v/>
      </c>
      <c r="F31" s="382" t="str">
        <f>IF(E31="","",VLOOKUP($B31,'C-1 On-Site WaterC'' Baseline'!$C$9:$R$257,5,FALSE))</f>
        <v/>
      </c>
      <c r="G31" s="382" t="str">
        <f>IF(F31="","",VLOOKUP($B31,'C-1 On-Site WaterC'' Baseline'!$C$9:$R$257,6,FALSE))</f>
        <v/>
      </c>
      <c r="H31" s="382" t="str">
        <f>IF(G31="","",VLOOKUP($B31,'C-1 On-Site WaterC'' Baseline'!$C$9:$R$257,7,FALSE))</f>
        <v/>
      </c>
      <c r="I31" s="382" t="str">
        <f>IF(H31="","",VLOOKUP($B31,'C-1 On-Site WaterC'' Baseline'!$C$9:$R$257,8,FALSE))</f>
        <v/>
      </c>
      <c r="J31" s="382" t="str">
        <f>IF(I31="","",VLOOKUP($B31,'C-1 On-Site WaterC'' Baseline'!$C$9:$R$257,9,FALSE))</f>
        <v/>
      </c>
      <c r="K31" s="382" t="str">
        <f>IF(J31="","",VLOOKUP($B31,'C-1 On-Site WaterC'' Baseline'!$C$9:$R$257,10,FALSE))</f>
        <v/>
      </c>
      <c r="L31" s="382" t="str">
        <f>IF(B31="","",VLOOKUP($B31,'C-1 On-Site WaterC'' Baseline'!$C$9:$R$257,15,FALSE))</f>
        <v/>
      </c>
      <c r="M31" s="386" t="str">
        <f>IF(L31="","",VLOOKUP($B31,'C-1 On-Site WaterC'' Baseline'!$C$9:$R$257,16,FALSE))</f>
        <v/>
      </c>
      <c r="N31" s="320" t="str">
        <f t="shared" si="0"/>
        <v/>
      </c>
      <c r="O31" s="362" t="str">
        <f t="shared" si="2"/>
        <v/>
      </c>
      <c r="P31" s="363" t="str">
        <f>IF(C31="","",IF(AND(LEFT(C31,55)&lt;&gt;LEFT(N31,55),O31="High - High"),"Error - Not like for like ▲",IF(H31&gt;U31,"Error - Can not reduce condition ▲",IF(AND(F31=S31,H31=U31,AJ31='C-1 On-Site WaterC'' Baseline'!N29,'C-1 On-Site WaterC'' Baseline'!P29=AL31),"Error - No enhancement ▲",IF(AND(C31&lt;&gt;N31,F31&lt;S31),"Lower Distinctiveness Habitat"&amp;" - "&amp;T31,G31&amp;" - "&amp;T31)))))</f>
        <v/>
      </c>
      <c r="Q31" s="425" t="str">
        <f>IF(N31="","",VLOOKUP(B31,'C-1 On-Site WaterC'' Baseline'!$C$10:$AB$257,19,FALSE))</f>
        <v/>
      </c>
      <c r="R31" s="362" t="str">
        <f>IF(N31="","",VLOOKUP(N31,'G-7 WaterC'' Data'!$B$2:$G$8,2,FALSE))</f>
        <v/>
      </c>
      <c r="S31" s="363" t="str">
        <f>IFERROR(VLOOKUP(R31,'G-7 WaterC'' Data'!$C$4:$D$8,2,FALSE),"")</f>
        <v/>
      </c>
      <c r="T31" s="114"/>
      <c r="U31" s="363" t="str">
        <f>IFERROR(INDEX('G-7 WaterC'' Data'!$H$4:$L$8,MATCH(N31,'G-7 WaterC'' Data'!$B$4:$B$8,0),MATCH(T31,'G-7 WaterC'' Data'!$H$3:$L$3,0)),"")</f>
        <v/>
      </c>
      <c r="V31" s="114"/>
      <c r="W31" s="370" t="str">
        <f>IF(V31="","",IF(VLOOKUP(V31,'G-7 WaterC'' Data'!$AK$4:$AM$6,2,FALSE)=0,"Spatial Data Missing ⚠",VLOOKUP(V31,'G-7 WaterC'' Data'!$AK$4:$AM$6,2,FALSE)))</f>
        <v/>
      </c>
      <c r="X31" s="363" t="str">
        <f>IF(V31="","",IF(VLOOKUP(V31,'G-7 WaterC'' Data'!$AK$4:$AM$6,3,FALSE)=0,"Spatial Data Missing ⚠",VLOOKUP(V31,'G-7 WaterC'' Data'!$AK$4:$AM$6,3,FALSE)))</f>
        <v/>
      </c>
      <c r="Y31" s="362" t="str">
        <f>IFERROR(IF(OR(LEFT(P31,5)="Error",LEFT(O31,5)="Error ▲"),"Check Data ⚠",IF(F31&lt;S31,'G-7 WaterC'' Data'!$R$3,INDEX('G-7 WaterC'' Data'!$U$5:$Y$9,MATCH(G31,'G-7 WaterC'' Data'!$T$5:$T$9,0),MATCH(T31,'G-7 WaterC'' Data'!$U$4:$Y$4,0)))),"")</f>
        <v/>
      </c>
      <c r="Z31" s="159"/>
      <c r="AA31" s="159"/>
      <c r="AB31" s="370" t="str">
        <f t="shared" si="3"/>
        <v/>
      </c>
      <c r="AC31" s="383" t="str">
        <f t="shared" si="4"/>
        <v/>
      </c>
      <c r="AD31" s="422" t="str">
        <f>IFERROR(IF(AC31="Check Data ⚠","Check Data ⚠",VLOOKUP(AC31,'G-4 Temporal multipliers'!$A$4:$C$37,3,FALSE)),"")</f>
        <v/>
      </c>
      <c r="AE31" s="362" t="str">
        <f>IF(N31="","",VLOOKUP(N31,'G-7 WaterC'' Data'!$B$4:$G$8,5,FALSE))</f>
        <v/>
      </c>
      <c r="AF31" s="370" t="str">
        <f t="shared" si="5"/>
        <v/>
      </c>
      <c r="AG31" s="401" t="str">
        <f t="shared" si="6"/>
        <v/>
      </c>
      <c r="AH31" s="363" t="str">
        <f t="shared" si="1"/>
        <v/>
      </c>
      <c r="AI31" s="122"/>
      <c r="AJ31" s="363" t="str">
        <f>IF(AI31="","",IF(VLOOKUP(AI31,'G-7 WaterC'' Data'!$AA$4:$AB$7,2,FALSE)=0,"Spatial Data Missing ⚠",VLOOKUP(AI31,'G-7 WaterC'' Data'!$AA$4:$AB$7,2,FALSE)))</f>
        <v/>
      </c>
      <c r="AK31" s="123"/>
      <c r="AL31" s="363" t="str">
        <f>IF(AK31="","",IF(VLOOKUP(AK31,'G-7 WaterC'' Data'!$AD$4:$AE$14,2,FALSE)=0,"Spatial Data Missing ⚠",VLOOKUP(AK31,'G-7 WaterC'' Data'!$AD$4:$AE$14,2,FALSE)))</f>
        <v/>
      </c>
      <c r="AM31" s="405" t="str">
        <f t="shared" si="7"/>
        <v/>
      </c>
      <c r="AN31" s="117"/>
      <c r="AO31" s="118"/>
      <c r="AP31" s="120"/>
      <c r="AV31" s="30" t="str">
        <f>IFERROR(INDEX('G-7 WaterC'' Data'!$AZ$3:$AZ$7,MATCH(N31,'G-7 WaterC'' Data'!$AY$3:$AY$7,0)),"")</f>
        <v/>
      </c>
    </row>
    <row r="32" spans="2:48" ht="15">
      <c r="B32" s="392" t="str">
        <f>'C-1 On-Site WaterC'' Baseline'!AO30</f>
        <v/>
      </c>
      <c r="C32" s="382" t="str">
        <f>IF(B32="","",VLOOKUP($B32,'C-1 On-Site WaterC'' Baseline'!$C$9:$R$257,2,FALSE))</f>
        <v/>
      </c>
      <c r="D32" s="382" t="str">
        <f>IF(C32="","",VLOOKUP($B32,'C-1 On-Site WaterC'' Baseline'!$C$9:$R$257,3,FALSE))</f>
        <v/>
      </c>
      <c r="E32" s="382" t="str">
        <f>IF(D32="","",VLOOKUP($B32,'C-1 On-Site WaterC'' Baseline'!$C$9:$R$257,4,FALSE))</f>
        <v/>
      </c>
      <c r="F32" s="382" t="str">
        <f>IF(E32="","",VLOOKUP($B32,'C-1 On-Site WaterC'' Baseline'!$C$9:$R$257,5,FALSE))</f>
        <v/>
      </c>
      <c r="G32" s="382" t="str">
        <f>IF(F32="","",VLOOKUP($B32,'C-1 On-Site WaterC'' Baseline'!$C$9:$R$257,6,FALSE))</f>
        <v/>
      </c>
      <c r="H32" s="382" t="str">
        <f>IF(G32="","",VLOOKUP($B32,'C-1 On-Site WaterC'' Baseline'!$C$9:$R$257,7,FALSE))</f>
        <v/>
      </c>
      <c r="I32" s="382" t="str">
        <f>IF(H32="","",VLOOKUP($B32,'C-1 On-Site WaterC'' Baseline'!$C$9:$R$257,8,FALSE))</f>
        <v/>
      </c>
      <c r="J32" s="382" t="str">
        <f>IF(I32="","",VLOOKUP($B32,'C-1 On-Site WaterC'' Baseline'!$C$9:$R$257,9,FALSE))</f>
        <v/>
      </c>
      <c r="K32" s="382" t="str">
        <f>IF(J32="","",VLOOKUP($B32,'C-1 On-Site WaterC'' Baseline'!$C$9:$R$257,10,FALSE))</f>
        <v/>
      </c>
      <c r="L32" s="382" t="str">
        <f>IF(B32="","",VLOOKUP($B32,'C-1 On-Site WaterC'' Baseline'!$C$9:$R$257,15,FALSE))</f>
        <v/>
      </c>
      <c r="M32" s="386" t="str">
        <f>IF(L32="","",VLOOKUP($B32,'C-1 On-Site WaterC'' Baseline'!$C$9:$R$257,16,FALSE))</f>
        <v/>
      </c>
      <c r="N32" s="320" t="str">
        <f t="shared" si="0"/>
        <v/>
      </c>
      <c r="O32" s="362" t="str">
        <f t="shared" si="2"/>
        <v/>
      </c>
      <c r="P32" s="363" t="str">
        <f>IF(C32="","",IF(AND(LEFT(C32,55)&lt;&gt;LEFT(N32,55),O32="High - High"),"Error - Not like for like ▲",IF(H32&gt;U32,"Error - Can not reduce condition ▲",IF(AND(F32=S32,H32=U32,AJ32='C-1 On-Site WaterC'' Baseline'!N30,'C-1 On-Site WaterC'' Baseline'!P30=AL32),"Error - No enhancement ▲",IF(AND(C32&lt;&gt;N32,F32&lt;S32),"Lower Distinctiveness Habitat"&amp;" - "&amp;T32,G32&amp;" - "&amp;T32)))))</f>
        <v/>
      </c>
      <c r="Q32" s="425" t="str">
        <f>IF(N32="","",VLOOKUP(B32,'C-1 On-Site WaterC'' Baseline'!$C$10:$AB$257,19,FALSE))</f>
        <v/>
      </c>
      <c r="R32" s="362" t="str">
        <f>IF(N32="","",VLOOKUP(N32,'G-7 WaterC'' Data'!$B$2:$G$8,2,FALSE))</f>
        <v/>
      </c>
      <c r="S32" s="363" t="str">
        <f>IFERROR(VLOOKUP(R32,'G-7 WaterC'' Data'!$C$4:$D$8,2,FALSE),"")</f>
        <v/>
      </c>
      <c r="T32" s="114"/>
      <c r="U32" s="363" t="str">
        <f>IFERROR(INDEX('G-7 WaterC'' Data'!$H$4:$L$8,MATCH(N32,'G-7 WaterC'' Data'!$B$4:$B$8,0),MATCH(T32,'G-7 WaterC'' Data'!$H$3:$L$3,0)),"")</f>
        <v/>
      </c>
      <c r="V32" s="114"/>
      <c r="W32" s="370" t="str">
        <f>IF(V32="","",IF(VLOOKUP(V32,'G-7 WaterC'' Data'!$AK$4:$AM$6,2,FALSE)=0,"Spatial Data Missing ⚠",VLOOKUP(V32,'G-7 WaterC'' Data'!$AK$4:$AM$6,2,FALSE)))</f>
        <v/>
      </c>
      <c r="X32" s="363" t="str">
        <f>IF(V32="","",IF(VLOOKUP(V32,'G-7 WaterC'' Data'!$AK$4:$AM$6,3,FALSE)=0,"Spatial Data Missing ⚠",VLOOKUP(V32,'G-7 WaterC'' Data'!$AK$4:$AM$6,3,FALSE)))</f>
        <v/>
      </c>
      <c r="Y32" s="362" t="str">
        <f>IFERROR(IF(OR(LEFT(P32,5)="Error",LEFT(O32,5)="Error ▲"),"Check Data ⚠",IF(F32&lt;S32,'G-7 WaterC'' Data'!$R$3,INDEX('G-7 WaterC'' Data'!$U$5:$Y$9,MATCH(G32,'G-7 WaterC'' Data'!$T$5:$T$9,0),MATCH(T32,'G-7 WaterC'' Data'!$U$4:$Y$4,0)))),"")</f>
        <v/>
      </c>
      <c r="Z32" s="159"/>
      <c r="AA32" s="159"/>
      <c r="AB32" s="370" t="str">
        <f t="shared" si="3"/>
        <v/>
      </c>
      <c r="AC32" s="383" t="str">
        <f t="shared" si="4"/>
        <v/>
      </c>
      <c r="AD32" s="422" t="str">
        <f>IFERROR(IF(AC32="Check Data ⚠","Check Data ⚠",VLOOKUP(AC32,'G-4 Temporal multipliers'!$A$4:$C$37,3,FALSE)),"")</f>
        <v/>
      </c>
      <c r="AE32" s="362" t="str">
        <f>IF(N32="","",VLOOKUP(N32,'G-7 WaterC'' Data'!$B$4:$G$8,5,FALSE))</f>
        <v/>
      </c>
      <c r="AF32" s="370" t="str">
        <f t="shared" si="5"/>
        <v/>
      </c>
      <c r="AG32" s="401" t="str">
        <f t="shared" si="6"/>
        <v/>
      </c>
      <c r="AH32" s="363" t="str">
        <f t="shared" si="1"/>
        <v/>
      </c>
      <c r="AI32" s="122"/>
      <c r="AJ32" s="363" t="str">
        <f>IF(AI32="","",IF(VLOOKUP(AI32,'G-7 WaterC'' Data'!$AA$4:$AB$7,2,FALSE)=0,"Spatial Data Missing ⚠",VLOOKUP(AI32,'G-7 WaterC'' Data'!$AA$4:$AB$7,2,FALSE)))</f>
        <v/>
      </c>
      <c r="AK32" s="123"/>
      <c r="AL32" s="363" t="str">
        <f>IF(AK32="","",IF(VLOOKUP(AK32,'G-7 WaterC'' Data'!$AD$4:$AE$14,2,FALSE)=0,"Spatial Data Missing ⚠",VLOOKUP(AK32,'G-7 WaterC'' Data'!$AD$4:$AE$14,2,FALSE)))</f>
        <v/>
      </c>
      <c r="AM32" s="405" t="str">
        <f t="shared" si="7"/>
        <v/>
      </c>
      <c r="AN32" s="117"/>
      <c r="AO32" s="118"/>
      <c r="AP32" s="120"/>
      <c r="AV32" s="30" t="str">
        <f>IFERROR(INDEX('G-7 WaterC'' Data'!$AZ$3:$AZ$7,MATCH(N32,'G-7 WaterC'' Data'!$AY$3:$AY$7,0)),"")</f>
        <v/>
      </c>
    </row>
    <row r="33" spans="2:48" ht="15">
      <c r="B33" s="392" t="str">
        <f>'C-1 On-Site WaterC'' Baseline'!AO31</f>
        <v/>
      </c>
      <c r="C33" s="382" t="str">
        <f>IF(B33="","",VLOOKUP($B33,'C-1 On-Site WaterC'' Baseline'!$C$9:$R$257,2,FALSE))</f>
        <v/>
      </c>
      <c r="D33" s="382" t="str">
        <f>IF(C33="","",VLOOKUP($B33,'C-1 On-Site WaterC'' Baseline'!$C$9:$R$257,3,FALSE))</f>
        <v/>
      </c>
      <c r="E33" s="382" t="str">
        <f>IF(D33="","",VLOOKUP($B33,'C-1 On-Site WaterC'' Baseline'!$C$9:$R$257,4,FALSE))</f>
        <v/>
      </c>
      <c r="F33" s="382" t="str">
        <f>IF(E33="","",VLOOKUP($B33,'C-1 On-Site WaterC'' Baseline'!$C$9:$R$257,5,FALSE))</f>
        <v/>
      </c>
      <c r="G33" s="382" t="str">
        <f>IF(F33="","",VLOOKUP($B33,'C-1 On-Site WaterC'' Baseline'!$C$9:$R$257,6,FALSE))</f>
        <v/>
      </c>
      <c r="H33" s="382" t="str">
        <f>IF(G33="","",VLOOKUP($B33,'C-1 On-Site WaterC'' Baseline'!$C$9:$R$257,7,FALSE))</f>
        <v/>
      </c>
      <c r="I33" s="382" t="str">
        <f>IF(H33="","",VLOOKUP($B33,'C-1 On-Site WaterC'' Baseline'!$C$9:$R$257,8,FALSE))</f>
        <v/>
      </c>
      <c r="J33" s="382" t="str">
        <f>IF(I33="","",VLOOKUP($B33,'C-1 On-Site WaterC'' Baseline'!$C$9:$R$257,9,FALSE))</f>
        <v/>
      </c>
      <c r="K33" s="382" t="str">
        <f>IF(J33="","",VLOOKUP($B33,'C-1 On-Site WaterC'' Baseline'!$C$9:$R$257,10,FALSE))</f>
        <v/>
      </c>
      <c r="L33" s="382" t="str">
        <f>IF(B33="","",VLOOKUP($B33,'C-1 On-Site WaterC'' Baseline'!$C$9:$R$257,15,FALSE))</f>
        <v/>
      </c>
      <c r="M33" s="386" t="str">
        <f>IF(L33="","",VLOOKUP($B33,'C-1 On-Site WaterC'' Baseline'!$C$9:$R$257,16,FALSE))</f>
        <v/>
      </c>
      <c r="N33" s="320" t="str">
        <f t="shared" si="0"/>
        <v/>
      </c>
      <c r="O33" s="362" t="str">
        <f t="shared" si="2"/>
        <v/>
      </c>
      <c r="P33" s="363" t="str">
        <f>IF(C33="","",IF(AND(LEFT(C33,55)&lt;&gt;LEFT(N33,55),O33="High - High"),"Error - Not like for like ▲",IF(H33&gt;U33,"Error - Can not reduce condition ▲",IF(AND(F33=S33,H33=U33,AJ33='C-1 On-Site WaterC'' Baseline'!N31,'C-1 On-Site WaterC'' Baseline'!P31=AL33),"Error - No enhancement ▲",IF(AND(C33&lt;&gt;N33,F33&lt;S33),"Lower Distinctiveness Habitat"&amp;" - "&amp;T33,G33&amp;" - "&amp;T33)))))</f>
        <v/>
      </c>
      <c r="Q33" s="425" t="str">
        <f>IF(N33="","",VLOOKUP(B33,'C-1 On-Site WaterC'' Baseline'!$C$10:$AB$257,19,FALSE))</f>
        <v/>
      </c>
      <c r="R33" s="362" t="str">
        <f>IF(N33="","",VLOOKUP(N33,'G-7 WaterC'' Data'!$B$2:$G$8,2,FALSE))</f>
        <v/>
      </c>
      <c r="S33" s="363" t="str">
        <f>IFERROR(VLOOKUP(R33,'G-7 WaterC'' Data'!$C$4:$D$8,2,FALSE),"")</f>
        <v/>
      </c>
      <c r="T33" s="114"/>
      <c r="U33" s="363" t="str">
        <f>IFERROR(INDEX('G-7 WaterC'' Data'!$H$4:$L$8,MATCH(N33,'G-7 WaterC'' Data'!$B$4:$B$8,0),MATCH(T33,'G-7 WaterC'' Data'!$H$3:$L$3,0)),"")</f>
        <v/>
      </c>
      <c r="V33" s="114"/>
      <c r="W33" s="370" t="str">
        <f>IF(V33="","",IF(VLOOKUP(V33,'G-7 WaterC'' Data'!$AK$4:$AM$6,2,FALSE)=0,"Spatial Data Missing ⚠",VLOOKUP(V33,'G-7 WaterC'' Data'!$AK$4:$AM$6,2,FALSE)))</f>
        <v/>
      </c>
      <c r="X33" s="363" t="str">
        <f>IF(V33="","",IF(VLOOKUP(V33,'G-7 WaterC'' Data'!$AK$4:$AM$6,3,FALSE)=0,"Spatial Data Missing ⚠",VLOOKUP(V33,'G-7 WaterC'' Data'!$AK$4:$AM$6,3,FALSE)))</f>
        <v/>
      </c>
      <c r="Y33" s="362" t="str">
        <f>IFERROR(IF(OR(LEFT(P33,5)="Error",LEFT(O33,5)="Error ▲"),"Check Data ⚠",IF(F33&lt;S33,'G-7 WaterC'' Data'!$R$3,INDEX('G-7 WaterC'' Data'!$U$5:$Y$9,MATCH(G33,'G-7 WaterC'' Data'!$T$5:$T$9,0),MATCH(T33,'G-7 WaterC'' Data'!$U$4:$Y$4,0)))),"")</f>
        <v/>
      </c>
      <c r="Z33" s="159"/>
      <c r="AA33" s="159"/>
      <c r="AB33" s="370" t="str">
        <f t="shared" si="3"/>
        <v/>
      </c>
      <c r="AC33" s="383" t="str">
        <f t="shared" si="4"/>
        <v/>
      </c>
      <c r="AD33" s="422" t="str">
        <f>IFERROR(IF(AC33="Check Data ⚠","Check Data ⚠",VLOOKUP(AC33,'G-4 Temporal multipliers'!$A$4:$C$37,3,FALSE)),"")</f>
        <v/>
      </c>
      <c r="AE33" s="362" t="str">
        <f>IF(N33="","",VLOOKUP(N33,'G-7 WaterC'' Data'!$B$4:$G$8,5,FALSE))</f>
        <v/>
      </c>
      <c r="AF33" s="370" t="str">
        <f t="shared" si="5"/>
        <v/>
      </c>
      <c r="AG33" s="401" t="str">
        <f t="shared" si="6"/>
        <v/>
      </c>
      <c r="AH33" s="363" t="str">
        <f t="shared" si="1"/>
        <v/>
      </c>
      <c r="AI33" s="122"/>
      <c r="AJ33" s="363" t="str">
        <f>IF(AI33="","",IF(VLOOKUP(AI33,'G-7 WaterC'' Data'!$AA$4:$AB$7,2,FALSE)=0,"Spatial Data Missing ⚠",VLOOKUP(AI33,'G-7 WaterC'' Data'!$AA$4:$AB$7,2,FALSE)))</f>
        <v/>
      </c>
      <c r="AK33" s="123"/>
      <c r="AL33" s="363" t="str">
        <f>IF(AK33="","",IF(VLOOKUP(AK33,'G-7 WaterC'' Data'!$AD$4:$AE$14,2,FALSE)=0,"Spatial Data Missing ⚠",VLOOKUP(AK33,'G-7 WaterC'' Data'!$AD$4:$AE$14,2,FALSE)))</f>
        <v/>
      </c>
      <c r="AM33" s="405" t="str">
        <f t="shared" si="7"/>
        <v/>
      </c>
      <c r="AN33" s="117"/>
      <c r="AO33" s="118"/>
      <c r="AP33" s="120"/>
      <c r="AV33" s="30" t="str">
        <f>IFERROR(INDEX('G-7 WaterC'' Data'!$AZ$3:$AZ$7,MATCH(N33,'G-7 WaterC'' Data'!$AY$3:$AY$7,0)),"")</f>
        <v/>
      </c>
    </row>
    <row r="34" spans="2:48" ht="15">
      <c r="B34" s="392" t="str">
        <f>'C-1 On-Site WaterC'' Baseline'!AO32</f>
        <v/>
      </c>
      <c r="C34" s="382" t="str">
        <f>IF(B34="","",VLOOKUP($B34,'C-1 On-Site WaterC'' Baseline'!$C$9:$R$257,2,FALSE))</f>
        <v/>
      </c>
      <c r="D34" s="382" t="str">
        <f>IF(C34="","",VLOOKUP($B34,'C-1 On-Site WaterC'' Baseline'!$C$9:$R$257,3,FALSE))</f>
        <v/>
      </c>
      <c r="E34" s="382" t="str">
        <f>IF(D34="","",VLOOKUP($B34,'C-1 On-Site WaterC'' Baseline'!$C$9:$R$257,4,FALSE))</f>
        <v/>
      </c>
      <c r="F34" s="382" t="str">
        <f>IF(E34="","",VLOOKUP($B34,'C-1 On-Site WaterC'' Baseline'!$C$9:$R$257,5,FALSE))</f>
        <v/>
      </c>
      <c r="G34" s="382" t="str">
        <f>IF(F34="","",VLOOKUP($B34,'C-1 On-Site WaterC'' Baseline'!$C$9:$R$257,6,FALSE))</f>
        <v/>
      </c>
      <c r="H34" s="382" t="str">
        <f>IF(G34="","",VLOOKUP($B34,'C-1 On-Site WaterC'' Baseline'!$C$9:$R$257,7,FALSE))</f>
        <v/>
      </c>
      <c r="I34" s="382" t="str">
        <f>IF(H34="","",VLOOKUP($B34,'C-1 On-Site WaterC'' Baseline'!$C$9:$R$257,8,FALSE))</f>
        <v/>
      </c>
      <c r="J34" s="382" t="str">
        <f>IF(I34="","",VLOOKUP($B34,'C-1 On-Site WaterC'' Baseline'!$C$9:$R$257,9,FALSE))</f>
        <v/>
      </c>
      <c r="K34" s="382" t="str">
        <f>IF(J34="","",VLOOKUP($B34,'C-1 On-Site WaterC'' Baseline'!$C$9:$R$257,10,FALSE))</f>
        <v/>
      </c>
      <c r="L34" s="382" t="str">
        <f>IF(B34="","",VLOOKUP($B34,'C-1 On-Site WaterC'' Baseline'!$C$9:$R$257,15,FALSE))</f>
        <v/>
      </c>
      <c r="M34" s="386" t="str">
        <f>IF(L34="","",VLOOKUP($B34,'C-1 On-Site WaterC'' Baseline'!$C$9:$R$257,16,FALSE))</f>
        <v/>
      </c>
      <c r="N34" s="320" t="str">
        <f t="shared" si="0"/>
        <v/>
      </c>
      <c r="O34" s="362" t="str">
        <f t="shared" si="2"/>
        <v/>
      </c>
      <c r="P34" s="363" t="str">
        <f>IF(C34="","",IF(AND(LEFT(C34,55)&lt;&gt;LEFT(N34,55),O34="High - High"),"Error - Not like for like ▲",IF(H34&gt;U34,"Error - Can not reduce condition ▲",IF(AND(F34=S34,H34=U34,AJ34='C-1 On-Site WaterC'' Baseline'!N32,'C-1 On-Site WaterC'' Baseline'!P32=AL34),"Error - No enhancement ▲",IF(AND(C34&lt;&gt;N34,F34&lt;S34),"Lower Distinctiveness Habitat"&amp;" - "&amp;T34,G34&amp;" - "&amp;T34)))))</f>
        <v/>
      </c>
      <c r="Q34" s="425" t="str">
        <f>IF(N34="","",VLOOKUP(B34,'C-1 On-Site WaterC'' Baseline'!$C$10:$AB$257,19,FALSE))</f>
        <v/>
      </c>
      <c r="R34" s="362" t="str">
        <f>IF(N34="","",VLOOKUP(N34,'G-7 WaterC'' Data'!$B$2:$G$8,2,FALSE))</f>
        <v/>
      </c>
      <c r="S34" s="363" t="str">
        <f>IFERROR(VLOOKUP(R34,'G-7 WaterC'' Data'!$C$4:$D$8,2,FALSE),"")</f>
        <v/>
      </c>
      <c r="T34" s="114"/>
      <c r="U34" s="363" t="str">
        <f>IFERROR(INDEX('G-7 WaterC'' Data'!$H$4:$L$8,MATCH(N34,'G-7 WaterC'' Data'!$B$4:$B$8,0),MATCH(T34,'G-7 WaterC'' Data'!$H$3:$L$3,0)),"")</f>
        <v/>
      </c>
      <c r="V34" s="114"/>
      <c r="W34" s="370" t="str">
        <f>IF(V34="","",IF(VLOOKUP(V34,'G-7 WaterC'' Data'!$AK$4:$AM$6,2,FALSE)=0,"Spatial Data Missing ⚠",VLOOKUP(V34,'G-7 WaterC'' Data'!$AK$4:$AM$6,2,FALSE)))</f>
        <v/>
      </c>
      <c r="X34" s="363" t="str">
        <f>IF(V34="","",IF(VLOOKUP(V34,'G-7 WaterC'' Data'!$AK$4:$AM$6,3,FALSE)=0,"Spatial Data Missing ⚠",VLOOKUP(V34,'G-7 WaterC'' Data'!$AK$4:$AM$6,3,FALSE)))</f>
        <v/>
      </c>
      <c r="Y34" s="362" t="str">
        <f>IFERROR(IF(OR(LEFT(P34,5)="Error",LEFT(O34,5)="Error ▲"),"Check Data ⚠",IF(F34&lt;S34,'G-7 WaterC'' Data'!$R$3,INDEX('G-7 WaterC'' Data'!$U$5:$Y$9,MATCH(G34,'G-7 WaterC'' Data'!$T$5:$T$9,0),MATCH(T34,'G-7 WaterC'' Data'!$U$4:$Y$4,0)))),"")</f>
        <v/>
      </c>
      <c r="Z34" s="159"/>
      <c r="AA34" s="159"/>
      <c r="AB34" s="370" t="str">
        <f t="shared" si="3"/>
        <v/>
      </c>
      <c r="AC34" s="383" t="str">
        <f t="shared" si="4"/>
        <v/>
      </c>
      <c r="AD34" s="422" t="str">
        <f>IFERROR(IF(AC34="Check Data ⚠","Check Data ⚠",VLOOKUP(AC34,'G-4 Temporal multipliers'!$A$4:$C$37,3,FALSE)),"")</f>
        <v/>
      </c>
      <c r="AE34" s="362" t="str">
        <f>IF(N34="","",VLOOKUP(N34,'G-7 WaterC'' Data'!$B$4:$G$8,5,FALSE))</f>
        <v/>
      </c>
      <c r="AF34" s="370" t="str">
        <f t="shared" si="5"/>
        <v/>
      </c>
      <c r="AG34" s="401" t="str">
        <f t="shared" si="6"/>
        <v/>
      </c>
      <c r="AH34" s="363" t="str">
        <f t="shared" si="1"/>
        <v/>
      </c>
      <c r="AI34" s="122"/>
      <c r="AJ34" s="363" t="str">
        <f>IF(AI34="","",IF(VLOOKUP(AI34,'G-7 WaterC'' Data'!$AA$4:$AB$7,2,FALSE)=0,"Spatial Data Missing ⚠",VLOOKUP(AI34,'G-7 WaterC'' Data'!$AA$4:$AB$7,2,FALSE)))</f>
        <v/>
      </c>
      <c r="AK34" s="123"/>
      <c r="AL34" s="363" t="str">
        <f>IF(AK34="","",IF(VLOOKUP(AK34,'G-7 WaterC'' Data'!$AD$4:$AE$14,2,FALSE)=0,"Spatial Data Missing ⚠",VLOOKUP(AK34,'G-7 WaterC'' Data'!$AD$4:$AE$14,2,FALSE)))</f>
        <v/>
      </c>
      <c r="AM34" s="405" t="str">
        <f t="shared" si="7"/>
        <v/>
      </c>
      <c r="AN34" s="117"/>
      <c r="AO34" s="118"/>
      <c r="AP34" s="120"/>
      <c r="AV34" s="30" t="str">
        <f>IFERROR(INDEX('G-7 WaterC'' Data'!$AZ$3:$AZ$7,MATCH(N34,'G-7 WaterC'' Data'!$AY$3:$AY$7,0)),"")</f>
        <v/>
      </c>
    </row>
    <row r="35" spans="2:48" ht="15">
      <c r="B35" s="392" t="str">
        <f>'C-1 On-Site WaterC'' Baseline'!AO33</f>
        <v/>
      </c>
      <c r="C35" s="382" t="str">
        <f>IF(B35="","",VLOOKUP($B35,'C-1 On-Site WaterC'' Baseline'!$C$9:$R$257,2,FALSE))</f>
        <v/>
      </c>
      <c r="D35" s="382" t="str">
        <f>IF(C35="","",VLOOKUP($B35,'C-1 On-Site WaterC'' Baseline'!$C$9:$R$257,3,FALSE))</f>
        <v/>
      </c>
      <c r="E35" s="382" t="str">
        <f>IF(D35="","",VLOOKUP($B35,'C-1 On-Site WaterC'' Baseline'!$C$9:$R$257,4,FALSE))</f>
        <v/>
      </c>
      <c r="F35" s="382" t="str">
        <f>IF(E35="","",VLOOKUP($B35,'C-1 On-Site WaterC'' Baseline'!$C$9:$R$257,5,FALSE))</f>
        <v/>
      </c>
      <c r="G35" s="382" t="str">
        <f>IF(F35="","",VLOOKUP($B35,'C-1 On-Site WaterC'' Baseline'!$C$9:$R$257,6,FALSE))</f>
        <v/>
      </c>
      <c r="H35" s="382" t="str">
        <f>IF(G35="","",VLOOKUP($B35,'C-1 On-Site WaterC'' Baseline'!$C$9:$R$257,7,FALSE))</f>
        <v/>
      </c>
      <c r="I35" s="382" t="str">
        <f>IF(H35="","",VLOOKUP($B35,'C-1 On-Site WaterC'' Baseline'!$C$9:$R$257,8,FALSE))</f>
        <v/>
      </c>
      <c r="J35" s="382" t="str">
        <f>IF(I35="","",VLOOKUP($B35,'C-1 On-Site WaterC'' Baseline'!$C$9:$R$257,9,FALSE))</f>
        <v/>
      </c>
      <c r="K35" s="382" t="str">
        <f>IF(J35="","",VLOOKUP($B35,'C-1 On-Site WaterC'' Baseline'!$C$9:$R$257,10,FALSE))</f>
        <v/>
      </c>
      <c r="L35" s="382" t="str">
        <f>IF(B35="","",VLOOKUP($B35,'C-1 On-Site WaterC'' Baseline'!$C$9:$R$257,15,FALSE))</f>
        <v/>
      </c>
      <c r="M35" s="386" t="str">
        <f>IF(L35="","",VLOOKUP($B35,'C-1 On-Site WaterC'' Baseline'!$C$9:$R$257,16,FALSE))</f>
        <v/>
      </c>
      <c r="N35" s="320" t="str">
        <f t="shared" si="0"/>
        <v/>
      </c>
      <c r="O35" s="362" t="str">
        <f t="shared" si="2"/>
        <v/>
      </c>
      <c r="P35" s="363" t="str">
        <f>IF(C35="","",IF(AND(LEFT(C35,55)&lt;&gt;LEFT(N35,55),O35="High - High"),"Error - Not like for like ▲",IF(H35&gt;U35,"Error - Can not reduce condition ▲",IF(AND(F35=S35,H35=U35,AJ35='C-1 On-Site WaterC'' Baseline'!N33,'C-1 On-Site WaterC'' Baseline'!P33=AL35),"Error - No enhancement ▲",IF(AND(C35&lt;&gt;N35,F35&lt;S35),"Lower Distinctiveness Habitat"&amp;" - "&amp;T35,G35&amp;" - "&amp;T35)))))</f>
        <v/>
      </c>
      <c r="Q35" s="425" t="str">
        <f>IF(N35="","",VLOOKUP(B35,'C-1 On-Site WaterC'' Baseline'!$C$10:$AB$257,19,FALSE))</f>
        <v/>
      </c>
      <c r="R35" s="362" t="str">
        <f>IF(N35="","",VLOOKUP(N35,'G-7 WaterC'' Data'!$B$2:$G$8,2,FALSE))</f>
        <v/>
      </c>
      <c r="S35" s="363" t="str">
        <f>IFERROR(VLOOKUP(R35,'G-7 WaterC'' Data'!$C$4:$D$8,2,FALSE),"")</f>
        <v/>
      </c>
      <c r="T35" s="114"/>
      <c r="U35" s="363" t="str">
        <f>IFERROR(INDEX('G-7 WaterC'' Data'!$H$4:$L$8,MATCH(N35,'G-7 WaterC'' Data'!$B$4:$B$8,0),MATCH(T35,'G-7 WaterC'' Data'!$H$3:$L$3,0)),"")</f>
        <v/>
      </c>
      <c r="V35" s="114"/>
      <c r="W35" s="370" t="str">
        <f>IF(V35="","",IF(VLOOKUP(V35,'G-7 WaterC'' Data'!$AK$4:$AM$6,2,FALSE)=0,"Spatial Data Missing ⚠",VLOOKUP(V35,'G-7 WaterC'' Data'!$AK$4:$AM$6,2,FALSE)))</f>
        <v/>
      </c>
      <c r="X35" s="363" t="str">
        <f>IF(V35="","",IF(VLOOKUP(V35,'G-7 WaterC'' Data'!$AK$4:$AM$6,3,FALSE)=0,"Spatial Data Missing ⚠",VLOOKUP(V35,'G-7 WaterC'' Data'!$AK$4:$AM$6,3,FALSE)))</f>
        <v/>
      </c>
      <c r="Y35" s="362" t="str">
        <f>IFERROR(IF(OR(LEFT(P35,5)="Error",LEFT(O35,5)="Error ▲"),"Check Data ⚠",IF(F35&lt;S35,'G-7 WaterC'' Data'!$R$3,INDEX('G-7 WaterC'' Data'!$U$5:$Y$9,MATCH(G35,'G-7 WaterC'' Data'!$T$5:$T$9,0),MATCH(T35,'G-7 WaterC'' Data'!$U$4:$Y$4,0)))),"")</f>
        <v/>
      </c>
      <c r="Z35" s="159"/>
      <c r="AA35" s="159"/>
      <c r="AB35" s="370" t="str">
        <f t="shared" si="3"/>
        <v/>
      </c>
      <c r="AC35" s="383" t="str">
        <f t="shared" si="4"/>
        <v/>
      </c>
      <c r="AD35" s="422" t="str">
        <f>IFERROR(IF(AC35="Check Data ⚠","Check Data ⚠",VLOOKUP(AC35,'G-4 Temporal multipliers'!$A$4:$C$37,3,FALSE)),"")</f>
        <v/>
      </c>
      <c r="AE35" s="362" t="str">
        <f>IF(N35="","",VLOOKUP(N35,'G-7 WaterC'' Data'!$B$4:$G$8,5,FALSE))</f>
        <v/>
      </c>
      <c r="AF35" s="370" t="str">
        <f t="shared" si="5"/>
        <v/>
      </c>
      <c r="AG35" s="401" t="str">
        <f t="shared" si="6"/>
        <v/>
      </c>
      <c r="AH35" s="363" t="str">
        <f t="shared" si="1"/>
        <v/>
      </c>
      <c r="AI35" s="122"/>
      <c r="AJ35" s="363" t="str">
        <f>IF(AI35="","",IF(VLOOKUP(AI35,'G-7 WaterC'' Data'!$AA$4:$AB$7,2,FALSE)=0,"Spatial Data Missing ⚠",VLOOKUP(AI35,'G-7 WaterC'' Data'!$AA$4:$AB$7,2,FALSE)))</f>
        <v/>
      </c>
      <c r="AK35" s="123"/>
      <c r="AL35" s="363" t="str">
        <f>IF(AK35="","",IF(VLOOKUP(AK35,'G-7 WaterC'' Data'!$AD$4:$AE$14,2,FALSE)=0,"Spatial Data Missing ⚠",VLOOKUP(AK35,'G-7 WaterC'' Data'!$AD$4:$AE$14,2,FALSE)))</f>
        <v/>
      </c>
      <c r="AM35" s="405" t="str">
        <f t="shared" si="7"/>
        <v/>
      </c>
      <c r="AN35" s="117"/>
      <c r="AO35" s="118"/>
      <c r="AP35" s="120"/>
      <c r="AV35" s="30" t="str">
        <f>IFERROR(INDEX('G-7 WaterC'' Data'!$AZ$3:$AZ$7,MATCH(N35,'G-7 WaterC'' Data'!$AY$3:$AY$7,0)),"")</f>
        <v/>
      </c>
    </row>
    <row r="36" spans="2:48" ht="15">
      <c r="B36" s="392" t="str">
        <f>'C-1 On-Site WaterC'' Baseline'!AO34</f>
        <v/>
      </c>
      <c r="C36" s="382" t="str">
        <f>IF(B36="","",VLOOKUP($B36,'C-1 On-Site WaterC'' Baseline'!$C$9:$R$257,2,FALSE))</f>
        <v/>
      </c>
      <c r="D36" s="382" t="str">
        <f>IF(C36="","",VLOOKUP($B36,'C-1 On-Site WaterC'' Baseline'!$C$9:$R$257,3,FALSE))</f>
        <v/>
      </c>
      <c r="E36" s="382" t="str">
        <f>IF(D36="","",VLOOKUP($B36,'C-1 On-Site WaterC'' Baseline'!$C$9:$R$257,4,FALSE))</f>
        <v/>
      </c>
      <c r="F36" s="382" t="str">
        <f>IF(E36="","",VLOOKUP($B36,'C-1 On-Site WaterC'' Baseline'!$C$9:$R$257,5,FALSE))</f>
        <v/>
      </c>
      <c r="G36" s="382" t="str">
        <f>IF(F36="","",VLOOKUP($B36,'C-1 On-Site WaterC'' Baseline'!$C$9:$R$257,6,FALSE))</f>
        <v/>
      </c>
      <c r="H36" s="382" t="str">
        <f>IF(G36="","",VLOOKUP($B36,'C-1 On-Site WaterC'' Baseline'!$C$9:$R$257,7,FALSE))</f>
        <v/>
      </c>
      <c r="I36" s="382" t="str">
        <f>IF(H36="","",VLOOKUP($B36,'C-1 On-Site WaterC'' Baseline'!$C$9:$R$257,8,FALSE))</f>
        <v/>
      </c>
      <c r="J36" s="382" t="str">
        <f>IF(I36="","",VLOOKUP($B36,'C-1 On-Site WaterC'' Baseline'!$C$9:$R$257,9,FALSE))</f>
        <v/>
      </c>
      <c r="K36" s="382" t="str">
        <f>IF(J36="","",VLOOKUP($B36,'C-1 On-Site WaterC'' Baseline'!$C$9:$R$257,10,FALSE))</f>
        <v/>
      </c>
      <c r="L36" s="382" t="str">
        <f>IF(B36="","",VLOOKUP($B36,'C-1 On-Site WaterC'' Baseline'!$C$9:$R$257,15,FALSE))</f>
        <v/>
      </c>
      <c r="M36" s="386" t="str">
        <f>IF(L36="","",VLOOKUP($B36,'C-1 On-Site WaterC'' Baseline'!$C$9:$R$257,16,FALSE))</f>
        <v/>
      </c>
      <c r="N36" s="320" t="str">
        <f t="shared" si="0"/>
        <v/>
      </c>
      <c r="O36" s="362" t="str">
        <f t="shared" si="2"/>
        <v/>
      </c>
      <c r="P36" s="363" t="str">
        <f>IF(C36="","",IF(AND(LEFT(C36,55)&lt;&gt;LEFT(N36,55),O36="High - High"),"Error - Not like for like ▲",IF(H36&gt;U36,"Error - Can not reduce condition ▲",IF(AND(F36=S36,H36=U36,AJ36='C-1 On-Site WaterC'' Baseline'!N34,'C-1 On-Site WaterC'' Baseline'!P34=AL36),"Error - No enhancement ▲",IF(AND(C36&lt;&gt;N36,F36&lt;S36),"Lower Distinctiveness Habitat"&amp;" - "&amp;T36,G36&amp;" - "&amp;T36)))))</f>
        <v/>
      </c>
      <c r="Q36" s="425" t="str">
        <f>IF(N36="","",VLOOKUP(B36,'C-1 On-Site WaterC'' Baseline'!$C$10:$AB$257,19,FALSE))</f>
        <v/>
      </c>
      <c r="R36" s="362" t="str">
        <f>IF(N36="","",VLOOKUP(N36,'G-7 WaterC'' Data'!$B$2:$G$8,2,FALSE))</f>
        <v/>
      </c>
      <c r="S36" s="363" t="str">
        <f>IFERROR(VLOOKUP(R36,'G-7 WaterC'' Data'!$C$4:$D$8,2,FALSE),"")</f>
        <v/>
      </c>
      <c r="T36" s="114"/>
      <c r="U36" s="363" t="str">
        <f>IFERROR(INDEX('G-7 WaterC'' Data'!$H$4:$L$8,MATCH(N36,'G-7 WaterC'' Data'!$B$4:$B$8,0),MATCH(T36,'G-7 WaterC'' Data'!$H$3:$L$3,0)),"")</f>
        <v/>
      </c>
      <c r="V36" s="114"/>
      <c r="W36" s="370" t="str">
        <f>IF(V36="","",IF(VLOOKUP(V36,'G-7 WaterC'' Data'!$AK$4:$AM$6,2,FALSE)=0,"Spatial Data Missing ⚠",VLOOKUP(V36,'G-7 WaterC'' Data'!$AK$4:$AM$6,2,FALSE)))</f>
        <v/>
      </c>
      <c r="X36" s="363" t="str">
        <f>IF(V36="","",IF(VLOOKUP(V36,'G-7 WaterC'' Data'!$AK$4:$AM$6,3,FALSE)=0,"Spatial Data Missing ⚠",VLOOKUP(V36,'G-7 WaterC'' Data'!$AK$4:$AM$6,3,FALSE)))</f>
        <v/>
      </c>
      <c r="Y36" s="362" t="str">
        <f>IFERROR(IF(OR(LEFT(P36,5)="Error",LEFT(O36,5)="Error ▲"),"Check Data ⚠",IF(F36&lt;S36,'G-7 WaterC'' Data'!$R$3,INDEX('G-7 WaterC'' Data'!$U$5:$Y$9,MATCH(G36,'G-7 WaterC'' Data'!$T$5:$T$9,0),MATCH(T36,'G-7 WaterC'' Data'!$U$4:$Y$4,0)))),"")</f>
        <v/>
      </c>
      <c r="Z36" s="159"/>
      <c r="AA36" s="159"/>
      <c r="AB36" s="370" t="str">
        <f t="shared" si="3"/>
        <v/>
      </c>
      <c r="AC36" s="383" t="str">
        <f t="shared" si="4"/>
        <v/>
      </c>
      <c r="AD36" s="422" t="str">
        <f>IFERROR(IF(AC36="Check Data ⚠","Check Data ⚠",VLOOKUP(AC36,'G-4 Temporal multipliers'!$A$4:$C$37,3,FALSE)),"")</f>
        <v/>
      </c>
      <c r="AE36" s="362" t="str">
        <f>IF(N36="","",VLOOKUP(N36,'G-7 WaterC'' Data'!$B$4:$G$8,5,FALSE))</f>
        <v/>
      </c>
      <c r="AF36" s="370" t="str">
        <f t="shared" si="5"/>
        <v/>
      </c>
      <c r="AG36" s="401" t="str">
        <f t="shared" si="6"/>
        <v/>
      </c>
      <c r="AH36" s="363" t="str">
        <f t="shared" si="1"/>
        <v/>
      </c>
      <c r="AI36" s="122"/>
      <c r="AJ36" s="363" t="str">
        <f>IF(AI36="","",IF(VLOOKUP(AI36,'G-7 WaterC'' Data'!$AA$4:$AB$7,2,FALSE)=0,"Spatial Data Missing ⚠",VLOOKUP(AI36,'G-7 WaterC'' Data'!$AA$4:$AB$7,2,FALSE)))</f>
        <v/>
      </c>
      <c r="AK36" s="123"/>
      <c r="AL36" s="363" t="str">
        <f>IF(AK36="","",IF(VLOOKUP(AK36,'G-7 WaterC'' Data'!$AD$4:$AE$14,2,FALSE)=0,"Spatial Data Missing ⚠",VLOOKUP(AK36,'G-7 WaterC'' Data'!$AD$4:$AE$14,2,FALSE)))</f>
        <v/>
      </c>
      <c r="AM36" s="405" t="str">
        <f t="shared" si="7"/>
        <v/>
      </c>
      <c r="AN36" s="117"/>
      <c r="AO36" s="118"/>
      <c r="AP36" s="120"/>
      <c r="AV36" s="30" t="str">
        <f>IFERROR(INDEX('G-7 WaterC'' Data'!$AZ$3:$AZ$7,MATCH(N36,'G-7 WaterC'' Data'!$AY$3:$AY$7,0)),"")</f>
        <v/>
      </c>
    </row>
    <row r="37" spans="2:48" ht="15">
      <c r="B37" s="392" t="str">
        <f>'C-1 On-Site WaterC'' Baseline'!AO35</f>
        <v/>
      </c>
      <c r="C37" s="382" t="str">
        <f>IF(B37="","",VLOOKUP($B37,'C-1 On-Site WaterC'' Baseline'!$C$9:$R$257,2,FALSE))</f>
        <v/>
      </c>
      <c r="D37" s="382" t="str">
        <f>IF(C37="","",VLOOKUP($B37,'C-1 On-Site WaterC'' Baseline'!$C$9:$R$257,3,FALSE))</f>
        <v/>
      </c>
      <c r="E37" s="382" t="str">
        <f>IF(D37="","",VLOOKUP($B37,'C-1 On-Site WaterC'' Baseline'!$C$9:$R$257,4,FALSE))</f>
        <v/>
      </c>
      <c r="F37" s="382" t="str">
        <f>IF(E37="","",VLOOKUP($B37,'C-1 On-Site WaterC'' Baseline'!$C$9:$R$257,5,FALSE))</f>
        <v/>
      </c>
      <c r="G37" s="382" t="str">
        <f>IF(F37="","",VLOOKUP($B37,'C-1 On-Site WaterC'' Baseline'!$C$9:$R$257,6,FALSE))</f>
        <v/>
      </c>
      <c r="H37" s="382" t="str">
        <f>IF(G37="","",VLOOKUP($B37,'C-1 On-Site WaterC'' Baseline'!$C$9:$R$257,7,FALSE))</f>
        <v/>
      </c>
      <c r="I37" s="382" t="str">
        <f>IF(H37="","",VLOOKUP($B37,'C-1 On-Site WaterC'' Baseline'!$C$9:$R$257,8,FALSE))</f>
        <v/>
      </c>
      <c r="J37" s="382" t="str">
        <f>IF(I37="","",VLOOKUP($B37,'C-1 On-Site WaterC'' Baseline'!$C$9:$R$257,9,FALSE))</f>
        <v/>
      </c>
      <c r="K37" s="382" t="str">
        <f>IF(J37="","",VLOOKUP($B37,'C-1 On-Site WaterC'' Baseline'!$C$9:$R$257,10,FALSE))</f>
        <v/>
      </c>
      <c r="L37" s="382" t="str">
        <f>IF(B37="","",VLOOKUP($B37,'C-1 On-Site WaterC'' Baseline'!$C$9:$R$257,15,FALSE))</f>
        <v/>
      </c>
      <c r="M37" s="386" t="str">
        <f>IF(L37="","",VLOOKUP($B37,'C-1 On-Site WaterC'' Baseline'!$C$9:$R$257,16,FALSE))</f>
        <v/>
      </c>
      <c r="N37" s="320" t="str">
        <f t="shared" si="0"/>
        <v/>
      </c>
      <c r="O37" s="362" t="str">
        <f t="shared" si="2"/>
        <v/>
      </c>
      <c r="P37" s="363" t="str">
        <f>IF(C37="","",IF(AND(LEFT(C37,55)&lt;&gt;LEFT(N37,55),O37="High - High"),"Error - Not like for like ▲",IF(H37&gt;U37,"Error - Can not reduce condition ▲",IF(AND(F37=S37,H37=U37,AJ37='C-1 On-Site WaterC'' Baseline'!N35,'C-1 On-Site WaterC'' Baseline'!P35=AL37),"Error - No enhancement ▲",IF(AND(C37&lt;&gt;N37,F37&lt;S37),"Lower Distinctiveness Habitat"&amp;" - "&amp;T37,G37&amp;" - "&amp;T37)))))</f>
        <v/>
      </c>
      <c r="Q37" s="425" t="str">
        <f>IF(N37="","",VLOOKUP(B37,'C-1 On-Site WaterC'' Baseline'!$C$10:$AB$257,19,FALSE))</f>
        <v/>
      </c>
      <c r="R37" s="362" t="str">
        <f>IF(N37="","",VLOOKUP(N37,'G-7 WaterC'' Data'!$B$2:$G$8,2,FALSE))</f>
        <v/>
      </c>
      <c r="S37" s="363" t="str">
        <f>IFERROR(VLOOKUP(R37,'G-7 WaterC'' Data'!$C$4:$D$8,2,FALSE),"")</f>
        <v/>
      </c>
      <c r="T37" s="114"/>
      <c r="U37" s="363" t="str">
        <f>IFERROR(INDEX('G-7 WaterC'' Data'!$H$4:$L$8,MATCH(N37,'G-7 WaterC'' Data'!$B$4:$B$8,0),MATCH(T37,'G-7 WaterC'' Data'!$H$3:$L$3,0)),"")</f>
        <v/>
      </c>
      <c r="V37" s="114"/>
      <c r="W37" s="370" t="str">
        <f>IF(V37="","",IF(VLOOKUP(V37,'G-7 WaterC'' Data'!$AK$4:$AM$6,2,FALSE)=0,"Spatial Data Missing ⚠",VLOOKUP(V37,'G-7 WaterC'' Data'!$AK$4:$AM$6,2,FALSE)))</f>
        <v/>
      </c>
      <c r="X37" s="363" t="str">
        <f>IF(V37="","",IF(VLOOKUP(V37,'G-7 WaterC'' Data'!$AK$4:$AM$6,3,FALSE)=0,"Spatial Data Missing ⚠",VLOOKUP(V37,'G-7 WaterC'' Data'!$AK$4:$AM$6,3,FALSE)))</f>
        <v/>
      </c>
      <c r="Y37" s="362" t="str">
        <f>IFERROR(IF(OR(LEFT(P37,5)="Error",LEFT(O37,5)="Error ▲"),"Check Data ⚠",IF(F37&lt;S37,'G-7 WaterC'' Data'!$R$3,INDEX('G-7 WaterC'' Data'!$U$5:$Y$9,MATCH(G37,'G-7 WaterC'' Data'!$T$5:$T$9,0),MATCH(T37,'G-7 WaterC'' Data'!$U$4:$Y$4,0)))),"")</f>
        <v/>
      </c>
      <c r="Z37" s="159"/>
      <c r="AA37" s="159"/>
      <c r="AB37" s="370" t="str">
        <f t="shared" si="3"/>
        <v/>
      </c>
      <c r="AC37" s="383" t="str">
        <f t="shared" si="4"/>
        <v/>
      </c>
      <c r="AD37" s="422" t="str">
        <f>IFERROR(IF(AC37="Check Data ⚠","Check Data ⚠",VLOOKUP(AC37,'G-4 Temporal multipliers'!$A$4:$C$37,3,FALSE)),"")</f>
        <v/>
      </c>
      <c r="AE37" s="362" t="str">
        <f>IF(N37="","",VLOOKUP(N37,'G-7 WaterC'' Data'!$B$4:$G$8,5,FALSE))</f>
        <v/>
      </c>
      <c r="AF37" s="370" t="str">
        <f t="shared" si="5"/>
        <v/>
      </c>
      <c r="AG37" s="401" t="str">
        <f t="shared" si="6"/>
        <v/>
      </c>
      <c r="AH37" s="363" t="str">
        <f t="shared" si="1"/>
        <v/>
      </c>
      <c r="AI37" s="122"/>
      <c r="AJ37" s="363" t="str">
        <f>IF(AI37="","",IF(VLOOKUP(AI37,'G-7 WaterC'' Data'!$AA$4:$AB$7,2,FALSE)=0,"Spatial Data Missing ⚠",VLOOKUP(AI37,'G-7 WaterC'' Data'!$AA$4:$AB$7,2,FALSE)))</f>
        <v/>
      </c>
      <c r="AK37" s="123"/>
      <c r="AL37" s="363" t="str">
        <f>IF(AK37="","",IF(VLOOKUP(AK37,'G-7 WaterC'' Data'!$AD$4:$AE$14,2,FALSE)=0,"Spatial Data Missing ⚠",VLOOKUP(AK37,'G-7 WaterC'' Data'!$AD$4:$AE$14,2,FALSE)))</f>
        <v/>
      </c>
      <c r="AM37" s="405" t="str">
        <f t="shared" si="7"/>
        <v/>
      </c>
      <c r="AN37" s="117"/>
      <c r="AO37" s="118"/>
      <c r="AP37" s="120"/>
      <c r="AV37" s="30" t="str">
        <f>IFERROR(INDEX('G-7 WaterC'' Data'!$AZ$3:$AZ$7,MATCH(N37,'G-7 WaterC'' Data'!$AY$3:$AY$7,0)),"")</f>
        <v/>
      </c>
    </row>
    <row r="38" spans="2:48" ht="15">
      <c r="B38" s="392" t="str">
        <f>'C-1 On-Site WaterC'' Baseline'!AO36</f>
        <v/>
      </c>
      <c r="C38" s="382" t="str">
        <f>IF(B38="","",VLOOKUP($B38,'C-1 On-Site WaterC'' Baseline'!$C$9:$R$257,2,FALSE))</f>
        <v/>
      </c>
      <c r="D38" s="382" t="str">
        <f>IF(C38="","",VLOOKUP($B38,'C-1 On-Site WaterC'' Baseline'!$C$9:$R$257,3,FALSE))</f>
        <v/>
      </c>
      <c r="E38" s="382" t="str">
        <f>IF(D38="","",VLOOKUP($B38,'C-1 On-Site WaterC'' Baseline'!$C$9:$R$257,4,FALSE))</f>
        <v/>
      </c>
      <c r="F38" s="382" t="str">
        <f>IF(E38="","",VLOOKUP($B38,'C-1 On-Site WaterC'' Baseline'!$C$9:$R$257,5,FALSE))</f>
        <v/>
      </c>
      <c r="G38" s="382" t="str">
        <f>IF(F38="","",VLOOKUP($B38,'C-1 On-Site WaterC'' Baseline'!$C$9:$R$257,6,FALSE))</f>
        <v/>
      </c>
      <c r="H38" s="382" t="str">
        <f>IF(G38="","",VLOOKUP($B38,'C-1 On-Site WaterC'' Baseline'!$C$9:$R$257,7,FALSE))</f>
        <v/>
      </c>
      <c r="I38" s="382" t="str">
        <f>IF(H38="","",VLOOKUP($B38,'C-1 On-Site WaterC'' Baseline'!$C$9:$R$257,8,FALSE))</f>
        <v/>
      </c>
      <c r="J38" s="382" t="str">
        <f>IF(I38="","",VLOOKUP($B38,'C-1 On-Site WaterC'' Baseline'!$C$9:$R$257,9,FALSE))</f>
        <v/>
      </c>
      <c r="K38" s="382" t="str">
        <f>IF(J38="","",VLOOKUP($B38,'C-1 On-Site WaterC'' Baseline'!$C$9:$R$257,10,FALSE))</f>
        <v/>
      </c>
      <c r="L38" s="382" t="str">
        <f>IF(B38="","",VLOOKUP($B38,'C-1 On-Site WaterC'' Baseline'!$C$9:$R$257,15,FALSE))</f>
        <v/>
      </c>
      <c r="M38" s="386" t="str">
        <f>IF(L38="","",VLOOKUP($B38,'C-1 On-Site WaterC'' Baseline'!$C$9:$R$257,16,FALSE))</f>
        <v/>
      </c>
      <c r="N38" s="320" t="str">
        <f t="shared" si="0"/>
        <v/>
      </c>
      <c r="O38" s="362" t="str">
        <f t="shared" si="2"/>
        <v/>
      </c>
      <c r="P38" s="363" t="str">
        <f>IF(C38="","",IF(AND(LEFT(C38,55)&lt;&gt;LEFT(N38,55),O38="High - High"),"Error - Not like for like ▲",IF(H38&gt;U38,"Error - Can not reduce condition ▲",IF(AND(F38=S38,H38=U38,AJ38='C-1 On-Site WaterC'' Baseline'!N36,'C-1 On-Site WaterC'' Baseline'!P36=AL38),"Error - No enhancement ▲",IF(AND(C38&lt;&gt;N38,F38&lt;S38),"Lower Distinctiveness Habitat"&amp;" - "&amp;T38,G38&amp;" - "&amp;T38)))))</f>
        <v/>
      </c>
      <c r="Q38" s="425" t="str">
        <f>IF(N38="","",VLOOKUP(B38,'C-1 On-Site WaterC'' Baseline'!$C$10:$AB$257,19,FALSE))</f>
        <v/>
      </c>
      <c r="R38" s="362" t="str">
        <f>IF(N38="","",VLOOKUP(N38,'G-7 WaterC'' Data'!$B$2:$G$8,2,FALSE))</f>
        <v/>
      </c>
      <c r="S38" s="363" t="str">
        <f>IFERROR(VLOOKUP(R38,'G-7 WaterC'' Data'!$C$4:$D$8,2,FALSE),"")</f>
        <v/>
      </c>
      <c r="T38" s="114"/>
      <c r="U38" s="363" t="str">
        <f>IFERROR(INDEX('G-7 WaterC'' Data'!$H$4:$L$8,MATCH(N38,'G-7 WaterC'' Data'!$B$4:$B$8,0),MATCH(T38,'G-7 WaterC'' Data'!$H$3:$L$3,0)),"")</f>
        <v/>
      </c>
      <c r="V38" s="114"/>
      <c r="W38" s="370" t="str">
        <f>IF(V38="","",IF(VLOOKUP(V38,'G-7 WaterC'' Data'!$AK$4:$AM$6,2,FALSE)=0,"Spatial Data Missing ⚠",VLOOKUP(V38,'G-7 WaterC'' Data'!$AK$4:$AM$6,2,FALSE)))</f>
        <v/>
      </c>
      <c r="X38" s="363" t="str">
        <f>IF(V38="","",IF(VLOOKUP(V38,'G-7 WaterC'' Data'!$AK$4:$AM$6,3,FALSE)=0,"Spatial Data Missing ⚠",VLOOKUP(V38,'G-7 WaterC'' Data'!$AK$4:$AM$6,3,FALSE)))</f>
        <v/>
      </c>
      <c r="Y38" s="362" t="str">
        <f>IFERROR(IF(OR(LEFT(P38,5)="Error",LEFT(O38,5)="Error ▲"),"Check Data ⚠",IF(F38&lt;S38,'G-7 WaterC'' Data'!$R$3,INDEX('G-7 WaterC'' Data'!$U$5:$Y$9,MATCH(G38,'G-7 WaterC'' Data'!$T$5:$T$9,0),MATCH(T38,'G-7 WaterC'' Data'!$U$4:$Y$4,0)))),"")</f>
        <v/>
      </c>
      <c r="Z38" s="159"/>
      <c r="AA38" s="159"/>
      <c r="AB38" s="370" t="str">
        <f t="shared" si="3"/>
        <v/>
      </c>
      <c r="AC38" s="383" t="str">
        <f t="shared" si="4"/>
        <v/>
      </c>
      <c r="AD38" s="422" t="str">
        <f>IFERROR(IF(AC38="Check Data ⚠","Check Data ⚠",VLOOKUP(AC38,'G-4 Temporal multipliers'!$A$4:$C$37,3,FALSE)),"")</f>
        <v/>
      </c>
      <c r="AE38" s="362" t="str">
        <f>IF(N38="","",VLOOKUP(N38,'G-7 WaterC'' Data'!$B$4:$G$8,5,FALSE))</f>
        <v/>
      </c>
      <c r="AF38" s="370" t="str">
        <f t="shared" si="5"/>
        <v/>
      </c>
      <c r="AG38" s="401" t="str">
        <f t="shared" si="6"/>
        <v/>
      </c>
      <c r="AH38" s="363" t="str">
        <f t="shared" si="1"/>
        <v/>
      </c>
      <c r="AI38" s="122"/>
      <c r="AJ38" s="363" t="str">
        <f>IF(AI38="","",IF(VLOOKUP(AI38,'G-7 WaterC'' Data'!$AA$4:$AB$7,2,FALSE)=0,"Spatial Data Missing ⚠",VLOOKUP(AI38,'G-7 WaterC'' Data'!$AA$4:$AB$7,2,FALSE)))</f>
        <v/>
      </c>
      <c r="AK38" s="123"/>
      <c r="AL38" s="363" t="str">
        <f>IF(AK38="","",IF(VLOOKUP(AK38,'G-7 WaterC'' Data'!$AD$4:$AE$14,2,FALSE)=0,"Spatial Data Missing ⚠",VLOOKUP(AK38,'G-7 WaterC'' Data'!$AD$4:$AE$14,2,FALSE)))</f>
        <v/>
      </c>
      <c r="AM38" s="405" t="str">
        <f t="shared" si="7"/>
        <v/>
      </c>
      <c r="AN38" s="117"/>
      <c r="AO38" s="118"/>
      <c r="AP38" s="120"/>
      <c r="AV38" s="30" t="str">
        <f>IFERROR(INDEX('G-7 WaterC'' Data'!$AZ$3:$AZ$7,MATCH(N38,'G-7 WaterC'' Data'!$AY$3:$AY$7,0)),"")</f>
        <v/>
      </c>
    </row>
    <row r="39" spans="2:48" ht="15">
      <c r="B39" s="392" t="str">
        <f>'C-1 On-Site WaterC'' Baseline'!AO37</f>
        <v/>
      </c>
      <c r="C39" s="382" t="str">
        <f>IF(B39="","",VLOOKUP($B39,'C-1 On-Site WaterC'' Baseline'!$C$9:$R$257,2,FALSE))</f>
        <v/>
      </c>
      <c r="D39" s="382" t="str">
        <f>IF(C39="","",VLOOKUP($B39,'C-1 On-Site WaterC'' Baseline'!$C$9:$R$257,3,FALSE))</f>
        <v/>
      </c>
      <c r="E39" s="382" t="str">
        <f>IF(D39="","",VLOOKUP($B39,'C-1 On-Site WaterC'' Baseline'!$C$9:$R$257,4,FALSE))</f>
        <v/>
      </c>
      <c r="F39" s="382" t="str">
        <f>IF(E39="","",VLOOKUP($B39,'C-1 On-Site WaterC'' Baseline'!$C$9:$R$257,5,FALSE))</f>
        <v/>
      </c>
      <c r="G39" s="382" t="str">
        <f>IF(F39="","",VLOOKUP($B39,'C-1 On-Site WaterC'' Baseline'!$C$9:$R$257,6,FALSE))</f>
        <v/>
      </c>
      <c r="H39" s="382" t="str">
        <f>IF(G39="","",VLOOKUP($B39,'C-1 On-Site WaterC'' Baseline'!$C$9:$R$257,7,FALSE))</f>
        <v/>
      </c>
      <c r="I39" s="382" t="str">
        <f>IF(H39="","",VLOOKUP($B39,'C-1 On-Site WaterC'' Baseline'!$C$9:$R$257,8,FALSE))</f>
        <v/>
      </c>
      <c r="J39" s="382" t="str">
        <f>IF(I39="","",VLOOKUP($B39,'C-1 On-Site WaterC'' Baseline'!$C$9:$R$257,9,FALSE))</f>
        <v/>
      </c>
      <c r="K39" s="382" t="str">
        <f>IF(J39="","",VLOOKUP($B39,'C-1 On-Site WaterC'' Baseline'!$C$9:$R$257,10,FALSE))</f>
        <v/>
      </c>
      <c r="L39" s="382" t="str">
        <f>IF(B39="","",VLOOKUP($B39,'C-1 On-Site WaterC'' Baseline'!$C$9:$R$257,15,FALSE))</f>
        <v/>
      </c>
      <c r="M39" s="386" t="str">
        <f>IF(L39="","",VLOOKUP($B39,'C-1 On-Site WaterC'' Baseline'!$C$9:$R$257,16,FALSE))</f>
        <v/>
      </c>
      <c r="N39" s="320" t="str">
        <f t="shared" si="0"/>
        <v/>
      </c>
      <c r="O39" s="362" t="str">
        <f t="shared" si="2"/>
        <v/>
      </c>
      <c r="P39" s="363" t="str">
        <f>IF(C39="","",IF(AND(LEFT(C39,55)&lt;&gt;LEFT(N39,55),O39="High - High"),"Error - Not like for like ▲",IF(H39&gt;U39,"Error - Can not reduce condition ▲",IF(AND(F39=S39,H39=U39,AJ39='C-1 On-Site WaterC'' Baseline'!N37,'C-1 On-Site WaterC'' Baseline'!P37=AL39),"Error - No enhancement ▲",IF(AND(C39&lt;&gt;N39,F39&lt;S39),"Lower Distinctiveness Habitat"&amp;" - "&amp;T39,G39&amp;" - "&amp;T39)))))</f>
        <v/>
      </c>
      <c r="Q39" s="425" t="str">
        <f>IF(N39="","",VLOOKUP(B39,'C-1 On-Site WaterC'' Baseline'!$C$10:$AB$257,19,FALSE))</f>
        <v/>
      </c>
      <c r="R39" s="362" t="str">
        <f>IF(N39="","",VLOOKUP(N39,'G-7 WaterC'' Data'!$B$2:$G$8,2,FALSE))</f>
        <v/>
      </c>
      <c r="S39" s="363" t="str">
        <f>IFERROR(VLOOKUP(R39,'G-7 WaterC'' Data'!$C$4:$D$8,2,FALSE),"")</f>
        <v/>
      </c>
      <c r="T39" s="114"/>
      <c r="U39" s="363" t="str">
        <f>IFERROR(INDEX('G-7 WaterC'' Data'!$H$4:$L$8,MATCH(N39,'G-7 WaterC'' Data'!$B$4:$B$8,0),MATCH(T39,'G-7 WaterC'' Data'!$H$3:$L$3,0)),"")</f>
        <v/>
      </c>
      <c r="V39" s="114"/>
      <c r="W39" s="370" t="str">
        <f>IF(V39="","",IF(VLOOKUP(V39,'G-7 WaterC'' Data'!$AK$4:$AM$6,2,FALSE)=0,"Spatial Data Missing ⚠",VLOOKUP(V39,'G-7 WaterC'' Data'!$AK$4:$AM$6,2,FALSE)))</f>
        <v/>
      </c>
      <c r="X39" s="363" t="str">
        <f>IF(V39="","",IF(VLOOKUP(V39,'G-7 WaterC'' Data'!$AK$4:$AM$6,3,FALSE)=0,"Spatial Data Missing ⚠",VLOOKUP(V39,'G-7 WaterC'' Data'!$AK$4:$AM$6,3,FALSE)))</f>
        <v/>
      </c>
      <c r="Y39" s="362" t="str">
        <f>IFERROR(IF(OR(LEFT(P39,5)="Error",LEFT(O39,5)="Error ▲"),"Check Data ⚠",IF(F39&lt;S39,'G-7 WaterC'' Data'!$R$3,INDEX('G-7 WaterC'' Data'!$U$5:$Y$9,MATCH(G39,'G-7 WaterC'' Data'!$T$5:$T$9,0),MATCH(T39,'G-7 WaterC'' Data'!$U$4:$Y$4,0)))),"")</f>
        <v/>
      </c>
      <c r="Z39" s="159"/>
      <c r="AA39" s="159"/>
      <c r="AB39" s="370" t="str">
        <f t="shared" si="3"/>
        <v/>
      </c>
      <c r="AC39" s="383" t="str">
        <f t="shared" si="4"/>
        <v/>
      </c>
      <c r="AD39" s="422" t="str">
        <f>IFERROR(IF(AC39="Check Data ⚠","Check Data ⚠",VLOOKUP(AC39,'G-4 Temporal multipliers'!$A$4:$C$37,3,FALSE)),"")</f>
        <v/>
      </c>
      <c r="AE39" s="362" t="str">
        <f>IF(N39="","",VLOOKUP(N39,'G-7 WaterC'' Data'!$B$4:$G$8,5,FALSE))</f>
        <v/>
      </c>
      <c r="AF39" s="370" t="str">
        <f t="shared" si="5"/>
        <v/>
      </c>
      <c r="AG39" s="401" t="str">
        <f t="shared" si="6"/>
        <v/>
      </c>
      <c r="AH39" s="363" t="str">
        <f t="shared" si="1"/>
        <v/>
      </c>
      <c r="AI39" s="122"/>
      <c r="AJ39" s="363" t="str">
        <f>IF(AI39="","",IF(VLOOKUP(AI39,'G-7 WaterC'' Data'!$AA$4:$AB$7,2,FALSE)=0,"Spatial Data Missing ⚠",VLOOKUP(AI39,'G-7 WaterC'' Data'!$AA$4:$AB$7,2,FALSE)))</f>
        <v/>
      </c>
      <c r="AK39" s="123"/>
      <c r="AL39" s="363" t="str">
        <f>IF(AK39="","",IF(VLOOKUP(AK39,'G-7 WaterC'' Data'!$AD$4:$AE$14,2,FALSE)=0,"Spatial Data Missing ⚠",VLOOKUP(AK39,'G-7 WaterC'' Data'!$AD$4:$AE$14,2,FALSE)))</f>
        <v/>
      </c>
      <c r="AM39" s="405" t="str">
        <f t="shared" si="7"/>
        <v/>
      </c>
      <c r="AN39" s="117"/>
      <c r="AO39" s="118"/>
      <c r="AP39" s="120"/>
      <c r="AV39" s="30" t="str">
        <f>IFERROR(INDEX('G-7 WaterC'' Data'!$AZ$3:$AZ$7,MATCH(N39,'G-7 WaterC'' Data'!$AY$3:$AY$7,0)),"")</f>
        <v/>
      </c>
    </row>
    <row r="40" spans="2:48" ht="15">
      <c r="B40" s="392" t="str">
        <f>'C-1 On-Site WaterC'' Baseline'!AO38</f>
        <v/>
      </c>
      <c r="C40" s="382" t="str">
        <f>IF(B40="","",VLOOKUP($B40,'C-1 On-Site WaterC'' Baseline'!$C$9:$R$257,2,FALSE))</f>
        <v/>
      </c>
      <c r="D40" s="382" t="str">
        <f>IF(C40="","",VLOOKUP($B40,'C-1 On-Site WaterC'' Baseline'!$C$9:$R$257,3,FALSE))</f>
        <v/>
      </c>
      <c r="E40" s="382" t="str">
        <f>IF(D40="","",VLOOKUP($B40,'C-1 On-Site WaterC'' Baseline'!$C$9:$R$257,4,FALSE))</f>
        <v/>
      </c>
      <c r="F40" s="382" t="str">
        <f>IF(E40="","",VLOOKUP($B40,'C-1 On-Site WaterC'' Baseline'!$C$9:$R$257,5,FALSE))</f>
        <v/>
      </c>
      <c r="G40" s="382" t="str">
        <f>IF(F40="","",VLOOKUP($B40,'C-1 On-Site WaterC'' Baseline'!$C$9:$R$257,6,FALSE))</f>
        <v/>
      </c>
      <c r="H40" s="382" t="str">
        <f>IF(G40="","",VLOOKUP($B40,'C-1 On-Site WaterC'' Baseline'!$C$9:$R$257,7,FALSE))</f>
        <v/>
      </c>
      <c r="I40" s="382" t="str">
        <f>IF(H40="","",VLOOKUP($B40,'C-1 On-Site WaterC'' Baseline'!$C$9:$R$257,8,FALSE))</f>
        <v/>
      </c>
      <c r="J40" s="382" t="str">
        <f>IF(I40="","",VLOOKUP($B40,'C-1 On-Site WaterC'' Baseline'!$C$9:$R$257,9,FALSE))</f>
        <v/>
      </c>
      <c r="K40" s="382" t="str">
        <f>IF(J40="","",VLOOKUP($B40,'C-1 On-Site WaterC'' Baseline'!$C$9:$R$257,10,FALSE))</f>
        <v/>
      </c>
      <c r="L40" s="382" t="str">
        <f>IF(B40="","",VLOOKUP($B40,'C-1 On-Site WaterC'' Baseline'!$C$9:$R$257,15,FALSE))</f>
        <v/>
      </c>
      <c r="M40" s="386" t="str">
        <f>IF(L40="","",VLOOKUP($B40,'C-1 On-Site WaterC'' Baseline'!$C$9:$R$257,16,FALSE))</f>
        <v/>
      </c>
      <c r="N40" s="320" t="str">
        <f t="shared" si="0"/>
        <v/>
      </c>
      <c r="O40" s="362" t="str">
        <f t="shared" si="2"/>
        <v/>
      </c>
      <c r="P40" s="363" t="str">
        <f>IF(C40="","",IF(AND(LEFT(C40,55)&lt;&gt;LEFT(N40,55),O40="High - High"),"Error - Not like for like ▲",IF(H40&gt;U40,"Error - Can not reduce condition ▲",IF(AND(F40=S40,H40=U40,AJ40='C-1 On-Site WaterC'' Baseline'!N38,'C-1 On-Site WaterC'' Baseline'!P38=AL40),"Error - No enhancement ▲",IF(AND(C40&lt;&gt;N40,F40&lt;S40),"Lower Distinctiveness Habitat"&amp;" - "&amp;T40,G40&amp;" - "&amp;T40)))))</f>
        <v/>
      </c>
      <c r="Q40" s="425" t="str">
        <f>IF(N40="","",VLOOKUP(B40,'C-1 On-Site WaterC'' Baseline'!$C$10:$AB$257,19,FALSE))</f>
        <v/>
      </c>
      <c r="R40" s="362" t="str">
        <f>IF(N40="","",VLOOKUP(N40,'G-7 WaterC'' Data'!$B$2:$G$8,2,FALSE))</f>
        <v/>
      </c>
      <c r="S40" s="363" t="str">
        <f>IFERROR(VLOOKUP(R40,'G-7 WaterC'' Data'!$C$4:$D$8,2,FALSE),"")</f>
        <v/>
      </c>
      <c r="T40" s="114"/>
      <c r="U40" s="363" t="str">
        <f>IFERROR(INDEX('G-7 WaterC'' Data'!$H$4:$L$8,MATCH(N40,'G-7 WaterC'' Data'!$B$4:$B$8,0),MATCH(T40,'G-7 WaterC'' Data'!$H$3:$L$3,0)),"")</f>
        <v/>
      </c>
      <c r="V40" s="114"/>
      <c r="W40" s="370" t="str">
        <f>IF(V40="","",IF(VLOOKUP(V40,'G-7 WaterC'' Data'!$AK$4:$AM$6,2,FALSE)=0,"Spatial Data Missing ⚠",VLOOKUP(V40,'G-7 WaterC'' Data'!$AK$4:$AM$6,2,FALSE)))</f>
        <v/>
      </c>
      <c r="X40" s="363" t="str">
        <f>IF(V40="","",IF(VLOOKUP(V40,'G-7 WaterC'' Data'!$AK$4:$AM$6,3,FALSE)=0,"Spatial Data Missing ⚠",VLOOKUP(V40,'G-7 WaterC'' Data'!$AK$4:$AM$6,3,FALSE)))</f>
        <v/>
      </c>
      <c r="Y40" s="362" t="str">
        <f>IFERROR(IF(OR(LEFT(P40,5)="Error",LEFT(O40,5)="Error ▲"),"Check Data ⚠",IF(F40&lt;S40,'G-7 WaterC'' Data'!$R$3,INDEX('G-7 WaterC'' Data'!$U$5:$Y$9,MATCH(G40,'G-7 WaterC'' Data'!$T$5:$T$9,0),MATCH(T40,'G-7 WaterC'' Data'!$U$4:$Y$4,0)))),"")</f>
        <v/>
      </c>
      <c r="Z40" s="159"/>
      <c r="AA40" s="159"/>
      <c r="AB40" s="370" t="str">
        <f t="shared" si="3"/>
        <v/>
      </c>
      <c r="AC40" s="383" t="str">
        <f t="shared" si="4"/>
        <v/>
      </c>
      <c r="AD40" s="422" t="str">
        <f>IFERROR(IF(AC40="Check Data ⚠","Check Data ⚠",VLOOKUP(AC40,'G-4 Temporal multipliers'!$A$4:$C$37,3,FALSE)),"")</f>
        <v/>
      </c>
      <c r="AE40" s="362" t="str">
        <f>IF(N40="","",VLOOKUP(N40,'G-7 WaterC'' Data'!$B$4:$G$8,5,FALSE))</f>
        <v/>
      </c>
      <c r="AF40" s="370" t="str">
        <f t="shared" si="5"/>
        <v/>
      </c>
      <c r="AG40" s="401" t="str">
        <f t="shared" si="6"/>
        <v/>
      </c>
      <c r="AH40" s="363" t="str">
        <f t="shared" si="1"/>
        <v/>
      </c>
      <c r="AI40" s="122"/>
      <c r="AJ40" s="363" t="str">
        <f>IF(AI40="","",IF(VLOOKUP(AI40,'G-7 WaterC'' Data'!$AA$4:$AB$7,2,FALSE)=0,"Spatial Data Missing ⚠",VLOOKUP(AI40,'G-7 WaterC'' Data'!$AA$4:$AB$7,2,FALSE)))</f>
        <v/>
      </c>
      <c r="AK40" s="123"/>
      <c r="AL40" s="363" t="str">
        <f>IF(AK40="","",IF(VLOOKUP(AK40,'G-7 WaterC'' Data'!$AD$4:$AE$14,2,FALSE)=0,"Spatial Data Missing ⚠",VLOOKUP(AK40,'G-7 WaterC'' Data'!$AD$4:$AE$14,2,FALSE)))</f>
        <v/>
      </c>
      <c r="AM40" s="405" t="str">
        <f t="shared" si="7"/>
        <v/>
      </c>
      <c r="AN40" s="117"/>
      <c r="AO40" s="118"/>
      <c r="AP40" s="120"/>
      <c r="AV40" s="30" t="str">
        <f>IFERROR(INDEX('G-7 WaterC'' Data'!$AZ$3:$AZ$7,MATCH(N40,'G-7 WaterC'' Data'!$AY$3:$AY$7,0)),"")</f>
        <v/>
      </c>
    </row>
    <row r="41" spans="2:48" ht="15">
      <c r="B41" s="392" t="str">
        <f>'C-1 On-Site WaterC'' Baseline'!AO39</f>
        <v/>
      </c>
      <c r="C41" s="382" t="str">
        <f>IF(B41="","",VLOOKUP($B41,'C-1 On-Site WaterC'' Baseline'!$C$9:$R$257,2,FALSE))</f>
        <v/>
      </c>
      <c r="D41" s="382" t="str">
        <f>IF(C41="","",VLOOKUP($B41,'C-1 On-Site WaterC'' Baseline'!$C$9:$R$257,3,FALSE))</f>
        <v/>
      </c>
      <c r="E41" s="382" t="str">
        <f>IF(D41="","",VLOOKUP($B41,'C-1 On-Site WaterC'' Baseline'!$C$9:$R$257,4,FALSE))</f>
        <v/>
      </c>
      <c r="F41" s="382" t="str">
        <f>IF(E41="","",VLOOKUP($B41,'C-1 On-Site WaterC'' Baseline'!$C$9:$R$257,5,FALSE))</f>
        <v/>
      </c>
      <c r="G41" s="382" t="str">
        <f>IF(F41="","",VLOOKUP($B41,'C-1 On-Site WaterC'' Baseline'!$C$9:$R$257,6,FALSE))</f>
        <v/>
      </c>
      <c r="H41" s="382" t="str">
        <f>IF(G41="","",VLOOKUP($B41,'C-1 On-Site WaterC'' Baseline'!$C$9:$R$257,7,FALSE))</f>
        <v/>
      </c>
      <c r="I41" s="382" t="str">
        <f>IF(H41="","",VLOOKUP($B41,'C-1 On-Site WaterC'' Baseline'!$C$9:$R$257,8,FALSE))</f>
        <v/>
      </c>
      <c r="J41" s="382" t="str">
        <f>IF(I41="","",VLOOKUP($B41,'C-1 On-Site WaterC'' Baseline'!$C$9:$R$257,9,FALSE))</f>
        <v/>
      </c>
      <c r="K41" s="382" t="str">
        <f>IF(J41="","",VLOOKUP($B41,'C-1 On-Site WaterC'' Baseline'!$C$9:$R$257,10,FALSE))</f>
        <v/>
      </c>
      <c r="L41" s="382" t="str">
        <f>IF(B41="","",VLOOKUP($B41,'C-1 On-Site WaterC'' Baseline'!$C$9:$R$257,15,FALSE))</f>
        <v/>
      </c>
      <c r="M41" s="386" t="str">
        <f>IF(L41="","",VLOOKUP($B41,'C-1 On-Site WaterC'' Baseline'!$C$9:$R$257,16,FALSE))</f>
        <v/>
      </c>
      <c r="N41" s="320" t="str">
        <f t="shared" si="0"/>
        <v/>
      </c>
      <c r="O41" s="362" t="str">
        <f t="shared" si="2"/>
        <v/>
      </c>
      <c r="P41" s="363" t="str">
        <f>IF(C41="","",IF(AND(LEFT(C41,55)&lt;&gt;LEFT(N41,55),O41="High - High"),"Error - Not like for like ▲",IF(H41&gt;U41,"Error - Can not reduce condition ▲",IF(AND(F41=S41,H41=U41,AJ41='C-1 On-Site WaterC'' Baseline'!N39,'C-1 On-Site WaterC'' Baseline'!P39=AL41),"Error - No enhancement ▲",IF(AND(C41&lt;&gt;N41,F41&lt;S41),"Lower Distinctiveness Habitat"&amp;" - "&amp;T41,G41&amp;" - "&amp;T41)))))</f>
        <v/>
      </c>
      <c r="Q41" s="425" t="str">
        <f>IF(N41="","",VLOOKUP(B41,'C-1 On-Site WaterC'' Baseline'!$C$10:$AB$257,19,FALSE))</f>
        <v/>
      </c>
      <c r="R41" s="362" t="str">
        <f>IF(N41="","",VLOOKUP(N41,'G-7 WaterC'' Data'!$B$2:$G$8,2,FALSE))</f>
        <v/>
      </c>
      <c r="S41" s="363" t="str">
        <f>IFERROR(VLOOKUP(R41,'G-7 WaterC'' Data'!$C$4:$D$8,2,FALSE),"")</f>
        <v/>
      </c>
      <c r="T41" s="114"/>
      <c r="U41" s="363" t="str">
        <f>IFERROR(INDEX('G-7 WaterC'' Data'!$H$4:$L$8,MATCH(N41,'G-7 WaterC'' Data'!$B$4:$B$8,0),MATCH(T41,'G-7 WaterC'' Data'!$H$3:$L$3,0)),"")</f>
        <v/>
      </c>
      <c r="V41" s="114"/>
      <c r="W41" s="370" t="str">
        <f>IF(V41="","",IF(VLOOKUP(V41,'G-7 WaterC'' Data'!$AK$4:$AM$6,2,FALSE)=0,"Spatial Data Missing ⚠",VLOOKUP(V41,'G-7 WaterC'' Data'!$AK$4:$AM$6,2,FALSE)))</f>
        <v/>
      </c>
      <c r="X41" s="363" t="str">
        <f>IF(V41="","",IF(VLOOKUP(V41,'G-7 WaterC'' Data'!$AK$4:$AM$6,3,FALSE)=0,"Spatial Data Missing ⚠",VLOOKUP(V41,'G-7 WaterC'' Data'!$AK$4:$AM$6,3,FALSE)))</f>
        <v/>
      </c>
      <c r="Y41" s="362" t="str">
        <f>IFERROR(IF(OR(LEFT(P41,5)="Error",LEFT(O41,5)="Error ▲"),"Check Data ⚠",IF(F41&lt;S41,'G-7 WaterC'' Data'!$R$3,INDEX('G-7 WaterC'' Data'!$U$5:$Y$9,MATCH(G41,'G-7 WaterC'' Data'!$T$5:$T$9,0),MATCH(T41,'G-7 WaterC'' Data'!$U$4:$Y$4,0)))),"")</f>
        <v/>
      </c>
      <c r="Z41" s="159"/>
      <c r="AA41" s="159"/>
      <c r="AB41" s="370" t="str">
        <f t="shared" si="3"/>
        <v/>
      </c>
      <c r="AC41" s="383" t="str">
        <f t="shared" si="4"/>
        <v/>
      </c>
      <c r="AD41" s="422" t="str">
        <f>IFERROR(IF(AC41="Check Data ⚠","Check Data ⚠",VLOOKUP(AC41,'G-4 Temporal multipliers'!$A$4:$C$37,3,FALSE)),"")</f>
        <v/>
      </c>
      <c r="AE41" s="362" t="str">
        <f>IF(N41="","",VLOOKUP(N41,'G-7 WaterC'' Data'!$B$4:$G$8,5,FALSE))</f>
        <v/>
      </c>
      <c r="AF41" s="370" t="str">
        <f t="shared" si="5"/>
        <v/>
      </c>
      <c r="AG41" s="401" t="str">
        <f t="shared" si="6"/>
        <v/>
      </c>
      <c r="AH41" s="363" t="str">
        <f t="shared" si="1"/>
        <v/>
      </c>
      <c r="AI41" s="122"/>
      <c r="AJ41" s="363" t="str">
        <f>IF(AI41="","",IF(VLOOKUP(AI41,'G-7 WaterC'' Data'!$AA$4:$AB$7,2,FALSE)=0,"Spatial Data Missing ⚠",VLOOKUP(AI41,'G-7 WaterC'' Data'!$AA$4:$AB$7,2,FALSE)))</f>
        <v/>
      </c>
      <c r="AK41" s="123"/>
      <c r="AL41" s="363" t="str">
        <f>IF(AK41="","",IF(VLOOKUP(AK41,'G-7 WaterC'' Data'!$AD$4:$AE$14,2,FALSE)=0,"Spatial Data Missing ⚠",VLOOKUP(AK41,'G-7 WaterC'' Data'!$AD$4:$AE$14,2,FALSE)))</f>
        <v/>
      </c>
      <c r="AM41" s="405" t="str">
        <f t="shared" si="7"/>
        <v/>
      </c>
      <c r="AN41" s="117"/>
      <c r="AO41" s="118"/>
      <c r="AP41" s="120"/>
      <c r="AV41" s="30" t="str">
        <f>IFERROR(INDEX('G-7 WaterC'' Data'!$AZ$3:$AZ$7,MATCH(N41,'G-7 WaterC'' Data'!$AY$3:$AY$7,0)),"")</f>
        <v/>
      </c>
    </row>
    <row r="42" spans="2:48" ht="15">
      <c r="B42" s="392" t="str">
        <f>'C-1 On-Site WaterC'' Baseline'!AO40</f>
        <v/>
      </c>
      <c r="C42" s="382" t="str">
        <f>IF(B42="","",VLOOKUP($B42,'C-1 On-Site WaterC'' Baseline'!$C$9:$R$257,2,FALSE))</f>
        <v/>
      </c>
      <c r="D42" s="382" t="str">
        <f>IF(C42="","",VLOOKUP($B42,'C-1 On-Site WaterC'' Baseline'!$C$9:$R$257,3,FALSE))</f>
        <v/>
      </c>
      <c r="E42" s="382" t="str">
        <f>IF(D42="","",VLOOKUP($B42,'C-1 On-Site WaterC'' Baseline'!$C$9:$R$257,4,FALSE))</f>
        <v/>
      </c>
      <c r="F42" s="382" t="str">
        <f>IF(E42="","",VLOOKUP($B42,'C-1 On-Site WaterC'' Baseline'!$C$9:$R$257,5,FALSE))</f>
        <v/>
      </c>
      <c r="G42" s="382" t="str">
        <f>IF(F42="","",VLOOKUP($B42,'C-1 On-Site WaterC'' Baseline'!$C$9:$R$257,6,FALSE))</f>
        <v/>
      </c>
      <c r="H42" s="382" t="str">
        <f>IF(G42="","",VLOOKUP($B42,'C-1 On-Site WaterC'' Baseline'!$C$9:$R$257,7,FALSE))</f>
        <v/>
      </c>
      <c r="I42" s="382" t="str">
        <f>IF(H42="","",VLOOKUP($B42,'C-1 On-Site WaterC'' Baseline'!$C$9:$R$257,8,FALSE))</f>
        <v/>
      </c>
      <c r="J42" s="382" t="str">
        <f>IF(I42="","",VLOOKUP($B42,'C-1 On-Site WaterC'' Baseline'!$C$9:$R$257,9,FALSE))</f>
        <v/>
      </c>
      <c r="K42" s="382" t="str">
        <f>IF(J42="","",VLOOKUP($B42,'C-1 On-Site WaterC'' Baseline'!$C$9:$R$257,10,FALSE))</f>
        <v/>
      </c>
      <c r="L42" s="382" t="str">
        <f>IF(B42="","",VLOOKUP($B42,'C-1 On-Site WaterC'' Baseline'!$C$9:$R$257,15,FALSE))</f>
        <v/>
      </c>
      <c r="M42" s="386" t="str">
        <f>IF(L42="","",VLOOKUP($B42,'C-1 On-Site WaterC'' Baseline'!$C$9:$R$257,16,FALSE))</f>
        <v/>
      </c>
      <c r="N42" s="320" t="str">
        <f t="shared" si="0"/>
        <v/>
      </c>
      <c r="O42" s="362" t="str">
        <f t="shared" si="2"/>
        <v/>
      </c>
      <c r="P42" s="363" t="str">
        <f>IF(C42="","",IF(AND(LEFT(C42,55)&lt;&gt;LEFT(N42,55),O42="High - High"),"Error - Not like for like ▲",IF(H42&gt;U42,"Error - Can not reduce condition ▲",IF(AND(F42=S42,H42=U42,AJ42='C-1 On-Site WaterC'' Baseline'!N40,'C-1 On-Site WaterC'' Baseline'!P40=AL42),"Error - No enhancement ▲",IF(AND(C42&lt;&gt;N42,F42&lt;S42),"Lower Distinctiveness Habitat"&amp;" - "&amp;T42,G42&amp;" - "&amp;T42)))))</f>
        <v/>
      </c>
      <c r="Q42" s="425" t="str">
        <f>IF(N42="","",VLOOKUP(B42,'C-1 On-Site WaterC'' Baseline'!$C$10:$AB$257,19,FALSE))</f>
        <v/>
      </c>
      <c r="R42" s="362" t="str">
        <f>IF(N42="","",VLOOKUP(N42,'G-7 WaterC'' Data'!$B$2:$G$8,2,FALSE))</f>
        <v/>
      </c>
      <c r="S42" s="363" t="str">
        <f>IFERROR(VLOOKUP(R42,'G-7 WaterC'' Data'!$C$4:$D$8,2,FALSE),"")</f>
        <v/>
      </c>
      <c r="T42" s="114"/>
      <c r="U42" s="363" t="str">
        <f>IFERROR(INDEX('G-7 WaterC'' Data'!$H$4:$L$8,MATCH(N42,'G-7 WaterC'' Data'!$B$4:$B$8,0),MATCH(T42,'G-7 WaterC'' Data'!$H$3:$L$3,0)),"")</f>
        <v/>
      </c>
      <c r="V42" s="114"/>
      <c r="W42" s="370" t="str">
        <f>IF(V42="","",IF(VLOOKUP(V42,'G-7 WaterC'' Data'!$AK$4:$AM$6,2,FALSE)=0,"Spatial Data Missing ⚠",VLOOKUP(V42,'G-7 WaterC'' Data'!$AK$4:$AM$6,2,FALSE)))</f>
        <v/>
      </c>
      <c r="X42" s="363" t="str">
        <f>IF(V42="","",IF(VLOOKUP(V42,'G-7 WaterC'' Data'!$AK$4:$AM$6,3,FALSE)=0,"Spatial Data Missing ⚠",VLOOKUP(V42,'G-7 WaterC'' Data'!$AK$4:$AM$6,3,FALSE)))</f>
        <v/>
      </c>
      <c r="Y42" s="362" t="str">
        <f>IFERROR(IF(OR(LEFT(P42,5)="Error",LEFT(O42,5)="Error ▲"),"Check Data ⚠",IF(F42&lt;S42,'G-7 WaterC'' Data'!$R$3,INDEX('G-7 WaterC'' Data'!$U$5:$Y$9,MATCH(G42,'G-7 WaterC'' Data'!$T$5:$T$9,0),MATCH(T42,'G-7 WaterC'' Data'!$U$4:$Y$4,0)))),"")</f>
        <v/>
      </c>
      <c r="Z42" s="159"/>
      <c r="AA42" s="159"/>
      <c r="AB42" s="370" t="str">
        <f t="shared" si="3"/>
        <v/>
      </c>
      <c r="AC42" s="383" t="str">
        <f t="shared" si="4"/>
        <v/>
      </c>
      <c r="AD42" s="422" t="str">
        <f>IFERROR(IF(AC42="Check Data ⚠","Check Data ⚠",VLOOKUP(AC42,'G-4 Temporal multipliers'!$A$4:$C$37,3,FALSE)),"")</f>
        <v/>
      </c>
      <c r="AE42" s="362" t="str">
        <f>IF(N42="","",VLOOKUP(N42,'G-7 WaterC'' Data'!$B$4:$G$8,5,FALSE))</f>
        <v/>
      </c>
      <c r="AF42" s="370" t="str">
        <f t="shared" si="5"/>
        <v/>
      </c>
      <c r="AG42" s="401" t="str">
        <f t="shared" si="6"/>
        <v/>
      </c>
      <c r="AH42" s="363" t="str">
        <f t="shared" si="1"/>
        <v/>
      </c>
      <c r="AI42" s="122"/>
      <c r="AJ42" s="363" t="str">
        <f>IF(AI42="","",IF(VLOOKUP(AI42,'G-7 WaterC'' Data'!$AA$4:$AB$7,2,FALSE)=0,"Spatial Data Missing ⚠",VLOOKUP(AI42,'G-7 WaterC'' Data'!$AA$4:$AB$7,2,FALSE)))</f>
        <v/>
      </c>
      <c r="AK42" s="123"/>
      <c r="AL42" s="363" t="str">
        <f>IF(AK42="","",IF(VLOOKUP(AK42,'G-7 WaterC'' Data'!$AD$4:$AE$14,2,FALSE)=0,"Spatial Data Missing ⚠",VLOOKUP(AK42,'G-7 WaterC'' Data'!$AD$4:$AE$14,2,FALSE)))</f>
        <v/>
      </c>
      <c r="AM42" s="405" t="str">
        <f t="shared" si="7"/>
        <v/>
      </c>
      <c r="AN42" s="117"/>
      <c r="AO42" s="118"/>
      <c r="AP42" s="120"/>
      <c r="AV42" s="30" t="str">
        <f>IFERROR(INDEX('G-7 WaterC'' Data'!$AZ$3:$AZ$7,MATCH(N42,'G-7 WaterC'' Data'!$AY$3:$AY$7,0)),"")</f>
        <v/>
      </c>
    </row>
    <row r="43" spans="2:48" ht="15">
      <c r="B43" s="392" t="str">
        <f>'C-1 On-Site WaterC'' Baseline'!AO41</f>
        <v/>
      </c>
      <c r="C43" s="382" t="str">
        <f>IF(B43="","",VLOOKUP($B43,'C-1 On-Site WaterC'' Baseline'!$C$9:$R$257,2,FALSE))</f>
        <v/>
      </c>
      <c r="D43" s="382" t="str">
        <f>IF(C43="","",VLOOKUP($B43,'C-1 On-Site WaterC'' Baseline'!$C$9:$R$257,3,FALSE))</f>
        <v/>
      </c>
      <c r="E43" s="382" t="str">
        <f>IF(D43="","",VLOOKUP($B43,'C-1 On-Site WaterC'' Baseline'!$C$9:$R$257,4,FALSE))</f>
        <v/>
      </c>
      <c r="F43" s="382" t="str">
        <f>IF(E43="","",VLOOKUP($B43,'C-1 On-Site WaterC'' Baseline'!$C$9:$R$257,5,FALSE))</f>
        <v/>
      </c>
      <c r="G43" s="382" t="str">
        <f>IF(F43="","",VLOOKUP($B43,'C-1 On-Site WaterC'' Baseline'!$C$9:$R$257,6,FALSE))</f>
        <v/>
      </c>
      <c r="H43" s="382" t="str">
        <f>IF(G43="","",VLOOKUP($B43,'C-1 On-Site WaterC'' Baseline'!$C$9:$R$257,7,FALSE))</f>
        <v/>
      </c>
      <c r="I43" s="382" t="str">
        <f>IF(H43="","",VLOOKUP($B43,'C-1 On-Site WaterC'' Baseline'!$C$9:$R$257,8,FALSE))</f>
        <v/>
      </c>
      <c r="J43" s="382" t="str">
        <f>IF(I43="","",VLOOKUP($B43,'C-1 On-Site WaterC'' Baseline'!$C$9:$R$257,9,FALSE))</f>
        <v/>
      </c>
      <c r="K43" s="382" t="str">
        <f>IF(J43="","",VLOOKUP($B43,'C-1 On-Site WaterC'' Baseline'!$C$9:$R$257,10,FALSE))</f>
        <v/>
      </c>
      <c r="L43" s="382" t="str">
        <f>IF(B43="","",VLOOKUP($B43,'C-1 On-Site WaterC'' Baseline'!$C$9:$R$257,15,FALSE))</f>
        <v/>
      </c>
      <c r="M43" s="386" t="str">
        <f>IF(L43="","",VLOOKUP($B43,'C-1 On-Site WaterC'' Baseline'!$C$9:$R$257,16,FALSE))</f>
        <v/>
      </c>
      <c r="N43" s="320" t="str">
        <f t="shared" si="0"/>
        <v/>
      </c>
      <c r="O43" s="362" t="str">
        <f t="shared" si="2"/>
        <v/>
      </c>
      <c r="P43" s="363" t="str">
        <f>IF(C43="","",IF(AND(LEFT(C43,55)&lt;&gt;LEFT(N43,55),O43="High - High"),"Error - Not like for like ▲",IF(H43&gt;U43,"Error - Can not reduce condition ▲",IF(AND(F43=S43,H43=U43,AJ43='C-1 On-Site WaterC'' Baseline'!N41,'C-1 On-Site WaterC'' Baseline'!P41=AL43),"Error - No enhancement ▲",IF(AND(C43&lt;&gt;N43,F43&lt;S43),"Lower Distinctiveness Habitat"&amp;" - "&amp;T43,G43&amp;" - "&amp;T43)))))</f>
        <v/>
      </c>
      <c r="Q43" s="425" t="str">
        <f>IF(N43="","",VLOOKUP(B43,'C-1 On-Site WaterC'' Baseline'!$C$10:$AB$257,19,FALSE))</f>
        <v/>
      </c>
      <c r="R43" s="362" t="str">
        <f>IF(N43="","",VLOOKUP(N43,'G-7 WaterC'' Data'!$B$2:$G$8,2,FALSE))</f>
        <v/>
      </c>
      <c r="S43" s="363" t="str">
        <f>IFERROR(VLOOKUP(R43,'G-7 WaterC'' Data'!$C$4:$D$8,2,FALSE),"")</f>
        <v/>
      </c>
      <c r="T43" s="114"/>
      <c r="U43" s="363" t="str">
        <f>IFERROR(INDEX('G-7 WaterC'' Data'!$H$4:$L$8,MATCH(N43,'G-7 WaterC'' Data'!$B$4:$B$8,0),MATCH(T43,'G-7 WaterC'' Data'!$H$3:$L$3,0)),"")</f>
        <v/>
      </c>
      <c r="V43" s="114"/>
      <c r="W43" s="370" t="str">
        <f>IF(V43="","",IF(VLOOKUP(V43,'G-7 WaterC'' Data'!$AK$4:$AM$6,2,FALSE)=0,"Spatial Data Missing ⚠",VLOOKUP(V43,'G-7 WaterC'' Data'!$AK$4:$AM$6,2,FALSE)))</f>
        <v/>
      </c>
      <c r="X43" s="363" t="str">
        <f>IF(V43="","",IF(VLOOKUP(V43,'G-7 WaterC'' Data'!$AK$4:$AM$6,3,FALSE)=0,"Spatial Data Missing ⚠",VLOOKUP(V43,'G-7 WaterC'' Data'!$AK$4:$AM$6,3,FALSE)))</f>
        <v/>
      </c>
      <c r="Y43" s="362" t="str">
        <f>IFERROR(IF(OR(LEFT(P43,5)="Error",LEFT(O43,5)="Error ▲"),"Check Data ⚠",IF(F43&lt;S43,'G-7 WaterC'' Data'!$R$3,INDEX('G-7 WaterC'' Data'!$U$5:$Y$9,MATCH(G43,'G-7 WaterC'' Data'!$T$5:$T$9,0),MATCH(T43,'G-7 WaterC'' Data'!$U$4:$Y$4,0)))),"")</f>
        <v/>
      </c>
      <c r="Z43" s="159"/>
      <c r="AA43" s="159"/>
      <c r="AB43" s="370" t="str">
        <f t="shared" si="3"/>
        <v/>
      </c>
      <c r="AC43" s="383" t="str">
        <f t="shared" si="4"/>
        <v/>
      </c>
      <c r="AD43" s="422" t="str">
        <f>IFERROR(IF(AC43="Check Data ⚠","Check Data ⚠",VLOOKUP(AC43,'G-4 Temporal multipliers'!$A$4:$C$37,3,FALSE)),"")</f>
        <v/>
      </c>
      <c r="AE43" s="362" t="str">
        <f>IF(N43="","",VLOOKUP(N43,'G-7 WaterC'' Data'!$B$4:$G$8,5,FALSE))</f>
        <v/>
      </c>
      <c r="AF43" s="370" t="str">
        <f t="shared" si="5"/>
        <v/>
      </c>
      <c r="AG43" s="401" t="str">
        <f t="shared" si="6"/>
        <v/>
      </c>
      <c r="AH43" s="363" t="str">
        <f t="shared" si="1"/>
        <v/>
      </c>
      <c r="AI43" s="122"/>
      <c r="AJ43" s="363" t="str">
        <f>IF(AI43="","",IF(VLOOKUP(AI43,'G-7 WaterC'' Data'!$AA$4:$AB$7,2,FALSE)=0,"Spatial Data Missing ⚠",VLOOKUP(AI43,'G-7 WaterC'' Data'!$AA$4:$AB$7,2,FALSE)))</f>
        <v/>
      </c>
      <c r="AK43" s="123"/>
      <c r="AL43" s="363" t="str">
        <f>IF(AK43="","",IF(VLOOKUP(AK43,'G-7 WaterC'' Data'!$AD$4:$AE$14,2,FALSE)=0,"Spatial Data Missing ⚠",VLOOKUP(AK43,'G-7 WaterC'' Data'!$AD$4:$AE$14,2,FALSE)))</f>
        <v/>
      </c>
      <c r="AM43" s="405" t="str">
        <f t="shared" si="7"/>
        <v/>
      </c>
      <c r="AN43" s="117"/>
      <c r="AO43" s="118"/>
      <c r="AP43" s="120"/>
      <c r="AV43" s="30" t="str">
        <f>IFERROR(INDEX('G-7 WaterC'' Data'!$AZ$3:$AZ$7,MATCH(N43,'G-7 WaterC'' Data'!$AY$3:$AY$7,0)),"")</f>
        <v/>
      </c>
    </row>
    <row r="44" spans="2:48" ht="15">
      <c r="B44" s="392" t="str">
        <f>'C-1 On-Site WaterC'' Baseline'!AO42</f>
        <v/>
      </c>
      <c r="C44" s="382" t="str">
        <f>IF(B44="","",VLOOKUP($B44,'C-1 On-Site WaterC'' Baseline'!$C$9:$R$257,2,FALSE))</f>
        <v/>
      </c>
      <c r="D44" s="382" t="str">
        <f>IF(C44="","",VLOOKUP($B44,'C-1 On-Site WaterC'' Baseline'!$C$9:$R$257,3,FALSE))</f>
        <v/>
      </c>
      <c r="E44" s="382" t="str">
        <f>IF(D44="","",VLOOKUP($B44,'C-1 On-Site WaterC'' Baseline'!$C$9:$R$257,4,FALSE))</f>
        <v/>
      </c>
      <c r="F44" s="382" t="str">
        <f>IF(E44="","",VLOOKUP($B44,'C-1 On-Site WaterC'' Baseline'!$C$9:$R$257,5,FALSE))</f>
        <v/>
      </c>
      <c r="G44" s="382" t="str">
        <f>IF(F44="","",VLOOKUP($B44,'C-1 On-Site WaterC'' Baseline'!$C$9:$R$257,6,FALSE))</f>
        <v/>
      </c>
      <c r="H44" s="382" t="str">
        <f>IF(G44="","",VLOOKUP($B44,'C-1 On-Site WaterC'' Baseline'!$C$9:$R$257,7,FALSE))</f>
        <v/>
      </c>
      <c r="I44" s="382" t="str">
        <f>IF(H44="","",VLOOKUP($B44,'C-1 On-Site WaterC'' Baseline'!$C$9:$R$257,8,FALSE))</f>
        <v/>
      </c>
      <c r="J44" s="382" t="str">
        <f>IF(I44="","",VLOOKUP($B44,'C-1 On-Site WaterC'' Baseline'!$C$9:$R$257,9,FALSE))</f>
        <v/>
      </c>
      <c r="K44" s="382" t="str">
        <f>IF(J44="","",VLOOKUP($B44,'C-1 On-Site WaterC'' Baseline'!$C$9:$R$257,10,FALSE))</f>
        <v/>
      </c>
      <c r="L44" s="382" t="str">
        <f>IF(B44="","",VLOOKUP($B44,'C-1 On-Site WaterC'' Baseline'!$C$9:$R$257,15,FALSE))</f>
        <v/>
      </c>
      <c r="M44" s="386" t="str">
        <f>IF(L44="","",VLOOKUP($B44,'C-1 On-Site WaterC'' Baseline'!$C$9:$R$257,16,FALSE))</f>
        <v/>
      </c>
      <c r="N44" s="320" t="str">
        <f t="shared" si="0"/>
        <v/>
      </c>
      <c r="O44" s="362" t="str">
        <f t="shared" si="2"/>
        <v/>
      </c>
      <c r="P44" s="363" t="str">
        <f>IF(C44="","",IF(AND(LEFT(C44,55)&lt;&gt;LEFT(N44,55),O44="High - High"),"Error - Not like for like ▲",IF(H44&gt;U44,"Error - Can not reduce condition ▲",IF(AND(F44=S44,H44=U44,AJ44='C-1 On-Site WaterC'' Baseline'!N42,'C-1 On-Site WaterC'' Baseline'!P42=AL44),"Error - No enhancement ▲",IF(AND(C44&lt;&gt;N44,F44&lt;S44),"Lower Distinctiveness Habitat"&amp;" - "&amp;T44,G44&amp;" - "&amp;T44)))))</f>
        <v/>
      </c>
      <c r="Q44" s="425" t="str">
        <f>IF(N44="","",VLOOKUP(B44,'C-1 On-Site WaterC'' Baseline'!$C$10:$AB$257,19,FALSE))</f>
        <v/>
      </c>
      <c r="R44" s="362" t="str">
        <f>IF(N44="","",VLOOKUP(N44,'G-7 WaterC'' Data'!$B$2:$G$8,2,FALSE))</f>
        <v/>
      </c>
      <c r="S44" s="363" t="str">
        <f>IFERROR(VLOOKUP(R44,'G-7 WaterC'' Data'!$C$4:$D$8,2,FALSE),"")</f>
        <v/>
      </c>
      <c r="T44" s="114"/>
      <c r="U44" s="363" t="str">
        <f>IFERROR(INDEX('G-7 WaterC'' Data'!$H$4:$L$8,MATCH(N44,'G-7 WaterC'' Data'!$B$4:$B$8,0),MATCH(T44,'G-7 WaterC'' Data'!$H$3:$L$3,0)),"")</f>
        <v/>
      </c>
      <c r="V44" s="114"/>
      <c r="W44" s="370" t="str">
        <f>IF(V44="","",IF(VLOOKUP(V44,'G-7 WaterC'' Data'!$AK$4:$AM$6,2,FALSE)=0,"Spatial Data Missing ⚠",VLOOKUP(V44,'G-7 WaterC'' Data'!$AK$4:$AM$6,2,FALSE)))</f>
        <v/>
      </c>
      <c r="X44" s="363" t="str">
        <f>IF(V44="","",IF(VLOOKUP(V44,'G-7 WaterC'' Data'!$AK$4:$AM$6,3,FALSE)=0,"Spatial Data Missing ⚠",VLOOKUP(V44,'G-7 WaterC'' Data'!$AK$4:$AM$6,3,FALSE)))</f>
        <v/>
      </c>
      <c r="Y44" s="362" t="str">
        <f>IFERROR(IF(OR(LEFT(P44,5)="Error",LEFT(O44,5)="Error ▲"),"Check Data ⚠",IF(F44&lt;S44,'G-7 WaterC'' Data'!$R$3,INDEX('G-7 WaterC'' Data'!$U$5:$Y$9,MATCH(G44,'G-7 WaterC'' Data'!$T$5:$T$9,0),MATCH(T44,'G-7 WaterC'' Data'!$U$4:$Y$4,0)))),"")</f>
        <v/>
      </c>
      <c r="Z44" s="159"/>
      <c r="AA44" s="159"/>
      <c r="AB44" s="370" t="str">
        <f t="shared" si="3"/>
        <v/>
      </c>
      <c r="AC44" s="383" t="str">
        <f t="shared" si="4"/>
        <v/>
      </c>
      <c r="AD44" s="422" t="str">
        <f>IFERROR(IF(AC44="Check Data ⚠","Check Data ⚠",VLOOKUP(AC44,'G-4 Temporal multipliers'!$A$4:$C$37,3,FALSE)),"")</f>
        <v/>
      </c>
      <c r="AE44" s="362" t="str">
        <f>IF(N44="","",VLOOKUP(N44,'G-7 WaterC'' Data'!$B$4:$G$8,5,FALSE))</f>
        <v/>
      </c>
      <c r="AF44" s="370" t="str">
        <f t="shared" si="5"/>
        <v/>
      </c>
      <c r="AG44" s="401" t="str">
        <f t="shared" si="6"/>
        <v/>
      </c>
      <c r="AH44" s="363" t="str">
        <f t="shared" si="1"/>
        <v/>
      </c>
      <c r="AI44" s="122"/>
      <c r="AJ44" s="363" t="str">
        <f>IF(AI44="","",IF(VLOOKUP(AI44,'G-7 WaterC'' Data'!$AA$4:$AB$7,2,FALSE)=0,"Spatial Data Missing ⚠",VLOOKUP(AI44,'G-7 WaterC'' Data'!$AA$4:$AB$7,2,FALSE)))</f>
        <v/>
      </c>
      <c r="AK44" s="123"/>
      <c r="AL44" s="363" t="str">
        <f>IF(AK44="","",IF(VLOOKUP(AK44,'G-7 WaterC'' Data'!$AD$4:$AE$14,2,FALSE)=0,"Spatial Data Missing ⚠",VLOOKUP(AK44,'G-7 WaterC'' Data'!$AD$4:$AE$14,2,FALSE)))</f>
        <v/>
      </c>
      <c r="AM44" s="405" t="str">
        <f t="shared" si="7"/>
        <v/>
      </c>
      <c r="AN44" s="117"/>
      <c r="AO44" s="118"/>
      <c r="AP44" s="120"/>
      <c r="AV44" s="30" t="str">
        <f>IFERROR(INDEX('G-7 WaterC'' Data'!$AZ$3:$AZ$7,MATCH(N44,'G-7 WaterC'' Data'!$AY$3:$AY$7,0)),"")</f>
        <v/>
      </c>
    </row>
    <row r="45" spans="2:48" ht="15">
      <c r="B45" s="392" t="str">
        <f>'C-1 On-Site WaterC'' Baseline'!AO43</f>
        <v/>
      </c>
      <c r="C45" s="382" t="str">
        <f>IF(B45="","",VLOOKUP($B45,'C-1 On-Site WaterC'' Baseline'!$C$9:$R$257,2,FALSE))</f>
        <v/>
      </c>
      <c r="D45" s="382" t="str">
        <f>IF(C45="","",VLOOKUP($B45,'C-1 On-Site WaterC'' Baseline'!$C$9:$R$257,3,FALSE))</f>
        <v/>
      </c>
      <c r="E45" s="382" t="str">
        <f>IF(D45="","",VLOOKUP($B45,'C-1 On-Site WaterC'' Baseline'!$C$9:$R$257,4,FALSE))</f>
        <v/>
      </c>
      <c r="F45" s="382" t="str">
        <f>IF(E45="","",VLOOKUP($B45,'C-1 On-Site WaterC'' Baseline'!$C$9:$R$257,5,FALSE))</f>
        <v/>
      </c>
      <c r="G45" s="382" t="str">
        <f>IF(F45="","",VLOOKUP($B45,'C-1 On-Site WaterC'' Baseline'!$C$9:$R$257,6,FALSE))</f>
        <v/>
      </c>
      <c r="H45" s="382" t="str">
        <f>IF(G45="","",VLOOKUP($B45,'C-1 On-Site WaterC'' Baseline'!$C$9:$R$257,7,FALSE))</f>
        <v/>
      </c>
      <c r="I45" s="382" t="str">
        <f>IF(H45="","",VLOOKUP($B45,'C-1 On-Site WaterC'' Baseline'!$C$9:$R$257,8,FALSE))</f>
        <v/>
      </c>
      <c r="J45" s="382" t="str">
        <f>IF(I45="","",VLOOKUP($B45,'C-1 On-Site WaterC'' Baseline'!$C$9:$R$257,9,FALSE))</f>
        <v/>
      </c>
      <c r="K45" s="382" t="str">
        <f>IF(J45="","",VLOOKUP($B45,'C-1 On-Site WaterC'' Baseline'!$C$9:$R$257,10,FALSE))</f>
        <v/>
      </c>
      <c r="L45" s="382" t="str">
        <f>IF(B45="","",VLOOKUP($B45,'C-1 On-Site WaterC'' Baseline'!$C$9:$R$257,15,FALSE))</f>
        <v/>
      </c>
      <c r="M45" s="386" t="str">
        <f>IF(L45="","",VLOOKUP($B45,'C-1 On-Site WaterC'' Baseline'!$C$9:$R$257,16,FALSE))</f>
        <v/>
      </c>
      <c r="N45" s="320" t="str">
        <f t="shared" si="0"/>
        <v/>
      </c>
      <c r="O45" s="362" t="str">
        <f t="shared" si="2"/>
        <v/>
      </c>
      <c r="P45" s="363" t="str">
        <f>IF(C45="","",IF(AND(LEFT(C45,55)&lt;&gt;LEFT(N45,55),O45="High - High"),"Error - Not like for like ▲",IF(H45&gt;U45,"Error - Can not reduce condition ▲",IF(AND(F45=S45,H45=U45,AJ45='C-1 On-Site WaterC'' Baseline'!N43,'C-1 On-Site WaterC'' Baseline'!P43=AL45),"Error - No enhancement ▲",IF(AND(C45&lt;&gt;N45,F45&lt;S45),"Lower Distinctiveness Habitat"&amp;" - "&amp;T45,G45&amp;" - "&amp;T45)))))</f>
        <v/>
      </c>
      <c r="Q45" s="425" t="str">
        <f>IF(N45="","",VLOOKUP(B45,'C-1 On-Site WaterC'' Baseline'!$C$10:$AB$257,19,FALSE))</f>
        <v/>
      </c>
      <c r="R45" s="362" t="str">
        <f>IF(N45="","",VLOOKUP(N45,'G-7 WaterC'' Data'!$B$2:$G$8,2,FALSE))</f>
        <v/>
      </c>
      <c r="S45" s="363" t="str">
        <f>IFERROR(VLOOKUP(R45,'G-7 WaterC'' Data'!$C$4:$D$8,2,FALSE),"")</f>
        <v/>
      </c>
      <c r="T45" s="114"/>
      <c r="U45" s="363" t="str">
        <f>IFERROR(INDEX('G-7 WaterC'' Data'!$H$4:$L$8,MATCH(N45,'G-7 WaterC'' Data'!$B$4:$B$8,0),MATCH(T45,'G-7 WaterC'' Data'!$H$3:$L$3,0)),"")</f>
        <v/>
      </c>
      <c r="V45" s="114"/>
      <c r="W45" s="370" t="str">
        <f>IF(V45="","",IF(VLOOKUP(V45,'G-7 WaterC'' Data'!$AK$4:$AM$6,2,FALSE)=0,"Spatial Data Missing ⚠",VLOOKUP(V45,'G-7 WaterC'' Data'!$AK$4:$AM$6,2,FALSE)))</f>
        <v/>
      </c>
      <c r="X45" s="363" t="str">
        <f>IF(V45="","",IF(VLOOKUP(V45,'G-7 WaterC'' Data'!$AK$4:$AM$6,3,FALSE)=0,"Spatial Data Missing ⚠",VLOOKUP(V45,'G-7 WaterC'' Data'!$AK$4:$AM$6,3,FALSE)))</f>
        <v/>
      </c>
      <c r="Y45" s="362" t="str">
        <f>IFERROR(IF(OR(LEFT(P45,5)="Error",LEFT(O45,5)="Error ▲"),"Check Data ⚠",IF(F45&lt;S45,'G-7 WaterC'' Data'!$R$3,INDEX('G-7 WaterC'' Data'!$U$5:$Y$9,MATCH(G45,'G-7 WaterC'' Data'!$T$5:$T$9,0),MATCH(T45,'G-7 WaterC'' Data'!$U$4:$Y$4,0)))),"")</f>
        <v/>
      </c>
      <c r="Z45" s="159"/>
      <c r="AA45" s="159"/>
      <c r="AB45" s="370" t="str">
        <f t="shared" si="3"/>
        <v/>
      </c>
      <c r="AC45" s="383" t="str">
        <f t="shared" si="4"/>
        <v/>
      </c>
      <c r="AD45" s="422" t="str">
        <f>IFERROR(IF(AC45="Check Data ⚠","Check Data ⚠",VLOOKUP(AC45,'G-4 Temporal multipliers'!$A$4:$C$37,3,FALSE)),"")</f>
        <v/>
      </c>
      <c r="AE45" s="362" t="str">
        <f>IF(N45="","",VLOOKUP(N45,'G-7 WaterC'' Data'!$B$4:$G$8,5,FALSE))</f>
        <v/>
      </c>
      <c r="AF45" s="370" t="str">
        <f t="shared" si="5"/>
        <v/>
      </c>
      <c r="AG45" s="401" t="str">
        <f t="shared" si="6"/>
        <v/>
      </c>
      <c r="AH45" s="363" t="str">
        <f t="shared" si="1"/>
        <v/>
      </c>
      <c r="AI45" s="122"/>
      <c r="AJ45" s="363" t="str">
        <f>IF(AI45="","",IF(VLOOKUP(AI45,'G-7 WaterC'' Data'!$AA$4:$AB$7,2,FALSE)=0,"Spatial Data Missing ⚠",VLOOKUP(AI45,'G-7 WaterC'' Data'!$AA$4:$AB$7,2,FALSE)))</f>
        <v/>
      </c>
      <c r="AK45" s="123"/>
      <c r="AL45" s="363" t="str">
        <f>IF(AK45="","",IF(VLOOKUP(AK45,'G-7 WaterC'' Data'!$AD$4:$AE$14,2,FALSE)=0,"Spatial Data Missing ⚠",VLOOKUP(AK45,'G-7 WaterC'' Data'!$AD$4:$AE$14,2,FALSE)))</f>
        <v/>
      </c>
      <c r="AM45" s="405" t="str">
        <f t="shared" si="7"/>
        <v/>
      </c>
      <c r="AN45" s="117"/>
      <c r="AO45" s="118"/>
      <c r="AP45" s="120"/>
      <c r="AV45" s="30" t="str">
        <f>IFERROR(INDEX('G-7 WaterC'' Data'!$AZ$3:$AZ$7,MATCH(N45,'G-7 WaterC'' Data'!$AY$3:$AY$7,0)),"")</f>
        <v/>
      </c>
    </row>
    <row r="46" spans="2:48" ht="15">
      <c r="B46" s="392" t="str">
        <f>'C-1 On-Site WaterC'' Baseline'!AO44</f>
        <v/>
      </c>
      <c r="C46" s="382" t="str">
        <f>IF(B46="","",VLOOKUP($B46,'C-1 On-Site WaterC'' Baseline'!$C$9:$R$257,2,FALSE))</f>
        <v/>
      </c>
      <c r="D46" s="382" t="str">
        <f>IF(C46="","",VLOOKUP($B46,'C-1 On-Site WaterC'' Baseline'!$C$9:$R$257,3,FALSE))</f>
        <v/>
      </c>
      <c r="E46" s="382" t="str">
        <f>IF(D46="","",VLOOKUP($B46,'C-1 On-Site WaterC'' Baseline'!$C$9:$R$257,4,FALSE))</f>
        <v/>
      </c>
      <c r="F46" s="382" t="str">
        <f>IF(E46="","",VLOOKUP($B46,'C-1 On-Site WaterC'' Baseline'!$C$9:$R$257,5,FALSE))</f>
        <v/>
      </c>
      <c r="G46" s="382" t="str">
        <f>IF(F46="","",VLOOKUP($B46,'C-1 On-Site WaterC'' Baseline'!$C$9:$R$257,6,FALSE))</f>
        <v/>
      </c>
      <c r="H46" s="382" t="str">
        <f>IF(G46="","",VLOOKUP($B46,'C-1 On-Site WaterC'' Baseline'!$C$9:$R$257,7,FALSE))</f>
        <v/>
      </c>
      <c r="I46" s="382" t="str">
        <f>IF(H46="","",VLOOKUP($B46,'C-1 On-Site WaterC'' Baseline'!$C$9:$R$257,8,FALSE))</f>
        <v/>
      </c>
      <c r="J46" s="382" t="str">
        <f>IF(I46="","",VLOOKUP($B46,'C-1 On-Site WaterC'' Baseline'!$C$9:$R$257,9,FALSE))</f>
        <v/>
      </c>
      <c r="K46" s="382" t="str">
        <f>IF(J46="","",VLOOKUP($B46,'C-1 On-Site WaterC'' Baseline'!$C$9:$R$257,10,FALSE))</f>
        <v/>
      </c>
      <c r="L46" s="382" t="str">
        <f>IF(B46="","",VLOOKUP($B46,'C-1 On-Site WaterC'' Baseline'!$C$9:$R$257,15,FALSE))</f>
        <v/>
      </c>
      <c r="M46" s="386" t="str">
        <f>IF(L46="","",VLOOKUP($B46,'C-1 On-Site WaterC'' Baseline'!$C$9:$R$257,16,FALSE))</f>
        <v/>
      </c>
      <c r="N46" s="320" t="str">
        <f t="shared" si="0"/>
        <v/>
      </c>
      <c r="O46" s="362" t="str">
        <f t="shared" si="2"/>
        <v/>
      </c>
      <c r="P46" s="363" t="str">
        <f>IF(C46="","",IF(AND(LEFT(C46,55)&lt;&gt;LEFT(N46,55),O46="High - High"),"Error - Not like for like ▲",IF(H46&gt;U46,"Error - Can not reduce condition ▲",IF(AND(F46=S46,H46=U46,AJ46='C-1 On-Site WaterC'' Baseline'!N44,'C-1 On-Site WaterC'' Baseline'!P44=AL46),"Error - No enhancement ▲",IF(AND(C46&lt;&gt;N46,F46&lt;S46),"Lower Distinctiveness Habitat"&amp;" - "&amp;T46,G46&amp;" - "&amp;T46)))))</f>
        <v/>
      </c>
      <c r="Q46" s="425" t="str">
        <f>IF(N46="","",VLOOKUP(B46,'C-1 On-Site WaterC'' Baseline'!$C$10:$AB$257,19,FALSE))</f>
        <v/>
      </c>
      <c r="R46" s="362" t="str">
        <f>IF(N46="","",VLOOKUP(N46,'G-7 WaterC'' Data'!$B$2:$G$8,2,FALSE))</f>
        <v/>
      </c>
      <c r="S46" s="363" t="str">
        <f>IFERROR(VLOOKUP(R46,'G-7 WaterC'' Data'!$C$4:$D$8,2,FALSE),"")</f>
        <v/>
      </c>
      <c r="T46" s="114"/>
      <c r="U46" s="363" t="str">
        <f>IFERROR(INDEX('G-7 WaterC'' Data'!$H$4:$L$8,MATCH(N46,'G-7 WaterC'' Data'!$B$4:$B$8,0),MATCH(T46,'G-7 WaterC'' Data'!$H$3:$L$3,0)),"")</f>
        <v/>
      </c>
      <c r="V46" s="114"/>
      <c r="W46" s="370" t="str">
        <f>IF(V46="","",IF(VLOOKUP(V46,'G-7 WaterC'' Data'!$AK$4:$AM$6,2,FALSE)=0,"Spatial Data Missing ⚠",VLOOKUP(V46,'G-7 WaterC'' Data'!$AK$4:$AM$6,2,FALSE)))</f>
        <v/>
      </c>
      <c r="X46" s="363" t="str">
        <f>IF(V46="","",IF(VLOOKUP(V46,'G-7 WaterC'' Data'!$AK$4:$AM$6,3,FALSE)=0,"Spatial Data Missing ⚠",VLOOKUP(V46,'G-7 WaterC'' Data'!$AK$4:$AM$6,3,FALSE)))</f>
        <v/>
      </c>
      <c r="Y46" s="362" t="str">
        <f>IFERROR(IF(OR(LEFT(P46,5)="Error",LEFT(O46,5)="Error ▲"),"Check Data ⚠",IF(F46&lt;S46,'G-7 WaterC'' Data'!$R$3,INDEX('G-7 WaterC'' Data'!$U$5:$Y$9,MATCH(G46,'G-7 WaterC'' Data'!$T$5:$T$9,0),MATCH(T46,'G-7 WaterC'' Data'!$U$4:$Y$4,0)))),"")</f>
        <v/>
      </c>
      <c r="Z46" s="159"/>
      <c r="AA46" s="159"/>
      <c r="AB46" s="370" t="str">
        <f t="shared" si="3"/>
        <v/>
      </c>
      <c r="AC46" s="383" t="str">
        <f t="shared" si="4"/>
        <v/>
      </c>
      <c r="AD46" s="422" t="str">
        <f>IFERROR(IF(AC46="Check Data ⚠","Check Data ⚠",VLOOKUP(AC46,'G-4 Temporal multipliers'!$A$4:$C$37,3,FALSE)),"")</f>
        <v/>
      </c>
      <c r="AE46" s="362" t="str">
        <f>IF(N46="","",VLOOKUP(N46,'G-7 WaterC'' Data'!$B$4:$G$8,5,FALSE))</f>
        <v/>
      </c>
      <c r="AF46" s="370" t="str">
        <f t="shared" si="5"/>
        <v/>
      </c>
      <c r="AG46" s="401" t="str">
        <f t="shared" si="6"/>
        <v/>
      </c>
      <c r="AH46" s="363" t="str">
        <f t="shared" si="1"/>
        <v/>
      </c>
      <c r="AI46" s="122"/>
      <c r="AJ46" s="363" t="str">
        <f>IF(AI46="","",IF(VLOOKUP(AI46,'G-7 WaterC'' Data'!$AA$4:$AB$7,2,FALSE)=0,"Spatial Data Missing ⚠",VLOOKUP(AI46,'G-7 WaterC'' Data'!$AA$4:$AB$7,2,FALSE)))</f>
        <v/>
      </c>
      <c r="AK46" s="123"/>
      <c r="AL46" s="363" t="str">
        <f>IF(AK46="","",IF(VLOOKUP(AK46,'G-7 WaterC'' Data'!$AD$4:$AE$14,2,FALSE)=0,"Spatial Data Missing ⚠",VLOOKUP(AK46,'G-7 WaterC'' Data'!$AD$4:$AE$14,2,FALSE)))</f>
        <v/>
      </c>
      <c r="AM46" s="405" t="str">
        <f t="shared" si="7"/>
        <v/>
      </c>
      <c r="AN46" s="117"/>
      <c r="AO46" s="118"/>
      <c r="AP46" s="120"/>
      <c r="AV46" s="30" t="str">
        <f>IFERROR(INDEX('G-7 WaterC'' Data'!$AZ$3:$AZ$7,MATCH(N46,'G-7 WaterC'' Data'!$AY$3:$AY$7,0)),"")</f>
        <v/>
      </c>
    </row>
    <row r="47" spans="2:48" ht="15">
      <c r="B47" s="392" t="str">
        <f>'C-1 On-Site WaterC'' Baseline'!AO45</f>
        <v/>
      </c>
      <c r="C47" s="382" t="str">
        <f>IF(B47="","",VLOOKUP($B47,'C-1 On-Site WaterC'' Baseline'!$C$9:$R$257,2,FALSE))</f>
        <v/>
      </c>
      <c r="D47" s="382" t="str">
        <f>IF(C47="","",VLOOKUP($B47,'C-1 On-Site WaterC'' Baseline'!$C$9:$R$257,3,FALSE))</f>
        <v/>
      </c>
      <c r="E47" s="382" t="str">
        <f>IF(D47="","",VLOOKUP($B47,'C-1 On-Site WaterC'' Baseline'!$C$9:$R$257,4,FALSE))</f>
        <v/>
      </c>
      <c r="F47" s="382" t="str">
        <f>IF(E47="","",VLOOKUP($B47,'C-1 On-Site WaterC'' Baseline'!$C$9:$R$257,5,FALSE))</f>
        <v/>
      </c>
      <c r="G47" s="382" t="str">
        <f>IF(F47="","",VLOOKUP($B47,'C-1 On-Site WaterC'' Baseline'!$C$9:$R$257,6,FALSE))</f>
        <v/>
      </c>
      <c r="H47" s="382" t="str">
        <f>IF(G47="","",VLOOKUP($B47,'C-1 On-Site WaterC'' Baseline'!$C$9:$R$257,7,FALSE))</f>
        <v/>
      </c>
      <c r="I47" s="382" t="str">
        <f>IF(H47="","",VLOOKUP($B47,'C-1 On-Site WaterC'' Baseline'!$C$9:$R$257,8,FALSE))</f>
        <v/>
      </c>
      <c r="J47" s="382" t="str">
        <f>IF(I47="","",VLOOKUP($B47,'C-1 On-Site WaterC'' Baseline'!$C$9:$R$257,9,FALSE))</f>
        <v/>
      </c>
      <c r="K47" s="382" t="str">
        <f>IF(J47="","",VLOOKUP($B47,'C-1 On-Site WaterC'' Baseline'!$C$9:$R$257,10,FALSE))</f>
        <v/>
      </c>
      <c r="L47" s="382" t="str">
        <f>IF(B47="","",VLOOKUP($B47,'C-1 On-Site WaterC'' Baseline'!$C$9:$R$257,15,FALSE))</f>
        <v/>
      </c>
      <c r="M47" s="386" t="str">
        <f>IF(L47="","",VLOOKUP($B47,'C-1 On-Site WaterC'' Baseline'!$C$9:$R$257,16,FALSE))</f>
        <v/>
      </c>
      <c r="N47" s="320" t="str">
        <f t="shared" si="0"/>
        <v/>
      </c>
      <c r="O47" s="362" t="str">
        <f t="shared" si="2"/>
        <v/>
      </c>
      <c r="P47" s="363" t="str">
        <f>IF(C47="","",IF(AND(LEFT(C47,55)&lt;&gt;LEFT(N47,55),O47="High - High"),"Error - Not like for like ▲",IF(H47&gt;U47,"Error - Can not reduce condition ▲",IF(AND(F47=S47,H47=U47,AJ47='C-1 On-Site WaterC'' Baseline'!N45,'C-1 On-Site WaterC'' Baseline'!P45=AL47),"Error - No enhancement ▲",IF(AND(C47&lt;&gt;N47,F47&lt;S47),"Lower Distinctiveness Habitat"&amp;" - "&amp;T47,G47&amp;" - "&amp;T47)))))</f>
        <v/>
      </c>
      <c r="Q47" s="425" t="str">
        <f>IF(N47="","",VLOOKUP(B47,'C-1 On-Site WaterC'' Baseline'!$C$10:$AB$257,19,FALSE))</f>
        <v/>
      </c>
      <c r="R47" s="362" t="str">
        <f>IF(N47="","",VLOOKUP(N47,'G-7 WaterC'' Data'!$B$2:$G$8,2,FALSE))</f>
        <v/>
      </c>
      <c r="S47" s="363" t="str">
        <f>IFERROR(VLOOKUP(R47,'G-7 WaterC'' Data'!$C$4:$D$8,2,FALSE),"")</f>
        <v/>
      </c>
      <c r="T47" s="114"/>
      <c r="U47" s="363" t="str">
        <f>IFERROR(INDEX('G-7 WaterC'' Data'!$H$4:$L$8,MATCH(N47,'G-7 WaterC'' Data'!$B$4:$B$8,0),MATCH(T47,'G-7 WaterC'' Data'!$H$3:$L$3,0)),"")</f>
        <v/>
      </c>
      <c r="V47" s="114"/>
      <c r="W47" s="370" t="str">
        <f>IF(V47="","",IF(VLOOKUP(V47,'G-7 WaterC'' Data'!$AK$4:$AM$6,2,FALSE)=0,"Spatial Data Missing ⚠",VLOOKUP(V47,'G-7 WaterC'' Data'!$AK$4:$AM$6,2,FALSE)))</f>
        <v/>
      </c>
      <c r="X47" s="363" t="str">
        <f>IF(V47="","",IF(VLOOKUP(V47,'G-7 WaterC'' Data'!$AK$4:$AM$6,3,FALSE)=0,"Spatial Data Missing ⚠",VLOOKUP(V47,'G-7 WaterC'' Data'!$AK$4:$AM$6,3,FALSE)))</f>
        <v/>
      </c>
      <c r="Y47" s="362" t="str">
        <f>IFERROR(IF(OR(LEFT(P47,5)="Error",LEFT(O47,5)="Error ▲"),"Check Data ⚠",IF(F47&lt;S47,'G-7 WaterC'' Data'!$R$3,INDEX('G-7 WaterC'' Data'!$U$5:$Y$9,MATCH(G47,'G-7 WaterC'' Data'!$T$5:$T$9,0),MATCH(T47,'G-7 WaterC'' Data'!$U$4:$Y$4,0)))),"")</f>
        <v/>
      </c>
      <c r="Z47" s="159"/>
      <c r="AA47" s="159"/>
      <c r="AB47" s="370" t="str">
        <f t="shared" si="3"/>
        <v/>
      </c>
      <c r="AC47" s="383" t="str">
        <f t="shared" si="4"/>
        <v/>
      </c>
      <c r="AD47" s="422" t="str">
        <f>IFERROR(IF(AC47="Check Data ⚠","Check Data ⚠",VLOOKUP(AC47,'G-4 Temporal multipliers'!$A$4:$C$37,3,FALSE)),"")</f>
        <v/>
      </c>
      <c r="AE47" s="362" t="str">
        <f>IF(N47="","",VLOOKUP(N47,'G-7 WaterC'' Data'!$B$4:$G$8,5,FALSE))</f>
        <v/>
      </c>
      <c r="AF47" s="370" t="str">
        <f t="shared" si="5"/>
        <v/>
      </c>
      <c r="AG47" s="401" t="str">
        <f t="shared" si="6"/>
        <v/>
      </c>
      <c r="AH47" s="363" t="str">
        <f t="shared" si="1"/>
        <v/>
      </c>
      <c r="AI47" s="122"/>
      <c r="AJ47" s="363" t="str">
        <f>IF(AI47="","",IF(VLOOKUP(AI47,'G-7 WaterC'' Data'!$AA$4:$AB$7,2,FALSE)=0,"Spatial Data Missing ⚠",VLOOKUP(AI47,'G-7 WaterC'' Data'!$AA$4:$AB$7,2,FALSE)))</f>
        <v/>
      </c>
      <c r="AK47" s="123"/>
      <c r="AL47" s="363" t="str">
        <f>IF(AK47="","",IF(VLOOKUP(AK47,'G-7 WaterC'' Data'!$AD$4:$AE$14,2,FALSE)=0,"Spatial Data Missing ⚠",VLOOKUP(AK47,'G-7 WaterC'' Data'!$AD$4:$AE$14,2,FALSE)))</f>
        <v/>
      </c>
      <c r="AM47" s="405" t="str">
        <f t="shared" si="7"/>
        <v/>
      </c>
      <c r="AN47" s="117"/>
      <c r="AO47" s="118"/>
      <c r="AP47" s="120"/>
      <c r="AV47" s="30" t="str">
        <f>IFERROR(INDEX('G-7 WaterC'' Data'!$AZ$3:$AZ$7,MATCH(N47,'G-7 WaterC'' Data'!$AY$3:$AY$7,0)),"")</f>
        <v/>
      </c>
    </row>
    <row r="48" spans="2:48" ht="15">
      <c r="B48" s="392" t="str">
        <f>'C-1 On-Site WaterC'' Baseline'!AO46</f>
        <v/>
      </c>
      <c r="C48" s="382" t="str">
        <f>IF(B48="","",VLOOKUP($B48,'C-1 On-Site WaterC'' Baseline'!$C$9:$R$257,2,FALSE))</f>
        <v/>
      </c>
      <c r="D48" s="382" t="str">
        <f>IF(C48="","",VLOOKUP($B48,'C-1 On-Site WaterC'' Baseline'!$C$9:$R$257,3,FALSE))</f>
        <v/>
      </c>
      <c r="E48" s="382" t="str">
        <f>IF(D48="","",VLOOKUP($B48,'C-1 On-Site WaterC'' Baseline'!$C$9:$R$257,4,FALSE))</f>
        <v/>
      </c>
      <c r="F48" s="382" t="str">
        <f>IF(E48="","",VLOOKUP($B48,'C-1 On-Site WaterC'' Baseline'!$C$9:$R$257,5,FALSE))</f>
        <v/>
      </c>
      <c r="G48" s="382" t="str">
        <f>IF(F48="","",VLOOKUP($B48,'C-1 On-Site WaterC'' Baseline'!$C$9:$R$257,6,FALSE))</f>
        <v/>
      </c>
      <c r="H48" s="382" t="str">
        <f>IF(G48="","",VLOOKUP($B48,'C-1 On-Site WaterC'' Baseline'!$C$9:$R$257,7,FALSE))</f>
        <v/>
      </c>
      <c r="I48" s="382" t="str">
        <f>IF(H48="","",VLOOKUP($B48,'C-1 On-Site WaterC'' Baseline'!$C$9:$R$257,8,FALSE))</f>
        <v/>
      </c>
      <c r="J48" s="382" t="str">
        <f>IF(I48="","",VLOOKUP($B48,'C-1 On-Site WaterC'' Baseline'!$C$9:$R$257,9,FALSE))</f>
        <v/>
      </c>
      <c r="K48" s="382" t="str">
        <f>IF(J48="","",VLOOKUP($B48,'C-1 On-Site WaterC'' Baseline'!$C$9:$R$257,10,FALSE))</f>
        <v/>
      </c>
      <c r="L48" s="382" t="str">
        <f>IF(B48="","",VLOOKUP($B48,'C-1 On-Site WaterC'' Baseline'!$C$9:$R$257,15,FALSE))</f>
        <v/>
      </c>
      <c r="M48" s="386" t="str">
        <f>IF(L48="","",VLOOKUP($B48,'C-1 On-Site WaterC'' Baseline'!$C$9:$R$257,16,FALSE))</f>
        <v/>
      </c>
      <c r="N48" s="320" t="str">
        <f t="shared" si="0"/>
        <v/>
      </c>
      <c r="O48" s="362" t="str">
        <f t="shared" si="2"/>
        <v/>
      </c>
      <c r="P48" s="363" t="str">
        <f>IF(C48="","",IF(AND(LEFT(C48,55)&lt;&gt;LEFT(N48,55),O48="High - High"),"Error - Not like for like ▲",IF(H48&gt;U48,"Error - Can not reduce condition ▲",IF(AND(F48=S48,H48=U48,AJ48='C-1 On-Site WaterC'' Baseline'!N46,'C-1 On-Site WaterC'' Baseline'!P46=AL48),"Error - No enhancement ▲",IF(AND(C48&lt;&gt;N48,F48&lt;S48),"Lower Distinctiveness Habitat"&amp;" - "&amp;T48,G48&amp;" - "&amp;T48)))))</f>
        <v/>
      </c>
      <c r="Q48" s="425" t="str">
        <f>IF(N48="","",VLOOKUP(B48,'C-1 On-Site WaterC'' Baseline'!$C$10:$AB$257,19,FALSE))</f>
        <v/>
      </c>
      <c r="R48" s="362" t="str">
        <f>IF(N48="","",VLOOKUP(N48,'G-7 WaterC'' Data'!$B$2:$G$8,2,FALSE))</f>
        <v/>
      </c>
      <c r="S48" s="363" t="str">
        <f>IFERROR(VLOOKUP(R48,'G-7 WaterC'' Data'!$C$4:$D$8,2,FALSE),"")</f>
        <v/>
      </c>
      <c r="T48" s="114"/>
      <c r="U48" s="363" t="str">
        <f>IFERROR(INDEX('G-7 WaterC'' Data'!$H$4:$L$8,MATCH(N48,'G-7 WaterC'' Data'!$B$4:$B$8,0),MATCH(T48,'G-7 WaterC'' Data'!$H$3:$L$3,0)),"")</f>
        <v/>
      </c>
      <c r="V48" s="114"/>
      <c r="W48" s="370" t="str">
        <f>IF(V48="","",IF(VLOOKUP(V48,'G-7 WaterC'' Data'!$AK$4:$AM$6,2,FALSE)=0,"Spatial Data Missing ⚠",VLOOKUP(V48,'G-7 WaterC'' Data'!$AK$4:$AM$6,2,FALSE)))</f>
        <v/>
      </c>
      <c r="X48" s="363" t="str">
        <f>IF(V48="","",IF(VLOOKUP(V48,'G-7 WaterC'' Data'!$AK$4:$AM$6,3,FALSE)=0,"Spatial Data Missing ⚠",VLOOKUP(V48,'G-7 WaterC'' Data'!$AK$4:$AM$6,3,FALSE)))</f>
        <v/>
      </c>
      <c r="Y48" s="362" t="str">
        <f>IFERROR(IF(OR(LEFT(P48,5)="Error",LEFT(O48,5)="Error ▲"),"Check Data ⚠",IF(F48&lt;S48,'G-7 WaterC'' Data'!$R$3,INDEX('G-7 WaterC'' Data'!$U$5:$Y$9,MATCH(G48,'G-7 WaterC'' Data'!$T$5:$T$9,0),MATCH(T48,'G-7 WaterC'' Data'!$U$4:$Y$4,0)))),"")</f>
        <v/>
      </c>
      <c r="Z48" s="159"/>
      <c r="AA48" s="159"/>
      <c r="AB48" s="370" t="str">
        <f t="shared" si="3"/>
        <v/>
      </c>
      <c r="AC48" s="383" t="str">
        <f t="shared" si="4"/>
        <v/>
      </c>
      <c r="AD48" s="422" t="str">
        <f>IFERROR(IF(AC48="Check Data ⚠","Check Data ⚠",VLOOKUP(AC48,'G-4 Temporal multipliers'!$A$4:$C$37,3,FALSE)),"")</f>
        <v/>
      </c>
      <c r="AE48" s="362" t="str">
        <f>IF(N48="","",VLOOKUP(N48,'G-7 WaterC'' Data'!$B$4:$G$8,5,FALSE))</f>
        <v/>
      </c>
      <c r="AF48" s="370" t="str">
        <f t="shared" si="5"/>
        <v/>
      </c>
      <c r="AG48" s="401" t="str">
        <f t="shared" si="6"/>
        <v/>
      </c>
      <c r="AH48" s="363" t="str">
        <f t="shared" si="1"/>
        <v/>
      </c>
      <c r="AI48" s="122"/>
      <c r="AJ48" s="363" t="str">
        <f>IF(AI48="","",IF(VLOOKUP(AI48,'G-7 WaterC'' Data'!$AA$4:$AB$7,2,FALSE)=0,"Spatial Data Missing ⚠",VLOOKUP(AI48,'G-7 WaterC'' Data'!$AA$4:$AB$7,2,FALSE)))</f>
        <v/>
      </c>
      <c r="AK48" s="123"/>
      <c r="AL48" s="363" t="str">
        <f>IF(AK48="","",IF(VLOOKUP(AK48,'G-7 WaterC'' Data'!$AD$4:$AE$14,2,FALSE)=0,"Spatial Data Missing ⚠",VLOOKUP(AK48,'G-7 WaterC'' Data'!$AD$4:$AE$14,2,FALSE)))</f>
        <v/>
      </c>
      <c r="AM48" s="405" t="str">
        <f t="shared" si="7"/>
        <v/>
      </c>
      <c r="AN48" s="117"/>
      <c r="AO48" s="118"/>
      <c r="AP48" s="120"/>
      <c r="AV48" s="30" t="str">
        <f>IFERROR(INDEX('G-7 WaterC'' Data'!$AZ$3:$AZ$7,MATCH(N48,'G-7 WaterC'' Data'!$AY$3:$AY$7,0)),"")</f>
        <v/>
      </c>
    </row>
    <row r="49" spans="2:48" ht="15">
      <c r="B49" s="392" t="str">
        <f>'C-1 On-Site WaterC'' Baseline'!AO47</f>
        <v/>
      </c>
      <c r="C49" s="382" t="str">
        <f>IF(B49="","",VLOOKUP($B49,'C-1 On-Site WaterC'' Baseline'!$C$9:$R$257,2,FALSE))</f>
        <v/>
      </c>
      <c r="D49" s="382" t="str">
        <f>IF(C49="","",VLOOKUP($B49,'C-1 On-Site WaterC'' Baseline'!$C$9:$R$257,3,FALSE))</f>
        <v/>
      </c>
      <c r="E49" s="382" t="str">
        <f>IF(D49="","",VLOOKUP($B49,'C-1 On-Site WaterC'' Baseline'!$C$9:$R$257,4,FALSE))</f>
        <v/>
      </c>
      <c r="F49" s="382" t="str">
        <f>IF(E49="","",VLOOKUP($B49,'C-1 On-Site WaterC'' Baseline'!$C$9:$R$257,5,FALSE))</f>
        <v/>
      </c>
      <c r="G49" s="382" t="str">
        <f>IF(F49="","",VLOOKUP($B49,'C-1 On-Site WaterC'' Baseline'!$C$9:$R$257,6,FALSE))</f>
        <v/>
      </c>
      <c r="H49" s="382" t="str">
        <f>IF(G49="","",VLOOKUP($B49,'C-1 On-Site WaterC'' Baseline'!$C$9:$R$257,7,FALSE))</f>
        <v/>
      </c>
      <c r="I49" s="382" t="str">
        <f>IF(H49="","",VLOOKUP($B49,'C-1 On-Site WaterC'' Baseline'!$C$9:$R$257,8,FALSE))</f>
        <v/>
      </c>
      <c r="J49" s="382" t="str">
        <f>IF(I49="","",VLOOKUP($B49,'C-1 On-Site WaterC'' Baseline'!$C$9:$R$257,9,FALSE))</f>
        <v/>
      </c>
      <c r="K49" s="382" t="str">
        <f>IF(J49="","",VLOOKUP($B49,'C-1 On-Site WaterC'' Baseline'!$C$9:$R$257,10,FALSE))</f>
        <v/>
      </c>
      <c r="L49" s="382" t="str">
        <f>IF(B49="","",VLOOKUP($B49,'C-1 On-Site WaterC'' Baseline'!$C$9:$R$257,15,FALSE))</f>
        <v/>
      </c>
      <c r="M49" s="386" t="str">
        <f>IF(L49="","",VLOOKUP($B49,'C-1 On-Site WaterC'' Baseline'!$C$9:$R$257,16,FALSE))</f>
        <v/>
      </c>
      <c r="N49" s="320" t="str">
        <f t="shared" si="0"/>
        <v/>
      </c>
      <c r="O49" s="362" t="str">
        <f t="shared" si="2"/>
        <v/>
      </c>
      <c r="P49" s="363" t="str">
        <f>IF(C49="","",IF(AND(LEFT(C49,55)&lt;&gt;LEFT(N49,55),O49="High - High"),"Error - Not like for like ▲",IF(H49&gt;U49,"Error - Can not reduce condition ▲",IF(AND(F49=S49,H49=U49,AJ49='C-1 On-Site WaterC'' Baseline'!N47,'C-1 On-Site WaterC'' Baseline'!P47=AL49),"Error - No enhancement ▲",IF(AND(C49&lt;&gt;N49,F49&lt;S49),"Lower Distinctiveness Habitat"&amp;" - "&amp;T49,G49&amp;" - "&amp;T49)))))</f>
        <v/>
      </c>
      <c r="Q49" s="425" t="str">
        <f>IF(N49="","",VLOOKUP(B49,'C-1 On-Site WaterC'' Baseline'!$C$10:$AB$257,19,FALSE))</f>
        <v/>
      </c>
      <c r="R49" s="362" t="str">
        <f>IF(N49="","",VLOOKUP(N49,'G-7 WaterC'' Data'!$B$2:$G$8,2,FALSE))</f>
        <v/>
      </c>
      <c r="S49" s="363" t="str">
        <f>IFERROR(VLOOKUP(R49,'G-7 WaterC'' Data'!$C$4:$D$8,2,FALSE),"")</f>
        <v/>
      </c>
      <c r="T49" s="114"/>
      <c r="U49" s="363" t="str">
        <f>IFERROR(INDEX('G-7 WaterC'' Data'!$H$4:$L$8,MATCH(N49,'G-7 WaterC'' Data'!$B$4:$B$8,0),MATCH(T49,'G-7 WaterC'' Data'!$H$3:$L$3,0)),"")</f>
        <v/>
      </c>
      <c r="V49" s="114"/>
      <c r="W49" s="370" t="str">
        <f>IF(V49="","",IF(VLOOKUP(V49,'G-7 WaterC'' Data'!$AK$4:$AM$6,2,FALSE)=0,"Spatial Data Missing ⚠",VLOOKUP(V49,'G-7 WaterC'' Data'!$AK$4:$AM$6,2,FALSE)))</f>
        <v/>
      </c>
      <c r="X49" s="363" t="str">
        <f>IF(V49="","",IF(VLOOKUP(V49,'G-7 WaterC'' Data'!$AK$4:$AM$6,3,FALSE)=0,"Spatial Data Missing ⚠",VLOOKUP(V49,'G-7 WaterC'' Data'!$AK$4:$AM$6,3,FALSE)))</f>
        <v/>
      </c>
      <c r="Y49" s="362" t="str">
        <f>IFERROR(IF(OR(LEFT(P49,5)="Error",LEFT(O49,5)="Error ▲"),"Check Data ⚠",IF(F49&lt;S49,'G-7 WaterC'' Data'!$R$3,INDEX('G-7 WaterC'' Data'!$U$5:$Y$9,MATCH(G49,'G-7 WaterC'' Data'!$T$5:$T$9,0),MATCH(T49,'G-7 WaterC'' Data'!$U$4:$Y$4,0)))),"")</f>
        <v/>
      </c>
      <c r="Z49" s="159"/>
      <c r="AA49" s="159"/>
      <c r="AB49" s="370" t="str">
        <f t="shared" si="3"/>
        <v/>
      </c>
      <c r="AC49" s="383" t="str">
        <f t="shared" si="4"/>
        <v/>
      </c>
      <c r="AD49" s="422" t="str">
        <f>IFERROR(IF(AC49="Check Data ⚠","Check Data ⚠",VLOOKUP(AC49,'G-4 Temporal multipliers'!$A$4:$C$37,3,FALSE)),"")</f>
        <v/>
      </c>
      <c r="AE49" s="362" t="str">
        <f>IF(N49="","",VLOOKUP(N49,'G-7 WaterC'' Data'!$B$4:$G$8,5,FALSE))</f>
        <v/>
      </c>
      <c r="AF49" s="370" t="str">
        <f t="shared" si="5"/>
        <v/>
      </c>
      <c r="AG49" s="401" t="str">
        <f t="shared" si="6"/>
        <v/>
      </c>
      <c r="AH49" s="363" t="str">
        <f t="shared" si="1"/>
        <v/>
      </c>
      <c r="AI49" s="122"/>
      <c r="AJ49" s="363" t="str">
        <f>IF(AI49="","",IF(VLOOKUP(AI49,'G-7 WaterC'' Data'!$AA$4:$AB$7,2,FALSE)=0,"Spatial Data Missing ⚠",VLOOKUP(AI49,'G-7 WaterC'' Data'!$AA$4:$AB$7,2,FALSE)))</f>
        <v/>
      </c>
      <c r="AK49" s="123"/>
      <c r="AL49" s="363" t="str">
        <f>IF(AK49="","",IF(VLOOKUP(AK49,'G-7 WaterC'' Data'!$AD$4:$AE$14,2,FALSE)=0,"Spatial Data Missing ⚠",VLOOKUP(AK49,'G-7 WaterC'' Data'!$AD$4:$AE$14,2,FALSE)))</f>
        <v/>
      </c>
      <c r="AM49" s="405" t="str">
        <f t="shared" si="7"/>
        <v/>
      </c>
      <c r="AN49" s="117"/>
      <c r="AO49" s="118"/>
      <c r="AP49" s="120"/>
      <c r="AV49" s="30" t="str">
        <f>IFERROR(INDEX('G-7 WaterC'' Data'!$AZ$3:$AZ$7,MATCH(N49,'G-7 WaterC'' Data'!$AY$3:$AY$7,0)),"")</f>
        <v/>
      </c>
    </row>
    <row r="50" spans="2:48" ht="15">
      <c r="B50" s="392" t="str">
        <f>'C-1 On-Site WaterC'' Baseline'!AO48</f>
        <v/>
      </c>
      <c r="C50" s="382" t="str">
        <f>IF(B50="","",VLOOKUP($B50,'C-1 On-Site WaterC'' Baseline'!$C$9:$R$257,2,FALSE))</f>
        <v/>
      </c>
      <c r="D50" s="382" t="str">
        <f>IF(C50="","",VLOOKUP($B50,'C-1 On-Site WaterC'' Baseline'!$C$9:$R$257,3,FALSE))</f>
        <v/>
      </c>
      <c r="E50" s="382" t="str">
        <f>IF(D50="","",VLOOKUP($B50,'C-1 On-Site WaterC'' Baseline'!$C$9:$R$257,4,FALSE))</f>
        <v/>
      </c>
      <c r="F50" s="382" t="str">
        <f>IF(E50="","",VLOOKUP($B50,'C-1 On-Site WaterC'' Baseline'!$C$9:$R$257,5,FALSE))</f>
        <v/>
      </c>
      <c r="G50" s="382" t="str">
        <f>IF(F50="","",VLOOKUP($B50,'C-1 On-Site WaterC'' Baseline'!$C$9:$R$257,6,FALSE))</f>
        <v/>
      </c>
      <c r="H50" s="382" t="str">
        <f>IF(G50="","",VLOOKUP($B50,'C-1 On-Site WaterC'' Baseline'!$C$9:$R$257,7,FALSE))</f>
        <v/>
      </c>
      <c r="I50" s="382" t="str">
        <f>IF(H50="","",VLOOKUP($B50,'C-1 On-Site WaterC'' Baseline'!$C$9:$R$257,8,FALSE))</f>
        <v/>
      </c>
      <c r="J50" s="382" t="str">
        <f>IF(I50="","",VLOOKUP($B50,'C-1 On-Site WaterC'' Baseline'!$C$9:$R$257,9,FALSE))</f>
        <v/>
      </c>
      <c r="K50" s="382" t="str">
        <f>IF(J50="","",VLOOKUP($B50,'C-1 On-Site WaterC'' Baseline'!$C$9:$R$257,10,FALSE))</f>
        <v/>
      </c>
      <c r="L50" s="382" t="str">
        <f>IF(B50="","",VLOOKUP($B50,'C-1 On-Site WaterC'' Baseline'!$C$9:$R$257,15,FALSE))</f>
        <v/>
      </c>
      <c r="M50" s="386" t="str">
        <f>IF(L50="","",VLOOKUP($B50,'C-1 On-Site WaterC'' Baseline'!$C$9:$R$257,16,FALSE))</f>
        <v/>
      </c>
      <c r="N50" s="320" t="str">
        <f t="shared" si="0"/>
        <v/>
      </c>
      <c r="O50" s="362" t="str">
        <f t="shared" si="2"/>
        <v/>
      </c>
      <c r="P50" s="363" t="str">
        <f>IF(C50="","",IF(AND(LEFT(C50,55)&lt;&gt;LEFT(N50,55),O50="High - High"),"Error - Not like for like ▲",IF(H50&gt;U50,"Error - Can not reduce condition ▲",IF(AND(F50=S50,H50=U50,AJ50='C-1 On-Site WaterC'' Baseline'!N48,'C-1 On-Site WaterC'' Baseline'!P48=AL50),"Error - No enhancement ▲",IF(AND(C50&lt;&gt;N50,F50&lt;S50),"Lower Distinctiveness Habitat"&amp;" - "&amp;T50,G50&amp;" - "&amp;T50)))))</f>
        <v/>
      </c>
      <c r="Q50" s="425" t="str">
        <f>IF(N50="","",VLOOKUP(B50,'C-1 On-Site WaterC'' Baseline'!$C$10:$AB$257,19,FALSE))</f>
        <v/>
      </c>
      <c r="R50" s="362" t="str">
        <f>IF(N50="","",VLOOKUP(N50,'G-7 WaterC'' Data'!$B$2:$G$8,2,FALSE))</f>
        <v/>
      </c>
      <c r="S50" s="363" t="str">
        <f>IFERROR(VLOOKUP(R50,'G-7 WaterC'' Data'!$C$4:$D$8,2,FALSE),"")</f>
        <v/>
      </c>
      <c r="T50" s="114"/>
      <c r="U50" s="363" t="str">
        <f>IFERROR(INDEX('G-7 WaterC'' Data'!$H$4:$L$8,MATCH(N50,'G-7 WaterC'' Data'!$B$4:$B$8,0),MATCH(T50,'G-7 WaterC'' Data'!$H$3:$L$3,0)),"")</f>
        <v/>
      </c>
      <c r="V50" s="114"/>
      <c r="W50" s="370" t="str">
        <f>IF(V50="","",IF(VLOOKUP(V50,'G-7 WaterC'' Data'!$AK$4:$AM$6,2,FALSE)=0,"Spatial Data Missing ⚠",VLOOKUP(V50,'G-7 WaterC'' Data'!$AK$4:$AM$6,2,FALSE)))</f>
        <v/>
      </c>
      <c r="X50" s="363" t="str">
        <f>IF(V50="","",IF(VLOOKUP(V50,'G-7 WaterC'' Data'!$AK$4:$AM$6,3,FALSE)=0,"Spatial Data Missing ⚠",VLOOKUP(V50,'G-7 WaterC'' Data'!$AK$4:$AM$6,3,FALSE)))</f>
        <v/>
      </c>
      <c r="Y50" s="362" t="str">
        <f>IFERROR(IF(OR(LEFT(P50,5)="Error",LEFT(O50,5)="Error ▲"),"Check Data ⚠",IF(F50&lt;S50,'G-7 WaterC'' Data'!$R$3,INDEX('G-7 WaterC'' Data'!$U$5:$Y$9,MATCH(G50,'G-7 WaterC'' Data'!$T$5:$T$9,0),MATCH(T50,'G-7 WaterC'' Data'!$U$4:$Y$4,0)))),"")</f>
        <v/>
      </c>
      <c r="Z50" s="159"/>
      <c r="AA50" s="159"/>
      <c r="AB50" s="370" t="str">
        <f t="shared" si="3"/>
        <v/>
      </c>
      <c r="AC50" s="383" t="str">
        <f t="shared" si="4"/>
        <v/>
      </c>
      <c r="AD50" s="422" t="str">
        <f>IFERROR(IF(AC50="Check Data ⚠","Check Data ⚠",VLOOKUP(AC50,'G-4 Temporal multipliers'!$A$4:$C$37,3,FALSE)),"")</f>
        <v/>
      </c>
      <c r="AE50" s="362" t="str">
        <f>IF(N50="","",VLOOKUP(N50,'G-7 WaterC'' Data'!$B$4:$G$8,5,FALSE))</f>
        <v/>
      </c>
      <c r="AF50" s="370" t="str">
        <f t="shared" si="5"/>
        <v/>
      </c>
      <c r="AG50" s="401" t="str">
        <f t="shared" si="6"/>
        <v/>
      </c>
      <c r="AH50" s="363" t="str">
        <f t="shared" si="1"/>
        <v/>
      </c>
      <c r="AI50" s="122"/>
      <c r="AJ50" s="363" t="str">
        <f>IF(AI50="","",IF(VLOOKUP(AI50,'G-7 WaterC'' Data'!$AA$4:$AB$7,2,FALSE)=0,"Spatial Data Missing ⚠",VLOOKUP(AI50,'G-7 WaterC'' Data'!$AA$4:$AB$7,2,FALSE)))</f>
        <v/>
      </c>
      <c r="AK50" s="123"/>
      <c r="AL50" s="363" t="str">
        <f>IF(AK50="","",IF(VLOOKUP(AK50,'G-7 WaterC'' Data'!$AD$4:$AE$14,2,FALSE)=0,"Spatial Data Missing ⚠",VLOOKUP(AK50,'G-7 WaterC'' Data'!$AD$4:$AE$14,2,FALSE)))</f>
        <v/>
      </c>
      <c r="AM50" s="405" t="str">
        <f t="shared" si="7"/>
        <v/>
      </c>
      <c r="AN50" s="117"/>
      <c r="AO50" s="118"/>
      <c r="AP50" s="120"/>
      <c r="AV50" s="30" t="str">
        <f>IFERROR(INDEX('G-7 WaterC'' Data'!$AZ$3:$AZ$7,MATCH(N50,'G-7 WaterC'' Data'!$AY$3:$AY$7,0)),"")</f>
        <v/>
      </c>
    </row>
    <row r="51" spans="2:48" ht="15">
      <c r="B51" s="392" t="str">
        <f>'C-1 On-Site WaterC'' Baseline'!AO49</f>
        <v/>
      </c>
      <c r="C51" s="382" t="str">
        <f>IF(B51="","",VLOOKUP($B51,'C-1 On-Site WaterC'' Baseline'!$C$9:$R$257,2,FALSE))</f>
        <v/>
      </c>
      <c r="D51" s="382" t="str">
        <f>IF(C51="","",VLOOKUP($B51,'C-1 On-Site WaterC'' Baseline'!$C$9:$R$257,3,FALSE))</f>
        <v/>
      </c>
      <c r="E51" s="382" t="str">
        <f>IF(D51="","",VLOOKUP($B51,'C-1 On-Site WaterC'' Baseline'!$C$9:$R$257,4,FALSE))</f>
        <v/>
      </c>
      <c r="F51" s="382" t="str">
        <f>IF(E51="","",VLOOKUP($B51,'C-1 On-Site WaterC'' Baseline'!$C$9:$R$257,5,FALSE))</f>
        <v/>
      </c>
      <c r="G51" s="382" t="str">
        <f>IF(F51="","",VLOOKUP($B51,'C-1 On-Site WaterC'' Baseline'!$C$9:$R$257,6,FALSE))</f>
        <v/>
      </c>
      <c r="H51" s="382" t="str">
        <f>IF(G51="","",VLOOKUP($B51,'C-1 On-Site WaterC'' Baseline'!$C$9:$R$257,7,FALSE))</f>
        <v/>
      </c>
      <c r="I51" s="382" t="str">
        <f>IF(H51="","",VLOOKUP($B51,'C-1 On-Site WaterC'' Baseline'!$C$9:$R$257,8,FALSE))</f>
        <v/>
      </c>
      <c r="J51" s="382" t="str">
        <f>IF(I51="","",VLOOKUP($B51,'C-1 On-Site WaterC'' Baseline'!$C$9:$R$257,9,FALSE))</f>
        <v/>
      </c>
      <c r="K51" s="382" t="str">
        <f>IF(J51="","",VLOOKUP($B51,'C-1 On-Site WaterC'' Baseline'!$C$9:$R$257,10,FALSE))</f>
        <v/>
      </c>
      <c r="L51" s="382" t="str">
        <f>IF(B51="","",VLOOKUP($B51,'C-1 On-Site WaterC'' Baseline'!$C$9:$R$257,15,FALSE))</f>
        <v/>
      </c>
      <c r="M51" s="386" t="str">
        <f>IF(L51="","",VLOOKUP($B51,'C-1 On-Site WaterC'' Baseline'!$C$9:$R$257,16,FALSE))</f>
        <v/>
      </c>
      <c r="N51" s="320" t="str">
        <f t="shared" si="0"/>
        <v/>
      </c>
      <c r="O51" s="362" t="str">
        <f t="shared" si="2"/>
        <v/>
      </c>
      <c r="P51" s="363" t="str">
        <f>IF(C51="","",IF(AND(LEFT(C51,55)&lt;&gt;LEFT(N51,55),O51="High - High"),"Error - Not like for like ▲",IF(H51&gt;U51,"Error - Can not reduce condition ▲",IF(AND(F51=S51,H51=U51,AJ51='C-1 On-Site WaterC'' Baseline'!N49,'C-1 On-Site WaterC'' Baseline'!P49=AL51),"Error - No enhancement ▲",IF(AND(C51&lt;&gt;N51,F51&lt;S51),"Lower Distinctiveness Habitat"&amp;" - "&amp;T51,G51&amp;" - "&amp;T51)))))</f>
        <v/>
      </c>
      <c r="Q51" s="425" t="str">
        <f>IF(N51="","",VLOOKUP(B51,'C-1 On-Site WaterC'' Baseline'!$C$10:$AB$257,19,FALSE))</f>
        <v/>
      </c>
      <c r="R51" s="362" t="str">
        <f>IF(N51="","",VLOOKUP(N51,'G-7 WaterC'' Data'!$B$2:$G$8,2,FALSE))</f>
        <v/>
      </c>
      <c r="S51" s="363" t="str">
        <f>IFERROR(VLOOKUP(R51,'G-7 WaterC'' Data'!$C$4:$D$8,2,FALSE),"")</f>
        <v/>
      </c>
      <c r="T51" s="114"/>
      <c r="U51" s="363" t="str">
        <f>IFERROR(INDEX('G-7 WaterC'' Data'!$H$4:$L$8,MATCH(N51,'G-7 WaterC'' Data'!$B$4:$B$8,0),MATCH(T51,'G-7 WaterC'' Data'!$H$3:$L$3,0)),"")</f>
        <v/>
      </c>
      <c r="V51" s="114"/>
      <c r="W51" s="370" t="str">
        <f>IF(V51="","",IF(VLOOKUP(V51,'G-7 WaterC'' Data'!$AK$4:$AM$6,2,FALSE)=0,"Spatial Data Missing ⚠",VLOOKUP(V51,'G-7 WaterC'' Data'!$AK$4:$AM$6,2,FALSE)))</f>
        <v/>
      </c>
      <c r="X51" s="363" t="str">
        <f>IF(V51="","",IF(VLOOKUP(V51,'G-7 WaterC'' Data'!$AK$4:$AM$6,3,FALSE)=0,"Spatial Data Missing ⚠",VLOOKUP(V51,'G-7 WaterC'' Data'!$AK$4:$AM$6,3,FALSE)))</f>
        <v/>
      </c>
      <c r="Y51" s="362" t="str">
        <f>IFERROR(IF(OR(LEFT(P51,5)="Error",LEFT(O51,5)="Error ▲"),"Check Data ⚠",IF(F51&lt;S51,'G-7 WaterC'' Data'!$R$3,INDEX('G-7 WaterC'' Data'!$U$5:$Y$9,MATCH(G51,'G-7 WaterC'' Data'!$T$5:$T$9,0),MATCH(T51,'G-7 WaterC'' Data'!$U$4:$Y$4,0)))),"")</f>
        <v/>
      </c>
      <c r="Z51" s="159"/>
      <c r="AA51" s="159"/>
      <c r="AB51" s="370" t="str">
        <f t="shared" si="3"/>
        <v/>
      </c>
      <c r="AC51" s="383" t="str">
        <f t="shared" si="4"/>
        <v/>
      </c>
      <c r="AD51" s="422" t="str">
        <f>IFERROR(IF(AC51="Check Data ⚠","Check Data ⚠",VLOOKUP(AC51,'G-4 Temporal multipliers'!$A$4:$C$37,3,FALSE)),"")</f>
        <v/>
      </c>
      <c r="AE51" s="362" t="str">
        <f>IF(N51="","",VLOOKUP(N51,'G-7 WaterC'' Data'!$B$4:$G$8,5,FALSE))</f>
        <v/>
      </c>
      <c r="AF51" s="370" t="str">
        <f t="shared" si="5"/>
        <v/>
      </c>
      <c r="AG51" s="401" t="str">
        <f t="shared" si="6"/>
        <v/>
      </c>
      <c r="AH51" s="363" t="str">
        <f t="shared" si="1"/>
        <v/>
      </c>
      <c r="AI51" s="122"/>
      <c r="AJ51" s="363" t="str">
        <f>IF(AI51="","",IF(VLOOKUP(AI51,'G-7 WaterC'' Data'!$AA$4:$AB$7,2,FALSE)=0,"Spatial Data Missing ⚠",VLOOKUP(AI51,'G-7 WaterC'' Data'!$AA$4:$AB$7,2,FALSE)))</f>
        <v/>
      </c>
      <c r="AK51" s="123"/>
      <c r="AL51" s="363" t="str">
        <f>IF(AK51="","",IF(VLOOKUP(AK51,'G-7 WaterC'' Data'!$AD$4:$AE$14,2,FALSE)=0,"Spatial Data Missing ⚠",VLOOKUP(AK51,'G-7 WaterC'' Data'!$AD$4:$AE$14,2,FALSE)))</f>
        <v/>
      </c>
      <c r="AM51" s="405" t="str">
        <f t="shared" si="7"/>
        <v/>
      </c>
      <c r="AN51" s="117"/>
      <c r="AO51" s="118"/>
      <c r="AP51" s="120"/>
      <c r="AV51" s="30" t="str">
        <f>IFERROR(INDEX('G-7 WaterC'' Data'!$AZ$3:$AZ$7,MATCH(N51,'G-7 WaterC'' Data'!$AY$3:$AY$7,0)),"")</f>
        <v/>
      </c>
    </row>
    <row r="52" spans="2:48" ht="15">
      <c r="B52" s="392" t="str">
        <f>'C-1 On-Site WaterC'' Baseline'!AO50</f>
        <v/>
      </c>
      <c r="C52" s="382" t="str">
        <f>IF(B52="","",VLOOKUP($B52,'C-1 On-Site WaterC'' Baseline'!$C$9:$R$257,2,FALSE))</f>
        <v/>
      </c>
      <c r="D52" s="382" t="str">
        <f>IF(C52="","",VLOOKUP($B52,'C-1 On-Site WaterC'' Baseline'!$C$9:$R$257,3,FALSE))</f>
        <v/>
      </c>
      <c r="E52" s="382" t="str">
        <f>IF(D52="","",VLOOKUP($B52,'C-1 On-Site WaterC'' Baseline'!$C$9:$R$257,4,FALSE))</f>
        <v/>
      </c>
      <c r="F52" s="382" t="str">
        <f>IF(E52="","",VLOOKUP($B52,'C-1 On-Site WaterC'' Baseline'!$C$9:$R$257,5,FALSE))</f>
        <v/>
      </c>
      <c r="G52" s="382" t="str">
        <f>IF(F52="","",VLOOKUP($B52,'C-1 On-Site WaterC'' Baseline'!$C$9:$R$257,6,FALSE))</f>
        <v/>
      </c>
      <c r="H52" s="382" t="str">
        <f>IF(G52="","",VLOOKUP($B52,'C-1 On-Site WaterC'' Baseline'!$C$9:$R$257,7,FALSE))</f>
        <v/>
      </c>
      <c r="I52" s="382" t="str">
        <f>IF(H52="","",VLOOKUP($B52,'C-1 On-Site WaterC'' Baseline'!$C$9:$R$257,8,FALSE))</f>
        <v/>
      </c>
      <c r="J52" s="382" t="str">
        <f>IF(I52="","",VLOOKUP($B52,'C-1 On-Site WaterC'' Baseline'!$C$9:$R$257,9,FALSE))</f>
        <v/>
      </c>
      <c r="K52" s="382" t="str">
        <f>IF(J52="","",VLOOKUP($B52,'C-1 On-Site WaterC'' Baseline'!$C$9:$R$257,10,FALSE))</f>
        <v/>
      </c>
      <c r="L52" s="382" t="str">
        <f>IF(B52="","",VLOOKUP($B52,'C-1 On-Site WaterC'' Baseline'!$C$9:$R$257,15,FALSE))</f>
        <v/>
      </c>
      <c r="M52" s="386" t="str">
        <f>IF(L52="","",VLOOKUP($B52,'C-1 On-Site WaterC'' Baseline'!$C$9:$R$257,16,FALSE))</f>
        <v/>
      </c>
      <c r="N52" s="320" t="str">
        <f t="shared" si="0"/>
        <v/>
      </c>
      <c r="O52" s="362" t="str">
        <f t="shared" si="2"/>
        <v/>
      </c>
      <c r="P52" s="363" t="str">
        <f>IF(C52="","",IF(AND(LEFT(C52,55)&lt;&gt;LEFT(N52,55),O52="High - High"),"Error - Not like for like ▲",IF(H52&gt;U52,"Error - Can not reduce condition ▲",IF(AND(F52=S52,H52=U52,AJ52='C-1 On-Site WaterC'' Baseline'!N50,'C-1 On-Site WaterC'' Baseline'!P50=AL52),"Error - No enhancement ▲",IF(AND(C52&lt;&gt;N52,F52&lt;S52),"Lower Distinctiveness Habitat"&amp;" - "&amp;T52,G52&amp;" - "&amp;T52)))))</f>
        <v/>
      </c>
      <c r="Q52" s="425" t="str">
        <f>IF(N52="","",VLOOKUP(B52,'C-1 On-Site WaterC'' Baseline'!$C$10:$AB$257,19,FALSE))</f>
        <v/>
      </c>
      <c r="R52" s="362" t="str">
        <f>IF(N52="","",VLOOKUP(N52,'G-7 WaterC'' Data'!$B$2:$G$8,2,FALSE))</f>
        <v/>
      </c>
      <c r="S52" s="363" t="str">
        <f>IFERROR(VLOOKUP(R52,'G-7 WaterC'' Data'!$C$4:$D$8,2,FALSE),"")</f>
        <v/>
      </c>
      <c r="T52" s="114"/>
      <c r="U52" s="363" t="str">
        <f>IFERROR(INDEX('G-7 WaterC'' Data'!$H$4:$L$8,MATCH(N52,'G-7 WaterC'' Data'!$B$4:$B$8,0),MATCH(T52,'G-7 WaterC'' Data'!$H$3:$L$3,0)),"")</f>
        <v/>
      </c>
      <c r="V52" s="114"/>
      <c r="W52" s="370" t="str">
        <f>IF(V52="","",IF(VLOOKUP(V52,'G-7 WaterC'' Data'!$AK$4:$AM$6,2,FALSE)=0,"Spatial Data Missing ⚠",VLOOKUP(V52,'G-7 WaterC'' Data'!$AK$4:$AM$6,2,FALSE)))</f>
        <v/>
      </c>
      <c r="X52" s="363" t="str">
        <f>IF(V52="","",IF(VLOOKUP(V52,'G-7 WaterC'' Data'!$AK$4:$AM$6,3,FALSE)=0,"Spatial Data Missing ⚠",VLOOKUP(V52,'G-7 WaterC'' Data'!$AK$4:$AM$6,3,FALSE)))</f>
        <v/>
      </c>
      <c r="Y52" s="362" t="str">
        <f>IFERROR(IF(OR(LEFT(P52,5)="Error",LEFT(O52,5)="Error ▲"),"Check Data ⚠",IF(F52&lt;S52,'G-7 WaterC'' Data'!$R$3,INDEX('G-7 WaterC'' Data'!$U$5:$Y$9,MATCH(G52,'G-7 WaterC'' Data'!$T$5:$T$9,0),MATCH(T52,'G-7 WaterC'' Data'!$U$4:$Y$4,0)))),"")</f>
        <v/>
      </c>
      <c r="Z52" s="159"/>
      <c r="AA52" s="159"/>
      <c r="AB52" s="370" t="str">
        <f t="shared" si="3"/>
        <v/>
      </c>
      <c r="AC52" s="383" t="str">
        <f t="shared" si="4"/>
        <v/>
      </c>
      <c r="AD52" s="422" t="str">
        <f>IFERROR(IF(AC52="Check Data ⚠","Check Data ⚠",VLOOKUP(AC52,'G-4 Temporal multipliers'!$A$4:$C$37,3,FALSE)),"")</f>
        <v/>
      </c>
      <c r="AE52" s="362" t="str">
        <f>IF(N52="","",VLOOKUP(N52,'G-7 WaterC'' Data'!$B$4:$G$8,5,FALSE))</f>
        <v/>
      </c>
      <c r="AF52" s="370" t="str">
        <f t="shared" si="5"/>
        <v/>
      </c>
      <c r="AG52" s="401" t="str">
        <f t="shared" si="6"/>
        <v/>
      </c>
      <c r="AH52" s="363" t="str">
        <f t="shared" si="1"/>
        <v/>
      </c>
      <c r="AI52" s="122"/>
      <c r="AJ52" s="363" t="str">
        <f>IF(AI52="","",IF(VLOOKUP(AI52,'G-7 WaterC'' Data'!$AA$4:$AB$7,2,FALSE)=0,"Spatial Data Missing ⚠",VLOOKUP(AI52,'G-7 WaterC'' Data'!$AA$4:$AB$7,2,FALSE)))</f>
        <v/>
      </c>
      <c r="AK52" s="123"/>
      <c r="AL52" s="363" t="str">
        <f>IF(AK52="","",IF(VLOOKUP(AK52,'G-7 WaterC'' Data'!$AD$4:$AE$14,2,FALSE)=0,"Spatial Data Missing ⚠",VLOOKUP(AK52,'G-7 WaterC'' Data'!$AD$4:$AE$14,2,FALSE)))</f>
        <v/>
      </c>
      <c r="AM52" s="405" t="str">
        <f t="shared" si="7"/>
        <v/>
      </c>
      <c r="AN52" s="117"/>
      <c r="AO52" s="118"/>
      <c r="AP52" s="120"/>
      <c r="AV52" s="30" t="str">
        <f>IFERROR(INDEX('G-7 WaterC'' Data'!$AZ$3:$AZ$7,MATCH(N52,'G-7 WaterC'' Data'!$AY$3:$AY$7,0)),"")</f>
        <v/>
      </c>
    </row>
    <row r="53" spans="2:48" ht="15">
      <c r="B53" s="392" t="str">
        <f>'C-1 On-Site WaterC'' Baseline'!AO51</f>
        <v/>
      </c>
      <c r="C53" s="382" t="str">
        <f>IF(B53="","",VLOOKUP($B53,'C-1 On-Site WaterC'' Baseline'!$C$9:$R$257,2,FALSE))</f>
        <v/>
      </c>
      <c r="D53" s="382" t="str">
        <f>IF(C53="","",VLOOKUP($B53,'C-1 On-Site WaterC'' Baseline'!$C$9:$R$257,3,FALSE))</f>
        <v/>
      </c>
      <c r="E53" s="382" t="str">
        <f>IF(D53="","",VLOOKUP($B53,'C-1 On-Site WaterC'' Baseline'!$C$9:$R$257,4,FALSE))</f>
        <v/>
      </c>
      <c r="F53" s="382" t="str">
        <f>IF(E53="","",VLOOKUP($B53,'C-1 On-Site WaterC'' Baseline'!$C$9:$R$257,5,FALSE))</f>
        <v/>
      </c>
      <c r="G53" s="382" t="str">
        <f>IF(F53="","",VLOOKUP($B53,'C-1 On-Site WaterC'' Baseline'!$C$9:$R$257,6,FALSE))</f>
        <v/>
      </c>
      <c r="H53" s="382" t="str">
        <f>IF(G53="","",VLOOKUP($B53,'C-1 On-Site WaterC'' Baseline'!$C$9:$R$257,7,FALSE))</f>
        <v/>
      </c>
      <c r="I53" s="382" t="str">
        <f>IF(H53="","",VLOOKUP($B53,'C-1 On-Site WaterC'' Baseline'!$C$9:$R$257,8,FALSE))</f>
        <v/>
      </c>
      <c r="J53" s="382" t="str">
        <f>IF(I53="","",VLOOKUP($B53,'C-1 On-Site WaterC'' Baseline'!$C$9:$R$257,9,FALSE))</f>
        <v/>
      </c>
      <c r="K53" s="382" t="str">
        <f>IF(J53="","",VLOOKUP($B53,'C-1 On-Site WaterC'' Baseline'!$C$9:$R$257,10,FALSE))</f>
        <v/>
      </c>
      <c r="L53" s="382" t="str">
        <f>IF(B53="","",VLOOKUP($B53,'C-1 On-Site WaterC'' Baseline'!$C$9:$R$257,15,FALSE))</f>
        <v/>
      </c>
      <c r="M53" s="386" t="str">
        <f>IF(L53="","",VLOOKUP($B53,'C-1 On-Site WaterC'' Baseline'!$C$9:$R$257,16,FALSE))</f>
        <v/>
      </c>
      <c r="N53" s="320" t="str">
        <f t="shared" si="0"/>
        <v/>
      </c>
      <c r="O53" s="362" t="str">
        <f t="shared" si="2"/>
        <v/>
      </c>
      <c r="P53" s="363" t="str">
        <f>IF(C53="","",IF(AND(LEFT(C53,55)&lt;&gt;LEFT(N53,55),O53="High - High"),"Error - Not like for like ▲",IF(H53&gt;U53,"Error - Can not reduce condition ▲",IF(AND(F53=S53,H53=U53,AJ53='C-1 On-Site WaterC'' Baseline'!N51,'C-1 On-Site WaterC'' Baseline'!P51=AL53),"Error - No enhancement ▲",IF(AND(C53&lt;&gt;N53,F53&lt;S53),"Lower Distinctiveness Habitat"&amp;" - "&amp;T53,G53&amp;" - "&amp;T53)))))</f>
        <v/>
      </c>
      <c r="Q53" s="425" t="str">
        <f>IF(N53="","",VLOOKUP(B53,'C-1 On-Site WaterC'' Baseline'!$C$10:$AB$257,19,FALSE))</f>
        <v/>
      </c>
      <c r="R53" s="362" t="str">
        <f>IF(N53="","",VLOOKUP(N53,'G-7 WaterC'' Data'!$B$2:$G$8,2,FALSE))</f>
        <v/>
      </c>
      <c r="S53" s="363" t="str">
        <f>IFERROR(VLOOKUP(R53,'G-7 WaterC'' Data'!$C$4:$D$8,2,FALSE),"")</f>
        <v/>
      </c>
      <c r="T53" s="114"/>
      <c r="U53" s="363" t="str">
        <f>IFERROR(INDEX('G-7 WaterC'' Data'!$H$4:$L$8,MATCH(N53,'G-7 WaterC'' Data'!$B$4:$B$8,0),MATCH(T53,'G-7 WaterC'' Data'!$H$3:$L$3,0)),"")</f>
        <v/>
      </c>
      <c r="V53" s="114"/>
      <c r="W53" s="370" t="str">
        <f>IF(V53="","",IF(VLOOKUP(V53,'G-7 WaterC'' Data'!$AK$4:$AM$6,2,FALSE)=0,"Spatial Data Missing ⚠",VLOOKUP(V53,'G-7 WaterC'' Data'!$AK$4:$AM$6,2,FALSE)))</f>
        <v/>
      </c>
      <c r="X53" s="363" t="str">
        <f>IF(V53="","",IF(VLOOKUP(V53,'G-7 WaterC'' Data'!$AK$4:$AM$6,3,FALSE)=0,"Spatial Data Missing ⚠",VLOOKUP(V53,'G-7 WaterC'' Data'!$AK$4:$AM$6,3,FALSE)))</f>
        <v/>
      </c>
      <c r="Y53" s="362" t="str">
        <f>IFERROR(IF(OR(LEFT(P53,5)="Error",LEFT(O53,5)="Error ▲"),"Check Data ⚠",IF(F53&lt;S53,'G-7 WaterC'' Data'!$R$3,INDEX('G-7 WaterC'' Data'!$U$5:$Y$9,MATCH(G53,'G-7 WaterC'' Data'!$T$5:$T$9,0),MATCH(T53,'G-7 WaterC'' Data'!$U$4:$Y$4,0)))),"")</f>
        <v/>
      </c>
      <c r="Z53" s="159"/>
      <c r="AA53" s="159"/>
      <c r="AB53" s="370" t="str">
        <f t="shared" si="3"/>
        <v/>
      </c>
      <c r="AC53" s="383" t="str">
        <f t="shared" si="4"/>
        <v/>
      </c>
      <c r="AD53" s="422" t="str">
        <f>IFERROR(IF(AC53="Check Data ⚠","Check Data ⚠",VLOOKUP(AC53,'G-4 Temporal multipliers'!$A$4:$C$37,3,FALSE)),"")</f>
        <v/>
      </c>
      <c r="AE53" s="362" t="str">
        <f>IF(N53="","",VLOOKUP(N53,'G-7 WaterC'' Data'!$B$4:$G$8,5,FALSE))</f>
        <v/>
      </c>
      <c r="AF53" s="370" t="str">
        <f t="shared" si="5"/>
        <v/>
      </c>
      <c r="AG53" s="401" t="str">
        <f t="shared" si="6"/>
        <v/>
      </c>
      <c r="AH53" s="363" t="str">
        <f t="shared" si="1"/>
        <v/>
      </c>
      <c r="AI53" s="122"/>
      <c r="AJ53" s="363" t="str">
        <f>IF(AI53="","",IF(VLOOKUP(AI53,'G-7 WaterC'' Data'!$AA$4:$AB$7,2,FALSE)=0,"Spatial Data Missing ⚠",VLOOKUP(AI53,'G-7 WaterC'' Data'!$AA$4:$AB$7,2,FALSE)))</f>
        <v/>
      </c>
      <c r="AK53" s="123"/>
      <c r="AL53" s="363" t="str">
        <f>IF(AK53="","",IF(VLOOKUP(AK53,'G-7 WaterC'' Data'!$AD$4:$AE$14,2,FALSE)=0,"Spatial Data Missing ⚠",VLOOKUP(AK53,'G-7 WaterC'' Data'!$AD$4:$AE$14,2,FALSE)))</f>
        <v/>
      </c>
      <c r="AM53" s="405" t="str">
        <f t="shared" si="7"/>
        <v/>
      </c>
      <c r="AN53" s="117"/>
      <c r="AO53" s="118"/>
      <c r="AP53" s="120"/>
      <c r="AV53" s="30" t="str">
        <f>IFERROR(INDEX('G-7 WaterC'' Data'!$AZ$3:$AZ$7,MATCH(N53,'G-7 WaterC'' Data'!$AY$3:$AY$7,0)),"")</f>
        <v/>
      </c>
    </row>
    <row r="54" spans="2:48" ht="15">
      <c r="B54" s="392" t="str">
        <f>'C-1 On-Site WaterC'' Baseline'!AO52</f>
        <v/>
      </c>
      <c r="C54" s="382" t="str">
        <f>IF(B54="","",VLOOKUP($B54,'C-1 On-Site WaterC'' Baseline'!$C$9:$R$257,2,FALSE))</f>
        <v/>
      </c>
      <c r="D54" s="382" t="str">
        <f>IF(C54="","",VLOOKUP($B54,'C-1 On-Site WaterC'' Baseline'!$C$9:$R$257,3,FALSE))</f>
        <v/>
      </c>
      <c r="E54" s="382" t="str">
        <f>IF(D54="","",VLOOKUP($B54,'C-1 On-Site WaterC'' Baseline'!$C$9:$R$257,4,FALSE))</f>
        <v/>
      </c>
      <c r="F54" s="382" t="str">
        <f>IF(E54="","",VLOOKUP($B54,'C-1 On-Site WaterC'' Baseline'!$C$9:$R$257,5,FALSE))</f>
        <v/>
      </c>
      <c r="G54" s="382" t="str">
        <f>IF(F54="","",VLOOKUP($B54,'C-1 On-Site WaterC'' Baseline'!$C$9:$R$257,6,FALSE))</f>
        <v/>
      </c>
      <c r="H54" s="382" t="str">
        <f>IF(G54="","",VLOOKUP($B54,'C-1 On-Site WaterC'' Baseline'!$C$9:$R$257,7,FALSE))</f>
        <v/>
      </c>
      <c r="I54" s="382" t="str">
        <f>IF(H54="","",VLOOKUP($B54,'C-1 On-Site WaterC'' Baseline'!$C$9:$R$257,8,FALSE))</f>
        <v/>
      </c>
      <c r="J54" s="382" t="str">
        <f>IF(I54="","",VLOOKUP($B54,'C-1 On-Site WaterC'' Baseline'!$C$9:$R$257,9,FALSE))</f>
        <v/>
      </c>
      <c r="K54" s="382" t="str">
        <f>IF(J54="","",VLOOKUP($B54,'C-1 On-Site WaterC'' Baseline'!$C$9:$R$257,10,FALSE))</f>
        <v/>
      </c>
      <c r="L54" s="382" t="str">
        <f>IF(B54="","",VLOOKUP($B54,'C-1 On-Site WaterC'' Baseline'!$C$9:$R$257,15,FALSE))</f>
        <v/>
      </c>
      <c r="M54" s="386" t="str">
        <f>IF(L54="","",VLOOKUP($B54,'C-1 On-Site WaterC'' Baseline'!$C$9:$R$257,16,FALSE))</f>
        <v/>
      </c>
      <c r="N54" s="320" t="str">
        <f t="shared" si="0"/>
        <v/>
      </c>
      <c r="O54" s="362" t="str">
        <f t="shared" si="2"/>
        <v/>
      </c>
      <c r="P54" s="363" t="str">
        <f>IF(C54="","",IF(AND(LEFT(C54,55)&lt;&gt;LEFT(N54,55),O54="High - High"),"Error - Not like for like ▲",IF(H54&gt;U54,"Error - Can not reduce condition ▲",IF(AND(F54=S54,H54=U54,AJ54='C-1 On-Site WaterC'' Baseline'!N52,'C-1 On-Site WaterC'' Baseline'!P52=AL54),"Error - No enhancement ▲",IF(AND(C54&lt;&gt;N54,F54&lt;S54),"Lower Distinctiveness Habitat"&amp;" - "&amp;T54,G54&amp;" - "&amp;T54)))))</f>
        <v/>
      </c>
      <c r="Q54" s="425" t="str">
        <f>IF(N54="","",VLOOKUP(B54,'C-1 On-Site WaterC'' Baseline'!$C$10:$AB$257,19,FALSE))</f>
        <v/>
      </c>
      <c r="R54" s="362" t="str">
        <f>IF(N54="","",VLOOKUP(N54,'G-7 WaterC'' Data'!$B$2:$G$8,2,FALSE))</f>
        <v/>
      </c>
      <c r="S54" s="363" t="str">
        <f>IFERROR(VLOOKUP(R54,'G-7 WaterC'' Data'!$C$4:$D$8,2,FALSE),"")</f>
        <v/>
      </c>
      <c r="T54" s="114"/>
      <c r="U54" s="363" t="str">
        <f>IFERROR(INDEX('G-7 WaterC'' Data'!$H$4:$L$8,MATCH(N54,'G-7 WaterC'' Data'!$B$4:$B$8,0),MATCH(T54,'G-7 WaterC'' Data'!$H$3:$L$3,0)),"")</f>
        <v/>
      </c>
      <c r="V54" s="114"/>
      <c r="W54" s="370" t="str">
        <f>IF(V54="","",IF(VLOOKUP(V54,'G-7 WaterC'' Data'!$AK$4:$AM$6,2,FALSE)=0,"Spatial Data Missing ⚠",VLOOKUP(V54,'G-7 WaterC'' Data'!$AK$4:$AM$6,2,FALSE)))</f>
        <v/>
      </c>
      <c r="X54" s="363" t="str">
        <f>IF(V54="","",IF(VLOOKUP(V54,'G-7 WaterC'' Data'!$AK$4:$AM$6,3,FALSE)=0,"Spatial Data Missing ⚠",VLOOKUP(V54,'G-7 WaterC'' Data'!$AK$4:$AM$6,3,FALSE)))</f>
        <v/>
      </c>
      <c r="Y54" s="362" t="str">
        <f>IFERROR(IF(OR(LEFT(P54,5)="Error",LEFT(O54,5)="Error ▲"),"Check Data ⚠",IF(F54&lt;S54,'G-7 WaterC'' Data'!$R$3,INDEX('G-7 WaterC'' Data'!$U$5:$Y$9,MATCH(G54,'G-7 WaterC'' Data'!$T$5:$T$9,0),MATCH(T54,'G-7 WaterC'' Data'!$U$4:$Y$4,0)))),"")</f>
        <v/>
      </c>
      <c r="Z54" s="159"/>
      <c r="AA54" s="159"/>
      <c r="AB54" s="370" t="str">
        <f t="shared" si="3"/>
        <v/>
      </c>
      <c r="AC54" s="383" t="str">
        <f t="shared" si="4"/>
        <v/>
      </c>
      <c r="AD54" s="422" t="str">
        <f>IFERROR(IF(AC54="Check Data ⚠","Check Data ⚠",VLOOKUP(AC54,'G-4 Temporal multipliers'!$A$4:$C$37,3,FALSE)),"")</f>
        <v/>
      </c>
      <c r="AE54" s="362" t="str">
        <f>IF(N54="","",VLOOKUP(N54,'G-7 WaterC'' Data'!$B$4:$G$8,5,FALSE))</f>
        <v/>
      </c>
      <c r="AF54" s="370" t="str">
        <f t="shared" si="5"/>
        <v/>
      </c>
      <c r="AG54" s="401" t="str">
        <f t="shared" si="6"/>
        <v/>
      </c>
      <c r="AH54" s="363" t="str">
        <f t="shared" si="1"/>
        <v/>
      </c>
      <c r="AI54" s="122"/>
      <c r="AJ54" s="363" t="str">
        <f>IF(AI54="","",IF(VLOOKUP(AI54,'G-7 WaterC'' Data'!$AA$4:$AB$7,2,FALSE)=0,"Spatial Data Missing ⚠",VLOOKUP(AI54,'G-7 WaterC'' Data'!$AA$4:$AB$7,2,FALSE)))</f>
        <v/>
      </c>
      <c r="AK54" s="123"/>
      <c r="AL54" s="363" t="str">
        <f>IF(AK54="","",IF(VLOOKUP(AK54,'G-7 WaterC'' Data'!$AD$4:$AE$14,2,FALSE)=0,"Spatial Data Missing ⚠",VLOOKUP(AK54,'G-7 WaterC'' Data'!$AD$4:$AE$14,2,FALSE)))</f>
        <v/>
      </c>
      <c r="AM54" s="405" t="str">
        <f t="shared" si="7"/>
        <v/>
      </c>
      <c r="AN54" s="117"/>
      <c r="AO54" s="118"/>
      <c r="AP54" s="120"/>
      <c r="AV54" s="30" t="str">
        <f>IFERROR(INDEX('G-7 WaterC'' Data'!$AZ$3:$AZ$7,MATCH(N54,'G-7 WaterC'' Data'!$AY$3:$AY$7,0)),"")</f>
        <v/>
      </c>
    </row>
    <row r="55" spans="2:48" ht="15">
      <c r="B55" s="392" t="str">
        <f>'C-1 On-Site WaterC'' Baseline'!AO53</f>
        <v/>
      </c>
      <c r="C55" s="382" t="str">
        <f>IF(B55="","",VLOOKUP($B55,'C-1 On-Site WaterC'' Baseline'!$C$9:$R$257,2,FALSE))</f>
        <v/>
      </c>
      <c r="D55" s="382" t="str">
        <f>IF(C55="","",VLOOKUP($B55,'C-1 On-Site WaterC'' Baseline'!$C$9:$R$257,3,FALSE))</f>
        <v/>
      </c>
      <c r="E55" s="382" t="str">
        <f>IF(D55="","",VLOOKUP($B55,'C-1 On-Site WaterC'' Baseline'!$C$9:$R$257,4,FALSE))</f>
        <v/>
      </c>
      <c r="F55" s="382" t="str">
        <f>IF(E55="","",VLOOKUP($B55,'C-1 On-Site WaterC'' Baseline'!$C$9:$R$257,5,FALSE))</f>
        <v/>
      </c>
      <c r="G55" s="382" t="str">
        <f>IF(F55="","",VLOOKUP($B55,'C-1 On-Site WaterC'' Baseline'!$C$9:$R$257,6,FALSE))</f>
        <v/>
      </c>
      <c r="H55" s="382" t="str">
        <f>IF(G55="","",VLOOKUP($B55,'C-1 On-Site WaterC'' Baseline'!$C$9:$R$257,7,FALSE))</f>
        <v/>
      </c>
      <c r="I55" s="382" t="str">
        <f>IF(H55="","",VLOOKUP($B55,'C-1 On-Site WaterC'' Baseline'!$C$9:$R$257,8,FALSE))</f>
        <v/>
      </c>
      <c r="J55" s="382" t="str">
        <f>IF(I55="","",VLOOKUP($B55,'C-1 On-Site WaterC'' Baseline'!$C$9:$R$257,9,FALSE))</f>
        <v/>
      </c>
      <c r="K55" s="382" t="str">
        <f>IF(J55="","",VLOOKUP($B55,'C-1 On-Site WaterC'' Baseline'!$C$9:$R$257,10,FALSE))</f>
        <v/>
      </c>
      <c r="L55" s="382" t="str">
        <f>IF(B55="","",VLOOKUP($B55,'C-1 On-Site WaterC'' Baseline'!$C$9:$R$257,15,FALSE))</f>
        <v/>
      </c>
      <c r="M55" s="386" t="str">
        <f>IF(L55="","",VLOOKUP($B55,'C-1 On-Site WaterC'' Baseline'!$C$9:$R$257,16,FALSE))</f>
        <v/>
      </c>
      <c r="N55" s="320" t="str">
        <f t="shared" si="0"/>
        <v/>
      </c>
      <c r="O55" s="362" t="str">
        <f t="shared" si="2"/>
        <v/>
      </c>
      <c r="P55" s="363" t="str">
        <f>IF(C55="","",IF(AND(LEFT(C55,55)&lt;&gt;LEFT(N55,55),O55="High - High"),"Error - Not like for like ▲",IF(H55&gt;U55,"Error - Can not reduce condition ▲",IF(AND(F55=S55,H55=U55,AJ55='C-1 On-Site WaterC'' Baseline'!N53,'C-1 On-Site WaterC'' Baseline'!P53=AL55),"Error - No enhancement ▲",IF(AND(C55&lt;&gt;N55,F55&lt;S55),"Lower Distinctiveness Habitat"&amp;" - "&amp;T55,G55&amp;" - "&amp;T55)))))</f>
        <v/>
      </c>
      <c r="Q55" s="425" t="str">
        <f>IF(N55="","",VLOOKUP(B55,'C-1 On-Site WaterC'' Baseline'!$C$10:$AB$257,19,FALSE))</f>
        <v/>
      </c>
      <c r="R55" s="362" t="str">
        <f>IF(N55="","",VLOOKUP(N55,'G-7 WaterC'' Data'!$B$2:$G$8,2,FALSE))</f>
        <v/>
      </c>
      <c r="S55" s="363" t="str">
        <f>IFERROR(VLOOKUP(R55,'G-7 WaterC'' Data'!$C$4:$D$8,2,FALSE),"")</f>
        <v/>
      </c>
      <c r="T55" s="114"/>
      <c r="U55" s="363" t="str">
        <f>IFERROR(INDEX('G-7 WaterC'' Data'!$H$4:$L$8,MATCH(N55,'G-7 WaterC'' Data'!$B$4:$B$8,0),MATCH(T55,'G-7 WaterC'' Data'!$H$3:$L$3,0)),"")</f>
        <v/>
      </c>
      <c r="V55" s="114"/>
      <c r="W55" s="370" t="str">
        <f>IF(V55="","",IF(VLOOKUP(V55,'G-7 WaterC'' Data'!$AK$4:$AM$6,2,FALSE)=0,"Spatial Data Missing ⚠",VLOOKUP(V55,'G-7 WaterC'' Data'!$AK$4:$AM$6,2,FALSE)))</f>
        <v/>
      </c>
      <c r="X55" s="363" t="str">
        <f>IF(V55="","",IF(VLOOKUP(V55,'G-7 WaterC'' Data'!$AK$4:$AM$6,3,FALSE)=0,"Spatial Data Missing ⚠",VLOOKUP(V55,'G-7 WaterC'' Data'!$AK$4:$AM$6,3,FALSE)))</f>
        <v/>
      </c>
      <c r="Y55" s="362" t="str">
        <f>IFERROR(IF(OR(LEFT(P55,5)="Error",LEFT(O55,5)="Error ▲"),"Check Data ⚠",IF(F55&lt;S55,'G-7 WaterC'' Data'!$R$3,INDEX('G-7 WaterC'' Data'!$U$5:$Y$9,MATCH(G55,'G-7 WaterC'' Data'!$T$5:$T$9,0),MATCH(T55,'G-7 WaterC'' Data'!$U$4:$Y$4,0)))),"")</f>
        <v/>
      </c>
      <c r="Z55" s="159"/>
      <c r="AA55" s="159"/>
      <c r="AB55" s="370" t="str">
        <f t="shared" si="3"/>
        <v/>
      </c>
      <c r="AC55" s="383" t="str">
        <f t="shared" si="4"/>
        <v/>
      </c>
      <c r="AD55" s="422" t="str">
        <f>IFERROR(IF(AC55="Check Data ⚠","Check Data ⚠",VLOOKUP(AC55,'G-4 Temporal multipliers'!$A$4:$C$37,3,FALSE)),"")</f>
        <v/>
      </c>
      <c r="AE55" s="362" t="str">
        <f>IF(N55="","",VLOOKUP(N55,'G-7 WaterC'' Data'!$B$4:$G$8,5,FALSE))</f>
        <v/>
      </c>
      <c r="AF55" s="370" t="str">
        <f t="shared" si="5"/>
        <v/>
      </c>
      <c r="AG55" s="401" t="str">
        <f t="shared" si="6"/>
        <v/>
      </c>
      <c r="AH55" s="363" t="str">
        <f t="shared" si="1"/>
        <v/>
      </c>
      <c r="AI55" s="122"/>
      <c r="AJ55" s="363" t="str">
        <f>IF(AI55="","",IF(VLOOKUP(AI55,'G-7 WaterC'' Data'!$AA$4:$AB$7,2,FALSE)=0,"Spatial Data Missing ⚠",VLOOKUP(AI55,'G-7 WaterC'' Data'!$AA$4:$AB$7,2,FALSE)))</f>
        <v/>
      </c>
      <c r="AK55" s="123"/>
      <c r="AL55" s="363" t="str">
        <f>IF(AK55="","",IF(VLOOKUP(AK55,'G-7 WaterC'' Data'!$AD$4:$AE$14,2,FALSE)=0,"Spatial Data Missing ⚠",VLOOKUP(AK55,'G-7 WaterC'' Data'!$AD$4:$AE$14,2,FALSE)))</f>
        <v/>
      </c>
      <c r="AM55" s="405" t="str">
        <f t="shared" si="7"/>
        <v/>
      </c>
      <c r="AN55" s="117"/>
      <c r="AO55" s="118"/>
      <c r="AP55" s="120"/>
      <c r="AV55" s="30" t="str">
        <f>IFERROR(INDEX('G-7 WaterC'' Data'!$AZ$3:$AZ$7,MATCH(N55,'G-7 WaterC'' Data'!$AY$3:$AY$7,0)),"")</f>
        <v/>
      </c>
    </row>
    <row r="56" spans="2:48" ht="15">
      <c r="B56" s="392" t="str">
        <f>'C-1 On-Site WaterC'' Baseline'!AO54</f>
        <v/>
      </c>
      <c r="C56" s="382" t="str">
        <f>IF(B56="","",VLOOKUP($B56,'C-1 On-Site WaterC'' Baseline'!$C$9:$R$257,2,FALSE))</f>
        <v/>
      </c>
      <c r="D56" s="382" t="str">
        <f>IF(C56="","",VLOOKUP($B56,'C-1 On-Site WaterC'' Baseline'!$C$9:$R$257,3,FALSE))</f>
        <v/>
      </c>
      <c r="E56" s="382" t="str">
        <f>IF(D56="","",VLOOKUP($B56,'C-1 On-Site WaterC'' Baseline'!$C$9:$R$257,4,FALSE))</f>
        <v/>
      </c>
      <c r="F56" s="382" t="str">
        <f>IF(E56="","",VLOOKUP($B56,'C-1 On-Site WaterC'' Baseline'!$C$9:$R$257,5,FALSE))</f>
        <v/>
      </c>
      <c r="G56" s="382" t="str">
        <f>IF(F56="","",VLOOKUP($B56,'C-1 On-Site WaterC'' Baseline'!$C$9:$R$257,6,FALSE))</f>
        <v/>
      </c>
      <c r="H56" s="382" t="str">
        <f>IF(G56="","",VLOOKUP($B56,'C-1 On-Site WaterC'' Baseline'!$C$9:$R$257,7,FALSE))</f>
        <v/>
      </c>
      <c r="I56" s="382" t="str">
        <f>IF(H56="","",VLOOKUP($B56,'C-1 On-Site WaterC'' Baseline'!$C$9:$R$257,8,FALSE))</f>
        <v/>
      </c>
      <c r="J56" s="382" t="str">
        <f>IF(I56="","",VLOOKUP($B56,'C-1 On-Site WaterC'' Baseline'!$C$9:$R$257,9,FALSE))</f>
        <v/>
      </c>
      <c r="K56" s="382" t="str">
        <f>IF(J56="","",VLOOKUP($B56,'C-1 On-Site WaterC'' Baseline'!$C$9:$R$257,10,FALSE))</f>
        <v/>
      </c>
      <c r="L56" s="382" t="str">
        <f>IF(B56="","",VLOOKUP($B56,'C-1 On-Site WaterC'' Baseline'!$C$9:$R$257,15,FALSE))</f>
        <v/>
      </c>
      <c r="M56" s="386" t="str">
        <f>IF(L56="","",VLOOKUP($B56,'C-1 On-Site WaterC'' Baseline'!$C$9:$R$257,16,FALSE))</f>
        <v/>
      </c>
      <c r="N56" s="320" t="str">
        <f t="shared" si="0"/>
        <v/>
      </c>
      <c r="O56" s="362" t="str">
        <f t="shared" si="2"/>
        <v/>
      </c>
      <c r="P56" s="363" t="str">
        <f>IF(C56="","",IF(AND(LEFT(C56,55)&lt;&gt;LEFT(N56,55),O56="High - High"),"Error - Not like for like ▲",IF(H56&gt;U56,"Error - Can not reduce condition ▲",IF(AND(F56=S56,H56=U56,AJ56='C-1 On-Site WaterC'' Baseline'!N54,'C-1 On-Site WaterC'' Baseline'!P54=AL56),"Error - No enhancement ▲",IF(AND(C56&lt;&gt;N56,F56&lt;S56),"Lower Distinctiveness Habitat"&amp;" - "&amp;T56,G56&amp;" - "&amp;T56)))))</f>
        <v/>
      </c>
      <c r="Q56" s="425" t="str">
        <f>IF(N56="","",VLOOKUP(B56,'C-1 On-Site WaterC'' Baseline'!$C$10:$AB$257,19,FALSE))</f>
        <v/>
      </c>
      <c r="R56" s="362" t="str">
        <f>IF(N56="","",VLOOKUP(N56,'G-7 WaterC'' Data'!$B$2:$G$8,2,FALSE))</f>
        <v/>
      </c>
      <c r="S56" s="363" t="str">
        <f>IFERROR(VLOOKUP(R56,'G-7 WaterC'' Data'!$C$4:$D$8,2,FALSE),"")</f>
        <v/>
      </c>
      <c r="T56" s="114"/>
      <c r="U56" s="363" t="str">
        <f>IFERROR(INDEX('G-7 WaterC'' Data'!$H$4:$L$8,MATCH(N56,'G-7 WaterC'' Data'!$B$4:$B$8,0),MATCH(T56,'G-7 WaterC'' Data'!$H$3:$L$3,0)),"")</f>
        <v/>
      </c>
      <c r="V56" s="114"/>
      <c r="W56" s="370" t="str">
        <f>IF(V56="","",IF(VLOOKUP(V56,'G-7 WaterC'' Data'!$AK$4:$AM$6,2,FALSE)=0,"Spatial Data Missing ⚠",VLOOKUP(V56,'G-7 WaterC'' Data'!$AK$4:$AM$6,2,FALSE)))</f>
        <v/>
      </c>
      <c r="X56" s="363" t="str">
        <f>IF(V56="","",IF(VLOOKUP(V56,'G-7 WaterC'' Data'!$AK$4:$AM$6,3,FALSE)=0,"Spatial Data Missing ⚠",VLOOKUP(V56,'G-7 WaterC'' Data'!$AK$4:$AM$6,3,FALSE)))</f>
        <v/>
      </c>
      <c r="Y56" s="362" t="str">
        <f>IFERROR(IF(OR(LEFT(P56,5)="Error",LEFT(O56,5)="Error ▲"),"Check Data ⚠",IF(F56&lt;S56,'G-7 WaterC'' Data'!$R$3,INDEX('G-7 WaterC'' Data'!$U$5:$Y$9,MATCH(G56,'G-7 WaterC'' Data'!$T$5:$T$9,0),MATCH(T56,'G-7 WaterC'' Data'!$U$4:$Y$4,0)))),"")</f>
        <v/>
      </c>
      <c r="Z56" s="159"/>
      <c r="AA56" s="159"/>
      <c r="AB56" s="370" t="str">
        <f t="shared" si="3"/>
        <v/>
      </c>
      <c r="AC56" s="383" t="str">
        <f t="shared" si="4"/>
        <v/>
      </c>
      <c r="AD56" s="422" t="str">
        <f>IFERROR(IF(AC56="Check Data ⚠","Check Data ⚠",VLOOKUP(AC56,'G-4 Temporal multipliers'!$A$4:$C$37,3,FALSE)),"")</f>
        <v/>
      </c>
      <c r="AE56" s="362" t="str">
        <f>IF(N56="","",VLOOKUP(N56,'G-7 WaterC'' Data'!$B$4:$G$8,5,FALSE))</f>
        <v/>
      </c>
      <c r="AF56" s="370" t="str">
        <f t="shared" si="5"/>
        <v/>
      </c>
      <c r="AG56" s="401" t="str">
        <f t="shared" si="6"/>
        <v/>
      </c>
      <c r="AH56" s="363" t="str">
        <f t="shared" si="1"/>
        <v/>
      </c>
      <c r="AI56" s="122"/>
      <c r="AJ56" s="363" t="str">
        <f>IF(AI56="","",IF(VLOOKUP(AI56,'G-7 WaterC'' Data'!$AA$4:$AB$7,2,FALSE)=0,"Spatial Data Missing ⚠",VLOOKUP(AI56,'G-7 WaterC'' Data'!$AA$4:$AB$7,2,FALSE)))</f>
        <v/>
      </c>
      <c r="AK56" s="123"/>
      <c r="AL56" s="363" t="str">
        <f>IF(AK56="","",IF(VLOOKUP(AK56,'G-7 WaterC'' Data'!$AD$4:$AE$14,2,FALSE)=0,"Spatial Data Missing ⚠",VLOOKUP(AK56,'G-7 WaterC'' Data'!$AD$4:$AE$14,2,FALSE)))</f>
        <v/>
      </c>
      <c r="AM56" s="405" t="str">
        <f t="shared" si="7"/>
        <v/>
      </c>
      <c r="AN56" s="117"/>
      <c r="AO56" s="118"/>
      <c r="AP56" s="120"/>
      <c r="AV56" s="30" t="str">
        <f>IFERROR(INDEX('G-7 WaterC'' Data'!$AZ$3:$AZ$7,MATCH(N56,'G-7 WaterC'' Data'!$AY$3:$AY$7,0)),"")</f>
        <v/>
      </c>
    </row>
    <row r="57" spans="2:48" ht="15">
      <c r="B57" s="392" t="str">
        <f>'C-1 On-Site WaterC'' Baseline'!AO55</f>
        <v/>
      </c>
      <c r="C57" s="382" t="str">
        <f>IF(B57="","",VLOOKUP($B57,'C-1 On-Site WaterC'' Baseline'!$C$9:$R$257,2,FALSE))</f>
        <v/>
      </c>
      <c r="D57" s="382" t="str">
        <f>IF(C57="","",VLOOKUP($B57,'C-1 On-Site WaterC'' Baseline'!$C$9:$R$257,3,FALSE))</f>
        <v/>
      </c>
      <c r="E57" s="382" t="str">
        <f>IF(D57="","",VLOOKUP($B57,'C-1 On-Site WaterC'' Baseline'!$C$9:$R$257,4,FALSE))</f>
        <v/>
      </c>
      <c r="F57" s="382" t="str">
        <f>IF(E57="","",VLOOKUP($B57,'C-1 On-Site WaterC'' Baseline'!$C$9:$R$257,5,FALSE))</f>
        <v/>
      </c>
      <c r="G57" s="382" t="str">
        <f>IF(F57="","",VLOOKUP($B57,'C-1 On-Site WaterC'' Baseline'!$C$9:$R$257,6,FALSE))</f>
        <v/>
      </c>
      <c r="H57" s="382" t="str">
        <f>IF(G57="","",VLOOKUP($B57,'C-1 On-Site WaterC'' Baseline'!$C$9:$R$257,7,FALSE))</f>
        <v/>
      </c>
      <c r="I57" s="382" t="str">
        <f>IF(H57="","",VLOOKUP($B57,'C-1 On-Site WaterC'' Baseline'!$C$9:$R$257,8,FALSE))</f>
        <v/>
      </c>
      <c r="J57" s="382" t="str">
        <f>IF(I57="","",VLOOKUP($B57,'C-1 On-Site WaterC'' Baseline'!$C$9:$R$257,9,FALSE))</f>
        <v/>
      </c>
      <c r="K57" s="382" t="str">
        <f>IF(J57="","",VLOOKUP($B57,'C-1 On-Site WaterC'' Baseline'!$C$9:$R$257,10,FALSE))</f>
        <v/>
      </c>
      <c r="L57" s="382" t="str">
        <f>IF(B57="","",VLOOKUP($B57,'C-1 On-Site WaterC'' Baseline'!$C$9:$R$257,15,FALSE))</f>
        <v/>
      </c>
      <c r="M57" s="386" t="str">
        <f>IF(L57="","",VLOOKUP($B57,'C-1 On-Site WaterC'' Baseline'!$C$9:$R$257,16,FALSE))</f>
        <v/>
      </c>
      <c r="N57" s="320" t="str">
        <f t="shared" si="0"/>
        <v/>
      </c>
      <c r="O57" s="362" t="str">
        <f t="shared" si="2"/>
        <v/>
      </c>
      <c r="P57" s="363" t="str">
        <f>IF(C57="","",IF(AND(LEFT(C57,55)&lt;&gt;LEFT(N57,55),O57="High - High"),"Error - Not like for like ▲",IF(H57&gt;U57,"Error - Can not reduce condition ▲",IF(AND(F57=S57,H57=U57,AJ57='C-1 On-Site WaterC'' Baseline'!N55,'C-1 On-Site WaterC'' Baseline'!P55=AL57),"Error - No enhancement ▲",IF(AND(C57&lt;&gt;N57,F57&lt;S57),"Lower Distinctiveness Habitat"&amp;" - "&amp;T57,G57&amp;" - "&amp;T57)))))</f>
        <v/>
      </c>
      <c r="Q57" s="425" t="str">
        <f>IF(N57="","",VLOOKUP(B57,'C-1 On-Site WaterC'' Baseline'!$C$10:$AB$257,19,FALSE))</f>
        <v/>
      </c>
      <c r="R57" s="362" t="str">
        <f>IF(N57="","",VLOOKUP(N57,'G-7 WaterC'' Data'!$B$2:$G$8,2,FALSE))</f>
        <v/>
      </c>
      <c r="S57" s="363" t="str">
        <f>IFERROR(VLOOKUP(R57,'G-7 WaterC'' Data'!$C$4:$D$8,2,FALSE),"")</f>
        <v/>
      </c>
      <c r="T57" s="114"/>
      <c r="U57" s="363" t="str">
        <f>IFERROR(INDEX('G-7 WaterC'' Data'!$H$4:$L$8,MATCH(N57,'G-7 WaterC'' Data'!$B$4:$B$8,0),MATCH(T57,'G-7 WaterC'' Data'!$H$3:$L$3,0)),"")</f>
        <v/>
      </c>
      <c r="V57" s="114"/>
      <c r="W57" s="370" t="str">
        <f>IF(V57="","",IF(VLOOKUP(V57,'G-7 WaterC'' Data'!$AK$4:$AM$6,2,FALSE)=0,"Spatial Data Missing ⚠",VLOOKUP(V57,'G-7 WaterC'' Data'!$AK$4:$AM$6,2,FALSE)))</f>
        <v/>
      </c>
      <c r="X57" s="363" t="str">
        <f>IF(V57="","",IF(VLOOKUP(V57,'G-7 WaterC'' Data'!$AK$4:$AM$6,3,FALSE)=0,"Spatial Data Missing ⚠",VLOOKUP(V57,'G-7 WaterC'' Data'!$AK$4:$AM$6,3,FALSE)))</f>
        <v/>
      </c>
      <c r="Y57" s="362" t="str">
        <f>IFERROR(IF(OR(LEFT(P57,5)="Error",LEFT(O57,5)="Error ▲"),"Check Data ⚠",IF(F57&lt;S57,'G-7 WaterC'' Data'!$R$3,INDEX('G-7 WaterC'' Data'!$U$5:$Y$9,MATCH(G57,'G-7 WaterC'' Data'!$T$5:$T$9,0),MATCH(T57,'G-7 WaterC'' Data'!$U$4:$Y$4,0)))),"")</f>
        <v/>
      </c>
      <c r="Z57" s="159"/>
      <c r="AA57" s="159"/>
      <c r="AB57" s="370" t="str">
        <f t="shared" si="3"/>
        <v/>
      </c>
      <c r="AC57" s="383" t="str">
        <f t="shared" si="4"/>
        <v/>
      </c>
      <c r="AD57" s="422" t="str">
        <f>IFERROR(IF(AC57="Check Data ⚠","Check Data ⚠",VLOOKUP(AC57,'G-4 Temporal multipliers'!$A$4:$C$37,3,FALSE)),"")</f>
        <v/>
      </c>
      <c r="AE57" s="362" t="str">
        <f>IF(N57="","",VLOOKUP(N57,'G-7 WaterC'' Data'!$B$4:$G$8,5,FALSE))</f>
        <v/>
      </c>
      <c r="AF57" s="370" t="str">
        <f t="shared" si="5"/>
        <v/>
      </c>
      <c r="AG57" s="401" t="str">
        <f t="shared" si="6"/>
        <v/>
      </c>
      <c r="AH57" s="363" t="str">
        <f t="shared" si="1"/>
        <v/>
      </c>
      <c r="AI57" s="122"/>
      <c r="AJ57" s="363" t="str">
        <f>IF(AI57="","",IF(VLOOKUP(AI57,'G-7 WaterC'' Data'!$AA$4:$AB$7,2,FALSE)=0,"Spatial Data Missing ⚠",VLOOKUP(AI57,'G-7 WaterC'' Data'!$AA$4:$AB$7,2,FALSE)))</f>
        <v/>
      </c>
      <c r="AK57" s="123"/>
      <c r="AL57" s="363" t="str">
        <f>IF(AK57="","",IF(VLOOKUP(AK57,'G-7 WaterC'' Data'!$AD$4:$AE$14,2,FALSE)=0,"Spatial Data Missing ⚠",VLOOKUP(AK57,'G-7 WaterC'' Data'!$AD$4:$AE$14,2,FALSE)))</f>
        <v/>
      </c>
      <c r="AM57" s="405" t="str">
        <f t="shared" si="7"/>
        <v/>
      </c>
      <c r="AN57" s="117"/>
      <c r="AO57" s="118"/>
      <c r="AP57" s="120"/>
      <c r="AV57" s="30" t="str">
        <f>IFERROR(INDEX('G-7 WaterC'' Data'!$AZ$3:$AZ$7,MATCH(N57,'G-7 WaterC'' Data'!$AY$3:$AY$7,0)),"")</f>
        <v/>
      </c>
    </row>
    <row r="58" spans="2:48" ht="15">
      <c r="B58" s="392" t="str">
        <f>'C-1 On-Site WaterC'' Baseline'!AO56</f>
        <v/>
      </c>
      <c r="C58" s="382" t="str">
        <f>IF(B58="","",VLOOKUP($B58,'C-1 On-Site WaterC'' Baseline'!$C$9:$R$257,2,FALSE))</f>
        <v/>
      </c>
      <c r="D58" s="382" t="str">
        <f>IF(C58="","",VLOOKUP($B58,'C-1 On-Site WaterC'' Baseline'!$C$9:$R$257,3,FALSE))</f>
        <v/>
      </c>
      <c r="E58" s="382" t="str">
        <f>IF(D58="","",VLOOKUP($B58,'C-1 On-Site WaterC'' Baseline'!$C$9:$R$257,4,FALSE))</f>
        <v/>
      </c>
      <c r="F58" s="382" t="str">
        <f>IF(E58="","",VLOOKUP($B58,'C-1 On-Site WaterC'' Baseline'!$C$9:$R$257,5,FALSE))</f>
        <v/>
      </c>
      <c r="G58" s="382" t="str">
        <f>IF(F58="","",VLOOKUP($B58,'C-1 On-Site WaterC'' Baseline'!$C$9:$R$257,6,FALSE))</f>
        <v/>
      </c>
      <c r="H58" s="382" t="str">
        <f>IF(G58="","",VLOOKUP($B58,'C-1 On-Site WaterC'' Baseline'!$C$9:$R$257,7,FALSE))</f>
        <v/>
      </c>
      <c r="I58" s="382" t="str">
        <f>IF(H58="","",VLOOKUP($B58,'C-1 On-Site WaterC'' Baseline'!$C$9:$R$257,8,FALSE))</f>
        <v/>
      </c>
      <c r="J58" s="382" t="str">
        <f>IF(I58="","",VLOOKUP($B58,'C-1 On-Site WaterC'' Baseline'!$C$9:$R$257,9,FALSE))</f>
        <v/>
      </c>
      <c r="K58" s="382" t="str">
        <f>IF(J58="","",VLOOKUP($B58,'C-1 On-Site WaterC'' Baseline'!$C$9:$R$257,10,FALSE))</f>
        <v/>
      </c>
      <c r="L58" s="382" t="str">
        <f>IF(B58="","",VLOOKUP($B58,'C-1 On-Site WaterC'' Baseline'!$C$9:$R$257,15,FALSE))</f>
        <v/>
      </c>
      <c r="M58" s="386" t="str">
        <f>IF(L58="","",VLOOKUP($B58,'C-1 On-Site WaterC'' Baseline'!$C$9:$R$257,16,FALSE))</f>
        <v/>
      </c>
      <c r="N58" s="320" t="str">
        <f t="shared" si="0"/>
        <v/>
      </c>
      <c r="O58" s="362" t="str">
        <f t="shared" si="2"/>
        <v/>
      </c>
      <c r="P58" s="363" t="str">
        <f>IF(C58="","",IF(AND(LEFT(C58,55)&lt;&gt;LEFT(N58,55),O58="High - High"),"Error - Not like for like ▲",IF(H58&gt;U58,"Error - Can not reduce condition ▲",IF(AND(F58=S58,H58=U58,AJ58='C-1 On-Site WaterC'' Baseline'!N56,'C-1 On-Site WaterC'' Baseline'!P56=AL58),"Error - No enhancement ▲",IF(AND(C58&lt;&gt;N58,F58&lt;S58),"Lower Distinctiveness Habitat"&amp;" - "&amp;T58,G58&amp;" - "&amp;T58)))))</f>
        <v/>
      </c>
      <c r="Q58" s="425" t="str">
        <f>IF(N58="","",VLOOKUP(B58,'C-1 On-Site WaterC'' Baseline'!$C$10:$AB$257,19,FALSE))</f>
        <v/>
      </c>
      <c r="R58" s="362" t="str">
        <f>IF(N58="","",VLOOKUP(N58,'G-7 WaterC'' Data'!$B$2:$G$8,2,FALSE))</f>
        <v/>
      </c>
      <c r="S58" s="363" t="str">
        <f>IFERROR(VLOOKUP(R58,'G-7 WaterC'' Data'!$C$4:$D$8,2,FALSE),"")</f>
        <v/>
      </c>
      <c r="T58" s="114"/>
      <c r="U58" s="363" t="str">
        <f>IFERROR(INDEX('G-7 WaterC'' Data'!$H$4:$L$8,MATCH(N58,'G-7 WaterC'' Data'!$B$4:$B$8,0),MATCH(T58,'G-7 WaterC'' Data'!$H$3:$L$3,0)),"")</f>
        <v/>
      </c>
      <c r="V58" s="114"/>
      <c r="W58" s="370" t="str">
        <f>IF(V58="","",IF(VLOOKUP(V58,'G-7 WaterC'' Data'!$AK$4:$AM$6,2,FALSE)=0,"Spatial Data Missing ⚠",VLOOKUP(V58,'G-7 WaterC'' Data'!$AK$4:$AM$6,2,FALSE)))</f>
        <v/>
      </c>
      <c r="X58" s="363" t="str">
        <f>IF(V58="","",IF(VLOOKUP(V58,'G-7 WaterC'' Data'!$AK$4:$AM$6,3,FALSE)=0,"Spatial Data Missing ⚠",VLOOKUP(V58,'G-7 WaterC'' Data'!$AK$4:$AM$6,3,FALSE)))</f>
        <v/>
      </c>
      <c r="Y58" s="362" t="str">
        <f>IFERROR(IF(OR(LEFT(P58,5)="Error",LEFT(O58,5)="Error ▲"),"Check Data ⚠",IF(F58&lt;S58,'G-7 WaterC'' Data'!$R$3,INDEX('G-7 WaterC'' Data'!$U$5:$Y$9,MATCH(G58,'G-7 WaterC'' Data'!$T$5:$T$9,0),MATCH(T58,'G-7 WaterC'' Data'!$U$4:$Y$4,0)))),"")</f>
        <v/>
      </c>
      <c r="Z58" s="159"/>
      <c r="AA58" s="159"/>
      <c r="AB58" s="370" t="str">
        <f t="shared" si="3"/>
        <v/>
      </c>
      <c r="AC58" s="383" t="str">
        <f t="shared" si="4"/>
        <v/>
      </c>
      <c r="AD58" s="422" t="str">
        <f>IFERROR(IF(AC58="Check Data ⚠","Check Data ⚠",VLOOKUP(AC58,'G-4 Temporal multipliers'!$A$4:$C$37,3,FALSE)),"")</f>
        <v/>
      </c>
      <c r="AE58" s="362" t="str">
        <f>IF(N58="","",VLOOKUP(N58,'G-7 WaterC'' Data'!$B$4:$G$8,5,FALSE))</f>
        <v/>
      </c>
      <c r="AF58" s="370" t="str">
        <f t="shared" si="5"/>
        <v/>
      </c>
      <c r="AG58" s="401" t="str">
        <f t="shared" si="6"/>
        <v/>
      </c>
      <c r="AH58" s="363" t="str">
        <f t="shared" si="1"/>
        <v/>
      </c>
      <c r="AI58" s="122"/>
      <c r="AJ58" s="363" t="str">
        <f>IF(AI58="","",IF(VLOOKUP(AI58,'G-7 WaterC'' Data'!$AA$4:$AB$7,2,FALSE)=0,"Spatial Data Missing ⚠",VLOOKUP(AI58,'G-7 WaterC'' Data'!$AA$4:$AB$7,2,FALSE)))</f>
        <v/>
      </c>
      <c r="AK58" s="123"/>
      <c r="AL58" s="363" t="str">
        <f>IF(AK58="","",IF(VLOOKUP(AK58,'G-7 WaterC'' Data'!$AD$4:$AE$14,2,FALSE)=0,"Spatial Data Missing ⚠",VLOOKUP(AK58,'G-7 WaterC'' Data'!$AD$4:$AE$14,2,FALSE)))</f>
        <v/>
      </c>
      <c r="AM58" s="405" t="str">
        <f t="shared" si="7"/>
        <v/>
      </c>
      <c r="AN58" s="117"/>
      <c r="AO58" s="118"/>
      <c r="AP58" s="120"/>
      <c r="AV58" s="30" t="str">
        <f>IFERROR(INDEX('G-7 WaterC'' Data'!$AZ$3:$AZ$7,MATCH(N58,'G-7 WaterC'' Data'!$AY$3:$AY$7,0)),"")</f>
        <v/>
      </c>
    </row>
    <row r="59" spans="2:48" ht="15">
      <c r="B59" s="392" t="str">
        <f>'C-1 On-Site WaterC'' Baseline'!AO57</f>
        <v/>
      </c>
      <c r="C59" s="382" t="str">
        <f>IF(B59="","",VLOOKUP($B59,'C-1 On-Site WaterC'' Baseline'!$C$9:$R$257,2,FALSE))</f>
        <v/>
      </c>
      <c r="D59" s="382" t="str">
        <f>IF(C59="","",VLOOKUP($B59,'C-1 On-Site WaterC'' Baseline'!$C$9:$R$257,3,FALSE))</f>
        <v/>
      </c>
      <c r="E59" s="382" t="str">
        <f>IF(D59="","",VLOOKUP($B59,'C-1 On-Site WaterC'' Baseline'!$C$9:$R$257,4,FALSE))</f>
        <v/>
      </c>
      <c r="F59" s="382" t="str">
        <f>IF(E59="","",VLOOKUP($B59,'C-1 On-Site WaterC'' Baseline'!$C$9:$R$257,5,FALSE))</f>
        <v/>
      </c>
      <c r="G59" s="382" t="str">
        <f>IF(F59="","",VLOOKUP($B59,'C-1 On-Site WaterC'' Baseline'!$C$9:$R$257,6,FALSE))</f>
        <v/>
      </c>
      <c r="H59" s="382" t="str">
        <f>IF(G59="","",VLOOKUP($B59,'C-1 On-Site WaterC'' Baseline'!$C$9:$R$257,7,FALSE))</f>
        <v/>
      </c>
      <c r="I59" s="382" t="str">
        <f>IF(H59="","",VLOOKUP($B59,'C-1 On-Site WaterC'' Baseline'!$C$9:$R$257,8,FALSE))</f>
        <v/>
      </c>
      <c r="J59" s="382" t="str">
        <f>IF(I59="","",VLOOKUP($B59,'C-1 On-Site WaterC'' Baseline'!$C$9:$R$257,9,FALSE))</f>
        <v/>
      </c>
      <c r="K59" s="382" t="str">
        <f>IF(J59="","",VLOOKUP($B59,'C-1 On-Site WaterC'' Baseline'!$C$9:$R$257,10,FALSE))</f>
        <v/>
      </c>
      <c r="L59" s="382" t="str">
        <f>IF(B59="","",VLOOKUP($B59,'C-1 On-Site WaterC'' Baseline'!$C$9:$R$257,15,FALSE))</f>
        <v/>
      </c>
      <c r="M59" s="386" t="str">
        <f>IF(L59="","",VLOOKUP($B59,'C-1 On-Site WaterC'' Baseline'!$C$9:$R$257,16,FALSE))</f>
        <v/>
      </c>
      <c r="N59" s="320" t="str">
        <f t="shared" si="0"/>
        <v/>
      </c>
      <c r="O59" s="362" t="str">
        <f t="shared" si="2"/>
        <v/>
      </c>
      <c r="P59" s="363" t="str">
        <f>IF(C59="","",IF(AND(LEFT(C59,55)&lt;&gt;LEFT(N59,55),O59="High - High"),"Error - Not like for like ▲",IF(H59&gt;U59,"Error - Can not reduce condition ▲",IF(AND(F59=S59,H59=U59,AJ59='C-1 On-Site WaterC'' Baseline'!N57,'C-1 On-Site WaterC'' Baseline'!P57=AL59),"Error - No enhancement ▲",IF(AND(C59&lt;&gt;N59,F59&lt;S59),"Lower Distinctiveness Habitat"&amp;" - "&amp;T59,G59&amp;" - "&amp;T59)))))</f>
        <v/>
      </c>
      <c r="Q59" s="425" t="str">
        <f>IF(N59="","",VLOOKUP(B59,'C-1 On-Site WaterC'' Baseline'!$C$10:$AB$257,19,FALSE))</f>
        <v/>
      </c>
      <c r="R59" s="362" t="str">
        <f>IF(N59="","",VLOOKUP(N59,'G-7 WaterC'' Data'!$B$2:$G$8,2,FALSE))</f>
        <v/>
      </c>
      <c r="S59" s="363" t="str">
        <f>IFERROR(VLOOKUP(R59,'G-7 WaterC'' Data'!$C$4:$D$8,2,FALSE),"")</f>
        <v/>
      </c>
      <c r="T59" s="114"/>
      <c r="U59" s="363" t="str">
        <f>IFERROR(INDEX('G-7 WaterC'' Data'!$H$4:$L$8,MATCH(N59,'G-7 WaterC'' Data'!$B$4:$B$8,0),MATCH(T59,'G-7 WaterC'' Data'!$H$3:$L$3,0)),"")</f>
        <v/>
      </c>
      <c r="V59" s="114"/>
      <c r="W59" s="370" t="str">
        <f>IF(V59="","",IF(VLOOKUP(V59,'G-7 WaterC'' Data'!$AK$4:$AM$6,2,FALSE)=0,"Spatial Data Missing ⚠",VLOOKUP(V59,'G-7 WaterC'' Data'!$AK$4:$AM$6,2,FALSE)))</f>
        <v/>
      </c>
      <c r="X59" s="363" t="str">
        <f>IF(V59="","",IF(VLOOKUP(V59,'G-7 WaterC'' Data'!$AK$4:$AM$6,3,FALSE)=0,"Spatial Data Missing ⚠",VLOOKUP(V59,'G-7 WaterC'' Data'!$AK$4:$AM$6,3,FALSE)))</f>
        <v/>
      </c>
      <c r="Y59" s="362" t="str">
        <f>IFERROR(IF(OR(LEFT(P59,5)="Error",LEFT(O59,5)="Error ▲"),"Check Data ⚠",IF(F59&lt;S59,'G-7 WaterC'' Data'!$R$3,INDEX('G-7 WaterC'' Data'!$U$5:$Y$9,MATCH(G59,'G-7 WaterC'' Data'!$T$5:$T$9,0),MATCH(T59,'G-7 WaterC'' Data'!$U$4:$Y$4,0)))),"")</f>
        <v/>
      </c>
      <c r="Z59" s="159"/>
      <c r="AA59" s="159"/>
      <c r="AB59" s="370" t="str">
        <f t="shared" si="3"/>
        <v/>
      </c>
      <c r="AC59" s="383" t="str">
        <f t="shared" si="4"/>
        <v/>
      </c>
      <c r="AD59" s="422" t="str">
        <f>IFERROR(IF(AC59="Check Data ⚠","Check Data ⚠",VLOOKUP(AC59,'G-4 Temporal multipliers'!$A$4:$C$37,3,FALSE)),"")</f>
        <v/>
      </c>
      <c r="AE59" s="362" t="str">
        <f>IF(N59="","",VLOOKUP(N59,'G-7 WaterC'' Data'!$B$4:$G$8,5,FALSE))</f>
        <v/>
      </c>
      <c r="AF59" s="370" t="str">
        <f t="shared" si="5"/>
        <v/>
      </c>
      <c r="AG59" s="401" t="str">
        <f t="shared" si="6"/>
        <v/>
      </c>
      <c r="AH59" s="363" t="str">
        <f t="shared" si="1"/>
        <v/>
      </c>
      <c r="AI59" s="122"/>
      <c r="AJ59" s="363" t="str">
        <f>IF(AI59="","",IF(VLOOKUP(AI59,'G-7 WaterC'' Data'!$AA$4:$AB$7,2,FALSE)=0,"Spatial Data Missing ⚠",VLOOKUP(AI59,'G-7 WaterC'' Data'!$AA$4:$AB$7,2,FALSE)))</f>
        <v/>
      </c>
      <c r="AK59" s="123"/>
      <c r="AL59" s="363" t="str">
        <f>IF(AK59="","",IF(VLOOKUP(AK59,'G-7 WaterC'' Data'!$AD$4:$AE$14,2,FALSE)=0,"Spatial Data Missing ⚠",VLOOKUP(AK59,'G-7 WaterC'' Data'!$AD$4:$AE$14,2,FALSE)))</f>
        <v/>
      </c>
      <c r="AM59" s="405" t="str">
        <f t="shared" si="7"/>
        <v/>
      </c>
      <c r="AN59" s="117"/>
      <c r="AO59" s="118"/>
      <c r="AP59" s="120"/>
      <c r="AV59" s="30" t="str">
        <f>IFERROR(INDEX('G-7 WaterC'' Data'!$AZ$3:$AZ$7,MATCH(N59,'G-7 WaterC'' Data'!$AY$3:$AY$7,0)),"")</f>
        <v/>
      </c>
    </row>
    <row r="60" spans="2:48" ht="15">
      <c r="B60" s="392" t="str">
        <f>'C-1 On-Site WaterC'' Baseline'!AO58</f>
        <v/>
      </c>
      <c r="C60" s="382" t="str">
        <f>IF(B60="","",VLOOKUP($B60,'C-1 On-Site WaterC'' Baseline'!$C$9:$R$257,2,FALSE))</f>
        <v/>
      </c>
      <c r="D60" s="382" t="str">
        <f>IF(C60="","",VLOOKUP($B60,'C-1 On-Site WaterC'' Baseline'!$C$9:$R$257,3,FALSE))</f>
        <v/>
      </c>
      <c r="E60" s="382" t="str">
        <f>IF(D60="","",VLOOKUP($B60,'C-1 On-Site WaterC'' Baseline'!$C$9:$R$257,4,FALSE))</f>
        <v/>
      </c>
      <c r="F60" s="382" t="str">
        <f>IF(E60="","",VLOOKUP($B60,'C-1 On-Site WaterC'' Baseline'!$C$9:$R$257,5,FALSE))</f>
        <v/>
      </c>
      <c r="G60" s="382" t="str">
        <f>IF(F60="","",VLOOKUP($B60,'C-1 On-Site WaterC'' Baseline'!$C$9:$R$257,6,FALSE))</f>
        <v/>
      </c>
      <c r="H60" s="382" t="str">
        <f>IF(G60="","",VLOOKUP($B60,'C-1 On-Site WaterC'' Baseline'!$C$9:$R$257,7,FALSE))</f>
        <v/>
      </c>
      <c r="I60" s="382" t="str">
        <f>IF(H60="","",VLOOKUP($B60,'C-1 On-Site WaterC'' Baseline'!$C$9:$R$257,8,FALSE))</f>
        <v/>
      </c>
      <c r="J60" s="382" t="str">
        <f>IF(I60="","",VLOOKUP($B60,'C-1 On-Site WaterC'' Baseline'!$C$9:$R$257,9,FALSE))</f>
        <v/>
      </c>
      <c r="K60" s="382" t="str">
        <f>IF(J60="","",VLOOKUP($B60,'C-1 On-Site WaterC'' Baseline'!$C$9:$R$257,10,FALSE))</f>
        <v/>
      </c>
      <c r="L60" s="382" t="str">
        <f>IF(B60="","",VLOOKUP($B60,'C-1 On-Site WaterC'' Baseline'!$C$9:$R$257,15,FALSE))</f>
        <v/>
      </c>
      <c r="M60" s="386" t="str">
        <f>IF(L60="","",VLOOKUP($B60,'C-1 On-Site WaterC'' Baseline'!$C$9:$R$257,16,FALSE))</f>
        <v/>
      </c>
      <c r="N60" s="320" t="str">
        <f t="shared" si="0"/>
        <v/>
      </c>
      <c r="O60" s="362" t="str">
        <f t="shared" si="2"/>
        <v/>
      </c>
      <c r="P60" s="363" t="str">
        <f>IF(C60="","",IF(AND(LEFT(C60,55)&lt;&gt;LEFT(N60,55),O60="High - High"),"Error - Not like for like ▲",IF(H60&gt;U60,"Error - Can not reduce condition ▲",IF(AND(F60=S60,H60=U60,AJ60='C-1 On-Site WaterC'' Baseline'!N58,'C-1 On-Site WaterC'' Baseline'!P58=AL60),"Error - No enhancement ▲",IF(AND(C60&lt;&gt;N60,F60&lt;S60),"Lower Distinctiveness Habitat"&amp;" - "&amp;T60,G60&amp;" - "&amp;T60)))))</f>
        <v/>
      </c>
      <c r="Q60" s="425" t="str">
        <f>IF(N60="","",VLOOKUP(B60,'C-1 On-Site WaterC'' Baseline'!$C$10:$AB$257,19,FALSE))</f>
        <v/>
      </c>
      <c r="R60" s="362" t="str">
        <f>IF(N60="","",VLOOKUP(N60,'G-7 WaterC'' Data'!$B$2:$G$8,2,FALSE))</f>
        <v/>
      </c>
      <c r="S60" s="363" t="str">
        <f>IFERROR(VLOOKUP(R60,'G-7 WaterC'' Data'!$C$4:$D$8,2,FALSE),"")</f>
        <v/>
      </c>
      <c r="T60" s="114"/>
      <c r="U60" s="363" t="str">
        <f>IFERROR(INDEX('G-7 WaterC'' Data'!$H$4:$L$8,MATCH(N60,'G-7 WaterC'' Data'!$B$4:$B$8,0),MATCH(T60,'G-7 WaterC'' Data'!$H$3:$L$3,0)),"")</f>
        <v/>
      </c>
      <c r="V60" s="114"/>
      <c r="W60" s="370" t="str">
        <f>IF(V60="","",IF(VLOOKUP(V60,'G-7 WaterC'' Data'!$AK$4:$AM$6,2,FALSE)=0,"Spatial Data Missing ⚠",VLOOKUP(V60,'G-7 WaterC'' Data'!$AK$4:$AM$6,2,FALSE)))</f>
        <v/>
      </c>
      <c r="X60" s="363" t="str">
        <f>IF(V60="","",IF(VLOOKUP(V60,'G-7 WaterC'' Data'!$AK$4:$AM$6,3,FALSE)=0,"Spatial Data Missing ⚠",VLOOKUP(V60,'G-7 WaterC'' Data'!$AK$4:$AM$6,3,FALSE)))</f>
        <v/>
      </c>
      <c r="Y60" s="362" t="str">
        <f>IFERROR(IF(OR(LEFT(P60,5)="Error",LEFT(O60,5)="Error ▲"),"Check Data ⚠",IF(F60&lt;S60,'G-7 WaterC'' Data'!$R$3,INDEX('G-7 WaterC'' Data'!$U$5:$Y$9,MATCH(G60,'G-7 WaterC'' Data'!$T$5:$T$9,0),MATCH(T60,'G-7 WaterC'' Data'!$U$4:$Y$4,0)))),"")</f>
        <v/>
      </c>
      <c r="Z60" s="159"/>
      <c r="AA60" s="159"/>
      <c r="AB60" s="370" t="str">
        <f t="shared" si="3"/>
        <v/>
      </c>
      <c r="AC60" s="383" t="str">
        <f t="shared" si="4"/>
        <v/>
      </c>
      <c r="AD60" s="422" t="str">
        <f>IFERROR(IF(AC60="Check Data ⚠","Check Data ⚠",VLOOKUP(AC60,'G-4 Temporal multipliers'!$A$4:$C$37,3,FALSE)),"")</f>
        <v/>
      </c>
      <c r="AE60" s="362" t="str">
        <f>IF(N60="","",VLOOKUP(N60,'G-7 WaterC'' Data'!$B$4:$G$8,5,FALSE))</f>
        <v/>
      </c>
      <c r="AF60" s="370" t="str">
        <f t="shared" si="5"/>
        <v/>
      </c>
      <c r="AG60" s="401" t="str">
        <f t="shared" si="6"/>
        <v/>
      </c>
      <c r="AH60" s="363" t="str">
        <f t="shared" si="1"/>
        <v/>
      </c>
      <c r="AI60" s="122"/>
      <c r="AJ60" s="363" t="str">
        <f>IF(AI60="","",IF(VLOOKUP(AI60,'G-7 WaterC'' Data'!$AA$4:$AB$7,2,FALSE)=0,"Spatial Data Missing ⚠",VLOOKUP(AI60,'G-7 WaterC'' Data'!$AA$4:$AB$7,2,FALSE)))</f>
        <v/>
      </c>
      <c r="AK60" s="123"/>
      <c r="AL60" s="363" t="str">
        <f>IF(AK60="","",IF(VLOOKUP(AK60,'G-7 WaterC'' Data'!$AD$4:$AE$14,2,FALSE)=0,"Spatial Data Missing ⚠",VLOOKUP(AK60,'G-7 WaterC'' Data'!$AD$4:$AE$14,2,FALSE)))</f>
        <v/>
      </c>
      <c r="AM60" s="405" t="str">
        <f t="shared" si="7"/>
        <v/>
      </c>
      <c r="AN60" s="117"/>
      <c r="AO60" s="118"/>
      <c r="AP60" s="120"/>
      <c r="AV60" s="30" t="str">
        <f>IFERROR(INDEX('G-7 WaterC'' Data'!$AZ$3:$AZ$7,MATCH(N60,'G-7 WaterC'' Data'!$AY$3:$AY$7,0)),"")</f>
        <v/>
      </c>
    </row>
    <row r="61" spans="2:48" ht="15">
      <c r="B61" s="392" t="str">
        <f>'C-1 On-Site WaterC'' Baseline'!AO59</f>
        <v/>
      </c>
      <c r="C61" s="382" t="str">
        <f>IF(B61="","",VLOOKUP($B61,'C-1 On-Site WaterC'' Baseline'!$C$9:$R$257,2,FALSE))</f>
        <v/>
      </c>
      <c r="D61" s="382" t="str">
        <f>IF(C61="","",VLOOKUP($B61,'C-1 On-Site WaterC'' Baseline'!$C$9:$R$257,3,FALSE))</f>
        <v/>
      </c>
      <c r="E61" s="382" t="str">
        <f>IF(D61="","",VLOOKUP($B61,'C-1 On-Site WaterC'' Baseline'!$C$9:$R$257,4,FALSE))</f>
        <v/>
      </c>
      <c r="F61" s="382" t="str">
        <f>IF(E61="","",VLOOKUP($B61,'C-1 On-Site WaterC'' Baseline'!$C$9:$R$257,5,FALSE))</f>
        <v/>
      </c>
      <c r="G61" s="382" t="str">
        <f>IF(F61="","",VLOOKUP($B61,'C-1 On-Site WaterC'' Baseline'!$C$9:$R$257,6,FALSE))</f>
        <v/>
      </c>
      <c r="H61" s="382" t="str">
        <f>IF(G61="","",VLOOKUP($B61,'C-1 On-Site WaterC'' Baseline'!$C$9:$R$257,7,FALSE))</f>
        <v/>
      </c>
      <c r="I61" s="382" t="str">
        <f>IF(H61="","",VLOOKUP($B61,'C-1 On-Site WaterC'' Baseline'!$C$9:$R$257,8,FALSE))</f>
        <v/>
      </c>
      <c r="J61" s="382" t="str">
        <f>IF(I61="","",VLOOKUP($B61,'C-1 On-Site WaterC'' Baseline'!$C$9:$R$257,9,FALSE))</f>
        <v/>
      </c>
      <c r="K61" s="382" t="str">
        <f>IF(J61="","",VLOOKUP($B61,'C-1 On-Site WaterC'' Baseline'!$C$9:$R$257,10,FALSE))</f>
        <v/>
      </c>
      <c r="L61" s="382" t="str">
        <f>IF(B61="","",VLOOKUP($B61,'C-1 On-Site WaterC'' Baseline'!$C$9:$R$257,15,FALSE))</f>
        <v/>
      </c>
      <c r="M61" s="386" t="str">
        <f>IF(L61="","",VLOOKUP($B61,'C-1 On-Site WaterC'' Baseline'!$C$9:$R$257,16,FALSE))</f>
        <v/>
      </c>
      <c r="N61" s="320" t="str">
        <f t="shared" si="0"/>
        <v/>
      </c>
      <c r="O61" s="362" t="str">
        <f t="shared" si="2"/>
        <v/>
      </c>
      <c r="P61" s="363" t="str">
        <f>IF(C61="","",IF(AND(LEFT(C61,55)&lt;&gt;LEFT(N61,55),O61="High - High"),"Error - Not like for like ▲",IF(H61&gt;U61,"Error - Can not reduce condition ▲",IF(AND(F61=S61,H61=U61,AJ61='C-1 On-Site WaterC'' Baseline'!N59,'C-1 On-Site WaterC'' Baseline'!P59=AL61),"Error - No enhancement ▲",IF(AND(C61&lt;&gt;N61,F61&lt;S61),"Lower Distinctiveness Habitat"&amp;" - "&amp;T61,G61&amp;" - "&amp;T61)))))</f>
        <v/>
      </c>
      <c r="Q61" s="425" t="str">
        <f>IF(N61="","",VLOOKUP(B61,'C-1 On-Site WaterC'' Baseline'!$C$10:$AB$257,19,FALSE))</f>
        <v/>
      </c>
      <c r="R61" s="362" t="str">
        <f>IF(N61="","",VLOOKUP(N61,'G-7 WaterC'' Data'!$B$2:$G$8,2,FALSE))</f>
        <v/>
      </c>
      <c r="S61" s="363" t="str">
        <f>IFERROR(VLOOKUP(R61,'G-7 WaterC'' Data'!$C$4:$D$8,2,FALSE),"")</f>
        <v/>
      </c>
      <c r="T61" s="114"/>
      <c r="U61" s="363" t="str">
        <f>IFERROR(INDEX('G-7 WaterC'' Data'!$H$4:$L$8,MATCH(N61,'G-7 WaterC'' Data'!$B$4:$B$8,0),MATCH(T61,'G-7 WaterC'' Data'!$H$3:$L$3,0)),"")</f>
        <v/>
      </c>
      <c r="V61" s="114"/>
      <c r="W61" s="370" t="str">
        <f>IF(V61="","",IF(VLOOKUP(V61,'G-7 WaterC'' Data'!$AK$4:$AM$6,2,FALSE)=0,"Spatial Data Missing ⚠",VLOOKUP(V61,'G-7 WaterC'' Data'!$AK$4:$AM$6,2,FALSE)))</f>
        <v/>
      </c>
      <c r="X61" s="363" t="str">
        <f>IF(V61="","",IF(VLOOKUP(V61,'G-7 WaterC'' Data'!$AK$4:$AM$6,3,FALSE)=0,"Spatial Data Missing ⚠",VLOOKUP(V61,'G-7 WaterC'' Data'!$AK$4:$AM$6,3,FALSE)))</f>
        <v/>
      </c>
      <c r="Y61" s="362" t="str">
        <f>IFERROR(IF(OR(LEFT(P61,5)="Error",LEFT(O61,5)="Error ▲"),"Check Data ⚠",IF(F61&lt;S61,'G-7 WaterC'' Data'!$R$3,INDEX('G-7 WaterC'' Data'!$U$5:$Y$9,MATCH(G61,'G-7 WaterC'' Data'!$T$5:$T$9,0),MATCH(T61,'G-7 WaterC'' Data'!$U$4:$Y$4,0)))),"")</f>
        <v/>
      </c>
      <c r="Z61" s="159"/>
      <c r="AA61" s="159"/>
      <c r="AB61" s="370" t="str">
        <f t="shared" si="3"/>
        <v/>
      </c>
      <c r="AC61" s="383" t="str">
        <f t="shared" si="4"/>
        <v/>
      </c>
      <c r="AD61" s="422" t="str">
        <f>IFERROR(IF(AC61="Check Data ⚠","Check Data ⚠",VLOOKUP(AC61,'G-4 Temporal multipliers'!$A$4:$C$37,3,FALSE)),"")</f>
        <v/>
      </c>
      <c r="AE61" s="362" t="str">
        <f>IF(N61="","",VLOOKUP(N61,'G-7 WaterC'' Data'!$B$4:$G$8,5,FALSE))</f>
        <v/>
      </c>
      <c r="AF61" s="370" t="str">
        <f t="shared" si="5"/>
        <v/>
      </c>
      <c r="AG61" s="401" t="str">
        <f t="shared" si="6"/>
        <v/>
      </c>
      <c r="AH61" s="363" t="str">
        <f t="shared" si="1"/>
        <v/>
      </c>
      <c r="AI61" s="122"/>
      <c r="AJ61" s="363" t="str">
        <f>IF(AI61="","",IF(VLOOKUP(AI61,'G-7 WaterC'' Data'!$AA$4:$AB$7,2,FALSE)=0,"Spatial Data Missing ⚠",VLOOKUP(AI61,'G-7 WaterC'' Data'!$AA$4:$AB$7,2,FALSE)))</f>
        <v/>
      </c>
      <c r="AK61" s="123"/>
      <c r="AL61" s="363" t="str">
        <f>IF(AK61="","",IF(VLOOKUP(AK61,'G-7 WaterC'' Data'!$AD$4:$AE$14,2,FALSE)=0,"Spatial Data Missing ⚠",VLOOKUP(AK61,'G-7 WaterC'' Data'!$AD$4:$AE$14,2,FALSE)))</f>
        <v/>
      </c>
      <c r="AM61" s="405" t="str">
        <f t="shared" si="7"/>
        <v/>
      </c>
      <c r="AN61" s="117"/>
      <c r="AO61" s="118"/>
      <c r="AP61" s="120"/>
      <c r="AV61" s="30" t="str">
        <f>IFERROR(INDEX('G-7 WaterC'' Data'!$AZ$3:$AZ$7,MATCH(N61,'G-7 WaterC'' Data'!$AY$3:$AY$7,0)),"")</f>
        <v/>
      </c>
    </row>
    <row r="62" spans="2:48" ht="15">
      <c r="B62" s="392" t="str">
        <f>'C-1 On-Site WaterC'' Baseline'!AO60</f>
        <v/>
      </c>
      <c r="C62" s="382" t="str">
        <f>IF(B62="","",VLOOKUP($B62,'C-1 On-Site WaterC'' Baseline'!$C$9:$R$257,2,FALSE))</f>
        <v/>
      </c>
      <c r="D62" s="382" t="str">
        <f>IF(C62="","",VLOOKUP($B62,'C-1 On-Site WaterC'' Baseline'!$C$9:$R$257,3,FALSE))</f>
        <v/>
      </c>
      <c r="E62" s="382" t="str">
        <f>IF(D62="","",VLOOKUP($B62,'C-1 On-Site WaterC'' Baseline'!$C$9:$R$257,4,FALSE))</f>
        <v/>
      </c>
      <c r="F62" s="382" t="str">
        <f>IF(E62="","",VLOOKUP($B62,'C-1 On-Site WaterC'' Baseline'!$C$9:$R$257,5,FALSE))</f>
        <v/>
      </c>
      <c r="G62" s="382" t="str">
        <f>IF(F62="","",VLOOKUP($B62,'C-1 On-Site WaterC'' Baseline'!$C$9:$R$257,6,FALSE))</f>
        <v/>
      </c>
      <c r="H62" s="382" t="str">
        <f>IF(G62="","",VLOOKUP($B62,'C-1 On-Site WaterC'' Baseline'!$C$9:$R$257,7,FALSE))</f>
        <v/>
      </c>
      <c r="I62" s="382" t="str">
        <f>IF(H62="","",VLOOKUP($B62,'C-1 On-Site WaterC'' Baseline'!$C$9:$R$257,8,FALSE))</f>
        <v/>
      </c>
      <c r="J62" s="382" t="str">
        <f>IF(I62="","",VLOOKUP($B62,'C-1 On-Site WaterC'' Baseline'!$C$9:$R$257,9,FALSE))</f>
        <v/>
      </c>
      <c r="K62" s="382" t="str">
        <f>IF(J62="","",VLOOKUP($B62,'C-1 On-Site WaterC'' Baseline'!$C$9:$R$257,10,FALSE))</f>
        <v/>
      </c>
      <c r="L62" s="382" t="str">
        <f>IF(B62="","",VLOOKUP($B62,'C-1 On-Site WaterC'' Baseline'!$C$9:$R$257,15,FALSE))</f>
        <v/>
      </c>
      <c r="M62" s="386" t="str">
        <f>IF(L62="","",VLOOKUP($B62,'C-1 On-Site WaterC'' Baseline'!$C$9:$R$257,16,FALSE))</f>
        <v/>
      </c>
      <c r="N62" s="320" t="str">
        <f t="shared" si="0"/>
        <v/>
      </c>
      <c r="O62" s="362" t="str">
        <f t="shared" si="2"/>
        <v/>
      </c>
      <c r="P62" s="363" t="str">
        <f>IF(C62="","",IF(AND(LEFT(C62,55)&lt;&gt;LEFT(N62,55),O62="High - High"),"Error - Not like for like ▲",IF(H62&gt;U62,"Error - Can not reduce condition ▲",IF(AND(F62=S62,H62=U62,AJ62='C-1 On-Site WaterC'' Baseline'!N60,'C-1 On-Site WaterC'' Baseline'!P60=AL62),"Error - No enhancement ▲",IF(AND(C62&lt;&gt;N62,F62&lt;S62),"Lower Distinctiveness Habitat"&amp;" - "&amp;T62,G62&amp;" - "&amp;T62)))))</f>
        <v/>
      </c>
      <c r="Q62" s="425" t="str">
        <f>IF(N62="","",VLOOKUP(B62,'C-1 On-Site WaterC'' Baseline'!$C$10:$AB$257,19,FALSE))</f>
        <v/>
      </c>
      <c r="R62" s="362" t="str">
        <f>IF(N62="","",VLOOKUP(N62,'G-7 WaterC'' Data'!$B$2:$G$8,2,FALSE))</f>
        <v/>
      </c>
      <c r="S62" s="363" t="str">
        <f>IFERROR(VLOOKUP(R62,'G-7 WaterC'' Data'!$C$4:$D$8,2,FALSE),"")</f>
        <v/>
      </c>
      <c r="T62" s="114"/>
      <c r="U62" s="363" t="str">
        <f>IFERROR(INDEX('G-7 WaterC'' Data'!$H$4:$L$8,MATCH(N62,'G-7 WaterC'' Data'!$B$4:$B$8,0),MATCH(T62,'G-7 WaterC'' Data'!$H$3:$L$3,0)),"")</f>
        <v/>
      </c>
      <c r="V62" s="114"/>
      <c r="W62" s="370" t="str">
        <f>IF(V62="","",IF(VLOOKUP(V62,'G-7 WaterC'' Data'!$AK$4:$AM$6,2,FALSE)=0,"Spatial Data Missing ⚠",VLOOKUP(V62,'G-7 WaterC'' Data'!$AK$4:$AM$6,2,FALSE)))</f>
        <v/>
      </c>
      <c r="X62" s="363" t="str">
        <f>IF(V62="","",IF(VLOOKUP(V62,'G-7 WaterC'' Data'!$AK$4:$AM$6,3,FALSE)=0,"Spatial Data Missing ⚠",VLOOKUP(V62,'G-7 WaterC'' Data'!$AK$4:$AM$6,3,FALSE)))</f>
        <v/>
      </c>
      <c r="Y62" s="362" t="str">
        <f>IFERROR(IF(OR(LEFT(P62,5)="Error",LEFT(O62,5)="Error ▲"),"Check Data ⚠",IF(F62&lt;S62,'G-7 WaterC'' Data'!$R$3,INDEX('G-7 WaterC'' Data'!$U$5:$Y$9,MATCH(G62,'G-7 WaterC'' Data'!$T$5:$T$9,0),MATCH(T62,'G-7 WaterC'' Data'!$U$4:$Y$4,0)))),"")</f>
        <v/>
      </c>
      <c r="Z62" s="159"/>
      <c r="AA62" s="159"/>
      <c r="AB62" s="370" t="str">
        <f t="shared" si="3"/>
        <v/>
      </c>
      <c r="AC62" s="383" t="str">
        <f t="shared" si="4"/>
        <v/>
      </c>
      <c r="AD62" s="422" t="str">
        <f>IFERROR(IF(AC62="Check Data ⚠","Check Data ⚠",VLOOKUP(AC62,'G-4 Temporal multipliers'!$A$4:$C$37,3,FALSE)),"")</f>
        <v/>
      </c>
      <c r="AE62" s="362" t="str">
        <f>IF(N62="","",VLOOKUP(N62,'G-7 WaterC'' Data'!$B$4:$G$8,5,FALSE))</f>
        <v/>
      </c>
      <c r="AF62" s="370" t="str">
        <f t="shared" si="5"/>
        <v/>
      </c>
      <c r="AG62" s="401" t="str">
        <f t="shared" si="6"/>
        <v/>
      </c>
      <c r="AH62" s="363" t="str">
        <f t="shared" si="1"/>
        <v/>
      </c>
      <c r="AI62" s="122"/>
      <c r="AJ62" s="363" t="str">
        <f>IF(AI62="","",IF(VLOOKUP(AI62,'G-7 WaterC'' Data'!$AA$4:$AB$7,2,FALSE)=0,"Spatial Data Missing ⚠",VLOOKUP(AI62,'G-7 WaterC'' Data'!$AA$4:$AB$7,2,FALSE)))</f>
        <v/>
      </c>
      <c r="AK62" s="123"/>
      <c r="AL62" s="363" t="str">
        <f>IF(AK62="","",IF(VLOOKUP(AK62,'G-7 WaterC'' Data'!$AD$4:$AE$14,2,FALSE)=0,"Spatial Data Missing ⚠",VLOOKUP(AK62,'G-7 WaterC'' Data'!$AD$4:$AE$14,2,FALSE)))</f>
        <v/>
      </c>
      <c r="AM62" s="405" t="str">
        <f t="shared" si="7"/>
        <v/>
      </c>
      <c r="AN62" s="117"/>
      <c r="AO62" s="118"/>
      <c r="AP62" s="120"/>
      <c r="AV62" s="30" t="str">
        <f>IFERROR(INDEX('G-7 WaterC'' Data'!$AZ$3:$AZ$7,MATCH(N62,'G-7 WaterC'' Data'!$AY$3:$AY$7,0)),"")</f>
        <v/>
      </c>
    </row>
    <row r="63" spans="2:48" ht="15">
      <c r="B63" s="392" t="str">
        <f>'C-1 On-Site WaterC'' Baseline'!AO61</f>
        <v/>
      </c>
      <c r="C63" s="382" t="str">
        <f>IF(B63="","",VLOOKUP($B63,'C-1 On-Site WaterC'' Baseline'!$C$9:$R$257,2,FALSE))</f>
        <v/>
      </c>
      <c r="D63" s="382" t="str">
        <f>IF(C63="","",VLOOKUP($B63,'C-1 On-Site WaterC'' Baseline'!$C$9:$R$257,3,FALSE))</f>
        <v/>
      </c>
      <c r="E63" s="382" t="str">
        <f>IF(D63="","",VLOOKUP($B63,'C-1 On-Site WaterC'' Baseline'!$C$9:$R$257,4,FALSE))</f>
        <v/>
      </c>
      <c r="F63" s="382" t="str">
        <f>IF(E63="","",VLOOKUP($B63,'C-1 On-Site WaterC'' Baseline'!$C$9:$R$257,5,FALSE))</f>
        <v/>
      </c>
      <c r="G63" s="382" t="str">
        <f>IF(F63="","",VLOOKUP($B63,'C-1 On-Site WaterC'' Baseline'!$C$9:$R$257,6,FALSE))</f>
        <v/>
      </c>
      <c r="H63" s="382" t="str">
        <f>IF(G63="","",VLOOKUP($B63,'C-1 On-Site WaterC'' Baseline'!$C$9:$R$257,7,FALSE))</f>
        <v/>
      </c>
      <c r="I63" s="382" t="str">
        <f>IF(H63="","",VLOOKUP($B63,'C-1 On-Site WaterC'' Baseline'!$C$9:$R$257,8,FALSE))</f>
        <v/>
      </c>
      <c r="J63" s="382" t="str">
        <f>IF(I63="","",VLOOKUP($B63,'C-1 On-Site WaterC'' Baseline'!$C$9:$R$257,9,FALSE))</f>
        <v/>
      </c>
      <c r="K63" s="382" t="str">
        <f>IF(J63="","",VLOOKUP($B63,'C-1 On-Site WaterC'' Baseline'!$C$9:$R$257,10,FALSE))</f>
        <v/>
      </c>
      <c r="L63" s="382" t="str">
        <f>IF(B63="","",VLOOKUP($B63,'C-1 On-Site WaterC'' Baseline'!$C$9:$R$257,15,FALSE))</f>
        <v/>
      </c>
      <c r="M63" s="386" t="str">
        <f>IF(L63="","",VLOOKUP($B63,'C-1 On-Site WaterC'' Baseline'!$C$9:$R$257,16,FALSE))</f>
        <v/>
      </c>
      <c r="N63" s="320" t="str">
        <f t="shared" si="0"/>
        <v/>
      </c>
      <c r="O63" s="362" t="str">
        <f t="shared" si="2"/>
        <v/>
      </c>
      <c r="P63" s="363" t="str">
        <f>IF(C63="","",IF(AND(LEFT(C63,55)&lt;&gt;LEFT(N63,55),O63="High - High"),"Error - Not like for like ▲",IF(H63&gt;U63,"Error - Can not reduce condition ▲",IF(AND(F63=S63,H63=U63,AJ63='C-1 On-Site WaterC'' Baseline'!N61,'C-1 On-Site WaterC'' Baseline'!P61=AL63),"Error - No enhancement ▲",IF(AND(C63&lt;&gt;N63,F63&lt;S63),"Lower Distinctiveness Habitat"&amp;" - "&amp;T63,G63&amp;" - "&amp;T63)))))</f>
        <v/>
      </c>
      <c r="Q63" s="425" t="str">
        <f>IF(N63="","",VLOOKUP(B63,'C-1 On-Site WaterC'' Baseline'!$C$10:$AB$257,19,FALSE))</f>
        <v/>
      </c>
      <c r="R63" s="362" t="str">
        <f>IF(N63="","",VLOOKUP(N63,'G-7 WaterC'' Data'!$B$2:$G$8,2,FALSE))</f>
        <v/>
      </c>
      <c r="S63" s="363" t="str">
        <f>IFERROR(VLOOKUP(R63,'G-7 WaterC'' Data'!$C$4:$D$8,2,FALSE),"")</f>
        <v/>
      </c>
      <c r="T63" s="114"/>
      <c r="U63" s="363" t="str">
        <f>IFERROR(INDEX('G-7 WaterC'' Data'!$H$4:$L$8,MATCH(N63,'G-7 WaterC'' Data'!$B$4:$B$8,0),MATCH(T63,'G-7 WaterC'' Data'!$H$3:$L$3,0)),"")</f>
        <v/>
      </c>
      <c r="V63" s="114"/>
      <c r="W63" s="370" t="str">
        <f>IF(V63="","",IF(VLOOKUP(V63,'G-7 WaterC'' Data'!$AK$4:$AM$6,2,FALSE)=0,"Spatial Data Missing ⚠",VLOOKUP(V63,'G-7 WaterC'' Data'!$AK$4:$AM$6,2,FALSE)))</f>
        <v/>
      </c>
      <c r="X63" s="363" t="str">
        <f>IF(V63="","",IF(VLOOKUP(V63,'G-7 WaterC'' Data'!$AK$4:$AM$6,3,FALSE)=0,"Spatial Data Missing ⚠",VLOOKUP(V63,'G-7 WaterC'' Data'!$AK$4:$AM$6,3,FALSE)))</f>
        <v/>
      </c>
      <c r="Y63" s="362" t="str">
        <f>IFERROR(IF(OR(LEFT(P63,5)="Error",LEFT(O63,5)="Error ▲"),"Check Data ⚠",IF(F63&lt;S63,'G-7 WaterC'' Data'!$R$3,INDEX('G-7 WaterC'' Data'!$U$5:$Y$9,MATCH(G63,'G-7 WaterC'' Data'!$T$5:$T$9,0),MATCH(T63,'G-7 WaterC'' Data'!$U$4:$Y$4,0)))),"")</f>
        <v/>
      </c>
      <c r="Z63" s="159"/>
      <c r="AA63" s="159"/>
      <c r="AB63" s="370" t="str">
        <f t="shared" si="3"/>
        <v/>
      </c>
      <c r="AC63" s="383" t="str">
        <f t="shared" si="4"/>
        <v/>
      </c>
      <c r="AD63" s="422" t="str">
        <f>IFERROR(IF(AC63="Check Data ⚠","Check Data ⚠",VLOOKUP(AC63,'G-4 Temporal multipliers'!$A$4:$C$37,3,FALSE)),"")</f>
        <v/>
      </c>
      <c r="AE63" s="362" t="str">
        <f>IF(N63="","",VLOOKUP(N63,'G-7 WaterC'' Data'!$B$4:$G$8,5,FALSE))</f>
        <v/>
      </c>
      <c r="AF63" s="370" t="str">
        <f t="shared" si="5"/>
        <v/>
      </c>
      <c r="AG63" s="401" t="str">
        <f t="shared" si="6"/>
        <v/>
      </c>
      <c r="AH63" s="363" t="str">
        <f t="shared" si="1"/>
        <v/>
      </c>
      <c r="AI63" s="122"/>
      <c r="AJ63" s="363" t="str">
        <f>IF(AI63="","",IF(VLOOKUP(AI63,'G-7 WaterC'' Data'!$AA$4:$AB$7,2,FALSE)=0,"Spatial Data Missing ⚠",VLOOKUP(AI63,'G-7 WaterC'' Data'!$AA$4:$AB$7,2,FALSE)))</f>
        <v/>
      </c>
      <c r="AK63" s="123"/>
      <c r="AL63" s="363" t="str">
        <f>IF(AK63="","",IF(VLOOKUP(AK63,'G-7 WaterC'' Data'!$AD$4:$AE$14,2,FALSE)=0,"Spatial Data Missing ⚠",VLOOKUP(AK63,'G-7 WaterC'' Data'!$AD$4:$AE$14,2,FALSE)))</f>
        <v/>
      </c>
      <c r="AM63" s="405" t="str">
        <f t="shared" si="7"/>
        <v/>
      </c>
      <c r="AN63" s="117"/>
      <c r="AO63" s="118"/>
      <c r="AP63" s="120"/>
      <c r="AV63" s="30" t="str">
        <f>IFERROR(INDEX('G-7 WaterC'' Data'!$AZ$3:$AZ$7,MATCH(N63,'G-7 WaterC'' Data'!$AY$3:$AY$7,0)),"")</f>
        <v/>
      </c>
    </row>
    <row r="64" spans="2:48" ht="15">
      <c r="B64" s="392" t="str">
        <f>'C-1 On-Site WaterC'' Baseline'!AO62</f>
        <v/>
      </c>
      <c r="C64" s="382" t="str">
        <f>IF(B64="","",VLOOKUP($B64,'C-1 On-Site WaterC'' Baseline'!$C$9:$R$257,2,FALSE))</f>
        <v/>
      </c>
      <c r="D64" s="382" t="str">
        <f>IF(C64="","",VLOOKUP($B64,'C-1 On-Site WaterC'' Baseline'!$C$9:$R$257,3,FALSE))</f>
        <v/>
      </c>
      <c r="E64" s="382" t="str">
        <f>IF(D64="","",VLOOKUP($B64,'C-1 On-Site WaterC'' Baseline'!$C$9:$R$257,4,FALSE))</f>
        <v/>
      </c>
      <c r="F64" s="382" t="str">
        <f>IF(E64="","",VLOOKUP($B64,'C-1 On-Site WaterC'' Baseline'!$C$9:$R$257,5,FALSE))</f>
        <v/>
      </c>
      <c r="G64" s="382" t="str">
        <f>IF(F64="","",VLOOKUP($B64,'C-1 On-Site WaterC'' Baseline'!$C$9:$R$257,6,FALSE))</f>
        <v/>
      </c>
      <c r="H64" s="382" t="str">
        <f>IF(G64="","",VLOOKUP($B64,'C-1 On-Site WaterC'' Baseline'!$C$9:$R$257,7,FALSE))</f>
        <v/>
      </c>
      <c r="I64" s="382" t="str">
        <f>IF(H64="","",VLOOKUP($B64,'C-1 On-Site WaterC'' Baseline'!$C$9:$R$257,8,FALSE))</f>
        <v/>
      </c>
      <c r="J64" s="382" t="str">
        <f>IF(I64="","",VLOOKUP($B64,'C-1 On-Site WaterC'' Baseline'!$C$9:$R$257,9,FALSE))</f>
        <v/>
      </c>
      <c r="K64" s="382" t="str">
        <f>IF(J64="","",VLOOKUP($B64,'C-1 On-Site WaterC'' Baseline'!$C$9:$R$257,10,FALSE))</f>
        <v/>
      </c>
      <c r="L64" s="382" t="str">
        <f>IF(B64="","",VLOOKUP($B64,'C-1 On-Site WaterC'' Baseline'!$C$9:$R$257,15,FALSE))</f>
        <v/>
      </c>
      <c r="M64" s="386" t="str">
        <f>IF(L64="","",VLOOKUP($B64,'C-1 On-Site WaterC'' Baseline'!$C$9:$R$257,16,FALSE))</f>
        <v/>
      </c>
      <c r="N64" s="320" t="str">
        <f t="shared" si="0"/>
        <v/>
      </c>
      <c r="O64" s="362" t="str">
        <f t="shared" si="2"/>
        <v/>
      </c>
      <c r="P64" s="363" t="str">
        <f>IF(C64="","",IF(AND(LEFT(C64,55)&lt;&gt;LEFT(N64,55),O64="High - High"),"Error - Not like for like ▲",IF(H64&gt;U64,"Error - Can not reduce condition ▲",IF(AND(F64=S64,H64=U64,AJ64='C-1 On-Site WaterC'' Baseline'!N62,'C-1 On-Site WaterC'' Baseline'!P62=AL64),"Error - No enhancement ▲",IF(AND(C64&lt;&gt;N64,F64&lt;S64),"Lower Distinctiveness Habitat"&amp;" - "&amp;T64,G64&amp;" - "&amp;T64)))))</f>
        <v/>
      </c>
      <c r="Q64" s="425" t="str">
        <f>IF(N64="","",VLOOKUP(B64,'C-1 On-Site WaterC'' Baseline'!$C$10:$AB$257,19,FALSE))</f>
        <v/>
      </c>
      <c r="R64" s="362" t="str">
        <f>IF(N64="","",VLOOKUP(N64,'G-7 WaterC'' Data'!$B$2:$G$8,2,FALSE))</f>
        <v/>
      </c>
      <c r="S64" s="363" t="str">
        <f>IFERROR(VLOOKUP(R64,'G-7 WaterC'' Data'!$C$4:$D$8,2,FALSE),"")</f>
        <v/>
      </c>
      <c r="T64" s="114"/>
      <c r="U64" s="363" t="str">
        <f>IFERROR(INDEX('G-7 WaterC'' Data'!$H$4:$L$8,MATCH(N64,'G-7 WaterC'' Data'!$B$4:$B$8,0),MATCH(T64,'G-7 WaterC'' Data'!$H$3:$L$3,0)),"")</f>
        <v/>
      </c>
      <c r="V64" s="114"/>
      <c r="W64" s="370" t="str">
        <f>IF(V64="","",IF(VLOOKUP(V64,'G-7 WaterC'' Data'!$AK$4:$AM$6,2,FALSE)=0,"Spatial Data Missing ⚠",VLOOKUP(V64,'G-7 WaterC'' Data'!$AK$4:$AM$6,2,FALSE)))</f>
        <v/>
      </c>
      <c r="X64" s="363" t="str">
        <f>IF(V64="","",IF(VLOOKUP(V64,'G-7 WaterC'' Data'!$AK$4:$AM$6,3,FALSE)=0,"Spatial Data Missing ⚠",VLOOKUP(V64,'G-7 WaterC'' Data'!$AK$4:$AM$6,3,FALSE)))</f>
        <v/>
      </c>
      <c r="Y64" s="362" t="str">
        <f>IFERROR(IF(OR(LEFT(P64,5)="Error",LEFT(O64,5)="Error ▲"),"Check Data ⚠",IF(F64&lt;S64,'G-7 WaterC'' Data'!$R$3,INDEX('G-7 WaterC'' Data'!$U$5:$Y$9,MATCH(G64,'G-7 WaterC'' Data'!$T$5:$T$9,0),MATCH(T64,'G-7 WaterC'' Data'!$U$4:$Y$4,0)))),"")</f>
        <v/>
      </c>
      <c r="Z64" s="159"/>
      <c r="AA64" s="159"/>
      <c r="AB64" s="370" t="str">
        <f t="shared" si="3"/>
        <v/>
      </c>
      <c r="AC64" s="383" t="str">
        <f t="shared" si="4"/>
        <v/>
      </c>
      <c r="AD64" s="422" t="str">
        <f>IFERROR(IF(AC64="Check Data ⚠","Check Data ⚠",VLOOKUP(AC64,'G-4 Temporal multipliers'!$A$4:$C$37,3,FALSE)),"")</f>
        <v/>
      </c>
      <c r="AE64" s="362" t="str">
        <f>IF(N64="","",VLOOKUP(N64,'G-7 WaterC'' Data'!$B$4:$G$8,5,FALSE))</f>
        <v/>
      </c>
      <c r="AF64" s="370" t="str">
        <f t="shared" si="5"/>
        <v/>
      </c>
      <c r="AG64" s="401" t="str">
        <f t="shared" si="6"/>
        <v/>
      </c>
      <c r="AH64" s="363" t="str">
        <f t="shared" si="1"/>
        <v/>
      </c>
      <c r="AI64" s="122"/>
      <c r="AJ64" s="363" t="str">
        <f>IF(AI64="","",IF(VLOOKUP(AI64,'G-7 WaterC'' Data'!$AA$4:$AB$7,2,FALSE)=0,"Spatial Data Missing ⚠",VLOOKUP(AI64,'G-7 WaterC'' Data'!$AA$4:$AB$7,2,FALSE)))</f>
        <v/>
      </c>
      <c r="AK64" s="123"/>
      <c r="AL64" s="363" t="str">
        <f>IF(AK64="","",IF(VLOOKUP(AK64,'G-7 WaterC'' Data'!$AD$4:$AE$14,2,FALSE)=0,"Spatial Data Missing ⚠",VLOOKUP(AK64,'G-7 WaterC'' Data'!$AD$4:$AE$14,2,FALSE)))</f>
        <v/>
      </c>
      <c r="AM64" s="405" t="str">
        <f t="shared" si="7"/>
        <v/>
      </c>
      <c r="AN64" s="117"/>
      <c r="AO64" s="118"/>
      <c r="AP64" s="120"/>
      <c r="AV64" s="30" t="str">
        <f>IFERROR(INDEX('G-7 WaterC'' Data'!$AZ$3:$AZ$7,MATCH(N64,'G-7 WaterC'' Data'!$AY$3:$AY$7,0)),"")</f>
        <v/>
      </c>
    </row>
    <row r="65" spans="2:48" ht="15">
      <c r="B65" s="392" t="str">
        <f>'C-1 On-Site WaterC'' Baseline'!AO63</f>
        <v/>
      </c>
      <c r="C65" s="382" t="str">
        <f>IF(B65="","",VLOOKUP($B65,'C-1 On-Site WaterC'' Baseline'!$C$9:$R$257,2,FALSE))</f>
        <v/>
      </c>
      <c r="D65" s="382" t="str">
        <f>IF(C65="","",VLOOKUP($B65,'C-1 On-Site WaterC'' Baseline'!$C$9:$R$257,3,FALSE))</f>
        <v/>
      </c>
      <c r="E65" s="382" t="str">
        <f>IF(D65="","",VLOOKUP($B65,'C-1 On-Site WaterC'' Baseline'!$C$9:$R$257,4,FALSE))</f>
        <v/>
      </c>
      <c r="F65" s="382" t="str">
        <f>IF(E65="","",VLOOKUP($B65,'C-1 On-Site WaterC'' Baseline'!$C$9:$R$257,5,FALSE))</f>
        <v/>
      </c>
      <c r="G65" s="382" t="str">
        <f>IF(F65="","",VLOOKUP($B65,'C-1 On-Site WaterC'' Baseline'!$C$9:$R$257,6,FALSE))</f>
        <v/>
      </c>
      <c r="H65" s="382" t="str">
        <f>IF(G65="","",VLOOKUP($B65,'C-1 On-Site WaterC'' Baseline'!$C$9:$R$257,7,FALSE))</f>
        <v/>
      </c>
      <c r="I65" s="382" t="str">
        <f>IF(H65="","",VLOOKUP($B65,'C-1 On-Site WaterC'' Baseline'!$C$9:$R$257,8,FALSE))</f>
        <v/>
      </c>
      <c r="J65" s="382" t="str">
        <f>IF(I65="","",VLOOKUP($B65,'C-1 On-Site WaterC'' Baseline'!$C$9:$R$257,9,FALSE))</f>
        <v/>
      </c>
      <c r="K65" s="382" t="str">
        <f>IF(J65="","",VLOOKUP($B65,'C-1 On-Site WaterC'' Baseline'!$C$9:$R$257,10,FALSE))</f>
        <v/>
      </c>
      <c r="L65" s="382" t="str">
        <f>IF(B65="","",VLOOKUP($B65,'C-1 On-Site WaterC'' Baseline'!$C$9:$R$257,15,FALSE))</f>
        <v/>
      </c>
      <c r="M65" s="386" t="str">
        <f>IF(L65="","",VLOOKUP($B65,'C-1 On-Site WaterC'' Baseline'!$C$9:$R$257,16,FALSE))</f>
        <v/>
      </c>
      <c r="N65" s="320" t="str">
        <f t="shared" si="0"/>
        <v/>
      </c>
      <c r="O65" s="362" t="str">
        <f t="shared" si="2"/>
        <v/>
      </c>
      <c r="P65" s="363" t="str">
        <f>IF(C65="","",IF(AND(LEFT(C65,55)&lt;&gt;LEFT(N65,55),O65="High - High"),"Error - Not like for like ▲",IF(H65&gt;U65,"Error - Can not reduce condition ▲",IF(AND(F65=S65,H65=U65,AJ65='C-1 On-Site WaterC'' Baseline'!N63,'C-1 On-Site WaterC'' Baseline'!P63=AL65),"Error - No enhancement ▲",IF(AND(C65&lt;&gt;N65,F65&lt;S65),"Lower Distinctiveness Habitat"&amp;" - "&amp;T65,G65&amp;" - "&amp;T65)))))</f>
        <v/>
      </c>
      <c r="Q65" s="425" t="str">
        <f>IF(N65="","",VLOOKUP(B65,'C-1 On-Site WaterC'' Baseline'!$C$10:$AB$257,19,FALSE))</f>
        <v/>
      </c>
      <c r="R65" s="362" t="str">
        <f>IF(N65="","",VLOOKUP(N65,'G-7 WaterC'' Data'!$B$2:$G$8,2,FALSE))</f>
        <v/>
      </c>
      <c r="S65" s="363" t="str">
        <f>IFERROR(VLOOKUP(R65,'G-7 WaterC'' Data'!$C$4:$D$8,2,FALSE),"")</f>
        <v/>
      </c>
      <c r="T65" s="114"/>
      <c r="U65" s="363" t="str">
        <f>IFERROR(INDEX('G-7 WaterC'' Data'!$H$4:$L$8,MATCH(N65,'G-7 WaterC'' Data'!$B$4:$B$8,0),MATCH(T65,'G-7 WaterC'' Data'!$H$3:$L$3,0)),"")</f>
        <v/>
      </c>
      <c r="V65" s="114"/>
      <c r="W65" s="370" t="str">
        <f>IF(V65="","",IF(VLOOKUP(V65,'G-7 WaterC'' Data'!$AK$4:$AM$6,2,FALSE)=0,"Spatial Data Missing ⚠",VLOOKUP(V65,'G-7 WaterC'' Data'!$AK$4:$AM$6,2,FALSE)))</f>
        <v/>
      </c>
      <c r="X65" s="363" t="str">
        <f>IF(V65="","",IF(VLOOKUP(V65,'G-7 WaterC'' Data'!$AK$4:$AM$6,3,FALSE)=0,"Spatial Data Missing ⚠",VLOOKUP(V65,'G-7 WaterC'' Data'!$AK$4:$AM$6,3,FALSE)))</f>
        <v/>
      </c>
      <c r="Y65" s="362" t="str">
        <f>IFERROR(IF(OR(LEFT(P65,5)="Error",LEFT(O65,5)="Error ▲"),"Check Data ⚠",IF(F65&lt;S65,'G-7 WaterC'' Data'!$R$3,INDEX('G-7 WaterC'' Data'!$U$5:$Y$9,MATCH(G65,'G-7 WaterC'' Data'!$T$5:$T$9,0),MATCH(T65,'G-7 WaterC'' Data'!$U$4:$Y$4,0)))),"")</f>
        <v/>
      </c>
      <c r="Z65" s="159"/>
      <c r="AA65" s="159"/>
      <c r="AB65" s="370" t="str">
        <f t="shared" si="3"/>
        <v/>
      </c>
      <c r="AC65" s="383" t="str">
        <f t="shared" si="4"/>
        <v/>
      </c>
      <c r="AD65" s="422" t="str">
        <f>IFERROR(IF(AC65="Check Data ⚠","Check Data ⚠",VLOOKUP(AC65,'G-4 Temporal multipliers'!$A$4:$C$37,3,FALSE)),"")</f>
        <v/>
      </c>
      <c r="AE65" s="362" t="str">
        <f>IF(N65="","",VLOOKUP(N65,'G-7 WaterC'' Data'!$B$4:$G$8,5,FALSE))</f>
        <v/>
      </c>
      <c r="AF65" s="370" t="str">
        <f t="shared" si="5"/>
        <v/>
      </c>
      <c r="AG65" s="401" t="str">
        <f t="shared" si="6"/>
        <v/>
      </c>
      <c r="AH65" s="363" t="str">
        <f t="shared" si="1"/>
        <v/>
      </c>
      <c r="AI65" s="122"/>
      <c r="AJ65" s="363" t="str">
        <f>IF(AI65="","",IF(VLOOKUP(AI65,'G-7 WaterC'' Data'!$AA$4:$AB$7,2,FALSE)=0,"Spatial Data Missing ⚠",VLOOKUP(AI65,'G-7 WaterC'' Data'!$AA$4:$AB$7,2,FALSE)))</f>
        <v/>
      </c>
      <c r="AK65" s="123"/>
      <c r="AL65" s="363" t="str">
        <f>IF(AK65="","",IF(VLOOKUP(AK65,'G-7 WaterC'' Data'!$AD$4:$AE$14,2,FALSE)=0,"Spatial Data Missing ⚠",VLOOKUP(AK65,'G-7 WaterC'' Data'!$AD$4:$AE$14,2,FALSE)))</f>
        <v/>
      </c>
      <c r="AM65" s="405" t="str">
        <f t="shared" si="7"/>
        <v/>
      </c>
      <c r="AN65" s="117"/>
      <c r="AO65" s="118"/>
      <c r="AP65" s="120"/>
      <c r="AV65" s="30" t="str">
        <f>IFERROR(INDEX('G-7 WaterC'' Data'!$AZ$3:$AZ$7,MATCH(N65,'G-7 WaterC'' Data'!$AY$3:$AY$7,0)),"")</f>
        <v/>
      </c>
    </row>
    <row r="66" spans="2:48" ht="15">
      <c r="B66" s="392" t="str">
        <f>'C-1 On-Site WaterC'' Baseline'!AO64</f>
        <v/>
      </c>
      <c r="C66" s="382" t="str">
        <f>IF(B66="","",VLOOKUP($B66,'C-1 On-Site WaterC'' Baseline'!$C$9:$R$257,2,FALSE))</f>
        <v/>
      </c>
      <c r="D66" s="382" t="str">
        <f>IF(C66="","",VLOOKUP($B66,'C-1 On-Site WaterC'' Baseline'!$C$9:$R$257,3,FALSE))</f>
        <v/>
      </c>
      <c r="E66" s="382" t="str">
        <f>IF(D66="","",VLOOKUP($B66,'C-1 On-Site WaterC'' Baseline'!$C$9:$R$257,4,FALSE))</f>
        <v/>
      </c>
      <c r="F66" s="382" t="str">
        <f>IF(E66="","",VLOOKUP($B66,'C-1 On-Site WaterC'' Baseline'!$C$9:$R$257,5,FALSE))</f>
        <v/>
      </c>
      <c r="G66" s="382" t="str">
        <f>IF(F66="","",VLOOKUP($B66,'C-1 On-Site WaterC'' Baseline'!$C$9:$R$257,6,FALSE))</f>
        <v/>
      </c>
      <c r="H66" s="382" t="str">
        <f>IF(G66="","",VLOOKUP($B66,'C-1 On-Site WaterC'' Baseline'!$C$9:$R$257,7,FALSE))</f>
        <v/>
      </c>
      <c r="I66" s="382" t="str">
        <f>IF(H66="","",VLOOKUP($B66,'C-1 On-Site WaterC'' Baseline'!$C$9:$R$257,8,FALSE))</f>
        <v/>
      </c>
      <c r="J66" s="382" t="str">
        <f>IF(I66="","",VLOOKUP($B66,'C-1 On-Site WaterC'' Baseline'!$C$9:$R$257,9,FALSE))</f>
        <v/>
      </c>
      <c r="K66" s="382" t="str">
        <f>IF(J66="","",VLOOKUP($B66,'C-1 On-Site WaterC'' Baseline'!$C$9:$R$257,10,FALSE))</f>
        <v/>
      </c>
      <c r="L66" s="382" t="str">
        <f>IF(B66="","",VLOOKUP($B66,'C-1 On-Site WaterC'' Baseline'!$C$9:$R$257,15,FALSE))</f>
        <v/>
      </c>
      <c r="M66" s="386" t="str">
        <f>IF(L66="","",VLOOKUP($B66,'C-1 On-Site WaterC'' Baseline'!$C$9:$R$257,16,FALSE))</f>
        <v/>
      </c>
      <c r="N66" s="320" t="str">
        <f t="shared" si="0"/>
        <v/>
      </c>
      <c r="O66" s="362" t="str">
        <f t="shared" si="2"/>
        <v/>
      </c>
      <c r="P66" s="363" t="str">
        <f>IF(C66="","",IF(AND(LEFT(C66,55)&lt;&gt;LEFT(N66,55),O66="High - High"),"Error - Not like for like ▲",IF(H66&gt;U66,"Error - Can not reduce condition ▲",IF(AND(F66=S66,H66=U66,AJ66='C-1 On-Site WaterC'' Baseline'!N64,'C-1 On-Site WaterC'' Baseline'!P64=AL66),"Error - No enhancement ▲",IF(AND(C66&lt;&gt;N66,F66&lt;S66),"Lower Distinctiveness Habitat"&amp;" - "&amp;T66,G66&amp;" - "&amp;T66)))))</f>
        <v/>
      </c>
      <c r="Q66" s="425" t="str">
        <f>IF(N66="","",VLOOKUP(B66,'C-1 On-Site WaterC'' Baseline'!$C$10:$AB$257,19,FALSE))</f>
        <v/>
      </c>
      <c r="R66" s="362" t="str">
        <f>IF(N66="","",VLOOKUP(N66,'G-7 WaterC'' Data'!$B$2:$G$8,2,FALSE))</f>
        <v/>
      </c>
      <c r="S66" s="363" t="str">
        <f>IFERROR(VLOOKUP(R66,'G-7 WaterC'' Data'!$C$4:$D$8,2,FALSE),"")</f>
        <v/>
      </c>
      <c r="T66" s="114"/>
      <c r="U66" s="363" t="str">
        <f>IFERROR(INDEX('G-7 WaterC'' Data'!$H$4:$L$8,MATCH(N66,'G-7 WaterC'' Data'!$B$4:$B$8,0),MATCH(T66,'G-7 WaterC'' Data'!$H$3:$L$3,0)),"")</f>
        <v/>
      </c>
      <c r="V66" s="114"/>
      <c r="W66" s="370" t="str">
        <f>IF(V66="","",IF(VLOOKUP(V66,'G-7 WaterC'' Data'!$AK$4:$AM$6,2,FALSE)=0,"Spatial Data Missing ⚠",VLOOKUP(V66,'G-7 WaterC'' Data'!$AK$4:$AM$6,2,FALSE)))</f>
        <v/>
      </c>
      <c r="X66" s="363" t="str">
        <f>IF(V66="","",IF(VLOOKUP(V66,'G-7 WaterC'' Data'!$AK$4:$AM$6,3,FALSE)=0,"Spatial Data Missing ⚠",VLOOKUP(V66,'G-7 WaterC'' Data'!$AK$4:$AM$6,3,FALSE)))</f>
        <v/>
      </c>
      <c r="Y66" s="362" t="str">
        <f>IFERROR(IF(OR(LEFT(P66,5)="Error",LEFT(O66,5)="Error ▲"),"Check Data ⚠",IF(F66&lt;S66,'G-7 WaterC'' Data'!$R$3,INDEX('G-7 WaterC'' Data'!$U$5:$Y$9,MATCH(G66,'G-7 WaterC'' Data'!$T$5:$T$9,0),MATCH(T66,'G-7 WaterC'' Data'!$U$4:$Y$4,0)))),"")</f>
        <v/>
      </c>
      <c r="Z66" s="159"/>
      <c r="AA66" s="159"/>
      <c r="AB66" s="370" t="str">
        <f t="shared" si="3"/>
        <v/>
      </c>
      <c r="AC66" s="383" t="str">
        <f t="shared" si="4"/>
        <v/>
      </c>
      <c r="AD66" s="422" t="str">
        <f>IFERROR(IF(AC66="Check Data ⚠","Check Data ⚠",VLOOKUP(AC66,'G-4 Temporal multipliers'!$A$4:$C$37,3,FALSE)),"")</f>
        <v/>
      </c>
      <c r="AE66" s="362" t="str">
        <f>IF(N66="","",VLOOKUP(N66,'G-7 WaterC'' Data'!$B$4:$G$8,5,FALSE))</f>
        <v/>
      </c>
      <c r="AF66" s="370" t="str">
        <f t="shared" si="5"/>
        <v/>
      </c>
      <c r="AG66" s="401" t="str">
        <f t="shared" si="6"/>
        <v/>
      </c>
      <c r="AH66" s="363" t="str">
        <f t="shared" si="1"/>
        <v/>
      </c>
      <c r="AI66" s="122"/>
      <c r="AJ66" s="363" t="str">
        <f>IF(AI66="","",IF(VLOOKUP(AI66,'G-7 WaterC'' Data'!$AA$4:$AB$7,2,FALSE)=0,"Spatial Data Missing ⚠",VLOOKUP(AI66,'G-7 WaterC'' Data'!$AA$4:$AB$7,2,FALSE)))</f>
        <v/>
      </c>
      <c r="AK66" s="123"/>
      <c r="AL66" s="363" t="str">
        <f>IF(AK66="","",IF(VLOOKUP(AK66,'G-7 WaterC'' Data'!$AD$4:$AE$14,2,FALSE)=0,"Spatial Data Missing ⚠",VLOOKUP(AK66,'G-7 WaterC'' Data'!$AD$4:$AE$14,2,FALSE)))</f>
        <v/>
      </c>
      <c r="AM66" s="405" t="str">
        <f t="shared" si="7"/>
        <v/>
      </c>
      <c r="AN66" s="117"/>
      <c r="AO66" s="118"/>
      <c r="AP66" s="120"/>
      <c r="AV66" s="30" t="str">
        <f>IFERROR(INDEX('G-7 WaterC'' Data'!$AZ$3:$AZ$7,MATCH(N66,'G-7 WaterC'' Data'!$AY$3:$AY$7,0)),"")</f>
        <v/>
      </c>
    </row>
    <row r="67" spans="2:48" ht="15">
      <c r="B67" s="392" t="str">
        <f>'C-1 On-Site WaterC'' Baseline'!AO65</f>
        <v/>
      </c>
      <c r="C67" s="382" t="str">
        <f>IF(B67="","",VLOOKUP($B67,'C-1 On-Site WaterC'' Baseline'!$C$9:$R$257,2,FALSE))</f>
        <v/>
      </c>
      <c r="D67" s="382" t="str">
        <f>IF(C67="","",VLOOKUP($B67,'C-1 On-Site WaterC'' Baseline'!$C$9:$R$257,3,FALSE))</f>
        <v/>
      </c>
      <c r="E67" s="382" t="str">
        <f>IF(D67="","",VLOOKUP($B67,'C-1 On-Site WaterC'' Baseline'!$C$9:$R$257,4,FALSE))</f>
        <v/>
      </c>
      <c r="F67" s="382" t="str">
        <f>IF(E67="","",VLOOKUP($B67,'C-1 On-Site WaterC'' Baseline'!$C$9:$R$257,5,FALSE))</f>
        <v/>
      </c>
      <c r="G67" s="382" t="str">
        <f>IF(F67="","",VLOOKUP($B67,'C-1 On-Site WaterC'' Baseline'!$C$9:$R$257,6,FALSE))</f>
        <v/>
      </c>
      <c r="H67" s="382" t="str">
        <f>IF(G67="","",VLOOKUP($B67,'C-1 On-Site WaterC'' Baseline'!$C$9:$R$257,7,FALSE))</f>
        <v/>
      </c>
      <c r="I67" s="382" t="str">
        <f>IF(H67="","",VLOOKUP($B67,'C-1 On-Site WaterC'' Baseline'!$C$9:$R$257,8,FALSE))</f>
        <v/>
      </c>
      <c r="J67" s="382" t="str">
        <f>IF(I67="","",VLOOKUP($B67,'C-1 On-Site WaterC'' Baseline'!$C$9:$R$257,9,FALSE))</f>
        <v/>
      </c>
      <c r="K67" s="382" t="str">
        <f>IF(J67="","",VLOOKUP($B67,'C-1 On-Site WaterC'' Baseline'!$C$9:$R$257,10,FALSE))</f>
        <v/>
      </c>
      <c r="L67" s="382" t="str">
        <f>IF(B67="","",VLOOKUP($B67,'C-1 On-Site WaterC'' Baseline'!$C$9:$R$257,15,FALSE))</f>
        <v/>
      </c>
      <c r="M67" s="386" t="str">
        <f>IF(L67="","",VLOOKUP($B67,'C-1 On-Site WaterC'' Baseline'!$C$9:$R$257,16,FALSE))</f>
        <v/>
      </c>
      <c r="N67" s="320" t="str">
        <f t="shared" si="0"/>
        <v/>
      </c>
      <c r="O67" s="362" t="str">
        <f t="shared" si="2"/>
        <v/>
      </c>
      <c r="P67" s="363" t="str">
        <f>IF(C67="","",IF(AND(LEFT(C67,55)&lt;&gt;LEFT(N67,55),O67="High - High"),"Error - Not like for like ▲",IF(H67&gt;U67,"Error - Can not reduce condition ▲",IF(AND(F67=S67,H67=U67,AJ67='C-1 On-Site WaterC'' Baseline'!N65,'C-1 On-Site WaterC'' Baseline'!P65=AL67),"Error - No enhancement ▲",IF(AND(C67&lt;&gt;N67,F67&lt;S67),"Lower Distinctiveness Habitat"&amp;" - "&amp;T67,G67&amp;" - "&amp;T67)))))</f>
        <v/>
      </c>
      <c r="Q67" s="425" t="str">
        <f>IF(N67="","",VLOOKUP(B67,'C-1 On-Site WaterC'' Baseline'!$C$10:$AB$257,19,FALSE))</f>
        <v/>
      </c>
      <c r="R67" s="362" t="str">
        <f>IF(N67="","",VLOOKUP(N67,'G-7 WaterC'' Data'!$B$2:$G$8,2,FALSE))</f>
        <v/>
      </c>
      <c r="S67" s="363" t="str">
        <f>IFERROR(VLOOKUP(R67,'G-7 WaterC'' Data'!$C$4:$D$8,2,FALSE),"")</f>
        <v/>
      </c>
      <c r="T67" s="114"/>
      <c r="U67" s="363" t="str">
        <f>IFERROR(INDEX('G-7 WaterC'' Data'!$H$4:$L$8,MATCH(N67,'G-7 WaterC'' Data'!$B$4:$B$8,0),MATCH(T67,'G-7 WaterC'' Data'!$H$3:$L$3,0)),"")</f>
        <v/>
      </c>
      <c r="V67" s="114"/>
      <c r="W67" s="370" t="str">
        <f>IF(V67="","",IF(VLOOKUP(V67,'G-7 WaterC'' Data'!$AK$4:$AM$6,2,FALSE)=0,"Spatial Data Missing ⚠",VLOOKUP(V67,'G-7 WaterC'' Data'!$AK$4:$AM$6,2,FALSE)))</f>
        <v/>
      </c>
      <c r="X67" s="363" t="str">
        <f>IF(V67="","",IF(VLOOKUP(V67,'G-7 WaterC'' Data'!$AK$4:$AM$6,3,FALSE)=0,"Spatial Data Missing ⚠",VLOOKUP(V67,'G-7 WaterC'' Data'!$AK$4:$AM$6,3,FALSE)))</f>
        <v/>
      </c>
      <c r="Y67" s="362" t="str">
        <f>IFERROR(IF(OR(LEFT(P67,5)="Error",LEFT(O67,5)="Error ▲"),"Check Data ⚠",IF(F67&lt;S67,'G-7 WaterC'' Data'!$R$3,INDEX('G-7 WaterC'' Data'!$U$5:$Y$9,MATCH(G67,'G-7 WaterC'' Data'!$T$5:$T$9,0),MATCH(T67,'G-7 WaterC'' Data'!$U$4:$Y$4,0)))),"")</f>
        <v/>
      </c>
      <c r="Z67" s="159"/>
      <c r="AA67" s="159"/>
      <c r="AB67" s="370" t="str">
        <f t="shared" si="3"/>
        <v/>
      </c>
      <c r="AC67" s="383" t="str">
        <f t="shared" si="4"/>
        <v/>
      </c>
      <c r="AD67" s="422" t="str">
        <f>IFERROR(IF(AC67="Check Data ⚠","Check Data ⚠",VLOOKUP(AC67,'G-4 Temporal multipliers'!$A$4:$C$37,3,FALSE)),"")</f>
        <v/>
      </c>
      <c r="AE67" s="362" t="str">
        <f>IF(N67="","",VLOOKUP(N67,'G-7 WaterC'' Data'!$B$4:$G$8,5,FALSE))</f>
        <v/>
      </c>
      <c r="AF67" s="370" t="str">
        <f t="shared" si="5"/>
        <v/>
      </c>
      <c r="AG67" s="401" t="str">
        <f t="shared" si="6"/>
        <v/>
      </c>
      <c r="AH67" s="363" t="str">
        <f t="shared" si="1"/>
        <v/>
      </c>
      <c r="AI67" s="122"/>
      <c r="AJ67" s="363" t="str">
        <f>IF(AI67="","",IF(VLOOKUP(AI67,'G-7 WaterC'' Data'!$AA$4:$AB$7,2,FALSE)=0,"Spatial Data Missing ⚠",VLOOKUP(AI67,'G-7 WaterC'' Data'!$AA$4:$AB$7,2,FALSE)))</f>
        <v/>
      </c>
      <c r="AK67" s="123"/>
      <c r="AL67" s="363" t="str">
        <f>IF(AK67="","",IF(VLOOKUP(AK67,'G-7 WaterC'' Data'!$AD$4:$AE$14,2,FALSE)=0,"Spatial Data Missing ⚠",VLOOKUP(AK67,'G-7 WaterC'' Data'!$AD$4:$AE$14,2,FALSE)))</f>
        <v/>
      </c>
      <c r="AM67" s="405" t="str">
        <f t="shared" si="7"/>
        <v/>
      </c>
      <c r="AN67" s="117"/>
      <c r="AO67" s="118"/>
      <c r="AP67" s="120"/>
      <c r="AV67" s="30" t="str">
        <f>IFERROR(INDEX('G-7 WaterC'' Data'!$AZ$3:$AZ$7,MATCH(N67,'G-7 WaterC'' Data'!$AY$3:$AY$7,0)),"")</f>
        <v/>
      </c>
    </row>
    <row r="68" spans="2:48" ht="15">
      <c r="B68" s="392" t="str">
        <f>'C-1 On-Site WaterC'' Baseline'!AO66</f>
        <v/>
      </c>
      <c r="C68" s="382" t="str">
        <f>IF(B68="","",VLOOKUP($B68,'C-1 On-Site WaterC'' Baseline'!$C$9:$R$257,2,FALSE))</f>
        <v/>
      </c>
      <c r="D68" s="382" t="str">
        <f>IF(C68="","",VLOOKUP($B68,'C-1 On-Site WaterC'' Baseline'!$C$9:$R$257,3,FALSE))</f>
        <v/>
      </c>
      <c r="E68" s="382" t="str">
        <f>IF(D68="","",VLOOKUP($B68,'C-1 On-Site WaterC'' Baseline'!$C$9:$R$257,4,FALSE))</f>
        <v/>
      </c>
      <c r="F68" s="382" t="str">
        <f>IF(E68="","",VLOOKUP($B68,'C-1 On-Site WaterC'' Baseline'!$C$9:$R$257,5,FALSE))</f>
        <v/>
      </c>
      <c r="G68" s="382" t="str">
        <f>IF(F68="","",VLOOKUP($B68,'C-1 On-Site WaterC'' Baseline'!$C$9:$R$257,6,FALSE))</f>
        <v/>
      </c>
      <c r="H68" s="382" t="str">
        <f>IF(G68="","",VLOOKUP($B68,'C-1 On-Site WaterC'' Baseline'!$C$9:$R$257,7,FALSE))</f>
        <v/>
      </c>
      <c r="I68" s="382" t="str">
        <f>IF(H68="","",VLOOKUP($B68,'C-1 On-Site WaterC'' Baseline'!$C$9:$R$257,8,FALSE))</f>
        <v/>
      </c>
      <c r="J68" s="382" t="str">
        <f>IF(I68="","",VLOOKUP($B68,'C-1 On-Site WaterC'' Baseline'!$C$9:$R$257,9,FALSE))</f>
        <v/>
      </c>
      <c r="K68" s="382" t="str">
        <f>IF(J68="","",VLOOKUP($B68,'C-1 On-Site WaterC'' Baseline'!$C$9:$R$257,10,FALSE))</f>
        <v/>
      </c>
      <c r="L68" s="382" t="str">
        <f>IF(B68="","",VLOOKUP($B68,'C-1 On-Site WaterC'' Baseline'!$C$9:$R$257,15,FALSE))</f>
        <v/>
      </c>
      <c r="M68" s="386" t="str">
        <f>IF(L68="","",VLOOKUP($B68,'C-1 On-Site WaterC'' Baseline'!$C$9:$R$257,16,FALSE))</f>
        <v/>
      </c>
      <c r="N68" s="320" t="str">
        <f t="shared" si="0"/>
        <v/>
      </c>
      <c r="O68" s="362" t="str">
        <f t="shared" si="2"/>
        <v/>
      </c>
      <c r="P68" s="363" t="str">
        <f>IF(C68="","",IF(AND(LEFT(C68,55)&lt;&gt;LEFT(N68,55),O68="High - High"),"Error - Not like for like ▲",IF(H68&gt;U68,"Error - Can not reduce condition ▲",IF(AND(F68=S68,H68=U68,AJ68='C-1 On-Site WaterC'' Baseline'!N66,'C-1 On-Site WaterC'' Baseline'!P66=AL68),"Error - No enhancement ▲",IF(AND(C68&lt;&gt;N68,F68&lt;S68),"Lower Distinctiveness Habitat"&amp;" - "&amp;T68,G68&amp;" - "&amp;T68)))))</f>
        <v/>
      </c>
      <c r="Q68" s="425" t="str">
        <f>IF(N68="","",VLOOKUP(B68,'C-1 On-Site WaterC'' Baseline'!$C$10:$AB$257,19,FALSE))</f>
        <v/>
      </c>
      <c r="R68" s="362" t="str">
        <f>IF(N68="","",VLOOKUP(N68,'G-7 WaterC'' Data'!$B$2:$G$8,2,FALSE))</f>
        <v/>
      </c>
      <c r="S68" s="363" t="str">
        <f>IFERROR(VLOOKUP(R68,'G-7 WaterC'' Data'!$C$4:$D$8,2,FALSE),"")</f>
        <v/>
      </c>
      <c r="T68" s="114"/>
      <c r="U68" s="363" t="str">
        <f>IFERROR(INDEX('G-7 WaterC'' Data'!$H$4:$L$8,MATCH(N68,'G-7 WaterC'' Data'!$B$4:$B$8,0),MATCH(T68,'G-7 WaterC'' Data'!$H$3:$L$3,0)),"")</f>
        <v/>
      </c>
      <c r="V68" s="114"/>
      <c r="W68" s="370" t="str">
        <f>IF(V68="","",IF(VLOOKUP(V68,'G-7 WaterC'' Data'!$AK$4:$AM$6,2,FALSE)=0,"Spatial Data Missing ⚠",VLOOKUP(V68,'G-7 WaterC'' Data'!$AK$4:$AM$6,2,FALSE)))</f>
        <v/>
      </c>
      <c r="X68" s="363" t="str">
        <f>IF(V68="","",IF(VLOOKUP(V68,'G-7 WaterC'' Data'!$AK$4:$AM$6,3,FALSE)=0,"Spatial Data Missing ⚠",VLOOKUP(V68,'G-7 WaterC'' Data'!$AK$4:$AM$6,3,FALSE)))</f>
        <v/>
      </c>
      <c r="Y68" s="362" t="str">
        <f>IFERROR(IF(OR(LEFT(P68,5)="Error",LEFT(O68,5)="Error ▲"),"Check Data ⚠",IF(F68&lt;S68,'G-7 WaterC'' Data'!$R$3,INDEX('G-7 WaterC'' Data'!$U$5:$Y$9,MATCH(G68,'G-7 WaterC'' Data'!$T$5:$T$9,0),MATCH(T68,'G-7 WaterC'' Data'!$U$4:$Y$4,0)))),"")</f>
        <v/>
      </c>
      <c r="Z68" s="159"/>
      <c r="AA68" s="159"/>
      <c r="AB68" s="370" t="str">
        <f t="shared" si="3"/>
        <v/>
      </c>
      <c r="AC68" s="383" t="str">
        <f t="shared" si="4"/>
        <v/>
      </c>
      <c r="AD68" s="422" t="str">
        <f>IFERROR(IF(AC68="Check Data ⚠","Check Data ⚠",VLOOKUP(AC68,'G-4 Temporal multipliers'!$A$4:$C$37,3,FALSE)),"")</f>
        <v/>
      </c>
      <c r="AE68" s="362" t="str">
        <f>IF(N68="","",VLOOKUP(N68,'G-7 WaterC'' Data'!$B$4:$G$8,5,FALSE))</f>
        <v/>
      </c>
      <c r="AF68" s="370" t="str">
        <f t="shared" si="5"/>
        <v/>
      </c>
      <c r="AG68" s="401" t="str">
        <f t="shared" si="6"/>
        <v/>
      </c>
      <c r="AH68" s="363" t="str">
        <f t="shared" si="1"/>
        <v/>
      </c>
      <c r="AI68" s="122"/>
      <c r="AJ68" s="363" t="str">
        <f>IF(AI68="","",IF(VLOOKUP(AI68,'G-7 WaterC'' Data'!$AA$4:$AB$7,2,FALSE)=0,"Spatial Data Missing ⚠",VLOOKUP(AI68,'G-7 WaterC'' Data'!$AA$4:$AB$7,2,FALSE)))</f>
        <v/>
      </c>
      <c r="AK68" s="123"/>
      <c r="AL68" s="363" t="str">
        <f>IF(AK68="","",IF(VLOOKUP(AK68,'G-7 WaterC'' Data'!$AD$4:$AE$14,2,FALSE)=0,"Spatial Data Missing ⚠",VLOOKUP(AK68,'G-7 WaterC'' Data'!$AD$4:$AE$14,2,FALSE)))</f>
        <v/>
      </c>
      <c r="AM68" s="405" t="str">
        <f t="shared" si="7"/>
        <v/>
      </c>
      <c r="AN68" s="117"/>
      <c r="AO68" s="118"/>
      <c r="AP68" s="120"/>
      <c r="AV68" s="30" t="str">
        <f>IFERROR(INDEX('G-7 WaterC'' Data'!$AZ$3:$AZ$7,MATCH(N68,'G-7 WaterC'' Data'!$AY$3:$AY$7,0)),"")</f>
        <v/>
      </c>
    </row>
    <row r="69" spans="2:48" ht="15">
      <c r="B69" s="392" t="str">
        <f>'C-1 On-Site WaterC'' Baseline'!AO67</f>
        <v/>
      </c>
      <c r="C69" s="382" t="str">
        <f>IF(B69="","",VLOOKUP($B69,'C-1 On-Site WaterC'' Baseline'!$C$9:$R$257,2,FALSE))</f>
        <v/>
      </c>
      <c r="D69" s="382" t="str">
        <f>IF(C69="","",VLOOKUP($B69,'C-1 On-Site WaterC'' Baseline'!$C$9:$R$257,3,FALSE))</f>
        <v/>
      </c>
      <c r="E69" s="382" t="str">
        <f>IF(D69="","",VLOOKUP($B69,'C-1 On-Site WaterC'' Baseline'!$C$9:$R$257,4,FALSE))</f>
        <v/>
      </c>
      <c r="F69" s="382" t="str">
        <f>IF(E69="","",VLOOKUP($B69,'C-1 On-Site WaterC'' Baseline'!$C$9:$R$257,5,FALSE))</f>
        <v/>
      </c>
      <c r="G69" s="382" t="str">
        <f>IF(F69="","",VLOOKUP($B69,'C-1 On-Site WaterC'' Baseline'!$C$9:$R$257,6,FALSE))</f>
        <v/>
      </c>
      <c r="H69" s="382" t="str">
        <f>IF(G69="","",VLOOKUP($B69,'C-1 On-Site WaterC'' Baseline'!$C$9:$R$257,7,FALSE))</f>
        <v/>
      </c>
      <c r="I69" s="382" t="str">
        <f>IF(H69="","",VLOOKUP($B69,'C-1 On-Site WaterC'' Baseline'!$C$9:$R$257,8,FALSE))</f>
        <v/>
      </c>
      <c r="J69" s="382" t="str">
        <f>IF(I69="","",VLOOKUP($B69,'C-1 On-Site WaterC'' Baseline'!$C$9:$R$257,9,FALSE))</f>
        <v/>
      </c>
      <c r="K69" s="382" t="str">
        <f>IF(J69="","",VLOOKUP($B69,'C-1 On-Site WaterC'' Baseline'!$C$9:$R$257,10,FALSE))</f>
        <v/>
      </c>
      <c r="L69" s="382" t="str">
        <f>IF(B69="","",VLOOKUP($B69,'C-1 On-Site WaterC'' Baseline'!$C$9:$R$257,15,FALSE))</f>
        <v/>
      </c>
      <c r="M69" s="386" t="str">
        <f>IF(L69="","",VLOOKUP($B69,'C-1 On-Site WaterC'' Baseline'!$C$9:$R$257,16,FALSE))</f>
        <v/>
      </c>
      <c r="N69" s="320" t="str">
        <f t="shared" si="0"/>
        <v/>
      </c>
      <c r="O69" s="362" t="str">
        <f t="shared" si="2"/>
        <v/>
      </c>
      <c r="P69" s="363" t="str">
        <f>IF(C69="","",IF(AND(LEFT(C69,55)&lt;&gt;LEFT(N69,55),O69="High - High"),"Error - Not like for like ▲",IF(H69&gt;U69,"Error - Can not reduce condition ▲",IF(AND(F69=S69,H69=U69,AJ69='C-1 On-Site WaterC'' Baseline'!N67,'C-1 On-Site WaterC'' Baseline'!P67=AL69),"Error - No enhancement ▲",IF(AND(C69&lt;&gt;N69,F69&lt;S69),"Lower Distinctiveness Habitat"&amp;" - "&amp;T69,G69&amp;" - "&amp;T69)))))</f>
        <v/>
      </c>
      <c r="Q69" s="425" t="str">
        <f>IF(N69="","",VLOOKUP(B69,'C-1 On-Site WaterC'' Baseline'!$C$10:$AB$257,19,FALSE))</f>
        <v/>
      </c>
      <c r="R69" s="362" t="str">
        <f>IF(N69="","",VLOOKUP(N69,'G-7 WaterC'' Data'!$B$2:$G$8,2,FALSE))</f>
        <v/>
      </c>
      <c r="S69" s="363" t="str">
        <f>IFERROR(VLOOKUP(R69,'G-7 WaterC'' Data'!$C$4:$D$8,2,FALSE),"")</f>
        <v/>
      </c>
      <c r="T69" s="114"/>
      <c r="U69" s="363" t="str">
        <f>IFERROR(INDEX('G-7 WaterC'' Data'!$H$4:$L$8,MATCH(N69,'G-7 WaterC'' Data'!$B$4:$B$8,0),MATCH(T69,'G-7 WaterC'' Data'!$H$3:$L$3,0)),"")</f>
        <v/>
      </c>
      <c r="V69" s="114"/>
      <c r="W69" s="370" t="str">
        <f>IF(V69="","",IF(VLOOKUP(V69,'G-7 WaterC'' Data'!$AK$4:$AM$6,2,FALSE)=0,"Spatial Data Missing ⚠",VLOOKUP(V69,'G-7 WaterC'' Data'!$AK$4:$AM$6,2,FALSE)))</f>
        <v/>
      </c>
      <c r="X69" s="363" t="str">
        <f>IF(V69="","",IF(VLOOKUP(V69,'G-7 WaterC'' Data'!$AK$4:$AM$6,3,FALSE)=0,"Spatial Data Missing ⚠",VLOOKUP(V69,'G-7 WaterC'' Data'!$AK$4:$AM$6,3,FALSE)))</f>
        <v/>
      </c>
      <c r="Y69" s="362" t="str">
        <f>IFERROR(IF(OR(LEFT(P69,5)="Error",LEFT(O69,5)="Error ▲"),"Check Data ⚠",IF(F69&lt;S69,'G-7 WaterC'' Data'!$R$3,INDEX('G-7 WaterC'' Data'!$U$5:$Y$9,MATCH(G69,'G-7 WaterC'' Data'!$T$5:$T$9,0),MATCH(T69,'G-7 WaterC'' Data'!$U$4:$Y$4,0)))),"")</f>
        <v/>
      </c>
      <c r="Z69" s="159"/>
      <c r="AA69" s="159"/>
      <c r="AB69" s="370" t="str">
        <f t="shared" si="3"/>
        <v/>
      </c>
      <c r="AC69" s="383" t="str">
        <f t="shared" si="4"/>
        <v/>
      </c>
      <c r="AD69" s="422" t="str">
        <f>IFERROR(IF(AC69="Check Data ⚠","Check Data ⚠",VLOOKUP(AC69,'G-4 Temporal multipliers'!$A$4:$C$37,3,FALSE)),"")</f>
        <v/>
      </c>
      <c r="AE69" s="362" t="str">
        <f>IF(N69="","",VLOOKUP(N69,'G-7 WaterC'' Data'!$B$4:$G$8,5,FALSE))</f>
        <v/>
      </c>
      <c r="AF69" s="370" t="str">
        <f t="shared" si="5"/>
        <v/>
      </c>
      <c r="AG69" s="401" t="str">
        <f t="shared" si="6"/>
        <v/>
      </c>
      <c r="AH69" s="363" t="str">
        <f t="shared" si="1"/>
        <v/>
      </c>
      <c r="AI69" s="122"/>
      <c r="AJ69" s="363" t="str">
        <f>IF(AI69="","",IF(VLOOKUP(AI69,'G-7 WaterC'' Data'!$AA$4:$AB$7,2,FALSE)=0,"Spatial Data Missing ⚠",VLOOKUP(AI69,'G-7 WaterC'' Data'!$AA$4:$AB$7,2,FALSE)))</f>
        <v/>
      </c>
      <c r="AK69" s="123"/>
      <c r="AL69" s="363" t="str">
        <f>IF(AK69="","",IF(VLOOKUP(AK69,'G-7 WaterC'' Data'!$AD$4:$AE$14,2,FALSE)=0,"Spatial Data Missing ⚠",VLOOKUP(AK69,'G-7 WaterC'' Data'!$AD$4:$AE$14,2,FALSE)))</f>
        <v/>
      </c>
      <c r="AM69" s="405" t="str">
        <f t="shared" si="7"/>
        <v/>
      </c>
      <c r="AN69" s="117"/>
      <c r="AO69" s="118"/>
      <c r="AP69" s="120"/>
      <c r="AV69" s="30" t="str">
        <f>IFERROR(INDEX('G-7 WaterC'' Data'!$AZ$3:$AZ$7,MATCH(N69,'G-7 WaterC'' Data'!$AY$3:$AY$7,0)),"")</f>
        <v/>
      </c>
    </row>
    <row r="70" spans="2:48" ht="15">
      <c r="B70" s="392" t="str">
        <f>'C-1 On-Site WaterC'' Baseline'!AO68</f>
        <v/>
      </c>
      <c r="C70" s="382" t="str">
        <f>IF(B70="","",VLOOKUP($B70,'C-1 On-Site WaterC'' Baseline'!$C$9:$R$257,2,FALSE))</f>
        <v/>
      </c>
      <c r="D70" s="382" t="str">
        <f>IF(C70="","",VLOOKUP($B70,'C-1 On-Site WaterC'' Baseline'!$C$9:$R$257,3,FALSE))</f>
        <v/>
      </c>
      <c r="E70" s="382" t="str">
        <f>IF(D70="","",VLOOKUP($B70,'C-1 On-Site WaterC'' Baseline'!$C$9:$R$257,4,FALSE))</f>
        <v/>
      </c>
      <c r="F70" s="382" t="str">
        <f>IF(E70="","",VLOOKUP($B70,'C-1 On-Site WaterC'' Baseline'!$C$9:$R$257,5,FALSE))</f>
        <v/>
      </c>
      <c r="G70" s="382" t="str">
        <f>IF(F70="","",VLOOKUP($B70,'C-1 On-Site WaterC'' Baseline'!$C$9:$R$257,6,FALSE))</f>
        <v/>
      </c>
      <c r="H70" s="382" t="str">
        <f>IF(G70="","",VLOOKUP($B70,'C-1 On-Site WaterC'' Baseline'!$C$9:$R$257,7,FALSE))</f>
        <v/>
      </c>
      <c r="I70" s="382" t="str">
        <f>IF(H70="","",VLOOKUP($B70,'C-1 On-Site WaterC'' Baseline'!$C$9:$R$257,8,FALSE))</f>
        <v/>
      </c>
      <c r="J70" s="382" t="str">
        <f>IF(I70="","",VLOOKUP($B70,'C-1 On-Site WaterC'' Baseline'!$C$9:$R$257,9,FALSE))</f>
        <v/>
      </c>
      <c r="K70" s="382" t="str">
        <f>IF(J70="","",VLOOKUP($B70,'C-1 On-Site WaterC'' Baseline'!$C$9:$R$257,10,FALSE))</f>
        <v/>
      </c>
      <c r="L70" s="382" t="str">
        <f>IF(B70="","",VLOOKUP($B70,'C-1 On-Site WaterC'' Baseline'!$C$9:$R$257,15,FALSE))</f>
        <v/>
      </c>
      <c r="M70" s="386" t="str">
        <f>IF(L70="","",VLOOKUP($B70,'C-1 On-Site WaterC'' Baseline'!$C$9:$R$257,16,FALSE))</f>
        <v/>
      </c>
      <c r="N70" s="320" t="str">
        <f t="shared" si="0"/>
        <v/>
      </c>
      <c r="O70" s="362" t="str">
        <f t="shared" si="2"/>
        <v/>
      </c>
      <c r="P70" s="363" t="str">
        <f>IF(C70="","",IF(AND(LEFT(C70,55)&lt;&gt;LEFT(N70,55),O70="High - High"),"Error - Not like for like ▲",IF(H70&gt;U70,"Error - Can not reduce condition ▲",IF(AND(F70=S70,H70=U70,AJ70='C-1 On-Site WaterC'' Baseline'!N68,'C-1 On-Site WaterC'' Baseline'!P68=AL70),"Error - No enhancement ▲",IF(AND(C70&lt;&gt;N70,F70&lt;S70),"Lower Distinctiveness Habitat"&amp;" - "&amp;T70,G70&amp;" - "&amp;T70)))))</f>
        <v/>
      </c>
      <c r="Q70" s="425" t="str">
        <f>IF(N70="","",VLOOKUP(B70,'C-1 On-Site WaterC'' Baseline'!$C$10:$AB$257,19,FALSE))</f>
        <v/>
      </c>
      <c r="R70" s="362" t="str">
        <f>IF(N70="","",VLOOKUP(N70,'G-7 WaterC'' Data'!$B$2:$G$8,2,FALSE))</f>
        <v/>
      </c>
      <c r="S70" s="363" t="str">
        <f>IFERROR(VLOOKUP(R70,'G-7 WaterC'' Data'!$C$4:$D$8,2,FALSE),"")</f>
        <v/>
      </c>
      <c r="T70" s="114"/>
      <c r="U70" s="363" t="str">
        <f>IFERROR(INDEX('G-7 WaterC'' Data'!$H$4:$L$8,MATCH(N70,'G-7 WaterC'' Data'!$B$4:$B$8,0),MATCH(T70,'G-7 WaterC'' Data'!$H$3:$L$3,0)),"")</f>
        <v/>
      </c>
      <c r="V70" s="114"/>
      <c r="W70" s="370" t="str">
        <f>IF(V70="","",IF(VLOOKUP(V70,'G-7 WaterC'' Data'!$AK$4:$AM$6,2,FALSE)=0,"Spatial Data Missing ⚠",VLOOKUP(V70,'G-7 WaterC'' Data'!$AK$4:$AM$6,2,FALSE)))</f>
        <v/>
      </c>
      <c r="X70" s="363" t="str">
        <f>IF(V70="","",IF(VLOOKUP(V70,'G-7 WaterC'' Data'!$AK$4:$AM$6,3,FALSE)=0,"Spatial Data Missing ⚠",VLOOKUP(V70,'G-7 WaterC'' Data'!$AK$4:$AM$6,3,FALSE)))</f>
        <v/>
      </c>
      <c r="Y70" s="362" t="str">
        <f>IFERROR(IF(OR(LEFT(P70,5)="Error",LEFT(O70,5)="Error ▲"),"Check Data ⚠",IF(F70&lt;S70,'G-7 WaterC'' Data'!$R$3,INDEX('G-7 WaterC'' Data'!$U$5:$Y$9,MATCH(G70,'G-7 WaterC'' Data'!$T$5:$T$9,0),MATCH(T70,'G-7 WaterC'' Data'!$U$4:$Y$4,0)))),"")</f>
        <v/>
      </c>
      <c r="Z70" s="159"/>
      <c r="AA70" s="159"/>
      <c r="AB70" s="370" t="str">
        <f t="shared" si="3"/>
        <v/>
      </c>
      <c r="AC70" s="383" t="str">
        <f t="shared" si="4"/>
        <v/>
      </c>
      <c r="AD70" s="422" t="str">
        <f>IFERROR(IF(AC70="Check Data ⚠","Check Data ⚠",VLOOKUP(AC70,'G-4 Temporal multipliers'!$A$4:$C$37,3,FALSE)),"")</f>
        <v/>
      </c>
      <c r="AE70" s="362" t="str">
        <f>IF(N70="","",VLOOKUP(N70,'G-7 WaterC'' Data'!$B$4:$G$8,5,FALSE))</f>
        <v/>
      </c>
      <c r="AF70" s="370" t="str">
        <f t="shared" si="5"/>
        <v/>
      </c>
      <c r="AG70" s="401" t="str">
        <f t="shared" si="6"/>
        <v/>
      </c>
      <c r="AH70" s="363" t="str">
        <f t="shared" si="1"/>
        <v/>
      </c>
      <c r="AI70" s="122"/>
      <c r="AJ70" s="363" t="str">
        <f>IF(AI70="","",IF(VLOOKUP(AI70,'G-7 WaterC'' Data'!$AA$4:$AB$7,2,FALSE)=0,"Spatial Data Missing ⚠",VLOOKUP(AI70,'G-7 WaterC'' Data'!$AA$4:$AB$7,2,FALSE)))</f>
        <v/>
      </c>
      <c r="AK70" s="123"/>
      <c r="AL70" s="363" t="str">
        <f>IF(AK70="","",IF(VLOOKUP(AK70,'G-7 WaterC'' Data'!$AD$4:$AE$14,2,FALSE)=0,"Spatial Data Missing ⚠",VLOOKUP(AK70,'G-7 WaterC'' Data'!$AD$4:$AE$14,2,FALSE)))</f>
        <v/>
      </c>
      <c r="AM70" s="405" t="str">
        <f t="shared" si="7"/>
        <v/>
      </c>
      <c r="AN70" s="117"/>
      <c r="AO70" s="118"/>
      <c r="AP70" s="120"/>
      <c r="AV70" s="30" t="str">
        <f>IFERROR(INDEX('G-7 WaterC'' Data'!$AZ$3:$AZ$7,MATCH(N70,'G-7 WaterC'' Data'!$AY$3:$AY$7,0)),"")</f>
        <v/>
      </c>
    </row>
    <row r="71" spans="2:48" ht="15">
      <c r="B71" s="392" t="str">
        <f>'C-1 On-Site WaterC'' Baseline'!AO69</f>
        <v/>
      </c>
      <c r="C71" s="382" t="str">
        <f>IF(B71="","",VLOOKUP($B71,'C-1 On-Site WaterC'' Baseline'!$C$9:$R$257,2,FALSE))</f>
        <v/>
      </c>
      <c r="D71" s="382" t="str">
        <f>IF(C71="","",VLOOKUP($B71,'C-1 On-Site WaterC'' Baseline'!$C$9:$R$257,3,FALSE))</f>
        <v/>
      </c>
      <c r="E71" s="382" t="str">
        <f>IF(D71="","",VLOOKUP($B71,'C-1 On-Site WaterC'' Baseline'!$C$9:$R$257,4,FALSE))</f>
        <v/>
      </c>
      <c r="F71" s="382" t="str">
        <f>IF(E71="","",VLOOKUP($B71,'C-1 On-Site WaterC'' Baseline'!$C$9:$R$257,5,FALSE))</f>
        <v/>
      </c>
      <c r="G71" s="382" t="str">
        <f>IF(F71="","",VLOOKUP($B71,'C-1 On-Site WaterC'' Baseline'!$C$9:$R$257,6,FALSE))</f>
        <v/>
      </c>
      <c r="H71" s="382" t="str">
        <f>IF(G71="","",VLOOKUP($B71,'C-1 On-Site WaterC'' Baseline'!$C$9:$R$257,7,FALSE))</f>
        <v/>
      </c>
      <c r="I71" s="382" t="str">
        <f>IF(H71="","",VLOOKUP($B71,'C-1 On-Site WaterC'' Baseline'!$C$9:$R$257,8,FALSE))</f>
        <v/>
      </c>
      <c r="J71" s="382" t="str">
        <f>IF(I71="","",VLOOKUP($B71,'C-1 On-Site WaterC'' Baseline'!$C$9:$R$257,9,FALSE))</f>
        <v/>
      </c>
      <c r="K71" s="382" t="str">
        <f>IF(J71="","",VLOOKUP($B71,'C-1 On-Site WaterC'' Baseline'!$C$9:$R$257,10,FALSE))</f>
        <v/>
      </c>
      <c r="L71" s="382" t="str">
        <f>IF(B71="","",VLOOKUP($B71,'C-1 On-Site WaterC'' Baseline'!$C$9:$R$257,15,FALSE))</f>
        <v/>
      </c>
      <c r="M71" s="386" t="str">
        <f>IF(L71="","",VLOOKUP($B71,'C-1 On-Site WaterC'' Baseline'!$C$9:$R$257,16,FALSE))</f>
        <v/>
      </c>
      <c r="N71" s="320" t="str">
        <f t="shared" si="0"/>
        <v/>
      </c>
      <c r="O71" s="362" t="str">
        <f t="shared" si="2"/>
        <v/>
      </c>
      <c r="P71" s="363" t="str">
        <f>IF(C71="","",IF(AND(LEFT(C71,55)&lt;&gt;LEFT(N71,55),O71="High - High"),"Error - Not like for like ▲",IF(H71&gt;U71,"Error - Can not reduce condition ▲",IF(AND(F71=S71,H71=U71,AJ71='C-1 On-Site WaterC'' Baseline'!N69,'C-1 On-Site WaterC'' Baseline'!P69=AL71),"Error - No enhancement ▲",IF(AND(C71&lt;&gt;N71,F71&lt;S71),"Lower Distinctiveness Habitat"&amp;" - "&amp;T71,G71&amp;" - "&amp;T71)))))</f>
        <v/>
      </c>
      <c r="Q71" s="425" t="str">
        <f>IF(N71="","",VLOOKUP(B71,'C-1 On-Site WaterC'' Baseline'!$C$10:$AB$257,19,FALSE))</f>
        <v/>
      </c>
      <c r="R71" s="362" t="str">
        <f>IF(N71="","",VLOOKUP(N71,'G-7 WaterC'' Data'!$B$2:$G$8,2,FALSE))</f>
        <v/>
      </c>
      <c r="S71" s="363" t="str">
        <f>IFERROR(VLOOKUP(R71,'G-7 WaterC'' Data'!$C$4:$D$8,2,FALSE),"")</f>
        <v/>
      </c>
      <c r="T71" s="114"/>
      <c r="U71" s="363" t="str">
        <f>IFERROR(INDEX('G-7 WaterC'' Data'!$H$4:$L$8,MATCH(N71,'G-7 WaterC'' Data'!$B$4:$B$8,0),MATCH(T71,'G-7 WaterC'' Data'!$H$3:$L$3,0)),"")</f>
        <v/>
      </c>
      <c r="V71" s="114"/>
      <c r="W71" s="370" t="str">
        <f>IF(V71="","",IF(VLOOKUP(V71,'G-7 WaterC'' Data'!$AK$4:$AM$6,2,FALSE)=0,"Spatial Data Missing ⚠",VLOOKUP(V71,'G-7 WaterC'' Data'!$AK$4:$AM$6,2,FALSE)))</f>
        <v/>
      </c>
      <c r="X71" s="363" t="str">
        <f>IF(V71="","",IF(VLOOKUP(V71,'G-7 WaterC'' Data'!$AK$4:$AM$6,3,FALSE)=0,"Spatial Data Missing ⚠",VLOOKUP(V71,'G-7 WaterC'' Data'!$AK$4:$AM$6,3,FALSE)))</f>
        <v/>
      </c>
      <c r="Y71" s="362" t="str">
        <f>IFERROR(IF(OR(LEFT(P71,5)="Error",LEFT(O71,5)="Error ▲"),"Check Data ⚠",IF(F71&lt;S71,'G-7 WaterC'' Data'!$R$3,INDEX('G-7 WaterC'' Data'!$U$5:$Y$9,MATCH(G71,'G-7 WaterC'' Data'!$T$5:$T$9,0),MATCH(T71,'G-7 WaterC'' Data'!$U$4:$Y$4,0)))),"")</f>
        <v/>
      </c>
      <c r="Z71" s="159"/>
      <c r="AA71" s="159"/>
      <c r="AB71" s="370" t="str">
        <f t="shared" si="3"/>
        <v/>
      </c>
      <c r="AC71" s="383" t="str">
        <f t="shared" si="4"/>
        <v/>
      </c>
      <c r="AD71" s="422" t="str">
        <f>IFERROR(IF(AC71="Check Data ⚠","Check Data ⚠",VLOOKUP(AC71,'G-4 Temporal multipliers'!$A$4:$C$37,3,FALSE)),"")</f>
        <v/>
      </c>
      <c r="AE71" s="362" t="str">
        <f>IF(N71="","",VLOOKUP(N71,'G-7 WaterC'' Data'!$B$4:$G$8,5,FALSE))</f>
        <v/>
      </c>
      <c r="AF71" s="370" t="str">
        <f t="shared" si="5"/>
        <v/>
      </c>
      <c r="AG71" s="401" t="str">
        <f t="shared" si="6"/>
        <v/>
      </c>
      <c r="AH71" s="363" t="str">
        <f t="shared" si="1"/>
        <v/>
      </c>
      <c r="AI71" s="122"/>
      <c r="AJ71" s="363" t="str">
        <f>IF(AI71="","",IF(VLOOKUP(AI71,'G-7 WaterC'' Data'!$AA$4:$AB$7,2,FALSE)=0,"Spatial Data Missing ⚠",VLOOKUP(AI71,'G-7 WaterC'' Data'!$AA$4:$AB$7,2,FALSE)))</f>
        <v/>
      </c>
      <c r="AK71" s="123"/>
      <c r="AL71" s="363" t="str">
        <f>IF(AK71="","",IF(VLOOKUP(AK71,'G-7 WaterC'' Data'!$AD$4:$AE$14,2,FALSE)=0,"Spatial Data Missing ⚠",VLOOKUP(AK71,'G-7 WaterC'' Data'!$AD$4:$AE$14,2,FALSE)))</f>
        <v/>
      </c>
      <c r="AM71" s="405" t="str">
        <f t="shared" si="7"/>
        <v/>
      </c>
      <c r="AN71" s="117"/>
      <c r="AO71" s="118"/>
      <c r="AP71" s="120"/>
      <c r="AV71" s="30" t="str">
        <f>IFERROR(INDEX('G-7 WaterC'' Data'!$AZ$3:$AZ$7,MATCH(N71,'G-7 WaterC'' Data'!$AY$3:$AY$7,0)),"")</f>
        <v/>
      </c>
    </row>
    <row r="72" spans="2:48" ht="15">
      <c r="B72" s="392" t="str">
        <f>'C-1 On-Site WaterC'' Baseline'!AO70</f>
        <v/>
      </c>
      <c r="C72" s="382" t="str">
        <f>IF(B72="","",VLOOKUP($B72,'C-1 On-Site WaterC'' Baseline'!$C$9:$R$257,2,FALSE))</f>
        <v/>
      </c>
      <c r="D72" s="382" t="str">
        <f>IF(C72="","",VLOOKUP($B72,'C-1 On-Site WaterC'' Baseline'!$C$9:$R$257,3,FALSE))</f>
        <v/>
      </c>
      <c r="E72" s="382" t="str">
        <f>IF(D72="","",VLOOKUP($B72,'C-1 On-Site WaterC'' Baseline'!$C$9:$R$257,4,FALSE))</f>
        <v/>
      </c>
      <c r="F72" s="382" t="str">
        <f>IF(E72="","",VLOOKUP($B72,'C-1 On-Site WaterC'' Baseline'!$C$9:$R$257,5,FALSE))</f>
        <v/>
      </c>
      <c r="G72" s="382" t="str">
        <f>IF(F72="","",VLOOKUP($B72,'C-1 On-Site WaterC'' Baseline'!$C$9:$R$257,6,FALSE))</f>
        <v/>
      </c>
      <c r="H72" s="382" t="str">
        <f>IF(G72="","",VLOOKUP($B72,'C-1 On-Site WaterC'' Baseline'!$C$9:$R$257,7,FALSE))</f>
        <v/>
      </c>
      <c r="I72" s="382" t="str">
        <f>IF(H72="","",VLOOKUP($B72,'C-1 On-Site WaterC'' Baseline'!$C$9:$R$257,8,FALSE))</f>
        <v/>
      </c>
      <c r="J72" s="382" t="str">
        <f>IF(I72="","",VLOOKUP($B72,'C-1 On-Site WaterC'' Baseline'!$C$9:$R$257,9,FALSE))</f>
        <v/>
      </c>
      <c r="K72" s="382" t="str">
        <f>IF(J72="","",VLOOKUP($B72,'C-1 On-Site WaterC'' Baseline'!$C$9:$R$257,10,FALSE))</f>
        <v/>
      </c>
      <c r="L72" s="382" t="str">
        <f>IF(B72="","",VLOOKUP($B72,'C-1 On-Site WaterC'' Baseline'!$C$9:$R$257,15,FALSE))</f>
        <v/>
      </c>
      <c r="M72" s="386" t="str">
        <f>IF(L72="","",VLOOKUP($B72,'C-1 On-Site WaterC'' Baseline'!$C$9:$R$257,16,FALSE))</f>
        <v/>
      </c>
      <c r="N72" s="320" t="str">
        <f t="shared" si="0"/>
        <v/>
      </c>
      <c r="O72" s="362" t="str">
        <f t="shared" si="2"/>
        <v/>
      </c>
      <c r="P72" s="363" t="str">
        <f>IF(C72="","",IF(AND(LEFT(C72,55)&lt;&gt;LEFT(N72,55),O72="High - High"),"Error - Not like for like ▲",IF(H72&gt;U72,"Error - Can not reduce condition ▲",IF(AND(F72=S72,H72=U72,AJ72='C-1 On-Site WaterC'' Baseline'!N70,'C-1 On-Site WaterC'' Baseline'!P70=AL72),"Error - No enhancement ▲",IF(AND(C72&lt;&gt;N72,F72&lt;S72),"Lower Distinctiveness Habitat"&amp;" - "&amp;T72,G72&amp;" - "&amp;T72)))))</f>
        <v/>
      </c>
      <c r="Q72" s="425" t="str">
        <f>IF(N72="","",VLOOKUP(B72,'C-1 On-Site WaterC'' Baseline'!$C$10:$AB$257,19,FALSE))</f>
        <v/>
      </c>
      <c r="R72" s="362" t="str">
        <f>IF(N72="","",VLOOKUP(N72,'G-7 WaterC'' Data'!$B$2:$G$8,2,FALSE))</f>
        <v/>
      </c>
      <c r="S72" s="363" t="str">
        <f>IFERROR(VLOOKUP(R72,'G-7 WaterC'' Data'!$C$4:$D$8,2,FALSE),"")</f>
        <v/>
      </c>
      <c r="T72" s="114"/>
      <c r="U72" s="363" t="str">
        <f>IFERROR(INDEX('G-7 WaterC'' Data'!$H$4:$L$8,MATCH(N72,'G-7 WaterC'' Data'!$B$4:$B$8,0),MATCH(T72,'G-7 WaterC'' Data'!$H$3:$L$3,0)),"")</f>
        <v/>
      </c>
      <c r="V72" s="114"/>
      <c r="W72" s="370" t="str">
        <f>IF(V72="","",IF(VLOOKUP(V72,'G-7 WaterC'' Data'!$AK$4:$AM$6,2,FALSE)=0,"Spatial Data Missing ⚠",VLOOKUP(V72,'G-7 WaterC'' Data'!$AK$4:$AM$6,2,FALSE)))</f>
        <v/>
      </c>
      <c r="X72" s="363" t="str">
        <f>IF(V72="","",IF(VLOOKUP(V72,'G-7 WaterC'' Data'!$AK$4:$AM$6,3,FALSE)=0,"Spatial Data Missing ⚠",VLOOKUP(V72,'G-7 WaterC'' Data'!$AK$4:$AM$6,3,FALSE)))</f>
        <v/>
      </c>
      <c r="Y72" s="362" t="str">
        <f>IFERROR(IF(OR(LEFT(P72,5)="Error",LEFT(O72,5)="Error ▲"),"Check Data ⚠",IF(F72&lt;S72,'G-7 WaterC'' Data'!$R$3,INDEX('G-7 WaterC'' Data'!$U$5:$Y$9,MATCH(G72,'G-7 WaterC'' Data'!$T$5:$T$9,0),MATCH(T72,'G-7 WaterC'' Data'!$U$4:$Y$4,0)))),"")</f>
        <v/>
      </c>
      <c r="Z72" s="159"/>
      <c r="AA72" s="159"/>
      <c r="AB72" s="370" t="str">
        <f t="shared" si="3"/>
        <v/>
      </c>
      <c r="AC72" s="383" t="str">
        <f t="shared" si="4"/>
        <v/>
      </c>
      <c r="AD72" s="422" t="str">
        <f>IFERROR(IF(AC72="Check Data ⚠","Check Data ⚠",VLOOKUP(AC72,'G-4 Temporal multipliers'!$A$4:$C$37,3,FALSE)),"")</f>
        <v/>
      </c>
      <c r="AE72" s="362" t="str">
        <f>IF(N72="","",VLOOKUP(N72,'G-7 WaterC'' Data'!$B$4:$G$8,5,FALSE))</f>
        <v/>
      </c>
      <c r="AF72" s="370" t="str">
        <f t="shared" si="5"/>
        <v/>
      </c>
      <c r="AG72" s="401" t="str">
        <f t="shared" si="6"/>
        <v/>
      </c>
      <c r="AH72" s="363" t="str">
        <f t="shared" si="1"/>
        <v/>
      </c>
      <c r="AI72" s="122"/>
      <c r="AJ72" s="363" t="str">
        <f>IF(AI72="","",IF(VLOOKUP(AI72,'G-7 WaterC'' Data'!$AA$4:$AB$7,2,FALSE)=0,"Spatial Data Missing ⚠",VLOOKUP(AI72,'G-7 WaterC'' Data'!$AA$4:$AB$7,2,FALSE)))</f>
        <v/>
      </c>
      <c r="AK72" s="123"/>
      <c r="AL72" s="363" t="str">
        <f>IF(AK72="","",IF(VLOOKUP(AK72,'G-7 WaterC'' Data'!$AD$4:$AE$14,2,FALSE)=0,"Spatial Data Missing ⚠",VLOOKUP(AK72,'G-7 WaterC'' Data'!$AD$4:$AE$14,2,FALSE)))</f>
        <v/>
      </c>
      <c r="AM72" s="405" t="str">
        <f t="shared" si="7"/>
        <v/>
      </c>
      <c r="AN72" s="117"/>
      <c r="AO72" s="118"/>
      <c r="AP72" s="120"/>
      <c r="AV72" s="30" t="str">
        <f>IFERROR(INDEX('G-7 WaterC'' Data'!$AZ$3:$AZ$7,MATCH(N72,'G-7 WaterC'' Data'!$AY$3:$AY$7,0)),"")</f>
        <v/>
      </c>
    </row>
    <row r="73" spans="2:48" ht="15">
      <c r="B73" s="392" t="str">
        <f>'C-1 On-Site WaterC'' Baseline'!AO71</f>
        <v/>
      </c>
      <c r="C73" s="382" t="str">
        <f>IF(B73="","",VLOOKUP($B73,'C-1 On-Site WaterC'' Baseline'!$C$9:$R$257,2,FALSE))</f>
        <v/>
      </c>
      <c r="D73" s="382" t="str">
        <f>IF(C73="","",VLOOKUP($B73,'C-1 On-Site WaterC'' Baseline'!$C$9:$R$257,3,FALSE))</f>
        <v/>
      </c>
      <c r="E73" s="382" t="str">
        <f>IF(D73="","",VLOOKUP($B73,'C-1 On-Site WaterC'' Baseline'!$C$9:$R$257,4,FALSE))</f>
        <v/>
      </c>
      <c r="F73" s="382" t="str">
        <f>IF(E73="","",VLOOKUP($B73,'C-1 On-Site WaterC'' Baseline'!$C$9:$R$257,5,FALSE))</f>
        <v/>
      </c>
      <c r="G73" s="382" t="str">
        <f>IF(F73="","",VLOOKUP($B73,'C-1 On-Site WaterC'' Baseline'!$C$9:$R$257,6,FALSE))</f>
        <v/>
      </c>
      <c r="H73" s="382" t="str">
        <f>IF(G73="","",VLOOKUP($B73,'C-1 On-Site WaterC'' Baseline'!$C$9:$R$257,7,FALSE))</f>
        <v/>
      </c>
      <c r="I73" s="382" t="str">
        <f>IF(H73="","",VLOOKUP($B73,'C-1 On-Site WaterC'' Baseline'!$C$9:$R$257,8,FALSE))</f>
        <v/>
      </c>
      <c r="J73" s="382" t="str">
        <f>IF(I73="","",VLOOKUP($B73,'C-1 On-Site WaterC'' Baseline'!$C$9:$R$257,9,FALSE))</f>
        <v/>
      </c>
      <c r="K73" s="382" t="str">
        <f>IF(J73="","",VLOOKUP($B73,'C-1 On-Site WaterC'' Baseline'!$C$9:$R$257,10,FALSE))</f>
        <v/>
      </c>
      <c r="L73" s="382" t="str">
        <f>IF(B73="","",VLOOKUP($B73,'C-1 On-Site WaterC'' Baseline'!$C$9:$R$257,15,FALSE))</f>
        <v/>
      </c>
      <c r="M73" s="386" t="str">
        <f>IF(L73="","",VLOOKUP($B73,'C-1 On-Site WaterC'' Baseline'!$C$9:$R$257,16,FALSE))</f>
        <v/>
      </c>
      <c r="N73" s="320" t="str">
        <f t="shared" si="0"/>
        <v/>
      </c>
      <c r="O73" s="362" t="str">
        <f t="shared" si="2"/>
        <v/>
      </c>
      <c r="P73" s="363" t="str">
        <f>IF(C73="","",IF(AND(LEFT(C73,55)&lt;&gt;LEFT(N73,55),O73="High - High"),"Error - Not like for like ▲",IF(H73&gt;U73,"Error - Can not reduce condition ▲",IF(AND(F73=S73,H73=U73,AJ73='C-1 On-Site WaterC'' Baseline'!N71,'C-1 On-Site WaterC'' Baseline'!P71=AL73),"Error - No enhancement ▲",IF(AND(C73&lt;&gt;N73,F73&lt;S73),"Lower Distinctiveness Habitat"&amp;" - "&amp;T73,G73&amp;" - "&amp;T73)))))</f>
        <v/>
      </c>
      <c r="Q73" s="425" t="str">
        <f>IF(N73="","",VLOOKUP(B73,'C-1 On-Site WaterC'' Baseline'!$C$10:$AB$257,19,FALSE))</f>
        <v/>
      </c>
      <c r="R73" s="362" t="str">
        <f>IF(N73="","",VLOOKUP(N73,'G-7 WaterC'' Data'!$B$2:$G$8,2,FALSE))</f>
        <v/>
      </c>
      <c r="S73" s="363" t="str">
        <f>IFERROR(VLOOKUP(R73,'G-7 WaterC'' Data'!$C$4:$D$8,2,FALSE),"")</f>
        <v/>
      </c>
      <c r="T73" s="114"/>
      <c r="U73" s="363" t="str">
        <f>IFERROR(INDEX('G-7 WaterC'' Data'!$H$4:$L$8,MATCH(N73,'G-7 WaterC'' Data'!$B$4:$B$8,0),MATCH(T73,'G-7 WaterC'' Data'!$H$3:$L$3,0)),"")</f>
        <v/>
      </c>
      <c r="V73" s="114"/>
      <c r="W73" s="370" t="str">
        <f>IF(V73="","",IF(VLOOKUP(V73,'G-7 WaterC'' Data'!$AK$4:$AM$6,2,FALSE)=0,"Spatial Data Missing ⚠",VLOOKUP(V73,'G-7 WaterC'' Data'!$AK$4:$AM$6,2,FALSE)))</f>
        <v/>
      </c>
      <c r="X73" s="363" t="str">
        <f>IF(V73="","",IF(VLOOKUP(V73,'G-7 WaterC'' Data'!$AK$4:$AM$6,3,FALSE)=0,"Spatial Data Missing ⚠",VLOOKUP(V73,'G-7 WaterC'' Data'!$AK$4:$AM$6,3,FALSE)))</f>
        <v/>
      </c>
      <c r="Y73" s="362" t="str">
        <f>IFERROR(IF(OR(LEFT(P73,5)="Error",LEFT(O73,5)="Error ▲"),"Check Data ⚠",IF(F73&lt;S73,'G-7 WaterC'' Data'!$R$3,INDEX('G-7 WaterC'' Data'!$U$5:$Y$9,MATCH(G73,'G-7 WaterC'' Data'!$T$5:$T$9,0),MATCH(T73,'G-7 WaterC'' Data'!$U$4:$Y$4,0)))),"")</f>
        <v/>
      </c>
      <c r="Z73" s="159"/>
      <c r="AA73" s="159"/>
      <c r="AB73" s="370" t="str">
        <f t="shared" si="3"/>
        <v/>
      </c>
      <c r="AC73" s="383" t="str">
        <f t="shared" si="4"/>
        <v/>
      </c>
      <c r="AD73" s="422" t="str">
        <f>IFERROR(IF(AC73="Check Data ⚠","Check Data ⚠",VLOOKUP(AC73,'G-4 Temporal multipliers'!$A$4:$C$37,3,FALSE)),"")</f>
        <v/>
      </c>
      <c r="AE73" s="362" t="str">
        <f>IF(N73="","",VLOOKUP(N73,'G-7 WaterC'' Data'!$B$4:$G$8,5,FALSE))</f>
        <v/>
      </c>
      <c r="AF73" s="370" t="str">
        <f t="shared" si="5"/>
        <v/>
      </c>
      <c r="AG73" s="401" t="str">
        <f t="shared" si="6"/>
        <v/>
      </c>
      <c r="AH73" s="363" t="str">
        <f t="shared" si="1"/>
        <v/>
      </c>
      <c r="AI73" s="122"/>
      <c r="AJ73" s="363" t="str">
        <f>IF(AI73="","",IF(VLOOKUP(AI73,'G-7 WaterC'' Data'!$AA$4:$AB$7,2,FALSE)=0,"Spatial Data Missing ⚠",VLOOKUP(AI73,'G-7 WaterC'' Data'!$AA$4:$AB$7,2,FALSE)))</f>
        <v/>
      </c>
      <c r="AK73" s="123"/>
      <c r="AL73" s="363" t="str">
        <f>IF(AK73="","",IF(VLOOKUP(AK73,'G-7 WaterC'' Data'!$AD$4:$AE$14,2,FALSE)=0,"Spatial Data Missing ⚠",VLOOKUP(AK73,'G-7 WaterC'' Data'!$AD$4:$AE$14,2,FALSE)))</f>
        <v/>
      </c>
      <c r="AM73" s="405" t="str">
        <f t="shared" si="7"/>
        <v/>
      </c>
      <c r="AN73" s="117"/>
      <c r="AO73" s="118"/>
      <c r="AP73" s="120"/>
      <c r="AV73" s="30" t="str">
        <f>IFERROR(INDEX('G-7 WaterC'' Data'!$AZ$3:$AZ$7,MATCH(N73,'G-7 WaterC'' Data'!$AY$3:$AY$7,0)),"")</f>
        <v/>
      </c>
    </row>
    <row r="74" spans="2:48" ht="15">
      <c r="B74" s="392" t="str">
        <f>'C-1 On-Site WaterC'' Baseline'!AO72</f>
        <v/>
      </c>
      <c r="C74" s="382" t="str">
        <f>IF(B74="","",VLOOKUP($B74,'C-1 On-Site WaterC'' Baseline'!$C$9:$R$257,2,FALSE))</f>
        <v/>
      </c>
      <c r="D74" s="382" t="str">
        <f>IF(C74="","",VLOOKUP($B74,'C-1 On-Site WaterC'' Baseline'!$C$9:$R$257,3,FALSE))</f>
        <v/>
      </c>
      <c r="E74" s="382" t="str">
        <f>IF(D74="","",VLOOKUP($B74,'C-1 On-Site WaterC'' Baseline'!$C$9:$R$257,4,FALSE))</f>
        <v/>
      </c>
      <c r="F74" s="382" t="str">
        <f>IF(E74="","",VLOOKUP($B74,'C-1 On-Site WaterC'' Baseline'!$C$9:$R$257,5,FALSE))</f>
        <v/>
      </c>
      <c r="G74" s="382" t="str">
        <f>IF(F74="","",VLOOKUP($B74,'C-1 On-Site WaterC'' Baseline'!$C$9:$R$257,6,FALSE))</f>
        <v/>
      </c>
      <c r="H74" s="382" t="str">
        <f>IF(G74="","",VLOOKUP($B74,'C-1 On-Site WaterC'' Baseline'!$C$9:$R$257,7,FALSE))</f>
        <v/>
      </c>
      <c r="I74" s="382" t="str">
        <f>IF(H74="","",VLOOKUP($B74,'C-1 On-Site WaterC'' Baseline'!$C$9:$R$257,8,FALSE))</f>
        <v/>
      </c>
      <c r="J74" s="382" t="str">
        <f>IF(I74="","",VLOOKUP($B74,'C-1 On-Site WaterC'' Baseline'!$C$9:$R$257,9,FALSE))</f>
        <v/>
      </c>
      <c r="K74" s="382" t="str">
        <f>IF(J74="","",VLOOKUP($B74,'C-1 On-Site WaterC'' Baseline'!$C$9:$R$257,10,FALSE))</f>
        <v/>
      </c>
      <c r="L74" s="382" t="str">
        <f>IF(B74="","",VLOOKUP($B74,'C-1 On-Site WaterC'' Baseline'!$C$9:$R$257,15,FALSE))</f>
        <v/>
      </c>
      <c r="M74" s="386" t="str">
        <f>IF(L74="","",VLOOKUP($B74,'C-1 On-Site WaterC'' Baseline'!$C$9:$R$257,16,FALSE))</f>
        <v/>
      </c>
      <c r="N74" s="320" t="str">
        <f t="shared" si="0"/>
        <v/>
      </c>
      <c r="O74" s="362" t="str">
        <f t="shared" si="2"/>
        <v/>
      </c>
      <c r="P74" s="363" t="str">
        <f>IF(C74="","",IF(AND(LEFT(C74,55)&lt;&gt;LEFT(N74,55),O74="High - High"),"Error - Not like for like ▲",IF(H74&gt;U74,"Error - Can not reduce condition ▲",IF(AND(F74=S74,H74=U74,AJ74='C-1 On-Site WaterC'' Baseline'!N72,'C-1 On-Site WaterC'' Baseline'!P72=AL74),"Error - No enhancement ▲",IF(AND(C74&lt;&gt;N74,F74&lt;S74),"Lower Distinctiveness Habitat"&amp;" - "&amp;T74,G74&amp;" - "&amp;T74)))))</f>
        <v/>
      </c>
      <c r="Q74" s="425" t="str">
        <f>IF(N74="","",VLOOKUP(B74,'C-1 On-Site WaterC'' Baseline'!$C$10:$AB$257,19,FALSE))</f>
        <v/>
      </c>
      <c r="R74" s="362" t="str">
        <f>IF(N74="","",VLOOKUP(N74,'G-7 WaterC'' Data'!$B$2:$G$8,2,FALSE))</f>
        <v/>
      </c>
      <c r="S74" s="363" t="str">
        <f>IFERROR(VLOOKUP(R74,'G-7 WaterC'' Data'!$C$4:$D$8,2,FALSE),"")</f>
        <v/>
      </c>
      <c r="T74" s="114"/>
      <c r="U74" s="363" t="str">
        <f>IFERROR(INDEX('G-7 WaterC'' Data'!$H$4:$L$8,MATCH(N74,'G-7 WaterC'' Data'!$B$4:$B$8,0),MATCH(T74,'G-7 WaterC'' Data'!$H$3:$L$3,0)),"")</f>
        <v/>
      </c>
      <c r="V74" s="114"/>
      <c r="W74" s="370" t="str">
        <f>IF(V74="","",IF(VLOOKUP(V74,'G-7 WaterC'' Data'!$AK$4:$AM$6,2,FALSE)=0,"Spatial Data Missing ⚠",VLOOKUP(V74,'G-7 WaterC'' Data'!$AK$4:$AM$6,2,FALSE)))</f>
        <v/>
      </c>
      <c r="X74" s="363" t="str">
        <f>IF(V74="","",IF(VLOOKUP(V74,'G-7 WaterC'' Data'!$AK$4:$AM$6,3,FALSE)=0,"Spatial Data Missing ⚠",VLOOKUP(V74,'G-7 WaterC'' Data'!$AK$4:$AM$6,3,FALSE)))</f>
        <v/>
      </c>
      <c r="Y74" s="362" t="str">
        <f>IFERROR(IF(OR(LEFT(P74,5)="Error",LEFT(O74,5)="Error ▲"),"Check Data ⚠",IF(F74&lt;S74,'G-7 WaterC'' Data'!$R$3,INDEX('G-7 WaterC'' Data'!$U$5:$Y$9,MATCH(G74,'G-7 WaterC'' Data'!$T$5:$T$9,0),MATCH(T74,'G-7 WaterC'' Data'!$U$4:$Y$4,0)))),"")</f>
        <v/>
      </c>
      <c r="Z74" s="159"/>
      <c r="AA74" s="159"/>
      <c r="AB74" s="370" t="str">
        <f t="shared" si="3"/>
        <v/>
      </c>
      <c r="AC74" s="383" t="str">
        <f t="shared" si="4"/>
        <v/>
      </c>
      <c r="AD74" s="422" t="str">
        <f>IFERROR(IF(AC74="Check Data ⚠","Check Data ⚠",VLOOKUP(AC74,'G-4 Temporal multipliers'!$A$4:$C$37,3,FALSE)),"")</f>
        <v/>
      </c>
      <c r="AE74" s="362" t="str">
        <f>IF(N74="","",VLOOKUP(N74,'G-7 WaterC'' Data'!$B$4:$G$8,5,FALSE))</f>
        <v/>
      </c>
      <c r="AF74" s="370" t="str">
        <f t="shared" si="5"/>
        <v/>
      </c>
      <c r="AG74" s="401" t="str">
        <f t="shared" si="6"/>
        <v/>
      </c>
      <c r="AH74" s="363" t="str">
        <f t="shared" si="1"/>
        <v/>
      </c>
      <c r="AI74" s="122"/>
      <c r="AJ74" s="363" t="str">
        <f>IF(AI74="","",IF(VLOOKUP(AI74,'G-7 WaterC'' Data'!$AA$4:$AB$7,2,FALSE)=0,"Spatial Data Missing ⚠",VLOOKUP(AI74,'G-7 WaterC'' Data'!$AA$4:$AB$7,2,FALSE)))</f>
        <v/>
      </c>
      <c r="AK74" s="123"/>
      <c r="AL74" s="363" t="str">
        <f>IF(AK74="","",IF(VLOOKUP(AK74,'G-7 WaterC'' Data'!$AD$4:$AE$14,2,FALSE)=0,"Spatial Data Missing ⚠",VLOOKUP(AK74,'G-7 WaterC'' Data'!$AD$4:$AE$14,2,FALSE)))</f>
        <v/>
      </c>
      <c r="AM74" s="405" t="str">
        <f t="shared" si="7"/>
        <v/>
      </c>
      <c r="AN74" s="117"/>
      <c r="AO74" s="118"/>
      <c r="AP74" s="120"/>
      <c r="AV74" s="30" t="str">
        <f>IFERROR(INDEX('G-7 WaterC'' Data'!$AZ$3:$AZ$7,MATCH(N74,'G-7 WaterC'' Data'!$AY$3:$AY$7,0)),"")</f>
        <v/>
      </c>
    </row>
    <row r="75" spans="2:48" ht="15">
      <c r="B75" s="392" t="str">
        <f>'C-1 On-Site WaterC'' Baseline'!AO73</f>
        <v/>
      </c>
      <c r="C75" s="382" t="str">
        <f>IF(B75="","",VLOOKUP($B75,'C-1 On-Site WaterC'' Baseline'!$C$9:$R$257,2,FALSE))</f>
        <v/>
      </c>
      <c r="D75" s="382" t="str">
        <f>IF(C75="","",VLOOKUP($B75,'C-1 On-Site WaterC'' Baseline'!$C$9:$R$257,3,FALSE))</f>
        <v/>
      </c>
      <c r="E75" s="382" t="str">
        <f>IF(D75="","",VLOOKUP($B75,'C-1 On-Site WaterC'' Baseline'!$C$9:$R$257,4,FALSE))</f>
        <v/>
      </c>
      <c r="F75" s="382" t="str">
        <f>IF(E75="","",VLOOKUP($B75,'C-1 On-Site WaterC'' Baseline'!$C$9:$R$257,5,FALSE))</f>
        <v/>
      </c>
      <c r="G75" s="382" t="str">
        <f>IF(F75="","",VLOOKUP($B75,'C-1 On-Site WaterC'' Baseline'!$C$9:$R$257,6,FALSE))</f>
        <v/>
      </c>
      <c r="H75" s="382" t="str">
        <f>IF(G75="","",VLOOKUP($B75,'C-1 On-Site WaterC'' Baseline'!$C$9:$R$257,7,FALSE))</f>
        <v/>
      </c>
      <c r="I75" s="382" t="str">
        <f>IF(H75="","",VLOOKUP($B75,'C-1 On-Site WaterC'' Baseline'!$C$9:$R$257,8,FALSE))</f>
        <v/>
      </c>
      <c r="J75" s="382" t="str">
        <f>IF(I75="","",VLOOKUP($B75,'C-1 On-Site WaterC'' Baseline'!$C$9:$R$257,9,FALSE))</f>
        <v/>
      </c>
      <c r="K75" s="382" t="str">
        <f>IF(J75="","",VLOOKUP($B75,'C-1 On-Site WaterC'' Baseline'!$C$9:$R$257,10,FALSE))</f>
        <v/>
      </c>
      <c r="L75" s="382" t="str">
        <f>IF(B75="","",VLOOKUP($B75,'C-1 On-Site WaterC'' Baseline'!$C$9:$R$257,15,FALSE))</f>
        <v/>
      </c>
      <c r="M75" s="386" t="str">
        <f>IF(L75="","",VLOOKUP($B75,'C-1 On-Site WaterC'' Baseline'!$C$9:$R$257,16,FALSE))</f>
        <v/>
      </c>
      <c r="N75" s="320" t="str">
        <f t="shared" si="0"/>
        <v/>
      </c>
      <c r="O75" s="362" t="str">
        <f t="shared" si="2"/>
        <v/>
      </c>
      <c r="P75" s="363" t="str">
        <f>IF(C75="","",IF(AND(LEFT(C75,55)&lt;&gt;LEFT(N75,55),O75="High - High"),"Error - Not like for like ▲",IF(H75&gt;U75,"Error - Can not reduce condition ▲",IF(AND(F75=S75,H75=U75,AJ75='C-1 On-Site WaterC'' Baseline'!N73,'C-1 On-Site WaterC'' Baseline'!P73=AL75),"Error - No enhancement ▲",IF(AND(C75&lt;&gt;N75,F75&lt;S75),"Lower Distinctiveness Habitat"&amp;" - "&amp;T75,G75&amp;" - "&amp;T75)))))</f>
        <v/>
      </c>
      <c r="Q75" s="425" t="str">
        <f>IF(N75="","",VLOOKUP(B75,'C-1 On-Site WaterC'' Baseline'!$C$10:$AB$257,19,FALSE))</f>
        <v/>
      </c>
      <c r="R75" s="362" t="str">
        <f>IF(N75="","",VLOOKUP(N75,'G-7 WaterC'' Data'!$B$2:$G$8,2,FALSE))</f>
        <v/>
      </c>
      <c r="S75" s="363" t="str">
        <f>IFERROR(VLOOKUP(R75,'G-7 WaterC'' Data'!$C$4:$D$8,2,FALSE),"")</f>
        <v/>
      </c>
      <c r="T75" s="114"/>
      <c r="U75" s="363" t="str">
        <f>IFERROR(INDEX('G-7 WaterC'' Data'!$H$4:$L$8,MATCH(N75,'G-7 WaterC'' Data'!$B$4:$B$8,0),MATCH(T75,'G-7 WaterC'' Data'!$H$3:$L$3,0)),"")</f>
        <v/>
      </c>
      <c r="V75" s="114"/>
      <c r="W75" s="370" t="str">
        <f>IF(V75="","",IF(VLOOKUP(V75,'G-7 WaterC'' Data'!$AK$4:$AM$6,2,FALSE)=0,"Spatial Data Missing ⚠",VLOOKUP(V75,'G-7 WaterC'' Data'!$AK$4:$AM$6,2,FALSE)))</f>
        <v/>
      </c>
      <c r="X75" s="363" t="str">
        <f>IF(V75="","",IF(VLOOKUP(V75,'G-7 WaterC'' Data'!$AK$4:$AM$6,3,FALSE)=0,"Spatial Data Missing ⚠",VLOOKUP(V75,'G-7 WaterC'' Data'!$AK$4:$AM$6,3,FALSE)))</f>
        <v/>
      </c>
      <c r="Y75" s="362" t="str">
        <f>IFERROR(IF(OR(LEFT(P75,5)="Error",LEFT(O75,5)="Error ▲"),"Check Data ⚠",IF(F75&lt;S75,'G-7 WaterC'' Data'!$R$3,INDEX('G-7 WaterC'' Data'!$U$5:$Y$9,MATCH(G75,'G-7 WaterC'' Data'!$T$5:$T$9,0),MATCH(T75,'G-7 WaterC'' Data'!$U$4:$Y$4,0)))),"")</f>
        <v/>
      </c>
      <c r="Z75" s="159"/>
      <c r="AA75" s="159"/>
      <c r="AB75" s="370" t="str">
        <f t="shared" si="3"/>
        <v/>
      </c>
      <c r="AC75" s="383" t="str">
        <f t="shared" si="4"/>
        <v/>
      </c>
      <c r="AD75" s="422" t="str">
        <f>IFERROR(IF(AC75="Check Data ⚠","Check Data ⚠",VLOOKUP(AC75,'G-4 Temporal multipliers'!$A$4:$C$37,3,FALSE)),"")</f>
        <v/>
      </c>
      <c r="AE75" s="362" t="str">
        <f>IF(N75="","",VLOOKUP(N75,'G-7 WaterC'' Data'!$B$4:$G$8,5,FALSE))</f>
        <v/>
      </c>
      <c r="AF75" s="370" t="str">
        <f t="shared" si="5"/>
        <v/>
      </c>
      <c r="AG75" s="401" t="str">
        <f t="shared" si="6"/>
        <v/>
      </c>
      <c r="AH75" s="363" t="str">
        <f t="shared" si="1"/>
        <v/>
      </c>
      <c r="AI75" s="122"/>
      <c r="AJ75" s="363" t="str">
        <f>IF(AI75="","",IF(VLOOKUP(AI75,'G-7 WaterC'' Data'!$AA$4:$AB$7,2,FALSE)=0,"Spatial Data Missing ⚠",VLOOKUP(AI75,'G-7 WaterC'' Data'!$AA$4:$AB$7,2,FALSE)))</f>
        <v/>
      </c>
      <c r="AK75" s="123"/>
      <c r="AL75" s="363" t="str">
        <f>IF(AK75="","",IF(VLOOKUP(AK75,'G-7 WaterC'' Data'!$AD$4:$AE$14,2,FALSE)=0,"Spatial Data Missing ⚠",VLOOKUP(AK75,'G-7 WaterC'' Data'!$AD$4:$AE$14,2,FALSE)))</f>
        <v/>
      </c>
      <c r="AM75" s="405" t="str">
        <f t="shared" si="7"/>
        <v/>
      </c>
      <c r="AN75" s="117"/>
      <c r="AO75" s="118"/>
      <c r="AP75" s="120"/>
      <c r="AV75" s="30" t="str">
        <f>IFERROR(INDEX('G-7 WaterC'' Data'!$AZ$3:$AZ$7,MATCH(N75,'G-7 WaterC'' Data'!$AY$3:$AY$7,0)),"")</f>
        <v/>
      </c>
    </row>
    <row r="76" spans="2:48" ht="15">
      <c r="B76" s="392" t="str">
        <f>'C-1 On-Site WaterC'' Baseline'!AO74</f>
        <v/>
      </c>
      <c r="C76" s="382" t="str">
        <f>IF(B76="","",VLOOKUP($B76,'C-1 On-Site WaterC'' Baseline'!$C$9:$R$257,2,FALSE))</f>
        <v/>
      </c>
      <c r="D76" s="382" t="str">
        <f>IF(C76="","",VLOOKUP($B76,'C-1 On-Site WaterC'' Baseline'!$C$9:$R$257,3,FALSE))</f>
        <v/>
      </c>
      <c r="E76" s="382" t="str">
        <f>IF(D76="","",VLOOKUP($B76,'C-1 On-Site WaterC'' Baseline'!$C$9:$R$257,4,FALSE))</f>
        <v/>
      </c>
      <c r="F76" s="382" t="str">
        <f>IF(E76="","",VLOOKUP($B76,'C-1 On-Site WaterC'' Baseline'!$C$9:$R$257,5,FALSE))</f>
        <v/>
      </c>
      <c r="G76" s="382" t="str">
        <f>IF(F76="","",VLOOKUP($B76,'C-1 On-Site WaterC'' Baseline'!$C$9:$R$257,6,FALSE))</f>
        <v/>
      </c>
      <c r="H76" s="382" t="str">
        <f>IF(G76="","",VLOOKUP($B76,'C-1 On-Site WaterC'' Baseline'!$C$9:$R$257,7,FALSE))</f>
        <v/>
      </c>
      <c r="I76" s="382" t="str">
        <f>IF(H76="","",VLOOKUP($B76,'C-1 On-Site WaterC'' Baseline'!$C$9:$R$257,8,FALSE))</f>
        <v/>
      </c>
      <c r="J76" s="382" t="str">
        <f>IF(I76="","",VLOOKUP($B76,'C-1 On-Site WaterC'' Baseline'!$C$9:$R$257,9,FALSE))</f>
        <v/>
      </c>
      <c r="K76" s="382" t="str">
        <f>IF(J76="","",VLOOKUP($B76,'C-1 On-Site WaterC'' Baseline'!$C$9:$R$257,10,FALSE))</f>
        <v/>
      </c>
      <c r="L76" s="382" t="str">
        <f>IF(B76="","",VLOOKUP($B76,'C-1 On-Site WaterC'' Baseline'!$C$9:$R$257,15,FALSE))</f>
        <v/>
      </c>
      <c r="M76" s="386" t="str">
        <f>IF(L76="","",VLOOKUP($B76,'C-1 On-Site WaterC'' Baseline'!$C$9:$R$257,16,FALSE))</f>
        <v/>
      </c>
      <c r="N76" s="320" t="str">
        <f t="shared" ref="N76:N139" si="8">C76</f>
        <v/>
      </c>
      <c r="O76" s="362" t="str">
        <f t="shared" si="2"/>
        <v/>
      </c>
      <c r="P76" s="363" t="str">
        <f>IF(C76="","",IF(AND(LEFT(C76,55)&lt;&gt;LEFT(N76,55),O76="High - High"),"Error - Not like for like ▲",IF(H76&gt;U76,"Error - Can not reduce condition ▲",IF(AND(F76=S76,H76=U76,AJ76='C-1 On-Site WaterC'' Baseline'!N74,'C-1 On-Site WaterC'' Baseline'!P74=AL76),"Error - No enhancement ▲",IF(AND(C76&lt;&gt;N76,F76&lt;S76),"Lower Distinctiveness Habitat"&amp;" - "&amp;T76,G76&amp;" - "&amp;T76)))))</f>
        <v/>
      </c>
      <c r="Q76" s="425" t="str">
        <f>IF(N76="","",VLOOKUP(B76,'C-1 On-Site WaterC'' Baseline'!$C$10:$AB$257,19,FALSE))</f>
        <v/>
      </c>
      <c r="R76" s="362" t="str">
        <f>IF(N76="","",VLOOKUP(N76,'G-7 WaterC'' Data'!$B$2:$G$8,2,FALSE))</f>
        <v/>
      </c>
      <c r="S76" s="363" t="str">
        <f>IFERROR(VLOOKUP(R76,'G-7 WaterC'' Data'!$C$4:$D$8,2,FALSE),"")</f>
        <v/>
      </c>
      <c r="T76" s="114"/>
      <c r="U76" s="363" t="str">
        <f>IFERROR(INDEX('G-7 WaterC'' Data'!$H$4:$L$8,MATCH(N76,'G-7 WaterC'' Data'!$B$4:$B$8,0),MATCH(T76,'G-7 WaterC'' Data'!$H$3:$L$3,0)),"")</f>
        <v/>
      </c>
      <c r="V76" s="114"/>
      <c r="W76" s="370" t="str">
        <f>IF(V76="","",IF(VLOOKUP(V76,'G-7 WaterC'' Data'!$AK$4:$AM$6,2,FALSE)=0,"Spatial Data Missing ⚠",VLOOKUP(V76,'G-7 WaterC'' Data'!$AK$4:$AM$6,2,FALSE)))</f>
        <v/>
      </c>
      <c r="X76" s="363" t="str">
        <f>IF(V76="","",IF(VLOOKUP(V76,'G-7 WaterC'' Data'!$AK$4:$AM$6,3,FALSE)=0,"Spatial Data Missing ⚠",VLOOKUP(V76,'G-7 WaterC'' Data'!$AK$4:$AM$6,3,FALSE)))</f>
        <v/>
      </c>
      <c r="Y76" s="362" t="str">
        <f>IFERROR(IF(OR(LEFT(P76,5)="Error",LEFT(O76,5)="Error ▲"),"Check Data ⚠",IF(F76&lt;S76,'G-7 WaterC'' Data'!$R$3,INDEX('G-7 WaterC'' Data'!$U$5:$Y$9,MATCH(G76,'G-7 WaterC'' Data'!$T$5:$T$9,0),MATCH(T76,'G-7 WaterC'' Data'!$U$4:$Y$4,0)))),"")</f>
        <v/>
      </c>
      <c r="Z76" s="159"/>
      <c r="AA76" s="159"/>
      <c r="AB76" s="370" t="str">
        <f t="shared" si="3"/>
        <v/>
      </c>
      <c r="AC76" s="383" t="str">
        <f t="shared" si="4"/>
        <v/>
      </c>
      <c r="AD76" s="422" t="str">
        <f>IFERROR(IF(AC76="Check Data ⚠","Check Data ⚠",VLOOKUP(AC76,'G-4 Temporal multipliers'!$A$4:$C$37,3,FALSE)),"")</f>
        <v/>
      </c>
      <c r="AE76" s="362" t="str">
        <f>IF(N76="","",VLOOKUP(N76,'G-7 WaterC'' Data'!$B$4:$G$8,5,FALSE))</f>
        <v/>
      </c>
      <c r="AF76" s="370" t="str">
        <f t="shared" si="5"/>
        <v/>
      </c>
      <c r="AG76" s="401" t="str">
        <f t="shared" si="6"/>
        <v/>
      </c>
      <c r="AH76" s="363" t="str">
        <f t="shared" ref="AH76:AH139" si="9">IF(N76="","",VLOOKUP(AE76,Difficulty,2,FALSE))</f>
        <v/>
      </c>
      <c r="AI76" s="122"/>
      <c r="AJ76" s="363" t="str">
        <f>IF(AI76="","",IF(VLOOKUP(AI76,'G-7 WaterC'' Data'!$AA$4:$AB$7,2,FALSE)=0,"Spatial Data Missing ⚠",VLOOKUP(AI76,'G-7 WaterC'' Data'!$AA$4:$AB$7,2,FALSE)))</f>
        <v/>
      </c>
      <c r="AK76" s="123"/>
      <c r="AL76" s="363" t="str">
        <f>IF(AK76="","",IF(VLOOKUP(AK76,'G-7 WaterC'' Data'!$AD$4:$AE$14,2,FALSE)=0,"Spatial Data Missing ⚠",VLOOKUP(AK76,'G-7 WaterC'' Data'!$AD$4:$AE$14,2,FALSE)))</f>
        <v/>
      </c>
      <c r="AM76" s="405" t="str">
        <f t="shared" si="7"/>
        <v/>
      </c>
      <c r="AN76" s="117"/>
      <c r="AO76" s="118"/>
      <c r="AP76" s="120"/>
      <c r="AV76" s="30" t="str">
        <f>IFERROR(INDEX('G-7 WaterC'' Data'!$AZ$3:$AZ$7,MATCH(N76,'G-7 WaterC'' Data'!$AY$3:$AY$7,0)),"")</f>
        <v/>
      </c>
    </row>
    <row r="77" spans="2:48" ht="15">
      <c r="B77" s="392" t="str">
        <f>'C-1 On-Site WaterC'' Baseline'!AO75</f>
        <v/>
      </c>
      <c r="C77" s="382" t="str">
        <f>IF(B77="","",VLOOKUP($B77,'C-1 On-Site WaterC'' Baseline'!$C$9:$R$257,2,FALSE))</f>
        <v/>
      </c>
      <c r="D77" s="382" t="str">
        <f>IF(C77="","",VLOOKUP($B77,'C-1 On-Site WaterC'' Baseline'!$C$9:$R$257,3,FALSE))</f>
        <v/>
      </c>
      <c r="E77" s="382" t="str">
        <f>IF(D77="","",VLOOKUP($B77,'C-1 On-Site WaterC'' Baseline'!$C$9:$R$257,4,FALSE))</f>
        <v/>
      </c>
      <c r="F77" s="382" t="str">
        <f>IF(E77="","",VLOOKUP($B77,'C-1 On-Site WaterC'' Baseline'!$C$9:$R$257,5,FALSE))</f>
        <v/>
      </c>
      <c r="G77" s="382" t="str">
        <f>IF(F77="","",VLOOKUP($B77,'C-1 On-Site WaterC'' Baseline'!$C$9:$R$257,6,FALSE))</f>
        <v/>
      </c>
      <c r="H77" s="382" t="str">
        <f>IF(G77="","",VLOOKUP($B77,'C-1 On-Site WaterC'' Baseline'!$C$9:$R$257,7,FALSE))</f>
        <v/>
      </c>
      <c r="I77" s="382" t="str">
        <f>IF(H77="","",VLOOKUP($B77,'C-1 On-Site WaterC'' Baseline'!$C$9:$R$257,8,FALSE))</f>
        <v/>
      </c>
      <c r="J77" s="382" t="str">
        <f>IF(I77="","",VLOOKUP($B77,'C-1 On-Site WaterC'' Baseline'!$C$9:$R$257,9,FALSE))</f>
        <v/>
      </c>
      <c r="K77" s="382" t="str">
        <f>IF(J77="","",VLOOKUP($B77,'C-1 On-Site WaterC'' Baseline'!$C$9:$R$257,10,FALSE))</f>
        <v/>
      </c>
      <c r="L77" s="382" t="str">
        <f>IF(B77="","",VLOOKUP($B77,'C-1 On-Site WaterC'' Baseline'!$C$9:$R$257,15,FALSE))</f>
        <v/>
      </c>
      <c r="M77" s="386" t="str">
        <f>IF(L77="","",VLOOKUP($B77,'C-1 On-Site WaterC'' Baseline'!$C$9:$R$257,16,FALSE))</f>
        <v/>
      </c>
      <c r="N77" s="320" t="str">
        <f t="shared" si="8"/>
        <v/>
      </c>
      <c r="O77" s="362" t="str">
        <f t="shared" ref="O77:O140" si="10">IF(B77="","",IF(S77&lt;F77,"Error Trading Down ▲",E77&amp;" - "&amp;R77))</f>
        <v/>
      </c>
      <c r="P77" s="363" t="str">
        <f>IF(C77="","",IF(AND(LEFT(C77,55)&lt;&gt;LEFT(N77,55),O77="High - High"),"Error - Not like for like ▲",IF(H77&gt;U77,"Error - Can not reduce condition ▲",IF(AND(F77=S77,H77=U77,AJ77='C-1 On-Site WaterC'' Baseline'!N75,'C-1 On-Site WaterC'' Baseline'!P75=AL77),"Error - No enhancement ▲",IF(AND(C77&lt;&gt;N77,F77&lt;S77),"Lower Distinctiveness Habitat"&amp;" - "&amp;T77,G77&amp;" - "&amp;T77)))))</f>
        <v/>
      </c>
      <c r="Q77" s="425" t="str">
        <f>IF(N77="","",VLOOKUP(B77,'C-1 On-Site WaterC'' Baseline'!$C$10:$AB$257,19,FALSE))</f>
        <v/>
      </c>
      <c r="R77" s="362" t="str">
        <f>IF(N77="","",VLOOKUP(N77,'G-7 WaterC'' Data'!$B$2:$G$8,2,FALSE))</f>
        <v/>
      </c>
      <c r="S77" s="363" t="str">
        <f>IFERROR(VLOOKUP(R77,'G-7 WaterC'' Data'!$C$4:$D$8,2,FALSE),"")</f>
        <v/>
      </c>
      <c r="T77" s="114"/>
      <c r="U77" s="363" t="str">
        <f>IFERROR(INDEX('G-7 WaterC'' Data'!$H$4:$L$8,MATCH(N77,'G-7 WaterC'' Data'!$B$4:$B$8,0),MATCH(T77,'G-7 WaterC'' Data'!$H$3:$L$3,0)),"")</f>
        <v/>
      </c>
      <c r="V77" s="114"/>
      <c r="W77" s="370" t="str">
        <f>IF(V77="","",IF(VLOOKUP(V77,'G-7 WaterC'' Data'!$AK$4:$AM$6,2,FALSE)=0,"Spatial Data Missing ⚠",VLOOKUP(V77,'G-7 WaterC'' Data'!$AK$4:$AM$6,2,FALSE)))</f>
        <v/>
      </c>
      <c r="X77" s="363" t="str">
        <f>IF(V77="","",IF(VLOOKUP(V77,'G-7 WaterC'' Data'!$AK$4:$AM$6,3,FALSE)=0,"Spatial Data Missing ⚠",VLOOKUP(V77,'G-7 WaterC'' Data'!$AK$4:$AM$6,3,FALSE)))</f>
        <v/>
      </c>
      <c r="Y77" s="362" t="str">
        <f>IFERROR(IF(OR(LEFT(P77,5)="Error",LEFT(O77,5)="Error ▲"),"Check Data ⚠",IF(F77&lt;S77,'G-7 WaterC'' Data'!$R$3,INDEX('G-7 WaterC'' Data'!$U$5:$Y$9,MATCH(G77,'G-7 WaterC'' Data'!$T$5:$T$9,0),MATCH(T77,'G-7 WaterC'' Data'!$U$4:$Y$4,0)))),"")</f>
        <v/>
      </c>
      <c r="Z77" s="159"/>
      <c r="AA77" s="159"/>
      <c r="AB77" s="370" t="str">
        <f t="shared" ref="AB77:AB140" si="11">IF(Y77="","",IF(Y77="Check Data ⚠","Check Data ⚠",IF(AND(Z77&gt;0,AA77&gt;0),"Error -both advance and delayed habitat creation ▲",IF(AND(OR(Z77="Habitat already in target condition",Y77&lt;=Z77),AA77=0),"Check details - Is there evidence that habitat has reached target condition? ⚠",IF(Z77&gt;0,"Check details - Is there evidence habitat creation started/in place? ⚠",IF(AA77&gt;0,"Check details- Delay in starting habitat in required condition? ⚠","Standard time to target condition applied"))))))</f>
        <v/>
      </c>
      <c r="AC77" s="383" t="str">
        <f t="shared" ref="AC77:AC140" si="12">IF(AB77="Error -both advance and delayed habitat creation ▲","Check Data ⚠",IF(AB77="Check Data ⚠","Check Data ⚠",IF(Y77="","",IF(Z77="30+",0,IF(AA77="30+","30+ ⚠",IF(Y77+AA77&gt;30,"30+ ⚠",IF(Y77+AA77-Z77&gt;0,Y77+AA77-Z77,IF(Y77-Z77&lt;0,0,Y77+AA77-Z77))))))))</f>
        <v/>
      </c>
      <c r="AD77" s="422" t="str">
        <f>IFERROR(IF(AC77="Check Data ⚠","Check Data ⚠",VLOOKUP(AC77,'G-4 Temporal multipliers'!$A$4:$C$37,3,FALSE)),"")</f>
        <v/>
      </c>
      <c r="AE77" s="362" t="str">
        <f>IF(N77="","",VLOOKUP(N77,'G-7 WaterC'' Data'!$B$4:$G$8,5,FALSE))</f>
        <v/>
      </c>
      <c r="AF77" s="370" t="str">
        <f t="shared" ref="AF77:AF140" si="13">IF(N77="","",IF(AC77="Check Data ⚠","Check Data ⚠",IF(T77="","",IF($AB77="Check details - Is there evidence that habitat has reached target condition? ⚠","Low Difficulty - only applicable if all habitat created before losses ⚠","Standard difficulty applied"))))</f>
        <v/>
      </c>
      <c r="AG77" s="401" t="str">
        <f t="shared" ref="AG77:AG140" si="14">(IF(AND(AF77="Standard difficulty applied",Y77&gt;Z77),AE77,IF(AND(AF77="Low Difficulty - only applicable if all habitat created before losses ⚠",Z77&gt;=Y77),"Low",AE77)))</f>
        <v/>
      </c>
      <c r="AH77" s="363" t="str">
        <f t="shared" si="9"/>
        <v/>
      </c>
      <c r="AI77" s="122"/>
      <c r="AJ77" s="363" t="str">
        <f>IF(AI77="","",IF(VLOOKUP(AI77,'G-7 WaterC'' Data'!$AA$4:$AB$7,2,FALSE)=0,"Spatial Data Missing ⚠",VLOOKUP(AI77,'G-7 WaterC'' Data'!$AA$4:$AB$7,2,FALSE)))</f>
        <v/>
      </c>
      <c r="AK77" s="123"/>
      <c r="AL77" s="363" t="str">
        <f>IF(AK77="","",IF(VLOOKUP(AK77,'G-7 WaterC'' Data'!$AD$4:$AE$14,2,FALSE)=0,"Spatial Data Missing ⚠",VLOOKUP(AK77,'G-7 WaterC'' Data'!$AD$4:$AE$14,2,FALSE)))</f>
        <v/>
      </c>
      <c r="AM77" s="405" t="str">
        <f t="shared" si="7"/>
        <v/>
      </c>
      <c r="AN77" s="117"/>
      <c r="AO77" s="118"/>
      <c r="AP77" s="120"/>
      <c r="AV77" s="30" t="str">
        <f>IFERROR(INDEX('G-7 WaterC'' Data'!$AZ$3:$AZ$7,MATCH(N77,'G-7 WaterC'' Data'!$AY$3:$AY$7,0)),"")</f>
        <v/>
      </c>
    </row>
    <row r="78" spans="2:48" ht="15">
      <c r="B78" s="392" t="str">
        <f>'C-1 On-Site WaterC'' Baseline'!AO76</f>
        <v/>
      </c>
      <c r="C78" s="382" t="str">
        <f>IF(B78="","",VLOOKUP($B78,'C-1 On-Site WaterC'' Baseline'!$C$9:$R$257,2,FALSE))</f>
        <v/>
      </c>
      <c r="D78" s="382" t="str">
        <f>IF(C78="","",VLOOKUP($B78,'C-1 On-Site WaterC'' Baseline'!$C$9:$R$257,3,FALSE))</f>
        <v/>
      </c>
      <c r="E78" s="382" t="str">
        <f>IF(D78="","",VLOOKUP($B78,'C-1 On-Site WaterC'' Baseline'!$C$9:$R$257,4,FALSE))</f>
        <v/>
      </c>
      <c r="F78" s="382" t="str">
        <f>IF(E78="","",VLOOKUP($B78,'C-1 On-Site WaterC'' Baseline'!$C$9:$R$257,5,FALSE))</f>
        <v/>
      </c>
      <c r="G78" s="382" t="str">
        <f>IF(F78="","",VLOOKUP($B78,'C-1 On-Site WaterC'' Baseline'!$C$9:$R$257,6,FALSE))</f>
        <v/>
      </c>
      <c r="H78" s="382" t="str">
        <f>IF(G78="","",VLOOKUP($B78,'C-1 On-Site WaterC'' Baseline'!$C$9:$R$257,7,FALSE))</f>
        <v/>
      </c>
      <c r="I78" s="382" t="str">
        <f>IF(H78="","",VLOOKUP($B78,'C-1 On-Site WaterC'' Baseline'!$C$9:$R$257,8,FALSE))</f>
        <v/>
      </c>
      <c r="J78" s="382" t="str">
        <f>IF(I78="","",VLOOKUP($B78,'C-1 On-Site WaterC'' Baseline'!$C$9:$R$257,9,FALSE))</f>
        <v/>
      </c>
      <c r="K78" s="382" t="str">
        <f>IF(J78="","",VLOOKUP($B78,'C-1 On-Site WaterC'' Baseline'!$C$9:$R$257,10,FALSE))</f>
        <v/>
      </c>
      <c r="L78" s="382" t="str">
        <f>IF(B78="","",VLOOKUP($B78,'C-1 On-Site WaterC'' Baseline'!$C$9:$R$257,15,FALSE))</f>
        <v/>
      </c>
      <c r="M78" s="386" t="str">
        <f>IF(L78="","",VLOOKUP($B78,'C-1 On-Site WaterC'' Baseline'!$C$9:$R$257,16,FALSE))</f>
        <v/>
      </c>
      <c r="N78" s="320" t="str">
        <f t="shared" si="8"/>
        <v/>
      </c>
      <c r="O78" s="362" t="str">
        <f t="shared" si="10"/>
        <v/>
      </c>
      <c r="P78" s="363" t="str">
        <f>IF(C78="","",IF(AND(LEFT(C78,55)&lt;&gt;LEFT(N78,55),O78="High - High"),"Error - Not like for like ▲",IF(H78&gt;U78,"Error - Can not reduce condition ▲",IF(AND(F78=S78,H78=U78,AJ78='C-1 On-Site WaterC'' Baseline'!N76,'C-1 On-Site WaterC'' Baseline'!P76=AL78),"Error - No enhancement ▲",IF(AND(C78&lt;&gt;N78,F78&lt;S78),"Lower Distinctiveness Habitat"&amp;" - "&amp;T78,G78&amp;" - "&amp;T78)))))</f>
        <v/>
      </c>
      <c r="Q78" s="425" t="str">
        <f>IF(N78="","",VLOOKUP(B78,'C-1 On-Site WaterC'' Baseline'!$C$10:$AB$257,19,FALSE))</f>
        <v/>
      </c>
      <c r="R78" s="362" t="str">
        <f>IF(N78="","",VLOOKUP(N78,'G-7 WaterC'' Data'!$B$2:$G$8,2,FALSE))</f>
        <v/>
      </c>
      <c r="S78" s="363" t="str">
        <f>IFERROR(VLOOKUP(R78,'G-7 WaterC'' Data'!$C$4:$D$8,2,FALSE),"")</f>
        <v/>
      </c>
      <c r="T78" s="114"/>
      <c r="U78" s="363" t="str">
        <f>IFERROR(INDEX('G-7 WaterC'' Data'!$H$4:$L$8,MATCH(N78,'G-7 WaterC'' Data'!$B$4:$B$8,0),MATCH(T78,'G-7 WaterC'' Data'!$H$3:$L$3,0)),"")</f>
        <v/>
      </c>
      <c r="V78" s="114"/>
      <c r="W78" s="370" t="str">
        <f>IF(V78="","",IF(VLOOKUP(V78,'G-7 WaterC'' Data'!$AK$4:$AM$6,2,FALSE)=0,"Spatial Data Missing ⚠",VLOOKUP(V78,'G-7 WaterC'' Data'!$AK$4:$AM$6,2,FALSE)))</f>
        <v/>
      </c>
      <c r="X78" s="363" t="str">
        <f>IF(V78="","",IF(VLOOKUP(V78,'G-7 WaterC'' Data'!$AK$4:$AM$6,3,FALSE)=0,"Spatial Data Missing ⚠",VLOOKUP(V78,'G-7 WaterC'' Data'!$AK$4:$AM$6,3,FALSE)))</f>
        <v/>
      </c>
      <c r="Y78" s="362" t="str">
        <f>IFERROR(IF(OR(LEFT(P78,5)="Error",LEFT(O78,5)="Error ▲"),"Check Data ⚠",IF(F78&lt;S78,'G-7 WaterC'' Data'!$R$3,INDEX('G-7 WaterC'' Data'!$U$5:$Y$9,MATCH(G78,'G-7 WaterC'' Data'!$T$5:$T$9,0),MATCH(T78,'G-7 WaterC'' Data'!$U$4:$Y$4,0)))),"")</f>
        <v/>
      </c>
      <c r="Z78" s="159"/>
      <c r="AA78" s="159"/>
      <c r="AB78" s="370" t="str">
        <f t="shared" si="11"/>
        <v/>
      </c>
      <c r="AC78" s="383" t="str">
        <f t="shared" si="12"/>
        <v/>
      </c>
      <c r="AD78" s="422" t="str">
        <f>IFERROR(IF(AC78="Check Data ⚠","Check Data ⚠",VLOOKUP(AC78,'G-4 Temporal multipliers'!$A$4:$C$37,3,FALSE)),"")</f>
        <v/>
      </c>
      <c r="AE78" s="362" t="str">
        <f>IF(N78="","",VLOOKUP(N78,'G-7 WaterC'' Data'!$B$4:$G$8,5,FALSE))</f>
        <v/>
      </c>
      <c r="AF78" s="370" t="str">
        <f t="shared" si="13"/>
        <v/>
      </c>
      <c r="AG78" s="401" t="str">
        <f t="shared" si="14"/>
        <v/>
      </c>
      <c r="AH78" s="363" t="str">
        <f t="shared" si="9"/>
        <v/>
      </c>
      <c r="AI78" s="122"/>
      <c r="AJ78" s="363" t="str">
        <f>IF(AI78="","",IF(VLOOKUP(AI78,'G-7 WaterC'' Data'!$AA$4:$AB$7,2,FALSE)=0,"Spatial Data Missing ⚠",VLOOKUP(AI78,'G-7 WaterC'' Data'!$AA$4:$AB$7,2,FALSE)))</f>
        <v/>
      </c>
      <c r="AK78" s="123"/>
      <c r="AL78" s="363" t="str">
        <f>IF(AK78="","",IF(VLOOKUP(AK78,'G-7 WaterC'' Data'!$AD$4:$AE$14,2,FALSE)=0,"Spatial Data Missing ⚠",VLOOKUP(AK78,'G-7 WaterC'' Data'!$AD$4:$AE$14,2,FALSE)))</f>
        <v/>
      </c>
      <c r="AM78" s="405" t="str">
        <f t="shared" ref="AM78:AM141" si="15">IFERROR(IF(C78="","",IF(Q78&gt;D78,((((Q78*S78*U78)-(D78*F78*H78))*(AH78*AD78))+(D78*F78*H78))*(AL78*X78*AJ78),((((Q78*S78*U78)-(Q78*F78*H78))*(AH78*AD78))+(Q78*F78*H78))*(AL78*X78*AJ78))),"")</f>
        <v/>
      </c>
      <c r="AN78" s="117"/>
      <c r="AO78" s="118"/>
      <c r="AP78" s="120"/>
      <c r="AV78" s="30" t="str">
        <f>IFERROR(INDEX('G-7 WaterC'' Data'!$AZ$3:$AZ$7,MATCH(N78,'G-7 WaterC'' Data'!$AY$3:$AY$7,0)),"")</f>
        <v/>
      </c>
    </row>
    <row r="79" spans="2:48" ht="15">
      <c r="B79" s="392" t="str">
        <f>'C-1 On-Site WaterC'' Baseline'!AO77</f>
        <v/>
      </c>
      <c r="C79" s="382" t="str">
        <f>IF(B79="","",VLOOKUP($B79,'C-1 On-Site WaterC'' Baseline'!$C$9:$R$257,2,FALSE))</f>
        <v/>
      </c>
      <c r="D79" s="382" t="str">
        <f>IF(C79="","",VLOOKUP($B79,'C-1 On-Site WaterC'' Baseline'!$C$9:$R$257,3,FALSE))</f>
        <v/>
      </c>
      <c r="E79" s="382" t="str">
        <f>IF(D79="","",VLOOKUP($B79,'C-1 On-Site WaterC'' Baseline'!$C$9:$R$257,4,FALSE))</f>
        <v/>
      </c>
      <c r="F79" s="382" t="str">
        <f>IF(E79="","",VLOOKUP($B79,'C-1 On-Site WaterC'' Baseline'!$C$9:$R$257,5,FALSE))</f>
        <v/>
      </c>
      <c r="G79" s="382" t="str">
        <f>IF(F79="","",VLOOKUP($B79,'C-1 On-Site WaterC'' Baseline'!$C$9:$R$257,6,FALSE))</f>
        <v/>
      </c>
      <c r="H79" s="382" t="str">
        <f>IF(G79="","",VLOOKUP($B79,'C-1 On-Site WaterC'' Baseline'!$C$9:$R$257,7,FALSE))</f>
        <v/>
      </c>
      <c r="I79" s="382" t="str">
        <f>IF(H79="","",VLOOKUP($B79,'C-1 On-Site WaterC'' Baseline'!$C$9:$R$257,8,FALSE))</f>
        <v/>
      </c>
      <c r="J79" s="382" t="str">
        <f>IF(I79="","",VLOOKUP($B79,'C-1 On-Site WaterC'' Baseline'!$C$9:$R$257,9,FALSE))</f>
        <v/>
      </c>
      <c r="K79" s="382" t="str">
        <f>IF(J79="","",VLOOKUP($B79,'C-1 On-Site WaterC'' Baseline'!$C$9:$R$257,10,FALSE))</f>
        <v/>
      </c>
      <c r="L79" s="382" t="str">
        <f>IF(B79="","",VLOOKUP($B79,'C-1 On-Site WaterC'' Baseline'!$C$9:$R$257,15,FALSE))</f>
        <v/>
      </c>
      <c r="M79" s="386" t="str">
        <f>IF(L79="","",VLOOKUP($B79,'C-1 On-Site WaterC'' Baseline'!$C$9:$R$257,16,FALSE))</f>
        <v/>
      </c>
      <c r="N79" s="320" t="str">
        <f t="shared" si="8"/>
        <v/>
      </c>
      <c r="O79" s="362" t="str">
        <f t="shared" si="10"/>
        <v/>
      </c>
      <c r="P79" s="363" t="str">
        <f>IF(C79="","",IF(AND(LEFT(C79,55)&lt;&gt;LEFT(N79,55),O79="High - High"),"Error - Not like for like ▲",IF(H79&gt;U79,"Error - Can not reduce condition ▲",IF(AND(F79=S79,H79=U79,AJ79='C-1 On-Site WaterC'' Baseline'!N77,'C-1 On-Site WaterC'' Baseline'!P77=AL79),"Error - No enhancement ▲",IF(AND(C79&lt;&gt;N79,F79&lt;S79),"Lower Distinctiveness Habitat"&amp;" - "&amp;T79,G79&amp;" - "&amp;T79)))))</f>
        <v/>
      </c>
      <c r="Q79" s="425" t="str">
        <f>IF(N79="","",VLOOKUP(B79,'C-1 On-Site WaterC'' Baseline'!$C$10:$AB$257,19,FALSE))</f>
        <v/>
      </c>
      <c r="R79" s="362" t="str">
        <f>IF(N79="","",VLOOKUP(N79,'G-7 WaterC'' Data'!$B$2:$G$8,2,FALSE))</f>
        <v/>
      </c>
      <c r="S79" s="363" t="str">
        <f>IFERROR(VLOOKUP(R79,'G-7 WaterC'' Data'!$C$4:$D$8,2,FALSE),"")</f>
        <v/>
      </c>
      <c r="T79" s="114"/>
      <c r="U79" s="363" t="str">
        <f>IFERROR(INDEX('G-7 WaterC'' Data'!$H$4:$L$8,MATCH(N79,'G-7 WaterC'' Data'!$B$4:$B$8,0),MATCH(T79,'G-7 WaterC'' Data'!$H$3:$L$3,0)),"")</f>
        <v/>
      </c>
      <c r="V79" s="114"/>
      <c r="W79" s="370" t="str">
        <f>IF(V79="","",IF(VLOOKUP(V79,'G-7 WaterC'' Data'!$AK$4:$AM$6,2,FALSE)=0,"Spatial Data Missing ⚠",VLOOKUP(V79,'G-7 WaterC'' Data'!$AK$4:$AM$6,2,FALSE)))</f>
        <v/>
      </c>
      <c r="X79" s="363" t="str">
        <f>IF(V79="","",IF(VLOOKUP(V79,'G-7 WaterC'' Data'!$AK$4:$AM$6,3,FALSE)=0,"Spatial Data Missing ⚠",VLOOKUP(V79,'G-7 WaterC'' Data'!$AK$4:$AM$6,3,FALSE)))</f>
        <v/>
      </c>
      <c r="Y79" s="362" t="str">
        <f>IFERROR(IF(OR(LEFT(P79,5)="Error",LEFT(O79,5)="Error ▲"),"Check Data ⚠",IF(F79&lt;S79,'G-7 WaterC'' Data'!$R$3,INDEX('G-7 WaterC'' Data'!$U$5:$Y$9,MATCH(G79,'G-7 WaterC'' Data'!$T$5:$T$9,0),MATCH(T79,'G-7 WaterC'' Data'!$U$4:$Y$4,0)))),"")</f>
        <v/>
      </c>
      <c r="Z79" s="159"/>
      <c r="AA79" s="159"/>
      <c r="AB79" s="370" t="str">
        <f t="shared" si="11"/>
        <v/>
      </c>
      <c r="AC79" s="383" t="str">
        <f t="shared" si="12"/>
        <v/>
      </c>
      <c r="AD79" s="422" t="str">
        <f>IFERROR(IF(AC79="Check Data ⚠","Check Data ⚠",VLOOKUP(AC79,'G-4 Temporal multipliers'!$A$4:$C$37,3,FALSE)),"")</f>
        <v/>
      </c>
      <c r="AE79" s="362" t="str">
        <f>IF(N79="","",VLOOKUP(N79,'G-7 WaterC'' Data'!$B$4:$G$8,5,FALSE))</f>
        <v/>
      </c>
      <c r="AF79" s="370" t="str">
        <f t="shared" si="13"/>
        <v/>
      </c>
      <c r="AG79" s="401" t="str">
        <f t="shared" si="14"/>
        <v/>
      </c>
      <c r="AH79" s="363" t="str">
        <f t="shared" si="9"/>
        <v/>
      </c>
      <c r="AI79" s="122"/>
      <c r="AJ79" s="363" t="str">
        <f>IF(AI79="","",IF(VLOOKUP(AI79,'G-7 WaterC'' Data'!$AA$4:$AB$7,2,FALSE)=0,"Spatial Data Missing ⚠",VLOOKUP(AI79,'G-7 WaterC'' Data'!$AA$4:$AB$7,2,FALSE)))</f>
        <v/>
      </c>
      <c r="AK79" s="123"/>
      <c r="AL79" s="363" t="str">
        <f>IF(AK79="","",IF(VLOOKUP(AK79,'G-7 WaterC'' Data'!$AD$4:$AE$14,2,FALSE)=0,"Spatial Data Missing ⚠",VLOOKUP(AK79,'G-7 WaterC'' Data'!$AD$4:$AE$14,2,FALSE)))</f>
        <v/>
      </c>
      <c r="AM79" s="405" t="str">
        <f t="shared" si="15"/>
        <v/>
      </c>
      <c r="AN79" s="117"/>
      <c r="AO79" s="118"/>
      <c r="AP79" s="120"/>
      <c r="AV79" s="30" t="str">
        <f>IFERROR(INDEX('G-7 WaterC'' Data'!$AZ$3:$AZ$7,MATCH(N79,'G-7 WaterC'' Data'!$AY$3:$AY$7,0)),"")</f>
        <v/>
      </c>
    </row>
    <row r="80" spans="2:48" ht="15">
      <c r="B80" s="392" t="str">
        <f>'C-1 On-Site WaterC'' Baseline'!AO78</f>
        <v/>
      </c>
      <c r="C80" s="382" t="str">
        <f>IF(B80="","",VLOOKUP($B80,'C-1 On-Site WaterC'' Baseline'!$C$9:$R$257,2,FALSE))</f>
        <v/>
      </c>
      <c r="D80" s="382" t="str">
        <f>IF(C80="","",VLOOKUP($B80,'C-1 On-Site WaterC'' Baseline'!$C$9:$R$257,3,FALSE))</f>
        <v/>
      </c>
      <c r="E80" s="382" t="str">
        <f>IF(D80="","",VLOOKUP($B80,'C-1 On-Site WaterC'' Baseline'!$C$9:$R$257,4,FALSE))</f>
        <v/>
      </c>
      <c r="F80" s="382" t="str">
        <f>IF(E80="","",VLOOKUP($B80,'C-1 On-Site WaterC'' Baseline'!$C$9:$R$257,5,FALSE))</f>
        <v/>
      </c>
      <c r="G80" s="382" t="str">
        <f>IF(F80="","",VLOOKUP($B80,'C-1 On-Site WaterC'' Baseline'!$C$9:$R$257,6,FALSE))</f>
        <v/>
      </c>
      <c r="H80" s="382" t="str">
        <f>IF(G80="","",VLOOKUP($B80,'C-1 On-Site WaterC'' Baseline'!$C$9:$R$257,7,FALSE))</f>
        <v/>
      </c>
      <c r="I80" s="382" t="str">
        <f>IF(H80="","",VLOOKUP($B80,'C-1 On-Site WaterC'' Baseline'!$C$9:$R$257,8,FALSE))</f>
        <v/>
      </c>
      <c r="J80" s="382" t="str">
        <f>IF(I80="","",VLOOKUP($B80,'C-1 On-Site WaterC'' Baseline'!$C$9:$R$257,9,FALSE))</f>
        <v/>
      </c>
      <c r="K80" s="382" t="str">
        <f>IF(J80="","",VLOOKUP($B80,'C-1 On-Site WaterC'' Baseline'!$C$9:$R$257,10,FALSE))</f>
        <v/>
      </c>
      <c r="L80" s="382" t="str">
        <f>IF(B80="","",VLOOKUP($B80,'C-1 On-Site WaterC'' Baseline'!$C$9:$R$257,15,FALSE))</f>
        <v/>
      </c>
      <c r="M80" s="386" t="str">
        <f>IF(L80="","",VLOOKUP($B80,'C-1 On-Site WaterC'' Baseline'!$C$9:$R$257,16,FALSE))</f>
        <v/>
      </c>
      <c r="N80" s="320" t="str">
        <f t="shared" si="8"/>
        <v/>
      </c>
      <c r="O80" s="362" t="str">
        <f t="shared" si="10"/>
        <v/>
      </c>
      <c r="P80" s="363" t="str">
        <f>IF(C80="","",IF(AND(LEFT(C80,55)&lt;&gt;LEFT(N80,55),O80="High - High"),"Error - Not like for like ▲",IF(H80&gt;U80,"Error - Can not reduce condition ▲",IF(AND(F80=S80,H80=U80,AJ80='C-1 On-Site WaterC'' Baseline'!N78,'C-1 On-Site WaterC'' Baseline'!P78=AL80),"Error - No enhancement ▲",IF(AND(C80&lt;&gt;N80,F80&lt;S80),"Lower Distinctiveness Habitat"&amp;" - "&amp;T80,G80&amp;" - "&amp;T80)))))</f>
        <v/>
      </c>
      <c r="Q80" s="425" t="str">
        <f>IF(N80="","",VLOOKUP(B80,'C-1 On-Site WaterC'' Baseline'!$C$10:$AB$257,19,FALSE))</f>
        <v/>
      </c>
      <c r="R80" s="362" t="str">
        <f>IF(N80="","",VLOOKUP(N80,'G-7 WaterC'' Data'!$B$2:$G$8,2,FALSE))</f>
        <v/>
      </c>
      <c r="S80" s="363" t="str">
        <f>IFERROR(VLOOKUP(R80,'G-7 WaterC'' Data'!$C$4:$D$8,2,FALSE),"")</f>
        <v/>
      </c>
      <c r="T80" s="114"/>
      <c r="U80" s="363" t="str">
        <f>IFERROR(INDEX('G-7 WaterC'' Data'!$H$4:$L$8,MATCH(N80,'G-7 WaterC'' Data'!$B$4:$B$8,0),MATCH(T80,'G-7 WaterC'' Data'!$H$3:$L$3,0)),"")</f>
        <v/>
      </c>
      <c r="V80" s="114"/>
      <c r="W80" s="370" t="str">
        <f>IF(V80="","",IF(VLOOKUP(V80,'G-7 WaterC'' Data'!$AK$4:$AM$6,2,FALSE)=0,"Spatial Data Missing ⚠",VLOOKUP(V80,'G-7 WaterC'' Data'!$AK$4:$AM$6,2,FALSE)))</f>
        <v/>
      </c>
      <c r="X80" s="363" t="str">
        <f>IF(V80="","",IF(VLOOKUP(V80,'G-7 WaterC'' Data'!$AK$4:$AM$6,3,FALSE)=0,"Spatial Data Missing ⚠",VLOOKUP(V80,'G-7 WaterC'' Data'!$AK$4:$AM$6,3,FALSE)))</f>
        <v/>
      </c>
      <c r="Y80" s="362" t="str">
        <f>IFERROR(IF(OR(LEFT(P80,5)="Error",LEFT(O80,5)="Error ▲"),"Check Data ⚠",IF(F80&lt;S80,'G-7 WaterC'' Data'!$R$3,INDEX('G-7 WaterC'' Data'!$U$5:$Y$9,MATCH(G80,'G-7 WaterC'' Data'!$T$5:$T$9,0),MATCH(T80,'G-7 WaterC'' Data'!$U$4:$Y$4,0)))),"")</f>
        <v/>
      </c>
      <c r="Z80" s="159"/>
      <c r="AA80" s="159"/>
      <c r="AB80" s="370" t="str">
        <f t="shared" si="11"/>
        <v/>
      </c>
      <c r="AC80" s="383" t="str">
        <f t="shared" si="12"/>
        <v/>
      </c>
      <c r="AD80" s="422" t="str">
        <f>IFERROR(IF(AC80="Check Data ⚠","Check Data ⚠",VLOOKUP(AC80,'G-4 Temporal multipliers'!$A$4:$C$37,3,FALSE)),"")</f>
        <v/>
      </c>
      <c r="AE80" s="362" t="str">
        <f>IF(N80="","",VLOOKUP(N80,'G-7 WaterC'' Data'!$B$4:$G$8,5,FALSE))</f>
        <v/>
      </c>
      <c r="AF80" s="370" t="str">
        <f t="shared" si="13"/>
        <v/>
      </c>
      <c r="AG80" s="401" t="str">
        <f t="shared" si="14"/>
        <v/>
      </c>
      <c r="AH80" s="363" t="str">
        <f t="shared" si="9"/>
        <v/>
      </c>
      <c r="AI80" s="122"/>
      <c r="AJ80" s="363" t="str">
        <f>IF(AI80="","",IF(VLOOKUP(AI80,'G-7 WaterC'' Data'!$AA$4:$AB$7,2,FALSE)=0,"Spatial Data Missing ⚠",VLOOKUP(AI80,'G-7 WaterC'' Data'!$AA$4:$AB$7,2,FALSE)))</f>
        <v/>
      </c>
      <c r="AK80" s="123"/>
      <c r="AL80" s="363" t="str">
        <f>IF(AK80="","",IF(VLOOKUP(AK80,'G-7 WaterC'' Data'!$AD$4:$AE$14,2,FALSE)=0,"Spatial Data Missing ⚠",VLOOKUP(AK80,'G-7 WaterC'' Data'!$AD$4:$AE$14,2,FALSE)))</f>
        <v/>
      </c>
      <c r="AM80" s="405" t="str">
        <f t="shared" si="15"/>
        <v/>
      </c>
      <c r="AN80" s="117"/>
      <c r="AO80" s="118"/>
      <c r="AP80" s="120"/>
      <c r="AV80" s="30" t="str">
        <f>IFERROR(INDEX('G-7 WaterC'' Data'!$AZ$3:$AZ$7,MATCH(N80,'G-7 WaterC'' Data'!$AY$3:$AY$7,0)),"")</f>
        <v/>
      </c>
    </row>
    <row r="81" spans="2:48" ht="15">
      <c r="B81" s="392" t="str">
        <f>'C-1 On-Site WaterC'' Baseline'!AO79</f>
        <v/>
      </c>
      <c r="C81" s="382" t="str">
        <f>IF(B81="","",VLOOKUP($B81,'C-1 On-Site WaterC'' Baseline'!$C$9:$R$257,2,FALSE))</f>
        <v/>
      </c>
      <c r="D81" s="382" t="str">
        <f>IF(C81="","",VLOOKUP($B81,'C-1 On-Site WaterC'' Baseline'!$C$9:$R$257,3,FALSE))</f>
        <v/>
      </c>
      <c r="E81" s="382" t="str">
        <f>IF(D81="","",VLOOKUP($B81,'C-1 On-Site WaterC'' Baseline'!$C$9:$R$257,4,FALSE))</f>
        <v/>
      </c>
      <c r="F81" s="382" t="str">
        <f>IF(E81="","",VLOOKUP($B81,'C-1 On-Site WaterC'' Baseline'!$C$9:$R$257,5,FALSE))</f>
        <v/>
      </c>
      <c r="G81" s="382" t="str">
        <f>IF(F81="","",VLOOKUP($B81,'C-1 On-Site WaterC'' Baseline'!$C$9:$R$257,6,FALSE))</f>
        <v/>
      </c>
      <c r="H81" s="382" t="str">
        <f>IF(G81="","",VLOOKUP($B81,'C-1 On-Site WaterC'' Baseline'!$C$9:$R$257,7,FALSE))</f>
        <v/>
      </c>
      <c r="I81" s="382" t="str">
        <f>IF(H81="","",VLOOKUP($B81,'C-1 On-Site WaterC'' Baseline'!$C$9:$R$257,8,FALSE))</f>
        <v/>
      </c>
      <c r="J81" s="382" t="str">
        <f>IF(I81="","",VLOOKUP($B81,'C-1 On-Site WaterC'' Baseline'!$C$9:$R$257,9,FALSE))</f>
        <v/>
      </c>
      <c r="K81" s="382" t="str">
        <f>IF(J81="","",VLOOKUP($B81,'C-1 On-Site WaterC'' Baseline'!$C$9:$R$257,10,FALSE))</f>
        <v/>
      </c>
      <c r="L81" s="382" t="str">
        <f>IF(B81="","",VLOOKUP($B81,'C-1 On-Site WaterC'' Baseline'!$C$9:$R$257,15,FALSE))</f>
        <v/>
      </c>
      <c r="M81" s="386" t="str">
        <f>IF(L81="","",VLOOKUP($B81,'C-1 On-Site WaterC'' Baseline'!$C$9:$R$257,16,FALSE))</f>
        <v/>
      </c>
      <c r="N81" s="320" t="str">
        <f t="shared" si="8"/>
        <v/>
      </c>
      <c r="O81" s="362" t="str">
        <f t="shared" si="10"/>
        <v/>
      </c>
      <c r="P81" s="363" t="str">
        <f>IF(C81="","",IF(AND(LEFT(C81,55)&lt;&gt;LEFT(N81,55),O81="High - High"),"Error - Not like for like ▲",IF(H81&gt;U81,"Error - Can not reduce condition ▲",IF(AND(F81=S81,H81=U81,AJ81='C-1 On-Site WaterC'' Baseline'!N79,'C-1 On-Site WaterC'' Baseline'!P79=AL81),"Error - No enhancement ▲",IF(AND(C81&lt;&gt;N81,F81&lt;S81),"Lower Distinctiveness Habitat"&amp;" - "&amp;T81,G81&amp;" - "&amp;T81)))))</f>
        <v/>
      </c>
      <c r="Q81" s="425" t="str">
        <f>IF(N81="","",VLOOKUP(B81,'C-1 On-Site WaterC'' Baseline'!$C$10:$AB$257,19,FALSE))</f>
        <v/>
      </c>
      <c r="R81" s="362" t="str">
        <f>IF(N81="","",VLOOKUP(N81,'G-7 WaterC'' Data'!$B$2:$G$8,2,FALSE))</f>
        <v/>
      </c>
      <c r="S81" s="363" t="str">
        <f>IFERROR(VLOOKUP(R81,'G-7 WaterC'' Data'!$C$4:$D$8,2,FALSE),"")</f>
        <v/>
      </c>
      <c r="T81" s="114"/>
      <c r="U81" s="363" t="str">
        <f>IFERROR(INDEX('G-7 WaterC'' Data'!$H$4:$L$8,MATCH(N81,'G-7 WaterC'' Data'!$B$4:$B$8,0),MATCH(T81,'G-7 WaterC'' Data'!$H$3:$L$3,0)),"")</f>
        <v/>
      </c>
      <c r="V81" s="114"/>
      <c r="W81" s="370" t="str">
        <f>IF(V81="","",IF(VLOOKUP(V81,'G-7 WaterC'' Data'!$AK$4:$AM$6,2,FALSE)=0,"Spatial Data Missing ⚠",VLOOKUP(V81,'G-7 WaterC'' Data'!$AK$4:$AM$6,2,FALSE)))</f>
        <v/>
      </c>
      <c r="X81" s="363" t="str">
        <f>IF(V81="","",IF(VLOOKUP(V81,'G-7 WaterC'' Data'!$AK$4:$AM$6,3,FALSE)=0,"Spatial Data Missing ⚠",VLOOKUP(V81,'G-7 WaterC'' Data'!$AK$4:$AM$6,3,FALSE)))</f>
        <v/>
      </c>
      <c r="Y81" s="362" t="str">
        <f>IFERROR(IF(OR(LEFT(P81,5)="Error",LEFT(O81,5)="Error ▲"),"Check Data ⚠",IF(F81&lt;S81,'G-7 WaterC'' Data'!$R$3,INDEX('G-7 WaterC'' Data'!$U$5:$Y$9,MATCH(G81,'G-7 WaterC'' Data'!$T$5:$T$9,0),MATCH(T81,'G-7 WaterC'' Data'!$U$4:$Y$4,0)))),"")</f>
        <v/>
      </c>
      <c r="Z81" s="159"/>
      <c r="AA81" s="159"/>
      <c r="AB81" s="370" t="str">
        <f t="shared" si="11"/>
        <v/>
      </c>
      <c r="AC81" s="383" t="str">
        <f t="shared" si="12"/>
        <v/>
      </c>
      <c r="AD81" s="422" t="str">
        <f>IFERROR(IF(AC81="Check Data ⚠","Check Data ⚠",VLOOKUP(AC81,'G-4 Temporal multipliers'!$A$4:$C$37,3,FALSE)),"")</f>
        <v/>
      </c>
      <c r="AE81" s="362" t="str">
        <f>IF(N81="","",VLOOKUP(N81,'G-7 WaterC'' Data'!$B$4:$G$8,5,FALSE))</f>
        <v/>
      </c>
      <c r="AF81" s="370" t="str">
        <f t="shared" si="13"/>
        <v/>
      </c>
      <c r="AG81" s="401" t="str">
        <f t="shared" si="14"/>
        <v/>
      </c>
      <c r="AH81" s="363" t="str">
        <f t="shared" si="9"/>
        <v/>
      </c>
      <c r="AI81" s="122"/>
      <c r="AJ81" s="363" t="str">
        <f>IF(AI81="","",IF(VLOOKUP(AI81,'G-7 WaterC'' Data'!$AA$4:$AB$7,2,FALSE)=0,"Spatial Data Missing ⚠",VLOOKUP(AI81,'G-7 WaterC'' Data'!$AA$4:$AB$7,2,FALSE)))</f>
        <v/>
      </c>
      <c r="AK81" s="123"/>
      <c r="AL81" s="363" t="str">
        <f>IF(AK81="","",IF(VLOOKUP(AK81,'G-7 WaterC'' Data'!$AD$4:$AE$14,2,FALSE)=0,"Spatial Data Missing ⚠",VLOOKUP(AK81,'G-7 WaterC'' Data'!$AD$4:$AE$14,2,FALSE)))</f>
        <v/>
      </c>
      <c r="AM81" s="405" t="str">
        <f t="shared" si="15"/>
        <v/>
      </c>
      <c r="AN81" s="117"/>
      <c r="AO81" s="118"/>
      <c r="AP81" s="120"/>
      <c r="AV81" s="30" t="str">
        <f>IFERROR(INDEX('G-7 WaterC'' Data'!$AZ$3:$AZ$7,MATCH(N81,'G-7 WaterC'' Data'!$AY$3:$AY$7,0)),"")</f>
        <v/>
      </c>
    </row>
    <row r="82" spans="2:48" ht="15">
      <c r="B82" s="392" t="str">
        <f>'C-1 On-Site WaterC'' Baseline'!AO80</f>
        <v/>
      </c>
      <c r="C82" s="382" t="str">
        <f>IF(B82="","",VLOOKUP($B82,'C-1 On-Site WaterC'' Baseline'!$C$9:$R$257,2,FALSE))</f>
        <v/>
      </c>
      <c r="D82" s="382" t="str">
        <f>IF(C82="","",VLOOKUP($B82,'C-1 On-Site WaterC'' Baseline'!$C$9:$R$257,3,FALSE))</f>
        <v/>
      </c>
      <c r="E82" s="382" t="str">
        <f>IF(D82="","",VLOOKUP($B82,'C-1 On-Site WaterC'' Baseline'!$C$9:$R$257,4,FALSE))</f>
        <v/>
      </c>
      <c r="F82" s="382" t="str">
        <f>IF(E82="","",VLOOKUP($B82,'C-1 On-Site WaterC'' Baseline'!$C$9:$R$257,5,FALSE))</f>
        <v/>
      </c>
      <c r="G82" s="382" t="str">
        <f>IF(F82="","",VLOOKUP($B82,'C-1 On-Site WaterC'' Baseline'!$C$9:$R$257,6,FALSE))</f>
        <v/>
      </c>
      <c r="H82" s="382" t="str">
        <f>IF(G82="","",VLOOKUP($B82,'C-1 On-Site WaterC'' Baseline'!$C$9:$R$257,7,FALSE))</f>
        <v/>
      </c>
      <c r="I82" s="382" t="str">
        <f>IF(H82="","",VLOOKUP($B82,'C-1 On-Site WaterC'' Baseline'!$C$9:$R$257,8,FALSE))</f>
        <v/>
      </c>
      <c r="J82" s="382" t="str">
        <f>IF(I82="","",VLOOKUP($B82,'C-1 On-Site WaterC'' Baseline'!$C$9:$R$257,9,FALSE))</f>
        <v/>
      </c>
      <c r="K82" s="382" t="str">
        <f>IF(J82="","",VLOOKUP($B82,'C-1 On-Site WaterC'' Baseline'!$C$9:$R$257,10,FALSE))</f>
        <v/>
      </c>
      <c r="L82" s="382" t="str">
        <f>IF(B82="","",VLOOKUP($B82,'C-1 On-Site WaterC'' Baseline'!$C$9:$R$257,15,FALSE))</f>
        <v/>
      </c>
      <c r="M82" s="386" t="str">
        <f>IF(L82="","",VLOOKUP($B82,'C-1 On-Site WaterC'' Baseline'!$C$9:$R$257,16,FALSE))</f>
        <v/>
      </c>
      <c r="N82" s="320" t="str">
        <f t="shared" si="8"/>
        <v/>
      </c>
      <c r="O82" s="362" t="str">
        <f t="shared" si="10"/>
        <v/>
      </c>
      <c r="P82" s="363" t="str">
        <f>IF(C82="","",IF(AND(LEFT(C82,55)&lt;&gt;LEFT(N82,55),O82="High - High"),"Error - Not like for like ▲",IF(H82&gt;U82,"Error - Can not reduce condition ▲",IF(AND(F82=S82,H82=U82,AJ82='C-1 On-Site WaterC'' Baseline'!N80,'C-1 On-Site WaterC'' Baseline'!P80=AL82),"Error - No enhancement ▲",IF(AND(C82&lt;&gt;N82,F82&lt;S82),"Lower Distinctiveness Habitat"&amp;" - "&amp;T82,G82&amp;" - "&amp;T82)))))</f>
        <v/>
      </c>
      <c r="Q82" s="425" t="str">
        <f>IF(N82="","",VLOOKUP(B82,'C-1 On-Site WaterC'' Baseline'!$C$10:$AB$257,19,FALSE))</f>
        <v/>
      </c>
      <c r="R82" s="362" t="str">
        <f>IF(N82="","",VLOOKUP(N82,'G-7 WaterC'' Data'!$B$2:$G$8,2,FALSE))</f>
        <v/>
      </c>
      <c r="S82" s="363" t="str">
        <f>IFERROR(VLOOKUP(R82,'G-7 WaterC'' Data'!$C$4:$D$8,2,FALSE),"")</f>
        <v/>
      </c>
      <c r="T82" s="114"/>
      <c r="U82" s="363" t="str">
        <f>IFERROR(INDEX('G-7 WaterC'' Data'!$H$4:$L$8,MATCH(N82,'G-7 WaterC'' Data'!$B$4:$B$8,0),MATCH(T82,'G-7 WaterC'' Data'!$H$3:$L$3,0)),"")</f>
        <v/>
      </c>
      <c r="V82" s="114"/>
      <c r="W82" s="370" t="str">
        <f>IF(V82="","",IF(VLOOKUP(V82,'G-7 WaterC'' Data'!$AK$4:$AM$6,2,FALSE)=0,"Spatial Data Missing ⚠",VLOOKUP(V82,'G-7 WaterC'' Data'!$AK$4:$AM$6,2,FALSE)))</f>
        <v/>
      </c>
      <c r="X82" s="363" t="str">
        <f>IF(V82="","",IF(VLOOKUP(V82,'G-7 WaterC'' Data'!$AK$4:$AM$6,3,FALSE)=0,"Spatial Data Missing ⚠",VLOOKUP(V82,'G-7 WaterC'' Data'!$AK$4:$AM$6,3,FALSE)))</f>
        <v/>
      </c>
      <c r="Y82" s="362" t="str">
        <f>IFERROR(IF(OR(LEFT(P82,5)="Error",LEFT(O82,5)="Error ▲"),"Check Data ⚠",IF(F82&lt;S82,'G-7 WaterC'' Data'!$R$3,INDEX('G-7 WaterC'' Data'!$U$5:$Y$9,MATCH(G82,'G-7 WaterC'' Data'!$T$5:$T$9,0),MATCH(T82,'G-7 WaterC'' Data'!$U$4:$Y$4,0)))),"")</f>
        <v/>
      </c>
      <c r="Z82" s="159"/>
      <c r="AA82" s="159"/>
      <c r="AB82" s="370" t="str">
        <f t="shared" si="11"/>
        <v/>
      </c>
      <c r="AC82" s="383" t="str">
        <f t="shared" si="12"/>
        <v/>
      </c>
      <c r="AD82" s="422" t="str">
        <f>IFERROR(IF(AC82="Check Data ⚠","Check Data ⚠",VLOOKUP(AC82,'G-4 Temporal multipliers'!$A$4:$C$37,3,FALSE)),"")</f>
        <v/>
      </c>
      <c r="AE82" s="362" t="str">
        <f>IF(N82="","",VLOOKUP(N82,'G-7 WaterC'' Data'!$B$4:$G$8,5,FALSE))</f>
        <v/>
      </c>
      <c r="AF82" s="370" t="str">
        <f t="shared" si="13"/>
        <v/>
      </c>
      <c r="AG82" s="401" t="str">
        <f t="shared" si="14"/>
        <v/>
      </c>
      <c r="AH82" s="363" t="str">
        <f t="shared" si="9"/>
        <v/>
      </c>
      <c r="AI82" s="122"/>
      <c r="AJ82" s="363" t="str">
        <f>IF(AI82="","",IF(VLOOKUP(AI82,'G-7 WaterC'' Data'!$AA$4:$AB$7,2,FALSE)=0,"Spatial Data Missing ⚠",VLOOKUP(AI82,'G-7 WaterC'' Data'!$AA$4:$AB$7,2,FALSE)))</f>
        <v/>
      </c>
      <c r="AK82" s="123"/>
      <c r="AL82" s="363" t="str">
        <f>IF(AK82="","",IF(VLOOKUP(AK82,'G-7 WaterC'' Data'!$AD$4:$AE$14,2,FALSE)=0,"Spatial Data Missing ⚠",VLOOKUP(AK82,'G-7 WaterC'' Data'!$AD$4:$AE$14,2,FALSE)))</f>
        <v/>
      </c>
      <c r="AM82" s="405" t="str">
        <f t="shared" si="15"/>
        <v/>
      </c>
      <c r="AN82" s="117"/>
      <c r="AO82" s="118"/>
      <c r="AP82" s="120"/>
      <c r="AV82" s="30" t="str">
        <f>IFERROR(INDEX('G-7 WaterC'' Data'!$AZ$3:$AZ$7,MATCH(N82,'G-7 WaterC'' Data'!$AY$3:$AY$7,0)),"")</f>
        <v/>
      </c>
    </row>
    <row r="83" spans="2:48" ht="15">
      <c r="B83" s="392" t="str">
        <f>'C-1 On-Site WaterC'' Baseline'!AO81</f>
        <v/>
      </c>
      <c r="C83" s="382" t="str">
        <f>IF(B83="","",VLOOKUP($B83,'C-1 On-Site WaterC'' Baseline'!$C$9:$R$257,2,FALSE))</f>
        <v/>
      </c>
      <c r="D83" s="382" t="str">
        <f>IF(C83="","",VLOOKUP($B83,'C-1 On-Site WaterC'' Baseline'!$C$9:$R$257,3,FALSE))</f>
        <v/>
      </c>
      <c r="E83" s="382" t="str">
        <f>IF(D83="","",VLOOKUP($B83,'C-1 On-Site WaterC'' Baseline'!$C$9:$R$257,4,FALSE))</f>
        <v/>
      </c>
      <c r="F83" s="382" t="str">
        <f>IF(E83="","",VLOOKUP($B83,'C-1 On-Site WaterC'' Baseline'!$C$9:$R$257,5,FALSE))</f>
        <v/>
      </c>
      <c r="G83" s="382" t="str">
        <f>IF(F83="","",VLOOKUP($B83,'C-1 On-Site WaterC'' Baseline'!$C$9:$R$257,6,FALSE))</f>
        <v/>
      </c>
      <c r="H83" s="382" t="str">
        <f>IF(G83="","",VLOOKUP($B83,'C-1 On-Site WaterC'' Baseline'!$C$9:$R$257,7,FALSE))</f>
        <v/>
      </c>
      <c r="I83" s="382" t="str">
        <f>IF(H83="","",VLOOKUP($B83,'C-1 On-Site WaterC'' Baseline'!$C$9:$R$257,8,FALSE))</f>
        <v/>
      </c>
      <c r="J83" s="382" t="str">
        <f>IF(I83="","",VLOOKUP($B83,'C-1 On-Site WaterC'' Baseline'!$C$9:$R$257,9,FALSE))</f>
        <v/>
      </c>
      <c r="K83" s="382" t="str">
        <f>IF(J83="","",VLOOKUP($B83,'C-1 On-Site WaterC'' Baseline'!$C$9:$R$257,10,FALSE))</f>
        <v/>
      </c>
      <c r="L83" s="382" t="str">
        <f>IF(B83="","",VLOOKUP($B83,'C-1 On-Site WaterC'' Baseline'!$C$9:$R$257,15,FALSE))</f>
        <v/>
      </c>
      <c r="M83" s="386" t="str">
        <f>IF(L83="","",VLOOKUP($B83,'C-1 On-Site WaterC'' Baseline'!$C$9:$R$257,16,FALSE))</f>
        <v/>
      </c>
      <c r="N83" s="320" t="str">
        <f t="shared" si="8"/>
        <v/>
      </c>
      <c r="O83" s="362" t="str">
        <f t="shared" si="10"/>
        <v/>
      </c>
      <c r="P83" s="363" t="str">
        <f>IF(C83="","",IF(AND(LEFT(C83,55)&lt;&gt;LEFT(N83,55),O83="High - High"),"Error - Not like for like ▲",IF(H83&gt;U83,"Error - Can not reduce condition ▲",IF(AND(F83=S83,H83=U83,AJ83='C-1 On-Site WaterC'' Baseline'!N81,'C-1 On-Site WaterC'' Baseline'!P81=AL83),"Error - No enhancement ▲",IF(AND(C83&lt;&gt;N83,F83&lt;S83),"Lower Distinctiveness Habitat"&amp;" - "&amp;T83,G83&amp;" - "&amp;T83)))))</f>
        <v/>
      </c>
      <c r="Q83" s="425" t="str">
        <f>IF(N83="","",VLOOKUP(B83,'C-1 On-Site WaterC'' Baseline'!$C$10:$AB$257,19,FALSE))</f>
        <v/>
      </c>
      <c r="R83" s="362" t="str">
        <f>IF(N83="","",VLOOKUP(N83,'G-7 WaterC'' Data'!$B$2:$G$8,2,FALSE))</f>
        <v/>
      </c>
      <c r="S83" s="363" t="str">
        <f>IFERROR(VLOOKUP(R83,'G-7 WaterC'' Data'!$C$4:$D$8,2,FALSE),"")</f>
        <v/>
      </c>
      <c r="T83" s="114"/>
      <c r="U83" s="363" t="str">
        <f>IFERROR(INDEX('G-7 WaterC'' Data'!$H$4:$L$8,MATCH(N83,'G-7 WaterC'' Data'!$B$4:$B$8,0),MATCH(T83,'G-7 WaterC'' Data'!$H$3:$L$3,0)),"")</f>
        <v/>
      </c>
      <c r="V83" s="114"/>
      <c r="W83" s="370" t="str">
        <f>IF(V83="","",IF(VLOOKUP(V83,'G-7 WaterC'' Data'!$AK$4:$AM$6,2,FALSE)=0,"Spatial Data Missing ⚠",VLOOKUP(V83,'G-7 WaterC'' Data'!$AK$4:$AM$6,2,FALSE)))</f>
        <v/>
      </c>
      <c r="X83" s="363" t="str">
        <f>IF(V83="","",IF(VLOOKUP(V83,'G-7 WaterC'' Data'!$AK$4:$AM$6,3,FALSE)=0,"Spatial Data Missing ⚠",VLOOKUP(V83,'G-7 WaterC'' Data'!$AK$4:$AM$6,3,FALSE)))</f>
        <v/>
      </c>
      <c r="Y83" s="362" t="str">
        <f>IFERROR(IF(OR(LEFT(P83,5)="Error",LEFT(O83,5)="Error ▲"),"Check Data ⚠",IF(F83&lt;S83,'G-7 WaterC'' Data'!$R$3,INDEX('G-7 WaterC'' Data'!$U$5:$Y$9,MATCH(G83,'G-7 WaterC'' Data'!$T$5:$T$9,0),MATCH(T83,'G-7 WaterC'' Data'!$U$4:$Y$4,0)))),"")</f>
        <v/>
      </c>
      <c r="Z83" s="159"/>
      <c r="AA83" s="159"/>
      <c r="AB83" s="370" t="str">
        <f t="shared" si="11"/>
        <v/>
      </c>
      <c r="AC83" s="383" t="str">
        <f t="shared" si="12"/>
        <v/>
      </c>
      <c r="AD83" s="422" t="str">
        <f>IFERROR(IF(AC83="Check Data ⚠","Check Data ⚠",VLOOKUP(AC83,'G-4 Temporal multipliers'!$A$4:$C$37,3,FALSE)),"")</f>
        <v/>
      </c>
      <c r="AE83" s="362" t="str">
        <f>IF(N83="","",VLOOKUP(N83,'G-7 WaterC'' Data'!$B$4:$G$8,5,FALSE))</f>
        <v/>
      </c>
      <c r="AF83" s="370" t="str">
        <f t="shared" si="13"/>
        <v/>
      </c>
      <c r="AG83" s="401" t="str">
        <f t="shared" si="14"/>
        <v/>
      </c>
      <c r="AH83" s="363" t="str">
        <f t="shared" si="9"/>
        <v/>
      </c>
      <c r="AI83" s="122"/>
      <c r="AJ83" s="363" t="str">
        <f>IF(AI83="","",IF(VLOOKUP(AI83,'G-7 WaterC'' Data'!$AA$4:$AB$7,2,FALSE)=0,"Spatial Data Missing ⚠",VLOOKUP(AI83,'G-7 WaterC'' Data'!$AA$4:$AB$7,2,FALSE)))</f>
        <v/>
      </c>
      <c r="AK83" s="123"/>
      <c r="AL83" s="363" t="str">
        <f>IF(AK83="","",IF(VLOOKUP(AK83,'G-7 WaterC'' Data'!$AD$4:$AE$14,2,FALSE)=0,"Spatial Data Missing ⚠",VLOOKUP(AK83,'G-7 WaterC'' Data'!$AD$4:$AE$14,2,FALSE)))</f>
        <v/>
      </c>
      <c r="AM83" s="405" t="str">
        <f t="shared" si="15"/>
        <v/>
      </c>
      <c r="AN83" s="117"/>
      <c r="AO83" s="118"/>
      <c r="AP83" s="120"/>
      <c r="AV83" s="30" t="str">
        <f>IFERROR(INDEX('G-7 WaterC'' Data'!$AZ$3:$AZ$7,MATCH(N83,'G-7 WaterC'' Data'!$AY$3:$AY$7,0)),"")</f>
        <v/>
      </c>
    </row>
    <row r="84" spans="2:48" ht="15">
      <c r="B84" s="392" t="str">
        <f>'C-1 On-Site WaterC'' Baseline'!AO82</f>
        <v/>
      </c>
      <c r="C84" s="382" t="str">
        <f>IF(B84="","",VLOOKUP($B84,'C-1 On-Site WaterC'' Baseline'!$C$9:$R$257,2,FALSE))</f>
        <v/>
      </c>
      <c r="D84" s="382" t="str">
        <f>IF(C84="","",VLOOKUP($B84,'C-1 On-Site WaterC'' Baseline'!$C$9:$R$257,3,FALSE))</f>
        <v/>
      </c>
      <c r="E84" s="382" t="str">
        <f>IF(D84="","",VLOOKUP($B84,'C-1 On-Site WaterC'' Baseline'!$C$9:$R$257,4,FALSE))</f>
        <v/>
      </c>
      <c r="F84" s="382" t="str">
        <f>IF(E84="","",VLOOKUP($B84,'C-1 On-Site WaterC'' Baseline'!$C$9:$R$257,5,FALSE))</f>
        <v/>
      </c>
      <c r="G84" s="382" t="str">
        <f>IF(F84="","",VLOOKUP($B84,'C-1 On-Site WaterC'' Baseline'!$C$9:$R$257,6,FALSE))</f>
        <v/>
      </c>
      <c r="H84" s="382" t="str">
        <f>IF(G84="","",VLOOKUP($B84,'C-1 On-Site WaterC'' Baseline'!$C$9:$R$257,7,FALSE))</f>
        <v/>
      </c>
      <c r="I84" s="382" t="str">
        <f>IF(H84="","",VLOOKUP($B84,'C-1 On-Site WaterC'' Baseline'!$C$9:$R$257,8,FALSE))</f>
        <v/>
      </c>
      <c r="J84" s="382" t="str">
        <f>IF(I84="","",VLOOKUP($B84,'C-1 On-Site WaterC'' Baseline'!$C$9:$R$257,9,FALSE))</f>
        <v/>
      </c>
      <c r="K84" s="382" t="str">
        <f>IF(J84="","",VLOOKUP($B84,'C-1 On-Site WaterC'' Baseline'!$C$9:$R$257,10,FALSE))</f>
        <v/>
      </c>
      <c r="L84" s="382" t="str">
        <f>IF(B84="","",VLOOKUP($B84,'C-1 On-Site WaterC'' Baseline'!$C$9:$R$257,15,FALSE))</f>
        <v/>
      </c>
      <c r="M84" s="386" t="str">
        <f>IF(L84="","",VLOOKUP($B84,'C-1 On-Site WaterC'' Baseline'!$C$9:$R$257,16,FALSE))</f>
        <v/>
      </c>
      <c r="N84" s="320" t="str">
        <f t="shared" si="8"/>
        <v/>
      </c>
      <c r="O84" s="362" t="str">
        <f t="shared" si="10"/>
        <v/>
      </c>
      <c r="P84" s="363" t="str">
        <f>IF(C84="","",IF(AND(LEFT(C84,55)&lt;&gt;LEFT(N84,55),O84="High - High"),"Error - Not like for like ▲",IF(H84&gt;U84,"Error - Can not reduce condition ▲",IF(AND(F84=S84,H84=U84,AJ84='C-1 On-Site WaterC'' Baseline'!N82,'C-1 On-Site WaterC'' Baseline'!P82=AL84),"Error - No enhancement ▲",IF(AND(C84&lt;&gt;N84,F84&lt;S84),"Lower Distinctiveness Habitat"&amp;" - "&amp;T84,G84&amp;" - "&amp;T84)))))</f>
        <v/>
      </c>
      <c r="Q84" s="425" t="str">
        <f>IF(N84="","",VLOOKUP(B84,'C-1 On-Site WaterC'' Baseline'!$C$10:$AB$257,19,FALSE))</f>
        <v/>
      </c>
      <c r="R84" s="362" t="str">
        <f>IF(N84="","",VLOOKUP(N84,'G-7 WaterC'' Data'!$B$2:$G$8,2,FALSE))</f>
        <v/>
      </c>
      <c r="S84" s="363" t="str">
        <f>IFERROR(VLOOKUP(R84,'G-7 WaterC'' Data'!$C$4:$D$8,2,FALSE),"")</f>
        <v/>
      </c>
      <c r="T84" s="114"/>
      <c r="U84" s="363" t="str">
        <f>IFERROR(INDEX('G-7 WaterC'' Data'!$H$4:$L$8,MATCH(N84,'G-7 WaterC'' Data'!$B$4:$B$8,0),MATCH(T84,'G-7 WaterC'' Data'!$H$3:$L$3,0)),"")</f>
        <v/>
      </c>
      <c r="V84" s="114"/>
      <c r="W84" s="370" t="str">
        <f>IF(V84="","",IF(VLOOKUP(V84,'G-7 WaterC'' Data'!$AK$4:$AM$6,2,FALSE)=0,"Spatial Data Missing ⚠",VLOOKUP(V84,'G-7 WaterC'' Data'!$AK$4:$AM$6,2,FALSE)))</f>
        <v/>
      </c>
      <c r="X84" s="363" t="str">
        <f>IF(V84="","",IF(VLOOKUP(V84,'G-7 WaterC'' Data'!$AK$4:$AM$6,3,FALSE)=0,"Spatial Data Missing ⚠",VLOOKUP(V84,'G-7 WaterC'' Data'!$AK$4:$AM$6,3,FALSE)))</f>
        <v/>
      </c>
      <c r="Y84" s="362" t="str">
        <f>IFERROR(IF(OR(LEFT(P84,5)="Error",LEFT(O84,5)="Error ▲"),"Check Data ⚠",IF(F84&lt;S84,'G-7 WaterC'' Data'!$R$3,INDEX('G-7 WaterC'' Data'!$U$5:$Y$9,MATCH(G84,'G-7 WaterC'' Data'!$T$5:$T$9,0),MATCH(T84,'G-7 WaterC'' Data'!$U$4:$Y$4,0)))),"")</f>
        <v/>
      </c>
      <c r="Z84" s="159"/>
      <c r="AA84" s="159"/>
      <c r="AB84" s="370" t="str">
        <f t="shared" si="11"/>
        <v/>
      </c>
      <c r="AC84" s="383" t="str">
        <f t="shared" si="12"/>
        <v/>
      </c>
      <c r="AD84" s="422" t="str">
        <f>IFERROR(IF(AC84="Check Data ⚠","Check Data ⚠",VLOOKUP(AC84,'G-4 Temporal multipliers'!$A$4:$C$37,3,FALSE)),"")</f>
        <v/>
      </c>
      <c r="AE84" s="362" t="str">
        <f>IF(N84="","",VLOOKUP(N84,'G-7 WaterC'' Data'!$B$4:$G$8,5,FALSE))</f>
        <v/>
      </c>
      <c r="AF84" s="370" t="str">
        <f t="shared" si="13"/>
        <v/>
      </c>
      <c r="AG84" s="401" t="str">
        <f t="shared" si="14"/>
        <v/>
      </c>
      <c r="AH84" s="363" t="str">
        <f t="shared" si="9"/>
        <v/>
      </c>
      <c r="AI84" s="122"/>
      <c r="AJ84" s="363" t="str">
        <f>IF(AI84="","",IF(VLOOKUP(AI84,'G-7 WaterC'' Data'!$AA$4:$AB$7,2,FALSE)=0,"Spatial Data Missing ⚠",VLOOKUP(AI84,'G-7 WaterC'' Data'!$AA$4:$AB$7,2,FALSE)))</f>
        <v/>
      </c>
      <c r="AK84" s="123"/>
      <c r="AL84" s="363" t="str">
        <f>IF(AK84="","",IF(VLOOKUP(AK84,'G-7 WaterC'' Data'!$AD$4:$AE$14,2,FALSE)=0,"Spatial Data Missing ⚠",VLOOKUP(AK84,'G-7 WaterC'' Data'!$AD$4:$AE$14,2,FALSE)))</f>
        <v/>
      </c>
      <c r="AM84" s="405" t="str">
        <f t="shared" si="15"/>
        <v/>
      </c>
      <c r="AN84" s="117"/>
      <c r="AO84" s="118"/>
      <c r="AP84" s="120"/>
      <c r="AV84" s="30" t="str">
        <f>IFERROR(INDEX('G-7 WaterC'' Data'!$AZ$3:$AZ$7,MATCH(N84,'G-7 WaterC'' Data'!$AY$3:$AY$7,0)),"")</f>
        <v/>
      </c>
    </row>
    <row r="85" spans="2:48" ht="15">
      <c r="B85" s="392" t="str">
        <f>'C-1 On-Site WaterC'' Baseline'!AO83</f>
        <v/>
      </c>
      <c r="C85" s="382" t="str">
        <f>IF(B85="","",VLOOKUP($B85,'C-1 On-Site WaterC'' Baseline'!$C$9:$R$257,2,FALSE))</f>
        <v/>
      </c>
      <c r="D85" s="382" t="str">
        <f>IF(C85="","",VLOOKUP($B85,'C-1 On-Site WaterC'' Baseline'!$C$9:$R$257,3,FALSE))</f>
        <v/>
      </c>
      <c r="E85" s="382" t="str">
        <f>IF(D85="","",VLOOKUP($B85,'C-1 On-Site WaterC'' Baseline'!$C$9:$R$257,4,FALSE))</f>
        <v/>
      </c>
      <c r="F85" s="382" t="str">
        <f>IF(E85="","",VLOOKUP($B85,'C-1 On-Site WaterC'' Baseline'!$C$9:$R$257,5,FALSE))</f>
        <v/>
      </c>
      <c r="G85" s="382" t="str">
        <f>IF(F85="","",VLOOKUP($B85,'C-1 On-Site WaterC'' Baseline'!$C$9:$R$257,6,FALSE))</f>
        <v/>
      </c>
      <c r="H85" s="382" t="str">
        <f>IF(G85="","",VLOOKUP($B85,'C-1 On-Site WaterC'' Baseline'!$C$9:$R$257,7,FALSE))</f>
        <v/>
      </c>
      <c r="I85" s="382" t="str">
        <f>IF(H85="","",VLOOKUP($B85,'C-1 On-Site WaterC'' Baseline'!$C$9:$R$257,8,FALSE))</f>
        <v/>
      </c>
      <c r="J85" s="382" t="str">
        <f>IF(I85="","",VLOOKUP($B85,'C-1 On-Site WaterC'' Baseline'!$C$9:$R$257,9,FALSE))</f>
        <v/>
      </c>
      <c r="K85" s="382" t="str">
        <f>IF(J85="","",VLOOKUP($B85,'C-1 On-Site WaterC'' Baseline'!$C$9:$R$257,10,FALSE))</f>
        <v/>
      </c>
      <c r="L85" s="382" t="str">
        <f>IF(B85="","",VLOOKUP($B85,'C-1 On-Site WaterC'' Baseline'!$C$9:$R$257,15,FALSE))</f>
        <v/>
      </c>
      <c r="M85" s="386" t="str">
        <f>IF(L85="","",VLOOKUP($B85,'C-1 On-Site WaterC'' Baseline'!$C$9:$R$257,16,FALSE))</f>
        <v/>
      </c>
      <c r="N85" s="320" t="str">
        <f t="shared" si="8"/>
        <v/>
      </c>
      <c r="O85" s="362" t="str">
        <f t="shared" si="10"/>
        <v/>
      </c>
      <c r="P85" s="363" t="str">
        <f>IF(C85="","",IF(AND(LEFT(C85,55)&lt;&gt;LEFT(N85,55),O85="High - High"),"Error - Not like for like ▲",IF(H85&gt;U85,"Error - Can not reduce condition ▲",IF(AND(F85=S85,H85=U85,AJ85='C-1 On-Site WaterC'' Baseline'!N83,'C-1 On-Site WaterC'' Baseline'!P83=AL85),"Error - No enhancement ▲",IF(AND(C85&lt;&gt;N85,F85&lt;S85),"Lower Distinctiveness Habitat"&amp;" - "&amp;T85,G85&amp;" - "&amp;T85)))))</f>
        <v/>
      </c>
      <c r="Q85" s="425" t="str">
        <f>IF(N85="","",VLOOKUP(B85,'C-1 On-Site WaterC'' Baseline'!$C$10:$AB$257,19,FALSE))</f>
        <v/>
      </c>
      <c r="R85" s="362" t="str">
        <f>IF(N85="","",VLOOKUP(N85,'G-7 WaterC'' Data'!$B$2:$G$8,2,FALSE))</f>
        <v/>
      </c>
      <c r="S85" s="363" t="str">
        <f>IFERROR(VLOOKUP(R85,'G-7 WaterC'' Data'!$C$4:$D$8,2,FALSE),"")</f>
        <v/>
      </c>
      <c r="T85" s="114"/>
      <c r="U85" s="363" t="str">
        <f>IFERROR(INDEX('G-7 WaterC'' Data'!$H$4:$L$8,MATCH(N85,'G-7 WaterC'' Data'!$B$4:$B$8,0),MATCH(T85,'G-7 WaterC'' Data'!$H$3:$L$3,0)),"")</f>
        <v/>
      </c>
      <c r="V85" s="114"/>
      <c r="W85" s="370" t="str">
        <f>IF(V85="","",IF(VLOOKUP(V85,'G-7 WaterC'' Data'!$AK$4:$AM$6,2,FALSE)=0,"Spatial Data Missing ⚠",VLOOKUP(V85,'G-7 WaterC'' Data'!$AK$4:$AM$6,2,FALSE)))</f>
        <v/>
      </c>
      <c r="X85" s="363" t="str">
        <f>IF(V85="","",IF(VLOOKUP(V85,'G-7 WaterC'' Data'!$AK$4:$AM$6,3,FALSE)=0,"Spatial Data Missing ⚠",VLOOKUP(V85,'G-7 WaterC'' Data'!$AK$4:$AM$6,3,FALSE)))</f>
        <v/>
      </c>
      <c r="Y85" s="362" t="str">
        <f>IFERROR(IF(OR(LEFT(P85,5)="Error",LEFT(O85,5)="Error ▲"),"Check Data ⚠",IF(F85&lt;S85,'G-7 WaterC'' Data'!$R$3,INDEX('G-7 WaterC'' Data'!$U$5:$Y$9,MATCH(G85,'G-7 WaterC'' Data'!$T$5:$T$9,0),MATCH(T85,'G-7 WaterC'' Data'!$U$4:$Y$4,0)))),"")</f>
        <v/>
      </c>
      <c r="Z85" s="159"/>
      <c r="AA85" s="159"/>
      <c r="AB85" s="370" t="str">
        <f t="shared" si="11"/>
        <v/>
      </c>
      <c r="AC85" s="383" t="str">
        <f t="shared" si="12"/>
        <v/>
      </c>
      <c r="AD85" s="422" t="str">
        <f>IFERROR(IF(AC85="Check Data ⚠","Check Data ⚠",VLOOKUP(AC85,'G-4 Temporal multipliers'!$A$4:$C$37,3,FALSE)),"")</f>
        <v/>
      </c>
      <c r="AE85" s="362" t="str">
        <f>IF(N85="","",VLOOKUP(N85,'G-7 WaterC'' Data'!$B$4:$G$8,5,FALSE))</f>
        <v/>
      </c>
      <c r="AF85" s="370" t="str">
        <f t="shared" si="13"/>
        <v/>
      </c>
      <c r="AG85" s="401" t="str">
        <f t="shared" si="14"/>
        <v/>
      </c>
      <c r="AH85" s="363" t="str">
        <f t="shared" si="9"/>
        <v/>
      </c>
      <c r="AI85" s="122"/>
      <c r="AJ85" s="363" t="str">
        <f>IF(AI85="","",IF(VLOOKUP(AI85,'G-7 WaterC'' Data'!$AA$4:$AB$7,2,FALSE)=0,"Spatial Data Missing ⚠",VLOOKUP(AI85,'G-7 WaterC'' Data'!$AA$4:$AB$7,2,FALSE)))</f>
        <v/>
      </c>
      <c r="AK85" s="123"/>
      <c r="AL85" s="363" t="str">
        <f>IF(AK85="","",IF(VLOOKUP(AK85,'G-7 WaterC'' Data'!$AD$4:$AE$14,2,FALSE)=0,"Spatial Data Missing ⚠",VLOOKUP(AK85,'G-7 WaterC'' Data'!$AD$4:$AE$14,2,FALSE)))</f>
        <v/>
      </c>
      <c r="AM85" s="405" t="str">
        <f t="shared" si="15"/>
        <v/>
      </c>
      <c r="AN85" s="117"/>
      <c r="AO85" s="118"/>
      <c r="AP85" s="120"/>
      <c r="AV85" s="30" t="str">
        <f>IFERROR(INDEX('G-7 WaterC'' Data'!$AZ$3:$AZ$7,MATCH(N85,'G-7 WaterC'' Data'!$AY$3:$AY$7,0)),"")</f>
        <v/>
      </c>
    </row>
    <row r="86" spans="2:48" ht="15">
      <c r="B86" s="392" t="str">
        <f>'C-1 On-Site WaterC'' Baseline'!AO84</f>
        <v/>
      </c>
      <c r="C86" s="382" t="str">
        <f>IF(B86="","",VLOOKUP($B86,'C-1 On-Site WaterC'' Baseline'!$C$9:$R$257,2,FALSE))</f>
        <v/>
      </c>
      <c r="D86" s="382" t="str">
        <f>IF(C86="","",VLOOKUP($B86,'C-1 On-Site WaterC'' Baseline'!$C$9:$R$257,3,FALSE))</f>
        <v/>
      </c>
      <c r="E86" s="382" t="str">
        <f>IF(D86="","",VLOOKUP($B86,'C-1 On-Site WaterC'' Baseline'!$C$9:$R$257,4,FALSE))</f>
        <v/>
      </c>
      <c r="F86" s="382" t="str">
        <f>IF(E86="","",VLOOKUP($B86,'C-1 On-Site WaterC'' Baseline'!$C$9:$R$257,5,FALSE))</f>
        <v/>
      </c>
      <c r="G86" s="382" t="str">
        <f>IF(F86="","",VLOOKUP($B86,'C-1 On-Site WaterC'' Baseline'!$C$9:$R$257,6,FALSE))</f>
        <v/>
      </c>
      <c r="H86" s="382" t="str">
        <f>IF(G86="","",VLOOKUP($B86,'C-1 On-Site WaterC'' Baseline'!$C$9:$R$257,7,FALSE))</f>
        <v/>
      </c>
      <c r="I86" s="382" t="str">
        <f>IF(H86="","",VLOOKUP($B86,'C-1 On-Site WaterC'' Baseline'!$C$9:$R$257,8,FALSE))</f>
        <v/>
      </c>
      <c r="J86" s="382" t="str">
        <f>IF(I86="","",VLOOKUP($B86,'C-1 On-Site WaterC'' Baseline'!$C$9:$R$257,9,FALSE))</f>
        <v/>
      </c>
      <c r="K86" s="382" t="str">
        <f>IF(J86="","",VLOOKUP($B86,'C-1 On-Site WaterC'' Baseline'!$C$9:$R$257,10,FALSE))</f>
        <v/>
      </c>
      <c r="L86" s="382" t="str">
        <f>IF(B86="","",VLOOKUP($B86,'C-1 On-Site WaterC'' Baseline'!$C$9:$R$257,15,FALSE))</f>
        <v/>
      </c>
      <c r="M86" s="386" t="str">
        <f>IF(L86="","",VLOOKUP($B86,'C-1 On-Site WaterC'' Baseline'!$C$9:$R$257,16,FALSE))</f>
        <v/>
      </c>
      <c r="N86" s="320" t="str">
        <f t="shared" si="8"/>
        <v/>
      </c>
      <c r="O86" s="362" t="str">
        <f t="shared" si="10"/>
        <v/>
      </c>
      <c r="P86" s="363" t="str">
        <f>IF(C86="","",IF(AND(LEFT(C86,55)&lt;&gt;LEFT(N86,55),O86="High - High"),"Error - Not like for like ▲",IF(H86&gt;U86,"Error - Can not reduce condition ▲",IF(AND(F86=S86,H86=U86,AJ86='C-1 On-Site WaterC'' Baseline'!N84,'C-1 On-Site WaterC'' Baseline'!P84=AL86),"Error - No enhancement ▲",IF(AND(C86&lt;&gt;N86,F86&lt;S86),"Lower Distinctiveness Habitat"&amp;" - "&amp;T86,G86&amp;" - "&amp;T86)))))</f>
        <v/>
      </c>
      <c r="Q86" s="425" t="str">
        <f>IF(N86="","",VLOOKUP(B86,'C-1 On-Site WaterC'' Baseline'!$C$10:$AB$257,19,FALSE))</f>
        <v/>
      </c>
      <c r="R86" s="362" t="str">
        <f>IF(N86="","",VLOOKUP(N86,'G-7 WaterC'' Data'!$B$2:$G$8,2,FALSE))</f>
        <v/>
      </c>
      <c r="S86" s="363" t="str">
        <f>IFERROR(VLOOKUP(R86,'G-7 WaterC'' Data'!$C$4:$D$8,2,FALSE),"")</f>
        <v/>
      </c>
      <c r="T86" s="114"/>
      <c r="U86" s="363" t="str">
        <f>IFERROR(INDEX('G-7 WaterC'' Data'!$H$4:$L$8,MATCH(N86,'G-7 WaterC'' Data'!$B$4:$B$8,0),MATCH(T86,'G-7 WaterC'' Data'!$H$3:$L$3,0)),"")</f>
        <v/>
      </c>
      <c r="V86" s="114"/>
      <c r="W86" s="370" t="str">
        <f>IF(V86="","",IF(VLOOKUP(V86,'G-7 WaterC'' Data'!$AK$4:$AM$6,2,FALSE)=0,"Spatial Data Missing ⚠",VLOOKUP(V86,'G-7 WaterC'' Data'!$AK$4:$AM$6,2,FALSE)))</f>
        <v/>
      </c>
      <c r="X86" s="363" t="str">
        <f>IF(V86="","",IF(VLOOKUP(V86,'G-7 WaterC'' Data'!$AK$4:$AM$6,3,FALSE)=0,"Spatial Data Missing ⚠",VLOOKUP(V86,'G-7 WaterC'' Data'!$AK$4:$AM$6,3,FALSE)))</f>
        <v/>
      </c>
      <c r="Y86" s="362" t="str">
        <f>IFERROR(IF(OR(LEFT(P86,5)="Error",LEFT(O86,5)="Error ▲"),"Check Data ⚠",IF(F86&lt;S86,'G-7 WaterC'' Data'!$R$3,INDEX('G-7 WaterC'' Data'!$U$5:$Y$9,MATCH(G86,'G-7 WaterC'' Data'!$T$5:$T$9,0),MATCH(T86,'G-7 WaterC'' Data'!$U$4:$Y$4,0)))),"")</f>
        <v/>
      </c>
      <c r="Z86" s="159"/>
      <c r="AA86" s="159"/>
      <c r="AB86" s="370" t="str">
        <f t="shared" si="11"/>
        <v/>
      </c>
      <c r="AC86" s="383" t="str">
        <f t="shared" si="12"/>
        <v/>
      </c>
      <c r="AD86" s="422" t="str">
        <f>IFERROR(IF(AC86="Check Data ⚠","Check Data ⚠",VLOOKUP(AC86,'G-4 Temporal multipliers'!$A$4:$C$37,3,FALSE)),"")</f>
        <v/>
      </c>
      <c r="AE86" s="362" t="str">
        <f>IF(N86="","",VLOOKUP(N86,'G-7 WaterC'' Data'!$B$4:$G$8,5,FALSE))</f>
        <v/>
      </c>
      <c r="AF86" s="370" t="str">
        <f t="shared" si="13"/>
        <v/>
      </c>
      <c r="AG86" s="401" t="str">
        <f t="shared" si="14"/>
        <v/>
      </c>
      <c r="AH86" s="363" t="str">
        <f t="shared" si="9"/>
        <v/>
      </c>
      <c r="AI86" s="122"/>
      <c r="AJ86" s="363" t="str">
        <f>IF(AI86="","",IF(VLOOKUP(AI86,'G-7 WaterC'' Data'!$AA$4:$AB$7,2,FALSE)=0,"Spatial Data Missing ⚠",VLOOKUP(AI86,'G-7 WaterC'' Data'!$AA$4:$AB$7,2,FALSE)))</f>
        <v/>
      </c>
      <c r="AK86" s="123"/>
      <c r="AL86" s="363" t="str">
        <f>IF(AK86="","",IF(VLOOKUP(AK86,'G-7 WaterC'' Data'!$AD$4:$AE$14,2,FALSE)=0,"Spatial Data Missing ⚠",VLOOKUP(AK86,'G-7 WaterC'' Data'!$AD$4:$AE$14,2,FALSE)))</f>
        <v/>
      </c>
      <c r="AM86" s="405" t="str">
        <f t="shared" si="15"/>
        <v/>
      </c>
      <c r="AN86" s="117"/>
      <c r="AO86" s="118"/>
      <c r="AP86" s="120"/>
      <c r="AV86" s="30" t="str">
        <f>IFERROR(INDEX('G-7 WaterC'' Data'!$AZ$3:$AZ$7,MATCH(N86,'G-7 WaterC'' Data'!$AY$3:$AY$7,0)),"")</f>
        <v/>
      </c>
    </row>
    <row r="87" spans="2:48" ht="15">
      <c r="B87" s="392" t="str">
        <f>'C-1 On-Site WaterC'' Baseline'!AO85</f>
        <v/>
      </c>
      <c r="C87" s="382" t="str">
        <f>IF(B87="","",VLOOKUP($B87,'C-1 On-Site WaterC'' Baseline'!$C$9:$R$257,2,FALSE))</f>
        <v/>
      </c>
      <c r="D87" s="382" t="str">
        <f>IF(C87="","",VLOOKUP($B87,'C-1 On-Site WaterC'' Baseline'!$C$9:$R$257,3,FALSE))</f>
        <v/>
      </c>
      <c r="E87" s="382" t="str">
        <f>IF(D87="","",VLOOKUP($B87,'C-1 On-Site WaterC'' Baseline'!$C$9:$R$257,4,FALSE))</f>
        <v/>
      </c>
      <c r="F87" s="382" t="str">
        <f>IF(E87="","",VLOOKUP($B87,'C-1 On-Site WaterC'' Baseline'!$C$9:$R$257,5,FALSE))</f>
        <v/>
      </c>
      <c r="G87" s="382" t="str">
        <f>IF(F87="","",VLOOKUP($B87,'C-1 On-Site WaterC'' Baseline'!$C$9:$R$257,6,FALSE))</f>
        <v/>
      </c>
      <c r="H87" s="382" t="str">
        <f>IF(G87="","",VLOOKUP($B87,'C-1 On-Site WaterC'' Baseline'!$C$9:$R$257,7,FALSE))</f>
        <v/>
      </c>
      <c r="I87" s="382" t="str">
        <f>IF(H87="","",VLOOKUP($B87,'C-1 On-Site WaterC'' Baseline'!$C$9:$R$257,8,FALSE))</f>
        <v/>
      </c>
      <c r="J87" s="382" t="str">
        <f>IF(I87="","",VLOOKUP($B87,'C-1 On-Site WaterC'' Baseline'!$C$9:$R$257,9,FALSE))</f>
        <v/>
      </c>
      <c r="K87" s="382" t="str">
        <f>IF(J87="","",VLOOKUP($B87,'C-1 On-Site WaterC'' Baseline'!$C$9:$R$257,10,FALSE))</f>
        <v/>
      </c>
      <c r="L87" s="382" t="str">
        <f>IF(B87="","",VLOOKUP($B87,'C-1 On-Site WaterC'' Baseline'!$C$9:$R$257,15,FALSE))</f>
        <v/>
      </c>
      <c r="M87" s="386" t="str">
        <f>IF(L87="","",VLOOKUP($B87,'C-1 On-Site WaterC'' Baseline'!$C$9:$R$257,16,FALSE))</f>
        <v/>
      </c>
      <c r="N87" s="320" t="str">
        <f t="shared" si="8"/>
        <v/>
      </c>
      <c r="O87" s="362" t="str">
        <f t="shared" si="10"/>
        <v/>
      </c>
      <c r="P87" s="363" t="str">
        <f>IF(C87="","",IF(AND(LEFT(C87,55)&lt;&gt;LEFT(N87,55),O87="High - High"),"Error - Not like for like ▲",IF(H87&gt;U87,"Error - Can not reduce condition ▲",IF(AND(F87=S87,H87=U87,AJ87='C-1 On-Site WaterC'' Baseline'!N85,'C-1 On-Site WaterC'' Baseline'!P85=AL87),"Error - No enhancement ▲",IF(AND(C87&lt;&gt;N87,F87&lt;S87),"Lower Distinctiveness Habitat"&amp;" - "&amp;T87,G87&amp;" - "&amp;T87)))))</f>
        <v/>
      </c>
      <c r="Q87" s="425" t="str">
        <f>IF(N87="","",VLOOKUP(B87,'C-1 On-Site WaterC'' Baseline'!$C$10:$AB$257,19,FALSE))</f>
        <v/>
      </c>
      <c r="R87" s="362" t="str">
        <f>IF(N87="","",VLOOKUP(N87,'G-7 WaterC'' Data'!$B$2:$G$8,2,FALSE))</f>
        <v/>
      </c>
      <c r="S87" s="363" t="str">
        <f>IFERROR(VLOOKUP(R87,'G-7 WaterC'' Data'!$C$4:$D$8,2,FALSE),"")</f>
        <v/>
      </c>
      <c r="T87" s="114"/>
      <c r="U87" s="363" t="str">
        <f>IFERROR(INDEX('G-7 WaterC'' Data'!$H$4:$L$8,MATCH(N87,'G-7 WaterC'' Data'!$B$4:$B$8,0),MATCH(T87,'G-7 WaterC'' Data'!$H$3:$L$3,0)),"")</f>
        <v/>
      </c>
      <c r="V87" s="114"/>
      <c r="W87" s="370" t="str">
        <f>IF(V87="","",IF(VLOOKUP(V87,'G-7 WaterC'' Data'!$AK$4:$AM$6,2,FALSE)=0,"Spatial Data Missing ⚠",VLOOKUP(V87,'G-7 WaterC'' Data'!$AK$4:$AM$6,2,FALSE)))</f>
        <v/>
      </c>
      <c r="X87" s="363" t="str">
        <f>IF(V87="","",IF(VLOOKUP(V87,'G-7 WaterC'' Data'!$AK$4:$AM$6,3,FALSE)=0,"Spatial Data Missing ⚠",VLOOKUP(V87,'G-7 WaterC'' Data'!$AK$4:$AM$6,3,FALSE)))</f>
        <v/>
      </c>
      <c r="Y87" s="362" t="str">
        <f>IFERROR(IF(OR(LEFT(P87,5)="Error",LEFT(O87,5)="Error ▲"),"Check Data ⚠",IF(F87&lt;S87,'G-7 WaterC'' Data'!$R$3,INDEX('G-7 WaterC'' Data'!$U$5:$Y$9,MATCH(G87,'G-7 WaterC'' Data'!$T$5:$T$9,0),MATCH(T87,'G-7 WaterC'' Data'!$U$4:$Y$4,0)))),"")</f>
        <v/>
      </c>
      <c r="Z87" s="159"/>
      <c r="AA87" s="159"/>
      <c r="AB87" s="370" t="str">
        <f t="shared" si="11"/>
        <v/>
      </c>
      <c r="AC87" s="383" t="str">
        <f t="shared" si="12"/>
        <v/>
      </c>
      <c r="AD87" s="422" t="str">
        <f>IFERROR(IF(AC87="Check Data ⚠","Check Data ⚠",VLOOKUP(AC87,'G-4 Temporal multipliers'!$A$4:$C$37,3,FALSE)),"")</f>
        <v/>
      </c>
      <c r="AE87" s="362" t="str">
        <f>IF(N87="","",VLOOKUP(N87,'G-7 WaterC'' Data'!$B$4:$G$8,5,FALSE))</f>
        <v/>
      </c>
      <c r="AF87" s="370" t="str">
        <f t="shared" si="13"/>
        <v/>
      </c>
      <c r="AG87" s="401" t="str">
        <f t="shared" si="14"/>
        <v/>
      </c>
      <c r="AH87" s="363" t="str">
        <f t="shared" si="9"/>
        <v/>
      </c>
      <c r="AI87" s="122"/>
      <c r="AJ87" s="363" t="str">
        <f>IF(AI87="","",IF(VLOOKUP(AI87,'G-7 WaterC'' Data'!$AA$4:$AB$7,2,FALSE)=0,"Spatial Data Missing ⚠",VLOOKUP(AI87,'G-7 WaterC'' Data'!$AA$4:$AB$7,2,FALSE)))</f>
        <v/>
      </c>
      <c r="AK87" s="123"/>
      <c r="AL87" s="363" t="str">
        <f>IF(AK87="","",IF(VLOOKUP(AK87,'G-7 WaterC'' Data'!$AD$4:$AE$14,2,FALSE)=0,"Spatial Data Missing ⚠",VLOOKUP(AK87,'G-7 WaterC'' Data'!$AD$4:$AE$14,2,FALSE)))</f>
        <v/>
      </c>
      <c r="AM87" s="405" t="str">
        <f t="shared" si="15"/>
        <v/>
      </c>
      <c r="AN87" s="117"/>
      <c r="AO87" s="118"/>
      <c r="AP87" s="120"/>
      <c r="AV87" s="30" t="str">
        <f>IFERROR(INDEX('G-7 WaterC'' Data'!$AZ$3:$AZ$7,MATCH(N87,'G-7 WaterC'' Data'!$AY$3:$AY$7,0)),"")</f>
        <v/>
      </c>
    </row>
    <row r="88" spans="2:48" ht="15">
      <c r="B88" s="392" t="str">
        <f>'C-1 On-Site WaterC'' Baseline'!AO86</f>
        <v/>
      </c>
      <c r="C88" s="382" t="str">
        <f>IF(B88="","",VLOOKUP($B88,'C-1 On-Site WaterC'' Baseline'!$C$9:$R$257,2,FALSE))</f>
        <v/>
      </c>
      <c r="D88" s="382" t="str">
        <f>IF(C88="","",VLOOKUP($B88,'C-1 On-Site WaterC'' Baseline'!$C$9:$R$257,3,FALSE))</f>
        <v/>
      </c>
      <c r="E88" s="382" t="str">
        <f>IF(D88="","",VLOOKUP($B88,'C-1 On-Site WaterC'' Baseline'!$C$9:$R$257,4,FALSE))</f>
        <v/>
      </c>
      <c r="F88" s="382" t="str">
        <f>IF(E88="","",VLOOKUP($B88,'C-1 On-Site WaterC'' Baseline'!$C$9:$R$257,5,FALSE))</f>
        <v/>
      </c>
      <c r="G88" s="382" t="str">
        <f>IF(F88="","",VLOOKUP($B88,'C-1 On-Site WaterC'' Baseline'!$C$9:$R$257,6,FALSE))</f>
        <v/>
      </c>
      <c r="H88" s="382" t="str">
        <f>IF(G88="","",VLOOKUP($B88,'C-1 On-Site WaterC'' Baseline'!$C$9:$R$257,7,FALSE))</f>
        <v/>
      </c>
      <c r="I88" s="382" t="str">
        <f>IF(H88="","",VLOOKUP($B88,'C-1 On-Site WaterC'' Baseline'!$C$9:$R$257,8,FALSE))</f>
        <v/>
      </c>
      <c r="J88" s="382" t="str">
        <f>IF(I88="","",VLOOKUP($B88,'C-1 On-Site WaterC'' Baseline'!$C$9:$R$257,9,FALSE))</f>
        <v/>
      </c>
      <c r="K88" s="382" t="str">
        <f>IF(J88="","",VLOOKUP($B88,'C-1 On-Site WaterC'' Baseline'!$C$9:$R$257,10,FALSE))</f>
        <v/>
      </c>
      <c r="L88" s="382" t="str">
        <f>IF(B88="","",VLOOKUP($B88,'C-1 On-Site WaterC'' Baseline'!$C$9:$R$257,15,FALSE))</f>
        <v/>
      </c>
      <c r="M88" s="386" t="str">
        <f>IF(L88="","",VLOOKUP($B88,'C-1 On-Site WaterC'' Baseline'!$C$9:$R$257,16,FALSE))</f>
        <v/>
      </c>
      <c r="N88" s="320" t="str">
        <f t="shared" si="8"/>
        <v/>
      </c>
      <c r="O88" s="362" t="str">
        <f t="shared" si="10"/>
        <v/>
      </c>
      <c r="P88" s="363" t="str">
        <f>IF(C88="","",IF(AND(LEFT(C88,55)&lt;&gt;LEFT(N88,55),O88="High - High"),"Error - Not like for like ▲",IF(H88&gt;U88,"Error - Can not reduce condition ▲",IF(AND(F88=S88,H88=U88,AJ88='C-1 On-Site WaterC'' Baseline'!N86,'C-1 On-Site WaterC'' Baseline'!P86=AL88),"Error - No enhancement ▲",IF(AND(C88&lt;&gt;N88,F88&lt;S88),"Lower Distinctiveness Habitat"&amp;" - "&amp;T88,G88&amp;" - "&amp;T88)))))</f>
        <v/>
      </c>
      <c r="Q88" s="425" t="str">
        <f>IF(N88="","",VLOOKUP(B88,'C-1 On-Site WaterC'' Baseline'!$C$10:$AB$257,19,FALSE))</f>
        <v/>
      </c>
      <c r="R88" s="362" t="str">
        <f>IF(N88="","",VLOOKUP(N88,'G-7 WaterC'' Data'!$B$2:$G$8,2,FALSE))</f>
        <v/>
      </c>
      <c r="S88" s="363" t="str">
        <f>IFERROR(VLOOKUP(R88,'G-7 WaterC'' Data'!$C$4:$D$8,2,FALSE),"")</f>
        <v/>
      </c>
      <c r="T88" s="114"/>
      <c r="U88" s="363" t="str">
        <f>IFERROR(INDEX('G-7 WaterC'' Data'!$H$4:$L$8,MATCH(N88,'G-7 WaterC'' Data'!$B$4:$B$8,0),MATCH(T88,'G-7 WaterC'' Data'!$H$3:$L$3,0)),"")</f>
        <v/>
      </c>
      <c r="V88" s="114"/>
      <c r="W88" s="370" t="str">
        <f>IF(V88="","",IF(VLOOKUP(V88,'G-7 WaterC'' Data'!$AK$4:$AM$6,2,FALSE)=0,"Spatial Data Missing ⚠",VLOOKUP(V88,'G-7 WaterC'' Data'!$AK$4:$AM$6,2,FALSE)))</f>
        <v/>
      </c>
      <c r="X88" s="363" t="str">
        <f>IF(V88="","",IF(VLOOKUP(V88,'G-7 WaterC'' Data'!$AK$4:$AM$6,3,FALSE)=0,"Spatial Data Missing ⚠",VLOOKUP(V88,'G-7 WaterC'' Data'!$AK$4:$AM$6,3,FALSE)))</f>
        <v/>
      </c>
      <c r="Y88" s="362" t="str">
        <f>IFERROR(IF(OR(LEFT(P88,5)="Error",LEFT(O88,5)="Error ▲"),"Check Data ⚠",IF(F88&lt;S88,'G-7 WaterC'' Data'!$R$3,INDEX('G-7 WaterC'' Data'!$U$5:$Y$9,MATCH(G88,'G-7 WaterC'' Data'!$T$5:$T$9,0),MATCH(T88,'G-7 WaterC'' Data'!$U$4:$Y$4,0)))),"")</f>
        <v/>
      </c>
      <c r="Z88" s="159"/>
      <c r="AA88" s="159"/>
      <c r="AB88" s="370" t="str">
        <f t="shared" si="11"/>
        <v/>
      </c>
      <c r="AC88" s="383" t="str">
        <f t="shared" si="12"/>
        <v/>
      </c>
      <c r="AD88" s="422" t="str">
        <f>IFERROR(IF(AC88="Check Data ⚠","Check Data ⚠",VLOOKUP(AC88,'G-4 Temporal multipliers'!$A$4:$C$37,3,FALSE)),"")</f>
        <v/>
      </c>
      <c r="AE88" s="362" t="str">
        <f>IF(N88="","",VLOOKUP(N88,'G-7 WaterC'' Data'!$B$4:$G$8,5,FALSE))</f>
        <v/>
      </c>
      <c r="AF88" s="370" t="str">
        <f t="shared" si="13"/>
        <v/>
      </c>
      <c r="AG88" s="401" t="str">
        <f t="shared" si="14"/>
        <v/>
      </c>
      <c r="AH88" s="363" t="str">
        <f t="shared" si="9"/>
        <v/>
      </c>
      <c r="AI88" s="122"/>
      <c r="AJ88" s="363" t="str">
        <f>IF(AI88="","",IF(VLOOKUP(AI88,'G-7 WaterC'' Data'!$AA$4:$AB$7,2,FALSE)=0,"Spatial Data Missing ⚠",VLOOKUP(AI88,'G-7 WaterC'' Data'!$AA$4:$AB$7,2,FALSE)))</f>
        <v/>
      </c>
      <c r="AK88" s="123"/>
      <c r="AL88" s="363" t="str">
        <f>IF(AK88="","",IF(VLOOKUP(AK88,'G-7 WaterC'' Data'!$AD$4:$AE$14,2,FALSE)=0,"Spatial Data Missing ⚠",VLOOKUP(AK88,'G-7 WaterC'' Data'!$AD$4:$AE$14,2,FALSE)))</f>
        <v/>
      </c>
      <c r="AM88" s="405" t="str">
        <f t="shared" si="15"/>
        <v/>
      </c>
      <c r="AN88" s="117"/>
      <c r="AO88" s="118"/>
      <c r="AP88" s="120"/>
      <c r="AV88" s="30" t="str">
        <f>IFERROR(INDEX('G-7 WaterC'' Data'!$AZ$3:$AZ$7,MATCH(N88,'G-7 WaterC'' Data'!$AY$3:$AY$7,0)),"")</f>
        <v/>
      </c>
    </row>
    <row r="89" spans="2:48" ht="15">
      <c r="B89" s="392" t="str">
        <f>'C-1 On-Site WaterC'' Baseline'!AO87</f>
        <v/>
      </c>
      <c r="C89" s="382" t="str">
        <f>IF(B89="","",VLOOKUP($B89,'C-1 On-Site WaterC'' Baseline'!$C$9:$R$257,2,FALSE))</f>
        <v/>
      </c>
      <c r="D89" s="382" t="str">
        <f>IF(C89="","",VLOOKUP($B89,'C-1 On-Site WaterC'' Baseline'!$C$9:$R$257,3,FALSE))</f>
        <v/>
      </c>
      <c r="E89" s="382" t="str">
        <f>IF(D89="","",VLOOKUP($B89,'C-1 On-Site WaterC'' Baseline'!$C$9:$R$257,4,FALSE))</f>
        <v/>
      </c>
      <c r="F89" s="382" t="str">
        <f>IF(E89="","",VLOOKUP($B89,'C-1 On-Site WaterC'' Baseline'!$C$9:$R$257,5,FALSE))</f>
        <v/>
      </c>
      <c r="G89" s="382" t="str">
        <f>IF(F89="","",VLOOKUP($B89,'C-1 On-Site WaterC'' Baseline'!$C$9:$R$257,6,FALSE))</f>
        <v/>
      </c>
      <c r="H89" s="382" t="str">
        <f>IF(G89="","",VLOOKUP($B89,'C-1 On-Site WaterC'' Baseline'!$C$9:$R$257,7,FALSE))</f>
        <v/>
      </c>
      <c r="I89" s="382" t="str">
        <f>IF(H89="","",VLOOKUP($B89,'C-1 On-Site WaterC'' Baseline'!$C$9:$R$257,8,FALSE))</f>
        <v/>
      </c>
      <c r="J89" s="382" t="str">
        <f>IF(I89="","",VLOOKUP($B89,'C-1 On-Site WaterC'' Baseline'!$C$9:$R$257,9,FALSE))</f>
        <v/>
      </c>
      <c r="K89" s="382" t="str">
        <f>IF(J89="","",VLOOKUP($B89,'C-1 On-Site WaterC'' Baseline'!$C$9:$R$257,10,FALSE))</f>
        <v/>
      </c>
      <c r="L89" s="382" t="str">
        <f>IF(B89="","",VLOOKUP($B89,'C-1 On-Site WaterC'' Baseline'!$C$9:$R$257,15,FALSE))</f>
        <v/>
      </c>
      <c r="M89" s="386" t="str">
        <f>IF(L89="","",VLOOKUP($B89,'C-1 On-Site WaterC'' Baseline'!$C$9:$R$257,16,FALSE))</f>
        <v/>
      </c>
      <c r="N89" s="320" t="str">
        <f t="shared" si="8"/>
        <v/>
      </c>
      <c r="O89" s="362" t="str">
        <f t="shared" si="10"/>
        <v/>
      </c>
      <c r="P89" s="363" t="str">
        <f>IF(C89="","",IF(AND(LEFT(C89,55)&lt;&gt;LEFT(N89,55),O89="High - High"),"Error - Not like for like ▲",IF(H89&gt;U89,"Error - Can not reduce condition ▲",IF(AND(F89=S89,H89=U89,AJ89='C-1 On-Site WaterC'' Baseline'!N87,'C-1 On-Site WaterC'' Baseline'!P87=AL89),"Error - No enhancement ▲",IF(AND(C89&lt;&gt;N89,F89&lt;S89),"Lower Distinctiveness Habitat"&amp;" - "&amp;T89,G89&amp;" - "&amp;T89)))))</f>
        <v/>
      </c>
      <c r="Q89" s="425" t="str">
        <f>IF(N89="","",VLOOKUP(B89,'C-1 On-Site WaterC'' Baseline'!$C$10:$AB$257,19,FALSE))</f>
        <v/>
      </c>
      <c r="R89" s="362" t="str">
        <f>IF(N89="","",VLOOKUP(N89,'G-7 WaterC'' Data'!$B$2:$G$8,2,FALSE))</f>
        <v/>
      </c>
      <c r="S89" s="363" t="str">
        <f>IFERROR(VLOOKUP(R89,'G-7 WaterC'' Data'!$C$4:$D$8,2,FALSE),"")</f>
        <v/>
      </c>
      <c r="T89" s="114"/>
      <c r="U89" s="363" t="str">
        <f>IFERROR(INDEX('G-7 WaterC'' Data'!$H$4:$L$8,MATCH(N89,'G-7 WaterC'' Data'!$B$4:$B$8,0),MATCH(T89,'G-7 WaterC'' Data'!$H$3:$L$3,0)),"")</f>
        <v/>
      </c>
      <c r="V89" s="114"/>
      <c r="W89" s="370" t="str">
        <f>IF(V89="","",IF(VLOOKUP(V89,'G-7 WaterC'' Data'!$AK$4:$AM$6,2,FALSE)=0,"Spatial Data Missing ⚠",VLOOKUP(V89,'G-7 WaterC'' Data'!$AK$4:$AM$6,2,FALSE)))</f>
        <v/>
      </c>
      <c r="X89" s="363" t="str">
        <f>IF(V89="","",IF(VLOOKUP(V89,'G-7 WaterC'' Data'!$AK$4:$AM$6,3,FALSE)=0,"Spatial Data Missing ⚠",VLOOKUP(V89,'G-7 WaterC'' Data'!$AK$4:$AM$6,3,FALSE)))</f>
        <v/>
      </c>
      <c r="Y89" s="362" t="str">
        <f>IFERROR(IF(OR(LEFT(P89,5)="Error",LEFT(O89,5)="Error ▲"),"Check Data ⚠",IF(F89&lt;S89,'G-7 WaterC'' Data'!$R$3,INDEX('G-7 WaterC'' Data'!$U$5:$Y$9,MATCH(G89,'G-7 WaterC'' Data'!$T$5:$T$9,0),MATCH(T89,'G-7 WaterC'' Data'!$U$4:$Y$4,0)))),"")</f>
        <v/>
      </c>
      <c r="Z89" s="159"/>
      <c r="AA89" s="159"/>
      <c r="AB89" s="370" t="str">
        <f t="shared" si="11"/>
        <v/>
      </c>
      <c r="AC89" s="383" t="str">
        <f t="shared" si="12"/>
        <v/>
      </c>
      <c r="AD89" s="422" t="str">
        <f>IFERROR(IF(AC89="Check Data ⚠","Check Data ⚠",VLOOKUP(AC89,'G-4 Temporal multipliers'!$A$4:$C$37,3,FALSE)),"")</f>
        <v/>
      </c>
      <c r="AE89" s="362" t="str">
        <f>IF(N89="","",VLOOKUP(N89,'G-7 WaterC'' Data'!$B$4:$G$8,5,FALSE))</f>
        <v/>
      </c>
      <c r="AF89" s="370" t="str">
        <f t="shared" si="13"/>
        <v/>
      </c>
      <c r="AG89" s="401" t="str">
        <f t="shared" si="14"/>
        <v/>
      </c>
      <c r="AH89" s="363" t="str">
        <f t="shared" si="9"/>
        <v/>
      </c>
      <c r="AI89" s="122"/>
      <c r="AJ89" s="363" t="str">
        <f>IF(AI89="","",IF(VLOOKUP(AI89,'G-7 WaterC'' Data'!$AA$4:$AB$7,2,FALSE)=0,"Spatial Data Missing ⚠",VLOOKUP(AI89,'G-7 WaterC'' Data'!$AA$4:$AB$7,2,FALSE)))</f>
        <v/>
      </c>
      <c r="AK89" s="123"/>
      <c r="AL89" s="363" t="str">
        <f>IF(AK89="","",IF(VLOOKUP(AK89,'G-7 WaterC'' Data'!$AD$4:$AE$14,2,FALSE)=0,"Spatial Data Missing ⚠",VLOOKUP(AK89,'G-7 WaterC'' Data'!$AD$4:$AE$14,2,FALSE)))</f>
        <v/>
      </c>
      <c r="AM89" s="405" t="str">
        <f t="shared" si="15"/>
        <v/>
      </c>
      <c r="AN89" s="117"/>
      <c r="AO89" s="118"/>
      <c r="AP89" s="120"/>
      <c r="AV89" s="30" t="str">
        <f>IFERROR(INDEX('G-7 WaterC'' Data'!$AZ$3:$AZ$7,MATCH(N89,'G-7 WaterC'' Data'!$AY$3:$AY$7,0)),"")</f>
        <v/>
      </c>
    </row>
    <row r="90" spans="2:48" ht="15">
      <c r="B90" s="392" t="str">
        <f>'C-1 On-Site WaterC'' Baseline'!AO88</f>
        <v/>
      </c>
      <c r="C90" s="382" t="str">
        <f>IF(B90="","",VLOOKUP($B90,'C-1 On-Site WaterC'' Baseline'!$C$9:$R$257,2,FALSE))</f>
        <v/>
      </c>
      <c r="D90" s="382" t="str">
        <f>IF(C90="","",VLOOKUP($B90,'C-1 On-Site WaterC'' Baseline'!$C$9:$R$257,3,FALSE))</f>
        <v/>
      </c>
      <c r="E90" s="382" t="str">
        <f>IF(D90="","",VLOOKUP($B90,'C-1 On-Site WaterC'' Baseline'!$C$9:$R$257,4,FALSE))</f>
        <v/>
      </c>
      <c r="F90" s="382" t="str">
        <f>IF(E90="","",VLOOKUP($B90,'C-1 On-Site WaterC'' Baseline'!$C$9:$R$257,5,FALSE))</f>
        <v/>
      </c>
      <c r="G90" s="382" t="str">
        <f>IF(F90="","",VLOOKUP($B90,'C-1 On-Site WaterC'' Baseline'!$C$9:$R$257,6,FALSE))</f>
        <v/>
      </c>
      <c r="H90" s="382" t="str">
        <f>IF(G90="","",VLOOKUP($B90,'C-1 On-Site WaterC'' Baseline'!$C$9:$R$257,7,FALSE))</f>
        <v/>
      </c>
      <c r="I90" s="382" t="str">
        <f>IF(H90="","",VLOOKUP($B90,'C-1 On-Site WaterC'' Baseline'!$C$9:$R$257,8,FALSE))</f>
        <v/>
      </c>
      <c r="J90" s="382" t="str">
        <f>IF(I90="","",VLOOKUP($B90,'C-1 On-Site WaterC'' Baseline'!$C$9:$R$257,9,FALSE))</f>
        <v/>
      </c>
      <c r="K90" s="382" t="str">
        <f>IF(J90="","",VLOOKUP($B90,'C-1 On-Site WaterC'' Baseline'!$C$9:$R$257,10,FALSE))</f>
        <v/>
      </c>
      <c r="L90" s="382" t="str">
        <f>IF(B90="","",VLOOKUP($B90,'C-1 On-Site WaterC'' Baseline'!$C$9:$R$257,15,FALSE))</f>
        <v/>
      </c>
      <c r="M90" s="386" t="str">
        <f>IF(L90="","",VLOOKUP($B90,'C-1 On-Site WaterC'' Baseline'!$C$9:$R$257,16,FALSE))</f>
        <v/>
      </c>
      <c r="N90" s="320" t="str">
        <f t="shared" si="8"/>
        <v/>
      </c>
      <c r="O90" s="362" t="str">
        <f t="shared" si="10"/>
        <v/>
      </c>
      <c r="P90" s="363" t="str">
        <f>IF(C90="","",IF(AND(LEFT(C90,55)&lt;&gt;LEFT(N90,55),O90="High - High"),"Error - Not like for like ▲",IF(H90&gt;U90,"Error - Can not reduce condition ▲",IF(AND(F90=S90,H90=U90,AJ90='C-1 On-Site WaterC'' Baseline'!N88,'C-1 On-Site WaterC'' Baseline'!P88=AL90),"Error - No enhancement ▲",IF(AND(C90&lt;&gt;N90,F90&lt;S90),"Lower Distinctiveness Habitat"&amp;" - "&amp;T90,G90&amp;" - "&amp;T90)))))</f>
        <v/>
      </c>
      <c r="Q90" s="425" t="str">
        <f>IF(N90="","",VLOOKUP(B90,'C-1 On-Site WaterC'' Baseline'!$C$10:$AB$257,19,FALSE))</f>
        <v/>
      </c>
      <c r="R90" s="362" t="str">
        <f>IF(N90="","",VLOOKUP(N90,'G-7 WaterC'' Data'!$B$2:$G$8,2,FALSE))</f>
        <v/>
      </c>
      <c r="S90" s="363" t="str">
        <f>IFERROR(VLOOKUP(R90,'G-7 WaterC'' Data'!$C$4:$D$8,2,FALSE),"")</f>
        <v/>
      </c>
      <c r="T90" s="114"/>
      <c r="U90" s="363" t="str">
        <f>IFERROR(INDEX('G-7 WaterC'' Data'!$H$4:$L$8,MATCH(N90,'G-7 WaterC'' Data'!$B$4:$B$8,0),MATCH(T90,'G-7 WaterC'' Data'!$H$3:$L$3,0)),"")</f>
        <v/>
      </c>
      <c r="V90" s="114"/>
      <c r="W90" s="370" t="str">
        <f>IF(V90="","",IF(VLOOKUP(V90,'G-7 WaterC'' Data'!$AK$4:$AM$6,2,FALSE)=0,"Spatial Data Missing ⚠",VLOOKUP(V90,'G-7 WaterC'' Data'!$AK$4:$AM$6,2,FALSE)))</f>
        <v/>
      </c>
      <c r="X90" s="363" t="str">
        <f>IF(V90="","",IF(VLOOKUP(V90,'G-7 WaterC'' Data'!$AK$4:$AM$6,3,FALSE)=0,"Spatial Data Missing ⚠",VLOOKUP(V90,'G-7 WaterC'' Data'!$AK$4:$AM$6,3,FALSE)))</f>
        <v/>
      </c>
      <c r="Y90" s="362" t="str">
        <f>IFERROR(IF(OR(LEFT(P90,5)="Error",LEFT(O90,5)="Error ▲"),"Check Data ⚠",IF(F90&lt;S90,'G-7 WaterC'' Data'!$R$3,INDEX('G-7 WaterC'' Data'!$U$5:$Y$9,MATCH(G90,'G-7 WaterC'' Data'!$T$5:$T$9,0),MATCH(T90,'G-7 WaterC'' Data'!$U$4:$Y$4,0)))),"")</f>
        <v/>
      </c>
      <c r="Z90" s="159"/>
      <c r="AA90" s="159"/>
      <c r="AB90" s="370" t="str">
        <f t="shared" si="11"/>
        <v/>
      </c>
      <c r="AC90" s="383" t="str">
        <f t="shared" si="12"/>
        <v/>
      </c>
      <c r="AD90" s="422" t="str">
        <f>IFERROR(IF(AC90="Check Data ⚠","Check Data ⚠",VLOOKUP(AC90,'G-4 Temporal multipliers'!$A$4:$C$37,3,FALSE)),"")</f>
        <v/>
      </c>
      <c r="AE90" s="362" t="str">
        <f>IF(N90="","",VLOOKUP(N90,'G-7 WaterC'' Data'!$B$4:$G$8,5,FALSE))</f>
        <v/>
      </c>
      <c r="AF90" s="370" t="str">
        <f t="shared" si="13"/>
        <v/>
      </c>
      <c r="AG90" s="401" t="str">
        <f t="shared" si="14"/>
        <v/>
      </c>
      <c r="AH90" s="363" t="str">
        <f t="shared" si="9"/>
        <v/>
      </c>
      <c r="AI90" s="122"/>
      <c r="AJ90" s="363" t="str">
        <f>IF(AI90="","",IF(VLOOKUP(AI90,'G-7 WaterC'' Data'!$AA$4:$AB$7,2,FALSE)=0,"Spatial Data Missing ⚠",VLOOKUP(AI90,'G-7 WaterC'' Data'!$AA$4:$AB$7,2,FALSE)))</f>
        <v/>
      </c>
      <c r="AK90" s="123"/>
      <c r="AL90" s="363" t="str">
        <f>IF(AK90="","",IF(VLOOKUP(AK90,'G-7 WaterC'' Data'!$AD$4:$AE$14,2,FALSE)=0,"Spatial Data Missing ⚠",VLOOKUP(AK90,'G-7 WaterC'' Data'!$AD$4:$AE$14,2,FALSE)))</f>
        <v/>
      </c>
      <c r="AM90" s="405" t="str">
        <f t="shared" si="15"/>
        <v/>
      </c>
      <c r="AN90" s="117"/>
      <c r="AO90" s="118"/>
      <c r="AP90" s="120"/>
      <c r="AV90" s="30" t="str">
        <f>IFERROR(INDEX('G-7 WaterC'' Data'!$AZ$3:$AZ$7,MATCH(N90,'G-7 WaterC'' Data'!$AY$3:$AY$7,0)),"")</f>
        <v/>
      </c>
    </row>
    <row r="91" spans="2:48" ht="15">
      <c r="B91" s="392" t="str">
        <f>'C-1 On-Site WaterC'' Baseline'!AO89</f>
        <v/>
      </c>
      <c r="C91" s="382" t="str">
        <f>IF(B91="","",VLOOKUP($B91,'C-1 On-Site WaterC'' Baseline'!$C$9:$R$257,2,FALSE))</f>
        <v/>
      </c>
      <c r="D91" s="382" t="str">
        <f>IF(C91="","",VLOOKUP($B91,'C-1 On-Site WaterC'' Baseline'!$C$9:$R$257,3,FALSE))</f>
        <v/>
      </c>
      <c r="E91" s="382" t="str">
        <f>IF(D91="","",VLOOKUP($B91,'C-1 On-Site WaterC'' Baseline'!$C$9:$R$257,4,FALSE))</f>
        <v/>
      </c>
      <c r="F91" s="382" t="str">
        <f>IF(E91="","",VLOOKUP($B91,'C-1 On-Site WaterC'' Baseline'!$C$9:$R$257,5,FALSE))</f>
        <v/>
      </c>
      <c r="G91" s="382" t="str">
        <f>IF(F91="","",VLOOKUP($B91,'C-1 On-Site WaterC'' Baseline'!$C$9:$R$257,6,FALSE))</f>
        <v/>
      </c>
      <c r="H91" s="382" t="str">
        <f>IF(G91="","",VLOOKUP($B91,'C-1 On-Site WaterC'' Baseline'!$C$9:$R$257,7,FALSE))</f>
        <v/>
      </c>
      <c r="I91" s="382" t="str">
        <f>IF(H91="","",VLOOKUP($B91,'C-1 On-Site WaterC'' Baseline'!$C$9:$R$257,8,FALSE))</f>
        <v/>
      </c>
      <c r="J91" s="382" t="str">
        <f>IF(I91="","",VLOOKUP($B91,'C-1 On-Site WaterC'' Baseline'!$C$9:$R$257,9,FALSE))</f>
        <v/>
      </c>
      <c r="K91" s="382" t="str">
        <f>IF(J91="","",VLOOKUP($B91,'C-1 On-Site WaterC'' Baseline'!$C$9:$R$257,10,FALSE))</f>
        <v/>
      </c>
      <c r="L91" s="382" t="str">
        <f>IF(B91="","",VLOOKUP($B91,'C-1 On-Site WaterC'' Baseline'!$C$9:$R$257,15,FALSE))</f>
        <v/>
      </c>
      <c r="M91" s="386" t="str">
        <f>IF(L91="","",VLOOKUP($B91,'C-1 On-Site WaterC'' Baseline'!$C$9:$R$257,16,FALSE))</f>
        <v/>
      </c>
      <c r="N91" s="320" t="str">
        <f t="shared" si="8"/>
        <v/>
      </c>
      <c r="O91" s="362" t="str">
        <f t="shared" si="10"/>
        <v/>
      </c>
      <c r="P91" s="363" t="str">
        <f>IF(C91="","",IF(AND(LEFT(C91,55)&lt;&gt;LEFT(N91,55),O91="High - High"),"Error - Not like for like ▲",IF(H91&gt;U91,"Error - Can not reduce condition ▲",IF(AND(F91=S91,H91=U91,AJ91='C-1 On-Site WaterC'' Baseline'!N89,'C-1 On-Site WaterC'' Baseline'!P89=AL91),"Error - No enhancement ▲",IF(AND(C91&lt;&gt;N91,F91&lt;S91),"Lower Distinctiveness Habitat"&amp;" - "&amp;T91,G91&amp;" - "&amp;T91)))))</f>
        <v/>
      </c>
      <c r="Q91" s="425" t="str">
        <f>IF(N91="","",VLOOKUP(B91,'C-1 On-Site WaterC'' Baseline'!$C$10:$AB$257,19,FALSE))</f>
        <v/>
      </c>
      <c r="R91" s="362" t="str">
        <f>IF(N91="","",VLOOKUP(N91,'G-7 WaterC'' Data'!$B$2:$G$8,2,FALSE))</f>
        <v/>
      </c>
      <c r="S91" s="363" t="str">
        <f>IFERROR(VLOOKUP(R91,'G-7 WaterC'' Data'!$C$4:$D$8,2,FALSE),"")</f>
        <v/>
      </c>
      <c r="T91" s="114"/>
      <c r="U91" s="363" t="str">
        <f>IFERROR(INDEX('G-7 WaterC'' Data'!$H$4:$L$8,MATCH(N91,'G-7 WaterC'' Data'!$B$4:$B$8,0),MATCH(T91,'G-7 WaterC'' Data'!$H$3:$L$3,0)),"")</f>
        <v/>
      </c>
      <c r="V91" s="114"/>
      <c r="W91" s="370" t="str">
        <f>IF(V91="","",IF(VLOOKUP(V91,'G-7 WaterC'' Data'!$AK$4:$AM$6,2,FALSE)=0,"Spatial Data Missing ⚠",VLOOKUP(V91,'G-7 WaterC'' Data'!$AK$4:$AM$6,2,FALSE)))</f>
        <v/>
      </c>
      <c r="X91" s="363" t="str">
        <f>IF(V91="","",IF(VLOOKUP(V91,'G-7 WaterC'' Data'!$AK$4:$AM$6,3,FALSE)=0,"Spatial Data Missing ⚠",VLOOKUP(V91,'G-7 WaterC'' Data'!$AK$4:$AM$6,3,FALSE)))</f>
        <v/>
      </c>
      <c r="Y91" s="362" t="str">
        <f>IFERROR(IF(OR(LEFT(P91,5)="Error",LEFT(O91,5)="Error ▲"),"Check Data ⚠",IF(F91&lt;S91,'G-7 WaterC'' Data'!$R$3,INDEX('G-7 WaterC'' Data'!$U$5:$Y$9,MATCH(G91,'G-7 WaterC'' Data'!$T$5:$T$9,0),MATCH(T91,'G-7 WaterC'' Data'!$U$4:$Y$4,0)))),"")</f>
        <v/>
      </c>
      <c r="Z91" s="159"/>
      <c r="AA91" s="159"/>
      <c r="AB91" s="370" t="str">
        <f t="shared" si="11"/>
        <v/>
      </c>
      <c r="AC91" s="383" t="str">
        <f t="shared" si="12"/>
        <v/>
      </c>
      <c r="AD91" s="422" t="str">
        <f>IFERROR(IF(AC91="Check Data ⚠","Check Data ⚠",VLOOKUP(AC91,'G-4 Temporal multipliers'!$A$4:$C$37,3,FALSE)),"")</f>
        <v/>
      </c>
      <c r="AE91" s="362" t="str">
        <f>IF(N91="","",VLOOKUP(N91,'G-7 WaterC'' Data'!$B$4:$G$8,5,FALSE))</f>
        <v/>
      </c>
      <c r="AF91" s="370" t="str">
        <f t="shared" si="13"/>
        <v/>
      </c>
      <c r="AG91" s="401" t="str">
        <f t="shared" si="14"/>
        <v/>
      </c>
      <c r="AH91" s="363" t="str">
        <f t="shared" si="9"/>
        <v/>
      </c>
      <c r="AI91" s="122"/>
      <c r="AJ91" s="363" t="str">
        <f>IF(AI91="","",IF(VLOOKUP(AI91,'G-7 WaterC'' Data'!$AA$4:$AB$7,2,FALSE)=0,"Spatial Data Missing ⚠",VLOOKUP(AI91,'G-7 WaterC'' Data'!$AA$4:$AB$7,2,FALSE)))</f>
        <v/>
      </c>
      <c r="AK91" s="123"/>
      <c r="AL91" s="363" t="str">
        <f>IF(AK91="","",IF(VLOOKUP(AK91,'G-7 WaterC'' Data'!$AD$4:$AE$14,2,FALSE)=0,"Spatial Data Missing ⚠",VLOOKUP(AK91,'G-7 WaterC'' Data'!$AD$4:$AE$14,2,FALSE)))</f>
        <v/>
      </c>
      <c r="AM91" s="405" t="str">
        <f t="shared" si="15"/>
        <v/>
      </c>
      <c r="AN91" s="117"/>
      <c r="AO91" s="118"/>
      <c r="AP91" s="120"/>
      <c r="AV91" s="30" t="str">
        <f>IFERROR(INDEX('G-7 WaterC'' Data'!$AZ$3:$AZ$7,MATCH(N91,'G-7 WaterC'' Data'!$AY$3:$AY$7,0)),"")</f>
        <v/>
      </c>
    </row>
    <row r="92" spans="2:48" ht="15">
      <c r="B92" s="392" t="str">
        <f>'C-1 On-Site WaterC'' Baseline'!AO90</f>
        <v/>
      </c>
      <c r="C92" s="382" t="str">
        <f>IF(B92="","",VLOOKUP($B92,'C-1 On-Site WaterC'' Baseline'!$C$9:$R$257,2,FALSE))</f>
        <v/>
      </c>
      <c r="D92" s="382" t="str">
        <f>IF(C92="","",VLOOKUP($B92,'C-1 On-Site WaterC'' Baseline'!$C$9:$R$257,3,FALSE))</f>
        <v/>
      </c>
      <c r="E92" s="382" t="str">
        <f>IF(D92="","",VLOOKUP($B92,'C-1 On-Site WaterC'' Baseline'!$C$9:$R$257,4,FALSE))</f>
        <v/>
      </c>
      <c r="F92" s="382" t="str">
        <f>IF(E92="","",VLOOKUP($B92,'C-1 On-Site WaterC'' Baseline'!$C$9:$R$257,5,FALSE))</f>
        <v/>
      </c>
      <c r="G92" s="382" t="str">
        <f>IF(F92="","",VLOOKUP($B92,'C-1 On-Site WaterC'' Baseline'!$C$9:$R$257,6,FALSE))</f>
        <v/>
      </c>
      <c r="H92" s="382" t="str">
        <f>IF(G92="","",VLOOKUP($B92,'C-1 On-Site WaterC'' Baseline'!$C$9:$R$257,7,FALSE))</f>
        <v/>
      </c>
      <c r="I92" s="382" t="str">
        <f>IF(H92="","",VLOOKUP($B92,'C-1 On-Site WaterC'' Baseline'!$C$9:$R$257,8,FALSE))</f>
        <v/>
      </c>
      <c r="J92" s="382" t="str">
        <f>IF(I92="","",VLOOKUP($B92,'C-1 On-Site WaterC'' Baseline'!$C$9:$R$257,9,FALSE))</f>
        <v/>
      </c>
      <c r="K92" s="382" t="str">
        <f>IF(J92="","",VLOOKUP($B92,'C-1 On-Site WaterC'' Baseline'!$C$9:$R$257,10,FALSE))</f>
        <v/>
      </c>
      <c r="L92" s="382" t="str">
        <f>IF(B92="","",VLOOKUP($B92,'C-1 On-Site WaterC'' Baseline'!$C$9:$R$257,15,FALSE))</f>
        <v/>
      </c>
      <c r="M92" s="386" t="str">
        <f>IF(L92="","",VLOOKUP($B92,'C-1 On-Site WaterC'' Baseline'!$C$9:$R$257,16,FALSE))</f>
        <v/>
      </c>
      <c r="N92" s="320" t="str">
        <f t="shared" si="8"/>
        <v/>
      </c>
      <c r="O92" s="362" t="str">
        <f t="shared" si="10"/>
        <v/>
      </c>
      <c r="P92" s="363" t="str">
        <f>IF(C92="","",IF(AND(LEFT(C92,55)&lt;&gt;LEFT(N92,55),O92="High - High"),"Error - Not like for like ▲",IF(H92&gt;U92,"Error - Can not reduce condition ▲",IF(AND(F92=S92,H92=U92,AJ92='C-1 On-Site WaterC'' Baseline'!N90,'C-1 On-Site WaterC'' Baseline'!P90=AL92),"Error - No enhancement ▲",IF(AND(C92&lt;&gt;N92,F92&lt;S92),"Lower Distinctiveness Habitat"&amp;" - "&amp;T92,G92&amp;" - "&amp;T92)))))</f>
        <v/>
      </c>
      <c r="Q92" s="425" t="str">
        <f>IF(N92="","",VLOOKUP(B92,'C-1 On-Site WaterC'' Baseline'!$C$10:$AB$257,19,FALSE))</f>
        <v/>
      </c>
      <c r="R92" s="362" t="str">
        <f>IF(N92="","",VLOOKUP(N92,'G-7 WaterC'' Data'!$B$2:$G$8,2,FALSE))</f>
        <v/>
      </c>
      <c r="S92" s="363" t="str">
        <f>IFERROR(VLOOKUP(R92,'G-7 WaterC'' Data'!$C$4:$D$8,2,FALSE),"")</f>
        <v/>
      </c>
      <c r="T92" s="114"/>
      <c r="U92" s="363" t="str">
        <f>IFERROR(INDEX('G-7 WaterC'' Data'!$H$4:$L$8,MATCH(N92,'G-7 WaterC'' Data'!$B$4:$B$8,0),MATCH(T92,'G-7 WaterC'' Data'!$H$3:$L$3,0)),"")</f>
        <v/>
      </c>
      <c r="V92" s="114"/>
      <c r="W92" s="370" t="str">
        <f>IF(V92="","",IF(VLOOKUP(V92,'G-7 WaterC'' Data'!$AK$4:$AM$6,2,FALSE)=0,"Spatial Data Missing ⚠",VLOOKUP(V92,'G-7 WaterC'' Data'!$AK$4:$AM$6,2,FALSE)))</f>
        <v/>
      </c>
      <c r="X92" s="363" t="str">
        <f>IF(V92="","",IF(VLOOKUP(V92,'G-7 WaterC'' Data'!$AK$4:$AM$6,3,FALSE)=0,"Spatial Data Missing ⚠",VLOOKUP(V92,'G-7 WaterC'' Data'!$AK$4:$AM$6,3,FALSE)))</f>
        <v/>
      </c>
      <c r="Y92" s="362" t="str">
        <f>IFERROR(IF(OR(LEFT(P92,5)="Error",LEFT(O92,5)="Error ▲"),"Check Data ⚠",IF(F92&lt;S92,'G-7 WaterC'' Data'!$R$3,INDEX('G-7 WaterC'' Data'!$U$5:$Y$9,MATCH(G92,'G-7 WaterC'' Data'!$T$5:$T$9,0),MATCH(T92,'G-7 WaterC'' Data'!$U$4:$Y$4,0)))),"")</f>
        <v/>
      </c>
      <c r="Z92" s="159"/>
      <c r="AA92" s="159"/>
      <c r="AB92" s="370" t="str">
        <f t="shared" si="11"/>
        <v/>
      </c>
      <c r="AC92" s="383" t="str">
        <f t="shared" si="12"/>
        <v/>
      </c>
      <c r="AD92" s="422" t="str">
        <f>IFERROR(IF(AC92="Check Data ⚠","Check Data ⚠",VLOOKUP(AC92,'G-4 Temporal multipliers'!$A$4:$C$37,3,FALSE)),"")</f>
        <v/>
      </c>
      <c r="AE92" s="362" t="str">
        <f>IF(N92="","",VLOOKUP(N92,'G-7 WaterC'' Data'!$B$4:$G$8,5,FALSE))</f>
        <v/>
      </c>
      <c r="AF92" s="370" t="str">
        <f t="shared" si="13"/>
        <v/>
      </c>
      <c r="AG92" s="401" t="str">
        <f t="shared" si="14"/>
        <v/>
      </c>
      <c r="AH92" s="363" t="str">
        <f t="shared" si="9"/>
        <v/>
      </c>
      <c r="AI92" s="122"/>
      <c r="AJ92" s="363" t="str">
        <f>IF(AI92="","",IF(VLOOKUP(AI92,'G-7 WaterC'' Data'!$AA$4:$AB$7,2,FALSE)=0,"Spatial Data Missing ⚠",VLOOKUP(AI92,'G-7 WaterC'' Data'!$AA$4:$AB$7,2,FALSE)))</f>
        <v/>
      </c>
      <c r="AK92" s="123"/>
      <c r="AL92" s="363" t="str">
        <f>IF(AK92="","",IF(VLOOKUP(AK92,'G-7 WaterC'' Data'!$AD$4:$AE$14,2,FALSE)=0,"Spatial Data Missing ⚠",VLOOKUP(AK92,'G-7 WaterC'' Data'!$AD$4:$AE$14,2,FALSE)))</f>
        <v/>
      </c>
      <c r="AM92" s="405" t="str">
        <f t="shared" si="15"/>
        <v/>
      </c>
      <c r="AN92" s="117"/>
      <c r="AO92" s="118"/>
      <c r="AP92" s="120"/>
      <c r="AV92" s="30" t="str">
        <f>IFERROR(INDEX('G-7 WaterC'' Data'!$AZ$3:$AZ$7,MATCH(N92,'G-7 WaterC'' Data'!$AY$3:$AY$7,0)),"")</f>
        <v/>
      </c>
    </row>
    <row r="93" spans="2:48" ht="15">
      <c r="B93" s="392" t="str">
        <f>'C-1 On-Site WaterC'' Baseline'!AO91</f>
        <v/>
      </c>
      <c r="C93" s="382" t="str">
        <f>IF(B93="","",VLOOKUP($B93,'C-1 On-Site WaterC'' Baseline'!$C$9:$R$257,2,FALSE))</f>
        <v/>
      </c>
      <c r="D93" s="382" t="str">
        <f>IF(C93="","",VLOOKUP($B93,'C-1 On-Site WaterC'' Baseline'!$C$9:$R$257,3,FALSE))</f>
        <v/>
      </c>
      <c r="E93" s="382" t="str">
        <f>IF(D93="","",VLOOKUP($B93,'C-1 On-Site WaterC'' Baseline'!$C$9:$R$257,4,FALSE))</f>
        <v/>
      </c>
      <c r="F93" s="382" t="str">
        <f>IF(E93="","",VLOOKUP($B93,'C-1 On-Site WaterC'' Baseline'!$C$9:$R$257,5,FALSE))</f>
        <v/>
      </c>
      <c r="G93" s="382" t="str">
        <f>IF(F93="","",VLOOKUP($B93,'C-1 On-Site WaterC'' Baseline'!$C$9:$R$257,6,FALSE))</f>
        <v/>
      </c>
      <c r="H93" s="382" t="str">
        <f>IF(G93="","",VLOOKUP($B93,'C-1 On-Site WaterC'' Baseline'!$C$9:$R$257,7,FALSE))</f>
        <v/>
      </c>
      <c r="I93" s="382" t="str">
        <f>IF(H93="","",VLOOKUP($B93,'C-1 On-Site WaterC'' Baseline'!$C$9:$R$257,8,FALSE))</f>
        <v/>
      </c>
      <c r="J93" s="382" t="str">
        <f>IF(I93="","",VLOOKUP($B93,'C-1 On-Site WaterC'' Baseline'!$C$9:$R$257,9,FALSE))</f>
        <v/>
      </c>
      <c r="K93" s="382" t="str">
        <f>IF(J93="","",VLOOKUP($B93,'C-1 On-Site WaterC'' Baseline'!$C$9:$R$257,10,FALSE))</f>
        <v/>
      </c>
      <c r="L93" s="382" t="str">
        <f>IF(B93="","",VLOOKUP($B93,'C-1 On-Site WaterC'' Baseline'!$C$9:$R$257,15,FALSE))</f>
        <v/>
      </c>
      <c r="M93" s="386" t="str">
        <f>IF(L93="","",VLOOKUP($B93,'C-1 On-Site WaterC'' Baseline'!$C$9:$R$257,16,FALSE))</f>
        <v/>
      </c>
      <c r="N93" s="320" t="str">
        <f t="shared" si="8"/>
        <v/>
      </c>
      <c r="O93" s="362" t="str">
        <f t="shared" si="10"/>
        <v/>
      </c>
      <c r="P93" s="363" t="str">
        <f>IF(C93="","",IF(AND(LEFT(C93,55)&lt;&gt;LEFT(N93,55),O93="High - High"),"Error - Not like for like ▲",IF(H93&gt;U93,"Error - Can not reduce condition ▲",IF(AND(F93=S93,H93=U93,AJ93='C-1 On-Site WaterC'' Baseline'!N91,'C-1 On-Site WaterC'' Baseline'!P91=AL93),"Error - No enhancement ▲",IF(AND(C93&lt;&gt;N93,F93&lt;S93),"Lower Distinctiveness Habitat"&amp;" - "&amp;T93,G93&amp;" - "&amp;T93)))))</f>
        <v/>
      </c>
      <c r="Q93" s="425" t="str">
        <f>IF(N93="","",VLOOKUP(B93,'C-1 On-Site WaterC'' Baseline'!$C$10:$AB$257,19,FALSE))</f>
        <v/>
      </c>
      <c r="R93" s="362" t="str">
        <f>IF(N93="","",VLOOKUP(N93,'G-7 WaterC'' Data'!$B$2:$G$8,2,FALSE))</f>
        <v/>
      </c>
      <c r="S93" s="363" t="str">
        <f>IFERROR(VLOOKUP(R93,'G-7 WaterC'' Data'!$C$4:$D$8,2,FALSE),"")</f>
        <v/>
      </c>
      <c r="T93" s="114"/>
      <c r="U93" s="363" t="str">
        <f>IFERROR(INDEX('G-7 WaterC'' Data'!$H$4:$L$8,MATCH(N93,'G-7 WaterC'' Data'!$B$4:$B$8,0),MATCH(T93,'G-7 WaterC'' Data'!$H$3:$L$3,0)),"")</f>
        <v/>
      </c>
      <c r="V93" s="114"/>
      <c r="W93" s="370" t="str">
        <f>IF(V93="","",IF(VLOOKUP(V93,'G-7 WaterC'' Data'!$AK$4:$AM$6,2,FALSE)=0,"Spatial Data Missing ⚠",VLOOKUP(V93,'G-7 WaterC'' Data'!$AK$4:$AM$6,2,FALSE)))</f>
        <v/>
      </c>
      <c r="X93" s="363" t="str">
        <f>IF(V93="","",IF(VLOOKUP(V93,'G-7 WaterC'' Data'!$AK$4:$AM$6,3,FALSE)=0,"Spatial Data Missing ⚠",VLOOKUP(V93,'G-7 WaterC'' Data'!$AK$4:$AM$6,3,FALSE)))</f>
        <v/>
      </c>
      <c r="Y93" s="362" t="str">
        <f>IFERROR(IF(OR(LEFT(P93,5)="Error",LEFT(O93,5)="Error ▲"),"Check Data ⚠",IF(F93&lt;S93,'G-7 WaterC'' Data'!$R$3,INDEX('G-7 WaterC'' Data'!$U$5:$Y$9,MATCH(G93,'G-7 WaterC'' Data'!$T$5:$T$9,0),MATCH(T93,'G-7 WaterC'' Data'!$U$4:$Y$4,0)))),"")</f>
        <v/>
      </c>
      <c r="Z93" s="159"/>
      <c r="AA93" s="159"/>
      <c r="AB93" s="370" t="str">
        <f t="shared" si="11"/>
        <v/>
      </c>
      <c r="AC93" s="383" t="str">
        <f t="shared" si="12"/>
        <v/>
      </c>
      <c r="AD93" s="422" t="str">
        <f>IFERROR(IF(AC93="Check Data ⚠","Check Data ⚠",VLOOKUP(AC93,'G-4 Temporal multipliers'!$A$4:$C$37,3,FALSE)),"")</f>
        <v/>
      </c>
      <c r="AE93" s="362" t="str">
        <f>IF(N93="","",VLOOKUP(N93,'G-7 WaterC'' Data'!$B$4:$G$8,5,FALSE))</f>
        <v/>
      </c>
      <c r="AF93" s="370" t="str">
        <f t="shared" si="13"/>
        <v/>
      </c>
      <c r="AG93" s="401" t="str">
        <f t="shared" si="14"/>
        <v/>
      </c>
      <c r="AH93" s="363" t="str">
        <f t="shared" si="9"/>
        <v/>
      </c>
      <c r="AI93" s="122"/>
      <c r="AJ93" s="363" t="str">
        <f>IF(AI93="","",IF(VLOOKUP(AI93,'G-7 WaterC'' Data'!$AA$4:$AB$7,2,FALSE)=0,"Spatial Data Missing ⚠",VLOOKUP(AI93,'G-7 WaterC'' Data'!$AA$4:$AB$7,2,FALSE)))</f>
        <v/>
      </c>
      <c r="AK93" s="123"/>
      <c r="AL93" s="363" t="str">
        <f>IF(AK93="","",IF(VLOOKUP(AK93,'G-7 WaterC'' Data'!$AD$4:$AE$14,2,FALSE)=0,"Spatial Data Missing ⚠",VLOOKUP(AK93,'G-7 WaterC'' Data'!$AD$4:$AE$14,2,FALSE)))</f>
        <v/>
      </c>
      <c r="AM93" s="405" t="str">
        <f t="shared" si="15"/>
        <v/>
      </c>
      <c r="AN93" s="117"/>
      <c r="AO93" s="118"/>
      <c r="AP93" s="120"/>
      <c r="AV93" s="30" t="str">
        <f>IFERROR(INDEX('G-7 WaterC'' Data'!$AZ$3:$AZ$7,MATCH(N93,'G-7 WaterC'' Data'!$AY$3:$AY$7,0)),"")</f>
        <v/>
      </c>
    </row>
    <row r="94" spans="2:48" ht="15">
      <c r="B94" s="392" t="str">
        <f>'C-1 On-Site WaterC'' Baseline'!AO92</f>
        <v/>
      </c>
      <c r="C94" s="382" t="str">
        <f>IF(B94="","",VLOOKUP($B94,'C-1 On-Site WaterC'' Baseline'!$C$9:$R$257,2,FALSE))</f>
        <v/>
      </c>
      <c r="D94" s="382" t="str">
        <f>IF(C94="","",VLOOKUP($B94,'C-1 On-Site WaterC'' Baseline'!$C$9:$R$257,3,FALSE))</f>
        <v/>
      </c>
      <c r="E94" s="382" t="str">
        <f>IF(D94="","",VLOOKUP($B94,'C-1 On-Site WaterC'' Baseline'!$C$9:$R$257,4,FALSE))</f>
        <v/>
      </c>
      <c r="F94" s="382" t="str">
        <f>IF(E94="","",VLOOKUP($B94,'C-1 On-Site WaterC'' Baseline'!$C$9:$R$257,5,FALSE))</f>
        <v/>
      </c>
      <c r="G94" s="382" t="str">
        <f>IF(F94="","",VLOOKUP($B94,'C-1 On-Site WaterC'' Baseline'!$C$9:$R$257,6,FALSE))</f>
        <v/>
      </c>
      <c r="H94" s="382" t="str">
        <f>IF(G94="","",VLOOKUP($B94,'C-1 On-Site WaterC'' Baseline'!$C$9:$R$257,7,FALSE))</f>
        <v/>
      </c>
      <c r="I94" s="382" t="str">
        <f>IF(H94="","",VLOOKUP($B94,'C-1 On-Site WaterC'' Baseline'!$C$9:$R$257,8,FALSE))</f>
        <v/>
      </c>
      <c r="J94" s="382" t="str">
        <f>IF(I94="","",VLOOKUP($B94,'C-1 On-Site WaterC'' Baseline'!$C$9:$R$257,9,FALSE))</f>
        <v/>
      </c>
      <c r="K94" s="382" t="str">
        <f>IF(J94="","",VLOOKUP($B94,'C-1 On-Site WaterC'' Baseline'!$C$9:$R$257,10,FALSE))</f>
        <v/>
      </c>
      <c r="L94" s="382" t="str">
        <f>IF(B94="","",VLOOKUP($B94,'C-1 On-Site WaterC'' Baseline'!$C$9:$R$257,15,FALSE))</f>
        <v/>
      </c>
      <c r="M94" s="386" t="str">
        <f>IF(L94="","",VLOOKUP($B94,'C-1 On-Site WaterC'' Baseline'!$C$9:$R$257,16,FALSE))</f>
        <v/>
      </c>
      <c r="N94" s="320" t="str">
        <f t="shared" si="8"/>
        <v/>
      </c>
      <c r="O94" s="362" t="str">
        <f t="shared" si="10"/>
        <v/>
      </c>
      <c r="P94" s="363" t="str">
        <f>IF(C94="","",IF(AND(LEFT(C94,55)&lt;&gt;LEFT(N94,55),O94="High - High"),"Error - Not like for like ▲",IF(H94&gt;U94,"Error - Can not reduce condition ▲",IF(AND(F94=S94,H94=U94,AJ94='C-1 On-Site WaterC'' Baseline'!N92,'C-1 On-Site WaterC'' Baseline'!P92=AL94),"Error - No enhancement ▲",IF(AND(C94&lt;&gt;N94,F94&lt;S94),"Lower Distinctiveness Habitat"&amp;" - "&amp;T94,G94&amp;" - "&amp;T94)))))</f>
        <v/>
      </c>
      <c r="Q94" s="425" t="str">
        <f>IF(N94="","",VLOOKUP(B94,'C-1 On-Site WaterC'' Baseline'!$C$10:$AB$257,19,FALSE))</f>
        <v/>
      </c>
      <c r="R94" s="362" t="str">
        <f>IF(N94="","",VLOOKUP(N94,'G-7 WaterC'' Data'!$B$2:$G$8,2,FALSE))</f>
        <v/>
      </c>
      <c r="S94" s="363" t="str">
        <f>IFERROR(VLOOKUP(R94,'G-7 WaterC'' Data'!$C$4:$D$8,2,FALSE),"")</f>
        <v/>
      </c>
      <c r="T94" s="114"/>
      <c r="U94" s="363" t="str">
        <f>IFERROR(INDEX('G-7 WaterC'' Data'!$H$4:$L$8,MATCH(N94,'G-7 WaterC'' Data'!$B$4:$B$8,0),MATCH(T94,'G-7 WaterC'' Data'!$H$3:$L$3,0)),"")</f>
        <v/>
      </c>
      <c r="V94" s="114"/>
      <c r="W94" s="370" t="str">
        <f>IF(V94="","",IF(VLOOKUP(V94,'G-7 WaterC'' Data'!$AK$4:$AM$6,2,FALSE)=0,"Spatial Data Missing ⚠",VLOOKUP(V94,'G-7 WaterC'' Data'!$AK$4:$AM$6,2,FALSE)))</f>
        <v/>
      </c>
      <c r="X94" s="363" t="str">
        <f>IF(V94="","",IF(VLOOKUP(V94,'G-7 WaterC'' Data'!$AK$4:$AM$6,3,FALSE)=0,"Spatial Data Missing ⚠",VLOOKUP(V94,'G-7 WaterC'' Data'!$AK$4:$AM$6,3,FALSE)))</f>
        <v/>
      </c>
      <c r="Y94" s="362" t="str">
        <f>IFERROR(IF(OR(LEFT(P94,5)="Error",LEFT(O94,5)="Error ▲"),"Check Data ⚠",IF(F94&lt;S94,'G-7 WaterC'' Data'!$R$3,INDEX('G-7 WaterC'' Data'!$U$5:$Y$9,MATCH(G94,'G-7 WaterC'' Data'!$T$5:$T$9,0),MATCH(T94,'G-7 WaterC'' Data'!$U$4:$Y$4,0)))),"")</f>
        <v/>
      </c>
      <c r="Z94" s="159"/>
      <c r="AA94" s="159"/>
      <c r="AB94" s="370" t="str">
        <f t="shared" si="11"/>
        <v/>
      </c>
      <c r="AC94" s="383" t="str">
        <f t="shared" si="12"/>
        <v/>
      </c>
      <c r="AD94" s="422" t="str">
        <f>IFERROR(IF(AC94="Check Data ⚠","Check Data ⚠",VLOOKUP(AC94,'G-4 Temporal multipliers'!$A$4:$C$37,3,FALSE)),"")</f>
        <v/>
      </c>
      <c r="AE94" s="362" t="str">
        <f>IF(N94="","",VLOOKUP(N94,'G-7 WaterC'' Data'!$B$4:$G$8,5,FALSE))</f>
        <v/>
      </c>
      <c r="AF94" s="370" t="str">
        <f t="shared" si="13"/>
        <v/>
      </c>
      <c r="AG94" s="401" t="str">
        <f t="shared" si="14"/>
        <v/>
      </c>
      <c r="AH94" s="363" t="str">
        <f t="shared" si="9"/>
        <v/>
      </c>
      <c r="AI94" s="122"/>
      <c r="AJ94" s="363" t="str">
        <f>IF(AI94="","",IF(VLOOKUP(AI94,'G-7 WaterC'' Data'!$AA$4:$AB$7,2,FALSE)=0,"Spatial Data Missing ⚠",VLOOKUP(AI94,'G-7 WaterC'' Data'!$AA$4:$AB$7,2,FALSE)))</f>
        <v/>
      </c>
      <c r="AK94" s="123"/>
      <c r="AL94" s="363" t="str">
        <f>IF(AK94="","",IF(VLOOKUP(AK94,'G-7 WaterC'' Data'!$AD$4:$AE$14,2,FALSE)=0,"Spatial Data Missing ⚠",VLOOKUP(AK94,'G-7 WaterC'' Data'!$AD$4:$AE$14,2,FALSE)))</f>
        <v/>
      </c>
      <c r="AM94" s="405" t="str">
        <f t="shared" si="15"/>
        <v/>
      </c>
      <c r="AN94" s="117"/>
      <c r="AO94" s="118"/>
      <c r="AP94" s="120"/>
      <c r="AV94" s="30" t="str">
        <f>IFERROR(INDEX('G-7 WaterC'' Data'!$AZ$3:$AZ$7,MATCH(N94,'G-7 WaterC'' Data'!$AY$3:$AY$7,0)),"")</f>
        <v/>
      </c>
    </row>
    <row r="95" spans="2:48" ht="15">
      <c r="B95" s="392" t="str">
        <f>'C-1 On-Site WaterC'' Baseline'!AO93</f>
        <v/>
      </c>
      <c r="C95" s="382" t="str">
        <f>IF(B95="","",VLOOKUP($B95,'C-1 On-Site WaterC'' Baseline'!$C$9:$R$257,2,FALSE))</f>
        <v/>
      </c>
      <c r="D95" s="382" t="str">
        <f>IF(C95="","",VLOOKUP($B95,'C-1 On-Site WaterC'' Baseline'!$C$9:$R$257,3,FALSE))</f>
        <v/>
      </c>
      <c r="E95" s="382" t="str">
        <f>IF(D95="","",VLOOKUP($B95,'C-1 On-Site WaterC'' Baseline'!$C$9:$R$257,4,FALSE))</f>
        <v/>
      </c>
      <c r="F95" s="382" t="str">
        <f>IF(E95="","",VLOOKUP($B95,'C-1 On-Site WaterC'' Baseline'!$C$9:$R$257,5,FALSE))</f>
        <v/>
      </c>
      <c r="G95" s="382" t="str">
        <f>IF(F95="","",VLOOKUP($B95,'C-1 On-Site WaterC'' Baseline'!$C$9:$R$257,6,FALSE))</f>
        <v/>
      </c>
      <c r="H95" s="382" t="str">
        <f>IF(G95="","",VLOOKUP($B95,'C-1 On-Site WaterC'' Baseline'!$C$9:$R$257,7,FALSE))</f>
        <v/>
      </c>
      <c r="I95" s="382" t="str">
        <f>IF(H95="","",VLOOKUP($B95,'C-1 On-Site WaterC'' Baseline'!$C$9:$R$257,8,FALSE))</f>
        <v/>
      </c>
      <c r="J95" s="382" t="str">
        <f>IF(I95="","",VLOOKUP($B95,'C-1 On-Site WaterC'' Baseline'!$C$9:$R$257,9,FALSE))</f>
        <v/>
      </c>
      <c r="K95" s="382" t="str">
        <f>IF(J95="","",VLOOKUP($B95,'C-1 On-Site WaterC'' Baseline'!$C$9:$R$257,10,FALSE))</f>
        <v/>
      </c>
      <c r="L95" s="382" t="str">
        <f>IF(B95="","",VLOOKUP($B95,'C-1 On-Site WaterC'' Baseline'!$C$9:$R$257,15,FALSE))</f>
        <v/>
      </c>
      <c r="M95" s="386" t="str">
        <f>IF(L95="","",VLOOKUP($B95,'C-1 On-Site WaterC'' Baseline'!$C$9:$R$257,16,FALSE))</f>
        <v/>
      </c>
      <c r="N95" s="320" t="str">
        <f t="shared" si="8"/>
        <v/>
      </c>
      <c r="O95" s="362" t="str">
        <f t="shared" si="10"/>
        <v/>
      </c>
      <c r="P95" s="363" t="str">
        <f>IF(C95="","",IF(AND(LEFT(C95,55)&lt;&gt;LEFT(N95,55),O95="High - High"),"Error - Not like for like ▲",IF(H95&gt;U95,"Error - Can not reduce condition ▲",IF(AND(F95=S95,H95=U95,AJ95='C-1 On-Site WaterC'' Baseline'!N93,'C-1 On-Site WaterC'' Baseline'!P93=AL95),"Error - No enhancement ▲",IF(AND(C95&lt;&gt;N95,F95&lt;S95),"Lower Distinctiveness Habitat"&amp;" - "&amp;T95,G95&amp;" - "&amp;T95)))))</f>
        <v/>
      </c>
      <c r="Q95" s="425" t="str">
        <f>IF(N95="","",VLOOKUP(B95,'C-1 On-Site WaterC'' Baseline'!$C$10:$AB$257,19,FALSE))</f>
        <v/>
      </c>
      <c r="R95" s="362" t="str">
        <f>IF(N95="","",VLOOKUP(N95,'G-7 WaterC'' Data'!$B$2:$G$8,2,FALSE))</f>
        <v/>
      </c>
      <c r="S95" s="363" t="str">
        <f>IFERROR(VLOOKUP(R95,'G-7 WaterC'' Data'!$C$4:$D$8,2,FALSE),"")</f>
        <v/>
      </c>
      <c r="T95" s="114"/>
      <c r="U95" s="363" t="str">
        <f>IFERROR(INDEX('G-7 WaterC'' Data'!$H$4:$L$8,MATCH(N95,'G-7 WaterC'' Data'!$B$4:$B$8,0),MATCH(T95,'G-7 WaterC'' Data'!$H$3:$L$3,0)),"")</f>
        <v/>
      </c>
      <c r="V95" s="114"/>
      <c r="W95" s="370" t="str">
        <f>IF(V95="","",IF(VLOOKUP(V95,'G-7 WaterC'' Data'!$AK$4:$AM$6,2,FALSE)=0,"Spatial Data Missing ⚠",VLOOKUP(V95,'G-7 WaterC'' Data'!$AK$4:$AM$6,2,FALSE)))</f>
        <v/>
      </c>
      <c r="X95" s="363" t="str">
        <f>IF(V95="","",IF(VLOOKUP(V95,'G-7 WaterC'' Data'!$AK$4:$AM$6,3,FALSE)=0,"Spatial Data Missing ⚠",VLOOKUP(V95,'G-7 WaterC'' Data'!$AK$4:$AM$6,3,FALSE)))</f>
        <v/>
      </c>
      <c r="Y95" s="362" t="str">
        <f>IFERROR(IF(OR(LEFT(P95,5)="Error",LEFT(O95,5)="Error ▲"),"Check Data ⚠",IF(F95&lt;S95,'G-7 WaterC'' Data'!$R$3,INDEX('G-7 WaterC'' Data'!$U$5:$Y$9,MATCH(G95,'G-7 WaterC'' Data'!$T$5:$T$9,0),MATCH(T95,'G-7 WaterC'' Data'!$U$4:$Y$4,0)))),"")</f>
        <v/>
      </c>
      <c r="Z95" s="159"/>
      <c r="AA95" s="159"/>
      <c r="AB95" s="370" t="str">
        <f t="shared" si="11"/>
        <v/>
      </c>
      <c r="AC95" s="383" t="str">
        <f t="shared" si="12"/>
        <v/>
      </c>
      <c r="AD95" s="422" t="str">
        <f>IFERROR(IF(AC95="Check Data ⚠","Check Data ⚠",VLOOKUP(AC95,'G-4 Temporal multipliers'!$A$4:$C$37,3,FALSE)),"")</f>
        <v/>
      </c>
      <c r="AE95" s="362" t="str">
        <f>IF(N95="","",VLOOKUP(N95,'G-7 WaterC'' Data'!$B$4:$G$8,5,FALSE))</f>
        <v/>
      </c>
      <c r="AF95" s="370" t="str">
        <f t="shared" si="13"/>
        <v/>
      </c>
      <c r="AG95" s="401" t="str">
        <f t="shared" si="14"/>
        <v/>
      </c>
      <c r="AH95" s="363" t="str">
        <f t="shared" si="9"/>
        <v/>
      </c>
      <c r="AI95" s="122"/>
      <c r="AJ95" s="363" t="str">
        <f>IF(AI95="","",IF(VLOOKUP(AI95,'G-7 WaterC'' Data'!$AA$4:$AB$7,2,FALSE)=0,"Spatial Data Missing ⚠",VLOOKUP(AI95,'G-7 WaterC'' Data'!$AA$4:$AB$7,2,FALSE)))</f>
        <v/>
      </c>
      <c r="AK95" s="123"/>
      <c r="AL95" s="363" t="str">
        <f>IF(AK95="","",IF(VLOOKUP(AK95,'G-7 WaterC'' Data'!$AD$4:$AE$14,2,FALSE)=0,"Spatial Data Missing ⚠",VLOOKUP(AK95,'G-7 WaterC'' Data'!$AD$4:$AE$14,2,FALSE)))</f>
        <v/>
      </c>
      <c r="AM95" s="405" t="str">
        <f t="shared" si="15"/>
        <v/>
      </c>
      <c r="AN95" s="117"/>
      <c r="AO95" s="118"/>
      <c r="AP95" s="120"/>
      <c r="AV95" s="30" t="str">
        <f>IFERROR(INDEX('G-7 WaterC'' Data'!$AZ$3:$AZ$7,MATCH(N95,'G-7 WaterC'' Data'!$AY$3:$AY$7,0)),"")</f>
        <v/>
      </c>
    </row>
    <row r="96" spans="2:48" ht="15">
      <c r="B96" s="392" t="str">
        <f>'C-1 On-Site WaterC'' Baseline'!AO94</f>
        <v/>
      </c>
      <c r="C96" s="382" t="str">
        <f>IF(B96="","",VLOOKUP($B96,'C-1 On-Site WaterC'' Baseline'!$C$9:$R$257,2,FALSE))</f>
        <v/>
      </c>
      <c r="D96" s="382" t="str">
        <f>IF(C96="","",VLOOKUP($B96,'C-1 On-Site WaterC'' Baseline'!$C$9:$R$257,3,FALSE))</f>
        <v/>
      </c>
      <c r="E96" s="382" t="str">
        <f>IF(D96="","",VLOOKUP($B96,'C-1 On-Site WaterC'' Baseline'!$C$9:$R$257,4,FALSE))</f>
        <v/>
      </c>
      <c r="F96" s="382" t="str">
        <f>IF(E96="","",VLOOKUP($B96,'C-1 On-Site WaterC'' Baseline'!$C$9:$R$257,5,FALSE))</f>
        <v/>
      </c>
      <c r="G96" s="382" t="str">
        <f>IF(F96="","",VLOOKUP($B96,'C-1 On-Site WaterC'' Baseline'!$C$9:$R$257,6,FALSE))</f>
        <v/>
      </c>
      <c r="H96" s="382" t="str">
        <f>IF(G96="","",VLOOKUP($B96,'C-1 On-Site WaterC'' Baseline'!$C$9:$R$257,7,FALSE))</f>
        <v/>
      </c>
      <c r="I96" s="382" t="str">
        <f>IF(H96="","",VLOOKUP($B96,'C-1 On-Site WaterC'' Baseline'!$C$9:$R$257,8,FALSE))</f>
        <v/>
      </c>
      <c r="J96" s="382" t="str">
        <f>IF(I96="","",VLOOKUP($B96,'C-1 On-Site WaterC'' Baseline'!$C$9:$R$257,9,FALSE))</f>
        <v/>
      </c>
      <c r="K96" s="382" t="str">
        <f>IF(J96="","",VLOOKUP($B96,'C-1 On-Site WaterC'' Baseline'!$C$9:$R$257,10,FALSE))</f>
        <v/>
      </c>
      <c r="L96" s="382" t="str">
        <f>IF(B96="","",VLOOKUP($B96,'C-1 On-Site WaterC'' Baseline'!$C$9:$R$257,15,FALSE))</f>
        <v/>
      </c>
      <c r="M96" s="386" t="str">
        <f>IF(L96="","",VLOOKUP($B96,'C-1 On-Site WaterC'' Baseline'!$C$9:$R$257,16,FALSE))</f>
        <v/>
      </c>
      <c r="N96" s="320" t="str">
        <f t="shared" si="8"/>
        <v/>
      </c>
      <c r="O96" s="362" t="str">
        <f t="shared" si="10"/>
        <v/>
      </c>
      <c r="P96" s="363" t="str">
        <f>IF(C96="","",IF(AND(LEFT(C96,55)&lt;&gt;LEFT(N96,55),O96="High - High"),"Error - Not like for like ▲",IF(H96&gt;U96,"Error - Can not reduce condition ▲",IF(AND(F96=S96,H96=U96,AJ96='C-1 On-Site WaterC'' Baseline'!N94,'C-1 On-Site WaterC'' Baseline'!P94=AL96),"Error - No enhancement ▲",IF(AND(C96&lt;&gt;N96,F96&lt;S96),"Lower Distinctiveness Habitat"&amp;" - "&amp;T96,G96&amp;" - "&amp;T96)))))</f>
        <v/>
      </c>
      <c r="Q96" s="425" t="str">
        <f>IF(N96="","",VLOOKUP(B96,'C-1 On-Site WaterC'' Baseline'!$C$10:$AB$257,19,FALSE))</f>
        <v/>
      </c>
      <c r="R96" s="362" t="str">
        <f>IF(N96="","",VLOOKUP(N96,'G-7 WaterC'' Data'!$B$2:$G$8,2,FALSE))</f>
        <v/>
      </c>
      <c r="S96" s="363" t="str">
        <f>IFERROR(VLOOKUP(R96,'G-7 WaterC'' Data'!$C$4:$D$8,2,FALSE),"")</f>
        <v/>
      </c>
      <c r="T96" s="114"/>
      <c r="U96" s="363" t="str">
        <f>IFERROR(INDEX('G-7 WaterC'' Data'!$H$4:$L$8,MATCH(N96,'G-7 WaterC'' Data'!$B$4:$B$8,0),MATCH(T96,'G-7 WaterC'' Data'!$H$3:$L$3,0)),"")</f>
        <v/>
      </c>
      <c r="V96" s="114"/>
      <c r="W96" s="370" t="str">
        <f>IF(V96="","",IF(VLOOKUP(V96,'G-7 WaterC'' Data'!$AK$4:$AM$6,2,FALSE)=0,"Spatial Data Missing ⚠",VLOOKUP(V96,'G-7 WaterC'' Data'!$AK$4:$AM$6,2,FALSE)))</f>
        <v/>
      </c>
      <c r="X96" s="363" t="str">
        <f>IF(V96="","",IF(VLOOKUP(V96,'G-7 WaterC'' Data'!$AK$4:$AM$6,3,FALSE)=0,"Spatial Data Missing ⚠",VLOOKUP(V96,'G-7 WaterC'' Data'!$AK$4:$AM$6,3,FALSE)))</f>
        <v/>
      </c>
      <c r="Y96" s="362" t="str">
        <f>IFERROR(IF(OR(LEFT(P96,5)="Error",LEFT(O96,5)="Error ▲"),"Check Data ⚠",IF(F96&lt;S96,'G-7 WaterC'' Data'!$R$3,INDEX('G-7 WaterC'' Data'!$U$5:$Y$9,MATCH(G96,'G-7 WaterC'' Data'!$T$5:$T$9,0),MATCH(T96,'G-7 WaterC'' Data'!$U$4:$Y$4,0)))),"")</f>
        <v/>
      </c>
      <c r="Z96" s="159"/>
      <c r="AA96" s="159"/>
      <c r="AB96" s="370" t="str">
        <f t="shared" si="11"/>
        <v/>
      </c>
      <c r="AC96" s="383" t="str">
        <f t="shared" si="12"/>
        <v/>
      </c>
      <c r="AD96" s="422" t="str">
        <f>IFERROR(IF(AC96="Check Data ⚠","Check Data ⚠",VLOOKUP(AC96,'G-4 Temporal multipliers'!$A$4:$C$37,3,FALSE)),"")</f>
        <v/>
      </c>
      <c r="AE96" s="362" t="str">
        <f>IF(N96="","",VLOOKUP(N96,'G-7 WaterC'' Data'!$B$4:$G$8,5,FALSE))</f>
        <v/>
      </c>
      <c r="AF96" s="370" t="str">
        <f t="shared" si="13"/>
        <v/>
      </c>
      <c r="AG96" s="401" t="str">
        <f t="shared" si="14"/>
        <v/>
      </c>
      <c r="AH96" s="363" t="str">
        <f t="shared" si="9"/>
        <v/>
      </c>
      <c r="AI96" s="122"/>
      <c r="AJ96" s="363" t="str">
        <f>IF(AI96="","",IF(VLOOKUP(AI96,'G-7 WaterC'' Data'!$AA$4:$AB$7,2,FALSE)=0,"Spatial Data Missing ⚠",VLOOKUP(AI96,'G-7 WaterC'' Data'!$AA$4:$AB$7,2,FALSE)))</f>
        <v/>
      </c>
      <c r="AK96" s="123"/>
      <c r="AL96" s="363" t="str">
        <f>IF(AK96="","",IF(VLOOKUP(AK96,'G-7 WaterC'' Data'!$AD$4:$AE$14,2,FALSE)=0,"Spatial Data Missing ⚠",VLOOKUP(AK96,'G-7 WaterC'' Data'!$AD$4:$AE$14,2,FALSE)))</f>
        <v/>
      </c>
      <c r="AM96" s="405" t="str">
        <f t="shared" si="15"/>
        <v/>
      </c>
      <c r="AN96" s="117"/>
      <c r="AO96" s="118"/>
      <c r="AP96" s="120"/>
      <c r="AV96" s="30" t="str">
        <f>IFERROR(INDEX('G-7 WaterC'' Data'!$AZ$3:$AZ$7,MATCH(N96,'G-7 WaterC'' Data'!$AY$3:$AY$7,0)),"")</f>
        <v/>
      </c>
    </row>
    <row r="97" spans="2:48" ht="15">
      <c r="B97" s="392" t="str">
        <f>'C-1 On-Site WaterC'' Baseline'!AO95</f>
        <v/>
      </c>
      <c r="C97" s="382" t="str">
        <f>IF(B97="","",VLOOKUP($B97,'C-1 On-Site WaterC'' Baseline'!$C$9:$R$257,2,FALSE))</f>
        <v/>
      </c>
      <c r="D97" s="382" t="str">
        <f>IF(C97="","",VLOOKUP($B97,'C-1 On-Site WaterC'' Baseline'!$C$9:$R$257,3,FALSE))</f>
        <v/>
      </c>
      <c r="E97" s="382" t="str">
        <f>IF(D97="","",VLOOKUP($B97,'C-1 On-Site WaterC'' Baseline'!$C$9:$R$257,4,FALSE))</f>
        <v/>
      </c>
      <c r="F97" s="382" t="str">
        <f>IF(E97="","",VLOOKUP($B97,'C-1 On-Site WaterC'' Baseline'!$C$9:$R$257,5,FALSE))</f>
        <v/>
      </c>
      <c r="G97" s="382" t="str">
        <f>IF(F97="","",VLOOKUP($B97,'C-1 On-Site WaterC'' Baseline'!$C$9:$R$257,6,FALSE))</f>
        <v/>
      </c>
      <c r="H97" s="382" t="str">
        <f>IF(G97="","",VLOOKUP($B97,'C-1 On-Site WaterC'' Baseline'!$C$9:$R$257,7,FALSE))</f>
        <v/>
      </c>
      <c r="I97" s="382" t="str">
        <f>IF(H97="","",VLOOKUP($B97,'C-1 On-Site WaterC'' Baseline'!$C$9:$R$257,8,FALSE))</f>
        <v/>
      </c>
      <c r="J97" s="382" t="str">
        <f>IF(I97="","",VLOOKUP($B97,'C-1 On-Site WaterC'' Baseline'!$C$9:$R$257,9,FALSE))</f>
        <v/>
      </c>
      <c r="K97" s="382" t="str">
        <f>IF(J97="","",VLOOKUP($B97,'C-1 On-Site WaterC'' Baseline'!$C$9:$R$257,10,FALSE))</f>
        <v/>
      </c>
      <c r="L97" s="382" t="str">
        <f>IF(B97="","",VLOOKUP($B97,'C-1 On-Site WaterC'' Baseline'!$C$9:$R$257,15,FALSE))</f>
        <v/>
      </c>
      <c r="M97" s="386" t="str">
        <f>IF(L97="","",VLOOKUP($B97,'C-1 On-Site WaterC'' Baseline'!$C$9:$R$257,16,FALSE))</f>
        <v/>
      </c>
      <c r="N97" s="320" t="str">
        <f t="shared" si="8"/>
        <v/>
      </c>
      <c r="O97" s="362" t="str">
        <f t="shared" si="10"/>
        <v/>
      </c>
      <c r="P97" s="363" t="str">
        <f>IF(C97="","",IF(AND(LEFT(C97,55)&lt;&gt;LEFT(N97,55),O97="High - High"),"Error - Not like for like ▲",IF(H97&gt;U97,"Error - Can not reduce condition ▲",IF(AND(F97=S97,H97=U97,AJ97='C-1 On-Site WaterC'' Baseline'!N95,'C-1 On-Site WaterC'' Baseline'!P95=AL97),"Error - No enhancement ▲",IF(AND(C97&lt;&gt;N97,F97&lt;S97),"Lower Distinctiveness Habitat"&amp;" - "&amp;T97,G97&amp;" - "&amp;T97)))))</f>
        <v/>
      </c>
      <c r="Q97" s="425" t="str">
        <f>IF(N97="","",VLOOKUP(B97,'C-1 On-Site WaterC'' Baseline'!$C$10:$AB$257,19,FALSE))</f>
        <v/>
      </c>
      <c r="R97" s="362" t="str">
        <f>IF(N97="","",VLOOKUP(N97,'G-7 WaterC'' Data'!$B$2:$G$8,2,FALSE))</f>
        <v/>
      </c>
      <c r="S97" s="363" t="str">
        <f>IFERROR(VLOOKUP(R97,'G-7 WaterC'' Data'!$C$4:$D$8,2,FALSE),"")</f>
        <v/>
      </c>
      <c r="T97" s="114"/>
      <c r="U97" s="363" t="str">
        <f>IFERROR(INDEX('G-7 WaterC'' Data'!$H$4:$L$8,MATCH(N97,'G-7 WaterC'' Data'!$B$4:$B$8,0),MATCH(T97,'G-7 WaterC'' Data'!$H$3:$L$3,0)),"")</f>
        <v/>
      </c>
      <c r="V97" s="114"/>
      <c r="W97" s="370" t="str">
        <f>IF(V97="","",IF(VLOOKUP(V97,'G-7 WaterC'' Data'!$AK$4:$AM$6,2,FALSE)=0,"Spatial Data Missing ⚠",VLOOKUP(V97,'G-7 WaterC'' Data'!$AK$4:$AM$6,2,FALSE)))</f>
        <v/>
      </c>
      <c r="X97" s="363" t="str">
        <f>IF(V97="","",IF(VLOOKUP(V97,'G-7 WaterC'' Data'!$AK$4:$AM$6,3,FALSE)=0,"Spatial Data Missing ⚠",VLOOKUP(V97,'G-7 WaterC'' Data'!$AK$4:$AM$6,3,FALSE)))</f>
        <v/>
      </c>
      <c r="Y97" s="362" t="str">
        <f>IFERROR(IF(OR(LEFT(P97,5)="Error",LEFT(O97,5)="Error ▲"),"Check Data ⚠",IF(F97&lt;S97,'G-7 WaterC'' Data'!$R$3,INDEX('G-7 WaterC'' Data'!$U$5:$Y$9,MATCH(G97,'G-7 WaterC'' Data'!$T$5:$T$9,0),MATCH(T97,'G-7 WaterC'' Data'!$U$4:$Y$4,0)))),"")</f>
        <v/>
      </c>
      <c r="Z97" s="159"/>
      <c r="AA97" s="159"/>
      <c r="AB97" s="370" t="str">
        <f t="shared" si="11"/>
        <v/>
      </c>
      <c r="AC97" s="383" t="str">
        <f t="shared" si="12"/>
        <v/>
      </c>
      <c r="AD97" s="422" t="str">
        <f>IFERROR(IF(AC97="Check Data ⚠","Check Data ⚠",VLOOKUP(AC97,'G-4 Temporal multipliers'!$A$4:$C$37,3,FALSE)),"")</f>
        <v/>
      </c>
      <c r="AE97" s="362" t="str">
        <f>IF(N97="","",VLOOKUP(N97,'G-7 WaterC'' Data'!$B$4:$G$8,5,FALSE))</f>
        <v/>
      </c>
      <c r="AF97" s="370" t="str">
        <f t="shared" si="13"/>
        <v/>
      </c>
      <c r="AG97" s="401" t="str">
        <f t="shared" si="14"/>
        <v/>
      </c>
      <c r="AH97" s="363" t="str">
        <f t="shared" si="9"/>
        <v/>
      </c>
      <c r="AI97" s="122"/>
      <c r="AJ97" s="363" t="str">
        <f>IF(AI97="","",IF(VLOOKUP(AI97,'G-7 WaterC'' Data'!$AA$4:$AB$7,2,FALSE)=0,"Spatial Data Missing ⚠",VLOOKUP(AI97,'G-7 WaterC'' Data'!$AA$4:$AB$7,2,FALSE)))</f>
        <v/>
      </c>
      <c r="AK97" s="123"/>
      <c r="AL97" s="363" t="str">
        <f>IF(AK97="","",IF(VLOOKUP(AK97,'G-7 WaterC'' Data'!$AD$4:$AE$14,2,FALSE)=0,"Spatial Data Missing ⚠",VLOOKUP(AK97,'G-7 WaterC'' Data'!$AD$4:$AE$14,2,FALSE)))</f>
        <v/>
      </c>
      <c r="AM97" s="405" t="str">
        <f t="shared" si="15"/>
        <v/>
      </c>
      <c r="AN97" s="117"/>
      <c r="AO97" s="118"/>
      <c r="AP97" s="120"/>
      <c r="AV97" s="30" t="str">
        <f>IFERROR(INDEX('G-7 WaterC'' Data'!$AZ$3:$AZ$7,MATCH(N97,'G-7 WaterC'' Data'!$AY$3:$AY$7,0)),"")</f>
        <v/>
      </c>
    </row>
    <row r="98" spans="2:48" ht="15">
      <c r="B98" s="392" t="str">
        <f>'C-1 On-Site WaterC'' Baseline'!AO96</f>
        <v/>
      </c>
      <c r="C98" s="382" t="str">
        <f>IF(B98="","",VLOOKUP($B98,'C-1 On-Site WaterC'' Baseline'!$C$9:$R$257,2,FALSE))</f>
        <v/>
      </c>
      <c r="D98" s="382" t="str">
        <f>IF(C98="","",VLOOKUP($B98,'C-1 On-Site WaterC'' Baseline'!$C$9:$R$257,3,FALSE))</f>
        <v/>
      </c>
      <c r="E98" s="382" t="str">
        <f>IF(D98="","",VLOOKUP($B98,'C-1 On-Site WaterC'' Baseline'!$C$9:$R$257,4,FALSE))</f>
        <v/>
      </c>
      <c r="F98" s="382" t="str">
        <f>IF(E98="","",VLOOKUP($B98,'C-1 On-Site WaterC'' Baseline'!$C$9:$R$257,5,FALSE))</f>
        <v/>
      </c>
      <c r="G98" s="382" t="str">
        <f>IF(F98="","",VLOOKUP($B98,'C-1 On-Site WaterC'' Baseline'!$C$9:$R$257,6,FALSE))</f>
        <v/>
      </c>
      <c r="H98" s="382" t="str">
        <f>IF(G98="","",VLOOKUP($B98,'C-1 On-Site WaterC'' Baseline'!$C$9:$R$257,7,FALSE))</f>
        <v/>
      </c>
      <c r="I98" s="382" t="str">
        <f>IF(H98="","",VLOOKUP($B98,'C-1 On-Site WaterC'' Baseline'!$C$9:$R$257,8,FALSE))</f>
        <v/>
      </c>
      <c r="J98" s="382" t="str">
        <f>IF(I98="","",VLOOKUP($B98,'C-1 On-Site WaterC'' Baseline'!$C$9:$R$257,9,FALSE))</f>
        <v/>
      </c>
      <c r="K98" s="382" t="str">
        <f>IF(J98="","",VLOOKUP($B98,'C-1 On-Site WaterC'' Baseline'!$C$9:$R$257,10,FALSE))</f>
        <v/>
      </c>
      <c r="L98" s="382" t="str">
        <f>IF(B98="","",VLOOKUP($B98,'C-1 On-Site WaterC'' Baseline'!$C$9:$R$257,15,FALSE))</f>
        <v/>
      </c>
      <c r="M98" s="386" t="str">
        <f>IF(L98="","",VLOOKUP($B98,'C-1 On-Site WaterC'' Baseline'!$C$9:$R$257,16,FALSE))</f>
        <v/>
      </c>
      <c r="N98" s="320" t="str">
        <f t="shared" si="8"/>
        <v/>
      </c>
      <c r="O98" s="362" t="str">
        <f t="shared" si="10"/>
        <v/>
      </c>
      <c r="P98" s="363" t="str">
        <f>IF(C98="","",IF(AND(LEFT(C98,55)&lt;&gt;LEFT(N98,55),O98="High - High"),"Error - Not like for like ▲",IF(H98&gt;U98,"Error - Can not reduce condition ▲",IF(AND(F98=S98,H98=U98,AJ98='C-1 On-Site WaterC'' Baseline'!N96,'C-1 On-Site WaterC'' Baseline'!P96=AL98),"Error - No enhancement ▲",IF(AND(C98&lt;&gt;N98,F98&lt;S98),"Lower Distinctiveness Habitat"&amp;" - "&amp;T98,G98&amp;" - "&amp;T98)))))</f>
        <v/>
      </c>
      <c r="Q98" s="425" t="str">
        <f>IF(N98="","",VLOOKUP(B98,'C-1 On-Site WaterC'' Baseline'!$C$10:$AB$257,19,FALSE))</f>
        <v/>
      </c>
      <c r="R98" s="362" t="str">
        <f>IF(N98="","",VLOOKUP(N98,'G-7 WaterC'' Data'!$B$2:$G$8,2,FALSE))</f>
        <v/>
      </c>
      <c r="S98" s="363" t="str">
        <f>IFERROR(VLOOKUP(R98,'G-7 WaterC'' Data'!$C$4:$D$8,2,FALSE),"")</f>
        <v/>
      </c>
      <c r="T98" s="114"/>
      <c r="U98" s="363" t="str">
        <f>IFERROR(INDEX('G-7 WaterC'' Data'!$H$4:$L$8,MATCH(N98,'G-7 WaterC'' Data'!$B$4:$B$8,0),MATCH(T98,'G-7 WaterC'' Data'!$H$3:$L$3,0)),"")</f>
        <v/>
      </c>
      <c r="V98" s="114"/>
      <c r="W98" s="370" t="str">
        <f>IF(V98="","",IF(VLOOKUP(V98,'G-7 WaterC'' Data'!$AK$4:$AM$6,2,FALSE)=0,"Spatial Data Missing ⚠",VLOOKUP(V98,'G-7 WaterC'' Data'!$AK$4:$AM$6,2,FALSE)))</f>
        <v/>
      </c>
      <c r="X98" s="363" t="str">
        <f>IF(V98="","",IF(VLOOKUP(V98,'G-7 WaterC'' Data'!$AK$4:$AM$6,3,FALSE)=0,"Spatial Data Missing ⚠",VLOOKUP(V98,'G-7 WaterC'' Data'!$AK$4:$AM$6,3,FALSE)))</f>
        <v/>
      </c>
      <c r="Y98" s="362" t="str">
        <f>IFERROR(IF(OR(LEFT(P98,5)="Error",LEFT(O98,5)="Error ▲"),"Check Data ⚠",IF(F98&lt;S98,'G-7 WaterC'' Data'!$R$3,INDEX('G-7 WaterC'' Data'!$U$5:$Y$9,MATCH(G98,'G-7 WaterC'' Data'!$T$5:$T$9,0),MATCH(T98,'G-7 WaterC'' Data'!$U$4:$Y$4,0)))),"")</f>
        <v/>
      </c>
      <c r="Z98" s="159"/>
      <c r="AA98" s="159"/>
      <c r="AB98" s="370" t="str">
        <f t="shared" si="11"/>
        <v/>
      </c>
      <c r="AC98" s="383" t="str">
        <f t="shared" si="12"/>
        <v/>
      </c>
      <c r="AD98" s="422" t="str">
        <f>IFERROR(IF(AC98="Check Data ⚠","Check Data ⚠",VLOOKUP(AC98,'G-4 Temporal multipliers'!$A$4:$C$37,3,FALSE)),"")</f>
        <v/>
      </c>
      <c r="AE98" s="362" t="str">
        <f>IF(N98="","",VLOOKUP(N98,'G-7 WaterC'' Data'!$B$4:$G$8,5,FALSE))</f>
        <v/>
      </c>
      <c r="AF98" s="370" t="str">
        <f t="shared" si="13"/>
        <v/>
      </c>
      <c r="AG98" s="401" t="str">
        <f t="shared" si="14"/>
        <v/>
      </c>
      <c r="AH98" s="363" t="str">
        <f t="shared" si="9"/>
        <v/>
      </c>
      <c r="AI98" s="122"/>
      <c r="AJ98" s="363" t="str">
        <f>IF(AI98="","",IF(VLOOKUP(AI98,'G-7 WaterC'' Data'!$AA$4:$AB$7,2,FALSE)=0,"Spatial Data Missing ⚠",VLOOKUP(AI98,'G-7 WaterC'' Data'!$AA$4:$AB$7,2,FALSE)))</f>
        <v/>
      </c>
      <c r="AK98" s="123"/>
      <c r="AL98" s="363" t="str">
        <f>IF(AK98="","",IF(VLOOKUP(AK98,'G-7 WaterC'' Data'!$AD$4:$AE$14,2,FALSE)=0,"Spatial Data Missing ⚠",VLOOKUP(AK98,'G-7 WaterC'' Data'!$AD$4:$AE$14,2,FALSE)))</f>
        <v/>
      </c>
      <c r="AM98" s="405" t="str">
        <f t="shared" si="15"/>
        <v/>
      </c>
      <c r="AN98" s="117"/>
      <c r="AO98" s="118"/>
      <c r="AP98" s="120"/>
      <c r="AV98" s="30" t="str">
        <f>IFERROR(INDEX('G-7 WaterC'' Data'!$AZ$3:$AZ$7,MATCH(N98,'G-7 WaterC'' Data'!$AY$3:$AY$7,0)),"")</f>
        <v/>
      </c>
    </row>
    <row r="99" spans="2:48" ht="15">
      <c r="B99" s="392" t="str">
        <f>'C-1 On-Site WaterC'' Baseline'!AO97</f>
        <v/>
      </c>
      <c r="C99" s="382" t="str">
        <f>IF(B99="","",VLOOKUP($B99,'C-1 On-Site WaterC'' Baseline'!$C$9:$R$257,2,FALSE))</f>
        <v/>
      </c>
      <c r="D99" s="382" t="str">
        <f>IF(C99="","",VLOOKUP($B99,'C-1 On-Site WaterC'' Baseline'!$C$9:$R$257,3,FALSE))</f>
        <v/>
      </c>
      <c r="E99" s="382" t="str">
        <f>IF(D99="","",VLOOKUP($B99,'C-1 On-Site WaterC'' Baseline'!$C$9:$R$257,4,FALSE))</f>
        <v/>
      </c>
      <c r="F99" s="382" t="str">
        <f>IF(E99="","",VLOOKUP($B99,'C-1 On-Site WaterC'' Baseline'!$C$9:$R$257,5,FALSE))</f>
        <v/>
      </c>
      <c r="G99" s="382" t="str">
        <f>IF(F99="","",VLOOKUP($B99,'C-1 On-Site WaterC'' Baseline'!$C$9:$R$257,6,FALSE))</f>
        <v/>
      </c>
      <c r="H99" s="382" t="str">
        <f>IF(G99="","",VLOOKUP($B99,'C-1 On-Site WaterC'' Baseline'!$C$9:$R$257,7,FALSE))</f>
        <v/>
      </c>
      <c r="I99" s="382" t="str">
        <f>IF(H99="","",VLOOKUP($B99,'C-1 On-Site WaterC'' Baseline'!$C$9:$R$257,8,FALSE))</f>
        <v/>
      </c>
      <c r="J99" s="382" t="str">
        <f>IF(I99="","",VLOOKUP($B99,'C-1 On-Site WaterC'' Baseline'!$C$9:$R$257,9,FALSE))</f>
        <v/>
      </c>
      <c r="K99" s="382" t="str">
        <f>IF(J99="","",VLOOKUP($B99,'C-1 On-Site WaterC'' Baseline'!$C$9:$R$257,10,FALSE))</f>
        <v/>
      </c>
      <c r="L99" s="382" t="str">
        <f>IF(B99="","",VLOOKUP($B99,'C-1 On-Site WaterC'' Baseline'!$C$9:$R$257,15,FALSE))</f>
        <v/>
      </c>
      <c r="M99" s="386" t="str">
        <f>IF(L99="","",VLOOKUP($B99,'C-1 On-Site WaterC'' Baseline'!$C$9:$R$257,16,FALSE))</f>
        <v/>
      </c>
      <c r="N99" s="320" t="str">
        <f t="shared" si="8"/>
        <v/>
      </c>
      <c r="O99" s="362" t="str">
        <f t="shared" si="10"/>
        <v/>
      </c>
      <c r="P99" s="363" t="str">
        <f>IF(C99="","",IF(AND(LEFT(C99,55)&lt;&gt;LEFT(N99,55),O99="High - High"),"Error - Not like for like ▲",IF(H99&gt;U99,"Error - Can not reduce condition ▲",IF(AND(F99=S99,H99=U99,AJ99='C-1 On-Site WaterC'' Baseline'!N97,'C-1 On-Site WaterC'' Baseline'!P97=AL99),"Error - No enhancement ▲",IF(AND(C99&lt;&gt;N99,F99&lt;S99),"Lower Distinctiveness Habitat"&amp;" - "&amp;T99,G99&amp;" - "&amp;T99)))))</f>
        <v/>
      </c>
      <c r="Q99" s="425" t="str">
        <f>IF(N99="","",VLOOKUP(B99,'C-1 On-Site WaterC'' Baseline'!$C$10:$AB$257,19,FALSE))</f>
        <v/>
      </c>
      <c r="R99" s="362" t="str">
        <f>IF(N99="","",VLOOKUP(N99,'G-7 WaterC'' Data'!$B$2:$G$8,2,FALSE))</f>
        <v/>
      </c>
      <c r="S99" s="363" t="str">
        <f>IFERROR(VLOOKUP(R99,'G-7 WaterC'' Data'!$C$4:$D$8,2,FALSE),"")</f>
        <v/>
      </c>
      <c r="T99" s="114"/>
      <c r="U99" s="363" t="str">
        <f>IFERROR(INDEX('G-7 WaterC'' Data'!$H$4:$L$8,MATCH(N99,'G-7 WaterC'' Data'!$B$4:$B$8,0),MATCH(T99,'G-7 WaterC'' Data'!$H$3:$L$3,0)),"")</f>
        <v/>
      </c>
      <c r="V99" s="114"/>
      <c r="W99" s="370" t="str">
        <f>IF(V99="","",IF(VLOOKUP(V99,'G-7 WaterC'' Data'!$AK$4:$AM$6,2,FALSE)=0,"Spatial Data Missing ⚠",VLOOKUP(V99,'G-7 WaterC'' Data'!$AK$4:$AM$6,2,FALSE)))</f>
        <v/>
      </c>
      <c r="X99" s="363" t="str">
        <f>IF(V99="","",IF(VLOOKUP(V99,'G-7 WaterC'' Data'!$AK$4:$AM$6,3,FALSE)=0,"Spatial Data Missing ⚠",VLOOKUP(V99,'G-7 WaterC'' Data'!$AK$4:$AM$6,3,FALSE)))</f>
        <v/>
      </c>
      <c r="Y99" s="362" t="str">
        <f>IFERROR(IF(OR(LEFT(P99,5)="Error",LEFT(O99,5)="Error ▲"),"Check Data ⚠",IF(F99&lt;S99,'G-7 WaterC'' Data'!$R$3,INDEX('G-7 WaterC'' Data'!$U$5:$Y$9,MATCH(G99,'G-7 WaterC'' Data'!$T$5:$T$9,0),MATCH(T99,'G-7 WaterC'' Data'!$U$4:$Y$4,0)))),"")</f>
        <v/>
      </c>
      <c r="Z99" s="159"/>
      <c r="AA99" s="159"/>
      <c r="AB99" s="370" t="str">
        <f t="shared" si="11"/>
        <v/>
      </c>
      <c r="AC99" s="383" t="str">
        <f t="shared" si="12"/>
        <v/>
      </c>
      <c r="AD99" s="422" t="str">
        <f>IFERROR(IF(AC99="Check Data ⚠","Check Data ⚠",VLOOKUP(AC99,'G-4 Temporal multipliers'!$A$4:$C$37,3,FALSE)),"")</f>
        <v/>
      </c>
      <c r="AE99" s="362" t="str">
        <f>IF(N99="","",VLOOKUP(N99,'G-7 WaterC'' Data'!$B$4:$G$8,5,FALSE))</f>
        <v/>
      </c>
      <c r="AF99" s="370" t="str">
        <f t="shared" si="13"/>
        <v/>
      </c>
      <c r="AG99" s="401" t="str">
        <f t="shared" si="14"/>
        <v/>
      </c>
      <c r="AH99" s="363" t="str">
        <f t="shared" si="9"/>
        <v/>
      </c>
      <c r="AI99" s="122"/>
      <c r="AJ99" s="363" t="str">
        <f>IF(AI99="","",IF(VLOOKUP(AI99,'G-7 WaterC'' Data'!$AA$4:$AB$7,2,FALSE)=0,"Spatial Data Missing ⚠",VLOOKUP(AI99,'G-7 WaterC'' Data'!$AA$4:$AB$7,2,FALSE)))</f>
        <v/>
      </c>
      <c r="AK99" s="123"/>
      <c r="AL99" s="363" t="str">
        <f>IF(AK99="","",IF(VLOOKUP(AK99,'G-7 WaterC'' Data'!$AD$4:$AE$14,2,FALSE)=0,"Spatial Data Missing ⚠",VLOOKUP(AK99,'G-7 WaterC'' Data'!$AD$4:$AE$14,2,FALSE)))</f>
        <v/>
      </c>
      <c r="AM99" s="405" t="str">
        <f t="shared" si="15"/>
        <v/>
      </c>
      <c r="AN99" s="117"/>
      <c r="AO99" s="118"/>
      <c r="AP99" s="120"/>
      <c r="AV99" s="30" t="str">
        <f>IFERROR(INDEX('G-7 WaterC'' Data'!$AZ$3:$AZ$7,MATCH(N99,'G-7 WaterC'' Data'!$AY$3:$AY$7,0)),"")</f>
        <v/>
      </c>
    </row>
    <row r="100" spans="2:48" ht="15">
      <c r="B100" s="392" t="str">
        <f>'C-1 On-Site WaterC'' Baseline'!AO98</f>
        <v/>
      </c>
      <c r="C100" s="382" t="str">
        <f>IF(B100="","",VLOOKUP($B100,'C-1 On-Site WaterC'' Baseline'!$C$9:$R$257,2,FALSE))</f>
        <v/>
      </c>
      <c r="D100" s="382" t="str">
        <f>IF(C100="","",VLOOKUP($B100,'C-1 On-Site WaterC'' Baseline'!$C$9:$R$257,3,FALSE))</f>
        <v/>
      </c>
      <c r="E100" s="382" t="str">
        <f>IF(D100="","",VLOOKUP($B100,'C-1 On-Site WaterC'' Baseline'!$C$9:$R$257,4,FALSE))</f>
        <v/>
      </c>
      <c r="F100" s="382" t="str">
        <f>IF(E100="","",VLOOKUP($B100,'C-1 On-Site WaterC'' Baseline'!$C$9:$R$257,5,FALSE))</f>
        <v/>
      </c>
      <c r="G100" s="382" t="str">
        <f>IF(F100="","",VLOOKUP($B100,'C-1 On-Site WaterC'' Baseline'!$C$9:$R$257,6,FALSE))</f>
        <v/>
      </c>
      <c r="H100" s="382" t="str">
        <f>IF(G100="","",VLOOKUP($B100,'C-1 On-Site WaterC'' Baseline'!$C$9:$R$257,7,FALSE))</f>
        <v/>
      </c>
      <c r="I100" s="382" t="str">
        <f>IF(H100="","",VLOOKUP($B100,'C-1 On-Site WaterC'' Baseline'!$C$9:$R$257,8,FALSE))</f>
        <v/>
      </c>
      <c r="J100" s="382" t="str">
        <f>IF(I100="","",VLOOKUP($B100,'C-1 On-Site WaterC'' Baseline'!$C$9:$R$257,9,FALSE))</f>
        <v/>
      </c>
      <c r="K100" s="382" t="str">
        <f>IF(J100="","",VLOOKUP($B100,'C-1 On-Site WaterC'' Baseline'!$C$9:$R$257,10,FALSE))</f>
        <v/>
      </c>
      <c r="L100" s="382" t="str">
        <f>IF(B100="","",VLOOKUP($B100,'C-1 On-Site WaterC'' Baseline'!$C$9:$R$257,15,FALSE))</f>
        <v/>
      </c>
      <c r="M100" s="386" t="str">
        <f>IF(L100="","",VLOOKUP($B100,'C-1 On-Site WaterC'' Baseline'!$C$9:$R$257,16,FALSE))</f>
        <v/>
      </c>
      <c r="N100" s="320" t="str">
        <f t="shared" si="8"/>
        <v/>
      </c>
      <c r="O100" s="362" t="str">
        <f t="shared" si="10"/>
        <v/>
      </c>
      <c r="P100" s="363" t="str">
        <f>IF(C100="","",IF(AND(LEFT(C100,55)&lt;&gt;LEFT(N100,55),O100="High - High"),"Error - Not like for like ▲",IF(H100&gt;U100,"Error - Can not reduce condition ▲",IF(AND(F100=S100,H100=U100,AJ100='C-1 On-Site WaterC'' Baseline'!N98,'C-1 On-Site WaterC'' Baseline'!P98=AL100),"Error - No enhancement ▲",IF(AND(C100&lt;&gt;N100,F100&lt;S100),"Lower Distinctiveness Habitat"&amp;" - "&amp;T100,G100&amp;" - "&amp;T100)))))</f>
        <v/>
      </c>
      <c r="Q100" s="425" t="str">
        <f>IF(N100="","",VLOOKUP(B100,'C-1 On-Site WaterC'' Baseline'!$C$10:$AB$257,19,FALSE))</f>
        <v/>
      </c>
      <c r="R100" s="362" t="str">
        <f>IF(N100="","",VLOOKUP(N100,'G-7 WaterC'' Data'!$B$2:$G$8,2,FALSE))</f>
        <v/>
      </c>
      <c r="S100" s="363" t="str">
        <f>IFERROR(VLOOKUP(R100,'G-7 WaterC'' Data'!$C$4:$D$8,2,FALSE),"")</f>
        <v/>
      </c>
      <c r="T100" s="114"/>
      <c r="U100" s="363" t="str">
        <f>IFERROR(INDEX('G-7 WaterC'' Data'!$H$4:$L$8,MATCH(N100,'G-7 WaterC'' Data'!$B$4:$B$8,0),MATCH(T100,'G-7 WaterC'' Data'!$H$3:$L$3,0)),"")</f>
        <v/>
      </c>
      <c r="V100" s="114"/>
      <c r="W100" s="370" t="str">
        <f>IF(V100="","",IF(VLOOKUP(V100,'G-7 WaterC'' Data'!$AK$4:$AM$6,2,FALSE)=0,"Spatial Data Missing ⚠",VLOOKUP(V100,'G-7 WaterC'' Data'!$AK$4:$AM$6,2,FALSE)))</f>
        <v/>
      </c>
      <c r="X100" s="363" t="str">
        <f>IF(V100="","",IF(VLOOKUP(V100,'G-7 WaterC'' Data'!$AK$4:$AM$6,3,FALSE)=0,"Spatial Data Missing ⚠",VLOOKUP(V100,'G-7 WaterC'' Data'!$AK$4:$AM$6,3,FALSE)))</f>
        <v/>
      </c>
      <c r="Y100" s="362" t="str">
        <f>IFERROR(IF(OR(LEFT(P100,5)="Error",LEFT(O100,5)="Error ▲"),"Check Data ⚠",IF(F100&lt;S100,'G-7 WaterC'' Data'!$R$3,INDEX('G-7 WaterC'' Data'!$U$5:$Y$9,MATCH(G100,'G-7 WaterC'' Data'!$T$5:$T$9,0),MATCH(T100,'G-7 WaterC'' Data'!$U$4:$Y$4,0)))),"")</f>
        <v/>
      </c>
      <c r="Z100" s="159"/>
      <c r="AA100" s="159"/>
      <c r="AB100" s="370" t="str">
        <f t="shared" si="11"/>
        <v/>
      </c>
      <c r="AC100" s="383" t="str">
        <f t="shared" si="12"/>
        <v/>
      </c>
      <c r="AD100" s="422" t="str">
        <f>IFERROR(IF(AC100="Check Data ⚠","Check Data ⚠",VLOOKUP(AC100,'G-4 Temporal multipliers'!$A$4:$C$37,3,FALSE)),"")</f>
        <v/>
      </c>
      <c r="AE100" s="362" t="str">
        <f>IF(N100="","",VLOOKUP(N100,'G-7 WaterC'' Data'!$B$4:$G$8,5,FALSE))</f>
        <v/>
      </c>
      <c r="AF100" s="370" t="str">
        <f t="shared" si="13"/>
        <v/>
      </c>
      <c r="AG100" s="401" t="str">
        <f t="shared" si="14"/>
        <v/>
      </c>
      <c r="AH100" s="363" t="str">
        <f t="shared" si="9"/>
        <v/>
      </c>
      <c r="AI100" s="122"/>
      <c r="AJ100" s="363" t="str">
        <f>IF(AI100="","",IF(VLOOKUP(AI100,'G-7 WaterC'' Data'!$AA$4:$AB$7,2,FALSE)=0,"Spatial Data Missing ⚠",VLOOKUP(AI100,'G-7 WaterC'' Data'!$AA$4:$AB$7,2,FALSE)))</f>
        <v/>
      </c>
      <c r="AK100" s="123"/>
      <c r="AL100" s="363" t="str">
        <f>IF(AK100="","",IF(VLOOKUP(AK100,'G-7 WaterC'' Data'!$AD$4:$AE$14,2,FALSE)=0,"Spatial Data Missing ⚠",VLOOKUP(AK100,'G-7 WaterC'' Data'!$AD$4:$AE$14,2,FALSE)))</f>
        <v/>
      </c>
      <c r="AM100" s="405" t="str">
        <f t="shared" si="15"/>
        <v/>
      </c>
      <c r="AN100" s="117"/>
      <c r="AO100" s="118"/>
      <c r="AP100" s="120"/>
      <c r="AV100" s="30" t="str">
        <f>IFERROR(INDEX('G-7 WaterC'' Data'!$AZ$3:$AZ$7,MATCH(N100,'G-7 WaterC'' Data'!$AY$3:$AY$7,0)),"")</f>
        <v/>
      </c>
    </row>
    <row r="101" spans="2:48" ht="15">
      <c r="B101" s="392" t="str">
        <f>'C-1 On-Site WaterC'' Baseline'!AO99</f>
        <v/>
      </c>
      <c r="C101" s="382" t="str">
        <f>IF(B101="","",VLOOKUP($B101,'C-1 On-Site WaterC'' Baseline'!$C$9:$R$257,2,FALSE))</f>
        <v/>
      </c>
      <c r="D101" s="382" t="str">
        <f>IF(C101="","",VLOOKUP($B101,'C-1 On-Site WaterC'' Baseline'!$C$9:$R$257,3,FALSE))</f>
        <v/>
      </c>
      <c r="E101" s="382" t="str">
        <f>IF(D101="","",VLOOKUP($B101,'C-1 On-Site WaterC'' Baseline'!$C$9:$R$257,4,FALSE))</f>
        <v/>
      </c>
      <c r="F101" s="382" t="str">
        <f>IF(E101="","",VLOOKUP($B101,'C-1 On-Site WaterC'' Baseline'!$C$9:$R$257,5,FALSE))</f>
        <v/>
      </c>
      <c r="G101" s="382" t="str">
        <f>IF(F101="","",VLOOKUP($B101,'C-1 On-Site WaterC'' Baseline'!$C$9:$R$257,6,FALSE))</f>
        <v/>
      </c>
      <c r="H101" s="382" t="str">
        <f>IF(G101="","",VLOOKUP($B101,'C-1 On-Site WaterC'' Baseline'!$C$9:$R$257,7,FALSE))</f>
        <v/>
      </c>
      <c r="I101" s="382" t="str">
        <f>IF(H101="","",VLOOKUP($B101,'C-1 On-Site WaterC'' Baseline'!$C$9:$R$257,8,FALSE))</f>
        <v/>
      </c>
      <c r="J101" s="382" t="str">
        <f>IF(I101="","",VLOOKUP($B101,'C-1 On-Site WaterC'' Baseline'!$C$9:$R$257,9,FALSE))</f>
        <v/>
      </c>
      <c r="K101" s="382" t="str">
        <f>IF(J101="","",VLOOKUP($B101,'C-1 On-Site WaterC'' Baseline'!$C$9:$R$257,10,FALSE))</f>
        <v/>
      </c>
      <c r="L101" s="382" t="str">
        <f>IF(B101="","",VLOOKUP($B101,'C-1 On-Site WaterC'' Baseline'!$C$9:$R$257,15,FALSE))</f>
        <v/>
      </c>
      <c r="M101" s="386" t="str">
        <f>IF(L101="","",VLOOKUP($B101,'C-1 On-Site WaterC'' Baseline'!$C$9:$R$257,16,FALSE))</f>
        <v/>
      </c>
      <c r="N101" s="320" t="str">
        <f t="shared" si="8"/>
        <v/>
      </c>
      <c r="O101" s="362" t="str">
        <f t="shared" si="10"/>
        <v/>
      </c>
      <c r="P101" s="363" t="str">
        <f>IF(C101="","",IF(AND(LEFT(C101,55)&lt;&gt;LEFT(N101,55),O101="High - High"),"Error - Not like for like ▲",IF(H101&gt;U101,"Error - Can not reduce condition ▲",IF(AND(F101=S101,H101=U101,AJ101='C-1 On-Site WaterC'' Baseline'!N99,'C-1 On-Site WaterC'' Baseline'!P99=AL101),"Error - No enhancement ▲",IF(AND(C101&lt;&gt;N101,F101&lt;S101),"Lower Distinctiveness Habitat"&amp;" - "&amp;T101,G101&amp;" - "&amp;T101)))))</f>
        <v/>
      </c>
      <c r="Q101" s="425" t="str">
        <f>IF(N101="","",VLOOKUP(B101,'C-1 On-Site WaterC'' Baseline'!$C$10:$AB$257,19,FALSE))</f>
        <v/>
      </c>
      <c r="R101" s="362" t="str">
        <f>IF(N101="","",VLOOKUP(N101,'G-7 WaterC'' Data'!$B$2:$G$8,2,FALSE))</f>
        <v/>
      </c>
      <c r="S101" s="363" t="str">
        <f>IFERROR(VLOOKUP(R101,'G-7 WaterC'' Data'!$C$4:$D$8,2,FALSE),"")</f>
        <v/>
      </c>
      <c r="T101" s="114"/>
      <c r="U101" s="363" t="str">
        <f>IFERROR(INDEX('G-7 WaterC'' Data'!$H$4:$L$8,MATCH(N101,'G-7 WaterC'' Data'!$B$4:$B$8,0),MATCH(T101,'G-7 WaterC'' Data'!$H$3:$L$3,0)),"")</f>
        <v/>
      </c>
      <c r="V101" s="114"/>
      <c r="W101" s="370" t="str">
        <f>IF(V101="","",IF(VLOOKUP(V101,'G-7 WaterC'' Data'!$AK$4:$AM$6,2,FALSE)=0,"Spatial Data Missing ⚠",VLOOKUP(V101,'G-7 WaterC'' Data'!$AK$4:$AM$6,2,FALSE)))</f>
        <v/>
      </c>
      <c r="X101" s="363" t="str">
        <f>IF(V101="","",IF(VLOOKUP(V101,'G-7 WaterC'' Data'!$AK$4:$AM$6,3,FALSE)=0,"Spatial Data Missing ⚠",VLOOKUP(V101,'G-7 WaterC'' Data'!$AK$4:$AM$6,3,FALSE)))</f>
        <v/>
      </c>
      <c r="Y101" s="362" t="str">
        <f>IFERROR(IF(OR(LEFT(P101,5)="Error",LEFT(O101,5)="Error ▲"),"Check Data ⚠",IF(F101&lt;S101,'G-7 WaterC'' Data'!$R$3,INDEX('G-7 WaterC'' Data'!$U$5:$Y$9,MATCH(G101,'G-7 WaterC'' Data'!$T$5:$T$9,0),MATCH(T101,'G-7 WaterC'' Data'!$U$4:$Y$4,0)))),"")</f>
        <v/>
      </c>
      <c r="Z101" s="159"/>
      <c r="AA101" s="159"/>
      <c r="AB101" s="370" t="str">
        <f t="shared" si="11"/>
        <v/>
      </c>
      <c r="AC101" s="383" t="str">
        <f t="shared" si="12"/>
        <v/>
      </c>
      <c r="AD101" s="422" t="str">
        <f>IFERROR(IF(AC101="Check Data ⚠","Check Data ⚠",VLOOKUP(AC101,'G-4 Temporal multipliers'!$A$4:$C$37,3,FALSE)),"")</f>
        <v/>
      </c>
      <c r="AE101" s="362" t="str">
        <f>IF(N101="","",VLOOKUP(N101,'G-7 WaterC'' Data'!$B$4:$G$8,5,FALSE))</f>
        <v/>
      </c>
      <c r="AF101" s="370" t="str">
        <f t="shared" si="13"/>
        <v/>
      </c>
      <c r="AG101" s="401" t="str">
        <f t="shared" si="14"/>
        <v/>
      </c>
      <c r="AH101" s="363" t="str">
        <f t="shared" si="9"/>
        <v/>
      </c>
      <c r="AI101" s="122"/>
      <c r="AJ101" s="363" t="str">
        <f>IF(AI101="","",IF(VLOOKUP(AI101,'G-7 WaterC'' Data'!$AA$4:$AB$7,2,FALSE)=0,"Spatial Data Missing ⚠",VLOOKUP(AI101,'G-7 WaterC'' Data'!$AA$4:$AB$7,2,FALSE)))</f>
        <v/>
      </c>
      <c r="AK101" s="123"/>
      <c r="AL101" s="363" t="str">
        <f>IF(AK101="","",IF(VLOOKUP(AK101,'G-7 WaterC'' Data'!$AD$4:$AE$14,2,FALSE)=0,"Spatial Data Missing ⚠",VLOOKUP(AK101,'G-7 WaterC'' Data'!$AD$4:$AE$14,2,FALSE)))</f>
        <v/>
      </c>
      <c r="AM101" s="405" t="str">
        <f t="shared" si="15"/>
        <v/>
      </c>
      <c r="AN101" s="117"/>
      <c r="AO101" s="118"/>
      <c r="AP101" s="120"/>
      <c r="AV101" s="30" t="str">
        <f>IFERROR(INDEX('G-7 WaterC'' Data'!$AZ$3:$AZ$7,MATCH(N101,'G-7 WaterC'' Data'!$AY$3:$AY$7,0)),"")</f>
        <v/>
      </c>
    </row>
    <row r="102" spans="2:48" ht="15">
      <c r="B102" s="392" t="str">
        <f>'C-1 On-Site WaterC'' Baseline'!AO100</f>
        <v/>
      </c>
      <c r="C102" s="382" t="str">
        <f>IF(B102="","",VLOOKUP($B102,'C-1 On-Site WaterC'' Baseline'!$C$9:$R$257,2,FALSE))</f>
        <v/>
      </c>
      <c r="D102" s="382" t="str">
        <f>IF(C102="","",VLOOKUP($B102,'C-1 On-Site WaterC'' Baseline'!$C$9:$R$257,3,FALSE))</f>
        <v/>
      </c>
      <c r="E102" s="382" t="str">
        <f>IF(D102="","",VLOOKUP($B102,'C-1 On-Site WaterC'' Baseline'!$C$9:$R$257,4,FALSE))</f>
        <v/>
      </c>
      <c r="F102" s="382" t="str">
        <f>IF(E102="","",VLOOKUP($B102,'C-1 On-Site WaterC'' Baseline'!$C$9:$R$257,5,FALSE))</f>
        <v/>
      </c>
      <c r="G102" s="382" t="str">
        <f>IF(F102="","",VLOOKUP($B102,'C-1 On-Site WaterC'' Baseline'!$C$9:$R$257,6,FALSE))</f>
        <v/>
      </c>
      <c r="H102" s="382" t="str">
        <f>IF(G102="","",VLOOKUP($B102,'C-1 On-Site WaterC'' Baseline'!$C$9:$R$257,7,FALSE))</f>
        <v/>
      </c>
      <c r="I102" s="382" t="str">
        <f>IF(H102="","",VLOOKUP($B102,'C-1 On-Site WaterC'' Baseline'!$C$9:$R$257,8,FALSE))</f>
        <v/>
      </c>
      <c r="J102" s="382" t="str">
        <f>IF(I102="","",VLOOKUP($B102,'C-1 On-Site WaterC'' Baseline'!$C$9:$R$257,9,FALSE))</f>
        <v/>
      </c>
      <c r="K102" s="382" t="str">
        <f>IF(J102="","",VLOOKUP($B102,'C-1 On-Site WaterC'' Baseline'!$C$9:$R$257,10,FALSE))</f>
        <v/>
      </c>
      <c r="L102" s="382" t="str">
        <f>IF(B102="","",VLOOKUP($B102,'C-1 On-Site WaterC'' Baseline'!$C$9:$R$257,15,FALSE))</f>
        <v/>
      </c>
      <c r="M102" s="386" t="str">
        <f>IF(L102="","",VLOOKUP($B102,'C-1 On-Site WaterC'' Baseline'!$C$9:$R$257,16,FALSE))</f>
        <v/>
      </c>
      <c r="N102" s="320" t="str">
        <f t="shared" si="8"/>
        <v/>
      </c>
      <c r="O102" s="362" t="str">
        <f t="shared" si="10"/>
        <v/>
      </c>
      <c r="P102" s="363" t="str">
        <f>IF(C102="","",IF(AND(LEFT(C102,55)&lt;&gt;LEFT(N102,55),O102="High - High"),"Error - Not like for like ▲",IF(H102&gt;U102,"Error - Can not reduce condition ▲",IF(AND(F102=S102,H102=U102,AJ102='C-1 On-Site WaterC'' Baseline'!N100,'C-1 On-Site WaterC'' Baseline'!P100=AL102),"Error - No enhancement ▲",IF(AND(C102&lt;&gt;N102,F102&lt;S102),"Lower Distinctiveness Habitat"&amp;" - "&amp;T102,G102&amp;" - "&amp;T102)))))</f>
        <v/>
      </c>
      <c r="Q102" s="425" t="str">
        <f>IF(N102="","",VLOOKUP(B102,'C-1 On-Site WaterC'' Baseline'!$C$10:$AB$257,19,FALSE))</f>
        <v/>
      </c>
      <c r="R102" s="362" t="str">
        <f>IF(N102="","",VLOOKUP(N102,'G-7 WaterC'' Data'!$B$2:$G$8,2,FALSE))</f>
        <v/>
      </c>
      <c r="S102" s="363" t="str">
        <f>IFERROR(VLOOKUP(R102,'G-7 WaterC'' Data'!$C$4:$D$8,2,FALSE),"")</f>
        <v/>
      </c>
      <c r="T102" s="114"/>
      <c r="U102" s="363" t="str">
        <f>IFERROR(INDEX('G-7 WaterC'' Data'!$H$4:$L$8,MATCH(N102,'G-7 WaterC'' Data'!$B$4:$B$8,0),MATCH(T102,'G-7 WaterC'' Data'!$H$3:$L$3,0)),"")</f>
        <v/>
      </c>
      <c r="V102" s="114"/>
      <c r="W102" s="370" t="str">
        <f>IF(V102="","",IF(VLOOKUP(V102,'G-7 WaterC'' Data'!$AK$4:$AM$6,2,FALSE)=0,"Spatial Data Missing ⚠",VLOOKUP(V102,'G-7 WaterC'' Data'!$AK$4:$AM$6,2,FALSE)))</f>
        <v/>
      </c>
      <c r="X102" s="363" t="str">
        <f>IF(V102="","",IF(VLOOKUP(V102,'G-7 WaterC'' Data'!$AK$4:$AM$6,3,FALSE)=0,"Spatial Data Missing ⚠",VLOOKUP(V102,'G-7 WaterC'' Data'!$AK$4:$AM$6,3,FALSE)))</f>
        <v/>
      </c>
      <c r="Y102" s="362" t="str">
        <f>IFERROR(IF(OR(LEFT(P102,5)="Error",LEFT(O102,5)="Error ▲"),"Check Data ⚠",IF(F102&lt;S102,'G-7 WaterC'' Data'!$R$3,INDEX('G-7 WaterC'' Data'!$U$5:$Y$9,MATCH(G102,'G-7 WaterC'' Data'!$T$5:$T$9,0),MATCH(T102,'G-7 WaterC'' Data'!$U$4:$Y$4,0)))),"")</f>
        <v/>
      </c>
      <c r="Z102" s="159"/>
      <c r="AA102" s="159"/>
      <c r="AB102" s="370" t="str">
        <f t="shared" si="11"/>
        <v/>
      </c>
      <c r="AC102" s="383" t="str">
        <f t="shared" si="12"/>
        <v/>
      </c>
      <c r="AD102" s="422" t="str">
        <f>IFERROR(IF(AC102="Check Data ⚠","Check Data ⚠",VLOOKUP(AC102,'G-4 Temporal multipliers'!$A$4:$C$37,3,FALSE)),"")</f>
        <v/>
      </c>
      <c r="AE102" s="362" t="str">
        <f>IF(N102="","",VLOOKUP(N102,'G-7 WaterC'' Data'!$B$4:$G$8,5,FALSE))</f>
        <v/>
      </c>
      <c r="AF102" s="370" t="str">
        <f t="shared" si="13"/>
        <v/>
      </c>
      <c r="AG102" s="401" t="str">
        <f t="shared" si="14"/>
        <v/>
      </c>
      <c r="AH102" s="363" t="str">
        <f t="shared" si="9"/>
        <v/>
      </c>
      <c r="AI102" s="122"/>
      <c r="AJ102" s="363" t="str">
        <f>IF(AI102="","",IF(VLOOKUP(AI102,'G-7 WaterC'' Data'!$AA$4:$AB$7,2,FALSE)=0,"Spatial Data Missing ⚠",VLOOKUP(AI102,'G-7 WaterC'' Data'!$AA$4:$AB$7,2,FALSE)))</f>
        <v/>
      </c>
      <c r="AK102" s="123"/>
      <c r="AL102" s="363" t="str">
        <f>IF(AK102="","",IF(VLOOKUP(AK102,'G-7 WaterC'' Data'!$AD$4:$AE$14,2,FALSE)=0,"Spatial Data Missing ⚠",VLOOKUP(AK102,'G-7 WaterC'' Data'!$AD$4:$AE$14,2,FALSE)))</f>
        <v/>
      </c>
      <c r="AM102" s="405" t="str">
        <f t="shared" si="15"/>
        <v/>
      </c>
      <c r="AN102" s="117"/>
      <c r="AO102" s="118"/>
      <c r="AP102" s="120"/>
      <c r="AV102" s="30" t="str">
        <f>IFERROR(INDEX('G-7 WaterC'' Data'!$AZ$3:$AZ$7,MATCH(N102,'G-7 WaterC'' Data'!$AY$3:$AY$7,0)),"")</f>
        <v/>
      </c>
    </row>
    <row r="103" spans="2:48" ht="15">
      <c r="B103" s="392" t="str">
        <f>'C-1 On-Site WaterC'' Baseline'!AO101</f>
        <v/>
      </c>
      <c r="C103" s="382" t="str">
        <f>IF(B103="","",VLOOKUP($B103,'C-1 On-Site WaterC'' Baseline'!$C$9:$R$257,2,FALSE))</f>
        <v/>
      </c>
      <c r="D103" s="382" t="str">
        <f>IF(C103="","",VLOOKUP($B103,'C-1 On-Site WaterC'' Baseline'!$C$9:$R$257,3,FALSE))</f>
        <v/>
      </c>
      <c r="E103" s="382" t="str">
        <f>IF(D103="","",VLOOKUP($B103,'C-1 On-Site WaterC'' Baseline'!$C$9:$R$257,4,FALSE))</f>
        <v/>
      </c>
      <c r="F103" s="382" t="str">
        <f>IF(E103="","",VLOOKUP($B103,'C-1 On-Site WaterC'' Baseline'!$C$9:$R$257,5,FALSE))</f>
        <v/>
      </c>
      <c r="G103" s="382" t="str">
        <f>IF(F103="","",VLOOKUP($B103,'C-1 On-Site WaterC'' Baseline'!$C$9:$R$257,6,FALSE))</f>
        <v/>
      </c>
      <c r="H103" s="382" t="str">
        <f>IF(G103="","",VLOOKUP($B103,'C-1 On-Site WaterC'' Baseline'!$C$9:$R$257,7,FALSE))</f>
        <v/>
      </c>
      <c r="I103" s="382" t="str">
        <f>IF(H103="","",VLOOKUP($B103,'C-1 On-Site WaterC'' Baseline'!$C$9:$R$257,8,FALSE))</f>
        <v/>
      </c>
      <c r="J103" s="382" t="str">
        <f>IF(I103="","",VLOOKUP($B103,'C-1 On-Site WaterC'' Baseline'!$C$9:$R$257,9,FALSE))</f>
        <v/>
      </c>
      <c r="K103" s="382" t="str">
        <f>IF(J103="","",VLOOKUP($B103,'C-1 On-Site WaterC'' Baseline'!$C$9:$R$257,10,FALSE))</f>
        <v/>
      </c>
      <c r="L103" s="382" t="str">
        <f>IF(B103="","",VLOOKUP($B103,'C-1 On-Site WaterC'' Baseline'!$C$9:$R$257,15,FALSE))</f>
        <v/>
      </c>
      <c r="M103" s="386" t="str">
        <f>IF(L103="","",VLOOKUP($B103,'C-1 On-Site WaterC'' Baseline'!$C$9:$R$257,16,FALSE))</f>
        <v/>
      </c>
      <c r="N103" s="320" t="str">
        <f t="shared" si="8"/>
        <v/>
      </c>
      <c r="O103" s="362" t="str">
        <f t="shared" si="10"/>
        <v/>
      </c>
      <c r="P103" s="363" t="str">
        <f>IF(C103="","",IF(AND(LEFT(C103,55)&lt;&gt;LEFT(N103,55),O103="High - High"),"Error - Not like for like ▲",IF(H103&gt;U103,"Error - Can not reduce condition ▲",IF(AND(F103=S103,H103=U103,AJ103='C-1 On-Site WaterC'' Baseline'!N101,'C-1 On-Site WaterC'' Baseline'!P101=AL103),"Error - No enhancement ▲",IF(AND(C103&lt;&gt;N103,F103&lt;S103),"Lower Distinctiveness Habitat"&amp;" - "&amp;T103,G103&amp;" - "&amp;T103)))))</f>
        <v/>
      </c>
      <c r="Q103" s="425" t="str">
        <f>IF(N103="","",VLOOKUP(B103,'C-1 On-Site WaterC'' Baseline'!$C$10:$AB$257,19,FALSE))</f>
        <v/>
      </c>
      <c r="R103" s="362" t="str">
        <f>IF(N103="","",VLOOKUP(N103,'G-7 WaterC'' Data'!$B$2:$G$8,2,FALSE))</f>
        <v/>
      </c>
      <c r="S103" s="363" t="str">
        <f>IFERROR(VLOOKUP(R103,'G-7 WaterC'' Data'!$C$4:$D$8,2,FALSE),"")</f>
        <v/>
      </c>
      <c r="T103" s="114"/>
      <c r="U103" s="363" t="str">
        <f>IFERROR(INDEX('G-7 WaterC'' Data'!$H$4:$L$8,MATCH(N103,'G-7 WaterC'' Data'!$B$4:$B$8,0),MATCH(T103,'G-7 WaterC'' Data'!$H$3:$L$3,0)),"")</f>
        <v/>
      </c>
      <c r="V103" s="114"/>
      <c r="W103" s="370" t="str">
        <f>IF(V103="","",IF(VLOOKUP(V103,'G-7 WaterC'' Data'!$AK$4:$AM$6,2,FALSE)=0,"Spatial Data Missing ⚠",VLOOKUP(V103,'G-7 WaterC'' Data'!$AK$4:$AM$6,2,FALSE)))</f>
        <v/>
      </c>
      <c r="X103" s="363" t="str">
        <f>IF(V103="","",IF(VLOOKUP(V103,'G-7 WaterC'' Data'!$AK$4:$AM$6,3,FALSE)=0,"Spatial Data Missing ⚠",VLOOKUP(V103,'G-7 WaterC'' Data'!$AK$4:$AM$6,3,FALSE)))</f>
        <v/>
      </c>
      <c r="Y103" s="362" t="str">
        <f>IFERROR(IF(OR(LEFT(P103,5)="Error",LEFT(O103,5)="Error ▲"),"Check Data ⚠",IF(F103&lt;S103,'G-7 WaterC'' Data'!$R$3,INDEX('G-7 WaterC'' Data'!$U$5:$Y$9,MATCH(G103,'G-7 WaterC'' Data'!$T$5:$T$9,0),MATCH(T103,'G-7 WaterC'' Data'!$U$4:$Y$4,0)))),"")</f>
        <v/>
      </c>
      <c r="Z103" s="159"/>
      <c r="AA103" s="159"/>
      <c r="AB103" s="370" t="str">
        <f t="shared" si="11"/>
        <v/>
      </c>
      <c r="AC103" s="383" t="str">
        <f t="shared" si="12"/>
        <v/>
      </c>
      <c r="AD103" s="422" t="str">
        <f>IFERROR(IF(AC103="Check Data ⚠","Check Data ⚠",VLOOKUP(AC103,'G-4 Temporal multipliers'!$A$4:$C$37,3,FALSE)),"")</f>
        <v/>
      </c>
      <c r="AE103" s="362" t="str">
        <f>IF(N103="","",VLOOKUP(N103,'G-7 WaterC'' Data'!$B$4:$G$8,5,FALSE))</f>
        <v/>
      </c>
      <c r="AF103" s="370" t="str">
        <f t="shared" si="13"/>
        <v/>
      </c>
      <c r="AG103" s="401" t="str">
        <f t="shared" si="14"/>
        <v/>
      </c>
      <c r="AH103" s="363" t="str">
        <f t="shared" si="9"/>
        <v/>
      </c>
      <c r="AI103" s="122"/>
      <c r="AJ103" s="363" t="str">
        <f>IF(AI103="","",IF(VLOOKUP(AI103,'G-7 WaterC'' Data'!$AA$4:$AB$7,2,FALSE)=0,"Spatial Data Missing ⚠",VLOOKUP(AI103,'G-7 WaterC'' Data'!$AA$4:$AB$7,2,FALSE)))</f>
        <v/>
      </c>
      <c r="AK103" s="123"/>
      <c r="AL103" s="363" t="str">
        <f>IF(AK103="","",IF(VLOOKUP(AK103,'G-7 WaterC'' Data'!$AD$4:$AE$14,2,FALSE)=0,"Spatial Data Missing ⚠",VLOOKUP(AK103,'G-7 WaterC'' Data'!$AD$4:$AE$14,2,FALSE)))</f>
        <v/>
      </c>
      <c r="AM103" s="405" t="str">
        <f t="shared" si="15"/>
        <v/>
      </c>
      <c r="AN103" s="117"/>
      <c r="AO103" s="118"/>
      <c r="AP103" s="120"/>
      <c r="AV103" s="30" t="str">
        <f>IFERROR(INDEX('G-7 WaterC'' Data'!$AZ$3:$AZ$7,MATCH(N103,'G-7 WaterC'' Data'!$AY$3:$AY$7,0)),"")</f>
        <v/>
      </c>
    </row>
    <row r="104" spans="2:48" ht="15">
      <c r="B104" s="392" t="str">
        <f>'C-1 On-Site WaterC'' Baseline'!AO102</f>
        <v/>
      </c>
      <c r="C104" s="382" t="str">
        <f>IF(B104="","",VLOOKUP($B104,'C-1 On-Site WaterC'' Baseline'!$C$9:$R$257,2,FALSE))</f>
        <v/>
      </c>
      <c r="D104" s="382" t="str">
        <f>IF(C104="","",VLOOKUP($B104,'C-1 On-Site WaterC'' Baseline'!$C$9:$R$257,3,FALSE))</f>
        <v/>
      </c>
      <c r="E104" s="382" t="str">
        <f>IF(D104="","",VLOOKUP($B104,'C-1 On-Site WaterC'' Baseline'!$C$9:$R$257,4,FALSE))</f>
        <v/>
      </c>
      <c r="F104" s="382" t="str">
        <f>IF(E104="","",VLOOKUP($B104,'C-1 On-Site WaterC'' Baseline'!$C$9:$R$257,5,FALSE))</f>
        <v/>
      </c>
      <c r="G104" s="382" t="str">
        <f>IF(F104="","",VLOOKUP($B104,'C-1 On-Site WaterC'' Baseline'!$C$9:$R$257,6,FALSE))</f>
        <v/>
      </c>
      <c r="H104" s="382" t="str">
        <f>IF(G104="","",VLOOKUP($B104,'C-1 On-Site WaterC'' Baseline'!$C$9:$R$257,7,FALSE))</f>
        <v/>
      </c>
      <c r="I104" s="382" t="str">
        <f>IF(H104="","",VLOOKUP($B104,'C-1 On-Site WaterC'' Baseline'!$C$9:$R$257,8,FALSE))</f>
        <v/>
      </c>
      <c r="J104" s="382" t="str">
        <f>IF(I104="","",VLOOKUP($B104,'C-1 On-Site WaterC'' Baseline'!$C$9:$R$257,9,FALSE))</f>
        <v/>
      </c>
      <c r="K104" s="382" t="str">
        <f>IF(J104="","",VLOOKUP($B104,'C-1 On-Site WaterC'' Baseline'!$C$9:$R$257,10,FALSE))</f>
        <v/>
      </c>
      <c r="L104" s="382" t="str">
        <f>IF(B104="","",VLOOKUP($B104,'C-1 On-Site WaterC'' Baseline'!$C$9:$R$257,15,FALSE))</f>
        <v/>
      </c>
      <c r="M104" s="386" t="str">
        <f>IF(L104="","",VLOOKUP($B104,'C-1 On-Site WaterC'' Baseline'!$C$9:$R$257,16,FALSE))</f>
        <v/>
      </c>
      <c r="N104" s="320" t="str">
        <f t="shared" si="8"/>
        <v/>
      </c>
      <c r="O104" s="362" t="str">
        <f t="shared" si="10"/>
        <v/>
      </c>
      <c r="P104" s="363" t="str">
        <f>IF(C104="","",IF(AND(LEFT(C104,55)&lt;&gt;LEFT(N104,55),O104="High - High"),"Error - Not like for like ▲",IF(H104&gt;U104,"Error - Can not reduce condition ▲",IF(AND(F104=S104,H104=U104,AJ104='C-1 On-Site WaterC'' Baseline'!N102,'C-1 On-Site WaterC'' Baseline'!P102=AL104),"Error - No enhancement ▲",IF(AND(C104&lt;&gt;N104,F104&lt;S104),"Lower Distinctiveness Habitat"&amp;" - "&amp;T104,G104&amp;" - "&amp;T104)))))</f>
        <v/>
      </c>
      <c r="Q104" s="425" t="str">
        <f>IF(N104="","",VLOOKUP(B104,'C-1 On-Site WaterC'' Baseline'!$C$10:$AB$257,19,FALSE))</f>
        <v/>
      </c>
      <c r="R104" s="362" t="str">
        <f>IF(N104="","",VLOOKUP(N104,'G-7 WaterC'' Data'!$B$2:$G$8,2,FALSE))</f>
        <v/>
      </c>
      <c r="S104" s="363" t="str">
        <f>IFERROR(VLOOKUP(R104,'G-7 WaterC'' Data'!$C$4:$D$8,2,FALSE),"")</f>
        <v/>
      </c>
      <c r="T104" s="114"/>
      <c r="U104" s="363" t="str">
        <f>IFERROR(INDEX('G-7 WaterC'' Data'!$H$4:$L$8,MATCH(N104,'G-7 WaterC'' Data'!$B$4:$B$8,0),MATCH(T104,'G-7 WaterC'' Data'!$H$3:$L$3,0)),"")</f>
        <v/>
      </c>
      <c r="V104" s="114"/>
      <c r="W104" s="370" t="str">
        <f>IF(V104="","",IF(VLOOKUP(V104,'G-7 WaterC'' Data'!$AK$4:$AM$6,2,FALSE)=0,"Spatial Data Missing ⚠",VLOOKUP(V104,'G-7 WaterC'' Data'!$AK$4:$AM$6,2,FALSE)))</f>
        <v/>
      </c>
      <c r="X104" s="363" t="str">
        <f>IF(V104="","",IF(VLOOKUP(V104,'G-7 WaterC'' Data'!$AK$4:$AM$6,3,FALSE)=0,"Spatial Data Missing ⚠",VLOOKUP(V104,'G-7 WaterC'' Data'!$AK$4:$AM$6,3,FALSE)))</f>
        <v/>
      </c>
      <c r="Y104" s="362" t="str">
        <f>IFERROR(IF(OR(LEFT(P104,5)="Error",LEFT(O104,5)="Error ▲"),"Check Data ⚠",IF(F104&lt;S104,'G-7 WaterC'' Data'!$R$3,INDEX('G-7 WaterC'' Data'!$U$5:$Y$9,MATCH(G104,'G-7 WaterC'' Data'!$T$5:$T$9,0),MATCH(T104,'G-7 WaterC'' Data'!$U$4:$Y$4,0)))),"")</f>
        <v/>
      </c>
      <c r="Z104" s="159"/>
      <c r="AA104" s="159"/>
      <c r="AB104" s="370" t="str">
        <f t="shared" si="11"/>
        <v/>
      </c>
      <c r="AC104" s="383" t="str">
        <f t="shared" si="12"/>
        <v/>
      </c>
      <c r="AD104" s="422" t="str">
        <f>IFERROR(IF(AC104="Check Data ⚠","Check Data ⚠",VLOOKUP(AC104,'G-4 Temporal multipliers'!$A$4:$C$37,3,FALSE)),"")</f>
        <v/>
      </c>
      <c r="AE104" s="362" t="str">
        <f>IF(N104="","",VLOOKUP(N104,'G-7 WaterC'' Data'!$B$4:$G$8,5,FALSE))</f>
        <v/>
      </c>
      <c r="AF104" s="370" t="str">
        <f t="shared" si="13"/>
        <v/>
      </c>
      <c r="AG104" s="401" t="str">
        <f t="shared" si="14"/>
        <v/>
      </c>
      <c r="AH104" s="363" t="str">
        <f t="shared" si="9"/>
        <v/>
      </c>
      <c r="AI104" s="122"/>
      <c r="AJ104" s="363" t="str">
        <f>IF(AI104="","",IF(VLOOKUP(AI104,'G-7 WaterC'' Data'!$AA$4:$AB$7,2,FALSE)=0,"Spatial Data Missing ⚠",VLOOKUP(AI104,'G-7 WaterC'' Data'!$AA$4:$AB$7,2,FALSE)))</f>
        <v/>
      </c>
      <c r="AK104" s="123"/>
      <c r="AL104" s="363" t="str">
        <f>IF(AK104="","",IF(VLOOKUP(AK104,'G-7 WaterC'' Data'!$AD$4:$AE$14,2,FALSE)=0,"Spatial Data Missing ⚠",VLOOKUP(AK104,'G-7 WaterC'' Data'!$AD$4:$AE$14,2,FALSE)))</f>
        <v/>
      </c>
      <c r="AM104" s="405" t="str">
        <f t="shared" si="15"/>
        <v/>
      </c>
      <c r="AN104" s="117"/>
      <c r="AO104" s="118"/>
      <c r="AP104" s="120"/>
      <c r="AV104" s="30" t="str">
        <f>IFERROR(INDEX('G-7 WaterC'' Data'!$AZ$3:$AZ$7,MATCH(N104,'G-7 WaterC'' Data'!$AY$3:$AY$7,0)),"")</f>
        <v/>
      </c>
    </row>
    <row r="105" spans="2:48" ht="15">
      <c r="B105" s="392" t="str">
        <f>'C-1 On-Site WaterC'' Baseline'!AO103</f>
        <v/>
      </c>
      <c r="C105" s="382" t="str">
        <f>IF(B105="","",VLOOKUP($B105,'C-1 On-Site WaterC'' Baseline'!$C$9:$R$257,2,FALSE))</f>
        <v/>
      </c>
      <c r="D105" s="382" t="str">
        <f>IF(C105="","",VLOOKUP($B105,'C-1 On-Site WaterC'' Baseline'!$C$9:$R$257,3,FALSE))</f>
        <v/>
      </c>
      <c r="E105" s="382" t="str">
        <f>IF(D105="","",VLOOKUP($B105,'C-1 On-Site WaterC'' Baseline'!$C$9:$R$257,4,FALSE))</f>
        <v/>
      </c>
      <c r="F105" s="382" t="str">
        <f>IF(E105="","",VLOOKUP($B105,'C-1 On-Site WaterC'' Baseline'!$C$9:$R$257,5,FALSE))</f>
        <v/>
      </c>
      <c r="G105" s="382" t="str">
        <f>IF(F105="","",VLOOKUP($B105,'C-1 On-Site WaterC'' Baseline'!$C$9:$R$257,6,FALSE))</f>
        <v/>
      </c>
      <c r="H105" s="382" t="str">
        <f>IF(G105="","",VLOOKUP($B105,'C-1 On-Site WaterC'' Baseline'!$C$9:$R$257,7,FALSE))</f>
        <v/>
      </c>
      <c r="I105" s="382" t="str">
        <f>IF(H105="","",VLOOKUP($B105,'C-1 On-Site WaterC'' Baseline'!$C$9:$R$257,8,FALSE))</f>
        <v/>
      </c>
      <c r="J105" s="382" t="str">
        <f>IF(I105="","",VLOOKUP($B105,'C-1 On-Site WaterC'' Baseline'!$C$9:$R$257,9,FALSE))</f>
        <v/>
      </c>
      <c r="K105" s="382" t="str">
        <f>IF(J105="","",VLOOKUP($B105,'C-1 On-Site WaterC'' Baseline'!$C$9:$R$257,10,FALSE))</f>
        <v/>
      </c>
      <c r="L105" s="382" t="str">
        <f>IF(B105="","",VLOOKUP($B105,'C-1 On-Site WaterC'' Baseline'!$C$9:$R$257,15,FALSE))</f>
        <v/>
      </c>
      <c r="M105" s="386" t="str">
        <f>IF(L105="","",VLOOKUP($B105,'C-1 On-Site WaterC'' Baseline'!$C$9:$R$257,16,FALSE))</f>
        <v/>
      </c>
      <c r="N105" s="320" t="str">
        <f t="shared" si="8"/>
        <v/>
      </c>
      <c r="O105" s="362" t="str">
        <f t="shared" si="10"/>
        <v/>
      </c>
      <c r="P105" s="363" t="str">
        <f>IF(C105="","",IF(AND(LEFT(C105,55)&lt;&gt;LEFT(N105,55),O105="High - High"),"Error - Not like for like ▲",IF(H105&gt;U105,"Error - Can not reduce condition ▲",IF(AND(F105=S105,H105=U105,AJ105='C-1 On-Site WaterC'' Baseline'!N103,'C-1 On-Site WaterC'' Baseline'!P103=AL105),"Error - No enhancement ▲",IF(AND(C105&lt;&gt;N105,F105&lt;S105),"Lower Distinctiveness Habitat"&amp;" - "&amp;T105,G105&amp;" - "&amp;T105)))))</f>
        <v/>
      </c>
      <c r="Q105" s="425" t="str">
        <f>IF(N105="","",VLOOKUP(B105,'C-1 On-Site WaterC'' Baseline'!$C$10:$AB$257,19,FALSE))</f>
        <v/>
      </c>
      <c r="R105" s="362" t="str">
        <f>IF(N105="","",VLOOKUP(N105,'G-7 WaterC'' Data'!$B$2:$G$8,2,FALSE))</f>
        <v/>
      </c>
      <c r="S105" s="363" t="str">
        <f>IFERROR(VLOOKUP(R105,'G-7 WaterC'' Data'!$C$4:$D$8,2,FALSE),"")</f>
        <v/>
      </c>
      <c r="T105" s="114"/>
      <c r="U105" s="363" t="str">
        <f>IFERROR(INDEX('G-7 WaterC'' Data'!$H$4:$L$8,MATCH(N105,'G-7 WaterC'' Data'!$B$4:$B$8,0),MATCH(T105,'G-7 WaterC'' Data'!$H$3:$L$3,0)),"")</f>
        <v/>
      </c>
      <c r="V105" s="114"/>
      <c r="W105" s="370" t="str">
        <f>IF(V105="","",IF(VLOOKUP(V105,'G-7 WaterC'' Data'!$AK$4:$AM$6,2,FALSE)=0,"Spatial Data Missing ⚠",VLOOKUP(V105,'G-7 WaterC'' Data'!$AK$4:$AM$6,2,FALSE)))</f>
        <v/>
      </c>
      <c r="X105" s="363" t="str">
        <f>IF(V105="","",IF(VLOOKUP(V105,'G-7 WaterC'' Data'!$AK$4:$AM$6,3,FALSE)=0,"Spatial Data Missing ⚠",VLOOKUP(V105,'G-7 WaterC'' Data'!$AK$4:$AM$6,3,FALSE)))</f>
        <v/>
      </c>
      <c r="Y105" s="362" t="str">
        <f>IFERROR(IF(OR(LEFT(P105,5)="Error",LEFT(O105,5)="Error ▲"),"Check Data ⚠",IF(F105&lt;S105,'G-7 WaterC'' Data'!$R$3,INDEX('G-7 WaterC'' Data'!$U$5:$Y$9,MATCH(G105,'G-7 WaterC'' Data'!$T$5:$T$9,0),MATCH(T105,'G-7 WaterC'' Data'!$U$4:$Y$4,0)))),"")</f>
        <v/>
      </c>
      <c r="Z105" s="159"/>
      <c r="AA105" s="159"/>
      <c r="AB105" s="370" t="str">
        <f t="shared" si="11"/>
        <v/>
      </c>
      <c r="AC105" s="383" t="str">
        <f t="shared" si="12"/>
        <v/>
      </c>
      <c r="AD105" s="422" t="str">
        <f>IFERROR(IF(AC105="Check Data ⚠","Check Data ⚠",VLOOKUP(AC105,'G-4 Temporal multipliers'!$A$4:$C$37,3,FALSE)),"")</f>
        <v/>
      </c>
      <c r="AE105" s="362" t="str">
        <f>IF(N105="","",VLOOKUP(N105,'G-7 WaterC'' Data'!$B$4:$G$8,5,FALSE))</f>
        <v/>
      </c>
      <c r="AF105" s="370" t="str">
        <f t="shared" si="13"/>
        <v/>
      </c>
      <c r="AG105" s="401" t="str">
        <f t="shared" si="14"/>
        <v/>
      </c>
      <c r="AH105" s="363" t="str">
        <f t="shared" si="9"/>
        <v/>
      </c>
      <c r="AI105" s="122"/>
      <c r="AJ105" s="363" t="str">
        <f>IF(AI105="","",IF(VLOOKUP(AI105,'G-7 WaterC'' Data'!$AA$4:$AB$7,2,FALSE)=0,"Spatial Data Missing ⚠",VLOOKUP(AI105,'G-7 WaterC'' Data'!$AA$4:$AB$7,2,FALSE)))</f>
        <v/>
      </c>
      <c r="AK105" s="123"/>
      <c r="AL105" s="363" t="str">
        <f>IF(AK105="","",IF(VLOOKUP(AK105,'G-7 WaterC'' Data'!$AD$4:$AE$14,2,FALSE)=0,"Spatial Data Missing ⚠",VLOOKUP(AK105,'G-7 WaterC'' Data'!$AD$4:$AE$14,2,FALSE)))</f>
        <v/>
      </c>
      <c r="AM105" s="405" t="str">
        <f t="shared" si="15"/>
        <v/>
      </c>
      <c r="AN105" s="117"/>
      <c r="AO105" s="118"/>
      <c r="AP105" s="120"/>
      <c r="AV105" s="30" t="str">
        <f>IFERROR(INDEX('G-7 WaterC'' Data'!$AZ$3:$AZ$7,MATCH(N105,'G-7 WaterC'' Data'!$AY$3:$AY$7,0)),"")</f>
        <v/>
      </c>
    </row>
    <row r="106" spans="2:48" ht="15">
      <c r="B106" s="392" t="str">
        <f>'C-1 On-Site WaterC'' Baseline'!AO104</f>
        <v/>
      </c>
      <c r="C106" s="382" t="str">
        <f>IF(B106="","",VLOOKUP($B106,'C-1 On-Site WaterC'' Baseline'!$C$9:$R$257,2,FALSE))</f>
        <v/>
      </c>
      <c r="D106" s="382" t="str">
        <f>IF(C106="","",VLOOKUP($B106,'C-1 On-Site WaterC'' Baseline'!$C$9:$R$257,3,FALSE))</f>
        <v/>
      </c>
      <c r="E106" s="382" t="str">
        <f>IF(D106="","",VLOOKUP($B106,'C-1 On-Site WaterC'' Baseline'!$C$9:$R$257,4,FALSE))</f>
        <v/>
      </c>
      <c r="F106" s="382" t="str">
        <f>IF(E106="","",VLOOKUP($B106,'C-1 On-Site WaterC'' Baseline'!$C$9:$R$257,5,FALSE))</f>
        <v/>
      </c>
      <c r="G106" s="382" t="str">
        <f>IF(F106="","",VLOOKUP($B106,'C-1 On-Site WaterC'' Baseline'!$C$9:$R$257,6,FALSE))</f>
        <v/>
      </c>
      <c r="H106" s="382" t="str">
        <f>IF(G106="","",VLOOKUP($B106,'C-1 On-Site WaterC'' Baseline'!$C$9:$R$257,7,FALSE))</f>
        <v/>
      </c>
      <c r="I106" s="382" t="str">
        <f>IF(H106="","",VLOOKUP($B106,'C-1 On-Site WaterC'' Baseline'!$C$9:$R$257,8,FALSE))</f>
        <v/>
      </c>
      <c r="J106" s="382" t="str">
        <f>IF(I106="","",VLOOKUP($B106,'C-1 On-Site WaterC'' Baseline'!$C$9:$R$257,9,FALSE))</f>
        <v/>
      </c>
      <c r="K106" s="382" t="str">
        <f>IF(J106="","",VLOOKUP($B106,'C-1 On-Site WaterC'' Baseline'!$C$9:$R$257,10,FALSE))</f>
        <v/>
      </c>
      <c r="L106" s="382" t="str">
        <f>IF(B106="","",VLOOKUP($B106,'C-1 On-Site WaterC'' Baseline'!$C$9:$R$257,15,FALSE))</f>
        <v/>
      </c>
      <c r="M106" s="386" t="str">
        <f>IF(L106="","",VLOOKUP($B106,'C-1 On-Site WaterC'' Baseline'!$C$9:$R$257,16,FALSE))</f>
        <v/>
      </c>
      <c r="N106" s="320" t="str">
        <f t="shared" si="8"/>
        <v/>
      </c>
      <c r="O106" s="362" t="str">
        <f t="shared" si="10"/>
        <v/>
      </c>
      <c r="P106" s="363" t="str">
        <f>IF(C106="","",IF(AND(LEFT(C106,55)&lt;&gt;LEFT(N106,55),O106="High - High"),"Error - Not like for like ▲",IF(H106&gt;U106,"Error - Can not reduce condition ▲",IF(AND(F106=S106,H106=U106,AJ106='C-1 On-Site WaterC'' Baseline'!N104,'C-1 On-Site WaterC'' Baseline'!P104=AL106),"Error - No enhancement ▲",IF(AND(C106&lt;&gt;N106,F106&lt;S106),"Lower Distinctiveness Habitat"&amp;" - "&amp;T106,G106&amp;" - "&amp;T106)))))</f>
        <v/>
      </c>
      <c r="Q106" s="425" t="str">
        <f>IF(N106="","",VLOOKUP(B106,'C-1 On-Site WaterC'' Baseline'!$C$10:$AB$257,19,FALSE))</f>
        <v/>
      </c>
      <c r="R106" s="362" t="str">
        <f>IF(N106="","",VLOOKUP(N106,'G-7 WaterC'' Data'!$B$2:$G$8,2,FALSE))</f>
        <v/>
      </c>
      <c r="S106" s="363" t="str">
        <f>IFERROR(VLOOKUP(R106,'G-7 WaterC'' Data'!$C$4:$D$8,2,FALSE),"")</f>
        <v/>
      </c>
      <c r="T106" s="114"/>
      <c r="U106" s="363" t="str">
        <f>IFERROR(INDEX('G-7 WaterC'' Data'!$H$4:$L$8,MATCH(N106,'G-7 WaterC'' Data'!$B$4:$B$8,0),MATCH(T106,'G-7 WaterC'' Data'!$H$3:$L$3,0)),"")</f>
        <v/>
      </c>
      <c r="V106" s="114"/>
      <c r="W106" s="370" t="str">
        <f>IF(V106="","",IF(VLOOKUP(V106,'G-7 WaterC'' Data'!$AK$4:$AM$6,2,FALSE)=0,"Spatial Data Missing ⚠",VLOOKUP(V106,'G-7 WaterC'' Data'!$AK$4:$AM$6,2,FALSE)))</f>
        <v/>
      </c>
      <c r="X106" s="363" t="str">
        <f>IF(V106="","",IF(VLOOKUP(V106,'G-7 WaterC'' Data'!$AK$4:$AM$6,3,FALSE)=0,"Spatial Data Missing ⚠",VLOOKUP(V106,'G-7 WaterC'' Data'!$AK$4:$AM$6,3,FALSE)))</f>
        <v/>
      </c>
      <c r="Y106" s="362" t="str">
        <f>IFERROR(IF(OR(LEFT(P106,5)="Error",LEFT(O106,5)="Error ▲"),"Check Data ⚠",IF(F106&lt;S106,'G-7 WaterC'' Data'!$R$3,INDEX('G-7 WaterC'' Data'!$U$5:$Y$9,MATCH(G106,'G-7 WaterC'' Data'!$T$5:$T$9,0),MATCH(T106,'G-7 WaterC'' Data'!$U$4:$Y$4,0)))),"")</f>
        <v/>
      </c>
      <c r="Z106" s="159"/>
      <c r="AA106" s="159"/>
      <c r="AB106" s="370" t="str">
        <f t="shared" si="11"/>
        <v/>
      </c>
      <c r="AC106" s="383" t="str">
        <f t="shared" si="12"/>
        <v/>
      </c>
      <c r="AD106" s="422" t="str">
        <f>IFERROR(IF(AC106="Check Data ⚠","Check Data ⚠",VLOOKUP(AC106,'G-4 Temporal multipliers'!$A$4:$C$37,3,FALSE)),"")</f>
        <v/>
      </c>
      <c r="AE106" s="362" t="str">
        <f>IF(N106="","",VLOOKUP(N106,'G-7 WaterC'' Data'!$B$4:$G$8,5,FALSE))</f>
        <v/>
      </c>
      <c r="AF106" s="370" t="str">
        <f t="shared" si="13"/>
        <v/>
      </c>
      <c r="AG106" s="401" t="str">
        <f t="shared" si="14"/>
        <v/>
      </c>
      <c r="AH106" s="363" t="str">
        <f t="shared" si="9"/>
        <v/>
      </c>
      <c r="AI106" s="122"/>
      <c r="AJ106" s="363" t="str">
        <f>IF(AI106="","",IF(VLOOKUP(AI106,'G-7 WaterC'' Data'!$AA$4:$AB$7,2,FALSE)=0,"Spatial Data Missing ⚠",VLOOKUP(AI106,'G-7 WaterC'' Data'!$AA$4:$AB$7,2,FALSE)))</f>
        <v/>
      </c>
      <c r="AK106" s="123"/>
      <c r="AL106" s="363" t="str">
        <f>IF(AK106="","",IF(VLOOKUP(AK106,'G-7 WaterC'' Data'!$AD$4:$AE$14,2,FALSE)=0,"Spatial Data Missing ⚠",VLOOKUP(AK106,'G-7 WaterC'' Data'!$AD$4:$AE$14,2,FALSE)))</f>
        <v/>
      </c>
      <c r="AM106" s="405" t="str">
        <f t="shared" si="15"/>
        <v/>
      </c>
      <c r="AN106" s="117"/>
      <c r="AO106" s="118"/>
      <c r="AP106" s="120"/>
      <c r="AV106" s="30" t="str">
        <f>IFERROR(INDEX('G-7 WaterC'' Data'!$AZ$3:$AZ$7,MATCH(N106,'G-7 WaterC'' Data'!$AY$3:$AY$7,0)),"")</f>
        <v/>
      </c>
    </row>
    <row r="107" spans="2:48" ht="15">
      <c r="B107" s="392" t="str">
        <f>'C-1 On-Site WaterC'' Baseline'!AO105</f>
        <v/>
      </c>
      <c r="C107" s="382" t="str">
        <f>IF(B107="","",VLOOKUP($B107,'C-1 On-Site WaterC'' Baseline'!$C$9:$R$257,2,FALSE))</f>
        <v/>
      </c>
      <c r="D107" s="382" t="str">
        <f>IF(C107="","",VLOOKUP($B107,'C-1 On-Site WaterC'' Baseline'!$C$9:$R$257,3,FALSE))</f>
        <v/>
      </c>
      <c r="E107" s="382" t="str">
        <f>IF(D107="","",VLOOKUP($B107,'C-1 On-Site WaterC'' Baseline'!$C$9:$R$257,4,FALSE))</f>
        <v/>
      </c>
      <c r="F107" s="382" t="str">
        <f>IF(E107="","",VLOOKUP($B107,'C-1 On-Site WaterC'' Baseline'!$C$9:$R$257,5,FALSE))</f>
        <v/>
      </c>
      <c r="G107" s="382" t="str">
        <f>IF(F107="","",VLOOKUP($B107,'C-1 On-Site WaterC'' Baseline'!$C$9:$R$257,6,FALSE))</f>
        <v/>
      </c>
      <c r="H107" s="382" t="str">
        <f>IF(G107="","",VLOOKUP($B107,'C-1 On-Site WaterC'' Baseline'!$C$9:$R$257,7,FALSE))</f>
        <v/>
      </c>
      <c r="I107" s="382" t="str">
        <f>IF(H107="","",VLOOKUP($B107,'C-1 On-Site WaterC'' Baseline'!$C$9:$R$257,8,FALSE))</f>
        <v/>
      </c>
      <c r="J107" s="382" t="str">
        <f>IF(I107="","",VLOOKUP($B107,'C-1 On-Site WaterC'' Baseline'!$C$9:$R$257,9,FALSE))</f>
        <v/>
      </c>
      <c r="K107" s="382" t="str">
        <f>IF(J107="","",VLOOKUP($B107,'C-1 On-Site WaterC'' Baseline'!$C$9:$R$257,10,FALSE))</f>
        <v/>
      </c>
      <c r="L107" s="382" t="str">
        <f>IF(B107="","",VLOOKUP($B107,'C-1 On-Site WaterC'' Baseline'!$C$9:$R$257,15,FALSE))</f>
        <v/>
      </c>
      <c r="M107" s="386" t="str">
        <f>IF(L107="","",VLOOKUP($B107,'C-1 On-Site WaterC'' Baseline'!$C$9:$R$257,16,FALSE))</f>
        <v/>
      </c>
      <c r="N107" s="320" t="str">
        <f t="shared" si="8"/>
        <v/>
      </c>
      <c r="O107" s="362" t="str">
        <f t="shared" si="10"/>
        <v/>
      </c>
      <c r="P107" s="363" t="str">
        <f>IF(C107="","",IF(AND(LEFT(C107,55)&lt;&gt;LEFT(N107,55),O107="High - High"),"Error - Not like for like ▲",IF(H107&gt;U107,"Error - Can not reduce condition ▲",IF(AND(F107=S107,H107=U107,AJ107='C-1 On-Site WaterC'' Baseline'!N105,'C-1 On-Site WaterC'' Baseline'!P105=AL107),"Error - No enhancement ▲",IF(AND(C107&lt;&gt;N107,F107&lt;S107),"Lower Distinctiveness Habitat"&amp;" - "&amp;T107,G107&amp;" - "&amp;T107)))))</f>
        <v/>
      </c>
      <c r="Q107" s="425" t="str">
        <f>IF(N107="","",VLOOKUP(B107,'C-1 On-Site WaterC'' Baseline'!$C$10:$AB$257,19,FALSE))</f>
        <v/>
      </c>
      <c r="R107" s="362" t="str">
        <f>IF(N107="","",VLOOKUP(N107,'G-7 WaterC'' Data'!$B$2:$G$8,2,FALSE))</f>
        <v/>
      </c>
      <c r="S107" s="363" t="str">
        <f>IFERROR(VLOOKUP(R107,'G-7 WaterC'' Data'!$C$4:$D$8,2,FALSE),"")</f>
        <v/>
      </c>
      <c r="T107" s="114"/>
      <c r="U107" s="363" t="str">
        <f>IFERROR(INDEX('G-7 WaterC'' Data'!$H$4:$L$8,MATCH(N107,'G-7 WaterC'' Data'!$B$4:$B$8,0),MATCH(T107,'G-7 WaterC'' Data'!$H$3:$L$3,0)),"")</f>
        <v/>
      </c>
      <c r="V107" s="114"/>
      <c r="W107" s="370" t="str">
        <f>IF(V107="","",IF(VLOOKUP(V107,'G-7 WaterC'' Data'!$AK$4:$AM$6,2,FALSE)=0,"Spatial Data Missing ⚠",VLOOKUP(V107,'G-7 WaterC'' Data'!$AK$4:$AM$6,2,FALSE)))</f>
        <v/>
      </c>
      <c r="X107" s="363" t="str">
        <f>IF(V107="","",IF(VLOOKUP(V107,'G-7 WaterC'' Data'!$AK$4:$AM$6,3,FALSE)=0,"Spatial Data Missing ⚠",VLOOKUP(V107,'G-7 WaterC'' Data'!$AK$4:$AM$6,3,FALSE)))</f>
        <v/>
      </c>
      <c r="Y107" s="362" t="str">
        <f>IFERROR(IF(OR(LEFT(P107,5)="Error",LEFT(O107,5)="Error ▲"),"Check Data ⚠",IF(F107&lt;S107,'G-7 WaterC'' Data'!$R$3,INDEX('G-7 WaterC'' Data'!$U$5:$Y$9,MATCH(G107,'G-7 WaterC'' Data'!$T$5:$T$9,0),MATCH(T107,'G-7 WaterC'' Data'!$U$4:$Y$4,0)))),"")</f>
        <v/>
      </c>
      <c r="Z107" s="159"/>
      <c r="AA107" s="159"/>
      <c r="AB107" s="370" t="str">
        <f t="shared" si="11"/>
        <v/>
      </c>
      <c r="AC107" s="383" t="str">
        <f t="shared" si="12"/>
        <v/>
      </c>
      <c r="AD107" s="422" t="str">
        <f>IFERROR(IF(AC107="Check Data ⚠","Check Data ⚠",VLOOKUP(AC107,'G-4 Temporal multipliers'!$A$4:$C$37,3,FALSE)),"")</f>
        <v/>
      </c>
      <c r="AE107" s="362" t="str">
        <f>IF(N107="","",VLOOKUP(N107,'G-7 WaterC'' Data'!$B$4:$G$8,5,FALSE))</f>
        <v/>
      </c>
      <c r="AF107" s="370" t="str">
        <f t="shared" si="13"/>
        <v/>
      </c>
      <c r="AG107" s="401" t="str">
        <f t="shared" si="14"/>
        <v/>
      </c>
      <c r="AH107" s="363" t="str">
        <f t="shared" si="9"/>
        <v/>
      </c>
      <c r="AI107" s="122"/>
      <c r="AJ107" s="363" t="str">
        <f>IF(AI107="","",IF(VLOOKUP(AI107,'G-7 WaterC'' Data'!$AA$4:$AB$7,2,FALSE)=0,"Spatial Data Missing ⚠",VLOOKUP(AI107,'G-7 WaterC'' Data'!$AA$4:$AB$7,2,FALSE)))</f>
        <v/>
      </c>
      <c r="AK107" s="123"/>
      <c r="AL107" s="363" t="str">
        <f>IF(AK107="","",IF(VLOOKUP(AK107,'G-7 WaterC'' Data'!$AD$4:$AE$14,2,FALSE)=0,"Spatial Data Missing ⚠",VLOOKUP(AK107,'G-7 WaterC'' Data'!$AD$4:$AE$14,2,FALSE)))</f>
        <v/>
      </c>
      <c r="AM107" s="405" t="str">
        <f t="shared" si="15"/>
        <v/>
      </c>
      <c r="AN107" s="117"/>
      <c r="AO107" s="118"/>
      <c r="AP107" s="120"/>
      <c r="AV107" s="30" t="str">
        <f>IFERROR(INDEX('G-7 WaterC'' Data'!$AZ$3:$AZ$7,MATCH(N107,'G-7 WaterC'' Data'!$AY$3:$AY$7,0)),"")</f>
        <v/>
      </c>
    </row>
    <row r="108" spans="2:48" ht="15">
      <c r="B108" s="392" t="str">
        <f>'C-1 On-Site WaterC'' Baseline'!AO106</f>
        <v/>
      </c>
      <c r="C108" s="382" t="str">
        <f>IF(B108="","",VLOOKUP($B108,'C-1 On-Site WaterC'' Baseline'!$C$9:$R$257,2,FALSE))</f>
        <v/>
      </c>
      <c r="D108" s="382" t="str">
        <f>IF(C108="","",VLOOKUP($B108,'C-1 On-Site WaterC'' Baseline'!$C$9:$R$257,3,FALSE))</f>
        <v/>
      </c>
      <c r="E108" s="382" t="str">
        <f>IF(D108="","",VLOOKUP($B108,'C-1 On-Site WaterC'' Baseline'!$C$9:$R$257,4,FALSE))</f>
        <v/>
      </c>
      <c r="F108" s="382" t="str">
        <f>IF(E108="","",VLOOKUP($B108,'C-1 On-Site WaterC'' Baseline'!$C$9:$R$257,5,FALSE))</f>
        <v/>
      </c>
      <c r="G108" s="382" t="str">
        <f>IF(F108="","",VLOOKUP($B108,'C-1 On-Site WaterC'' Baseline'!$C$9:$R$257,6,FALSE))</f>
        <v/>
      </c>
      <c r="H108" s="382" t="str">
        <f>IF(G108="","",VLOOKUP($B108,'C-1 On-Site WaterC'' Baseline'!$C$9:$R$257,7,FALSE))</f>
        <v/>
      </c>
      <c r="I108" s="382" t="str">
        <f>IF(H108="","",VLOOKUP($B108,'C-1 On-Site WaterC'' Baseline'!$C$9:$R$257,8,FALSE))</f>
        <v/>
      </c>
      <c r="J108" s="382" t="str">
        <f>IF(I108="","",VLOOKUP($B108,'C-1 On-Site WaterC'' Baseline'!$C$9:$R$257,9,FALSE))</f>
        <v/>
      </c>
      <c r="K108" s="382" t="str">
        <f>IF(J108="","",VLOOKUP($B108,'C-1 On-Site WaterC'' Baseline'!$C$9:$R$257,10,FALSE))</f>
        <v/>
      </c>
      <c r="L108" s="382" t="str">
        <f>IF(B108="","",VLOOKUP($B108,'C-1 On-Site WaterC'' Baseline'!$C$9:$R$257,15,FALSE))</f>
        <v/>
      </c>
      <c r="M108" s="386" t="str">
        <f>IF(L108="","",VLOOKUP($B108,'C-1 On-Site WaterC'' Baseline'!$C$9:$R$257,16,FALSE))</f>
        <v/>
      </c>
      <c r="N108" s="320" t="str">
        <f t="shared" si="8"/>
        <v/>
      </c>
      <c r="O108" s="362" t="str">
        <f t="shared" si="10"/>
        <v/>
      </c>
      <c r="P108" s="363" t="str">
        <f>IF(C108="","",IF(AND(LEFT(C108,55)&lt;&gt;LEFT(N108,55),O108="High - High"),"Error - Not like for like ▲",IF(H108&gt;U108,"Error - Can not reduce condition ▲",IF(AND(F108=S108,H108=U108,AJ108='C-1 On-Site WaterC'' Baseline'!N106,'C-1 On-Site WaterC'' Baseline'!P106=AL108),"Error - No enhancement ▲",IF(AND(C108&lt;&gt;N108,F108&lt;S108),"Lower Distinctiveness Habitat"&amp;" - "&amp;T108,G108&amp;" - "&amp;T108)))))</f>
        <v/>
      </c>
      <c r="Q108" s="425" t="str">
        <f>IF(N108="","",VLOOKUP(B108,'C-1 On-Site WaterC'' Baseline'!$C$10:$AB$257,19,FALSE))</f>
        <v/>
      </c>
      <c r="R108" s="362" t="str">
        <f>IF(N108="","",VLOOKUP(N108,'G-7 WaterC'' Data'!$B$2:$G$8,2,FALSE))</f>
        <v/>
      </c>
      <c r="S108" s="363" t="str">
        <f>IFERROR(VLOOKUP(R108,'G-7 WaterC'' Data'!$C$4:$D$8,2,FALSE),"")</f>
        <v/>
      </c>
      <c r="T108" s="114"/>
      <c r="U108" s="363" t="str">
        <f>IFERROR(INDEX('G-7 WaterC'' Data'!$H$4:$L$8,MATCH(N108,'G-7 WaterC'' Data'!$B$4:$B$8,0),MATCH(T108,'G-7 WaterC'' Data'!$H$3:$L$3,0)),"")</f>
        <v/>
      </c>
      <c r="V108" s="114"/>
      <c r="W108" s="370" t="str">
        <f>IF(V108="","",IF(VLOOKUP(V108,'G-7 WaterC'' Data'!$AK$4:$AM$6,2,FALSE)=0,"Spatial Data Missing ⚠",VLOOKUP(V108,'G-7 WaterC'' Data'!$AK$4:$AM$6,2,FALSE)))</f>
        <v/>
      </c>
      <c r="X108" s="363" t="str">
        <f>IF(V108="","",IF(VLOOKUP(V108,'G-7 WaterC'' Data'!$AK$4:$AM$6,3,FALSE)=0,"Spatial Data Missing ⚠",VLOOKUP(V108,'G-7 WaterC'' Data'!$AK$4:$AM$6,3,FALSE)))</f>
        <v/>
      </c>
      <c r="Y108" s="362" t="str">
        <f>IFERROR(IF(OR(LEFT(P108,5)="Error",LEFT(O108,5)="Error ▲"),"Check Data ⚠",IF(F108&lt;S108,'G-7 WaterC'' Data'!$R$3,INDEX('G-7 WaterC'' Data'!$U$5:$Y$9,MATCH(G108,'G-7 WaterC'' Data'!$T$5:$T$9,0),MATCH(T108,'G-7 WaterC'' Data'!$U$4:$Y$4,0)))),"")</f>
        <v/>
      </c>
      <c r="Z108" s="159"/>
      <c r="AA108" s="159"/>
      <c r="AB108" s="370" t="str">
        <f t="shared" si="11"/>
        <v/>
      </c>
      <c r="AC108" s="383" t="str">
        <f t="shared" si="12"/>
        <v/>
      </c>
      <c r="AD108" s="422" t="str">
        <f>IFERROR(IF(AC108="Check Data ⚠","Check Data ⚠",VLOOKUP(AC108,'G-4 Temporal multipliers'!$A$4:$C$37,3,FALSE)),"")</f>
        <v/>
      </c>
      <c r="AE108" s="362" t="str">
        <f>IF(N108="","",VLOOKUP(N108,'G-7 WaterC'' Data'!$B$4:$G$8,5,FALSE))</f>
        <v/>
      </c>
      <c r="AF108" s="370" t="str">
        <f t="shared" si="13"/>
        <v/>
      </c>
      <c r="AG108" s="401" t="str">
        <f t="shared" si="14"/>
        <v/>
      </c>
      <c r="AH108" s="363" t="str">
        <f t="shared" si="9"/>
        <v/>
      </c>
      <c r="AI108" s="122"/>
      <c r="AJ108" s="363" t="str">
        <f>IF(AI108="","",IF(VLOOKUP(AI108,'G-7 WaterC'' Data'!$AA$4:$AB$7,2,FALSE)=0,"Spatial Data Missing ⚠",VLOOKUP(AI108,'G-7 WaterC'' Data'!$AA$4:$AB$7,2,FALSE)))</f>
        <v/>
      </c>
      <c r="AK108" s="123"/>
      <c r="AL108" s="363" t="str">
        <f>IF(AK108="","",IF(VLOOKUP(AK108,'G-7 WaterC'' Data'!$AD$4:$AE$14,2,FALSE)=0,"Spatial Data Missing ⚠",VLOOKUP(AK108,'G-7 WaterC'' Data'!$AD$4:$AE$14,2,FALSE)))</f>
        <v/>
      </c>
      <c r="AM108" s="405" t="str">
        <f t="shared" si="15"/>
        <v/>
      </c>
      <c r="AN108" s="117"/>
      <c r="AO108" s="118"/>
      <c r="AP108" s="120"/>
      <c r="AV108" s="30" t="str">
        <f>IFERROR(INDEX('G-7 WaterC'' Data'!$AZ$3:$AZ$7,MATCH(N108,'G-7 WaterC'' Data'!$AY$3:$AY$7,0)),"")</f>
        <v/>
      </c>
    </row>
    <row r="109" spans="2:48" ht="15">
      <c r="B109" s="392" t="str">
        <f>'C-1 On-Site WaterC'' Baseline'!AO107</f>
        <v/>
      </c>
      <c r="C109" s="382" t="str">
        <f>IF(B109="","",VLOOKUP($B109,'C-1 On-Site WaterC'' Baseline'!$C$9:$R$257,2,FALSE))</f>
        <v/>
      </c>
      <c r="D109" s="382" t="str">
        <f>IF(C109="","",VLOOKUP($B109,'C-1 On-Site WaterC'' Baseline'!$C$9:$R$257,3,FALSE))</f>
        <v/>
      </c>
      <c r="E109" s="382" t="str">
        <f>IF(D109="","",VLOOKUP($B109,'C-1 On-Site WaterC'' Baseline'!$C$9:$R$257,4,FALSE))</f>
        <v/>
      </c>
      <c r="F109" s="382" t="str">
        <f>IF(E109="","",VLOOKUP($B109,'C-1 On-Site WaterC'' Baseline'!$C$9:$R$257,5,FALSE))</f>
        <v/>
      </c>
      <c r="G109" s="382" t="str">
        <f>IF(F109="","",VLOOKUP($B109,'C-1 On-Site WaterC'' Baseline'!$C$9:$R$257,6,FALSE))</f>
        <v/>
      </c>
      <c r="H109" s="382" t="str">
        <f>IF(G109="","",VLOOKUP($B109,'C-1 On-Site WaterC'' Baseline'!$C$9:$R$257,7,FALSE))</f>
        <v/>
      </c>
      <c r="I109" s="382" t="str">
        <f>IF(H109="","",VLOOKUP($B109,'C-1 On-Site WaterC'' Baseline'!$C$9:$R$257,8,FALSE))</f>
        <v/>
      </c>
      <c r="J109" s="382" t="str">
        <f>IF(I109="","",VLOOKUP($B109,'C-1 On-Site WaterC'' Baseline'!$C$9:$R$257,9,FALSE))</f>
        <v/>
      </c>
      <c r="K109" s="382" t="str">
        <f>IF(J109="","",VLOOKUP($B109,'C-1 On-Site WaterC'' Baseline'!$C$9:$R$257,10,FALSE))</f>
        <v/>
      </c>
      <c r="L109" s="382" t="str">
        <f>IF(B109="","",VLOOKUP($B109,'C-1 On-Site WaterC'' Baseline'!$C$9:$R$257,15,FALSE))</f>
        <v/>
      </c>
      <c r="M109" s="386" t="str">
        <f>IF(L109="","",VLOOKUP($B109,'C-1 On-Site WaterC'' Baseline'!$C$9:$R$257,16,FALSE))</f>
        <v/>
      </c>
      <c r="N109" s="320" t="str">
        <f t="shared" si="8"/>
        <v/>
      </c>
      <c r="O109" s="362" t="str">
        <f t="shared" si="10"/>
        <v/>
      </c>
      <c r="P109" s="363" t="str">
        <f>IF(C109="","",IF(AND(LEFT(C109,55)&lt;&gt;LEFT(N109,55),O109="High - High"),"Error - Not like for like ▲",IF(H109&gt;U109,"Error - Can not reduce condition ▲",IF(AND(F109=S109,H109=U109,AJ109='C-1 On-Site WaterC'' Baseline'!N107,'C-1 On-Site WaterC'' Baseline'!P107=AL109),"Error - No enhancement ▲",IF(AND(C109&lt;&gt;N109,F109&lt;S109),"Lower Distinctiveness Habitat"&amp;" - "&amp;T109,G109&amp;" - "&amp;T109)))))</f>
        <v/>
      </c>
      <c r="Q109" s="425" t="str">
        <f>IF(N109="","",VLOOKUP(B109,'C-1 On-Site WaterC'' Baseline'!$C$10:$AB$257,19,FALSE))</f>
        <v/>
      </c>
      <c r="R109" s="362" t="str">
        <f>IF(N109="","",VLOOKUP(N109,'G-7 WaterC'' Data'!$B$2:$G$8,2,FALSE))</f>
        <v/>
      </c>
      <c r="S109" s="363" t="str">
        <f>IFERROR(VLOOKUP(R109,'G-7 WaterC'' Data'!$C$4:$D$8,2,FALSE),"")</f>
        <v/>
      </c>
      <c r="T109" s="114"/>
      <c r="U109" s="363" t="str">
        <f>IFERROR(INDEX('G-7 WaterC'' Data'!$H$4:$L$8,MATCH(N109,'G-7 WaterC'' Data'!$B$4:$B$8,0),MATCH(T109,'G-7 WaterC'' Data'!$H$3:$L$3,0)),"")</f>
        <v/>
      </c>
      <c r="V109" s="114"/>
      <c r="W109" s="370" t="str">
        <f>IF(V109="","",IF(VLOOKUP(V109,'G-7 WaterC'' Data'!$AK$4:$AM$6,2,FALSE)=0,"Spatial Data Missing ⚠",VLOOKUP(V109,'G-7 WaterC'' Data'!$AK$4:$AM$6,2,FALSE)))</f>
        <v/>
      </c>
      <c r="X109" s="363" t="str">
        <f>IF(V109="","",IF(VLOOKUP(V109,'G-7 WaterC'' Data'!$AK$4:$AM$6,3,FALSE)=0,"Spatial Data Missing ⚠",VLOOKUP(V109,'G-7 WaterC'' Data'!$AK$4:$AM$6,3,FALSE)))</f>
        <v/>
      </c>
      <c r="Y109" s="362" t="str">
        <f>IFERROR(IF(OR(LEFT(P109,5)="Error",LEFT(O109,5)="Error ▲"),"Check Data ⚠",IF(F109&lt;S109,'G-7 WaterC'' Data'!$R$3,INDEX('G-7 WaterC'' Data'!$U$5:$Y$9,MATCH(G109,'G-7 WaterC'' Data'!$T$5:$T$9,0),MATCH(T109,'G-7 WaterC'' Data'!$U$4:$Y$4,0)))),"")</f>
        <v/>
      </c>
      <c r="Z109" s="159"/>
      <c r="AA109" s="159"/>
      <c r="AB109" s="370" t="str">
        <f t="shared" si="11"/>
        <v/>
      </c>
      <c r="AC109" s="383" t="str">
        <f t="shared" si="12"/>
        <v/>
      </c>
      <c r="AD109" s="422" t="str">
        <f>IFERROR(IF(AC109="Check Data ⚠","Check Data ⚠",VLOOKUP(AC109,'G-4 Temporal multipliers'!$A$4:$C$37,3,FALSE)),"")</f>
        <v/>
      </c>
      <c r="AE109" s="362" t="str">
        <f>IF(N109="","",VLOOKUP(N109,'G-7 WaterC'' Data'!$B$4:$G$8,5,FALSE))</f>
        <v/>
      </c>
      <c r="AF109" s="370" t="str">
        <f t="shared" si="13"/>
        <v/>
      </c>
      <c r="AG109" s="401" t="str">
        <f t="shared" si="14"/>
        <v/>
      </c>
      <c r="AH109" s="363" t="str">
        <f t="shared" si="9"/>
        <v/>
      </c>
      <c r="AI109" s="122"/>
      <c r="AJ109" s="363" t="str">
        <f>IF(AI109="","",IF(VLOOKUP(AI109,'G-7 WaterC'' Data'!$AA$4:$AB$7,2,FALSE)=0,"Spatial Data Missing ⚠",VLOOKUP(AI109,'G-7 WaterC'' Data'!$AA$4:$AB$7,2,FALSE)))</f>
        <v/>
      </c>
      <c r="AK109" s="123"/>
      <c r="AL109" s="363" t="str">
        <f>IF(AK109="","",IF(VLOOKUP(AK109,'G-7 WaterC'' Data'!$AD$4:$AE$14,2,FALSE)=0,"Spatial Data Missing ⚠",VLOOKUP(AK109,'G-7 WaterC'' Data'!$AD$4:$AE$14,2,FALSE)))</f>
        <v/>
      </c>
      <c r="AM109" s="405" t="str">
        <f t="shared" si="15"/>
        <v/>
      </c>
      <c r="AN109" s="117"/>
      <c r="AO109" s="118"/>
      <c r="AP109" s="120"/>
      <c r="AV109" s="30" t="str">
        <f>IFERROR(INDEX('G-7 WaterC'' Data'!$AZ$3:$AZ$7,MATCH(N109,'G-7 WaterC'' Data'!$AY$3:$AY$7,0)),"")</f>
        <v/>
      </c>
    </row>
    <row r="110" spans="2:48" ht="15">
      <c r="B110" s="392" t="str">
        <f>'C-1 On-Site WaterC'' Baseline'!AO108</f>
        <v/>
      </c>
      <c r="C110" s="382" t="str">
        <f>IF(B110="","",VLOOKUP($B110,'C-1 On-Site WaterC'' Baseline'!$C$9:$R$257,2,FALSE))</f>
        <v/>
      </c>
      <c r="D110" s="382" t="str">
        <f>IF(C110="","",VLOOKUP($B110,'C-1 On-Site WaterC'' Baseline'!$C$9:$R$257,3,FALSE))</f>
        <v/>
      </c>
      <c r="E110" s="382" t="str">
        <f>IF(D110="","",VLOOKUP($B110,'C-1 On-Site WaterC'' Baseline'!$C$9:$R$257,4,FALSE))</f>
        <v/>
      </c>
      <c r="F110" s="382" t="str">
        <f>IF(E110="","",VLOOKUP($B110,'C-1 On-Site WaterC'' Baseline'!$C$9:$R$257,5,FALSE))</f>
        <v/>
      </c>
      <c r="G110" s="382" t="str">
        <f>IF(F110="","",VLOOKUP($B110,'C-1 On-Site WaterC'' Baseline'!$C$9:$R$257,6,FALSE))</f>
        <v/>
      </c>
      <c r="H110" s="382" t="str">
        <f>IF(G110="","",VLOOKUP($B110,'C-1 On-Site WaterC'' Baseline'!$C$9:$R$257,7,FALSE))</f>
        <v/>
      </c>
      <c r="I110" s="382" t="str">
        <f>IF(H110="","",VLOOKUP($B110,'C-1 On-Site WaterC'' Baseline'!$C$9:$R$257,8,FALSE))</f>
        <v/>
      </c>
      <c r="J110" s="382" t="str">
        <f>IF(I110="","",VLOOKUP($B110,'C-1 On-Site WaterC'' Baseline'!$C$9:$R$257,9,FALSE))</f>
        <v/>
      </c>
      <c r="K110" s="382" t="str">
        <f>IF(J110="","",VLOOKUP($B110,'C-1 On-Site WaterC'' Baseline'!$C$9:$R$257,10,FALSE))</f>
        <v/>
      </c>
      <c r="L110" s="382" t="str">
        <f>IF(B110="","",VLOOKUP($B110,'C-1 On-Site WaterC'' Baseline'!$C$9:$R$257,15,FALSE))</f>
        <v/>
      </c>
      <c r="M110" s="386" t="str">
        <f>IF(L110="","",VLOOKUP($B110,'C-1 On-Site WaterC'' Baseline'!$C$9:$R$257,16,FALSE))</f>
        <v/>
      </c>
      <c r="N110" s="320" t="str">
        <f t="shared" si="8"/>
        <v/>
      </c>
      <c r="O110" s="362" t="str">
        <f t="shared" si="10"/>
        <v/>
      </c>
      <c r="P110" s="363" t="str">
        <f>IF(C110="","",IF(AND(LEFT(C110,55)&lt;&gt;LEFT(N110,55),O110="High - High"),"Error - Not like for like ▲",IF(H110&gt;U110,"Error - Can not reduce condition ▲",IF(AND(F110=S110,H110=U110,AJ110='C-1 On-Site WaterC'' Baseline'!N108,'C-1 On-Site WaterC'' Baseline'!P108=AL110),"Error - No enhancement ▲",IF(AND(C110&lt;&gt;N110,F110&lt;S110),"Lower Distinctiveness Habitat"&amp;" - "&amp;T110,G110&amp;" - "&amp;T110)))))</f>
        <v/>
      </c>
      <c r="Q110" s="425" t="str">
        <f>IF(N110="","",VLOOKUP(B110,'C-1 On-Site WaterC'' Baseline'!$C$10:$AB$257,19,FALSE))</f>
        <v/>
      </c>
      <c r="R110" s="362" t="str">
        <f>IF(N110="","",VLOOKUP(N110,'G-7 WaterC'' Data'!$B$2:$G$8,2,FALSE))</f>
        <v/>
      </c>
      <c r="S110" s="363" t="str">
        <f>IFERROR(VLOOKUP(R110,'G-7 WaterC'' Data'!$C$4:$D$8,2,FALSE),"")</f>
        <v/>
      </c>
      <c r="T110" s="114"/>
      <c r="U110" s="363" t="str">
        <f>IFERROR(INDEX('G-7 WaterC'' Data'!$H$4:$L$8,MATCH(N110,'G-7 WaterC'' Data'!$B$4:$B$8,0),MATCH(T110,'G-7 WaterC'' Data'!$H$3:$L$3,0)),"")</f>
        <v/>
      </c>
      <c r="V110" s="114"/>
      <c r="W110" s="370" t="str">
        <f>IF(V110="","",IF(VLOOKUP(V110,'G-7 WaterC'' Data'!$AK$4:$AM$6,2,FALSE)=0,"Spatial Data Missing ⚠",VLOOKUP(V110,'G-7 WaterC'' Data'!$AK$4:$AM$6,2,FALSE)))</f>
        <v/>
      </c>
      <c r="X110" s="363" t="str">
        <f>IF(V110="","",IF(VLOOKUP(V110,'G-7 WaterC'' Data'!$AK$4:$AM$6,3,FALSE)=0,"Spatial Data Missing ⚠",VLOOKUP(V110,'G-7 WaterC'' Data'!$AK$4:$AM$6,3,FALSE)))</f>
        <v/>
      </c>
      <c r="Y110" s="362" t="str">
        <f>IFERROR(IF(OR(LEFT(P110,5)="Error",LEFT(O110,5)="Error ▲"),"Check Data ⚠",IF(F110&lt;S110,'G-7 WaterC'' Data'!$R$3,INDEX('G-7 WaterC'' Data'!$U$5:$Y$9,MATCH(G110,'G-7 WaterC'' Data'!$T$5:$T$9,0),MATCH(T110,'G-7 WaterC'' Data'!$U$4:$Y$4,0)))),"")</f>
        <v/>
      </c>
      <c r="Z110" s="159"/>
      <c r="AA110" s="159"/>
      <c r="AB110" s="370" t="str">
        <f t="shared" si="11"/>
        <v/>
      </c>
      <c r="AC110" s="383" t="str">
        <f t="shared" si="12"/>
        <v/>
      </c>
      <c r="AD110" s="422" t="str">
        <f>IFERROR(IF(AC110="Check Data ⚠","Check Data ⚠",VLOOKUP(AC110,'G-4 Temporal multipliers'!$A$4:$C$37,3,FALSE)),"")</f>
        <v/>
      </c>
      <c r="AE110" s="362" t="str">
        <f>IF(N110="","",VLOOKUP(N110,'G-7 WaterC'' Data'!$B$4:$G$8,5,FALSE))</f>
        <v/>
      </c>
      <c r="AF110" s="370" t="str">
        <f t="shared" si="13"/>
        <v/>
      </c>
      <c r="AG110" s="401" t="str">
        <f t="shared" si="14"/>
        <v/>
      </c>
      <c r="AH110" s="363" t="str">
        <f t="shared" si="9"/>
        <v/>
      </c>
      <c r="AI110" s="122"/>
      <c r="AJ110" s="363" t="str">
        <f>IF(AI110="","",IF(VLOOKUP(AI110,'G-7 WaterC'' Data'!$AA$4:$AB$7,2,FALSE)=0,"Spatial Data Missing ⚠",VLOOKUP(AI110,'G-7 WaterC'' Data'!$AA$4:$AB$7,2,FALSE)))</f>
        <v/>
      </c>
      <c r="AK110" s="123"/>
      <c r="AL110" s="363" t="str">
        <f>IF(AK110="","",IF(VLOOKUP(AK110,'G-7 WaterC'' Data'!$AD$4:$AE$14,2,FALSE)=0,"Spatial Data Missing ⚠",VLOOKUP(AK110,'G-7 WaterC'' Data'!$AD$4:$AE$14,2,FALSE)))</f>
        <v/>
      </c>
      <c r="AM110" s="405" t="str">
        <f t="shared" si="15"/>
        <v/>
      </c>
      <c r="AN110" s="117"/>
      <c r="AO110" s="118"/>
      <c r="AP110" s="120"/>
      <c r="AV110" s="30" t="str">
        <f>IFERROR(INDEX('G-7 WaterC'' Data'!$AZ$3:$AZ$7,MATCH(N110,'G-7 WaterC'' Data'!$AY$3:$AY$7,0)),"")</f>
        <v/>
      </c>
    </row>
    <row r="111" spans="2:48" ht="15">
      <c r="B111" s="392" t="str">
        <f>'C-1 On-Site WaterC'' Baseline'!AO109</f>
        <v/>
      </c>
      <c r="C111" s="382" t="str">
        <f>IF(B111="","",VLOOKUP($B111,'C-1 On-Site WaterC'' Baseline'!$C$9:$R$257,2,FALSE))</f>
        <v/>
      </c>
      <c r="D111" s="382" t="str">
        <f>IF(C111="","",VLOOKUP($B111,'C-1 On-Site WaterC'' Baseline'!$C$9:$R$257,3,FALSE))</f>
        <v/>
      </c>
      <c r="E111" s="382" t="str">
        <f>IF(D111="","",VLOOKUP($B111,'C-1 On-Site WaterC'' Baseline'!$C$9:$R$257,4,FALSE))</f>
        <v/>
      </c>
      <c r="F111" s="382" t="str">
        <f>IF(E111="","",VLOOKUP($B111,'C-1 On-Site WaterC'' Baseline'!$C$9:$R$257,5,FALSE))</f>
        <v/>
      </c>
      <c r="G111" s="382" t="str">
        <f>IF(F111="","",VLOOKUP($B111,'C-1 On-Site WaterC'' Baseline'!$C$9:$R$257,6,FALSE))</f>
        <v/>
      </c>
      <c r="H111" s="382" t="str">
        <f>IF(G111="","",VLOOKUP($B111,'C-1 On-Site WaterC'' Baseline'!$C$9:$R$257,7,FALSE))</f>
        <v/>
      </c>
      <c r="I111" s="382" t="str">
        <f>IF(H111="","",VLOOKUP($B111,'C-1 On-Site WaterC'' Baseline'!$C$9:$R$257,8,FALSE))</f>
        <v/>
      </c>
      <c r="J111" s="382" t="str">
        <f>IF(I111="","",VLOOKUP($B111,'C-1 On-Site WaterC'' Baseline'!$C$9:$R$257,9,FALSE))</f>
        <v/>
      </c>
      <c r="K111" s="382" t="str">
        <f>IF(J111="","",VLOOKUP($B111,'C-1 On-Site WaterC'' Baseline'!$C$9:$R$257,10,FALSE))</f>
        <v/>
      </c>
      <c r="L111" s="382" t="str">
        <f>IF(B111="","",VLOOKUP($B111,'C-1 On-Site WaterC'' Baseline'!$C$9:$R$257,15,FALSE))</f>
        <v/>
      </c>
      <c r="M111" s="386" t="str">
        <f>IF(L111="","",VLOOKUP($B111,'C-1 On-Site WaterC'' Baseline'!$C$9:$R$257,16,FALSE))</f>
        <v/>
      </c>
      <c r="N111" s="320" t="str">
        <f t="shared" si="8"/>
        <v/>
      </c>
      <c r="O111" s="362" t="str">
        <f t="shared" si="10"/>
        <v/>
      </c>
      <c r="P111" s="363" t="str">
        <f>IF(C111="","",IF(AND(LEFT(C111,55)&lt;&gt;LEFT(N111,55),O111="High - High"),"Error - Not like for like ▲",IF(H111&gt;U111,"Error - Can not reduce condition ▲",IF(AND(F111=S111,H111=U111,AJ111='C-1 On-Site WaterC'' Baseline'!N109,'C-1 On-Site WaterC'' Baseline'!P109=AL111),"Error - No enhancement ▲",IF(AND(C111&lt;&gt;N111,F111&lt;S111),"Lower Distinctiveness Habitat"&amp;" - "&amp;T111,G111&amp;" - "&amp;T111)))))</f>
        <v/>
      </c>
      <c r="Q111" s="425" t="str">
        <f>IF(N111="","",VLOOKUP(B111,'C-1 On-Site WaterC'' Baseline'!$C$10:$AB$257,19,FALSE))</f>
        <v/>
      </c>
      <c r="R111" s="362" t="str">
        <f>IF(N111="","",VLOOKUP(N111,'G-7 WaterC'' Data'!$B$2:$G$8,2,FALSE))</f>
        <v/>
      </c>
      <c r="S111" s="363" t="str">
        <f>IFERROR(VLOOKUP(R111,'G-7 WaterC'' Data'!$C$4:$D$8,2,FALSE),"")</f>
        <v/>
      </c>
      <c r="T111" s="114"/>
      <c r="U111" s="363" t="str">
        <f>IFERROR(INDEX('G-7 WaterC'' Data'!$H$4:$L$8,MATCH(N111,'G-7 WaterC'' Data'!$B$4:$B$8,0),MATCH(T111,'G-7 WaterC'' Data'!$H$3:$L$3,0)),"")</f>
        <v/>
      </c>
      <c r="V111" s="114"/>
      <c r="W111" s="370" t="str">
        <f>IF(V111="","",IF(VLOOKUP(V111,'G-7 WaterC'' Data'!$AK$4:$AM$6,2,FALSE)=0,"Spatial Data Missing ⚠",VLOOKUP(V111,'G-7 WaterC'' Data'!$AK$4:$AM$6,2,FALSE)))</f>
        <v/>
      </c>
      <c r="X111" s="363" t="str">
        <f>IF(V111="","",IF(VLOOKUP(V111,'G-7 WaterC'' Data'!$AK$4:$AM$6,3,FALSE)=0,"Spatial Data Missing ⚠",VLOOKUP(V111,'G-7 WaterC'' Data'!$AK$4:$AM$6,3,FALSE)))</f>
        <v/>
      </c>
      <c r="Y111" s="362" t="str">
        <f>IFERROR(IF(OR(LEFT(P111,5)="Error",LEFT(O111,5)="Error ▲"),"Check Data ⚠",IF(F111&lt;S111,'G-7 WaterC'' Data'!$R$3,INDEX('G-7 WaterC'' Data'!$U$5:$Y$9,MATCH(G111,'G-7 WaterC'' Data'!$T$5:$T$9,0),MATCH(T111,'G-7 WaterC'' Data'!$U$4:$Y$4,0)))),"")</f>
        <v/>
      </c>
      <c r="Z111" s="159"/>
      <c r="AA111" s="159"/>
      <c r="AB111" s="370" t="str">
        <f t="shared" si="11"/>
        <v/>
      </c>
      <c r="AC111" s="383" t="str">
        <f t="shared" si="12"/>
        <v/>
      </c>
      <c r="AD111" s="422" t="str">
        <f>IFERROR(IF(AC111="Check Data ⚠","Check Data ⚠",VLOOKUP(AC111,'G-4 Temporal multipliers'!$A$4:$C$37,3,FALSE)),"")</f>
        <v/>
      </c>
      <c r="AE111" s="362" t="str">
        <f>IF(N111="","",VLOOKUP(N111,'G-7 WaterC'' Data'!$B$4:$G$8,5,FALSE))</f>
        <v/>
      </c>
      <c r="AF111" s="370" t="str">
        <f t="shared" si="13"/>
        <v/>
      </c>
      <c r="AG111" s="401" t="str">
        <f t="shared" si="14"/>
        <v/>
      </c>
      <c r="AH111" s="363" t="str">
        <f t="shared" si="9"/>
        <v/>
      </c>
      <c r="AI111" s="122"/>
      <c r="AJ111" s="363" t="str">
        <f>IF(AI111="","",IF(VLOOKUP(AI111,'G-7 WaterC'' Data'!$AA$4:$AB$7,2,FALSE)=0,"Spatial Data Missing ⚠",VLOOKUP(AI111,'G-7 WaterC'' Data'!$AA$4:$AB$7,2,FALSE)))</f>
        <v/>
      </c>
      <c r="AK111" s="123"/>
      <c r="AL111" s="363" t="str">
        <f>IF(AK111="","",IF(VLOOKUP(AK111,'G-7 WaterC'' Data'!$AD$4:$AE$14,2,FALSE)=0,"Spatial Data Missing ⚠",VLOOKUP(AK111,'G-7 WaterC'' Data'!$AD$4:$AE$14,2,FALSE)))</f>
        <v/>
      </c>
      <c r="AM111" s="405" t="str">
        <f t="shared" si="15"/>
        <v/>
      </c>
      <c r="AN111" s="117"/>
      <c r="AO111" s="118"/>
      <c r="AP111" s="120"/>
      <c r="AV111" s="30" t="str">
        <f>IFERROR(INDEX('G-7 WaterC'' Data'!$AZ$3:$AZ$7,MATCH(N111,'G-7 WaterC'' Data'!$AY$3:$AY$7,0)),"")</f>
        <v/>
      </c>
    </row>
    <row r="112" spans="2:48" ht="15">
      <c r="B112" s="392" t="str">
        <f>'C-1 On-Site WaterC'' Baseline'!AO110</f>
        <v/>
      </c>
      <c r="C112" s="382" t="str">
        <f>IF(B112="","",VLOOKUP($B112,'C-1 On-Site WaterC'' Baseline'!$C$9:$R$257,2,FALSE))</f>
        <v/>
      </c>
      <c r="D112" s="382" t="str">
        <f>IF(C112="","",VLOOKUP($B112,'C-1 On-Site WaterC'' Baseline'!$C$9:$R$257,3,FALSE))</f>
        <v/>
      </c>
      <c r="E112" s="382" t="str">
        <f>IF(D112="","",VLOOKUP($B112,'C-1 On-Site WaterC'' Baseline'!$C$9:$R$257,4,FALSE))</f>
        <v/>
      </c>
      <c r="F112" s="382" t="str">
        <f>IF(E112="","",VLOOKUP($B112,'C-1 On-Site WaterC'' Baseline'!$C$9:$R$257,5,FALSE))</f>
        <v/>
      </c>
      <c r="G112" s="382" t="str">
        <f>IF(F112="","",VLOOKUP($B112,'C-1 On-Site WaterC'' Baseline'!$C$9:$R$257,6,FALSE))</f>
        <v/>
      </c>
      <c r="H112" s="382" t="str">
        <f>IF(G112="","",VLOOKUP($B112,'C-1 On-Site WaterC'' Baseline'!$C$9:$R$257,7,FALSE))</f>
        <v/>
      </c>
      <c r="I112" s="382" t="str">
        <f>IF(H112="","",VLOOKUP($B112,'C-1 On-Site WaterC'' Baseline'!$C$9:$R$257,8,FALSE))</f>
        <v/>
      </c>
      <c r="J112" s="382" t="str">
        <f>IF(I112="","",VLOOKUP($B112,'C-1 On-Site WaterC'' Baseline'!$C$9:$R$257,9,FALSE))</f>
        <v/>
      </c>
      <c r="K112" s="382" t="str">
        <f>IF(J112="","",VLOOKUP($B112,'C-1 On-Site WaterC'' Baseline'!$C$9:$R$257,10,FALSE))</f>
        <v/>
      </c>
      <c r="L112" s="382" t="str">
        <f>IF(B112="","",VLOOKUP($B112,'C-1 On-Site WaterC'' Baseline'!$C$9:$R$257,15,FALSE))</f>
        <v/>
      </c>
      <c r="M112" s="386" t="str">
        <f>IF(L112="","",VLOOKUP($B112,'C-1 On-Site WaterC'' Baseline'!$C$9:$R$257,16,FALSE))</f>
        <v/>
      </c>
      <c r="N112" s="320" t="str">
        <f t="shared" si="8"/>
        <v/>
      </c>
      <c r="O112" s="362" t="str">
        <f t="shared" si="10"/>
        <v/>
      </c>
      <c r="P112" s="363" t="str">
        <f>IF(C112="","",IF(AND(LEFT(C112,55)&lt;&gt;LEFT(N112,55),O112="High - High"),"Error - Not like for like ▲",IF(H112&gt;U112,"Error - Can not reduce condition ▲",IF(AND(F112=S112,H112=U112,AJ112='C-1 On-Site WaterC'' Baseline'!N110,'C-1 On-Site WaterC'' Baseline'!P110=AL112),"Error - No enhancement ▲",IF(AND(C112&lt;&gt;N112,F112&lt;S112),"Lower Distinctiveness Habitat"&amp;" - "&amp;T112,G112&amp;" - "&amp;T112)))))</f>
        <v/>
      </c>
      <c r="Q112" s="425" t="str">
        <f>IF(N112="","",VLOOKUP(B112,'C-1 On-Site WaterC'' Baseline'!$C$10:$AB$257,19,FALSE))</f>
        <v/>
      </c>
      <c r="R112" s="362" t="str">
        <f>IF(N112="","",VLOOKUP(N112,'G-7 WaterC'' Data'!$B$2:$G$8,2,FALSE))</f>
        <v/>
      </c>
      <c r="S112" s="363" t="str">
        <f>IFERROR(VLOOKUP(R112,'G-7 WaterC'' Data'!$C$4:$D$8,2,FALSE),"")</f>
        <v/>
      </c>
      <c r="T112" s="114"/>
      <c r="U112" s="363" t="str">
        <f>IFERROR(INDEX('G-7 WaterC'' Data'!$H$4:$L$8,MATCH(N112,'G-7 WaterC'' Data'!$B$4:$B$8,0),MATCH(T112,'G-7 WaterC'' Data'!$H$3:$L$3,0)),"")</f>
        <v/>
      </c>
      <c r="V112" s="114"/>
      <c r="W112" s="370" t="str">
        <f>IF(V112="","",IF(VLOOKUP(V112,'G-7 WaterC'' Data'!$AK$4:$AM$6,2,FALSE)=0,"Spatial Data Missing ⚠",VLOOKUP(V112,'G-7 WaterC'' Data'!$AK$4:$AM$6,2,FALSE)))</f>
        <v/>
      </c>
      <c r="X112" s="363" t="str">
        <f>IF(V112="","",IF(VLOOKUP(V112,'G-7 WaterC'' Data'!$AK$4:$AM$6,3,FALSE)=0,"Spatial Data Missing ⚠",VLOOKUP(V112,'G-7 WaterC'' Data'!$AK$4:$AM$6,3,FALSE)))</f>
        <v/>
      </c>
      <c r="Y112" s="362" t="str">
        <f>IFERROR(IF(OR(LEFT(P112,5)="Error",LEFT(O112,5)="Error ▲"),"Check Data ⚠",IF(F112&lt;S112,'G-7 WaterC'' Data'!$R$3,INDEX('G-7 WaterC'' Data'!$U$5:$Y$9,MATCH(G112,'G-7 WaterC'' Data'!$T$5:$T$9,0),MATCH(T112,'G-7 WaterC'' Data'!$U$4:$Y$4,0)))),"")</f>
        <v/>
      </c>
      <c r="Z112" s="159"/>
      <c r="AA112" s="159"/>
      <c r="AB112" s="370" t="str">
        <f t="shared" si="11"/>
        <v/>
      </c>
      <c r="AC112" s="383" t="str">
        <f t="shared" si="12"/>
        <v/>
      </c>
      <c r="AD112" s="422" t="str">
        <f>IFERROR(IF(AC112="Check Data ⚠","Check Data ⚠",VLOOKUP(AC112,'G-4 Temporal multipliers'!$A$4:$C$37,3,FALSE)),"")</f>
        <v/>
      </c>
      <c r="AE112" s="362" t="str">
        <f>IF(N112="","",VLOOKUP(N112,'G-7 WaterC'' Data'!$B$4:$G$8,5,FALSE))</f>
        <v/>
      </c>
      <c r="AF112" s="370" t="str">
        <f t="shared" si="13"/>
        <v/>
      </c>
      <c r="AG112" s="401" t="str">
        <f t="shared" si="14"/>
        <v/>
      </c>
      <c r="AH112" s="363" t="str">
        <f t="shared" si="9"/>
        <v/>
      </c>
      <c r="AI112" s="122"/>
      <c r="AJ112" s="363" t="str">
        <f>IF(AI112="","",IF(VLOOKUP(AI112,'G-7 WaterC'' Data'!$AA$4:$AB$7,2,FALSE)=0,"Spatial Data Missing ⚠",VLOOKUP(AI112,'G-7 WaterC'' Data'!$AA$4:$AB$7,2,FALSE)))</f>
        <v/>
      </c>
      <c r="AK112" s="123"/>
      <c r="AL112" s="363" t="str">
        <f>IF(AK112="","",IF(VLOOKUP(AK112,'G-7 WaterC'' Data'!$AD$4:$AE$14,2,FALSE)=0,"Spatial Data Missing ⚠",VLOOKUP(AK112,'G-7 WaterC'' Data'!$AD$4:$AE$14,2,FALSE)))</f>
        <v/>
      </c>
      <c r="AM112" s="405" t="str">
        <f t="shared" si="15"/>
        <v/>
      </c>
      <c r="AN112" s="117"/>
      <c r="AO112" s="118"/>
      <c r="AP112" s="120"/>
      <c r="AV112" s="30" t="str">
        <f>IFERROR(INDEX('G-7 WaterC'' Data'!$AZ$3:$AZ$7,MATCH(N112,'G-7 WaterC'' Data'!$AY$3:$AY$7,0)),"")</f>
        <v/>
      </c>
    </row>
    <row r="113" spans="2:48" ht="15">
      <c r="B113" s="392" t="str">
        <f>'C-1 On-Site WaterC'' Baseline'!AO111</f>
        <v/>
      </c>
      <c r="C113" s="382" t="str">
        <f>IF(B113="","",VLOOKUP($B113,'C-1 On-Site WaterC'' Baseline'!$C$9:$R$257,2,FALSE))</f>
        <v/>
      </c>
      <c r="D113" s="382" t="str">
        <f>IF(C113="","",VLOOKUP($B113,'C-1 On-Site WaterC'' Baseline'!$C$9:$R$257,3,FALSE))</f>
        <v/>
      </c>
      <c r="E113" s="382" t="str">
        <f>IF(D113="","",VLOOKUP($B113,'C-1 On-Site WaterC'' Baseline'!$C$9:$R$257,4,FALSE))</f>
        <v/>
      </c>
      <c r="F113" s="382" t="str">
        <f>IF(E113="","",VLOOKUP($B113,'C-1 On-Site WaterC'' Baseline'!$C$9:$R$257,5,FALSE))</f>
        <v/>
      </c>
      <c r="G113" s="382" t="str">
        <f>IF(F113="","",VLOOKUP($B113,'C-1 On-Site WaterC'' Baseline'!$C$9:$R$257,6,FALSE))</f>
        <v/>
      </c>
      <c r="H113" s="382" t="str">
        <f>IF(G113="","",VLOOKUP($B113,'C-1 On-Site WaterC'' Baseline'!$C$9:$R$257,7,FALSE))</f>
        <v/>
      </c>
      <c r="I113" s="382" t="str">
        <f>IF(H113="","",VLOOKUP($B113,'C-1 On-Site WaterC'' Baseline'!$C$9:$R$257,8,FALSE))</f>
        <v/>
      </c>
      <c r="J113" s="382" t="str">
        <f>IF(I113="","",VLOOKUP($B113,'C-1 On-Site WaterC'' Baseline'!$C$9:$R$257,9,FALSE))</f>
        <v/>
      </c>
      <c r="K113" s="382" t="str">
        <f>IF(J113="","",VLOOKUP($B113,'C-1 On-Site WaterC'' Baseline'!$C$9:$R$257,10,FALSE))</f>
        <v/>
      </c>
      <c r="L113" s="382" t="str">
        <f>IF(B113="","",VLOOKUP($B113,'C-1 On-Site WaterC'' Baseline'!$C$9:$R$257,15,FALSE))</f>
        <v/>
      </c>
      <c r="M113" s="386" t="str">
        <f>IF(L113="","",VLOOKUP($B113,'C-1 On-Site WaterC'' Baseline'!$C$9:$R$257,16,FALSE))</f>
        <v/>
      </c>
      <c r="N113" s="320" t="str">
        <f t="shared" si="8"/>
        <v/>
      </c>
      <c r="O113" s="362" t="str">
        <f t="shared" si="10"/>
        <v/>
      </c>
      <c r="P113" s="363" t="str">
        <f>IF(C113="","",IF(AND(LEFT(C113,55)&lt;&gt;LEFT(N113,55),O113="High - High"),"Error - Not like for like ▲",IF(H113&gt;U113,"Error - Can not reduce condition ▲",IF(AND(F113=S113,H113=U113,AJ113='C-1 On-Site WaterC'' Baseline'!N111,'C-1 On-Site WaterC'' Baseline'!P111=AL113),"Error - No enhancement ▲",IF(AND(C113&lt;&gt;N113,F113&lt;S113),"Lower Distinctiveness Habitat"&amp;" - "&amp;T113,G113&amp;" - "&amp;T113)))))</f>
        <v/>
      </c>
      <c r="Q113" s="425" t="str">
        <f>IF(N113="","",VLOOKUP(B113,'C-1 On-Site WaterC'' Baseline'!$C$10:$AB$257,19,FALSE))</f>
        <v/>
      </c>
      <c r="R113" s="362" t="str">
        <f>IF(N113="","",VLOOKUP(N113,'G-7 WaterC'' Data'!$B$2:$G$8,2,FALSE))</f>
        <v/>
      </c>
      <c r="S113" s="363" t="str">
        <f>IFERROR(VLOOKUP(R113,'G-7 WaterC'' Data'!$C$4:$D$8,2,FALSE),"")</f>
        <v/>
      </c>
      <c r="T113" s="114"/>
      <c r="U113" s="363" t="str">
        <f>IFERROR(INDEX('G-7 WaterC'' Data'!$H$4:$L$8,MATCH(N113,'G-7 WaterC'' Data'!$B$4:$B$8,0),MATCH(T113,'G-7 WaterC'' Data'!$H$3:$L$3,0)),"")</f>
        <v/>
      </c>
      <c r="V113" s="114"/>
      <c r="W113" s="370" t="str">
        <f>IF(V113="","",IF(VLOOKUP(V113,'G-7 WaterC'' Data'!$AK$4:$AM$6,2,FALSE)=0,"Spatial Data Missing ⚠",VLOOKUP(V113,'G-7 WaterC'' Data'!$AK$4:$AM$6,2,FALSE)))</f>
        <v/>
      </c>
      <c r="X113" s="363" t="str">
        <f>IF(V113="","",IF(VLOOKUP(V113,'G-7 WaterC'' Data'!$AK$4:$AM$6,3,FALSE)=0,"Spatial Data Missing ⚠",VLOOKUP(V113,'G-7 WaterC'' Data'!$AK$4:$AM$6,3,FALSE)))</f>
        <v/>
      </c>
      <c r="Y113" s="362" t="str">
        <f>IFERROR(IF(OR(LEFT(P113,5)="Error",LEFT(O113,5)="Error ▲"),"Check Data ⚠",IF(F113&lt;S113,'G-7 WaterC'' Data'!$R$3,INDEX('G-7 WaterC'' Data'!$U$5:$Y$9,MATCH(G113,'G-7 WaterC'' Data'!$T$5:$T$9,0),MATCH(T113,'G-7 WaterC'' Data'!$U$4:$Y$4,0)))),"")</f>
        <v/>
      </c>
      <c r="Z113" s="159"/>
      <c r="AA113" s="159"/>
      <c r="AB113" s="370" t="str">
        <f t="shared" si="11"/>
        <v/>
      </c>
      <c r="AC113" s="383" t="str">
        <f t="shared" si="12"/>
        <v/>
      </c>
      <c r="AD113" s="422" t="str">
        <f>IFERROR(IF(AC113="Check Data ⚠","Check Data ⚠",VLOOKUP(AC113,'G-4 Temporal multipliers'!$A$4:$C$37,3,FALSE)),"")</f>
        <v/>
      </c>
      <c r="AE113" s="362" t="str">
        <f>IF(N113="","",VLOOKUP(N113,'G-7 WaterC'' Data'!$B$4:$G$8,5,FALSE))</f>
        <v/>
      </c>
      <c r="AF113" s="370" t="str">
        <f t="shared" si="13"/>
        <v/>
      </c>
      <c r="AG113" s="401" t="str">
        <f t="shared" si="14"/>
        <v/>
      </c>
      <c r="AH113" s="363" t="str">
        <f t="shared" si="9"/>
        <v/>
      </c>
      <c r="AI113" s="122"/>
      <c r="AJ113" s="363" t="str">
        <f>IF(AI113="","",IF(VLOOKUP(AI113,'G-7 WaterC'' Data'!$AA$4:$AB$7,2,FALSE)=0,"Spatial Data Missing ⚠",VLOOKUP(AI113,'G-7 WaterC'' Data'!$AA$4:$AB$7,2,FALSE)))</f>
        <v/>
      </c>
      <c r="AK113" s="123"/>
      <c r="AL113" s="363" t="str">
        <f>IF(AK113="","",IF(VLOOKUP(AK113,'G-7 WaterC'' Data'!$AD$4:$AE$14,2,FALSE)=0,"Spatial Data Missing ⚠",VLOOKUP(AK113,'G-7 WaterC'' Data'!$AD$4:$AE$14,2,FALSE)))</f>
        <v/>
      </c>
      <c r="AM113" s="405" t="str">
        <f t="shared" si="15"/>
        <v/>
      </c>
      <c r="AN113" s="117"/>
      <c r="AO113" s="118"/>
      <c r="AP113" s="120"/>
      <c r="AV113" s="30" t="str">
        <f>IFERROR(INDEX('G-7 WaterC'' Data'!$AZ$3:$AZ$7,MATCH(N113,'G-7 WaterC'' Data'!$AY$3:$AY$7,0)),"")</f>
        <v/>
      </c>
    </row>
    <row r="114" spans="2:48" ht="15">
      <c r="B114" s="392" t="str">
        <f>'C-1 On-Site WaterC'' Baseline'!AO112</f>
        <v/>
      </c>
      <c r="C114" s="382" t="str">
        <f>IF(B114="","",VLOOKUP($B114,'C-1 On-Site WaterC'' Baseline'!$C$9:$R$257,2,FALSE))</f>
        <v/>
      </c>
      <c r="D114" s="382" t="str">
        <f>IF(C114="","",VLOOKUP($B114,'C-1 On-Site WaterC'' Baseline'!$C$9:$R$257,3,FALSE))</f>
        <v/>
      </c>
      <c r="E114" s="382" t="str">
        <f>IF(D114="","",VLOOKUP($B114,'C-1 On-Site WaterC'' Baseline'!$C$9:$R$257,4,FALSE))</f>
        <v/>
      </c>
      <c r="F114" s="382" t="str">
        <f>IF(E114="","",VLOOKUP($B114,'C-1 On-Site WaterC'' Baseline'!$C$9:$R$257,5,FALSE))</f>
        <v/>
      </c>
      <c r="G114" s="382" t="str">
        <f>IF(F114="","",VLOOKUP($B114,'C-1 On-Site WaterC'' Baseline'!$C$9:$R$257,6,FALSE))</f>
        <v/>
      </c>
      <c r="H114" s="382" t="str">
        <f>IF(G114="","",VLOOKUP($B114,'C-1 On-Site WaterC'' Baseline'!$C$9:$R$257,7,FALSE))</f>
        <v/>
      </c>
      <c r="I114" s="382" t="str">
        <f>IF(H114="","",VLOOKUP($B114,'C-1 On-Site WaterC'' Baseline'!$C$9:$R$257,8,FALSE))</f>
        <v/>
      </c>
      <c r="J114" s="382" t="str">
        <f>IF(I114="","",VLOOKUP($B114,'C-1 On-Site WaterC'' Baseline'!$C$9:$R$257,9,FALSE))</f>
        <v/>
      </c>
      <c r="K114" s="382" t="str">
        <f>IF(J114="","",VLOOKUP($B114,'C-1 On-Site WaterC'' Baseline'!$C$9:$R$257,10,FALSE))</f>
        <v/>
      </c>
      <c r="L114" s="382" t="str">
        <f>IF(B114="","",VLOOKUP($B114,'C-1 On-Site WaterC'' Baseline'!$C$9:$R$257,15,FALSE))</f>
        <v/>
      </c>
      <c r="M114" s="386" t="str">
        <f>IF(L114="","",VLOOKUP($B114,'C-1 On-Site WaterC'' Baseline'!$C$9:$R$257,16,FALSE))</f>
        <v/>
      </c>
      <c r="N114" s="320" t="str">
        <f t="shared" si="8"/>
        <v/>
      </c>
      <c r="O114" s="362" t="str">
        <f t="shared" si="10"/>
        <v/>
      </c>
      <c r="P114" s="363" t="str">
        <f>IF(C114="","",IF(AND(LEFT(C114,55)&lt;&gt;LEFT(N114,55),O114="High - High"),"Error - Not like for like ▲",IF(H114&gt;U114,"Error - Can not reduce condition ▲",IF(AND(F114=S114,H114=U114,AJ114='C-1 On-Site WaterC'' Baseline'!N112,'C-1 On-Site WaterC'' Baseline'!P112=AL114),"Error - No enhancement ▲",IF(AND(C114&lt;&gt;N114,F114&lt;S114),"Lower Distinctiveness Habitat"&amp;" - "&amp;T114,G114&amp;" - "&amp;T114)))))</f>
        <v/>
      </c>
      <c r="Q114" s="425" t="str">
        <f>IF(N114="","",VLOOKUP(B114,'C-1 On-Site WaterC'' Baseline'!$C$10:$AB$257,19,FALSE))</f>
        <v/>
      </c>
      <c r="R114" s="362" t="str">
        <f>IF(N114="","",VLOOKUP(N114,'G-7 WaterC'' Data'!$B$2:$G$8,2,FALSE))</f>
        <v/>
      </c>
      <c r="S114" s="363" t="str">
        <f>IFERROR(VLOOKUP(R114,'G-7 WaterC'' Data'!$C$4:$D$8,2,FALSE),"")</f>
        <v/>
      </c>
      <c r="T114" s="114"/>
      <c r="U114" s="363" t="str">
        <f>IFERROR(INDEX('G-7 WaterC'' Data'!$H$4:$L$8,MATCH(N114,'G-7 WaterC'' Data'!$B$4:$B$8,0),MATCH(T114,'G-7 WaterC'' Data'!$H$3:$L$3,0)),"")</f>
        <v/>
      </c>
      <c r="V114" s="114"/>
      <c r="W114" s="370" t="str">
        <f>IF(V114="","",IF(VLOOKUP(V114,'G-7 WaterC'' Data'!$AK$4:$AM$6,2,FALSE)=0,"Spatial Data Missing ⚠",VLOOKUP(V114,'G-7 WaterC'' Data'!$AK$4:$AM$6,2,FALSE)))</f>
        <v/>
      </c>
      <c r="X114" s="363" t="str">
        <f>IF(V114="","",IF(VLOOKUP(V114,'G-7 WaterC'' Data'!$AK$4:$AM$6,3,FALSE)=0,"Spatial Data Missing ⚠",VLOOKUP(V114,'G-7 WaterC'' Data'!$AK$4:$AM$6,3,FALSE)))</f>
        <v/>
      </c>
      <c r="Y114" s="362" t="str">
        <f>IFERROR(IF(OR(LEFT(P114,5)="Error",LEFT(O114,5)="Error ▲"),"Check Data ⚠",IF(F114&lt;S114,'G-7 WaterC'' Data'!$R$3,INDEX('G-7 WaterC'' Data'!$U$5:$Y$9,MATCH(G114,'G-7 WaterC'' Data'!$T$5:$T$9,0),MATCH(T114,'G-7 WaterC'' Data'!$U$4:$Y$4,0)))),"")</f>
        <v/>
      </c>
      <c r="Z114" s="159"/>
      <c r="AA114" s="159"/>
      <c r="AB114" s="370" t="str">
        <f t="shared" si="11"/>
        <v/>
      </c>
      <c r="AC114" s="383" t="str">
        <f t="shared" si="12"/>
        <v/>
      </c>
      <c r="AD114" s="422" t="str">
        <f>IFERROR(IF(AC114="Check Data ⚠","Check Data ⚠",VLOOKUP(AC114,'G-4 Temporal multipliers'!$A$4:$C$37,3,FALSE)),"")</f>
        <v/>
      </c>
      <c r="AE114" s="362" t="str">
        <f>IF(N114="","",VLOOKUP(N114,'G-7 WaterC'' Data'!$B$4:$G$8,5,FALSE))</f>
        <v/>
      </c>
      <c r="AF114" s="370" t="str">
        <f t="shared" si="13"/>
        <v/>
      </c>
      <c r="AG114" s="401" t="str">
        <f t="shared" si="14"/>
        <v/>
      </c>
      <c r="AH114" s="363" t="str">
        <f t="shared" si="9"/>
        <v/>
      </c>
      <c r="AI114" s="122"/>
      <c r="AJ114" s="363" t="str">
        <f>IF(AI114="","",IF(VLOOKUP(AI114,'G-7 WaterC'' Data'!$AA$4:$AB$7,2,FALSE)=0,"Spatial Data Missing ⚠",VLOOKUP(AI114,'G-7 WaterC'' Data'!$AA$4:$AB$7,2,FALSE)))</f>
        <v/>
      </c>
      <c r="AK114" s="123"/>
      <c r="AL114" s="363" t="str">
        <f>IF(AK114="","",IF(VLOOKUP(AK114,'G-7 WaterC'' Data'!$AD$4:$AE$14,2,FALSE)=0,"Spatial Data Missing ⚠",VLOOKUP(AK114,'G-7 WaterC'' Data'!$AD$4:$AE$14,2,FALSE)))</f>
        <v/>
      </c>
      <c r="AM114" s="405" t="str">
        <f t="shared" si="15"/>
        <v/>
      </c>
      <c r="AN114" s="117"/>
      <c r="AO114" s="118"/>
      <c r="AP114" s="120"/>
      <c r="AV114" s="30" t="str">
        <f>IFERROR(INDEX('G-7 WaterC'' Data'!$AZ$3:$AZ$7,MATCH(N114,'G-7 WaterC'' Data'!$AY$3:$AY$7,0)),"")</f>
        <v/>
      </c>
    </row>
    <row r="115" spans="2:48" ht="15">
      <c r="B115" s="392" t="str">
        <f>'C-1 On-Site WaterC'' Baseline'!AO113</f>
        <v/>
      </c>
      <c r="C115" s="382" t="str">
        <f>IF(B115="","",VLOOKUP($B115,'C-1 On-Site WaterC'' Baseline'!$C$9:$R$257,2,FALSE))</f>
        <v/>
      </c>
      <c r="D115" s="382" t="str">
        <f>IF(C115="","",VLOOKUP($B115,'C-1 On-Site WaterC'' Baseline'!$C$9:$R$257,3,FALSE))</f>
        <v/>
      </c>
      <c r="E115" s="382" t="str">
        <f>IF(D115="","",VLOOKUP($B115,'C-1 On-Site WaterC'' Baseline'!$C$9:$R$257,4,FALSE))</f>
        <v/>
      </c>
      <c r="F115" s="382" t="str">
        <f>IF(E115="","",VLOOKUP($B115,'C-1 On-Site WaterC'' Baseline'!$C$9:$R$257,5,FALSE))</f>
        <v/>
      </c>
      <c r="G115" s="382" t="str">
        <f>IF(F115="","",VLOOKUP($B115,'C-1 On-Site WaterC'' Baseline'!$C$9:$R$257,6,FALSE))</f>
        <v/>
      </c>
      <c r="H115" s="382" t="str">
        <f>IF(G115="","",VLOOKUP($B115,'C-1 On-Site WaterC'' Baseline'!$C$9:$R$257,7,FALSE))</f>
        <v/>
      </c>
      <c r="I115" s="382" t="str">
        <f>IF(H115="","",VLOOKUP($B115,'C-1 On-Site WaterC'' Baseline'!$C$9:$R$257,8,FALSE))</f>
        <v/>
      </c>
      <c r="J115" s="382" t="str">
        <f>IF(I115="","",VLOOKUP($B115,'C-1 On-Site WaterC'' Baseline'!$C$9:$R$257,9,FALSE))</f>
        <v/>
      </c>
      <c r="K115" s="382" t="str">
        <f>IF(J115="","",VLOOKUP($B115,'C-1 On-Site WaterC'' Baseline'!$C$9:$R$257,10,FALSE))</f>
        <v/>
      </c>
      <c r="L115" s="382" t="str">
        <f>IF(B115="","",VLOOKUP($B115,'C-1 On-Site WaterC'' Baseline'!$C$9:$R$257,15,FALSE))</f>
        <v/>
      </c>
      <c r="M115" s="386" t="str">
        <f>IF(L115="","",VLOOKUP($B115,'C-1 On-Site WaterC'' Baseline'!$C$9:$R$257,16,FALSE))</f>
        <v/>
      </c>
      <c r="N115" s="320" t="str">
        <f t="shared" si="8"/>
        <v/>
      </c>
      <c r="O115" s="362" t="str">
        <f t="shared" si="10"/>
        <v/>
      </c>
      <c r="P115" s="363" t="str">
        <f>IF(C115="","",IF(AND(LEFT(C115,55)&lt;&gt;LEFT(N115,55),O115="High - High"),"Error - Not like for like ▲",IF(H115&gt;U115,"Error - Can not reduce condition ▲",IF(AND(F115=S115,H115=U115,AJ115='C-1 On-Site WaterC'' Baseline'!N113,'C-1 On-Site WaterC'' Baseline'!P113=AL115),"Error - No enhancement ▲",IF(AND(C115&lt;&gt;N115,F115&lt;S115),"Lower Distinctiveness Habitat"&amp;" - "&amp;T115,G115&amp;" - "&amp;T115)))))</f>
        <v/>
      </c>
      <c r="Q115" s="425" t="str">
        <f>IF(N115="","",VLOOKUP(B115,'C-1 On-Site WaterC'' Baseline'!$C$10:$AB$257,19,FALSE))</f>
        <v/>
      </c>
      <c r="R115" s="362" t="str">
        <f>IF(N115="","",VLOOKUP(N115,'G-7 WaterC'' Data'!$B$2:$G$8,2,FALSE))</f>
        <v/>
      </c>
      <c r="S115" s="363" t="str">
        <f>IFERROR(VLOOKUP(R115,'G-7 WaterC'' Data'!$C$4:$D$8,2,FALSE),"")</f>
        <v/>
      </c>
      <c r="T115" s="114"/>
      <c r="U115" s="363" t="str">
        <f>IFERROR(INDEX('G-7 WaterC'' Data'!$H$4:$L$8,MATCH(N115,'G-7 WaterC'' Data'!$B$4:$B$8,0),MATCH(T115,'G-7 WaterC'' Data'!$H$3:$L$3,0)),"")</f>
        <v/>
      </c>
      <c r="V115" s="114"/>
      <c r="W115" s="370" t="str">
        <f>IF(V115="","",IF(VLOOKUP(V115,'G-7 WaterC'' Data'!$AK$4:$AM$6,2,FALSE)=0,"Spatial Data Missing ⚠",VLOOKUP(V115,'G-7 WaterC'' Data'!$AK$4:$AM$6,2,FALSE)))</f>
        <v/>
      </c>
      <c r="X115" s="363" t="str">
        <f>IF(V115="","",IF(VLOOKUP(V115,'G-7 WaterC'' Data'!$AK$4:$AM$6,3,FALSE)=0,"Spatial Data Missing ⚠",VLOOKUP(V115,'G-7 WaterC'' Data'!$AK$4:$AM$6,3,FALSE)))</f>
        <v/>
      </c>
      <c r="Y115" s="362" t="str">
        <f>IFERROR(IF(OR(LEFT(P115,5)="Error",LEFT(O115,5)="Error ▲"),"Check Data ⚠",IF(F115&lt;S115,'G-7 WaterC'' Data'!$R$3,INDEX('G-7 WaterC'' Data'!$U$5:$Y$9,MATCH(G115,'G-7 WaterC'' Data'!$T$5:$T$9,0),MATCH(T115,'G-7 WaterC'' Data'!$U$4:$Y$4,0)))),"")</f>
        <v/>
      </c>
      <c r="Z115" s="159"/>
      <c r="AA115" s="159"/>
      <c r="AB115" s="370" t="str">
        <f t="shared" si="11"/>
        <v/>
      </c>
      <c r="AC115" s="383" t="str">
        <f t="shared" si="12"/>
        <v/>
      </c>
      <c r="AD115" s="422" t="str">
        <f>IFERROR(IF(AC115="Check Data ⚠","Check Data ⚠",VLOOKUP(AC115,'G-4 Temporal multipliers'!$A$4:$C$37,3,FALSE)),"")</f>
        <v/>
      </c>
      <c r="AE115" s="362" t="str">
        <f>IF(N115="","",VLOOKUP(N115,'G-7 WaterC'' Data'!$B$4:$G$8,5,FALSE))</f>
        <v/>
      </c>
      <c r="AF115" s="370" t="str">
        <f t="shared" si="13"/>
        <v/>
      </c>
      <c r="AG115" s="401" t="str">
        <f t="shared" si="14"/>
        <v/>
      </c>
      <c r="AH115" s="363" t="str">
        <f t="shared" si="9"/>
        <v/>
      </c>
      <c r="AI115" s="122"/>
      <c r="AJ115" s="363" t="str">
        <f>IF(AI115="","",IF(VLOOKUP(AI115,'G-7 WaterC'' Data'!$AA$4:$AB$7,2,FALSE)=0,"Spatial Data Missing ⚠",VLOOKUP(AI115,'G-7 WaterC'' Data'!$AA$4:$AB$7,2,FALSE)))</f>
        <v/>
      </c>
      <c r="AK115" s="123"/>
      <c r="AL115" s="363" t="str">
        <f>IF(AK115="","",IF(VLOOKUP(AK115,'G-7 WaterC'' Data'!$AD$4:$AE$14,2,FALSE)=0,"Spatial Data Missing ⚠",VLOOKUP(AK115,'G-7 WaterC'' Data'!$AD$4:$AE$14,2,FALSE)))</f>
        <v/>
      </c>
      <c r="AM115" s="405" t="str">
        <f t="shared" si="15"/>
        <v/>
      </c>
      <c r="AN115" s="117"/>
      <c r="AO115" s="118"/>
      <c r="AP115" s="120"/>
      <c r="AV115" s="30" t="str">
        <f>IFERROR(INDEX('G-7 WaterC'' Data'!$AZ$3:$AZ$7,MATCH(N115,'G-7 WaterC'' Data'!$AY$3:$AY$7,0)),"")</f>
        <v/>
      </c>
    </row>
    <row r="116" spans="2:48" ht="15">
      <c r="B116" s="392" t="str">
        <f>'C-1 On-Site WaterC'' Baseline'!AO114</f>
        <v/>
      </c>
      <c r="C116" s="382" t="str">
        <f>IF(B116="","",VLOOKUP($B116,'C-1 On-Site WaterC'' Baseline'!$C$9:$R$257,2,FALSE))</f>
        <v/>
      </c>
      <c r="D116" s="382" t="str">
        <f>IF(C116="","",VLOOKUP($B116,'C-1 On-Site WaterC'' Baseline'!$C$9:$R$257,3,FALSE))</f>
        <v/>
      </c>
      <c r="E116" s="382" t="str">
        <f>IF(D116="","",VLOOKUP($B116,'C-1 On-Site WaterC'' Baseline'!$C$9:$R$257,4,FALSE))</f>
        <v/>
      </c>
      <c r="F116" s="382" t="str">
        <f>IF(E116="","",VLOOKUP($B116,'C-1 On-Site WaterC'' Baseline'!$C$9:$R$257,5,FALSE))</f>
        <v/>
      </c>
      <c r="G116" s="382" t="str">
        <f>IF(F116="","",VLOOKUP($B116,'C-1 On-Site WaterC'' Baseline'!$C$9:$R$257,6,FALSE))</f>
        <v/>
      </c>
      <c r="H116" s="382" t="str">
        <f>IF(G116="","",VLOOKUP($B116,'C-1 On-Site WaterC'' Baseline'!$C$9:$R$257,7,FALSE))</f>
        <v/>
      </c>
      <c r="I116" s="382" t="str">
        <f>IF(H116="","",VLOOKUP($B116,'C-1 On-Site WaterC'' Baseline'!$C$9:$R$257,8,FALSE))</f>
        <v/>
      </c>
      <c r="J116" s="382" t="str">
        <f>IF(I116="","",VLOOKUP($B116,'C-1 On-Site WaterC'' Baseline'!$C$9:$R$257,9,FALSE))</f>
        <v/>
      </c>
      <c r="K116" s="382" t="str">
        <f>IF(J116="","",VLOOKUP($B116,'C-1 On-Site WaterC'' Baseline'!$C$9:$R$257,10,FALSE))</f>
        <v/>
      </c>
      <c r="L116" s="382" t="str">
        <f>IF(B116="","",VLOOKUP($B116,'C-1 On-Site WaterC'' Baseline'!$C$9:$R$257,15,FALSE))</f>
        <v/>
      </c>
      <c r="M116" s="386" t="str">
        <f>IF(L116="","",VLOOKUP($B116,'C-1 On-Site WaterC'' Baseline'!$C$9:$R$257,16,FALSE))</f>
        <v/>
      </c>
      <c r="N116" s="320" t="str">
        <f t="shared" si="8"/>
        <v/>
      </c>
      <c r="O116" s="362" t="str">
        <f t="shared" si="10"/>
        <v/>
      </c>
      <c r="P116" s="363" t="str">
        <f>IF(C116="","",IF(AND(LEFT(C116,55)&lt;&gt;LEFT(N116,55),O116="High - High"),"Error - Not like for like ▲",IF(H116&gt;U116,"Error - Can not reduce condition ▲",IF(AND(F116=S116,H116=U116,AJ116='C-1 On-Site WaterC'' Baseline'!N114,'C-1 On-Site WaterC'' Baseline'!P114=AL116),"Error - No enhancement ▲",IF(AND(C116&lt;&gt;N116,F116&lt;S116),"Lower Distinctiveness Habitat"&amp;" - "&amp;T116,G116&amp;" - "&amp;T116)))))</f>
        <v/>
      </c>
      <c r="Q116" s="425" t="str">
        <f>IF(N116="","",VLOOKUP(B116,'C-1 On-Site WaterC'' Baseline'!$C$10:$AB$257,19,FALSE))</f>
        <v/>
      </c>
      <c r="R116" s="362" t="str">
        <f>IF(N116="","",VLOOKUP(N116,'G-7 WaterC'' Data'!$B$2:$G$8,2,FALSE))</f>
        <v/>
      </c>
      <c r="S116" s="363" t="str">
        <f>IFERROR(VLOOKUP(R116,'G-7 WaterC'' Data'!$C$4:$D$8,2,FALSE),"")</f>
        <v/>
      </c>
      <c r="T116" s="114"/>
      <c r="U116" s="363" t="str">
        <f>IFERROR(INDEX('G-7 WaterC'' Data'!$H$4:$L$8,MATCH(N116,'G-7 WaterC'' Data'!$B$4:$B$8,0),MATCH(T116,'G-7 WaterC'' Data'!$H$3:$L$3,0)),"")</f>
        <v/>
      </c>
      <c r="V116" s="114"/>
      <c r="W116" s="370" t="str">
        <f>IF(V116="","",IF(VLOOKUP(V116,'G-7 WaterC'' Data'!$AK$4:$AM$6,2,FALSE)=0,"Spatial Data Missing ⚠",VLOOKUP(V116,'G-7 WaterC'' Data'!$AK$4:$AM$6,2,FALSE)))</f>
        <v/>
      </c>
      <c r="X116" s="363" t="str">
        <f>IF(V116="","",IF(VLOOKUP(V116,'G-7 WaterC'' Data'!$AK$4:$AM$6,3,FALSE)=0,"Spatial Data Missing ⚠",VLOOKUP(V116,'G-7 WaterC'' Data'!$AK$4:$AM$6,3,FALSE)))</f>
        <v/>
      </c>
      <c r="Y116" s="362" t="str">
        <f>IFERROR(IF(OR(LEFT(P116,5)="Error",LEFT(O116,5)="Error ▲"),"Check Data ⚠",IF(F116&lt;S116,'G-7 WaterC'' Data'!$R$3,INDEX('G-7 WaterC'' Data'!$U$5:$Y$9,MATCH(G116,'G-7 WaterC'' Data'!$T$5:$T$9,0),MATCH(T116,'G-7 WaterC'' Data'!$U$4:$Y$4,0)))),"")</f>
        <v/>
      </c>
      <c r="Z116" s="159"/>
      <c r="AA116" s="159"/>
      <c r="AB116" s="370" t="str">
        <f t="shared" si="11"/>
        <v/>
      </c>
      <c r="AC116" s="383" t="str">
        <f t="shared" si="12"/>
        <v/>
      </c>
      <c r="AD116" s="422" t="str">
        <f>IFERROR(IF(AC116="Check Data ⚠","Check Data ⚠",VLOOKUP(AC116,'G-4 Temporal multipliers'!$A$4:$C$37,3,FALSE)),"")</f>
        <v/>
      </c>
      <c r="AE116" s="362" t="str">
        <f>IF(N116="","",VLOOKUP(N116,'G-7 WaterC'' Data'!$B$4:$G$8,5,FALSE))</f>
        <v/>
      </c>
      <c r="AF116" s="370" t="str">
        <f t="shared" si="13"/>
        <v/>
      </c>
      <c r="AG116" s="401" t="str">
        <f t="shared" si="14"/>
        <v/>
      </c>
      <c r="AH116" s="363" t="str">
        <f t="shared" si="9"/>
        <v/>
      </c>
      <c r="AI116" s="122"/>
      <c r="AJ116" s="363" t="str">
        <f>IF(AI116="","",IF(VLOOKUP(AI116,'G-7 WaterC'' Data'!$AA$4:$AB$7,2,FALSE)=0,"Spatial Data Missing ⚠",VLOOKUP(AI116,'G-7 WaterC'' Data'!$AA$4:$AB$7,2,FALSE)))</f>
        <v/>
      </c>
      <c r="AK116" s="123"/>
      <c r="AL116" s="363" t="str">
        <f>IF(AK116="","",IF(VLOOKUP(AK116,'G-7 WaterC'' Data'!$AD$4:$AE$14,2,FALSE)=0,"Spatial Data Missing ⚠",VLOOKUP(AK116,'G-7 WaterC'' Data'!$AD$4:$AE$14,2,FALSE)))</f>
        <v/>
      </c>
      <c r="AM116" s="405" t="str">
        <f t="shared" si="15"/>
        <v/>
      </c>
      <c r="AN116" s="117"/>
      <c r="AO116" s="118"/>
      <c r="AP116" s="120"/>
      <c r="AV116" s="30" t="str">
        <f>IFERROR(INDEX('G-7 WaterC'' Data'!$AZ$3:$AZ$7,MATCH(N116,'G-7 WaterC'' Data'!$AY$3:$AY$7,0)),"")</f>
        <v/>
      </c>
    </row>
    <row r="117" spans="2:48" ht="15">
      <c r="B117" s="392" t="str">
        <f>'C-1 On-Site WaterC'' Baseline'!AO115</f>
        <v/>
      </c>
      <c r="C117" s="382" t="str">
        <f>IF(B117="","",VLOOKUP($B117,'C-1 On-Site WaterC'' Baseline'!$C$9:$R$257,2,FALSE))</f>
        <v/>
      </c>
      <c r="D117" s="382" t="str">
        <f>IF(C117="","",VLOOKUP($B117,'C-1 On-Site WaterC'' Baseline'!$C$9:$R$257,3,FALSE))</f>
        <v/>
      </c>
      <c r="E117" s="382" t="str">
        <f>IF(D117="","",VLOOKUP($B117,'C-1 On-Site WaterC'' Baseline'!$C$9:$R$257,4,FALSE))</f>
        <v/>
      </c>
      <c r="F117" s="382" t="str">
        <f>IF(E117="","",VLOOKUP($B117,'C-1 On-Site WaterC'' Baseline'!$C$9:$R$257,5,FALSE))</f>
        <v/>
      </c>
      <c r="G117" s="382" t="str">
        <f>IF(F117="","",VLOOKUP($B117,'C-1 On-Site WaterC'' Baseline'!$C$9:$R$257,6,FALSE))</f>
        <v/>
      </c>
      <c r="H117" s="382" t="str">
        <f>IF(G117="","",VLOOKUP($B117,'C-1 On-Site WaterC'' Baseline'!$C$9:$R$257,7,FALSE))</f>
        <v/>
      </c>
      <c r="I117" s="382" t="str">
        <f>IF(H117="","",VLOOKUP($B117,'C-1 On-Site WaterC'' Baseline'!$C$9:$R$257,8,FALSE))</f>
        <v/>
      </c>
      <c r="J117" s="382" t="str">
        <f>IF(I117="","",VLOOKUP($B117,'C-1 On-Site WaterC'' Baseline'!$C$9:$R$257,9,FALSE))</f>
        <v/>
      </c>
      <c r="K117" s="382" t="str">
        <f>IF(J117="","",VLOOKUP($B117,'C-1 On-Site WaterC'' Baseline'!$C$9:$R$257,10,FALSE))</f>
        <v/>
      </c>
      <c r="L117" s="382" t="str">
        <f>IF(B117="","",VLOOKUP($B117,'C-1 On-Site WaterC'' Baseline'!$C$9:$R$257,15,FALSE))</f>
        <v/>
      </c>
      <c r="M117" s="386" t="str">
        <f>IF(L117="","",VLOOKUP($B117,'C-1 On-Site WaterC'' Baseline'!$C$9:$R$257,16,FALSE))</f>
        <v/>
      </c>
      <c r="N117" s="320" t="str">
        <f t="shared" si="8"/>
        <v/>
      </c>
      <c r="O117" s="362" t="str">
        <f t="shared" si="10"/>
        <v/>
      </c>
      <c r="P117" s="363" t="str">
        <f>IF(C117="","",IF(AND(LEFT(C117,55)&lt;&gt;LEFT(N117,55),O117="High - High"),"Error - Not like for like ▲",IF(H117&gt;U117,"Error - Can not reduce condition ▲",IF(AND(F117=S117,H117=U117,AJ117='C-1 On-Site WaterC'' Baseline'!N115,'C-1 On-Site WaterC'' Baseline'!P115=AL117),"Error - No enhancement ▲",IF(AND(C117&lt;&gt;N117,F117&lt;S117),"Lower Distinctiveness Habitat"&amp;" - "&amp;T117,G117&amp;" - "&amp;T117)))))</f>
        <v/>
      </c>
      <c r="Q117" s="425" t="str">
        <f>IF(N117="","",VLOOKUP(B117,'C-1 On-Site WaterC'' Baseline'!$C$10:$AB$257,19,FALSE))</f>
        <v/>
      </c>
      <c r="R117" s="362" t="str">
        <f>IF(N117="","",VLOOKUP(N117,'G-7 WaterC'' Data'!$B$2:$G$8,2,FALSE))</f>
        <v/>
      </c>
      <c r="S117" s="363" t="str">
        <f>IFERROR(VLOOKUP(R117,'G-7 WaterC'' Data'!$C$4:$D$8,2,FALSE),"")</f>
        <v/>
      </c>
      <c r="T117" s="114"/>
      <c r="U117" s="363" t="str">
        <f>IFERROR(INDEX('G-7 WaterC'' Data'!$H$4:$L$8,MATCH(N117,'G-7 WaterC'' Data'!$B$4:$B$8,0),MATCH(T117,'G-7 WaterC'' Data'!$H$3:$L$3,0)),"")</f>
        <v/>
      </c>
      <c r="V117" s="114"/>
      <c r="W117" s="370" t="str">
        <f>IF(V117="","",IF(VLOOKUP(V117,'G-7 WaterC'' Data'!$AK$4:$AM$6,2,FALSE)=0,"Spatial Data Missing ⚠",VLOOKUP(V117,'G-7 WaterC'' Data'!$AK$4:$AM$6,2,FALSE)))</f>
        <v/>
      </c>
      <c r="X117" s="363" t="str">
        <f>IF(V117="","",IF(VLOOKUP(V117,'G-7 WaterC'' Data'!$AK$4:$AM$6,3,FALSE)=0,"Spatial Data Missing ⚠",VLOOKUP(V117,'G-7 WaterC'' Data'!$AK$4:$AM$6,3,FALSE)))</f>
        <v/>
      </c>
      <c r="Y117" s="362" t="str">
        <f>IFERROR(IF(OR(LEFT(P117,5)="Error",LEFT(O117,5)="Error ▲"),"Check Data ⚠",IF(F117&lt;S117,'G-7 WaterC'' Data'!$R$3,INDEX('G-7 WaterC'' Data'!$U$5:$Y$9,MATCH(G117,'G-7 WaterC'' Data'!$T$5:$T$9,0),MATCH(T117,'G-7 WaterC'' Data'!$U$4:$Y$4,0)))),"")</f>
        <v/>
      </c>
      <c r="Z117" s="159"/>
      <c r="AA117" s="159"/>
      <c r="AB117" s="370" t="str">
        <f t="shared" si="11"/>
        <v/>
      </c>
      <c r="AC117" s="383" t="str">
        <f t="shared" si="12"/>
        <v/>
      </c>
      <c r="AD117" s="422" t="str">
        <f>IFERROR(IF(AC117="Check Data ⚠","Check Data ⚠",VLOOKUP(AC117,'G-4 Temporal multipliers'!$A$4:$C$37,3,FALSE)),"")</f>
        <v/>
      </c>
      <c r="AE117" s="362" t="str">
        <f>IF(N117="","",VLOOKUP(N117,'G-7 WaterC'' Data'!$B$4:$G$8,5,FALSE))</f>
        <v/>
      </c>
      <c r="AF117" s="370" t="str">
        <f t="shared" si="13"/>
        <v/>
      </c>
      <c r="AG117" s="401" t="str">
        <f t="shared" si="14"/>
        <v/>
      </c>
      <c r="AH117" s="363" t="str">
        <f t="shared" si="9"/>
        <v/>
      </c>
      <c r="AI117" s="122"/>
      <c r="AJ117" s="363" t="str">
        <f>IF(AI117="","",IF(VLOOKUP(AI117,'G-7 WaterC'' Data'!$AA$4:$AB$7,2,FALSE)=0,"Spatial Data Missing ⚠",VLOOKUP(AI117,'G-7 WaterC'' Data'!$AA$4:$AB$7,2,FALSE)))</f>
        <v/>
      </c>
      <c r="AK117" s="123"/>
      <c r="AL117" s="363" t="str">
        <f>IF(AK117="","",IF(VLOOKUP(AK117,'G-7 WaterC'' Data'!$AD$4:$AE$14,2,FALSE)=0,"Spatial Data Missing ⚠",VLOOKUP(AK117,'G-7 WaterC'' Data'!$AD$4:$AE$14,2,FALSE)))</f>
        <v/>
      </c>
      <c r="AM117" s="405" t="str">
        <f t="shared" si="15"/>
        <v/>
      </c>
      <c r="AN117" s="117"/>
      <c r="AO117" s="118"/>
      <c r="AP117" s="120"/>
      <c r="AV117" s="30" t="str">
        <f>IFERROR(INDEX('G-7 WaterC'' Data'!$AZ$3:$AZ$7,MATCH(N117,'G-7 WaterC'' Data'!$AY$3:$AY$7,0)),"")</f>
        <v/>
      </c>
    </row>
    <row r="118" spans="2:48" ht="15">
      <c r="B118" s="392" t="str">
        <f>'C-1 On-Site WaterC'' Baseline'!AO116</f>
        <v/>
      </c>
      <c r="C118" s="382" t="str">
        <f>IF(B118="","",VLOOKUP($B118,'C-1 On-Site WaterC'' Baseline'!$C$9:$R$257,2,FALSE))</f>
        <v/>
      </c>
      <c r="D118" s="382" t="str">
        <f>IF(C118="","",VLOOKUP($B118,'C-1 On-Site WaterC'' Baseline'!$C$9:$R$257,3,FALSE))</f>
        <v/>
      </c>
      <c r="E118" s="382" t="str">
        <f>IF(D118="","",VLOOKUP($B118,'C-1 On-Site WaterC'' Baseline'!$C$9:$R$257,4,FALSE))</f>
        <v/>
      </c>
      <c r="F118" s="382" t="str">
        <f>IF(E118="","",VLOOKUP($B118,'C-1 On-Site WaterC'' Baseline'!$C$9:$R$257,5,FALSE))</f>
        <v/>
      </c>
      <c r="G118" s="382" t="str">
        <f>IF(F118="","",VLOOKUP($B118,'C-1 On-Site WaterC'' Baseline'!$C$9:$R$257,6,FALSE))</f>
        <v/>
      </c>
      <c r="H118" s="382" t="str">
        <f>IF(G118="","",VLOOKUP($B118,'C-1 On-Site WaterC'' Baseline'!$C$9:$R$257,7,FALSE))</f>
        <v/>
      </c>
      <c r="I118" s="382" t="str">
        <f>IF(H118="","",VLOOKUP($B118,'C-1 On-Site WaterC'' Baseline'!$C$9:$R$257,8,FALSE))</f>
        <v/>
      </c>
      <c r="J118" s="382" t="str">
        <f>IF(I118="","",VLOOKUP($B118,'C-1 On-Site WaterC'' Baseline'!$C$9:$R$257,9,FALSE))</f>
        <v/>
      </c>
      <c r="K118" s="382" t="str">
        <f>IF(J118="","",VLOOKUP($B118,'C-1 On-Site WaterC'' Baseline'!$C$9:$R$257,10,FALSE))</f>
        <v/>
      </c>
      <c r="L118" s="382" t="str">
        <f>IF(B118="","",VLOOKUP($B118,'C-1 On-Site WaterC'' Baseline'!$C$9:$R$257,15,FALSE))</f>
        <v/>
      </c>
      <c r="M118" s="386" t="str">
        <f>IF(L118="","",VLOOKUP($B118,'C-1 On-Site WaterC'' Baseline'!$C$9:$R$257,16,FALSE))</f>
        <v/>
      </c>
      <c r="N118" s="320" t="str">
        <f t="shared" si="8"/>
        <v/>
      </c>
      <c r="O118" s="362" t="str">
        <f t="shared" si="10"/>
        <v/>
      </c>
      <c r="P118" s="363" t="str">
        <f>IF(C118="","",IF(AND(LEFT(C118,55)&lt;&gt;LEFT(N118,55),O118="High - High"),"Error - Not like for like ▲",IF(H118&gt;U118,"Error - Can not reduce condition ▲",IF(AND(F118=S118,H118=U118,AJ118='C-1 On-Site WaterC'' Baseline'!N116,'C-1 On-Site WaterC'' Baseline'!P116=AL118),"Error - No enhancement ▲",IF(AND(C118&lt;&gt;N118,F118&lt;S118),"Lower Distinctiveness Habitat"&amp;" - "&amp;T118,G118&amp;" - "&amp;T118)))))</f>
        <v/>
      </c>
      <c r="Q118" s="425" t="str">
        <f>IF(N118="","",VLOOKUP(B118,'C-1 On-Site WaterC'' Baseline'!$C$10:$AB$257,19,FALSE))</f>
        <v/>
      </c>
      <c r="R118" s="362" t="str">
        <f>IF(N118="","",VLOOKUP(N118,'G-7 WaterC'' Data'!$B$2:$G$8,2,FALSE))</f>
        <v/>
      </c>
      <c r="S118" s="363" t="str">
        <f>IFERROR(VLOOKUP(R118,'G-7 WaterC'' Data'!$C$4:$D$8,2,FALSE),"")</f>
        <v/>
      </c>
      <c r="T118" s="114"/>
      <c r="U118" s="363" t="str">
        <f>IFERROR(INDEX('G-7 WaterC'' Data'!$H$4:$L$8,MATCH(N118,'G-7 WaterC'' Data'!$B$4:$B$8,0),MATCH(T118,'G-7 WaterC'' Data'!$H$3:$L$3,0)),"")</f>
        <v/>
      </c>
      <c r="V118" s="114"/>
      <c r="W118" s="370" t="str">
        <f>IF(V118="","",IF(VLOOKUP(V118,'G-7 WaterC'' Data'!$AK$4:$AM$6,2,FALSE)=0,"Spatial Data Missing ⚠",VLOOKUP(V118,'G-7 WaterC'' Data'!$AK$4:$AM$6,2,FALSE)))</f>
        <v/>
      </c>
      <c r="X118" s="363" t="str">
        <f>IF(V118="","",IF(VLOOKUP(V118,'G-7 WaterC'' Data'!$AK$4:$AM$6,3,FALSE)=0,"Spatial Data Missing ⚠",VLOOKUP(V118,'G-7 WaterC'' Data'!$AK$4:$AM$6,3,FALSE)))</f>
        <v/>
      </c>
      <c r="Y118" s="362" t="str">
        <f>IFERROR(IF(OR(LEFT(P118,5)="Error",LEFT(O118,5)="Error ▲"),"Check Data ⚠",IF(F118&lt;S118,'G-7 WaterC'' Data'!$R$3,INDEX('G-7 WaterC'' Data'!$U$5:$Y$9,MATCH(G118,'G-7 WaterC'' Data'!$T$5:$T$9,0),MATCH(T118,'G-7 WaterC'' Data'!$U$4:$Y$4,0)))),"")</f>
        <v/>
      </c>
      <c r="Z118" s="159"/>
      <c r="AA118" s="159"/>
      <c r="AB118" s="370" t="str">
        <f t="shared" si="11"/>
        <v/>
      </c>
      <c r="AC118" s="383" t="str">
        <f t="shared" si="12"/>
        <v/>
      </c>
      <c r="AD118" s="422" t="str">
        <f>IFERROR(IF(AC118="Check Data ⚠","Check Data ⚠",VLOOKUP(AC118,'G-4 Temporal multipliers'!$A$4:$C$37,3,FALSE)),"")</f>
        <v/>
      </c>
      <c r="AE118" s="362" t="str">
        <f>IF(N118="","",VLOOKUP(N118,'G-7 WaterC'' Data'!$B$4:$G$8,5,FALSE))</f>
        <v/>
      </c>
      <c r="AF118" s="370" t="str">
        <f t="shared" si="13"/>
        <v/>
      </c>
      <c r="AG118" s="401" t="str">
        <f t="shared" si="14"/>
        <v/>
      </c>
      <c r="AH118" s="363" t="str">
        <f t="shared" si="9"/>
        <v/>
      </c>
      <c r="AI118" s="122"/>
      <c r="AJ118" s="363" t="str">
        <f>IF(AI118="","",IF(VLOOKUP(AI118,'G-7 WaterC'' Data'!$AA$4:$AB$7,2,FALSE)=0,"Spatial Data Missing ⚠",VLOOKUP(AI118,'G-7 WaterC'' Data'!$AA$4:$AB$7,2,FALSE)))</f>
        <v/>
      </c>
      <c r="AK118" s="123"/>
      <c r="AL118" s="363" t="str">
        <f>IF(AK118="","",IF(VLOOKUP(AK118,'G-7 WaterC'' Data'!$AD$4:$AE$14,2,FALSE)=0,"Spatial Data Missing ⚠",VLOOKUP(AK118,'G-7 WaterC'' Data'!$AD$4:$AE$14,2,FALSE)))</f>
        <v/>
      </c>
      <c r="AM118" s="405" t="str">
        <f t="shared" si="15"/>
        <v/>
      </c>
      <c r="AN118" s="117"/>
      <c r="AO118" s="118"/>
      <c r="AP118" s="120"/>
      <c r="AV118" s="30" t="str">
        <f>IFERROR(INDEX('G-7 WaterC'' Data'!$AZ$3:$AZ$7,MATCH(N118,'G-7 WaterC'' Data'!$AY$3:$AY$7,0)),"")</f>
        <v/>
      </c>
    </row>
    <row r="119" spans="2:48" ht="15">
      <c r="B119" s="392" t="str">
        <f>'C-1 On-Site WaterC'' Baseline'!AO117</f>
        <v/>
      </c>
      <c r="C119" s="382" t="str">
        <f>IF(B119="","",VLOOKUP($B119,'C-1 On-Site WaterC'' Baseline'!$C$9:$R$257,2,FALSE))</f>
        <v/>
      </c>
      <c r="D119" s="382" t="str">
        <f>IF(C119="","",VLOOKUP($B119,'C-1 On-Site WaterC'' Baseline'!$C$9:$R$257,3,FALSE))</f>
        <v/>
      </c>
      <c r="E119" s="382" t="str">
        <f>IF(D119="","",VLOOKUP($B119,'C-1 On-Site WaterC'' Baseline'!$C$9:$R$257,4,FALSE))</f>
        <v/>
      </c>
      <c r="F119" s="382" t="str">
        <f>IF(E119="","",VLOOKUP($B119,'C-1 On-Site WaterC'' Baseline'!$C$9:$R$257,5,FALSE))</f>
        <v/>
      </c>
      <c r="G119" s="382" t="str">
        <f>IF(F119="","",VLOOKUP($B119,'C-1 On-Site WaterC'' Baseline'!$C$9:$R$257,6,FALSE))</f>
        <v/>
      </c>
      <c r="H119" s="382" t="str">
        <f>IF(G119="","",VLOOKUP($B119,'C-1 On-Site WaterC'' Baseline'!$C$9:$R$257,7,FALSE))</f>
        <v/>
      </c>
      <c r="I119" s="382" t="str">
        <f>IF(H119="","",VLOOKUP($B119,'C-1 On-Site WaterC'' Baseline'!$C$9:$R$257,8,FALSE))</f>
        <v/>
      </c>
      <c r="J119" s="382" t="str">
        <f>IF(I119="","",VLOOKUP($B119,'C-1 On-Site WaterC'' Baseline'!$C$9:$R$257,9,FALSE))</f>
        <v/>
      </c>
      <c r="K119" s="382" t="str">
        <f>IF(J119="","",VLOOKUP($B119,'C-1 On-Site WaterC'' Baseline'!$C$9:$R$257,10,FALSE))</f>
        <v/>
      </c>
      <c r="L119" s="382" t="str">
        <f>IF(B119="","",VLOOKUP($B119,'C-1 On-Site WaterC'' Baseline'!$C$9:$R$257,15,FALSE))</f>
        <v/>
      </c>
      <c r="M119" s="386" t="str">
        <f>IF(L119="","",VLOOKUP($B119,'C-1 On-Site WaterC'' Baseline'!$C$9:$R$257,16,FALSE))</f>
        <v/>
      </c>
      <c r="N119" s="320" t="str">
        <f t="shared" si="8"/>
        <v/>
      </c>
      <c r="O119" s="362" t="str">
        <f t="shared" si="10"/>
        <v/>
      </c>
      <c r="P119" s="363" t="str">
        <f>IF(C119="","",IF(AND(LEFT(C119,55)&lt;&gt;LEFT(N119,55),O119="High - High"),"Error - Not like for like ▲",IF(H119&gt;U119,"Error - Can not reduce condition ▲",IF(AND(F119=S119,H119=U119,AJ119='C-1 On-Site WaterC'' Baseline'!N117,'C-1 On-Site WaterC'' Baseline'!P117=AL119),"Error - No enhancement ▲",IF(AND(C119&lt;&gt;N119,F119&lt;S119),"Lower Distinctiveness Habitat"&amp;" - "&amp;T119,G119&amp;" - "&amp;T119)))))</f>
        <v/>
      </c>
      <c r="Q119" s="425" t="str">
        <f>IF(N119="","",VLOOKUP(B119,'C-1 On-Site WaterC'' Baseline'!$C$10:$AB$257,19,FALSE))</f>
        <v/>
      </c>
      <c r="R119" s="362" t="str">
        <f>IF(N119="","",VLOOKUP(N119,'G-7 WaterC'' Data'!$B$2:$G$8,2,FALSE))</f>
        <v/>
      </c>
      <c r="S119" s="363" t="str">
        <f>IFERROR(VLOOKUP(R119,'G-7 WaterC'' Data'!$C$4:$D$8,2,FALSE),"")</f>
        <v/>
      </c>
      <c r="T119" s="114"/>
      <c r="U119" s="363" t="str">
        <f>IFERROR(INDEX('G-7 WaterC'' Data'!$H$4:$L$8,MATCH(N119,'G-7 WaterC'' Data'!$B$4:$B$8,0),MATCH(T119,'G-7 WaterC'' Data'!$H$3:$L$3,0)),"")</f>
        <v/>
      </c>
      <c r="V119" s="114"/>
      <c r="W119" s="370" t="str">
        <f>IF(V119="","",IF(VLOOKUP(V119,'G-7 WaterC'' Data'!$AK$4:$AM$6,2,FALSE)=0,"Spatial Data Missing ⚠",VLOOKUP(V119,'G-7 WaterC'' Data'!$AK$4:$AM$6,2,FALSE)))</f>
        <v/>
      </c>
      <c r="X119" s="363" t="str">
        <f>IF(V119="","",IF(VLOOKUP(V119,'G-7 WaterC'' Data'!$AK$4:$AM$6,3,FALSE)=0,"Spatial Data Missing ⚠",VLOOKUP(V119,'G-7 WaterC'' Data'!$AK$4:$AM$6,3,FALSE)))</f>
        <v/>
      </c>
      <c r="Y119" s="362" t="str">
        <f>IFERROR(IF(OR(LEFT(P119,5)="Error",LEFT(O119,5)="Error ▲"),"Check Data ⚠",IF(F119&lt;S119,'G-7 WaterC'' Data'!$R$3,INDEX('G-7 WaterC'' Data'!$U$5:$Y$9,MATCH(G119,'G-7 WaterC'' Data'!$T$5:$T$9,0),MATCH(T119,'G-7 WaterC'' Data'!$U$4:$Y$4,0)))),"")</f>
        <v/>
      </c>
      <c r="Z119" s="159"/>
      <c r="AA119" s="159"/>
      <c r="AB119" s="370" t="str">
        <f t="shared" si="11"/>
        <v/>
      </c>
      <c r="AC119" s="383" t="str">
        <f t="shared" si="12"/>
        <v/>
      </c>
      <c r="AD119" s="422" t="str">
        <f>IFERROR(IF(AC119="Check Data ⚠","Check Data ⚠",VLOOKUP(AC119,'G-4 Temporal multipliers'!$A$4:$C$37,3,FALSE)),"")</f>
        <v/>
      </c>
      <c r="AE119" s="362" t="str">
        <f>IF(N119="","",VLOOKUP(N119,'G-7 WaterC'' Data'!$B$4:$G$8,5,FALSE))</f>
        <v/>
      </c>
      <c r="AF119" s="370" t="str">
        <f t="shared" si="13"/>
        <v/>
      </c>
      <c r="AG119" s="401" t="str">
        <f t="shared" si="14"/>
        <v/>
      </c>
      <c r="AH119" s="363" t="str">
        <f t="shared" si="9"/>
        <v/>
      </c>
      <c r="AI119" s="122"/>
      <c r="AJ119" s="363" t="str">
        <f>IF(AI119="","",IF(VLOOKUP(AI119,'G-7 WaterC'' Data'!$AA$4:$AB$7,2,FALSE)=0,"Spatial Data Missing ⚠",VLOOKUP(AI119,'G-7 WaterC'' Data'!$AA$4:$AB$7,2,FALSE)))</f>
        <v/>
      </c>
      <c r="AK119" s="123"/>
      <c r="AL119" s="363" t="str">
        <f>IF(AK119="","",IF(VLOOKUP(AK119,'G-7 WaterC'' Data'!$AD$4:$AE$14,2,FALSE)=0,"Spatial Data Missing ⚠",VLOOKUP(AK119,'G-7 WaterC'' Data'!$AD$4:$AE$14,2,FALSE)))</f>
        <v/>
      </c>
      <c r="AM119" s="405" t="str">
        <f t="shared" si="15"/>
        <v/>
      </c>
      <c r="AN119" s="117"/>
      <c r="AO119" s="118"/>
      <c r="AP119" s="120"/>
      <c r="AV119" s="30" t="str">
        <f>IFERROR(INDEX('G-7 WaterC'' Data'!$AZ$3:$AZ$7,MATCH(N119,'G-7 WaterC'' Data'!$AY$3:$AY$7,0)),"")</f>
        <v/>
      </c>
    </row>
    <row r="120" spans="2:48" ht="15">
      <c r="B120" s="392" t="str">
        <f>'C-1 On-Site WaterC'' Baseline'!AO118</f>
        <v/>
      </c>
      <c r="C120" s="382" t="str">
        <f>IF(B120="","",VLOOKUP($B120,'C-1 On-Site WaterC'' Baseline'!$C$9:$R$257,2,FALSE))</f>
        <v/>
      </c>
      <c r="D120" s="382" t="str">
        <f>IF(C120="","",VLOOKUP($B120,'C-1 On-Site WaterC'' Baseline'!$C$9:$R$257,3,FALSE))</f>
        <v/>
      </c>
      <c r="E120" s="382" t="str">
        <f>IF(D120="","",VLOOKUP($B120,'C-1 On-Site WaterC'' Baseline'!$C$9:$R$257,4,FALSE))</f>
        <v/>
      </c>
      <c r="F120" s="382" t="str">
        <f>IF(E120="","",VLOOKUP($B120,'C-1 On-Site WaterC'' Baseline'!$C$9:$R$257,5,FALSE))</f>
        <v/>
      </c>
      <c r="G120" s="382" t="str">
        <f>IF(F120="","",VLOOKUP($B120,'C-1 On-Site WaterC'' Baseline'!$C$9:$R$257,6,FALSE))</f>
        <v/>
      </c>
      <c r="H120" s="382" t="str">
        <f>IF(G120="","",VLOOKUP($B120,'C-1 On-Site WaterC'' Baseline'!$C$9:$R$257,7,FALSE))</f>
        <v/>
      </c>
      <c r="I120" s="382" t="str">
        <f>IF(H120="","",VLOOKUP($B120,'C-1 On-Site WaterC'' Baseline'!$C$9:$R$257,8,FALSE))</f>
        <v/>
      </c>
      <c r="J120" s="382" t="str">
        <f>IF(I120="","",VLOOKUP($B120,'C-1 On-Site WaterC'' Baseline'!$C$9:$R$257,9,FALSE))</f>
        <v/>
      </c>
      <c r="K120" s="382" t="str">
        <f>IF(J120="","",VLOOKUP($B120,'C-1 On-Site WaterC'' Baseline'!$C$9:$R$257,10,FALSE))</f>
        <v/>
      </c>
      <c r="L120" s="382" t="str">
        <f>IF(B120="","",VLOOKUP($B120,'C-1 On-Site WaterC'' Baseline'!$C$9:$R$257,15,FALSE))</f>
        <v/>
      </c>
      <c r="M120" s="386" t="str">
        <f>IF(L120="","",VLOOKUP($B120,'C-1 On-Site WaterC'' Baseline'!$C$9:$R$257,16,FALSE))</f>
        <v/>
      </c>
      <c r="N120" s="320" t="str">
        <f t="shared" si="8"/>
        <v/>
      </c>
      <c r="O120" s="362" t="str">
        <f t="shared" si="10"/>
        <v/>
      </c>
      <c r="P120" s="363" t="str">
        <f>IF(C120="","",IF(AND(LEFT(C120,55)&lt;&gt;LEFT(N120,55),O120="High - High"),"Error - Not like for like ▲",IF(H120&gt;U120,"Error - Can not reduce condition ▲",IF(AND(F120=S120,H120=U120,AJ120='C-1 On-Site WaterC'' Baseline'!N118,'C-1 On-Site WaterC'' Baseline'!P118=AL120),"Error - No enhancement ▲",IF(AND(C120&lt;&gt;N120,F120&lt;S120),"Lower Distinctiveness Habitat"&amp;" - "&amp;T120,G120&amp;" - "&amp;T120)))))</f>
        <v/>
      </c>
      <c r="Q120" s="425" t="str">
        <f>IF(N120="","",VLOOKUP(B120,'C-1 On-Site WaterC'' Baseline'!$C$10:$AB$257,19,FALSE))</f>
        <v/>
      </c>
      <c r="R120" s="362" t="str">
        <f>IF(N120="","",VLOOKUP(N120,'G-7 WaterC'' Data'!$B$2:$G$8,2,FALSE))</f>
        <v/>
      </c>
      <c r="S120" s="363" t="str">
        <f>IFERROR(VLOOKUP(R120,'G-7 WaterC'' Data'!$C$4:$D$8,2,FALSE),"")</f>
        <v/>
      </c>
      <c r="T120" s="114"/>
      <c r="U120" s="363" t="str">
        <f>IFERROR(INDEX('G-7 WaterC'' Data'!$H$4:$L$8,MATCH(N120,'G-7 WaterC'' Data'!$B$4:$B$8,0),MATCH(T120,'G-7 WaterC'' Data'!$H$3:$L$3,0)),"")</f>
        <v/>
      </c>
      <c r="V120" s="114"/>
      <c r="W120" s="370" t="str">
        <f>IF(V120="","",IF(VLOOKUP(V120,'G-7 WaterC'' Data'!$AK$4:$AM$6,2,FALSE)=0,"Spatial Data Missing ⚠",VLOOKUP(V120,'G-7 WaterC'' Data'!$AK$4:$AM$6,2,FALSE)))</f>
        <v/>
      </c>
      <c r="X120" s="363" t="str">
        <f>IF(V120="","",IF(VLOOKUP(V120,'G-7 WaterC'' Data'!$AK$4:$AM$6,3,FALSE)=0,"Spatial Data Missing ⚠",VLOOKUP(V120,'G-7 WaterC'' Data'!$AK$4:$AM$6,3,FALSE)))</f>
        <v/>
      </c>
      <c r="Y120" s="362" t="str">
        <f>IFERROR(IF(OR(LEFT(P120,5)="Error",LEFT(O120,5)="Error ▲"),"Check Data ⚠",IF(F120&lt;S120,'G-7 WaterC'' Data'!$R$3,INDEX('G-7 WaterC'' Data'!$U$5:$Y$9,MATCH(G120,'G-7 WaterC'' Data'!$T$5:$T$9,0),MATCH(T120,'G-7 WaterC'' Data'!$U$4:$Y$4,0)))),"")</f>
        <v/>
      </c>
      <c r="Z120" s="159"/>
      <c r="AA120" s="159"/>
      <c r="AB120" s="370" t="str">
        <f t="shared" si="11"/>
        <v/>
      </c>
      <c r="AC120" s="383" t="str">
        <f t="shared" si="12"/>
        <v/>
      </c>
      <c r="AD120" s="422" t="str">
        <f>IFERROR(IF(AC120="Check Data ⚠","Check Data ⚠",VLOOKUP(AC120,'G-4 Temporal multipliers'!$A$4:$C$37,3,FALSE)),"")</f>
        <v/>
      </c>
      <c r="AE120" s="362" t="str">
        <f>IF(N120="","",VLOOKUP(N120,'G-7 WaterC'' Data'!$B$4:$G$8,5,FALSE))</f>
        <v/>
      </c>
      <c r="AF120" s="370" t="str">
        <f t="shared" si="13"/>
        <v/>
      </c>
      <c r="AG120" s="401" t="str">
        <f t="shared" si="14"/>
        <v/>
      </c>
      <c r="AH120" s="363" t="str">
        <f t="shared" si="9"/>
        <v/>
      </c>
      <c r="AI120" s="122"/>
      <c r="AJ120" s="363" t="str">
        <f>IF(AI120="","",IF(VLOOKUP(AI120,'G-7 WaterC'' Data'!$AA$4:$AB$7,2,FALSE)=0,"Spatial Data Missing ⚠",VLOOKUP(AI120,'G-7 WaterC'' Data'!$AA$4:$AB$7,2,FALSE)))</f>
        <v/>
      </c>
      <c r="AK120" s="123"/>
      <c r="AL120" s="363" t="str">
        <f>IF(AK120="","",IF(VLOOKUP(AK120,'G-7 WaterC'' Data'!$AD$4:$AE$14,2,FALSE)=0,"Spatial Data Missing ⚠",VLOOKUP(AK120,'G-7 WaterC'' Data'!$AD$4:$AE$14,2,FALSE)))</f>
        <v/>
      </c>
      <c r="AM120" s="405" t="str">
        <f t="shared" si="15"/>
        <v/>
      </c>
      <c r="AN120" s="117"/>
      <c r="AO120" s="118"/>
      <c r="AP120" s="120"/>
      <c r="AV120" s="30" t="str">
        <f>IFERROR(INDEX('G-7 WaterC'' Data'!$AZ$3:$AZ$7,MATCH(N120,'G-7 WaterC'' Data'!$AY$3:$AY$7,0)),"")</f>
        <v/>
      </c>
    </row>
    <row r="121" spans="2:48" ht="15">
      <c r="B121" s="392" t="str">
        <f>'C-1 On-Site WaterC'' Baseline'!AO119</f>
        <v/>
      </c>
      <c r="C121" s="382" t="str">
        <f>IF(B121="","",VLOOKUP($B121,'C-1 On-Site WaterC'' Baseline'!$C$9:$R$257,2,FALSE))</f>
        <v/>
      </c>
      <c r="D121" s="382" t="str">
        <f>IF(C121="","",VLOOKUP($B121,'C-1 On-Site WaterC'' Baseline'!$C$9:$R$257,3,FALSE))</f>
        <v/>
      </c>
      <c r="E121" s="382" t="str">
        <f>IF(D121="","",VLOOKUP($B121,'C-1 On-Site WaterC'' Baseline'!$C$9:$R$257,4,FALSE))</f>
        <v/>
      </c>
      <c r="F121" s="382" t="str">
        <f>IF(E121="","",VLOOKUP($B121,'C-1 On-Site WaterC'' Baseline'!$C$9:$R$257,5,FALSE))</f>
        <v/>
      </c>
      <c r="G121" s="382" t="str">
        <f>IF(F121="","",VLOOKUP($B121,'C-1 On-Site WaterC'' Baseline'!$C$9:$R$257,6,FALSE))</f>
        <v/>
      </c>
      <c r="H121" s="382" t="str">
        <f>IF(G121="","",VLOOKUP($B121,'C-1 On-Site WaterC'' Baseline'!$C$9:$R$257,7,FALSE))</f>
        <v/>
      </c>
      <c r="I121" s="382" t="str">
        <f>IF(H121="","",VLOOKUP($B121,'C-1 On-Site WaterC'' Baseline'!$C$9:$R$257,8,FALSE))</f>
        <v/>
      </c>
      <c r="J121" s="382" t="str">
        <f>IF(I121="","",VLOOKUP($B121,'C-1 On-Site WaterC'' Baseline'!$C$9:$R$257,9,FALSE))</f>
        <v/>
      </c>
      <c r="K121" s="382" t="str">
        <f>IF(J121="","",VLOOKUP($B121,'C-1 On-Site WaterC'' Baseline'!$C$9:$R$257,10,FALSE))</f>
        <v/>
      </c>
      <c r="L121" s="382" t="str">
        <f>IF(B121="","",VLOOKUP($B121,'C-1 On-Site WaterC'' Baseline'!$C$9:$R$257,15,FALSE))</f>
        <v/>
      </c>
      <c r="M121" s="386" t="str">
        <f>IF(L121="","",VLOOKUP($B121,'C-1 On-Site WaterC'' Baseline'!$C$9:$R$257,16,FALSE))</f>
        <v/>
      </c>
      <c r="N121" s="320" t="str">
        <f t="shared" si="8"/>
        <v/>
      </c>
      <c r="O121" s="362" t="str">
        <f t="shared" si="10"/>
        <v/>
      </c>
      <c r="P121" s="363" t="str">
        <f>IF(C121="","",IF(AND(LEFT(C121,55)&lt;&gt;LEFT(N121,55),O121="High - High"),"Error - Not like for like ▲",IF(H121&gt;U121,"Error - Can not reduce condition ▲",IF(AND(F121=S121,H121=U121,AJ121='C-1 On-Site WaterC'' Baseline'!N119,'C-1 On-Site WaterC'' Baseline'!P119=AL121),"Error - No enhancement ▲",IF(AND(C121&lt;&gt;N121,F121&lt;S121),"Lower Distinctiveness Habitat"&amp;" - "&amp;T121,G121&amp;" - "&amp;T121)))))</f>
        <v/>
      </c>
      <c r="Q121" s="425" t="str">
        <f>IF(N121="","",VLOOKUP(B121,'C-1 On-Site WaterC'' Baseline'!$C$10:$AB$257,19,FALSE))</f>
        <v/>
      </c>
      <c r="R121" s="362" t="str">
        <f>IF(N121="","",VLOOKUP(N121,'G-7 WaterC'' Data'!$B$2:$G$8,2,FALSE))</f>
        <v/>
      </c>
      <c r="S121" s="363" t="str">
        <f>IFERROR(VLOOKUP(R121,'G-7 WaterC'' Data'!$C$4:$D$8,2,FALSE),"")</f>
        <v/>
      </c>
      <c r="T121" s="114"/>
      <c r="U121" s="363" t="str">
        <f>IFERROR(INDEX('G-7 WaterC'' Data'!$H$4:$L$8,MATCH(N121,'G-7 WaterC'' Data'!$B$4:$B$8,0),MATCH(T121,'G-7 WaterC'' Data'!$H$3:$L$3,0)),"")</f>
        <v/>
      </c>
      <c r="V121" s="114"/>
      <c r="W121" s="370" t="str">
        <f>IF(V121="","",IF(VLOOKUP(V121,'G-7 WaterC'' Data'!$AK$4:$AM$6,2,FALSE)=0,"Spatial Data Missing ⚠",VLOOKUP(V121,'G-7 WaterC'' Data'!$AK$4:$AM$6,2,FALSE)))</f>
        <v/>
      </c>
      <c r="X121" s="363" t="str">
        <f>IF(V121="","",IF(VLOOKUP(V121,'G-7 WaterC'' Data'!$AK$4:$AM$6,3,FALSE)=0,"Spatial Data Missing ⚠",VLOOKUP(V121,'G-7 WaterC'' Data'!$AK$4:$AM$6,3,FALSE)))</f>
        <v/>
      </c>
      <c r="Y121" s="362" t="str">
        <f>IFERROR(IF(OR(LEFT(P121,5)="Error",LEFT(O121,5)="Error ▲"),"Check Data ⚠",IF(F121&lt;S121,'G-7 WaterC'' Data'!$R$3,INDEX('G-7 WaterC'' Data'!$U$5:$Y$9,MATCH(G121,'G-7 WaterC'' Data'!$T$5:$T$9,0),MATCH(T121,'G-7 WaterC'' Data'!$U$4:$Y$4,0)))),"")</f>
        <v/>
      </c>
      <c r="Z121" s="159"/>
      <c r="AA121" s="159"/>
      <c r="AB121" s="370" t="str">
        <f t="shared" si="11"/>
        <v/>
      </c>
      <c r="AC121" s="383" t="str">
        <f t="shared" si="12"/>
        <v/>
      </c>
      <c r="AD121" s="422" t="str">
        <f>IFERROR(IF(AC121="Check Data ⚠","Check Data ⚠",VLOOKUP(AC121,'G-4 Temporal multipliers'!$A$4:$C$37,3,FALSE)),"")</f>
        <v/>
      </c>
      <c r="AE121" s="362" t="str">
        <f>IF(N121="","",VLOOKUP(N121,'G-7 WaterC'' Data'!$B$4:$G$8,5,FALSE))</f>
        <v/>
      </c>
      <c r="AF121" s="370" t="str">
        <f t="shared" si="13"/>
        <v/>
      </c>
      <c r="AG121" s="401" t="str">
        <f t="shared" si="14"/>
        <v/>
      </c>
      <c r="AH121" s="363" t="str">
        <f t="shared" si="9"/>
        <v/>
      </c>
      <c r="AI121" s="122"/>
      <c r="AJ121" s="363" t="str">
        <f>IF(AI121="","",IF(VLOOKUP(AI121,'G-7 WaterC'' Data'!$AA$4:$AB$7,2,FALSE)=0,"Spatial Data Missing ⚠",VLOOKUP(AI121,'G-7 WaterC'' Data'!$AA$4:$AB$7,2,FALSE)))</f>
        <v/>
      </c>
      <c r="AK121" s="123"/>
      <c r="AL121" s="363" t="str">
        <f>IF(AK121="","",IF(VLOOKUP(AK121,'G-7 WaterC'' Data'!$AD$4:$AE$14,2,FALSE)=0,"Spatial Data Missing ⚠",VLOOKUP(AK121,'G-7 WaterC'' Data'!$AD$4:$AE$14,2,FALSE)))</f>
        <v/>
      </c>
      <c r="AM121" s="405" t="str">
        <f t="shared" si="15"/>
        <v/>
      </c>
      <c r="AN121" s="117"/>
      <c r="AO121" s="118"/>
      <c r="AP121" s="120"/>
      <c r="AV121" s="30" t="str">
        <f>IFERROR(INDEX('G-7 WaterC'' Data'!$AZ$3:$AZ$7,MATCH(N121,'G-7 WaterC'' Data'!$AY$3:$AY$7,0)),"")</f>
        <v/>
      </c>
    </row>
    <row r="122" spans="2:48" ht="15">
      <c r="B122" s="392" t="str">
        <f>'C-1 On-Site WaterC'' Baseline'!AO120</f>
        <v/>
      </c>
      <c r="C122" s="382" t="str">
        <f>IF(B122="","",VLOOKUP($B122,'C-1 On-Site WaterC'' Baseline'!$C$9:$R$257,2,FALSE))</f>
        <v/>
      </c>
      <c r="D122" s="382" t="str">
        <f>IF(C122="","",VLOOKUP($B122,'C-1 On-Site WaterC'' Baseline'!$C$9:$R$257,3,FALSE))</f>
        <v/>
      </c>
      <c r="E122" s="382" t="str">
        <f>IF(D122="","",VLOOKUP($B122,'C-1 On-Site WaterC'' Baseline'!$C$9:$R$257,4,FALSE))</f>
        <v/>
      </c>
      <c r="F122" s="382" t="str">
        <f>IF(E122="","",VLOOKUP($B122,'C-1 On-Site WaterC'' Baseline'!$C$9:$R$257,5,FALSE))</f>
        <v/>
      </c>
      <c r="G122" s="382" t="str">
        <f>IF(F122="","",VLOOKUP($B122,'C-1 On-Site WaterC'' Baseline'!$C$9:$R$257,6,FALSE))</f>
        <v/>
      </c>
      <c r="H122" s="382" t="str">
        <f>IF(G122="","",VLOOKUP($B122,'C-1 On-Site WaterC'' Baseline'!$C$9:$R$257,7,FALSE))</f>
        <v/>
      </c>
      <c r="I122" s="382" t="str">
        <f>IF(H122="","",VLOOKUP($B122,'C-1 On-Site WaterC'' Baseline'!$C$9:$R$257,8,FALSE))</f>
        <v/>
      </c>
      <c r="J122" s="382" t="str">
        <f>IF(I122="","",VLOOKUP($B122,'C-1 On-Site WaterC'' Baseline'!$C$9:$R$257,9,FALSE))</f>
        <v/>
      </c>
      <c r="K122" s="382" t="str">
        <f>IF(J122="","",VLOOKUP($B122,'C-1 On-Site WaterC'' Baseline'!$C$9:$R$257,10,FALSE))</f>
        <v/>
      </c>
      <c r="L122" s="382" t="str">
        <f>IF(B122="","",VLOOKUP($B122,'C-1 On-Site WaterC'' Baseline'!$C$9:$R$257,15,FALSE))</f>
        <v/>
      </c>
      <c r="M122" s="386" t="str">
        <f>IF(L122="","",VLOOKUP($B122,'C-1 On-Site WaterC'' Baseline'!$C$9:$R$257,16,FALSE))</f>
        <v/>
      </c>
      <c r="N122" s="320" t="str">
        <f t="shared" si="8"/>
        <v/>
      </c>
      <c r="O122" s="362" t="str">
        <f t="shared" si="10"/>
        <v/>
      </c>
      <c r="P122" s="363" t="str">
        <f>IF(C122="","",IF(AND(LEFT(C122,55)&lt;&gt;LEFT(N122,55),O122="High - High"),"Error - Not like for like ▲",IF(H122&gt;U122,"Error - Can not reduce condition ▲",IF(AND(F122=S122,H122=U122,AJ122='C-1 On-Site WaterC'' Baseline'!N120,'C-1 On-Site WaterC'' Baseline'!P120=AL122),"Error - No enhancement ▲",IF(AND(C122&lt;&gt;N122,F122&lt;S122),"Lower Distinctiveness Habitat"&amp;" - "&amp;T122,G122&amp;" - "&amp;T122)))))</f>
        <v/>
      </c>
      <c r="Q122" s="425" t="str">
        <f>IF(N122="","",VLOOKUP(B122,'C-1 On-Site WaterC'' Baseline'!$C$10:$AB$257,19,FALSE))</f>
        <v/>
      </c>
      <c r="R122" s="362" t="str">
        <f>IF(N122="","",VLOOKUP(N122,'G-7 WaterC'' Data'!$B$2:$G$8,2,FALSE))</f>
        <v/>
      </c>
      <c r="S122" s="363" t="str">
        <f>IFERROR(VLOOKUP(R122,'G-7 WaterC'' Data'!$C$4:$D$8,2,FALSE),"")</f>
        <v/>
      </c>
      <c r="T122" s="114"/>
      <c r="U122" s="363" t="str">
        <f>IFERROR(INDEX('G-7 WaterC'' Data'!$H$4:$L$8,MATCH(N122,'G-7 WaterC'' Data'!$B$4:$B$8,0),MATCH(T122,'G-7 WaterC'' Data'!$H$3:$L$3,0)),"")</f>
        <v/>
      </c>
      <c r="V122" s="114"/>
      <c r="W122" s="370" t="str">
        <f>IF(V122="","",IF(VLOOKUP(V122,'G-7 WaterC'' Data'!$AK$4:$AM$6,2,FALSE)=0,"Spatial Data Missing ⚠",VLOOKUP(V122,'G-7 WaterC'' Data'!$AK$4:$AM$6,2,FALSE)))</f>
        <v/>
      </c>
      <c r="X122" s="363" t="str">
        <f>IF(V122="","",IF(VLOOKUP(V122,'G-7 WaterC'' Data'!$AK$4:$AM$6,3,FALSE)=0,"Spatial Data Missing ⚠",VLOOKUP(V122,'G-7 WaterC'' Data'!$AK$4:$AM$6,3,FALSE)))</f>
        <v/>
      </c>
      <c r="Y122" s="362" t="str">
        <f>IFERROR(IF(OR(LEFT(P122,5)="Error",LEFT(O122,5)="Error ▲"),"Check Data ⚠",IF(F122&lt;S122,'G-7 WaterC'' Data'!$R$3,INDEX('G-7 WaterC'' Data'!$U$5:$Y$9,MATCH(G122,'G-7 WaterC'' Data'!$T$5:$T$9,0),MATCH(T122,'G-7 WaterC'' Data'!$U$4:$Y$4,0)))),"")</f>
        <v/>
      </c>
      <c r="Z122" s="159"/>
      <c r="AA122" s="159"/>
      <c r="AB122" s="370" t="str">
        <f t="shared" si="11"/>
        <v/>
      </c>
      <c r="AC122" s="383" t="str">
        <f t="shared" si="12"/>
        <v/>
      </c>
      <c r="AD122" s="422" t="str">
        <f>IFERROR(IF(AC122="Check Data ⚠","Check Data ⚠",VLOOKUP(AC122,'G-4 Temporal multipliers'!$A$4:$C$37,3,FALSE)),"")</f>
        <v/>
      </c>
      <c r="AE122" s="362" t="str">
        <f>IF(N122="","",VLOOKUP(N122,'G-7 WaterC'' Data'!$B$4:$G$8,5,FALSE))</f>
        <v/>
      </c>
      <c r="AF122" s="370" t="str">
        <f t="shared" si="13"/>
        <v/>
      </c>
      <c r="AG122" s="401" t="str">
        <f t="shared" si="14"/>
        <v/>
      </c>
      <c r="AH122" s="363" t="str">
        <f t="shared" si="9"/>
        <v/>
      </c>
      <c r="AI122" s="122"/>
      <c r="AJ122" s="363" t="str">
        <f>IF(AI122="","",IF(VLOOKUP(AI122,'G-7 WaterC'' Data'!$AA$4:$AB$7,2,FALSE)=0,"Spatial Data Missing ⚠",VLOOKUP(AI122,'G-7 WaterC'' Data'!$AA$4:$AB$7,2,FALSE)))</f>
        <v/>
      </c>
      <c r="AK122" s="123"/>
      <c r="AL122" s="363" t="str">
        <f>IF(AK122="","",IF(VLOOKUP(AK122,'G-7 WaterC'' Data'!$AD$4:$AE$14,2,FALSE)=0,"Spatial Data Missing ⚠",VLOOKUP(AK122,'G-7 WaterC'' Data'!$AD$4:$AE$14,2,FALSE)))</f>
        <v/>
      </c>
      <c r="AM122" s="405" t="str">
        <f t="shared" si="15"/>
        <v/>
      </c>
      <c r="AN122" s="117"/>
      <c r="AO122" s="118"/>
      <c r="AP122" s="120"/>
      <c r="AV122" s="30" t="str">
        <f>IFERROR(INDEX('G-7 WaterC'' Data'!$AZ$3:$AZ$7,MATCH(N122,'G-7 WaterC'' Data'!$AY$3:$AY$7,0)),"")</f>
        <v/>
      </c>
    </row>
    <row r="123" spans="2:48" ht="15">
      <c r="B123" s="392" t="str">
        <f>'C-1 On-Site WaterC'' Baseline'!AO121</f>
        <v/>
      </c>
      <c r="C123" s="382" t="str">
        <f>IF(B123="","",VLOOKUP($B123,'C-1 On-Site WaterC'' Baseline'!$C$9:$R$257,2,FALSE))</f>
        <v/>
      </c>
      <c r="D123" s="382" t="str">
        <f>IF(C123="","",VLOOKUP($B123,'C-1 On-Site WaterC'' Baseline'!$C$9:$R$257,3,FALSE))</f>
        <v/>
      </c>
      <c r="E123" s="382" t="str">
        <f>IF(D123="","",VLOOKUP($B123,'C-1 On-Site WaterC'' Baseline'!$C$9:$R$257,4,FALSE))</f>
        <v/>
      </c>
      <c r="F123" s="382" t="str">
        <f>IF(E123="","",VLOOKUP($B123,'C-1 On-Site WaterC'' Baseline'!$C$9:$R$257,5,FALSE))</f>
        <v/>
      </c>
      <c r="G123" s="382" t="str">
        <f>IF(F123="","",VLOOKUP($B123,'C-1 On-Site WaterC'' Baseline'!$C$9:$R$257,6,FALSE))</f>
        <v/>
      </c>
      <c r="H123" s="382" t="str">
        <f>IF(G123="","",VLOOKUP($B123,'C-1 On-Site WaterC'' Baseline'!$C$9:$R$257,7,FALSE))</f>
        <v/>
      </c>
      <c r="I123" s="382" t="str">
        <f>IF(H123="","",VLOOKUP($B123,'C-1 On-Site WaterC'' Baseline'!$C$9:$R$257,8,FALSE))</f>
        <v/>
      </c>
      <c r="J123" s="382" t="str">
        <f>IF(I123="","",VLOOKUP($B123,'C-1 On-Site WaterC'' Baseline'!$C$9:$R$257,9,FALSE))</f>
        <v/>
      </c>
      <c r="K123" s="382" t="str">
        <f>IF(J123="","",VLOOKUP($B123,'C-1 On-Site WaterC'' Baseline'!$C$9:$R$257,10,FALSE))</f>
        <v/>
      </c>
      <c r="L123" s="382" t="str">
        <f>IF(B123="","",VLOOKUP($B123,'C-1 On-Site WaterC'' Baseline'!$C$9:$R$257,15,FALSE))</f>
        <v/>
      </c>
      <c r="M123" s="386" t="str">
        <f>IF(L123="","",VLOOKUP($B123,'C-1 On-Site WaterC'' Baseline'!$C$9:$R$257,16,FALSE))</f>
        <v/>
      </c>
      <c r="N123" s="320" t="str">
        <f t="shared" si="8"/>
        <v/>
      </c>
      <c r="O123" s="362" t="str">
        <f t="shared" si="10"/>
        <v/>
      </c>
      <c r="P123" s="363" t="str">
        <f>IF(C123="","",IF(AND(LEFT(C123,55)&lt;&gt;LEFT(N123,55),O123="High - High"),"Error - Not like for like ▲",IF(H123&gt;U123,"Error - Can not reduce condition ▲",IF(AND(F123=S123,H123=U123,AJ123='C-1 On-Site WaterC'' Baseline'!N121,'C-1 On-Site WaterC'' Baseline'!P121=AL123),"Error - No enhancement ▲",IF(AND(C123&lt;&gt;N123,F123&lt;S123),"Lower Distinctiveness Habitat"&amp;" - "&amp;T123,G123&amp;" - "&amp;T123)))))</f>
        <v/>
      </c>
      <c r="Q123" s="425" t="str">
        <f>IF(N123="","",VLOOKUP(B123,'C-1 On-Site WaterC'' Baseline'!$C$10:$AB$257,19,FALSE))</f>
        <v/>
      </c>
      <c r="R123" s="362" t="str">
        <f>IF(N123="","",VLOOKUP(N123,'G-7 WaterC'' Data'!$B$2:$G$8,2,FALSE))</f>
        <v/>
      </c>
      <c r="S123" s="363" t="str">
        <f>IFERROR(VLOOKUP(R123,'G-7 WaterC'' Data'!$C$4:$D$8,2,FALSE),"")</f>
        <v/>
      </c>
      <c r="T123" s="114"/>
      <c r="U123" s="363" t="str">
        <f>IFERROR(INDEX('G-7 WaterC'' Data'!$H$4:$L$8,MATCH(N123,'G-7 WaterC'' Data'!$B$4:$B$8,0),MATCH(T123,'G-7 WaterC'' Data'!$H$3:$L$3,0)),"")</f>
        <v/>
      </c>
      <c r="V123" s="114"/>
      <c r="W123" s="370" t="str">
        <f>IF(V123="","",IF(VLOOKUP(V123,'G-7 WaterC'' Data'!$AK$4:$AM$6,2,FALSE)=0,"Spatial Data Missing ⚠",VLOOKUP(V123,'G-7 WaterC'' Data'!$AK$4:$AM$6,2,FALSE)))</f>
        <v/>
      </c>
      <c r="X123" s="363" t="str">
        <f>IF(V123="","",IF(VLOOKUP(V123,'G-7 WaterC'' Data'!$AK$4:$AM$6,3,FALSE)=0,"Spatial Data Missing ⚠",VLOOKUP(V123,'G-7 WaterC'' Data'!$AK$4:$AM$6,3,FALSE)))</f>
        <v/>
      </c>
      <c r="Y123" s="362" t="str">
        <f>IFERROR(IF(OR(LEFT(P123,5)="Error",LEFT(O123,5)="Error ▲"),"Check Data ⚠",IF(F123&lt;S123,'G-7 WaterC'' Data'!$R$3,INDEX('G-7 WaterC'' Data'!$U$5:$Y$9,MATCH(G123,'G-7 WaterC'' Data'!$T$5:$T$9,0),MATCH(T123,'G-7 WaterC'' Data'!$U$4:$Y$4,0)))),"")</f>
        <v/>
      </c>
      <c r="Z123" s="159"/>
      <c r="AA123" s="159"/>
      <c r="AB123" s="370" t="str">
        <f t="shared" si="11"/>
        <v/>
      </c>
      <c r="AC123" s="383" t="str">
        <f t="shared" si="12"/>
        <v/>
      </c>
      <c r="AD123" s="422" t="str">
        <f>IFERROR(IF(AC123="Check Data ⚠","Check Data ⚠",VLOOKUP(AC123,'G-4 Temporal multipliers'!$A$4:$C$37,3,FALSE)),"")</f>
        <v/>
      </c>
      <c r="AE123" s="362" t="str">
        <f>IF(N123="","",VLOOKUP(N123,'G-7 WaterC'' Data'!$B$4:$G$8,5,FALSE))</f>
        <v/>
      </c>
      <c r="AF123" s="370" t="str">
        <f t="shared" si="13"/>
        <v/>
      </c>
      <c r="AG123" s="401" t="str">
        <f t="shared" si="14"/>
        <v/>
      </c>
      <c r="AH123" s="363" t="str">
        <f t="shared" si="9"/>
        <v/>
      </c>
      <c r="AI123" s="122"/>
      <c r="AJ123" s="363" t="str">
        <f>IF(AI123="","",IF(VLOOKUP(AI123,'G-7 WaterC'' Data'!$AA$4:$AB$7,2,FALSE)=0,"Spatial Data Missing ⚠",VLOOKUP(AI123,'G-7 WaterC'' Data'!$AA$4:$AB$7,2,FALSE)))</f>
        <v/>
      </c>
      <c r="AK123" s="123"/>
      <c r="AL123" s="363" t="str">
        <f>IF(AK123="","",IF(VLOOKUP(AK123,'G-7 WaterC'' Data'!$AD$4:$AE$14,2,FALSE)=0,"Spatial Data Missing ⚠",VLOOKUP(AK123,'G-7 WaterC'' Data'!$AD$4:$AE$14,2,FALSE)))</f>
        <v/>
      </c>
      <c r="AM123" s="405" t="str">
        <f t="shared" si="15"/>
        <v/>
      </c>
      <c r="AN123" s="117"/>
      <c r="AO123" s="118"/>
      <c r="AP123" s="120"/>
      <c r="AV123" s="30" t="str">
        <f>IFERROR(INDEX('G-7 WaterC'' Data'!$AZ$3:$AZ$7,MATCH(N123,'G-7 WaterC'' Data'!$AY$3:$AY$7,0)),"")</f>
        <v/>
      </c>
    </row>
    <row r="124" spans="2:48" ht="15">
      <c r="B124" s="392" t="str">
        <f>'C-1 On-Site WaterC'' Baseline'!AO122</f>
        <v/>
      </c>
      <c r="C124" s="382" t="str">
        <f>IF(B124="","",VLOOKUP($B124,'C-1 On-Site WaterC'' Baseline'!$C$9:$R$257,2,FALSE))</f>
        <v/>
      </c>
      <c r="D124" s="382" t="str">
        <f>IF(C124="","",VLOOKUP($B124,'C-1 On-Site WaterC'' Baseline'!$C$9:$R$257,3,FALSE))</f>
        <v/>
      </c>
      <c r="E124" s="382" t="str">
        <f>IF(D124="","",VLOOKUP($B124,'C-1 On-Site WaterC'' Baseline'!$C$9:$R$257,4,FALSE))</f>
        <v/>
      </c>
      <c r="F124" s="382" t="str">
        <f>IF(E124="","",VLOOKUP($B124,'C-1 On-Site WaterC'' Baseline'!$C$9:$R$257,5,FALSE))</f>
        <v/>
      </c>
      <c r="G124" s="382" t="str">
        <f>IF(F124="","",VLOOKUP($B124,'C-1 On-Site WaterC'' Baseline'!$C$9:$R$257,6,FALSE))</f>
        <v/>
      </c>
      <c r="H124" s="382" t="str">
        <f>IF(G124="","",VLOOKUP($B124,'C-1 On-Site WaterC'' Baseline'!$C$9:$R$257,7,FALSE))</f>
        <v/>
      </c>
      <c r="I124" s="382" t="str">
        <f>IF(H124="","",VLOOKUP($B124,'C-1 On-Site WaterC'' Baseline'!$C$9:$R$257,8,FALSE))</f>
        <v/>
      </c>
      <c r="J124" s="382" t="str">
        <f>IF(I124="","",VLOOKUP($B124,'C-1 On-Site WaterC'' Baseline'!$C$9:$R$257,9,FALSE))</f>
        <v/>
      </c>
      <c r="K124" s="382" t="str">
        <f>IF(J124="","",VLOOKUP($B124,'C-1 On-Site WaterC'' Baseline'!$C$9:$R$257,10,FALSE))</f>
        <v/>
      </c>
      <c r="L124" s="382" t="str">
        <f>IF(B124="","",VLOOKUP($B124,'C-1 On-Site WaterC'' Baseline'!$C$9:$R$257,15,FALSE))</f>
        <v/>
      </c>
      <c r="M124" s="386" t="str">
        <f>IF(L124="","",VLOOKUP($B124,'C-1 On-Site WaterC'' Baseline'!$C$9:$R$257,16,FALSE))</f>
        <v/>
      </c>
      <c r="N124" s="320" t="str">
        <f t="shared" si="8"/>
        <v/>
      </c>
      <c r="O124" s="362" t="str">
        <f t="shared" si="10"/>
        <v/>
      </c>
      <c r="P124" s="363" t="str">
        <f>IF(C124="","",IF(AND(LEFT(C124,55)&lt;&gt;LEFT(N124,55),O124="High - High"),"Error - Not like for like ▲",IF(H124&gt;U124,"Error - Can not reduce condition ▲",IF(AND(F124=S124,H124=U124,AJ124='C-1 On-Site WaterC'' Baseline'!N122,'C-1 On-Site WaterC'' Baseline'!P122=AL124),"Error - No enhancement ▲",IF(AND(C124&lt;&gt;N124,F124&lt;S124),"Lower Distinctiveness Habitat"&amp;" - "&amp;T124,G124&amp;" - "&amp;T124)))))</f>
        <v/>
      </c>
      <c r="Q124" s="425" t="str">
        <f>IF(N124="","",VLOOKUP(B124,'C-1 On-Site WaterC'' Baseline'!$C$10:$AB$257,19,FALSE))</f>
        <v/>
      </c>
      <c r="R124" s="362" t="str">
        <f>IF(N124="","",VLOOKUP(N124,'G-7 WaterC'' Data'!$B$2:$G$8,2,FALSE))</f>
        <v/>
      </c>
      <c r="S124" s="363" t="str">
        <f>IFERROR(VLOOKUP(R124,'G-7 WaterC'' Data'!$C$4:$D$8,2,FALSE),"")</f>
        <v/>
      </c>
      <c r="T124" s="114"/>
      <c r="U124" s="363" t="str">
        <f>IFERROR(INDEX('G-7 WaterC'' Data'!$H$4:$L$8,MATCH(N124,'G-7 WaterC'' Data'!$B$4:$B$8,0),MATCH(T124,'G-7 WaterC'' Data'!$H$3:$L$3,0)),"")</f>
        <v/>
      </c>
      <c r="V124" s="114"/>
      <c r="W124" s="370" t="str">
        <f>IF(V124="","",IF(VLOOKUP(V124,'G-7 WaterC'' Data'!$AK$4:$AM$6,2,FALSE)=0,"Spatial Data Missing ⚠",VLOOKUP(V124,'G-7 WaterC'' Data'!$AK$4:$AM$6,2,FALSE)))</f>
        <v/>
      </c>
      <c r="X124" s="363" t="str">
        <f>IF(V124="","",IF(VLOOKUP(V124,'G-7 WaterC'' Data'!$AK$4:$AM$6,3,FALSE)=0,"Spatial Data Missing ⚠",VLOOKUP(V124,'G-7 WaterC'' Data'!$AK$4:$AM$6,3,FALSE)))</f>
        <v/>
      </c>
      <c r="Y124" s="362" t="str">
        <f>IFERROR(IF(OR(LEFT(P124,5)="Error",LEFT(O124,5)="Error ▲"),"Check Data ⚠",IF(F124&lt;S124,'G-7 WaterC'' Data'!$R$3,INDEX('G-7 WaterC'' Data'!$U$5:$Y$9,MATCH(G124,'G-7 WaterC'' Data'!$T$5:$T$9,0),MATCH(T124,'G-7 WaterC'' Data'!$U$4:$Y$4,0)))),"")</f>
        <v/>
      </c>
      <c r="Z124" s="159"/>
      <c r="AA124" s="159"/>
      <c r="AB124" s="370" t="str">
        <f t="shared" si="11"/>
        <v/>
      </c>
      <c r="AC124" s="383" t="str">
        <f t="shared" si="12"/>
        <v/>
      </c>
      <c r="AD124" s="422" t="str">
        <f>IFERROR(IF(AC124="Check Data ⚠","Check Data ⚠",VLOOKUP(AC124,'G-4 Temporal multipliers'!$A$4:$C$37,3,FALSE)),"")</f>
        <v/>
      </c>
      <c r="AE124" s="362" t="str">
        <f>IF(N124="","",VLOOKUP(N124,'G-7 WaterC'' Data'!$B$4:$G$8,5,FALSE))</f>
        <v/>
      </c>
      <c r="AF124" s="370" t="str">
        <f t="shared" si="13"/>
        <v/>
      </c>
      <c r="AG124" s="401" t="str">
        <f t="shared" si="14"/>
        <v/>
      </c>
      <c r="AH124" s="363" t="str">
        <f t="shared" si="9"/>
        <v/>
      </c>
      <c r="AI124" s="122"/>
      <c r="AJ124" s="363" t="str">
        <f>IF(AI124="","",IF(VLOOKUP(AI124,'G-7 WaterC'' Data'!$AA$4:$AB$7,2,FALSE)=0,"Spatial Data Missing ⚠",VLOOKUP(AI124,'G-7 WaterC'' Data'!$AA$4:$AB$7,2,FALSE)))</f>
        <v/>
      </c>
      <c r="AK124" s="123"/>
      <c r="AL124" s="363" t="str">
        <f>IF(AK124="","",IF(VLOOKUP(AK124,'G-7 WaterC'' Data'!$AD$4:$AE$14,2,FALSE)=0,"Spatial Data Missing ⚠",VLOOKUP(AK124,'G-7 WaterC'' Data'!$AD$4:$AE$14,2,FALSE)))</f>
        <v/>
      </c>
      <c r="AM124" s="405" t="str">
        <f t="shared" si="15"/>
        <v/>
      </c>
      <c r="AN124" s="117"/>
      <c r="AO124" s="118"/>
      <c r="AP124" s="120"/>
      <c r="AV124" s="30" t="str">
        <f>IFERROR(INDEX('G-7 WaterC'' Data'!$AZ$3:$AZ$7,MATCH(N124,'G-7 WaterC'' Data'!$AY$3:$AY$7,0)),"")</f>
        <v/>
      </c>
    </row>
    <row r="125" spans="2:48" ht="15">
      <c r="B125" s="392" t="str">
        <f>'C-1 On-Site WaterC'' Baseline'!AO123</f>
        <v/>
      </c>
      <c r="C125" s="382" t="str">
        <f>IF(B125="","",VLOOKUP($B125,'C-1 On-Site WaterC'' Baseline'!$C$9:$R$257,2,FALSE))</f>
        <v/>
      </c>
      <c r="D125" s="382" t="str">
        <f>IF(C125="","",VLOOKUP($B125,'C-1 On-Site WaterC'' Baseline'!$C$9:$R$257,3,FALSE))</f>
        <v/>
      </c>
      <c r="E125" s="382" t="str">
        <f>IF(D125="","",VLOOKUP($B125,'C-1 On-Site WaterC'' Baseline'!$C$9:$R$257,4,FALSE))</f>
        <v/>
      </c>
      <c r="F125" s="382" t="str">
        <f>IF(E125="","",VLOOKUP($B125,'C-1 On-Site WaterC'' Baseline'!$C$9:$R$257,5,FALSE))</f>
        <v/>
      </c>
      <c r="G125" s="382" t="str">
        <f>IF(F125="","",VLOOKUP($B125,'C-1 On-Site WaterC'' Baseline'!$C$9:$R$257,6,FALSE))</f>
        <v/>
      </c>
      <c r="H125" s="382" t="str">
        <f>IF(G125="","",VLOOKUP($B125,'C-1 On-Site WaterC'' Baseline'!$C$9:$R$257,7,FALSE))</f>
        <v/>
      </c>
      <c r="I125" s="382" t="str">
        <f>IF(H125="","",VLOOKUP($B125,'C-1 On-Site WaterC'' Baseline'!$C$9:$R$257,8,FALSE))</f>
        <v/>
      </c>
      <c r="J125" s="382" t="str">
        <f>IF(I125="","",VLOOKUP($B125,'C-1 On-Site WaterC'' Baseline'!$C$9:$R$257,9,FALSE))</f>
        <v/>
      </c>
      <c r="K125" s="382" t="str">
        <f>IF(J125="","",VLOOKUP($B125,'C-1 On-Site WaterC'' Baseline'!$C$9:$R$257,10,FALSE))</f>
        <v/>
      </c>
      <c r="L125" s="382" t="str">
        <f>IF(B125="","",VLOOKUP($B125,'C-1 On-Site WaterC'' Baseline'!$C$9:$R$257,15,FALSE))</f>
        <v/>
      </c>
      <c r="M125" s="386" t="str">
        <f>IF(L125="","",VLOOKUP($B125,'C-1 On-Site WaterC'' Baseline'!$C$9:$R$257,16,FALSE))</f>
        <v/>
      </c>
      <c r="N125" s="320" t="str">
        <f t="shared" si="8"/>
        <v/>
      </c>
      <c r="O125" s="362" t="str">
        <f t="shared" si="10"/>
        <v/>
      </c>
      <c r="P125" s="363" t="str">
        <f>IF(C125="","",IF(AND(LEFT(C125,55)&lt;&gt;LEFT(N125,55),O125="High - High"),"Error - Not like for like ▲",IF(H125&gt;U125,"Error - Can not reduce condition ▲",IF(AND(F125=S125,H125=U125,AJ125='C-1 On-Site WaterC'' Baseline'!N123,'C-1 On-Site WaterC'' Baseline'!P123=AL125),"Error - No enhancement ▲",IF(AND(C125&lt;&gt;N125,F125&lt;S125),"Lower Distinctiveness Habitat"&amp;" - "&amp;T125,G125&amp;" - "&amp;T125)))))</f>
        <v/>
      </c>
      <c r="Q125" s="425" t="str">
        <f>IF(N125="","",VLOOKUP(B125,'C-1 On-Site WaterC'' Baseline'!$C$10:$AB$257,19,FALSE))</f>
        <v/>
      </c>
      <c r="R125" s="362" t="str">
        <f>IF(N125="","",VLOOKUP(N125,'G-7 WaterC'' Data'!$B$2:$G$8,2,FALSE))</f>
        <v/>
      </c>
      <c r="S125" s="363" t="str">
        <f>IFERROR(VLOOKUP(R125,'G-7 WaterC'' Data'!$C$4:$D$8,2,FALSE),"")</f>
        <v/>
      </c>
      <c r="T125" s="114"/>
      <c r="U125" s="363" t="str">
        <f>IFERROR(INDEX('G-7 WaterC'' Data'!$H$4:$L$8,MATCH(N125,'G-7 WaterC'' Data'!$B$4:$B$8,0),MATCH(T125,'G-7 WaterC'' Data'!$H$3:$L$3,0)),"")</f>
        <v/>
      </c>
      <c r="V125" s="114"/>
      <c r="W125" s="370" t="str">
        <f>IF(V125="","",IF(VLOOKUP(V125,'G-7 WaterC'' Data'!$AK$4:$AM$6,2,FALSE)=0,"Spatial Data Missing ⚠",VLOOKUP(V125,'G-7 WaterC'' Data'!$AK$4:$AM$6,2,FALSE)))</f>
        <v/>
      </c>
      <c r="X125" s="363" t="str">
        <f>IF(V125="","",IF(VLOOKUP(V125,'G-7 WaterC'' Data'!$AK$4:$AM$6,3,FALSE)=0,"Spatial Data Missing ⚠",VLOOKUP(V125,'G-7 WaterC'' Data'!$AK$4:$AM$6,3,FALSE)))</f>
        <v/>
      </c>
      <c r="Y125" s="362" t="str">
        <f>IFERROR(IF(OR(LEFT(P125,5)="Error",LEFT(O125,5)="Error ▲"),"Check Data ⚠",IF(F125&lt;S125,'G-7 WaterC'' Data'!$R$3,INDEX('G-7 WaterC'' Data'!$U$5:$Y$9,MATCH(G125,'G-7 WaterC'' Data'!$T$5:$T$9,0),MATCH(T125,'G-7 WaterC'' Data'!$U$4:$Y$4,0)))),"")</f>
        <v/>
      </c>
      <c r="Z125" s="159"/>
      <c r="AA125" s="159"/>
      <c r="AB125" s="370" t="str">
        <f t="shared" si="11"/>
        <v/>
      </c>
      <c r="AC125" s="383" t="str">
        <f t="shared" si="12"/>
        <v/>
      </c>
      <c r="AD125" s="422" t="str">
        <f>IFERROR(IF(AC125="Check Data ⚠","Check Data ⚠",VLOOKUP(AC125,'G-4 Temporal multipliers'!$A$4:$C$37,3,FALSE)),"")</f>
        <v/>
      </c>
      <c r="AE125" s="362" t="str">
        <f>IF(N125="","",VLOOKUP(N125,'G-7 WaterC'' Data'!$B$4:$G$8,5,FALSE))</f>
        <v/>
      </c>
      <c r="AF125" s="370" t="str">
        <f t="shared" si="13"/>
        <v/>
      </c>
      <c r="AG125" s="401" t="str">
        <f t="shared" si="14"/>
        <v/>
      </c>
      <c r="AH125" s="363" t="str">
        <f t="shared" si="9"/>
        <v/>
      </c>
      <c r="AI125" s="122"/>
      <c r="AJ125" s="363" t="str">
        <f>IF(AI125="","",IF(VLOOKUP(AI125,'G-7 WaterC'' Data'!$AA$4:$AB$7,2,FALSE)=0,"Spatial Data Missing ⚠",VLOOKUP(AI125,'G-7 WaterC'' Data'!$AA$4:$AB$7,2,FALSE)))</f>
        <v/>
      </c>
      <c r="AK125" s="123"/>
      <c r="AL125" s="363" t="str">
        <f>IF(AK125="","",IF(VLOOKUP(AK125,'G-7 WaterC'' Data'!$AD$4:$AE$14,2,FALSE)=0,"Spatial Data Missing ⚠",VLOOKUP(AK125,'G-7 WaterC'' Data'!$AD$4:$AE$14,2,FALSE)))</f>
        <v/>
      </c>
      <c r="AM125" s="405" t="str">
        <f t="shared" si="15"/>
        <v/>
      </c>
      <c r="AN125" s="117"/>
      <c r="AO125" s="118"/>
      <c r="AP125" s="120"/>
      <c r="AV125" s="30" t="str">
        <f>IFERROR(INDEX('G-7 WaterC'' Data'!$AZ$3:$AZ$7,MATCH(N125,'G-7 WaterC'' Data'!$AY$3:$AY$7,0)),"")</f>
        <v/>
      </c>
    </row>
    <row r="126" spans="2:48" ht="15">
      <c r="B126" s="392" t="str">
        <f>'C-1 On-Site WaterC'' Baseline'!AO124</f>
        <v/>
      </c>
      <c r="C126" s="382" t="str">
        <f>IF(B126="","",VLOOKUP($B126,'C-1 On-Site WaterC'' Baseline'!$C$9:$R$257,2,FALSE))</f>
        <v/>
      </c>
      <c r="D126" s="382" t="str">
        <f>IF(C126="","",VLOOKUP($B126,'C-1 On-Site WaterC'' Baseline'!$C$9:$R$257,3,FALSE))</f>
        <v/>
      </c>
      <c r="E126" s="382" t="str">
        <f>IF(D126="","",VLOOKUP($B126,'C-1 On-Site WaterC'' Baseline'!$C$9:$R$257,4,FALSE))</f>
        <v/>
      </c>
      <c r="F126" s="382" t="str">
        <f>IF(E126="","",VLOOKUP($B126,'C-1 On-Site WaterC'' Baseline'!$C$9:$R$257,5,FALSE))</f>
        <v/>
      </c>
      <c r="G126" s="382" t="str">
        <f>IF(F126="","",VLOOKUP($B126,'C-1 On-Site WaterC'' Baseline'!$C$9:$R$257,6,FALSE))</f>
        <v/>
      </c>
      <c r="H126" s="382" t="str">
        <f>IF(G126="","",VLOOKUP($B126,'C-1 On-Site WaterC'' Baseline'!$C$9:$R$257,7,FALSE))</f>
        <v/>
      </c>
      <c r="I126" s="382" t="str">
        <f>IF(H126="","",VLOOKUP($B126,'C-1 On-Site WaterC'' Baseline'!$C$9:$R$257,8,FALSE))</f>
        <v/>
      </c>
      <c r="J126" s="382" t="str">
        <f>IF(I126="","",VLOOKUP($B126,'C-1 On-Site WaterC'' Baseline'!$C$9:$R$257,9,FALSE))</f>
        <v/>
      </c>
      <c r="K126" s="382" t="str">
        <f>IF(J126="","",VLOOKUP($B126,'C-1 On-Site WaterC'' Baseline'!$C$9:$R$257,10,FALSE))</f>
        <v/>
      </c>
      <c r="L126" s="382" t="str">
        <f>IF(B126="","",VLOOKUP($B126,'C-1 On-Site WaterC'' Baseline'!$C$9:$R$257,15,FALSE))</f>
        <v/>
      </c>
      <c r="M126" s="386" t="str">
        <f>IF(L126="","",VLOOKUP($B126,'C-1 On-Site WaterC'' Baseline'!$C$9:$R$257,16,FALSE))</f>
        <v/>
      </c>
      <c r="N126" s="320" t="str">
        <f t="shared" si="8"/>
        <v/>
      </c>
      <c r="O126" s="362" t="str">
        <f t="shared" si="10"/>
        <v/>
      </c>
      <c r="P126" s="363" t="str">
        <f>IF(C126="","",IF(AND(LEFT(C126,55)&lt;&gt;LEFT(N126,55),O126="High - High"),"Error - Not like for like ▲",IF(H126&gt;U126,"Error - Can not reduce condition ▲",IF(AND(F126=S126,H126=U126,AJ126='C-1 On-Site WaterC'' Baseline'!N124,'C-1 On-Site WaterC'' Baseline'!P124=AL126),"Error - No enhancement ▲",IF(AND(C126&lt;&gt;N126,F126&lt;S126),"Lower Distinctiveness Habitat"&amp;" - "&amp;T126,G126&amp;" - "&amp;T126)))))</f>
        <v/>
      </c>
      <c r="Q126" s="425" t="str">
        <f>IF(N126="","",VLOOKUP(B126,'C-1 On-Site WaterC'' Baseline'!$C$10:$AB$257,19,FALSE))</f>
        <v/>
      </c>
      <c r="R126" s="362" t="str">
        <f>IF(N126="","",VLOOKUP(N126,'G-7 WaterC'' Data'!$B$2:$G$8,2,FALSE))</f>
        <v/>
      </c>
      <c r="S126" s="363" t="str">
        <f>IFERROR(VLOOKUP(R126,'G-7 WaterC'' Data'!$C$4:$D$8,2,FALSE),"")</f>
        <v/>
      </c>
      <c r="T126" s="114"/>
      <c r="U126" s="363" t="str">
        <f>IFERROR(INDEX('G-7 WaterC'' Data'!$H$4:$L$8,MATCH(N126,'G-7 WaterC'' Data'!$B$4:$B$8,0),MATCH(T126,'G-7 WaterC'' Data'!$H$3:$L$3,0)),"")</f>
        <v/>
      </c>
      <c r="V126" s="114"/>
      <c r="W126" s="370" t="str">
        <f>IF(V126="","",IF(VLOOKUP(V126,'G-7 WaterC'' Data'!$AK$4:$AM$6,2,FALSE)=0,"Spatial Data Missing ⚠",VLOOKUP(V126,'G-7 WaterC'' Data'!$AK$4:$AM$6,2,FALSE)))</f>
        <v/>
      </c>
      <c r="X126" s="363" t="str">
        <f>IF(V126="","",IF(VLOOKUP(V126,'G-7 WaterC'' Data'!$AK$4:$AM$6,3,FALSE)=0,"Spatial Data Missing ⚠",VLOOKUP(V126,'G-7 WaterC'' Data'!$AK$4:$AM$6,3,FALSE)))</f>
        <v/>
      </c>
      <c r="Y126" s="362" t="str">
        <f>IFERROR(IF(OR(LEFT(P126,5)="Error",LEFT(O126,5)="Error ▲"),"Check Data ⚠",IF(F126&lt;S126,'G-7 WaterC'' Data'!$R$3,INDEX('G-7 WaterC'' Data'!$U$5:$Y$9,MATCH(G126,'G-7 WaterC'' Data'!$T$5:$T$9,0),MATCH(T126,'G-7 WaterC'' Data'!$U$4:$Y$4,0)))),"")</f>
        <v/>
      </c>
      <c r="Z126" s="159"/>
      <c r="AA126" s="159"/>
      <c r="AB126" s="370" t="str">
        <f t="shared" si="11"/>
        <v/>
      </c>
      <c r="AC126" s="383" t="str">
        <f t="shared" si="12"/>
        <v/>
      </c>
      <c r="AD126" s="422" t="str">
        <f>IFERROR(IF(AC126="Check Data ⚠","Check Data ⚠",VLOOKUP(AC126,'G-4 Temporal multipliers'!$A$4:$C$37,3,FALSE)),"")</f>
        <v/>
      </c>
      <c r="AE126" s="362" t="str">
        <f>IF(N126="","",VLOOKUP(N126,'G-7 WaterC'' Data'!$B$4:$G$8,5,FALSE))</f>
        <v/>
      </c>
      <c r="AF126" s="370" t="str">
        <f t="shared" si="13"/>
        <v/>
      </c>
      <c r="AG126" s="401" t="str">
        <f t="shared" si="14"/>
        <v/>
      </c>
      <c r="AH126" s="363" t="str">
        <f t="shared" si="9"/>
        <v/>
      </c>
      <c r="AI126" s="122"/>
      <c r="AJ126" s="363" t="str">
        <f>IF(AI126="","",IF(VLOOKUP(AI126,'G-7 WaterC'' Data'!$AA$4:$AB$7,2,FALSE)=0,"Spatial Data Missing ⚠",VLOOKUP(AI126,'G-7 WaterC'' Data'!$AA$4:$AB$7,2,FALSE)))</f>
        <v/>
      </c>
      <c r="AK126" s="123"/>
      <c r="AL126" s="363" t="str">
        <f>IF(AK126="","",IF(VLOOKUP(AK126,'G-7 WaterC'' Data'!$AD$4:$AE$14,2,FALSE)=0,"Spatial Data Missing ⚠",VLOOKUP(AK126,'G-7 WaterC'' Data'!$AD$4:$AE$14,2,FALSE)))</f>
        <v/>
      </c>
      <c r="AM126" s="405" t="str">
        <f t="shared" si="15"/>
        <v/>
      </c>
      <c r="AN126" s="117"/>
      <c r="AO126" s="118"/>
      <c r="AP126" s="120"/>
      <c r="AV126" s="30" t="str">
        <f>IFERROR(INDEX('G-7 WaterC'' Data'!$AZ$3:$AZ$7,MATCH(N126,'G-7 WaterC'' Data'!$AY$3:$AY$7,0)),"")</f>
        <v/>
      </c>
    </row>
    <row r="127" spans="2:48" ht="15">
      <c r="B127" s="392" t="str">
        <f>'C-1 On-Site WaterC'' Baseline'!AO125</f>
        <v/>
      </c>
      <c r="C127" s="382" t="str">
        <f>IF(B127="","",VLOOKUP($B127,'C-1 On-Site WaterC'' Baseline'!$C$9:$R$257,2,FALSE))</f>
        <v/>
      </c>
      <c r="D127" s="382" t="str">
        <f>IF(C127="","",VLOOKUP($B127,'C-1 On-Site WaterC'' Baseline'!$C$9:$R$257,3,FALSE))</f>
        <v/>
      </c>
      <c r="E127" s="382" t="str">
        <f>IF(D127="","",VLOOKUP($B127,'C-1 On-Site WaterC'' Baseline'!$C$9:$R$257,4,FALSE))</f>
        <v/>
      </c>
      <c r="F127" s="382" t="str">
        <f>IF(E127="","",VLOOKUP($B127,'C-1 On-Site WaterC'' Baseline'!$C$9:$R$257,5,FALSE))</f>
        <v/>
      </c>
      <c r="G127" s="382" t="str">
        <f>IF(F127="","",VLOOKUP($B127,'C-1 On-Site WaterC'' Baseline'!$C$9:$R$257,6,FALSE))</f>
        <v/>
      </c>
      <c r="H127" s="382" t="str">
        <f>IF(G127="","",VLOOKUP($B127,'C-1 On-Site WaterC'' Baseline'!$C$9:$R$257,7,FALSE))</f>
        <v/>
      </c>
      <c r="I127" s="382" t="str">
        <f>IF(H127="","",VLOOKUP($B127,'C-1 On-Site WaterC'' Baseline'!$C$9:$R$257,8,FALSE))</f>
        <v/>
      </c>
      <c r="J127" s="382" t="str">
        <f>IF(I127="","",VLOOKUP($B127,'C-1 On-Site WaterC'' Baseline'!$C$9:$R$257,9,FALSE))</f>
        <v/>
      </c>
      <c r="K127" s="382" t="str">
        <f>IF(J127="","",VLOOKUP($B127,'C-1 On-Site WaterC'' Baseline'!$C$9:$R$257,10,FALSE))</f>
        <v/>
      </c>
      <c r="L127" s="382" t="str">
        <f>IF(B127="","",VLOOKUP($B127,'C-1 On-Site WaterC'' Baseline'!$C$9:$R$257,15,FALSE))</f>
        <v/>
      </c>
      <c r="M127" s="386" t="str">
        <f>IF(L127="","",VLOOKUP($B127,'C-1 On-Site WaterC'' Baseline'!$C$9:$R$257,16,FALSE))</f>
        <v/>
      </c>
      <c r="N127" s="320" t="str">
        <f t="shared" si="8"/>
        <v/>
      </c>
      <c r="O127" s="362" t="str">
        <f t="shared" si="10"/>
        <v/>
      </c>
      <c r="P127" s="363" t="str">
        <f>IF(C127="","",IF(AND(LEFT(C127,55)&lt;&gt;LEFT(N127,55),O127="High - High"),"Error - Not like for like ▲",IF(H127&gt;U127,"Error - Can not reduce condition ▲",IF(AND(F127=S127,H127=U127,AJ127='C-1 On-Site WaterC'' Baseline'!N125,'C-1 On-Site WaterC'' Baseline'!P125=AL127),"Error - No enhancement ▲",IF(AND(C127&lt;&gt;N127,F127&lt;S127),"Lower Distinctiveness Habitat"&amp;" - "&amp;T127,G127&amp;" - "&amp;T127)))))</f>
        <v/>
      </c>
      <c r="Q127" s="425" t="str">
        <f>IF(N127="","",VLOOKUP(B127,'C-1 On-Site WaterC'' Baseline'!$C$10:$AB$257,19,FALSE))</f>
        <v/>
      </c>
      <c r="R127" s="362" t="str">
        <f>IF(N127="","",VLOOKUP(N127,'G-7 WaterC'' Data'!$B$2:$G$8,2,FALSE))</f>
        <v/>
      </c>
      <c r="S127" s="363" t="str">
        <f>IFERROR(VLOOKUP(R127,'G-7 WaterC'' Data'!$C$4:$D$8,2,FALSE),"")</f>
        <v/>
      </c>
      <c r="T127" s="114"/>
      <c r="U127" s="363" t="str">
        <f>IFERROR(INDEX('G-7 WaterC'' Data'!$H$4:$L$8,MATCH(N127,'G-7 WaterC'' Data'!$B$4:$B$8,0),MATCH(T127,'G-7 WaterC'' Data'!$H$3:$L$3,0)),"")</f>
        <v/>
      </c>
      <c r="V127" s="114"/>
      <c r="W127" s="370" t="str">
        <f>IF(V127="","",IF(VLOOKUP(V127,'G-7 WaterC'' Data'!$AK$4:$AM$6,2,FALSE)=0,"Spatial Data Missing ⚠",VLOOKUP(V127,'G-7 WaterC'' Data'!$AK$4:$AM$6,2,FALSE)))</f>
        <v/>
      </c>
      <c r="X127" s="363" t="str">
        <f>IF(V127="","",IF(VLOOKUP(V127,'G-7 WaterC'' Data'!$AK$4:$AM$6,3,FALSE)=0,"Spatial Data Missing ⚠",VLOOKUP(V127,'G-7 WaterC'' Data'!$AK$4:$AM$6,3,FALSE)))</f>
        <v/>
      </c>
      <c r="Y127" s="362" t="str">
        <f>IFERROR(IF(OR(LEFT(P127,5)="Error",LEFT(O127,5)="Error ▲"),"Check Data ⚠",IF(F127&lt;S127,'G-7 WaterC'' Data'!$R$3,INDEX('G-7 WaterC'' Data'!$U$5:$Y$9,MATCH(G127,'G-7 WaterC'' Data'!$T$5:$T$9,0),MATCH(T127,'G-7 WaterC'' Data'!$U$4:$Y$4,0)))),"")</f>
        <v/>
      </c>
      <c r="Z127" s="159"/>
      <c r="AA127" s="159"/>
      <c r="AB127" s="370" t="str">
        <f t="shared" si="11"/>
        <v/>
      </c>
      <c r="AC127" s="383" t="str">
        <f t="shared" si="12"/>
        <v/>
      </c>
      <c r="AD127" s="422" t="str">
        <f>IFERROR(IF(AC127="Check Data ⚠","Check Data ⚠",VLOOKUP(AC127,'G-4 Temporal multipliers'!$A$4:$C$37,3,FALSE)),"")</f>
        <v/>
      </c>
      <c r="AE127" s="362" t="str">
        <f>IF(N127="","",VLOOKUP(N127,'G-7 WaterC'' Data'!$B$4:$G$8,5,FALSE))</f>
        <v/>
      </c>
      <c r="AF127" s="370" t="str">
        <f t="shared" si="13"/>
        <v/>
      </c>
      <c r="AG127" s="401" t="str">
        <f t="shared" si="14"/>
        <v/>
      </c>
      <c r="AH127" s="363" t="str">
        <f t="shared" si="9"/>
        <v/>
      </c>
      <c r="AI127" s="122"/>
      <c r="AJ127" s="363" t="str">
        <f>IF(AI127="","",IF(VLOOKUP(AI127,'G-7 WaterC'' Data'!$AA$4:$AB$7,2,FALSE)=0,"Spatial Data Missing ⚠",VLOOKUP(AI127,'G-7 WaterC'' Data'!$AA$4:$AB$7,2,FALSE)))</f>
        <v/>
      </c>
      <c r="AK127" s="123"/>
      <c r="AL127" s="363" t="str">
        <f>IF(AK127="","",IF(VLOOKUP(AK127,'G-7 WaterC'' Data'!$AD$4:$AE$14,2,FALSE)=0,"Spatial Data Missing ⚠",VLOOKUP(AK127,'G-7 WaterC'' Data'!$AD$4:$AE$14,2,FALSE)))</f>
        <v/>
      </c>
      <c r="AM127" s="405" t="str">
        <f t="shared" si="15"/>
        <v/>
      </c>
      <c r="AN127" s="117"/>
      <c r="AO127" s="118"/>
      <c r="AP127" s="120"/>
      <c r="AV127" s="30" t="str">
        <f>IFERROR(INDEX('G-7 WaterC'' Data'!$AZ$3:$AZ$7,MATCH(N127,'G-7 WaterC'' Data'!$AY$3:$AY$7,0)),"")</f>
        <v/>
      </c>
    </row>
    <row r="128" spans="2:48" ht="15">
      <c r="B128" s="392" t="str">
        <f>'C-1 On-Site WaterC'' Baseline'!AO126</f>
        <v/>
      </c>
      <c r="C128" s="382" t="str">
        <f>IF(B128="","",VLOOKUP($B128,'C-1 On-Site WaterC'' Baseline'!$C$9:$R$257,2,FALSE))</f>
        <v/>
      </c>
      <c r="D128" s="382" t="str">
        <f>IF(C128="","",VLOOKUP($B128,'C-1 On-Site WaterC'' Baseline'!$C$9:$R$257,3,FALSE))</f>
        <v/>
      </c>
      <c r="E128" s="382" t="str">
        <f>IF(D128="","",VLOOKUP($B128,'C-1 On-Site WaterC'' Baseline'!$C$9:$R$257,4,FALSE))</f>
        <v/>
      </c>
      <c r="F128" s="382" t="str">
        <f>IF(E128="","",VLOOKUP($B128,'C-1 On-Site WaterC'' Baseline'!$C$9:$R$257,5,FALSE))</f>
        <v/>
      </c>
      <c r="G128" s="382" t="str">
        <f>IF(F128="","",VLOOKUP($B128,'C-1 On-Site WaterC'' Baseline'!$C$9:$R$257,6,FALSE))</f>
        <v/>
      </c>
      <c r="H128" s="382" t="str">
        <f>IF(G128="","",VLOOKUP($B128,'C-1 On-Site WaterC'' Baseline'!$C$9:$R$257,7,FALSE))</f>
        <v/>
      </c>
      <c r="I128" s="382" t="str">
        <f>IF(H128="","",VLOOKUP($B128,'C-1 On-Site WaterC'' Baseline'!$C$9:$R$257,8,FALSE))</f>
        <v/>
      </c>
      <c r="J128" s="382" t="str">
        <f>IF(I128="","",VLOOKUP($B128,'C-1 On-Site WaterC'' Baseline'!$C$9:$R$257,9,FALSE))</f>
        <v/>
      </c>
      <c r="K128" s="382" t="str">
        <f>IF(J128="","",VLOOKUP($B128,'C-1 On-Site WaterC'' Baseline'!$C$9:$R$257,10,FALSE))</f>
        <v/>
      </c>
      <c r="L128" s="382" t="str">
        <f>IF(B128="","",VLOOKUP($B128,'C-1 On-Site WaterC'' Baseline'!$C$9:$R$257,15,FALSE))</f>
        <v/>
      </c>
      <c r="M128" s="386" t="str">
        <f>IF(L128="","",VLOOKUP($B128,'C-1 On-Site WaterC'' Baseline'!$C$9:$R$257,16,FALSE))</f>
        <v/>
      </c>
      <c r="N128" s="320" t="str">
        <f t="shared" si="8"/>
        <v/>
      </c>
      <c r="O128" s="362" t="str">
        <f t="shared" si="10"/>
        <v/>
      </c>
      <c r="P128" s="363" t="str">
        <f>IF(C128="","",IF(AND(LEFT(C128,55)&lt;&gt;LEFT(N128,55),O128="High - High"),"Error - Not like for like ▲",IF(H128&gt;U128,"Error - Can not reduce condition ▲",IF(AND(F128=S128,H128=U128,AJ128='C-1 On-Site WaterC'' Baseline'!N126,'C-1 On-Site WaterC'' Baseline'!P126=AL128),"Error - No enhancement ▲",IF(AND(C128&lt;&gt;N128,F128&lt;S128),"Lower Distinctiveness Habitat"&amp;" - "&amp;T128,G128&amp;" - "&amp;T128)))))</f>
        <v/>
      </c>
      <c r="Q128" s="425" t="str">
        <f>IF(N128="","",VLOOKUP(B128,'C-1 On-Site WaterC'' Baseline'!$C$10:$AB$257,19,FALSE))</f>
        <v/>
      </c>
      <c r="R128" s="362" t="str">
        <f>IF(N128="","",VLOOKUP(N128,'G-7 WaterC'' Data'!$B$2:$G$8,2,FALSE))</f>
        <v/>
      </c>
      <c r="S128" s="363" t="str">
        <f>IFERROR(VLOOKUP(R128,'G-7 WaterC'' Data'!$C$4:$D$8,2,FALSE),"")</f>
        <v/>
      </c>
      <c r="T128" s="114"/>
      <c r="U128" s="363" t="str">
        <f>IFERROR(INDEX('G-7 WaterC'' Data'!$H$4:$L$8,MATCH(N128,'G-7 WaterC'' Data'!$B$4:$B$8,0),MATCH(T128,'G-7 WaterC'' Data'!$H$3:$L$3,0)),"")</f>
        <v/>
      </c>
      <c r="V128" s="114"/>
      <c r="W128" s="370" t="str">
        <f>IF(V128="","",IF(VLOOKUP(V128,'G-7 WaterC'' Data'!$AK$4:$AM$6,2,FALSE)=0,"Spatial Data Missing ⚠",VLOOKUP(V128,'G-7 WaterC'' Data'!$AK$4:$AM$6,2,FALSE)))</f>
        <v/>
      </c>
      <c r="X128" s="363" t="str">
        <f>IF(V128="","",IF(VLOOKUP(V128,'G-7 WaterC'' Data'!$AK$4:$AM$6,3,FALSE)=0,"Spatial Data Missing ⚠",VLOOKUP(V128,'G-7 WaterC'' Data'!$AK$4:$AM$6,3,FALSE)))</f>
        <v/>
      </c>
      <c r="Y128" s="362" t="str">
        <f>IFERROR(IF(OR(LEFT(P128,5)="Error",LEFT(O128,5)="Error ▲"),"Check Data ⚠",IF(F128&lt;S128,'G-7 WaterC'' Data'!$R$3,INDEX('G-7 WaterC'' Data'!$U$5:$Y$9,MATCH(G128,'G-7 WaterC'' Data'!$T$5:$T$9,0),MATCH(T128,'G-7 WaterC'' Data'!$U$4:$Y$4,0)))),"")</f>
        <v/>
      </c>
      <c r="Z128" s="159"/>
      <c r="AA128" s="159"/>
      <c r="AB128" s="370" t="str">
        <f t="shared" si="11"/>
        <v/>
      </c>
      <c r="AC128" s="383" t="str">
        <f t="shared" si="12"/>
        <v/>
      </c>
      <c r="AD128" s="422" t="str">
        <f>IFERROR(IF(AC128="Check Data ⚠","Check Data ⚠",VLOOKUP(AC128,'G-4 Temporal multipliers'!$A$4:$C$37,3,FALSE)),"")</f>
        <v/>
      </c>
      <c r="AE128" s="362" t="str">
        <f>IF(N128="","",VLOOKUP(N128,'G-7 WaterC'' Data'!$B$4:$G$8,5,FALSE))</f>
        <v/>
      </c>
      <c r="AF128" s="370" t="str">
        <f t="shared" si="13"/>
        <v/>
      </c>
      <c r="AG128" s="401" t="str">
        <f t="shared" si="14"/>
        <v/>
      </c>
      <c r="AH128" s="363" t="str">
        <f t="shared" si="9"/>
        <v/>
      </c>
      <c r="AI128" s="122"/>
      <c r="AJ128" s="363" t="str">
        <f>IF(AI128="","",IF(VLOOKUP(AI128,'G-7 WaterC'' Data'!$AA$4:$AB$7,2,FALSE)=0,"Spatial Data Missing ⚠",VLOOKUP(AI128,'G-7 WaterC'' Data'!$AA$4:$AB$7,2,FALSE)))</f>
        <v/>
      </c>
      <c r="AK128" s="123"/>
      <c r="AL128" s="363" t="str">
        <f>IF(AK128="","",IF(VLOOKUP(AK128,'G-7 WaterC'' Data'!$AD$4:$AE$14,2,FALSE)=0,"Spatial Data Missing ⚠",VLOOKUP(AK128,'G-7 WaterC'' Data'!$AD$4:$AE$14,2,FALSE)))</f>
        <v/>
      </c>
      <c r="AM128" s="405" t="str">
        <f t="shared" si="15"/>
        <v/>
      </c>
      <c r="AN128" s="117"/>
      <c r="AO128" s="118"/>
      <c r="AP128" s="120"/>
      <c r="AV128" s="30" t="str">
        <f>IFERROR(INDEX('G-7 WaterC'' Data'!$AZ$3:$AZ$7,MATCH(N128,'G-7 WaterC'' Data'!$AY$3:$AY$7,0)),"")</f>
        <v/>
      </c>
    </row>
    <row r="129" spans="2:48" ht="15">
      <c r="B129" s="392" t="str">
        <f>'C-1 On-Site WaterC'' Baseline'!AO127</f>
        <v/>
      </c>
      <c r="C129" s="382" t="str">
        <f>IF(B129="","",VLOOKUP($B129,'C-1 On-Site WaterC'' Baseline'!$C$9:$R$257,2,FALSE))</f>
        <v/>
      </c>
      <c r="D129" s="382" t="str">
        <f>IF(C129="","",VLOOKUP($B129,'C-1 On-Site WaterC'' Baseline'!$C$9:$R$257,3,FALSE))</f>
        <v/>
      </c>
      <c r="E129" s="382" t="str">
        <f>IF(D129="","",VLOOKUP($B129,'C-1 On-Site WaterC'' Baseline'!$C$9:$R$257,4,FALSE))</f>
        <v/>
      </c>
      <c r="F129" s="382" t="str">
        <f>IF(E129="","",VLOOKUP($B129,'C-1 On-Site WaterC'' Baseline'!$C$9:$R$257,5,FALSE))</f>
        <v/>
      </c>
      <c r="G129" s="382" t="str">
        <f>IF(F129="","",VLOOKUP($B129,'C-1 On-Site WaterC'' Baseline'!$C$9:$R$257,6,FALSE))</f>
        <v/>
      </c>
      <c r="H129" s="382" t="str">
        <f>IF(G129="","",VLOOKUP($B129,'C-1 On-Site WaterC'' Baseline'!$C$9:$R$257,7,FALSE))</f>
        <v/>
      </c>
      <c r="I129" s="382" t="str">
        <f>IF(H129="","",VLOOKUP($B129,'C-1 On-Site WaterC'' Baseline'!$C$9:$R$257,8,FALSE))</f>
        <v/>
      </c>
      <c r="J129" s="382" t="str">
        <f>IF(I129="","",VLOOKUP($B129,'C-1 On-Site WaterC'' Baseline'!$C$9:$R$257,9,FALSE))</f>
        <v/>
      </c>
      <c r="K129" s="382" t="str">
        <f>IF(J129="","",VLOOKUP($B129,'C-1 On-Site WaterC'' Baseline'!$C$9:$R$257,10,FALSE))</f>
        <v/>
      </c>
      <c r="L129" s="382" t="str">
        <f>IF(B129="","",VLOOKUP($B129,'C-1 On-Site WaterC'' Baseline'!$C$9:$R$257,15,FALSE))</f>
        <v/>
      </c>
      <c r="M129" s="386" t="str">
        <f>IF(L129="","",VLOOKUP($B129,'C-1 On-Site WaterC'' Baseline'!$C$9:$R$257,16,FALSE))</f>
        <v/>
      </c>
      <c r="N129" s="320" t="str">
        <f t="shared" si="8"/>
        <v/>
      </c>
      <c r="O129" s="362" t="str">
        <f t="shared" si="10"/>
        <v/>
      </c>
      <c r="P129" s="363" t="str">
        <f>IF(C129="","",IF(AND(LEFT(C129,55)&lt;&gt;LEFT(N129,55),O129="High - High"),"Error - Not like for like ▲",IF(H129&gt;U129,"Error - Can not reduce condition ▲",IF(AND(F129=S129,H129=U129,AJ129='C-1 On-Site WaterC'' Baseline'!N127,'C-1 On-Site WaterC'' Baseline'!P127=AL129),"Error - No enhancement ▲",IF(AND(C129&lt;&gt;N129,F129&lt;S129),"Lower Distinctiveness Habitat"&amp;" - "&amp;T129,G129&amp;" - "&amp;T129)))))</f>
        <v/>
      </c>
      <c r="Q129" s="425" t="str">
        <f>IF(N129="","",VLOOKUP(B129,'C-1 On-Site WaterC'' Baseline'!$C$10:$AB$257,19,FALSE))</f>
        <v/>
      </c>
      <c r="R129" s="362" t="str">
        <f>IF(N129="","",VLOOKUP(N129,'G-7 WaterC'' Data'!$B$2:$G$8,2,FALSE))</f>
        <v/>
      </c>
      <c r="S129" s="363" t="str">
        <f>IFERROR(VLOOKUP(R129,'G-7 WaterC'' Data'!$C$4:$D$8,2,FALSE),"")</f>
        <v/>
      </c>
      <c r="T129" s="114"/>
      <c r="U129" s="363" t="str">
        <f>IFERROR(INDEX('G-7 WaterC'' Data'!$H$4:$L$8,MATCH(N129,'G-7 WaterC'' Data'!$B$4:$B$8,0),MATCH(T129,'G-7 WaterC'' Data'!$H$3:$L$3,0)),"")</f>
        <v/>
      </c>
      <c r="V129" s="114"/>
      <c r="W129" s="370" t="str">
        <f>IF(V129="","",IF(VLOOKUP(V129,'G-7 WaterC'' Data'!$AK$4:$AM$6,2,FALSE)=0,"Spatial Data Missing ⚠",VLOOKUP(V129,'G-7 WaterC'' Data'!$AK$4:$AM$6,2,FALSE)))</f>
        <v/>
      </c>
      <c r="X129" s="363" t="str">
        <f>IF(V129="","",IF(VLOOKUP(V129,'G-7 WaterC'' Data'!$AK$4:$AM$6,3,FALSE)=0,"Spatial Data Missing ⚠",VLOOKUP(V129,'G-7 WaterC'' Data'!$AK$4:$AM$6,3,FALSE)))</f>
        <v/>
      </c>
      <c r="Y129" s="362" t="str">
        <f>IFERROR(IF(OR(LEFT(P129,5)="Error",LEFT(O129,5)="Error ▲"),"Check Data ⚠",IF(F129&lt;S129,'G-7 WaterC'' Data'!$R$3,INDEX('G-7 WaterC'' Data'!$U$5:$Y$9,MATCH(G129,'G-7 WaterC'' Data'!$T$5:$T$9,0),MATCH(T129,'G-7 WaterC'' Data'!$U$4:$Y$4,0)))),"")</f>
        <v/>
      </c>
      <c r="Z129" s="159"/>
      <c r="AA129" s="159"/>
      <c r="AB129" s="370" t="str">
        <f t="shared" si="11"/>
        <v/>
      </c>
      <c r="AC129" s="383" t="str">
        <f t="shared" si="12"/>
        <v/>
      </c>
      <c r="AD129" s="422" t="str">
        <f>IFERROR(IF(AC129="Check Data ⚠","Check Data ⚠",VLOOKUP(AC129,'G-4 Temporal multipliers'!$A$4:$C$37,3,FALSE)),"")</f>
        <v/>
      </c>
      <c r="AE129" s="362" t="str">
        <f>IF(N129="","",VLOOKUP(N129,'G-7 WaterC'' Data'!$B$4:$G$8,5,FALSE))</f>
        <v/>
      </c>
      <c r="AF129" s="370" t="str">
        <f t="shared" si="13"/>
        <v/>
      </c>
      <c r="AG129" s="401" t="str">
        <f t="shared" si="14"/>
        <v/>
      </c>
      <c r="AH129" s="363" t="str">
        <f t="shared" si="9"/>
        <v/>
      </c>
      <c r="AI129" s="122"/>
      <c r="AJ129" s="363" t="str">
        <f>IF(AI129="","",IF(VLOOKUP(AI129,'G-7 WaterC'' Data'!$AA$4:$AB$7,2,FALSE)=0,"Spatial Data Missing ⚠",VLOOKUP(AI129,'G-7 WaterC'' Data'!$AA$4:$AB$7,2,FALSE)))</f>
        <v/>
      </c>
      <c r="AK129" s="123"/>
      <c r="AL129" s="363" t="str">
        <f>IF(AK129="","",IF(VLOOKUP(AK129,'G-7 WaterC'' Data'!$AD$4:$AE$14,2,FALSE)=0,"Spatial Data Missing ⚠",VLOOKUP(AK129,'G-7 WaterC'' Data'!$AD$4:$AE$14,2,FALSE)))</f>
        <v/>
      </c>
      <c r="AM129" s="405" t="str">
        <f t="shared" si="15"/>
        <v/>
      </c>
      <c r="AN129" s="117"/>
      <c r="AO129" s="118"/>
      <c r="AP129" s="120"/>
      <c r="AV129" s="30" t="str">
        <f>IFERROR(INDEX('G-7 WaterC'' Data'!$AZ$3:$AZ$7,MATCH(N129,'G-7 WaterC'' Data'!$AY$3:$AY$7,0)),"")</f>
        <v/>
      </c>
    </row>
    <row r="130" spans="2:48" ht="15">
      <c r="B130" s="392" t="str">
        <f>'C-1 On-Site WaterC'' Baseline'!AO128</f>
        <v/>
      </c>
      <c r="C130" s="382" t="str">
        <f>IF(B130="","",VLOOKUP($B130,'C-1 On-Site WaterC'' Baseline'!$C$9:$R$257,2,FALSE))</f>
        <v/>
      </c>
      <c r="D130" s="382" t="str">
        <f>IF(C130="","",VLOOKUP($B130,'C-1 On-Site WaterC'' Baseline'!$C$9:$R$257,3,FALSE))</f>
        <v/>
      </c>
      <c r="E130" s="382" t="str">
        <f>IF(D130="","",VLOOKUP($B130,'C-1 On-Site WaterC'' Baseline'!$C$9:$R$257,4,FALSE))</f>
        <v/>
      </c>
      <c r="F130" s="382" t="str">
        <f>IF(E130="","",VLOOKUP($B130,'C-1 On-Site WaterC'' Baseline'!$C$9:$R$257,5,FALSE))</f>
        <v/>
      </c>
      <c r="G130" s="382" t="str">
        <f>IF(F130="","",VLOOKUP($B130,'C-1 On-Site WaterC'' Baseline'!$C$9:$R$257,6,FALSE))</f>
        <v/>
      </c>
      <c r="H130" s="382" t="str">
        <f>IF(G130="","",VLOOKUP($B130,'C-1 On-Site WaterC'' Baseline'!$C$9:$R$257,7,FALSE))</f>
        <v/>
      </c>
      <c r="I130" s="382" t="str">
        <f>IF(H130="","",VLOOKUP($B130,'C-1 On-Site WaterC'' Baseline'!$C$9:$R$257,8,FALSE))</f>
        <v/>
      </c>
      <c r="J130" s="382" t="str">
        <f>IF(I130="","",VLOOKUP($B130,'C-1 On-Site WaterC'' Baseline'!$C$9:$R$257,9,FALSE))</f>
        <v/>
      </c>
      <c r="K130" s="382" t="str">
        <f>IF(J130="","",VLOOKUP($B130,'C-1 On-Site WaterC'' Baseline'!$C$9:$R$257,10,FALSE))</f>
        <v/>
      </c>
      <c r="L130" s="382" t="str">
        <f>IF(B130="","",VLOOKUP($B130,'C-1 On-Site WaterC'' Baseline'!$C$9:$R$257,15,FALSE))</f>
        <v/>
      </c>
      <c r="M130" s="386" t="str">
        <f>IF(L130="","",VLOOKUP($B130,'C-1 On-Site WaterC'' Baseline'!$C$9:$R$257,16,FALSE))</f>
        <v/>
      </c>
      <c r="N130" s="320" t="str">
        <f t="shared" si="8"/>
        <v/>
      </c>
      <c r="O130" s="362" t="str">
        <f t="shared" si="10"/>
        <v/>
      </c>
      <c r="P130" s="363" t="str">
        <f>IF(C130="","",IF(AND(LEFT(C130,55)&lt;&gt;LEFT(N130,55),O130="High - High"),"Error - Not like for like ▲",IF(H130&gt;U130,"Error - Can not reduce condition ▲",IF(AND(F130=S130,H130=U130,AJ130='C-1 On-Site WaterC'' Baseline'!N128,'C-1 On-Site WaterC'' Baseline'!P128=AL130),"Error - No enhancement ▲",IF(AND(C130&lt;&gt;N130,F130&lt;S130),"Lower Distinctiveness Habitat"&amp;" - "&amp;T130,G130&amp;" - "&amp;T130)))))</f>
        <v/>
      </c>
      <c r="Q130" s="425" t="str">
        <f>IF(N130="","",VLOOKUP(B130,'C-1 On-Site WaterC'' Baseline'!$C$10:$AB$257,19,FALSE))</f>
        <v/>
      </c>
      <c r="R130" s="362" t="str">
        <f>IF(N130="","",VLOOKUP(N130,'G-7 WaterC'' Data'!$B$2:$G$8,2,FALSE))</f>
        <v/>
      </c>
      <c r="S130" s="363" t="str">
        <f>IFERROR(VLOOKUP(R130,'G-7 WaterC'' Data'!$C$4:$D$8,2,FALSE),"")</f>
        <v/>
      </c>
      <c r="T130" s="114"/>
      <c r="U130" s="363" t="str">
        <f>IFERROR(INDEX('G-7 WaterC'' Data'!$H$4:$L$8,MATCH(N130,'G-7 WaterC'' Data'!$B$4:$B$8,0),MATCH(T130,'G-7 WaterC'' Data'!$H$3:$L$3,0)),"")</f>
        <v/>
      </c>
      <c r="V130" s="114"/>
      <c r="W130" s="370" t="str">
        <f>IF(V130="","",IF(VLOOKUP(V130,'G-7 WaterC'' Data'!$AK$4:$AM$6,2,FALSE)=0,"Spatial Data Missing ⚠",VLOOKUP(V130,'G-7 WaterC'' Data'!$AK$4:$AM$6,2,FALSE)))</f>
        <v/>
      </c>
      <c r="X130" s="363" t="str">
        <f>IF(V130="","",IF(VLOOKUP(V130,'G-7 WaterC'' Data'!$AK$4:$AM$6,3,FALSE)=0,"Spatial Data Missing ⚠",VLOOKUP(V130,'G-7 WaterC'' Data'!$AK$4:$AM$6,3,FALSE)))</f>
        <v/>
      </c>
      <c r="Y130" s="362" t="str">
        <f>IFERROR(IF(OR(LEFT(P130,5)="Error",LEFT(O130,5)="Error ▲"),"Check Data ⚠",IF(F130&lt;S130,'G-7 WaterC'' Data'!$R$3,INDEX('G-7 WaterC'' Data'!$U$5:$Y$9,MATCH(G130,'G-7 WaterC'' Data'!$T$5:$T$9,0),MATCH(T130,'G-7 WaterC'' Data'!$U$4:$Y$4,0)))),"")</f>
        <v/>
      </c>
      <c r="Z130" s="159"/>
      <c r="AA130" s="159"/>
      <c r="AB130" s="370" t="str">
        <f t="shared" si="11"/>
        <v/>
      </c>
      <c r="AC130" s="383" t="str">
        <f t="shared" si="12"/>
        <v/>
      </c>
      <c r="AD130" s="422" t="str">
        <f>IFERROR(IF(AC130="Check Data ⚠","Check Data ⚠",VLOOKUP(AC130,'G-4 Temporal multipliers'!$A$4:$C$37,3,FALSE)),"")</f>
        <v/>
      </c>
      <c r="AE130" s="362" t="str">
        <f>IF(N130="","",VLOOKUP(N130,'G-7 WaterC'' Data'!$B$4:$G$8,5,FALSE))</f>
        <v/>
      </c>
      <c r="AF130" s="370" t="str">
        <f t="shared" si="13"/>
        <v/>
      </c>
      <c r="AG130" s="401" t="str">
        <f t="shared" si="14"/>
        <v/>
      </c>
      <c r="AH130" s="363" t="str">
        <f t="shared" si="9"/>
        <v/>
      </c>
      <c r="AI130" s="122"/>
      <c r="AJ130" s="363" t="str">
        <f>IF(AI130="","",IF(VLOOKUP(AI130,'G-7 WaterC'' Data'!$AA$4:$AB$7,2,FALSE)=0,"Spatial Data Missing ⚠",VLOOKUP(AI130,'G-7 WaterC'' Data'!$AA$4:$AB$7,2,FALSE)))</f>
        <v/>
      </c>
      <c r="AK130" s="123"/>
      <c r="AL130" s="363" t="str">
        <f>IF(AK130="","",IF(VLOOKUP(AK130,'G-7 WaterC'' Data'!$AD$4:$AE$14,2,FALSE)=0,"Spatial Data Missing ⚠",VLOOKUP(AK130,'G-7 WaterC'' Data'!$AD$4:$AE$14,2,FALSE)))</f>
        <v/>
      </c>
      <c r="AM130" s="405" t="str">
        <f t="shared" si="15"/>
        <v/>
      </c>
      <c r="AN130" s="117"/>
      <c r="AO130" s="118"/>
      <c r="AP130" s="120"/>
      <c r="AV130" s="30" t="str">
        <f>IFERROR(INDEX('G-7 WaterC'' Data'!$AZ$3:$AZ$7,MATCH(N130,'G-7 WaterC'' Data'!$AY$3:$AY$7,0)),"")</f>
        <v/>
      </c>
    </row>
    <row r="131" spans="2:48" ht="15">
      <c r="B131" s="392" t="str">
        <f>'C-1 On-Site WaterC'' Baseline'!AO129</f>
        <v/>
      </c>
      <c r="C131" s="382" t="str">
        <f>IF(B131="","",VLOOKUP($B131,'C-1 On-Site WaterC'' Baseline'!$C$9:$R$257,2,FALSE))</f>
        <v/>
      </c>
      <c r="D131" s="382" t="str">
        <f>IF(C131="","",VLOOKUP($B131,'C-1 On-Site WaterC'' Baseline'!$C$9:$R$257,3,FALSE))</f>
        <v/>
      </c>
      <c r="E131" s="382" t="str">
        <f>IF(D131="","",VLOOKUP($B131,'C-1 On-Site WaterC'' Baseline'!$C$9:$R$257,4,FALSE))</f>
        <v/>
      </c>
      <c r="F131" s="382" t="str">
        <f>IF(E131="","",VLOOKUP($B131,'C-1 On-Site WaterC'' Baseline'!$C$9:$R$257,5,FALSE))</f>
        <v/>
      </c>
      <c r="G131" s="382" t="str">
        <f>IF(F131="","",VLOOKUP($B131,'C-1 On-Site WaterC'' Baseline'!$C$9:$R$257,6,FALSE))</f>
        <v/>
      </c>
      <c r="H131" s="382" t="str">
        <f>IF(G131="","",VLOOKUP($B131,'C-1 On-Site WaterC'' Baseline'!$C$9:$R$257,7,FALSE))</f>
        <v/>
      </c>
      <c r="I131" s="382" t="str">
        <f>IF(H131="","",VLOOKUP($B131,'C-1 On-Site WaterC'' Baseline'!$C$9:$R$257,8,FALSE))</f>
        <v/>
      </c>
      <c r="J131" s="382" t="str">
        <f>IF(I131="","",VLOOKUP($B131,'C-1 On-Site WaterC'' Baseline'!$C$9:$R$257,9,FALSE))</f>
        <v/>
      </c>
      <c r="K131" s="382" t="str">
        <f>IF(J131="","",VLOOKUP($B131,'C-1 On-Site WaterC'' Baseline'!$C$9:$R$257,10,FALSE))</f>
        <v/>
      </c>
      <c r="L131" s="382" t="str">
        <f>IF(B131="","",VLOOKUP($B131,'C-1 On-Site WaterC'' Baseline'!$C$9:$R$257,15,FALSE))</f>
        <v/>
      </c>
      <c r="M131" s="386" t="str">
        <f>IF(L131="","",VLOOKUP($B131,'C-1 On-Site WaterC'' Baseline'!$C$9:$R$257,16,FALSE))</f>
        <v/>
      </c>
      <c r="N131" s="320" t="str">
        <f t="shared" si="8"/>
        <v/>
      </c>
      <c r="O131" s="362" t="str">
        <f t="shared" si="10"/>
        <v/>
      </c>
      <c r="P131" s="363" t="str">
        <f>IF(C131="","",IF(AND(LEFT(C131,55)&lt;&gt;LEFT(N131,55),O131="High - High"),"Error - Not like for like ▲",IF(H131&gt;U131,"Error - Can not reduce condition ▲",IF(AND(F131=S131,H131=U131,AJ131='C-1 On-Site WaterC'' Baseline'!N129,'C-1 On-Site WaterC'' Baseline'!P129=AL131),"Error - No enhancement ▲",IF(AND(C131&lt;&gt;N131,F131&lt;S131),"Lower Distinctiveness Habitat"&amp;" - "&amp;T131,G131&amp;" - "&amp;T131)))))</f>
        <v/>
      </c>
      <c r="Q131" s="425" t="str">
        <f>IF(N131="","",VLOOKUP(B131,'C-1 On-Site WaterC'' Baseline'!$C$10:$AB$257,19,FALSE))</f>
        <v/>
      </c>
      <c r="R131" s="362" t="str">
        <f>IF(N131="","",VLOOKUP(N131,'G-7 WaterC'' Data'!$B$2:$G$8,2,FALSE))</f>
        <v/>
      </c>
      <c r="S131" s="363" t="str">
        <f>IFERROR(VLOOKUP(R131,'G-7 WaterC'' Data'!$C$4:$D$8,2,FALSE),"")</f>
        <v/>
      </c>
      <c r="T131" s="114"/>
      <c r="U131" s="363" t="str">
        <f>IFERROR(INDEX('G-7 WaterC'' Data'!$H$4:$L$8,MATCH(N131,'G-7 WaterC'' Data'!$B$4:$B$8,0),MATCH(T131,'G-7 WaterC'' Data'!$H$3:$L$3,0)),"")</f>
        <v/>
      </c>
      <c r="V131" s="114"/>
      <c r="W131" s="370" t="str">
        <f>IF(V131="","",IF(VLOOKUP(V131,'G-7 WaterC'' Data'!$AK$4:$AM$6,2,FALSE)=0,"Spatial Data Missing ⚠",VLOOKUP(V131,'G-7 WaterC'' Data'!$AK$4:$AM$6,2,FALSE)))</f>
        <v/>
      </c>
      <c r="X131" s="363" t="str">
        <f>IF(V131="","",IF(VLOOKUP(V131,'G-7 WaterC'' Data'!$AK$4:$AM$6,3,FALSE)=0,"Spatial Data Missing ⚠",VLOOKUP(V131,'G-7 WaterC'' Data'!$AK$4:$AM$6,3,FALSE)))</f>
        <v/>
      </c>
      <c r="Y131" s="362" t="str">
        <f>IFERROR(IF(OR(LEFT(P131,5)="Error",LEFT(O131,5)="Error ▲"),"Check Data ⚠",IF(F131&lt;S131,'G-7 WaterC'' Data'!$R$3,INDEX('G-7 WaterC'' Data'!$U$5:$Y$9,MATCH(G131,'G-7 WaterC'' Data'!$T$5:$T$9,0),MATCH(T131,'G-7 WaterC'' Data'!$U$4:$Y$4,0)))),"")</f>
        <v/>
      </c>
      <c r="Z131" s="159"/>
      <c r="AA131" s="159"/>
      <c r="AB131" s="370" t="str">
        <f t="shared" si="11"/>
        <v/>
      </c>
      <c r="AC131" s="383" t="str">
        <f t="shared" si="12"/>
        <v/>
      </c>
      <c r="AD131" s="422" t="str">
        <f>IFERROR(IF(AC131="Check Data ⚠","Check Data ⚠",VLOOKUP(AC131,'G-4 Temporal multipliers'!$A$4:$C$37,3,FALSE)),"")</f>
        <v/>
      </c>
      <c r="AE131" s="362" t="str">
        <f>IF(N131="","",VLOOKUP(N131,'G-7 WaterC'' Data'!$B$4:$G$8,5,FALSE))</f>
        <v/>
      </c>
      <c r="AF131" s="370" t="str">
        <f t="shared" si="13"/>
        <v/>
      </c>
      <c r="AG131" s="401" t="str">
        <f t="shared" si="14"/>
        <v/>
      </c>
      <c r="AH131" s="363" t="str">
        <f t="shared" si="9"/>
        <v/>
      </c>
      <c r="AI131" s="122"/>
      <c r="AJ131" s="363" t="str">
        <f>IF(AI131="","",IF(VLOOKUP(AI131,'G-7 WaterC'' Data'!$AA$4:$AB$7,2,FALSE)=0,"Spatial Data Missing ⚠",VLOOKUP(AI131,'G-7 WaterC'' Data'!$AA$4:$AB$7,2,FALSE)))</f>
        <v/>
      </c>
      <c r="AK131" s="123"/>
      <c r="AL131" s="363" t="str">
        <f>IF(AK131="","",IF(VLOOKUP(AK131,'G-7 WaterC'' Data'!$AD$4:$AE$14,2,FALSE)=0,"Spatial Data Missing ⚠",VLOOKUP(AK131,'G-7 WaterC'' Data'!$AD$4:$AE$14,2,FALSE)))</f>
        <v/>
      </c>
      <c r="AM131" s="405" t="str">
        <f t="shared" si="15"/>
        <v/>
      </c>
      <c r="AN131" s="117"/>
      <c r="AO131" s="118"/>
      <c r="AP131" s="120"/>
      <c r="AV131" s="30" t="str">
        <f>IFERROR(INDEX('G-7 WaterC'' Data'!$AZ$3:$AZ$7,MATCH(N131,'G-7 WaterC'' Data'!$AY$3:$AY$7,0)),"")</f>
        <v/>
      </c>
    </row>
    <row r="132" spans="2:48" ht="15">
      <c r="B132" s="392" t="str">
        <f>'C-1 On-Site WaterC'' Baseline'!AO130</f>
        <v/>
      </c>
      <c r="C132" s="382" t="str">
        <f>IF(B132="","",VLOOKUP($B132,'C-1 On-Site WaterC'' Baseline'!$C$9:$R$257,2,FALSE))</f>
        <v/>
      </c>
      <c r="D132" s="382" t="str">
        <f>IF(C132="","",VLOOKUP($B132,'C-1 On-Site WaterC'' Baseline'!$C$9:$R$257,3,FALSE))</f>
        <v/>
      </c>
      <c r="E132" s="382" t="str">
        <f>IF(D132="","",VLOOKUP($B132,'C-1 On-Site WaterC'' Baseline'!$C$9:$R$257,4,FALSE))</f>
        <v/>
      </c>
      <c r="F132" s="382" t="str">
        <f>IF(E132="","",VLOOKUP($B132,'C-1 On-Site WaterC'' Baseline'!$C$9:$R$257,5,FALSE))</f>
        <v/>
      </c>
      <c r="G132" s="382" t="str">
        <f>IF(F132="","",VLOOKUP($B132,'C-1 On-Site WaterC'' Baseline'!$C$9:$R$257,6,FALSE))</f>
        <v/>
      </c>
      <c r="H132" s="382" t="str">
        <f>IF(G132="","",VLOOKUP($B132,'C-1 On-Site WaterC'' Baseline'!$C$9:$R$257,7,FALSE))</f>
        <v/>
      </c>
      <c r="I132" s="382" t="str">
        <f>IF(H132="","",VLOOKUP($B132,'C-1 On-Site WaterC'' Baseline'!$C$9:$R$257,8,FALSE))</f>
        <v/>
      </c>
      <c r="J132" s="382" t="str">
        <f>IF(I132="","",VLOOKUP($B132,'C-1 On-Site WaterC'' Baseline'!$C$9:$R$257,9,FALSE))</f>
        <v/>
      </c>
      <c r="K132" s="382" t="str">
        <f>IF(J132="","",VLOOKUP($B132,'C-1 On-Site WaterC'' Baseline'!$C$9:$R$257,10,FALSE))</f>
        <v/>
      </c>
      <c r="L132" s="382" t="str">
        <f>IF(B132="","",VLOOKUP($B132,'C-1 On-Site WaterC'' Baseline'!$C$9:$R$257,15,FALSE))</f>
        <v/>
      </c>
      <c r="M132" s="386" t="str">
        <f>IF(L132="","",VLOOKUP($B132,'C-1 On-Site WaterC'' Baseline'!$C$9:$R$257,16,FALSE))</f>
        <v/>
      </c>
      <c r="N132" s="320" t="str">
        <f t="shared" si="8"/>
        <v/>
      </c>
      <c r="O132" s="362" t="str">
        <f t="shared" si="10"/>
        <v/>
      </c>
      <c r="P132" s="363" t="str">
        <f>IF(C132="","",IF(AND(LEFT(C132,55)&lt;&gt;LEFT(N132,55),O132="High - High"),"Error - Not like for like ▲",IF(H132&gt;U132,"Error - Can not reduce condition ▲",IF(AND(F132=S132,H132=U132,AJ132='C-1 On-Site WaterC'' Baseline'!N130,'C-1 On-Site WaterC'' Baseline'!P130=AL132),"Error - No enhancement ▲",IF(AND(C132&lt;&gt;N132,F132&lt;S132),"Lower Distinctiveness Habitat"&amp;" - "&amp;T132,G132&amp;" - "&amp;T132)))))</f>
        <v/>
      </c>
      <c r="Q132" s="425" t="str">
        <f>IF(N132="","",VLOOKUP(B132,'C-1 On-Site WaterC'' Baseline'!$C$10:$AB$257,19,FALSE))</f>
        <v/>
      </c>
      <c r="R132" s="362" t="str">
        <f>IF(N132="","",VLOOKUP(N132,'G-7 WaterC'' Data'!$B$2:$G$8,2,FALSE))</f>
        <v/>
      </c>
      <c r="S132" s="363" t="str">
        <f>IFERROR(VLOOKUP(R132,'G-7 WaterC'' Data'!$C$4:$D$8,2,FALSE),"")</f>
        <v/>
      </c>
      <c r="T132" s="114"/>
      <c r="U132" s="363" t="str">
        <f>IFERROR(INDEX('G-7 WaterC'' Data'!$H$4:$L$8,MATCH(N132,'G-7 WaterC'' Data'!$B$4:$B$8,0),MATCH(T132,'G-7 WaterC'' Data'!$H$3:$L$3,0)),"")</f>
        <v/>
      </c>
      <c r="V132" s="114"/>
      <c r="W132" s="370" t="str">
        <f>IF(V132="","",IF(VLOOKUP(V132,'G-7 WaterC'' Data'!$AK$4:$AM$6,2,FALSE)=0,"Spatial Data Missing ⚠",VLOOKUP(V132,'G-7 WaterC'' Data'!$AK$4:$AM$6,2,FALSE)))</f>
        <v/>
      </c>
      <c r="X132" s="363" t="str">
        <f>IF(V132="","",IF(VLOOKUP(V132,'G-7 WaterC'' Data'!$AK$4:$AM$6,3,FALSE)=0,"Spatial Data Missing ⚠",VLOOKUP(V132,'G-7 WaterC'' Data'!$AK$4:$AM$6,3,FALSE)))</f>
        <v/>
      </c>
      <c r="Y132" s="362" t="str">
        <f>IFERROR(IF(OR(LEFT(P132,5)="Error",LEFT(O132,5)="Error ▲"),"Check Data ⚠",IF(F132&lt;S132,'G-7 WaterC'' Data'!$R$3,INDEX('G-7 WaterC'' Data'!$U$5:$Y$9,MATCH(G132,'G-7 WaterC'' Data'!$T$5:$T$9,0),MATCH(T132,'G-7 WaterC'' Data'!$U$4:$Y$4,0)))),"")</f>
        <v/>
      </c>
      <c r="Z132" s="159"/>
      <c r="AA132" s="159"/>
      <c r="AB132" s="370" t="str">
        <f t="shared" si="11"/>
        <v/>
      </c>
      <c r="AC132" s="383" t="str">
        <f t="shared" si="12"/>
        <v/>
      </c>
      <c r="AD132" s="422" t="str">
        <f>IFERROR(IF(AC132="Check Data ⚠","Check Data ⚠",VLOOKUP(AC132,'G-4 Temporal multipliers'!$A$4:$C$37,3,FALSE)),"")</f>
        <v/>
      </c>
      <c r="AE132" s="362" t="str">
        <f>IF(N132="","",VLOOKUP(N132,'G-7 WaterC'' Data'!$B$4:$G$8,5,FALSE))</f>
        <v/>
      </c>
      <c r="AF132" s="370" t="str">
        <f t="shared" si="13"/>
        <v/>
      </c>
      <c r="AG132" s="401" t="str">
        <f t="shared" si="14"/>
        <v/>
      </c>
      <c r="AH132" s="363" t="str">
        <f t="shared" si="9"/>
        <v/>
      </c>
      <c r="AI132" s="122"/>
      <c r="AJ132" s="363" t="str">
        <f>IF(AI132="","",IF(VLOOKUP(AI132,'G-7 WaterC'' Data'!$AA$4:$AB$7,2,FALSE)=0,"Spatial Data Missing ⚠",VLOOKUP(AI132,'G-7 WaterC'' Data'!$AA$4:$AB$7,2,FALSE)))</f>
        <v/>
      </c>
      <c r="AK132" s="123"/>
      <c r="AL132" s="363" t="str">
        <f>IF(AK132="","",IF(VLOOKUP(AK132,'G-7 WaterC'' Data'!$AD$4:$AE$14,2,FALSE)=0,"Spatial Data Missing ⚠",VLOOKUP(AK132,'G-7 WaterC'' Data'!$AD$4:$AE$14,2,FALSE)))</f>
        <v/>
      </c>
      <c r="AM132" s="405" t="str">
        <f t="shared" si="15"/>
        <v/>
      </c>
      <c r="AN132" s="117"/>
      <c r="AO132" s="118"/>
      <c r="AP132" s="120"/>
      <c r="AV132" s="30" t="str">
        <f>IFERROR(INDEX('G-7 WaterC'' Data'!$AZ$3:$AZ$7,MATCH(N132,'G-7 WaterC'' Data'!$AY$3:$AY$7,0)),"")</f>
        <v/>
      </c>
    </row>
    <row r="133" spans="2:48" ht="15">
      <c r="B133" s="392" t="str">
        <f>'C-1 On-Site WaterC'' Baseline'!AO131</f>
        <v/>
      </c>
      <c r="C133" s="382" t="str">
        <f>IF(B133="","",VLOOKUP($B133,'C-1 On-Site WaterC'' Baseline'!$C$9:$R$257,2,FALSE))</f>
        <v/>
      </c>
      <c r="D133" s="382" t="str">
        <f>IF(C133="","",VLOOKUP($B133,'C-1 On-Site WaterC'' Baseline'!$C$9:$R$257,3,FALSE))</f>
        <v/>
      </c>
      <c r="E133" s="382" t="str">
        <f>IF(D133="","",VLOOKUP($B133,'C-1 On-Site WaterC'' Baseline'!$C$9:$R$257,4,FALSE))</f>
        <v/>
      </c>
      <c r="F133" s="382" t="str">
        <f>IF(E133="","",VLOOKUP($B133,'C-1 On-Site WaterC'' Baseline'!$C$9:$R$257,5,FALSE))</f>
        <v/>
      </c>
      <c r="G133" s="382" t="str">
        <f>IF(F133="","",VLOOKUP($B133,'C-1 On-Site WaterC'' Baseline'!$C$9:$R$257,6,FALSE))</f>
        <v/>
      </c>
      <c r="H133" s="382" t="str">
        <f>IF(G133="","",VLOOKUP($B133,'C-1 On-Site WaterC'' Baseline'!$C$9:$R$257,7,FALSE))</f>
        <v/>
      </c>
      <c r="I133" s="382" t="str">
        <f>IF(H133="","",VLOOKUP($B133,'C-1 On-Site WaterC'' Baseline'!$C$9:$R$257,8,FALSE))</f>
        <v/>
      </c>
      <c r="J133" s="382" t="str">
        <f>IF(I133="","",VLOOKUP($B133,'C-1 On-Site WaterC'' Baseline'!$C$9:$R$257,9,FALSE))</f>
        <v/>
      </c>
      <c r="K133" s="382" t="str">
        <f>IF(J133="","",VLOOKUP($B133,'C-1 On-Site WaterC'' Baseline'!$C$9:$R$257,10,FALSE))</f>
        <v/>
      </c>
      <c r="L133" s="382" t="str">
        <f>IF(B133="","",VLOOKUP($B133,'C-1 On-Site WaterC'' Baseline'!$C$9:$R$257,15,FALSE))</f>
        <v/>
      </c>
      <c r="M133" s="386" t="str">
        <f>IF(L133="","",VLOOKUP($B133,'C-1 On-Site WaterC'' Baseline'!$C$9:$R$257,16,FALSE))</f>
        <v/>
      </c>
      <c r="N133" s="320" t="str">
        <f t="shared" si="8"/>
        <v/>
      </c>
      <c r="O133" s="362" t="str">
        <f t="shared" si="10"/>
        <v/>
      </c>
      <c r="P133" s="363" t="str">
        <f>IF(C133="","",IF(AND(LEFT(C133,55)&lt;&gt;LEFT(N133,55),O133="High - High"),"Error - Not like for like ▲",IF(H133&gt;U133,"Error - Can not reduce condition ▲",IF(AND(F133=S133,H133=U133,AJ133='C-1 On-Site WaterC'' Baseline'!N131,'C-1 On-Site WaterC'' Baseline'!P131=AL133),"Error - No enhancement ▲",IF(AND(C133&lt;&gt;N133,F133&lt;S133),"Lower Distinctiveness Habitat"&amp;" - "&amp;T133,G133&amp;" - "&amp;T133)))))</f>
        <v/>
      </c>
      <c r="Q133" s="425" t="str">
        <f>IF(N133="","",VLOOKUP(B133,'C-1 On-Site WaterC'' Baseline'!$C$10:$AB$257,19,FALSE))</f>
        <v/>
      </c>
      <c r="R133" s="362" t="str">
        <f>IF(N133="","",VLOOKUP(N133,'G-7 WaterC'' Data'!$B$2:$G$8,2,FALSE))</f>
        <v/>
      </c>
      <c r="S133" s="363" t="str">
        <f>IFERROR(VLOOKUP(R133,'G-7 WaterC'' Data'!$C$4:$D$8,2,FALSE),"")</f>
        <v/>
      </c>
      <c r="T133" s="114"/>
      <c r="U133" s="363" t="str">
        <f>IFERROR(INDEX('G-7 WaterC'' Data'!$H$4:$L$8,MATCH(N133,'G-7 WaterC'' Data'!$B$4:$B$8,0),MATCH(T133,'G-7 WaterC'' Data'!$H$3:$L$3,0)),"")</f>
        <v/>
      </c>
      <c r="V133" s="114"/>
      <c r="W133" s="370" t="str">
        <f>IF(V133="","",IF(VLOOKUP(V133,'G-7 WaterC'' Data'!$AK$4:$AM$6,2,FALSE)=0,"Spatial Data Missing ⚠",VLOOKUP(V133,'G-7 WaterC'' Data'!$AK$4:$AM$6,2,FALSE)))</f>
        <v/>
      </c>
      <c r="X133" s="363" t="str">
        <f>IF(V133="","",IF(VLOOKUP(V133,'G-7 WaterC'' Data'!$AK$4:$AM$6,3,FALSE)=0,"Spatial Data Missing ⚠",VLOOKUP(V133,'G-7 WaterC'' Data'!$AK$4:$AM$6,3,FALSE)))</f>
        <v/>
      </c>
      <c r="Y133" s="362" t="str">
        <f>IFERROR(IF(OR(LEFT(P133,5)="Error",LEFT(O133,5)="Error ▲"),"Check Data ⚠",IF(F133&lt;S133,'G-7 WaterC'' Data'!$R$3,INDEX('G-7 WaterC'' Data'!$U$5:$Y$9,MATCH(G133,'G-7 WaterC'' Data'!$T$5:$T$9,0),MATCH(T133,'G-7 WaterC'' Data'!$U$4:$Y$4,0)))),"")</f>
        <v/>
      </c>
      <c r="Z133" s="159"/>
      <c r="AA133" s="159"/>
      <c r="AB133" s="370" t="str">
        <f t="shared" si="11"/>
        <v/>
      </c>
      <c r="AC133" s="383" t="str">
        <f t="shared" si="12"/>
        <v/>
      </c>
      <c r="AD133" s="422" t="str">
        <f>IFERROR(IF(AC133="Check Data ⚠","Check Data ⚠",VLOOKUP(AC133,'G-4 Temporal multipliers'!$A$4:$C$37,3,FALSE)),"")</f>
        <v/>
      </c>
      <c r="AE133" s="362" t="str">
        <f>IF(N133="","",VLOOKUP(N133,'G-7 WaterC'' Data'!$B$4:$G$8,5,FALSE))</f>
        <v/>
      </c>
      <c r="AF133" s="370" t="str">
        <f t="shared" si="13"/>
        <v/>
      </c>
      <c r="AG133" s="401" t="str">
        <f t="shared" si="14"/>
        <v/>
      </c>
      <c r="AH133" s="363" t="str">
        <f t="shared" si="9"/>
        <v/>
      </c>
      <c r="AI133" s="122"/>
      <c r="AJ133" s="363" t="str">
        <f>IF(AI133="","",IF(VLOOKUP(AI133,'G-7 WaterC'' Data'!$AA$4:$AB$7,2,FALSE)=0,"Spatial Data Missing ⚠",VLOOKUP(AI133,'G-7 WaterC'' Data'!$AA$4:$AB$7,2,FALSE)))</f>
        <v/>
      </c>
      <c r="AK133" s="123"/>
      <c r="AL133" s="363" t="str">
        <f>IF(AK133="","",IF(VLOOKUP(AK133,'G-7 WaterC'' Data'!$AD$4:$AE$14,2,FALSE)=0,"Spatial Data Missing ⚠",VLOOKUP(AK133,'G-7 WaterC'' Data'!$AD$4:$AE$14,2,FALSE)))</f>
        <v/>
      </c>
      <c r="AM133" s="405" t="str">
        <f t="shared" si="15"/>
        <v/>
      </c>
      <c r="AN133" s="117"/>
      <c r="AO133" s="118"/>
      <c r="AP133" s="120"/>
      <c r="AV133" s="30" t="str">
        <f>IFERROR(INDEX('G-7 WaterC'' Data'!$AZ$3:$AZ$7,MATCH(N133,'G-7 WaterC'' Data'!$AY$3:$AY$7,0)),"")</f>
        <v/>
      </c>
    </row>
    <row r="134" spans="2:48" ht="15">
      <c r="B134" s="392" t="str">
        <f>'C-1 On-Site WaterC'' Baseline'!AO132</f>
        <v/>
      </c>
      <c r="C134" s="382" t="str">
        <f>IF(B134="","",VLOOKUP($B134,'C-1 On-Site WaterC'' Baseline'!$C$9:$R$257,2,FALSE))</f>
        <v/>
      </c>
      <c r="D134" s="382" t="str">
        <f>IF(C134="","",VLOOKUP($B134,'C-1 On-Site WaterC'' Baseline'!$C$9:$R$257,3,FALSE))</f>
        <v/>
      </c>
      <c r="E134" s="382" t="str">
        <f>IF(D134="","",VLOOKUP($B134,'C-1 On-Site WaterC'' Baseline'!$C$9:$R$257,4,FALSE))</f>
        <v/>
      </c>
      <c r="F134" s="382" t="str">
        <f>IF(E134="","",VLOOKUP($B134,'C-1 On-Site WaterC'' Baseline'!$C$9:$R$257,5,FALSE))</f>
        <v/>
      </c>
      <c r="G134" s="382" t="str">
        <f>IF(F134="","",VLOOKUP($B134,'C-1 On-Site WaterC'' Baseline'!$C$9:$R$257,6,FALSE))</f>
        <v/>
      </c>
      <c r="H134" s="382" t="str">
        <f>IF(G134="","",VLOOKUP($B134,'C-1 On-Site WaterC'' Baseline'!$C$9:$R$257,7,FALSE))</f>
        <v/>
      </c>
      <c r="I134" s="382" t="str">
        <f>IF(H134="","",VLOOKUP($B134,'C-1 On-Site WaterC'' Baseline'!$C$9:$R$257,8,FALSE))</f>
        <v/>
      </c>
      <c r="J134" s="382" t="str">
        <f>IF(I134="","",VLOOKUP($B134,'C-1 On-Site WaterC'' Baseline'!$C$9:$R$257,9,FALSE))</f>
        <v/>
      </c>
      <c r="K134" s="382" t="str">
        <f>IF(J134="","",VLOOKUP($B134,'C-1 On-Site WaterC'' Baseline'!$C$9:$R$257,10,FALSE))</f>
        <v/>
      </c>
      <c r="L134" s="382" t="str">
        <f>IF(B134="","",VLOOKUP($B134,'C-1 On-Site WaterC'' Baseline'!$C$9:$R$257,15,FALSE))</f>
        <v/>
      </c>
      <c r="M134" s="386" t="str">
        <f>IF(L134="","",VLOOKUP($B134,'C-1 On-Site WaterC'' Baseline'!$C$9:$R$257,16,FALSE))</f>
        <v/>
      </c>
      <c r="N134" s="320" t="str">
        <f t="shared" si="8"/>
        <v/>
      </c>
      <c r="O134" s="362" t="str">
        <f t="shared" si="10"/>
        <v/>
      </c>
      <c r="P134" s="363" t="str">
        <f>IF(C134="","",IF(AND(LEFT(C134,55)&lt;&gt;LEFT(N134,55),O134="High - High"),"Error - Not like for like ▲",IF(H134&gt;U134,"Error - Can not reduce condition ▲",IF(AND(F134=S134,H134=U134,AJ134='C-1 On-Site WaterC'' Baseline'!N132,'C-1 On-Site WaterC'' Baseline'!P132=AL134),"Error - No enhancement ▲",IF(AND(C134&lt;&gt;N134,F134&lt;S134),"Lower Distinctiveness Habitat"&amp;" - "&amp;T134,G134&amp;" - "&amp;T134)))))</f>
        <v/>
      </c>
      <c r="Q134" s="425" t="str">
        <f>IF(N134="","",VLOOKUP(B134,'C-1 On-Site WaterC'' Baseline'!$C$10:$AB$257,19,FALSE))</f>
        <v/>
      </c>
      <c r="R134" s="362" t="str">
        <f>IF(N134="","",VLOOKUP(N134,'G-7 WaterC'' Data'!$B$2:$G$8,2,FALSE))</f>
        <v/>
      </c>
      <c r="S134" s="363" t="str">
        <f>IFERROR(VLOOKUP(R134,'G-7 WaterC'' Data'!$C$4:$D$8,2,FALSE),"")</f>
        <v/>
      </c>
      <c r="T134" s="114"/>
      <c r="U134" s="363" t="str">
        <f>IFERROR(INDEX('G-7 WaterC'' Data'!$H$4:$L$8,MATCH(N134,'G-7 WaterC'' Data'!$B$4:$B$8,0),MATCH(T134,'G-7 WaterC'' Data'!$H$3:$L$3,0)),"")</f>
        <v/>
      </c>
      <c r="V134" s="114"/>
      <c r="W134" s="370" t="str">
        <f>IF(V134="","",IF(VLOOKUP(V134,'G-7 WaterC'' Data'!$AK$4:$AM$6,2,FALSE)=0,"Spatial Data Missing ⚠",VLOOKUP(V134,'G-7 WaterC'' Data'!$AK$4:$AM$6,2,FALSE)))</f>
        <v/>
      </c>
      <c r="X134" s="363" t="str">
        <f>IF(V134="","",IF(VLOOKUP(V134,'G-7 WaterC'' Data'!$AK$4:$AM$6,3,FALSE)=0,"Spatial Data Missing ⚠",VLOOKUP(V134,'G-7 WaterC'' Data'!$AK$4:$AM$6,3,FALSE)))</f>
        <v/>
      </c>
      <c r="Y134" s="362" t="str">
        <f>IFERROR(IF(OR(LEFT(P134,5)="Error",LEFT(O134,5)="Error ▲"),"Check Data ⚠",IF(F134&lt;S134,'G-7 WaterC'' Data'!$R$3,INDEX('G-7 WaterC'' Data'!$U$5:$Y$9,MATCH(G134,'G-7 WaterC'' Data'!$T$5:$T$9,0),MATCH(T134,'G-7 WaterC'' Data'!$U$4:$Y$4,0)))),"")</f>
        <v/>
      </c>
      <c r="Z134" s="159"/>
      <c r="AA134" s="159"/>
      <c r="AB134" s="370" t="str">
        <f t="shared" si="11"/>
        <v/>
      </c>
      <c r="AC134" s="383" t="str">
        <f t="shared" si="12"/>
        <v/>
      </c>
      <c r="AD134" s="422" t="str">
        <f>IFERROR(IF(AC134="Check Data ⚠","Check Data ⚠",VLOOKUP(AC134,'G-4 Temporal multipliers'!$A$4:$C$37,3,FALSE)),"")</f>
        <v/>
      </c>
      <c r="AE134" s="362" t="str">
        <f>IF(N134="","",VLOOKUP(N134,'G-7 WaterC'' Data'!$B$4:$G$8,5,FALSE))</f>
        <v/>
      </c>
      <c r="AF134" s="370" t="str">
        <f t="shared" si="13"/>
        <v/>
      </c>
      <c r="AG134" s="401" t="str">
        <f t="shared" si="14"/>
        <v/>
      </c>
      <c r="AH134" s="363" t="str">
        <f t="shared" si="9"/>
        <v/>
      </c>
      <c r="AI134" s="122"/>
      <c r="AJ134" s="363" t="str">
        <f>IF(AI134="","",IF(VLOOKUP(AI134,'G-7 WaterC'' Data'!$AA$4:$AB$7,2,FALSE)=0,"Spatial Data Missing ⚠",VLOOKUP(AI134,'G-7 WaterC'' Data'!$AA$4:$AB$7,2,FALSE)))</f>
        <v/>
      </c>
      <c r="AK134" s="123"/>
      <c r="AL134" s="363" t="str">
        <f>IF(AK134="","",IF(VLOOKUP(AK134,'G-7 WaterC'' Data'!$AD$4:$AE$14,2,FALSE)=0,"Spatial Data Missing ⚠",VLOOKUP(AK134,'G-7 WaterC'' Data'!$AD$4:$AE$14,2,FALSE)))</f>
        <v/>
      </c>
      <c r="AM134" s="405" t="str">
        <f t="shared" si="15"/>
        <v/>
      </c>
      <c r="AN134" s="117"/>
      <c r="AO134" s="118"/>
      <c r="AP134" s="120"/>
      <c r="AV134" s="30" t="str">
        <f>IFERROR(INDEX('G-7 WaterC'' Data'!$AZ$3:$AZ$7,MATCH(N134,'G-7 WaterC'' Data'!$AY$3:$AY$7,0)),"")</f>
        <v/>
      </c>
    </row>
    <row r="135" spans="2:48" ht="15">
      <c r="B135" s="392" t="str">
        <f>'C-1 On-Site WaterC'' Baseline'!AO133</f>
        <v/>
      </c>
      <c r="C135" s="382" t="str">
        <f>IF(B135="","",VLOOKUP($B135,'C-1 On-Site WaterC'' Baseline'!$C$9:$R$257,2,FALSE))</f>
        <v/>
      </c>
      <c r="D135" s="382" t="str">
        <f>IF(C135="","",VLOOKUP($B135,'C-1 On-Site WaterC'' Baseline'!$C$9:$R$257,3,FALSE))</f>
        <v/>
      </c>
      <c r="E135" s="382" t="str">
        <f>IF(D135="","",VLOOKUP($B135,'C-1 On-Site WaterC'' Baseline'!$C$9:$R$257,4,FALSE))</f>
        <v/>
      </c>
      <c r="F135" s="382" t="str">
        <f>IF(E135="","",VLOOKUP($B135,'C-1 On-Site WaterC'' Baseline'!$C$9:$R$257,5,FALSE))</f>
        <v/>
      </c>
      <c r="G135" s="382" t="str">
        <f>IF(F135="","",VLOOKUP($B135,'C-1 On-Site WaterC'' Baseline'!$C$9:$R$257,6,FALSE))</f>
        <v/>
      </c>
      <c r="H135" s="382" t="str">
        <f>IF(G135="","",VLOOKUP($B135,'C-1 On-Site WaterC'' Baseline'!$C$9:$R$257,7,FALSE))</f>
        <v/>
      </c>
      <c r="I135" s="382" t="str">
        <f>IF(H135="","",VLOOKUP($B135,'C-1 On-Site WaterC'' Baseline'!$C$9:$R$257,8,FALSE))</f>
        <v/>
      </c>
      <c r="J135" s="382" t="str">
        <f>IF(I135="","",VLOOKUP($B135,'C-1 On-Site WaterC'' Baseline'!$C$9:$R$257,9,FALSE))</f>
        <v/>
      </c>
      <c r="K135" s="382" t="str">
        <f>IF(J135="","",VLOOKUP($B135,'C-1 On-Site WaterC'' Baseline'!$C$9:$R$257,10,FALSE))</f>
        <v/>
      </c>
      <c r="L135" s="382" t="str">
        <f>IF(B135="","",VLOOKUP($B135,'C-1 On-Site WaterC'' Baseline'!$C$9:$R$257,15,FALSE))</f>
        <v/>
      </c>
      <c r="M135" s="386" t="str">
        <f>IF(L135="","",VLOOKUP($B135,'C-1 On-Site WaterC'' Baseline'!$C$9:$R$257,16,FALSE))</f>
        <v/>
      </c>
      <c r="N135" s="320" t="str">
        <f t="shared" si="8"/>
        <v/>
      </c>
      <c r="O135" s="362" t="str">
        <f t="shared" si="10"/>
        <v/>
      </c>
      <c r="P135" s="363" t="str">
        <f>IF(C135="","",IF(AND(LEFT(C135,55)&lt;&gt;LEFT(N135,55),O135="High - High"),"Error - Not like for like ▲",IF(H135&gt;U135,"Error - Can not reduce condition ▲",IF(AND(F135=S135,H135=U135,AJ135='C-1 On-Site WaterC'' Baseline'!N133,'C-1 On-Site WaterC'' Baseline'!P133=AL135),"Error - No enhancement ▲",IF(AND(C135&lt;&gt;N135,F135&lt;S135),"Lower Distinctiveness Habitat"&amp;" - "&amp;T135,G135&amp;" - "&amp;T135)))))</f>
        <v/>
      </c>
      <c r="Q135" s="425" t="str">
        <f>IF(N135="","",VLOOKUP(B135,'C-1 On-Site WaterC'' Baseline'!$C$10:$AB$257,19,FALSE))</f>
        <v/>
      </c>
      <c r="R135" s="362" t="str">
        <f>IF(N135="","",VLOOKUP(N135,'G-7 WaterC'' Data'!$B$2:$G$8,2,FALSE))</f>
        <v/>
      </c>
      <c r="S135" s="363" t="str">
        <f>IFERROR(VLOOKUP(R135,'G-7 WaterC'' Data'!$C$4:$D$8,2,FALSE),"")</f>
        <v/>
      </c>
      <c r="T135" s="114"/>
      <c r="U135" s="363" t="str">
        <f>IFERROR(INDEX('G-7 WaterC'' Data'!$H$4:$L$8,MATCH(N135,'G-7 WaterC'' Data'!$B$4:$B$8,0),MATCH(T135,'G-7 WaterC'' Data'!$H$3:$L$3,0)),"")</f>
        <v/>
      </c>
      <c r="V135" s="114"/>
      <c r="W135" s="370" t="str">
        <f>IF(V135="","",IF(VLOOKUP(V135,'G-7 WaterC'' Data'!$AK$4:$AM$6,2,FALSE)=0,"Spatial Data Missing ⚠",VLOOKUP(V135,'G-7 WaterC'' Data'!$AK$4:$AM$6,2,FALSE)))</f>
        <v/>
      </c>
      <c r="X135" s="363" t="str">
        <f>IF(V135="","",IF(VLOOKUP(V135,'G-7 WaterC'' Data'!$AK$4:$AM$6,3,FALSE)=0,"Spatial Data Missing ⚠",VLOOKUP(V135,'G-7 WaterC'' Data'!$AK$4:$AM$6,3,FALSE)))</f>
        <v/>
      </c>
      <c r="Y135" s="362" t="str">
        <f>IFERROR(IF(OR(LEFT(P135,5)="Error",LEFT(O135,5)="Error ▲"),"Check Data ⚠",IF(F135&lt;S135,'G-7 WaterC'' Data'!$R$3,INDEX('G-7 WaterC'' Data'!$U$5:$Y$9,MATCH(G135,'G-7 WaterC'' Data'!$T$5:$T$9,0),MATCH(T135,'G-7 WaterC'' Data'!$U$4:$Y$4,0)))),"")</f>
        <v/>
      </c>
      <c r="Z135" s="159"/>
      <c r="AA135" s="159"/>
      <c r="AB135" s="370" t="str">
        <f t="shared" si="11"/>
        <v/>
      </c>
      <c r="AC135" s="383" t="str">
        <f t="shared" si="12"/>
        <v/>
      </c>
      <c r="AD135" s="422" t="str">
        <f>IFERROR(IF(AC135="Check Data ⚠","Check Data ⚠",VLOOKUP(AC135,'G-4 Temporal multipliers'!$A$4:$C$37,3,FALSE)),"")</f>
        <v/>
      </c>
      <c r="AE135" s="362" t="str">
        <f>IF(N135="","",VLOOKUP(N135,'G-7 WaterC'' Data'!$B$4:$G$8,5,FALSE))</f>
        <v/>
      </c>
      <c r="AF135" s="370" t="str">
        <f t="shared" si="13"/>
        <v/>
      </c>
      <c r="AG135" s="401" t="str">
        <f t="shared" si="14"/>
        <v/>
      </c>
      <c r="AH135" s="363" t="str">
        <f t="shared" si="9"/>
        <v/>
      </c>
      <c r="AI135" s="122"/>
      <c r="AJ135" s="363" t="str">
        <f>IF(AI135="","",IF(VLOOKUP(AI135,'G-7 WaterC'' Data'!$AA$4:$AB$7,2,FALSE)=0,"Spatial Data Missing ⚠",VLOOKUP(AI135,'G-7 WaterC'' Data'!$AA$4:$AB$7,2,FALSE)))</f>
        <v/>
      </c>
      <c r="AK135" s="123"/>
      <c r="AL135" s="363" t="str">
        <f>IF(AK135="","",IF(VLOOKUP(AK135,'G-7 WaterC'' Data'!$AD$4:$AE$14,2,FALSE)=0,"Spatial Data Missing ⚠",VLOOKUP(AK135,'G-7 WaterC'' Data'!$AD$4:$AE$14,2,FALSE)))</f>
        <v/>
      </c>
      <c r="AM135" s="405" t="str">
        <f t="shared" si="15"/>
        <v/>
      </c>
      <c r="AN135" s="117"/>
      <c r="AO135" s="118"/>
      <c r="AP135" s="120"/>
      <c r="AV135" s="30" t="str">
        <f>IFERROR(INDEX('G-7 WaterC'' Data'!$AZ$3:$AZ$7,MATCH(N135,'G-7 WaterC'' Data'!$AY$3:$AY$7,0)),"")</f>
        <v/>
      </c>
    </row>
    <row r="136" spans="2:48" ht="15">
      <c r="B136" s="392" t="str">
        <f>'C-1 On-Site WaterC'' Baseline'!AO134</f>
        <v/>
      </c>
      <c r="C136" s="382" t="str">
        <f>IF(B136="","",VLOOKUP($B136,'C-1 On-Site WaterC'' Baseline'!$C$9:$R$257,2,FALSE))</f>
        <v/>
      </c>
      <c r="D136" s="382" t="str">
        <f>IF(C136="","",VLOOKUP($B136,'C-1 On-Site WaterC'' Baseline'!$C$9:$R$257,3,FALSE))</f>
        <v/>
      </c>
      <c r="E136" s="382" t="str">
        <f>IF(D136="","",VLOOKUP($B136,'C-1 On-Site WaterC'' Baseline'!$C$9:$R$257,4,FALSE))</f>
        <v/>
      </c>
      <c r="F136" s="382" t="str">
        <f>IF(E136="","",VLOOKUP($B136,'C-1 On-Site WaterC'' Baseline'!$C$9:$R$257,5,FALSE))</f>
        <v/>
      </c>
      <c r="G136" s="382" t="str">
        <f>IF(F136="","",VLOOKUP($B136,'C-1 On-Site WaterC'' Baseline'!$C$9:$R$257,6,FALSE))</f>
        <v/>
      </c>
      <c r="H136" s="382" t="str">
        <f>IF(G136="","",VLOOKUP($B136,'C-1 On-Site WaterC'' Baseline'!$C$9:$R$257,7,FALSE))</f>
        <v/>
      </c>
      <c r="I136" s="382" t="str">
        <f>IF(H136="","",VLOOKUP($B136,'C-1 On-Site WaterC'' Baseline'!$C$9:$R$257,8,FALSE))</f>
        <v/>
      </c>
      <c r="J136" s="382" t="str">
        <f>IF(I136="","",VLOOKUP($B136,'C-1 On-Site WaterC'' Baseline'!$C$9:$R$257,9,FALSE))</f>
        <v/>
      </c>
      <c r="K136" s="382" t="str">
        <f>IF(J136="","",VLOOKUP($B136,'C-1 On-Site WaterC'' Baseline'!$C$9:$R$257,10,FALSE))</f>
        <v/>
      </c>
      <c r="L136" s="382" t="str">
        <f>IF(B136="","",VLOOKUP($B136,'C-1 On-Site WaterC'' Baseline'!$C$9:$R$257,15,FALSE))</f>
        <v/>
      </c>
      <c r="M136" s="386" t="str">
        <f>IF(L136="","",VLOOKUP($B136,'C-1 On-Site WaterC'' Baseline'!$C$9:$R$257,16,FALSE))</f>
        <v/>
      </c>
      <c r="N136" s="320" t="str">
        <f t="shared" si="8"/>
        <v/>
      </c>
      <c r="O136" s="362" t="str">
        <f t="shared" si="10"/>
        <v/>
      </c>
      <c r="P136" s="363" t="str">
        <f>IF(C136="","",IF(AND(LEFT(C136,55)&lt;&gt;LEFT(N136,55),O136="High - High"),"Error - Not like for like ▲",IF(H136&gt;U136,"Error - Can not reduce condition ▲",IF(AND(F136=S136,H136=U136,AJ136='C-1 On-Site WaterC'' Baseline'!N134,'C-1 On-Site WaterC'' Baseline'!P134=AL136),"Error - No enhancement ▲",IF(AND(C136&lt;&gt;N136,F136&lt;S136),"Lower Distinctiveness Habitat"&amp;" - "&amp;T136,G136&amp;" - "&amp;T136)))))</f>
        <v/>
      </c>
      <c r="Q136" s="425" t="str">
        <f>IF(N136="","",VLOOKUP(B136,'C-1 On-Site WaterC'' Baseline'!$C$10:$AB$257,19,FALSE))</f>
        <v/>
      </c>
      <c r="R136" s="362" t="str">
        <f>IF(N136="","",VLOOKUP(N136,'G-7 WaterC'' Data'!$B$2:$G$8,2,FALSE))</f>
        <v/>
      </c>
      <c r="S136" s="363" t="str">
        <f>IFERROR(VLOOKUP(R136,'G-7 WaterC'' Data'!$C$4:$D$8,2,FALSE),"")</f>
        <v/>
      </c>
      <c r="T136" s="114"/>
      <c r="U136" s="363" t="str">
        <f>IFERROR(INDEX('G-7 WaterC'' Data'!$H$4:$L$8,MATCH(N136,'G-7 WaterC'' Data'!$B$4:$B$8,0),MATCH(T136,'G-7 WaterC'' Data'!$H$3:$L$3,0)),"")</f>
        <v/>
      </c>
      <c r="V136" s="114"/>
      <c r="W136" s="370" t="str">
        <f>IF(V136="","",IF(VLOOKUP(V136,'G-7 WaterC'' Data'!$AK$4:$AM$6,2,FALSE)=0,"Spatial Data Missing ⚠",VLOOKUP(V136,'G-7 WaterC'' Data'!$AK$4:$AM$6,2,FALSE)))</f>
        <v/>
      </c>
      <c r="X136" s="363" t="str">
        <f>IF(V136="","",IF(VLOOKUP(V136,'G-7 WaterC'' Data'!$AK$4:$AM$6,3,FALSE)=0,"Spatial Data Missing ⚠",VLOOKUP(V136,'G-7 WaterC'' Data'!$AK$4:$AM$6,3,FALSE)))</f>
        <v/>
      </c>
      <c r="Y136" s="362" t="str">
        <f>IFERROR(IF(OR(LEFT(P136,5)="Error",LEFT(O136,5)="Error ▲"),"Check Data ⚠",IF(F136&lt;S136,'G-7 WaterC'' Data'!$R$3,INDEX('G-7 WaterC'' Data'!$U$5:$Y$9,MATCH(G136,'G-7 WaterC'' Data'!$T$5:$T$9,0),MATCH(T136,'G-7 WaterC'' Data'!$U$4:$Y$4,0)))),"")</f>
        <v/>
      </c>
      <c r="Z136" s="159"/>
      <c r="AA136" s="159"/>
      <c r="AB136" s="370" t="str">
        <f t="shared" si="11"/>
        <v/>
      </c>
      <c r="AC136" s="383" t="str">
        <f t="shared" si="12"/>
        <v/>
      </c>
      <c r="AD136" s="422" t="str">
        <f>IFERROR(IF(AC136="Check Data ⚠","Check Data ⚠",VLOOKUP(AC136,'G-4 Temporal multipliers'!$A$4:$C$37,3,FALSE)),"")</f>
        <v/>
      </c>
      <c r="AE136" s="362" t="str">
        <f>IF(N136="","",VLOOKUP(N136,'G-7 WaterC'' Data'!$B$4:$G$8,5,FALSE))</f>
        <v/>
      </c>
      <c r="AF136" s="370" t="str">
        <f t="shared" si="13"/>
        <v/>
      </c>
      <c r="AG136" s="401" t="str">
        <f t="shared" si="14"/>
        <v/>
      </c>
      <c r="AH136" s="363" t="str">
        <f t="shared" si="9"/>
        <v/>
      </c>
      <c r="AI136" s="122"/>
      <c r="AJ136" s="363" t="str">
        <f>IF(AI136="","",IF(VLOOKUP(AI136,'G-7 WaterC'' Data'!$AA$4:$AB$7,2,FALSE)=0,"Spatial Data Missing ⚠",VLOOKUP(AI136,'G-7 WaterC'' Data'!$AA$4:$AB$7,2,FALSE)))</f>
        <v/>
      </c>
      <c r="AK136" s="123"/>
      <c r="AL136" s="363" t="str">
        <f>IF(AK136="","",IF(VLOOKUP(AK136,'G-7 WaterC'' Data'!$AD$4:$AE$14,2,FALSE)=0,"Spatial Data Missing ⚠",VLOOKUP(AK136,'G-7 WaterC'' Data'!$AD$4:$AE$14,2,FALSE)))</f>
        <v/>
      </c>
      <c r="AM136" s="405" t="str">
        <f t="shared" si="15"/>
        <v/>
      </c>
      <c r="AN136" s="117"/>
      <c r="AO136" s="118"/>
      <c r="AP136" s="120"/>
      <c r="AV136" s="30" t="str">
        <f>IFERROR(INDEX('G-7 WaterC'' Data'!$AZ$3:$AZ$7,MATCH(N136,'G-7 WaterC'' Data'!$AY$3:$AY$7,0)),"")</f>
        <v/>
      </c>
    </row>
    <row r="137" spans="2:48" ht="15">
      <c r="B137" s="392" t="str">
        <f>'C-1 On-Site WaterC'' Baseline'!AO135</f>
        <v/>
      </c>
      <c r="C137" s="382" t="str">
        <f>IF(B137="","",VLOOKUP($B137,'C-1 On-Site WaterC'' Baseline'!$C$9:$R$257,2,FALSE))</f>
        <v/>
      </c>
      <c r="D137" s="382" t="str">
        <f>IF(C137="","",VLOOKUP($B137,'C-1 On-Site WaterC'' Baseline'!$C$9:$R$257,3,FALSE))</f>
        <v/>
      </c>
      <c r="E137" s="382" t="str">
        <f>IF(D137="","",VLOOKUP($B137,'C-1 On-Site WaterC'' Baseline'!$C$9:$R$257,4,FALSE))</f>
        <v/>
      </c>
      <c r="F137" s="382" t="str">
        <f>IF(E137="","",VLOOKUP($B137,'C-1 On-Site WaterC'' Baseline'!$C$9:$R$257,5,FALSE))</f>
        <v/>
      </c>
      <c r="G137" s="382" t="str">
        <f>IF(F137="","",VLOOKUP($B137,'C-1 On-Site WaterC'' Baseline'!$C$9:$R$257,6,FALSE))</f>
        <v/>
      </c>
      <c r="H137" s="382" t="str">
        <f>IF(G137="","",VLOOKUP($B137,'C-1 On-Site WaterC'' Baseline'!$C$9:$R$257,7,FALSE))</f>
        <v/>
      </c>
      <c r="I137" s="382" t="str">
        <f>IF(H137="","",VLOOKUP($B137,'C-1 On-Site WaterC'' Baseline'!$C$9:$R$257,8,FALSE))</f>
        <v/>
      </c>
      <c r="J137" s="382" t="str">
        <f>IF(I137="","",VLOOKUP($B137,'C-1 On-Site WaterC'' Baseline'!$C$9:$R$257,9,FALSE))</f>
        <v/>
      </c>
      <c r="K137" s="382" t="str">
        <f>IF(J137="","",VLOOKUP($B137,'C-1 On-Site WaterC'' Baseline'!$C$9:$R$257,10,FALSE))</f>
        <v/>
      </c>
      <c r="L137" s="382" t="str">
        <f>IF(B137="","",VLOOKUP($B137,'C-1 On-Site WaterC'' Baseline'!$C$9:$R$257,15,FALSE))</f>
        <v/>
      </c>
      <c r="M137" s="386" t="str">
        <f>IF(L137="","",VLOOKUP($B137,'C-1 On-Site WaterC'' Baseline'!$C$9:$R$257,16,FALSE))</f>
        <v/>
      </c>
      <c r="N137" s="320" t="str">
        <f t="shared" si="8"/>
        <v/>
      </c>
      <c r="O137" s="362" t="str">
        <f t="shared" si="10"/>
        <v/>
      </c>
      <c r="P137" s="363" t="str">
        <f>IF(C137="","",IF(AND(LEFT(C137,55)&lt;&gt;LEFT(N137,55),O137="High - High"),"Error - Not like for like ▲",IF(H137&gt;U137,"Error - Can not reduce condition ▲",IF(AND(F137=S137,H137=U137,AJ137='C-1 On-Site WaterC'' Baseline'!N135,'C-1 On-Site WaterC'' Baseline'!P135=AL137),"Error - No enhancement ▲",IF(AND(C137&lt;&gt;N137,F137&lt;S137),"Lower Distinctiveness Habitat"&amp;" - "&amp;T137,G137&amp;" - "&amp;T137)))))</f>
        <v/>
      </c>
      <c r="Q137" s="425" t="str">
        <f>IF(N137="","",VLOOKUP(B137,'C-1 On-Site WaterC'' Baseline'!$C$10:$AB$257,19,FALSE))</f>
        <v/>
      </c>
      <c r="R137" s="362" t="str">
        <f>IF(N137="","",VLOOKUP(N137,'G-7 WaterC'' Data'!$B$2:$G$8,2,FALSE))</f>
        <v/>
      </c>
      <c r="S137" s="363" t="str">
        <f>IFERROR(VLOOKUP(R137,'G-7 WaterC'' Data'!$C$4:$D$8,2,FALSE),"")</f>
        <v/>
      </c>
      <c r="T137" s="114"/>
      <c r="U137" s="363" t="str">
        <f>IFERROR(INDEX('G-7 WaterC'' Data'!$H$4:$L$8,MATCH(N137,'G-7 WaterC'' Data'!$B$4:$B$8,0),MATCH(T137,'G-7 WaterC'' Data'!$H$3:$L$3,0)),"")</f>
        <v/>
      </c>
      <c r="V137" s="114"/>
      <c r="W137" s="370" t="str">
        <f>IF(V137="","",IF(VLOOKUP(V137,'G-7 WaterC'' Data'!$AK$4:$AM$6,2,FALSE)=0,"Spatial Data Missing ⚠",VLOOKUP(V137,'G-7 WaterC'' Data'!$AK$4:$AM$6,2,FALSE)))</f>
        <v/>
      </c>
      <c r="X137" s="363" t="str">
        <f>IF(V137="","",IF(VLOOKUP(V137,'G-7 WaterC'' Data'!$AK$4:$AM$6,3,FALSE)=0,"Spatial Data Missing ⚠",VLOOKUP(V137,'G-7 WaterC'' Data'!$AK$4:$AM$6,3,FALSE)))</f>
        <v/>
      </c>
      <c r="Y137" s="362" t="str">
        <f>IFERROR(IF(OR(LEFT(P137,5)="Error",LEFT(O137,5)="Error ▲"),"Check Data ⚠",IF(F137&lt;S137,'G-7 WaterC'' Data'!$R$3,INDEX('G-7 WaterC'' Data'!$U$5:$Y$9,MATCH(G137,'G-7 WaterC'' Data'!$T$5:$T$9,0),MATCH(T137,'G-7 WaterC'' Data'!$U$4:$Y$4,0)))),"")</f>
        <v/>
      </c>
      <c r="Z137" s="159"/>
      <c r="AA137" s="159"/>
      <c r="AB137" s="370" t="str">
        <f t="shared" si="11"/>
        <v/>
      </c>
      <c r="AC137" s="383" t="str">
        <f t="shared" si="12"/>
        <v/>
      </c>
      <c r="AD137" s="422" t="str">
        <f>IFERROR(IF(AC137="Check Data ⚠","Check Data ⚠",VLOOKUP(AC137,'G-4 Temporal multipliers'!$A$4:$C$37,3,FALSE)),"")</f>
        <v/>
      </c>
      <c r="AE137" s="362" t="str">
        <f>IF(N137="","",VLOOKUP(N137,'G-7 WaterC'' Data'!$B$4:$G$8,5,FALSE))</f>
        <v/>
      </c>
      <c r="AF137" s="370" t="str">
        <f t="shared" si="13"/>
        <v/>
      </c>
      <c r="AG137" s="401" t="str">
        <f t="shared" si="14"/>
        <v/>
      </c>
      <c r="AH137" s="363" t="str">
        <f t="shared" si="9"/>
        <v/>
      </c>
      <c r="AI137" s="122"/>
      <c r="AJ137" s="363" t="str">
        <f>IF(AI137="","",IF(VLOOKUP(AI137,'G-7 WaterC'' Data'!$AA$4:$AB$7,2,FALSE)=0,"Spatial Data Missing ⚠",VLOOKUP(AI137,'G-7 WaterC'' Data'!$AA$4:$AB$7,2,FALSE)))</f>
        <v/>
      </c>
      <c r="AK137" s="123"/>
      <c r="AL137" s="363" t="str">
        <f>IF(AK137="","",IF(VLOOKUP(AK137,'G-7 WaterC'' Data'!$AD$4:$AE$14,2,FALSE)=0,"Spatial Data Missing ⚠",VLOOKUP(AK137,'G-7 WaterC'' Data'!$AD$4:$AE$14,2,FALSE)))</f>
        <v/>
      </c>
      <c r="AM137" s="405" t="str">
        <f t="shared" si="15"/>
        <v/>
      </c>
      <c r="AN137" s="117"/>
      <c r="AO137" s="118"/>
      <c r="AP137" s="120"/>
      <c r="AV137" s="30" t="str">
        <f>IFERROR(INDEX('G-7 WaterC'' Data'!$AZ$3:$AZ$7,MATCH(N137,'G-7 WaterC'' Data'!$AY$3:$AY$7,0)),"")</f>
        <v/>
      </c>
    </row>
    <row r="138" spans="2:48" ht="15">
      <c r="B138" s="392" t="str">
        <f>'C-1 On-Site WaterC'' Baseline'!AO136</f>
        <v/>
      </c>
      <c r="C138" s="382" t="str">
        <f>IF(B138="","",VLOOKUP($B138,'C-1 On-Site WaterC'' Baseline'!$C$9:$R$257,2,FALSE))</f>
        <v/>
      </c>
      <c r="D138" s="382" t="str">
        <f>IF(C138="","",VLOOKUP($B138,'C-1 On-Site WaterC'' Baseline'!$C$9:$R$257,3,FALSE))</f>
        <v/>
      </c>
      <c r="E138" s="382" t="str">
        <f>IF(D138="","",VLOOKUP($B138,'C-1 On-Site WaterC'' Baseline'!$C$9:$R$257,4,FALSE))</f>
        <v/>
      </c>
      <c r="F138" s="382" t="str">
        <f>IF(E138="","",VLOOKUP($B138,'C-1 On-Site WaterC'' Baseline'!$C$9:$R$257,5,FALSE))</f>
        <v/>
      </c>
      <c r="G138" s="382" t="str">
        <f>IF(F138="","",VLOOKUP($B138,'C-1 On-Site WaterC'' Baseline'!$C$9:$R$257,6,FALSE))</f>
        <v/>
      </c>
      <c r="H138" s="382" t="str">
        <f>IF(G138="","",VLOOKUP($B138,'C-1 On-Site WaterC'' Baseline'!$C$9:$R$257,7,FALSE))</f>
        <v/>
      </c>
      <c r="I138" s="382" t="str">
        <f>IF(H138="","",VLOOKUP($B138,'C-1 On-Site WaterC'' Baseline'!$C$9:$R$257,8,FALSE))</f>
        <v/>
      </c>
      <c r="J138" s="382" t="str">
        <f>IF(I138="","",VLOOKUP($B138,'C-1 On-Site WaterC'' Baseline'!$C$9:$R$257,9,FALSE))</f>
        <v/>
      </c>
      <c r="K138" s="382" t="str">
        <f>IF(J138="","",VLOOKUP($B138,'C-1 On-Site WaterC'' Baseline'!$C$9:$R$257,10,FALSE))</f>
        <v/>
      </c>
      <c r="L138" s="382" t="str">
        <f>IF(B138="","",VLOOKUP($B138,'C-1 On-Site WaterC'' Baseline'!$C$9:$R$257,15,FALSE))</f>
        <v/>
      </c>
      <c r="M138" s="386" t="str">
        <f>IF(L138="","",VLOOKUP($B138,'C-1 On-Site WaterC'' Baseline'!$C$9:$R$257,16,FALSE))</f>
        <v/>
      </c>
      <c r="N138" s="320" t="str">
        <f t="shared" si="8"/>
        <v/>
      </c>
      <c r="O138" s="362" t="str">
        <f t="shared" si="10"/>
        <v/>
      </c>
      <c r="P138" s="363" t="str">
        <f>IF(C138="","",IF(AND(LEFT(C138,55)&lt;&gt;LEFT(N138,55),O138="High - High"),"Error - Not like for like ▲",IF(H138&gt;U138,"Error - Can not reduce condition ▲",IF(AND(F138=S138,H138=U138,AJ138='C-1 On-Site WaterC'' Baseline'!N136,'C-1 On-Site WaterC'' Baseline'!P136=AL138),"Error - No enhancement ▲",IF(AND(C138&lt;&gt;N138,F138&lt;S138),"Lower Distinctiveness Habitat"&amp;" - "&amp;T138,G138&amp;" - "&amp;T138)))))</f>
        <v/>
      </c>
      <c r="Q138" s="425" t="str">
        <f>IF(N138="","",VLOOKUP(B138,'C-1 On-Site WaterC'' Baseline'!$C$10:$AB$257,19,FALSE))</f>
        <v/>
      </c>
      <c r="R138" s="362" t="str">
        <f>IF(N138="","",VLOOKUP(N138,'G-7 WaterC'' Data'!$B$2:$G$8,2,FALSE))</f>
        <v/>
      </c>
      <c r="S138" s="363" t="str">
        <f>IFERROR(VLOOKUP(R138,'G-7 WaterC'' Data'!$C$4:$D$8,2,FALSE),"")</f>
        <v/>
      </c>
      <c r="T138" s="114"/>
      <c r="U138" s="363" t="str">
        <f>IFERROR(INDEX('G-7 WaterC'' Data'!$H$4:$L$8,MATCH(N138,'G-7 WaterC'' Data'!$B$4:$B$8,0),MATCH(T138,'G-7 WaterC'' Data'!$H$3:$L$3,0)),"")</f>
        <v/>
      </c>
      <c r="V138" s="114"/>
      <c r="W138" s="370" t="str">
        <f>IF(V138="","",IF(VLOOKUP(V138,'G-7 WaterC'' Data'!$AK$4:$AM$6,2,FALSE)=0,"Spatial Data Missing ⚠",VLOOKUP(V138,'G-7 WaterC'' Data'!$AK$4:$AM$6,2,FALSE)))</f>
        <v/>
      </c>
      <c r="X138" s="363" t="str">
        <f>IF(V138="","",IF(VLOOKUP(V138,'G-7 WaterC'' Data'!$AK$4:$AM$6,3,FALSE)=0,"Spatial Data Missing ⚠",VLOOKUP(V138,'G-7 WaterC'' Data'!$AK$4:$AM$6,3,FALSE)))</f>
        <v/>
      </c>
      <c r="Y138" s="362" t="str">
        <f>IFERROR(IF(OR(LEFT(P138,5)="Error",LEFT(O138,5)="Error ▲"),"Check Data ⚠",IF(F138&lt;S138,'G-7 WaterC'' Data'!$R$3,INDEX('G-7 WaterC'' Data'!$U$5:$Y$9,MATCH(G138,'G-7 WaterC'' Data'!$T$5:$T$9,0),MATCH(T138,'G-7 WaterC'' Data'!$U$4:$Y$4,0)))),"")</f>
        <v/>
      </c>
      <c r="Z138" s="159"/>
      <c r="AA138" s="159"/>
      <c r="AB138" s="370" t="str">
        <f t="shared" si="11"/>
        <v/>
      </c>
      <c r="AC138" s="383" t="str">
        <f t="shared" si="12"/>
        <v/>
      </c>
      <c r="AD138" s="422" t="str">
        <f>IFERROR(IF(AC138="Check Data ⚠","Check Data ⚠",VLOOKUP(AC138,'G-4 Temporal multipliers'!$A$4:$C$37,3,FALSE)),"")</f>
        <v/>
      </c>
      <c r="AE138" s="362" t="str">
        <f>IF(N138="","",VLOOKUP(N138,'G-7 WaterC'' Data'!$B$4:$G$8,5,FALSE))</f>
        <v/>
      </c>
      <c r="AF138" s="370" t="str">
        <f t="shared" si="13"/>
        <v/>
      </c>
      <c r="AG138" s="401" t="str">
        <f t="shared" si="14"/>
        <v/>
      </c>
      <c r="AH138" s="363" t="str">
        <f t="shared" si="9"/>
        <v/>
      </c>
      <c r="AI138" s="122"/>
      <c r="AJ138" s="363" t="str">
        <f>IF(AI138="","",IF(VLOOKUP(AI138,'G-7 WaterC'' Data'!$AA$4:$AB$7,2,FALSE)=0,"Spatial Data Missing ⚠",VLOOKUP(AI138,'G-7 WaterC'' Data'!$AA$4:$AB$7,2,FALSE)))</f>
        <v/>
      </c>
      <c r="AK138" s="123"/>
      <c r="AL138" s="363" t="str">
        <f>IF(AK138="","",IF(VLOOKUP(AK138,'G-7 WaterC'' Data'!$AD$4:$AE$14,2,FALSE)=0,"Spatial Data Missing ⚠",VLOOKUP(AK138,'G-7 WaterC'' Data'!$AD$4:$AE$14,2,FALSE)))</f>
        <v/>
      </c>
      <c r="AM138" s="405" t="str">
        <f t="shared" si="15"/>
        <v/>
      </c>
      <c r="AN138" s="117"/>
      <c r="AO138" s="118"/>
      <c r="AP138" s="120"/>
      <c r="AV138" s="30" t="str">
        <f>IFERROR(INDEX('G-7 WaterC'' Data'!$AZ$3:$AZ$7,MATCH(N138,'G-7 WaterC'' Data'!$AY$3:$AY$7,0)),"")</f>
        <v/>
      </c>
    </row>
    <row r="139" spans="2:48" ht="15">
      <c r="B139" s="392" t="str">
        <f>'C-1 On-Site WaterC'' Baseline'!AO137</f>
        <v/>
      </c>
      <c r="C139" s="382" t="str">
        <f>IF(B139="","",VLOOKUP($B139,'C-1 On-Site WaterC'' Baseline'!$C$9:$R$257,2,FALSE))</f>
        <v/>
      </c>
      <c r="D139" s="382" t="str">
        <f>IF(C139="","",VLOOKUP($B139,'C-1 On-Site WaterC'' Baseline'!$C$9:$R$257,3,FALSE))</f>
        <v/>
      </c>
      <c r="E139" s="382" t="str">
        <f>IF(D139="","",VLOOKUP($B139,'C-1 On-Site WaterC'' Baseline'!$C$9:$R$257,4,FALSE))</f>
        <v/>
      </c>
      <c r="F139" s="382" t="str">
        <f>IF(E139="","",VLOOKUP($B139,'C-1 On-Site WaterC'' Baseline'!$C$9:$R$257,5,FALSE))</f>
        <v/>
      </c>
      <c r="G139" s="382" t="str">
        <f>IF(F139="","",VLOOKUP($B139,'C-1 On-Site WaterC'' Baseline'!$C$9:$R$257,6,FALSE))</f>
        <v/>
      </c>
      <c r="H139" s="382" t="str">
        <f>IF(G139="","",VLOOKUP($B139,'C-1 On-Site WaterC'' Baseline'!$C$9:$R$257,7,FALSE))</f>
        <v/>
      </c>
      <c r="I139" s="382" t="str">
        <f>IF(H139="","",VLOOKUP($B139,'C-1 On-Site WaterC'' Baseline'!$C$9:$R$257,8,FALSE))</f>
        <v/>
      </c>
      <c r="J139" s="382" t="str">
        <f>IF(I139="","",VLOOKUP($B139,'C-1 On-Site WaterC'' Baseline'!$C$9:$R$257,9,FALSE))</f>
        <v/>
      </c>
      <c r="K139" s="382" t="str">
        <f>IF(J139="","",VLOOKUP($B139,'C-1 On-Site WaterC'' Baseline'!$C$9:$R$257,10,FALSE))</f>
        <v/>
      </c>
      <c r="L139" s="382" t="str">
        <f>IF(B139="","",VLOOKUP($B139,'C-1 On-Site WaterC'' Baseline'!$C$9:$R$257,15,FALSE))</f>
        <v/>
      </c>
      <c r="M139" s="386" t="str">
        <f>IF(L139="","",VLOOKUP($B139,'C-1 On-Site WaterC'' Baseline'!$C$9:$R$257,16,FALSE))</f>
        <v/>
      </c>
      <c r="N139" s="320" t="str">
        <f t="shared" si="8"/>
        <v/>
      </c>
      <c r="O139" s="362" t="str">
        <f t="shared" si="10"/>
        <v/>
      </c>
      <c r="P139" s="363" t="str">
        <f>IF(C139="","",IF(AND(LEFT(C139,55)&lt;&gt;LEFT(N139,55),O139="High - High"),"Error - Not like for like ▲",IF(H139&gt;U139,"Error - Can not reduce condition ▲",IF(AND(F139=S139,H139=U139,AJ139='C-1 On-Site WaterC'' Baseline'!N137,'C-1 On-Site WaterC'' Baseline'!P137=AL139),"Error - No enhancement ▲",IF(AND(C139&lt;&gt;N139,F139&lt;S139),"Lower Distinctiveness Habitat"&amp;" - "&amp;T139,G139&amp;" - "&amp;T139)))))</f>
        <v/>
      </c>
      <c r="Q139" s="425" t="str">
        <f>IF(N139="","",VLOOKUP(B139,'C-1 On-Site WaterC'' Baseline'!$C$10:$AB$257,19,FALSE))</f>
        <v/>
      </c>
      <c r="R139" s="362" t="str">
        <f>IF(N139="","",VLOOKUP(N139,'G-7 WaterC'' Data'!$B$2:$G$8,2,FALSE))</f>
        <v/>
      </c>
      <c r="S139" s="363" t="str">
        <f>IFERROR(VLOOKUP(R139,'G-7 WaterC'' Data'!$C$4:$D$8,2,FALSE),"")</f>
        <v/>
      </c>
      <c r="T139" s="114"/>
      <c r="U139" s="363" t="str">
        <f>IFERROR(INDEX('G-7 WaterC'' Data'!$H$4:$L$8,MATCH(N139,'G-7 WaterC'' Data'!$B$4:$B$8,0),MATCH(T139,'G-7 WaterC'' Data'!$H$3:$L$3,0)),"")</f>
        <v/>
      </c>
      <c r="V139" s="114"/>
      <c r="W139" s="370" t="str">
        <f>IF(V139="","",IF(VLOOKUP(V139,'G-7 WaterC'' Data'!$AK$4:$AM$6,2,FALSE)=0,"Spatial Data Missing ⚠",VLOOKUP(V139,'G-7 WaterC'' Data'!$AK$4:$AM$6,2,FALSE)))</f>
        <v/>
      </c>
      <c r="X139" s="363" t="str">
        <f>IF(V139="","",IF(VLOOKUP(V139,'G-7 WaterC'' Data'!$AK$4:$AM$6,3,FALSE)=0,"Spatial Data Missing ⚠",VLOOKUP(V139,'G-7 WaterC'' Data'!$AK$4:$AM$6,3,FALSE)))</f>
        <v/>
      </c>
      <c r="Y139" s="362" t="str">
        <f>IFERROR(IF(OR(LEFT(P139,5)="Error",LEFT(O139,5)="Error ▲"),"Check Data ⚠",IF(F139&lt;S139,'G-7 WaterC'' Data'!$R$3,INDEX('G-7 WaterC'' Data'!$U$5:$Y$9,MATCH(G139,'G-7 WaterC'' Data'!$T$5:$T$9,0),MATCH(T139,'G-7 WaterC'' Data'!$U$4:$Y$4,0)))),"")</f>
        <v/>
      </c>
      <c r="Z139" s="159"/>
      <c r="AA139" s="159"/>
      <c r="AB139" s="370" t="str">
        <f t="shared" si="11"/>
        <v/>
      </c>
      <c r="AC139" s="383" t="str">
        <f t="shared" si="12"/>
        <v/>
      </c>
      <c r="AD139" s="422" t="str">
        <f>IFERROR(IF(AC139="Check Data ⚠","Check Data ⚠",VLOOKUP(AC139,'G-4 Temporal multipliers'!$A$4:$C$37,3,FALSE)),"")</f>
        <v/>
      </c>
      <c r="AE139" s="362" t="str">
        <f>IF(N139="","",VLOOKUP(N139,'G-7 WaterC'' Data'!$B$4:$G$8,5,FALSE))</f>
        <v/>
      </c>
      <c r="AF139" s="370" t="str">
        <f t="shared" si="13"/>
        <v/>
      </c>
      <c r="AG139" s="401" t="str">
        <f t="shared" si="14"/>
        <v/>
      </c>
      <c r="AH139" s="363" t="str">
        <f t="shared" si="9"/>
        <v/>
      </c>
      <c r="AI139" s="122"/>
      <c r="AJ139" s="363" t="str">
        <f>IF(AI139="","",IF(VLOOKUP(AI139,'G-7 WaterC'' Data'!$AA$4:$AB$7,2,FALSE)=0,"Spatial Data Missing ⚠",VLOOKUP(AI139,'G-7 WaterC'' Data'!$AA$4:$AB$7,2,FALSE)))</f>
        <v/>
      </c>
      <c r="AK139" s="123"/>
      <c r="AL139" s="363" t="str">
        <f>IF(AK139="","",IF(VLOOKUP(AK139,'G-7 WaterC'' Data'!$AD$4:$AE$14,2,FALSE)=0,"Spatial Data Missing ⚠",VLOOKUP(AK139,'G-7 WaterC'' Data'!$AD$4:$AE$14,2,FALSE)))</f>
        <v/>
      </c>
      <c r="AM139" s="405" t="str">
        <f t="shared" si="15"/>
        <v/>
      </c>
      <c r="AN139" s="117"/>
      <c r="AO139" s="118"/>
      <c r="AP139" s="120"/>
      <c r="AV139" s="30" t="str">
        <f>IFERROR(INDEX('G-7 WaterC'' Data'!$AZ$3:$AZ$7,MATCH(N139,'G-7 WaterC'' Data'!$AY$3:$AY$7,0)),"")</f>
        <v/>
      </c>
    </row>
    <row r="140" spans="2:48" ht="15">
      <c r="B140" s="392" t="str">
        <f>'C-1 On-Site WaterC'' Baseline'!AO138</f>
        <v/>
      </c>
      <c r="C140" s="382" t="str">
        <f>IF(B140="","",VLOOKUP($B140,'C-1 On-Site WaterC'' Baseline'!$C$9:$R$257,2,FALSE))</f>
        <v/>
      </c>
      <c r="D140" s="382" t="str">
        <f>IF(C140="","",VLOOKUP($B140,'C-1 On-Site WaterC'' Baseline'!$C$9:$R$257,3,FALSE))</f>
        <v/>
      </c>
      <c r="E140" s="382" t="str">
        <f>IF(D140="","",VLOOKUP($B140,'C-1 On-Site WaterC'' Baseline'!$C$9:$R$257,4,FALSE))</f>
        <v/>
      </c>
      <c r="F140" s="382" t="str">
        <f>IF(E140="","",VLOOKUP($B140,'C-1 On-Site WaterC'' Baseline'!$C$9:$R$257,5,FALSE))</f>
        <v/>
      </c>
      <c r="G140" s="382" t="str">
        <f>IF(F140="","",VLOOKUP($B140,'C-1 On-Site WaterC'' Baseline'!$C$9:$R$257,6,FALSE))</f>
        <v/>
      </c>
      <c r="H140" s="382" t="str">
        <f>IF(G140="","",VLOOKUP($B140,'C-1 On-Site WaterC'' Baseline'!$C$9:$R$257,7,FALSE))</f>
        <v/>
      </c>
      <c r="I140" s="382" t="str">
        <f>IF(H140="","",VLOOKUP($B140,'C-1 On-Site WaterC'' Baseline'!$C$9:$R$257,8,FALSE))</f>
        <v/>
      </c>
      <c r="J140" s="382" t="str">
        <f>IF(I140="","",VLOOKUP($B140,'C-1 On-Site WaterC'' Baseline'!$C$9:$R$257,9,FALSE))</f>
        <v/>
      </c>
      <c r="K140" s="382" t="str">
        <f>IF(J140="","",VLOOKUP($B140,'C-1 On-Site WaterC'' Baseline'!$C$9:$R$257,10,FALSE))</f>
        <v/>
      </c>
      <c r="L140" s="382" t="str">
        <f>IF(B140="","",VLOOKUP($B140,'C-1 On-Site WaterC'' Baseline'!$C$9:$R$257,15,FALSE))</f>
        <v/>
      </c>
      <c r="M140" s="386" t="str">
        <f>IF(L140="","",VLOOKUP($B140,'C-1 On-Site WaterC'' Baseline'!$C$9:$R$257,16,FALSE))</f>
        <v/>
      </c>
      <c r="N140" s="320" t="str">
        <f t="shared" ref="N140:N203" si="16">C140</f>
        <v/>
      </c>
      <c r="O140" s="362" t="str">
        <f t="shared" si="10"/>
        <v/>
      </c>
      <c r="P140" s="363" t="str">
        <f>IF(C140="","",IF(AND(LEFT(C140,55)&lt;&gt;LEFT(N140,55),O140="High - High"),"Error - Not like for like ▲",IF(H140&gt;U140,"Error - Can not reduce condition ▲",IF(AND(F140=S140,H140=U140,AJ140='C-1 On-Site WaterC'' Baseline'!N138,'C-1 On-Site WaterC'' Baseline'!P138=AL140),"Error - No enhancement ▲",IF(AND(C140&lt;&gt;N140,F140&lt;S140),"Lower Distinctiveness Habitat"&amp;" - "&amp;T140,G140&amp;" - "&amp;T140)))))</f>
        <v/>
      </c>
      <c r="Q140" s="425" t="str">
        <f>IF(N140="","",VLOOKUP(B140,'C-1 On-Site WaterC'' Baseline'!$C$10:$AB$257,19,FALSE))</f>
        <v/>
      </c>
      <c r="R140" s="362" t="str">
        <f>IF(N140="","",VLOOKUP(N140,'G-7 WaterC'' Data'!$B$2:$G$8,2,FALSE))</f>
        <v/>
      </c>
      <c r="S140" s="363" t="str">
        <f>IFERROR(VLOOKUP(R140,'G-7 WaterC'' Data'!$C$4:$D$8,2,FALSE),"")</f>
        <v/>
      </c>
      <c r="T140" s="114"/>
      <c r="U140" s="363" t="str">
        <f>IFERROR(INDEX('G-7 WaterC'' Data'!$H$4:$L$8,MATCH(N140,'G-7 WaterC'' Data'!$B$4:$B$8,0),MATCH(T140,'G-7 WaterC'' Data'!$H$3:$L$3,0)),"")</f>
        <v/>
      </c>
      <c r="V140" s="114"/>
      <c r="W140" s="370" t="str">
        <f>IF(V140="","",IF(VLOOKUP(V140,'G-7 WaterC'' Data'!$AK$4:$AM$6,2,FALSE)=0,"Spatial Data Missing ⚠",VLOOKUP(V140,'G-7 WaterC'' Data'!$AK$4:$AM$6,2,FALSE)))</f>
        <v/>
      </c>
      <c r="X140" s="363" t="str">
        <f>IF(V140="","",IF(VLOOKUP(V140,'G-7 WaterC'' Data'!$AK$4:$AM$6,3,FALSE)=0,"Spatial Data Missing ⚠",VLOOKUP(V140,'G-7 WaterC'' Data'!$AK$4:$AM$6,3,FALSE)))</f>
        <v/>
      </c>
      <c r="Y140" s="362" t="str">
        <f>IFERROR(IF(OR(LEFT(P140,5)="Error",LEFT(O140,5)="Error ▲"),"Check Data ⚠",IF(F140&lt;S140,'G-7 WaterC'' Data'!$R$3,INDEX('G-7 WaterC'' Data'!$U$5:$Y$9,MATCH(G140,'G-7 WaterC'' Data'!$T$5:$T$9,0),MATCH(T140,'G-7 WaterC'' Data'!$U$4:$Y$4,0)))),"")</f>
        <v/>
      </c>
      <c r="Z140" s="159"/>
      <c r="AA140" s="159"/>
      <c r="AB140" s="370" t="str">
        <f t="shared" si="11"/>
        <v/>
      </c>
      <c r="AC140" s="383" t="str">
        <f t="shared" si="12"/>
        <v/>
      </c>
      <c r="AD140" s="422" t="str">
        <f>IFERROR(IF(AC140="Check Data ⚠","Check Data ⚠",VLOOKUP(AC140,'G-4 Temporal multipliers'!$A$4:$C$37,3,FALSE)),"")</f>
        <v/>
      </c>
      <c r="AE140" s="362" t="str">
        <f>IF(N140="","",VLOOKUP(N140,'G-7 WaterC'' Data'!$B$4:$G$8,5,FALSE))</f>
        <v/>
      </c>
      <c r="AF140" s="370" t="str">
        <f t="shared" si="13"/>
        <v/>
      </c>
      <c r="AG140" s="401" t="str">
        <f t="shared" si="14"/>
        <v/>
      </c>
      <c r="AH140" s="363" t="str">
        <f t="shared" ref="AH140:AH203" si="17">IF(N140="","",VLOOKUP(AE140,Difficulty,2,FALSE))</f>
        <v/>
      </c>
      <c r="AI140" s="122"/>
      <c r="AJ140" s="363" t="str">
        <f>IF(AI140="","",IF(VLOOKUP(AI140,'G-7 WaterC'' Data'!$AA$4:$AB$7,2,FALSE)=0,"Spatial Data Missing ⚠",VLOOKUP(AI140,'G-7 WaterC'' Data'!$AA$4:$AB$7,2,FALSE)))</f>
        <v/>
      </c>
      <c r="AK140" s="123"/>
      <c r="AL140" s="363" t="str">
        <f>IF(AK140="","",IF(VLOOKUP(AK140,'G-7 WaterC'' Data'!$AD$4:$AE$14,2,FALSE)=0,"Spatial Data Missing ⚠",VLOOKUP(AK140,'G-7 WaterC'' Data'!$AD$4:$AE$14,2,FALSE)))</f>
        <v/>
      </c>
      <c r="AM140" s="405" t="str">
        <f t="shared" si="15"/>
        <v/>
      </c>
      <c r="AN140" s="117"/>
      <c r="AO140" s="118"/>
      <c r="AP140" s="120"/>
      <c r="AV140" s="30" t="str">
        <f>IFERROR(INDEX('G-7 WaterC'' Data'!$AZ$3:$AZ$7,MATCH(N140,'G-7 WaterC'' Data'!$AY$3:$AY$7,0)),"")</f>
        <v/>
      </c>
    </row>
    <row r="141" spans="2:48" ht="15">
      <c r="B141" s="392" t="str">
        <f>'C-1 On-Site WaterC'' Baseline'!AO139</f>
        <v/>
      </c>
      <c r="C141" s="382" t="str">
        <f>IF(B141="","",VLOOKUP($B141,'C-1 On-Site WaterC'' Baseline'!$C$9:$R$257,2,FALSE))</f>
        <v/>
      </c>
      <c r="D141" s="382" t="str">
        <f>IF(C141="","",VLOOKUP($B141,'C-1 On-Site WaterC'' Baseline'!$C$9:$R$257,3,FALSE))</f>
        <v/>
      </c>
      <c r="E141" s="382" t="str">
        <f>IF(D141="","",VLOOKUP($B141,'C-1 On-Site WaterC'' Baseline'!$C$9:$R$257,4,FALSE))</f>
        <v/>
      </c>
      <c r="F141" s="382" t="str">
        <f>IF(E141="","",VLOOKUP($B141,'C-1 On-Site WaterC'' Baseline'!$C$9:$R$257,5,FALSE))</f>
        <v/>
      </c>
      <c r="G141" s="382" t="str">
        <f>IF(F141="","",VLOOKUP($B141,'C-1 On-Site WaterC'' Baseline'!$C$9:$R$257,6,FALSE))</f>
        <v/>
      </c>
      <c r="H141" s="382" t="str">
        <f>IF(G141="","",VLOOKUP($B141,'C-1 On-Site WaterC'' Baseline'!$C$9:$R$257,7,FALSE))</f>
        <v/>
      </c>
      <c r="I141" s="382" t="str">
        <f>IF(H141="","",VLOOKUP($B141,'C-1 On-Site WaterC'' Baseline'!$C$9:$R$257,8,FALSE))</f>
        <v/>
      </c>
      <c r="J141" s="382" t="str">
        <f>IF(I141="","",VLOOKUP($B141,'C-1 On-Site WaterC'' Baseline'!$C$9:$R$257,9,FALSE))</f>
        <v/>
      </c>
      <c r="K141" s="382" t="str">
        <f>IF(J141="","",VLOOKUP($B141,'C-1 On-Site WaterC'' Baseline'!$C$9:$R$257,10,FALSE))</f>
        <v/>
      </c>
      <c r="L141" s="382" t="str">
        <f>IF(B141="","",VLOOKUP($B141,'C-1 On-Site WaterC'' Baseline'!$C$9:$R$257,15,FALSE))</f>
        <v/>
      </c>
      <c r="M141" s="386" t="str">
        <f>IF(L141="","",VLOOKUP($B141,'C-1 On-Site WaterC'' Baseline'!$C$9:$R$257,16,FALSE))</f>
        <v/>
      </c>
      <c r="N141" s="320" t="str">
        <f t="shared" si="16"/>
        <v/>
      </c>
      <c r="O141" s="362" t="str">
        <f t="shared" ref="O141:O204" si="18">IF(B141="","",IF(S141&lt;F141,"Error Trading Down ▲",E141&amp;" - "&amp;R141))</f>
        <v/>
      </c>
      <c r="P141" s="363" t="str">
        <f>IF(C141="","",IF(AND(LEFT(C141,55)&lt;&gt;LEFT(N141,55),O141="High - High"),"Error - Not like for like ▲",IF(H141&gt;U141,"Error - Can not reduce condition ▲",IF(AND(F141=S141,H141=U141,AJ141='C-1 On-Site WaterC'' Baseline'!N139,'C-1 On-Site WaterC'' Baseline'!P139=AL141),"Error - No enhancement ▲",IF(AND(C141&lt;&gt;N141,F141&lt;S141),"Lower Distinctiveness Habitat"&amp;" - "&amp;T141,G141&amp;" - "&amp;T141)))))</f>
        <v/>
      </c>
      <c r="Q141" s="425" t="str">
        <f>IF(N141="","",VLOOKUP(B141,'C-1 On-Site WaterC'' Baseline'!$C$10:$AB$257,19,FALSE))</f>
        <v/>
      </c>
      <c r="R141" s="362" t="str">
        <f>IF(N141="","",VLOOKUP(N141,'G-7 WaterC'' Data'!$B$2:$G$8,2,FALSE))</f>
        <v/>
      </c>
      <c r="S141" s="363" t="str">
        <f>IFERROR(VLOOKUP(R141,'G-7 WaterC'' Data'!$C$4:$D$8,2,FALSE),"")</f>
        <v/>
      </c>
      <c r="T141" s="114"/>
      <c r="U141" s="363" t="str">
        <f>IFERROR(INDEX('G-7 WaterC'' Data'!$H$4:$L$8,MATCH(N141,'G-7 WaterC'' Data'!$B$4:$B$8,0),MATCH(T141,'G-7 WaterC'' Data'!$H$3:$L$3,0)),"")</f>
        <v/>
      </c>
      <c r="V141" s="114"/>
      <c r="W141" s="370" t="str">
        <f>IF(V141="","",IF(VLOOKUP(V141,'G-7 WaterC'' Data'!$AK$4:$AM$6,2,FALSE)=0,"Spatial Data Missing ⚠",VLOOKUP(V141,'G-7 WaterC'' Data'!$AK$4:$AM$6,2,FALSE)))</f>
        <v/>
      </c>
      <c r="X141" s="363" t="str">
        <f>IF(V141="","",IF(VLOOKUP(V141,'G-7 WaterC'' Data'!$AK$4:$AM$6,3,FALSE)=0,"Spatial Data Missing ⚠",VLOOKUP(V141,'G-7 WaterC'' Data'!$AK$4:$AM$6,3,FALSE)))</f>
        <v/>
      </c>
      <c r="Y141" s="362" t="str">
        <f>IFERROR(IF(OR(LEFT(P141,5)="Error",LEFT(O141,5)="Error ▲"),"Check Data ⚠",IF(F141&lt;S141,'G-7 WaterC'' Data'!$R$3,INDEX('G-7 WaterC'' Data'!$U$5:$Y$9,MATCH(G141,'G-7 WaterC'' Data'!$T$5:$T$9,0),MATCH(T141,'G-7 WaterC'' Data'!$U$4:$Y$4,0)))),"")</f>
        <v/>
      </c>
      <c r="Z141" s="159"/>
      <c r="AA141" s="159"/>
      <c r="AB141" s="370" t="str">
        <f t="shared" ref="AB141:AB204" si="19">IF(Y141="","",IF(Y141="Check Data ⚠","Check Data ⚠",IF(AND(Z141&gt;0,AA141&gt;0),"Error -both advance and delayed habitat creation ▲",IF(AND(OR(Z141="Habitat already in target condition",Y141&lt;=Z141),AA141=0),"Check details - Is there evidence that habitat has reached target condition? ⚠",IF(Z141&gt;0,"Check details - Is there evidence habitat creation started/in place? ⚠",IF(AA141&gt;0,"Check details- Delay in starting habitat in required condition? ⚠","Standard time to target condition applied"))))))</f>
        <v/>
      </c>
      <c r="AC141" s="383" t="str">
        <f t="shared" ref="AC141:AC204" si="20">IF(AB141="Error -both advance and delayed habitat creation ▲","Check Data ⚠",IF(AB141="Check Data ⚠","Check Data ⚠",IF(Y141="","",IF(Z141="30+",0,IF(AA141="30+","30+ ⚠",IF(Y141+AA141&gt;30,"30+ ⚠",IF(Y141+AA141-Z141&gt;0,Y141+AA141-Z141,IF(Y141-Z141&lt;0,0,Y141+AA141-Z141))))))))</f>
        <v/>
      </c>
      <c r="AD141" s="422" t="str">
        <f>IFERROR(IF(AC141="Check Data ⚠","Check Data ⚠",VLOOKUP(AC141,'G-4 Temporal multipliers'!$A$4:$C$37,3,FALSE)),"")</f>
        <v/>
      </c>
      <c r="AE141" s="362" t="str">
        <f>IF(N141="","",VLOOKUP(N141,'G-7 WaterC'' Data'!$B$4:$G$8,5,FALSE))</f>
        <v/>
      </c>
      <c r="AF141" s="370" t="str">
        <f t="shared" ref="AF141:AF204" si="21">IF(N141="","",IF(AC141="Check Data ⚠","Check Data ⚠",IF(T141="","",IF($AB141="Check details - Is there evidence that habitat has reached target condition? ⚠","Low Difficulty - only applicable if all habitat created before losses ⚠","Standard difficulty applied"))))</f>
        <v/>
      </c>
      <c r="AG141" s="401" t="str">
        <f t="shared" ref="AG141:AG204" si="22">(IF(AND(AF141="Standard difficulty applied",Y141&gt;Z141),AE141,IF(AND(AF141="Low Difficulty - only applicable if all habitat created before losses ⚠",Z141&gt;=Y141),"Low",AE141)))</f>
        <v/>
      </c>
      <c r="AH141" s="363" t="str">
        <f t="shared" si="17"/>
        <v/>
      </c>
      <c r="AI141" s="122"/>
      <c r="AJ141" s="363" t="str">
        <f>IF(AI141="","",IF(VLOOKUP(AI141,'G-7 WaterC'' Data'!$AA$4:$AB$7,2,FALSE)=0,"Spatial Data Missing ⚠",VLOOKUP(AI141,'G-7 WaterC'' Data'!$AA$4:$AB$7,2,FALSE)))</f>
        <v/>
      </c>
      <c r="AK141" s="123"/>
      <c r="AL141" s="363" t="str">
        <f>IF(AK141="","",IF(VLOOKUP(AK141,'G-7 WaterC'' Data'!$AD$4:$AE$14,2,FALSE)=0,"Spatial Data Missing ⚠",VLOOKUP(AK141,'G-7 WaterC'' Data'!$AD$4:$AE$14,2,FALSE)))</f>
        <v/>
      </c>
      <c r="AM141" s="405" t="str">
        <f t="shared" si="15"/>
        <v/>
      </c>
      <c r="AN141" s="117"/>
      <c r="AO141" s="118"/>
      <c r="AP141" s="120"/>
      <c r="AV141" s="30" t="str">
        <f>IFERROR(INDEX('G-7 WaterC'' Data'!$AZ$3:$AZ$7,MATCH(N141,'G-7 WaterC'' Data'!$AY$3:$AY$7,0)),"")</f>
        <v/>
      </c>
    </row>
    <row r="142" spans="2:48" ht="15">
      <c r="B142" s="392" t="str">
        <f>'C-1 On-Site WaterC'' Baseline'!AO140</f>
        <v/>
      </c>
      <c r="C142" s="382" t="str">
        <f>IF(B142="","",VLOOKUP($B142,'C-1 On-Site WaterC'' Baseline'!$C$9:$R$257,2,FALSE))</f>
        <v/>
      </c>
      <c r="D142" s="382" t="str">
        <f>IF(C142="","",VLOOKUP($B142,'C-1 On-Site WaterC'' Baseline'!$C$9:$R$257,3,FALSE))</f>
        <v/>
      </c>
      <c r="E142" s="382" t="str">
        <f>IF(D142="","",VLOOKUP($B142,'C-1 On-Site WaterC'' Baseline'!$C$9:$R$257,4,FALSE))</f>
        <v/>
      </c>
      <c r="F142" s="382" t="str">
        <f>IF(E142="","",VLOOKUP($B142,'C-1 On-Site WaterC'' Baseline'!$C$9:$R$257,5,FALSE))</f>
        <v/>
      </c>
      <c r="G142" s="382" t="str">
        <f>IF(F142="","",VLOOKUP($B142,'C-1 On-Site WaterC'' Baseline'!$C$9:$R$257,6,FALSE))</f>
        <v/>
      </c>
      <c r="H142" s="382" t="str">
        <f>IF(G142="","",VLOOKUP($B142,'C-1 On-Site WaterC'' Baseline'!$C$9:$R$257,7,FALSE))</f>
        <v/>
      </c>
      <c r="I142" s="382" t="str">
        <f>IF(H142="","",VLOOKUP($B142,'C-1 On-Site WaterC'' Baseline'!$C$9:$R$257,8,FALSE))</f>
        <v/>
      </c>
      <c r="J142" s="382" t="str">
        <f>IF(I142="","",VLOOKUP($B142,'C-1 On-Site WaterC'' Baseline'!$C$9:$R$257,9,FALSE))</f>
        <v/>
      </c>
      <c r="K142" s="382" t="str">
        <f>IF(J142="","",VLOOKUP($B142,'C-1 On-Site WaterC'' Baseline'!$C$9:$R$257,10,FALSE))</f>
        <v/>
      </c>
      <c r="L142" s="382" t="str">
        <f>IF(B142="","",VLOOKUP($B142,'C-1 On-Site WaterC'' Baseline'!$C$9:$R$257,15,FALSE))</f>
        <v/>
      </c>
      <c r="M142" s="386" t="str">
        <f>IF(L142="","",VLOOKUP($B142,'C-1 On-Site WaterC'' Baseline'!$C$9:$R$257,16,FALSE))</f>
        <v/>
      </c>
      <c r="N142" s="320" t="str">
        <f t="shared" si="16"/>
        <v/>
      </c>
      <c r="O142" s="362" t="str">
        <f t="shared" si="18"/>
        <v/>
      </c>
      <c r="P142" s="363" t="str">
        <f>IF(C142="","",IF(AND(LEFT(C142,55)&lt;&gt;LEFT(N142,55),O142="High - High"),"Error - Not like for like ▲",IF(H142&gt;U142,"Error - Can not reduce condition ▲",IF(AND(F142=S142,H142=U142,AJ142='C-1 On-Site WaterC'' Baseline'!N140,'C-1 On-Site WaterC'' Baseline'!P140=AL142),"Error - No enhancement ▲",IF(AND(C142&lt;&gt;N142,F142&lt;S142),"Lower Distinctiveness Habitat"&amp;" - "&amp;T142,G142&amp;" - "&amp;T142)))))</f>
        <v/>
      </c>
      <c r="Q142" s="425" t="str">
        <f>IF(N142="","",VLOOKUP(B142,'C-1 On-Site WaterC'' Baseline'!$C$10:$AB$257,19,FALSE))</f>
        <v/>
      </c>
      <c r="R142" s="362" t="str">
        <f>IF(N142="","",VLOOKUP(N142,'G-7 WaterC'' Data'!$B$2:$G$8,2,FALSE))</f>
        <v/>
      </c>
      <c r="S142" s="363" t="str">
        <f>IFERROR(VLOOKUP(R142,'G-7 WaterC'' Data'!$C$4:$D$8,2,FALSE),"")</f>
        <v/>
      </c>
      <c r="T142" s="114"/>
      <c r="U142" s="363" t="str">
        <f>IFERROR(INDEX('G-7 WaterC'' Data'!$H$4:$L$8,MATCH(N142,'G-7 WaterC'' Data'!$B$4:$B$8,0),MATCH(T142,'G-7 WaterC'' Data'!$H$3:$L$3,0)),"")</f>
        <v/>
      </c>
      <c r="V142" s="114"/>
      <c r="W142" s="370" t="str">
        <f>IF(V142="","",IF(VLOOKUP(V142,'G-7 WaterC'' Data'!$AK$4:$AM$6,2,FALSE)=0,"Spatial Data Missing ⚠",VLOOKUP(V142,'G-7 WaterC'' Data'!$AK$4:$AM$6,2,FALSE)))</f>
        <v/>
      </c>
      <c r="X142" s="363" t="str">
        <f>IF(V142="","",IF(VLOOKUP(V142,'G-7 WaterC'' Data'!$AK$4:$AM$6,3,FALSE)=0,"Spatial Data Missing ⚠",VLOOKUP(V142,'G-7 WaterC'' Data'!$AK$4:$AM$6,3,FALSE)))</f>
        <v/>
      </c>
      <c r="Y142" s="362" t="str">
        <f>IFERROR(IF(OR(LEFT(P142,5)="Error",LEFT(O142,5)="Error ▲"),"Check Data ⚠",IF(F142&lt;S142,'G-7 WaterC'' Data'!$R$3,INDEX('G-7 WaterC'' Data'!$U$5:$Y$9,MATCH(G142,'G-7 WaterC'' Data'!$T$5:$T$9,0),MATCH(T142,'G-7 WaterC'' Data'!$U$4:$Y$4,0)))),"")</f>
        <v/>
      </c>
      <c r="Z142" s="159"/>
      <c r="AA142" s="159"/>
      <c r="AB142" s="370" t="str">
        <f t="shared" si="19"/>
        <v/>
      </c>
      <c r="AC142" s="383" t="str">
        <f t="shared" si="20"/>
        <v/>
      </c>
      <c r="AD142" s="422" t="str">
        <f>IFERROR(IF(AC142="Check Data ⚠","Check Data ⚠",VLOOKUP(AC142,'G-4 Temporal multipliers'!$A$4:$C$37,3,FALSE)),"")</f>
        <v/>
      </c>
      <c r="AE142" s="362" t="str">
        <f>IF(N142="","",VLOOKUP(N142,'G-7 WaterC'' Data'!$B$4:$G$8,5,FALSE))</f>
        <v/>
      </c>
      <c r="AF142" s="370" t="str">
        <f t="shared" si="21"/>
        <v/>
      </c>
      <c r="AG142" s="401" t="str">
        <f t="shared" si="22"/>
        <v/>
      </c>
      <c r="AH142" s="363" t="str">
        <f t="shared" si="17"/>
        <v/>
      </c>
      <c r="AI142" s="122"/>
      <c r="AJ142" s="363" t="str">
        <f>IF(AI142="","",IF(VLOOKUP(AI142,'G-7 WaterC'' Data'!$AA$4:$AB$7,2,FALSE)=0,"Spatial Data Missing ⚠",VLOOKUP(AI142,'G-7 WaterC'' Data'!$AA$4:$AB$7,2,FALSE)))</f>
        <v/>
      </c>
      <c r="AK142" s="123"/>
      <c r="AL142" s="363" t="str">
        <f>IF(AK142="","",IF(VLOOKUP(AK142,'G-7 WaterC'' Data'!$AD$4:$AE$14,2,FALSE)=0,"Spatial Data Missing ⚠",VLOOKUP(AK142,'G-7 WaterC'' Data'!$AD$4:$AE$14,2,FALSE)))</f>
        <v/>
      </c>
      <c r="AM142" s="405" t="str">
        <f t="shared" ref="AM142:AM205" si="23">IFERROR(IF(C142="","",IF(Q142&gt;D142,((((Q142*S142*U142)-(D142*F142*H142))*(AH142*AD142))+(D142*F142*H142))*(AL142*X142*AJ142),((((Q142*S142*U142)-(Q142*F142*H142))*(AH142*AD142))+(Q142*F142*H142))*(AL142*X142*AJ142))),"")</f>
        <v/>
      </c>
      <c r="AN142" s="117"/>
      <c r="AO142" s="118"/>
      <c r="AP142" s="120"/>
      <c r="AV142" s="30" t="str">
        <f>IFERROR(INDEX('G-7 WaterC'' Data'!$AZ$3:$AZ$7,MATCH(N142,'G-7 WaterC'' Data'!$AY$3:$AY$7,0)),"")</f>
        <v/>
      </c>
    </row>
    <row r="143" spans="2:48" ht="15">
      <c r="B143" s="392" t="str">
        <f>'C-1 On-Site WaterC'' Baseline'!AO141</f>
        <v/>
      </c>
      <c r="C143" s="382" t="str">
        <f>IF(B143="","",VLOOKUP($B143,'C-1 On-Site WaterC'' Baseline'!$C$9:$R$257,2,FALSE))</f>
        <v/>
      </c>
      <c r="D143" s="382" t="str">
        <f>IF(C143="","",VLOOKUP($B143,'C-1 On-Site WaterC'' Baseline'!$C$9:$R$257,3,FALSE))</f>
        <v/>
      </c>
      <c r="E143" s="382" t="str">
        <f>IF(D143="","",VLOOKUP($B143,'C-1 On-Site WaterC'' Baseline'!$C$9:$R$257,4,FALSE))</f>
        <v/>
      </c>
      <c r="F143" s="382" t="str">
        <f>IF(E143="","",VLOOKUP($B143,'C-1 On-Site WaterC'' Baseline'!$C$9:$R$257,5,FALSE))</f>
        <v/>
      </c>
      <c r="G143" s="382" t="str">
        <f>IF(F143="","",VLOOKUP($B143,'C-1 On-Site WaterC'' Baseline'!$C$9:$R$257,6,FALSE))</f>
        <v/>
      </c>
      <c r="H143" s="382" t="str">
        <f>IF(G143="","",VLOOKUP($B143,'C-1 On-Site WaterC'' Baseline'!$C$9:$R$257,7,FALSE))</f>
        <v/>
      </c>
      <c r="I143" s="382" t="str">
        <f>IF(H143="","",VLOOKUP($B143,'C-1 On-Site WaterC'' Baseline'!$C$9:$R$257,8,FALSE))</f>
        <v/>
      </c>
      <c r="J143" s="382" t="str">
        <f>IF(I143="","",VLOOKUP($B143,'C-1 On-Site WaterC'' Baseline'!$C$9:$R$257,9,FALSE))</f>
        <v/>
      </c>
      <c r="K143" s="382" t="str">
        <f>IF(J143="","",VLOOKUP($B143,'C-1 On-Site WaterC'' Baseline'!$C$9:$R$257,10,FALSE))</f>
        <v/>
      </c>
      <c r="L143" s="382" t="str">
        <f>IF(B143="","",VLOOKUP($B143,'C-1 On-Site WaterC'' Baseline'!$C$9:$R$257,15,FALSE))</f>
        <v/>
      </c>
      <c r="M143" s="386" t="str">
        <f>IF(L143="","",VLOOKUP($B143,'C-1 On-Site WaterC'' Baseline'!$C$9:$R$257,16,FALSE))</f>
        <v/>
      </c>
      <c r="N143" s="320" t="str">
        <f t="shared" si="16"/>
        <v/>
      </c>
      <c r="O143" s="362" t="str">
        <f t="shared" si="18"/>
        <v/>
      </c>
      <c r="P143" s="363" t="str">
        <f>IF(C143="","",IF(AND(LEFT(C143,55)&lt;&gt;LEFT(N143,55),O143="High - High"),"Error - Not like for like ▲",IF(H143&gt;U143,"Error - Can not reduce condition ▲",IF(AND(F143=S143,H143=U143,AJ143='C-1 On-Site WaterC'' Baseline'!N141,'C-1 On-Site WaterC'' Baseline'!P141=AL143),"Error - No enhancement ▲",IF(AND(C143&lt;&gt;N143,F143&lt;S143),"Lower Distinctiveness Habitat"&amp;" - "&amp;T143,G143&amp;" - "&amp;T143)))))</f>
        <v/>
      </c>
      <c r="Q143" s="425" t="str">
        <f>IF(N143="","",VLOOKUP(B143,'C-1 On-Site WaterC'' Baseline'!$C$10:$AB$257,19,FALSE))</f>
        <v/>
      </c>
      <c r="R143" s="362" t="str">
        <f>IF(N143="","",VLOOKUP(N143,'G-7 WaterC'' Data'!$B$2:$G$8,2,FALSE))</f>
        <v/>
      </c>
      <c r="S143" s="363" t="str">
        <f>IFERROR(VLOOKUP(R143,'G-7 WaterC'' Data'!$C$4:$D$8,2,FALSE),"")</f>
        <v/>
      </c>
      <c r="T143" s="114"/>
      <c r="U143" s="363" t="str">
        <f>IFERROR(INDEX('G-7 WaterC'' Data'!$H$4:$L$8,MATCH(N143,'G-7 WaterC'' Data'!$B$4:$B$8,0),MATCH(T143,'G-7 WaterC'' Data'!$H$3:$L$3,0)),"")</f>
        <v/>
      </c>
      <c r="V143" s="114"/>
      <c r="W143" s="370" t="str">
        <f>IF(V143="","",IF(VLOOKUP(V143,'G-7 WaterC'' Data'!$AK$4:$AM$6,2,FALSE)=0,"Spatial Data Missing ⚠",VLOOKUP(V143,'G-7 WaterC'' Data'!$AK$4:$AM$6,2,FALSE)))</f>
        <v/>
      </c>
      <c r="X143" s="363" t="str">
        <f>IF(V143="","",IF(VLOOKUP(V143,'G-7 WaterC'' Data'!$AK$4:$AM$6,3,FALSE)=0,"Spatial Data Missing ⚠",VLOOKUP(V143,'G-7 WaterC'' Data'!$AK$4:$AM$6,3,FALSE)))</f>
        <v/>
      </c>
      <c r="Y143" s="362" t="str">
        <f>IFERROR(IF(OR(LEFT(P143,5)="Error",LEFT(O143,5)="Error ▲"),"Check Data ⚠",IF(F143&lt;S143,'G-7 WaterC'' Data'!$R$3,INDEX('G-7 WaterC'' Data'!$U$5:$Y$9,MATCH(G143,'G-7 WaterC'' Data'!$T$5:$T$9,0),MATCH(T143,'G-7 WaterC'' Data'!$U$4:$Y$4,0)))),"")</f>
        <v/>
      </c>
      <c r="Z143" s="159"/>
      <c r="AA143" s="159"/>
      <c r="AB143" s="370" t="str">
        <f t="shared" si="19"/>
        <v/>
      </c>
      <c r="AC143" s="383" t="str">
        <f t="shared" si="20"/>
        <v/>
      </c>
      <c r="AD143" s="422" t="str">
        <f>IFERROR(IF(AC143="Check Data ⚠","Check Data ⚠",VLOOKUP(AC143,'G-4 Temporal multipliers'!$A$4:$C$37,3,FALSE)),"")</f>
        <v/>
      </c>
      <c r="AE143" s="362" t="str">
        <f>IF(N143="","",VLOOKUP(N143,'G-7 WaterC'' Data'!$B$4:$G$8,5,FALSE))</f>
        <v/>
      </c>
      <c r="AF143" s="370" t="str">
        <f t="shared" si="21"/>
        <v/>
      </c>
      <c r="AG143" s="401" t="str">
        <f t="shared" si="22"/>
        <v/>
      </c>
      <c r="AH143" s="363" t="str">
        <f t="shared" si="17"/>
        <v/>
      </c>
      <c r="AI143" s="122"/>
      <c r="AJ143" s="363" t="str">
        <f>IF(AI143="","",IF(VLOOKUP(AI143,'G-7 WaterC'' Data'!$AA$4:$AB$7,2,FALSE)=0,"Spatial Data Missing ⚠",VLOOKUP(AI143,'G-7 WaterC'' Data'!$AA$4:$AB$7,2,FALSE)))</f>
        <v/>
      </c>
      <c r="AK143" s="123"/>
      <c r="AL143" s="363" t="str">
        <f>IF(AK143="","",IF(VLOOKUP(AK143,'G-7 WaterC'' Data'!$AD$4:$AE$14,2,FALSE)=0,"Spatial Data Missing ⚠",VLOOKUP(AK143,'G-7 WaterC'' Data'!$AD$4:$AE$14,2,FALSE)))</f>
        <v/>
      </c>
      <c r="AM143" s="405" t="str">
        <f t="shared" si="23"/>
        <v/>
      </c>
      <c r="AN143" s="117"/>
      <c r="AO143" s="118"/>
      <c r="AP143" s="120"/>
      <c r="AV143" s="30" t="str">
        <f>IFERROR(INDEX('G-7 WaterC'' Data'!$AZ$3:$AZ$7,MATCH(N143,'G-7 WaterC'' Data'!$AY$3:$AY$7,0)),"")</f>
        <v/>
      </c>
    </row>
    <row r="144" spans="2:48" ht="15">
      <c r="B144" s="392" t="str">
        <f>'C-1 On-Site WaterC'' Baseline'!AO142</f>
        <v/>
      </c>
      <c r="C144" s="382" t="str">
        <f>IF(B144="","",VLOOKUP($B144,'C-1 On-Site WaterC'' Baseline'!$C$9:$R$257,2,FALSE))</f>
        <v/>
      </c>
      <c r="D144" s="382" t="str">
        <f>IF(C144="","",VLOOKUP($B144,'C-1 On-Site WaterC'' Baseline'!$C$9:$R$257,3,FALSE))</f>
        <v/>
      </c>
      <c r="E144" s="382" t="str">
        <f>IF(D144="","",VLOOKUP($B144,'C-1 On-Site WaterC'' Baseline'!$C$9:$R$257,4,FALSE))</f>
        <v/>
      </c>
      <c r="F144" s="382" t="str">
        <f>IF(E144="","",VLOOKUP($B144,'C-1 On-Site WaterC'' Baseline'!$C$9:$R$257,5,FALSE))</f>
        <v/>
      </c>
      <c r="G144" s="382" t="str">
        <f>IF(F144="","",VLOOKUP($B144,'C-1 On-Site WaterC'' Baseline'!$C$9:$R$257,6,FALSE))</f>
        <v/>
      </c>
      <c r="H144" s="382" t="str">
        <f>IF(G144="","",VLOOKUP($B144,'C-1 On-Site WaterC'' Baseline'!$C$9:$R$257,7,FALSE))</f>
        <v/>
      </c>
      <c r="I144" s="382" t="str">
        <f>IF(H144="","",VLOOKUP($B144,'C-1 On-Site WaterC'' Baseline'!$C$9:$R$257,8,FALSE))</f>
        <v/>
      </c>
      <c r="J144" s="382" t="str">
        <f>IF(I144="","",VLOOKUP($B144,'C-1 On-Site WaterC'' Baseline'!$C$9:$R$257,9,FALSE))</f>
        <v/>
      </c>
      <c r="K144" s="382" t="str">
        <f>IF(J144="","",VLOOKUP($B144,'C-1 On-Site WaterC'' Baseline'!$C$9:$R$257,10,FALSE))</f>
        <v/>
      </c>
      <c r="L144" s="382" t="str">
        <f>IF(B144="","",VLOOKUP($B144,'C-1 On-Site WaterC'' Baseline'!$C$9:$R$257,15,FALSE))</f>
        <v/>
      </c>
      <c r="M144" s="386" t="str">
        <f>IF(L144="","",VLOOKUP($B144,'C-1 On-Site WaterC'' Baseline'!$C$9:$R$257,16,FALSE))</f>
        <v/>
      </c>
      <c r="N144" s="320" t="str">
        <f t="shared" si="16"/>
        <v/>
      </c>
      <c r="O144" s="362" t="str">
        <f t="shared" si="18"/>
        <v/>
      </c>
      <c r="P144" s="363" t="str">
        <f>IF(C144="","",IF(AND(LEFT(C144,55)&lt;&gt;LEFT(N144,55),O144="High - High"),"Error - Not like for like ▲",IF(H144&gt;U144,"Error - Can not reduce condition ▲",IF(AND(F144=S144,H144=U144,AJ144='C-1 On-Site WaterC'' Baseline'!N142,'C-1 On-Site WaterC'' Baseline'!P142=AL144),"Error - No enhancement ▲",IF(AND(C144&lt;&gt;N144,F144&lt;S144),"Lower Distinctiveness Habitat"&amp;" - "&amp;T144,G144&amp;" - "&amp;T144)))))</f>
        <v/>
      </c>
      <c r="Q144" s="425" t="str">
        <f>IF(N144="","",VLOOKUP(B144,'C-1 On-Site WaterC'' Baseline'!$C$10:$AB$257,19,FALSE))</f>
        <v/>
      </c>
      <c r="R144" s="362" t="str">
        <f>IF(N144="","",VLOOKUP(N144,'G-7 WaterC'' Data'!$B$2:$G$8,2,FALSE))</f>
        <v/>
      </c>
      <c r="S144" s="363" t="str">
        <f>IFERROR(VLOOKUP(R144,'G-7 WaterC'' Data'!$C$4:$D$8,2,FALSE),"")</f>
        <v/>
      </c>
      <c r="T144" s="114"/>
      <c r="U144" s="363" t="str">
        <f>IFERROR(INDEX('G-7 WaterC'' Data'!$H$4:$L$8,MATCH(N144,'G-7 WaterC'' Data'!$B$4:$B$8,0),MATCH(T144,'G-7 WaterC'' Data'!$H$3:$L$3,0)),"")</f>
        <v/>
      </c>
      <c r="V144" s="114"/>
      <c r="W144" s="370" t="str">
        <f>IF(V144="","",IF(VLOOKUP(V144,'G-7 WaterC'' Data'!$AK$4:$AM$6,2,FALSE)=0,"Spatial Data Missing ⚠",VLOOKUP(V144,'G-7 WaterC'' Data'!$AK$4:$AM$6,2,FALSE)))</f>
        <v/>
      </c>
      <c r="X144" s="363" t="str">
        <f>IF(V144="","",IF(VLOOKUP(V144,'G-7 WaterC'' Data'!$AK$4:$AM$6,3,FALSE)=0,"Spatial Data Missing ⚠",VLOOKUP(V144,'G-7 WaterC'' Data'!$AK$4:$AM$6,3,FALSE)))</f>
        <v/>
      </c>
      <c r="Y144" s="362" t="str">
        <f>IFERROR(IF(OR(LEFT(P144,5)="Error",LEFT(O144,5)="Error ▲"),"Check Data ⚠",IF(F144&lt;S144,'G-7 WaterC'' Data'!$R$3,INDEX('G-7 WaterC'' Data'!$U$5:$Y$9,MATCH(G144,'G-7 WaterC'' Data'!$T$5:$T$9,0),MATCH(T144,'G-7 WaterC'' Data'!$U$4:$Y$4,0)))),"")</f>
        <v/>
      </c>
      <c r="Z144" s="159"/>
      <c r="AA144" s="159"/>
      <c r="AB144" s="370" t="str">
        <f t="shared" si="19"/>
        <v/>
      </c>
      <c r="AC144" s="383" t="str">
        <f t="shared" si="20"/>
        <v/>
      </c>
      <c r="AD144" s="422" t="str">
        <f>IFERROR(IF(AC144="Check Data ⚠","Check Data ⚠",VLOOKUP(AC144,'G-4 Temporal multipliers'!$A$4:$C$37,3,FALSE)),"")</f>
        <v/>
      </c>
      <c r="AE144" s="362" t="str">
        <f>IF(N144="","",VLOOKUP(N144,'G-7 WaterC'' Data'!$B$4:$G$8,5,FALSE))</f>
        <v/>
      </c>
      <c r="AF144" s="370" t="str">
        <f t="shared" si="21"/>
        <v/>
      </c>
      <c r="AG144" s="401" t="str">
        <f t="shared" si="22"/>
        <v/>
      </c>
      <c r="AH144" s="363" t="str">
        <f t="shared" si="17"/>
        <v/>
      </c>
      <c r="AI144" s="122"/>
      <c r="AJ144" s="363" t="str">
        <f>IF(AI144="","",IF(VLOOKUP(AI144,'G-7 WaterC'' Data'!$AA$4:$AB$7,2,FALSE)=0,"Spatial Data Missing ⚠",VLOOKUP(AI144,'G-7 WaterC'' Data'!$AA$4:$AB$7,2,FALSE)))</f>
        <v/>
      </c>
      <c r="AK144" s="123"/>
      <c r="AL144" s="363" t="str">
        <f>IF(AK144="","",IF(VLOOKUP(AK144,'G-7 WaterC'' Data'!$AD$4:$AE$14,2,FALSE)=0,"Spatial Data Missing ⚠",VLOOKUP(AK144,'G-7 WaterC'' Data'!$AD$4:$AE$14,2,FALSE)))</f>
        <v/>
      </c>
      <c r="AM144" s="405" t="str">
        <f t="shared" si="23"/>
        <v/>
      </c>
      <c r="AN144" s="117"/>
      <c r="AO144" s="118"/>
      <c r="AP144" s="120"/>
      <c r="AV144" s="30" t="str">
        <f>IFERROR(INDEX('G-7 WaterC'' Data'!$AZ$3:$AZ$7,MATCH(N144,'G-7 WaterC'' Data'!$AY$3:$AY$7,0)),"")</f>
        <v/>
      </c>
    </row>
    <row r="145" spans="2:48" ht="15">
      <c r="B145" s="392" t="str">
        <f>'C-1 On-Site WaterC'' Baseline'!AO143</f>
        <v/>
      </c>
      <c r="C145" s="382" t="str">
        <f>IF(B145="","",VLOOKUP($B145,'C-1 On-Site WaterC'' Baseline'!$C$9:$R$257,2,FALSE))</f>
        <v/>
      </c>
      <c r="D145" s="382" t="str">
        <f>IF(C145="","",VLOOKUP($B145,'C-1 On-Site WaterC'' Baseline'!$C$9:$R$257,3,FALSE))</f>
        <v/>
      </c>
      <c r="E145" s="382" t="str">
        <f>IF(D145="","",VLOOKUP($B145,'C-1 On-Site WaterC'' Baseline'!$C$9:$R$257,4,FALSE))</f>
        <v/>
      </c>
      <c r="F145" s="382" t="str">
        <f>IF(E145="","",VLOOKUP($B145,'C-1 On-Site WaterC'' Baseline'!$C$9:$R$257,5,FALSE))</f>
        <v/>
      </c>
      <c r="G145" s="382" t="str">
        <f>IF(F145="","",VLOOKUP($B145,'C-1 On-Site WaterC'' Baseline'!$C$9:$R$257,6,FALSE))</f>
        <v/>
      </c>
      <c r="H145" s="382" t="str">
        <f>IF(G145="","",VLOOKUP($B145,'C-1 On-Site WaterC'' Baseline'!$C$9:$R$257,7,FALSE))</f>
        <v/>
      </c>
      <c r="I145" s="382" t="str">
        <f>IF(H145="","",VLOOKUP($B145,'C-1 On-Site WaterC'' Baseline'!$C$9:$R$257,8,FALSE))</f>
        <v/>
      </c>
      <c r="J145" s="382" t="str">
        <f>IF(I145="","",VLOOKUP($B145,'C-1 On-Site WaterC'' Baseline'!$C$9:$R$257,9,FALSE))</f>
        <v/>
      </c>
      <c r="K145" s="382" t="str">
        <f>IF(J145="","",VLOOKUP($B145,'C-1 On-Site WaterC'' Baseline'!$C$9:$R$257,10,FALSE))</f>
        <v/>
      </c>
      <c r="L145" s="382" t="str">
        <f>IF(B145="","",VLOOKUP($B145,'C-1 On-Site WaterC'' Baseline'!$C$9:$R$257,15,FALSE))</f>
        <v/>
      </c>
      <c r="M145" s="386" t="str">
        <f>IF(L145="","",VLOOKUP($B145,'C-1 On-Site WaterC'' Baseline'!$C$9:$R$257,16,FALSE))</f>
        <v/>
      </c>
      <c r="N145" s="320" t="str">
        <f t="shared" si="16"/>
        <v/>
      </c>
      <c r="O145" s="362" t="str">
        <f t="shared" si="18"/>
        <v/>
      </c>
      <c r="P145" s="363" t="str">
        <f>IF(C145="","",IF(AND(LEFT(C145,55)&lt;&gt;LEFT(N145,55),O145="High - High"),"Error - Not like for like ▲",IF(H145&gt;U145,"Error - Can not reduce condition ▲",IF(AND(F145=S145,H145=U145,AJ145='C-1 On-Site WaterC'' Baseline'!N143,'C-1 On-Site WaterC'' Baseline'!P143=AL145),"Error - No enhancement ▲",IF(AND(C145&lt;&gt;N145,F145&lt;S145),"Lower Distinctiveness Habitat"&amp;" - "&amp;T145,G145&amp;" - "&amp;T145)))))</f>
        <v/>
      </c>
      <c r="Q145" s="425" t="str">
        <f>IF(N145="","",VLOOKUP(B145,'C-1 On-Site WaterC'' Baseline'!$C$10:$AB$257,19,FALSE))</f>
        <v/>
      </c>
      <c r="R145" s="362" t="str">
        <f>IF(N145="","",VLOOKUP(N145,'G-7 WaterC'' Data'!$B$2:$G$8,2,FALSE))</f>
        <v/>
      </c>
      <c r="S145" s="363" t="str">
        <f>IFERROR(VLOOKUP(R145,'G-7 WaterC'' Data'!$C$4:$D$8,2,FALSE),"")</f>
        <v/>
      </c>
      <c r="T145" s="114"/>
      <c r="U145" s="363" t="str">
        <f>IFERROR(INDEX('G-7 WaterC'' Data'!$H$4:$L$8,MATCH(N145,'G-7 WaterC'' Data'!$B$4:$B$8,0),MATCH(T145,'G-7 WaterC'' Data'!$H$3:$L$3,0)),"")</f>
        <v/>
      </c>
      <c r="V145" s="114"/>
      <c r="W145" s="370" t="str">
        <f>IF(V145="","",IF(VLOOKUP(V145,'G-7 WaterC'' Data'!$AK$4:$AM$6,2,FALSE)=0,"Spatial Data Missing ⚠",VLOOKUP(V145,'G-7 WaterC'' Data'!$AK$4:$AM$6,2,FALSE)))</f>
        <v/>
      </c>
      <c r="X145" s="363" t="str">
        <f>IF(V145="","",IF(VLOOKUP(V145,'G-7 WaterC'' Data'!$AK$4:$AM$6,3,FALSE)=0,"Spatial Data Missing ⚠",VLOOKUP(V145,'G-7 WaterC'' Data'!$AK$4:$AM$6,3,FALSE)))</f>
        <v/>
      </c>
      <c r="Y145" s="362" t="str">
        <f>IFERROR(IF(OR(LEFT(P145,5)="Error",LEFT(O145,5)="Error ▲"),"Check Data ⚠",IF(F145&lt;S145,'G-7 WaterC'' Data'!$R$3,INDEX('G-7 WaterC'' Data'!$U$5:$Y$9,MATCH(G145,'G-7 WaterC'' Data'!$T$5:$T$9,0),MATCH(T145,'G-7 WaterC'' Data'!$U$4:$Y$4,0)))),"")</f>
        <v/>
      </c>
      <c r="Z145" s="159"/>
      <c r="AA145" s="159"/>
      <c r="AB145" s="370" t="str">
        <f t="shared" si="19"/>
        <v/>
      </c>
      <c r="AC145" s="383" t="str">
        <f t="shared" si="20"/>
        <v/>
      </c>
      <c r="AD145" s="422" t="str">
        <f>IFERROR(IF(AC145="Check Data ⚠","Check Data ⚠",VLOOKUP(AC145,'G-4 Temporal multipliers'!$A$4:$C$37,3,FALSE)),"")</f>
        <v/>
      </c>
      <c r="AE145" s="362" t="str">
        <f>IF(N145="","",VLOOKUP(N145,'G-7 WaterC'' Data'!$B$4:$G$8,5,FALSE))</f>
        <v/>
      </c>
      <c r="AF145" s="370" t="str">
        <f t="shared" si="21"/>
        <v/>
      </c>
      <c r="AG145" s="401" t="str">
        <f t="shared" si="22"/>
        <v/>
      </c>
      <c r="AH145" s="363" t="str">
        <f t="shared" si="17"/>
        <v/>
      </c>
      <c r="AI145" s="122"/>
      <c r="AJ145" s="363" t="str">
        <f>IF(AI145="","",IF(VLOOKUP(AI145,'G-7 WaterC'' Data'!$AA$4:$AB$7,2,FALSE)=0,"Spatial Data Missing ⚠",VLOOKUP(AI145,'G-7 WaterC'' Data'!$AA$4:$AB$7,2,FALSE)))</f>
        <v/>
      </c>
      <c r="AK145" s="123"/>
      <c r="AL145" s="363" t="str">
        <f>IF(AK145="","",IF(VLOOKUP(AK145,'G-7 WaterC'' Data'!$AD$4:$AE$14,2,FALSE)=0,"Spatial Data Missing ⚠",VLOOKUP(AK145,'G-7 WaterC'' Data'!$AD$4:$AE$14,2,FALSE)))</f>
        <v/>
      </c>
      <c r="AM145" s="405" t="str">
        <f t="shared" si="23"/>
        <v/>
      </c>
      <c r="AN145" s="117"/>
      <c r="AO145" s="118"/>
      <c r="AP145" s="120"/>
      <c r="AV145" s="30" t="str">
        <f>IFERROR(INDEX('G-7 WaterC'' Data'!$AZ$3:$AZ$7,MATCH(N145,'G-7 WaterC'' Data'!$AY$3:$AY$7,0)),"")</f>
        <v/>
      </c>
    </row>
    <row r="146" spans="2:48" ht="15">
      <c r="B146" s="392" t="str">
        <f>'C-1 On-Site WaterC'' Baseline'!AO144</f>
        <v/>
      </c>
      <c r="C146" s="382" t="str">
        <f>IF(B146="","",VLOOKUP($B146,'C-1 On-Site WaterC'' Baseline'!$C$9:$R$257,2,FALSE))</f>
        <v/>
      </c>
      <c r="D146" s="382" t="str">
        <f>IF(C146="","",VLOOKUP($B146,'C-1 On-Site WaterC'' Baseline'!$C$9:$R$257,3,FALSE))</f>
        <v/>
      </c>
      <c r="E146" s="382" t="str">
        <f>IF(D146="","",VLOOKUP($B146,'C-1 On-Site WaterC'' Baseline'!$C$9:$R$257,4,FALSE))</f>
        <v/>
      </c>
      <c r="F146" s="382" t="str">
        <f>IF(E146="","",VLOOKUP($B146,'C-1 On-Site WaterC'' Baseline'!$C$9:$R$257,5,FALSE))</f>
        <v/>
      </c>
      <c r="G146" s="382" t="str">
        <f>IF(F146="","",VLOOKUP($B146,'C-1 On-Site WaterC'' Baseline'!$C$9:$R$257,6,FALSE))</f>
        <v/>
      </c>
      <c r="H146" s="382" t="str">
        <f>IF(G146="","",VLOOKUP($B146,'C-1 On-Site WaterC'' Baseline'!$C$9:$R$257,7,FALSE))</f>
        <v/>
      </c>
      <c r="I146" s="382" t="str">
        <f>IF(H146="","",VLOOKUP($B146,'C-1 On-Site WaterC'' Baseline'!$C$9:$R$257,8,FALSE))</f>
        <v/>
      </c>
      <c r="J146" s="382" t="str">
        <f>IF(I146="","",VLOOKUP($B146,'C-1 On-Site WaterC'' Baseline'!$C$9:$R$257,9,FALSE))</f>
        <v/>
      </c>
      <c r="K146" s="382" t="str">
        <f>IF(J146="","",VLOOKUP($B146,'C-1 On-Site WaterC'' Baseline'!$C$9:$R$257,10,FALSE))</f>
        <v/>
      </c>
      <c r="L146" s="382" t="str">
        <f>IF(B146="","",VLOOKUP($B146,'C-1 On-Site WaterC'' Baseline'!$C$9:$R$257,15,FALSE))</f>
        <v/>
      </c>
      <c r="M146" s="386" t="str">
        <f>IF(L146="","",VLOOKUP($B146,'C-1 On-Site WaterC'' Baseline'!$C$9:$R$257,16,FALSE))</f>
        <v/>
      </c>
      <c r="N146" s="320" t="str">
        <f t="shared" si="16"/>
        <v/>
      </c>
      <c r="O146" s="362" t="str">
        <f t="shared" si="18"/>
        <v/>
      </c>
      <c r="P146" s="363" t="str">
        <f>IF(C146="","",IF(AND(LEFT(C146,55)&lt;&gt;LEFT(N146,55),O146="High - High"),"Error - Not like for like ▲",IF(H146&gt;U146,"Error - Can not reduce condition ▲",IF(AND(F146=S146,H146=U146,AJ146='C-1 On-Site WaterC'' Baseline'!N144,'C-1 On-Site WaterC'' Baseline'!P144=AL146),"Error - No enhancement ▲",IF(AND(C146&lt;&gt;N146,F146&lt;S146),"Lower Distinctiveness Habitat"&amp;" - "&amp;T146,G146&amp;" - "&amp;T146)))))</f>
        <v/>
      </c>
      <c r="Q146" s="425" t="str">
        <f>IF(N146="","",VLOOKUP(B146,'C-1 On-Site WaterC'' Baseline'!$C$10:$AB$257,19,FALSE))</f>
        <v/>
      </c>
      <c r="R146" s="362" t="str">
        <f>IF(N146="","",VLOOKUP(N146,'G-7 WaterC'' Data'!$B$2:$G$8,2,FALSE))</f>
        <v/>
      </c>
      <c r="S146" s="363" t="str">
        <f>IFERROR(VLOOKUP(R146,'G-7 WaterC'' Data'!$C$4:$D$8,2,FALSE),"")</f>
        <v/>
      </c>
      <c r="T146" s="114"/>
      <c r="U146" s="363" t="str">
        <f>IFERROR(INDEX('G-7 WaterC'' Data'!$H$4:$L$8,MATCH(N146,'G-7 WaterC'' Data'!$B$4:$B$8,0),MATCH(T146,'G-7 WaterC'' Data'!$H$3:$L$3,0)),"")</f>
        <v/>
      </c>
      <c r="V146" s="114"/>
      <c r="W146" s="370" t="str">
        <f>IF(V146="","",IF(VLOOKUP(V146,'G-7 WaterC'' Data'!$AK$4:$AM$6,2,FALSE)=0,"Spatial Data Missing ⚠",VLOOKUP(V146,'G-7 WaterC'' Data'!$AK$4:$AM$6,2,FALSE)))</f>
        <v/>
      </c>
      <c r="X146" s="363" t="str">
        <f>IF(V146="","",IF(VLOOKUP(V146,'G-7 WaterC'' Data'!$AK$4:$AM$6,3,FALSE)=0,"Spatial Data Missing ⚠",VLOOKUP(V146,'G-7 WaterC'' Data'!$AK$4:$AM$6,3,FALSE)))</f>
        <v/>
      </c>
      <c r="Y146" s="362" t="str">
        <f>IFERROR(IF(OR(LEFT(P146,5)="Error",LEFT(O146,5)="Error ▲"),"Check Data ⚠",IF(F146&lt;S146,'G-7 WaterC'' Data'!$R$3,INDEX('G-7 WaterC'' Data'!$U$5:$Y$9,MATCH(G146,'G-7 WaterC'' Data'!$T$5:$T$9,0),MATCH(T146,'G-7 WaterC'' Data'!$U$4:$Y$4,0)))),"")</f>
        <v/>
      </c>
      <c r="Z146" s="159"/>
      <c r="AA146" s="159"/>
      <c r="AB146" s="370" t="str">
        <f t="shared" si="19"/>
        <v/>
      </c>
      <c r="AC146" s="383" t="str">
        <f t="shared" si="20"/>
        <v/>
      </c>
      <c r="AD146" s="422" t="str">
        <f>IFERROR(IF(AC146="Check Data ⚠","Check Data ⚠",VLOOKUP(AC146,'G-4 Temporal multipliers'!$A$4:$C$37,3,FALSE)),"")</f>
        <v/>
      </c>
      <c r="AE146" s="362" t="str">
        <f>IF(N146="","",VLOOKUP(N146,'G-7 WaterC'' Data'!$B$4:$G$8,5,FALSE))</f>
        <v/>
      </c>
      <c r="AF146" s="370" t="str">
        <f t="shared" si="21"/>
        <v/>
      </c>
      <c r="AG146" s="401" t="str">
        <f t="shared" si="22"/>
        <v/>
      </c>
      <c r="AH146" s="363" t="str">
        <f t="shared" si="17"/>
        <v/>
      </c>
      <c r="AI146" s="122"/>
      <c r="AJ146" s="363" t="str">
        <f>IF(AI146="","",IF(VLOOKUP(AI146,'G-7 WaterC'' Data'!$AA$4:$AB$7,2,FALSE)=0,"Spatial Data Missing ⚠",VLOOKUP(AI146,'G-7 WaterC'' Data'!$AA$4:$AB$7,2,FALSE)))</f>
        <v/>
      </c>
      <c r="AK146" s="123"/>
      <c r="AL146" s="363" t="str">
        <f>IF(AK146="","",IF(VLOOKUP(AK146,'G-7 WaterC'' Data'!$AD$4:$AE$14,2,FALSE)=0,"Spatial Data Missing ⚠",VLOOKUP(AK146,'G-7 WaterC'' Data'!$AD$4:$AE$14,2,FALSE)))</f>
        <v/>
      </c>
      <c r="AM146" s="405" t="str">
        <f t="shared" si="23"/>
        <v/>
      </c>
      <c r="AN146" s="117"/>
      <c r="AO146" s="118"/>
      <c r="AP146" s="120"/>
      <c r="AV146" s="30" t="str">
        <f>IFERROR(INDEX('G-7 WaterC'' Data'!$AZ$3:$AZ$7,MATCH(N146,'G-7 WaterC'' Data'!$AY$3:$AY$7,0)),"")</f>
        <v/>
      </c>
    </row>
    <row r="147" spans="2:48" ht="15">
      <c r="B147" s="392" t="str">
        <f>'C-1 On-Site WaterC'' Baseline'!AO145</f>
        <v/>
      </c>
      <c r="C147" s="382" t="str">
        <f>IF(B147="","",VLOOKUP($B147,'C-1 On-Site WaterC'' Baseline'!$C$9:$R$257,2,FALSE))</f>
        <v/>
      </c>
      <c r="D147" s="382" t="str">
        <f>IF(C147="","",VLOOKUP($B147,'C-1 On-Site WaterC'' Baseline'!$C$9:$R$257,3,FALSE))</f>
        <v/>
      </c>
      <c r="E147" s="382" t="str">
        <f>IF(D147="","",VLOOKUP($B147,'C-1 On-Site WaterC'' Baseline'!$C$9:$R$257,4,FALSE))</f>
        <v/>
      </c>
      <c r="F147" s="382" t="str">
        <f>IF(E147="","",VLOOKUP($B147,'C-1 On-Site WaterC'' Baseline'!$C$9:$R$257,5,FALSE))</f>
        <v/>
      </c>
      <c r="G147" s="382" t="str">
        <f>IF(F147="","",VLOOKUP($B147,'C-1 On-Site WaterC'' Baseline'!$C$9:$R$257,6,FALSE))</f>
        <v/>
      </c>
      <c r="H147" s="382" t="str">
        <f>IF(G147="","",VLOOKUP($B147,'C-1 On-Site WaterC'' Baseline'!$C$9:$R$257,7,FALSE))</f>
        <v/>
      </c>
      <c r="I147" s="382" t="str">
        <f>IF(H147="","",VLOOKUP($B147,'C-1 On-Site WaterC'' Baseline'!$C$9:$R$257,8,FALSE))</f>
        <v/>
      </c>
      <c r="J147" s="382" t="str">
        <f>IF(I147="","",VLOOKUP($B147,'C-1 On-Site WaterC'' Baseline'!$C$9:$R$257,9,FALSE))</f>
        <v/>
      </c>
      <c r="K147" s="382" t="str">
        <f>IF(J147="","",VLOOKUP($B147,'C-1 On-Site WaterC'' Baseline'!$C$9:$R$257,10,FALSE))</f>
        <v/>
      </c>
      <c r="L147" s="382" t="str">
        <f>IF(B147="","",VLOOKUP($B147,'C-1 On-Site WaterC'' Baseline'!$C$9:$R$257,15,FALSE))</f>
        <v/>
      </c>
      <c r="M147" s="386" t="str">
        <f>IF(L147="","",VLOOKUP($B147,'C-1 On-Site WaterC'' Baseline'!$C$9:$R$257,16,FALSE))</f>
        <v/>
      </c>
      <c r="N147" s="320" t="str">
        <f t="shared" si="16"/>
        <v/>
      </c>
      <c r="O147" s="362" t="str">
        <f t="shared" si="18"/>
        <v/>
      </c>
      <c r="P147" s="363" t="str">
        <f>IF(C147="","",IF(AND(LEFT(C147,55)&lt;&gt;LEFT(N147,55),O147="High - High"),"Error - Not like for like ▲",IF(H147&gt;U147,"Error - Can not reduce condition ▲",IF(AND(F147=S147,H147=U147,AJ147='C-1 On-Site WaterC'' Baseline'!N145,'C-1 On-Site WaterC'' Baseline'!P145=AL147),"Error - No enhancement ▲",IF(AND(C147&lt;&gt;N147,F147&lt;S147),"Lower Distinctiveness Habitat"&amp;" - "&amp;T147,G147&amp;" - "&amp;T147)))))</f>
        <v/>
      </c>
      <c r="Q147" s="425" t="str">
        <f>IF(N147="","",VLOOKUP(B147,'C-1 On-Site WaterC'' Baseline'!$C$10:$AB$257,19,FALSE))</f>
        <v/>
      </c>
      <c r="R147" s="362" t="str">
        <f>IF(N147="","",VLOOKUP(N147,'G-7 WaterC'' Data'!$B$2:$G$8,2,FALSE))</f>
        <v/>
      </c>
      <c r="S147" s="363" t="str">
        <f>IFERROR(VLOOKUP(R147,'G-7 WaterC'' Data'!$C$4:$D$8,2,FALSE),"")</f>
        <v/>
      </c>
      <c r="T147" s="114"/>
      <c r="U147" s="363" t="str">
        <f>IFERROR(INDEX('G-7 WaterC'' Data'!$H$4:$L$8,MATCH(N147,'G-7 WaterC'' Data'!$B$4:$B$8,0),MATCH(T147,'G-7 WaterC'' Data'!$H$3:$L$3,0)),"")</f>
        <v/>
      </c>
      <c r="V147" s="114"/>
      <c r="W147" s="370" t="str">
        <f>IF(V147="","",IF(VLOOKUP(V147,'G-7 WaterC'' Data'!$AK$4:$AM$6,2,FALSE)=0,"Spatial Data Missing ⚠",VLOOKUP(V147,'G-7 WaterC'' Data'!$AK$4:$AM$6,2,FALSE)))</f>
        <v/>
      </c>
      <c r="X147" s="363" t="str">
        <f>IF(V147="","",IF(VLOOKUP(V147,'G-7 WaterC'' Data'!$AK$4:$AM$6,3,FALSE)=0,"Spatial Data Missing ⚠",VLOOKUP(V147,'G-7 WaterC'' Data'!$AK$4:$AM$6,3,FALSE)))</f>
        <v/>
      </c>
      <c r="Y147" s="362" t="str">
        <f>IFERROR(IF(OR(LEFT(P147,5)="Error",LEFT(O147,5)="Error ▲"),"Check Data ⚠",IF(F147&lt;S147,'G-7 WaterC'' Data'!$R$3,INDEX('G-7 WaterC'' Data'!$U$5:$Y$9,MATCH(G147,'G-7 WaterC'' Data'!$T$5:$T$9,0),MATCH(T147,'G-7 WaterC'' Data'!$U$4:$Y$4,0)))),"")</f>
        <v/>
      </c>
      <c r="Z147" s="159"/>
      <c r="AA147" s="159"/>
      <c r="AB147" s="370" t="str">
        <f t="shared" si="19"/>
        <v/>
      </c>
      <c r="AC147" s="383" t="str">
        <f t="shared" si="20"/>
        <v/>
      </c>
      <c r="AD147" s="422" t="str">
        <f>IFERROR(IF(AC147="Check Data ⚠","Check Data ⚠",VLOOKUP(AC147,'G-4 Temporal multipliers'!$A$4:$C$37,3,FALSE)),"")</f>
        <v/>
      </c>
      <c r="AE147" s="362" t="str">
        <f>IF(N147="","",VLOOKUP(N147,'G-7 WaterC'' Data'!$B$4:$G$8,5,FALSE))</f>
        <v/>
      </c>
      <c r="AF147" s="370" t="str">
        <f t="shared" si="21"/>
        <v/>
      </c>
      <c r="AG147" s="401" t="str">
        <f t="shared" si="22"/>
        <v/>
      </c>
      <c r="AH147" s="363" t="str">
        <f t="shared" si="17"/>
        <v/>
      </c>
      <c r="AI147" s="122"/>
      <c r="AJ147" s="363" t="str">
        <f>IF(AI147="","",IF(VLOOKUP(AI147,'G-7 WaterC'' Data'!$AA$4:$AB$7,2,FALSE)=0,"Spatial Data Missing ⚠",VLOOKUP(AI147,'G-7 WaterC'' Data'!$AA$4:$AB$7,2,FALSE)))</f>
        <v/>
      </c>
      <c r="AK147" s="123"/>
      <c r="AL147" s="363" t="str">
        <f>IF(AK147="","",IF(VLOOKUP(AK147,'G-7 WaterC'' Data'!$AD$4:$AE$14,2,FALSE)=0,"Spatial Data Missing ⚠",VLOOKUP(AK147,'G-7 WaterC'' Data'!$AD$4:$AE$14,2,FALSE)))</f>
        <v/>
      </c>
      <c r="AM147" s="405" t="str">
        <f t="shared" si="23"/>
        <v/>
      </c>
      <c r="AN147" s="117"/>
      <c r="AO147" s="118"/>
      <c r="AP147" s="120"/>
      <c r="AV147" s="30" t="str">
        <f>IFERROR(INDEX('G-7 WaterC'' Data'!$AZ$3:$AZ$7,MATCH(N147,'G-7 WaterC'' Data'!$AY$3:$AY$7,0)),"")</f>
        <v/>
      </c>
    </row>
    <row r="148" spans="2:48" ht="15">
      <c r="B148" s="392" t="str">
        <f>'C-1 On-Site WaterC'' Baseline'!AO146</f>
        <v/>
      </c>
      <c r="C148" s="382" t="str">
        <f>IF(B148="","",VLOOKUP($B148,'C-1 On-Site WaterC'' Baseline'!$C$9:$R$257,2,FALSE))</f>
        <v/>
      </c>
      <c r="D148" s="382" t="str">
        <f>IF(C148="","",VLOOKUP($B148,'C-1 On-Site WaterC'' Baseline'!$C$9:$R$257,3,FALSE))</f>
        <v/>
      </c>
      <c r="E148" s="382" t="str">
        <f>IF(D148="","",VLOOKUP($B148,'C-1 On-Site WaterC'' Baseline'!$C$9:$R$257,4,FALSE))</f>
        <v/>
      </c>
      <c r="F148" s="382" t="str">
        <f>IF(E148="","",VLOOKUP($B148,'C-1 On-Site WaterC'' Baseline'!$C$9:$R$257,5,FALSE))</f>
        <v/>
      </c>
      <c r="G148" s="382" t="str">
        <f>IF(F148="","",VLOOKUP($B148,'C-1 On-Site WaterC'' Baseline'!$C$9:$R$257,6,FALSE))</f>
        <v/>
      </c>
      <c r="H148" s="382" t="str">
        <f>IF(G148="","",VLOOKUP($B148,'C-1 On-Site WaterC'' Baseline'!$C$9:$R$257,7,FALSE))</f>
        <v/>
      </c>
      <c r="I148" s="382" t="str">
        <f>IF(H148="","",VLOOKUP($B148,'C-1 On-Site WaterC'' Baseline'!$C$9:$R$257,8,FALSE))</f>
        <v/>
      </c>
      <c r="J148" s="382" t="str">
        <f>IF(I148="","",VLOOKUP($B148,'C-1 On-Site WaterC'' Baseline'!$C$9:$R$257,9,FALSE))</f>
        <v/>
      </c>
      <c r="K148" s="382" t="str">
        <f>IF(J148="","",VLOOKUP($B148,'C-1 On-Site WaterC'' Baseline'!$C$9:$R$257,10,FALSE))</f>
        <v/>
      </c>
      <c r="L148" s="382" t="str">
        <f>IF(B148="","",VLOOKUP($B148,'C-1 On-Site WaterC'' Baseline'!$C$9:$R$257,15,FALSE))</f>
        <v/>
      </c>
      <c r="M148" s="386" t="str">
        <f>IF(L148="","",VLOOKUP($B148,'C-1 On-Site WaterC'' Baseline'!$C$9:$R$257,16,FALSE))</f>
        <v/>
      </c>
      <c r="N148" s="320" t="str">
        <f t="shared" si="16"/>
        <v/>
      </c>
      <c r="O148" s="362" t="str">
        <f t="shared" si="18"/>
        <v/>
      </c>
      <c r="P148" s="363" t="str">
        <f>IF(C148="","",IF(AND(LEFT(C148,55)&lt;&gt;LEFT(N148,55),O148="High - High"),"Error - Not like for like ▲",IF(H148&gt;U148,"Error - Can not reduce condition ▲",IF(AND(F148=S148,H148=U148,AJ148='C-1 On-Site WaterC'' Baseline'!N146,'C-1 On-Site WaterC'' Baseline'!P146=AL148),"Error - No enhancement ▲",IF(AND(C148&lt;&gt;N148,F148&lt;S148),"Lower Distinctiveness Habitat"&amp;" - "&amp;T148,G148&amp;" - "&amp;T148)))))</f>
        <v/>
      </c>
      <c r="Q148" s="425" t="str">
        <f>IF(N148="","",VLOOKUP(B148,'C-1 On-Site WaterC'' Baseline'!$C$10:$AB$257,19,FALSE))</f>
        <v/>
      </c>
      <c r="R148" s="362" t="str">
        <f>IF(N148="","",VLOOKUP(N148,'G-7 WaterC'' Data'!$B$2:$G$8,2,FALSE))</f>
        <v/>
      </c>
      <c r="S148" s="363" t="str">
        <f>IFERROR(VLOOKUP(R148,'G-7 WaterC'' Data'!$C$4:$D$8,2,FALSE),"")</f>
        <v/>
      </c>
      <c r="T148" s="114"/>
      <c r="U148" s="363" t="str">
        <f>IFERROR(INDEX('G-7 WaterC'' Data'!$H$4:$L$8,MATCH(N148,'G-7 WaterC'' Data'!$B$4:$B$8,0),MATCH(T148,'G-7 WaterC'' Data'!$H$3:$L$3,0)),"")</f>
        <v/>
      </c>
      <c r="V148" s="114"/>
      <c r="W148" s="370" t="str">
        <f>IF(V148="","",IF(VLOOKUP(V148,'G-7 WaterC'' Data'!$AK$4:$AM$6,2,FALSE)=0,"Spatial Data Missing ⚠",VLOOKUP(V148,'G-7 WaterC'' Data'!$AK$4:$AM$6,2,FALSE)))</f>
        <v/>
      </c>
      <c r="X148" s="363" t="str">
        <f>IF(V148="","",IF(VLOOKUP(V148,'G-7 WaterC'' Data'!$AK$4:$AM$6,3,FALSE)=0,"Spatial Data Missing ⚠",VLOOKUP(V148,'G-7 WaterC'' Data'!$AK$4:$AM$6,3,FALSE)))</f>
        <v/>
      </c>
      <c r="Y148" s="362" t="str">
        <f>IFERROR(IF(OR(LEFT(P148,5)="Error",LEFT(O148,5)="Error ▲"),"Check Data ⚠",IF(F148&lt;S148,'G-7 WaterC'' Data'!$R$3,INDEX('G-7 WaterC'' Data'!$U$5:$Y$9,MATCH(G148,'G-7 WaterC'' Data'!$T$5:$T$9,0),MATCH(T148,'G-7 WaterC'' Data'!$U$4:$Y$4,0)))),"")</f>
        <v/>
      </c>
      <c r="Z148" s="159"/>
      <c r="AA148" s="159"/>
      <c r="AB148" s="370" t="str">
        <f t="shared" si="19"/>
        <v/>
      </c>
      <c r="AC148" s="383" t="str">
        <f t="shared" si="20"/>
        <v/>
      </c>
      <c r="AD148" s="422" t="str">
        <f>IFERROR(IF(AC148="Check Data ⚠","Check Data ⚠",VLOOKUP(AC148,'G-4 Temporal multipliers'!$A$4:$C$37,3,FALSE)),"")</f>
        <v/>
      </c>
      <c r="AE148" s="362" t="str">
        <f>IF(N148="","",VLOOKUP(N148,'G-7 WaterC'' Data'!$B$4:$G$8,5,FALSE))</f>
        <v/>
      </c>
      <c r="AF148" s="370" t="str">
        <f t="shared" si="21"/>
        <v/>
      </c>
      <c r="AG148" s="401" t="str">
        <f t="shared" si="22"/>
        <v/>
      </c>
      <c r="AH148" s="363" t="str">
        <f t="shared" si="17"/>
        <v/>
      </c>
      <c r="AI148" s="122"/>
      <c r="AJ148" s="363" t="str">
        <f>IF(AI148="","",IF(VLOOKUP(AI148,'G-7 WaterC'' Data'!$AA$4:$AB$7,2,FALSE)=0,"Spatial Data Missing ⚠",VLOOKUP(AI148,'G-7 WaterC'' Data'!$AA$4:$AB$7,2,FALSE)))</f>
        <v/>
      </c>
      <c r="AK148" s="123"/>
      <c r="AL148" s="363" t="str">
        <f>IF(AK148="","",IF(VLOOKUP(AK148,'G-7 WaterC'' Data'!$AD$4:$AE$14,2,FALSE)=0,"Spatial Data Missing ⚠",VLOOKUP(AK148,'G-7 WaterC'' Data'!$AD$4:$AE$14,2,FALSE)))</f>
        <v/>
      </c>
      <c r="AM148" s="405" t="str">
        <f t="shared" si="23"/>
        <v/>
      </c>
      <c r="AN148" s="117"/>
      <c r="AO148" s="118"/>
      <c r="AP148" s="120"/>
      <c r="AV148" s="30" t="str">
        <f>IFERROR(INDEX('G-7 WaterC'' Data'!$AZ$3:$AZ$7,MATCH(N148,'G-7 WaterC'' Data'!$AY$3:$AY$7,0)),"")</f>
        <v/>
      </c>
    </row>
    <row r="149" spans="2:48" ht="15">
      <c r="B149" s="392" t="str">
        <f>'C-1 On-Site WaterC'' Baseline'!AO147</f>
        <v/>
      </c>
      <c r="C149" s="382" t="str">
        <f>IF(B149="","",VLOOKUP($B149,'C-1 On-Site WaterC'' Baseline'!$C$9:$R$257,2,FALSE))</f>
        <v/>
      </c>
      <c r="D149" s="382" t="str">
        <f>IF(C149="","",VLOOKUP($B149,'C-1 On-Site WaterC'' Baseline'!$C$9:$R$257,3,FALSE))</f>
        <v/>
      </c>
      <c r="E149" s="382" t="str">
        <f>IF(D149="","",VLOOKUP($B149,'C-1 On-Site WaterC'' Baseline'!$C$9:$R$257,4,FALSE))</f>
        <v/>
      </c>
      <c r="F149" s="382" t="str">
        <f>IF(E149="","",VLOOKUP($B149,'C-1 On-Site WaterC'' Baseline'!$C$9:$R$257,5,FALSE))</f>
        <v/>
      </c>
      <c r="G149" s="382" t="str">
        <f>IF(F149="","",VLOOKUP($B149,'C-1 On-Site WaterC'' Baseline'!$C$9:$R$257,6,FALSE))</f>
        <v/>
      </c>
      <c r="H149" s="382" t="str">
        <f>IF(G149="","",VLOOKUP($B149,'C-1 On-Site WaterC'' Baseline'!$C$9:$R$257,7,FALSE))</f>
        <v/>
      </c>
      <c r="I149" s="382" t="str">
        <f>IF(H149="","",VLOOKUP($B149,'C-1 On-Site WaterC'' Baseline'!$C$9:$R$257,8,FALSE))</f>
        <v/>
      </c>
      <c r="J149" s="382" t="str">
        <f>IF(I149="","",VLOOKUP($B149,'C-1 On-Site WaterC'' Baseline'!$C$9:$R$257,9,FALSE))</f>
        <v/>
      </c>
      <c r="K149" s="382" t="str">
        <f>IF(J149="","",VLOOKUP($B149,'C-1 On-Site WaterC'' Baseline'!$C$9:$R$257,10,FALSE))</f>
        <v/>
      </c>
      <c r="L149" s="382" t="str">
        <f>IF(B149="","",VLOOKUP($B149,'C-1 On-Site WaterC'' Baseline'!$C$9:$R$257,15,FALSE))</f>
        <v/>
      </c>
      <c r="M149" s="386" t="str">
        <f>IF(L149="","",VLOOKUP($B149,'C-1 On-Site WaterC'' Baseline'!$C$9:$R$257,16,FALSE))</f>
        <v/>
      </c>
      <c r="N149" s="320" t="str">
        <f t="shared" si="16"/>
        <v/>
      </c>
      <c r="O149" s="362" t="str">
        <f t="shared" si="18"/>
        <v/>
      </c>
      <c r="P149" s="363" t="str">
        <f>IF(C149="","",IF(AND(LEFT(C149,55)&lt;&gt;LEFT(N149,55),O149="High - High"),"Error - Not like for like ▲",IF(H149&gt;U149,"Error - Can not reduce condition ▲",IF(AND(F149=S149,H149=U149,AJ149='C-1 On-Site WaterC'' Baseline'!N147,'C-1 On-Site WaterC'' Baseline'!P147=AL149),"Error - No enhancement ▲",IF(AND(C149&lt;&gt;N149,F149&lt;S149),"Lower Distinctiveness Habitat"&amp;" - "&amp;T149,G149&amp;" - "&amp;T149)))))</f>
        <v/>
      </c>
      <c r="Q149" s="425" t="str">
        <f>IF(N149="","",VLOOKUP(B149,'C-1 On-Site WaterC'' Baseline'!$C$10:$AB$257,19,FALSE))</f>
        <v/>
      </c>
      <c r="R149" s="362" t="str">
        <f>IF(N149="","",VLOOKUP(N149,'G-7 WaterC'' Data'!$B$2:$G$8,2,FALSE))</f>
        <v/>
      </c>
      <c r="S149" s="363" t="str">
        <f>IFERROR(VLOOKUP(R149,'G-7 WaterC'' Data'!$C$4:$D$8,2,FALSE),"")</f>
        <v/>
      </c>
      <c r="T149" s="114"/>
      <c r="U149" s="363" t="str">
        <f>IFERROR(INDEX('G-7 WaterC'' Data'!$H$4:$L$8,MATCH(N149,'G-7 WaterC'' Data'!$B$4:$B$8,0),MATCH(T149,'G-7 WaterC'' Data'!$H$3:$L$3,0)),"")</f>
        <v/>
      </c>
      <c r="V149" s="114"/>
      <c r="W149" s="370" t="str">
        <f>IF(V149="","",IF(VLOOKUP(V149,'G-7 WaterC'' Data'!$AK$4:$AM$6,2,FALSE)=0,"Spatial Data Missing ⚠",VLOOKUP(V149,'G-7 WaterC'' Data'!$AK$4:$AM$6,2,FALSE)))</f>
        <v/>
      </c>
      <c r="X149" s="363" t="str">
        <f>IF(V149="","",IF(VLOOKUP(V149,'G-7 WaterC'' Data'!$AK$4:$AM$6,3,FALSE)=0,"Spatial Data Missing ⚠",VLOOKUP(V149,'G-7 WaterC'' Data'!$AK$4:$AM$6,3,FALSE)))</f>
        <v/>
      </c>
      <c r="Y149" s="362" t="str">
        <f>IFERROR(IF(OR(LEFT(P149,5)="Error",LEFT(O149,5)="Error ▲"),"Check Data ⚠",IF(F149&lt;S149,'G-7 WaterC'' Data'!$R$3,INDEX('G-7 WaterC'' Data'!$U$5:$Y$9,MATCH(G149,'G-7 WaterC'' Data'!$T$5:$T$9,0),MATCH(T149,'G-7 WaterC'' Data'!$U$4:$Y$4,0)))),"")</f>
        <v/>
      </c>
      <c r="Z149" s="159"/>
      <c r="AA149" s="159"/>
      <c r="AB149" s="370" t="str">
        <f t="shared" si="19"/>
        <v/>
      </c>
      <c r="AC149" s="383" t="str">
        <f t="shared" si="20"/>
        <v/>
      </c>
      <c r="AD149" s="422" t="str">
        <f>IFERROR(IF(AC149="Check Data ⚠","Check Data ⚠",VLOOKUP(AC149,'G-4 Temporal multipliers'!$A$4:$C$37,3,FALSE)),"")</f>
        <v/>
      </c>
      <c r="AE149" s="362" t="str">
        <f>IF(N149="","",VLOOKUP(N149,'G-7 WaterC'' Data'!$B$4:$G$8,5,FALSE))</f>
        <v/>
      </c>
      <c r="AF149" s="370" t="str">
        <f t="shared" si="21"/>
        <v/>
      </c>
      <c r="AG149" s="401" t="str">
        <f t="shared" si="22"/>
        <v/>
      </c>
      <c r="AH149" s="363" t="str">
        <f t="shared" si="17"/>
        <v/>
      </c>
      <c r="AI149" s="122"/>
      <c r="AJ149" s="363" t="str">
        <f>IF(AI149="","",IF(VLOOKUP(AI149,'G-7 WaterC'' Data'!$AA$4:$AB$7,2,FALSE)=0,"Spatial Data Missing ⚠",VLOOKUP(AI149,'G-7 WaterC'' Data'!$AA$4:$AB$7,2,FALSE)))</f>
        <v/>
      </c>
      <c r="AK149" s="123"/>
      <c r="AL149" s="363" t="str">
        <f>IF(AK149="","",IF(VLOOKUP(AK149,'G-7 WaterC'' Data'!$AD$4:$AE$14,2,FALSE)=0,"Spatial Data Missing ⚠",VLOOKUP(AK149,'G-7 WaterC'' Data'!$AD$4:$AE$14,2,FALSE)))</f>
        <v/>
      </c>
      <c r="AM149" s="405" t="str">
        <f t="shared" si="23"/>
        <v/>
      </c>
      <c r="AN149" s="117"/>
      <c r="AO149" s="118"/>
      <c r="AP149" s="120"/>
      <c r="AV149" s="30" t="str">
        <f>IFERROR(INDEX('G-7 WaterC'' Data'!$AZ$3:$AZ$7,MATCH(N149,'G-7 WaterC'' Data'!$AY$3:$AY$7,0)),"")</f>
        <v/>
      </c>
    </row>
    <row r="150" spans="2:48" ht="15">
      <c r="B150" s="392" t="str">
        <f>'C-1 On-Site WaterC'' Baseline'!AO148</f>
        <v/>
      </c>
      <c r="C150" s="382" t="str">
        <f>IF(B150="","",VLOOKUP($B150,'C-1 On-Site WaterC'' Baseline'!$C$9:$R$257,2,FALSE))</f>
        <v/>
      </c>
      <c r="D150" s="382" t="str">
        <f>IF(C150="","",VLOOKUP($B150,'C-1 On-Site WaterC'' Baseline'!$C$9:$R$257,3,FALSE))</f>
        <v/>
      </c>
      <c r="E150" s="382" t="str">
        <f>IF(D150="","",VLOOKUP($B150,'C-1 On-Site WaterC'' Baseline'!$C$9:$R$257,4,FALSE))</f>
        <v/>
      </c>
      <c r="F150" s="382" t="str">
        <f>IF(E150="","",VLOOKUP($B150,'C-1 On-Site WaterC'' Baseline'!$C$9:$R$257,5,FALSE))</f>
        <v/>
      </c>
      <c r="G150" s="382" t="str">
        <f>IF(F150="","",VLOOKUP($B150,'C-1 On-Site WaterC'' Baseline'!$C$9:$R$257,6,FALSE))</f>
        <v/>
      </c>
      <c r="H150" s="382" t="str">
        <f>IF(G150="","",VLOOKUP($B150,'C-1 On-Site WaterC'' Baseline'!$C$9:$R$257,7,FALSE))</f>
        <v/>
      </c>
      <c r="I150" s="382" t="str">
        <f>IF(H150="","",VLOOKUP($B150,'C-1 On-Site WaterC'' Baseline'!$C$9:$R$257,8,FALSE))</f>
        <v/>
      </c>
      <c r="J150" s="382" t="str">
        <f>IF(I150="","",VLOOKUP($B150,'C-1 On-Site WaterC'' Baseline'!$C$9:$R$257,9,FALSE))</f>
        <v/>
      </c>
      <c r="K150" s="382" t="str">
        <f>IF(J150="","",VLOOKUP($B150,'C-1 On-Site WaterC'' Baseline'!$C$9:$R$257,10,FALSE))</f>
        <v/>
      </c>
      <c r="L150" s="382" t="str">
        <f>IF(B150="","",VLOOKUP($B150,'C-1 On-Site WaterC'' Baseline'!$C$9:$R$257,15,FALSE))</f>
        <v/>
      </c>
      <c r="M150" s="386" t="str">
        <f>IF(L150="","",VLOOKUP($B150,'C-1 On-Site WaterC'' Baseline'!$C$9:$R$257,16,FALSE))</f>
        <v/>
      </c>
      <c r="N150" s="320" t="str">
        <f t="shared" si="16"/>
        <v/>
      </c>
      <c r="O150" s="362" t="str">
        <f t="shared" si="18"/>
        <v/>
      </c>
      <c r="P150" s="363" t="str">
        <f>IF(C150="","",IF(AND(LEFT(C150,55)&lt;&gt;LEFT(N150,55),O150="High - High"),"Error - Not like for like ▲",IF(H150&gt;U150,"Error - Can not reduce condition ▲",IF(AND(F150=S150,H150=U150,AJ150='C-1 On-Site WaterC'' Baseline'!N148,'C-1 On-Site WaterC'' Baseline'!P148=AL150),"Error - No enhancement ▲",IF(AND(C150&lt;&gt;N150,F150&lt;S150),"Lower Distinctiveness Habitat"&amp;" - "&amp;T150,G150&amp;" - "&amp;T150)))))</f>
        <v/>
      </c>
      <c r="Q150" s="425" t="str">
        <f>IF(N150="","",VLOOKUP(B150,'C-1 On-Site WaterC'' Baseline'!$C$10:$AB$257,19,FALSE))</f>
        <v/>
      </c>
      <c r="R150" s="362" t="str">
        <f>IF(N150="","",VLOOKUP(N150,'G-7 WaterC'' Data'!$B$2:$G$8,2,FALSE))</f>
        <v/>
      </c>
      <c r="S150" s="363" t="str">
        <f>IFERROR(VLOOKUP(R150,'G-7 WaterC'' Data'!$C$4:$D$8,2,FALSE),"")</f>
        <v/>
      </c>
      <c r="T150" s="114"/>
      <c r="U150" s="363" t="str">
        <f>IFERROR(INDEX('G-7 WaterC'' Data'!$H$4:$L$8,MATCH(N150,'G-7 WaterC'' Data'!$B$4:$B$8,0),MATCH(T150,'G-7 WaterC'' Data'!$H$3:$L$3,0)),"")</f>
        <v/>
      </c>
      <c r="V150" s="114"/>
      <c r="W150" s="370" t="str">
        <f>IF(V150="","",IF(VLOOKUP(V150,'G-7 WaterC'' Data'!$AK$4:$AM$6,2,FALSE)=0,"Spatial Data Missing ⚠",VLOOKUP(V150,'G-7 WaterC'' Data'!$AK$4:$AM$6,2,FALSE)))</f>
        <v/>
      </c>
      <c r="X150" s="363" t="str">
        <f>IF(V150="","",IF(VLOOKUP(V150,'G-7 WaterC'' Data'!$AK$4:$AM$6,3,FALSE)=0,"Spatial Data Missing ⚠",VLOOKUP(V150,'G-7 WaterC'' Data'!$AK$4:$AM$6,3,FALSE)))</f>
        <v/>
      </c>
      <c r="Y150" s="362" t="str">
        <f>IFERROR(IF(OR(LEFT(P150,5)="Error",LEFT(O150,5)="Error ▲"),"Check Data ⚠",IF(F150&lt;S150,'G-7 WaterC'' Data'!$R$3,INDEX('G-7 WaterC'' Data'!$U$5:$Y$9,MATCH(G150,'G-7 WaterC'' Data'!$T$5:$T$9,0),MATCH(T150,'G-7 WaterC'' Data'!$U$4:$Y$4,0)))),"")</f>
        <v/>
      </c>
      <c r="Z150" s="159"/>
      <c r="AA150" s="159"/>
      <c r="AB150" s="370" t="str">
        <f t="shared" si="19"/>
        <v/>
      </c>
      <c r="AC150" s="383" t="str">
        <f t="shared" si="20"/>
        <v/>
      </c>
      <c r="AD150" s="422" t="str">
        <f>IFERROR(IF(AC150="Check Data ⚠","Check Data ⚠",VLOOKUP(AC150,'G-4 Temporal multipliers'!$A$4:$C$37,3,FALSE)),"")</f>
        <v/>
      </c>
      <c r="AE150" s="362" t="str">
        <f>IF(N150="","",VLOOKUP(N150,'G-7 WaterC'' Data'!$B$4:$G$8,5,FALSE))</f>
        <v/>
      </c>
      <c r="AF150" s="370" t="str">
        <f t="shared" si="21"/>
        <v/>
      </c>
      <c r="AG150" s="401" t="str">
        <f t="shared" si="22"/>
        <v/>
      </c>
      <c r="AH150" s="363" t="str">
        <f t="shared" si="17"/>
        <v/>
      </c>
      <c r="AI150" s="122"/>
      <c r="AJ150" s="363" t="str">
        <f>IF(AI150="","",IF(VLOOKUP(AI150,'G-7 WaterC'' Data'!$AA$4:$AB$7,2,FALSE)=0,"Spatial Data Missing ⚠",VLOOKUP(AI150,'G-7 WaterC'' Data'!$AA$4:$AB$7,2,FALSE)))</f>
        <v/>
      </c>
      <c r="AK150" s="123"/>
      <c r="AL150" s="363" t="str">
        <f>IF(AK150="","",IF(VLOOKUP(AK150,'G-7 WaterC'' Data'!$AD$4:$AE$14,2,FALSE)=0,"Spatial Data Missing ⚠",VLOOKUP(AK150,'G-7 WaterC'' Data'!$AD$4:$AE$14,2,FALSE)))</f>
        <v/>
      </c>
      <c r="AM150" s="405" t="str">
        <f t="shared" si="23"/>
        <v/>
      </c>
      <c r="AN150" s="117"/>
      <c r="AO150" s="118"/>
      <c r="AP150" s="120"/>
      <c r="AV150" s="30" t="str">
        <f>IFERROR(INDEX('G-7 WaterC'' Data'!$AZ$3:$AZ$7,MATCH(N150,'G-7 WaterC'' Data'!$AY$3:$AY$7,0)),"")</f>
        <v/>
      </c>
    </row>
    <row r="151" spans="2:48" ht="15">
      <c r="B151" s="392" t="str">
        <f>'C-1 On-Site WaterC'' Baseline'!AO149</f>
        <v/>
      </c>
      <c r="C151" s="382" t="str">
        <f>IF(B151="","",VLOOKUP($B151,'C-1 On-Site WaterC'' Baseline'!$C$9:$R$257,2,FALSE))</f>
        <v/>
      </c>
      <c r="D151" s="382" t="str">
        <f>IF(C151="","",VLOOKUP($B151,'C-1 On-Site WaterC'' Baseline'!$C$9:$R$257,3,FALSE))</f>
        <v/>
      </c>
      <c r="E151" s="382" t="str">
        <f>IF(D151="","",VLOOKUP($B151,'C-1 On-Site WaterC'' Baseline'!$C$9:$R$257,4,FALSE))</f>
        <v/>
      </c>
      <c r="F151" s="382" t="str">
        <f>IF(E151="","",VLOOKUP($B151,'C-1 On-Site WaterC'' Baseline'!$C$9:$R$257,5,FALSE))</f>
        <v/>
      </c>
      <c r="G151" s="382" t="str">
        <f>IF(F151="","",VLOOKUP($B151,'C-1 On-Site WaterC'' Baseline'!$C$9:$R$257,6,FALSE))</f>
        <v/>
      </c>
      <c r="H151" s="382" t="str">
        <f>IF(G151="","",VLOOKUP($B151,'C-1 On-Site WaterC'' Baseline'!$C$9:$R$257,7,FALSE))</f>
        <v/>
      </c>
      <c r="I151" s="382" t="str">
        <f>IF(H151="","",VLOOKUP($B151,'C-1 On-Site WaterC'' Baseline'!$C$9:$R$257,8,FALSE))</f>
        <v/>
      </c>
      <c r="J151" s="382" t="str">
        <f>IF(I151="","",VLOOKUP($B151,'C-1 On-Site WaterC'' Baseline'!$C$9:$R$257,9,FALSE))</f>
        <v/>
      </c>
      <c r="K151" s="382" t="str">
        <f>IF(J151="","",VLOOKUP($B151,'C-1 On-Site WaterC'' Baseline'!$C$9:$R$257,10,FALSE))</f>
        <v/>
      </c>
      <c r="L151" s="382" t="str">
        <f>IF(B151="","",VLOOKUP($B151,'C-1 On-Site WaterC'' Baseline'!$C$9:$R$257,15,FALSE))</f>
        <v/>
      </c>
      <c r="M151" s="386" t="str">
        <f>IF(L151="","",VLOOKUP($B151,'C-1 On-Site WaterC'' Baseline'!$C$9:$R$257,16,FALSE))</f>
        <v/>
      </c>
      <c r="N151" s="320" t="str">
        <f t="shared" si="16"/>
        <v/>
      </c>
      <c r="O151" s="362" t="str">
        <f t="shared" si="18"/>
        <v/>
      </c>
      <c r="P151" s="363" t="str">
        <f>IF(C151="","",IF(AND(LEFT(C151,55)&lt;&gt;LEFT(N151,55),O151="High - High"),"Error - Not like for like ▲",IF(H151&gt;U151,"Error - Can not reduce condition ▲",IF(AND(F151=S151,H151=U151,AJ151='C-1 On-Site WaterC'' Baseline'!N149,'C-1 On-Site WaterC'' Baseline'!P149=AL151),"Error - No enhancement ▲",IF(AND(C151&lt;&gt;N151,F151&lt;S151),"Lower Distinctiveness Habitat"&amp;" - "&amp;T151,G151&amp;" - "&amp;T151)))))</f>
        <v/>
      </c>
      <c r="Q151" s="425" t="str">
        <f>IF(N151="","",VLOOKUP(B151,'C-1 On-Site WaterC'' Baseline'!$C$10:$AB$257,19,FALSE))</f>
        <v/>
      </c>
      <c r="R151" s="362" t="str">
        <f>IF(N151="","",VLOOKUP(N151,'G-7 WaterC'' Data'!$B$2:$G$8,2,FALSE))</f>
        <v/>
      </c>
      <c r="S151" s="363" t="str">
        <f>IFERROR(VLOOKUP(R151,'G-7 WaterC'' Data'!$C$4:$D$8,2,FALSE),"")</f>
        <v/>
      </c>
      <c r="T151" s="114"/>
      <c r="U151" s="363" t="str">
        <f>IFERROR(INDEX('G-7 WaterC'' Data'!$H$4:$L$8,MATCH(N151,'G-7 WaterC'' Data'!$B$4:$B$8,0),MATCH(T151,'G-7 WaterC'' Data'!$H$3:$L$3,0)),"")</f>
        <v/>
      </c>
      <c r="V151" s="114"/>
      <c r="W151" s="370" t="str">
        <f>IF(V151="","",IF(VLOOKUP(V151,'G-7 WaterC'' Data'!$AK$4:$AM$6,2,FALSE)=0,"Spatial Data Missing ⚠",VLOOKUP(V151,'G-7 WaterC'' Data'!$AK$4:$AM$6,2,FALSE)))</f>
        <v/>
      </c>
      <c r="X151" s="363" t="str">
        <f>IF(V151="","",IF(VLOOKUP(V151,'G-7 WaterC'' Data'!$AK$4:$AM$6,3,FALSE)=0,"Spatial Data Missing ⚠",VLOOKUP(V151,'G-7 WaterC'' Data'!$AK$4:$AM$6,3,FALSE)))</f>
        <v/>
      </c>
      <c r="Y151" s="362" t="str">
        <f>IFERROR(IF(OR(LEFT(P151,5)="Error",LEFT(O151,5)="Error ▲"),"Check Data ⚠",IF(F151&lt;S151,'G-7 WaterC'' Data'!$R$3,INDEX('G-7 WaterC'' Data'!$U$5:$Y$9,MATCH(G151,'G-7 WaterC'' Data'!$T$5:$T$9,0),MATCH(T151,'G-7 WaterC'' Data'!$U$4:$Y$4,0)))),"")</f>
        <v/>
      </c>
      <c r="Z151" s="159"/>
      <c r="AA151" s="159"/>
      <c r="AB151" s="370" t="str">
        <f t="shared" si="19"/>
        <v/>
      </c>
      <c r="AC151" s="383" t="str">
        <f t="shared" si="20"/>
        <v/>
      </c>
      <c r="AD151" s="422" t="str">
        <f>IFERROR(IF(AC151="Check Data ⚠","Check Data ⚠",VLOOKUP(AC151,'G-4 Temporal multipliers'!$A$4:$C$37,3,FALSE)),"")</f>
        <v/>
      </c>
      <c r="AE151" s="362" t="str">
        <f>IF(N151="","",VLOOKUP(N151,'G-7 WaterC'' Data'!$B$4:$G$8,5,FALSE))</f>
        <v/>
      </c>
      <c r="AF151" s="370" t="str">
        <f t="shared" si="21"/>
        <v/>
      </c>
      <c r="AG151" s="401" t="str">
        <f t="shared" si="22"/>
        <v/>
      </c>
      <c r="AH151" s="363" t="str">
        <f t="shared" si="17"/>
        <v/>
      </c>
      <c r="AI151" s="122"/>
      <c r="AJ151" s="363" t="str">
        <f>IF(AI151="","",IF(VLOOKUP(AI151,'G-7 WaterC'' Data'!$AA$4:$AB$7,2,FALSE)=0,"Spatial Data Missing ⚠",VLOOKUP(AI151,'G-7 WaterC'' Data'!$AA$4:$AB$7,2,FALSE)))</f>
        <v/>
      </c>
      <c r="AK151" s="123"/>
      <c r="AL151" s="363" t="str">
        <f>IF(AK151="","",IF(VLOOKUP(AK151,'G-7 WaterC'' Data'!$AD$4:$AE$14,2,FALSE)=0,"Spatial Data Missing ⚠",VLOOKUP(AK151,'G-7 WaterC'' Data'!$AD$4:$AE$14,2,FALSE)))</f>
        <v/>
      </c>
      <c r="AM151" s="405" t="str">
        <f t="shared" si="23"/>
        <v/>
      </c>
      <c r="AN151" s="117"/>
      <c r="AO151" s="118"/>
      <c r="AP151" s="120"/>
      <c r="AV151" s="30" t="str">
        <f>IFERROR(INDEX('G-7 WaterC'' Data'!$AZ$3:$AZ$7,MATCH(N151,'G-7 WaterC'' Data'!$AY$3:$AY$7,0)),"")</f>
        <v/>
      </c>
    </row>
    <row r="152" spans="2:48" ht="15">
      <c r="B152" s="392" t="str">
        <f>'C-1 On-Site WaterC'' Baseline'!AO150</f>
        <v/>
      </c>
      <c r="C152" s="382" t="str">
        <f>IF(B152="","",VLOOKUP($B152,'C-1 On-Site WaterC'' Baseline'!$C$9:$R$257,2,FALSE))</f>
        <v/>
      </c>
      <c r="D152" s="382" t="str">
        <f>IF(C152="","",VLOOKUP($B152,'C-1 On-Site WaterC'' Baseline'!$C$9:$R$257,3,FALSE))</f>
        <v/>
      </c>
      <c r="E152" s="382" t="str">
        <f>IF(D152="","",VLOOKUP($B152,'C-1 On-Site WaterC'' Baseline'!$C$9:$R$257,4,FALSE))</f>
        <v/>
      </c>
      <c r="F152" s="382" t="str">
        <f>IF(E152="","",VLOOKUP($B152,'C-1 On-Site WaterC'' Baseline'!$C$9:$R$257,5,FALSE))</f>
        <v/>
      </c>
      <c r="G152" s="382" t="str">
        <f>IF(F152="","",VLOOKUP($B152,'C-1 On-Site WaterC'' Baseline'!$C$9:$R$257,6,FALSE))</f>
        <v/>
      </c>
      <c r="H152" s="382" t="str">
        <f>IF(G152="","",VLOOKUP($B152,'C-1 On-Site WaterC'' Baseline'!$C$9:$R$257,7,FALSE))</f>
        <v/>
      </c>
      <c r="I152" s="382" t="str">
        <f>IF(H152="","",VLOOKUP($B152,'C-1 On-Site WaterC'' Baseline'!$C$9:$R$257,8,FALSE))</f>
        <v/>
      </c>
      <c r="J152" s="382" t="str">
        <f>IF(I152="","",VLOOKUP($B152,'C-1 On-Site WaterC'' Baseline'!$C$9:$R$257,9,FALSE))</f>
        <v/>
      </c>
      <c r="K152" s="382" t="str">
        <f>IF(J152="","",VLOOKUP($B152,'C-1 On-Site WaterC'' Baseline'!$C$9:$R$257,10,FALSE))</f>
        <v/>
      </c>
      <c r="L152" s="382" t="str">
        <f>IF(B152="","",VLOOKUP($B152,'C-1 On-Site WaterC'' Baseline'!$C$9:$R$257,15,FALSE))</f>
        <v/>
      </c>
      <c r="M152" s="386" t="str">
        <f>IF(L152="","",VLOOKUP($B152,'C-1 On-Site WaterC'' Baseline'!$C$9:$R$257,16,FALSE))</f>
        <v/>
      </c>
      <c r="N152" s="320" t="str">
        <f t="shared" si="16"/>
        <v/>
      </c>
      <c r="O152" s="362" t="str">
        <f t="shared" si="18"/>
        <v/>
      </c>
      <c r="P152" s="363" t="str">
        <f>IF(C152="","",IF(AND(LEFT(C152,55)&lt;&gt;LEFT(N152,55),O152="High - High"),"Error - Not like for like ▲",IF(H152&gt;U152,"Error - Can not reduce condition ▲",IF(AND(F152=S152,H152=U152,AJ152='C-1 On-Site WaterC'' Baseline'!N150,'C-1 On-Site WaterC'' Baseline'!P150=AL152),"Error - No enhancement ▲",IF(AND(C152&lt;&gt;N152,F152&lt;S152),"Lower Distinctiveness Habitat"&amp;" - "&amp;T152,G152&amp;" - "&amp;T152)))))</f>
        <v/>
      </c>
      <c r="Q152" s="425" t="str">
        <f>IF(N152="","",VLOOKUP(B152,'C-1 On-Site WaterC'' Baseline'!$C$10:$AB$257,19,FALSE))</f>
        <v/>
      </c>
      <c r="R152" s="362" t="str">
        <f>IF(N152="","",VLOOKUP(N152,'G-7 WaterC'' Data'!$B$2:$G$8,2,FALSE))</f>
        <v/>
      </c>
      <c r="S152" s="363" t="str">
        <f>IFERROR(VLOOKUP(R152,'G-7 WaterC'' Data'!$C$4:$D$8,2,FALSE),"")</f>
        <v/>
      </c>
      <c r="T152" s="114"/>
      <c r="U152" s="363" t="str">
        <f>IFERROR(INDEX('G-7 WaterC'' Data'!$H$4:$L$8,MATCH(N152,'G-7 WaterC'' Data'!$B$4:$B$8,0),MATCH(T152,'G-7 WaterC'' Data'!$H$3:$L$3,0)),"")</f>
        <v/>
      </c>
      <c r="V152" s="114"/>
      <c r="W152" s="370" t="str">
        <f>IF(V152="","",IF(VLOOKUP(V152,'G-7 WaterC'' Data'!$AK$4:$AM$6,2,FALSE)=0,"Spatial Data Missing ⚠",VLOOKUP(V152,'G-7 WaterC'' Data'!$AK$4:$AM$6,2,FALSE)))</f>
        <v/>
      </c>
      <c r="X152" s="363" t="str">
        <f>IF(V152="","",IF(VLOOKUP(V152,'G-7 WaterC'' Data'!$AK$4:$AM$6,3,FALSE)=0,"Spatial Data Missing ⚠",VLOOKUP(V152,'G-7 WaterC'' Data'!$AK$4:$AM$6,3,FALSE)))</f>
        <v/>
      </c>
      <c r="Y152" s="362" t="str">
        <f>IFERROR(IF(OR(LEFT(P152,5)="Error",LEFT(O152,5)="Error ▲"),"Check Data ⚠",IF(F152&lt;S152,'G-7 WaterC'' Data'!$R$3,INDEX('G-7 WaterC'' Data'!$U$5:$Y$9,MATCH(G152,'G-7 WaterC'' Data'!$T$5:$T$9,0),MATCH(T152,'G-7 WaterC'' Data'!$U$4:$Y$4,0)))),"")</f>
        <v/>
      </c>
      <c r="Z152" s="159"/>
      <c r="AA152" s="159"/>
      <c r="AB152" s="370" t="str">
        <f t="shared" si="19"/>
        <v/>
      </c>
      <c r="AC152" s="383" t="str">
        <f t="shared" si="20"/>
        <v/>
      </c>
      <c r="AD152" s="422" t="str">
        <f>IFERROR(IF(AC152="Check Data ⚠","Check Data ⚠",VLOOKUP(AC152,'G-4 Temporal multipliers'!$A$4:$C$37,3,FALSE)),"")</f>
        <v/>
      </c>
      <c r="AE152" s="362" t="str">
        <f>IF(N152="","",VLOOKUP(N152,'G-7 WaterC'' Data'!$B$4:$G$8,5,FALSE))</f>
        <v/>
      </c>
      <c r="AF152" s="370" t="str">
        <f t="shared" si="21"/>
        <v/>
      </c>
      <c r="AG152" s="401" t="str">
        <f t="shared" si="22"/>
        <v/>
      </c>
      <c r="AH152" s="363" t="str">
        <f t="shared" si="17"/>
        <v/>
      </c>
      <c r="AI152" s="122"/>
      <c r="AJ152" s="363" t="str">
        <f>IF(AI152="","",IF(VLOOKUP(AI152,'G-7 WaterC'' Data'!$AA$4:$AB$7,2,FALSE)=0,"Spatial Data Missing ⚠",VLOOKUP(AI152,'G-7 WaterC'' Data'!$AA$4:$AB$7,2,FALSE)))</f>
        <v/>
      </c>
      <c r="AK152" s="123"/>
      <c r="AL152" s="363" t="str">
        <f>IF(AK152="","",IF(VLOOKUP(AK152,'G-7 WaterC'' Data'!$AD$4:$AE$14,2,FALSE)=0,"Spatial Data Missing ⚠",VLOOKUP(AK152,'G-7 WaterC'' Data'!$AD$4:$AE$14,2,FALSE)))</f>
        <v/>
      </c>
      <c r="AM152" s="405" t="str">
        <f t="shared" si="23"/>
        <v/>
      </c>
      <c r="AN152" s="117"/>
      <c r="AO152" s="118"/>
      <c r="AP152" s="120"/>
      <c r="AV152" s="30" t="str">
        <f>IFERROR(INDEX('G-7 WaterC'' Data'!$AZ$3:$AZ$7,MATCH(N152,'G-7 WaterC'' Data'!$AY$3:$AY$7,0)),"")</f>
        <v/>
      </c>
    </row>
    <row r="153" spans="2:48" ht="15">
      <c r="B153" s="392" t="str">
        <f>'C-1 On-Site WaterC'' Baseline'!AO151</f>
        <v/>
      </c>
      <c r="C153" s="382" t="str">
        <f>IF(B153="","",VLOOKUP($B153,'C-1 On-Site WaterC'' Baseline'!$C$9:$R$257,2,FALSE))</f>
        <v/>
      </c>
      <c r="D153" s="382" t="str">
        <f>IF(C153="","",VLOOKUP($B153,'C-1 On-Site WaterC'' Baseline'!$C$9:$R$257,3,FALSE))</f>
        <v/>
      </c>
      <c r="E153" s="382" t="str">
        <f>IF(D153="","",VLOOKUP($B153,'C-1 On-Site WaterC'' Baseline'!$C$9:$R$257,4,FALSE))</f>
        <v/>
      </c>
      <c r="F153" s="382" t="str">
        <f>IF(E153="","",VLOOKUP($B153,'C-1 On-Site WaterC'' Baseline'!$C$9:$R$257,5,FALSE))</f>
        <v/>
      </c>
      <c r="G153" s="382" t="str">
        <f>IF(F153="","",VLOOKUP($B153,'C-1 On-Site WaterC'' Baseline'!$C$9:$R$257,6,FALSE))</f>
        <v/>
      </c>
      <c r="H153" s="382" t="str">
        <f>IF(G153="","",VLOOKUP($B153,'C-1 On-Site WaterC'' Baseline'!$C$9:$R$257,7,FALSE))</f>
        <v/>
      </c>
      <c r="I153" s="382" t="str">
        <f>IF(H153="","",VLOOKUP($B153,'C-1 On-Site WaterC'' Baseline'!$C$9:$R$257,8,FALSE))</f>
        <v/>
      </c>
      <c r="J153" s="382" t="str">
        <f>IF(I153="","",VLOOKUP($B153,'C-1 On-Site WaterC'' Baseline'!$C$9:$R$257,9,FALSE))</f>
        <v/>
      </c>
      <c r="K153" s="382" t="str">
        <f>IF(J153="","",VLOOKUP($B153,'C-1 On-Site WaterC'' Baseline'!$C$9:$R$257,10,FALSE))</f>
        <v/>
      </c>
      <c r="L153" s="382" t="str">
        <f>IF(B153="","",VLOOKUP($B153,'C-1 On-Site WaterC'' Baseline'!$C$9:$R$257,15,FALSE))</f>
        <v/>
      </c>
      <c r="M153" s="386" t="str">
        <f>IF(L153="","",VLOOKUP($B153,'C-1 On-Site WaterC'' Baseline'!$C$9:$R$257,16,FALSE))</f>
        <v/>
      </c>
      <c r="N153" s="320" t="str">
        <f t="shared" si="16"/>
        <v/>
      </c>
      <c r="O153" s="362" t="str">
        <f t="shared" si="18"/>
        <v/>
      </c>
      <c r="P153" s="363" t="str">
        <f>IF(C153="","",IF(AND(LEFT(C153,55)&lt;&gt;LEFT(N153,55),O153="High - High"),"Error - Not like for like ▲",IF(H153&gt;U153,"Error - Can not reduce condition ▲",IF(AND(F153=S153,H153=U153,AJ153='C-1 On-Site WaterC'' Baseline'!N151,'C-1 On-Site WaterC'' Baseline'!P151=AL153),"Error - No enhancement ▲",IF(AND(C153&lt;&gt;N153,F153&lt;S153),"Lower Distinctiveness Habitat"&amp;" - "&amp;T153,G153&amp;" - "&amp;T153)))))</f>
        <v/>
      </c>
      <c r="Q153" s="425" t="str">
        <f>IF(N153="","",VLOOKUP(B153,'C-1 On-Site WaterC'' Baseline'!$C$10:$AB$257,19,FALSE))</f>
        <v/>
      </c>
      <c r="R153" s="362" t="str">
        <f>IF(N153="","",VLOOKUP(N153,'G-7 WaterC'' Data'!$B$2:$G$8,2,FALSE))</f>
        <v/>
      </c>
      <c r="S153" s="363" t="str">
        <f>IFERROR(VLOOKUP(R153,'G-7 WaterC'' Data'!$C$4:$D$8,2,FALSE),"")</f>
        <v/>
      </c>
      <c r="T153" s="114"/>
      <c r="U153" s="363" t="str">
        <f>IFERROR(INDEX('G-7 WaterC'' Data'!$H$4:$L$8,MATCH(N153,'G-7 WaterC'' Data'!$B$4:$B$8,0),MATCH(T153,'G-7 WaterC'' Data'!$H$3:$L$3,0)),"")</f>
        <v/>
      </c>
      <c r="V153" s="114"/>
      <c r="W153" s="370" t="str">
        <f>IF(V153="","",IF(VLOOKUP(V153,'G-7 WaterC'' Data'!$AK$4:$AM$6,2,FALSE)=0,"Spatial Data Missing ⚠",VLOOKUP(V153,'G-7 WaterC'' Data'!$AK$4:$AM$6,2,FALSE)))</f>
        <v/>
      </c>
      <c r="X153" s="363" t="str">
        <f>IF(V153="","",IF(VLOOKUP(V153,'G-7 WaterC'' Data'!$AK$4:$AM$6,3,FALSE)=0,"Spatial Data Missing ⚠",VLOOKUP(V153,'G-7 WaterC'' Data'!$AK$4:$AM$6,3,FALSE)))</f>
        <v/>
      </c>
      <c r="Y153" s="362" t="str">
        <f>IFERROR(IF(OR(LEFT(P153,5)="Error",LEFT(O153,5)="Error ▲"),"Check Data ⚠",IF(F153&lt;S153,'G-7 WaterC'' Data'!$R$3,INDEX('G-7 WaterC'' Data'!$U$5:$Y$9,MATCH(G153,'G-7 WaterC'' Data'!$T$5:$T$9,0),MATCH(T153,'G-7 WaterC'' Data'!$U$4:$Y$4,0)))),"")</f>
        <v/>
      </c>
      <c r="Z153" s="159"/>
      <c r="AA153" s="159"/>
      <c r="AB153" s="370" t="str">
        <f t="shared" si="19"/>
        <v/>
      </c>
      <c r="AC153" s="383" t="str">
        <f t="shared" si="20"/>
        <v/>
      </c>
      <c r="AD153" s="422" t="str">
        <f>IFERROR(IF(AC153="Check Data ⚠","Check Data ⚠",VLOOKUP(AC153,'G-4 Temporal multipliers'!$A$4:$C$37,3,FALSE)),"")</f>
        <v/>
      </c>
      <c r="AE153" s="362" t="str">
        <f>IF(N153="","",VLOOKUP(N153,'G-7 WaterC'' Data'!$B$4:$G$8,5,FALSE))</f>
        <v/>
      </c>
      <c r="AF153" s="370" t="str">
        <f t="shared" si="21"/>
        <v/>
      </c>
      <c r="AG153" s="401" t="str">
        <f t="shared" si="22"/>
        <v/>
      </c>
      <c r="AH153" s="363" t="str">
        <f t="shared" si="17"/>
        <v/>
      </c>
      <c r="AI153" s="122"/>
      <c r="AJ153" s="363" t="str">
        <f>IF(AI153="","",IF(VLOOKUP(AI153,'G-7 WaterC'' Data'!$AA$4:$AB$7,2,FALSE)=0,"Spatial Data Missing ⚠",VLOOKUP(AI153,'G-7 WaterC'' Data'!$AA$4:$AB$7,2,FALSE)))</f>
        <v/>
      </c>
      <c r="AK153" s="123"/>
      <c r="AL153" s="363" t="str">
        <f>IF(AK153="","",IF(VLOOKUP(AK153,'G-7 WaterC'' Data'!$AD$4:$AE$14,2,FALSE)=0,"Spatial Data Missing ⚠",VLOOKUP(AK153,'G-7 WaterC'' Data'!$AD$4:$AE$14,2,FALSE)))</f>
        <v/>
      </c>
      <c r="AM153" s="405" t="str">
        <f t="shared" si="23"/>
        <v/>
      </c>
      <c r="AN153" s="117"/>
      <c r="AO153" s="118"/>
      <c r="AP153" s="120"/>
      <c r="AV153" s="30" t="str">
        <f>IFERROR(INDEX('G-7 WaterC'' Data'!$AZ$3:$AZ$7,MATCH(N153,'G-7 WaterC'' Data'!$AY$3:$AY$7,0)),"")</f>
        <v/>
      </c>
    </row>
    <row r="154" spans="2:48" ht="15">
      <c r="B154" s="392" t="str">
        <f>'C-1 On-Site WaterC'' Baseline'!AO152</f>
        <v/>
      </c>
      <c r="C154" s="382" t="str">
        <f>IF(B154="","",VLOOKUP($B154,'C-1 On-Site WaterC'' Baseline'!$C$9:$R$257,2,FALSE))</f>
        <v/>
      </c>
      <c r="D154" s="382" t="str">
        <f>IF(C154="","",VLOOKUP($B154,'C-1 On-Site WaterC'' Baseline'!$C$9:$R$257,3,FALSE))</f>
        <v/>
      </c>
      <c r="E154" s="382" t="str">
        <f>IF(D154="","",VLOOKUP($B154,'C-1 On-Site WaterC'' Baseline'!$C$9:$R$257,4,FALSE))</f>
        <v/>
      </c>
      <c r="F154" s="382" t="str">
        <f>IF(E154="","",VLOOKUP($B154,'C-1 On-Site WaterC'' Baseline'!$C$9:$R$257,5,FALSE))</f>
        <v/>
      </c>
      <c r="G154" s="382" t="str">
        <f>IF(F154="","",VLOOKUP($B154,'C-1 On-Site WaterC'' Baseline'!$C$9:$R$257,6,FALSE))</f>
        <v/>
      </c>
      <c r="H154" s="382" t="str">
        <f>IF(G154="","",VLOOKUP($B154,'C-1 On-Site WaterC'' Baseline'!$C$9:$R$257,7,FALSE))</f>
        <v/>
      </c>
      <c r="I154" s="382" t="str">
        <f>IF(H154="","",VLOOKUP($B154,'C-1 On-Site WaterC'' Baseline'!$C$9:$R$257,8,FALSE))</f>
        <v/>
      </c>
      <c r="J154" s="382" t="str">
        <f>IF(I154="","",VLOOKUP($B154,'C-1 On-Site WaterC'' Baseline'!$C$9:$R$257,9,FALSE))</f>
        <v/>
      </c>
      <c r="K154" s="382" t="str">
        <f>IF(J154="","",VLOOKUP($B154,'C-1 On-Site WaterC'' Baseline'!$C$9:$R$257,10,FALSE))</f>
        <v/>
      </c>
      <c r="L154" s="382" t="str">
        <f>IF(B154="","",VLOOKUP($B154,'C-1 On-Site WaterC'' Baseline'!$C$9:$R$257,15,FALSE))</f>
        <v/>
      </c>
      <c r="M154" s="386" t="str">
        <f>IF(L154="","",VLOOKUP($B154,'C-1 On-Site WaterC'' Baseline'!$C$9:$R$257,16,FALSE))</f>
        <v/>
      </c>
      <c r="N154" s="320" t="str">
        <f t="shared" si="16"/>
        <v/>
      </c>
      <c r="O154" s="362" t="str">
        <f t="shared" si="18"/>
        <v/>
      </c>
      <c r="P154" s="363" t="str">
        <f>IF(C154="","",IF(AND(LEFT(C154,55)&lt;&gt;LEFT(N154,55),O154="High - High"),"Error - Not like for like ▲",IF(H154&gt;U154,"Error - Can not reduce condition ▲",IF(AND(F154=S154,H154=U154,AJ154='C-1 On-Site WaterC'' Baseline'!N152,'C-1 On-Site WaterC'' Baseline'!P152=AL154),"Error - No enhancement ▲",IF(AND(C154&lt;&gt;N154,F154&lt;S154),"Lower Distinctiveness Habitat"&amp;" - "&amp;T154,G154&amp;" - "&amp;T154)))))</f>
        <v/>
      </c>
      <c r="Q154" s="425" t="str">
        <f>IF(N154="","",VLOOKUP(B154,'C-1 On-Site WaterC'' Baseline'!$C$10:$AB$257,19,FALSE))</f>
        <v/>
      </c>
      <c r="R154" s="362" t="str">
        <f>IF(N154="","",VLOOKUP(N154,'G-7 WaterC'' Data'!$B$2:$G$8,2,FALSE))</f>
        <v/>
      </c>
      <c r="S154" s="363" t="str">
        <f>IFERROR(VLOOKUP(R154,'G-7 WaterC'' Data'!$C$4:$D$8,2,FALSE),"")</f>
        <v/>
      </c>
      <c r="T154" s="114"/>
      <c r="U154" s="363" t="str">
        <f>IFERROR(INDEX('G-7 WaterC'' Data'!$H$4:$L$8,MATCH(N154,'G-7 WaterC'' Data'!$B$4:$B$8,0),MATCH(T154,'G-7 WaterC'' Data'!$H$3:$L$3,0)),"")</f>
        <v/>
      </c>
      <c r="V154" s="114"/>
      <c r="W154" s="370" t="str">
        <f>IF(V154="","",IF(VLOOKUP(V154,'G-7 WaterC'' Data'!$AK$4:$AM$6,2,FALSE)=0,"Spatial Data Missing ⚠",VLOOKUP(V154,'G-7 WaterC'' Data'!$AK$4:$AM$6,2,FALSE)))</f>
        <v/>
      </c>
      <c r="X154" s="363" t="str">
        <f>IF(V154="","",IF(VLOOKUP(V154,'G-7 WaterC'' Data'!$AK$4:$AM$6,3,FALSE)=0,"Spatial Data Missing ⚠",VLOOKUP(V154,'G-7 WaterC'' Data'!$AK$4:$AM$6,3,FALSE)))</f>
        <v/>
      </c>
      <c r="Y154" s="362" t="str">
        <f>IFERROR(IF(OR(LEFT(P154,5)="Error",LEFT(O154,5)="Error ▲"),"Check Data ⚠",IF(F154&lt;S154,'G-7 WaterC'' Data'!$R$3,INDEX('G-7 WaterC'' Data'!$U$5:$Y$9,MATCH(G154,'G-7 WaterC'' Data'!$T$5:$T$9,0),MATCH(T154,'G-7 WaterC'' Data'!$U$4:$Y$4,0)))),"")</f>
        <v/>
      </c>
      <c r="Z154" s="159"/>
      <c r="AA154" s="159"/>
      <c r="AB154" s="370" t="str">
        <f t="shared" si="19"/>
        <v/>
      </c>
      <c r="AC154" s="383" t="str">
        <f t="shared" si="20"/>
        <v/>
      </c>
      <c r="AD154" s="422" t="str">
        <f>IFERROR(IF(AC154="Check Data ⚠","Check Data ⚠",VLOOKUP(AC154,'G-4 Temporal multipliers'!$A$4:$C$37,3,FALSE)),"")</f>
        <v/>
      </c>
      <c r="AE154" s="362" t="str">
        <f>IF(N154="","",VLOOKUP(N154,'G-7 WaterC'' Data'!$B$4:$G$8,5,FALSE))</f>
        <v/>
      </c>
      <c r="AF154" s="370" t="str">
        <f t="shared" si="21"/>
        <v/>
      </c>
      <c r="AG154" s="401" t="str">
        <f t="shared" si="22"/>
        <v/>
      </c>
      <c r="AH154" s="363" t="str">
        <f t="shared" si="17"/>
        <v/>
      </c>
      <c r="AI154" s="122"/>
      <c r="AJ154" s="363" t="str">
        <f>IF(AI154="","",IF(VLOOKUP(AI154,'G-7 WaterC'' Data'!$AA$4:$AB$7,2,FALSE)=0,"Spatial Data Missing ⚠",VLOOKUP(AI154,'G-7 WaterC'' Data'!$AA$4:$AB$7,2,FALSE)))</f>
        <v/>
      </c>
      <c r="AK154" s="123"/>
      <c r="AL154" s="363" t="str">
        <f>IF(AK154="","",IF(VLOOKUP(AK154,'G-7 WaterC'' Data'!$AD$4:$AE$14,2,FALSE)=0,"Spatial Data Missing ⚠",VLOOKUP(AK154,'G-7 WaterC'' Data'!$AD$4:$AE$14,2,FALSE)))</f>
        <v/>
      </c>
      <c r="AM154" s="405" t="str">
        <f t="shared" si="23"/>
        <v/>
      </c>
      <c r="AN154" s="117"/>
      <c r="AO154" s="118"/>
      <c r="AP154" s="120"/>
      <c r="AV154" s="30" t="str">
        <f>IFERROR(INDEX('G-7 WaterC'' Data'!$AZ$3:$AZ$7,MATCH(N154,'G-7 WaterC'' Data'!$AY$3:$AY$7,0)),"")</f>
        <v/>
      </c>
    </row>
    <row r="155" spans="2:48" ht="15">
      <c r="B155" s="392" t="str">
        <f>'C-1 On-Site WaterC'' Baseline'!AO153</f>
        <v/>
      </c>
      <c r="C155" s="382" t="str">
        <f>IF(B155="","",VLOOKUP($B155,'C-1 On-Site WaterC'' Baseline'!$C$9:$R$257,2,FALSE))</f>
        <v/>
      </c>
      <c r="D155" s="382" t="str">
        <f>IF(C155="","",VLOOKUP($B155,'C-1 On-Site WaterC'' Baseline'!$C$9:$R$257,3,FALSE))</f>
        <v/>
      </c>
      <c r="E155" s="382" t="str">
        <f>IF(D155="","",VLOOKUP($B155,'C-1 On-Site WaterC'' Baseline'!$C$9:$R$257,4,FALSE))</f>
        <v/>
      </c>
      <c r="F155" s="382" t="str">
        <f>IF(E155="","",VLOOKUP($B155,'C-1 On-Site WaterC'' Baseline'!$C$9:$R$257,5,FALSE))</f>
        <v/>
      </c>
      <c r="G155" s="382" t="str">
        <f>IF(F155="","",VLOOKUP($B155,'C-1 On-Site WaterC'' Baseline'!$C$9:$R$257,6,FALSE))</f>
        <v/>
      </c>
      <c r="H155" s="382" t="str">
        <f>IF(G155="","",VLOOKUP($B155,'C-1 On-Site WaterC'' Baseline'!$C$9:$R$257,7,FALSE))</f>
        <v/>
      </c>
      <c r="I155" s="382" t="str">
        <f>IF(H155="","",VLOOKUP($B155,'C-1 On-Site WaterC'' Baseline'!$C$9:$R$257,8,FALSE))</f>
        <v/>
      </c>
      <c r="J155" s="382" t="str">
        <f>IF(I155="","",VLOOKUP($B155,'C-1 On-Site WaterC'' Baseline'!$C$9:$R$257,9,FALSE))</f>
        <v/>
      </c>
      <c r="K155" s="382" t="str">
        <f>IF(J155="","",VLOOKUP($B155,'C-1 On-Site WaterC'' Baseline'!$C$9:$R$257,10,FALSE))</f>
        <v/>
      </c>
      <c r="L155" s="382" t="str">
        <f>IF(B155="","",VLOOKUP($B155,'C-1 On-Site WaterC'' Baseline'!$C$9:$R$257,15,FALSE))</f>
        <v/>
      </c>
      <c r="M155" s="386" t="str">
        <f>IF(L155="","",VLOOKUP($B155,'C-1 On-Site WaterC'' Baseline'!$C$9:$R$257,16,FALSE))</f>
        <v/>
      </c>
      <c r="N155" s="320" t="str">
        <f t="shared" si="16"/>
        <v/>
      </c>
      <c r="O155" s="362" t="str">
        <f t="shared" si="18"/>
        <v/>
      </c>
      <c r="P155" s="363" t="str">
        <f>IF(C155="","",IF(AND(LEFT(C155,55)&lt;&gt;LEFT(N155,55),O155="High - High"),"Error - Not like for like ▲",IF(H155&gt;U155,"Error - Can not reduce condition ▲",IF(AND(F155=S155,H155=U155,AJ155='C-1 On-Site WaterC'' Baseline'!N153,'C-1 On-Site WaterC'' Baseline'!P153=AL155),"Error - No enhancement ▲",IF(AND(C155&lt;&gt;N155,F155&lt;S155),"Lower Distinctiveness Habitat"&amp;" - "&amp;T155,G155&amp;" - "&amp;T155)))))</f>
        <v/>
      </c>
      <c r="Q155" s="425" t="str">
        <f>IF(N155="","",VLOOKUP(B155,'C-1 On-Site WaterC'' Baseline'!$C$10:$AB$257,19,FALSE))</f>
        <v/>
      </c>
      <c r="R155" s="362" t="str">
        <f>IF(N155="","",VLOOKUP(N155,'G-7 WaterC'' Data'!$B$2:$G$8,2,FALSE))</f>
        <v/>
      </c>
      <c r="S155" s="363" t="str">
        <f>IFERROR(VLOOKUP(R155,'G-7 WaterC'' Data'!$C$4:$D$8,2,FALSE),"")</f>
        <v/>
      </c>
      <c r="T155" s="114"/>
      <c r="U155" s="363" t="str">
        <f>IFERROR(INDEX('G-7 WaterC'' Data'!$H$4:$L$8,MATCH(N155,'G-7 WaterC'' Data'!$B$4:$B$8,0),MATCH(T155,'G-7 WaterC'' Data'!$H$3:$L$3,0)),"")</f>
        <v/>
      </c>
      <c r="V155" s="114"/>
      <c r="W155" s="370" t="str">
        <f>IF(V155="","",IF(VLOOKUP(V155,'G-7 WaterC'' Data'!$AK$4:$AM$6,2,FALSE)=0,"Spatial Data Missing ⚠",VLOOKUP(V155,'G-7 WaterC'' Data'!$AK$4:$AM$6,2,FALSE)))</f>
        <v/>
      </c>
      <c r="X155" s="363" t="str">
        <f>IF(V155="","",IF(VLOOKUP(V155,'G-7 WaterC'' Data'!$AK$4:$AM$6,3,FALSE)=0,"Spatial Data Missing ⚠",VLOOKUP(V155,'G-7 WaterC'' Data'!$AK$4:$AM$6,3,FALSE)))</f>
        <v/>
      </c>
      <c r="Y155" s="362" t="str">
        <f>IFERROR(IF(OR(LEFT(P155,5)="Error",LEFT(O155,5)="Error ▲"),"Check Data ⚠",IF(F155&lt;S155,'G-7 WaterC'' Data'!$R$3,INDEX('G-7 WaterC'' Data'!$U$5:$Y$9,MATCH(G155,'G-7 WaterC'' Data'!$T$5:$T$9,0),MATCH(T155,'G-7 WaterC'' Data'!$U$4:$Y$4,0)))),"")</f>
        <v/>
      </c>
      <c r="Z155" s="159"/>
      <c r="AA155" s="159"/>
      <c r="AB155" s="370" t="str">
        <f t="shared" si="19"/>
        <v/>
      </c>
      <c r="AC155" s="383" t="str">
        <f t="shared" si="20"/>
        <v/>
      </c>
      <c r="AD155" s="422" t="str">
        <f>IFERROR(IF(AC155="Check Data ⚠","Check Data ⚠",VLOOKUP(AC155,'G-4 Temporal multipliers'!$A$4:$C$37,3,FALSE)),"")</f>
        <v/>
      </c>
      <c r="AE155" s="362" t="str">
        <f>IF(N155="","",VLOOKUP(N155,'G-7 WaterC'' Data'!$B$4:$G$8,5,FALSE))</f>
        <v/>
      </c>
      <c r="AF155" s="370" t="str">
        <f t="shared" si="21"/>
        <v/>
      </c>
      <c r="AG155" s="401" t="str">
        <f t="shared" si="22"/>
        <v/>
      </c>
      <c r="AH155" s="363" t="str">
        <f t="shared" si="17"/>
        <v/>
      </c>
      <c r="AI155" s="122"/>
      <c r="AJ155" s="363" t="str">
        <f>IF(AI155="","",IF(VLOOKUP(AI155,'G-7 WaterC'' Data'!$AA$4:$AB$7,2,FALSE)=0,"Spatial Data Missing ⚠",VLOOKUP(AI155,'G-7 WaterC'' Data'!$AA$4:$AB$7,2,FALSE)))</f>
        <v/>
      </c>
      <c r="AK155" s="123"/>
      <c r="AL155" s="363" t="str">
        <f>IF(AK155="","",IF(VLOOKUP(AK155,'G-7 WaterC'' Data'!$AD$4:$AE$14,2,FALSE)=0,"Spatial Data Missing ⚠",VLOOKUP(AK155,'G-7 WaterC'' Data'!$AD$4:$AE$14,2,FALSE)))</f>
        <v/>
      </c>
      <c r="AM155" s="405" t="str">
        <f t="shared" si="23"/>
        <v/>
      </c>
      <c r="AN155" s="117"/>
      <c r="AO155" s="118"/>
      <c r="AP155" s="120"/>
      <c r="AV155" s="30" t="str">
        <f>IFERROR(INDEX('G-7 WaterC'' Data'!$AZ$3:$AZ$7,MATCH(N155,'G-7 WaterC'' Data'!$AY$3:$AY$7,0)),"")</f>
        <v/>
      </c>
    </row>
    <row r="156" spans="2:48" ht="15">
      <c r="B156" s="392" t="str">
        <f>'C-1 On-Site WaterC'' Baseline'!AO154</f>
        <v/>
      </c>
      <c r="C156" s="382" t="str">
        <f>IF(B156="","",VLOOKUP($B156,'C-1 On-Site WaterC'' Baseline'!$C$9:$R$257,2,FALSE))</f>
        <v/>
      </c>
      <c r="D156" s="382" t="str">
        <f>IF(C156="","",VLOOKUP($B156,'C-1 On-Site WaterC'' Baseline'!$C$9:$R$257,3,FALSE))</f>
        <v/>
      </c>
      <c r="E156" s="382" t="str">
        <f>IF(D156="","",VLOOKUP($B156,'C-1 On-Site WaterC'' Baseline'!$C$9:$R$257,4,FALSE))</f>
        <v/>
      </c>
      <c r="F156" s="382" t="str">
        <f>IF(E156="","",VLOOKUP($B156,'C-1 On-Site WaterC'' Baseline'!$C$9:$R$257,5,FALSE))</f>
        <v/>
      </c>
      <c r="G156" s="382" t="str">
        <f>IF(F156="","",VLOOKUP($B156,'C-1 On-Site WaterC'' Baseline'!$C$9:$R$257,6,FALSE))</f>
        <v/>
      </c>
      <c r="H156" s="382" t="str">
        <f>IF(G156="","",VLOOKUP($B156,'C-1 On-Site WaterC'' Baseline'!$C$9:$R$257,7,FALSE))</f>
        <v/>
      </c>
      <c r="I156" s="382" t="str">
        <f>IF(H156="","",VLOOKUP($B156,'C-1 On-Site WaterC'' Baseline'!$C$9:$R$257,8,FALSE))</f>
        <v/>
      </c>
      <c r="J156" s="382" t="str">
        <f>IF(I156="","",VLOOKUP($B156,'C-1 On-Site WaterC'' Baseline'!$C$9:$R$257,9,FALSE))</f>
        <v/>
      </c>
      <c r="K156" s="382" t="str">
        <f>IF(J156="","",VLOOKUP($B156,'C-1 On-Site WaterC'' Baseline'!$C$9:$R$257,10,FALSE))</f>
        <v/>
      </c>
      <c r="L156" s="382" t="str">
        <f>IF(B156="","",VLOOKUP($B156,'C-1 On-Site WaterC'' Baseline'!$C$9:$R$257,15,FALSE))</f>
        <v/>
      </c>
      <c r="M156" s="386" t="str">
        <f>IF(L156="","",VLOOKUP($B156,'C-1 On-Site WaterC'' Baseline'!$C$9:$R$257,16,FALSE))</f>
        <v/>
      </c>
      <c r="N156" s="320" t="str">
        <f t="shared" si="16"/>
        <v/>
      </c>
      <c r="O156" s="362" t="str">
        <f t="shared" si="18"/>
        <v/>
      </c>
      <c r="P156" s="363" t="str">
        <f>IF(C156="","",IF(AND(LEFT(C156,55)&lt;&gt;LEFT(N156,55),O156="High - High"),"Error - Not like for like ▲",IF(H156&gt;U156,"Error - Can not reduce condition ▲",IF(AND(F156=S156,H156=U156,AJ156='C-1 On-Site WaterC'' Baseline'!N154,'C-1 On-Site WaterC'' Baseline'!P154=AL156),"Error - No enhancement ▲",IF(AND(C156&lt;&gt;N156,F156&lt;S156),"Lower Distinctiveness Habitat"&amp;" - "&amp;T156,G156&amp;" - "&amp;T156)))))</f>
        <v/>
      </c>
      <c r="Q156" s="425" t="str">
        <f>IF(N156="","",VLOOKUP(B156,'C-1 On-Site WaterC'' Baseline'!$C$10:$AB$257,19,FALSE))</f>
        <v/>
      </c>
      <c r="R156" s="362" t="str">
        <f>IF(N156="","",VLOOKUP(N156,'G-7 WaterC'' Data'!$B$2:$G$8,2,FALSE))</f>
        <v/>
      </c>
      <c r="S156" s="363" t="str">
        <f>IFERROR(VLOOKUP(R156,'G-7 WaterC'' Data'!$C$4:$D$8,2,FALSE),"")</f>
        <v/>
      </c>
      <c r="T156" s="114"/>
      <c r="U156" s="363" t="str">
        <f>IFERROR(INDEX('G-7 WaterC'' Data'!$H$4:$L$8,MATCH(N156,'G-7 WaterC'' Data'!$B$4:$B$8,0),MATCH(T156,'G-7 WaterC'' Data'!$H$3:$L$3,0)),"")</f>
        <v/>
      </c>
      <c r="V156" s="114"/>
      <c r="W156" s="370" t="str">
        <f>IF(V156="","",IF(VLOOKUP(V156,'G-7 WaterC'' Data'!$AK$4:$AM$6,2,FALSE)=0,"Spatial Data Missing ⚠",VLOOKUP(V156,'G-7 WaterC'' Data'!$AK$4:$AM$6,2,FALSE)))</f>
        <v/>
      </c>
      <c r="X156" s="363" t="str">
        <f>IF(V156="","",IF(VLOOKUP(V156,'G-7 WaterC'' Data'!$AK$4:$AM$6,3,FALSE)=0,"Spatial Data Missing ⚠",VLOOKUP(V156,'G-7 WaterC'' Data'!$AK$4:$AM$6,3,FALSE)))</f>
        <v/>
      </c>
      <c r="Y156" s="362" t="str">
        <f>IFERROR(IF(OR(LEFT(P156,5)="Error",LEFT(O156,5)="Error ▲"),"Check Data ⚠",IF(F156&lt;S156,'G-7 WaterC'' Data'!$R$3,INDEX('G-7 WaterC'' Data'!$U$5:$Y$9,MATCH(G156,'G-7 WaterC'' Data'!$T$5:$T$9,0),MATCH(T156,'G-7 WaterC'' Data'!$U$4:$Y$4,0)))),"")</f>
        <v/>
      </c>
      <c r="Z156" s="159"/>
      <c r="AA156" s="159"/>
      <c r="AB156" s="370" t="str">
        <f t="shared" si="19"/>
        <v/>
      </c>
      <c r="AC156" s="383" t="str">
        <f t="shared" si="20"/>
        <v/>
      </c>
      <c r="AD156" s="422" t="str">
        <f>IFERROR(IF(AC156="Check Data ⚠","Check Data ⚠",VLOOKUP(AC156,'G-4 Temporal multipliers'!$A$4:$C$37,3,FALSE)),"")</f>
        <v/>
      </c>
      <c r="AE156" s="362" t="str">
        <f>IF(N156="","",VLOOKUP(N156,'G-7 WaterC'' Data'!$B$4:$G$8,5,FALSE))</f>
        <v/>
      </c>
      <c r="AF156" s="370" t="str">
        <f t="shared" si="21"/>
        <v/>
      </c>
      <c r="AG156" s="401" t="str">
        <f t="shared" si="22"/>
        <v/>
      </c>
      <c r="AH156" s="363" t="str">
        <f t="shared" si="17"/>
        <v/>
      </c>
      <c r="AI156" s="122"/>
      <c r="AJ156" s="363" t="str">
        <f>IF(AI156="","",IF(VLOOKUP(AI156,'G-7 WaterC'' Data'!$AA$4:$AB$7,2,FALSE)=0,"Spatial Data Missing ⚠",VLOOKUP(AI156,'G-7 WaterC'' Data'!$AA$4:$AB$7,2,FALSE)))</f>
        <v/>
      </c>
      <c r="AK156" s="123"/>
      <c r="AL156" s="363" t="str">
        <f>IF(AK156="","",IF(VLOOKUP(AK156,'G-7 WaterC'' Data'!$AD$4:$AE$14,2,FALSE)=0,"Spatial Data Missing ⚠",VLOOKUP(AK156,'G-7 WaterC'' Data'!$AD$4:$AE$14,2,FALSE)))</f>
        <v/>
      </c>
      <c r="AM156" s="405" t="str">
        <f t="shared" si="23"/>
        <v/>
      </c>
      <c r="AN156" s="117"/>
      <c r="AO156" s="118"/>
      <c r="AP156" s="120"/>
      <c r="AV156" s="30" t="str">
        <f>IFERROR(INDEX('G-7 WaterC'' Data'!$AZ$3:$AZ$7,MATCH(N156,'G-7 WaterC'' Data'!$AY$3:$AY$7,0)),"")</f>
        <v/>
      </c>
    </row>
    <row r="157" spans="2:48" ht="15">
      <c r="B157" s="392" t="str">
        <f>'C-1 On-Site WaterC'' Baseline'!AO155</f>
        <v/>
      </c>
      <c r="C157" s="382" t="str">
        <f>IF(B157="","",VLOOKUP($B157,'C-1 On-Site WaterC'' Baseline'!$C$9:$R$257,2,FALSE))</f>
        <v/>
      </c>
      <c r="D157" s="382" t="str">
        <f>IF(C157="","",VLOOKUP($B157,'C-1 On-Site WaterC'' Baseline'!$C$9:$R$257,3,FALSE))</f>
        <v/>
      </c>
      <c r="E157" s="382" t="str">
        <f>IF(D157="","",VLOOKUP($B157,'C-1 On-Site WaterC'' Baseline'!$C$9:$R$257,4,FALSE))</f>
        <v/>
      </c>
      <c r="F157" s="382" t="str">
        <f>IF(E157="","",VLOOKUP($B157,'C-1 On-Site WaterC'' Baseline'!$C$9:$R$257,5,FALSE))</f>
        <v/>
      </c>
      <c r="G157" s="382" t="str">
        <f>IF(F157="","",VLOOKUP($B157,'C-1 On-Site WaterC'' Baseline'!$C$9:$R$257,6,FALSE))</f>
        <v/>
      </c>
      <c r="H157" s="382" t="str">
        <f>IF(G157="","",VLOOKUP($B157,'C-1 On-Site WaterC'' Baseline'!$C$9:$R$257,7,FALSE))</f>
        <v/>
      </c>
      <c r="I157" s="382" t="str">
        <f>IF(H157="","",VLOOKUP($B157,'C-1 On-Site WaterC'' Baseline'!$C$9:$R$257,8,FALSE))</f>
        <v/>
      </c>
      <c r="J157" s="382" t="str">
        <f>IF(I157="","",VLOOKUP($B157,'C-1 On-Site WaterC'' Baseline'!$C$9:$R$257,9,FALSE))</f>
        <v/>
      </c>
      <c r="K157" s="382" t="str">
        <f>IF(J157="","",VLOOKUP($B157,'C-1 On-Site WaterC'' Baseline'!$C$9:$R$257,10,FALSE))</f>
        <v/>
      </c>
      <c r="L157" s="382" t="str">
        <f>IF(B157="","",VLOOKUP($B157,'C-1 On-Site WaterC'' Baseline'!$C$9:$R$257,15,FALSE))</f>
        <v/>
      </c>
      <c r="M157" s="386" t="str">
        <f>IF(L157="","",VLOOKUP($B157,'C-1 On-Site WaterC'' Baseline'!$C$9:$R$257,16,FALSE))</f>
        <v/>
      </c>
      <c r="N157" s="320" t="str">
        <f t="shared" si="16"/>
        <v/>
      </c>
      <c r="O157" s="362" t="str">
        <f t="shared" si="18"/>
        <v/>
      </c>
      <c r="P157" s="363" t="str">
        <f>IF(C157="","",IF(AND(LEFT(C157,55)&lt;&gt;LEFT(N157,55),O157="High - High"),"Error - Not like for like ▲",IF(H157&gt;U157,"Error - Can not reduce condition ▲",IF(AND(F157=S157,H157=U157,AJ157='C-1 On-Site WaterC'' Baseline'!N155,'C-1 On-Site WaterC'' Baseline'!P155=AL157),"Error - No enhancement ▲",IF(AND(C157&lt;&gt;N157,F157&lt;S157),"Lower Distinctiveness Habitat"&amp;" - "&amp;T157,G157&amp;" - "&amp;T157)))))</f>
        <v/>
      </c>
      <c r="Q157" s="425" t="str">
        <f>IF(N157="","",VLOOKUP(B157,'C-1 On-Site WaterC'' Baseline'!$C$10:$AB$257,19,FALSE))</f>
        <v/>
      </c>
      <c r="R157" s="362" t="str">
        <f>IF(N157="","",VLOOKUP(N157,'G-7 WaterC'' Data'!$B$2:$G$8,2,FALSE))</f>
        <v/>
      </c>
      <c r="S157" s="363" t="str">
        <f>IFERROR(VLOOKUP(R157,'G-7 WaterC'' Data'!$C$4:$D$8,2,FALSE),"")</f>
        <v/>
      </c>
      <c r="T157" s="114"/>
      <c r="U157" s="363" t="str">
        <f>IFERROR(INDEX('G-7 WaterC'' Data'!$H$4:$L$8,MATCH(N157,'G-7 WaterC'' Data'!$B$4:$B$8,0),MATCH(T157,'G-7 WaterC'' Data'!$H$3:$L$3,0)),"")</f>
        <v/>
      </c>
      <c r="V157" s="114"/>
      <c r="W157" s="370" t="str">
        <f>IF(V157="","",IF(VLOOKUP(V157,'G-7 WaterC'' Data'!$AK$4:$AM$6,2,FALSE)=0,"Spatial Data Missing ⚠",VLOOKUP(V157,'G-7 WaterC'' Data'!$AK$4:$AM$6,2,FALSE)))</f>
        <v/>
      </c>
      <c r="X157" s="363" t="str">
        <f>IF(V157="","",IF(VLOOKUP(V157,'G-7 WaterC'' Data'!$AK$4:$AM$6,3,FALSE)=0,"Spatial Data Missing ⚠",VLOOKUP(V157,'G-7 WaterC'' Data'!$AK$4:$AM$6,3,FALSE)))</f>
        <v/>
      </c>
      <c r="Y157" s="362" t="str">
        <f>IFERROR(IF(OR(LEFT(P157,5)="Error",LEFT(O157,5)="Error ▲"),"Check Data ⚠",IF(F157&lt;S157,'G-7 WaterC'' Data'!$R$3,INDEX('G-7 WaterC'' Data'!$U$5:$Y$9,MATCH(G157,'G-7 WaterC'' Data'!$T$5:$T$9,0),MATCH(T157,'G-7 WaterC'' Data'!$U$4:$Y$4,0)))),"")</f>
        <v/>
      </c>
      <c r="Z157" s="159"/>
      <c r="AA157" s="159"/>
      <c r="AB157" s="370" t="str">
        <f t="shared" si="19"/>
        <v/>
      </c>
      <c r="AC157" s="383" t="str">
        <f t="shared" si="20"/>
        <v/>
      </c>
      <c r="AD157" s="422" t="str">
        <f>IFERROR(IF(AC157="Check Data ⚠","Check Data ⚠",VLOOKUP(AC157,'G-4 Temporal multipliers'!$A$4:$C$37,3,FALSE)),"")</f>
        <v/>
      </c>
      <c r="AE157" s="362" t="str">
        <f>IF(N157="","",VLOOKUP(N157,'G-7 WaterC'' Data'!$B$4:$G$8,5,FALSE))</f>
        <v/>
      </c>
      <c r="AF157" s="370" t="str">
        <f t="shared" si="21"/>
        <v/>
      </c>
      <c r="AG157" s="401" t="str">
        <f t="shared" si="22"/>
        <v/>
      </c>
      <c r="AH157" s="363" t="str">
        <f t="shared" si="17"/>
        <v/>
      </c>
      <c r="AI157" s="122"/>
      <c r="AJ157" s="363" t="str">
        <f>IF(AI157="","",IF(VLOOKUP(AI157,'G-7 WaterC'' Data'!$AA$4:$AB$7,2,FALSE)=0,"Spatial Data Missing ⚠",VLOOKUP(AI157,'G-7 WaterC'' Data'!$AA$4:$AB$7,2,FALSE)))</f>
        <v/>
      </c>
      <c r="AK157" s="123"/>
      <c r="AL157" s="363" t="str">
        <f>IF(AK157="","",IF(VLOOKUP(AK157,'G-7 WaterC'' Data'!$AD$4:$AE$14,2,FALSE)=0,"Spatial Data Missing ⚠",VLOOKUP(AK157,'G-7 WaterC'' Data'!$AD$4:$AE$14,2,FALSE)))</f>
        <v/>
      </c>
      <c r="AM157" s="405" t="str">
        <f t="shared" si="23"/>
        <v/>
      </c>
      <c r="AN157" s="117"/>
      <c r="AO157" s="118"/>
      <c r="AP157" s="120"/>
      <c r="AV157" s="30" t="str">
        <f>IFERROR(INDEX('G-7 WaterC'' Data'!$AZ$3:$AZ$7,MATCH(N157,'G-7 WaterC'' Data'!$AY$3:$AY$7,0)),"")</f>
        <v/>
      </c>
    </row>
    <row r="158" spans="2:48" ht="15">
      <c r="B158" s="392" t="str">
        <f>'C-1 On-Site WaterC'' Baseline'!AO156</f>
        <v/>
      </c>
      <c r="C158" s="382" t="str">
        <f>IF(B158="","",VLOOKUP($B158,'C-1 On-Site WaterC'' Baseline'!$C$9:$R$257,2,FALSE))</f>
        <v/>
      </c>
      <c r="D158" s="382" t="str">
        <f>IF(C158="","",VLOOKUP($B158,'C-1 On-Site WaterC'' Baseline'!$C$9:$R$257,3,FALSE))</f>
        <v/>
      </c>
      <c r="E158" s="382" t="str">
        <f>IF(D158="","",VLOOKUP($B158,'C-1 On-Site WaterC'' Baseline'!$C$9:$R$257,4,FALSE))</f>
        <v/>
      </c>
      <c r="F158" s="382" t="str">
        <f>IF(E158="","",VLOOKUP($B158,'C-1 On-Site WaterC'' Baseline'!$C$9:$R$257,5,FALSE))</f>
        <v/>
      </c>
      <c r="G158" s="382" t="str">
        <f>IF(F158="","",VLOOKUP($B158,'C-1 On-Site WaterC'' Baseline'!$C$9:$R$257,6,FALSE))</f>
        <v/>
      </c>
      <c r="H158" s="382" t="str">
        <f>IF(G158="","",VLOOKUP($B158,'C-1 On-Site WaterC'' Baseline'!$C$9:$R$257,7,FALSE))</f>
        <v/>
      </c>
      <c r="I158" s="382" t="str">
        <f>IF(H158="","",VLOOKUP($B158,'C-1 On-Site WaterC'' Baseline'!$C$9:$R$257,8,FALSE))</f>
        <v/>
      </c>
      <c r="J158" s="382" t="str">
        <f>IF(I158="","",VLOOKUP($B158,'C-1 On-Site WaterC'' Baseline'!$C$9:$R$257,9,FALSE))</f>
        <v/>
      </c>
      <c r="K158" s="382" t="str">
        <f>IF(J158="","",VLOOKUP($B158,'C-1 On-Site WaterC'' Baseline'!$C$9:$R$257,10,FALSE))</f>
        <v/>
      </c>
      <c r="L158" s="382" t="str">
        <f>IF(B158="","",VLOOKUP($B158,'C-1 On-Site WaterC'' Baseline'!$C$9:$R$257,15,FALSE))</f>
        <v/>
      </c>
      <c r="M158" s="386" t="str">
        <f>IF(L158="","",VLOOKUP($B158,'C-1 On-Site WaterC'' Baseline'!$C$9:$R$257,16,FALSE))</f>
        <v/>
      </c>
      <c r="N158" s="320" t="str">
        <f t="shared" si="16"/>
        <v/>
      </c>
      <c r="O158" s="362" t="str">
        <f t="shared" si="18"/>
        <v/>
      </c>
      <c r="P158" s="363" t="str">
        <f>IF(C158="","",IF(AND(LEFT(C158,55)&lt;&gt;LEFT(N158,55),O158="High - High"),"Error - Not like for like ▲",IF(H158&gt;U158,"Error - Can not reduce condition ▲",IF(AND(F158=S158,H158=U158,AJ158='C-1 On-Site WaterC'' Baseline'!N156,'C-1 On-Site WaterC'' Baseline'!P156=AL158),"Error - No enhancement ▲",IF(AND(C158&lt;&gt;N158,F158&lt;S158),"Lower Distinctiveness Habitat"&amp;" - "&amp;T158,G158&amp;" - "&amp;T158)))))</f>
        <v/>
      </c>
      <c r="Q158" s="425" t="str">
        <f>IF(N158="","",VLOOKUP(B158,'C-1 On-Site WaterC'' Baseline'!$C$10:$AB$257,19,FALSE))</f>
        <v/>
      </c>
      <c r="R158" s="362" t="str">
        <f>IF(N158="","",VLOOKUP(N158,'G-7 WaterC'' Data'!$B$2:$G$8,2,FALSE))</f>
        <v/>
      </c>
      <c r="S158" s="363" t="str">
        <f>IFERROR(VLOOKUP(R158,'G-7 WaterC'' Data'!$C$4:$D$8,2,FALSE),"")</f>
        <v/>
      </c>
      <c r="T158" s="114"/>
      <c r="U158" s="363" t="str">
        <f>IFERROR(INDEX('G-7 WaterC'' Data'!$H$4:$L$8,MATCH(N158,'G-7 WaterC'' Data'!$B$4:$B$8,0),MATCH(T158,'G-7 WaterC'' Data'!$H$3:$L$3,0)),"")</f>
        <v/>
      </c>
      <c r="V158" s="114"/>
      <c r="W158" s="370" t="str">
        <f>IF(V158="","",IF(VLOOKUP(V158,'G-7 WaterC'' Data'!$AK$4:$AM$6,2,FALSE)=0,"Spatial Data Missing ⚠",VLOOKUP(V158,'G-7 WaterC'' Data'!$AK$4:$AM$6,2,FALSE)))</f>
        <v/>
      </c>
      <c r="X158" s="363" t="str">
        <f>IF(V158="","",IF(VLOOKUP(V158,'G-7 WaterC'' Data'!$AK$4:$AM$6,3,FALSE)=0,"Spatial Data Missing ⚠",VLOOKUP(V158,'G-7 WaterC'' Data'!$AK$4:$AM$6,3,FALSE)))</f>
        <v/>
      </c>
      <c r="Y158" s="362" t="str">
        <f>IFERROR(IF(OR(LEFT(P158,5)="Error",LEFT(O158,5)="Error ▲"),"Check Data ⚠",IF(F158&lt;S158,'G-7 WaterC'' Data'!$R$3,INDEX('G-7 WaterC'' Data'!$U$5:$Y$9,MATCH(G158,'G-7 WaterC'' Data'!$T$5:$T$9,0),MATCH(T158,'G-7 WaterC'' Data'!$U$4:$Y$4,0)))),"")</f>
        <v/>
      </c>
      <c r="Z158" s="159"/>
      <c r="AA158" s="159"/>
      <c r="AB158" s="370" t="str">
        <f t="shared" si="19"/>
        <v/>
      </c>
      <c r="AC158" s="383" t="str">
        <f t="shared" si="20"/>
        <v/>
      </c>
      <c r="AD158" s="422" t="str">
        <f>IFERROR(IF(AC158="Check Data ⚠","Check Data ⚠",VLOOKUP(AC158,'G-4 Temporal multipliers'!$A$4:$C$37,3,FALSE)),"")</f>
        <v/>
      </c>
      <c r="AE158" s="362" t="str">
        <f>IF(N158="","",VLOOKUP(N158,'G-7 WaterC'' Data'!$B$4:$G$8,5,FALSE))</f>
        <v/>
      </c>
      <c r="AF158" s="370" t="str">
        <f t="shared" si="21"/>
        <v/>
      </c>
      <c r="AG158" s="401" t="str">
        <f t="shared" si="22"/>
        <v/>
      </c>
      <c r="AH158" s="363" t="str">
        <f t="shared" si="17"/>
        <v/>
      </c>
      <c r="AI158" s="122"/>
      <c r="AJ158" s="363" t="str">
        <f>IF(AI158="","",IF(VLOOKUP(AI158,'G-7 WaterC'' Data'!$AA$4:$AB$7,2,FALSE)=0,"Spatial Data Missing ⚠",VLOOKUP(AI158,'G-7 WaterC'' Data'!$AA$4:$AB$7,2,FALSE)))</f>
        <v/>
      </c>
      <c r="AK158" s="123"/>
      <c r="AL158" s="363" t="str">
        <f>IF(AK158="","",IF(VLOOKUP(AK158,'G-7 WaterC'' Data'!$AD$4:$AE$14,2,FALSE)=0,"Spatial Data Missing ⚠",VLOOKUP(AK158,'G-7 WaterC'' Data'!$AD$4:$AE$14,2,FALSE)))</f>
        <v/>
      </c>
      <c r="AM158" s="405" t="str">
        <f t="shared" si="23"/>
        <v/>
      </c>
      <c r="AN158" s="117"/>
      <c r="AO158" s="118"/>
      <c r="AP158" s="120"/>
      <c r="AV158" s="30" t="str">
        <f>IFERROR(INDEX('G-7 WaterC'' Data'!$AZ$3:$AZ$7,MATCH(N158,'G-7 WaterC'' Data'!$AY$3:$AY$7,0)),"")</f>
        <v/>
      </c>
    </row>
    <row r="159" spans="2:48" ht="15">
      <c r="B159" s="392" t="str">
        <f>'C-1 On-Site WaterC'' Baseline'!AO157</f>
        <v/>
      </c>
      <c r="C159" s="382" t="str">
        <f>IF(B159="","",VLOOKUP($B159,'C-1 On-Site WaterC'' Baseline'!$C$9:$R$257,2,FALSE))</f>
        <v/>
      </c>
      <c r="D159" s="382" t="str">
        <f>IF(C159="","",VLOOKUP($B159,'C-1 On-Site WaterC'' Baseline'!$C$9:$R$257,3,FALSE))</f>
        <v/>
      </c>
      <c r="E159" s="382" t="str">
        <f>IF(D159="","",VLOOKUP($B159,'C-1 On-Site WaterC'' Baseline'!$C$9:$R$257,4,FALSE))</f>
        <v/>
      </c>
      <c r="F159" s="382" t="str">
        <f>IF(E159="","",VLOOKUP($B159,'C-1 On-Site WaterC'' Baseline'!$C$9:$R$257,5,FALSE))</f>
        <v/>
      </c>
      <c r="G159" s="382" t="str">
        <f>IF(F159="","",VLOOKUP($B159,'C-1 On-Site WaterC'' Baseline'!$C$9:$R$257,6,FALSE))</f>
        <v/>
      </c>
      <c r="H159" s="382" t="str">
        <f>IF(G159="","",VLOOKUP($B159,'C-1 On-Site WaterC'' Baseline'!$C$9:$R$257,7,FALSE))</f>
        <v/>
      </c>
      <c r="I159" s="382" t="str">
        <f>IF(H159="","",VLOOKUP($B159,'C-1 On-Site WaterC'' Baseline'!$C$9:$R$257,8,FALSE))</f>
        <v/>
      </c>
      <c r="J159" s="382" t="str">
        <f>IF(I159="","",VLOOKUP($B159,'C-1 On-Site WaterC'' Baseline'!$C$9:$R$257,9,FALSE))</f>
        <v/>
      </c>
      <c r="K159" s="382" t="str">
        <f>IF(J159="","",VLOOKUP($B159,'C-1 On-Site WaterC'' Baseline'!$C$9:$R$257,10,FALSE))</f>
        <v/>
      </c>
      <c r="L159" s="382" t="str">
        <f>IF(B159="","",VLOOKUP($B159,'C-1 On-Site WaterC'' Baseline'!$C$9:$R$257,15,FALSE))</f>
        <v/>
      </c>
      <c r="M159" s="386" t="str">
        <f>IF(L159="","",VLOOKUP($B159,'C-1 On-Site WaterC'' Baseline'!$C$9:$R$257,16,FALSE))</f>
        <v/>
      </c>
      <c r="N159" s="320" t="str">
        <f t="shared" si="16"/>
        <v/>
      </c>
      <c r="O159" s="362" t="str">
        <f t="shared" si="18"/>
        <v/>
      </c>
      <c r="P159" s="363" t="str">
        <f>IF(C159="","",IF(AND(LEFT(C159,55)&lt;&gt;LEFT(N159,55),O159="High - High"),"Error - Not like for like ▲",IF(H159&gt;U159,"Error - Can not reduce condition ▲",IF(AND(F159=S159,H159=U159,AJ159='C-1 On-Site WaterC'' Baseline'!N157,'C-1 On-Site WaterC'' Baseline'!P157=AL159),"Error - No enhancement ▲",IF(AND(C159&lt;&gt;N159,F159&lt;S159),"Lower Distinctiveness Habitat"&amp;" - "&amp;T159,G159&amp;" - "&amp;T159)))))</f>
        <v/>
      </c>
      <c r="Q159" s="425" t="str">
        <f>IF(N159="","",VLOOKUP(B159,'C-1 On-Site WaterC'' Baseline'!$C$10:$AB$257,19,FALSE))</f>
        <v/>
      </c>
      <c r="R159" s="362" t="str">
        <f>IF(N159="","",VLOOKUP(N159,'G-7 WaterC'' Data'!$B$2:$G$8,2,FALSE))</f>
        <v/>
      </c>
      <c r="S159" s="363" t="str">
        <f>IFERROR(VLOOKUP(R159,'G-7 WaterC'' Data'!$C$4:$D$8,2,FALSE),"")</f>
        <v/>
      </c>
      <c r="T159" s="114"/>
      <c r="U159" s="363" t="str">
        <f>IFERROR(INDEX('G-7 WaterC'' Data'!$H$4:$L$8,MATCH(N159,'G-7 WaterC'' Data'!$B$4:$B$8,0),MATCH(T159,'G-7 WaterC'' Data'!$H$3:$L$3,0)),"")</f>
        <v/>
      </c>
      <c r="V159" s="114"/>
      <c r="W159" s="370" t="str">
        <f>IF(V159="","",IF(VLOOKUP(V159,'G-7 WaterC'' Data'!$AK$4:$AM$6,2,FALSE)=0,"Spatial Data Missing ⚠",VLOOKUP(V159,'G-7 WaterC'' Data'!$AK$4:$AM$6,2,FALSE)))</f>
        <v/>
      </c>
      <c r="X159" s="363" t="str">
        <f>IF(V159="","",IF(VLOOKUP(V159,'G-7 WaterC'' Data'!$AK$4:$AM$6,3,FALSE)=0,"Spatial Data Missing ⚠",VLOOKUP(V159,'G-7 WaterC'' Data'!$AK$4:$AM$6,3,FALSE)))</f>
        <v/>
      </c>
      <c r="Y159" s="362" t="str">
        <f>IFERROR(IF(OR(LEFT(P159,5)="Error",LEFT(O159,5)="Error ▲"),"Check Data ⚠",IF(F159&lt;S159,'G-7 WaterC'' Data'!$R$3,INDEX('G-7 WaterC'' Data'!$U$5:$Y$9,MATCH(G159,'G-7 WaterC'' Data'!$T$5:$T$9,0),MATCH(T159,'G-7 WaterC'' Data'!$U$4:$Y$4,0)))),"")</f>
        <v/>
      </c>
      <c r="Z159" s="159"/>
      <c r="AA159" s="159"/>
      <c r="AB159" s="370" t="str">
        <f t="shared" si="19"/>
        <v/>
      </c>
      <c r="AC159" s="383" t="str">
        <f t="shared" si="20"/>
        <v/>
      </c>
      <c r="AD159" s="422" t="str">
        <f>IFERROR(IF(AC159="Check Data ⚠","Check Data ⚠",VLOOKUP(AC159,'G-4 Temporal multipliers'!$A$4:$C$37,3,FALSE)),"")</f>
        <v/>
      </c>
      <c r="AE159" s="362" t="str">
        <f>IF(N159="","",VLOOKUP(N159,'G-7 WaterC'' Data'!$B$4:$G$8,5,FALSE))</f>
        <v/>
      </c>
      <c r="AF159" s="370" t="str">
        <f t="shared" si="21"/>
        <v/>
      </c>
      <c r="AG159" s="401" t="str">
        <f t="shared" si="22"/>
        <v/>
      </c>
      <c r="AH159" s="363" t="str">
        <f t="shared" si="17"/>
        <v/>
      </c>
      <c r="AI159" s="122"/>
      <c r="AJ159" s="363" t="str">
        <f>IF(AI159="","",IF(VLOOKUP(AI159,'G-7 WaterC'' Data'!$AA$4:$AB$7,2,FALSE)=0,"Spatial Data Missing ⚠",VLOOKUP(AI159,'G-7 WaterC'' Data'!$AA$4:$AB$7,2,FALSE)))</f>
        <v/>
      </c>
      <c r="AK159" s="123"/>
      <c r="AL159" s="363" t="str">
        <f>IF(AK159="","",IF(VLOOKUP(AK159,'G-7 WaterC'' Data'!$AD$4:$AE$14,2,FALSE)=0,"Spatial Data Missing ⚠",VLOOKUP(AK159,'G-7 WaterC'' Data'!$AD$4:$AE$14,2,FALSE)))</f>
        <v/>
      </c>
      <c r="AM159" s="405" t="str">
        <f t="shared" si="23"/>
        <v/>
      </c>
      <c r="AN159" s="117"/>
      <c r="AO159" s="118"/>
      <c r="AP159" s="120"/>
      <c r="AV159" s="30" t="str">
        <f>IFERROR(INDEX('G-7 WaterC'' Data'!$AZ$3:$AZ$7,MATCH(N159,'G-7 WaterC'' Data'!$AY$3:$AY$7,0)),"")</f>
        <v/>
      </c>
    </row>
    <row r="160" spans="2:48" ht="15">
      <c r="B160" s="392" t="str">
        <f>'C-1 On-Site WaterC'' Baseline'!AO158</f>
        <v/>
      </c>
      <c r="C160" s="382" t="str">
        <f>IF(B160="","",VLOOKUP($B160,'C-1 On-Site WaterC'' Baseline'!$C$9:$R$257,2,FALSE))</f>
        <v/>
      </c>
      <c r="D160" s="382" t="str">
        <f>IF(C160="","",VLOOKUP($B160,'C-1 On-Site WaterC'' Baseline'!$C$9:$R$257,3,FALSE))</f>
        <v/>
      </c>
      <c r="E160" s="382" t="str">
        <f>IF(D160="","",VLOOKUP($B160,'C-1 On-Site WaterC'' Baseline'!$C$9:$R$257,4,FALSE))</f>
        <v/>
      </c>
      <c r="F160" s="382" t="str">
        <f>IF(E160="","",VLOOKUP($B160,'C-1 On-Site WaterC'' Baseline'!$C$9:$R$257,5,FALSE))</f>
        <v/>
      </c>
      <c r="G160" s="382" t="str">
        <f>IF(F160="","",VLOOKUP($B160,'C-1 On-Site WaterC'' Baseline'!$C$9:$R$257,6,FALSE))</f>
        <v/>
      </c>
      <c r="H160" s="382" t="str">
        <f>IF(G160="","",VLOOKUP($B160,'C-1 On-Site WaterC'' Baseline'!$C$9:$R$257,7,FALSE))</f>
        <v/>
      </c>
      <c r="I160" s="382" t="str">
        <f>IF(H160="","",VLOOKUP($B160,'C-1 On-Site WaterC'' Baseline'!$C$9:$R$257,8,FALSE))</f>
        <v/>
      </c>
      <c r="J160" s="382" t="str">
        <f>IF(I160="","",VLOOKUP($B160,'C-1 On-Site WaterC'' Baseline'!$C$9:$R$257,9,FALSE))</f>
        <v/>
      </c>
      <c r="K160" s="382" t="str">
        <f>IF(J160="","",VLOOKUP($B160,'C-1 On-Site WaterC'' Baseline'!$C$9:$R$257,10,FALSE))</f>
        <v/>
      </c>
      <c r="L160" s="382" t="str">
        <f>IF(B160="","",VLOOKUP($B160,'C-1 On-Site WaterC'' Baseline'!$C$9:$R$257,15,FALSE))</f>
        <v/>
      </c>
      <c r="M160" s="386" t="str">
        <f>IF(L160="","",VLOOKUP($B160,'C-1 On-Site WaterC'' Baseline'!$C$9:$R$257,16,FALSE))</f>
        <v/>
      </c>
      <c r="N160" s="320" t="str">
        <f t="shared" si="16"/>
        <v/>
      </c>
      <c r="O160" s="362" t="str">
        <f t="shared" si="18"/>
        <v/>
      </c>
      <c r="P160" s="363" t="str">
        <f>IF(C160="","",IF(AND(LEFT(C160,55)&lt;&gt;LEFT(N160,55),O160="High - High"),"Error - Not like for like ▲",IF(H160&gt;U160,"Error - Can not reduce condition ▲",IF(AND(F160=S160,H160=U160,AJ160='C-1 On-Site WaterC'' Baseline'!N158,'C-1 On-Site WaterC'' Baseline'!P158=AL160),"Error - No enhancement ▲",IF(AND(C160&lt;&gt;N160,F160&lt;S160),"Lower Distinctiveness Habitat"&amp;" - "&amp;T160,G160&amp;" - "&amp;T160)))))</f>
        <v/>
      </c>
      <c r="Q160" s="425" t="str">
        <f>IF(N160="","",VLOOKUP(B160,'C-1 On-Site WaterC'' Baseline'!$C$10:$AB$257,19,FALSE))</f>
        <v/>
      </c>
      <c r="R160" s="362" t="str">
        <f>IF(N160="","",VLOOKUP(N160,'G-7 WaterC'' Data'!$B$2:$G$8,2,FALSE))</f>
        <v/>
      </c>
      <c r="S160" s="363" t="str">
        <f>IFERROR(VLOOKUP(R160,'G-7 WaterC'' Data'!$C$4:$D$8,2,FALSE),"")</f>
        <v/>
      </c>
      <c r="T160" s="114"/>
      <c r="U160" s="363" t="str">
        <f>IFERROR(INDEX('G-7 WaterC'' Data'!$H$4:$L$8,MATCH(N160,'G-7 WaterC'' Data'!$B$4:$B$8,0),MATCH(T160,'G-7 WaterC'' Data'!$H$3:$L$3,0)),"")</f>
        <v/>
      </c>
      <c r="V160" s="114"/>
      <c r="W160" s="370" t="str">
        <f>IF(V160="","",IF(VLOOKUP(V160,'G-7 WaterC'' Data'!$AK$4:$AM$6,2,FALSE)=0,"Spatial Data Missing ⚠",VLOOKUP(V160,'G-7 WaterC'' Data'!$AK$4:$AM$6,2,FALSE)))</f>
        <v/>
      </c>
      <c r="X160" s="363" t="str">
        <f>IF(V160="","",IF(VLOOKUP(V160,'G-7 WaterC'' Data'!$AK$4:$AM$6,3,FALSE)=0,"Spatial Data Missing ⚠",VLOOKUP(V160,'G-7 WaterC'' Data'!$AK$4:$AM$6,3,FALSE)))</f>
        <v/>
      </c>
      <c r="Y160" s="362" t="str">
        <f>IFERROR(IF(OR(LEFT(P160,5)="Error",LEFT(O160,5)="Error ▲"),"Check Data ⚠",IF(F160&lt;S160,'G-7 WaterC'' Data'!$R$3,INDEX('G-7 WaterC'' Data'!$U$5:$Y$9,MATCH(G160,'G-7 WaterC'' Data'!$T$5:$T$9,0),MATCH(T160,'G-7 WaterC'' Data'!$U$4:$Y$4,0)))),"")</f>
        <v/>
      </c>
      <c r="Z160" s="159"/>
      <c r="AA160" s="159"/>
      <c r="AB160" s="370" t="str">
        <f t="shared" si="19"/>
        <v/>
      </c>
      <c r="AC160" s="383" t="str">
        <f t="shared" si="20"/>
        <v/>
      </c>
      <c r="AD160" s="422" t="str">
        <f>IFERROR(IF(AC160="Check Data ⚠","Check Data ⚠",VLOOKUP(AC160,'G-4 Temporal multipliers'!$A$4:$C$37,3,FALSE)),"")</f>
        <v/>
      </c>
      <c r="AE160" s="362" t="str">
        <f>IF(N160="","",VLOOKUP(N160,'G-7 WaterC'' Data'!$B$4:$G$8,5,FALSE))</f>
        <v/>
      </c>
      <c r="AF160" s="370" t="str">
        <f t="shared" si="21"/>
        <v/>
      </c>
      <c r="AG160" s="401" t="str">
        <f t="shared" si="22"/>
        <v/>
      </c>
      <c r="AH160" s="363" t="str">
        <f t="shared" si="17"/>
        <v/>
      </c>
      <c r="AI160" s="122"/>
      <c r="AJ160" s="363" t="str">
        <f>IF(AI160="","",IF(VLOOKUP(AI160,'G-7 WaterC'' Data'!$AA$4:$AB$7,2,FALSE)=0,"Spatial Data Missing ⚠",VLOOKUP(AI160,'G-7 WaterC'' Data'!$AA$4:$AB$7,2,FALSE)))</f>
        <v/>
      </c>
      <c r="AK160" s="123"/>
      <c r="AL160" s="363" t="str">
        <f>IF(AK160="","",IF(VLOOKUP(AK160,'G-7 WaterC'' Data'!$AD$4:$AE$14,2,FALSE)=0,"Spatial Data Missing ⚠",VLOOKUP(AK160,'G-7 WaterC'' Data'!$AD$4:$AE$14,2,FALSE)))</f>
        <v/>
      </c>
      <c r="AM160" s="405" t="str">
        <f t="shared" si="23"/>
        <v/>
      </c>
      <c r="AN160" s="117"/>
      <c r="AO160" s="118"/>
      <c r="AP160" s="120"/>
      <c r="AV160" s="30" t="str">
        <f>IFERROR(INDEX('G-7 WaterC'' Data'!$AZ$3:$AZ$7,MATCH(N160,'G-7 WaterC'' Data'!$AY$3:$AY$7,0)),"")</f>
        <v/>
      </c>
    </row>
    <row r="161" spans="2:48" ht="15">
      <c r="B161" s="392" t="str">
        <f>'C-1 On-Site WaterC'' Baseline'!AO159</f>
        <v/>
      </c>
      <c r="C161" s="382" t="str">
        <f>IF(B161="","",VLOOKUP($B161,'C-1 On-Site WaterC'' Baseline'!$C$9:$R$257,2,FALSE))</f>
        <v/>
      </c>
      <c r="D161" s="382" t="str">
        <f>IF(C161="","",VLOOKUP($B161,'C-1 On-Site WaterC'' Baseline'!$C$9:$R$257,3,FALSE))</f>
        <v/>
      </c>
      <c r="E161" s="382" t="str">
        <f>IF(D161="","",VLOOKUP($B161,'C-1 On-Site WaterC'' Baseline'!$C$9:$R$257,4,FALSE))</f>
        <v/>
      </c>
      <c r="F161" s="382" t="str">
        <f>IF(E161="","",VLOOKUP($B161,'C-1 On-Site WaterC'' Baseline'!$C$9:$R$257,5,FALSE))</f>
        <v/>
      </c>
      <c r="G161" s="382" t="str">
        <f>IF(F161="","",VLOOKUP($B161,'C-1 On-Site WaterC'' Baseline'!$C$9:$R$257,6,FALSE))</f>
        <v/>
      </c>
      <c r="H161" s="382" t="str">
        <f>IF(G161="","",VLOOKUP($B161,'C-1 On-Site WaterC'' Baseline'!$C$9:$R$257,7,FALSE))</f>
        <v/>
      </c>
      <c r="I161" s="382" t="str">
        <f>IF(H161="","",VLOOKUP($B161,'C-1 On-Site WaterC'' Baseline'!$C$9:$R$257,8,FALSE))</f>
        <v/>
      </c>
      <c r="J161" s="382" t="str">
        <f>IF(I161="","",VLOOKUP($B161,'C-1 On-Site WaterC'' Baseline'!$C$9:$R$257,9,FALSE))</f>
        <v/>
      </c>
      <c r="K161" s="382" t="str">
        <f>IF(J161="","",VLOOKUP($B161,'C-1 On-Site WaterC'' Baseline'!$C$9:$R$257,10,FALSE))</f>
        <v/>
      </c>
      <c r="L161" s="382" t="str">
        <f>IF(B161="","",VLOOKUP($B161,'C-1 On-Site WaterC'' Baseline'!$C$9:$R$257,15,FALSE))</f>
        <v/>
      </c>
      <c r="M161" s="386" t="str">
        <f>IF(L161="","",VLOOKUP($B161,'C-1 On-Site WaterC'' Baseline'!$C$9:$R$257,16,FALSE))</f>
        <v/>
      </c>
      <c r="N161" s="320" t="str">
        <f t="shared" si="16"/>
        <v/>
      </c>
      <c r="O161" s="362" t="str">
        <f t="shared" si="18"/>
        <v/>
      </c>
      <c r="P161" s="363" t="str">
        <f>IF(C161="","",IF(AND(LEFT(C161,55)&lt;&gt;LEFT(N161,55),O161="High - High"),"Error - Not like for like ▲",IF(H161&gt;U161,"Error - Can not reduce condition ▲",IF(AND(F161=S161,H161=U161,AJ161='C-1 On-Site WaterC'' Baseline'!N159,'C-1 On-Site WaterC'' Baseline'!P159=AL161),"Error - No enhancement ▲",IF(AND(C161&lt;&gt;N161,F161&lt;S161),"Lower Distinctiveness Habitat"&amp;" - "&amp;T161,G161&amp;" - "&amp;T161)))))</f>
        <v/>
      </c>
      <c r="Q161" s="425" t="str">
        <f>IF(N161="","",VLOOKUP(B161,'C-1 On-Site WaterC'' Baseline'!$C$10:$AB$257,19,FALSE))</f>
        <v/>
      </c>
      <c r="R161" s="362" t="str">
        <f>IF(N161="","",VLOOKUP(N161,'G-7 WaterC'' Data'!$B$2:$G$8,2,FALSE))</f>
        <v/>
      </c>
      <c r="S161" s="363" t="str">
        <f>IFERROR(VLOOKUP(R161,'G-7 WaterC'' Data'!$C$4:$D$8,2,FALSE),"")</f>
        <v/>
      </c>
      <c r="T161" s="114"/>
      <c r="U161" s="363" t="str">
        <f>IFERROR(INDEX('G-7 WaterC'' Data'!$H$4:$L$8,MATCH(N161,'G-7 WaterC'' Data'!$B$4:$B$8,0),MATCH(T161,'G-7 WaterC'' Data'!$H$3:$L$3,0)),"")</f>
        <v/>
      </c>
      <c r="V161" s="114"/>
      <c r="W161" s="370" t="str">
        <f>IF(V161="","",IF(VLOOKUP(V161,'G-7 WaterC'' Data'!$AK$4:$AM$6,2,FALSE)=0,"Spatial Data Missing ⚠",VLOOKUP(V161,'G-7 WaterC'' Data'!$AK$4:$AM$6,2,FALSE)))</f>
        <v/>
      </c>
      <c r="X161" s="363" t="str">
        <f>IF(V161="","",IF(VLOOKUP(V161,'G-7 WaterC'' Data'!$AK$4:$AM$6,3,FALSE)=0,"Spatial Data Missing ⚠",VLOOKUP(V161,'G-7 WaterC'' Data'!$AK$4:$AM$6,3,FALSE)))</f>
        <v/>
      </c>
      <c r="Y161" s="362" t="str">
        <f>IFERROR(IF(OR(LEFT(P161,5)="Error",LEFT(O161,5)="Error ▲"),"Check Data ⚠",IF(F161&lt;S161,'G-7 WaterC'' Data'!$R$3,INDEX('G-7 WaterC'' Data'!$U$5:$Y$9,MATCH(G161,'G-7 WaterC'' Data'!$T$5:$T$9,0),MATCH(T161,'G-7 WaterC'' Data'!$U$4:$Y$4,0)))),"")</f>
        <v/>
      </c>
      <c r="Z161" s="159"/>
      <c r="AA161" s="159"/>
      <c r="AB161" s="370" t="str">
        <f t="shared" si="19"/>
        <v/>
      </c>
      <c r="AC161" s="383" t="str">
        <f t="shared" si="20"/>
        <v/>
      </c>
      <c r="AD161" s="422" t="str">
        <f>IFERROR(IF(AC161="Check Data ⚠","Check Data ⚠",VLOOKUP(AC161,'G-4 Temporal multipliers'!$A$4:$C$37,3,FALSE)),"")</f>
        <v/>
      </c>
      <c r="AE161" s="362" t="str">
        <f>IF(N161="","",VLOOKUP(N161,'G-7 WaterC'' Data'!$B$4:$G$8,5,FALSE))</f>
        <v/>
      </c>
      <c r="AF161" s="370" t="str">
        <f t="shared" si="21"/>
        <v/>
      </c>
      <c r="AG161" s="401" t="str">
        <f t="shared" si="22"/>
        <v/>
      </c>
      <c r="AH161" s="363" t="str">
        <f t="shared" si="17"/>
        <v/>
      </c>
      <c r="AI161" s="122"/>
      <c r="AJ161" s="363" t="str">
        <f>IF(AI161="","",IF(VLOOKUP(AI161,'G-7 WaterC'' Data'!$AA$4:$AB$7,2,FALSE)=0,"Spatial Data Missing ⚠",VLOOKUP(AI161,'G-7 WaterC'' Data'!$AA$4:$AB$7,2,FALSE)))</f>
        <v/>
      </c>
      <c r="AK161" s="123"/>
      <c r="AL161" s="363" t="str">
        <f>IF(AK161="","",IF(VLOOKUP(AK161,'G-7 WaterC'' Data'!$AD$4:$AE$14,2,FALSE)=0,"Spatial Data Missing ⚠",VLOOKUP(AK161,'G-7 WaterC'' Data'!$AD$4:$AE$14,2,FALSE)))</f>
        <v/>
      </c>
      <c r="AM161" s="405" t="str">
        <f t="shared" si="23"/>
        <v/>
      </c>
      <c r="AN161" s="117"/>
      <c r="AO161" s="118"/>
      <c r="AP161" s="120"/>
      <c r="AV161" s="30" t="str">
        <f>IFERROR(INDEX('G-7 WaterC'' Data'!$AZ$3:$AZ$7,MATCH(N161,'G-7 WaterC'' Data'!$AY$3:$AY$7,0)),"")</f>
        <v/>
      </c>
    </row>
    <row r="162" spans="2:48" ht="15">
      <c r="B162" s="392" t="str">
        <f>'C-1 On-Site WaterC'' Baseline'!AO160</f>
        <v/>
      </c>
      <c r="C162" s="382" t="str">
        <f>IF(B162="","",VLOOKUP($B162,'C-1 On-Site WaterC'' Baseline'!$C$9:$R$257,2,FALSE))</f>
        <v/>
      </c>
      <c r="D162" s="382" t="str">
        <f>IF(C162="","",VLOOKUP($B162,'C-1 On-Site WaterC'' Baseline'!$C$9:$R$257,3,FALSE))</f>
        <v/>
      </c>
      <c r="E162" s="382" t="str">
        <f>IF(D162="","",VLOOKUP($B162,'C-1 On-Site WaterC'' Baseline'!$C$9:$R$257,4,FALSE))</f>
        <v/>
      </c>
      <c r="F162" s="382" t="str">
        <f>IF(E162="","",VLOOKUP($B162,'C-1 On-Site WaterC'' Baseline'!$C$9:$R$257,5,FALSE))</f>
        <v/>
      </c>
      <c r="G162" s="382" t="str">
        <f>IF(F162="","",VLOOKUP($B162,'C-1 On-Site WaterC'' Baseline'!$C$9:$R$257,6,FALSE))</f>
        <v/>
      </c>
      <c r="H162" s="382" t="str">
        <f>IF(G162="","",VLOOKUP($B162,'C-1 On-Site WaterC'' Baseline'!$C$9:$R$257,7,FALSE))</f>
        <v/>
      </c>
      <c r="I162" s="382" t="str">
        <f>IF(H162="","",VLOOKUP($B162,'C-1 On-Site WaterC'' Baseline'!$C$9:$R$257,8,FALSE))</f>
        <v/>
      </c>
      <c r="J162" s="382" t="str">
        <f>IF(I162="","",VLOOKUP($B162,'C-1 On-Site WaterC'' Baseline'!$C$9:$R$257,9,FALSE))</f>
        <v/>
      </c>
      <c r="K162" s="382" t="str">
        <f>IF(J162="","",VLOOKUP($B162,'C-1 On-Site WaterC'' Baseline'!$C$9:$R$257,10,FALSE))</f>
        <v/>
      </c>
      <c r="L162" s="382" t="str">
        <f>IF(B162="","",VLOOKUP($B162,'C-1 On-Site WaterC'' Baseline'!$C$9:$R$257,15,FALSE))</f>
        <v/>
      </c>
      <c r="M162" s="386" t="str">
        <f>IF(L162="","",VLOOKUP($B162,'C-1 On-Site WaterC'' Baseline'!$C$9:$R$257,16,FALSE))</f>
        <v/>
      </c>
      <c r="N162" s="320" t="str">
        <f t="shared" si="16"/>
        <v/>
      </c>
      <c r="O162" s="362" t="str">
        <f t="shared" si="18"/>
        <v/>
      </c>
      <c r="P162" s="363" t="str">
        <f>IF(C162="","",IF(AND(LEFT(C162,55)&lt;&gt;LEFT(N162,55),O162="High - High"),"Error - Not like for like ▲",IF(H162&gt;U162,"Error - Can not reduce condition ▲",IF(AND(F162=S162,H162=U162,AJ162='C-1 On-Site WaterC'' Baseline'!N160,'C-1 On-Site WaterC'' Baseline'!P160=AL162),"Error - No enhancement ▲",IF(AND(C162&lt;&gt;N162,F162&lt;S162),"Lower Distinctiveness Habitat"&amp;" - "&amp;T162,G162&amp;" - "&amp;T162)))))</f>
        <v/>
      </c>
      <c r="Q162" s="425" t="str">
        <f>IF(N162="","",VLOOKUP(B162,'C-1 On-Site WaterC'' Baseline'!$C$10:$AB$257,19,FALSE))</f>
        <v/>
      </c>
      <c r="R162" s="362" t="str">
        <f>IF(N162="","",VLOOKUP(N162,'G-7 WaterC'' Data'!$B$2:$G$8,2,FALSE))</f>
        <v/>
      </c>
      <c r="S162" s="363" t="str">
        <f>IFERROR(VLOOKUP(R162,'G-7 WaterC'' Data'!$C$4:$D$8,2,FALSE),"")</f>
        <v/>
      </c>
      <c r="T162" s="114"/>
      <c r="U162" s="363" t="str">
        <f>IFERROR(INDEX('G-7 WaterC'' Data'!$H$4:$L$8,MATCH(N162,'G-7 WaterC'' Data'!$B$4:$B$8,0),MATCH(T162,'G-7 WaterC'' Data'!$H$3:$L$3,0)),"")</f>
        <v/>
      </c>
      <c r="V162" s="114"/>
      <c r="W162" s="370" t="str">
        <f>IF(V162="","",IF(VLOOKUP(V162,'G-7 WaterC'' Data'!$AK$4:$AM$6,2,FALSE)=0,"Spatial Data Missing ⚠",VLOOKUP(V162,'G-7 WaterC'' Data'!$AK$4:$AM$6,2,FALSE)))</f>
        <v/>
      </c>
      <c r="X162" s="363" t="str">
        <f>IF(V162="","",IF(VLOOKUP(V162,'G-7 WaterC'' Data'!$AK$4:$AM$6,3,FALSE)=0,"Spatial Data Missing ⚠",VLOOKUP(V162,'G-7 WaterC'' Data'!$AK$4:$AM$6,3,FALSE)))</f>
        <v/>
      </c>
      <c r="Y162" s="362" t="str">
        <f>IFERROR(IF(OR(LEFT(P162,5)="Error",LEFT(O162,5)="Error ▲"),"Check Data ⚠",IF(F162&lt;S162,'G-7 WaterC'' Data'!$R$3,INDEX('G-7 WaterC'' Data'!$U$5:$Y$9,MATCH(G162,'G-7 WaterC'' Data'!$T$5:$T$9,0),MATCH(T162,'G-7 WaterC'' Data'!$U$4:$Y$4,0)))),"")</f>
        <v/>
      </c>
      <c r="Z162" s="159"/>
      <c r="AA162" s="159"/>
      <c r="AB162" s="370" t="str">
        <f t="shared" si="19"/>
        <v/>
      </c>
      <c r="AC162" s="383" t="str">
        <f t="shared" si="20"/>
        <v/>
      </c>
      <c r="AD162" s="422" t="str">
        <f>IFERROR(IF(AC162="Check Data ⚠","Check Data ⚠",VLOOKUP(AC162,'G-4 Temporal multipliers'!$A$4:$C$37,3,FALSE)),"")</f>
        <v/>
      </c>
      <c r="AE162" s="362" t="str">
        <f>IF(N162="","",VLOOKUP(N162,'G-7 WaterC'' Data'!$B$4:$G$8,5,FALSE))</f>
        <v/>
      </c>
      <c r="AF162" s="370" t="str">
        <f t="shared" si="21"/>
        <v/>
      </c>
      <c r="AG162" s="401" t="str">
        <f t="shared" si="22"/>
        <v/>
      </c>
      <c r="AH162" s="363" t="str">
        <f t="shared" si="17"/>
        <v/>
      </c>
      <c r="AI162" s="122"/>
      <c r="AJ162" s="363" t="str">
        <f>IF(AI162="","",IF(VLOOKUP(AI162,'G-7 WaterC'' Data'!$AA$4:$AB$7,2,FALSE)=0,"Spatial Data Missing ⚠",VLOOKUP(AI162,'G-7 WaterC'' Data'!$AA$4:$AB$7,2,FALSE)))</f>
        <v/>
      </c>
      <c r="AK162" s="123"/>
      <c r="AL162" s="363" t="str">
        <f>IF(AK162="","",IF(VLOOKUP(AK162,'G-7 WaterC'' Data'!$AD$4:$AE$14,2,FALSE)=0,"Spatial Data Missing ⚠",VLOOKUP(AK162,'G-7 WaterC'' Data'!$AD$4:$AE$14,2,FALSE)))</f>
        <v/>
      </c>
      <c r="AM162" s="405" t="str">
        <f t="shared" si="23"/>
        <v/>
      </c>
      <c r="AN162" s="117"/>
      <c r="AO162" s="118"/>
      <c r="AP162" s="120"/>
      <c r="AV162" s="30" t="str">
        <f>IFERROR(INDEX('G-7 WaterC'' Data'!$AZ$3:$AZ$7,MATCH(N162,'G-7 WaterC'' Data'!$AY$3:$AY$7,0)),"")</f>
        <v/>
      </c>
    </row>
    <row r="163" spans="2:48" ht="15">
      <c r="B163" s="392" t="str">
        <f>'C-1 On-Site WaterC'' Baseline'!AO161</f>
        <v/>
      </c>
      <c r="C163" s="382" t="str">
        <f>IF(B163="","",VLOOKUP($B163,'C-1 On-Site WaterC'' Baseline'!$C$9:$R$257,2,FALSE))</f>
        <v/>
      </c>
      <c r="D163" s="382" t="str">
        <f>IF(C163="","",VLOOKUP($B163,'C-1 On-Site WaterC'' Baseline'!$C$9:$R$257,3,FALSE))</f>
        <v/>
      </c>
      <c r="E163" s="382" t="str">
        <f>IF(D163="","",VLOOKUP($B163,'C-1 On-Site WaterC'' Baseline'!$C$9:$R$257,4,FALSE))</f>
        <v/>
      </c>
      <c r="F163" s="382" t="str">
        <f>IF(E163="","",VLOOKUP($B163,'C-1 On-Site WaterC'' Baseline'!$C$9:$R$257,5,FALSE))</f>
        <v/>
      </c>
      <c r="G163" s="382" t="str">
        <f>IF(F163="","",VLOOKUP($B163,'C-1 On-Site WaterC'' Baseline'!$C$9:$R$257,6,FALSE))</f>
        <v/>
      </c>
      <c r="H163" s="382" t="str">
        <f>IF(G163="","",VLOOKUP($B163,'C-1 On-Site WaterC'' Baseline'!$C$9:$R$257,7,FALSE))</f>
        <v/>
      </c>
      <c r="I163" s="382" t="str">
        <f>IF(H163="","",VLOOKUP($B163,'C-1 On-Site WaterC'' Baseline'!$C$9:$R$257,8,FALSE))</f>
        <v/>
      </c>
      <c r="J163" s="382" t="str">
        <f>IF(I163="","",VLOOKUP($B163,'C-1 On-Site WaterC'' Baseline'!$C$9:$R$257,9,FALSE))</f>
        <v/>
      </c>
      <c r="K163" s="382" t="str">
        <f>IF(J163="","",VLOOKUP($B163,'C-1 On-Site WaterC'' Baseline'!$C$9:$R$257,10,FALSE))</f>
        <v/>
      </c>
      <c r="L163" s="382" t="str">
        <f>IF(B163="","",VLOOKUP($B163,'C-1 On-Site WaterC'' Baseline'!$C$9:$R$257,15,FALSE))</f>
        <v/>
      </c>
      <c r="M163" s="386" t="str">
        <f>IF(L163="","",VLOOKUP($B163,'C-1 On-Site WaterC'' Baseline'!$C$9:$R$257,16,FALSE))</f>
        <v/>
      </c>
      <c r="N163" s="320" t="str">
        <f t="shared" si="16"/>
        <v/>
      </c>
      <c r="O163" s="362" t="str">
        <f t="shared" si="18"/>
        <v/>
      </c>
      <c r="P163" s="363" t="str">
        <f>IF(C163="","",IF(AND(LEFT(C163,55)&lt;&gt;LEFT(N163,55),O163="High - High"),"Error - Not like for like ▲",IF(H163&gt;U163,"Error - Can not reduce condition ▲",IF(AND(F163=S163,H163=U163,AJ163='C-1 On-Site WaterC'' Baseline'!N161,'C-1 On-Site WaterC'' Baseline'!P161=AL163),"Error - No enhancement ▲",IF(AND(C163&lt;&gt;N163,F163&lt;S163),"Lower Distinctiveness Habitat"&amp;" - "&amp;T163,G163&amp;" - "&amp;T163)))))</f>
        <v/>
      </c>
      <c r="Q163" s="425" t="str">
        <f>IF(N163="","",VLOOKUP(B163,'C-1 On-Site WaterC'' Baseline'!$C$10:$AB$257,19,FALSE))</f>
        <v/>
      </c>
      <c r="R163" s="362" t="str">
        <f>IF(N163="","",VLOOKUP(N163,'G-7 WaterC'' Data'!$B$2:$G$8,2,FALSE))</f>
        <v/>
      </c>
      <c r="S163" s="363" t="str">
        <f>IFERROR(VLOOKUP(R163,'G-7 WaterC'' Data'!$C$4:$D$8,2,FALSE),"")</f>
        <v/>
      </c>
      <c r="T163" s="114"/>
      <c r="U163" s="363" t="str">
        <f>IFERROR(INDEX('G-7 WaterC'' Data'!$H$4:$L$8,MATCH(N163,'G-7 WaterC'' Data'!$B$4:$B$8,0),MATCH(T163,'G-7 WaterC'' Data'!$H$3:$L$3,0)),"")</f>
        <v/>
      </c>
      <c r="V163" s="114"/>
      <c r="W163" s="370" t="str">
        <f>IF(V163="","",IF(VLOOKUP(V163,'G-7 WaterC'' Data'!$AK$4:$AM$6,2,FALSE)=0,"Spatial Data Missing ⚠",VLOOKUP(V163,'G-7 WaterC'' Data'!$AK$4:$AM$6,2,FALSE)))</f>
        <v/>
      </c>
      <c r="X163" s="363" t="str">
        <f>IF(V163="","",IF(VLOOKUP(V163,'G-7 WaterC'' Data'!$AK$4:$AM$6,3,FALSE)=0,"Spatial Data Missing ⚠",VLOOKUP(V163,'G-7 WaterC'' Data'!$AK$4:$AM$6,3,FALSE)))</f>
        <v/>
      </c>
      <c r="Y163" s="362" t="str">
        <f>IFERROR(IF(OR(LEFT(P163,5)="Error",LEFT(O163,5)="Error ▲"),"Check Data ⚠",IF(F163&lt;S163,'G-7 WaterC'' Data'!$R$3,INDEX('G-7 WaterC'' Data'!$U$5:$Y$9,MATCH(G163,'G-7 WaterC'' Data'!$T$5:$T$9,0),MATCH(T163,'G-7 WaterC'' Data'!$U$4:$Y$4,0)))),"")</f>
        <v/>
      </c>
      <c r="Z163" s="159"/>
      <c r="AA163" s="159"/>
      <c r="AB163" s="370" t="str">
        <f t="shared" si="19"/>
        <v/>
      </c>
      <c r="AC163" s="383" t="str">
        <f t="shared" si="20"/>
        <v/>
      </c>
      <c r="AD163" s="422" t="str">
        <f>IFERROR(IF(AC163="Check Data ⚠","Check Data ⚠",VLOOKUP(AC163,'G-4 Temporal multipliers'!$A$4:$C$37,3,FALSE)),"")</f>
        <v/>
      </c>
      <c r="AE163" s="362" t="str">
        <f>IF(N163="","",VLOOKUP(N163,'G-7 WaterC'' Data'!$B$4:$G$8,5,FALSE))</f>
        <v/>
      </c>
      <c r="AF163" s="370" t="str">
        <f t="shared" si="21"/>
        <v/>
      </c>
      <c r="AG163" s="401" t="str">
        <f t="shared" si="22"/>
        <v/>
      </c>
      <c r="AH163" s="363" t="str">
        <f t="shared" si="17"/>
        <v/>
      </c>
      <c r="AI163" s="122"/>
      <c r="AJ163" s="363" t="str">
        <f>IF(AI163="","",IF(VLOOKUP(AI163,'G-7 WaterC'' Data'!$AA$4:$AB$7,2,FALSE)=0,"Spatial Data Missing ⚠",VLOOKUP(AI163,'G-7 WaterC'' Data'!$AA$4:$AB$7,2,FALSE)))</f>
        <v/>
      </c>
      <c r="AK163" s="123"/>
      <c r="AL163" s="363" t="str">
        <f>IF(AK163="","",IF(VLOOKUP(AK163,'G-7 WaterC'' Data'!$AD$4:$AE$14,2,FALSE)=0,"Spatial Data Missing ⚠",VLOOKUP(AK163,'G-7 WaterC'' Data'!$AD$4:$AE$14,2,FALSE)))</f>
        <v/>
      </c>
      <c r="AM163" s="405" t="str">
        <f t="shared" si="23"/>
        <v/>
      </c>
      <c r="AN163" s="117"/>
      <c r="AO163" s="118"/>
      <c r="AP163" s="120"/>
      <c r="AV163" s="30" t="str">
        <f>IFERROR(INDEX('G-7 WaterC'' Data'!$AZ$3:$AZ$7,MATCH(N163,'G-7 WaterC'' Data'!$AY$3:$AY$7,0)),"")</f>
        <v/>
      </c>
    </row>
    <row r="164" spans="2:48" ht="15">
      <c r="B164" s="392" t="str">
        <f>'C-1 On-Site WaterC'' Baseline'!AO162</f>
        <v/>
      </c>
      <c r="C164" s="382" t="str">
        <f>IF(B164="","",VLOOKUP($B164,'C-1 On-Site WaterC'' Baseline'!$C$9:$R$257,2,FALSE))</f>
        <v/>
      </c>
      <c r="D164" s="382" t="str">
        <f>IF(C164="","",VLOOKUP($B164,'C-1 On-Site WaterC'' Baseline'!$C$9:$R$257,3,FALSE))</f>
        <v/>
      </c>
      <c r="E164" s="382" t="str">
        <f>IF(D164="","",VLOOKUP($B164,'C-1 On-Site WaterC'' Baseline'!$C$9:$R$257,4,FALSE))</f>
        <v/>
      </c>
      <c r="F164" s="382" t="str">
        <f>IF(E164="","",VLOOKUP($B164,'C-1 On-Site WaterC'' Baseline'!$C$9:$R$257,5,FALSE))</f>
        <v/>
      </c>
      <c r="G164" s="382" t="str">
        <f>IF(F164="","",VLOOKUP($B164,'C-1 On-Site WaterC'' Baseline'!$C$9:$R$257,6,FALSE))</f>
        <v/>
      </c>
      <c r="H164" s="382" t="str">
        <f>IF(G164="","",VLOOKUP($B164,'C-1 On-Site WaterC'' Baseline'!$C$9:$R$257,7,FALSE))</f>
        <v/>
      </c>
      <c r="I164" s="382" t="str">
        <f>IF(H164="","",VLOOKUP($B164,'C-1 On-Site WaterC'' Baseline'!$C$9:$R$257,8,FALSE))</f>
        <v/>
      </c>
      <c r="J164" s="382" t="str">
        <f>IF(I164="","",VLOOKUP($B164,'C-1 On-Site WaterC'' Baseline'!$C$9:$R$257,9,FALSE))</f>
        <v/>
      </c>
      <c r="K164" s="382" t="str">
        <f>IF(J164="","",VLOOKUP($B164,'C-1 On-Site WaterC'' Baseline'!$C$9:$R$257,10,FALSE))</f>
        <v/>
      </c>
      <c r="L164" s="382" t="str">
        <f>IF(B164="","",VLOOKUP($B164,'C-1 On-Site WaterC'' Baseline'!$C$9:$R$257,15,FALSE))</f>
        <v/>
      </c>
      <c r="M164" s="386" t="str">
        <f>IF(L164="","",VLOOKUP($B164,'C-1 On-Site WaterC'' Baseline'!$C$9:$R$257,16,FALSE))</f>
        <v/>
      </c>
      <c r="N164" s="320" t="str">
        <f t="shared" si="16"/>
        <v/>
      </c>
      <c r="O164" s="362" t="str">
        <f t="shared" si="18"/>
        <v/>
      </c>
      <c r="P164" s="363" t="str">
        <f>IF(C164="","",IF(AND(LEFT(C164,55)&lt;&gt;LEFT(N164,55),O164="High - High"),"Error - Not like for like ▲",IF(H164&gt;U164,"Error - Can not reduce condition ▲",IF(AND(F164=S164,H164=U164,AJ164='C-1 On-Site WaterC'' Baseline'!N162,'C-1 On-Site WaterC'' Baseline'!P162=AL164),"Error - No enhancement ▲",IF(AND(C164&lt;&gt;N164,F164&lt;S164),"Lower Distinctiveness Habitat"&amp;" - "&amp;T164,G164&amp;" - "&amp;T164)))))</f>
        <v/>
      </c>
      <c r="Q164" s="425" t="str">
        <f>IF(N164="","",VLOOKUP(B164,'C-1 On-Site WaterC'' Baseline'!$C$10:$AB$257,19,FALSE))</f>
        <v/>
      </c>
      <c r="R164" s="362" t="str">
        <f>IF(N164="","",VLOOKUP(N164,'G-7 WaterC'' Data'!$B$2:$G$8,2,FALSE))</f>
        <v/>
      </c>
      <c r="S164" s="363" t="str">
        <f>IFERROR(VLOOKUP(R164,'G-7 WaterC'' Data'!$C$4:$D$8,2,FALSE),"")</f>
        <v/>
      </c>
      <c r="T164" s="114"/>
      <c r="U164" s="363" t="str">
        <f>IFERROR(INDEX('G-7 WaterC'' Data'!$H$4:$L$8,MATCH(N164,'G-7 WaterC'' Data'!$B$4:$B$8,0),MATCH(T164,'G-7 WaterC'' Data'!$H$3:$L$3,0)),"")</f>
        <v/>
      </c>
      <c r="V164" s="114"/>
      <c r="W164" s="370" t="str">
        <f>IF(V164="","",IF(VLOOKUP(V164,'G-7 WaterC'' Data'!$AK$4:$AM$6,2,FALSE)=0,"Spatial Data Missing ⚠",VLOOKUP(V164,'G-7 WaterC'' Data'!$AK$4:$AM$6,2,FALSE)))</f>
        <v/>
      </c>
      <c r="X164" s="363" t="str">
        <f>IF(V164="","",IF(VLOOKUP(V164,'G-7 WaterC'' Data'!$AK$4:$AM$6,3,FALSE)=0,"Spatial Data Missing ⚠",VLOOKUP(V164,'G-7 WaterC'' Data'!$AK$4:$AM$6,3,FALSE)))</f>
        <v/>
      </c>
      <c r="Y164" s="362" t="str">
        <f>IFERROR(IF(OR(LEFT(P164,5)="Error",LEFT(O164,5)="Error ▲"),"Check Data ⚠",IF(F164&lt;S164,'G-7 WaterC'' Data'!$R$3,INDEX('G-7 WaterC'' Data'!$U$5:$Y$9,MATCH(G164,'G-7 WaterC'' Data'!$T$5:$T$9,0),MATCH(T164,'G-7 WaterC'' Data'!$U$4:$Y$4,0)))),"")</f>
        <v/>
      </c>
      <c r="Z164" s="159"/>
      <c r="AA164" s="159"/>
      <c r="AB164" s="370" t="str">
        <f t="shared" si="19"/>
        <v/>
      </c>
      <c r="AC164" s="383" t="str">
        <f t="shared" si="20"/>
        <v/>
      </c>
      <c r="AD164" s="422" t="str">
        <f>IFERROR(IF(AC164="Check Data ⚠","Check Data ⚠",VLOOKUP(AC164,'G-4 Temporal multipliers'!$A$4:$C$37,3,FALSE)),"")</f>
        <v/>
      </c>
      <c r="AE164" s="362" t="str">
        <f>IF(N164="","",VLOOKUP(N164,'G-7 WaterC'' Data'!$B$4:$G$8,5,FALSE))</f>
        <v/>
      </c>
      <c r="AF164" s="370" t="str">
        <f t="shared" si="21"/>
        <v/>
      </c>
      <c r="AG164" s="401" t="str">
        <f t="shared" si="22"/>
        <v/>
      </c>
      <c r="AH164" s="363" t="str">
        <f t="shared" si="17"/>
        <v/>
      </c>
      <c r="AI164" s="122"/>
      <c r="AJ164" s="363" t="str">
        <f>IF(AI164="","",IF(VLOOKUP(AI164,'G-7 WaterC'' Data'!$AA$4:$AB$7,2,FALSE)=0,"Spatial Data Missing ⚠",VLOOKUP(AI164,'G-7 WaterC'' Data'!$AA$4:$AB$7,2,FALSE)))</f>
        <v/>
      </c>
      <c r="AK164" s="123"/>
      <c r="AL164" s="363" t="str">
        <f>IF(AK164="","",IF(VLOOKUP(AK164,'G-7 WaterC'' Data'!$AD$4:$AE$14,2,FALSE)=0,"Spatial Data Missing ⚠",VLOOKUP(AK164,'G-7 WaterC'' Data'!$AD$4:$AE$14,2,FALSE)))</f>
        <v/>
      </c>
      <c r="AM164" s="405" t="str">
        <f t="shared" si="23"/>
        <v/>
      </c>
      <c r="AN164" s="117"/>
      <c r="AO164" s="118"/>
      <c r="AP164" s="120"/>
      <c r="AV164" s="30" t="str">
        <f>IFERROR(INDEX('G-7 WaterC'' Data'!$AZ$3:$AZ$7,MATCH(N164,'G-7 WaterC'' Data'!$AY$3:$AY$7,0)),"")</f>
        <v/>
      </c>
    </row>
    <row r="165" spans="2:48" ht="15">
      <c r="B165" s="392" t="str">
        <f>'C-1 On-Site WaterC'' Baseline'!AO163</f>
        <v/>
      </c>
      <c r="C165" s="382" t="str">
        <f>IF(B165="","",VLOOKUP($B165,'C-1 On-Site WaterC'' Baseline'!$C$9:$R$257,2,FALSE))</f>
        <v/>
      </c>
      <c r="D165" s="382" t="str">
        <f>IF(C165="","",VLOOKUP($B165,'C-1 On-Site WaterC'' Baseline'!$C$9:$R$257,3,FALSE))</f>
        <v/>
      </c>
      <c r="E165" s="382" t="str">
        <f>IF(D165="","",VLOOKUP($B165,'C-1 On-Site WaterC'' Baseline'!$C$9:$R$257,4,FALSE))</f>
        <v/>
      </c>
      <c r="F165" s="382" t="str">
        <f>IF(E165="","",VLOOKUP($B165,'C-1 On-Site WaterC'' Baseline'!$C$9:$R$257,5,FALSE))</f>
        <v/>
      </c>
      <c r="G165" s="382" t="str">
        <f>IF(F165="","",VLOOKUP($B165,'C-1 On-Site WaterC'' Baseline'!$C$9:$R$257,6,FALSE))</f>
        <v/>
      </c>
      <c r="H165" s="382" t="str">
        <f>IF(G165="","",VLOOKUP($B165,'C-1 On-Site WaterC'' Baseline'!$C$9:$R$257,7,FALSE))</f>
        <v/>
      </c>
      <c r="I165" s="382" t="str">
        <f>IF(H165="","",VLOOKUP($B165,'C-1 On-Site WaterC'' Baseline'!$C$9:$R$257,8,FALSE))</f>
        <v/>
      </c>
      <c r="J165" s="382" t="str">
        <f>IF(I165="","",VLOOKUP($B165,'C-1 On-Site WaterC'' Baseline'!$C$9:$R$257,9,FALSE))</f>
        <v/>
      </c>
      <c r="K165" s="382" t="str">
        <f>IF(J165="","",VLOOKUP($B165,'C-1 On-Site WaterC'' Baseline'!$C$9:$R$257,10,FALSE))</f>
        <v/>
      </c>
      <c r="L165" s="382" t="str">
        <f>IF(B165="","",VLOOKUP($B165,'C-1 On-Site WaterC'' Baseline'!$C$9:$R$257,15,FALSE))</f>
        <v/>
      </c>
      <c r="M165" s="386" t="str">
        <f>IF(L165="","",VLOOKUP($B165,'C-1 On-Site WaterC'' Baseline'!$C$9:$R$257,16,FALSE))</f>
        <v/>
      </c>
      <c r="N165" s="320" t="str">
        <f t="shared" si="16"/>
        <v/>
      </c>
      <c r="O165" s="362" t="str">
        <f t="shared" si="18"/>
        <v/>
      </c>
      <c r="P165" s="363" t="str">
        <f>IF(C165="","",IF(AND(LEFT(C165,55)&lt;&gt;LEFT(N165,55),O165="High - High"),"Error - Not like for like ▲",IF(H165&gt;U165,"Error - Can not reduce condition ▲",IF(AND(F165=S165,H165=U165,AJ165='C-1 On-Site WaterC'' Baseline'!N163,'C-1 On-Site WaterC'' Baseline'!P163=AL165),"Error - No enhancement ▲",IF(AND(C165&lt;&gt;N165,F165&lt;S165),"Lower Distinctiveness Habitat"&amp;" - "&amp;T165,G165&amp;" - "&amp;T165)))))</f>
        <v/>
      </c>
      <c r="Q165" s="425" t="str">
        <f>IF(N165="","",VLOOKUP(B165,'C-1 On-Site WaterC'' Baseline'!$C$10:$AB$257,19,FALSE))</f>
        <v/>
      </c>
      <c r="R165" s="362" t="str">
        <f>IF(N165="","",VLOOKUP(N165,'G-7 WaterC'' Data'!$B$2:$G$8,2,FALSE))</f>
        <v/>
      </c>
      <c r="S165" s="363" t="str">
        <f>IFERROR(VLOOKUP(R165,'G-7 WaterC'' Data'!$C$4:$D$8,2,FALSE),"")</f>
        <v/>
      </c>
      <c r="T165" s="114"/>
      <c r="U165" s="363" t="str">
        <f>IFERROR(INDEX('G-7 WaterC'' Data'!$H$4:$L$8,MATCH(N165,'G-7 WaterC'' Data'!$B$4:$B$8,0),MATCH(T165,'G-7 WaterC'' Data'!$H$3:$L$3,0)),"")</f>
        <v/>
      </c>
      <c r="V165" s="114"/>
      <c r="W165" s="370" t="str">
        <f>IF(V165="","",IF(VLOOKUP(V165,'G-7 WaterC'' Data'!$AK$4:$AM$6,2,FALSE)=0,"Spatial Data Missing ⚠",VLOOKUP(V165,'G-7 WaterC'' Data'!$AK$4:$AM$6,2,FALSE)))</f>
        <v/>
      </c>
      <c r="X165" s="363" t="str">
        <f>IF(V165="","",IF(VLOOKUP(V165,'G-7 WaterC'' Data'!$AK$4:$AM$6,3,FALSE)=0,"Spatial Data Missing ⚠",VLOOKUP(V165,'G-7 WaterC'' Data'!$AK$4:$AM$6,3,FALSE)))</f>
        <v/>
      </c>
      <c r="Y165" s="362" t="str">
        <f>IFERROR(IF(OR(LEFT(P165,5)="Error",LEFT(O165,5)="Error ▲"),"Check Data ⚠",IF(F165&lt;S165,'G-7 WaterC'' Data'!$R$3,INDEX('G-7 WaterC'' Data'!$U$5:$Y$9,MATCH(G165,'G-7 WaterC'' Data'!$T$5:$T$9,0),MATCH(T165,'G-7 WaterC'' Data'!$U$4:$Y$4,0)))),"")</f>
        <v/>
      </c>
      <c r="Z165" s="159"/>
      <c r="AA165" s="159"/>
      <c r="AB165" s="370" t="str">
        <f t="shared" si="19"/>
        <v/>
      </c>
      <c r="AC165" s="383" t="str">
        <f t="shared" si="20"/>
        <v/>
      </c>
      <c r="AD165" s="422" t="str">
        <f>IFERROR(IF(AC165="Check Data ⚠","Check Data ⚠",VLOOKUP(AC165,'G-4 Temporal multipliers'!$A$4:$C$37,3,FALSE)),"")</f>
        <v/>
      </c>
      <c r="AE165" s="362" t="str">
        <f>IF(N165="","",VLOOKUP(N165,'G-7 WaterC'' Data'!$B$4:$G$8,5,FALSE))</f>
        <v/>
      </c>
      <c r="AF165" s="370" t="str">
        <f t="shared" si="21"/>
        <v/>
      </c>
      <c r="AG165" s="401" t="str">
        <f t="shared" si="22"/>
        <v/>
      </c>
      <c r="AH165" s="363" t="str">
        <f t="shared" si="17"/>
        <v/>
      </c>
      <c r="AI165" s="122"/>
      <c r="AJ165" s="363" t="str">
        <f>IF(AI165="","",IF(VLOOKUP(AI165,'G-7 WaterC'' Data'!$AA$4:$AB$7,2,FALSE)=0,"Spatial Data Missing ⚠",VLOOKUP(AI165,'G-7 WaterC'' Data'!$AA$4:$AB$7,2,FALSE)))</f>
        <v/>
      </c>
      <c r="AK165" s="123"/>
      <c r="AL165" s="363" t="str">
        <f>IF(AK165="","",IF(VLOOKUP(AK165,'G-7 WaterC'' Data'!$AD$4:$AE$14,2,FALSE)=0,"Spatial Data Missing ⚠",VLOOKUP(AK165,'G-7 WaterC'' Data'!$AD$4:$AE$14,2,FALSE)))</f>
        <v/>
      </c>
      <c r="AM165" s="405" t="str">
        <f t="shared" si="23"/>
        <v/>
      </c>
      <c r="AN165" s="117"/>
      <c r="AO165" s="118"/>
      <c r="AP165" s="120"/>
      <c r="AV165" s="30" t="str">
        <f>IFERROR(INDEX('G-7 WaterC'' Data'!$AZ$3:$AZ$7,MATCH(N165,'G-7 WaterC'' Data'!$AY$3:$AY$7,0)),"")</f>
        <v/>
      </c>
    </row>
    <row r="166" spans="2:48" ht="15">
      <c r="B166" s="392" t="str">
        <f>'C-1 On-Site WaterC'' Baseline'!AO164</f>
        <v/>
      </c>
      <c r="C166" s="382" t="str">
        <f>IF(B166="","",VLOOKUP($B166,'C-1 On-Site WaterC'' Baseline'!$C$9:$R$257,2,FALSE))</f>
        <v/>
      </c>
      <c r="D166" s="382" t="str">
        <f>IF(C166="","",VLOOKUP($B166,'C-1 On-Site WaterC'' Baseline'!$C$9:$R$257,3,FALSE))</f>
        <v/>
      </c>
      <c r="E166" s="382" t="str">
        <f>IF(D166="","",VLOOKUP($B166,'C-1 On-Site WaterC'' Baseline'!$C$9:$R$257,4,FALSE))</f>
        <v/>
      </c>
      <c r="F166" s="382" t="str">
        <f>IF(E166="","",VLOOKUP($B166,'C-1 On-Site WaterC'' Baseline'!$C$9:$R$257,5,FALSE))</f>
        <v/>
      </c>
      <c r="G166" s="382" t="str">
        <f>IF(F166="","",VLOOKUP($B166,'C-1 On-Site WaterC'' Baseline'!$C$9:$R$257,6,FALSE))</f>
        <v/>
      </c>
      <c r="H166" s="382" t="str">
        <f>IF(G166="","",VLOOKUP($B166,'C-1 On-Site WaterC'' Baseline'!$C$9:$R$257,7,FALSE))</f>
        <v/>
      </c>
      <c r="I166" s="382" t="str">
        <f>IF(H166="","",VLOOKUP($B166,'C-1 On-Site WaterC'' Baseline'!$C$9:$R$257,8,FALSE))</f>
        <v/>
      </c>
      <c r="J166" s="382" t="str">
        <f>IF(I166="","",VLOOKUP($B166,'C-1 On-Site WaterC'' Baseline'!$C$9:$R$257,9,FALSE))</f>
        <v/>
      </c>
      <c r="K166" s="382" t="str">
        <f>IF(J166="","",VLOOKUP($B166,'C-1 On-Site WaterC'' Baseline'!$C$9:$R$257,10,FALSE))</f>
        <v/>
      </c>
      <c r="L166" s="382" t="str">
        <f>IF(B166="","",VLOOKUP($B166,'C-1 On-Site WaterC'' Baseline'!$C$9:$R$257,15,FALSE))</f>
        <v/>
      </c>
      <c r="M166" s="386" t="str">
        <f>IF(L166="","",VLOOKUP($B166,'C-1 On-Site WaterC'' Baseline'!$C$9:$R$257,16,FALSE))</f>
        <v/>
      </c>
      <c r="N166" s="320" t="str">
        <f t="shared" si="16"/>
        <v/>
      </c>
      <c r="O166" s="362" t="str">
        <f t="shared" si="18"/>
        <v/>
      </c>
      <c r="P166" s="363" t="str">
        <f>IF(C166="","",IF(AND(LEFT(C166,55)&lt;&gt;LEFT(N166,55),O166="High - High"),"Error - Not like for like ▲",IF(H166&gt;U166,"Error - Can not reduce condition ▲",IF(AND(F166=S166,H166=U166,AJ166='C-1 On-Site WaterC'' Baseline'!N164,'C-1 On-Site WaterC'' Baseline'!P164=AL166),"Error - No enhancement ▲",IF(AND(C166&lt;&gt;N166,F166&lt;S166),"Lower Distinctiveness Habitat"&amp;" - "&amp;T166,G166&amp;" - "&amp;T166)))))</f>
        <v/>
      </c>
      <c r="Q166" s="425" t="str">
        <f>IF(N166="","",VLOOKUP(B166,'C-1 On-Site WaterC'' Baseline'!$C$10:$AB$257,19,FALSE))</f>
        <v/>
      </c>
      <c r="R166" s="362" t="str">
        <f>IF(N166="","",VLOOKUP(N166,'G-7 WaterC'' Data'!$B$2:$G$8,2,FALSE))</f>
        <v/>
      </c>
      <c r="S166" s="363" t="str">
        <f>IFERROR(VLOOKUP(R166,'G-7 WaterC'' Data'!$C$4:$D$8,2,FALSE),"")</f>
        <v/>
      </c>
      <c r="T166" s="114"/>
      <c r="U166" s="363" t="str">
        <f>IFERROR(INDEX('G-7 WaterC'' Data'!$H$4:$L$8,MATCH(N166,'G-7 WaterC'' Data'!$B$4:$B$8,0),MATCH(T166,'G-7 WaterC'' Data'!$H$3:$L$3,0)),"")</f>
        <v/>
      </c>
      <c r="V166" s="114"/>
      <c r="W166" s="370" t="str">
        <f>IF(V166="","",IF(VLOOKUP(V166,'G-7 WaterC'' Data'!$AK$4:$AM$6,2,FALSE)=0,"Spatial Data Missing ⚠",VLOOKUP(V166,'G-7 WaterC'' Data'!$AK$4:$AM$6,2,FALSE)))</f>
        <v/>
      </c>
      <c r="X166" s="363" t="str">
        <f>IF(V166="","",IF(VLOOKUP(V166,'G-7 WaterC'' Data'!$AK$4:$AM$6,3,FALSE)=0,"Spatial Data Missing ⚠",VLOOKUP(V166,'G-7 WaterC'' Data'!$AK$4:$AM$6,3,FALSE)))</f>
        <v/>
      </c>
      <c r="Y166" s="362" t="str">
        <f>IFERROR(IF(OR(LEFT(P166,5)="Error",LEFT(O166,5)="Error ▲"),"Check Data ⚠",IF(F166&lt;S166,'G-7 WaterC'' Data'!$R$3,INDEX('G-7 WaterC'' Data'!$U$5:$Y$9,MATCH(G166,'G-7 WaterC'' Data'!$T$5:$T$9,0),MATCH(T166,'G-7 WaterC'' Data'!$U$4:$Y$4,0)))),"")</f>
        <v/>
      </c>
      <c r="Z166" s="159"/>
      <c r="AA166" s="159"/>
      <c r="AB166" s="370" t="str">
        <f t="shared" si="19"/>
        <v/>
      </c>
      <c r="AC166" s="383" t="str">
        <f t="shared" si="20"/>
        <v/>
      </c>
      <c r="AD166" s="422" t="str">
        <f>IFERROR(IF(AC166="Check Data ⚠","Check Data ⚠",VLOOKUP(AC166,'G-4 Temporal multipliers'!$A$4:$C$37,3,FALSE)),"")</f>
        <v/>
      </c>
      <c r="AE166" s="362" t="str">
        <f>IF(N166="","",VLOOKUP(N166,'G-7 WaterC'' Data'!$B$4:$G$8,5,FALSE))</f>
        <v/>
      </c>
      <c r="AF166" s="370" t="str">
        <f t="shared" si="21"/>
        <v/>
      </c>
      <c r="AG166" s="401" t="str">
        <f t="shared" si="22"/>
        <v/>
      </c>
      <c r="AH166" s="363" t="str">
        <f t="shared" si="17"/>
        <v/>
      </c>
      <c r="AI166" s="122"/>
      <c r="AJ166" s="363" t="str">
        <f>IF(AI166="","",IF(VLOOKUP(AI166,'G-7 WaterC'' Data'!$AA$4:$AB$7,2,FALSE)=0,"Spatial Data Missing ⚠",VLOOKUP(AI166,'G-7 WaterC'' Data'!$AA$4:$AB$7,2,FALSE)))</f>
        <v/>
      </c>
      <c r="AK166" s="123"/>
      <c r="AL166" s="363" t="str">
        <f>IF(AK166="","",IF(VLOOKUP(AK166,'G-7 WaterC'' Data'!$AD$4:$AE$14,2,FALSE)=0,"Spatial Data Missing ⚠",VLOOKUP(AK166,'G-7 WaterC'' Data'!$AD$4:$AE$14,2,FALSE)))</f>
        <v/>
      </c>
      <c r="AM166" s="405" t="str">
        <f t="shared" si="23"/>
        <v/>
      </c>
      <c r="AN166" s="117"/>
      <c r="AO166" s="118"/>
      <c r="AP166" s="120"/>
      <c r="AV166" s="30" t="str">
        <f>IFERROR(INDEX('G-7 WaterC'' Data'!$AZ$3:$AZ$7,MATCH(N166,'G-7 WaterC'' Data'!$AY$3:$AY$7,0)),"")</f>
        <v/>
      </c>
    </row>
    <row r="167" spans="2:48" ht="15">
      <c r="B167" s="392" t="str">
        <f>'C-1 On-Site WaterC'' Baseline'!AO165</f>
        <v/>
      </c>
      <c r="C167" s="382" t="str">
        <f>IF(B167="","",VLOOKUP($B167,'C-1 On-Site WaterC'' Baseline'!$C$9:$R$257,2,FALSE))</f>
        <v/>
      </c>
      <c r="D167" s="382" t="str">
        <f>IF(C167="","",VLOOKUP($B167,'C-1 On-Site WaterC'' Baseline'!$C$9:$R$257,3,FALSE))</f>
        <v/>
      </c>
      <c r="E167" s="382" t="str">
        <f>IF(D167="","",VLOOKUP($B167,'C-1 On-Site WaterC'' Baseline'!$C$9:$R$257,4,FALSE))</f>
        <v/>
      </c>
      <c r="F167" s="382" t="str">
        <f>IF(E167="","",VLOOKUP($B167,'C-1 On-Site WaterC'' Baseline'!$C$9:$R$257,5,FALSE))</f>
        <v/>
      </c>
      <c r="G167" s="382" t="str">
        <f>IF(F167="","",VLOOKUP($B167,'C-1 On-Site WaterC'' Baseline'!$C$9:$R$257,6,FALSE))</f>
        <v/>
      </c>
      <c r="H167" s="382" t="str">
        <f>IF(G167="","",VLOOKUP($B167,'C-1 On-Site WaterC'' Baseline'!$C$9:$R$257,7,FALSE))</f>
        <v/>
      </c>
      <c r="I167" s="382" t="str">
        <f>IF(H167="","",VLOOKUP($B167,'C-1 On-Site WaterC'' Baseline'!$C$9:$R$257,8,FALSE))</f>
        <v/>
      </c>
      <c r="J167" s="382" t="str">
        <f>IF(I167="","",VLOOKUP($B167,'C-1 On-Site WaterC'' Baseline'!$C$9:$R$257,9,FALSE))</f>
        <v/>
      </c>
      <c r="K167" s="382" t="str">
        <f>IF(J167="","",VLOOKUP($B167,'C-1 On-Site WaterC'' Baseline'!$C$9:$R$257,10,FALSE))</f>
        <v/>
      </c>
      <c r="L167" s="382" t="str">
        <f>IF(B167="","",VLOOKUP($B167,'C-1 On-Site WaterC'' Baseline'!$C$9:$R$257,15,FALSE))</f>
        <v/>
      </c>
      <c r="M167" s="386" t="str">
        <f>IF(L167="","",VLOOKUP($B167,'C-1 On-Site WaterC'' Baseline'!$C$9:$R$257,16,FALSE))</f>
        <v/>
      </c>
      <c r="N167" s="320" t="str">
        <f t="shared" si="16"/>
        <v/>
      </c>
      <c r="O167" s="362" t="str">
        <f t="shared" si="18"/>
        <v/>
      </c>
      <c r="P167" s="363" t="str">
        <f>IF(C167="","",IF(AND(LEFT(C167,55)&lt;&gt;LEFT(N167,55),O167="High - High"),"Error - Not like for like ▲",IF(H167&gt;U167,"Error - Can not reduce condition ▲",IF(AND(F167=S167,H167=U167,AJ167='C-1 On-Site WaterC'' Baseline'!N165,'C-1 On-Site WaterC'' Baseline'!P165=AL167),"Error - No enhancement ▲",IF(AND(C167&lt;&gt;N167,F167&lt;S167),"Lower Distinctiveness Habitat"&amp;" - "&amp;T167,G167&amp;" - "&amp;T167)))))</f>
        <v/>
      </c>
      <c r="Q167" s="425" t="str">
        <f>IF(N167="","",VLOOKUP(B167,'C-1 On-Site WaterC'' Baseline'!$C$10:$AB$257,19,FALSE))</f>
        <v/>
      </c>
      <c r="R167" s="362" t="str">
        <f>IF(N167="","",VLOOKUP(N167,'G-7 WaterC'' Data'!$B$2:$G$8,2,FALSE))</f>
        <v/>
      </c>
      <c r="S167" s="363" t="str">
        <f>IFERROR(VLOOKUP(R167,'G-7 WaterC'' Data'!$C$4:$D$8,2,FALSE),"")</f>
        <v/>
      </c>
      <c r="T167" s="114"/>
      <c r="U167" s="363" t="str">
        <f>IFERROR(INDEX('G-7 WaterC'' Data'!$H$4:$L$8,MATCH(N167,'G-7 WaterC'' Data'!$B$4:$B$8,0),MATCH(T167,'G-7 WaterC'' Data'!$H$3:$L$3,0)),"")</f>
        <v/>
      </c>
      <c r="V167" s="114"/>
      <c r="W167" s="370" t="str">
        <f>IF(V167="","",IF(VLOOKUP(V167,'G-7 WaterC'' Data'!$AK$4:$AM$6,2,FALSE)=0,"Spatial Data Missing ⚠",VLOOKUP(V167,'G-7 WaterC'' Data'!$AK$4:$AM$6,2,FALSE)))</f>
        <v/>
      </c>
      <c r="X167" s="363" t="str">
        <f>IF(V167="","",IF(VLOOKUP(V167,'G-7 WaterC'' Data'!$AK$4:$AM$6,3,FALSE)=0,"Spatial Data Missing ⚠",VLOOKUP(V167,'G-7 WaterC'' Data'!$AK$4:$AM$6,3,FALSE)))</f>
        <v/>
      </c>
      <c r="Y167" s="362" t="str">
        <f>IFERROR(IF(OR(LEFT(P167,5)="Error",LEFT(O167,5)="Error ▲"),"Check Data ⚠",IF(F167&lt;S167,'G-7 WaterC'' Data'!$R$3,INDEX('G-7 WaterC'' Data'!$U$5:$Y$9,MATCH(G167,'G-7 WaterC'' Data'!$T$5:$T$9,0),MATCH(T167,'G-7 WaterC'' Data'!$U$4:$Y$4,0)))),"")</f>
        <v/>
      </c>
      <c r="Z167" s="159"/>
      <c r="AA167" s="159"/>
      <c r="AB167" s="370" t="str">
        <f t="shared" si="19"/>
        <v/>
      </c>
      <c r="AC167" s="383" t="str">
        <f t="shared" si="20"/>
        <v/>
      </c>
      <c r="AD167" s="422" t="str">
        <f>IFERROR(IF(AC167="Check Data ⚠","Check Data ⚠",VLOOKUP(AC167,'G-4 Temporal multipliers'!$A$4:$C$37,3,FALSE)),"")</f>
        <v/>
      </c>
      <c r="AE167" s="362" t="str">
        <f>IF(N167="","",VLOOKUP(N167,'G-7 WaterC'' Data'!$B$4:$G$8,5,FALSE))</f>
        <v/>
      </c>
      <c r="AF167" s="370" t="str">
        <f t="shared" si="21"/>
        <v/>
      </c>
      <c r="AG167" s="401" t="str">
        <f t="shared" si="22"/>
        <v/>
      </c>
      <c r="AH167" s="363" t="str">
        <f t="shared" si="17"/>
        <v/>
      </c>
      <c r="AI167" s="122"/>
      <c r="AJ167" s="363" t="str">
        <f>IF(AI167="","",IF(VLOOKUP(AI167,'G-7 WaterC'' Data'!$AA$4:$AB$7,2,FALSE)=0,"Spatial Data Missing ⚠",VLOOKUP(AI167,'G-7 WaterC'' Data'!$AA$4:$AB$7,2,FALSE)))</f>
        <v/>
      </c>
      <c r="AK167" s="123"/>
      <c r="AL167" s="363" t="str">
        <f>IF(AK167="","",IF(VLOOKUP(AK167,'G-7 WaterC'' Data'!$AD$4:$AE$14,2,FALSE)=0,"Spatial Data Missing ⚠",VLOOKUP(AK167,'G-7 WaterC'' Data'!$AD$4:$AE$14,2,FALSE)))</f>
        <v/>
      </c>
      <c r="AM167" s="405" t="str">
        <f t="shared" si="23"/>
        <v/>
      </c>
      <c r="AN167" s="117"/>
      <c r="AO167" s="118"/>
      <c r="AP167" s="120"/>
      <c r="AV167" s="30" t="str">
        <f>IFERROR(INDEX('G-7 WaterC'' Data'!$AZ$3:$AZ$7,MATCH(N167,'G-7 WaterC'' Data'!$AY$3:$AY$7,0)),"")</f>
        <v/>
      </c>
    </row>
    <row r="168" spans="2:48" ht="15">
      <c r="B168" s="392" t="str">
        <f>'C-1 On-Site WaterC'' Baseline'!AO166</f>
        <v/>
      </c>
      <c r="C168" s="382" t="str">
        <f>IF(B168="","",VLOOKUP($B168,'C-1 On-Site WaterC'' Baseline'!$C$9:$R$257,2,FALSE))</f>
        <v/>
      </c>
      <c r="D168" s="382" t="str">
        <f>IF(C168="","",VLOOKUP($B168,'C-1 On-Site WaterC'' Baseline'!$C$9:$R$257,3,FALSE))</f>
        <v/>
      </c>
      <c r="E168" s="382" t="str">
        <f>IF(D168="","",VLOOKUP($B168,'C-1 On-Site WaterC'' Baseline'!$C$9:$R$257,4,FALSE))</f>
        <v/>
      </c>
      <c r="F168" s="382" t="str">
        <f>IF(E168="","",VLOOKUP($B168,'C-1 On-Site WaterC'' Baseline'!$C$9:$R$257,5,FALSE))</f>
        <v/>
      </c>
      <c r="G168" s="382" t="str">
        <f>IF(F168="","",VLOOKUP($B168,'C-1 On-Site WaterC'' Baseline'!$C$9:$R$257,6,FALSE))</f>
        <v/>
      </c>
      <c r="H168" s="382" t="str">
        <f>IF(G168="","",VLOOKUP($B168,'C-1 On-Site WaterC'' Baseline'!$C$9:$R$257,7,FALSE))</f>
        <v/>
      </c>
      <c r="I168" s="382" t="str">
        <f>IF(H168="","",VLOOKUP($B168,'C-1 On-Site WaterC'' Baseline'!$C$9:$R$257,8,FALSE))</f>
        <v/>
      </c>
      <c r="J168" s="382" t="str">
        <f>IF(I168="","",VLOOKUP($B168,'C-1 On-Site WaterC'' Baseline'!$C$9:$R$257,9,FALSE))</f>
        <v/>
      </c>
      <c r="K168" s="382" t="str">
        <f>IF(J168="","",VLOOKUP($B168,'C-1 On-Site WaterC'' Baseline'!$C$9:$R$257,10,FALSE))</f>
        <v/>
      </c>
      <c r="L168" s="382" t="str">
        <f>IF(B168="","",VLOOKUP($B168,'C-1 On-Site WaterC'' Baseline'!$C$9:$R$257,15,FALSE))</f>
        <v/>
      </c>
      <c r="M168" s="386" t="str">
        <f>IF(L168="","",VLOOKUP($B168,'C-1 On-Site WaterC'' Baseline'!$C$9:$R$257,16,FALSE))</f>
        <v/>
      </c>
      <c r="N168" s="320" t="str">
        <f t="shared" si="16"/>
        <v/>
      </c>
      <c r="O168" s="362" t="str">
        <f t="shared" si="18"/>
        <v/>
      </c>
      <c r="P168" s="363" t="str">
        <f>IF(C168="","",IF(AND(LEFT(C168,55)&lt;&gt;LEFT(N168,55),O168="High - High"),"Error - Not like for like ▲",IF(H168&gt;U168,"Error - Can not reduce condition ▲",IF(AND(F168=S168,H168=U168,AJ168='C-1 On-Site WaterC'' Baseline'!N166,'C-1 On-Site WaterC'' Baseline'!P166=AL168),"Error - No enhancement ▲",IF(AND(C168&lt;&gt;N168,F168&lt;S168),"Lower Distinctiveness Habitat"&amp;" - "&amp;T168,G168&amp;" - "&amp;T168)))))</f>
        <v/>
      </c>
      <c r="Q168" s="425" t="str">
        <f>IF(N168="","",VLOOKUP(B168,'C-1 On-Site WaterC'' Baseline'!$C$10:$AB$257,19,FALSE))</f>
        <v/>
      </c>
      <c r="R168" s="362" t="str">
        <f>IF(N168="","",VLOOKUP(N168,'G-7 WaterC'' Data'!$B$2:$G$8,2,FALSE))</f>
        <v/>
      </c>
      <c r="S168" s="363" t="str">
        <f>IFERROR(VLOOKUP(R168,'G-7 WaterC'' Data'!$C$4:$D$8,2,FALSE),"")</f>
        <v/>
      </c>
      <c r="T168" s="114"/>
      <c r="U168" s="363" t="str">
        <f>IFERROR(INDEX('G-7 WaterC'' Data'!$H$4:$L$8,MATCH(N168,'G-7 WaterC'' Data'!$B$4:$B$8,0),MATCH(T168,'G-7 WaterC'' Data'!$H$3:$L$3,0)),"")</f>
        <v/>
      </c>
      <c r="V168" s="114"/>
      <c r="W168" s="370" t="str">
        <f>IF(V168="","",IF(VLOOKUP(V168,'G-7 WaterC'' Data'!$AK$4:$AM$6,2,FALSE)=0,"Spatial Data Missing ⚠",VLOOKUP(V168,'G-7 WaterC'' Data'!$AK$4:$AM$6,2,FALSE)))</f>
        <v/>
      </c>
      <c r="X168" s="363" t="str">
        <f>IF(V168="","",IF(VLOOKUP(V168,'G-7 WaterC'' Data'!$AK$4:$AM$6,3,FALSE)=0,"Spatial Data Missing ⚠",VLOOKUP(V168,'G-7 WaterC'' Data'!$AK$4:$AM$6,3,FALSE)))</f>
        <v/>
      </c>
      <c r="Y168" s="362" t="str">
        <f>IFERROR(IF(OR(LEFT(P168,5)="Error",LEFT(O168,5)="Error ▲"),"Check Data ⚠",IF(F168&lt;S168,'G-7 WaterC'' Data'!$R$3,INDEX('G-7 WaterC'' Data'!$U$5:$Y$9,MATCH(G168,'G-7 WaterC'' Data'!$T$5:$T$9,0),MATCH(T168,'G-7 WaterC'' Data'!$U$4:$Y$4,0)))),"")</f>
        <v/>
      </c>
      <c r="Z168" s="159"/>
      <c r="AA168" s="159"/>
      <c r="AB168" s="370" t="str">
        <f t="shared" si="19"/>
        <v/>
      </c>
      <c r="AC168" s="383" t="str">
        <f t="shared" si="20"/>
        <v/>
      </c>
      <c r="AD168" s="422" t="str">
        <f>IFERROR(IF(AC168="Check Data ⚠","Check Data ⚠",VLOOKUP(AC168,'G-4 Temporal multipliers'!$A$4:$C$37,3,FALSE)),"")</f>
        <v/>
      </c>
      <c r="AE168" s="362" t="str">
        <f>IF(N168="","",VLOOKUP(N168,'G-7 WaterC'' Data'!$B$4:$G$8,5,FALSE))</f>
        <v/>
      </c>
      <c r="AF168" s="370" t="str">
        <f t="shared" si="21"/>
        <v/>
      </c>
      <c r="AG168" s="401" t="str">
        <f t="shared" si="22"/>
        <v/>
      </c>
      <c r="AH168" s="363" t="str">
        <f t="shared" si="17"/>
        <v/>
      </c>
      <c r="AI168" s="122"/>
      <c r="AJ168" s="363" t="str">
        <f>IF(AI168="","",IF(VLOOKUP(AI168,'G-7 WaterC'' Data'!$AA$4:$AB$7,2,FALSE)=0,"Spatial Data Missing ⚠",VLOOKUP(AI168,'G-7 WaterC'' Data'!$AA$4:$AB$7,2,FALSE)))</f>
        <v/>
      </c>
      <c r="AK168" s="123"/>
      <c r="AL168" s="363" t="str">
        <f>IF(AK168="","",IF(VLOOKUP(AK168,'G-7 WaterC'' Data'!$AD$4:$AE$14,2,FALSE)=0,"Spatial Data Missing ⚠",VLOOKUP(AK168,'G-7 WaterC'' Data'!$AD$4:$AE$14,2,FALSE)))</f>
        <v/>
      </c>
      <c r="AM168" s="405" t="str">
        <f t="shared" si="23"/>
        <v/>
      </c>
      <c r="AN168" s="117"/>
      <c r="AO168" s="118"/>
      <c r="AP168" s="120"/>
      <c r="AV168" s="30" t="str">
        <f>IFERROR(INDEX('G-7 WaterC'' Data'!$AZ$3:$AZ$7,MATCH(N168,'G-7 WaterC'' Data'!$AY$3:$AY$7,0)),"")</f>
        <v/>
      </c>
    </row>
    <row r="169" spans="2:48" ht="15">
      <c r="B169" s="392" t="str">
        <f>'C-1 On-Site WaterC'' Baseline'!AO167</f>
        <v/>
      </c>
      <c r="C169" s="382" t="str">
        <f>IF(B169="","",VLOOKUP($B169,'C-1 On-Site WaterC'' Baseline'!$C$9:$R$257,2,FALSE))</f>
        <v/>
      </c>
      <c r="D169" s="382" t="str">
        <f>IF(C169="","",VLOOKUP($B169,'C-1 On-Site WaterC'' Baseline'!$C$9:$R$257,3,FALSE))</f>
        <v/>
      </c>
      <c r="E169" s="382" t="str">
        <f>IF(D169="","",VLOOKUP($B169,'C-1 On-Site WaterC'' Baseline'!$C$9:$R$257,4,FALSE))</f>
        <v/>
      </c>
      <c r="F169" s="382" t="str">
        <f>IF(E169="","",VLOOKUP($B169,'C-1 On-Site WaterC'' Baseline'!$C$9:$R$257,5,FALSE))</f>
        <v/>
      </c>
      <c r="G169" s="382" t="str">
        <f>IF(F169="","",VLOOKUP($B169,'C-1 On-Site WaterC'' Baseline'!$C$9:$R$257,6,FALSE))</f>
        <v/>
      </c>
      <c r="H169" s="382" t="str">
        <f>IF(G169="","",VLOOKUP($B169,'C-1 On-Site WaterC'' Baseline'!$C$9:$R$257,7,FALSE))</f>
        <v/>
      </c>
      <c r="I169" s="382" t="str">
        <f>IF(H169="","",VLOOKUP($B169,'C-1 On-Site WaterC'' Baseline'!$C$9:$R$257,8,FALSE))</f>
        <v/>
      </c>
      <c r="J169" s="382" t="str">
        <f>IF(I169="","",VLOOKUP($B169,'C-1 On-Site WaterC'' Baseline'!$C$9:$R$257,9,FALSE))</f>
        <v/>
      </c>
      <c r="K169" s="382" t="str">
        <f>IF(J169="","",VLOOKUP($B169,'C-1 On-Site WaterC'' Baseline'!$C$9:$R$257,10,FALSE))</f>
        <v/>
      </c>
      <c r="L169" s="382" t="str">
        <f>IF(B169="","",VLOOKUP($B169,'C-1 On-Site WaterC'' Baseline'!$C$9:$R$257,15,FALSE))</f>
        <v/>
      </c>
      <c r="M169" s="386" t="str">
        <f>IF(L169="","",VLOOKUP($B169,'C-1 On-Site WaterC'' Baseline'!$C$9:$R$257,16,FALSE))</f>
        <v/>
      </c>
      <c r="N169" s="320" t="str">
        <f t="shared" si="16"/>
        <v/>
      </c>
      <c r="O169" s="362" t="str">
        <f t="shared" si="18"/>
        <v/>
      </c>
      <c r="P169" s="363" t="str">
        <f>IF(C169="","",IF(AND(LEFT(C169,55)&lt;&gt;LEFT(N169,55),O169="High - High"),"Error - Not like for like ▲",IF(H169&gt;U169,"Error - Can not reduce condition ▲",IF(AND(F169=S169,H169=U169,AJ169='C-1 On-Site WaterC'' Baseline'!N167,'C-1 On-Site WaterC'' Baseline'!P167=AL169),"Error - No enhancement ▲",IF(AND(C169&lt;&gt;N169,F169&lt;S169),"Lower Distinctiveness Habitat"&amp;" - "&amp;T169,G169&amp;" - "&amp;T169)))))</f>
        <v/>
      </c>
      <c r="Q169" s="425" t="str">
        <f>IF(N169="","",VLOOKUP(B169,'C-1 On-Site WaterC'' Baseline'!$C$10:$AB$257,19,FALSE))</f>
        <v/>
      </c>
      <c r="R169" s="362" t="str">
        <f>IF(N169="","",VLOOKUP(N169,'G-7 WaterC'' Data'!$B$2:$G$8,2,FALSE))</f>
        <v/>
      </c>
      <c r="S169" s="363" t="str">
        <f>IFERROR(VLOOKUP(R169,'G-7 WaterC'' Data'!$C$4:$D$8,2,FALSE),"")</f>
        <v/>
      </c>
      <c r="T169" s="114"/>
      <c r="U169" s="363" t="str">
        <f>IFERROR(INDEX('G-7 WaterC'' Data'!$H$4:$L$8,MATCH(N169,'G-7 WaterC'' Data'!$B$4:$B$8,0),MATCH(T169,'G-7 WaterC'' Data'!$H$3:$L$3,0)),"")</f>
        <v/>
      </c>
      <c r="V169" s="114"/>
      <c r="W169" s="370" t="str">
        <f>IF(V169="","",IF(VLOOKUP(V169,'G-7 WaterC'' Data'!$AK$4:$AM$6,2,FALSE)=0,"Spatial Data Missing ⚠",VLOOKUP(V169,'G-7 WaterC'' Data'!$AK$4:$AM$6,2,FALSE)))</f>
        <v/>
      </c>
      <c r="X169" s="363" t="str">
        <f>IF(V169="","",IF(VLOOKUP(V169,'G-7 WaterC'' Data'!$AK$4:$AM$6,3,FALSE)=0,"Spatial Data Missing ⚠",VLOOKUP(V169,'G-7 WaterC'' Data'!$AK$4:$AM$6,3,FALSE)))</f>
        <v/>
      </c>
      <c r="Y169" s="362" t="str">
        <f>IFERROR(IF(OR(LEFT(P169,5)="Error",LEFT(O169,5)="Error ▲"),"Check Data ⚠",IF(F169&lt;S169,'G-7 WaterC'' Data'!$R$3,INDEX('G-7 WaterC'' Data'!$U$5:$Y$9,MATCH(G169,'G-7 WaterC'' Data'!$T$5:$T$9,0),MATCH(T169,'G-7 WaterC'' Data'!$U$4:$Y$4,0)))),"")</f>
        <v/>
      </c>
      <c r="Z169" s="159"/>
      <c r="AA169" s="159"/>
      <c r="AB169" s="370" t="str">
        <f t="shared" si="19"/>
        <v/>
      </c>
      <c r="AC169" s="383" t="str">
        <f t="shared" si="20"/>
        <v/>
      </c>
      <c r="AD169" s="422" t="str">
        <f>IFERROR(IF(AC169="Check Data ⚠","Check Data ⚠",VLOOKUP(AC169,'G-4 Temporal multipliers'!$A$4:$C$37,3,FALSE)),"")</f>
        <v/>
      </c>
      <c r="AE169" s="362" t="str">
        <f>IF(N169="","",VLOOKUP(N169,'G-7 WaterC'' Data'!$B$4:$G$8,5,FALSE))</f>
        <v/>
      </c>
      <c r="AF169" s="370" t="str">
        <f t="shared" si="21"/>
        <v/>
      </c>
      <c r="AG169" s="401" t="str">
        <f t="shared" si="22"/>
        <v/>
      </c>
      <c r="AH169" s="363" t="str">
        <f t="shared" si="17"/>
        <v/>
      </c>
      <c r="AI169" s="122"/>
      <c r="AJ169" s="363" t="str">
        <f>IF(AI169="","",IF(VLOOKUP(AI169,'G-7 WaterC'' Data'!$AA$4:$AB$7,2,FALSE)=0,"Spatial Data Missing ⚠",VLOOKUP(AI169,'G-7 WaterC'' Data'!$AA$4:$AB$7,2,FALSE)))</f>
        <v/>
      </c>
      <c r="AK169" s="123"/>
      <c r="AL169" s="363" t="str">
        <f>IF(AK169="","",IF(VLOOKUP(AK169,'G-7 WaterC'' Data'!$AD$4:$AE$14,2,FALSE)=0,"Spatial Data Missing ⚠",VLOOKUP(AK169,'G-7 WaterC'' Data'!$AD$4:$AE$14,2,FALSE)))</f>
        <v/>
      </c>
      <c r="AM169" s="405" t="str">
        <f t="shared" si="23"/>
        <v/>
      </c>
      <c r="AN169" s="117"/>
      <c r="AO169" s="118"/>
      <c r="AP169" s="120"/>
      <c r="AV169" s="30" t="str">
        <f>IFERROR(INDEX('G-7 WaterC'' Data'!$AZ$3:$AZ$7,MATCH(N169,'G-7 WaterC'' Data'!$AY$3:$AY$7,0)),"")</f>
        <v/>
      </c>
    </row>
    <row r="170" spans="2:48" ht="15">
      <c r="B170" s="392" t="str">
        <f>'C-1 On-Site WaterC'' Baseline'!AO168</f>
        <v/>
      </c>
      <c r="C170" s="382" t="str">
        <f>IF(B170="","",VLOOKUP($B170,'C-1 On-Site WaterC'' Baseline'!$C$9:$R$257,2,FALSE))</f>
        <v/>
      </c>
      <c r="D170" s="382" t="str">
        <f>IF(C170="","",VLOOKUP($B170,'C-1 On-Site WaterC'' Baseline'!$C$9:$R$257,3,FALSE))</f>
        <v/>
      </c>
      <c r="E170" s="382" t="str">
        <f>IF(D170="","",VLOOKUP($B170,'C-1 On-Site WaterC'' Baseline'!$C$9:$R$257,4,FALSE))</f>
        <v/>
      </c>
      <c r="F170" s="382" t="str">
        <f>IF(E170="","",VLOOKUP($B170,'C-1 On-Site WaterC'' Baseline'!$C$9:$R$257,5,FALSE))</f>
        <v/>
      </c>
      <c r="G170" s="382" t="str">
        <f>IF(F170="","",VLOOKUP($B170,'C-1 On-Site WaterC'' Baseline'!$C$9:$R$257,6,FALSE))</f>
        <v/>
      </c>
      <c r="H170" s="382" t="str">
        <f>IF(G170="","",VLOOKUP($B170,'C-1 On-Site WaterC'' Baseline'!$C$9:$R$257,7,FALSE))</f>
        <v/>
      </c>
      <c r="I170" s="382" t="str">
        <f>IF(H170="","",VLOOKUP($B170,'C-1 On-Site WaterC'' Baseline'!$C$9:$R$257,8,FALSE))</f>
        <v/>
      </c>
      <c r="J170" s="382" t="str">
        <f>IF(I170="","",VLOOKUP($B170,'C-1 On-Site WaterC'' Baseline'!$C$9:$R$257,9,FALSE))</f>
        <v/>
      </c>
      <c r="K170" s="382" t="str">
        <f>IF(J170="","",VLOOKUP($B170,'C-1 On-Site WaterC'' Baseline'!$C$9:$R$257,10,FALSE))</f>
        <v/>
      </c>
      <c r="L170" s="382" t="str">
        <f>IF(B170="","",VLOOKUP($B170,'C-1 On-Site WaterC'' Baseline'!$C$9:$R$257,15,FALSE))</f>
        <v/>
      </c>
      <c r="M170" s="386" t="str">
        <f>IF(L170="","",VLOOKUP($B170,'C-1 On-Site WaterC'' Baseline'!$C$9:$R$257,16,FALSE))</f>
        <v/>
      </c>
      <c r="N170" s="320" t="str">
        <f t="shared" si="16"/>
        <v/>
      </c>
      <c r="O170" s="362" t="str">
        <f t="shared" si="18"/>
        <v/>
      </c>
      <c r="P170" s="363" t="str">
        <f>IF(C170="","",IF(AND(LEFT(C170,55)&lt;&gt;LEFT(N170,55),O170="High - High"),"Error - Not like for like ▲",IF(H170&gt;U170,"Error - Can not reduce condition ▲",IF(AND(F170=S170,H170=U170,AJ170='C-1 On-Site WaterC'' Baseline'!N168,'C-1 On-Site WaterC'' Baseline'!P168=AL170),"Error - No enhancement ▲",IF(AND(C170&lt;&gt;N170,F170&lt;S170),"Lower Distinctiveness Habitat"&amp;" - "&amp;T170,G170&amp;" - "&amp;T170)))))</f>
        <v/>
      </c>
      <c r="Q170" s="425" t="str">
        <f>IF(N170="","",VLOOKUP(B170,'C-1 On-Site WaterC'' Baseline'!$C$10:$AB$257,19,FALSE))</f>
        <v/>
      </c>
      <c r="R170" s="362" t="str">
        <f>IF(N170="","",VLOOKUP(N170,'G-7 WaterC'' Data'!$B$2:$G$8,2,FALSE))</f>
        <v/>
      </c>
      <c r="S170" s="363" t="str">
        <f>IFERROR(VLOOKUP(R170,'G-7 WaterC'' Data'!$C$4:$D$8,2,FALSE),"")</f>
        <v/>
      </c>
      <c r="T170" s="114"/>
      <c r="U170" s="363" t="str">
        <f>IFERROR(INDEX('G-7 WaterC'' Data'!$H$4:$L$8,MATCH(N170,'G-7 WaterC'' Data'!$B$4:$B$8,0),MATCH(T170,'G-7 WaterC'' Data'!$H$3:$L$3,0)),"")</f>
        <v/>
      </c>
      <c r="V170" s="114"/>
      <c r="W170" s="370" t="str">
        <f>IF(V170="","",IF(VLOOKUP(V170,'G-7 WaterC'' Data'!$AK$4:$AM$6,2,FALSE)=0,"Spatial Data Missing ⚠",VLOOKUP(V170,'G-7 WaterC'' Data'!$AK$4:$AM$6,2,FALSE)))</f>
        <v/>
      </c>
      <c r="X170" s="363" t="str">
        <f>IF(V170="","",IF(VLOOKUP(V170,'G-7 WaterC'' Data'!$AK$4:$AM$6,3,FALSE)=0,"Spatial Data Missing ⚠",VLOOKUP(V170,'G-7 WaterC'' Data'!$AK$4:$AM$6,3,FALSE)))</f>
        <v/>
      </c>
      <c r="Y170" s="362" t="str">
        <f>IFERROR(IF(OR(LEFT(P170,5)="Error",LEFT(O170,5)="Error ▲"),"Check Data ⚠",IF(F170&lt;S170,'G-7 WaterC'' Data'!$R$3,INDEX('G-7 WaterC'' Data'!$U$5:$Y$9,MATCH(G170,'G-7 WaterC'' Data'!$T$5:$T$9,0),MATCH(T170,'G-7 WaterC'' Data'!$U$4:$Y$4,0)))),"")</f>
        <v/>
      </c>
      <c r="Z170" s="159"/>
      <c r="AA170" s="159"/>
      <c r="AB170" s="370" t="str">
        <f t="shared" si="19"/>
        <v/>
      </c>
      <c r="AC170" s="383" t="str">
        <f t="shared" si="20"/>
        <v/>
      </c>
      <c r="AD170" s="422" t="str">
        <f>IFERROR(IF(AC170="Check Data ⚠","Check Data ⚠",VLOOKUP(AC170,'G-4 Temporal multipliers'!$A$4:$C$37,3,FALSE)),"")</f>
        <v/>
      </c>
      <c r="AE170" s="362" t="str">
        <f>IF(N170="","",VLOOKUP(N170,'G-7 WaterC'' Data'!$B$4:$G$8,5,FALSE))</f>
        <v/>
      </c>
      <c r="AF170" s="370" t="str">
        <f t="shared" si="21"/>
        <v/>
      </c>
      <c r="AG170" s="401" t="str">
        <f t="shared" si="22"/>
        <v/>
      </c>
      <c r="AH170" s="363" t="str">
        <f t="shared" si="17"/>
        <v/>
      </c>
      <c r="AI170" s="122"/>
      <c r="AJ170" s="363" t="str">
        <f>IF(AI170="","",IF(VLOOKUP(AI170,'G-7 WaterC'' Data'!$AA$4:$AB$7,2,FALSE)=0,"Spatial Data Missing ⚠",VLOOKUP(AI170,'G-7 WaterC'' Data'!$AA$4:$AB$7,2,FALSE)))</f>
        <v/>
      </c>
      <c r="AK170" s="123"/>
      <c r="AL170" s="363" t="str">
        <f>IF(AK170="","",IF(VLOOKUP(AK170,'G-7 WaterC'' Data'!$AD$4:$AE$14,2,FALSE)=0,"Spatial Data Missing ⚠",VLOOKUP(AK170,'G-7 WaterC'' Data'!$AD$4:$AE$14,2,FALSE)))</f>
        <v/>
      </c>
      <c r="AM170" s="405" t="str">
        <f t="shared" si="23"/>
        <v/>
      </c>
      <c r="AN170" s="117"/>
      <c r="AO170" s="118"/>
      <c r="AP170" s="120"/>
      <c r="AV170" s="30" t="str">
        <f>IFERROR(INDEX('G-7 WaterC'' Data'!$AZ$3:$AZ$7,MATCH(N170,'G-7 WaterC'' Data'!$AY$3:$AY$7,0)),"")</f>
        <v/>
      </c>
    </row>
    <row r="171" spans="2:48" ht="15">
      <c r="B171" s="392" t="str">
        <f>'C-1 On-Site WaterC'' Baseline'!AO169</f>
        <v/>
      </c>
      <c r="C171" s="382" t="str">
        <f>IF(B171="","",VLOOKUP($B171,'C-1 On-Site WaterC'' Baseline'!$C$9:$R$257,2,FALSE))</f>
        <v/>
      </c>
      <c r="D171" s="382" t="str">
        <f>IF(C171="","",VLOOKUP($B171,'C-1 On-Site WaterC'' Baseline'!$C$9:$R$257,3,FALSE))</f>
        <v/>
      </c>
      <c r="E171" s="382" t="str">
        <f>IF(D171="","",VLOOKUP($B171,'C-1 On-Site WaterC'' Baseline'!$C$9:$R$257,4,FALSE))</f>
        <v/>
      </c>
      <c r="F171" s="382" t="str">
        <f>IF(E171="","",VLOOKUP($B171,'C-1 On-Site WaterC'' Baseline'!$C$9:$R$257,5,FALSE))</f>
        <v/>
      </c>
      <c r="G171" s="382" t="str">
        <f>IF(F171="","",VLOOKUP($B171,'C-1 On-Site WaterC'' Baseline'!$C$9:$R$257,6,FALSE))</f>
        <v/>
      </c>
      <c r="H171" s="382" t="str">
        <f>IF(G171="","",VLOOKUP($B171,'C-1 On-Site WaterC'' Baseline'!$C$9:$R$257,7,FALSE))</f>
        <v/>
      </c>
      <c r="I171" s="382" t="str">
        <f>IF(H171="","",VLOOKUP($B171,'C-1 On-Site WaterC'' Baseline'!$C$9:$R$257,8,FALSE))</f>
        <v/>
      </c>
      <c r="J171" s="382" t="str">
        <f>IF(I171="","",VLOOKUP($B171,'C-1 On-Site WaterC'' Baseline'!$C$9:$R$257,9,FALSE))</f>
        <v/>
      </c>
      <c r="K171" s="382" t="str">
        <f>IF(J171="","",VLOOKUP($B171,'C-1 On-Site WaterC'' Baseline'!$C$9:$R$257,10,FALSE))</f>
        <v/>
      </c>
      <c r="L171" s="382" t="str">
        <f>IF(B171="","",VLOOKUP($B171,'C-1 On-Site WaterC'' Baseline'!$C$9:$R$257,15,FALSE))</f>
        <v/>
      </c>
      <c r="M171" s="386" t="str">
        <f>IF(L171="","",VLOOKUP($B171,'C-1 On-Site WaterC'' Baseline'!$C$9:$R$257,16,FALSE))</f>
        <v/>
      </c>
      <c r="N171" s="320" t="str">
        <f t="shared" si="16"/>
        <v/>
      </c>
      <c r="O171" s="362" t="str">
        <f t="shared" si="18"/>
        <v/>
      </c>
      <c r="P171" s="363" t="str">
        <f>IF(C171="","",IF(AND(LEFT(C171,55)&lt;&gt;LEFT(N171,55),O171="High - High"),"Error - Not like for like ▲",IF(H171&gt;U171,"Error - Can not reduce condition ▲",IF(AND(F171=S171,H171=U171,AJ171='C-1 On-Site WaterC'' Baseline'!N169,'C-1 On-Site WaterC'' Baseline'!P169=AL171),"Error - No enhancement ▲",IF(AND(C171&lt;&gt;N171,F171&lt;S171),"Lower Distinctiveness Habitat"&amp;" - "&amp;T171,G171&amp;" - "&amp;T171)))))</f>
        <v/>
      </c>
      <c r="Q171" s="425" t="str">
        <f>IF(N171="","",VLOOKUP(B171,'C-1 On-Site WaterC'' Baseline'!$C$10:$AB$257,19,FALSE))</f>
        <v/>
      </c>
      <c r="R171" s="362" t="str">
        <f>IF(N171="","",VLOOKUP(N171,'G-7 WaterC'' Data'!$B$2:$G$8,2,FALSE))</f>
        <v/>
      </c>
      <c r="S171" s="363" t="str">
        <f>IFERROR(VLOOKUP(R171,'G-7 WaterC'' Data'!$C$4:$D$8,2,FALSE),"")</f>
        <v/>
      </c>
      <c r="T171" s="114"/>
      <c r="U171" s="363" t="str">
        <f>IFERROR(INDEX('G-7 WaterC'' Data'!$H$4:$L$8,MATCH(N171,'G-7 WaterC'' Data'!$B$4:$B$8,0),MATCH(T171,'G-7 WaterC'' Data'!$H$3:$L$3,0)),"")</f>
        <v/>
      </c>
      <c r="V171" s="114"/>
      <c r="W171" s="370" t="str">
        <f>IF(V171="","",IF(VLOOKUP(V171,'G-7 WaterC'' Data'!$AK$4:$AM$6,2,FALSE)=0,"Spatial Data Missing ⚠",VLOOKUP(V171,'G-7 WaterC'' Data'!$AK$4:$AM$6,2,FALSE)))</f>
        <v/>
      </c>
      <c r="X171" s="363" t="str">
        <f>IF(V171="","",IF(VLOOKUP(V171,'G-7 WaterC'' Data'!$AK$4:$AM$6,3,FALSE)=0,"Spatial Data Missing ⚠",VLOOKUP(V171,'G-7 WaterC'' Data'!$AK$4:$AM$6,3,FALSE)))</f>
        <v/>
      </c>
      <c r="Y171" s="362" t="str">
        <f>IFERROR(IF(OR(LEFT(P171,5)="Error",LEFT(O171,5)="Error ▲"),"Check Data ⚠",IF(F171&lt;S171,'G-7 WaterC'' Data'!$R$3,INDEX('G-7 WaterC'' Data'!$U$5:$Y$9,MATCH(G171,'G-7 WaterC'' Data'!$T$5:$T$9,0),MATCH(T171,'G-7 WaterC'' Data'!$U$4:$Y$4,0)))),"")</f>
        <v/>
      </c>
      <c r="Z171" s="159"/>
      <c r="AA171" s="159"/>
      <c r="AB171" s="370" t="str">
        <f t="shared" si="19"/>
        <v/>
      </c>
      <c r="AC171" s="383" t="str">
        <f t="shared" si="20"/>
        <v/>
      </c>
      <c r="AD171" s="422" t="str">
        <f>IFERROR(IF(AC171="Check Data ⚠","Check Data ⚠",VLOOKUP(AC171,'G-4 Temporal multipliers'!$A$4:$C$37,3,FALSE)),"")</f>
        <v/>
      </c>
      <c r="AE171" s="362" t="str">
        <f>IF(N171="","",VLOOKUP(N171,'G-7 WaterC'' Data'!$B$4:$G$8,5,FALSE))</f>
        <v/>
      </c>
      <c r="AF171" s="370" t="str">
        <f t="shared" si="21"/>
        <v/>
      </c>
      <c r="AG171" s="401" t="str">
        <f t="shared" si="22"/>
        <v/>
      </c>
      <c r="AH171" s="363" t="str">
        <f t="shared" si="17"/>
        <v/>
      </c>
      <c r="AI171" s="122"/>
      <c r="AJ171" s="363" t="str">
        <f>IF(AI171="","",IF(VLOOKUP(AI171,'G-7 WaterC'' Data'!$AA$4:$AB$7,2,FALSE)=0,"Spatial Data Missing ⚠",VLOOKUP(AI171,'G-7 WaterC'' Data'!$AA$4:$AB$7,2,FALSE)))</f>
        <v/>
      </c>
      <c r="AK171" s="123"/>
      <c r="AL171" s="363" t="str">
        <f>IF(AK171="","",IF(VLOOKUP(AK171,'G-7 WaterC'' Data'!$AD$4:$AE$14,2,FALSE)=0,"Spatial Data Missing ⚠",VLOOKUP(AK171,'G-7 WaterC'' Data'!$AD$4:$AE$14,2,FALSE)))</f>
        <v/>
      </c>
      <c r="AM171" s="405" t="str">
        <f t="shared" si="23"/>
        <v/>
      </c>
      <c r="AN171" s="117"/>
      <c r="AO171" s="118"/>
      <c r="AP171" s="120"/>
      <c r="AV171" s="30" t="str">
        <f>IFERROR(INDEX('G-7 WaterC'' Data'!$AZ$3:$AZ$7,MATCH(N171,'G-7 WaterC'' Data'!$AY$3:$AY$7,0)),"")</f>
        <v/>
      </c>
    </row>
    <row r="172" spans="2:48" ht="15">
      <c r="B172" s="392" t="str">
        <f>'C-1 On-Site WaterC'' Baseline'!AO170</f>
        <v/>
      </c>
      <c r="C172" s="382" t="str">
        <f>IF(B172="","",VLOOKUP($B172,'C-1 On-Site WaterC'' Baseline'!$C$9:$R$257,2,FALSE))</f>
        <v/>
      </c>
      <c r="D172" s="382" t="str">
        <f>IF(C172="","",VLOOKUP($B172,'C-1 On-Site WaterC'' Baseline'!$C$9:$R$257,3,FALSE))</f>
        <v/>
      </c>
      <c r="E172" s="382" t="str">
        <f>IF(D172="","",VLOOKUP($B172,'C-1 On-Site WaterC'' Baseline'!$C$9:$R$257,4,FALSE))</f>
        <v/>
      </c>
      <c r="F172" s="382" t="str">
        <f>IF(E172="","",VLOOKUP($B172,'C-1 On-Site WaterC'' Baseline'!$C$9:$R$257,5,FALSE))</f>
        <v/>
      </c>
      <c r="G172" s="382" t="str">
        <f>IF(F172="","",VLOOKUP($B172,'C-1 On-Site WaterC'' Baseline'!$C$9:$R$257,6,FALSE))</f>
        <v/>
      </c>
      <c r="H172" s="382" t="str">
        <f>IF(G172="","",VLOOKUP($B172,'C-1 On-Site WaterC'' Baseline'!$C$9:$R$257,7,FALSE))</f>
        <v/>
      </c>
      <c r="I172" s="382" t="str">
        <f>IF(H172="","",VLOOKUP($B172,'C-1 On-Site WaterC'' Baseline'!$C$9:$R$257,8,FALSE))</f>
        <v/>
      </c>
      <c r="J172" s="382" t="str">
        <f>IF(I172="","",VLOOKUP($B172,'C-1 On-Site WaterC'' Baseline'!$C$9:$R$257,9,FALSE))</f>
        <v/>
      </c>
      <c r="K172" s="382" t="str">
        <f>IF(J172="","",VLOOKUP($B172,'C-1 On-Site WaterC'' Baseline'!$C$9:$R$257,10,FALSE))</f>
        <v/>
      </c>
      <c r="L172" s="382" t="str">
        <f>IF(B172="","",VLOOKUP($B172,'C-1 On-Site WaterC'' Baseline'!$C$9:$R$257,15,FALSE))</f>
        <v/>
      </c>
      <c r="M172" s="386" t="str">
        <f>IF(L172="","",VLOOKUP($B172,'C-1 On-Site WaterC'' Baseline'!$C$9:$R$257,16,FALSE))</f>
        <v/>
      </c>
      <c r="N172" s="320" t="str">
        <f t="shared" si="16"/>
        <v/>
      </c>
      <c r="O172" s="362" t="str">
        <f t="shared" si="18"/>
        <v/>
      </c>
      <c r="P172" s="363" t="str">
        <f>IF(C172="","",IF(AND(LEFT(C172,55)&lt;&gt;LEFT(N172,55),O172="High - High"),"Error - Not like for like ▲",IF(H172&gt;U172,"Error - Can not reduce condition ▲",IF(AND(F172=S172,H172=U172,AJ172='C-1 On-Site WaterC'' Baseline'!N170,'C-1 On-Site WaterC'' Baseline'!P170=AL172),"Error - No enhancement ▲",IF(AND(C172&lt;&gt;N172,F172&lt;S172),"Lower Distinctiveness Habitat"&amp;" - "&amp;T172,G172&amp;" - "&amp;T172)))))</f>
        <v/>
      </c>
      <c r="Q172" s="425" t="str">
        <f>IF(N172="","",VLOOKUP(B172,'C-1 On-Site WaterC'' Baseline'!$C$10:$AB$257,19,FALSE))</f>
        <v/>
      </c>
      <c r="R172" s="362" t="str">
        <f>IF(N172="","",VLOOKUP(N172,'G-7 WaterC'' Data'!$B$2:$G$8,2,FALSE))</f>
        <v/>
      </c>
      <c r="S172" s="363" t="str">
        <f>IFERROR(VLOOKUP(R172,'G-7 WaterC'' Data'!$C$4:$D$8,2,FALSE),"")</f>
        <v/>
      </c>
      <c r="T172" s="114"/>
      <c r="U172" s="363" t="str">
        <f>IFERROR(INDEX('G-7 WaterC'' Data'!$H$4:$L$8,MATCH(N172,'G-7 WaterC'' Data'!$B$4:$B$8,0),MATCH(T172,'G-7 WaterC'' Data'!$H$3:$L$3,0)),"")</f>
        <v/>
      </c>
      <c r="V172" s="114"/>
      <c r="W172" s="370" t="str">
        <f>IF(V172="","",IF(VLOOKUP(V172,'G-7 WaterC'' Data'!$AK$4:$AM$6,2,FALSE)=0,"Spatial Data Missing ⚠",VLOOKUP(V172,'G-7 WaterC'' Data'!$AK$4:$AM$6,2,FALSE)))</f>
        <v/>
      </c>
      <c r="X172" s="363" t="str">
        <f>IF(V172="","",IF(VLOOKUP(V172,'G-7 WaterC'' Data'!$AK$4:$AM$6,3,FALSE)=0,"Spatial Data Missing ⚠",VLOOKUP(V172,'G-7 WaterC'' Data'!$AK$4:$AM$6,3,FALSE)))</f>
        <v/>
      </c>
      <c r="Y172" s="362" t="str">
        <f>IFERROR(IF(OR(LEFT(P172,5)="Error",LEFT(O172,5)="Error ▲"),"Check Data ⚠",IF(F172&lt;S172,'G-7 WaterC'' Data'!$R$3,INDEX('G-7 WaterC'' Data'!$U$5:$Y$9,MATCH(G172,'G-7 WaterC'' Data'!$T$5:$T$9,0),MATCH(T172,'G-7 WaterC'' Data'!$U$4:$Y$4,0)))),"")</f>
        <v/>
      </c>
      <c r="Z172" s="159"/>
      <c r="AA172" s="159"/>
      <c r="AB172" s="370" t="str">
        <f t="shared" si="19"/>
        <v/>
      </c>
      <c r="AC172" s="383" t="str">
        <f t="shared" si="20"/>
        <v/>
      </c>
      <c r="AD172" s="422" t="str">
        <f>IFERROR(IF(AC172="Check Data ⚠","Check Data ⚠",VLOOKUP(AC172,'G-4 Temporal multipliers'!$A$4:$C$37,3,FALSE)),"")</f>
        <v/>
      </c>
      <c r="AE172" s="362" t="str">
        <f>IF(N172="","",VLOOKUP(N172,'G-7 WaterC'' Data'!$B$4:$G$8,5,FALSE))</f>
        <v/>
      </c>
      <c r="AF172" s="370" t="str">
        <f t="shared" si="21"/>
        <v/>
      </c>
      <c r="AG172" s="401" t="str">
        <f t="shared" si="22"/>
        <v/>
      </c>
      <c r="AH172" s="363" t="str">
        <f t="shared" si="17"/>
        <v/>
      </c>
      <c r="AI172" s="122"/>
      <c r="AJ172" s="363" t="str">
        <f>IF(AI172="","",IF(VLOOKUP(AI172,'G-7 WaterC'' Data'!$AA$4:$AB$7,2,FALSE)=0,"Spatial Data Missing ⚠",VLOOKUP(AI172,'G-7 WaterC'' Data'!$AA$4:$AB$7,2,FALSE)))</f>
        <v/>
      </c>
      <c r="AK172" s="123"/>
      <c r="AL172" s="363" t="str">
        <f>IF(AK172="","",IF(VLOOKUP(AK172,'G-7 WaterC'' Data'!$AD$4:$AE$14,2,FALSE)=0,"Spatial Data Missing ⚠",VLOOKUP(AK172,'G-7 WaterC'' Data'!$AD$4:$AE$14,2,FALSE)))</f>
        <v/>
      </c>
      <c r="AM172" s="405" t="str">
        <f t="shared" si="23"/>
        <v/>
      </c>
      <c r="AN172" s="117"/>
      <c r="AO172" s="118"/>
      <c r="AP172" s="120"/>
      <c r="AV172" s="30" t="str">
        <f>IFERROR(INDEX('G-7 WaterC'' Data'!$AZ$3:$AZ$7,MATCH(N172,'G-7 WaterC'' Data'!$AY$3:$AY$7,0)),"")</f>
        <v/>
      </c>
    </row>
    <row r="173" spans="2:48" ht="15">
      <c r="B173" s="392" t="str">
        <f>'C-1 On-Site WaterC'' Baseline'!AO171</f>
        <v/>
      </c>
      <c r="C173" s="382" t="str">
        <f>IF(B173="","",VLOOKUP($B173,'C-1 On-Site WaterC'' Baseline'!$C$9:$R$257,2,FALSE))</f>
        <v/>
      </c>
      <c r="D173" s="382" t="str">
        <f>IF(C173="","",VLOOKUP($B173,'C-1 On-Site WaterC'' Baseline'!$C$9:$R$257,3,FALSE))</f>
        <v/>
      </c>
      <c r="E173" s="382" t="str">
        <f>IF(D173="","",VLOOKUP($B173,'C-1 On-Site WaterC'' Baseline'!$C$9:$R$257,4,FALSE))</f>
        <v/>
      </c>
      <c r="F173" s="382" t="str">
        <f>IF(E173="","",VLOOKUP($B173,'C-1 On-Site WaterC'' Baseline'!$C$9:$R$257,5,FALSE))</f>
        <v/>
      </c>
      <c r="G173" s="382" t="str">
        <f>IF(F173="","",VLOOKUP($B173,'C-1 On-Site WaterC'' Baseline'!$C$9:$R$257,6,FALSE))</f>
        <v/>
      </c>
      <c r="H173" s="382" t="str">
        <f>IF(G173="","",VLOOKUP($B173,'C-1 On-Site WaterC'' Baseline'!$C$9:$R$257,7,FALSE))</f>
        <v/>
      </c>
      <c r="I173" s="382" t="str">
        <f>IF(H173="","",VLOOKUP($B173,'C-1 On-Site WaterC'' Baseline'!$C$9:$R$257,8,FALSE))</f>
        <v/>
      </c>
      <c r="J173" s="382" t="str">
        <f>IF(I173="","",VLOOKUP($B173,'C-1 On-Site WaterC'' Baseline'!$C$9:$R$257,9,FALSE))</f>
        <v/>
      </c>
      <c r="K173" s="382" t="str">
        <f>IF(J173="","",VLOOKUP($B173,'C-1 On-Site WaterC'' Baseline'!$C$9:$R$257,10,FALSE))</f>
        <v/>
      </c>
      <c r="L173" s="382" t="str">
        <f>IF(B173="","",VLOOKUP($B173,'C-1 On-Site WaterC'' Baseline'!$C$9:$R$257,15,FALSE))</f>
        <v/>
      </c>
      <c r="M173" s="386" t="str">
        <f>IF(L173="","",VLOOKUP($B173,'C-1 On-Site WaterC'' Baseline'!$C$9:$R$257,16,FALSE))</f>
        <v/>
      </c>
      <c r="N173" s="320" t="str">
        <f t="shared" si="16"/>
        <v/>
      </c>
      <c r="O173" s="362" t="str">
        <f t="shared" si="18"/>
        <v/>
      </c>
      <c r="P173" s="363" t="str">
        <f>IF(C173="","",IF(AND(LEFT(C173,55)&lt;&gt;LEFT(N173,55),O173="High - High"),"Error - Not like for like ▲",IF(H173&gt;U173,"Error - Can not reduce condition ▲",IF(AND(F173=S173,H173=U173,AJ173='C-1 On-Site WaterC'' Baseline'!N171,'C-1 On-Site WaterC'' Baseline'!P171=AL173),"Error - No enhancement ▲",IF(AND(C173&lt;&gt;N173,F173&lt;S173),"Lower Distinctiveness Habitat"&amp;" - "&amp;T173,G173&amp;" - "&amp;T173)))))</f>
        <v/>
      </c>
      <c r="Q173" s="425" t="str">
        <f>IF(N173="","",VLOOKUP(B173,'C-1 On-Site WaterC'' Baseline'!$C$10:$AB$257,19,FALSE))</f>
        <v/>
      </c>
      <c r="R173" s="362" t="str">
        <f>IF(N173="","",VLOOKUP(N173,'G-7 WaterC'' Data'!$B$2:$G$8,2,FALSE))</f>
        <v/>
      </c>
      <c r="S173" s="363" t="str">
        <f>IFERROR(VLOOKUP(R173,'G-7 WaterC'' Data'!$C$4:$D$8,2,FALSE),"")</f>
        <v/>
      </c>
      <c r="T173" s="114"/>
      <c r="U173" s="363" t="str">
        <f>IFERROR(INDEX('G-7 WaterC'' Data'!$H$4:$L$8,MATCH(N173,'G-7 WaterC'' Data'!$B$4:$B$8,0),MATCH(T173,'G-7 WaterC'' Data'!$H$3:$L$3,0)),"")</f>
        <v/>
      </c>
      <c r="V173" s="114"/>
      <c r="W173" s="370" t="str">
        <f>IF(V173="","",IF(VLOOKUP(V173,'G-7 WaterC'' Data'!$AK$4:$AM$6,2,FALSE)=0,"Spatial Data Missing ⚠",VLOOKUP(V173,'G-7 WaterC'' Data'!$AK$4:$AM$6,2,FALSE)))</f>
        <v/>
      </c>
      <c r="X173" s="363" t="str">
        <f>IF(V173="","",IF(VLOOKUP(V173,'G-7 WaterC'' Data'!$AK$4:$AM$6,3,FALSE)=0,"Spatial Data Missing ⚠",VLOOKUP(V173,'G-7 WaterC'' Data'!$AK$4:$AM$6,3,FALSE)))</f>
        <v/>
      </c>
      <c r="Y173" s="362" t="str">
        <f>IFERROR(IF(OR(LEFT(P173,5)="Error",LEFT(O173,5)="Error ▲"),"Check Data ⚠",IF(F173&lt;S173,'G-7 WaterC'' Data'!$R$3,INDEX('G-7 WaterC'' Data'!$U$5:$Y$9,MATCH(G173,'G-7 WaterC'' Data'!$T$5:$T$9,0),MATCH(T173,'G-7 WaterC'' Data'!$U$4:$Y$4,0)))),"")</f>
        <v/>
      </c>
      <c r="Z173" s="159"/>
      <c r="AA173" s="159"/>
      <c r="AB173" s="370" t="str">
        <f t="shared" si="19"/>
        <v/>
      </c>
      <c r="AC173" s="383" t="str">
        <f t="shared" si="20"/>
        <v/>
      </c>
      <c r="AD173" s="422" t="str">
        <f>IFERROR(IF(AC173="Check Data ⚠","Check Data ⚠",VLOOKUP(AC173,'G-4 Temporal multipliers'!$A$4:$C$37,3,FALSE)),"")</f>
        <v/>
      </c>
      <c r="AE173" s="362" t="str">
        <f>IF(N173="","",VLOOKUP(N173,'G-7 WaterC'' Data'!$B$4:$G$8,5,FALSE))</f>
        <v/>
      </c>
      <c r="AF173" s="370" t="str">
        <f t="shared" si="21"/>
        <v/>
      </c>
      <c r="AG173" s="401" t="str">
        <f t="shared" si="22"/>
        <v/>
      </c>
      <c r="AH173" s="363" t="str">
        <f t="shared" si="17"/>
        <v/>
      </c>
      <c r="AI173" s="122"/>
      <c r="AJ173" s="363" t="str">
        <f>IF(AI173="","",IF(VLOOKUP(AI173,'G-7 WaterC'' Data'!$AA$4:$AB$7,2,FALSE)=0,"Spatial Data Missing ⚠",VLOOKUP(AI173,'G-7 WaterC'' Data'!$AA$4:$AB$7,2,FALSE)))</f>
        <v/>
      </c>
      <c r="AK173" s="123"/>
      <c r="AL173" s="363" t="str">
        <f>IF(AK173="","",IF(VLOOKUP(AK173,'G-7 WaterC'' Data'!$AD$4:$AE$14,2,FALSE)=0,"Spatial Data Missing ⚠",VLOOKUP(AK173,'G-7 WaterC'' Data'!$AD$4:$AE$14,2,FALSE)))</f>
        <v/>
      </c>
      <c r="AM173" s="405" t="str">
        <f t="shared" si="23"/>
        <v/>
      </c>
      <c r="AN173" s="117"/>
      <c r="AO173" s="118"/>
      <c r="AP173" s="120"/>
      <c r="AV173" s="30" t="str">
        <f>IFERROR(INDEX('G-7 WaterC'' Data'!$AZ$3:$AZ$7,MATCH(N173,'G-7 WaterC'' Data'!$AY$3:$AY$7,0)),"")</f>
        <v/>
      </c>
    </row>
    <row r="174" spans="2:48" ht="15">
      <c r="B174" s="392" t="str">
        <f>'C-1 On-Site WaterC'' Baseline'!AO172</f>
        <v/>
      </c>
      <c r="C174" s="382" t="str">
        <f>IF(B174="","",VLOOKUP($B174,'C-1 On-Site WaterC'' Baseline'!$C$9:$R$257,2,FALSE))</f>
        <v/>
      </c>
      <c r="D174" s="382" t="str">
        <f>IF(C174="","",VLOOKUP($B174,'C-1 On-Site WaterC'' Baseline'!$C$9:$R$257,3,FALSE))</f>
        <v/>
      </c>
      <c r="E174" s="382" t="str">
        <f>IF(D174="","",VLOOKUP($B174,'C-1 On-Site WaterC'' Baseline'!$C$9:$R$257,4,FALSE))</f>
        <v/>
      </c>
      <c r="F174" s="382" t="str">
        <f>IF(E174="","",VLOOKUP($B174,'C-1 On-Site WaterC'' Baseline'!$C$9:$R$257,5,FALSE))</f>
        <v/>
      </c>
      <c r="G174" s="382" t="str">
        <f>IF(F174="","",VLOOKUP($B174,'C-1 On-Site WaterC'' Baseline'!$C$9:$R$257,6,FALSE))</f>
        <v/>
      </c>
      <c r="H174" s="382" t="str">
        <f>IF(G174="","",VLOOKUP($B174,'C-1 On-Site WaterC'' Baseline'!$C$9:$R$257,7,FALSE))</f>
        <v/>
      </c>
      <c r="I174" s="382" t="str">
        <f>IF(H174="","",VLOOKUP($B174,'C-1 On-Site WaterC'' Baseline'!$C$9:$R$257,8,FALSE))</f>
        <v/>
      </c>
      <c r="J174" s="382" t="str">
        <f>IF(I174="","",VLOOKUP($B174,'C-1 On-Site WaterC'' Baseline'!$C$9:$R$257,9,FALSE))</f>
        <v/>
      </c>
      <c r="K174" s="382" t="str">
        <f>IF(J174="","",VLOOKUP($B174,'C-1 On-Site WaterC'' Baseline'!$C$9:$R$257,10,FALSE))</f>
        <v/>
      </c>
      <c r="L174" s="382" t="str">
        <f>IF(B174="","",VLOOKUP($B174,'C-1 On-Site WaterC'' Baseline'!$C$9:$R$257,15,FALSE))</f>
        <v/>
      </c>
      <c r="M174" s="386" t="str">
        <f>IF(L174="","",VLOOKUP($B174,'C-1 On-Site WaterC'' Baseline'!$C$9:$R$257,16,FALSE))</f>
        <v/>
      </c>
      <c r="N174" s="320" t="str">
        <f t="shared" si="16"/>
        <v/>
      </c>
      <c r="O174" s="362" t="str">
        <f t="shared" si="18"/>
        <v/>
      </c>
      <c r="P174" s="363" t="str">
        <f>IF(C174="","",IF(AND(LEFT(C174,55)&lt;&gt;LEFT(N174,55),O174="High - High"),"Error - Not like for like ▲",IF(H174&gt;U174,"Error - Can not reduce condition ▲",IF(AND(F174=S174,H174=U174,AJ174='C-1 On-Site WaterC'' Baseline'!N172,'C-1 On-Site WaterC'' Baseline'!P172=AL174),"Error - No enhancement ▲",IF(AND(C174&lt;&gt;N174,F174&lt;S174),"Lower Distinctiveness Habitat"&amp;" - "&amp;T174,G174&amp;" - "&amp;T174)))))</f>
        <v/>
      </c>
      <c r="Q174" s="425" t="str">
        <f>IF(N174="","",VLOOKUP(B174,'C-1 On-Site WaterC'' Baseline'!$C$10:$AB$257,19,FALSE))</f>
        <v/>
      </c>
      <c r="R174" s="362" t="str">
        <f>IF(N174="","",VLOOKUP(N174,'G-7 WaterC'' Data'!$B$2:$G$8,2,FALSE))</f>
        <v/>
      </c>
      <c r="S174" s="363" t="str">
        <f>IFERROR(VLOOKUP(R174,'G-7 WaterC'' Data'!$C$4:$D$8,2,FALSE),"")</f>
        <v/>
      </c>
      <c r="T174" s="114"/>
      <c r="U174" s="363" t="str">
        <f>IFERROR(INDEX('G-7 WaterC'' Data'!$H$4:$L$8,MATCH(N174,'G-7 WaterC'' Data'!$B$4:$B$8,0),MATCH(T174,'G-7 WaterC'' Data'!$H$3:$L$3,0)),"")</f>
        <v/>
      </c>
      <c r="V174" s="114"/>
      <c r="W174" s="370" t="str">
        <f>IF(V174="","",IF(VLOOKUP(V174,'G-7 WaterC'' Data'!$AK$4:$AM$6,2,FALSE)=0,"Spatial Data Missing ⚠",VLOOKUP(V174,'G-7 WaterC'' Data'!$AK$4:$AM$6,2,FALSE)))</f>
        <v/>
      </c>
      <c r="X174" s="363" t="str">
        <f>IF(V174="","",IF(VLOOKUP(V174,'G-7 WaterC'' Data'!$AK$4:$AM$6,3,FALSE)=0,"Spatial Data Missing ⚠",VLOOKUP(V174,'G-7 WaterC'' Data'!$AK$4:$AM$6,3,FALSE)))</f>
        <v/>
      </c>
      <c r="Y174" s="362" t="str">
        <f>IFERROR(IF(OR(LEFT(P174,5)="Error",LEFT(O174,5)="Error ▲"),"Check Data ⚠",IF(F174&lt;S174,'G-7 WaterC'' Data'!$R$3,INDEX('G-7 WaterC'' Data'!$U$5:$Y$9,MATCH(G174,'G-7 WaterC'' Data'!$T$5:$T$9,0),MATCH(T174,'G-7 WaterC'' Data'!$U$4:$Y$4,0)))),"")</f>
        <v/>
      </c>
      <c r="Z174" s="159"/>
      <c r="AA174" s="159"/>
      <c r="AB174" s="370" t="str">
        <f t="shared" si="19"/>
        <v/>
      </c>
      <c r="AC174" s="383" t="str">
        <f t="shared" si="20"/>
        <v/>
      </c>
      <c r="AD174" s="422" t="str">
        <f>IFERROR(IF(AC174="Check Data ⚠","Check Data ⚠",VLOOKUP(AC174,'G-4 Temporal multipliers'!$A$4:$C$37,3,FALSE)),"")</f>
        <v/>
      </c>
      <c r="AE174" s="362" t="str">
        <f>IF(N174="","",VLOOKUP(N174,'G-7 WaterC'' Data'!$B$4:$G$8,5,FALSE))</f>
        <v/>
      </c>
      <c r="AF174" s="370" t="str">
        <f t="shared" si="21"/>
        <v/>
      </c>
      <c r="AG174" s="401" t="str">
        <f t="shared" si="22"/>
        <v/>
      </c>
      <c r="AH174" s="363" t="str">
        <f t="shared" si="17"/>
        <v/>
      </c>
      <c r="AI174" s="122"/>
      <c r="AJ174" s="363" t="str">
        <f>IF(AI174="","",IF(VLOOKUP(AI174,'G-7 WaterC'' Data'!$AA$4:$AB$7,2,FALSE)=0,"Spatial Data Missing ⚠",VLOOKUP(AI174,'G-7 WaterC'' Data'!$AA$4:$AB$7,2,FALSE)))</f>
        <v/>
      </c>
      <c r="AK174" s="123"/>
      <c r="AL174" s="363" t="str">
        <f>IF(AK174="","",IF(VLOOKUP(AK174,'G-7 WaterC'' Data'!$AD$4:$AE$14,2,FALSE)=0,"Spatial Data Missing ⚠",VLOOKUP(AK174,'G-7 WaterC'' Data'!$AD$4:$AE$14,2,FALSE)))</f>
        <v/>
      </c>
      <c r="AM174" s="405" t="str">
        <f t="shared" si="23"/>
        <v/>
      </c>
      <c r="AN174" s="117"/>
      <c r="AO174" s="118"/>
      <c r="AP174" s="120"/>
      <c r="AV174" s="30" t="str">
        <f>IFERROR(INDEX('G-7 WaterC'' Data'!$AZ$3:$AZ$7,MATCH(N174,'G-7 WaterC'' Data'!$AY$3:$AY$7,0)),"")</f>
        <v/>
      </c>
    </row>
    <row r="175" spans="2:48" ht="15">
      <c r="B175" s="392" t="str">
        <f>'C-1 On-Site WaterC'' Baseline'!AO173</f>
        <v/>
      </c>
      <c r="C175" s="382" t="str">
        <f>IF(B175="","",VLOOKUP($B175,'C-1 On-Site WaterC'' Baseline'!$C$9:$R$257,2,FALSE))</f>
        <v/>
      </c>
      <c r="D175" s="382" t="str">
        <f>IF(C175="","",VLOOKUP($B175,'C-1 On-Site WaterC'' Baseline'!$C$9:$R$257,3,FALSE))</f>
        <v/>
      </c>
      <c r="E175" s="382" t="str">
        <f>IF(D175="","",VLOOKUP($B175,'C-1 On-Site WaterC'' Baseline'!$C$9:$R$257,4,FALSE))</f>
        <v/>
      </c>
      <c r="F175" s="382" t="str">
        <f>IF(E175="","",VLOOKUP($B175,'C-1 On-Site WaterC'' Baseline'!$C$9:$R$257,5,FALSE))</f>
        <v/>
      </c>
      <c r="G175" s="382" t="str">
        <f>IF(F175="","",VLOOKUP($B175,'C-1 On-Site WaterC'' Baseline'!$C$9:$R$257,6,FALSE))</f>
        <v/>
      </c>
      <c r="H175" s="382" t="str">
        <f>IF(G175="","",VLOOKUP($B175,'C-1 On-Site WaterC'' Baseline'!$C$9:$R$257,7,FALSE))</f>
        <v/>
      </c>
      <c r="I175" s="382" t="str">
        <f>IF(H175="","",VLOOKUP($B175,'C-1 On-Site WaterC'' Baseline'!$C$9:$R$257,8,FALSE))</f>
        <v/>
      </c>
      <c r="J175" s="382" t="str">
        <f>IF(I175="","",VLOOKUP($B175,'C-1 On-Site WaterC'' Baseline'!$C$9:$R$257,9,FALSE))</f>
        <v/>
      </c>
      <c r="K175" s="382" t="str">
        <f>IF(J175="","",VLOOKUP($B175,'C-1 On-Site WaterC'' Baseline'!$C$9:$R$257,10,FALSE))</f>
        <v/>
      </c>
      <c r="L175" s="382" t="str">
        <f>IF(B175="","",VLOOKUP($B175,'C-1 On-Site WaterC'' Baseline'!$C$9:$R$257,15,FALSE))</f>
        <v/>
      </c>
      <c r="M175" s="386" t="str">
        <f>IF(L175="","",VLOOKUP($B175,'C-1 On-Site WaterC'' Baseline'!$C$9:$R$257,16,FALSE))</f>
        <v/>
      </c>
      <c r="N175" s="320" t="str">
        <f t="shared" si="16"/>
        <v/>
      </c>
      <c r="O175" s="362" t="str">
        <f t="shared" si="18"/>
        <v/>
      </c>
      <c r="P175" s="363" t="str">
        <f>IF(C175="","",IF(AND(LEFT(C175,55)&lt;&gt;LEFT(N175,55),O175="High - High"),"Error - Not like for like ▲",IF(H175&gt;U175,"Error - Can not reduce condition ▲",IF(AND(F175=S175,H175=U175,AJ175='C-1 On-Site WaterC'' Baseline'!N173,'C-1 On-Site WaterC'' Baseline'!P173=AL175),"Error - No enhancement ▲",IF(AND(C175&lt;&gt;N175,F175&lt;S175),"Lower Distinctiveness Habitat"&amp;" - "&amp;T175,G175&amp;" - "&amp;T175)))))</f>
        <v/>
      </c>
      <c r="Q175" s="425" t="str">
        <f>IF(N175="","",VLOOKUP(B175,'C-1 On-Site WaterC'' Baseline'!$C$10:$AB$257,19,FALSE))</f>
        <v/>
      </c>
      <c r="R175" s="362" t="str">
        <f>IF(N175="","",VLOOKUP(N175,'G-7 WaterC'' Data'!$B$2:$G$8,2,FALSE))</f>
        <v/>
      </c>
      <c r="S175" s="363" t="str">
        <f>IFERROR(VLOOKUP(R175,'G-7 WaterC'' Data'!$C$4:$D$8,2,FALSE),"")</f>
        <v/>
      </c>
      <c r="T175" s="114"/>
      <c r="U175" s="363" t="str">
        <f>IFERROR(INDEX('G-7 WaterC'' Data'!$H$4:$L$8,MATCH(N175,'G-7 WaterC'' Data'!$B$4:$B$8,0),MATCH(T175,'G-7 WaterC'' Data'!$H$3:$L$3,0)),"")</f>
        <v/>
      </c>
      <c r="V175" s="114"/>
      <c r="W175" s="370" t="str">
        <f>IF(V175="","",IF(VLOOKUP(V175,'G-7 WaterC'' Data'!$AK$4:$AM$6,2,FALSE)=0,"Spatial Data Missing ⚠",VLOOKUP(V175,'G-7 WaterC'' Data'!$AK$4:$AM$6,2,FALSE)))</f>
        <v/>
      </c>
      <c r="X175" s="363" t="str">
        <f>IF(V175="","",IF(VLOOKUP(V175,'G-7 WaterC'' Data'!$AK$4:$AM$6,3,FALSE)=0,"Spatial Data Missing ⚠",VLOOKUP(V175,'G-7 WaterC'' Data'!$AK$4:$AM$6,3,FALSE)))</f>
        <v/>
      </c>
      <c r="Y175" s="362" t="str">
        <f>IFERROR(IF(OR(LEFT(P175,5)="Error",LEFT(O175,5)="Error ▲"),"Check Data ⚠",IF(F175&lt;S175,'G-7 WaterC'' Data'!$R$3,INDEX('G-7 WaterC'' Data'!$U$5:$Y$9,MATCH(G175,'G-7 WaterC'' Data'!$T$5:$T$9,0),MATCH(T175,'G-7 WaterC'' Data'!$U$4:$Y$4,0)))),"")</f>
        <v/>
      </c>
      <c r="Z175" s="159"/>
      <c r="AA175" s="159"/>
      <c r="AB175" s="370" t="str">
        <f t="shared" si="19"/>
        <v/>
      </c>
      <c r="AC175" s="383" t="str">
        <f t="shared" si="20"/>
        <v/>
      </c>
      <c r="AD175" s="422" t="str">
        <f>IFERROR(IF(AC175="Check Data ⚠","Check Data ⚠",VLOOKUP(AC175,'G-4 Temporal multipliers'!$A$4:$C$37,3,FALSE)),"")</f>
        <v/>
      </c>
      <c r="AE175" s="362" t="str">
        <f>IF(N175="","",VLOOKUP(N175,'G-7 WaterC'' Data'!$B$4:$G$8,5,FALSE))</f>
        <v/>
      </c>
      <c r="AF175" s="370" t="str">
        <f t="shared" si="21"/>
        <v/>
      </c>
      <c r="AG175" s="401" t="str">
        <f t="shared" si="22"/>
        <v/>
      </c>
      <c r="AH175" s="363" t="str">
        <f t="shared" si="17"/>
        <v/>
      </c>
      <c r="AI175" s="122"/>
      <c r="AJ175" s="363" t="str">
        <f>IF(AI175="","",IF(VLOOKUP(AI175,'G-7 WaterC'' Data'!$AA$4:$AB$7,2,FALSE)=0,"Spatial Data Missing ⚠",VLOOKUP(AI175,'G-7 WaterC'' Data'!$AA$4:$AB$7,2,FALSE)))</f>
        <v/>
      </c>
      <c r="AK175" s="123"/>
      <c r="AL175" s="363" t="str">
        <f>IF(AK175="","",IF(VLOOKUP(AK175,'G-7 WaterC'' Data'!$AD$4:$AE$14,2,FALSE)=0,"Spatial Data Missing ⚠",VLOOKUP(AK175,'G-7 WaterC'' Data'!$AD$4:$AE$14,2,FALSE)))</f>
        <v/>
      </c>
      <c r="AM175" s="405" t="str">
        <f t="shared" si="23"/>
        <v/>
      </c>
      <c r="AN175" s="117"/>
      <c r="AO175" s="118"/>
      <c r="AP175" s="120"/>
      <c r="AV175" s="30" t="str">
        <f>IFERROR(INDEX('G-7 WaterC'' Data'!$AZ$3:$AZ$7,MATCH(N175,'G-7 WaterC'' Data'!$AY$3:$AY$7,0)),"")</f>
        <v/>
      </c>
    </row>
    <row r="176" spans="2:48" ht="15">
      <c r="B176" s="392" t="str">
        <f>'C-1 On-Site WaterC'' Baseline'!AO174</f>
        <v/>
      </c>
      <c r="C176" s="382" t="str">
        <f>IF(B176="","",VLOOKUP($B176,'C-1 On-Site WaterC'' Baseline'!$C$9:$R$257,2,FALSE))</f>
        <v/>
      </c>
      <c r="D176" s="382" t="str">
        <f>IF(C176="","",VLOOKUP($B176,'C-1 On-Site WaterC'' Baseline'!$C$9:$R$257,3,FALSE))</f>
        <v/>
      </c>
      <c r="E176" s="382" t="str">
        <f>IF(D176="","",VLOOKUP($B176,'C-1 On-Site WaterC'' Baseline'!$C$9:$R$257,4,FALSE))</f>
        <v/>
      </c>
      <c r="F176" s="382" t="str">
        <f>IF(E176="","",VLOOKUP($B176,'C-1 On-Site WaterC'' Baseline'!$C$9:$R$257,5,FALSE))</f>
        <v/>
      </c>
      <c r="G176" s="382" t="str">
        <f>IF(F176="","",VLOOKUP($B176,'C-1 On-Site WaterC'' Baseline'!$C$9:$R$257,6,FALSE))</f>
        <v/>
      </c>
      <c r="H176" s="382" t="str">
        <f>IF(G176="","",VLOOKUP($B176,'C-1 On-Site WaterC'' Baseline'!$C$9:$R$257,7,FALSE))</f>
        <v/>
      </c>
      <c r="I176" s="382" t="str">
        <f>IF(H176="","",VLOOKUP($B176,'C-1 On-Site WaterC'' Baseline'!$C$9:$R$257,8,FALSE))</f>
        <v/>
      </c>
      <c r="J176" s="382" t="str">
        <f>IF(I176="","",VLOOKUP($B176,'C-1 On-Site WaterC'' Baseline'!$C$9:$R$257,9,FALSE))</f>
        <v/>
      </c>
      <c r="K176" s="382" t="str">
        <f>IF(J176="","",VLOOKUP($B176,'C-1 On-Site WaterC'' Baseline'!$C$9:$R$257,10,FALSE))</f>
        <v/>
      </c>
      <c r="L176" s="382" t="str">
        <f>IF(B176="","",VLOOKUP($B176,'C-1 On-Site WaterC'' Baseline'!$C$9:$R$257,15,FALSE))</f>
        <v/>
      </c>
      <c r="M176" s="386" t="str">
        <f>IF(L176="","",VLOOKUP($B176,'C-1 On-Site WaterC'' Baseline'!$C$9:$R$257,16,FALSE))</f>
        <v/>
      </c>
      <c r="N176" s="320" t="str">
        <f t="shared" si="16"/>
        <v/>
      </c>
      <c r="O176" s="362" t="str">
        <f t="shared" si="18"/>
        <v/>
      </c>
      <c r="P176" s="363" t="str">
        <f>IF(C176="","",IF(AND(LEFT(C176,55)&lt;&gt;LEFT(N176,55),O176="High - High"),"Error - Not like for like ▲",IF(H176&gt;U176,"Error - Can not reduce condition ▲",IF(AND(F176=S176,H176=U176,AJ176='C-1 On-Site WaterC'' Baseline'!N174,'C-1 On-Site WaterC'' Baseline'!P174=AL176),"Error - No enhancement ▲",IF(AND(C176&lt;&gt;N176,F176&lt;S176),"Lower Distinctiveness Habitat"&amp;" - "&amp;T176,G176&amp;" - "&amp;T176)))))</f>
        <v/>
      </c>
      <c r="Q176" s="425" t="str">
        <f>IF(N176="","",VLOOKUP(B176,'C-1 On-Site WaterC'' Baseline'!$C$10:$AB$257,19,FALSE))</f>
        <v/>
      </c>
      <c r="R176" s="362" t="str">
        <f>IF(N176="","",VLOOKUP(N176,'G-7 WaterC'' Data'!$B$2:$G$8,2,FALSE))</f>
        <v/>
      </c>
      <c r="S176" s="363" t="str">
        <f>IFERROR(VLOOKUP(R176,'G-7 WaterC'' Data'!$C$4:$D$8,2,FALSE),"")</f>
        <v/>
      </c>
      <c r="T176" s="114"/>
      <c r="U176" s="363" t="str">
        <f>IFERROR(INDEX('G-7 WaterC'' Data'!$H$4:$L$8,MATCH(N176,'G-7 WaterC'' Data'!$B$4:$B$8,0),MATCH(T176,'G-7 WaterC'' Data'!$H$3:$L$3,0)),"")</f>
        <v/>
      </c>
      <c r="V176" s="114"/>
      <c r="W176" s="370" t="str">
        <f>IF(V176="","",IF(VLOOKUP(V176,'G-7 WaterC'' Data'!$AK$4:$AM$6,2,FALSE)=0,"Spatial Data Missing ⚠",VLOOKUP(V176,'G-7 WaterC'' Data'!$AK$4:$AM$6,2,FALSE)))</f>
        <v/>
      </c>
      <c r="X176" s="363" t="str">
        <f>IF(V176="","",IF(VLOOKUP(V176,'G-7 WaterC'' Data'!$AK$4:$AM$6,3,FALSE)=0,"Spatial Data Missing ⚠",VLOOKUP(V176,'G-7 WaterC'' Data'!$AK$4:$AM$6,3,FALSE)))</f>
        <v/>
      </c>
      <c r="Y176" s="362" t="str">
        <f>IFERROR(IF(OR(LEFT(P176,5)="Error",LEFT(O176,5)="Error ▲"),"Check Data ⚠",IF(F176&lt;S176,'G-7 WaterC'' Data'!$R$3,INDEX('G-7 WaterC'' Data'!$U$5:$Y$9,MATCH(G176,'G-7 WaterC'' Data'!$T$5:$T$9,0),MATCH(T176,'G-7 WaterC'' Data'!$U$4:$Y$4,0)))),"")</f>
        <v/>
      </c>
      <c r="Z176" s="159"/>
      <c r="AA176" s="159"/>
      <c r="AB176" s="370" t="str">
        <f t="shared" si="19"/>
        <v/>
      </c>
      <c r="AC176" s="383" t="str">
        <f t="shared" si="20"/>
        <v/>
      </c>
      <c r="AD176" s="422" t="str">
        <f>IFERROR(IF(AC176="Check Data ⚠","Check Data ⚠",VLOOKUP(AC176,'G-4 Temporal multipliers'!$A$4:$C$37,3,FALSE)),"")</f>
        <v/>
      </c>
      <c r="AE176" s="362" t="str">
        <f>IF(N176="","",VLOOKUP(N176,'G-7 WaterC'' Data'!$B$4:$G$8,5,FALSE))</f>
        <v/>
      </c>
      <c r="AF176" s="370" t="str">
        <f t="shared" si="21"/>
        <v/>
      </c>
      <c r="AG176" s="401" t="str">
        <f t="shared" si="22"/>
        <v/>
      </c>
      <c r="AH176" s="363" t="str">
        <f t="shared" si="17"/>
        <v/>
      </c>
      <c r="AI176" s="122"/>
      <c r="AJ176" s="363" t="str">
        <f>IF(AI176="","",IF(VLOOKUP(AI176,'G-7 WaterC'' Data'!$AA$4:$AB$7,2,FALSE)=0,"Spatial Data Missing ⚠",VLOOKUP(AI176,'G-7 WaterC'' Data'!$AA$4:$AB$7,2,FALSE)))</f>
        <v/>
      </c>
      <c r="AK176" s="123"/>
      <c r="AL176" s="363" t="str">
        <f>IF(AK176="","",IF(VLOOKUP(AK176,'G-7 WaterC'' Data'!$AD$4:$AE$14,2,FALSE)=0,"Spatial Data Missing ⚠",VLOOKUP(AK176,'G-7 WaterC'' Data'!$AD$4:$AE$14,2,FALSE)))</f>
        <v/>
      </c>
      <c r="AM176" s="405" t="str">
        <f t="shared" si="23"/>
        <v/>
      </c>
      <c r="AN176" s="117"/>
      <c r="AO176" s="118"/>
      <c r="AP176" s="120"/>
      <c r="AV176" s="30" t="str">
        <f>IFERROR(INDEX('G-7 WaterC'' Data'!$AZ$3:$AZ$7,MATCH(N176,'G-7 WaterC'' Data'!$AY$3:$AY$7,0)),"")</f>
        <v/>
      </c>
    </row>
    <row r="177" spans="2:48" ht="15">
      <c r="B177" s="392" t="str">
        <f>'C-1 On-Site WaterC'' Baseline'!AO175</f>
        <v/>
      </c>
      <c r="C177" s="382" t="str">
        <f>IF(B177="","",VLOOKUP($B177,'C-1 On-Site WaterC'' Baseline'!$C$9:$R$257,2,FALSE))</f>
        <v/>
      </c>
      <c r="D177" s="382" t="str">
        <f>IF(C177="","",VLOOKUP($B177,'C-1 On-Site WaterC'' Baseline'!$C$9:$R$257,3,FALSE))</f>
        <v/>
      </c>
      <c r="E177" s="382" t="str">
        <f>IF(D177="","",VLOOKUP($B177,'C-1 On-Site WaterC'' Baseline'!$C$9:$R$257,4,FALSE))</f>
        <v/>
      </c>
      <c r="F177" s="382" t="str">
        <f>IF(E177="","",VLOOKUP($B177,'C-1 On-Site WaterC'' Baseline'!$C$9:$R$257,5,FALSE))</f>
        <v/>
      </c>
      <c r="G177" s="382" t="str">
        <f>IF(F177="","",VLOOKUP($B177,'C-1 On-Site WaterC'' Baseline'!$C$9:$R$257,6,FALSE))</f>
        <v/>
      </c>
      <c r="H177" s="382" t="str">
        <f>IF(G177="","",VLOOKUP($B177,'C-1 On-Site WaterC'' Baseline'!$C$9:$R$257,7,FALSE))</f>
        <v/>
      </c>
      <c r="I177" s="382" t="str">
        <f>IF(H177="","",VLOOKUP($B177,'C-1 On-Site WaterC'' Baseline'!$C$9:$R$257,8,FALSE))</f>
        <v/>
      </c>
      <c r="J177" s="382" t="str">
        <f>IF(I177="","",VLOOKUP($B177,'C-1 On-Site WaterC'' Baseline'!$C$9:$R$257,9,FALSE))</f>
        <v/>
      </c>
      <c r="K177" s="382" t="str">
        <f>IF(J177="","",VLOOKUP($B177,'C-1 On-Site WaterC'' Baseline'!$C$9:$R$257,10,FALSE))</f>
        <v/>
      </c>
      <c r="L177" s="382" t="str">
        <f>IF(B177="","",VLOOKUP($B177,'C-1 On-Site WaterC'' Baseline'!$C$9:$R$257,15,FALSE))</f>
        <v/>
      </c>
      <c r="M177" s="386" t="str">
        <f>IF(L177="","",VLOOKUP($B177,'C-1 On-Site WaterC'' Baseline'!$C$9:$R$257,16,FALSE))</f>
        <v/>
      </c>
      <c r="N177" s="320" t="str">
        <f t="shared" si="16"/>
        <v/>
      </c>
      <c r="O177" s="362" t="str">
        <f t="shared" si="18"/>
        <v/>
      </c>
      <c r="P177" s="363" t="str">
        <f>IF(C177="","",IF(AND(LEFT(C177,55)&lt;&gt;LEFT(N177,55),O177="High - High"),"Error - Not like for like ▲",IF(H177&gt;U177,"Error - Can not reduce condition ▲",IF(AND(F177=S177,H177=U177,AJ177='C-1 On-Site WaterC'' Baseline'!N175,'C-1 On-Site WaterC'' Baseline'!P175=AL177),"Error - No enhancement ▲",IF(AND(C177&lt;&gt;N177,F177&lt;S177),"Lower Distinctiveness Habitat"&amp;" - "&amp;T177,G177&amp;" - "&amp;T177)))))</f>
        <v/>
      </c>
      <c r="Q177" s="425" t="str">
        <f>IF(N177="","",VLOOKUP(B177,'C-1 On-Site WaterC'' Baseline'!$C$10:$AB$257,19,FALSE))</f>
        <v/>
      </c>
      <c r="R177" s="362" t="str">
        <f>IF(N177="","",VLOOKUP(N177,'G-7 WaterC'' Data'!$B$2:$G$8,2,FALSE))</f>
        <v/>
      </c>
      <c r="S177" s="363" t="str">
        <f>IFERROR(VLOOKUP(R177,'G-7 WaterC'' Data'!$C$4:$D$8,2,FALSE),"")</f>
        <v/>
      </c>
      <c r="T177" s="114"/>
      <c r="U177" s="363" t="str">
        <f>IFERROR(INDEX('G-7 WaterC'' Data'!$H$4:$L$8,MATCH(N177,'G-7 WaterC'' Data'!$B$4:$B$8,0),MATCH(T177,'G-7 WaterC'' Data'!$H$3:$L$3,0)),"")</f>
        <v/>
      </c>
      <c r="V177" s="114"/>
      <c r="W177" s="370" t="str">
        <f>IF(V177="","",IF(VLOOKUP(V177,'G-7 WaterC'' Data'!$AK$4:$AM$6,2,FALSE)=0,"Spatial Data Missing ⚠",VLOOKUP(V177,'G-7 WaterC'' Data'!$AK$4:$AM$6,2,FALSE)))</f>
        <v/>
      </c>
      <c r="X177" s="363" t="str">
        <f>IF(V177="","",IF(VLOOKUP(V177,'G-7 WaterC'' Data'!$AK$4:$AM$6,3,FALSE)=0,"Spatial Data Missing ⚠",VLOOKUP(V177,'G-7 WaterC'' Data'!$AK$4:$AM$6,3,FALSE)))</f>
        <v/>
      </c>
      <c r="Y177" s="362" t="str">
        <f>IFERROR(IF(OR(LEFT(P177,5)="Error",LEFT(O177,5)="Error ▲"),"Check Data ⚠",IF(F177&lt;S177,'G-7 WaterC'' Data'!$R$3,INDEX('G-7 WaterC'' Data'!$U$5:$Y$9,MATCH(G177,'G-7 WaterC'' Data'!$T$5:$T$9,0),MATCH(T177,'G-7 WaterC'' Data'!$U$4:$Y$4,0)))),"")</f>
        <v/>
      </c>
      <c r="Z177" s="159"/>
      <c r="AA177" s="159"/>
      <c r="AB177" s="370" t="str">
        <f t="shared" si="19"/>
        <v/>
      </c>
      <c r="AC177" s="383" t="str">
        <f t="shared" si="20"/>
        <v/>
      </c>
      <c r="AD177" s="422" t="str">
        <f>IFERROR(IF(AC177="Check Data ⚠","Check Data ⚠",VLOOKUP(AC177,'G-4 Temporal multipliers'!$A$4:$C$37,3,FALSE)),"")</f>
        <v/>
      </c>
      <c r="AE177" s="362" t="str">
        <f>IF(N177="","",VLOOKUP(N177,'G-7 WaterC'' Data'!$B$4:$G$8,5,FALSE))</f>
        <v/>
      </c>
      <c r="AF177" s="370" t="str">
        <f t="shared" si="21"/>
        <v/>
      </c>
      <c r="AG177" s="401" t="str">
        <f t="shared" si="22"/>
        <v/>
      </c>
      <c r="AH177" s="363" t="str">
        <f t="shared" si="17"/>
        <v/>
      </c>
      <c r="AI177" s="122"/>
      <c r="AJ177" s="363" t="str">
        <f>IF(AI177="","",IF(VLOOKUP(AI177,'G-7 WaterC'' Data'!$AA$4:$AB$7,2,FALSE)=0,"Spatial Data Missing ⚠",VLOOKUP(AI177,'G-7 WaterC'' Data'!$AA$4:$AB$7,2,FALSE)))</f>
        <v/>
      </c>
      <c r="AK177" s="123"/>
      <c r="AL177" s="363" t="str">
        <f>IF(AK177="","",IF(VLOOKUP(AK177,'G-7 WaterC'' Data'!$AD$4:$AE$14,2,FALSE)=0,"Spatial Data Missing ⚠",VLOOKUP(AK177,'G-7 WaterC'' Data'!$AD$4:$AE$14,2,FALSE)))</f>
        <v/>
      </c>
      <c r="AM177" s="405" t="str">
        <f t="shared" si="23"/>
        <v/>
      </c>
      <c r="AN177" s="117"/>
      <c r="AO177" s="118"/>
      <c r="AP177" s="120"/>
      <c r="AV177" s="30" t="str">
        <f>IFERROR(INDEX('G-7 WaterC'' Data'!$AZ$3:$AZ$7,MATCH(N177,'G-7 WaterC'' Data'!$AY$3:$AY$7,0)),"")</f>
        <v/>
      </c>
    </row>
    <row r="178" spans="2:48" ht="15">
      <c r="B178" s="392" t="str">
        <f>'C-1 On-Site WaterC'' Baseline'!AO176</f>
        <v/>
      </c>
      <c r="C178" s="382" t="str">
        <f>IF(B178="","",VLOOKUP($B178,'C-1 On-Site WaterC'' Baseline'!$C$9:$R$257,2,FALSE))</f>
        <v/>
      </c>
      <c r="D178" s="382" t="str">
        <f>IF(C178="","",VLOOKUP($B178,'C-1 On-Site WaterC'' Baseline'!$C$9:$R$257,3,FALSE))</f>
        <v/>
      </c>
      <c r="E178" s="382" t="str">
        <f>IF(D178="","",VLOOKUP($B178,'C-1 On-Site WaterC'' Baseline'!$C$9:$R$257,4,FALSE))</f>
        <v/>
      </c>
      <c r="F178" s="382" t="str">
        <f>IF(E178="","",VLOOKUP($B178,'C-1 On-Site WaterC'' Baseline'!$C$9:$R$257,5,FALSE))</f>
        <v/>
      </c>
      <c r="G178" s="382" t="str">
        <f>IF(F178="","",VLOOKUP($B178,'C-1 On-Site WaterC'' Baseline'!$C$9:$R$257,6,FALSE))</f>
        <v/>
      </c>
      <c r="H178" s="382" t="str">
        <f>IF(G178="","",VLOOKUP($B178,'C-1 On-Site WaterC'' Baseline'!$C$9:$R$257,7,FALSE))</f>
        <v/>
      </c>
      <c r="I178" s="382" t="str">
        <f>IF(H178="","",VLOOKUP($B178,'C-1 On-Site WaterC'' Baseline'!$C$9:$R$257,8,FALSE))</f>
        <v/>
      </c>
      <c r="J178" s="382" t="str">
        <f>IF(I178="","",VLOOKUP($B178,'C-1 On-Site WaterC'' Baseline'!$C$9:$R$257,9,FALSE))</f>
        <v/>
      </c>
      <c r="K178" s="382" t="str">
        <f>IF(J178="","",VLOOKUP($B178,'C-1 On-Site WaterC'' Baseline'!$C$9:$R$257,10,FALSE))</f>
        <v/>
      </c>
      <c r="L178" s="382" t="str">
        <f>IF(B178="","",VLOOKUP($B178,'C-1 On-Site WaterC'' Baseline'!$C$9:$R$257,15,FALSE))</f>
        <v/>
      </c>
      <c r="M178" s="386" t="str">
        <f>IF(L178="","",VLOOKUP($B178,'C-1 On-Site WaterC'' Baseline'!$C$9:$R$257,16,FALSE))</f>
        <v/>
      </c>
      <c r="N178" s="320" t="str">
        <f t="shared" si="16"/>
        <v/>
      </c>
      <c r="O178" s="362" t="str">
        <f t="shared" si="18"/>
        <v/>
      </c>
      <c r="P178" s="363" t="str">
        <f>IF(C178="","",IF(AND(LEFT(C178,55)&lt;&gt;LEFT(N178,55),O178="High - High"),"Error - Not like for like ▲",IF(H178&gt;U178,"Error - Can not reduce condition ▲",IF(AND(F178=S178,H178=U178,AJ178='C-1 On-Site WaterC'' Baseline'!N176,'C-1 On-Site WaterC'' Baseline'!P176=AL178),"Error - No enhancement ▲",IF(AND(C178&lt;&gt;N178,F178&lt;S178),"Lower Distinctiveness Habitat"&amp;" - "&amp;T178,G178&amp;" - "&amp;T178)))))</f>
        <v/>
      </c>
      <c r="Q178" s="425" t="str">
        <f>IF(N178="","",VLOOKUP(B178,'C-1 On-Site WaterC'' Baseline'!$C$10:$AB$257,19,FALSE))</f>
        <v/>
      </c>
      <c r="R178" s="362" t="str">
        <f>IF(N178="","",VLOOKUP(N178,'G-7 WaterC'' Data'!$B$2:$G$8,2,FALSE))</f>
        <v/>
      </c>
      <c r="S178" s="363" t="str">
        <f>IFERROR(VLOOKUP(R178,'G-7 WaterC'' Data'!$C$4:$D$8,2,FALSE),"")</f>
        <v/>
      </c>
      <c r="T178" s="114"/>
      <c r="U178" s="363" t="str">
        <f>IFERROR(INDEX('G-7 WaterC'' Data'!$H$4:$L$8,MATCH(N178,'G-7 WaterC'' Data'!$B$4:$B$8,0),MATCH(T178,'G-7 WaterC'' Data'!$H$3:$L$3,0)),"")</f>
        <v/>
      </c>
      <c r="V178" s="114"/>
      <c r="W178" s="370" t="str">
        <f>IF(V178="","",IF(VLOOKUP(V178,'G-7 WaterC'' Data'!$AK$4:$AM$6,2,FALSE)=0,"Spatial Data Missing ⚠",VLOOKUP(V178,'G-7 WaterC'' Data'!$AK$4:$AM$6,2,FALSE)))</f>
        <v/>
      </c>
      <c r="X178" s="363" t="str">
        <f>IF(V178="","",IF(VLOOKUP(V178,'G-7 WaterC'' Data'!$AK$4:$AM$6,3,FALSE)=0,"Spatial Data Missing ⚠",VLOOKUP(V178,'G-7 WaterC'' Data'!$AK$4:$AM$6,3,FALSE)))</f>
        <v/>
      </c>
      <c r="Y178" s="362" t="str">
        <f>IFERROR(IF(OR(LEFT(P178,5)="Error",LEFT(O178,5)="Error ▲"),"Check Data ⚠",IF(F178&lt;S178,'G-7 WaterC'' Data'!$R$3,INDEX('G-7 WaterC'' Data'!$U$5:$Y$9,MATCH(G178,'G-7 WaterC'' Data'!$T$5:$T$9,0),MATCH(T178,'G-7 WaterC'' Data'!$U$4:$Y$4,0)))),"")</f>
        <v/>
      </c>
      <c r="Z178" s="159"/>
      <c r="AA178" s="159"/>
      <c r="AB178" s="370" t="str">
        <f t="shared" si="19"/>
        <v/>
      </c>
      <c r="AC178" s="383" t="str">
        <f t="shared" si="20"/>
        <v/>
      </c>
      <c r="AD178" s="422" t="str">
        <f>IFERROR(IF(AC178="Check Data ⚠","Check Data ⚠",VLOOKUP(AC178,'G-4 Temporal multipliers'!$A$4:$C$37,3,FALSE)),"")</f>
        <v/>
      </c>
      <c r="AE178" s="362" t="str">
        <f>IF(N178="","",VLOOKUP(N178,'G-7 WaterC'' Data'!$B$4:$G$8,5,FALSE))</f>
        <v/>
      </c>
      <c r="AF178" s="370" t="str">
        <f t="shared" si="21"/>
        <v/>
      </c>
      <c r="AG178" s="401" t="str">
        <f t="shared" si="22"/>
        <v/>
      </c>
      <c r="AH178" s="363" t="str">
        <f t="shared" si="17"/>
        <v/>
      </c>
      <c r="AI178" s="122"/>
      <c r="AJ178" s="363" t="str">
        <f>IF(AI178="","",IF(VLOOKUP(AI178,'G-7 WaterC'' Data'!$AA$4:$AB$7,2,FALSE)=0,"Spatial Data Missing ⚠",VLOOKUP(AI178,'G-7 WaterC'' Data'!$AA$4:$AB$7,2,FALSE)))</f>
        <v/>
      </c>
      <c r="AK178" s="123"/>
      <c r="AL178" s="363" t="str">
        <f>IF(AK178="","",IF(VLOOKUP(AK178,'G-7 WaterC'' Data'!$AD$4:$AE$14,2,FALSE)=0,"Spatial Data Missing ⚠",VLOOKUP(AK178,'G-7 WaterC'' Data'!$AD$4:$AE$14,2,FALSE)))</f>
        <v/>
      </c>
      <c r="AM178" s="405" t="str">
        <f t="shared" si="23"/>
        <v/>
      </c>
      <c r="AN178" s="117"/>
      <c r="AO178" s="118"/>
      <c r="AP178" s="120"/>
      <c r="AV178" s="30" t="str">
        <f>IFERROR(INDEX('G-7 WaterC'' Data'!$AZ$3:$AZ$7,MATCH(N178,'G-7 WaterC'' Data'!$AY$3:$AY$7,0)),"")</f>
        <v/>
      </c>
    </row>
    <row r="179" spans="2:48" ht="15">
      <c r="B179" s="392" t="str">
        <f>'C-1 On-Site WaterC'' Baseline'!AO177</f>
        <v/>
      </c>
      <c r="C179" s="382" t="str">
        <f>IF(B179="","",VLOOKUP($B179,'C-1 On-Site WaterC'' Baseline'!$C$9:$R$257,2,FALSE))</f>
        <v/>
      </c>
      <c r="D179" s="382" t="str">
        <f>IF(C179="","",VLOOKUP($B179,'C-1 On-Site WaterC'' Baseline'!$C$9:$R$257,3,FALSE))</f>
        <v/>
      </c>
      <c r="E179" s="382" t="str">
        <f>IF(D179="","",VLOOKUP($B179,'C-1 On-Site WaterC'' Baseline'!$C$9:$R$257,4,FALSE))</f>
        <v/>
      </c>
      <c r="F179" s="382" t="str">
        <f>IF(E179="","",VLOOKUP($B179,'C-1 On-Site WaterC'' Baseline'!$C$9:$R$257,5,FALSE))</f>
        <v/>
      </c>
      <c r="G179" s="382" t="str">
        <f>IF(F179="","",VLOOKUP($B179,'C-1 On-Site WaterC'' Baseline'!$C$9:$R$257,6,FALSE))</f>
        <v/>
      </c>
      <c r="H179" s="382" t="str">
        <f>IF(G179="","",VLOOKUP($B179,'C-1 On-Site WaterC'' Baseline'!$C$9:$R$257,7,FALSE))</f>
        <v/>
      </c>
      <c r="I179" s="382" t="str">
        <f>IF(H179="","",VLOOKUP($B179,'C-1 On-Site WaterC'' Baseline'!$C$9:$R$257,8,FALSE))</f>
        <v/>
      </c>
      <c r="J179" s="382" t="str">
        <f>IF(I179="","",VLOOKUP($B179,'C-1 On-Site WaterC'' Baseline'!$C$9:$R$257,9,FALSE))</f>
        <v/>
      </c>
      <c r="K179" s="382" t="str">
        <f>IF(J179="","",VLOOKUP($B179,'C-1 On-Site WaterC'' Baseline'!$C$9:$R$257,10,FALSE))</f>
        <v/>
      </c>
      <c r="L179" s="382" t="str">
        <f>IF(B179="","",VLOOKUP($B179,'C-1 On-Site WaterC'' Baseline'!$C$9:$R$257,15,FALSE))</f>
        <v/>
      </c>
      <c r="M179" s="386" t="str">
        <f>IF(L179="","",VLOOKUP($B179,'C-1 On-Site WaterC'' Baseline'!$C$9:$R$257,16,FALSE))</f>
        <v/>
      </c>
      <c r="N179" s="320" t="str">
        <f t="shared" si="16"/>
        <v/>
      </c>
      <c r="O179" s="362" t="str">
        <f t="shared" si="18"/>
        <v/>
      </c>
      <c r="P179" s="363" t="str">
        <f>IF(C179="","",IF(AND(LEFT(C179,55)&lt;&gt;LEFT(N179,55),O179="High - High"),"Error - Not like for like ▲",IF(H179&gt;U179,"Error - Can not reduce condition ▲",IF(AND(F179=S179,H179=U179,AJ179='C-1 On-Site WaterC'' Baseline'!N177,'C-1 On-Site WaterC'' Baseline'!P177=AL179),"Error - No enhancement ▲",IF(AND(C179&lt;&gt;N179,F179&lt;S179),"Lower Distinctiveness Habitat"&amp;" - "&amp;T179,G179&amp;" - "&amp;T179)))))</f>
        <v/>
      </c>
      <c r="Q179" s="425" t="str">
        <f>IF(N179="","",VLOOKUP(B179,'C-1 On-Site WaterC'' Baseline'!$C$10:$AB$257,19,FALSE))</f>
        <v/>
      </c>
      <c r="R179" s="362" t="str">
        <f>IF(N179="","",VLOOKUP(N179,'G-7 WaterC'' Data'!$B$2:$G$8,2,FALSE))</f>
        <v/>
      </c>
      <c r="S179" s="363" t="str">
        <f>IFERROR(VLOOKUP(R179,'G-7 WaterC'' Data'!$C$4:$D$8,2,FALSE),"")</f>
        <v/>
      </c>
      <c r="T179" s="114"/>
      <c r="U179" s="363" t="str">
        <f>IFERROR(INDEX('G-7 WaterC'' Data'!$H$4:$L$8,MATCH(N179,'G-7 WaterC'' Data'!$B$4:$B$8,0),MATCH(T179,'G-7 WaterC'' Data'!$H$3:$L$3,0)),"")</f>
        <v/>
      </c>
      <c r="V179" s="114"/>
      <c r="W179" s="370" t="str">
        <f>IF(V179="","",IF(VLOOKUP(V179,'G-7 WaterC'' Data'!$AK$4:$AM$6,2,FALSE)=0,"Spatial Data Missing ⚠",VLOOKUP(V179,'G-7 WaterC'' Data'!$AK$4:$AM$6,2,FALSE)))</f>
        <v/>
      </c>
      <c r="X179" s="363" t="str">
        <f>IF(V179="","",IF(VLOOKUP(V179,'G-7 WaterC'' Data'!$AK$4:$AM$6,3,FALSE)=0,"Spatial Data Missing ⚠",VLOOKUP(V179,'G-7 WaterC'' Data'!$AK$4:$AM$6,3,FALSE)))</f>
        <v/>
      </c>
      <c r="Y179" s="362" t="str">
        <f>IFERROR(IF(OR(LEFT(P179,5)="Error",LEFT(O179,5)="Error ▲"),"Check Data ⚠",IF(F179&lt;S179,'G-7 WaterC'' Data'!$R$3,INDEX('G-7 WaterC'' Data'!$U$5:$Y$9,MATCH(G179,'G-7 WaterC'' Data'!$T$5:$T$9,0),MATCH(T179,'G-7 WaterC'' Data'!$U$4:$Y$4,0)))),"")</f>
        <v/>
      </c>
      <c r="Z179" s="159"/>
      <c r="AA179" s="159"/>
      <c r="AB179" s="370" t="str">
        <f t="shared" si="19"/>
        <v/>
      </c>
      <c r="AC179" s="383" t="str">
        <f t="shared" si="20"/>
        <v/>
      </c>
      <c r="AD179" s="422" t="str">
        <f>IFERROR(IF(AC179="Check Data ⚠","Check Data ⚠",VLOOKUP(AC179,'G-4 Temporal multipliers'!$A$4:$C$37,3,FALSE)),"")</f>
        <v/>
      </c>
      <c r="AE179" s="362" t="str">
        <f>IF(N179="","",VLOOKUP(N179,'G-7 WaterC'' Data'!$B$4:$G$8,5,FALSE))</f>
        <v/>
      </c>
      <c r="AF179" s="370" t="str">
        <f t="shared" si="21"/>
        <v/>
      </c>
      <c r="AG179" s="401" t="str">
        <f t="shared" si="22"/>
        <v/>
      </c>
      <c r="AH179" s="363" t="str">
        <f t="shared" si="17"/>
        <v/>
      </c>
      <c r="AI179" s="122"/>
      <c r="AJ179" s="363" t="str">
        <f>IF(AI179="","",IF(VLOOKUP(AI179,'G-7 WaterC'' Data'!$AA$4:$AB$7,2,FALSE)=0,"Spatial Data Missing ⚠",VLOOKUP(AI179,'G-7 WaterC'' Data'!$AA$4:$AB$7,2,FALSE)))</f>
        <v/>
      </c>
      <c r="AK179" s="123"/>
      <c r="AL179" s="363" t="str">
        <f>IF(AK179="","",IF(VLOOKUP(AK179,'G-7 WaterC'' Data'!$AD$4:$AE$14,2,FALSE)=0,"Spatial Data Missing ⚠",VLOOKUP(AK179,'G-7 WaterC'' Data'!$AD$4:$AE$14,2,FALSE)))</f>
        <v/>
      </c>
      <c r="AM179" s="405" t="str">
        <f t="shared" si="23"/>
        <v/>
      </c>
      <c r="AN179" s="117"/>
      <c r="AO179" s="118"/>
      <c r="AP179" s="120"/>
      <c r="AV179" s="30" t="str">
        <f>IFERROR(INDEX('G-7 WaterC'' Data'!$AZ$3:$AZ$7,MATCH(N179,'G-7 WaterC'' Data'!$AY$3:$AY$7,0)),"")</f>
        <v/>
      </c>
    </row>
    <row r="180" spans="2:48" ht="15">
      <c r="B180" s="392" t="str">
        <f>'C-1 On-Site WaterC'' Baseline'!AO178</f>
        <v/>
      </c>
      <c r="C180" s="382" t="str">
        <f>IF(B180="","",VLOOKUP($B180,'C-1 On-Site WaterC'' Baseline'!$C$9:$R$257,2,FALSE))</f>
        <v/>
      </c>
      <c r="D180" s="382" t="str">
        <f>IF(C180="","",VLOOKUP($B180,'C-1 On-Site WaterC'' Baseline'!$C$9:$R$257,3,FALSE))</f>
        <v/>
      </c>
      <c r="E180" s="382" t="str">
        <f>IF(D180="","",VLOOKUP($B180,'C-1 On-Site WaterC'' Baseline'!$C$9:$R$257,4,FALSE))</f>
        <v/>
      </c>
      <c r="F180" s="382" t="str">
        <f>IF(E180="","",VLOOKUP($B180,'C-1 On-Site WaterC'' Baseline'!$C$9:$R$257,5,FALSE))</f>
        <v/>
      </c>
      <c r="G180" s="382" t="str">
        <f>IF(F180="","",VLOOKUP($B180,'C-1 On-Site WaterC'' Baseline'!$C$9:$R$257,6,FALSE))</f>
        <v/>
      </c>
      <c r="H180" s="382" t="str">
        <f>IF(G180="","",VLOOKUP($B180,'C-1 On-Site WaterC'' Baseline'!$C$9:$R$257,7,FALSE))</f>
        <v/>
      </c>
      <c r="I180" s="382" t="str">
        <f>IF(H180="","",VLOOKUP($B180,'C-1 On-Site WaterC'' Baseline'!$C$9:$R$257,8,FALSE))</f>
        <v/>
      </c>
      <c r="J180" s="382" t="str">
        <f>IF(I180="","",VLOOKUP($B180,'C-1 On-Site WaterC'' Baseline'!$C$9:$R$257,9,FALSE))</f>
        <v/>
      </c>
      <c r="K180" s="382" t="str">
        <f>IF(J180="","",VLOOKUP($B180,'C-1 On-Site WaterC'' Baseline'!$C$9:$R$257,10,FALSE))</f>
        <v/>
      </c>
      <c r="L180" s="382" t="str">
        <f>IF(B180="","",VLOOKUP($B180,'C-1 On-Site WaterC'' Baseline'!$C$9:$R$257,15,FALSE))</f>
        <v/>
      </c>
      <c r="M180" s="386" t="str">
        <f>IF(L180="","",VLOOKUP($B180,'C-1 On-Site WaterC'' Baseline'!$C$9:$R$257,16,FALSE))</f>
        <v/>
      </c>
      <c r="N180" s="320" t="str">
        <f t="shared" si="16"/>
        <v/>
      </c>
      <c r="O180" s="362" t="str">
        <f t="shared" si="18"/>
        <v/>
      </c>
      <c r="P180" s="363" t="str">
        <f>IF(C180="","",IF(AND(LEFT(C180,55)&lt;&gt;LEFT(N180,55),O180="High - High"),"Error - Not like for like ▲",IF(H180&gt;U180,"Error - Can not reduce condition ▲",IF(AND(F180=S180,H180=U180,AJ180='C-1 On-Site WaterC'' Baseline'!N178,'C-1 On-Site WaterC'' Baseline'!P178=AL180),"Error - No enhancement ▲",IF(AND(C180&lt;&gt;N180,F180&lt;S180),"Lower Distinctiveness Habitat"&amp;" - "&amp;T180,G180&amp;" - "&amp;T180)))))</f>
        <v/>
      </c>
      <c r="Q180" s="425" t="str">
        <f>IF(N180="","",VLOOKUP(B180,'C-1 On-Site WaterC'' Baseline'!$C$10:$AB$257,19,FALSE))</f>
        <v/>
      </c>
      <c r="R180" s="362" t="str">
        <f>IF(N180="","",VLOOKUP(N180,'G-7 WaterC'' Data'!$B$2:$G$8,2,FALSE))</f>
        <v/>
      </c>
      <c r="S180" s="363" t="str">
        <f>IFERROR(VLOOKUP(R180,'G-7 WaterC'' Data'!$C$4:$D$8,2,FALSE),"")</f>
        <v/>
      </c>
      <c r="T180" s="114"/>
      <c r="U180" s="363" t="str">
        <f>IFERROR(INDEX('G-7 WaterC'' Data'!$H$4:$L$8,MATCH(N180,'G-7 WaterC'' Data'!$B$4:$B$8,0),MATCH(T180,'G-7 WaterC'' Data'!$H$3:$L$3,0)),"")</f>
        <v/>
      </c>
      <c r="V180" s="114"/>
      <c r="W180" s="370" t="str">
        <f>IF(V180="","",IF(VLOOKUP(V180,'G-7 WaterC'' Data'!$AK$4:$AM$6,2,FALSE)=0,"Spatial Data Missing ⚠",VLOOKUP(V180,'G-7 WaterC'' Data'!$AK$4:$AM$6,2,FALSE)))</f>
        <v/>
      </c>
      <c r="X180" s="363" t="str">
        <f>IF(V180="","",IF(VLOOKUP(V180,'G-7 WaterC'' Data'!$AK$4:$AM$6,3,FALSE)=0,"Spatial Data Missing ⚠",VLOOKUP(V180,'G-7 WaterC'' Data'!$AK$4:$AM$6,3,FALSE)))</f>
        <v/>
      </c>
      <c r="Y180" s="362" t="str">
        <f>IFERROR(IF(OR(LEFT(P180,5)="Error",LEFT(O180,5)="Error ▲"),"Check Data ⚠",IF(F180&lt;S180,'G-7 WaterC'' Data'!$R$3,INDEX('G-7 WaterC'' Data'!$U$5:$Y$9,MATCH(G180,'G-7 WaterC'' Data'!$T$5:$T$9,0),MATCH(T180,'G-7 WaterC'' Data'!$U$4:$Y$4,0)))),"")</f>
        <v/>
      </c>
      <c r="Z180" s="159"/>
      <c r="AA180" s="159"/>
      <c r="AB180" s="370" t="str">
        <f t="shared" si="19"/>
        <v/>
      </c>
      <c r="AC180" s="383" t="str">
        <f t="shared" si="20"/>
        <v/>
      </c>
      <c r="AD180" s="422" t="str">
        <f>IFERROR(IF(AC180="Check Data ⚠","Check Data ⚠",VLOOKUP(AC180,'G-4 Temporal multipliers'!$A$4:$C$37,3,FALSE)),"")</f>
        <v/>
      </c>
      <c r="AE180" s="362" t="str">
        <f>IF(N180="","",VLOOKUP(N180,'G-7 WaterC'' Data'!$B$4:$G$8,5,FALSE))</f>
        <v/>
      </c>
      <c r="AF180" s="370" t="str">
        <f t="shared" si="21"/>
        <v/>
      </c>
      <c r="AG180" s="401" t="str">
        <f t="shared" si="22"/>
        <v/>
      </c>
      <c r="AH180" s="363" t="str">
        <f t="shared" si="17"/>
        <v/>
      </c>
      <c r="AI180" s="122"/>
      <c r="AJ180" s="363" t="str">
        <f>IF(AI180="","",IF(VLOOKUP(AI180,'G-7 WaterC'' Data'!$AA$4:$AB$7,2,FALSE)=0,"Spatial Data Missing ⚠",VLOOKUP(AI180,'G-7 WaterC'' Data'!$AA$4:$AB$7,2,FALSE)))</f>
        <v/>
      </c>
      <c r="AK180" s="123"/>
      <c r="AL180" s="363" t="str">
        <f>IF(AK180="","",IF(VLOOKUP(AK180,'G-7 WaterC'' Data'!$AD$4:$AE$14,2,FALSE)=0,"Spatial Data Missing ⚠",VLOOKUP(AK180,'G-7 WaterC'' Data'!$AD$4:$AE$14,2,FALSE)))</f>
        <v/>
      </c>
      <c r="AM180" s="405" t="str">
        <f t="shared" si="23"/>
        <v/>
      </c>
      <c r="AN180" s="117"/>
      <c r="AO180" s="118"/>
      <c r="AP180" s="120"/>
      <c r="AV180" s="30" t="str">
        <f>IFERROR(INDEX('G-7 WaterC'' Data'!$AZ$3:$AZ$7,MATCH(N180,'G-7 WaterC'' Data'!$AY$3:$AY$7,0)),"")</f>
        <v/>
      </c>
    </row>
    <row r="181" spans="2:48" ht="15">
      <c r="B181" s="392" t="str">
        <f>'C-1 On-Site WaterC'' Baseline'!AO179</f>
        <v/>
      </c>
      <c r="C181" s="382" t="str">
        <f>IF(B181="","",VLOOKUP($B181,'C-1 On-Site WaterC'' Baseline'!$C$9:$R$257,2,FALSE))</f>
        <v/>
      </c>
      <c r="D181" s="382" t="str">
        <f>IF(C181="","",VLOOKUP($B181,'C-1 On-Site WaterC'' Baseline'!$C$9:$R$257,3,FALSE))</f>
        <v/>
      </c>
      <c r="E181" s="382" t="str">
        <f>IF(D181="","",VLOOKUP($B181,'C-1 On-Site WaterC'' Baseline'!$C$9:$R$257,4,FALSE))</f>
        <v/>
      </c>
      <c r="F181" s="382" t="str">
        <f>IF(E181="","",VLOOKUP($B181,'C-1 On-Site WaterC'' Baseline'!$C$9:$R$257,5,FALSE))</f>
        <v/>
      </c>
      <c r="G181" s="382" t="str">
        <f>IF(F181="","",VLOOKUP($B181,'C-1 On-Site WaterC'' Baseline'!$C$9:$R$257,6,FALSE))</f>
        <v/>
      </c>
      <c r="H181" s="382" t="str">
        <f>IF(G181="","",VLOOKUP($B181,'C-1 On-Site WaterC'' Baseline'!$C$9:$R$257,7,FALSE))</f>
        <v/>
      </c>
      <c r="I181" s="382" t="str">
        <f>IF(H181="","",VLOOKUP($B181,'C-1 On-Site WaterC'' Baseline'!$C$9:$R$257,8,FALSE))</f>
        <v/>
      </c>
      <c r="J181" s="382" t="str">
        <f>IF(I181="","",VLOOKUP($B181,'C-1 On-Site WaterC'' Baseline'!$C$9:$R$257,9,FALSE))</f>
        <v/>
      </c>
      <c r="K181" s="382" t="str">
        <f>IF(J181="","",VLOOKUP($B181,'C-1 On-Site WaterC'' Baseline'!$C$9:$R$257,10,FALSE))</f>
        <v/>
      </c>
      <c r="L181" s="382" t="str">
        <f>IF(B181="","",VLOOKUP($B181,'C-1 On-Site WaterC'' Baseline'!$C$9:$R$257,15,FALSE))</f>
        <v/>
      </c>
      <c r="M181" s="386" t="str">
        <f>IF(L181="","",VLOOKUP($B181,'C-1 On-Site WaterC'' Baseline'!$C$9:$R$257,16,FALSE))</f>
        <v/>
      </c>
      <c r="N181" s="320" t="str">
        <f t="shared" si="16"/>
        <v/>
      </c>
      <c r="O181" s="362" t="str">
        <f t="shared" si="18"/>
        <v/>
      </c>
      <c r="P181" s="363" t="str">
        <f>IF(C181="","",IF(AND(LEFT(C181,55)&lt;&gt;LEFT(N181,55),O181="High - High"),"Error - Not like for like ▲",IF(H181&gt;U181,"Error - Can not reduce condition ▲",IF(AND(F181=S181,H181=U181,AJ181='C-1 On-Site WaterC'' Baseline'!N179,'C-1 On-Site WaterC'' Baseline'!P179=AL181),"Error - No enhancement ▲",IF(AND(C181&lt;&gt;N181,F181&lt;S181),"Lower Distinctiveness Habitat"&amp;" - "&amp;T181,G181&amp;" - "&amp;T181)))))</f>
        <v/>
      </c>
      <c r="Q181" s="425" t="str">
        <f>IF(N181="","",VLOOKUP(B181,'C-1 On-Site WaterC'' Baseline'!$C$10:$AB$257,19,FALSE))</f>
        <v/>
      </c>
      <c r="R181" s="362" t="str">
        <f>IF(N181="","",VLOOKUP(N181,'G-7 WaterC'' Data'!$B$2:$G$8,2,FALSE))</f>
        <v/>
      </c>
      <c r="S181" s="363" t="str">
        <f>IFERROR(VLOOKUP(R181,'G-7 WaterC'' Data'!$C$4:$D$8,2,FALSE),"")</f>
        <v/>
      </c>
      <c r="T181" s="114"/>
      <c r="U181" s="363" t="str">
        <f>IFERROR(INDEX('G-7 WaterC'' Data'!$H$4:$L$8,MATCH(N181,'G-7 WaterC'' Data'!$B$4:$B$8,0),MATCH(T181,'G-7 WaterC'' Data'!$H$3:$L$3,0)),"")</f>
        <v/>
      </c>
      <c r="V181" s="114"/>
      <c r="W181" s="370" t="str">
        <f>IF(V181="","",IF(VLOOKUP(V181,'G-7 WaterC'' Data'!$AK$4:$AM$6,2,FALSE)=0,"Spatial Data Missing ⚠",VLOOKUP(V181,'G-7 WaterC'' Data'!$AK$4:$AM$6,2,FALSE)))</f>
        <v/>
      </c>
      <c r="X181" s="363" t="str">
        <f>IF(V181="","",IF(VLOOKUP(V181,'G-7 WaterC'' Data'!$AK$4:$AM$6,3,FALSE)=0,"Spatial Data Missing ⚠",VLOOKUP(V181,'G-7 WaterC'' Data'!$AK$4:$AM$6,3,FALSE)))</f>
        <v/>
      </c>
      <c r="Y181" s="362" t="str">
        <f>IFERROR(IF(OR(LEFT(P181,5)="Error",LEFT(O181,5)="Error ▲"),"Check Data ⚠",IF(F181&lt;S181,'G-7 WaterC'' Data'!$R$3,INDEX('G-7 WaterC'' Data'!$U$5:$Y$9,MATCH(G181,'G-7 WaterC'' Data'!$T$5:$T$9,0),MATCH(T181,'G-7 WaterC'' Data'!$U$4:$Y$4,0)))),"")</f>
        <v/>
      </c>
      <c r="Z181" s="159"/>
      <c r="AA181" s="159"/>
      <c r="AB181" s="370" t="str">
        <f t="shared" si="19"/>
        <v/>
      </c>
      <c r="AC181" s="383" t="str">
        <f t="shared" si="20"/>
        <v/>
      </c>
      <c r="AD181" s="422" t="str">
        <f>IFERROR(IF(AC181="Check Data ⚠","Check Data ⚠",VLOOKUP(AC181,'G-4 Temporal multipliers'!$A$4:$C$37,3,FALSE)),"")</f>
        <v/>
      </c>
      <c r="AE181" s="362" t="str">
        <f>IF(N181="","",VLOOKUP(N181,'G-7 WaterC'' Data'!$B$4:$G$8,5,FALSE))</f>
        <v/>
      </c>
      <c r="AF181" s="370" t="str">
        <f t="shared" si="21"/>
        <v/>
      </c>
      <c r="AG181" s="401" t="str">
        <f t="shared" si="22"/>
        <v/>
      </c>
      <c r="AH181" s="363" t="str">
        <f t="shared" si="17"/>
        <v/>
      </c>
      <c r="AI181" s="122"/>
      <c r="AJ181" s="363" t="str">
        <f>IF(AI181="","",IF(VLOOKUP(AI181,'G-7 WaterC'' Data'!$AA$4:$AB$7,2,FALSE)=0,"Spatial Data Missing ⚠",VLOOKUP(AI181,'G-7 WaterC'' Data'!$AA$4:$AB$7,2,FALSE)))</f>
        <v/>
      </c>
      <c r="AK181" s="123"/>
      <c r="AL181" s="363" t="str">
        <f>IF(AK181="","",IF(VLOOKUP(AK181,'G-7 WaterC'' Data'!$AD$4:$AE$14,2,FALSE)=0,"Spatial Data Missing ⚠",VLOOKUP(AK181,'G-7 WaterC'' Data'!$AD$4:$AE$14,2,FALSE)))</f>
        <v/>
      </c>
      <c r="AM181" s="405" t="str">
        <f t="shared" si="23"/>
        <v/>
      </c>
      <c r="AN181" s="117"/>
      <c r="AO181" s="118"/>
      <c r="AP181" s="120"/>
      <c r="AV181" s="30" t="str">
        <f>IFERROR(INDEX('G-7 WaterC'' Data'!$AZ$3:$AZ$7,MATCH(N181,'G-7 WaterC'' Data'!$AY$3:$AY$7,0)),"")</f>
        <v/>
      </c>
    </row>
    <row r="182" spans="2:48" ht="15">
      <c r="B182" s="392" t="str">
        <f>'C-1 On-Site WaterC'' Baseline'!AO180</f>
        <v/>
      </c>
      <c r="C182" s="382" t="str">
        <f>IF(B182="","",VLOOKUP($B182,'C-1 On-Site WaterC'' Baseline'!$C$9:$R$257,2,FALSE))</f>
        <v/>
      </c>
      <c r="D182" s="382" t="str">
        <f>IF(C182="","",VLOOKUP($B182,'C-1 On-Site WaterC'' Baseline'!$C$9:$R$257,3,FALSE))</f>
        <v/>
      </c>
      <c r="E182" s="382" t="str">
        <f>IF(D182="","",VLOOKUP($B182,'C-1 On-Site WaterC'' Baseline'!$C$9:$R$257,4,FALSE))</f>
        <v/>
      </c>
      <c r="F182" s="382" t="str">
        <f>IF(E182="","",VLOOKUP($B182,'C-1 On-Site WaterC'' Baseline'!$C$9:$R$257,5,FALSE))</f>
        <v/>
      </c>
      <c r="G182" s="382" t="str">
        <f>IF(F182="","",VLOOKUP($B182,'C-1 On-Site WaterC'' Baseline'!$C$9:$R$257,6,FALSE))</f>
        <v/>
      </c>
      <c r="H182" s="382" t="str">
        <f>IF(G182="","",VLOOKUP($B182,'C-1 On-Site WaterC'' Baseline'!$C$9:$R$257,7,FALSE))</f>
        <v/>
      </c>
      <c r="I182" s="382" t="str">
        <f>IF(H182="","",VLOOKUP($B182,'C-1 On-Site WaterC'' Baseline'!$C$9:$R$257,8,FALSE))</f>
        <v/>
      </c>
      <c r="J182" s="382" t="str">
        <f>IF(I182="","",VLOOKUP($B182,'C-1 On-Site WaterC'' Baseline'!$C$9:$R$257,9,FALSE))</f>
        <v/>
      </c>
      <c r="K182" s="382" t="str">
        <f>IF(J182="","",VLOOKUP($B182,'C-1 On-Site WaterC'' Baseline'!$C$9:$R$257,10,FALSE))</f>
        <v/>
      </c>
      <c r="L182" s="382" t="str">
        <f>IF(B182="","",VLOOKUP($B182,'C-1 On-Site WaterC'' Baseline'!$C$9:$R$257,15,FALSE))</f>
        <v/>
      </c>
      <c r="M182" s="386" t="str">
        <f>IF(L182="","",VLOOKUP($B182,'C-1 On-Site WaterC'' Baseline'!$C$9:$R$257,16,FALSE))</f>
        <v/>
      </c>
      <c r="N182" s="320" t="str">
        <f t="shared" si="16"/>
        <v/>
      </c>
      <c r="O182" s="362" t="str">
        <f t="shared" si="18"/>
        <v/>
      </c>
      <c r="P182" s="363" t="str">
        <f>IF(C182="","",IF(AND(LEFT(C182,55)&lt;&gt;LEFT(N182,55),O182="High - High"),"Error - Not like for like ▲",IF(H182&gt;U182,"Error - Can not reduce condition ▲",IF(AND(F182=S182,H182=U182,AJ182='C-1 On-Site WaterC'' Baseline'!N180,'C-1 On-Site WaterC'' Baseline'!P180=AL182),"Error - No enhancement ▲",IF(AND(C182&lt;&gt;N182,F182&lt;S182),"Lower Distinctiveness Habitat"&amp;" - "&amp;T182,G182&amp;" - "&amp;T182)))))</f>
        <v/>
      </c>
      <c r="Q182" s="425" t="str">
        <f>IF(N182="","",VLOOKUP(B182,'C-1 On-Site WaterC'' Baseline'!$C$10:$AB$257,19,FALSE))</f>
        <v/>
      </c>
      <c r="R182" s="362" t="str">
        <f>IF(N182="","",VLOOKUP(N182,'G-7 WaterC'' Data'!$B$2:$G$8,2,FALSE))</f>
        <v/>
      </c>
      <c r="S182" s="363" t="str">
        <f>IFERROR(VLOOKUP(R182,'G-7 WaterC'' Data'!$C$4:$D$8,2,FALSE),"")</f>
        <v/>
      </c>
      <c r="T182" s="114"/>
      <c r="U182" s="363" t="str">
        <f>IFERROR(INDEX('G-7 WaterC'' Data'!$H$4:$L$8,MATCH(N182,'G-7 WaterC'' Data'!$B$4:$B$8,0),MATCH(T182,'G-7 WaterC'' Data'!$H$3:$L$3,0)),"")</f>
        <v/>
      </c>
      <c r="V182" s="114"/>
      <c r="W182" s="370" t="str">
        <f>IF(V182="","",IF(VLOOKUP(V182,'G-7 WaterC'' Data'!$AK$4:$AM$6,2,FALSE)=0,"Spatial Data Missing ⚠",VLOOKUP(V182,'G-7 WaterC'' Data'!$AK$4:$AM$6,2,FALSE)))</f>
        <v/>
      </c>
      <c r="X182" s="363" t="str">
        <f>IF(V182="","",IF(VLOOKUP(V182,'G-7 WaterC'' Data'!$AK$4:$AM$6,3,FALSE)=0,"Spatial Data Missing ⚠",VLOOKUP(V182,'G-7 WaterC'' Data'!$AK$4:$AM$6,3,FALSE)))</f>
        <v/>
      </c>
      <c r="Y182" s="362" t="str">
        <f>IFERROR(IF(OR(LEFT(P182,5)="Error",LEFT(O182,5)="Error ▲"),"Check Data ⚠",IF(F182&lt;S182,'G-7 WaterC'' Data'!$R$3,INDEX('G-7 WaterC'' Data'!$U$5:$Y$9,MATCH(G182,'G-7 WaterC'' Data'!$T$5:$T$9,0),MATCH(T182,'G-7 WaterC'' Data'!$U$4:$Y$4,0)))),"")</f>
        <v/>
      </c>
      <c r="Z182" s="159"/>
      <c r="AA182" s="159"/>
      <c r="AB182" s="370" t="str">
        <f t="shared" si="19"/>
        <v/>
      </c>
      <c r="AC182" s="383" t="str">
        <f t="shared" si="20"/>
        <v/>
      </c>
      <c r="AD182" s="422" t="str">
        <f>IFERROR(IF(AC182="Check Data ⚠","Check Data ⚠",VLOOKUP(AC182,'G-4 Temporal multipliers'!$A$4:$C$37,3,FALSE)),"")</f>
        <v/>
      </c>
      <c r="AE182" s="362" t="str">
        <f>IF(N182="","",VLOOKUP(N182,'G-7 WaterC'' Data'!$B$4:$G$8,5,FALSE))</f>
        <v/>
      </c>
      <c r="AF182" s="370" t="str">
        <f t="shared" si="21"/>
        <v/>
      </c>
      <c r="AG182" s="401" t="str">
        <f t="shared" si="22"/>
        <v/>
      </c>
      <c r="AH182" s="363" t="str">
        <f t="shared" si="17"/>
        <v/>
      </c>
      <c r="AI182" s="122"/>
      <c r="AJ182" s="363" t="str">
        <f>IF(AI182="","",IF(VLOOKUP(AI182,'G-7 WaterC'' Data'!$AA$4:$AB$7,2,FALSE)=0,"Spatial Data Missing ⚠",VLOOKUP(AI182,'G-7 WaterC'' Data'!$AA$4:$AB$7,2,FALSE)))</f>
        <v/>
      </c>
      <c r="AK182" s="123"/>
      <c r="AL182" s="363" t="str">
        <f>IF(AK182="","",IF(VLOOKUP(AK182,'G-7 WaterC'' Data'!$AD$4:$AE$14,2,FALSE)=0,"Spatial Data Missing ⚠",VLOOKUP(AK182,'G-7 WaterC'' Data'!$AD$4:$AE$14,2,FALSE)))</f>
        <v/>
      </c>
      <c r="AM182" s="405" t="str">
        <f t="shared" si="23"/>
        <v/>
      </c>
      <c r="AN182" s="117"/>
      <c r="AO182" s="118"/>
      <c r="AP182" s="120"/>
      <c r="AV182" s="30" t="str">
        <f>IFERROR(INDEX('G-7 WaterC'' Data'!$AZ$3:$AZ$7,MATCH(N182,'G-7 WaterC'' Data'!$AY$3:$AY$7,0)),"")</f>
        <v/>
      </c>
    </row>
    <row r="183" spans="2:48" ht="15">
      <c r="B183" s="392" t="str">
        <f>'C-1 On-Site WaterC'' Baseline'!AO181</f>
        <v/>
      </c>
      <c r="C183" s="382" t="str">
        <f>IF(B183="","",VLOOKUP($B183,'C-1 On-Site WaterC'' Baseline'!$C$9:$R$257,2,FALSE))</f>
        <v/>
      </c>
      <c r="D183" s="382" t="str">
        <f>IF(C183="","",VLOOKUP($B183,'C-1 On-Site WaterC'' Baseline'!$C$9:$R$257,3,FALSE))</f>
        <v/>
      </c>
      <c r="E183" s="382" t="str">
        <f>IF(D183="","",VLOOKUP($B183,'C-1 On-Site WaterC'' Baseline'!$C$9:$R$257,4,FALSE))</f>
        <v/>
      </c>
      <c r="F183" s="382" t="str">
        <f>IF(E183="","",VLOOKUP($B183,'C-1 On-Site WaterC'' Baseline'!$C$9:$R$257,5,FALSE))</f>
        <v/>
      </c>
      <c r="G183" s="382" t="str">
        <f>IF(F183="","",VLOOKUP($B183,'C-1 On-Site WaterC'' Baseline'!$C$9:$R$257,6,FALSE))</f>
        <v/>
      </c>
      <c r="H183" s="382" t="str">
        <f>IF(G183="","",VLOOKUP($B183,'C-1 On-Site WaterC'' Baseline'!$C$9:$R$257,7,FALSE))</f>
        <v/>
      </c>
      <c r="I183" s="382" t="str">
        <f>IF(H183="","",VLOOKUP($B183,'C-1 On-Site WaterC'' Baseline'!$C$9:$R$257,8,FALSE))</f>
        <v/>
      </c>
      <c r="J183" s="382" t="str">
        <f>IF(I183="","",VLOOKUP($B183,'C-1 On-Site WaterC'' Baseline'!$C$9:$R$257,9,FALSE))</f>
        <v/>
      </c>
      <c r="K183" s="382" t="str">
        <f>IF(J183="","",VLOOKUP($B183,'C-1 On-Site WaterC'' Baseline'!$C$9:$R$257,10,FALSE))</f>
        <v/>
      </c>
      <c r="L183" s="382" t="str">
        <f>IF(B183="","",VLOOKUP($B183,'C-1 On-Site WaterC'' Baseline'!$C$9:$R$257,15,FALSE))</f>
        <v/>
      </c>
      <c r="M183" s="386" t="str">
        <f>IF(L183="","",VLOOKUP($B183,'C-1 On-Site WaterC'' Baseline'!$C$9:$R$257,16,FALSE))</f>
        <v/>
      </c>
      <c r="N183" s="320" t="str">
        <f t="shared" si="16"/>
        <v/>
      </c>
      <c r="O183" s="362" t="str">
        <f t="shared" si="18"/>
        <v/>
      </c>
      <c r="P183" s="363" t="str">
        <f>IF(C183="","",IF(AND(LEFT(C183,55)&lt;&gt;LEFT(N183,55),O183="High - High"),"Error - Not like for like ▲",IF(H183&gt;U183,"Error - Can not reduce condition ▲",IF(AND(F183=S183,H183=U183,AJ183='C-1 On-Site WaterC'' Baseline'!N181,'C-1 On-Site WaterC'' Baseline'!P181=AL183),"Error - No enhancement ▲",IF(AND(C183&lt;&gt;N183,F183&lt;S183),"Lower Distinctiveness Habitat"&amp;" - "&amp;T183,G183&amp;" - "&amp;T183)))))</f>
        <v/>
      </c>
      <c r="Q183" s="425" t="str">
        <f>IF(N183="","",VLOOKUP(B183,'C-1 On-Site WaterC'' Baseline'!$C$10:$AB$257,19,FALSE))</f>
        <v/>
      </c>
      <c r="R183" s="362" t="str">
        <f>IF(N183="","",VLOOKUP(N183,'G-7 WaterC'' Data'!$B$2:$G$8,2,FALSE))</f>
        <v/>
      </c>
      <c r="S183" s="363" t="str">
        <f>IFERROR(VLOOKUP(R183,'G-7 WaterC'' Data'!$C$4:$D$8,2,FALSE),"")</f>
        <v/>
      </c>
      <c r="T183" s="114"/>
      <c r="U183" s="363" t="str">
        <f>IFERROR(INDEX('G-7 WaterC'' Data'!$H$4:$L$8,MATCH(N183,'G-7 WaterC'' Data'!$B$4:$B$8,0),MATCH(T183,'G-7 WaterC'' Data'!$H$3:$L$3,0)),"")</f>
        <v/>
      </c>
      <c r="V183" s="114"/>
      <c r="W183" s="370" t="str">
        <f>IF(V183="","",IF(VLOOKUP(V183,'G-7 WaterC'' Data'!$AK$4:$AM$6,2,FALSE)=0,"Spatial Data Missing ⚠",VLOOKUP(V183,'G-7 WaterC'' Data'!$AK$4:$AM$6,2,FALSE)))</f>
        <v/>
      </c>
      <c r="X183" s="363" t="str">
        <f>IF(V183="","",IF(VLOOKUP(V183,'G-7 WaterC'' Data'!$AK$4:$AM$6,3,FALSE)=0,"Spatial Data Missing ⚠",VLOOKUP(V183,'G-7 WaterC'' Data'!$AK$4:$AM$6,3,FALSE)))</f>
        <v/>
      </c>
      <c r="Y183" s="362" t="str">
        <f>IFERROR(IF(OR(LEFT(P183,5)="Error",LEFT(O183,5)="Error ▲"),"Check Data ⚠",IF(F183&lt;S183,'G-7 WaterC'' Data'!$R$3,INDEX('G-7 WaterC'' Data'!$U$5:$Y$9,MATCH(G183,'G-7 WaterC'' Data'!$T$5:$T$9,0),MATCH(T183,'G-7 WaterC'' Data'!$U$4:$Y$4,0)))),"")</f>
        <v/>
      </c>
      <c r="Z183" s="159"/>
      <c r="AA183" s="159"/>
      <c r="AB183" s="370" t="str">
        <f t="shared" si="19"/>
        <v/>
      </c>
      <c r="AC183" s="383" t="str">
        <f t="shared" si="20"/>
        <v/>
      </c>
      <c r="AD183" s="422" t="str">
        <f>IFERROR(IF(AC183="Check Data ⚠","Check Data ⚠",VLOOKUP(AC183,'G-4 Temporal multipliers'!$A$4:$C$37,3,FALSE)),"")</f>
        <v/>
      </c>
      <c r="AE183" s="362" t="str">
        <f>IF(N183="","",VLOOKUP(N183,'G-7 WaterC'' Data'!$B$4:$G$8,5,FALSE))</f>
        <v/>
      </c>
      <c r="AF183" s="370" t="str">
        <f t="shared" si="21"/>
        <v/>
      </c>
      <c r="AG183" s="401" t="str">
        <f t="shared" si="22"/>
        <v/>
      </c>
      <c r="AH183" s="363" t="str">
        <f t="shared" si="17"/>
        <v/>
      </c>
      <c r="AI183" s="122"/>
      <c r="AJ183" s="363" t="str">
        <f>IF(AI183="","",IF(VLOOKUP(AI183,'G-7 WaterC'' Data'!$AA$4:$AB$7,2,FALSE)=0,"Spatial Data Missing ⚠",VLOOKUP(AI183,'G-7 WaterC'' Data'!$AA$4:$AB$7,2,FALSE)))</f>
        <v/>
      </c>
      <c r="AK183" s="123"/>
      <c r="AL183" s="363" t="str">
        <f>IF(AK183="","",IF(VLOOKUP(AK183,'G-7 WaterC'' Data'!$AD$4:$AE$14,2,FALSE)=0,"Spatial Data Missing ⚠",VLOOKUP(AK183,'G-7 WaterC'' Data'!$AD$4:$AE$14,2,FALSE)))</f>
        <v/>
      </c>
      <c r="AM183" s="405" t="str">
        <f t="shared" si="23"/>
        <v/>
      </c>
      <c r="AN183" s="117"/>
      <c r="AO183" s="118"/>
      <c r="AP183" s="120"/>
      <c r="AV183" s="30" t="str">
        <f>IFERROR(INDEX('G-7 WaterC'' Data'!$AZ$3:$AZ$7,MATCH(N183,'G-7 WaterC'' Data'!$AY$3:$AY$7,0)),"")</f>
        <v/>
      </c>
    </row>
    <row r="184" spans="2:48" ht="15">
      <c r="B184" s="392" t="str">
        <f>'C-1 On-Site WaterC'' Baseline'!AO182</f>
        <v/>
      </c>
      <c r="C184" s="382" t="str">
        <f>IF(B184="","",VLOOKUP($B184,'C-1 On-Site WaterC'' Baseline'!$C$9:$R$257,2,FALSE))</f>
        <v/>
      </c>
      <c r="D184" s="382" t="str">
        <f>IF(C184="","",VLOOKUP($B184,'C-1 On-Site WaterC'' Baseline'!$C$9:$R$257,3,FALSE))</f>
        <v/>
      </c>
      <c r="E184" s="382" t="str">
        <f>IF(D184="","",VLOOKUP($B184,'C-1 On-Site WaterC'' Baseline'!$C$9:$R$257,4,FALSE))</f>
        <v/>
      </c>
      <c r="F184" s="382" t="str">
        <f>IF(E184="","",VLOOKUP($B184,'C-1 On-Site WaterC'' Baseline'!$C$9:$R$257,5,FALSE))</f>
        <v/>
      </c>
      <c r="G184" s="382" t="str">
        <f>IF(F184="","",VLOOKUP($B184,'C-1 On-Site WaterC'' Baseline'!$C$9:$R$257,6,FALSE))</f>
        <v/>
      </c>
      <c r="H184" s="382" t="str">
        <f>IF(G184="","",VLOOKUP($B184,'C-1 On-Site WaterC'' Baseline'!$C$9:$R$257,7,FALSE))</f>
        <v/>
      </c>
      <c r="I184" s="382" t="str">
        <f>IF(H184="","",VLOOKUP($B184,'C-1 On-Site WaterC'' Baseline'!$C$9:$R$257,8,FALSE))</f>
        <v/>
      </c>
      <c r="J184" s="382" t="str">
        <f>IF(I184="","",VLOOKUP($B184,'C-1 On-Site WaterC'' Baseline'!$C$9:$R$257,9,FALSE))</f>
        <v/>
      </c>
      <c r="K184" s="382" t="str">
        <f>IF(J184="","",VLOOKUP($B184,'C-1 On-Site WaterC'' Baseline'!$C$9:$R$257,10,FALSE))</f>
        <v/>
      </c>
      <c r="L184" s="382" t="str">
        <f>IF(B184="","",VLOOKUP($B184,'C-1 On-Site WaterC'' Baseline'!$C$9:$R$257,15,FALSE))</f>
        <v/>
      </c>
      <c r="M184" s="386" t="str">
        <f>IF(L184="","",VLOOKUP($B184,'C-1 On-Site WaterC'' Baseline'!$C$9:$R$257,16,FALSE))</f>
        <v/>
      </c>
      <c r="N184" s="320" t="str">
        <f t="shared" si="16"/>
        <v/>
      </c>
      <c r="O184" s="362" t="str">
        <f t="shared" si="18"/>
        <v/>
      </c>
      <c r="P184" s="363" t="str">
        <f>IF(C184="","",IF(AND(LEFT(C184,55)&lt;&gt;LEFT(N184,55),O184="High - High"),"Error - Not like for like ▲",IF(H184&gt;U184,"Error - Can not reduce condition ▲",IF(AND(F184=S184,H184=U184,AJ184='C-1 On-Site WaterC'' Baseline'!N182,'C-1 On-Site WaterC'' Baseline'!P182=AL184),"Error - No enhancement ▲",IF(AND(C184&lt;&gt;N184,F184&lt;S184),"Lower Distinctiveness Habitat"&amp;" - "&amp;T184,G184&amp;" - "&amp;T184)))))</f>
        <v/>
      </c>
      <c r="Q184" s="425" t="str">
        <f>IF(N184="","",VLOOKUP(B184,'C-1 On-Site WaterC'' Baseline'!$C$10:$AB$257,19,FALSE))</f>
        <v/>
      </c>
      <c r="R184" s="362" t="str">
        <f>IF(N184="","",VLOOKUP(N184,'G-7 WaterC'' Data'!$B$2:$G$8,2,FALSE))</f>
        <v/>
      </c>
      <c r="S184" s="363" t="str">
        <f>IFERROR(VLOOKUP(R184,'G-7 WaterC'' Data'!$C$4:$D$8,2,FALSE),"")</f>
        <v/>
      </c>
      <c r="T184" s="114"/>
      <c r="U184" s="363" t="str">
        <f>IFERROR(INDEX('G-7 WaterC'' Data'!$H$4:$L$8,MATCH(N184,'G-7 WaterC'' Data'!$B$4:$B$8,0),MATCH(T184,'G-7 WaterC'' Data'!$H$3:$L$3,0)),"")</f>
        <v/>
      </c>
      <c r="V184" s="114"/>
      <c r="W184" s="370" t="str">
        <f>IF(V184="","",IF(VLOOKUP(V184,'G-7 WaterC'' Data'!$AK$4:$AM$6,2,FALSE)=0,"Spatial Data Missing ⚠",VLOOKUP(V184,'G-7 WaterC'' Data'!$AK$4:$AM$6,2,FALSE)))</f>
        <v/>
      </c>
      <c r="X184" s="363" t="str">
        <f>IF(V184="","",IF(VLOOKUP(V184,'G-7 WaterC'' Data'!$AK$4:$AM$6,3,FALSE)=0,"Spatial Data Missing ⚠",VLOOKUP(V184,'G-7 WaterC'' Data'!$AK$4:$AM$6,3,FALSE)))</f>
        <v/>
      </c>
      <c r="Y184" s="362" t="str">
        <f>IFERROR(IF(OR(LEFT(P184,5)="Error",LEFT(O184,5)="Error ▲"),"Check Data ⚠",IF(F184&lt;S184,'G-7 WaterC'' Data'!$R$3,INDEX('G-7 WaterC'' Data'!$U$5:$Y$9,MATCH(G184,'G-7 WaterC'' Data'!$T$5:$T$9,0),MATCH(T184,'G-7 WaterC'' Data'!$U$4:$Y$4,0)))),"")</f>
        <v/>
      </c>
      <c r="Z184" s="159"/>
      <c r="AA184" s="159"/>
      <c r="AB184" s="370" t="str">
        <f t="shared" si="19"/>
        <v/>
      </c>
      <c r="AC184" s="383" t="str">
        <f t="shared" si="20"/>
        <v/>
      </c>
      <c r="AD184" s="422" t="str">
        <f>IFERROR(IF(AC184="Check Data ⚠","Check Data ⚠",VLOOKUP(AC184,'G-4 Temporal multipliers'!$A$4:$C$37,3,FALSE)),"")</f>
        <v/>
      </c>
      <c r="AE184" s="362" t="str">
        <f>IF(N184="","",VLOOKUP(N184,'G-7 WaterC'' Data'!$B$4:$G$8,5,FALSE))</f>
        <v/>
      </c>
      <c r="AF184" s="370" t="str">
        <f t="shared" si="21"/>
        <v/>
      </c>
      <c r="AG184" s="401" t="str">
        <f t="shared" si="22"/>
        <v/>
      </c>
      <c r="AH184" s="363" t="str">
        <f t="shared" si="17"/>
        <v/>
      </c>
      <c r="AI184" s="122"/>
      <c r="AJ184" s="363" t="str">
        <f>IF(AI184="","",IF(VLOOKUP(AI184,'G-7 WaterC'' Data'!$AA$4:$AB$7,2,FALSE)=0,"Spatial Data Missing ⚠",VLOOKUP(AI184,'G-7 WaterC'' Data'!$AA$4:$AB$7,2,FALSE)))</f>
        <v/>
      </c>
      <c r="AK184" s="123"/>
      <c r="AL184" s="363" t="str">
        <f>IF(AK184="","",IF(VLOOKUP(AK184,'G-7 WaterC'' Data'!$AD$4:$AE$14,2,FALSE)=0,"Spatial Data Missing ⚠",VLOOKUP(AK184,'G-7 WaterC'' Data'!$AD$4:$AE$14,2,FALSE)))</f>
        <v/>
      </c>
      <c r="AM184" s="405" t="str">
        <f t="shared" si="23"/>
        <v/>
      </c>
      <c r="AN184" s="117"/>
      <c r="AO184" s="118"/>
      <c r="AP184" s="120"/>
      <c r="AV184" s="30" t="str">
        <f>IFERROR(INDEX('G-7 WaterC'' Data'!$AZ$3:$AZ$7,MATCH(N184,'G-7 WaterC'' Data'!$AY$3:$AY$7,0)),"")</f>
        <v/>
      </c>
    </row>
    <row r="185" spans="2:48" ht="15">
      <c r="B185" s="392" t="str">
        <f>'C-1 On-Site WaterC'' Baseline'!AO183</f>
        <v/>
      </c>
      <c r="C185" s="382" t="str">
        <f>IF(B185="","",VLOOKUP($B185,'C-1 On-Site WaterC'' Baseline'!$C$9:$R$257,2,FALSE))</f>
        <v/>
      </c>
      <c r="D185" s="382" t="str">
        <f>IF(C185="","",VLOOKUP($B185,'C-1 On-Site WaterC'' Baseline'!$C$9:$R$257,3,FALSE))</f>
        <v/>
      </c>
      <c r="E185" s="382" t="str">
        <f>IF(D185="","",VLOOKUP($B185,'C-1 On-Site WaterC'' Baseline'!$C$9:$R$257,4,FALSE))</f>
        <v/>
      </c>
      <c r="F185" s="382" t="str">
        <f>IF(E185="","",VLOOKUP($B185,'C-1 On-Site WaterC'' Baseline'!$C$9:$R$257,5,FALSE))</f>
        <v/>
      </c>
      <c r="G185" s="382" t="str">
        <f>IF(F185="","",VLOOKUP($B185,'C-1 On-Site WaterC'' Baseline'!$C$9:$R$257,6,FALSE))</f>
        <v/>
      </c>
      <c r="H185" s="382" t="str">
        <f>IF(G185="","",VLOOKUP($B185,'C-1 On-Site WaterC'' Baseline'!$C$9:$R$257,7,FALSE))</f>
        <v/>
      </c>
      <c r="I185" s="382" t="str">
        <f>IF(H185="","",VLOOKUP($B185,'C-1 On-Site WaterC'' Baseline'!$C$9:$R$257,8,FALSE))</f>
        <v/>
      </c>
      <c r="J185" s="382" t="str">
        <f>IF(I185="","",VLOOKUP($B185,'C-1 On-Site WaterC'' Baseline'!$C$9:$R$257,9,FALSE))</f>
        <v/>
      </c>
      <c r="K185" s="382" t="str">
        <f>IF(J185="","",VLOOKUP($B185,'C-1 On-Site WaterC'' Baseline'!$C$9:$R$257,10,FALSE))</f>
        <v/>
      </c>
      <c r="L185" s="382" t="str">
        <f>IF(B185="","",VLOOKUP($B185,'C-1 On-Site WaterC'' Baseline'!$C$9:$R$257,15,FALSE))</f>
        <v/>
      </c>
      <c r="M185" s="386" t="str">
        <f>IF(L185="","",VLOOKUP($B185,'C-1 On-Site WaterC'' Baseline'!$C$9:$R$257,16,FALSE))</f>
        <v/>
      </c>
      <c r="N185" s="320" t="str">
        <f t="shared" si="16"/>
        <v/>
      </c>
      <c r="O185" s="362" t="str">
        <f t="shared" si="18"/>
        <v/>
      </c>
      <c r="P185" s="363" t="str">
        <f>IF(C185="","",IF(AND(LEFT(C185,55)&lt;&gt;LEFT(N185,55),O185="High - High"),"Error - Not like for like ▲",IF(H185&gt;U185,"Error - Can not reduce condition ▲",IF(AND(F185=S185,H185=U185,AJ185='C-1 On-Site WaterC'' Baseline'!N183,'C-1 On-Site WaterC'' Baseline'!P183=AL185),"Error - No enhancement ▲",IF(AND(C185&lt;&gt;N185,F185&lt;S185),"Lower Distinctiveness Habitat"&amp;" - "&amp;T185,G185&amp;" - "&amp;T185)))))</f>
        <v/>
      </c>
      <c r="Q185" s="425" t="str">
        <f>IF(N185="","",VLOOKUP(B185,'C-1 On-Site WaterC'' Baseline'!$C$10:$AB$257,19,FALSE))</f>
        <v/>
      </c>
      <c r="R185" s="362" t="str">
        <f>IF(N185="","",VLOOKUP(N185,'G-7 WaterC'' Data'!$B$2:$G$8,2,FALSE))</f>
        <v/>
      </c>
      <c r="S185" s="363" t="str">
        <f>IFERROR(VLOOKUP(R185,'G-7 WaterC'' Data'!$C$4:$D$8,2,FALSE),"")</f>
        <v/>
      </c>
      <c r="T185" s="114"/>
      <c r="U185" s="363" t="str">
        <f>IFERROR(INDEX('G-7 WaterC'' Data'!$H$4:$L$8,MATCH(N185,'G-7 WaterC'' Data'!$B$4:$B$8,0),MATCH(T185,'G-7 WaterC'' Data'!$H$3:$L$3,0)),"")</f>
        <v/>
      </c>
      <c r="V185" s="114"/>
      <c r="W185" s="370" t="str">
        <f>IF(V185="","",IF(VLOOKUP(V185,'G-7 WaterC'' Data'!$AK$4:$AM$6,2,FALSE)=0,"Spatial Data Missing ⚠",VLOOKUP(V185,'G-7 WaterC'' Data'!$AK$4:$AM$6,2,FALSE)))</f>
        <v/>
      </c>
      <c r="X185" s="363" t="str">
        <f>IF(V185="","",IF(VLOOKUP(V185,'G-7 WaterC'' Data'!$AK$4:$AM$6,3,FALSE)=0,"Spatial Data Missing ⚠",VLOOKUP(V185,'G-7 WaterC'' Data'!$AK$4:$AM$6,3,FALSE)))</f>
        <v/>
      </c>
      <c r="Y185" s="362" t="str">
        <f>IFERROR(IF(OR(LEFT(P185,5)="Error",LEFT(O185,5)="Error ▲"),"Check Data ⚠",IF(F185&lt;S185,'G-7 WaterC'' Data'!$R$3,INDEX('G-7 WaterC'' Data'!$U$5:$Y$9,MATCH(G185,'G-7 WaterC'' Data'!$T$5:$T$9,0),MATCH(T185,'G-7 WaterC'' Data'!$U$4:$Y$4,0)))),"")</f>
        <v/>
      </c>
      <c r="Z185" s="159"/>
      <c r="AA185" s="159"/>
      <c r="AB185" s="370" t="str">
        <f t="shared" si="19"/>
        <v/>
      </c>
      <c r="AC185" s="383" t="str">
        <f t="shared" si="20"/>
        <v/>
      </c>
      <c r="AD185" s="422" t="str">
        <f>IFERROR(IF(AC185="Check Data ⚠","Check Data ⚠",VLOOKUP(AC185,'G-4 Temporal multipliers'!$A$4:$C$37,3,FALSE)),"")</f>
        <v/>
      </c>
      <c r="AE185" s="362" t="str">
        <f>IF(N185="","",VLOOKUP(N185,'G-7 WaterC'' Data'!$B$4:$G$8,5,FALSE))</f>
        <v/>
      </c>
      <c r="AF185" s="370" t="str">
        <f t="shared" si="21"/>
        <v/>
      </c>
      <c r="AG185" s="401" t="str">
        <f t="shared" si="22"/>
        <v/>
      </c>
      <c r="AH185" s="363" t="str">
        <f t="shared" si="17"/>
        <v/>
      </c>
      <c r="AI185" s="122"/>
      <c r="AJ185" s="363" t="str">
        <f>IF(AI185="","",IF(VLOOKUP(AI185,'G-7 WaterC'' Data'!$AA$4:$AB$7,2,FALSE)=0,"Spatial Data Missing ⚠",VLOOKUP(AI185,'G-7 WaterC'' Data'!$AA$4:$AB$7,2,FALSE)))</f>
        <v/>
      </c>
      <c r="AK185" s="123"/>
      <c r="AL185" s="363" t="str">
        <f>IF(AK185="","",IF(VLOOKUP(AK185,'G-7 WaterC'' Data'!$AD$4:$AE$14,2,FALSE)=0,"Spatial Data Missing ⚠",VLOOKUP(AK185,'G-7 WaterC'' Data'!$AD$4:$AE$14,2,FALSE)))</f>
        <v/>
      </c>
      <c r="AM185" s="405" t="str">
        <f t="shared" si="23"/>
        <v/>
      </c>
      <c r="AN185" s="117"/>
      <c r="AO185" s="118"/>
      <c r="AP185" s="120"/>
      <c r="AV185" s="30" t="str">
        <f>IFERROR(INDEX('G-7 WaterC'' Data'!$AZ$3:$AZ$7,MATCH(N185,'G-7 WaterC'' Data'!$AY$3:$AY$7,0)),"")</f>
        <v/>
      </c>
    </row>
    <row r="186" spans="2:48" ht="15">
      <c r="B186" s="392" t="str">
        <f>'C-1 On-Site WaterC'' Baseline'!AO184</f>
        <v/>
      </c>
      <c r="C186" s="382" t="str">
        <f>IF(B186="","",VLOOKUP($B186,'C-1 On-Site WaterC'' Baseline'!$C$9:$R$257,2,FALSE))</f>
        <v/>
      </c>
      <c r="D186" s="382" t="str">
        <f>IF(C186="","",VLOOKUP($B186,'C-1 On-Site WaterC'' Baseline'!$C$9:$R$257,3,FALSE))</f>
        <v/>
      </c>
      <c r="E186" s="382" t="str">
        <f>IF(D186="","",VLOOKUP($B186,'C-1 On-Site WaterC'' Baseline'!$C$9:$R$257,4,FALSE))</f>
        <v/>
      </c>
      <c r="F186" s="382" t="str">
        <f>IF(E186="","",VLOOKUP($B186,'C-1 On-Site WaterC'' Baseline'!$C$9:$R$257,5,FALSE))</f>
        <v/>
      </c>
      <c r="G186" s="382" t="str">
        <f>IF(F186="","",VLOOKUP($B186,'C-1 On-Site WaterC'' Baseline'!$C$9:$R$257,6,FALSE))</f>
        <v/>
      </c>
      <c r="H186" s="382" t="str">
        <f>IF(G186="","",VLOOKUP($B186,'C-1 On-Site WaterC'' Baseline'!$C$9:$R$257,7,FALSE))</f>
        <v/>
      </c>
      <c r="I186" s="382" t="str">
        <f>IF(H186="","",VLOOKUP($B186,'C-1 On-Site WaterC'' Baseline'!$C$9:$R$257,8,FALSE))</f>
        <v/>
      </c>
      <c r="J186" s="382" t="str">
        <f>IF(I186="","",VLOOKUP($B186,'C-1 On-Site WaterC'' Baseline'!$C$9:$R$257,9,FALSE))</f>
        <v/>
      </c>
      <c r="K186" s="382" t="str">
        <f>IF(J186="","",VLOOKUP($B186,'C-1 On-Site WaterC'' Baseline'!$C$9:$R$257,10,FALSE))</f>
        <v/>
      </c>
      <c r="L186" s="382" t="str">
        <f>IF(B186="","",VLOOKUP($B186,'C-1 On-Site WaterC'' Baseline'!$C$9:$R$257,15,FALSE))</f>
        <v/>
      </c>
      <c r="M186" s="386" t="str">
        <f>IF(L186="","",VLOOKUP($B186,'C-1 On-Site WaterC'' Baseline'!$C$9:$R$257,16,FALSE))</f>
        <v/>
      </c>
      <c r="N186" s="320" t="str">
        <f t="shared" si="16"/>
        <v/>
      </c>
      <c r="O186" s="362" t="str">
        <f t="shared" si="18"/>
        <v/>
      </c>
      <c r="P186" s="363" t="str">
        <f>IF(C186="","",IF(AND(LEFT(C186,55)&lt;&gt;LEFT(N186,55),O186="High - High"),"Error - Not like for like ▲",IF(H186&gt;U186,"Error - Can not reduce condition ▲",IF(AND(F186=S186,H186=U186,AJ186='C-1 On-Site WaterC'' Baseline'!N184,'C-1 On-Site WaterC'' Baseline'!P184=AL186),"Error - No enhancement ▲",IF(AND(C186&lt;&gt;N186,F186&lt;S186),"Lower Distinctiveness Habitat"&amp;" - "&amp;T186,G186&amp;" - "&amp;T186)))))</f>
        <v/>
      </c>
      <c r="Q186" s="425" t="str">
        <f>IF(N186="","",VLOOKUP(B186,'C-1 On-Site WaterC'' Baseline'!$C$10:$AB$257,19,FALSE))</f>
        <v/>
      </c>
      <c r="R186" s="362" t="str">
        <f>IF(N186="","",VLOOKUP(N186,'G-7 WaterC'' Data'!$B$2:$G$8,2,FALSE))</f>
        <v/>
      </c>
      <c r="S186" s="363" t="str">
        <f>IFERROR(VLOOKUP(R186,'G-7 WaterC'' Data'!$C$4:$D$8,2,FALSE),"")</f>
        <v/>
      </c>
      <c r="T186" s="114"/>
      <c r="U186" s="363" t="str">
        <f>IFERROR(INDEX('G-7 WaterC'' Data'!$H$4:$L$8,MATCH(N186,'G-7 WaterC'' Data'!$B$4:$B$8,0),MATCH(T186,'G-7 WaterC'' Data'!$H$3:$L$3,0)),"")</f>
        <v/>
      </c>
      <c r="V186" s="114"/>
      <c r="W186" s="370" t="str">
        <f>IF(V186="","",IF(VLOOKUP(V186,'G-7 WaterC'' Data'!$AK$4:$AM$6,2,FALSE)=0,"Spatial Data Missing ⚠",VLOOKUP(V186,'G-7 WaterC'' Data'!$AK$4:$AM$6,2,FALSE)))</f>
        <v/>
      </c>
      <c r="X186" s="363" t="str">
        <f>IF(V186="","",IF(VLOOKUP(V186,'G-7 WaterC'' Data'!$AK$4:$AM$6,3,FALSE)=0,"Spatial Data Missing ⚠",VLOOKUP(V186,'G-7 WaterC'' Data'!$AK$4:$AM$6,3,FALSE)))</f>
        <v/>
      </c>
      <c r="Y186" s="362" t="str">
        <f>IFERROR(IF(OR(LEFT(P186,5)="Error",LEFT(O186,5)="Error ▲"),"Check Data ⚠",IF(F186&lt;S186,'G-7 WaterC'' Data'!$R$3,INDEX('G-7 WaterC'' Data'!$U$5:$Y$9,MATCH(G186,'G-7 WaterC'' Data'!$T$5:$T$9,0),MATCH(T186,'G-7 WaterC'' Data'!$U$4:$Y$4,0)))),"")</f>
        <v/>
      </c>
      <c r="Z186" s="159"/>
      <c r="AA186" s="159"/>
      <c r="AB186" s="370" t="str">
        <f t="shared" si="19"/>
        <v/>
      </c>
      <c r="AC186" s="383" t="str">
        <f t="shared" si="20"/>
        <v/>
      </c>
      <c r="AD186" s="422" t="str">
        <f>IFERROR(IF(AC186="Check Data ⚠","Check Data ⚠",VLOOKUP(AC186,'G-4 Temporal multipliers'!$A$4:$C$37,3,FALSE)),"")</f>
        <v/>
      </c>
      <c r="AE186" s="362" t="str">
        <f>IF(N186="","",VLOOKUP(N186,'G-7 WaterC'' Data'!$B$4:$G$8,5,FALSE))</f>
        <v/>
      </c>
      <c r="AF186" s="370" t="str">
        <f t="shared" si="21"/>
        <v/>
      </c>
      <c r="AG186" s="401" t="str">
        <f t="shared" si="22"/>
        <v/>
      </c>
      <c r="AH186" s="363" t="str">
        <f t="shared" si="17"/>
        <v/>
      </c>
      <c r="AI186" s="122"/>
      <c r="AJ186" s="363" t="str">
        <f>IF(AI186="","",IF(VLOOKUP(AI186,'G-7 WaterC'' Data'!$AA$4:$AB$7,2,FALSE)=0,"Spatial Data Missing ⚠",VLOOKUP(AI186,'G-7 WaterC'' Data'!$AA$4:$AB$7,2,FALSE)))</f>
        <v/>
      </c>
      <c r="AK186" s="123"/>
      <c r="AL186" s="363" t="str">
        <f>IF(AK186="","",IF(VLOOKUP(AK186,'G-7 WaterC'' Data'!$AD$4:$AE$14,2,FALSE)=0,"Spatial Data Missing ⚠",VLOOKUP(AK186,'G-7 WaterC'' Data'!$AD$4:$AE$14,2,FALSE)))</f>
        <v/>
      </c>
      <c r="AM186" s="405" t="str">
        <f t="shared" si="23"/>
        <v/>
      </c>
      <c r="AN186" s="117"/>
      <c r="AO186" s="118"/>
      <c r="AP186" s="120"/>
      <c r="AV186" s="30" t="str">
        <f>IFERROR(INDEX('G-7 WaterC'' Data'!$AZ$3:$AZ$7,MATCH(N186,'G-7 WaterC'' Data'!$AY$3:$AY$7,0)),"")</f>
        <v/>
      </c>
    </row>
    <row r="187" spans="2:48" ht="15">
      <c r="B187" s="392" t="str">
        <f>'C-1 On-Site WaterC'' Baseline'!AO185</f>
        <v/>
      </c>
      <c r="C187" s="382" t="str">
        <f>IF(B187="","",VLOOKUP($B187,'C-1 On-Site WaterC'' Baseline'!$C$9:$R$257,2,FALSE))</f>
        <v/>
      </c>
      <c r="D187" s="382" t="str">
        <f>IF(C187="","",VLOOKUP($B187,'C-1 On-Site WaterC'' Baseline'!$C$9:$R$257,3,FALSE))</f>
        <v/>
      </c>
      <c r="E187" s="382" t="str">
        <f>IF(D187="","",VLOOKUP($B187,'C-1 On-Site WaterC'' Baseline'!$C$9:$R$257,4,FALSE))</f>
        <v/>
      </c>
      <c r="F187" s="382" t="str">
        <f>IF(E187="","",VLOOKUP($B187,'C-1 On-Site WaterC'' Baseline'!$C$9:$R$257,5,FALSE))</f>
        <v/>
      </c>
      <c r="G187" s="382" t="str">
        <f>IF(F187="","",VLOOKUP($B187,'C-1 On-Site WaterC'' Baseline'!$C$9:$R$257,6,FALSE))</f>
        <v/>
      </c>
      <c r="H187" s="382" t="str">
        <f>IF(G187="","",VLOOKUP($B187,'C-1 On-Site WaterC'' Baseline'!$C$9:$R$257,7,FALSE))</f>
        <v/>
      </c>
      <c r="I187" s="382" t="str">
        <f>IF(H187="","",VLOOKUP($B187,'C-1 On-Site WaterC'' Baseline'!$C$9:$R$257,8,FALSE))</f>
        <v/>
      </c>
      <c r="J187" s="382" t="str">
        <f>IF(I187="","",VLOOKUP($B187,'C-1 On-Site WaterC'' Baseline'!$C$9:$R$257,9,FALSE))</f>
        <v/>
      </c>
      <c r="K187" s="382" t="str">
        <f>IF(J187="","",VLOOKUP($B187,'C-1 On-Site WaterC'' Baseline'!$C$9:$R$257,10,FALSE))</f>
        <v/>
      </c>
      <c r="L187" s="382" t="str">
        <f>IF(B187="","",VLOOKUP($B187,'C-1 On-Site WaterC'' Baseline'!$C$9:$R$257,15,FALSE))</f>
        <v/>
      </c>
      <c r="M187" s="386" t="str">
        <f>IF(L187="","",VLOOKUP($B187,'C-1 On-Site WaterC'' Baseline'!$C$9:$R$257,16,FALSE))</f>
        <v/>
      </c>
      <c r="N187" s="320" t="str">
        <f t="shared" si="16"/>
        <v/>
      </c>
      <c r="O187" s="362" t="str">
        <f t="shared" si="18"/>
        <v/>
      </c>
      <c r="P187" s="363" t="str">
        <f>IF(C187="","",IF(AND(LEFT(C187,55)&lt;&gt;LEFT(N187,55),O187="High - High"),"Error - Not like for like ▲",IF(H187&gt;U187,"Error - Can not reduce condition ▲",IF(AND(F187=S187,H187=U187,AJ187='C-1 On-Site WaterC'' Baseline'!N185,'C-1 On-Site WaterC'' Baseline'!P185=AL187),"Error - No enhancement ▲",IF(AND(C187&lt;&gt;N187,F187&lt;S187),"Lower Distinctiveness Habitat"&amp;" - "&amp;T187,G187&amp;" - "&amp;T187)))))</f>
        <v/>
      </c>
      <c r="Q187" s="425" t="str">
        <f>IF(N187="","",VLOOKUP(B187,'C-1 On-Site WaterC'' Baseline'!$C$10:$AB$257,19,FALSE))</f>
        <v/>
      </c>
      <c r="R187" s="362" t="str">
        <f>IF(N187="","",VLOOKUP(N187,'G-7 WaterC'' Data'!$B$2:$G$8,2,FALSE))</f>
        <v/>
      </c>
      <c r="S187" s="363" t="str">
        <f>IFERROR(VLOOKUP(R187,'G-7 WaterC'' Data'!$C$4:$D$8,2,FALSE),"")</f>
        <v/>
      </c>
      <c r="T187" s="114"/>
      <c r="U187" s="363" t="str">
        <f>IFERROR(INDEX('G-7 WaterC'' Data'!$H$4:$L$8,MATCH(N187,'G-7 WaterC'' Data'!$B$4:$B$8,0),MATCH(T187,'G-7 WaterC'' Data'!$H$3:$L$3,0)),"")</f>
        <v/>
      </c>
      <c r="V187" s="114"/>
      <c r="W187" s="370" t="str">
        <f>IF(V187="","",IF(VLOOKUP(V187,'G-7 WaterC'' Data'!$AK$4:$AM$6,2,FALSE)=0,"Spatial Data Missing ⚠",VLOOKUP(V187,'G-7 WaterC'' Data'!$AK$4:$AM$6,2,FALSE)))</f>
        <v/>
      </c>
      <c r="X187" s="363" t="str">
        <f>IF(V187="","",IF(VLOOKUP(V187,'G-7 WaterC'' Data'!$AK$4:$AM$6,3,FALSE)=0,"Spatial Data Missing ⚠",VLOOKUP(V187,'G-7 WaterC'' Data'!$AK$4:$AM$6,3,FALSE)))</f>
        <v/>
      </c>
      <c r="Y187" s="362" t="str">
        <f>IFERROR(IF(OR(LEFT(P187,5)="Error",LEFT(O187,5)="Error ▲"),"Check Data ⚠",IF(F187&lt;S187,'G-7 WaterC'' Data'!$R$3,INDEX('G-7 WaterC'' Data'!$U$5:$Y$9,MATCH(G187,'G-7 WaterC'' Data'!$T$5:$T$9,0),MATCH(T187,'G-7 WaterC'' Data'!$U$4:$Y$4,0)))),"")</f>
        <v/>
      </c>
      <c r="Z187" s="159"/>
      <c r="AA187" s="159"/>
      <c r="AB187" s="370" t="str">
        <f t="shared" si="19"/>
        <v/>
      </c>
      <c r="AC187" s="383" t="str">
        <f t="shared" si="20"/>
        <v/>
      </c>
      <c r="AD187" s="422" t="str">
        <f>IFERROR(IF(AC187="Check Data ⚠","Check Data ⚠",VLOOKUP(AC187,'G-4 Temporal multipliers'!$A$4:$C$37,3,FALSE)),"")</f>
        <v/>
      </c>
      <c r="AE187" s="362" t="str">
        <f>IF(N187="","",VLOOKUP(N187,'G-7 WaterC'' Data'!$B$4:$G$8,5,FALSE))</f>
        <v/>
      </c>
      <c r="AF187" s="370" t="str">
        <f t="shared" si="21"/>
        <v/>
      </c>
      <c r="AG187" s="401" t="str">
        <f t="shared" si="22"/>
        <v/>
      </c>
      <c r="AH187" s="363" t="str">
        <f t="shared" si="17"/>
        <v/>
      </c>
      <c r="AI187" s="122"/>
      <c r="AJ187" s="363" t="str">
        <f>IF(AI187="","",IF(VLOOKUP(AI187,'G-7 WaterC'' Data'!$AA$4:$AB$7,2,FALSE)=0,"Spatial Data Missing ⚠",VLOOKUP(AI187,'G-7 WaterC'' Data'!$AA$4:$AB$7,2,FALSE)))</f>
        <v/>
      </c>
      <c r="AK187" s="123"/>
      <c r="AL187" s="363" t="str">
        <f>IF(AK187="","",IF(VLOOKUP(AK187,'G-7 WaterC'' Data'!$AD$4:$AE$14,2,FALSE)=0,"Spatial Data Missing ⚠",VLOOKUP(AK187,'G-7 WaterC'' Data'!$AD$4:$AE$14,2,FALSE)))</f>
        <v/>
      </c>
      <c r="AM187" s="405" t="str">
        <f t="shared" si="23"/>
        <v/>
      </c>
      <c r="AN187" s="117"/>
      <c r="AO187" s="118"/>
      <c r="AP187" s="120"/>
      <c r="AV187" s="30" t="str">
        <f>IFERROR(INDEX('G-7 WaterC'' Data'!$AZ$3:$AZ$7,MATCH(N187,'G-7 WaterC'' Data'!$AY$3:$AY$7,0)),"")</f>
        <v/>
      </c>
    </row>
    <row r="188" spans="2:48" ht="15">
      <c r="B188" s="392" t="str">
        <f>'C-1 On-Site WaterC'' Baseline'!AO186</f>
        <v/>
      </c>
      <c r="C188" s="382" t="str">
        <f>IF(B188="","",VLOOKUP($B188,'C-1 On-Site WaterC'' Baseline'!$C$9:$R$257,2,FALSE))</f>
        <v/>
      </c>
      <c r="D188" s="382" t="str">
        <f>IF(C188="","",VLOOKUP($B188,'C-1 On-Site WaterC'' Baseline'!$C$9:$R$257,3,FALSE))</f>
        <v/>
      </c>
      <c r="E188" s="382" t="str">
        <f>IF(D188="","",VLOOKUP($B188,'C-1 On-Site WaterC'' Baseline'!$C$9:$R$257,4,FALSE))</f>
        <v/>
      </c>
      <c r="F188" s="382" t="str">
        <f>IF(E188="","",VLOOKUP($B188,'C-1 On-Site WaterC'' Baseline'!$C$9:$R$257,5,FALSE))</f>
        <v/>
      </c>
      <c r="G188" s="382" t="str">
        <f>IF(F188="","",VLOOKUP($B188,'C-1 On-Site WaterC'' Baseline'!$C$9:$R$257,6,FALSE))</f>
        <v/>
      </c>
      <c r="H188" s="382" t="str">
        <f>IF(G188="","",VLOOKUP($B188,'C-1 On-Site WaterC'' Baseline'!$C$9:$R$257,7,FALSE))</f>
        <v/>
      </c>
      <c r="I188" s="382" t="str">
        <f>IF(H188="","",VLOOKUP($B188,'C-1 On-Site WaterC'' Baseline'!$C$9:$R$257,8,FALSE))</f>
        <v/>
      </c>
      <c r="J188" s="382" t="str">
        <f>IF(I188="","",VLOOKUP($B188,'C-1 On-Site WaterC'' Baseline'!$C$9:$R$257,9,FALSE))</f>
        <v/>
      </c>
      <c r="K188" s="382" t="str">
        <f>IF(J188="","",VLOOKUP($B188,'C-1 On-Site WaterC'' Baseline'!$C$9:$R$257,10,FALSE))</f>
        <v/>
      </c>
      <c r="L188" s="382" t="str">
        <f>IF(B188="","",VLOOKUP($B188,'C-1 On-Site WaterC'' Baseline'!$C$9:$R$257,15,FALSE))</f>
        <v/>
      </c>
      <c r="M188" s="386" t="str">
        <f>IF(L188="","",VLOOKUP($B188,'C-1 On-Site WaterC'' Baseline'!$C$9:$R$257,16,FALSE))</f>
        <v/>
      </c>
      <c r="N188" s="320" t="str">
        <f t="shared" si="16"/>
        <v/>
      </c>
      <c r="O188" s="362" t="str">
        <f t="shared" si="18"/>
        <v/>
      </c>
      <c r="P188" s="363" t="str">
        <f>IF(C188="","",IF(AND(LEFT(C188,55)&lt;&gt;LEFT(N188,55),O188="High - High"),"Error - Not like for like ▲",IF(H188&gt;U188,"Error - Can not reduce condition ▲",IF(AND(F188=S188,H188=U188,AJ188='C-1 On-Site WaterC'' Baseline'!N186,'C-1 On-Site WaterC'' Baseline'!P186=AL188),"Error - No enhancement ▲",IF(AND(C188&lt;&gt;N188,F188&lt;S188),"Lower Distinctiveness Habitat"&amp;" - "&amp;T188,G188&amp;" - "&amp;T188)))))</f>
        <v/>
      </c>
      <c r="Q188" s="425" t="str">
        <f>IF(N188="","",VLOOKUP(B188,'C-1 On-Site WaterC'' Baseline'!$C$10:$AB$257,19,FALSE))</f>
        <v/>
      </c>
      <c r="R188" s="362" t="str">
        <f>IF(N188="","",VLOOKUP(N188,'G-7 WaterC'' Data'!$B$2:$G$8,2,FALSE))</f>
        <v/>
      </c>
      <c r="S188" s="363" t="str">
        <f>IFERROR(VLOOKUP(R188,'G-7 WaterC'' Data'!$C$4:$D$8,2,FALSE),"")</f>
        <v/>
      </c>
      <c r="T188" s="114"/>
      <c r="U188" s="363" t="str">
        <f>IFERROR(INDEX('G-7 WaterC'' Data'!$H$4:$L$8,MATCH(N188,'G-7 WaterC'' Data'!$B$4:$B$8,0),MATCH(T188,'G-7 WaterC'' Data'!$H$3:$L$3,0)),"")</f>
        <v/>
      </c>
      <c r="V188" s="114"/>
      <c r="W188" s="370" t="str">
        <f>IF(V188="","",IF(VLOOKUP(V188,'G-7 WaterC'' Data'!$AK$4:$AM$6,2,FALSE)=0,"Spatial Data Missing ⚠",VLOOKUP(V188,'G-7 WaterC'' Data'!$AK$4:$AM$6,2,FALSE)))</f>
        <v/>
      </c>
      <c r="X188" s="363" t="str">
        <f>IF(V188="","",IF(VLOOKUP(V188,'G-7 WaterC'' Data'!$AK$4:$AM$6,3,FALSE)=0,"Spatial Data Missing ⚠",VLOOKUP(V188,'G-7 WaterC'' Data'!$AK$4:$AM$6,3,FALSE)))</f>
        <v/>
      </c>
      <c r="Y188" s="362" t="str">
        <f>IFERROR(IF(OR(LEFT(P188,5)="Error",LEFT(O188,5)="Error ▲"),"Check Data ⚠",IF(F188&lt;S188,'G-7 WaterC'' Data'!$R$3,INDEX('G-7 WaterC'' Data'!$U$5:$Y$9,MATCH(G188,'G-7 WaterC'' Data'!$T$5:$T$9,0),MATCH(T188,'G-7 WaterC'' Data'!$U$4:$Y$4,0)))),"")</f>
        <v/>
      </c>
      <c r="Z188" s="159"/>
      <c r="AA188" s="159"/>
      <c r="AB188" s="370" t="str">
        <f t="shared" si="19"/>
        <v/>
      </c>
      <c r="AC188" s="383" t="str">
        <f t="shared" si="20"/>
        <v/>
      </c>
      <c r="AD188" s="422" t="str">
        <f>IFERROR(IF(AC188="Check Data ⚠","Check Data ⚠",VLOOKUP(AC188,'G-4 Temporal multipliers'!$A$4:$C$37,3,FALSE)),"")</f>
        <v/>
      </c>
      <c r="AE188" s="362" t="str">
        <f>IF(N188="","",VLOOKUP(N188,'G-7 WaterC'' Data'!$B$4:$G$8,5,FALSE))</f>
        <v/>
      </c>
      <c r="AF188" s="370" t="str">
        <f t="shared" si="21"/>
        <v/>
      </c>
      <c r="AG188" s="401" t="str">
        <f t="shared" si="22"/>
        <v/>
      </c>
      <c r="AH188" s="363" t="str">
        <f t="shared" si="17"/>
        <v/>
      </c>
      <c r="AI188" s="122"/>
      <c r="AJ188" s="363" t="str">
        <f>IF(AI188="","",IF(VLOOKUP(AI188,'G-7 WaterC'' Data'!$AA$4:$AB$7,2,FALSE)=0,"Spatial Data Missing ⚠",VLOOKUP(AI188,'G-7 WaterC'' Data'!$AA$4:$AB$7,2,FALSE)))</f>
        <v/>
      </c>
      <c r="AK188" s="123"/>
      <c r="AL188" s="363" t="str">
        <f>IF(AK188="","",IF(VLOOKUP(AK188,'G-7 WaterC'' Data'!$AD$4:$AE$14,2,FALSE)=0,"Spatial Data Missing ⚠",VLOOKUP(AK188,'G-7 WaterC'' Data'!$AD$4:$AE$14,2,FALSE)))</f>
        <v/>
      </c>
      <c r="AM188" s="405" t="str">
        <f t="shared" si="23"/>
        <v/>
      </c>
      <c r="AN188" s="117"/>
      <c r="AO188" s="118"/>
      <c r="AP188" s="120"/>
      <c r="AV188" s="30" t="str">
        <f>IFERROR(INDEX('G-7 WaterC'' Data'!$AZ$3:$AZ$7,MATCH(N188,'G-7 WaterC'' Data'!$AY$3:$AY$7,0)),"")</f>
        <v/>
      </c>
    </row>
    <row r="189" spans="2:48" ht="15">
      <c r="B189" s="392" t="str">
        <f>'C-1 On-Site WaterC'' Baseline'!AO187</f>
        <v/>
      </c>
      <c r="C189" s="382" t="str">
        <f>IF(B189="","",VLOOKUP($B189,'C-1 On-Site WaterC'' Baseline'!$C$9:$R$257,2,FALSE))</f>
        <v/>
      </c>
      <c r="D189" s="382" t="str">
        <f>IF(C189="","",VLOOKUP($B189,'C-1 On-Site WaterC'' Baseline'!$C$9:$R$257,3,FALSE))</f>
        <v/>
      </c>
      <c r="E189" s="382" t="str">
        <f>IF(D189="","",VLOOKUP($B189,'C-1 On-Site WaterC'' Baseline'!$C$9:$R$257,4,FALSE))</f>
        <v/>
      </c>
      <c r="F189" s="382" t="str">
        <f>IF(E189="","",VLOOKUP($B189,'C-1 On-Site WaterC'' Baseline'!$C$9:$R$257,5,FALSE))</f>
        <v/>
      </c>
      <c r="G189" s="382" t="str">
        <f>IF(F189="","",VLOOKUP($B189,'C-1 On-Site WaterC'' Baseline'!$C$9:$R$257,6,FALSE))</f>
        <v/>
      </c>
      <c r="H189" s="382" t="str">
        <f>IF(G189="","",VLOOKUP($B189,'C-1 On-Site WaterC'' Baseline'!$C$9:$R$257,7,FALSE))</f>
        <v/>
      </c>
      <c r="I189" s="382" t="str">
        <f>IF(H189="","",VLOOKUP($B189,'C-1 On-Site WaterC'' Baseline'!$C$9:$R$257,8,FALSE))</f>
        <v/>
      </c>
      <c r="J189" s="382" t="str">
        <f>IF(I189="","",VLOOKUP($B189,'C-1 On-Site WaterC'' Baseline'!$C$9:$R$257,9,FALSE))</f>
        <v/>
      </c>
      <c r="K189" s="382" t="str">
        <f>IF(J189="","",VLOOKUP($B189,'C-1 On-Site WaterC'' Baseline'!$C$9:$R$257,10,FALSE))</f>
        <v/>
      </c>
      <c r="L189" s="382" t="str">
        <f>IF(B189="","",VLOOKUP($B189,'C-1 On-Site WaterC'' Baseline'!$C$9:$R$257,15,FALSE))</f>
        <v/>
      </c>
      <c r="M189" s="386" t="str">
        <f>IF(L189="","",VLOOKUP($B189,'C-1 On-Site WaterC'' Baseline'!$C$9:$R$257,16,FALSE))</f>
        <v/>
      </c>
      <c r="N189" s="320" t="str">
        <f t="shared" si="16"/>
        <v/>
      </c>
      <c r="O189" s="362" t="str">
        <f t="shared" si="18"/>
        <v/>
      </c>
      <c r="P189" s="363" t="str">
        <f>IF(C189="","",IF(AND(LEFT(C189,55)&lt;&gt;LEFT(N189,55),O189="High - High"),"Error - Not like for like ▲",IF(H189&gt;U189,"Error - Can not reduce condition ▲",IF(AND(F189=S189,H189=U189,AJ189='C-1 On-Site WaterC'' Baseline'!N187,'C-1 On-Site WaterC'' Baseline'!P187=AL189),"Error - No enhancement ▲",IF(AND(C189&lt;&gt;N189,F189&lt;S189),"Lower Distinctiveness Habitat"&amp;" - "&amp;T189,G189&amp;" - "&amp;T189)))))</f>
        <v/>
      </c>
      <c r="Q189" s="425" t="str">
        <f>IF(N189="","",VLOOKUP(B189,'C-1 On-Site WaterC'' Baseline'!$C$10:$AB$257,19,FALSE))</f>
        <v/>
      </c>
      <c r="R189" s="362" t="str">
        <f>IF(N189="","",VLOOKUP(N189,'G-7 WaterC'' Data'!$B$2:$G$8,2,FALSE))</f>
        <v/>
      </c>
      <c r="S189" s="363" t="str">
        <f>IFERROR(VLOOKUP(R189,'G-7 WaterC'' Data'!$C$4:$D$8,2,FALSE),"")</f>
        <v/>
      </c>
      <c r="T189" s="114"/>
      <c r="U189" s="363" t="str">
        <f>IFERROR(INDEX('G-7 WaterC'' Data'!$H$4:$L$8,MATCH(N189,'G-7 WaterC'' Data'!$B$4:$B$8,0),MATCH(T189,'G-7 WaterC'' Data'!$H$3:$L$3,0)),"")</f>
        <v/>
      </c>
      <c r="V189" s="114"/>
      <c r="W189" s="370" t="str">
        <f>IF(V189="","",IF(VLOOKUP(V189,'G-7 WaterC'' Data'!$AK$4:$AM$6,2,FALSE)=0,"Spatial Data Missing ⚠",VLOOKUP(V189,'G-7 WaterC'' Data'!$AK$4:$AM$6,2,FALSE)))</f>
        <v/>
      </c>
      <c r="X189" s="363" t="str">
        <f>IF(V189="","",IF(VLOOKUP(V189,'G-7 WaterC'' Data'!$AK$4:$AM$6,3,FALSE)=0,"Spatial Data Missing ⚠",VLOOKUP(V189,'G-7 WaterC'' Data'!$AK$4:$AM$6,3,FALSE)))</f>
        <v/>
      </c>
      <c r="Y189" s="362" t="str">
        <f>IFERROR(IF(OR(LEFT(P189,5)="Error",LEFT(O189,5)="Error ▲"),"Check Data ⚠",IF(F189&lt;S189,'G-7 WaterC'' Data'!$R$3,INDEX('G-7 WaterC'' Data'!$U$5:$Y$9,MATCH(G189,'G-7 WaterC'' Data'!$T$5:$T$9,0),MATCH(T189,'G-7 WaterC'' Data'!$U$4:$Y$4,0)))),"")</f>
        <v/>
      </c>
      <c r="Z189" s="159"/>
      <c r="AA189" s="159"/>
      <c r="AB189" s="370" t="str">
        <f t="shared" si="19"/>
        <v/>
      </c>
      <c r="AC189" s="383" t="str">
        <f t="shared" si="20"/>
        <v/>
      </c>
      <c r="AD189" s="422" t="str">
        <f>IFERROR(IF(AC189="Check Data ⚠","Check Data ⚠",VLOOKUP(AC189,'G-4 Temporal multipliers'!$A$4:$C$37,3,FALSE)),"")</f>
        <v/>
      </c>
      <c r="AE189" s="362" t="str">
        <f>IF(N189="","",VLOOKUP(N189,'G-7 WaterC'' Data'!$B$4:$G$8,5,FALSE))</f>
        <v/>
      </c>
      <c r="AF189" s="370" t="str">
        <f t="shared" si="21"/>
        <v/>
      </c>
      <c r="AG189" s="401" t="str">
        <f t="shared" si="22"/>
        <v/>
      </c>
      <c r="AH189" s="363" t="str">
        <f t="shared" si="17"/>
        <v/>
      </c>
      <c r="AI189" s="122"/>
      <c r="AJ189" s="363" t="str">
        <f>IF(AI189="","",IF(VLOOKUP(AI189,'G-7 WaterC'' Data'!$AA$4:$AB$7,2,FALSE)=0,"Spatial Data Missing ⚠",VLOOKUP(AI189,'G-7 WaterC'' Data'!$AA$4:$AB$7,2,FALSE)))</f>
        <v/>
      </c>
      <c r="AK189" s="123"/>
      <c r="AL189" s="363" t="str">
        <f>IF(AK189="","",IF(VLOOKUP(AK189,'G-7 WaterC'' Data'!$AD$4:$AE$14,2,FALSE)=0,"Spatial Data Missing ⚠",VLOOKUP(AK189,'G-7 WaterC'' Data'!$AD$4:$AE$14,2,FALSE)))</f>
        <v/>
      </c>
      <c r="AM189" s="405" t="str">
        <f t="shared" si="23"/>
        <v/>
      </c>
      <c r="AN189" s="117"/>
      <c r="AO189" s="118"/>
      <c r="AP189" s="120"/>
      <c r="AV189" s="30" t="str">
        <f>IFERROR(INDEX('G-7 WaterC'' Data'!$AZ$3:$AZ$7,MATCH(N189,'G-7 WaterC'' Data'!$AY$3:$AY$7,0)),"")</f>
        <v/>
      </c>
    </row>
    <row r="190" spans="2:48" ht="15">
      <c r="B190" s="392" t="str">
        <f>'C-1 On-Site WaterC'' Baseline'!AO188</f>
        <v/>
      </c>
      <c r="C190" s="382" t="str">
        <f>IF(B190="","",VLOOKUP($B190,'C-1 On-Site WaterC'' Baseline'!$C$9:$R$257,2,FALSE))</f>
        <v/>
      </c>
      <c r="D190" s="382" t="str">
        <f>IF(C190="","",VLOOKUP($B190,'C-1 On-Site WaterC'' Baseline'!$C$9:$R$257,3,FALSE))</f>
        <v/>
      </c>
      <c r="E190" s="382" t="str">
        <f>IF(D190="","",VLOOKUP($B190,'C-1 On-Site WaterC'' Baseline'!$C$9:$R$257,4,FALSE))</f>
        <v/>
      </c>
      <c r="F190" s="382" t="str">
        <f>IF(E190="","",VLOOKUP($B190,'C-1 On-Site WaterC'' Baseline'!$C$9:$R$257,5,FALSE))</f>
        <v/>
      </c>
      <c r="G190" s="382" t="str">
        <f>IF(F190="","",VLOOKUP($B190,'C-1 On-Site WaterC'' Baseline'!$C$9:$R$257,6,FALSE))</f>
        <v/>
      </c>
      <c r="H190" s="382" t="str">
        <f>IF(G190="","",VLOOKUP($B190,'C-1 On-Site WaterC'' Baseline'!$C$9:$R$257,7,FALSE))</f>
        <v/>
      </c>
      <c r="I190" s="382" t="str">
        <f>IF(H190="","",VLOOKUP($B190,'C-1 On-Site WaterC'' Baseline'!$C$9:$R$257,8,FALSE))</f>
        <v/>
      </c>
      <c r="J190" s="382" t="str">
        <f>IF(I190="","",VLOOKUP($B190,'C-1 On-Site WaterC'' Baseline'!$C$9:$R$257,9,FALSE))</f>
        <v/>
      </c>
      <c r="K190" s="382" t="str">
        <f>IF(J190="","",VLOOKUP($B190,'C-1 On-Site WaterC'' Baseline'!$C$9:$R$257,10,FALSE))</f>
        <v/>
      </c>
      <c r="L190" s="382" t="str">
        <f>IF(B190="","",VLOOKUP($B190,'C-1 On-Site WaterC'' Baseline'!$C$9:$R$257,15,FALSE))</f>
        <v/>
      </c>
      <c r="M190" s="386" t="str">
        <f>IF(L190="","",VLOOKUP($B190,'C-1 On-Site WaterC'' Baseline'!$C$9:$R$257,16,FALSE))</f>
        <v/>
      </c>
      <c r="N190" s="320" t="str">
        <f t="shared" si="16"/>
        <v/>
      </c>
      <c r="O190" s="362" t="str">
        <f t="shared" si="18"/>
        <v/>
      </c>
      <c r="P190" s="363" t="str">
        <f>IF(C190="","",IF(AND(LEFT(C190,55)&lt;&gt;LEFT(N190,55),O190="High - High"),"Error - Not like for like ▲",IF(H190&gt;U190,"Error - Can not reduce condition ▲",IF(AND(F190=S190,H190=U190,AJ190='C-1 On-Site WaterC'' Baseline'!N188,'C-1 On-Site WaterC'' Baseline'!P188=AL190),"Error - No enhancement ▲",IF(AND(C190&lt;&gt;N190,F190&lt;S190),"Lower Distinctiveness Habitat"&amp;" - "&amp;T190,G190&amp;" - "&amp;T190)))))</f>
        <v/>
      </c>
      <c r="Q190" s="425" t="str">
        <f>IF(N190="","",VLOOKUP(B190,'C-1 On-Site WaterC'' Baseline'!$C$10:$AB$257,19,FALSE))</f>
        <v/>
      </c>
      <c r="R190" s="362" t="str">
        <f>IF(N190="","",VLOOKUP(N190,'G-7 WaterC'' Data'!$B$2:$G$8,2,FALSE))</f>
        <v/>
      </c>
      <c r="S190" s="363" t="str">
        <f>IFERROR(VLOOKUP(R190,'G-7 WaterC'' Data'!$C$4:$D$8,2,FALSE),"")</f>
        <v/>
      </c>
      <c r="T190" s="114"/>
      <c r="U190" s="363" t="str">
        <f>IFERROR(INDEX('G-7 WaterC'' Data'!$H$4:$L$8,MATCH(N190,'G-7 WaterC'' Data'!$B$4:$B$8,0),MATCH(T190,'G-7 WaterC'' Data'!$H$3:$L$3,0)),"")</f>
        <v/>
      </c>
      <c r="V190" s="114"/>
      <c r="W190" s="370" t="str">
        <f>IF(V190="","",IF(VLOOKUP(V190,'G-7 WaterC'' Data'!$AK$4:$AM$6,2,FALSE)=0,"Spatial Data Missing ⚠",VLOOKUP(V190,'G-7 WaterC'' Data'!$AK$4:$AM$6,2,FALSE)))</f>
        <v/>
      </c>
      <c r="X190" s="363" t="str">
        <f>IF(V190="","",IF(VLOOKUP(V190,'G-7 WaterC'' Data'!$AK$4:$AM$6,3,FALSE)=0,"Spatial Data Missing ⚠",VLOOKUP(V190,'G-7 WaterC'' Data'!$AK$4:$AM$6,3,FALSE)))</f>
        <v/>
      </c>
      <c r="Y190" s="362" t="str">
        <f>IFERROR(IF(OR(LEFT(P190,5)="Error",LEFT(O190,5)="Error ▲"),"Check Data ⚠",IF(F190&lt;S190,'G-7 WaterC'' Data'!$R$3,INDEX('G-7 WaterC'' Data'!$U$5:$Y$9,MATCH(G190,'G-7 WaterC'' Data'!$T$5:$T$9,0),MATCH(T190,'G-7 WaterC'' Data'!$U$4:$Y$4,0)))),"")</f>
        <v/>
      </c>
      <c r="Z190" s="159"/>
      <c r="AA190" s="159"/>
      <c r="AB190" s="370" t="str">
        <f t="shared" si="19"/>
        <v/>
      </c>
      <c r="AC190" s="383" t="str">
        <f t="shared" si="20"/>
        <v/>
      </c>
      <c r="AD190" s="422" t="str">
        <f>IFERROR(IF(AC190="Check Data ⚠","Check Data ⚠",VLOOKUP(AC190,'G-4 Temporal multipliers'!$A$4:$C$37,3,FALSE)),"")</f>
        <v/>
      </c>
      <c r="AE190" s="362" t="str">
        <f>IF(N190="","",VLOOKUP(N190,'G-7 WaterC'' Data'!$B$4:$G$8,5,FALSE))</f>
        <v/>
      </c>
      <c r="AF190" s="370" t="str">
        <f t="shared" si="21"/>
        <v/>
      </c>
      <c r="AG190" s="401" t="str">
        <f t="shared" si="22"/>
        <v/>
      </c>
      <c r="AH190" s="363" t="str">
        <f t="shared" si="17"/>
        <v/>
      </c>
      <c r="AI190" s="122"/>
      <c r="AJ190" s="363" t="str">
        <f>IF(AI190="","",IF(VLOOKUP(AI190,'G-7 WaterC'' Data'!$AA$4:$AB$7,2,FALSE)=0,"Spatial Data Missing ⚠",VLOOKUP(AI190,'G-7 WaterC'' Data'!$AA$4:$AB$7,2,FALSE)))</f>
        <v/>
      </c>
      <c r="AK190" s="123"/>
      <c r="AL190" s="363" t="str">
        <f>IF(AK190="","",IF(VLOOKUP(AK190,'G-7 WaterC'' Data'!$AD$4:$AE$14,2,FALSE)=0,"Spatial Data Missing ⚠",VLOOKUP(AK190,'G-7 WaterC'' Data'!$AD$4:$AE$14,2,FALSE)))</f>
        <v/>
      </c>
      <c r="AM190" s="405" t="str">
        <f t="shared" si="23"/>
        <v/>
      </c>
      <c r="AN190" s="117"/>
      <c r="AO190" s="118"/>
      <c r="AP190" s="120"/>
      <c r="AV190" s="30" t="str">
        <f>IFERROR(INDEX('G-7 WaterC'' Data'!$AZ$3:$AZ$7,MATCH(N190,'G-7 WaterC'' Data'!$AY$3:$AY$7,0)),"")</f>
        <v/>
      </c>
    </row>
    <row r="191" spans="2:48" ht="15">
      <c r="B191" s="392" t="str">
        <f>'C-1 On-Site WaterC'' Baseline'!AO189</f>
        <v/>
      </c>
      <c r="C191" s="382" t="str">
        <f>IF(B191="","",VLOOKUP($B191,'C-1 On-Site WaterC'' Baseline'!$C$9:$R$257,2,FALSE))</f>
        <v/>
      </c>
      <c r="D191" s="382" t="str">
        <f>IF(C191="","",VLOOKUP($B191,'C-1 On-Site WaterC'' Baseline'!$C$9:$R$257,3,FALSE))</f>
        <v/>
      </c>
      <c r="E191" s="382" t="str">
        <f>IF(D191="","",VLOOKUP($B191,'C-1 On-Site WaterC'' Baseline'!$C$9:$R$257,4,FALSE))</f>
        <v/>
      </c>
      <c r="F191" s="382" t="str">
        <f>IF(E191="","",VLOOKUP($B191,'C-1 On-Site WaterC'' Baseline'!$C$9:$R$257,5,FALSE))</f>
        <v/>
      </c>
      <c r="G191" s="382" t="str">
        <f>IF(F191="","",VLOOKUP($B191,'C-1 On-Site WaterC'' Baseline'!$C$9:$R$257,6,FALSE))</f>
        <v/>
      </c>
      <c r="H191" s="382" t="str">
        <f>IF(G191="","",VLOOKUP($B191,'C-1 On-Site WaterC'' Baseline'!$C$9:$R$257,7,FALSE))</f>
        <v/>
      </c>
      <c r="I191" s="382" t="str">
        <f>IF(H191="","",VLOOKUP($B191,'C-1 On-Site WaterC'' Baseline'!$C$9:$R$257,8,FALSE))</f>
        <v/>
      </c>
      <c r="J191" s="382" t="str">
        <f>IF(I191="","",VLOOKUP($B191,'C-1 On-Site WaterC'' Baseline'!$C$9:$R$257,9,FALSE))</f>
        <v/>
      </c>
      <c r="K191" s="382" t="str">
        <f>IF(J191="","",VLOOKUP($B191,'C-1 On-Site WaterC'' Baseline'!$C$9:$R$257,10,FALSE))</f>
        <v/>
      </c>
      <c r="L191" s="382" t="str">
        <f>IF(B191="","",VLOOKUP($B191,'C-1 On-Site WaterC'' Baseline'!$C$9:$R$257,15,FALSE))</f>
        <v/>
      </c>
      <c r="M191" s="386" t="str">
        <f>IF(L191="","",VLOOKUP($B191,'C-1 On-Site WaterC'' Baseline'!$C$9:$R$257,16,FALSE))</f>
        <v/>
      </c>
      <c r="N191" s="320" t="str">
        <f t="shared" si="16"/>
        <v/>
      </c>
      <c r="O191" s="362" t="str">
        <f t="shared" si="18"/>
        <v/>
      </c>
      <c r="P191" s="363" t="str">
        <f>IF(C191="","",IF(AND(LEFT(C191,55)&lt;&gt;LEFT(N191,55),O191="High - High"),"Error - Not like for like ▲",IF(H191&gt;U191,"Error - Can not reduce condition ▲",IF(AND(F191=S191,H191=U191,AJ191='C-1 On-Site WaterC'' Baseline'!N189,'C-1 On-Site WaterC'' Baseline'!P189=AL191),"Error - No enhancement ▲",IF(AND(C191&lt;&gt;N191,F191&lt;S191),"Lower Distinctiveness Habitat"&amp;" - "&amp;T191,G191&amp;" - "&amp;T191)))))</f>
        <v/>
      </c>
      <c r="Q191" s="425" t="str">
        <f>IF(N191="","",VLOOKUP(B191,'C-1 On-Site WaterC'' Baseline'!$C$10:$AB$257,19,FALSE))</f>
        <v/>
      </c>
      <c r="R191" s="362" t="str">
        <f>IF(N191="","",VLOOKUP(N191,'G-7 WaterC'' Data'!$B$2:$G$8,2,FALSE))</f>
        <v/>
      </c>
      <c r="S191" s="363" t="str">
        <f>IFERROR(VLOOKUP(R191,'G-7 WaterC'' Data'!$C$4:$D$8,2,FALSE),"")</f>
        <v/>
      </c>
      <c r="T191" s="114"/>
      <c r="U191" s="363" t="str">
        <f>IFERROR(INDEX('G-7 WaterC'' Data'!$H$4:$L$8,MATCH(N191,'G-7 WaterC'' Data'!$B$4:$B$8,0),MATCH(T191,'G-7 WaterC'' Data'!$H$3:$L$3,0)),"")</f>
        <v/>
      </c>
      <c r="V191" s="114"/>
      <c r="W191" s="370" t="str">
        <f>IF(V191="","",IF(VLOOKUP(V191,'G-7 WaterC'' Data'!$AK$4:$AM$6,2,FALSE)=0,"Spatial Data Missing ⚠",VLOOKUP(V191,'G-7 WaterC'' Data'!$AK$4:$AM$6,2,FALSE)))</f>
        <v/>
      </c>
      <c r="X191" s="363" t="str">
        <f>IF(V191="","",IF(VLOOKUP(V191,'G-7 WaterC'' Data'!$AK$4:$AM$6,3,FALSE)=0,"Spatial Data Missing ⚠",VLOOKUP(V191,'G-7 WaterC'' Data'!$AK$4:$AM$6,3,FALSE)))</f>
        <v/>
      </c>
      <c r="Y191" s="362" t="str">
        <f>IFERROR(IF(OR(LEFT(P191,5)="Error",LEFT(O191,5)="Error ▲"),"Check Data ⚠",IF(F191&lt;S191,'G-7 WaterC'' Data'!$R$3,INDEX('G-7 WaterC'' Data'!$U$5:$Y$9,MATCH(G191,'G-7 WaterC'' Data'!$T$5:$T$9,0),MATCH(T191,'G-7 WaterC'' Data'!$U$4:$Y$4,0)))),"")</f>
        <v/>
      </c>
      <c r="Z191" s="159"/>
      <c r="AA191" s="159"/>
      <c r="AB191" s="370" t="str">
        <f t="shared" si="19"/>
        <v/>
      </c>
      <c r="AC191" s="383" t="str">
        <f t="shared" si="20"/>
        <v/>
      </c>
      <c r="AD191" s="422" t="str">
        <f>IFERROR(IF(AC191="Check Data ⚠","Check Data ⚠",VLOOKUP(AC191,'G-4 Temporal multipliers'!$A$4:$C$37,3,FALSE)),"")</f>
        <v/>
      </c>
      <c r="AE191" s="362" t="str">
        <f>IF(N191="","",VLOOKUP(N191,'G-7 WaterC'' Data'!$B$4:$G$8,5,FALSE))</f>
        <v/>
      </c>
      <c r="AF191" s="370" t="str">
        <f t="shared" si="21"/>
        <v/>
      </c>
      <c r="AG191" s="401" t="str">
        <f t="shared" si="22"/>
        <v/>
      </c>
      <c r="AH191" s="363" t="str">
        <f t="shared" si="17"/>
        <v/>
      </c>
      <c r="AI191" s="122"/>
      <c r="AJ191" s="363" t="str">
        <f>IF(AI191="","",IF(VLOOKUP(AI191,'G-7 WaterC'' Data'!$AA$4:$AB$7,2,FALSE)=0,"Spatial Data Missing ⚠",VLOOKUP(AI191,'G-7 WaterC'' Data'!$AA$4:$AB$7,2,FALSE)))</f>
        <v/>
      </c>
      <c r="AK191" s="123"/>
      <c r="AL191" s="363" t="str">
        <f>IF(AK191="","",IF(VLOOKUP(AK191,'G-7 WaterC'' Data'!$AD$4:$AE$14,2,FALSE)=0,"Spatial Data Missing ⚠",VLOOKUP(AK191,'G-7 WaterC'' Data'!$AD$4:$AE$14,2,FALSE)))</f>
        <v/>
      </c>
      <c r="AM191" s="405" t="str">
        <f t="shared" si="23"/>
        <v/>
      </c>
      <c r="AN191" s="117"/>
      <c r="AO191" s="118"/>
      <c r="AP191" s="120"/>
      <c r="AV191" s="30" t="str">
        <f>IFERROR(INDEX('G-7 WaterC'' Data'!$AZ$3:$AZ$7,MATCH(N191,'G-7 WaterC'' Data'!$AY$3:$AY$7,0)),"")</f>
        <v/>
      </c>
    </row>
    <row r="192" spans="2:48" ht="15">
      <c r="B192" s="392" t="str">
        <f>'C-1 On-Site WaterC'' Baseline'!AO190</f>
        <v/>
      </c>
      <c r="C192" s="382" t="str">
        <f>IF(B192="","",VLOOKUP($B192,'C-1 On-Site WaterC'' Baseline'!$C$9:$R$257,2,FALSE))</f>
        <v/>
      </c>
      <c r="D192" s="382" t="str">
        <f>IF(C192="","",VLOOKUP($B192,'C-1 On-Site WaterC'' Baseline'!$C$9:$R$257,3,FALSE))</f>
        <v/>
      </c>
      <c r="E192" s="382" t="str">
        <f>IF(D192="","",VLOOKUP($B192,'C-1 On-Site WaterC'' Baseline'!$C$9:$R$257,4,FALSE))</f>
        <v/>
      </c>
      <c r="F192" s="382" t="str">
        <f>IF(E192="","",VLOOKUP($B192,'C-1 On-Site WaterC'' Baseline'!$C$9:$R$257,5,FALSE))</f>
        <v/>
      </c>
      <c r="G192" s="382" t="str">
        <f>IF(F192="","",VLOOKUP($B192,'C-1 On-Site WaterC'' Baseline'!$C$9:$R$257,6,FALSE))</f>
        <v/>
      </c>
      <c r="H192" s="382" t="str">
        <f>IF(G192="","",VLOOKUP($B192,'C-1 On-Site WaterC'' Baseline'!$C$9:$R$257,7,FALSE))</f>
        <v/>
      </c>
      <c r="I192" s="382" t="str">
        <f>IF(H192="","",VLOOKUP($B192,'C-1 On-Site WaterC'' Baseline'!$C$9:$R$257,8,FALSE))</f>
        <v/>
      </c>
      <c r="J192" s="382" t="str">
        <f>IF(I192="","",VLOOKUP($B192,'C-1 On-Site WaterC'' Baseline'!$C$9:$R$257,9,FALSE))</f>
        <v/>
      </c>
      <c r="K192" s="382" t="str">
        <f>IF(J192="","",VLOOKUP($B192,'C-1 On-Site WaterC'' Baseline'!$C$9:$R$257,10,FALSE))</f>
        <v/>
      </c>
      <c r="L192" s="382" t="str">
        <f>IF(B192="","",VLOOKUP($B192,'C-1 On-Site WaterC'' Baseline'!$C$9:$R$257,15,FALSE))</f>
        <v/>
      </c>
      <c r="M192" s="386" t="str">
        <f>IF(L192="","",VLOOKUP($B192,'C-1 On-Site WaterC'' Baseline'!$C$9:$R$257,16,FALSE))</f>
        <v/>
      </c>
      <c r="N192" s="320" t="str">
        <f t="shared" si="16"/>
        <v/>
      </c>
      <c r="O192" s="362" t="str">
        <f t="shared" si="18"/>
        <v/>
      </c>
      <c r="P192" s="363" t="str">
        <f>IF(C192="","",IF(AND(LEFT(C192,55)&lt;&gt;LEFT(N192,55),O192="High - High"),"Error - Not like for like ▲",IF(H192&gt;U192,"Error - Can not reduce condition ▲",IF(AND(F192=S192,H192=U192,AJ192='C-1 On-Site WaterC'' Baseline'!N190,'C-1 On-Site WaterC'' Baseline'!P190=AL192),"Error - No enhancement ▲",IF(AND(C192&lt;&gt;N192,F192&lt;S192),"Lower Distinctiveness Habitat"&amp;" - "&amp;T192,G192&amp;" - "&amp;T192)))))</f>
        <v/>
      </c>
      <c r="Q192" s="425" t="str">
        <f>IF(N192="","",VLOOKUP(B192,'C-1 On-Site WaterC'' Baseline'!$C$10:$AB$257,19,FALSE))</f>
        <v/>
      </c>
      <c r="R192" s="362" t="str">
        <f>IF(N192="","",VLOOKUP(N192,'G-7 WaterC'' Data'!$B$2:$G$8,2,FALSE))</f>
        <v/>
      </c>
      <c r="S192" s="363" t="str">
        <f>IFERROR(VLOOKUP(R192,'G-7 WaterC'' Data'!$C$4:$D$8,2,FALSE),"")</f>
        <v/>
      </c>
      <c r="T192" s="114"/>
      <c r="U192" s="363" t="str">
        <f>IFERROR(INDEX('G-7 WaterC'' Data'!$H$4:$L$8,MATCH(N192,'G-7 WaterC'' Data'!$B$4:$B$8,0),MATCH(T192,'G-7 WaterC'' Data'!$H$3:$L$3,0)),"")</f>
        <v/>
      </c>
      <c r="V192" s="114"/>
      <c r="W192" s="370" t="str">
        <f>IF(V192="","",IF(VLOOKUP(V192,'G-7 WaterC'' Data'!$AK$4:$AM$6,2,FALSE)=0,"Spatial Data Missing ⚠",VLOOKUP(V192,'G-7 WaterC'' Data'!$AK$4:$AM$6,2,FALSE)))</f>
        <v/>
      </c>
      <c r="X192" s="363" t="str">
        <f>IF(V192="","",IF(VLOOKUP(V192,'G-7 WaterC'' Data'!$AK$4:$AM$6,3,FALSE)=0,"Spatial Data Missing ⚠",VLOOKUP(V192,'G-7 WaterC'' Data'!$AK$4:$AM$6,3,FALSE)))</f>
        <v/>
      </c>
      <c r="Y192" s="362" t="str">
        <f>IFERROR(IF(OR(LEFT(P192,5)="Error",LEFT(O192,5)="Error ▲"),"Check Data ⚠",IF(F192&lt;S192,'G-7 WaterC'' Data'!$R$3,INDEX('G-7 WaterC'' Data'!$U$5:$Y$9,MATCH(G192,'G-7 WaterC'' Data'!$T$5:$T$9,0),MATCH(T192,'G-7 WaterC'' Data'!$U$4:$Y$4,0)))),"")</f>
        <v/>
      </c>
      <c r="Z192" s="159"/>
      <c r="AA192" s="159"/>
      <c r="AB192" s="370" t="str">
        <f t="shared" si="19"/>
        <v/>
      </c>
      <c r="AC192" s="383" t="str">
        <f t="shared" si="20"/>
        <v/>
      </c>
      <c r="AD192" s="422" t="str">
        <f>IFERROR(IF(AC192="Check Data ⚠","Check Data ⚠",VLOOKUP(AC192,'G-4 Temporal multipliers'!$A$4:$C$37,3,FALSE)),"")</f>
        <v/>
      </c>
      <c r="AE192" s="362" t="str">
        <f>IF(N192="","",VLOOKUP(N192,'G-7 WaterC'' Data'!$B$4:$G$8,5,FALSE))</f>
        <v/>
      </c>
      <c r="AF192" s="370" t="str">
        <f t="shared" si="21"/>
        <v/>
      </c>
      <c r="AG192" s="401" t="str">
        <f t="shared" si="22"/>
        <v/>
      </c>
      <c r="AH192" s="363" t="str">
        <f t="shared" si="17"/>
        <v/>
      </c>
      <c r="AI192" s="122"/>
      <c r="AJ192" s="363" t="str">
        <f>IF(AI192="","",IF(VLOOKUP(AI192,'G-7 WaterC'' Data'!$AA$4:$AB$7,2,FALSE)=0,"Spatial Data Missing ⚠",VLOOKUP(AI192,'G-7 WaterC'' Data'!$AA$4:$AB$7,2,FALSE)))</f>
        <v/>
      </c>
      <c r="AK192" s="123"/>
      <c r="AL192" s="363" t="str">
        <f>IF(AK192="","",IF(VLOOKUP(AK192,'G-7 WaterC'' Data'!$AD$4:$AE$14,2,FALSE)=0,"Spatial Data Missing ⚠",VLOOKUP(AK192,'G-7 WaterC'' Data'!$AD$4:$AE$14,2,FALSE)))</f>
        <v/>
      </c>
      <c r="AM192" s="405" t="str">
        <f t="shared" si="23"/>
        <v/>
      </c>
      <c r="AN192" s="117"/>
      <c r="AO192" s="118"/>
      <c r="AP192" s="120"/>
      <c r="AV192" s="30" t="str">
        <f>IFERROR(INDEX('G-7 WaterC'' Data'!$AZ$3:$AZ$7,MATCH(N192,'G-7 WaterC'' Data'!$AY$3:$AY$7,0)),"")</f>
        <v/>
      </c>
    </row>
    <row r="193" spans="2:48" ht="15">
      <c r="B193" s="392" t="str">
        <f>'C-1 On-Site WaterC'' Baseline'!AO191</f>
        <v/>
      </c>
      <c r="C193" s="382" t="str">
        <f>IF(B193="","",VLOOKUP($B193,'C-1 On-Site WaterC'' Baseline'!$C$9:$R$257,2,FALSE))</f>
        <v/>
      </c>
      <c r="D193" s="382" t="str">
        <f>IF(C193="","",VLOOKUP($B193,'C-1 On-Site WaterC'' Baseline'!$C$9:$R$257,3,FALSE))</f>
        <v/>
      </c>
      <c r="E193" s="382" t="str">
        <f>IF(D193="","",VLOOKUP($B193,'C-1 On-Site WaterC'' Baseline'!$C$9:$R$257,4,FALSE))</f>
        <v/>
      </c>
      <c r="F193" s="382" t="str">
        <f>IF(E193="","",VLOOKUP($B193,'C-1 On-Site WaterC'' Baseline'!$C$9:$R$257,5,FALSE))</f>
        <v/>
      </c>
      <c r="G193" s="382" t="str">
        <f>IF(F193="","",VLOOKUP($B193,'C-1 On-Site WaterC'' Baseline'!$C$9:$R$257,6,FALSE))</f>
        <v/>
      </c>
      <c r="H193" s="382" t="str">
        <f>IF(G193="","",VLOOKUP($B193,'C-1 On-Site WaterC'' Baseline'!$C$9:$R$257,7,FALSE))</f>
        <v/>
      </c>
      <c r="I193" s="382" t="str">
        <f>IF(H193="","",VLOOKUP($B193,'C-1 On-Site WaterC'' Baseline'!$C$9:$R$257,8,FALSE))</f>
        <v/>
      </c>
      <c r="J193" s="382" t="str">
        <f>IF(I193="","",VLOOKUP($B193,'C-1 On-Site WaterC'' Baseline'!$C$9:$R$257,9,FALSE))</f>
        <v/>
      </c>
      <c r="K193" s="382" t="str">
        <f>IF(J193="","",VLOOKUP($B193,'C-1 On-Site WaterC'' Baseline'!$C$9:$R$257,10,FALSE))</f>
        <v/>
      </c>
      <c r="L193" s="382" t="str">
        <f>IF(B193="","",VLOOKUP($B193,'C-1 On-Site WaterC'' Baseline'!$C$9:$R$257,15,FALSE))</f>
        <v/>
      </c>
      <c r="M193" s="386" t="str">
        <f>IF(L193="","",VLOOKUP($B193,'C-1 On-Site WaterC'' Baseline'!$C$9:$R$257,16,FALSE))</f>
        <v/>
      </c>
      <c r="N193" s="320" t="str">
        <f t="shared" si="16"/>
        <v/>
      </c>
      <c r="O193" s="362" t="str">
        <f t="shared" si="18"/>
        <v/>
      </c>
      <c r="P193" s="363" t="str">
        <f>IF(C193="","",IF(AND(LEFT(C193,55)&lt;&gt;LEFT(N193,55),O193="High - High"),"Error - Not like for like ▲",IF(H193&gt;U193,"Error - Can not reduce condition ▲",IF(AND(F193=S193,H193=U193,AJ193='C-1 On-Site WaterC'' Baseline'!N191,'C-1 On-Site WaterC'' Baseline'!P191=AL193),"Error - No enhancement ▲",IF(AND(C193&lt;&gt;N193,F193&lt;S193),"Lower Distinctiveness Habitat"&amp;" - "&amp;T193,G193&amp;" - "&amp;T193)))))</f>
        <v/>
      </c>
      <c r="Q193" s="425" t="str">
        <f>IF(N193="","",VLOOKUP(B193,'C-1 On-Site WaterC'' Baseline'!$C$10:$AB$257,19,FALSE))</f>
        <v/>
      </c>
      <c r="R193" s="362" t="str">
        <f>IF(N193="","",VLOOKUP(N193,'G-7 WaterC'' Data'!$B$2:$G$8,2,FALSE))</f>
        <v/>
      </c>
      <c r="S193" s="363" t="str">
        <f>IFERROR(VLOOKUP(R193,'G-7 WaterC'' Data'!$C$4:$D$8,2,FALSE),"")</f>
        <v/>
      </c>
      <c r="T193" s="114"/>
      <c r="U193" s="363" t="str">
        <f>IFERROR(INDEX('G-7 WaterC'' Data'!$H$4:$L$8,MATCH(N193,'G-7 WaterC'' Data'!$B$4:$B$8,0),MATCH(T193,'G-7 WaterC'' Data'!$H$3:$L$3,0)),"")</f>
        <v/>
      </c>
      <c r="V193" s="114"/>
      <c r="W193" s="370" t="str">
        <f>IF(V193="","",IF(VLOOKUP(V193,'G-7 WaterC'' Data'!$AK$4:$AM$6,2,FALSE)=0,"Spatial Data Missing ⚠",VLOOKUP(V193,'G-7 WaterC'' Data'!$AK$4:$AM$6,2,FALSE)))</f>
        <v/>
      </c>
      <c r="X193" s="363" t="str">
        <f>IF(V193="","",IF(VLOOKUP(V193,'G-7 WaterC'' Data'!$AK$4:$AM$6,3,FALSE)=0,"Spatial Data Missing ⚠",VLOOKUP(V193,'G-7 WaterC'' Data'!$AK$4:$AM$6,3,FALSE)))</f>
        <v/>
      </c>
      <c r="Y193" s="362" t="str">
        <f>IFERROR(IF(OR(LEFT(P193,5)="Error",LEFT(O193,5)="Error ▲"),"Check Data ⚠",IF(F193&lt;S193,'G-7 WaterC'' Data'!$R$3,INDEX('G-7 WaterC'' Data'!$U$5:$Y$9,MATCH(G193,'G-7 WaterC'' Data'!$T$5:$T$9,0),MATCH(T193,'G-7 WaterC'' Data'!$U$4:$Y$4,0)))),"")</f>
        <v/>
      </c>
      <c r="Z193" s="159"/>
      <c r="AA193" s="159"/>
      <c r="AB193" s="370" t="str">
        <f t="shared" si="19"/>
        <v/>
      </c>
      <c r="AC193" s="383" t="str">
        <f t="shared" si="20"/>
        <v/>
      </c>
      <c r="AD193" s="422" t="str">
        <f>IFERROR(IF(AC193="Check Data ⚠","Check Data ⚠",VLOOKUP(AC193,'G-4 Temporal multipliers'!$A$4:$C$37,3,FALSE)),"")</f>
        <v/>
      </c>
      <c r="AE193" s="362" t="str">
        <f>IF(N193="","",VLOOKUP(N193,'G-7 WaterC'' Data'!$B$4:$G$8,5,FALSE))</f>
        <v/>
      </c>
      <c r="AF193" s="370" t="str">
        <f t="shared" si="21"/>
        <v/>
      </c>
      <c r="AG193" s="401" t="str">
        <f t="shared" si="22"/>
        <v/>
      </c>
      <c r="AH193" s="363" t="str">
        <f t="shared" si="17"/>
        <v/>
      </c>
      <c r="AI193" s="122"/>
      <c r="AJ193" s="363" t="str">
        <f>IF(AI193="","",IF(VLOOKUP(AI193,'G-7 WaterC'' Data'!$AA$4:$AB$7,2,FALSE)=0,"Spatial Data Missing ⚠",VLOOKUP(AI193,'G-7 WaterC'' Data'!$AA$4:$AB$7,2,FALSE)))</f>
        <v/>
      </c>
      <c r="AK193" s="123"/>
      <c r="AL193" s="363" t="str">
        <f>IF(AK193="","",IF(VLOOKUP(AK193,'G-7 WaterC'' Data'!$AD$4:$AE$14,2,FALSE)=0,"Spatial Data Missing ⚠",VLOOKUP(AK193,'G-7 WaterC'' Data'!$AD$4:$AE$14,2,FALSE)))</f>
        <v/>
      </c>
      <c r="AM193" s="405" t="str">
        <f t="shared" si="23"/>
        <v/>
      </c>
      <c r="AN193" s="117"/>
      <c r="AO193" s="118"/>
      <c r="AP193" s="120"/>
      <c r="AV193" s="30" t="str">
        <f>IFERROR(INDEX('G-7 WaterC'' Data'!$AZ$3:$AZ$7,MATCH(N193,'G-7 WaterC'' Data'!$AY$3:$AY$7,0)),"")</f>
        <v/>
      </c>
    </row>
    <row r="194" spans="2:48" ht="15">
      <c r="B194" s="392" t="str">
        <f>'C-1 On-Site WaterC'' Baseline'!AO192</f>
        <v/>
      </c>
      <c r="C194" s="382" t="str">
        <f>IF(B194="","",VLOOKUP($B194,'C-1 On-Site WaterC'' Baseline'!$C$9:$R$257,2,FALSE))</f>
        <v/>
      </c>
      <c r="D194" s="382" t="str">
        <f>IF(C194="","",VLOOKUP($B194,'C-1 On-Site WaterC'' Baseline'!$C$9:$R$257,3,FALSE))</f>
        <v/>
      </c>
      <c r="E194" s="382" t="str">
        <f>IF(D194="","",VLOOKUP($B194,'C-1 On-Site WaterC'' Baseline'!$C$9:$R$257,4,FALSE))</f>
        <v/>
      </c>
      <c r="F194" s="382" t="str">
        <f>IF(E194="","",VLOOKUP($B194,'C-1 On-Site WaterC'' Baseline'!$C$9:$R$257,5,FALSE))</f>
        <v/>
      </c>
      <c r="G194" s="382" t="str">
        <f>IF(F194="","",VLOOKUP($B194,'C-1 On-Site WaterC'' Baseline'!$C$9:$R$257,6,FALSE))</f>
        <v/>
      </c>
      <c r="H194" s="382" t="str">
        <f>IF(G194="","",VLOOKUP($B194,'C-1 On-Site WaterC'' Baseline'!$C$9:$R$257,7,FALSE))</f>
        <v/>
      </c>
      <c r="I194" s="382" t="str">
        <f>IF(H194="","",VLOOKUP($B194,'C-1 On-Site WaterC'' Baseline'!$C$9:$R$257,8,FALSE))</f>
        <v/>
      </c>
      <c r="J194" s="382" t="str">
        <f>IF(I194="","",VLOOKUP($B194,'C-1 On-Site WaterC'' Baseline'!$C$9:$R$257,9,FALSE))</f>
        <v/>
      </c>
      <c r="K194" s="382" t="str">
        <f>IF(J194="","",VLOOKUP($B194,'C-1 On-Site WaterC'' Baseline'!$C$9:$R$257,10,FALSE))</f>
        <v/>
      </c>
      <c r="L194" s="382" t="str">
        <f>IF(B194="","",VLOOKUP($B194,'C-1 On-Site WaterC'' Baseline'!$C$9:$R$257,15,FALSE))</f>
        <v/>
      </c>
      <c r="M194" s="386" t="str">
        <f>IF(L194="","",VLOOKUP($B194,'C-1 On-Site WaterC'' Baseline'!$C$9:$R$257,16,FALSE))</f>
        <v/>
      </c>
      <c r="N194" s="320" t="str">
        <f t="shared" si="16"/>
        <v/>
      </c>
      <c r="O194" s="362" t="str">
        <f t="shared" si="18"/>
        <v/>
      </c>
      <c r="P194" s="363" t="str">
        <f>IF(C194="","",IF(AND(LEFT(C194,55)&lt;&gt;LEFT(N194,55),O194="High - High"),"Error - Not like for like ▲",IF(H194&gt;U194,"Error - Can not reduce condition ▲",IF(AND(F194=S194,H194=U194,AJ194='C-1 On-Site WaterC'' Baseline'!N192,'C-1 On-Site WaterC'' Baseline'!P192=AL194),"Error - No enhancement ▲",IF(AND(C194&lt;&gt;N194,F194&lt;S194),"Lower Distinctiveness Habitat"&amp;" - "&amp;T194,G194&amp;" - "&amp;T194)))))</f>
        <v/>
      </c>
      <c r="Q194" s="425" t="str">
        <f>IF(N194="","",VLOOKUP(B194,'C-1 On-Site WaterC'' Baseline'!$C$10:$AB$257,19,FALSE))</f>
        <v/>
      </c>
      <c r="R194" s="362" t="str">
        <f>IF(N194="","",VLOOKUP(N194,'G-7 WaterC'' Data'!$B$2:$G$8,2,FALSE))</f>
        <v/>
      </c>
      <c r="S194" s="363" t="str">
        <f>IFERROR(VLOOKUP(R194,'G-7 WaterC'' Data'!$C$4:$D$8,2,FALSE),"")</f>
        <v/>
      </c>
      <c r="T194" s="114"/>
      <c r="U194" s="363" t="str">
        <f>IFERROR(INDEX('G-7 WaterC'' Data'!$H$4:$L$8,MATCH(N194,'G-7 WaterC'' Data'!$B$4:$B$8,0),MATCH(T194,'G-7 WaterC'' Data'!$H$3:$L$3,0)),"")</f>
        <v/>
      </c>
      <c r="V194" s="114"/>
      <c r="W194" s="370" t="str">
        <f>IF(V194="","",IF(VLOOKUP(V194,'G-7 WaterC'' Data'!$AK$4:$AM$6,2,FALSE)=0,"Spatial Data Missing ⚠",VLOOKUP(V194,'G-7 WaterC'' Data'!$AK$4:$AM$6,2,FALSE)))</f>
        <v/>
      </c>
      <c r="X194" s="363" t="str">
        <f>IF(V194="","",IF(VLOOKUP(V194,'G-7 WaterC'' Data'!$AK$4:$AM$6,3,FALSE)=0,"Spatial Data Missing ⚠",VLOOKUP(V194,'G-7 WaterC'' Data'!$AK$4:$AM$6,3,FALSE)))</f>
        <v/>
      </c>
      <c r="Y194" s="362" t="str">
        <f>IFERROR(IF(OR(LEFT(P194,5)="Error",LEFT(O194,5)="Error ▲"),"Check Data ⚠",IF(F194&lt;S194,'G-7 WaterC'' Data'!$R$3,INDEX('G-7 WaterC'' Data'!$U$5:$Y$9,MATCH(G194,'G-7 WaterC'' Data'!$T$5:$T$9,0),MATCH(T194,'G-7 WaterC'' Data'!$U$4:$Y$4,0)))),"")</f>
        <v/>
      </c>
      <c r="Z194" s="159"/>
      <c r="AA194" s="159"/>
      <c r="AB194" s="370" t="str">
        <f t="shared" si="19"/>
        <v/>
      </c>
      <c r="AC194" s="383" t="str">
        <f t="shared" si="20"/>
        <v/>
      </c>
      <c r="AD194" s="422" t="str">
        <f>IFERROR(IF(AC194="Check Data ⚠","Check Data ⚠",VLOOKUP(AC194,'G-4 Temporal multipliers'!$A$4:$C$37,3,FALSE)),"")</f>
        <v/>
      </c>
      <c r="AE194" s="362" t="str">
        <f>IF(N194="","",VLOOKUP(N194,'G-7 WaterC'' Data'!$B$4:$G$8,5,FALSE))</f>
        <v/>
      </c>
      <c r="AF194" s="370" t="str">
        <f t="shared" si="21"/>
        <v/>
      </c>
      <c r="AG194" s="401" t="str">
        <f t="shared" si="22"/>
        <v/>
      </c>
      <c r="AH194" s="363" t="str">
        <f t="shared" si="17"/>
        <v/>
      </c>
      <c r="AI194" s="122"/>
      <c r="AJ194" s="363" t="str">
        <f>IF(AI194="","",IF(VLOOKUP(AI194,'G-7 WaterC'' Data'!$AA$4:$AB$7,2,FALSE)=0,"Spatial Data Missing ⚠",VLOOKUP(AI194,'G-7 WaterC'' Data'!$AA$4:$AB$7,2,FALSE)))</f>
        <v/>
      </c>
      <c r="AK194" s="123"/>
      <c r="AL194" s="363" t="str">
        <f>IF(AK194="","",IF(VLOOKUP(AK194,'G-7 WaterC'' Data'!$AD$4:$AE$14,2,FALSE)=0,"Spatial Data Missing ⚠",VLOOKUP(AK194,'G-7 WaterC'' Data'!$AD$4:$AE$14,2,FALSE)))</f>
        <v/>
      </c>
      <c r="AM194" s="405" t="str">
        <f t="shared" si="23"/>
        <v/>
      </c>
      <c r="AN194" s="117"/>
      <c r="AO194" s="118"/>
      <c r="AP194" s="120"/>
      <c r="AV194" s="30" t="str">
        <f>IFERROR(INDEX('G-7 WaterC'' Data'!$AZ$3:$AZ$7,MATCH(N194,'G-7 WaterC'' Data'!$AY$3:$AY$7,0)),"")</f>
        <v/>
      </c>
    </row>
    <row r="195" spans="2:48" ht="15">
      <c r="B195" s="392" t="str">
        <f>'C-1 On-Site WaterC'' Baseline'!AO193</f>
        <v/>
      </c>
      <c r="C195" s="382" t="str">
        <f>IF(B195="","",VLOOKUP($B195,'C-1 On-Site WaterC'' Baseline'!$C$9:$R$257,2,FALSE))</f>
        <v/>
      </c>
      <c r="D195" s="382" t="str">
        <f>IF(C195="","",VLOOKUP($B195,'C-1 On-Site WaterC'' Baseline'!$C$9:$R$257,3,FALSE))</f>
        <v/>
      </c>
      <c r="E195" s="382" t="str">
        <f>IF(D195="","",VLOOKUP($B195,'C-1 On-Site WaterC'' Baseline'!$C$9:$R$257,4,FALSE))</f>
        <v/>
      </c>
      <c r="F195" s="382" t="str">
        <f>IF(E195="","",VLOOKUP($B195,'C-1 On-Site WaterC'' Baseline'!$C$9:$R$257,5,FALSE))</f>
        <v/>
      </c>
      <c r="G195" s="382" t="str">
        <f>IF(F195="","",VLOOKUP($B195,'C-1 On-Site WaterC'' Baseline'!$C$9:$R$257,6,FALSE))</f>
        <v/>
      </c>
      <c r="H195" s="382" t="str">
        <f>IF(G195="","",VLOOKUP($B195,'C-1 On-Site WaterC'' Baseline'!$C$9:$R$257,7,FALSE))</f>
        <v/>
      </c>
      <c r="I195" s="382" t="str">
        <f>IF(H195="","",VLOOKUP($B195,'C-1 On-Site WaterC'' Baseline'!$C$9:$R$257,8,FALSE))</f>
        <v/>
      </c>
      <c r="J195" s="382" t="str">
        <f>IF(I195="","",VLOOKUP($B195,'C-1 On-Site WaterC'' Baseline'!$C$9:$R$257,9,FALSE))</f>
        <v/>
      </c>
      <c r="K195" s="382" t="str">
        <f>IF(J195="","",VLOOKUP($B195,'C-1 On-Site WaterC'' Baseline'!$C$9:$R$257,10,FALSE))</f>
        <v/>
      </c>
      <c r="L195" s="382" t="str">
        <f>IF(B195="","",VLOOKUP($B195,'C-1 On-Site WaterC'' Baseline'!$C$9:$R$257,15,FALSE))</f>
        <v/>
      </c>
      <c r="M195" s="386" t="str">
        <f>IF(L195="","",VLOOKUP($B195,'C-1 On-Site WaterC'' Baseline'!$C$9:$R$257,16,FALSE))</f>
        <v/>
      </c>
      <c r="N195" s="320" t="str">
        <f t="shared" si="16"/>
        <v/>
      </c>
      <c r="O195" s="362" t="str">
        <f t="shared" si="18"/>
        <v/>
      </c>
      <c r="P195" s="363" t="str">
        <f>IF(C195="","",IF(AND(LEFT(C195,55)&lt;&gt;LEFT(N195,55),O195="High - High"),"Error - Not like for like ▲",IF(H195&gt;U195,"Error - Can not reduce condition ▲",IF(AND(F195=S195,H195=U195,AJ195='C-1 On-Site WaterC'' Baseline'!N193,'C-1 On-Site WaterC'' Baseline'!P193=AL195),"Error - No enhancement ▲",IF(AND(C195&lt;&gt;N195,F195&lt;S195),"Lower Distinctiveness Habitat"&amp;" - "&amp;T195,G195&amp;" - "&amp;T195)))))</f>
        <v/>
      </c>
      <c r="Q195" s="425" t="str">
        <f>IF(N195="","",VLOOKUP(B195,'C-1 On-Site WaterC'' Baseline'!$C$10:$AB$257,19,FALSE))</f>
        <v/>
      </c>
      <c r="R195" s="362" t="str">
        <f>IF(N195="","",VLOOKUP(N195,'G-7 WaterC'' Data'!$B$2:$G$8,2,FALSE))</f>
        <v/>
      </c>
      <c r="S195" s="363" t="str">
        <f>IFERROR(VLOOKUP(R195,'G-7 WaterC'' Data'!$C$4:$D$8,2,FALSE),"")</f>
        <v/>
      </c>
      <c r="T195" s="114"/>
      <c r="U195" s="363" t="str">
        <f>IFERROR(INDEX('G-7 WaterC'' Data'!$H$4:$L$8,MATCH(N195,'G-7 WaterC'' Data'!$B$4:$B$8,0),MATCH(T195,'G-7 WaterC'' Data'!$H$3:$L$3,0)),"")</f>
        <v/>
      </c>
      <c r="V195" s="114"/>
      <c r="W195" s="370" t="str">
        <f>IF(V195="","",IF(VLOOKUP(V195,'G-7 WaterC'' Data'!$AK$4:$AM$6,2,FALSE)=0,"Spatial Data Missing ⚠",VLOOKUP(V195,'G-7 WaterC'' Data'!$AK$4:$AM$6,2,FALSE)))</f>
        <v/>
      </c>
      <c r="X195" s="363" t="str">
        <f>IF(V195="","",IF(VLOOKUP(V195,'G-7 WaterC'' Data'!$AK$4:$AM$6,3,FALSE)=0,"Spatial Data Missing ⚠",VLOOKUP(V195,'G-7 WaterC'' Data'!$AK$4:$AM$6,3,FALSE)))</f>
        <v/>
      </c>
      <c r="Y195" s="362" t="str">
        <f>IFERROR(IF(OR(LEFT(P195,5)="Error",LEFT(O195,5)="Error ▲"),"Check Data ⚠",IF(F195&lt;S195,'G-7 WaterC'' Data'!$R$3,INDEX('G-7 WaterC'' Data'!$U$5:$Y$9,MATCH(G195,'G-7 WaterC'' Data'!$T$5:$T$9,0),MATCH(T195,'G-7 WaterC'' Data'!$U$4:$Y$4,0)))),"")</f>
        <v/>
      </c>
      <c r="Z195" s="159"/>
      <c r="AA195" s="159"/>
      <c r="AB195" s="370" t="str">
        <f t="shared" si="19"/>
        <v/>
      </c>
      <c r="AC195" s="383" t="str">
        <f t="shared" si="20"/>
        <v/>
      </c>
      <c r="AD195" s="422" t="str">
        <f>IFERROR(IF(AC195="Check Data ⚠","Check Data ⚠",VLOOKUP(AC195,'G-4 Temporal multipliers'!$A$4:$C$37,3,FALSE)),"")</f>
        <v/>
      </c>
      <c r="AE195" s="362" t="str">
        <f>IF(N195="","",VLOOKUP(N195,'G-7 WaterC'' Data'!$B$4:$G$8,5,FALSE))</f>
        <v/>
      </c>
      <c r="AF195" s="370" t="str">
        <f t="shared" si="21"/>
        <v/>
      </c>
      <c r="AG195" s="401" t="str">
        <f t="shared" si="22"/>
        <v/>
      </c>
      <c r="AH195" s="363" t="str">
        <f t="shared" si="17"/>
        <v/>
      </c>
      <c r="AI195" s="122"/>
      <c r="AJ195" s="363" t="str">
        <f>IF(AI195="","",IF(VLOOKUP(AI195,'G-7 WaterC'' Data'!$AA$4:$AB$7,2,FALSE)=0,"Spatial Data Missing ⚠",VLOOKUP(AI195,'G-7 WaterC'' Data'!$AA$4:$AB$7,2,FALSE)))</f>
        <v/>
      </c>
      <c r="AK195" s="123"/>
      <c r="AL195" s="363" t="str">
        <f>IF(AK195="","",IF(VLOOKUP(AK195,'G-7 WaterC'' Data'!$AD$4:$AE$14,2,FALSE)=0,"Spatial Data Missing ⚠",VLOOKUP(AK195,'G-7 WaterC'' Data'!$AD$4:$AE$14,2,FALSE)))</f>
        <v/>
      </c>
      <c r="AM195" s="405" t="str">
        <f t="shared" si="23"/>
        <v/>
      </c>
      <c r="AN195" s="117"/>
      <c r="AO195" s="118"/>
      <c r="AP195" s="120"/>
      <c r="AV195" s="30" t="str">
        <f>IFERROR(INDEX('G-7 WaterC'' Data'!$AZ$3:$AZ$7,MATCH(N195,'G-7 WaterC'' Data'!$AY$3:$AY$7,0)),"")</f>
        <v/>
      </c>
    </row>
    <row r="196" spans="2:48" ht="15">
      <c r="B196" s="392" t="str">
        <f>'C-1 On-Site WaterC'' Baseline'!AO194</f>
        <v/>
      </c>
      <c r="C196" s="382" t="str">
        <f>IF(B196="","",VLOOKUP($B196,'C-1 On-Site WaterC'' Baseline'!$C$9:$R$257,2,FALSE))</f>
        <v/>
      </c>
      <c r="D196" s="382" t="str">
        <f>IF(C196="","",VLOOKUP($B196,'C-1 On-Site WaterC'' Baseline'!$C$9:$R$257,3,FALSE))</f>
        <v/>
      </c>
      <c r="E196" s="382" t="str">
        <f>IF(D196="","",VLOOKUP($B196,'C-1 On-Site WaterC'' Baseline'!$C$9:$R$257,4,FALSE))</f>
        <v/>
      </c>
      <c r="F196" s="382" t="str">
        <f>IF(E196="","",VLOOKUP($B196,'C-1 On-Site WaterC'' Baseline'!$C$9:$R$257,5,FALSE))</f>
        <v/>
      </c>
      <c r="G196" s="382" t="str">
        <f>IF(F196="","",VLOOKUP($B196,'C-1 On-Site WaterC'' Baseline'!$C$9:$R$257,6,FALSE))</f>
        <v/>
      </c>
      <c r="H196" s="382" t="str">
        <f>IF(G196="","",VLOOKUP($B196,'C-1 On-Site WaterC'' Baseline'!$C$9:$R$257,7,FALSE))</f>
        <v/>
      </c>
      <c r="I196" s="382" t="str">
        <f>IF(H196="","",VLOOKUP($B196,'C-1 On-Site WaterC'' Baseline'!$C$9:$R$257,8,FALSE))</f>
        <v/>
      </c>
      <c r="J196" s="382" t="str">
        <f>IF(I196="","",VLOOKUP($B196,'C-1 On-Site WaterC'' Baseline'!$C$9:$R$257,9,FALSE))</f>
        <v/>
      </c>
      <c r="K196" s="382" t="str">
        <f>IF(J196="","",VLOOKUP($B196,'C-1 On-Site WaterC'' Baseline'!$C$9:$R$257,10,FALSE))</f>
        <v/>
      </c>
      <c r="L196" s="382" t="str">
        <f>IF(B196="","",VLOOKUP($B196,'C-1 On-Site WaterC'' Baseline'!$C$9:$R$257,15,FALSE))</f>
        <v/>
      </c>
      <c r="M196" s="386" t="str">
        <f>IF(L196="","",VLOOKUP($B196,'C-1 On-Site WaterC'' Baseline'!$C$9:$R$257,16,FALSE))</f>
        <v/>
      </c>
      <c r="N196" s="320" t="str">
        <f t="shared" si="16"/>
        <v/>
      </c>
      <c r="O196" s="362" t="str">
        <f t="shared" si="18"/>
        <v/>
      </c>
      <c r="P196" s="363" t="str">
        <f>IF(C196="","",IF(AND(LEFT(C196,55)&lt;&gt;LEFT(N196,55),O196="High - High"),"Error - Not like for like ▲",IF(H196&gt;U196,"Error - Can not reduce condition ▲",IF(AND(F196=S196,H196=U196,AJ196='C-1 On-Site WaterC'' Baseline'!N194,'C-1 On-Site WaterC'' Baseline'!P194=AL196),"Error - No enhancement ▲",IF(AND(C196&lt;&gt;N196,F196&lt;S196),"Lower Distinctiveness Habitat"&amp;" - "&amp;T196,G196&amp;" - "&amp;T196)))))</f>
        <v/>
      </c>
      <c r="Q196" s="425" t="str">
        <f>IF(N196="","",VLOOKUP(B196,'C-1 On-Site WaterC'' Baseline'!$C$10:$AB$257,19,FALSE))</f>
        <v/>
      </c>
      <c r="R196" s="362" t="str">
        <f>IF(N196="","",VLOOKUP(N196,'G-7 WaterC'' Data'!$B$2:$G$8,2,FALSE))</f>
        <v/>
      </c>
      <c r="S196" s="363" t="str">
        <f>IFERROR(VLOOKUP(R196,'G-7 WaterC'' Data'!$C$4:$D$8,2,FALSE),"")</f>
        <v/>
      </c>
      <c r="T196" s="114"/>
      <c r="U196" s="363" t="str">
        <f>IFERROR(INDEX('G-7 WaterC'' Data'!$H$4:$L$8,MATCH(N196,'G-7 WaterC'' Data'!$B$4:$B$8,0),MATCH(T196,'G-7 WaterC'' Data'!$H$3:$L$3,0)),"")</f>
        <v/>
      </c>
      <c r="V196" s="114"/>
      <c r="W196" s="370" t="str">
        <f>IF(V196="","",IF(VLOOKUP(V196,'G-7 WaterC'' Data'!$AK$4:$AM$6,2,FALSE)=0,"Spatial Data Missing ⚠",VLOOKUP(V196,'G-7 WaterC'' Data'!$AK$4:$AM$6,2,FALSE)))</f>
        <v/>
      </c>
      <c r="X196" s="363" t="str">
        <f>IF(V196="","",IF(VLOOKUP(V196,'G-7 WaterC'' Data'!$AK$4:$AM$6,3,FALSE)=0,"Spatial Data Missing ⚠",VLOOKUP(V196,'G-7 WaterC'' Data'!$AK$4:$AM$6,3,FALSE)))</f>
        <v/>
      </c>
      <c r="Y196" s="362" t="str">
        <f>IFERROR(IF(OR(LEFT(P196,5)="Error",LEFT(O196,5)="Error ▲"),"Check Data ⚠",IF(F196&lt;S196,'G-7 WaterC'' Data'!$R$3,INDEX('G-7 WaterC'' Data'!$U$5:$Y$9,MATCH(G196,'G-7 WaterC'' Data'!$T$5:$T$9,0),MATCH(T196,'G-7 WaterC'' Data'!$U$4:$Y$4,0)))),"")</f>
        <v/>
      </c>
      <c r="Z196" s="159"/>
      <c r="AA196" s="159"/>
      <c r="AB196" s="370" t="str">
        <f t="shared" si="19"/>
        <v/>
      </c>
      <c r="AC196" s="383" t="str">
        <f t="shared" si="20"/>
        <v/>
      </c>
      <c r="AD196" s="422" t="str">
        <f>IFERROR(IF(AC196="Check Data ⚠","Check Data ⚠",VLOOKUP(AC196,'G-4 Temporal multipliers'!$A$4:$C$37,3,FALSE)),"")</f>
        <v/>
      </c>
      <c r="AE196" s="362" t="str">
        <f>IF(N196="","",VLOOKUP(N196,'G-7 WaterC'' Data'!$B$4:$G$8,5,FALSE))</f>
        <v/>
      </c>
      <c r="AF196" s="370" t="str">
        <f t="shared" si="21"/>
        <v/>
      </c>
      <c r="AG196" s="401" t="str">
        <f t="shared" si="22"/>
        <v/>
      </c>
      <c r="AH196" s="363" t="str">
        <f t="shared" si="17"/>
        <v/>
      </c>
      <c r="AI196" s="122"/>
      <c r="AJ196" s="363" t="str">
        <f>IF(AI196="","",IF(VLOOKUP(AI196,'G-7 WaterC'' Data'!$AA$4:$AB$7,2,FALSE)=0,"Spatial Data Missing ⚠",VLOOKUP(AI196,'G-7 WaterC'' Data'!$AA$4:$AB$7,2,FALSE)))</f>
        <v/>
      </c>
      <c r="AK196" s="123"/>
      <c r="AL196" s="363" t="str">
        <f>IF(AK196="","",IF(VLOOKUP(AK196,'G-7 WaterC'' Data'!$AD$4:$AE$14,2,FALSE)=0,"Spatial Data Missing ⚠",VLOOKUP(AK196,'G-7 WaterC'' Data'!$AD$4:$AE$14,2,FALSE)))</f>
        <v/>
      </c>
      <c r="AM196" s="405" t="str">
        <f t="shared" si="23"/>
        <v/>
      </c>
      <c r="AN196" s="117"/>
      <c r="AO196" s="118"/>
      <c r="AP196" s="120"/>
      <c r="AV196" s="30" t="str">
        <f>IFERROR(INDEX('G-7 WaterC'' Data'!$AZ$3:$AZ$7,MATCH(N196,'G-7 WaterC'' Data'!$AY$3:$AY$7,0)),"")</f>
        <v/>
      </c>
    </row>
    <row r="197" spans="2:48" ht="15">
      <c r="B197" s="392" t="str">
        <f>'C-1 On-Site WaterC'' Baseline'!AO195</f>
        <v/>
      </c>
      <c r="C197" s="382" t="str">
        <f>IF(B197="","",VLOOKUP($B197,'C-1 On-Site WaterC'' Baseline'!$C$9:$R$257,2,FALSE))</f>
        <v/>
      </c>
      <c r="D197" s="382" t="str">
        <f>IF(C197="","",VLOOKUP($B197,'C-1 On-Site WaterC'' Baseline'!$C$9:$R$257,3,FALSE))</f>
        <v/>
      </c>
      <c r="E197" s="382" t="str">
        <f>IF(D197="","",VLOOKUP($B197,'C-1 On-Site WaterC'' Baseline'!$C$9:$R$257,4,FALSE))</f>
        <v/>
      </c>
      <c r="F197" s="382" t="str">
        <f>IF(E197="","",VLOOKUP($B197,'C-1 On-Site WaterC'' Baseline'!$C$9:$R$257,5,FALSE))</f>
        <v/>
      </c>
      <c r="G197" s="382" t="str">
        <f>IF(F197="","",VLOOKUP($B197,'C-1 On-Site WaterC'' Baseline'!$C$9:$R$257,6,FALSE))</f>
        <v/>
      </c>
      <c r="H197" s="382" t="str">
        <f>IF(G197="","",VLOOKUP($B197,'C-1 On-Site WaterC'' Baseline'!$C$9:$R$257,7,FALSE))</f>
        <v/>
      </c>
      <c r="I197" s="382" t="str">
        <f>IF(H197="","",VLOOKUP($B197,'C-1 On-Site WaterC'' Baseline'!$C$9:$R$257,8,FALSE))</f>
        <v/>
      </c>
      <c r="J197" s="382" t="str">
        <f>IF(I197="","",VLOOKUP($B197,'C-1 On-Site WaterC'' Baseline'!$C$9:$R$257,9,FALSE))</f>
        <v/>
      </c>
      <c r="K197" s="382" t="str">
        <f>IF(J197="","",VLOOKUP($B197,'C-1 On-Site WaterC'' Baseline'!$C$9:$R$257,10,FALSE))</f>
        <v/>
      </c>
      <c r="L197" s="382" t="str">
        <f>IF(B197="","",VLOOKUP($B197,'C-1 On-Site WaterC'' Baseline'!$C$9:$R$257,15,FALSE))</f>
        <v/>
      </c>
      <c r="M197" s="386" t="str">
        <f>IF(L197="","",VLOOKUP($B197,'C-1 On-Site WaterC'' Baseline'!$C$9:$R$257,16,FALSE))</f>
        <v/>
      </c>
      <c r="N197" s="320" t="str">
        <f t="shared" si="16"/>
        <v/>
      </c>
      <c r="O197" s="362" t="str">
        <f t="shared" si="18"/>
        <v/>
      </c>
      <c r="P197" s="363" t="str">
        <f>IF(C197="","",IF(AND(LEFT(C197,55)&lt;&gt;LEFT(N197,55),O197="High - High"),"Error - Not like for like ▲",IF(H197&gt;U197,"Error - Can not reduce condition ▲",IF(AND(F197=S197,H197=U197,AJ197='C-1 On-Site WaterC'' Baseline'!N195,'C-1 On-Site WaterC'' Baseline'!P195=AL197),"Error - No enhancement ▲",IF(AND(C197&lt;&gt;N197,F197&lt;S197),"Lower Distinctiveness Habitat"&amp;" - "&amp;T197,G197&amp;" - "&amp;T197)))))</f>
        <v/>
      </c>
      <c r="Q197" s="425" t="str">
        <f>IF(N197="","",VLOOKUP(B197,'C-1 On-Site WaterC'' Baseline'!$C$10:$AB$257,19,FALSE))</f>
        <v/>
      </c>
      <c r="R197" s="362" t="str">
        <f>IF(N197="","",VLOOKUP(N197,'G-7 WaterC'' Data'!$B$2:$G$8,2,FALSE))</f>
        <v/>
      </c>
      <c r="S197" s="363" t="str">
        <f>IFERROR(VLOOKUP(R197,'G-7 WaterC'' Data'!$C$4:$D$8,2,FALSE),"")</f>
        <v/>
      </c>
      <c r="T197" s="114"/>
      <c r="U197" s="363" t="str">
        <f>IFERROR(INDEX('G-7 WaterC'' Data'!$H$4:$L$8,MATCH(N197,'G-7 WaterC'' Data'!$B$4:$B$8,0),MATCH(T197,'G-7 WaterC'' Data'!$H$3:$L$3,0)),"")</f>
        <v/>
      </c>
      <c r="V197" s="114"/>
      <c r="W197" s="370" t="str">
        <f>IF(V197="","",IF(VLOOKUP(V197,'G-7 WaterC'' Data'!$AK$4:$AM$6,2,FALSE)=0,"Spatial Data Missing ⚠",VLOOKUP(V197,'G-7 WaterC'' Data'!$AK$4:$AM$6,2,FALSE)))</f>
        <v/>
      </c>
      <c r="X197" s="363" t="str">
        <f>IF(V197="","",IF(VLOOKUP(V197,'G-7 WaterC'' Data'!$AK$4:$AM$6,3,FALSE)=0,"Spatial Data Missing ⚠",VLOOKUP(V197,'G-7 WaterC'' Data'!$AK$4:$AM$6,3,FALSE)))</f>
        <v/>
      </c>
      <c r="Y197" s="362" t="str">
        <f>IFERROR(IF(OR(LEFT(P197,5)="Error",LEFT(O197,5)="Error ▲"),"Check Data ⚠",IF(F197&lt;S197,'G-7 WaterC'' Data'!$R$3,INDEX('G-7 WaterC'' Data'!$U$5:$Y$9,MATCH(G197,'G-7 WaterC'' Data'!$T$5:$T$9,0),MATCH(T197,'G-7 WaterC'' Data'!$U$4:$Y$4,0)))),"")</f>
        <v/>
      </c>
      <c r="Z197" s="159"/>
      <c r="AA197" s="159"/>
      <c r="AB197" s="370" t="str">
        <f t="shared" si="19"/>
        <v/>
      </c>
      <c r="AC197" s="383" t="str">
        <f t="shared" si="20"/>
        <v/>
      </c>
      <c r="AD197" s="422" t="str">
        <f>IFERROR(IF(AC197="Check Data ⚠","Check Data ⚠",VLOOKUP(AC197,'G-4 Temporal multipliers'!$A$4:$C$37,3,FALSE)),"")</f>
        <v/>
      </c>
      <c r="AE197" s="362" t="str">
        <f>IF(N197="","",VLOOKUP(N197,'G-7 WaterC'' Data'!$B$4:$G$8,5,FALSE))</f>
        <v/>
      </c>
      <c r="AF197" s="370" t="str">
        <f t="shared" si="21"/>
        <v/>
      </c>
      <c r="AG197" s="401" t="str">
        <f t="shared" si="22"/>
        <v/>
      </c>
      <c r="AH197" s="363" t="str">
        <f t="shared" si="17"/>
        <v/>
      </c>
      <c r="AI197" s="122"/>
      <c r="AJ197" s="363" t="str">
        <f>IF(AI197="","",IF(VLOOKUP(AI197,'G-7 WaterC'' Data'!$AA$4:$AB$7,2,FALSE)=0,"Spatial Data Missing ⚠",VLOOKUP(AI197,'G-7 WaterC'' Data'!$AA$4:$AB$7,2,FALSE)))</f>
        <v/>
      </c>
      <c r="AK197" s="123"/>
      <c r="AL197" s="363" t="str">
        <f>IF(AK197="","",IF(VLOOKUP(AK197,'G-7 WaterC'' Data'!$AD$4:$AE$14,2,FALSE)=0,"Spatial Data Missing ⚠",VLOOKUP(AK197,'G-7 WaterC'' Data'!$AD$4:$AE$14,2,FALSE)))</f>
        <v/>
      </c>
      <c r="AM197" s="405" t="str">
        <f t="shared" si="23"/>
        <v/>
      </c>
      <c r="AN197" s="117"/>
      <c r="AO197" s="118"/>
      <c r="AP197" s="120"/>
      <c r="AV197" s="30" t="str">
        <f>IFERROR(INDEX('G-7 WaterC'' Data'!$AZ$3:$AZ$7,MATCH(N197,'G-7 WaterC'' Data'!$AY$3:$AY$7,0)),"")</f>
        <v/>
      </c>
    </row>
    <row r="198" spans="2:48" ht="15">
      <c r="B198" s="392" t="str">
        <f>'C-1 On-Site WaterC'' Baseline'!AO196</f>
        <v/>
      </c>
      <c r="C198" s="382" t="str">
        <f>IF(B198="","",VLOOKUP($B198,'C-1 On-Site WaterC'' Baseline'!$C$9:$R$257,2,FALSE))</f>
        <v/>
      </c>
      <c r="D198" s="382" t="str">
        <f>IF(C198="","",VLOOKUP($B198,'C-1 On-Site WaterC'' Baseline'!$C$9:$R$257,3,FALSE))</f>
        <v/>
      </c>
      <c r="E198" s="382" t="str">
        <f>IF(D198="","",VLOOKUP($B198,'C-1 On-Site WaterC'' Baseline'!$C$9:$R$257,4,FALSE))</f>
        <v/>
      </c>
      <c r="F198" s="382" t="str">
        <f>IF(E198="","",VLOOKUP($B198,'C-1 On-Site WaterC'' Baseline'!$C$9:$R$257,5,FALSE))</f>
        <v/>
      </c>
      <c r="G198" s="382" t="str">
        <f>IF(F198="","",VLOOKUP($B198,'C-1 On-Site WaterC'' Baseline'!$C$9:$R$257,6,FALSE))</f>
        <v/>
      </c>
      <c r="H198" s="382" t="str">
        <f>IF(G198="","",VLOOKUP($B198,'C-1 On-Site WaterC'' Baseline'!$C$9:$R$257,7,FALSE))</f>
        <v/>
      </c>
      <c r="I198" s="382" t="str">
        <f>IF(H198="","",VLOOKUP($B198,'C-1 On-Site WaterC'' Baseline'!$C$9:$R$257,8,FALSE))</f>
        <v/>
      </c>
      <c r="J198" s="382" t="str">
        <f>IF(I198="","",VLOOKUP($B198,'C-1 On-Site WaterC'' Baseline'!$C$9:$R$257,9,FALSE))</f>
        <v/>
      </c>
      <c r="K198" s="382" t="str">
        <f>IF(J198="","",VLOOKUP($B198,'C-1 On-Site WaterC'' Baseline'!$C$9:$R$257,10,FALSE))</f>
        <v/>
      </c>
      <c r="L198" s="382" t="str">
        <f>IF(B198="","",VLOOKUP($B198,'C-1 On-Site WaterC'' Baseline'!$C$9:$R$257,15,FALSE))</f>
        <v/>
      </c>
      <c r="M198" s="386" t="str">
        <f>IF(L198="","",VLOOKUP($B198,'C-1 On-Site WaterC'' Baseline'!$C$9:$R$257,16,FALSE))</f>
        <v/>
      </c>
      <c r="N198" s="320" t="str">
        <f t="shared" si="16"/>
        <v/>
      </c>
      <c r="O198" s="362" t="str">
        <f t="shared" si="18"/>
        <v/>
      </c>
      <c r="P198" s="363" t="str">
        <f>IF(C198="","",IF(AND(LEFT(C198,55)&lt;&gt;LEFT(N198,55),O198="High - High"),"Error - Not like for like ▲",IF(H198&gt;U198,"Error - Can not reduce condition ▲",IF(AND(F198=S198,H198=U198,AJ198='C-1 On-Site WaterC'' Baseline'!N196,'C-1 On-Site WaterC'' Baseline'!P196=AL198),"Error - No enhancement ▲",IF(AND(C198&lt;&gt;N198,F198&lt;S198),"Lower Distinctiveness Habitat"&amp;" - "&amp;T198,G198&amp;" - "&amp;T198)))))</f>
        <v/>
      </c>
      <c r="Q198" s="425" t="str">
        <f>IF(N198="","",VLOOKUP(B198,'C-1 On-Site WaterC'' Baseline'!$C$10:$AB$257,19,FALSE))</f>
        <v/>
      </c>
      <c r="R198" s="362" t="str">
        <f>IF(N198="","",VLOOKUP(N198,'G-7 WaterC'' Data'!$B$2:$G$8,2,FALSE))</f>
        <v/>
      </c>
      <c r="S198" s="363" t="str">
        <f>IFERROR(VLOOKUP(R198,'G-7 WaterC'' Data'!$C$4:$D$8,2,FALSE),"")</f>
        <v/>
      </c>
      <c r="T198" s="114"/>
      <c r="U198" s="363" t="str">
        <f>IFERROR(INDEX('G-7 WaterC'' Data'!$H$4:$L$8,MATCH(N198,'G-7 WaterC'' Data'!$B$4:$B$8,0),MATCH(T198,'G-7 WaterC'' Data'!$H$3:$L$3,0)),"")</f>
        <v/>
      </c>
      <c r="V198" s="114"/>
      <c r="W198" s="370" t="str">
        <f>IF(V198="","",IF(VLOOKUP(V198,'G-7 WaterC'' Data'!$AK$4:$AM$6,2,FALSE)=0,"Spatial Data Missing ⚠",VLOOKUP(V198,'G-7 WaterC'' Data'!$AK$4:$AM$6,2,FALSE)))</f>
        <v/>
      </c>
      <c r="X198" s="363" t="str">
        <f>IF(V198="","",IF(VLOOKUP(V198,'G-7 WaterC'' Data'!$AK$4:$AM$6,3,FALSE)=0,"Spatial Data Missing ⚠",VLOOKUP(V198,'G-7 WaterC'' Data'!$AK$4:$AM$6,3,FALSE)))</f>
        <v/>
      </c>
      <c r="Y198" s="362" t="str">
        <f>IFERROR(IF(OR(LEFT(P198,5)="Error",LEFT(O198,5)="Error ▲"),"Check Data ⚠",IF(F198&lt;S198,'G-7 WaterC'' Data'!$R$3,INDEX('G-7 WaterC'' Data'!$U$5:$Y$9,MATCH(G198,'G-7 WaterC'' Data'!$T$5:$T$9,0),MATCH(T198,'G-7 WaterC'' Data'!$U$4:$Y$4,0)))),"")</f>
        <v/>
      </c>
      <c r="Z198" s="159"/>
      <c r="AA198" s="159"/>
      <c r="AB198" s="370" t="str">
        <f t="shared" si="19"/>
        <v/>
      </c>
      <c r="AC198" s="383" t="str">
        <f t="shared" si="20"/>
        <v/>
      </c>
      <c r="AD198" s="422" t="str">
        <f>IFERROR(IF(AC198="Check Data ⚠","Check Data ⚠",VLOOKUP(AC198,'G-4 Temporal multipliers'!$A$4:$C$37,3,FALSE)),"")</f>
        <v/>
      </c>
      <c r="AE198" s="362" t="str">
        <f>IF(N198="","",VLOOKUP(N198,'G-7 WaterC'' Data'!$B$4:$G$8,5,FALSE))</f>
        <v/>
      </c>
      <c r="AF198" s="370" t="str">
        <f t="shared" si="21"/>
        <v/>
      </c>
      <c r="AG198" s="401" t="str">
        <f t="shared" si="22"/>
        <v/>
      </c>
      <c r="AH198" s="363" t="str">
        <f t="shared" si="17"/>
        <v/>
      </c>
      <c r="AI198" s="122"/>
      <c r="AJ198" s="363" t="str">
        <f>IF(AI198="","",IF(VLOOKUP(AI198,'G-7 WaterC'' Data'!$AA$4:$AB$7,2,FALSE)=0,"Spatial Data Missing ⚠",VLOOKUP(AI198,'G-7 WaterC'' Data'!$AA$4:$AB$7,2,FALSE)))</f>
        <v/>
      </c>
      <c r="AK198" s="123"/>
      <c r="AL198" s="363" t="str">
        <f>IF(AK198="","",IF(VLOOKUP(AK198,'G-7 WaterC'' Data'!$AD$4:$AE$14,2,FALSE)=0,"Spatial Data Missing ⚠",VLOOKUP(AK198,'G-7 WaterC'' Data'!$AD$4:$AE$14,2,FALSE)))</f>
        <v/>
      </c>
      <c r="AM198" s="405" t="str">
        <f t="shared" si="23"/>
        <v/>
      </c>
      <c r="AN198" s="117"/>
      <c r="AO198" s="118"/>
      <c r="AP198" s="120"/>
      <c r="AV198" s="30" t="str">
        <f>IFERROR(INDEX('G-7 WaterC'' Data'!$AZ$3:$AZ$7,MATCH(N198,'G-7 WaterC'' Data'!$AY$3:$AY$7,0)),"")</f>
        <v/>
      </c>
    </row>
    <row r="199" spans="2:48" ht="15">
      <c r="B199" s="392" t="str">
        <f>'C-1 On-Site WaterC'' Baseline'!AO197</f>
        <v/>
      </c>
      <c r="C199" s="382" t="str">
        <f>IF(B199="","",VLOOKUP($B199,'C-1 On-Site WaterC'' Baseline'!$C$9:$R$257,2,FALSE))</f>
        <v/>
      </c>
      <c r="D199" s="382" t="str">
        <f>IF(C199="","",VLOOKUP($B199,'C-1 On-Site WaterC'' Baseline'!$C$9:$R$257,3,FALSE))</f>
        <v/>
      </c>
      <c r="E199" s="382" t="str">
        <f>IF(D199="","",VLOOKUP($B199,'C-1 On-Site WaterC'' Baseline'!$C$9:$R$257,4,FALSE))</f>
        <v/>
      </c>
      <c r="F199" s="382" t="str">
        <f>IF(E199="","",VLOOKUP($B199,'C-1 On-Site WaterC'' Baseline'!$C$9:$R$257,5,FALSE))</f>
        <v/>
      </c>
      <c r="G199" s="382" t="str">
        <f>IF(F199="","",VLOOKUP($B199,'C-1 On-Site WaterC'' Baseline'!$C$9:$R$257,6,FALSE))</f>
        <v/>
      </c>
      <c r="H199" s="382" t="str">
        <f>IF(G199="","",VLOOKUP($B199,'C-1 On-Site WaterC'' Baseline'!$C$9:$R$257,7,FALSE))</f>
        <v/>
      </c>
      <c r="I199" s="382" t="str">
        <f>IF(H199="","",VLOOKUP($B199,'C-1 On-Site WaterC'' Baseline'!$C$9:$R$257,8,FALSE))</f>
        <v/>
      </c>
      <c r="J199" s="382" t="str">
        <f>IF(I199="","",VLOOKUP($B199,'C-1 On-Site WaterC'' Baseline'!$C$9:$R$257,9,FALSE))</f>
        <v/>
      </c>
      <c r="K199" s="382" t="str">
        <f>IF(J199="","",VLOOKUP($B199,'C-1 On-Site WaterC'' Baseline'!$C$9:$R$257,10,FALSE))</f>
        <v/>
      </c>
      <c r="L199" s="382" t="str">
        <f>IF(B199="","",VLOOKUP($B199,'C-1 On-Site WaterC'' Baseline'!$C$9:$R$257,15,FALSE))</f>
        <v/>
      </c>
      <c r="M199" s="386" t="str">
        <f>IF(L199="","",VLOOKUP($B199,'C-1 On-Site WaterC'' Baseline'!$C$9:$R$257,16,FALSE))</f>
        <v/>
      </c>
      <c r="N199" s="320" t="str">
        <f t="shared" si="16"/>
        <v/>
      </c>
      <c r="O199" s="362" t="str">
        <f t="shared" si="18"/>
        <v/>
      </c>
      <c r="P199" s="363" t="str">
        <f>IF(C199="","",IF(AND(LEFT(C199,55)&lt;&gt;LEFT(N199,55),O199="High - High"),"Error - Not like for like ▲",IF(H199&gt;U199,"Error - Can not reduce condition ▲",IF(AND(F199=S199,H199=U199,AJ199='C-1 On-Site WaterC'' Baseline'!N197,'C-1 On-Site WaterC'' Baseline'!P197=AL199),"Error - No enhancement ▲",IF(AND(C199&lt;&gt;N199,F199&lt;S199),"Lower Distinctiveness Habitat"&amp;" - "&amp;T199,G199&amp;" - "&amp;T199)))))</f>
        <v/>
      </c>
      <c r="Q199" s="425" t="str">
        <f>IF(N199="","",VLOOKUP(B199,'C-1 On-Site WaterC'' Baseline'!$C$10:$AB$257,19,FALSE))</f>
        <v/>
      </c>
      <c r="R199" s="362" t="str">
        <f>IF(N199="","",VLOOKUP(N199,'G-7 WaterC'' Data'!$B$2:$G$8,2,FALSE))</f>
        <v/>
      </c>
      <c r="S199" s="363" t="str">
        <f>IFERROR(VLOOKUP(R199,'G-7 WaterC'' Data'!$C$4:$D$8,2,FALSE),"")</f>
        <v/>
      </c>
      <c r="T199" s="114"/>
      <c r="U199" s="363" t="str">
        <f>IFERROR(INDEX('G-7 WaterC'' Data'!$H$4:$L$8,MATCH(N199,'G-7 WaterC'' Data'!$B$4:$B$8,0),MATCH(T199,'G-7 WaterC'' Data'!$H$3:$L$3,0)),"")</f>
        <v/>
      </c>
      <c r="V199" s="114"/>
      <c r="W199" s="370" t="str">
        <f>IF(V199="","",IF(VLOOKUP(V199,'G-7 WaterC'' Data'!$AK$4:$AM$6,2,FALSE)=0,"Spatial Data Missing ⚠",VLOOKUP(V199,'G-7 WaterC'' Data'!$AK$4:$AM$6,2,FALSE)))</f>
        <v/>
      </c>
      <c r="X199" s="363" t="str">
        <f>IF(V199="","",IF(VLOOKUP(V199,'G-7 WaterC'' Data'!$AK$4:$AM$6,3,FALSE)=0,"Spatial Data Missing ⚠",VLOOKUP(V199,'G-7 WaterC'' Data'!$AK$4:$AM$6,3,FALSE)))</f>
        <v/>
      </c>
      <c r="Y199" s="362" t="str">
        <f>IFERROR(IF(OR(LEFT(P199,5)="Error",LEFT(O199,5)="Error ▲"),"Check Data ⚠",IF(F199&lt;S199,'G-7 WaterC'' Data'!$R$3,INDEX('G-7 WaterC'' Data'!$U$5:$Y$9,MATCH(G199,'G-7 WaterC'' Data'!$T$5:$T$9,0),MATCH(T199,'G-7 WaterC'' Data'!$U$4:$Y$4,0)))),"")</f>
        <v/>
      </c>
      <c r="Z199" s="159"/>
      <c r="AA199" s="159"/>
      <c r="AB199" s="370" t="str">
        <f t="shared" si="19"/>
        <v/>
      </c>
      <c r="AC199" s="383" t="str">
        <f t="shared" si="20"/>
        <v/>
      </c>
      <c r="AD199" s="422" t="str">
        <f>IFERROR(IF(AC199="Check Data ⚠","Check Data ⚠",VLOOKUP(AC199,'G-4 Temporal multipliers'!$A$4:$C$37,3,FALSE)),"")</f>
        <v/>
      </c>
      <c r="AE199" s="362" t="str">
        <f>IF(N199="","",VLOOKUP(N199,'G-7 WaterC'' Data'!$B$4:$G$8,5,FALSE))</f>
        <v/>
      </c>
      <c r="AF199" s="370" t="str">
        <f t="shared" si="21"/>
        <v/>
      </c>
      <c r="AG199" s="401" t="str">
        <f t="shared" si="22"/>
        <v/>
      </c>
      <c r="AH199" s="363" t="str">
        <f t="shared" si="17"/>
        <v/>
      </c>
      <c r="AI199" s="122"/>
      <c r="AJ199" s="363" t="str">
        <f>IF(AI199="","",IF(VLOOKUP(AI199,'G-7 WaterC'' Data'!$AA$4:$AB$7,2,FALSE)=0,"Spatial Data Missing ⚠",VLOOKUP(AI199,'G-7 WaterC'' Data'!$AA$4:$AB$7,2,FALSE)))</f>
        <v/>
      </c>
      <c r="AK199" s="123"/>
      <c r="AL199" s="363" t="str">
        <f>IF(AK199="","",IF(VLOOKUP(AK199,'G-7 WaterC'' Data'!$AD$4:$AE$14,2,FALSE)=0,"Spatial Data Missing ⚠",VLOOKUP(AK199,'G-7 WaterC'' Data'!$AD$4:$AE$14,2,FALSE)))</f>
        <v/>
      </c>
      <c r="AM199" s="405" t="str">
        <f t="shared" si="23"/>
        <v/>
      </c>
      <c r="AN199" s="117"/>
      <c r="AO199" s="118"/>
      <c r="AP199" s="120"/>
      <c r="AV199" s="30" t="str">
        <f>IFERROR(INDEX('G-7 WaterC'' Data'!$AZ$3:$AZ$7,MATCH(N199,'G-7 WaterC'' Data'!$AY$3:$AY$7,0)),"")</f>
        <v/>
      </c>
    </row>
    <row r="200" spans="2:48" ht="15">
      <c r="B200" s="392" t="str">
        <f>'C-1 On-Site WaterC'' Baseline'!AO198</f>
        <v/>
      </c>
      <c r="C200" s="382" t="str">
        <f>IF(B200="","",VLOOKUP($B200,'C-1 On-Site WaterC'' Baseline'!$C$9:$R$257,2,FALSE))</f>
        <v/>
      </c>
      <c r="D200" s="382" t="str">
        <f>IF(C200="","",VLOOKUP($B200,'C-1 On-Site WaterC'' Baseline'!$C$9:$R$257,3,FALSE))</f>
        <v/>
      </c>
      <c r="E200" s="382" t="str">
        <f>IF(D200="","",VLOOKUP($B200,'C-1 On-Site WaterC'' Baseline'!$C$9:$R$257,4,FALSE))</f>
        <v/>
      </c>
      <c r="F200" s="382" t="str">
        <f>IF(E200="","",VLOOKUP($B200,'C-1 On-Site WaterC'' Baseline'!$C$9:$R$257,5,FALSE))</f>
        <v/>
      </c>
      <c r="G200" s="382" t="str">
        <f>IF(F200="","",VLOOKUP($B200,'C-1 On-Site WaterC'' Baseline'!$C$9:$R$257,6,FALSE))</f>
        <v/>
      </c>
      <c r="H200" s="382" t="str">
        <f>IF(G200="","",VLOOKUP($B200,'C-1 On-Site WaterC'' Baseline'!$C$9:$R$257,7,FALSE))</f>
        <v/>
      </c>
      <c r="I200" s="382" t="str">
        <f>IF(H200="","",VLOOKUP($B200,'C-1 On-Site WaterC'' Baseline'!$C$9:$R$257,8,FALSE))</f>
        <v/>
      </c>
      <c r="J200" s="382" t="str">
        <f>IF(I200="","",VLOOKUP($B200,'C-1 On-Site WaterC'' Baseline'!$C$9:$R$257,9,FALSE))</f>
        <v/>
      </c>
      <c r="K200" s="382" t="str">
        <f>IF(J200="","",VLOOKUP($B200,'C-1 On-Site WaterC'' Baseline'!$C$9:$R$257,10,FALSE))</f>
        <v/>
      </c>
      <c r="L200" s="382" t="str">
        <f>IF(B200="","",VLOOKUP($B200,'C-1 On-Site WaterC'' Baseline'!$C$9:$R$257,15,FALSE))</f>
        <v/>
      </c>
      <c r="M200" s="386" t="str">
        <f>IF(L200="","",VLOOKUP($B200,'C-1 On-Site WaterC'' Baseline'!$C$9:$R$257,16,FALSE))</f>
        <v/>
      </c>
      <c r="N200" s="320" t="str">
        <f t="shared" si="16"/>
        <v/>
      </c>
      <c r="O200" s="362" t="str">
        <f t="shared" si="18"/>
        <v/>
      </c>
      <c r="P200" s="363" t="str">
        <f>IF(C200="","",IF(AND(LEFT(C200,55)&lt;&gt;LEFT(N200,55),O200="High - High"),"Error - Not like for like ▲",IF(H200&gt;U200,"Error - Can not reduce condition ▲",IF(AND(F200=S200,H200=U200,AJ200='C-1 On-Site WaterC'' Baseline'!N198,'C-1 On-Site WaterC'' Baseline'!P198=AL200),"Error - No enhancement ▲",IF(AND(C200&lt;&gt;N200,F200&lt;S200),"Lower Distinctiveness Habitat"&amp;" - "&amp;T200,G200&amp;" - "&amp;T200)))))</f>
        <v/>
      </c>
      <c r="Q200" s="425" t="str">
        <f>IF(N200="","",VLOOKUP(B200,'C-1 On-Site WaterC'' Baseline'!$C$10:$AB$257,19,FALSE))</f>
        <v/>
      </c>
      <c r="R200" s="362" t="str">
        <f>IF(N200="","",VLOOKUP(N200,'G-7 WaterC'' Data'!$B$2:$G$8,2,FALSE))</f>
        <v/>
      </c>
      <c r="S200" s="363" t="str">
        <f>IFERROR(VLOOKUP(R200,'G-7 WaterC'' Data'!$C$4:$D$8,2,FALSE),"")</f>
        <v/>
      </c>
      <c r="T200" s="114"/>
      <c r="U200" s="363" t="str">
        <f>IFERROR(INDEX('G-7 WaterC'' Data'!$H$4:$L$8,MATCH(N200,'G-7 WaterC'' Data'!$B$4:$B$8,0),MATCH(T200,'G-7 WaterC'' Data'!$H$3:$L$3,0)),"")</f>
        <v/>
      </c>
      <c r="V200" s="114"/>
      <c r="W200" s="370" t="str">
        <f>IF(V200="","",IF(VLOOKUP(V200,'G-7 WaterC'' Data'!$AK$4:$AM$6,2,FALSE)=0,"Spatial Data Missing ⚠",VLOOKUP(V200,'G-7 WaterC'' Data'!$AK$4:$AM$6,2,FALSE)))</f>
        <v/>
      </c>
      <c r="X200" s="363" t="str">
        <f>IF(V200="","",IF(VLOOKUP(V200,'G-7 WaterC'' Data'!$AK$4:$AM$6,3,FALSE)=0,"Spatial Data Missing ⚠",VLOOKUP(V200,'G-7 WaterC'' Data'!$AK$4:$AM$6,3,FALSE)))</f>
        <v/>
      </c>
      <c r="Y200" s="362" t="str">
        <f>IFERROR(IF(OR(LEFT(P200,5)="Error",LEFT(O200,5)="Error ▲"),"Check Data ⚠",IF(F200&lt;S200,'G-7 WaterC'' Data'!$R$3,INDEX('G-7 WaterC'' Data'!$U$5:$Y$9,MATCH(G200,'G-7 WaterC'' Data'!$T$5:$T$9,0),MATCH(T200,'G-7 WaterC'' Data'!$U$4:$Y$4,0)))),"")</f>
        <v/>
      </c>
      <c r="Z200" s="159"/>
      <c r="AA200" s="159"/>
      <c r="AB200" s="370" t="str">
        <f t="shared" si="19"/>
        <v/>
      </c>
      <c r="AC200" s="383" t="str">
        <f t="shared" si="20"/>
        <v/>
      </c>
      <c r="AD200" s="422" t="str">
        <f>IFERROR(IF(AC200="Check Data ⚠","Check Data ⚠",VLOOKUP(AC200,'G-4 Temporal multipliers'!$A$4:$C$37,3,FALSE)),"")</f>
        <v/>
      </c>
      <c r="AE200" s="362" t="str">
        <f>IF(N200="","",VLOOKUP(N200,'G-7 WaterC'' Data'!$B$4:$G$8,5,FALSE))</f>
        <v/>
      </c>
      <c r="AF200" s="370" t="str">
        <f t="shared" si="21"/>
        <v/>
      </c>
      <c r="AG200" s="401" t="str">
        <f t="shared" si="22"/>
        <v/>
      </c>
      <c r="AH200" s="363" t="str">
        <f t="shared" si="17"/>
        <v/>
      </c>
      <c r="AI200" s="122"/>
      <c r="AJ200" s="363" t="str">
        <f>IF(AI200="","",IF(VLOOKUP(AI200,'G-7 WaterC'' Data'!$AA$4:$AB$7,2,FALSE)=0,"Spatial Data Missing ⚠",VLOOKUP(AI200,'G-7 WaterC'' Data'!$AA$4:$AB$7,2,FALSE)))</f>
        <v/>
      </c>
      <c r="AK200" s="123"/>
      <c r="AL200" s="363" t="str">
        <f>IF(AK200="","",IF(VLOOKUP(AK200,'G-7 WaterC'' Data'!$AD$4:$AE$14,2,FALSE)=0,"Spatial Data Missing ⚠",VLOOKUP(AK200,'G-7 WaterC'' Data'!$AD$4:$AE$14,2,FALSE)))</f>
        <v/>
      </c>
      <c r="AM200" s="405" t="str">
        <f t="shared" si="23"/>
        <v/>
      </c>
      <c r="AN200" s="117"/>
      <c r="AO200" s="118"/>
      <c r="AP200" s="120"/>
      <c r="AV200" s="30" t="str">
        <f>IFERROR(INDEX('G-7 WaterC'' Data'!$AZ$3:$AZ$7,MATCH(N200,'G-7 WaterC'' Data'!$AY$3:$AY$7,0)),"")</f>
        <v/>
      </c>
    </row>
    <row r="201" spans="2:48" ht="15">
      <c r="B201" s="392" t="str">
        <f>'C-1 On-Site WaterC'' Baseline'!AO199</f>
        <v/>
      </c>
      <c r="C201" s="382" t="str">
        <f>IF(B201="","",VLOOKUP($B201,'C-1 On-Site WaterC'' Baseline'!$C$9:$R$257,2,FALSE))</f>
        <v/>
      </c>
      <c r="D201" s="382" t="str">
        <f>IF(C201="","",VLOOKUP($B201,'C-1 On-Site WaterC'' Baseline'!$C$9:$R$257,3,FALSE))</f>
        <v/>
      </c>
      <c r="E201" s="382" t="str">
        <f>IF(D201="","",VLOOKUP($B201,'C-1 On-Site WaterC'' Baseline'!$C$9:$R$257,4,FALSE))</f>
        <v/>
      </c>
      <c r="F201" s="382" t="str">
        <f>IF(E201="","",VLOOKUP($B201,'C-1 On-Site WaterC'' Baseline'!$C$9:$R$257,5,FALSE))</f>
        <v/>
      </c>
      <c r="G201" s="382" t="str">
        <f>IF(F201="","",VLOOKUP($B201,'C-1 On-Site WaterC'' Baseline'!$C$9:$R$257,6,FALSE))</f>
        <v/>
      </c>
      <c r="H201" s="382" t="str">
        <f>IF(G201="","",VLOOKUP($B201,'C-1 On-Site WaterC'' Baseline'!$C$9:$R$257,7,FALSE))</f>
        <v/>
      </c>
      <c r="I201" s="382" t="str">
        <f>IF(H201="","",VLOOKUP($B201,'C-1 On-Site WaterC'' Baseline'!$C$9:$R$257,8,FALSE))</f>
        <v/>
      </c>
      <c r="J201" s="382" t="str">
        <f>IF(I201="","",VLOOKUP($B201,'C-1 On-Site WaterC'' Baseline'!$C$9:$R$257,9,FALSE))</f>
        <v/>
      </c>
      <c r="K201" s="382" t="str">
        <f>IF(J201="","",VLOOKUP($B201,'C-1 On-Site WaterC'' Baseline'!$C$9:$R$257,10,FALSE))</f>
        <v/>
      </c>
      <c r="L201" s="382" t="str">
        <f>IF(B201="","",VLOOKUP($B201,'C-1 On-Site WaterC'' Baseline'!$C$9:$R$257,15,FALSE))</f>
        <v/>
      </c>
      <c r="M201" s="386" t="str">
        <f>IF(L201="","",VLOOKUP($B201,'C-1 On-Site WaterC'' Baseline'!$C$9:$R$257,16,FALSE))</f>
        <v/>
      </c>
      <c r="N201" s="320" t="str">
        <f t="shared" si="16"/>
        <v/>
      </c>
      <c r="O201" s="362" t="str">
        <f t="shared" si="18"/>
        <v/>
      </c>
      <c r="P201" s="363" t="str">
        <f>IF(C201="","",IF(AND(LEFT(C201,55)&lt;&gt;LEFT(N201,55),O201="High - High"),"Error - Not like for like ▲",IF(H201&gt;U201,"Error - Can not reduce condition ▲",IF(AND(F201=S201,H201=U201,AJ201='C-1 On-Site WaterC'' Baseline'!N199,'C-1 On-Site WaterC'' Baseline'!P199=AL201),"Error - No enhancement ▲",IF(AND(C201&lt;&gt;N201,F201&lt;S201),"Lower Distinctiveness Habitat"&amp;" - "&amp;T201,G201&amp;" - "&amp;T201)))))</f>
        <v/>
      </c>
      <c r="Q201" s="425" t="str">
        <f>IF(N201="","",VLOOKUP(B201,'C-1 On-Site WaterC'' Baseline'!$C$10:$AB$257,19,FALSE))</f>
        <v/>
      </c>
      <c r="R201" s="362" t="str">
        <f>IF(N201="","",VLOOKUP(N201,'G-7 WaterC'' Data'!$B$2:$G$8,2,FALSE))</f>
        <v/>
      </c>
      <c r="S201" s="363" t="str">
        <f>IFERROR(VLOOKUP(R201,'G-7 WaterC'' Data'!$C$4:$D$8,2,FALSE),"")</f>
        <v/>
      </c>
      <c r="T201" s="114"/>
      <c r="U201" s="363" t="str">
        <f>IFERROR(INDEX('G-7 WaterC'' Data'!$H$4:$L$8,MATCH(N201,'G-7 WaterC'' Data'!$B$4:$B$8,0),MATCH(T201,'G-7 WaterC'' Data'!$H$3:$L$3,0)),"")</f>
        <v/>
      </c>
      <c r="V201" s="114"/>
      <c r="W201" s="370" t="str">
        <f>IF(V201="","",IF(VLOOKUP(V201,'G-7 WaterC'' Data'!$AK$4:$AM$6,2,FALSE)=0,"Spatial Data Missing ⚠",VLOOKUP(V201,'G-7 WaterC'' Data'!$AK$4:$AM$6,2,FALSE)))</f>
        <v/>
      </c>
      <c r="X201" s="363" t="str">
        <f>IF(V201="","",IF(VLOOKUP(V201,'G-7 WaterC'' Data'!$AK$4:$AM$6,3,FALSE)=0,"Spatial Data Missing ⚠",VLOOKUP(V201,'G-7 WaterC'' Data'!$AK$4:$AM$6,3,FALSE)))</f>
        <v/>
      </c>
      <c r="Y201" s="362" t="str">
        <f>IFERROR(IF(OR(LEFT(P201,5)="Error",LEFT(O201,5)="Error ▲"),"Check Data ⚠",IF(F201&lt;S201,'G-7 WaterC'' Data'!$R$3,INDEX('G-7 WaterC'' Data'!$U$5:$Y$9,MATCH(G201,'G-7 WaterC'' Data'!$T$5:$T$9,0),MATCH(T201,'G-7 WaterC'' Data'!$U$4:$Y$4,0)))),"")</f>
        <v/>
      </c>
      <c r="Z201" s="159"/>
      <c r="AA201" s="159"/>
      <c r="AB201" s="370" t="str">
        <f t="shared" si="19"/>
        <v/>
      </c>
      <c r="AC201" s="383" t="str">
        <f t="shared" si="20"/>
        <v/>
      </c>
      <c r="AD201" s="422" t="str">
        <f>IFERROR(IF(AC201="Check Data ⚠","Check Data ⚠",VLOOKUP(AC201,'G-4 Temporal multipliers'!$A$4:$C$37,3,FALSE)),"")</f>
        <v/>
      </c>
      <c r="AE201" s="362" t="str">
        <f>IF(N201="","",VLOOKUP(N201,'G-7 WaterC'' Data'!$B$4:$G$8,5,FALSE))</f>
        <v/>
      </c>
      <c r="AF201" s="370" t="str">
        <f t="shared" si="21"/>
        <v/>
      </c>
      <c r="AG201" s="401" t="str">
        <f t="shared" si="22"/>
        <v/>
      </c>
      <c r="AH201" s="363" t="str">
        <f t="shared" si="17"/>
        <v/>
      </c>
      <c r="AI201" s="122"/>
      <c r="AJ201" s="363" t="str">
        <f>IF(AI201="","",IF(VLOOKUP(AI201,'G-7 WaterC'' Data'!$AA$4:$AB$7,2,FALSE)=0,"Spatial Data Missing ⚠",VLOOKUP(AI201,'G-7 WaterC'' Data'!$AA$4:$AB$7,2,FALSE)))</f>
        <v/>
      </c>
      <c r="AK201" s="123"/>
      <c r="AL201" s="363" t="str">
        <f>IF(AK201="","",IF(VLOOKUP(AK201,'G-7 WaterC'' Data'!$AD$4:$AE$14,2,FALSE)=0,"Spatial Data Missing ⚠",VLOOKUP(AK201,'G-7 WaterC'' Data'!$AD$4:$AE$14,2,FALSE)))</f>
        <v/>
      </c>
      <c r="AM201" s="405" t="str">
        <f t="shared" si="23"/>
        <v/>
      </c>
      <c r="AN201" s="117"/>
      <c r="AO201" s="118"/>
      <c r="AP201" s="120"/>
      <c r="AV201" s="30" t="str">
        <f>IFERROR(INDEX('G-7 WaterC'' Data'!$AZ$3:$AZ$7,MATCH(N201,'G-7 WaterC'' Data'!$AY$3:$AY$7,0)),"")</f>
        <v/>
      </c>
    </row>
    <row r="202" spans="2:48" ht="15">
      <c r="B202" s="392" t="str">
        <f>'C-1 On-Site WaterC'' Baseline'!AO200</f>
        <v/>
      </c>
      <c r="C202" s="382" t="str">
        <f>IF(B202="","",VLOOKUP($B202,'C-1 On-Site WaterC'' Baseline'!$C$9:$R$257,2,FALSE))</f>
        <v/>
      </c>
      <c r="D202" s="382" t="str">
        <f>IF(C202="","",VLOOKUP($B202,'C-1 On-Site WaterC'' Baseline'!$C$9:$R$257,3,FALSE))</f>
        <v/>
      </c>
      <c r="E202" s="382" t="str">
        <f>IF(D202="","",VLOOKUP($B202,'C-1 On-Site WaterC'' Baseline'!$C$9:$R$257,4,FALSE))</f>
        <v/>
      </c>
      <c r="F202" s="382" t="str">
        <f>IF(E202="","",VLOOKUP($B202,'C-1 On-Site WaterC'' Baseline'!$C$9:$R$257,5,FALSE))</f>
        <v/>
      </c>
      <c r="G202" s="382" t="str">
        <f>IF(F202="","",VLOOKUP($B202,'C-1 On-Site WaterC'' Baseline'!$C$9:$R$257,6,FALSE))</f>
        <v/>
      </c>
      <c r="H202" s="382" t="str">
        <f>IF(G202="","",VLOOKUP($B202,'C-1 On-Site WaterC'' Baseline'!$C$9:$R$257,7,FALSE))</f>
        <v/>
      </c>
      <c r="I202" s="382" t="str">
        <f>IF(H202="","",VLOOKUP($B202,'C-1 On-Site WaterC'' Baseline'!$C$9:$R$257,8,FALSE))</f>
        <v/>
      </c>
      <c r="J202" s="382" t="str">
        <f>IF(I202="","",VLOOKUP($B202,'C-1 On-Site WaterC'' Baseline'!$C$9:$R$257,9,FALSE))</f>
        <v/>
      </c>
      <c r="K202" s="382" t="str">
        <f>IF(J202="","",VLOOKUP($B202,'C-1 On-Site WaterC'' Baseline'!$C$9:$R$257,10,FALSE))</f>
        <v/>
      </c>
      <c r="L202" s="382" t="str">
        <f>IF(B202="","",VLOOKUP($B202,'C-1 On-Site WaterC'' Baseline'!$C$9:$R$257,15,FALSE))</f>
        <v/>
      </c>
      <c r="M202" s="386" t="str">
        <f>IF(L202="","",VLOOKUP($B202,'C-1 On-Site WaterC'' Baseline'!$C$9:$R$257,16,FALSE))</f>
        <v/>
      </c>
      <c r="N202" s="320" t="str">
        <f t="shared" si="16"/>
        <v/>
      </c>
      <c r="O202" s="362" t="str">
        <f t="shared" si="18"/>
        <v/>
      </c>
      <c r="P202" s="363" t="str">
        <f>IF(C202="","",IF(AND(LEFT(C202,55)&lt;&gt;LEFT(N202,55),O202="High - High"),"Error - Not like for like ▲",IF(H202&gt;U202,"Error - Can not reduce condition ▲",IF(AND(F202=S202,H202=U202,AJ202='C-1 On-Site WaterC'' Baseline'!N200,'C-1 On-Site WaterC'' Baseline'!P200=AL202),"Error - No enhancement ▲",IF(AND(C202&lt;&gt;N202,F202&lt;S202),"Lower Distinctiveness Habitat"&amp;" - "&amp;T202,G202&amp;" - "&amp;T202)))))</f>
        <v/>
      </c>
      <c r="Q202" s="425" t="str">
        <f>IF(N202="","",VLOOKUP(B202,'C-1 On-Site WaterC'' Baseline'!$C$10:$AB$257,19,FALSE))</f>
        <v/>
      </c>
      <c r="R202" s="362" t="str">
        <f>IF(N202="","",VLOOKUP(N202,'G-7 WaterC'' Data'!$B$2:$G$8,2,FALSE))</f>
        <v/>
      </c>
      <c r="S202" s="363" t="str">
        <f>IFERROR(VLOOKUP(R202,'G-7 WaterC'' Data'!$C$4:$D$8,2,FALSE),"")</f>
        <v/>
      </c>
      <c r="T202" s="114"/>
      <c r="U202" s="363" t="str">
        <f>IFERROR(INDEX('G-7 WaterC'' Data'!$H$4:$L$8,MATCH(N202,'G-7 WaterC'' Data'!$B$4:$B$8,0),MATCH(T202,'G-7 WaterC'' Data'!$H$3:$L$3,0)),"")</f>
        <v/>
      </c>
      <c r="V202" s="114"/>
      <c r="W202" s="370" t="str">
        <f>IF(V202="","",IF(VLOOKUP(V202,'G-7 WaterC'' Data'!$AK$4:$AM$6,2,FALSE)=0,"Spatial Data Missing ⚠",VLOOKUP(V202,'G-7 WaterC'' Data'!$AK$4:$AM$6,2,FALSE)))</f>
        <v/>
      </c>
      <c r="X202" s="363" t="str">
        <f>IF(V202="","",IF(VLOOKUP(V202,'G-7 WaterC'' Data'!$AK$4:$AM$6,3,FALSE)=0,"Spatial Data Missing ⚠",VLOOKUP(V202,'G-7 WaterC'' Data'!$AK$4:$AM$6,3,FALSE)))</f>
        <v/>
      </c>
      <c r="Y202" s="362" t="str">
        <f>IFERROR(IF(OR(LEFT(P202,5)="Error",LEFT(O202,5)="Error ▲"),"Check Data ⚠",IF(F202&lt;S202,'G-7 WaterC'' Data'!$R$3,INDEX('G-7 WaterC'' Data'!$U$5:$Y$9,MATCH(G202,'G-7 WaterC'' Data'!$T$5:$T$9,0),MATCH(T202,'G-7 WaterC'' Data'!$U$4:$Y$4,0)))),"")</f>
        <v/>
      </c>
      <c r="Z202" s="159"/>
      <c r="AA202" s="159"/>
      <c r="AB202" s="370" t="str">
        <f t="shared" si="19"/>
        <v/>
      </c>
      <c r="AC202" s="383" t="str">
        <f t="shared" si="20"/>
        <v/>
      </c>
      <c r="AD202" s="422" t="str">
        <f>IFERROR(IF(AC202="Check Data ⚠","Check Data ⚠",VLOOKUP(AC202,'G-4 Temporal multipliers'!$A$4:$C$37,3,FALSE)),"")</f>
        <v/>
      </c>
      <c r="AE202" s="362" t="str">
        <f>IF(N202="","",VLOOKUP(N202,'G-7 WaterC'' Data'!$B$4:$G$8,5,FALSE))</f>
        <v/>
      </c>
      <c r="AF202" s="370" t="str">
        <f t="shared" si="21"/>
        <v/>
      </c>
      <c r="AG202" s="401" t="str">
        <f t="shared" si="22"/>
        <v/>
      </c>
      <c r="AH202" s="363" t="str">
        <f t="shared" si="17"/>
        <v/>
      </c>
      <c r="AI202" s="122"/>
      <c r="AJ202" s="363" t="str">
        <f>IF(AI202="","",IF(VLOOKUP(AI202,'G-7 WaterC'' Data'!$AA$4:$AB$7,2,FALSE)=0,"Spatial Data Missing ⚠",VLOOKUP(AI202,'G-7 WaterC'' Data'!$AA$4:$AB$7,2,FALSE)))</f>
        <v/>
      </c>
      <c r="AK202" s="123"/>
      <c r="AL202" s="363" t="str">
        <f>IF(AK202="","",IF(VLOOKUP(AK202,'G-7 WaterC'' Data'!$AD$4:$AE$14,2,FALSE)=0,"Spatial Data Missing ⚠",VLOOKUP(AK202,'G-7 WaterC'' Data'!$AD$4:$AE$14,2,FALSE)))</f>
        <v/>
      </c>
      <c r="AM202" s="405" t="str">
        <f t="shared" si="23"/>
        <v/>
      </c>
      <c r="AN202" s="117"/>
      <c r="AO202" s="118"/>
      <c r="AP202" s="120"/>
      <c r="AV202" s="30" t="str">
        <f>IFERROR(INDEX('G-7 WaterC'' Data'!$AZ$3:$AZ$7,MATCH(N202,'G-7 WaterC'' Data'!$AY$3:$AY$7,0)),"")</f>
        <v/>
      </c>
    </row>
    <row r="203" spans="2:48" ht="15">
      <c r="B203" s="392" t="str">
        <f>'C-1 On-Site WaterC'' Baseline'!AO201</f>
        <v/>
      </c>
      <c r="C203" s="382" t="str">
        <f>IF(B203="","",VLOOKUP($B203,'C-1 On-Site WaterC'' Baseline'!$C$9:$R$257,2,FALSE))</f>
        <v/>
      </c>
      <c r="D203" s="382" t="str">
        <f>IF(C203="","",VLOOKUP($B203,'C-1 On-Site WaterC'' Baseline'!$C$9:$R$257,3,FALSE))</f>
        <v/>
      </c>
      <c r="E203" s="382" t="str">
        <f>IF(D203="","",VLOOKUP($B203,'C-1 On-Site WaterC'' Baseline'!$C$9:$R$257,4,FALSE))</f>
        <v/>
      </c>
      <c r="F203" s="382" t="str">
        <f>IF(E203="","",VLOOKUP($B203,'C-1 On-Site WaterC'' Baseline'!$C$9:$R$257,5,FALSE))</f>
        <v/>
      </c>
      <c r="G203" s="382" t="str">
        <f>IF(F203="","",VLOOKUP($B203,'C-1 On-Site WaterC'' Baseline'!$C$9:$R$257,6,FALSE))</f>
        <v/>
      </c>
      <c r="H203" s="382" t="str">
        <f>IF(G203="","",VLOOKUP($B203,'C-1 On-Site WaterC'' Baseline'!$C$9:$R$257,7,FALSE))</f>
        <v/>
      </c>
      <c r="I203" s="382" t="str">
        <f>IF(H203="","",VLOOKUP($B203,'C-1 On-Site WaterC'' Baseline'!$C$9:$R$257,8,FALSE))</f>
        <v/>
      </c>
      <c r="J203" s="382" t="str">
        <f>IF(I203="","",VLOOKUP($B203,'C-1 On-Site WaterC'' Baseline'!$C$9:$R$257,9,FALSE))</f>
        <v/>
      </c>
      <c r="K203" s="382" t="str">
        <f>IF(J203="","",VLOOKUP($B203,'C-1 On-Site WaterC'' Baseline'!$C$9:$R$257,10,FALSE))</f>
        <v/>
      </c>
      <c r="L203" s="382" t="str">
        <f>IF(B203="","",VLOOKUP($B203,'C-1 On-Site WaterC'' Baseline'!$C$9:$R$257,15,FALSE))</f>
        <v/>
      </c>
      <c r="M203" s="386" t="str">
        <f>IF(L203="","",VLOOKUP($B203,'C-1 On-Site WaterC'' Baseline'!$C$9:$R$257,16,FALSE))</f>
        <v/>
      </c>
      <c r="N203" s="320" t="str">
        <f t="shared" si="16"/>
        <v/>
      </c>
      <c r="O203" s="362" t="str">
        <f t="shared" si="18"/>
        <v/>
      </c>
      <c r="P203" s="363" t="str">
        <f>IF(C203="","",IF(AND(LEFT(C203,55)&lt;&gt;LEFT(N203,55),O203="High - High"),"Error - Not like for like ▲",IF(H203&gt;U203,"Error - Can not reduce condition ▲",IF(AND(F203=S203,H203=U203,AJ203='C-1 On-Site WaterC'' Baseline'!N201,'C-1 On-Site WaterC'' Baseline'!P201=AL203),"Error - No enhancement ▲",IF(AND(C203&lt;&gt;N203,F203&lt;S203),"Lower Distinctiveness Habitat"&amp;" - "&amp;T203,G203&amp;" - "&amp;T203)))))</f>
        <v/>
      </c>
      <c r="Q203" s="425" t="str">
        <f>IF(N203="","",VLOOKUP(B203,'C-1 On-Site WaterC'' Baseline'!$C$10:$AB$257,19,FALSE))</f>
        <v/>
      </c>
      <c r="R203" s="362" t="str">
        <f>IF(N203="","",VLOOKUP(N203,'G-7 WaterC'' Data'!$B$2:$G$8,2,FALSE))</f>
        <v/>
      </c>
      <c r="S203" s="363" t="str">
        <f>IFERROR(VLOOKUP(R203,'G-7 WaterC'' Data'!$C$4:$D$8,2,FALSE),"")</f>
        <v/>
      </c>
      <c r="T203" s="114"/>
      <c r="U203" s="363" t="str">
        <f>IFERROR(INDEX('G-7 WaterC'' Data'!$H$4:$L$8,MATCH(N203,'G-7 WaterC'' Data'!$B$4:$B$8,0),MATCH(T203,'G-7 WaterC'' Data'!$H$3:$L$3,0)),"")</f>
        <v/>
      </c>
      <c r="V203" s="114"/>
      <c r="W203" s="370" t="str">
        <f>IF(V203="","",IF(VLOOKUP(V203,'G-7 WaterC'' Data'!$AK$4:$AM$6,2,FALSE)=0,"Spatial Data Missing ⚠",VLOOKUP(V203,'G-7 WaterC'' Data'!$AK$4:$AM$6,2,FALSE)))</f>
        <v/>
      </c>
      <c r="X203" s="363" t="str">
        <f>IF(V203="","",IF(VLOOKUP(V203,'G-7 WaterC'' Data'!$AK$4:$AM$6,3,FALSE)=0,"Spatial Data Missing ⚠",VLOOKUP(V203,'G-7 WaterC'' Data'!$AK$4:$AM$6,3,FALSE)))</f>
        <v/>
      </c>
      <c r="Y203" s="362" t="str">
        <f>IFERROR(IF(OR(LEFT(P203,5)="Error",LEFT(O203,5)="Error ▲"),"Check Data ⚠",IF(F203&lt;S203,'G-7 WaterC'' Data'!$R$3,INDEX('G-7 WaterC'' Data'!$U$5:$Y$9,MATCH(G203,'G-7 WaterC'' Data'!$T$5:$T$9,0),MATCH(T203,'G-7 WaterC'' Data'!$U$4:$Y$4,0)))),"")</f>
        <v/>
      </c>
      <c r="Z203" s="159"/>
      <c r="AA203" s="159"/>
      <c r="AB203" s="370" t="str">
        <f t="shared" si="19"/>
        <v/>
      </c>
      <c r="AC203" s="383" t="str">
        <f t="shared" si="20"/>
        <v/>
      </c>
      <c r="AD203" s="422" t="str">
        <f>IFERROR(IF(AC203="Check Data ⚠","Check Data ⚠",VLOOKUP(AC203,'G-4 Temporal multipliers'!$A$4:$C$37,3,FALSE)),"")</f>
        <v/>
      </c>
      <c r="AE203" s="362" t="str">
        <f>IF(N203="","",VLOOKUP(N203,'G-7 WaterC'' Data'!$B$4:$G$8,5,FALSE))</f>
        <v/>
      </c>
      <c r="AF203" s="370" t="str">
        <f t="shared" si="21"/>
        <v/>
      </c>
      <c r="AG203" s="401" t="str">
        <f t="shared" si="22"/>
        <v/>
      </c>
      <c r="AH203" s="363" t="str">
        <f t="shared" si="17"/>
        <v/>
      </c>
      <c r="AI203" s="122"/>
      <c r="AJ203" s="363" t="str">
        <f>IF(AI203="","",IF(VLOOKUP(AI203,'G-7 WaterC'' Data'!$AA$4:$AB$7,2,FALSE)=0,"Spatial Data Missing ⚠",VLOOKUP(AI203,'G-7 WaterC'' Data'!$AA$4:$AB$7,2,FALSE)))</f>
        <v/>
      </c>
      <c r="AK203" s="123"/>
      <c r="AL203" s="363" t="str">
        <f>IF(AK203="","",IF(VLOOKUP(AK203,'G-7 WaterC'' Data'!$AD$4:$AE$14,2,FALSE)=0,"Spatial Data Missing ⚠",VLOOKUP(AK203,'G-7 WaterC'' Data'!$AD$4:$AE$14,2,FALSE)))</f>
        <v/>
      </c>
      <c r="AM203" s="405" t="str">
        <f t="shared" si="23"/>
        <v/>
      </c>
      <c r="AN203" s="117"/>
      <c r="AO203" s="118"/>
      <c r="AP203" s="120"/>
      <c r="AV203" s="30" t="str">
        <f>IFERROR(INDEX('G-7 WaterC'' Data'!$AZ$3:$AZ$7,MATCH(N203,'G-7 WaterC'' Data'!$AY$3:$AY$7,0)),"")</f>
        <v/>
      </c>
    </row>
    <row r="204" spans="2:48" ht="15">
      <c r="B204" s="392" t="str">
        <f>'C-1 On-Site WaterC'' Baseline'!AO202</f>
        <v/>
      </c>
      <c r="C204" s="382" t="str">
        <f>IF(B204="","",VLOOKUP($B204,'C-1 On-Site WaterC'' Baseline'!$C$9:$R$257,2,FALSE))</f>
        <v/>
      </c>
      <c r="D204" s="382" t="str">
        <f>IF(C204="","",VLOOKUP($B204,'C-1 On-Site WaterC'' Baseline'!$C$9:$R$257,3,FALSE))</f>
        <v/>
      </c>
      <c r="E204" s="382" t="str">
        <f>IF(D204="","",VLOOKUP($B204,'C-1 On-Site WaterC'' Baseline'!$C$9:$R$257,4,FALSE))</f>
        <v/>
      </c>
      <c r="F204" s="382" t="str">
        <f>IF(E204="","",VLOOKUP($B204,'C-1 On-Site WaterC'' Baseline'!$C$9:$R$257,5,FALSE))</f>
        <v/>
      </c>
      <c r="G204" s="382" t="str">
        <f>IF(F204="","",VLOOKUP($B204,'C-1 On-Site WaterC'' Baseline'!$C$9:$R$257,6,FALSE))</f>
        <v/>
      </c>
      <c r="H204" s="382" t="str">
        <f>IF(G204="","",VLOOKUP($B204,'C-1 On-Site WaterC'' Baseline'!$C$9:$R$257,7,FALSE))</f>
        <v/>
      </c>
      <c r="I204" s="382" t="str">
        <f>IF(H204="","",VLOOKUP($B204,'C-1 On-Site WaterC'' Baseline'!$C$9:$R$257,8,FALSE))</f>
        <v/>
      </c>
      <c r="J204" s="382" t="str">
        <f>IF(I204="","",VLOOKUP($B204,'C-1 On-Site WaterC'' Baseline'!$C$9:$R$257,9,FALSE))</f>
        <v/>
      </c>
      <c r="K204" s="382" t="str">
        <f>IF(J204="","",VLOOKUP($B204,'C-1 On-Site WaterC'' Baseline'!$C$9:$R$257,10,FALSE))</f>
        <v/>
      </c>
      <c r="L204" s="382" t="str">
        <f>IF(B204="","",VLOOKUP($B204,'C-1 On-Site WaterC'' Baseline'!$C$9:$R$257,15,FALSE))</f>
        <v/>
      </c>
      <c r="M204" s="386" t="str">
        <f>IF(L204="","",VLOOKUP($B204,'C-1 On-Site WaterC'' Baseline'!$C$9:$R$257,16,FALSE))</f>
        <v/>
      </c>
      <c r="N204" s="320" t="str">
        <f t="shared" ref="N204:N257" si="24">C204</f>
        <v/>
      </c>
      <c r="O204" s="362" t="str">
        <f t="shared" si="18"/>
        <v/>
      </c>
      <c r="P204" s="363" t="str">
        <f>IF(C204="","",IF(AND(LEFT(C204,55)&lt;&gt;LEFT(N204,55),O204="High - High"),"Error - Not like for like ▲",IF(H204&gt;U204,"Error - Can not reduce condition ▲",IF(AND(F204=S204,H204=U204,AJ204='C-1 On-Site WaterC'' Baseline'!N202,'C-1 On-Site WaterC'' Baseline'!P202=AL204),"Error - No enhancement ▲",IF(AND(C204&lt;&gt;N204,F204&lt;S204),"Lower Distinctiveness Habitat"&amp;" - "&amp;T204,G204&amp;" - "&amp;T204)))))</f>
        <v/>
      </c>
      <c r="Q204" s="425" t="str">
        <f>IF(N204="","",VLOOKUP(B204,'C-1 On-Site WaterC'' Baseline'!$C$10:$AB$257,19,FALSE))</f>
        <v/>
      </c>
      <c r="R204" s="362" t="str">
        <f>IF(N204="","",VLOOKUP(N204,'G-7 WaterC'' Data'!$B$2:$G$8,2,FALSE))</f>
        <v/>
      </c>
      <c r="S204" s="363" t="str">
        <f>IFERROR(VLOOKUP(R204,'G-7 WaterC'' Data'!$C$4:$D$8,2,FALSE),"")</f>
        <v/>
      </c>
      <c r="T204" s="114"/>
      <c r="U204" s="363" t="str">
        <f>IFERROR(INDEX('G-7 WaterC'' Data'!$H$4:$L$8,MATCH(N204,'G-7 WaterC'' Data'!$B$4:$B$8,0),MATCH(T204,'G-7 WaterC'' Data'!$H$3:$L$3,0)),"")</f>
        <v/>
      </c>
      <c r="V204" s="114"/>
      <c r="W204" s="370" t="str">
        <f>IF(V204="","",IF(VLOOKUP(V204,'G-7 WaterC'' Data'!$AK$4:$AM$6,2,FALSE)=0,"Spatial Data Missing ⚠",VLOOKUP(V204,'G-7 WaterC'' Data'!$AK$4:$AM$6,2,FALSE)))</f>
        <v/>
      </c>
      <c r="X204" s="363" t="str">
        <f>IF(V204="","",IF(VLOOKUP(V204,'G-7 WaterC'' Data'!$AK$4:$AM$6,3,FALSE)=0,"Spatial Data Missing ⚠",VLOOKUP(V204,'G-7 WaterC'' Data'!$AK$4:$AM$6,3,FALSE)))</f>
        <v/>
      </c>
      <c r="Y204" s="362" t="str">
        <f>IFERROR(IF(OR(LEFT(P204,5)="Error",LEFT(O204,5)="Error ▲"),"Check Data ⚠",IF(F204&lt;S204,'G-7 WaterC'' Data'!$R$3,INDEX('G-7 WaterC'' Data'!$U$5:$Y$9,MATCH(G204,'G-7 WaterC'' Data'!$T$5:$T$9,0),MATCH(T204,'G-7 WaterC'' Data'!$U$4:$Y$4,0)))),"")</f>
        <v/>
      </c>
      <c r="Z204" s="159"/>
      <c r="AA204" s="159"/>
      <c r="AB204" s="370" t="str">
        <f t="shared" si="19"/>
        <v/>
      </c>
      <c r="AC204" s="383" t="str">
        <f t="shared" si="20"/>
        <v/>
      </c>
      <c r="AD204" s="422" t="str">
        <f>IFERROR(IF(AC204="Check Data ⚠","Check Data ⚠",VLOOKUP(AC204,'G-4 Temporal multipliers'!$A$4:$C$37,3,FALSE)),"")</f>
        <v/>
      </c>
      <c r="AE204" s="362" t="str">
        <f>IF(N204="","",VLOOKUP(N204,'G-7 WaterC'' Data'!$B$4:$G$8,5,FALSE))</f>
        <v/>
      </c>
      <c r="AF204" s="370" t="str">
        <f t="shared" si="21"/>
        <v/>
      </c>
      <c r="AG204" s="401" t="str">
        <f t="shared" si="22"/>
        <v/>
      </c>
      <c r="AH204" s="363" t="str">
        <f t="shared" ref="AH204:AH257" si="25">IF(N204="","",VLOOKUP(AE204,Difficulty,2,FALSE))</f>
        <v/>
      </c>
      <c r="AI204" s="122"/>
      <c r="AJ204" s="363" t="str">
        <f>IF(AI204="","",IF(VLOOKUP(AI204,'G-7 WaterC'' Data'!$AA$4:$AB$7,2,FALSE)=0,"Spatial Data Missing ⚠",VLOOKUP(AI204,'G-7 WaterC'' Data'!$AA$4:$AB$7,2,FALSE)))</f>
        <v/>
      </c>
      <c r="AK204" s="123"/>
      <c r="AL204" s="363" t="str">
        <f>IF(AK204="","",IF(VLOOKUP(AK204,'G-7 WaterC'' Data'!$AD$4:$AE$14,2,FALSE)=0,"Spatial Data Missing ⚠",VLOOKUP(AK204,'G-7 WaterC'' Data'!$AD$4:$AE$14,2,FALSE)))</f>
        <v/>
      </c>
      <c r="AM204" s="405" t="str">
        <f t="shared" si="23"/>
        <v/>
      </c>
      <c r="AN204" s="117"/>
      <c r="AO204" s="118"/>
      <c r="AP204" s="120"/>
      <c r="AV204" s="30" t="str">
        <f>IFERROR(INDEX('G-7 WaterC'' Data'!$AZ$3:$AZ$7,MATCH(N204,'G-7 WaterC'' Data'!$AY$3:$AY$7,0)),"")</f>
        <v/>
      </c>
    </row>
    <row r="205" spans="2:48" ht="15">
      <c r="B205" s="392" t="str">
        <f>'C-1 On-Site WaterC'' Baseline'!AO203</f>
        <v/>
      </c>
      <c r="C205" s="382" t="str">
        <f>IF(B205="","",VLOOKUP($B205,'C-1 On-Site WaterC'' Baseline'!$C$9:$R$257,2,FALSE))</f>
        <v/>
      </c>
      <c r="D205" s="382" t="str">
        <f>IF(C205="","",VLOOKUP($B205,'C-1 On-Site WaterC'' Baseline'!$C$9:$R$257,3,FALSE))</f>
        <v/>
      </c>
      <c r="E205" s="382" t="str">
        <f>IF(D205="","",VLOOKUP($B205,'C-1 On-Site WaterC'' Baseline'!$C$9:$R$257,4,FALSE))</f>
        <v/>
      </c>
      <c r="F205" s="382" t="str">
        <f>IF(E205="","",VLOOKUP($B205,'C-1 On-Site WaterC'' Baseline'!$C$9:$R$257,5,FALSE))</f>
        <v/>
      </c>
      <c r="G205" s="382" t="str">
        <f>IF(F205="","",VLOOKUP($B205,'C-1 On-Site WaterC'' Baseline'!$C$9:$R$257,6,FALSE))</f>
        <v/>
      </c>
      <c r="H205" s="382" t="str">
        <f>IF(G205="","",VLOOKUP($B205,'C-1 On-Site WaterC'' Baseline'!$C$9:$R$257,7,FALSE))</f>
        <v/>
      </c>
      <c r="I205" s="382" t="str">
        <f>IF(H205="","",VLOOKUP($B205,'C-1 On-Site WaterC'' Baseline'!$C$9:$R$257,8,FALSE))</f>
        <v/>
      </c>
      <c r="J205" s="382" t="str">
        <f>IF(I205="","",VLOOKUP($B205,'C-1 On-Site WaterC'' Baseline'!$C$9:$R$257,9,FALSE))</f>
        <v/>
      </c>
      <c r="K205" s="382" t="str">
        <f>IF(J205="","",VLOOKUP($B205,'C-1 On-Site WaterC'' Baseline'!$C$9:$R$257,10,FALSE))</f>
        <v/>
      </c>
      <c r="L205" s="382" t="str">
        <f>IF(B205="","",VLOOKUP($B205,'C-1 On-Site WaterC'' Baseline'!$C$9:$R$257,15,FALSE))</f>
        <v/>
      </c>
      <c r="M205" s="386" t="str">
        <f>IF(L205="","",VLOOKUP($B205,'C-1 On-Site WaterC'' Baseline'!$C$9:$R$257,16,FALSE))</f>
        <v/>
      </c>
      <c r="N205" s="320" t="str">
        <f t="shared" si="24"/>
        <v/>
      </c>
      <c r="O205" s="362" t="str">
        <f t="shared" ref="O205:O257" si="26">IF(B205="","",IF(S205&lt;F205,"Error Trading Down ▲",E205&amp;" - "&amp;R205))</f>
        <v/>
      </c>
      <c r="P205" s="363" t="str">
        <f>IF(C205="","",IF(AND(LEFT(C205,55)&lt;&gt;LEFT(N205,55),O205="High - High"),"Error - Not like for like ▲",IF(H205&gt;U205,"Error - Can not reduce condition ▲",IF(AND(F205=S205,H205=U205,AJ205='C-1 On-Site WaterC'' Baseline'!N203,'C-1 On-Site WaterC'' Baseline'!P203=AL205),"Error - No enhancement ▲",IF(AND(C205&lt;&gt;N205,F205&lt;S205),"Lower Distinctiveness Habitat"&amp;" - "&amp;T205,G205&amp;" - "&amp;T205)))))</f>
        <v/>
      </c>
      <c r="Q205" s="425" t="str">
        <f>IF(N205="","",VLOOKUP(B205,'C-1 On-Site WaterC'' Baseline'!$C$10:$AB$257,19,FALSE))</f>
        <v/>
      </c>
      <c r="R205" s="362" t="str">
        <f>IF(N205="","",VLOOKUP(N205,'G-7 WaterC'' Data'!$B$2:$G$8,2,FALSE))</f>
        <v/>
      </c>
      <c r="S205" s="363" t="str">
        <f>IFERROR(VLOOKUP(R205,'G-7 WaterC'' Data'!$C$4:$D$8,2,FALSE),"")</f>
        <v/>
      </c>
      <c r="T205" s="114"/>
      <c r="U205" s="363" t="str">
        <f>IFERROR(INDEX('G-7 WaterC'' Data'!$H$4:$L$8,MATCH(N205,'G-7 WaterC'' Data'!$B$4:$B$8,0),MATCH(T205,'G-7 WaterC'' Data'!$H$3:$L$3,0)),"")</f>
        <v/>
      </c>
      <c r="V205" s="114"/>
      <c r="W205" s="370" t="str">
        <f>IF(V205="","",IF(VLOOKUP(V205,'G-7 WaterC'' Data'!$AK$4:$AM$6,2,FALSE)=0,"Spatial Data Missing ⚠",VLOOKUP(V205,'G-7 WaterC'' Data'!$AK$4:$AM$6,2,FALSE)))</f>
        <v/>
      </c>
      <c r="X205" s="363" t="str">
        <f>IF(V205="","",IF(VLOOKUP(V205,'G-7 WaterC'' Data'!$AK$4:$AM$6,3,FALSE)=0,"Spatial Data Missing ⚠",VLOOKUP(V205,'G-7 WaterC'' Data'!$AK$4:$AM$6,3,FALSE)))</f>
        <v/>
      </c>
      <c r="Y205" s="362" t="str">
        <f>IFERROR(IF(OR(LEFT(P205,5)="Error",LEFT(O205,5)="Error ▲"),"Check Data ⚠",IF(F205&lt;S205,'G-7 WaterC'' Data'!$R$3,INDEX('G-7 WaterC'' Data'!$U$5:$Y$9,MATCH(G205,'G-7 WaterC'' Data'!$T$5:$T$9,0),MATCH(T205,'G-7 WaterC'' Data'!$U$4:$Y$4,0)))),"")</f>
        <v/>
      </c>
      <c r="Z205" s="159"/>
      <c r="AA205" s="159"/>
      <c r="AB205" s="370" t="str">
        <f t="shared" ref="AB205:AB257" si="27">IF(Y205="","",IF(Y205="Check Data ⚠","Check Data ⚠",IF(AND(Z205&gt;0,AA205&gt;0),"Error -both advance and delayed habitat creation ▲",IF(AND(OR(Z205="Habitat already in target condition",Y205&lt;=Z205),AA205=0),"Check details - Is there evidence that habitat has reached target condition? ⚠",IF(Z205&gt;0,"Check details - Is there evidence habitat creation started/in place? ⚠",IF(AA205&gt;0,"Check details- Delay in starting habitat in required condition? ⚠","Standard time to target condition applied"))))))</f>
        <v/>
      </c>
      <c r="AC205" s="383" t="str">
        <f t="shared" ref="AC205:AC257" si="28">IF(AB205="Error -both advance and delayed habitat creation ▲","Check Data ⚠",IF(AB205="Check Data ⚠","Check Data ⚠",IF(Y205="","",IF(Z205="30+",0,IF(AA205="30+","30+ ⚠",IF(Y205+AA205&gt;30,"30+ ⚠",IF(Y205+AA205-Z205&gt;0,Y205+AA205-Z205,IF(Y205-Z205&lt;0,0,Y205+AA205-Z205))))))))</f>
        <v/>
      </c>
      <c r="AD205" s="422" t="str">
        <f>IFERROR(IF(AC205="Check Data ⚠","Check Data ⚠",VLOOKUP(AC205,'G-4 Temporal multipliers'!$A$4:$C$37,3,FALSE)),"")</f>
        <v/>
      </c>
      <c r="AE205" s="362" t="str">
        <f>IF(N205="","",VLOOKUP(N205,'G-7 WaterC'' Data'!$B$4:$G$8,5,FALSE))</f>
        <v/>
      </c>
      <c r="AF205" s="370" t="str">
        <f t="shared" ref="AF205:AF257" si="29">IF(N205="","",IF(AC205="Check Data ⚠","Check Data ⚠",IF(T205="","",IF($AB205="Check details - Is there evidence that habitat has reached target condition? ⚠","Low Difficulty - only applicable if all habitat created before losses ⚠","Standard difficulty applied"))))</f>
        <v/>
      </c>
      <c r="AG205" s="401" t="str">
        <f t="shared" ref="AG205:AG257" si="30">(IF(AND(AF205="Standard difficulty applied",Y205&gt;Z205),AE205,IF(AND(AF205="Low Difficulty - only applicable if all habitat created before losses ⚠",Z205&gt;=Y205),"Low",AE205)))</f>
        <v/>
      </c>
      <c r="AH205" s="363" t="str">
        <f t="shared" si="25"/>
        <v/>
      </c>
      <c r="AI205" s="122"/>
      <c r="AJ205" s="363" t="str">
        <f>IF(AI205="","",IF(VLOOKUP(AI205,'G-7 WaterC'' Data'!$AA$4:$AB$7,2,FALSE)=0,"Spatial Data Missing ⚠",VLOOKUP(AI205,'G-7 WaterC'' Data'!$AA$4:$AB$7,2,FALSE)))</f>
        <v/>
      </c>
      <c r="AK205" s="123"/>
      <c r="AL205" s="363" t="str">
        <f>IF(AK205="","",IF(VLOOKUP(AK205,'G-7 WaterC'' Data'!$AD$4:$AE$14,2,FALSE)=0,"Spatial Data Missing ⚠",VLOOKUP(AK205,'G-7 WaterC'' Data'!$AD$4:$AE$14,2,FALSE)))</f>
        <v/>
      </c>
      <c r="AM205" s="405" t="str">
        <f t="shared" si="23"/>
        <v/>
      </c>
      <c r="AN205" s="117"/>
      <c r="AO205" s="118"/>
      <c r="AP205" s="120"/>
      <c r="AV205" s="30" t="str">
        <f>IFERROR(INDEX('G-7 WaterC'' Data'!$AZ$3:$AZ$7,MATCH(N205,'G-7 WaterC'' Data'!$AY$3:$AY$7,0)),"")</f>
        <v/>
      </c>
    </row>
    <row r="206" spans="2:48" ht="15">
      <c r="B206" s="392" t="str">
        <f>'C-1 On-Site WaterC'' Baseline'!AO204</f>
        <v/>
      </c>
      <c r="C206" s="382" t="str">
        <f>IF(B206="","",VLOOKUP($B206,'C-1 On-Site WaterC'' Baseline'!$C$9:$R$257,2,FALSE))</f>
        <v/>
      </c>
      <c r="D206" s="382" t="str">
        <f>IF(C206="","",VLOOKUP($B206,'C-1 On-Site WaterC'' Baseline'!$C$9:$R$257,3,FALSE))</f>
        <v/>
      </c>
      <c r="E206" s="382" t="str">
        <f>IF(D206="","",VLOOKUP($B206,'C-1 On-Site WaterC'' Baseline'!$C$9:$R$257,4,FALSE))</f>
        <v/>
      </c>
      <c r="F206" s="382" t="str">
        <f>IF(E206="","",VLOOKUP($B206,'C-1 On-Site WaterC'' Baseline'!$C$9:$R$257,5,FALSE))</f>
        <v/>
      </c>
      <c r="G206" s="382" t="str">
        <f>IF(F206="","",VLOOKUP($B206,'C-1 On-Site WaterC'' Baseline'!$C$9:$R$257,6,FALSE))</f>
        <v/>
      </c>
      <c r="H206" s="382" t="str">
        <f>IF(G206="","",VLOOKUP($B206,'C-1 On-Site WaterC'' Baseline'!$C$9:$R$257,7,FALSE))</f>
        <v/>
      </c>
      <c r="I206" s="382" t="str">
        <f>IF(H206="","",VLOOKUP($B206,'C-1 On-Site WaterC'' Baseline'!$C$9:$R$257,8,FALSE))</f>
        <v/>
      </c>
      <c r="J206" s="382" t="str">
        <f>IF(I206="","",VLOOKUP($B206,'C-1 On-Site WaterC'' Baseline'!$C$9:$R$257,9,FALSE))</f>
        <v/>
      </c>
      <c r="K206" s="382" t="str">
        <f>IF(J206="","",VLOOKUP($B206,'C-1 On-Site WaterC'' Baseline'!$C$9:$R$257,10,FALSE))</f>
        <v/>
      </c>
      <c r="L206" s="382" t="str">
        <f>IF(B206="","",VLOOKUP($B206,'C-1 On-Site WaterC'' Baseline'!$C$9:$R$257,15,FALSE))</f>
        <v/>
      </c>
      <c r="M206" s="386" t="str">
        <f>IF(L206="","",VLOOKUP($B206,'C-1 On-Site WaterC'' Baseline'!$C$9:$R$257,16,FALSE))</f>
        <v/>
      </c>
      <c r="N206" s="320" t="str">
        <f t="shared" si="24"/>
        <v/>
      </c>
      <c r="O206" s="362" t="str">
        <f t="shared" si="26"/>
        <v/>
      </c>
      <c r="P206" s="363" t="str">
        <f>IF(C206="","",IF(AND(LEFT(C206,55)&lt;&gt;LEFT(N206,55),O206="High - High"),"Error - Not like for like ▲",IF(H206&gt;U206,"Error - Can not reduce condition ▲",IF(AND(F206=S206,H206=U206,AJ206='C-1 On-Site WaterC'' Baseline'!N204,'C-1 On-Site WaterC'' Baseline'!P204=AL206),"Error - No enhancement ▲",IF(AND(C206&lt;&gt;N206,F206&lt;S206),"Lower Distinctiveness Habitat"&amp;" - "&amp;T206,G206&amp;" - "&amp;T206)))))</f>
        <v/>
      </c>
      <c r="Q206" s="425" t="str">
        <f>IF(N206="","",VLOOKUP(B206,'C-1 On-Site WaterC'' Baseline'!$C$10:$AB$257,19,FALSE))</f>
        <v/>
      </c>
      <c r="R206" s="362" t="str">
        <f>IF(N206="","",VLOOKUP(N206,'G-7 WaterC'' Data'!$B$2:$G$8,2,FALSE))</f>
        <v/>
      </c>
      <c r="S206" s="363" t="str">
        <f>IFERROR(VLOOKUP(R206,'G-7 WaterC'' Data'!$C$4:$D$8,2,FALSE),"")</f>
        <v/>
      </c>
      <c r="T206" s="114"/>
      <c r="U206" s="363" t="str">
        <f>IFERROR(INDEX('G-7 WaterC'' Data'!$H$4:$L$8,MATCH(N206,'G-7 WaterC'' Data'!$B$4:$B$8,0),MATCH(T206,'G-7 WaterC'' Data'!$H$3:$L$3,0)),"")</f>
        <v/>
      </c>
      <c r="V206" s="114"/>
      <c r="W206" s="370" t="str">
        <f>IF(V206="","",IF(VLOOKUP(V206,'G-7 WaterC'' Data'!$AK$4:$AM$6,2,FALSE)=0,"Spatial Data Missing ⚠",VLOOKUP(V206,'G-7 WaterC'' Data'!$AK$4:$AM$6,2,FALSE)))</f>
        <v/>
      </c>
      <c r="X206" s="363" t="str">
        <f>IF(V206="","",IF(VLOOKUP(V206,'G-7 WaterC'' Data'!$AK$4:$AM$6,3,FALSE)=0,"Spatial Data Missing ⚠",VLOOKUP(V206,'G-7 WaterC'' Data'!$AK$4:$AM$6,3,FALSE)))</f>
        <v/>
      </c>
      <c r="Y206" s="362" t="str">
        <f>IFERROR(IF(OR(LEFT(P206,5)="Error",LEFT(O206,5)="Error ▲"),"Check Data ⚠",IF(F206&lt;S206,'G-7 WaterC'' Data'!$R$3,INDEX('G-7 WaterC'' Data'!$U$5:$Y$9,MATCH(G206,'G-7 WaterC'' Data'!$T$5:$T$9,0),MATCH(T206,'G-7 WaterC'' Data'!$U$4:$Y$4,0)))),"")</f>
        <v/>
      </c>
      <c r="Z206" s="159"/>
      <c r="AA206" s="159"/>
      <c r="AB206" s="370" t="str">
        <f t="shared" si="27"/>
        <v/>
      </c>
      <c r="AC206" s="383" t="str">
        <f t="shared" si="28"/>
        <v/>
      </c>
      <c r="AD206" s="422" t="str">
        <f>IFERROR(IF(AC206="Check Data ⚠","Check Data ⚠",VLOOKUP(AC206,'G-4 Temporal multipliers'!$A$4:$C$37,3,FALSE)),"")</f>
        <v/>
      </c>
      <c r="AE206" s="362" t="str">
        <f>IF(N206="","",VLOOKUP(N206,'G-7 WaterC'' Data'!$B$4:$G$8,5,FALSE))</f>
        <v/>
      </c>
      <c r="AF206" s="370" t="str">
        <f t="shared" si="29"/>
        <v/>
      </c>
      <c r="AG206" s="401" t="str">
        <f t="shared" si="30"/>
        <v/>
      </c>
      <c r="AH206" s="363" t="str">
        <f t="shared" si="25"/>
        <v/>
      </c>
      <c r="AI206" s="122"/>
      <c r="AJ206" s="363" t="str">
        <f>IF(AI206="","",IF(VLOOKUP(AI206,'G-7 WaterC'' Data'!$AA$4:$AB$7,2,FALSE)=0,"Spatial Data Missing ⚠",VLOOKUP(AI206,'G-7 WaterC'' Data'!$AA$4:$AB$7,2,FALSE)))</f>
        <v/>
      </c>
      <c r="AK206" s="123"/>
      <c r="AL206" s="363" t="str">
        <f>IF(AK206="","",IF(VLOOKUP(AK206,'G-7 WaterC'' Data'!$AD$4:$AE$14,2,FALSE)=0,"Spatial Data Missing ⚠",VLOOKUP(AK206,'G-7 WaterC'' Data'!$AD$4:$AE$14,2,FALSE)))</f>
        <v/>
      </c>
      <c r="AM206" s="405" t="str">
        <f t="shared" ref="AM206:AM256" si="31">IFERROR(IF(C206="","",IF(Q206&gt;D206,((((Q206*S206*U206)-(D206*F206*H206))*(AH206*AD206))+(D206*F206*H206))*(AL206*X206*AJ206),((((Q206*S206*U206)-(Q206*F206*H206))*(AH206*AD206))+(Q206*F206*H206))*(AL206*X206*AJ206))),"")</f>
        <v/>
      </c>
      <c r="AN206" s="117"/>
      <c r="AO206" s="118"/>
      <c r="AP206" s="120"/>
      <c r="AV206" s="30" t="str">
        <f>IFERROR(INDEX('G-7 WaterC'' Data'!$AZ$3:$AZ$7,MATCH(N206,'G-7 WaterC'' Data'!$AY$3:$AY$7,0)),"")</f>
        <v/>
      </c>
    </row>
    <row r="207" spans="2:48" ht="15">
      <c r="B207" s="392" t="str">
        <f>'C-1 On-Site WaterC'' Baseline'!AO205</f>
        <v/>
      </c>
      <c r="C207" s="382" t="str">
        <f>IF(B207="","",VLOOKUP($B207,'C-1 On-Site WaterC'' Baseline'!$C$9:$R$257,2,FALSE))</f>
        <v/>
      </c>
      <c r="D207" s="382" t="str">
        <f>IF(C207="","",VLOOKUP($B207,'C-1 On-Site WaterC'' Baseline'!$C$9:$R$257,3,FALSE))</f>
        <v/>
      </c>
      <c r="E207" s="382" t="str">
        <f>IF(D207="","",VLOOKUP($B207,'C-1 On-Site WaterC'' Baseline'!$C$9:$R$257,4,FALSE))</f>
        <v/>
      </c>
      <c r="F207" s="382" t="str">
        <f>IF(E207="","",VLOOKUP($B207,'C-1 On-Site WaterC'' Baseline'!$C$9:$R$257,5,FALSE))</f>
        <v/>
      </c>
      <c r="G207" s="382" t="str">
        <f>IF(F207="","",VLOOKUP($B207,'C-1 On-Site WaterC'' Baseline'!$C$9:$R$257,6,FALSE))</f>
        <v/>
      </c>
      <c r="H207" s="382" t="str">
        <f>IF(G207="","",VLOOKUP($B207,'C-1 On-Site WaterC'' Baseline'!$C$9:$R$257,7,FALSE))</f>
        <v/>
      </c>
      <c r="I207" s="382" t="str">
        <f>IF(H207="","",VLOOKUP($B207,'C-1 On-Site WaterC'' Baseline'!$C$9:$R$257,8,FALSE))</f>
        <v/>
      </c>
      <c r="J207" s="382" t="str">
        <f>IF(I207="","",VLOOKUP($B207,'C-1 On-Site WaterC'' Baseline'!$C$9:$R$257,9,FALSE))</f>
        <v/>
      </c>
      <c r="K207" s="382" t="str">
        <f>IF(J207="","",VLOOKUP($B207,'C-1 On-Site WaterC'' Baseline'!$C$9:$R$257,10,FALSE))</f>
        <v/>
      </c>
      <c r="L207" s="382" t="str">
        <f>IF(B207="","",VLOOKUP($B207,'C-1 On-Site WaterC'' Baseline'!$C$9:$R$257,15,FALSE))</f>
        <v/>
      </c>
      <c r="M207" s="386" t="str">
        <f>IF(L207="","",VLOOKUP($B207,'C-1 On-Site WaterC'' Baseline'!$C$9:$R$257,16,FALSE))</f>
        <v/>
      </c>
      <c r="N207" s="320" t="str">
        <f t="shared" si="24"/>
        <v/>
      </c>
      <c r="O207" s="362" t="str">
        <f t="shared" si="26"/>
        <v/>
      </c>
      <c r="P207" s="363" t="str">
        <f>IF(C207="","",IF(AND(LEFT(C207,55)&lt;&gt;LEFT(N207,55),O207="High - High"),"Error - Not like for like ▲",IF(H207&gt;U207,"Error - Can not reduce condition ▲",IF(AND(F207=S207,H207=U207,AJ207='C-1 On-Site WaterC'' Baseline'!N205,'C-1 On-Site WaterC'' Baseline'!P205=AL207),"Error - No enhancement ▲",IF(AND(C207&lt;&gt;N207,F207&lt;S207),"Lower Distinctiveness Habitat"&amp;" - "&amp;T207,G207&amp;" - "&amp;T207)))))</f>
        <v/>
      </c>
      <c r="Q207" s="425" t="str">
        <f>IF(N207="","",VLOOKUP(B207,'C-1 On-Site WaterC'' Baseline'!$C$10:$AB$257,19,FALSE))</f>
        <v/>
      </c>
      <c r="R207" s="362" t="str">
        <f>IF(N207="","",VLOOKUP(N207,'G-7 WaterC'' Data'!$B$2:$G$8,2,FALSE))</f>
        <v/>
      </c>
      <c r="S207" s="363" t="str">
        <f>IFERROR(VLOOKUP(R207,'G-7 WaterC'' Data'!$C$4:$D$8,2,FALSE),"")</f>
        <v/>
      </c>
      <c r="T207" s="114"/>
      <c r="U207" s="363" t="str">
        <f>IFERROR(INDEX('G-7 WaterC'' Data'!$H$4:$L$8,MATCH(N207,'G-7 WaterC'' Data'!$B$4:$B$8,0),MATCH(T207,'G-7 WaterC'' Data'!$H$3:$L$3,0)),"")</f>
        <v/>
      </c>
      <c r="V207" s="114"/>
      <c r="W207" s="370" t="str">
        <f>IF(V207="","",IF(VLOOKUP(V207,'G-7 WaterC'' Data'!$AK$4:$AM$6,2,FALSE)=0,"Spatial Data Missing ⚠",VLOOKUP(V207,'G-7 WaterC'' Data'!$AK$4:$AM$6,2,FALSE)))</f>
        <v/>
      </c>
      <c r="X207" s="363" t="str">
        <f>IF(V207="","",IF(VLOOKUP(V207,'G-7 WaterC'' Data'!$AK$4:$AM$6,3,FALSE)=0,"Spatial Data Missing ⚠",VLOOKUP(V207,'G-7 WaterC'' Data'!$AK$4:$AM$6,3,FALSE)))</f>
        <v/>
      </c>
      <c r="Y207" s="362" t="str">
        <f>IFERROR(IF(OR(LEFT(P207,5)="Error",LEFT(O207,5)="Error ▲"),"Check Data ⚠",IF(F207&lt;S207,'G-7 WaterC'' Data'!$R$3,INDEX('G-7 WaterC'' Data'!$U$5:$Y$9,MATCH(G207,'G-7 WaterC'' Data'!$T$5:$T$9,0),MATCH(T207,'G-7 WaterC'' Data'!$U$4:$Y$4,0)))),"")</f>
        <v/>
      </c>
      <c r="Z207" s="159"/>
      <c r="AA207" s="159"/>
      <c r="AB207" s="370" t="str">
        <f t="shared" si="27"/>
        <v/>
      </c>
      <c r="AC207" s="383" t="str">
        <f t="shared" si="28"/>
        <v/>
      </c>
      <c r="AD207" s="422" t="str">
        <f>IFERROR(IF(AC207="Check Data ⚠","Check Data ⚠",VLOOKUP(AC207,'G-4 Temporal multipliers'!$A$4:$C$37,3,FALSE)),"")</f>
        <v/>
      </c>
      <c r="AE207" s="362" t="str">
        <f>IF(N207="","",VLOOKUP(N207,'G-7 WaterC'' Data'!$B$4:$G$8,5,FALSE))</f>
        <v/>
      </c>
      <c r="AF207" s="370" t="str">
        <f t="shared" si="29"/>
        <v/>
      </c>
      <c r="AG207" s="401" t="str">
        <f t="shared" si="30"/>
        <v/>
      </c>
      <c r="AH207" s="363" t="str">
        <f t="shared" si="25"/>
        <v/>
      </c>
      <c r="AI207" s="122"/>
      <c r="AJ207" s="363" t="str">
        <f>IF(AI207="","",IF(VLOOKUP(AI207,'G-7 WaterC'' Data'!$AA$4:$AB$7,2,FALSE)=0,"Spatial Data Missing ⚠",VLOOKUP(AI207,'G-7 WaterC'' Data'!$AA$4:$AB$7,2,FALSE)))</f>
        <v/>
      </c>
      <c r="AK207" s="123"/>
      <c r="AL207" s="363" t="str">
        <f>IF(AK207="","",IF(VLOOKUP(AK207,'G-7 WaterC'' Data'!$AD$4:$AE$14,2,FALSE)=0,"Spatial Data Missing ⚠",VLOOKUP(AK207,'G-7 WaterC'' Data'!$AD$4:$AE$14,2,FALSE)))</f>
        <v/>
      </c>
      <c r="AM207" s="405" t="str">
        <f t="shared" si="31"/>
        <v/>
      </c>
      <c r="AN207" s="117"/>
      <c r="AO207" s="118"/>
      <c r="AP207" s="120"/>
      <c r="AV207" s="30" t="str">
        <f>IFERROR(INDEX('G-7 WaterC'' Data'!$AZ$3:$AZ$7,MATCH(N207,'G-7 WaterC'' Data'!$AY$3:$AY$7,0)),"")</f>
        <v/>
      </c>
    </row>
    <row r="208" spans="2:48" ht="15">
      <c r="B208" s="392" t="str">
        <f>'C-1 On-Site WaterC'' Baseline'!AO206</f>
        <v/>
      </c>
      <c r="C208" s="382" t="str">
        <f>IF(B208="","",VLOOKUP($B208,'C-1 On-Site WaterC'' Baseline'!$C$9:$R$257,2,FALSE))</f>
        <v/>
      </c>
      <c r="D208" s="382" t="str">
        <f>IF(C208="","",VLOOKUP($B208,'C-1 On-Site WaterC'' Baseline'!$C$9:$R$257,3,FALSE))</f>
        <v/>
      </c>
      <c r="E208" s="382" t="str">
        <f>IF(D208="","",VLOOKUP($B208,'C-1 On-Site WaterC'' Baseline'!$C$9:$R$257,4,FALSE))</f>
        <v/>
      </c>
      <c r="F208" s="382" t="str">
        <f>IF(E208="","",VLOOKUP($B208,'C-1 On-Site WaterC'' Baseline'!$C$9:$R$257,5,FALSE))</f>
        <v/>
      </c>
      <c r="G208" s="382" t="str">
        <f>IF(F208="","",VLOOKUP($B208,'C-1 On-Site WaterC'' Baseline'!$C$9:$R$257,6,FALSE))</f>
        <v/>
      </c>
      <c r="H208" s="382" t="str">
        <f>IF(G208="","",VLOOKUP($B208,'C-1 On-Site WaterC'' Baseline'!$C$9:$R$257,7,FALSE))</f>
        <v/>
      </c>
      <c r="I208" s="382" t="str">
        <f>IF(H208="","",VLOOKUP($B208,'C-1 On-Site WaterC'' Baseline'!$C$9:$R$257,8,FALSE))</f>
        <v/>
      </c>
      <c r="J208" s="382" t="str">
        <f>IF(I208="","",VLOOKUP($B208,'C-1 On-Site WaterC'' Baseline'!$C$9:$R$257,9,FALSE))</f>
        <v/>
      </c>
      <c r="K208" s="382" t="str">
        <f>IF(J208="","",VLOOKUP($B208,'C-1 On-Site WaterC'' Baseline'!$C$9:$R$257,10,FALSE))</f>
        <v/>
      </c>
      <c r="L208" s="382" t="str">
        <f>IF(B208="","",VLOOKUP($B208,'C-1 On-Site WaterC'' Baseline'!$C$9:$R$257,15,FALSE))</f>
        <v/>
      </c>
      <c r="M208" s="386" t="str">
        <f>IF(L208="","",VLOOKUP($B208,'C-1 On-Site WaterC'' Baseline'!$C$9:$R$257,16,FALSE))</f>
        <v/>
      </c>
      <c r="N208" s="320" t="str">
        <f t="shared" si="24"/>
        <v/>
      </c>
      <c r="O208" s="362" t="str">
        <f t="shared" si="26"/>
        <v/>
      </c>
      <c r="P208" s="363" t="str">
        <f>IF(C208="","",IF(AND(LEFT(C208,55)&lt;&gt;LEFT(N208,55),O208="High - High"),"Error - Not like for like ▲",IF(H208&gt;U208,"Error - Can not reduce condition ▲",IF(AND(F208=S208,H208=U208,AJ208='C-1 On-Site WaterC'' Baseline'!N206,'C-1 On-Site WaterC'' Baseline'!P206=AL208),"Error - No enhancement ▲",IF(AND(C208&lt;&gt;N208,F208&lt;S208),"Lower Distinctiveness Habitat"&amp;" - "&amp;T208,G208&amp;" - "&amp;T208)))))</f>
        <v/>
      </c>
      <c r="Q208" s="425" t="str">
        <f>IF(N208="","",VLOOKUP(B208,'C-1 On-Site WaterC'' Baseline'!$C$10:$AB$257,19,FALSE))</f>
        <v/>
      </c>
      <c r="R208" s="362" t="str">
        <f>IF(N208="","",VLOOKUP(N208,'G-7 WaterC'' Data'!$B$2:$G$8,2,FALSE))</f>
        <v/>
      </c>
      <c r="S208" s="363" t="str">
        <f>IFERROR(VLOOKUP(R208,'G-7 WaterC'' Data'!$C$4:$D$8,2,FALSE),"")</f>
        <v/>
      </c>
      <c r="T208" s="114"/>
      <c r="U208" s="363" t="str">
        <f>IFERROR(INDEX('G-7 WaterC'' Data'!$H$4:$L$8,MATCH(N208,'G-7 WaterC'' Data'!$B$4:$B$8,0),MATCH(T208,'G-7 WaterC'' Data'!$H$3:$L$3,0)),"")</f>
        <v/>
      </c>
      <c r="V208" s="114"/>
      <c r="W208" s="370" t="str">
        <f>IF(V208="","",IF(VLOOKUP(V208,'G-7 WaterC'' Data'!$AK$4:$AM$6,2,FALSE)=0,"Spatial Data Missing ⚠",VLOOKUP(V208,'G-7 WaterC'' Data'!$AK$4:$AM$6,2,FALSE)))</f>
        <v/>
      </c>
      <c r="X208" s="363" t="str">
        <f>IF(V208="","",IF(VLOOKUP(V208,'G-7 WaterC'' Data'!$AK$4:$AM$6,3,FALSE)=0,"Spatial Data Missing ⚠",VLOOKUP(V208,'G-7 WaterC'' Data'!$AK$4:$AM$6,3,FALSE)))</f>
        <v/>
      </c>
      <c r="Y208" s="362" t="str">
        <f>IFERROR(IF(OR(LEFT(P208,5)="Error",LEFT(O208,5)="Error ▲"),"Check Data ⚠",IF(F208&lt;S208,'G-7 WaterC'' Data'!$R$3,INDEX('G-7 WaterC'' Data'!$U$5:$Y$9,MATCH(G208,'G-7 WaterC'' Data'!$T$5:$T$9,0),MATCH(T208,'G-7 WaterC'' Data'!$U$4:$Y$4,0)))),"")</f>
        <v/>
      </c>
      <c r="Z208" s="159"/>
      <c r="AA208" s="159"/>
      <c r="AB208" s="370" t="str">
        <f t="shared" si="27"/>
        <v/>
      </c>
      <c r="AC208" s="383" t="str">
        <f t="shared" si="28"/>
        <v/>
      </c>
      <c r="AD208" s="422" t="str">
        <f>IFERROR(IF(AC208="Check Data ⚠","Check Data ⚠",VLOOKUP(AC208,'G-4 Temporal multipliers'!$A$4:$C$37,3,FALSE)),"")</f>
        <v/>
      </c>
      <c r="AE208" s="362" t="str">
        <f>IF(N208="","",VLOOKUP(N208,'G-7 WaterC'' Data'!$B$4:$G$8,5,FALSE))</f>
        <v/>
      </c>
      <c r="AF208" s="370" t="str">
        <f t="shared" si="29"/>
        <v/>
      </c>
      <c r="AG208" s="401" t="str">
        <f t="shared" si="30"/>
        <v/>
      </c>
      <c r="AH208" s="363" t="str">
        <f t="shared" si="25"/>
        <v/>
      </c>
      <c r="AI208" s="122"/>
      <c r="AJ208" s="363" t="str">
        <f>IF(AI208="","",IF(VLOOKUP(AI208,'G-7 WaterC'' Data'!$AA$4:$AB$7,2,FALSE)=0,"Spatial Data Missing ⚠",VLOOKUP(AI208,'G-7 WaterC'' Data'!$AA$4:$AB$7,2,FALSE)))</f>
        <v/>
      </c>
      <c r="AK208" s="123"/>
      <c r="AL208" s="363" t="str">
        <f>IF(AK208="","",IF(VLOOKUP(AK208,'G-7 WaterC'' Data'!$AD$4:$AE$14,2,FALSE)=0,"Spatial Data Missing ⚠",VLOOKUP(AK208,'G-7 WaterC'' Data'!$AD$4:$AE$14,2,FALSE)))</f>
        <v/>
      </c>
      <c r="AM208" s="405" t="str">
        <f t="shared" si="31"/>
        <v/>
      </c>
      <c r="AN208" s="117"/>
      <c r="AO208" s="118"/>
      <c r="AP208" s="120"/>
      <c r="AV208" s="30" t="str">
        <f>IFERROR(INDEX('G-7 WaterC'' Data'!$AZ$3:$AZ$7,MATCH(N208,'G-7 WaterC'' Data'!$AY$3:$AY$7,0)),"")</f>
        <v/>
      </c>
    </row>
    <row r="209" spans="2:48" ht="15">
      <c r="B209" s="392" t="str">
        <f>'C-1 On-Site WaterC'' Baseline'!AO207</f>
        <v/>
      </c>
      <c r="C209" s="382" t="str">
        <f>IF(B209="","",VLOOKUP($B209,'C-1 On-Site WaterC'' Baseline'!$C$9:$R$257,2,FALSE))</f>
        <v/>
      </c>
      <c r="D209" s="382" t="str">
        <f>IF(C209="","",VLOOKUP($B209,'C-1 On-Site WaterC'' Baseline'!$C$9:$R$257,3,FALSE))</f>
        <v/>
      </c>
      <c r="E209" s="382" t="str">
        <f>IF(D209="","",VLOOKUP($B209,'C-1 On-Site WaterC'' Baseline'!$C$9:$R$257,4,FALSE))</f>
        <v/>
      </c>
      <c r="F209" s="382" t="str">
        <f>IF(E209="","",VLOOKUP($B209,'C-1 On-Site WaterC'' Baseline'!$C$9:$R$257,5,FALSE))</f>
        <v/>
      </c>
      <c r="G209" s="382" t="str">
        <f>IF(F209="","",VLOOKUP($B209,'C-1 On-Site WaterC'' Baseline'!$C$9:$R$257,6,FALSE))</f>
        <v/>
      </c>
      <c r="H209" s="382" t="str">
        <f>IF(G209="","",VLOOKUP($B209,'C-1 On-Site WaterC'' Baseline'!$C$9:$R$257,7,FALSE))</f>
        <v/>
      </c>
      <c r="I209" s="382" t="str">
        <f>IF(H209="","",VLOOKUP($B209,'C-1 On-Site WaterC'' Baseline'!$C$9:$R$257,8,FALSE))</f>
        <v/>
      </c>
      <c r="J209" s="382" t="str">
        <f>IF(I209="","",VLOOKUP($B209,'C-1 On-Site WaterC'' Baseline'!$C$9:$R$257,9,FALSE))</f>
        <v/>
      </c>
      <c r="K209" s="382" t="str">
        <f>IF(J209="","",VLOOKUP($B209,'C-1 On-Site WaterC'' Baseline'!$C$9:$R$257,10,FALSE))</f>
        <v/>
      </c>
      <c r="L209" s="382" t="str">
        <f>IF(B209="","",VLOOKUP($B209,'C-1 On-Site WaterC'' Baseline'!$C$9:$R$257,15,FALSE))</f>
        <v/>
      </c>
      <c r="M209" s="386" t="str">
        <f>IF(L209="","",VLOOKUP($B209,'C-1 On-Site WaterC'' Baseline'!$C$9:$R$257,16,FALSE))</f>
        <v/>
      </c>
      <c r="N209" s="320" t="str">
        <f t="shared" si="24"/>
        <v/>
      </c>
      <c r="O209" s="362" t="str">
        <f t="shared" si="26"/>
        <v/>
      </c>
      <c r="P209" s="363" t="str">
        <f>IF(C209="","",IF(AND(LEFT(C209,55)&lt;&gt;LEFT(N209,55),O209="High - High"),"Error - Not like for like ▲",IF(H209&gt;U209,"Error - Can not reduce condition ▲",IF(AND(F209=S209,H209=U209,AJ209='C-1 On-Site WaterC'' Baseline'!N207,'C-1 On-Site WaterC'' Baseline'!P207=AL209),"Error - No enhancement ▲",IF(AND(C209&lt;&gt;N209,F209&lt;S209),"Lower Distinctiveness Habitat"&amp;" - "&amp;T209,G209&amp;" - "&amp;T209)))))</f>
        <v/>
      </c>
      <c r="Q209" s="425" t="str">
        <f>IF(N209="","",VLOOKUP(B209,'C-1 On-Site WaterC'' Baseline'!$C$10:$AB$257,19,FALSE))</f>
        <v/>
      </c>
      <c r="R209" s="362" t="str">
        <f>IF(N209="","",VLOOKUP(N209,'G-7 WaterC'' Data'!$B$2:$G$8,2,FALSE))</f>
        <v/>
      </c>
      <c r="S209" s="363" t="str">
        <f>IFERROR(VLOOKUP(R209,'G-7 WaterC'' Data'!$C$4:$D$8,2,FALSE),"")</f>
        <v/>
      </c>
      <c r="T209" s="114"/>
      <c r="U209" s="363" t="str">
        <f>IFERROR(INDEX('G-7 WaterC'' Data'!$H$4:$L$8,MATCH(N209,'G-7 WaterC'' Data'!$B$4:$B$8,0),MATCH(T209,'G-7 WaterC'' Data'!$H$3:$L$3,0)),"")</f>
        <v/>
      </c>
      <c r="V209" s="114"/>
      <c r="W209" s="370" t="str">
        <f>IF(V209="","",IF(VLOOKUP(V209,'G-7 WaterC'' Data'!$AK$4:$AM$6,2,FALSE)=0,"Spatial Data Missing ⚠",VLOOKUP(V209,'G-7 WaterC'' Data'!$AK$4:$AM$6,2,FALSE)))</f>
        <v/>
      </c>
      <c r="X209" s="363" t="str">
        <f>IF(V209="","",IF(VLOOKUP(V209,'G-7 WaterC'' Data'!$AK$4:$AM$6,3,FALSE)=0,"Spatial Data Missing ⚠",VLOOKUP(V209,'G-7 WaterC'' Data'!$AK$4:$AM$6,3,FALSE)))</f>
        <v/>
      </c>
      <c r="Y209" s="362" t="str">
        <f>IFERROR(IF(OR(LEFT(P209,5)="Error",LEFT(O209,5)="Error ▲"),"Check Data ⚠",IF(F209&lt;S209,'G-7 WaterC'' Data'!$R$3,INDEX('G-7 WaterC'' Data'!$U$5:$Y$9,MATCH(G209,'G-7 WaterC'' Data'!$T$5:$T$9,0),MATCH(T209,'G-7 WaterC'' Data'!$U$4:$Y$4,0)))),"")</f>
        <v/>
      </c>
      <c r="Z209" s="159"/>
      <c r="AA209" s="159"/>
      <c r="AB209" s="370" t="str">
        <f t="shared" si="27"/>
        <v/>
      </c>
      <c r="AC209" s="383" t="str">
        <f t="shared" si="28"/>
        <v/>
      </c>
      <c r="AD209" s="422" t="str">
        <f>IFERROR(IF(AC209="Check Data ⚠","Check Data ⚠",VLOOKUP(AC209,'G-4 Temporal multipliers'!$A$4:$C$37,3,FALSE)),"")</f>
        <v/>
      </c>
      <c r="AE209" s="362" t="str">
        <f>IF(N209="","",VLOOKUP(N209,'G-7 WaterC'' Data'!$B$4:$G$8,5,FALSE))</f>
        <v/>
      </c>
      <c r="AF209" s="370" t="str">
        <f t="shared" si="29"/>
        <v/>
      </c>
      <c r="AG209" s="401" t="str">
        <f t="shared" si="30"/>
        <v/>
      </c>
      <c r="AH209" s="363" t="str">
        <f t="shared" si="25"/>
        <v/>
      </c>
      <c r="AI209" s="122"/>
      <c r="AJ209" s="363" t="str">
        <f>IF(AI209="","",IF(VLOOKUP(AI209,'G-7 WaterC'' Data'!$AA$4:$AB$7,2,FALSE)=0,"Spatial Data Missing ⚠",VLOOKUP(AI209,'G-7 WaterC'' Data'!$AA$4:$AB$7,2,FALSE)))</f>
        <v/>
      </c>
      <c r="AK209" s="123"/>
      <c r="AL209" s="363" t="str">
        <f>IF(AK209="","",IF(VLOOKUP(AK209,'G-7 WaterC'' Data'!$AD$4:$AE$14,2,FALSE)=0,"Spatial Data Missing ⚠",VLOOKUP(AK209,'G-7 WaterC'' Data'!$AD$4:$AE$14,2,FALSE)))</f>
        <v/>
      </c>
      <c r="AM209" s="405" t="str">
        <f t="shared" si="31"/>
        <v/>
      </c>
      <c r="AN209" s="117"/>
      <c r="AO209" s="118"/>
      <c r="AP209" s="120"/>
      <c r="AV209" s="30" t="str">
        <f>IFERROR(INDEX('G-7 WaterC'' Data'!$AZ$3:$AZ$7,MATCH(N209,'G-7 WaterC'' Data'!$AY$3:$AY$7,0)),"")</f>
        <v/>
      </c>
    </row>
    <row r="210" spans="2:48" ht="15">
      <c r="B210" s="392" t="str">
        <f>'C-1 On-Site WaterC'' Baseline'!AO208</f>
        <v/>
      </c>
      <c r="C210" s="382" t="str">
        <f>IF(B210="","",VLOOKUP($B210,'C-1 On-Site WaterC'' Baseline'!$C$9:$R$257,2,FALSE))</f>
        <v/>
      </c>
      <c r="D210" s="382" t="str">
        <f>IF(C210="","",VLOOKUP($B210,'C-1 On-Site WaterC'' Baseline'!$C$9:$R$257,3,FALSE))</f>
        <v/>
      </c>
      <c r="E210" s="382" t="str">
        <f>IF(D210="","",VLOOKUP($B210,'C-1 On-Site WaterC'' Baseline'!$C$9:$R$257,4,FALSE))</f>
        <v/>
      </c>
      <c r="F210" s="382" t="str">
        <f>IF(E210="","",VLOOKUP($B210,'C-1 On-Site WaterC'' Baseline'!$C$9:$R$257,5,FALSE))</f>
        <v/>
      </c>
      <c r="G210" s="382" t="str">
        <f>IF(F210="","",VLOOKUP($B210,'C-1 On-Site WaterC'' Baseline'!$C$9:$R$257,6,FALSE))</f>
        <v/>
      </c>
      <c r="H210" s="382" t="str">
        <f>IF(G210="","",VLOOKUP($B210,'C-1 On-Site WaterC'' Baseline'!$C$9:$R$257,7,FALSE))</f>
        <v/>
      </c>
      <c r="I210" s="382" t="str">
        <f>IF(H210="","",VLOOKUP($B210,'C-1 On-Site WaterC'' Baseline'!$C$9:$R$257,8,FALSE))</f>
        <v/>
      </c>
      <c r="J210" s="382" t="str">
        <f>IF(I210="","",VLOOKUP($B210,'C-1 On-Site WaterC'' Baseline'!$C$9:$R$257,9,FALSE))</f>
        <v/>
      </c>
      <c r="K210" s="382" t="str">
        <f>IF(J210="","",VLOOKUP($B210,'C-1 On-Site WaterC'' Baseline'!$C$9:$R$257,10,FALSE))</f>
        <v/>
      </c>
      <c r="L210" s="382" t="str">
        <f>IF(B210="","",VLOOKUP($B210,'C-1 On-Site WaterC'' Baseline'!$C$9:$R$257,15,FALSE))</f>
        <v/>
      </c>
      <c r="M210" s="386" t="str">
        <f>IF(L210="","",VLOOKUP($B210,'C-1 On-Site WaterC'' Baseline'!$C$9:$R$257,16,FALSE))</f>
        <v/>
      </c>
      <c r="N210" s="320" t="str">
        <f t="shared" si="24"/>
        <v/>
      </c>
      <c r="O210" s="362" t="str">
        <f t="shared" si="26"/>
        <v/>
      </c>
      <c r="P210" s="363" t="str">
        <f>IF(C210="","",IF(AND(LEFT(C210,55)&lt;&gt;LEFT(N210,55),O210="High - High"),"Error - Not like for like ▲",IF(H210&gt;U210,"Error - Can not reduce condition ▲",IF(AND(F210=S210,H210=U210,AJ210='C-1 On-Site WaterC'' Baseline'!N208,'C-1 On-Site WaterC'' Baseline'!P208=AL210),"Error - No enhancement ▲",IF(AND(C210&lt;&gt;N210,F210&lt;S210),"Lower Distinctiveness Habitat"&amp;" - "&amp;T210,G210&amp;" - "&amp;T210)))))</f>
        <v/>
      </c>
      <c r="Q210" s="425" t="str">
        <f>IF(N210="","",VLOOKUP(B210,'C-1 On-Site WaterC'' Baseline'!$C$10:$AB$257,19,FALSE))</f>
        <v/>
      </c>
      <c r="R210" s="362" t="str">
        <f>IF(N210="","",VLOOKUP(N210,'G-7 WaterC'' Data'!$B$2:$G$8,2,FALSE))</f>
        <v/>
      </c>
      <c r="S210" s="363" t="str">
        <f>IFERROR(VLOOKUP(R210,'G-7 WaterC'' Data'!$C$4:$D$8,2,FALSE),"")</f>
        <v/>
      </c>
      <c r="T210" s="114"/>
      <c r="U210" s="363" t="str">
        <f>IFERROR(INDEX('G-7 WaterC'' Data'!$H$4:$L$8,MATCH(N210,'G-7 WaterC'' Data'!$B$4:$B$8,0),MATCH(T210,'G-7 WaterC'' Data'!$H$3:$L$3,0)),"")</f>
        <v/>
      </c>
      <c r="V210" s="114"/>
      <c r="W210" s="370" t="str">
        <f>IF(V210="","",IF(VLOOKUP(V210,'G-7 WaterC'' Data'!$AK$4:$AM$6,2,FALSE)=0,"Spatial Data Missing ⚠",VLOOKUP(V210,'G-7 WaterC'' Data'!$AK$4:$AM$6,2,FALSE)))</f>
        <v/>
      </c>
      <c r="X210" s="363" t="str">
        <f>IF(V210="","",IF(VLOOKUP(V210,'G-7 WaterC'' Data'!$AK$4:$AM$6,3,FALSE)=0,"Spatial Data Missing ⚠",VLOOKUP(V210,'G-7 WaterC'' Data'!$AK$4:$AM$6,3,FALSE)))</f>
        <v/>
      </c>
      <c r="Y210" s="362" t="str">
        <f>IFERROR(IF(OR(LEFT(P210,5)="Error",LEFT(O210,5)="Error ▲"),"Check Data ⚠",IF(F210&lt;S210,'G-7 WaterC'' Data'!$R$3,INDEX('G-7 WaterC'' Data'!$U$5:$Y$9,MATCH(G210,'G-7 WaterC'' Data'!$T$5:$T$9,0),MATCH(T210,'G-7 WaterC'' Data'!$U$4:$Y$4,0)))),"")</f>
        <v/>
      </c>
      <c r="Z210" s="159"/>
      <c r="AA210" s="159"/>
      <c r="AB210" s="370" t="str">
        <f t="shared" si="27"/>
        <v/>
      </c>
      <c r="AC210" s="383" t="str">
        <f t="shared" si="28"/>
        <v/>
      </c>
      <c r="AD210" s="422" t="str">
        <f>IFERROR(IF(AC210="Check Data ⚠","Check Data ⚠",VLOOKUP(AC210,'G-4 Temporal multipliers'!$A$4:$C$37,3,FALSE)),"")</f>
        <v/>
      </c>
      <c r="AE210" s="362" t="str">
        <f>IF(N210="","",VLOOKUP(N210,'G-7 WaterC'' Data'!$B$4:$G$8,5,FALSE))</f>
        <v/>
      </c>
      <c r="AF210" s="370" t="str">
        <f t="shared" si="29"/>
        <v/>
      </c>
      <c r="AG210" s="401" t="str">
        <f t="shared" si="30"/>
        <v/>
      </c>
      <c r="AH210" s="363" t="str">
        <f t="shared" si="25"/>
        <v/>
      </c>
      <c r="AI210" s="122"/>
      <c r="AJ210" s="363" t="str">
        <f>IF(AI210="","",IF(VLOOKUP(AI210,'G-7 WaterC'' Data'!$AA$4:$AB$7,2,FALSE)=0,"Spatial Data Missing ⚠",VLOOKUP(AI210,'G-7 WaterC'' Data'!$AA$4:$AB$7,2,FALSE)))</f>
        <v/>
      </c>
      <c r="AK210" s="123"/>
      <c r="AL210" s="363" t="str">
        <f>IF(AK210="","",IF(VLOOKUP(AK210,'G-7 WaterC'' Data'!$AD$4:$AE$14,2,FALSE)=0,"Spatial Data Missing ⚠",VLOOKUP(AK210,'G-7 WaterC'' Data'!$AD$4:$AE$14,2,FALSE)))</f>
        <v/>
      </c>
      <c r="AM210" s="405" t="str">
        <f t="shared" si="31"/>
        <v/>
      </c>
      <c r="AN210" s="117"/>
      <c r="AO210" s="118"/>
      <c r="AP210" s="120"/>
      <c r="AV210" s="30" t="str">
        <f>IFERROR(INDEX('G-7 WaterC'' Data'!$AZ$3:$AZ$7,MATCH(N210,'G-7 WaterC'' Data'!$AY$3:$AY$7,0)),"")</f>
        <v/>
      </c>
    </row>
    <row r="211" spans="2:48" ht="15">
      <c r="B211" s="392" t="str">
        <f>'C-1 On-Site WaterC'' Baseline'!AO209</f>
        <v/>
      </c>
      <c r="C211" s="382" t="str">
        <f>IF(B211="","",VLOOKUP($B211,'C-1 On-Site WaterC'' Baseline'!$C$9:$R$257,2,FALSE))</f>
        <v/>
      </c>
      <c r="D211" s="382" t="str">
        <f>IF(C211="","",VLOOKUP($B211,'C-1 On-Site WaterC'' Baseline'!$C$9:$R$257,3,FALSE))</f>
        <v/>
      </c>
      <c r="E211" s="382" t="str">
        <f>IF(D211="","",VLOOKUP($B211,'C-1 On-Site WaterC'' Baseline'!$C$9:$R$257,4,FALSE))</f>
        <v/>
      </c>
      <c r="F211" s="382" t="str">
        <f>IF(E211="","",VLOOKUP($B211,'C-1 On-Site WaterC'' Baseline'!$C$9:$R$257,5,FALSE))</f>
        <v/>
      </c>
      <c r="G211" s="382" t="str">
        <f>IF(F211="","",VLOOKUP($B211,'C-1 On-Site WaterC'' Baseline'!$C$9:$R$257,6,FALSE))</f>
        <v/>
      </c>
      <c r="H211" s="382" t="str">
        <f>IF(G211="","",VLOOKUP($B211,'C-1 On-Site WaterC'' Baseline'!$C$9:$R$257,7,FALSE))</f>
        <v/>
      </c>
      <c r="I211" s="382" t="str">
        <f>IF(H211="","",VLOOKUP($B211,'C-1 On-Site WaterC'' Baseline'!$C$9:$R$257,8,FALSE))</f>
        <v/>
      </c>
      <c r="J211" s="382" t="str">
        <f>IF(I211="","",VLOOKUP($B211,'C-1 On-Site WaterC'' Baseline'!$C$9:$R$257,9,FALSE))</f>
        <v/>
      </c>
      <c r="K211" s="382" t="str">
        <f>IF(J211="","",VLOOKUP($B211,'C-1 On-Site WaterC'' Baseline'!$C$9:$R$257,10,FALSE))</f>
        <v/>
      </c>
      <c r="L211" s="382" t="str">
        <f>IF(B211="","",VLOOKUP($B211,'C-1 On-Site WaterC'' Baseline'!$C$9:$R$257,15,FALSE))</f>
        <v/>
      </c>
      <c r="M211" s="386" t="str">
        <f>IF(L211="","",VLOOKUP($B211,'C-1 On-Site WaterC'' Baseline'!$C$9:$R$257,16,FALSE))</f>
        <v/>
      </c>
      <c r="N211" s="320" t="str">
        <f t="shared" si="24"/>
        <v/>
      </c>
      <c r="O211" s="362" t="str">
        <f t="shared" si="26"/>
        <v/>
      </c>
      <c r="P211" s="363" t="str">
        <f>IF(C211="","",IF(AND(LEFT(C211,55)&lt;&gt;LEFT(N211,55),O211="High - High"),"Error - Not like for like ▲",IF(H211&gt;U211,"Error - Can not reduce condition ▲",IF(AND(F211=S211,H211=U211,AJ211='C-1 On-Site WaterC'' Baseline'!N209,'C-1 On-Site WaterC'' Baseline'!P209=AL211),"Error - No enhancement ▲",IF(AND(C211&lt;&gt;N211,F211&lt;S211),"Lower Distinctiveness Habitat"&amp;" - "&amp;T211,G211&amp;" - "&amp;T211)))))</f>
        <v/>
      </c>
      <c r="Q211" s="425" t="str">
        <f>IF(N211="","",VLOOKUP(B211,'C-1 On-Site WaterC'' Baseline'!$C$10:$AB$257,19,FALSE))</f>
        <v/>
      </c>
      <c r="R211" s="362" t="str">
        <f>IF(N211="","",VLOOKUP(N211,'G-7 WaterC'' Data'!$B$2:$G$8,2,FALSE))</f>
        <v/>
      </c>
      <c r="S211" s="363" t="str">
        <f>IFERROR(VLOOKUP(R211,'G-7 WaterC'' Data'!$C$4:$D$8,2,FALSE),"")</f>
        <v/>
      </c>
      <c r="T211" s="114"/>
      <c r="U211" s="363" t="str">
        <f>IFERROR(INDEX('G-7 WaterC'' Data'!$H$4:$L$8,MATCH(N211,'G-7 WaterC'' Data'!$B$4:$B$8,0),MATCH(T211,'G-7 WaterC'' Data'!$H$3:$L$3,0)),"")</f>
        <v/>
      </c>
      <c r="V211" s="114"/>
      <c r="W211" s="370" t="str">
        <f>IF(V211="","",IF(VLOOKUP(V211,'G-7 WaterC'' Data'!$AK$4:$AM$6,2,FALSE)=0,"Spatial Data Missing ⚠",VLOOKUP(V211,'G-7 WaterC'' Data'!$AK$4:$AM$6,2,FALSE)))</f>
        <v/>
      </c>
      <c r="X211" s="363" t="str">
        <f>IF(V211="","",IF(VLOOKUP(V211,'G-7 WaterC'' Data'!$AK$4:$AM$6,3,FALSE)=0,"Spatial Data Missing ⚠",VLOOKUP(V211,'G-7 WaterC'' Data'!$AK$4:$AM$6,3,FALSE)))</f>
        <v/>
      </c>
      <c r="Y211" s="362" t="str">
        <f>IFERROR(IF(OR(LEFT(P211,5)="Error",LEFT(O211,5)="Error ▲"),"Check Data ⚠",IF(F211&lt;S211,'G-7 WaterC'' Data'!$R$3,INDEX('G-7 WaterC'' Data'!$U$5:$Y$9,MATCH(G211,'G-7 WaterC'' Data'!$T$5:$T$9,0),MATCH(T211,'G-7 WaterC'' Data'!$U$4:$Y$4,0)))),"")</f>
        <v/>
      </c>
      <c r="Z211" s="159"/>
      <c r="AA211" s="159"/>
      <c r="AB211" s="370" t="str">
        <f t="shared" si="27"/>
        <v/>
      </c>
      <c r="AC211" s="383" t="str">
        <f t="shared" si="28"/>
        <v/>
      </c>
      <c r="AD211" s="422" t="str">
        <f>IFERROR(IF(AC211="Check Data ⚠","Check Data ⚠",VLOOKUP(AC211,'G-4 Temporal multipliers'!$A$4:$C$37,3,FALSE)),"")</f>
        <v/>
      </c>
      <c r="AE211" s="362" t="str">
        <f>IF(N211="","",VLOOKUP(N211,'G-7 WaterC'' Data'!$B$4:$G$8,5,FALSE))</f>
        <v/>
      </c>
      <c r="AF211" s="370" t="str">
        <f t="shared" si="29"/>
        <v/>
      </c>
      <c r="AG211" s="401" t="str">
        <f t="shared" si="30"/>
        <v/>
      </c>
      <c r="AH211" s="363" t="str">
        <f t="shared" si="25"/>
        <v/>
      </c>
      <c r="AI211" s="122"/>
      <c r="AJ211" s="363" t="str">
        <f>IF(AI211="","",IF(VLOOKUP(AI211,'G-7 WaterC'' Data'!$AA$4:$AB$7,2,FALSE)=0,"Spatial Data Missing ⚠",VLOOKUP(AI211,'G-7 WaterC'' Data'!$AA$4:$AB$7,2,FALSE)))</f>
        <v/>
      </c>
      <c r="AK211" s="123"/>
      <c r="AL211" s="363" t="str">
        <f>IF(AK211="","",IF(VLOOKUP(AK211,'G-7 WaterC'' Data'!$AD$4:$AE$14,2,FALSE)=0,"Spatial Data Missing ⚠",VLOOKUP(AK211,'G-7 WaterC'' Data'!$AD$4:$AE$14,2,FALSE)))</f>
        <v/>
      </c>
      <c r="AM211" s="405" t="str">
        <f t="shared" si="31"/>
        <v/>
      </c>
      <c r="AN211" s="117"/>
      <c r="AO211" s="118"/>
      <c r="AP211" s="120"/>
      <c r="AV211" s="30" t="str">
        <f>IFERROR(INDEX('G-7 WaterC'' Data'!$AZ$3:$AZ$7,MATCH(N211,'G-7 WaterC'' Data'!$AY$3:$AY$7,0)),"")</f>
        <v/>
      </c>
    </row>
    <row r="212" spans="2:48" ht="15">
      <c r="B212" s="392" t="str">
        <f>'C-1 On-Site WaterC'' Baseline'!AO210</f>
        <v/>
      </c>
      <c r="C212" s="382" t="str">
        <f>IF(B212="","",VLOOKUP($B212,'C-1 On-Site WaterC'' Baseline'!$C$9:$R$257,2,FALSE))</f>
        <v/>
      </c>
      <c r="D212" s="382" t="str">
        <f>IF(C212="","",VLOOKUP($B212,'C-1 On-Site WaterC'' Baseline'!$C$9:$R$257,3,FALSE))</f>
        <v/>
      </c>
      <c r="E212" s="382" t="str">
        <f>IF(D212="","",VLOOKUP($B212,'C-1 On-Site WaterC'' Baseline'!$C$9:$R$257,4,FALSE))</f>
        <v/>
      </c>
      <c r="F212" s="382" t="str">
        <f>IF(E212="","",VLOOKUP($B212,'C-1 On-Site WaterC'' Baseline'!$C$9:$R$257,5,FALSE))</f>
        <v/>
      </c>
      <c r="G212" s="382" t="str">
        <f>IF(F212="","",VLOOKUP($B212,'C-1 On-Site WaterC'' Baseline'!$C$9:$R$257,6,FALSE))</f>
        <v/>
      </c>
      <c r="H212" s="382" t="str">
        <f>IF(G212="","",VLOOKUP($B212,'C-1 On-Site WaterC'' Baseline'!$C$9:$R$257,7,FALSE))</f>
        <v/>
      </c>
      <c r="I212" s="382" t="str">
        <f>IF(H212="","",VLOOKUP($B212,'C-1 On-Site WaterC'' Baseline'!$C$9:$R$257,8,FALSE))</f>
        <v/>
      </c>
      <c r="J212" s="382" t="str">
        <f>IF(I212="","",VLOOKUP($B212,'C-1 On-Site WaterC'' Baseline'!$C$9:$R$257,9,FALSE))</f>
        <v/>
      </c>
      <c r="K212" s="382" t="str">
        <f>IF(J212="","",VLOOKUP($B212,'C-1 On-Site WaterC'' Baseline'!$C$9:$R$257,10,FALSE))</f>
        <v/>
      </c>
      <c r="L212" s="382" t="str">
        <f>IF(B212="","",VLOOKUP($B212,'C-1 On-Site WaterC'' Baseline'!$C$9:$R$257,15,FALSE))</f>
        <v/>
      </c>
      <c r="M212" s="386" t="str">
        <f>IF(L212="","",VLOOKUP($B212,'C-1 On-Site WaterC'' Baseline'!$C$9:$R$257,16,FALSE))</f>
        <v/>
      </c>
      <c r="N212" s="320" t="str">
        <f t="shared" si="24"/>
        <v/>
      </c>
      <c r="O212" s="362" t="str">
        <f t="shared" si="26"/>
        <v/>
      </c>
      <c r="P212" s="363" t="str">
        <f>IF(C212="","",IF(AND(LEFT(C212,55)&lt;&gt;LEFT(N212,55),O212="High - High"),"Error - Not like for like ▲",IF(H212&gt;U212,"Error - Can not reduce condition ▲",IF(AND(F212=S212,H212=U212,AJ212='C-1 On-Site WaterC'' Baseline'!N210,'C-1 On-Site WaterC'' Baseline'!P210=AL212),"Error - No enhancement ▲",IF(AND(C212&lt;&gt;N212,F212&lt;S212),"Lower Distinctiveness Habitat"&amp;" - "&amp;T212,G212&amp;" - "&amp;T212)))))</f>
        <v/>
      </c>
      <c r="Q212" s="425" t="str">
        <f>IF(N212="","",VLOOKUP(B212,'C-1 On-Site WaterC'' Baseline'!$C$10:$AB$257,19,FALSE))</f>
        <v/>
      </c>
      <c r="R212" s="362" t="str">
        <f>IF(N212="","",VLOOKUP(N212,'G-7 WaterC'' Data'!$B$2:$G$8,2,FALSE))</f>
        <v/>
      </c>
      <c r="S212" s="363" t="str">
        <f>IFERROR(VLOOKUP(R212,'G-7 WaterC'' Data'!$C$4:$D$8,2,FALSE),"")</f>
        <v/>
      </c>
      <c r="T212" s="114"/>
      <c r="U212" s="363" t="str">
        <f>IFERROR(INDEX('G-7 WaterC'' Data'!$H$4:$L$8,MATCH(N212,'G-7 WaterC'' Data'!$B$4:$B$8,0),MATCH(T212,'G-7 WaterC'' Data'!$H$3:$L$3,0)),"")</f>
        <v/>
      </c>
      <c r="V212" s="114"/>
      <c r="W212" s="370" t="str">
        <f>IF(V212="","",IF(VLOOKUP(V212,'G-7 WaterC'' Data'!$AK$4:$AM$6,2,FALSE)=0,"Spatial Data Missing ⚠",VLOOKUP(V212,'G-7 WaterC'' Data'!$AK$4:$AM$6,2,FALSE)))</f>
        <v/>
      </c>
      <c r="X212" s="363" t="str">
        <f>IF(V212="","",IF(VLOOKUP(V212,'G-7 WaterC'' Data'!$AK$4:$AM$6,3,FALSE)=0,"Spatial Data Missing ⚠",VLOOKUP(V212,'G-7 WaterC'' Data'!$AK$4:$AM$6,3,FALSE)))</f>
        <v/>
      </c>
      <c r="Y212" s="362" t="str">
        <f>IFERROR(IF(OR(LEFT(P212,5)="Error",LEFT(O212,5)="Error ▲"),"Check Data ⚠",IF(F212&lt;S212,'G-7 WaterC'' Data'!$R$3,INDEX('G-7 WaterC'' Data'!$U$5:$Y$9,MATCH(G212,'G-7 WaterC'' Data'!$T$5:$T$9,0),MATCH(T212,'G-7 WaterC'' Data'!$U$4:$Y$4,0)))),"")</f>
        <v/>
      </c>
      <c r="Z212" s="159"/>
      <c r="AA212" s="159"/>
      <c r="AB212" s="370" t="str">
        <f t="shared" si="27"/>
        <v/>
      </c>
      <c r="AC212" s="383" t="str">
        <f t="shared" si="28"/>
        <v/>
      </c>
      <c r="AD212" s="422" t="str">
        <f>IFERROR(IF(AC212="Check Data ⚠","Check Data ⚠",VLOOKUP(AC212,'G-4 Temporal multipliers'!$A$4:$C$37,3,FALSE)),"")</f>
        <v/>
      </c>
      <c r="AE212" s="362" t="str">
        <f>IF(N212="","",VLOOKUP(N212,'G-7 WaterC'' Data'!$B$4:$G$8,5,FALSE))</f>
        <v/>
      </c>
      <c r="AF212" s="370" t="str">
        <f t="shared" si="29"/>
        <v/>
      </c>
      <c r="AG212" s="401" t="str">
        <f t="shared" si="30"/>
        <v/>
      </c>
      <c r="AH212" s="363" t="str">
        <f t="shared" si="25"/>
        <v/>
      </c>
      <c r="AI212" s="122"/>
      <c r="AJ212" s="363" t="str">
        <f>IF(AI212="","",IF(VLOOKUP(AI212,'G-7 WaterC'' Data'!$AA$4:$AB$7,2,FALSE)=0,"Spatial Data Missing ⚠",VLOOKUP(AI212,'G-7 WaterC'' Data'!$AA$4:$AB$7,2,FALSE)))</f>
        <v/>
      </c>
      <c r="AK212" s="123"/>
      <c r="AL212" s="363" t="str">
        <f>IF(AK212="","",IF(VLOOKUP(AK212,'G-7 WaterC'' Data'!$AD$4:$AE$14,2,FALSE)=0,"Spatial Data Missing ⚠",VLOOKUP(AK212,'G-7 WaterC'' Data'!$AD$4:$AE$14,2,FALSE)))</f>
        <v/>
      </c>
      <c r="AM212" s="405" t="str">
        <f t="shared" si="31"/>
        <v/>
      </c>
      <c r="AN212" s="117"/>
      <c r="AO212" s="118"/>
      <c r="AP212" s="120"/>
      <c r="AV212" s="30" t="str">
        <f>IFERROR(INDEX('G-7 WaterC'' Data'!$AZ$3:$AZ$7,MATCH(N212,'G-7 WaterC'' Data'!$AY$3:$AY$7,0)),"")</f>
        <v/>
      </c>
    </row>
    <row r="213" spans="2:48" ht="15">
      <c r="B213" s="392" t="str">
        <f>'C-1 On-Site WaterC'' Baseline'!AO211</f>
        <v/>
      </c>
      <c r="C213" s="382" t="str">
        <f>IF(B213="","",VLOOKUP($B213,'C-1 On-Site WaterC'' Baseline'!$C$9:$R$257,2,FALSE))</f>
        <v/>
      </c>
      <c r="D213" s="382" t="str">
        <f>IF(C213="","",VLOOKUP($B213,'C-1 On-Site WaterC'' Baseline'!$C$9:$R$257,3,FALSE))</f>
        <v/>
      </c>
      <c r="E213" s="382" t="str">
        <f>IF(D213="","",VLOOKUP($B213,'C-1 On-Site WaterC'' Baseline'!$C$9:$R$257,4,FALSE))</f>
        <v/>
      </c>
      <c r="F213" s="382" t="str">
        <f>IF(E213="","",VLOOKUP($B213,'C-1 On-Site WaterC'' Baseline'!$C$9:$R$257,5,FALSE))</f>
        <v/>
      </c>
      <c r="G213" s="382" t="str">
        <f>IF(F213="","",VLOOKUP($B213,'C-1 On-Site WaterC'' Baseline'!$C$9:$R$257,6,FALSE))</f>
        <v/>
      </c>
      <c r="H213" s="382" t="str">
        <f>IF(G213="","",VLOOKUP($B213,'C-1 On-Site WaterC'' Baseline'!$C$9:$R$257,7,FALSE))</f>
        <v/>
      </c>
      <c r="I213" s="382" t="str">
        <f>IF(H213="","",VLOOKUP($B213,'C-1 On-Site WaterC'' Baseline'!$C$9:$R$257,8,FALSE))</f>
        <v/>
      </c>
      <c r="J213" s="382" t="str">
        <f>IF(I213="","",VLOOKUP($B213,'C-1 On-Site WaterC'' Baseline'!$C$9:$R$257,9,FALSE))</f>
        <v/>
      </c>
      <c r="K213" s="382" t="str">
        <f>IF(J213="","",VLOOKUP($B213,'C-1 On-Site WaterC'' Baseline'!$C$9:$R$257,10,FALSE))</f>
        <v/>
      </c>
      <c r="L213" s="382" t="str">
        <f>IF(B213="","",VLOOKUP($B213,'C-1 On-Site WaterC'' Baseline'!$C$9:$R$257,15,FALSE))</f>
        <v/>
      </c>
      <c r="M213" s="386" t="str">
        <f>IF(L213="","",VLOOKUP($B213,'C-1 On-Site WaterC'' Baseline'!$C$9:$R$257,16,FALSE))</f>
        <v/>
      </c>
      <c r="N213" s="320" t="str">
        <f t="shared" si="24"/>
        <v/>
      </c>
      <c r="O213" s="362" t="str">
        <f t="shared" si="26"/>
        <v/>
      </c>
      <c r="P213" s="363" t="str">
        <f>IF(C213="","",IF(AND(LEFT(C213,55)&lt;&gt;LEFT(N213,55),O213="High - High"),"Error - Not like for like ▲",IF(H213&gt;U213,"Error - Can not reduce condition ▲",IF(AND(F213=S213,H213=U213,AJ213='C-1 On-Site WaterC'' Baseline'!N211,'C-1 On-Site WaterC'' Baseline'!P211=AL213),"Error - No enhancement ▲",IF(AND(C213&lt;&gt;N213,F213&lt;S213),"Lower Distinctiveness Habitat"&amp;" - "&amp;T213,G213&amp;" - "&amp;T213)))))</f>
        <v/>
      </c>
      <c r="Q213" s="425" t="str">
        <f>IF(N213="","",VLOOKUP(B213,'C-1 On-Site WaterC'' Baseline'!$C$10:$AB$257,19,FALSE))</f>
        <v/>
      </c>
      <c r="R213" s="362" t="str">
        <f>IF(N213="","",VLOOKUP(N213,'G-7 WaterC'' Data'!$B$2:$G$8,2,FALSE))</f>
        <v/>
      </c>
      <c r="S213" s="363" t="str">
        <f>IFERROR(VLOOKUP(R213,'G-7 WaterC'' Data'!$C$4:$D$8,2,FALSE),"")</f>
        <v/>
      </c>
      <c r="T213" s="114"/>
      <c r="U213" s="363" t="str">
        <f>IFERROR(INDEX('G-7 WaterC'' Data'!$H$4:$L$8,MATCH(N213,'G-7 WaterC'' Data'!$B$4:$B$8,0),MATCH(T213,'G-7 WaterC'' Data'!$H$3:$L$3,0)),"")</f>
        <v/>
      </c>
      <c r="V213" s="114"/>
      <c r="W213" s="370" t="str">
        <f>IF(V213="","",IF(VLOOKUP(V213,'G-7 WaterC'' Data'!$AK$4:$AM$6,2,FALSE)=0,"Spatial Data Missing ⚠",VLOOKUP(V213,'G-7 WaterC'' Data'!$AK$4:$AM$6,2,FALSE)))</f>
        <v/>
      </c>
      <c r="X213" s="363" t="str">
        <f>IF(V213="","",IF(VLOOKUP(V213,'G-7 WaterC'' Data'!$AK$4:$AM$6,3,FALSE)=0,"Spatial Data Missing ⚠",VLOOKUP(V213,'G-7 WaterC'' Data'!$AK$4:$AM$6,3,FALSE)))</f>
        <v/>
      </c>
      <c r="Y213" s="362" t="str">
        <f>IFERROR(IF(OR(LEFT(P213,5)="Error",LEFT(O213,5)="Error ▲"),"Check Data ⚠",IF(F213&lt;S213,'G-7 WaterC'' Data'!$R$3,INDEX('G-7 WaterC'' Data'!$U$5:$Y$9,MATCH(G213,'G-7 WaterC'' Data'!$T$5:$T$9,0),MATCH(T213,'G-7 WaterC'' Data'!$U$4:$Y$4,0)))),"")</f>
        <v/>
      </c>
      <c r="Z213" s="159"/>
      <c r="AA213" s="159"/>
      <c r="AB213" s="370" t="str">
        <f t="shared" si="27"/>
        <v/>
      </c>
      <c r="AC213" s="383" t="str">
        <f t="shared" si="28"/>
        <v/>
      </c>
      <c r="AD213" s="422" t="str">
        <f>IFERROR(IF(AC213="Check Data ⚠","Check Data ⚠",VLOOKUP(AC213,'G-4 Temporal multipliers'!$A$4:$C$37,3,FALSE)),"")</f>
        <v/>
      </c>
      <c r="AE213" s="362" t="str">
        <f>IF(N213="","",VLOOKUP(N213,'G-7 WaterC'' Data'!$B$4:$G$8,5,FALSE))</f>
        <v/>
      </c>
      <c r="AF213" s="370" t="str">
        <f t="shared" si="29"/>
        <v/>
      </c>
      <c r="AG213" s="401" t="str">
        <f t="shared" si="30"/>
        <v/>
      </c>
      <c r="AH213" s="363" t="str">
        <f t="shared" si="25"/>
        <v/>
      </c>
      <c r="AI213" s="122"/>
      <c r="AJ213" s="363" t="str">
        <f>IF(AI213="","",IF(VLOOKUP(AI213,'G-7 WaterC'' Data'!$AA$4:$AB$7,2,FALSE)=0,"Spatial Data Missing ⚠",VLOOKUP(AI213,'G-7 WaterC'' Data'!$AA$4:$AB$7,2,FALSE)))</f>
        <v/>
      </c>
      <c r="AK213" s="123"/>
      <c r="AL213" s="363" t="str">
        <f>IF(AK213="","",IF(VLOOKUP(AK213,'G-7 WaterC'' Data'!$AD$4:$AE$14,2,FALSE)=0,"Spatial Data Missing ⚠",VLOOKUP(AK213,'G-7 WaterC'' Data'!$AD$4:$AE$14,2,FALSE)))</f>
        <v/>
      </c>
      <c r="AM213" s="405" t="str">
        <f t="shared" si="31"/>
        <v/>
      </c>
      <c r="AN213" s="117"/>
      <c r="AO213" s="118"/>
      <c r="AP213" s="120"/>
      <c r="AV213" s="30" t="str">
        <f>IFERROR(INDEX('G-7 WaterC'' Data'!$AZ$3:$AZ$7,MATCH(N213,'G-7 WaterC'' Data'!$AY$3:$AY$7,0)),"")</f>
        <v/>
      </c>
    </row>
    <row r="214" spans="2:48" ht="15">
      <c r="B214" s="392" t="str">
        <f>'C-1 On-Site WaterC'' Baseline'!AO212</f>
        <v/>
      </c>
      <c r="C214" s="382" t="str">
        <f>IF(B214="","",VLOOKUP($B214,'C-1 On-Site WaterC'' Baseline'!$C$9:$R$257,2,FALSE))</f>
        <v/>
      </c>
      <c r="D214" s="382" t="str">
        <f>IF(C214="","",VLOOKUP($B214,'C-1 On-Site WaterC'' Baseline'!$C$9:$R$257,3,FALSE))</f>
        <v/>
      </c>
      <c r="E214" s="382" t="str">
        <f>IF(D214="","",VLOOKUP($B214,'C-1 On-Site WaterC'' Baseline'!$C$9:$R$257,4,FALSE))</f>
        <v/>
      </c>
      <c r="F214" s="382" t="str">
        <f>IF(E214="","",VLOOKUP($B214,'C-1 On-Site WaterC'' Baseline'!$C$9:$R$257,5,FALSE))</f>
        <v/>
      </c>
      <c r="G214" s="382" t="str">
        <f>IF(F214="","",VLOOKUP($B214,'C-1 On-Site WaterC'' Baseline'!$C$9:$R$257,6,FALSE))</f>
        <v/>
      </c>
      <c r="H214" s="382" t="str">
        <f>IF(G214="","",VLOOKUP($B214,'C-1 On-Site WaterC'' Baseline'!$C$9:$R$257,7,FALSE))</f>
        <v/>
      </c>
      <c r="I214" s="382" t="str">
        <f>IF(H214="","",VLOOKUP($B214,'C-1 On-Site WaterC'' Baseline'!$C$9:$R$257,8,FALSE))</f>
        <v/>
      </c>
      <c r="J214" s="382" t="str">
        <f>IF(I214="","",VLOOKUP($B214,'C-1 On-Site WaterC'' Baseline'!$C$9:$R$257,9,FALSE))</f>
        <v/>
      </c>
      <c r="K214" s="382" t="str">
        <f>IF(J214="","",VLOOKUP($B214,'C-1 On-Site WaterC'' Baseline'!$C$9:$R$257,10,FALSE))</f>
        <v/>
      </c>
      <c r="L214" s="382" t="str">
        <f>IF(B214="","",VLOOKUP($B214,'C-1 On-Site WaterC'' Baseline'!$C$9:$R$257,15,FALSE))</f>
        <v/>
      </c>
      <c r="M214" s="386" t="str">
        <f>IF(L214="","",VLOOKUP($B214,'C-1 On-Site WaterC'' Baseline'!$C$9:$R$257,16,FALSE))</f>
        <v/>
      </c>
      <c r="N214" s="320" t="str">
        <f t="shared" si="24"/>
        <v/>
      </c>
      <c r="O214" s="362" t="str">
        <f t="shared" si="26"/>
        <v/>
      </c>
      <c r="P214" s="363" t="str">
        <f>IF(C214="","",IF(AND(LEFT(C214,55)&lt;&gt;LEFT(N214,55),O214="High - High"),"Error - Not like for like ▲",IF(H214&gt;U214,"Error - Can not reduce condition ▲",IF(AND(F214=S214,H214=U214,AJ214='C-1 On-Site WaterC'' Baseline'!N212,'C-1 On-Site WaterC'' Baseline'!P212=AL214),"Error - No enhancement ▲",IF(AND(C214&lt;&gt;N214,F214&lt;S214),"Lower Distinctiveness Habitat"&amp;" - "&amp;T214,G214&amp;" - "&amp;T214)))))</f>
        <v/>
      </c>
      <c r="Q214" s="425" t="str">
        <f>IF(N214="","",VLOOKUP(B214,'C-1 On-Site WaterC'' Baseline'!$C$10:$AB$257,19,FALSE))</f>
        <v/>
      </c>
      <c r="R214" s="362" t="str">
        <f>IF(N214="","",VLOOKUP(N214,'G-7 WaterC'' Data'!$B$2:$G$8,2,FALSE))</f>
        <v/>
      </c>
      <c r="S214" s="363" t="str">
        <f>IFERROR(VLOOKUP(R214,'G-7 WaterC'' Data'!$C$4:$D$8,2,FALSE),"")</f>
        <v/>
      </c>
      <c r="T214" s="114"/>
      <c r="U214" s="363" t="str">
        <f>IFERROR(INDEX('G-7 WaterC'' Data'!$H$4:$L$8,MATCH(N214,'G-7 WaterC'' Data'!$B$4:$B$8,0),MATCH(T214,'G-7 WaterC'' Data'!$H$3:$L$3,0)),"")</f>
        <v/>
      </c>
      <c r="V214" s="114"/>
      <c r="W214" s="370" t="str">
        <f>IF(V214="","",IF(VLOOKUP(V214,'G-7 WaterC'' Data'!$AK$4:$AM$6,2,FALSE)=0,"Spatial Data Missing ⚠",VLOOKUP(V214,'G-7 WaterC'' Data'!$AK$4:$AM$6,2,FALSE)))</f>
        <v/>
      </c>
      <c r="X214" s="363" t="str">
        <f>IF(V214="","",IF(VLOOKUP(V214,'G-7 WaterC'' Data'!$AK$4:$AM$6,3,FALSE)=0,"Spatial Data Missing ⚠",VLOOKUP(V214,'G-7 WaterC'' Data'!$AK$4:$AM$6,3,FALSE)))</f>
        <v/>
      </c>
      <c r="Y214" s="362" t="str">
        <f>IFERROR(IF(OR(LEFT(P214,5)="Error",LEFT(O214,5)="Error ▲"),"Check Data ⚠",IF(F214&lt;S214,'G-7 WaterC'' Data'!$R$3,INDEX('G-7 WaterC'' Data'!$U$5:$Y$9,MATCH(G214,'G-7 WaterC'' Data'!$T$5:$T$9,0),MATCH(T214,'G-7 WaterC'' Data'!$U$4:$Y$4,0)))),"")</f>
        <v/>
      </c>
      <c r="Z214" s="159"/>
      <c r="AA214" s="159"/>
      <c r="AB214" s="370" t="str">
        <f t="shared" si="27"/>
        <v/>
      </c>
      <c r="AC214" s="383" t="str">
        <f t="shared" si="28"/>
        <v/>
      </c>
      <c r="AD214" s="422" t="str">
        <f>IFERROR(IF(AC214="Check Data ⚠","Check Data ⚠",VLOOKUP(AC214,'G-4 Temporal multipliers'!$A$4:$C$37,3,FALSE)),"")</f>
        <v/>
      </c>
      <c r="AE214" s="362" t="str">
        <f>IF(N214="","",VLOOKUP(N214,'G-7 WaterC'' Data'!$B$4:$G$8,5,FALSE))</f>
        <v/>
      </c>
      <c r="AF214" s="370" t="str">
        <f t="shared" si="29"/>
        <v/>
      </c>
      <c r="AG214" s="401" t="str">
        <f t="shared" si="30"/>
        <v/>
      </c>
      <c r="AH214" s="363" t="str">
        <f t="shared" si="25"/>
        <v/>
      </c>
      <c r="AI214" s="122"/>
      <c r="AJ214" s="363" t="str">
        <f>IF(AI214="","",IF(VLOOKUP(AI214,'G-7 WaterC'' Data'!$AA$4:$AB$7,2,FALSE)=0,"Spatial Data Missing ⚠",VLOOKUP(AI214,'G-7 WaterC'' Data'!$AA$4:$AB$7,2,FALSE)))</f>
        <v/>
      </c>
      <c r="AK214" s="123"/>
      <c r="AL214" s="363" t="str">
        <f>IF(AK214="","",IF(VLOOKUP(AK214,'G-7 WaterC'' Data'!$AD$4:$AE$14,2,FALSE)=0,"Spatial Data Missing ⚠",VLOOKUP(AK214,'G-7 WaterC'' Data'!$AD$4:$AE$14,2,FALSE)))</f>
        <v/>
      </c>
      <c r="AM214" s="405" t="str">
        <f t="shared" si="31"/>
        <v/>
      </c>
      <c r="AN214" s="117"/>
      <c r="AO214" s="118"/>
      <c r="AP214" s="120"/>
      <c r="AV214" s="30" t="str">
        <f>IFERROR(INDEX('G-7 WaterC'' Data'!$AZ$3:$AZ$7,MATCH(N214,'G-7 WaterC'' Data'!$AY$3:$AY$7,0)),"")</f>
        <v/>
      </c>
    </row>
    <row r="215" spans="2:48" ht="15">
      <c r="B215" s="392" t="str">
        <f>'C-1 On-Site WaterC'' Baseline'!AO213</f>
        <v/>
      </c>
      <c r="C215" s="382" t="str">
        <f>IF(B215="","",VLOOKUP($B215,'C-1 On-Site WaterC'' Baseline'!$C$9:$R$257,2,FALSE))</f>
        <v/>
      </c>
      <c r="D215" s="382" t="str">
        <f>IF(C215="","",VLOOKUP($B215,'C-1 On-Site WaterC'' Baseline'!$C$9:$R$257,3,FALSE))</f>
        <v/>
      </c>
      <c r="E215" s="382" t="str">
        <f>IF(D215="","",VLOOKUP($B215,'C-1 On-Site WaterC'' Baseline'!$C$9:$R$257,4,FALSE))</f>
        <v/>
      </c>
      <c r="F215" s="382" t="str">
        <f>IF(E215="","",VLOOKUP($B215,'C-1 On-Site WaterC'' Baseline'!$C$9:$R$257,5,FALSE))</f>
        <v/>
      </c>
      <c r="G215" s="382" t="str">
        <f>IF(F215="","",VLOOKUP($B215,'C-1 On-Site WaterC'' Baseline'!$C$9:$R$257,6,FALSE))</f>
        <v/>
      </c>
      <c r="H215" s="382" t="str">
        <f>IF(G215="","",VLOOKUP($B215,'C-1 On-Site WaterC'' Baseline'!$C$9:$R$257,7,FALSE))</f>
        <v/>
      </c>
      <c r="I215" s="382" t="str">
        <f>IF(H215="","",VLOOKUP($B215,'C-1 On-Site WaterC'' Baseline'!$C$9:$R$257,8,FALSE))</f>
        <v/>
      </c>
      <c r="J215" s="382" t="str">
        <f>IF(I215="","",VLOOKUP($B215,'C-1 On-Site WaterC'' Baseline'!$C$9:$R$257,9,FALSE))</f>
        <v/>
      </c>
      <c r="K215" s="382" t="str">
        <f>IF(J215="","",VLOOKUP($B215,'C-1 On-Site WaterC'' Baseline'!$C$9:$R$257,10,FALSE))</f>
        <v/>
      </c>
      <c r="L215" s="382" t="str">
        <f>IF(B215="","",VLOOKUP($B215,'C-1 On-Site WaterC'' Baseline'!$C$9:$R$257,15,FALSE))</f>
        <v/>
      </c>
      <c r="M215" s="386" t="str">
        <f>IF(L215="","",VLOOKUP($B215,'C-1 On-Site WaterC'' Baseline'!$C$9:$R$257,16,FALSE))</f>
        <v/>
      </c>
      <c r="N215" s="320" t="str">
        <f t="shared" si="24"/>
        <v/>
      </c>
      <c r="O215" s="362" t="str">
        <f t="shared" si="26"/>
        <v/>
      </c>
      <c r="P215" s="363" t="str">
        <f>IF(C215="","",IF(AND(LEFT(C215,55)&lt;&gt;LEFT(N215,55),O215="High - High"),"Error - Not like for like ▲",IF(H215&gt;U215,"Error - Can not reduce condition ▲",IF(AND(F215=S215,H215=U215,AJ215='C-1 On-Site WaterC'' Baseline'!N213,'C-1 On-Site WaterC'' Baseline'!P213=AL215),"Error - No enhancement ▲",IF(AND(C215&lt;&gt;N215,F215&lt;S215),"Lower Distinctiveness Habitat"&amp;" - "&amp;T215,G215&amp;" - "&amp;T215)))))</f>
        <v/>
      </c>
      <c r="Q215" s="425" t="str">
        <f>IF(N215="","",VLOOKUP(B215,'C-1 On-Site WaterC'' Baseline'!$C$10:$AB$257,19,FALSE))</f>
        <v/>
      </c>
      <c r="R215" s="362" t="str">
        <f>IF(N215="","",VLOOKUP(N215,'G-7 WaterC'' Data'!$B$2:$G$8,2,FALSE))</f>
        <v/>
      </c>
      <c r="S215" s="363" t="str">
        <f>IFERROR(VLOOKUP(R215,'G-7 WaterC'' Data'!$C$4:$D$8,2,FALSE),"")</f>
        <v/>
      </c>
      <c r="T215" s="114"/>
      <c r="U215" s="363" t="str">
        <f>IFERROR(INDEX('G-7 WaterC'' Data'!$H$4:$L$8,MATCH(N215,'G-7 WaterC'' Data'!$B$4:$B$8,0),MATCH(T215,'G-7 WaterC'' Data'!$H$3:$L$3,0)),"")</f>
        <v/>
      </c>
      <c r="V215" s="114"/>
      <c r="W215" s="370" t="str">
        <f>IF(V215="","",IF(VLOOKUP(V215,'G-7 WaterC'' Data'!$AK$4:$AM$6,2,FALSE)=0,"Spatial Data Missing ⚠",VLOOKUP(V215,'G-7 WaterC'' Data'!$AK$4:$AM$6,2,FALSE)))</f>
        <v/>
      </c>
      <c r="X215" s="363" t="str">
        <f>IF(V215="","",IF(VLOOKUP(V215,'G-7 WaterC'' Data'!$AK$4:$AM$6,3,FALSE)=0,"Spatial Data Missing ⚠",VLOOKUP(V215,'G-7 WaterC'' Data'!$AK$4:$AM$6,3,FALSE)))</f>
        <v/>
      </c>
      <c r="Y215" s="362" t="str">
        <f>IFERROR(IF(OR(LEFT(P215,5)="Error",LEFT(O215,5)="Error ▲"),"Check Data ⚠",IF(F215&lt;S215,'G-7 WaterC'' Data'!$R$3,INDEX('G-7 WaterC'' Data'!$U$5:$Y$9,MATCH(G215,'G-7 WaterC'' Data'!$T$5:$T$9,0),MATCH(T215,'G-7 WaterC'' Data'!$U$4:$Y$4,0)))),"")</f>
        <v/>
      </c>
      <c r="Z215" s="159"/>
      <c r="AA215" s="159"/>
      <c r="AB215" s="370" t="str">
        <f t="shared" si="27"/>
        <v/>
      </c>
      <c r="AC215" s="383" t="str">
        <f t="shared" si="28"/>
        <v/>
      </c>
      <c r="AD215" s="422" t="str">
        <f>IFERROR(IF(AC215="Check Data ⚠","Check Data ⚠",VLOOKUP(AC215,'G-4 Temporal multipliers'!$A$4:$C$37,3,FALSE)),"")</f>
        <v/>
      </c>
      <c r="AE215" s="362" t="str">
        <f>IF(N215="","",VLOOKUP(N215,'G-7 WaterC'' Data'!$B$4:$G$8,5,FALSE))</f>
        <v/>
      </c>
      <c r="AF215" s="370" t="str">
        <f t="shared" si="29"/>
        <v/>
      </c>
      <c r="AG215" s="401" t="str">
        <f t="shared" si="30"/>
        <v/>
      </c>
      <c r="AH215" s="363" t="str">
        <f t="shared" si="25"/>
        <v/>
      </c>
      <c r="AI215" s="122"/>
      <c r="AJ215" s="363" t="str">
        <f>IF(AI215="","",IF(VLOOKUP(AI215,'G-7 WaterC'' Data'!$AA$4:$AB$7,2,FALSE)=0,"Spatial Data Missing ⚠",VLOOKUP(AI215,'G-7 WaterC'' Data'!$AA$4:$AB$7,2,FALSE)))</f>
        <v/>
      </c>
      <c r="AK215" s="123"/>
      <c r="AL215" s="363" t="str">
        <f>IF(AK215="","",IF(VLOOKUP(AK215,'G-7 WaterC'' Data'!$AD$4:$AE$14,2,FALSE)=0,"Spatial Data Missing ⚠",VLOOKUP(AK215,'G-7 WaterC'' Data'!$AD$4:$AE$14,2,FALSE)))</f>
        <v/>
      </c>
      <c r="AM215" s="405" t="str">
        <f t="shared" si="31"/>
        <v/>
      </c>
      <c r="AN215" s="117"/>
      <c r="AO215" s="118"/>
      <c r="AP215" s="120"/>
      <c r="AV215" s="30" t="str">
        <f>IFERROR(INDEX('G-7 WaterC'' Data'!$AZ$3:$AZ$7,MATCH(N215,'G-7 WaterC'' Data'!$AY$3:$AY$7,0)),"")</f>
        <v/>
      </c>
    </row>
    <row r="216" spans="2:48" ht="15">
      <c r="B216" s="392" t="str">
        <f>'C-1 On-Site WaterC'' Baseline'!AO214</f>
        <v/>
      </c>
      <c r="C216" s="382" t="str">
        <f>IF(B216="","",VLOOKUP($B216,'C-1 On-Site WaterC'' Baseline'!$C$9:$R$257,2,FALSE))</f>
        <v/>
      </c>
      <c r="D216" s="382" t="str">
        <f>IF(C216="","",VLOOKUP($B216,'C-1 On-Site WaterC'' Baseline'!$C$9:$R$257,3,FALSE))</f>
        <v/>
      </c>
      <c r="E216" s="382" t="str">
        <f>IF(D216="","",VLOOKUP($B216,'C-1 On-Site WaterC'' Baseline'!$C$9:$R$257,4,FALSE))</f>
        <v/>
      </c>
      <c r="F216" s="382" t="str">
        <f>IF(E216="","",VLOOKUP($B216,'C-1 On-Site WaterC'' Baseline'!$C$9:$R$257,5,FALSE))</f>
        <v/>
      </c>
      <c r="G216" s="382" t="str">
        <f>IF(F216="","",VLOOKUP($B216,'C-1 On-Site WaterC'' Baseline'!$C$9:$R$257,6,FALSE))</f>
        <v/>
      </c>
      <c r="H216" s="382" t="str">
        <f>IF(G216="","",VLOOKUP($B216,'C-1 On-Site WaterC'' Baseline'!$C$9:$R$257,7,FALSE))</f>
        <v/>
      </c>
      <c r="I216" s="382" t="str">
        <f>IF(H216="","",VLOOKUP($B216,'C-1 On-Site WaterC'' Baseline'!$C$9:$R$257,8,FALSE))</f>
        <v/>
      </c>
      <c r="J216" s="382" t="str">
        <f>IF(I216="","",VLOOKUP($B216,'C-1 On-Site WaterC'' Baseline'!$C$9:$R$257,9,FALSE))</f>
        <v/>
      </c>
      <c r="K216" s="382" t="str">
        <f>IF(J216="","",VLOOKUP($B216,'C-1 On-Site WaterC'' Baseline'!$C$9:$R$257,10,FALSE))</f>
        <v/>
      </c>
      <c r="L216" s="382" t="str">
        <f>IF(B216="","",VLOOKUP($B216,'C-1 On-Site WaterC'' Baseline'!$C$9:$R$257,15,FALSE))</f>
        <v/>
      </c>
      <c r="M216" s="386" t="str">
        <f>IF(L216="","",VLOOKUP($B216,'C-1 On-Site WaterC'' Baseline'!$C$9:$R$257,16,FALSE))</f>
        <v/>
      </c>
      <c r="N216" s="320" t="str">
        <f t="shared" si="24"/>
        <v/>
      </c>
      <c r="O216" s="362" t="str">
        <f t="shared" si="26"/>
        <v/>
      </c>
      <c r="P216" s="363" t="str">
        <f>IF(C216="","",IF(AND(LEFT(C216,55)&lt;&gt;LEFT(N216,55),O216="High - High"),"Error - Not like for like ▲",IF(H216&gt;U216,"Error - Can not reduce condition ▲",IF(AND(F216=S216,H216=U216,AJ216='C-1 On-Site WaterC'' Baseline'!N214,'C-1 On-Site WaterC'' Baseline'!P214=AL216),"Error - No enhancement ▲",IF(AND(C216&lt;&gt;N216,F216&lt;S216),"Lower Distinctiveness Habitat"&amp;" - "&amp;T216,G216&amp;" - "&amp;T216)))))</f>
        <v/>
      </c>
      <c r="Q216" s="425" t="str">
        <f>IF(N216="","",VLOOKUP(B216,'C-1 On-Site WaterC'' Baseline'!$C$10:$AB$257,19,FALSE))</f>
        <v/>
      </c>
      <c r="R216" s="362" t="str">
        <f>IF(N216="","",VLOOKUP(N216,'G-7 WaterC'' Data'!$B$2:$G$8,2,FALSE))</f>
        <v/>
      </c>
      <c r="S216" s="363" t="str">
        <f>IFERROR(VLOOKUP(R216,'G-7 WaterC'' Data'!$C$4:$D$8,2,FALSE),"")</f>
        <v/>
      </c>
      <c r="T216" s="114"/>
      <c r="U216" s="363" t="str">
        <f>IFERROR(INDEX('G-7 WaterC'' Data'!$H$4:$L$8,MATCH(N216,'G-7 WaterC'' Data'!$B$4:$B$8,0),MATCH(T216,'G-7 WaterC'' Data'!$H$3:$L$3,0)),"")</f>
        <v/>
      </c>
      <c r="V216" s="114"/>
      <c r="W216" s="370" t="str">
        <f>IF(V216="","",IF(VLOOKUP(V216,'G-7 WaterC'' Data'!$AK$4:$AM$6,2,FALSE)=0,"Spatial Data Missing ⚠",VLOOKUP(V216,'G-7 WaterC'' Data'!$AK$4:$AM$6,2,FALSE)))</f>
        <v/>
      </c>
      <c r="X216" s="363" t="str">
        <f>IF(V216="","",IF(VLOOKUP(V216,'G-7 WaterC'' Data'!$AK$4:$AM$6,3,FALSE)=0,"Spatial Data Missing ⚠",VLOOKUP(V216,'G-7 WaterC'' Data'!$AK$4:$AM$6,3,FALSE)))</f>
        <v/>
      </c>
      <c r="Y216" s="362" t="str">
        <f>IFERROR(IF(OR(LEFT(P216,5)="Error",LEFT(O216,5)="Error ▲"),"Check Data ⚠",IF(F216&lt;S216,'G-7 WaterC'' Data'!$R$3,INDEX('G-7 WaterC'' Data'!$U$5:$Y$9,MATCH(G216,'G-7 WaterC'' Data'!$T$5:$T$9,0),MATCH(T216,'G-7 WaterC'' Data'!$U$4:$Y$4,0)))),"")</f>
        <v/>
      </c>
      <c r="Z216" s="159"/>
      <c r="AA216" s="159"/>
      <c r="AB216" s="370" t="str">
        <f t="shared" si="27"/>
        <v/>
      </c>
      <c r="AC216" s="383" t="str">
        <f t="shared" si="28"/>
        <v/>
      </c>
      <c r="AD216" s="422" t="str">
        <f>IFERROR(IF(AC216="Check Data ⚠","Check Data ⚠",VLOOKUP(AC216,'G-4 Temporal multipliers'!$A$4:$C$37,3,FALSE)),"")</f>
        <v/>
      </c>
      <c r="AE216" s="362" t="str">
        <f>IF(N216="","",VLOOKUP(N216,'G-7 WaterC'' Data'!$B$4:$G$8,5,FALSE))</f>
        <v/>
      </c>
      <c r="AF216" s="370" t="str">
        <f t="shared" si="29"/>
        <v/>
      </c>
      <c r="AG216" s="401" t="str">
        <f t="shared" si="30"/>
        <v/>
      </c>
      <c r="AH216" s="363" t="str">
        <f t="shared" si="25"/>
        <v/>
      </c>
      <c r="AI216" s="122"/>
      <c r="AJ216" s="363" t="str">
        <f>IF(AI216="","",IF(VLOOKUP(AI216,'G-7 WaterC'' Data'!$AA$4:$AB$7,2,FALSE)=0,"Spatial Data Missing ⚠",VLOOKUP(AI216,'G-7 WaterC'' Data'!$AA$4:$AB$7,2,FALSE)))</f>
        <v/>
      </c>
      <c r="AK216" s="123"/>
      <c r="AL216" s="363" t="str">
        <f>IF(AK216="","",IF(VLOOKUP(AK216,'G-7 WaterC'' Data'!$AD$4:$AE$14,2,FALSE)=0,"Spatial Data Missing ⚠",VLOOKUP(AK216,'G-7 WaterC'' Data'!$AD$4:$AE$14,2,FALSE)))</f>
        <v/>
      </c>
      <c r="AM216" s="405" t="str">
        <f t="shared" si="31"/>
        <v/>
      </c>
      <c r="AN216" s="117"/>
      <c r="AO216" s="118"/>
      <c r="AP216" s="120"/>
      <c r="AV216" s="30" t="str">
        <f>IFERROR(INDEX('G-7 WaterC'' Data'!$AZ$3:$AZ$7,MATCH(N216,'G-7 WaterC'' Data'!$AY$3:$AY$7,0)),"")</f>
        <v/>
      </c>
    </row>
    <row r="217" spans="2:48" ht="15">
      <c r="B217" s="392" t="str">
        <f>'C-1 On-Site WaterC'' Baseline'!AO215</f>
        <v/>
      </c>
      <c r="C217" s="382" t="str">
        <f>IF(B217="","",VLOOKUP($B217,'C-1 On-Site WaterC'' Baseline'!$C$9:$R$257,2,FALSE))</f>
        <v/>
      </c>
      <c r="D217" s="382" t="str">
        <f>IF(C217="","",VLOOKUP($B217,'C-1 On-Site WaterC'' Baseline'!$C$9:$R$257,3,FALSE))</f>
        <v/>
      </c>
      <c r="E217" s="382" t="str">
        <f>IF(D217="","",VLOOKUP($B217,'C-1 On-Site WaterC'' Baseline'!$C$9:$R$257,4,FALSE))</f>
        <v/>
      </c>
      <c r="F217" s="382" t="str">
        <f>IF(E217="","",VLOOKUP($B217,'C-1 On-Site WaterC'' Baseline'!$C$9:$R$257,5,FALSE))</f>
        <v/>
      </c>
      <c r="G217" s="382" t="str">
        <f>IF(F217="","",VLOOKUP($B217,'C-1 On-Site WaterC'' Baseline'!$C$9:$R$257,6,FALSE))</f>
        <v/>
      </c>
      <c r="H217" s="382" t="str">
        <f>IF(G217="","",VLOOKUP($B217,'C-1 On-Site WaterC'' Baseline'!$C$9:$R$257,7,FALSE))</f>
        <v/>
      </c>
      <c r="I217" s="382" t="str">
        <f>IF(H217="","",VLOOKUP($B217,'C-1 On-Site WaterC'' Baseline'!$C$9:$R$257,8,FALSE))</f>
        <v/>
      </c>
      <c r="J217" s="382" t="str">
        <f>IF(I217="","",VLOOKUP($B217,'C-1 On-Site WaterC'' Baseline'!$C$9:$R$257,9,FALSE))</f>
        <v/>
      </c>
      <c r="K217" s="382" t="str">
        <f>IF(J217="","",VLOOKUP($B217,'C-1 On-Site WaterC'' Baseline'!$C$9:$R$257,10,FALSE))</f>
        <v/>
      </c>
      <c r="L217" s="382" t="str">
        <f>IF(B217="","",VLOOKUP($B217,'C-1 On-Site WaterC'' Baseline'!$C$9:$R$257,15,FALSE))</f>
        <v/>
      </c>
      <c r="M217" s="386" t="str">
        <f>IF(L217="","",VLOOKUP($B217,'C-1 On-Site WaterC'' Baseline'!$C$9:$R$257,16,FALSE))</f>
        <v/>
      </c>
      <c r="N217" s="320" t="str">
        <f t="shared" si="24"/>
        <v/>
      </c>
      <c r="O217" s="362" t="str">
        <f t="shared" si="26"/>
        <v/>
      </c>
      <c r="P217" s="363" t="str">
        <f>IF(C217="","",IF(AND(LEFT(C217,55)&lt;&gt;LEFT(N217,55),O217="High - High"),"Error - Not like for like ▲",IF(H217&gt;U217,"Error - Can not reduce condition ▲",IF(AND(F217=S217,H217=U217,AJ217='C-1 On-Site WaterC'' Baseline'!N215,'C-1 On-Site WaterC'' Baseline'!P215=AL217),"Error - No enhancement ▲",IF(AND(C217&lt;&gt;N217,F217&lt;S217),"Lower Distinctiveness Habitat"&amp;" - "&amp;T217,G217&amp;" - "&amp;T217)))))</f>
        <v/>
      </c>
      <c r="Q217" s="425" t="str">
        <f>IF(N217="","",VLOOKUP(B217,'C-1 On-Site WaterC'' Baseline'!$C$10:$AB$257,19,FALSE))</f>
        <v/>
      </c>
      <c r="R217" s="362" t="str">
        <f>IF(N217="","",VLOOKUP(N217,'G-7 WaterC'' Data'!$B$2:$G$8,2,FALSE))</f>
        <v/>
      </c>
      <c r="S217" s="363" t="str">
        <f>IFERROR(VLOOKUP(R217,'G-7 WaterC'' Data'!$C$4:$D$8,2,FALSE),"")</f>
        <v/>
      </c>
      <c r="T217" s="114"/>
      <c r="U217" s="363" t="str">
        <f>IFERROR(INDEX('G-7 WaterC'' Data'!$H$4:$L$8,MATCH(N217,'G-7 WaterC'' Data'!$B$4:$B$8,0),MATCH(T217,'G-7 WaterC'' Data'!$H$3:$L$3,0)),"")</f>
        <v/>
      </c>
      <c r="V217" s="114"/>
      <c r="W217" s="370" t="str">
        <f>IF(V217="","",IF(VLOOKUP(V217,'G-7 WaterC'' Data'!$AK$4:$AM$6,2,FALSE)=0,"Spatial Data Missing ⚠",VLOOKUP(V217,'G-7 WaterC'' Data'!$AK$4:$AM$6,2,FALSE)))</f>
        <v/>
      </c>
      <c r="X217" s="363" t="str">
        <f>IF(V217="","",IF(VLOOKUP(V217,'G-7 WaterC'' Data'!$AK$4:$AM$6,3,FALSE)=0,"Spatial Data Missing ⚠",VLOOKUP(V217,'G-7 WaterC'' Data'!$AK$4:$AM$6,3,FALSE)))</f>
        <v/>
      </c>
      <c r="Y217" s="362" t="str">
        <f>IFERROR(IF(OR(LEFT(P217,5)="Error",LEFT(O217,5)="Error ▲"),"Check Data ⚠",IF(F217&lt;S217,'G-7 WaterC'' Data'!$R$3,INDEX('G-7 WaterC'' Data'!$U$5:$Y$9,MATCH(G217,'G-7 WaterC'' Data'!$T$5:$T$9,0),MATCH(T217,'G-7 WaterC'' Data'!$U$4:$Y$4,0)))),"")</f>
        <v/>
      </c>
      <c r="Z217" s="159"/>
      <c r="AA217" s="159"/>
      <c r="AB217" s="370" t="str">
        <f t="shared" si="27"/>
        <v/>
      </c>
      <c r="AC217" s="383" t="str">
        <f t="shared" si="28"/>
        <v/>
      </c>
      <c r="AD217" s="422" t="str">
        <f>IFERROR(IF(AC217="Check Data ⚠","Check Data ⚠",VLOOKUP(AC217,'G-4 Temporal multipliers'!$A$4:$C$37,3,FALSE)),"")</f>
        <v/>
      </c>
      <c r="AE217" s="362" t="str">
        <f>IF(N217="","",VLOOKUP(N217,'G-7 WaterC'' Data'!$B$4:$G$8,5,FALSE))</f>
        <v/>
      </c>
      <c r="AF217" s="370" t="str">
        <f t="shared" si="29"/>
        <v/>
      </c>
      <c r="AG217" s="401" t="str">
        <f t="shared" si="30"/>
        <v/>
      </c>
      <c r="AH217" s="363" t="str">
        <f t="shared" si="25"/>
        <v/>
      </c>
      <c r="AI217" s="122"/>
      <c r="AJ217" s="363" t="str">
        <f>IF(AI217="","",IF(VLOOKUP(AI217,'G-7 WaterC'' Data'!$AA$4:$AB$7,2,FALSE)=0,"Spatial Data Missing ⚠",VLOOKUP(AI217,'G-7 WaterC'' Data'!$AA$4:$AB$7,2,FALSE)))</f>
        <v/>
      </c>
      <c r="AK217" s="123"/>
      <c r="AL217" s="363" t="str">
        <f>IF(AK217="","",IF(VLOOKUP(AK217,'G-7 WaterC'' Data'!$AD$4:$AE$14,2,FALSE)=0,"Spatial Data Missing ⚠",VLOOKUP(AK217,'G-7 WaterC'' Data'!$AD$4:$AE$14,2,FALSE)))</f>
        <v/>
      </c>
      <c r="AM217" s="405" t="str">
        <f t="shared" si="31"/>
        <v/>
      </c>
      <c r="AN217" s="117"/>
      <c r="AO217" s="118"/>
      <c r="AP217" s="120"/>
      <c r="AV217" s="30" t="str">
        <f>IFERROR(INDEX('G-7 WaterC'' Data'!$AZ$3:$AZ$7,MATCH(N217,'G-7 WaterC'' Data'!$AY$3:$AY$7,0)),"")</f>
        <v/>
      </c>
    </row>
    <row r="218" spans="2:48" ht="15">
      <c r="B218" s="392" t="str">
        <f>'C-1 On-Site WaterC'' Baseline'!AO216</f>
        <v/>
      </c>
      <c r="C218" s="382" t="str">
        <f>IF(B218="","",VLOOKUP($B218,'C-1 On-Site WaterC'' Baseline'!$C$9:$R$257,2,FALSE))</f>
        <v/>
      </c>
      <c r="D218" s="382" t="str">
        <f>IF(C218="","",VLOOKUP($B218,'C-1 On-Site WaterC'' Baseline'!$C$9:$R$257,3,FALSE))</f>
        <v/>
      </c>
      <c r="E218" s="382" t="str">
        <f>IF(D218="","",VLOOKUP($B218,'C-1 On-Site WaterC'' Baseline'!$C$9:$R$257,4,FALSE))</f>
        <v/>
      </c>
      <c r="F218" s="382" t="str">
        <f>IF(E218="","",VLOOKUP($B218,'C-1 On-Site WaterC'' Baseline'!$C$9:$R$257,5,FALSE))</f>
        <v/>
      </c>
      <c r="G218" s="382" t="str">
        <f>IF(F218="","",VLOOKUP($B218,'C-1 On-Site WaterC'' Baseline'!$C$9:$R$257,6,FALSE))</f>
        <v/>
      </c>
      <c r="H218" s="382" t="str">
        <f>IF(G218="","",VLOOKUP($B218,'C-1 On-Site WaterC'' Baseline'!$C$9:$R$257,7,FALSE))</f>
        <v/>
      </c>
      <c r="I218" s="382" t="str">
        <f>IF(H218="","",VLOOKUP($B218,'C-1 On-Site WaterC'' Baseline'!$C$9:$R$257,8,FALSE))</f>
        <v/>
      </c>
      <c r="J218" s="382" t="str">
        <f>IF(I218="","",VLOOKUP($B218,'C-1 On-Site WaterC'' Baseline'!$C$9:$R$257,9,FALSE))</f>
        <v/>
      </c>
      <c r="K218" s="382" t="str">
        <f>IF(J218="","",VLOOKUP($B218,'C-1 On-Site WaterC'' Baseline'!$C$9:$R$257,10,FALSE))</f>
        <v/>
      </c>
      <c r="L218" s="382" t="str">
        <f>IF(B218="","",VLOOKUP($B218,'C-1 On-Site WaterC'' Baseline'!$C$9:$R$257,15,FALSE))</f>
        <v/>
      </c>
      <c r="M218" s="386" t="str">
        <f>IF(L218="","",VLOOKUP($B218,'C-1 On-Site WaterC'' Baseline'!$C$9:$R$257,16,FALSE))</f>
        <v/>
      </c>
      <c r="N218" s="320" t="str">
        <f t="shared" si="24"/>
        <v/>
      </c>
      <c r="O218" s="362" t="str">
        <f t="shared" si="26"/>
        <v/>
      </c>
      <c r="P218" s="363" t="str">
        <f>IF(C218="","",IF(AND(LEFT(C218,55)&lt;&gt;LEFT(N218,55),O218="High - High"),"Error - Not like for like ▲",IF(H218&gt;U218,"Error - Can not reduce condition ▲",IF(AND(F218=S218,H218=U218,AJ218='C-1 On-Site WaterC'' Baseline'!N216,'C-1 On-Site WaterC'' Baseline'!P216=AL218),"Error - No enhancement ▲",IF(AND(C218&lt;&gt;N218,F218&lt;S218),"Lower Distinctiveness Habitat"&amp;" - "&amp;T218,G218&amp;" - "&amp;T218)))))</f>
        <v/>
      </c>
      <c r="Q218" s="425" t="str">
        <f>IF(N218="","",VLOOKUP(B218,'C-1 On-Site WaterC'' Baseline'!$C$10:$AB$257,19,FALSE))</f>
        <v/>
      </c>
      <c r="R218" s="362" t="str">
        <f>IF(N218="","",VLOOKUP(N218,'G-7 WaterC'' Data'!$B$2:$G$8,2,FALSE))</f>
        <v/>
      </c>
      <c r="S218" s="363" t="str">
        <f>IFERROR(VLOOKUP(R218,'G-7 WaterC'' Data'!$C$4:$D$8,2,FALSE),"")</f>
        <v/>
      </c>
      <c r="T218" s="114"/>
      <c r="U218" s="363" t="str">
        <f>IFERROR(INDEX('G-7 WaterC'' Data'!$H$4:$L$8,MATCH(N218,'G-7 WaterC'' Data'!$B$4:$B$8,0),MATCH(T218,'G-7 WaterC'' Data'!$H$3:$L$3,0)),"")</f>
        <v/>
      </c>
      <c r="V218" s="114"/>
      <c r="W218" s="370" t="str">
        <f>IF(V218="","",IF(VLOOKUP(V218,'G-7 WaterC'' Data'!$AK$4:$AM$6,2,FALSE)=0,"Spatial Data Missing ⚠",VLOOKUP(V218,'G-7 WaterC'' Data'!$AK$4:$AM$6,2,FALSE)))</f>
        <v/>
      </c>
      <c r="X218" s="363" t="str">
        <f>IF(V218="","",IF(VLOOKUP(V218,'G-7 WaterC'' Data'!$AK$4:$AM$6,3,FALSE)=0,"Spatial Data Missing ⚠",VLOOKUP(V218,'G-7 WaterC'' Data'!$AK$4:$AM$6,3,FALSE)))</f>
        <v/>
      </c>
      <c r="Y218" s="362" t="str">
        <f>IFERROR(IF(OR(LEFT(P218,5)="Error",LEFT(O218,5)="Error ▲"),"Check Data ⚠",IF(F218&lt;S218,'G-7 WaterC'' Data'!$R$3,INDEX('G-7 WaterC'' Data'!$U$5:$Y$9,MATCH(G218,'G-7 WaterC'' Data'!$T$5:$T$9,0),MATCH(T218,'G-7 WaterC'' Data'!$U$4:$Y$4,0)))),"")</f>
        <v/>
      </c>
      <c r="Z218" s="159"/>
      <c r="AA218" s="159"/>
      <c r="AB218" s="370" t="str">
        <f t="shared" si="27"/>
        <v/>
      </c>
      <c r="AC218" s="383" t="str">
        <f t="shared" si="28"/>
        <v/>
      </c>
      <c r="AD218" s="422" t="str">
        <f>IFERROR(IF(AC218="Check Data ⚠","Check Data ⚠",VLOOKUP(AC218,'G-4 Temporal multipliers'!$A$4:$C$37,3,FALSE)),"")</f>
        <v/>
      </c>
      <c r="AE218" s="362" t="str">
        <f>IF(N218="","",VLOOKUP(N218,'G-7 WaterC'' Data'!$B$4:$G$8,5,FALSE))</f>
        <v/>
      </c>
      <c r="AF218" s="370" t="str">
        <f t="shared" si="29"/>
        <v/>
      </c>
      <c r="AG218" s="401" t="str">
        <f t="shared" si="30"/>
        <v/>
      </c>
      <c r="AH218" s="363" t="str">
        <f t="shared" si="25"/>
        <v/>
      </c>
      <c r="AI218" s="122"/>
      <c r="AJ218" s="363" t="str">
        <f>IF(AI218="","",IF(VLOOKUP(AI218,'G-7 WaterC'' Data'!$AA$4:$AB$7,2,FALSE)=0,"Spatial Data Missing ⚠",VLOOKUP(AI218,'G-7 WaterC'' Data'!$AA$4:$AB$7,2,FALSE)))</f>
        <v/>
      </c>
      <c r="AK218" s="123"/>
      <c r="AL218" s="363" t="str">
        <f>IF(AK218="","",IF(VLOOKUP(AK218,'G-7 WaterC'' Data'!$AD$4:$AE$14,2,FALSE)=0,"Spatial Data Missing ⚠",VLOOKUP(AK218,'G-7 WaterC'' Data'!$AD$4:$AE$14,2,FALSE)))</f>
        <v/>
      </c>
      <c r="AM218" s="405" t="str">
        <f t="shared" si="31"/>
        <v/>
      </c>
      <c r="AN218" s="117"/>
      <c r="AO218" s="118"/>
      <c r="AP218" s="120"/>
      <c r="AV218" s="30" t="str">
        <f>IFERROR(INDEX('G-7 WaterC'' Data'!$AZ$3:$AZ$7,MATCH(N218,'G-7 WaterC'' Data'!$AY$3:$AY$7,0)),"")</f>
        <v/>
      </c>
    </row>
    <row r="219" spans="2:48" ht="15">
      <c r="B219" s="392" t="str">
        <f>'C-1 On-Site WaterC'' Baseline'!AO217</f>
        <v/>
      </c>
      <c r="C219" s="382" t="str">
        <f>IF(B219="","",VLOOKUP($B219,'C-1 On-Site WaterC'' Baseline'!$C$9:$R$257,2,FALSE))</f>
        <v/>
      </c>
      <c r="D219" s="382" t="str">
        <f>IF(C219="","",VLOOKUP($B219,'C-1 On-Site WaterC'' Baseline'!$C$9:$R$257,3,FALSE))</f>
        <v/>
      </c>
      <c r="E219" s="382" t="str">
        <f>IF(D219="","",VLOOKUP($B219,'C-1 On-Site WaterC'' Baseline'!$C$9:$R$257,4,FALSE))</f>
        <v/>
      </c>
      <c r="F219" s="382" t="str">
        <f>IF(E219="","",VLOOKUP($B219,'C-1 On-Site WaterC'' Baseline'!$C$9:$R$257,5,FALSE))</f>
        <v/>
      </c>
      <c r="G219" s="382" t="str">
        <f>IF(F219="","",VLOOKUP($B219,'C-1 On-Site WaterC'' Baseline'!$C$9:$R$257,6,FALSE))</f>
        <v/>
      </c>
      <c r="H219" s="382" t="str">
        <f>IF(G219="","",VLOOKUP($B219,'C-1 On-Site WaterC'' Baseline'!$C$9:$R$257,7,FALSE))</f>
        <v/>
      </c>
      <c r="I219" s="382" t="str">
        <f>IF(H219="","",VLOOKUP($B219,'C-1 On-Site WaterC'' Baseline'!$C$9:$R$257,8,FALSE))</f>
        <v/>
      </c>
      <c r="J219" s="382" t="str">
        <f>IF(I219="","",VLOOKUP($B219,'C-1 On-Site WaterC'' Baseline'!$C$9:$R$257,9,FALSE))</f>
        <v/>
      </c>
      <c r="K219" s="382" t="str">
        <f>IF(J219="","",VLOOKUP($B219,'C-1 On-Site WaterC'' Baseline'!$C$9:$R$257,10,FALSE))</f>
        <v/>
      </c>
      <c r="L219" s="382" t="str">
        <f>IF(B219="","",VLOOKUP($B219,'C-1 On-Site WaterC'' Baseline'!$C$9:$R$257,15,FALSE))</f>
        <v/>
      </c>
      <c r="M219" s="386" t="str">
        <f>IF(L219="","",VLOOKUP($B219,'C-1 On-Site WaterC'' Baseline'!$C$9:$R$257,16,FALSE))</f>
        <v/>
      </c>
      <c r="N219" s="320" t="str">
        <f t="shared" si="24"/>
        <v/>
      </c>
      <c r="O219" s="362" t="str">
        <f t="shared" si="26"/>
        <v/>
      </c>
      <c r="P219" s="363" t="str">
        <f>IF(C219="","",IF(AND(LEFT(C219,55)&lt;&gt;LEFT(N219,55),O219="High - High"),"Error - Not like for like ▲",IF(H219&gt;U219,"Error - Can not reduce condition ▲",IF(AND(F219=S219,H219=U219,AJ219='C-1 On-Site WaterC'' Baseline'!N217,'C-1 On-Site WaterC'' Baseline'!P217=AL219),"Error - No enhancement ▲",IF(AND(C219&lt;&gt;N219,F219&lt;S219),"Lower Distinctiveness Habitat"&amp;" - "&amp;T219,G219&amp;" - "&amp;T219)))))</f>
        <v/>
      </c>
      <c r="Q219" s="425" t="str">
        <f>IF(N219="","",VLOOKUP(B219,'C-1 On-Site WaterC'' Baseline'!$C$10:$AB$257,19,FALSE))</f>
        <v/>
      </c>
      <c r="R219" s="362" t="str">
        <f>IF(N219="","",VLOOKUP(N219,'G-7 WaterC'' Data'!$B$2:$G$8,2,FALSE))</f>
        <v/>
      </c>
      <c r="S219" s="363" t="str">
        <f>IFERROR(VLOOKUP(R219,'G-7 WaterC'' Data'!$C$4:$D$8,2,FALSE),"")</f>
        <v/>
      </c>
      <c r="T219" s="114"/>
      <c r="U219" s="363" t="str">
        <f>IFERROR(INDEX('G-7 WaterC'' Data'!$H$4:$L$8,MATCH(N219,'G-7 WaterC'' Data'!$B$4:$B$8,0),MATCH(T219,'G-7 WaterC'' Data'!$H$3:$L$3,0)),"")</f>
        <v/>
      </c>
      <c r="V219" s="114"/>
      <c r="W219" s="370" t="str">
        <f>IF(V219="","",IF(VLOOKUP(V219,'G-7 WaterC'' Data'!$AK$4:$AM$6,2,FALSE)=0,"Spatial Data Missing ⚠",VLOOKUP(V219,'G-7 WaterC'' Data'!$AK$4:$AM$6,2,FALSE)))</f>
        <v/>
      </c>
      <c r="X219" s="363" t="str">
        <f>IF(V219="","",IF(VLOOKUP(V219,'G-7 WaterC'' Data'!$AK$4:$AM$6,3,FALSE)=0,"Spatial Data Missing ⚠",VLOOKUP(V219,'G-7 WaterC'' Data'!$AK$4:$AM$6,3,FALSE)))</f>
        <v/>
      </c>
      <c r="Y219" s="362" t="str">
        <f>IFERROR(IF(OR(LEFT(P219,5)="Error",LEFT(O219,5)="Error ▲"),"Check Data ⚠",IF(F219&lt;S219,'G-7 WaterC'' Data'!$R$3,INDEX('G-7 WaterC'' Data'!$U$5:$Y$9,MATCH(G219,'G-7 WaterC'' Data'!$T$5:$T$9,0),MATCH(T219,'G-7 WaterC'' Data'!$U$4:$Y$4,0)))),"")</f>
        <v/>
      </c>
      <c r="Z219" s="159"/>
      <c r="AA219" s="159"/>
      <c r="AB219" s="370" t="str">
        <f t="shared" si="27"/>
        <v/>
      </c>
      <c r="AC219" s="383" t="str">
        <f t="shared" si="28"/>
        <v/>
      </c>
      <c r="AD219" s="422" t="str">
        <f>IFERROR(IF(AC219="Check Data ⚠","Check Data ⚠",VLOOKUP(AC219,'G-4 Temporal multipliers'!$A$4:$C$37,3,FALSE)),"")</f>
        <v/>
      </c>
      <c r="AE219" s="362" t="str">
        <f>IF(N219="","",VLOOKUP(N219,'G-7 WaterC'' Data'!$B$4:$G$8,5,FALSE))</f>
        <v/>
      </c>
      <c r="AF219" s="370" t="str">
        <f t="shared" si="29"/>
        <v/>
      </c>
      <c r="AG219" s="401" t="str">
        <f t="shared" si="30"/>
        <v/>
      </c>
      <c r="AH219" s="363" t="str">
        <f t="shared" si="25"/>
        <v/>
      </c>
      <c r="AI219" s="122"/>
      <c r="AJ219" s="363" t="str">
        <f>IF(AI219="","",IF(VLOOKUP(AI219,'G-7 WaterC'' Data'!$AA$4:$AB$7,2,FALSE)=0,"Spatial Data Missing ⚠",VLOOKUP(AI219,'G-7 WaterC'' Data'!$AA$4:$AB$7,2,FALSE)))</f>
        <v/>
      </c>
      <c r="AK219" s="123"/>
      <c r="AL219" s="363" t="str">
        <f>IF(AK219="","",IF(VLOOKUP(AK219,'G-7 WaterC'' Data'!$AD$4:$AE$14,2,FALSE)=0,"Spatial Data Missing ⚠",VLOOKUP(AK219,'G-7 WaterC'' Data'!$AD$4:$AE$14,2,FALSE)))</f>
        <v/>
      </c>
      <c r="AM219" s="405" t="str">
        <f t="shared" si="31"/>
        <v/>
      </c>
      <c r="AN219" s="117"/>
      <c r="AO219" s="118"/>
      <c r="AP219" s="120"/>
      <c r="AV219" s="30" t="str">
        <f>IFERROR(INDEX('G-7 WaterC'' Data'!$AZ$3:$AZ$7,MATCH(N219,'G-7 WaterC'' Data'!$AY$3:$AY$7,0)),"")</f>
        <v/>
      </c>
    </row>
    <row r="220" spans="2:48" ht="15">
      <c r="B220" s="392" t="str">
        <f>'C-1 On-Site WaterC'' Baseline'!AO218</f>
        <v/>
      </c>
      <c r="C220" s="382" t="str">
        <f>IF(B220="","",VLOOKUP($B220,'C-1 On-Site WaterC'' Baseline'!$C$9:$R$257,2,FALSE))</f>
        <v/>
      </c>
      <c r="D220" s="382" t="str">
        <f>IF(C220="","",VLOOKUP($B220,'C-1 On-Site WaterC'' Baseline'!$C$9:$R$257,3,FALSE))</f>
        <v/>
      </c>
      <c r="E220" s="382" t="str">
        <f>IF(D220="","",VLOOKUP($B220,'C-1 On-Site WaterC'' Baseline'!$C$9:$R$257,4,FALSE))</f>
        <v/>
      </c>
      <c r="F220" s="382" t="str">
        <f>IF(E220="","",VLOOKUP($B220,'C-1 On-Site WaterC'' Baseline'!$C$9:$R$257,5,FALSE))</f>
        <v/>
      </c>
      <c r="G220" s="382" t="str">
        <f>IF(F220="","",VLOOKUP($B220,'C-1 On-Site WaterC'' Baseline'!$C$9:$R$257,6,FALSE))</f>
        <v/>
      </c>
      <c r="H220" s="382" t="str">
        <f>IF(G220="","",VLOOKUP($B220,'C-1 On-Site WaterC'' Baseline'!$C$9:$R$257,7,FALSE))</f>
        <v/>
      </c>
      <c r="I220" s="382" t="str">
        <f>IF(H220="","",VLOOKUP($B220,'C-1 On-Site WaterC'' Baseline'!$C$9:$R$257,8,FALSE))</f>
        <v/>
      </c>
      <c r="J220" s="382" t="str">
        <f>IF(I220="","",VLOOKUP($B220,'C-1 On-Site WaterC'' Baseline'!$C$9:$R$257,9,FALSE))</f>
        <v/>
      </c>
      <c r="K220" s="382" t="str">
        <f>IF(J220="","",VLOOKUP($B220,'C-1 On-Site WaterC'' Baseline'!$C$9:$R$257,10,FALSE))</f>
        <v/>
      </c>
      <c r="L220" s="382" t="str">
        <f>IF(B220="","",VLOOKUP($B220,'C-1 On-Site WaterC'' Baseline'!$C$9:$R$257,15,FALSE))</f>
        <v/>
      </c>
      <c r="M220" s="386" t="str">
        <f>IF(L220="","",VLOOKUP($B220,'C-1 On-Site WaterC'' Baseline'!$C$9:$R$257,16,FALSE))</f>
        <v/>
      </c>
      <c r="N220" s="320" t="str">
        <f t="shared" si="24"/>
        <v/>
      </c>
      <c r="O220" s="362" t="str">
        <f t="shared" si="26"/>
        <v/>
      </c>
      <c r="P220" s="363" t="str">
        <f>IF(C220="","",IF(AND(LEFT(C220,55)&lt;&gt;LEFT(N220,55),O220="High - High"),"Error - Not like for like ▲",IF(H220&gt;U220,"Error - Can not reduce condition ▲",IF(AND(F220=S220,H220=U220,AJ220='C-1 On-Site WaterC'' Baseline'!N218,'C-1 On-Site WaterC'' Baseline'!P218=AL220),"Error - No enhancement ▲",IF(AND(C220&lt;&gt;N220,F220&lt;S220),"Lower Distinctiveness Habitat"&amp;" - "&amp;T220,G220&amp;" - "&amp;T220)))))</f>
        <v/>
      </c>
      <c r="Q220" s="425" t="str">
        <f>IF(N220="","",VLOOKUP(B220,'C-1 On-Site WaterC'' Baseline'!$C$10:$AB$257,19,FALSE))</f>
        <v/>
      </c>
      <c r="R220" s="362" t="str">
        <f>IF(N220="","",VLOOKUP(N220,'G-7 WaterC'' Data'!$B$2:$G$8,2,FALSE))</f>
        <v/>
      </c>
      <c r="S220" s="363" t="str">
        <f>IFERROR(VLOOKUP(R220,'G-7 WaterC'' Data'!$C$4:$D$8,2,FALSE),"")</f>
        <v/>
      </c>
      <c r="T220" s="114"/>
      <c r="U220" s="363" t="str">
        <f>IFERROR(INDEX('G-7 WaterC'' Data'!$H$4:$L$8,MATCH(N220,'G-7 WaterC'' Data'!$B$4:$B$8,0),MATCH(T220,'G-7 WaterC'' Data'!$H$3:$L$3,0)),"")</f>
        <v/>
      </c>
      <c r="V220" s="114"/>
      <c r="W220" s="370" t="str">
        <f>IF(V220="","",IF(VLOOKUP(V220,'G-7 WaterC'' Data'!$AK$4:$AM$6,2,FALSE)=0,"Spatial Data Missing ⚠",VLOOKUP(V220,'G-7 WaterC'' Data'!$AK$4:$AM$6,2,FALSE)))</f>
        <v/>
      </c>
      <c r="X220" s="363" t="str">
        <f>IF(V220="","",IF(VLOOKUP(V220,'G-7 WaterC'' Data'!$AK$4:$AM$6,3,FALSE)=0,"Spatial Data Missing ⚠",VLOOKUP(V220,'G-7 WaterC'' Data'!$AK$4:$AM$6,3,FALSE)))</f>
        <v/>
      </c>
      <c r="Y220" s="362" t="str">
        <f>IFERROR(IF(OR(LEFT(P220,5)="Error",LEFT(O220,5)="Error ▲"),"Check Data ⚠",IF(F220&lt;S220,'G-7 WaterC'' Data'!$R$3,INDEX('G-7 WaterC'' Data'!$U$5:$Y$9,MATCH(G220,'G-7 WaterC'' Data'!$T$5:$T$9,0),MATCH(T220,'G-7 WaterC'' Data'!$U$4:$Y$4,0)))),"")</f>
        <v/>
      </c>
      <c r="Z220" s="159"/>
      <c r="AA220" s="159"/>
      <c r="AB220" s="370" t="str">
        <f t="shared" si="27"/>
        <v/>
      </c>
      <c r="AC220" s="383" t="str">
        <f t="shared" si="28"/>
        <v/>
      </c>
      <c r="AD220" s="422" t="str">
        <f>IFERROR(IF(AC220="Check Data ⚠","Check Data ⚠",VLOOKUP(AC220,'G-4 Temporal multipliers'!$A$4:$C$37,3,FALSE)),"")</f>
        <v/>
      </c>
      <c r="AE220" s="362" t="str">
        <f>IF(N220="","",VLOOKUP(N220,'G-7 WaterC'' Data'!$B$4:$G$8,5,FALSE))</f>
        <v/>
      </c>
      <c r="AF220" s="370" t="str">
        <f t="shared" si="29"/>
        <v/>
      </c>
      <c r="AG220" s="401" t="str">
        <f t="shared" si="30"/>
        <v/>
      </c>
      <c r="AH220" s="363" t="str">
        <f t="shared" si="25"/>
        <v/>
      </c>
      <c r="AI220" s="122"/>
      <c r="AJ220" s="363" t="str">
        <f>IF(AI220="","",IF(VLOOKUP(AI220,'G-7 WaterC'' Data'!$AA$4:$AB$7,2,FALSE)=0,"Spatial Data Missing ⚠",VLOOKUP(AI220,'G-7 WaterC'' Data'!$AA$4:$AB$7,2,FALSE)))</f>
        <v/>
      </c>
      <c r="AK220" s="123"/>
      <c r="AL220" s="363" t="str">
        <f>IF(AK220="","",IF(VLOOKUP(AK220,'G-7 WaterC'' Data'!$AD$4:$AE$14,2,FALSE)=0,"Spatial Data Missing ⚠",VLOOKUP(AK220,'G-7 WaterC'' Data'!$AD$4:$AE$14,2,FALSE)))</f>
        <v/>
      </c>
      <c r="AM220" s="405" t="str">
        <f t="shared" si="31"/>
        <v/>
      </c>
      <c r="AN220" s="117"/>
      <c r="AO220" s="118"/>
      <c r="AP220" s="120"/>
      <c r="AV220" s="30" t="str">
        <f>IFERROR(INDEX('G-7 WaterC'' Data'!$AZ$3:$AZ$7,MATCH(N220,'G-7 WaterC'' Data'!$AY$3:$AY$7,0)),"")</f>
        <v/>
      </c>
    </row>
    <row r="221" spans="2:48" ht="15">
      <c r="B221" s="392" t="str">
        <f>'C-1 On-Site WaterC'' Baseline'!AO219</f>
        <v/>
      </c>
      <c r="C221" s="382" t="str">
        <f>IF(B221="","",VLOOKUP($B221,'C-1 On-Site WaterC'' Baseline'!$C$9:$R$257,2,FALSE))</f>
        <v/>
      </c>
      <c r="D221" s="382" t="str">
        <f>IF(C221="","",VLOOKUP($B221,'C-1 On-Site WaterC'' Baseline'!$C$9:$R$257,3,FALSE))</f>
        <v/>
      </c>
      <c r="E221" s="382" t="str">
        <f>IF(D221="","",VLOOKUP($B221,'C-1 On-Site WaterC'' Baseline'!$C$9:$R$257,4,FALSE))</f>
        <v/>
      </c>
      <c r="F221" s="382" t="str">
        <f>IF(E221="","",VLOOKUP($B221,'C-1 On-Site WaterC'' Baseline'!$C$9:$R$257,5,FALSE))</f>
        <v/>
      </c>
      <c r="G221" s="382" t="str">
        <f>IF(F221="","",VLOOKUP($B221,'C-1 On-Site WaterC'' Baseline'!$C$9:$R$257,6,FALSE))</f>
        <v/>
      </c>
      <c r="H221" s="382" t="str">
        <f>IF(G221="","",VLOOKUP($B221,'C-1 On-Site WaterC'' Baseline'!$C$9:$R$257,7,FALSE))</f>
        <v/>
      </c>
      <c r="I221" s="382" t="str">
        <f>IF(H221="","",VLOOKUP($B221,'C-1 On-Site WaterC'' Baseline'!$C$9:$R$257,8,FALSE))</f>
        <v/>
      </c>
      <c r="J221" s="382" t="str">
        <f>IF(I221="","",VLOOKUP($B221,'C-1 On-Site WaterC'' Baseline'!$C$9:$R$257,9,FALSE))</f>
        <v/>
      </c>
      <c r="K221" s="382" t="str">
        <f>IF(J221="","",VLOOKUP($B221,'C-1 On-Site WaterC'' Baseline'!$C$9:$R$257,10,FALSE))</f>
        <v/>
      </c>
      <c r="L221" s="382" t="str">
        <f>IF(B221="","",VLOOKUP($B221,'C-1 On-Site WaterC'' Baseline'!$C$9:$R$257,15,FALSE))</f>
        <v/>
      </c>
      <c r="M221" s="386" t="str">
        <f>IF(L221="","",VLOOKUP($B221,'C-1 On-Site WaterC'' Baseline'!$C$9:$R$257,16,FALSE))</f>
        <v/>
      </c>
      <c r="N221" s="320" t="str">
        <f t="shared" si="24"/>
        <v/>
      </c>
      <c r="O221" s="362" t="str">
        <f t="shared" si="26"/>
        <v/>
      </c>
      <c r="P221" s="363" t="str">
        <f>IF(C221="","",IF(AND(LEFT(C221,55)&lt;&gt;LEFT(N221,55),O221="High - High"),"Error - Not like for like ▲",IF(H221&gt;U221,"Error - Can not reduce condition ▲",IF(AND(F221=S221,H221=U221,AJ221='C-1 On-Site WaterC'' Baseline'!N219,'C-1 On-Site WaterC'' Baseline'!P219=AL221),"Error - No enhancement ▲",IF(AND(C221&lt;&gt;N221,F221&lt;S221),"Lower Distinctiveness Habitat"&amp;" - "&amp;T221,G221&amp;" - "&amp;T221)))))</f>
        <v/>
      </c>
      <c r="Q221" s="425" t="str">
        <f>IF(N221="","",VLOOKUP(B221,'C-1 On-Site WaterC'' Baseline'!$C$10:$AB$257,19,FALSE))</f>
        <v/>
      </c>
      <c r="R221" s="362" t="str">
        <f>IF(N221="","",VLOOKUP(N221,'G-7 WaterC'' Data'!$B$2:$G$8,2,FALSE))</f>
        <v/>
      </c>
      <c r="S221" s="363" t="str">
        <f>IFERROR(VLOOKUP(R221,'G-7 WaterC'' Data'!$C$4:$D$8,2,FALSE),"")</f>
        <v/>
      </c>
      <c r="T221" s="114"/>
      <c r="U221" s="363" t="str">
        <f>IFERROR(INDEX('G-7 WaterC'' Data'!$H$4:$L$8,MATCH(N221,'G-7 WaterC'' Data'!$B$4:$B$8,0),MATCH(T221,'G-7 WaterC'' Data'!$H$3:$L$3,0)),"")</f>
        <v/>
      </c>
      <c r="V221" s="114"/>
      <c r="W221" s="370" t="str">
        <f>IF(V221="","",IF(VLOOKUP(V221,'G-7 WaterC'' Data'!$AK$4:$AM$6,2,FALSE)=0,"Spatial Data Missing ⚠",VLOOKUP(V221,'G-7 WaterC'' Data'!$AK$4:$AM$6,2,FALSE)))</f>
        <v/>
      </c>
      <c r="X221" s="363" t="str">
        <f>IF(V221="","",IF(VLOOKUP(V221,'G-7 WaterC'' Data'!$AK$4:$AM$6,3,FALSE)=0,"Spatial Data Missing ⚠",VLOOKUP(V221,'G-7 WaterC'' Data'!$AK$4:$AM$6,3,FALSE)))</f>
        <v/>
      </c>
      <c r="Y221" s="362" t="str">
        <f>IFERROR(IF(OR(LEFT(P221,5)="Error",LEFT(O221,5)="Error ▲"),"Check Data ⚠",IF(F221&lt;S221,'G-7 WaterC'' Data'!$R$3,INDEX('G-7 WaterC'' Data'!$U$5:$Y$9,MATCH(G221,'G-7 WaterC'' Data'!$T$5:$T$9,0),MATCH(T221,'G-7 WaterC'' Data'!$U$4:$Y$4,0)))),"")</f>
        <v/>
      </c>
      <c r="Z221" s="159"/>
      <c r="AA221" s="159"/>
      <c r="AB221" s="370" t="str">
        <f t="shared" si="27"/>
        <v/>
      </c>
      <c r="AC221" s="383" t="str">
        <f t="shared" si="28"/>
        <v/>
      </c>
      <c r="AD221" s="422" t="str">
        <f>IFERROR(IF(AC221="Check Data ⚠","Check Data ⚠",VLOOKUP(AC221,'G-4 Temporal multipliers'!$A$4:$C$37,3,FALSE)),"")</f>
        <v/>
      </c>
      <c r="AE221" s="362" t="str">
        <f>IF(N221="","",VLOOKUP(N221,'G-7 WaterC'' Data'!$B$4:$G$8,5,FALSE))</f>
        <v/>
      </c>
      <c r="AF221" s="370" t="str">
        <f t="shared" si="29"/>
        <v/>
      </c>
      <c r="AG221" s="401" t="str">
        <f t="shared" si="30"/>
        <v/>
      </c>
      <c r="AH221" s="363" t="str">
        <f t="shared" si="25"/>
        <v/>
      </c>
      <c r="AI221" s="122"/>
      <c r="AJ221" s="363" t="str">
        <f>IF(AI221="","",IF(VLOOKUP(AI221,'G-7 WaterC'' Data'!$AA$4:$AB$7,2,FALSE)=0,"Spatial Data Missing ⚠",VLOOKUP(AI221,'G-7 WaterC'' Data'!$AA$4:$AB$7,2,FALSE)))</f>
        <v/>
      </c>
      <c r="AK221" s="123"/>
      <c r="AL221" s="363" t="str">
        <f>IF(AK221="","",IF(VLOOKUP(AK221,'G-7 WaterC'' Data'!$AD$4:$AE$14,2,FALSE)=0,"Spatial Data Missing ⚠",VLOOKUP(AK221,'G-7 WaterC'' Data'!$AD$4:$AE$14,2,FALSE)))</f>
        <v/>
      </c>
      <c r="AM221" s="405" t="str">
        <f t="shared" si="31"/>
        <v/>
      </c>
      <c r="AN221" s="117"/>
      <c r="AO221" s="118"/>
      <c r="AP221" s="120"/>
      <c r="AV221" s="30" t="str">
        <f>IFERROR(INDEX('G-7 WaterC'' Data'!$AZ$3:$AZ$7,MATCH(N221,'G-7 WaterC'' Data'!$AY$3:$AY$7,0)),"")</f>
        <v/>
      </c>
    </row>
    <row r="222" spans="2:48" ht="15">
      <c r="B222" s="392" t="str">
        <f>'C-1 On-Site WaterC'' Baseline'!AO220</f>
        <v/>
      </c>
      <c r="C222" s="382" t="str">
        <f>IF(B222="","",VLOOKUP($B222,'C-1 On-Site WaterC'' Baseline'!$C$9:$R$257,2,FALSE))</f>
        <v/>
      </c>
      <c r="D222" s="382" t="str">
        <f>IF(C222="","",VLOOKUP($B222,'C-1 On-Site WaterC'' Baseline'!$C$9:$R$257,3,FALSE))</f>
        <v/>
      </c>
      <c r="E222" s="382" t="str">
        <f>IF(D222="","",VLOOKUP($B222,'C-1 On-Site WaterC'' Baseline'!$C$9:$R$257,4,FALSE))</f>
        <v/>
      </c>
      <c r="F222" s="382" t="str">
        <f>IF(E222="","",VLOOKUP($B222,'C-1 On-Site WaterC'' Baseline'!$C$9:$R$257,5,FALSE))</f>
        <v/>
      </c>
      <c r="G222" s="382" t="str">
        <f>IF(F222="","",VLOOKUP($B222,'C-1 On-Site WaterC'' Baseline'!$C$9:$R$257,6,FALSE))</f>
        <v/>
      </c>
      <c r="H222" s="382" t="str">
        <f>IF(G222="","",VLOOKUP($B222,'C-1 On-Site WaterC'' Baseline'!$C$9:$R$257,7,FALSE))</f>
        <v/>
      </c>
      <c r="I222" s="382" t="str">
        <f>IF(H222="","",VLOOKUP($B222,'C-1 On-Site WaterC'' Baseline'!$C$9:$R$257,8,FALSE))</f>
        <v/>
      </c>
      <c r="J222" s="382" t="str">
        <f>IF(I222="","",VLOOKUP($B222,'C-1 On-Site WaterC'' Baseline'!$C$9:$R$257,9,FALSE))</f>
        <v/>
      </c>
      <c r="K222" s="382" t="str">
        <f>IF(J222="","",VLOOKUP($B222,'C-1 On-Site WaterC'' Baseline'!$C$9:$R$257,10,FALSE))</f>
        <v/>
      </c>
      <c r="L222" s="382" t="str">
        <f>IF(B222="","",VLOOKUP($B222,'C-1 On-Site WaterC'' Baseline'!$C$9:$R$257,15,FALSE))</f>
        <v/>
      </c>
      <c r="M222" s="386" t="str">
        <f>IF(L222="","",VLOOKUP($B222,'C-1 On-Site WaterC'' Baseline'!$C$9:$R$257,16,FALSE))</f>
        <v/>
      </c>
      <c r="N222" s="320" t="str">
        <f t="shared" si="24"/>
        <v/>
      </c>
      <c r="O222" s="362" t="str">
        <f t="shared" si="26"/>
        <v/>
      </c>
      <c r="P222" s="363" t="str">
        <f>IF(C222="","",IF(AND(LEFT(C222,55)&lt;&gt;LEFT(N222,55),O222="High - High"),"Error - Not like for like ▲",IF(H222&gt;U222,"Error - Can not reduce condition ▲",IF(AND(F222=S222,H222=U222,AJ222='C-1 On-Site WaterC'' Baseline'!N220,'C-1 On-Site WaterC'' Baseline'!P220=AL222),"Error - No enhancement ▲",IF(AND(C222&lt;&gt;N222,F222&lt;S222),"Lower Distinctiveness Habitat"&amp;" - "&amp;T222,G222&amp;" - "&amp;T222)))))</f>
        <v/>
      </c>
      <c r="Q222" s="425" t="str">
        <f>IF(N222="","",VLOOKUP(B222,'C-1 On-Site WaterC'' Baseline'!$C$10:$AB$257,19,FALSE))</f>
        <v/>
      </c>
      <c r="R222" s="362" t="str">
        <f>IF(N222="","",VLOOKUP(N222,'G-7 WaterC'' Data'!$B$2:$G$8,2,FALSE))</f>
        <v/>
      </c>
      <c r="S222" s="363" t="str">
        <f>IFERROR(VLOOKUP(R222,'G-7 WaterC'' Data'!$C$4:$D$8,2,FALSE),"")</f>
        <v/>
      </c>
      <c r="T222" s="114"/>
      <c r="U222" s="363" t="str">
        <f>IFERROR(INDEX('G-7 WaterC'' Data'!$H$4:$L$8,MATCH(N222,'G-7 WaterC'' Data'!$B$4:$B$8,0),MATCH(T222,'G-7 WaterC'' Data'!$H$3:$L$3,0)),"")</f>
        <v/>
      </c>
      <c r="V222" s="114"/>
      <c r="W222" s="370" t="str">
        <f>IF(V222="","",IF(VLOOKUP(V222,'G-7 WaterC'' Data'!$AK$4:$AM$6,2,FALSE)=0,"Spatial Data Missing ⚠",VLOOKUP(V222,'G-7 WaterC'' Data'!$AK$4:$AM$6,2,FALSE)))</f>
        <v/>
      </c>
      <c r="X222" s="363" t="str">
        <f>IF(V222="","",IF(VLOOKUP(V222,'G-7 WaterC'' Data'!$AK$4:$AM$6,3,FALSE)=0,"Spatial Data Missing ⚠",VLOOKUP(V222,'G-7 WaterC'' Data'!$AK$4:$AM$6,3,FALSE)))</f>
        <v/>
      </c>
      <c r="Y222" s="362" t="str">
        <f>IFERROR(IF(OR(LEFT(P222,5)="Error",LEFT(O222,5)="Error ▲"),"Check Data ⚠",IF(F222&lt;S222,'G-7 WaterC'' Data'!$R$3,INDEX('G-7 WaterC'' Data'!$U$5:$Y$9,MATCH(G222,'G-7 WaterC'' Data'!$T$5:$T$9,0),MATCH(T222,'G-7 WaterC'' Data'!$U$4:$Y$4,0)))),"")</f>
        <v/>
      </c>
      <c r="Z222" s="159"/>
      <c r="AA222" s="159"/>
      <c r="AB222" s="370" t="str">
        <f t="shared" si="27"/>
        <v/>
      </c>
      <c r="AC222" s="383" t="str">
        <f t="shared" si="28"/>
        <v/>
      </c>
      <c r="AD222" s="422" t="str">
        <f>IFERROR(IF(AC222="Check Data ⚠","Check Data ⚠",VLOOKUP(AC222,'G-4 Temporal multipliers'!$A$4:$C$37,3,FALSE)),"")</f>
        <v/>
      </c>
      <c r="AE222" s="362" t="str">
        <f>IF(N222="","",VLOOKUP(N222,'G-7 WaterC'' Data'!$B$4:$G$8,5,FALSE))</f>
        <v/>
      </c>
      <c r="AF222" s="370" t="str">
        <f t="shared" si="29"/>
        <v/>
      </c>
      <c r="AG222" s="401" t="str">
        <f t="shared" si="30"/>
        <v/>
      </c>
      <c r="AH222" s="363" t="str">
        <f t="shared" si="25"/>
        <v/>
      </c>
      <c r="AI222" s="122"/>
      <c r="AJ222" s="363" t="str">
        <f>IF(AI222="","",IF(VLOOKUP(AI222,'G-7 WaterC'' Data'!$AA$4:$AB$7,2,FALSE)=0,"Spatial Data Missing ⚠",VLOOKUP(AI222,'G-7 WaterC'' Data'!$AA$4:$AB$7,2,FALSE)))</f>
        <v/>
      </c>
      <c r="AK222" s="123"/>
      <c r="AL222" s="363" t="str">
        <f>IF(AK222="","",IF(VLOOKUP(AK222,'G-7 WaterC'' Data'!$AD$4:$AE$14,2,FALSE)=0,"Spatial Data Missing ⚠",VLOOKUP(AK222,'G-7 WaterC'' Data'!$AD$4:$AE$14,2,FALSE)))</f>
        <v/>
      </c>
      <c r="AM222" s="405" t="str">
        <f t="shared" si="31"/>
        <v/>
      </c>
      <c r="AN222" s="117"/>
      <c r="AO222" s="118"/>
      <c r="AP222" s="120"/>
      <c r="AV222" s="30" t="str">
        <f>IFERROR(INDEX('G-7 WaterC'' Data'!$AZ$3:$AZ$7,MATCH(N222,'G-7 WaterC'' Data'!$AY$3:$AY$7,0)),"")</f>
        <v/>
      </c>
    </row>
    <row r="223" spans="2:48" ht="15">
      <c r="B223" s="392" t="str">
        <f>'C-1 On-Site WaterC'' Baseline'!AO221</f>
        <v/>
      </c>
      <c r="C223" s="382" t="str">
        <f>IF(B223="","",VLOOKUP($B223,'C-1 On-Site WaterC'' Baseline'!$C$9:$R$257,2,FALSE))</f>
        <v/>
      </c>
      <c r="D223" s="382" t="str">
        <f>IF(C223="","",VLOOKUP($B223,'C-1 On-Site WaterC'' Baseline'!$C$9:$R$257,3,FALSE))</f>
        <v/>
      </c>
      <c r="E223" s="382" t="str">
        <f>IF(D223="","",VLOOKUP($B223,'C-1 On-Site WaterC'' Baseline'!$C$9:$R$257,4,FALSE))</f>
        <v/>
      </c>
      <c r="F223" s="382" t="str">
        <f>IF(E223="","",VLOOKUP($B223,'C-1 On-Site WaterC'' Baseline'!$C$9:$R$257,5,FALSE))</f>
        <v/>
      </c>
      <c r="G223" s="382" t="str">
        <f>IF(F223="","",VLOOKUP($B223,'C-1 On-Site WaterC'' Baseline'!$C$9:$R$257,6,FALSE))</f>
        <v/>
      </c>
      <c r="H223" s="382" t="str">
        <f>IF(G223="","",VLOOKUP($B223,'C-1 On-Site WaterC'' Baseline'!$C$9:$R$257,7,FALSE))</f>
        <v/>
      </c>
      <c r="I223" s="382" t="str">
        <f>IF(H223="","",VLOOKUP($B223,'C-1 On-Site WaterC'' Baseline'!$C$9:$R$257,8,FALSE))</f>
        <v/>
      </c>
      <c r="J223" s="382" t="str">
        <f>IF(I223="","",VLOOKUP($B223,'C-1 On-Site WaterC'' Baseline'!$C$9:$R$257,9,FALSE))</f>
        <v/>
      </c>
      <c r="K223" s="382" t="str">
        <f>IF(J223="","",VLOOKUP($B223,'C-1 On-Site WaterC'' Baseline'!$C$9:$R$257,10,FALSE))</f>
        <v/>
      </c>
      <c r="L223" s="382" t="str">
        <f>IF(B223="","",VLOOKUP($B223,'C-1 On-Site WaterC'' Baseline'!$C$9:$R$257,15,FALSE))</f>
        <v/>
      </c>
      <c r="M223" s="386" t="str">
        <f>IF(L223="","",VLOOKUP($B223,'C-1 On-Site WaterC'' Baseline'!$C$9:$R$257,16,FALSE))</f>
        <v/>
      </c>
      <c r="N223" s="320" t="str">
        <f t="shared" si="24"/>
        <v/>
      </c>
      <c r="O223" s="362" t="str">
        <f t="shared" si="26"/>
        <v/>
      </c>
      <c r="P223" s="363" t="str">
        <f>IF(C223="","",IF(AND(LEFT(C223,55)&lt;&gt;LEFT(N223,55),O223="High - High"),"Error - Not like for like ▲",IF(H223&gt;U223,"Error - Can not reduce condition ▲",IF(AND(F223=S223,H223=U223,AJ223='C-1 On-Site WaterC'' Baseline'!N221,'C-1 On-Site WaterC'' Baseline'!P221=AL223),"Error - No enhancement ▲",IF(AND(C223&lt;&gt;N223,F223&lt;S223),"Lower Distinctiveness Habitat"&amp;" - "&amp;T223,G223&amp;" - "&amp;T223)))))</f>
        <v/>
      </c>
      <c r="Q223" s="425" t="str">
        <f>IF(N223="","",VLOOKUP(B223,'C-1 On-Site WaterC'' Baseline'!$C$10:$AB$257,19,FALSE))</f>
        <v/>
      </c>
      <c r="R223" s="362" t="str">
        <f>IF(N223="","",VLOOKUP(N223,'G-7 WaterC'' Data'!$B$2:$G$8,2,FALSE))</f>
        <v/>
      </c>
      <c r="S223" s="363" t="str">
        <f>IFERROR(VLOOKUP(R223,'G-7 WaterC'' Data'!$C$4:$D$8,2,FALSE),"")</f>
        <v/>
      </c>
      <c r="T223" s="114"/>
      <c r="U223" s="363" t="str">
        <f>IFERROR(INDEX('G-7 WaterC'' Data'!$H$4:$L$8,MATCH(N223,'G-7 WaterC'' Data'!$B$4:$B$8,0),MATCH(T223,'G-7 WaterC'' Data'!$H$3:$L$3,0)),"")</f>
        <v/>
      </c>
      <c r="V223" s="114"/>
      <c r="W223" s="370" t="str">
        <f>IF(V223="","",IF(VLOOKUP(V223,'G-7 WaterC'' Data'!$AK$4:$AM$6,2,FALSE)=0,"Spatial Data Missing ⚠",VLOOKUP(V223,'G-7 WaterC'' Data'!$AK$4:$AM$6,2,FALSE)))</f>
        <v/>
      </c>
      <c r="X223" s="363" t="str">
        <f>IF(V223="","",IF(VLOOKUP(V223,'G-7 WaterC'' Data'!$AK$4:$AM$6,3,FALSE)=0,"Spatial Data Missing ⚠",VLOOKUP(V223,'G-7 WaterC'' Data'!$AK$4:$AM$6,3,FALSE)))</f>
        <v/>
      </c>
      <c r="Y223" s="362" t="str">
        <f>IFERROR(IF(OR(LEFT(P223,5)="Error",LEFT(O223,5)="Error ▲"),"Check Data ⚠",IF(F223&lt;S223,'G-7 WaterC'' Data'!$R$3,INDEX('G-7 WaterC'' Data'!$U$5:$Y$9,MATCH(G223,'G-7 WaterC'' Data'!$T$5:$T$9,0),MATCH(T223,'G-7 WaterC'' Data'!$U$4:$Y$4,0)))),"")</f>
        <v/>
      </c>
      <c r="Z223" s="159"/>
      <c r="AA223" s="159"/>
      <c r="AB223" s="370" t="str">
        <f t="shared" si="27"/>
        <v/>
      </c>
      <c r="AC223" s="383" t="str">
        <f t="shared" si="28"/>
        <v/>
      </c>
      <c r="AD223" s="422" t="str">
        <f>IFERROR(IF(AC223="Check Data ⚠","Check Data ⚠",VLOOKUP(AC223,'G-4 Temporal multipliers'!$A$4:$C$37,3,FALSE)),"")</f>
        <v/>
      </c>
      <c r="AE223" s="362" t="str">
        <f>IF(N223="","",VLOOKUP(N223,'G-7 WaterC'' Data'!$B$4:$G$8,5,FALSE))</f>
        <v/>
      </c>
      <c r="AF223" s="370" t="str">
        <f t="shared" si="29"/>
        <v/>
      </c>
      <c r="AG223" s="401" t="str">
        <f t="shared" si="30"/>
        <v/>
      </c>
      <c r="AH223" s="363" t="str">
        <f t="shared" si="25"/>
        <v/>
      </c>
      <c r="AI223" s="122"/>
      <c r="AJ223" s="363" t="str">
        <f>IF(AI223="","",IF(VLOOKUP(AI223,'G-7 WaterC'' Data'!$AA$4:$AB$7,2,FALSE)=0,"Spatial Data Missing ⚠",VLOOKUP(AI223,'G-7 WaterC'' Data'!$AA$4:$AB$7,2,FALSE)))</f>
        <v/>
      </c>
      <c r="AK223" s="123"/>
      <c r="AL223" s="363" t="str">
        <f>IF(AK223="","",IF(VLOOKUP(AK223,'G-7 WaterC'' Data'!$AD$4:$AE$14,2,FALSE)=0,"Spatial Data Missing ⚠",VLOOKUP(AK223,'G-7 WaterC'' Data'!$AD$4:$AE$14,2,FALSE)))</f>
        <v/>
      </c>
      <c r="AM223" s="405" t="str">
        <f t="shared" si="31"/>
        <v/>
      </c>
      <c r="AN223" s="117"/>
      <c r="AO223" s="118"/>
      <c r="AP223" s="120"/>
      <c r="AV223" s="30" t="str">
        <f>IFERROR(INDEX('G-7 WaterC'' Data'!$AZ$3:$AZ$7,MATCH(N223,'G-7 WaterC'' Data'!$AY$3:$AY$7,0)),"")</f>
        <v/>
      </c>
    </row>
    <row r="224" spans="2:48" ht="15">
      <c r="B224" s="392" t="str">
        <f>'C-1 On-Site WaterC'' Baseline'!AO222</f>
        <v/>
      </c>
      <c r="C224" s="382" t="str">
        <f>IF(B224="","",VLOOKUP($B224,'C-1 On-Site WaterC'' Baseline'!$C$9:$R$257,2,FALSE))</f>
        <v/>
      </c>
      <c r="D224" s="382" t="str">
        <f>IF(C224="","",VLOOKUP($B224,'C-1 On-Site WaterC'' Baseline'!$C$9:$R$257,3,FALSE))</f>
        <v/>
      </c>
      <c r="E224" s="382" t="str">
        <f>IF(D224="","",VLOOKUP($B224,'C-1 On-Site WaterC'' Baseline'!$C$9:$R$257,4,FALSE))</f>
        <v/>
      </c>
      <c r="F224" s="382" t="str">
        <f>IF(E224="","",VLOOKUP($B224,'C-1 On-Site WaterC'' Baseline'!$C$9:$R$257,5,FALSE))</f>
        <v/>
      </c>
      <c r="G224" s="382" t="str">
        <f>IF(F224="","",VLOOKUP($B224,'C-1 On-Site WaterC'' Baseline'!$C$9:$R$257,6,FALSE))</f>
        <v/>
      </c>
      <c r="H224" s="382" t="str">
        <f>IF(G224="","",VLOOKUP($B224,'C-1 On-Site WaterC'' Baseline'!$C$9:$R$257,7,FALSE))</f>
        <v/>
      </c>
      <c r="I224" s="382" t="str">
        <f>IF(H224="","",VLOOKUP($B224,'C-1 On-Site WaterC'' Baseline'!$C$9:$R$257,8,FALSE))</f>
        <v/>
      </c>
      <c r="J224" s="382" t="str">
        <f>IF(I224="","",VLOOKUP($B224,'C-1 On-Site WaterC'' Baseline'!$C$9:$R$257,9,FALSE))</f>
        <v/>
      </c>
      <c r="K224" s="382" t="str">
        <f>IF(J224="","",VLOOKUP($B224,'C-1 On-Site WaterC'' Baseline'!$C$9:$R$257,10,FALSE))</f>
        <v/>
      </c>
      <c r="L224" s="382" t="str">
        <f>IF(B224="","",VLOOKUP($B224,'C-1 On-Site WaterC'' Baseline'!$C$9:$R$257,15,FALSE))</f>
        <v/>
      </c>
      <c r="M224" s="386" t="str">
        <f>IF(L224="","",VLOOKUP($B224,'C-1 On-Site WaterC'' Baseline'!$C$9:$R$257,16,FALSE))</f>
        <v/>
      </c>
      <c r="N224" s="320" t="str">
        <f t="shared" si="24"/>
        <v/>
      </c>
      <c r="O224" s="362" t="str">
        <f t="shared" si="26"/>
        <v/>
      </c>
      <c r="P224" s="363" t="str">
        <f>IF(C224="","",IF(AND(LEFT(C224,55)&lt;&gt;LEFT(N224,55),O224="High - High"),"Error - Not like for like ▲",IF(H224&gt;U224,"Error - Can not reduce condition ▲",IF(AND(F224=S224,H224=U224,AJ224='C-1 On-Site WaterC'' Baseline'!N222,'C-1 On-Site WaterC'' Baseline'!P222=AL224),"Error - No enhancement ▲",IF(AND(C224&lt;&gt;N224,F224&lt;S224),"Lower Distinctiveness Habitat"&amp;" - "&amp;T224,G224&amp;" - "&amp;T224)))))</f>
        <v/>
      </c>
      <c r="Q224" s="425" t="str">
        <f>IF(N224="","",VLOOKUP(B224,'C-1 On-Site WaterC'' Baseline'!$C$10:$AB$257,19,FALSE))</f>
        <v/>
      </c>
      <c r="R224" s="362" t="str">
        <f>IF(N224="","",VLOOKUP(N224,'G-7 WaterC'' Data'!$B$2:$G$8,2,FALSE))</f>
        <v/>
      </c>
      <c r="S224" s="363" t="str">
        <f>IFERROR(VLOOKUP(R224,'G-7 WaterC'' Data'!$C$4:$D$8,2,FALSE),"")</f>
        <v/>
      </c>
      <c r="T224" s="114"/>
      <c r="U224" s="363" t="str">
        <f>IFERROR(INDEX('G-7 WaterC'' Data'!$H$4:$L$8,MATCH(N224,'G-7 WaterC'' Data'!$B$4:$B$8,0),MATCH(T224,'G-7 WaterC'' Data'!$H$3:$L$3,0)),"")</f>
        <v/>
      </c>
      <c r="V224" s="114"/>
      <c r="W224" s="370" t="str">
        <f>IF(V224="","",IF(VLOOKUP(V224,'G-7 WaterC'' Data'!$AK$4:$AM$6,2,FALSE)=0,"Spatial Data Missing ⚠",VLOOKUP(V224,'G-7 WaterC'' Data'!$AK$4:$AM$6,2,FALSE)))</f>
        <v/>
      </c>
      <c r="X224" s="363" t="str">
        <f>IF(V224="","",IF(VLOOKUP(V224,'G-7 WaterC'' Data'!$AK$4:$AM$6,3,FALSE)=0,"Spatial Data Missing ⚠",VLOOKUP(V224,'G-7 WaterC'' Data'!$AK$4:$AM$6,3,FALSE)))</f>
        <v/>
      </c>
      <c r="Y224" s="362" t="str">
        <f>IFERROR(IF(OR(LEFT(P224,5)="Error",LEFT(O224,5)="Error ▲"),"Check Data ⚠",IF(F224&lt;S224,'G-7 WaterC'' Data'!$R$3,INDEX('G-7 WaterC'' Data'!$U$5:$Y$9,MATCH(G224,'G-7 WaterC'' Data'!$T$5:$T$9,0),MATCH(T224,'G-7 WaterC'' Data'!$U$4:$Y$4,0)))),"")</f>
        <v/>
      </c>
      <c r="Z224" s="159"/>
      <c r="AA224" s="159"/>
      <c r="AB224" s="370" t="str">
        <f t="shared" si="27"/>
        <v/>
      </c>
      <c r="AC224" s="383" t="str">
        <f t="shared" si="28"/>
        <v/>
      </c>
      <c r="AD224" s="422" t="str">
        <f>IFERROR(IF(AC224="Check Data ⚠","Check Data ⚠",VLOOKUP(AC224,'G-4 Temporal multipliers'!$A$4:$C$37,3,FALSE)),"")</f>
        <v/>
      </c>
      <c r="AE224" s="362" t="str">
        <f>IF(N224="","",VLOOKUP(N224,'G-7 WaterC'' Data'!$B$4:$G$8,5,FALSE))</f>
        <v/>
      </c>
      <c r="AF224" s="370" t="str">
        <f t="shared" si="29"/>
        <v/>
      </c>
      <c r="AG224" s="401" t="str">
        <f t="shared" si="30"/>
        <v/>
      </c>
      <c r="AH224" s="363" t="str">
        <f t="shared" si="25"/>
        <v/>
      </c>
      <c r="AI224" s="122"/>
      <c r="AJ224" s="363" t="str">
        <f>IF(AI224="","",IF(VLOOKUP(AI224,'G-7 WaterC'' Data'!$AA$4:$AB$7,2,FALSE)=0,"Spatial Data Missing ⚠",VLOOKUP(AI224,'G-7 WaterC'' Data'!$AA$4:$AB$7,2,FALSE)))</f>
        <v/>
      </c>
      <c r="AK224" s="123"/>
      <c r="AL224" s="363" t="str">
        <f>IF(AK224="","",IF(VLOOKUP(AK224,'G-7 WaterC'' Data'!$AD$4:$AE$14,2,FALSE)=0,"Spatial Data Missing ⚠",VLOOKUP(AK224,'G-7 WaterC'' Data'!$AD$4:$AE$14,2,FALSE)))</f>
        <v/>
      </c>
      <c r="AM224" s="405" t="str">
        <f t="shared" si="31"/>
        <v/>
      </c>
      <c r="AN224" s="117"/>
      <c r="AO224" s="118"/>
      <c r="AP224" s="120"/>
      <c r="AV224" s="30" t="str">
        <f>IFERROR(INDEX('G-7 WaterC'' Data'!$AZ$3:$AZ$7,MATCH(N224,'G-7 WaterC'' Data'!$AY$3:$AY$7,0)),"")</f>
        <v/>
      </c>
    </row>
    <row r="225" spans="2:48" ht="15">
      <c r="B225" s="392" t="str">
        <f>'C-1 On-Site WaterC'' Baseline'!AO223</f>
        <v/>
      </c>
      <c r="C225" s="382" t="str">
        <f>IF(B225="","",VLOOKUP($B225,'C-1 On-Site WaterC'' Baseline'!$C$9:$R$257,2,FALSE))</f>
        <v/>
      </c>
      <c r="D225" s="382" t="str">
        <f>IF(C225="","",VLOOKUP($B225,'C-1 On-Site WaterC'' Baseline'!$C$9:$R$257,3,FALSE))</f>
        <v/>
      </c>
      <c r="E225" s="382" t="str">
        <f>IF(D225="","",VLOOKUP($B225,'C-1 On-Site WaterC'' Baseline'!$C$9:$R$257,4,FALSE))</f>
        <v/>
      </c>
      <c r="F225" s="382" t="str">
        <f>IF(E225="","",VLOOKUP($B225,'C-1 On-Site WaterC'' Baseline'!$C$9:$R$257,5,FALSE))</f>
        <v/>
      </c>
      <c r="G225" s="382" t="str">
        <f>IF(F225="","",VLOOKUP($B225,'C-1 On-Site WaterC'' Baseline'!$C$9:$R$257,6,FALSE))</f>
        <v/>
      </c>
      <c r="H225" s="382" t="str">
        <f>IF(G225="","",VLOOKUP($B225,'C-1 On-Site WaterC'' Baseline'!$C$9:$R$257,7,FALSE))</f>
        <v/>
      </c>
      <c r="I225" s="382" t="str">
        <f>IF(H225="","",VLOOKUP($B225,'C-1 On-Site WaterC'' Baseline'!$C$9:$R$257,8,FALSE))</f>
        <v/>
      </c>
      <c r="J225" s="382" t="str">
        <f>IF(I225="","",VLOOKUP($B225,'C-1 On-Site WaterC'' Baseline'!$C$9:$R$257,9,FALSE))</f>
        <v/>
      </c>
      <c r="K225" s="382" t="str">
        <f>IF(J225="","",VLOOKUP($B225,'C-1 On-Site WaterC'' Baseline'!$C$9:$R$257,10,FALSE))</f>
        <v/>
      </c>
      <c r="L225" s="382" t="str">
        <f>IF(B225="","",VLOOKUP($B225,'C-1 On-Site WaterC'' Baseline'!$C$9:$R$257,15,FALSE))</f>
        <v/>
      </c>
      <c r="M225" s="386" t="str">
        <f>IF(L225="","",VLOOKUP($B225,'C-1 On-Site WaterC'' Baseline'!$C$9:$R$257,16,FALSE))</f>
        <v/>
      </c>
      <c r="N225" s="320" t="str">
        <f t="shared" si="24"/>
        <v/>
      </c>
      <c r="O225" s="362" t="str">
        <f t="shared" si="26"/>
        <v/>
      </c>
      <c r="P225" s="363" t="str">
        <f>IF(C225="","",IF(AND(LEFT(C225,55)&lt;&gt;LEFT(N225,55),O225="High - High"),"Error - Not like for like ▲",IF(H225&gt;U225,"Error - Can not reduce condition ▲",IF(AND(F225=S225,H225=U225,AJ225='C-1 On-Site WaterC'' Baseline'!N223,'C-1 On-Site WaterC'' Baseline'!P223=AL225),"Error - No enhancement ▲",IF(AND(C225&lt;&gt;N225,F225&lt;S225),"Lower Distinctiveness Habitat"&amp;" - "&amp;T225,G225&amp;" - "&amp;T225)))))</f>
        <v/>
      </c>
      <c r="Q225" s="425" t="str">
        <f>IF(N225="","",VLOOKUP(B225,'C-1 On-Site WaterC'' Baseline'!$C$10:$AB$257,19,FALSE))</f>
        <v/>
      </c>
      <c r="R225" s="362" t="str">
        <f>IF(N225="","",VLOOKUP(N225,'G-7 WaterC'' Data'!$B$2:$G$8,2,FALSE))</f>
        <v/>
      </c>
      <c r="S225" s="363" t="str">
        <f>IFERROR(VLOOKUP(R225,'G-7 WaterC'' Data'!$C$4:$D$8,2,FALSE),"")</f>
        <v/>
      </c>
      <c r="T225" s="114"/>
      <c r="U225" s="363" t="str">
        <f>IFERROR(INDEX('G-7 WaterC'' Data'!$H$4:$L$8,MATCH(N225,'G-7 WaterC'' Data'!$B$4:$B$8,0),MATCH(T225,'G-7 WaterC'' Data'!$H$3:$L$3,0)),"")</f>
        <v/>
      </c>
      <c r="V225" s="114"/>
      <c r="W225" s="370" t="str">
        <f>IF(V225="","",IF(VLOOKUP(V225,'G-7 WaterC'' Data'!$AK$4:$AM$6,2,FALSE)=0,"Spatial Data Missing ⚠",VLOOKUP(V225,'G-7 WaterC'' Data'!$AK$4:$AM$6,2,FALSE)))</f>
        <v/>
      </c>
      <c r="X225" s="363" t="str">
        <f>IF(V225="","",IF(VLOOKUP(V225,'G-7 WaterC'' Data'!$AK$4:$AM$6,3,FALSE)=0,"Spatial Data Missing ⚠",VLOOKUP(V225,'G-7 WaterC'' Data'!$AK$4:$AM$6,3,FALSE)))</f>
        <v/>
      </c>
      <c r="Y225" s="362" t="str">
        <f>IFERROR(IF(OR(LEFT(P225,5)="Error",LEFT(O225,5)="Error ▲"),"Check Data ⚠",IF(F225&lt;S225,'G-7 WaterC'' Data'!$R$3,INDEX('G-7 WaterC'' Data'!$U$5:$Y$9,MATCH(G225,'G-7 WaterC'' Data'!$T$5:$T$9,0),MATCH(T225,'G-7 WaterC'' Data'!$U$4:$Y$4,0)))),"")</f>
        <v/>
      </c>
      <c r="Z225" s="159"/>
      <c r="AA225" s="159"/>
      <c r="AB225" s="370" t="str">
        <f t="shared" si="27"/>
        <v/>
      </c>
      <c r="AC225" s="383" t="str">
        <f t="shared" si="28"/>
        <v/>
      </c>
      <c r="AD225" s="422" t="str">
        <f>IFERROR(IF(AC225="Check Data ⚠","Check Data ⚠",VLOOKUP(AC225,'G-4 Temporal multipliers'!$A$4:$C$37,3,FALSE)),"")</f>
        <v/>
      </c>
      <c r="AE225" s="362" t="str">
        <f>IF(N225="","",VLOOKUP(N225,'G-7 WaterC'' Data'!$B$4:$G$8,5,FALSE))</f>
        <v/>
      </c>
      <c r="AF225" s="370" t="str">
        <f t="shared" si="29"/>
        <v/>
      </c>
      <c r="AG225" s="401" t="str">
        <f t="shared" si="30"/>
        <v/>
      </c>
      <c r="AH225" s="363" t="str">
        <f t="shared" si="25"/>
        <v/>
      </c>
      <c r="AI225" s="122"/>
      <c r="AJ225" s="363" t="str">
        <f>IF(AI225="","",IF(VLOOKUP(AI225,'G-7 WaterC'' Data'!$AA$4:$AB$7,2,FALSE)=0,"Spatial Data Missing ⚠",VLOOKUP(AI225,'G-7 WaterC'' Data'!$AA$4:$AB$7,2,FALSE)))</f>
        <v/>
      </c>
      <c r="AK225" s="123"/>
      <c r="AL225" s="363" t="str">
        <f>IF(AK225="","",IF(VLOOKUP(AK225,'G-7 WaterC'' Data'!$AD$4:$AE$14,2,FALSE)=0,"Spatial Data Missing ⚠",VLOOKUP(AK225,'G-7 WaterC'' Data'!$AD$4:$AE$14,2,FALSE)))</f>
        <v/>
      </c>
      <c r="AM225" s="405" t="str">
        <f t="shared" si="31"/>
        <v/>
      </c>
      <c r="AN225" s="117"/>
      <c r="AO225" s="118"/>
      <c r="AP225" s="120"/>
      <c r="AV225" s="30" t="str">
        <f>IFERROR(INDEX('G-7 WaterC'' Data'!$AZ$3:$AZ$7,MATCH(N225,'G-7 WaterC'' Data'!$AY$3:$AY$7,0)),"")</f>
        <v/>
      </c>
    </row>
    <row r="226" spans="2:48" ht="15">
      <c r="B226" s="392" t="str">
        <f>'C-1 On-Site WaterC'' Baseline'!AO224</f>
        <v/>
      </c>
      <c r="C226" s="382" t="str">
        <f>IF(B226="","",VLOOKUP($B226,'C-1 On-Site WaterC'' Baseline'!$C$9:$R$257,2,FALSE))</f>
        <v/>
      </c>
      <c r="D226" s="382" t="str">
        <f>IF(C226="","",VLOOKUP($B226,'C-1 On-Site WaterC'' Baseline'!$C$9:$R$257,3,FALSE))</f>
        <v/>
      </c>
      <c r="E226" s="382" t="str">
        <f>IF(D226="","",VLOOKUP($B226,'C-1 On-Site WaterC'' Baseline'!$C$9:$R$257,4,FALSE))</f>
        <v/>
      </c>
      <c r="F226" s="382" t="str">
        <f>IF(E226="","",VLOOKUP($B226,'C-1 On-Site WaterC'' Baseline'!$C$9:$R$257,5,FALSE))</f>
        <v/>
      </c>
      <c r="G226" s="382" t="str">
        <f>IF(F226="","",VLOOKUP($B226,'C-1 On-Site WaterC'' Baseline'!$C$9:$R$257,6,FALSE))</f>
        <v/>
      </c>
      <c r="H226" s="382" t="str">
        <f>IF(G226="","",VLOOKUP($B226,'C-1 On-Site WaterC'' Baseline'!$C$9:$R$257,7,FALSE))</f>
        <v/>
      </c>
      <c r="I226" s="382" t="str">
        <f>IF(H226="","",VLOOKUP($B226,'C-1 On-Site WaterC'' Baseline'!$C$9:$R$257,8,FALSE))</f>
        <v/>
      </c>
      <c r="J226" s="382" t="str">
        <f>IF(I226="","",VLOOKUP($B226,'C-1 On-Site WaterC'' Baseline'!$C$9:$R$257,9,FALSE))</f>
        <v/>
      </c>
      <c r="K226" s="382" t="str">
        <f>IF(J226="","",VLOOKUP($B226,'C-1 On-Site WaterC'' Baseline'!$C$9:$R$257,10,FALSE))</f>
        <v/>
      </c>
      <c r="L226" s="382" t="str">
        <f>IF(B226="","",VLOOKUP($B226,'C-1 On-Site WaterC'' Baseline'!$C$9:$R$257,15,FALSE))</f>
        <v/>
      </c>
      <c r="M226" s="386" t="str">
        <f>IF(L226="","",VLOOKUP($B226,'C-1 On-Site WaterC'' Baseline'!$C$9:$R$257,16,FALSE))</f>
        <v/>
      </c>
      <c r="N226" s="320" t="str">
        <f t="shared" si="24"/>
        <v/>
      </c>
      <c r="O226" s="362" t="str">
        <f t="shared" si="26"/>
        <v/>
      </c>
      <c r="P226" s="363" t="str">
        <f>IF(C226="","",IF(AND(LEFT(C226,55)&lt;&gt;LEFT(N226,55),O226="High - High"),"Error - Not like for like ▲",IF(H226&gt;U226,"Error - Can not reduce condition ▲",IF(AND(F226=S226,H226=U226,AJ226='C-1 On-Site WaterC'' Baseline'!N224,'C-1 On-Site WaterC'' Baseline'!P224=AL226),"Error - No enhancement ▲",IF(AND(C226&lt;&gt;N226,F226&lt;S226),"Lower Distinctiveness Habitat"&amp;" - "&amp;T226,G226&amp;" - "&amp;T226)))))</f>
        <v/>
      </c>
      <c r="Q226" s="425" t="str">
        <f>IF(N226="","",VLOOKUP(B226,'C-1 On-Site WaterC'' Baseline'!$C$10:$AB$257,19,FALSE))</f>
        <v/>
      </c>
      <c r="R226" s="362" t="str">
        <f>IF(N226="","",VLOOKUP(N226,'G-7 WaterC'' Data'!$B$2:$G$8,2,FALSE))</f>
        <v/>
      </c>
      <c r="S226" s="363" t="str">
        <f>IFERROR(VLOOKUP(R226,'G-7 WaterC'' Data'!$C$4:$D$8,2,FALSE),"")</f>
        <v/>
      </c>
      <c r="T226" s="114"/>
      <c r="U226" s="363" t="str">
        <f>IFERROR(INDEX('G-7 WaterC'' Data'!$H$4:$L$8,MATCH(N226,'G-7 WaterC'' Data'!$B$4:$B$8,0),MATCH(T226,'G-7 WaterC'' Data'!$H$3:$L$3,0)),"")</f>
        <v/>
      </c>
      <c r="V226" s="114"/>
      <c r="W226" s="370" t="str">
        <f>IF(V226="","",IF(VLOOKUP(V226,'G-7 WaterC'' Data'!$AK$4:$AM$6,2,FALSE)=0,"Spatial Data Missing ⚠",VLOOKUP(V226,'G-7 WaterC'' Data'!$AK$4:$AM$6,2,FALSE)))</f>
        <v/>
      </c>
      <c r="X226" s="363" t="str">
        <f>IF(V226="","",IF(VLOOKUP(V226,'G-7 WaterC'' Data'!$AK$4:$AM$6,3,FALSE)=0,"Spatial Data Missing ⚠",VLOOKUP(V226,'G-7 WaterC'' Data'!$AK$4:$AM$6,3,FALSE)))</f>
        <v/>
      </c>
      <c r="Y226" s="362" t="str">
        <f>IFERROR(IF(OR(LEFT(P226,5)="Error",LEFT(O226,5)="Error ▲"),"Check Data ⚠",IF(F226&lt;S226,'G-7 WaterC'' Data'!$R$3,INDEX('G-7 WaterC'' Data'!$U$5:$Y$9,MATCH(G226,'G-7 WaterC'' Data'!$T$5:$T$9,0),MATCH(T226,'G-7 WaterC'' Data'!$U$4:$Y$4,0)))),"")</f>
        <v/>
      </c>
      <c r="Z226" s="159"/>
      <c r="AA226" s="159"/>
      <c r="AB226" s="370" t="str">
        <f t="shared" si="27"/>
        <v/>
      </c>
      <c r="AC226" s="383" t="str">
        <f t="shared" si="28"/>
        <v/>
      </c>
      <c r="AD226" s="422" t="str">
        <f>IFERROR(IF(AC226="Check Data ⚠","Check Data ⚠",VLOOKUP(AC226,'G-4 Temporal multipliers'!$A$4:$C$37,3,FALSE)),"")</f>
        <v/>
      </c>
      <c r="AE226" s="362" t="str">
        <f>IF(N226="","",VLOOKUP(N226,'G-7 WaterC'' Data'!$B$4:$G$8,5,FALSE))</f>
        <v/>
      </c>
      <c r="AF226" s="370" t="str">
        <f t="shared" si="29"/>
        <v/>
      </c>
      <c r="AG226" s="401" t="str">
        <f t="shared" si="30"/>
        <v/>
      </c>
      <c r="AH226" s="363" t="str">
        <f t="shared" si="25"/>
        <v/>
      </c>
      <c r="AI226" s="122"/>
      <c r="AJ226" s="363" t="str">
        <f>IF(AI226="","",IF(VLOOKUP(AI226,'G-7 WaterC'' Data'!$AA$4:$AB$7,2,FALSE)=0,"Spatial Data Missing ⚠",VLOOKUP(AI226,'G-7 WaterC'' Data'!$AA$4:$AB$7,2,FALSE)))</f>
        <v/>
      </c>
      <c r="AK226" s="123"/>
      <c r="AL226" s="363" t="str">
        <f>IF(AK226="","",IF(VLOOKUP(AK226,'G-7 WaterC'' Data'!$AD$4:$AE$14,2,FALSE)=0,"Spatial Data Missing ⚠",VLOOKUP(AK226,'G-7 WaterC'' Data'!$AD$4:$AE$14,2,FALSE)))</f>
        <v/>
      </c>
      <c r="AM226" s="405" t="str">
        <f t="shared" si="31"/>
        <v/>
      </c>
      <c r="AN226" s="117"/>
      <c r="AO226" s="118"/>
      <c r="AP226" s="120"/>
      <c r="AV226" s="30" t="str">
        <f>IFERROR(INDEX('G-7 WaterC'' Data'!$AZ$3:$AZ$7,MATCH(N226,'G-7 WaterC'' Data'!$AY$3:$AY$7,0)),"")</f>
        <v/>
      </c>
    </row>
    <row r="227" spans="2:48" ht="15">
      <c r="B227" s="392" t="str">
        <f>'C-1 On-Site WaterC'' Baseline'!AO225</f>
        <v/>
      </c>
      <c r="C227" s="382" t="str">
        <f>IF(B227="","",VLOOKUP($B227,'C-1 On-Site WaterC'' Baseline'!$C$9:$R$257,2,FALSE))</f>
        <v/>
      </c>
      <c r="D227" s="382" t="str">
        <f>IF(C227="","",VLOOKUP($B227,'C-1 On-Site WaterC'' Baseline'!$C$9:$R$257,3,FALSE))</f>
        <v/>
      </c>
      <c r="E227" s="382" t="str">
        <f>IF(D227="","",VLOOKUP($B227,'C-1 On-Site WaterC'' Baseline'!$C$9:$R$257,4,FALSE))</f>
        <v/>
      </c>
      <c r="F227" s="382" t="str">
        <f>IF(E227="","",VLOOKUP($B227,'C-1 On-Site WaterC'' Baseline'!$C$9:$R$257,5,FALSE))</f>
        <v/>
      </c>
      <c r="G227" s="382" t="str">
        <f>IF(F227="","",VLOOKUP($B227,'C-1 On-Site WaterC'' Baseline'!$C$9:$R$257,6,FALSE))</f>
        <v/>
      </c>
      <c r="H227" s="382" t="str">
        <f>IF(G227="","",VLOOKUP($B227,'C-1 On-Site WaterC'' Baseline'!$C$9:$R$257,7,FALSE))</f>
        <v/>
      </c>
      <c r="I227" s="382" t="str">
        <f>IF(H227="","",VLOOKUP($B227,'C-1 On-Site WaterC'' Baseline'!$C$9:$R$257,8,FALSE))</f>
        <v/>
      </c>
      <c r="J227" s="382" t="str">
        <f>IF(I227="","",VLOOKUP($B227,'C-1 On-Site WaterC'' Baseline'!$C$9:$R$257,9,FALSE))</f>
        <v/>
      </c>
      <c r="K227" s="382" t="str">
        <f>IF(J227="","",VLOOKUP($B227,'C-1 On-Site WaterC'' Baseline'!$C$9:$R$257,10,FALSE))</f>
        <v/>
      </c>
      <c r="L227" s="382" t="str">
        <f>IF(B227="","",VLOOKUP($B227,'C-1 On-Site WaterC'' Baseline'!$C$9:$R$257,15,FALSE))</f>
        <v/>
      </c>
      <c r="M227" s="386" t="str">
        <f>IF(L227="","",VLOOKUP($B227,'C-1 On-Site WaterC'' Baseline'!$C$9:$R$257,16,FALSE))</f>
        <v/>
      </c>
      <c r="N227" s="320" t="str">
        <f t="shared" si="24"/>
        <v/>
      </c>
      <c r="O227" s="362" t="str">
        <f t="shared" si="26"/>
        <v/>
      </c>
      <c r="P227" s="363" t="str">
        <f>IF(C227="","",IF(AND(LEFT(C227,55)&lt;&gt;LEFT(N227,55),O227="High - High"),"Error - Not like for like ▲",IF(H227&gt;U227,"Error - Can not reduce condition ▲",IF(AND(F227=S227,H227=U227,AJ227='C-1 On-Site WaterC'' Baseline'!N225,'C-1 On-Site WaterC'' Baseline'!P225=AL227),"Error - No enhancement ▲",IF(AND(C227&lt;&gt;N227,F227&lt;S227),"Lower Distinctiveness Habitat"&amp;" - "&amp;T227,G227&amp;" - "&amp;T227)))))</f>
        <v/>
      </c>
      <c r="Q227" s="425" t="str">
        <f>IF(N227="","",VLOOKUP(B227,'C-1 On-Site WaterC'' Baseline'!$C$10:$AB$257,19,FALSE))</f>
        <v/>
      </c>
      <c r="R227" s="362" t="str">
        <f>IF(N227="","",VLOOKUP(N227,'G-7 WaterC'' Data'!$B$2:$G$8,2,FALSE))</f>
        <v/>
      </c>
      <c r="S227" s="363" t="str">
        <f>IFERROR(VLOOKUP(R227,'G-7 WaterC'' Data'!$C$4:$D$8,2,FALSE),"")</f>
        <v/>
      </c>
      <c r="T227" s="114"/>
      <c r="U227" s="363" t="str">
        <f>IFERROR(INDEX('G-7 WaterC'' Data'!$H$4:$L$8,MATCH(N227,'G-7 WaterC'' Data'!$B$4:$B$8,0),MATCH(T227,'G-7 WaterC'' Data'!$H$3:$L$3,0)),"")</f>
        <v/>
      </c>
      <c r="V227" s="114"/>
      <c r="W227" s="370" t="str">
        <f>IF(V227="","",IF(VLOOKUP(V227,'G-7 WaterC'' Data'!$AK$4:$AM$6,2,FALSE)=0,"Spatial Data Missing ⚠",VLOOKUP(V227,'G-7 WaterC'' Data'!$AK$4:$AM$6,2,FALSE)))</f>
        <v/>
      </c>
      <c r="X227" s="363" t="str">
        <f>IF(V227="","",IF(VLOOKUP(V227,'G-7 WaterC'' Data'!$AK$4:$AM$6,3,FALSE)=0,"Spatial Data Missing ⚠",VLOOKUP(V227,'G-7 WaterC'' Data'!$AK$4:$AM$6,3,FALSE)))</f>
        <v/>
      </c>
      <c r="Y227" s="362" t="str">
        <f>IFERROR(IF(OR(LEFT(P227,5)="Error",LEFT(O227,5)="Error ▲"),"Check Data ⚠",IF(F227&lt;S227,'G-7 WaterC'' Data'!$R$3,INDEX('G-7 WaterC'' Data'!$U$5:$Y$9,MATCH(G227,'G-7 WaterC'' Data'!$T$5:$T$9,0),MATCH(T227,'G-7 WaterC'' Data'!$U$4:$Y$4,0)))),"")</f>
        <v/>
      </c>
      <c r="Z227" s="159"/>
      <c r="AA227" s="159"/>
      <c r="AB227" s="370" t="str">
        <f t="shared" si="27"/>
        <v/>
      </c>
      <c r="AC227" s="383" t="str">
        <f t="shared" si="28"/>
        <v/>
      </c>
      <c r="AD227" s="422" t="str">
        <f>IFERROR(IF(AC227="Check Data ⚠","Check Data ⚠",VLOOKUP(AC227,'G-4 Temporal multipliers'!$A$4:$C$37,3,FALSE)),"")</f>
        <v/>
      </c>
      <c r="AE227" s="362" t="str">
        <f>IF(N227="","",VLOOKUP(N227,'G-7 WaterC'' Data'!$B$4:$G$8,5,FALSE))</f>
        <v/>
      </c>
      <c r="AF227" s="370" t="str">
        <f t="shared" si="29"/>
        <v/>
      </c>
      <c r="AG227" s="401" t="str">
        <f t="shared" si="30"/>
        <v/>
      </c>
      <c r="AH227" s="363" t="str">
        <f t="shared" si="25"/>
        <v/>
      </c>
      <c r="AI227" s="122"/>
      <c r="AJ227" s="363" t="str">
        <f>IF(AI227="","",IF(VLOOKUP(AI227,'G-7 WaterC'' Data'!$AA$4:$AB$7,2,FALSE)=0,"Spatial Data Missing ⚠",VLOOKUP(AI227,'G-7 WaterC'' Data'!$AA$4:$AB$7,2,FALSE)))</f>
        <v/>
      </c>
      <c r="AK227" s="123"/>
      <c r="AL227" s="363" t="str">
        <f>IF(AK227="","",IF(VLOOKUP(AK227,'G-7 WaterC'' Data'!$AD$4:$AE$14,2,FALSE)=0,"Spatial Data Missing ⚠",VLOOKUP(AK227,'G-7 WaterC'' Data'!$AD$4:$AE$14,2,FALSE)))</f>
        <v/>
      </c>
      <c r="AM227" s="405" t="str">
        <f t="shared" si="31"/>
        <v/>
      </c>
      <c r="AN227" s="117"/>
      <c r="AO227" s="118"/>
      <c r="AP227" s="120"/>
      <c r="AV227" s="30" t="str">
        <f>IFERROR(INDEX('G-7 WaterC'' Data'!$AZ$3:$AZ$7,MATCH(N227,'G-7 WaterC'' Data'!$AY$3:$AY$7,0)),"")</f>
        <v/>
      </c>
    </row>
    <row r="228" spans="2:48" ht="15">
      <c r="B228" s="392" t="str">
        <f>'C-1 On-Site WaterC'' Baseline'!AO226</f>
        <v/>
      </c>
      <c r="C228" s="382" t="str">
        <f>IF(B228="","",VLOOKUP($B228,'C-1 On-Site WaterC'' Baseline'!$C$9:$R$257,2,FALSE))</f>
        <v/>
      </c>
      <c r="D228" s="382" t="str">
        <f>IF(C228="","",VLOOKUP($B228,'C-1 On-Site WaterC'' Baseline'!$C$9:$R$257,3,FALSE))</f>
        <v/>
      </c>
      <c r="E228" s="382" t="str">
        <f>IF(D228="","",VLOOKUP($B228,'C-1 On-Site WaterC'' Baseline'!$C$9:$R$257,4,FALSE))</f>
        <v/>
      </c>
      <c r="F228" s="382" t="str">
        <f>IF(E228="","",VLOOKUP($B228,'C-1 On-Site WaterC'' Baseline'!$C$9:$R$257,5,FALSE))</f>
        <v/>
      </c>
      <c r="G228" s="382" t="str">
        <f>IF(F228="","",VLOOKUP($B228,'C-1 On-Site WaterC'' Baseline'!$C$9:$R$257,6,FALSE))</f>
        <v/>
      </c>
      <c r="H228" s="382" t="str">
        <f>IF(G228="","",VLOOKUP($B228,'C-1 On-Site WaterC'' Baseline'!$C$9:$R$257,7,FALSE))</f>
        <v/>
      </c>
      <c r="I228" s="382" t="str">
        <f>IF(H228="","",VLOOKUP($B228,'C-1 On-Site WaterC'' Baseline'!$C$9:$R$257,8,FALSE))</f>
        <v/>
      </c>
      <c r="J228" s="382" t="str">
        <f>IF(I228="","",VLOOKUP($B228,'C-1 On-Site WaterC'' Baseline'!$C$9:$R$257,9,FALSE))</f>
        <v/>
      </c>
      <c r="K228" s="382" t="str">
        <f>IF(J228="","",VLOOKUP($B228,'C-1 On-Site WaterC'' Baseline'!$C$9:$R$257,10,FALSE))</f>
        <v/>
      </c>
      <c r="L228" s="382" t="str">
        <f>IF(B228="","",VLOOKUP($B228,'C-1 On-Site WaterC'' Baseline'!$C$9:$R$257,15,FALSE))</f>
        <v/>
      </c>
      <c r="M228" s="386" t="str">
        <f>IF(L228="","",VLOOKUP($B228,'C-1 On-Site WaterC'' Baseline'!$C$9:$R$257,16,FALSE))</f>
        <v/>
      </c>
      <c r="N228" s="320" t="str">
        <f t="shared" si="24"/>
        <v/>
      </c>
      <c r="O228" s="362" t="str">
        <f t="shared" si="26"/>
        <v/>
      </c>
      <c r="P228" s="363" t="str">
        <f>IF(C228="","",IF(AND(LEFT(C228,55)&lt;&gt;LEFT(N228,55),O228="High - High"),"Error - Not like for like ▲",IF(H228&gt;U228,"Error - Can not reduce condition ▲",IF(AND(F228=S228,H228=U228,AJ228='C-1 On-Site WaterC'' Baseline'!N226,'C-1 On-Site WaterC'' Baseline'!P226=AL228),"Error - No enhancement ▲",IF(AND(C228&lt;&gt;N228,F228&lt;S228),"Lower Distinctiveness Habitat"&amp;" - "&amp;T228,G228&amp;" - "&amp;T228)))))</f>
        <v/>
      </c>
      <c r="Q228" s="425" t="str">
        <f>IF(N228="","",VLOOKUP(B228,'C-1 On-Site WaterC'' Baseline'!$C$10:$AB$257,19,FALSE))</f>
        <v/>
      </c>
      <c r="R228" s="362" t="str">
        <f>IF(N228="","",VLOOKUP(N228,'G-7 WaterC'' Data'!$B$2:$G$8,2,FALSE))</f>
        <v/>
      </c>
      <c r="S228" s="363" t="str">
        <f>IFERROR(VLOOKUP(R228,'G-7 WaterC'' Data'!$C$4:$D$8,2,FALSE),"")</f>
        <v/>
      </c>
      <c r="T228" s="114"/>
      <c r="U228" s="363" t="str">
        <f>IFERROR(INDEX('G-7 WaterC'' Data'!$H$4:$L$8,MATCH(N228,'G-7 WaterC'' Data'!$B$4:$B$8,0),MATCH(T228,'G-7 WaterC'' Data'!$H$3:$L$3,0)),"")</f>
        <v/>
      </c>
      <c r="V228" s="114"/>
      <c r="W228" s="370" t="str">
        <f>IF(V228="","",IF(VLOOKUP(V228,'G-7 WaterC'' Data'!$AK$4:$AM$6,2,FALSE)=0,"Spatial Data Missing ⚠",VLOOKUP(V228,'G-7 WaterC'' Data'!$AK$4:$AM$6,2,FALSE)))</f>
        <v/>
      </c>
      <c r="X228" s="363" t="str">
        <f>IF(V228="","",IF(VLOOKUP(V228,'G-7 WaterC'' Data'!$AK$4:$AM$6,3,FALSE)=0,"Spatial Data Missing ⚠",VLOOKUP(V228,'G-7 WaterC'' Data'!$AK$4:$AM$6,3,FALSE)))</f>
        <v/>
      </c>
      <c r="Y228" s="362" t="str">
        <f>IFERROR(IF(OR(LEFT(P228,5)="Error",LEFT(O228,5)="Error ▲"),"Check Data ⚠",IF(F228&lt;S228,'G-7 WaterC'' Data'!$R$3,INDEX('G-7 WaterC'' Data'!$U$5:$Y$9,MATCH(G228,'G-7 WaterC'' Data'!$T$5:$T$9,0),MATCH(T228,'G-7 WaterC'' Data'!$U$4:$Y$4,0)))),"")</f>
        <v/>
      </c>
      <c r="Z228" s="159"/>
      <c r="AA228" s="159"/>
      <c r="AB228" s="370" t="str">
        <f t="shared" si="27"/>
        <v/>
      </c>
      <c r="AC228" s="383" t="str">
        <f t="shared" si="28"/>
        <v/>
      </c>
      <c r="AD228" s="422" t="str">
        <f>IFERROR(IF(AC228="Check Data ⚠","Check Data ⚠",VLOOKUP(AC228,'G-4 Temporal multipliers'!$A$4:$C$37,3,FALSE)),"")</f>
        <v/>
      </c>
      <c r="AE228" s="362" t="str">
        <f>IF(N228="","",VLOOKUP(N228,'G-7 WaterC'' Data'!$B$4:$G$8,5,FALSE))</f>
        <v/>
      </c>
      <c r="AF228" s="370" t="str">
        <f t="shared" si="29"/>
        <v/>
      </c>
      <c r="AG228" s="401" t="str">
        <f t="shared" si="30"/>
        <v/>
      </c>
      <c r="AH228" s="363" t="str">
        <f t="shared" si="25"/>
        <v/>
      </c>
      <c r="AI228" s="122"/>
      <c r="AJ228" s="363" t="str">
        <f>IF(AI228="","",IF(VLOOKUP(AI228,'G-7 WaterC'' Data'!$AA$4:$AB$7,2,FALSE)=0,"Spatial Data Missing ⚠",VLOOKUP(AI228,'G-7 WaterC'' Data'!$AA$4:$AB$7,2,FALSE)))</f>
        <v/>
      </c>
      <c r="AK228" s="123"/>
      <c r="AL228" s="363" t="str">
        <f>IF(AK228="","",IF(VLOOKUP(AK228,'G-7 WaterC'' Data'!$AD$4:$AE$14,2,FALSE)=0,"Spatial Data Missing ⚠",VLOOKUP(AK228,'G-7 WaterC'' Data'!$AD$4:$AE$14,2,FALSE)))</f>
        <v/>
      </c>
      <c r="AM228" s="405" t="str">
        <f t="shared" si="31"/>
        <v/>
      </c>
      <c r="AN228" s="117"/>
      <c r="AO228" s="118"/>
      <c r="AP228" s="120"/>
      <c r="AV228" s="30" t="str">
        <f>IFERROR(INDEX('G-7 WaterC'' Data'!$AZ$3:$AZ$7,MATCH(N228,'G-7 WaterC'' Data'!$AY$3:$AY$7,0)),"")</f>
        <v/>
      </c>
    </row>
    <row r="229" spans="2:48" ht="15">
      <c r="B229" s="392" t="str">
        <f>'C-1 On-Site WaterC'' Baseline'!AO227</f>
        <v/>
      </c>
      <c r="C229" s="382" t="str">
        <f>IF(B229="","",VLOOKUP($B229,'C-1 On-Site WaterC'' Baseline'!$C$9:$R$257,2,FALSE))</f>
        <v/>
      </c>
      <c r="D229" s="382" t="str">
        <f>IF(C229="","",VLOOKUP($B229,'C-1 On-Site WaterC'' Baseline'!$C$9:$R$257,3,FALSE))</f>
        <v/>
      </c>
      <c r="E229" s="382" t="str">
        <f>IF(D229="","",VLOOKUP($B229,'C-1 On-Site WaterC'' Baseline'!$C$9:$R$257,4,FALSE))</f>
        <v/>
      </c>
      <c r="F229" s="382" t="str">
        <f>IF(E229="","",VLOOKUP($B229,'C-1 On-Site WaterC'' Baseline'!$C$9:$R$257,5,FALSE))</f>
        <v/>
      </c>
      <c r="G229" s="382" t="str">
        <f>IF(F229="","",VLOOKUP($B229,'C-1 On-Site WaterC'' Baseline'!$C$9:$R$257,6,FALSE))</f>
        <v/>
      </c>
      <c r="H229" s="382" t="str">
        <f>IF(G229="","",VLOOKUP($B229,'C-1 On-Site WaterC'' Baseline'!$C$9:$R$257,7,FALSE))</f>
        <v/>
      </c>
      <c r="I229" s="382" t="str">
        <f>IF(H229="","",VLOOKUP($B229,'C-1 On-Site WaterC'' Baseline'!$C$9:$R$257,8,FALSE))</f>
        <v/>
      </c>
      <c r="J229" s="382" t="str">
        <f>IF(I229="","",VLOOKUP($B229,'C-1 On-Site WaterC'' Baseline'!$C$9:$R$257,9,FALSE))</f>
        <v/>
      </c>
      <c r="K229" s="382" t="str">
        <f>IF(J229="","",VLOOKUP($B229,'C-1 On-Site WaterC'' Baseline'!$C$9:$R$257,10,FALSE))</f>
        <v/>
      </c>
      <c r="L229" s="382" t="str">
        <f>IF(B229="","",VLOOKUP($B229,'C-1 On-Site WaterC'' Baseline'!$C$9:$R$257,15,FALSE))</f>
        <v/>
      </c>
      <c r="M229" s="386" t="str">
        <f>IF(L229="","",VLOOKUP($B229,'C-1 On-Site WaterC'' Baseline'!$C$9:$R$257,16,FALSE))</f>
        <v/>
      </c>
      <c r="N229" s="320" t="str">
        <f t="shared" si="24"/>
        <v/>
      </c>
      <c r="O229" s="362" t="str">
        <f t="shared" si="26"/>
        <v/>
      </c>
      <c r="P229" s="363" t="str">
        <f>IF(C229="","",IF(AND(LEFT(C229,55)&lt;&gt;LEFT(N229,55),O229="High - High"),"Error - Not like for like ▲",IF(H229&gt;U229,"Error - Can not reduce condition ▲",IF(AND(F229=S229,H229=U229,AJ229='C-1 On-Site WaterC'' Baseline'!N227,'C-1 On-Site WaterC'' Baseline'!P227=AL229),"Error - No enhancement ▲",IF(AND(C229&lt;&gt;N229,F229&lt;S229),"Lower Distinctiveness Habitat"&amp;" - "&amp;T229,G229&amp;" - "&amp;T229)))))</f>
        <v/>
      </c>
      <c r="Q229" s="425" t="str">
        <f>IF(N229="","",VLOOKUP(B229,'C-1 On-Site WaterC'' Baseline'!$C$10:$AB$257,19,FALSE))</f>
        <v/>
      </c>
      <c r="R229" s="362" t="str">
        <f>IF(N229="","",VLOOKUP(N229,'G-7 WaterC'' Data'!$B$2:$G$8,2,FALSE))</f>
        <v/>
      </c>
      <c r="S229" s="363" t="str">
        <f>IFERROR(VLOOKUP(R229,'G-7 WaterC'' Data'!$C$4:$D$8,2,FALSE),"")</f>
        <v/>
      </c>
      <c r="T229" s="114"/>
      <c r="U229" s="363" t="str">
        <f>IFERROR(INDEX('G-7 WaterC'' Data'!$H$4:$L$8,MATCH(N229,'G-7 WaterC'' Data'!$B$4:$B$8,0),MATCH(T229,'G-7 WaterC'' Data'!$H$3:$L$3,0)),"")</f>
        <v/>
      </c>
      <c r="V229" s="114"/>
      <c r="W229" s="370" t="str">
        <f>IF(V229="","",IF(VLOOKUP(V229,'G-7 WaterC'' Data'!$AK$4:$AM$6,2,FALSE)=0,"Spatial Data Missing ⚠",VLOOKUP(V229,'G-7 WaterC'' Data'!$AK$4:$AM$6,2,FALSE)))</f>
        <v/>
      </c>
      <c r="X229" s="363" t="str">
        <f>IF(V229="","",IF(VLOOKUP(V229,'G-7 WaterC'' Data'!$AK$4:$AM$6,3,FALSE)=0,"Spatial Data Missing ⚠",VLOOKUP(V229,'G-7 WaterC'' Data'!$AK$4:$AM$6,3,FALSE)))</f>
        <v/>
      </c>
      <c r="Y229" s="362" t="str">
        <f>IFERROR(IF(OR(LEFT(P229,5)="Error",LEFT(O229,5)="Error ▲"),"Check Data ⚠",IF(F229&lt;S229,'G-7 WaterC'' Data'!$R$3,INDEX('G-7 WaterC'' Data'!$U$5:$Y$9,MATCH(G229,'G-7 WaterC'' Data'!$T$5:$T$9,0),MATCH(T229,'G-7 WaterC'' Data'!$U$4:$Y$4,0)))),"")</f>
        <v/>
      </c>
      <c r="Z229" s="159"/>
      <c r="AA229" s="159"/>
      <c r="AB229" s="370" t="str">
        <f t="shared" si="27"/>
        <v/>
      </c>
      <c r="AC229" s="383" t="str">
        <f t="shared" si="28"/>
        <v/>
      </c>
      <c r="AD229" s="422" t="str">
        <f>IFERROR(IF(AC229="Check Data ⚠","Check Data ⚠",VLOOKUP(AC229,'G-4 Temporal multipliers'!$A$4:$C$37,3,FALSE)),"")</f>
        <v/>
      </c>
      <c r="AE229" s="362" t="str">
        <f>IF(N229="","",VLOOKUP(N229,'G-7 WaterC'' Data'!$B$4:$G$8,5,FALSE))</f>
        <v/>
      </c>
      <c r="AF229" s="370" t="str">
        <f t="shared" si="29"/>
        <v/>
      </c>
      <c r="AG229" s="401" t="str">
        <f t="shared" si="30"/>
        <v/>
      </c>
      <c r="AH229" s="363" t="str">
        <f t="shared" si="25"/>
        <v/>
      </c>
      <c r="AI229" s="122"/>
      <c r="AJ229" s="363" t="str">
        <f>IF(AI229="","",IF(VLOOKUP(AI229,'G-7 WaterC'' Data'!$AA$4:$AB$7,2,FALSE)=0,"Spatial Data Missing ⚠",VLOOKUP(AI229,'G-7 WaterC'' Data'!$AA$4:$AB$7,2,FALSE)))</f>
        <v/>
      </c>
      <c r="AK229" s="123"/>
      <c r="AL229" s="363" t="str">
        <f>IF(AK229="","",IF(VLOOKUP(AK229,'G-7 WaterC'' Data'!$AD$4:$AE$14,2,FALSE)=0,"Spatial Data Missing ⚠",VLOOKUP(AK229,'G-7 WaterC'' Data'!$AD$4:$AE$14,2,FALSE)))</f>
        <v/>
      </c>
      <c r="AM229" s="405" t="str">
        <f t="shared" si="31"/>
        <v/>
      </c>
      <c r="AN229" s="117"/>
      <c r="AO229" s="118"/>
      <c r="AP229" s="120"/>
      <c r="AV229" s="30" t="str">
        <f>IFERROR(INDEX('G-7 WaterC'' Data'!$AZ$3:$AZ$7,MATCH(N229,'G-7 WaterC'' Data'!$AY$3:$AY$7,0)),"")</f>
        <v/>
      </c>
    </row>
    <row r="230" spans="2:48" ht="15">
      <c r="B230" s="392" t="str">
        <f>'C-1 On-Site WaterC'' Baseline'!AO228</f>
        <v/>
      </c>
      <c r="C230" s="382" t="str">
        <f>IF(B230="","",VLOOKUP($B230,'C-1 On-Site WaterC'' Baseline'!$C$9:$R$257,2,FALSE))</f>
        <v/>
      </c>
      <c r="D230" s="382" t="str">
        <f>IF(C230="","",VLOOKUP($B230,'C-1 On-Site WaterC'' Baseline'!$C$9:$R$257,3,FALSE))</f>
        <v/>
      </c>
      <c r="E230" s="382" t="str">
        <f>IF(D230="","",VLOOKUP($B230,'C-1 On-Site WaterC'' Baseline'!$C$9:$R$257,4,FALSE))</f>
        <v/>
      </c>
      <c r="F230" s="382" t="str">
        <f>IF(E230="","",VLOOKUP($B230,'C-1 On-Site WaterC'' Baseline'!$C$9:$R$257,5,FALSE))</f>
        <v/>
      </c>
      <c r="G230" s="382" t="str">
        <f>IF(F230="","",VLOOKUP($B230,'C-1 On-Site WaterC'' Baseline'!$C$9:$R$257,6,FALSE))</f>
        <v/>
      </c>
      <c r="H230" s="382" t="str">
        <f>IF(G230="","",VLOOKUP($B230,'C-1 On-Site WaterC'' Baseline'!$C$9:$R$257,7,FALSE))</f>
        <v/>
      </c>
      <c r="I230" s="382" t="str">
        <f>IF(H230="","",VLOOKUP($B230,'C-1 On-Site WaterC'' Baseline'!$C$9:$R$257,8,FALSE))</f>
        <v/>
      </c>
      <c r="J230" s="382" t="str">
        <f>IF(I230="","",VLOOKUP($B230,'C-1 On-Site WaterC'' Baseline'!$C$9:$R$257,9,FALSE))</f>
        <v/>
      </c>
      <c r="K230" s="382" t="str">
        <f>IF(J230="","",VLOOKUP($B230,'C-1 On-Site WaterC'' Baseline'!$C$9:$R$257,10,FALSE))</f>
        <v/>
      </c>
      <c r="L230" s="382" t="str">
        <f>IF(B230="","",VLOOKUP($B230,'C-1 On-Site WaterC'' Baseline'!$C$9:$R$257,15,FALSE))</f>
        <v/>
      </c>
      <c r="M230" s="386" t="str">
        <f>IF(L230="","",VLOOKUP($B230,'C-1 On-Site WaterC'' Baseline'!$C$9:$R$257,16,FALSE))</f>
        <v/>
      </c>
      <c r="N230" s="320" t="str">
        <f t="shared" si="24"/>
        <v/>
      </c>
      <c r="O230" s="362" t="str">
        <f t="shared" si="26"/>
        <v/>
      </c>
      <c r="P230" s="363" t="str">
        <f>IF(C230="","",IF(AND(LEFT(C230,55)&lt;&gt;LEFT(N230,55),O230="High - High"),"Error - Not like for like ▲",IF(H230&gt;U230,"Error - Can not reduce condition ▲",IF(AND(F230=S230,H230=U230,AJ230='C-1 On-Site WaterC'' Baseline'!N228,'C-1 On-Site WaterC'' Baseline'!P228=AL230),"Error - No enhancement ▲",IF(AND(C230&lt;&gt;N230,F230&lt;S230),"Lower Distinctiveness Habitat"&amp;" - "&amp;T230,G230&amp;" - "&amp;T230)))))</f>
        <v/>
      </c>
      <c r="Q230" s="425" t="str">
        <f>IF(N230="","",VLOOKUP(B230,'C-1 On-Site WaterC'' Baseline'!$C$10:$AB$257,19,FALSE))</f>
        <v/>
      </c>
      <c r="R230" s="362" t="str">
        <f>IF(N230="","",VLOOKUP(N230,'G-7 WaterC'' Data'!$B$2:$G$8,2,FALSE))</f>
        <v/>
      </c>
      <c r="S230" s="363" t="str">
        <f>IFERROR(VLOOKUP(R230,'G-7 WaterC'' Data'!$C$4:$D$8,2,FALSE),"")</f>
        <v/>
      </c>
      <c r="T230" s="114"/>
      <c r="U230" s="363" t="str">
        <f>IFERROR(INDEX('G-7 WaterC'' Data'!$H$4:$L$8,MATCH(N230,'G-7 WaterC'' Data'!$B$4:$B$8,0),MATCH(T230,'G-7 WaterC'' Data'!$H$3:$L$3,0)),"")</f>
        <v/>
      </c>
      <c r="V230" s="114"/>
      <c r="W230" s="370" t="str">
        <f>IF(V230="","",IF(VLOOKUP(V230,'G-7 WaterC'' Data'!$AK$4:$AM$6,2,FALSE)=0,"Spatial Data Missing ⚠",VLOOKUP(V230,'G-7 WaterC'' Data'!$AK$4:$AM$6,2,FALSE)))</f>
        <v/>
      </c>
      <c r="X230" s="363" t="str">
        <f>IF(V230="","",IF(VLOOKUP(V230,'G-7 WaterC'' Data'!$AK$4:$AM$6,3,FALSE)=0,"Spatial Data Missing ⚠",VLOOKUP(V230,'G-7 WaterC'' Data'!$AK$4:$AM$6,3,FALSE)))</f>
        <v/>
      </c>
      <c r="Y230" s="362" t="str">
        <f>IFERROR(IF(OR(LEFT(P230,5)="Error",LEFT(O230,5)="Error ▲"),"Check Data ⚠",IF(F230&lt;S230,'G-7 WaterC'' Data'!$R$3,INDEX('G-7 WaterC'' Data'!$U$5:$Y$9,MATCH(G230,'G-7 WaterC'' Data'!$T$5:$T$9,0),MATCH(T230,'G-7 WaterC'' Data'!$U$4:$Y$4,0)))),"")</f>
        <v/>
      </c>
      <c r="Z230" s="159"/>
      <c r="AA230" s="159"/>
      <c r="AB230" s="370" t="str">
        <f t="shared" si="27"/>
        <v/>
      </c>
      <c r="AC230" s="383" t="str">
        <f t="shared" si="28"/>
        <v/>
      </c>
      <c r="AD230" s="422" t="str">
        <f>IFERROR(IF(AC230="Check Data ⚠","Check Data ⚠",VLOOKUP(AC230,'G-4 Temporal multipliers'!$A$4:$C$37,3,FALSE)),"")</f>
        <v/>
      </c>
      <c r="AE230" s="362" t="str">
        <f>IF(N230="","",VLOOKUP(N230,'G-7 WaterC'' Data'!$B$4:$G$8,5,FALSE))</f>
        <v/>
      </c>
      <c r="AF230" s="370" t="str">
        <f t="shared" si="29"/>
        <v/>
      </c>
      <c r="AG230" s="401" t="str">
        <f t="shared" si="30"/>
        <v/>
      </c>
      <c r="AH230" s="363" t="str">
        <f t="shared" si="25"/>
        <v/>
      </c>
      <c r="AI230" s="122"/>
      <c r="AJ230" s="363" t="str">
        <f>IF(AI230="","",IF(VLOOKUP(AI230,'G-7 WaterC'' Data'!$AA$4:$AB$7,2,FALSE)=0,"Spatial Data Missing ⚠",VLOOKUP(AI230,'G-7 WaterC'' Data'!$AA$4:$AB$7,2,FALSE)))</f>
        <v/>
      </c>
      <c r="AK230" s="123"/>
      <c r="AL230" s="363" t="str">
        <f>IF(AK230="","",IF(VLOOKUP(AK230,'G-7 WaterC'' Data'!$AD$4:$AE$14,2,FALSE)=0,"Spatial Data Missing ⚠",VLOOKUP(AK230,'G-7 WaterC'' Data'!$AD$4:$AE$14,2,FALSE)))</f>
        <v/>
      </c>
      <c r="AM230" s="405" t="str">
        <f t="shared" si="31"/>
        <v/>
      </c>
      <c r="AN230" s="117"/>
      <c r="AO230" s="118"/>
      <c r="AP230" s="120"/>
      <c r="AV230" s="30" t="str">
        <f>IFERROR(INDEX('G-7 WaterC'' Data'!$AZ$3:$AZ$7,MATCH(N230,'G-7 WaterC'' Data'!$AY$3:$AY$7,0)),"")</f>
        <v/>
      </c>
    </row>
    <row r="231" spans="2:48" ht="15">
      <c r="B231" s="392" t="str">
        <f>'C-1 On-Site WaterC'' Baseline'!AO229</f>
        <v/>
      </c>
      <c r="C231" s="382" t="str">
        <f>IF(B231="","",VLOOKUP($B231,'C-1 On-Site WaterC'' Baseline'!$C$9:$R$257,2,FALSE))</f>
        <v/>
      </c>
      <c r="D231" s="382" t="str">
        <f>IF(C231="","",VLOOKUP($B231,'C-1 On-Site WaterC'' Baseline'!$C$9:$R$257,3,FALSE))</f>
        <v/>
      </c>
      <c r="E231" s="382" t="str">
        <f>IF(D231="","",VLOOKUP($B231,'C-1 On-Site WaterC'' Baseline'!$C$9:$R$257,4,FALSE))</f>
        <v/>
      </c>
      <c r="F231" s="382" t="str">
        <f>IF(E231="","",VLOOKUP($B231,'C-1 On-Site WaterC'' Baseline'!$C$9:$R$257,5,FALSE))</f>
        <v/>
      </c>
      <c r="G231" s="382" t="str">
        <f>IF(F231="","",VLOOKUP($B231,'C-1 On-Site WaterC'' Baseline'!$C$9:$R$257,6,FALSE))</f>
        <v/>
      </c>
      <c r="H231" s="382" t="str">
        <f>IF(G231="","",VLOOKUP($B231,'C-1 On-Site WaterC'' Baseline'!$C$9:$R$257,7,FALSE))</f>
        <v/>
      </c>
      <c r="I231" s="382" t="str">
        <f>IF(H231="","",VLOOKUP($B231,'C-1 On-Site WaterC'' Baseline'!$C$9:$R$257,8,FALSE))</f>
        <v/>
      </c>
      <c r="J231" s="382" t="str">
        <f>IF(I231="","",VLOOKUP($B231,'C-1 On-Site WaterC'' Baseline'!$C$9:$R$257,9,FALSE))</f>
        <v/>
      </c>
      <c r="K231" s="382" t="str">
        <f>IF(J231="","",VLOOKUP($B231,'C-1 On-Site WaterC'' Baseline'!$C$9:$R$257,10,FALSE))</f>
        <v/>
      </c>
      <c r="L231" s="382" t="str">
        <f>IF(B231="","",VLOOKUP($B231,'C-1 On-Site WaterC'' Baseline'!$C$9:$R$257,15,FALSE))</f>
        <v/>
      </c>
      <c r="M231" s="386" t="str">
        <f>IF(L231="","",VLOOKUP($B231,'C-1 On-Site WaterC'' Baseline'!$C$9:$R$257,16,FALSE))</f>
        <v/>
      </c>
      <c r="N231" s="320" t="str">
        <f t="shared" si="24"/>
        <v/>
      </c>
      <c r="O231" s="362" t="str">
        <f t="shared" si="26"/>
        <v/>
      </c>
      <c r="P231" s="363" t="str">
        <f>IF(C231="","",IF(AND(LEFT(C231,55)&lt;&gt;LEFT(N231,55),O231="High - High"),"Error - Not like for like ▲",IF(H231&gt;U231,"Error - Can not reduce condition ▲",IF(AND(F231=S231,H231=U231,AJ231='C-1 On-Site WaterC'' Baseline'!N229,'C-1 On-Site WaterC'' Baseline'!P229=AL231),"Error - No enhancement ▲",IF(AND(C231&lt;&gt;N231,F231&lt;S231),"Lower Distinctiveness Habitat"&amp;" - "&amp;T231,G231&amp;" - "&amp;T231)))))</f>
        <v/>
      </c>
      <c r="Q231" s="425" t="str">
        <f>IF(N231="","",VLOOKUP(B231,'C-1 On-Site WaterC'' Baseline'!$C$10:$AB$257,19,FALSE))</f>
        <v/>
      </c>
      <c r="R231" s="362" t="str">
        <f>IF(N231="","",VLOOKUP(N231,'G-7 WaterC'' Data'!$B$2:$G$8,2,FALSE))</f>
        <v/>
      </c>
      <c r="S231" s="363" t="str">
        <f>IFERROR(VLOOKUP(R231,'G-7 WaterC'' Data'!$C$4:$D$8,2,FALSE),"")</f>
        <v/>
      </c>
      <c r="T231" s="114"/>
      <c r="U231" s="363" t="str">
        <f>IFERROR(INDEX('G-7 WaterC'' Data'!$H$4:$L$8,MATCH(N231,'G-7 WaterC'' Data'!$B$4:$B$8,0),MATCH(T231,'G-7 WaterC'' Data'!$H$3:$L$3,0)),"")</f>
        <v/>
      </c>
      <c r="V231" s="114"/>
      <c r="W231" s="370" t="str">
        <f>IF(V231="","",IF(VLOOKUP(V231,'G-7 WaterC'' Data'!$AK$4:$AM$6,2,FALSE)=0,"Spatial Data Missing ⚠",VLOOKUP(V231,'G-7 WaterC'' Data'!$AK$4:$AM$6,2,FALSE)))</f>
        <v/>
      </c>
      <c r="X231" s="363" t="str">
        <f>IF(V231="","",IF(VLOOKUP(V231,'G-7 WaterC'' Data'!$AK$4:$AM$6,3,FALSE)=0,"Spatial Data Missing ⚠",VLOOKUP(V231,'G-7 WaterC'' Data'!$AK$4:$AM$6,3,FALSE)))</f>
        <v/>
      </c>
      <c r="Y231" s="362" t="str">
        <f>IFERROR(IF(OR(LEFT(P231,5)="Error",LEFT(O231,5)="Error ▲"),"Check Data ⚠",IF(F231&lt;S231,'G-7 WaterC'' Data'!$R$3,INDEX('G-7 WaterC'' Data'!$U$5:$Y$9,MATCH(G231,'G-7 WaterC'' Data'!$T$5:$T$9,0),MATCH(T231,'G-7 WaterC'' Data'!$U$4:$Y$4,0)))),"")</f>
        <v/>
      </c>
      <c r="Z231" s="159"/>
      <c r="AA231" s="159"/>
      <c r="AB231" s="370" t="str">
        <f t="shared" si="27"/>
        <v/>
      </c>
      <c r="AC231" s="383" t="str">
        <f t="shared" si="28"/>
        <v/>
      </c>
      <c r="AD231" s="422" t="str">
        <f>IFERROR(IF(AC231="Check Data ⚠","Check Data ⚠",VLOOKUP(AC231,'G-4 Temporal multipliers'!$A$4:$C$37,3,FALSE)),"")</f>
        <v/>
      </c>
      <c r="AE231" s="362" t="str">
        <f>IF(N231="","",VLOOKUP(N231,'G-7 WaterC'' Data'!$B$4:$G$8,5,FALSE))</f>
        <v/>
      </c>
      <c r="AF231" s="370" t="str">
        <f t="shared" si="29"/>
        <v/>
      </c>
      <c r="AG231" s="401" t="str">
        <f t="shared" si="30"/>
        <v/>
      </c>
      <c r="AH231" s="363" t="str">
        <f t="shared" si="25"/>
        <v/>
      </c>
      <c r="AI231" s="122"/>
      <c r="AJ231" s="363" t="str">
        <f>IF(AI231="","",IF(VLOOKUP(AI231,'G-7 WaterC'' Data'!$AA$4:$AB$7,2,FALSE)=0,"Spatial Data Missing ⚠",VLOOKUP(AI231,'G-7 WaterC'' Data'!$AA$4:$AB$7,2,FALSE)))</f>
        <v/>
      </c>
      <c r="AK231" s="123"/>
      <c r="AL231" s="363" t="str">
        <f>IF(AK231="","",IF(VLOOKUP(AK231,'G-7 WaterC'' Data'!$AD$4:$AE$14,2,FALSE)=0,"Spatial Data Missing ⚠",VLOOKUP(AK231,'G-7 WaterC'' Data'!$AD$4:$AE$14,2,FALSE)))</f>
        <v/>
      </c>
      <c r="AM231" s="405" t="str">
        <f t="shared" si="31"/>
        <v/>
      </c>
      <c r="AN231" s="117"/>
      <c r="AO231" s="118"/>
      <c r="AP231" s="120"/>
      <c r="AV231" s="30" t="str">
        <f>IFERROR(INDEX('G-7 WaterC'' Data'!$AZ$3:$AZ$7,MATCH(N231,'G-7 WaterC'' Data'!$AY$3:$AY$7,0)),"")</f>
        <v/>
      </c>
    </row>
    <row r="232" spans="2:48" ht="15">
      <c r="B232" s="392" t="str">
        <f>'C-1 On-Site WaterC'' Baseline'!AO230</f>
        <v/>
      </c>
      <c r="C232" s="382" t="str">
        <f>IF(B232="","",VLOOKUP($B232,'C-1 On-Site WaterC'' Baseline'!$C$9:$R$257,2,FALSE))</f>
        <v/>
      </c>
      <c r="D232" s="382" t="str">
        <f>IF(C232="","",VLOOKUP($B232,'C-1 On-Site WaterC'' Baseline'!$C$9:$R$257,3,FALSE))</f>
        <v/>
      </c>
      <c r="E232" s="382" t="str">
        <f>IF(D232="","",VLOOKUP($B232,'C-1 On-Site WaterC'' Baseline'!$C$9:$R$257,4,FALSE))</f>
        <v/>
      </c>
      <c r="F232" s="382" t="str">
        <f>IF(E232="","",VLOOKUP($B232,'C-1 On-Site WaterC'' Baseline'!$C$9:$R$257,5,FALSE))</f>
        <v/>
      </c>
      <c r="G232" s="382" t="str">
        <f>IF(F232="","",VLOOKUP($B232,'C-1 On-Site WaterC'' Baseline'!$C$9:$R$257,6,FALSE))</f>
        <v/>
      </c>
      <c r="H232" s="382" t="str">
        <f>IF(G232="","",VLOOKUP($B232,'C-1 On-Site WaterC'' Baseline'!$C$9:$R$257,7,FALSE))</f>
        <v/>
      </c>
      <c r="I232" s="382" t="str">
        <f>IF(H232="","",VLOOKUP($B232,'C-1 On-Site WaterC'' Baseline'!$C$9:$R$257,8,FALSE))</f>
        <v/>
      </c>
      <c r="J232" s="382" t="str">
        <f>IF(I232="","",VLOOKUP($B232,'C-1 On-Site WaterC'' Baseline'!$C$9:$R$257,9,FALSE))</f>
        <v/>
      </c>
      <c r="K232" s="382" t="str">
        <f>IF(J232="","",VLOOKUP($B232,'C-1 On-Site WaterC'' Baseline'!$C$9:$R$257,10,FALSE))</f>
        <v/>
      </c>
      <c r="L232" s="382" t="str">
        <f>IF(B232="","",VLOOKUP($B232,'C-1 On-Site WaterC'' Baseline'!$C$9:$R$257,15,FALSE))</f>
        <v/>
      </c>
      <c r="M232" s="386" t="str">
        <f>IF(L232="","",VLOOKUP($B232,'C-1 On-Site WaterC'' Baseline'!$C$9:$R$257,16,FALSE))</f>
        <v/>
      </c>
      <c r="N232" s="320" t="str">
        <f t="shared" si="24"/>
        <v/>
      </c>
      <c r="O232" s="362" t="str">
        <f t="shared" si="26"/>
        <v/>
      </c>
      <c r="P232" s="363" t="str">
        <f>IF(C232="","",IF(AND(LEFT(C232,55)&lt;&gt;LEFT(N232,55),O232="High - High"),"Error - Not like for like ▲",IF(H232&gt;U232,"Error - Can not reduce condition ▲",IF(AND(F232=S232,H232=U232,AJ232='C-1 On-Site WaterC'' Baseline'!N230,'C-1 On-Site WaterC'' Baseline'!P230=AL232),"Error - No enhancement ▲",IF(AND(C232&lt;&gt;N232,F232&lt;S232),"Lower Distinctiveness Habitat"&amp;" - "&amp;T232,G232&amp;" - "&amp;T232)))))</f>
        <v/>
      </c>
      <c r="Q232" s="425" t="str">
        <f>IF(N232="","",VLOOKUP(B232,'C-1 On-Site WaterC'' Baseline'!$C$10:$AB$257,19,FALSE))</f>
        <v/>
      </c>
      <c r="R232" s="362" t="str">
        <f>IF(N232="","",VLOOKUP(N232,'G-7 WaterC'' Data'!$B$2:$G$8,2,FALSE))</f>
        <v/>
      </c>
      <c r="S232" s="363" t="str">
        <f>IFERROR(VLOOKUP(R232,'G-7 WaterC'' Data'!$C$4:$D$8,2,FALSE),"")</f>
        <v/>
      </c>
      <c r="T232" s="114"/>
      <c r="U232" s="363" t="str">
        <f>IFERROR(INDEX('G-7 WaterC'' Data'!$H$4:$L$8,MATCH(N232,'G-7 WaterC'' Data'!$B$4:$B$8,0),MATCH(T232,'G-7 WaterC'' Data'!$H$3:$L$3,0)),"")</f>
        <v/>
      </c>
      <c r="V232" s="114"/>
      <c r="W232" s="370" t="str">
        <f>IF(V232="","",IF(VLOOKUP(V232,'G-7 WaterC'' Data'!$AK$4:$AM$6,2,FALSE)=0,"Spatial Data Missing ⚠",VLOOKUP(V232,'G-7 WaterC'' Data'!$AK$4:$AM$6,2,FALSE)))</f>
        <v/>
      </c>
      <c r="X232" s="363" t="str">
        <f>IF(V232="","",IF(VLOOKUP(V232,'G-7 WaterC'' Data'!$AK$4:$AM$6,3,FALSE)=0,"Spatial Data Missing ⚠",VLOOKUP(V232,'G-7 WaterC'' Data'!$AK$4:$AM$6,3,FALSE)))</f>
        <v/>
      </c>
      <c r="Y232" s="362" t="str">
        <f>IFERROR(IF(OR(LEFT(P232,5)="Error",LEFT(O232,5)="Error ▲"),"Check Data ⚠",IF(F232&lt;S232,'G-7 WaterC'' Data'!$R$3,INDEX('G-7 WaterC'' Data'!$U$5:$Y$9,MATCH(G232,'G-7 WaterC'' Data'!$T$5:$T$9,0),MATCH(T232,'G-7 WaterC'' Data'!$U$4:$Y$4,0)))),"")</f>
        <v/>
      </c>
      <c r="Z232" s="159"/>
      <c r="AA232" s="159"/>
      <c r="AB232" s="370" t="str">
        <f t="shared" si="27"/>
        <v/>
      </c>
      <c r="AC232" s="383" t="str">
        <f t="shared" si="28"/>
        <v/>
      </c>
      <c r="AD232" s="422" t="str">
        <f>IFERROR(IF(AC232="Check Data ⚠","Check Data ⚠",VLOOKUP(AC232,'G-4 Temporal multipliers'!$A$4:$C$37,3,FALSE)),"")</f>
        <v/>
      </c>
      <c r="AE232" s="362" t="str">
        <f>IF(N232="","",VLOOKUP(N232,'G-7 WaterC'' Data'!$B$4:$G$8,5,FALSE))</f>
        <v/>
      </c>
      <c r="AF232" s="370" t="str">
        <f t="shared" si="29"/>
        <v/>
      </c>
      <c r="AG232" s="401" t="str">
        <f t="shared" si="30"/>
        <v/>
      </c>
      <c r="AH232" s="363" t="str">
        <f t="shared" si="25"/>
        <v/>
      </c>
      <c r="AI232" s="122"/>
      <c r="AJ232" s="363" t="str">
        <f>IF(AI232="","",IF(VLOOKUP(AI232,'G-7 WaterC'' Data'!$AA$4:$AB$7,2,FALSE)=0,"Spatial Data Missing ⚠",VLOOKUP(AI232,'G-7 WaterC'' Data'!$AA$4:$AB$7,2,FALSE)))</f>
        <v/>
      </c>
      <c r="AK232" s="123"/>
      <c r="AL232" s="363" t="str">
        <f>IF(AK232="","",IF(VLOOKUP(AK232,'G-7 WaterC'' Data'!$AD$4:$AE$14,2,FALSE)=0,"Spatial Data Missing ⚠",VLOOKUP(AK232,'G-7 WaterC'' Data'!$AD$4:$AE$14,2,FALSE)))</f>
        <v/>
      </c>
      <c r="AM232" s="405" t="str">
        <f t="shared" si="31"/>
        <v/>
      </c>
      <c r="AN232" s="117"/>
      <c r="AO232" s="118"/>
      <c r="AP232" s="120"/>
      <c r="AV232" s="30" t="str">
        <f>IFERROR(INDEX('G-7 WaterC'' Data'!$AZ$3:$AZ$7,MATCH(N232,'G-7 WaterC'' Data'!$AY$3:$AY$7,0)),"")</f>
        <v/>
      </c>
    </row>
    <row r="233" spans="2:48" ht="15">
      <c r="B233" s="392" t="str">
        <f>'C-1 On-Site WaterC'' Baseline'!AO231</f>
        <v/>
      </c>
      <c r="C233" s="382" t="str">
        <f>IF(B233="","",VLOOKUP($B233,'C-1 On-Site WaterC'' Baseline'!$C$9:$R$257,2,FALSE))</f>
        <v/>
      </c>
      <c r="D233" s="382" t="str">
        <f>IF(C233="","",VLOOKUP($B233,'C-1 On-Site WaterC'' Baseline'!$C$9:$R$257,3,FALSE))</f>
        <v/>
      </c>
      <c r="E233" s="382" t="str">
        <f>IF(D233="","",VLOOKUP($B233,'C-1 On-Site WaterC'' Baseline'!$C$9:$R$257,4,FALSE))</f>
        <v/>
      </c>
      <c r="F233" s="382" t="str">
        <f>IF(E233="","",VLOOKUP($B233,'C-1 On-Site WaterC'' Baseline'!$C$9:$R$257,5,FALSE))</f>
        <v/>
      </c>
      <c r="G233" s="382" t="str">
        <f>IF(F233="","",VLOOKUP($B233,'C-1 On-Site WaterC'' Baseline'!$C$9:$R$257,6,FALSE))</f>
        <v/>
      </c>
      <c r="H233" s="382" t="str">
        <f>IF(G233="","",VLOOKUP($B233,'C-1 On-Site WaterC'' Baseline'!$C$9:$R$257,7,FALSE))</f>
        <v/>
      </c>
      <c r="I233" s="382" t="str">
        <f>IF(H233="","",VLOOKUP($B233,'C-1 On-Site WaterC'' Baseline'!$C$9:$R$257,8,FALSE))</f>
        <v/>
      </c>
      <c r="J233" s="382" t="str">
        <f>IF(I233="","",VLOOKUP($B233,'C-1 On-Site WaterC'' Baseline'!$C$9:$R$257,9,FALSE))</f>
        <v/>
      </c>
      <c r="K233" s="382" t="str">
        <f>IF(J233="","",VLOOKUP($B233,'C-1 On-Site WaterC'' Baseline'!$C$9:$R$257,10,FALSE))</f>
        <v/>
      </c>
      <c r="L233" s="382" t="str">
        <f>IF(B233="","",VLOOKUP($B233,'C-1 On-Site WaterC'' Baseline'!$C$9:$R$257,15,FALSE))</f>
        <v/>
      </c>
      <c r="M233" s="386" t="str">
        <f>IF(L233="","",VLOOKUP($B233,'C-1 On-Site WaterC'' Baseline'!$C$9:$R$257,16,FALSE))</f>
        <v/>
      </c>
      <c r="N233" s="320" t="str">
        <f t="shared" si="24"/>
        <v/>
      </c>
      <c r="O233" s="362" t="str">
        <f t="shared" si="26"/>
        <v/>
      </c>
      <c r="P233" s="363" t="str">
        <f>IF(C233="","",IF(AND(LEFT(C233,55)&lt;&gt;LEFT(N233,55),O233="High - High"),"Error - Not like for like ▲",IF(H233&gt;U233,"Error - Can not reduce condition ▲",IF(AND(F233=S233,H233=U233,AJ233='C-1 On-Site WaterC'' Baseline'!N231,'C-1 On-Site WaterC'' Baseline'!P231=AL233),"Error - No enhancement ▲",IF(AND(C233&lt;&gt;N233,F233&lt;S233),"Lower Distinctiveness Habitat"&amp;" - "&amp;T233,G233&amp;" - "&amp;T233)))))</f>
        <v/>
      </c>
      <c r="Q233" s="425" t="str">
        <f>IF(N233="","",VLOOKUP(B233,'C-1 On-Site WaterC'' Baseline'!$C$10:$AB$257,19,FALSE))</f>
        <v/>
      </c>
      <c r="R233" s="362" t="str">
        <f>IF(N233="","",VLOOKUP(N233,'G-7 WaterC'' Data'!$B$2:$G$8,2,FALSE))</f>
        <v/>
      </c>
      <c r="S233" s="363" t="str">
        <f>IFERROR(VLOOKUP(R233,'G-7 WaterC'' Data'!$C$4:$D$8,2,FALSE),"")</f>
        <v/>
      </c>
      <c r="T233" s="114"/>
      <c r="U233" s="363" t="str">
        <f>IFERROR(INDEX('G-7 WaterC'' Data'!$H$4:$L$8,MATCH(N233,'G-7 WaterC'' Data'!$B$4:$B$8,0),MATCH(T233,'G-7 WaterC'' Data'!$H$3:$L$3,0)),"")</f>
        <v/>
      </c>
      <c r="V233" s="114"/>
      <c r="W233" s="370" t="str">
        <f>IF(V233="","",IF(VLOOKUP(V233,'G-7 WaterC'' Data'!$AK$4:$AM$6,2,FALSE)=0,"Spatial Data Missing ⚠",VLOOKUP(V233,'G-7 WaterC'' Data'!$AK$4:$AM$6,2,FALSE)))</f>
        <v/>
      </c>
      <c r="X233" s="363" t="str">
        <f>IF(V233="","",IF(VLOOKUP(V233,'G-7 WaterC'' Data'!$AK$4:$AM$6,3,FALSE)=0,"Spatial Data Missing ⚠",VLOOKUP(V233,'G-7 WaterC'' Data'!$AK$4:$AM$6,3,FALSE)))</f>
        <v/>
      </c>
      <c r="Y233" s="362" t="str">
        <f>IFERROR(IF(OR(LEFT(P233,5)="Error",LEFT(O233,5)="Error ▲"),"Check Data ⚠",IF(F233&lt;S233,'G-7 WaterC'' Data'!$R$3,INDEX('G-7 WaterC'' Data'!$U$5:$Y$9,MATCH(G233,'G-7 WaterC'' Data'!$T$5:$T$9,0),MATCH(T233,'G-7 WaterC'' Data'!$U$4:$Y$4,0)))),"")</f>
        <v/>
      </c>
      <c r="Z233" s="159"/>
      <c r="AA233" s="159"/>
      <c r="AB233" s="370" t="str">
        <f t="shared" si="27"/>
        <v/>
      </c>
      <c r="AC233" s="383" t="str">
        <f t="shared" si="28"/>
        <v/>
      </c>
      <c r="AD233" s="422" t="str">
        <f>IFERROR(IF(AC233="Check Data ⚠","Check Data ⚠",VLOOKUP(AC233,'G-4 Temporal multipliers'!$A$4:$C$37,3,FALSE)),"")</f>
        <v/>
      </c>
      <c r="AE233" s="362" t="str">
        <f>IF(N233="","",VLOOKUP(N233,'G-7 WaterC'' Data'!$B$4:$G$8,5,FALSE))</f>
        <v/>
      </c>
      <c r="AF233" s="370" t="str">
        <f t="shared" si="29"/>
        <v/>
      </c>
      <c r="AG233" s="401" t="str">
        <f t="shared" si="30"/>
        <v/>
      </c>
      <c r="AH233" s="363" t="str">
        <f t="shared" si="25"/>
        <v/>
      </c>
      <c r="AI233" s="122"/>
      <c r="AJ233" s="363" t="str">
        <f>IF(AI233="","",IF(VLOOKUP(AI233,'G-7 WaterC'' Data'!$AA$4:$AB$7,2,FALSE)=0,"Spatial Data Missing ⚠",VLOOKUP(AI233,'G-7 WaterC'' Data'!$AA$4:$AB$7,2,FALSE)))</f>
        <v/>
      </c>
      <c r="AK233" s="123"/>
      <c r="AL233" s="363" t="str">
        <f>IF(AK233="","",IF(VLOOKUP(AK233,'G-7 WaterC'' Data'!$AD$4:$AE$14,2,FALSE)=0,"Spatial Data Missing ⚠",VLOOKUP(AK233,'G-7 WaterC'' Data'!$AD$4:$AE$14,2,FALSE)))</f>
        <v/>
      </c>
      <c r="AM233" s="405" t="str">
        <f t="shared" si="31"/>
        <v/>
      </c>
      <c r="AN233" s="117"/>
      <c r="AO233" s="118"/>
      <c r="AP233" s="120"/>
      <c r="AV233" s="30" t="str">
        <f>IFERROR(INDEX('G-7 WaterC'' Data'!$AZ$3:$AZ$7,MATCH(N233,'G-7 WaterC'' Data'!$AY$3:$AY$7,0)),"")</f>
        <v/>
      </c>
    </row>
    <row r="234" spans="2:48" ht="15">
      <c r="B234" s="392" t="str">
        <f>'C-1 On-Site WaterC'' Baseline'!AO232</f>
        <v/>
      </c>
      <c r="C234" s="382" t="str">
        <f>IF(B234="","",VLOOKUP($B234,'C-1 On-Site WaterC'' Baseline'!$C$9:$R$257,2,FALSE))</f>
        <v/>
      </c>
      <c r="D234" s="382" t="str">
        <f>IF(C234="","",VLOOKUP($B234,'C-1 On-Site WaterC'' Baseline'!$C$9:$R$257,3,FALSE))</f>
        <v/>
      </c>
      <c r="E234" s="382" t="str">
        <f>IF(D234="","",VLOOKUP($B234,'C-1 On-Site WaterC'' Baseline'!$C$9:$R$257,4,FALSE))</f>
        <v/>
      </c>
      <c r="F234" s="382" t="str">
        <f>IF(E234="","",VLOOKUP($B234,'C-1 On-Site WaterC'' Baseline'!$C$9:$R$257,5,FALSE))</f>
        <v/>
      </c>
      <c r="G234" s="382" t="str">
        <f>IF(F234="","",VLOOKUP($B234,'C-1 On-Site WaterC'' Baseline'!$C$9:$R$257,6,FALSE))</f>
        <v/>
      </c>
      <c r="H234" s="382" t="str">
        <f>IF(G234="","",VLOOKUP($B234,'C-1 On-Site WaterC'' Baseline'!$C$9:$R$257,7,FALSE))</f>
        <v/>
      </c>
      <c r="I234" s="382" t="str">
        <f>IF(H234="","",VLOOKUP($B234,'C-1 On-Site WaterC'' Baseline'!$C$9:$R$257,8,FALSE))</f>
        <v/>
      </c>
      <c r="J234" s="382" t="str">
        <f>IF(I234="","",VLOOKUP($B234,'C-1 On-Site WaterC'' Baseline'!$C$9:$R$257,9,FALSE))</f>
        <v/>
      </c>
      <c r="K234" s="382" t="str">
        <f>IF(J234="","",VLOOKUP($B234,'C-1 On-Site WaterC'' Baseline'!$C$9:$R$257,10,FALSE))</f>
        <v/>
      </c>
      <c r="L234" s="382" t="str">
        <f>IF(B234="","",VLOOKUP($B234,'C-1 On-Site WaterC'' Baseline'!$C$9:$R$257,15,FALSE))</f>
        <v/>
      </c>
      <c r="M234" s="386" t="str">
        <f>IF(L234="","",VLOOKUP($B234,'C-1 On-Site WaterC'' Baseline'!$C$9:$R$257,16,FALSE))</f>
        <v/>
      </c>
      <c r="N234" s="320" t="str">
        <f t="shared" si="24"/>
        <v/>
      </c>
      <c r="O234" s="362" t="str">
        <f t="shared" si="26"/>
        <v/>
      </c>
      <c r="P234" s="363" t="str">
        <f>IF(C234="","",IF(AND(LEFT(C234,55)&lt;&gt;LEFT(N234,55),O234="High - High"),"Error - Not like for like ▲",IF(H234&gt;U234,"Error - Can not reduce condition ▲",IF(AND(F234=S234,H234=U234,AJ234='C-1 On-Site WaterC'' Baseline'!N232,'C-1 On-Site WaterC'' Baseline'!P232=AL234),"Error - No enhancement ▲",IF(AND(C234&lt;&gt;N234,F234&lt;S234),"Lower Distinctiveness Habitat"&amp;" - "&amp;T234,G234&amp;" - "&amp;T234)))))</f>
        <v/>
      </c>
      <c r="Q234" s="425" t="str">
        <f>IF(N234="","",VLOOKUP(B234,'C-1 On-Site WaterC'' Baseline'!$C$10:$AB$257,19,FALSE))</f>
        <v/>
      </c>
      <c r="R234" s="362" t="str">
        <f>IF(N234="","",VLOOKUP(N234,'G-7 WaterC'' Data'!$B$2:$G$8,2,FALSE))</f>
        <v/>
      </c>
      <c r="S234" s="363" t="str">
        <f>IFERROR(VLOOKUP(R234,'G-7 WaterC'' Data'!$C$4:$D$8,2,FALSE),"")</f>
        <v/>
      </c>
      <c r="T234" s="114"/>
      <c r="U234" s="363" t="str">
        <f>IFERROR(INDEX('G-7 WaterC'' Data'!$H$4:$L$8,MATCH(N234,'G-7 WaterC'' Data'!$B$4:$B$8,0),MATCH(T234,'G-7 WaterC'' Data'!$H$3:$L$3,0)),"")</f>
        <v/>
      </c>
      <c r="V234" s="114"/>
      <c r="W234" s="370" t="str">
        <f>IF(V234="","",IF(VLOOKUP(V234,'G-7 WaterC'' Data'!$AK$4:$AM$6,2,FALSE)=0,"Spatial Data Missing ⚠",VLOOKUP(V234,'G-7 WaterC'' Data'!$AK$4:$AM$6,2,FALSE)))</f>
        <v/>
      </c>
      <c r="X234" s="363" t="str">
        <f>IF(V234="","",IF(VLOOKUP(V234,'G-7 WaterC'' Data'!$AK$4:$AM$6,3,FALSE)=0,"Spatial Data Missing ⚠",VLOOKUP(V234,'G-7 WaterC'' Data'!$AK$4:$AM$6,3,FALSE)))</f>
        <v/>
      </c>
      <c r="Y234" s="362" t="str">
        <f>IFERROR(IF(OR(LEFT(P234,5)="Error",LEFT(O234,5)="Error ▲"),"Check Data ⚠",IF(F234&lt;S234,'G-7 WaterC'' Data'!$R$3,INDEX('G-7 WaterC'' Data'!$U$5:$Y$9,MATCH(G234,'G-7 WaterC'' Data'!$T$5:$T$9,0),MATCH(T234,'G-7 WaterC'' Data'!$U$4:$Y$4,0)))),"")</f>
        <v/>
      </c>
      <c r="Z234" s="159"/>
      <c r="AA234" s="159"/>
      <c r="AB234" s="370" t="str">
        <f t="shared" si="27"/>
        <v/>
      </c>
      <c r="AC234" s="383" t="str">
        <f t="shared" si="28"/>
        <v/>
      </c>
      <c r="AD234" s="422" t="str">
        <f>IFERROR(IF(AC234="Check Data ⚠","Check Data ⚠",VLOOKUP(AC234,'G-4 Temporal multipliers'!$A$4:$C$37,3,FALSE)),"")</f>
        <v/>
      </c>
      <c r="AE234" s="362" t="str">
        <f>IF(N234="","",VLOOKUP(N234,'G-7 WaterC'' Data'!$B$4:$G$8,5,FALSE))</f>
        <v/>
      </c>
      <c r="AF234" s="370" t="str">
        <f t="shared" si="29"/>
        <v/>
      </c>
      <c r="AG234" s="401" t="str">
        <f t="shared" si="30"/>
        <v/>
      </c>
      <c r="AH234" s="363" t="str">
        <f t="shared" si="25"/>
        <v/>
      </c>
      <c r="AI234" s="122"/>
      <c r="AJ234" s="363" t="str">
        <f>IF(AI234="","",IF(VLOOKUP(AI234,'G-7 WaterC'' Data'!$AA$4:$AB$7,2,FALSE)=0,"Spatial Data Missing ⚠",VLOOKUP(AI234,'G-7 WaterC'' Data'!$AA$4:$AB$7,2,FALSE)))</f>
        <v/>
      </c>
      <c r="AK234" s="123"/>
      <c r="AL234" s="363" t="str">
        <f>IF(AK234="","",IF(VLOOKUP(AK234,'G-7 WaterC'' Data'!$AD$4:$AE$14,2,FALSE)=0,"Spatial Data Missing ⚠",VLOOKUP(AK234,'G-7 WaterC'' Data'!$AD$4:$AE$14,2,FALSE)))</f>
        <v/>
      </c>
      <c r="AM234" s="405" t="str">
        <f t="shared" si="31"/>
        <v/>
      </c>
      <c r="AN234" s="117"/>
      <c r="AO234" s="118"/>
      <c r="AP234" s="120"/>
      <c r="AV234" s="30" t="str">
        <f>IFERROR(INDEX('G-7 WaterC'' Data'!$AZ$3:$AZ$7,MATCH(N234,'G-7 WaterC'' Data'!$AY$3:$AY$7,0)),"")</f>
        <v/>
      </c>
    </row>
    <row r="235" spans="2:48" ht="15">
      <c r="B235" s="392" t="str">
        <f>'C-1 On-Site WaterC'' Baseline'!AO233</f>
        <v/>
      </c>
      <c r="C235" s="382" t="str">
        <f>IF(B235="","",VLOOKUP($B235,'C-1 On-Site WaterC'' Baseline'!$C$9:$R$257,2,FALSE))</f>
        <v/>
      </c>
      <c r="D235" s="382" t="str">
        <f>IF(C235="","",VLOOKUP($B235,'C-1 On-Site WaterC'' Baseline'!$C$9:$R$257,3,FALSE))</f>
        <v/>
      </c>
      <c r="E235" s="382" t="str">
        <f>IF(D235="","",VLOOKUP($B235,'C-1 On-Site WaterC'' Baseline'!$C$9:$R$257,4,FALSE))</f>
        <v/>
      </c>
      <c r="F235" s="382" t="str">
        <f>IF(E235="","",VLOOKUP($B235,'C-1 On-Site WaterC'' Baseline'!$C$9:$R$257,5,FALSE))</f>
        <v/>
      </c>
      <c r="G235" s="382" t="str">
        <f>IF(F235="","",VLOOKUP($B235,'C-1 On-Site WaterC'' Baseline'!$C$9:$R$257,6,FALSE))</f>
        <v/>
      </c>
      <c r="H235" s="382" t="str">
        <f>IF(G235="","",VLOOKUP($B235,'C-1 On-Site WaterC'' Baseline'!$C$9:$R$257,7,FALSE))</f>
        <v/>
      </c>
      <c r="I235" s="382" t="str">
        <f>IF(H235="","",VLOOKUP($B235,'C-1 On-Site WaterC'' Baseline'!$C$9:$R$257,8,FALSE))</f>
        <v/>
      </c>
      <c r="J235" s="382" t="str">
        <f>IF(I235="","",VLOOKUP($B235,'C-1 On-Site WaterC'' Baseline'!$C$9:$R$257,9,FALSE))</f>
        <v/>
      </c>
      <c r="K235" s="382" t="str">
        <f>IF(J235="","",VLOOKUP($B235,'C-1 On-Site WaterC'' Baseline'!$C$9:$R$257,10,FALSE))</f>
        <v/>
      </c>
      <c r="L235" s="382" t="str">
        <f>IF(B235="","",VLOOKUP($B235,'C-1 On-Site WaterC'' Baseline'!$C$9:$R$257,15,FALSE))</f>
        <v/>
      </c>
      <c r="M235" s="386" t="str">
        <f>IF(L235="","",VLOOKUP($B235,'C-1 On-Site WaterC'' Baseline'!$C$9:$R$257,16,FALSE))</f>
        <v/>
      </c>
      <c r="N235" s="320" t="str">
        <f t="shared" si="24"/>
        <v/>
      </c>
      <c r="O235" s="362" t="str">
        <f t="shared" si="26"/>
        <v/>
      </c>
      <c r="P235" s="363" t="str">
        <f>IF(C235="","",IF(AND(LEFT(C235,55)&lt;&gt;LEFT(N235,55),O235="High - High"),"Error - Not like for like ▲",IF(H235&gt;U235,"Error - Can not reduce condition ▲",IF(AND(F235=S235,H235=U235,AJ235='C-1 On-Site WaterC'' Baseline'!N233,'C-1 On-Site WaterC'' Baseline'!P233=AL235),"Error - No enhancement ▲",IF(AND(C235&lt;&gt;N235,F235&lt;S235),"Lower Distinctiveness Habitat"&amp;" - "&amp;T235,G235&amp;" - "&amp;T235)))))</f>
        <v/>
      </c>
      <c r="Q235" s="425" t="str">
        <f>IF(N235="","",VLOOKUP(B235,'C-1 On-Site WaterC'' Baseline'!$C$10:$AB$257,19,FALSE))</f>
        <v/>
      </c>
      <c r="R235" s="362" t="str">
        <f>IF(N235="","",VLOOKUP(N235,'G-7 WaterC'' Data'!$B$2:$G$8,2,FALSE))</f>
        <v/>
      </c>
      <c r="S235" s="363" t="str">
        <f>IFERROR(VLOOKUP(R235,'G-7 WaterC'' Data'!$C$4:$D$8,2,FALSE),"")</f>
        <v/>
      </c>
      <c r="T235" s="114"/>
      <c r="U235" s="363" t="str">
        <f>IFERROR(INDEX('G-7 WaterC'' Data'!$H$4:$L$8,MATCH(N235,'G-7 WaterC'' Data'!$B$4:$B$8,0),MATCH(T235,'G-7 WaterC'' Data'!$H$3:$L$3,0)),"")</f>
        <v/>
      </c>
      <c r="V235" s="114"/>
      <c r="W235" s="370" t="str">
        <f>IF(V235="","",IF(VLOOKUP(V235,'G-7 WaterC'' Data'!$AK$4:$AM$6,2,FALSE)=0,"Spatial Data Missing ⚠",VLOOKUP(V235,'G-7 WaterC'' Data'!$AK$4:$AM$6,2,FALSE)))</f>
        <v/>
      </c>
      <c r="X235" s="363" t="str">
        <f>IF(V235="","",IF(VLOOKUP(V235,'G-7 WaterC'' Data'!$AK$4:$AM$6,3,FALSE)=0,"Spatial Data Missing ⚠",VLOOKUP(V235,'G-7 WaterC'' Data'!$AK$4:$AM$6,3,FALSE)))</f>
        <v/>
      </c>
      <c r="Y235" s="362" t="str">
        <f>IFERROR(IF(OR(LEFT(P235,5)="Error",LEFT(O235,5)="Error ▲"),"Check Data ⚠",IF(F235&lt;S235,'G-7 WaterC'' Data'!$R$3,INDEX('G-7 WaterC'' Data'!$U$5:$Y$9,MATCH(G235,'G-7 WaterC'' Data'!$T$5:$T$9,0),MATCH(T235,'G-7 WaterC'' Data'!$U$4:$Y$4,0)))),"")</f>
        <v/>
      </c>
      <c r="Z235" s="159"/>
      <c r="AA235" s="159"/>
      <c r="AB235" s="370" t="str">
        <f t="shared" si="27"/>
        <v/>
      </c>
      <c r="AC235" s="383" t="str">
        <f t="shared" si="28"/>
        <v/>
      </c>
      <c r="AD235" s="422" t="str">
        <f>IFERROR(IF(AC235="Check Data ⚠","Check Data ⚠",VLOOKUP(AC235,'G-4 Temporal multipliers'!$A$4:$C$37,3,FALSE)),"")</f>
        <v/>
      </c>
      <c r="AE235" s="362" t="str">
        <f>IF(N235="","",VLOOKUP(N235,'G-7 WaterC'' Data'!$B$4:$G$8,5,FALSE))</f>
        <v/>
      </c>
      <c r="AF235" s="370" t="str">
        <f t="shared" si="29"/>
        <v/>
      </c>
      <c r="AG235" s="401" t="str">
        <f t="shared" si="30"/>
        <v/>
      </c>
      <c r="AH235" s="363" t="str">
        <f t="shared" si="25"/>
        <v/>
      </c>
      <c r="AI235" s="122"/>
      <c r="AJ235" s="363" t="str">
        <f>IF(AI235="","",IF(VLOOKUP(AI235,'G-7 WaterC'' Data'!$AA$4:$AB$7,2,FALSE)=0,"Spatial Data Missing ⚠",VLOOKUP(AI235,'G-7 WaterC'' Data'!$AA$4:$AB$7,2,FALSE)))</f>
        <v/>
      </c>
      <c r="AK235" s="123"/>
      <c r="AL235" s="363" t="str">
        <f>IF(AK235="","",IF(VLOOKUP(AK235,'G-7 WaterC'' Data'!$AD$4:$AE$14,2,FALSE)=0,"Spatial Data Missing ⚠",VLOOKUP(AK235,'G-7 WaterC'' Data'!$AD$4:$AE$14,2,FALSE)))</f>
        <v/>
      </c>
      <c r="AM235" s="405" t="str">
        <f t="shared" si="31"/>
        <v/>
      </c>
      <c r="AN235" s="117"/>
      <c r="AO235" s="118"/>
      <c r="AP235" s="120"/>
      <c r="AV235" s="30" t="str">
        <f>IFERROR(INDEX('G-7 WaterC'' Data'!$AZ$3:$AZ$7,MATCH(N235,'G-7 WaterC'' Data'!$AY$3:$AY$7,0)),"")</f>
        <v/>
      </c>
    </row>
    <row r="236" spans="2:48" ht="15">
      <c r="B236" s="392" t="str">
        <f>'C-1 On-Site WaterC'' Baseline'!AO234</f>
        <v/>
      </c>
      <c r="C236" s="382" t="str">
        <f>IF(B236="","",VLOOKUP($B236,'C-1 On-Site WaterC'' Baseline'!$C$9:$R$257,2,FALSE))</f>
        <v/>
      </c>
      <c r="D236" s="382" t="str">
        <f>IF(C236="","",VLOOKUP($B236,'C-1 On-Site WaterC'' Baseline'!$C$9:$R$257,3,FALSE))</f>
        <v/>
      </c>
      <c r="E236" s="382" t="str">
        <f>IF(D236="","",VLOOKUP($B236,'C-1 On-Site WaterC'' Baseline'!$C$9:$R$257,4,FALSE))</f>
        <v/>
      </c>
      <c r="F236" s="382" t="str">
        <f>IF(E236="","",VLOOKUP($B236,'C-1 On-Site WaterC'' Baseline'!$C$9:$R$257,5,FALSE))</f>
        <v/>
      </c>
      <c r="G236" s="382" t="str">
        <f>IF(F236="","",VLOOKUP($B236,'C-1 On-Site WaterC'' Baseline'!$C$9:$R$257,6,FALSE))</f>
        <v/>
      </c>
      <c r="H236" s="382" t="str">
        <f>IF(G236="","",VLOOKUP($B236,'C-1 On-Site WaterC'' Baseline'!$C$9:$R$257,7,FALSE))</f>
        <v/>
      </c>
      <c r="I236" s="382" t="str">
        <f>IF(H236="","",VLOOKUP($B236,'C-1 On-Site WaterC'' Baseline'!$C$9:$R$257,8,FALSE))</f>
        <v/>
      </c>
      <c r="J236" s="382" t="str">
        <f>IF(I236="","",VLOOKUP($B236,'C-1 On-Site WaterC'' Baseline'!$C$9:$R$257,9,FALSE))</f>
        <v/>
      </c>
      <c r="K236" s="382" t="str">
        <f>IF(J236="","",VLOOKUP($B236,'C-1 On-Site WaterC'' Baseline'!$C$9:$R$257,10,FALSE))</f>
        <v/>
      </c>
      <c r="L236" s="382" t="str">
        <f>IF(B236="","",VLOOKUP($B236,'C-1 On-Site WaterC'' Baseline'!$C$9:$R$257,15,FALSE))</f>
        <v/>
      </c>
      <c r="M236" s="386" t="str">
        <f>IF(L236="","",VLOOKUP($B236,'C-1 On-Site WaterC'' Baseline'!$C$9:$R$257,16,FALSE))</f>
        <v/>
      </c>
      <c r="N236" s="320" t="str">
        <f t="shared" si="24"/>
        <v/>
      </c>
      <c r="O236" s="362" t="str">
        <f t="shared" si="26"/>
        <v/>
      </c>
      <c r="P236" s="363" t="str">
        <f>IF(C236="","",IF(AND(LEFT(C236,55)&lt;&gt;LEFT(N236,55),O236="High - High"),"Error - Not like for like ▲",IF(H236&gt;U236,"Error - Can not reduce condition ▲",IF(AND(F236=S236,H236=U236,AJ236='C-1 On-Site WaterC'' Baseline'!N234,'C-1 On-Site WaterC'' Baseline'!P234=AL236),"Error - No enhancement ▲",IF(AND(C236&lt;&gt;N236,F236&lt;S236),"Lower Distinctiveness Habitat"&amp;" - "&amp;T236,G236&amp;" - "&amp;T236)))))</f>
        <v/>
      </c>
      <c r="Q236" s="425" t="str">
        <f>IF(N236="","",VLOOKUP(B236,'C-1 On-Site WaterC'' Baseline'!$C$10:$AB$257,19,FALSE))</f>
        <v/>
      </c>
      <c r="R236" s="362" t="str">
        <f>IF(N236="","",VLOOKUP(N236,'G-7 WaterC'' Data'!$B$2:$G$8,2,FALSE))</f>
        <v/>
      </c>
      <c r="S236" s="363" t="str">
        <f>IFERROR(VLOOKUP(R236,'G-7 WaterC'' Data'!$C$4:$D$8,2,FALSE),"")</f>
        <v/>
      </c>
      <c r="T236" s="114"/>
      <c r="U236" s="363" t="str">
        <f>IFERROR(INDEX('G-7 WaterC'' Data'!$H$4:$L$8,MATCH(N236,'G-7 WaterC'' Data'!$B$4:$B$8,0),MATCH(T236,'G-7 WaterC'' Data'!$H$3:$L$3,0)),"")</f>
        <v/>
      </c>
      <c r="V236" s="114"/>
      <c r="W236" s="370" t="str">
        <f>IF(V236="","",IF(VLOOKUP(V236,'G-7 WaterC'' Data'!$AK$4:$AM$6,2,FALSE)=0,"Spatial Data Missing ⚠",VLOOKUP(V236,'G-7 WaterC'' Data'!$AK$4:$AM$6,2,FALSE)))</f>
        <v/>
      </c>
      <c r="X236" s="363" t="str">
        <f>IF(V236="","",IF(VLOOKUP(V236,'G-7 WaterC'' Data'!$AK$4:$AM$6,3,FALSE)=0,"Spatial Data Missing ⚠",VLOOKUP(V236,'G-7 WaterC'' Data'!$AK$4:$AM$6,3,FALSE)))</f>
        <v/>
      </c>
      <c r="Y236" s="362" t="str">
        <f>IFERROR(IF(OR(LEFT(P236,5)="Error",LEFT(O236,5)="Error ▲"),"Check Data ⚠",IF(F236&lt;S236,'G-7 WaterC'' Data'!$R$3,INDEX('G-7 WaterC'' Data'!$U$5:$Y$9,MATCH(G236,'G-7 WaterC'' Data'!$T$5:$T$9,0),MATCH(T236,'G-7 WaterC'' Data'!$U$4:$Y$4,0)))),"")</f>
        <v/>
      </c>
      <c r="Z236" s="159"/>
      <c r="AA236" s="159"/>
      <c r="AB236" s="370" t="str">
        <f t="shared" si="27"/>
        <v/>
      </c>
      <c r="AC236" s="383" t="str">
        <f t="shared" si="28"/>
        <v/>
      </c>
      <c r="AD236" s="422" t="str">
        <f>IFERROR(IF(AC236="Check Data ⚠","Check Data ⚠",VLOOKUP(AC236,'G-4 Temporal multipliers'!$A$4:$C$37,3,FALSE)),"")</f>
        <v/>
      </c>
      <c r="AE236" s="362" t="str">
        <f>IF(N236="","",VLOOKUP(N236,'G-7 WaterC'' Data'!$B$4:$G$8,5,FALSE))</f>
        <v/>
      </c>
      <c r="AF236" s="370" t="str">
        <f t="shared" si="29"/>
        <v/>
      </c>
      <c r="AG236" s="401" t="str">
        <f t="shared" si="30"/>
        <v/>
      </c>
      <c r="AH236" s="363" t="str">
        <f t="shared" si="25"/>
        <v/>
      </c>
      <c r="AI236" s="122"/>
      <c r="AJ236" s="363" t="str">
        <f>IF(AI236="","",IF(VLOOKUP(AI236,'G-7 WaterC'' Data'!$AA$4:$AB$7,2,FALSE)=0,"Spatial Data Missing ⚠",VLOOKUP(AI236,'G-7 WaterC'' Data'!$AA$4:$AB$7,2,FALSE)))</f>
        <v/>
      </c>
      <c r="AK236" s="123"/>
      <c r="AL236" s="363" t="str">
        <f>IF(AK236="","",IF(VLOOKUP(AK236,'G-7 WaterC'' Data'!$AD$4:$AE$14,2,FALSE)=0,"Spatial Data Missing ⚠",VLOOKUP(AK236,'G-7 WaterC'' Data'!$AD$4:$AE$14,2,FALSE)))</f>
        <v/>
      </c>
      <c r="AM236" s="405" t="str">
        <f t="shared" si="31"/>
        <v/>
      </c>
      <c r="AN236" s="117"/>
      <c r="AO236" s="118"/>
      <c r="AP236" s="120"/>
      <c r="AV236" s="30" t="str">
        <f>IFERROR(INDEX('G-7 WaterC'' Data'!$AZ$3:$AZ$7,MATCH(N236,'G-7 WaterC'' Data'!$AY$3:$AY$7,0)),"")</f>
        <v/>
      </c>
    </row>
    <row r="237" spans="2:48" ht="15">
      <c r="B237" s="392" t="str">
        <f>'C-1 On-Site WaterC'' Baseline'!AO235</f>
        <v/>
      </c>
      <c r="C237" s="382" t="str">
        <f>IF(B237="","",VLOOKUP($B237,'C-1 On-Site WaterC'' Baseline'!$C$9:$R$257,2,FALSE))</f>
        <v/>
      </c>
      <c r="D237" s="382" t="str">
        <f>IF(C237="","",VLOOKUP($B237,'C-1 On-Site WaterC'' Baseline'!$C$9:$R$257,3,FALSE))</f>
        <v/>
      </c>
      <c r="E237" s="382" t="str">
        <f>IF(D237="","",VLOOKUP($B237,'C-1 On-Site WaterC'' Baseline'!$C$9:$R$257,4,FALSE))</f>
        <v/>
      </c>
      <c r="F237" s="382" t="str">
        <f>IF(E237="","",VLOOKUP($B237,'C-1 On-Site WaterC'' Baseline'!$C$9:$R$257,5,FALSE))</f>
        <v/>
      </c>
      <c r="G237" s="382" t="str">
        <f>IF(F237="","",VLOOKUP($B237,'C-1 On-Site WaterC'' Baseline'!$C$9:$R$257,6,FALSE))</f>
        <v/>
      </c>
      <c r="H237" s="382" t="str">
        <f>IF(G237="","",VLOOKUP($B237,'C-1 On-Site WaterC'' Baseline'!$C$9:$R$257,7,FALSE))</f>
        <v/>
      </c>
      <c r="I237" s="382" t="str">
        <f>IF(H237="","",VLOOKUP($B237,'C-1 On-Site WaterC'' Baseline'!$C$9:$R$257,8,FALSE))</f>
        <v/>
      </c>
      <c r="J237" s="382" t="str">
        <f>IF(I237="","",VLOOKUP($B237,'C-1 On-Site WaterC'' Baseline'!$C$9:$R$257,9,FALSE))</f>
        <v/>
      </c>
      <c r="K237" s="382" t="str">
        <f>IF(J237="","",VLOOKUP($B237,'C-1 On-Site WaterC'' Baseline'!$C$9:$R$257,10,FALSE))</f>
        <v/>
      </c>
      <c r="L237" s="382" t="str">
        <f>IF(B237="","",VLOOKUP($B237,'C-1 On-Site WaterC'' Baseline'!$C$9:$R$257,15,FALSE))</f>
        <v/>
      </c>
      <c r="M237" s="386" t="str">
        <f>IF(L237="","",VLOOKUP($B237,'C-1 On-Site WaterC'' Baseline'!$C$9:$R$257,16,FALSE))</f>
        <v/>
      </c>
      <c r="N237" s="320" t="str">
        <f t="shared" si="24"/>
        <v/>
      </c>
      <c r="O237" s="362" t="str">
        <f t="shared" si="26"/>
        <v/>
      </c>
      <c r="P237" s="363" t="str">
        <f>IF(C237="","",IF(AND(LEFT(C237,55)&lt;&gt;LEFT(N237,55),O237="High - High"),"Error - Not like for like ▲",IF(H237&gt;U237,"Error - Can not reduce condition ▲",IF(AND(F237=S237,H237=U237,AJ237='C-1 On-Site WaterC'' Baseline'!N235,'C-1 On-Site WaterC'' Baseline'!P235=AL237),"Error - No enhancement ▲",IF(AND(C237&lt;&gt;N237,F237&lt;S237),"Lower Distinctiveness Habitat"&amp;" - "&amp;T237,G237&amp;" - "&amp;T237)))))</f>
        <v/>
      </c>
      <c r="Q237" s="425" t="str">
        <f>IF(N237="","",VLOOKUP(B237,'C-1 On-Site WaterC'' Baseline'!$C$10:$AB$257,19,FALSE))</f>
        <v/>
      </c>
      <c r="R237" s="362" t="str">
        <f>IF(N237="","",VLOOKUP(N237,'G-7 WaterC'' Data'!$B$2:$G$8,2,FALSE))</f>
        <v/>
      </c>
      <c r="S237" s="363" t="str">
        <f>IFERROR(VLOOKUP(R237,'G-7 WaterC'' Data'!$C$4:$D$8,2,FALSE),"")</f>
        <v/>
      </c>
      <c r="T237" s="114"/>
      <c r="U237" s="363" t="str">
        <f>IFERROR(INDEX('G-7 WaterC'' Data'!$H$4:$L$8,MATCH(N237,'G-7 WaterC'' Data'!$B$4:$B$8,0),MATCH(T237,'G-7 WaterC'' Data'!$H$3:$L$3,0)),"")</f>
        <v/>
      </c>
      <c r="V237" s="114"/>
      <c r="W237" s="370" t="str">
        <f>IF(V237="","",IF(VLOOKUP(V237,'G-7 WaterC'' Data'!$AK$4:$AM$6,2,FALSE)=0,"Spatial Data Missing ⚠",VLOOKUP(V237,'G-7 WaterC'' Data'!$AK$4:$AM$6,2,FALSE)))</f>
        <v/>
      </c>
      <c r="X237" s="363" t="str">
        <f>IF(V237="","",IF(VLOOKUP(V237,'G-7 WaterC'' Data'!$AK$4:$AM$6,3,FALSE)=0,"Spatial Data Missing ⚠",VLOOKUP(V237,'G-7 WaterC'' Data'!$AK$4:$AM$6,3,FALSE)))</f>
        <v/>
      </c>
      <c r="Y237" s="362" t="str">
        <f>IFERROR(IF(OR(LEFT(P237,5)="Error",LEFT(O237,5)="Error ▲"),"Check Data ⚠",IF(F237&lt;S237,'G-7 WaterC'' Data'!$R$3,INDEX('G-7 WaterC'' Data'!$U$5:$Y$9,MATCH(G237,'G-7 WaterC'' Data'!$T$5:$T$9,0),MATCH(T237,'G-7 WaterC'' Data'!$U$4:$Y$4,0)))),"")</f>
        <v/>
      </c>
      <c r="Z237" s="159"/>
      <c r="AA237" s="159"/>
      <c r="AB237" s="370" t="str">
        <f t="shared" si="27"/>
        <v/>
      </c>
      <c r="AC237" s="383" t="str">
        <f t="shared" si="28"/>
        <v/>
      </c>
      <c r="AD237" s="422" t="str">
        <f>IFERROR(IF(AC237="Check Data ⚠","Check Data ⚠",VLOOKUP(AC237,'G-4 Temporal multipliers'!$A$4:$C$37,3,FALSE)),"")</f>
        <v/>
      </c>
      <c r="AE237" s="362" t="str">
        <f>IF(N237="","",VLOOKUP(N237,'G-7 WaterC'' Data'!$B$4:$G$8,5,FALSE))</f>
        <v/>
      </c>
      <c r="AF237" s="370" t="str">
        <f t="shared" si="29"/>
        <v/>
      </c>
      <c r="AG237" s="401" t="str">
        <f t="shared" si="30"/>
        <v/>
      </c>
      <c r="AH237" s="363" t="str">
        <f t="shared" si="25"/>
        <v/>
      </c>
      <c r="AI237" s="122"/>
      <c r="AJ237" s="363" t="str">
        <f>IF(AI237="","",IF(VLOOKUP(AI237,'G-7 WaterC'' Data'!$AA$4:$AB$7,2,FALSE)=0,"Spatial Data Missing ⚠",VLOOKUP(AI237,'G-7 WaterC'' Data'!$AA$4:$AB$7,2,FALSE)))</f>
        <v/>
      </c>
      <c r="AK237" s="123"/>
      <c r="AL237" s="363" t="str">
        <f>IF(AK237="","",IF(VLOOKUP(AK237,'G-7 WaterC'' Data'!$AD$4:$AE$14,2,FALSE)=0,"Spatial Data Missing ⚠",VLOOKUP(AK237,'G-7 WaterC'' Data'!$AD$4:$AE$14,2,FALSE)))</f>
        <v/>
      </c>
      <c r="AM237" s="405" t="str">
        <f t="shared" si="31"/>
        <v/>
      </c>
      <c r="AN237" s="117"/>
      <c r="AO237" s="118"/>
      <c r="AP237" s="120"/>
      <c r="AV237" s="30" t="str">
        <f>IFERROR(INDEX('G-7 WaterC'' Data'!$AZ$3:$AZ$7,MATCH(N237,'G-7 WaterC'' Data'!$AY$3:$AY$7,0)),"")</f>
        <v/>
      </c>
    </row>
    <row r="238" spans="2:48" ht="15">
      <c r="B238" s="392" t="str">
        <f>'C-1 On-Site WaterC'' Baseline'!AO236</f>
        <v/>
      </c>
      <c r="C238" s="382" t="str">
        <f>IF(B238="","",VLOOKUP($B238,'C-1 On-Site WaterC'' Baseline'!$C$9:$R$257,2,FALSE))</f>
        <v/>
      </c>
      <c r="D238" s="382" t="str">
        <f>IF(C238="","",VLOOKUP($B238,'C-1 On-Site WaterC'' Baseline'!$C$9:$R$257,3,FALSE))</f>
        <v/>
      </c>
      <c r="E238" s="382" t="str">
        <f>IF(D238="","",VLOOKUP($B238,'C-1 On-Site WaterC'' Baseline'!$C$9:$R$257,4,FALSE))</f>
        <v/>
      </c>
      <c r="F238" s="382" t="str">
        <f>IF(E238="","",VLOOKUP($B238,'C-1 On-Site WaterC'' Baseline'!$C$9:$R$257,5,FALSE))</f>
        <v/>
      </c>
      <c r="G238" s="382" t="str">
        <f>IF(F238="","",VLOOKUP($B238,'C-1 On-Site WaterC'' Baseline'!$C$9:$R$257,6,FALSE))</f>
        <v/>
      </c>
      <c r="H238" s="382" t="str">
        <f>IF(G238="","",VLOOKUP($B238,'C-1 On-Site WaterC'' Baseline'!$C$9:$R$257,7,FALSE))</f>
        <v/>
      </c>
      <c r="I238" s="382" t="str">
        <f>IF(H238="","",VLOOKUP($B238,'C-1 On-Site WaterC'' Baseline'!$C$9:$R$257,8,FALSE))</f>
        <v/>
      </c>
      <c r="J238" s="382" t="str">
        <f>IF(I238="","",VLOOKUP($B238,'C-1 On-Site WaterC'' Baseline'!$C$9:$R$257,9,FALSE))</f>
        <v/>
      </c>
      <c r="K238" s="382" t="str">
        <f>IF(J238="","",VLOOKUP($B238,'C-1 On-Site WaterC'' Baseline'!$C$9:$R$257,10,FALSE))</f>
        <v/>
      </c>
      <c r="L238" s="382" t="str">
        <f>IF(B238="","",VLOOKUP($B238,'C-1 On-Site WaterC'' Baseline'!$C$9:$R$257,15,FALSE))</f>
        <v/>
      </c>
      <c r="M238" s="386" t="str">
        <f>IF(L238="","",VLOOKUP($B238,'C-1 On-Site WaterC'' Baseline'!$C$9:$R$257,16,FALSE))</f>
        <v/>
      </c>
      <c r="N238" s="320" t="str">
        <f t="shared" si="24"/>
        <v/>
      </c>
      <c r="O238" s="362" t="str">
        <f t="shared" si="26"/>
        <v/>
      </c>
      <c r="P238" s="363" t="str">
        <f>IF(C238="","",IF(AND(LEFT(C238,55)&lt;&gt;LEFT(N238,55),O238="High - High"),"Error - Not like for like ▲",IF(H238&gt;U238,"Error - Can not reduce condition ▲",IF(AND(F238=S238,H238=U238,AJ238='C-1 On-Site WaterC'' Baseline'!N236,'C-1 On-Site WaterC'' Baseline'!P236=AL238),"Error - No enhancement ▲",IF(AND(C238&lt;&gt;N238,F238&lt;S238),"Lower Distinctiveness Habitat"&amp;" - "&amp;T238,G238&amp;" - "&amp;T238)))))</f>
        <v/>
      </c>
      <c r="Q238" s="425" t="str">
        <f>IF(N238="","",VLOOKUP(B238,'C-1 On-Site WaterC'' Baseline'!$C$10:$AB$257,19,FALSE))</f>
        <v/>
      </c>
      <c r="R238" s="362" t="str">
        <f>IF(N238="","",VLOOKUP(N238,'G-7 WaterC'' Data'!$B$2:$G$8,2,FALSE))</f>
        <v/>
      </c>
      <c r="S238" s="363" t="str">
        <f>IFERROR(VLOOKUP(R238,'G-7 WaterC'' Data'!$C$4:$D$8,2,FALSE),"")</f>
        <v/>
      </c>
      <c r="T238" s="114"/>
      <c r="U238" s="363" t="str">
        <f>IFERROR(INDEX('G-7 WaterC'' Data'!$H$4:$L$8,MATCH(N238,'G-7 WaterC'' Data'!$B$4:$B$8,0),MATCH(T238,'G-7 WaterC'' Data'!$H$3:$L$3,0)),"")</f>
        <v/>
      </c>
      <c r="V238" s="114"/>
      <c r="W238" s="370" t="str">
        <f>IF(V238="","",IF(VLOOKUP(V238,'G-7 WaterC'' Data'!$AK$4:$AM$6,2,FALSE)=0,"Spatial Data Missing ⚠",VLOOKUP(V238,'G-7 WaterC'' Data'!$AK$4:$AM$6,2,FALSE)))</f>
        <v/>
      </c>
      <c r="X238" s="363" t="str">
        <f>IF(V238="","",IF(VLOOKUP(V238,'G-7 WaterC'' Data'!$AK$4:$AM$6,3,FALSE)=0,"Spatial Data Missing ⚠",VLOOKUP(V238,'G-7 WaterC'' Data'!$AK$4:$AM$6,3,FALSE)))</f>
        <v/>
      </c>
      <c r="Y238" s="362" t="str">
        <f>IFERROR(IF(OR(LEFT(P238,5)="Error",LEFT(O238,5)="Error ▲"),"Check Data ⚠",IF(F238&lt;S238,'G-7 WaterC'' Data'!$R$3,INDEX('G-7 WaterC'' Data'!$U$5:$Y$9,MATCH(G238,'G-7 WaterC'' Data'!$T$5:$T$9,0),MATCH(T238,'G-7 WaterC'' Data'!$U$4:$Y$4,0)))),"")</f>
        <v/>
      </c>
      <c r="Z238" s="159"/>
      <c r="AA238" s="159"/>
      <c r="AB238" s="370" t="str">
        <f t="shared" si="27"/>
        <v/>
      </c>
      <c r="AC238" s="383" t="str">
        <f t="shared" si="28"/>
        <v/>
      </c>
      <c r="AD238" s="422" t="str">
        <f>IFERROR(IF(AC238="Check Data ⚠","Check Data ⚠",VLOOKUP(AC238,'G-4 Temporal multipliers'!$A$4:$C$37,3,FALSE)),"")</f>
        <v/>
      </c>
      <c r="AE238" s="362" t="str">
        <f>IF(N238="","",VLOOKUP(N238,'G-7 WaterC'' Data'!$B$4:$G$8,5,FALSE))</f>
        <v/>
      </c>
      <c r="AF238" s="370" t="str">
        <f t="shared" si="29"/>
        <v/>
      </c>
      <c r="AG238" s="401" t="str">
        <f t="shared" si="30"/>
        <v/>
      </c>
      <c r="AH238" s="363" t="str">
        <f t="shared" si="25"/>
        <v/>
      </c>
      <c r="AI238" s="122"/>
      <c r="AJ238" s="363" t="str">
        <f>IF(AI238="","",IF(VLOOKUP(AI238,'G-7 WaterC'' Data'!$AA$4:$AB$7,2,FALSE)=0,"Spatial Data Missing ⚠",VLOOKUP(AI238,'G-7 WaterC'' Data'!$AA$4:$AB$7,2,FALSE)))</f>
        <v/>
      </c>
      <c r="AK238" s="123"/>
      <c r="AL238" s="363" t="str">
        <f>IF(AK238="","",IF(VLOOKUP(AK238,'G-7 WaterC'' Data'!$AD$4:$AE$14,2,FALSE)=0,"Spatial Data Missing ⚠",VLOOKUP(AK238,'G-7 WaterC'' Data'!$AD$4:$AE$14,2,FALSE)))</f>
        <v/>
      </c>
      <c r="AM238" s="405" t="str">
        <f t="shared" si="31"/>
        <v/>
      </c>
      <c r="AN238" s="117"/>
      <c r="AO238" s="118"/>
      <c r="AP238" s="120"/>
      <c r="AV238" s="30" t="str">
        <f>IFERROR(INDEX('G-7 WaterC'' Data'!$AZ$3:$AZ$7,MATCH(N238,'G-7 WaterC'' Data'!$AY$3:$AY$7,0)),"")</f>
        <v/>
      </c>
    </row>
    <row r="239" spans="2:48" ht="15">
      <c r="B239" s="392" t="str">
        <f>'C-1 On-Site WaterC'' Baseline'!AO237</f>
        <v/>
      </c>
      <c r="C239" s="382" t="str">
        <f>IF(B239="","",VLOOKUP($B239,'C-1 On-Site WaterC'' Baseline'!$C$9:$R$257,2,FALSE))</f>
        <v/>
      </c>
      <c r="D239" s="382" t="str">
        <f>IF(C239="","",VLOOKUP($B239,'C-1 On-Site WaterC'' Baseline'!$C$9:$R$257,3,FALSE))</f>
        <v/>
      </c>
      <c r="E239" s="382" t="str">
        <f>IF(D239="","",VLOOKUP($B239,'C-1 On-Site WaterC'' Baseline'!$C$9:$R$257,4,FALSE))</f>
        <v/>
      </c>
      <c r="F239" s="382" t="str">
        <f>IF(E239="","",VLOOKUP($B239,'C-1 On-Site WaterC'' Baseline'!$C$9:$R$257,5,FALSE))</f>
        <v/>
      </c>
      <c r="G239" s="382" t="str">
        <f>IF(F239="","",VLOOKUP($B239,'C-1 On-Site WaterC'' Baseline'!$C$9:$R$257,6,FALSE))</f>
        <v/>
      </c>
      <c r="H239" s="382" t="str">
        <f>IF(G239="","",VLOOKUP($B239,'C-1 On-Site WaterC'' Baseline'!$C$9:$R$257,7,FALSE))</f>
        <v/>
      </c>
      <c r="I239" s="382" t="str">
        <f>IF(H239="","",VLOOKUP($B239,'C-1 On-Site WaterC'' Baseline'!$C$9:$R$257,8,FALSE))</f>
        <v/>
      </c>
      <c r="J239" s="382" t="str">
        <f>IF(I239="","",VLOOKUP($B239,'C-1 On-Site WaterC'' Baseline'!$C$9:$R$257,9,FALSE))</f>
        <v/>
      </c>
      <c r="K239" s="382" t="str">
        <f>IF(J239="","",VLOOKUP($B239,'C-1 On-Site WaterC'' Baseline'!$C$9:$R$257,10,FALSE))</f>
        <v/>
      </c>
      <c r="L239" s="382" t="str">
        <f>IF(B239="","",VLOOKUP($B239,'C-1 On-Site WaterC'' Baseline'!$C$9:$R$257,15,FALSE))</f>
        <v/>
      </c>
      <c r="M239" s="386" t="str">
        <f>IF(L239="","",VLOOKUP($B239,'C-1 On-Site WaterC'' Baseline'!$C$9:$R$257,16,FALSE))</f>
        <v/>
      </c>
      <c r="N239" s="320" t="str">
        <f t="shared" si="24"/>
        <v/>
      </c>
      <c r="O239" s="362" t="str">
        <f t="shared" si="26"/>
        <v/>
      </c>
      <c r="P239" s="363" t="str">
        <f>IF(C239="","",IF(AND(LEFT(C239,55)&lt;&gt;LEFT(N239,55),O239="High - High"),"Error - Not like for like ▲",IF(H239&gt;U239,"Error - Can not reduce condition ▲",IF(AND(F239=S239,H239=U239,AJ239='C-1 On-Site WaterC'' Baseline'!N237,'C-1 On-Site WaterC'' Baseline'!P237=AL239),"Error - No enhancement ▲",IF(AND(C239&lt;&gt;N239,F239&lt;S239),"Lower Distinctiveness Habitat"&amp;" - "&amp;T239,G239&amp;" - "&amp;T239)))))</f>
        <v/>
      </c>
      <c r="Q239" s="425" t="str">
        <f>IF(N239="","",VLOOKUP(B239,'C-1 On-Site WaterC'' Baseline'!$C$10:$AB$257,19,FALSE))</f>
        <v/>
      </c>
      <c r="R239" s="362" t="str">
        <f>IF(N239="","",VLOOKUP(N239,'G-7 WaterC'' Data'!$B$2:$G$8,2,FALSE))</f>
        <v/>
      </c>
      <c r="S239" s="363" t="str">
        <f>IFERROR(VLOOKUP(R239,'G-7 WaterC'' Data'!$C$4:$D$8,2,FALSE),"")</f>
        <v/>
      </c>
      <c r="T239" s="114"/>
      <c r="U239" s="363" t="str">
        <f>IFERROR(INDEX('G-7 WaterC'' Data'!$H$4:$L$8,MATCH(N239,'G-7 WaterC'' Data'!$B$4:$B$8,0),MATCH(T239,'G-7 WaterC'' Data'!$H$3:$L$3,0)),"")</f>
        <v/>
      </c>
      <c r="V239" s="114"/>
      <c r="W239" s="370" t="str">
        <f>IF(V239="","",IF(VLOOKUP(V239,'G-7 WaterC'' Data'!$AK$4:$AM$6,2,FALSE)=0,"Spatial Data Missing ⚠",VLOOKUP(V239,'G-7 WaterC'' Data'!$AK$4:$AM$6,2,FALSE)))</f>
        <v/>
      </c>
      <c r="X239" s="363" t="str">
        <f>IF(V239="","",IF(VLOOKUP(V239,'G-7 WaterC'' Data'!$AK$4:$AM$6,3,FALSE)=0,"Spatial Data Missing ⚠",VLOOKUP(V239,'G-7 WaterC'' Data'!$AK$4:$AM$6,3,FALSE)))</f>
        <v/>
      </c>
      <c r="Y239" s="362" t="str">
        <f>IFERROR(IF(OR(LEFT(P239,5)="Error",LEFT(O239,5)="Error ▲"),"Check Data ⚠",IF(F239&lt;S239,'G-7 WaterC'' Data'!$R$3,INDEX('G-7 WaterC'' Data'!$U$5:$Y$9,MATCH(G239,'G-7 WaterC'' Data'!$T$5:$T$9,0),MATCH(T239,'G-7 WaterC'' Data'!$U$4:$Y$4,0)))),"")</f>
        <v/>
      </c>
      <c r="Z239" s="159"/>
      <c r="AA239" s="159"/>
      <c r="AB239" s="370" t="str">
        <f t="shared" si="27"/>
        <v/>
      </c>
      <c r="AC239" s="383" t="str">
        <f t="shared" si="28"/>
        <v/>
      </c>
      <c r="AD239" s="422" t="str">
        <f>IFERROR(IF(AC239="Check Data ⚠","Check Data ⚠",VLOOKUP(AC239,'G-4 Temporal multipliers'!$A$4:$C$37,3,FALSE)),"")</f>
        <v/>
      </c>
      <c r="AE239" s="362" t="str">
        <f>IF(N239="","",VLOOKUP(N239,'G-7 WaterC'' Data'!$B$4:$G$8,5,FALSE))</f>
        <v/>
      </c>
      <c r="AF239" s="370" t="str">
        <f t="shared" si="29"/>
        <v/>
      </c>
      <c r="AG239" s="401" t="str">
        <f t="shared" si="30"/>
        <v/>
      </c>
      <c r="AH239" s="363" t="str">
        <f t="shared" si="25"/>
        <v/>
      </c>
      <c r="AI239" s="122"/>
      <c r="AJ239" s="363" t="str">
        <f>IF(AI239="","",IF(VLOOKUP(AI239,'G-7 WaterC'' Data'!$AA$4:$AB$7,2,FALSE)=0,"Spatial Data Missing ⚠",VLOOKUP(AI239,'G-7 WaterC'' Data'!$AA$4:$AB$7,2,FALSE)))</f>
        <v/>
      </c>
      <c r="AK239" s="123"/>
      <c r="AL239" s="363" t="str">
        <f>IF(AK239="","",IF(VLOOKUP(AK239,'G-7 WaterC'' Data'!$AD$4:$AE$14,2,FALSE)=0,"Spatial Data Missing ⚠",VLOOKUP(AK239,'G-7 WaterC'' Data'!$AD$4:$AE$14,2,FALSE)))</f>
        <v/>
      </c>
      <c r="AM239" s="405" t="str">
        <f t="shared" si="31"/>
        <v/>
      </c>
      <c r="AN239" s="117"/>
      <c r="AO239" s="118"/>
      <c r="AP239" s="120"/>
      <c r="AV239" s="30" t="str">
        <f>IFERROR(INDEX('G-7 WaterC'' Data'!$AZ$3:$AZ$7,MATCH(N239,'G-7 WaterC'' Data'!$AY$3:$AY$7,0)),"")</f>
        <v/>
      </c>
    </row>
    <row r="240" spans="2:48" ht="15">
      <c r="B240" s="392" t="str">
        <f>'C-1 On-Site WaterC'' Baseline'!AO238</f>
        <v/>
      </c>
      <c r="C240" s="382" t="str">
        <f>IF(B240="","",VLOOKUP($B240,'C-1 On-Site WaterC'' Baseline'!$C$9:$R$257,2,FALSE))</f>
        <v/>
      </c>
      <c r="D240" s="382" t="str">
        <f>IF(C240="","",VLOOKUP($B240,'C-1 On-Site WaterC'' Baseline'!$C$9:$R$257,3,FALSE))</f>
        <v/>
      </c>
      <c r="E240" s="382" t="str">
        <f>IF(D240="","",VLOOKUP($B240,'C-1 On-Site WaterC'' Baseline'!$C$9:$R$257,4,FALSE))</f>
        <v/>
      </c>
      <c r="F240" s="382" t="str">
        <f>IF(E240="","",VLOOKUP($B240,'C-1 On-Site WaterC'' Baseline'!$C$9:$R$257,5,FALSE))</f>
        <v/>
      </c>
      <c r="G240" s="382" t="str">
        <f>IF(F240="","",VLOOKUP($B240,'C-1 On-Site WaterC'' Baseline'!$C$9:$R$257,6,FALSE))</f>
        <v/>
      </c>
      <c r="H240" s="382" t="str">
        <f>IF(G240="","",VLOOKUP($B240,'C-1 On-Site WaterC'' Baseline'!$C$9:$R$257,7,FALSE))</f>
        <v/>
      </c>
      <c r="I240" s="382" t="str">
        <f>IF(H240="","",VLOOKUP($B240,'C-1 On-Site WaterC'' Baseline'!$C$9:$R$257,8,FALSE))</f>
        <v/>
      </c>
      <c r="J240" s="382" t="str">
        <f>IF(I240="","",VLOOKUP($B240,'C-1 On-Site WaterC'' Baseline'!$C$9:$R$257,9,FALSE))</f>
        <v/>
      </c>
      <c r="K240" s="382" t="str">
        <f>IF(J240="","",VLOOKUP($B240,'C-1 On-Site WaterC'' Baseline'!$C$9:$R$257,10,FALSE))</f>
        <v/>
      </c>
      <c r="L240" s="382" t="str">
        <f>IF(B240="","",VLOOKUP($B240,'C-1 On-Site WaterC'' Baseline'!$C$9:$R$257,15,FALSE))</f>
        <v/>
      </c>
      <c r="M240" s="386" t="str">
        <f>IF(L240="","",VLOOKUP($B240,'C-1 On-Site WaterC'' Baseline'!$C$9:$R$257,16,FALSE))</f>
        <v/>
      </c>
      <c r="N240" s="320" t="str">
        <f t="shared" si="24"/>
        <v/>
      </c>
      <c r="O240" s="362" t="str">
        <f t="shared" si="26"/>
        <v/>
      </c>
      <c r="P240" s="363" t="str">
        <f>IF(C240="","",IF(AND(LEFT(C240,55)&lt;&gt;LEFT(N240,55),O240="High - High"),"Error - Not like for like ▲",IF(H240&gt;U240,"Error - Can not reduce condition ▲",IF(AND(F240=S240,H240=U240,AJ240='C-1 On-Site WaterC'' Baseline'!N238,'C-1 On-Site WaterC'' Baseline'!P238=AL240),"Error - No enhancement ▲",IF(AND(C240&lt;&gt;N240,F240&lt;S240),"Lower Distinctiveness Habitat"&amp;" - "&amp;T240,G240&amp;" - "&amp;T240)))))</f>
        <v/>
      </c>
      <c r="Q240" s="425" t="str">
        <f>IF(N240="","",VLOOKUP(B240,'C-1 On-Site WaterC'' Baseline'!$C$10:$AB$257,19,FALSE))</f>
        <v/>
      </c>
      <c r="R240" s="362" t="str">
        <f>IF(N240="","",VLOOKUP(N240,'G-7 WaterC'' Data'!$B$2:$G$8,2,FALSE))</f>
        <v/>
      </c>
      <c r="S240" s="363" t="str">
        <f>IFERROR(VLOOKUP(R240,'G-7 WaterC'' Data'!$C$4:$D$8,2,FALSE),"")</f>
        <v/>
      </c>
      <c r="T240" s="114"/>
      <c r="U240" s="363" t="str">
        <f>IFERROR(INDEX('G-7 WaterC'' Data'!$H$4:$L$8,MATCH(N240,'G-7 WaterC'' Data'!$B$4:$B$8,0),MATCH(T240,'G-7 WaterC'' Data'!$H$3:$L$3,0)),"")</f>
        <v/>
      </c>
      <c r="V240" s="114"/>
      <c r="W240" s="370" t="str">
        <f>IF(V240="","",IF(VLOOKUP(V240,'G-7 WaterC'' Data'!$AK$4:$AM$6,2,FALSE)=0,"Spatial Data Missing ⚠",VLOOKUP(V240,'G-7 WaterC'' Data'!$AK$4:$AM$6,2,FALSE)))</f>
        <v/>
      </c>
      <c r="X240" s="363" t="str">
        <f>IF(V240="","",IF(VLOOKUP(V240,'G-7 WaterC'' Data'!$AK$4:$AM$6,3,FALSE)=0,"Spatial Data Missing ⚠",VLOOKUP(V240,'G-7 WaterC'' Data'!$AK$4:$AM$6,3,FALSE)))</f>
        <v/>
      </c>
      <c r="Y240" s="362" t="str">
        <f>IFERROR(IF(OR(LEFT(P240,5)="Error",LEFT(O240,5)="Error ▲"),"Check Data ⚠",IF(F240&lt;S240,'G-7 WaterC'' Data'!$R$3,INDEX('G-7 WaterC'' Data'!$U$5:$Y$9,MATCH(G240,'G-7 WaterC'' Data'!$T$5:$T$9,0),MATCH(T240,'G-7 WaterC'' Data'!$U$4:$Y$4,0)))),"")</f>
        <v/>
      </c>
      <c r="Z240" s="159"/>
      <c r="AA240" s="159"/>
      <c r="AB240" s="370" t="str">
        <f t="shared" si="27"/>
        <v/>
      </c>
      <c r="AC240" s="383" t="str">
        <f t="shared" si="28"/>
        <v/>
      </c>
      <c r="AD240" s="422" t="str">
        <f>IFERROR(IF(AC240="Check Data ⚠","Check Data ⚠",VLOOKUP(AC240,'G-4 Temporal multipliers'!$A$4:$C$37,3,FALSE)),"")</f>
        <v/>
      </c>
      <c r="AE240" s="362" t="str">
        <f>IF(N240="","",VLOOKUP(N240,'G-7 WaterC'' Data'!$B$4:$G$8,5,FALSE))</f>
        <v/>
      </c>
      <c r="AF240" s="370" t="str">
        <f t="shared" si="29"/>
        <v/>
      </c>
      <c r="AG240" s="401" t="str">
        <f t="shared" si="30"/>
        <v/>
      </c>
      <c r="AH240" s="363" t="str">
        <f t="shared" si="25"/>
        <v/>
      </c>
      <c r="AI240" s="122"/>
      <c r="AJ240" s="363" t="str">
        <f>IF(AI240="","",IF(VLOOKUP(AI240,'G-7 WaterC'' Data'!$AA$4:$AB$7,2,FALSE)=0,"Spatial Data Missing ⚠",VLOOKUP(AI240,'G-7 WaterC'' Data'!$AA$4:$AB$7,2,FALSE)))</f>
        <v/>
      </c>
      <c r="AK240" s="123"/>
      <c r="AL240" s="363" t="str">
        <f>IF(AK240="","",IF(VLOOKUP(AK240,'G-7 WaterC'' Data'!$AD$4:$AE$14,2,FALSE)=0,"Spatial Data Missing ⚠",VLOOKUP(AK240,'G-7 WaterC'' Data'!$AD$4:$AE$14,2,FALSE)))</f>
        <v/>
      </c>
      <c r="AM240" s="405" t="str">
        <f t="shared" si="31"/>
        <v/>
      </c>
      <c r="AN240" s="117"/>
      <c r="AO240" s="118"/>
      <c r="AP240" s="120"/>
      <c r="AV240" s="30" t="str">
        <f>IFERROR(INDEX('G-7 WaterC'' Data'!$AZ$3:$AZ$7,MATCH(N240,'G-7 WaterC'' Data'!$AY$3:$AY$7,0)),"")</f>
        <v/>
      </c>
    </row>
    <row r="241" spans="2:48" ht="15">
      <c r="B241" s="392" t="str">
        <f>'C-1 On-Site WaterC'' Baseline'!AO239</f>
        <v/>
      </c>
      <c r="C241" s="382" t="str">
        <f>IF(B241="","",VLOOKUP($B241,'C-1 On-Site WaterC'' Baseline'!$C$9:$R$257,2,FALSE))</f>
        <v/>
      </c>
      <c r="D241" s="382" t="str">
        <f>IF(C241="","",VLOOKUP($B241,'C-1 On-Site WaterC'' Baseline'!$C$9:$R$257,3,FALSE))</f>
        <v/>
      </c>
      <c r="E241" s="382" t="str">
        <f>IF(D241="","",VLOOKUP($B241,'C-1 On-Site WaterC'' Baseline'!$C$9:$R$257,4,FALSE))</f>
        <v/>
      </c>
      <c r="F241" s="382" t="str">
        <f>IF(E241="","",VLOOKUP($B241,'C-1 On-Site WaterC'' Baseline'!$C$9:$R$257,5,FALSE))</f>
        <v/>
      </c>
      <c r="G241" s="382" t="str">
        <f>IF(F241="","",VLOOKUP($B241,'C-1 On-Site WaterC'' Baseline'!$C$9:$R$257,6,FALSE))</f>
        <v/>
      </c>
      <c r="H241" s="382" t="str">
        <f>IF(G241="","",VLOOKUP($B241,'C-1 On-Site WaterC'' Baseline'!$C$9:$R$257,7,FALSE))</f>
        <v/>
      </c>
      <c r="I241" s="382" t="str">
        <f>IF(H241="","",VLOOKUP($B241,'C-1 On-Site WaterC'' Baseline'!$C$9:$R$257,8,FALSE))</f>
        <v/>
      </c>
      <c r="J241" s="382" t="str">
        <f>IF(I241="","",VLOOKUP($B241,'C-1 On-Site WaterC'' Baseline'!$C$9:$R$257,9,FALSE))</f>
        <v/>
      </c>
      <c r="K241" s="382" t="str">
        <f>IF(J241="","",VLOOKUP($B241,'C-1 On-Site WaterC'' Baseline'!$C$9:$R$257,10,FALSE))</f>
        <v/>
      </c>
      <c r="L241" s="382" t="str">
        <f>IF(B241="","",VLOOKUP($B241,'C-1 On-Site WaterC'' Baseline'!$C$9:$R$257,15,FALSE))</f>
        <v/>
      </c>
      <c r="M241" s="386" t="str">
        <f>IF(L241="","",VLOOKUP($B241,'C-1 On-Site WaterC'' Baseline'!$C$9:$R$257,16,FALSE))</f>
        <v/>
      </c>
      <c r="N241" s="320" t="str">
        <f t="shared" si="24"/>
        <v/>
      </c>
      <c r="O241" s="362" t="str">
        <f t="shared" si="26"/>
        <v/>
      </c>
      <c r="P241" s="363" t="str">
        <f>IF(C241="","",IF(AND(LEFT(C241,55)&lt;&gt;LEFT(N241,55),O241="High - High"),"Error - Not like for like ▲",IF(H241&gt;U241,"Error - Can not reduce condition ▲",IF(AND(F241=S241,H241=U241,AJ241='C-1 On-Site WaterC'' Baseline'!N239,'C-1 On-Site WaterC'' Baseline'!P239=AL241),"Error - No enhancement ▲",IF(AND(C241&lt;&gt;N241,F241&lt;S241),"Lower Distinctiveness Habitat"&amp;" - "&amp;T241,G241&amp;" - "&amp;T241)))))</f>
        <v/>
      </c>
      <c r="Q241" s="425" t="str">
        <f>IF(N241="","",VLOOKUP(B241,'C-1 On-Site WaterC'' Baseline'!$C$10:$AB$257,19,FALSE))</f>
        <v/>
      </c>
      <c r="R241" s="362" t="str">
        <f>IF(N241="","",VLOOKUP(N241,'G-7 WaterC'' Data'!$B$2:$G$8,2,FALSE))</f>
        <v/>
      </c>
      <c r="S241" s="363" t="str">
        <f>IFERROR(VLOOKUP(R241,'G-7 WaterC'' Data'!$C$4:$D$8,2,FALSE),"")</f>
        <v/>
      </c>
      <c r="T241" s="114"/>
      <c r="U241" s="363" t="str">
        <f>IFERROR(INDEX('G-7 WaterC'' Data'!$H$4:$L$8,MATCH(N241,'G-7 WaterC'' Data'!$B$4:$B$8,0),MATCH(T241,'G-7 WaterC'' Data'!$H$3:$L$3,0)),"")</f>
        <v/>
      </c>
      <c r="V241" s="114"/>
      <c r="W241" s="370" t="str">
        <f>IF(V241="","",IF(VLOOKUP(V241,'G-7 WaterC'' Data'!$AK$4:$AM$6,2,FALSE)=0,"Spatial Data Missing ⚠",VLOOKUP(V241,'G-7 WaterC'' Data'!$AK$4:$AM$6,2,FALSE)))</f>
        <v/>
      </c>
      <c r="X241" s="363" t="str">
        <f>IF(V241="","",IF(VLOOKUP(V241,'G-7 WaterC'' Data'!$AK$4:$AM$6,3,FALSE)=0,"Spatial Data Missing ⚠",VLOOKUP(V241,'G-7 WaterC'' Data'!$AK$4:$AM$6,3,FALSE)))</f>
        <v/>
      </c>
      <c r="Y241" s="362" t="str">
        <f>IFERROR(IF(OR(LEFT(P241,5)="Error",LEFT(O241,5)="Error ▲"),"Check Data ⚠",IF(F241&lt;S241,'G-7 WaterC'' Data'!$R$3,INDEX('G-7 WaterC'' Data'!$U$5:$Y$9,MATCH(G241,'G-7 WaterC'' Data'!$T$5:$T$9,0),MATCH(T241,'G-7 WaterC'' Data'!$U$4:$Y$4,0)))),"")</f>
        <v/>
      </c>
      <c r="Z241" s="159"/>
      <c r="AA241" s="159"/>
      <c r="AB241" s="370" t="str">
        <f t="shared" si="27"/>
        <v/>
      </c>
      <c r="AC241" s="383" t="str">
        <f t="shared" si="28"/>
        <v/>
      </c>
      <c r="AD241" s="422" t="str">
        <f>IFERROR(IF(AC241="Check Data ⚠","Check Data ⚠",VLOOKUP(AC241,'G-4 Temporal multipliers'!$A$4:$C$37,3,FALSE)),"")</f>
        <v/>
      </c>
      <c r="AE241" s="362" t="str">
        <f>IF(N241="","",VLOOKUP(N241,'G-7 WaterC'' Data'!$B$4:$G$8,5,FALSE))</f>
        <v/>
      </c>
      <c r="AF241" s="370" t="str">
        <f t="shared" si="29"/>
        <v/>
      </c>
      <c r="AG241" s="401" t="str">
        <f t="shared" si="30"/>
        <v/>
      </c>
      <c r="AH241" s="363" t="str">
        <f t="shared" si="25"/>
        <v/>
      </c>
      <c r="AI241" s="122"/>
      <c r="AJ241" s="363" t="str">
        <f>IF(AI241="","",IF(VLOOKUP(AI241,'G-7 WaterC'' Data'!$AA$4:$AB$7,2,FALSE)=0,"Spatial Data Missing ⚠",VLOOKUP(AI241,'G-7 WaterC'' Data'!$AA$4:$AB$7,2,FALSE)))</f>
        <v/>
      </c>
      <c r="AK241" s="123"/>
      <c r="AL241" s="363" t="str">
        <f>IF(AK241="","",IF(VLOOKUP(AK241,'G-7 WaterC'' Data'!$AD$4:$AE$14,2,FALSE)=0,"Spatial Data Missing ⚠",VLOOKUP(AK241,'G-7 WaterC'' Data'!$AD$4:$AE$14,2,FALSE)))</f>
        <v/>
      </c>
      <c r="AM241" s="405" t="str">
        <f t="shared" si="31"/>
        <v/>
      </c>
      <c r="AN241" s="117"/>
      <c r="AO241" s="118"/>
      <c r="AP241" s="120"/>
      <c r="AV241" s="30" t="str">
        <f>IFERROR(INDEX('G-7 WaterC'' Data'!$AZ$3:$AZ$7,MATCH(N241,'G-7 WaterC'' Data'!$AY$3:$AY$7,0)),"")</f>
        <v/>
      </c>
    </row>
    <row r="242" spans="2:48" ht="15">
      <c r="B242" s="392" t="str">
        <f>'C-1 On-Site WaterC'' Baseline'!AO240</f>
        <v/>
      </c>
      <c r="C242" s="382" t="str">
        <f>IF(B242="","",VLOOKUP($B242,'C-1 On-Site WaterC'' Baseline'!$C$9:$R$257,2,FALSE))</f>
        <v/>
      </c>
      <c r="D242" s="382" t="str">
        <f>IF(C242="","",VLOOKUP($B242,'C-1 On-Site WaterC'' Baseline'!$C$9:$R$257,3,FALSE))</f>
        <v/>
      </c>
      <c r="E242" s="382" t="str">
        <f>IF(D242="","",VLOOKUP($B242,'C-1 On-Site WaterC'' Baseline'!$C$9:$R$257,4,FALSE))</f>
        <v/>
      </c>
      <c r="F242" s="382" t="str">
        <f>IF(E242="","",VLOOKUP($B242,'C-1 On-Site WaterC'' Baseline'!$C$9:$R$257,5,FALSE))</f>
        <v/>
      </c>
      <c r="G242" s="382" t="str">
        <f>IF(F242="","",VLOOKUP($B242,'C-1 On-Site WaterC'' Baseline'!$C$9:$R$257,6,FALSE))</f>
        <v/>
      </c>
      <c r="H242" s="382" t="str">
        <f>IF(G242="","",VLOOKUP($B242,'C-1 On-Site WaterC'' Baseline'!$C$9:$R$257,7,FALSE))</f>
        <v/>
      </c>
      <c r="I242" s="382" t="str">
        <f>IF(H242="","",VLOOKUP($B242,'C-1 On-Site WaterC'' Baseline'!$C$9:$R$257,8,FALSE))</f>
        <v/>
      </c>
      <c r="J242" s="382" t="str">
        <f>IF(I242="","",VLOOKUP($B242,'C-1 On-Site WaterC'' Baseline'!$C$9:$R$257,9,FALSE))</f>
        <v/>
      </c>
      <c r="K242" s="382" t="str">
        <f>IF(J242="","",VLOOKUP($B242,'C-1 On-Site WaterC'' Baseline'!$C$9:$R$257,10,FALSE))</f>
        <v/>
      </c>
      <c r="L242" s="382" t="str">
        <f>IF(B242="","",VLOOKUP($B242,'C-1 On-Site WaterC'' Baseline'!$C$9:$R$257,15,FALSE))</f>
        <v/>
      </c>
      <c r="M242" s="386" t="str">
        <f>IF(L242="","",VLOOKUP($B242,'C-1 On-Site WaterC'' Baseline'!$C$9:$R$257,16,FALSE))</f>
        <v/>
      </c>
      <c r="N242" s="320" t="str">
        <f t="shared" si="24"/>
        <v/>
      </c>
      <c r="O242" s="362" t="str">
        <f t="shared" si="26"/>
        <v/>
      </c>
      <c r="P242" s="363" t="str">
        <f>IF(C242="","",IF(AND(LEFT(C242,55)&lt;&gt;LEFT(N242,55),O242="High - High"),"Error - Not like for like ▲",IF(H242&gt;U242,"Error - Can not reduce condition ▲",IF(AND(F242=S242,H242=U242,AJ242='C-1 On-Site WaterC'' Baseline'!N240,'C-1 On-Site WaterC'' Baseline'!P240=AL242),"Error - No enhancement ▲",IF(AND(C242&lt;&gt;N242,F242&lt;S242),"Lower Distinctiveness Habitat"&amp;" - "&amp;T242,G242&amp;" - "&amp;T242)))))</f>
        <v/>
      </c>
      <c r="Q242" s="425" t="str">
        <f>IF(N242="","",VLOOKUP(B242,'C-1 On-Site WaterC'' Baseline'!$C$10:$AB$257,19,FALSE))</f>
        <v/>
      </c>
      <c r="R242" s="362" t="str">
        <f>IF(N242="","",VLOOKUP(N242,'G-7 WaterC'' Data'!$B$2:$G$8,2,FALSE))</f>
        <v/>
      </c>
      <c r="S242" s="363" t="str">
        <f>IFERROR(VLOOKUP(R242,'G-7 WaterC'' Data'!$C$4:$D$8,2,FALSE),"")</f>
        <v/>
      </c>
      <c r="T242" s="114"/>
      <c r="U242" s="363" t="str">
        <f>IFERROR(INDEX('G-7 WaterC'' Data'!$H$4:$L$8,MATCH(N242,'G-7 WaterC'' Data'!$B$4:$B$8,0),MATCH(T242,'G-7 WaterC'' Data'!$H$3:$L$3,0)),"")</f>
        <v/>
      </c>
      <c r="V242" s="114"/>
      <c r="W242" s="370" t="str">
        <f>IF(V242="","",IF(VLOOKUP(V242,'G-7 WaterC'' Data'!$AK$4:$AM$6,2,FALSE)=0,"Spatial Data Missing ⚠",VLOOKUP(V242,'G-7 WaterC'' Data'!$AK$4:$AM$6,2,FALSE)))</f>
        <v/>
      </c>
      <c r="X242" s="363" t="str">
        <f>IF(V242="","",IF(VLOOKUP(V242,'G-7 WaterC'' Data'!$AK$4:$AM$6,3,FALSE)=0,"Spatial Data Missing ⚠",VLOOKUP(V242,'G-7 WaterC'' Data'!$AK$4:$AM$6,3,FALSE)))</f>
        <v/>
      </c>
      <c r="Y242" s="362" t="str">
        <f>IFERROR(IF(OR(LEFT(P242,5)="Error",LEFT(O242,5)="Error ▲"),"Check Data ⚠",IF(F242&lt;S242,'G-7 WaterC'' Data'!$R$3,INDEX('G-7 WaterC'' Data'!$U$5:$Y$9,MATCH(G242,'G-7 WaterC'' Data'!$T$5:$T$9,0),MATCH(T242,'G-7 WaterC'' Data'!$U$4:$Y$4,0)))),"")</f>
        <v/>
      </c>
      <c r="Z242" s="159"/>
      <c r="AA242" s="159"/>
      <c r="AB242" s="370" t="str">
        <f t="shared" si="27"/>
        <v/>
      </c>
      <c r="AC242" s="383" t="str">
        <f t="shared" si="28"/>
        <v/>
      </c>
      <c r="AD242" s="422" t="str">
        <f>IFERROR(IF(AC242="Check Data ⚠","Check Data ⚠",VLOOKUP(AC242,'G-4 Temporal multipliers'!$A$4:$C$37,3,FALSE)),"")</f>
        <v/>
      </c>
      <c r="AE242" s="362" t="str">
        <f>IF(N242="","",VLOOKUP(N242,'G-7 WaterC'' Data'!$B$4:$G$8,5,FALSE))</f>
        <v/>
      </c>
      <c r="AF242" s="370" t="str">
        <f t="shared" si="29"/>
        <v/>
      </c>
      <c r="AG242" s="401" t="str">
        <f t="shared" si="30"/>
        <v/>
      </c>
      <c r="AH242" s="363" t="str">
        <f t="shared" si="25"/>
        <v/>
      </c>
      <c r="AI242" s="122"/>
      <c r="AJ242" s="363" t="str">
        <f>IF(AI242="","",IF(VLOOKUP(AI242,'G-7 WaterC'' Data'!$AA$4:$AB$7,2,FALSE)=0,"Spatial Data Missing ⚠",VLOOKUP(AI242,'G-7 WaterC'' Data'!$AA$4:$AB$7,2,FALSE)))</f>
        <v/>
      </c>
      <c r="AK242" s="123"/>
      <c r="AL242" s="363" t="str">
        <f>IF(AK242="","",IF(VLOOKUP(AK242,'G-7 WaterC'' Data'!$AD$4:$AE$14,2,FALSE)=0,"Spatial Data Missing ⚠",VLOOKUP(AK242,'G-7 WaterC'' Data'!$AD$4:$AE$14,2,FALSE)))</f>
        <v/>
      </c>
      <c r="AM242" s="405" t="str">
        <f t="shared" si="31"/>
        <v/>
      </c>
      <c r="AN242" s="117"/>
      <c r="AO242" s="118"/>
      <c r="AP242" s="120"/>
      <c r="AV242" s="30" t="str">
        <f>IFERROR(INDEX('G-7 WaterC'' Data'!$AZ$3:$AZ$7,MATCH(N242,'G-7 WaterC'' Data'!$AY$3:$AY$7,0)),"")</f>
        <v/>
      </c>
    </row>
    <row r="243" spans="2:48" ht="15">
      <c r="B243" s="392" t="str">
        <f>'C-1 On-Site WaterC'' Baseline'!AO241</f>
        <v/>
      </c>
      <c r="C243" s="382" t="str">
        <f>IF(B243="","",VLOOKUP($B243,'C-1 On-Site WaterC'' Baseline'!$C$9:$R$257,2,FALSE))</f>
        <v/>
      </c>
      <c r="D243" s="382" t="str">
        <f>IF(C243="","",VLOOKUP($B243,'C-1 On-Site WaterC'' Baseline'!$C$9:$R$257,3,FALSE))</f>
        <v/>
      </c>
      <c r="E243" s="382" t="str">
        <f>IF(D243="","",VLOOKUP($B243,'C-1 On-Site WaterC'' Baseline'!$C$9:$R$257,4,FALSE))</f>
        <v/>
      </c>
      <c r="F243" s="382" t="str">
        <f>IF(E243="","",VLOOKUP($B243,'C-1 On-Site WaterC'' Baseline'!$C$9:$R$257,5,FALSE))</f>
        <v/>
      </c>
      <c r="G243" s="382" t="str">
        <f>IF(F243="","",VLOOKUP($B243,'C-1 On-Site WaterC'' Baseline'!$C$9:$R$257,6,FALSE))</f>
        <v/>
      </c>
      <c r="H243" s="382" t="str">
        <f>IF(G243="","",VLOOKUP($B243,'C-1 On-Site WaterC'' Baseline'!$C$9:$R$257,7,FALSE))</f>
        <v/>
      </c>
      <c r="I243" s="382" t="str">
        <f>IF(H243="","",VLOOKUP($B243,'C-1 On-Site WaterC'' Baseline'!$C$9:$R$257,8,FALSE))</f>
        <v/>
      </c>
      <c r="J243" s="382" t="str">
        <f>IF(I243="","",VLOOKUP($B243,'C-1 On-Site WaterC'' Baseline'!$C$9:$R$257,9,FALSE))</f>
        <v/>
      </c>
      <c r="K243" s="382" t="str">
        <f>IF(J243="","",VLOOKUP($B243,'C-1 On-Site WaterC'' Baseline'!$C$9:$R$257,10,FALSE))</f>
        <v/>
      </c>
      <c r="L243" s="382" t="str">
        <f>IF(B243="","",VLOOKUP($B243,'C-1 On-Site WaterC'' Baseline'!$C$9:$R$257,15,FALSE))</f>
        <v/>
      </c>
      <c r="M243" s="386" t="str">
        <f>IF(L243="","",VLOOKUP($B243,'C-1 On-Site WaterC'' Baseline'!$C$9:$R$257,16,FALSE))</f>
        <v/>
      </c>
      <c r="N243" s="320" t="str">
        <f t="shared" si="24"/>
        <v/>
      </c>
      <c r="O243" s="362" t="str">
        <f t="shared" si="26"/>
        <v/>
      </c>
      <c r="P243" s="363" t="str">
        <f>IF(C243="","",IF(AND(LEFT(C243,55)&lt;&gt;LEFT(N243,55),O243="High - High"),"Error - Not like for like ▲",IF(H243&gt;U243,"Error - Can not reduce condition ▲",IF(AND(F243=S243,H243=U243,AJ243='C-1 On-Site WaterC'' Baseline'!N241,'C-1 On-Site WaterC'' Baseline'!P241=AL243),"Error - No enhancement ▲",IF(AND(C243&lt;&gt;N243,F243&lt;S243),"Lower Distinctiveness Habitat"&amp;" - "&amp;T243,G243&amp;" - "&amp;T243)))))</f>
        <v/>
      </c>
      <c r="Q243" s="425" t="str">
        <f>IF(N243="","",VLOOKUP(B243,'C-1 On-Site WaterC'' Baseline'!$C$10:$AB$257,19,FALSE))</f>
        <v/>
      </c>
      <c r="R243" s="362" t="str">
        <f>IF(N243="","",VLOOKUP(N243,'G-7 WaterC'' Data'!$B$2:$G$8,2,FALSE))</f>
        <v/>
      </c>
      <c r="S243" s="363" t="str">
        <f>IFERROR(VLOOKUP(R243,'G-7 WaterC'' Data'!$C$4:$D$8,2,FALSE),"")</f>
        <v/>
      </c>
      <c r="T243" s="114"/>
      <c r="U243" s="363" t="str">
        <f>IFERROR(INDEX('G-7 WaterC'' Data'!$H$4:$L$8,MATCH(N243,'G-7 WaterC'' Data'!$B$4:$B$8,0),MATCH(T243,'G-7 WaterC'' Data'!$H$3:$L$3,0)),"")</f>
        <v/>
      </c>
      <c r="V243" s="114"/>
      <c r="W243" s="370" t="str">
        <f>IF(V243="","",IF(VLOOKUP(V243,'G-7 WaterC'' Data'!$AK$4:$AM$6,2,FALSE)=0,"Spatial Data Missing ⚠",VLOOKUP(V243,'G-7 WaterC'' Data'!$AK$4:$AM$6,2,FALSE)))</f>
        <v/>
      </c>
      <c r="X243" s="363" t="str">
        <f>IF(V243="","",IF(VLOOKUP(V243,'G-7 WaterC'' Data'!$AK$4:$AM$6,3,FALSE)=0,"Spatial Data Missing ⚠",VLOOKUP(V243,'G-7 WaterC'' Data'!$AK$4:$AM$6,3,FALSE)))</f>
        <v/>
      </c>
      <c r="Y243" s="362" t="str">
        <f>IFERROR(IF(OR(LEFT(P243,5)="Error",LEFT(O243,5)="Error ▲"),"Check Data ⚠",IF(F243&lt;S243,'G-7 WaterC'' Data'!$R$3,INDEX('G-7 WaterC'' Data'!$U$5:$Y$9,MATCH(G243,'G-7 WaterC'' Data'!$T$5:$T$9,0),MATCH(T243,'G-7 WaterC'' Data'!$U$4:$Y$4,0)))),"")</f>
        <v/>
      </c>
      <c r="Z243" s="159"/>
      <c r="AA243" s="159"/>
      <c r="AB243" s="370" t="str">
        <f t="shared" si="27"/>
        <v/>
      </c>
      <c r="AC243" s="383" t="str">
        <f t="shared" si="28"/>
        <v/>
      </c>
      <c r="AD243" s="422" t="str">
        <f>IFERROR(IF(AC243="Check Data ⚠","Check Data ⚠",VLOOKUP(AC243,'G-4 Temporal multipliers'!$A$4:$C$37,3,FALSE)),"")</f>
        <v/>
      </c>
      <c r="AE243" s="362" t="str">
        <f>IF(N243="","",VLOOKUP(N243,'G-7 WaterC'' Data'!$B$4:$G$8,5,FALSE))</f>
        <v/>
      </c>
      <c r="AF243" s="370" t="str">
        <f t="shared" si="29"/>
        <v/>
      </c>
      <c r="AG243" s="401" t="str">
        <f t="shared" si="30"/>
        <v/>
      </c>
      <c r="AH243" s="363" t="str">
        <f t="shared" si="25"/>
        <v/>
      </c>
      <c r="AI243" s="122"/>
      <c r="AJ243" s="363" t="str">
        <f>IF(AI243="","",IF(VLOOKUP(AI243,'G-7 WaterC'' Data'!$AA$4:$AB$7,2,FALSE)=0,"Spatial Data Missing ⚠",VLOOKUP(AI243,'G-7 WaterC'' Data'!$AA$4:$AB$7,2,FALSE)))</f>
        <v/>
      </c>
      <c r="AK243" s="123"/>
      <c r="AL243" s="363" t="str">
        <f>IF(AK243="","",IF(VLOOKUP(AK243,'G-7 WaterC'' Data'!$AD$4:$AE$14,2,FALSE)=0,"Spatial Data Missing ⚠",VLOOKUP(AK243,'G-7 WaterC'' Data'!$AD$4:$AE$14,2,FALSE)))</f>
        <v/>
      </c>
      <c r="AM243" s="405" t="str">
        <f t="shared" si="31"/>
        <v/>
      </c>
      <c r="AN243" s="117"/>
      <c r="AO243" s="118"/>
      <c r="AP243" s="120"/>
      <c r="AV243" s="30" t="str">
        <f>IFERROR(INDEX('G-7 WaterC'' Data'!$AZ$3:$AZ$7,MATCH(N243,'G-7 WaterC'' Data'!$AY$3:$AY$7,0)),"")</f>
        <v/>
      </c>
    </row>
    <row r="244" spans="2:48" ht="15">
      <c r="B244" s="392" t="str">
        <f>'C-1 On-Site WaterC'' Baseline'!AO242</f>
        <v/>
      </c>
      <c r="C244" s="382" t="str">
        <f>IF(B244="","",VLOOKUP($B244,'C-1 On-Site WaterC'' Baseline'!$C$9:$R$257,2,FALSE))</f>
        <v/>
      </c>
      <c r="D244" s="382" t="str">
        <f>IF(C244="","",VLOOKUP($B244,'C-1 On-Site WaterC'' Baseline'!$C$9:$R$257,3,FALSE))</f>
        <v/>
      </c>
      <c r="E244" s="382" t="str">
        <f>IF(D244="","",VLOOKUP($B244,'C-1 On-Site WaterC'' Baseline'!$C$9:$R$257,4,FALSE))</f>
        <v/>
      </c>
      <c r="F244" s="382" t="str">
        <f>IF(E244="","",VLOOKUP($B244,'C-1 On-Site WaterC'' Baseline'!$C$9:$R$257,5,FALSE))</f>
        <v/>
      </c>
      <c r="G244" s="382" t="str">
        <f>IF(F244="","",VLOOKUP($B244,'C-1 On-Site WaterC'' Baseline'!$C$9:$R$257,6,FALSE))</f>
        <v/>
      </c>
      <c r="H244" s="382" t="str">
        <f>IF(G244="","",VLOOKUP($B244,'C-1 On-Site WaterC'' Baseline'!$C$9:$R$257,7,FALSE))</f>
        <v/>
      </c>
      <c r="I244" s="382" t="str">
        <f>IF(H244="","",VLOOKUP($B244,'C-1 On-Site WaterC'' Baseline'!$C$9:$R$257,8,FALSE))</f>
        <v/>
      </c>
      <c r="J244" s="382" t="str">
        <f>IF(I244="","",VLOOKUP($B244,'C-1 On-Site WaterC'' Baseline'!$C$9:$R$257,9,FALSE))</f>
        <v/>
      </c>
      <c r="K244" s="382" t="str">
        <f>IF(J244="","",VLOOKUP($B244,'C-1 On-Site WaterC'' Baseline'!$C$9:$R$257,10,FALSE))</f>
        <v/>
      </c>
      <c r="L244" s="382" t="str">
        <f>IF(B244="","",VLOOKUP($B244,'C-1 On-Site WaterC'' Baseline'!$C$9:$R$257,15,FALSE))</f>
        <v/>
      </c>
      <c r="M244" s="386" t="str">
        <f>IF(L244="","",VLOOKUP($B244,'C-1 On-Site WaterC'' Baseline'!$C$9:$R$257,16,FALSE))</f>
        <v/>
      </c>
      <c r="N244" s="320" t="str">
        <f t="shared" si="24"/>
        <v/>
      </c>
      <c r="O244" s="362" t="str">
        <f t="shared" si="26"/>
        <v/>
      </c>
      <c r="P244" s="363" t="str">
        <f>IF(C244="","",IF(AND(LEFT(C244,55)&lt;&gt;LEFT(N244,55),O244="High - High"),"Error - Not like for like ▲",IF(H244&gt;U244,"Error - Can not reduce condition ▲",IF(AND(F244=S244,H244=U244,AJ244='C-1 On-Site WaterC'' Baseline'!N242,'C-1 On-Site WaterC'' Baseline'!P242=AL244),"Error - No enhancement ▲",IF(AND(C244&lt;&gt;N244,F244&lt;S244),"Lower Distinctiveness Habitat"&amp;" - "&amp;T244,G244&amp;" - "&amp;T244)))))</f>
        <v/>
      </c>
      <c r="Q244" s="425" t="str">
        <f>IF(N244="","",VLOOKUP(B244,'C-1 On-Site WaterC'' Baseline'!$C$10:$AB$257,19,FALSE))</f>
        <v/>
      </c>
      <c r="R244" s="362" t="str">
        <f>IF(N244="","",VLOOKUP(N244,'G-7 WaterC'' Data'!$B$2:$G$8,2,FALSE))</f>
        <v/>
      </c>
      <c r="S244" s="363" t="str">
        <f>IFERROR(VLOOKUP(R244,'G-7 WaterC'' Data'!$C$4:$D$8,2,FALSE),"")</f>
        <v/>
      </c>
      <c r="T244" s="114"/>
      <c r="U244" s="363" t="str">
        <f>IFERROR(INDEX('G-7 WaterC'' Data'!$H$4:$L$8,MATCH(N244,'G-7 WaterC'' Data'!$B$4:$B$8,0),MATCH(T244,'G-7 WaterC'' Data'!$H$3:$L$3,0)),"")</f>
        <v/>
      </c>
      <c r="V244" s="114"/>
      <c r="W244" s="370" t="str">
        <f>IF(V244="","",IF(VLOOKUP(V244,'G-7 WaterC'' Data'!$AK$4:$AM$6,2,FALSE)=0,"Spatial Data Missing ⚠",VLOOKUP(V244,'G-7 WaterC'' Data'!$AK$4:$AM$6,2,FALSE)))</f>
        <v/>
      </c>
      <c r="X244" s="363" t="str">
        <f>IF(V244="","",IF(VLOOKUP(V244,'G-7 WaterC'' Data'!$AK$4:$AM$6,3,FALSE)=0,"Spatial Data Missing ⚠",VLOOKUP(V244,'G-7 WaterC'' Data'!$AK$4:$AM$6,3,FALSE)))</f>
        <v/>
      </c>
      <c r="Y244" s="362" t="str">
        <f>IFERROR(IF(OR(LEFT(P244,5)="Error",LEFT(O244,5)="Error ▲"),"Check Data ⚠",IF(F244&lt;S244,'G-7 WaterC'' Data'!$R$3,INDEX('G-7 WaterC'' Data'!$U$5:$Y$9,MATCH(G244,'G-7 WaterC'' Data'!$T$5:$T$9,0),MATCH(T244,'G-7 WaterC'' Data'!$U$4:$Y$4,0)))),"")</f>
        <v/>
      </c>
      <c r="Z244" s="159"/>
      <c r="AA244" s="159"/>
      <c r="AB244" s="370" t="str">
        <f t="shared" si="27"/>
        <v/>
      </c>
      <c r="AC244" s="383" t="str">
        <f t="shared" si="28"/>
        <v/>
      </c>
      <c r="AD244" s="422" t="str">
        <f>IFERROR(IF(AC244="Check Data ⚠","Check Data ⚠",VLOOKUP(AC244,'G-4 Temporal multipliers'!$A$4:$C$37,3,FALSE)),"")</f>
        <v/>
      </c>
      <c r="AE244" s="362" t="str">
        <f>IF(N244="","",VLOOKUP(N244,'G-7 WaterC'' Data'!$B$4:$G$8,5,FALSE))</f>
        <v/>
      </c>
      <c r="AF244" s="370" t="str">
        <f t="shared" si="29"/>
        <v/>
      </c>
      <c r="AG244" s="401" t="str">
        <f t="shared" si="30"/>
        <v/>
      </c>
      <c r="AH244" s="363" t="str">
        <f t="shared" si="25"/>
        <v/>
      </c>
      <c r="AI244" s="122"/>
      <c r="AJ244" s="363" t="str">
        <f>IF(AI244="","",IF(VLOOKUP(AI244,'G-7 WaterC'' Data'!$AA$4:$AB$7,2,FALSE)=0,"Spatial Data Missing ⚠",VLOOKUP(AI244,'G-7 WaterC'' Data'!$AA$4:$AB$7,2,FALSE)))</f>
        <v/>
      </c>
      <c r="AK244" s="123"/>
      <c r="AL244" s="363" t="str">
        <f>IF(AK244="","",IF(VLOOKUP(AK244,'G-7 WaterC'' Data'!$AD$4:$AE$14,2,FALSE)=0,"Spatial Data Missing ⚠",VLOOKUP(AK244,'G-7 WaterC'' Data'!$AD$4:$AE$14,2,FALSE)))</f>
        <v/>
      </c>
      <c r="AM244" s="405" t="str">
        <f t="shared" si="31"/>
        <v/>
      </c>
      <c r="AN244" s="117"/>
      <c r="AO244" s="118"/>
      <c r="AP244" s="120"/>
      <c r="AV244" s="30" t="str">
        <f>IFERROR(INDEX('G-7 WaterC'' Data'!$AZ$3:$AZ$7,MATCH(N244,'G-7 WaterC'' Data'!$AY$3:$AY$7,0)),"")</f>
        <v/>
      </c>
    </row>
    <row r="245" spans="2:48" ht="15">
      <c r="B245" s="392" t="str">
        <f>'C-1 On-Site WaterC'' Baseline'!AO243</f>
        <v/>
      </c>
      <c r="C245" s="382" t="str">
        <f>IF(B245="","",VLOOKUP($B245,'C-1 On-Site WaterC'' Baseline'!$C$9:$R$257,2,FALSE))</f>
        <v/>
      </c>
      <c r="D245" s="382" t="str">
        <f>IF(C245="","",VLOOKUP($B245,'C-1 On-Site WaterC'' Baseline'!$C$9:$R$257,3,FALSE))</f>
        <v/>
      </c>
      <c r="E245" s="382" t="str">
        <f>IF(D245="","",VLOOKUP($B245,'C-1 On-Site WaterC'' Baseline'!$C$9:$R$257,4,FALSE))</f>
        <v/>
      </c>
      <c r="F245" s="382" t="str">
        <f>IF(E245="","",VLOOKUP($B245,'C-1 On-Site WaterC'' Baseline'!$C$9:$R$257,5,FALSE))</f>
        <v/>
      </c>
      <c r="G245" s="382" t="str">
        <f>IF(F245="","",VLOOKUP($B245,'C-1 On-Site WaterC'' Baseline'!$C$9:$R$257,6,FALSE))</f>
        <v/>
      </c>
      <c r="H245" s="382" t="str">
        <f>IF(G245="","",VLOOKUP($B245,'C-1 On-Site WaterC'' Baseline'!$C$9:$R$257,7,FALSE))</f>
        <v/>
      </c>
      <c r="I245" s="382" t="str">
        <f>IF(H245="","",VLOOKUP($B245,'C-1 On-Site WaterC'' Baseline'!$C$9:$R$257,8,FALSE))</f>
        <v/>
      </c>
      <c r="J245" s="382" t="str">
        <f>IF(I245="","",VLOOKUP($B245,'C-1 On-Site WaterC'' Baseline'!$C$9:$R$257,9,FALSE))</f>
        <v/>
      </c>
      <c r="K245" s="382" t="str">
        <f>IF(J245="","",VLOOKUP($B245,'C-1 On-Site WaterC'' Baseline'!$C$9:$R$257,10,FALSE))</f>
        <v/>
      </c>
      <c r="L245" s="382" t="str">
        <f>IF(B245="","",VLOOKUP($B245,'C-1 On-Site WaterC'' Baseline'!$C$9:$R$257,15,FALSE))</f>
        <v/>
      </c>
      <c r="M245" s="386" t="str">
        <f>IF(L245="","",VLOOKUP($B245,'C-1 On-Site WaterC'' Baseline'!$C$9:$R$257,16,FALSE))</f>
        <v/>
      </c>
      <c r="N245" s="320" t="str">
        <f t="shared" si="24"/>
        <v/>
      </c>
      <c r="O245" s="362" t="str">
        <f t="shared" si="26"/>
        <v/>
      </c>
      <c r="P245" s="363" t="str">
        <f>IF(C245="","",IF(AND(LEFT(C245,55)&lt;&gt;LEFT(N245,55),O245="High - High"),"Error - Not like for like ▲",IF(H245&gt;U245,"Error - Can not reduce condition ▲",IF(AND(F245=S245,H245=U245,AJ245='C-1 On-Site WaterC'' Baseline'!N243,'C-1 On-Site WaterC'' Baseline'!P243=AL245),"Error - No enhancement ▲",IF(AND(C245&lt;&gt;N245,F245&lt;S245),"Lower Distinctiveness Habitat"&amp;" - "&amp;T245,G245&amp;" - "&amp;T245)))))</f>
        <v/>
      </c>
      <c r="Q245" s="425" t="str">
        <f>IF(N245="","",VLOOKUP(B245,'C-1 On-Site WaterC'' Baseline'!$C$10:$AB$257,19,FALSE))</f>
        <v/>
      </c>
      <c r="R245" s="362" t="str">
        <f>IF(N245="","",VLOOKUP(N245,'G-7 WaterC'' Data'!$B$2:$G$8,2,FALSE))</f>
        <v/>
      </c>
      <c r="S245" s="363" t="str">
        <f>IFERROR(VLOOKUP(R245,'G-7 WaterC'' Data'!$C$4:$D$8,2,FALSE),"")</f>
        <v/>
      </c>
      <c r="T245" s="114"/>
      <c r="U245" s="363" t="str">
        <f>IFERROR(INDEX('G-7 WaterC'' Data'!$H$4:$L$8,MATCH(N245,'G-7 WaterC'' Data'!$B$4:$B$8,0),MATCH(T245,'G-7 WaterC'' Data'!$H$3:$L$3,0)),"")</f>
        <v/>
      </c>
      <c r="V245" s="114"/>
      <c r="W245" s="370" t="str">
        <f>IF(V245="","",IF(VLOOKUP(V245,'G-7 WaterC'' Data'!$AK$4:$AM$6,2,FALSE)=0,"Spatial Data Missing ⚠",VLOOKUP(V245,'G-7 WaterC'' Data'!$AK$4:$AM$6,2,FALSE)))</f>
        <v/>
      </c>
      <c r="X245" s="363" t="str">
        <f>IF(V245="","",IF(VLOOKUP(V245,'G-7 WaterC'' Data'!$AK$4:$AM$6,3,FALSE)=0,"Spatial Data Missing ⚠",VLOOKUP(V245,'G-7 WaterC'' Data'!$AK$4:$AM$6,3,FALSE)))</f>
        <v/>
      </c>
      <c r="Y245" s="362" t="str">
        <f>IFERROR(IF(OR(LEFT(P245,5)="Error",LEFT(O245,5)="Error ▲"),"Check Data ⚠",IF(F245&lt;S245,'G-7 WaterC'' Data'!$R$3,INDEX('G-7 WaterC'' Data'!$U$5:$Y$9,MATCH(G245,'G-7 WaterC'' Data'!$T$5:$T$9,0),MATCH(T245,'G-7 WaterC'' Data'!$U$4:$Y$4,0)))),"")</f>
        <v/>
      </c>
      <c r="Z245" s="159"/>
      <c r="AA245" s="159"/>
      <c r="AB245" s="370" t="str">
        <f t="shared" si="27"/>
        <v/>
      </c>
      <c r="AC245" s="383" t="str">
        <f t="shared" si="28"/>
        <v/>
      </c>
      <c r="AD245" s="422" t="str">
        <f>IFERROR(IF(AC245="Check Data ⚠","Check Data ⚠",VLOOKUP(AC245,'G-4 Temporal multipliers'!$A$4:$C$37,3,FALSE)),"")</f>
        <v/>
      </c>
      <c r="AE245" s="362" t="str">
        <f>IF(N245="","",VLOOKUP(N245,'G-7 WaterC'' Data'!$B$4:$G$8,5,FALSE))</f>
        <v/>
      </c>
      <c r="AF245" s="370" t="str">
        <f t="shared" si="29"/>
        <v/>
      </c>
      <c r="AG245" s="401" t="str">
        <f t="shared" si="30"/>
        <v/>
      </c>
      <c r="AH245" s="363" t="str">
        <f t="shared" si="25"/>
        <v/>
      </c>
      <c r="AI245" s="122"/>
      <c r="AJ245" s="363" t="str">
        <f>IF(AI245="","",IF(VLOOKUP(AI245,'G-7 WaterC'' Data'!$AA$4:$AB$7,2,FALSE)=0,"Spatial Data Missing ⚠",VLOOKUP(AI245,'G-7 WaterC'' Data'!$AA$4:$AB$7,2,FALSE)))</f>
        <v/>
      </c>
      <c r="AK245" s="123"/>
      <c r="AL245" s="363" t="str">
        <f>IF(AK245="","",IF(VLOOKUP(AK245,'G-7 WaterC'' Data'!$AD$4:$AE$14,2,FALSE)=0,"Spatial Data Missing ⚠",VLOOKUP(AK245,'G-7 WaterC'' Data'!$AD$4:$AE$14,2,FALSE)))</f>
        <v/>
      </c>
      <c r="AM245" s="405" t="str">
        <f t="shared" si="31"/>
        <v/>
      </c>
      <c r="AN245" s="117"/>
      <c r="AO245" s="118"/>
      <c r="AP245" s="120"/>
      <c r="AV245" s="30" t="str">
        <f>IFERROR(INDEX('G-7 WaterC'' Data'!$AZ$3:$AZ$7,MATCH(N245,'G-7 WaterC'' Data'!$AY$3:$AY$7,0)),"")</f>
        <v/>
      </c>
    </row>
    <row r="246" spans="2:48" ht="15">
      <c r="B246" s="392" t="str">
        <f>'C-1 On-Site WaterC'' Baseline'!AO244</f>
        <v/>
      </c>
      <c r="C246" s="382" t="str">
        <f>IF(B246="","",VLOOKUP($B246,'C-1 On-Site WaterC'' Baseline'!$C$9:$R$257,2,FALSE))</f>
        <v/>
      </c>
      <c r="D246" s="382" t="str">
        <f>IF(C246="","",VLOOKUP($B246,'C-1 On-Site WaterC'' Baseline'!$C$9:$R$257,3,FALSE))</f>
        <v/>
      </c>
      <c r="E246" s="382" t="str">
        <f>IF(D246="","",VLOOKUP($B246,'C-1 On-Site WaterC'' Baseline'!$C$9:$R$257,4,FALSE))</f>
        <v/>
      </c>
      <c r="F246" s="382" t="str">
        <f>IF(E246="","",VLOOKUP($B246,'C-1 On-Site WaterC'' Baseline'!$C$9:$R$257,5,FALSE))</f>
        <v/>
      </c>
      <c r="G246" s="382" t="str">
        <f>IF(F246="","",VLOOKUP($B246,'C-1 On-Site WaterC'' Baseline'!$C$9:$R$257,6,FALSE))</f>
        <v/>
      </c>
      <c r="H246" s="382" t="str">
        <f>IF(G246="","",VLOOKUP($B246,'C-1 On-Site WaterC'' Baseline'!$C$9:$R$257,7,FALSE))</f>
        <v/>
      </c>
      <c r="I246" s="382" t="str">
        <f>IF(H246="","",VLOOKUP($B246,'C-1 On-Site WaterC'' Baseline'!$C$9:$R$257,8,FALSE))</f>
        <v/>
      </c>
      <c r="J246" s="382" t="str">
        <f>IF(I246="","",VLOOKUP($B246,'C-1 On-Site WaterC'' Baseline'!$C$9:$R$257,9,FALSE))</f>
        <v/>
      </c>
      <c r="K246" s="382" t="str">
        <f>IF(J246="","",VLOOKUP($B246,'C-1 On-Site WaterC'' Baseline'!$C$9:$R$257,10,FALSE))</f>
        <v/>
      </c>
      <c r="L246" s="382" t="str">
        <f>IF(B246="","",VLOOKUP($B246,'C-1 On-Site WaterC'' Baseline'!$C$9:$R$257,15,FALSE))</f>
        <v/>
      </c>
      <c r="M246" s="386" t="str">
        <f>IF(L246="","",VLOOKUP($B246,'C-1 On-Site WaterC'' Baseline'!$C$9:$R$257,16,FALSE))</f>
        <v/>
      </c>
      <c r="N246" s="320" t="str">
        <f t="shared" si="24"/>
        <v/>
      </c>
      <c r="O246" s="362" t="str">
        <f t="shared" si="26"/>
        <v/>
      </c>
      <c r="P246" s="363" t="str">
        <f>IF(C246="","",IF(AND(LEFT(C246,55)&lt;&gt;LEFT(N246,55),O246="High - High"),"Error - Not like for like ▲",IF(H246&gt;U246,"Error - Can not reduce condition ▲",IF(AND(F246=S246,H246=U246,AJ246='C-1 On-Site WaterC'' Baseline'!N244,'C-1 On-Site WaterC'' Baseline'!P244=AL246),"Error - No enhancement ▲",IF(AND(C246&lt;&gt;N246,F246&lt;S246),"Lower Distinctiveness Habitat"&amp;" - "&amp;T246,G246&amp;" - "&amp;T246)))))</f>
        <v/>
      </c>
      <c r="Q246" s="425" t="str">
        <f>IF(N246="","",VLOOKUP(B246,'C-1 On-Site WaterC'' Baseline'!$C$10:$AB$257,19,FALSE))</f>
        <v/>
      </c>
      <c r="R246" s="362" t="str">
        <f>IF(N246="","",VLOOKUP(N246,'G-7 WaterC'' Data'!$B$2:$G$8,2,FALSE))</f>
        <v/>
      </c>
      <c r="S246" s="363" t="str">
        <f>IFERROR(VLOOKUP(R246,'G-7 WaterC'' Data'!$C$4:$D$8,2,FALSE),"")</f>
        <v/>
      </c>
      <c r="T246" s="114"/>
      <c r="U246" s="363" t="str">
        <f>IFERROR(INDEX('G-7 WaterC'' Data'!$H$4:$L$8,MATCH(N246,'G-7 WaterC'' Data'!$B$4:$B$8,0),MATCH(T246,'G-7 WaterC'' Data'!$H$3:$L$3,0)),"")</f>
        <v/>
      </c>
      <c r="V246" s="114"/>
      <c r="W246" s="370" t="str">
        <f>IF(V246="","",IF(VLOOKUP(V246,'G-7 WaterC'' Data'!$AK$4:$AM$6,2,FALSE)=0,"Spatial Data Missing ⚠",VLOOKUP(V246,'G-7 WaterC'' Data'!$AK$4:$AM$6,2,FALSE)))</f>
        <v/>
      </c>
      <c r="X246" s="363" t="str">
        <f>IF(V246="","",IF(VLOOKUP(V246,'G-7 WaterC'' Data'!$AK$4:$AM$6,3,FALSE)=0,"Spatial Data Missing ⚠",VLOOKUP(V246,'G-7 WaterC'' Data'!$AK$4:$AM$6,3,FALSE)))</f>
        <v/>
      </c>
      <c r="Y246" s="362" t="str">
        <f>IFERROR(IF(OR(LEFT(P246,5)="Error",LEFT(O246,5)="Error ▲"),"Check Data ⚠",IF(F246&lt;S246,'G-7 WaterC'' Data'!$R$3,INDEX('G-7 WaterC'' Data'!$U$5:$Y$9,MATCH(G246,'G-7 WaterC'' Data'!$T$5:$T$9,0),MATCH(T246,'G-7 WaterC'' Data'!$U$4:$Y$4,0)))),"")</f>
        <v/>
      </c>
      <c r="Z246" s="159"/>
      <c r="AA246" s="159"/>
      <c r="AB246" s="370" t="str">
        <f t="shared" si="27"/>
        <v/>
      </c>
      <c r="AC246" s="383" t="str">
        <f t="shared" si="28"/>
        <v/>
      </c>
      <c r="AD246" s="422" t="str">
        <f>IFERROR(IF(AC246="Check Data ⚠","Check Data ⚠",VLOOKUP(AC246,'G-4 Temporal multipliers'!$A$4:$C$37,3,FALSE)),"")</f>
        <v/>
      </c>
      <c r="AE246" s="362" t="str">
        <f>IF(N246="","",VLOOKUP(N246,'G-7 WaterC'' Data'!$B$4:$G$8,5,FALSE))</f>
        <v/>
      </c>
      <c r="AF246" s="370" t="str">
        <f t="shared" si="29"/>
        <v/>
      </c>
      <c r="AG246" s="401" t="str">
        <f t="shared" si="30"/>
        <v/>
      </c>
      <c r="AH246" s="363" t="str">
        <f t="shared" si="25"/>
        <v/>
      </c>
      <c r="AI246" s="122"/>
      <c r="AJ246" s="363" t="str">
        <f>IF(AI246="","",IF(VLOOKUP(AI246,'G-7 WaterC'' Data'!$AA$4:$AB$7,2,FALSE)=0,"Spatial Data Missing ⚠",VLOOKUP(AI246,'G-7 WaterC'' Data'!$AA$4:$AB$7,2,FALSE)))</f>
        <v/>
      </c>
      <c r="AK246" s="123"/>
      <c r="AL246" s="363" t="str">
        <f>IF(AK246="","",IF(VLOOKUP(AK246,'G-7 WaterC'' Data'!$AD$4:$AE$14,2,FALSE)=0,"Spatial Data Missing ⚠",VLOOKUP(AK246,'G-7 WaterC'' Data'!$AD$4:$AE$14,2,FALSE)))</f>
        <v/>
      </c>
      <c r="AM246" s="405" t="str">
        <f t="shared" si="31"/>
        <v/>
      </c>
      <c r="AN246" s="117"/>
      <c r="AO246" s="118"/>
      <c r="AP246" s="120"/>
      <c r="AV246" s="30" t="str">
        <f>IFERROR(INDEX('G-7 WaterC'' Data'!$AZ$3:$AZ$7,MATCH(N246,'G-7 WaterC'' Data'!$AY$3:$AY$7,0)),"")</f>
        <v/>
      </c>
    </row>
    <row r="247" spans="2:48" ht="15">
      <c r="B247" s="392" t="str">
        <f>'C-1 On-Site WaterC'' Baseline'!AO245</f>
        <v/>
      </c>
      <c r="C247" s="382" t="str">
        <f>IF(B247="","",VLOOKUP($B247,'C-1 On-Site WaterC'' Baseline'!$C$9:$R$257,2,FALSE))</f>
        <v/>
      </c>
      <c r="D247" s="382" t="str">
        <f>IF(C247="","",VLOOKUP($B247,'C-1 On-Site WaterC'' Baseline'!$C$9:$R$257,3,FALSE))</f>
        <v/>
      </c>
      <c r="E247" s="382" t="str">
        <f>IF(D247="","",VLOOKUP($B247,'C-1 On-Site WaterC'' Baseline'!$C$9:$R$257,4,FALSE))</f>
        <v/>
      </c>
      <c r="F247" s="382" t="str">
        <f>IF(E247="","",VLOOKUP($B247,'C-1 On-Site WaterC'' Baseline'!$C$9:$R$257,5,FALSE))</f>
        <v/>
      </c>
      <c r="G247" s="382" t="str">
        <f>IF(F247="","",VLOOKUP($B247,'C-1 On-Site WaterC'' Baseline'!$C$9:$R$257,6,FALSE))</f>
        <v/>
      </c>
      <c r="H247" s="382" t="str">
        <f>IF(G247="","",VLOOKUP($B247,'C-1 On-Site WaterC'' Baseline'!$C$9:$R$257,7,FALSE))</f>
        <v/>
      </c>
      <c r="I247" s="382" t="str">
        <f>IF(H247="","",VLOOKUP($B247,'C-1 On-Site WaterC'' Baseline'!$C$9:$R$257,8,FALSE))</f>
        <v/>
      </c>
      <c r="J247" s="382" t="str">
        <f>IF(I247="","",VLOOKUP($B247,'C-1 On-Site WaterC'' Baseline'!$C$9:$R$257,9,FALSE))</f>
        <v/>
      </c>
      <c r="K247" s="382" t="str">
        <f>IF(J247="","",VLOOKUP($B247,'C-1 On-Site WaterC'' Baseline'!$C$9:$R$257,10,FALSE))</f>
        <v/>
      </c>
      <c r="L247" s="382" t="str">
        <f>IF(B247="","",VLOOKUP($B247,'C-1 On-Site WaterC'' Baseline'!$C$9:$R$257,15,FALSE))</f>
        <v/>
      </c>
      <c r="M247" s="386" t="str">
        <f>IF(L247="","",VLOOKUP($B247,'C-1 On-Site WaterC'' Baseline'!$C$9:$R$257,16,FALSE))</f>
        <v/>
      </c>
      <c r="N247" s="320" t="str">
        <f t="shared" si="24"/>
        <v/>
      </c>
      <c r="O247" s="362" t="str">
        <f t="shared" si="26"/>
        <v/>
      </c>
      <c r="P247" s="363" t="str">
        <f>IF(C247="","",IF(AND(LEFT(C247,55)&lt;&gt;LEFT(N247,55),O247="High - High"),"Error - Not like for like ▲",IF(H247&gt;U247,"Error - Can not reduce condition ▲",IF(AND(F247=S247,H247=U247,AJ247='C-1 On-Site WaterC'' Baseline'!N245,'C-1 On-Site WaterC'' Baseline'!P245=AL247),"Error - No enhancement ▲",IF(AND(C247&lt;&gt;N247,F247&lt;S247),"Lower Distinctiveness Habitat"&amp;" - "&amp;T247,G247&amp;" - "&amp;T247)))))</f>
        <v/>
      </c>
      <c r="Q247" s="425" t="str">
        <f>IF(N247="","",VLOOKUP(B247,'C-1 On-Site WaterC'' Baseline'!$C$10:$AB$257,19,FALSE))</f>
        <v/>
      </c>
      <c r="R247" s="362" t="str">
        <f>IF(N247="","",VLOOKUP(N247,'G-7 WaterC'' Data'!$B$2:$G$8,2,FALSE))</f>
        <v/>
      </c>
      <c r="S247" s="363" t="str">
        <f>IFERROR(VLOOKUP(R247,'G-7 WaterC'' Data'!$C$4:$D$8,2,FALSE),"")</f>
        <v/>
      </c>
      <c r="T247" s="114"/>
      <c r="U247" s="363" t="str">
        <f>IFERROR(INDEX('G-7 WaterC'' Data'!$H$4:$L$8,MATCH(N247,'G-7 WaterC'' Data'!$B$4:$B$8,0),MATCH(T247,'G-7 WaterC'' Data'!$H$3:$L$3,0)),"")</f>
        <v/>
      </c>
      <c r="V247" s="114"/>
      <c r="W247" s="370" t="str">
        <f>IF(V247="","",IF(VLOOKUP(V247,'G-7 WaterC'' Data'!$AK$4:$AM$6,2,FALSE)=0,"Spatial Data Missing ⚠",VLOOKUP(V247,'G-7 WaterC'' Data'!$AK$4:$AM$6,2,FALSE)))</f>
        <v/>
      </c>
      <c r="X247" s="363" t="str">
        <f>IF(V247="","",IF(VLOOKUP(V247,'G-7 WaterC'' Data'!$AK$4:$AM$6,3,FALSE)=0,"Spatial Data Missing ⚠",VLOOKUP(V247,'G-7 WaterC'' Data'!$AK$4:$AM$6,3,FALSE)))</f>
        <v/>
      </c>
      <c r="Y247" s="362" t="str">
        <f>IFERROR(IF(OR(LEFT(P247,5)="Error",LEFT(O247,5)="Error ▲"),"Check Data ⚠",IF(F247&lt;S247,'G-7 WaterC'' Data'!$R$3,INDEX('G-7 WaterC'' Data'!$U$5:$Y$9,MATCH(G247,'G-7 WaterC'' Data'!$T$5:$T$9,0),MATCH(T247,'G-7 WaterC'' Data'!$U$4:$Y$4,0)))),"")</f>
        <v/>
      </c>
      <c r="Z247" s="159"/>
      <c r="AA247" s="159"/>
      <c r="AB247" s="370" t="str">
        <f t="shared" si="27"/>
        <v/>
      </c>
      <c r="AC247" s="383" t="str">
        <f t="shared" si="28"/>
        <v/>
      </c>
      <c r="AD247" s="422" t="str">
        <f>IFERROR(IF(AC247="Check Data ⚠","Check Data ⚠",VLOOKUP(AC247,'G-4 Temporal multipliers'!$A$4:$C$37,3,FALSE)),"")</f>
        <v/>
      </c>
      <c r="AE247" s="362" t="str">
        <f>IF(N247="","",VLOOKUP(N247,'G-7 WaterC'' Data'!$B$4:$G$8,5,FALSE))</f>
        <v/>
      </c>
      <c r="AF247" s="370" t="str">
        <f t="shared" si="29"/>
        <v/>
      </c>
      <c r="AG247" s="401" t="str">
        <f t="shared" si="30"/>
        <v/>
      </c>
      <c r="AH247" s="363" t="str">
        <f t="shared" si="25"/>
        <v/>
      </c>
      <c r="AI247" s="122"/>
      <c r="AJ247" s="363" t="str">
        <f>IF(AI247="","",IF(VLOOKUP(AI247,'G-7 WaterC'' Data'!$AA$4:$AB$7,2,FALSE)=0,"Spatial Data Missing ⚠",VLOOKUP(AI247,'G-7 WaterC'' Data'!$AA$4:$AB$7,2,FALSE)))</f>
        <v/>
      </c>
      <c r="AK247" s="123"/>
      <c r="AL247" s="363" t="str">
        <f>IF(AK247="","",IF(VLOOKUP(AK247,'G-7 WaterC'' Data'!$AD$4:$AE$14,2,FALSE)=0,"Spatial Data Missing ⚠",VLOOKUP(AK247,'G-7 WaterC'' Data'!$AD$4:$AE$14,2,FALSE)))</f>
        <v/>
      </c>
      <c r="AM247" s="405" t="str">
        <f t="shared" si="31"/>
        <v/>
      </c>
      <c r="AN247" s="117"/>
      <c r="AO247" s="118"/>
      <c r="AP247" s="120"/>
      <c r="AV247" s="30" t="str">
        <f>IFERROR(INDEX('G-7 WaterC'' Data'!$AZ$3:$AZ$7,MATCH(N247,'G-7 WaterC'' Data'!$AY$3:$AY$7,0)),"")</f>
        <v/>
      </c>
    </row>
    <row r="248" spans="2:48" ht="15">
      <c r="B248" s="392" t="str">
        <f>'C-1 On-Site WaterC'' Baseline'!AO246</f>
        <v/>
      </c>
      <c r="C248" s="382" t="str">
        <f>IF(B248="","",VLOOKUP($B248,'C-1 On-Site WaterC'' Baseline'!$C$9:$R$257,2,FALSE))</f>
        <v/>
      </c>
      <c r="D248" s="382" t="str">
        <f>IF(C248="","",VLOOKUP($B248,'C-1 On-Site WaterC'' Baseline'!$C$9:$R$257,3,FALSE))</f>
        <v/>
      </c>
      <c r="E248" s="382" t="str">
        <f>IF(D248="","",VLOOKUP($B248,'C-1 On-Site WaterC'' Baseline'!$C$9:$R$257,4,FALSE))</f>
        <v/>
      </c>
      <c r="F248" s="382" t="str">
        <f>IF(E248="","",VLOOKUP($B248,'C-1 On-Site WaterC'' Baseline'!$C$9:$R$257,5,FALSE))</f>
        <v/>
      </c>
      <c r="G248" s="382" t="str">
        <f>IF(F248="","",VLOOKUP($B248,'C-1 On-Site WaterC'' Baseline'!$C$9:$R$257,6,FALSE))</f>
        <v/>
      </c>
      <c r="H248" s="382" t="str">
        <f>IF(G248="","",VLOOKUP($B248,'C-1 On-Site WaterC'' Baseline'!$C$9:$R$257,7,FALSE))</f>
        <v/>
      </c>
      <c r="I248" s="382" t="str">
        <f>IF(H248="","",VLOOKUP($B248,'C-1 On-Site WaterC'' Baseline'!$C$9:$R$257,8,FALSE))</f>
        <v/>
      </c>
      <c r="J248" s="382" t="str">
        <f>IF(I248="","",VLOOKUP($B248,'C-1 On-Site WaterC'' Baseline'!$C$9:$R$257,9,FALSE))</f>
        <v/>
      </c>
      <c r="K248" s="382" t="str">
        <f>IF(J248="","",VLOOKUP($B248,'C-1 On-Site WaterC'' Baseline'!$C$9:$R$257,10,FALSE))</f>
        <v/>
      </c>
      <c r="L248" s="382" t="str">
        <f>IF(B248="","",VLOOKUP($B248,'C-1 On-Site WaterC'' Baseline'!$C$9:$R$257,15,FALSE))</f>
        <v/>
      </c>
      <c r="M248" s="386" t="str">
        <f>IF(L248="","",VLOOKUP($B248,'C-1 On-Site WaterC'' Baseline'!$C$9:$R$257,16,FALSE))</f>
        <v/>
      </c>
      <c r="N248" s="320" t="str">
        <f t="shared" si="24"/>
        <v/>
      </c>
      <c r="O248" s="362" t="str">
        <f t="shared" si="26"/>
        <v/>
      </c>
      <c r="P248" s="363" t="str">
        <f>IF(C248="","",IF(AND(LEFT(C248,55)&lt;&gt;LEFT(N248,55),O248="High - High"),"Error - Not like for like ▲",IF(H248&gt;U248,"Error - Can not reduce condition ▲",IF(AND(F248=S248,H248=U248,AJ248='C-1 On-Site WaterC'' Baseline'!N246,'C-1 On-Site WaterC'' Baseline'!P246=AL248),"Error - No enhancement ▲",IF(AND(C248&lt;&gt;N248,F248&lt;S248),"Lower Distinctiveness Habitat"&amp;" - "&amp;T248,G248&amp;" - "&amp;T248)))))</f>
        <v/>
      </c>
      <c r="Q248" s="425" t="str">
        <f>IF(N248="","",VLOOKUP(B248,'C-1 On-Site WaterC'' Baseline'!$C$10:$AB$257,19,FALSE))</f>
        <v/>
      </c>
      <c r="R248" s="362" t="str">
        <f>IF(N248="","",VLOOKUP(N248,'G-7 WaterC'' Data'!$B$2:$G$8,2,FALSE))</f>
        <v/>
      </c>
      <c r="S248" s="363" t="str">
        <f>IFERROR(VLOOKUP(R248,'G-7 WaterC'' Data'!$C$4:$D$8,2,FALSE),"")</f>
        <v/>
      </c>
      <c r="T248" s="114"/>
      <c r="U248" s="363" t="str">
        <f>IFERROR(INDEX('G-7 WaterC'' Data'!$H$4:$L$8,MATCH(N248,'G-7 WaterC'' Data'!$B$4:$B$8,0),MATCH(T248,'G-7 WaterC'' Data'!$H$3:$L$3,0)),"")</f>
        <v/>
      </c>
      <c r="V248" s="114"/>
      <c r="W248" s="370" t="str">
        <f>IF(V248="","",IF(VLOOKUP(V248,'G-7 WaterC'' Data'!$AK$4:$AM$6,2,FALSE)=0,"Spatial Data Missing ⚠",VLOOKUP(V248,'G-7 WaterC'' Data'!$AK$4:$AM$6,2,FALSE)))</f>
        <v/>
      </c>
      <c r="X248" s="363" t="str">
        <f>IF(V248="","",IF(VLOOKUP(V248,'G-7 WaterC'' Data'!$AK$4:$AM$6,3,FALSE)=0,"Spatial Data Missing ⚠",VLOOKUP(V248,'G-7 WaterC'' Data'!$AK$4:$AM$6,3,FALSE)))</f>
        <v/>
      </c>
      <c r="Y248" s="362" t="str">
        <f>IFERROR(IF(OR(LEFT(P248,5)="Error",LEFT(O248,5)="Error ▲"),"Check Data ⚠",IF(F248&lt;S248,'G-7 WaterC'' Data'!$R$3,INDEX('G-7 WaterC'' Data'!$U$5:$Y$9,MATCH(G248,'G-7 WaterC'' Data'!$T$5:$T$9,0),MATCH(T248,'G-7 WaterC'' Data'!$U$4:$Y$4,0)))),"")</f>
        <v/>
      </c>
      <c r="Z248" s="159"/>
      <c r="AA248" s="159"/>
      <c r="AB248" s="370" t="str">
        <f t="shared" si="27"/>
        <v/>
      </c>
      <c r="AC248" s="383" t="str">
        <f t="shared" si="28"/>
        <v/>
      </c>
      <c r="AD248" s="422" t="str">
        <f>IFERROR(IF(AC248="Check Data ⚠","Check Data ⚠",VLOOKUP(AC248,'G-4 Temporal multipliers'!$A$4:$C$37,3,FALSE)),"")</f>
        <v/>
      </c>
      <c r="AE248" s="362" t="str">
        <f>IF(N248="","",VLOOKUP(N248,'G-7 WaterC'' Data'!$B$4:$G$8,5,FALSE))</f>
        <v/>
      </c>
      <c r="AF248" s="370" t="str">
        <f t="shared" si="29"/>
        <v/>
      </c>
      <c r="AG248" s="401" t="str">
        <f t="shared" si="30"/>
        <v/>
      </c>
      <c r="AH248" s="363" t="str">
        <f t="shared" si="25"/>
        <v/>
      </c>
      <c r="AI248" s="122"/>
      <c r="AJ248" s="363" t="str">
        <f>IF(AI248="","",IF(VLOOKUP(AI248,'G-7 WaterC'' Data'!$AA$4:$AB$7,2,FALSE)=0,"Spatial Data Missing ⚠",VLOOKUP(AI248,'G-7 WaterC'' Data'!$AA$4:$AB$7,2,FALSE)))</f>
        <v/>
      </c>
      <c r="AK248" s="123"/>
      <c r="AL248" s="363" t="str">
        <f>IF(AK248="","",IF(VLOOKUP(AK248,'G-7 WaterC'' Data'!$AD$4:$AE$14,2,FALSE)=0,"Spatial Data Missing ⚠",VLOOKUP(AK248,'G-7 WaterC'' Data'!$AD$4:$AE$14,2,FALSE)))</f>
        <v/>
      </c>
      <c r="AM248" s="405" t="str">
        <f t="shared" si="31"/>
        <v/>
      </c>
      <c r="AN248" s="117"/>
      <c r="AO248" s="118"/>
      <c r="AP248" s="120"/>
      <c r="AV248" s="30" t="str">
        <f>IFERROR(INDEX('G-7 WaterC'' Data'!$AZ$3:$AZ$7,MATCH(N248,'G-7 WaterC'' Data'!$AY$3:$AY$7,0)),"")</f>
        <v/>
      </c>
    </row>
    <row r="249" spans="2:48" ht="15">
      <c r="B249" s="392" t="str">
        <f>'C-1 On-Site WaterC'' Baseline'!AO247</f>
        <v/>
      </c>
      <c r="C249" s="382" t="str">
        <f>IF(B249="","",VLOOKUP($B249,'C-1 On-Site WaterC'' Baseline'!$C$9:$R$257,2,FALSE))</f>
        <v/>
      </c>
      <c r="D249" s="382" t="str">
        <f>IF(C249="","",VLOOKUP($B249,'C-1 On-Site WaterC'' Baseline'!$C$9:$R$257,3,FALSE))</f>
        <v/>
      </c>
      <c r="E249" s="382" t="str">
        <f>IF(D249="","",VLOOKUP($B249,'C-1 On-Site WaterC'' Baseline'!$C$9:$R$257,4,FALSE))</f>
        <v/>
      </c>
      <c r="F249" s="382" t="str">
        <f>IF(E249="","",VLOOKUP($B249,'C-1 On-Site WaterC'' Baseline'!$C$9:$R$257,5,FALSE))</f>
        <v/>
      </c>
      <c r="G249" s="382" t="str">
        <f>IF(F249="","",VLOOKUP($B249,'C-1 On-Site WaterC'' Baseline'!$C$9:$R$257,6,FALSE))</f>
        <v/>
      </c>
      <c r="H249" s="382" t="str">
        <f>IF(G249="","",VLOOKUP($B249,'C-1 On-Site WaterC'' Baseline'!$C$9:$R$257,7,FALSE))</f>
        <v/>
      </c>
      <c r="I249" s="382" t="str">
        <f>IF(H249="","",VLOOKUP($B249,'C-1 On-Site WaterC'' Baseline'!$C$9:$R$257,8,FALSE))</f>
        <v/>
      </c>
      <c r="J249" s="382" t="str">
        <f>IF(I249="","",VLOOKUP($B249,'C-1 On-Site WaterC'' Baseline'!$C$9:$R$257,9,FALSE))</f>
        <v/>
      </c>
      <c r="K249" s="382" t="str">
        <f>IF(J249="","",VLOOKUP($B249,'C-1 On-Site WaterC'' Baseline'!$C$9:$R$257,10,FALSE))</f>
        <v/>
      </c>
      <c r="L249" s="382" t="str">
        <f>IF(B249="","",VLOOKUP($B249,'C-1 On-Site WaterC'' Baseline'!$C$9:$R$257,15,FALSE))</f>
        <v/>
      </c>
      <c r="M249" s="386" t="str">
        <f>IF(L249="","",VLOOKUP($B249,'C-1 On-Site WaterC'' Baseline'!$C$9:$R$257,16,FALSE))</f>
        <v/>
      </c>
      <c r="N249" s="320" t="str">
        <f t="shared" si="24"/>
        <v/>
      </c>
      <c r="O249" s="362" t="str">
        <f t="shared" si="26"/>
        <v/>
      </c>
      <c r="P249" s="363" t="str">
        <f>IF(C249="","",IF(AND(LEFT(C249,55)&lt;&gt;LEFT(N249,55),O249="High - High"),"Error - Not like for like ▲",IF(H249&gt;U249,"Error - Can not reduce condition ▲",IF(AND(F249=S249,H249=U249,AJ249='C-1 On-Site WaterC'' Baseline'!N247,'C-1 On-Site WaterC'' Baseline'!P247=AL249),"Error - No enhancement ▲",IF(AND(C249&lt;&gt;N249,F249&lt;S249),"Lower Distinctiveness Habitat"&amp;" - "&amp;T249,G249&amp;" - "&amp;T249)))))</f>
        <v/>
      </c>
      <c r="Q249" s="425" t="str">
        <f>IF(N249="","",VLOOKUP(B249,'C-1 On-Site WaterC'' Baseline'!$C$10:$AB$257,19,FALSE))</f>
        <v/>
      </c>
      <c r="R249" s="362" t="str">
        <f>IF(N249="","",VLOOKUP(N249,'G-7 WaterC'' Data'!$B$2:$G$8,2,FALSE))</f>
        <v/>
      </c>
      <c r="S249" s="363" t="str">
        <f>IFERROR(VLOOKUP(R249,'G-7 WaterC'' Data'!$C$4:$D$8,2,FALSE),"")</f>
        <v/>
      </c>
      <c r="T249" s="114"/>
      <c r="U249" s="363" t="str">
        <f>IFERROR(INDEX('G-7 WaterC'' Data'!$H$4:$L$8,MATCH(N249,'G-7 WaterC'' Data'!$B$4:$B$8,0),MATCH(T249,'G-7 WaterC'' Data'!$H$3:$L$3,0)),"")</f>
        <v/>
      </c>
      <c r="V249" s="114"/>
      <c r="W249" s="370" t="str">
        <f>IF(V249="","",IF(VLOOKUP(V249,'G-7 WaterC'' Data'!$AK$4:$AM$6,2,FALSE)=0,"Spatial Data Missing ⚠",VLOOKUP(V249,'G-7 WaterC'' Data'!$AK$4:$AM$6,2,FALSE)))</f>
        <v/>
      </c>
      <c r="X249" s="363" t="str">
        <f>IF(V249="","",IF(VLOOKUP(V249,'G-7 WaterC'' Data'!$AK$4:$AM$6,3,FALSE)=0,"Spatial Data Missing ⚠",VLOOKUP(V249,'G-7 WaterC'' Data'!$AK$4:$AM$6,3,FALSE)))</f>
        <v/>
      </c>
      <c r="Y249" s="362" t="str">
        <f>IFERROR(IF(OR(LEFT(P249,5)="Error",LEFT(O249,5)="Error ▲"),"Check Data ⚠",IF(F249&lt;S249,'G-7 WaterC'' Data'!$R$3,INDEX('G-7 WaterC'' Data'!$U$5:$Y$9,MATCH(G249,'G-7 WaterC'' Data'!$T$5:$T$9,0),MATCH(T249,'G-7 WaterC'' Data'!$U$4:$Y$4,0)))),"")</f>
        <v/>
      </c>
      <c r="Z249" s="159"/>
      <c r="AA249" s="159"/>
      <c r="AB249" s="370" t="str">
        <f t="shared" si="27"/>
        <v/>
      </c>
      <c r="AC249" s="383" t="str">
        <f t="shared" si="28"/>
        <v/>
      </c>
      <c r="AD249" s="422" t="str">
        <f>IFERROR(IF(AC249="Check Data ⚠","Check Data ⚠",VLOOKUP(AC249,'G-4 Temporal multipliers'!$A$4:$C$37,3,FALSE)),"")</f>
        <v/>
      </c>
      <c r="AE249" s="362" t="str">
        <f>IF(N249="","",VLOOKUP(N249,'G-7 WaterC'' Data'!$B$4:$G$8,5,FALSE))</f>
        <v/>
      </c>
      <c r="AF249" s="370" t="str">
        <f t="shared" si="29"/>
        <v/>
      </c>
      <c r="AG249" s="401" t="str">
        <f t="shared" si="30"/>
        <v/>
      </c>
      <c r="AH249" s="363" t="str">
        <f t="shared" si="25"/>
        <v/>
      </c>
      <c r="AI249" s="122"/>
      <c r="AJ249" s="363" t="str">
        <f>IF(AI249="","",IF(VLOOKUP(AI249,'G-7 WaterC'' Data'!$AA$4:$AB$7,2,FALSE)=0,"Spatial Data Missing ⚠",VLOOKUP(AI249,'G-7 WaterC'' Data'!$AA$4:$AB$7,2,FALSE)))</f>
        <v/>
      </c>
      <c r="AK249" s="123"/>
      <c r="AL249" s="363" t="str">
        <f>IF(AK249="","",IF(VLOOKUP(AK249,'G-7 WaterC'' Data'!$AD$4:$AE$14,2,FALSE)=0,"Spatial Data Missing ⚠",VLOOKUP(AK249,'G-7 WaterC'' Data'!$AD$4:$AE$14,2,FALSE)))</f>
        <v/>
      </c>
      <c r="AM249" s="405" t="str">
        <f t="shared" si="31"/>
        <v/>
      </c>
      <c r="AN249" s="117"/>
      <c r="AO249" s="118"/>
      <c r="AP249" s="120"/>
      <c r="AV249" s="30" t="str">
        <f>IFERROR(INDEX('G-7 WaterC'' Data'!$AZ$3:$AZ$7,MATCH(N249,'G-7 WaterC'' Data'!$AY$3:$AY$7,0)),"")</f>
        <v/>
      </c>
    </row>
    <row r="250" spans="2:48" ht="15">
      <c r="B250" s="392" t="str">
        <f>'C-1 On-Site WaterC'' Baseline'!AO248</f>
        <v/>
      </c>
      <c r="C250" s="382" t="str">
        <f>IF(B250="","",VLOOKUP($B250,'C-1 On-Site WaterC'' Baseline'!$C$9:$R$257,2,FALSE))</f>
        <v/>
      </c>
      <c r="D250" s="382" t="str">
        <f>IF(C250="","",VLOOKUP($B250,'C-1 On-Site WaterC'' Baseline'!$C$9:$R$257,3,FALSE))</f>
        <v/>
      </c>
      <c r="E250" s="382" t="str">
        <f>IF(D250="","",VLOOKUP($B250,'C-1 On-Site WaterC'' Baseline'!$C$9:$R$257,4,FALSE))</f>
        <v/>
      </c>
      <c r="F250" s="382" t="str">
        <f>IF(E250="","",VLOOKUP($B250,'C-1 On-Site WaterC'' Baseline'!$C$9:$R$257,5,FALSE))</f>
        <v/>
      </c>
      <c r="G250" s="382" t="str">
        <f>IF(F250="","",VLOOKUP($B250,'C-1 On-Site WaterC'' Baseline'!$C$9:$R$257,6,FALSE))</f>
        <v/>
      </c>
      <c r="H250" s="382" t="str">
        <f>IF(G250="","",VLOOKUP($B250,'C-1 On-Site WaterC'' Baseline'!$C$9:$R$257,7,FALSE))</f>
        <v/>
      </c>
      <c r="I250" s="382" t="str">
        <f>IF(H250="","",VLOOKUP($B250,'C-1 On-Site WaterC'' Baseline'!$C$9:$R$257,8,FALSE))</f>
        <v/>
      </c>
      <c r="J250" s="382" t="str">
        <f>IF(I250="","",VLOOKUP($B250,'C-1 On-Site WaterC'' Baseline'!$C$9:$R$257,9,FALSE))</f>
        <v/>
      </c>
      <c r="K250" s="382" t="str">
        <f>IF(J250="","",VLOOKUP($B250,'C-1 On-Site WaterC'' Baseline'!$C$9:$R$257,10,FALSE))</f>
        <v/>
      </c>
      <c r="L250" s="382" t="str">
        <f>IF(B250="","",VLOOKUP($B250,'C-1 On-Site WaterC'' Baseline'!$C$9:$R$257,15,FALSE))</f>
        <v/>
      </c>
      <c r="M250" s="386" t="str">
        <f>IF(L250="","",VLOOKUP($B250,'C-1 On-Site WaterC'' Baseline'!$C$9:$R$257,16,FALSE))</f>
        <v/>
      </c>
      <c r="N250" s="320" t="str">
        <f t="shared" si="24"/>
        <v/>
      </c>
      <c r="O250" s="362" t="str">
        <f t="shared" si="26"/>
        <v/>
      </c>
      <c r="P250" s="363" t="str">
        <f>IF(C250="","",IF(AND(LEFT(C250,55)&lt;&gt;LEFT(N250,55),O250="High - High"),"Error - Not like for like ▲",IF(H250&gt;U250,"Error - Can not reduce condition ▲",IF(AND(F250=S250,H250=U250,AJ250='C-1 On-Site WaterC'' Baseline'!N248,'C-1 On-Site WaterC'' Baseline'!P248=AL250),"Error - No enhancement ▲",IF(AND(C250&lt;&gt;N250,F250&lt;S250),"Lower Distinctiveness Habitat"&amp;" - "&amp;T250,G250&amp;" - "&amp;T250)))))</f>
        <v/>
      </c>
      <c r="Q250" s="425" t="str">
        <f>IF(N250="","",VLOOKUP(B250,'C-1 On-Site WaterC'' Baseline'!$C$10:$AB$257,19,FALSE))</f>
        <v/>
      </c>
      <c r="R250" s="362" t="str">
        <f>IF(N250="","",VLOOKUP(N250,'G-7 WaterC'' Data'!$B$2:$G$8,2,FALSE))</f>
        <v/>
      </c>
      <c r="S250" s="363" t="str">
        <f>IFERROR(VLOOKUP(R250,'G-7 WaterC'' Data'!$C$4:$D$8,2,FALSE),"")</f>
        <v/>
      </c>
      <c r="T250" s="114"/>
      <c r="U250" s="363" t="str">
        <f>IFERROR(INDEX('G-7 WaterC'' Data'!$H$4:$L$8,MATCH(N250,'G-7 WaterC'' Data'!$B$4:$B$8,0),MATCH(T250,'G-7 WaterC'' Data'!$H$3:$L$3,0)),"")</f>
        <v/>
      </c>
      <c r="V250" s="114"/>
      <c r="W250" s="370" t="str">
        <f>IF(V250="","",IF(VLOOKUP(V250,'G-7 WaterC'' Data'!$AK$4:$AM$6,2,FALSE)=0,"Spatial Data Missing ⚠",VLOOKUP(V250,'G-7 WaterC'' Data'!$AK$4:$AM$6,2,FALSE)))</f>
        <v/>
      </c>
      <c r="X250" s="363" t="str">
        <f>IF(V250="","",IF(VLOOKUP(V250,'G-7 WaterC'' Data'!$AK$4:$AM$6,3,FALSE)=0,"Spatial Data Missing ⚠",VLOOKUP(V250,'G-7 WaterC'' Data'!$AK$4:$AM$6,3,FALSE)))</f>
        <v/>
      </c>
      <c r="Y250" s="362" t="str">
        <f>IFERROR(IF(OR(LEFT(P250,5)="Error",LEFT(O250,5)="Error ▲"),"Check Data ⚠",IF(F250&lt;S250,'G-7 WaterC'' Data'!$R$3,INDEX('G-7 WaterC'' Data'!$U$5:$Y$9,MATCH(G250,'G-7 WaterC'' Data'!$T$5:$T$9,0),MATCH(T250,'G-7 WaterC'' Data'!$U$4:$Y$4,0)))),"")</f>
        <v/>
      </c>
      <c r="Z250" s="159"/>
      <c r="AA250" s="159"/>
      <c r="AB250" s="370" t="str">
        <f t="shared" si="27"/>
        <v/>
      </c>
      <c r="AC250" s="383" t="str">
        <f t="shared" si="28"/>
        <v/>
      </c>
      <c r="AD250" s="422" t="str">
        <f>IFERROR(IF(AC250="Check Data ⚠","Check Data ⚠",VLOOKUP(AC250,'G-4 Temporal multipliers'!$A$4:$C$37,3,FALSE)),"")</f>
        <v/>
      </c>
      <c r="AE250" s="362" t="str">
        <f>IF(N250="","",VLOOKUP(N250,'G-7 WaterC'' Data'!$B$4:$G$8,5,FALSE))</f>
        <v/>
      </c>
      <c r="AF250" s="370" t="str">
        <f t="shared" si="29"/>
        <v/>
      </c>
      <c r="AG250" s="401" t="str">
        <f t="shared" si="30"/>
        <v/>
      </c>
      <c r="AH250" s="363" t="str">
        <f t="shared" si="25"/>
        <v/>
      </c>
      <c r="AI250" s="122"/>
      <c r="AJ250" s="363" t="str">
        <f>IF(AI250="","",IF(VLOOKUP(AI250,'G-7 WaterC'' Data'!$AA$4:$AB$7,2,FALSE)=0,"Spatial Data Missing ⚠",VLOOKUP(AI250,'G-7 WaterC'' Data'!$AA$4:$AB$7,2,FALSE)))</f>
        <v/>
      </c>
      <c r="AK250" s="123"/>
      <c r="AL250" s="363" t="str">
        <f>IF(AK250="","",IF(VLOOKUP(AK250,'G-7 WaterC'' Data'!$AD$4:$AE$14,2,FALSE)=0,"Spatial Data Missing ⚠",VLOOKUP(AK250,'G-7 WaterC'' Data'!$AD$4:$AE$14,2,FALSE)))</f>
        <v/>
      </c>
      <c r="AM250" s="405" t="str">
        <f t="shared" si="31"/>
        <v/>
      </c>
      <c r="AN250" s="117"/>
      <c r="AO250" s="118"/>
      <c r="AP250" s="120"/>
      <c r="AV250" s="30" t="str">
        <f>IFERROR(INDEX('G-7 WaterC'' Data'!$AZ$3:$AZ$7,MATCH(N250,'G-7 WaterC'' Data'!$AY$3:$AY$7,0)),"")</f>
        <v/>
      </c>
    </row>
    <row r="251" spans="2:48" ht="15">
      <c r="B251" s="392" t="str">
        <f>'C-1 On-Site WaterC'' Baseline'!AO249</f>
        <v/>
      </c>
      <c r="C251" s="382" t="str">
        <f>IF(B251="","",VLOOKUP($B251,'C-1 On-Site WaterC'' Baseline'!$C$9:$R$257,2,FALSE))</f>
        <v/>
      </c>
      <c r="D251" s="382" t="str">
        <f>IF(C251="","",VLOOKUP($B251,'C-1 On-Site WaterC'' Baseline'!$C$9:$R$257,3,FALSE))</f>
        <v/>
      </c>
      <c r="E251" s="382" t="str">
        <f>IF(D251="","",VLOOKUP($B251,'C-1 On-Site WaterC'' Baseline'!$C$9:$R$257,4,FALSE))</f>
        <v/>
      </c>
      <c r="F251" s="382" t="str">
        <f>IF(E251="","",VLOOKUP($B251,'C-1 On-Site WaterC'' Baseline'!$C$9:$R$257,5,FALSE))</f>
        <v/>
      </c>
      <c r="G251" s="382" t="str">
        <f>IF(F251="","",VLOOKUP($B251,'C-1 On-Site WaterC'' Baseline'!$C$9:$R$257,6,FALSE))</f>
        <v/>
      </c>
      <c r="H251" s="382" t="str">
        <f>IF(G251="","",VLOOKUP($B251,'C-1 On-Site WaterC'' Baseline'!$C$9:$R$257,7,FALSE))</f>
        <v/>
      </c>
      <c r="I251" s="382" t="str">
        <f>IF(H251="","",VLOOKUP($B251,'C-1 On-Site WaterC'' Baseline'!$C$9:$R$257,8,FALSE))</f>
        <v/>
      </c>
      <c r="J251" s="382" t="str">
        <f>IF(I251="","",VLOOKUP($B251,'C-1 On-Site WaterC'' Baseline'!$C$9:$R$257,9,FALSE))</f>
        <v/>
      </c>
      <c r="K251" s="382" t="str">
        <f>IF(J251="","",VLOOKUP($B251,'C-1 On-Site WaterC'' Baseline'!$C$9:$R$257,10,FALSE))</f>
        <v/>
      </c>
      <c r="L251" s="382" t="str">
        <f>IF(B251="","",VLOOKUP($B251,'C-1 On-Site WaterC'' Baseline'!$C$9:$R$257,15,FALSE))</f>
        <v/>
      </c>
      <c r="M251" s="386" t="str">
        <f>IF(L251="","",VLOOKUP($B251,'C-1 On-Site WaterC'' Baseline'!$C$9:$R$257,16,FALSE))</f>
        <v/>
      </c>
      <c r="N251" s="320" t="str">
        <f t="shared" si="24"/>
        <v/>
      </c>
      <c r="O251" s="362" t="str">
        <f t="shared" si="26"/>
        <v/>
      </c>
      <c r="P251" s="363" t="str">
        <f>IF(C251="","",IF(AND(LEFT(C251,55)&lt;&gt;LEFT(N251,55),O251="High - High"),"Error - Not like for like ▲",IF(H251&gt;U251,"Error - Can not reduce condition ▲",IF(AND(F251=S251,H251=U251,AJ251='C-1 On-Site WaterC'' Baseline'!N249,'C-1 On-Site WaterC'' Baseline'!P249=AL251),"Error - No enhancement ▲",IF(AND(C251&lt;&gt;N251,F251&lt;S251),"Lower Distinctiveness Habitat"&amp;" - "&amp;T251,G251&amp;" - "&amp;T251)))))</f>
        <v/>
      </c>
      <c r="Q251" s="425" t="str">
        <f>IF(N251="","",VLOOKUP(B251,'C-1 On-Site WaterC'' Baseline'!$C$10:$AB$257,19,FALSE))</f>
        <v/>
      </c>
      <c r="R251" s="362" t="str">
        <f>IF(N251="","",VLOOKUP(N251,'G-7 WaterC'' Data'!$B$2:$G$8,2,FALSE))</f>
        <v/>
      </c>
      <c r="S251" s="363" t="str">
        <f>IFERROR(VLOOKUP(R251,'G-7 WaterC'' Data'!$C$4:$D$8,2,FALSE),"")</f>
        <v/>
      </c>
      <c r="T251" s="114"/>
      <c r="U251" s="363" t="str">
        <f>IFERROR(INDEX('G-7 WaterC'' Data'!$H$4:$L$8,MATCH(N251,'G-7 WaterC'' Data'!$B$4:$B$8,0),MATCH(T251,'G-7 WaterC'' Data'!$H$3:$L$3,0)),"")</f>
        <v/>
      </c>
      <c r="V251" s="114"/>
      <c r="W251" s="370" t="str">
        <f>IF(V251="","",IF(VLOOKUP(V251,'G-7 WaterC'' Data'!$AK$4:$AM$6,2,FALSE)=0,"Spatial Data Missing ⚠",VLOOKUP(V251,'G-7 WaterC'' Data'!$AK$4:$AM$6,2,FALSE)))</f>
        <v/>
      </c>
      <c r="X251" s="363" t="str">
        <f>IF(V251="","",IF(VLOOKUP(V251,'G-7 WaterC'' Data'!$AK$4:$AM$6,3,FALSE)=0,"Spatial Data Missing ⚠",VLOOKUP(V251,'G-7 WaterC'' Data'!$AK$4:$AM$6,3,FALSE)))</f>
        <v/>
      </c>
      <c r="Y251" s="362" t="str">
        <f>IFERROR(IF(OR(LEFT(P251,5)="Error",LEFT(O251,5)="Error ▲"),"Check Data ⚠",IF(F251&lt;S251,'G-7 WaterC'' Data'!$R$3,INDEX('G-7 WaterC'' Data'!$U$5:$Y$9,MATCH(G251,'G-7 WaterC'' Data'!$T$5:$T$9,0),MATCH(T251,'G-7 WaterC'' Data'!$U$4:$Y$4,0)))),"")</f>
        <v/>
      </c>
      <c r="Z251" s="159"/>
      <c r="AA251" s="159"/>
      <c r="AB251" s="370" t="str">
        <f t="shared" si="27"/>
        <v/>
      </c>
      <c r="AC251" s="383" t="str">
        <f t="shared" si="28"/>
        <v/>
      </c>
      <c r="AD251" s="422" t="str">
        <f>IFERROR(IF(AC251="Check Data ⚠","Check Data ⚠",VLOOKUP(AC251,'G-4 Temporal multipliers'!$A$4:$C$37,3,FALSE)),"")</f>
        <v/>
      </c>
      <c r="AE251" s="362" t="str">
        <f>IF(N251="","",VLOOKUP(N251,'G-7 WaterC'' Data'!$B$4:$G$8,5,FALSE))</f>
        <v/>
      </c>
      <c r="AF251" s="370" t="str">
        <f t="shared" si="29"/>
        <v/>
      </c>
      <c r="AG251" s="401" t="str">
        <f t="shared" si="30"/>
        <v/>
      </c>
      <c r="AH251" s="363" t="str">
        <f t="shared" si="25"/>
        <v/>
      </c>
      <c r="AI251" s="122"/>
      <c r="AJ251" s="363" t="str">
        <f>IF(AI251="","",IF(VLOOKUP(AI251,'G-7 WaterC'' Data'!$AA$4:$AB$7,2,FALSE)=0,"Spatial Data Missing ⚠",VLOOKUP(AI251,'G-7 WaterC'' Data'!$AA$4:$AB$7,2,FALSE)))</f>
        <v/>
      </c>
      <c r="AK251" s="123"/>
      <c r="AL251" s="363" t="str">
        <f>IF(AK251="","",IF(VLOOKUP(AK251,'G-7 WaterC'' Data'!$AD$4:$AE$14,2,FALSE)=0,"Spatial Data Missing ⚠",VLOOKUP(AK251,'G-7 WaterC'' Data'!$AD$4:$AE$14,2,FALSE)))</f>
        <v/>
      </c>
      <c r="AM251" s="405" t="str">
        <f t="shared" si="31"/>
        <v/>
      </c>
      <c r="AN251" s="117"/>
      <c r="AO251" s="118"/>
      <c r="AP251" s="120"/>
      <c r="AV251" s="30" t="str">
        <f>IFERROR(INDEX('G-7 WaterC'' Data'!$AZ$3:$AZ$7,MATCH(N251,'G-7 WaterC'' Data'!$AY$3:$AY$7,0)),"")</f>
        <v/>
      </c>
    </row>
    <row r="252" spans="2:48" ht="15">
      <c r="B252" s="392" t="str">
        <f>'C-1 On-Site WaterC'' Baseline'!AO250</f>
        <v/>
      </c>
      <c r="C252" s="382" t="str">
        <f>IF(B252="","",VLOOKUP($B252,'C-1 On-Site WaterC'' Baseline'!$C$9:$R$257,2,FALSE))</f>
        <v/>
      </c>
      <c r="D252" s="382" t="str">
        <f>IF(C252="","",VLOOKUP($B252,'C-1 On-Site WaterC'' Baseline'!$C$9:$R$257,3,FALSE))</f>
        <v/>
      </c>
      <c r="E252" s="382" t="str">
        <f>IF(D252="","",VLOOKUP($B252,'C-1 On-Site WaterC'' Baseline'!$C$9:$R$257,4,FALSE))</f>
        <v/>
      </c>
      <c r="F252" s="382" t="str">
        <f>IF(E252="","",VLOOKUP($B252,'C-1 On-Site WaterC'' Baseline'!$C$9:$R$257,5,FALSE))</f>
        <v/>
      </c>
      <c r="G252" s="382" t="str">
        <f>IF(F252="","",VLOOKUP($B252,'C-1 On-Site WaterC'' Baseline'!$C$9:$R$257,6,FALSE))</f>
        <v/>
      </c>
      <c r="H252" s="382" t="str">
        <f>IF(G252="","",VLOOKUP($B252,'C-1 On-Site WaterC'' Baseline'!$C$9:$R$257,7,FALSE))</f>
        <v/>
      </c>
      <c r="I252" s="382" t="str">
        <f>IF(H252="","",VLOOKUP($B252,'C-1 On-Site WaterC'' Baseline'!$C$9:$R$257,8,FALSE))</f>
        <v/>
      </c>
      <c r="J252" s="382" t="str">
        <f>IF(I252="","",VLOOKUP($B252,'C-1 On-Site WaterC'' Baseline'!$C$9:$R$257,9,FALSE))</f>
        <v/>
      </c>
      <c r="K252" s="382" t="str">
        <f>IF(J252="","",VLOOKUP($B252,'C-1 On-Site WaterC'' Baseline'!$C$9:$R$257,10,FALSE))</f>
        <v/>
      </c>
      <c r="L252" s="382" t="str">
        <f>IF(B252="","",VLOOKUP($B252,'C-1 On-Site WaterC'' Baseline'!$C$9:$R$257,15,FALSE))</f>
        <v/>
      </c>
      <c r="M252" s="386" t="str">
        <f>IF(L252="","",VLOOKUP($B252,'C-1 On-Site WaterC'' Baseline'!$C$9:$R$257,16,FALSE))</f>
        <v/>
      </c>
      <c r="N252" s="320" t="str">
        <f t="shared" si="24"/>
        <v/>
      </c>
      <c r="O252" s="362" t="str">
        <f t="shared" si="26"/>
        <v/>
      </c>
      <c r="P252" s="363" t="str">
        <f>IF(C252="","",IF(AND(LEFT(C252,55)&lt;&gt;LEFT(N252,55),O252="High - High"),"Error - Not like for like ▲",IF(H252&gt;U252,"Error - Can not reduce condition ▲",IF(AND(F252=S252,H252=U252,AJ252='C-1 On-Site WaterC'' Baseline'!N250,'C-1 On-Site WaterC'' Baseline'!P250=AL252),"Error - No enhancement ▲",IF(AND(C252&lt;&gt;N252,F252&lt;S252),"Lower Distinctiveness Habitat"&amp;" - "&amp;T252,G252&amp;" - "&amp;T252)))))</f>
        <v/>
      </c>
      <c r="Q252" s="425" t="str">
        <f>IF(N252="","",VLOOKUP(B252,'C-1 On-Site WaterC'' Baseline'!$C$10:$AB$257,19,FALSE))</f>
        <v/>
      </c>
      <c r="R252" s="362" t="str">
        <f>IF(N252="","",VLOOKUP(N252,'G-7 WaterC'' Data'!$B$2:$G$8,2,FALSE))</f>
        <v/>
      </c>
      <c r="S252" s="363" t="str">
        <f>IFERROR(VLOOKUP(R252,'G-7 WaterC'' Data'!$C$4:$D$8,2,FALSE),"")</f>
        <v/>
      </c>
      <c r="T252" s="114"/>
      <c r="U252" s="363" t="str">
        <f>IFERROR(INDEX('G-7 WaterC'' Data'!$H$4:$L$8,MATCH(N252,'G-7 WaterC'' Data'!$B$4:$B$8,0),MATCH(T252,'G-7 WaterC'' Data'!$H$3:$L$3,0)),"")</f>
        <v/>
      </c>
      <c r="V252" s="114"/>
      <c r="W252" s="370" t="str">
        <f>IF(V252="","",IF(VLOOKUP(V252,'G-7 WaterC'' Data'!$AK$4:$AM$6,2,FALSE)=0,"Spatial Data Missing ⚠",VLOOKUP(V252,'G-7 WaterC'' Data'!$AK$4:$AM$6,2,FALSE)))</f>
        <v/>
      </c>
      <c r="X252" s="363" t="str">
        <f>IF(V252="","",IF(VLOOKUP(V252,'G-7 WaterC'' Data'!$AK$4:$AM$6,3,FALSE)=0,"Spatial Data Missing ⚠",VLOOKUP(V252,'G-7 WaterC'' Data'!$AK$4:$AM$6,3,FALSE)))</f>
        <v/>
      </c>
      <c r="Y252" s="362" t="str">
        <f>IFERROR(IF(OR(LEFT(P252,5)="Error",LEFT(O252,5)="Error ▲"),"Check Data ⚠",IF(F252&lt;S252,'G-7 WaterC'' Data'!$R$3,INDEX('G-7 WaterC'' Data'!$U$5:$Y$9,MATCH(G252,'G-7 WaterC'' Data'!$T$5:$T$9,0),MATCH(T252,'G-7 WaterC'' Data'!$U$4:$Y$4,0)))),"")</f>
        <v/>
      </c>
      <c r="Z252" s="159"/>
      <c r="AA252" s="159"/>
      <c r="AB252" s="370" t="str">
        <f t="shared" si="27"/>
        <v/>
      </c>
      <c r="AC252" s="383" t="str">
        <f t="shared" si="28"/>
        <v/>
      </c>
      <c r="AD252" s="422" t="str">
        <f>IFERROR(IF(AC252="Check Data ⚠","Check Data ⚠",VLOOKUP(AC252,'G-4 Temporal multipliers'!$A$4:$C$37,3,FALSE)),"")</f>
        <v/>
      </c>
      <c r="AE252" s="362" t="str">
        <f>IF(N252="","",VLOOKUP(N252,'G-7 WaterC'' Data'!$B$4:$G$8,5,FALSE))</f>
        <v/>
      </c>
      <c r="AF252" s="370" t="str">
        <f t="shared" si="29"/>
        <v/>
      </c>
      <c r="AG252" s="401" t="str">
        <f t="shared" si="30"/>
        <v/>
      </c>
      <c r="AH252" s="363" t="str">
        <f t="shared" si="25"/>
        <v/>
      </c>
      <c r="AI252" s="122"/>
      <c r="AJ252" s="363" t="str">
        <f>IF(AI252="","",IF(VLOOKUP(AI252,'G-7 WaterC'' Data'!$AA$4:$AB$7,2,FALSE)=0,"Spatial Data Missing ⚠",VLOOKUP(AI252,'G-7 WaterC'' Data'!$AA$4:$AB$7,2,FALSE)))</f>
        <v/>
      </c>
      <c r="AK252" s="123"/>
      <c r="AL252" s="363" t="str">
        <f>IF(AK252="","",IF(VLOOKUP(AK252,'G-7 WaterC'' Data'!$AD$4:$AE$14,2,FALSE)=0,"Spatial Data Missing ⚠",VLOOKUP(AK252,'G-7 WaterC'' Data'!$AD$4:$AE$14,2,FALSE)))</f>
        <v/>
      </c>
      <c r="AM252" s="405" t="str">
        <f t="shared" si="31"/>
        <v/>
      </c>
      <c r="AN252" s="117"/>
      <c r="AO252" s="118"/>
      <c r="AP252" s="120"/>
      <c r="AV252" s="30" t="str">
        <f>IFERROR(INDEX('G-7 WaterC'' Data'!$AZ$3:$AZ$7,MATCH(N252,'G-7 WaterC'' Data'!$AY$3:$AY$7,0)),"")</f>
        <v/>
      </c>
    </row>
    <row r="253" spans="2:48" ht="15">
      <c r="B253" s="392" t="str">
        <f>'C-1 On-Site WaterC'' Baseline'!AO251</f>
        <v/>
      </c>
      <c r="C253" s="382" t="str">
        <f>IF(B253="","",VLOOKUP($B253,'C-1 On-Site WaterC'' Baseline'!$C$9:$R$257,2,FALSE))</f>
        <v/>
      </c>
      <c r="D253" s="382" t="str">
        <f>IF(C253="","",VLOOKUP($B253,'C-1 On-Site WaterC'' Baseline'!$C$9:$R$257,3,FALSE))</f>
        <v/>
      </c>
      <c r="E253" s="382" t="str">
        <f>IF(D253="","",VLOOKUP($B253,'C-1 On-Site WaterC'' Baseline'!$C$9:$R$257,4,FALSE))</f>
        <v/>
      </c>
      <c r="F253" s="382" t="str">
        <f>IF(E253="","",VLOOKUP($B253,'C-1 On-Site WaterC'' Baseline'!$C$9:$R$257,5,FALSE))</f>
        <v/>
      </c>
      <c r="G253" s="382" t="str">
        <f>IF(F253="","",VLOOKUP($B253,'C-1 On-Site WaterC'' Baseline'!$C$9:$R$257,6,FALSE))</f>
        <v/>
      </c>
      <c r="H253" s="382" t="str">
        <f>IF(G253="","",VLOOKUP($B253,'C-1 On-Site WaterC'' Baseline'!$C$9:$R$257,7,FALSE))</f>
        <v/>
      </c>
      <c r="I253" s="382" t="str">
        <f>IF(H253="","",VLOOKUP($B253,'C-1 On-Site WaterC'' Baseline'!$C$9:$R$257,8,FALSE))</f>
        <v/>
      </c>
      <c r="J253" s="382" t="str">
        <f>IF(I253="","",VLOOKUP($B253,'C-1 On-Site WaterC'' Baseline'!$C$9:$R$257,9,FALSE))</f>
        <v/>
      </c>
      <c r="K253" s="382" t="str">
        <f>IF(J253="","",VLOOKUP($B253,'C-1 On-Site WaterC'' Baseline'!$C$9:$R$257,10,FALSE))</f>
        <v/>
      </c>
      <c r="L253" s="382" t="str">
        <f>IF(B253="","",VLOOKUP($B253,'C-1 On-Site WaterC'' Baseline'!$C$9:$R$257,15,FALSE))</f>
        <v/>
      </c>
      <c r="M253" s="386" t="str">
        <f>IF(L253="","",VLOOKUP($B253,'C-1 On-Site WaterC'' Baseline'!$C$9:$R$257,16,FALSE))</f>
        <v/>
      </c>
      <c r="N253" s="320" t="str">
        <f t="shared" si="24"/>
        <v/>
      </c>
      <c r="O253" s="362" t="str">
        <f t="shared" si="26"/>
        <v/>
      </c>
      <c r="P253" s="363" t="str">
        <f>IF(C253="","",IF(AND(LEFT(C253,55)&lt;&gt;LEFT(N253,55),O253="High - High"),"Error - Not like for like ▲",IF(H253&gt;U253,"Error - Can not reduce condition ▲",IF(AND(F253=S253,H253=U253,AJ253='C-1 On-Site WaterC'' Baseline'!N251,'C-1 On-Site WaterC'' Baseline'!P251=AL253),"Error - No enhancement ▲",IF(AND(C253&lt;&gt;N253,F253&lt;S253),"Lower Distinctiveness Habitat"&amp;" - "&amp;T253,G253&amp;" - "&amp;T253)))))</f>
        <v/>
      </c>
      <c r="Q253" s="425" t="str">
        <f>IF(N253="","",VLOOKUP(B253,'C-1 On-Site WaterC'' Baseline'!$C$10:$AB$257,19,FALSE))</f>
        <v/>
      </c>
      <c r="R253" s="362" t="str">
        <f>IF(N253="","",VLOOKUP(N253,'G-7 WaterC'' Data'!$B$2:$G$8,2,FALSE))</f>
        <v/>
      </c>
      <c r="S253" s="363" t="str">
        <f>IFERROR(VLOOKUP(R253,'G-7 WaterC'' Data'!$C$4:$D$8,2,FALSE),"")</f>
        <v/>
      </c>
      <c r="T253" s="114"/>
      <c r="U253" s="363" t="str">
        <f>IFERROR(INDEX('G-7 WaterC'' Data'!$H$4:$L$8,MATCH(N253,'G-7 WaterC'' Data'!$B$4:$B$8,0),MATCH(T253,'G-7 WaterC'' Data'!$H$3:$L$3,0)),"")</f>
        <v/>
      </c>
      <c r="V253" s="114"/>
      <c r="W253" s="370" t="str">
        <f>IF(V253="","",IF(VLOOKUP(V253,'G-7 WaterC'' Data'!$AK$4:$AM$6,2,FALSE)=0,"Spatial Data Missing ⚠",VLOOKUP(V253,'G-7 WaterC'' Data'!$AK$4:$AM$6,2,FALSE)))</f>
        <v/>
      </c>
      <c r="X253" s="363" t="str">
        <f>IF(V253="","",IF(VLOOKUP(V253,'G-7 WaterC'' Data'!$AK$4:$AM$6,3,FALSE)=0,"Spatial Data Missing ⚠",VLOOKUP(V253,'G-7 WaterC'' Data'!$AK$4:$AM$6,3,FALSE)))</f>
        <v/>
      </c>
      <c r="Y253" s="362" t="str">
        <f>IFERROR(IF(OR(LEFT(P253,5)="Error",LEFT(O253,5)="Error ▲"),"Check Data ⚠",IF(F253&lt;S253,'G-7 WaterC'' Data'!$R$3,INDEX('G-7 WaterC'' Data'!$U$5:$Y$9,MATCH(G253,'G-7 WaterC'' Data'!$T$5:$T$9,0),MATCH(T253,'G-7 WaterC'' Data'!$U$4:$Y$4,0)))),"")</f>
        <v/>
      </c>
      <c r="Z253" s="159"/>
      <c r="AA253" s="159"/>
      <c r="AB253" s="370" t="str">
        <f t="shared" si="27"/>
        <v/>
      </c>
      <c r="AC253" s="383" t="str">
        <f t="shared" si="28"/>
        <v/>
      </c>
      <c r="AD253" s="422" t="str">
        <f>IFERROR(IF(AC253="Check Data ⚠","Check Data ⚠",VLOOKUP(AC253,'G-4 Temporal multipliers'!$A$4:$C$37,3,FALSE)),"")</f>
        <v/>
      </c>
      <c r="AE253" s="362" t="str">
        <f>IF(N253="","",VLOOKUP(N253,'G-7 WaterC'' Data'!$B$4:$G$8,5,FALSE))</f>
        <v/>
      </c>
      <c r="AF253" s="370" t="str">
        <f t="shared" si="29"/>
        <v/>
      </c>
      <c r="AG253" s="401" t="str">
        <f t="shared" si="30"/>
        <v/>
      </c>
      <c r="AH253" s="363" t="str">
        <f t="shared" si="25"/>
        <v/>
      </c>
      <c r="AI253" s="122"/>
      <c r="AJ253" s="363" t="str">
        <f>IF(AI253="","",IF(VLOOKUP(AI253,'G-7 WaterC'' Data'!$AA$4:$AB$7,2,FALSE)=0,"Spatial Data Missing ⚠",VLOOKUP(AI253,'G-7 WaterC'' Data'!$AA$4:$AB$7,2,FALSE)))</f>
        <v/>
      </c>
      <c r="AK253" s="123"/>
      <c r="AL253" s="363" t="str">
        <f>IF(AK253="","",IF(VLOOKUP(AK253,'G-7 WaterC'' Data'!$AD$4:$AE$14,2,FALSE)=0,"Spatial Data Missing ⚠",VLOOKUP(AK253,'G-7 WaterC'' Data'!$AD$4:$AE$14,2,FALSE)))</f>
        <v/>
      </c>
      <c r="AM253" s="405" t="str">
        <f t="shared" si="31"/>
        <v/>
      </c>
      <c r="AN253" s="117"/>
      <c r="AO253" s="118"/>
      <c r="AP253" s="120"/>
      <c r="AV253" s="30" t="str">
        <f>IFERROR(INDEX('G-7 WaterC'' Data'!$AZ$3:$AZ$7,MATCH(N253,'G-7 WaterC'' Data'!$AY$3:$AY$7,0)),"")</f>
        <v/>
      </c>
    </row>
    <row r="254" spans="2:48" ht="15">
      <c r="B254" s="392" t="str">
        <f>'C-1 On-Site WaterC'' Baseline'!AO252</f>
        <v/>
      </c>
      <c r="C254" s="382" t="str">
        <f>IF(B254="","",VLOOKUP($B254,'C-1 On-Site WaterC'' Baseline'!$C$9:$R$257,2,FALSE))</f>
        <v/>
      </c>
      <c r="D254" s="382" t="str">
        <f>IF(C254="","",VLOOKUP($B254,'C-1 On-Site WaterC'' Baseline'!$C$9:$R$257,3,FALSE))</f>
        <v/>
      </c>
      <c r="E254" s="382" t="str">
        <f>IF(D254="","",VLOOKUP($B254,'C-1 On-Site WaterC'' Baseline'!$C$9:$R$257,4,FALSE))</f>
        <v/>
      </c>
      <c r="F254" s="382" t="str">
        <f>IF(E254="","",VLOOKUP($B254,'C-1 On-Site WaterC'' Baseline'!$C$9:$R$257,5,FALSE))</f>
        <v/>
      </c>
      <c r="G254" s="382" t="str">
        <f>IF(F254="","",VLOOKUP($B254,'C-1 On-Site WaterC'' Baseline'!$C$9:$R$257,6,FALSE))</f>
        <v/>
      </c>
      <c r="H254" s="382" t="str">
        <f>IF(G254="","",VLOOKUP($B254,'C-1 On-Site WaterC'' Baseline'!$C$9:$R$257,7,FALSE))</f>
        <v/>
      </c>
      <c r="I254" s="382" t="str">
        <f>IF(H254="","",VLOOKUP($B254,'C-1 On-Site WaterC'' Baseline'!$C$9:$R$257,8,FALSE))</f>
        <v/>
      </c>
      <c r="J254" s="382" t="str">
        <f>IF(I254="","",VLOOKUP($B254,'C-1 On-Site WaterC'' Baseline'!$C$9:$R$257,9,FALSE))</f>
        <v/>
      </c>
      <c r="K254" s="382" t="str">
        <f>IF(J254="","",VLOOKUP($B254,'C-1 On-Site WaterC'' Baseline'!$C$9:$R$257,10,FALSE))</f>
        <v/>
      </c>
      <c r="L254" s="382" t="str">
        <f>IF(B254="","",VLOOKUP($B254,'C-1 On-Site WaterC'' Baseline'!$C$9:$R$257,15,FALSE))</f>
        <v/>
      </c>
      <c r="M254" s="386" t="str">
        <f>IF(L254="","",VLOOKUP($B254,'C-1 On-Site WaterC'' Baseline'!$C$9:$R$257,16,FALSE))</f>
        <v/>
      </c>
      <c r="N254" s="320" t="str">
        <f t="shared" si="24"/>
        <v/>
      </c>
      <c r="O254" s="362" t="str">
        <f t="shared" si="26"/>
        <v/>
      </c>
      <c r="P254" s="363" t="str">
        <f>IF(C254="","",IF(AND(LEFT(C254,55)&lt;&gt;LEFT(N254,55),O254="High - High"),"Error - Not like for like ▲",IF(H254&gt;U254,"Error - Can not reduce condition ▲",IF(AND(F254=S254,H254=U254,AJ254='C-1 On-Site WaterC'' Baseline'!N252,'C-1 On-Site WaterC'' Baseline'!P252=AL254),"Error - No enhancement ▲",IF(AND(C254&lt;&gt;N254,F254&lt;S254),"Lower Distinctiveness Habitat"&amp;" - "&amp;T254,G254&amp;" - "&amp;T254)))))</f>
        <v/>
      </c>
      <c r="Q254" s="425" t="str">
        <f>IF(N254="","",VLOOKUP(B254,'C-1 On-Site WaterC'' Baseline'!$C$10:$AB$257,19,FALSE))</f>
        <v/>
      </c>
      <c r="R254" s="362" t="str">
        <f>IF(N254="","",VLOOKUP(N254,'G-7 WaterC'' Data'!$B$2:$G$8,2,FALSE))</f>
        <v/>
      </c>
      <c r="S254" s="363" t="str">
        <f>IFERROR(VLOOKUP(R254,'G-7 WaterC'' Data'!$C$4:$D$8,2,FALSE),"")</f>
        <v/>
      </c>
      <c r="T254" s="114"/>
      <c r="U254" s="363" t="str">
        <f>IFERROR(INDEX('G-7 WaterC'' Data'!$H$4:$L$8,MATCH(N254,'G-7 WaterC'' Data'!$B$4:$B$8,0),MATCH(T254,'G-7 WaterC'' Data'!$H$3:$L$3,0)),"")</f>
        <v/>
      </c>
      <c r="V254" s="114"/>
      <c r="W254" s="370" t="str">
        <f>IF(V254="","",IF(VLOOKUP(V254,'G-7 WaterC'' Data'!$AK$4:$AM$6,2,FALSE)=0,"Spatial Data Missing ⚠",VLOOKUP(V254,'G-7 WaterC'' Data'!$AK$4:$AM$6,2,FALSE)))</f>
        <v/>
      </c>
      <c r="X254" s="363" t="str">
        <f>IF(V254="","",IF(VLOOKUP(V254,'G-7 WaterC'' Data'!$AK$4:$AM$6,3,FALSE)=0,"Spatial Data Missing ⚠",VLOOKUP(V254,'G-7 WaterC'' Data'!$AK$4:$AM$6,3,FALSE)))</f>
        <v/>
      </c>
      <c r="Y254" s="362" t="str">
        <f>IFERROR(IF(OR(LEFT(P254,5)="Error",LEFT(O254,5)="Error ▲"),"Check Data ⚠",IF(F254&lt;S254,'G-7 WaterC'' Data'!$R$3,INDEX('G-7 WaterC'' Data'!$U$5:$Y$9,MATCH(G254,'G-7 WaterC'' Data'!$T$5:$T$9,0),MATCH(T254,'G-7 WaterC'' Data'!$U$4:$Y$4,0)))),"")</f>
        <v/>
      </c>
      <c r="Z254" s="159"/>
      <c r="AA254" s="159"/>
      <c r="AB254" s="370" t="str">
        <f t="shared" si="27"/>
        <v/>
      </c>
      <c r="AC254" s="383" t="str">
        <f t="shared" si="28"/>
        <v/>
      </c>
      <c r="AD254" s="422" t="str">
        <f>IFERROR(IF(AC254="Check Data ⚠","Check Data ⚠",VLOOKUP(AC254,'G-4 Temporal multipliers'!$A$4:$C$37,3,FALSE)),"")</f>
        <v/>
      </c>
      <c r="AE254" s="362" t="str">
        <f>IF(N254="","",VLOOKUP(N254,'G-7 WaterC'' Data'!$B$4:$G$8,5,FALSE))</f>
        <v/>
      </c>
      <c r="AF254" s="370" t="str">
        <f t="shared" si="29"/>
        <v/>
      </c>
      <c r="AG254" s="401" t="str">
        <f t="shared" si="30"/>
        <v/>
      </c>
      <c r="AH254" s="363" t="str">
        <f t="shared" si="25"/>
        <v/>
      </c>
      <c r="AI254" s="122"/>
      <c r="AJ254" s="363" t="str">
        <f>IF(AI254="","",IF(VLOOKUP(AI254,'G-7 WaterC'' Data'!$AA$4:$AB$7,2,FALSE)=0,"Spatial Data Missing ⚠",VLOOKUP(AI254,'G-7 WaterC'' Data'!$AA$4:$AB$7,2,FALSE)))</f>
        <v/>
      </c>
      <c r="AK254" s="123"/>
      <c r="AL254" s="363" t="str">
        <f>IF(AK254="","",IF(VLOOKUP(AK254,'G-7 WaterC'' Data'!$AD$4:$AE$14,2,FALSE)=0,"Spatial Data Missing ⚠",VLOOKUP(AK254,'G-7 WaterC'' Data'!$AD$4:$AE$14,2,FALSE)))</f>
        <v/>
      </c>
      <c r="AM254" s="405" t="str">
        <f t="shared" si="31"/>
        <v/>
      </c>
      <c r="AN254" s="117"/>
      <c r="AO254" s="118"/>
      <c r="AP254" s="120"/>
      <c r="AV254" s="30" t="str">
        <f>IFERROR(INDEX('G-7 WaterC'' Data'!$AZ$3:$AZ$7,MATCH(N254,'G-7 WaterC'' Data'!$AY$3:$AY$7,0)),"")</f>
        <v/>
      </c>
    </row>
    <row r="255" spans="2:48" ht="15">
      <c r="B255" s="392" t="str">
        <f>'C-1 On-Site WaterC'' Baseline'!AO253</f>
        <v/>
      </c>
      <c r="C255" s="382" t="str">
        <f>IF(B255="","",VLOOKUP($B255,'C-1 On-Site WaterC'' Baseline'!$C$9:$R$257,2,FALSE))</f>
        <v/>
      </c>
      <c r="D255" s="382" t="str">
        <f>IF(C255="","",VLOOKUP($B255,'C-1 On-Site WaterC'' Baseline'!$C$9:$R$257,3,FALSE))</f>
        <v/>
      </c>
      <c r="E255" s="382" t="str">
        <f>IF(D255="","",VLOOKUP($B255,'C-1 On-Site WaterC'' Baseline'!$C$9:$R$257,4,FALSE))</f>
        <v/>
      </c>
      <c r="F255" s="382" t="str">
        <f>IF(E255="","",VLOOKUP($B255,'C-1 On-Site WaterC'' Baseline'!$C$9:$R$257,5,FALSE))</f>
        <v/>
      </c>
      <c r="G255" s="382" t="str">
        <f>IF(F255="","",VLOOKUP($B255,'C-1 On-Site WaterC'' Baseline'!$C$9:$R$257,6,FALSE))</f>
        <v/>
      </c>
      <c r="H255" s="382" t="str">
        <f>IF(G255="","",VLOOKUP($B255,'C-1 On-Site WaterC'' Baseline'!$C$9:$R$257,7,FALSE))</f>
        <v/>
      </c>
      <c r="I255" s="382" t="str">
        <f>IF(H255="","",VLOOKUP($B255,'C-1 On-Site WaterC'' Baseline'!$C$9:$R$257,8,FALSE))</f>
        <v/>
      </c>
      <c r="J255" s="382" t="str">
        <f>IF(I255="","",VLOOKUP($B255,'C-1 On-Site WaterC'' Baseline'!$C$9:$R$257,9,FALSE))</f>
        <v/>
      </c>
      <c r="K255" s="382" t="str">
        <f>IF(J255="","",VLOOKUP($B255,'C-1 On-Site WaterC'' Baseline'!$C$9:$R$257,10,FALSE))</f>
        <v/>
      </c>
      <c r="L255" s="382" t="str">
        <f>IF(B255="","",VLOOKUP($B255,'C-1 On-Site WaterC'' Baseline'!$C$9:$R$257,15,FALSE))</f>
        <v/>
      </c>
      <c r="M255" s="386" t="str">
        <f>IF(L255="","",VLOOKUP($B255,'C-1 On-Site WaterC'' Baseline'!$C$9:$R$257,16,FALSE))</f>
        <v/>
      </c>
      <c r="N255" s="320" t="str">
        <f t="shared" si="24"/>
        <v/>
      </c>
      <c r="O255" s="362" t="str">
        <f t="shared" si="26"/>
        <v/>
      </c>
      <c r="P255" s="363" t="str">
        <f>IF(C255="","",IF(AND(LEFT(C255,55)&lt;&gt;LEFT(N255,55),O255="High - High"),"Error - Not like for like ▲",IF(H255&gt;U255,"Error - Can not reduce condition ▲",IF(AND(F255=S255,H255=U255,AJ255='C-1 On-Site WaterC'' Baseline'!N253,'C-1 On-Site WaterC'' Baseline'!P253=AL255),"Error - No enhancement ▲",IF(AND(C255&lt;&gt;N255,F255&lt;S255),"Lower Distinctiveness Habitat"&amp;" - "&amp;T255,G255&amp;" - "&amp;T255)))))</f>
        <v/>
      </c>
      <c r="Q255" s="425" t="str">
        <f>IF(N255="","",VLOOKUP(B255,'C-1 On-Site WaterC'' Baseline'!$C$10:$AB$257,19,FALSE))</f>
        <v/>
      </c>
      <c r="R255" s="362" t="str">
        <f>IF(N255="","",VLOOKUP(N255,'G-7 WaterC'' Data'!$B$2:$G$8,2,FALSE))</f>
        <v/>
      </c>
      <c r="S255" s="363" t="str">
        <f>IFERROR(VLOOKUP(R255,'G-7 WaterC'' Data'!$C$4:$D$8,2,FALSE),"")</f>
        <v/>
      </c>
      <c r="T255" s="114"/>
      <c r="U255" s="363" t="str">
        <f>IFERROR(INDEX('G-7 WaterC'' Data'!$H$4:$L$8,MATCH(N255,'G-7 WaterC'' Data'!$B$4:$B$8,0),MATCH(T255,'G-7 WaterC'' Data'!$H$3:$L$3,0)),"")</f>
        <v/>
      </c>
      <c r="V255" s="114"/>
      <c r="W255" s="370" t="str">
        <f>IF(V255="","",IF(VLOOKUP(V255,'G-7 WaterC'' Data'!$AK$4:$AM$6,2,FALSE)=0,"Spatial Data Missing ⚠",VLOOKUP(V255,'G-7 WaterC'' Data'!$AK$4:$AM$6,2,FALSE)))</f>
        <v/>
      </c>
      <c r="X255" s="363" t="str">
        <f>IF(V255="","",IF(VLOOKUP(V255,'G-7 WaterC'' Data'!$AK$4:$AM$6,3,FALSE)=0,"Spatial Data Missing ⚠",VLOOKUP(V255,'G-7 WaterC'' Data'!$AK$4:$AM$6,3,FALSE)))</f>
        <v/>
      </c>
      <c r="Y255" s="362" t="str">
        <f>IFERROR(IF(OR(LEFT(P255,5)="Error",LEFT(O255,5)="Error ▲"),"Check Data ⚠",IF(F255&lt;S255,'G-7 WaterC'' Data'!$R$3,INDEX('G-7 WaterC'' Data'!$U$5:$Y$9,MATCH(G255,'G-7 WaterC'' Data'!$T$5:$T$9,0),MATCH(T255,'G-7 WaterC'' Data'!$U$4:$Y$4,0)))),"")</f>
        <v/>
      </c>
      <c r="Z255" s="159"/>
      <c r="AA255" s="159"/>
      <c r="AB255" s="370" t="str">
        <f t="shared" si="27"/>
        <v/>
      </c>
      <c r="AC255" s="383" t="str">
        <f t="shared" si="28"/>
        <v/>
      </c>
      <c r="AD255" s="422" t="str">
        <f>IFERROR(IF(AC255="Check Data ⚠","Check Data ⚠",VLOOKUP(AC255,'G-4 Temporal multipliers'!$A$4:$C$37,3,FALSE)),"")</f>
        <v/>
      </c>
      <c r="AE255" s="362" t="str">
        <f>IF(N255="","",VLOOKUP(N255,'G-7 WaterC'' Data'!$B$4:$G$8,5,FALSE))</f>
        <v/>
      </c>
      <c r="AF255" s="370" t="str">
        <f t="shared" si="29"/>
        <v/>
      </c>
      <c r="AG255" s="401" t="str">
        <f t="shared" si="30"/>
        <v/>
      </c>
      <c r="AH255" s="363" t="str">
        <f t="shared" si="25"/>
        <v/>
      </c>
      <c r="AI255" s="122"/>
      <c r="AJ255" s="363" t="str">
        <f>IF(AI255="","",IF(VLOOKUP(AI255,'G-7 WaterC'' Data'!$AA$4:$AB$7,2,FALSE)=0,"Spatial Data Missing ⚠",VLOOKUP(AI255,'G-7 WaterC'' Data'!$AA$4:$AB$7,2,FALSE)))</f>
        <v/>
      </c>
      <c r="AK255" s="123"/>
      <c r="AL255" s="363" t="str">
        <f>IF(AK255="","",IF(VLOOKUP(AK255,'G-7 WaterC'' Data'!$AD$4:$AE$14,2,FALSE)=0,"Spatial Data Missing ⚠",VLOOKUP(AK255,'G-7 WaterC'' Data'!$AD$4:$AE$14,2,FALSE)))</f>
        <v/>
      </c>
      <c r="AM255" s="405" t="str">
        <f t="shared" si="31"/>
        <v/>
      </c>
      <c r="AN255" s="117"/>
      <c r="AO255" s="118"/>
      <c r="AP255" s="120"/>
      <c r="AV255" s="30" t="str">
        <f>IFERROR(INDEX('G-7 WaterC'' Data'!$AZ$3:$AZ$7,MATCH(N255,'G-7 WaterC'' Data'!$AY$3:$AY$7,0)),"")</f>
        <v/>
      </c>
    </row>
    <row r="256" spans="2:48" ht="15">
      <c r="B256" s="392" t="str">
        <f>'C-1 On-Site WaterC'' Baseline'!AO254</f>
        <v/>
      </c>
      <c r="C256" s="382" t="str">
        <f>IF(B256="","",VLOOKUP($B256,'C-1 On-Site WaterC'' Baseline'!$C$9:$R$257,2,FALSE))</f>
        <v/>
      </c>
      <c r="D256" s="382" t="str">
        <f>IF(C256="","",VLOOKUP($B256,'C-1 On-Site WaterC'' Baseline'!$C$9:$R$257,3,FALSE))</f>
        <v/>
      </c>
      <c r="E256" s="382" t="str">
        <f>IF(D256="","",VLOOKUP($B256,'C-1 On-Site WaterC'' Baseline'!$C$9:$R$257,4,FALSE))</f>
        <v/>
      </c>
      <c r="F256" s="382" t="str">
        <f>IF(E256="","",VLOOKUP($B256,'C-1 On-Site WaterC'' Baseline'!$C$9:$R$257,5,FALSE))</f>
        <v/>
      </c>
      <c r="G256" s="382" t="str">
        <f>IF(F256="","",VLOOKUP($B256,'C-1 On-Site WaterC'' Baseline'!$C$9:$R$257,6,FALSE))</f>
        <v/>
      </c>
      <c r="H256" s="382" t="str">
        <f>IF(G256="","",VLOOKUP($B256,'C-1 On-Site WaterC'' Baseline'!$C$9:$R$257,7,FALSE))</f>
        <v/>
      </c>
      <c r="I256" s="382" t="str">
        <f>IF(H256="","",VLOOKUP($B256,'C-1 On-Site WaterC'' Baseline'!$C$9:$R$257,8,FALSE))</f>
        <v/>
      </c>
      <c r="J256" s="382" t="str">
        <f>IF(I256="","",VLOOKUP($B256,'C-1 On-Site WaterC'' Baseline'!$C$9:$R$257,9,FALSE))</f>
        <v/>
      </c>
      <c r="K256" s="382" t="str">
        <f>IF(J256="","",VLOOKUP($B256,'C-1 On-Site WaterC'' Baseline'!$C$9:$R$257,10,FALSE))</f>
        <v/>
      </c>
      <c r="L256" s="382" t="str">
        <f>IF(B256="","",VLOOKUP($B256,'C-1 On-Site WaterC'' Baseline'!$C$9:$R$257,15,FALSE))</f>
        <v/>
      </c>
      <c r="M256" s="386" t="str">
        <f>IF(L256="","",VLOOKUP($B256,'C-1 On-Site WaterC'' Baseline'!$C$9:$R$257,16,FALSE))</f>
        <v/>
      </c>
      <c r="N256" s="320" t="str">
        <f t="shared" si="24"/>
        <v/>
      </c>
      <c r="O256" s="362" t="str">
        <f t="shared" si="26"/>
        <v/>
      </c>
      <c r="P256" s="363" t="str">
        <f>IF(C256="","",IF(AND(LEFT(C256,55)&lt;&gt;LEFT(N256,55),O256="High - High"),"Error - Not like for like ▲",IF(H256&gt;U256,"Error - Can not reduce condition ▲",IF(AND(F256=S256,H256=U256,AJ256='C-1 On-Site WaterC'' Baseline'!N254,'C-1 On-Site WaterC'' Baseline'!P254=AL256),"Error - No enhancement ▲",IF(AND(C256&lt;&gt;N256,F256&lt;S256),"Lower Distinctiveness Habitat"&amp;" - "&amp;T256,G256&amp;" - "&amp;T256)))))</f>
        <v/>
      </c>
      <c r="Q256" s="425" t="str">
        <f>IF(N256="","",VLOOKUP(B256,'C-1 On-Site WaterC'' Baseline'!$C$10:$AB$257,19,FALSE))</f>
        <v/>
      </c>
      <c r="R256" s="362" t="str">
        <f>IF(N256="","",VLOOKUP(N256,'G-7 WaterC'' Data'!$B$2:$G$8,2,FALSE))</f>
        <v/>
      </c>
      <c r="S256" s="363" t="str">
        <f>IFERROR(VLOOKUP(R256,'G-7 WaterC'' Data'!$C$4:$D$8,2,FALSE),"")</f>
        <v/>
      </c>
      <c r="T256" s="114"/>
      <c r="U256" s="363" t="str">
        <f>IFERROR(INDEX('G-7 WaterC'' Data'!$H$4:$L$8,MATCH(N256,'G-7 WaterC'' Data'!$B$4:$B$8,0),MATCH(T256,'G-7 WaterC'' Data'!$H$3:$L$3,0)),"")</f>
        <v/>
      </c>
      <c r="V256" s="114"/>
      <c r="W256" s="370" t="str">
        <f>IF(V256="","",IF(VLOOKUP(V256,'G-7 WaterC'' Data'!$AK$4:$AM$6,2,FALSE)=0,"Spatial Data Missing ⚠",VLOOKUP(V256,'G-7 WaterC'' Data'!$AK$4:$AM$6,2,FALSE)))</f>
        <v/>
      </c>
      <c r="X256" s="363" t="str">
        <f>IF(V256="","",IF(VLOOKUP(V256,'G-7 WaterC'' Data'!$AK$4:$AM$6,3,FALSE)=0,"Spatial Data Missing ⚠",VLOOKUP(V256,'G-7 WaterC'' Data'!$AK$4:$AM$6,3,FALSE)))</f>
        <v/>
      </c>
      <c r="Y256" s="362" t="str">
        <f>IFERROR(IF(OR(LEFT(P256,5)="Error",LEFT(O256,5)="Error ▲"),"Check Data ⚠",IF(F256&lt;S256,'G-7 WaterC'' Data'!$R$3,INDEX('G-7 WaterC'' Data'!$U$5:$Y$9,MATCH(G256,'G-7 WaterC'' Data'!$T$5:$T$9,0),MATCH(T256,'G-7 WaterC'' Data'!$U$4:$Y$4,0)))),"")</f>
        <v/>
      </c>
      <c r="Z256" s="159"/>
      <c r="AA256" s="159"/>
      <c r="AB256" s="370" t="str">
        <f t="shared" si="27"/>
        <v/>
      </c>
      <c r="AC256" s="383" t="str">
        <f t="shared" si="28"/>
        <v/>
      </c>
      <c r="AD256" s="422" t="str">
        <f>IFERROR(IF(AC256="Check Data ⚠","Check Data ⚠",VLOOKUP(AC256,'G-4 Temporal multipliers'!$A$4:$C$37,3,FALSE)),"")</f>
        <v/>
      </c>
      <c r="AE256" s="362" t="str">
        <f>IF(N256="","",VLOOKUP(N256,'G-7 WaterC'' Data'!$B$4:$G$8,5,FALSE))</f>
        <v/>
      </c>
      <c r="AF256" s="370" t="str">
        <f t="shared" si="29"/>
        <v/>
      </c>
      <c r="AG256" s="401" t="str">
        <f t="shared" si="30"/>
        <v/>
      </c>
      <c r="AH256" s="363" t="str">
        <f t="shared" si="25"/>
        <v/>
      </c>
      <c r="AI256" s="122"/>
      <c r="AJ256" s="363" t="str">
        <f>IF(AI256="","",IF(VLOOKUP(AI256,'G-7 WaterC'' Data'!$AA$4:$AB$7,2,FALSE)=0,"Spatial Data Missing ⚠",VLOOKUP(AI256,'G-7 WaterC'' Data'!$AA$4:$AB$7,2,FALSE)))</f>
        <v/>
      </c>
      <c r="AK256" s="123"/>
      <c r="AL256" s="363" t="str">
        <f>IF(AK256="","",IF(VLOOKUP(AK256,'G-7 WaterC'' Data'!$AD$4:$AE$14,2,FALSE)=0,"Spatial Data Missing ⚠",VLOOKUP(AK256,'G-7 WaterC'' Data'!$AD$4:$AE$14,2,FALSE)))</f>
        <v/>
      </c>
      <c r="AM256" s="405" t="str">
        <f t="shared" si="31"/>
        <v/>
      </c>
      <c r="AN256" s="117"/>
      <c r="AO256" s="118"/>
      <c r="AP256" s="120"/>
      <c r="AV256" s="30" t="str">
        <f>IFERROR(INDEX('G-7 WaterC'' Data'!$AZ$3:$AZ$7,MATCH(N256,'G-7 WaterC'' Data'!$AY$3:$AY$7,0)),"")</f>
        <v/>
      </c>
    </row>
    <row r="257" spans="2:48" ht="15.75" thickBot="1">
      <c r="B257" s="416" t="str">
        <f>'C-1 On-Site WaterC'' Baseline'!AO255</f>
        <v/>
      </c>
      <c r="C257" s="371" t="str">
        <f>IF(B257="","",VLOOKUP($B257,'C-1 On-Site WaterC'' Baseline'!$C$9:$R$257,2,FALSE))</f>
        <v/>
      </c>
      <c r="D257" s="371" t="str">
        <f>IF(C257="","",VLOOKUP($B257,'C-1 On-Site WaterC'' Baseline'!$C$9:$R$257,3,FALSE))</f>
        <v/>
      </c>
      <c r="E257" s="371" t="str">
        <f>IF(D257="","",VLOOKUP($B257,'C-1 On-Site WaterC'' Baseline'!$C$9:$R$257,4,FALSE))</f>
        <v/>
      </c>
      <c r="F257" s="371" t="str">
        <f>IF(E257="","",VLOOKUP($B257,'C-1 On-Site WaterC'' Baseline'!$C$9:$R$257,5,FALSE))</f>
        <v/>
      </c>
      <c r="G257" s="371" t="str">
        <f>IF(F257="","",VLOOKUP($B257,'C-1 On-Site WaterC'' Baseline'!$C$9:$R$257,6,FALSE))</f>
        <v/>
      </c>
      <c r="H257" s="371" t="str">
        <f>IF(G257="","",VLOOKUP($B257,'C-1 On-Site WaterC'' Baseline'!$C$9:$R$257,7,FALSE))</f>
        <v/>
      </c>
      <c r="I257" s="371" t="str">
        <f>IF(H257="","",VLOOKUP($B257,'C-1 On-Site WaterC'' Baseline'!$C$9:$R$257,8,FALSE))</f>
        <v/>
      </c>
      <c r="J257" s="371" t="str">
        <f>IF(I257="","",VLOOKUP($B257,'C-1 On-Site WaterC'' Baseline'!$C$9:$R$257,9,FALSE))</f>
        <v/>
      </c>
      <c r="K257" s="371" t="str">
        <f>IF(J257="","",VLOOKUP($B257,'C-1 On-Site WaterC'' Baseline'!$C$9:$R$257,10,FALSE))</f>
        <v/>
      </c>
      <c r="L257" s="371" t="str">
        <f>IF(B257="","",VLOOKUP($B257,'C-1 On-Site WaterC'' Baseline'!$C$9:$R$257,15,FALSE))</f>
        <v/>
      </c>
      <c r="M257" s="365" t="str">
        <f>IF(L257="","",VLOOKUP($B257,'C-1 On-Site WaterC'' Baseline'!$C$9:$R$257,16,FALSE))</f>
        <v/>
      </c>
      <c r="N257" s="320" t="str">
        <f t="shared" si="24"/>
        <v/>
      </c>
      <c r="O257" s="362" t="str">
        <f t="shared" si="26"/>
        <v/>
      </c>
      <c r="P257" s="363" t="str">
        <f>IF(C257="","",IF(AND(LEFT(C257,55)&lt;&gt;LEFT(N257,55),O257="High - High"),"Error - Not like for like ▲",IF(H257&gt;U257,"Error - Can not reduce condition ▲",IF(AND(F257=S257,H257=U257,AJ257='C-1 On-Site WaterC'' Baseline'!N255,'C-1 On-Site WaterC'' Baseline'!P255=AL257),"Error - No enhancement ▲",IF(AND(C257&lt;&gt;N257,F257&lt;S257),"Lower Distinctiveness Habitat"&amp;" - "&amp;T257,G257&amp;" - "&amp;T257)))))</f>
        <v/>
      </c>
      <c r="Q257" s="426" t="str">
        <f>IF(N257="","",VLOOKUP(B257,'C-1 On-Site WaterC'' Baseline'!$C$10:$AB$257,19,FALSE))</f>
        <v/>
      </c>
      <c r="R257" s="364" t="str">
        <f>IF(N257="","",VLOOKUP(N257,'G-7 WaterC'' Data'!$B$2:$G$8,2,FALSE))</f>
        <v/>
      </c>
      <c r="S257" s="365" t="str">
        <f>IFERROR(VLOOKUP(R257,'G-7 WaterC'' Data'!$C$4:$D$8,2,FALSE),"")</f>
        <v/>
      </c>
      <c r="T257" s="129"/>
      <c r="U257" s="797" t="str">
        <f>IFERROR(INDEX('G-7 WaterC'' Data'!$H$4:$L$8,MATCH(N257,'G-7 WaterC'' Data'!$B$4:$B$8,0),MATCH(T257,'G-7 WaterC'' Data'!$H$3:$L$3,0)),"")</f>
        <v/>
      </c>
      <c r="V257" s="872"/>
      <c r="W257" s="798" t="str">
        <f>IF(V257="","",IF(VLOOKUP(V257,'G-7 WaterC'' Data'!$AK$4:$AM$6,2,FALSE)=0,"Spatial Data Missing ⚠",VLOOKUP(V257,'G-7 WaterC'' Data'!$AK$4:$AM$6,2,FALSE)))</f>
        <v/>
      </c>
      <c r="X257" s="797" t="str">
        <f>IF(V257="","",IF(VLOOKUP(V257,'G-7 WaterC'' Data'!$AK$4:$AM$6,3,FALSE)=0,"Spatial Data Missing ⚠",VLOOKUP(V257,'G-7 WaterC'' Data'!$AK$4:$AM$6,3,FALSE)))</f>
        <v/>
      </c>
      <c r="Y257" s="796" t="str">
        <f>IFERROR(IF(OR(LEFT(P257,5)="Error",LEFT(O257,5)="Error ▲"),"Check Data ⚠",IF(F257&lt;S257,'G-7 WaterC'' Data'!$R$3,INDEX('G-7 WaterC'' Data'!$U$5:$Y$9,MATCH(G257,'G-7 WaterC'' Data'!$T$5:$T$9,0),MATCH(T257,'G-7 WaterC'' Data'!$U$4:$Y$4,0)))),"")</f>
        <v/>
      </c>
      <c r="Z257" s="168"/>
      <c r="AA257" s="168"/>
      <c r="AB257" s="798" t="str">
        <f t="shared" si="27"/>
        <v/>
      </c>
      <c r="AC257" s="819" t="str">
        <f t="shared" si="28"/>
        <v/>
      </c>
      <c r="AD257" s="882" t="str">
        <f>IFERROR(IF(AC257="Check Data ⚠","Check Data ⚠",VLOOKUP(AC257,'G-4 Temporal multipliers'!$A$4:$C$37,3,FALSE)),"")</f>
        <v/>
      </c>
      <c r="AE257" s="364" t="str">
        <f>IF(N257="","",VLOOKUP(N257,'G-7 WaterC'' Data'!$B$4:$G$8,5,FALSE))</f>
        <v/>
      </c>
      <c r="AF257" s="798" t="str">
        <f t="shared" si="29"/>
        <v/>
      </c>
      <c r="AG257" s="850" t="str">
        <f t="shared" si="30"/>
        <v/>
      </c>
      <c r="AH257" s="365" t="str">
        <f t="shared" si="25"/>
        <v/>
      </c>
      <c r="AI257" s="129"/>
      <c r="AJ257" s="797" t="str">
        <f>IF(AI257="","",IF(VLOOKUP(AI257,'G-7 WaterC'' Data'!$AA$4:$AB$7,2,FALSE)=0,"Spatial Data Missing ⚠",VLOOKUP(AI257,'G-7 WaterC'' Data'!$AA$4:$AB$7,2,FALSE)))</f>
        <v/>
      </c>
      <c r="AK257" s="883"/>
      <c r="AL257" s="797" t="str">
        <f>IF(AK257="","",IF(VLOOKUP(AK257,'G-7 WaterC'' Data'!$AD$4:$AE$14,2,FALSE)=0,"Spatial Data Missing ⚠",VLOOKUP(AK257,'G-7 WaterC'' Data'!$AD$4:$AE$14,2,FALSE)))</f>
        <v/>
      </c>
      <c r="AM257" s="852" t="str">
        <f>IFERROR(IF(C257="","",IF(Q257&gt;D257,((((Q257*S257*U257)-(D257*F257*H257))*(AH257*AD257))+(D257*F257*H257))*(AL257*X257*AJ257),((((Q257*S257*U257)-(Q257*F257*H257))*(AH257*AD257))+(Q257*F257*H257))*(AL257*X257*AJ257))),"")</f>
        <v/>
      </c>
      <c r="AN257" s="130"/>
      <c r="AO257" s="131"/>
      <c r="AP257" s="683"/>
      <c r="AV257" s="30" t="str">
        <f>IFERROR(INDEX('G-7 WaterC'' Data'!$AZ$3:$AZ$7,MATCH(N257,'G-7 WaterC'' Data'!$AY$3:$AY$7,0)),"")</f>
        <v/>
      </c>
    </row>
    <row r="258" spans="2:48" ht="15.75" thickBot="1">
      <c r="C258" s="133"/>
      <c r="D258" s="133"/>
      <c r="E258" s="133"/>
      <c r="F258" s="133"/>
      <c r="G258" s="133"/>
      <c r="H258" s="133"/>
      <c r="I258" s="133"/>
      <c r="J258" s="133"/>
      <c r="K258" s="133"/>
      <c r="L258" s="133"/>
      <c r="M258" s="133"/>
      <c r="N258" s="223"/>
      <c r="O258" s="133"/>
      <c r="P258" s="133"/>
      <c r="Q258" s="424">
        <f>SUM(Q12:Q257)</f>
        <v>0</v>
      </c>
      <c r="R258" s="222"/>
      <c r="AJ258" s="30" t="str">
        <f>IF(AI258="","",IF(VLOOKUP(AI258,'[2]G-7 Rivers Data'!$AA$4:$AB$6,2,FALSE)=0,"Spatial Data Missing",VLOOKUP(AI258,'[2]G-7 Rivers Data'!$AA$4:$AB$6,2,FALSE)))</f>
        <v/>
      </c>
      <c r="AK258" s="1530"/>
      <c r="AL258" s="1530"/>
      <c r="AM258" s="345">
        <f>SUM(AM12:AM257)</f>
        <v>0</v>
      </c>
    </row>
    <row r="259" spans="2:48" ht="15">
      <c r="AJ259" s="30" t="str">
        <f>IF(AI259="","",IF(VLOOKUP(AI259,'[2]G-7 Rivers Data'!$AA$4:$AB$6,2,FALSE)=0,"Spatial Data Missing",VLOOKUP(AI259,'[2]G-7 Rivers Data'!$AA$4:$AB$6,2,FALSE)))</f>
        <v/>
      </c>
    </row>
    <row r="260" spans="2:48" ht="15"/>
    <row r="261" spans="2:48" ht="15"/>
    <row r="262" spans="2:48" ht="15"/>
    <row r="263" spans="2:48" ht="15"/>
    <row r="264" spans="2:48" ht="15"/>
    <row r="265" spans="2:48" ht="15"/>
    <row r="266" spans="2:48" ht="15"/>
  </sheetData>
  <sheetProtection algorithmName="SHA-512" hashValue="FtS6evmhzhGk18IQ35p6X95BgWvXNzlUvAalCZsVMIyfTqaDs6s6XSxD2ugJLfKwV1Nx3gAjqS2zcrL9LwS2PA==" saltValue="tjI8GTKzPDiDgF8Jfb0ppA==" spinCount="100000" sheet="1" objects="1" scenarios="1"/>
  <dataConsolidate/>
  <customSheetViews>
    <customSheetView guid="{8BDA793C-C9C5-4FC6-A0A5-F1109F6D4F22}" state="hidden">
      <pane ySplit="11" topLeftCell="A12" activePane="bottomLeft" state="frozen"/>
      <selection pane="bottomLeft" activeCell="D14" sqref="D14"/>
    </customSheetView>
  </customSheetViews>
  <mergeCells count="20">
    <mergeCell ref="AN10:AO10"/>
    <mergeCell ref="C10:M10"/>
    <mergeCell ref="V10:X10"/>
    <mergeCell ref="Y10:AD10"/>
    <mergeCell ref="AE10:AH10"/>
    <mergeCell ref="O10:P10"/>
    <mergeCell ref="N10:N11"/>
    <mergeCell ref="AK10:AL10"/>
    <mergeCell ref="AM10:AM11"/>
    <mergeCell ref="AI10:AJ10"/>
    <mergeCell ref="AK258:AL258"/>
    <mergeCell ref="B2:E2"/>
    <mergeCell ref="B3:E4"/>
    <mergeCell ref="Q10:Q11"/>
    <mergeCell ref="N9:AL9"/>
    <mergeCell ref="R10:S10"/>
    <mergeCell ref="T10:U10"/>
    <mergeCell ref="Y2:AD4"/>
    <mergeCell ref="O2:P2"/>
    <mergeCell ref="S2:X4"/>
  </mergeCells>
  <conditionalFormatting sqref="L12:L257">
    <cfRule type="containsText" dxfId="139" priority="26" operator="containsText" text="Restore">
      <formula>NOT(ISERROR(SEARCH("Restore",L12)))</formula>
    </cfRule>
  </conditionalFormatting>
  <conditionalFormatting sqref="O12:P257">
    <cfRule type="containsText" dxfId="138" priority="24" operator="containsText" text="Check">
      <formula>NOT(ISERROR(SEARCH("Check",O12)))</formula>
    </cfRule>
    <cfRule type="containsText" dxfId="137" priority="25" operator="containsText" text="Error">
      <formula>NOT(ISERROR(SEARCH("Error",O12)))</formula>
    </cfRule>
  </conditionalFormatting>
  <conditionalFormatting sqref="W12:X257">
    <cfRule type="containsText" dxfId="136" priority="23" operator="containsText" text="Spatial">
      <formula>NOT(ISERROR(SEARCH("Spatial",W12)))</formula>
    </cfRule>
  </conditionalFormatting>
  <conditionalFormatting sqref="Y12:Y257">
    <cfRule type="containsText" dxfId="135" priority="21" operator="containsText" text="Check">
      <formula>NOT(ISERROR(SEARCH("Check",Y12)))</formula>
    </cfRule>
    <cfRule type="containsText" dxfId="134" priority="22" operator="containsText" text="Error">
      <formula>NOT(ISERROR(SEARCH("Error",Y12)))</formula>
    </cfRule>
  </conditionalFormatting>
  <conditionalFormatting sqref="AB12:AM12 AM13:AM258 AB13:AL257">
    <cfRule type="containsText" dxfId="133" priority="19" operator="containsText" text="Check">
      <formula>NOT(ISERROR(SEARCH("Check",AB12)))</formula>
    </cfRule>
    <cfRule type="beginsWith" dxfId="132" priority="20" operator="beginsWith" text="Error">
      <formula>LEFT(AB12,LEN("Error"))="Error"</formula>
    </cfRule>
  </conditionalFormatting>
  <conditionalFormatting sqref="AF12:AF257">
    <cfRule type="beginsWith" dxfId="131" priority="18" operator="beginsWith" text="No - Low Difficulty">
      <formula>LEFT(AF12,LEN("No - Low Difficulty"))="No - Low Difficulty"</formula>
    </cfRule>
  </conditionalFormatting>
  <conditionalFormatting sqref="AJ12:AL257">
    <cfRule type="containsText" dxfId="130" priority="17" operator="containsText" text="Spatial">
      <formula>NOT(ISERROR(SEARCH("Spatial",AJ12)))</formula>
    </cfRule>
  </conditionalFormatting>
  <conditionalFormatting sqref="Y2">
    <cfRule type="containsText" dxfId="129" priority="16" operator="containsText" text="Note">
      <formula>NOT(ISERROR(SEARCH("Note",Y2)))</formula>
    </cfRule>
  </conditionalFormatting>
  <conditionalFormatting sqref="P3">
    <cfRule type="containsText" dxfId="128" priority="14" operator="containsText" text="Error">
      <formula>NOT(ISERROR(SEARCH("Error",P3)))</formula>
    </cfRule>
    <cfRule type="containsText" dxfId="127" priority="15" operator="containsText" text="Check">
      <formula>NOT(ISERROR(SEARCH("Check",P3)))</formula>
    </cfRule>
  </conditionalFormatting>
  <conditionalFormatting sqref="P4">
    <cfRule type="cellIs" dxfId="126" priority="2" operator="equal">
      <formula>0</formula>
    </cfRule>
    <cfRule type="containsText" dxfId="125" priority="3" operator="containsText" text="Check">
      <formula>NOT(ISERROR(SEARCH("Check",P4)))</formula>
    </cfRule>
    <cfRule type="containsText" dxfId="124" priority="4" operator="containsText" text="Error">
      <formula>NOT(ISERROR(SEARCH("Error",P4)))</formula>
    </cfRule>
    <cfRule type="cellIs" dxfId="123" priority="5" operator="lessThan">
      <formula>0</formula>
    </cfRule>
  </conditionalFormatting>
  <conditionalFormatting sqref="S2:X4">
    <cfRule type="containsText" dxfId="122" priority="9" operator="containsText" text="Check">
      <formula>NOT(ISERROR(SEARCH("Check",S2)))</formula>
    </cfRule>
  </conditionalFormatting>
  <conditionalFormatting sqref="P5">
    <cfRule type="containsText" dxfId="121" priority="7" operator="containsText" text="No">
      <formula>NOT(ISERROR(SEARCH("No",P5)))</formula>
    </cfRule>
    <cfRule type="containsText" dxfId="120" priority="8" operator="containsText" text="Yes">
      <formula>NOT(ISERROR(SEARCH("Yes",P5)))</formula>
    </cfRule>
  </conditionalFormatting>
  <conditionalFormatting sqref="U12:U257">
    <cfRule type="containsText" dxfId="119" priority="6" operator="containsText" text="Not possible">
      <formula>NOT(ISERROR(SEARCH("Not possible",U12)))</formula>
    </cfRule>
  </conditionalFormatting>
  <conditionalFormatting sqref="P3:P5">
    <cfRule type="containsText" dxfId="118" priority="1" operator="containsText" text="N/A">
      <formula>NOT(ISERROR(SEARCH("N/A",P3)))</formula>
    </cfRule>
  </conditionalFormatting>
  <dataValidations count="3">
    <dataValidation type="list" allowBlank="1" showInputMessage="1" showErrorMessage="1" sqref="T12:T257" xr:uid="{00000000-0002-0000-1B00-000000000000}">
      <formula1>INDIRECT(AV12)</formula1>
    </dataValidation>
    <dataValidation type="list" allowBlank="1" showInputMessage="1" showErrorMessage="1" sqref="AI12:AI257" xr:uid="{115CD201-24FC-4EDE-AA7A-95187C48E55A}">
      <formula1>IF(N12="Culvert",riparianencroachment2,riparianencroachment1)</formula1>
    </dataValidation>
    <dataValidation type="list" allowBlank="1" showInputMessage="1" showErrorMessage="1" sqref="AK12:AK257" xr:uid="{BBD87B82-D9B4-4B0A-A5D2-C64610A565FA}">
      <formula1>IF(N12="Culvert",Encroachment2,Encroachment1)</formula1>
    </dataValidation>
  </dataValidations>
  <pageMargins left="0.7" right="0.7" top="0.75" bottom="0.75" header="0.3" footer="0.3"/>
  <pageSetup paperSize="9" orientation="portrait" horizontalDpi="90" verticalDpi="90" r:id="rId1"/>
  <cellWatches>
    <cellWatch r="Y13"/>
  </cellWatches>
  <drawing r:id="rId2"/>
  <extLst>
    <ext xmlns:x14="http://schemas.microsoft.com/office/spreadsheetml/2009/9/main" uri="{78C0D931-6437-407d-A8EE-F0AAD7539E65}">
      <x14:conditionalFormattings>
        <x14:conditionalFormatting xmlns:xm="http://schemas.microsoft.com/office/excel/2006/main">
          <x14:cfRule type="cellIs" priority="448" operator="lessThan" id="{A52B8C1E-E180-4514-9FE9-CBD52145CDDA}">
            <xm:f>Start!$F$22</xm:f>
            <x14:dxf>
              <font>
                <color rgb="FF383745"/>
              </font>
              <fill>
                <patternFill>
                  <bgColor rgb="FFFFC000"/>
                </patternFill>
              </fill>
            </x14:dxf>
          </x14:cfRule>
          <x14:cfRule type="cellIs" priority="449" operator="greaterThanOrEqual" id="{4DF44DC3-9198-4FA2-82C8-3744B479C538}">
            <xm:f>Start!$F$22</xm:f>
            <x14:dxf>
              <font>
                <color rgb="FF383745"/>
              </font>
              <fill>
                <patternFill>
                  <bgColor rgb="FF92D050"/>
                </patternFill>
              </fill>
            </x14:dxf>
          </x14:cfRule>
          <xm:sqref>P4</xm:sqref>
        </x14:conditionalFormatting>
      </x14:conditionalFormattings>
    </ext>
    <ext xmlns:x14="http://schemas.microsoft.com/office/spreadsheetml/2009/9/main" uri="{CCE6A557-97BC-4b89-ADB6-D9C93CAAB3DF}">
      <x14:dataValidations xmlns:xm="http://schemas.microsoft.com/office/excel/2006/main" count="4">
        <x14:dataValidation type="list" allowBlank="1" showInputMessage="1" showErrorMessage="1" xr:uid="{00000000-0002-0000-1B00-000001000000}">
          <x14:formula1>
            <xm:f>'\\LYN264DF\m312897$\Net Gain\Rivers and Streams\[Master metric with RS amendments with new G7 layout.xlsm]G-7 Rivers Data'!#REF!</xm:f>
          </x14:formula1>
          <xm:sqref>AI258:AI259</xm:sqref>
        </x14:dataValidation>
        <x14:dataValidation type="list" allowBlank="1" showInputMessage="1" showErrorMessage="1" xr:uid="{00000000-0002-0000-1B00-000005000000}">
          <x14:formula1>
            <xm:f>'G-7 WaterC'' Data'!$B$4:$B$8</xm:f>
          </x14:formula1>
          <xm:sqref>N12:N257</xm:sqref>
        </x14:dataValidation>
        <x14:dataValidation type="list" allowBlank="1" showInputMessage="1" showErrorMessage="1" xr:uid="{F39AF14D-9454-44C2-9938-7636AE653E26}">
          <x14:formula1>
            <xm:f>IF(N12="Culvert",'G-7 WaterC'' Data'!$AK$6,'G-7 WaterC'' Data'!$AK$4:$AK$6)</xm:f>
          </x14:formula1>
          <xm:sqref>V12:V257</xm:sqref>
        </x14:dataValidation>
        <x14:dataValidation type="list" allowBlank="1" showInputMessage="1" showErrorMessage="1" xr:uid="{00000000-0002-0000-1B00-000007000000}">
          <x14:formula1>
            <xm:f>'G-4 Temporal multipliers'!$A$42:$A$73</xm:f>
          </x14:formula1>
          <xm:sqref>Z12:AA257</xm:sqref>
        </x14:dataValidation>
      </x14:dataValidations>
    </ext>
  </extLst>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1">
    <tabColor rgb="FF0033CC"/>
  </sheetPr>
  <dimension ref="B1:BF272"/>
  <sheetViews>
    <sheetView showGridLines="0" zoomScale="80" zoomScaleNormal="80" workbookViewId="0">
      <pane ySplit="9" topLeftCell="A10" activePane="bottomLeft" state="frozen"/>
      <selection pane="bottomLeft"/>
    </sheetView>
  </sheetViews>
  <sheetFormatPr defaultColWidth="6.7109375" defaultRowHeight="0" customHeight="1" zeroHeight="1"/>
  <cols>
    <col min="1" max="1" width="3" style="30" customWidth="1"/>
    <col min="2" max="2" width="4.7109375" style="102" customWidth="1"/>
    <col min="3" max="3" width="10" style="102" customWidth="1"/>
    <col min="4" max="4" width="55" style="30" customWidth="1"/>
    <col min="5" max="5" width="13.28515625" style="30" customWidth="1"/>
    <col min="6" max="6" width="18.7109375" style="30" customWidth="1"/>
    <col min="7" max="7" width="8.7109375" style="30" customWidth="1"/>
    <col min="8" max="8" width="14.28515625" style="30" bestFit="1" customWidth="1"/>
    <col min="9" max="9" width="12.7109375" style="30" customWidth="1"/>
    <col min="10" max="10" width="33.7109375" style="30" customWidth="1"/>
    <col min="11" max="11" width="15.28515625" style="30" customWidth="1"/>
    <col min="12" max="12" width="13.7109375" style="30" customWidth="1"/>
    <col min="13" max="13" width="18.28515625" style="30" customWidth="1"/>
    <col min="14" max="14" width="12.7109375" style="30" customWidth="1"/>
    <col min="15" max="15" width="21" style="30" customWidth="1"/>
    <col min="16" max="16" width="12.7109375" style="30" customWidth="1"/>
    <col min="17" max="17" width="14.28515625" style="30" customWidth="1"/>
    <col min="18" max="18" width="24.42578125" style="30" hidden="1" customWidth="1"/>
    <col min="19" max="19" width="77.5703125" style="30" customWidth="1"/>
    <col min="20" max="20" width="14.42578125" style="30" hidden="1" customWidth="1"/>
    <col min="21" max="21" width="15.28515625" style="30" customWidth="1"/>
    <col min="22" max="22" width="3.7109375" style="30" customWidth="1"/>
    <col min="23" max="23" width="12.28515625" style="30" customWidth="1"/>
    <col min="24" max="24" width="12.7109375" style="30" customWidth="1"/>
    <col min="25" max="25" width="10.7109375" style="30" customWidth="1"/>
    <col min="26" max="26" width="11.7109375" style="30" customWidth="1"/>
    <col min="27" max="27" width="15.42578125" style="30" customWidth="1"/>
    <col min="28" max="28" width="13.5703125" style="30" customWidth="1"/>
    <col min="29" max="29" width="17.28515625" style="30" customWidth="1"/>
    <col min="30" max="31" width="50.28515625" style="30" customWidth="1"/>
    <col min="32" max="32" width="12.5703125" style="30" customWidth="1"/>
    <col min="33" max="33" width="12.28515625" style="30" customWidth="1"/>
    <col min="34" max="34" width="10.28515625" style="30" hidden="1" customWidth="1"/>
    <col min="35" max="35" width="11.42578125" style="30" hidden="1" customWidth="1"/>
    <col min="36" max="36" width="22.28515625" style="30" hidden="1" customWidth="1"/>
    <col min="37" max="51" width="6.7109375" style="30" hidden="1" customWidth="1"/>
    <col min="52" max="52" width="10.7109375" style="30" hidden="1" customWidth="1"/>
    <col min="53" max="58" width="6.7109375" style="30" hidden="1" customWidth="1"/>
    <col min="59" max="61" width="6.7109375" style="30" customWidth="1"/>
    <col min="62" max="16384" width="6.7109375" style="30"/>
  </cols>
  <sheetData>
    <row r="1" spans="2:52" ht="12.75" customHeight="1" thickBot="1">
      <c r="B1" s="30"/>
      <c r="C1" s="30"/>
    </row>
    <row r="2" spans="2:52" ht="19.5" customHeight="1" thickBot="1">
      <c r="B2" s="1600" t="str">
        <f>CONCATENATE("Project Name:", " ", Start!F12, "     ", "Map Reference:", " ", Start!F66)</f>
        <v xml:space="preserve">Project Name: Grove Farm Solar     Map Reference: </v>
      </c>
      <c r="C2" s="1603"/>
      <c r="D2" s="1603"/>
      <c r="E2" s="1601"/>
      <c r="H2" s="1595" t="s">
        <v>404</v>
      </c>
      <c r="I2" s="1607"/>
      <c r="J2" s="1607"/>
      <c r="K2" s="1607"/>
      <c r="L2" s="1607"/>
      <c r="M2" s="1596"/>
      <c r="O2" s="1615" t="str" cm="1">
        <f t="array" ref="O2">IF(OR(H10:H257 = "Fairly Good", H10:H257 = "Fairly Poor"),"A 'Fairly' Category has been used - check evidence to ensure this is appropriate ⚠", "")</f>
        <v/>
      </c>
      <c r="P2" s="1615"/>
      <c r="Q2" s="1615"/>
      <c r="R2" s="1615"/>
      <c r="S2" s="1615"/>
      <c r="T2" s="1615"/>
      <c r="U2" s="1615"/>
      <c r="V2" s="1615"/>
    </row>
    <row r="3" spans="2:52" ht="15" customHeight="1" thickBot="1">
      <c r="B3" s="1557" t="str">
        <f ca="1">MID(CELL("filename",A1),FIND("]",CELL("filename",A1))+1,256)</f>
        <v>F-1 Off-Site WaterC' Baseline</v>
      </c>
      <c r="C3" s="1558"/>
      <c r="D3" s="1558"/>
      <c r="E3" s="1559"/>
      <c r="H3" s="1505" t="s">
        <v>263</v>
      </c>
      <c r="I3" s="1506"/>
      <c r="J3" s="1506"/>
      <c r="K3" s="1501">
        <f>'Headline Results'!H49</f>
        <v>0</v>
      </c>
      <c r="L3" s="1501"/>
      <c r="M3" s="1502"/>
      <c r="O3" s="1615"/>
      <c r="P3" s="1615"/>
      <c r="Q3" s="1615"/>
      <c r="R3" s="1615"/>
      <c r="S3" s="1615"/>
      <c r="T3" s="1615"/>
      <c r="U3" s="1615"/>
      <c r="V3" s="1615"/>
    </row>
    <row r="4" spans="2:52" ht="15" customHeight="1" thickBot="1">
      <c r="B4" s="1557"/>
      <c r="C4" s="1558"/>
      <c r="D4" s="1558"/>
      <c r="E4" s="1559"/>
      <c r="H4" s="1583" t="s">
        <v>265</v>
      </c>
      <c r="I4" s="1584"/>
      <c r="J4" s="1584"/>
      <c r="K4" s="1577">
        <f>'Headline Results'!H53</f>
        <v>0</v>
      </c>
      <c r="L4" s="1577"/>
      <c r="M4" s="1578"/>
      <c r="O4" s="1615"/>
      <c r="P4" s="1615"/>
      <c r="Q4" s="1615"/>
      <c r="R4" s="1615"/>
      <c r="S4" s="1615"/>
      <c r="T4" s="1615"/>
      <c r="U4" s="1615"/>
      <c r="V4" s="1615"/>
      <c r="W4" s="1608" t="str">
        <f>IF(SUM(AK10:AK257)&gt;0,"Check Lengths ⚠","")</f>
        <v/>
      </c>
      <c r="X4" s="1608"/>
      <c r="Y4" s="1608"/>
      <c r="Z4" s="1608"/>
      <c r="AA4" s="1608"/>
      <c r="AB4" s="1608"/>
      <c r="AC4" s="669"/>
    </row>
    <row r="5" spans="2:52" ht="27" customHeight="1" thickBot="1">
      <c r="B5" s="30"/>
      <c r="C5" s="30"/>
      <c r="H5" s="1582" t="s">
        <v>267</v>
      </c>
      <c r="I5" s="1579"/>
      <c r="J5" s="1579"/>
      <c r="K5" s="1579" t="str" cm="1">
        <f t="array" ref="K5">IF(OR('Trading Summary WaterC''s'!G5:H8="No ▲"), "No - check trading summary ▲", "Yes ✓")</f>
        <v>Yes ✓</v>
      </c>
      <c r="L5" s="1579"/>
      <c r="M5" s="1580"/>
      <c r="V5" s="329"/>
      <c r="W5" s="1608"/>
      <c r="X5" s="1608"/>
      <c r="Y5" s="1608"/>
      <c r="Z5" s="1608"/>
      <c r="AA5" s="1608"/>
      <c r="AB5" s="1608"/>
      <c r="AC5" s="669"/>
    </row>
    <row r="6" spans="2:52" ht="40.15" customHeight="1">
      <c r="B6" s="30"/>
      <c r="C6" s="30"/>
      <c r="D6" s="101"/>
    </row>
    <row r="7" spans="2:52" ht="15.75" thickBot="1"/>
    <row r="8" spans="2:52" ht="30.75" customHeight="1" thickBot="1">
      <c r="C8" s="1536" t="s">
        <v>405</v>
      </c>
      <c r="D8" s="1536"/>
      <c r="E8" s="1536"/>
      <c r="F8" s="1552" t="s">
        <v>269</v>
      </c>
      <c r="G8" s="1552"/>
      <c r="H8" s="1552" t="s">
        <v>357</v>
      </c>
      <c r="I8" s="1552"/>
      <c r="J8" s="1536" t="s">
        <v>271</v>
      </c>
      <c r="K8" s="1536"/>
      <c r="L8" s="1536"/>
      <c r="M8" s="1552" t="s">
        <v>406</v>
      </c>
      <c r="N8" s="1552"/>
      <c r="O8" s="1552" t="s">
        <v>407</v>
      </c>
      <c r="P8" s="1552"/>
      <c r="Q8" s="1534" t="s">
        <v>272</v>
      </c>
      <c r="R8" s="134" t="s">
        <v>273</v>
      </c>
      <c r="S8" s="1535" t="s">
        <v>358</v>
      </c>
      <c r="T8" s="1536"/>
      <c r="U8" s="134" t="s">
        <v>273</v>
      </c>
      <c r="V8" s="103"/>
      <c r="W8" s="1536" t="s">
        <v>274</v>
      </c>
      <c r="X8" s="1536"/>
      <c r="Y8" s="1536"/>
      <c r="Z8" s="1536"/>
      <c r="AA8" s="1536"/>
      <c r="AB8" s="1536"/>
      <c r="AC8" s="1537" t="s">
        <v>275</v>
      </c>
      <c r="AD8" s="1536" t="s">
        <v>276</v>
      </c>
      <c r="AE8" s="1536"/>
      <c r="AH8" s="37" t="s">
        <v>266</v>
      </c>
      <c r="AI8" s="37" t="s">
        <v>266</v>
      </c>
    </row>
    <row r="9" spans="2:52" ht="62.1" customHeight="1" thickBot="1">
      <c r="C9" s="132" t="s">
        <v>339</v>
      </c>
      <c r="D9" s="811" t="s">
        <v>193</v>
      </c>
      <c r="E9" s="752" t="s">
        <v>34</v>
      </c>
      <c r="F9" s="132" t="s">
        <v>269</v>
      </c>
      <c r="G9" s="752" t="s">
        <v>286</v>
      </c>
      <c r="H9" s="132" t="s">
        <v>270</v>
      </c>
      <c r="I9" s="752" t="s">
        <v>286</v>
      </c>
      <c r="J9" s="132" t="s">
        <v>271</v>
      </c>
      <c r="K9" s="811" t="s">
        <v>271</v>
      </c>
      <c r="L9" s="752" t="s">
        <v>317</v>
      </c>
      <c r="M9" s="132" t="s">
        <v>409</v>
      </c>
      <c r="N9" s="752" t="s">
        <v>410</v>
      </c>
      <c r="O9" s="132" t="s">
        <v>411</v>
      </c>
      <c r="P9" s="752" t="s">
        <v>410</v>
      </c>
      <c r="Q9" s="1534"/>
      <c r="R9" s="750" t="s">
        <v>425</v>
      </c>
      <c r="S9" s="839" t="s">
        <v>361</v>
      </c>
      <c r="T9" s="866" t="s">
        <v>358</v>
      </c>
      <c r="U9" s="750" t="s">
        <v>412</v>
      </c>
      <c r="V9" s="107"/>
      <c r="W9" s="132" t="s">
        <v>384</v>
      </c>
      <c r="X9" s="811" t="s">
        <v>385</v>
      </c>
      <c r="Y9" s="811" t="s">
        <v>386</v>
      </c>
      <c r="Z9" s="811" t="s">
        <v>387</v>
      </c>
      <c r="AA9" s="811" t="s">
        <v>388</v>
      </c>
      <c r="AB9" s="752" t="s">
        <v>294</v>
      </c>
      <c r="AC9" s="1570"/>
      <c r="AD9" s="132" t="s">
        <v>295</v>
      </c>
      <c r="AE9" s="752" t="s">
        <v>296</v>
      </c>
      <c r="AF9" s="43" t="s">
        <v>297</v>
      </c>
      <c r="AG9" s="43" t="s">
        <v>363</v>
      </c>
      <c r="AH9" s="50" t="s">
        <v>298</v>
      </c>
      <c r="AI9" s="50" t="s">
        <v>299</v>
      </c>
      <c r="AJ9" s="101" t="s">
        <v>280</v>
      </c>
      <c r="AK9" s="33" t="s">
        <v>426</v>
      </c>
      <c r="AL9" s="108" t="s">
        <v>300</v>
      </c>
      <c r="AM9" s="108" t="s">
        <v>301</v>
      </c>
      <c r="AN9" s="109"/>
      <c r="AO9" s="108" t="s">
        <v>303</v>
      </c>
      <c r="AP9" s="109"/>
      <c r="AQ9" s="108" t="s">
        <v>300</v>
      </c>
      <c r="AR9" s="108" t="s">
        <v>301</v>
      </c>
      <c r="AZ9" s="811" t="s">
        <v>386</v>
      </c>
    </row>
    <row r="10" spans="2:52" ht="15.75" thickBot="1">
      <c r="C10" s="104">
        <v>1</v>
      </c>
      <c r="D10" s="823"/>
      <c r="E10" s="789"/>
      <c r="F10" s="443" t="str">
        <f>IF(D10="","",VLOOKUP(D10,'G-7 WaterC'' Data'!$B$2:$G$8,2,FALSE))</f>
        <v/>
      </c>
      <c r="G10" s="790" t="str">
        <f>IFERROR(VLOOKUP(F10,'G-7 WaterC'' Data'!$C$4:$D$8,2,FALSE),"")</f>
        <v/>
      </c>
      <c r="H10" s="841"/>
      <c r="I10" s="790" t="str">
        <f>IFERROR(INDEX('G-7 WaterC'' Data'!$H$4:$L$8,MATCH(D10,'G-7 WaterC'' Data'!$B$4:$B$8,0),MATCH(H10,'G-7 WaterC'' Data'!$H$3:$L$3,0)),"")</f>
        <v/>
      </c>
      <c r="J10" s="791"/>
      <c r="K10" s="367" t="str">
        <f>IF(J10="","",IF(VLOOKUP(J10,'G-7 WaterC'' Data'!$AK$4:$AM$9,2,FALSE)=0,"Spatial Data Missing ⚠",VLOOKUP(J10,'G-7 WaterC'' Data'!$AK$4:$AM$6,2,FALSE)))</f>
        <v/>
      </c>
      <c r="L10" s="790" t="str">
        <f>IF(J10="","",IF(VLOOKUP(J10,'G-7 WaterC'' Data'!$AK$4:$AM$9,3,FALSE)=0,"Spatial Data Missing ⚠",VLOOKUP(J10,'G-7 WaterC'' Data'!$AK$4:$AM$6,3,FALSE)))</f>
        <v/>
      </c>
      <c r="M10" s="791"/>
      <c r="N10" s="790" t="str">
        <f>IF(M10="","",IF(VLOOKUP(M10,'G-7 WaterC'' Data'!$AA$4:$AB$7,2,FALSE)=0,"Spatial Data Missing ⚠",VLOOKUP(M10,'G-7 WaterC'' Data'!$AA$4:$AB$7,2,FALSE)))</f>
        <v/>
      </c>
      <c r="O10" s="884"/>
      <c r="P10" s="790" t="str">
        <f>IF(O10="","",IF(VLOOKUP(O10,'G-7 WaterC'' Data'!$AD$4:$AE$14,2,FALSE)=0,"Spatial Data Missing ⚠",VLOOKUP(O10,'G-7 WaterC'' Data'!$AD$4:$AE$14,2,FALSE)))</f>
        <v/>
      </c>
      <c r="Q10" s="793" t="str">
        <f>IF(D10="","",VLOOKUP(D10,'G-7 WaterC'' Data'!$B$4:$G$8,6,FALSE))</f>
        <v/>
      </c>
      <c r="R10" s="794" t="str">
        <f>IFERROR(IF(D10="","",IF(AND(Q10='G-1 All Habitats'!$X$3,X10&gt;0),Y10+(Z10*T10),IF(AND(Q10='G-1 All Habitats'!$X$3,W10&gt;0),Y10+(Z10*T10),IF(AND(Q10='G-1 All Habitats'!$X$3,AH10&gt;0),"Any Loss Unacceptable ⚠",IF(AND(Q10='G-1 All Habitats'!$X$3,AI10&gt;0),"Any Loss Unacceptable ⚠", E10*G10*I10*L10*N10*P10*T10 ))))),"Check Data ▲")</f>
        <v/>
      </c>
      <c r="S10" s="578"/>
      <c r="T10" s="792" t="str">
        <f>IF(S10="","",IF(VLOOKUP(S10,'G-7 WaterC'' Data'!$AO$4:$BO$7,2,FALSE)=0,"Spatial Data Missing ⚠",VLOOKUP(S10,'G-7 WaterC'' Data'!$AO$4:$BO$7,2,FALSE)))</f>
        <v/>
      </c>
      <c r="U10" s="794" t="str">
        <f>IFERROR(IF(D10="","",IF(AND(Q10='G-1 All Habitats'!$X$3,X10&gt;0),Y10+Z10,IF(AND(Q10='G-1 All Habitats'!$X$3,W10&gt;0),Y10+Z10,IF(AND(Q10='G-1 All Habitats'!$X$3,AH10&gt;0),"Any Loss Unacceptable ⚠",IF(AND(Q10='G-1 All Habitats'!$X$3,AI10&gt;0),"Any Loss Unacceptable ⚠", E10*G10*I10*L10*N10*P10 ))))),"Check Data ▲")</f>
        <v/>
      </c>
      <c r="V10" s="32"/>
      <c r="W10" s="791"/>
      <c r="X10" s="801"/>
      <c r="Y10" s="802" t="str">
        <f>IFERROR(IF(W10&gt;E10,"Error in Lengths ▲",W10*G10*I10*L10*N10*P10),"")</f>
        <v/>
      </c>
      <c r="Z10" s="802" t="str">
        <f>IFERROR(IF(D10="","",X10*G10*I10*L10*N10*P10),"")</f>
        <v/>
      </c>
      <c r="AA10" s="802" t="str">
        <f>IFERROR(IF(D10="","",IF(AND(AC10="Yes", F10="V.High"), "Unacceptable loss ⚠",  IF(E10&gt;(W10+X10),E10-W10-X10,0))),"")</f>
        <v/>
      </c>
      <c r="AB10" s="875" t="str">
        <f>IFERROR(IF(E10="","",IF((Y10+Z10)&gt;U10,0, IF(AND(AC10="Yes", D10="Priority habitat"), "Alternative compensation agreed ✓", IF(AND(D10="Priority habitat", X10+W10&lt;&gt;E10), "Any loss unacceptable ▲", U10-Y10-Z10)))),"Check Data ⚠")</f>
        <v/>
      </c>
      <c r="AC10" s="578"/>
      <c r="AD10" s="136"/>
      <c r="AE10" s="137"/>
      <c r="AF10" s="137"/>
      <c r="AG10" s="137"/>
      <c r="AH10" s="57" t="str">
        <f>IF(Q10="","",IF(Q10='G-1 All Habitats'!$X$3,E10-X10-W10,"None"))</f>
        <v/>
      </c>
      <c r="AI10" s="58" t="str">
        <f>IF(Q10="","", IF(Q10='G-1 All Habitats'!$X$3, AH10*G10*I10*L10*N10*P10,"None"))</f>
        <v/>
      </c>
      <c r="AJ10" s="30" t="str">
        <f>IFERROR(INDEX('G-7 WaterC'' Data'!$AZ$3:$AZ$7,MATCH(D10,'G-7 WaterC'' Data'!$AY$3:$AY$7,0)),"")</f>
        <v/>
      </c>
      <c r="AK10" s="30">
        <f>IFERROR(IF(W10+X10&gt;E10,1,0),"")</f>
        <v>0</v>
      </c>
      <c r="AL10" s="108" t="str">
        <f>IF(D10="","",IF(W10&gt;0,TRUE,FALSE))</f>
        <v/>
      </c>
      <c r="AM10" s="108" t="str">
        <f>IF(D10="","",IF(X10&gt;0,TRUE,FALSE))</f>
        <v/>
      </c>
      <c r="AN10" s="109"/>
      <c r="AO10" s="108">
        <v>1</v>
      </c>
      <c r="AP10" s="109"/>
      <c r="AQ10" s="108" t="str">
        <f t="array" ref="AQ10">IFERROR(INDEX($AO$10:$AO$258, MATCH(0, IF(TRUE=$AL$10:$AL$258, COUNTIF($AQ9:$AQ$9, $AO$10:$AO$258), ""), 0)),"")</f>
        <v/>
      </c>
      <c r="AR10" s="108" t="str">
        <f t="array" ref="AR10">IFERROR(INDEX($AO$10:$AO$258, MATCH(0, IF(TRUE=$AM$10:$AM$258, COUNTIF($AR9:$AR$9, $AO$10:$AO$258), ""), 0)),"")</f>
        <v/>
      </c>
      <c r="AZ10" s="802" t="str">
        <f>IFERROR(IF(W10&gt;E10,"Error in Lengths ▲",W10*G10*I10*L10*N10*P10*T10),"")</f>
        <v/>
      </c>
    </row>
    <row r="11" spans="2:52" ht="15.75" thickBot="1">
      <c r="C11" s="110">
        <v>2</v>
      </c>
      <c r="D11" s="339"/>
      <c r="E11" s="111"/>
      <c r="F11" s="362" t="str">
        <f>IF(D11="","",VLOOKUP(D11,'G-7 WaterC'' Data'!$B$2:$G$8,2,FALSE))</f>
        <v/>
      </c>
      <c r="G11" s="363" t="str">
        <f>IFERROR(VLOOKUP(F11,'G-7 WaterC'' Data'!$C$4:$D$8,2,FALSE),"")</f>
        <v/>
      </c>
      <c r="H11" s="114"/>
      <c r="I11" s="363" t="str">
        <f>IFERROR(INDEX('G-7 WaterC'' Data'!$H$4:$L$8,MATCH(D11,'G-7 WaterC'' Data'!$B$4:$B$8,0),MATCH(H11,'G-7 WaterC'' Data'!$H$3:$L$3,0)),"")</f>
        <v/>
      </c>
      <c r="J11" s="115"/>
      <c r="K11" s="382" t="str">
        <f>IF(J11="","",IF(VLOOKUP(J11,'G-7 WaterC'' Data'!$AK$4:$AM$9,2,FALSE)=0,"Spatial Data Missing ⚠",VLOOKUP(J11,'G-7 WaterC'' Data'!$AK$4:$AM$6,2,FALSE)))</f>
        <v/>
      </c>
      <c r="L11" s="386" t="str">
        <f>IF(J11="","",IF(VLOOKUP(J11,'G-7 WaterC'' Data'!$AK$4:$AM$9,3,FALSE)=0,"Spatial Data Missing ⚠",VLOOKUP(J11,'G-7 WaterC'' Data'!$AK$4:$AM$6,3,FALSE)))</f>
        <v/>
      </c>
      <c r="M11" s="115"/>
      <c r="N11" s="363" t="str">
        <f>IF(M11="","",IF(VLOOKUP(M11,'G-7 WaterC'' Data'!$AA$4:$AB$7,2,FALSE)=0,"Spatial Data Missing ⚠",VLOOKUP(M11,'G-7 WaterC'' Data'!$AA$4:$AB$7,2,FALSE)))</f>
        <v/>
      </c>
      <c r="O11" s="60"/>
      <c r="P11" s="363" t="str">
        <f>IF(O11="","",IF(VLOOKUP(O11,'G-7 WaterC'' Data'!$AD$4:$AE$14,2,FALSE)=0,"Spatial Data Missing ⚠",VLOOKUP(O11,'G-7 WaterC'' Data'!$AD$4:$AE$14,2,FALSE)))</f>
        <v/>
      </c>
      <c r="Q11" s="369" t="str">
        <f>IF(D11="","",VLOOKUP(D11,'G-7 WaterC'' Data'!$B$4:$G$8,6,FALSE))</f>
        <v/>
      </c>
      <c r="R11" s="376" t="str">
        <f>IFERROR(IF(D11="","",IF(AND(Q11='G-1 All Habitats'!$X$3,X11&gt;0),Y11+(Z11*T11),IF(AND(Q11='G-1 All Habitats'!$X$3,W11&gt;0),Y11+(Z11*T11),IF(AND(Q11='G-1 All Habitats'!$X$3,AH11&gt;0),"Any Loss Unacceptable ⚠",IF(AND(Q11='G-1 All Habitats'!$X$3,AI11&gt;0),"Any Loss Unacceptable ⚠", E11*G11*I11*L11*N11*P11*T11 ))))),"Check Data ▲")</f>
        <v/>
      </c>
      <c r="S11" s="516"/>
      <c r="T11" s="368" t="str">
        <f>IF(S11="","",IF(VLOOKUP(S11,'G-7 WaterC'' Data'!$AO$4:$BO$7,2,FALSE)=0,"Spatial Data Missing ⚠",VLOOKUP(S11,'G-7 WaterC'' Data'!$AO$4:$BO$7,2,FALSE)))</f>
        <v/>
      </c>
      <c r="U11" s="376" t="str">
        <f>IFERROR(IF(D11="","",IF(AND(Q11='G-1 All Habitats'!$X$3,X11&gt;0),Y11+Z11,IF(AND(Q11='G-1 All Habitats'!$X$3,W11&gt;0),Y11+Z11,IF(AND(Q11='G-1 All Habitats'!$X$3,AH11&gt;0),"Any Loss Unacceptable ⚠",IF(AND(Q11='G-1 All Habitats'!$X$3,AI11&gt;0),"Any Loss Unacceptable ⚠", E11*G11*I11*L11*N11*P11 ))))),"Check Data ▲")</f>
        <v/>
      </c>
      <c r="V11" s="32"/>
      <c r="W11" s="54"/>
      <c r="X11" s="55"/>
      <c r="Y11" s="374" t="str">
        <f t="shared" ref="Y11:Y73" si="0">IFERROR(IF(W11&gt;E11,"Error in Lengths ▲",W11*G11*I11*L11*N11*P11),"")</f>
        <v/>
      </c>
      <c r="Z11" s="374" t="str">
        <f t="shared" ref="Z11:Z74" si="1">IFERROR(IF(D11="","",X11*G11*I11*L11*N11*P11),"")</f>
        <v/>
      </c>
      <c r="AA11" s="374" t="str">
        <f t="shared" ref="AA11:AA74" si="2">IFERROR(IF(D11="","",IF(AND(AC11="Yes", F11="V.High"), "Unacceptable loss ⚠",  IF(E11&gt;(W11+X11),E11-W11-X11,0))),"")</f>
        <v/>
      </c>
      <c r="AB11" s="670" t="str">
        <f t="shared" ref="AB11:AB74" si="3">IFERROR(IF(E11="","",IF((Y11+Z11)&gt;U11,0, IF(AND(AC11="Yes", D11="Priority habitat"), "Alternative compensation agreed ✓", IF(AND(D11="Priority habitat", X11+W11&lt;&gt;E11), "Any loss unacceptable ▲", U11-Y11-Z11)))),"Check Data ⚠")</f>
        <v/>
      </c>
      <c r="AC11" s="516"/>
      <c r="AD11" s="119"/>
      <c r="AE11" s="120"/>
      <c r="AF11" s="120"/>
      <c r="AG11" s="120"/>
      <c r="AH11" s="57" t="str">
        <f>IF(Q11="","",IF(Q11='G-1 All Habitats'!$X$3,E11-X11-W11,"None"))</f>
        <v/>
      </c>
      <c r="AI11" s="58" t="str">
        <f>IF(Q11="","", IF(Q11='G-1 All Habitats'!$X$3, AH11*G11*I11*L11*N11*P11,"None"))</f>
        <v/>
      </c>
      <c r="AJ11" s="30" t="str">
        <f>IFERROR(INDEX('G-7 WaterC'' Data'!$AZ$3:$AZ$7,MATCH(D11,'G-7 WaterC'' Data'!$AY$3:$AY$7,0)),"")</f>
        <v/>
      </c>
      <c r="AK11" s="30">
        <f t="shared" ref="AK11:AK74" si="4">IFERROR(IF(W11+X11&gt;E11,1,0),"")</f>
        <v>0</v>
      </c>
      <c r="AL11" s="108" t="str">
        <f t="shared" ref="AL11:AL74" si="5">IF(D11="","",IF(W11&gt;0,TRUE,FALSE))</f>
        <v/>
      </c>
      <c r="AM11" s="108" t="str">
        <f t="shared" ref="AM11:AM74" si="6">IF(D11="","",IF(X11&gt;0,TRUE,FALSE))</f>
        <v/>
      </c>
      <c r="AN11" s="109"/>
      <c r="AO11" s="108">
        <v>2</v>
      </c>
      <c r="AP11" s="109"/>
      <c r="AQ11" s="108" t="str">
        <f t="array" ref="AQ11">IFERROR(INDEX($AO$10:$AO$258, MATCH(0, IF(TRUE=$AL$10:$AL$258, COUNTIF($AQ$9:$AQ10, $AO$10:$AO$258), ""), 0)),"")</f>
        <v/>
      </c>
      <c r="AR11" s="108" t="str">
        <f t="array" ref="AR11">IFERROR(INDEX($AO$10:$AO$258, MATCH(0, IF(TRUE=$AM$10:$AM$258, COUNTIF($AR$9:$AR10, $AO$10:$AO$258), ""), 0)),"")</f>
        <v/>
      </c>
      <c r="AZ11" s="802" t="str">
        <f t="shared" ref="AZ11:AZ74" si="7">IFERROR(IF(W11&gt;E11,"Error in Lengths ▲",W11*G11*I11*L11*N11*P11*T11),"")</f>
        <v/>
      </c>
    </row>
    <row r="12" spans="2:52" ht="15.75" thickBot="1">
      <c r="C12" s="110">
        <v>3</v>
      </c>
      <c r="D12" s="339"/>
      <c r="E12" s="111"/>
      <c r="F12" s="362" t="str">
        <f>IF(D12="","",VLOOKUP(D12,'G-7 WaterC'' Data'!$B$2:$G$8,2,FALSE))</f>
        <v/>
      </c>
      <c r="G12" s="363" t="str">
        <f>IFERROR(VLOOKUP(F12,'G-7 WaterC'' Data'!$C$4:$D$8,2,FALSE),"")</f>
        <v/>
      </c>
      <c r="H12" s="114"/>
      <c r="I12" s="363" t="str">
        <f>IFERROR(INDEX('G-7 WaterC'' Data'!$H$4:$L$8,MATCH(D12,'G-7 WaterC'' Data'!$B$4:$B$8,0),MATCH(H12,'G-7 WaterC'' Data'!$H$3:$L$3,0)),"")</f>
        <v/>
      </c>
      <c r="J12" s="115"/>
      <c r="K12" s="382" t="str">
        <f>IF(J12="","",IF(VLOOKUP(J12,'G-7 WaterC'' Data'!$AK$4:$AM$9,2,FALSE)=0,"Spatial Data Missing ⚠",VLOOKUP(J12,'G-7 WaterC'' Data'!$AK$4:$AM$6,2,FALSE)))</f>
        <v/>
      </c>
      <c r="L12" s="386" t="str">
        <f>IF(J12="","",IF(VLOOKUP(J12,'G-7 WaterC'' Data'!$AK$4:$AM$9,3,FALSE)=0,"Spatial Data Missing ⚠",VLOOKUP(J12,'G-7 WaterC'' Data'!$AK$4:$AM$6,3,FALSE)))</f>
        <v/>
      </c>
      <c r="M12" s="115"/>
      <c r="N12" s="363" t="str">
        <f>IF(M12="","",IF(VLOOKUP(M12,'G-7 WaterC'' Data'!$AA$4:$AB$7,2,FALSE)=0,"Spatial Data Missing ⚠",VLOOKUP(M12,'G-7 WaterC'' Data'!$AA$4:$AB$7,2,FALSE)))</f>
        <v/>
      </c>
      <c r="O12" s="60"/>
      <c r="P12" s="363" t="str">
        <f>IF(O12="","",IF(VLOOKUP(O12,'G-7 WaterC'' Data'!$AD$4:$AE$14,2,FALSE)=0,"Spatial Data Missing ⚠",VLOOKUP(O12,'G-7 WaterC'' Data'!$AD$4:$AE$14,2,FALSE)))</f>
        <v/>
      </c>
      <c r="Q12" s="369" t="str">
        <f>IF(D12="","",VLOOKUP(D12,'G-7 WaterC'' Data'!$B$4:$G$8,6,FALSE))</f>
        <v/>
      </c>
      <c r="R12" s="376" t="str">
        <f>IFERROR(IF(D12="","",IF(AND(Q12='G-1 All Habitats'!$X$3,X12&gt;0),Y12+(Z12*T12),IF(AND(Q12='G-1 All Habitats'!$X$3,W12&gt;0),Y12+(Z12*T12),IF(AND(Q12='G-1 All Habitats'!$X$3,AH12&gt;0),"Any Loss Unacceptable ⚠",IF(AND(Q12='G-1 All Habitats'!$X$3,AI12&gt;0),"Any Loss Unacceptable ⚠", E12*G12*I12*L12*N12*P12*T12 ))))),"Check Data ▲")</f>
        <v/>
      </c>
      <c r="S12" s="516"/>
      <c r="T12" s="368" t="str">
        <f>IF(S12="","",IF(VLOOKUP(S12,'G-7 WaterC'' Data'!$AO$4:$BO$7,2,FALSE)=0,"Spatial Data Missing ⚠",VLOOKUP(S12,'G-7 WaterC'' Data'!$AO$4:$BO$7,2,FALSE)))</f>
        <v/>
      </c>
      <c r="U12" s="376" t="str">
        <f>IFERROR(IF(D12="","",IF(AND(Q12='G-1 All Habitats'!$X$3,X12&gt;0),Y12+Z12,IF(AND(Q12='G-1 All Habitats'!$X$3,W12&gt;0),Y12+Z12,IF(AND(Q12='G-1 All Habitats'!$X$3,AH12&gt;0),"Any Loss Unacceptable ⚠",IF(AND(Q12='G-1 All Habitats'!$X$3,AI12&gt;0),"Any Loss Unacceptable ⚠", E12*G12*I12*L12*N12*P12 ))))),"Check Data ▲")</f>
        <v/>
      </c>
      <c r="V12" s="32"/>
      <c r="W12" s="54"/>
      <c r="X12" s="55"/>
      <c r="Y12" s="374" t="str">
        <f t="shared" si="0"/>
        <v/>
      </c>
      <c r="Z12" s="374" t="str">
        <f t="shared" si="1"/>
        <v/>
      </c>
      <c r="AA12" s="374" t="str">
        <f t="shared" si="2"/>
        <v/>
      </c>
      <c r="AB12" s="670" t="str">
        <f t="shared" si="3"/>
        <v/>
      </c>
      <c r="AC12" s="516"/>
      <c r="AD12" s="119"/>
      <c r="AE12" s="120"/>
      <c r="AF12" s="120"/>
      <c r="AG12" s="120"/>
      <c r="AH12" s="57" t="str">
        <f>IF(Q12="","",IF(Q12='G-1 All Habitats'!$X$3,E12-X12-W12,"None"))</f>
        <v/>
      </c>
      <c r="AI12" s="58" t="str">
        <f>IF(Q12="","", IF(Q12='G-1 All Habitats'!$X$3, AH12*G12*I12*L12*N12*P12,"None"))</f>
        <v/>
      </c>
      <c r="AJ12" s="30" t="str">
        <f>IFERROR(INDEX('G-7 WaterC'' Data'!$AZ$3:$AZ$7,MATCH(D12,'G-7 WaterC'' Data'!$AY$3:$AY$7,0)),"")</f>
        <v/>
      </c>
      <c r="AK12" s="30">
        <f t="shared" si="4"/>
        <v>0</v>
      </c>
      <c r="AL12" s="108" t="str">
        <f t="shared" si="5"/>
        <v/>
      </c>
      <c r="AM12" s="108" t="str">
        <f t="shared" si="6"/>
        <v/>
      </c>
      <c r="AN12" s="109"/>
      <c r="AO12" s="108">
        <v>3</v>
      </c>
      <c r="AP12" s="109"/>
      <c r="AQ12" s="108" t="str">
        <f t="array" ref="AQ12">IFERROR(INDEX($AO$10:$AO$258, MATCH(0, IF(TRUE=$AL$10:$AL$258, COUNTIF($AQ$9:$AQ11, $AO$10:$AO$258), ""), 0)),"")</f>
        <v/>
      </c>
      <c r="AR12" s="108" t="str">
        <f t="array" ref="AR12">IFERROR(INDEX($AO$10:$AO$258, MATCH(0, IF(TRUE=$AM$10:$AM$258, COUNTIF($AR$9:$AR11, $AO$10:$AO$258), ""), 0)),"")</f>
        <v/>
      </c>
      <c r="AZ12" s="802" t="str">
        <f t="shared" si="7"/>
        <v/>
      </c>
    </row>
    <row r="13" spans="2:52" ht="15.75" thickBot="1">
      <c r="C13" s="110">
        <v>4</v>
      </c>
      <c r="D13" s="339"/>
      <c r="E13" s="111"/>
      <c r="F13" s="362" t="str">
        <f>IF(D13="","",VLOOKUP(D13,'G-7 WaterC'' Data'!$B$2:$G$8,2,FALSE))</f>
        <v/>
      </c>
      <c r="G13" s="363" t="str">
        <f>IFERROR(VLOOKUP(F13,'G-7 WaterC'' Data'!$C$4:$D$8,2,FALSE),"")</f>
        <v/>
      </c>
      <c r="H13" s="114"/>
      <c r="I13" s="363" t="str">
        <f>IFERROR(INDEX('G-7 WaterC'' Data'!$H$4:$L$8,MATCH(D13,'G-7 WaterC'' Data'!$B$4:$B$8,0),MATCH(H13,'G-7 WaterC'' Data'!$H$3:$L$3,0)),"")</f>
        <v/>
      </c>
      <c r="J13" s="115"/>
      <c r="K13" s="382" t="str">
        <f>IF(J13="","",IF(VLOOKUP(J13,'G-7 WaterC'' Data'!$AK$4:$AM$9,2,FALSE)=0,"Spatial Data Missing ⚠",VLOOKUP(J13,'G-7 WaterC'' Data'!$AK$4:$AM$6,2,FALSE)))</f>
        <v/>
      </c>
      <c r="L13" s="386" t="str">
        <f>IF(J13="","",IF(VLOOKUP(J13,'G-7 WaterC'' Data'!$AK$4:$AM$9,3,FALSE)=0,"Spatial Data Missing ⚠",VLOOKUP(J13,'G-7 WaterC'' Data'!$AK$4:$AM$6,3,FALSE)))</f>
        <v/>
      </c>
      <c r="M13" s="115"/>
      <c r="N13" s="363" t="str">
        <f>IF(M13="","",IF(VLOOKUP(M13,'G-7 WaterC'' Data'!$AA$4:$AB$7,2,FALSE)=0,"Spatial Data Missing ⚠",VLOOKUP(M13,'G-7 WaterC'' Data'!$AA$4:$AB$7,2,FALSE)))</f>
        <v/>
      </c>
      <c r="O13" s="60"/>
      <c r="P13" s="363" t="str">
        <f>IF(O13="","",IF(VLOOKUP(O13,'G-7 WaterC'' Data'!$AD$4:$AE$14,2,FALSE)=0,"Spatial Data Missing ⚠",VLOOKUP(O13,'G-7 WaterC'' Data'!$AD$4:$AE$14,2,FALSE)))</f>
        <v/>
      </c>
      <c r="Q13" s="369" t="str">
        <f>IF(D13="","",VLOOKUP(D13,'G-7 WaterC'' Data'!$B$4:$G$8,6,FALSE))</f>
        <v/>
      </c>
      <c r="R13" s="376" t="str">
        <f>IFERROR(IF(D13="","",IF(AND(Q13='G-1 All Habitats'!$X$3,X13&gt;0),Y13+(Z13*T13),IF(AND(Q13='G-1 All Habitats'!$X$3,W13&gt;0),Y13+(Z13*T13),IF(AND(Q13='G-1 All Habitats'!$X$3,AH13&gt;0),"Any Loss Unacceptable ⚠",IF(AND(Q13='G-1 All Habitats'!$X$3,AI13&gt;0),"Any Loss Unacceptable ⚠", E13*G13*I13*L13*N13*P13*T13 ))))),"Check Data ▲")</f>
        <v/>
      </c>
      <c r="S13" s="516"/>
      <c r="T13" s="368" t="str">
        <f>IF(S13="","",IF(VLOOKUP(S13,'G-7 WaterC'' Data'!$AO$4:$BO$7,2,FALSE)=0,"Spatial Data Missing ⚠",VLOOKUP(S13,'G-7 WaterC'' Data'!$AO$4:$BO$7,2,FALSE)))</f>
        <v/>
      </c>
      <c r="U13" s="376" t="str">
        <f>IFERROR(IF(D13="","",IF(AND(Q13='G-1 All Habitats'!$X$3,X13&gt;0),Y13+Z13,IF(AND(Q13='G-1 All Habitats'!$X$3,W13&gt;0),Y13+Z13,IF(AND(Q13='G-1 All Habitats'!$X$3,AH13&gt;0),"Any Loss Unacceptable ⚠",IF(AND(Q13='G-1 All Habitats'!$X$3,AI13&gt;0),"Any Loss Unacceptable ⚠", E13*G13*I13*L13*N13*P13 ))))),"Check Data ▲")</f>
        <v/>
      </c>
      <c r="V13" s="32"/>
      <c r="W13" s="54"/>
      <c r="X13" s="55"/>
      <c r="Y13" s="374" t="str">
        <f t="shared" si="0"/>
        <v/>
      </c>
      <c r="Z13" s="374" t="str">
        <f t="shared" si="1"/>
        <v/>
      </c>
      <c r="AA13" s="374" t="str">
        <f t="shared" si="2"/>
        <v/>
      </c>
      <c r="AB13" s="670" t="str">
        <f t="shared" si="3"/>
        <v/>
      </c>
      <c r="AC13" s="516"/>
      <c r="AD13" s="119"/>
      <c r="AE13" s="120"/>
      <c r="AF13" s="120"/>
      <c r="AG13" s="120"/>
      <c r="AH13" s="57" t="str">
        <f>IF(Q13="","",IF(Q13='G-1 All Habitats'!$X$3,E13-X13-W13,"None"))</f>
        <v/>
      </c>
      <c r="AI13" s="58" t="str">
        <f>IF(Q13="","", IF(Q13='G-1 All Habitats'!$X$3, AH13*G13*I13*L13*N13*P13,"None"))</f>
        <v/>
      </c>
      <c r="AJ13" s="30" t="str">
        <f>IFERROR(INDEX('G-7 WaterC'' Data'!$AZ$3:$AZ$7,MATCH(D13,'G-7 WaterC'' Data'!$AY$3:$AY$7,0)),"")</f>
        <v/>
      </c>
      <c r="AK13" s="30">
        <f t="shared" si="4"/>
        <v>0</v>
      </c>
      <c r="AL13" s="108" t="str">
        <f t="shared" si="5"/>
        <v/>
      </c>
      <c r="AM13" s="108" t="str">
        <f t="shared" si="6"/>
        <v/>
      </c>
      <c r="AN13" s="109"/>
      <c r="AO13" s="108">
        <v>4</v>
      </c>
      <c r="AP13" s="109"/>
      <c r="AQ13" s="108" t="str">
        <f t="array" ref="AQ13">IFERROR(INDEX($AO$10:$AO$258, MATCH(0, IF(TRUE=$AL$10:$AL$258, COUNTIF($AQ$9:$AQ12, $AO$10:$AO$258), ""), 0)),"")</f>
        <v/>
      </c>
      <c r="AR13" s="108" t="str">
        <f t="array" ref="AR13">IFERROR(INDEX($AO$10:$AO$258, MATCH(0, IF(TRUE=$AM$10:$AM$258, COUNTIF($AR$9:$AR12, $AO$10:$AO$258), ""), 0)),"")</f>
        <v/>
      </c>
      <c r="AZ13" s="802" t="str">
        <f t="shared" si="7"/>
        <v/>
      </c>
    </row>
    <row r="14" spans="2:52" ht="15.75" thickBot="1">
      <c r="C14" s="110">
        <v>5</v>
      </c>
      <c r="D14" s="340"/>
      <c r="E14" s="121"/>
      <c r="F14" s="362" t="str">
        <f>IF(D14="","",VLOOKUP(D14,'G-7 WaterC'' Data'!$B$2:$G$8,2,FALSE))</f>
        <v/>
      </c>
      <c r="G14" s="363" t="str">
        <f>IFERROR(VLOOKUP(F14,'G-7 WaterC'' Data'!$C$4:$D$8,2,FALSE),"")</f>
        <v/>
      </c>
      <c r="H14" s="114"/>
      <c r="I14" s="363" t="str">
        <f>IFERROR(INDEX('G-7 WaterC'' Data'!$H$4:$L$8,MATCH(D14,'G-7 WaterC'' Data'!$B$4:$B$8,0),MATCH(H14,'G-7 WaterC'' Data'!$H$3:$L$3,0)),"")</f>
        <v/>
      </c>
      <c r="J14" s="115"/>
      <c r="K14" s="382" t="str">
        <f>IF(J14="","",IF(VLOOKUP(J14,'G-7 WaterC'' Data'!$AK$4:$AM$9,2,FALSE)=0,"Spatial Data Missing ⚠",VLOOKUP(J14,'G-7 WaterC'' Data'!$AK$4:$AM$6,2,FALSE)))</f>
        <v/>
      </c>
      <c r="L14" s="386" t="str">
        <f>IF(J14="","",IF(VLOOKUP(J14,'G-7 WaterC'' Data'!$AK$4:$AM$9,3,FALSE)=0,"Spatial Data Missing ⚠",VLOOKUP(J14,'G-7 WaterC'' Data'!$AK$4:$AM$6,3,FALSE)))</f>
        <v/>
      </c>
      <c r="M14" s="115"/>
      <c r="N14" s="363" t="str">
        <f>IF(M14="","",IF(VLOOKUP(M14,'G-7 WaterC'' Data'!$AA$4:$AB$7,2,FALSE)=0,"Spatial Data Missing ⚠",VLOOKUP(M14,'G-7 WaterC'' Data'!$AA$4:$AB$7,2,FALSE)))</f>
        <v/>
      </c>
      <c r="O14" s="60"/>
      <c r="P14" s="363" t="str">
        <f>IF(O14="","",IF(VLOOKUP(O14,'G-7 WaterC'' Data'!$AD$4:$AE$14,2,FALSE)=0,"Spatial Data Missing ⚠",VLOOKUP(O14,'G-7 WaterC'' Data'!$AD$4:$AE$14,2,FALSE)))</f>
        <v/>
      </c>
      <c r="Q14" s="369" t="str">
        <f>IF(D14="","",VLOOKUP(D14,'G-7 WaterC'' Data'!$B$4:$G$8,6,FALSE))</f>
        <v/>
      </c>
      <c r="R14" s="376" t="str">
        <f>IFERROR(IF(D14="","",IF(AND(Q14='G-1 All Habitats'!$X$3,X14&gt;0),Y14+(Z14*T14),IF(AND(Q14='G-1 All Habitats'!$X$3,W14&gt;0),Y14+(Z14*T14),IF(AND(Q14='G-1 All Habitats'!$X$3,AH14&gt;0),"Any Loss Unacceptable ⚠",IF(AND(Q14='G-1 All Habitats'!$X$3,AI14&gt;0),"Any Loss Unacceptable ⚠", E14*G14*I14*L14*N14*P14*T14 ))))),"Check Data ▲")</f>
        <v/>
      </c>
      <c r="S14" s="516"/>
      <c r="T14" s="368" t="str">
        <f>IF(S14="","",IF(VLOOKUP(S14,'G-7 WaterC'' Data'!$AO$4:$BO$7,2,FALSE)=0,"Spatial Data Missing ⚠",VLOOKUP(S14,'G-7 WaterC'' Data'!$AO$4:$BO$7,2,FALSE)))</f>
        <v/>
      </c>
      <c r="U14" s="376" t="str">
        <f>IFERROR(IF(D14="","",IF(AND(Q14='G-1 All Habitats'!$X$3,X14&gt;0),Y14+Z14,IF(AND(Q14='G-1 All Habitats'!$X$3,W14&gt;0),Y14+Z14,IF(AND(Q14='G-1 All Habitats'!$X$3,AH14&gt;0),"Any Loss Unacceptable ⚠",IF(AND(Q14='G-1 All Habitats'!$X$3,AI14&gt;0),"Any Loss Unacceptable ⚠", E14*G14*I14*L14*N14*P14 ))))),"Check Data ▲")</f>
        <v/>
      </c>
      <c r="V14" s="32"/>
      <c r="W14" s="54"/>
      <c r="X14" s="55"/>
      <c r="Y14" s="374" t="str">
        <f t="shared" si="0"/>
        <v/>
      </c>
      <c r="Z14" s="374" t="str">
        <f t="shared" si="1"/>
        <v/>
      </c>
      <c r="AA14" s="374" t="str">
        <f t="shared" si="2"/>
        <v/>
      </c>
      <c r="AB14" s="670" t="str">
        <f t="shared" si="3"/>
        <v/>
      </c>
      <c r="AC14" s="516"/>
      <c r="AD14" s="119"/>
      <c r="AE14" s="120"/>
      <c r="AF14" s="120"/>
      <c r="AG14" s="120"/>
      <c r="AH14" s="57" t="str">
        <f>IF(Q14="","",IF(Q14='G-1 All Habitats'!$X$3,E14-X14-W14,"None"))</f>
        <v/>
      </c>
      <c r="AI14" s="58" t="str">
        <f>IF(Q14="","", IF(Q14='G-1 All Habitats'!$X$3, AH14*G14*I14*L14*N14*P14,"None"))</f>
        <v/>
      </c>
      <c r="AJ14" s="30" t="str">
        <f>IFERROR(INDEX('G-7 WaterC'' Data'!$AZ$3:$AZ$7,MATCH(D14,'G-7 WaterC'' Data'!$AY$3:$AY$7,0)),"")</f>
        <v/>
      </c>
      <c r="AK14" s="30">
        <f t="shared" si="4"/>
        <v>0</v>
      </c>
      <c r="AL14" s="108" t="str">
        <f t="shared" si="5"/>
        <v/>
      </c>
      <c r="AM14" s="108" t="str">
        <f t="shared" si="6"/>
        <v/>
      </c>
      <c r="AN14" s="109"/>
      <c r="AO14" s="108">
        <v>5</v>
      </c>
      <c r="AP14" s="109"/>
      <c r="AQ14" s="108" t="str">
        <f t="array" ref="AQ14">IFERROR(INDEX($AO$10:$AO$258, MATCH(0, IF(TRUE=$AL$10:$AL$258, COUNTIF($AQ$9:$AQ13, $AO$10:$AO$258), ""), 0)),"")</f>
        <v/>
      </c>
      <c r="AR14" s="108" t="str">
        <f t="array" ref="AR14">IFERROR(INDEX($AO$10:$AO$258, MATCH(0, IF(TRUE=$AM$10:$AM$258, COUNTIF($AR$9:$AR13, $AO$10:$AO$258), ""), 0)),"")</f>
        <v/>
      </c>
      <c r="AZ14" s="802" t="str">
        <f t="shared" si="7"/>
        <v/>
      </c>
    </row>
    <row r="15" spans="2:52" ht="15.75" thickBot="1">
      <c r="C15" s="110">
        <v>6</v>
      </c>
      <c r="D15" s="340"/>
      <c r="E15" s="121"/>
      <c r="F15" s="362" t="str">
        <f>IF(D15="","",VLOOKUP(D15,'G-7 WaterC'' Data'!$B$2:$G$8,2,FALSE))</f>
        <v/>
      </c>
      <c r="G15" s="363" t="str">
        <f>IFERROR(VLOOKUP(F15,'G-7 WaterC'' Data'!$C$4:$D$8,2,FALSE),"")</f>
        <v/>
      </c>
      <c r="H15" s="114"/>
      <c r="I15" s="363" t="str">
        <f>IFERROR(INDEX('G-7 WaterC'' Data'!$H$4:$L$8,MATCH(D15,'G-7 WaterC'' Data'!$B$4:$B$8,0),MATCH(H15,'G-7 WaterC'' Data'!$H$3:$L$3,0)),"")</f>
        <v/>
      </c>
      <c r="J15" s="115"/>
      <c r="K15" s="382" t="str">
        <f>IF(J15="","",IF(VLOOKUP(J15,'G-7 WaterC'' Data'!$AK$4:$AM$9,2,FALSE)=0,"Spatial Data Missing ⚠",VLOOKUP(J15,'G-7 WaterC'' Data'!$AK$4:$AM$6,2,FALSE)))</f>
        <v/>
      </c>
      <c r="L15" s="386" t="str">
        <f>IF(J15="","",IF(VLOOKUP(J15,'G-7 WaterC'' Data'!$AK$4:$AM$9,3,FALSE)=0,"Spatial Data Missing ⚠",VLOOKUP(J15,'G-7 WaterC'' Data'!$AK$4:$AM$6,3,FALSE)))</f>
        <v/>
      </c>
      <c r="M15" s="115"/>
      <c r="N15" s="363" t="str">
        <f>IF(M15="","",IF(VLOOKUP(M15,'G-7 WaterC'' Data'!$AA$4:$AB$7,2,FALSE)=0,"Spatial Data Missing ⚠",VLOOKUP(M15,'G-7 WaterC'' Data'!$AA$4:$AB$7,2,FALSE)))</f>
        <v/>
      </c>
      <c r="O15" s="60"/>
      <c r="P15" s="363" t="str">
        <f>IF(O15="","",IF(VLOOKUP(O15,'G-7 WaterC'' Data'!$AD$4:$AE$14,2,FALSE)=0,"Spatial Data Missing ⚠",VLOOKUP(O15,'G-7 WaterC'' Data'!$AD$4:$AE$14,2,FALSE)))</f>
        <v/>
      </c>
      <c r="Q15" s="369" t="str">
        <f>IF(D15="","",VLOOKUP(D15,'G-7 WaterC'' Data'!$B$4:$G$8,6,FALSE))</f>
        <v/>
      </c>
      <c r="R15" s="376" t="str">
        <f>IFERROR(IF(D15="","",IF(AND(Q15='G-1 All Habitats'!$X$3,X15&gt;0),Y15+(Z15*T15),IF(AND(Q15='G-1 All Habitats'!$X$3,W15&gt;0),Y15+(Z15*T15),IF(AND(Q15='G-1 All Habitats'!$X$3,AH15&gt;0),"Any Loss Unacceptable ⚠",IF(AND(Q15='G-1 All Habitats'!$X$3,AI15&gt;0),"Any Loss Unacceptable ⚠", E15*G15*I15*L15*N15*P15*T15 ))))),"Check Data ▲")</f>
        <v/>
      </c>
      <c r="S15" s="516"/>
      <c r="T15" s="368" t="str">
        <f>IF(S15="","",IF(VLOOKUP(S15,'G-7 WaterC'' Data'!$AO$4:$BO$7,2,FALSE)=0,"Spatial Data Missing ⚠",VLOOKUP(S15,'G-7 WaterC'' Data'!$AO$4:$BO$7,2,FALSE)))</f>
        <v/>
      </c>
      <c r="U15" s="376" t="str">
        <f>IFERROR(IF(D15="","",IF(AND(Q15='G-1 All Habitats'!$X$3,X15&gt;0),Y15+Z15,IF(AND(Q15='G-1 All Habitats'!$X$3,W15&gt;0),Y15+Z15,IF(AND(Q15='G-1 All Habitats'!$X$3,AH15&gt;0),"Any Loss Unacceptable ⚠",IF(AND(Q15='G-1 All Habitats'!$X$3,AI15&gt;0),"Any Loss Unacceptable ⚠", E15*G15*I15*L15*N15*P15 ))))),"Check Data ▲")</f>
        <v/>
      </c>
      <c r="V15" s="32"/>
      <c r="W15" s="54"/>
      <c r="X15" s="55"/>
      <c r="Y15" s="374" t="str">
        <f t="shared" si="0"/>
        <v/>
      </c>
      <c r="Z15" s="374" t="str">
        <f t="shared" si="1"/>
        <v/>
      </c>
      <c r="AA15" s="374" t="str">
        <f t="shared" si="2"/>
        <v/>
      </c>
      <c r="AB15" s="670" t="str">
        <f t="shared" si="3"/>
        <v/>
      </c>
      <c r="AC15" s="516"/>
      <c r="AD15" s="119"/>
      <c r="AE15" s="120"/>
      <c r="AF15" s="120"/>
      <c r="AG15" s="120"/>
      <c r="AH15" s="57" t="str">
        <f>IF(Q15="","",IF(Q15='G-1 All Habitats'!$X$3,E15-X15-W15,"None"))</f>
        <v/>
      </c>
      <c r="AI15" s="58" t="str">
        <f>IF(Q15="","", IF(Q15='G-1 All Habitats'!$X$3, AH15*G15*I15*L15*N15*P15,"None"))</f>
        <v/>
      </c>
      <c r="AJ15" s="30" t="str">
        <f>IFERROR(INDEX('G-7 WaterC'' Data'!$AZ$3:$AZ$7,MATCH(D15,'G-7 WaterC'' Data'!$AY$3:$AY$7,0)),"")</f>
        <v/>
      </c>
      <c r="AK15" s="30">
        <f t="shared" si="4"/>
        <v>0</v>
      </c>
      <c r="AL15" s="108" t="str">
        <f t="shared" si="5"/>
        <v/>
      </c>
      <c r="AM15" s="108" t="str">
        <f t="shared" si="6"/>
        <v/>
      </c>
      <c r="AN15" s="109"/>
      <c r="AO15" s="108">
        <v>6</v>
      </c>
      <c r="AP15" s="109"/>
      <c r="AQ15" s="108" t="str">
        <f t="array" ref="AQ15">IFERROR(INDEX($AO$10:$AO$258, MATCH(0, IF(TRUE=$AL$10:$AL$258, COUNTIF($AQ$9:$AQ14, $AO$10:$AO$258), ""), 0)),"")</f>
        <v/>
      </c>
      <c r="AR15" s="108" t="str">
        <f t="array" ref="AR15">IFERROR(INDEX($AO$10:$AO$258, MATCH(0, IF(TRUE=$AM$10:$AM$258, COUNTIF($AR$9:$AR14, $AO$10:$AO$258), ""), 0)),"")</f>
        <v/>
      </c>
      <c r="AZ15" s="802" t="str">
        <f t="shared" si="7"/>
        <v/>
      </c>
    </row>
    <row r="16" spans="2:52" ht="15.75" thickBot="1">
      <c r="C16" s="110">
        <v>7</v>
      </c>
      <c r="D16" s="340"/>
      <c r="E16" s="121"/>
      <c r="F16" s="362" t="str">
        <f>IF(D16="","",VLOOKUP(D16,'G-7 WaterC'' Data'!$B$2:$G$8,2,FALSE))</f>
        <v/>
      </c>
      <c r="G16" s="363" t="str">
        <f>IFERROR(VLOOKUP(F16,'G-7 WaterC'' Data'!$C$4:$D$8,2,FALSE),"")</f>
        <v/>
      </c>
      <c r="H16" s="114"/>
      <c r="I16" s="363" t="str">
        <f>IFERROR(INDEX('G-7 WaterC'' Data'!$H$4:$L$8,MATCH(D16,'G-7 WaterC'' Data'!$B$4:$B$8,0),MATCH(H16,'G-7 WaterC'' Data'!$H$3:$L$3,0)),"")</f>
        <v/>
      </c>
      <c r="J16" s="115"/>
      <c r="K16" s="382" t="str">
        <f>IF(J16="","",IF(VLOOKUP(J16,'G-7 WaterC'' Data'!$AK$4:$AM$9,2,FALSE)=0,"Spatial Data Missing ⚠",VLOOKUP(J16,'G-7 WaterC'' Data'!$AK$4:$AM$6,2,FALSE)))</f>
        <v/>
      </c>
      <c r="L16" s="386" t="str">
        <f>IF(J16="","",IF(VLOOKUP(J16,'G-7 WaterC'' Data'!$AK$4:$AM$9,3,FALSE)=0,"Spatial Data Missing ⚠",VLOOKUP(J16,'G-7 WaterC'' Data'!$AK$4:$AM$6,3,FALSE)))</f>
        <v/>
      </c>
      <c r="M16" s="115"/>
      <c r="N16" s="363" t="str">
        <f>IF(M16="","",IF(VLOOKUP(M16,'G-7 WaterC'' Data'!$AA$4:$AB$7,2,FALSE)=0,"Spatial Data Missing ⚠",VLOOKUP(M16,'G-7 WaterC'' Data'!$AA$4:$AB$7,2,FALSE)))</f>
        <v/>
      </c>
      <c r="O16" s="60"/>
      <c r="P16" s="363" t="str">
        <f>IF(O16="","",IF(VLOOKUP(O16,'G-7 WaterC'' Data'!$AD$4:$AE$14,2,FALSE)=0,"Spatial Data Missing ⚠",VLOOKUP(O16,'G-7 WaterC'' Data'!$AD$4:$AE$14,2,FALSE)))</f>
        <v/>
      </c>
      <c r="Q16" s="369" t="str">
        <f>IF(D16="","",VLOOKUP(D16,'G-7 WaterC'' Data'!$B$4:$G$8,6,FALSE))</f>
        <v/>
      </c>
      <c r="R16" s="376" t="str">
        <f>IFERROR(IF(D16="","",IF(AND(Q16='G-1 All Habitats'!$X$3,X16&gt;0),Y16+(Z16*T16),IF(AND(Q16='G-1 All Habitats'!$X$3,W16&gt;0),Y16+(Z16*T16),IF(AND(Q16='G-1 All Habitats'!$X$3,AH16&gt;0),"Any Loss Unacceptable ⚠",IF(AND(Q16='G-1 All Habitats'!$X$3,AI16&gt;0),"Any Loss Unacceptable ⚠", E16*G16*I16*L16*N16*P16*T16 ))))),"Check Data ▲")</f>
        <v/>
      </c>
      <c r="S16" s="516"/>
      <c r="T16" s="368" t="str">
        <f>IF(S16="","",IF(VLOOKUP(S16,'G-7 WaterC'' Data'!$AO$4:$BO$7,2,FALSE)=0,"Spatial Data Missing ⚠",VLOOKUP(S16,'G-7 WaterC'' Data'!$AO$4:$BO$7,2,FALSE)))</f>
        <v/>
      </c>
      <c r="U16" s="376" t="str">
        <f>IFERROR(IF(D16="","",IF(AND(Q16='G-1 All Habitats'!$X$3,X16&gt;0),Y16+Z16,IF(AND(Q16='G-1 All Habitats'!$X$3,W16&gt;0),Y16+Z16,IF(AND(Q16='G-1 All Habitats'!$X$3,AH16&gt;0),"Any Loss Unacceptable ⚠",IF(AND(Q16='G-1 All Habitats'!$X$3,AI16&gt;0),"Any Loss Unacceptable ⚠", E16*G16*I16*L16*N16*P16 ))))),"Check Data ▲")</f>
        <v/>
      </c>
      <c r="V16" s="32"/>
      <c r="W16" s="54"/>
      <c r="X16" s="55"/>
      <c r="Y16" s="374" t="str">
        <f t="shared" si="0"/>
        <v/>
      </c>
      <c r="Z16" s="374" t="str">
        <f t="shared" si="1"/>
        <v/>
      </c>
      <c r="AA16" s="374" t="str">
        <f t="shared" si="2"/>
        <v/>
      </c>
      <c r="AB16" s="670" t="str">
        <f t="shared" si="3"/>
        <v/>
      </c>
      <c r="AC16" s="516"/>
      <c r="AD16" s="119"/>
      <c r="AE16" s="120"/>
      <c r="AF16" s="120"/>
      <c r="AG16" s="120"/>
      <c r="AH16" s="57" t="str">
        <f>IF(Q16="","",IF(Q16='G-1 All Habitats'!$X$3,E16-X16-W16,"None"))</f>
        <v/>
      </c>
      <c r="AI16" s="58" t="str">
        <f>IF(Q16="","", IF(Q16='G-1 All Habitats'!$X$3, AH16*G16*I16*L16*N16*P16,"None"))</f>
        <v/>
      </c>
      <c r="AJ16" s="30" t="str">
        <f>IFERROR(INDEX('G-7 WaterC'' Data'!$AZ$3:$AZ$7,MATCH(D16,'G-7 WaterC'' Data'!$AY$3:$AY$7,0)),"")</f>
        <v/>
      </c>
      <c r="AK16" s="30">
        <f t="shared" si="4"/>
        <v>0</v>
      </c>
      <c r="AL16" s="108" t="str">
        <f t="shared" si="5"/>
        <v/>
      </c>
      <c r="AM16" s="108" t="str">
        <f t="shared" si="6"/>
        <v/>
      </c>
      <c r="AN16" s="109"/>
      <c r="AO16" s="108">
        <v>7</v>
      </c>
      <c r="AP16" s="109"/>
      <c r="AQ16" s="108" t="str">
        <f t="array" ref="AQ16">IFERROR(INDEX($AO$10:$AO$258, MATCH(0, IF(TRUE=$AL$10:$AL$258, COUNTIF($AQ$9:$AQ15, $AO$10:$AO$258), ""), 0)),"")</f>
        <v/>
      </c>
      <c r="AR16" s="108" t="str">
        <f t="array" ref="AR16">IFERROR(INDEX($AO$10:$AO$258, MATCH(0, IF(TRUE=$AM$10:$AM$258, COUNTIF($AR$9:$AR15, $AO$10:$AO$258), ""), 0)),"")</f>
        <v/>
      </c>
      <c r="AZ16" s="802" t="str">
        <f t="shared" si="7"/>
        <v/>
      </c>
    </row>
    <row r="17" spans="3:52" ht="15.75" thickBot="1">
      <c r="C17" s="110">
        <v>8</v>
      </c>
      <c r="D17" s="340"/>
      <c r="E17" s="121"/>
      <c r="F17" s="362" t="str">
        <f>IF(D17="","",VLOOKUP(D17,'G-7 WaterC'' Data'!$B$2:$G$8,2,FALSE))</f>
        <v/>
      </c>
      <c r="G17" s="363" t="str">
        <f>IFERROR(VLOOKUP(F17,'G-7 WaterC'' Data'!$C$4:$D$8,2,FALSE),"")</f>
        <v/>
      </c>
      <c r="H17" s="114"/>
      <c r="I17" s="363" t="str">
        <f>IFERROR(INDEX('G-7 WaterC'' Data'!$H$4:$L$8,MATCH(D17,'G-7 WaterC'' Data'!$B$4:$B$8,0),MATCH(H17,'G-7 WaterC'' Data'!$H$3:$L$3,0)),"")</f>
        <v/>
      </c>
      <c r="J17" s="115"/>
      <c r="K17" s="382" t="str">
        <f>IF(J17="","",IF(VLOOKUP(J17,'G-7 WaterC'' Data'!$AK$4:$AM$9,2,FALSE)=0,"Spatial Data Missing ⚠",VLOOKUP(J17,'G-7 WaterC'' Data'!$AK$4:$AM$6,2,FALSE)))</f>
        <v/>
      </c>
      <c r="L17" s="386" t="str">
        <f>IF(J17="","",IF(VLOOKUP(J17,'G-7 WaterC'' Data'!$AK$4:$AM$9,3,FALSE)=0,"Spatial Data Missing ⚠",VLOOKUP(J17,'G-7 WaterC'' Data'!$AK$4:$AM$6,3,FALSE)))</f>
        <v/>
      </c>
      <c r="M17" s="115"/>
      <c r="N17" s="363" t="str">
        <f>IF(M17="","",IF(VLOOKUP(M17,'G-7 WaterC'' Data'!$AA$4:$AB$7,2,FALSE)=0,"Spatial Data Missing ⚠",VLOOKUP(M17,'G-7 WaterC'' Data'!$AA$4:$AB$7,2,FALSE)))</f>
        <v/>
      </c>
      <c r="O17" s="60"/>
      <c r="P17" s="363" t="str">
        <f>IF(O17="","",IF(VLOOKUP(O17,'G-7 WaterC'' Data'!$AD$4:$AE$14,2,FALSE)=0,"Spatial Data Missing ⚠",VLOOKUP(O17,'G-7 WaterC'' Data'!$AD$4:$AE$14,2,FALSE)))</f>
        <v/>
      </c>
      <c r="Q17" s="369" t="str">
        <f>IF(D17="","",VLOOKUP(D17,'G-7 WaterC'' Data'!$B$4:$G$8,6,FALSE))</f>
        <v/>
      </c>
      <c r="R17" s="376" t="str">
        <f>IFERROR(IF(D17="","",IF(AND(Q17='G-1 All Habitats'!$X$3,X17&gt;0),Y17+(Z17*T17),IF(AND(Q17='G-1 All Habitats'!$X$3,W17&gt;0),Y17+(Z17*T17),IF(AND(Q17='G-1 All Habitats'!$X$3,AH17&gt;0),"Any Loss Unacceptable ⚠",IF(AND(Q17='G-1 All Habitats'!$X$3,AI17&gt;0),"Any Loss Unacceptable ⚠", E17*G17*I17*L17*N17*P17*T17 ))))),"Check Data ▲")</f>
        <v/>
      </c>
      <c r="S17" s="516"/>
      <c r="T17" s="368" t="str">
        <f>IF(S17="","",IF(VLOOKUP(S17,'G-7 WaterC'' Data'!$AO$4:$BO$7,2,FALSE)=0,"Spatial Data Missing ⚠",VLOOKUP(S17,'G-7 WaterC'' Data'!$AO$4:$BO$7,2,FALSE)))</f>
        <v/>
      </c>
      <c r="U17" s="376" t="str">
        <f>IFERROR(IF(D17="","",IF(AND(Q17='G-1 All Habitats'!$X$3,X17&gt;0),Y17+Z17,IF(AND(Q17='G-1 All Habitats'!$X$3,W17&gt;0),Y17+Z17,IF(AND(Q17='G-1 All Habitats'!$X$3,AH17&gt;0),"Any Loss Unacceptable ⚠",IF(AND(Q17='G-1 All Habitats'!$X$3,AI17&gt;0),"Any Loss Unacceptable ⚠", E17*G17*I17*L17*N17*P17 ))))),"Check Data ▲")</f>
        <v/>
      </c>
      <c r="V17" s="32"/>
      <c r="W17" s="54"/>
      <c r="X17" s="55"/>
      <c r="Y17" s="374" t="str">
        <f t="shared" si="0"/>
        <v/>
      </c>
      <c r="Z17" s="374" t="str">
        <f t="shared" si="1"/>
        <v/>
      </c>
      <c r="AA17" s="374" t="str">
        <f t="shared" si="2"/>
        <v/>
      </c>
      <c r="AB17" s="670" t="str">
        <f t="shared" si="3"/>
        <v/>
      </c>
      <c r="AC17" s="516"/>
      <c r="AD17" s="119"/>
      <c r="AE17" s="120"/>
      <c r="AF17" s="120"/>
      <c r="AG17" s="120"/>
      <c r="AH17" s="57" t="str">
        <f>IF(Q17="","",IF(Q17='G-1 All Habitats'!$X$3,E17-X17-W17,"None"))</f>
        <v/>
      </c>
      <c r="AI17" s="58" t="str">
        <f>IF(Q17="","", IF(Q17='G-1 All Habitats'!$X$3, AH17*G17*I17*L17*N17*P17,"None"))</f>
        <v/>
      </c>
      <c r="AJ17" s="30" t="str">
        <f>IFERROR(INDEX('G-7 WaterC'' Data'!$AZ$3:$AZ$7,MATCH(D17,'G-7 WaterC'' Data'!$AY$3:$AY$7,0)),"")</f>
        <v/>
      </c>
      <c r="AK17" s="30">
        <f t="shared" si="4"/>
        <v>0</v>
      </c>
      <c r="AL17" s="108" t="str">
        <f t="shared" si="5"/>
        <v/>
      </c>
      <c r="AM17" s="108" t="str">
        <f t="shared" si="6"/>
        <v/>
      </c>
      <c r="AN17" s="109"/>
      <c r="AO17" s="108">
        <v>8</v>
      </c>
      <c r="AP17" s="109"/>
      <c r="AQ17" s="108" t="str">
        <f t="array" ref="AQ17">IFERROR(INDEX($AO$10:$AO$258, MATCH(0, IF(TRUE=$AL$10:$AL$258, COUNTIF($AQ$9:$AQ16, $AO$10:$AO$258), ""), 0)),"")</f>
        <v/>
      </c>
      <c r="AR17" s="108" t="str">
        <f t="array" ref="AR17">IFERROR(INDEX($AO$10:$AO$258, MATCH(0, IF(TRUE=$AM$10:$AM$258, COUNTIF($AR$9:$AR16, $AO$10:$AO$258), ""), 0)),"")</f>
        <v/>
      </c>
      <c r="AZ17" s="802" t="str">
        <f t="shared" si="7"/>
        <v/>
      </c>
    </row>
    <row r="18" spans="3:52" ht="15.75" thickBot="1">
      <c r="C18" s="110">
        <v>9</v>
      </c>
      <c r="D18" s="340"/>
      <c r="E18" s="121"/>
      <c r="F18" s="362" t="str">
        <f>IF(D18="","",VLOOKUP(D18,'G-7 WaterC'' Data'!$B$2:$G$8,2,FALSE))</f>
        <v/>
      </c>
      <c r="G18" s="363" t="str">
        <f>IFERROR(VLOOKUP(F18,'G-7 WaterC'' Data'!$C$4:$D$8,2,FALSE),"")</f>
        <v/>
      </c>
      <c r="H18" s="114"/>
      <c r="I18" s="363" t="str">
        <f>IFERROR(INDEX('G-7 WaterC'' Data'!$H$4:$L$8,MATCH(D18,'G-7 WaterC'' Data'!$B$4:$B$8,0),MATCH(H18,'G-7 WaterC'' Data'!$H$3:$L$3,0)),"")</f>
        <v/>
      </c>
      <c r="J18" s="115"/>
      <c r="K18" s="382" t="str">
        <f>IF(J18="","",IF(VLOOKUP(J18,'G-7 WaterC'' Data'!$AK$4:$AM$9,2,FALSE)=0,"Spatial Data Missing ⚠",VLOOKUP(J18,'G-7 WaterC'' Data'!$AK$4:$AM$6,2,FALSE)))</f>
        <v/>
      </c>
      <c r="L18" s="386" t="str">
        <f>IF(J18="","",IF(VLOOKUP(J18,'G-7 WaterC'' Data'!$AK$4:$AM$9,3,FALSE)=0,"Spatial Data Missing ⚠",VLOOKUP(J18,'G-7 WaterC'' Data'!$AK$4:$AM$6,3,FALSE)))</f>
        <v/>
      </c>
      <c r="M18" s="115"/>
      <c r="N18" s="363" t="str">
        <f>IF(M18="","",IF(VLOOKUP(M18,'G-7 WaterC'' Data'!$AA$4:$AB$7,2,FALSE)=0,"Spatial Data Missing ⚠",VLOOKUP(M18,'G-7 WaterC'' Data'!$AA$4:$AB$7,2,FALSE)))</f>
        <v/>
      </c>
      <c r="O18" s="60"/>
      <c r="P18" s="363" t="str">
        <f>IF(O18="","",IF(VLOOKUP(O18,'G-7 WaterC'' Data'!$AD$4:$AE$14,2,FALSE)=0,"Spatial Data Missing ⚠",VLOOKUP(O18,'G-7 WaterC'' Data'!$AD$4:$AE$14,2,FALSE)))</f>
        <v/>
      </c>
      <c r="Q18" s="369" t="str">
        <f>IF(D18="","",VLOOKUP(D18,'G-7 WaterC'' Data'!$B$4:$G$8,6,FALSE))</f>
        <v/>
      </c>
      <c r="R18" s="376" t="str">
        <f>IFERROR(IF(D18="","",IF(AND(Q18='G-1 All Habitats'!$X$3,X18&gt;0),Y18+(Z18*T18),IF(AND(Q18='G-1 All Habitats'!$X$3,W18&gt;0),Y18+(Z18*T18),IF(AND(Q18='G-1 All Habitats'!$X$3,AH18&gt;0),"Any Loss Unacceptable ⚠",IF(AND(Q18='G-1 All Habitats'!$X$3,AI18&gt;0),"Any Loss Unacceptable ⚠", E18*G18*I18*L18*N18*P18*T18 ))))),"Check Data ▲")</f>
        <v/>
      </c>
      <c r="S18" s="516"/>
      <c r="T18" s="368" t="str">
        <f>IF(S18="","",IF(VLOOKUP(S18,'G-7 WaterC'' Data'!$AO$4:$BO$7,2,FALSE)=0,"Spatial Data Missing ⚠",VLOOKUP(S18,'G-7 WaterC'' Data'!$AO$4:$BO$7,2,FALSE)))</f>
        <v/>
      </c>
      <c r="U18" s="376" t="str">
        <f>IFERROR(IF(D18="","",IF(AND(Q18='G-1 All Habitats'!$X$3,X18&gt;0),Y18+Z18,IF(AND(Q18='G-1 All Habitats'!$X$3,W18&gt;0),Y18+Z18,IF(AND(Q18='G-1 All Habitats'!$X$3,AH18&gt;0),"Any Loss Unacceptable ⚠",IF(AND(Q18='G-1 All Habitats'!$X$3,AI18&gt;0),"Any Loss Unacceptable ⚠", E18*G18*I18*L18*N18*P18 ))))),"Check Data ▲")</f>
        <v/>
      </c>
      <c r="V18" s="32"/>
      <c r="W18" s="54"/>
      <c r="X18" s="55"/>
      <c r="Y18" s="374" t="str">
        <f t="shared" si="0"/>
        <v/>
      </c>
      <c r="Z18" s="374" t="str">
        <f t="shared" si="1"/>
        <v/>
      </c>
      <c r="AA18" s="374" t="str">
        <f t="shared" si="2"/>
        <v/>
      </c>
      <c r="AB18" s="670" t="str">
        <f t="shared" si="3"/>
        <v/>
      </c>
      <c r="AC18" s="516"/>
      <c r="AD18" s="119"/>
      <c r="AE18" s="120"/>
      <c r="AF18" s="120"/>
      <c r="AG18" s="120"/>
      <c r="AH18" s="57" t="str">
        <f>IF(Q18="","",IF(Q18='G-1 All Habitats'!$X$3,E18-X18-W18,"None"))</f>
        <v/>
      </c>
      <c r="AI18" s="58" t="str">
        <f>IF(Q18="","", IF(Q18='G-1 All Habitats'!$X$3, AH18*G18*I18*L18*N18*P18,"None"))</f>
        <v/>
      </c>
      <c r="AJ18" s="30" t="str">
        <f>IFERROR(INDEX('G-7 WaterC'' Data'!$AZ$3:$AZ$7,MATCH(D18,'G-7 WaterC'' Data'!$AY$3:$AY$7,0)),"")</f>
        <v/>
      </c>
      <c r="AK18" s="30">
        <f t="shared" si="4"/>
        <v>0</v>
      </c>
      <c r="AL18" s="108" t="str">
        <f t="shared" si="5"/>
        <v/>
      </c>
      <c r="AM18" s="108" t="str">
        <f t="shared" si="6"/>
        <v/>
      </c>
      <c r="AN18" s="109"/>
      <c r="AO18" s="108">
        <v>9</v>
      </c>
      <c r="AP18" s="109"/>
      <c r="AQ18" s="108" t="str">
        <f t="array" ref="AQ18">IFERROR(INDEX($AO$10:$AO$258, MATCH(0, IF(TRUE=$AL$10:$AL$258, COUNTIF($AQ$9:$AQ17, $AO$10:$AO$258), ""), 0)),"")</f>
        <v/>
      </c>
      <c r="AR18" s="108" t="str">
        <f t="array" ref="AR18">IFERROR(INDEX($AO$10:$AO$258, MATCH(0, IF(TRUE=$AM$10:$AM$258, COUNTIF($AR$9:$AR17, $AO$10:$AO$258), ""), 0)),"")</f>
        <v/>
      </c>
      <c r="AZ18" s="802" t="str">
        <f t="shared" si="7"/>
        <v/>
      </c>
    </row>
    <row r="19" spans="3:52" ht="15.75" thickBot="1">
      <c r="C19" s="110">
        <v>10</v>
      </c>
      <c r="D19" s="340"/>
      <c r="E19" s="121"/>
      <c r="F19" s="362" t="str">
        <f>IF(D19="","",VLOOKUP(D19,'G-7 WaterC'' Data'!$B$2:$G$8,2,FALSE))</f>
        <v/>
      </c>
      <c r="G19" s="363" t="str">
        <f>IFERROR(VLOOKUP(F19,'G-7 WaterC'' Data'!$C$4:$D$8,2,FALSE),"")</f>
        <v/>
      </c>
      <c r="H19" s="114"/>
      <c r="I19" s="363" t="str">
        <f>IFERROR(INDEX('G-7 WaterC'' Data'!$H$4:$L$8,MATCH(D19,'G-7 WaterC'' Data'!$B$4:$B$8,0),MATCH(H19,'G-7 WaterC'' Data'!$H$3:$L$3,0)),"")</f>
        <v/>
      </c>
      <c r="J19" s="115"/>
      <c r="K19" s="382" t="str">
        <f>IF(J19="","",IF(VLOOKUP(J19,'G-7 WaterC'' Data'!$AK$4:$AM$9,2,FALSE)=0,"Spatial Data Missing ⚠",VLOOKUP(J19,'G-7 WaterC'' Data'!$AK$4:$AM$6,2,FALSE)))</f>
        <v/>
      </c>
      <c r="L19" s="386" t="str">
        <f>IF(J19="","",IF(VLOOKUP(J19,'G-7 WaterC'' Data'!$AK$4:$AM$9,3,FALSE)=0,"Spatial Data Missing ⚠",VLOOKUP(J19,'G-7 WaterC'' Data'!$AK$4:$AM$6,3,FALSE)))</f>
        <v/>
      </c>
      <c r="M19" s="115"/>
      <c r="N19" s="363" t="str">
        <f>IF(M19="","",IF(VLOOKUP(M19,'G-7 WaterC'' Data'!$AA$4:$AB$7,2,FALSE)=0,"Spatial Data Missing ⚠",VLOOKUP(M19,'G-7 WaterC'' Data'!$AA$4:$AB$7,2,FALSE)))</f>
        <v/>
      </c>
      <c r="O19" s="60"/>
      <c r="P19" s="363" t="str">
        <f>IF(O19="","",IF(VLOOKUP(O19,'G-7 WaterC'' Data'!$AD$4:$AE$14,2,FALSE)=0,"Spatial Data Missing ⚠",VLOOKUP(O19,'G-7 WaterC'' Data'!$AD$4:$AE$14,2,FALSE)))</f>
        <v/>
      </c>
      <c r="Q19" s="369" t="str">
        <f>IF(D19="","",VLOOKUP(D19,'G-7 WaterC'' Data'!$B$4:$G$8,6,FALSE))</f>
        <v/>
      </c>
      <c r="R19" s="376" t="str">
        <f>IFERROR(IF(D19="","",IF(AND(Q19='G-1 All Habitats'!$X$3,X19&gt;0),Y19+(Z19*T19),IF(AND(Q19='G-1 All Habitats'!$X$3,W19&gt;0),Y19+(Z19*T19),IF(AND(Q19='G-1 All Habitats'!$X$3,AH19&gt;0),"Any Loss Unacceptable ⚠",IF(AND(Q19='G-1 All Habitats'!$X$3,AI19&gt;0),"Any Loss Unacceptable ⚠", E19*G19*I19*L19*N19*P19*T19 ))))),"Check Data ▲")</f>
        <v/>
      </c>
      <c r="S19" s="516"/>
      <c r="T19" s="368" t="str">
        <f>IF(S19="","",IF(VLOOKUP(S19,'G-7 WaterC'' Data'!$AO$4:$BO$7,2,FALSE)=0,"Spatial Data Missing ⚠",VLOOKUP(S19,'G-7 WaterC'' Data'!$AO$4:$BO$7,2,FALSE)))</f>
        <v/>
      </c>
      <c r="U19" s="376" t="str">
        <f>IFERROR(IF(D19="","",IF(AND(Q19='G-1 All Habitats'!$X$3,X19&gt;0),Y19+Z19,IF(AND(Q19='G-1 All Habitats'!$X$3,W19&gt;0),Y19+Z19,IF(AND(Q19='G-1 All Habitats'!$X$3,AH19&gt;0),"Any Loss Unacceptable ⚠",IF(AND(Q19='G-1 All Habitats'!$X$3,AI19&gt;0),"Any Loss Unacceptable ⚠", E19*G19*I19*L19*N19*P19 ))))),"Check Data ▲")</f>
        <v/>
      </c>
      <c r="V19" s="32"/>
      <c r="W19" s="54"/>
      <c r="X19" s="55"/>
      <c r="Y19" s="374" t="str">
        <f t="shared" si="0"/>
        <v/>
      </c>
      <c r="Z19" s="374" t="str">
        <f t="shared" si="1"/>
        <v/>
      </c>
      <c r="AA19" s="374" t="str">
        <f t="shared" si="2"/>
        <v/>
      </c>
      <c r="AB19" s="670" t="str">
        <f t="shared" si="3"/>
        <v/>
      </c>
      <c r="AC19" s="516"/>
      <c r="AD19" s="119"/>
      <c r="AE19" s="120"/>
      <c r="AF19" s="120"/>
      <c r="AG19" s="120"/>
      <c r="AH19" s="57" t="str">
        <f>IF(Q19="","",IF(Q19='G-1 All Habitats'!$X$3,E19-X19-W19,"None"))</f>
        <v/>
      </c>
      <c r="AI19" s="58" t="str">
        <f>IF(Q19="","", IF(Q19='G-1 All Habitats'!$X$3, AH19*G19*I19*L19*N19*P19,"None"))</f>
        <v/>
      </c>
      <c r="AJ19" s="30" t="str">
        <f>IFERROR(INDEX('G-7 WaterC'' Data'!$AZ$3:$AZ$7,MATCH(D19,'G-7 WaterC'' Data'!$AY$3:$AY$7,0)),"")</f>
        <v/>
      </c>
      <c r="AK19" s="30">
        <f t="shared" si="4"/>
        <v>0</v>
      </c>
      <c r="AL19" s="108" t="str">
        <f t="shared" si="5"/>
        <v/>
      </c>
      <c r="AM19" s="108" t="str">
        <f t="shared" si="6"/>
        <v/>
      </c>
      <c r="AN19" s="109"/>
      <c r="AO19" s="108">
        <v>10</v>
      </c>
      <c r="AP19" s="109"/>
      <c r="AQ19" s="108" t="str">
        <f t="array" ref="AQ19">IFERROR(INDEX($AO$10:$AO$258, MATCH(0, IF(TRUE=$AL$10:$AL$258, COUNTIF($AQ$9:$AQ18, $AO$10:$AO$258), ""), 0)),"")</f>
        <v/>
      </c>
      <c r="AR19" s="108" t="str">
        <f t="array" ref="AR19">IFERROR(INDEX($AO$10:$AO$258, MATCH(0, IF(TRUE=$AM$10:$AM$258, COUNTIF($AR$9:$AR18, $AO$10:$AO$258), ""), 0)),"")</f>
        <v/>
      </c>
      <c r="AZ19" s="802" t="str">
        <f t="shared" si="7"/>
        <v/>
      </c>
    </row>
    <row r="20" spans="3:52" ht="15.75" thickBot="1">
      <c r="C20" s="110">
        <v>11</v>
      </c>
      <c r="D20" s="340"/>
      <c r="E20" s="121"/>
      <c r="F20" s="362" t="str">
        <f>IF(D20="","",VLOOKUP(D20,'G-7 WaterC'' Data'!$B$2:$G$8,2,FALSE))</f>
        <v/>
      </c>
      <c r="G20" s="363" t="str">
        <f>IFERROR(VLOOKUP(F20,'G-7 WaterC'' Data'!$C$4:$D$8,2,FALSE),"")</f>
        <v/>
      </c>
      <c r="H20" s="114"/>
      <c r="I20" s="363" t="str">
        <f>IFERROR(INDEX('G-7 WaterC'' Data'!$H$4:$L$8,MATCH(D20,'G-7 WaterC'' Data'!$B$4:$B$8,0),MATCH(H20,'G-7 WaterC'' Data'!$H$3:$L$3,0)),"")</f>
        <v/>
      </c>
      <c r="J20" s="115"/>
      <c r="K20" s="382" t="str">
        <f>IF(J20="","",IF(VLOOKUP(J20,'G-7 WaterC'' Data'!$AK$4:$AM$9,2,FALSE)=0,"Spatial Data Missing ⚠",VLOOKUP(J20,'G-7 WaterC'' Data'!$AK$4:$AM$6,2,FALSE)))</f>
        <v/>
      </c>
      <c r="L20" s="386" t="str">
        <f>IF(J20="","",IF(VLOOKUP(J20,'G-7 WaterC'' Data'!$AK$4:$AM$9,3,FALSE)=0,"Spatial Data Missing ⚠",VLOOKUP(J20,'G-7 WaterC'' Data'!$AK$4:$AM$6,3,FALSE)))</f>
        <v/>
      </c>
      <c r="M20" s="115"/>
      <c r="N20" s="363" t="str">
        <f>IF(M20="","",IF(VLOOKUP(M20,'G-7 WaterC'' Data'!$AA$4:$AB$7,2,FALSE)=0,"Spatial Data Missing ⚠",VLOOKUP(M20,'G-7 WaterC'' Data'!$AA$4:$AB$7,2,FALSE)))</f>
        <v/>
      </c>
      <c r="O20" s="60"/>
      <c r="P20" s="363" t="str">
        <f>IF(O20="","",IF(VLOOKUP(O20,'G-7 WaterC'' Data'!$AD$4:$AE$14,2,FALSE)=0,"Spatial Data Missing ⚠",VLOOKUP(O20,'G-7 WaterC'' Data'!$AD$4:$AE$14,2,FALSE)))</f>
        <v/>
      </c>
      <c r="Q20" s="369" t="str">
        <f>IF(D20="","",VLOOKUP(D20,'G-7 WaterC'' Data'!$B$4:$G$8,6,FALSE))</f>
        <v/>
      </c>
      <c r="R20" s="376" t="str">
        <f>IFERROR(IF(D20="","",IF(AND(Q20='G-1 All Habitats'!$X$3,X20&gt;0),Y20+(Z20*T20),IF(AND(Q20='G-1 All Habitats'!$X$3,W20&gt;0),Y20+(Z20*T20),IF(AND(Q20='G-1 All Habitats'!$X$3,AH20&gt;0),"Any Loss Unacceptable ⚠",IF(AND(Q20='G-1 All Habitats'!$X$3,AI20&gt;0),"Any Loss Unacceptable ⚠", E20*G20*I20*L20*N20*P20*T20 ))))),"Check Data ▲")</f>
        <v/>
      </c>
      <c r="S20" s="516"/>
      <c r="T20" s="368" t="str">
        <f>IF(S20="","",IF(VLOOKUP(S20,'G-7 WaterC'' Data'!$AO$4:$BO$7,2,FALSE)=0,"Spatial Data Missing ⚠",VLOOKUP(S20,'G-7 WaterC'' Data'!$AO$4:$BO$7,2,FALSE)))</f>
        <v/>
      </c>
      <c r="U20" s="376" t="str">
        <f>IFERROR(IF(D20="","",IF(AND(Q20='G-1 All Habitats'!$X$3,X20&gt;0),Y20+Z20,IF(AND(Q20='G-1 All Habitats'!$X$3,W20&gt;0),Y20+Z20,IF(AND(Q20='G-1 All Habitats'!$X$3,AH20&gt;0),"Any Loss Unacceptable ⚠",IF(AND(Q20='G-1 All Habitats'!$X$3,AI20&gt;0),"Any Loss Unacceptable ⚠", E20*G20*I20*L20*N20*P20 ))))),"Check Data ▲")</f>
        <v/>
      </c>
      <c r="V20" s="32"/>
      <c r="W20" s="54"/>
      <c r="X20" s="55"/>
      <c r="Y20" s="374" t="str">
        <f t="shared" si="0"/>
        <v/>
      </c>
      <c r="Z20" s="374" t="str">
        <f t="shared" si="1"/>
        <v/>
      </c>
      <c r="AA20" s="374" t="str">
        <f t="shared" si="2"/>
        <v/>
      </c>
      <c r="AB20" s="670" t="str">
        <f t="shared" si="3"/>
        <v/>
      </c>
      <c r="AC20" s="516"/>
      <c r="AD20" s="119"/>
      <c r="AE20" s="120"/>
      <c r="AF20" s="120"/>
      <c r="AG20" s="120"/>
      <c r="AH20" s="57" t="str">
        <f>IF(Q20="","",IF(Q20='G-1 All Habitats'!$X$3,E20-X20-W20,"None"))</f>
        <v/>
      </c>
      <c r="AI20" s="58" t="str">
        <f>IF(Q20="","", IF(Q20='G-1 All Habitats'!$X$3, AH20*G20*I20*L20*N20*P20,"None"))</f>
        <v/>
      </c>
      <c r="AJ20" s="30" t="str">
        <f>IFERROR(INDEX('G-7 WaterC'' Data'!$AZ$3:$AZ$7,MATCH(D20,'G-7 WaterC'' Data'!$AY$3:$AY$7,0)),"")</f>
        <v/>
      </c>
      <c r="AK20" s="30">
        <f t="shared" si="4"/>
        <v>0</v>
      </c>
      <c r="AL20" s="108" t="str">
        <f t="shared" si="5"/>
        <v/>
      </c>
      <c r="AM20" s="108" t="str">
        <f t="shared" si="6"/>
        <v/>
      </c>
      <c r="AN20" s="109"/>
      <c r="AO20" s="108">
        <v>11</v>
      </c>
      <c r="AP20" s="109"/>
      <c r="AQ20" s="108" t="str">
        <f t="array" ref="AQ20">IFERROR(INDEX($AO$10:$AO$258, MATCH(0, IF(TRUE=$AL$10:$AL$258, COUNTIF($AQ$9:$AQ19, $AO$10:$AO$258), ""), 0)),"")</f>
        <v/>
      </c>
      <c r="AR20" s="108" t="str">
        <f t="array" ref="AR20">IFERROR(INDEX($AO$10:$AO$258, MATCH(0, IF(TRUE=$AM$10:$AM$258, COUNTIF($AR$9:$AR19, $AO$10:$AO$258), ""), 0)),"")</f>
        <v/>
      </c>
      <c r="AZ20" s="802" t="str">
        <f t="shared" si="7"/>
        <v/>
      </c>
    </row>
    <row r="21" spans="3:52" ht="15.75" thickBot="1">
      <c r="C21" s="110">
        <v>12</v>
      </c>
      <c r="D21" s="340"/>
      <c r="E21" s="121"/>
      <c r="F21" s="362" t="str">
        <f>IF(D21="","",VLOOKUP(D21,'G-7 WaterC'' Data'!$B$2:$G$8,2,FALSE))</f>
        <v/>
      </c>
      <c r="G21" s="363" t="str">
        <f>IFERROR(VLOOKUP(F21,'G-7 WaterC'' Data'!$C$4:$D$8,2,FALSE),"")</f>
        <v/>
      </c>
      <c r="H21" s="114"/>
      <c r="I21" s="363" t="str">
        <f>IFERROR(INDEX('G-7 WaterC'' Data'!$H$4:$L$8,MATCH(D21,'G-7 WaterC'' Data'!$B$4:$B$8,0),MATCH(H21,'G-7 WaterC'' Data'!$H$3:$L$3,0)),"")</f>
        <v/>
      </c>
      <c r="J21" s="115"/>
      <c r="K21" s="382" t="str">
        <f>IF(J21="","",IF(VLOOKUP(J21,'G-7 WaterC'' Data'!$AK$4:$AM$9,2,FALSE)=0,"Spatial Data Missing ⚠",VLOOKUP(J21,'G-7 WaterC'' Data'!$AK$4:$AM$6,2,FALSE)))</f>
        <v/>
      </c>
      <c r="L21" s="386" t="str">
        <f>IF(J21="","",IF(VLOOKUP(J21,'G-7 WaterC'' Data'!$AK$4:$AM$9,3,FALSE)=0,"Spatial Data Missing ⚠",VLOOKUP(J21,'G-7 WaterC'' Data'!$AK$4:$AM$6,3,FALSE)))</f>
        <v/>
      </c>
      <c r="M21" s="115"/>
      <c r="N21" s="363" t="str">
        <f>IF(M21="","",IF(VLOOKUP(M21,'G-7 WaterC'' Data'!$AA$4:$AB$7,2,FALSE)=0,"Spatial Data Missing ⚠",VLOOKUP(M21,'G-7 WaterC'' Data'!$AA$4:$AB$7,2,FALSE)))</f>
        <v/>
      </c>
      <c r="O21" s="60"/>
      <c r="P21" s="363" t="str">
        <f>IF(O21="","",IF(VLOOKUP(O21,'G-7 WaterC'' Data'!$AD$4:$AE$14,2,FALSE)=0,"Spatial Data Missing ⚠",VLOOKUP(O21,'G-7 WaterC'' Data'!$AD$4:$AE$14,2,FALSE)))</f>
        <v/>
      </c>
      <c r="Q21" s="369" t="str">
        <f>IF(D21="","",VLOOKUP(D21,'G-7 WaterC'' Data'!$B$4:$G$8,6,FALSE))</f>
        <v/>
      </c>
      <c r="R21" s="376" t="str">
        <f>IFERROR(IF(D21="","",IF(AND(Q21='G-1 All Habitats'!$X$3,X21&gt;0),Y21+(Z21*T21),IF(AND(Q21='G-1 All Habitats'!$X$3,W21&gt;0),Y21+(Z21*T21),IF(AND(Q21='G-1 All Habitats'!$X$3,AH21&gt;0),"Any Loss Unacceptable ⚠",IF(AND(Q21='G-1 All Habitats'!$X$3,AI21&gt;0),"Any Loss Unacceptable ⚠", E21*G21*I21*L21*N21*P21*T21 ))))),"Check Data ▲")</f>
        <v/>
      </c>
      <c r="S21" s="516"/>
      <c r="T21" s="368" t="str">
        <f>IF(S21="","",IF(VLOOKUP(S21,'G-7 WaterC'' Data'!$AO$4:$BO$7,2,FALSE)=0,"Spatial Data Missing ⚠",VLOOKUP(S21,'G-7 WaterC'' Data'!$AO$4:$BO$7,2,FALSE)))</f>
        <v/>
      </c>
      <c r="U21" s="376" t="str">
        <f>IFERROR(IF(D21="","",IF(AND(Q21='G-1 All Habitats'!$X$3,X21&gt;0),Y21+Z21,IF(AND(Q21='G-1 All Habitats'!$X$3,W21&gt;0),Y21+Z21,IF(AND(Q21='G-1 All Habitats'!$X$3,AH21&gt;0),"Any Loss Unacceptable ⚠",IF(AND(Q21='G-1 All Habitats'!$X$3,AI21&gt;0),"Any Loss Unacceptable ⚠", E21*G21*I21*L21*N21*P21 ))))),"Check Data ▲")</f>
        <v/>
      </c>
      <c r="V21" s="32"/>
      <c r="W21" s="54"/>
      <c r="X21" s="55"/>
      <c r="Y21" s="374" t="str">
        <f t="shared" si="0"/>
        <v/>
      </c>
      <c r="Z21" s="374" t="str">
        <f t="shared" si="1"/>
        <v/>
      </c>
      <c r="AA21" s="374" t="str">
        <f t="shared" si="2"/>
        <v/>
      </c>
      <c r="AB21" s="670" t="str">
        <f t="shared" si="3"/>
        <v/>
      </c>
      <c r="AC21" s="516"/>
      <c r="AD21" s="119"/>
      <c r="AE21" s="120"/>
      <c r="AF21" s="120"/>
      <c r="AG21" s="120"/>
      <c r="AH21" s="57" t="str">
        <f>IF(Q21="","",IF(Q21='G-1 All Habitats'!$X$3,E21-X21-W21,"None"))</f>
        <v/>
      </c>
      <c r="AI21" s="58" t="str">
        <f>IF(Q21="","", IF(Q21='G-1 All Habitats'!$X$3, AH21*G21*I21*L21*N21*P21,"None"))</f>
        <v/>
      </c>
      <c r="AJ21" s="30" t="str">
        <f>IFERROR(INDEX('G-7 WaterC'' Data'!$AZ$3:$AZ$7,MATCH(D21,'G-7 WaterC'' Data'!$AY$3:$AY$7,0)),"")</f>
        <v/>
      </c>
      <c r="AK21" s="30">
        <f t="shared" si="4"/>
        <v>0</v>
      </c>
      <c r="AL21" s="108" t="str">
        <f t="shared" si="5"/>
        <v/>
      </c>
      <c r="AM21" s="108" t="str">
        <f t="shared" si="6"/>
        <v/>
      </c>
      <c r="AN21" s="109"/>
      <c r="AO21" s="108">
        <v>12</v>
      </c>
      <c r="AP21" s="109"/>
      <c r="AQ21" s="108" t="str">
        <f t="array" ref="AQ21">IFERROR(INDEX($AO$10:$AO$258, MATCH(0, IF(TRUE=$AL$10:$AL$258, COUNTIF($AQ$9:$AQ20, $AO$10:$AO$258), ""), 0)),"")</f>
        <v/>
      </c>
      <c r="AR21" s="108" t="str">
        <f t="array" ref="AR21">IFERROR(INDEX($AO$10:$AO$258, MATCH(0, IF(TRUE=$AM$10:$AM$258, COUNTIF($AR$9:$AR20, $AO$10:$AO$258), ""), 0)),"")</f>
        <v/>
      </c>
      <c r="AZ21" s="802" t="str">
        <f t="shared" si="7"/>
        <v/>
      </c>
    </row>
    <row r="22" spans="3:52" ht="15.75" thickBot="1">
      <c r="C22" s="110">
        <v>13</v>
      </c>
      <c r="D22" s="340"/>
      <c r="E22" s="121"/>
      <c r="F22" s="362" t="str">
        <f>IF(D22="","",VLOOKUP(D22,'G-7 WaterC'' Data'!$B$2:$G$8,2,FALSE))</f>
        <v/>
      </c>
      <c r="G22" s="363" t="str">
        <f>IFERROR(VLOOKUP(F22,'G-7 WaterC'' Data'!$C$4:$D$8,2,FALSE),"")</f>
        <v/>
      </c>
      <c r="H22" s="114"/>
      <c r="I22" s="363" t="str">
        <f>IFERROR(INDEX('G-7 WaterC'' Data'!$H$4:$L$8,MATCH(D22,'G-7 WaterC'' Data'!$B$4:$B$8,0),MATCH(H22,'G-7 WaterC'' Data'!$H$3:$L$3,0)),"")</f>
        <v/>
      </c>
      <c r="J22" s="115"/>
      <c r="K22" s="382" t="str">
        <f>IF(J22="","",IF(VLOOKUP(J22,'G-7 WaterC'' Data'!$AK$4:$AM$9,2,FALSE)=0,"Spatial Data Missing ⚠",VLOOKUP(J22,'G-7 WaterC'' Data'!$AK$4:$AM$6,2,FALSE)))</f>
        <v/>
      </c>
      <c r="L22" s="386" t="str">
        <f>IF(J22="","",IF(VLOOKUP(J22,'G-7 WaterC'' Data'!$AK$4:$AM$9,3,FALSE)=0,"Spatial Data Missing ⚠",VLOOKUP(J22,'G-7 WaterC'' Data'!$AK$4:$AM$6,3,FALSE)))</f>
        <v/>
      </c>
      <c r="M22" s="115"/>
      <c r="N22" s="363" t="str">
        <f>IF(M22="","",IF(VLOOKUP(M22,'G-7 WaterC'' Data'!$AA$4:$AB$7,2,FALSE)=0,"Spatial Data Missing ⚠",VLOOKUP(M22,'G-7 WaterC'' Data'!$AA$4:$AB$7,2,FALSE)))</f>
        <v/>
      </c>
      <c r="O22" s="60"/>
      <c r="P22" s="363" t="str">
        <f>IF(O22="","",IF(VLOOKUP(O22,'G-7 WaterC'' Data'!$AD$4:$AE$14,2,FALSE)=0,"Spatial Data Missing ⚠",VLOOKUP(O22,'G-7 WaterC'' Data'!$AD$4:$AE$14,2,FALSE)))</f>
        <v/>
      </c>
      <c r="Q22" s="369" t="str">
        <f>IF(D22="","",VLOOKUP(D22,'G-7 WaterC'' Data'!$B$4:$G$8,6,FALSE))</f>
        <v/>
      </c>
      <c r="R22" s="376" t="str">
        <f>IFERROR(IF(D22="","",IF(AND(Q22='G-1 All Habitats'!$X$3,X22&gt;0),Y22+(Z22*T22),IF(AND(Q22='G-1 All Habitats'!$X$3,W22&gt;0),Y22+(Z22*T22),IF(AND(Q22='G-1 All Habitats'!$X$3,AH22&gt;0),"Any Loss Unacceptable ⚠",IF(AND(Q22='G-1 All Habitats'!$X$3,AI22&gt;0),"Any Loss Unacceptable ⚠", E22*G22*I22*L22*N22*P22*T22 ))))),"Check Data ▲")</f>
        <v/>
      </c>
      <c r="S22" s="516"/>
      <c r="T22" s="368" t="str">
        <f>IF(S22="","",IF(VLOOKUP(S22,'G-7 WaterC'' Data'!$AO$4:$BO$7,2,FALSE)=0,"Spatial Data Missing ⚠",VLOOKUP(S22,'G-7 WaterC'' Data'!$AO$4:$BO$7,2,FALSE)))</f>
        <v/>
      </c>
      <c r="U22" s="376" t="str">
        <f>IFERROR(IF(D22="","",IF(AND(Q22='G-1 All Habitats'!$X$3,X22&gt;0),Y22+Z22,IF(AND(Q22='G-1 All Habitats'!$X$3,W22&gt;0),Y22+Z22,IF(AND(Q22='G-1 All Habitats'!$X$3,AH22&gt;0),"Any Loss Unacceptable ⚠",IF(AND(Q22='G-1 All Habitats'!$X$3,AI22&gt;0),"Any Loss Unacceptable ⚠", E22*G22*I22*L22*N22*P22 ))))),"Check Data ▲")</f>
        <v/>
      </c>
      <c r="V22" s="32"/>
      <c r="W22" s="54"/>
      <c r="X22" s="55"/>
      <c r="Y22" s="374" t="str">
        <f t="shared" si="0"/>
        <v/>
      </c>
      <c r="Z22" s="374" t="str">
        <f t="shared" si="1"/>
        <v/>
      </c>
      <c r="AA22" s="374" t="str">
        <f t="shared" si="2"/>
        <v/>
      </c>
      <c r="AB22" s="670" t="str">
        <f t="shared" si="3"/>
        <v/>
      </c>
      <c r="AC22" s="516"/>
      <c r="AD22" s="119"/>
      <c r="AE22" s="120"/>
      <c r="AF22" s="120"/>
      <c r="AG22" s="120"/>
      <c r="AH22" s="57" t="str">
        <f>IF(Q22="","",IF(Q22='G-1 All Habitats'!$X$3,E22-X22-W22,"None"))</f>
        <v/>
      </c>
      <c r="AI22" s="58" t="str">
        <f>IF(Q22="","", IF(Q22='G-1 All Habitats'!$X$3, AH22*G22*I22*L22*N22*P22,"None"))</f>
        <v/>
      </c>
      <c r="AJ22" s="30" t="str">
        <f>IFERROR(INDEX('G-7 WaterC'' Data'!$AZ$3:$AZ$7,MATCH(D22,'G-7 WaterC'' Data'!$AY$3:$AY$7,0)),"")</f>
        <v/>
      </c>
      <c r="AK22" s="30">
        <f t="shared" si="4"/>
        <v>0</v>
      </c>
      <c r="AL22" s="108" t="str">
        <f t="shared" si="5"/>
        <v/>
      </c>
      <c r="AM22" s="108" t="str">
        <f t="shared" si="6"/>
        <v/>
      </c>
      <c r="AN22" s="109"/>
      <c r="AO22" s="108">
        <v>13</v>
      </c>
      <c r="AP22" s="109"/>
      <c r="AQ22" s="108" t="str">
        <f t="array" ref="AQ22">IFERROR(INDEX($AO$10:$AO$258, MATCH(0, IF(TRUE=$AL$10:$AL$258, COUNTIF($AQ$9:$AQ21, $AO$10:$AO$258), ""), 0)),"")</f>
        <v/>
      </c>
      <c r="AR22" s="108" t="str">
        <f t="array" ref="AR22">IFERROR(INDEX($AO$10:$AO$258, MATCH(0, IF(TRUE=$AM$10:$AM$258, COUNTIF($AR$9:$AR21, $AO$10:$AO$258), ""), 0)),"")</f>
        <v/>
      </c>
      <c r="AZ22" s="802" t="str">
        <f t="shared" si="7"/>
        <v/>
      </c>
    </row>
    <row r="23" spans="3:52" ht="15.75" thickBot="1">
      <c r="C23" s="110">
        <v>14</v>
      </c>
      <c r="D23" s="340"/>
      <c r="E23" s="121"/>
      <c r="F23" s="362" t="str">
        <f>IF(D23="","",VLOOKUP(D23,'G-7 WaterC'' Data'!$B$2:$G$8,2,FALSE))</f>
        <v/>
      </c>
      <c r="G23" s="363" t="str">
        <f>IFERROR(VLOOKUP(F23,'G-7 WaterC'' Data'!$C$4:$D$8,2,FALSE),"")</f>
        <v/>
      </c>
      <c r="H23" s="114"/>
      <c r="I23" s="363" t="str">
        <f>IFERROR(INDEX('G-7 WaterC'' Data'!$H$4:$L$8,MATCH(D23,'G-7 WaterC'' Data'!$B$4:$B$8,0),MATCH(H23,'G-7 WaterC'' Data'!$H$3:$L$3,0)),"")</f>
        <v/>
      </c>
      <c r="J23" s="115"/>
      <c r="K23" s="382" t="str">
        <f>IF(J23="","",IF(VLOOKUP(J23,'G-7 WaterC'' Data'!$AK$4:$AM$9,2,FALSE)=0,"Spatial Data Missing ⚠",VLOOKUP(J23,'G-7 WaterC'' Data'!$AK$4:$AM$6,2,FALSE)))</f>
        <v/>
      </c>
      <c r="L23" s="386" t="str">
        <f>IF(J23="","",IF(VLOOKUP(J23,'G-7 WaterC'' Data'!$AK$4:$AM$9,3,FALSE)=0,"Spatial Data Missing ⚠",VLOOKUP(J23,'G-7 WaterC'' Data'!$AK$4:$AM$6,3,FALSE)))</f>
        <v/>
      </c>
      <c r="M23" s="115"/>
      <c r="N23" s="363" t="str">
        <f>IF(M23="","",IF(VLOOKUP(M23,'G-7 WaterC'' Data'!$AA$4:$AB$7,2,FALSE)=0,"Spatial Data Missing ⚠",VLOOKUP(M23,'G-7 WaterC'' Data'!$AA$4:$AB$7,2,FALSE)))</f>
        <v/>
      </c>
      <c r="O23" s="60"/>
      <c r="P23" s="363" t="str">
        <f>IF(O23="","",IF(VLOOKUP(O23,'G-7 WaterC'' Data'!$AD$4:$AE$14,2,FALSE)=0,"Spatial Data Missing ⚠",VLOOKUP(O23,'G-7 WaterC'' Data'!$AD$4:$AE$14,2,FALSE)))</f>
        <v/>
      </c>
      <c r="Q23" s="369" t="str">
        <f>IF(D23="","",VLOOKUP(D23,'G-7 WaterC'' Data'!$B$4:$G$8,6,FALSE))</f>
        <v/>
      </c>
      <c r="R23" s="376" t="str">
        <f>IFERROR(IF(D23="","",IF(AND(Q23='G-1 All Habitats'!$X$3,X23&gt;0),Y23+(Z23*T23),IF(AND(Q23='G-1 All Habitats'!$X$3,W23&gt;0),Y23+(Z23*T23),IF(AND(Q23='G-1 All Habitats'!$X$3,AH23&gt;0),"Any Loss Unacceptable ⚠",IF(AND(Q23='G-1 All Habitats'!$X$3,AI23&gt;0),"Any Loss Unacceptable ⚠", E23*G23*I23*L23*N23*P23*T23 ))))),"Check Data ▲")</f>
        <v/>
      </c>
      <c r="S23" s="516"/>
      <c r="T23" s="368" t="str">
        <f>IF(S23="","",IF(VLOOKUP(S23,'G-7 WaterC'' Data'!$AO$4:$BO$7,2,FALSE)=0,"Spatial Data Missing ⚠",VLOOKUP(S23,'G-7 WaterC'' Data'!$AO$4:$BO$7,2,FALSE)))</f>
        <v/>
      </c>
      <c r="U23" s="376" t="str">
        <f>IFERROR(IF(D23="","",IF(AND(Q23='G-1 All Habitats'!$X$3,X23&gt;0),Y23+Z23,IF(AND(Q23='G-1 All Habitats'!$X$3,W23&gt;0),Y23+Z23,IF(AND(Q23='G-1 All Habitats'!$X$3,AH23&gt;0),"Any Loss Unacceptable ⚠",IF(AND(Q23='G-1 All Habitats'!$X$3,AI23&gt;0),"Any Loss Unacceptable ⚠", E23*G23*I23*L23*N23*P23 ))))),"Check Data ▲")</f>
        <v/>
      </c>
      <c r="V23" s="32"/>
      <c r="W23" s="54"/>
      <c r="X23" s="55"/>
      <c r="Y23" s="374" t="str">
        <f t="shared" si="0"/>
        <v/>
      </c>
      <c r="Z23" s="374" t="str">
        <f t="shared" si="1"/>
        <v/>
      </c>
      <c r="AA23" s="374" t="str">
        <f t="shared" si="2"/>
        <v/>
      </c>
      <c r="AB23" s="670" t="str">
        <f t="shared" si="3"/>
        <v/>
      </c>
      <c r="AC23" s="516"/>
      <c r="AD23" s="119"/>
      <c r="AE23" s="120"/>
      <c r="AF23" s="120"/>
      <c r="AG23" s="120"/>
      <c r="AH23" s="57" t="str">
        <f>IF(Q23="","",IF(Q23='G-1 All Habitats'!$X$3,E23-X23-W23,"None"))</f>
        <v/>
      </c>
      <c r="AI23" s="58" t="str">
        <f>IF(Q23="","", IF(Q23='G-1 All Habitats'!$X$3, AH23*G23*I23*L23*N23*P23,"None"))</f>
        <v/>
      </c>
      <c r="AJ23" s="30" t="str">
        <f>IFERROR(INDEX('G-7 WaterC'' Data'!$AZ$3:$AZ$7,MATCH(D23,'G-7 WaterC'' Data'!$AY$3:$AY$7,0)),"")</f>
        <v/>
      </c>
      <c r="AK23" s="30">
        <f t="shared" si="4"/>
        <v>0</v>
      </c>
      <c r="AL23" s="124" t="str">
        <f t="shared" si="5"/>
        <v/>
      </c>
      <c r="AM23" s="124" t="str">
        <f t="shared" si="6"/>
        <v/>
      </c>
      <c r="AO23" s="124">
        <v>14</v>
      </c>
      <c r="AQ23" s="124" t="str">
        <f t="array" ref="AQ23">IFERROR(INDEX($AO$10:$AO$258, MATCH(0, IF(TRUE=$AL$10:$AL$258, COUNTIF($AQ$9:$AQ22, $AO$10:$AO$258), ""), 0)),"")</f>
        <v/>
      </c>
      <c r="AR23" s="124" t="str">
        <f t="array" ref="AR23">IFERROR(INDEX($AO$10:$AO$258, MATCH(0, IF(TRUE=$AM$10:$AM$258, COUNTIF($AR$9:$AR22, $AO$10:$AO$258), ""), 0)),"")</f>
        <v/>
      </c>
      <c r="AZ23" s="802" t="str">
        <f t="shared" si="7"/>
        <v/>
      </c>
    </row>
    <row r="24" spans="3:52" ht="15.75" thickBot="1">
      <c r="C24" s="110">
        <v>15</v>
      </c>
      <c r="D24" s="340"/>
      <c r="E24" s="121"/>
      <c r="F24" s="362" t="str">
        <f>IF(D24="","",VLOOKUP(D24,'G-7 WaterC'' Data'!$B$2:$G$8,2,FALSE))</f>
        <v/>
      </c>
      <c r="G24" s="363" t="str">
        <f>IFERROR(VLOOKUP(F24,'G-7 WaterC'' Data'!$C$4:$D$8,2,FALSE),"")</f>
        <v/>
      </c>
      <c r="H24" s="114"/>
      <c r="I24" s="363" t="str">
        <f>IFERROR(INDEX('G-7 WaterC'' Data'!$H$4:$L$8,MATCH(D24,'G-7 WaterC'' Data'!$B$4:$B$8,0),MATCH(H24,'G-7 WaterC'' Data'!$H$3:$L$3,0)),"")</f>
        <v/>
      </c>
      <c r="J24" s="115"/>
      <c r="K24" s="382" t="str">
        <f>IF(J24="","",IF(VLOOKUP(J24,'G-7 WaterC'' Data'!$AK$4:$AM$9,2,FALSE)=0,"Spatial Data Missing ⚠",VLOOKUP(J24,'G-7 WaterC'' Data'!$AK$4:$AM$6,2,FALSE)))</f>
        <v/>
      </c>
      <c r="L24" s="386" t="str">
        <f>IF(J24="","",IF(VLOOKUP(J24,'G-7 WaterC'' Data'!$AK$4:$AM$9,3,FALSE)=0,"Spatial Data Missing ⚠",VLOOKUP(J24,'G-7 WaterC'' Data'!$AK$4:$AM$6,3,FALSE)))</f>
        <v/>
      </c>
      <c r="M24" s="115"/>
      <c r="N24" s="363" t="str">
        <f>IF(M24="","",IF(VLOOKUP(M24,'G-7 WaterC'' Data'!$AA$4:$AB$7,2,FALSE)=0,"Spatial Data Missing ⚠",VLOOKUP(M24,'G-7 WaterC'' Data'!$AA$4:$AB$7,2,FALSE)))</f>
        <v/>
      </c>
      <c r="O24" s="60"/>
      <c r="P24" s="363" t="str">
        <f>IF(O24="","",IF(VLOOKUP(O24,'G-7 WaterC'' Data'!$AD$4:$AE$14,2,FALSE)=0,"Spatial Data Missing ⚠",VLOOKUP(O24,'G-7 WaterC'' Data'!$AD$4:$AE$14,2,FALSE)))</f>
        <v/>
      </c>
      <c r="Q24" s="369" t="str">
        <f>IF(D24="","",VLOOKUP(D24,'G-7 WaterC'' Data'!$B$4:$G$8,6,FALSE))</f>
        <v/>
      </c>
      <c r="R24" s="376" t="str">
        <f>IFERROR(IF(D24="","",IF(AND(Q24='G-1 All Habitats'!$X$3,X24&gt;0),Y24+(Z24*T24),IF(AND(Q24='G-1 All Habitats'!$X$3,W24&gt;0),Y24+(Z24*T24),IF(AND(Q24='G-1 All Habitats'!$X$3,AH24&gt;0),"Any Loss Unacceptable ⚠",IF(AND(Q24='G-1 All Habitats'!$X$3,AI24&gt;0),"Any Loss Unacceptable ⚠", E24*G24*I24*L24*N24*P24*T24 ))))),"Check Data ▲")</f>
        <v/>
      </c>
      <c r="S24" s="516"/>
      <c r="T24" s="368" t="str">
        <f>IF(S24="","",IF(VLOOKUP(S24,'G-7 WaterC'' Data'!$AO$4:$BO$7,2,FALSE)=0,"Spatial Data Missing ⚠",VLOOKUP(S24,'G-7 WaterC'' Data'!$AO$4:$BO$7,2,FALSE)))</f>
        <v/>
      </c>
      <c r="U24" s="376" t="str">
        <f>IFERROR(IF(D24="","",IF(AND(Q24='G-1 All Habitats'!$X$3,X24&gt;0),Y24+Z24,IF(AND(Q24='G-1 All Habitats'!$X$3,W24&gt;0),Y24+Z24,IF(AND(Q24='G-1 All Habitats'!$X$3,AH24&gt;0),"Any Loss Unacceptable ⚠",IF(AND(Q24='G-1 All Habitats'!$X$3,AI24&gt;0),"Any Loss Unacceptable ⚠", E24*G24*I24*L24*N24*P24 ))))),"Check Data ▲")</f>
        <v/>
      </c>
      <c r="V24" s="32"/>
      <c r="W24" s="114"/>
      <c r="X24" s="125"/>
      <c r="Y24" s="374" t="str">
        <f t="shared" si="0"/>
        <v/>
      </c>
      <c r="Z24" s="374" t="str">
        <f t="shared" si="1"/>
        <v/>
      </c>
      <c r="AA24" s="374" t="str">
        <f t="shared" si="2"/>
        <v/>
      </c>
      <c r="AB24" s="670" t="str">
        <f t="shared" si="3"/>
        <v/>
      </c>
      <c r="AC24" s="516"/>
      <c r="AD24" s="119"/>
      <c r="AE24" s="120"/>
      <c r="AF24" s="120"/>
      <c r="AG24" s="120"/>
      <c r="AH24" s="57" t="str">
        <f>IF(Q24="","",IF(Q24='G-1 All Habitats'!$X$3,E24-X24-W24,"None"))</f>
        <v/>
      </c>
      <c r="AI24" s="58" t="str">
        <f>IF(Q24="","", IF(Q24='G-1 All Habitats'!$X$3, AH24*G24*I24*L24*N24*P24,"None"))</f>
        <v/>
      </c>
      <c r="AJ24" s="30" t="str">
        <f>IFERROR(INDEX('G-7 WaterC'' Data'!$AZ$3:$AZ$7,MATCH(D24,'G-7 WaterC'' Data'!$AY$3:$AY$7,0)),"")</f>
        <v/>
      </c>
      <c r="AK24" s="30">
        <f t="shared" si="4"/>
        <v>0</v>
      </c>
      <c r="AL24" s="124" t="str">
        <f t="shared" si="5"/>
        <v/>
      </c>
      <c r="AM24" s="124" t="str">
        <f t="shared" si="6"/>
        <v/>
      </c>
      <c r="AO24" s="124">
        <v>15</v>
      </c>
      <c r="AQ24" s="124" t="str">
        <f t="array" ref="AQ24">IFERROR(INDEX($AO$10:$AO$258, MATCH(0, IF(TRUE=$AL$10:$AL$258, COUNTIF($AQ$9:$AQ23, $AO$10:$AO$258), ""), 0)),"")</f>
        <v/>
      </c>
      <c r="AR24" s="124" t="str">
        <f t="array" ref="AR24">IFERROR(INDEX($AO$10:$AO$258, MATCH(0, IF(TRUE=$AM$10:$AM$258, COUNTIF($AR$9:$AR23, $AO$10:$AO$258), ""), 0)),"")</f>
        <v/>
      </c>
      <c r="AZ24" s="802" t="str">
        <f t="shared" si="7"/>
        <v/>
      </c>
    </row>
    <row r="25" spans="3:52" ht="15.75" thickBot="1">
      <c r="C25" s="110">
        <v>16</v>
      </c>
      <c r="D25" s="340"/>
      <c r="E25" s="121"/>
      <c r="F25" s="362" t="str">
        <f>IF(D25="","",VLOOKUP(D25,'G-7 WaterC'' Data'!$B$2:$G$8,2,FALSE))</f>
        <v/>
      </c>
      <c r="G25" s="363" t="str">
        <f>IFERROR(VLOOKUP(F25,'G-7 WaterC'' Data'!$C$4:$D$8,2,FALSE),"")</f>
        <v/>
      </c>
      <c r="H25" s="114"/>
      <c r="I25" s="363" t="str">
        <f>IFERROR(INDEX('G-7 WaterC'' Data'!$H$4:$L$8,MATCH(D25,'G-7 WaterC'' Data'!$B$4:$B$8,0),MATCH(H25,'G-7 WaterC'' Data'!$H$3:$L$3,0)),"")</f>
        <v/>
      </c>
      <c r="J25" s="115"/>
      <c r="K25" s="382" t="str">
        <f>IF(J25="","",IF(VLOOKUP(J25,'G-7 WaterC'' Data'!$AK$4:$AM$9,2,FALSE)=0,"Spatial Data Missing ⚠",VLOOKUP(J25,'G-7 WaterC'' Data'!$AK$4:$AM$6,2,FALSE)))</f>
        <v/>
      </c>
      <c r="L25" s="386" t="str">
        <f>IF(J25="","",IF(VLOOKUP(J25,'G-7 WaterC'' Data'!$AK$4:$AM$9,3,FALSE)=0,"Spatial Data Missing ⚠",VLOOKUP(J25,'G-7 WaterC'' Data'!$AK$4:$AM$6,3,FALSE)))</f>
        <v/>
      </c>
      <c r="M25" s="115"/>
      <c r="N25" s="363" t="str">
        <f>IF(M25="","",IF(VLOOKUP(M25,'G-7 WaterC'' Data'!$AA$4:$AB$7,2,FALSE)=0,"Spatial Data Missing ⚠",VLOOKUP(M25,'G-7 WaterC'' Data'!$AA$4:$AB$7,2,FALSE)))</f>
        <v/>
      </c>
      <c r="O25" s="60"/>
      <c r="P25" s="363" t="str">
        <f>IF(O25="","",IF(VLOOKUP(O25,'G-7 WaterC'' Data'!$AD$4:$AE$14,2,FALSE)=0,"Spatial Data Missing ⚠",VLOOKUP(O25,'G-7 WaterC'' Data'!$AD$4:$AE$14,2,FALSE)))</f>
        <v/>
      </c>
      <c r="Q25" s="369" t="str">
        <f>IF(D25="","",VLOOKUP(D25,'G-7 WaterC'' Data'!$B$4:$G$8,6,FALSE))</f>
        <v/>
      </c>
      <c r="R25" s="376" t="str">
        <f>IFERROR(IF(D25="","",IF(AND(Q25='G-1 All Habitats'!$X$3,X25&gt;0),Y25+(Z25*T25),IF(AND(Q25='G-1 All Habitats'!$X$3,W25&gt;0),Y25+(Z25*T25),IF(AND(Q25='G-1 All Habitats'!$X$3,AH25&gt;0),"Any Loss Unacceptable ⚠",IF(AND(Q25='G-1 All Habitats'!$X$3,AI25&gt;0),"Any Loss Unacceptable ⚠", E25*G25*I25*L25*N25*P25*T25 ))))),"Check Data ▲")</f>
        <v/>
      </c>
      <c r="S25" s="516"/>
      <c r="T25" s="368" t="str">
        <f>IF(S25="","",IF(VLOOKUP(S25,'G-7 WaterC'' Data'!$AO$4:$BO$7,2,FALSE)=0,"Spatial Data Missing ⚠",VLOOKUP(S25,'G-7 WaterC'' Data'!$AO$4:$BO$7,2,FALSE)))</f>
        <v/>
      </c>
      <c r="U25" s="376" t="str">
        <f>IFERROR(IF(D25="","",IF(AND(Q25='G-1 All Habitats'!$X$3,X25&gt;0),Y25+Z25,IF(AND(Q25='G-1 All Habitats'!$X$3,W25&gt;0),Y25+Z25,IF(AND(Q25='G-1 All Habitats'!$X$3,AH25&gt;0),"Any Loss Unacceptable ⚠",IF(AND(Q25='G-1 All Habitats'!$X$3,AI25&gt;0),"Any Loss Unacceptable ⚠", E25*G25*I25*L25*N25*P25 ))))),"Check Data ▲")</f>
        <v/>
      </c>
      <c r="V25" s="32"/>
      <c r="W25" s="114"/>
      <c r="X25" s="125"/>
      <c r="Y25" s="374" t="str">
        <f t="shared" si="0"/>
        <v/>
      </c>
      <c r="Z25" s="374" t="str">
        <f t="shared" si="1"/>
        <v/>
      </c>
      <c r="AA25" s="374" t="str">
        <f t="shared" si="2"/>
        <v/>
      </c>
      <c r="AB25" s="670" t="str">
        <f t="shared" si="3"/>
        <v/>
      </c>
      <c r="AC25" s="516"/>
      <c r="AD25" s="119"/>
      <c r="AE25" s="120"/>
      <c r="AF25" s="120"/>
      <c r="AG25" s="120"/>
      <c r="AH25" s="57" t="str">
        <f>IF(Q25="","",IF(Q25='G-1 All Habitats'!$X$3,E25-X25-W25,"None"))</f>
        <v/>
      </c>
      <c r="AI25" s="58" t="str">
        <f>IF(Q25="","", IF(Q25='G-1 All Habitats'!$X$3, AH25*G25*I25*L25*N25*P25,"None"))</f>
        <v/>
      </c>
      <c r="AJ25" s="30" t="str">
        <f>IFERROR(INDEX('G-7 WaterC'' Data'!$AZ$3:$AZ$7,MATCH(D25,'G-7 WaterC'' Data'!$AY$3:$AY$7,0)),"")</f>
        <v/>
      </c>
      <c r="AK25" s="30">
        <f t="shared" si="4"/>
        <v>0</v>
      </c>
      <c r="AL25" s="124" t="str">
        <f t="shared" si="5"/>
        <v/>
      </c>
      <c r="AM25" s="124" t="str">
        <f t="shared" si="6"/>
        <v/>
      </c>
      <c r="AO25" s="124">
        <v>16</v>
      </c>
      <c r="AQ25" s="124" t="str">
        <f t="array" ref="AQ25">IFERROR(INDEX($AO$10:$AO$258, MATCH(0, IF(TRUE=$AL$10:$AL$258, COUNTIF($AQ$9:$AQ24, $AO$10:$AO$258), ""), 0)),"")</f>
        <v/>
      </c>
      <c r="AR25" s="124" t="str">
        <f t="array" ref="AR25">IFERROR(INDEX($AO$10:$AO$258, MATCH(0, IF(TRUE=$AM$10:$AM$258, COUNTIF($AR$9:$AR24, $AO$10:$AO$258), ""), 0)),"")</f>
        <v/>
      </c>
      <c r="AZ25" s="802" t="str">
        <f t="shared" si="7"/>
        <v/>
      </c>
    </row>
    <row r="26" spans="3:52" ht="15.75" thickBot="1">
      <c r="C26" s="110">
        <v>17</v>
      </c>
      <c r="D26" s="340"/>
      <c r="E26" s="121"/>
      <c r="F26" s="362" t="str">
        <f>IF(D26="","",VLOOKUP(D26,'G-7 WaterC'' Data'!$B$2:$G$8,2,FALSE))</f>
        <v/>
      </c>
      <c r="G26" s="363" t="str">
        <f>IFERROR(VLOOKUP(F26,'G-7 WaterC'' Data'!$C$4:$D$8,2,FALSE),"")</f>
        <v/>
      </c>
      <c r="H26" s="114"/>
      <c r="I26" s="363" t="str">
        <f>IFERROR(INDEX('G-7 WaterC'' Data'!$H$4:$L$8,MATCH(D26,'G-7 WaterC'' Data'!$B$4:$B$8,0),MATCH(H26,'G-7 WaterC'' Data'!$H$3:$L$3,0)),"")</f>
        <v/>
      </c>
      <c r="J26" s="115"/>
      <c r="K26" s="382" t="str">
        <f>IF(J26="","",IF(VLOOKUP(J26,'G-7 WaterC'' Data'!$AK$4:$AM$9,2,FALSE)=0,"Spatial Data Missing ⚠",VLOOKUP(J26,'G-7 WaterC'' Data'!$AK$4:$AM$6,2,FALSE)))</f>
        <v/>
      </c>
      <c r="L26" s="386" t="str">
        <f>IF(J26="","",IF(VLOOKUP(J26,'G-7 WaterC'' Data'!$AK$4:$AM$9,3,FALSE)=0,"Spatial Data Missing ⚠",VLOOKUP(J26,'G-7 WaterC'' Data'!$AK$4:$AM$6,3,FALSE)))</f>
        <v/>
      </c>
      <c r="M26" s="115"/>
      <c r="N26" s="363" t="str">
        <f>IF(M26="","",IF(VLOOKUP(M26,'G-7 WaterC'' Data'!$AA$4:$AB$7,2,FALSE)=0,"Spatial Data Missing ⚠",VLOOKUP(M26,'G-7 WaterC'' Data'!$AA$4:$AB$7,2,FALSE)))</f>
        <v/>
      </c>
      <c r="O26" s="60"/>
      <c r="P26" s="363" t="str">
        <f>IF(O26="","",IF(VLOOKUP(O26,'G-7 WaterC'' Data'!$AD$4:$AE$14,2,FALSE)=0,"Spatial Data Missing ⚠",VLOOKUP(O26,'G-7 WaterC'' Data'!$AD$4:$AE$14,2,FALSE)))</f>
        <v/>
      </c>
      <c r="Q26" s="369" t="str">
        <f>IF(D26="","",VLOOKUP(D26,'G-7 WaterC'' Data'!$B$4:$G$8,6,FALSE))</f>
        <v/>
      </c>
      <c r="R26" s="376" t="str">
        <f>IFERROR(IF(D26="","",IF(AND(Q26='G-1 All Habitats'!$X$3,X26&gt;0),Y26+(Z26*T26),IF(AND(Q26='G-1 All Habitats'!$X$3,W26&gt;0),Y26+(Z26*T26),IF(AND(Q26='G-1 All Habitats'!$X$3,AH26&gt;0),"Any Loss Unacceptable ⚠",IF(AND(Q26='G-1 All Habitats'!$X$3,AI26&gt;0),"Any Loss Unacceptable ⚠", E26*G26*I26*L26*N26*P26*T26 ))))),"Check Data ▲")</f>
        <v/>
      </c>
      <c r="S26" s="516"/>
      <c r="T26" s="368" t="str">
        <f>IF(S26="","",IF(VLOOKUP(S26,'G-7 WaterC'' Data'!$AO$4:$BO$7,2,FALSE)=0,"Spatial Data Missing ⚠",VLOOKUP(S26,'G-7 WaterC'' Data'!$AO$4:$BO$7,2,FALSE)))</f>
        <v/>
      </c>
      <c r="U26" s="376" t="str">
        <f>IFERROR(IF(D26="","",IF(AND(Q26='G-1 All Habitats'!$X$3,X26&gt;0),Y26+Z26,IF(AND(Q26='G-1 All Habitats'!$X$3,W26&gt;0),Y26+Z26,IF(AND(Q26='G-1 All Habitats'!$X$3,AH26&gt;0),"Any Loss Unacceptable ⚠",IF(AND(Q26='G-1 All Habitats'!$X$3,AI26&gt;0),"Any Loss Unacceptable ⚠", E26*G26*I26*L26*N26*P26 ))))),"Check Data ▲")</f>
        <v/>
      </c>
      <c r="V26" s="32"/>
      <c r="W26" s="114"/>
      <c r="X26" s="125"/>
      <c r="Y26" s="374" t="str">
        <f t="shared" si="0"/>
        <v/>
      </c>
      <c r="Z26" s="374" t="str">
        <f t="shared" si="1"/>
        <v/>
      </c>
      <c r="AA26" s="374" t="str">
        <f t="shared" si="2"/>
        <v/>
      </c>
      <c r="AB26" s="670" t="str">
        <f t="shared" si="3"/>
        <v/>
      </c>
      <c r="AC26" s="516"/>
      <c r="AD26" s="119"/>
      <c r="AE26" s="120"/>
      <c r="AF26" s="120"/>
      <c r="AG26" s="120"/>
      <c r="AH26" s="57" t="str">
        <f>IF(Q26="","",IF(Q26='G-1 All Habitats'!$X$3,E26-X26-W26,"None"))</f>
        <v/>
      </c>
      <c r="AI26" s="58" t="str">
        <f>IF(Q26="","", IF(Q26='G-1 All Habitats'!$X$3, AH26*G26*I26*L26*N26*P26,"None"))</f>
        <v/>
      </c>
      <c r="AJ26" s="30" t="str">
        <f>IFERROR(INDEX('G-7 WaterC'' Data'!$AZ$3:$AZ$7,MATCH(D26,'G-7 WaterC'' Data'!$AY$3:$AY$7,0)),"")</f>
        <v/>
      </c>
      <c r="AK26" s="30">
        <f t="shared" si="4"/>
        <v>0</v>
      </c>
      <c r="AL26" s="124" t="str">
        <f t="shared" si="5"/>
        <v/>
      </c>
      <c r="AM26" s="124" t="str">
        <f t="shared" si="6"/>
        <v/>
      </c>
      <c r="AO26" s="124">
        <v>17</v>
      </c>
      <c r="AQ26" s="124" t="str">
        <f t="array" ref="AQ26">IFERROR(INDEX($AO$10:$AO$258, MATCH(0, IF(TRUE=$AL$10:$AL$258, COUNTIF($AQ$9:$AQ25, $AO$10:$AO$258), ""), 0)),"")</f>
        <v/>
      </c>
      <c r="AR26" s="124" t="str">
        <f t="array" ref="AR26">IFERROR(INDEX($AO$10:$AO$258, MATCH(0, IF(TRUE=$AM$10:$AM$258, COUNTIF($AR$9:$AR25, $AO$10:$AO$258), ""), 0)),"")</f>
        <v/>
      </c>
      <c r="AZ26" s="802" t="str">
        <f t="shared" si="7"/>
        <v/>
      </c>
    </row>
    <row r="27" spans="3:52" ht="15.75" thickBot="1">
      <c r="C27" s="110">
        <v>18</v>
      </c>
      <c r="D27" s="340"/>
      <c r="E27" s="121"/>
      <c r="F27" s="362" t="str">
        <f>IF(D27="","",VLOOKUP(D27,'G-7 WaterC'' Data'!$B$2:$G$8,2,FALSE))</f>
        <v/>
      </c>
      <c r="G27" s="363" t="str">
        <f>IFERROR(VLOOKUP(F27,'G-7 WaterC'' Data'!$C$4:$D$8,2,FALSE),"")</f>
        <v/>
      </c>
      <c r="H27" s="114"/>
      <c r="I27" s="363" t="str">
        <f>IFERROR(INDEX('G-7 WaterC'' Data'!$H$4:$L$8,MATCH(D27,'G-7 WaterC'' Data'!$B$4:$B$8,0),MATCH(H27,'G-7 WaterC'' Data'!$H$3:$L$3,0)),"")</f>
        <v/>
      </c>
      <c r="J27" s="115"/>
      <c r="K27" s="382" t="str">
        <f>IF(J27="","",IF(VLOOKUP(J27,'G-7 WaterC'' Data'!$AK$4:$AM$9,2,FALSE)=0,"Spatial Data Missing ⚠",VLOOKUP(J27,'G-7 WaterC'' Data'!$AK$4:$AM$6,2,FALSE)))</f>
        <v/>
      </c>
      <c r="L27" s="386" t="str">
        <f>IF(J27="","",IF(VLOOKUP(J27,'G-7 WaterC'' Data'!$AK$4:$AM$9,3,FALSE)=0,"Spatial Data Missing ⚠",VLOOKUP(J27,'G-7 WaterC'' Data'!$AK$4:$AM$6,3,FALSE)))</f>
        <v/>
      </c>
      <c r="M27" s="115"/>
      <c r="N27" s="363" t="str">
        <f>IF(M27="","",IF(VLOOKUP(M27,'G-7 WaterC'' Data'!$AA$4:$AB$7,2,FALSE)=0,"Spatial Data Missing ⚠",VLOOKUP(M27,'G-7 WaterC'' Data'!$AA$4:$AB$7,2,FALSE)))</f>
        <v/>
      </c>
      <c r="O27" s="60"/>
      <c r="P27" s="363" t="str">
        <f>IF(O27="","",IF(VLOOKUP(O27,'G-7 WaterC'' Data'!$AD$4:$AE$14,2,FALSE)=0,"Spatial Data Missing ⚠",VLOOKUP(O27,'G-7 WaterC'' Data'!$AD$4:$AE$14,2,FALSE)))</f>
        <v/>
      </c>
      <c r="Q27" s="369" t="str">
        <f>IF(D27="","",VLOOKUP(D27,'G-7 WaterC'' Data'!$B$4:$G$8,6,FALSE))</f>
        <v/>
      </c>
      <c r="R27" s="376" t="str">
        <f>IFERROR(IF(D27="","",IF(AND(Q27='G-1 All Habitats'!$X$3,X27&gt;0),Y27+(Z27*T27),IF(AND(Q27='G-1 All Habitats'!$X$3,W27&gt;0),Y27+(Z27*T27),IF(AND(Q27='G-1 All Habitats'!$X$3,AH27&gt;0),"Any Loss Unacceptable ⚠",IF(AND(Q27='G-1 All Habitats'!$X$3,AI27&gt;0),"Any Loss Unacceptable ⚠", E27*G27*I27*L27*N27*P27*T27 ))))),"Check Data ▲")</f>
        <v/>
      </c>
      <c r="S27" s="516"/>
      <c r="T27" s="368" t="str">
        <f>IF(S27="","",IF(VLOOKUP(S27,'G-7 WaterC'' Data'!$AO$4:$BO$7,2,FALSE)=0,"Spatial Data Missing ⚠",VLOOKUP(S27,'G-7 WaterC'' Data'!$AO$4:$BO$7,2,FALSE)))</f>
        <v/>
      </c>
      <c r="U27" s="376" t="str">
        <f>IFERROR(IF(D27="","",IF(AND(Q27='G-1 All Habitats'!$X$3,X27&gt;0),Y27+Z27,IF(AND(Q27='G-1 All Habitats'!$X$3,W27&gt;0),Y27+Z27,IF(AND(Q27='G-1 All Habitats'!$X$3,AH27&gt;0),"Any Loss Unacceptable ⚠",IF(AND(Q27='G-1 All Habitats'!$X$3,AI27&gt;0),"Any Loss Unacceptable ⚠", E27*G27*I27*L27*N27*P27 ))))),"Check Data ▲")</f>
        <v/>
      </c>
      <c r="V27" s="32"/>
      <c r="W27" s="114"/>
      <c r="X27" s="125"/>
      <c r="Y27" s="374" t="str">
        <f t="shared" si="0"/>
        <v/>
      </c>
      <c r="Z27" s="374" t="str">
        <f t="shared" si="1"/>
        <v/>
      </c>
      <c r="AA27" s="374" t="str">
        <f t="shared" si="2"/>
        <v/>
      </c>
      <c r="AB27" s="670" t="str">
        <f t="shared" si="3"/>
        <v/>
      </c>
      <c r="AC27" s="516"/>
      <c r="AD27" s="119"/>
      <c r="AE27" s="120"/>
      <c r="AF27" s="120"/>
      <c r="AG27" s="120"/>
      <c r="AH27" s="57" t="str">
        <f>IF(Q27="","",IF(Q27='G-1 All Habitats'!$X$3,E27-X27-W27,"None"))</f>
        <v/>
      </c>
      <c r="AI27" s="58" t="str">
        <f>IF(Q27="","", IF(Q27='G-1 All Habitats'!$X$3, AH27*G27*I27*L27*N27*P27,"None"))</f>
        <v/>
      </c>
      <c r="AJ27" s="30" t="str">
        <f>IFERROR(INDEX('G-7 WaterC'' Data'!$AZ$3:$AZ$7,MATCH(D27,'G-7 WaterC'' Data'!$AY$3:$AY$7,0)),"")</f>
        <v/>
      </c>
      <c r="AK27" s="30">
        <f t="shared" si="4"/>
        <v>0</v>
      </c>
      <c r="AL27" s="124" t="str">
        <f t="shared" si="5"/>
        <v/>
      </c>
      <c r="AM27" s="124" t="str">
        <f t="shared" si="6"/>
        <v/>
      </c>
      <c r="AO27" s="124">
        <v>18</v>
      </c>
      <c r="AQ27" s="124" t="str">
        <f t="array" ref="AQ27">IFERROR(INDEX($AO$10:$AO$258, MATCH(0, IF(TRUE=$AL$10:$AL$258, COUNTIF($AQ$9:$AQ26, $AO$10:$AO$258), ""), 0)),"")</f>
        <v/>
      </c>
      <c r="AR27" s="124" t="str">
        <f t="array" ref="AR27">IFERROR(INDEX($AO$10:$AO$258, MATCH(0, IF(TRUE=$AM$10:$AM$258, COUNTIF($AR$9:$AR26, $AO$10:$AO$258), ""), 0)),"")</f>
        <v/>
      </c>
      <c r="AZ27" s="802" t="str">
        <f t="shared" si="7"/>
        <v/>
      </c>
    </row>
    <row r="28" spans="3:52" ht="15.75" thickBot="1">
      <c r="C28" s="110">
        <v>19</v>
      </c>
      <c r="D28" s="340"/>
      <c r="E28" s="121"/>
      <c r="F28" s="362" t="str">
        <f>IF(D28="","",VLOOKUP(D28,'G-7 WaterC'' Data'!$B$2:$G$8,2,FALSE))</f>
        <v/>
      </c>
      <c r="G28" s="363" t="str">
        <f>IFERROR(VLOOKUP(F28,'G-7 WaterC'' Data'!$C$4:$D$8,2,FALSE),"")</f>
        <v/>
      </c>
      <c r="H28" s="114"/>
      <c r="I28" s="363" t="str">
        <f>IFERROR(INDEX('G-7 WaterC'' Data'!$H$4:$L$8,MATCH(D28,'G-7 WaterC'' Data'!$B$4:$B$8,0),MATCH(H28,'G-7 WaterC'' Data'!$H$3:$L$3,0)),"")</f>
        <v/>
      </c>
      <c r="J28" s="115"/>
      <c r="K28" s="382" t="str">
        <f>IF(J28="","",IF(VLOOKUP(J28,'G-7 WaterC'' Data'!$AK$4:$AM$9,2,FALSE)=0,"Spatial Data Missing ⚠",VLOOKUP(J28,'G-7 WaterC'' Data'!$AK$4:$AM$6,2,FALSE)))</f>
        <v/>
      </c>
      <c r="L28" s="386" t="str">
        <f>IF(J28="","",IF(VLOOKUP(J28,'G-7 WaterC'' Data'!$AK$4:$AM$9,3,FALSE)=0,"Spatial Data Missing ⚠",VLOOKUP(J28,'G-7 WaterC'' Data'!$AK$4:$AM$6,3,FALSE)))</f>
        <v/>
      </c>
      <c r="M28" s="115"/>
      <c r="N28" s="363" t="str">
        <f>IF(M28="","",IF(VLOOKUP(M28,'G-7 WaterC'' Data'!$AA$4:$AB$7,2,FALSE)=0,"Spatial Data Missing ⚠",VLOOKUP(M28,'G-7 WaterC'' Data'!$AA$4:$AB$7,2,FALSE)))</f>
        <v/>
      </c>
      <c r="O28" s="60"/>
      <c r="P28" s="363" t="str">
        <f>IF(O28="","",IF(VLOOKUP(O28,'G-7 WaterC'' Data'!$AD$4:$AE$14,2,FALSE)=0,"Spatial Data Missing ⚠",VLOOKUP(O28,'G-7 WaterC'' Data'!$AD$4:$AE$14,2,FALSE)))</f>
        <v/>
      </c>
      <c r="Q28" s="369" t="str">
        <f>IF(D28="","",VLOOKUP(D28,'G-7 WaterC'' Data'!$B$4:$G$8,6,FALSE))</f>
        <v/>
      </c>
      <c r="R28" s="376" t="str">
        <f>IFERROR(IF(D28="","",IF(AND(Q28='G-1 All Habitats'!$X$3,X28&gt;0),Y28+(Z28*T28),IF(AND(Q28='G-1 All Habitats'!$X$3,W28&gt;0),Y28+(Z28*T28),IF(AND(Q28='G-1 All Habitats'!$X$3,AH28&gt;0),"Any Loss Unacceptable ⚠",IF(AND(Q28='G-1 All Habitats'!$X$3,AI28&gt;0),"Any Loss Unacceptable ⚠", E28*G28*I28*L28*N28*P28*T28 ))))),"Check Data ▲")</f>
        <v/>
      </c>
      <c r="S28" s="516"/>
      <c r="T28" s="368" t="str">
        <f>IF(S28="","",IF(VLOOKUP(S28,'G-7 WaterC'' Data'!$AO$4:$BO$7,2,FALSE)=0,"Spatial Data Missing ⚠",VLOOKUP(S28,'G-7 WaterC'' Data'!$AO$4:$BO$7,2,FALSE)))</f>
        <v/>
      </c>
      <c r="U28" s="376" t="str">
        <f>IFERROR(IF(D28="","",IF(AND(Q28='G-1 All Habitats'!$X$3,X28&gt;0),Y28+Z28,IF(AND(Q28='G-1 All Habitats'!$X$3,W28&gt;0),Y28+Z28,IF(AND(Q28='G-1 All Habitats'!$X$3,AH28&gt;0),"Any Loss Unacceptable ⚠",IF(AND(Q28='G-1 All Habitats'!$X$3,AI28&gt;0),"Any Loss Unacceptable ⚠", E28*G28*I28*L28*N28*P28 ))))),"Check Data ▲")</f>
        <v/>
      </c>
      <c r="V28" s="32"/>
      <c r="W28" s="114"/>
      <c r="X28" s="125"/>
      <c r="Y28" s="374" t="str">
        <f t="shared" si="0"/>
        <v/>
      </c>
      <c r="Z28" s="374" t="str">
        <f t="shared" si="1"/>
        <v/>
      </c>
      <c r="AA28" s="374" t="str">
        <f t="shared" si="2"/>
        <v/>
      </c>
      <c r="AB28" s="670" t="str">
        <f t="shared" si="3"/>
        <v/>
      </c>
      <c r="AC28" s="516"/>
      <c r="AD28" s="119"/>
      <c r="AE28" s="120"/>
      <c r="AF28" s="120"/>
      <c r="AG28" s="120"/>
      <c r="AH28" s="57" t="str">
        <f>IF(Q28="","",IF(Q28='G-1 All Habitats'!$X$3,E28-X28-W28,"None"))</f>
        <v/>
      </c>
      <c r="AI28" s="58" t="str">
        <f>IF(Q28="","", IF(Q28='G-1 All Habitats'!$X$3, AH28*G28*I28*L28*N28*P28,"None"))</f>
        <v/>
      </c>
      <c r="AJ28" s="30" t="str">
        <f>IFERROR(INDEX('G-7 WaterC'' Data'!$AZ$3:$AZ$7,MATCH(D28,'G-7 WaterC'' Data'!$AY$3:$AY$7,0)),"")</f>
        <v/>
      </c>
      <c r="AK28" s="30">
        <f t="shared" si="4"/>
        <v>0</v>
      </c>
      <c r="AL28" s="124" t="str">
        <f t="shared" si="5"/>
        <v/>
      </c>
      <c r="AM28" s="124" t="str">
        <f t="shared" si="6"/>
        <v/>
      </c>
      <c r="AO28" s="124">
        <v>19</v>
      </c>
      <c r="AQ28" s="124" t="str">
        <f t="array" ref="AQ28">IFERROR(INDEX($AO$10:$AO$258, MATCH(0, IF(TRUE=$AL$10:$AL$258, COUNTIF($AQ$9:$AQ27, $AO$10:$AO$258), ""), 0)),"")</f>
        <v/>
      </c>
      <c r="AR28" s="124" t="str">
        <f t="array" ref="AR28">IFERROR(INDEX($AO$10:$AO$258, MATCH(0, IF(TRUE=$AM$10:$AM$258, COUNTIF($AR$9:$AR27, $AO$10:$AO$258), ""), 0)),"")</f>
        <v/>
      </c>
      <c r="AZ28" s="802" t="str">
        <f t="shared" si="7"/>
        <v/>
      </c>
    </row>
    <row r="29" spans="3:52" ht="15.75" thickBot="1">
      <c r="C29" s="110">
        <v>20</v>
      </c>
      <c r="D29" s="340"/>
      <c r="E29" s="121"/>
      <c r="F29" s="362" t="str">
        <f>IF(D29="","",VLOOKUP(D29,'G-7 WaterC'' Data'!$B$2:$G$8,2,FALSE))</f>
        <v/>
      </c>
      <c r="G29" s="363" t="str">
        <f>IFERROR(VLOOKUP(F29,'G-7 WaterC'' Data'!$C$4:$D$8,2,FALSE),"")</f>
        <v/>
      </c>
      <c r="H29" s="114"/>
      <c r="I29" s="363" t="str">
        <f>IFERROR(INDEX('G-7 WaterC'' Data'!$H$4:$L$8,MATCH(D29,'G-7 WaterC'' Data'!$B$4:$B$8,0),MATCH(H29,'G-7 WaterC'' Data'!$H$3:$L$3,0)),"")</f>
        <v/>
      </c>
      <c r="J29" s="115"/>
      <c r="K29" s="382" t="str">
        <f>IF(J29="","",IF(VLOOKUP(J29,'G-7 WaterC'' Data'!$AK$4:$AM$9,2,FALSE)=0,"Spatial Data Missing ⚠",VLOOKUP(J29,'G-7 WaterC'' Data'!$AK$4:$AM$6,2,FALSE)))</f>
        <v/>
      </c>
      <c r="L29" s="386" t="str">
        <f>IF(J29="","",IF(VLOOKUP(J29,'G-7 WaterC'' Data'!$AK$4:$AM$9,3,FALSE)=0,"Spatial Data Missing ⚠",VLOOKUP(J29,'G-7 WaterC'' Data'!$AK$4:$AM$6,3,FALSE)))</f>
        <v/>
      </c>
      <c r="M29" s="115"/>
      <c r="N29" s="363" t="str">
        <f>IF(M29="","",IF(VLOOKUP(M29,'G-7 WaterC'' Data'!$AA$4:$AB$7,2,FALSE)=0,"Spatial Data Missing ⚠",VLOOKUP(M29,'G-7 WaterC'' Data'!$AA$4:$AB$7,2,FALSE)))</f>
        <v/>
      </c>
      <c r="O29" s="60"/>
      <c r="P29" s="363" t="str">
        <f>IF(O29="","",IF(VLOOKUP(O29,'G-7 WaterC'' Data'!$AD$4:$AE$14,2,FALSE)=0,"Spatial Data Missing ⚠",VLOOKUP(O29,'G-7 WaterC'' Data'!$AD$4:$AE$14,2,FALSE)))</f>
        <v/>
      </c>
      <c r="Q29" s="369" t="str">
        <f>IF(D29="","",VLOOKUP(D29,'G-7 WaterC'' Data'!$B$4:$G$8,6,FALSE))</f>
        <v/>
      </c>
      <c r="R29" s="376" t="str">
        <f>IFERROR(IF(D29="","",IF(AND(Q29='G-1 All Habitats'!$X$3,X29&gt;0),Y29+(Z29*T29),IF(AND(Q29='G-1 All Habitats'!$X$3,W29&gt;0),Y29+(Z29*T29),IF(AND(Q29='G-1 All Habitats'!$X$3,AH29&gt;0),"Any Loss Unacceptable ⚠",IF(AND(Q29='G-1 All Habitats'!$X$3,AI29&gt;0),"Any Loss Unacceptable ⚠", E29*G29*I29*L29*N29*P29*T29 ))))),"Check Data ▲")</f>
        <v/>
      </c>
      <c r="S29" s="516"/>
      <c r="T29" s="368" t="str">
        <f>IF(S29="","",IF(VLOOKUP(S29,'G-7 WaterC'' Data'!$AO$4:$BO$7,2,FALSE)=0,"Spatial Data Missing ⚠",VLOOKUP(S29,'G-7 WaterC'' Data'!$AO$4:$BO$7,2,FALSE)))</f>
        <v/>
      </c>
      <c r="U29" s="376" t="str">
        <f>IFERROR(IF(D29="","",IF(AND(Q29='G-1 All Habitats'!$X$3,X29&gt;0),Y29+Z29,IF(AND(Q29='G-1 All Habitats'!$X$3,W29&gt;0),Y29+Z29,IF(AND(Q29='G-1 All Habitats'!$X$3,AH29&gt;0),"Any Loss Unacceptable ⚠",IF(AND(Q29='G-1 All Habitats'!$X$3,AI29&gt;0),"Any Loss Unacceptable ⚠", E29*G29*I29*L29*N29*P29 ))))),"Check Data ▲")</f>
        <v/>
      </c>
      <c r="V29" s="32"/>
      <c r="W29" s="114"/>
      <c r="X29" s="125"/>
      <c r="Y29" s="374" t="str">
        <f t="shared" si="0"/>
        <v/>
      </c>
      <c r="Z29" s="374" t="str">
        <f t="shared" si="1"/>
        <v/>
      </c>
      <c r="AA29" s="374" t="str">
        <f t="shared" si="2"/>
        <v/>
      </c>
      <c r="AB29" s="670" t="str">
        <f t="shared" si="3"/>
        <v/>
      </c>
      <c r="AC29" s="516"/>
      <c r="AD29" s="119"/>
      <c r="AE29" s="120"/>
      <c r="AF29" s="120"/>
      <c r="AG29" s="120"/>
      <c r="AH29" s="57" t="str">
        <f>IF(Q29="","",IF(Q29='G-1 All Habitats'!$X$3,E29-X29-W29,"None"))</f>
        <v/>
      </c>
      <c r="AI29" s="58" t="str">
        <f>IF(Q29="","", IF(Q29='G-1 All Habitats'!$X$3, AH29*G29*I29*L29*N29*P29,"None"))</f>
        <v/>
      </c>
      <c r="AJ29" s="30" t="str">
        <f>IFERROR(INDEX('G-7 WaterC'' Data'!$AZ$3:$AZ$7,MATCH(D29,'G-7 WaterC'' Data'!$AY$3:$AY$7,0)),"")</f>
        <v/>
      </c>
      <c r="AK29" s="30">
        <f t="shared" si="4"/>
        <v>0</v>
      </c>
      <c r="AL29" s="124" t="str">
        <f t="shared" si="5"/>
        <v/>
      </c>
      <c r="AM29" s="124" t="str">
        <f t="shared" si="6"/>
        <v/>
      </c>
      <c r="AO29" s="124">
        <v>20</v>
      </c>
      <c r="AQ29" s="124" t="str">
        <f t="array" ref="AQ29">IFERROR(INDEX($AO$10:$AO$258, MATCH(0, IF(TRUE=$AL$10:$AL$258, COUNTIF($AQ$9:$AQ28, $AO$10:$AO$258), ""), 0)),"")</f>
        <v/>
      </c>
      <c r="AR29" s="124" t="str">
        <f t="array" ref="AR29">IFERROR(INDEX($AO$10:$AO$258, MATCH(0, IF(TRUE=$AM$10:$AM$258, COUNTIF($AR$9:$AR28, $AO$10:$AO$258), ""), 0)),"")</f>
        <v/>
      </c>
      <c r="AZ29" s="802" t="str">
        <f t="shared" si="7"/>
        <v/>
      </c>
    </row>
    <row r="30" spans="3:52" ht="15.75" thickBot="1">
      <c r="C30" s="110">
        <v>21</v>
      </c>
      <c r="D30" s="340"/>
      <c r="E30" s="121"/>
      <c r="F30" s="362" t="str">
        <f>IF(D30="","",VLOOKUP(D30,'G-7 WaterC'' Data'!$B$2:$G$8,2,FALSE))</f>
        <v/>
      </c>
      <c r="G30" s="363" t="str">
        <f>IFERROR(VLOOKUP(F30,'G-7 WaterC'' Data'!$C$4:$D$8,2,FALSE),"")</f>
        <v/>
      </c>
      <c r="H30" s="114"/>
      <c r="I30" s="363" t="str">
        <f>IFERROR(INDEX('G-7 WaterC'' Data'!$H$4:$L$8,MATCH(D30,'G-7 WaterC'' Data'!$B$4:$B$8,0),MATCH(H30,'G-7 WaterC'' Data'!$H$3:$L$3,0)),"")</f>
        <v/>
      </c>
      <c r="J30" s="115"/>
      <c r="K30" s="382" t="str">
        <f>IF(J30="","",IF(VLOOKUP(J30,'G-7 WaterC'' Data'!$AK$4:$AM$9,2,FALSE)=0,"Spatial Data Missing ⚠",VLOOKUP(J30,'G-7 WaterC'' Data'!$AK$4:$AM$6,2,FALSE)))</f>
        <v/>
      </c>
      <c r="L30" s="386" t="str">
        <f>IF(J30="","",IF(VLOOKUP(J30,'G-7 WaterC'' Data'!$AK$4:$AM$9,3,FALSE)=0,"Spatial Data Missing ⚠",VLOOKUP(J30,'G-7 WaterC'' Data'!$AK$4:$AM$6,3,FALSE)))</f>
        <v/>
      </c>
      <c r="M30" s="115"/>
      <c r="N30" s="363" t="str">
        <f>IF(M30="","",IF(VLOOKUP(M30,'G-7 WaterC'' Data'!$AA$4:$AB$7,2,FALSE)=0,"Spatial Data Missing ⚠",VLOOKUP(M30,'G-7 WaterC'' Data'!$AA$4:$AB$7,2,FALSE)))</f>
        <v/>
      </c>
      <c r="O30" s="60"/>
      <c r="P30" s="363" t="str">
        <f>IF(O30="","",IF(VLOOKUP(O30,'G-7 WaterC'' Data'!$AD$4:$AE$14,2,FALSE)=0,"Spatial Data Missing ⚠",VLOOKUP(O30,'G-7 WaterC'' Data'!$AD$4:$AE$14,2,FALSE)))</f>
        <v/>
      </c>
      <c r="Q30" s="369" t="str">
        <f>IF(D30="","",VLOOKUP(D30,'G-7 WaterC'' Data'!$B$4:$G$8,6,FALSE))</f>
        <v/>
      </c>
      <c r="R30" s="376" t="str">
        <f>IFERROR(IF(D30="","",IF(AND(Q30='G-1 All Habitats'!$X$3,X30&gt;0),Y30+(Z30*T30),IF(AND(Q30='G-1 All Habitats'!$X$3,W30&gt;0),Y30+(Z30*T30),IF(AND(Q30='G-1 All Habitats'!$X$3,AH30&gt;0),"Any Loss Unacceptable ⚠",IF(AND(Q30='G-1 All Habitats'!$X$3,AI30&gt;0),"Any Loss Unacceptable ⚠", E30*G30*I30*L30*N30*P30*T30 ))))),"Check Data ▲")</f>
        <v/>
      </c>
      <c r="S30" s="516"/>
      <c r="T30" s="368" t="str">
        <f>IF(S30="","",IF(VLOOKUP(S30,'G-7 WaterC'' Data'!$AO$4:$BO$7,2,FALSE)=0,"Spatial Data Missing ⚠",VLOOKUP(S30,'G-7 WaterC'' Data'!$AO$4:$BO$7,2,FALSE)))</f>
        <v/>
      </c>
      <c r="U30" s="376" t="str">
        <f>IFERROR(IF(D30="","",IF(AND(Q30='G-1 All Habitats'!$X$3,X30&gt;0),Y30+Z30,IF(AND(Q30='G-1 All Habitats'!$X$3,W30&gt;0),Y30+Z30,IF(AND(Q30='G-1 All Habitats'!$X$3,AH30&gt;0),"Any Loss Unacceptable ⚠",IF(AND(Q30='G-1 All Habitats'!$X$3,AI30&gt;0),"Any Loss Unacceptable ⚠", E30*G30*I30*L30*N30*P30 ))))),"Check Data ▲")</f>
        <v/>
      </c>
      <c r="V30" s="32"/>
      <c r="W30" s="114"/>
      <c r="X30" s="125"/>
      <c r="Y30" s="374" t="str">
        <f t="shared" si="0"/>
        <v/>
      </c>
      <c r="Z30" s="374" t="str">
        <f t="shared" si="1"/>
        <v/>
      </c>
      <c r="AA30" s="374" t="str">
        <f t="shared" si="2"/>
        <v/>
      </c>
      <c r="AB30" s="670" t="str">
        <f t="shared" si="3"/>
        <v/>
      </c>
      <c r="AC30" s="516"/>
      <c r="AD30" s="119"/>
      <c r="AE30" s="120"/>
      <c r="AF30" s="120"/>
      <c r="AG30" s="120"/>
      <c r="AH30" s="57" t="str">
        <f>IF(Q30="","",IF(Q30='G-1 All Habitats'!$X$3,E30-X30-W30,"None"))</f>
        <v/>
      </c>
      <c r="AI30" s="58" t="str">
        <f>IF(Q30="","", IF(Q30='G-1 All Habitats'!$X$3, AH30*G30*I30*L30*N30*P30,"None"))</f>
        <v/>
      </c>
      <c r="AJ30" s="30" t="str">
        <f>IFERROR(INDEX('G-7 WaterC'' Data'!$AZ$3:$AZ$7,MATCH(D30,'G-7 WaterC'' Data'!$AY$3:$AY$7,0)),"")</f>
        <v/>
      </c>
      <c r="AK30" s="30">
        <f t="shared" si="4"/>
        <v>0</v>
      </c>
      <c r="AL30" s="124" t="str">
        <f t="shared" si="5"/>
        <v/>
      </c>
      <c r="AM30" s="124" t="str">
        <f t="shared" si="6"/>
        <v/>
      </c>
      <c r="AO30" s="124">
        <v>21</v>
      </c>
      <c r="AQ30" s="124" t="str">
        <f t="array" ref="AQ30">IFERROR(INDEX($AO$10:$AO$258, MATCH(0, IF(TRUE=$AL$10:$AL$258, COUNTIF($AQ$9:$AQ29, $AO$10:$AO$258), ""), 0)),"")</f>
        <v/>
      </c>
      <c r="AR30" s="124" t="str">
        <f t="array" ref="AR30">IFERROR(INDEX($AO$10:$AO$258, MATCH(0, IF(TRUE=$AM$10:$AM$258, COUNTIF($AR$9:$AR29, $AO$10:$AO$258), ""), 0)),"")</f>
        <v/>
      </c>
      <c r="AZ30" s="802" t="str">
        <f t="shared" si="7"/>
        <v/>
      </c>
    </row>
    <row r="31" spans="3:52" ht="15.75" thickBot="1">
      <c r="C31" s="110">
        <v>22</v>
      </c>
      <c r="D31" s="340"/>
      <c r="E31" s="121"/>
      <c r="F31" s="362" t="str">
        <f>IF(D31="","",VLOOKUP(D31,'G-7 WaterC'' Data'!$B$2:$G$8,2,FALSE))</f>
        <v/>
      </c>
      <c r="G31" s="363" t="str">
        <f>IFERROR(VLOOKUP(F31,'G-7 WaterC'' Data'!$C$4:$D$8,2,FALSE),"")</f>
        <v/>
      </c>
      <c r="H31" s="114"/>
      <c r="I31" s="363" t="str">
        <f>IFERROR(INDEX('G-7 WaterC'' Data'!$H$4:$L$8,MATCH(D31,'G-7 WaterC'' Data'!$B$4:$B$8,0),MATCH(H31,'G-7 WaterC'' Data'!$H$3:$L$3,0)),"")</f>
        <v/>
      </c>
      <c r="J31" s="115"/>
      <c r="K31" s="382" t="str">
        <f>IF(J31="","",IF(VLOOKUP(J31,'G-7 WaterC'' Data'!$AK$4:$AM$9,2,FALSE)=0,"Spatial Data Missing ⚠",VLOOKUP(J31,'G-7 WaterC'' Data'!$AK$4:$AM$6,2,FALSE)))</f>
        <v/>
      </c>
      <c r="L31" s="386" t="str">
        <f>IF(J31="","",IF(VLOOKUP(J31,'G-7 WaterC'' Data'!$AK$4:$AM$9,3,FALSE)=0,"Spatial Data Missing ⚠",VLOOKUP(J31,'G-7 WaterC'' Data'!$AK$4:$AM$6,3,FALSE)))</f>
        <v/>
      </c>
      <c r="M31" s="115"/>
      <c r="N31" s="363" t="str">
        <f>IF(M31="","",IF(VLOOKUP(M31,'G-7 WaterC'' Data'!$AA$4:$AB$7,2,FALSE)=0,"Spatial Data Missing ⚠",VLOOKUP(M31,'G-7 WaterC'' Data'!$AA$4:$AB$7,2,FALSE)))</f>
        <v/>
      </c>
      <c r="O31" s="60"/>
      <c r="P31" s="363" t="str">
        <f>IF(O31="","",IF(VLOOKUP(O31,'G-7 WaterC'' Data'!$AD$4:$AE$14,2,FALSE)=0,"Spatial Data Missing ⚠",VLOOKUP(O31,'G-7 WaterC'' Data'!$AD$4:$AE$14,2,FALSE)))</f>
        <v/>
      </c>
      <c r="Q31" s="369" t="str">
        <f>IF(D31="","",VLOOKUP(D31,'G-7 WaterC'' Data'!$B$4:$G$8,6,FALSE))</f>
        <v/>
      </c>
      <c r="R31" s="376" t="str">
        <f>IFERROR(IF(D31="","",IF(AND(Q31='G-1 All Habitats'!$X$3,X31&gt;0),Y31+(Z31*T31),IF(AND(Q31='G-1 All Habitats'!$X$3,W31&gt;0),Y31+(Z31*T31),IF(AND(Q31='G-1 All Habitats'!$X$3,AH31&gt;0),"Any Loss Unacceptable ⚠",IF(AND(Q31='G-1 All Habitats'!$X$3,AI31&gt;0),"Any Loss Unacceptable ⚠", E31*G31*I31*L31*N31*P31*T31 ))))),"Check Data ▲")</f>
        <v/>
      </c>
      <c r="S31" s="516"/>
      <c r="T31" s="368" t="str">
        <f>IF(S31="","",IF(VLOOKUP(S31,'G-7 WaterC'' Data'!$AO$4:$BO$7,2,FALSE)=0,"Spatial Data Missing ⚠",VLOOKUP(S31,'G-7 WaterC'' Data'!$AO$4:$BO$7,2,FALSE)))</f>
        <v/>
      </c>
      <c r="U31" s="376" t="str">
        <f>IFERROR(IF(D31="","",IF(AND(Q31='G-1 All Habitats'!$X$3,X31&gt;0),Y31+Z31,IF(AND(Q31='G-1 All Habitats'!$X$3,W31&gt;0),Y31+Z31,IF(AND(Q31='G-1 All Habitats'!$X$3,AH31&gt;0),"Any Loss Unacceptable ⚠",IF(AND(Q31='G-1 All Habitats'!$X$3,AI31&gt;0),"Any Loss Unacceptable ⚠", E31*G31*I31*L31*N31*P31 ))))),"Check Data ▲")</f>
        <v/>
      </c>
      <c r="V31" s="32"/>
      <c r="W31" s="114"/>
      <c r="X31" s="125"/>
      <c r="Y31" s="374" t="str">
        <f t="shared" si="0"/>
        <v/>
      </c>
      <c r="Z31" s="374" t="str">
        <f t="shared" si="1"/>
        <v/>
      </c>
      <c r="AA31" s="374" t="str">
        <f t="shared" si="2"/>
        <v/>
      </c>
      <c r="AB31" s="670" t="str">
        <f t="shared" si="3"/>
        <v/>
      </c>
      <c r="AC31" s="516"/>
      <c r="AD31" s="119"/>
      <c r="AE31" s="120"/>
      <c r="AF31" s="120"/>
      <c r="AG31" s="120"/>
      <c r="AH31" s="57" t="str">
        <f>IF(Q31="","",IF(Q31='G-1 All Habitats'!$X$3,E31-X31-W31,"None"))</f>
        <v/>
      </c>
      <c r="AI31" s="58" t="str">
        <f>IF(Q31="","", IF(Q31='G-1 All Habitats'!$X$3, AH31*G31*I31*L31*N31*P31,"None"))</f>
        <v/>
      </c>
      <c r="AJ31" s="30" t="str">
        <f>IFERROR(INDEX('G-7 WaterC'' Data'!$AZ$3:$AZ$7,MATCH(D31,'G-7 WaterC'' Data'!$AY$3:$AY$7,0)),"")</f>
        <v/>
      </c>
      <c r="AK31" s="30">
        <f t="shared" si="4"/>
        <v>0</v>
      </c>
      <c r="AL31" s="124" t="str">
        <f t="shared" si="5"/>
        <v/>
      </c>
      <c r="AM31" s="124" t="str">
        <f t="shared" si="6"/>
        <v/>
      </c>
      <c r="AO31" s="124">
        <v>22</v>
      </c>
      <c r="AQ31" s="124" t="str">
        <f t="array" ref="AQ31">IFERROR(INDEX($AO$10:$AO$258, MATCH(0, IF(TRUE=$AL$10:$AL$258, COUNTIF($AQ$9:$AQ30, $AO$10:$AO$258), ""), 0)),"")</f>
        <v/>
      </c>
      <c r="AR31" s="124" t="str">
        <f t="array" ref="AR31">IFERROR(INDEX($AO$10:$AO$258, MATCH(0, IF(TRUE=$AM$10:$AM$258, COUNTIF($AR$9:$AR30, $AO$10:$AO$258), ""), 0)),"")</f>
        <v/>
      </c>
      <c r="AZ31" s="802" t="str">
        <f t="shared" si="7"/>
        <v/>
      </c>
    </row>
    <row r="32" spans="3:52" ht="15.75" thickBot="1">
      <c r="C32" s="110">
        <v>23</v>
      </c>
      <c r="D32" s="340"/>
      <c r="E32" s="121"/>
      <c r="F32" s="362" t="str">
        <f>IF(D32="","",VLOOKUP(D32,'G-7 WaterC'' Data'!$B$2:$G$8,2,FALSE))</f>
        <v/>
      </c>
      <c r="G32" s="363" t="str">
        <f>IFERROR(VLOOKUP(F32,'G-7 WaterC'' Data'!$C$4:$D$8,2,FALSE),"")</f>
        <v/>
      </c>
      <c r="H32" s="114"/>
      <c r="I32" s="363" t="str">
        <f>IFERROR(INDEX('G-7 WaterC'' Data'!$H$4:$L$8,MATCH(D32,'G-7 WaterC'' Data'!$B$4:$B$8,0),MATCH(H32,'G-7 WaterC'' Data'!$H$3:$L$3,0)),"")</f>
        <v/>
      </c>
      <c r="J32" s="115"/>
      <c r="K32" s="382" t="str">
        <f>IF(J32="","",IF(VLOOKUP(J32,'G-7 WaterC'' Data'!$AK$4:$AM$9,2,FALSE)=0,"Spatial Data Missing ⚠",VLOOKUP(J32,'G-7 WaterC'' Data'!$AK$4:$AM$6,2,FALSE)))</f>
        <v/>
      </c>
      <c r="L32" s="386" t="str">
        <f>IF(J32="","",IF(VLOOKUP(J32,'G-7 WaterC'' Data'!$AK$4:$AM$9,3,FALSE)=0,"Spatial Data Missing ⚠",VLOOKUP(J32,'G-7 WaterC'' Data'!$AK$4:$AM$6,3,FALSE)))</f>
        <v/>
      </c>
      <c r="M32" s="115"/>
      <c r="N32" s="363" t="str">
        <f>IF(M32="","",IF(VLOOKUP(M32,'G-7 WaterC'' Data'!$AA$4:$AB$7,2,FALSE)=0,"Spatial Data Missing ⚠",VLOOKUP(M32,'G-7 WaterC'' Data'!$AA$4:$AB$7,2,FALSE)))</f>
        <v/>
      </c>
      <c r="O32" s="60"/>
      <c r="P32" s="363" t="str">
        <f>IF(O32="","",IF(VLOOKUP(O32,'G-7 WaterC'' Data'!$AD$4:$AE$14,2,FALSE)=0,"Spatial Data Missing ⚠",VLOOKUP(O32,'G-7 WaterC'' Data'!$AD$4:$AE$14,2,FALSE)))</f>
        <v/>
      </c>
      <c r="Q32" s="369" t="str">
        <f>IF(D32="","",VLOOKUP(D32,'G-7 WaterC'' Data'!$B$4:$G$8,6,FALSE))</f>
        <v/>
      </c>
      <c r="R32" s="376" t="str">
        <f>IFERROR(IF(D32="","",IF(AND(Q32='G-1 All Habitats'!$X$3,X32&gt;0),Y32+(Z32*T32),IF(AND(Q32='G-1 All Habitats'!$X$3,W32&gt;0),Y32+(Z32*T32),IF(AND(Q32='G-1 All Habitats'!$X$3,AH32&gt;0),"Any Loss Unacceptable ⚠",IF(AND(Q32='G-1 All Habitats'!$X$3,AI32&gt;0),"Any Loss Unacceptable ⚠", E32*G32*I32*L32*N32*P32*T32 ))))),"Check Data ▲")</f>
        <v/>
      </c>
      <c r="S32" s="516"/>
      <c r="T32" s="368" t="str">
        <f>IF(S32="","",IF(VLOOKUP(S32,'G-7 WaterC'' Data'!$AO$4:$BO$7,2,FALSE)=0,"Spatial Data Missing ⚠",VLOOKUP(S32,'G-7 WaterC'' Data'!$AO$4:$BO$7,2,FALSE)))</f>
        <v/>
      </c>
      <c r="U32" s="376" t="str">
        <f>IFERROR(IF(D32="","",IF(AND(Q32='G-1 All Habitats'!$X$3,X32&gt;0),Y32+Z32,IF(AND(Q32='G-1 All Habitats'!$X$3,W32&gt;0),Y32+Z32,IF(AND(Q32='G-1 All Habitats'!$X$3,AH32&gt;0),"Any Loss Unacceptable ⚠",IF(AND(Q32='G-1 All Habitats'!$X$3,AI32&gt;0),"Any Loss Unacceptable ⚠", E32*G32*I32*L32*N32*P32 ))))),"Check Data ▲")</f>
        <v/>
      </c>
      <c r="V32" s="32"/>
      <c r="W32" s="114"/>
      <c r="X32" s="125"/>
      <c r="Y32" s="374" t="str">
        <f t="shared" si="0"/>
        <v/>
      </c>
      <c r="Z32" s="374" t="str">
        <f t="shared" si="1"/>
        <v/>
      </c>
      <c r="AA32" s="374" t="str">
        <f t="shared" si="2"/>
        <v/>
      </c>
      <c r="AB32" s="670" t="str">
        <f t="shared" si="3"/>
        <v/>
      </c>
      <c r="AC32" s="516"/>
      <c r="AD32" s="119"/>
      <c r="AE32" s="120"/>
      <c r="AF32" s="120"/>
      <c r="AG32" s="120"/>
      <c r="AH32" s="57" t="str">
        <f>IF(Q32="","",IF(Q32='G-1 All Habitats'!$X$3,E32-X32-W32,"None"))</f>
        <v/>
      </c>
      <c r="AI32" s="58" t="str">
        <f>IF(Q32="","", IF(Q32='G-1 All Habitats'!$X$3, AH32*G32*I32*L32*N32*P32,"None"))</f>
        <v/>
      </c>
      <c r="AJ32" s="30" t="str">
        <f>IFERROR(INDEX('G-7 WaterC'' Data'!$AZ$3:$AZ$7,MATCH(D32,'G-7 WaterC'' Data'!$AY$3:$AY$7,0)),"")</f>
        <v/>
      </c>
      <c r="AK32" s="30">
        <f t="shared" si="4"/>
        <v>0</v>
      </c>
      <c r="AL32" s="124" t="str">
        <f t="shared" si="5"/>
        <v/>
      </c>
      <c r="AM32" s="124" t="str">
        <f t="shared" si="6"/>
        <v/>
      </c>
      <c r="AO32" s="124">
        <v>23</v>
      </c>
      <c r="AQ32" s="124" t="str">
        <f t="array" ref="AQ32">IFERROR(INDEX($AO$10:$AO$258, MATCH(0, IF(TRUE=$AL$10:$AL$258, COUNTIF($AQ$9:$AQ31, $AO$10:$AO$258), ""), 0)),"")</f>
        <v/>
      </c>
      <c r="AR32" s="124" t="str">
        <f t="array" ref="AR32">IFERROR(INDEX($AO$10:$AO$258, MATCH(0, IF(TRUE=$AM$10:$AM$258, COUNTIF($AR$9:$AR31, $AO$10:$AO$258), ""), 0)),"")</f>
        <v/>
      </c>
      <c r="AZ32" s="802" t="str">
        <f t="shared" si="7"/>
        <v/>
      </c>
    </row>
    <row r="33" spans="3:52" ht="15.75" thickBot="1">
      <c r="C33" s="110">
        <v>24</v>
      </c>
      <c r="D33" s="340"/>
      <c r="E33" s="121"/>
      <c r="F33" s="362" t="str">
        <f>IF(D33="","",VLOOKUP(D33,'G-7 WaterC'' Data'!$B$2:$G$8,2,FALSE))</f>
        <v/>
      </c>
      <c r="G33" s="363" t="str">
        <f>IFERROR(VLOOKUP(F33,'G-7 WaterC'' Data'!$C$4:$D$8,2,FALSE),"")</f>
        <v/>
      </c>
      <c r="H33" s="114"/>
      <c r="I33" s="363" t="str">
        <f>IFERROR(INDEX('G-7 WaterC'' Data'!$H$4:$L$8,MATCH(D33,'G-7 WaterC'' Data'!$B$4:$B$8,0),MATCH(H33,'G-7 WaterC'' Data'!$H$3:$L$3,0)),"")</f>
        <v/>
      </c>
      <c r="J33" s="115"/>
      <c r="K33" s="382" t="str">
        <f>IF(J33="","",IF(VLOOKUP(J33,'G-7 WaterC'' Data'!$AK$4:$AM$9,2,FALSE)=0,"Spatial Data Missing ⚠",VLOOKUP(J33,'G-7 WaterC'' Data'!$AK$4:$AM$6,2,FALSE)))</f>
        <v/>
      </c>
      <c r="L33" s="386" t="str">
        <f>IF(J33="","",IF(VLOOKUP(J33,'G-7 WaterC'' Data'!$AK$4:$AM$9,3,FALSE)=0,"Spatial Data Missing ⚠",VLOOKUP(J33,'G-7 WaterC'' Data'!$AK$4:$AM$6,3,FALSE)))</f>
        <v/>
      </c>
      <c r="M33" s="115"/>
      <c r="N33" s="363" t="str">
        <f>IF(M33="","",IF(VLOOKUP(M33,'G-7 WaterC'' Data'!$AA$4:$AB$7,2,FALSE)=0,"Spatial Data Missing ⚠",VLOOKUP(M33,'G-7 WaterC'' Data'!$AA$4:$AB$7,2,FALSE)))</f>
        <v/>
      </c>
      <c r="O33" s="60"/>
      <c r="P33" s="363" t="str">
        <f>IF(O33="","",IF(VLOOKUP(O33,'G-7 WaterC'' Data'!$AD$4:$AE$14,2,FALSE)=0,"Spatial Data Missing ⚠",VLOOKUP(O33,'G-7 WaterC'' Data'!$AD$4:$AE$14,2,FALSE)))</f>
        <v/>
      </c>
      <c r="Q33" s="369" t="str">
        <f>IF(D33="","",VLOOKUP(D33,'G-7 WaterC'' Data'!$B$4:$G$8,6,FALSE))</f>
        <v/>
      </c>
      <c r="R33" s="376" t="str">
        <f>IFERROR(IF(D33="","",IF(AND(Q33='G-1 All Habitats'!$X$3,X33&gt;0),Y33+(Z33*T33),IF(AND(Q33='G-1 All Habitats'!$X$3,W33&gt;0),Y33+(Z33*T33),IF(AND(Q33='G-1 All Habitats'!$X$3,AH33&gt;0),"Any Loss Unacceptable ⚠",IF(AND(Q33='G-1 All Habitats'!$X$3,AI33&gt;0),"Any Loss Unacceptable ⚠", E33*G33*I33*L33*N33*P33*T33 ))))),"Check Data ▲")</f>
        <v/>
      </c>
      <c r="S33" s="516"/>
      <c r="T33" s="368" t="str">
        <f>IF(S33="","",IF(VLOOKUP(S33,'G-7 WaterC'' Data'!$AO$4:$BO$7,2,FALSE)=0,"Spatial Data Missing ⚠",VLOOKUP(S33,'G-7 WaterC'' Data'!$AO$4:$BO$7,2,FALSE)))</f>
        <v/>
      </c>
      <c r="U33" s="376" t="str">
        <f>IFERROR(IF(D33="","",IF(AND(Q33='G-1 All Habitats'!$X$3,X33&gt;0),Y33+Z33,IF(AND(Q33='G-1 All Habitats'!$X$3,W33&gt;0),Y33+Z33,IF(AND(Q33='G-1 All Habitats'!$X$3,AH33&gt;0),"Any Loss Unacceptable ⚠",IF(AND(Q33='G-1 All Habitats'!$X$3,AI33&gt;0),"Any Loss Unacceptable ⚠", E33*G33*I33*L33*N33*P33 ))))),"Check Data ▲")</f>
        <v/>
      </c>
      <c r="V33" s="32"/>
      <c r="W33" s="114"/>
      <c r="X33" s="125"/>
      <c r="Y33" s="374" t="str">
        <f t="shared" si="0"/>
        <v/>
      </c>
      <c r="Z33" s="374" t="str">
        <f t="shared" si="1"/>
        <v/>
      </c>
      <c r="AA33" s="374" t="str">
        <f t="shared" si="2"/>
        <v/>
      </c>
      <c r="AB33" s="670" t="str">
        <f t="shared" si="3"/>
        <v/>
      </c>
      <c r="AC33" s="516"/>
      <c r="AD33" s="119"/>
      <c r="AE33" s="120"/>
      <c r="AF33" s="120"/>
      <c r="AG33" s="120"/>
      <c r="AH33" s="57" t="str">
        <f>IF(Q33="","",IF(Q33='G-1 All Habitats'!$X$3,E33-X33-W33,"None"))</f>
        <v/>
      </c>
      <c r="AI33" s="58" t="str">
        <f>IF(Q33="","", IF(Q33='G-1 All Habitats'!$X$3, AH33*G33*I33*L33*N33*P33,"None"))</f>
        <v/>
      </c>
      <c r="AJ33" s="30" t="str">
        <f>IFERROR(INDEX('G-7 WaterC'' Data'!$AZ$3:$AZ$7,MATCH(D33,'G-7 WaterC'' Data'!$AY$3:$AY$7,0)),"")</f>
        <v/>
      </c>
      <c r="AK33" s="30">
        <f t="shared" si="4"/>
        <v>0</v>
      </c>
      <c r="AL33" s="124" t="str">
        <f t="shared" si="5"/>
        <v/>
      </c>
      <c r="AM33" s="124" t="str">
        <f t="shared" si="6"/>
        <v/>
      </c>
      <c r="AO33" s="124">
        <v>24</v>
      </c>
      <c r="AQ33" s="124" t="str">
        <f t="array" ref="AQ33">IFERROR(INDEX($AO$10:$AO$258, MATCH(0, IF(TRUE=$AL$10:$AL$258, COUNTIF($AQ$9:$AQ32, $AO$10:$AO$258), ""), 0)),"")</f>
        <v/>
      </c>
      <c r="AR33" s="124" t="str">
        <f t="array" ref="AR33">IFERROR(INDEX($AO$10:$AO$258, MATCH(0, IF(TRUE=$AM$10:$AM$258, COUNTIF($AR$9:$AR32, $AO$10:$AO$258), ""), 0)),"")</f>
        <v/>
      </c>
      <c r="AZ33" s="802" t="str">
        <f t="shared" si="7"/>
        <v/>
      </c>
    </row>
    <row r="34" spans="3:52" ht="15.75" thickBot="1">
      <c r="C34" s="110">
        <v>25</v>
      </c>
      <c r="D34" s="340"/>
      <c r="E34" s="121"/>
      <c r="F34" s="362" t="str">
        <f>IF(D34="","",VLOOKUP(D34,'G-7 WaterC'' Data'!$B$2:$G$8,2,FALSE))</f>
        <v/>
      </c>
      <c r="G34" s="363" t="str">
        <f>IFERROR(VLOOKUP(F34,'G-7 WaterC'' Data'!$C$4:$D$8,2,FALSE),"")</f>
        <v/>
      </c>
      <c r="H34" s="114"/>
      <c r="I34" s="363" t="str">
        <f>IFERROR(INDEX('G-7 WaterC'' Data'!$H$4:$L$8,MATCH(D34,'G-7 WaterC'' Data'!$B$4:$B$8,0),MATCH(H34,'G-7 WaterC'' Data'!$H$3:$L$3,0)),"")</f>
        <v/>
      </c>
      <c r="J34" s="115"/>
      <c r="K34" s="382" t="str">
        <f>IF(J34="","",IF(VLOOKUP(J34,'G-7 WaterC'' Data'!$AK$4:$AM$9,2,FALSE)=0,"Spatial Data Missing ⚠",VLOOKUP(J34,'G-7 WaterC'' Data'!$AK$4:$AM$6,2,FALSE)))</f>
        <v/>
      </c>
      <c r="L34" s="386" t="str">
        <f>IF(J34="","",IF(VLOOKUP(J34,'G-7 WaterC'' Data'!$AK$4:$AM$9,3,FALSE)=0,"Spatial Data Missing ⚠",VLOOKUP(J34,'G-7 WaterC'' Data'!$AK$4:$AM$6,3,FALSE)))</f>
        <v/>
      </c>
      <c r="M34" s="115"/>
      <c r="N34" s="363" t="str">
        <f>IF(M34="","",IF(VLOOKUP(M34,'G-7 WaterC'' Data'!$AA$4:$AB$7,2,FALSE)=0,"Spatial Data Missing ⚠",VLOOKUP(M34,'G-7 WaterC'' Data'!$AA$4:$AB$7,2,FALSE)))</f>
        <v/>
      </c>
      <c r="O34" s="60"/>
      <c r="P34" s="363" t="str">
        <f>IF(O34="","",IF(VLOOKUP(O34,'G-7 WaterC'' Data'!$AD$4:$AE$14,2,FALSE)=0,"Spatial Data Missing ⚠",VLOOKUP(O34,'G-7 WaterC'' Data'!$AD$4:$AE$14,2,FALSE)))</f>
        <v/>
      </c>
      <c r="Q34" s="369" t="str">
        <f>IF(D34="","",VLOOKUP(D34,'G-7 WaterC'' Data'!$B$4:$G$8,6,FALSE))</f>
        <v/>
      </c>
      <c r="R34" s="376" t="str">
        <f>IFERROR(IF(D34="","",IF(AND(Q34='G-1 All Habitats'!$X$3,X34&gt;0),Y34+(Z34*T34),IF(AND(Q34='G-1 All Habitats'!$X$3,W34&gt;0),Y34+(Z34*T34),IF(AND(Q34='G-1 All Habitats'!$X$3,AH34&gt;0),"Any Loss Unacceptable ⚠",IF(AND(Q34='G-1 All Habitats'!$X$3,AI34&gt;0),"Any Loss Unacceptable ⚠", E34*G34*I34*L34*N34*P34*T34 ))))),"Check Data ▲")</f>
        <v/>
      </c>
      <c r="S34" s="516"/>
      <c r="T34" s="368" t="str">
        <f>IF(S34="","",IF(VLOOKUP(S34,'G-7 WaterC'' Data'!$AO$4:$BO$7,2,FALSE)=0,"Spatial Data Missing ⚠",VLOOKUP(S34,'G-7 WaterC'' Data'!$AO$4:$BO$7,2,FALSE)))</f>
        <v/>
      </c>
      <c r="U34" s="376" t="str">
        <f>IFERROR(IF(D34="","",IF(AND(Q34='G-1 All Habitats'!$X$3,X34&gt;0),Y34+Z34,IF(AND(Q34='G-1 All Habitats'!$X$3,W34&gt;0),Y34+Z34,IF(AND(Q34='G-1 All Habitats'!$X$3,AH34&gt;0),"Any Loss Unacceptable ⚠",IF(AND(Q34='G-1 All Habitats'!$X$3,AI34&gt;0),"Any Loss Unacceptable ⚠", E34*G34*I34*L34*N34*P34 ))))),"Check Data ▲")</f>
        <v/>
      </c>
      <c r="V34" s="32"/>
      <c r="W34" s="114"/>
      <c r="X34" s="125"/>
      <c r="Y34" s="374" t="str">
        <f t="shared" si="0"/>
        <v/>
      </c>
      <c r="Z34" s="374" t="str">
        <f t="shared" si="1"/>
        <v/>
      </c>
      <c r="AA34" s="374" t="str">
        <f t="shared" si="2"/>
        <v/>
      </c>
      <c r="AB34" s="670" t="str">
        <f t="shared" si="3"/>
        <v/>
      </c>
      <c r="AC34" s="516"/>
      <c r="AD34" s="119"/>
      <c r="AE34" s="120"/>
      <c r="AF34" s="120"/>
      <c r="AG34" s="120"/>
      <c r="AH34" s="57" t="str">
        <f>IF(Q34="","",IF(Q34='G-1 All Habitats'!$X$3,E34-X34-W34,"None"))</f>
        <v/>
      </c>
      <c r="AI34" s="58" t="str">
        <f>IF(Q34="","", IF(Q34='G-1 All Habitats'!$X$3, AH34*G34*I34*L34*N34*P34,"None"))</f>
        <v/>
      </c>
      <c r="AJ34" s="30" t="str">
        <f>IFERROR(INDEX('G-7 WaterC'' Data'!$AZ$3:$AZ$7,MATCH(D34,'G-7 WaterC'' Data'!$AY$3:$AY$7,0)),"")</f>
        <v/>
      </c>
      <c r="AK34" s="30">
        <f t="shared" si="4"/>
        <v>0</v>
      </c>
      <c r="AL34" s="124" t="str">
        <f t="shared" si="5"/>
        <v/>
      </c>
      <c r="AM34" s="124" t="str">
        <f t="shared" si="6"/>
        <v/>
      </c>
      <c r="AO34" s="124">
        <v>25</v>
      </c>
      <c r="AQ34" s="124" t="str">
        <f t="array" ref="AQ34">IFERROR(INDEX($AO$10:$AO$258, MATCH(0, IF(TRUE=$AL$10:$AL$258, COUNTIF($AQ$9:$AQ33, $AO$10:$AO$258), ""), 0)),"")</f>
        <v/>
      </c>
      <c r="AR34" s="124" t="str">
        <f t="array" ref="AR34">IFERROR(INDEX($AO$10:$AO$258, MATCH(0, IF(TRUE=$AM$10:$AM$258, COUNTIF($AR$9:$AR33, $AO$10:$AO$258), ""), 0)),"")</f>
        <v/>
      </c>
      <c r="AZ34" s="802" t="str">
        <f t="shared" si="7"/>
        <v/>
      </c>
    </row>
    <row r="35" spans="3:52" ht="15.75" thickBot="1">
      <c r="C35" s="110">
        <v>26</v>
      </c>
      <c r="D35" s="340"/>
      <c r="E35" s="121"/>
      <c r="F35" s="362" t="str">
        <f>IF(D35="","",VLOOKUP(D35,'G-7 WaterC'' Data'!$B$2:$G$8,2,FALSE))</f>
        <v/>
      </c>
      <c r="G35" s="363" t="str">
        <f>IFERROR(VLOOKUP(F35,'G-7 WaterC'' Data'!$C$4:$D$8,2,FALSE),"")</f>
        <v/>
      </c>
      <c r="H35" s="114"/>
      <c r="I35" s="363" t="str">
        <f>IFERROR(INDEX('G-7 WaterC'' Data'!$H$4:$L$8,MATCH(D35,'G-7 WaterC'' Data'!$B$4:$B$8,0),MATCH(H35,'G-7 WaterC'' Data'!$H$3:$L$3,0)),"")</f>
        <v/>
      </c>
      <c r="J35" s="115"/>
      <c r="K35" s="382" t="str">
        <f>IF(J35="","",IF(VLOOKUP(J35,'G-7 WaterC'' Data'!$AK$4:$AM$9,2,FALSE)=0,"Spatial Data Missing ⚠",VLOOKUP(J35,'G-7 WaterC'' Data'!$AK$4:$AM$6,2,FALSE)))</f>
        <v/>
      </c>
      <c r="L35" s="386" t="str">
        <f>IF(J35="","",IF(VLOOKUP(J35,'G-7 WaterC'' Data'!$AK$4:$AM$9,3,FALSE)=0,"Spatial Data Missing ⚠",VLOOKUP(J35,'G-7 WaterC'' Data'!$AK$4:$AM$6,3,FALSE)))</f>
        <v/>
      </c>
      <c r="M35" s="115"/>
      <c r="N35" s="363" t="str">
        <f>IF(M35="","",IF(VLOOKUP(M35,'G-7 WaterC'' Data'!$AA$4:$AB$7,2,FALSE)=0,"Spatial Data Missing ⚠",VLOOKUP(M35,'G-7 WaterC'' Data'!$AA$4:$AB$7,2,FALSE)))</f>
        <v/>
      </c>
      <c r="O35" s="60"/>
      <c r="P35" s="363" t="str">
        <f>IF(O35="","",IF(VLOOKUP(O35,'G-7 WaterC'' Data'!$AD$4:$AE$14,2,FALSE)=0,"Spatial Data Missing ⚠",VLOOKUP(O35,'G-7 WaterC'' Data'!$AD$4:$AE$14,2,FALSE)))</f>
        <v/>
      </c>
      <c r="Q35" s="369" t="str">
        <f>IF(D35="","",VLOOKUP(D35,'G-7 WaterC'' Data'!$B$4:$G$8,6,FALSE))</f>
        <v/>
      </c>
      <c r="R35" s="376" t="str">
        <f>IFERROR(IF(D35="","",IF(AND(Q35='G-1 All Habitats'!$X$3,X35&gt;0),Y35+(Z35*T35),IF(AND(Q35='G-1 All Habitats'!$X$3,W35&gt;0),Y35+(Z35*T35),IF(AND(Q35='G-1 All Habitats'!$X$3,AH35&gt;0),"Any Loss Unacceptable ⚠",IF(AND(Q35='G-1 All Habitats'!$X$3,AI35&gt;0),"Any Loss Unacceptable ⚠", E35*G35*I35*L35*N35*P35*T35 ))))),"Check Data ▲")</f>
        <v/>
      </c>
      <c r="S35" s="516"/>
      <c r="T35" s="368" t="str">
        <f>IF(S35="","",IF(VLOOKUP(S35,'G-7 WaterC'' Data'!$AO$4:$BO$7,2,FALSE)=0,"Spatial Data Missing ⚠",VLOOKUP(S35,'G-7 WaterC'' Data'!$AO$4:$BO$7,2,FALSE)))</f>
        <v/>
      </c>
      <c r="U35" s="376" t="str">
        <f>IFERROR(IF(D35="","",IF(AND(Q35='G-1 All Habitats'!$X$3,X35&gt;0),Y35+Z35,IF(AND(Q35='G-1 All Habitats'!$X$3,W35&gt;0),Y35+Z35,IF(AND(Q35='G-1 All Habitats'!$X$3,AH35&gt;0),"Any Loss Unacceptable ⚠",IF(AND(Q35='G-1 All Habitats'!$X$3,AI35&gt;0),"Any Loss Unacceptable ⚠", E35*G35*I35*L35*N35*P35 ))))),"Check Data ▲")</f>
        <v/>
      </c>
      <c r="V35" s="32"/>
      <c r="W35" s="114"/>
      <c r="X35" s="125"/>
      <c r="Y35" s="374" t="str">
        <f t="shared" si="0"/>
        <v/>
      </c>
      <c r="Z35" s="374" t="str">
        <f t="shared" si="1"/>
        <v/>
      </c>
      <c r="AA35" s="374" t="str">
        <f t="shared" si="2"/>
        <v/>
      </c>
      <c r="AB35" s="670" t="str">
        <f t="shared" si="3"/>
        <v/>
      </c>
      <c r="AC35" s="516"/>
      <c r="AD35" s="119"/>
      <c r="AE35" s="120"/>
      <c r="AF35" s="120"/>
      <c r="AG35" s="120"/>
      <c r="AH35" s="57" t="str">
        <f>IF(Q35="","",IF(Q35='G-1 All Habitats'!$X$3,E35-X35-W35,"None"))</f>
        <v/>
      </c>
      <c r="AI35" s="58" t="str">
        <f>IF(Q35="","", IF(Q35='G-1 All Habitats'!$X$3, AH35*G35*I35*L35*N35*P35,"None"))</f>
        <v/>
      </c>
      <c r="AJ35" s="30" t="str">
        <f>IFERROR(INDEX('G-7 WaterC'' Data'!$AZ$3:$AZ$7,MATCH(D35,'G-7 WaterC'' Data'!$AY$3:$AY$7,0)),"")</f>
        <v/>
      </c>
      <c r="AK35" s="30">
        <f t="shared" si="4"/>
        <v>0</v>
      </c>
      <c r="AL35" s="124" t="str">
        <f t="shared" si="5"/>
        <v/>
      </c>
      <c r="AM35" s="124" t="str">
        <f t="shared" si="6"/>
        <v/>
      </c>
      <c r="AO35" s="124">
        <v>26</v>
      </c>
      <c r="AQ35" s="124" t="str">
        <f t="array" ref="AQ35">IFERROR(INDEX($AO$10:$AO$258, MATCH(0, IF(TRUE=$AL$10:$AL$258, COUNTIF($AQ$9:$AQ34, $AO$10:$AO$258), ""), 0)),"")</f>
        <v/>
      </c>
      <c r="AR35" s="124" t="str">
        <f t="array" ref="AR35">IFERROR(INDEX($AO$10:$AO$258, MATCH(0, IF(TRUE=$AM$10:$AM$258, COUNTIF($AR$9:$AR34, $AO$10:$AO$258), ""), 0)),"")</f>
        <v/>
      </c>
      <c r="AZ35" s="802" t="str">
        <f t="shared" si="7"/>
        <v/>
      </c>
    </row>
    <row r="36" spans="3:52" ht="15.75" thickBot="1">
      <c r="C36" s="110">
        <v>27</v>
      </c>
      <c r="D36" s="340"/>
      <c r="E36" s="121"/>
      <c r="F36" s="362" t="str">
        <f>IF(D36="","",VLOOKUP(D36,'G-7 WaterC'' Data'!$B$2:$G$8,2,FALSE))</f>
        <v/>
      </c>
      <c r="G36" s="363" t="str">
        <f>IFERROR(VLOOKUP(F36,'G-7 WaterC'' Data'!$C$4:$D$8,2,FALSE),"")</f>
        <v/>
      </c>
      <c r="H36" s="114"/>
      <c r="I36" s="363" t="str">
        <f>IFERROR(INDEX('G-7 WaterC'' Data'!$H$4:$L$8,MATCH(D36,'G-7 WaterC'' Data'!$B$4:$B$8,0),MATCH(H36,'G-7 WaterC'' Data'!$H$3:$L$3,0)),"")</f>
        <v/>
      </c>
      <c r="J36" s="115"/>
      <c r="K36" s="382" t="str">
        <f>IF(J36="","",IF(VLOOKUP(J36,'G-7 WaterC'' Data'!$AK$4:$AM$9,2,FALSE)=0,"Spatial Data Missing ⚠",VLOOKUP(J36,'G-7 WaterC'' Data'!$AK$4:$AM$6,2,FALSE)))</f>
        <v/>
      </c>
      <c r="L36" s="386" t="str">
        <f>IF(J36="","",IF(VLOOKUP(J36,'G-7 WaterC'' Data'!$AK$4:$AM$9,3,FALSE)=0,"Spatial Data Missing ⚠",VLOOKUP(J36,'G-7 WaterC'' Data'!$AK$4:$AM$6,3,FALSE)))</f>
        <v/>
      </c>
      <c r="M36" s="115"/>
      <c r="N36" s="363" t="str">
        <f>IF(M36="","",IF(VLOOKUP(M36,'G-7 WaterC'' Data'!$AA$4:$AB$7,2,FALSE)=0,"Spatial Data Missing ⚠",VLOOKUP(M36,'G-7 WaterC'' Data'!$AA$4:$AB$7,2,FALSE)))</f>
        <v/>
      </c>
      <c r="O36" s="60"/>
      <c r="P36" s="363" t="str">
        <f>IF(O36="","",IF(VLOOKUP(O36,'G-7 WaterC'' Data'!$AD$4:$AE$14,2,FALSE)=0,"Spatial Data Missing ⚠",VLOOKUP(O36,'G-7 WaterC'' Data'!$AD$4:$AE$14,2,FALSE)))</f>
        <v/>
      </c>
      <c r="Q36" s="369" t="str">
        <f>IF(D36="","",VLOOKUP(D36,'G-7 WaterC'' Data'!$B$4:$G$8,6,FALSE))</f>
        <v/>
      </c>
      <c r="R36" s="376" t="str">
        <f>IFERROR(IF(D36="","",IF(AND(Q36='G-1 All Habitats'!$X$3,X36&gt;0),Y36+(Z36*T36),IF(AND(Q36='G-1 All Habitats'!$X$3,W36&gt;0),Y36+(Z36*T36),IF(AND(Q36='G-1 All Habitats'!$X$3,AH36&gt;0),"Any Loss Unacceptable ⚠",IF(AND(Q36='G-1 All Habitats'!$X$3,AI36&gt;0),"Any Loss Unacceptable ⚠", E36*G36*I36*L36*N36*P36*T36 ))))),"Check Data ▲")</f>
        <v/>
      </c>
      <c r="S36" s="516"/>
      <c r="T36" s="368" t="str">
        <f>IF(S36="","",IF(VLOOKUP(S36,'G-7 WaterC'' Data'!$AO$4:$BO$7,2,FALSE)=0,"Spatial Data Missing ⚠",VLOOKUP(S36,'G-7 WaterC'' Data'!$AO$4:$BO$7,2,FALSE)))</f>
        <v/>
      </c>
      <c r="U36" s="376" t="str">
        <f>IFERROR(IF(D36="","",IF(AND(Q36='G-1 All Habitats'!$X$3,X36&gt;0),Y36+Z36,IF(AND(Q36='G-1 All Habitats'!$X$3,W36&gt;0),Y36+Z36,IF(AND(Q36='G-1 All Habitats'!$X$3,AH36&gt;0),"Any Loss Unacceptable ⚠",IF(AND(Q36='G-1 All Habitats'!$X$3,AI36&gt;0),"Any Loss Unacceptable ⚠", E36*G36*I36*L36*N36*P36 ))))),"Check Data ▲")</f>
        <v/>
      </c>
      <c r="V36" s="32"/>
      <c r="W36" s="114"/>
      <c r="X36" s="125"/>
      <c r="Y36" s="374" t="str">
        <f t="shared" si="0"/>
        <v/>
      </c>
      <c r="Z36" s="374" t="str">
        <f t="shared" si="1"/>
        <v/>
      </c>
      <c r="AA36" s="374" t="str">
        <f t="shared" si="2"/>
        <v/>
      </c>
      <c r="AB36" s="670" t="str">
        <f t="shared" si="3"/>
        <v/>
      </c>
      <c r="AC36" s="516"/>
      <c r="AD36" s="119"/>
      <c r="AE36" s="120"/>
      <c r="AF36" s="120"/>
      <c r="AG36" s="120"/>
      <c r="AH36" s="57" t="str">
        <f>IF(Q36="","",IF(Q36='G-1 All Habitats'!$X$3,E36-X36-W36,"None"))</f>
        <v/>
      </c>
      <c r="AI36" s="58" t="str">
        <f>IF(Q36="","", IF(Q36='G-1 All Habitats'!$X$3, AH36*G36*I36*L36*N36*P36,"None"))</f>
        <v/>
      </c>
      <c r="AJ36" s="30" t="str">
        <f>IFERROR(INDEX('G-7 WaterC'' Data'!$AZ$3:$AZ$7,MATCH(D36,'G-7 WaterC'' Data'!$AY$3:$AY$7,0)),"")</f>
        <v/>
      </c>
      <c r="AK36" s="30">
        <f t="shared" si="4"/>
        <v>0</v>
      </c>
      <c r="AL36" s="124" t="str">
        <f t="shared" si="5"/>
        <v/>
      </c>
      <c r="AM36" s="124" t="str">
        <f t="shared" si="6"/>
        <v/>
      </c>
      <c r="AO36" s="124">
        <v>27</v>
      </c>
      <c r="AQ36" s="124" t="str">
        <f t="array" ref="AQ36">IFERROR(INDEX($AO$10:$AO$258, MATCH(0, IF(TRUE=$AL$10:$AL$258, COUNTIF($AQ$9:$AQ35, $AO$10:$AO$258), ""), 0)),"")</f>
        <v/>
      </c>
      <c r="AR36" s="124" t="str">
        <f t="array" ref="AR36">IFERROR(INDEX($AO$10:$AO$258, MATCH(0, IF(TRUE=$AM$10:$AM$258, COUNTIF($AR$9:$AR35, $AO$10:$AO$258), ""), 0)),"")</f>
        <v/>
      </c>
      <c r="AZ36" s="802" t="str">
        <f t="shared" si="7"/>
        <v/>
      </c>
    </row>
    <row r="37" spans="3:52" ht="15.75" thickBot="1">
      <c r="C37" s="110">
        <v>28</v>
      </c>
      <c r="D37" s="340"/>
      <c r="E37" s="121"/>
      <c r="F37" s="362" t="str">
        <f>IF(D37="","",VLOOKUP(D37,'G-7 WaterC'' Data'!$B$2:$G$8,2,FALSE))</f>
        <v/>
      </c>
      <c r="G37" s="363" t="str">
        <f>IFERROR(VLOOKUP(F37,'G-7 WaterC'' Data'!$C$4:$D$8,2,FALSE),"")</f>
        <v/>
      </c>
      <c r="H37" s="114"/>
      <c r="I37" s="363" t="str">
        <f>IFERROR(INDEX('G-7 WaterC'' Data'!$H$4:$L$8,MATCH(D37,'G-7 WaterC'' Data'!$B$4:$B$8,0),MATCH(H37,'G-7 WaterC'' Data'!$H$3:$L$3,0)),"")</f>
        <v/>
      </c>
      <c r="J37" s="115"/>
      <c r="K37" s="382" t="str">
        <f>IF(J37="","",IF(VLOOKUP(J37,'G-7 WaterC'' Data'!$AK$4:$AM$9,2,FALSE)=0,"Spatial Data Missing ⚠",VLOOKUP(J37,'G-7 WaterC'' Data'!$AK$4:$AM$6,2,FALSE)))</f>
        <v/>
      </c>
      <c r="L37" s="386" t="str">
        <f>IF(J37="","",IF(VLOOKUP(J37,'G-7 WaterC'' Data'!$AK$4:$AM$9,3,FALSE)=0,"Spatial Data Missing ⚠",VLOOKUP(J37,'G-7 WaterC'' Data'!$AK$4:$AM$6,3,FALSE)))</f>
        <v/>
      </c>
      <c r="M37" s="115"/>
      <c r="N37" s="363" t="str">
        <f>IF(M37="","",IF(VLOOKUP(M37,'G-7 WaterC'' Data'!$AA$4:$AB$7,2,FALSE)=0,"Spatial Data Missing ⚠",VLOOKUP(M37,'G-7 WaterC'' Data'!$AA$4:$AB$7,2,FALSE)))</f>
        <v/>
      </c>
      <c r="O37" s="60"/>
      <c r="P37" s="363" t="str">
        <f>IF(O37="","",IF(VLOOKUP(O37,'G-7 WaterC'' Data'!$AD$4:$AE$14,2,FALSE)=0,"Spatial Data Missing ⚠",VLOOKUP(O37,'G-7 WaterC'' Data'!$AD$4:$AE$14,2,FALSE)))</f>
        <v/>
      </c>
      <c r="Q37" s="369" t="str">
        <f>IF(D37="","",VLOOKUP(D37,'G-7 WaterC'' Data'!$B$4:$G$8,6,FALSE))</f>
        <v/>
      </c>
      <c r="R37" s="376" t="str">
        <f>IFERROR(IF(D37="","",IF(AND(Q37='G-1 All Habitats'!$X$3,X37&gt;0),Y37+(Z37*T37),IF(AND(Q37='G-1 All Habitats'!$X$3,W37&gt;0),Y37+(Z37*T37),IF(AND(Q37='G-1 All Habitats'!$X$3,AH37&gt;0),"Any Loss Unacceptable ⚠",IF(AND(Q37='G-1 All Habitats'!$X$3,AI37&gt;0),"Any Loss Unacceptable ⚠", E37*G37*I37*L37*N37*P37*T37 ))))),"Check Data ▲")</f>
        <v/>
      </c>
      <c r="S37" s="516"/>
      <c r="T37" s="368" t="str">
        <f>IF(S37="","",IF(VLOOKUP(S37,'G-7 WaterC'' Data'!$AO$4:$BO$7,2,FALSE)=0,"Spatial Data Missing ⚠",VLOOKUP(S37,'G-7 WaterC'' Data'!$AO$4:$BO$7,2,FALSE)))</f>
        <v/>
      </c>
      <c r="U37" s="376" t="str">
        <f>IFERROR(IF(D37="","",IF(AND(Q37='G-1 All Habitats'!$X$3,X37&gt;0),Y37+Z37,IF(AND(Q37='G-1 All Habitats'!$X$3,W37&gt;0),Y37+Z37,IF(AND(Q37='G-1 All Habitats'!$X$3,AH37&gt;0),"Any Loss Unacceptable ⚠",IF(AND(Q37='G-1 All Habitats'!$X$3,AI37&gt;0),"Any Loss Unacceptable ⚠", E37*G37*I37*L37*N37*P37 ))))),"Check Data ▲")</f>
        <v/>
      </c>
      <c r="V37" s="32"/>
      <c r="W37" s="114"/>
      <c r="X37" s="125"/>
      <c r="Y37" s="374" t="str">
        <f t="shared" si="0"/>
        <v/>
      </c>
      <c r="Z37" s="374" t="str">
        <f t="shared" si="1"/>
        <v/>
      </c>
      <c r="AA37" s="374" t="str">
        <f t="shared" si="2"/>
        <v/>
      </c>
      <c r="AB37" s="670" t="str">
        <f t="shared" si="3"/>
        <v/>
      </c>
      <c r="AC37" s="516"/>
      <c r="AD37" s="119"/>
      <c r="AE37" s="120"/>
      <c r="AF37" s="120"/>
      <c r="AG37" s="120"/>
      <c r="AH37" s="57" t="str">
        <f>IF(Q37="","",IF(Q37='G-1 All Habitats'!$X$3,E37-X37-W37,"None"))</f>
        <v/>
      </c>
      <c r="AI37" s="58" t="str">
        <f>IF(Q37="","", IF(Q37='G-1 All Habitats'!$X$3, AH37*G37*I37*L37*N37*P37,"None"))</f>
        <v/>
      </c>
      <c r="AJ37" s="30" t="str">
        <f>IFERROR(INDEX('G-7 WaterC'' Data'!$AZ$3:$AZ$7,MATCH(D37,'G-7 WaterC'' Data'!$AY$3:$AY$7,0)),"")</f>
        <v/>
      </c>
      <c r="AK37" s="30">
        <f t="shared" si="4"/>
        <v>0</v>
      </c>
      <c r="AL37" s="124" t="str">
        <f t="shared" si="5"/>
        <v/>
      </c>
      <c r="AM37" s="124" t="str">
        <f t="shared" si="6"/>
        <v/>
      </c>
      <c r="AO37" s="124">
        <v>28</v>
      </c>
      <c r="AQ37" s="124" t="str">
        <f t="array" ref="AQ37">IFERROR(INDEX($AO$10:$AO$258, MATCH(0, IF(TRUE=$AL$10:$AL$258, COUNTIF($AQ$9:$AQ36, $AO$10:$AO$258), ""), 0)),"")</f>
        <v/>
      </c>
      <c r="AR37" s="124" t="str">
        <f t="array" ref="AR37">IFERROR(INDEX($AO$10:$AO$258, MATCH(0, IF(TRUE=$AM$10:$AM$258, COUNTIF($AR$9:$AR36, $AO$10:$AO$258), ""), 0)),"")</f>
        <v/>
      </c>
      <c r="AZ37" s="802" t="str">
        <f t="shared" si="7"/>
        <v/>
      </c>
    </row>
    <row r="38" spans="3:52" ht="15.75" thickBot="1">
      <c r="C38" s="110">
        <v>29</v>
      </c>
      <c r="D38" s="340"/>
      <c r="E38" s="121"/>
      <c r="F38" s="362" t="str">
        <f>IF(D38="","",VLOOKUP(D38,'G-7 WaterC'' Data'!$B$2:$G$8,2,FALSE))</f>
        <v/>
      </c>
      <c r="G38" s="363" t="str">
        <f>IFERROR(VLOOKUP(F38,'G-7 WaterC'' Data'!$C$4:$D$8,2,FALSE),"")</f>
        <v/>
      </c>
      <c r="H38" s="114"/>
      <c r="I38" s="363" t="str">
        <f>IFERROR(INDEX('G-7 WaterC'' Data'!$H$4:$L$8,MATCH(D38,'G-7 WaterC'' Data'!$B$4:$B$8,0),MATCH(H38,'G-7 WaterC'' Data'!$H$3:$L$3,0)),"")</f>
        <v/>
      </c>
      <c r="J38" s="115"/>
      <c r="K38" s="382" t="str">
        <f>IF(J38="","",IF(VLOOKUP(J38,'G-7 WaterC'' Data'!$AK$4:$AM$9,2,FALSE)=0,"Spatial Data Missing ⚠",VLOOKUP(J38,'G-7 WaterC'' Data'!$AK$4:$AM$6,2,FALSE)))</f>
        <v/>
      </c>
      <c r="L38" s="386" t="str">
        <f>IF(J38="","",IF(VLOOKUP(J38,'G-7 WaterC'' Data'!$AK$4:$AM$9,3,FALSE)=0,"Spatial Data Missing ⚠",VLOOKUP(J38,'G-7 WaterC'' Data'!$AK$4:$AM$6,3,FALSE)))</f>
        <v/>
      </c>
      <c r="M38" s="115"/>
      <c r="N38" s="363" t="str">
        <f>IF(M38="","",IF(VLOOKUP(M38,'G-7 WaterC'' Data'!$AA$4:$AB$7,2,FALSE)=0,"Spatial Data Missing ⚠",VLOOKUP(M38,'G-7 WaterC'' Data'!$AA$4:$AB$7,2,FALSE)))</f>
        <v/>
      </c>
      <c r="O38" s="60"/>
      <c r="P38" s="363" t="str">
        <f>IF(O38="","",IF(VLOOKUP(O38,'G-7 WaterC'' Data'!$AD$4:$AE$14,2,FALSE)=0,"Spatial Data Missing ⚠",VLOOKUP(O38,'G-7 WaterC'' Data'!$AD$4:$AE$14,2,FALSE)))</f>
        <v/>
      </c>
      <c r="Q38" s="369" t="str">
        <f>IF(D38="","",VLOOKUP(D38,'G-7 WaterC'' Data'!$B$4:$G$8,6,FALSE))</f>
        <v/>
      </c>
      <c r="R38" s="376" t="str">
        <f>IFERROR(IF(D38="","",IF(AND(Q38='G-1 All Habitats'!$X$3,X38&gt;0),Y38+(Z38*T38),IF(AND(Q38='G-1 All Habitats'!$X$3,W38&gt;0),Y38+(Z38*T38),IF(AND(Q38='G-1 All Habitats'!$X$3,AH38&gt;0),"Any Loss Unacceptable ⚠",IF(AND(Q38='G-1 All Habitats'!$X$3,AI38&gt;0),"Any Loss Unacceptable ⚠", E38*G38*I38*L38*N38*P38*T38 ))))),"Check Data ▲")</f>
        <v/>
      </c>
      <c r="S38" s="516"/>
      <c r="T38" s="368" t="str">
        <f>IF(S38="","",IF(VLOOKUP(S38,'G-7 WaterC'' Data'!$AO$4:$BO$7,2,FALSE)=0,"Spatial Data Missing ⚠",VLOOKUP(S38,'G-7 WaterC'' Data'!$AO$4:$BO$7,2,FALSE)))</f>
        <v/>
      </c>
      <c r="U38" s="376" t="str">
        <f>IFERROR(IF(D38="","",IF(AND(Q38='G-1 All Habitats'!$X$3,X38&gt;0),Y38+Z38,IF(AND(Q38='G-1 All Habitats'!$X$3,W38&gt;0),Y38+Z38,IF(AND(Q38='G-1 All Habitats'!$X$3,AH38&gt;0),"Any Loss Unacceptable ⚠",IF(AND(Q38='G-1 All Habitats'!$X$3,AI38&gt;0),"Any Loss Unacceptable ⚠", E38*G38*I38*L38*N38*P38 ))))),"Check Data ▲")</f>
        <v/>
      </c>
      <c r="V38" s="32"/>
      <c r="W38" s="114"/>
      <c r="X38" s="125"/>
      <c r="Y38" s="374" t="str">
        <f t="shared" si="0"/>
        <v/>
      </c>
      <c r="Z38" s="374" t="str">
        <f t="shared" si="1"/>
        <v/>
      </c>
      <c r="AA38" s="374" t="str">
        <f t="shared" si="2"/>
        <v/>
      </c>
      <c r="AB38" s="670" t="str">
        <f t="shared" si="3"/>
        <v/>
      </c>
      <c r="AC38" s="516"/>
      <c r="AD38" s="119"/>
      <c r="AE38" s="120"/>
      <c r="AF38" s="120"/>
      <c r="AG38" s="120"/>
      <c r="AH38" s="57" t="str">
        <f>IF(Q38="","",IF(Q38='G-1 All Habitats'!$X$3,E38-X38-W38,"None"))</f>
        <v/>
      </c>
      <c r="AI38" s="58" t="str">
        <f>IF(Q38="","", IF(Q38='G-1 All Habitats'!$X$3, AH38*G38*I38*L38*N38*P38,"None"))</f>
        <v/>
      </c>
      <c r="AJ38" s="30" t="str">
        <f>IFERROR(INDEX('G-7 WaterC'' Data'!$AZ$3:$AZ$7,MATCH(D38,'G-7 WaterC'' Data'!$AY$3:$AY$7,0)),"")</f>
        <v/>
      </c>
      <c r="AK38" s="30">
        <f t="shared" si="4"/>
        <v>0</v>
      </c>
      <c r="AL38" s="124" t="str">
        <f t="shared" si="5"/>
        <v/>
      </c>
      <c r="AM38" s="124" t="str">
        <f t="shared" si="6"/>
        <v/>
      </c>
      <c r="AO38" s="124">
        <v>29</v>
      </c>
      <c r="AQ38" s="124" t="str">
        <f t="array" ref="AQ38">IFERROR(INDEX($AO$10:$AO$258, MATCH(0, IF(TRUE=$AL$10:$AL$258, COUNTIF($AQ$9:$AQ37, $AO$10:$AO$258), ""), 0)),"")</f>
        <v/>
      </c>
      <c r="AR38" s="124" t="str">
        <f t="array" ref="AR38">IFERROR(INDEX($AO$10:$AO$258, MATCH(0, IF(TRUE=$AM$10:$AM$258, COUNTIF($AR$9:$AR37, $AO$10:$AO$258), ""), 0)),"")</f>
        <v/>
      </c>
      <c r="AZ38" s="802" t="str">
        <f t="shared" si="7"/>
        <v/>
      </c>
    </row>
    <row r="39" spans="3:52" ht="15.75" thickBot="1">
      <c r="C39" s="110">
        <v>30</v>
      </c>
      <c r="D39" s="340"/>
      <c r="E39" s="121"/>
      <c r="F39" s="362" t="str">
        <f>IF(D39="","",VLOOKUP(D39,'G-7 WaterC'' Data'!$B$2:$G$8,2,FALSE))</f>
        <v/>
      </c>
      <c r="G39" s="363" t="str">
        <f>IFERROR(VLOOKUP(F39,'G-7 WaterC'' Data'!$C$4:$D$8,2,FALSE),"")</f>
        <v/>
      </c>
      <c r="H39" s="114"/>
      <c r="I39" s="363" t="str">
        <f>IFERROR(INDEX('G-7 WaterC'' Data'!$H$4:$L$8,MATCH(D39,'G-7 WaterC'' Data'!$B$4:$B$8,0),MATCH(H39,'G-7 WaterC'' Data'!$H$3:$L$3,0)),"")</f>
        <v/>
      </c>
      <c r="J39" s="115"/>
      <c r="K39" s="382" t="str">
        <f>IF(J39="","",IF(VLOOKUP(J39,'G-7 WaterC'' Data'!$AK$4:$AM$9,2,FALSE)=0,"Spatial Data Missing ⚠",VLOOKUP(J39,'G-7 WaterC'' Data'!$AK$4:$AM$6,2,FALSE)))</f>
        <v/>
      </c>
      <c r="L39" s="386" t="str">
        <f>IF(J39="","",IF(VLOOKUP(J39,'G-7 WaterC'' Data'!$AK$4:$AM$9,3,FALSE)=0,"Spatial Data Missing ⚠",VLOOKUP(J39,'G-7 WaterC'' Data'!$AK$4:$AM$6,3,FALSE)))</f>
        <v/>
      </c>
      <c r="M39" s="115"/>
      <c r="N39" s="363" t="str">
        <f>IF(M39="","",IF(VLOOKUP(M39,'G-7 WaterC'' Data'!$AA$4:$AB$7,2,FALSE)=0,"Spatial Data Missing ⚠",VLOOKUP(M39,'G-7 WaterC'' Data'!$AA$4:$AB$7,2,FALSE)))</f>
        <v/>
      </c>
      <c r="O39" s="60"/>
      <c r="P39" s="363" t="str">
        <f>IF(O39="","",IF(VLOOKUP(O39,'G-7 WaterC'' Data'!$AD$4:$AE$14,2,FALSE)=0,"Spatial Data Missing ⚠",VLOOKUP(O39,'G-7 WaterC'' Data'!$AD$4:$AE$14,2,FALSE)))</f>
        <v/>
      </c>
      <c r="Q39" s="369" t="str">
        <f>IF(D39="","",VLOOKUP(D39,'G-7 WaterC'' Data'!$B$4:$G$8,6,FALSE))</f>
        <v/>
      </c>
      <c r="R39" s="376" t="str">
        <f>IFERROR(IF(D39="","",IF(AND(Q39='G-1 All Habitats'!$X$3,X39&gt;0),Y39+(Z39*T39),IF(AND(Q39='G-1 All Habitats'!$X$3,W39&gt;0),Y39+(Z39*T39),IF(AND(Q39='G-1 All Habitats'!$X$3,AH39&gt;0),"Any Loss Unacceptable ⚠",IF(AND(Q39='G-1 All Habitats'!$X$3,AI39&gt;0),"Any Loss Unacceptable ⚠", E39*G39*I39*L39*N39*P39*T39 ))))),"Check Data ▲")</f>
        <v/>
      </c>
      <c r="S39" s="516"/>
      <c r="T39" s="368" t="str">
        <f>IF(S39="","",IF(VLOOKUP(S39,'G-7 WaterC'' Data'!$AO$4:$BO$7,2,FALSE)=0,"Spatial Data Missing ⚠",VLOOKUP(S39,'G-7 WaterC'' Data'!$AO$4:$BO$7,2,FALSE)))</f>
        <v/>
      </c>
      <c r="U39" s="376" t="str">
        <f>IFERROR(IF(D39="","",IF(AND(Q39='G-1 All Habitats'!$X$3,X39&gt;0),Y39+Z39,IF(AND(Q39='G-1 All Habitats'!$X$3,W39&gt;0),Y39+Z39,IF(AND(Q39='G-1 All Habitats'!$X$3,AH39&gt;0),"Any Loss Unacceptable ⚠",IF(AND(Q39='G-1 All Habitats'!$X$3,AI39&gt;0),"Any Loss Unacceptable ⚠", E39*G39*I39*L39*N39*P39 ))))),"Check Data ▲")</f>
        <v/>
      </c>
      <c r="V39" s="32"/>
      <c r="W39" s="114"/>
      <c r="X39" s="125"/>
      <c r="Y39" s="374" t="str">
        <f t="shared" si="0"/>
        <v/>
      </c>
      <c r="Z39" s="374" t="str">
        <f t="shared" si="1"/>
        <v/>
      </c>
      <c r="AA39" s="374" t="str">
        <f t="shared" si="2"/>
        <v/>
      </c>
      <c r="AB39" s="670" t="str">
        <f t="shared" si="3"/>
        <v/>
      </c>
      <c r="AC39" s="516"/>
      <c r="AD39" s="119"/>
      <c r="AE39" s="120"/>
      <c r="AF39" s="120"/>
      <c r="AG39" s="120"/>
      <c r="AH39" s="57" t="str">
        <f>IF(Q39="","",IF(Q39='G-1 All Habitats'!$X$3,E39-X39-W39,"None"))</f>
        <v/>
      </c>
      <c r="AI39" s="58" t="str">
        <f>IF(Q39="","", IF(Q39='G-1 All Habitats'!$X$3, AH39*G39*I39*L39*N39*P39,"None"))</f>
        <v/>
      </c>
      <c r="AJ39" s="30" t="str">
        <f>IFERROR(INDEX('G-7 WaterC'' Data'!$AZ$3:$AZ$7,MATCH(D39,'G-7 WaterC'' Data'!$AY$3:$AY$7,0)),"")</f>
        <v/>
      </c>
      <c r="AK39" s="30">
        <f t="shared" si="4"/>
        <v>0</v>
      </c>
      <c r="AL39" s="124" t="str">
        <f t="shared" si="5"/>
        <v/>
      </c>
      <c r="AM39" s="124" t="str">
        <f t="shared" si="6"/>
        <v/>
      </c>
      <c r="AO39" s="124">
        <v>30</v>
      </c>
      <c r="AQ39" s="124" t="str">
        <f t="array" ref="AQ39">IFERROR(INDEX($AO$10:$AO$258, MATCH(0, IF(TRUE=$AL$10:$AL$258, COUNTIF($AQ$9:$AQ38, $AO$10:$AO$258), ""), 0)),"")</f>
        <v/>
      </c>
      <c r="AR39" s="124" t="str">
        <f t="array" ref="AR39">IFERROR(INDEX($AO$10:$AO$258, MATCH(0, IF(TRUE=$AM$10:$AM$258, COUNTIF($AR$9:$AR38, $AO$10:$AO$258), ""), 0)),"")</f>
        <v/>
      </c>
      <c r="AZ39" s="802" t="str">
        <f t="shared" si="7"/>
        <v/>
      </c>
    </row>
    <row r="40" spans="3:52" ht="15.75" thickBot="1">
      <c r="C40" s="110">
        <v>31</v>
      </c>
      <c r="D40" s="340"/>
      <c r="E40" s="121"/>
      <c r="F40" s="362" t="str">
        <f>IF(D40="","",VLOOKUP(D40,'G-7 WaterC'' Data'!$B$2:$G$8,2,FALSE))</f>
        <v/>
      </c>
      <c r="G40" s="363" t="str">
        <f>IFERROR(VLOOKUP(F40,'G-7 WaterC'' Data'!$C$4:$D$8,2,FALSE),"")</f>
        <v/>
      </c>
      <c r="H40" s="114"/>
      <c r="I40" s="363" t="str">
        <f>IFERROR(INDEX('G-7 WaterC'' Data'!$H$4:$L$8,MATCH(D40,'G-7 WaterC'' Data'!$B$4:$B$8,0),MATCH(H40,'G-7 WaterC'' Data'!$H$3:$L$3,0)),"")</f>
        <v/>
      </c>
      <c r="J40" s="115"/>
      <c r="K40" s="382" t="str">
        <f>IF(J40="","",IF(VLOOKUP(J40,'G-7 WaterC'' Data'!$AK$4:$AM$9,2,FALSE)=0,"Spatial Data Missing ⚠",VLOOKUP(J40,'G-7 WaterC'' Data'!$AK$4:$AM$6,2,FALSE)))</f>
        <v/>
      </c>
      <c r="L40" s="386" t="str">
        <f>IF(J40="","",IF(VLOOKUP(J40,'G-7 WaterC'' Data'!$AK$4:$AM$9,3,FALSE)=0,"Spatial Data Missing ⚠",VLOOKUP(J40,'G-7 WaterC'' Data'!$AK$4:$AM$6,3,FALSE)))</f>
        <v/>
      </c>
      <c r="M40" s="115"/>
      <c r="N40" s="363" t="str">
        <f>IF(M40="","",IF(VLOOKUP(M40,'G-7 WaterC'' Data'!$AA$4:$AB$7,2,FALSE)=0,"Spatial Data Missing ⚠",VLOOKUP(M40,'G-7 WaterC'' Data'!$AA$4:$AB$7,2,FALSE)))</f>
        <v/>
      </c>
      <c r="O40" s="60"/>
      <c r="P40" s="363" t="str">
        <f>IF(O40="","",IF(VLOOKUP(O40,'G-7 WaterC'' Data'!$AD$4:$AE$14,2,FALSE)=0,"Spatial Data Missing ⚠",VLOOKUP(O40,'G-7 WaterC'' Data'!$AD$4:$AE$14,2,FALSE)))</f>
        <v/>
      </c>
      <c r="Q40" s="369" t="str">
        <f>IF(D40="","",VLOOKUP(D40,'G-7 WaterC'' Data'!$B$4:$G$8,6,FALSE))</f>
        <v/>
      </c>
      <c r="R40" s="376" t="str">
        <f>IFERROR(IF(D40="","",IF(AND(Q40='G-1 All Habitats'!$X$3,X40&gt;0),Y40+(Z40*T40),IF(AND(Q40='G-1 All Habitats'!$X$3,W40&gt;0),Y40+(Z40*T40),IF(AND(Q40='G-1 All Habitats'!$X$3,AH40&gt;0),"Any Loss Unacceptable ⚠",IF(AND(Q40='G-1 All Habitats'!$X$3,AI40&gt;0),"Any Loss Unacceptable ⚠", E40*G40*I40*L40*N40*P40*T40 ))))),"Check Data ▲")</f>
        <v/>
      </c>
      <c r="S40" s="516"/>
      <c r="T40" s="368" t="str">
        <f>IF(S40="","",IF(VLOOKUP(S40,'G-7 WaterC'' Data'!$AO$4:$BO$7,2,FALSE)=0,"Spatial Data Missing ⚠",VLOOKUP(S40,'G-7 WaterC'' Data'!$AO$4:$BO$7,2,FALSE)))</f>
        <v/>
      </c>
      <c r="U40" s="376" t="str">
        <f>IFERROR(IF(D40="","",IF(AND(Q40='G-1 All Habitats'!$X$3,X40&gt;0),Y40+Z40,IF(AND(Q40='G-1 All Habitats'!$X$3,W40&gt;0),Y40+Z40,IF(AND(Q40='G-1 All Habitats'!$X$3,AH40&gt;0),"Any Loss Unacceptable ⚠",IF(AND(Q40='G-1 All Habitats'!$X$3,AI40&gt;0),"Any Loss Unacceptable ⚠", E40*G40*I40*L40*N40*P40 ))))),"Check Data ▲")</f>
        <v/>
      </c>
      <c r="V40" s="32"/>
      <c r="W40" s="114"/>
      <c r="X40" s="125"/>
      <c r="Y40" s="374" t="str">
        <f t="shared" si="0"/>
        <v/>
      </c>
      <c r="Z40" s="374" t="str">
        <f t="shared" si="1"/>
        <v/>
      </c>
      <c r="AA40" s="374" t="str">
        <f t="shared" si="2"/>
        <v/>
      </c>
      <c r="AB40" s="670" t="str">
        <f t="shared" si="3"/>
        <v/>
      </c>
      <c r="AC40" s="516"/>
      <c r="AD40" s="119"/>
      <c r="AE40" s="120"/>
      <c r="AF40" s="120"/>
      <c r="AG40" s="120"/>
      <c r="AH40" s="57" t="str">
        <f>IF(Q40="","",IF(Q40='G-1 All Habitats'!$X$3,E40-X40-W40,"None"))</f>
        <v/>
      </c>
      <c r="AI40" s="58" t="str">
        <f>IF(Q40="","", IF(Q40='G-1 All Habitats'!$X$3, AH40*G40*I40*L40*N40*P40,"None"))</f>
        <v/>
      </c>
      <c r="AJ40" s="30" t="str">
        <f>IFERROR(INDEX('G-7 WaterC'' Data'!$AZ$3:$AZ$7,MATCH(D40,'G-7 WaterC'' Data'!$AY$3:$AY$7,0)),"")</f>
        <v/>
      </c>
      <c r="AK40" s="30">
        <f t="shared" si="4"/>
        <v>0</v>
      </c>
      <c r="AL40" s="124" t="str">
        <f t="shared" si="5"/>
        <v/>
      </c>
      <c r="AM40" s="124" t="str">
        <f t="shared" si="6"/>
        <v/>
      </c>
      <c r="AO40" s="124">
        <v>31</v>
      </c>
      <c r="AQ40" s="124" t="str">
        <f t="array" ref="AQ40">IFERROR(INDEX($AO$10:$AO$258, MATCH(0, IF(TRUE=$AL$10:$AL$258, COUNTIF($AQ$9:$AQ39, $AO$10:$AO$258), ""), 0)),"")</f>
        <v/>
      </c>
      <c r="AR40" s="124" t="str">
        <f t="array" ref="AR40">IFERROR(INDEX($AO$10:$AO$258, MATCH(0, IF(TRUE=$AM$10:$AM$258, COUNTIF($AR$9:$AR39, $AO$10:$AO$258), ""), 0)),"")</f>
        <v/>
      </c>
      <c r="AZ40" s="802" t="str">
        <f t="shared" si="7"/>
        <v/>
      </c>
    </row>
    <row r="41" spans="3:52" ht="15.75" thickBot="1">
      <c r="C41" s="110">
        <v>32</v>
      </c>
      <c r="D41" s="340"/>
      <c r="E41" s="121"/>
      <c r="F41" s="362" t="str">
        <f>IF(D41="","",VLOOKUP(D41,'G-7 WaterC'' Data'!$B$2:$G$8,2,FALSE))</f>
        <v/>
      </c>
      <c r="G41" s="363" t="str">
        <f>IFERROR(VLOOKUP(F41,'G-7 WaterC'' Data'!$C$4:$D$8,2,FALSE),"")</f>
        <v/>
      </c>
      <c r="H41" s="114"/>
      <c r="I41" s="363" t="str">
        <f>IFERROR(INDEX('G-7 WaterC'' Data'!$H$4:$L$8,MATCH(D41,'G-7 WaterC'' Data'!$B$4:$B$8,0),MATCH(H41,'G-7 WaterC'' Data'!$H$3:$L$3,0)),"")</f>
        <v/>
      </c>
      <c r="J41" s="115"/>
      <c r="K41" s="382" t="str">
        <f>IF(J41="","",IF(VLOOKUP(J41,'G-7 WaterC'' Data'!$AK$4:$AM$9,2,FALSE)=0,"Spatial Data Missing ⚠",VLOOKUP(J41,'G-7 WaterC'' Data'!$AK$4:$AM$6,2,FALSE)))</f>
        <v/>
      </c>
      <c r="L41" s="386" t="str">
        <f>IF(J41="","",IF(VLOOKUP(J41,'G-7 WaterC'' Data'!$AK$4:$AM$9,3,FALSE)=0,"Spatial Data Missing ⚠",VLOOKUP(J41,'G-7 WaterC'' Data'!$AK$4:$AM$6,3,FALSE)))</f>
        <v/>
      </c>
      <c r="M41" s="115"/>
      <c r="N41" s="363" t="str">
        <f>IF(M41="","",IF(VLOOKUP(M41,'G-7 WaterC'' Data'!$AA$4:$AB$7,2,FALSE)=0,"Spatial Data Missing ⚠",VLOOKUP(M41,'G-7 WaterC'' Data'!$AA$4:$AB$7,2,FALSE)))</f>
        <v/>
      </c>
      <c r="O41" s="60"/>
      <c r="P41" s="363" t="str">
        <f>IF(O41="","",IF(VLOOKUP(O41,'G-7 WaterC'' Data'!$AD$4:$AE$14,2,FALSE)=0,"Spatial Data Missing ⚠",VLOOKUP(O41,'G-7 WaterC'' Data'!$AD$4:$AE$14,2,FALSE)))</f>
        <v/>
      </c>
      <c r="Q41" s="369" t="str">
        <f>IF(D41="","",VLOOKUP(D41,'G-7 WaterC'' Data'!$B$4:$G$8,6,FALSE))</f>
        <v/>
      </c>
      <c r="R41" s="376" t="str">
        <f>IFERROR(IF(D41="","",IF(AND(Q41='G-1 All Habitats'!$X$3,X41&gt;0),Y41+(Z41*T41),IF(AND(Q41='G-1 All Habitats'!$X$3,W41&gt;0),Y41+(Z41*T41),IF(AND(Q41='G-1 All Habitats'!$X$3,AH41&gt;0),"Any Loss Unacceptable ⚠",IF(AND(Q41='G-1 All Habitats'!$X$3,AI41&gt;0),"Any Loss Unacceptable ⚠", E41*G41*I41*L41*N41*P41*T41 ))))),"Check Data ▲")</f>
        <v/>
      </c>
      <c r="S41" s="516"/>
      <c r="T41" s="368" t="str">
        <f>IF(S41="","",IF(VLOOKUP(S41,'G-7 WaterC'' Data'!$AO$4:$BO$7,2,FALSE)=0,"Spatial Data Missing ⚠",VLOOKUP(S41,'G-7 WaterC'' Data'!$AO$4:$BO$7,2,FALSE)))</f>
        <v/>
      </c>
      <c r="U41" s="376" t="str">
        <f>IFERROR(IF(D41="","",IF(AND(Q41='G-1 All Habitats'!$X$3,X41&gt;0),Y41+Z41,IF(AND(Q41='G-1 All Habitats'!$X$3,W41&gt;0),Y41+Z41,IF(AND(Q41='G-1 All Habitats'!$X$3,AH41&gt;0),"Any Loss Unacceptable ⚠",IF(AND(Q41='G-1 All Habitats'!$X$3,AI41&gt;0),"Any Loss Unacceptable ⚠", E41*G41*I41*L41*N41*P41 ))))),"Check Data ▲")</f>
        <v/>
      </c>
      <c r="V41" s="32"/>
      <c r="W41" s="114"/>
      <c r="X41" s="125"/>
      <c r="Y41" s="374" t="str">
        <f t="shared" si="0"/>
        <v/>
      </c>
      <c r="Z41" s="374" t="str">
        <f t="shared" si="1"/>
        <v/>
      </c>
      <c r="AA41" s="374" t="str">
        <f t="shared" si="2"/>
        <v/>
      </c>
      <c r="AB41" s="670" t="str">
        <f t="shared" si="3"/>
        <v/>
      </c>
      <c r="AC41" s="516"/>
      <c r="AD41" s="119"/>
      <c r="AE41" s="120"/>
      <c r="AF41" s="120"/>
      <c r="AG41" s="120"/>
      <c r="AH41" s="57" t="str">
        <f>IF(Q41="","",IF(Q41='G-1 All Habitats'!$X$3,E41-X41-W41,"None"))</f>
        <v/>
      </c>
      <c r="AI41" s="58" t="str">
        <f>IF(Q41="","", IF(Q41='G-1 All Habitats'!$X$3, AH41*G41*I41*L41*N41*P41,"None"))</f>
        <v/>
      </c>
      <c r="AJ41" s="30" t="str">
        <f>IFERROR(INDEX('G-7 WaterC'' Data'!$AZ$3:$AZ$7,MATCH(D41,'G-7 WaterC'' Data'!$AY$3:$AY$7,0)),"")</f>
        <v/>
      </c>
      <c r="AK41" s="30">
        <f t="shared" si="4"/>
        <v>0</v>
      </c>
      <c r="AL41" s="124" t="str">
        <f t="shared" si="5"/>
        <v/>
      </c>
      <c r="AM41" s="124" t="str">
        <f t="shared" si="6"/>
        <v/>
      </c>
      <c r="AO41" s="124">
        <v>32</v>
      </c>
      <c r="AQ41" s="124" t="str">
        <f t="array" ref="AQ41">IFERROR(INDEX($AO$10:$AO$258, MATCH(0, IF(TRUE=$AL$10:$AL$258, COUNTIF($AQ$9:$AQ40, $AO$10:$AO$258), ""), 0)),"")</f>
        <v/>
      </c>
      <c r="AR41" s="124" t="str">
        <f t="array" ref="AR41">IFERROR(INDEX($AO$10:$AO$258, MATCH(0, IF(TRUE=$AM$10:$AM$258, COUNTIF($AR$9:$AR40, $AO$10:$AO$258), ""), 0)),"")</f>
        <v/>
      </c>
      <c r="AZ41" s="802" t="str">
        <f t="shared" si="7"/>
        <v/>
      </c>
    </row>
    <row r="42" spans="3:52" ht="15.75" thickBot="1">
      <c r="C42" s="110">
        <v>33</v>
      </c>
      <c r="D42" s="340"/>
      <c r="E42" s="121"/>
      <c r="F42" s="362" t="str">
        <f>IF(D42="","",VLOOKUP(D42,'G-7 WaterC'' Data'!$B$2:$G$8,2,FALSE))</f>
        <v/>
      </c>
      <c r="G42" s="363" t="str">
        <f>IFERROR(VLOOKUP(F42,'G-7 WaterC'' Data'!$C$4:$D$8,2,FALSE),"")</f>
        <v/>
      </c>
      <c r="H42" s="114"/>
      <c r="I42" s="363" t="str">
        <f>IFERROR(INDEX('G-7 WaterC'' Data'!$H$4:$L$8,MATCH(D42,'G-7 WaterC'' Data'!$B$4:$B$8,0),MATCH(H42,'G-7 WaterC'' Data'!$H$3:$L$3,0)),"")</f>
        <v/>
      </c>
      <c r="J42" s="115"/>
      <c r="K42" s="382" t="str">
        <f>IF(J42="","",IF(VLOOKUP(J42,'G-7 WaterC'' Data'!$AK$4:$AM$9,2,FALSE)=0,"Spatial Data Missing ⚠",VLOOKUP(J42,'G-7 WaterC'' Data'!$AK$4:$AM$6,2,FALSE)))</f>
        <v/>
      </c>
      <c r="L42" s="386" t="str">
        <f>IF(J42="","",IF(VLOOKUP(J42,'G-7 WaterC'' Data'!$AK$4:$AM$9,3,FALSE)=0,"Spatial Data Missing ⚠",VLOOKUP(J42,'G-7 WaterC'' Data'!$AK$4:$AM$6,3,FALSE)))</f>
        <v/>
      </c>
      <c r="M42" s="115"/>
      <c r="N42" s="363" t="str">
        <f>IF(M42="","",IF(VLOOKUP(M42,'G-7 WaterC'' Data'!$AA$4:$AB$7,2,FALSE)=0,"Spatial Data Missing ⚠",VLOOKUP(M42,'G-7 WaterC'' Data'!$AA$4:$AB$7,2,FALSE)))</f>
        <v/>
      </c>
      <c r="O42" s="60"/>
      <c r="P42" s="363" t="str">
        <f>IF(O42="","",IF(VLOOKUP(O42,'G-7 WaterC'' Data'!$AD$4:$AE$14,2,FALSE)=0,"Spatial Data Missing ⚠",VLOOKUP(O42,'G-7 WaterC'' Data'!$AD$4:$AE$14,2,FALSE)))</f>
        <v/>
      </c>
      <c r="Q42" s="369" t="str">
        <f>IF(D42="","",VLOOKUP(D42,'G-7 WaterC'' Data'!$B$4:$G$8,6,FALSE))</f>
        <v/>
      </c>
      <c r="R42" s="376" t="str">
        <f>IFERROR(IF(D42="","",IF(AND(Q42='G-1 All Habitats'!$X$3,X42&gt;0),Y42+(Z42*T42),IF(AND(Q42='G-1 All Habitats'!$X$3,W42&gt;0),Y42+(Z42*T42),IF(AND(Q42='G-1 All Habitats'!$X$3,AH42&gt;0),"Any Loss Unacceptable ⚠",IF(AND(Q42='G-1 All Habitats'!$X$3,AI42&gt;0),"Any Loss Unacceptable ⚠", E42*G42*I42*L42*N42*P42*T42 ))))),"Check Data ▲")</f>
        <v/>
      </c>
      <c r="S42" s="516"/>
      <c r="T42" s="368" t="str">
        <f>IF(S42="","",IF(VLOOKUP(S42,'G-7 WaterC'' Data'!$AO$4:$BO$7,2,FALSE)=0,"Spatial Data Missing ⚠",VLOOKUP(S42,'G-7 WaterC'' Data'!$AO$4:$BO$7,2,FALSE)))</f>
        <v/>
      </c>
      <c r="U42" s="376" t="str">
        <f>IFERROR(IF(D42="","",IF(AND(Q42='G-1 All Habitats'!$X$3,X42&gt;0),Y42+Z42,IF(AND(Q42='G-1 All Habitats'!$X$3,W42&gt;0),Y42+Z42,IF(AND(Q42='G-1 All Habitats'!$X$3,AH42&gt;0),"Any Loss Unacceptable ⚠",IF(AND(Q42='G-1 All Habitats'!$X$3,AI42&gt;0),"Any Loss Unacceptable ⚠", E42*G42*I42*L42*N42*P42 ))))),"Check Data ▲")</f>
        <v/>
      </c>
      <c r="V42" s="32"/>
      <c r="W42" s="114"/>
      <c r="X42" s="125"/>
      <c r="Y42" s="374" t="str">
        <f t="shared" si="0"/>
        <v/>
      </c>
      <c r="Z42" s="374" t="str">
        <f t="shared" si="1"/>
        <v/>
      </c>
      <c r="AA42" s="374" t="str">
        <f t="shared" si="2"/>
        <v/>
      </c>
      <c r="AB42" s="670" t="str">
        <f t="shared" si="3"/>
        <v/>
      </c>
      <c r="AC42" s="516"/>
      <c r="AD42" s="119"/>
      <c r="AE42" s="120"/>
      <c r="AF42" s="120"/>
      <c r="AG42" s="120"/>
      <c r="AH42" s="57" t="str">
        <f>IF(Q42="","",IF(Q42='G-1 All Habitats'!$X$3,E42-X42-W42,"None"))</f>
        <v/>
      </c>
      <c r="AI42" s="58" t="str">
        <f>IF(Q42="","", IF(Q42='G-1 All Habitats'!$X$3, AH42*G42*I42*L42*N42*P42,"None"))</f>
        <v/>
      </c>
      <c r="AJ42" s="30" t="str">
        <f>IFERROR(INDEX('G-7 WaterC'' Data'!$AZ$3:$AZ$7,MATCH(D42,'G-7 WaterC'' Data'!$AY$3:$AY$7,0)),"")</f>
        <v/>
      </c>
      <c r="AK42" s="30">
        <f t="shared" si="4"/>
        <v>0</v>
      </c>
      <c r="AL42" s="124" t="str">
        <f t="shared" si="5"/>
        <v/>
      </c>
      <c r="AM42" s="124" t="str">
        <f t="shared" si="6"/>
        <v/>
      </c>
      <c r="AO42" s="124">
        <v>33</v>
      </c>
      <c r="AQ42" s="124" t="str">
        <f t="array" ref="AQ42">IFERROR(INDEX($AO$10:$AO$258, MATCH(0, IF(TRUE=$AL$10:$AL$258, COUNTIF($AQ$9:$AQ41, $AO$10:$AO$258), ""), 0)),"")</f>
        <v/>
      </c>
      <c r="AR42" s="124" t="str">
        <f t="array" ref="AR42">IFERROR(INDEX($AO$10:$AO$258, MATCH(0, IF(TRUE=$AM$10:$AM$258, COUNTIF($AR$9:$AR41, $AO$10:$AO$258), ""), 0)),"")</f>
        <v/>
      </c>
      <c r="AZ42" s="802" t="str">
        <f t="shared" si="7"/>
        <v/>
      </c>
    </row>
    <row r="43" spans="3:52" ht="15.75" thickBot="1">
      <c r="C43" s="110">
        <v>34</v>
      </c>
      <c r="D43" s="340"/>
      <c r="E43" s="121"/>
      <c r="F43" s="362" t="str">
        <f>IF(D43="","",VLOOKUP(D43,'G-7 WaterC'' Data'!$B$2:$G$8,2,FALSE))</f>
        <v/>
      </c>
      <c r="G43" s="363" t="str">
        <f>IFERROR(VLOOKUP(F43,'G-7 WaterC'' Data'!$C$4:$D$8,2,FALSE),"")</f>
        <v/>
      </c>
      <c r="H43" s="114"/>
      <c r="I43" s="363" t="str">
        <f>IFERROR(INDEX('G-7 WaterC'' Data'!$H$4:$L$8,MATCH(D43,'G-7 WaterC'' Data'!$B$4:$B$8,0),MATCH(H43,'G-7 WaterC'' Data'!$H$3:$L$3,0)),"")</f>
        <v/>
      </c>
      <c r="J43" s="115"/>
      <c r="K43" s="382" t="str">
        <f>IF(J43="","",IF(VLOOKUP(J43,'G-7 WaterC'' Data'!$AK$4:$AM$9,2,FALSE)=0,"Spatial Data Missing ⚠",VLOOKUP(J43,'G-7 WaterC'' Data'!$AK$4:$AM$6,2,FALSE)))</f>
        <v/>
      </c>
      <c r="L43" s="386" t="str">
        <f>IF(J43="","",IF(VLOOKUP(J43,'G-7 WaterC'' Data'!$AK$4:$AM$9,3,FALSE)=0,"Spatial Data Missing ⚠",VLOOKUP(J43,'G-7 WaterC'' Data'!$AK$4:$AM$6,3,FALSE)))</f>
        <v/>
      </c>
      <c r="M43" s="115"/>
      <c r="N43" s="363" t="str">
        <f>IF(M43="","",IF(VLOOKUP(M43,'G-7 WaterC'' Data'!$AA$4:$AB$7,2,FALSE)=0,"Spatial Data Missing ⚠",VLOOKUP(M43,'G-7 WaterC'' Data'!$AA$4:$AB$7,2,FALSE)))</f>
        <v/>
      </c>
      <c r="O43" s="60"/>
      <c r="P43" s="363" t="str">
        <f>IF(O43="","",IF(VLOOKUP(O43,'G-7 WaterC'' Data'!$AD$4:$AE$14,2,FALSE)=0,"Spatial Data Missing ⚠",VLOOKUP(O43,'G-7 WaterC'' Data'!$AD$4:$AE$14,2,FALSE)))</f>
        <v/>
      </c>
      <c r="Q43" s="369" t="str">
        <f>IF(D43="","",VLOOKUP(D43,'G-7 WaterC'' Data'!$B$4:$G$8,6,FALSE))</f>
        <v/>
      </c>
      <c r="R43" s="376" t="str">
        <f>IFERROR(IF(D43="","",IF(AND(Q43='G-1 All Habitats'!$X$3,X43&gt;0),Y43+(Z43*T43),IF(AND(Q43='G-1 All Habitats'!$X$3,W43&gt;0),Y43+(Z43*T43),IF(AND(Q43='G-1 All Habitats'!$X$3,AH43&gt;0),"Any Loss Unacceptable ⚠",IF(AND(Q43='G-1 All Habitats'!$X$3,AI43&gt;0),"Any Loss Unacceptable ⚠", E43*G43*I43*L43*N43*P43*T43 ))))),"Check Data ▲")</f>
        <v/>
      </c>
      <c r="S43" s="516"/>
      <c r="T43" s="368" t="str">
        <f>IF(S43="","",IF(VLOOKUP(S43,'G-7 WaterC'' Data'!$AO$4:$BO$7,2,FALSE)=0,"Spatial Data Missing ⚠",VLOOKUP(S43,'G-7 WaterC'' Data'!$AO$4:$BO$7,2,FALSE)))</f>
        <v/>
      </c>
      <c r="U43" s="376" t="str">
        <f>IFERROR(IF(D43="","",IF(AND(Q43='G-1 All Habitats'!$X$3,X43&gt;0),Y43+Z43,IF(AND(Q43='G-1 All Habitats'!$X$3,W43&gt;0),Y43+Z43,IF(AND(Q43='G-1 All Habitats'!$X$3,AH43&gt;0),"Any Loss Unacceptable ⚠",IF(AND(Q43='G-1 All Habitats'!$X$3,AI43&gt;0),"Any Loss Unacceptable ⚠", E43*G43*I43*L43*N43*P43 ))))),"Check Data ▲")</f>
        <v/>
      </c>
      <c r="V43" s="32"/>
      <c r="W43" s="114"/>
      <c r="X43" s="125"/>
      <c r="Y43" s="374" t="str">
        <f t="shared" si="0"/>
        <v/>
      </c>
      <c r="Z43" s="374" t="str">
        <f t="shared" si="1"/>
        <v/>
      </c>
      <c r="AA43" s="374" t="str">
        <f t="shared" si="2"/>
        <v/>
      </c>
      <c r="AB43" s="670" t="str">
        <f t="shared" si="3"/>
        <v/>
      </c>
      <c r="AC43" s="516"/>
      <c r="AD43" s="119"/>
      <c r="AE43" s="120"/>
      <c r="AF43" s="120"/>
      <c r="AG43" s="120"/>
      <c r="AH43" s="57" t="str">
        <f>IF(Q43="","",IF(Q43='G-1 All Habitats'!$X$3,E43-X43-W43,"None"))</f>
        <v/>
      </c>
      <c r="AI43" s="58" t="str">
        <f>IF(Q43="","", IF(Q43='G-1 All Habitats'!$X$3, AH43*G43*I43*L43*N43*P43,"None"))</f>
        <v/>
      </c>
      <c r="AJ43" s="30" t="str">
        <f>IFERROR(INDEX('G-7 WaterC'' Data'!$AZ$3:$AZ$7,MATCH(D43,'G-7 WaterC'' Data'!$AY$3:$AY$7,0)),"")</f>
        <v/>
      </c>
      <c r="AK43" s="30">
        <f t="shared" si="4"/>
        <v>0</v>
      </c>
      <c r="AL43" s="124" t="str">
        <f t="shared" si="5"/>
        <v/>
      </c>
      <c r="AM43" s="124" t="str">
        <f t="shared" si="6"/>
        <v/>
      </c>
      <c r="AO43" s="124">
        <v>34</v>
      </c>
      <c r="AQ43" s="124" t="str">
        <f t="array" ref="AQ43">IFERROR(INDEX($AO$10:$AO$258, MATCH(0, IF(TRUE=$AL$10:$AL$258, COUNTIF($AQ$9:$AQ42, $AO$10:$AO$258), ""), 0)),"")</f>
        <v/>
      </c>
      <c r="AR43" s="124" t="str">
        <f t="array" ref="AR43">IFERROR(INDEX($AO$10:$AO$258, MATCH(0, IF(TRUE=$AM$10:$AM$258, COUNTIF($AR$9:$AR42, $AO$10:$AO$258), ""), 0)),"")</f>
        <v/>
      </c>
      <c r="AZ43" s="802" t="str">
        <f t="shared" si="7"/>
        <v/>
      </c>
    </row>
    <row r="44" spans="3:52" ht="15.75" thickBot="1">
      <c r="C44" s="110">
        <v>35</v>
      </c>
      <c r="D44" s="340"/>
      <c r="E44" s="121"/>
      <c r="F44" s="362" t="str">
        <f>IF(D44="","",VLOOKUP(D44,'G-7 WaterC'' Data'!$B$2:$G$8,2,FALSE))</f>
        <v/>
      </c>
      <c r="G44" s="363" t="str">
        <f>IFERROR(VLOOKUP(F44,'G-7 WaterC'' Data'!$C$4:$D$8,2,FALSE),"")</f>
        <v/>
      </c>
      <c r="H44" s="114"/>
      <c r="I44" s="363" t="str">
        <f>IFERROR(INDEX('G-7 WaterC'' Data'!$H$4:$L$8,MATCH(D44,'G-7 WaterC'' Data'!$B$4:$B$8,0),MATCH(H44,'G-7 WaterC'' Data'!$H$3:$L$3,0)),"")</f>
        <v/>
      </c>
      <c r="J44" s="115"/>
      <c r="K44" s="382" t="str">
        <f>IF(J44="","",IF(VLOOKUP(J44,'G-7 WaterC'' Data'!$AK$4:$AM$9,2,FALSE)=0,"Spatial Data Missing ⚠",VLOOKUP(J44,'G-7 WaterC'' Data'!$AK$4:$AM$6,2,FALSE)))</f>
        <v/>
      </c>
      <c r="L44" s="386" t="str">
        <f>IF(J44="","",IF(VLOOKUP(J44,'G-7 WaterC'' Data'!$AK$4:$AM$9,3,FALSE)=0,"Spatial Data Missing ⚠",VLOOKUP(J44,'G-7 WaterC'' Data'!$AK$4:$AM$6,3,FALSE)))</f>
        <v/>
      </c>
      <c r="M44" s="115"/>
      <c r="N44" s="363" t="str">
        <f>IF(M44="","",IF(VLOOKUP(M44,'G-7 WaterC'' Data'!$AA$4:$AB$7,2,FALSE)=0,"Spatial Data Missing ⚠",VLOOKUP(M44,'G-7 WaterC'' Data'!$AA$4:$AB$7,2,FALSE)))</f>
        <v/>
      </c>
      <c r="O44" s="60"/>
      <c r="P44" s="363" t="str">
        <f>IF(O44="","",IF(VLOOKUP(O44,'G-7 WaterC'' Data'!$AD$4:$AE$14,2,FALSE)=0,"Spatial Data Missing ⚠",VLOOKUP(O44,'G-7 WaterC'' Data'!$AD$4:$AE$14,2,FALSE)))</f>
        <v/>
      </c>
      <c r="Q44" s="369" t="str">
        <f>IF(D44="","",VLOOKUP(D44,'G-7 WaterC'' Data'!$B$4:$G$8,6,FALSE))</f>
        <v/>
      </c>
      <c r="R44" s="376" t="str">
        <f>IFERROR(IF(D44="","",IF(AND(Q44='G-1 All Habitats'!$X$3,X44&gt;0),Y44+(Z44*T44),IF(AND(Q44='G-1 All Habitats'!$X$3,W44&gt;0),Y44+(Z44*T44),IF(AND(Q44='G-1 All Habitats'!$X$3,AH44&gt;0),"Any Loss Unacceptable ⚠",IF(AND(Q44='G-1 All Habitats'!$X$3,AI44&gt;0),"Any Loss Unacceptable ⚠", E44*G44*I44*L44*N44*P44*T44 ))))),"Check Data ▲")</f>
        <v/>
      </c>
      <c r="S44" s="516"/>
      <c r="T44" s="368" t="str">
        <f>IF(S44="","",IF(VLOOKUP(S44,'G-7 WaterC'' Data'!$AO$4:$BO$7,2,FALSE)=0,"Spatial Data Missing ⚠",VLOOKUP(S44,'G-7 WaterC'' Data'!$AO$4:$BO$7,2,FALSE)))</f>
        <v/>
      </c>
      <c r="U44" s="376" t="str">
        <f>IFERROR(IF(D44="","",IF(AND(Q44='G-1 All Habitats'!$X$3,X44&gt;0),Y44+Z44,IF(AND(Q44='G-1 All Habitats'!$X$3,W44&gt;0),Y44+Z44,IF(AND(Q44='G-1 All Habitats'!$X$3,AH44&gt;0),"Any Loss Unacceptable ⚠",IF(AND(Q44='G-1 All Habitats'!$X$3,AI44&gt;0),"Any Loss Unacceptable ⚠", E44*G44*I44*L44*N44*P44 ))))),"Check Data ▲")</f>
        <v/>
      </c>
      <c r="V44" s="32"/>
      <c r="W44" s="114"/>
      <c r="X44" s="125"/>
      <c r="Y44" s="374" t="str">
        <f t="shared" si="0"/>
        <v/>
      </c>
      <c r="Z44" s="374" t="str">
        <f t="shared" si="1"/>
        <v/>
      </c>
      <c r="AA44" s="374" t="str">
        <f t="shared" si="2"/>
        <v/>
      </c>
      <c r="AB44" s="670" t="str">
        <f t="shared" si="3"/>
        <v/>
      </c>
      <c r="AC44" s="516"/>
      <c r="AD44" s="119"/>
      <c r="AE44" s="120"/>
      <c r="AF44" s="120"/>
      <c r="AG44" s="120"/>
      <c r="AH44" s="57" t="str">
        <f>IF(Q44="","",IF(Q44='G-1 All Habitats'!$X$3,E44-X44-W44,"None"))</f>
        <v/>
      </c>
      <c r="AI44" s="58" t="str">
        <f>IF(Q44="","", IF(Q44='G-1 All Habitats'!$X$3, AH44*G44*I44*L44*N44*P44,"None"))</f>
        <v/>
      </c>
      <c r="AJ44" s="30" t="str">
        <f>IFERROR(INDEX('G-7 WaterC'' Data'!$AZ$3:$AZ$7,MATCH(D44,'G-7 WaterC'' Data'!$AY$3:$AY$7,0)),"")</f>
        <v/>
      </c>
      <c r="AK44" s="30">
        <f t="shared" si="4"/>
        <v>0</v>
      </c>
      <c r="AL44" s="124" t="str">
        <f t="shared" si="5"/>
        <v/>
      </c>
      <c r="AM44" s="124" t="str">
        <f t="shared" si="6"/>
        <v/>
      </c>
      <c r="AO44" s="124">
        <v>35</v>
      </c>
      <c r="AQ44" s="124" t="str">
        <f t="array" ref="AQ44">IFERROR(INDEX($AO$10:$AO$258, MATCH(0, IF(TRUE=$AL$10:$AL$258, COUNTIF($AQ$9:$AQ43, $AO$10:$AO$258), ""), 0)),"")</f>
        <v/>
      </c>
      <c r="AR44" s="124" t="str">
        <f t="array" ref="AR44">IFERROR(INDEX($AO$10:$AO$258, MATCH(0, IF(TRUE=$AM$10:$AM$258, COUNTIF($AR$9:$AR43, $AO$10:$AO$258), ""), 0)),"")</f>
        <v/>
      </c>
      <c r="AZ44" s="802" t="str">
        <f t="shared" si="7"/>
        <v/>
      </c>
    </row>
    <row r="45" spans="3:52" ht="15.75" thickBot="1">
      <c r="C45" s="110">
        <v>36</v>
      </c>
      <c r="D45" s="340"/>
      <c r="E45" s="121"/>
      <c r="F45" s="362" t="str">
        <f>IF(D45="","",VLOOKUP(D45,'G-7 WaterC'' Data'!$B$2:$G$8,2,FALSE))</f>
        <v/>
      </c>
      <c r="G45" s="363" t="str">
        <f>IFERROR(VLOOKUP(F45,'G-7 WaterC'' Data'!$C$4:$D$8,2,FALSE),"")</f>
        <v/>
      </c>
      <c r="H45" s="114"/>
      <c r="I45" s="363" t="str">
        <f>IFERROR(INDEX('G-7 WaterC'' Data'!$H$4:$L$8,MATCH(D45,'G-7 WaterC'' Data'!$B$4:$B$8,0),MATCH(H45,'G-7 WaterC'' Data'!$H$3:$L$3,0)),"")</f>
        <v/>
      </c>
      <c r="J45" s="115"/>
      <c r="K45" s="382" t="str">
        <f>IF(J45="","",IF(VLOOKUP(J45,'G-7 WaterC'' Data'!$AK$4:$AM$9,2,FALSE)=0,"Spatial Data Missing ⚠",VLOOKUP(J45,'G-7 WaterC'' Data'!$AK$4:$AM$6,2,FALSE)))</f>
        <v/>
      </c>
      <c r="L45" s="386" t="str">
        <f>IF(J45="","",IF(VLOOKUP(J45,'G-7 WaterC'' Data'!$AK$4:$AM$9,3,FALSE)=0,"Spatial Data Missing ⚠",VLOOKUP(J45,'G-7 WaterC'' Data'!$AK$4:$AM$6,3,FALSE)))</f>
        <v/>
      </c>
      <c r="M45" s="115"/>
      <c r="N45" s="363" t="str">
        <f>IF(M45="","",IF(VLOOKUP(M45,'G-7 WaterC'' Data'!$AA$4:$AB$7,2,FALSE)=0,"Spatial Data Missing ⚠",VLOOKUP(M45,'G-7 WaterC'' Data'!$AA$4:$AB$7,2,FALSE)))</f>
        <v/>
      </c>
      <c r="O45" s="60"/>
      <c r="P45" s="363" t="str">
        <f>IF(O45="","",IF(VLOOKUP(O45,'G-7 WaterC'' Data'!$AD$4:$AE$14,2,FALSE)=0,"Spatial Data Missing ⚠",VLOOKUP(O45,'G-7 WaterC'' Data'!$AD$4:$AE$14,2,FALSE)))</f>
        <v/>
      </c>
      <c r="Q45" s="369" t="str">
        <f>IF(D45="","",VLOOKUP(D45,'G-7 WaterC'' Data'!$B$4:$G$8,6,FALSE))</f>
        <v/>
      </c>
      <c r="R45" s="376" t="str">
        <f>IFERROR(IF(D45="","",IF(AND(Q45='G-1 All Habitats'!$X$3,X45&gt;0),Y45+(Z45*T45),IF(AND(Q45='G-1 All Habitats'!$X$3,W45&gt;0),Y45+(Z45*T45),IF(AND(Q45='G-1 All Habitats'!$X$3,AH45&gt;0),"Any Loss Unacceptable ⚠",IF(AND(Q45='G-1 All Habitats'!$X$3,AI45&gt;0),"Any Loss Unacceptable ⚠", E45*G45*I45*L45*N45*P45*T45 ))))),"Check Data ▲")</f>
        <v/>
      </c>
      <c r="S45" s="516"/>
      <c r="T45" s="368" t="str">
        <f>IF(S45="","",IF(VLOOKUP(S45,'G-7 WaterC'' Data'!$AO$4:$BO$7,2,FALSE)=0,"Spatial Data Missing ⚠",VLOOKUP(S45,'G-7 WaterC'' Data'!$AO$4:$BO$7,2,FALSE)))</f>
        <v/>
      </c>
      <c r="U45" s="376" t="str">
        <f>IFERROR(IF(D45="","",IF(AND(Q45='G-1 All Habitats'!$X$3,X45&gt;0),Y45+Z45,IF(AND(Q45='G-1 All Habitats'!$X$3,W45&gt;0),Y45+Z45,IF(AND(Q45='G-1 All Habitats'!$X$3,AH45&gt;0),"Any Loss Unacceptable ⚠",IF(AND(Q45='G-1 All Habitats'!$X$3,AI45&gt;0),"Any Loss Unacceptable ⚠", E45*G45*I45*L45*N45*P45 ))))),"Check Data ▲")</f>
        <v/>
      </c>
      <c r="V45" s="32"/>
      <c r="W45" s="114"/>
      <c r="X45" s="125"/>
      <c r="Y45" s="374" t="str">
        <f t="shared" si="0"/>
        <v/>
      </c>
      <c r="Z45" s="374" t="str">
        <f t="shared" si="1"/>
        <v/>
      </c>
      <c r="AA45" s="374" t="str">
        <f t="shared" si="2"/>
        <v/>
      </c>
      <c r="AB45" s="670" t="str">
        <f t="shared" si="3"/>
        <v/>
      </c>
      <c r="AC45" s="516"/>
      <c r="AD45" s="119"/>
      <c r="AE45" s="120"/>
      <c r="AF45" s="120"/>
      <c r="AG45" s="120"/>
      <c r="AH45" s="57" t="str">
        <f>IF(Q45="","",IF(Q45='G-1 All Habitats'!$X$3,E45-X45-W45,"None"))</f>
        <v/>
      </c>
      <c r="AI45" s="58" t="str">
        <f>IF(Q45="","", IF(Q45='G-1 All Habitats'!$X$3, AH45*G45*I45*L45*N45*P45,"None"))</f>
        <v/>
      </c>
      <c r="AJ45" s="30" t="str">
        <f>IFERROR(INDEX('G-7 WaterC'' Data'!$AZ$3:$AZ$7,MATCH(D45,'G-7 WaterC'' Data'!$AY$3:$AY$7,0)),"")</f>
        <v/>
      </c>
      <c r="AK45" s="30">
        <f t="shared" si="4"/>
        <v>0</v>
      </c>
      <c r="AL45" s="124" t="str">
        <f t="shared" si="5"/>
        <v/>
      </c>
      <c r="AM45" s="124" t="str">
        <f t="shared" si="6"/>
        <v/>
      </c>
      <c r="AO45" s="124">
        <v>36</v>
      </c>
      <c r="AQ45" s="124" t="str">
        <f t="array" ref="AQ45">IFERROR(INDEX($AO$10:$AO$258, MATCH(0, IF(TRUE=$AL$10:$AL$258, COUNTIF($AQ$9:$AQ44, $AO$10:$AO$258), ""), 0)),"")</f>
        <v/>
      </c>
      <c r="AR45" s="124" t="str">
        <f t="array" ref="AR45">IFERROR(INDEX($AO$10:$AO$258, MATCH(0, IF(TRUE=$AM$10:$AM$258, COUNTIF($AR$9:$AR44, $AO$10:$AO$258), ""), 0)),"")</f>
        <v/>
      </c>
      <c r="AZ45" s="802" t="str">
        <f t="shared" si="7"/>
        <v/>
      </c>
    </row>
    <row r="46" spans="3:52" ht="15.75" thickBot="1">
      <c r="C46" s="110">
        <v>37</v>
      </c>
      <c r="D46" s="340"/>
      <c r="E46" s="121"/>
      <c r="F46" s="362" t="str">
        <f>IF(D46="","",VLOOKUP(D46,'G-7 WaterC'' Data'!$B$2:$G$8,2,FALSE))</f>
        <v/>
      </c>
      <c r="G46" s="363" t="str">
        <f>IFERROR(VLOOKUP(F46,'G-7 WaterC'' Data'!$C$4:$D$8,2,FALSE),"")</f>
        <v/>
      </c>
      <c r="H46" s="114"/>
      <c r="I46" s="363" t="str">
        <f>IFERROR(INDEX('G-7 WaterC'' Data'!$H$4:$L$8,MATCH(D46,'G-7 WaterC'' Data'!$B$4:$B$8,0),MATCH(H46,'G-7 WaterC'' Data'!$H$3:$L$3,0)),"")</f>
        <v/>
      </c>
      <c r="J46" s="115"/>
      <c r="K46" s="382" t="str">
        <f>IF(J46="","",IF(VLOOKUP(J46,'G-7 WaterC'' Data'!$AK$4:$AM$9,2,FALSE)=0,"Spatial Data Missing ⚠",VLOOKUP(J46,'G-7 WaterC'' Data'!$AK$4:$AM$6,2,FALSE)))</f>
        <v/>
      </c>
      <c r="L46" s="386" t="str">
        <f>IF(J46="","",IF(VLOOKUP(J46,'G-7 WaterC'' Data'!$AK$4:$AM$9,3,FALSE)=0,"Spatial Data Missing ⚠",VLOOKUP(J46,'G-7 WaterC'' Data'!$AK$4:$AM$6,3,FALSE)))</f>
        <v/>
      </c>
      <c r="M46" s="115"/>
      <c r="N46" s="363" t="str">
        <f>IF(M46="","",IF(VLOOKUP(M46,'G-7 WaterC'' Data'!$AA$4:$AB$7,2,FALSE)=0,"Spatial Data Missing ⚠",VLOOKUP(M46,'G-7 WaterC'' Data'!$AA$4:$AB$7,2,FALSE)))</f>
        <v/>
      </c>
      <c r="O46" s="60"/>
      <c r="P46" s="363" t="str">
        <f>IF(O46="","",IF(VLOOKUP(O46,'G-7 WaterC'' Data'!$AD$4:$AE$14,2,FALSE)=0,"Spatial Data Missing ⚠",VLOOKUP(O46,'G-7 WaterC'' Data'!$AD$4:$AE$14,2,FALSE)))</f>
        <v/>
      </c>
      <c r="Q46" s="369" t="str">
        <f>IF(D46="","",VLOOKUP(D46,'G-7 WaterC'' Data'!$B$4:$G$8,6,FALSE))</f>
        <v/>
      </c>
      <c r="R46" s="376" t="str">
        <f>IFERROR(IF(D46="","",IF(AND(Q46='G-1 All Habitats'!$X$3,X46&gt;0),Y46+(Z46*T46),IF(AND(Q46='G-1 All Habitats'!$X$3,W46&gt;0),Y46+(Z46*T46),IF(AND(Q46='G-1 All Habitats'!$X$3,AH46&gt;0),"Any Loss Unacceptable ⚠",IF(AND(Q46='G-1 All Habitats'!$X$3,AI46&gt;0),"Any Loss Unacceptable ⚠", E46*G46*I46*L46*N46*P46*T46 ))))),"Check Data ▲")</f>
        <v/>
      </c>
      <c r="S46" s="516"/>
      <c r="T46" s="368" t="str">
        <f>IF(S46="","",IF(VLOOKUP(S46,'G-7 WaterC'' Data'!$AO$4:$BO$7,2,FALSE)=0,"Spatial Data Missing ⚠",VLOOKUP(S46,'G-7 WaterC'' Data'!$AO$4:$BO$7,2,FALSE)))</f>
        <v/>
      </c>
      <c r="U46" s="376" t="str">
        <f>IFERROR(IF(D46="","",IF(AND(Q46='G-1 All Habitats'!$X$3,X46&gt;0),Y46+Z46,IF(AND(Q46='G-1 All Habitats'!$X$3,W46&gt;0),Y46+Z46,IF(AND(Q46='G-1 All Habitats'!$X$3,AH46&gt;0),"Any Loss Unacceptable ⚠",IF(AND(Q46='G-1 All Habitats'!$X$3,AI46&gt;0),"Any Loss Unacceptable ⚠", E46*G46*I46*L46*N46*P46 ))))),"Check Data ▲")</f>
        <v/>
      </c>
      <c r="V46" s="32"/>
      <c r="W46" s="114"/>
      <c r="X46" s="125"/>
      <c r="Y46" s="374" t="str">
        <f t="shared" si="0"/>
        <v/>
      </c>
      <c r="Z46" s="374" t="str">
        <f t="shared" si="1"/>
        <v/>
      </c>
      <c r="AA46" s="374" t="str">
        <f t="shared" si="2"/>
        <v/>
      </c>
      <c r="AB46" s="670" t="str">
        <f t="shared" si="3"/>
        <v/>
      </c>
      <c r="AC46" s="516"/>
      <c r="AD46" s="119"/>
      <c r="AE46" s="120"/>
      <c r="AF46" s="120"/>
      <c r="AG46" s="120"/>
      <c r="AH46" s="57" t="str">
        <f>IF(Q46="","",IF(Q46='G-1 All Habitats'!$X$3,E46-X46-W46,"None"))</f>
        <v/>
      </c>
      <c r="AI46" s="58" t="str">
        <f>IF(Q46="","", IF(Q46='G-1 All Habitats'!$X$3, AH46*G46*I46*L46*N46*P46,"None"))</f>
        <v/>
      </c>
      <c r="AJ46" s="30" t="str">
        <f>IFERROR(INDEX('G-7 WaterC'' Data'!$AZ$3:$AZ$7,MATCH(D46,'G-7 WaterC'' Data'!$AY$3:$AY$7,0)),"")</f>
        <v/>
      </c>
      <c r="AK46" s="30">
        <f t="shared" si="4"/>
        <v>0</v>
      </c>
      <c r="AL46" s="124" t="str">
        <f t="shared" si="5"/>
        <v/>
      </c>
      <c r="AM46" s="124" t="str">
        <f t="shared" si="6"/>
        <v/>
      </c>
      <c r="AO46" s="124">
        <v>37</v>
      </c>
      <c r="AQ46" s="124" t="str">
        <f t="array" ref="AQ46">IFERROR(INDEX($AO$10:$AO$258, MATCH(0, IF(TRUE=$AL$10:$AL$258, COUNTIF($AQ$9:$AQ45, $AO$10:$AO$258), ""), 0)),"")</f>
        <v/>
      </c>
      <c r="AR46" s="124" t="str">
        <f t="array" ref="AR46">IFERROR(INDEX($AO$10:$AO$258, MATCH(0, IF(TRUE=$AM$10:$AM$258, COUNTIF($AR$9:$AR45, $AO$10:$AO$258), ""), 0)),"")</f>
        <v/>
      </c>
      <c r="AZ46" s="802" t="str">
        <f t="shared" si="7"/>
        <v/>
      </c>
    </row>
    <row r="47" spans="3:52" ht="15.75" thickBot="1">
      <c r="C47" s="110">
        <v>38</v>
      </c>
      <c r="D47" s="340"/>
      <c r="E47" s="121"/>
      <c r="F47" s="362" t="str">
        <f>IF(D47="","",VLOOKUP(D47,'G-7 WaterC'' Data'!$B$2:$G$8,2,FALSE))</f>
        <v/>
      </c>
      <c r="G47" s="363" t="str">
        <f>IFERROR(VLOOKUP(F47,'G-7 WaterC'' Data'!$C$4:$D$8,2,FALSE),"")</f>
        <v/>
      </c>
      <c r="H47" s="114"/>
      <c r="I47" s="363" t="str">
        <f>IFERROR(INDEX('G-7 WaterC'' Data'!$H$4:$L$8,MATCH(D47,'G-7 WaterC'' Data'!$B$4:$B$8,0),MATCH(H47,'G-7 WaterC'' Data'!$H$3:$L$3,0)),"")</f>
        <v/>
      </c>
      <c r="J47" s="115"/>
      <c r="K47" s="382" t="str">
        <f>IF(J47="","",IF(VLOOKUP(J47,'G-7 WaterC'' Data'!$AK$4:$AM$9,2,FALSE)=0,"Spatial Data Missing ⚠",VLOOKUP(J47,'G-7 WaterC'' Data'!$AK$4:$AM$6,2,FALSE)))</f>
        <v/>
      </c>
      <c r="L47" s="386" t="str">
        <f>IF(J47="","",IF(VLOOKUP(J47,'G-7 WaterC'' Data'!$AK$4:$AM$9,3,FALSE)=0,"Spatial Data Missing ⚠",VLOOKUP(J47,'G-7 WaterC'' Data'!$AK$4:$AM$6,3,FALSE)))</f>
        <v/>
      </c>
      <c r="M47" s="115"/>
      <c r="N47" s="363" t="str">
        <f>IF(M47="","",IF(VLOOKUP(M47,'G-7 WaterC'' Data'!$AA$4:$AB$7,2,FALSE)=0,"Spatial Data Missing ⚠",VLOOKUP(M47,'G-7 WaterC'' Data'!$AA$4:$AB$7,2,FALSE)))</f>
        <v/>
      </c>
      <c r="O47" s="60"/>
      <c r="P47" s="363" t="str">
        <f>IF(O47="","",IF(VLOOKUP(O47,'G-7 WaterC'' Data'!$AD$4:$AE$14,2,FALSE)=0,"Spatial Data Missing ⚠",VLOOKUP(O47,'G-7 WaterC'' Data'!$AD$4:$AE$14,2,FALSE)))</f>
        <v/>
      </c>
      <c r="Q47" s="369" t="str">
        <f>IF(D47="","",VLOOKUP(D47,'G-7 WaterC'' Data'!$B$4:$G$8,6,FALSE))</f>
        <v/>
      </c>
      <c r="R47" s="376" t="str">
        <f>IFERROR(IF(D47="","",IF(AND(Q47='G-1 All Habitats'!$X$3,X47&gt;0),Y47+(Z47*T47),IF(AND(Q47='G-1 All Habitats'!$X$3,W47&gt;0),Y47+(Z47*T47),IF(AND(Q47='G-1 All Habitats'!$X$3,AH47&gt;0),"Any Loss Unacceptable ⚠",IF(AND(Q47='G-1 All Habitats'!$X$3,AI47&gt;0),"Any Loss Unacceptable ⚠", E47*G47*I47*L47*N47*P47*T47 ))))),"Check Data ▲")</f>
        <v/>
      </c>
      <c r="S47" s="516"/>
      <c r="T47" s="368" t="str">
        <f>IF(S47="","",IF(VLOOKUP(S47,'G-7 WaterC'' Data'!$AO$4:$BO$7,2,FALSE)=0,"Spatial Data Missing ⚠",VLOOKUP(S47,'G-7 WaterC'' Data'!$AO$4:$BO$7,2,FALSE)))</f>
        <v/>
      </c>
      <c r="U47" s="376" t="str">
        <f>IFERROR(IF(D47="","",IF(AND(Q47='G-1 All Habitats'!$X$3,X47&gt;0),Y47+Z47,IF(AND(Q47='G-1 All Habitats'!$X$3,W47&gt;0),Y47+Z47,IF(AND(Q47='G-1 All Habitats'!$X$3,AH47&gt;0),"Any Loss Unacceptable ⚠",IF(AND(Q47='G-1 All Habitats'!$X$3,AI47&gt;0),"Any Loss Unacceptable ⚠", E47*G47*I47*L47*N47*P47 ))))),"Check Data ▲")</f>
        <v/>
      </c>
      <c r="V47" s="32"/>
      <c r="W47" s="114"/>
      <c r="X47" s="125"/>
      <c r="Y47" s="374" t="str">
        <f t="shared" si="0"/>
        <v/>
      </c>
      <c r="Z47" s="374" t="str">
        <f t="shared" si="1"/>
        <v/>
      </c>
      <c r="AA47" s="374" t="str">
        <f t="shared" si="2"/>
        <v/>
      </c>
      <c r="AB47" s="670" t="str">
        <f t="shared" si="3"/>
        <v/>
      </c>
      <c r="AC47" s="516"/>
      <c r="AD47" s="119"/>
      <c r="AE47" s="120"/>
      <c r="AF47" s="120"/>
      <c r="AG47" s="120"/>
      <c r="AH47" s="57" t="str">
        <f>IF(Q47="","",IF(Q47='G-1 All Habitats'!$X$3,E47-X47-W47,"None"))</f>
        <v/>
      </c>
      <c r="AI47" s="58" t="str">
        <f>IF(Q47="","", IF(Q47='G-1 All Habitats'!$X$3, AH47*G47*I47*L47*N47*P47,"None"))</f>
        <v/>
      </c>
      <c r="AJ47" s="30" t="str">
        <f>IFERROR(INDEX('G-7 WaterC'' Data'!$AZ$3:$AZ$7,MATCH(D47,'G-7 WaterC'' Data'!$AY$3:$AY$7,0)),"")</f>
        <v/>
      </c>
      <c r="AK47" s="30">
        <f t="shared" si="4"/>
        <v>0</v>
      </c>
      <c r="AL47" s="124" t="str">
        <f t="shared" si="5"/>
        <v/>
      </c>
      <c r="AM47" s="124" t="str">
        <f t="shared" si="6"/>
        <v/>
      </c>
      <c r="AO47" s="124">
        <v>38</v>
      </c>
      <c r="AQ47" s="124" t="str">
        <f t="array" ref="AQ47">IFERROR(INDEX($AO$10:$AO$258, MATCH(0, IF(TRUE=$AL$10:$AL$258, COUNTIF($AQ$9:$AQ46, $AO$10:$AO$258), ""), 0)),"")</f>
        <v/>
      </c>
      <c r="AR47" s="124" t="str">
        <f t="array" ref="AR47">IFERROR(INDEX($AO$10:$AO$258, MATCH(0, IF(TRUE=$AM$10:$AM$258, COUNTIF($AR$9:$AR46, $AO$10:$AO$258), ""), 0)),"")</f>
        <v/>
      </c>
      <c r="AZ47" s="802" t="str">
        <f t="shared" si="7"/>
        <v/>
      </c>
    </row>
    <row r="48" spans="3:52" ht="15.75" thickBot="1">
      <c r="C48" s="110">
        <v>39</v>
      </c>
      <c r="D48" s="340"/>
      <c r="E48" s="121"/>
      <c r="F48" s="362" t="str">
        <f>IF(D48="","",VLOOKUP(D48,'G-7 WaterC'' Data'!$B$2:$G$8,2,FALSE))</f>
        <v/>
      </c>
      <c r="G48" s="363" t="str">
        <f>IFERROR(VLOOKUP(F48,'G-7 WaterC'' Data'!$C$4:$D$8,2,FALSE),"")</f>
        <v/>
      </c>
      <c r="H48" s="114"/>
      <c r="I48" s="363" t="str">
        <f>IFERROR(INDEX('G-7 WaterC'' Data'!$H$4:$L$8,MATCH(D48,'G-7 WaterC'' Data'!$B$4:$B$8,0),MATCH(H48,'G-7 WaterC'' Data'!$H$3:$L$3,0)),"")</f>
        <v/>
      </c>
      <c r="J48" s="115"/>
      <c r="K48" s="382" t="str">
        <f>IF(J48="","",IF(VLOOKUP(J48,'G-7 WaterC'' Data'!$AK$4:$AM$9,2,FALSE)=0,"Spatial Data Missing ⚠",VLOOKUP(J48,'G-7 WaterC'' Data'!$AK$4:$AM$6,2,FALSE)))</f>
        <v/>
      </c>
      <c r="L48" s="386" t="str">
        <f>IF(J48="","",IF(VLOOKUP(J48,'G-7 WaterC'' Data'!$AK$4:$AM$9,3,FALSE)=0,"Spatial Data Missing ⚠",VLOOKUP(J48,'G-7 WaterC'' Data'!$AK$4:$AM$6,3,FALSE)))</f>
        <v/>
      </c>
      <c r="M48" s="115"/>
      <c r="N48" s="363" t="str">
        <f>IF(M48="","",IF(VLOOKUP(M48,'G-7 WaterC'' Data'!$AA$4:$AB$7,2,FALSE)=0,"Spatial Data Missing ⚠",VLOOKUP(M48,'G-7 WaterC'' Data'!$AA$4:$AB$7,2,FALSE)))</f>
        <v/>
      </c>
      <c r="O48" s="60"/>
      <c r="P48" s="363" t="str">
        <f>IF(O48="","",IF(VLOOKUP(O48,'G-7 WaterC'' Data'!$AD$4:$AE$14,2,FALSE)=0,"Spatial Data Missing ⚠",VLOOKUP(O48,'G-7 WaterC'' Data'!$AD$4:$AE$14,2,FALSE)))</f>
        <v/>
      </c>
      <c r="Q48" s="369" t="str">
        <f>IF(D48="","",VLOOKUP(D48,'G-7 WaterC'' Data'!$B$4:$G$8,6,FALSE))</f>
        <v/>
      </c>
      <c r="R48" s="376" t="str">
        <f>IFERROR(IF(D48="","",IF(AND(Q48='G-1 All Habitats'!$X$3,X48&gt;0),Y48+(Z48*T48),IF(AND(Q48='G-1 All Habitats'!$X$3,W48&gt;0),Y48+(Z48*T48),IF(AND(Q48='G-1 All Habitats'!$X$3,AH48&gt;0),"Any Loss Unacceptable ⚠",IF(AND(Q48='G-1 All Habitats'!$X$3,AI48&gt;0),"Any Loss Unacceptable ⚠", E48*G48*I48*L48*N48*P48*T48 ))))),"Check Data ▲")</f>
        <v/>
      </c>
      <c r="S48" s="516"/>
      <c r="T48" s="368" t="str">
        <f>IF(S48="","",IF(VLOOKUP(S48,'G-7 WaterC'' Data'!$AO$4:$BO$7,2,FALSE)=0,"Spatial Data Missing ⚠",VLOOKUP(S48,'G-7 WaterC'' Data'!$AO$4:$BO$7,2,FALSE)))</f>
        <v/>
      </c>
      <c r="U48" s="376" t="str">
        <f>IFERROR(IF(D48="","",IF(AND(Q48='G-1 All Habitats'!$X$3,X48&gt;0),Y48+Z48,IF(AND(Q48='G-1 All Habitats'!$X$3,W48&gt;0),Y48+Z48,IF(AND(Q48='G-1 All Habitats'!$X$3,AH48&gt;0),"Any Loss Unacceptable ⚠",IF(AND(Q48='G-1 All Habitats'!$X$3,AI48&gt;0),"Any Loss Unacceptable ⚠", E48*G48*I48*L48*N48*P48 ))))),"Check Data ▲")</f>
        <v/>
      </c>
      <c r="V48" s="32"/>
      <c r="W48" s="114"/>
      <c r="X48" s="125"/>
      <c r="Y48" s="374" t="str">
        <f t="shared" si="0"/>
        <v/>
      </c>
      <c r="Z48" s="374" t="str">
        <f t="shared" si="1"/>
        <v/>
      </c>
      <c r="AA48" s="374" t="str">
        <f t="shared" si="2"/>
        <v/>
      </c>
      <c r="AB48" s="670" t="str">
        <f t="shared" si="3"/>
        <v/>
      </c>
      <c r="AC48" s="516"/>
      <c r="AD48" s="119"/>
      <c r="AE48" s="120"/>
      <c r="AF48" s="120"/>
      <c r="AG48" s="120"/>
      <c r="AH48" s="57" t="str">
        <f>IF(Q48="","",IF(Q48='G-1 All Habitats'!$X$3,E48-X48-W48,"None"))</f>
        <v/>
      </c>
      <c r="AI48" s="58" t="str">
        <f>IF(Q48="","", IF(Q48='G-1 All Habitats'!$X$3, AH48*G48*I48*L48*N48*P48,"None"))</f>
        <v/>
      </c>
      <c r="AJ48" s="30" t="str">
        <f>IFERROR(INDEX('G-7 WaterC'' Data'!$AZ$3:$AZ$7,MATCH(D48,'G-7 WaterC'' Data'!$AY$3:$AY$7,0)),"")</f>
        <v/>
      </c>
      <c r="AK48" s="30">
        <f t="shared" si="4"/>
        <v>0</v>
      </c>
      <c r="AL48" s="124" t="str">
        <f t="shared" si="5"/>
        <v/>
      </c>
      <c r="AM48" s="124" t="str">
        <f t="shared" si="6"/>
        <v/>
      </c>
      <c r="AO48" s="124">
        <v>39</v>
      </c>
      <c r="AQ48" s="124" t="str">
        <f t="array" ref="AQ48">IFERROR(INDEX($AO$10:$AO$258, MATCH(0, IF(TRUE=$AL$10:$AL$258, COUNTIF($AQ$9:$AQ47, $AO$10:$AO$258), ""), 0)),"")</f>
        <v/>
      </c>
      <c r="AR48" s="124" t="str">
        <f t="array" ref="AR48">IFERROR(INDEX($AO$10:$AO$258, MATCH(0, IF(TRUE=$AM$10:$AM$258, COUNTIF($AR$9:$AR47, $AO$10:$AO$258), ""), 0)),"")</f>
        <v/>
      </c>
      <c r="AZ48" s="802" t="str">
        <f t="shared" si="7"/>
        <v/>
      </c>
    </row>
    <row r="49" spans="3:52" ht="15.75" thickBot="1">
      <c r="C49" s="110">
        <v>40</v>
      </c>
      <c r="D49" s="340"/>
      <c r="E49" s="121"/>
      <c r="F49" s="362" t="str">
        <f>IF(D49="","",VLOOKUP(D49,'G-7 WaterC'' Data'!$B$2:$G$8,2,FALSE))</f>
        <v/>
      </c>
      <c r="G49" s="363" t="str">
        <f>IFERROR(VLOOKUP(F49,'G-7 WaterC'' Data'!$C$4:$D$8,2,FALSE),"")</f>
        <v/>
      </c>
      <c r="H49" s="114"/>
      <c r="I49" s="363" t="str">
        <f>IFERROR(INDEX('G-7 WaterC'' Data'!$H$4:$L$8,MATCH(D49,'G-7 WaterC'' Data'!$B$4:$B$8,0),MATCH(H49,'G-7 WaterC'' Data'!$H$3:$L$3,0)),"")</f>
        <v/>
      </c>
      <c r="J49" s="115"/>
      <c r="K49" s="382" t="str">
        <f>IF(J49="","",IF(VLOOKUP(J49,'G-7 WaterC'' Data'!$AK$4:$AM$9,2,FALSE)=0,"Spatial Data Missing ⚠",VLOOKUP(J49,'G-7 WaterC'' Data'!$AK$4:$AM$6,2,FALSE)))</f>
        <v/>
      </c>
      <c r="L49" s="386" t="str">
        <f>IF(J49="","",IF(VLOOKUP(J49,'G-7 WaterC'' Data'!$AK$4:$AM$9,3,FALSE)=0,"Spatial Data Missing ⚠",VLOOKUP(J49,'G-7 WaterC'' Data'!$AK$4:$AM$6,3,FALSE)))</f>
        <v/>
      </c>
      <c r="M49" s="115"/>
      <c r="N49" s="363" t="str">
        <f>IF(M49="","",IF(VLOOKUP(M49,'G-7 WaterC'' Data'!$AA$4:$AB$7,2,FALSE)=0,"Spatial Data Missing ⚠",VLOOKUP(M49,'G-7 WaterC'' Data'!$AA$4:$AB$7,2,FALSE)))</f>
        <v/>
      </c>
      <c r="O49" s="60"/>
      <c r="P49" s="363" t="str">
        <f>IF(O49="","",IF(VLOOKUP(O49,'G-7 WaterC'' Data'!$AD$4:$AE$14,2,FALSE)=0,"Spatial Data Missing ⚠",VLOOKUP(O49,'G-7 WaterC'' Data'!$AD$4:$AE$14,2,FALSE)))</f>
        <v/>
      </c>
      <c r="Q49" s="369" t="str">
        <f>IF(D49="","",VLOOKUP(D49,'G-7 WaterC'' Data'!$B$4:$G$8,6,FALSE))</f>
        <v/>
      </c>
      <c r="R49" s="376" t="str">
        <f>IFERROR(IF(D49="","",IF(AND(Q49='G-1 All Habitats'!$X$3,X49&gt;0),Y49+(Z49*T49),IF(AND(Q49='G-1 All Habitats'!$X$3,W49&gt;0),Y49+(Z49*T49),IF(AND(Q49='G-1 All Habitats'!$X$3,AH49&gt;0),"Any Loss Unacceptable ⚠",IF(AND(Q49='G-1 All Habitats'!$X$3,AI49&gt;0),"Any Loss Unacceptable ⚠", E49*G49*I49*L49*N49*P49*T49 ))))),"Check Data ▲")</f>
        <v/>
      </c>
      <c r="S49" s="516"/>
      <c r="T49" s="368" t="str">
        <f>IF(S49="","",IF(VLOOKUP(S49,'G-7 WaterC'' Data'!$AO$4:$BO$7,2,FALSE)=0,"Spatial Data Missing ⚠",VLOOKUP(S49,'G-7 WaterC'' Data'!$AO$4:$BO$7,2,FALSE)))</f>
        <v/>
      </c>
      <c r="U49" s="376" t="str">
        <f>IFERROR(IF(D49="","",IF(AND(Q49='G-1 All Habitats'!$X$3,X49&gt;0),Y49+Z49,IF(AND(Q49='G-1 All Habitats'!$X$3,W49&gt;0),Y49+Z49,IF(AND(Q49='G-1 All Habitats'!$X$3,AH49&gt;0),"Any Loss Unacceptable ⚠",IF(AND(Q49='G-1 All Habitats'!$X$3,AI49&gt;0),"Any Loss Unacceptable ⚠", E49*G49*I49*L49*N49*P49 ))))),"Check Data ▲")</f>
        <v/>
      </c>
      <c r="V49" s="32"/>
      <c r="W49" s="114"/>
      <c r="X49" s="125"/>
      <c r="Y49" s="374" t="str">
        <f t="shared" si="0"/>
        <v/>
      </c>
      <c r="Z49" s="374" t="str">
        <f t="shared" si="1"/>
        <v/>
      </c>
      <c r="AA49" s="374" t="str">
        <f t="shared" si="2"/>
        <v/>
      </c>
      <c r="AB49" s="670" t="str">
        <f t="shared" si="3"/>
        <v/>
      </c>
      <c r="AC49" s="516"/>
      <c r="AD49" s="119"/>
      <c r="AE49" s="120"/>
      <c r="AF49" s="120"/>
      <c r="AG49" s="120"/>
      <c r="AH49" s="57" t="str">
        <f>IF(Q49="","",IF(Q49='G-1 All Habitats'!$X$3,E49-X49-W49,"None"))</f>
        <v/>
      </c>
      <c r="AI49" s="58" t="str">
        <f>IF(Q49="","", IF(Q49='G-1 All Habitats'!$X$3, AH49*G49*I49*L49*N49*P49,"None"))</f>
        <v/>
      </c>
      <c r="AJ49" s="30" t="str">
        <f>IFERROR(INDEX('G-7 WaterC'' Data'!$AZ$3:$AZ$7,MATCH(D49,'G-7 WaterC'' Data'!$AY$3:$AY$7,0)),"")</f>
        <v/>
      </c>
      <c r="AK49" s="30">
        <f t="shared" si="4"/>
        <v>0</v>
      </c>
      <c r="AL49" s="124" t="str">
        <f t="shared" si="5"/>
        <v/>
      </c>
      <c r="AM49" s="124" t="str">
        <f t="shared" si="6"/>
        <v/>
      </c>
      <c r="AO49" s="124">
        <v>40</v>
      </c>
      <c r="AQ49" s="124" t="str">
        <f t="array" ref="AQ49">IFERROR(INDEX($AO$10:$AO$258, MATCH(0, IF(TRUE=$AL$10:$AL$258, COUNTIF($AQ$9:$AQ48, $AO$10:$AO$258), ""), 0)),"")</f>
        <v/>
      </c>
      <c r="AR49" s="124" t="str">
        <f t="array" ref="AR49">IFERROR(INDEX($AO$10:$AO$258, MATCH(0, IF(TRUE=$AM$10:$AM$258, COUNTIF($AR$9:$AR48, $AO$10:$AO$258), ""), 0)),"")</f>
        <v/>
      </c>
      <c r="AZ49" s="802" t="str">
        <f t="shared" si="7"/>
        <v/>
      </c>
    </row>
    <row r="50" spans="3:52" ht="15.75" thickBot="1">
      <c r="C50" s="110">
        <v>41</v>
      </c>
      <c r="D50" s="340"/>
      <c r="E50" s="121"/>
      <c r="F50" s="362" t="str">
        <f>IF(D50="","",VLOOKUP(D50,'G-7 WaterC'' Data'!$B$2:$G$8,2,FALSE))</f>
        <v/>
      </c>
      <c r="G50" s="363" t="str">
        <f>IFERROR(VLOOKUP(F50,'G-7 WaterC'' Data'!$C$4:$D$8,2,FALSE),"")</f>
        <v/>
      </c>
      <c r="H50" s="114"/>
      <c r="I50" s="363" t="str">
        <f>IFERROR(INDEX('G-7 WaterC'' Data'!$H$4:$L$8,MATCH(D50,'G-7 WaterC'' Data'!$B$4:$B$8,0),MATCH(H50,'G-7 WaterC'' Data'!$H$3:$L$3,0)),"")</f>
        <v/>
      </c>
      <c r="J50" s="115"/>
      <c r="K50" s="382" t="str">
        <f>IF(J50="","",IF(VLOOKUP(J50,'G-7 WaterC'' Data'!$AK$4:$AM$9,2,FALSE)=0,"Spatial Data Missing ⚠",VLOOKUP(J50,'G-7 WaterC'' Data'!$AK$4:$AM$6,2,FALSE)))</f>
        <v/>
      </c>
      <c r="L50" s="386" t="str">
        <f>IF(J50="","",IF(VLOOKUP(J50,'G-7 WaterC'' Data'!$AK$4:$AM$9,3,FALSE)=0,"Spatial Data Missing ⚠",VLOOKUP(J50,'G-7 WaterC'' Data'!$AK$4:$AM$6,3,FALSE)))</f>
        <v/>
      </c>
      <c r="M50" s="115"/>
      <c r="N50" s="363" t="str">
        <f>IF(M50="","",IF(VLOOKUP(M50,'G-7 WaterC'' Data'!$AA$4:$AB$7,2,FALSE)=0,"Spatial Data Missing ⚠",VLOOKUP(M50,'G-7 WaterC'' Data'!$AA$4:$AB$7,2,FALSE)))</f>
        <v/>
      </c>
      <c r="O50" s="60"/>
      <c r="P50" s="363" t="str">
        <f>IF(O50="","",IF(VLOOKUP(O50,'G-7 WaterC'' Data'!$AD$4:$AE$14,2,FALSE)=0,"Spatial Data Missing ⚠",VLOOKUP(O50,'G-7 WaterC'' Data'!$AD$4:$AE$14,2,FALSE)))</f>
        <v/>
      </c>
      <c r="Q50" s="369" t="str">
        <f>IF(D50="","",VLOOKUP(D50,'G-7 WaterC'' Data'!$B$4:$G$8,6,FALSE))</f>
        <v/>
      </c>
      <c r="R50" s="376" t="str">
        <f>IFERROR(IF(D50="","",IF(AND(Q50='G-1 All Habitats'!$X$3,X50&gt;0),Y50+(Z50*T50),IF(AND(Q50='G-1 All Habitats'!$X$3,W50&gt;0),Y50+(Z50*T50),IF(AND(Q50='G-1 All Habitats'!$X$3,AH50&gt;0),"Any Loss Unacceptable ⚠",IF(AND(Q50='G-1 All Habitats'!$X$3,AI50&gt;0),"Any Loss Unacceptable ⚠", E50*G50*I50*L50*N50*P50*T50 ))))),"Check Data ▲")</f>
        <v/>
      </c>
      <c r="S50" s="516"/>
      <c r="T50" s="368" t="str">
        <f>IF(S50="","",IF(VLOOKUP(S50,'G-7 WaterC'' Data'!$AO$4:$BO$7,2,FALSE)=0,"Spatial Data Missing ⚠",VLOOKUP(S50,'G-7 WaterC'' Data'!$AO$4:$BO$7,2,FALSE)))</f>
        <v/>
      </c>
      <c r="U50" s="376" t="str">
        <f>IFERROR(IF(D50="","",IF(AND(Q50='G-1 All Habitats'!$X$3,X50&gt;0),Y50+Z50,IF(AND(Q50='G-1 All Habitats'!$X$3,W50&gt;0),Y50+Z50,IF(AND(Q50='G-1 All Habitats'!$X$3,AH50&gt;0),"Any Loss Unacceptable ⚠",IF(AND(Q50='G-1 All Habitats'!$X$3,AI50&gt;0),"Any Loss Unacceptable ⚠", E50*G50*I50*L50*N50*P50 ))))),"Check Data ▲")</f>
        <v/>
      </c>
      <c r="V50" s="32"/>
      <c r="W50" s="114"/>
      <c r="X50" s="125"/>
      <c r="Y50" s="374" t="str">
        <f t="shared" si="0"/>
        <v/>
      </c>
      <c r="Z50" s="374" t="str">
        <f t="shared" si="1"/>
        <v/>
      </c>
      <c r="AA50" s="374" t="str">
        <f t="shared" si="2"/>
        <v/>
      </c>
      <c r="AB50" s="670" t="str">
        <f t="shared" si="3"/>
        <v/>
      </c>
      <c r="AC50" s="516"/>
      <c r="AD50" s="119"/>
      <c r="AE50" s="120"/>
      <c r="AF50" s="120"/>
      <c r="AG50" s="120"/>
      <c r="AH50" s="57" t="str">
        <f>IF(Q50="","",IF(Q50='G-1 All Habitats'!$X$3,E50-X50-W50,"None"))</f>
        <v/>
      </c>
      <c r="AI50" s="58" t="str">
        <f>IF(Q50="","", IF(Q50='G-1 All Habitats'!$X$3, AH50*G50*I50*L50*N50*P50,"None"))</f>
        <v/>
      </c>
      <c r="AJ50" s="30" t="str">
        <f>IFERROR(INDEX('G-7 WaterC'' Data'!$AZ$3:$AZ$7,MATCH(D50,'G-7 WaterC'' Data'!$AY$3:$AY$7,0)),"")</f>
        <v/>
      </c>
      <c r="AK50" s="30">
        <f t="shared" si="4"/>
        <v>0</v>
      </c>
      <c r="AL50" s="124" t="str">
        <f t="shared" si="5"/>
        <v/>
      </c>
      <c r="AM50" s="124" t="str">
        <f t="shared" si="6"/>
        <v/>
      </c>
      <c r="AO50" s="124">
        <v>41</v>
      </c>
      <c r="AQ50" s="124" t="str">
        <f t="array" ref="AQ50">IFERROR(INDEX($AO$10:$AO$258, MATCH(0, IF(TRUE=$AL$10:$AL$258, COUNTIF($AQ$9:$AQ49, $AO$10:$AO$258), ""), 0)),"")</f>
        <v/>
      </c>
      <c r="AR50" s="124" t="str">
        <f t="array" ref="AR50">IFERROR(INDEX($AO$10:$AO$258, MATCH(0, IF(TRUE=$AM$10:$AM$258, COUNTIF($AR$9:$AR49, $AO$10:$AO$258), ""), 0)),"")</f>
        <v/>
      </c>
      <c r="AZ50" s="802" t="str">
        <f t="shared" si="7"/>
        <v/>
      </c>
    </row>
    <row r="51" spans="3:52" ht="15.75" thickBot="1">
      <c r="C51" s="110">
        <v>42</v>
      </c>
      <c r="D51" s="340"/>
      <c r="E51" s="121"/>
      <c r="F51" s="362" t="str">
        <f>IF(D51="","",VLOOKUP(D51,'G-7 WaterC'' Data'!$B$2:$G$8,2,FALSE))</f>
        <v/>
      </c>
      <c r="G51" s="363" t="str">
        <f>IFERROR(VLOOKUP(F51,'G-7 WaterC'' Data'!$C$4:$D$8,2,FALSE),"")</f>
        <v/>
      </c>
      <c r="H51" s="114"/>
      <c r="I51" s="363" t="str">
        <f>IFERROR(INDEX('G-7 WaterC'' Data'!$H$4:$L$8,MATCH(D51,'G-7 WaterC'' Data'!$B$4:$B$8,0),MATCH(H51,'G-7 WaterC'' Data'!$H$3:$L$3,0)),"")</f>
        <v/>
      </c>
      <c r="J51" s="115"/>
      <c r="K51" s="382" t="str">
        <f>IF(J51="","",IF(VLOOKUP(J51,'G-7 WaterC'' Data'!$AK$4:$AM$9,2,FALSE)=0,"Spatial Data Missing ⚠",VLOOKUP(J51,'G-7 WaterC'' Data'!$AK$4:$AM$6,2,FALSE)))</f>
        <v/>
      </c>
      <c r="L51" s="386" t="str">
        <f>IF(J51="","",IF(VLOOKUP(J51,'G-7 WaterC'' Data'!$AK$4:$AM$9,3,FALSE)=0,"Spatial Data Missing ⚠",VLOOKUP(J51,'G-7 WaterC'' Data'!$AK$4:$AM$6,3,FALSE)))</f>
        <v/>
      </c>
      <c r="M51" s="115"/>
      <c r="N51" s="363" t="str">
        <f>IF(M51="","",IF(VLOOKUP(M51,'G-7 WaterC'' Data'!$AA$4:$AB$7,2,FALSE)=0,"Spatial Data Missing ⚠",VLOOKUP(M51,'G-7 WaterC'' Data'!$AA$4:$AB$7,2,FALSE)))</f>
        <v/>
      </c>
      <c r="O51" s="60"/>
      <c r="P51" s="363" t="str">
        <f>IF(O51="","",IF(VLOOKUP(O51,'G-7 WaterC'' Data'!$AD$4:$AE$14,2,FALSE)=0,"Spatial Data Missing ⚠",VLOOKUP(O51,'G-7 WaterC'' Data'!$AD$4:$AE$14,2,FALSE)))</f>
        <v/>
      </c>
      <c r="Q51" s="369" t="str">
        <f>IF(D51="","",VLOOKUP(D51,'G-7 WaterC'' Data'!$B$4:$G$8,6,FALSE))</f>
        <v/>
      </c>
      <c r="R51" s="376" t="str">
        <f>IFERROR(IF(D51="","",IF(AND(Q51='G-1 All Habitats'!$X$3,X51&gt;0),Y51+(Z51*T51),IF(AND(Q51='G-1 All Habitats'!$X$3,W51&gt;0),Y51+(Z51*T51),IF(AND(Q51='G-1 All Habitats'!$X$3,AH51&gt;0),"Any Loss Unacceptable ⚠",IF(AND(Q51='G-1 All Habitats'!$X$3,AI51&gt;0),"Any Loss Unacceptable ⚠", E51*G51*I51*L51*N51*P51*T51 ))))),"Check Data ▲")</f>
        <v/>
      </c>
      <c r="S51" s="516"/>
      <c r="T51" s="368" t="str">
        <f>IF(S51="","",IF(VLOOKUP(S51,'G-7 WaterC'' Data'!$AO$4:$BO$7,2,FALSE)=0,"Spatial Data Missing ⚠",VLOOKUP(S51,'G-7 WaterC'' Data'!$AO$4:$BO$7,2,FALSE)))</f>
        <v/>
      </c>
      <c r="U51" s="376" t="str">
        <f>IFERROR(IF(D51="","",IF(AND(Q51='G-1 All Habitats'!$X$3,X51&gt;0),Y51+Z51,IF(AND(Q51='G-1 All Habitats'!$X$3,W51&gt;0),Y51+Z51,IF(AND(Q51='G-1 All Habitats'!$X$3,AH51&gt;0),"Any Loss Unacceptable ⚠",IF(AND(Q51='G-1 All Habitats'!$X$3,AI51&gt;0),"Any Loss Unacceptable ⚠", E51*G51*I51*L51*N51*P51 ))))),"Check Data ▲")</f>
        <v/>
      </c>
      <c r="V51" s="32"/>
      <c r="W51" s="114"/>
      <c r="X51" s="125"/>
      <c r="Y51" s="374" t="str">
        <f t="shared" si="0"/>
        <v/>
      </c>
      <c r="Z51" s="374" t="str">
        <f t="shared" si="1"/>
        <v/>
      </c>
      <c r="AA51" s="374" t="str">
        <f t="shared" si="2"/>
        <v/>
      </c>
      <c r="AB51" s="670" t="str">
        <f t="shared" si="3"/>
        <v/>
      </c>
      <c r="AC51" s="516"/>
      <c r="AD51" s="119"/>
      <c r="AE51" s="120"/>
      <c r="AF51" s="120"/>
      <c r="AG51" s="120"/>
      <c r="AH51" s="57" t="str">
        <f>IF(Q51="","",IF(Q51='G-1 All Habitats'!$X$3,E51-X51-W51,"None"))</f>
        <v/>
      </c>
      <c r="AI51" s="58" t="str">
        <f>IF(Q51="","", IF(Q51='G-1 All Habitats'!$X$3, AH51*G51*I51*L51*N51*P51,"None"))</f>
        <v/>
      </c>
      <c r="AJ51" s="30" t="str">
        <f>IFERROR(INDEX('G-7 WaterC'' Data'!$AZ$3:$AZ$7,MATCH(D51,'G-7 WaterC'' Data'!$AY$3:$AY$7,0)),"")</f>
        <v/>
      </c>
      <c r="AK51" s="30">
        <f t="shared" si="4"/>
        <v>0</v>
      </c>
      <c r="AL51" s="124" t="str">
        <f t="shared" si="5"/>
        <v/>
      </c>
      <c r="AM51" s="124" t="str">
        <f t="shared" si="6"/>
        <v/>
      </c>
      <c r="AO51" s="124">
        <v>42</v>
      </c>
      <c r="AQ51" s="124" t="str">
        <f t="array" ref="AQ51">IFERROR(INDEX($AO$10:$AO$258, MATCH(0, IF(TRUE=$AL$10:$AL$258, COUNTIF($AQ$9:$AQ50, $AO$10:$AO$258), ""), 0)),"")</f>
        <v/>
      </c>
      <c r="AR51" s="124" t="str">
        <f t="array" ref="AR51">IFERROR(INDEX($AO$10:$AO$258, MATCH(0, IF(TRUE=$AM$10:$AM$258, COUNTIF($AR$9:$AR50, $AO$10:$AO$258), ""), 0)),"")</f>
        <v/>
      </c>
      <c r="AZ51" s="802" t="str">
        <f t="shared" si="7"/>
        <v/>
      </c>
    </row>
    <row r="52" spans="3:52" ht="15.75" thickBot="1">
      <c r="C52" s="110">
        <v>43</v>
      </c>
      <c r="D52" s="340"/>
      <c r="E52" s="121"/>
      <c r="F52" s="362" t="str">
        <f>IF(D52="","",VLOOKUP(D52,'G-7 WaterC'' Data'!$B$2:$G$8,2,FALSE))</f>
        <v/>
      </c>
      <c r="G52" s="363" t="str">
        <f>IFERROR(VLOOKUP(F52,'G-7 WaterC'' Data'!$C$4:$D$8,2,FALSE),"")</f>
        <v/>
      </c>
      <c r="H52" s="114"/>
      <c r="I52" s="363" t="str">
        <f>IFERROR(INDEX('G-7 WaterC'' Data'!$H$4:$L$8,MATCH(D52,'G-7 WaterC'' Data'!$B$4:$B$8,0),MATCH(H52,'G-7 WaterC'' Data'!$H$3:$L$3,0)),"")</f>
        <v/>
      </c>
      <c r="J52" s="115"/>
      <c r="K52" s="382" t="str">
        <f>IF(J52="","",IF(VLOOKUP(J52,'G-7 WaterC'' Data'!$AK$4:$AM$9,2,FALSE)=0,"Spatial Data Missing ⚠",VLOOKUP(J52,'G-7 WaterC'' Data'!$AK$4:$AM$6,2,FALSE)))</f>
        <v/>
      </c>
      <c r="L52" s="386" t="str">
        <f>IF(J52="","",IF(VLOOKUP(J52,'G-7 WaterC'' Data'!$AK$4:$AM$9,3,FALSE)=0,"Spatial Data Missing ⚠",VLOOKUP(J52,'G-7 WaterC'' Data'!$AK$4:$AM$6,3,FALSE)))</f>
        <v/>
      </c>
      <c r="M52" s="115"/>
      <c r="N52" s="363" t="str">
        <f>IF(M52="","",IF(VLOOKUP(M52,'G-7 WaterC'' Data'!$AA$4:$AB$7,2,FALSE)=0,"Spatial Data Missing ⚠",VLOOKUP(M52,'G-7 WaterC'' Data'!$AA$4:$AB$7,2,FALSE)))</f>
        <v/>
      </c>
      <c r="O52" s="60"/>
      <c r="P52" s="363" t="str">
        <f>IF(O52="","",IF(VLOOKUP(O52,'G-7 WaterC'' Data'!$AD$4:$AE$14,2,FALSE)=0,"Spatial Data Missing ⚠",VLOOKUP(O52,'G-7 WaterC'' Data'!$AD$4:$AE$14,2,FALSE)))</f>
        <v/>
      </c>
      <c r="Q52" s="369" t="str">
        <f>IF(D52="","",VLOOKUP(D52,'G-7 WaterC'' Data'!$B$4:$G$8,6,FALSE))</f>
        <v/>
      </c>
      <c r="R52" s="376" t="str">
        <f>IFERROR(IF(D52="","",IF(AND(Q52='G-1 All Habitats'!$X$3,X52&gt;0),Y52+(Z52*T52),IF(AND(Q52='G-1 All Habitats'!$X$3,W52&gt;0),Y52+(Z52*T52),IF(AND(Q52='G-1 All Habitats'!$X$3,AH52&gt;0),"Any Loss Unacceptable ⚠",IF(AND(Q52='G-1 All Habitats'!$X$3,AI52&gt;0),"Any Loss Unacceptable ⚠", E52*G52*I52*L52*N52*P52*T52 ))))),"Check Data ▲")</f>
        <v/>
      </c>
      <c r="S52" s="516"/>
      <c r="T52" s="368" t="str">
        <f>IF(S52="","",IF(VLOOKUP(S52,'G-7 WaterC'' Data'!$AO$4:$BO$7,2,FALSE)=0,"Spatial Data Missing ⚠",VLOOKUP(S52,'G-7 WaterC'' Data'!$AO$4:$BO$7,2,FALSE)))</f>
        <v/>
      </c>
      <c r="U52" s="376" t="str">
        <f>IFERROR(IF(D52="","",IF(AND(Q52='G-1 All Habitats'!$X$3,X52&gt;0),Y52+Z52,IF(AND(Q52='G-1 All Habitats'!$X$3,W52&gt;0),Y52+Z52,IF(AND(Q52='G-1 All Habitats'!$X$3,AH52&gt;0),"Any Loss Unacceptable ⚠",IF(AND(Q52='G-1 All Habitats'!$X$3,AI52&gt;0),"Any Loss Unacceptable ⚠", E52*G52*I52*L52*N52*P52 ))))),"Check Data ▲")</f>
        <v/>
      </c>
      <c r="V52" s="32"/>
      <c r="W52" s="114"/>
      <c r="X52" s="125"/>
      <c r="Y52" s="374" t="str">
        <f t="shared" si="0"/>
        <v/>
      </c>
      <c r="Z52" s="374" t="str">
        <f t="shared" si="1"/>
        <v/>
      </c>
      <c r="AA52" s="374" t="str">
        <f t="shared" si="2"/>
        <v/>
      </c>
      <c r="AB52" s="670" t="str">
        <f t="shared" si="3"/>
        <v/>
      </c>
      <c r="AC52" s="516"/>
      <c r="AD52" s="119"/>
      <c r="AE52" s="120"/>
      <c r="AF52" s="120"/>
      <c r="AG52" s="120"/>
      <c r="AH52" s="57" t="str">
        <f>IF(Q52="","",IF(Q52='G-1 All Habitats'!$X$3,E52-X52-W52,"None"))</f>
        <v/>
      </c>
      <c r="AI52" s="58" t="str">
        <f>IF(Q52="","", IF(Q52='G-1 All Habitats'!$X$3, AH52*G52*I52*L52*N52*P52,"None"))</f>
        <v/>
      </c>
      <c r="AJ52" s="30" t="str">
        <f>IFERROR(INDEX('G-7 WaterC'' Data'!$AZ$3:$AZ$7,MATCH(D52,'G-7 WaterC'' Data'!$AY$3:$AY$7,0)),"")</f>
        <v/>
      </c>
      <c r="AK52" s="30">
        <f t="shared" si="4"/>
        <v>0</v>
      </c>
      <c r="AL52" s="124" t="str">
        <f t="shared" si="5"/>
        <v/>
      </c>
      <c r="AM52" s="124" t="str">
        <f t="shared" si="6"/>
        <v/>
      </c>
      <c r="AO52" s="124">
        <v>43</v>
      </c>
      <c r="AQ52" s="124" t="str">
        <f t="array" ref="AQ52">IFERROR(INDEX($AO$10:$AO$258, MATCH(0, IF(TRUE=$AL$10:$AL$258, COUNTIF($AQ$9:$AQ51, $AO$10:$AO$258), ""), 0)),"")</f>
        <v/>
      </c>
      <c r="AR52" s="124" t="str">
        <f t="array" ref="AR52">IFERROR(INDEX($AO$10:$AO$258, MATCH(0, IF(TRUE=$AM$10:$AM$258, COUNTIF($AR$9:$AR51, $AO$10:$AO$258), ""), 0)),"")</f>
        <v/>
      </c>
      <c r="AZ52" s="802" t="str">
        <f t="shared" si="7"/>
        <v/>
      </c>
    </row>
    <row r="53" spans="3:52" ht="15.75" thickBot="1">
      <c r="C53" s="110">
        <v>44</v>
      </c>
      <c r="D53" s="340"/>
      <c r="E53" s="121"/>
      <c r="F53" s="362" t="str">
        <f>IF(D53="","",VLOOKUP(D53,'G-7 WaterC'' Data'!$B$2:$G$8,2,FALSE))</f>
        <v/>
      </c>
      <c r="G53" s="363" t="str">
        <f>IFERROR(VLOOKUP(F53,'G-7 WaterC'' Data'!$C$4:$D$8,2,FALSE),"")</f>
        <v/>
      </c>
      <c r="H53" s="114"/>
      <c r="I53" s="363" t="str">
        <f>IFERROR(INDEX('G-7 WaterC'' Data'!$H$4:$L$8,MATCH(D53,'G-7 WaterC'' Data'!$B$4:$B$8,0),MATCH(H53,'G-7 WaterC'' Data'!$H$3:$L$3,0)),"")</f>
        <v/>
      </c>
      <c r="J53" s="115"/>
      <c r="K53" s="382" t="str">
        <f>IF(J53="","",IF(VLOOKUP(J53,'G-7 WaterC'' Data'!$AK$4:$AM$9,2,FALSE)=0,"Spatial Data Missing ⚠",VLOOKUP(J53,'G-7 WaterC'' Data'!$AK$4:$AM$6,2,FALSE)))</f>
        <v/>
      </c>
      <c r="L53" s="386" t="str">
        <f>IF(J53="","",IF(VLOOKUP(J53,'G-7 WaterC'' Data'!$AK$4:$AM$9,3,FALSE)=0,"Spatial Data Missing ⚠",VLOOKUP(J53,'G-7 WaterC'' Data'!$AK$4:$AM$6,3,FALSE)))</f>
        <v/>
      </c>
      <c r="M53" s="115"/>
      <c r="N53" s="363" t="str">
        <f>IF(M53="","",IF(VLOOKUP(M53,'G-7 WaterC'' Data'!$AA$4:$AB$7,2,FALSE)=0,"Spatial Data Missing ⚠",VLOOKUP(M53,'G-7 WaterC'' Data'!$AA$4:$AB$7,2,FALSE)))</f>
        <v/>
      </c>
      <c r="O53" s="60"/>
      <c r="P53" s="363" t="str">
        <f>IF(O53="","",IF(VLOOKUP(O53,'G-7 WaterC'' Data'!$AD$4:$AE$14,2,FALSE)=0,"Spatial Data Missing ⚠",VLOOKUP(O53,'G-7 WaterC'' Data'!$AD$4:$AE$14,2,FALSE)))</f>
        <v/>
      </c>
      <c r="Q53" s="369" t="str">
        <f>IF(D53="","",VLOOKUP(D53,'G-7 WaterC'' Data'!$B$4:$G$8,6,FALSE))</f>
        <v/>
      </c>
      <c r="R53" s="376" t="str">
        <f>IFERROR(IF(D53="","",IF(AND(Q53='G-1 All Habitats'!$X$3,X53&gt;0),Y53+(Z53*T53),IF(AND(Q53='G-1 All Habitats'!$X$3,W53&gt;0),Y53+(Z53*T53),IF(AND(Q53='G-1 All Habitats'!$X$3,AH53&gt;0),"Any Loss Unacceptable ⚠",IF(AND(Q53='G-1 All Habitats'!$X$3,AI53&gt;0),"Any Loss Unacceptable ⚠", E53*G53*I53*L53*N53*P53*T53 ))))),"Check Data ▲")</f>
        <v/>
      </c>
      <c r="S53" s="516"/>
      <c r="T53" s="368" t="str">
        <f>IF(S53="","",IF(VLOOKUP(S53,'G-7 WaterC'' Data'!$AO$4:$BO$7,2,FALSE)=0,"Spatial Data Missing ⚠",VLOOKUP(S53,'G-7 WaterC'' Data'!$AO$4:$BO$7,2,FALSE)))</f>
        <v/>
      </c>
      <c r="U53" s="376" t="str">
        <f>IFERROR(IF(D53="","",IF(AND(Q53='G-1 All Habitats'!$X$3,X53&gt;0),Y53+Z53,IF(AND(Q53='G-1 All Habitats'!$X$3,W53&gt;0),Y53+Z53,IF(AND(Q53='G-1 All Habitats'!$X$3,AH53&gt;0),"Any Loss Unacceptable ⚠",IF(AND(Q53='G-1 All Habitats'!$X$3,AI53&gt;0),"Any Loss Unacceptable ⚠", E53*G53*I53*L53*N53*P53 ))))),"Check Data ▲")</f>
        <v/>
      </c>
      <c r="V53" s="32"/>
      <c r="W53" s="114"/>
      <c r="X53" s="125"/>
      <c r="Y53" s="374" t="str">
        <f t="shared" si="0"/>
        <v/>
      </c>
      <c r="Z53" s="374" t="str">
        <f t="shared" si="1"/>
        <v/>
      </c>
      <c r="AA53" s="374" t="str">
        <f t="shared" si="2"/>
        <v/>
      </c>
      <c r="AB53" s="670" t="str">
        <f t="shared" si="3"/>
        <v/>
      </c>
      <c r="AC53" s="516"/>
      <c r="AD53" s="119"/>
      <c r="AE53" s="120"/>
      <c r="AF53" s="120"/>
      <c r="AG53" s="120"/>
      <c r="AH53" s="57" t="str">
        <f>IF(Q53="","",IF(Q53='G-1 All Habitats'!$X$3,E53-X53-W53,"None"))</f>
        <v/>
      </c>
      <c r="AI53" s="58" t="str">
        <f>IF(Q53="","", IF(Q53='G-1 All Habitats'!$X$3, AH53*G53*I53*L53*N53*P53,"None"))</f>
        <v/>
      </c>
      <c r="AJ53" s="30" t="str">
        <f>IFERROR(INDEX('G-7 WaterC'' Data'!$AZ$3:$AZ$7,MATCH(D53,'G-7 WaterC'' Data'!$AY$3:$AY$7,0)),"")</f>
        <v/>
      </c>
      <c r="AK53" s="30">
        <f t="shared" si="4"/>
        <v>0</v>
      </c>
      <c r="AL53" s="124" t="str">
        <f t="shared" si="5"/>
        <v/>
      </c>
      <c r="AM53" s="124" t="str">
        <f t="shared" si="6"/>
        <v/>
      </c>
      <c r="AO53" s="124">
        <v>44</v>
      </c>
      <c r="AQ53" s="124" t="str">
        <f t="array" ref="AQ53">IFERROR(INDEX($AO$10:$AO$258, MATCH(0, IF(TRUE=$AL$10:$AL$258, COUNTIF($AQ$9:$AQ52, $AO$10:$AO$258), ""), 0)),"")</f>
        <v/>
      </c>
      <c r="AR53" s="124" t="str">
        <f t="array" ref="AR53">IFERROR(INDEX($AO$10:$AO$258, MATCH(0, IF(TRUE=$AM$10:$AM$258, COUNTIF($AR$9:$AR52, $AO$10:$AO$258), ""), 0)),"")</f>
        <v/>
      </c>
      <c r="AZ53" s="802" t="str">
        <f t="shared" si="7"/>
        <v/>
      </c>
    </row>
    <row r="54" spans="3:52" ht="15.75" thickBot="1">
      <c r="C54" s="110">
        <v>45</v>
      </c>
      <c r="D54" s="340"/>
      <c r="E54" s="121"/>
      <c r="F54" s="362" t="str">
        <f>IF(D54="","",VLOOKUP(D54,'G-7 WaterC'' Data'!$B$2:$G$8,2,FALSE))</f>
        <v/>
      </c>
      <c r="G54" s="363" t="str">
        <f>IFERROR(VLOOKUP(F54,'G-7 WaterC'' Data'!$C$4:$D$8,2,FALSE),"")</f>
        <v/>
      </c>
      <c r="H54" s="114"/>
      <c r="I54" s="363" t="str">
        <f>IFERROR(INDEX('G-7 WaterC'' Data'!$H$4:$L$8,MATCH(D54,'G-7 WaterC'' Data'!$B$4:$B$8,0),MATCH(H54,'G-7 WaterC'' Data'!$H$3:$L$3,0)),"")</f>
        <v/>
      </c>
      <c r="J54" s="115"/>
      <c r="K54" s="382" t="str">
        <f>IF(J54="","",IF(VLOOKUP(J54,'G-7 WaterC'' Data'!$AK$4:$AM$9,2,FALSE)=0,"Spatial Data Missing ⚠",VLOOKUP(J54,'G-7 WaterC'' Data'!$AK$4:$AM$6,2,FALSE)))</f>
        <v/>
      </c>
      <c r="L54" s="386" t="str">
        <f>IF(J54="","",IF(VLOOKUP(J54,'G-7 WaterC'' Data'!$AK$4:$AM$9,3,FALSE)=0,"Spatial Data Missing ⚠",VLOOKUP(J54,'G-7 WaterC'' Data'!$AK$4:$AM$6,3,FALSE)))</f>
        <v/>
      </c>
      <c r="M54" s="115"/>
      <c r="N54" s="363" t="str">
        <f>IF(M54="","",IF(VLOOKUP(M54,'G-7 WaterC'' Data'!$AA$4:$AB$7,2,FALSE)=0,"Spatial Data Missing ⚠",VLOOKUP(M54,'G-7 WaterC'' Data'!$AA$4:$AB$7,2,FALSE)))</f>
        <v/>
      </c>
      <c r="O54" s="60"/>
      <c r="P54" s="363" t="str">
        <f>IF(O54="","",IF(VLOOKUP(O54,'G-7 WaterC'' Data'!$AD$4:$AE$14,2,FALSE)=0,"Spatial Data Missing ⚠",VLOOKUP(O54,'G-7 WaterC'' Data'!$AD$4:$AE$14,2,FALSE)))</f>
        <v/>
      </c>
      <c r="Q54" s="369" t="str">
        <f>IF(D54="","",VLOOKUP(D54,'G-7 WaterC'' Data'!$B$4:$G$8,6,FALSE))</f>
        <v/>
      </c>
      <c r="R54" s="376" t="str">
        <f>IFERROR(IF(D54="","",IF(AND(Q54='G-1 All Habitats'!$X$3,X54&gt;0),Y54+(Z54*T54),IF(AND(Q54='G-1 All Habitats'!$X$3,W54&gt;0),Y54+(Z54*T54),IF(AND(Q54='G-1 All Habitats'!$X$3,AH54&gt;0),"Any Loss Unacceptable ⚠",IF(AND(Q54='G-1 All Habitats'!$X$3,AI54&gt;0),"Any Loss Unacceptable ⚠", E54*G54*I54*L54*N54*P54*T54 ))))),"Check Data ▲")</f>
        <v/>
      </c>
      <c r="S54" s="516"/>
      <c r="T54" s="368" t="str">
        <f>IF(S54="","",IF(VLOOKUP(S54,'G-7 WaterC'' Data'!$AO$4:$BO$7,2,FALSE)=0,"Spatial Data Missing ⚠",VLOOKUP(S54,'G-7 WaterC'' Data'!$AO$4:$BO$7,2,FALSE)))</f>
        <v/>
      </c>
      <c r="U54" s="376" t="str">
        <f>IFERROR(IF(D54="","",IF(AND(Q54='G-1 All Habitats'!$X$3,X54&gt;0),Y54+Z54,IF(AND(Q54='G-1 All Habitats'!$X$3,W54&gt;0),Y54+Z54,IF(AND(Q54='G-1 All Habitats'!$X$3,AH54&gt;0),"Any Loss Unacceptable ⚠",IF(AND(Q54='G-1 All Habitats'!$X$3,AI54&gt;0),"Any Loss Unacceptable ⚠", E54*G54*I54*L54*N54*P54 ))))),"Check Data ▲")</f>
        <v/>
      </c>
      <c r="V54" s="32"/>
      <c r="W54" s="114"/>
      <c r="X54" s="125"/>
      <c r="Y54" s="374" t="str">
        <f t="shared" si="0"/>
        <v/>
      </c>
      <c r="Z54" s="374" t="str">
        <f t="shared" si="1"/>
        <v/>
      </c>
      <c r="AA54" s="374" t="str">
        <f t="shared" si="2"/>
        <v/>
      </c>
      <c r="AB54" s="670" t="str">
        <f t="shared" si="3"/>
        <v/>
      </c>
      <c r="AC54" s="516"/>
      <c r="AD54" s="119"/>
      <c r="AE54" s="120"/>
      <c r="AF54" s="120"/>
      <c r="AG54" s="120"/>
      <c r="AH54" s="57" t="str">
        <f>IF(Q54="","",IF(Q54='G-1 All Habitats'!$X$3,E54-X54-W54,"None"))</f>
        <v/>
      </c>
      <c r="AI54" s="58" t="str">
        <f>IF(Q54="","", IF(Q54='G-1 All Habitats'!$X$3, AH54*G54*I54*L54*N54*P54,"None"))</f>
        <v/>
      </c>
      <c r="AJ54" s="30" t="str">
        <f>IFERROR(INDEX('G-7 WaterC'' Data'!$AZ$3:$AZ$7,MATCH(D54,'G-7 WaterC'' Data'!$AY$3:$AY$7,0)),"")</f>
        <v/>
      </c>
      <c r="AK54" s="30">
        <f t="shared" si="4"/>
        <v>0</v>
      </c>
      <c r="AL54" s="124" t="str">
        <f t="shared" si="5"/>
        <v/>
      </c>
      <c r="AM54" s="124" t="str">
        <f t="shared" si="6"/>
        <v/>
      </c>
      <c r="AO54" s="124">
        <v>45</v>
      </c>
      <c r="AQ54" s="124" t="str">
        <f t="array" ref="AQ54">IFERROR(INDEX($AO$10:$AO$258, MATCH(0, IF(TRUE=$AL$10:$AL$258, COUNTIF($AQ$9:$AQ53, $AO$10:$AO$258), ""), 0)),"")</f>
        <v/>
      </c>
      <c r="AR54" s="124" t="str">
        <f t="array" ref="AR54">IFERROR(INDEX($AO$10:$AO$258, MATCH(0, IF(TRUE=$AM$10:$AM$258, COUNTIF($AR$9:$AR53, $AO$10:$AO$258), ""), 0)),"")</f>
        <v/>
      </c>
      <c r="AZ54" s="802" t="str">
        <f t="shared" si="7"/>
        <v/>
      </c>
    </row>
    <row r="55" spans="3:52" ht="15.75" thickBot="1">
      <c r="C55" s="110">
        <v>46</v>
      </c>
      <c r="D55" s="340"/>
      <c r="E55" s="121"/>
      <c r="F55" s="362" t="str">
        <f>IF(D55="","",VLOOKUP(D55,'G-7 WaterC'' Data'!$B$2:$G$8,2,FALSE))</f>
        <v/>
      </c>
      <c r="G55" s="363" t="str">
        <f>IFERROR(VLOOKUP(F55,'G-7 WaterC'' Data'!$C$4:$D$8,2,FALSE),"")</f>
        <v/>
      </c>
      <c r="H55" s="114"/>
      <c r="I55" s="363" t="str">
        <f>IFERROR(INDEX('G-7 WaterC'' Data'!$H$4:$L$8,MATCH(D55,'G-7 WaterC'' Data'!$B$4:$B$8,0),MATCH(H55,'G-7 WaterC'' Data'!$H$3:$L$3,0)),"")</f>
        <v/>
      </c>
      <c r="J55" s="115"/>
      <c r="K55" s="382" t="str">
        <f>IF(J55="","",IF(VLOOKUP(J55,'G-7 WaterC'' Data'!$AK$4:$AM$9,2,FALSE)=0,"Spatial Data Missing ⚠",VLOOKUP(J55,'G-7 WaterC'' Data'!$AK$4:$AM$6,2,FALSE)))</f>
        <v/>
      </c>
      <c r="L55" s="386" t="str">
        <f>IF(J55="","",IF(VLOOKUP(J55,'G-7 WaterC'' Data'!$AK$4:$AM$9,3,FALSE)=0,"Spatial Data Missing ⚠",VLOOKUP(J55,'G-7 WaterC'' Data'!$AK$4:$AM$6,3,FALSE)))</f>
        <v/>
      </c>
      <c r="M55" s="115"/>
      <c r="N55" s="363" t="str">
        <f>IF(M55="","",IF(VLOOKUP(M55,'G-7 WaterC'' Data'!$AA$4:$AB$7,2,FALSE)=0,"Spatial Data Missing ⚠",VLOOKUP(M55,'G-7 WaterC'' Data'!$AA$4:$AB$7,2,FALSE)))</f>
        <v/>
      </c>
      <c r="O55" s="60"/>
      <c r="P55" s="363" t="str">
        <f>IF(O55="","",IF(VLOOKUP(O55,'G-7 WaterC'' Data'!$AD$4:$AE$14,2,FALSE)=0,"Spatial Data Missing ⚠",VLOOKUP(O55,'G-7 WaterC'' Data'!$AD$4:$AE$14,2,FALSE)))</f>
        <v/>
      </c>
      <c r="Q55" s="369" t="str">
        <f>IF(D55="","",VLOOKUP(D55,'G-7 WaterC'' Data'!$B$4:$G$8,6,FALSE))</f>
        <v/>
      </c>
      <c r="R55" s="376" t="str">
        <f>IFERROR(IF(D55="","",IF(AND(Q55='G-1 All Habitats'!$X$3,X55&gt;0),Y55+(Z55*T55),IF(AND(Q55='G-1 All Habitats'!$X$3,W55&gt;0),Y55+(Z55*T55),IF(AND(Q55='G-1 All Habitats'!$X$3,AH55&gt;0),"Any Loss Unacceptable ⚠",IF(AND(Q55='G-1 All Habitats'!$X$3,AI55&gt;0),"Any Loss Unacceptable ⚠", E55*G55*I55*L55*N55*P55*T55 ))))),"Check Data ▲")</f>
        <v/>
      </c>
      <c r="S55" s="516"/>
      <c r="T55" s="368" t="str">
        <f>IF(S55="","",IF(VLOOKUP(S55,'G-7 WaterC'' Data'!$AO$4:$BO$7,2,FALSE)=0,"Spatial Data Missing ⚠",VLOOKUP(S55,'G-7 WaterC'' Data'!$AO$4:$BO$7,2,FALSE)))</f>
        <v/>
      </c>
      <c r="U55" s="376" t="str">
        <f>IFERROR(IF(D55="","",IF(AND(Q55='G-1 All Habitats'!$X$3,X55&gt;0),Y55+Z55,IF(AND(Q55='G-1 All Habitats'!$X$3,W55&gt;0),Y55+Z55,IF(AND(Q55='G-1 All Habitats'!$X$3,AH55&gt;0),"Any Loss Unacceptable ⚠",IF(AND(Q55='G-1 All Habitats'!$X$3,AI55&gt;0),"Any Loss Unacceptable ⚠", E55*G55*I55*L55*N55*P55 ))))),"Check Data ▲")</f>
        <v/>
      </c>
      <c r="V55" s="32"/>
      <c r="W55" s="114"/>
      <c r="X55" s="125"/>
      <c r="Y55" s="374" t="str">
        <f t="shared" si="0"/>
        <v/>
      </c>
      <c r="Z55" s="374" t="str">
        <f t="shared" si="1"/>
        <v/>
      </c>
      <c r="AA55" s="374" t="str">
        <f t="shared" si="2"/>
        <v/>
      </c>
      <c r="AB55" s="670" t="str">
        <f t="shared" si="3"/>
        <v/>
      </c>
      <c r="AC55" s="516"/>
      <c r="AD55" s="119"/>
      <c r="AE55" s="120"/>
      <c r="AF55" s="120"/>
      <c r="AG55" s="120"/>
      <c r="AH55" s="57" t="str">
        <f>IF(Q55="","",IF(Q55='G-1 All Habitats'!$X$3,E55-X55-W55,"None"))</f>
        <v/>
      </c>
      <c r="AI55" s="58" t="str">
        <f>IF(Q55="","", IF(Q55='G-1 All Habitats'!$X$3, AH55*G55*I55*L55*N55*P55,"None"))</f>
        <v/>
      </c>
      <c r="AJ55" s="30" t="str">
        <f>IFERROR(INDEX('G-7 WaterC'' Data'!$AZ$3:$AZ$7,MATCH(D55,'G-7 WaterC'' Data'!$AY$3:$AY$7,0)),"")</f>
        <v/>
      </c>
      <c r="AK55" s="30">
        <f t="shared" si="4"/>
        <v>0</v>
      </c>
      <c r="AL55" s="124" t="str">
        <f t="shared" si="5"/>
        <v/>
      </c>
      <c r="AM55" s="124" t="str">
        <f t="shared" si="6"/>
        <v/>
      </c>
      <c r="AO55" s="124">
        <v>46</v>
      </c>
      <c r="AQ55" s="124" t="str">
        <f t="array" ref="AQ55">IFERROR(INDEX($AO$10:$AO$258, MATCH(0, IF(TRUE=$AL$10:$AL$258, COUNTIF($AQ$9:$AQ54, $AO$10:$AO$258), ""), 0)),"")</f>
        <v/>
      </c>
      <c r="AR55" s="124" t="str">
        <f t="array" ref="AR55">IFERROR(INDEX($AO$10:$AO$258, MATCH(0, IF(TRUE=$AM$10:$AM$258, COUNTIF($AR$9:$AR54, $AO$10:$AO$258), ""), 0)),"")</f>
        <v/>
      </c>
      <c r="AZ55" s="802" t="str">
        <f t="shared" si="7"/>
        <v/>
      </c>
    </row>
    <row r="56" spans="3:52" ht="15.75" thickBot="1">
      <c r="C56" s="110">
        <v>47</v>
      </c>
      <c r="D56" s="340"/>
      <c r="E56" s="121"/>
      <c r="F56" s="362" t="str">
        <f>IF(D56="","",VLOOKUP(D56,'G-7 WaterC'' Data'!$B$2:$G$8,2,FALSE))</f>
        <v/>
      </c>
      <c r="G56" s="363" t="str">
        <f>IFERROR(VLOOKUP(F56,'G-7 WaterC'' Data'!$C$4:$D$8,2,FALSE),"")</f>
        <v/>
      </c>
      <c r="H56" s="114"/>
      <c r="I56" s="363" t="str">
        <f>IFERROR(INDEX('G-7 WaterC'' Data'!$H$4:$L$8,MATCH(D56,'G-7 WaterC'' Data'!$B$4:$B$8,0),MATCH(H56,'G-7 WaterC'' Data'!$H$3:$L$3,0)),"")</f>
        <v/>
      </c>
      <c r="J56" s="115"/>
      <c r="K56" s="382" t="str">
        <f>IF(J56="","",IF(VLOOKUP(J56,'G-7 WaterC'' Data'!$AK$4:$AM$9,2,FALSE)=0,"Spatial Data Missing ⚠",VLOOKUP(J56,'G-7 WaterC'' Data'!$AK$4:$AM$6,2,FALSE)))</f>
        <v/>
      </c>
      <c r="L56" s="386" t="str">
        <f>IF(J56="","",IF(VLOOKUP(J56,'G-7 WaterC'' Data'!$AK$4:$AM$9,3,FALSE)=0,"Spatial Data Missing ⚠",VLOOKUP(J56,'G-7 WaterC'' Data'!$AK$4:$AM$6,3,FALSE)))</f>
        <v/>
      </c>
      <c r="M56" s="115"/>
      <c r="N56" s="363" t="str">
        <f>IF(M56="","",IF(VLOOKUP(M56,'G-7 WaterC'' Data'!$AA$4:$AB$7,2,FALSE)=0,"Spatial Data Missing ⚠",VLOOKUP(M56,'G-7 WaterC'' Data'!$AA$4:$AB$7,2,FALSE)))</f>
        <v/>
      </c>
      <c r="O56" s="60"/>
      <c r="P56" s="363" t="str">
        <f>IF(O56="","",IF(VLOOKUP(O56,'G-7 WaterC'' Data'!$AD$4:$AE$14,2,FALSE)=0,"Spatial Data Missing ⚠",VLOOKUP(O56,'G-7 WaterC'' Data'!$AD$4:$AE$14,2,FALSE)))</f>
        <v/>
      </c>
      <c r="Q56" s="369" t="str">
        <f>IF(D56="","",VLOOKUP(D56,'G-7 WaterC'' Data'!$B$4:$G$8,6,FALSE))</f>
        <v/>
      </c>
      <c r="R56" s="376" t="str">
        <f>IFERROR(IF(D56="","",IF(AND(Q56='G-1 All Habitats'!$X$3,X56&gt;0),Y56+(Z56*T56),IF(AND(Q56='G-1 All Habitats'!$X$3,W56&gt;0),Y56+(Z56*T56),IF(AND(Q56='G-1 All Habitats'!$X$3,AH56&gt;0),"Any Loss Unacceptable ⚠",IF(AND(Q56='G-1 All Habitats'!$X$3,AI56&gt;0),"Any Loss Unacceptable ⚠", E56*G56*I56*L56*N56*P56*T56 ))))),"Check Data ▲")</f>
        <v/>
      </c>
      <c r="S56" s="516"/>
      <c r="T56" s="368" t="str">
        <f>IF(S56="","",IF(VLOOKUP(S56,'G-7 WaterC'' Data'!$AO$4:$BO$7,2,FALSE)=0,"Spatial Data Missing ⚠",VLOOKUP(S56,'G-7 WaterC'' Data'!$AO$4:$BO$7,2,FALSE)))</f>
        <v/>
      </c>
      <c r="U56" s="376" t="str">
        <f>IFERROR(IF(D56="","",IF(AND(Q56='G-1 All Habitats'!$X$3,X56&gt;0),Y56+Z56,IF(AND(Q56='G-1 All Habitats'!$X$3,W56&gt;0),Y56+Z56,IF(AND(Q56='G-1 All Habitats'!$X$3,AH56&gt;0),"Any Loss Unacceptable ⚠",IF(AND(Q56='G-1 All Habitats'!$X$3,AI56&gt;0),"Any Loss Unacceptable ⚠", E56*G56*I56*L56*N56*P56 ))))),"Check Data ▲")</f>
        <v/>
      </c>
      <c r="V56" s="32"/>
      <c r="W56" s="114"/>
      <c r="X56" s="125"/>
      <c r="Y56" s="374" t="str">
        <f t="shared" si="0"/>
        <v/>
      </c>
      <c r="Z56" s="374" t="str">
        <f t="shared" si="1"/>
        <v/>
      </c>
      <c r="AA56" s="374" t="str">
        <f t="shared" si="2"/>
        <v/>
      </c>
      <c r="AB56" s="670" t="str">
        <f t="shared" si="3"/>
        <v/>
      </c>
      <c r="AC56" s="516"/>
      <c r="AD56" s="119"/>
      <c r="AE56" s="120"/>
      <c r="AF56" s="120"/>
      <c r="AG56" s="120"/>
      <c r="AH56" s="57" t="str">
        <f>IF(Q56="","",IF(Q56='G-1 All Habitats'!$X$3,E56-X56-W56,"None"))</f>
        <v/>
      </c>
      <c r="AI56" s="58" t="str">
        <f>IF(Q56="","", IF(Q56='G-1 All Habitats'!$X$3, AH56*G56*I56*L56*N56*P56,"None"))</f>
        <v/>
      </c>
      <c r="AJ56" s="30" t="str">
        <f>IFERROR(INDEX('G-7 WaterC'' Data'!$AZ$3:$AZ$7,MATCH(D56,'G-7 WaterC'' Data'!$AY$3:$AY$7,0)),"")</f>
        <v/>
      </c>
      <c r="AK56" s="30">
        <f t="shared" si="4"/>
        <v>0</v>
      </c>
      <c r="AL56" s="124" t="str">
        <f t="shared" si="5"/>
        <v/>
      </c>
      <c r="AM56" s="124" t="str">
        <f t="shared" si="6"/>
        <v/>
      </c>
      <c r="AO56" s="124">
        <v>47</v>
      </c>
      <c r="AQ56" s="124" t="str">
        <f t="array" ref="AQ56">IFERROR(INDEX($AO$10:$AO$258, MATCH(0, IF(TRUE=$AL$10:$AL$258, COUNTIF($AQ$9:$AQ55, $AO$10:$AO$258), ""), 0)),"")</f>
        <v/>
      </c>
      <c r="AR56" s="124" t="str">
        <f t="array" ref="AR56">IFERROR(INDEX($AO$10:$AO$258, MATCH(0, IF(TRUE=$AM$10:$AM$258, COUNTIF($AR$9:$AR55, $AO$10:$AO$258), ""), 0)),"")</f>
        <v/>
      </c>
      <c r="AZ56" s="802" t="str">
        <f t="shared" si="7"/>
        <v/>
      </c>
    </row>
    <row r="57" spans="3:52" ht="15.75" thickBot="1">
      <c r="C57" s="110">
        <v>48</v>
      </c>
      <c r="D57" s="340"/>
      <c r="E57" s="121"/>
      <c r="F57" s="362" t="str">
        <f>IF(D57="","",VLOOKUP(D57,'G-7 WaterC'' Data'!$B$2:$G$8,2,FALSE))</f>
        <v/>
      </c>
      <c r="G57" s="363" t="str">
        <f>IFERROR(VLOOKUP(F57,'G-7 WaterC'' Data'!$C$4:$D$8,2,FALSE),"")</f>
        <v/>
      </c>
      <c r="H57" s="114"/>
      <c r="I57" s="363" t="str">
        <f>IFERROR(INDEX('G-7 WaterC'' Data'!$H$4:$L$8,MATCH(D57,'G-7 WaterC'' Data'!$B$4:$B$8,0),MATCH(H57,'G-7 WaterC'' Data'!$H$3:$L$3,0)),"")</f>
        <v/>
      </c>
      <c r="J57" s="115"/>
      <c r="K57" s="382" t="str">
        <f>IF(J57="","",IF(VLOOKUP(J57,'G-7 WaterC'' Data'!$AK$4:$AM$9,2,FALSE)=0,"Spatial Data Missing ⚠",VLOOKUP(J57,'G-7 WaterC'' Data'!$AK$4:$AM$6,2,FALSE)))</f>
        <v/>
      </c>
      <c r="L57" s="386" t="str">
        <f>IF(J57="","",IF(VLOOKUP(J57,'G-7 WaterC'' Data'!$AK$4:$AM$9,3,FALSE)=0,"Spatial Data Missing ⚠",VLOOKUP(J57,'G-7 WaterC'' Data'!$AK$4:$AM$6,3,FALSE)))</f>
        <v/>
      </c>
      <c r="M57" s="115"/>
      <c r="N57" s="363" t="str">
        <f>IF(M57="","",IF(VLOOKUP(M57,'G-7 WaterC'' Data'!$AA$4:$AB$7,2,FALSE)=0,"Spatial Data Missing ⚠",VLOOKUP(M57,'G-7 WaterC'' Data'!$AA$4:$AB$7,2,FALSE)))</f>
        <v/>
      </c>
      <c r="O57" s="60"/>
      <c r="P57" s="363" t="str">
        <f>IF(O57="","",IF(VLOOKUP(O57,'G-7 WaterC'' Data'!$AD$4:$AE$14,2,FALSE)=0,"Spatial Data Missing ⚠",VLOOKUP(O57,'G-7 WaterC'' Data'!$AD$4:$AE$14,2,FALSE)))</f>
        <v/>
      </c>
      <c r="Q57" s="369" t="str">
        <f>IF(D57="","",VLOOKUP(D57,'G-7 WaterC'' Data'!$B$4:$G$8,6,FALSE))</f>
        <v/>
      </c>
      <c r="R57" s="376" t="str">
        <f>IFERROR(IF(D57="","",IF(AND(Q57='G-1 All Habitats'!$X$3,X57&gt;0),Y57+(Z57*T57),IF(AND(Q57='G-1 All Habitats'!$X$3,W57&gt;0),Y57+(Z57*T57),IF(AND(Q57='G-1 All Habitats'!$X$3,AH57&gt;0),"Any Loss Unacceptable ⚠",IF(AND(Q57='G-1 All Habitats'!$X$3,AI57&gt;0),"Any Loss Unacceptable ⚠", E57*G57*I57*L57*N57*P57*T57 ))))),"Check Data ▲")</f>
        <v/>
      </c>
      <c r="S57" s="516"/>
      <c r="T57" s="368" t="str">
        <f>IF(S57="","",IF(VLOOKUP(S57,'G-7 WaterC'' Data'!$AO$4:$BO$7,2,FALSE)=0,"Spatial Data Missing ⚠",VLOOKUP(S57,'G-7 WaterC'' Data'!$AO$4:$BO$7,2,FALSE)))</f>
        <v/>
      </c>
      <c r="U57" s="376" t="str">
        <f>IFERROR(IF(D57="","",IF(AND(Q57='G-1 All Habitats'!$X$3,X57&gt;0),Y57+Z57,IF(AND(Q57='G-1 All Habitats'!$X$3,W57&gt;0),Y57+Z57,IF(AND(Q57='G-1 All Habitats'!$X$3,AH57&gt;0),"Any Loss Unacceptable ⚠",IF(AND(Q57='G-1 All Habitats'!$X$3,AI57&gt;0),"Any Loss Unacceptable ⚠", E57*G57*I57*L57*N57*P57 ))))),"Check Data ▲")</f>
        <v/>
      </c>
      <c r="V57" s="32"/>
      <c r="W57" s="114"/>
      <c r="X57" s="125"/>
      <c r="Y57" s="374" t="str">
        <f t="shared" si="0"/>
        <v/>
      </c>
      <c r="Z57" s="374" t="str">
        <f t="shared" si="1"/>
        <v/>
      </c>
      <c r="AA57" s="374" t="str">
        <f t="shared" si="2"/>
        <v/>
      </c>
      <c r="AB57" s="670" t="str">
        <f t="shared" si="3"/>
        <v/>
      </c>
      <c r="AC57" s="516"/>
      <c r="AD57" s="119"/>
      <c r="AE57" s="120"/>
      <c r="AF57" s="120"/>
      <c r="AG57" s="120"/>
      <c r="AH57" s="57" t="str">
        <f>IF(Q57="","",IF(Q57='G-1 All Habitats'!$X$3,E57-X57-W57,"None"))</f>
        <v/>
      </c>
      <c r="AI57" s="58" t="str">
        <f>IF(Q57="","", IF(Q57='G-1 All Habitats'!$X$3, AH57*G57*I57*L57*N57*P57,"None"))</f>
        <v/>
      </c>
      <c r="AJ57" s="30" t="str">
        <f>IFERROR(INDEX('G-7 WaterC'' Data'!$AZ$3:$AZ$7,MATCH(D57,'G-7 WaterC'' Data'!$AY$3:$AY$7,0)),"")</f>
        <v/>
      </c>
      <c r="AK57" s="30">
        <f t="shared" si="4"/>
        <v>0</v>
      </c>
      <c r="AL57" s="124" t="str">
        <f t="shared" si="5"/>
        <v/>
      </c>
      <c r="AM57" s="124" t="str">
        <f t="shared" si="6"/>
        <v/>
      </c>
      <c r="AO57" s="124">
        <v>48</v>
      </c>
      <c r="AQ57" s="124" t="str">
        <f t="array" ref="AQ57">IFERROR(INDEX($AO$10:$AO$258, MATCH(0, IF(TRUE=$AL$10:$AL$258, COUNTIF($AQ$9:$AQ56, $AO$10:$AO$258), ""), 0)),"")</f>
        <v/>
      </c>
      <c r="AR57" s="124" t="str">
        <f t="array" ref="AR57">IFERROR(INDEX($AO$10:$AO$258, MATCH(0, IF(TRUE=$AM$10:$AM$258, COUNTIF($AR$9:$AR56, $AO$10:$AO$258), ""), 0)),"")</f>
        <v/>
      </c>
      <c r="AZ57" s="802" t="str">
        <f t="shared" si="7"/>
        <v/>
      </c>
    </row>
    <row r="58" spans="3:52" ht="15.75" thickBot="1">
      <c r="C58" s="110">
        <v>49</v>
      </c>
      <c r="D58" s="340"/>
      <c r="E58" s="121"/>
      <c r="F58" s="362" t="str">
        <f>IF(D58="","",VLOOKUP(D58,'G-7 WaterC'' Data'!$B$2:$G$8,2,FALSE))</f>
        <v/>
      </c>
      <c r="G58" s="363" t="str">
        <f>IFERROR(VLOOKUP(F58,'G-7 WaterC'' Data'!$C$4:$D$8,2,FALSE),"")</f>
        <v/>
      </c>
      <c r="H58" s="114"/>
      <c r="I58" s="363" t="str">
        <f>IFERROR(INDEX('G-7 WaterC'' Data'!$H$4:$L$8,MATCH(D58,'G-7 WaterC'' Data'!$B$4:$B$8,0),MATCH(H58,'G-7 WaterC'' Data'!$H$3:$L$3,0)),"")</f>
        <v/>
      </c>
      <c r="J58" s="115"/>
      <c r="K58" s="382" t="str">
        <f>IF(J58="","",IF(VLOOKUP(J58,'G-7 WaterC'' Data'!$AK$4:$AM$9,2,FALSE)=0,"Spatial Data Missing ⚠",VLOOKUP(J58,'G-7 WaterC'' Data'!$AK$4:$AM$6,2,FALSE)))</f>
        <v/>
      </c>
      <c r="L58" s="386" t="str">
        <f>IF(J58="","",IF(VLOOKUP(J58,'G-7 WaterC'' Data'!$AK$4:$AM$9,3,FALSE)=0,"Spatial Data Missing ⚠",VLOOKUP(J58,'G-7 WaterC'' Data'!$AK$4:$AM$6,3,FALSE)))</f>
        <v/>
      </c>
      <c r="M58" s="115"/>
      <c r="N58" s="363" t="str">
        <f>IF(M58="","",IF(VLOOKUP(M58,'G-7 WaterC'' Data'!$AA$4:$AB$7,2,FALSE)=0,"Spatial Data Missing ⚠",VLOOKUP(M58,'G-7 WaterC'' Data'!$AA$4:$AB$7,2,FALSE)))</f>
        <v/>
      </c>
      <c r="O58" s="60"/>
      <c r="P58" s="363" t="str">
        <f>IF(O58="","",IF(VLOOKUP(O58,'G-7 WaterC'' Data'!$AD$4:$AE$14,2,FALSE)=0,"Spatial Data Missing ⚠",VLOOKUP(O58,'G-7 WaterC'' Data'!$AD$4:$AE$14,2,FALSE)))</f>
        <v/>
      </c>
      <c r="Q58" s="369" t="str">
        <f>IF(D58="","",VLOOKUP(D58,'G-7 WaterC'' Data'!$B$4:$G$8,6,FALSE))</f>
        <v/>
      </c>
      <c r="R58" s="376" t="str">
        <f>IFERROR(IF(D58="","",IF(AND(Q58='G-1 All Habitats'!$X$3,X58&gt;0),Y58+(Z58*T58),IF(AND(Q58='G-1 All Habitats'!$X$3,W58&gt;0),Y58+(Z58*T58),IF(AND(Q58='G-1 All Habitats'!$X$3,AH58&gt;0),"Any Loss Unacceptable ⚠",IF(AND(Q58='G-1 All Habitats'!$X$3,AI58&gt;0),"Any Loss Unacceptable ⚠", E58*G58*I58*L58*N58*P58*T58 ))))),"Check Data ▲")</f>
        <v/>
      </c>
      <c r="S58" s="516"/>
      <c r="T58" s="368" t="str">
        <f>IF(S58="","",IF(VLOOKUP(S58,'G-7 WaterC'' Data'!$AO$4:$BO$7,2,FALSE)=0,"Spatial Data Missing ⚠",VLOOKUP(S58,'G-7 WaterC'' Data'!$AO$4:$BO$7,2,FALSE)))</f>
        <v/>
      </c>
      <c r="U58" s="376" t="str">
        <f>IFERROR(IF(D58="","",IF(AND(Q58='G-1 All Habitats'!$X$3,X58&gt;0),Y58+Z58,IF(AND(Q58='G-1 All Habitats'!$X$3,W58&gt;0),Y58+Z58,IF(AND(Q58='G-1 All Habitats'!$X$3,AH58&gt;0),"Any Loss Unacceptable ⚠",IF(AND(Q58='G-1 All Habitats'!$X$3,AI58&gt;0),"Any Loss Unacceptable ⚠", E58*G58*I58*L58*N58*P58 ))))),"Check Data ▲")</f>
        <v/>
      </c>
      <c r="V58" s="32"/>
      <c r="W58" s="114"/>
      <c r="X58" s="125"/>
      <c r="Y58" s="374" t="str">
        <f t="shared" si="0"/>
        <v/>
      </c>
      <c r="Z58" s="374" t="str">
        <f t="shared" si="1"/>
        <v/>
      </c>
      <c r="AA58" s="374" t="str">
        <f t="shared" si="2"/>
        <v/>
      </c>
      <c r="AB58" s="670" t="str">
        <f t="shared" si="3"/>
        <v/>
      </c>
      <c r="AC58" s="516"/>
      <c r="AD58" s="119"/>
      <c r="AE58" s="120"/>
      <c r="AF58" s="120"/>
      <c r="AG58" s="120"/>
      <c r="AH58" s="57" t="str">
        <f>IF(Q58="","",IF(Q58='G-1 All Habitats'!$X$3,E58-X58-W58,"None"))</f>
        <v/>
      </c>
      <c r="AI58" s="58" t="str">
        <f>IF(Q58="","", IF(Q58='G-1 All Habitats'!$X$3, AH58*G58*I58*L58*N58*P58,"None"))</f>
        <v/>
      </c>
      <c r="AJ58" s="30" t="str">
        <f>IFERROR(INDEX('G-7 WaterC'' Data'!$AZ$3:$AZ$7,MATCH(D58,'G-7 WaterC'' Data'!$AY$3:$AY$7,0)),"")</f>
        <v/>
      </c>
      <c r="AK58" s="30">
        <f t="shared" si="4"/>
        <v>0</v>
      </c>
      <c r="AL58" s="124" t="str">
        <f t="shared" si="5"/>
        <v/>
      </c>
      <c r="AM58" s="124" t="str">
        <f t="shared" si="6"/>
        <v/>
      </c>
      <c r="AO58" s="124">
        <v>49</v>
      </c>
      <c r="AQ58" s="124" t="str">
        <f t="array" ref="AQ58">IFERROR(INDEX($AO$10:$AO$258, MATCH(0, IF(TRUE=$AL$10:$AL$258, COUNTIF($AQ$9:$AQ57, $AO$10:$AO$258), ""), 0)),"")</f>
        <v/>
      </c>
      <c r="AR58" s="124" t="str">
        <f t="array" ref="AR58">IFERROR(INDEX($AO$10:$AO$258, MATCH(0, IF(TRUE=$AM$10:$AM$258, COUNTIF($AR$9:$AR57, $AO$10:$AO$258), ""), 0)),"")</f>
        <v/>
      </c>
      <c r="AZ58" s="802" t="str">
        <f t="shared" si="7"/>
        <v/>
      </c>
    </row>
    <row r="59" spans="3:52" ht="15.75" thickBot="1">
      <c r="C59" s="110">
        <v>50</v>
      </c>
      <c r="D59" s="340"/>
      <c r="E59" s="121"/>
      <c r="F59" s="362" t="str">
        <f>IF(D59="","",VLOOKUP(D59,'G-7 WaterC'' Data'!$B$2:$G$8,2,FALSE))</f>
        <v/>
      </c>
      <c r="G59" s="363" t="str">
        <f>IFERROR(VLOOKUP(F59,'G-7 WaterC'' Data'!$C$4:$D$8,2,FALSE),"")</f>
        <v/>
      </c>
      <c r="H59" s="114"/>
      <c r="I59" s="363" t="str">
        <f>IFERROR(INDEX('G-7 WaterC'' Data'!$H$4:$L$8,MATCH(D59,'G-7 WaterC'' Data'!$B$4:$B$8,0),MATCH(H59,'G-7 WaterC'' Data'!$H$3:$L$3,0)),"")</f>
        <v/>
      </c>
      <c r="J59" s="115"/>
      <c r="K59" s="382" t="str">
        <f>IF(J59="","",IF(VLOOKUP(J59,'G-7 WaterC'' Data'!$AK$4:$AM$9,2,FALSE)=0,"Spatial Data Missing ⚠",VLOOKUP(J59,'G-7 WaterC'' Data'!$AK$4:$AM$6,2,FALSE)))</f>
        <v/>
      </c>
      <c r="L59" s="386" t="str">
        <f>IF(J59="","",IF(VLOOKUP(J59,'G-7 WaterC'' Data'!$AK$4:$AM$9,3,FALSE)=0,"Spatial Data Missing ⚠",VLOOKUP(J59,'G-7 WaterC'' Data'!$AK$4:$AM$6,3,FALSE)))</f>
        <v/>
      </c>
      <c r="M59" s="115"/>
      <c r="N59" s="363" t="str">
        <f>IF(M59="","",IF(VLOOKUP(M59,'G-7 WaterC'' Data'!$AA$4:$AB$7,2,FALSE)=0,"Spatial Data Missing ⚠",VLOOKUP(M59,'G-7 WaterC'' Data'!$AA$4:$AB$7,2,FALSE)))</f>
        <v/>
      </c>
      <c r="O59" s="60"/>
      <c r="P59" s="363" t="str">
        <f>IF(O59="","",IF(VLOOKUP(O59,'G-7 WaterC'' Data'!$AD$4:$AE$14,2,FALSE)=0,"Spatial Data Missing ⚠",VLOOKUP(O59,'G-7 WaterC'' Data'!$AD$4:$AE$14,2,FALSE)))</f>
        <v/>
      </c>
      <c r="Q59" s="369" t="str">
        <f>IF(D59="","",VLOOKUP(D59,'G-7 WaterC'' Data'!$B$4:$G$8,6,FALSE))</f>
        <v/>
      </c>
      <c r="R59" s="376" t="str">
        <f>IFERROR(IF(D59="","",IF(AND(Q59='G-1 All Habitats'!$X$3,X59&gt;0),Y59+(Z59*T59),IF(AND(Q59='G-1 All Habitats'!$X$3,W59&gt;0),Y59+(Z59*T59),IF(AND(Q59='G-1 All Habitats'!$X$3,AH59&gt;0),"Any Loss Unacceptable ⚠",IF(AND(Q59='G-1 All Habitats'!$X$3,AI59&gt;0),"Any Loss Unacceptable ⚠", E59*G59*I59*L59*N59*P59*T59 ))))),"Check Data ▲")</f>
        <v/>
      </c>
      <c r="S59" s="516"/>
      <c r="T59" s="368" t="str">
        <f>IF(S59="","",IF(VLOOKUP(S59,'G-7 WaterC'' Data'!$AO$4:$BO$7,2,FALSE)=0,"Spatial Data Missing ⚠",VLOOKUP(S59,'G-7 WaterC'' Data'!$AO$4:$BO$7,2,FALSE)))</f>
        <v/>
      </c>
      <c r="U59" s="376" t="str">
        <f>IFERROR(IF(D59="","",IF(AND(Q59='G-1 All Habitats'!$X$3,X59&gt;0),Y59+Z59,IF(AND(Q59='G-1 All Habitats'!$X$3,W59&gt;0),Y59+Z59,IF(AND(Q59='G-1 All Habitats'!$X$3,AH59&gt;0),"Any Loss Unacceptable ⚠",IF(AND(Q59='G-1 All Habitats'!$X$3,AI59&gt;0),"Any Loss Unacceptable ⚠", E59*G59*I59*L59*N59*P59 ))))),"Check Data ▲")</f>
        <v/>
      </c>
      <c r="V59" s="32"/>
      <c r="W59" s="114"/>
      <c r="X59" s="125"/>
      <c r="Y59" s="374" t="str">
        <f t="shared" si="0"/>
        <v/>
      </c>
      <c r="Z59" s="374" t="str">
        <f t="shared" si="1"/>
        <v/>
      </c>
      <c r="AA59" s="374" t="str">
        <f t="shared" si="2"/>
        <v/>
      </c>
      <c r="AB59" s="670" t="str">
        <f t="shared" si="3"/>
        <v/>
      </c>
      <c r="AC59" s="516"/>
      <c r="AD59" s="119"/>
      <c r="AE59" s="120"/>
      <c r="AF59" s="120"/>
      <c r="AG59" s="120"/>
      <c r="AH59" s="57" t="str">
        <f>IF(Q59="","",IF(Q59='G-1 All Habitats'!$X$3,E59-X59-W59,"None"))</f>
        <v/>
      </c>
      <c r="AI59" s="58" t="str">
        <f>IF(Q59="","", IF(Q59='G-1 All Habitats'!$X$3, AH59*G59*I59*L59*N59*P59,"None"))</f>
        <v/>
      </c>
      <c r="AJ59" s="30" t="str">
        <f>IFERROR(INDEX('G-7 WaterC'' Data'!$AZ$3:$AZ$7,MATCH(D59,'G-7 WaterC'' Data'!$AY$3:$AY$7,0)),"")</f>
        <v/>
      </c>
      <c r="AK59" s="30">
        <f t="shared" si="4"/>
        <v>0</v>
      </c>
      <c r="AL59" s="124" t="str">
        <f t="shared" si="5"/>
        <v/>
      </c>
      <c r="AM59" s="124" t="str">
        <f t="shared" si="6"/>
        <v/>
      </c>
      <c r="AO59" s="124">
        <v>50</v>
      </c>
      <c r="AQ59" s="124" t="str">
        <f t="array" ref="AQ59">IFERROR(INDEX($AO$10:$AO$258, MATCH(0, IF(TRUE=$AL$10:$AL$258, COUNTIF($AQ$9:$AQ58, $AO$10:$AO$258), ""), 0)),"")</f>
        <v/>
      </c>
      <c r="AR59" s="124" t="str">
        <f t="array" ref="AR59">IFERROR(INDEX($AO$10:$AO$258, MATCH(0, IF(TRUE=$AM$10:$AM$258, COUNTIF($AR$9:$AR58, $AO$10:$AO$258), ""), 0)),"")</f>
        <v/>
      </c>
      <c r="AZ59" s="802" t="str">
        <f t="shared" si="7"/>
        <v/>
      </c>
    </row>
    <row r="60" spans="3:52" ht="15.75" thickBot="1">
      <c r="C60" s="110">
        <v>51</v>
      </c>
      <c r="D60" s="340"/>
      <c r="E60" s="121"/>
      <c r="F60" s="362" t="str">
        <f>IF(D60="","",VLOOKUP(D60,'G-7 WaterC'' Data'!$B$2:$G$8,2,FALSE))</f>
        <v/>
      </c>
      <c r="G60" s="363" t="str">
        <f>IFERROR(VLOOKUP(F60,'G-7 WaterC'' Data'!$C$4:$D$8,2,FALSE),"")</f>
        <v/>
      </c>
      <c r="H60" s="114"/>
      <c r="I60" s="363" t="str">
        <f>IFERROR(INDEX('G-7 WaterC'' Data'!$H$4:$L$8,MATCH(D60,'G-7 WaterC'' Data'!$B$4:$B$8,0),MATCH(H60,'G-7 WaterC'' Data'!$H$3:$L$3,0)),"")</f>
        <v/>
      </c>
      <c r="J60" s="115"/>
      <c r="K60" s="382" t="str">
        <f>IF(J60="","",IF(VLOOKUP(J60,'G-7 WaterC'' Data'!$AK$4:$AM$9,2,FALSE)=0,"Spatial Data Missing ⚠",VLOOKUP(J60,'G-7 WaterC'' Data'!$AK$4:$AM$6,2,FALSE)))</f>
        <v/>
      </c>
      <c r="L60" s="386" t="str">
        <f>IF(J60="","",IF(VLOOKUP(J60,'G-7 WaterC'' Data'!$AK$4:$AM$9,3,FALSE)=0,"Spatial Data Missing ⚠",VLOOKUP(J60,'G-7 WaterC'' Data'!$AK$4:$AM$6,3,FALSE)))</f>
        <v/>
      </c>
      <c r="M60" s="115"/>
      <c r="N60" s="363" t="str">
        <f>IF(M60="","",IF(VLOOKUP(M60,'G-7 WaterC'' Data'!$AA$4:$AB$7,2,FALSE)=0,"Spatial Data Missing ⚠",VLOOKUP(M60,'G-7 WaterC'' Data'!$AA$4:$AB$7,2,FALSE)))</f>
        <v/>
      </c>
      <c r="O60" s="60"/>
      <c r="P60" s="363" t="str">
        <f>IF(O60="","",IF(VLOOKUP(O60,'G-7 WaterC'' Data'!$AD$4:$AE$14,2,FALSE)=0,"Spatial Data Missing ⚠",VLOOKUP(O60,'G-7 WaterC'' Data'!$AD$4:$AE$14,2,FALSE)))</f>
        <v/>
      </c>
      <c r="Q60" s="369" t="str">
        <f>IF(D60="","",VLOOKUP(D60,'G-7 WaterC'' Data'!$B$4:$G$8,6,FALSE))</f>
        <v/>
      </c>
      <c r="R60" s="376" t="str">
        <f>IFERROR(IF(D60="","",IF(AND(Q60='G-1 All Habitats'!$X$3,X60&gt;0),Y60+(Z60*T60),IF(AND(Q60='G-1 All Habitats'!$X$3,W60&gt;0),Y60+(Z60*T60),IF(AND(Q60='G-1 All Habitats'!$X$3,AH60&gt;0),"Any Loss Unacceptable ⚠",IF(AND(Q60='G-1 All Habitats'!$X$3,AI60&gt;0),"Any Loss Unacceptable ⚠", E60*G60*I60*L60*N60*P60*T60 ))))),"Check Data ▲")</f>
        <v/>
      </c>
      <c r="S60" s="516"/>
      <c r="T60" s="368" t="str">
        <f>IF(S60="","",IF(VLOOKUP(S60,'G-7 WaterC'' Data'!$AO$4:$BO$7,2,FALSE)=0,"Spatial Data Missing ⚠",VLOOKUP(S60,'G-7 WaterC'' Data'!$AO$4:$BO$7,2,FALSE)))</f>
        <v/>
      </c>
      <c r="U60" s="376" t="str">
        <f>IFERROR(IF(D60="","",IF(AND(Q60='G-1 All Habitats'!$X$3,X60&gt;0),Y60+Z60,IF(AND(Q60='G-1 All Habitats'!$X$3,W60&gt;0),Y60+Z60,IF(AND(Q60='G-1 All Habitats'!$X$3,AH60&gt;0),"Any Loss Unacceptable ⚠",IF(AND(Q60='G-1 All Habitats'!$X$3,AI60&gt;0),"Any Loss Unacceptable ⚠", E60*G60*I60*L60*N60*P60 ))))),"Check Data ▲")</f>
        <v/>
      </c>
      <c r="V60" s="32"/>
      <c r="W60" s="114"/>
      <c r="X60" s="125"/>
      <c r="Y60" s="374" t="str">
        <f t="shared" si="0"/>
        <v/>
      </c>
      <c r="Z60" s="374" t="str">
        <f t="shared" si="1"/>
        <v/>
      </c>
      <c r="AA60" s="374" t="str">
        <f t="shared" si="2"/>
        <v/>
      </c>
      <c r="AB60" s="670" t="str">
        <f t="shared" si="3"/>
        <v/>
      </c>
      <c r="AC60" s="516"/>
      <c r="AD60" s="119"/>
      <c r="AE60" s="120"/>
      <c r="AF60" s="120"/>
      <c r="AG60" s="120"/>
      <c r="AH60" s="57" t="str">
        <f>IF(Q60="","",IF(Q60='G-1 All Habitats'!$X$3,E60-X60-W60,"None"))</f>
        <v/>
      </c>
      <c r="AI60" s="58" t="str">
        <f>IF(Q60="","", IF(Q60='G-1 All Habitats'!$X$3, AH60*G60*I60*L60*N60*P60,"None"))</f>
        <v/>
      </c>
      <c r="AJ60" s="30" t="str">
        <f>IFERROR(INDEX('G-7 WaterC'' Data'!$AZ$3:$AZ$7,MATCH(D60,'G-7 WaterC'' Data'!$AY$3:$AY$7,0)),"")</f>
        <v/>
      </c>
      <c r="AK60" s="30">
        <f t="shared" si="4"/>
        <v>0</v>
      </c>
      <c r="AL60" s="124" t="str">
        <f t="shared" si="5"/>
        <v/>
      </c>
      <c r="AM60" s="124" t="str">
        <f t="shared" si="6"/>
        <v/>
      </c>
      <c r="AO60" s="124">
        <v>51</v>
      </c>
      <c r="AQ60" s="124" t="str">
        <f t="array" ref="AQ60">IFERROR(INDEX($AO$10:$AO$258, MATCH(0, IF(TRUE=$AL$10:$AL$258, COUNTIF($AQ$9:$AQ59, $AO$10:$AO$258), ""), 0)),"")</f>
        <v/>
      </c>
      <c r="AR60" s="124" t="str">
        <f t="array" ref="AR60">IFERROR(INDEX($AO$10:$AO$258, MATCH(0, IF(TRUE=$AM$10:$AM$258, COUNTIF($AR$9:$AR59, $AO$10:$AO$258), ""), 0)),"")</f>
        <v/>
      </c>
      <c r="AZ60" s="802" t="str">
        <f t="shared" si="7"/>
        <v/>
      </c>
    </row>
    <row r="61" spans="3:52" ht="15.75" thickBot="1">
      <c r="C61" s="110">
        <v>52</v>
      </c>
      <c r="D61" s="340"/>
      <c r="E61" s="121"/>
      <c r="F61" s="362" t="str">
        <f>IF(D61="","",VLOOKUP(D61,'G-7 WaterC'' Data'!$B$2:$G$8,2,FALSE))</f>
        <v/>
      </c>
      <c r="G61" s="363" t="str">
        <f>IFERROR(VLOOKUP(F61,'G-7 WaterC'' Data'!$C$4:$D$8,2,FALSE),"")</f>
        <v/>
      </c>
      <c r="H61" s="114"/>
      <c r="I61" s="363" t="str">
        <f>IFERROR(INDEX('G-7 WaterC'' Data'!$H$4:$L$8,MATCH(D61,'G-7 WaterC'' Data'!$B$4:$B$8,0),MATCH(H61,'G-7 WaterC'' Data'!$H$3:$L$3,0)),"")</f>
        <v/>
      </c>
      <c r="J61" s="115"/>
      <c r="K61" s="382" t="str">
        <f>IF(J61="","",IF(VLOOKUP(J61,'G-7 WaterC'' Data'!$AK$4:$AM$9,2,FALSE)=0,"Spatial Data Missing ⚠",VLOOKUP(J61,'G-7 WaterC'' Data'!$AK$4:$AM$6,2,FALSE)))</f>
        <v/>
      </c>
      <c r="L61" s="386" t="str">
        <f>IF(J61="","",IF(VLOOKUP(J61,'G-7 WaterC'' Data'!$AK$4:$AM$9,3,FALSE)=0,"Spatial Data Missing ⚠",VLOOKUP(J61,'G-7 WaterC'' Data'!$AK$4:$AM$6,3,FALSE)))</f>
        <v/>
      </c>
      <c r="M61" s="115"/>
      <c r="N61" s="363" t="str">
        <f>IF(M61="","",IF(VLOOKUP(M61,'G-7 WaterC'' Data'!$AA$4:$AB$7,2,FALSE)=0,"Spatial Data Missing ⚠",VLOOKUP(M61,'G-7 WaterC'' Data'!$AA$4:$AB$7,2,FALSE)))</f>
        <v/>
      </c>
      <c r="O61" s="60"/>
      <c r="P61" s="363" t="str">
        <f>IF(O61="","",IF(VLOOKUP(O61,'G-7 WaterC'' Data'!$AD$4:$AE$14,2,FALSE)=0,"Spatial Data Missing ⚠",VLOOKUP(O61,'G-7 WaterC'' Data'!$AD$4:$AE$14,2,FALSE)))</f>
        <v/>
      </c>
      <c r="Q61" s="369" t="str">
        <f>IF(D61="","",VLOOKUP(D61,'G-7 WaterC'' Data'!$B$4:$G$8,6,FALSE))</f>
        <v/>
      </c>
      <c r="R61" s="376" t="str">
        <f>IFERROR(IF(D61="","",IF(AND(Q61='G-1 All Habitats'!$X$3,X61&gt;0),Y61+(Z61*T61),IF(AND(Q61='G-1 All Habitats'!$X$3,W61&gt;0),Y61+(Z61*T61),IF(AND(Q61='G-1 All Habitats'!$X$3,AH61&gt;0),"Any Loss Unacceptable ⚠",IF(AND(Q61='G-1 All Habitats'!$X$3,AI61&gt;0),"Any Loss Unacceptable ⚠", E61*G61*I61*L61*N61*P61*T61 ))))),"Check Data ▲")</f>
        <v/>
      </c>
      <c r="S61" s="516"/>
      <c r="T61" s="368" t="str">
        <f>IF(S61="","",IF(VLOOKUP(S61,'G-7 WaterC'' Data'!$AO$4:$BO$7,2,FALSE)=0,"Spatial Data Missing ⚠",VLOOKUP(S61,'G-7 WaterC'' Data'!$AO$4:$BO$7,2,FALSE)))</f>
        <v/>
      </c>
      <c r="U61" s="376" t="str">
        <f>IFERROR(IF(D61="","",IF(AND(Q61='G-1 All Habitats'!$X$3,X61&gt;0),Y61+Z61,IF(AND(Q61='G-1 All Habitats'!$X$3,W61&gt;0),Y61+Z61,IF(AND(Q61='G-1 All Habitats'!$X$3,AH61&gt;0),"Any Loss Unacceptable ⚠",IF(AND(Q61='G-1 All Habitats'!$X$3,AI61&gt;0),"Any Loss Unacceptable ⚠", E61*G61*I61*L61*N61*P61 ))))),"Check Data ▲")</f>
        <v/>
      </c>
      <c r="V61" s="32"/>
      <c r="W61" s="114"/>
      <c r="X61" s="125"/>
      <c r="Y61" s="374" t="str">
        <f t="shared" si="0"/>
        <v/>
      </c>
      <c r="Z61" s="374" t="str">
        <f t="shared" si="1"/>
        <v/>
      </c>
      <c r="AA61" s="374" t="str">
        <f t="shared" si="2"/>
        <v/>
      </c>
      <c r="AB61" s="670" t="str">
        <f t="shared" si="3"/>
        <v/>
      </c>
      <c r="AC61" s="516"/>
      <c r="AD61" s="119"/>
      <c r="AE61" s="120"/>
      <c r="AF61" s="120"/>
      <c r="AG61" s="120"/>
      <c r="AH61" s="57" t="str">
        <f>IF(Q61="","",IF(Q61='G-1 All Habitats'!$X$3,E61-X61-W61,"None"))</f>
        <v/>
      </c>
      <c r="AI61" s="58" t="str">
        <f>IF(Q61="","", IF(Q61='G-1 All Habitats'!$X$3, AH61*G61*I61*L61*N61*P61,"None"))</f>
        <v/>
      </c>
      <c r="AJ61" s="30" t="str">
        <f>IFERROR(INDEX('G-7 WaterC'' Data'!$AZ$3:$AZ$7,MATCH(D61,'G-7 WaterC'' Data'!$AY$3:$AY$7,0)),"")</f>
        <v/>
      </c>
      <c r="AK61" s="30">
        <f t="shared" si="4"/>
        <v>0</v>
      </c>
      <c r="AL61" s="124" t="str">
        <f t="shared" si="5"/>
        <v/>
      </c>
      <c r="AM61" s="124" t="str">
        <f t="shared" si="6"/>
        <v/>
      </c>
      <c r="AO61" s="124">
        <v>52</v>
      </c>
      <c r="AQ61" s="124" t="str">
        <f t="array" ref="AQ61">IFERROR(INDEX($AO$10:$AO$258, MATCH(0, IF(TRUE=$AL$10:$AL$258, COUNTIF($AQ$9:$AQ60, $AO$10:$AO$258), ""), 0)),"")</f>
        <v/>
      </c>
      <c r="AR61" s="124" t="str">
        <f t="array" ref="AR61">IFERROR(INDEX($AO$10:$AO$258, MATCH(0, IF(TRUE=$AM$10:$AM$258, COUNTIF($AR$9:$AR60, $AO$10:$AO$258), ""), 0)),"")</f>
        <v/>
      </c>
      <c r="AZ61" s="802" t="str">
        <f t="shared" si="7"/>
        <v/>
      </c>
    </row>
    <row r="62" spans="3:52" ht="15.75" thickBot="1">
      <c r="C62" s="110">
        <v>53</v>
      </c>
      <c r="D62" s="340"/>
      <c r="E62" s="121"/>
      <c r="F62" s="362" t="str">
        <f>IF(D62="","",VLOOKUP(D62,'G-7 WaterC'' Data'!$B$2:$G$8,2,FALSE))</f>
        <v/>
      </c>
      <c r="G62" s="363" t="str">
        <f>IFERROR(VLOOKUP(F62,'G-7 WaterC'' Data'!$C$4:$D$8,2,FALSE),"")</f>
        <v/>
      </c>
      <c r="H62" s="114"/>
      <c r="I62" s="363" t="str">
        <f>IFERROR(INDEX('G-7 WaterC'' Data'!$H$4:$L$8,MATCH(D62,'G-7 WaterC'' Data'!$B$4:$B$8,0),MATCH(H62,'G-7 WaterC'' Data'!$H$3:$L$3,0)),"")</f>
        <v/>
      </c>
      <c r="J62" s="115"/>
      <c r="K62" s="382" t="str">
        <f>IF(J62="","",IF(VLOOKUP(J62,'G-7 WaterC'' Data'!$AK$4:$AM$9,2,FALSE)=0,"Spatial Data Missing ⚠",VLOOKUP(J62,'G-7 WaterC'' Data'!$AK$4:$AM$6,2,FALSE)))</f>
        <v/>
      </c>
      <c r="L62" s="386" t="str">
        <f>IF(J62="","",IF(VLOOKUP(J62,'G-7 WaterC'' Data'!$AK$4:$AM$9,3,FALSE)=0,"Spatial Data Missing ⚠",VLOOKUP(J62,'G-7 WaterC'' Data'!$AK$4:$AM$6,3,FALSE)))</f>
        <v/>
      </c>
      <c r="M62" s="115"/>
      <c r="N62" s="363" t="str">
        <f>IF(M62="","",IF(VLOOKUP(M62,'G-7 WaterC'' Data'!$AA$4:$AB$7,2,FALSE)=0,"Spatial Data Missing ⚠",VLOOKUP(M62,'G-7 WaterC'' Data'!$AA$4:$AB$7,2,FALSE)))</f>
        <v/>
      </c>
      <c r="O62" s="60"/>
      <c r="P62" s="363" t="str">
        <f>IF(O62="","",IF(VLOOKUP(O62,'G-7 WaterC'' Data'!$AD$4:$AE$14,2,FALSE)=0,"Spatial Data Missing ⚠",VLOOKUP(O62,'G-7 WaterC'' Data'!$AD$4:$AE$14,2,FALSE)))</f>
        <v/>
      </c>
      <c r="Q62" s="369" t="str">
        <f>IF(D62="","",VLOOKUP(D62,'G-7 WaterC'' Data'!$B$4:$G$8,6,FALSE))</f>
        <v/>
      </c>
      <c r="R62" s="376" t="str">
        <f>IFERROR(IF(D62="","",IF(AND(Q62='G-1 All Habitats'!$X$3,X62&gt;0),Y62+(Z62*T62),IF(AND(Q62='G-1 All Habitats'!$X$3,W62&gt;0),Y62+(Z62*T62),IF(AND(Q62='G-1 All Habitats'!$X$3,AH62&gt;0),"Any Loss Unacceptable ⚠",IF(AND(Q62='G-1 All Habitats'!$X$3,AI62&gt;0),"Any Loss Unacceptable ⚠", E62*G62*I62*L62*N62*P62*T62 ))))),"Check Data ▲")</f>
        <v/>
      </c>
      <c r="S62" s="516"/>
      <c r="T62" s="368" t="str">
        <f>IF(S62="","",IF(VLOOKUP(S62,'G-7 WaterC'' Data'!$AO$4:$BO$7,2,FALSE)=0,"Spatial Data Missing ⚠",VLOOKUP(S62,'G-7 WaterC'' Data'!$AO$4:$BO$7,2,FALSE)))</f>
        <v/>
      </c>
      <c r="U62" s="376" t="str">
        <f>IFERROR(IF(D62="","",IF(AND(Q62='G-1 All Habitats'!$X$3,X62&gt;0),Y62+Z62,IF(AND(Q62='G-1 All Habitats'!$X$3,W62&gt;0),Y62+Z62,IF(AND(Q62='G-1 All Habitats'!$X$3,AH62&gt;0),"Any Loss Unacceptable ⚠",IF(AND(Q62='G-1 All Habitats'!$X$3,AI62&gt;0),"Any Loss Unacceptable ⚠", E62*G62*I62*L62*N62*P62 ))))),"Check Data ▲")</f>
        <v/>
      </c>
      <c r="V62" s="32"/>
      <c r="W62" s="114"/>
      <c r="X62" s="125"/>
      <c r="Y62" s="374" t="str">
        <f t="shared" si="0"/>
        <v/>
      </c>
      <c r="Z62" s="374" t="str">
        <f t="shared" si="1"/>
        <v/>
      </c>
      <c r="AA62" s="374" t="str">
        <f t="shared" si="2"/>
        <v/>
      </c>
      <c r="AB62" s="670" t="str">
        <f t="shared" si="3"/>
        <v/>
      </c>
      <c r="AC62" s="516"/>
      <c r="AD62" s="119"/>
      <c r="AE62" s="120"/>
      <c r="AF62" s="120"/>
      <c r="AG62" s="120"/>
      <c r="AH62" s="57" t="str">
        <f>IF(Q62="","",IF(Q62='G-1 All Habitats'!$X$3,E62-X62-W62,"None"))</f>
        <v/>
      </c>
      <c r="AI62" s="58" t="str">
        <f>IF(Q62="","", IF(Q62='G-1 All Habitats'!$X$3, AH62*G62*I62*L62*N62*P62,"None"))</f>
        <v/>
      </c>
      <c r="AJ62" s="30" t="str">
        <f>IFERROR(INDEX('G-7 WaterC'' Data'!$AZ$3:$AZ$7,MATCH(D62,'G-7 WaterC'' Data'!$AY$3:$AY$7,0)),"")</f>
        <v/>
      </c>
      <c r="AK62" s="30">
        <f t="shared" si="4"/>
        <v>0</v>
      </c>
      <c r="AL62" s="124" t="str">
        <f t="shared" si="5"/>
        <v/>
      </c>
      <c r="AM62" s="124" t="str">
        <f t="shared" si="6"/>
        <v/>
      </c>
      <c r="AO62" s="124">
        <v>53</v>
      </c>
      <c r="AQ62" s="124" t="str">
        <f t="array" ref="AQ62">IFERROR(INDEX($AO$10:$AO$258, MATCH(0, IF(TRUE=$AL$10:$AL$258, COUNTIF($AQ$9:$AQ61, $AO$10:$AO$258), ""), 0)),"")</f>
        <v/>
      </c>
      <c r="AR62" s="124" t="str">
        <f t="array" ref="AR62">IFERROR(INDEX($AO$10:$AO$258, MATCH(0, IF(TRUE=$AM$10:$AM$258, COUNTIF($AR$9:$AR61, $AO$10:$AO$258), ""), 0)),"")</f>
        <v/>
      </c>
      <c r="AZ62" s="802" t="str">
        <f t="shared" si="7"/>
        <v/>
      </c>
    </row>
    <row r="63" spans="3:52" ht="15.75" thickBot="1">
      <c r="C63" s="110">
        <v>54</v>
      </c>
      <c r="D63" s="340"/>
      <c r="E63" s="121"/>
      <c r="F63" s="362" t="str">
        <f>IF(D63="","",VLOOKUP(D63,'G-7 WaterC'' Data'!$B$2:$G$8,2,FALSE))</f>
        <v/>
      </c>
      <c r="G63" s="363" t="str">
        <f>IFERROR(VLOOKUP(F63,'G-7 WaterC'' Data'!$C$4:$D$8,2,FALSE),"")</f>
        <v/>
      </c>
      <c r="H63" s="114"/>
      <c r="I63" s="363" t="str">
        <f>IFERROR(INDEX('G-7 WaterC'' Data'!$H$4:$L$8,MATCH(D63,'G-7 WaterC'' Data'!$B$4:$B$8,0),MATCH(H63,'G-7 WaterC'' Data'!$H$3:$L$3,0)),"")</f>
        <v/>
      </c>
      <c r="J63" s="115"/>
      <c r="K63" s="382" t="str">
        <f>IF(J63="","",IF(VLOOKUP(J63,'G-7 WaterC'' Data'!$AK$4:$AM$9,2,FALSE)=0,"Spatial Data Missing ⚠",VLOOKUP(J63,'G-7 WaterC'' Data'!$AK$4:$AM$6,2,FALSE)))</f>
        <v/>
      </c>
      <c r="L63" s="386" t="str">
        <f>IF(J63="","",IF(VLOOKUP(J63,'G-7 WaterC'' Data'!$AK$4:$AM$9,3,FALSE)=0,"Spatial Data Missing ⚠",VLOOKUP(J63,'G-7 WaterC'' Data'!$AK$4:$AM$6,3,FALSE)))</f>
        <v/>
      </c>
      <c r="M63" s="115"/>
      <c r="N63" s="363" t="str">
        <f>IF(M63="","",IF(VLOOKUP(M63,'G-7 WaterC'' Data'!$AA$4:$AB$7,2,FALSE)=0,"Spatial Data Missing ⚠",VLOOKUP(M63,'G-7 WaterC'' Data'!$AA$4:$AB$7,2,FALSE)))</f>
        <v/>
      </c>
      <c r="O63" s="60"/>
      <c r="P63" s="363" t="str">
        <f>IF(O63="","",IF(VLOOKUP(O63,'G-7 WaterC'' Data'!$AD$4:$AE$14,2,FALSE)=0,"Spatial Data Missing ⚠",VLOOKUP(O63,'G-7 WaterC'' Data'!$AD$4:$AE$14,2,FALSE)))</f>
        <v/>
      </c>
      <c r="Q63" s="369" t="str">
        <f>IF(D63="","",VLOOKUP(D63,'G-7 WaterC'' Data'!$B$4:$G$8,6,FALSE))</f>
        <v/>
      </c>
      <c r="R63" s="376" t="str">
        <f>IFERROR(IF(D63="","",IF(AND(Q63='G-1 All Habitats'!$X$3,X63&gt;0),Y63+(Z63*T63),IF(AND(Q63='G-1 All Habitats'!$X$3,W63&gt;0),Y63+(Z63*T63),IF(AND(Q63='G-1 All Habitats'!$X$3,AH63&gt;0),"Any Loss Unacceptable ⚠",IF(AND(Q63='G-1 All Habitats'!$X$3,AI63&gt;0),"Any Loss Unacceptable ⚠", E63*G63*I63*L63*N63*P63*T63 ))))),"Check Data ▲")</f>
        <v/>
      </c>
      <c r="S63" s="516"/>
      <c r="T63" s="368" t="str">
        <f>IF(S63="","",IF(VLOOKUP(S63,'G-7 WaterC'' Data'!$AO$4:$BO$7,2,FALSE)=0,"Spatial Data Missing ⚠",VLOOKUP(S63,'G-7 WaterC'' Data'!$AO$4:$BO$7,2,FALSE)))</f>
        <v/>
      </c>
      <c r="U63" s="376" t="str">
        <f>IFERROR(IF(D63="","",IF(AND(Q63='G-1 All Habitats'!$X$3,X63&gt;0),Y63+Z63,IF(AND(Q63='G-1 All Habitats'!$X$3,W63&gt;0),Y63+Z63,IF(AND(Q63='G-1 All Habitats'!$X$3,AH63&gt;0),"Any Loss Unacceptable ⚠",IF(AND(Q63='G-1 All Habitats'!$X$3,AI63&gt;0),"Any Loss Unacceptable ⚠", E63*G63*I63*L63*N63*P63 ))))),"Check Data ▲")</f>
        <v/>
      </c>
      <c r="V63" s="32"/>
      <c r="W63" s="114"/>
      <c r="X63" s="125"/>
      <c r="Y63" s="374" t="str">
        <f t="shared" si="0"/>
        <v/>
      </c>
      <c r="Z63" s="374" t="str">
        <f t="shared" si="1"/>
        <v/>
      </c>
      <c r="AA63" s="374" t="str">
        <f t="shared" si="2"/>
        <v/>
      </c>
      <c r="AB63" s="670" t="str">
        <f t="shared" si="3"/>
        <v/>
      </c>
      <c r="AC63" s="516"/>
      <c r="AD63" s="119"/>
      <c r="AE63" s="120"/>
      <c r="AF63" s="120"/>
      <c r="AG63" s="120"/>
      <c r="AH63" s="57" t="str">
        <f>IF(Q63="","",IF(Q63='G-1 All Habitats'!$X$3,E63-X63-W63,"None"))</f>
        <v/>
      </c>
      <c r="AI63" s="58" t="str">
        <f>IF(Q63="","", IF(Q63='G-1 All Habitats'!$X$3, AH63*G63*I63*L63*N63*P63,"None"))</f>
        <v/>
      </c>
      <c r="AJ63" s="30" t="str">
        <f>IFERROR(INDEX('G-7 WaterC'' Data'!$AZ$3:$AZ$7,MATCH(D63,'G-7 WaterC'' Data'!$AY$3:$AY$7,0)),"")</f>
        <v/>
      </c>
      <c r="AK63" s="30">
        <f t="shared" si="4"/>
        <v>0</v>
      </c>
      <c r="AL63" s="124" t="str">
        <f t="shared" si="5"/>
        <v/>
      </c>
      <c r="AM63" s="124" t="str">
        <f t="shared" si="6"/>
        <v/>
      </c>
      <c r="AO63" s="124">
        <v>54</v>
      </c>
      <c r="AQ63" s="124" t="str">
        <f t="array" ref="AQ63">IFERROR(INDEX($AO$10:$AO$258, MATCH(0, IF(TRUE=$AL$10:$AL$258, COUNTIF($AQ$9:$AQ62, $AO$10:$AO$258), ""), 0)),"")</f>
        <v/>
      </c>
      <c r="AR63" s="124" t="str">
        <f t="array" ref="AR63">IFERROR(INDEX($AO$10:$AO$258, MATCH(0, IF(TRUE=$AM$10:$AM$258, COUNTIF($AR$9:$AR62, $AO$10:$AO$258), ""), 0)),"")</f>
        <v/>
      </c>
      <c r="AZ63" s="802" t="str">
        <f t="shared" si="7"/>
        <v/>
      </c>
    </row>
    <row r="64" spans="3:52" ht="15.75" thickBot="1">
      <c r="C64" s="110">
        <v>55</v>
      </c>
      <c r="D64" s="340"/>
      <c r="E64" s="121"/>
      <c r="F64" s="362" t="str">
        <f>IF(D64="","",VLOOKUP(D64,'G-7 WaterC'' Data'!$B$2:$G$8,2,FALSE))</f>
        <v/>
      </c>
      <c r="G64" s="363" t="str">
        <f>IFERROR(VLOOKUP(F64,'G-7 WaterC'' Data'!$C$4:$D$8,2,FALSE),"")</f>
        <v/>
      </c>
      <c r="H64" s="114"/>
      <c r="I64" s="363" t="str">
        <f>IFERROR(INDEX('G-7 WaterC'' Data'!$H$4:$L$8,MATCH(D64,'G-7 WaterC'' Data'!$B$4:$B$8,0),MATCH(H64,'G-7 WaterC'' Data'!$H$3:$L$3,0)),"")</f>
        <v/>
      </c>
      <c r="J64" s="115"/>
      <c r="K64" s="382" t="str">
        <f>IF(J64="","",IF(VLOOKUP(J64,'G-7 WaterC'' Data'!$AK$4:$AM$9,2,FALSE)=0,"Spatial Data Missing ⚠",VLOOKUP(J64,'G-7 WaterC'' Data'!$AK$4:$AM$6,2,FALSE)))</f>
        <v/>
      </c>
      <c r="L64" s="386" t="str">
        <f>IF(J64="","",IF(VLOOKUP(J64,'G-7 WaterC'' Data'!$AK$4:$AM$9,3,FALSE)=0,"Spatial Data Missing ⚠",VLOOKUP(J64,'G-7 WaterC'' Data'!$AK$4:$AM$6,3,FALSE)))</f>
        <v/>
      </c>
      <c r="M64" s="115"/>
      <c r="N64" s="363" t="str">
        <f>IF(M64="","",IF(VLOOKUP(M64,'G-7 WaterC'' Data'!$AA$4:$AB$7,2,FALSE)=0,"Spatial Data Missing ⚠",VLOOKUP(M64,'G-7 WaterC'' Data'!$AA$4:$AB$7,2,FALSE)))</f>
        <v/>
      </c>
      <c r="O64" s="60"/>
      <c r="P64" s="363" t="str">
        <f>IF(O64="","",IF(VLOOKUP(O64,'G-7 WaterC'' Data'!$AD$4:$AE$14,2,FALSE)=0,"Spatial Data Missing ⚠",VLOOKUP(O64,'G-7 WaterC'' Data'!$AD$4:$AE$14,2,FALSE)))</f>
        <v/>
      </c>
      <c r="Q64" s="369" t="str">
        <f>IF(D64="","",VLOOKUP(D64,'G-7 WaterC'' Data'!$B$4:$G$8,6,FALSE))</f>
        <v/>
      </c>
      <c r="R64" s="376" t="str">
        <f>IFERROR(IF(D64="","",IF(AND(Q64='G-1 All Habitats'!$X$3,X64&gt;0),Y64+(Z64*T64),IF(AND(Q64='G-1 All Habitats'!$X$3,W64&gt;0),Y64+(Z64*T64),IF(AND(Q64='G-1 All Habitats'!$X$3,AH64&gt;0),"Any Loss Unacceptable ⚠",IF(AND(Q64='G-1 All Habitats'!$X$3,AI64&gt;0),"Any Loss Unacceptable ⚠", E64*G64*I64*L64*N64*P64*T64 ))))),"Check Data ▲")</f>
        <v/>
      </c>
      <c r="S64" s="516"/>
      <c r="T64" s="368" t="str">
        <f>IF(S64="","",IF(VLOOKUP(S64,'G-7 WaterC'' Data'!$AO$4:$BO$7,2,FALSE)=0,"Spatial Data Missing ⚠",VLOOKUP(S64,'G-7 WaterC'' Data'!$AO$4:$BO$7,2,FALSE)))</f>
        <v/>
      </c>
      <c r="U64" s="376" t="str">
        <f>IFERROR(IF(D64="","",IF(AND(Q64='G-1 All Habitats'!$X$3,X64&gt;0),Y64+Z64,IF(AND(Q64='G-1 All Habitats'!$X$3,W64&gt;0),Y64+Z64,IF(AND(Q64='G-1 All Habitats'!$X$3,AH64&gt;0),"Any Loss Unacceptable ⚠",IF(AND(Q64='G-1 All Habitats'!$X$3,AI64&gt;0),"Any Loss Unacceptable ⚠", E64*G64*I64*L64*N64*P64 ))))),"Check Data ▲")</f>
        <v/>
      </c>
      <c r="V64" s="32"/>
      <c r="W64" s="114"/>
      <c r="X64" s="125"/>
      <c r="Y64" s="374" t="str">
        <f t="shared" si="0"/>
        <v/>
      </c>
      <c r="Z64" s="374" t="str">
        <f t="shared" si="1"/>
        <v/>
      </c>
      <c r="AA64" s="374" t="str">
        <f t="shared" si="2"/>
        <v/>
      </c>
      <c r="AB64" s="670" t="str">
        <f t="shared" si="3"/>
        <v/>
      </c>
      <c r="AC64" s="516"/>
      <c r="AD64" s="119"/>
      <c r="AE64" s="120"/>
      <c r="AF64" s="120"/>
      <c r="AG64" s="120"/>
      <c r="AH64" s="57" t="str">
        <f>IF(Q64="","",IF(Q64='G-1 All Habitats'!$X$3,E64-X64-W64,"None"))</f>
        <v/>
      </c>
      <c r="AI64" s="58" t="str">
        <f>IF(Q64="","", IF(Q64='G-1 All Habitats'!$X$3, AH64*G64*I64*L64*N64*P64,"None"))</f>
        <v/>
      </c>
      <c r="AJ64" s="30" t="str">
        <f>IFERROR(INDEX('G-7 WaterC'' Data'!$AZ$3:$AZ$7,MATCH(D64,'G-7 WaterC'' Data'!$AY$3:$AY$7,0)),"")</f>
        <v/>
      </c>
      <c r="AK64" s="30">
        <f t="shared" si="4"/>
        <v>0</v>
      </c>
      <c r="AL64" s="124" t="str">
        <f t="shared" si="5"/>
        <v/>
      </c>
      <c r="AM64" s="124" t="str">
        <f t="shared" si="6"/>
        <v/>
      </c>
      <c r="AO64" s="124">
        <v>55</v>
      </c>
      <c r="AQ64" s="124" t="str">
        <f t="array" ref="AQ64">IFERROR(INDEX($AO$10:$AO$258, MATCH(0, IF(TRUE=$AL$10:$AL$258, COUNTIF($AQ$9:$AQ63, $AO$10:$AO$258), ""), 0)),"")</f>
        <v/>
      </c>
      <c r="AR64" s="124" t="str">
        <f t="array" ref="AR64">IFERROR(INDEX($AO$10:$AO$258, MATCH(0, IF(TRUE=$AM$10:$AM$258, COUNTIF($AR$9:$AR63, $AO$10:$AO$258), ""), 0)),"")</f>
        <v/>
      </c>
      <c r="AZ64" s="802" t="str">
        <f t="shared" si="7"/>
        <v/>
      </c>
    </row>
    <row r="65" spans="3:52" ht="15.75" thickBot="1">
      <c r="C65" s="110">
        <v>56</v>
      </c>
      <c r="D65" s="340"/>
      <c r="E65" s="121"/>
      <c r="F65" s="362" t="str">
        <f>IF(D65="","",VLOOKUP(D65,'G-7 WaterC'' Data'!$B$2:$G$8,2,FALSE))</f>
        <v/>
      </c>
      <c r="G65" s="363" t="str">
        <f>IFERROR(VLOOKUP(F65,'G-7 WaterC'' Data'!$C$4:$D$8,2,FALSE),"")</f>
        <v/>
      </c>
      <c r="H65" s="114"/>
      <c r="I65" s="363" t="str">
        <f>IFERROR(INDEX('G-7 WaterC'' Data'!$H$4:$L$8,MATCH(D65,'G-7 WaterC'' Data'!$B$4:$B$8,0),MATCH(H65,'G-7 WaterC'' Data'!$H$3:$L$3,0)),"")</f>
        <v/>
      </c>
      <c r="J65" s="115"/>
      <c r="K65" s="382" t="str">
        <f>IF(J65="","",IF(VLOOKUP(J65,'G-7 WaterC'' Data'!$AK$4:$AM$9,2,FALSE)=0,"Spatial Data Missing ⚠",VLOOKUP(J65,'G-7 WaterC'' Data'!$AK$4:$AM$6,2,FALSE)))</f>
        <v/>
      </c>
      <c r="L65" s="386" t="str">
        <f>IF(J65="","",IF(VLOOKUP(J65,'G-7 WaterC'' Data'!$AK$4:$AM$9,3,FALSE)=0,"Spatial Data Missing ⚠",VLOOKUP(J65,'G-7 WaterC'' Data'!$AK$4:$AM$6,3,FALSE)))</f>
        <v/>
      </c>
      <c r="M65" s="115"/>
      <c r="N65" s="363" t="str">
        <f>IF(M65="","",IF(VLOOKUP(M65,'G-7 WaterC'' Data'!$AA$4:$AB$7,2,FALSE)=0,"Spatial Data Missing ⚠",VLOOKUP(M65,'G-7 WaterC'' Data'!$AA$4:$AB$7,2,FALSE)))</f>
        <v/>
      </c>
      <c r="O65" s="60"/>
      <c r="P65" s="363" t="str">
        <f>IF(O65="","",IF(VLOOKUP(O65,'G-7 WaterC'' Data'!$AD$4:$AE$14,2,FALSE)=0,"Spatial Data Missing ⚠",VLOOKUP(O65,'G-7 WaterC'' Data'!$AD$4:$AE$14,2,FALSE)))</f>
        <v/>
      </c>
      <c r="Q65" s="369" t="str">
        <f>IF(D65="","",VLOOKUP(D65,'G-7 WaterC'' Data'!$B$4:$G$8,6,FALSE))</f>
        <v/>
      </c>
      <c r="R65" s="376" t="str">
        <f>IFERROR(IF(D65="","",IF(AND(Q65='G-1 All Habitats'!$X$3,X65&gt;0),Y65+(Z65*T65),IF(AND(Q65='G-1 All Habitats'!$X$3,W65&gt;0),Y65+(Z65*T65),IF(AND(Q65='G-1 All Habitats'!$X$3,AH65&gt;0),"Any Loss Unacceptable ⚠",IF(AND(Q65='G-1 All Habitats'!$X$3,AI65&gt;0),"Any Loss Unacceptable ⚠", E65*G65*I65*L65*N65*P65*T65 ))))),"Check Data ▲")</f>
        <v/>
      </c>
      <c r="S65" s="516"/>
      <c r="T65" s="368" t="str">
        <f>IF(S65="","",IF(VLOOKUP(S65,'G-7 WaterC'' Data'!$AO$4:$BO$7,2,FALSE)=0,"Spatial Data Missing ⚠",VLOOKUP(S65,'G-7 WaterC'' Data'!$AO$4:$BO$7,2,FALSE)))</f>
        <v/>
      </c>
      <c r="U65" s="376" t="str">
        <f>IFERROR(IF(D65="","",IF(AND(Q65='G-1 All Habitats'!$X$3,X65&gt;0),Y65+Z65,IF(AND(Q65='G-1 All Habitats'!$X$3,W65&gt;0),Y65+Z65,IF(AND(Q65='G-1 All Habitats'!$X$3,AH65&gt;0),"Any Loss Unacceptable ⚠",IF(AND(Q65='G-1 All Habitats'!$X$3,AI65&gt;0),"Any Loss Unacceptable ⚠", E65*G65*I65*L65*N65*P65 ))))),"Check Data ▲")</f>
        <v/>
      </c>
      <c r="V65" s="32"/>
      <c r="W65" s="114"/>
      <c r="X65" s="125"/>
      <c r="Y65" s="374" t="str">
        <f t="shared" si="0"/>
        <v/>
      </c>
      <c r="Z65" s="374" t="str">
        <f t="shared" si="1"/>
        <v/>
      </c>
      <c r="AA65" s="374" t="str">
        <f t="shared" si="2"/>
        <v/>
      </c>
      <c r="AB65" s="670" t="str">
        <f t="shared" si="3"/>
        <v/>
      </c>
      <c r="AC65" s="516"/>
      <c r="AD65" s="119"/>
      <c r="AE65" s="120"/>
      <c r="AF65" s="120"/>
      <c r="AG65" s="120"/>
      <c r="AH65" s="57" t="str">
        <f>IF(Q65="","",IF(Q65='G-1 All Habitats'!$X$3,E65-X65-W65,"None"))</f>
        <v/>
      </c>
      <c r="AI65" s="58" t="str">
        <f>IF(Q65="","", IF(Q65='G-1 All Habitats'!$X$3, AH65*G65*I65*L65*N65*P65,"None"))</f>
        <v/>
      </c>
      <c r="AJ65" s="30" t="str">
        <f>IFERROR(INDEX('G-7 WaterC'' Data'!$AZ$3:$AZ$7,MATCH(D65,'G-7 WaterC'' Data'!$AY$3:$AY$7,0)),"")</f>
        <v/>
      </c>
      <c r="AK65" s="30">
        <f t="shared" si="4"/>
        <v>0</v>
      </c>
      <c r="AL65" s="124" t="str">
        <f t="shared" si="5"/>
        <v/>
      </c>
      <c r="AM65" s="124" t="str">
        <f t="shared" si="6"/>
        <v/>
      </c>
      <c r="AO65" s="124">
        <v>56</v>
      </c>
      <c r="AQ65" s="124" t="str">
        <f t="array" ref="AQ65">IFERROR(INDEX($AO$10:$AO$258, MATCH(0, IF(TRUE=$AL$10:$AL$258, COUNTIF($AQ$9:$AQ64, $AO$10:$AO$258), ""), 0)),"")</f>
        <v/>
      </c>
      <c r="AR65" s="124" t="str">
        <f t="array" ref="AR65">IFERROR(INDEX($AO$10:$AO$258, MATCH(0, IF(TRUE=$AM$10:$AM$258, COUNTIF($AR$9:$AR64, $AO$10:$AO$258), ""), 0)),"")</f>
        <v/>
      </c>
      <c r="AZ65" s="802" t="str">
        <f t="shared" si="7"/>
        <v/>
      </c>
    </row>
    <row r="66" spans="3:52" ht="15.75" thickBot="1">
      <c r="C66" s="110">
        <v>57</v>
      </c>
      <c r="D66" s="340"/>
      <c r="E66" s="121"/>
      <c r="F66" s="362" t="str">
        <f>IF(D66="","",VLOOKUP(D66,'G-7 WaterC'' Data'!$B$2:$G$8,2,FALSE))</f>
        <v/>
      </c>
      <c r="G66" s="363" t="str">
        <f>IFERROR(VLOOKUP(F66,'G-7 WaterC'' Data'!$C$4:$D$8,2,FALSE),"")</f>
        <v/>
      </c>
      <c r="H66" s="114"/>
      <c r="I66" s="363" t="str">
        <f>IFERROR(INDEX('G-7 WaterC'' Data'!$H$4:$L$8,MATCH(D66,'G-7 WaterC'' Data'!$B$4:$B$8,0),MATCH(H66,'G-7 WaterC'' Data'!$H$3:$L$3,0)),"")</f>
        <v/>
      </c>
      <c r="J66" s="115"/>
      <c r="K66" s="382" t="str">
        <f>IF(J66="","",IF(VLOOKUP(J66,'G-7 WaterC'' Data'!$AK$4:$AM$9,2,FALSE)=0,"Spatial Data Missing ⚠",VLOOKUP(J66,'G-7 WaterC'' Data'!$AK$4:$AM$6,2,FALSE)))</f>
        <v/>
      </c>
      <c r="L66" s="386" t="str">
        <f>IF(J66="","",IF(VLOOKUP(J66,'G-7 WaterC'' Data'!$AK$4:$AM$9,3,FALSE)=0,"Spatial Data Missing ⚠",VLOOKUP(J66,'G-7 WaterC'' Data'!$AK$4:$AM$6,3,FALSE)))</f>
        <v/>
      </c>
      <c r="M66" s="115"/>
      <c r="N66" s="363" t="str">
        <f>IF(M66="","",IF(VLOOKUP(M66,'G-7 WaterC'' Data'!$AA$4:$AB$7,2,FALSE)=0,"Spatial Data Missing ⚠",VLOOKUP(M66,'G-7 WaterC'' Data'!$AA$4:$AB$7,2,FALSE)))</f>
        <v/>
      </c>
      <c r="O66" s="60"/>
      <c r="P66" s="363" t="str">
        <f>IF(O66="","",IF(VLOOKUP(O66,'G-7 WaterC'' Data'!$AD$4:$AE$14,2,FALSE)=0,"Spatial Data Missing ⚠",VLOOKUP(O66,'G-7 WaterC'' Data'!$AD$4:$AE$14,2,FALSE)))</f>
        <v/>
      </c>
      <c r="Q66" s="369" t="str">
        <f>IF(D66="","",VLOOKUP(D66,'G-7 WaterC'' Data'!$B$4:$G$8,6,FALSE))</f>
        <v/>
      </c>
      <c r="R66" s="376" t="str">
        <f>IFERROR(IF(D66="","",IF(AND(Q66='G-1 All Habitats'!$X$3,X66&gt;0),Y66+(Z66*T66),IF(AND(Q66='G-1 All Habitats'!$X$3,W66&gt;0),Y66+(Z66*T66),IF(AND(Q66='G-1 All Habitats'!$X$3,AH66&gt;0),"Any Loss Unacceptable ⚠",IF(AND(Q66='G-1 All Habitats'!$X$3,AI66&gt;0),"Any Loss Unacceptable ⚠", E66*G66*I66*L66*N66*P66*T66 ))))),"Check Data ▲")</f>
        <v/>
      </c>
      <c r="S66" s="516"/>
      <c r="T66" s="368" t="str">
        <f>IF(S66="","",IF(VLOOKUP(S66,'G-7 WaterC'' Data'!$AO$4:$BO$7,2,FALSE)=0,"Spatial Data Missing ⚠",VLOOKUP(S66,'G-7 WaterC'' Data'!$AO$4:$BO$7,2,FALSE)))</f>
        <v/>
      </c>
      <c r="U66" s="376" t="str">
        <f>IFERROR(IF(D66="","",IF(AND(Q66='G-1 All Habitats'!$X$3,X66&gt;0),Y66+Z66,IF(AND(Q66='G-1 All Habitats'!$X$3,W66&gt;0),Y66+Z66,IF(AND(Q66='G-1 All Habitats'!$X$3,AH66&gt;0),"Any Loss Unacceptable ⚠",IF(AND(Q66='G-1 All Habitats'!$X$3,AI66&gt;0),"Any Loss Unacceptable ⚠", E66*G66*I66*L66*N66*P66 ))))),"Check Data ▲")</f>
        <v/>
      </c>
      <c r="V66" s="32"/>
      <c r="W66" s="114"/>
      <c r="X66" s="125"/>
      <c r="Y66" s="374" t="str">
        <f t="shared" si="0"/>
        <v/>
      </c>
      <c r="Z66" s="374" t="str">
        <f t="shared" si="1"/>
        <v/>
      </c>
      <c r="AA66" s="374" t="str">
        <f t="shared" si="2"/>
        <v/>
      </c>
      <c r="AB66" s="670" t="str">
        <f t="shared" si="3"/>
        <v/>
      </c>
      <c r="AC66" s="516"/>
      <c r="AD66" s="119"/>
      <c r="AE66" s="120"/>
      <c r="AF66" s="120"/>
      <c r="AG66" s="120"/>
      <c r="AH66" s="57" t="str">
        <f>IF(Q66="","",IF(Q66='G-1 All Habitats'!$X$3,E66-X66-W66,"None"))</f>
        <v/>
      </c>
      <c r="AI66" s="58" t="str">
        <f>IF(Q66="","", IF(Q66='G-1 All Habitats'!$X$3, AH66*G66*I66*L66*N66*P66,"None"))</f>
        <v/>
      </c>
      <c r="AJ66" s="30" t="str">
        <f>IFERROR(INDEX('G-7 WaterC'' Data'!$AZ$3:$AZ$7,MATCH(D66,'G-7 WaterC'' Data'!$AY$3:$AY$7,0)),"")</f>
        <v/>
      </c>
      <c r="AK66" s="30">
        <f t="shared" si="4"/>
        <v>0</v>
      </c>
      <c r="AL66" s="124" t="str">
        <f t="shared" si="5"/>
        <v/>
      </c>
      <c r="AM66" s="124" t="str">
        <f t="shared" si="6"/>
        <v/>
      </c>
      <c r="AO66" s="124">
        <v>57</v>
      </c>
      <c r="AQ66" s="124" t="str">
        <f t="array" ref="AQ66">IFERROR(INDEX($AO$10:$AO$258, MATCH(0, IF(TRUE=$AL$10:$AL$258, COUNTIF($AQ$9:$AQ65, $AO$10:$AO$258), ""), 0)),"")</f>
        <v/>
      </c>
      <c r="AR66" s="124" t="str">
        <f t="array" ref="AR66">IFERROR(INDEX($AO$10:$AO$258, MATCH(0, IF(TRUE=$AM$10:$AM$258, COUNTIF($AR$9:$AR65, $AO$10:$AO$258), ""), 0)),"")</f>
        <v/>
      </c>
      <c r="AZ66" s="802" t="str">
        <f t="shared" si="7"/>
        <v/>
      </c>
    </row>
    <row r="67" spans="3:52" ht="15.75" thickBot="1">
      <c r="C67" s="110">
        <v>58</v>
      </c>
      <c r="D67" s="340"/>
      <c r="E67" s="121"/>
      <c r="F67" s="362" t="str">
        <f>IF(D67="","",VLOOKUP(D67,'G-7 WaterC'' Data'!$B$2:$G$8,2,FALSE))</f>
        <v/>
      </c>
      <c r="G67" s="363" t="str">
        <f>IFERROR(VLOOKUP(F67,'G-7 WaterC'' Data'!$C$4:$D$8,2,FALSE),"")</f>
        <v/>
      </c>
      <c r="H67" s="114"/>
      <c r="I67" s="363" t="str">
        <f>IFERROR(INDEX('G-7 WaterC'' Data'!$H$4:$L$8,MATCH(D67,'G-7 WaterC'' Data'!$B$4:$B$8,0),MATCH(H67,'G-7 WaterC'' Data'!$H$3:$L$3,0)),"")</f>
        <v/>
      </c>
      <c r="J67" s="115"/>
      <c r="K67" s="382" t="str">
        <f>IF(J67="","",IF(VLOOKUP(J67,'G-7 WaterC'' Data'!$AK$4:$AM$9,2,FALSE)=0,"Spatial Data Missing ⚠",VLOOKUP(J67,'G-7 WaterC'' Data'!$AK$4:$AM$6,2,FALSE)))</f>
        <v/>
      </c>
      <c r="L67" s="386" t="str">
        <f>IF(J67="","",IF(VLOOKUP(J67,'G-7 WaterC'' Data'!$AK$4:$AM$9,3,FALSE)=0,"Spatial Data Missing ⚠",VLOOKUP(J67,'G-7 WaterC'' Data'!$AK$4:$AM$6,3,FALSE)))</f>
        <v/>
      </c>
      <c r="M67" s="115"/>
      <c r="N67" s="363" t="str">
        <f>IF(M67="","",IF(VLOOKUP(M67,'G-7 WaterC'' Data'!$AA$4:$AB$7,2,FALSE)=0,"Spatial Data Missing ⚠",VLOOKUP(M67,'G-7 WaterC'' Data'!$AA$4:$AB$7,2,FALSE)))</f>
        <v/>
      </c>
      <c r="O67" s="60"/>
      <c r="P67" s="363" t="str">
        <f>IF(O67="","",IF(VLOOKUP(O67,'G-7 WaterC'' Data'!$AD$4:$AE$14,2,FALSE)=0,"Spatial Data Missing ⚠",VLOOKUP(O67,'G-7 WaterC'' Data'!$AD$4:$AE$14,2,FALSE)))</f>
        <v/>
      </c>
      <c r="Q67" s="369" t="str">
        <f>IF(D67="","",VLOOKUP(D67,'G-7 WaterC'' Data'!$B$4:$G$8,6,FALSE))</f>
        <v/>
      </c>
      <c r="R67" s="376" t="str">
        <f>IFERROR(IF(D67="","",IF(AND(Q67='G-1 All Habitats'!$X$3,X67&gt;0),Y67+(Z67*T67),IF(AND(Q67='G-1 All Habitats'!$X$3,W67&gt;0),Y67+(Z67*T67),IF(AND(Q67='G-1 All Habitats'!$X$3,AH67&gt;0),"Any Loss Unacceptable ⚠",IF(AND(Q67='G-1 All Habitats'!$X$3,AI67&gt;0),"Any Loss Unacceptable ⚠", E67*G67*I67*L67*N67*P67*T67 ))))),"Check Data ▲")</f>
        <v/>
      </c>
      <c r="S67" s="516"/>
      <c r="T67" s="368" t="str">
        <f>IF(S67="","",IF(VLOOKUP(S67,'G-7 WaterC'' Data'!$AO$4:$BO$7,2,FALSE)=0,"Spatial Data Missing ⚠",VLOOKUP(S67,'G-7 WaterC'' Data'!$AO$4:$BO$7,2,FALSE)))</f>
        <v/>
      </c>
      <c r="U67" s="376" t="str">
        <f>IFERROR(IF(D67="","",IF(AND(Q67='G-1 All Habitats'!$X$3,X67&gt;0),Y67+Z67,IF(AND(Q67='G-1 All Habitats'!$X$3,W67&gt;0),Y67+Z67,IF(AND(Q67='G-1 All Habitats'!$X$3,AH67&gt;0),"Any Loss Unacceptable ⚠",IF(AND(Q67='G-1 All Habitats'!$X$3,AI67&gt;0),"Any Loss Unacceptable ⚠", E67*G67*I67*L67*N67*P67 ))))),"Check Data ▲")</f>
        <v/>
      </c>
      <c r="V67" s="32"/>
      <c r="W67" s="114"/>
      <c r="X67" s="125"/>
      <c r="Y67" s="374" t="str">
        <f t="shared" si="0"/>
        <v/>
      </c>
      <c r="Z67" s="374" t="str">
        <f t="shared" si="1"/>
        <v/>
      </c>
      <c r="AA67" s="374" t="str">
        <f t="shared" si="2"/>
        <v/>
      </c>
      <c r="AB67" s="670" t="str">
        <f t="shared" si="3"/>
        <v/>
      </c>
      <c r="AC67" s="516"/>
      <c r="AD67" s="119"/>
      <c r="AE67" s="120"/>
      <c r="AF67" s="120"/>
      <c r="AG67" s="120"/>
      <c r="AH67" s="57" t="str">
        <f>IF(Q67="","",IF(Q67='G-1 All Habitats'!$X$3,E67-X67-W67,"None"))</f>
        <v/>
      </c>
      <c r="AI67" s="58" t="str">
        <f>IF(Q67="","", IF(Q67='G-1 All Habitats'!$X$3, AH67*G67*I67*L67*N67*P67,"None"))</f>
        <v/>
      </c>
      <c r="AJ67" s="30" t="str">
        <f>IFERROR(INDEX('G-7 WaterC'' Data'!$AZ$3:$AZ$7,MATCH(D67,'G-7 WaterC'' Data'!$AY$3:$AY$7,0)),"")</f>
        <v/>
      </c>
      <c r="AK67" s="30">
        <f t="shared" si="4"/>
        <v>0</v>
      </c>
      <c r="AL67" s="124" t="str">
        <f t="shared" si="5"/>
        <v/>
      </c>
      <c r="AM67" s="124" t="str">
        <f t="shared" si="6"/>
        <v/>
      </c>
      <c r="AO67" s="124">
        <v>58</v>
      </c>
      <c r="AQ67" s="124" t="str">
        <f t="array" ref="AQ67">IFERROR(INDEX($AO$10:$AO$258, MATCH(0, IF(TRUE=$AL$10:$AL$258, COUNTIF($AQ$9:$AQ66, $AO$10:$AO$258), ""), 0)),"")</f>
        <v/>
      </c>
      <c r="AR67" s="124" t="str">
        <f t="array" ref="AR67">IFERROR(INDEX($AO$10:$AO$258, MATCH(0, IF(TRUE=$AM$10:$AM$258, COUNTIF($AR$9:$AR66, $AO$10:$AO$258), ""), 0)),"")</f>
        <v/>
      </c>
      <c r="AZ67" s="802" t="str">
        <f t="shared" si="7"/>
        <v/>
      </c>
    </row>
    <row r="68" spans="3:52" ht="15.75" thickBot="1">
      <c r="C68" s="110">
        <v>59</v>
      </c>
      <c r="D68" s="340"/>
      <c r="E68" s="121"/>
      <c r="F68" s="362" t="str">
        <f>IF(D68="","",VLOOKUP(D68,'G-7 WaterC'' Data'!$B$2:$G$8,2,FALSE))</f>
        <v/>
      </c>
      <c r="G68" s="363" t="str">
        <f>IFERROR(VLOOKUP(F68,'G-7 WaterC'' Data'!$C$4:$D$8,2,FALSE),"")</f>
        <v/>
      </c>
      <c r="H68" s="114"/>
      <c r="I68" s="363" t="str">
        <f>IFERROR(INDEX('G-7 WaterC'' Data'!$H$4:$L$8,MATCH(D68,'G-7 WaterC'' Data'!$B$4:$B$8,0),MATCH(H68,'G-7 WaterC'' Data'!$H$3:$L$3,0)),"")</f>
        <v/>
      </c>
      <c r="J68" s="115"/>
      <c r="K68" s="382" t="str">
        <f>IF(J68="","",IF(VLOOKUP(J68,'G-7 WaterC'' Data'!$AK$4:$AM$9,2,FALSE)=0,"Spatial Data Missing ⚠",VLOOKUP(J68,'G-7 WaterC'' Data'!$AK$4:$AM$6,2,FALSE)))</f>
        <v/>
      </c>
      <c r="L68" s="386" t="str">
        <f>IF(J68="","",IF(VLOOKUP(J68,'G-7 WaterC'' Data'!$AK$4:$AM$9,3,FALSE)=0,"Spatial Data Missing ⚠",VLOOKUP(J68,'G-7 WaterC'' Data'!$AK$4:$AM$6,3,FALSE)))</f>
        <v/>
      </c>
      <c r="M68" s="115"/>
      <c r="N68" s="363" t="str">
        <f>IF(M68="","",IF(VLOOKUP(M68,'G-7 WaterC'' Data'!$AA$4:$AB$7,2,FALSE)=0,"Spatial Data Missing ⚠",VLOOKUP(M68,'G-7 WaterC'' Data'!$AA$4:$AB$7,2,FALSE)))</f>
        <v/>
      </c>
      <c r="O68" s="60"/>
      <c r="P68" s="363" t="str">
        <f>IF(O68="","",IF(VLOOKUP(O68,'G-7 WaterC'' Data'!$AD$4:$AE$14,2,FALSE)=0,"Spatial Data Missing ⚠",VLOOKUP(O68,'G-7 WaterC'' Data'!$AD$4:$AE$14,2,FALSE)))</f>
        <v/>
      </c>
      <c r="Q68" s="369" t="str">
        <f>IF(D68="","",VLOOKUP(D68,'G-7 WaterC'' Data'!$B$4:$G$8,6,FALSE))</f>
        <v/>
      </c>
      <c r="R68" s="376" t="str">
        <f>IFERROR(IF(D68="","",IF(AND(Q68='G-1 All Habitats'!$X$3,X68&gt;0),Y68+(Z68*T68),IF(AND(Q68='G-1 All Habitats'!$X$3,W68&gt;0),Y68+(Z68*T68),IF(AND(Q68='G-1 All Habitats'!$X$3,AH68&gt;0),"Any Loss Unacceptable ⚠",IF(AND(Q68='G-1 All Habitats'!$X$3,AI68&gt;0),"Any Loss Unacceptable ⚠", E68*G68*I68*L68*N68*P68*T68 ))))),"Check Data ▲")</f>
        <v/>
      </c>
      <c r="S68" s="516"/>
      <c r="T68" s="368" t="str">
        <f>IF(S68="","",IF(VLOOKUP(S68,'G-7 WaterC'' Data'!$AO$4:$BO$7,2,FALSE)=0,"Spatial Data Missing ⚠",VLOOKUP(S68,'G-7 WaterC'' Data'!$AO$4:$BO$7,2,FALSE)))</f>
        <v/>
      </c>
      <c r="U68" s="376" t="str">
        <f>IFERROR(IF(D68="","",IF(AND(Q68='G-1 All Habitats'!$X$3,X68&gt;0),Y68+Z68,IF(AND(Q68='G-1 All Habitats'!$X$3,W68&gt;0),Y68+Z68,IF(AND(Q68='G-1 All Habitats'!$X$3,AH68&gt;0),"Any Loss Unacceptable ⚠",IF(AND(Q68='G-1 All Habitats'!$X$3,AI68&gt;0),"Any Loss Unacceptable ⚠", E68*G68*I68*L68*N68*P68 ))))),"Check Data ▲")</f>
        <v/>
      </c>
      <c r="V68" s="32"/>
      <c r="W68" s="114"/>
      <c r="X68" s="125"/>
      <c r="Y68" s="374" t="str">
        <f t="shared" si="0"/>
        <v/>
      </c>
      <c r="Z68" s="374" t="str">
        <f t="shared" si="1"/>
        <v/>
      </c>
      <c r="AA68" s="374" t="str">
        <f t="shared" si="2"/>
        <v/>
      </c>
      <c r="AB68" s="670" t="str">
        <f t="shared" si="3"/>
        <v/>
      </c>
      <c r="AC68" s="516"/>
      <c r="AD68" s="119"/>
      <c r="AE68" s="120"/>
      <c r="AF68" s="120"/>
      <c r="AG68" s="120"/>
      <c r="AH68" s="57" t="str">
        <f>IF(Q68="","",IF(Q68='G-1 All Habitats'!$X$3,E68-X68-W68,"None"))</f>
        <v/>
      </c>
      <c r="AI68" s="58" t="str">
        <f>IF(Q68="","", IF(Q68='G-1 All Habitats'!$X$3, AH68*G68*I68*L68*N68*P68,"None"))</f>
        <v/>
      </c>
      <c r="AJ68" s="30" t="str">
        <f>IFERROR(INDEX('G-7 WaterC'' Data'!$AZ$3:$AZ$7,MATCH(D68,'G-7 WaterC'' Data'!$AY$3:$AY$7,0)),"")</f>
        <v/>
      </c>
      <c r="AK68" s="30">
        <f t="shared" si="4"/>
        <v>0</v>
      </c>
      <c r="AL68" s="124" t="str">
        <f t="shared" si="5"/>
        <v/>
      </c>
      <c r="AM68" s="124" t="str">
        <f t="shared" si="6"/>
        <v/>
      </c>
      <c r="AO68" s="124">
        <v>59</v>
      </c>
      <c r="AQ68" s="124" t="str">
        <f t="array" ref="AQ68">IFERROR(INDEX($AO$10:$AO$258, MATCH(0, IF(TRUE=$AL$10:$AL$258, COUNTIF($AQ$9:$AQ67, $AO$10:$AO$258), ""), 0)),"")</f>
        <v/>
      </c>
      <c r="AR68" s="124" t="str">
        <f t="array" ref="AR68">IFERROR(INDEX($AO$10:$AO$258, MATCH(0, IF(TRUE=$AM$10:$AM$258, COUNTIF($AR$9:$AR67, $AO$10:$AO$258), ""), 0)),"")</f>
        <v/>
      </c>
      <c r="AZ68" s="802" t="str">
        <f t="shared" si="7"/>
        <v/>
      </c>
    </row>
    <row r="69" spans="3:52" ht="15.75" thickBot="1">
      <c r="C69" s="110">
        <v>60</v>
      </c>
      <c r="D69" s="340"/>
      <c r="E69" s="121"/>
      <c r="F69" s="362" t="str">
        <f>IF(D69="","",VLOOKUP(D69,'G-7 WaterC'' Data'!$B$2:$G$8,2,FALSE))</f>
        <v/>
      </c>
      <c r="G69" s="363" t="str">
        <f>IFERROR(VLOOKUP(F69,'G-7 WaterC'' Data'!$C$4:$D$8,2,FALSE),"")</f>
        <v/>
      </c>
      <c r="H69" s="114"/>
      <c r="I69" s="363" t="str">
        <f>IFERROR(INDEX('G-7 WaterC'' Data'!$H$4:$L$8,MATCH(D69,'G-7 WaterC'' Data'!$B$4:$B$8,0),MATCH(H69,'G-7 WaterC'' Data'!$H$3:$L$3,0)),"")</f>
        <v/>
      </c>
      <c r="J69" s="115"/>
      <c r="K69" s="382" t="str">
        <f>IF(J69="","",IF(VLOOKUP(J69,'G-7 WaterC'' Data'!$AK$4:$AM$9,2,FALSE)=0,"Spatial Data Missing ⚠",VLOOKUP(J69,'G-7 WaterC'' Data'!$AK$4:$AM$6,2,FALSE)))</f>
        <v/>
      </c>
      <c r="L69" s="386" t="str">
        <f>IF(J69="","",IF(VLOOKUP(J69,'G-7 WaterC'' Data'!$AK$4:$AM$9,3,FALSE)=0,"Spatial Data Missing ⚠",VLOOKUP(J69,'G-7 WaterC'' Data'!$AK$4:$AM$6,3,FALSE)))</f>
        <v/>
      </c>
      <c r="M69" s="115"/>
      <c r="N69" s="363" t="str">
        <f>IF(M69="","",IF(VLOOKUP(M69,'G-7 WaterC'' Data'!$AA$4:$AB$7,2,FALSE)=0,"Spatial Data Missing ⚠",VLOOKUP(M69,'G-7 WaterC'' Data'!$AA$4:$AB$7,2,FALSE)))</f>
        <v/>
      </c>
      <c r="O69" s="60"/>
      <c r="P69" s="363" t="str">
        <f>IF(O69="","",IF(VLOOKUP(O69,'G-7 WaterC'' Data'!$AD$4:$AE$14,2,FALSE)=0,"Spatial Data Missing ⚠",VLOOKUP(O69,'G-7 WaterC'' Data'!$AD$4:$AE$14,2,FALSE)))</f>
        <v/>
      </c>
      <c r="Q69" s="369" t="str">
        <f>IF(D69="","",VLOOKUP(D69,'G-7 WaterC'' Data'!$B$4:$G$8,6,FALSE))</f>
        <v/>
      </c>
      <c r="R69" s="376" t="str">
        <f>IFERROR(IF(D69="","",IF(AND(Q69='G-1 All Habitats'!$X$3,X69&gt;0),Y69+(Z69*T69),IF(AND(Q69='G-1 All Habitats'!$X$3,W69&gt;0),Y69+(Z69*T69),IF(AND(Q69='G-1 All Habitats'!$X$3,AH69&gt;0),"Any Loss Unacceptable ⚠",IF(AND(Q69='G-1 All Habitats'!$X$3,AI69&gt;0),"Any Loss Unacceptable ⚠", E69*G69*I69*L69*N69*P69*T69 ))))),"Check Data ▲")</f>
        <v/>
      </c>
      <c r="S69" s="516"/>
      <c r="T69" s="368" t="str">
        <f>IF(S69="","",IF(VLOOKUP(S69,'G-7 WaterC'' Data'!$AO$4:$BO$7,2,FALSE)=0,"Spatial Data Missing ⚠",VLOOKUP(S69,'G-7 WaterC'' Data'!$AO$4:$BO$7,2,FALSE)))</f>
        <v/>
      </c>
      <c r="U69" s="376" t="str">
        <f>IFERROR(IF(D69="","",IF(AND(Q69='G-1 All Habitats'!$X$3,X69&gt;0),Y69+Z69,IF(AND(Q69='G-1 All Habitats'!$X$3,W69&gt;0),Y69+Z69,IF(AND(Q69='G-1 All Habitats'!$X$3,AH69&gt;0),"Any Loss Unacceptable ⚠",IF(AND(Q69='G-1 All Habitats'!$X$3,AI69&gt;0),"Any Loss Unacceptable ⚠", E69*G69*I69*L69*N69*P69 ))))),"Check Data ▲")</f>
        <v/>
      </c>
      <c r="V69" s="32"/>
      <c r="W69" s="114"/>
      <c r="X69" s="125"/>
      <c r="Y69" s="374" t="str">
        <f t="shared" si="0"/>
        <v/>
      </c>
      <c r="Z69" s="374" t="str">
        <f t="shared" si="1"/>
        <v/>
      </c>
      <c r="AA69" s="374" t="str">
        <f t="shared" si="2"/>
        <v/>
      </c>
      <c r="AB69" s="670" t="str">
        <f t="shared" si="3"/>
        <v/>
      </c>
      <c r="AC69" s="516"/>
      <c r="AD69" s="119"/>
      <c r="AE69" s="120"/>
      <c r="AF69" s="120"/>
      <c r="AG69" s="120"/>
      <c r="AH69" s="57" t="str">
        <f>IF(Q69="","",IF(Q69='G-1 All Habitats'!$X$3,E69-X69-W69,"None"))</f>
        <v/>
      </c>
      <c r="AI69" s="58" t="str">
        <f>IF(Q69="","", IF(Q69='G-1 All Habitats'!$X$3, AH69*G69*I69*L69*N69*P69,"None"))</f>
        <v/>
      </c>
      <c r="AJ69" s="30" t="str">
        <f>IFERROR(INDEX('G-7 WaterC'' Data'!$AZ$3:$AZ$7,MATCH(D69,'G-7 WaterC'' Data'!$AY$3:$AY$7,0)),"")</f>
        <v/>
      </c>
      <c r="AK69" s="30">
        <f t="shared" si="4"/>
        <v>0</v>
      </c>
      <c r="AL69" s="124" t="str">
        <f t="shared" si="5"/>
        <v/>
      </c>
      <c r="AM69" s="124" t="str">
        <f t="shared" si="6"/>
        <v/>
      </c>
      <c r="AO69" s="124">
        <v>60</v>
      </c>
      <c r="AQ69" s="124" t="str">
        <f t="array" ref="AQ69">IFERROR(INDEX($AO$10:$AO$258, MATCH(0, IF(TRUE=$AL$10:$AL$258, COUNTIF($AQ$9:$AQ68, $AO$10:$AO$258), ""), 0)),"")</f>
        <v/>
      </c>
      <c r="AR69" s="124" t="str">
        <f t="array" ref="AR69">IFERROR(INDEX($AO$10:$AO$258, MATCH(0, IF(TRUE=$AM$10:$AM$258, COUNTIF($AR$9:$AR68, $AO$10:$AO$258), ""), 0)),"")</f>
        <v/>
      </c>
      <c r="AZ69" s="802" t="str">
        <f t="shared" si="7"/>
        <v/>
      </c>
    </row>
    <row r="70" spans="3:52" ht="15.75" thickBot="1">
      <c r="C70" s="110">
        <v>61</v>
      </c>
      <c r="D70" s="340"/>
      <c r="E70" s="121"/>
      <c r="F70" s="362" t="str">
        <f>IF(D70="","",VLOOKUP(D70,'G-7 WaterC'' Data'!$B$2:$G$8,2,FALSE))</f>
        <v/>
      </c>
      <c r="G70" s="363" t="str">
        <f>IFERROR(VLOOKUP(F70,'G-7 WaterC'' Data'!$C$4:$D$8,2,FALSE),"")</f>
        <v/>
      </c>
      <c r="H70" s="114"/>
      <c r="I70" s="363" t="str">
        <f>IFERROR(INDEX('G-7 WaterC'' Data'!$H$4:$L$8,MATCH(D70,'G-7 WaterC'' Data'!$B$4:$B$8,0),MATCH(H70,'G-7 WaterC'' Data'!$H$3:$L$3,0)),"")</f>
        <v/>
      </c>
      <c r="J70" s="115"/>
      <c r="K70" s="382" t="str">
        <f>IF(J70="","",IF(VLOOKUP(J70,'G-7 WaterC'' Data'!$AK$4:$AM$9,2,FALSE)=0,"Spatial Data Missing ⚠",VLOOKUP(J70,'G-7 WaterC'' Data'!$AK$4:$AM$6,2,FALSE)))</f>
        <v/>
      </c>
      <c r="L70" s="386" t="str">
        <f>IF(J70="","",IF(VLOOKUP(J70,'G-7 WaterC'' Data'!$AK$4:$AM$9,3,FALSE)=0,"Spatial Data Missing ⚠",VLOOKUP(J70,'G-7 WaterC'' Data'!$AK$4:$AM$6,3,FALSE)))</f>
        <v/>
      </c>
      <c r="M70" s="115"/>
      <c r="N70" s="363" t="str">
        <f>IF(M70="","",IF(VLOOKUP(M70,'G-7 WaterC'' Data'!$AA$4:$AB$7,2,FALSE)=0,"Spatial Data Missing ⚠",VLOOKUP(M70,'G-7 WaterC'' Data'!$AA$4:$AB$7,2,FALSE)))</f>
        <v/>
      </c>
      <c r="O70" s="60"/>
      <c r="P70" s="363" t="str">
        <f>IF(O70="","",IF(VLOOKUP(O70,'G-7 WaterC'' Data'!$AD$4:$AE$14,2,FALSE)=0,"Spatial Data Missing ⚠",VLOOKUP(O70,'G-7 WaterC'' Data'!$AD$4:$AE$14,2,FALSE)))</f>
        <v/>
      </c>
      <c r="Q70" s="369" t="str">
        <f>IF(D70="","",VLOOKUP(D70,'G-7 WaterC'' Data'!$B$4:$G$8,6,FALSE))</f>
        <v/>
      </c>
      <c r="R70" s="376" t="str">
        <f>IFERROR(IF(D70="","",IF(AND(Q70='G-1 All Habitats'!$X$3,X70&gt;0),Y70+(Z70*T70),IF(AND(Q70='G-1 All Habitats'!$X$3,W70&gt;0),Y70+(Z70*T70),IF(AND(Q70='G-1 All Habitats'!$X$3,AH70&gt;0),"Any Loss Unacceptable ⚠",IF(AND(Q70='G-1 All Habitats'!$X$3,AI70&gt;0),"Any Loss Unacceptable ⚠", E70*G70*I70*L70*N70*P70*T70 ))))),"Check Data ▲")</f>
        <v/>
      </c>
      <c r="S70" s="516"/>
      <c r="T70" s="368" t="str">
        <f>IF(S70="","",IF(VLOOKUP(S70,'G-7 WaterC'' Data'!$AO$4:$BO$7,2,FALSE)=0,"Spatial Data Missing ⚠",VLOOKUP(S70,'G-7 WaterC'' Data'!$AO$4:$BO$7,2,FALSE)))</f>
        <v/>
      </c>
      <c r="U70" s="376" t="str">
        <f>IFERROR(IF(D70="","",IF(AND(Q70='G-1 All Habitats'!$X$3,X70&gt;0),Y70+Z70,IF(AND(Q70='G-1 All Habitats'!$X$3,W70&gt;0),Y70+Z70,IF(AND(Q70='G-1 All Habitats'!$X$3,AH70&gt;0),"Any Loss Unacceptable ⚠",IF(AND(Q70='G-1 All Habitats'!$X$3,AI70&gt;0),"Any Loss Unacceptable ⚠", E70*G70*I70*L70*N70*P70 ))))),"Check Data ▲")</f>
        <v/>
      </c>
      <c r="V70" s="32"/>
      <c r="W70" s="114"/>
      <c r="X70" s="125"/>
      <c r="Y70" s="374" t="str">
        <f t="shared" si="0"/>
        <v/>
      </c>
      <c r="Z70" s="374" t="str">
        <f t="shared" si="1"/>
        <v/>
      </c>
      <c r="AA70" s="374" t="str">
        <f t="shared" si="2"/>
        <v/>
      </c>
      <c r="AB70" s="670" t="str">
        <f t="shared" si="3"/>
        <v/>
      </c>
      <c r="AC70" s="516"/>
      <c r="AD70" s="119"/>
      <c r="AE70" s="120"/>
      <c r="AF70" s="120"/>
      <c r="AG70" s="120"/>
      <c r="AH70" s="57" t="str">
        <f>IF(Q70="","",IF(Q70='G-1 All Habitats'!$X$3,E70-X70-W70,"None"))</f>
        <v/>
      </c>
      <c r="AI70" s="58" t="str">
        <f>IF(Q70="","", IF(Q70='G-1 All Habitats'!$X$3, AH70*G70*I70*L70*N70*P70,"None"))</f>
        <v/>
      </c>
      <c r="AJ70" s="30" t="str">
        <f>IFERROR(INDEX('G-7 WaterC'' Data'!$AZ$3:$AZ$7,MATCH(D70,'G-7 WaterC'' Data'!$AY$3:$AY$7,0)),"")</f>
        <v/>
      </c>
      <c r="AK70" s="30">
        <f t="shared" si="4"/>
        <v>0</v>
      </c>
      <c r="AL70" s="124" t="str">
        <f t="shared" si="5"/>
        <v/>
      </c>
      <c r="AM70" s="124" t="str">
        <f t="shared" si="6"/>
        <v/>
      </c>
      <c r="AO70" s="124">
        <v>61</v>
      </c>
      <c r="AQ70" s="124" t="str">
        <f t="array" ref="AQ70">IFERROR(INDEX($AO$10:$AO$258, MATCH(0, IF(TRUE=$AL$10:$AL$258, COUNTIF($AQ$9:$AQ69, $AO$10:$AO$258), ""), 0)),"")</f>
        <v/>
      </c>
      <c r="AR70" s="124" t="str">
        <f t="array" ref="AR70">IFERROR(INDEX($AO$10:$AO$258, MATCH(0, IF(TRUE=$AM$10:$AM$258, COUNTIF($AR$9:$AR69, $AO$10:$AO$258), ""), 0)),"")</f>
        <v/>
      </c>
      <c r="AZ70" s="802" t="str">
        <f t="shared" si="7"/>
        <v/>
      </c>
    </row>
    <row r="71" spans="3:52" ht="15.75" thickBot="1">
      <c r="C71" s="110">
        <v>62</v>
      </c>
      <c r="D71" s="340"/>
      <c r="E71" s="121"/>
      <c r="F71" s="362" t="str">
        <f>IF(D71="","",VLOOKUP(D71,'G-7 WaterC'' Data'!$B$2:$G$8,2,FALSE))</f>
        <v/>
      </c>
      <c r="G71" s="363" t="str">
        <f>IFERROR(VLOOKUP(F71,'G-7 WaterC'' Data'!$C$4:$D$8,2,FALSE),"")</f>
        <v/>
      </c>
      <c r="H71" s="114"/>
      <c r="I71" s="363" t="str">
        <f>IFERROR(INDEX('G-7 WaterC'' Data'!$H$4:$L$8,MATCH(D71,'G-7 WaterC'' Data'!$B$4:$B$8,0),MATCH(H71,'G-7 WaterC'' Data'!$H$3:$L$3,0)),"")</f>
        <v/>
      </c>
      <c r="J71" s="115"/>
      <c r="K71" s="382" t="str">
        <f>IF(J71="","",IF(VLOOKUP(J71,'G-7 WaterC'' Data'!$AK$4:$AM$9,2,FALSE)=0,"Spatial Data Missing ⚠",VLOOKUP(J71,'G-7 WaterC'' Data'!$AK$4:$AM$6,2,FALSE)))</f>
        <v/>
      </c>
      <c r="L71" s="386" t="str">
        <f>IF(J71="","",IF(VLOOKUP(J71,'G-7 WaterC'' Data'!$AK$4:$AM$9,3,FALSE)=0,"Spatial Data Missing ⚠",VLOOKUP(J71,'G-7 WaterC'' Data'!$AK$4:$AM$6,3,FALSE)))</f>
        <v/>
      </c>
      <c r="M71" s="115"/>
      <c r="N71" s="363" t="str">
        <f>IF(M71="","",IF(VLOOKUP(M71,'G-7 WaterC'' Data'!$AA$4:$AB$7,2,FALSE)=0,"Spatial Data Missing ⚠",VLOOKUP(M71,'G-7 WaterC'' Data'!$AA$4:$AB$7,2,FALSE)))</f>
        <v/>
      </c>
      <c r="O71" s="60"/>
      <c r="P71" s="363" t="str">
        <f>IF(O71="","",IF(VLOOKUP(O71,'G-7 WaterC'' Data'!$AD$4:$AE$14,2,FALSE)=0,"Spatial Data Missing ⚠",VLOOKUP(O71,'G-7 WaterC'' Data'!$AD$4:$AE$14,2,FALSE)))</f>
        <v/>
      </c>
      <c r="Q71" s="369" t="str">
        <f>IF(D71="","",VLOOKUP(D71,'G-7 WaterC'' Data'!$B$4:$G$8,6,FALSE))</f>
        <v/>
      </c>
      <c r="R71" s="376" t="str">
        <f>IFERROR(IF(D71="","",IF(AND(Q71='G-1 All Habitats'!$X$3,X71&gt;0),Y71+(Z71*T71),IF(AND(Q71='G-1 All Habitats'!$X$3,W71&gt;0),Y71+(Z71*T71),IF(AND(Q71='G-1 All Habitats'!$X$3,AH71&gt;0),"Any Loss Unacceptable ⚠",IF(AND(Q71='G-1 All Habitats'!$X$3,AI71&gt;0),"Any Loss Unacceptable ⚠", E71*G71*I71*L71*N71*P71*T71 ))))),"Check Data ▲")</f>
        <v/>
      </c>
      <c r="S71" s="516"/>
      <c r="T71" s="368" t="str">
        <f>IF(S71="","",IF(VLOOKUP(S71,'G-7 WaterC'' Data'!$AO$4:$BO$7,2,FALSE)=0,"Spatial Data Missing ⚠",VLOOKUP(S71,'G-7 WaterC'' Data'!$AO$4:$BO$7,2,FALSE)))</f>
        <v/>
      </c>
      <c r="U71" s="376" t="str">
        <f>IFERROR(IF(D71="","",IF(AND(Q71='G-1 All Habitats'!$X$3,X71&gt;0),Y71+Z71,IF(AND(Q71='G-1 All Habitats'!$X$3,W71&gt;0),Y71+Z71,IF(AND(Q71='G-1 All Habitats'!$X$3,AH71&gt;0),"Any Loss Unacceptable ⚠",IF(AND(Q71='G-1 All Habitats'!$X$3,AI71&gt;0),"Any Loss Unacceptable ⚠", E71*G71*I71*L71*N71*P71 ))))),"Check Data ▲")</f>
        <v/>
      </c>
      <c r="V71" s="32"/>
      <c r="W71" s="114"/>
      <c r="X71" s="125"/>
      <c r="Y71" s="374" t="str">
        <f t="shared" si="0"/>
        <v/>
      </c>
      <c r="Z71" s="374" t="str">
        <f t="shared" si="1"/>
        <v/>
      </c>
      <c r="AA71" s="374" t="str">
        <f t="shared" si="2"/>
        <v/>
      </c>
      <c r="AB71" s="670" t="str">
        <f t="shared" si="3"/>
        <v/>
      </c>
      <c r="AC71" s="516"/>
      <c r="AD71" s="119"/>
      <c r="AE71" s="120"/>
      <c r="AF71" s="120"/>
      <c r="AG71" s="120"/>
      <c r="AH71" s="57" t="str">
        <f>IF(Q71="","",IF(Q71='G-1 All Habitats'!$X$3,E71-X71-W71,"None"))</f>
        <v/>
      </c>
      <c r="AI71" s="58" t="str">
        <f>IF(Q71="","", IF(Q71='G-1 All Habitats'!$X$3, AH71*G71*I71*L71*N71*P71,"None"))</f>
        <v/>
      </c>
      <c r="AJ71" s="30" t="str">
        <f>IFERROR(INDEX('G-7 WaterC'' Data'!$AZ$3:$AZ$7,MATCH(D71,'G-7 WaterC'' Data'!$AY$3:$AY$7,0)),"")</f>
        <v/>
      </c>
      <c r="AK71" s="30">
        <f t="shared" si="4"/>
        <v>0</v>
      </c>
      <c r="AL71" s="124" t="str">
        <f t="shared" si="5"/>
        <v/>
      </c>
      <c r="AM71" s="124" t="str">
        <f t="shared" si="6"/>
        <v/>
      </c>
      <c r="AO71" s="124">
        <v>62</v>
      </c>
      <c r="AQ71" s="124" t="str">
        <f t="array" ref="AQ71">IFERROR(INDEX($AO$10:$AO$258, MATCH(0, IF(TRUE=$AL$10:$AL$258, COUNTIF($AQ$9:$AQ70, $AO$10:$AO$258), ""), 0)),"")</f>
        <v/>
      </c>
      <c r="AR71" s="124" t="str">
        <f t="array" ref="AR71">IFERROR(INDEX($AO$10:$AO$258, MATCH(0, IF(TRUE=$AM$10:$AM$258, COUNTIF($AR$9:$AR70, $AO$10:$AO$258), ""), 0)),"")</f>
        <v/>
      </c>
      <c r="AZ71" s="802" t="str">
        <f t="shared" si="7"/>
        <v/>
      </c>
    </row>
    <row r="72" spans="3:52" ht="15.75" thickBot="1">
      <c r="C72" s="110">
        <v>63</v>
      </c>
      <c r="D72" s="340"/>
      <c r="E72" s="121"/>
      <c r="F72" s="362" t="str">
        <f>IF(D72="","",VLOOKUP(D72,'G-7 WaterC'' Data'!$B$2:$G$8,2,FALSE))</f>
        <v/>
      </c>
      <c r="G72" s="363" t="str">
        <f>IFERROR(VLOOKUP(F72,'G-7 WaterC'' Data'!$C$4:$D$8,2,FALSE),"")</f>
        <v/>
      </c>
      <c r="H72" s="114"/>
      <c r="I72" s="363" t="str">
        <f>IFERROR(INDEX('G-7 WaterC'' Data'!$H$4:$L$8,MATCH(D72,'G-7 WaterC'' Data'!$B$4:$B$8,0),MATCH(H72,'G-7 WaterC'' Data'!$H$3:$L$3,0)),"")</f>
        <v/>
      </c>
      <c r="J72" s="115"/>
      <c r="K72" s="382" t="str">
        <f>IF(J72="","",IF(VLOOKUP(J72,'G-7 WaterC'' Data'!$AK$4:$AM$9,2,FALSE)=0,"Spatial Data Missing ⚠",VLOOKUP(J72,'G-7 WaterC'' Data'!$AK$4:$AM$6,2,FALSE)))</f>
        <v/>
      </c>
      <c r="L72" s="386" t="str">
        <f>IF(J72="","",IF(VLOOKUP(J72,'G-7 WaterC'' Data'!$AK$4:$AM$9,3,FALSE)=0,"Spatial Data Missing ⚠",VLOOKUP(J72,'G-7 WaterC'' Data'!$AK$4:$AM$6,3,FALSE)))</f>
        <v/>
      </c>
      <c r="M72" s="115"/>
      <c r="N72" s="363" t="str">
        <f>IF(M72="","",IF(VLOOKUP(M72,'G-7 WaterC'' Data'!$AA$4:$AB$7,2,FALSE)=0,"Spatial Data Missing ⚠",VLOOKUP(M72,'G-7 WaterC'' Data'!$AA$4:$AB$7,2,FALSE)))</f>
        <v/>
      </c>
      <c r="O72" s="60"/>
      <c r="P72" s="363" t="str">
        <f>IF(O72="","",IF(VLOOKUP(O72,'G-7 WaterC'' Data'!$AD$4:$AE$14,2,FALSE)=0,"Spatial Data Missing ⚠",VLOOKUP(O72,'G-7 WaterC'' Data'!$AD$4:$AE$14,2,FALSE)))</f>
        <v/>
      </c>
      <c r="Q72" s="369" t="str">
        <f>IF(D72="","",VLOOKUP(D72,'G-7 WaterC'' Data'!$B$4:$G$8,6,FALSE))</f>
        <v/>
      </c>
      <c r="R72" s="376" t="str">
        <f>IFERROR(IF(D72="","",IF(AND(Q72='G-1 All Habitats'!$X$3,X72&gt;0),Y72+(Z72*T72),IF(AND(Q72='G-1 All Habitats'!$X$3,W72&gt;0),Y72+(Z72*T72),IF(AND(Q72='G-1 All Habitats'!$X$3,AH72&gt;0),"Any Loss Unacceptable ⚠",IF(AND(Q72='G-1 All Habitats'!$X$3,AI72&gt;0),"Any Loss Unacceptable ⚠", E72*G72*I72*L72*N72*P72*T72 ))))),"Check Data ▲")</f>
        <v/>
      </c>
      <c r="S72" s="516"/>
      <c r="T72" s="368" t="str">
        <f>IF(S72="","",IF(VLOOKUP(S72,'G-7 WaterC'' Data'!$AO$4:$BO$7,2,FALSE)=0,"Spatial Data Missing ⚠",VLOOKUP(S72,'G-7 WaterC'' Data'!$AO$4:$BO$7,2,FALSE)))</f>
        <v/>
      </c>
      <c r="U72" s="376" t="str">
        <f>IFERROR(IF(D72="","",IF(AND(Q72='G-1 All Habitats'!$X$3,X72&gt;0),Y72+Z72,IF(AND(Q72='G-1 All Habitats'!$X$3,W72&gt;0),Y72+Z72,IF(AND(Q72='G-1 All Habitats'!$X$3,AH72&gt;0),"Any Loss Unacceptable ⚠",IF(AND(Q72='G-1 All Habitats'!$X$3,AI72&gt;0),"Any Loss Unacceptable ⚠", E72*G72*I72*L72*N72*P72 ))))),"Check Data ▲")</f>
        <v/>
      </c>
      <c r="V72" s="32"/>
      <c r="W72" s="114"/>
      <c r="X72" s="125"/>
      <c r="Y72" s="374" t="str">
        <f t="shared" si="0"/>
        <v/>
      </c>
      <c r="Z72" s="374" t="str">
        <f t="shared" si="1"/>
        <v/>
      </c>
      <c r="AA72" s="374" t="str">
        <f t="shared" si="2"/>
        <v/>
      </c>
      <c r="AB72" s="670" t="str">
        <f t="shared" si="3"/>
        <v/>
      </c>
      <c r="AC72" s="516"/>
      <c r="AD72" s="119"/>
      <c r="AE72" s="120"/>
      <c r="AF72" s="120"/>
      <c r="AG72" s="120"/>
      <c r="AH72" s="57" t="str">
        <f>IF(Q72="","",IF(Q72='G-1 All Habitats'!$X$3,E72-X72-W72,"None"))</f>
        <v/>
      </c>
      <c r="AI72" s="58" t="str">
        <f>IF(Q72="","", IF(Q72='G-1 All Habitats'!$X$3, AH72*G72*I72*L72*N72*P72,"None"))</f>
        <v/>
      </c>
      <c r="AJ72" s="30" t="str">
        <f>IFERROR(INDEX('G-7 WaterC'' Data'!$AZ$3:$AZ$7,MATCH(D72,'G-7 WaterC'' Data'!$AY$3:$AY$7,0)),"")</f>
        <v/>
      </c>
      <c r="AK72" s="30">
        <f t="shared" si="4"/>
        <v>0</v>
      </c>
      <c r="AL72" s="124" t="str">
        <f t="shared" si="5"/>
        <v/>
      </c>
      <c r="AM72" s="124" t="str">
        <f t="shared" si="6"/>
        <v/>
      </c>
      <c r="AO72" s="124">
        <v>63</v>
      </c>
      <c r="AQ72" s="124" t="str">
        <f t="array" ref="AQ72">IFERROR(INDEX($AO$10:$AO$258, MATCH(0, IF(TRUE=$AL$10:$AL$258, COUNTIF($AQ$9:$AQ71, $AO$10:$AO$258), ""), 0)),"")</f>
        <v/>
      </c>
      <c r="AR72" s="124" t="str">
        <f t="array" ref="AR72">IFERROR(INDEX($AO$10:$AO$258, MATCH(0, IF(TRUE=$AM$10:$AM$258, COUNTIF($AR$9:$AR71, $AO$10:$AO$258), ""), 0)),"")</f>
        <v/>
      </c>
      <c r="AZ72" s="802" t="str">
        <f t="shared" si="7"/>
        <v/>
      </c>
    </row>
    <row r="73" spans="3:52" ht="15.75" thickBot="1">
      <c r="C73" s="110">
        <v>64</v>
      </c>
      <c r="D73" s="340"/>
      <c r="E73" s="121"/>
      <c r="F73" s="362" t="str">
        <f>IF(D73="","",VLOOKUP(D73,'G-7 WaterC'' Data'!$B$2:$G$8,2,FALSE))</f>
        <v/>
      </c>
      <c r="G73" s="363" t="str">
        <f>IFERROR(VLOOKUP(F73,'G-7 WaterC'' Data'!$C$4:$D$8,2,FALSE),"")</f>
        <v/>
      </c>
      <c r="H73" s="114"/>
      <c r="I73" s="363" t="str">
        <f>IFERROR(INDEX('G-7 WaterC'' Data'!$H$4:$L$8,MATCH(D73,'G-7 WaterC'' Data'!$B$4:$B$8,0),MATCH(H73,'G-7 WaterC'' Data'!$H$3:$L$3,0)),"")</f>
        <v/>
      </c>
      <c r="J73" s="115"/>
      <c r="K73" s="382" t="str">
        <f>IF(J73="","",IF(VLOOKUP(J73,'G-7 WaterC'' Data'!$AK$4:$AM$9,2,FALSE)=0,"Spatial Data Missing ⚠",VLOOKUP(J73,'G-7 WaterC'' Data'!$AK$4:$AM$6,2,FALSE)))</f>
        <v/>
      </c>
      <c r="L73" s="386" t="str">
        <f>IF(J73="","",IF(VLOOKUP(J73,'G-7 WaterC'' Data'!$AK$4:$AM$9,3,FALSE)=0,"Spatial Data Missing ⚠",VLOOKUP(J73,'G-7 WaterC'' Data'!$AK$4:$AM$6,3,FALSE)))</f>
        <v/>
      </c>
      <c r="M73" s="115"/>
      <c r="N73" s="363" t="str">
        <f>IF(M73="","",IF(VLOOKUP(M73,'G-7 WaterC'' Data'!$AA$4:$AB$7,2,FALSE)=0,"Spatial Data Missing ⚠",VLOOKUP(M73,'G-7 WaterC'' Data'!$AA$4:$AB$7,2,FALSE)))</f>
        <v/>
      </c>
      <c r="O73" s="60"/>
      <c r="P73" s="363" t="str">
        <f>IF(O73="","",IF(VLOOKUP(O73,'G-7 WaterC'' Data'!$AD$4:$AE$14,2,FALSE)=0,"Spatial Data Missing ⚠",VLOOKUP(O73,'G-7 WaterC'' Data'!$AD$4:$AE$14,2,FALSE)))</f>
        <v/>
      </c>
      <c r="Q73" s="369" t="str">
        <f>IF(D73="","",VLOOKUP(D73,'G-7 WaterC'' Data'!$B$4:$G$8,6,FALSE))</f>
        <v/>
      </c>
      <c r="R73" s="376" t="str">
        <f>IFERROR(IF(D73="","",IF(AND(Q73='G-1 All Habitats'!$X$3,X73&gt;0),Y73+(Z73*T73),IF(AND(Q73='G-1 All Habitats'!$X$3,W73&gt;0),Y73+(Z73*T73),IF(AND(Q73='G-1 All Habitats'!$X$3,AH73&gt;0),"Any Loss Unacceptable ⚠",IF(AND(Q73='G-1 All Habitats'!$X$3,AI73&gt;0),"Any Loss Unacceptable ⚠", E73*G73*I73*L73*N73*P73*T73 ))))),"Check Data ▲")</f>
        <v/>
      </c>
      <c r="S73" s="516"/>
      <c r="T73" s="368" t="str">
        <f>IF(S73="","",IF(VLOOKUP(S73,'G-7 WaterC'' Data'!$AO$4:$BO$7,2,FALSE)=0,"Spatial Data Missing ⚠",VLOOKUP(S73,'G-7 WaterC'' Data'!$AO$4:$BO$7,2,FALSE)))</f>
        <v/>
      </c>
      <c r="U73" s="376" t="str">
        <f>IFERROR(IF(D73="","",IF(AND(Q73='G-1 All Habitats'!$X$3,X73&gt;0),Y73+Z73,IF(AND(Q73='G-1 All Habitats'!$X$3,W73&gt;0),Y73+Z73,IF(AND(Q73='G-1 All Habitats'!$X$3,AH73&gt;0),"Any Loss Unacceptable ⚠",IF(AND(Q73='G-1 All Habitats'!$X$3,AI73&gt;0),"Any Loss Unacceptable ⚠", E73*G73*I73*L73*N73*P73 ))))),"Check Data ▲")</f>
        <v/>
      </c>
      <c r="V73" s="32"/>
      <c r="W73" s="114"/>
      <c r="X73" s="125"/>
      <c r="Y73" s="374" t="str">
        <f t="shared" si="0"/>
        <v/>
      </c>
      <c r="Z73" s="374" t="str">
        <f t="shared" si="1"/>
        <v/>
      </c>
      <c r="AA73" s="374" t="str">
        <f t="shared" si="2"/>
        <v/>
      </c>
      <c r="AB73" s="670" t="str">
        <f t="shared" si="3"/>
        <v/>
      </c>
      <c r="AC73" s="516"/>
      <c r="AD73" s="119"/>
      <c r="AE73" s="120"/>
      <c r="AF73" s="120"/>
      <c r="AG73" s="120"/>
      <c r="AH73" s="57" t="str">
        <f>IF(Q73="","",IF(Q73='G-1 All Habitats'!$X$3,E73-X73-W73,"None"))</f>
        <v/>
      </c>
      <c r="AI73" s="58" t="str">
        <f>IF(Q73="","", IF(Q73='G-1 All Habitats'!$X$3, AH73*G73*I73*L73*N73*P73,"None"))</f>
        <v/>
      </c>
      <c r="AJ73" s="30" t="str">
        <f>IFERROR(INDEX('G-7 WaterC'' Data'!$AZ$3:$AZ$7,MATCH(D73,'G-7 WaterC'' Data'!$AY$3:$AY$7,0)),"")</f>
        <v/>
      </c>
      <c r="AK73" s="30">
        <f t="shared" si="4"/>
        <v>0</v>
      </c>
      <c r="AL73" s="124" t="str">
        <f t="shared" si="5"/>
        <v/>
      </c>
      <c r="AM73" s="124" t="str">
        <f t="shared" si="6"/>
        <v/>
      </c>
      <c r="AO73" s="124">
        <v>64</v>
      </c>
      <c r="AQ73" s="124" t="str">
        <f t="array" ref="AQ73">IFERROR(INDEX($AO$10:$AO$258, MATCH(0, IF(TRUE=$AL$10:$AL$258, COUNTIF($AQ$9:$AQ72, $AO$10:$AO$258), ""), 0)),"")</f>
        <v/>
      </c>
      <c r="AR73" s="124" t="str">
        <f t="array" ref="AR73">IFERROR(INDEX($AO$10:$AO$258, MATCH(0, IF(TRUE=$AM$10:$AM$258, COUNTIF($AR$9:$AR72, $AO$10:$AO$258), ""), 0)),"")</f>
        <v/>
      </c>
      <c r="AZ73" s="802" t="str">
        <f t="shared" si="7"/>
        <v/>
      </c>
    </row>
    <row r="74" spans="3:52" ht="15.75" thickBot="1">
      <c r="C74" s="110">
        <v>65</v>
      </c>
      <c r="D74" s="340"/>
      <c r="E74" s="121"/>
      <c r="F74" s="362" t="str">
        <f>IF(D74="","",VLOOKUP(D74,'G-7 WaterC'' Data'!$B$2:$G$8,2,FALSE))</f>
        <v/>
      </c>
      <c r="G74" s="363" t="str">
        <f>IFERROR(VLOOKUP(F74,'G-7 WaterC'' Data'!$C$4:$D$8,2,FALSE),"")</f>
        <v/>
      </c>
      <c r="H74" s="114"/>
      <c r="I74" s="363" t="str">
        <f>IFERROR(INDEX('G-7 WaterC'' Data'!$H$4:$L$8,MATCH(D74,'G-7 WaterC'' Data'!$B$4:$B$8,0),MATCH(H74,'G-7 WaterC'' Data'!$H$3:$L$3,0)),"")</f>
        <v/>
      </c>
      <c r="J74" s="115"/>
      <c r="K74" s="382" t="str">
        <f>IF(J74="","",IF(VLOOKUP(J74,'G-7 WaterC'' Data'!$AK$4:$AM$9,2,FALSE)=0,"Spatial Data Missing ⚠",VLOOKUP(J74,'G-7 WaterC'' Data'!$AK$4:$AM$6,2,FALSE)))</f>
        <v/>
      </c>
      <c r="L74" s="386" t="str">
        <f>IF(J74="","",IF(VLOOKUP(J74,'G-7 WaterC'' Data'!$AK$4:$AM$9,3,FALSE)=0,"Spatial Data Missing ⚠",VLOOKUP(J74,'G-7 WaterC'' Data'!$AK$4:$AM$6,3,FALSE)))</f>
        <v/>
      </c>
      <c r="M74" s="115"/>
      <c r="N74" s="363" t="str">
        <f>IF(M74="","",IF(VLOOKUP(M74,'G-7 WaterC'' Data'!$AA$4:$AB$7,2,FALSE)=0,"Spatial Data Missing ⚠",VLOOKUP(M74,'G-7 WaterC'' Data'!$AA$4:$AB$7,2,FALSE)))</f>
        <v/>
      </c>
      <c r="O74" s="60"/>
      <c r="P74" s="363" t="str">
        <f>IF(O74="","",IF(VLOOKUP(O74,'G-7 WaterC'' Data'!$AD$4:$AE$14,2,FALSE)=0,"Spatial Data Missing ⚠",VLOOKUP(O74,'G-7 WaterC'' Data'!$AD$4:$AE$14,2,FALSE)))</f>
        <v/>
      </c>
      <c r="Q74" s="369" t="str">
        <f>IF(D74="","",VLOOKUP(D74,'G-7 WaterC'' Data'!$B$4:$G$8,6,FALSE))</f>
        <v/>
      </c>
      <c r="R74" s="376" t="str">
        <f>IFERROR(IF(D74="","",IF(AND(Q74='G-1 All Habitats'!$X$3,X74&gt;0),Y74+(Z74*T74),IF(AND(Q74='G-1 All Habitats'!$X$3,W74&gt;0),Y74+(Z74*T74),IF(AND(Q74='G-1 All Habitats'!$X$3,AH74&gt;0),"Any Loss Unacceptable ⚠",IF(AND(Q74='G-1 All Habitats'!$X$3,AI74&gt;0),"Any Loss Unacceptable ⚠", E74*G74*I74*L74*N74*P74*T74 ))))),"Check Data ▲")</f>
        <v/>
      </c>
      <c r="S74" s="516"/>
      <c r="T74" s="368" t="str">
        <f>IF(S74="","",IF(VLOOKUP(S74,'G-7 WaterC'' Data'!$AO$4:$BO$7,2,FALSE)=0,"Spatial Data Missing ⚠",VLOOKUP(S74,'G-7 WaterC'' Data'!$AO$4:$BO$7,2,FALSE)))</f>
        <v/>
      </c>
      <c r="U74" s="376" t="str">
        <f>IFERROR(IF(D74="","",IF(AND(Q74='G-1 All Habitats'!$X$3,X74&gt;0),Y74+Z74,IF(AND(Q74='G-1 All Habitats'!$X$3,W74&gt;0),Y74+Z74,IF(AND(Q74='G-1 All Habitats'!$X$3,AH74&gt;0),"Any Loss Unacceptable ⚠",IF(AND(Q74='G-1 All Habitats'!$X$3,AI74&gt;0),"Any Loss Unacceptable ⚠", E74*G74*I74*L74*N74*P74 ))))),"Check Data ▲")</f>
        <v/>
      </c>
      <c r="V74" s="32"/>
      <c r="W74" s="114"/>
      <c r="X74" s="125"/>
      <c r="Y74" s="374" t="str">
        <f t="shared" ref="Y74:Y137" si="8">IFERROR(IF(W74&gt;E74,"Error in Lengths ▲",W74*G74*I74*L74*N74*P74),"")</f>
        <v/>
      </c>
      <c r="Z74" s="374" t="str">
        <f t="shared" si="1"/>
        <v/>
      </c>
      <c r="AA74" s="374" t="str">
        <f t="shared" si="2"/>
        <v/>
      </c>
      <c r="AB74" s="670" t="str">
        <f t="shared" si="3"/>
        <v/>
      </c>
      <c r="AC74" s="516"/>
      <c r="AD74" s="119"/>
      <c r="AE74" s="120"/>
      <c r="AF74" s="120"/>
      <c r="AG74" s="120"/>
      <c r="AH74" s="57" t="str">
        <f>IF(Q74="","",IF(Q74='G-1 All Habitats'!$X$3,E74-X74-W74,"None"))</f>
        <v/>
      </c>
      <c r="AI74" s="58" t="str">
        <f>IF(Q74="","", IF(Q74='G-1 All Habitats'!$X$3, AH74*G74*I74*L74*N74*P74,"None"))</f>
        <v/>
      </c>
      <c r="AJ74" s="30" t="str">
        <f>IFERROR(INDEX('G-7 WaterC'' Data'!$AZ$3:$AZ$7,MATCH(D74,'G-7 WaterC'' Data'!$AY$3:$AY$7,0)),"")</f>
        <v/>
      </c>
      <c r="AK74" s="30">
        <f t="shared" si="4"/>
        <v>0</v>
      </c>
      <c r="AL74" s="124" t="str">
        <f t="shared" si="5"/>
        <v/>
      </c>
      <c r="AM74" s="124" t="str">
        <f t="shared" si="6"/>
        <v/>
      </c>
      <c r="AO74" s="124">
        <v>65</v>
      </c>
      <c r="AQ74" s="124" t="str">
        <f t="array" ref="AQ74">IFERROR(INDEX($AO$10:$AO$258, MATCH(0, IF(TRUE=$AL$10:$AL$258, COUNTIF($AQ$9:$AQ73, $AO$10:$AO$258), ""), 0)),"")</f>
        <v/>
      </c>
      <c r="AR74" s="124" t="str">
        <f t="array" ref="AR74">IFERROR(INDEX($AO$10:$AO$258, MATCH(0, IF(TRUE=$AM$10:$AM$258, COUNTIF($AR$9:$AR73, $AO$10:$AO$258), ""), 0)),"")</f>
        <v/>
      </c>
      <c r="AZ74" s="802" t="str">
        <f t="shared" si="7"/>
        <v/>
      </c>
    </row>
    <row r="75" spans="3:52" ht="15.75" thickBot="1">
      <c r="C75" s="110">
        <v>66</v>
      </c>
      <c r="D75" s="340"/>
      <c r="E75" s="121"/>
      <c r="F75" s="362" t="str">
        <f>IF(D75="","",VLOOKUP(D75,'G-7 WaterC'' Data'!$B$2:$G$8,2,FALSE))</f>
        <v/>
      </c>
      <c r="G75" s="363" t="str">
        <f>IFERROR(VLOOKUP(F75,'G-7 WaterC'' Data'!$C$4:$D$8,2,FALSE),"")</f>
        <v/>
      </c>
      <c r="H75" s="114"/>
      <c r="I75" s="363" t="str">
        <f>IFERROR(INDEX('G-7 WaterC'' Data'!$H$4:$L$8,MATCH(D75,'G-7 WaterC'' Data'!$B$4:$B$8,0),MATCH(H75,'G-7 WaterC'' Data'!$H$3:$L$3,0)),"")</f>
        <v/>
      </c>
      <c r="J75" s="115"/>
      <c r="K75" s="382" t="str">
        <f>IF(J75="","",IF(VLOOKUP(J75,'G-7 WaterC'' Data'!$AK$4:$AM$9,2,FALSE)=0,"Spatial Data Missing ⚠",VLOOKUP(J75,'G-7 WaterC'' Data'!$AK$4:$AM$6,2,FALSE)))</f>
        <v/>
      </c>
      <c r="L75" s="386" t="str">
        <f>IF(J75="","",IF(VLOOKUP(J75,'G-7 WaterC'' Data'!$AK$4:$AM$9,3,FALSE)=0,"Spatial Data Missing ⚠",VLOOKUP(J75,'G-7 WaterC'' Data'!$AK$4:$AM$6,3,FALSE)))</f>
        <v/>
      </c>
      <c r="M75" s="115"/>
      <c r="N75" s="363" t="str">
        <f>IF(M75="","",IF(VLOOKUP(M75,'G-7 WaterC'' Data'!$AA$4:$AB$7,2,FALSE)=0,"Spatial Data Missing ⚠",VLOOKUP(M75,'G-7 WaterC'' Data'!$AA$4:$AB$7,2,FALSE)))</f>
        <v/>
      </c>
      <c r="O75" s="60"/>
      <c r="P75" s="363" t="str">
        <f>IF(O75="","",IF(VLOOKUP(O75,'G-7 WaterC'' Data'!$AD$4:$AE$14,2,FALSE)=0,"Spatial Data Missing ⚠",VLOOKUP(O75,'G-7 WaterC'' Data'!$AD$4:$AE$14,2,FALSE)))</f>
        <v/>
      </c>
      <c r="Q75" s="369" t="str">
        <f>IF(D75="","",VLOOKUP(D75,'G-7 WaterC'' Data'!$B$4:$G$8,6,FALSE))</f>
        <v/>
      </c>
      <c r="R75" s="376" t="str">
        <f>IFERROR(IF(D75="","",IF(AND(Q75='G-1 All Habitats'!$X$3,X75&gt;0),Y75+(Z75*T75),IF(AND(Q75='G-1 All Habitats'!$X$3,W75&gt;0),Y75+(Z75*T75),IF(AND(Q75='G-1 All Habitats'!$X$3,AH75&gt;0),"Any Loss Unacceptable ⚠",IF(AND(Q75='G-1 All Habitats'!$X$3,AI75&gt;0),"Any Loss Unacceptable ⚠", E75*G75*I75*L75*N75*P75*T75 ))))),"Check Data ▲")</f>
        <v/>
      </c>
      <c r="S75" s="516"/>
      <c r="T75" s="368" t="str">
        <f>IF(S75="","",IF(VLOOKUP(S75,'G-7 WaterC'' Data'!$AO$4:$BO$7,2,FALSE)=0,"Spatial Data Missing ⚠",VLOOKUP(S75,'G-7 WaterC'' Data'!$AO$4:$BO$7,2,FALSE)))</f>
        <v/>
      </c>
      <c r="U75" s="376" t="str">
        <f>IFERROR(IF(D75="","",IF(AND(Q75='G-1 All Habitats'!$X$3,X75&gt;0),Y75+Z75,IF(AND(Q75='G-1 All Habitats'!$X$3,W75&gt;0),Y75+Z75,IF(AND(Q75='G-1 All Habitats'!$X$3,AH75&gt;0),"Any Loss Unacceptable ⚠",IF(AND(Q75='G-1 All Habitats'!$X$3,AI75&gt;0),"Any Loss Unacceptable ⚠", E75*G75*I75*L75*N75*P75 ))))),"Check Data ▲")</f>
        <v/>
      </c>
      <c r="V75" s="32"/>
      <c r="W75" s="114"/>
      <c r="X75" s="125"/>
      <c r="Y75" s="374" t="str">
        <f t="shared" si="8"/>
        <v/>
      </c>
      <c r="Z75" s="374" t="str">
        <f t="shared" ref="Z75:Z138" si="9">IFERROR(IF(D75="","",X75*G75*I75*L75*N75*P75),"")</f>
        <v/>
      </c>
      <c r="AA75" s="374" t="str">
        <f t="shared" ref="AA75:AA138" si="10">IFERROR(IF(D75="","",IF(AND(AC75="Yes", F75="V.High"), "Unacceptable loss ⚠",  IF(E75&gt;(W75+X75),E75-W75-X75,0))),"")</f>
        <v/>
      </c>
      <c r="AB75" s="670" t="str">
        <f t="shared" ref="AB75:AB138" si="11">IFERROR(IF(E75="","",IF((Y75+Z75)&gt;U75,0, IF(AND(AC75="Yes", D75="Priority habitat"), "Alternative compensation agreed ✓", IF(AND(D75="Priority habitat", X75+W75&lt;&gt;E75), "Any loss unacceptable ▲", U75-Y75-Z75)))),"Check Data ⚠")</f>
        <v/>
      </c>
      <c r="AC75" s="516"/>
      <c r="AD75" s="119"/>
      <c r="AE75" s="120"/>
      <c r="AF75" s="120"/>
      <c r="AG75" s="120"/>
      <c r="AH75" s="57" t="str">
        <f>IF(Q75="","",IF(Q75='G-1 All Habitats'!$X$3,E75-X75-W75,"None"))</f>
        <v/>
      </c>
      <c r="AI75" s="58" t="str">
        <f>IF(Q75="","", IF(Q75='G-1 All Habitats'!$X$3, AH75*G75*I75*L75*N75*P75,"None"))</f>
        <v/>
      </c>
      <c r="AJ75" s="30" t="str">
        <f>IFERROR(INDEX('G-7 WaterC'' Data'!$AZ$3:$AZ$7,MATCH(D75,'G-7 WaterC'' Data'!$AY$3:$AY$7,0)),"")</f>
        <v/>
      </c>
      <c r="AK75" s="30">
        <f t="shared" ref="AK75:AK138" si="12">IFERROR(IF(W75+X75&gt;E75,1,0),"")</f>
        <v>0</v>
      </c>
      <c r="AL75" s="124" t="str">
        <f t="shared" ref="AL75:AL138" si="13">IF(D75="","",IF(W75&gt;0,TRUE,FALSE))</f>
        <v/>
      </c>
      <c r="AM75" s="124" t="str">
        <f t="shared" ref="AM75:AM138" si="14">IF(D75="","",IF(X75&gt;0,TRUE,FALSE))</f>
        <v/>
      </c>
      <c r="AO75" s="124">
        <v>66</v>
      </c>
      <c r="AQ75" s="124" t="str">
        <f t="array" ref="AQ75">IFERROR(INDEX($AO$10:$AO$258, MATCH(0, IF(TRUE=$AL$10:$AL$258, COUNTIF($AQ$9:$AQ74, $AO$10:$AO$258), ""), 0)),"")</f>
        <v/>
      </c>
      <c r="AR75" s="124" t="str">
        <f t="array" ref="AR75">IFERROR(INDEX($AO$10:$AO$258, MATCH(0, IF(TRUE=$AM$10:$AM$258, COUNTIF($AR$9:$AR74, $AO$10:$AO$258), ""), 0)),"")</f>
        <v/>
      </c>
      <c r="AZ75" s="802" t="str">
        <f t="shared" ref="AZ75:AZ138" si="15">IFERROR(IF(W75&gt;E75,"Error in Lengths ▲",W75*G75*I75*L75*N75*P75*T75),"")</f>
        <v/>
      </c>
    </row>
    <row r="76" spans="3:52" ht="15.75" thickBot="1">
      <c r="C76" s="110">
        <v>67</v>
      </c>
      <c r="D76" s="340"/>
      <c r="E76" s="121"/>
      <c r="F76" s="362" t="str">
        <f>IF(D76="","",VLOOKUP(D76,'G-7 WaterC'' Data'!$B$2:$G$8,2,FALSE))</f>
        <v/>
      </c>
      <c r="G76" s="363" t="str">
        <f>IFERROR(VLOOKUP(F76,'G-7 WaterC'' Data'!$C$4:$D$8,2,FALSE),"")</f>
        <v/>
      </c>
      <c r="H76" s="114"/>
      <c r="I76" s="363" t="str">
        <f>IFERROR(INDEX('G-7 WaterC'' Data'!$H$4:$L$8,MATCH(D76,'G-7 WaterC'' Data'!$B$4:$B$8,0),MATCH(H76,'G-7 WaterC'' Data'!$H$3:$L$3,0)),"")</f>
        <v/>
      </c>
      <c r="J76" s="115"/>
      <c r="K76" s="382" t="str">
        <f>IF(J76="","",IF(VLOOKUP(J76,'G-7 WaterC'' Data'!$AK$4:$AM$9,2,FALSE)=0,"Spatial Data Missing ⚠",VLOOKUP(J76,'G-7 WaterC'' Data'!$AK$4:$AM$6,2,FALSE)))</f>
        <v/>
      </c>
      <c r="L76" s="386" t="str">
        <f>IF(J76="","",IF(VLOOKUP(J76,'G-7 WaterC'' Data'!$AK$4:$AM$9,3,FALSE)=0,"Spatial Data Missing ⚠",VLOOKUP(J76,'G-7 WaterC'' Data'!$AK$4:$AM$6,3,FALSE)))</f>
        <v/>
      </c>
      <c r="M76" s="115"/>
      <c r="N76" s="363" t="str">
        <f>IF(M76="","",IF(VLOOKUP(M76,'G-7 WaterC'' Data'!$AA$4:$AB$7,2,FALSE)=0,"Spatial Data Missing ⚠",VLOOKUP(M76,'G-7 WaterC'' Data'!$AA$4:$AB$7,2,FALSE)))</f>
        <v/>
      </c>
      <c r="O76" s="60"/>
      <c r="P76" s="363" t="str">
        <f>IF(O76="","",IF(VLOOKUP(O76,'G-7 WaterC'' Data'!$AD$4:$AE$14,2,FALSE)=0,"Spatial Data Missing ⚠",VLOOKUP(O76,'G-7 WaterC'' Data'!$AD$4:$AE$14,2,FALSE)))</f>
        <v/>
      </c>
      <c r="Q76" s="369" t="str">
        <f>IF(D76="","",VLOOKUP(D76,'G-7 WaterC'' Data'!$B$4:$G$8,6,FALSE))</f>
        <v/>
      </c>
      <c r="R76" s="376" t="str">
        <f>IFERROR(IF(D76="","",IF(AND(Q76='G-1 All Habitats'!$X$3,X76&gt;0),Y76+(Z76*T76),IF(AND(Q76='G-1 All Habitats'!$X$3,W76&gt;0),Y76+(Z76*T76),IF(AND(Q76='G-1 All Habitats'!$X$3,AH76&gt;0),"Any Loss Unacceptable ⚠",IF(AND(Q76='G-1 All Habitats'!$X$3,AI76&gt;0),"Any Loss Unacceptable ⚠", E76*G76*I76*L76*N76*P76*T76 ))))),"Check Data ▲")</f>
        <v/>
      </c>
      <c r="S76" s="516"/>
      <c r="T76" s="368" t="str">
        <f>IF(S76="","",IF(VLOOKUP(S76,'G-7 WaterC'' Data'!$AO$4:$BO$7,2,FALSE)=0,"Spatial Data Missing ⚠",VLOOKUP(S76,'G-7 WaterC'' Data'!$AO$4:$BO$7,2,FALSE)))</f>
        <v/>
      </c>
      <c r="U76" s="376" t="str">
        <f>IFERROR(IF(D76="","",IF(AND(Q76='G-1 All Habitats'!$X$3,X76&gt;0),Y76+Z76,IF(AND(Q76='G-1 All Habitats'!$X$3,W76&gt;0),Y76+Z76,IF(AND(Q76='G-1 All Habitats'!$X$3,AH76&gt;0),"Any Loss Unacceptable ⚠",IF(AND(Q76='G-1 All Habitats'!$X$3,AI76&gt;0),"Any Loss Unacceptable ⚠", E76*G76*I76*L76*N76*P76 ))))),"Check Data ▲")</f>
        <v/>
      </c>
      <c r="V76" s="32"/>
      <c r="W76" s="114"/>
      <c r="X76" s="125"/>
      <c r="Y76" s="374" t="str">
        <f t="shared" si="8"/>
        <v/>
      </c>
      <c r="Z76" s="374" t="str">
        <f t="shared" si="9"/>
        <v/>
      </c>
      <c r="AA76" s="374" t="str">
        <f t="shared" si="10"/>
        <v/>
      </c>
      <c r="AB76" s="670" t="str">
        <f t="shared" si="11"/>
        <v/>
      </c>
      <c r="AC76" s="516"/>
      <c r="AD76" s="119"/>
      <c r="AE76" s="120"/>
      <c r="AF76" s="120"/>
      <c r="AG76" s="120"/>
      <c r="AH76" s="57" t="str">
        <f>IF(Q76="","",IF(Q76='G-1 All Habitats'!$X$3,E76-X76-W76,"None"))</f>
        <v/>
      </c>
      <c r="AI76" s="58" t="str">
        <f>IF(Q76="","", IF(Q76='G-1 All Habitats'!$X$3, AH76*G76*I76*L76*N76*P76,"None"))</f>
        <v/>
      </c>
      <c r="AJ76" s="30" t="str">
        <f>IFERROR(INDEX('G-7 WaterC'' Data'!$AZ$3:$AZ$7,MATCH(D76,'G-7 WaterC'' Data'!$AY$3:$AY$7,0)),"")</f>
        <v/>
      </c>
      <c r="AK76" s="30">
        <f t="shared" si="12"/>
        <v>0</v>
      </c>
      <c r="AL76" s="124" t="str">
        <f t="shared" si="13"/>
        <v/>
      </c>
      <c r="AM76" s="124" t="str">
        <f t="shared" si="14"/>
        <v/>
      </c>
      <c r="AO76" s="124">
        <v>67</v>
      </c>
      <c r="AQ76" s="124" t="str">
        <f t="array" ref="AQ76">IFERROR(INDEX($AO$10:$AO$258, MATCH(0, IF(TRUE=$AL$10:$AL$258, COUNTIF($AQ$9:$AQ75, $AO$10:$AO$258), ""), 0)),"")</f>
        <v/>
      </c>
      <c r="AR76" s="124" t="str">
        <f t="array" ref="AR76">IFERROR(INDEX($AO$10:$AO$258, MATCH(0, IF(TRUE=$AM$10:$AM$258, COUNTIF($AR$9:$AR75, $AO$10:$AO$258), ""), 0)),"")</f>
        <v/>
      </c>
      <c r="AZ76" s="802" t="str">
        <f t="shared" si="15"/>
        <v/>
      </c>
    </row>
    <row r="77" spans="3:52" ht="15.75" thickBot="1">
      <c r="C77" s="110">
        <v>68</v>
      </c>
      <c r="D77" s="340"/>
      <c r="E77" s="121"/>
      <c r="F77" s="362" t="str">
        <f>IF(D77="","",VLOOKUP(D77,'G-7 WaterC'' Data'!$B$2:$G$8,2,FALSE))</f>
        <v/>
      </c>
      <c r="G77" s="363" t="str">
        <f>IFERROR(VLOOKUP(F77,'G-7 WaterC'' Data'!$C$4:$D$8,2,FALSE),"")</f>
        <v/>
      </c>
      <c r="H77" s="114"/>
      <c r="I77" s="363" t="str">
        <f>IFERROR(INDEX('G-7 WaterC'' Data'!$H$4:$L$8,MATCH(D77,'G-7 WaterC'' Data'!$B$4:$B$8,0),MATCH(H77,'G-7 WaterC'' Data'!$H$3:$L$3,0)),"")</f>
        <v/>
      </c>
      <c r="J77" s="115"/>
      <c r="K77" s="382" t="str">
        <f>IF(J77="","",IF(VLOOKUP(J77,'G-7 WaterC'' Data'!$AK$4:$AM$9,2,FALSE)=0,"Spatial Data Missing ⚠",VLOOKUP(J77,'G-7 WaterC'' Data'!$AK$4:$AM$6,2,FALSE)))</f>
        <v/>
      </c>
      <c r="L77" s="386" t="str">
        <f>IF(J77="","",IF(VLOOKUP(J77,'G-7 WaterC'' Data'!$AK$4:$AM$9,3,FALSE)=0,"Spatial Data Missing ⚠",VLOOKUP(J77,'G-7 WaterC'' Data'!$AK$4:$AM$6,3,FALSE)))</f>
        <v/>
      </c>
      <c r="M77" s="115"/>
      <c r="N77" s="363" t="str">
        <f>IF(M77="","",IF(VLOOKUP(M77,'G-7 WaterC'' Data'!$AA$4:$AB$7,2,FALSE)=0,"Spatial Data Missing ⚠",VLOOKUP(M77,'G-7 WaterC'' Data'!$AA$4:$AB$7,2,FALSE)))</f>
        <v/>
      </c>
      <c r="O77" s="60"/>
      <c r="P77" s="363" t="str">
        <f>IF(O77="","",IF(VLOOKUP(O77,'G-7 WaterC'' Data'!$AD$4:$AE$14,2,FALSE)=0,"Spatial Data Missing ⚠",VLOOKUP(O77,'G-7 WaterC'' Data'!$AD$4:$AE$14,2,FALSE)))</f>
        <v/>
      </c>
      <c r="Q77" s="369" t="str">
        <f>IF(D77="","",VLOOKUP(D77,'G-7 WaterC'' Data'!$B$4:$G$8,6,FALSE))</f>
        <v/>
      </c>
      <c r="R77" s="376" t="str">
        <f>IFERROR(IF(D77="","",IF(AND(Q77='G-1 All Habitats'!$X$3,X77&gt;0),Y77+(Z77*T77),IF(AND(Q77='G-1 All Habitats'!$X$3,W77&gt;0),Y77+(Z77*T77),IF(AND(Q77='G-1 All Habitats'!$X$3,AH77&gt;0),"Any Loss Unacceptable ⚠",IF(AND(Q77='G-1 All Habitats'!$X$3,AI77&gt;0),"Any Loss Unacceptable ⚠", E77*G77*I77*L77*N77*P77*T77 ))))),"Check Data ▲")</f>
        <v/>
      </c>
      <c r="S77" s="516"/>
      <c r="T77" s="368" t="str">
        <f>IF(S77="","",IF(VLOOKUP(S77,'G-7 WaterC'' Data'!$AO$4:$BO$7,2,FALSE)=0,"Spatial Data Missing ⚠",VLOOKUP(S77,'G-7 WaterC'' Data'!$AO$4:$BO$7,2,FALSE)))</f>
        <v/>
      </c>
      <c r="U77" s="376" t="str">
        <f>IFERROR(IF(D77="","",IF(AND(Q77='G-1 All Habitats'!$X$3,X77&gt;0),Y77+Z77,IF(AND(Q77='G-1 All Habitats'!$X$3,W77&gt;0),Y77+Z77,IF(AND(Q77='G-1 All Habitats'!$X$3,AH77&gt;0),"Any Loss Unacceptable ⚠",IF(AND(Q77='G-1 All Habitats'!$X$3,AI77&gt;0),"Any Loss Unacceptable ⚠", E77*G77*I77*L77*N77*P77 ))))),"Check Data ▲")</f>
        <v/>
      </c>
      <c r="V77" s="32"/>
      <c r="W77" s="114"/>
      <c r="X77" s="125"/>
      <c r="Y77" s="374" t="str">
        <f t="shared" si="8"/>
        <v/>
      </c>
      <c r="Z77" s="374" t="str">
        <f t="shared" si="9"/>
        <v/>
      </c>
      <c r="AA77" s="374" t="str">
        <f t="shared" si="10"/>
        <v/>
      </c>
      <c r="AB77" s="670" t="str">
        <f t="shared" si="11"/>
        <v/>
      </c>
      <c r="AC77" s="516"/>
      <c r="AD77" s="119"/>
      <c r="AE77" s="120"/>
      <c r="AF77" s="120"/>
      <c r="AG77" s="120"/>
      <c r="AH77" s="57" t="str">
        <f>IF(Q77="","",IF(Q77='G-1 All Habitats'!$X$3,E77-X77-W77,"None"))</f>
        <v/>
      </c>
      <c r="AI77" s="58" t="str">
        <f>IF(Q77="","", IF(Q77='G-1 All Habitats'!$X$3, AH77*G77*I77*L77*N77*P77,"None"))</f>
        <v/>
      </c>
      <c r="AJ77" s="30" t="str">
        <f>IFERROR(INDEX('G-7 WaterC'' Data'!$AZ$3:$AZ$7,MATCH(D77,'G-7 WaterC'' Data'!$AY$3:$AY$7,0)),"")</f>
        <v/>
      </c>
      <c r="AK77" s="30">
        <f t="shared" si="12"/>
        <v>0</v>
      </c>
      <c r="AL77" s="124" t="str">
        <f t="shared" si="13"/>
        <v/>
      </c>
      <c r="AM77" s="124" t="str">
        <f t="shared" si="14"/>
        <v/>
      </c>
      <c r="AO77" s="124">
        <v>68</v>
      </c>
      <c r="AQ77" s="124" t="str">
        <f t="array" ref="AQ77">IFERROR(INDEX($AO$10:$AO$258, MATCH(0, IF(TRUE=$AL$10:$AL$258, COUNTIF($AQ$9:$AQ76, $AO$10:$AO$258), ""), 0)),"")</f>
        <v/>
      </c>
      <c r="AR77" s="124" t="str">
        <f t="array" ref="AR77">IFERROR(INDEX($AO$10:$AO$258, MATCH(0, IF(TRUE=$AM$10:$AM$258, COUNTIF($AR$9:$AR76, $AO$10:$AO$258), ""), 0)),"")</f>
        <v/>
      </c>
      <c r="AZ77" s="802" t="str">
        <f t="shared" si="15"/>
        <v/>
      </c>
    </row>
    <row r="78" spans="3:52" ht="15.75" thickBot="1">
      <c r="C78" s="110">
        <v>69</v>
      </c>
      <c r="D78" s="340"/>
      <c r="E78" s="121"/>
      <c r="F78" s="362" t="str">
        <f>IF(D78="","",VLOOKUP(D78,'G-7 WaterC'' Data'!$B$2:$G$8,2,FALSE))</f>
        <v/>
      </c>
      <c r="G78" s="363" t="str">
        <f>IFERROR(VLOOKUP(F78,'G-7 WaterC'' Data'!$C$4:$D$8,2,FALSE),"")</f>
        <v/>
      </c>
      <c r="H78" s="114"/>
      <c r="I78" s="363" t="str">
        <f>IFERROR(INDEX('G-7 WaterC'' Data'!$H$4:$L$8,MATCH(D78,'G-7 WaterC'' Data'!$B$4:$B$8,0),MATCH(H78,'G-7 WaterC'' Data'!$H$3:$L$3,0)),"")</f>
        <v/>
      </c>
      <c r="J78" s="115"/>
      <c r="K78" s="382" t="str">
        <f>IF(J78="","",IF(VLOOKUP(J78,'G-7 WaterC'' Data'!$AK$4:$AM$9,2,FALSE)=0,"Spatial Data Missing ⚠",VLOOKUP(J78,'G-7 WaterC'' Data'!$AK$4:$AM$6,2,FALSE)))</f>
        <v/>
      </c>
      <c r="L78" s="386" t="str">
        <f>IF(J78="","",IF(VLOOKUP(J78,'G-7 WaterC'' Data'!$AK$4:$AM$9,3,FALSE)=0,"Spatial Data Missing ⚠",VLOOKUP(J78,'G-7 WaterC'' Data'!$AK$4:$AM$6,3,FALSE)))</f>
        <v/>
      </c>
      <c r="M78" s="115"/>
      <c r="N78" s="363" t="str">
        <f>IF(M78="","",IF(VLOOKUP(M78,'G-7 WaterC'' Data'!$AA$4:$AB$7,2,FALSE)=0,"Spatial Data Missing ⚠",VLOOKUP(M78,'G-7 WaterC'' Data'!$AA$4:$AB$7,2,FALSE)))</f>
        <v/>
      </c>
      <c r="O78" s="60"/>
      <c r="P78" s="363" t="str">
        <f>IF(O78="","",IF(VLOOKUP(O78,'G-7 WaterC'' Data'!$AD$4:$AE$14,2,FALSE)=0,"Spatial Data Missing ⚠",VLOOKUP(O78,'G-7 WaterC'' Data'!$AD$4:$AE$14,2,FALSE)))</f>
        <v/>
      </c>
      <c r="Q78" s="369" t="str">
        <f>IF(D78="","",VLOOKUP(D78,'G-7 WaterC'' Data'!$B$4:$G$8,6,FALSE))</f>
        <v/>
      </c>
      <c r="R78" s="376" t="str">
        <f>IFERROR(IF(D78="","",IF(AND(Q78='G-1 All Habitats'!$X$3,X78&gt;0),Y78+(Z78*T78),IF(AND(Q78='G-1 All Habitats'!$X$3,W78&gt;0),Y78+(Z78*T78),IF(AND(Q78='G-1 All Habitats'!$X$3,AH78&gt;0),"Any Loss Unacceptable ⚠",IF(AND(Q78='G-1 All Habitats'!$X$3,AI78&gt;0),"Any Loss Unacceptable ⚠", E78*G78*I78*L78*N78*P78*T78 ))))),"Check Data ▲")</f>
        <v/>
      </c>
      <c r="S78" s="516"/>
      <c r="T78" s="368" t="str">
        <f>IF(S78="","",IF(VLOOKUP(S78,'G-7 WaterC'' Data'!$AO$4:$BO$7,2,FALSE)=0,"Spatial Data Missing ⚠",VLOOKUP(S78,'G-7 WaterC'' Data'!$AO$4:$BO$7,2,FALSE)))</f>
        <v/>
      </c>
      <c r="U78" s="376" t="str">
        <f>IFERROR(IF(D78="","",IF(AND(Q78='G-1 All Habitats'!$X$3,X78&gt;0),Y78+Z78,IF(AND(Q78='G-1 All Habitats'!$X$3,W78&gt;0),Y78+Z78,IF(AND(Q78='G-1 All Habitats'!$X$3,AH78&gt;0),"Any Loss Unacceptable ⚠",IF(AND(Q78='G-1 All Habitats'!$X$3,AI78&gt;0),"Any Loss Unacceptable ⚠", E78*G78*I78*L78*N78*P78 ))))),"Check Data ▲")</f>
        <v/>
      </c>
      <c r="V78" s="32"/>
      <c r="W78" s="114"/>
      <c r="X78" s="125"/>
      <c r="Y78" s="374" t="str">
        <f t="shared" si="8"/>
        <v/>
      </c>
      <c r="Z78" s="374" t="str">
        <f t="shared" si="9"/>
        <v/>
      </c>
      <c r="AA78" s="374" t="str">
        <f t="shared" si="10"/>
        <v/>
      </c>
      <c r="AB78" s="670" t="str">
        <f t="shared" si="11"/>
        <v/>
      </c>
      <c r="AC78" s="516"/>
      <c r="AD78" s="119"/>
      <c r="AE78" s="120"/>
      <c r="AF78" s="120"/>
      <c r="AG78" s="120"/>
      <c r="AH78" s="57" t="str">
        <f>IF(Q78="","",IF(Q78='G-1 All Habitats'!$X$3,E78-X78-W78,"None"))</f>
        <v/>
      </c>
      <c r="AI78" s="58" t="str">
        <f>IF(Q78="","", IF(Q78='G-1 All Habitats'!$X$3, AH78*G78*I78*L78*N78*P78,"None"))</f>
        <v/>
      </c>
      <c r="AJ78" s="30" t="str">
        <f>IFERROR(INDEX('G-7 WaterC'' Data'!$AZ$3:$AZ$7,MATCH(D78,'G-7 WaterC'' Data'!$AY$3:$AY$7,0)),"")</f>
        <v/>
      </c>
      <c r="AK78" s="30">
        <f t="shared" si="12"/>
        <v>0</v>
      </c>
      <c r="AL78" s="124" t="str">
        <f t="shared" si="13"/>
        <v/>
      </c>
      <c r="AM78" s="124" t="str">
        <f t="shared" si="14"/>
        <v/>
      </c>
      <c r="AO78" s="124">
        <v>69</v>
      </c>
      <c r="AQ78" s="124" t="str">
        <f t="array" ref="AQ78">IFERROR(INDEX($AO$10:$AO$258, MATCH(0, IF(TRUE=$AL$10:$AL$258, COUNTIF($AQ$9:$AQ77, $AO$10:$AO$258), ""), 0)),"")</f>
        <v/>
      </c>
      <c r="AR78" s="124" t="str">
        <f t="array" ref="AR78">IFERROR(INDEX($AO$10:$AO$258, MATCH(0, IF(TRUE=$AM$10:$AM$258, COUNTIF($AR$9:$AR77, $AO$10:$AO$258), ""), 0)),"")</f>
        <v/>
      </c>
      <c r="AZ78" s="802" t="str">
        <f t="shared" si="15"/>
        <v/>
      </c>
    </row>
    <row r="79" spans="3:52" ht="15.75" thickBot="1">
      <c r="C79" s="110">
        <v>70</v>
      </c>
      <c r="D79" s="340"/>
      <c r="E79" s="121"/>
      <c r="F79" s="362" t="str">
        <f>IF(D79="","",VLOOKUP(D79,'G-7 WaterC'' Data'!$B$2:$G$8,2,FALSE))</f>
        <v/>
      </c>
      <c r="G79" s="363" t="str">
        <f>IFERROR(VLOOKUP(F79,'G-7 WaterC'' Data'!$C$4:$D$8,2,FALSE),"")</f>
        <v/>
      </c>
      <c r="H79" s="114"/>
      <c r="I79" s="363" t="str">
        <f>IFERROR(INDEX('G-7 WaterC'' Data'!$H$4:$L$8,MATCH(D79,'G-7 WaterC'' Data'!$B$4:$B$8,0),MATCH(H79,'G-7 WaterC'' Data'!$H$3:$L$3,0)),"")</f>
        <v/>
      </c>
      <c r="J79" s="115"/>
      <c r="K79" s="382" t="str">
        <f>IF(J79="","",IF(VLOOKUP(J79,'G-7 WaterC'' Data'!$AK$4:$AM$9,2,FALSE)=0,"Spatial Data Missing ⚠",VLOOKUP(J79,'G-7 WaterC'' Data'!$AK$4:$AM$6,2,FALSE)))</f>
        <v/>
      </c>
      <c r="L79" s="386" t="str">
        <f>IF(J79="","",IF(VLOOKUP(J79,'G-7 WaterC'' Data'!$AK$4:$AM$9,3,FALSE)=0,"Spatial Data Missing ⚠",VLOOKUP(J79,'G-7 WaterC'' Data'!$AK$4:$AM$6,3,FALSE)))</f>
        <v/>
      </c>
      <c r="M79" s="115"/>
      <c r="N79" s="363" t="str">
        <f>IF(M79="","",IF(VLOOKUP(M79,'G-7 WaterC'' Data'!$AA$4:$AB$7,2,FALSE)=0,"Spatial Data Missing ⚠",VLOOKUP(M79,'G-7 WaterC'' Data'!$AA$4:$AB$7,2,FALSE)))</f>
        <v/>
      </c>
      <c r="O79" s="60"/>
      <c r="P79" s="363" t="str">
        <f>IF(O79="","",IF(VLOOKUP(O79,'G-7 WaterC'' Data'!$AD$4:$AE$14,2,FALSE)=0,"Spatial Data Missing ⚠",VLOOKUP(O79,'G-7 WaterC'' Data'!$AD$4:$AE$14,2,FALSE)))</f>
        <v/>
      </c>
      <c r="Q79" s="369" t="str">
        <f>IF(D79="","",VLOOKUP(D79,'G-7 WaterC'' Data'!$B$4:$G$8,6,FALSE))</f>
        <v/>
      </c>
      <c r="R79" s="376" t="str">
        <f>IFERROR(IF(D79="","",IF(AND(Q79='G-1 All Habitats'!$X$3,X79&gt;0),Y79+(Z79*T79),IF(AND(Q79='G-1 All Habitats'!$X$3,W79&gt;0),Y79+(Z79*T79),IF(AND(Q79='G-1 All Habitats'!$X$3,AH79&gt;0),"Any Loss Unacceptable ⚠",IF(AND(Q79='G-1 All Habitats'!$X$3,AI79&gt;0),"Any Loss Unacceptable ⚠", E79*G79*I79*L79*N79*P79*T79 ))))),"Check Data ▲")</f>
        <v/>
      </c>
      <c r="S79" s="516"/>
      <c r="T79" s="368" t="str">
        <f>IF(S79="","",IF(VLOOKUP(S79,'G-7 WaterC'' Data'!$AO$4:$BO$7,2,FALSE)=0,"Spatial Data Missing ⚠",VLOOKUP(S79,'G-7 WaterC'' Data'!$AO$4:$BO$7,2,FALSE)))</f>
        <v/>
      </c>
      <c r="U79" s="376" t="str">
        <f>IFERROR(IF(D79="","",IF(AND(Q79='G-1 All Habitats'!$X$3,X79&gt;0),Y79+Z79,IF(AND(Q79='G-1 All Habitats'!$X$3,W79&gt;0),Y79+Z79,IF(AND(Q79='G-1 All Habitats'!$X$3,AH79&gt;0),"Any Loss Unacceptable ⚠",IF(AND(Q79='G-1 All Habitats'!$X$3,AI79&gt;0),"Any Loss Unacceptable ⚠", E79*G79*I79*L79*N79*P79 ))))),"Check Data ▲")</f>
        <v/>
      </c>
      <c r="V79" s="32"/>
      <c r="W79" s="114"/>
      <c r="X79" s="125"/>
      <c r="Y79" s="374" t="str">
        <f t="shared" si="8"/>
        <v/>
      </c>
      <c r="Z79" s="374" t="str">
        <f t="shared" si="9"/>
        <v/>
      </c>
      <c r="AA79" s="374" t="str">
        <f t="shared" si="10"/>
        <v/>
      </c>
      <c r="AB79" s="670" t="str">
        <f t="shared" si="11"/>
        <v/>
      </c>
      <c r="AC79" s="516"/>
      <c r="AD79" s="119"/>
      <c r="AE79" s="120"/>
      <c r="AF79" s="120"/>
      <c r="AG79" s="120"/>
      <c r="AH79" s="57" t="str">
        <f>IF(Q79="","",IF(Q79='G-1 All Habitats'!$X$3,E79-X79-W79,"None"))</f>
        <v/>
      </c>
      <c r="AI79" s="58" t="str">
        <f>IF(Q79="","", IF(Q79='G-1 All Habitats'!$X$3, AH79*G79*I79*L79*N79*P79,"None"))</f>
        <v/>
      </c>
      <c r="AJ79" s="30" t="str">
        <f>IFERROR(INDEX('G-7 WaterC'' Data'!$AZ$3:$AZ$7,MATCH(D79,'G-7 WaterC'' Data'!$AY$3:$AY$7,0)),"")</f>
        <v/>
      </c>
      <c r="AK79" s="30">
        <f t="shared" si="12"/>
        <v>0</v>
      </c>
      <c r="AL79" s="124" t="str">
        <f t="shared" si="13"/>
        <v/>
      </c>
      <c r="AM79" s="124" t="str">
        <f t="shared" si="14"/>
        <v/>
      </c>
      <c r="AO79" s="124">
        <v>70</v>
      </c>
      <c r="AQ79" s="124" t="str">
        <f t="array" ref="AQ79">IFERROR(INDEX($AO$10:$AO$258, MATCH(0, IF(TRUE=$AL$10:$AL$258, COUNTIF($AQ$9:$AQ78, $AO$10:$AO$258), ""), 0)),"")</f>
        <v/>
      </c>
      <c r="AR79" s="124" t="str">
        <f t="array" ref="AR79">IFERROR(INDEX($AO$10:$AO$258, MATCH(0, IF(TRUE=$AM$10:$AM$258, COUNTIF($AR$9:$AR78, $AO$10:$AO$258), ""), 0)),"")</f>
        <v/>
      </c>
      <c r="AZ79" s="802" t="str">
        <f t="shared" si="15"/>
        <v/>
      </c>
    </row>
    <row r="80" spans="3:52" ht="15.75" thickBot="1">
      <c r="C80" s="110">
        <v>71</v>
      </c>
      <c r="D80" s="340"/>
      <c r="E80" s="121"/>
      <c r="F80" s="362" t="str">
        <f>IF(D80="","",VLOOKUP(D80,'G-7 WaterC'' Data'!$B$2:$G$8,2,FALSE))</f>
        <v/>
      </c>
      <c r="G80" s="363" t="str">
        <f>IFERROR(VLOOKUP(F80,'G-7 WaterC'' Data'!$C$4:$D$8,2,FALSE),"")</f>
        <v/>
      </c>
      <c r="H80" s="114"/>
      <c r="I80" s="363" t="str">
        <f>IFERROR(INDEX('G-7 WaterC'' Data'!$H$4:$L$8,MATCH(D80,'G-7 WaterC'' Data'!$B$4:$B$8,0),MATCH(H80,'G-7 WaterC'' Data'!$H$3:$L$3,0)),"")</f>
        <v/>
      </c>
      <c r="J80" s="115"/>
      <c r="K80" s="382" t="str">
        <f>IF(J80="","",IF(VLOOKUP(J80,'G-7 WaterC'' Data'!$AK$4:$AM$9,2,FALSE)=0,"Spatial Data Missing ⚠",VLOOKUP(J80,'G-7 WaterC'' Data'!$AK$4:$AM$6,2,FALSE)))</f>
        <v/>
      </c>
      <c r="L80" s="386" t="str">
        <f>IF(J80="","",IF(VLOOKUP(J80,'G-7 WaterC'' Data'!$AK$4:$AM$9,3,FALSE)=0,"Spatial Data Missing ⚠",VLOOKUP(J80,'G-7 WaterC'' Data'!$AK$4:$AM$6,3,FALSE)))</f>
        <v/>
      </c>
      <c r="M80" s="115"/>
      <c r="N80" s="363" t="str">
        <f>IF(M80="","",IF(VLOOKUP(M80,'G-7 WaterC'' Data'!$AA$4:$AB$7,2,FALSE)=0,"Spatial Data Missing ⚠",VLOOKUP(M80,'G-7 WaterC'' Data'!$AA$4:$AB$7,2,FALSE)))</f>
        <v/>
      </c>
      <c r="O80" s="60"/>
      <c r="P80" s="363" t="str">
        <f>IF(O80="","",IF(VLOOKUP(O80,'G-7 WaterC'' Data'!$AD$4:$AE$14,2,FALSE)=0,"Spatial Data Missing ⚠",VLOOKUP(O80,'G-7 WaterC'' Data'!$AD$4:$AE$14,2,FALSE)))</f>
        <v/>
      </c>
      <c r="Q80" s="369" t="str">
        <f>IF(D80="","",VLOOKUP(D80,'G-7 WaterC'' Data'!$B$4:$G$8,6,FALSE))</f>
        <v/>
      </c>
      <c r="R80" s="376" t="str">
        <f>IFERROR(IF(D80="","",IF(AND(Q80='G-1 All Habitats'!$X$3,X80&gt;0),Y80+(Z80*T80),IF(AND(Q80='G-1 All Habitats'!$X$3,W80&gt;0),Y80+(Z80*T80),IF(AND(Q80='G-1 All Habitats'!$X$3,AH80&gt;0),"Any Loss Unacceptable ⚠",IF(AND(Q80='G-1 All Habitats'!$X$3,AI80&gt;0),"Any Loss Unacceptable ⚠", E80*G80*I80*L80*N80*P80*T80 ))))),"Check Data ▲")</f>
        <v/>
      </c>
      <c r="S80" s="516"/>
      <c r="T80" s="368" t="str">
        <f>IF(S80="","",IF(VLOOKUP(S80,'G-7 WaterC'' Data'!$AO$4:$BO$7,2,FALSE)=0,"Spatial Data Missing ⚠",VLOOKUP(S80,'G-7 WaterC'' Data'!$AO$4:$BO$7,2,FALSE)))</f>
        <v/>
      </c>
      <c r="U80" s="376" t="str">
        <f>IFERROR(IF(D80="","",IF(AND(Q80='G-1 All Habitats'!$X$3,X80&gt;0),Y80+Z80,IF(AND(Q80='G-1 All Habitats'!$X$3,W80&gt;0),Y80+Z80,IF(AND(Q80='G-1 All Habitats'!$X$3,AH80&gt;0),"Any Loss Unacceptable ⚠",IF(AND(Q80='G-1 All Habitats'!$X$3,AI80&gt;0),"Any Loss Unacceptable ⚠", E80*G80*I80*L80*N80*P80 ))))),"Check Data ▲")</f>
        <v/>
      </c>
      <c r="V80" s="32"/>
      <c r="W80" s="114"/>
      <c r="X80" s="125"/>
      <c r="Y80" s="374" t="str">
        <f t="shared" si="8"/>
        <v/>
      </c>
      <c r="Z80" s="374" t="str">
        <f t="shared" si="9"/>
        <v/>
      </c>
      <c r="AA80" s="374" t="str">
        <f t="shared" si="10"/>
        <v/>
      </c>
      <c r="AB80" s="670" t="str">
        <f t="shared" si="11"/>
        <v/>
      </c>
      <c r="AC80" s="516"/>
      <c r="AD80" s="119"/>
      <c r="AE80" s="120"/>
      <c r="AF80" s="120"/>
      <c r="AG80" s="120"/>
      <c r="AH80" s="57" t="str">
        <f>IF(Q80="","",IF(Q80='G-1 All Habitats'!$X$3,E80-X80-W80,"None"))</f>
        <v/>
      </c>
      <c r="AI80" s="58" t="str">
        <f>IF(Q80="","", IF(Q80='G-1 All Habitats'!$X$3, AH80*G80*I80*L80*N80*P80,"None"))</f>
        <v/>
      </c>
      <c r="AJ80" s="30" t="str">
        <f>IFERROR(INDEX('G-7 WaterC'' Data'!$AZ$3:$AZ$7,MATCH(D80,'G-7 WaterC'' Data'!$AY$3:$AY$7,0)),"")</f>
        <v/>
      </c>
      <c r="AK80" s="30">
        <f t="shared" si="12"/>
        <v>0</v>
      </c>
      <c r="AL80" s="124" t="str">
        <f t="shared" si="13"/>
        <v/>
      </c>
      <c r="AM80" s="124" t="str">
        <f t="shared" si="14"/>
        <v/>
      </c>
      <c r="AO80" s="124">
        <v>71</v>
      </c>
      <c r="AQ80" s="124" t="str">
        <f t="array" ref="AQ80">IFERROR(INDEX($AO$10:$AO$258, MATCH(0, IF(TRUE=$AL$10:$AL$258, COUNTIF($AQ$9:$AQ79, $AO$10:$AO$258), ""), 0)),"")</f>
        <v/>
      </c>
      <c r="AR80" s="124" t="str">
        <f t="array" ref="AR80">IFERROR(INDEX($AO$10:$AO$258, MATCH(0, IF(TRUE=$AM$10:$AM$258, COUNTIF($AR$9:$AR79, $AO$10:$AO$258), ""), 0)),"")</f>
        <v/>
      </c>
      <c r="AZ80" s="802" t="str">
        <f t="shared" si="15"/>
        <v/>
      </c>
    </row>
    <row r="81" spans="3:52" ht="15.75" thickBot="1">
      <c r="C81" s="110">
        <v>72</v>
      </c>
      <c r="D81" s="340"/>
      <c r="E81" s="121"/>
      <c r="F81" s="362" t="str">
        <f>IF(D81="","",VLOOKUP(D81,'G-7 WaterC'' Data'!$B$2:$G$8,2,FALSE))</f>
        <v/>
      </c>
      <c r="G81" s="363" t="str">
        <f>IFERROR(VLOOKUP(F81,'G-7 WaterC'' Data'!$C$4:$D$8,2,FALSE),"")</f>
        <v/>
      </c>
      <c r="H81" s="114"/>
      <c r="I81" s="363" t="str">
        <f>IFERROR(INDEX('G-7 WaterC'' Data'!$H$4:$L$8,MATCH(D81,'G-7 WaterC'' Data'!$B$4:$B$8,0),MATCH(H81,'G-7 WaterC'' Data'!$H$3:$L$3,0)),"")</f>
        <v/>
      </c>
      <c r="J81" s="115"/>
      <c r="K81" s="382" t="str">
        <f>IF(J81="","",IF(VLOOKUP(J81,'G-7 WaterC'' Data'!$AK$4:$AM$9,2,FALSE)=0,"Spatial Data Missing ⚠",VLOOKUP(J81,'G-7 WaterC'' Data'!$AK$4:$AM$6,2,FALSE)))</f>
        <v/>
      </c>
      <c r="L81" s="386" t="str">
        <f>IF(J81="","",IF(VLOOKUP(J81,'G-7 WaterC'' Data'!$AK$4:$AM$9,3,FALSE)=0,"Spatial Data Missing ⚠",VLOOKUP(J81,'G-7 WaterC'' Data'!$AK$4:$AM$6,3,FALSE)))</f>
        <v/>
      </c>
      <c r="M81" s="115"/>
      <c r="N81" s="363" t="str">
        <f>IF(M81="","",IF(VLOOKUP(M81,'G-7 WaterC'' Data'!$AA$4:$AB$7,2,FALSE)=0,"Spatial Data Missing ⚠",VLOOKUP(M81,'G-7 WaterC'' Data'!$AA$4:$AB$7,2,FALSE)))</f>
        <v/>
      </c>
      <c r="O81" s="60"/>
      <c r="P81" s="363" t="str">
        <f>IF(O81="","",IF(VLOOKUP(O81,'G-7 WaterC'' Data'!$AD$4:$AE$14,2,FALSE)=0,"Spatial Data Missing ⚠",VLOOKUP(O81,'G-7 WaterC'' Data'!$AD$4:$AE$14,2,FALSE)))</f>
        <v/>
      </c>
      <c r="Q81" s="369" t="str">
        <f>IF(D81="","",VLOOKUP(D81,'G-7 WaterC'' Data'!$B$4:$G$8,6,FALSE))</f>
        <v/>
      </c>
      <c r="R81" s="376" t="str">
        <f>IFERROR(IF(D81="","",IF(AND(Q81='G-1 All Habitats'!$X$3,X81&gt;0),Y81+(Z81*T81),IF(AND(Q81='G-1 All Habitats'!$X$3,W81&gt;0),Y81+(Z81*T81),IF(AND(Q81='G-1 All Habitats'!$X$3,AH81&gt;0),"Any Loss Unacceptable ⚠",IF(AND(Q81='G-1 All Habitats'!$X$3,AI81&gt;0),"Any Loss Unacceptable ⚠", E81*G81*I81*L81*N81*P81*T81 ))))),"Check Data ▲")</f>
        <v/>
      </c>
      <c r="S81" s="516"/>
      <c r="T81" s="368" t="str">
        <f>IF(S81="","",IF(VLOOKUP(S81,'G-7 WaterC'' Data'!$AO$4:$BO$7,2,FALSE)=0,"Spatial Data Missing ⚠",VLOOKUP(S81,'G-7 WaterC'' Data'!$AO$4:$BO$7,2,FALSE)))</f>
        <v/>
      </c>
      <c r="U81" s="376" t="str">
        <f>IFERROR(IF(D81="","",IF(AND(Q81='G-1 All Habitats'!$X$3,X81&gt;0),Y81+Z81,IF(AND(Q81='G-1 All Habitats'!$X$3,W81&gt;0),Y81+Z81,IF(AND(Q81='G-1 All Habitats'!$X$3,AH81&gt;0),"Any Loss Unacceptable ⚠",IF(AND(Q81='G-1 All Habitats'!$X$3,AI81&gt;0),"Any Loss Unacceptable ⚠", E81*G81*I81*L81*N81*P81 ))))),"Check Data ▲")</f>
        <v/>
      </c>
      <c r="V81" s="32"/>
      <c r="W81" s="114"/>
      <c r="X81" s="125"/>
      <c r="Y81" s="374" t="str">
        <f t="shared" si="8"/>
        <v/>
      </c>
      <c r="Z81" s="374" t="str">
        <f t="shared" si="9"/>
        <v/>
      </c>
      <c r="AA81" s="374" t="str">
        <f t="shared" si="10"/>
        <v/>
      </c>
      <c r="AB81" s="670" t="str">
        <f t="shared" si="11"/>
        <v/>
      </c>
      <c r="AC81" s="516"/>
      <c r="AD81" s="119"/>
      <c r="AE81" s="120"/>
      <c r="AF81" s="120"/>
      <c r="AG81" s="120"/>
      <c r="AH81" s="57" t="str">
        <f>IF(Q81="","",IF(Q81='G-1 All Habitats'!$X$3,E81-X81-W81,"None"))</f>
        <v/>
      </c>
      <c r="AI81" s="58" t="str">
        <f>IF(Q81="","", IF(Q81='G-1 All Habitats'!$X$3, AH81*G81*I81*L81*N81*P81,"None"))</f>
        <v/>
      </c>
      <c r="AJ81" s="30" t="str">
        <f>IFERROR(INDEX('G-7 WaterC'' Data'!$AZ$3:$AZ$7,MATCH(D81,'G-7 WaterC'' Data'!$AY$3:$AY$7,0)),"")</f>
        <v/>
      </c>
      <c r="AK81" s="30">
        <f t="shared" si="12"/>
        <v>0</v>
      </c>
      <c r="AL81" s="124" t="str">
        <f t="shared" si="13"/>
        <v/>
      </c>
      <c r="AM81" s="124" t="str">
        <f t="shared" si="14"/>
        <v/>
      </c>
      <c r="AO81" s="124">
        <v>72</v>
      </c>
      <c r="AQ81" s="124" t="str">
        <f t="array" ref="AQ81">IFERROR(INDEX($AO$10:$AO$258, MATCH(0, IF(TRUE=$AL$10:$AL$258, COUNTIF($AQ$9:$AQ80, $AO$10:$AO$258), ""), 0)),"")</f>
        <v/>
      </c>
      <c r="AR81" s="124" t="str">
        <f t="array" ref="AR81">IFERROR(INDEX($AO$10:$AO$258, MATCH(0, IF(TRUE=$AM$10:$AM$258, COUNTIF($AR$9:$AR80, $AO$10:$AO$258), ""), 0)),"")</f>
        <v/>
      </c>
      <c r="AZ81" s="802" t="str">
        <f t="shared" si="15"/>
        <v/>
      </c>
    </row>
    <row r="82" spans="3:52" ht="15.75" thickBot="1">
      <c r="C82" s="110">
        <v>73</v>
      </c>
      <c r="D82" s="340"/>
      <c r="E82" s="121"/>
      <c r="F82" s="362" t="str">
        <f>IF(D82="","",VLOOKUP(D82,'G-7 WaterC'' Data'!$B$2:$G$8,2,FALSE))</f>
        <v/>
      </c>
      <c r="G82" s="363" t="str">
        <f>IFERROR(VLOOKUP(F82,'G-7 WaterC'' Data'!$C$4:$D$8,2,FALSE),"")</f>
        <v/>
      </c>
      <c r="H82" s="114"/>
      <c r="I82" s="363" t="str">
        <f>IFERROR(INDEX('G-7 WaterC'' Data'!$H$4:$L$8,MATCH(D82,'G-7 WaterC'' Data'!$B$4:$B$8,0),MATCH(H82,'G-7 WaterC'' Data'!$H$3:$L$3,0)),"")</f>
        <v/>
      </c>
      <c r="J82" s="115"/>
      <c r="K82" s="382" t="str">
        <f>IF(J82="","",IF(VLOOKUP(J82,'G-7 WaterC'' Data'!$AK$4:$AM$9,2,FALSE)=0,"Spatial Data Missing ⚠",VLOOKUP(J82,'G-7 WaterC'' Data'!$AK$4:$AM$6,2,FALSE)))</f>
        <v/>
      </c>
      <c r="L82" s="386" t="str">
        <f>IF(J82="","",IF(VLOOKUP(J82,'G-7 WaterC'' Data'!$AK$4:$AM$9,3,FALSE)=0,"Spatial Data Missing ⚠",VLOOKUP(J82,'G-7 WaterC'' Data'!$AK$4:$AM$6,3,FALSE)))</f>
        <v/>
      </c>
      <c r="M82" s="115"/>
      <c r="N82" s="363" t="str">
        <f>IF(M82="","",IF(VLOOKUP(M82,'G-7 WaterC'' Data'!$AA$4:$AB$7,2,FALSE)=0,"Spatial Data Missing ⚠",VLOOKUP(M82,'G-7 WaterC'' Data'!$AA$4:$AB$7,2,FALSE)))</f>
        <v/>
      </c>
      <c r="O82" s="60"/>
      <c r="P82" s="363" t="str">
        <f>IF(O82="","",IF(VLOOKUP(O82,'G-7 WaterC'' Data'!$AD$4:$AE$14,2,FALSE)=0,"Spatial Data Missing ⚠",VLOOKUP(O82,'G-7 WaterC'' Data'!$AD$4:$AE$14,2,FALSE)))</f>
        <v/>
      </c>
      <c r="Q82" s="369" t="str">
        <f>IF(D82="","",VLOOKUP(D82,'G-7 WaterC'' Data'!$B$4:$G$8,6,FALSE))</f>
        <v/>
      </c>
      <c r="R82" s="376" t="str">
        <f>IFERROR(IF(D82="","",IF(AND(Q82='G-1 All Habitats'!$X$3,X82&gt;0),Y82+(Z82*T82),IF(AND(Q82='G-1 All Habitats'!$X$3,W82&gt;0),Y82+(Z82*T82),IF(AND(Q82='G-1 All Habitats'!$X$3,AH82&gt;0),"Any Loss Unacceptable ⚠",IF(AND(Q82='G-1 All Habitats'!$X$3,AI82&gt;0),"Any Loss Unacceptable ⚠", E82*G82*I82*L82*N82*P82*T82 ))))),"Check Data ▲")</f>
        <v/>
      </c>
      <c r="S82" s="516"/>
      <c r="T82" s="368" t="str">
        <f>IF(S82="","",IF(VLOOKUP(S82,'G-7 WaterC'' Data'!$AO$4:$BO$7,2,FALSE)=0,"Spatial Data Missing ⚠",VLOOKUP(S82,'G-7 WaterC'' Data'!$AO$4:$BO$7,2,FALSE)))</f>
        <v/>
      </c>
      <c r="U82" s="376" t="str">
        <f>IFERROR(IF(D82="","",IF(AND(Q82='G-1 All Habitats'!$X$3,X82&gt;0),Y82+Z82,IF(AND(Q82='G-1 All Habitats'!$X$3,W82&gt;0),Y82+Z82,IF(AND(Q82='G-1 All Habitats'!$X$3,AH82&gt;0),"Any Loss Unacceptable ⚠",IF(AND(Q82='G-1 All Habitats'!$X$3,AI82&gt;0),"Any Loss Unacceptable ⚠", E82*G82*I82*L82*N82*P82 ))))),"Check Data ▲")</f>
        <v/>
      </c>
      <c r="V82" s="32"/>
      <c r="W82" s="114"/>
      <c r="X82" s="125"/>
      <c r="Y82" s="374" t="str">
        <f t="shared" si="8"/>
        <v/>
      </c>
      <c r="Z82" s="374" t="str">
        <f t="shared" si="9"/>
        <v/>
      </c>
      <c r="AA82" s="374" t="str">
        <f t="shared" si="10"/>
        <v/>
      </c>
      <c r="AB82" s="670" t="str">
        <f t="shared" si="11"/>
        <v/>
      </c>
      <c r="AC82" s="516"/>
      <c r="AD82" s="119"/>
      <c r="AE82" s="120"/>
      <c r="AF82" s="120"/>
      <c r="AG82" s="120"/>
      <c r="AH82" s="57" t="str">
        <f>IF(Q82="","",IF(Q82='G-1 All Habitats'!$X$3,E82-X82-W82,"None"))</f>
        <v/>
      </c>
      <c r="AI82" s="58" t="str">
        <f>IF(Q82="","", IF(Q82='G-1 All Habitats'!$X$3, AH82*G82*I82*L82*N82*P82,"None"))</f>
        <v/>
      </c>
      <c r="AJ82" s="30" t="str">
        <f>IFERROR(INDEX('G-7 WaterC'' Data'!$AZ$3:$AZ$7,MATCH(D82,'G-7 WaterC'' Data'!$AY$3:$AY$7,0)),"")</f>
        <v/>
      </c>
      <c r="AK82" s="30">
        <f t="shared" si="12"/>
        <v>0</v>
      </c>
      <c r="AL82" s="124" t="str">
        <f t="shared" si="13"/>
        <v/>
      </c>
      <c r="AM82" s="124" t="str">
        <f t="shared" si="14"/>
        <v/>
      </c>
      <c r="AO82" s="124">
        <v>73</v>
      </c>
      <c r="AQ82" s="124" t="str">
        <f t="array" ref="AQ82">IFERROR(INDEX($AO$10:$AO$258, MATCH(0, IF(TRUE=$AL$10:$AL$258, COUNTIF($AQ$9:$AQ81, $AO$10:$AO$258), ""), 0)),"")</f>
        <v/>
      </c>
      <c r="AR82" s="124" t="str">
        <f t="array" ref="AR82">IFERROR(INDEX($AO$10:$AO$258, MATCH(0, IF(TRUE=$AM$10:$AM$258, COUNTIF($AR$9:$AR81, $AO$10:$AO$258), ""), 0)),"")</f>
        <v/>
      </c>
      <c r="AZ82" s="802" t="str">
        <f t="shared" si="15"/>
        <v/>
      </c>
    </row>
    <row r="83" spans="3:52" ht="15.75" thickBot="1">
      <c r="C83" s="110">
        <v>74</v>
      </c>
      <c r="D83" s="340"/>
      <c r="E83" s="121"/>
      <c r="F83" s="362" t="str">
        <f>IF(D83="","",VLOOKUP(D83,'G-7 WaterC'' Data'!$B$2:$G$8,2,FALSE))</f>
        <v/>
      </c>
      <c r="G83" s="363" t="str">
        <f>IFERROR(VLOOKUP(F83,'G-7 WaterC'' Data'!$C$4:$D$8,2,FALSE),"")</f>
        <v/>
      </c>
      <c r="H83" s="114"/>
      <c r="I83" s="363" t="str">
        <f>IFERROR(INDEX('G-7 WaterC'' Data'!$H$4:$L$8,MATCH(D83,'G-7 WaterC'' Data'!$B$4:$B$8,0),MATCH(H83,'G-7 WaterC'' Data'!$H$3:$L$3,0)),"")</f>
        <v/>
      </c>
      <c r="J83" s="115"/>
      <c r="K83" s="382" t="str">
        <f>IF(J83="","",IF(VLOOKUP(J83,'G-7 WaterC'' Data'!$AK$4:$AM$9,2,FALSE)=0,"Spatial Data Missing ⚠",VLOOKUP(J83,'G-7 WaterC'' Data'!$AK$4:$AM$6,2,FALSE)))</f>
        <v/>
      </c>
      <c r="L83" s="386" t="str">
        <f>IF(J83="","",IF(VLOOKUP(J83,'G-7 WaterC'' Data'!$AK$4:$AM$9,3,FALSE)=0,"Spatial Data Missing ⚠",VLOOKUP(J83,'G-7 WaterC'' Data'!$AK$4:$AM$6,3,FALSE)))</f>
        <v/>
      </c>
      <c r="M83" s="115"/>
      <c r="N83" s="363" t="str">
        <f>IF(M83="","",IF(VLOOKUP(M83,'G-7 WaterC'' Data'!$AA$4:$AB$7,2,FALSE)=0,"Spatial Data Missing ⚠",VLOOKUP(M83,'G-7 WaterC'' Data'!$AA$4:$AB$7,2,FALSE)))</f>
        <v/>
      </c>
      <c r="O83" s="60"/>
      <c r="P83" s="363" t="str">
        <f>IF(O83="","",IF(VLOOKUP(O83,'G-7 WaterC'' Data'!$AD$4:$AE$14,2,FALSE)=0,"Spatial Data Missing ⚠",VLOOKUP(O83,'G-7 WaterC'' Data'!$AD$4:$AE$14,2,FALSE)))</f>
        <v/>
      </c>
      <c r="Q83" s="369" t="str">
        <f>IF(D83="","",VLOOKUP(D83,'G-7 WaterC'' Data'!$B$4:$G$8,6,FALSE))</f>
        <v/>
      </c>
      <c r="R83" s="376" t="str">
        <f>IFERROR(IF(D83="","",IF(AND(Q83='G-1 All Habitats'!$X$3,X83&gt;0),Y83+(Z83*T83),IF(AND(Q83='G-1 All Habitats'!$X$3,W83&gt;0),Y83+(Z83*T83),IF(AND(Q83='G-1 All Habitats'!$X$3,AH83&gt;0),"Any Loss Unacceptable ⚠",IF(AND(Q83='G-1 All Habitats'!$X$3,AI83&gt;0),"Any Loss Unacceptable ⚠", E83*G83*I83*L83*N83*P83*T83 ))))),"Check Data ▲")</f>
        <v/>
      </c>
      <c r="S83" s="516"/>
      <c r="T83" s="368" t="str">
        <f>IF(S83="","",IF(VLOOKUP(S83,'G-7 WaterC'' Data'!$AO$4:$BO$7,2,FALSE)=0,"Spatial Data Missing ⚠",VLOOKUP(S83,'G-7 WaterC'' Data'!$AO$4:$BO$7,2,FALSE)))</f>
        <v/>
      </c>
      <c r="U83" s="376" t="str">
        <f>IFERROR(IF(D83="","",IF(AND(Q83='G-1 All Habitats'!$X$3,X83&gt;0),Y83+Z83,IF(AND(Q83='G-1 All Habitats'!$X$3,W83&gt;0),Y83+Z83,IF(AND(Q83='G-1 All Habitats'!$X$3,AH83&gt;0),"Any Loss Unacceptable ⚠",IF(AND(Q83='G-1 All Habitats'!$X$3,AI83&gt;0),"Any Loss Unacceptable ⚠", E83*G83*I83*L83*N83*P83 ))))),"Check Data ▲")</f>
        <v/>
      </c>
      <c r="V83" s="32"/>
      <c r="W83" s="114"/>
      <c r="X83" s="125"/>
      <c r="Y83" s="374" t="str">
        <f t="shared" si="8"/>
        <v/>
      </c>
      <c r="Z83" s="374" t="str">
        <f t="shared" si="9"/>
        <v/>
      </c>
      <c r="AA83" s="374" t="str">
        <f t="shared" si="10"/>
        <v/>
      </c>
      <c r="AB83" s="670" t="str">
        <f t="shared" si="11"/>
        <v/>
      </c>
      <c r="AC83" s="516"/>
      <c r="AD83" s="119"/>
      <c r="AE83" s="120"/>
      <c r="AF83" s="120"/>
      <c r="AG83" s="120"/>
      <c r="AH83" s="57" t="str">
        <f>IF(Q83="","",IF(Q83='G-1 All Habitats'!$X$3,E83-X83-W83,"None"))</f>
        <v/>
      </c>
      <c r="AI83" s="58" t="str">
        <f>IF(Q83="","", IF(Q83='G-1 All Habitats'!$X$3, AH83*G83*I83*L83*N83*P83,"None"))</f>
        <v/>
      </c>
      <c r="AJ83" s="30" t="str">
        <f>IFERROR(INDEX('G-7 WaterC'' Data'!$AZ$3:$AZ$7,MATCH(D83,'G-7 WaterC'' Data'!$AY$3:$AY$7,0)),"")</f>
        <v/>
      </c>
      <c r="AK83" s="30">
        <f t="shared" si="12"/>
        <v>0</v>
      </c>
      <c r="AL83" s="124" t="str">
        <f t="shared" si="13"/>
        <v/>
      </c>
      <c r="AM83" s="124" t="str">
        <f t="shared" si="14"/>
        <v/>
      </c>
      <c r="AO83" s="124">
        <v>74</v>
      </c>
      <c r="AQ83" s="124" t="str">
        <f t="array" ref="AQ83">IFERROR(INDEX($AO$10:$AO$258, MATCH(0, IF(TRUE=$AL$10:$AL$258, COUNTIF($AQ$9:$AQ82, $AO$10:$AO$258), ""), 0)),"")</f>
        <v/>
      </c>
      <c r="AR83" s="124" t="str">
        <f t="array" ref="AR83">IFERROR(INDEX($AO$10:$AO$258, MATCH(0, IF(TRUE=$AM$10:$AM$258, COUNTIF($AR$9:$AR82, $AO$10:$AO$258), ""), 0)),"")</f>
        <v/>
      </c>
      <c r="AZ83" s="802" t="str">
        <f t="shared" si="15"/>
        <v/>
      </c>
    </row>
    <row r="84" spans="3:52" ht="15.75" thickBot="1">
      <c r="C84" s="110">
        <v>75</v>
      </c>
      <c r="D84" s="340"/>
      <c r="E84" s="121"/>
      <c r="F84" s="362" t="str">
        <f>IF(D84="","",VLOOKUP(D84,'G-7 WaterC'' Data'!$B$2:$G$8,2,FALSE))</f>
        <v/>
      </c>
      <c r="G84" s="363" t="str">
        <f>IFERROR(VLOOKUP(F84,'G-7 WaterC'' Data'!$C$4:$D$8,2,FALSE),"")</f>
        <v/>
      </c>
      <c r="H84" s="114"/>
      <c r="I84" s="363" t="str">
        <f>IFERROR(INDEX('G-7 WaterC'' Data'!$H$4:$L$8,MATCH(D84,'G-7 WaterC'' Data'!$B$4:$B$8,0),MATCH(H84,'G-7 WaterC'' Data'!$H$3:$L$3,0)),"")</f>
        <v/>
      </c>
      <c r="J84" s="115"/>
      <c r="K84" s="382" t="str">
        <f>IF(J84="","",IF(VLOOKUP(J84,'G-7 WaterC'' Data'!$AK$4:$AM$9,2,FALSE)=0,"Spatial Data Missing ⚠",VLOOKUP(J84,'G-7 WaterC'' Data'!$AK$4:$AM$6,2,FALSE)))</f>
        <v/>
      </c>
      <c r="L84" s="386" t="str">
        <f>IF(J84="","",IF(VLOOKUP(J84,'G-7 WaterC'' Data'!$AK$4:$AM$9,3,FALSE)=0,"Spatial Data Missing ⚠",VLOOKUP(J84,'G-7 WaterC'' Data'!$AK$4:$AM$6,3,FALSE)))</f>
        <v/>
      </c>
      <c r="M84" s="115"/>
      <c r="N84" s="363" t="str">
        <f>IF(M84="","",IF(VLOOKUP(M84,'G-7 WaterC'' Data'!$AA$4:$AB$7,2,FALSE)=0,"Spatial Data Missing ⚠",VLOOKUP(M84,'G-7 WaterC'' Data'!$AA$4:$AB$7,2,FALSE)))</f>
        <v/>
      </c>
      <c r="O84" s="60"/>
      <c r="P84" s="363" t="str">
        <f>IF(O84="","",IF(VLOOKUP(O84,'G-7 WaterC'' Data'!$AD$4:$AE$14,2,FALSE)=0,"Spatial Data Missing ⚠",VLOOKUP(O84,'G-7 WaterC'' Data'!$AD$4:$AE$14,2,FALSE)))</f>
        <v/>
      </c>
      <c r="Q84" s="369" t="str">
        <f>IF(D84="","",VLOOKUP(D84,'G-7 WaterC'' Data'!$B$4:$G$8,6,FALSE))</f>
        <v/>
      </c>
      <c r="R84" s="376" t="str">
        <f>IFERROR(IF(D84="","",IF(AND(Q84='G-1 All Habitats'!$X$3,X84&gt;0),Y84+(Z84*T84),IF(AND(Q84='G-1 All Habitats'!$X$3,W84&gt;0),Y84+(Z84*T84),IF(AND(Q84='G-1 All Habitats'!$X$3,AH84&gt;0),"Any Loss Unacceptable ⚠",IF(AND(Q84='G-1 All Habitats'!$X$3,AI84&gt;0),"Any Loss Unacceptable ⚠", E84*G84*I84*L84*N84*P84*T84 ))))),"Check Data ▲")</f>
        <v/>
      </c>
      <c r="S84" s="516"/>
      <c r="T84" s="368" t="str">
        <f>IF(S84="","",IF(VLOOKUP(S84,'G-7 WaterC'' Data'!$AO$4:$BO$7,2,FALSE)=0,"Spatial Data Missing ⚠",VLOOKUP(S84,'G-7 WaterC'' Data'!$AO$4:$BO$7,2,FALSE)))</f>
        <v/>
      </c>
      <c r="U84" s="376" t="str">
        <f>IFERROR(IF(D84="","",IF(AND(Q84='G-1 All Habitats'!$X$3,X84&gt;0),Y84+Z84,IF(AND(Q84='G-1 All Habitats'!$X$3,W84&gt;0),Y84+Z84,IF(AND(Q84='G-1 All Habitats'!$X$3,AH84&gt;0),"Any Loss Unacceptable ⚠",IF(AND(Q84='G-1 All Habitats'!$X$3,AI84&gt;0),"Any Loss Unacceptable ⚠", E84*G84*I84*L84*N84*P84 ))))),"Check Data ▲")</f>
        <v/>
      </c>
      <c r="V84" s="32"/>
      <c r="W84" s="114"/>
      <c r="X84" s="125"/>
      <c r="Y84" s="374" t="str">
        <f t="shared" si="8"/>
        <v/>
      </c>
      <c r="Z84" s="374" t="str">
        <f t="shared" si="9"/>
        <v/>
      </c>
      <c r="AA84" s="374" t="str">
        <f t="shared" si="10"/>
        <v/>
      </c>
      <c r="AB84" s="670" t="str">
        <f t="shared" si="11"/>
        <v/>
      </c>
      <c r="AC84" s="516"/>
      <c r="AD84" s="119"/>
      <c r="AE84" s="120"/>
      <c r="AF84" s="120"/>
      <c r="AG84" s="120"/>
      <c r="AH84" s="57" t="str">
        <f>IF(Q84="","",IF(Q84='G-1 All Habitats'!$X$3,E84-X84-W84,"None"))</f>
        <v/>
      </c>
      <c r="AI84" s="58" t="str">
        <f>IF(Q84="","", IF(Q84='G-1 All Habitats'!$X$3, AH84*G84*I84*L84*N84*P84,"None"))</f>
        <v/>
      </c>
      <c r="AJ84" s="30" t="str">
        <f>IFERROR(INDEX('G-7 WaterC'' Data'!$AZ$3:$AZ$7,MATCH(D84,'G-7 WaterC'' Data'!$AY$3:$AY$7,0)),"")</f>
        <v/>
      </c>
      <c r="AK84" s="30">
        <f t="shared" si="12"/>
        <v>0</v>
      </c>
      <c r="AL84" s="124" t="str">
        <f t="shared" si="13"/>
        <v/>
      </c>
      <c r="AM84" s="124" t="str">
        <f t="shared" si="14"/>
        <v/>
      </c>
      <c r="AO84" s="124">
        <v>75</v>
      </c>
      <c r="AQ84" s="124" t="str">
        <f t="array" ref="AQ84">IFERROR(INDEX($AO$10:$AO$258, MATCH(0, IF(TRUE=$AL$10:$AL$258, COUNTIF($AQ$9:$AQ83, $AO$10:$AO$258), ""), 0)),"")</f>
        <v/>
      </c>
      <c r="AR84" s="124" t="str">
        <f t="array" ref="AR84">IFERROR(INDEX($AO$10:$AO$258, MATCH(0, IF(TRUE=$AM$10:$AM$258, COUNTIF($AR$9:$AR83, $AO$10:$AO$258), ""), 0)),"")</f>
        <v/>
      </c>
      <c r="AZ84" s="802" t="str">
        <f t="shared" si="15"/>
        <v/>
      </c>
    </row>
    <row r="85" spans="3:52" ht="15.75" thickBot="1">
      <c r="C85" s="110">
        <v>76</v>
      </c>
      <c r="D85" s="340"/>
      <c r="E85" s="121"/>
      <c r="F85" s="362" t="str">
        <f>IF(D85="","",VLOOKUP(D85,'G-7 WaterC'' Data'!$B$2:$G$8,2,FALSE))</f>
        <v/>
      </c>
      <c r="G85" s="363" t="str">
        <f>IFERROR(VLOOKUP(F85,'G-7 WaterC'' Data'!$C$4:$D$8,2,FALSE),"")</f>
        <v/>
      </c>
      <c r="H85" s="114"/>
      <c r="I85" s="363" t="str">
        <f>IFERROR(INDEX('G-7 WaterC'' Data'!$H$4:$L$8,MATCH(D85,'G-7 WaterC'' Data'!$B$4:$B$8,0),MATCH(H85,'G-7 WaterC'' Data'!$H$3:$L$3,0)),"")</f>
        <v/>
      </c>
      <c r="J85" s="115"/>
      <c r="K85" s="382" t="str">
        <f>IF(J85="","",IF(VLOOKUP(J85,'G-7 WaterC'' Data'!$AK$4:$AM$9,2,FALSE)=0,"Spatial Data Missing ⚠",VLOOKUP(J85,'G-7 WaterC'' Data'!$AK$4:$AM$6,2,FALSE)))</f>
        <v/>
      </c>
      <c r="L85" s="386" t="str">
        <f>IF(J85="","",IF(VLOOKUP(J85,'G-7 WaterC'' Data'!$AK$4:$AM$9,3,FALSE)=0,"Spatial Data Missing ⚠",VLOOKUP(J85,'G-7 WaterC'' Data'!$AK$4:$AM$6,3,FALSE)))</f>
        <v/>
      </c>
      <c r="M85" s="115"/>
      <c r="N85" s="363" t="str">
        <f>IF(M85="","",IF(VLOOKUP(M85,'G-7 WaterC'' Data'!$AA$4:$AB$7,2,FALSE)=0,"Spatial Data Missing ⚠",VLOOKUP(M85,'G-7 WaterC'' Data'!$AA$4:$AB$7,2,FALSE)))</f>
        <v/>
      </c>
      <c r="O85" s="60"/>
      <c r="P85" s="363" t="str">
        <f>IF(O85="","",IF(VLOOKUP(O85,'G-7 WaterC'' Data'!$AD$4:$AE$14,2,FALSE)=0,"Spatial Data Missing ⚠",VLOOKUP(O85,'G-7 WaterC'' Data'!$AD$4:$AE$14,2,FALSE)))</f>
        <v/>
      </c>
      <c r="Q85" s="369" t="str">
        <f>IF(D85="","",VLOOKUP(D85,'G-7 WaterC'' Data'!$B$4:$G$8,6,FALSE))</f>
        <v/>
      </c>
      <c r="R85" s="376" t="str">
        <f>IFERROR(IF(D85="","",IF(AND(Q85='G-1 All Habitats'!$X$3,X85&gt;0),Y85+(Z85*T85),IF(AND(Q85='G-1 All Habitats'!$X$3,W85&gt;0),Y85+(Z85*T85),IF(AND(Q85='G-1 All Habitats'!$X$3,AH85&gt;0),"Any Loss Unacceptable ⚠",IF(AND(Q85='G-1 All Habitats'!$X$3,AI85&gt;0),"Any Loss Unacceptable ⚠", E85*G85*I85*L85*N85*P85*T85 ))))),"Check Data ▲")</f>
        <v/>
      </c>
      <c r="S85" s="516"/>
      <c r="T85" s="368" t="str">
        <f>IF(S85="","",IF(VLOOKUP(S85,'G-7 WaterC'' Data'!$AO$4:$BO$7,2,FALSE)=0,"Spatial Data Missing ⚠",VLOOKUP(S85,'G-7 WaterC'' Data'!$AO$4:$BO$7,2,FALSE)))</f>
        <v/>
      </c>
      <c r="U85" s="376" t="str">
        <f>IFERROR(IF(D85="","",IF(AND(Q85='G-1 All Habitats'!$X$3,X85&gt;0),Y85+Z85,IF(AND(Q85='G-1 All Habitats'!$X$3,W85&gt;0),Y85+Z85,IF(AND(Q85='G-1 All Habitats'!$X$3,AH85&gt;0),"Any Loss Unacceptable ⚠",IF(AND(Q85='G-1 All Habitats'!$X$3,AI85&gt;0),"Any Loss Unacceptable ⚠", E85*G85*I85*L85*N85*P85 ))))),"Check Data ▲")</f>
        <v/>
      </c>
      <c r="V85" s="32"/>
      <c r="W85" s="114"/>
      <c r="X85" s="125"/>
      <c r="Y85" s="374" t="str">
        <f t="shared" si="8"/>
        <v/>
      </c>
      <c r="Z85" s="374" t="str">
        <f t="shared" si="9"/>
        <v/>
      </c>
      <c r="AA85" s="374" t="str">
        <f t="shared" si="10"/>
        <v/>
      </c>
      <c r="AB85" s="670" t="str">
        <f t="shared" si="11"/>
        <v/>
      </c>
      <c r="AC85" s="516"/>
      <c r="AD85" s="119"/>
      <c r="AE85" s="120"/>
      <c r="AF85" s="120"/>
      <c r="AG85" s="120"/>
      <c r="AH85" s="57" t="str">
        <f>IF(Q85="","",IF(Q85='G-1 All Habitats'!$X$3,E85-X85-W85,"None"))</f>
        <v/>
      </c>
      <c r="AI85" s="58" t="str">
        <f>IF(Q85="","", IF(Q85='G-1 All Habitats'!$X$3, AH85*G85*I85*L85*N85*P85,"None"))</f>
        <v/>
      </c>
      <c r="AJ85" s="30" t="str">
        <f>IFERROR(INDEX('G-7 WaterC'' Data'!$AZ$3:$AZ$7,MATCH(D85,'G-7 WaterC'' Data'!$AY$3:$AY$7,0)),"")</f>
        <v/>
      </c>
      <c r="AK85" s="30">
        <f t="shared" si="12"/>
        <v>0</v>
      </c>
      <c r="AL85" s="124" t="str">
        <f t="shared" si="13"/>
        <v/>
      </c>
      <c r="AM85" s="124" t="str">
        <f t="shared" si="14"/>
        <v/>
      </c>
      <c r="AO85" s="124">
        <v>76</v>
      </c>
      <c r="AQ85" s="124" t="str">
        <f t="array" ref="AQ85">IFERROR(INDEX($AO$10:$AO$258, MATCH(0, IF(TRUE=$AL$10:$AL$258, COUNTIF($AQ$9:$AQ84, $AO$10:$AO$258), ""), 0)),"")</f>
        <v/>
      </c>
      <c r="AR85" s="124" t="str">
        <f t="array" ref="AR85">IFERROR(INDEX($AO$10:$AO$258, MATCH(0, IF(TRUE=$AM$10:$AM$258, COUNTIF($AR$9:$AR84, $AO$10:$AO$258), ""), 0)),"")</f>
        <v/>
      </c>
      <c r="AZ85" s="802" t="str">
        <f t="shared" si="15"/>
        <v/>
      </c>
    </row>
    <row r="86" spans="3:52" ht="15.75" thickBot="1">
      <c r="C86" s="110">
        <v>77</v>
      </c>
      <c r="D86" s="340"/>
      <c r="E86" s="121"/>
      <c r="F86" s="362" t="str">
        <f>IF(D86="","",VLOOKUP(D86,'G-7 WaterC'' Data'!$B$2:$G$8,2,FALSE))</f>
        <v/>
      </c>
      <c r="G86" s="363" t="str">
        <f>IFERROR(VLOOKUP(F86,'G-7 WaterC'' Data'!$C$4:$D$8,2,FALSE),"")</f>
        <v/>
      </c>
      <c r="H86" s="114"/>
      <c r="I86" s="363" t="str">
        <f>IFERROR(INDEX('G-7 WaterC'' Data'!$H$4:$L$8,MATCH(D86,'G-7 WaterC'' Data'!$B$4:$B$8,0),MATCH(H86,'G-7 WaterC'' Data'!$H$3:$L$3,0)),"")</f>
        <v/>
      </c>
      <c r="J86" s="115"/>
      <c r="K86" s="382" t="str">
        <f>IF(J86="","",IF(VLOOKUP(J86,'G-7 WaterC'' Data'!$AK$4:$AM$9,2,FALSE)=0,"Spatial Data Missing ⚠",VLOOKUP(J86,'G-7 WaterC'' Data'!$AK$4:$AM$6,2,FALSE)))</f>
        <v/>
      </c>
      <c r="L86" s="386" t="str">
        <f>IF(J86="","",IF(VLOOKUP(J86,'G-7 WaterC'' Data'!$AK$4:$AM$9,3,FALSE)=0,"Spatial Data Missing ⚠",VLOOKUP(J86,'G-7 WaterC'' Data'!$AK$4:$AM$6,3,FALSE)))</f>
        <v/>
      </c>
      <c r="M86" s="115"/>
      <c r="N86" s="363" t="str">
        <f>IF(M86="","",IF(VLOOKUP(M86,'G-7 WaterC'' Data'!$AA$4:$AB$7,2,FALSE)=0,"Spatial Data Missing ⚠",VLOOKUP(M86,'G-7 WaterC'' Data'!$AA$4:$AB$7,2,FALSE)))</f>
        <v/>
      </c>
      <c r="O86" s="60"/>
      <c r="P86" s="363" t="str">
        <f>IF(O86="","",IF(VLOOKUP(O86,'G-7 WaterC'' Data'!$AD$4:$AE$14,2,FALSE)=0,"Spatial Data Missing ⚠",VLOOKUP(O86,'G-7 WaterC'' Data'!$AD$4:$AE$14,2,FALSE)))</f>
        <v/>
      </c>
      <c r="Q86" s="369" t="str">
        <f>IF(D86="","",VLOOKUP(D86,'G-7 WaterC'' Data'!$B$4:$G$8,6,FALSE))</f>
        <v/>
      </c>
      <c r="R86" s="376" t="str">
        <f>IFERROR(IF(D86="","",IF(AND(Q86='G-1 All Habitats'!$X$3,X86&gt;0),Y86+(Z86*T86),IF(AND(Q86='G-1 All Habitats'!$X$3,W86&gt;0),Y86+(Z86*T86),IF(AND(Q86='G-1 All Habitats'!$X$3,AH86&gt;0),"Any Loss Unacceptable ⚠",IF(AND(Q86='G-1 All Habitats'!$X$3,AI86&gt;0),"Any Loss Unacceptable ⚠", E86*G86*I86*L86*N86*P86*T86 ))))),"Check Data ▲")</f>
        <v/>
      </c>
      <c r="S86" s="516"/>
      <c r="T86" s="368" t="str">
        <f>IF(S86="","",IF(VLOOKUP(S86,'G-7 WaterC'' Data'!$AO$4:$BO$7,2,FALSE)=0,"Spatial Data Missing ⚠",VLOOKUP(S86,'G-7 WaterC'' Data'!$AO$4:$BO$7,2,FALSE)))</f>
        <v/>
      </c>
      <c r="U86" s="376" t="str">
        <f>IFERROR(IF(D86="","",IF(AND(Q86='G-1 All Habitats'!$X$3,X86&gt;0),Y86+Z86,IF(AND(Q86='G-1 All Habitats'!$X$3,W86&gt;0),Y86+Z86,IF(AND(Q86='G-1 All Habitats'!$X$3,AH86&gt;0),"Any Loss Unacceptable ⚠",IF(AND(Q86='G-1 All Habitats'!$X$3,AI86&gt;0),"Any Loss Unacceptable ⚠", E86*G86*I86*L86*N86*P86 ))))),"Check Data ▲")</f>
        <v/>
      </c>
      <c r="V86" s="32"/>
      <c r="W86" s="114"/>
      <c r="X86" s="125"/>
      <c r="Y86" s="374" t="str">
        <f t="shared" si="8"/>
        <v/>
      </c>
      <c r="Z86" s="374" t="str">
        <f t="shared" si="9"/>
        <v/>
      </c>
      <c r="AA86" s="374" t="str">
        <f t="shared" si="10"/>
        <v/>
      </c>
      <c r="AB86" s="670" t="str">
        <f t="shared" si="11"/>
        <v/>
      </c>
      <c r="AC86" s="516"/>
      <c r="AD86" s="119"/>
      <c r="AE86" s="120"/>
      <c r="AF86" s="120"/>
      <c r="AG86" s="120"/>
      <c r="AH86" s="57" t="str">
        <f>IF(Q86="","",IF(Q86='G-1 All Habitats'!$X$3,E86-X86-W86,"None"))</f>
        <v/>
      </c>
      <c r="AI86" s="58" t="str">
        <f>IF(Q86="","", IF(Q86='G-1 All Habitats'!$X$3, AH86*G86*I86*L86*N86*P86,"None"))</f>
        <v/>
      </c>
      <c r="AJ86" s="30" t="str">
        <f>IFERROR(INDEX('G-7 WaterC'' Data'!$AZ$3:$AZ$7,MATCH(D86,'G-7 WaterC'' Data'!$AY$3:$AY$7,0)),"")</f>
        <v/>
      </c>
      <c r="AK86" s="30">
        <f t="shared" si="12"/>
        <v>0</v>
      </c>
      <c r="AL86" s="124" t="str">
        <f t="shared" si="13"/>
        <v/>
      </c>
      <c r="AM86" s="124" t="str">
        <f t="shared" si="14"/>
        <v/>
      </c>
      <c r="AO86" s="124">
        <v>77</v>
      </c>
      <c r="AQ86" s="124" t="str">
        <f t="array" ref="AQ86">IFERROR(INDEX($AO$10:$AO$258, MATCH(0, IF(TRUE=$AL$10:$AL$258, COUNTIF($AQ$9:$AQ85, $AO$10:$AO$258), ""), 0)),"")</f>
        <v/>
      </c>
      <c r="AR86" s="124" t="str">
        <f t="array" ref="AR86">IFERROR(INDEX($AO$10:$AO$258, MATCH(0, IF(TRUE=$AM$10:$AM$258, COUNTIF($AR$9:$AR85, $AO$10:$AO$258), ""), 0)),"")</f>
        <v/>
      </c>
      <c r="AZ86" s="802" t="str">
        <f t="shared" si="15"/>
        <v/>
      </c>
    </row>
    <row r="87" spans="3:52" ht="15.75" thickBot="1">
      <c r="C87" s="110">
        <v>78</v>
      </c>
      <c r="D87" s="340"/>
      <c r="E87" s="121"/>
      <c r="F87" s="362" t="str">
        <f>IF(D87="","",VLOOKUP(D87,'G-7 WaterC'' Data'!$B$2:$G$8,2,FALSE))</f>
        <v/>
      </c>
      <c r="G87" s="363" t="str">
        <f>IFERROR(VLOOKUP(F87,'G-7 WaterC'' Data'!$C$4:$D$8,2,FALSE),"")</f>
        <v/>
      </c>
      <c r="H87" s="114"/>
      <c r="I87" s="363" t="str">
        <f>IFERROR(INDEX('G-7 WaterC'' Data'!$H$4:$L$8,MATCH(D87,'G-7 WaterC'' Data'!$B$4:$B$8,0),MATCH(H87,'G-7 WaterC'' Data'!$H$3:$L$3,0)),"")</f>
        <v/>
      </c>
      <c r="J87" s="115"/>
      <c r="K87" s="382" t="str">
        <f>IF(J87="","",IF(VLOOKUP(J87,'G-7 WaterC'' Data'!$AK$4:$AM$9,2,FALSE)=0,"Spatial Data Missing ⚠",VLOOKUP(J87,'G-7 WaterC'' Data'!$AK$4:$AM$6,2,FALSE)))</f>
        <v/>
      </c>
      <c r="L87" s="386" t="str">
        <f>IF(J87="","",IF(VLOOKUP(J87,'G-7 WaterC'' Data'!$AK$4:$AM$9,3,FALSE)=0,"Spatial Data Missing ⚠",VLOOKUP(J87,'G-7 WaterC'' Data'!$AK$4:$AM$6,3,FALSE)))</f>
        <v/>
      </c>
      <c r="M87" s="115"/>
      <c r="N87" s="363" t="str">
        <f>IF(M87="","",IF(VLOOKUP(M87,'G-7 WaterC'' Data'!$AA$4:$AB$7,2,FALSE)=0,"Spatial Data Missing ⚠",VLOOKUP(M87,'G-7 WaterC'' Data'!$AA$4:$AB$7,2,FALSE)))</f>
        <v/>
      </c>
      <c r="O87" s="60"/>
      <c r="P87" s="363" t="str">
        <f>IF(O87="","",IF(VLOOKUP(O87,'G-7 WaterC'' Data'!$AD$4:$AE$14,2,FALSE)=0,"Spatial Data Missing ⚠",VLOOKUP(O87,'G-7 WaterC'' Data'!$AD$4:$AE$14,2,FALSE)))</f>
        <v/>
      </c>
      <c r="Q87" s="369" t="str">
        <f>IF(D87="","",VLOOKUP(D87,'G-7 WaterC'' Data'!$B$4:$G$8,6,FALSE))</f>
        <v/>
      </c>
      <c r="R87" s="376" t="str">
        <f>IFERROR(IF(D87="","",IF(AND(Q87='G-1 All Habitats'!$X$3,X87&gt;0),Y87+(Z87*T87),IF(AND(Q87='G-1 All Habitats'!$X$3,W87&gt;0),Y87+(Z87*T87),IF(AND(Q87='G-1 All Habitats'!$X$3,AH87&gt;0),"Any Loss Unacceptable ⚠",IF(AND(Q87='G-1 All Habitats'!$X$3,AI87&gt;0),"Any Loss Unacceptable ⚠", E87*G87*I87*L87*N87*P87*T87 ))))),"Check Data ▲")</f>
        <v/>
      </c>
      <c r="S87" s="516"/>
      <c r="T87" s="368" t="str">
        <f>IF(S87="","",IF(VLOOKUP(S87,'G-7 WaterC'' Data'!$AO$4:$BO$7,2,FALSE)=0,"Spatial Data Missing ⚠",VLOOKUP(S87,'G-7 WaterC'' Data'!$AO$4:$BO$7,2,FALSE)))</f>
        <v/>
      </c>
      <c r="U87" s="376" t="str">
        <f>IFERROR(IF(D87="","",IF(AND(Q87='G-1 All Habitats'!$X$3,X87&gt;0),Y87+Z87,IF(AND(Q87='G-1 All Habitats'!$X$3,W87&gt;0),Y87+Z87,IF(AND(Q87='G-1 All Habitats'!$X$3,AH87&gt;0),"Any Loss Unacceptable ⚠",IF(AND(Q87='G-1 All Habitats'!$X$3,AI87&gt;0),"Any Loss Unacceptable ⚠", E87*G87*I87*L87*N87*P87 ))))),"Check Data ▲")</f>
        <v/>
      </c>
      <c r="V87" s="32"/>
      <c r="W87" s="114"/>
      <c r="X87" s="125"/>
      <c r="Y87" s="374" t="str">
        <f t="shared" si="8"/>
        <v/>
      </c>
      <c r="Z87" s="374" t="str">
        <f t="shared" si="9"/>
        <v/>
      </c>
      <c r="AA87" s="374" t="str">
        <f t="shared" si="10"/>
        <v/>
      </c>
      <c r="AB87" s="670" t="str">
        <f t="shared" si="11"/>
        <v/>
      </c>
      <c r="AC87" s="516"/>
      <c r="AD87" s="119"/>
      <c r="AE87" s="120"/>
      <c r="AF87" s="120"/>
      <c r="AG87" s="120"/>
      <c r="AH87" s="57" t="str">
        <f>IF(Q87="","",IF(Q87='G-1 All Habitats'!$X$3,E87-X87-W87,"None"))</f>
        <v/>
      </c>
      <c r="AI87" s="58" t="str">
        <f>IF(Q87="","", IF(Q87='G-1 All Habitats'!$X$3, AH87*G87*I87*L87*N87*P87,"None"))</f>
        <v/>
      </c>
      <c r="AJ87" s="30" t="str">
        <f>IFERROR(INDEX('G-7 WaterC'' Data'!$AZ$3:$AZ$7,MATCH(D87,'G-7 WaterC'' Data'!$AY$3:$AY$7,0)),"")</f>
        <v/>
      </c>
      <c r="AK87" s="30">
        <f t="shared" si="12"/>
        <v>0</v>
      </c>
      <c r="AL87" s="124" t="str">
        <f t="shared" si="13"/>
        <v/>
      </c>
      <c r="AM87" s="124" t="str">
        <f t="shared" si="14"/>
        <v/>
      </c>
      <c r="AO87" s="124">
        <v>78</v>
      </c>
      <c r="AQ87" s="124" t="str">
        <f t="array" ref="AQ87">IFERROR(INDEX($AO$10:$AO$258, MATCH(0, IF(TRUE=$AL$10:$AL$258, COUNTIF($AQ$9:$AQ86, $AO$10:$AO$258), ""), 0)),"")</f>
        <v/>
      </c>
      <c r="AR87" s="124" t="str">
        <f t="array" ref="AR87">IFERROR(INDEX($AO$10:$AO$258, MATCH(0, IF(TRUE=$AM$10:$AM$258, COUNTIF($AR$9:$AR86, $AO$10:$AO$258), ""), 0)),"")</f>
        <v/>
      </c>
      <c r="AZ87" s="802" t="str">
        <f t="shared" si="15"/>
        <v/>
      </c>
    </row>
    <row r="88" spans="3:52" ht="15.75" thickBot="1">
      <c r="C88" s="110">
        <v>79</v>
      </c>
      <c r="D88" s="340"/>
      <c r="E88" s="121"/>
      <c r="F88" s="362" t="str">
        <f>IF(D88="","",VLOOKUP(D88,'G-7 WaterC'' Data'!$B$2:$G$8,2,FALSE))</f>
        <v/>
      </c>
      <c r="G88" s="363" t="str">
        <f>IFERROR(VLOOKUP(F88,'G-7 WaterC'' Data'!$C$4:$D$8,2,FALSE),"")</f>
        <v/>
      </c>
      <c r="H88" s="114"/>
      <c r="I88" s="363" t="str">
        <f>IFERROR(INDEX('G-7 WaterC'' Data'!$H$4:$L$8,MATCH(D88,'G-7 WaterC'' Data'!$B$4:$B$8,0),MATCH(H88,'G-7 WaterC'' Data'!$H$3:$L$3,0)),"")</f>
        <v/>
      </c>
      <c r="J88" s="115"/>
      <c r="K88" s="382" t="str">
        <f>IF(J88="","",IF(VLOOKUP(J88,'G-7 WaterC'' Data'!$AK$4:$AM$9,2,FALSE)=0,"Spatial Data Missing ⚠",VLOOKUP(J88,'G-7 WaterC'' Data'!$AK$4:$AM$6,2,FALSE)))</f>
        <v/>
      </c>
      <c r="L88" s="386" t="str">
        <f>IF(J88="","",IF(VLOOKUP(J88,'G-7 WaterC'' Data'!$AK$4:$AM$9,3,FALSE)=0,"Spatial Data Missing ⚠",VLOOKUP(J88,'G-7 WaterC'' Data'!$AK$4:$AM$6,3,FALSE)))</f>
        <v/>
      </c>
      <c r="M88" s="115"/>
      <c r="N88" s="363" t="str">
        <f>IF(M88="","",IF(VLOOKUP(M88,'G-7 WaterC'' Data'!$AA$4:$AB$7,2,FALSE)=0,"Spatial Data Missing ⚠",VLOOKUP(M88,'G-7 WaterC'' Data'!$AA$4:$AB$7,2,FALSE)))</f>
        <v/>
      </c>
      <c r="O88" s="60"/>
      <c r="P88" s="363" t="str">
        <f>IF(O88="","",IF(VLOOKUP(O88,'G-7 WaterC'' Data'!$AD$4:$AE$14,2,FALSE)=0,"Spatial Data Missing ⚠",VLOOKUP(O88,'G-7 WaterC'' Data'!$AD$4:$AE$14,2,FALSE)))</f>
        <v/>
      </c>
      <c r="Q88" s="369" t="str">
        <f>IF(D88="","",VLOOKUP(D88,'G-7 WaterC'' Data'!$B$4:$G$8,6,FALSE))</f>
        <v/>
      </c>
      <c r="R88" s="376" t="str">
        <f>IFERROR(IF(D88="","",IF(AND(Q88='G-1 All Habitats'!$X$3,X88&gt;0),Y88+(Z88*T88),IF(AND(Q88='G-1 All Habitats'!$X$3,W88&gt;0),Y88+(Z88*T88),IF(AND(Q88='G-1 All Habitats'!$X$3,AH88&gt;0),"Any Loss Unacceptable ⚠",IF(AND(Q88='G-1 All Habitats'!$X$3,AI88&gt;0),"Any Loss Unacceptable ⚠", E88*G88*I88*L88*N88*P88*T88 ))))),"Check Data ▲")</f>
        <v/>
      </c>
      <c r="S88" s="516"/>
      <c r="T88" s="368" t="str">
        <f>IF(S88="","",IF(VLOOKUP(S88,'G-7 WaterC'' Data'!$AO$4:$BO$7,2,FALSE)=0,"Spatial Data Missing ⚠",VLOOKUP(S88,'G-7 WaterC'' Data'!$AO$4:$BO$7,2,FALSE)))</f>
        <v/>
      </c>
      <c r="U88" s="376" t="str">
        <f>IFERROR(IF(D88="","",IF(AND(Q88='G-1 All Habitats'!$X$3,X88&gt;0),Y88+Z88,IF(AND(Q88='G-1 All Habitats'!$X$3,W88&gt;0),Y88+Z88,IF(AND(Q88='G-1 All Habitats'!$X$3,AH88&gt;0),"Any Loss Unacceptable ⚠",IF(AND(Q88='G-1 All Habitats'!$X$3,AI88&gt;0),"Any Loss Unacceptable ⚠", E88*G88*I88*L88*N88*P88 ))))),"Check Data ▲")</f>
        <v/>
      </c>
      <c r="V88" s="32"/>
      <c r="W88" s="114"/>
      <c r="X88" s="125"/>
      <c r="Y88" s="374" t="str">
        <f t="shared" si="8"/>
        <v/>
      </c>
      <c r="Z88" s="374" t="str">
        <f t="shared" si="9"/>
        <v/>
      </c>
      <c r="AA88" s="374" t="str">
        <f t="shared" si="10"/>
        <v/>
      </c>
      <c r="AB88" s="670" t="str">
        <f t="shared" si="11"/>
        <v/>
      </c>
      <c r="AC88" s="516"/>
      <c r="AD88" s="119"/>
      <c r="AE88" s="120"/>
      <c r="AF88" s="120"/>
      <c r="AG88" s="120"/>
      <c r="AH88" s="57" t="str">
        <f>IF(Q88="","",IF(Q88='G-1 All Habitats'!$X$3,E88-X88-W88,"None"))</f>
        <v/>
      </c>
      <c r="AI88" s="58" t="str">
        <f>IF(Q88="","", IF(Q88='G-1 All Habitats'!$X$3, AH88*G88*I88*L88*N88*P88,"None"))</f>
        <v/>
      </c>
      <c r="AJ88" s="30" t="str">
        <f>IFERROR(INDEX('G-7 WaterC'' Data'!$AZ$3:$AZ$7,MATCH(D88,'G-7 WaterC'' Data'!$AY$3:$AY$7,0)),"")</f>
        <v/>
      </c>
      <c r="AK88" s="30">
        <f t="shared" si="12"/>
        <v>0</v>
      </c>
      <c r="AL88" s="124" t="str">
        <f t="shared" si="13"/>
        <v/>
      </c>
      <c r="AM88" s="124" t="str">
        <f t="shared" si="14"/>
        <v/>
      </c>
      <c r="AO88" s="124">
        <v>79</v>
      </c>
      <c r="AQ88" s="124" t="str">
        <f t="array" ref="AQ88">IFERROR(INDEX($AO$10:$AO$258, MATCH(0, IF(TRUE=$AL$10:$AL$258, COUNTIF($AQ$9:$AQ87, $AO$10:$AO$258), ""), 0)),"")</f>
        <v/>
      </c>
      <c r="AR88" s="124" t="str">
        <f t="array" ref="AR88">IFERROR(INDEX($AO$10:$AO$258, MATCH(0, IF(TRUE=$AM$10:$AM$258, COUNTIF($AR$9:$AR87, $AO$10:$AO$258), ""), 0)),"")</f>
        <v/>
      </c>
      <c r="AZ88" s="802" t="str">
        <f t="shared" si="15"/>
        <v/>
      </c>
    </row>
    <row r="89" spans="3:52" ht="15.75" thickBot="1">
      <c r="C89" s="110">
        <v>80</v>
      </c>
      <c r="D89" s="340"/>
      <c r="E89" s="121"/>
      <c r="F89" s="362" t="str">
        <f>IF(D89="","",VLOOKUP(D89,'G-7 WaterC'' Data'!$B$2:$G$8,2,FALSE))</f>
        <v/>
      </c>
      <c r="G89" s="363" t="str">
        <f>IFERROR(VLOOKUP(F89,'G-7 WaterC'' Data'!$C$4:$D$8,2,FALSE),"")</f>
        <v/>
      </c>
      <c r="H89" s="114"/>
      <c r="I89" s="363" t="str">
        <f>IFERROR(INDEX('G-7 WaterC'' Data'!$H$4:$L$8,MATCH(D89,'G-7 WaterC'' Data'!$B$4:$B$8,0),MATCH(H89,'G-7 WaterC'' Data'!$H$3:$L$3,0)),"")</f>
        <v/>
      </c>
      <c r="J89" s="115"/>
      <c r="K89" s="382" t="str">
        <f>IF(J89="","",IF(VLOOKUP(J89,'G-7 WaterC'' Data'!$AK$4:$AM$9,2,FALSE)=0,"Spatial Data Missing ⚠",VLOOKUP(J89,'G-7 WaterC'' Data'!$AK$4:$AM$6,2,FALSE)))</f>
        <v/>
      </c>
      <c r="L89" s="386" t="str">
        <f>IF(J89="","",IF(VLOOKUP(J89,'G-7 WaterC'' Data'!$AK$4:$AM$9,3,FALSE)=0,"Spatial Data Missing ⚠",VLOOKUP(J89,'G-7 WaterC'' Data'!$AK$4:$AM$6,3,FALSE)))</f>
        <v/>
      </c>
      <c r="M89" s="115"/>
      <c r="N89" s="363" t="str">
        <f>IF(M89="","",IF(VLOOKUP(M89,'G-7 WaterC'' Data'!$AA$4:$AB$7,2,FALSE)=0,"Spatial Data Missing ⚠",VLOOKUP(M89,'G-7 WaterC'' Data'!$AA$4:$AB$7,2,FALSE)))</f>
        <v/>
      </c>
      <c r="O89" s="60"/>
      <c r="P89" s="363" t="str">
        <f>IF(O89="","",IF(VLOOKUP(O89,'G-7 WaterC'' Data'!$AD$4:$AE$14,2,FALSE)=0,"Spatial Data Missing ⚠",VLOOKUP(O89,'G-7 WaterC'' Data'!$AD$4:$AE$14,2,FALSE)))</f>
        <v/>
      </c>
      <c r="Q89" s="369" t="str">
        <f>IF(D89="","",VLOOKUP(D89,'G-7 WaterC'' Data'!$B$4:$G$8,6,FALSE))</f>
        <v/>
      </c>
      <c r="R89" s="376" t="str">
        <f>IFERROR(IF(D89="","",IF(AND(Q89='G-1 All Habitats'!$X$3,X89&gt;0),Y89+(Z89*T89),IF(AND(Q89='G-1 All Habitats'!$X$3,W89&gt;0),Y89+(Z89*T89),IF(AND(Q89='G-1 All Habitats'!$X$3,AH89&gt;0),"Any Loss Unacceptable ⚠",IF(AND(Q89='G-1 All Habitats'!$X$3,AI89&gt;0),"Any Loss Unacceptable ⚠", E89*G89*I89*L89*N89*P89*T89 ))))),"Check Data ▲")</f>
        <v/>
      </c>
      <c r="S89" s="516"/>
      <c r="T89" s="368" t="str">
        <f>IF(S89="","",IF(VLOOKUP(S89,'G-7 WaterC'' Data'!$AO$4:$BO$7,2,FALSE)=0,"Spatial Data Missing ⚠",VLOOKUP(S89,'G-7 WaterC'' Data'!$AO$4:$BO$7,2,FALSE)))</f>
        <v/>
      </c>
      <c r="U89" s="376" t="str">
        <f>IFERROR(IF(D89="","",IF(AND(Q89='G-1 All Habitats'!$X$3,X89&gt;0),Y89+Z89,IF(AND(Q89='G-1 All Habitats'!$X$3,W89&gt;0),Y89+Z89,IF(AND(Q89='G-1 All Habitats'!$X$3,AH89&gt;0),"Any Loss Unacceptable ⚠",IF(AND(Q89='G-1 All Habitats'!$X$3,AI89&gt;0),"Any Loss Unacceptable ⚠", E89*G89*I89*L89*N89*P89 ))))),"Check Data ▲")</f>
        <v/>
      </c>
      <c r="V89" s="32"/>
      <c r="W89" s="114"/>
      <c r="X89" s="125"/>
      <c r="Y89" s="374" t="str">
        <f t="shared" si="8"/>
        <v/>
      </c>
      <c r="Z89" s="374" t="str">
        <f t="shared" si="9"/>
        <v/>
      </c>
      <c r="AA89" s="374" t="str">
        <f t="shared" si="10"/>
        <v/>
      </c>
      <c r="AB89" s="670" t="str">
        <f t="shared" si="11"/>
        <v/>
      </c>
      <c r="AC89" s="516"/>
      <c r="AD89" s="119"/>
      <c r="AE89" s="120"/>
      <c r="AF89" s="120"/>
      <c r="AG89" s="120"/>
      <c r="AH89" s="57" t="str">
        <f>IF(Q89="","",IF(Q89='G-1 All Habitats'!$X$3,E89-X89-W89,"None"))</f>
        <v/>
      </c>
      <c r="AI89" s="58" t="str">
        <f>IF(Q89="","", IF(Q89='G-1 All Habitats'!$X$3, AH89*G89*I89*L89*N89*P89,"None"))</f>
        <v/>
      </c>
      <c r="AJ89" s="30" t="str">
        <f>IFERROR(INDEX('G-7 WaterC'' Data'!$AZ$3:$AZ$7,MATCH(D89,'G-7 WaterC'' Data'!$AY$3:$AY$7,0)),"")</f>
        <v/>
      </c>
      <c r="AK89" s="30">
        <f t="shared" si="12"/>
        <v>0</v>
      </c>
      <c r="AL89" s="124" t="str">
        <f t="shared" si="13"/>
        <v/>
      </c>
      <c r="AM89" s="124" t="str">
        <f t="shared" si="14"/>
        <v/>
      </c>
      <c r="AO89" s="124">
        <v>80</v>
      </c>
      <c r="AQ89" s="124" t="str">
        <f t="array" ref="AQ89">IFERROR(INDEX($AO$10:$AO$258, MATCH(0, IF(TRUE=$AL$10:$AL$258, COUNTIF($AQ$9:$AQ88, $AO$10:$AO$258), ""), 0)),"")</f>
        <v/>
      </c>
      <c r="AR89" s="124" t="str">
        <f t="array" ref="AR89">IFERROR(INDEX($AO$10:$AO$258, MATCH(0, IF(TRUE=$AM$10:$AM$258, COUNTIF($AR$9:$AR88, $AO$10:$AO$258), ""), 0)),"")</f>
        <v/>
      </c>
      <c r="AZ89" s="802" t="str">
        <f t="shared" si="15"/>
        <v/>
      </c>
    </row>
    <row r="90" spans="3:52" ht="15.75" thickBot="1">
      <c r="C90" s="110">
        <v>81</v>
      </c>
      <c r="D90" s="340"/>
      <c r="E90" s="121"/>
      <c r="F90" s="362" t="str">
        <f>IF(D90="","",VLOOKUP(D90,'G-7 WaterC'' Data'!$B$2:$G$8,2,FALSE))</f>
        <v/>
      </c>
      <c r="G90" s="363" t="str">
        <f>IFERROR(VLOOKUP(F90,'G-7 WaterC'' Data'!$C$4:$D$8,2,FALSE),"")</f>
        <v/>
      </c>
      <c r="H90" s="114"/>
      <c r="I90" s="363" t="str">
        <f>IFERROR(INDEX('G-7 WaterC'' Data'!$H$4:$L$8,MATCH(D90,'G-7 WaterC'' Data'!$B$4:$B$8,0),MATCH(H90,'G-7 WaterC'' Data'!$H$3:$L$3,0)),"")</f>
        <v/>
      </c>
      <c r="J90" s="115"/>
      <c r="K90" s="382" t="str">
        <f>IF(J90="","",IF(VLOOKUP(J90,'G-7 WaterC'' Data'!$AK$4:$AM$9,2,FALSE)=0,"Spatial Data Missing ⚠",VLOOKUP(J90,'G-7 WaterC'' Data'!$AK$4:$AM$6,2,FALSE)))</f>
        <v/>
      </c>
      <c r="L90" s="386" t="str">
        <f>IF(J90="","",IF(VLOOKUP(J90,'G-7 WaterC'' Data'!$AK$4:$AM$9,3,FALSE)=0,"Spatial Data Missing ⚠",VLOOKUP(J90,'G-7 WaterC'' Data'!$AK$4:$AM$6,3,FALSE)))</f>
        <v/>
      </c>
      <c r="M90" s="115"/>
      <c r="N90" s="363" t="str">
        <f>IF(M90="","",IF(VLOOKUP(M90,'G-7 WaterC'' Data'!$AA$4:$AB$7,2,FALSE)=0,"Spatial Data Missing ⚠",VLOOKUP(M90,'G-7 WaterC'' Data'!$AA$4:$AB$7,2,FALSE)))</f>
        <v/>
      </c>
      <c r="O90" s="60"/>
      <c r="P90" s="363" t="str">
        <f>IF(O90="","",IF(VLOOKUP(O90,'G-7 WaterC'' Data'!$AD$4:$AE$14,2,FALSE)=0,"Spatial Data Missing ⚠",VLOOKUP(O90,'G-7 WaterC'' Data'!$AD$4:$AE$14,2,FALSE)))</f>
        <v/>
      </c>
      <c r="Q90" s="369" t="str">
        <f>IF(D90="","",VLOOKUP(D90,'G-7 WaterC'' Data'!$B$4:$G$8,6,FALSE))</f>
        <v/>
      </c>
      <c r="R90" s="376" t="str">
        <f>IFERROR(IF(D90="","",IF(AND(Q90='G-1 All Habitats'!$X$3,X90&gt;0),Y90+(Z90*T90),IF(AND(Q90='G-1 All Habitats'!$X$3,W90&gt;0),Y90+(Z90*T90),IF(AND(Q90='G-1 All Habitats'!$X$3,AH90&gt;0),"Any Loss Unacceptable ⚠",IF(AND(Q90='G-1 All Habitats'!$X$3,AI90&gt;0),"Any Loss Unacceptable ⚠", E90*G90*I90*L90*N90*P90*T90 ))))),"Check Data ▲")</f>
        <v/>
      </c>
      <c r="S90" s="516"/>
      <c r="T90" s="368" t="str">
        <f>IF(S90="","",IF(VLOOKUP(S90,'G-7 WaterC'' Data'!$AO$4:$BO$7,2,FALSE)=0,"Spatial Data Missing ⚠",VLOOKUP(S90,'G-7 WaterC'' Data'!$AO$4:$BO$7,2,FALSE)))</f>
        <v/>
      </c>
      <c r="U90" s="376" t="str">
        <f>IFERROR(IF(D90="","",IF(AND(Q90='G-1 All Habitats'!$X$3,X90&gt;0),Y90+Z90,IF(AND(Q90='G-1 All Habitats'!$X$3,W90&gt;0),Y90+Z90,IF(AND(Q90='G-1 All Habitats'!$X$3,AH90&gt;0),"Any Loss Unacceptable ⚠",IF(AND(Q90='G-1 All Habitats'!$X$3,AI90&gt;0),"Any Loss Unacceptable ⚠", E90*G90*I90*L90*N90*P90 ))))),"Check Data ▲")</f>
        <v/>
      </c>
      <c r="V90" s="32"/>
      <c r="W90" s="114"/>
      <c r="X90" s="125"/>
      <c r="Y90" s="374" t="str">
        <f t="shared" si="8"/>
        <v/>
      </c>
      <c r="Z90" s="374" t="str">
        <f t="shared" si="9"/>
        <v/>
      </c>
      <c r="AA90" s="374" t="str">
        <f t="shared" si="10"/>
        <v/>
      </c>
      <c r="AB90" s="670" t="str">
        <f t="shared" si="11"/>
        <v/>
      </c>
      <c r="AC90" s="516"/>
      <c r="AD90" s="119"/>
      <c r="AE90" s="120"/>
      <c r="AF90" s="120"/>
      <c r="AG90" s="120"/>
      <c r="AH90" s="57" t="str">
        <f>IF(Q90="","",IF(Q90='G-1 All Habitats'!$X$3,E90-X90-W90,"None"))</f>
        <v/>
      </c>
      <c r="AI90" s="58" t="str">
        <f>IF(Q90="","", IF(Q90='G-1 All Habitats'!$X$3, AH90*G90*I90*L90*N90*P90,"None"))</f>
        <v/>
      </c>
      <c r="AJ90" s="30" t="str">
        <f>IFERROR(INDEX('G-7 WaterC'' Data'!$AZ$3:$AZ$7,MATCH(D90,'G-7 WaterC'' Data'!$AY$3:$AY$7,0)),"")</f>
        <v/>
      </c>
      <c r="AK90" s="30">
        <f t="shared" si="12"/>
        <v>0</v>
      </c>
      <c r="AL90" s="124" t="str">
        <f t="shared" si="13"/>
        <v/>
      </c>
      <c r="AM90" s="124" t="str">
        <f t="shared" si="14"/>
        <v/>
      </c>
      <c r="AO90" s="124">
        <v>81</v>
      </c>
      <c r="AQ90" s="124" t="str">
        <f t="array" ref="AQ90">IFERROR(INDEX($AO$10:$AO$258, MATCH(0, IF(TRUE=$AL$10:$AL$258, COUNTIF($AQ$9:$AQ89, $AO$10:$AO$258), ""), 0)),"")</f>
        <v/>
      </c>
      <c r="AR90" s="124" t="str">
        <f t="array" ref="AR90">IFERROR(INDEX($AO$10:$AO$258, MATCH(0, IF(TRUE=$AM$10:$AM$258, COUNTIF($AR$9:$AR89, $AO$10:$AO$258), ""), 0)),"")</f>
        <v/>
      </c>
      <c r="AZ90" s="802" t="str">
        <f t="shared" si="15"/>
        <v/>
      </c>
    </row>
    <row r="91" spans="3:52" ht="15.75" thickBot="1">
      <c r="C91" s="110">
        <v>82</v>
      </c>
      <c r="D91" s="340"/>
      <c r="E91" s="121"/>
      <c r="F91" s="362" t="str">
        <f>IF(D91="","",VLOOKUP(D91,'G-7 WaterC'' Data'!$B$2:$G$8,2,FALSE))</f>
        <v/>
      </c>
      <c r="G91" s="363" t="str">
        <f>IFERROR(VLOOKUP(F91,'G-7 WaterC'' Data'!$C$4:$D$8,2,FALSE),"")</f>
        <v/>
      </c>
      <c r="H91" s="114"/>
      <c r="I91" s="363" t="str">
        <f>IFERROR(INDEX('G-7 WaterC'' Data'!$H$4:$L$8,MATCH(D91,'G-7 WaterC'' Data'!$B$4:$B$8,0),MATCH(H91,'G-7 WaterC'' Data'!$H$3:$L$3,0)),"")</f>
        <v/>
      </c>
      <c r="J91" s="115"/>
      <c r="K91" s="382" t="str">
        <f>IF(J91="","",IF(VLOOKUP(J91,'G-7 WaterC'' Data'!$AK$4:$AM$9,2,FALSE)=0,"Spatial Data Missing ⚠",VLOOKUP(J91,'G-7 WaterC'' Data'!$AK$4:$AM$6,2,FALSE)))</f>
        <v/>
      </c>
      <c r="L91" s="386" t="str">
        <f>IF(J91="","",IF(VLOOKUP(J91,'G-7 WaterC'' Data'!$AK$4:$AM$9,3,FALSE)=0,"Spatial Data Missing ⚠",VLOOKUP(J91,'G-7 WaterC'' Data'!$AK$4:$AM$6,3,FALSE)))</f>
        <v/>
      </c>
      <c r="M91" s="115"/>
      <c r="N91" s="363" t="str">
        <f>IF(M91="","",IF(VLOOKUP(M91,'G-7 WaterC'' Data'!$AA$4:$AB$7,2,FALSE)=0,"Spatial Data Missing ⚠",VLOOKUP(M91,'G-7 WaterC'' Data'!$AA$4:$AB$7,2,FALSE)))</f>
        <v/>
      </c>
      <c r="O91" s="60"/>
      <c r="P91" s="363" t="str">
        <f>IF(O91="","",IF(VLOOKUP(O91,'G-7 WaterC'' Data'!$AD$4:$AE$14,2,FALSE)=0,"Spatial Data Missing ⚠",VLOOKUP(O91,'G-7 WaterC'' Data'!$AD$4:$AE$14,2,FALSE)))</f>
        <v/>
      </c>
      <c r="Q91" s="369" t="str">
        <f>IF(D91="","",VLOOKUP(D91,'G-7 WaterC'' Data'!$B$4:$G$8,6,FALSE))</f>
        <v/>
      </c>
      <c r="R91" s="376" t="str">
        <f>IFERROR(IF(D91="","",IF(AND(Q91='G-1 All Habitats'!$X$3,X91&gt;0),Y91+(Z91*T91),IF(AND(Q91='G-1 All Habitats'!$X$3,W91&gt;0),Y91+(Z91*T91),IF(AND(Q91='G-1 All Habitats'!$X$3,AH91&gt;0),"Any Loss Unacceptable ⚠",IF(AND(Q91='G-1 All Habitats'!$X$3,AI91&gt;0),"Any Loss Unacceptable ⚠", E91*G91*I91*L91*N91*P91*T91 ))))),"Check Data ▲")</f>
        <v/>
      </c>
      <c r="S91" s="516"/>
      <c r="T91" s="368" t="str">
        <f>IF(S91="","",IF(VLOOKUP(S91,'G-7 WaterC'' Data'!$AO$4:$BO$7,2,FALSE)=0,"Spatial Data Missing ⚠",VLOOKUP(S91,'G-7 WaterC'' Data'!$AO$4:$BO$7,2,FALSE)))</f>
        <v/>
      </c>
      <c r="U91" s="376" t="str">
        <f>IFERROR(IF(D91="","",IF(AND(Q91='G-1 All Habitats'!$X$3,X91&gt;0),Y91+Z91,IF(AND(Q91='G-1 All Habitats'!$X$3,W91&gt;0),Y91+Z91,IF(AND(Q91='G-1 All Habitats'!$X$3,AH91&gt;0),"Any Loss Unacceptable ⚠",IF(AND(Q91='G-1 All Habitats'!$X$3,AI91&gt;0),"Any Loss Unacceptable ⚠", E91*G91*I91*L91*N91*P91 ))))),"Check Data ▲")</f>
        <v/>
      </c>
      <c r="V91" s="32"/>
      <c r="W91" s="114"/>
      <c r="X91" s="125"/>
      <c r="Y91" s="374" t="str">
        <f t="shared" si="8"/>
        <v/>
      </c>
      <c r="Z91" s="374" t="str">
        <f t="shared" si="9"/>
        <v/>
      </c>
      <c r="AA91" s="374" t="str">
        <f t="shared" si="10"/>
        <v/>
      </c>
      <c r="AB91" s="670" t="str">
        <f t="shared" si="11"/>
        <v/>
      </c>
      <c r="AC91" s="516"/>
      <c r="AD91" s="119"/>
      <c r="AE91" s="120"/>
      <c r="AF91" s="120"/>
      <c r="AG91" s="120"/>
      <c r="AH91" s="57" t="str">
        <f>IF(Q91="","",IF(Q91='G-1 All Habitats'!$X$3,E91-X91-W91,"None"))</f>
        <v/>
      </c>
      <c r="AI91" s="58" t="str">
        <f>IF(Q91="","", IF(Q91='G-1 All Habitats'!$X$3, AH91*G91*I91*L91*N91*P91,"None"))</f>
        <v/>
      </c>
      <c r="AJ91" s="30" t="str">
        <f>IFERROR(INDEX('G-7 WaterC'' Data'!$AZ$3:$AZ$7,MATCH(D91,'G-7 WaterC'' Data'!$AY$3:$AY$7,0)),"")</f>
        <v/>
      </c>
      <c r="AK91" s="30">
        <f t="shared" si="12"/>
        <v>0</v>
      </c>
      <c r="AL91" s="124" t="str">
        <f t="shared" si="13"/>
        <v/>
      </c>
      <c r="AM91" s="124" t="str">
        <f t="shared" si="14"/>
        <v/>
      </c>
      <c r="AO91" s="124">
        <v>82</v>
      </c>
      <c r="AQ91" s="124" t="str">
        <f t="array" ref="AQ91">IFERROR(INDEX($AO$10:$AO$258, MATCH(0, IF(TRUE=$AL$10:$AL$258, COUNTIF($AQ$9:$AQ90, $AO$10:$AO$258), ""), 0)),"")</f>
        <v/>
      </c>
      <c r="AR91" s="124" t="str">
        <f t="array" ref="AR91">IFERROR(INDEX($AO$10:$AO$258, MATCH(0, IF(TRUE=$AM$10:$AM$258, COUNTIF($AR$9:$AR90, $AO$10:$AO$258), ""), 0)),"")</f>
        <v/>
      </c>
      <c r="AZ91" s="802" t="str">
        <f t="shared" si="15"/>
        <v/>
      </c>
    </row>
    <row r="92" spans="3:52" ht="15.75" thickBot="1">
      <c r="C92" s="110">
        <v>83</v>
      </c>
      <c r="D92" s="340"/>
      <c r="E92" s="121"/>
      <c r="F92" s="362" t="str">
        <f>IF(D92="","",VLOOKUP(D92,'G-7 WaterC'' Data'!$B$2:$G$8,2,FALSE))</f>
        <v/>
      </c>
      <c r="G92" s="363" t="str">
        <f>IFERROR(VLOOKUP(F92,'G-7 WaterC'' Data'!$C$4:$D$8,2,FALSE),"")</f>
        <v/>
      </c>
      <c r="H92" s="114"/>
      <c r="I92" s="363" t="str">
        <f>IFERROR(INDEX('G-7 WaterC'' Data'!$H$4:$L$8,MATCH(D92,'G-7 WaterC'' Data'!$B$4:$B$8,0),MATCH(H92,'G-7 WaterC'' Data'!$H$3:$L$3,0)),"")</f>
        <v/>
      </c>
      <c r="J92" s="115"/>
      <c r="K92" s="382" t="str">
        <f>IF(J92="","",IF(VLOOKUP(J92,'G-7 WaterC'' Data'!$AK$4:$AM$9,2,FALSE)=0,"Spatial Data Missing ⚠",VLOOKUP(J92,'G-7 WaterC'' Data'!$AK$4:$AM$6,2,FALSE)))</f>
        <v/>
      </c>
      <c r="L92" s="386" t="str">
        <f>IF(J92="","",IF(VLOOKUP(J92,'G-7 WaterC'' Data'!$AK$4:$AM$9,3,FALSE)=0,"Spatial Data Missing ⚠",VLOOKUP(J92,'G-7 WaterC'' Data'!$AK$4:$AM$6,3,FALSE)))</f>
        <v/>
      </c>
      <c r="M92" s="115"/>
      <c r="N92" s="363" t="str">
        <f>IF(M92="","",IF(VLOOKUP(M92,'G-7 WaterC'' Data'!$AA$4:$AB$7,2,FALSE)=0,"Spatial Data Missing ⚠",VLOOKUP(M92,'G-7 WaterC'' Data'!$AA$4:$AB$7,2,FALSE)))</f>
        <v/>
      </c>
      <c r="O92" s="60"/>
      <c r="P92" s="363" t="str">
        <f>IF(O92="","",IF(VLOOKUP(O92,'G-7 WaterC'' Data'!$AD$4:$AE$14,2,FALSE)=0,"Spatial Data Missing ⚠",VLOOKUP(O92,'G-7 WaterC'' Data'!$AD$4:$AE$14,2,FALSE)))</f>
        <v/>
      </c>
      <c r="Q92" s="369" t="str">
        <f>IF(D92="","",VLOOKUP(D92,'G-7 WaterC'' Data'!$B$4:$G$8,6,FALSE))</f>
        <v/>
      </c>
      <c r="R92" s="376" t="str">
        <f>IFERROR(IF(D92="","",IF(AND(Q92='G-1 All Habitats'!$X$3,X92&gt;0),Y92+(Z92*T92),IF(AND(Q92='G-1 All Habitats'!$X$3,W92&gt;0),Y92+(Z92*T92),IF(AND(Q92='G-1 All Habitats'!$X$3,AH92&gt;0),"Any Loss Unacceptable ⚠",IF(AND(Q92='G-1 All Habitats'!$X$3,AI92&gt;0),"Any Loss Unacceptable ⚠", E92*G92*I92*L92*N92*P92*T92 ))))),"Check Data ▲")</f>
        <v/>
      </c>
      <c r="S92" s="516"/>
      <c r="T92" s="368" t="str">
        <f>IF(S92="","",IF(VLOOKUP(S92,'G-7 WaterC'' Data'!$AO$4:$BO$7,2,FALSE)=0,"Spatial Data Missing ⚠",VLOOKUP(S92,'G-7 WaterC'' Data'!$AO$4:$BO$7,2,FALSE)))</f>
        <v/>
      </c>
      <c r="U92" s="376" t="str">
        <f>IFERROR(IF(D92="","",IF(AND(Q92='G-1 All Habitats'!$X$3,X92&gt;0),Y92+Z92,IF(AND(Q92='G-1 All Habitats'!$X$3,W92&gt;0),Y92+Z92,IF(AND(Q92='G-1 All Habitats'!$X$3,AH92&gt;0),"Any Loss Unacceptable ⚠",IF(AND(Q92='G-1 All Habitats'!$X$3,AI92&gt;0),"Any Loss Unacceptable ⚠", E92*G92*I92*L92*N92*P92 ))))),"Check Data ▲")</f>
        <v/>
      </c>
      <c r="V92" s="32"/>
      <c r="W92" s="114"/>
      <c r="X92" s="125"/>
      <c r="Y92" s="374" t="str">
        <f t="shared" si="8"/>
        <v/>
      </c>
      <c r="Z92" s="374" t="str">
        <f t="shared" si="9"/>
        <v/>
      </c>
      <c r="AA92" s="374" t="str">
        <f t="shared" si="10"/>
        <v/>
      </c>
      <c r="AB92" s="670" t="str">
        <f t="shared" si="11"/>
        <v/>
      </c>
      <c r="AC92" s="516"/>
      <c r="AD92" s="119"/>
      <c r="AE92" s="120"/>
      <c r="AF92" s="120"/>
      <c r="AG92" s="120"/>
      <c r="AH92" s="57" t="str">
        <f>IF(Q92="","",IF(Q92='G-1 All Habitats'!$X$3,E92-X92-W92,"None"))</f>
        <v/>
      </c>
      <c r="AI92" s="58" t="str">
        <f>IF(Q92="","", IF(Q92='G-1 All Habitats'!$X$3, AH92*G92*I92*L92*N92*P92,"None"))</f>
        <v/>
      </c>
      <c r="AJ92" s="30" t="str">
        <f>IFERROR(INDEX('G-7 WaterC'' Data'!$AZ$3:$AZ$7,MATCH(D92,'G-7 WaterC'' Data'!$AY$3:$AY$7,0)),"")</f>
        <v/>
      </c>
      <c r="AK92" s="30">
        <f t="shared" si="12"/>
        <v>0</v>
      </c>
      <c r="AL92" s="124" t="str">
        <f t="shared" si="13"/>
        <v/>
      </c>
      <c r="AM92" s="124" t="str">
        <f t="shared" si="14"/>
        <v/>
      </c>
      <c r="AO92" s="124">
        <v>83</v>
      </c>
      <c r="AQ92" s="124" t="str">
        <f t="array" ref="AQ92">IFERROR(INDEX($AO$10:$AO$258, MATCH(0, IF(TRUE=$AL$10:$AL$258, COUNTIF($AQ$9:$AQ91, $AO$10:$AO$258), ""), 0)),"")</f>
        <v/>
      </c>
      <c r="AR92" s="124" t="str">
        <f t="array" ref="AR92">IFERROR(INDEX($AO$10:$AO$258, MATCH(0, IF(TRUE=$AM$10:$AM$258, COUNTIF($AR$9:$AR91, $AO$10:$AO$258), ""), 0)),"")</f>
        <v/>
      </c>
      <c r="AZ92" s="802" t="str">
        <f t="shared" si="15"/>
        <v/>
      </c>
    </row>
    <row r="93" spans="3:52" ht="15.75" thickBot="1">
      <c r="C93" s="110">
        <v>84</v>
      </c>
      <c r="D93" s="340"/>
      <c r="E93" s="121"/>
      <c r="F93" s="362" t="str">
        <f>IF(D93="","",VLOOKUP(D93,'G-7 WaterC'' Data'!$B$2:$G$8,2,FALSE))</f>
        <v/>
      </c>
      <c r="G93" s="363" t="str">
        <f>IFERROR(VLOOKUP(F93,'G-7 WaterC'' Data'!$C$4:$D$8,2,FALSE),"")</f>
        <v/>
      </c>
      <c r="H93" s="114"/>
      <c r="I93" s="363" t="str">
        <f>IFERROR(INDEX('G-7 WaterC'' Data'!$H$4:$L$8,MATCH(D93,'G-7 WaterC'' Data'!$B$4:$B$8,0),MATCH(H93,'G-7 WaterC'' Data'!$H$3:$L$3,0)),"")</f>
        <v/>
      </c>
      <c r="J93" s="115"/>
      <c r="K93" s="382" t="str">
        <f>IF(J93="","",IF(VLOOKUP(J93,'G-7 WaterC'' Data'!$AK$4:$AM$9,2,FALSE)=0,"Spatial Data Missing ⚠",VLOOKUP(J93,'G-7 WaterC'' Data'!$AK$4:$AM$6,2,FALSE)))</f>
        <v/>
      </c>
      <c r="L93" s="386" t="str">
        <f>IF(J93="","",IF(VLOOKUP(J93,'G-7 WaterC'' Data'!$AK$4:$AM$9,3,FALSE)=0,"Spatial Data Missing ⚠",VLOOKUP(J93,'G-7 WaterC'' Data'!$AK$4:$AM$6,3,FALSE)))</f>
        <v/>
      </c>
      <c r="M93" s="115"/>
      <c r="N93" s="363" t="str">
        <f>IF(M93="","",IF(VLOOKUP(M93,'G-7 WaterC'' Data'!$AA$4:$AB$7,2,FALSE)=0,"Spatial Data Missing ⚠",VLOOKUP(M93,'G-7 WaterC'' Data'!$AA$4:$AB$7,2,FALSE)))</f>
        <v/>
      </c>
      <c r="O93" s="60"/>
      <c r="P93" s="363" t="str">
        <f>IF(O93="","",IF(VLOOKUP(O93,'G-7 WaterC'' Data'!$AD$4:$AE$14,2,FALSE)=0,"Spatial Data Missing ⚠",VLOOKUP(O93,'G-7 WaterC'' Data'!$AD$4:$AE$14,2,FALSE)))</f>
        <v/>
      </c>
      <c r="Q93" s="369" t="str">
        <f>IF(D93="","",VLOOKUP(D93,'G-7 WaterC'' Data'!$B$4:$G$8,6,FALSE))</f>
        <v/>
      </c>
      <c r="R93" s="376" t="str">
        <f>IFERROR(IF(D93="","",IF(AND(Q93='G-1 All Habitats'!$X$3,X93&gt;0),Y93+(Z93*T93),IF(AND(Q93='G-1 All Habitats'!$X$3,W93&gt;0),Y93+(Z93*T93),IF(AND(Q93='G-1 All Habitats'!$X$3,AH93&gt;0),"Any Loss Unacceptable ⚠",IF(AND(Q93='G-1 All Habitats'!$X$3,AI93&gt;0),"Any Loss Unacceptable ⚠", E93*G93*I93*L93*N93*P93*T93 ))))),"Check Data ▲")</f>
        <v/>
      </c>
      <c r="S93" s="516"/>
      <c r="T93" s="368" t="str">
        <f>IF(S93="","",IF(VLOOKUP(S93,'G-7 WaterC'' Data'!$AO$4:$BO$7,2,FALSE)=0,"Spatial Data Missing ⚠",VLOOKUP(S93,'G-7 WaterC'' Data'!$AO$4:$BO$7,2,FALSE)))</f>
        <v/>
      </c>
      <c r="U93" s="376" t="str">
        <f>IFERROR(IF(D93="","",IF(AND(Q93='G-1 All Habitats'!$X$3,X93&gt;0),Y93+Z93,IF(AND(Q93='G-1 All Habitats'!$X$3,W93&gt;0),Y93+Z93,IF(AND(Q93='G-1 All Habitats'!$X$3,AH93&gt;0),"Any Loss Unacceptable ⚠",IF(AND(Q93='G-1 All Habitats'!$X$3,AI93&gt;0),"Any Loss Unacceptable ⚠", E93*G93*I93*L93*N93*P93 ))))),"Check Data ▲")</f>
        <v/>
      </c>
      <c r="V93" s="32"/>
      <c r="W93" s="114"/>
      <c r="X93" s="125"/>
      <c r="Y93" s="374" t="str">
        <f t="shared" si="8"/>
        <v/>
      </c>
      <c r="Z93" s="374" t="str">
        <f t="shared" si="9"/>
        <v/>
      </c>
      <c r="AA93" s="374" t="str">
        <f t="shared" si="10"/>
        <v/>
      </c>
      <c r="AB93" s="670" t="str">
        <f t="shared" si="11"/>
        <v/>
      </c>
      <c r="AC93" s="516"/>
      <c r="AD93" s="119"/>
      <c r="AE93" s="120"/>
      <c r="AF93" s="120"/>
      <c r="AG93" s="120"/>
      <c r="AH93" s="57" t="str">
        <f>IF(Q93="","",IF(Q93='G-1 All Habitats'!$X$3,E93-X93-W93,"None"))</f>
        <v/>
      </c>
      <c r="AI93" s="58" t="str">
        <f>IF(Q93="","", IF(Q93='G-1 All Habitats'!$X$3, AH93*G93*I93*L93*N93*P93,"None"))</f>
        <v/>
      </c>
      <c r="AJ93" s="30" t="str">
        <f>IFERROR(INDEX('G-7 WaterC'' Data'!$AZ$3:$AZ$7,MATCH(D93,'G-7 WaterC'' Data'!$AY$3:$AY$7,0)),"")</f>
        <v/>
      </c>
      <c r="AK93" s="30">
        <f t="shared" si="12"/>
        <v>0</v>
      </c>
      <c r="AL93" s="124" t="str">
        <f t="shared" si="13"/>
        <v/>
      </c>
      <c r="AM93" s="124" t="str">
        <f t="shared" si="14"/>
        <v/>
      </c>
      <c r="AO93" s="124">
        <v>84</v>
      </c>
      <c r="AQ93" s="124" t="str">
        <f t="array" ref="AQ93">IFERROR(INDEX($AO$10:$AO$258, MATCH(0, IF(TRUE=$AL$10:$AL$258, COUNTIF($AQ$9:$AQ92, $AO$10:$AO$258), ""), 0)),"")</f>
        <v/>
      </c>
      <c r="AR93" s="124" t="str">
        <f t="array" ref="AR93">IFERROR(INDEX($AO$10:$AO$258, MATCH(0, IF(TRUE=$AM$10:$AM$258, COUNTIF($AR$9:$AR92, $AO$10:$AO$258), ""), 0)),"")</f>
        <v/>
      </c>
      <c r="AZ93" s="802" t="str">
        <f t="shared" si="15"/>
        <v/>
      </c>
    </row>
    <row r="94" spans="3:52" ht="15.75" thickBot="1">
      <c r="C94" s="110">
        <v>85</v>
      </c>
      <c r="D94" s="340"/>
      <c r="E94" s="121"/>
      <c r="F94" s="362" t="str">
        <f>IF(D94="","",VLOOKUP(D94,'G-7 WaterC'' Data'!$B$2:$G$8,2,FALSE))</f>
        <v/>
      </c>
      <c r="G94" s="363" t="str">
        <f>IFERROR(VLOOKUP(F94,'G-7 WaterC'' Data'!$C$4:$D$8,2,FALSE),"")</f>
        <v/>
      </c>
      <c r="H94" s="114"/>
      <c r="I94" s="363" t="str">
        <f>IFERROR(INDEX('G-7 WaterC'' Data'!$H$4:$L$8,MATCH(D94,'G-7 WaterC'' Data'!$B$4:$B$8,0),MATCH(H94,'G-7 WaterC'' Data'!$H$3:$L$3,0)),"")</f>
        <v/>
      </c>
      <c r="J94" s="115"/>
      <c r="K94" s="382" t="str">
        <f>IF(J94="","",IF(VLOOKUP(J94,'G-7 WaterC'' Data'!$AK$4:$AM$9,2,FALSE)=0,"Spatial Data Missing ⚠",VLOOKUP(J94,'G-7 WaterC'' Data'!$AK$4:$AM$6,2,FALSE)))</f>
        <v/>
      </c>
      <c r="L94" s="386" t="str">
        <f>IF(J94="","",IF(VLOOKUP(J94,'G-7 WaterC'' Data'!$AK$4:$AM$9,3,FALSE)=0,"Spatial Data Missing ⚠",VLOOKUP(J94,'G-7 WaterC'' Data'!$AK$4:$AM$6,3,FALSE)))</f>
        <v/>
      </c>
      <c r="M94" s="115"/>
      <c r="N94" s="363" t="str">
        <f>IF(M94="","",IF(VLOOKUP(M94,'G-7 WaterC'' Data'!$AA$4:$AB$7,2,FALSE)=0,"Spatial Data Missing ⚠",VLOOKUP(M94,'G-7 WaterC'' Data'!$AA$4:$AB$7,2,FALSE)))</f>
        <v/>
      </c>
      <c r="O94" s="60"/>
      <c r="P94" s="363" t="str">
        <f>IF(O94="","",IF(VLOOKUP(O94,'G-7 WaterC'' Data'!$AD$4:$AE$14,2,FALSE)=0,"Spatial Data Missing ⚠",VLOOKUP(O94,'G-7 WaterC'' Data'!$AD$4:$AE$14,2,FALSE)))</f>
        <v/>
      </c>
      <c r="Q94" s="369" t="str">
        <f>IF(D94="","",VLOOKUP(D94,'G-7 WaterC'' Data'!$B$4:$G$8,6,FALSE))</f>
        <v/>
      </c>
      <c r="R94" s="376" t="str">
        <f>IFERROR(IF(D94="","",IF(AND(Q94='G-1 All Habitats'!$X$3,X94&gt;0),Y94+(Z94*T94),IF(AND(Q94='G-1 All Habitats'!$X$3,W94&gt;0),Y94+(Z94*T94),IF(AND(Q94='G-1 All Habitats'!$X$3,AH94&gt;0),"Any Loss Unacceptable ⚠",IF(AND(Q94='G-1 All Habitats'!$X$3,AI94&gt;0),"Any Loss Unacceptable ⚠", E94*G94*I94*L94*N94*P94*T94 ))))),"Check Data ▲")</f>
        <v/>
      </c>
      <c r="S94" s="516"/>
      <c r="T94" s="368" t="str">
        <f>IF(S94="","",IF(VLOOKUP(S94,'G-7 WaterC'' Data'!$AO$4:$BO$7,2,FALSE)=0,"Spatial Data Missing ⚠",VLOOKUP(S94,'G-7 WaterC'' Data'!$AO$4:$BO$7,2,FALSE)))</f>
        <v/>
      </c>
      <c r="U94" s="376" t="str">
        <f>IFERROR(IF(D94="","",IF(AND(Q94='G-1 All Habitats'!$X$3,X94&gt;0),Y94+Z94,IF(AND(Q94='G-1 All Habitats'!$X$3,W94&gt;0),Y94+Z94,IF(AND(Q94='G-1 All Habitats'!$X$3,AH94&gt;0),"Any Loss Unacceptable ⚠",IF(AND(Q94='G-1 All Habitats'!$X$3,AI94&gt;0),"Any Loss Unacceptable ⚠", E94*G94*I94*L94*N94*P94 ))))),"Check Data ▲")</f>
        <v/>
      </c>
      <c r="V94" s="32"/>
      <c r="W94" s="114"/>
      <c r="X94" s="125"/>
      <c r="Y94" s="374" t="str">
        <f t="shared" si="8"/>
        <v/>
      </c>
      <c r="Z94" s="374" t="str">
        <f t="shared" si="9"/>
        <v/>
      </c>
      <c r="AA94" s="374" t="str">
        <f t="shared" si="10"/>
        <v/>
      </c>
      <c r="AB94" s="670" t="str">
        <f t="shared" si="11"/>
        <v/>
      </c>
      <c r="AC94" s="516"/>
      <c r="AD94" s="119"/>
      <c r="AE94" s="120"/>
      <c r="AF94" s="120"/>
      <c r="AG94" s="120"/>
      <c r="AH94" s="57" t="str">
        <f>IF(Q94="","",IF(Q94='G-1 All Habitats'!$X$3,E94-X94-W94,"None"))</f>
        <v/>
      </c>
      <c r="AI94" s="58" t="str">
        <f>IF(Q94="","", IF(Q94='G-1 All Habitats'!$X$3, AH94*G94*I94*L94*N94*P94,"None"))</f>
        <v/>
      </c>
      <c r="AJ94" s="30" t="str">
        <f>IFERROR(INDEX('G-7 WaterC'' Data'!$AZ$3:$AZ$7,MATCH(D94,'G-7 WaterC'' Data'!$AY$3:$AY$7,0)),"")</f>
        <v/>
      </c>
      <c r="AK94" s="30">
        <f t="shared" si="12"/>
        <v>0</v>
      </c>
      <c r="AL94" s="124" t="str">
        <f t="shared" si="13"/>
        <v/>
      </c>
      <c r="AM94" s="124" t="str">
        <f t="shared" si="14"/>
        <v/>
      </c>
      <c r="AO94" s="124">
        <v>85</v>
      </c>
      <c r="AQ94" s="124" t="str">
        <f t="array" ref="AQ94">IFERROR(INDEX($AO$10:$AO$258, MATCH(0, IF(TRUE=$AL$10:$AL$258, COUNTIF($AQ$9:$AQ93, $AO$10:$AO$258), ""), 0)),"")</f>
        <v/>
      </c>
      <c r="AR94" s="124" t="str">
        <f t="array" ref="AR94">IFERROR(INDEX($AO$10:$AO$258, MATCH(0, IF(TRUE=$AM$10:$AM$258, COUNTIF($AR$9:$AR93, $AO$10:$AO$258), ""), 0)),"")</f>
        <v/>
      </c>
      <c r="AZ94" s="802" t="str">
        <f t="shared" si="15"/>
        <v/>
      </c>
    </row>
    <row r="95" spans="3:52" ht="15.75" thickBot="1">
      <c r="C95" s="110">
        <v>86</v>
      </c>
      <c r="D95" s="340"/>
      <c r="E95" s="121"/>
      <c r="F95" s="362" t="str">
        <f>IF(D95="","",VLOOKUP(D95,'G-7 WaterC'' Data'!$B$2:$G$8,2,FALSE))</f>
        <v/>
      </c>
      <c r="G95" s="363" t="str">
        <f>IFERROR(VLOOKUP(F95,'G-7 WaterC'' Data'!$C$4:$D$8,2,FALSE),"")</f>
        <v/>
      </c>
      <c r="H95" s="114"/>
      <c r="I95" s="363" t="str">
        <f>IFERROR(INDEX('G-7 WaterC'' Data'!$H$4:$L$8,MATCH(D95,'G-7 WaterC'' Data'!$B$4:$B$8,0),MATCH(H95,'G-7 WaterC'' Data'!$H$3:$L$3,0)),"")</f>
        <v/>
      </c>
      <c r="J95" s="115"/>
      <c r="K95" s="382" t="str">
        <f>IF(J95="","",IF(VLOOKUP(J95,'G-7 WaterC'' Data'!$AK$4:$AM$9,2,FALSE)=0,"Spatial Data Missing ⚠",VLOOKUP(J95,'G-7 WaterC'' Data'!$AK$4:$AM$6,2,FALSE)))</f>
        <v/>
      </c>
      <c r="L95" s="386" t="str">
        <f>IF(J95="","",IF(VLOOKUP(J95,'G-7 WaterC'' Data'!$AK$4:$AM$9,3,FALSE)=0,"Spatial Data Missing ⚠",VLOOKUP(J95,'G-7 WaterC'' Data'!$AK$4:$AM$6,3,FALSE)))</f>
        <v/>
      </c>
      <c r="M95" s="115"/>
      <c r="N95" s="363" t="str">
        <f>IF(M95="","",IF(VLOOKUP(M95,'G-7 WaterC'' Data'!$AA$4:$AB$7,2,FALSE)=0,"Spatial Data Missing ⚠",VLOOKUP(M95,'G-7 WaterC'' Data'!$AA$4:$AB$7,2,FALSE)))</f>
        <v/>
      </c>
      <c r="O95" s="60"/>
      <c r="P95" s="363" t="str">
        <f>IF(O95="","",IF(VLOOKUP(O95,'G-7 WaterC'' Data'!$AD$4:$AE$14,2,FALSE)=0,"Spatial Data Missing ⚠",VLOOKUP(O95,'G-7 WaterC'' Data'!$AD$4:$AE$14,2,FALSE)))</f>
        <v/>
      </c>
      <c r="Q95" s="369" t="str">
        <f>IF(D95="","",VLOOKUP(D95,'G-7 WaterC'' Data'!$B$4:$G$8,6,FALSE))</f>
        <v/>
      </c>
      <c r="R95" s="376" t="str">
        <f>IFERROR(IF(D95="","",IF(AND(Q95='G-1 All Habitats'!$X$3,X95&gt;0),Y95+(Z95*T95),IF(AND(Q95='G-1 All Habitats'!$X$3,W95&gt;0),Y95+(Z95*T95),IF(AND(Q95='G-1 All Habitats'!$X$3,AH95&gt;0),"Any Loss Unacceptable ⚠",IF(AND(Q95='G-1 All Habitats'!$X$3,AI95&gt;0),"Any Loss Unacceptable ⚠", E95*G95*I95*L95*N95*P95*T95 ))))),"Check Data ▲")</f>
        <v/>
      </c>
      <c r="S95" s="516"/>
      <c r="T95" s="368" t="str">
        <f>IF(S95="","",IF(VLOOKUP(S95,'G-7 WaterC'' Data'!$AO$4:$BO$7,2,FALSE)=0,"Spatial Data Missing ⚠",VLOOKUP(S95,'G-7 WaterC'' Data'!$AO$4:$BO$7,2,FALSE)))</f>
        <v/>
      </c>
      <c r="U95" s="376" t="str">
        <f>IFERROR(IF(D95="","",IF(AND(Q95='G-1 All Habitats'!$X$3,X95&gt;0),Y95+Z95,IF(AND(Q95='G-1 All Habitats'!$X$3,W95&gt;0),Y95+Z95,IF(AND(Q95='G-1 All Habitats'!$X$3,AH95&gt;0),"Any Loss Unacceptable ⚠",IF(AND(Q95='G-1 All Habitats'!$X$3,AI95&gt;0),"Any Loss Unacceptable ⚠", E95*G95*I95*L95*N95*P95 ))))),"Check Data ▲")</f>
        <v/>
      </c>
      <c r="V95" s="32"/>
      <c r="W95" s="114"/>
      <c r="X95" s="125"/>
      <c r="Y95" s="374" t="str">
        <f t="shared" si="8"/>
        <v/>
      </c>
      <c r="Z95" s="374" t="str">
        <f t="shared" si="9"/>
        <v/>
      </c>
      <c r="AA95" s="374" t="str">
        <f t="shared" si="10"/>
        <v/>
      </c>
      <c r="AB95" s="670" t="str">
        <f t="shared" si="11"/>
        <v/>
      </c>
      <c r="AC95" s="516"/>
      <c r="AD95" s="119"/>
      <c r="AE95" s="120"/>
      <c r="AF95" s="120"/>
      <c r="AG95" s="120"/>
      <c r="AH95" s="57" t="str">
        <f>IF(Q95="","",IF(Q95='G-1 All Habitats'!$X$3,E95-X95-W95,"None"))</f>
        <v/>
      </c>
      <c r="AI95" s="58" t="str">
        <f>IF(Q95="","", IF(Q95='G-1 All Habitats'!$X$3, AH95*G95*I95*L95*N95*P95,"None"))</f>
        <v/>
      </c>
      <c r="AJ95" s="30" t="str">
        <f>IFERROR(INDEX('G-7 WaterC'' Data'!$AZ$3:$AZ$7,MATCH(D95,'G-7 WaterC'' Data'!$AY$3:$AY$7,0)),"")</f>
        <v/>
      </c>
      <c r="AK95" s="30">
        <f t="shared" si="12"/>
        <v>0</v>
      </c>
      <c r="AL95" s="124" t="str">
        <f t="shared" si="13"/>
        <v/>
      </c>
      <c r="AM95" s="124" t="str">
        <f t="shared" si="14"/>
        <v/>
      </c>
      <c r="AO95" s="124">
        <v>86</v>
      </c>
      <c r="AQ95" s="124" t="str">
        <f t="array" ref="AQ95">IFERROR(INDEX($AO$10:$AO$258, MATCH(0, IF(TRUE=$AL$10:$AL$258, COUNTIF($AQ$9:$AQ94, $AO$10:$AO$258), ""), 0)),"")</f>
        <v/>
      </c>
      <c r="AR95" s="124" t="str">
        <f t="array" ref="AR95">IFERROR(INDEX($AO$10:$AO$258, MATCH(0, IF(TRUE=$AM$10:$AM$258, COUNTIF($AR$9:$AR94, $AO$10:$AO$258), ""), 0)),"")</f>
        <v/>
      </c>
      <c r="AZ95" s="802" t="str">
        <f t="shared" si="15"/>
        <v/>
      </c>
    </row>
    <row r="96" spans="3:52" ht="15.75" thickBot="1">
      <c r="C96" s="110">
        <v>87</v>
      </c>
      <c r="D96" s="340"/>
      <c r="E96" s="121"/>
      <c r="F96" s="362" t="str">
        <f>IF(D96="","",VLOOKUP(D96,'G-7 WaterC'' Data'!$B$2:$G$8,2,FALSE))</f>
        <v/>
      </c>
      <c r="G96" s="363" t="str">
        <f>IFERROR(VLOOKUP(F96,'G-7 WaterC'' Data'!$C$4:$D$8,2,FALSE),"")</f>
        <v/>
      </c>
      <c r="H96" s="114"/>
      <c r="I96" s="363" t="str">
        <f>IFERROR(INDEX('G-7 WaterC'' Data'!$H$4:$L$8,MATCH(D96,'G-7 WaterC'' Data'!$B$4:$B$8,0),MATCH(H96,'G-7 WaterC'' Data'!$H$3:$L$3,0)),"")</f>
        <v/>
      </c>
      <c r="J96" s="115"/>
      <c r="K96" s="382" t="str">
        <f>IF(J96="","",IF(VLOOKUP(J96,'G-7 WaterC'' Data'!$AK$4:$AM$9,2,FALSE)=0,"Spatial Data Missing ⚠",VLOOKUP(J96,'G-7 WaterC'' Data'!$AK$4:$AM$6,2,FALSE)))</f>
        <v/>
      </c>
      <c r="L96" s="386" t="str">
        <f>IF(J96="","",IF(VLOOKUP(J96,'G-7 WaterC'' Data'!$AK$4:$AM$9,3,FALSE)=0,"Spatial Data Missing ⚠",VLOOKUP(J96,'G-7 WaterC'' Data'!$AK$4:$AM$6,3,FALSE)))</f>
        <v/>
      </c>
      <c r="M96" s="115"/>
      <c r="N96" s="363" t="str">
        <f>IF(M96="","",IF(VLOOKUP(M96,'G-7 WaterC'' Data'!$AA$4:$AB$7,2,FALSE)=0,"Spatial Data Missing ⚠",VLOOKUP(M96,'G-7 WaterC'' Data'!$AA$4:$AB$7,2,FALSE)))</f>
        <v/>
      </c>
      <c r="O96" s="60"/>
      <c r="P96" s="363" t="str">
        <f>IF(O96="","",IF(VLOOKUP(O96,'G-7 WaterC'' Data'!$AD$4:$AE$14,2,FALSE)=0,"Spatial Data Missing ⚠",VLOOKUP(O96,'G-7 WaterC'' Data'!$AD$4:$AE$14,2,FALSE)))</f>
        <v/>
      </c>
      <c r="Q96" s="369" t="str">
        <f>IF(D96="","",VLOOKUP(D96,'G-7 WaterC'' Data'!$B$4:$G$8,6,FALSE))</f>
        <v/>
      </c>
      <c r="R96" s="376" t="str">
        <f>IFERROR(IF(D96="","",IF(AND(Q96='G-1 All Habitats'!$X$3,X96&gt;0),Y96+(Z96*T96),IF(AND(Q96='G-1 All Habitats'!$X$3,W96&gt;0),Y96+(Z96*T96),IF(AND(Q96='G-1 All Habitats'!$X$3,AH96&gt;0),"Any Loss Unacceptable ⚠",IF(AND(Q96='G-1 All Habitats'!$X$3,AI96&gt;0),"Any Loss Unacceptable ⚠", E96*G96*I96*L96*N96*P96*T96 ))))),"Check Data ▲")</f>
        <v/>
      </c>
      <c r="S96" s="516"/>
      <c r="T96" s="368" t="str">
        <f>IF(S96="","",IF(VLOOKUP(S96,'G-7 WaterC'' Data'!$AO$4:$BO$7,2,FALSE)=0,"Spatial Data Missing ⚠",VLOOKUP(S96,'G-7 WaterC'' Data'!$AO$4:$BO$7,2,FALSE)))</f>
        <v/>
      </c>
      <c r="U96" s="376" t="str">
        <f>IFERROR(IF(D96="","",IF(AND(Q96='G-1 All Habitats'!$X$3,X96&gt;0),Y96+Z96,IF(AND(Q96='G-1 All Habitats'!$X$3,W96&gt;0),Y96+Z96,IF(AND(Q96='G-1 All Habitats'!$X$3,AH96&gt;0),"Any Loss Unacceptable ⚠",IF(AND(Q96='G-1 All Habitats'!$X$3,AI96&gt;0),"Any Loss Unacceptable ⚠", E96*G96*I96*L96*N96*P96 ))))),"Check Data ▲")</f>
        <v/>
      </c>
      <c r="V96" s="32"/>
      <c r="W96" s="114"/>
      <c r="X96" s="125"/>
      <c r="Y96" s="374" t="str">
        <f t="shared" si="8"/>
        <v/>
      </c>
      <c r="Z96" s="374" t="str">
        <f t="shared" si="9"/>
        <v/>
      </c>
      <c r="AA96" s="374" t="str">
        <f t="shared" si="10"/>
        <v/>
      </c>
      <c r="AB96" s="670" t="str">
        <f t="shared" si="11"/>
        <v/>
      </c>
      <c r="AC96" s="516"/>
      <c r="AD96" s="119"/>
      <c r="AE96" s="120"/>
      <c r="AF96" s="120"/>
      <c r="AG96" s="120"/>
      <c r="AH96" s="57" t="str">
        <f>IF(Q96="","",IF(Q96='G-1 All Habitats'!$X$3,E96-X96-W96,"None"))</f>
        <v/>
      </c>
      <c r="AI96" s="58" t="str">
        <f>IF(Q96="","", IF(Q96='G-1 All Habitats'!$X$3, AH96*G96*I96*L96*N96*P96,"None"))</f>
        <v/>
      </c>
      <c r="AJ96" s="30" t="str">
        <f>IFERROR(INDEX('G-7 WaterC'' Data'!$AZ$3:$AZ$7,MATCH(D96,'G-7 WaterC'' Data'!$AY$3:$AY$7,0)),"")</f>
        <v/>
      </c>
      <c r="AK96" s="30">
        <f t="shared" si="12"/>
        <v>0</v>
      </c>
      <c r="AL96" s="124" t="str">
        <f t="shared" si="13"/>
        <v/>
      </c>
      <c r="AM96" s="124" t="str">
        <f t="shared" si="14"/>
        <v/>
      </c>
      <c r="AO96" s="124">
        <v>87</v>
      </c>
      <c r="AQ96" s="124" t="str">
        <f t="array" ref="AQ96">IFERROR(INDEX($AO$10:$AO$258, MATCH(0, IF(TRUE=$AL$10:$AL$258, COUNTIF($AQ$9:$AQ95, $AO$10:$AO$258), ""), 0)),"")</f>
        <v/>
      </c>
      <c r="AR96" s="124" t="str">
        <f t="array" ref="AR96">IFERROR(INDEX($AO$10:$AO$258, MATCH(0, IF(TRUE=$AM$10:$AM$258, COUNTIF($AR$9:$AR95, $AO$10:$AO$258), ""), 0)),"")</f>
        <v/>
      </c>
      <c r="AZ96" s="802" t="str">
        <f t="shared" si="15"/>
        <v/>
      </c>
    </row>
    <row r="97" spans="3:52" ht="15.75" thickBot="1">
      <c r="C97" s="110">
        <v>88</v>
      </c>
      <c r="D97" s="340"/>
      <c r="E97" s="121"/>
      <c r="F97" s="362" t="str">
        <f>IF(D97="","",VLOOKUP(D97,'G-7 WaterC'' Data'!$B$2:$G$8,2,FALSE))</f>
        <v/>
      </c>
      <c r="G97" s="363" t="str">
        <f>IFERROR(VLOOKUP(F97,'G-7 WaterC'' Data'!$C$4:$D$8,2,FALSE),"")</f>
        <v/>
      </c>
      <c r="H97" s="114"/>
      <c r="I97" s="363" t="str">
        <f>IFERROR(INDEX('G-7 WaterC'' Data'!$H$4:$L$8,MATCH(D97,'G-7 WaterC'' Data'!$B$4:$B$8,0),MATCH(H97,'G-7 WaterC'' Data'!$H$3:$L$3,0)),"")</f>
        <v/>
      </c>
      <c r="J97" s="115"/>
      <c r="K97" s="382" t="str">
        <f>IF(J97="","",IF(VLOOKUP(J97,'G-7 WaterC'' Data'!$AK$4:$AM$9,2,FALSE)=0,"Spatial Data Missing ⚠",VLOOKUP(J97,'G-7 WaterC'' Data'!$AK$4:$AM$6,2,FALSE)))</f>
        <v/>
      </c>
      <c r="L97" s="386" t="str">
        <f>IF(J97="","",IF(VLOOKUP(J97,'G-7 WaterC'' Data'!$AK$4:$AM$9,3,FALSE)=0,"Spatial Data Missing ⚠",VLOOKUP(J97,'G-7 WaterC'' Data'!$AK$4:$AM$6,3,FALSE)))</f>
        <v/>
      </c>
      <c r="M97" s="115"/>
      <c r="N97" s="363" t="str">
        <f>IF(M97="","",IF(VLOOKUP(M97,'G-7 WaterC'' Data'!$AA$4:$AB$7,2,FALSE)=0,"Spatial Data Missing ⚠",VLOOKUP(M97,'G-7 WaterC'' Data'!$AA$4:$AB$7,2,FALSE)))</f>
        <v/>
      </c>
      <c r="O97" s="60"/>
      <c r="P97" s="363" t="str">
        <f>IF(O97="","",IF(VLOOKUP(O97,'G-7 WaterC'' Data'!$AD$4:$AE$14,2,FALSE)=0,"Spatial Data Missing ⚠",VLOOKUP(O97,'G-7 WaterC'' Data'!$AD$4:$AE$14,2,FALSE)))</f>
        <v/>
      </c>
      <c r="Q97" s="369" t="str">
        <f>IF(D97="","",VLOOKUP(D97,'G-7 WaterC'' Data'!$B$4:$G$8,6,FALSE))</f>
        <v/>
      </c>
      <c r="R97" s="376" t="str">
        <f>IFERROR(IF(D97="","",IF(AND(Q97='G-1 All Habitats'!$X$3,X97&gt;0),Y97+(Z97*T97),IF(AND(Q97='G-1 All Habitats'!$X$3,W97&gt;0),Y97+(Z97*T97),IF(AND(Q97='G-1 All Habitats'!$X$3,AH97&gt;0),"Any Loss Unacceptable ⚠",IF(AND(Q97='G-1 All Habitats'!$X$3,AI97&gt;0),"Any Loss Unacceptable ⚠", E97*G97*I97*L97*N97*P97*T97 ))))),"Check Data ▲")</f>
        <v/>
      </c>
      <c r="S97" s="516"/>
      <c r="T97" s="368" t="str">
        <f>IF(S97="","",IF(VLOOKUP(S97,'G-7 WaterC'' Data'!$AO$4:$BO$7,2,FALSE)=0,"Spatial Data Missing ⚠",VLOOKUP(S97,'G-7 WaterC'' Data'!$AO$4:$BO$7,2,FALSE)))</f>
        <v/>
      </c>
      <c r="U97" s="376" t="str">
        <f>IFERROR(IF(D97="","",IF(AND(Q97='G-1 All Habitats'!$X$3,X97&gt;0),Y97+Z97,IF(AND(Q97='G-1 All Habitats'!$X$3,W97&gt;0),Y97+Z97,IF(AND(Q97='G-1 All Habitats'!$X$3,AH97&gt;0),"Any Loss Unacceptable ⚠",IF(AND(Q97='G-1 All Habitats'!$X$3,AI97&gt;0),"Any Loss Unacceptable ⚠", E97*G97*I97*L97*N97*P97 ))))),"Check Data ▲")</f>
        <v/>
      </c>
      <c r="V97" s="32"/>
      <c r="W97" s="114"/>
      <c r="X97" s="125"/>
      <c r="Y97" s="374" t="str">
        <f t="shared" si="8"/>
        <v/>
      </c>
      <c r="Z97" s="374" t="str">
        <f t="shared" si="9"/>
        <v/>
      </c>
      <c r="AA97" s="374" t="str">
        <f t="shared" si="10"/>
        <v/>
      </c>
      <c r="AB97" s="670" t="str">
        <f t="shared" si="11"/>
        <v/>
      </c>
      <c r="AC97" s="516"/>
      <c r="AD97" s="119"/>
      <c r="AE97" s="120"/>
      <c r="AF97" s="120"/>
      <c r="AG97" s="120"/>
      <c r="AH97" s="57" t="str">
        <f>IF(Q97="","",IF(Q97='G-1 All Habitats'!$X$3,E97-X97-W97,"None"))</f>
        <v/>
      </c>
      <c r="AI97" s="58" t="str">
        <f>IF(Q97="","", IF(Q97='G-1 All Habitats'!$X$3, AH97*G97*I97*L97*N97*P97,"None"))</f>
        <v/>
      </c>
      <c r="AJ97" s="30" t="str">
        <f>IFERROR(INDEX('G-7 WaterC'' Data'!$AZ$3:$AZ$7,MATCH(D97,'G-7 WaterC'' Data'!$AY$3:$AY$7,0)),"")</f>
        <v/>
      </c>
      <c r="AK97" s="30">
        <f t="shared" si="12"/>
        <v>0</v>
      </c>
      <c r="AL97" s="124" t="str">
        <f t="shared" si="13"/>
        <v/>
      </c>
      <c r="AM97" s="124" t="str">
        <f t="shared" si="14"/>
        <v/>
      </c>
      <c r="AO97" s="124">
        <v>88</v>
      </c>
      <c r="AQ97" s="124" t="str">
        <f t="array" ref="AQ97">IFERROR(INDEX($AO$10:$AO$258, MATCH(0, IF(TRUE=$AL$10:$AL$258, COUNTIF($AQ$9:$AQ96, $AO$10:$AO$258), ""), 0)),"")</f>
        <v/>
      </c>
      <c r="AR97" s="124" t="str">
        <f t="array" ref="AR97">IFERROR(INDEX($AO$10:$AO$258, MATCH(0, IF(TRUE=$AM$10:$AM$258, COUNTIF($AR$9:$AR96, $AO$10:$AO$258), ""), 0)),"")</f>
        <v/>
      </c>
      <c r="AZ97" s="802" t="str">
        <f t="shared" si="15"/>
        <v/>
      </c>
    </row>
    <row r="98" spans="3:52" ht="15.75" thickBot="1">
      <c r="C98" s="110">
        <v>89</v>
      </c>
      <c r="D98" s="340"/>
      <c r="E98" s="121"/>
      <c r="F98" s="362" t="str">
        <f>IF(D98="","",VLOOKUP(D98,'G-7 WaterC'' Data'!$B$2:$G$8,2,FALSE))</f>
        <v/>
      </c>
      <c r="G98" s="363" t="str">
        <f>IFERROR(VLOOKUP(F98,'G-7 WaterC'' Data'!$C$4:$D$8,2,FALSE),"")</f>
        <v/>
      </c>
      <c r="H98" s="114"/>
      <c r="I98" s="363" t="str">
        <f>IFERROR(INDEX('G-7 WaterC'' Data'!$H$4:$L$8,MATCH(D98,'G-7 WaterC'' Data'!$B$4:$B$8,0),MATCH(H98,'G-7 WaterC'' Data'!$H$3:$L$3,0)),"")</f>
        <v/>
      </c>
      <c r="J98" s="115"/>
      <c r="K98" s="382" t="str">
        <f>IF(J98="","",IF(VLOOKUP(J98,'G-7 WaterC'' Data'!$AK$4:$AM$9,2,FALSE)=0,"Spatial Data Missing ⚠",VLOOKUP(J98,'G-7 WaterC'' Data'!$AK$4:$AM$6,2,FALSE)))</f>
        <v/>
      </c>
      <c r="L98" s="386" t="str">
        <f>IF(J98="","",IF(VLOOKUP(J98,'G-7 WaterC'' Data'!$AK$4:$AM$9,3,FALSE)=0,"Spatial Data Missing ⚠",VLOOKUP(J98,'G-7 WaterC'' Data'!$AK$4:$AM$6,3,FALSE)))</f>
        <v/>
      </c>
      <c r="M98" s="115"/>
      <c r="N98" s="363" t="str">
        <f>IF(M98="","",IF(VLOOKUP(M98,'G-7 WaterC'' Data'!$AA$4:$AB$7,2,FALSE)=0,"Spatial Data Missing ⚠",VLOOKUP(M98,'G-7 WaterC'' Data'!$AA$4:$AB$7,2,FALSE)))</f>
        <v/>
      </c>
      <c r="O98" s="60"/>
      <c r="P98" s="363" t="str">
        <f>IF(O98="","",IF(VLOOKUP(O98,'G-7 WaterC'' Data'!$AD$4:$AE$14,2,FALSE)=0,"Spatial Data Missing ⚠",VLOOKUP(O98,'G-7 WaterC'' Data'!$AD$4:$AE$14,2,FALSE)))</f>
        <v/>
      </c>
      <c r="Q98" s="369" t="str">
        <f>IF(D98="","",VLOOKUP(D98,'G-7 WaterC'' Data'!$B$4:$G$8,6,FALSE))</f>
        <v/>
      </c>
      <c r="R98" s="376" t="str">
        <f>IFERROR(IF(D98="","",IF(AND(Q98='G-1 All Habitats'!$X$3,X98&gt;0),Y98+(Z98*T98),IF(AND(Q98='G-1 All Habitats'!$X$3,W98&gt;0),Y98+(Z98*T98),IF(AND(Q98='G-1 All Habitats'!$X$3,AH98&gt;0),"Any Loss Unacceptable ⚠",IF(AND(Q98='G-1 All Habitats'!$X$3,AI98&gt;0),"Any Loss Unacceptable ⚠", E98*G98*I98*L98*N98*P98*T98 ))))),"Check Data ▲")</f>
        <v/>
      </c>
      <c r="S98" s="516"/>
      <c r="T98" s="368" t="str">
        <f>IF(S98="","",IF(VLOOKUP(S98,'G-7 WaterC'' Data'!$AO$4:$BO$7,2,FALSE)=0,"Spatial Data Missing ⚠",VLOOKUP(S98,'G-7 WaterC'' Data'!$AO$4:$BO$7,2,FALSE)))</f>
        <v/>
      </c>
      <c r="U98" s="376" t="str">
        <f>IFERROR(IF(D98="","",IF(AND(Q98='G-1 All Habitats'!$X$3,X98&gt;0),Y98+Z98,IF(AND(Q98='G-1 All Habitats'!$X$3,W98&gt;0),Y98+Z98,IF(AND(Q98='G-1 All Habitats'!$X$3,AH98&gt;0),"Any Loss Unacceptable ⚠",IF(AND(Q98='G-1 All Habitats'!$X$3,AI98&gt;0),"Any Loss Unacceptable ⚠", E98*G98*I98*L98*N98*P98 ))))),"Check Data ▲")</f>
        <v/>
      </c>
      <c r="V98" s="32"/>
      <c r="W98" s="114"/>
      <c r="X98" s="125"/>
      <c r="Y98" s="374" t="str">
        <f t="shared" si="8"/>
        <v/>
      </c>
      <c r="Z98" s="374" t="str">
        <f t="shared" si="9"/>
        <v/>
      </c>
      <c r="AA98" s="374" t="str">
        <f t="shared" si="10"/>
        <v/>
      </c>
      <c r="AB98" s="670" t="str">
        <f t="shared" si="11"/>
        <v/>
      </c>
      <c r="AC98" s="516"/>
      <c r="AD98" s="119"/>
      <c r="AE98" s="120"/>
      <c r="AF98" s="120"/>
      <c r="AG98" s="120"/>
      <c r="AH98" s="57" t="str">
        <f>IF(Q98="","",IF(Q98='G-1 All Habitats'!$X$3,E98-X98-W98,"None"))</f>
        <v/>
      </c>
      <c r="AI98" s="58" t="str">
        <f>IF(Q98="","", IF(Q98='G-1 All Habitats'!$X$3, AH98*G98*I98*L98*N98*P98,"None"))</f>
        <v/>
      </c>
      <c r="AJ98" s="30" t="str">
        <f>IFERROR(INDEX('G-7 WaterC'' Data'!$AZ$3:$AZ$7,MATCH(D98,'G-7 WaterC'' Data'!$AY$3:$AY$7,0)),"")</f>
        <v/>
      </c>
      <c r="AK98" s="30">
        <f t="shared" si="12"/>
        <v>0</v>
      </c>
      <c r="AL98" s="124" t="str">
        <f t="shared" si="13"/>
        <v/>
      </c>
      <c r="AM98" s="124" t="str">
        <f t="shared" si="14"/>
        <v/>
      </c>
      <c r="AO98" s="124">
        <v>89</v>
      </c>
      <c r="AQ98" s="124" t="str">
        <f t="array" ref="AQ98">IFERROR(INDEX($AO$10:$AO$258, MATCH(0, IF(TRUE=$AL$10:$AL$258, COUNTIF($AQ$9:$AQ97, $AO$10:$AO$258), ""), 0)),"")</f>
        <v/>
      </c>
      <c r="AR98" s="124" t="str">
        <f t="array" ref="AR98">IFERROR(INDEX($AO$10:$AO$258, MATCH(0, IF(TRUE=$AM$10:$AM$258, COUNTIF($AR$9:$AR97, $AO$10:$AO$258), ""), 0)),"")</f>
        <v/>
      </c>
      <c r="AZ98" s="802" t="str">
        <f t="shared" si="15"/>
        <v/>
      </c>
    </row>
    <row r="99" spans="3:52" ht="15.75" thickBot="1">
      <c r="C99" s="110">
        <v>90</v>
      </c>
      <c r="D99" s="340"/>
      <c r="E99" s="121"/>
      <c r="F99" s="362" t="str">
        <f>IF(D99="","",VLOOKUP(D99,'G-7 WaterC'' Data'!$B$2:$G$8,2,FALSE))</f>
        <v/>
      </c>
      <c r="G99" s="363" t="str">
        <f>IFERROR(VLOOKUP(F99,'G-7 WaterC'' Data'!$C$4:$D$8,2,FALSE),"")</f>
        <v/>
      </c>
      <c r="H99" s="114"/>
      <c r="I99" s="363" t="str">
        <f>IFERROR(INDEX('G-7 WaterC'' Data'!$H$4:$L$8,MATCH(D99,'G-7 WaterC'' Data'!$B$4:$B$8,0),MATCH(H99,'G-7 WaterC'' Data'!$H$3:$L$3,0)),"")</f>
        <v/>
      </c>
      <c r="J99" s="115"/>
      <c r="K99" s="382" t="str">
        <f>IF(J99="","",IF(VLOOKUP(J99,'G-7 WaterC'' Data'!$AK$4:$AM$9,2,FALSE)=0,"Spatial Data Missing ⚠",VLOOKUP(J99,'G-7 WaterC'' Data'!$AK$4:$AM$6,2,FALSE)))</f>
        <v/>
      </c>
      <c r="L99" s="386" t="str">
        <f>IF(J99="","",IF(VLOOKUP(J99,'G-7 WaterC'' Data'!$AK$4:$AM$9,3,FALSE)=0,"Spatial Data Missing ⚠",VLOOKUP(J99,'G-7 WaterC'' Data'!$AK$4:$AM$6,3,FALSE)))</f>
        <v/>
      </c>
      <c r="M99" s="115"/>
      <c r="N99" s="363" t="str">
        <f>IF(M99="","",IF(VLOOKUP(M99,'G-7 WaterC'' Data'!$AA$4:$AB$7,2,FALSE)=0,"Spatial Data Missing ⚠",VLOOKUP(M99,'G-7 WaterC'' Data'!$AA$4:$AB$7,2,FALSE)))</f>
        <v/>
      </c>
      <c r="O99" s="60"/>
      <c r="P99" s="363" t="str">
        <f>IF(O99="","",IF(VLOOKUP(O99,'G-7 WaterC'' Data'!$AD$4:$AE$14,2,FALSE)=0,"Spatial Data Missing ⚠",VLOOKUP(O99,'G-7 WaterC'' Data'!$AD$4:$AE$14,2,FALSE)))</f>
        <v/>
      </c>
      <c r="Q99" s="369" t="str">
        <f>IF(D99="","",VLOOKUP(D99,'G-7 WaterC'' Data'!$B$4:$G$8,6,FALSE))</f>
        <v/>
      </c>
      <c r="R99" s="376" t="str">
        <f>IFERROR(IF(D99="","",IF(AND(Q99='G-1 All Habitats'!$X$3,X99&gt;0),Y99+(Z99*T99),IF(AND(Q99='G-1 All Habitats'!$X$3,W99&gt;0),Y99+(Z99*T99),IF(AND(Q99='G-1 All Habitats'!$X$3,AH99&gt;0),"Any Loss Unacceptable ⚠",IF(AND(Q99='G-1 All Habitats'!$X$3,AI99&gt;0),"Any Loss Unacceptable ⚠", E99*G99*I99*L99*N99*P99*T99 ))))),"Check Data ▲")</f>
        <v/>
      </c>
      <c r="S99" s="516"/>
      <c r="T99" s="368" t="str">
        <f>IF(S99="","",IF(VLOOKUP(S99,'G-7 WaterC'' Data'!$AO$4:$BO$7,2,FALSE)=0,"Spatial Data Missing ⚠",VLOOKUP(S99,'G-7 WaterC'' Data'!$AO$4:$BO$7,2,FALSE)))</f>
        <v/>
      </c>
      <c r="U99" s="376" t="str">
        <f>IFERROR(IF(D99="","",IF(AND(Q99='G-1 All Habitats'!$X$3,X99&gt;0),Y99+Z99,IF(AND(Q99='G-1 All Habitats'!$X$3,W99&gt;0),Y99+Z99,IF(AND(Q99='G-1 All Habitats'!$X$3,AH99&gt;0),"Any Loss Unacceptable ⚠",IF(AND(Q99='G-1 All Habitats'!$X$3,AI99&gt;0),"Any Loss Unacceptable ⚠", E99*G99*I99*L99*N99*P99 ))))),"Check Data ▲")</f>
        <v/>
      </c>
      <c r="V99" s="32"/>
      <c r="W99" s="114"/>
      <c r="X99" s="125"/>
      <c r="Y99" s="374" t="str">
        <f t="shared" si="8"/>
        <v/>
      </c>
      <c r="Z99" s="374" t="str">
        <f t="shared" si="9"/>
        <v/>
      </c>
      <c r="AA99" s="374" t="str">
        <f t="shared" si="10"/>
        <v/>
      </c>
      <c r="AB99" s="670" t="str">
        <f t="shared" si="11"/>
        <v/>
      </c>
      <c r="AC99" s="516"/>
      <c r="AD99" s="119"/>
      <c r="AE99" s="120"/>
      <c r="AF99" s="120"/>
      <c r="AG99" s="120"/>
      <c r="AH99" s="57" t="str">
        <f>IF(Q99="","",IF(Q99='G-1 All Habitats'!$X$3,E99-X99-W99,"None"))</f>
        <v/>
      </c>
      <c r="AI99" s="58" t="str">
        <f>IF(Q99="","", IF(Q99='G-1 All Habitats'!$X$3, AH99*G99*I99*L99*N99*P99,"None"))</f>
        <v/>
      </c>
      <c r="AJ99" s="30" t="str">
        <f>IFERROR(INDEX('G-7 WaterC'' Data'!$AZ$3:$AZ$7,MATCH(D99,'G-7 WaterC'' Data'!$AY$3:$AY$7,0)),"")</f>
        <v/>
      </c>
      <c r="AK99" s="30">
        <f t="shared" si="12"/>
        <v>0</v>
      </c>
      <c r="AL99" s="124" t="str">
        <f t="shared" si="13"/>
        <v/>
      </c>
      <c r="AM99" s="124" t="str">
        <f t="shared" si="14"/>
        <v/>
      </c>
      <c r="AO99" s="124">
        <v>90</v>
      </c>
      <c r="AQ99" s="124" t="str">
        <f t="array" ref="AQ99">IFERROR(INDEX($AO$10:$AO$258, MATCH(0, IF(TRUE=$AL$10:$AL$258, COUNTIF($AQ$9:$AQ98, $AO$10:$AO$258), ""), 0)),"")</f>
        <v/>
      </c>
      <c r="AR99" s="124" t="str">
        <f t="array" ref="AR99">IFERROR(INDEX($AO$10:$AO$258, MATCH(0, IF(TRUE=$AM$10:$AM$258, COUNTIF($AR$9:$AR98, $AO$10:$AO$258), ""), 0)),"")</f>
        <v/>
      </c>
      <c r="AZ99" s="802" t="str">
        <f t="shared" si="15"/>
        <v/>
      </c>
    </row>
    <row r="100" spans="3:52" ht="15.75" thickBot="1">
      <c r="C100" s="110">
        <v>91</v>
      </c>
      <c r="D100" s="340"/>
      <c r="E100" s="121"/>
      <c r="F100" s="362" t="str">
        <f>IF(D100="","",VLOOKUP(D100,'G-7 WaterC'' Data'!$B$2:$G$8,2,FALSE))</f>
        <v/>
      </c>
      <c r="G100" s="363" t="str">
        <f>IFERROR(VLOOKUP(F100,'G-7 WaterC'' Data'!$C$4:$D$8,2,FALSE),"")</f>
        <v/>
      </c>
      <c r="H100" s="114"/>
      <c r="I100" s="363" t="str">
        <f>IFERROR(INDEX('G-7 WaterC'' Data'!$H$4:$L$8,MATCH(D100,'G-7 WaterC'' Data'!$B$4:$B$8,0),MATCH(H100,'G-7 WaterC'' Data'!$H$3:$L$3,0)),"")</f>
        <v/>
      </c>
      <c r="J100" s="115"/>
      <c r="K100" s="382" t="str">
        <f>IF(J100="","",IF(VLOOKUP(J100,'G-7 WaterC'' Data'!$AK$4:$AM$9,2,FALSE)=0,"Spatial Data Missing ⚠",VLOOKUP(J100,'G-7 WaterC'' Data'!$AK$4:$AM$6,2,FALSE)))</f>
        <v/>
      </c>
      <c r="L100" s="386" t="str">
        <f>IF(J100="","",IF(VLOOKUP(J100,'G-7 WaterC'' Data'!$AK$4:$AM$9,3,FALSE)=0,"Spatial Data Missing ⚠",VLOOKUP(J100,'G-7 WaterC'' Data'!$AK$4:$AM$6,3,FALSE)))</f>
        <v/>
      </c>
      <c r="M100" s="115"/>
      <c r="N100" s="363" t="str">
        <f>IF(M100="","",IF(VLOOKUP(M100,'G-7 WaterC'' Data'!$AA$4:$AB$7,2,FALSE)=0,"Spatial Data Missing ⚠",VLOOKUP(M100,'G-7 WaterC'' Data'!$AA$4:$AB$7,2,FALSE)))</f>
        <v/>
      </c>
      <c r="O100" s="60"/>
      <c r="P100" s="363" t="str">
        <f>IF(O100="","",IF(VLOOKUP(O100,'G-7 WaterC'' Data'!$AD$4:$AE$14,2,FALSE)=0,"Spatial Data Missing ⚠",VLOOKUP(O100,'G-7 WaterC'' Data'!$AD$4:$AE$14,2,FALSE)))</f>
        <v/>
      </c>
      <c r="Q100" s="369" t="str">
        <f>IF(D100="","",VLOOKUP(D100,'G-7 WaterC'' Data'!$B$4:$G$8,6,FALSE))</f>
        <v/>
      </c>
      <c r="R100" s="376" t="str">
        <f>IFERROR(IF(D100="","",IF(AND(Q100='G-1 All Habitats'!$X$3,X100&gt;0),Y100+(Z100*T100),IF(AND(Q100='G-1 All Habitats'!$X$3,W100&gt;0),Y100+(Z100*T100),IF(AND(Q100='G-1 All Habitats'!$X$3,AH100&gt;0),"Any Loss Unacceptable ⚠",IF(AND(Q100='G-1 All Habitats'!$X$3,AI100&gt;0),"Any Loss Unacceptable ⚠", E100*G100*I100*L100*N100*P100*T100 ))))),"Check Data ▲")</f>
        <v/>
      </c>
      <c r="S100" s="516"/>
      <c r="T100" s="368" t="str">
        <f>IF(S100="","",IF(VLOOKUP(S100,'G-7 WaterC'' Data'!$AO$4:$BO$7,2,FALSE)=0,"Spatial Data Missing ⚠",VLOOKUP(S100,'G-7 WaterC'' Data'!$AO$4:$BO$7,2,FALSE)))</f>
        <v/>
      </c>
      <c r="U100" s="376" t="str">
        <f>IFERROR(IF(D100="","",IF(AND(Q100='G-1 All Habitats'!$X$3,X100&gt;0),Y100+Z100,IF(AND(Q100='G-1 All Habitats'!$X$3,W100&gt;0),Y100+Z100,IF(AND(Q100='G-1 All Habitats'!$X$3,AH100&gt;0),"Any Loss Unacceptable ⚠",IF(AND(Q100='G-1 All Habitats'!$X$3,AI100&gt;0),"Any Loss Unacceptable ⚠", E100*G100*I100*L100*N100*P100 ))))),"Check Data ▲")</f>
        <v/>
      </c>
      <c r="V100" s="32"/>
      <c r="W100" s="114"/>
      <c r="X100" s="125"/>
      <c r="Y100" s="374" t="str">
        <f t="shared" si="8"/>
        <v/>
      </c>
      <c r="Z100" s="374" t="str">
        <f t="shared" si="9"/>
        <v/>
      </c>
      <c r="AA100" s="374" t="str">
        <f t="shared" si="10"/>
        <v/>
      </c>
      <c r="AB100" s="670" t="str">
        <f t="shared" si="11"/>
        <v/>
      </c>
      <c r="AC100" s="516"/>
      <c r="AD100" s="119"/>
      <c r="AE100" s="120"/>
      <c r="AF100" s="120"/>
      <c r="AG100" s="120"/>
      <c r="AH100" s="57" t="str">
        <f>IF(Q100="","",IF(Q100='G-1 All Habitats'!$X$3,E100-X100-W100,"None"))</f>
        <v/>
      </c>
      <c r="AI100" s="58" t="str">
        <f>IF(Q100="","", IF(Q100='G-1 All Habitats'!$X$3, AH100*G100*I100*L100*N100*P100,"None"))</f>
        <v/>
      </c>
      <c r="AJ100" s="30" t="str">
        <f>IFERROR(INDEX('G-7 WaterC'' Data'!$AZ$3:$AZ$7,MATCH(D100,'G-7 WaterC'' Data'!$AY$3:$AY$7,0)),"")</f>
        <v/>
      </c>
      <c r="AK100" s="30">
        <f t="shared" si="12"/>
        <v>0</v>
      </c>
      <c r="AL100" s="124" t="str">
        <f t="shared" si="13"/>
        <v/>
      </c>
      <c r="AM100" s="124" t="str">
        <f t="shared" si="14"/>
        <v/>
      </c>
      <c r="AO100" s="124">
        <v>91</v>
      </c>
      <c r="AQ100" s="124" t="str">
        <f t="array" ref="AQ100">IFERROR(INDEX($AO$10:$AO$258, MATCH(0, IF(TRUE=$AL$10:$AL$258, COUNTIF($AQ$9:$AQ99, $AO$10:$AO$258), ""), 0)),"")</f>
        <v/>
      </c>
      <c r="AR100" s="124" t="str">
        <f t="array" ref="AR100">IFERROR(INDEX($AO$10:$AO$258, MATCH(0, IF(TRUE=$AM$10:$AM$258, COUNTIF($AR$9:$AR99, $AO$10:$AO$258), ""), 0)),"")</f>
        <v/>
      </c>
      <c r="AZ100" s="802" t="str">
        <f t="shared" si="15"/>
        <v/>
      </c>
    </row>
    <row r="101" spans="3:52" ht="15.75" thickBot="1">
      <c r="C101" s="110">
        <v>92</v>
      </c>
      <c r="D101" s="340"/>
      <c r="E101" s="121"/>
      <c r="F101" s="362" t="str">
        <f>IF(D101="","",VLOOKUP(D101,'G-7 WaterC'' Data'!$B$2:$G$8,2,FALSE))</f>
        <v/>
      </c>
      <c r="G101" s="363" t="str">
        <f>IFERROR(VLOOKUP(F101,'G-7 WaterC'' Data'!$C$4:$D$8,2,FALSE),"")</f>
        <v/>
      </c>
      <c r="H101" s="114"/>
      <c r="I101" s="363" t="str">
        <f>IFERROR(INDEX('G-7 WaterC'' Data'!$H$4:$L$8,MATCH(D101,'G-7 WaterC'' Data'!$B$4:$B$8,0),MATCH(H101,'G-7 WaterC'' Data'!$H$3:$L$3,0)),"")</f>
        <v/>
      </c>
      <c r="J101" s="115"/>
      <c r="K101" s="382" t="str">
        <f>IF(J101="","",IF(VLOOKUP(J101,'G-7 WaterC'' Data'!$AK$4:$AM$9,2,FALSE)=0,"Spatial Data Missing ⚠",VLOOKUP(J101,'G-7 WaterC'' Data'!$AK$4:$AM$6,2,FALSE)))</f>
        <v/>
      </c>
      <c r="L101" s="386" t="str">
        <f>IF(J101="","",IF(VLOOKUP(J101,'G-7 WaterC'' Data'!$AK$4:$AM$9,3,FALSE)=0,"Spatial Data Missing ⚠",VLOOKUP(J101,'G-7 WaterC'' Data'!$AK$4:$AM$6,3,FALSE)))</f>
        <v/>
      </c>
      <c r="M101" s="115"/>
      <c r="N101" s="363" t="str">
        <f>IF(M101="","",IF(VLOOKUP(M101,'G-7 WaterC'' Data'!$AA$4:$AB$7,2,FALSE)=0,"Spatial Data Missing ⚠",VLOOKUP(M101,'G-7 WaterC'' Data'!$AA$4:$AB$7,2,FALSE)))</f>
        <v/>
      </c>
      <c r="O101" s="60"/>
      <c r="P101" s="363" t="str">
        <f>IF(O101="","",IF(VLOOKUP(O101,'G-7 WaterC'' Data'!$AD$4:$AE$14,2,FALSE)=0,"Spatial Data Missing ⚠",VLOOKUP(O101,'G-7 WaterC'' Data'!$AD$4:$AE$14,2,FALSE)))</f>
        <v/>
      </c>
      <c r="Q101" s="369" t="str">
        <f>IF(D101="","",VLOOKUP(D101,'G-7 WaterC'' Data'!$B$4:$G$8,6,FALSE))</f>
        <v/>
      </c>
      <c r="R101" s="376" t="str">
        <f>IFERROR(IF(D101="","",IF(AND(Q101='G-1 All Habitats'!$X$3,X101&gt;0),Y101+(Z101*T101),IF(AND(Q101='G-1 All Habitats'!$X$3,W101&gt;0),Y101+(Z101*T101),IF(AND(Q101='G-1 All Habitats'!$X$3,AH101&gt;0),"Any Loss Unacceptable ⚠",IF(AND(Q101='G-1 All Habitats'!$X$3,AI101&gt;0),"Any Loss Unacceptable ⚠", E101*G101*I101*L101*N101*P101*T101 ))))),"Check Data ▲")</f>
        <v/>
      </c>
      <c r="S101" s="516"/>
      <c r="T101" s="368" t="str">
        <f>IF(S101="","",IF(VLOOKUP(S101,'G-7 WaterC'' Data'!$AO$4:$BO$7,2,FALSE)=0,"Spatial Data Missing ⚠",VLOOKUP(S101,'G-7 WaterC'' Data'!$AO$4:$BO$7,2,FALSE)))</f>
        <v/>
      </c>
      <c r="U101" s="376" t="str">
        <f>IFERROR(IF(D101="","",IF(AND(Q101='G-1 All Habitats'!$X$3,X101&gt;0),Y101+Z101,IF(AND(Q101='G-1 All Habitats'!$X$3,W101&gt;0),Y101+Z101,IF(AND(Q101='G-1 All Habitats'!$X$3,AH101&gt;0),"Any Loss Unacceptable ⚠",IF(AND(Q101='G-1 All Habitats'!$X$3,AI101&gt;0),"Any Loss Unacceptable ⚠", E101*G101*I101*L101*N101*P101 ))))),"Check Data ▲")</f>
        <v/>
      </c>
      <c r="V101" s="32"/>
      <c r="W101" s="114"/>
      <c r="X101" s="125"/>
      <c r="Y101" s="374" t="str">
        <f t="shared" si="8"/>
        <v/>
      </c>
      <c r="Z101" s="374" t="str">
        <f t="shared" si="9"/>
        <v/>
      </c>
      <c r="AA101" s="374" t="str">
        <f t="shared" si="10"/>
        <v/>
      </c>
      <c r="AB101" s="670" t="str">
        <f t="shared" si="11"/>
        <v/>
      </c>
      <c r="AC101" s="516"/>
      <c r="AD101" s="119"/>
      <c r="AE101" s="120"/>
      <c r="AF101" s="120"/>
      <c r="AG101" s="120"/>
      <c r="AH101" s="57" t="str">
        <f>IF(Q101="","",IF(Q101='G-1 All Habitats'!$X$3,E101-X101-W101,"None"))</f>
        <v/>
      </c>
      <c r="AI101" s="58" t="str">
        <f>IF(Q101="","", IF(Q101='G-1 All Habitats'!$X$3, AH101*G101*I101*L101*N101*P101,"None"))</f>
        <v/>
      </c>
      <c r="AJ101" s="30" t="str">
        <f>IFERROR(INDEX('G-7 WaterC'' Data'!$AZ$3:$AZ$7,MATCH(D101,'G-7 WaterC'' Data'!$AY$3:$AY$7,0)),"")</f>
        <v/>
      </c>
      <c r="AK101" s="30">
        <f t="shared" si="12"/>
        <v>0</v>
      </c>
      <c r="AL101" s="124" t="str">
        <f t="shared" si="13"/>
        <v/>
      </c>
      <c r="AM101" s="124" t="str">
        <f t="shared" si="14"/>
        <v/>
      </c>
      <c r="AO101" s="124">
        <v>92</v>
      </c>
      <c r="AQ101" s="124" t="str">
        <f t="array" ref="AQ101">IFERROR(INDEX($AO$10:$AO$258, MATCH(0, IF(TRUE=$AL$10:$AL$258, COUNTIF($AQ$9:$AQ100, $AO$10:$AO$258), ""), 0)),"")</f>
        <v/>
      </c>
      <c r="AR101" s="124" t="str">
        <f t="array" ref="AR101">IFERROR(INDEX($AO$10:$AO$258, MATCH(0, IF(TRUE=$AM$10:$AM$258, COUNTIF($AR$9:$AR100, $AO$10:$AO$258), ""), 0)),"")</f>
        <v/>
      </c>
      <c r="AZ101" s="802" t="str">
        <f t="shared" si="15"/>
        <v/>
      </c>
    </row>
    <row r="102" spans="3:52" ht="15.75" thickBot="1">
      <c r="C102" s="110">
        <v>93</v>
      </c>
      <c r="D102" s="340"/>
      <c r="E102" s="121"/>
      <c r="F102" s="362" t="str">
        <f>IF(D102="","",VLOOKUP(D102,'G-7 WaterC'' Data'!$B$2:$G$8,2,FALSE))</f>
        <v/>
      </c>
      <c r="G102" s="363" t="str">
        <f>IFERROR(VLOOKUP(F102,'G-7 WaterC'' Data'!$C$4:$D$8,2,FALSE),"")</f>
        <v/>
      </c>
      <c r="H102" s="114"/>
      <c r="I102" s="363" t="str">
        <f>IFERROR(INDEX('G-7 WaterC'' Data'!$H$4:$L$8,MATCH(D102,'G-7 WaterC'' Data'!$B$4:$B$8,0),MATCH(H102,'G-7 WaterC'' Data'!$H$3:$L$3,0)),"")</f>
        <v/>
      </c>
      <c r="J102" s="115"/>
      <c r="K102" s="382" t="str">
        <f>IF(J102="","",IF(VLOOKUP(J102,'G-7 WaterC'' Data'!$AK$4:$AM$9,2,FALSE)=0,"Spatial Data Missing ⚠",VLOOKUP(J102,'G-7 WaterC'' Data'!$AK$4:$AM$6,2,FALSE)))</f>
        <v/>
      </c>
      <c r="L102" s="386" t="str">
        <f>IF(J102="","",IF(VLOOKUP(J102,'G-7 WaterC'' Data'!$AK$4:$AM$9,3,FALSE)=0,"Spatial Data Missing ⚠",VLOOKUP(J102,'G-7 WaterC'' Data'!$AK$4:$AM$6,3,FALSE)))</f>
        <v/>
      </c>
      <c r="M102" s="115"/>
      <c r="N102" s="363" t="str">
        <f>IF(M102="","",IF(VLOOKUP(M102,'G-7 WaterC'' Data'!$AA$4:$AB$7,2,FALSE)=0,"Spatial Data Missing ⚠",VLOOKUP(M102,'G-7 WaterC'' Data'!$AA$4:$AB$7,2,FALSE)))</f>
        <v/>
      </c>
      <c r="O102" s="60"/>
      <c r="P102" s="363" t="str">
        <f>IF(O102="","",IF(VLOOKUP(O102,'G-7 WaterC'' Data'!$AD$4:$AE$14,2,FALSE)=0,"Spatial Data Missing ⚠",VLOOKUP(O102,'G-7 WaterC'' Data'!$AD$4:$AE$14,2,FALSE)))</f>
        <v/>
      </c>
      <c r="Q102" s="369" t="str">
        <f>IF(D102="","",VLOOKUP(D102,'G-7 WaterC'' Data'!$B$4:$G$8,6,FALSE))</f>
        <v/>
      </c>
      <c r="R102" s="376" t="str">
        <f>IFERROR(IF(D102="","",IF(AND(Q102='G-1 All Habitats'!$X$3,X102&gt;0),Y102+(Z102*T102),IF(AND(Q102='G-1 All Habitats'!$X$3,W102&gt;0),Y102+(Z102*T102),IF(AND(Q102='G-1 All Habitats'!$X$3,AH102&gt;0),"Any Loss Unacceptable ⚠",IF(AND(Q102='G-1 All Habitats'!$X$3,AI102&gt;0),"Any Loss Unacceptable ⚠", E102*G102*I102*L102*N102*P102*T102 ))))),"Check Data ▲")</f>
        <v/>
      </c>
      <c r="S102" s="516"/>
      <c r="T102" s="368" t="str">
        <f>IF(S102="","",IF(VLOOKUP(S102,'G-7 WaterC'' Data'!$AO$4:$BO$7,2,FALSE)=0,"Spatial Data Missing ⚠",VLOOKUP(S102,'G-7 WaterC'' Data'!$AO$4:$BO$7,2,FALSE)))</f>
        <v/>
      </c>
      <c r="U102" s="376" t="str">
        <f>IFERROR(IF(D102="","",IF(AND(Q102='G-1 All Habitats'!$X$3,X102&gt;0),Y102+Z102,IF(AND(Q102='G-1 All Habitats'!$X$3,W102&gt;0),Y102+Z102,IF(AND(Q102='G-1 All Habitats'!$X$3,AH102&gt;0),"Any Loss Unacceptable ⚠",IF(AND(Q102='G-1 All Habitats'!$X$3,AI102&gt;0),"Any Loss Unacceptable ⚠", E102*G102*I102*L102*N102*P102 ))))),"Check Data ▲")</f>
        <v/>
      </c>
      <c r="V102" s="32"/>
      <c r="W102" s="114"/>
      <c r="X102" s="125"/>
      <c r="Y102" s="374" t="str">
        <f t="shared" si="8"/>
        <v/>
      </c>
      <c r="Z102" s="374" t="str">
        <f t="shared" si="9"/>
        <v/>
      </c>
      <c r="AA102" s="374" t="str">
        <f t="shared" si="10"/>
        <v/>
      </c>
      <c r="AB102" s="670" t="str">
        <f t="shared" si="11"/>
        <v/>
      </c>
      <c r="AC102" s="516"/>
      <c r="AD102" s="119"/>
      <c r="AE102" s="120"/>
      <c r="AF102" s="120"/>
      <c r="AG102" s="120"/>
      <c r="AH102" s="57" t="str">
        <f>IF(Q102="","",IF(Q102='G-1 All Habitats'!$X$3,E102-X102-W102,"None"))</f>
        <v/>
      </c>
      <c r="AI102" s="58" t="str">
        <f>IF(Q102="","", IF(Q102='G-1 All Habitats'!$X$3, AH102*G102*I102*L102*N102*P102,"None"))</f>
        <v/>
      </c>
      <c r="AJ102" s="30" t="str">
        <f>IFERROR(INDEX('G-7 WaterC'' Data'!$AZ$3:$AZ$7,MATCH(D102,'G-7 WaterC'' Data'!$AY$3:$AY$7,0)),"")</f>
        <v/>
      </c>
      <c r="AK102" s="30">
        <f t="shared" si="12"/>
        <v>0</v>
      </c>
      <c r="AL102" s="124" t="str">
        <f t="shared" si="13"/>
        <v/>
      </c>
      <c r="AM102" s="124" t="str">
        <f t="shared" si="14"/>
        <v/>
      </c>
      <c r="AO102" s="124">
        <v>93</v>
      </c>
      <c r="AQ102" s="124" t="str">
        <f t="array" ref="AQ102">IFERROR(INDEX($AO$10:$AO$258, MATCH(0, IF(TRUE=$AL$10:$AL$258, COUNTIF($AQ$9:$AQ101, $AO$10:$AO$258), ""), 0)),"")</f>
        <v/>
      </c>
      <c r="AR102" s="124" t="str">
        <f t="array" ref="AR102">IFERROR(INDEX($AO$10:$AO$258, MATCH(0, IF(TRUE=$AM$10:$AM$258, COUNTIF($AR$9:$AR101, $AO$10:$AO$258), ""), 0)),"")</f>
        <v/>
      </c>
      <c r="AZ102" s="802" t="str">
        <f t="shared" si="15"/>
        <v/>
      </c>
    </row>
    <row r="103" spans="3:52" ht="15.75" thickBot="1">
      <c r="C103" s="110">
        <v>94</v>
      </c>
      <c r="D103" s="340"/>
      <c r="E103" s="121"/>
      <c r="F103" s="362" t="str">
        <f>IF(D103="","",VLOOKUP(D103,'G-7 WaterC'' Data'!$B$2:$G$8,2,FALSE))</f>
        <v/>
      </c>
      <c r="G103" s="363" t="str">
        <f>IFERROR(VLOOKUP(F103,'G-7 WaterC'' Data'!$C$4:$D$8,2,FALSE),"")</f>
        <v/>
      </c>
      <c r="H103" s="114"/>
      <c r="I103" s="363" t="str">
        <f>IFERROR(INDEX('G-7 WaterC'' Data'!$H$4:$L$8,MATCH(D103,'G-7 WaterC'' Data'!$B$4:$B$8,0),MATCH(H103,'G-7 WaterC'' Data'!$H$3:$L$3,0)),"")</f>
        <v/>
      </c>
      <c r="J103" s="115"/>
      <c r="K103" s="382" t="str">
        <f>IF(J103="","",IF(VLOOKUP(J103,'G-7 WaterC'' Data'!$AK$4:$AM$9,2,FALSE)=0,"Spatial Data Missing ⚠",VLOOKUP(J103,'G-7 WaterC'' Data'!$AK$4:$AM$6,2,FALSE)))</f>
        <v/>
      </c>
      <c r="L103" s="386" t="str">
        <f>IF(J103="","",IF(VLOOKUP(J103,'G-7 WaterC'' Data'!$AK$4:$AM$9,3,FALSE)=0,"Spatial Data Missing ⚠",VLOOKUP(J103,'G-7 WaterC'' Data'!$AK$4:$AM$6,3,FALSE)))</f>
        <v/>
      </c>
      <c r="M103" s="115"/>
      <c r="N103" s="363" t="str">
        <f>IF(M103="","",IF(VLOOKUP(M103,'G-7 WaterC'' Data'!$AA$4:$AB$7,2,FALSE)=0,"Spatial Data Missing ⚠",VLOOKUP(M103,'G-7 WaterC'' Data'!$AA$4:$AB$7,2,FALSE)))</f>
        <v/>
      </c>
      <c r="O103" s="60"/>
      <c r="P103" s="363" t="str">
        <f>IF(O103="","",IF(VLOOKUP(O103,'G-7 WaterC'' Data'!$AD$4:$AE$14,2,FALSE)=0,"Spatial Data Missing ⚠",VLOOKUP(O103,'G-7 WaterC'' Data'!$AD$4:$AE$14,2,FALSE)))</f>
        <v/>
      </c>
      <c r="Q103" s="369" t="str">
        <f>IF(D103="","",VLOOKUP(D103,'G-7 WaterC'' Data'!$B$4:$G$8,6,FALSE))</f>
        <v/>
      </c>
      <c r="R103" s="376" t="str">
        <f>IFERROR(IF(D103="","",IF(AND(Q103='G-1 All Habitats'!$X$3,X103&gt;0),Y103+(Z103*T103),IF(AND(Q103='G-1 All Habitats'!$X$3,W103&gt;0),Y103+(Z103*T103),IF(AND(Q103='G-1 All Habitats'!$X$3,AH103&gt;0),"Any Loss Unacceptable ⚠",IF(AND(Q103='G-1 All Habitats'!$X$3,AI103&gt;0),"Any Loss Unacceptable ⚠", E103*G103*I103*L103*N103*P103*T103 ))))),"Check Data ▲")</f>
        <v/>
      </c>
      <c r="S103" s="516"/>
      <c r="T103" s="368" t="str">
        <f>IF(S103="","",IF(VLOOKUP(S103,'G-7 WaterC'' Data'!$AO$4:$BO$7,2,FALSE)=0,"Spatial Data Missing ⚠",VLOOKUP(S103,'G-7 WaterC'' Data'!$AO$4:$BO$7,2,FALSE)))</f>
        <v/>
      </c>
      <c r="U103" s="376" t="str">
        <f>IFERROR(IF(D103="","",IF(AND(Q103='G-1 All Habitats'!$X$3,X103&gt;0),Y103+Z103,IF(AND(Q103='G-1 All Habitats'!$X$3,W103&gt;0),Y103+Z103,IF(AND(Q103='G-1 All Habitats'!$X$3,AH103&gt;0),"Any Loss Unacceptable ⚠",IF(AND(Q103='G-1 All Habitats'!$X$3,AI103&gt;0),"Any Loss Unacceptable ⚠", E103*G103*I103*L103*N103*P103 ))))),"Check Data ▲")</f>
        <v/>
      </c>
      <c r="V103" s="32"/>
      <c r="W103" s="114"/>
      <c r="X103" s="125"/>
      <c r="Y103" s="374" t="str">
        <f t="shared" si="8"/>
        <v/>
      </c>
      <c r="Z103" s="374" t="str">
        <f t="shared" si="9"/>
        <v/>
      </c>
      <c r="AA103" s="374" t="str">
        <f t="shared" si="10"/>
        <v/>
      </c>
      <c r="AB103" s="670" t="str">
        <f t="shared" si="11"/>
        <v/>
      </c>
      <c r="AC103" s="516"/>
      <c r="AD103" s="119"/>
      <c r="AE103" s="120"/>
      <c r="AF103" s="120"/>
      <c r="AG103" s="120"/>
      <c r="AH103" s="57" t="str">
        <f>IF(Q103="","",IF(Q103='G-1 All Habitats'!$X$3,E103-X103-W103,"None"))</f>
        <v/>
      </c>
      <c r="AI103" s="58" t="str">
        <f>IF(Q103="","", IF(Q103='G-1 All Habitats'!$X$3, AH103*G103*I103*L103*N103*P103,"None"))</f>
        <v/>
      </c>
      <c r="AJ103" s="30" t="str">
        <f>IFERROR(INDEX('G-7 WaterC'' Data'!$AZ$3:$AZ$7,MATCH(D103,'G-7 WaterC'' Data'!$AY$3:$AY$7,0)),"")</f>
        <v/>
      </c>
      <c r="AK103" s="30">
        <f t="shared" si="12"/>
        <v>0</v>
      </c>
      <c r="AL103" s="124" t="str">
        <f t="shared" si="13"/>
        <v/>
      </c>
      <c r="AM103" s="124" t="str">
        <f t="shared" si="14"/>
        <v/>
      </c>
      <c r="AO103" s="124">
        <v>94</v>
      </c>
      <c r="AQ103" s="124" t="str">
        <f t="array" ref="AQ103">IFERROR(INDEX($AO$10:$AO$258, MATCH(0, IF(TRUE=$AL$10:$AL$258, COUNTIF($AQ$9:$AQ102, $AO$10:$AO$258), ""), 0)),"")</f>
        <v/>
      </c>
      <c r="AR103" s="124" t="str">
        <f t="array" ref="AR103">IFERROR(INDEX($AO$10:$AO$258, MATCH(0, IF(TRUE=$AM$10:$AM$258, COUNTIF($AR$9:$AR102, $AO$10:$AO$258), ""), 0)),"")</f>
        <v/>
      </c>
      <c r="AZ103" s="802" t="str">
        <f t="shared" si="15"/>
        <v/>
      </c>
    </row>
    <row r="104" spans="3:52" ht="15.75" thickBot="1">
      <c r="C104" s="110">
        <v>95</v>
      </c>
      <c r="D104" s="340"/>
      <c r="E104" s="121"/>
      <c r="F104" s="362" t="str">
        <f>IF(D104="","",VLOOKUP(D104,'G-7 WaterC'' Data'!$B$2:$G$8,2,FALSE))</f>
        <v/>
      </c>
      <c r="G104" s="363" t="str">
        <f>IFERROR(VLOOKUP(F104,'G-7 WaterC'' Data'!$C$4:$D$8,2,FALSE),"")</f>
        <v/>
      </c>
      <c r="H104" s="114"/>
      <c r="I104" s="363" t="str">
        <f>IFERROR(INDEX('G-7 WaterC'' Data'!$H$4:$L$8,MATCH(D104,'G-7 WaterC'' Data'!$B$4:$B$8,0),MATCH(H104,'G-7 WaterC'' Data'!$H$3:$L$3,0)),"")</f>
        <v/>
      </c>
      <c r="J104" s="115"/>
      <c r="K104" s="382" t="str">
        <f>IF(J104="","",IF(VLOOKUP(J104,'G-7 WaterC'' Data'!$AK$4:$AM$9,2,FALSE)=0,"Spatial Data Missing ⚠",VLOOKUP(J104,'G-7 WaterC'' Data'!$AK$4:$AM$6,2,FALSE)))</f>
        <v/>
      </c>
      <c r="L104" s="386" t="str">
        <f>IF(J104="","",IF(VLOOKUP(J104,'G-7 WaterC'' Data'!$AK$4:$AM$9,3,FALSE)=0,"Spatial Data Missing ⚠",VLOOKUP(J104,'G-7 WaterC'' Data'!$AK$4:$AM$6,3,FALSE)))</f>
        <v/>
      </c>
      <c r="M104" s="115"/>
      <c r="N104" s="363" t="str">
        <f>IF(M104="","",IF(VLOOKUP(M104,'G-7 WaterC'' Data'!$AA$4:$AB$7,2,FALSE)=0,"Spatial Data Missing ⚠",VLOOKUP(M104,'G-7 WaterC'' Data'!$AA$4:$AB$7,2,FALSE)))</f>
        <v/>
      </c>
      <c r="O104" s="60"/>
      <c r="P104" s="363" t="str">
        <f>IF(O104="","",IF(VLOOKUP(O104,'G-7 WaterC'' Data'!$AD$4:$AE$14,2,FALSE)=0,"Spatial Data Missing ⚠",VLOOKUP(O104,'G-7 WaterC'' Data'!$AD$4:$AE$14,2,FALSE)))</f>
        <v/>
      </c>
      <c r="Q104" s="369" t="str">
        <f>IF(D104="","",VLOOKUP(D104,'G-7 WaterC'' Data'!$B$4:$G$8,6,FALSE))</f>
        <v/>
      </c>
      <c r="R104" s="376" t="str">
        <f>IFERROR(IF(D104="","",IF(AND(Q104='G-1 All Habitats'!$X$3,X104&gt;0),Y104+(Z104*T104),IF(AND(Q104='G-1 All Habitats'!$X$3,W104&gt;0),Y104+(Z104*T104),IF(AND(Q104='G-1 All Habitats'!$X$3,AH104&gt;0),"Any Loss Unacceptable ⚠",IF(AND(Q104='G-1 All Habitats'!$X$3,AI104&gt;0),"Any Loss Unacceptable ⚠", E104*G104*I104*L104*N104*P104*T104 ))))),"Check Data ▲")</f>
        <v/>
      </c>
      <c r="S104" s="516"/>
      <c r="T104" s="368" t="str">
        <f>IF(S104="","",IF(VLOOKUP(S104,'G-7 WaterC'' Data'!$AO$4:$BO$7,2,FALSE)=0,"Spatial Data Missing ⚠",VLOOKUP(S104,'G-7 WaterC'' Data'!$AO$4:$BO$7,2,FALSE)))</f>
        <v/>
      </c>
      <c r="U104" s="376" t="str">
        <f>IFERROR(IF(D104="","",IF(AND(Q104='G-1 All Habitats'!$X$3,X104&gt;0),Y104+Z104,IF(AND(Q104='G-1 All Habitats'!$X$3,W104&gt;0),Y104+Z104,IF(AND(Q104='G-1 All Habitats'!$X$3,AH104&gt;0),"Any Loss Unacceptable ⚠",IF(AND(Q104='G-1 All Habitats'!$X$3,AI104&gt;0),"Any Loss Unacceptable ⚠", E104*G104*I104*L104*N104*P104 ))))),"Check Data ▲")</f>
        <v/>
      </c>
      <c r="V104" s="32"/>
      <c r="W104" s="114"/>
      <c r="X104" s="125"/>
      <c r="Y104" s="374" t="str">
        <f t="shared" si="8"/>
        <v/>
      </c>
      <c r="Z104" s="374" t="str">
        <f t="shared" si="9"/>
        <v/>
      </c>
      <c r="AA104" s="374" t="str">
        <f t="shared" si="10"/>
        <v/>
      </c>
      <c r="AB104" s="670" t="str">
        <f t="shared" si="11"/>
        <v/>
      </c>
      <c r="AC104" s="516"/>
      <c r="AD104" s="119"/>
      <c r="AE104" s="120"/>
      <c r="AF104" s="120"/>
      <c r="AG104" s="120"/>
      <c r="AH104" s="57" t="str">
        <f>IF(Q104="","",IF(Q104='G-1 All Habitats'!$X$3,E104-X104-W104,"None"))</f>
        <v/>
      </c>
      <c r="AI104" s="58" t="str">
        <f>IF(Q104="","", IF(Q104='G-1 All Habitats'!$X$3, AH104*G104*I104*L104*N104*P104,"None"))</f>
        <v/>
      </c>
      <c r="AJ104" s="30" t="str">
        <f>IFERROR(INDEX('G-7 WaterC'' Data'!$AZ$3:$AZ$7,MATCH(D104,'G-7 WaterC'' Data'!$AY$3:$AY$7,0)),"")</f>
        <v/>
      </c>
      <c r="AK104" s="30">
        <f t="shared" si="12"/>
        <v>0</v>
      </c>
      <c r="AL104" s="124" t="str">
        <f t="shared" si="13"/>
        <v/>
      </c>
      <c r="AM104" s="124" t="str">
        <f t="shared" si="14"/>
        <v/>
      </c>
      <c r="AO104" s="124">
        <v>95</v>
      </c>
      <c r="AQ104" s="124" t="str">
        <f t="array" ref="AQ104">IFERROR(INDEX($AO$10:$AO$258, MATCH(0, IF(TRUE=$AL$10:$AL$258, COUNTIF($AQ$9:$AQ103, $AO$10:$AO$258), ""), 0)),"")</f>
        <v/>
      </c>
      <c r="AR104" s="124" t="str">
        <f t="array" ref="AR104">IFERROR(INDEX($AO$10:$AO$258, MATCH(0, IF(TRUE=$AM$10:$AM$258, COUNTIF($AR$9:$AR103, $AO$10:$AO$258), ""), 0)),"")</f>
        <v/>
      </c>
      <c r="AZ104" s="802" t="str">
        <f t="shared" si="15"/>
        <v/>
      </c>
    </row>
    <row r="105" spans="3:52" ht="15.75" thickBot="1">
      <c r="C105" s="110">
        <v>96</v>
      </c>
      <c r="D105" s="340"/>
      <c r="E105" s="121"/>
      <c r="F105" s="362" t="str">
        <f>IF(D105="","",VLOOKUP(D105,'G-7 WaterC'' Data'!$B$2:$G$8,2,FALSE))</f>
        <v/>
      </c>
      <c r="G105" s="363" t="str">
        <f>IFERROR(VLOOKUP(F105,'G-7 WaterC'' Data'!$C$4:$D$8,2,FALSE),"")</f>
        <v/>
      </c>
      <c r="H105" s="114"/>
      <c r="I105" s="363" t="str">
        <f>IFERROR(INDEX('G-7 WaterC'' Data'!$H$4:$L$8,MATCH(D105,'G-7 WaterC'' Data'!$B$4:$B$8,0),MATCH(H105,'G-7 WaterC'' Data'!$H$3:$L$3,0)),"")</f>
        <v/>
      </c>
      <c r="J105" s="115"/>
      <c r="K105" s="382" t="str">
        <f>IF(J105="","",IF(VLOOKUP(J105,'G-7 WaterC'' Data'!$AK$4:$AM$9,2,FALSE)=0,"Spatial Data Missing ⚠",VLOOKUP(J105,'G-7 WaterC'' Data'!$AK$4:$AM$6,2,FALSE)))</f>
        <v/>
      </c>
      <c r="L105" s="386" t="str">
        <f>IF(J105="","",IF(VLOOKUP(J105,'G-7 WaterC'' Data'!$AK$4:$AM$9,3,FALSE)=0,"Spatial Data Missing ⚠",VLOOKUP(J105,'G-7 WaterC'' Data'!$AK$4:$AM$6,3,FALSE)))</f>
        <v/>
      </c>
      <c r="M105" s="115"/>
      <c r="N105" s="363" t="str">
        <f>IF(M105="","",IF(VLOOKUP(M105,'G-7 WaterC'' Data'!$AA$4:$AB$7,2,FALSE)=0,"Spatial Data Missing ⚠",VLOOKUP(M105,'G-7 WaterC'' Data'!$AA$4:$AB$7,2,FALSE)))</f>
        <v/>
      </c>
      <c r="O105" s="60"/>
      <c r="P105" s="363" t="str">
        <f>IF(O105="","",IF(VLOOKUP(O105,'G-7 WaterC'' Data'!$AD$4:$AE$14,2,FALSE)=0,"Spatial Data Missing ⚠",VLOOKUP(O105,'G-7 WaterC'' Data'!$AD$4:$AE$14,2,FALSE)))</f>
        <v/>
      </c>
      <c r="Q105" s="369" t="str">
        <f>IF(D105="","",VLOOKUP(D105,'G-7 WaterC'' Data'!$B$4:$G$8,6,FALSE))</f>
        <v/>
      </c>
      <c r="R105" s="376" t="str">
        <f>IFERROR(IF(D105="","",IF(AND(Q105='G-1 All Habitats'!$X$3,X105&gt;0),Y105+(Z105*T105),IF(AND(Q105='G-1 All Habitats'!$X$3,W105&gt;0),Y105+(Z105*T105),IF(AND(Q105='G-1 All Habitats'!$X$3,AH105&gt;0),"Any Loss Unacceptable ⚠",IF(AND(Q105='G-1 All Habitats'!$X$3,AI105&gt;0),"Any Loss Unacceptable ⚠", E105*G105*I105*L105*N105*P105*T105 ))))),"Check Data ▲")</f>
        <v/>
      </c>
      <c r="S105" s="516"/>
      <c r="T105" s="368" t="str">
        <f>IF(S105="","",IF(VLOOKUP(S105,'G-7 WaterC'' Data'!$AO$4:$BO$7,2,FALSE)=0,"Spatial Data Missing ⚠",VLOOKUP(S105,'G-7 WaterC'' Data'!$AO$4:$BO$7,2,FALSE)))</f>
        <v/>
      </c>
      <c r="U105" s="376" t="str">
        <f>IFERROR(IF(D105="","",IF(AND(Q105='G-1 All Habitats'!$X$3,X105&gt;0),Y105+Z105,IF(AND(Q105='G-1 All Habitats'!$X$3,W105&gt;0),Y105+Z105,IF(AND(Q105='G-1 All Habitats'!$X$3,AH105&gt;0),"Any Loss Unacceptable ⚠",IF(AND(Q105='G-1 All Habitats'!$X$3,AI105&gt;0),"Any Loss Unacceptable ⚠", E105*G105*I105*L105*N105*P105 ))))),"Check Data ▲")</f>
        <v/>
      </c>
      <c r="V105" s="32"/>
      <c r="W105" s="114"/>
      <c r="X105" s="125"/>
      <c r="Y105" s="374" t="str">
        <f t="shared" si="8"/>
        <v/>
      </c>
      <c r="Z105" s="374" t="str">
        <f t="shared" si="9"/>
        <v/>
      </c>
      <c r="AA105" s="374" t="str">
        <f t="shared" si="10"/>
        <v/>
      </c>
      <c r="AB105" s="670" t="str">
        <f t="shared" si="11"/>
        <v/>
      </c>
      <c r="AC105" s="516"/>
      <c r="AD105" s="119"/>
      <c r="AE105" s="120"/>
      <c r="AF105" s="120"/>
      <c r="AG105" s="120"/>
      <c r="AH105" s="57" t="str">
        <f>IF(Q105="","",IF(Q105='G-1 All Habitats'!$X$3,E105-X105-W105,"None"))</f>
        <v/>
      </c>
      <c r="AI105" s="58" t="str">
        <f>IF(Q105="","", IF(Q105='G-1 All Habitats'!$X$3, AH105*G105*I105*L105*N105*P105,"None"))</f>
        <v/>
      </c>
      <c r="AJ105" s="30" t="str">
        <f>IFERROR(INDEX('G-7 WaterC'' Data'!$AZ$3:$AZ$7,MATCH(D105,'G-7 WaterC'' Data'!$AY$3:$AY$7,0)),"")</f>
        <v/>
      </c>
      <c r="AK105" s="30">
        <f t="shared" si="12"/>
        <v>0</v>
      </c>
      <c r="AL105" s="124" t="str">
        <f t="shared" si="13"/>
        <v/>
      </c>
      <c r="AM105" s="124" t="str">
        <f t="shared" si="14"/>
        <v/>
      </c>
      <c r="AO105" s="124">
        <v>96</v>
      </c>
      <c r="AQ105" s="124" t="str">
        <f t="array" ref="AQ105">IFERROR(INDEX($AO$10:$AO$258, MATCH(0, IF(TRUE=$AL$10:$AL$258, COUNTIF($AQ$9:$AQ104, $AO$10:$AO$258), ""), 0)),"")</f>
        <v/>
      </c>
      <c r="AR105" s="124" t="str">
        <f t="array" ref="AR105">IFERROR(INDEX($AO$10:$AO$258, MATCH(0, IF(TRUE=$AM$10:$AM$258, COUNTIF($AR$9:$AR104, $AO$10:$AO$258), ""), 0)),"")</f>
        <v/>
      </c>
      <c r="AZ105" s="802" t="str">
        <f t="shared" si="15"/>
        <v/>
      </c>
    </row>
    <row r="106" spans="3:52" ht="15.75" thickBot="1">
      <c r="C106" s="110">
        <v>97</v>
      </c>
      <c r="D106" s="340"/>
      <c r="E106" s="121"/>
      <c r="F106" s="362" t="str">
        <f>IF(D106="","",VLOOKUP(D106,'G-7 WaterC'' Data'!$B$2:$G$8,2,FALSE))</f>
        <v/>
      </c>
      <c r="G106" s="363" t="str">
        <f>IFERROR(VLOOKUP(F106,'G-7 WaterC'' Data'!$C$4:$D$8,2,FALSE),"")</f>
        <v/>
      </c>
      <c r="H106" s="114"/>
      <c r="I106" s="363" t="str">
        <f>IFERROR(INDEX('G-7 WaterC'' Data'!$H$4:$L$8,MATCH(D106,'G-7 WaterC'' Data'!$B$4:$B$8,0),MATCH(H106,'G-7 WaterC'' Data'!$H$3:$L$3,0)),"")</f>
        <v/>
      </c>
      <c r="J106" s="115"/>
      <c r="K106" s="382" t="str">
        <f>IF(J106="","",IF(VLOOKUP(J106,'G-7 WaterC'' Data'!$AK$4:$AM$9,2,FALSE)=0,"Spatial Data Missing ⚠",VLOOKUP(J106,'G-7 WaterC'' Data'!$AK$4:$AM$6,2,FALSE)))</f>
        <v/>
      </c>
      <c r="L106" s="386" t="str">
        <f>IF(J106="","",IF(VLOOKUP(J106,'G-7 WaterC'' Data'!$AK$4:$AM$9,3,FALSE)=0,"Spatial Data Missing ⚠",VLOOKUP(J106,'G-7 WaterC'' Data'!$AK$4:$AM$6,3,FALSE)))</f>
        <v/>
      </c>
      <c r="M106" s="115"/>
      <c r="N106" s="363" t="str">
        <f>IF(M106="","",IF(VLOOKUP(M106,'G-7 WaterC'' Data'!$AA$4:$AB$7,2,FALSE)=0,"Spatial Data Missing ⚠",VLOOKUP(M106,'G-7 WaterC'' Data'!$AA$4:$AB$7,2,FALSE)))</f>
        <v/>
      </c>
      <c r="O106" s="60"/>
      <c r="P106" s="363" t="str">
        <f>IF(O106="","",IF(VLOOKUP(O106,'G-7 WaterC'' Data'!$AD$4:$AE$14,2,FALSE)=0,"Spatial Data Missing ⚠",VLOOKUP(O106,'G-7 WaterC'' Data'!$AD$4:$AE$14,2,FALSE)))</f>
        <v/>
      </c>
      <c r="Q106" s="369" t="str">
        <f>IF(D106="","",VLOOKUP(D106,'G-7 WaterC'' Data'!$B$4:$G$8,6,FALSE))</f>
        <v/>
      </c>
      <c r="R106" s="376" t="str">
        <f>IFERROR(IF(D106="","",IF(AND(Q106='G-1 All Habitats'!$X$3,X106&gt;0),Y106+(Z106*T106),IF(AND(Q106='G-1 All Habitats'!$X$3,W106&gt;0),Y106+(Z106*T106),IF(AND(Q106='G-1 All Habitats'!$X$3,AH106&gt;0),"Any Loss Unacceptable ⚠",IF(AND(Q106='G-1 All Habitats'!$X$3,AI106&gt;0),"Any Loss Unacceptable ⚠", E106*G106*I106*L106*N106*P106*T106 ))))),"Check Data ▲")</f>
        <v/>
      </c>
      <c r="S106" s="516"/>
      <c r="T106" s="368" t="str">
        <f>IF(S106="","",IF(VLOOKUP(S106,'G-7 WaterC'' Data'!$AO$4:$BO$7,2,FALSE)=0,"Spatial Data Missing ⚠",VLOOKUP(S106,'G-7 WaterC'' Data'!$AO$4:$BO$7,2,FALSE)))</f>
        <v/>
      </c>
      <c r="U106" s="376" t="str">
        <f>IFERROR(IF(D106="","",IF(AND(Q106='G-1 All Habitats'!$X$3,X106&gt;0),Y106+Z106,IF(AND(Q106='G-1 All Habitats'!$X$3,W106&gt;0),Y106+Z106,IF(AND(Q106='G-1 All Habitats'!$X$3,AH106&gt;0),"Any Loss Unacceptable ⚠",IF(AND(Q106='G-1 All Habitats'!$X$3,AI106&gt;0),"Any Loss Unacceptable ⚠", E106*G106*I106*L106*N106*P106 ))))),"Check Data ▲")</f>
        <v/>
      </c>
      <c r="V106" s="32"/>
      <c r="W106" s="114"/>
      <c r="X106" s="125"/>
      <c r="Y106" s="374" t="str">
        <f t="shared" si="8"/>
        <v/>
      </c>
      <c r="Z106" s="374" t="str">
        <f t="shared" si="9"/>
        <v/>
      </c>
      <c r="AA106" s="374" t="str">
        <f t="shared" si="10"/>
        <v/>
      </c>
      <c r="AB106" s="670" t="str">
        <f t="shared" si="11"/>
        <v/>
      </c>
      <c r="AC106" s="516"/>
      <c r="AD106" s="119"/>
      <c r="AE106" s="120"/>
      <c r="AF106" s="120"/>
      <c r="AG106" s="120"/>
      <c r="AH106" s="57" t="str">
        <f>IF(Q106="","",IF(Q106='G-1 All Habitats'!$X$3,E106-X106-W106,"None"))</f>
        <v/>
      </c>
      <c r="AI106" s="58" t="str">
        <f>IF(Q106="","", IF(Q106='G-1 All Habitats'!$X$3, AH106*G106*I106*L106*N106*P106,"None"))</f>
        <v/>
      </c>
      <c r="AJ106" s="30" t="str">
        <f>IFERROR(INDEX('G-7 WaterC'' Data'!$AZ$3:$AZ$7,MATCH(D106,'G-7 WaterC'' Data'!$AY$3:$AY$7,0)),"")</f>
        <v/>
      </c>
      <c r="AK106" s="30">
        <f t="shared" si="12"/>
        <v>0</v>
      </c>
      <c r="AL106" s="124" t="str">
        <f t="shared" si="13"/>
        <v/>
      </c>
      <c r="AM106" s="124" t="str">
        <f t="shared" si="14"/>
        <v/>
      </c>
      <c r="AO106" s="124">
        <v>97</v>
      </c>
      <c r="AQ106" s="124" t="str">
        <f t="array" ref="AQ106">IFERROR(INDEX($AO$10:$AO$258, MATCH(0, IF(TRUE=$AL$10:$AL$258, COUNTIF($AQ$9:$AQ105, $AO$10:$AO$258), ""), 0)),"")</f>
        <v/>
      </c>
      <c r="AR106" s="124" t="str">
        <f t="array" ref="AR106">IFERROR(INDEX($AO$10:$AO$258, MATCH(0, IF(TRUE=$AM$10:$AM$258, COUNTIF($AR$9:$AR105, $AO$10:$AO$258), ""), 0)),"")</f>
        <v/>
      </c>
      <c r="AZ106" s="802" t="str">
        <f t="shared" si="15"/>
        <v/>
      </c>
    </row>
    <row r="107" spans="3:52" ht="15.75" thickBot="1">
      <c r="C107" s="110">
        <v>98</v>
      </c>
      <c r="D107" s="340"/>
      <c r="E107" s="121"/>
      <c r="F107" s="362" t="str">
        <f>IF(D107="","",VLOOKUP(D107,'G-7 WaterC'' Data'!$B$2:$G$8,2,FALSE))</f>
        <v/>
      </c>
      <c r="G107" s="363" t="str">
        <f>IFERROR(VLOOKUP(F107,'G-7 WaterC'' Data'!$C$4:$D$8,2,FALSE),"")</f>
        <v/>
      </c>
      <c r="H107" s="114"/>
      <c r="I107" s="363" t="str">
        <f>IFERROR(INDEX('G-7 WaterC'' Data'!$H$4:$L$8,MATCH(D107,'G-7 WaterC'' Data'!$B$4:$B$8,0),MATCH(H107,'G-7 WaterC'' Data'!$H$3:$L$3,0)),"")</f>
        <v/>
      </c>
      <c r="J107" s="115"/>
      <c r="K107" s="382" t="str">
        <f>IF(J107="","",IF(VLOOKUP(J107,'G-7 WaterC'' Data'!$AK$4:$AM$9,2,FALSE)=0,"Spatial Data Missing ⚠",VLOOKUP(J107,'G-7 WaterC'' Data'!$AK$4:$AM$6,2,FALSE)))</f>
        <v/>
      </c>
      <c r="L107" s="386" t="str">
        <f>IF(J107="","",IF(VLOOKUP(J107,'G-7 WaterC'' Data'!$AK$4:$AM$9,3,FALSE)=0,"Spatial Data Missing ⚠",VLOOKUP(J107,'G-7 WaterC'' Data'!$AK$4:$AM$6,3,FALSE)))</f>
        <v/>
      </c>
      <c r="M107" s="115"/>
      <c r="N107" s="363" t="str">
        <f>IF(M107="","",IF(VLOOKUP(M107,'G-7 WaterC'' Data'!$AA$4:$AB$7,2,FALSE)=0,"Spatial Data Missing ⚠",VLOOKUP(M107,'G-7 WaterC'' Data'!$AA$4:$AB$7,2,FALSE)))</f>
        <v/>
      </c>
      <c r="O107" s="60"/>
      <c r="P107" s="363" t="str">
        <f>IF(O107="","",IF(VLOOKUP(O107,'G-7 WaterC'' Data'!$AD$4:$AE$14,2,FALSE)=0,"Spatial Data Missing ⚠",VLOOKUP(O107,'G-7 WaterC'' Data'!$AD$4:$AE$14,2,FALSE)))</f>
        <v/>
      </c>
      <c r="Q107" s="369" t="str">
        <f>IF(D107="","",VLOOKUP(D107,'G-7 WaterC'' Data'!$B$4:$G$8,6,FALSE))</f>
        <v/>
      </c>
      <c r="R107" s="376" t="str">
        <f>IFERROR(IF(D107="","",IF(AND(Q107='G-1 All Habitats'!$X$3,X107&gt;0),Y107+(Z107*T107),IF(AND(Q107='G-1 All Habitats'!$X$3,W107&gt;0),Y107+(Z107*T107),IF(AND(Q107='G-1 All Habitats'!$X$3,AH107&gt;0),"Any Loss Unacceptable ⚠",IF(AND(Q107='G-1 All Habitats'!$X$3,AI107&gt;0),"Any Loss Unacceptable ⚠", E107*G107*I107*L107*N107*P107*T107 ))))),"Check Data ▲")</f>
        <v/>
      </c>
      <c r="S107" s="516"/>
      <c r="T107" s="368" t="str">
        <f>IF(S107="","",IF(VLOOKUP(S107,'G-7 WaterC'' Data'!$AO$4:$BO$7,2,FALSE)=0,"Spatial Data Missing ⚠",VLOOKUP(S107,'G-7 WaterC'' Data'!$AO$4:$BO$7,2,FALSE)))</f>
        <v/>
      </c>
      <c r="U107" s="376" t="str">
        <f>IFERROR(IF(D107="","",IF(AND(Q107='G-1 All Habitats'!$X$3,X107&gt;0),Y107+Z107,IF(AND(Q107='G-1 All Habitats'!$X$3,W107&gt;0),Y107+Z107,IF(AND(Q107='G-1 All Habitats'!$X$3,AH107&gt;0),"Any Loss Unacceptable ⚠",IF(AND(Q107='G-1 All Habitats'!$X$3,AI107&gt;0),"Any Loss Unacceptable ⚠", E107*G107*I107*L107*N107*P107 ))))),"Check Data ▲")</f>
        <v/>
      </c>
      <c r="V107" s="32"/>
      <c r="W107" s="114"/>
      <c r="X107" s="125"/>
      <c r="Y107" s="374" t="str">
        <f t="shared" si="8"/>
        <v/>
      </c>
      <c r="Z107" s="374" t="str">
        <f t="shared" si="9"/>
        <v/>
      </c>
      <c r="AA107" s="374" t="str">
        <f t="shared" si="10"/>
        <v/>
      </c>
      <c r="AB107" s="670" t="str">
        <f t="shared" si="11"/>
        <v/>
      </c>
      <c r="AC107" s="516"/>
      <c r="AD107" s="119"/>
      <c r="AE107" s="120"/>
      <c r="AF107" s="120"/>
      <c r="AG107" s="120"/>
      <c r="AH107" s="57" t="str">
        <f>IF(Q107="","",IF(Q107='G-1 All Habitats'!$X$3,E107-X107-W107,"None"))</f>
        <v/>
      </c>
      <c r="AI107" s="58" t="str">
        <f>IF(Q107="","", IF(Q107='G-1 All Habitats'!$X$3, AH107*G107*I107*L107*N107*P107,"None"))</f>
        <v/>
      </c>
      <c r="AJ107" s="30" t="str">
        <f>IFERROR(INDEX('G-7 WaterC'' Data'!$AZ$3:$AZ$7,MATCH(D107,'G-7 WaterC'' Data'!$AY$3:$AY$7,0)),"")</f>
        <v/>
      </c>
      <c r="AK107" s="30">
        <f t="shared" si="12"/>
        <v>0</v>
      </c>
      <c r="AL107" s="124" t="str">
        <f t="shared" si="13"/>
        <v/>
      </c>
      <c r="AM107" s="124" t="str">
        <f t="shared" si="14"/>
        <v/>
      </c>
      <c r="AO107" s="124">
        <v>98</v>
      </c>
      <c r="AQ107" s="124" t="str">
        <f t="array" ref="AQ107">IFERROR(INDEX($AO$10:$AO$258, MATCH(0, IF(TRUE=$AL$10:$AL$258, COUNTIF($AQ$9:$AQ106, $AO$10:$AO$258), ""), 0)),"")</f>
        <v/>
      </c>
      <c r="AR107" s="124" t="str">
        <f t="array" ref="AR107">IFERROR(INDEX($AO$10:$AO$258, MATCH(0, IF(TRUE=$AM$10:$AM$258, COUNTIF($AR$9:$AR106, $AO$10:$AO$258), ""), 0)),"")</f>
        <v/>
      </c>
      <c r="AZ107" s="802" t="str">
        <f t="shared" si="15"/>
        <v/>
      </c>
    </row>
    <row r="108" spans="3:52" ht="15.75" thickBot="1">
      <c r="C108" s="110">
        <v>99</v>
      </c>
      <c r="D108" s="340"/>
      <c r="E108" s="121"/>
      <c r="F108" s="362" t="str">
        <f>IF(D108="","",VLOOKUP(D108,'G-7 WaterC'' Data'!$B$2:$G$8,2,FALSE))</f>
        <v/>
      </c>
      <c r="G108" s="363" t="str">
        <f>IFERROR(VLOOKUP(F108,'G-7 WaterC'' Data'!$C$4:$D$8,2,FALSE),"")</f>
        <v/>
      </c>
      <c r="H108" s="114"/>
      <c r="I108" s="363" t="str">
        <f>IFERROR(INDEX('G-7 WaterC'' Data'!$H$4:$L$8,MATCH(D108,'G-7 WaterC'' Data'!$B$4:$B$8,0),MATCH(H108,'G-7 WaterC'' Data'!$H$3:$L$3,0)),"")</f>
        <v/>
      </c>
      <c r="J108" s="115"/>
      <c r="K108" s="382" t="str">
        <f>IF(J108="","",IF(VLOOKUP(J108,'G-7 WaterC'' Data'!$AK$4:$AM$9,2,FALSE)=0,"Spatial Data Missing ⚠",VLOOKUP(J108,'G-7 WaterC'' Data'!$AK$4:$AM$6,2,FALSE)))</f>
        <v/>
      </c>
      <c r="L108" s="386" t="str">
        <f>IF(J108="","",IF(VLOOKUP(J108,'G-7 WaterC'' Data'!$AK$4:$AM$9,3,FALSE)=0,"Spatial Data Missing ⚠",VLOOKUP(J108,'G-7 WaterC'' Data'!$AK$4:$AM$6,3,FALSE)))</f>
        <v/>
      </c>
      <c r="M108" s="115"/>
      <c r="N108" s="363" t="str">
        <f>IF(M108="","",IF(VLOOKUP(M108,'G-7 WaterC'' Data'!$AA$4:$AB$7,2,FALSE)=0,"Spatial Data Missing ⚠",VLOOKUP(M108,'G-7 WaterC'' Data'!$AA$4:$AB$7,2,FALSE)))</f>
        <v/>
      </c>
      <c r="O108" s="60"/>
      <c r="P108" s="363" t="str">
        <f>IF(O108="","",IF(VLOOKUP(O108,'G-7 WaterC'' Data'!$AD$4:$AE$14,2,FALSE)=0,"Spatial Data Missing ⚠",VLOOKUP(O108,'G-7 WaterC'' Data'!$AD$4:$AE$14,2,FALSE)))</f>
        <v/>
      </c>
      <c r="Q108" s="369" t="str">
        <f>IF(D108="","",VLOOKUP(D108,'G-7 WaterC'' Data'!$B$4:$G$8,6,FALSE))</f>
        <v/>
      </c>
      <c r="R108" s="376" t="str">
        <f>IFERROR(IF(D108="","",IF(AND(Q108='G-1 All Habitats'!$X$3,X108&gt;0),Y108+(Z108*T108),IF(AND(Q108='G-1 All Habitats'!$X$3,W108&gt;0),Y108+(Z108*T108),IF(AND(Q108='G-1 All Habitats'!$X$3,AH108&gt;0),"Any Loss Unacceptable ⚠",IF(AND(Q108='G-1 All Habitats'!$X$3,AI108&gt;0),"Any Loss Unacceptable ⚠", E108*G108*I108*L108*N108*P108*T108 ))))),"Check Data ▲")</f>
        <v/>
      </c>
      <c r="S108" s="516"/>
      <c r="T108" s="368" t="str">
        <f>IF(S108="","",IF(VLOOKUP(S108,'G-7 WaterC'' Data'!$AO$4:$BO$7,2,FALSE)=0,"Spatial Data Missing ⚠",VLOOKUP(S108,'G-7 WaterC'' Data'!$AO$4:$BO$7,2,FALSE)))</f>
        <v/>
      </c>
      <c r="U108" s="376" t="str">
        <f>IFERROR(IF(D108="","",IF(AND(Q108='G-1 All Habitats'!$X$3,X108&gt;0),Y108+Z108,IF(AND(Q108='G-1 All Habitats'!$X$3,W108&gt;0),Y108+Z108,IF(AND(Q108='G-1 All Habitats'!$X$3,AH108&gt;0),"Any Loss Unacceptable ⚠",IF(AND(Q108='G-1 All Habitats'!$X$3,AI108&gt;0),"Any Loss Unacceptable ⚠", E108*G108*I108*L108*N108*P108 ))))),"Check Data ▲")</f>
        <v/>
      </c>
      <c r="V108" s="32"/>
      <c r="W108" s="114"/>
      <c r="X108" s="125"/>
      <c r="Y108" s="374" t="str">
        <f t="shared" si="8"/>
        <v/>
      </c>
      <c r="Z108" s="374" t="str">
        <f t="shared" si="9"/>
        <v/>
      </c>
      <c r="AA108" s="374" t="str">
        <f t="shared" si="10"/>
        <v/>
      </c>
      <c r="AB108" s="670" t="str">
        <f t="shared" si="11"/>
        <v/>
      </c>
      <c r="AC108" s="516"/>
      <c r="AD108" s="119"/>
      <c r="AE108" s="120"/>
      <c r="AF108" s="120"/>
      <c r="AG108" s="120"/>
      <c r="AH108" s="57" t="str">
        <f>IF(Q108="","",IF(Q108='G-1 All Habitats'!$X$3,E108-X108-W108,"None"))</f>
        <v/>
      </c>
      <c r="AI108" s="58" t="str">
        <f>IF(Q108="","", IF(Q108='G-1 All Habitats'!$X$3, AH108*G108*I108*L108*N108*P108,"None"))</f>
        <v/>
      </c>
      <c r="AJ108" s="30" t="str">
        <f>IFERROR(INDEX('G-7 WaterC'' Data'!$AZ$3:$AZ$7,MATCH(D108,'G-7 WaterC'' Data'!$AY$3:$AY$7,0)),"")</f>
        <v/>
      </c>
      <c r="AK108" s="30">
        <f t="shared" si="12"/>
        <v>0</v>
      </c>
      <c r="AL108" s="124" t="str">
        <f t="shared" si="13"/>
        <v/>
      </c>
      <c r="AM108" s="124" t="str">
        <f t="shared" si="14"/>
        <v/>
      </c>
      <c r="AO108" s="124">
        <v>99</v>
      </c>
      <c r="AQ108" s="124" t="str">
        <f t="array" ref="AQ108">IFERROR(INDEX($AO$10:$AO$258, MATCH(0, IF(TRUE=$AL$10:$AL$258, COUNTIF($AQ$9:$AQ107, $AO$10:$AO$258), ""), 0)),"")</f>
        <v/>
      </c>
      <c r="AR108" s="124" t="str">
        <f t="array" ref="AR108">IFERROR(INDEX($AO$10:$AO$258, MATCH(0, IF(TRUE=$AM$10:$AM$258, COUNTIF($AR$9:$AR107, $AO$10:$AO$258), ""), 0)),"")</f>
        <v/>
      </c>
      <c r="AZ108" s="802" t="str">
        <f t="shared" si="15"/>
        <v/>
      </c>
    </row>
    <row r="109" spans="3:52" ht="15.75" thickBot="1">
      <c r="C109" s="110">
        <v>100</v>
      </c>
      <c r="D109" s="340"/>
      <c r="E109" s="121"/>
      <c r="F109" s="362" t="str">
        <f>IF(D109="","",VLOOKUP(D109,'G-7 WaterC'' Data'!$B$2:$G$8,2,FALSE))</f>
        <v/>
      </c>
      <c r="G109" s="363" t="str">
        <f>IFERROR(VLOOKUP(F109,'G-7 WaterC'' Data'!$C$4:$D$8,2,FALSE),"")</f>
        <v/>
      </c>
      <c r="H109" s="114"/>
      <c r="I109" s="363" t="str">
        <f>IFERROR(INDEX('G-7 WaterC'' Data'!$H$4:$L$8,MATCH(D109,'G-7 WaterC'' Data'!$B$4:$B$8,0),MATCH(H109,'G-7 WaterC'' Data'!$H$3:$L$3,0)),"")</f>
        <v/>
      </c>
      <c r="J109" s="115"/>
      <c r="K109" s="382" t="str">
        <f>IF(J109="","",IF(VLOOKUP(J109,'G-7 WaterC'' Data'!$AK$4:$AM$9,2,FALSE)=0,"Spatial Data Missing ⚠",VLOOKUP(J109,'G-7 WaterC'' Data'!$AK$4:$AM$6,2,FALSE)))</f>
        <v/>
      </c>
      <c r="L109" s="386" t="str">
        <f>IF(J109="","",IF(VLOOKUP(J109,'G-7 WaterC'' Data'!$AK$4:$AM$9,3,FALSE)=0,"Spatial Data Missing ⚠",VLOOKUP(J109,'G-7 WaterC'' Data'!$AK$4:$AM$6,3,FALSE)))</f>
        <v/>
      </c>
      <c r="M109" s="115"/>
      <c r="N109" s="363" t="str">
        <f>IF(M109="","",IF(VLOOKUP(M109,'G-7 WaterC'' Data'!$AA$4:$AB$7,2,FALSE)=0,"Spatial Data Missing ⚠",VLOOKUP(M109,'G-7 WaterC'' Data'!$AA$4:$AB$7,2,FALSE)))</f>
        <v/>
      </c>
      <c r="O109" s="60"/>
      <c r="P109" s="363" t="str">
        <f>IF(O109="","",IF(VLOOKUP(O109,'G-7 WaterC'' Data'!$AD$4:$AE$14,2,FALSE)=0,"Spatial Data Missing ⚠",VLOOKUP(O109,'G-7 WaterC'' Data'!$AD$4:$AE$14,2,FALSE)))</f>
        <v/>
      </c>
      <c r="Q109" s="369" t="str">
        <f>IF(D109="","",VLOOKUP(D109,'G-7 WaterC'' Data'!$B$4:$G$8,6,FALSE))</f>
        <v/>
      </c>
      <c r="R109" s="376" t="str">
        <f>IFERROR(IF(D109="","",IF(AND(Q109='G-1 All Habitats'!$X$3,X109&gt;0),Y109+(Z109*T109),IF(AND(Q109='G-1 All Habitats'!$X$3,W109&gt;0),Y109+(Z109*T109),IF(AND(Q109='G-1 All Habitats'!$X$3,AH109&gt;0),"Any Loss Unacceptable ⚠",IF(AND(Q109='G-1 All Habitats'!$X$3,AI109&gt;0),"Any Loss Unacceptable ⚠", E109*G109*I109*L109*N109*P109*T109 ))))),"Check Data ▲")</f>
        <v/>
      </c>
      <c r="S109" s="516"/>
      <c r="T109" s="368" t="str">
        <f>IF(S109="","",IF(VLOOKUP(S109,'G-7 WaterC'' Data'!$AO$4:$BO$7,2,FALSE)=0,"Spatial Data Missing ⚠",VLOOKUP(S109,'G-7 WaterC'' Data'!$AO$4:$BO$7,2,FALSE)))</f>
        <v/>
      </c>
      <c r="U109" s="376" t="str">
        <f>IFERROR(IF(D109="","",IF(AND(Q109='G-1 All Habitats'!$X$3,X109&gt;0),Y109+Z109,IF(AND(Q109='G-1 All Habitats'!$X$3,W109&gt;0),Y109+Z109,IF(AND(Q109='G-1 All Habitats'!$X$3,AH109&gt;0),"Any Loss Unacceptable ⚠",IF(AND(Q109='G-1 All Habitats'!$X$3,AI109&gt;0),"Any Loss Unacceptable ⚠", E109*G109*I109*L109*N109*P109 ))))),"Check Data ▲")</f>
        <v/>
      </c>
      <c r="V109" s="32"/>
      <c r="W109" s="114"/>
      <c r="X109" s="125"/>
      <c r="Y109" s="374" t="str">
        <f t="shared" si="8"/>
        <v/>
      </c>
      <c r="Z109" s="374" t="str">
        <f t="shared" si="9"/>
        <v/>
      </c>
      <c r="AA109" s="374" t="str">
        <f t="shared" si="10"/>
        <v/>
      </c>
      <c r="AB109" s="670" t="str">
        <f t="shared" si="11"/>
        <v/>
      </c>
      <c r="AC109" s="516"/>
      <c r="AD109" s="119"/>
      <c r="AE109" s="120"/>
      <c r="AF109" s="120"/>
      <c r="AG109" s="120"/>
      <c r="AH109" s="57" t="str">
        <f>IF(Q109="","",IF(Q109='G-1 All Habitats'!$X$3,E109-X109-W109,"None"))</f>
        <v/>
      </c>
      <c r="AI109" s="58" t="str">
        <f>IF(Q109="","", IF(Q109='G-1 All Habitats'!$X$3, AH109*G109*I109*L109*N109*P109,"None"))</f>
        <v/>
      </c>
      <c r="AJ109" s="30" t="str">
        <f>IFERROR(INDEX('G-7 WaterC'' Data'!$AZ$3:$AZ$7,MATCH(D109,'G-7 WaterC'' Data'!$AY$3:$AY$7,0)),"")</f>
        <v/>
      </c>
      <c r="AK109" s="30">
        <f t="shared" si="12"/>
        <v>0</v>
      </c>
      <c r="AL109" s="124" t="str">
        <f t="shared" si="13"/>
        <v/>
      </c>
      <c r="AM109" s="124" t="str">
        <f t="shared" si="14"/>
        <v/>
      </c>
      <c r="AO109" s="124">
        <v>100</v>
      </c>
      <c r="AQ109" s="124" t="str">
        <f t="array" ref="AQ109">IFERROR(INDEX($AO$10:$AO$258, MATCH(0, IF(TRUE=$AL$10:$AL$258, COUNTIF($AQ$9:$AQ108, $AO$10:$AO$258), ""), 0)),"")</f>
        <v/>
      </c>
      <c r="AR109" s="124" t="str">
        <f t="array" ref="AR109">IFERROR(INDEX($AO$10:$AO$258, MATCH(0, IF(TRUE=$AM$10:$AM$258, COUNTIF($AR$9:$AR108, $AO$10:$AO$258), ""), 0)),"")</f>
        <v/>
      </c>
      <c r="AZ109" s="802" t="str">
        <f t="shared" si="15"/>
        <v/>
      </c>
    </row>
    <row r="110" spans="3:52" ht="15.75" thickBot="1">
      <c r="C110" s="110">
        <v>101</v>
      </c>
      <c r="D110" s="340"/>
      <c r="E110" s="121"/>
      <c r="F110" s="362" t="str">
        <f>IF(D110="","",VLOOKUP(D110,'G-7 WaterC'' Data'!$B$2:$G$8,2,FALSE))</f>
        <v/>
      </c>
      <c r="G110" s="363" t="str">
        <f>IFERROR(VLOOKUP(F110,'G-7 WaterC'' Data'!$C$4:$D$8,2,FALSE),"")</f>
        <v/>
      </c>
      <c r="H110" s="114"/>
      <c r="I110" s="363" t="str">
        <f>IFERROR(INDEX('G-7 WaterC'' Data'!$H$4:$L$8,MATCH(D110,'G-7 WaterC'' Data'!$B$4:$B$8,0),MATCH(H110,'G-7 WaterC'' Data'!$H$3:$L$3,0)),"")</f>
        <v/>
      </c>
      <c r="J110" s="115"/>
      <c r="K110" s="382" t="str">
        <f>IF(J110="","",IF(VLOOKUP(J110,'G-7 WaterC'' Data'!$AK$4:$AM$9,2,FALSE)=0,"Spatial Data Missing ⚠",VLOOKUP(J110,'G-7 WaterC'' Data'!$AK$4:$AM$6,2,FALSE)))</f>
        <v/>
      </c>
      <c r="L110" s="386" t="str">
        <f>IF(J110="","",IF(VLOOKUP(J110,'G-7 WaterC'' Data'!$AK$4:$AM$9,3,FALSE)=0,"Spatial Data Missing ⚠",VLOOKUP(J110,'G-7 WaterC'' Data'!$AK$4:$AM$6,3,FALSE)))</f>
        <v/>
      </c>
      <c r="M110" s="115"/>
      <c r="N110" s="363" t="str">
        <f>IF(M110="","",IF(VLOOKUP(M110,'G-7 WaterC'' Data'!$AA$4:$AB$7,2,FALSE)=0,"Spatial Data Missing ⚠",VLOOKUP(M110,'G-7 WaterC'' Data'!$AA$4:$AB$7,2,FALSE)))</f>
        <v/>
      </c>
      <c r="O110" s="60"/>
      <c r="P110" s="363" t="str">
        <f>IF(O110="","",IF(VLOOKUP(O110,'G-7 WaterC'' Data'!$AD$4:$AE$14,2,FALSE)=0,"Spatial Data Missing ⚠",VLOOKUP(O110,'G-7 WaterC'' Data'!$AD$4:$AE$14,2,FALSE)))</f>
        <v/>
      </c>
      <c r="Q110" s="369" t="str">
        <f>IF(D110="","",VLOOKUP(D110,'G-7 WaterC'' Data'!$B$4:$G$8,6,FALSE))</f>
        <v/>
      </c>
      <c r="R110" s="376" t="str">
        <f>IFERROR(IF(D110="","",IF(AND(Q110='G-1 All Habitats'!$X$3,X110&gt;0),Y110+(Z110*T110),IF(AND(Q110='G-1 All Habitats'!$X$3,W110&gt;0),Y110+(Z110*T110),IF(AND(Q110='G-1 All Habitats'!$X$3,AH110&gt;0),"Any Loss Unacceptable ⚠",IF(AND(Q110='G-1 All Habitats'!$X$3,AI110&gt;0),"Any Loss Unacceptable ⚠", E110*G110*I110*L110*N110*P110*T110 ))))),"Check Data ▲")</f>
        <v/>
      </c>
      <c r="S110" s="516"/>
      <c r="T110" s="368" t="str">
        <f>IF(S110="","",IF(VLOOKUP(S110,'G-7 WaterC'' Data'!$AO$4:$BO$7,2,FALSE)=0,"Spatial Data Missing ⚠",VLOOKUP(S110,'G-7 WaterC'' Data'!$AO$4:$BO$7,2,FALSE)))</f>
        <v/>
      </c>
      <c r="U110" s="376" t="str">
        <f>IFERROR(IF(D110="","",IF(AND(Q110='G-1 All Habitats'!$X$3,X110&gt;0),Y110+Z110,IF(AND(Q110='G-1 All Habitats'!$X$3,W110&gt;0),Y110+Z110,IF(AND(Q110='G-1 All Habitats'!$X$3,AH110&gt;0),"Any Loss Unacceptable ⚠",IF(AND(Q110='G-1 All Habitats'!$X$3,AI110&gt;0),"Any Loss Unacceptable ⚠", E110*G110*I110*L110*N110*P110 ))))),"Check Data ▲")</f>
        <v/>
      </c>
      <c r="V110" s="32"/>
      <c r="W110" s="114"/>
      <c r="X110" s="125"/>
      <c r="Y110" s="374" t="str">
        <f t="shared" si="8"/>
        <v/>
      </c>
      <c r="Z110" s="374" t="str">
        <f t="shared" si="9"/>
        <v/>
      </c>
      <c r="AA110" s="374" t="str">
        <f t="shared" si="10"/>
        <v/>
      </c>
      <c r="AB110" s="670" t="str">
        <f t="shared" si="11"/>
        <v/>
      </c>
      <c r="AC110" s="516"/>
      <c r="AD110" s="119"/>
      <c r="AE110" s="120"/>
      <c r="AF110" s="120"/>
      <c r="AG110" s="120"/>
      <c r="AH110" s="57" t="str">
        <f>IF(Q110="","",IF(Q110='G-1 All Habitats'!$X$3,E110-X110-W110,"None"))</f>
        <v/>
      </c>
      <c r="AI110" s="58" t="str">
        <f>IF(Q110="","", IF(Q110='G-1 All Habitats'!$X$3, AH110*G110*I110*L110*N110*P110,"None"))</f>
        <v/>
      </c>
      <c r="AJ110" s="30" t="str">
        <f>IFERROR(INDEX('G-7 WaterC'' Data'!$AZ$3:$AZ$7,MATCH(D110,'G-7 WaterC'' Data'!$AY$3:$AY$7,0)),"")</f>
        <v/>
      </c>
      <c r="AK110" s="30">
        <f t="shared" si="12"/>
        <v>0</v>
      </c>
      <c r="AL110" s="124" t="str">
        <f t="shared" si="13"/>
        <v/>
      </c>
      <c r="AM110" s="124" t="str">
        <f t="shared" si="14"/>
        <v/>
      </c>
      <c r="AO110" s="124">
        <v>101</v>
      </c>
      <c r="AQ110" s="124" t="str">
        <f t="array" ref="AQ110">IFERROR(INDEX($AO$10:$AO$258, MATCH(0, IF(TRUE=$AL$10:$AL$258, COUNTIF($AQ$9:$AQ109, $AO$10:$AO$258), ""), 0)),"")</f>
        <v/>
      </c>
      <c r="AR110" s="124" t="str">
        <f t="array" ref="AR110">IFERROR(INDEX($AO$10:$AO$258, MATCH(0, IF(TRUE=$AM$10:$AM$258, COUNTIF($AR$9:$AR109, $AO$10:$AO$258), ""), 0)),"")</f>
        <v/>
      </c>
      <c r="AZ110" s="802" t="str">
        <f t="shared" si="15"/>
        <v/>
      </c>
    </row>
    <row r="111" spans="3:52" ht="15.75" thickBot="1">
      <c r="C111" s="110">
        <v>102</v>
      </c>
      <c r="D111" s="340"/>
      <c r="E111" s="121"/>
      <c r="F111" s="362" t="str">
        <f>IF(D111="","",VLOOKUP(D111,'G-7 WaterC'' Data'!$B$2:$G$8,2,FALSE))</f>
        <v/>
      </c>
      <c r="G111" s="363" t="str">
        <f>IFERROR(VLOOKUP(F111,'G-7 WaterC'' Data'!$C$4:$D$8,2,FALSE),"")</f>
        <v/>
      </c>
      <c r="H111" s="114"/>
      <c r="I111" s="363" t="str">
        <f>IFERROR(INDEX('G-7 WaterC'' Data'!$H$4:$L$8,MATCH(D111,'G-7 WaterC'' Data'!$B$4:$B$8,0),MATCH(H111,'G-7 WaterC'' Data'!$H$3:$L$3,0)),"")</f>
        <v/>
      </c>
      <c r="J111" s="115"/>
      <c r="K111" s="382" t="str">
        <f>IF(J111="","",IF(VLOOKUP(J111,'G-7 WaterC'' Data'!$AK$4:$AM$9,2,FALSE)=0,"Spatial Data Missing ⚠",VLOOKUP(J111,'G-7 WaterC'' Data'!$AK$4:$AM$6,2,FALSE)))</f>
        <v/>
      </c>
      <c r="L111" s="386" t="str">
        <f>IF(J111="","",IF(VLOOKUP(J111,'G-7 WaterC'' Data'!$AK$4:$AM$9,3,FALSE)=0,"Spatial Data Missing ⚠",VLOOKUP(J111,'G-7 WaterC'' Data'!$AK$4:$AM$6,3,FALSE)))</f>
        <v/>
      </c>
      <c r="M111" s="115"/>
      <c r="N111" s="363" t="str">
        <f>IF(M111="","",IF(VLOOKUP(M111,'G-7 WaterC'' Data'!$AA$4:$AB$7,2,FALSE)=0,"Spatial Data Missing ⚠",VLOOKUP(M111,'G-7 WaterC'' Data'!$AA$4:$AB$7,2,FALSE)))</f>
        <v/>
      </c>
      <c r="O111" s="60"/>
      <c r="P111" s="363" t="str">
        <f>IF(O111="","",IF(VLOOKUP(O111,'G-7 WaterC'' Data'!$AD$4:$AE$14,2,FALSE)=0,"Spatial Data Missing ⚠",VLOOKUP(O111,'G-7 WaterC'' Data'!$AD$4:$AE$14,2,FALSE)))</f>
        <v/>
      </c>
      <c r="Q111" s="369" t="str">
        <f>IF(D111="","",VLOOKUP(D111,'G-7 WaterC'' Data'!$B$4:$G$8,6,FALSE))</f>
        <v/>
      </c>
      <c r="R111" s="376" t="str">
        <f>IFERROR(IF(D111="","",IF(AND(Q111='G-1 All Habitats'!$X$3,X111&gt;0),Y111+(Z111*T111),IF(AND(Q111='G-1 All Habitats'!$X$3,W111&gt;0),Y111+(Z111*T111),IF(AND(Q111='G-1 All Habitats'!$X$3,AH111&gt;0),"Any Loss Unacceptable ⚠",IF(AND(Q111='G-1 All Habitats'!$X$3,AI111&gt;0),"Any Loss Unacceptable ⚠", E111*G111*I111*L111*N111*P111*T111 ))))),"Check Data ▲")</f>
        <v/>
      </c>
      <c r="S111" s="516"/>
      <c r="T111" s="368" t="str">
        <f>IF(S111="","",IF(VLOOKUP(S111,'G-7 WaterC'' Data'!$AO$4:$BO$7,2,FALSE)=0,"Spatial Data Missing ⚠",VLOOKUP(S111,'G-7 WaterC'' Data'!$AO$4:$BO$7,2,FALSE)))</f>
        <v/>
      </c>
      <c r="U111" s="376" t="str">
        <f>IFERROR(IF(D111="","",IF(AND(Q111='G-1 All Habitats'!$X$3,X111&gt;0),Y111+Z111,IF(AND(Q111='G-1 All Habitats'!$X$3,W111&gt;0),Y111+Z111,IF(AND(Q111='G-1 All Habitats'!$X$3,AH111&gt;0),"Any Loss Unacceptable ⚠",IF(AND(Q111='G-1 All Habitats'!$X$3,AI111&gt;0),"Any Loss Unacceptable ⚠", E111*G111*I111*L111*N111*P111 ))))),"Check Data ▲")</f>
        <v/>
      </c>
      <c r="V111" s="32"/>
      <c r="W111" s="114"/>
      <c r="X111" s="125"/>
      <c r="Y111" s="374" t="str">
        <f t="shared" si="8"/>
        <v/>
      </c>
      <c r="Z111" s="374" t="str">
        <f t="shared" si="9"/>
        <v/>
      </c>
      <c r="AA111" s="374" t="str">
        <f t="shared" si="10"/>
        <v/>
      </c>
      <c r="AB111" s="670" t="str">
        <f t="shared" si="11"/>
        <v/>
      </c>
      <c r="AC111" s="516"/>
      <c r="AD111" s="119"/>
      <c r="AE111" s="120"/>
      <c r="AF111" s="120"/>
      <c r="AG111" s="120"/>
      <c r="AH111" s="57" t="str">
        <f>IF(Q111="","",IF(Q111='G-1 All Habitats'!$X$3,E111-X111-W111,"None"))</f>
        <v/>
      </c>
      <c r="AI111" s="58" t="str">
        <f>IF(Q111="","", IF(Q111='G-1 All Habitats'!$X$3, AH111*G111*I111*L111*N111*P111,"None"))</f>
        <v/>
      </c>
      <c r="AJ111" s="30" t="str">
        <f>IFERROR(INDEX('G-7 WaterC'' Data'!$AZ$3:$AZ$7,MATCH(D111,'G-7 WaterC'' Data'!$AY$3:$AY$7,0)),"")</f>
        <v/>
      </c>
      <c r="AK111" s="30">
        <f t="shared" si="12"/>
        <v>0</v>
      </c>
      <c r="AL111" s="124" t="str">
        <f t="shared" si="13"/>
        <v/>
      </c>
      <c r="AM111" s="124" t="str">
        <f t="shared" si="14"/>
        <v/>
      </c>
      <c r="AO111" s="124">
        <v>102</v>
      </c>
      <c r="AQ111" s="124" t="str">
        <f t="array" ref="AQ111">IFERROR(INDEX($AO$10:$AO$258, MATCH(0, IF(TRUE=$AL$10:$AL$258, COUNTIF($AQ$9:$AQ110, $AO$10:$AO$258), ""), 0)),"")</f>
        <v/>
      </c>
      <c r="AR111" s="124" t="str">
        <f t="array" ref="AR111">IFERROR(INDEX($AO$10:$AO$258, MATCH(0, IF(TRUE=$AM$10:$AM$258, COUNTIF($AR$9:$AR110, $AO$10:$AO$258), ""), 0)),"")</f>
        <v/>
      </c>
      <c r="AZ111" s="802" t="str">
        <f t="shared" si="15"/>
        <v/>
      </c>
    </row>
    <row r="112" spans="3:52" ht="15.75" thickBot="1">
      <c r="C112" s="110">
        <v>103</v>
      </c>
      <c r="D112" s="340"/>
      <c r="E112" s="121"/>
      <c r="F112" s="362" t="str">
        <f>IF(D112="","",VLOOKUP(D112,'G-7 WaterC'' Data'!$B$2:$G$8,2,FALSE))</f>
        <v/>
      </c>
      <c r="G112" s="363" t="str">
        <f>IFERROR(VLOOKUP(F112,'G-7 WaterC'' Data'!$C$4:$D$8,2,FALSE),"")</f>
        <v/>
      </c>
      <c r="H112" s="114"/>
      <c r="I112" s="363" t="str">
        <f>IFERROR(INDEX('G-7 WaterC'' Data'!$H$4:$L$8,MATCH(D112,'G-7 WaterC'' Data'!$B$4:$B$8,0),MATCH(H112,'G-7 WaterC'' Data'!$H$3:$L$3,0)),"")</f>
        <v/>
      </c>
      <c r="J112" s="115"/>
      <c r="K112" s="382" t="str">
        <f>IF(J112="","",IF(VLOOKUP(J112,'G-7 WaterC'' Data'!$AK$4:$AM$9,2,FALSE)=0,"Spatial Data Missing ⚠",VLOOKUP(J112,'G-7 WaterC'' Data'!$AK$4:$AM$6,2,FALSE)))</f>
        <v/>
      </c>
      <c r="L112" s="386" t="str">
        <f>IF(J112="","",IF(VLOOKUP(J112,'G-7 WaterC'' Data'!$AK$4:$AM$9,3,FALSE)=0,"Spatial Data Missing ⚠",VLOOKUP(J112,'G-7 WaterC'' Data'!$AK$4:$AM$6,3,FALSE)))</f>
        <v/>
      </c>
      <c r="M112" s="115"/>
      <c r="N112" s="363" t="str">
        <f>IF(M112="","",IF(VLOOKUP(M112,'G-7 WaterC'' Data'!$AA$4:$AB$7,2,FALSE)=0,"Spatial Data Missing ⚠",VLOOKUP(M112,'G-7 WaterC'' Data'!$AA$4:$AB$7,2,FALSE)))</f>
        <v/>
      </c>
      <c r="O112" s="60"/>
      <c r="P112" s="363" t="str">
        <f>IF(O112="","",IF(VLOOKUP(O112,'G-7 WaterC'' Data'!$AD$4:$AE$14,2,FALSE)=0,"Spatial Data Missing ⚠",VLOOKUP(O112,'G-7 WaterC'' Data'!$AD$4:$AE$14,2,FALSE)))</f>
        <v/>
      </c>
      <c r="Q112" s="369" t="str">
        <f>IF(D112="","",VLOOKUP(D112,'G-7 WaterC'' Data'!$B$4:$G$8,6,FALSE))</f>
        <v/>
      </c>
      <c r="R112" s="376" t="str">
        <f>IFERROR(IF(D112="","",IF(AND(Q112='G-1 All Habitats'!$X$3,X112&gt;0),Y112+(Z112*T112),IF(AND(Q112='G-1 All Habitats'!$X$3,W112&gt;0),Y112+(Z112*T112),IF(AND(Q112='G-1 All Habitats'!$X$3,AH112&gt;0),"Any Loss Unacceptable ⚠",IF(AND(Q112='G-1 All Habitats'!$X$3,AI112&gt;0),"Any Loss Unacceptable ⚠", E112*G112*I112*L112*N112*P112*T112 ))))),"Check Data ▲")</f>
        <v/>
      </c>
      <c r="S112" s="516"/>
      <c r="T112" s="368" t="str">
        <f>IF(S112="","",IF(VLOOKUP(S112,'G-7 WaterC'' Data'!$AO$4:$BO$7,2,FALSE)=0,"Spatial Data Missing ⚠",VLOOKUP(S112,'G-7 WaterC'' Data'!$AO$4:$BO$7,2,FALSE)))</f>
        <v/>
      </c>
      <c r="U112" s="376" t="str">
        <f>IFERROR(IF(D112="","",IF(AND(Q112='G-1 All Habitats'!$X$3,X112&gt;0),Y112+Z112,IF(AND(Q112='G-1 All Habitats'!$X$3,W112&gt;0),Y112+Z112,IF(AND(Q112='G-1 All Habitats'!$X$3,AH112&gt;0),"Any Loss Unacceptable ⚠",IF(AND(Q112='G-1 All Habitats'!$X$3,AI112&gt;0),"Any Loss Unacceptable ⚠", E112*G112*I112*L112*N112*P112 ))))),"Check Data ▲")</f>
        <v/>
      </c>
      <c r="V112" s="32"/>
      <c r="W112" s="114"/>
      <c r="X112" s="125"/>
      <c r="Y112" s="374" t="str">
        <f t="shared" si="8"/>
        <v/>
      </c>
      <c r="Z112" s="374" t="str">
        <f t="shared" si="9"/>
        <v/>
      </c>
      <c r="AA112" s="374" t="str">
        <f t="shared" si="10"/>
        <v/>
      </c>
      <c r="AB112" s="670" t="str">
        <f t="shared" si="11"/>
        <v/>
      </c>
      <c r="AC112" s="516"/>
      <c r="AD112" s="119"/>
      <c r="AE112" s="120"/>
      <c r="AF112" s="120"/>
      <c r="AG112" s="120"/>
      <c r="AH112" s="57" t="str">
        <f>IF(Q112="","",IF(Q112='G-1 All Habitats'!$X$3,E112-X112-W112,"None"))</f>
        <v/>
      </c>
      <c r="AI112" s="58" t="str">
        <f>IF(Q112="","", IF(Q112='G-1 All Habitats'!$X$3, AH112*G112*I112*L112*N112*P112,"None"))</f>
        <v/>
      </c>
      <c r="AJ112" s="30" t="str">
        <f>IFERROR(INDEX('G-7 WaterC'' Data'!$AZ$3:$AZ$7,MATCH(D112,'G-7 WaterC'' Data'!$AY$3:$AY$7,0)),"")</f>
        <v/>
      </c>
      <c r="AK112" s="30">
        <f t="shared" si="12"/>
        <v>0</v>
      </c>
      <c r="AL112" s="124" t="str">
        <f t="shared" si="13"/>
        <v/>
      </c>
      <c r="AM112" s="124" t="str">
        <f t="shared" si="14"/>
        <v/>
      </c>
      <c r="AO112" s="124">
        <v>103</v>
      </c>
      <c r="AQ112" s="124" t="str">
        <f t="array" ref="AQ112">IFERROR(INDEX($AO$10:$AO$258, MATCH(0, IF(TRUE=$AL$10:$AL$258, COUNTIF($AQ$9:$AQ111, $AO$10:$AO$258), ""), 0)),"")</f>
        <v/>
      </c>
      <c r="AR112" s="124" t="str">
        <f t="array" ref="AR112">IFERROR(INDEX($AO$10:$AO$258, MATCH(0, IF(TRUE=$AM$10:$AM$258, COUNTIF($AR$9:$AR111, $AO$10:$AO$258), ""), 0)),"")</f>
        <v/>
      </c>
      <c r="AZ112" s="802" t="str">
        <f t="shared" si="15"/>
        <v/>
      </c>
    </row>
    <row r="113" spans="3:52" ht="15.75" thickBot="1">
      <c r="C113" s="110">
        <v>104</v>
      </c>
      <c r="D113" s="340"/>
      <c r="E113" s="121"/>
      <c r="F113" s="362" t="str">
        <f>IF(D113="","",VLOOKUP(D113,'G-7 WaterC'' Data'!$B$2:$G$8,2,FALSE))</f>
        <v/>
      </c>
      <c r="G113" s="363" t="str">
        <f>IFERROR(VLOOKUP(F113,'G-7 WaterC'' Data'!$C$4:$D$8,2,FALSE),"")</f>
        <v/>
      </c>
      <c r="H113" s="114"/>
      <c r="I113" s="363" t="str">
        <f>IFERROR(INDEX('G-7 WaterC'' Data'!$H$4:$L$8,MATCH(D113,'G-7 WaterC'' Data'!$B$4:$B$8,0),MATCH(H113,'G-7 WaterC'' Data'!$H$3:$L$3,0)),"")</f>
        <v/>
      </c>
      <c r="J113" s="115"/>
      <c r="K113" s="382" t="str">
        <f>IF(J113="","",IF(VLOOKUP(J113,'G-7 WaterC'' Data'!$AK$4:$AM$9,2,FALSE)=0,"Spatial Data Missing ⚠",VLOOKUP(J113,'G-7 WaterC'' Data'!$AK$4:$AM$6,2,FALSE)))</f>
        <v/>
      </c>
      <c r="L113" s="386" t="str">
        <f>IF(J113="","",IF(VLOOKUP(J113,'G-7 WaterC'' Data'!$AK$4:$AM$9,3,FALSE)=0,"Spatial Data Missing ⚠",VLOOKUP(J113,'G-7 WaterC'' Data'!$AK$4:$AM$6,3,FALSE)))</f>
        <v/>
      </c>
      <c r="M113" s="115"/>
      <c r="N113" s="363" t="str">
        <f>IF(M113="","",IF(VLOOKUP(M113,'G-7 WaterC'' Data'!$AA$4:$AB$7,2,FALSE)=0,"Spatial Data Missing ⚠",VLOOKUP(M113,'G-7 WaterC'' Data'!$AA$4:$AB$7,2,FALSE)))</f>
        <v/>
      </c>
      <c r="O113" s="60"/>
      <c r="P113" s="363" t="str">
        <f>IF(O113="","",IF(VLOOKUP(O113,'G-7 WaterC'' Data'!$AD$4:$AE$14,2,FALSE)=0,"Spatial Data Missing ⚠",VLOOKUP(O113,'G-7 WaterC'' Data'!$AD$4:$AE$14,2,FALSE)))</f>
        <v/>
      </c>
      <c r="Q113" s="369" t="str">
        <f>IF(D113="","",VLOOKUP(D113,'G-7 WaterC'' Data'!$B$4:$G$8,6,FALSE))</f>
        <v/>
      </c>
      <c r="R113" s="376" t="str">
        <f>IFERROR(IF(D113="","",IF(AND(Q113='G-1 All Habitats'!$X$3,X113&gt;0),Y113+(Z113*T113),IF(AND(Q113='G-1 All Habitats'!$X$3,W113&gt;0),Y113+(Z113*T113),IF(AND(Q113='G-1 All Habitats'!$X$3,AH113&gt;0),"Any Loss Unacceptable ⚠",IF(AND(Q113='G-1 All Habitats'!$X$3,AI113&gt;0),"Any Loss Unacceptable ⚠", E113*G113*I113*L113*N113*P113*T113 ))))),"Check Data ▲")</f>
        <v/>
      </c>
      <c r="S113" s="516"/>
      <c r="T113" s="368" t="str">
        <f>IF(S113="","",IF(VLOOKUP(S113,'G-7 WaterC'' Data'!$AO$4:$BO$7,2,FALSE)=0,"Spatial Data Missing ⚠",VLOOKUP(S113,'G-7 WaterC'' Data'!$AO$4:$BO$7,2,FALSE)))</f>
        <v/>
      </c>
      <c r="U113" s="376" t="str">
        <f>IFERROR(IF(D113="","",IF(AND(Q113='G-1 All Habitats'!$X$3,X113&gt;0),Y113+Z113,IF(AND(Q113='G-1 All Habitats'!$X$3,W113&gt;0),Y113+Z113,IF(AND(Q113='G-1 All Habitats'!$X$3,AH113&gt;0),"Any Loss Unacceptable ⚠",IF(AND(Q113='G-1 All Habitats'!$X$3,AI113&gt;0),"Any Loss Unacceptable ⚠", E113*G113*I113*L113*N113*P113 ))))),"Check Data ▲")</f>
        <v/>
      </c>
      <c r="V113" s="32"/>
      <c r="W113" s="114"/>
      <c r="X113" s="125"/>
      <c r="Y113" s="374" t="str">
        <f t="shared" si="8"/>
        <v/>
      </c>
      <c r="Z113" s="374" t="str">
        <f t="shared" si="9"/>
        <v/>
      </c>
      <c r="AA113" s="374" t="str">
        <f t="shared" si="10"/>
        <v/>
      </c>
      <c r="AB113" s="670" t="str">
        <f t="shared" si="11"/>
        <v/>
      </c>
      <c r="AC113" s="516"/>
      <c r="AD113" s="119"/>
      <c r="AE113" s="120"/>
      <c r="AF113" s="120"/>
      <c r="AG113" s="120"/>
      <c r="AH113" s="57" t="str">
        <f>IF(Q113="","",IF(Q113='G-1 All Habitats'!$X$3,E113-X113-W113,"None"))</f>
        <v/>
      </c>
      <c r="AI113" s="58" t="str">
        <f>IF(Q113="","", IF(Q113='G-1 All Habitats'!$X$3, AH113*G113*I113*L113*N113*P113,"None"))</f>
        <v/>
      </c>
      <c r="AJ113" s="30" t="str">
        <f>IFERROR(INDEX('G-7 WaterC'' Data'!$AZ$3:$AZ$7,MATCH(D113,'G-7 WaterC'' Data'!$AY$3:$AY$7,0)),"")</f>
        <v/>
      </c>
      <c r="AK113" s="30">
        <f t="shared" si="12"/>
        <v>0</v>
      </c>
      <c r="AL113" s="124" t="str">
        <f t="shared" si="13"/>
        <v/>
      </c>
      <c r="AM113" s="124" t="str">
        <f t="shared" si="14"/>
        <v/>
      </c>
      <c r="AO113" s="124">
        <v>104</v>
      </c>
      <c r="AQ113" s="124" t="str">
        <f t="array" ref="AQ113">IFERROR(INDEX($AO$10:$AO$258, MATCH(0, IF(TRUE=$AL$10:$AL$258, COUNTIF($AQ$9:$AQ112, $AO$10:$AO$258), ""), 0)),"")</f>
        <v/>
      </c>
      <c r="AR113" s="124" t="str">
        <f t="array" ref="AR113">IFERROR(INDEX($AO$10:$AO$258, MATCH(0, IF(TRUE=$AM$10:$AM$258, COUNTIF($AR$9:$AR112, $AO$10:$AO$258), ""), 0)),"")</f>
        <v/>
      </c>
      <c r="AZ113" s="802" t="str">
        <f t="shared" si="15"/>
        <v/>
      </c>
    </row>
    <row r="114" spans="3:52" ht="15.75" thickBot="1">
      <c r="C114" s="110">
        <v>105</v>
      </c>
      <c r="D114" s="340"/>
      <c r="E114" s="121"/>
      <c r="F114" s="362" t="str">
        <f>IF(D114="","",VLOOKUP(D114,'G-7 WaterC'' Data'!$B$2:$G$8,2,FALSE))</f>
        <v/>
      </c>
      <c r="G114" s="363" t="str">
        <f>IFERROR(VLOOKUP(F114,'G-7 WaterC'' Data'!$C$4:$D$8,2,FALSE),"")</f>
        <v/>
      </c>
      <c r="H114" s="114"/>
      <c r="I114" s="363" t="str">
        <f>IFERROR(INDEX('G-7 WaterC'' Data'!$H$4:$L$8,MATCH(D114,'G-7 WaterC'' Data'!$B$4:$B$8,0),MATCH(H114,'G-7 WaterC'' Data'!$H$3:$L$3,0)),"")</f>
        <v/>
      </c>
      <c r="J114" s="115"/>
      <c r="K114" s="382" t="str">
        <f>IF(J114="","",IF(VLOOKUP(J114,'G-7 WaterC'' Data'!$AK$4:$AM$9,2,FALSE)=0,"Spatial Data Missing ⚠",VLOOKUP(J114,'G-7 WaterC'' Data'!$AK$4:$AM$6,2,FALSE)))</f>
        <v/>
      </c>
      <c r="L114" s="386" t="str">
        <f>IF(J114="","",IF(VLOOKUP(J114,'G-7 WaterC'' Data'!$AK$4:$AM$9,3,FALSE)=0,"Spatial Data Missing ⚠",VLOOKUP(J114,'G-7 WaterC'' Data'!$AK$4:$AM$6,3,FALSE)))</f>
        <v/>
      </c>
      <c r="M114" s="115"/>
      <c r="N114" s="363" t="str">
        <f>IF(M114="","",IF(VLOOKUP(M114,'G-7 WaterC'' Data'!$AA$4:$AB$7,2,FALSE)=0,"Spatial Data Missing ⚠",VLOOKUP(M114,'G-7 WaterC'' Data'!$AA$4:$AB$7,2,FALSE)))</f>
        <v/>
      </c>
      <c r="O114" s="60"/>
      <c r="P114" s="363" t="str">
        <f>IF(O114="","",IF(VLOOKUP(O114,'G-7 WaterC'' Data'!$AD$4:$AE$14,2,FALSE)=0,"Spatial Data Missing ⚠",VLOOKUP(O114,'G-7 WaterC'' Data'!$AD$4:$AE$14,2,FALSE)))</f>
        <v/>
      </c>
      <c r="Q114" s="369" t="str">
        <f>IF(D114="","",VLOOKUP(D114,'G-7 WaterC'' Data'!$B$4:$G$8,6,FALSE))</f>
        <v/>
      </c>
      <c r="R114" s="376" t="str">
        <f>IFERROR(IF(D114="","",IF(AND(Q114='G-1 All Habitats'!$X$3,X114&gt;0),Y114+(Z114*T114),IF(AND(Q114='G-1 All Habitats'!$X$3,W114&gt;0),Y114+(Z114*T114),IF(AND(Q114='G-1 All Habitats'!$X$3,AH114&gt;0),"Any Loss Unacceptable ⚠",IF(AND(Q114='G-1 All Habitats'!$X$3,AI114&gt;0),"Any Loss Unacceptable ⚠", E114*G114*I114*L114*N114*P114*T114 ))))),"Check Data ▲")</f>
        <v/>
      </c>
      <c r="S114" s="516"/>
      <c r="T114" s="368" t="str">
        <f>IF(S114="","",IF(VLOOKUP(S114,'G-7 WaterC'' Data'!$AO$4:$BO$7,2,FALSE)=0,"Spatial Data Missing ⚠",VLOOKUP(S114,'G-7 WaterC'' Data'!$AO$4:$BO$7,2,FALSE)))</f>
        <v/>
      </c>
      <c r="U114" s="376" t="str">
        <f>IFERROR(IF(D114="","",IF(AND(Q114='G-1 All Habitats'!$X$3,X114&gt;0),Y114+Z114,IF(AND(Q114='G-1 All Habitats'!$X$3,W114&gt;0),Y114+Z114,IF(AND(Q114='G-1 All Habitats'!$X$3,AH114&gt;0),"Any Loss Unacceptable ⚠",IF(AND(Q114='G-1 All Habitats'!$X$3,AI114&gt;0),"Any Loss Unacceptable ⚠", E114*G114*I114*L114*N114*P114 ))))),"Check Data ▲")</f>
        <v/>
      </c>
      <c r="V114" s="32"/>
      <c r="W114" s="114"/>
      <c r="X114" s="125"/>
      <c r="Y114" s="374" t="str">
        <f t="shared" si="8"/>
        <v/>
      </c>
      <c r="Z114" s="374" t="str">
        <f t="shared" si="9"/>
        <v/>
      </c>
      <c r="AA114" s="374" t="str">
        <f t="shared" si="10"/>
        <v/>
      </c>
      <c r="AB114" s="670" t="str">
        <f t="shared" si="11"/>
        <v/>
      </c>
      <c r="AC114" s="516"/>
      <c r="AD114" s="119"/>
      <c r="AE114" s="120"/>
      <c r="AF114" s="120"/>
      <c r="AG114" s="120"/>
      <c r="AH114" s="57" t="str">
        <f>IF(Q114="","",IF(Q114='G-1 All Habitats'!$X$3,E114-X114-W114,"None"))</f>
        <v/>
      </c>
      <c r="AI114" s="58" t="str">
        <f>IF(Q114="","", IF(Q114='G-1 All Habitats'!$X$3, AH114*G114*I114*L114*N114*P114,"None"))</f>
        <v/>
      </c>
      <c r="AJ114" s="30" t="str">
        <f>IFERROR(INDEX('G-7 WaterC'' Data'!$AZ$3:$AZ$7,MATCH(D114,'G-7 WaterC'' Data'!$AY$3:$AY$7,0)),"")</f>
        <v/>
      </c>
      <c r="AK114" s="30">
        <f t="shared" si="12"/>
        <v>0</v>
      </c>
      <c r="AL114" s="124" t="str">
        <f t="shared" si="13"/>
        <v/>
      </c>
      <c r="AM114" s="124" t="str">
        <f t="shared" si="14"/>
        <v/>
      </c>
      <c r="AO114" s="124">
        <v>105</v>
      </c>
      <c r="AQ114" s="124" t="str">
        <f t="array" ref="AQ114">IFERROR(INDEX($AO$10:$AO$258, MATCH(0, IF(TRUE=$AL$10:$AL$258, COUNTIF($AQ$9:$AQ113, $AO$10:$AO$258), ""), 0)),"")</f>
        <v/>
      </c>
      <c r="AR114" s="124" t="str">
        <f t="array" ref="AR114">IFERROR(INDEX($AO$10:$AO$258, MATCH(0, IF(TRUE=$AM$10:$AM$258, COUNTIF($AR$9:$AR113, $AO$10:$AO$258), ""), 0)),"")</f>
        <v/>
      </c>
      <c r="AZ114" s="802" t="str">
        <f t="shared" si="15"/>
        <v/>
      </c>
    </row>
    <row r="115" spans="3:52" ht="15.75" thickBot="1">
      <c r="C115" s="110">
        <v>106</v>
      </c>
      <c r="D115" s="340"/>
      <c r="E115" s="121"/>
      <c r="F115" s="362" t="str">
        <f>IF(D115="","",VLOOKUP(D115,'G-7 WaterC'' Data'!$B$2:$G$8,2,FALSE))</f>
        <v/>
      </c>
      <c r="G115" s="363" t="str">
        <f>IFERROR(VLOOKUP(F115,'G-7 WaterC'' Data'!$C$4:$D$8,2,FALSE),"")</f>
        <v/>
      </c>
      <c r="H115" s="114"/>
      <c r="I115" s="363" t="str">
        <f>IFERROR(INDEX('G-7 WaterC'' Data'!$H$4:$L$8,MATCH(D115,'G-7 WaterC'' Data'!$B$4:$B$8,0),MATCH(H115,'G-7 WaterC'' Data'!$H$3:$L$3,0)),"")</f>
        <v/>
      </c>
      <c r="J115" s="115"/>
      <c r="K115" s="382" t="str">
        <f>IF(J115="","",IF(VLOOKUP(J115,'G-7 WaterC'' Data'!$AK$4:$AM$9,2,FALSE)=0,"Spatial Data Missing ⚠",VLOOKUP(J115,'G-7 WaterC'' Data'!$AK$4:$AM$6,2,FALSE)))</f>
        <v/>
      </c>
      <c r="L115" s="386" t="str">
        <f>IF(J115="","",IF(VLOOKUP(J115,'G-7 WaterC'' Data'!$AK$4:$AM$9,3,FALSE)=0,"Spatial Data Missing ⚠",VLOOKUP(J115,'G-7 WaterC'' Data'!$AK$4:$AM$6,3,FALSE)))</f>
        <v/>
      </c>
      <c r="M115" s="115"/>
      <c r="N115" s="363" t="str">
        <f>IF(M115="","",IF(VLOOKUP(M115,'G-7 WaterC'' Data'!$AA$4:$AB$7,2,FALSE)=0,"Spatial Data Missing ⚠",VLOOKUP(M115,'G-7 WaterC'' Data'!$AA$4:$AB$7,2,FALSE)))</f>
        <v/>
      </c>
      <c r="O115" s="60"/>
      <c r="P115" s="363" t="str">
        <f>IF(O115="","",IF(VLOOKUP(O115,'G-7 WaterC'' Data'!$AD$4:$AE$14,2,FALSE)=0,"Spatial Data Missing ⚠",VLOOKUP(O115,'G-7 WaterC'' Data'!$AD$4:$AE$14,2,FALSE)))</f>
        <v/>
      </c>
      <c r="Q115" s="369" t="str">
        <f>IF(D115="","",VLOOKUP(D115,'G-7 WaterC'' Data'!$B$4:$G$8,6,FALSE))</f>
        <v/>
      </c>
      <c r="R115" s="376" t="str">
        <f>IFERROR(IF(D115="","",IF(AND(Q115='G-1 All Habitats'!$X$3,X115&gt;0),Y115+(Z115*T115),IF(AND(Q115='G-1 All Habitats'!$X$3,W115&gt;0),Y115+(Z115*T115),IF(AND(Q115='G-1 All Habitats'!$X$3,AH115&gt;0),"Any Loss Unacceptable ⚠",IF(AND(Q115='G-1 All Habitats'!$X$3,AI115&gt;0),"Any Loss Unacceptable ⚠", E115*G115*I115*L115*N115*P115*T115 ))))),"Check Data ▲")</f>
        <v/>
      </c>
      <c r="S115" s="516"/>
      <c r="T115" s="368" t="str">
        <f>IF(S115="","",IF(VLOOKUP(S115,'G-7 WaterC'' Data'!$AO$4:$BO$7,2,FALSE)=0,"Spatial Data Missing ⚠",VLOOKUP(S115,'G-7 WaterC'' Data'!$AO$4:$BO$7,2,FALSE)))</f>
        <v/>
      </c>
      <c r="U115" s="376" t="str">
        <f>IFERROR(IF(D115="","",IF(AND(Q115='G-1 All Habitats'!$X$3,X115&gt;0),Y115+Z115,IF(AND(Q115='G-1 All Habitats'!$X$3,W115&gt;0),Y115+Z115,IF(AND(Q115='G-1 All Habitats'!$X$3,AH115&gt;0),"Any Loss Unacceptable ⚠",IF(AND(Q115='G-1 All Habitats'!$X$3,AI115&gt;0),"Any Loss Unacceptable ⚠", E115*G115*I115*L115*N115*P115 ))))),"Check Data ▲")</f>
        <v/>
      </c>
      <c r="V115" s="32"/>
      <c r="W115" s="114"/>
      <c r="X115" s="125"/>
      <c r="Y115" s="374" t="str">
        <f t="shared" si="8"/>
        <v/>
      </c>
      <c r="Z115" s="374" t="str">
        <f t="shared" si="9"/>
        <v/>
      </c>
      <c r="AA115" s="374" t="str">
        <f t="shared" si="10"/>
        <v/>
      </c>
      <c r="AB115" s="670" t="str">
        <f t="shared" si="11"/>
        <v/>
      </c>
      <c r="AC115" s="516"/>
      <c r="AD115" s="119"/>
      <c r="AE115" s="120"/>
      <c r="AF115" s="120"/>
      <c r="AG115" s="120"/>
      <c r="AH115" s="57" t="str">
        <f>IF(Q115="","",IF(Q115='G-1 All Habitats'!$X$3,E115-X115-W115,"None"))</f>
        <v/>
      </c>
      <c r="AI115" s="58" t="str">
        <f>IF(Q115="","", IF(Q115='G-1 All Habitats'!$X$3, AH115*G115*I115*L115*N115*P115,"None"))</f>
        <v/>
      </c>
      <c r="AJ115" s="30" t="str">
        <f>IFERROR(INDEX('G-7 WaterC'' Data'!$AZ$3:$AZ$7,MATCH(D115,'G-7 WaterC'' Data'!$AY$3:$AY$7,0)),"")</f>
        <v/>
      </c>
      <c r="AK115" s="30">
        <f t="shared" si="12"/>
        <v>0</v>
      </c>
      <c r="AL115" s="124" t="str">
        <f t="shared" si="13"/>
        <v/>
      </c>
      <c r="AM115" s="124" t="str">
        <f t="shared" si="14"/>
        <v/>
      </c>
      <c r="AO115" s="124">
        <v>106</v>
      </c>
      <c r="AQ115" s="124" t="str">
        <f t="array" ref="AQ115">IFERROR(INDEX($AO$10:$AO$258, MATCH(0, IF(TRUE=$AL$10:$AL$258, COUNTIF($AQ$9:$AQ114, $AO$10:$AO$258), ""), 0)),"")</f>
        <v/>
      </c>
      <c r="AR115" s="124" t="str">
        <f t="array" ref="AR115">IFERROR(INDEX($AO$10:$AO$258, MATCH(0, IF(TRUE=$AM$10:$AM$258, COUNTIF($AR$9:$AR114, $AO$10:$AO$258), ""), 0)),"")</f>
        <v/>
      </c>
      <c r="AZ115" s="802" t="str">
        <f t="shared" si="15"/>
        <v/>
      </c>
    </row>
    <row r="116" spans="3:52" ht="15.75" thickBot="1">
      <c r="C116" s="110">
        <v>107</v>
      </c>
      <c r="D116" s="340"/>
      <c r="E116" s="121"/>
      <c r="F116" s="362" t="str">
        <f>IF(D116="","",VLOOKUP(D116,'G-7 WaterC'' Data'!$B$2:$G$8,2,FALSE))</f>
        <v/>
      </c>
      <c r="G116" s="363" t="str">
        <f>IFERROR(VLOOKUP(F116,'G-7 WaterC'' Data'!$C$4:$D$8,2,FALSE),"")</f>
        <v/>
      </c>
      <c r="H116" s="114"/>
      <c r="I116" s="363" t="str">
        <f>IFERROR(INDEX('G-7 WaterC'' Data'!$H$4:$L$8,MATCH(D116,'G-7 WaterC'' Data'!$B$4:$B$8,0),MATCH(H116,'G-7 WaterC'' Data'!$H$3:$L$3,0)),"")</f>
        <v/>
      </c>
      <c r="J116" s="115"/>
      <c r="K116" s="382" t="str">
        <f>IF(J116="","",IF(VLOOKUP(J116,'G-7 WaterC'' Data'!$AK$4:$AM$9,2,FALSE)=0,"Spatial Data Missing ⚠",VLOOKUP(J116,'G-7 WaterC'' Data'!$AK$4:$AM$6,2,FALSE)))</f>
        <v/>
      </c>
      <c r="L116" s="386" t="str">
        <f>IF(J116="","",IF(VLOOKUP(J116,'G-7 WaterC'' Data'!$AK$4:$AM$9,3,FALSE)=0,"Spatial Data Missing ⚠",VLOOKUP(J116,'G-7 WaterC'' Data'!$AK$4:$AM$6,3,FALSE)))</f>
        <v/>
      </c>
      <c r="M116" s="115"/>
      <c r="N116" s="363" t="str">
        <f>IF(M116="","",IF(VLOOKUP(M116,'G-7 WaterC'' Data'!$AA$4:$AB$7,2,FALSE)=0,"Spatial Data Missing ⚠",VLOOKUP(M116,'G-7 WaterC'' Data'!$AA$4:$AB$7,2,FALSE)))</f>
        <v/>
      </c>
      <c r="O116" s="60"/>
      <c r="P116" s="363" t="str">
        <f>IF(O116="","",IF(VLOOKUP(O116,'G-7 WaterC'' Data'!$AD$4:$AE$14,2,FALSE)=0,"Spatial Data Missing ⚠",VLOOKUP(O116,'G-7 WaterC'' Data'!$AD$4:$AE$14,2,FALSE)))</f>
        <v/>
      </c>
      <c r="Q116" s="369" t="str">
        <f>IF(D116="","",VLOOKUP(D116,'G-7 WaterC'' Data'!$B$4:$G$8,6,FALSE))</f>
        <v/>
      </c>
      <c r="R116" s="376" t="str">
        <f>IFERROR(IF(D116="","",IF(AND(Q116='G-1 All Habitats'!$X$3,X116&gt;0),Y116+(Z116*T116),IF(AND(Q116='G-1 All Habitats'!$X$3,W116&gt;0),Y116+(Z116*T116),IF(AND(Q116='G-1 All Habitats'!$X$3,AH116&gt;0),"Any Loss Unacceptable ⚠",IF(AND(Q116='G-1 All Habitats'!$X$3,AI116&gt;0),"Any Loss Unacceptable ⚠", E116*G116*I116*L116*N116*P116*T116 ))))),"Check Data ▲")</f>
        <v/>
      </c>
      <c r="S116" s="516"/>
      <c r="T116" s="368" t="str">
        <f>IF(S116="","",IF(VLOOKUP(S116,'G-7 WaterC'' Data'!$AO$4:$BO$7,2,FALSE)=0,"Spatial Data Missing ⚠",VLOOKUP(S116,'G-7 WaterC'' Data'!$AO$4:$BO$7,2,FALSE)))</f>
        <v/>
      </c>
      <c r="U116" s="376" t="str">
        <f>IFERROR(IF(D116="","",IF(AND(Q116='G-1 All Habitats'!$X$3,X116&gt;0),Y116+Z116,IF(AND(Q116='G-1 All Habitats'!$X$3,W116&gt;0),Y116+Z116,IF(AND(Q116='G-1 All Habitats'!$X$3,AH116&gt;0),"Any Loss Unacceptable ⚠",IF(AND(Q116='G-1 All Habitats'!$X$3,AI116&gt;0),"Any Loss Unacceptable ⚠", E116*G116*I116*L116*N116*P116 ))))),"Check Data ▲")</f>
        <v/>
      </c>
      <c r="V116" s="32"/>
      <c r="W116" s="114"/>
      <c r="X116" s="125"/>
      <c r="Y116" s="374" t="str">
        <f t="shared" si="8"/>
        <v/>
      </c>
      <c r="Z116" s="374" t="str">
        <f t="shared" si="9"/>
        <v/>
      </c>
      <c r="AA116" s="374" t="str">
        <f t="shared" si="10"/>
        <v/>
      </c>
      <c r="AB116" s="670" t="str">
        <f t="shared" si="11"/>
        <v/>
      </c>
      <c r="AC116" s="516"/>
      <c r="AD116" s="119"/>
      <c r="AE116" s="120"/>
      <c r="AF116" s="120"/>
      <c r="AG116" s="120"/>
      <c r="AH116" s="57" t="str">
        <f>IF(Q116="","",IF(Q116='G-1 All Habitats'!$X$3,E116-X116-W116,"None"))</f>
        <v/>
      </c>
      <c r="AI116" s="58" t="str">
        <f>IF(Q116="","", IF(Q116='G-1 All Habitats'!$X$3, AH116*G116*I116*L116*N116*P116,"None"))</f>
        <v/>
      </c>
      <c r="AJ116" s="30" t="str">
        <f>IFERROR(INDEX('G-7 WaterC'' Data'!$AZ$3:$AZ$7,MATCH(D116,'G-7 WaterC'' Data'!$AY$3:$AY$7,0)),"")</f>
        <v/>
      </c>
      <c r="AK116" s="30">
        <f t="shared" si="12"/>
        <v>0</v>
      </c>
      <c r="AL116" s="124" t="str">
        <f t="shared" si="13"/>
        <v/>
      </c>
      <c r="AM116" s="124" t="str">
        <f t="shared" si="14"/>
        <v/>
      </c>
      <c r="AO116" s="124">
        <v>107</v>
      </c>
      <c r="AQ116" s="124" t="str">
        <f t="array" ref="AQ116">IFERROR(INDEX($AO$10:$AO$258, MATCH(0, IF(TRUE=$AL$10:$AL$258, COUNTIF($AQ$9:$AQ115, $AO$10:$AO$258), ""), 0)),"")</f>
        <v/>
      </c>
      <c r="AR116" s="124" t="str">
        <f t="array" ref="AR116">IFERROR(INDEX($AO$10:$AO$258, MATCH(0, IF(TRUE=$AM$10:$AM$258, COUNTIF($AR$9:$AR115, $AO$10:$AO$258), ""), 0)),"")</f>
        <v/>
      </c>
      <c r="AZ116" s="802" t="str">
        <f t="shared" si="15"/>
        <v/>
      </c>
    </row>
    <row r="117" spans="3:52" ht="15.75" thickBot="1">
      <c r="C117" s="110">
        <v>108</v>
      </c>
      <c r="D117" s="340"/>
      <c r="E117" s="121"/>
      <c r="F117" s="362" t="str">
        <f>IF(D117="","",VLOOKUP(D117,'G-7 WaterC'' Data'!$B$2:$G$8,2,FALSE))</f>
        <v/>
      </c>
      <c r="G117" s="363" t="str">
        <f>IFERROR(VLOOKUP(F117,'G-7 WaterC'' Data'!$C$4:$D$8,2,FALSE),"")</f>
        <v/>
      </c>
      <c r="H117" s="114"/>
      <c r="I117" s="363" t="str">
        <f>IFERROR(INDEX('G-7 WaterC'' Data'!$H$4:$L$8,MATCH(D117,'G-7 WaterC'' Data'!$B$4:$B$8,0),MATCH(H117,'G-7 WaterC'' Data'!$H$3:$L$3,0)),"")</f>
        <v/>
      </c>
      <c r="J117" s="115"/>
      <c r="K117" s="382" t="str">
        <f>IF(J117="","",IF(VLOOKUP(J117,'G-7 WaterC'' Data'!$AK$4:$AM$9,2,FALSE)=0,"Spatial Data Missing ⚠",VLOOKUP(J117,'G-7 WaterC'' Data'!$AK$4:$AM$6,2,FALSE)))</f>
        <v/>
      </c>
      <c r="L117" s="386" t="str">
        <f>IF(J117="","",IF(VLOOKUP(J117,'G-7 WaterC'' Data'!$AK$4:$AM$9,3,FALSE)=0,"Spatial Data Missing ⚠",VLOOKUP(J117,'G-7 WaterC'' Data'!$AK$4:$AM$6,3,FALSE)))</f>
        <v/>
      </c>
      <c r="M117" s="115"/>
      <c r="N117" s="363" t="str">
        <f>IF(M117="","",IF(VLOOKUP(M117,'G-7 WaterC'' Data'!$AA$4:$AB$7,2,FALSE)=0,"Spatial Data Missing ⚠",VLOOKUP(M117,'G-7 WaterC'' Data'!$AA$4:$AB$7,2,FALSE)))</f>
        <v/>
      </c>
      <c r="O117" s="60"/>
      <c r="P117" s="363" t="str">
        <f>IF(O117="","",IF(VLOOKUP(O117,'G-7 WaterC'' Data'!$AD$4:$AE$14,2,FALSE)=0,"Spatial Data Missing ⚠",VLOOKUP(O117,'G-7 WaterC'' Data'!$AD$4:$AE$14,2,FALSE)))</f>
        <v/>
      </c>
      <c r="Q117" s="369" t="str">
        <f>IF(D117="","",VLOOKUP(D117,'G-7 WaterC'' Data'!$B$4:$G$8,6,FALSE))</f>
        <v/>
      </c>
      <c r="R117" s="376" t="str">
        <f>IFERROR(IF(D117="","",IF(AND(Q117='G-1 All Habitats'!$X$3,X117&gt;0),Y117+(Z117*T117),IF(AND(Q117='G-1 All Habitats'!$X$3,W117&gt;0),Y117+(Z117*T117),IF(AND(Q117='G-1 All Habitats'!$X$3,AH117&gt;0),"Any Loss Unacceptable ⚠",IF(AND(Q117='G-1 All Habitats'!$X$3,AI117&gt;0),"Any Loss Unacceptable ⚠", E117*G117*I117*L117*N117*P117*T117 ))))),"Check Data ▲")</f>
        <v/>
      </c>
      <c r="S117" s="516"/>
      <c r="T117" s="368" t="str">
        <f>IF(S117="","",IF(VLOOKUP(S117,'G-7 WaterC'' Data'!$AO$4:$BO$7,2,FALSE)=0,"Spatial Data Missing ⚠",VLOOKUP(S117,'G-7 WaterC'' Data'!$AO$4:$BO$7,2,FALSE)))</f>
        <v/>
      </c>
      <c r="U117" s="376" t="str">
        <f>IFERROR(IF(D117="","",IF(AND(Q117='G-1 All Habitats'!$X$3,X117&gt;0),Y117+Z117,IF(AND(Q117='G-1 All Habitats'!$X$3,W117&gt;0),Y117+Z117,IF(AND(Q117='G-1 All Habitats'!$X$3,AH117&gt;0),"Any Loss Unacceptable ⚠",IF(AND(Q117='G-1 All Habitats'!$X$3,AI117&gt;0),"Any Loss Unacceptable ⚠", E117*G117*I117*L117*N117*P117 ))))),"Check Data ▲")</f>
        <v/>
      </c>
      <c r="V117" s="32"/>
      <c r="W117" s="114"/>
      <c r="X117" s="125"/>
      <c r="Y117" s="374" t="str">
        <f t="shared" si="8"/>
        <v/>
      </c>
      <c r="Z117" s="374" t="str">
        <f t="shared" si="9"/>
        <v/>
      </c>
      <c r="AA117" s="374" t="str">
        <f t="shared" si="10"/>
        <v/>
      </c>
      <c r="AB117" s="670" t="str">
        <f t="shared" si="11"/>
        <v/>
      </c>
      <c r="AC117" s="516"/>
      <c r="AD117" s="119"/>
      <c r="AE117" s="120"/>
      <c r="AF117" s="120"/>
      <c r="AG117" s="120"/>
      <c r="AH117" s="57" t="str">
        <f>IF(Q117="","",IF(Q117='G-1 All Habitats'!$X$3,E117-X117-W117,"None"))</f>
        <v/>
      </c>
      <c r="AI117" s="58" t="str">
        <f>IF(Q117="","", IF(Q117='G-1 All Habitats'!$X$3, AH117*G117*I117*L117*N117*P117,"None"))</f>
        <v/>
      </c>
      <c r="AJ117" s="30" t="str">
        <f>IFERROR(INDEX('G-7 WaterC'' Data'!$AZ$3:$AZ$7,MATCH(D117,'G-7 WaterC'' Data'!$AY$3:$AY$7,0)),"")</f>
        <v/>
      </c>
      <c r="AK117" s="30">
        <f t="shared" si="12"/>
        <v>0</v>
      </c>
      <c r="AL117" s="124" t="str">
        <f t="shared" si="13"/>
        <v/>
      </c>
      <c r="AM117" s="124" t="str">
        <f t="shared" si="14"/>
        <v/>
      </c>
      <c r="AO117" s="124">
        <v>108</v>
      </c>
      <c r="AQ117" s="124" t="str">
        <f t="array" ref="AQ117">IFERROR(INDEX($AO$10:$AO$258, MATCH(0, IF(TRUE=$AL$10:$AL$258, COUNTIF($AQ$9:$AQ116, $AO$10:$AO$258), ""), 0)),"")</f>
        <v/>
      </c>
      <c r="AR117" s="124" t="str">
        <f t="array" ref="AR117">IFERROR(INDEX($AO$10:$AO$258, MATCH(0, IF(TRUE=$AM$10:$AM$258, COUNTIF($AR$9:$AR116, $AO$10:$AO$258), ""), 0)),"")</f>
        <v/>
      </c>
      <c r="AZ117" s="802" t="str">
        <f t="shared" si="15"/>
        <v/>
      </c>
    </row>
    <row r="118" spans="3:52" ht="15.75" thickBot="1">
      <c r="C118" s="110">
        <v>109</v>
      </c>
      <c r="D118" s="340"/>
      <c r="E118" s="121"/>
      <c r="F118" s="362" t="str">
        <f>IF(D118="","",VLOOKUP(D118,'G-7 WaterC'' Data'!$B$2:$G$8,2,FALSE))</f>
        <v/>
      </c>
      <c r="G118" s="363" t="str">
        <f>IFERROR(VLOOKUP(F118,'G-7 WaterC'' Data'!$C$4:$D$8,2,FALSE),"")</f>
        <v/>
      </c>
      <c r="H118" s="114"/>
      <c r="I118" s="363" t="str">
        <f>IFERROR(INDEX('G-7 WaterC'' Data'!$H$4:$L$8,MATCH(D118,'G-7 WaterC'' Data'!$B$4:$B$8,0),MATCH(H118,'G-7 WaterC'' Data'!$H$3:$L$3,0)),"")</f>
        <v/>
      </c>
      <c r="J118" s="115"/>
      <c r="K118" s="382" t="str">
        <f>IF(J118="","",IF(VLOOKUP(J118,'G-7 WaterC'' Data'!$AK$4:$AM$9,2,FALSE)=0,"Spatial Data Missing ⚠",VLOOKUP(J118,'G-7 WaterC'' Data'!$AK$4:$AM$6,2,FALSE)))</f>
        <v/>
      </c>
      <c r="L118" s="386" t="str">
        <f>IF(J118="","",IF(VLOOKUP(J118,'G-7 WaterC'' Data'!$AK$4:$AM$9,3,FALSE)=0,"Spatial Data Missing ⚠",VLOOKUP(J118,'G-7 WaterC'' Data'!$AK$4:$AM$6,3,FALSE)))</f>
        <v/>
      </c>
      <c r="M118" s="115"/>
      <c r="N118" s="363" t="str">
        <f>IF(M118="","",IF(VLOOKUP(M118,'G-7 WaterC'' Data'!$AA$4:$AB$7,2,FALSE)=0,"Spatial Data Missing ⚠",VLOOKUP(M118,'G-7 WaterC'' Data'!$AA$4:$AB$7,2,FALSE)))</f>
        <v/>
      </c>
      <c r="O118" s="60"/>
      <c r="P118" s="363" t="str">
        <f>IF(O118="","",IF(VLOOKUP(O118,'G-7 WaterC'' Data'!$AD$4:$AE$14,2,FALSE)=0,"Spatial Data Missing ⚠",VLOOKUP(O118,'G-7 WaterC'' Data'!$AD$4:$AE$14,2,FALSE)))</f>
        <v/>
      </c>
      <c r="Q118" s="369" t="str">
        <f>IF(D118="","",VLOOKUP(D118,'G-7 WaterC'' Data'!$B$4:$G$8,6,FALSE))</f>
        <v/>
      </c>
      <c r="R118" s="376" t="str">
        <f>IFERROR(IF(D118="","",IF(AND(Q118='G-1 All Habitats'!$X$3,X118&gt;0),Y118+(Z118*T118),IF(AND(Q118='G-1 All Habitats'!$X$3,W118&gt;0),Y118+(Z118*T118),IF(AND(Q118='G-1 All Habitats'!$X$3,AH118&gt;0),"Any Loss Unacceptable ⚠",IF(AND(Q118='G-1 All Habitats'!$X$3,AI118&gt;0),"Any Loss Unacceptable ⚠", E118*G118*I118*L118*N118*P118*T118 ))))),"Check Data ▲")</f>
        <v/>
      </c>
      <c r="S118" s="516"/>
      <c r="T118" s="368" t="str">
        <f>IF(S118="","",IF(VLOOKUP(S118,'G-7 WaterC'' Data'!$AO$4:$BO$7,2,FALSE)=0,"Spatial Data Missing ⚠",VLOOKUP(S118,'G-7 WaterC'' Data'!$AO$4:$BO$7,2,FALSE)))</f>
        <v/>
      </c>
      <c r="U118" s="376" t="str">
        <f>IFERROR(IF(D118="","",IF(AND(Q118='G-1 All Habitats'!$X$3,X118&gt;0),Y118+Z118,IF(AND(Q118='G-1 All Habitats'!$X$3,W118&gt;0),Y118+Z118,IF(AND(Q118='G-1 All Habitats'!$X$3,AH118&gt;0),"Any Loss Unacceptable ⚠",IF(AND(Q118='G-1 All Habitats'!$X$3,AI118&gt;0),"Any Loss Unacceptable ⚠", E118*G118*I118*L118*N118*P118 ))))),"Check Data ▲")</f>
        <v/>
      </c>
      <c r="V118" s="32"/>
      <c r="W118" s="114"/>
      <c r="X118" s="125"/>
      <c r="Y118" s="374" t="str">
        <f t="shared" si="8"/>
        <v/>
      </c>
      <c r="Z118" s="374" t="str">
        <f t="shared" si="9"/>
        <v/>
      </c>
      <c r="AA118" s="374" t="str">
        <f t="shared" si="10"/>
        <v/>
      </c>
      <c r="AB118" s="670" t="str">
        <f t="shared" si="11"/>
        <v/>
      </c>
      <c r="AC118" s="516"/>
      <c r="AD118" s="119"/>
      <c r="AE118" s="120"/>
      <c r="AF118" s="120"/>
      <c r="AG118" s="120"/>
      <c r="AH118" s="57" t="str">
        <f>IF(Q118="","",IF(Q118='G-1 All Habitats'!$X$3,E118-X118-W118,"None"))</f>
        <v/>
      </c>
      <c r="AI118" s="58" t="str">
        <f>IF(Q118="","", IF(Q118='G-1 All Habitats'!$X$3, AH118*G118*I118*L118*N118*P118,"None"))</f>
        <v/>
      </c>
      <c r="AJ118" s="30" t="str">
        <f>IFERROR(INDEX('G-7 WaterC'' Data'!$AZ$3:$AZ$7,MATCH(D118,'G-7 WaterC'' Data'!$AY$3:$AY$7,0)),"")</f>
        <v/>
      </c>
      <c r="AK118" s="30">
        <f t="shared" si="12"/>
        <v>0</v>
      </c>
      <c r="AL118" s="124" t="str">
        <f t="shared" si="13"/>
        <v/>
      </c>
      <c r="AM118" s="124" t="str">
        <f t="shared" si="14"/>
        <v/>
      </c>
      <c r="AO118" s="124">
        <v>109</v>
      </c>
      <c r="AQ118" s="124" t="str">
        <f t="array" ref="AQ118">IFERROR(INDEX($AO$10:$AO$258, MATCH(0, IF(TRUE=$AL$10:$AL$258, COUNTIF($AQ$9:$AQ117, $AO$10:$AO$258), ""), 0)),"")</f>
        <v/>
      </c>
      <c r="AR118" s="124" t="str">
        <f t="array" ref="AR118">IFERROR(INDEX($AO$10:$AO$258, MATCH(0, IF(TRUE=$AM$10:$AM$258, COUNTIF($AR$9:$AR117, $AO$10:$AO$258), ""), 0)),"")</f>
        <v/>
      </c>
      <c r="AZ118" s="802" t="str">
        <f t="shared" si="15"/>
        <v/>
      </c>
    </row>
    <row r="119" spans="3:52" ht="15.75" thickBot="1">
      <c r="C119" s="110">
        <v>110</v>
      </c>
      <c r="D119" s="340"/>
      <c r="E119" s="121"/>
      <c r="F119" s="362" t="str">
        <f>IF(D119="","",VLOOKUP(D119,'G-7 WaterC'' Data'!$B$2:$G$8,2,FALSE))</f>
        <v/>
      </c>
      <c r="G119" s="363" t="str">
        <f>IFERROR(VLOOKUP(F119,'G-7 WaterC'' Data'!$C$4:$D$8,2,FALSE),"")</f>
        <v/>
      </c>
      <c r="H119" s="114"/>
      <c r="I119" s="363" t="str">
        <f>IFERROR(INDEX('G-7 WaterC'' Data'!$H$4:$L$8,MATCH(D119,'G-7 WaterC'' Data'!$B$4:$B$8,0),MATCH(H119,'G-7 WaterC'' Data'!$H$3:$L$3,0)),"")</f>
        <v/>
      </c>
      <c r="J119" s="115"/>
      <c r="K119" s="382" t="str">
        <f>IF(J119="","",IF(VLOOKUP(J119,'G-7 WaterC'' Data'!$AK$4:$AM$9,2,FALSE)=0,"Spatial Data Missing ⚠",VLOOKUP(J119,'G-7 WaterC'' Data'!$AK$4:$AM$6,2,FALSE)))</f>
        <v/>
      </c>
      <c r="L119" s="386" t="str">
        <f>IF(J119="","",IF(VLOOKUP(J119,'G-7 WaterC'' Data'!$AK$4:$AM$9,3,FALSE)=0,"Spatial Data Missing ⚠",VLOOKUP(J119,'G-7 WaterC'' Data'!$AK$4:$AM$6,3,FALSE)))</f>
        <v/>
      </c>
      <c r="M119" s="115"/>
      <c r="N119" s="363" t="str">
        <f>IF(M119="","",IF(VLOOKUP(M119,'G-7 WaterC'' Data'!$AA$4:$AB$7,2,FALSE)=0,"Spatial Data Missing ⚠",VLOOKUP(M119,'G-7 WaterC'' Data'!$AA$4:$AB$7,2,FALSE)))</f>
        <v/>
      </c>
      <c r="O119" s="60"/>
      <c r="P119" s="363" t="str">
        <f>IF(O119="","",IF(VLOOKUP(O119,'G-7 WaterC'' Data'!$AD$4:$AE$14,2,FALSE)=0,"Spatial Data Missing ⚠",VLOOKUP(O119,'G-7 WaterC'' Data'!$AD$4:$AE$14,2,FALSE)))</f>
        <v/>
      </c>
      <c r="Q119" s="369" t="str">
        <f>IF(D119="","",VLOOKUP(D119,'G-7 WaterC'' Data'!$B$4:$G$8,6,FALSE))</f>
        <v/>
      </c>
      <c r="R119" s="376" t="str">
        <f>IFERROR(IF(D119="","",IF(AND(Q119='G-1 All Habitats'!$X$3,X119&gt;0),Y119+(Z119*T119),IF(AND(Q119='G-1 All Habitats'!$X$3,W119&gt;0),Y119+(Z119*T119),IF(AND(Q119='G-1 All Habitats'!$X$3,AH119&gt;0),"Any Loss Unacceptable ⚠",IF(AND(Q119='G-1 All Habitats'!$X$3,AI119&gt;0),"Any Loss Unacceptable ⚠", E119*G119*I119*L119*N119*P119*T119 ))))),"Check Data ▲")</f>
        <v/>
      </c>
      <c r="S119" s="516"/>
      <c r="T119" s="368" t="str">
        <f>IF(S119="","",IF(VLOOKUP(S119,'G-7 WaterC'' Data'!$AO$4:$BO$7,2,FALSE)=0,"Spatial Data Missing ⚠",VLOOKUP(S119,'G-7 WaterC'' Data'!$AO$4:$BO$7,2,FALSE)))</f>
        <v/>
      </c>
      <c r="U119" s="376" t="str">
        <f>IFERROR(IF(D119="","",IF(AND(Q119='G-1 All Habitats'!$X$3,X119&gt;0),Y119+Z119,IF(AND(Q119='G-1 All Habitats'!$X$3,W119&gt;0),Y119+Z119,IF(AND(Q119='G-1 All Habitats'!$X$3,AH119&gt;0),"Any Loss Unacceptable ⚠",IF(AND(Q119='G-1 All Habitats'!$X$3,AI119&gt;0),"Any Loss Unacceptable ⚠", E119*G119*I119*L119*N119*P119 ))))),"Check Data ▲")</f>
        <v/>
      </c>
      <c r="V119" s="32"/>
      <c r="W119" s="114"/>
      <c r="X119" s="125"/>
      <c r="Y119" s="374" t="str">
        <f t="shared" si="8"/>
        <v/>
      </c>
      <c r="Z119" s="374" t="str">
        <f t="shared" si="9"/>
        <v/>
      </c>
      <c r="AA119" s="374" t="str">
        <f t="shared" si="10"/>
        <v/>
      </c>
      <c r="AB119" s="670" t="str">
        <f t="shared" si="11"/>
        <v/>
      </c>
      <c r="AC119" s="516"/>
      <c r="AD119" s="119"/>
      <c r="AE119" s="120"/>
      <c r="AF119" s="120"/>
      <c r="AG119" s="120"/>
      <c r="AH119" s="57" t="str">
        <f>IF(Q119="","",IF(Q119='G-1 All Habitats'!$X$3,E119-X119-W119,"None"))</f>
        <v/>
      </c>
      <c r="AI119" s="58" t="str">
        <f>IF(Q119="","", IF(Q119='G-1 All Habitats'!$X$3, AH119*G119*I119*L119*N119*P119,"None"))</f>
        <v/>
      </c>
      <c r="AJ119" s="30" t="str">
        <f>IFERROR(INDEX('G-7 WaterC'' Data'!$AZ$3:$AZ$7,MATCH(D119,'G-7 WaterC'' Data'!$AY$3:$AY$7,0)),"")</f>
        <v/>
      </c>
      <c r="AK119" s="30">
        <f t="shared" si="12"/>
        <v>0</v>
      </c>
      <c r="AL119" s="124" t="str">
        <f t="shared" si="13"/>
        <v/>
      </c>
      <c r="AM119" s="124" t="str">
        <f t="shared" si="14"/>
        <v/>
      </c>
      <c r="AO119" s="124">
        <v>110</v>
      </c>
      <c r="AQ119" s="124" t="str">
        <f t="array" ref="AQ119">IFERROR(INDEX($AO$10:$AO$258, MATCH(0, IF(TRUE=$AL$10:$AL$258, COUNTIF($AQ$9:$AQ118, $AO$10:$AO$258), ""), 0)),"")</f>
        <v/>
      </c>
      <c r="AR119" s="124" t="str">
        <f t="array" ref="AR119">IFERROR(INDEX($AO$10:$AO$258, MATCH(0, IF(TRUE=$AM$10:$AM$258, COUNTIF($AR$9:$AR118, $AO$10:$AO$258), ""), 0)),"")</f>
        <v/>
      </c>
      <c r="AZ119" s="802" t="str">
        <f t="shared" si="15"/>
        <v/>
      </c>
    </row>
    <row r="120" spans="3:52" ht="15.75" thickBot="1">
      <c r="C120" s="110">
        <v>111</v>
      </c>
      <c r="D120" s="340"/>
      <c r="E120" s="121"/>
      <c r="F120" s="362" t="str">
        <f>IF(D120="","",VLOOKUP(D120,'G-7 WaterC'' Data'!$B$2:$G$8,2,FALSE))</f>
        <v/>
      </c>
      <c r="G120" s="363" t="str">
        <f>IFERROR(VLOOKUP(F120,'G-7 WaterC'' Data'!$C$4:$D$8,2,FALSE),"")</f>
        <v/>
      </c>
      <c r="H120" s="114"/>
      <c r="I120" s="363" t="str">
        <f>IFERROR(INDEX('G-7 WaterC'' Data'!$H$4:$L$8,MATCH(D120,'G-7 WaterC'' Data'!$B$4:$B$8,0),MATCH(H120,'G-7 WaterC'' Data'!$H$3:$L$3,0)),"")</f>
        <v/>
      </c>
      <c r="J120" s="115"/>
      <c r="K120" s="382" t="str">
        <f>IF(J120="","",IF(VLOOKUP(J120,'G-7 WaterC'' Data'!$AK$4:$AM$9,2,FALSE)=0,"Spatial Data Missing ⚠",VLOOKUP(J120,'G-7 WaterC'' Data'!$AK$4:$AM$6,2,FALSE)))</f>
        <v/>
      </c>
      <c r="L120" s="386" t="str">
        <f>IF(J120="","",IF(VLOOKUP(J120,'G-7 WaterC'' Data'!$AK$4:$AM$9,3,FALSE)=0,"Spatial Data Missing ⚠",VLOOKUP(J120,'G-7 WaterC'' Data'!$AK$4:$AM$6,3,FALSE)))</f>
        <v/>
      </c>
      <c r="M120" s="115"/>
      <c r="N120" s="363" t="str">
        <f>IF(M120="","",IF(VLOOKUP(M120,'G-7 WaterC'' Data'!$AA$4:$AB$7,2,FALSE)=0,"Spatial Data Missing ⚠",VLOOKUP(M120,'G-7 WaterC'' Data'!$AA$4:$AB$7,2,FALSE)))</f>
        <v/>
      </c>
      <c r="O120" s="60"/>
      <c r="P120" s="363" t="str">
        <f>IF(O120="","",IF(VLOOKUP(O120,'G-7 WaterC'' Data'!$AD$4:$AE$14,2,FALSE)=0,"Spatial Data Missing ⚠",VLOOKUP(O120,'G-7 WaterC'' Data'!$AD$4:$AE$14,2,FALSE)))</f>
        <v/>
      </c>
      <c r="Q120" s="369" t="str">
        <f>IF(D120="","",VLOOKUP(D120,'G-7 WaterC'' Data'!$B$4:$G$8,6,FALSE))</f>
        <v/>
      </c>
      <c r="R120" s="376" t="str">
        <f>IFERROR(IF(D120="","",IF(AND(Q120='G-1 All Habitats'!$X$3,X120&gt;0),Y120+(Z120*T120),IF(AND(Q120='G-1 All Habitats'!$X$3,W120&gt;0),Y120+(Z120*T120),IF(AND(Q120='G-1 All Habitats'!$X$3,AH120&gt;0),"Any Loss Unacceptable ⚠",IF(AND(Q120='G-1 All Habitats'!$X$3,AI120&gt;0),"Any Loss Unacceptable ⚠", E120*G120*I120*L120*N120*P120*T120 ))))),"Check Data ▲")</f>
        <v/>
      </c>
      <c r="S120" s="516"/>
      <c r="T120" s="368" t="str">
        <f>IF(S120="","",IF(VLOOKUP(S120,'G-7 WaterC'' Data'!$AO$4:$BO$7,2,FALSE)=0,"Spatial Data Missing ⚠",VLOOKUP(S120,'G-7 WaterC'' Data'!$AO$4:$BO$7,2,FALSE)))</f>
        <v/>
      </c>
      <c r="U120" s="376" t="str">
        <f>IFERROR(IF(D120="","",IF(AND(Q120='G-1 All Habitats'!$X$3,X120&gt;0),Y120+Z120,IF(AND(Q120='G-1 All Habitats'!$X$3,W120&gt;0),Y120+Z120,IF(AND(Q120='G-1 All Habitats'!$X$3,AH120&gt;0),"Any Loss Unacceptable ⚠",IF(AND(Q120='G-1 All Habitats'!$X$3,AI120&gt;0),"Any Loss Unacceptable ⚠", E120*G120*I120*L120*N120*P120 ))))),"Check Data ▲")</f>
        <v/>
      </c>
      <c r="V120" s="32"/>
      <c r="W120" s="114"/>
      <c r="X120" s="125"/>
      <c r="Y120" s="374" t="str">
        <f t="shared" si="8"/>
        <v/>
      </c>
      <c r="Z120" s="374" t="str">
        <f t="shared" si="9"/>
        <v/>
      </c>
      <c r="AA120" s="374" t="str">
        <f t="shared" si="10"/>
        <v/>
      </c>
      <c r="AB120" s="670" t="str">
        <f t="shared" si="11"/>
        <v/>
      </c>
      <c r="AC120" s="516"/>
      <c r="AD120" s="119"/>
      <c r="AE120" s="120"/>
      <c r="AF120" s="120"/>
      <c r="AG120" s="120"/>
      <c r="AH120" s="57" t="str">
        <f>IF(Q120="","",IF(Q120='G-1 All Habitats'!$X$3,E120-X120-W120,"None"))</f>
        <v/>
      </c>
      <c r="AI120" s="58" t="str">
        <f>IF(Q120="","", IF(Q120='G-1 All Habitats'!$X$3, AH120*G120*I120*L120*N120*P120,"None"))</f>
        <v/>
      </c>
      <c r="AJ120" s="30" t="str">
        <f>IFERROR(INDEX('G-7 WaterC'' Data'!$AZ$3:$AZ$7,MATCH(D120,'G-7 WaterC'' Data'!$AY$3:$AY$7,0)),"")</f>
        <v/>
      </c>
      <c r="AK120" s="30">
        <f t="shared" si="12"/>
        <v>0</v>
      </c>
      <c r="AL120" s="124" t="str">
        <f t="shared" si="13"/>
        <v/>
      </c>
      <c r="AM120" s="124" t="str">
        <f t="shared" si="14"/>
        <v/>
      </c>
      <c r="AO120" s="124">
        <v>111</v>
      </c>
      <c r="AQ120" s="124" t="str">
        <f t="array" ref="AQ120">IFERROR(INDEX($AO$10:$AO$258, MATCH(0, IF(TRUE=$AL$10:$AL$258, COUNTIF($AQ$9:$AQ119, $AO$10:$AO$258), ""), 0)),"")</f>
        <v/>
      </c>
      <c r="AR120" s="124" t="str">
        <f t="array" ref="AR120">IFERROR(INDEX($AO$10:$AO$258, MATCH(0, IF(TRUE=$AM$10:$AM$258, COUNTIF($AR$9:$AR119, $AO$10:$AO$258), ""), 0)),"")</f>
        <v/>
      </c>
      <c r="AZ120" s="802" t="str">
        <f t="shared" si="15"/>
        <v/>
      </c>
    </row>
    <row r="121" spans="3:52" ht="15.75" thickBot="1">
      <c r="C121" s="110">
        <v>112</v>
      </c>
      <c r="D121" s="340"/>
      <c r="E121" s="121"/>
      <c r="F121" s="362" t="str">
        <f>IF(D121="","",VLOOKUP(D121,'G-7 WaterC'' Data'!$B$2:$G$8,2,FALSE))</f>
        <v/>
      </c>
      <c r="G121" s="363" t="str">
        <f>IFERROR(VLOOKUP(F121,'G-7 WaterC'' Data'!$C$4:$D$8,2,FALSE),"")</f>
        <v/>
      </c>
      <c r="H121" s="114"/>
      <c r="I121" s="363" t="str">
        <f>IFERROR(INDEX('G-7 WaterC'' Data'!$H$4:$L$8,MATCH(D121,'G-7 WaterC'' Data'!$B$4:$B$8,0),MATCH(H121,'G-7 WaterC'' Data'!$H$3:$L$3,0)),"")</f>
        <v/>
      </c>
      <c r="J121" s="115"/>
      <c r="K121" s="382" t="str">
        <f>IF(J121="","",IF(VLOOKUP(J121,'G-7 WaterC'' Data'!$AK$4:$AM$9,2,FALSE)=0,"Spatial Data Missing ⚠",VLOOKUP(J121,'G-7 WaterC'' Data'!$AK$4:$AM$6,2,FALSE)))</f>
        <v/>
      </c>
      <c r="L121" s="386" t="str">
        <f>IF(J121="","",IF(VLOOKUP(J121,'G-7 WaterC'' Data'!$AK$4:$AM$9,3,FALSE)=0,"Spatial Data Missing ⚠",VLOOKUP(J121,'G-7 WaterC'' Data'!$AK$4:$AM$6,3,FALSE)))</f>
        <v/>
      </c>
      <c r="M121" s="115"/>
      <c r="N121" s="363" t="str">
        <f>IF(M121="","",IF(VLOOKUP(M121,'G-7 WaterC'' Data'!$AA$4:$AB$7,2,FALSE)=0,"Spatial Data Missing ⚠",VLOOKUP(M121,'G-7 WaterC'' Data'!$AA$4:$AB$7,2,FALSE)))</f>
        <v/>
      </c>
      <c r="O121" s="60"/>
      <c r="P121" s="363" t="str">
        <f>IF(O121="","",IF(VLOOKUP(O121,'G-7 WaterC'' Data'!$AD$4:$AE$14,2,FALSE)=0,"Spatial Data Missing ⚠",VLOOKUP(O121,'G-7 WaterC'' Data'!$AD$4:$AE$14,2,FALSE)))</f>
        <v/>
      </c>
      <c r="Q121" s="369" t="str">
        <f>IF(D121="","",VLOOKUP(D121,'G-7 WaterC'' Data'!$B$4:$G$8,6,FALSE))</f>
        <v/>
      </c>
      <c r="R121" s="376" t="str">
        <f>IFERROR(IF(D121="","",IF(AND(Q121='G-1 All Habitats'!$X$3,X121&gt;0),Y121+(Z121*T121),IF(AND(Q121='G-1 All Habitats'!$X$3,W121&gt;0),Y121+(Z121*T121),IF(AND(Q121='G-1 All Habitats'!$X$3,AH121&gt;0),"Any Loss Unacceptable ⚠",IF(AND(Q121='G-1 All Habitats'!$X$3,AI121&gt;0),"Any Loss Unacceptable ⚠", E121*G121*I121*L121*N121*P121*T121 ))))),"Check Data ▲")</f>
        <v/>
      </c>
      <c r="S121" s="516"/>
      <c r="T121" s="368" t="str">
        <f>IF(S121="","",IF(VLOOKUP(S121,'G-7 WaterC'' Data'!$AO$4:$BO$7,2,FALSE)=0,"Spatial Data Missing ⚠",VLOOKUP(S121,'G-7 WaterC'' Data'!$AO$4:$BO$7,2,FALSE)))</f>
        <v/>
      </c>
      <c r="U121" s="376" t="str">
        <f>IFERROR(IF(D121="","",IF(AND(Q121='G-1 All Habitats'!$X$3,X121&gt;0),Y121+Z121,IF(AND(Q121='G-1 All Habitats'!$X$3,W121&gt;0),Y121+Z121,IF(AND(Q121='G-1 All Habitats'!$X$3,AH121&gt;0),"Any Loss Unacceptable ⚠",IF(AND(Q121='G-1 All Habitats'!$X$3,AI121&gt;0),"Any Loss Unacceptable ⚠", E121*G121*I121*L121*N121*P121 ))))),"Check Data ▲")</f>
        <v/>
      </c>
      <c r="V121" s="32"/>
      <c r="W121" s="114"/>
      <c r="X121" s="125"/>
      <c r="Y121" s="374" t="str">
        <f t="shared" si="8"/>
        <v/>
      </c>
      <c r="Z121" s="374" t="str">
        <f t="shared" si="9"/>
        <v/>
      </c>
      <c r="AA121" s="374" t="str">
        <f t="shared" si="10"/>
        <v/>
      </c>
      <c r="AB121" s="670" t="str">
        <f t="shared" si="11"/>
        <v/>
      </c>
      <c r="AC121" s="516"/>
      <c r="AD121" s="119"/>
      <c r="AE121" s="120"/>
      <c r="AF121" s="120"/>
      <c r="AG121" s="120"/>
      <c r="AH121" s="57" t="str">
        <f>IF(Q121="","",IF(Q121='G-1 All Habitats'!$X$3,E121-X121-W121,"None"))</f>
        <v/>
      </c>
      <c r="AI121" s="58" t="str">
        <f>IF(Q121="","", IF(Q121='G-1 All Habitats'!$X$3, AH121*G121*I121*L121*N121*P121,"None"))</f>
        <v/>
      </c>
      <c r="AJ121" s="30" t="str">
        <f>IFERROR(INDEX('G-7 WaterC'' Data'!$AZ$3:$AZ$7,MATCH(D121,'G-7 WaterC'' Data'!$AY$3:$AY$7,0)),"")</f>
        <v/>
      </c>
      <c r="AK121" s="30">
        <f t="shared" si="12"/>
        <v>0</v>
      </c>
      <c r="AL121" s="124" t="str">
        <f t="shared" si="13"/>
        <v/>
      </c>
      <c r="AM121" s="124" t="str">
        <f t="shared" si="14"/>
        <v/>
      </c>
      <c r="AO121" s="124">
        <v>112</v>
      </c>
      <c r="AQ121" s="124" t="str">
        <f t="array" ref="AQ121">IFERROR(INDEX($AO$10:$AO$258, MATCH(0, IF(TRUE=$AL$10:$AL$258, COUNTIF($AQ$9:$AQ120, $AO$10:$AO$258), ""), 0)),"")</f>
        <v/>
      </c>
      <c r="AR121" s="124" t="str">
        <f t="array" ref="AR121">IFERROR(INDEX($AO$10:$AO$258, MATCH(0, IF(TRUE=$AM$10:$AM$258, COUNTIF($AR$9:$AR120, $AO$10:$AO$258), ""), 0)),"")</f>
        <v/>
      </c>
      <c r="AZ121" s="802" t="str">
        <f t="shared" si="15"/>
        <v/>
      </c>
    </row>
    <row r="122" spans="3:52" ht="15.75" thickBot="1">
      <c r="C122" s="110">
        <v>113</v>
      </c>
      <c r="D122" s="340"/>
      <c r="E122" s="121"/>
      <c r="F122" s="362" t="str">
        <f>IF(D122="","",VLOOKUP(D122,'G-7 WaterC'' Data'!$B$2:$G$8,2,FALSE))</f>
        <v/>
      </c>
      <c r="G122" s="363" t="str">
        <f>IFERROR(VLOOKUP(F122,'G-7 WaterC'' Data'!$C$4:$D$8,2,FALSE),"")</f>
        <v/>
      </c>
      <c r="H122" s="114"/>
      <c r="I122" s="363" t="str">
        <f>IFERROR(INDEX('G-7 WaterC'' Data'!$H$4:$L$8,MATCH(D122,'G-7 WaterC'' Data'!$B$4:$B$8,0),MATCH(H122,'G-7 WaterC'' Data'!$H$3:$L$3,0)),"")</f>
        <v/>
      </c>
      <c r="J122" s="115"/>
      <c r="K122" s="382" t="str">
        <f>IF(J122="","",IF(VLOOKUP(J122,'G-7 WaterC'' Data'!$AK$4:$AM$9,2,FALSE)=0,"Spatial Data Missing ⚠",VLOOKUP(J122,'G-7 WaterC'' Data'!$AK$4:$AM$6,2,FALSE)))</f>
        <v/>
      </c>
      <c r="L122" s="386" t="str">
        <f>IF(J122="","",IF(VLOOKUP(J122,'G-7 WaterC'' Data'!$AK$4:$AM$9,3,FALSE)=0,"Spatial Data Missing ⚠",VLOOKUP(J122,'G-7 WaterC'' Data'!$AK$4:$AM$6,3,FALSE)))</f>
        <v/>
      </c>
      <c r="M122" s="115"/>
      <c r="N122" s="363" t="str">
        <f>IF(M122="","",IF(VLOOKUP(M122,'G-7 WaterC'' Data'!$AA$4:$AB$7,2,FALSE)=0,"Spatial Data Missing ⚠",VLOOKUP(M122,'G-7 WaterC'' Data'!$AA$4:$AB$7,2,FALSE)))</f>
        <v/>
      </c>
      <c r="O122" s="60"/>
      <c r="P122" s="363" t="str">
        <f>IF(O122="","",IF(VLOOKUP(O122,'G-7 WaterC'' Data'!$AD$4:$AE$14,2,FALSE)=0,"Spatial Data Missing ⚠",VLOOKUP(O122,'G-7 WaterC'' Data'!$AD$4:$AE$14,2,FALSE)))</f>
        <v/>
      </c>
      <c r="Q122" s="369" t="str">
        <f>IF(D122="","",VLOOKUP(D122,'G-7 WaterC'' Data'!$B$4:$G$8,6,FALSE))</f>
        <v/>
      </c>
      <c r="R122" s="376" t="str">
        <f>IFERROR(IF(D122="","",IF(AND(Q122='G-1 All Habitats'!$X$3,X122&gt;0),Y122+(Z122*T122),IF(AND(Q122='G-1 All Habitats'!$X$3,W122&gt;0),Y122+(Z122*T122),IF(AND(Q122='G-1 All Habitats'!$X$3,AH122&gt;0),"Any Loss Unacceptable ⚠",IF(AND(Q122='G-1 All Habitats'!$X$3,AI122&gt;0),"Any Loss Unacceptable ⚠", E122*G122*I122*L122*N122*P122*T122 ))))),"Check Data ▲")</f>
        <v/>
      </c>
      <c r="S122" s="516"/>
      <c r="T122" s="368" t="str">
        <f>IF(S122="","",IF(VLOOKUP(S122,'G-7 WaterC'' Data'!$AO$4:$BO$7,2,FALSE)=0,"Spatial Data Missing ⚠",VLOOKUP(S122,'G-7 WaterC'' Data'!$AO$4:$BO$7,2,FALSE)))</f>
        <v/>
      </c>
      <c r="U122" s="376" t="str">
        <f>IFERROR(IF(D122="","",IF(AND(Q122='G-1 All Habitats'!$X$3,X122&gt;0),Y122+Z122,IF(AND(Q122='G-1 All Habitats'!$X$3,W122&gt;0),Y122+Z122,IF(AND(Q122='G-1 All Habitats'!$X$3,AH122&gt;0),"Any Loss Unacceptable ⚠",IF(AND(Q122='G-1 All Habitats'!$X$3,AI122&gt;0),"Any Loss Unacceptable ⚠", E122*G122*I122*L122*N122*P122 ))))),"Check Data ▲")</f>
        <v/>
      </c>
      <c r="V122" s="32"/>
      <c r="W122" s="114"/>
      <c r="X122" s="125"/>
      <c r="Y122" s="374" t="str">
        <f t="shared" si="8"/>
        <v/>
      </c>
      <c r="Z122" s="374" t="str">
        <f t="shared" si="9"/>
        <v/>
      </c>
      <c r="AA122" s="374" t="str">
        <f t="shared" si="10"/>
        <v/>
      </c>
      <c r="AB122" s="670" t="str">
        <f t="shared" si="11"/>
        <v/>
      </c>
      <c r="AC122" s="516"/>
      <c r="AD122" s="119"/>
      <c r="AE122" s="120"/>
      <c r="AF122" s="120"/>
      <c r="AG122" s="120"/>
      <c r="AH122" s="57" t="str">
        <f>IF(Q122="","",IF(Q122='G-1 All Habitats'!$X$3,E122-X122-W122,"None"))</f>
        <v/>
      </c>
      <c r="AI122" s="58" t="str">
        <f>IF(Q122="","", IF(Q122='G-1 All Habitats'!$X$3, AH122*G122*I122*L122*N122*P122,"None"))</f>
        <v/>
      </c>
      <c r="AJ122" s="30" t="str">
        <f>IFERROR(INDEX('G-7 WaterC'' Data'!$AZ$3:$AZ$7,MATCH(D122,'G-7 WaterC'' Data'!$AY$3:$AY$7,0)),"")</f>
        <v/>
      </c>
      <c r="AK122" s="30">
        <f t="shared" si="12"/>
        <v>0</v>
      </c>
      <c r="AL122" s="124" t="str">
        <f t="shared" si="13"/>
        <v/>
      </c>
      <c r="AM122" s="124" t="str">
        <f t="shared" si="14"/>
        <v/>
      </c>
      <c r="AO122" s="124">
        <v>113</v>
      </c>
      <c r="AQ122" s="124" t="str">
        <f t="array" ref="AQ122">IFERROR(INDEX($AO$10:$AO$258, MATCH(0, IF(TRUE=$AL$10:$AL$258, COUNTIF($AQ$9:$AQ121, $AO$10:$AO$258), ""), 0)),"")</f>
        <v/>
      </c>
      <c r="AR122" s="124" t="str">
        <f t="array" ref="AR122">IFERROR(INDEX($AO$10:$AO$258, MATCH(0, IF(TRUE=$AM$10:$AM$258, COUNTIF($AR$9:$AR121, $AO$10:$AO$258), ""), 0)),"")</f>
        <v/>
      </c>
      <c r="AZ122" s="802" t="str">
        <f t="shared" si="15"/>
        <v/>
      </c>
    </row>
    <row r="123" spans="3:52" ht="15.75" thickBot="1">
      <c r="C123" s="110">
        <v>114</v>
      </c>
      <c r="D123" s="340"/>
      <c r="E123" s="121"/>
      <c r="F123" s="362" t="str">
        <f>IF(D123="","",VLOOKUP(D123,'G-7 WaterC'' Data'!$B$2:$G$8,2,FALSE))</f>
        <v/>
      </c>
      <c r="G123" s="363" t="str">
        <f>IFERROR(VLOOKUP(F123,'G-7 WaterC'' Data'!$C$4:$D$8,2,FALSE),"")</f>
        <v/>
      </c>
      <c r="H123" s="114"/>
      <c r="I123" s="363" t="str">
        <f>IFERROR(INDEX('G-7 WaterC'' Data'!$H$4:$L$8,MATCH(D123,'G-7 WaterC'' Data'!$B$4:$B$8,0),MATCH(H123,'G-7 WaterC'' Data'!$H$3:$L$3,0)),"")</f>
        <v/>
      </c>
      <c r="J123" s="115"/>
      <c r="K123" s="382" t="str">
        <f>IF(J123="","",IF(VLOOKUP(J123,'G-7 WaterC'' Data'!$AK$4:$AM$9,2,FALSE)=0,"Spatial Data Missing ⚠",VLOOKUP(J123,'G-7 WaterC'' Data'!$AK$4:$AM$6,2,FALSE)))</f>
        <v/>
      </c>
      <c r="L123" s="386" t="str">
        <f>IF(J123="","",IF(VLOOKUP(J123,'G-7 WaterC'' Data'!$AK$4:$AM$9,3,FALSE)=0,"Spatial Data Missing ⚠",VLOOKUP(J123,'G-7 WaterC'' Data'!$AK$4:$AM$6,3,FALSE)))</f>
        <v/>
      </c>
      <c r="M123" s="115"/>
      <c r="N123" s="363" t="str">
        <f>IF(M123="","",IF(VLOOKUP(M123,'G-7 WaterC'' Data'!$AA$4:$AB$7,2,FALSE)=0,"Spatial Data Missing ⚠",VLOOKUP(M123,'G-7 WaterC'' Data'!$AA$4:$AB$7,2,FALSE)))</f>
        <v/>
      </c>
      <c r="O123" s="60"/>
      <c r="P123" s="363" t="str">
        <f>IF(O123="","",IF(VLOOKUP(O123,'G-7 WaterC'' Data'!$AD$4:$AE$14,2,FALSE)=0,"Spatial Data Missing ⚠",VLOOKUP(O123,'G-7 WaterC'' Data'!$AD$4:$AE$14,2,FALSE)))</f>
        <v/>
      </c>
      <c r="Q123" s="369" t="str">
        <f>IF(D123="","",VLOOKUP(D123,'G-7 WaterC'' Data'!$B$4:$G$8,6,FALSE))</f>
        <v/>
      </c>
      <c r="R123" s="376" t="str">
        <f>IFERROR(IF(D123="","",IF(AND(Q123='G-1 All Habitats'!$X$3,X123&gt;0),Y123+(Z123*T123),IF(AND(Q123='G-1 All Habitats'!$X$3,W123&gt;0),Y123+(Z123*T123),IF(AND(Q123='G-1 All Habitats'!$X$3,AH123&gt;0),"Any Loss Unacceptable ⚠",IF(AND(Q123='G-1 All Habitats'!$X$3,AI123&gt;0),"Any Loss Unacceptable ⚠", E123*G123*I123*L123*N123*P123*T123 ))))),"Check Data ▲")</f>
        <v/>
      </c>
      <c r="S123" s="516"/>
      <c r="T123" s="368" t="str">
        <f>IF(S123="","",IF(VLOOKUP(S123,'G-7 WaterC'' Data'!$AO$4:$BO$7,2,FALSE)=0,"Spatial Data Missing ⚠",VLOOKUP(S123,'G-7 WaterC'' Data'!$AO$4:$BO$7,2,FALSE)))</f>
        <v/>
      </c>
      <c r="U123" s="376" t="str">
        <f>IFERROR(IF(D123="","",IF(AND(Q123='G-1 All Habitats'!$X$3,X123&gt;0),Y123+Z123,IF(AND(Q123='G-1 All Habitats'!$X$3,W123&gt;0),Y123+Z123,IF(AND(Q123='G-1 All Habitats'!$X$3,AH123&gt;0),"Any Loss Unacceptable ⚠",IF(AND(Q123='G-1 All Habitats'!$X$3,AI123&gt;0),"Any Loss Unacceptable ⚠", E123*G123*I123*L123*N123*P123 ))))),"Check Data ▲")</f>
        <v/>
      </c>
      <c r="V123" s="32"/>
      <c r="W123" s="114"/>
      <c r="X123" s="125"/>
      <c r="Y123" s="374" t="str">
        <f t="shared" si="8"/>
        <v/>
      </c>
      <c r="Z123" s="374" t="str">
        <f t="shared" si="9"/>
        <v/>
      </c>
      <c r="AA123" s="374" t="str">
        <f t="shared" si="10"/>
        <v/>
      </c>
      <c r="AB123" s="670" t="str">
        <f t="shared" si="11"/>
        <v/>
      </c>
      <c r="AC123" s="516"/>
      <c r="AD123" s="119"/>
      <c r="AE123" s="120"/>
      <c r="AF123" s="120"/>
      <c r="AG123" s="120"/>
      <c r="AH123" s="57" t="str">
        <f>IF(Q123="","",IF(Q123='G-1 All Habitats'!$X$3,E123-X123-W123,"None"))</f>
        <v/>
      </c>
      <c r="AI123" s="58" t="str">
        <f>IF(Q123="","", IF(Q123='G-1 All Habitats'!$X$3, AH123*G123*I123*L123*N123*P123,"None"))</f>
        <v/>
      </c>
      <c r="AJ123" s="30" t="str">
        <f>IFERROR(INDEX('G-7 WaterC'' Data'!$AZ$3:$AZ$7,MATCH(D123,'G-7 WaterC'' Data'!$AY$3:$AY$7,0)),"")</f>
        <v/>
      </c>
      <c r="AK123" s="30">
        <f t="shared" si="12"/>
        <v>0</v>
      </c>
      <c r="AL123" s="124" t="str">
        <f t="shared" si="13"/>
        <v/>
      </c>
      <c r="AM123" s="124" t="str">
        <f t="shared" si="14"/>
        <v/>
      </c>
      <c r="AO123" s="124">
        <v>114</v>
      </c>
      <c r="AQ123" s="124" t="str">
        <f t="array" ref="AQ123">IFERROR(INDEX($AO$10:$AO$258, MATCH(0, IF(TRUE=$AL$10:$AL$258, COUNTIF($AQ$9:$AQ122, $AO$10:$AO$258), ""), 0)),"")</f>
        <v/>
      </c>
      <c r="AR123" s="124" t="str">
        <f t="array" ref="AR123">IFERROR(INDEX($AO$10:$AO$258, MATCH(0, IF(TRUE=$AM$10:$AM$258, COUNTIF($AR$9:$AR122, $AO$10:$AO$258), ""), 0)),"")</f>
        <v/>
      </c>
      <c r="AZ123" s="802" t="str">
        <f t="shared" si="15"/>
        <v/>
      </c>
    </row>
    <row r="124" spans="3:52" ht="15.75" thickBot="1">
      <c r="C124" s="110">
        <v>115</v>
      </c>
      <c r="D124" s="340"/>
      <c r="E124" s="121"/>
      <c r="F124" s="362" t="str">
        <f>IF(D124="","",VLOOKUP(D124,'G-7 WaterC'' Data'!$B$2:$G$8,2,FALSE))</f>
        <v/>
      </c>
      <c r="G124" s="363" t="str">
        <f>IFERROR(VLOOKUP(F124,'G-7 WaterC'' Data'!$C$4:$D$8,2,FALSE),"")</f>
        <v/>
      </c>
      <c r="H124" s="114"/>
      <c r="I124" s="363" t="str">
        <f>IFERROR(INDEX('G-7 WaterC'' Data'!$H$4:$L$8,MATCH(D124,'G-7 WaterC'' Data'!$B$4:$B$8,0),MATCH(H124,'G-7 WaterC'' Data'!$H$3:$L$3,0)),"")</f>
        <v/>
      </c>
      <c r="J124" s="115"/>
      <c r="K124" s="382" t="str">
        <f>IF(J124="","",IF(VLOOKUP(J124,'G-7 WaterC'' Data'!$AK$4:$AM$9,2,FALSE)=0,"Spatial Data Missing ⚠",VLOOKUP(J124,'G-7 WaterC'' Data'!$AK$4:$AM$6,2,FALSE)))</f>
        <v/>
      </c>
      <c r="L124" s="386" t="str">
        <f>IF(J124="","",IF(VLOOKUP(J124,'G-7 WaterC'' Data'!$AK$4:$AM$9,3,FALSE)=0,"Spatial Data Missing ⚠",VLOOKUP(J124,'G-7 WaterC'' Data'!$AK$4:$AM$6,3,FALSE)))</f>
        <v/>
      </c>
      <c r="M124" s="115"/>
      <c r="N124" s="363" t="str">
        <f>IF(M124="","",IF(VLOOKUP(M124,'G-7 WaterC'' Data'!$AA$4:$AB$7,2,FALSE)=0,"Spatial Data Missing ⚠",VLOOKUP(M124,'G-7 WaterC'' Data'!$AA$4:$AB$7,2,FALSE)))</f>
        <v/>
      </c>
      <c r="O124" s="60"/>
      <c r="P124" s="363" t="str">
        <f>IF(O124="","",IF(VLOOKUP(O124,'G-7 WaterC'' Data'!$AD$4:$AE$14,2,FALSE)=0,"Spatial Data Missing ⚠",VLOOKUP(O124,'G-7 WaterC'' Data'!$AD$4:$AE$14,2,FALSE)))</f>
        <v/>
      </c>
      <c r="Q124" s="369" t="str">
        <f>IF(D124="","",VLOOKUP(D124,'G-7 WaterC'' Data'!$B$4:$G$8,6,FALSE))</f>
        <v/>
      </c>
      <c r="R124" s="376" t="str">
        <f>IFERROR(IF(D124="","",IF(AND(Q124='G-1 All Habitats'!$X$3,X124&gt;0),Y124+(Z124*T124),IF(AND(Q124='G-1 All Habitats'!$X$3,W124&gt;0),Y124+(Z124*T124),IF(AND(Q124='G-1 All Habitats'!$X$3,AH124&gt;0),"Any Loss Unacceptable ⚠",IF(AND(Q124='G-1 All Habitats'!$X$3,AI124&gt;0),"Any Loss Unacceptable ⚠", E124*G124*I124*L124*N124*P124*T124 ))))),"Check Data ▲")</f>
        <v/>
      </c>
      <c r="S124" s="516"/>
      <c r="T124" s="368" t="str">
        <f>IF(S124="","",IF(VLOOKUP(S124,'G-7 WaterC'' Data'!$AO$4:$BO$7,2,FALSE)=0,"Spatial Data Missing ⚠",VLOOKUP(S124,'G-7 WaterC'' Data'!$AO$4:$BO$7,2,FALSE)))</f>
        <v/>
      </c>
      <c r="U124" s="376" t="str">
        <f>IFERROR(IF(D124="","",IF(AND(Q124='G-1 All Habitats'!$X$3,X124&gt;0),Y124+Z124,IF(AND(Q124='G-1 All Habitats'!$X$3,W124&gt;0),Y124+Z124,IF(AND(Q124='G-1 All Habitats'!$X$3,AH124&gt;0),"Any Loss Unacceptable ⚠",IF(AND(Q124='G-1 All Habitats'!$X$3,AI124&gt;0),"Any Loss Unacceptable ⚠", E124*G124*I124*L124*N124*P124 ))))),"Check Data ▲")</f>
        <v/>
      </c>
      <c r="V124" s="32"/>
      <c r="W124" s="114"/>
      <c r="X124" s="125"/>
      <c r="Y124" s="374" t="str">
        <f t="shared" si="8"/>
        <v/>
      </c>
      <c r="Z124" s="374" t="str">
        <f t="shared" si="9"/>
        <v/>
      </c>
      <c r="AA124" s="374" t="str">
        <f t="shared" si="10"/>
        <v/>
      </c>
      <c r="AB124" s="670" t="str">
        <f t="shared" si="11"/>
        <v/>
      </c>
      <c r="AC124" s="516"/>
      <c r="AD124" s="119"/>
      <c r="AE124" s="120"/>
      <c r="AF124" s="120"/>
      <c r="AG124" s="120"/>
      <c r="AH124" s="57" t="str">
        <f>IF(Q124="","",IF(Q124='G-1 All Habitats'!$X$3,E124-X124-W124,"None"))</f>
        <v/>
      </c>
      <c r="AI124" s="58" t="str">
        <f>IF(Q124="","", IF(Q124='G-1 All Habitats'!$X$3, AH124*G124*I124*L124*N124*P124,"None"))</f>
        <v/>
      </c>
      <c r="AJ124" s="30" t="str">
        <f>IFERROR(INDEX('G-7 WaterC'' Data'!$AZ$3:$AZ$7,MATCH(D124,'G-7 WaterC'' Data'!$AY$3:$AY$7,0)),"")</f>
        <v/>
      </c>
      <c r="AK124" s="30">
        <f t="shared" si="12"/>
        <v>0</v>
      </c>
      <c r="AL124" s="124" t="str">
        <f t="shared" si="13"/>
        <v/>
      </c>
      <c r="AM124" s="124" t="str">
        <f t="shared" si="14"/>
        <v/>
      </c>
      <c r="AO124" s="124">
        <v>115</v>
      </c>
      <c r="AQ124" s="124" t="str">
        <f t="array" ref="AQ124">IFERROR(INDEX($AO$10:$AO$258, MATCH(0, IF(TRUE=$AL$10:$AL$258, COUNTIF($AQ$9:$AQ123, $AO$10:$AO$258), ""), 0)),"")</f>
        <v/>
      </c>
      <c r="AR124" s="124" t="str">
        <f t="array" ref="AR124">IFERROR(INDEX($AO$10:$AO$258, MATCH(0, IF(TRUE=$AM$10:$AM$258, COUNTIF($AR$9:$AR123, $AO$10:$AO$258), ""), 0)),"")</f>
        <v/>
      </c>
      <c r="AZ124" s="802" t="str">
        <f t="shared" si="15"/>
        <v/>
      </c>
    </row>
    <row r="125" spans="3:52" ht="15.75" thickBot="1">
      <c r="C125" s="110">
        <v>116</v>
      </c>
      <c r="D125" s="340"/>
      <c r="E125" s="121"/>
      <c r="F125" s="362" t="str">
        <f>IF(D125="","",VLOOKUP(D125,'G-7 WaterC'' Data'!$B$2:$G$8,2,FALSE))</f>
        <v/>
      </c>
      <c r="G125" s="363" t="str">
        <f>IFERROR(VLOOKUP(F125,'G-7 WaterC'' Data'!$C$4:$D$8,2,FALSE),"")</f>
        <v/>
      </c>
      <c r="H125" s="114"/>
      <c r="I125" s="363" t="str">
        <f>IFERROR(INDEX('G-7 WaterC'' Data'!$H$4:$L$8,MATCH(D125,'G-7 WaterC'' Data'!$B$4:$B$8,0),MATCH(H125,'G-7 WaterC'' Data'!$H$3:$L$3,0)),"")</f>
        <v/>
      </c>
      <c r="J125" s="115"/>
      <c r="K125" s="382" t="str">
        <f>IF(J125="","",IF(VLOOKUP(J125,'G-7 WaterC'' Data'!$AK$4:$AM$9,2,FALSE)=0,"Spatial Data Missing ⚠",VLOOKUP(J125,'G-7 WaterC'' Data'!$AK$4:$AM$6,2,FALSE)))</f>
        <v/>
      </c>
      <c r="L125" s="386" t="str">
        <f>IF(J125="","",IF(VLOOKUP(J125,'G-7 WaterC'' Data'!$AK$4:$AM$9,3,FALSE)=0,"Spatial Data Missing ⚠",VLOOKUP(J125,'G-7 WaterC'' Data'!$AK$4:$AM$6,3,FALSE)))</f>
        <v/>
      </c>
      <c r="M125" s="115"/>
      <c r="N125" s="363" t="str">
        <f>IF(M125="","",IF(VLOOKUP(M125,'G-7 WaterC'' Data'!$AA$4:$AB$7,2,FALSE)=0,"Spatial Data Missing ⚠",VLOOKUP(M125,'G-7 WaterC'' Data'!$AA$4:$AB$7,2,FALSE)))</f>
        <v/>
      </c>
      <c r="O125" s="60"/>
      <c r="P125" s="363" t="str">
        <f>IF(O125="","",IF(VLOOKUP(O125,'G-7 WaterC'' Data'!$AD$4:$AE$14,2,FALSE)=0,"Spatial Data Missing ⚠",VLOOKUP(O125,'G-7 WaterC'' Data'!$AD$4:$AE$14,2,FALSE)))</f>
        <v/>
      </c>
      <c r="Q125" s="369" t="str">
        <f>IF(D125="","",VLOOKUP(D125,'G-7 WaterC'' Data'!$B$4:$G$8,6,FALSE))</f>
        <v/>
      </c>
      <c r="R125" s="376" t="str">
        <f>IFERROR(IF(D125="","",IF(AND(Q125='G-1 All Habitats'!$X$3,X125&gt;0),Y125+(Z125*T125),IF(AND(Q125='G-1 All Habitats'!$X$3,W125&gt;0),Y125+(Z125*T125),IF(AND(Q125='G-1 All Habitats'!$X$3,AH125&gt;0),"Any Loss Unacceptable ⚠",IF(AND(Q125='G-1 All Habitats'!$X$3,AI125&gt;0),"Any Loss Unacceptable ⚠", E125*G125*I125*L125*N125*P125*T125 ))))),"Check Data ▲")</f>
        <v/>
      </c>
      <c r="S125" s="516"/>
      <c r="T125" s="368" t="str">
        <f>IF(S125="","",IF(VLOOKUP(S125,'G-7 WaterC'' Data'!$AO$4:$BO$7,2,FALSE)=0,"Spatial Data Missing ⚠",VLOOKUP(S125,'G-7 WaterC'' Data'!$AO$4:$BO$7,2,FALSE)))</f>
        <v/>
      </c>
      <c r="U125" s="376" t="str">
        <f>IFERROR(IF(D125="","",IF(AND(Q125='G-1 All Habitats'!$X$3,X125&gt;0),Y125+Z125,IF(AND(Q125='G-1 All Habitats'!$X$3,W125&gt;0),Y125+Z125,IF(AND(Q125='G-1 All Habitats'!$X$3,AH125&gt;0),"Any Loss Unacceptable ⚠",IF(AND(Q125='G-1 All Habitats'!$X$3,AI125&gt;0),"Any Loss Unacceptable ⚠", E125*G125*I125*L125*N125*P125 ))))),"Check Data ▲")</f>
        <v/>
      </c>
      <c r="V125" s="32"/>
      <c r="W125" s="114"/>
      <c r="X125" s="125"/>
      <c r="Y125" s="374" t="str">
        <f t="shared" si="8"/>
        <v/>
      </c>
      <c r="Z125" s="374" t="str">
        <f t="shared" si="9"/>
        <v/>
      </c>
      <c r="AA125" s="374" t="str">
        <f t="shared" si="10"/>
        <v/>
      </c>
      <c r="AB125" s="670" t="str">
        <f t="shared" si="11"/>
        <v/>
      </c>
      <c r="AC125" s="516"/>
      <c r="AD125" s="119"/>
      <c r="AE125" s="120"/>
      <c r="AF125" s="120"/>
      <c r="AG125" s="120"/>
      <c r="AH125" s="57" t="str">
        <f>IF(Q125="","",IF(Q125='G-1 All Habitats'!$X$3,E125-X125-W125,"None"))</f>
        <v/>
      </c>
      <c r="AI125" s="58" t="str">
        <f>IF(Q125="","", IF(Q125='G-1 All Habitats'!$X$3, AH125*G125*I125*L125*N125*P125,"None"))</f>
        <v/>
      </c>
      <c r="AJ125" s="30" t="str">
        <f>IFERROR(INDEX('G-7 WaterC'' Data'!$AZ$3:$AZ$7,MATCH(D125,'G-7 WaterC'' Data'!$AY$3:$AY$7,0)),"")</f>
        <v/>
      </c>
      <c r="AK125" s="30">
        <f t="shared" si="12"/>
        <v>0</v>
      </c>
      <c r="AL125" s="124" t="str">
        <f t="shared" si="13"/>
        <v/>
      </c>
      <c r="AM125" s="124" t="str">
        <f t="shared" si="14"/>
        <v/>
      </c>
      <c r="AO125" s="124">
        <v>116</v>
      </c>
      <c r="AQ125" s="124" t="str">
        <f t="array" ref="AQ125">IFERROR(INDEX($AO$10:$AO$258, MATCH(0, IF(TRUE=$AL$10:$AL$258, COUNTIF($AQ$9:$AQ124, $AO$10:$AO$258), ""), 0)),"")</f>
        <v/>
      </c>
      <c r="AR125" s="124" t="str">
        <f t="array" ref="AR125">IFERROR(INDEX($AO$10:$AO$258, MATCH(0, IF(TRUE=$AM$10:$AM$258, COUNTIF($AR$9:$AR124, $AO$10:$AO$258), ""), 0)),"")</f>
        <v/>
      </c>
      <c r="AZ125" s="802" t="str">
        <f t="shared" si="15"/>
        <v/>
      </c>
    </row>
    <row r="126" spans="3:52" ht="15.75" thickBot="1">
      <c r="C126" s="110">
        <v>117</v>
      </c>
      <c r="D126" s="340"/>
      <c r="E126" s="121"/>
      <c r="F126" s="362" t="str">
        <f>IF(D126="","",VLOOKUP(D126,'G-7 WaterC'' Data'!$B$2:$G$8,2,FALSE))</f>
        <v/>
      </c>
      <c r="G126" s="363" t="str">
        <f>IFERROR(VLOOKUP(F126,'G-7 WaterC'' Data'!$C$4:$D$8,2,FALSE),"")</f>
        <v/>
      </c>
      <c r="H126" s="114"/>
      <c r="I126" s="363" t="str">
        <f>IFERROR(INDEX('G-7 WaterC'' Data'!$H$4:$L$8,MATCH(D126,'G-7 WaterC'' Data'!$B$4:$B$8,0),MATCH(H126,'G-7 WaterC'' Data'!$H$3:$L$3,0)),"")</f>
        <v/>
      </c>
      <c r="J126" s="115"/>
      <c r="K126" s="382" t="str">
        <f>IF(J126="","",IF(VLOOKUP(J126,'G-7 WaterC'' Data'!$AK$4:$AM$9,2,FALSE)=0,"Spatial Data Missing ⚠",VLOOKUP(J126,'G-7 WaterC'' Data'!$AK$4:$AM$6,2,FALSE)))</f>
        <v/>
      </c>
      <c r="L126" s="386" t="str">
        <f>IF(J126="","",IF(VLOOKUP(J126,'G-7 WaterC'' Data'!$AK$4:$AM$9,3,FALSE)=0,"Spatial Data Missing ⚠",VLOOKUP(J126,'G-7 WaterC'' Data'!$AK$4:$AM$6,3,FALSE)))</f>
        <v/>
      </c>
      <c r="M126" s="115"/>
      <c r="N126" s="363" t="str">
        <f>IF(M126="","",IF(VLOOKUP(M126,'G-7 WaterC'' Data'!$AA$4:$AB$7,2,FALSE)=0,"Spatial Data Missing ⚠",VLOOKUP(M126,'G-7 WaterC'' Data'!$AA$4:$AB$7,2,FALSE)))</f>
        <v/>
      </c>
      <c r="O126" s="60"/>
      <c r="P126" s="363" t="str">
        <f>IF(O126="","",IF(VLOOKUP(O126,'G-7 WaterC'' Data'!$AD$4:$AE$14,2,FALSE)=0,"Spatial Data Missing ⚠",VLOOKUP(O126,'G-7 WaterC'' Data'!$AD$4:$AE$14,2,FALSE)))</f>
        <v/>
      </c>
      <c r="Q126" s="369" t="str">
        <f>IF(D126="","",VLOOKUP(D126,'G-7 WaterC'' Data'!$B$4:$G$8,6,FALSE))</f>
        <v/>
      </c>
      <c r="R126" s="376" t="str">
        <f>IFERROR(IF(D126="","",IF(AND(Q126='G-1 All Habitats'!$X$3,X126&gt;0),Y126+(Z126*T126),IF(AND(Q126='G-1 All Habitats'!$X$3,W126&gt;0),Y126+(Z126*T126),IF(AND(Q126='G-1 All Habitats'!$X$3,AH126&gt;0),"Any Loss Unacceptable ⚠",IF(AND(Q126='G-1 All Habitats'!$X$3,AI126&gt;0),"Any Loss Unacceptable ⚠", E126*G126*I126*L126*N126*P126*T126 ))))),"Check Data ▲")</f>
        <v/>
      </c>
      <c r="S126" s="516"/>
      <c r="T126" s="368" t="str">
        <f>IF(S126="","",IF(VLOOKUP(S126,'G-7 WaterC'' Data'!$AO$4:$BO$7,2,FALSE)=0,"Spatial Data Missing ⚠",VLOOKUP(S126,'G-7 WaterC'' Data'!$AO$4:$BO$7,2,FALSE)))</f>
        <v/>
      </c>
      <c r="U126" s="376" t="str">
        <f>IFERROR(IF(D126="","",IF(AND(Q126='G-1 All Habitats'!$X$3,X126&gt;0),Y126+Z126,IF(AND(Q126='G-1 All Habitats'!$X$3,W126&gt;0),Y126+Z126,IF(AND(Q126='G-1 All Habitats'!$X$3,AH126&gt;0),"Any Loss Unacceptable ⚠",IF(AND(Q126='G-1 All Habitats'!$X$3,AI126&gt;0),"Any Loss Unacceptable ⚠", E126*G126*I126*L126*N126*P126 ))))),"Check Data ▲")</f>
        <v/>
      </c>
      <c r="V126" s="32"/>
      <c r="W126" s="114"/>
      <c r="X126" s="125"/>
      <c r="Y126" s="374" t="str">
        <f t="shared" si="8"/>
        <v/>
      </c>
      <c r="Z126" s="374" t="str">
        <f t="shared" si="9"/>
        <v/>
      </c>
      <c r="AA126" s="374" t="str">
        <f t="shared" si="10"/>
        <v/>
      </c>
      <c r="AB126" s="670" t="str">
        <f t="shared" si="11"/>
        <v/>
      </c>
      <c r="AC126" s="516"/>
      <c r="AD126" s="119"/>
      <c r="AE126" s="120"/>
      <c r="AF126" s="120"/>
      <c r="AG126" s="120"/>
      <c r="AH126" s="57" t="str">
        <f>IF(Q126="","",IF(Q126='G-1 All Habitats'!$X$3,E126-X126-W126,"None"))</f>
        <v/>
      </c>
      <c r="AI126" s="58" t="str">
        <f>IF(Q126="","", IF(Q126='G-1 All Habitats'!$X$3, AH126*G126*I126*L126*N126*P126,"None"))</f>
        <v/>
      </c>
      <c r="AJ126" s="30" t="str">
        <f>IFERROR(INDEX('G-7 WaterC'' Data'!$AZ$3:$AZ$7,MATCH(D126,'G-7 WaterC'' Data'!$AY$3:$AY$7,0)),"")</f>
        <v/>
      </c>
      <c r="AK126" s="30">
        <f t="shared" si="12"/>
        <v>0</v>
      </c>
      <c r="AL126" s="124" t="str">
        <f t="shared" si="13"/>
        <v/>
      </c>
      <c r="AM126" s="124" t="str">
        <f t="shared" si="14"/>
        <v/>
      </c>
      <c r="AO126" s="124">
        <v>117</v>
      </c>
      <c r="AQ126" s="124" t="str">
        <f t="array" ref="AQ126">IFERROR(INDEX($AO$10:$AO$258, MATCH(0, IF(TRUE=$AL$10:$AL$258, COUNTIF($AQ$9:$AQ125, $AO$10:$AO$258), ""), 0)),"")</f>
        <v/>
      </c>
      <c r="AR126" s="124" t="str">
        <f t="array" ref="AR126">IFERROR(INDEX($AO$10:$AO$258, MATCH(0, IF(TRUE=$AM$10:$AM$258, COUNTIF($AR$9:$AR125, $AO$10:$AO$258), ""), 0)),"")</f>
        <v/>
      </c>
      <c r="AZ126" s="802" t="str">
        <f t="shared" si="15"/>
        <v/>
      </c>
    </row>
    <row r="127" spans="3:52" ht="15.75" thickBot="1">
      <c r="C127" s="110">
        <v>118</v>
      </c>
      <c r="D127" s="340"/>
      <c r="E127" s="121"/>
      <c r="F127" s="362" t="str">
        <f>IF(D127="","",VLOOKUP(D127,'G-7 WaterC'' Data'!$B$2:$G$8,2,FALSE))</f>
        <v/>
      </c>
      <c r="G127" s="363" t="str">
        <f>IFERROR(VLOOKUP(F127,'G-7 WaterC'' Data'!$C$4:$D$8,2,FALSE),"")</f>
        <v/>
      </c>
      <c r="H127" s="114"/>
      <c r="I127" s="363" t="str">
        <f>IFERROR(INDEX('G-7 WaterC'' Data'!$H$4:$L$8,MATCH(D127,'G-7 WaterC'' Data'!$B$4:$B$8,0),MATCH(H127,'G-7 WaterC'' Data'!$H$3:$L$3,0)),"")</f>
        <v/>
      </c>
      <c r="J127" s="115"/>
      <c r="K127" s="382" t="str">
        <f>IF(J127="","",IF(VLOOKUP(J127,'G-7 WaterC'' Data'!$AK$4:$AM$9,2,FALSE)=0,"Spatial Data Missing ⚠",VLOOKUP(J127,'G-7 WaterC'' Data'!$AK$4:$AM$6,2,FALSE)))</f>
        <v/>
      </c>
      <c r="L127" s="386" t="str">
        <f>IF(J127="","",IF(VLOOKUP(J127,'G-7 WaterC'' Data'!$AK$4:$AM$9,3,FALSE)=0,"Spatial Data Missing ⚠",VLOOKUP(J127,'G-7 WaterC'' Data'!$AK$4:$AM$6,3,FALSE)))</f>
        <v/>
      </c>
      <c r="M127" s="115"/>
      <c r="N127" s="363" t="str">
        <f>IF(M127="","",IF(VLOOKUP(M127,'G-7 WaterC'' Data'!$AA$4:$AB$7,2,FALSE)=0,"Spatial Data Missing ⚠",VLOOKUP(M127,'G-7 WaterC'' Data'!$AA$4:$AB$7,2,FALSE)))</f>
        <v/>
      </c>
      <c r="O127" s="60"/>
      <c r="P127" s="363" t="str">
        <f>IF(O127="","",IF(VLOOKUP(O127,'G-7 WaterC'' Data'!$AD$4:$AE$14,2,FALSE)=0,"Spatial Data Missing ⚠",VLOOKUP(O127,'G-7 WaterC'' Data'!$AD$4:$AE$14,2,FALSE)))</f>
        <v/>
      </c>
      <c r="Q127" s="369" t="str">
        <f>IF(D127="","",VLOOKUP(D127,'G-7 WaterC'' Data'!$B$4:$G$8,6,FALSE))</f>
        <v/>
      </c>
      <c r="R127" s="376" t="str">
        <f>IFERROR(IF(D127="","",IF(AND(Q127='G-1 All Habitats'!$X$3,X127&gt;0),Y127+(Z127*T127),IF(AND(Q127='G-1 All Habitats'!$X$3,W127&gt;0),Y127+(Z127*T127),IF(AND(Q127='G-1 All Habitats'!$X$3,AH127&gt;0),"Any Loss Unacceptable ⚠",IF(AND(Q127='G-1 All Habitats'!$X$3,AI127&gt;0),"Any Loss Unacceptable ⚠", E127*G127*I127*L127*N127*P127*T127 ))))),"Check Data ▲")</f>
        <v/>
      </c>
      <c r="S127" s="516"/>
      <c r="T127" s="368" t="str">
        <f>IF(S127="","",IF(VLOOKUP(S127,'G-7 WaterC'' Data'!$AO$4:$BO$7,2,FALSE)=0,"Spatial Data Missing ⚠",VLOOKUP(S127,'G-7 WaterC'' Data'!$AO$4:$BO$7,2,FALSE)))</f>
        <v/>
      </c>
      <c r="U127" s="376" t="str">
        <f>IFERROR(IF(D127="","",IF(AND(Q127='G-1 All Habitats'!$X$3,X127&gt;0),Y127+Z127,IF(AND(Q127='G-1 All Habitats'!$X$3,W127&gt;0),Y127+Z127,IF(AND(Q127='G-1 All Habitats'!$X$3,AH127&gt;0),"Any Loss Unacceptable ⚠",IF(AND(Q127='G-1 All Habitats'!$X$3,AI127&gt;0),"Any Loss Unacceptable ⚠", E127*G127*I127*L127*N127*P127 ))))),"Check Data ▲")</f>
        <v/>
      </c>
      <c r="V127" s="32"/>
      <c r="W127" s="114"/>
      <c r="X127" s="125"/>
      <c r="Y127" s="374" t="str">
        <f t="shared" si="8"/>
        <v/>
      </c>
      <c r="Z127" s="374" t="str">
        <f t="shared" si="9"/>
        <v/>
      </c>
      <c r="AA127" s="374" t="str">
        <f t="shared" si="10"/>
        <v/>
      </c>
      <c r="AB127" s="670" t="str">
        <f t="shared" si="11"/>
        <v/>
      </c>
      <c r="AC127" s="516"/>
      <c r="AD127" s="119"/>
      <c r="AE127" s="120"/>
      <c r="AF127" s="120"/>
      <c r="AG127" s="120"/>
      <c r="AH127" s="57" t="str">
        <f>IF(Q127="","",IF(Q127='G-1 All Habitats'!$X$3,E127-X127-W127,"None"))</f>
        <v/>
      </c>
      <c r="AI127" s="58" t="str">
        <f>IF(Q127="","", IF(Q127='G-1 All Habitats'!$X$3, AH127*G127*I127*L127*N127*P127,"None"))</f>
        <v/>
      </c>
      <c r="AJ127" s="30" t="str">
        <f>IFERROR(INDEX('G-7 WaterC'' Data'!$AZ$3:$AZ$7,MATCH(D127,'G-7 WaterC'' Data'!$AY$3:$AY$7,0)),"")</f>
        <v/>
      </c>
      <c r="AK127" s="30">
        <f t="shared" si="12"/>
        <v>0</v>
      </c>
      <c r="AL127" s="124" t="str">
        <f t="shared" si="13"/>
        <v/>
      </c>
      <c r="AM127" s="124" t="str">
        <f t="shared" si="14"/>
        <v/>
      </c>
      <c r="AO127" s="124">
        <v>118</v>
      </c>
      <c r="AQ127" s="124" t="str">
        <f t="array" ref="AQ127">IFERROR(INDEX($AO$10:$AO$258, MATCH(0, IF(TRUE=$AL$10:$AL$258, COUNTIF($AQ$9:$AQ126, $AO$10:$AO$258), ""), 0)),"")</f>
        <v/>
      </c>
      <c r="AR127" s="124" t="str">
        <f t="array" ref="AR127">IFERROR(INDEX($AO$10:$AO$258, MATCH(0, IF(TRUE=$AM$10:$AM$258, COUNTIF($AR$9:$AR126, $AO$10:$AO$258), ""), 0)),"")</f>
        <v/>
      </c>
      <c r="AZ127" s="802" t="str">
        <f t="shared" si="15"/>
        <v/>
      </c>
    </row>
    <row r="128" spans="3:52" ht="15.75" thickBot="1">
      <c r="C128" s="110">
        <v>119</v>
      </c>
      <c r="D128" s="340"/>
      <c r="E128" s="121"/>
      <c r="F128" s="362" t="str">
        <f>IF(D128="","",VLOOKUP(D128,'G-7 WaterC'' Data'!$B$2:$G$8,2,FALSE))</f>
        <v/>
      </c>
      <c r="G128" s="363" t="str">
        <f>IFERROR(VLOOKUP(F128,'G-7 WaterC'' Data'!$C$4:$D$8,2,FALSE),"")</f>
        <v/>
      </c>
      <c r="H128" s="114"/>
      <c r="I128" s="363" t="str">
        <f>IFERROR(INDEX('G-7 WaterC'' Data'!$H$4:$L$8,MATCH(D128,'G-7 WaterC'' Data'!$B$4:$B$8,0),MATCH(H128,'G-7 WaterC'' Data'!$H$3:$L$3,0)),"")</f>
        <v/>
      </c>
      <c r="J128" s="115"/>
      <c r="K128" s="382" t="str">
        <f>IF(J128="","",IF(VLOOKUP(J128,'G-7 WaterC'' Data'!$AK$4:$AM$9,2,FALSE)=0,"Spatial Data Missing ⚠",VLOOKUP(J128,'G-7 WaterC'' Data'!$AK$4:$AM$6,2,FALSE)))</f>
        <v/>
      </c>
      <c r="L128" s="386" t="str">
        <f>IF(J128="","",IF(VLOOKUP(J128,'G-7 WaterC'' Data'!$AK$4:$AM$9,3,FALSE)=0,"Spatial Data Missing ⚠",VLOOKUP(J128,'G-7 WaterC'' Data'!$AK$4:$AM$6,3,FALSE)))</f>
        <v/>
      </c>
      <c r="M128" s="115"/>
      <c r="N128" s="363" t="str">
        <f>IF(M128="","",IF(VLOOKUP(M128,'G-7 WaterC'' Data'!$AA$4:$AB$7,2,FALSE)=0,"Spatial Data Missing ⚠",VLOOKUP(M128,'G-7 WaterC'' Data'!$AA$4:$AB$7,2,FALSE)))</f>
        <v/>
      </c>
      <c r="O128" s="60"/>
      <c r="P128" s="363" t="str">
        <f>IF(O128="","",IF(VLOOKUP(O128,'G-7 WaterC'' Data'!$AD$4:$AE$14,2,FALSE)=0,"Spatial Data Missing ⚠",VLOOKUP(O128,'G-7 WaterC'' Data'!$AD$4:$AE$14,2,FALSE)))</f>
        <v/>
      </c>
      <c r="Q128" s="369" t="str">
        <f>IF(D128="","",VLOOKUP(D128,'G-7 WaterC'' Data'!$B$4:$G$8,6,FALSE))</f>
        <v/>
      </c>
      <c r="R128" s="376" t="str">
        <f>IFERROR(IF(D128="","",IF(AND(Q128='G-1 All Habitats'!$X$3,X128&gt;0),Y128+(Z128*T128),IF(AND(Q128='G-1 All Habitats'!$X$3,W128&gt;0),Y128+(Z128*T128),IF(AND(Q128='G-1 All Habitats'!$X$3,AH128&gt;0),"Any Loss Unacceptable ⚠",IF(AND(Q128='G-1 All Habitats'!$X$3,AI128&gt;0),"Any Loss Unacceptable ⚠", E128*G128*I128*L128*N128*P128*T128 ))))),"Check Data ▲")</f>
        <v/>
      </c>
      <c r="S128" s="516"/>
      <c r="T128" s="368" t="str">
        <f>IF(S128="","",IF(VLOOKUP(S128,'G-7 WaterC'' Data'!$AO$4:$BO$7,2,FALSE)=0,"Spatial Data Missing ⚠",VLOOKUP(S128,'G-7 WaterC'' Data'!$AO$4:$BO$7,2,FALSE)))</f>
        <v/>
      </c>
      <c r="U128" s="376" t="str">
        <f>IFERROR(IF(D128="","",IF(AND(Q128='G-1 All Habitats'!$X$3,X128&gt;0),Y128+Z128,IF(AND(Q128='G-1 All Habitats'!$X$3,W128&gt;0),Y128+Z128,IF(AND(Q128='G-1 All Habitats'!$X$3,AH128&gt;0),"Any Loss Unacceptable ⚠",IF(AND(Q128='G-1 All Habitats'!$X$3,AI128&gt;0),"Any Loss Unacceptable ⚠", E128*G128*I128*L128*N128*P128 ))))),"Check Data ▲")</f>
        <v/>
      </c>
      <c r="V128" s="32"/>
      <c r="W128" s="114"/>
      <c r="X128" s="125"/>
      <c r="Y128" s="374" t="str">
        <f t="shared" si="8"/>
        <v/>
      </c>
      <c r="Z128" s="374" t="str">
        <f t="shared" si="9"/>
        <v/>
      </c>
      <c r="AA128" s="374" t="str">
        <f t="shared" si="10"/>
        <v/>
      </c>
      <c r="AB128" s="670" t="str">
        <f t="shared" si="11"/>
        <v/>
      </c>
      <c r="AC128" s="516"/>
      <c r="AD128" s="119"/>
      <c r="AE128" s="120"/>
      <c r="AF128" s="120"/>
      <c r="AG128" s="120"/>
      <c r="AH128" s="57" t="str">
        <f>IF(Q128="","",IF(Q128='G-1 All Habitats'!$X$3,E128-X128-W128,"None"))</f>
        <v/>
      </c>
      <c r="AI128" s="58" t="str">
        <f>IF(Q128="","", IF(Q128='G-1 All Habitats'!$X$3, AH128*G128*I128*L128*N128*P128,"None"))</f>
        <v/>
      </c>
      <c r="AJ128" s="30" t="str">
        <f>IFERROR(INDEX('G-7 WaterC'' Data'!$AZ$3:$AZ$7,MATCH(D128,'G-7 WaterC'' Data'!$AY$3:$AY$7,0)),"")</f>
        <v/>
      </c>
      <c r="AK128" s="30">
        <f t="shared" si="12"/>
        <v>0</v>
      </c>
      <c r="AL128" s="124" t="str">
        <f t="shared" si="13"/>
        <v/>
      </c>
      <c r="AM128" s="124" t="str">
        <f t="shared" si="14"/>
        <v/>
      </c>
      <c r="AO128" s="124">
        <v>119</v>
      </c>
      <c r="AQ128" s="124" t="str">
        <f t="array" ref="AQ128">IFERROR(INDEX($AO$10:$AO$258, MATCH(0, IF(TRUE=$AL$10:$AL$258, COUNTIF($AQ$9:$AQ127, $AO$10:$AO$258), ""), 0)),"")</f>
        <v/>
      </c>
      <c r="AR128" s="124" t="str">
        <f t="array" ref="AR128">IFERROR(INDEX($AO$10:$AO$258, MATCH(0, IF(TRUE=$AM$10:$AM$258, COUNTIF($AR$9:$AR127, $AO$10:$AO$258), ""), 0)),"")</f>
        <v/>
      </c>
      <c r="AZ128" s="802" t="str">
        <f t="shared" si="15"/>
        <v/>
      </c>
    </row>
    <row r="129" spans="3:52" ht="15.75" thickBot="1">
      <c r="C129" s="110">
        <v>120</v>
      </c>
      <c r="D129" s="340"/>
      <c r="E129" s="121"/>
      <c r="F129" s="362" t="str">
        <f>IF(D129="","",VLOOKUP(D129,'G-7 WaterC'' Data'!$B$2:$G$8,2,FALSE))</f>
        <v/>
      </c>
      <c r="G129" s="363" t="str">
        <f>IFERROR(VLOOKUP(F129,'G-7 WaterC'' Data'!$C$4:$D$8,2,FALSE),"")</f>
        <v/>
      </c>
      <c r="H129" s="114"/>
      <c r="I129" s="363" t="str">
        <f>IFERROR(INDEX('G-7 WaterC'' Data'!$H$4:$L$8,MATCH(D129,'G-7 WaterC'' Data'!$B$4:$B$8,0),MATCH(H129,'G-7 WaterC'' Data'!$H$3:$L$3,0)),"")</f>
        <v/>
      </c>
      <c r="J129" s="115"/>
      <c r="K129" s="382" t="str">
        <f>IF(J129="","",IF(VLOOKUP(J129,'G-7 WaterC'' Data'!$AK$4:$AM$9,2,FALSE)=0,"Spatial Data Missing ⚠",VLOOKUP(J129,'G-7 WaterC'' Data'!$AK$4:$AM$6,2,FALSE)))</f>
        <v/>
      </c>
      <c r="L129" s="386" t="str">
        <f>IF(J129="","",IF(VLOOKUP(J129,'G-7 WaterC'' Data'!$AK$4:$AM$9,3,FALSE)=0,"Spatial Data Missing ⚠",VLOOKUP(J129,'G-7 WaterC'' Data'!$AK$4:$AM$6,3,FALSE)))</f>
        <v/>
      </c>
      <c r="M129" s="115"/>
      <c r="N129" s="363" t="str">
        <f>IF(M129="","",IF(VLOOKUP(M129,'G-7 WaterC'' Data'!$AA$4:$AB$7,2,FALSE)=0,"Spatial Data Missing ⚠",VLOOKUP(M129,'G-7 WaterC'' Data'!$AA$4:$AB$7,2,FALSE)))</f>
        <v/>
      </c>
      <c r="O129" s="60"/>
      <c r="P129" s="363" t="str">
        <f>IF(O129="","",IF(VLOOKUP(O129,'G-7 WaterC'' Data'!$AD$4:$AE$14,2,FALSE)=0,"Spatial Data Missing ⚠",VLOOKUP(O129,'G-7 WaterC'' Data'!$AD$4:$AE$14,2,FALSE)))</f>
        <v/>
      </c>
      <c r="Q129" s="369" t="str">
        <f>IF(D129="","",VLOOKUP(D129,'G-7 WaterC'' Data'!$B$4:$G$8,6,FALSE))</f>
        <v/>
      </c>
      <c r="R129" s="376" t="str">
        <f>IFERROR(IF(D129="","",IF(AND(Q129='G-1 All Habitats'!$X$3,X129&gt;0),Y129+(Z129*T129),IF(AND(Q129='G-1 All Habitats'!$X$3,W129&gt;0),Y129+(Z129*T129),IF(AND(Q129='G-1 All Habitats'!$X$3,AH129&gt;0),"Any Loss Unacceptable ⚠",IF(AND(Q129='G-1 All Habitats'!$X$3,AI129&gt;0),"Any Loss Unacceptable ⚠", E129*G129*I129*L129*N129*P129*T129 ))))),"Check Data ▲")</f>
        <v/>
      </c>
      <c r="S129" s="516"/>
      <c r="T129" s="368" t="str">
        <f>IF(S129="","",IF(VLOOKUP(S129,'G-7 WaterC'' Data'!$AO$4:$BO$7,2,FALSE)=0,"Spatial Data Missing ⚠",VLOOKUP(S129,'G-7 WaterC'' Data'!$AO$4:$BO$7,2,FALSE)))</f>
        <v/>
      </c>
      <c r="U129" s="376" t="str">
        <f>IFERROR(IF(D129="","",IF(AND(Q129='G-1 All Habitats'!$X$3,X129&gt;0),Y129+Z129,IF(AND(Q129='G-1 All Habitats'!$X$3,W129&gt;0),Y129+Z129,IF(AND(Q129='G-1 All Habitats'!$X$3,AH129&gt;0),"Any Loss Unacceptable ⚠",IF(AND(Q129='G-1 All Habitats'!$X$3,AI129&gt;0),"Any Loss Unacceptable ⚠", E129*G129*I129*L129*N129*P129 ))))),"Check Data ▲")</f>
        <v/>
      </c>
      <c r="V129" s="32"/>
      <c r="W129" s="114"/>
      <c r="X129" s="125"/>
      <c r="Y129" s="374" t="str">
        <f t="shared" si="8"/>
        <v/>
      </c>
      <c r="Z129" s="374" t="str">
        <f t="shared" si="9"/>
        <v/>
      </c>
      <c r="AA129" s="374" t="str">
        <f t="shared" si="10"/>
        <v/>
      </c>
      <c r="AB129" s="670" t="str">
        <f t="shared" si="11"/>
        <v/>
      </c>
      <c r="AC129" s="516"/>
      <c r="AD129" s="119"/>
      <c r="AE129" s="120"/>
      <c r="AF129" s="120"/>
      <c r="AG129" s="120"/>
      <c r="AH129" s="57" t="str">
        <f>IF(Q129="","",IF(Q129='G-1 All Habitats'!$X$3,E129-X129-W129,"None"))</f>
        <v/>
      </c>
      <c r="AI129" s="58" t="str">
        <f>IF(Q129="","", IF(Q129='G-1 All Habitats'!$X$3, AH129*G129*I129*L129*N129*P129,"None"))</f>
        <v/>
      </c>
      <c r="AJ129" s="30" t="str">
        <f>IFERROR(INDEX('G-7 WaterC'' Data'!$AZ$3:$AZ$7,MATCH(D129,'G-7 WaterC'' Data'!$AY$3:$AY$7,0)),"")</f>
        <v/>
      </c>
      <c r="AK129" s="30">
        <f t="shared" si="12"/>
        <v>0</v>
      </c>
      <c r="AL129" s="124" t="str">
        <f t="shared" si="13"/>
        <v/>
      </c>
      <c r="AM129" s="124" t="str">
        <f t="shared" si="14"/>
        <v/>
      </c>
      <c r="AO129" s="124">
        <v>120</v>
      </c>
      <c r="AQ129" s="124" t="str">
        <f t="array" ref="AQ129">IFERROR(INDEX($AO$10:$AO$258, MATCH(0, IF(TRUE=$AL$10:$AL$258, COUNTIF($AQ$9:$AQ128, $AO$10:$AO$258), ""), 0)),"")</f>
        <v/>
      </c>
      <c r="AR129" s="124" t="str">
        <f t="array" ref="AR129">IFERROR(INDEX($AO$10:$AO$258, MATCH(0, IF(TRUE=$AM$10:$AM$258, COUNTIF($AR$9:$AR128, $AO$10:$AO$258), ""), 0)),"")</f>
        <v/>
      </c>
      <c r="AZ129" s="802" t="str">
        <f t="shared" si="15"/>
        <v/>
      </c>
    </row>
    <row r="130" spans="3:52" ht="15.75" thickBot="1">
      <c r="C130" s="110">
        <v>121</v>
      </c>
      <c r="D130" s="340"/>
      <c r="E130" s="121"/>
      <c r="F130" s="362" t="str">
        <f>IF(D130="","",VLOOKUP(D130,'G-7 WaterC'' Data'!$B$2:$G$8,2,FALSE))</f>
        <v/>
      </c>
      <c r="G130" s="363" t="str">
        <f>IFERROR(VLOOKUP(F130,'G-7 WaterC'' Data'!$C$4:$D$8,2,FALSE),"")</f>
        <v/>
      </c>
      <c r="H130" s="114"/>
      <c r="I130" s="363" t="str">
        <f>IFERROR(INDEX('G-7 WaterC'' Data'!$H$4:$L$8,MATCH(D130,'G-7 WaterC'' Data'!$B$4:$B$8,0),MATCH(H130,'G-7 WaterC'' Data'!$H$3:$L$3,0)),"")</f>
        <v/>
      </c>
      <c r="J130" s="115"/>
      <c r="K130" s="382" t="str">
        <f>IF(J130="","",IF(VLOOKUP(J130,'G-7 WaterC'' Data'!$AK$4:$AM$9,2,FALSE)=0,"Spatial Data Missing ⚠",VLOOKUP(J130,'G-7 WaterC'' Data'!$AK$4:$AM$6,2,FALSE)))</f>
        <v/>
      </c>
      <c r="L130" s="386" t="str">
        <f>IF(J130="","",IF(VLOOKUP(J130,'G-7 WaterC'' Data'!$AK$4:$AM$9,3,FALSE)=0,"Spatial Data Missing ⚠",VLOOKUP(J130,'G-7 WaterC'' Data'!$AK$4:$AM$6,3,FALSE)))</f>
        <v/>
      </c>
      <c r="M130" s="115"/>
      <c r="N130" s="363" t="str">
        <f>IF(M130="","",IF(VLOOKUP(M130,'G-7 WaterC'' Data'!$AA$4:$AB$7,2,FALSE)=0,"Spatial Data Missing ⚠",VLOOKUP(M130,'G-7 WaterC'' Data'!$AA$4:$AB$7,2,FALSE)))</f>
        <v/>
      </c>
      <c r="O130" s="60"/>
      <c r="P130" s="363" t="str">
        <f>IF(O130="","",IF(VLOOKUP(O130,'G-7 WaterC'' Data'!$AD$4:$AE$14,2,FALSE)=0,"Spatial Data Missing ⚠",VLOOKUP(O130,'G-7 WaterC'' Data'!$AD$4:$AE$14,2,FALSE)))</f>
        <v/>
      </c>
      <c r="Q130" s="369" t="str">
        <f>IF(D130="","",VLOOKUP(D130,'G-7 WaterC'' Data'!$B$4:$G$8,6,FALSE))</f>
        <v/>
      </c>
      <c r="R130" s="376" t="str">
        <f>IFERROR(IF(D130="","",IF(AND(Q130='G-1 All Habitats'!$X$3,X130&gt;0),Y130+(Z130*T130),IF(AND(Q130='G-1 All Habitats'!$X$3,W130&gt;0),Y130+(Z130*T130),IF(AND(Q130='G-1 All Habitats'!$X$3,AH130&gt;0),"Any Loss Unacceptable ⚠",IF(AND(Q130='G-1 All Habitats'!$X$3,AI130&gt;0),"Any Loss Unacceptable ⚠", E130*G130*I130*L130*N130*P130*T130 ))))),"Check Data ▲")</f>
        <v/>
      </c>
      <c r="S130" s="516"/>
      <c r="T130" s="368" t="str">
        <f>IF(S130="","",IF(VLOOKUP(S130,'G-7 WaterC'' Data'!$AO$4:$BO$7,2,FALSE)=0,"Spatial Data Missing ⚠",VLOOKUP(S130,'G-7 WaterC'' Data'!$AO$4:$BO$7,2,FALSE)))</f>
        <v/>
      </c>
      <c r="U130" s="376" t="str">
        <f>IFERROR(IF(D130="","",IF(AND(Q130='G-1 All Habitats'!$X$3,X130&gt;0),Y130+Z130,IF(AND(Q130='G-1 All Habitats'!$X$3,W130&gt;0),Y130+Z130,IF(AND(Q130='G-1 All Habitats'!$X$3,AH130&gt;0),"Any Loss Unacceptable ⚠",IF(AND(Q130='G-1 All Habitats'!$X$3,AI130&gt;0),"Any Loss Unacceptable ⚠", E130*G130*I130*L130*N130*P130 ))))),"Check Data ▲")</f>
        <v/>
      </c>
      <c r="V130" s="32"/>
      <c r="W130" s="114"/>
      <c r="X130" s="125"/>
      <c r="Y130" s="374" t="str">
        <f t="shared" si="8"/>
        <v/>
      </c>
      <c r="Z130" s="374" t="str">
        <f t="shared" si="9"/>
        <v/>
      </c>
      <c r="AA130" s="374" t="str">
        <f t="shared" si="10"/>
        <v/>
      </c>
      <c r="AB130" s="670" t="str">
        <f t="shared" si="11"/>
        <v/>
      </c>
      <c r="AC130" s="516"/>
      <c r="AD130" s="119"/>
      <c r="AE130" s="120"/>
      <c r="AF130" s="120"/>
      <c r="AG130" s="120"/>
      <c r="AH130" s="57" t="str">
        <f>IF(Q130="","",IF(Q130='G-1 All Habitats'!$X$3,E130-X130-W130,"None"))</f>
        <v/>
      </c>
      <c r="AI130" s="58" t="str">
        <f>IF(Q130="","", IF(Q130='G-1 All Habitats'!$X$3, AH130*G130*I130*L130*N130*P130,"None"))</f>
        <v/>
      </c>
      <c r="AJ130" s="30" t="str">
        <f>IFERROR(INDEX('G-7 WaterC'' Data'!$AZ$3:$AZ$7,MATCH(D130,'G-7 WaterC'' Data'!$AY$3:$AY$7,0)),"")</f>
        <v/>
      </c>
      <c r="AK130" s="30">
        <f t="shared" si="12"/>
        <v>0</v>
      </c>
      <c r="AL130" s="124" t="str">
        <f t="shared" si="13"/>
        <v/>
      </c>
      <c r="AM130" s="124" t="str">
        <f t="shared" si="14"/>
        <v/>
      </c>
      <c r="AO130" s="124">
        <v>121</v>
      </c>
      <c r="AQ130" s="124" t="str">
        <f t="array" ref="AQ130">IFERROR(INDEX($AO$10:$AO$258, MATCH(0, IF(TRUE=$AL$10:$AL$258, COUNTIF($AQ$9:$AQ129, $AO$10:$AO$258), ""), 0)),"")</f>
        <v/>
      </c>
      <c r="AR130" s="124" t="str">
        <f t="array" ref="AR130">IFERROR(INDEX($AO$10:$AO$258, MATCH(0, IF(TRUE=$AM$10:$AM$258, COUNTIF($AR$9:$AR129, $AO$10:$AO$258), ""), 0)),"")</f>
        <v/>
      </c>
      <c r="AZ130" s="802" t="str">
        <f t="shared" si="15"/>
        <v/>
      </c>
    </row>
    <row r="131" spans="3:52" ht="15.75" thickBot="1">
      <c r="C131" s="110">
        <v>122</v>
      </c>
      <c r="D131" s="340"/>
      <c r="E131" s="121"/>
      <c r="F131" s="362" t="str">
        <f>IF(D131="","",VLOOKUP(D131,'G-7 WaterC'' Data'!$B$2:$G$8,2,FALSE))</f>
        <v/>
      </c>
      <c r="G131" s="363" t="str">
        <f>IFERROR(VLOOKUP(F131,'G-7 WaterC'' Data'!$C$4:$D$8,2,FALSE),"")</f>
        <v/>
      </c>
      <c r="H131" s="114"/>
      <c r="I131" s="363" t="str">
        <f>IFERROR(INDEX('G-7 WaterC'' Data'!$H$4:$L$8,MATCH(D131,'G-7 WaterC'' Data'!$B$4:$B$8,0),MATCH(H131,'G-7 WaterC'' Data'!$H$3:$L$3,0)),"")</f>
        <v/>
      </c>
      <c r="J131" s="115"/>
      <c r="K131" s="382" t="str">
        <f>IF(J131="","",IF(VLOOKUP(J131,'G-7 WaterC'' Data'!$AK$4:$AM$9,2,FALSE)=0,"Spatial Data Missing ⚠",VLOOKUP(J131,'G-7 WaterC'' Data'!$AK$4:$AM$6,2,FALSE)))</f>
        <v/>
      </c>
      <c r="L131" s="386" t="str">
        <f>IF(J131="","",IF(VLOOKUP(J131,'G-7 WaterC'' Data'!$AK$4:$AM$9,3,FALSE)=0,"Spatial Data Missing ⚠",VLOOKUP(J131,'G-7 WaterC'' Data'!$AK$4:$AM$6,3,FALSE)))</f>
        <v/>
      </c>
      <c r="M131" s="115"/>
      <c r="N131" s="363" t="str">
        <f>IF(M131="","",IF(VLOOKUP(M131,'G-7 WaterC'' Data'!$AA$4:$AB$7,2,FALSE)=0,"Spatial Data Missing ⚠",VLOOKUP(M131,'G-7 WaterC'' Data'!$AA$4:$AB$7,2,FALSE)))</f>
        <v/>
      </c>
      <c r="O131" s="60"/>
      <c r="P131" s="363" t="str">
        <f>IF(O131="","",IF(VLOOKUP(O131,'G-7 WaterC'' Data'!$AD$4:$AE$14,2,FALSE)=0,"Spatial Data Missing ⚠",VLOOKUP(O131,'G-7 WaterC'' Data'!$AD$4:$AE$14,2,FALSE)))</f>
        <v/>
      </c>
      <c r="Q131" s="369" t="str">
        <f>IF(D131="","",VLOOKUP(D131,'G-7 WaterC'' Data'!$B$4:$G$8,6,FALSE))</f>
        <v/>
      </c>
      <c r="R131" s="376" t="str">
        <f>IFERROR(IF(D131="","",IF(AND(Q131='G-1 All Habitats'!$X$3,X131&gt;0),Y131+(Z131*T131),IF(AND(Q131='G-1 All Habitats'!$X$3,W131&gt;0),Y131+(Z131*T131),IF(AND(Q131='G-1 All Habitats'!$X$3,AH131&gt;0),"Any Loss Unacceptable ⚠",IF(AND(Q131='G-1 All Habitats'!$X$3,AI131&gt;0),"Any Loss Unacceptable ⚠", E131*G131*I131*L131*N131*P131*T131 ))))),"Check Data ▲")</f>
        <v/>
      </c>
      <c r="S131" s="516"/>
      <c r="T131" s="368" t="str">
        <f>IF(S131="","",IF(VLOOKUP(S131,'G-7 WaterC'' Data'!$AO$4:$BO$7,2,FALSE)=0,"Spatial Data Missing ⚠",VLOOKUP(S131,'G-7 WaterC'' Data'!$AO$4:$BO$7,2,FALSE)))</f>
        <v/>
      </c>
      <c r="U131" s="376" t="str">
        <f>IFERROR(IF(D131="","",IF(AND(Q131='G-1 All Habitats'!$X$3,X131&gt;0),Y131+Z131,IF(AND(Q131='G-1 All Habitats'!$X$3,W131&gt;0),Y131+Z131,IF(AND(Q131='G-1 All Habitats'!$X$3,AH131&gt;0),"Any Loss Unacceptable ⚠",IF(AND(Q131='G-1 All Habitats'!$X$3,AI131&gt;0),"Any Loss Unacceptable ⚠", E131*G131*I131*L131*N131*P131 ))))),"Check Data ▲")</f>
        <v/>
      </c>
      <c r="V131" s="32"/>
      <c r="W131" s="114"/>
      <c r="X131" s="125"/>
      <c r="Y131" s="374" t="str">
        <f t="shared" si="8"/>
        <v/>
      </c>
      <c r="Z131" s="374" t="str">
        <f t="shared" si="9"/>
        <v/>
      </c>
      <c r="AA131" s="374" t="str">
        <f t="shared" si="10"/>
        <v/>
      </c>
      <c r="AB131" s="670" t="str">
        <f t="shared" si="11"/>
        <v/>
      </c>
      <c r="AC131" s="516"/>
      <c r="AD131" s="119"/>
      <c r="AE131" s="120"/>
      <c r="AF131" s="120"/>
      <c r="AG131" s="120"/>
      <c r="AH131" s="57" t="str">
        <f>IF(Q131="","",IF(Q131='G-1 All Habitats'!$X$3,E131-X131-W131,"None"))</f>
        <v/>
      </c>
      <c r="AI131" s="58" t="str">
        <f>IF(Q131="","", IF(Q131='G-1 All Habitats'!$X$3, AH131*G131*I131*L131*N131*P131,"None"))</f>
        <v/>
      </c>
      <c r="AJ131" s="30" t="str">
        <f>IFERROR(INDEX('G-7 WaterC'' Data'!$AZ$3:$AZ$7,MATCH(D131,'G-7 WaterC'' Data'!$AY$3:$AY$7,0)),"")</f>
        <v/>
      </c>
      <c r="AK131" s="30">
        <f t="shared" si="12"/>
        <v>0</v>
      </c>
      <c r="AL131" s="124" t="str">
        <f t="shared" si="13"/>
        <v/>
      </c>
      <c r="AM131" s="124" t="str">
        <f t="shared" si="14"/>
        <v/>
      </c>
      <c r="AO131" s="124">
        <v>122</v>
      </c>
      <c r="AQ131" s="124" t="str">
        <f t="array" ref="AQ131">IFERROR(INDEX($AO$10:$AO$258, MATCH(0, IF(TRUE=$AL$10:$AL$258, COUNTIF($AQ$9:$AQ130, $AO$10:$AO$258), ""), 0)),"")</f>
        <v/>
      </c>
      <c r="AR131" s="124" t="str">
        <f t="array" ref="AR131">IFERROR(INDEX($AO$10:$AO$258, MATCH(0, IF(TRUE=$AM$10:$AM$258, COUNTIF($AR$9:$AR130, $AO$10:$AO$258), ""), 0)),"")</f>
        <v/>
      </c>
      <c r="AZ131" s="802" t="str">
        <f t="shared" si="15"/>
        <v/>
      </c>
    </row>
    <row r="132" spans="3:52" ht="15.75" thickBot="1">
      <c r="C132" s="110">
        <v>123</v>
      </c>
      <c r="D132" s="340"/>
      <c r="E132" s="121"/>
      <c r="F132" s="362" t="str">
        <f>IF(D132="","",VLOOKUP(D132,'G-7 WaterC'' Data'!$B$2:$G$8,2,FALSE))</f>
        <v/>
      </c>
      <c r="G132" s="363" t="str">
        <f>IFERROR(VLOOKUP(F132,'G-7 WaterC'' Data'!$C$4:$D$8,2,FALSE),"")</f>
        <v/>
      </c>
      <c r="H132" s="114"/>
      <c r="I132" s="363" t="str">
        <f>IFERROR(INDEX('G-7 WaterC'' Data'!$H$4:$L$8,MATCH(D132,'G-7 WaterC'' Data'!$B$4:$B$8,0),MATCH(H132,'G-7 WaterC'' Data'!$H$3:$L$3,0)),"")</f>
        <v/>
      </c>
      <c r="J132" s="115"/>
      <c r="K132" s="382" t="str">
        <f>IF(J132="","",IF(VLOOKUP(J132,'G-7 WaterC'' Data'!$AK$4:$AM$9,2,FALSE)=0,"Spatial Data Missing ⚠",VLOOKUP(J132,'G-7 WaterC'' Data'!$AK$4:$AM$6,2,FALSE)))</f>
        <v/>
      </c>
      <c r="L132" s="386" t="str">
        <f>IF(J132="","",IF(VLOOKUP(J132,'G-7 WaterC'' Data'!$AK$4:$AM$9,3,FALSE)=0,"Spatial Data Missing ⚠",VLOOKUP(J132,'G-7 WaterC'' Data'!$AK$4:$AM$6,3,FALSE)))</f>
        <v/>
      </c>
      <c r="M132" s="115"/>
      <c r="N132" s="363" t="str">
        <f>IF(M132="","",IF(VLOOKUP(M132,'G-7 WaterC'' Data'!$AA$4:$AB$7,2,FALSE)=0,"Spatial Data Missing ⚠",VLOOKUP(M132,'G-7 WaterC'' Data'!$AA$4:$AB$7,2,FALSE)))</f>
        <v/>
      </c>
      <c r="O132" s="60"/>
      <c r="P132" s="363" t="str">
        <f>IF(O132="","",IF(VLOOKUP(O132,'G-7 WaterC'' Data'!$AD$4:$AE$14,2,FALSE)=0,"Spatial Data Missing ⚠",VLOOKUP(O132,'G-7 WaterC'' Data'!$AD$4:$AE$14,2,FALSE)))</f>
        <v/>
      </c>
      <c r="Q132" s="369" t="str">
        <f>IF(D132="","",VLOOKUP(D132,'G-7 WaterC'' Data'!$B$4:$G$8,6,FALSE))</f>
        <v/>
      </c>
      <c r="R132" s="376" t="str">
        <f>IFERROR(IF(D132="","",IF(AND(Q132='G-1 All Habitats'!$X$3,X132&gt;0),Y132+(Z132*T132),IF(AND(Q132='G-1 All Habitats'!$X$3,W132&gt;0),Y132+(Z132*T132),IF(AND(Q132='G-1 All Habitats'!$X$3,AH132&gt;0),"Any Loss Unacceptable ⚠",IF(AND(Q132='G-1 All Habitats'!$X$3,AI132&gt;0),"Any Loss Unacceptable ⚠", E132*G132*I132*L132*N132*P132*T132 ))))),"Check Data ▲")</f>
        <v/>
      </c>
      <c r="S132" s="516"/>
      <c r="T132" s="368" t="str">
        <f>IF(S132="","",IF(VLOOKUP(S132,'G-7 WaterC'' Data'!$AO$4:$BO$7,2,FALSE)=0,"Spatial Data Missing ⚠",VLOOKUP(S132,'G-7 WaterC'' Data'!$AO$4:$BO$7,2,FALSE)))</f>
        <v/>
      </c>
      <c r="U132" s="376" t="str">
        <f>IFERROR(IF(D132="","",IF(AND(Q132='G-1 All Habitats'!$X$3,X132&gt;0),Y132+Z132,IF(AND(Q132='G-1 All Habitats'!$X$3,W132&gt;0),Y132+Z132,IF(AND(Q132='G-1 All Habitats'!$X$3,AH132&gt;0),"Any Loss Unacceptable ⚠",IF(AND(Q132='G-1 All Habitats'!$X$3,AI132&gt;0),"Any Loss Unacceptable ⚠", E132*G132*I132*L132*N132*P132 ))))),"Check Data ▲")</f>
        <v/>
      </c>
      <c r="V132" s="32"/>
      <c r="W132" s="114"/>
      <c r="X132" s="125"/>
      <c r="Y132" s="374" t="str">
        <f t="shared" si="8"/>
        <v/>
      </c>
      <c r="Z132" s="374" t="str">
        <f t="shared" si="9"/>
        <v/>
      </c>
      <c r="AA132" s="374" t="str">
        <f t="shared" si="10"/>
        <v/>
      </c>
      <c r="AB132" s="670" t="str">
        <f t="shared" si="11"/>
        <v/>
      </c>
      <c r="AC132" s="516"/>
      <c r="AD132" s="119"/>
      <c r="AE132" s="120"/>
      <c r="AF132" s="120"/>
      <c r="AG132" s="120"/>
      <c r="AH132" s="57" t="str">
        <f>IF(Q132="","",IF(Q132='G-1 All Habitats'!$X$3,E132-X132-W132,"None"))</f>
        <v/>
      </c>
      <c r="AI132" s="58" t="str">
        <f>IF(Q132="","", IF(Q132='G-1 All Habitats'!$X$3, AH132*G132*I132*L132*N132*P132,"None"))</f>
        <v/>
      </c>
      <c r="AJ132" s="30" t="str">
        <f>IFERROR(INDEX('G-7 WaterC'' Data'!$AZ$3:$AZ$7,MATCH(D132,'G-7 WaterC'' Data'!$AY$3:$AY$7,0)),"")</f>
        <v/>
      </c>
      <c r="AK132" s="30">
        <f t="shared" si="12"/>
        <v>0</v>
      </c>
      <c r="AL132" s="124" t="str">
        <f t="shared" si="13"/>
        <v/>
      </c>
      <c r="AM132" s="124" t="str">
        <f t="shared" si="14"/>
        <v/>
      </c>
      <c r="AO132" s="124">
        <v>123</v>
      </c>
      <c r="AQ132" s="124" t="str">
        <f t="array" ref="AQ132">IFERROR(INDEX($AO$10:$AO$258, MATCH(0, IF(TRUE=$AL$10:$AL$258, COUNTIF($AQ$9:$AQ131, $AO$10:$AO$258), ""), 0)),"")</f>
        <v/>
      </c>
      <c r="AR132" s="124" t="str">
        <f t="array" ref="AR132">IFERROR(INDEX($AO$10:$AO$258, MATCH(0, IF(TRUE=$AM$10:$AM$258, COUNTIF($AR$9:$AR131, $AO$10:$AO$258), ""), 0)),"")</f>
        <v/>
      </c>
      <c r="AZ132" s="802" t="str">
        <f t="shared" si="15"/>
        <v/>
      </c>
    </row>
    <row r="133" spans="3:52" ht="15.75" thickBot="1">
      <c r="C133" s="110">
        <v>124</v>
      </c>
      <c r="D133" s="340"/>
      <c r="E133" s="121"/>
      <c r="F133" s="362" t="str">
        <f>IF(D133="","",VLOOKUP(D133,'G-7 WaterC'' Data'!$B$2:$G$8,2,FALSE))</f>
        <v/>
      </c>
      <c r="G133" s="363" t="str">
        <f>IFERROR(VLOOKUP(F133,'G-7 WaterC'' Data'!$C$4:$D$8,2,FALSE),"")</f>
        <v/>
      </c>
      <c r="H133" s="114"/>
      <c r="I133" s="363" t="str">
        <f>IFERROR(INDEX('G-7 WaterC'' Data'!$H$4:$L$8,MATCH(D133,'G-7 WaterC'' Data'!$B$4:$B$8,0),MATCH(H133,'G-7 WaterC'' Data'!$H$3:$L$3,0)),"")</f>
        <v/>
      </c>
      <c r="J133" s="115"/>
      <c r="K133" s="382" t="str">
        <f>IF(J133="","",IF(VLOOKUP(J133,'G-7 WaterC'' Data'!$AK$4:$AM$9,2,FALSE)=0,"Spatial Data Missing ⚠",VLOOKUP(J133,'G-7 WaterC'' Data'!$AK$4:$AM$6,2,FALSE)))</f>
        <v/>
      </c>
      <c r="L133" s="386" t="str">
        <f>IF(J133="","",IF(VLOOKUP(J133,'G-7 WaterC'' Data'!$AK$4:$AM$9,3,FALSE)=0,"Spatial Data Missing ⚠",VLOOKUP(J133,'G-7 WaterC'' Data'!$AK$4:$AM$6,3,FALSE)))</f>
        <v/>
      </c>
      <c r="M133" s="115"/>
      <c r="N133" s="363" t="str">
        <f>IF(M133="","",IF(VLOOKUP(M133,'G-7 WaterC'' Data'!$AA$4:$AB$7,2,FALSE)=0,"Spatial Data Missing ⚠",VLOOKUP(M133,'G-7 WaterC'' Data'!$AA$4:$AB$7,2,FALSE)))</f>
        <v/>
      </c>
      <c r="O133" s="60"/>
      <c r="P133" s="363" t="str">
        <f>IF(O133="","",IF(VLOOKUP(O133,'G-7 WaterC'' Data'!$AD$4:$AE$14,2,FALSE)=0,"Spatial Data Missing ⚠",VLOOKUP(O133,'G-7 WaterC'' Data'!$AD$4:$AE$14,2,FALSE)))</f>
        <v/>
      </c>
      <c r="Q133" s="369" t="str">
        <f>IF(D133="","",VLOOKUP(D133,'G-7 WaterC'' Data'!$B$4:$G$8,6,FALSE))</f>
        <v/>
      </c>
      <c r="R133" s="376" t="str">
        <f>IFERROR(IF(D133="","",IF(AND(Q133='G-1 All Habitats'!$X$3,X133&gt;0),Y133+(Z133*T133),IF(AND(Q133='G-1 All Habitats'!$X$3,W133&gt;0),Y133+(Z133*T133),IF(AND(Q133='G-1 All Habitats'!$X$3,AH133&gt;0),"Any Loss Unacceptable ⚠",IF(AND(Q133='G-1 All Habitats'!$X$3,AI133&gt;0),"Any Loss Unacceptable ⚠", E133*G133*I133*L133*N133*P133*T133 ))))),"Check Data ▲")</f>
        <v/>
      </c>
      <c r="S133" s="516"/>
      <c r="T133" s="368" t="str">
        <f>IF(S133="","",IF(VLOOKUP(S133,'G-7 WaterC'' Data'!$AO$4:$BO$7,2,FALSE)=0,"Spatial Data Missing ⚠",VLOOKUP(S133,'G-7 WaterC'' Data'!$AO$4:$BO$7,2,FALSE)))</f>
        <v/>
      </c>
      <c r="U133" s="376" t="str">
        <f>IFERROR(IF(D133="","",IF(AND(Q133='G-1 All Habitats'!$X$3,X133&gt;0),Y133+Z133,IF(AND(Q133='G-1 All Habitats'!$X$3,W133&gt;0),Y133+Z133,IF(AND(Q133='G-1 All Habitats'!$X$3,AH133&gt;0),"Any Loss Unacceptable ⚠",IF(AND(Q133='G-1 All Habitats'!$X$3,AI133&gt;0),"Any Loss Unacceptable ⚠", E133*G133*I133*L133*N133*P133 ))))),"Check Data ▲")</f>
        <v/>
      </c>
      <c r="V133" s="32"/>
      <c r="W133" s="114"/>
      <c r="X133" s="125"/>
      <c r="Y133" s="374" t="str">
        <f t="shared" si="8"/>
        <v/>
      </c>
      <c r="Z133" s="374" t="str">
        <f t="shared" si="9"/>
        <v/>
      </c>
      <c r="AA133" s="374" t="str">
        <f t="shared" si="10"/>
        <v/>
      </c>
      <c r="AB133" s="670" t="str">
        <f t="shared" si="11"/>
        <v/>
      </c>
      <c r="AC133" s="516"/>
      <c r="AD133" s="119"/>
      <c r="AE133" s="120"/>
      <c r="AF133" s="120"/>
      <c r="AG133" s="120"/>
      <c r="AH133" s="57" t="str">
        <f>IF(Q133="","",IF(Q133='G-1 All Habitats'!$X$3,E133-X133-W133,"None"))</f>
        <v/>
      </c>
      <c r="AI133" s="58" t="str">
        <f>IF(Q133="","", IF(Q133='G-1 All Habitats'!$X$3, AH133*G133*I133*L133*N133*P133,"None"))</f>
        <v/>
      </c>
      <c r="AJ133" s="30" t="str">
        <f>IFERROR(INDEX('G-7 WaterC'' Data'!$AZ$3:$AZ$7,MATCH(D133,'G-7 WaterC'' Data'!$AY$3:$AY$7,0)),"")</f>
        <v/>
      </c>
      <c r="AK133" s="30">
        <f t="shared" si="12"/>
        <v>0</v>
      </c>
      <c r="AL133" s="124" t="str">
        <f t="shared" si="13"/>
        <v/>
      </c>
      <c r="AM133" s="124" t="str">
        <f t="shared" si="14"/>
        <v/>
      </c>
      <c r="AO133" s="124">
        <v>124</v>
      </c>
      <c r="AQ133" s="124" t="str">
        <f t="array" ref="AQ133">IFERROR(INDEX($AO$10:$AO$258, MATCH(0, IF(TRUE=$AL$10:$AL$258, COUNTIF($AQ$9:$AQ132, $AO$10:$AO$258), ""), 0)),"")</f>
        <v/>
      </c>
      <c r="AR133" s="124" t="str">
        <f t="array" ref="AR133">IFERROR(INDEX($AO$10:$AO$258, MATCH(0, IF(TRUE=$AM$10:$AM$258, COUNTIF($AR$9:$AR132, $AO$10:$AO$258), ""), 0)),"")</f>
        <v/>
      </c>
      <c r="AZ133" s="802" t="str">
        <f t="shared" si="15"/>
        <v/>
      </c>
    </row>
    <row r="134" spans="3:52" ht="15.75" thickBot="1">
      <c r="C134" s="110">
        <v>125</v>
      </c>
      <c r="D134" s="340"/>
      <c r="E134" s="121"/>
      <c r="F134" s="362" t="str">
        <f>IF(D134="","",VLOOKUP(D134,'G-7 WaterC'' Data'!$B$2:$G$8,2,FALSE))</f>
        <v/>
      </c>
      <c r="G134" s="363" t="str">
        <f>IFERROR(VLOOKUP(F134,'G-7 WaterC'' Data'!$C$4:$D$8,2,FALSE),"")</f>
        <v/>
      </c>
      <c r="H134" s="114"/>
      <c r="I134" s="363" t="str">
        <f>IFERROR(INDEX('G-7 WaterC'' Data'!$H$4:$L$8,MATCH(D134,'G-7 WaterC'' Data'!$B$4:$B$8,0),MATCH(H134,'G-7 WaterC'' Data'!$H$3:$L$3,0)),"")</f>
        <v/>
      </c>
      <c r="J134" s="115"/>
      <c r="K134" s="382" t="str">
        <f>IF(J134="","",IF(VLOOKUP(J134,'G-7 WaterC'' Data'!$AK$4:$AM$9,2,FALSE)=0,"Spatial Data Missing ⚠",VLOOKUP(J134,'G-7 WaterC'' Data'!$AK$4:$AM$6,2,FALSE)))</f>
        <v/>
      </c>
      <c r="L134" s="386" t="str">
        <f>IF(J134="","",IF(VLOOKUP(J134,'G-7 WaterC'' Data'!$AK$4:$AM$9,3,FALSE)=0,"Spatial Data Missing ⚠",VLOOKUP(J134,'G-7 WaterC'' Data'!$AK$4:$AM$6,3,FALSE)))</f>
        <v/>
      </c>
      <c r="M134" s="115"/>
      <c r="N134" s="363" t="str">
        <f>IF(M134="","",IF(VLOOKUP(M134,'G-7 WaterC'' Data'!$AA$4:$AB$7,2,FALSE)=0,"Spatial Data Missing ⚠",VLOOKUP(M134,'G-7 WaterC'' Data'!$AA$4:$AB$7,2,FALSE)))</f>
        <v/>
      </c>
      <c r="O134" s="60"/>
      <c r="P134" s="363" t="str">
        <f>IF(O134="","",IF(VLOOKUP(O134,'G-7 WaterC'' Data'!$AD$4:$AE$14,2,FALSE)=0,"Spatial Data Missing ⚠",VLOOKUP(O134,'G-7 WaterC'' Data'!$AD$4:$AE$14,2,FALSE)))</f>
        <v/>
      </c>
      <c r="Q134" s="369" t="str">
        <f>IF(D134="","",VLOOKUP(D134,'G-7 WaterC'' Data'!$B$4:$G$8,6,FALSE))</f>
        <v/>
      </c>
      <c r="R134" s="376" t="str">
        <f>IFERROR(IF(D134="","",IF(AND(Q134='G-1 All Habitats'!$X$3,X134&gt;0),Y134+(Z134*T134),IF(AND(Q134='G-1 All Habitats'!$X$3,W134&gt;0),Y134+(Z134*T134),IF(AND(Q134='G-1 All Habitats'!$X$3,AH134&gt;0),"Any Loss Unacceptable ⚠",IF(AND(Q134='G-1 All Habitats'!$X$3,AI134&gt;0),"Any Loss Unacceptable ⚠", E134*G134*I134*L134*N134*P134*T134 ))))),"Check Data ▲")</f>
        <v/>
      </c>
      <c r="S134" s="516"/>
      <c r="T134" s="368" t="str">
        <f>IF(S134="","",IF(VLOOKUP(S134,'G-7 WaterC'' Data'!$AO$4:$BO$7,2,FALSE)=0,"Spatial Data Missing ⚠",VLOOKUP(S134,'G-7 WaterC'' Data'!$AO$4:$BO$7,2,FALSE)))</f>
        <v/>
      </c>
      <c r="U134" s="376" t="str">
        <f>IFERROR(IF(D134="","",IF(AND(Q134='G-1 All Habitats'!$X$3,X134&gt;0),Y134+Z134,IF(AND(Q134='G-1 All Habitats'!$X$3,W134&gt;0),Y134+Z134,IF(AND(Q134='G-1 All Habitats'!$X$3,AH134&gt;0),"Any Loss Unacceptable ⚠",IF(AND(Q134='G-1 All Habitats'!$X$3,AI134&gt;0),"Any Loss Unacceptable ⚠", E134*G134*I134*L134*N134*P134 ))))),"Check Data ▲")</f>
        <v/>
      </c>
      <c r="V134" s="32"/>
      <c r="W134" s="114"/>
      <c r="X134" s="125"/>
      <c r="Y134" s="374" t="str">
        <f t="shared" si="8"/>
        <v/>
      </c>
      <c r="Z134" s="374" t="str">
        <f t="shared" si="9"/>
        <v/>
      </c>
      <c r="AA134" s="374" t="str">
        <f t="shared" si="10"/>
        <v/>
      </c>
      <c r="AB134" s="670" t="str">
        <f t="shared" si="11"/>
        <v/>
      </c>
      <c r="AC134" s="516"/>
      <c r="AD134" s="119"/>
      <c r="AE134" s="120"/>
      <c r="AF134" s="120"/>
      <c r="AG134" s="120"/>
      <c r="AH134" s="57" t="str">
        <f>IF(Q134="","",IF(Q134='G-1 All Habitats'!$X$3,E134-X134-W134,"None"))</f>
        <v/>
      </c>
      <c r="AI134" s="58" t="str">
        <f>IF(Q134="","", IF(Q134='G-1 All Habitats'!$X$3, AH134*G134*I134*L134*N134*P134,"None"))</f>
        <v/>
      </c>
      <c r="AJ134" s="30" t="str">
        <f>IFERROR(INDEX('G-7 WaterC'' Data'!$AZ$3:$AZ$7,MATCH(D134,'G-7 WaterC'' Data'!$AY$3:$AY$7,0)),"")</f>
        <v/>
      </c>
      <c r="AK134" s="30">
        <f t="shared" si="12"/>
        <v>0</v>
      </c>
      <c r="AL134" s="124" t="str">
        <f t="shared" si="13"/>
        <v/>
      </c>
      <c r="AM134" s="124" t="str">
        <f t="shared" si="14"/>
        <v/>
      </c>
      <c r="AO134" s="124">
        <v>125</v>
      </c>
      <c r="AQ134" s="124" t="str">
        <f t="array" ref="AQ134">IFERROR(INDEX($AO$10:$AO$258, MATCH(0, IF(TRUE=$AL$10:$AL$258, COUNTIF($AQ$9:$AQ133, $AO$10:$AO$258), ""), 0)),"")</f>
        <v/>
      </c>
      <c r="AR134" s="124" t="str">
        <f t="array" ref="AR134">IFERROR(INDEX($AO$10:$AO$258, MATCH(0, IF(TRUE=$AM$10:$AM$258, COUNTIF($AR$9:$AR133, $AO$10:$AO$258), ""), 0)),"")</f>
        <v/>
      </c>
      <c r="AZ134" s="802" t="str">
        <f t="shared" si="15"/>
        <v/>
      </c>
    </row>
    <row r="135" spans="3:52" ht="15.75" thickBot="1">
      <c r="C135" s="110">
        <v>126</v>
      </c>
      <c r="D135" s="340"/>
      <c r="E135" s="121"/>
      <c r="F135" s="362" t="str">
        <f>IF(D135="","",VLOOKUP(D135,'G-7 WaterC'' Data'!$B$2:$G$8,2,FALSE))</f>
        <v/>
      </c>
      <c r="G135" s="363" t="str">
        <f>IFERROR(VLOOKUP(F135,'G-7 WaterC'' Data'!$C$4:$D$8,2,FALSE),"")</f>
        <v/>
      </c>
      <c r="H135" s="114"/>
      <c r="I135" s="363" t="str">
        <f>IFERROR(INDEX('G-7 WaterC'' Data'!$H$4:$L$8,MATCH(D135,'G-7 WaterC'' Data'!$B$4:$B$8,0),MATCH(H135,'G-7 WaterC'' Data'!$H$3:$L$3,0)),"")</f>
        <v/>
      </c>
      <c r="J135" s="115"/>
      <c r="K135" s="382" t="str">
        <f>IF(J135="","",IF(VLOOKUP(J135,'G-7 WaterC'' Data'!$AK$4:$AM$9,2,FALSE)=0,"Spatial Data Missing ⚠",VLOOKUP(J135,'G-7 WaterC'' Data'!$AK$4:$AM$6,2,FALSE)))</f>
        <v/>
      </c>
      <c r="L135" s="386" t="str">
        <f>IF(J135="","",IF(VLOOKUP(J135,'G-7 WaterC'' Data'!$AK$4:$AM$9,3,FALSE)=0,"Spatial Data Missing ⚠",VLOOKUP(J135,'G-7 WaterC'' Data'!$AK$4:$AM$6,3,FALSE)))</f>
        <v/>
      </c>
      <c r="M135" s="115"/>
      <c r="N135" s="363" t="str">
        <f>IF(M135="","",IF(VLOOKUP(M135,'G-7 WaterC'' Data'!$AA$4:$AB$7,2,FALSE)=0,"Spatial Data Missing ⚠",VLOOKUP(M135,'G-7 WaterC'' Data'!$AA$4:$AB$7,2,FALSE)))</f>
        <v/>
      </c>
      <c r="O135" s="60"/>
      <c r="P135" s="363" t="str">
        <f>IF(O135="","",IF(VLOOKUP(O135,'G-7 WaterC'' Data'!$AD$4:$AE$14,2,FALSE)=0,"Spatial Data Missing ⚠",VLOOKUP(O135,'G-7 WaterC'' Data'!$AD$4:$AE$14,2,FALSE)))</f>
        <v/>
      </c>
      <c r="Q135" s="369" t="str">
        <f>IF(D135="","",VLOOKUP(D135,'G-7 WaterC'' Data'!$B$4:$G$8,6,FALSE))</f>
        <v/>
      </c>
      <c r="R135" s="376" t="str">
        <f>IFERROR(IF(D135="","",IF(AND(Q135='G-1 All Habitats'!$X$3,X135&gt;0),Y135+(Z135*T135),IF(AND(Q135='G-1 All Habitats'!$X$3,W135&gt;0),Y135+(Z135*T135),IF(AND(Q135='G-1 All Habitats'!$X$3,AH135&gt;0),"Any Loss Unacceptable ⚠",IF(AND(Q135='G-1 All Habitats'!$X$3,AI135&gt;0),"Any Loss Unacceptable ⚠", E135*G135*I135*L135*N135*P135*T135 ))))),"Check Data ▲")</f>
        <v/>
      </c>
      <c r="S135" s="516"/>
      <c r="T135" s="368" t="str">
        <f>IF(S135="","",IF(VLOOKUP(S135,'G-7 WaterC'' Data'!$AO$4:$BO$7,2,FALSE)=0,"Spatial Data Missing ⚠",VLOOKUP(S135,'G-7 WaterC'' Data'!$AO$4:$BO$7,2,FALSE)))</f>
        <v/>
      </c>
      <c r="U135" s="376" t="str">
        <f>IFERROR(IF(D135="","",IF(AND(Q135='G-1 All Habitats'!$X$3,X135&gt;0),Y135+Z135,IF(AND(Q135='G-1 All Habitats'!$X$3,W135&gt;0),Y135+Z135,IF(AND(Q135='G-1 All Habitats'!$X$3,AH135&gt;0),"Any Loss Unacceptable ⚠",IF(AND(Q135='G-1 All Habitats'!$X$3,AI135&gt;0),"Any Loss Unacceptable ⚠", E135*G135*I135*L135*N135*P135 ))))),"Check Data ▲")</f>
        <v/>
      </c>
      <c r="V135" s="32"/>
      <c r="W135" s="114"/>
      <c r="X135" s="125"/>
      <c r="Y135" s="374" t="str">
        <f t="shared" si="8"/>
        <v/>
      </c>
      <c r="Z135" s="374" t="str">
        <f t="shared" si="9"/>
        <v/>
      </c>
      <c r="AA135" s="374" t="str">
        <f t="shared" si="10"/>
        <v/>
      </c>
      <c r="AB135" s="670" t="str">
        <f t="shared" si="11"/>
        <v/>
      </c>
      <c r="AC135" s="516"/>
      <c r="AD135" s="119"/>
      <c r="AE135" s="120"/>
      <c r="AF135" s="120"/>
      <c r="AG135" s="120"/>
      <c r="AH135" s="57" t="str">
        <f>IF(Q135="","",IF(Q135='G-1 All Habitats'!$X$3,E135-X135-W135,"None"))</f>
        <v/>
      </c>
      <c r="AI135" s="58" t="str">
        <f>IF(Q135="","", IF(Q135='G-1 All Habitats'!$X$3, AH135*G135*I135*L135*N135*P135,"None"))</f>
        <v/>
      </c>
      <c r="AJ135" s="30" t="str">
        <f>IFERROR(INDEX('G-7 WaterC'' Data'!$AZ$3:$AZ$7,MATCH(D135,'G-7 WaterC'' Data'!$AY$3:$AY$7,0)),"")</f>
        <v/>
      </c>
      <c r="AK135" s="30">
        <f t="shared" si="12"/>
        <v>0</v>
      </c>
      <c r="AL135" s="124" t="str">
        <f t="shared" si="13"/>
        <v/>
      </c>
      <c r="AM135" s="124" t="str">
        <f t="shared" si="14"/>
        <v/>
      </c>
      <c r="AO135" s="124">
        <v>126</v>
      </c>
      <c r="AQ135" s="124" t="str">
        <f t="array" ref="AQ135">IFERROR(INDEX($AO$10:$AO$258, MATCH(0, IF(TRUE=$AL$10:$AL$258, COUNTIF($AQ$9:$AQ134, $AO$10:$AO$258), ""), 0)),"")</f>
        <v/>
      </c>
      <c r="AR135" s="124" t="str">
        <f t="array" ref="AR135">IFERROR(INDEX($AO$10:$AO$258, MATCH(0, IF(TRUE=$AM$10:$AM$258, COUNTIF($AR$9:$AR134, $AO$10:$AO$258), ""), 0)),"")</f>
        <v/>
      </c>
      <c r="AZ135" s="802" t="str">
        <f t="shared" si="15"/>
        <v/>
      </c>
    </row>
    <row r="136" spans="3:52" ht="15.75" thickBot="1">
      <c r="C136" s="110">
        <v>127</v>
      </c>
      <c r="D136" s="340"/>
      <c r="E136" s="121"/>
      <c r="F136" s="362" t="str">
        <f>IF(D136="","",VLOOKUP(D136,'G-7 WaterC'' Data'!$B$2:$G$8,2,FALSE))</f>
        <v/>
      </c>
      <c r="G136" s="363" t="str">
        <f>IFERROR(VLOOKUP(F136,'G-7 WaterC'' Data'!$C$4:$D$8,2,FALSE),"")</f>
        <v/>
      </c>
      <c r="H136" s="114"/>
      <c r="I136" s="363" t="str">
        <f>IFERROR(INDEX('G-7 WaterC'' Data'!$H$4:$L$8,MATCH(D136,'G-7 WaterC'' Data'!$B$4:$B$8,0),MATCH(H136,'G-7 WaterC'' Data'!$H$3:$L$3,0)),"")</f>
        <v/>
      </c>
      <c r="J136" s="115"/>
      <c r="K136" s="382" t="str">
        <f>IF(J136="","",IF(VLOOKUP(J136,'G-7 WaterC'' Data'!$AK$4:$AM$9,2,FALSE)=0,"Spatial Data Missing ⚠",VLOOKUP(J136,'G-7 WaterC'' Data'!$AK$4:$AM$6,2,FALSE)))</f>
        <v/>
      </c>
      <c r="L136" s="386" t="str">
        <f>IF(J136="","",IF(VLOOKUP(J136,'G-7 WaterC'' Data'!$AK$4:$AM$9,3,FALSE)=0,"Spatial Data Missing ⚠",VLOOKUP(J136,'G-7 WaterC'' Data'!$AK$4:$AM$6,3,FALSE)))</f>
        <v/>
      </c>
      <c r="M136" s="115"/>
      <c r="N136" s="363" t="str">
        <f>IF(M136="","",IF(VLOOKUP(M136,'G-7 WaterC'' Data'!$AA$4:$AB$7,2,FALSE)=0,"Spatial Data Missing ⚠",VLOOKUP(M136,'G-7 WaterC'' Data'!$AA$4:$AB$7,2,FALSE)))</f>
        <v/>
      </c>
      <c r="O136" s="60"/>
      <c r="P136" s="363" t="str">
        <f>IF(O136="","",IF(VLOOKUP(O136,'G-7 WaterC'' Data'!$AD$4:$AE$14,2,FALSE)=0,"Spatial Data Missing ⚠",VLOOKUP(O136,'G-7 WaterC'' Data'!$AD$4:$AE$14,2,FALSE)))</f>
        <v/>
      </c>
      <c r="Q136" s="369" t="str">
        <f>IF(D136="","",VLOOKUP(D136,'G-7 WaterC'' Data'!$B$4:$G$8,6,FALSE))</f>
        <v/>
      </c>
      <c r="R136" s="376" t="str">
        <f>IFERROR(IF(D136="","",IF(AND(Q136='G-1 All Habitats'!$X$3,X136&gt;0),Y136+(Z136*T136),IF(AND(Q136='G-1 All Habitats'!$X$3,W136&gt;0),Y136+(Z136*T136),IF(AND(Q136='G-1 All Habitats'!$X$3,AH136&gt;0),"Any Loss Unacceptable ⚠",IF(AND(Q136='G-1 All Habitats'!$X$3,AI136&gt;0),"Any Loss Unacceptable ⚠", E136*G136*I136*L136*N136*P136*T136 ))))),"Check Data ▲")</f>
        <v/>
      </c>
      <c r="S136" s="516"/>
      <c r="T136" s="368" t="str">
        <f>IF(S136="","",IF(VLOOKUP(S136,'G-7 WaterC'' Data'!$AO$4:$BO$7,2,FALSE)=0,"Spatial Data Missing ⚠",VLOOKUP(S136,'G-7 WaterC'' Data'!$AO$4:$BO$7,2,FALSE)))</f>
        <v/>
      </c>
      <c r="U136" s="376" t="str">
        <f>IFERROR(IF(D136="","",IF(AND(Q136='G-1 All Habitats'!$X$3,X136&gt;0),Y136+Z136,IF(AND(Q136='G-1 All Habitats'!$X$3,W136&gt;0),Y136+Z136,IF(AND(Q136='G-1 All Habitats'!$X$3,AH136&gt;0),"Any Loss Unacceptable ⚠",IF(AND(Q136='G-1 All Habitats'!$X$3,AI136&gt;0),"Any Loss Unacceptable ⚠", E136*G136*I136*L136*N136*P136 ))))),"Check Data ▲")</f>
        <v/>
      </c>
      <c r="V136" s="32"/>
      <c r="W136" s="114"/>
      <c r="X136" s="125"/>
      <c r="Y136" s="374" t="str">
        <f t="shared" si="8"/>
        <v/>
      </c>
      <c r="Z136" s="374" t="str">
        <f t="shared" si="9"/>
        <v/>
      </c>
      <c r="AA136" s="374" t="str">
        <f t="shared" si="10"/>
        <v/>
      </c>
      <c r="AB136" s="670" t="str">
        <f t="shared" si="11"/>
        <v/>
      </c>
      <c r="AC136" s="516"/>
      <c r="AD136" s="119"/>
      <c r="AE136" s="120"/>
      <c r="AF136" s="120"/>
      <c r="AG136" s="120"/>
      <c r="AH136" s="57" t="str">
        <f>IF(Q136="","",IF(Q136='G-1 All Habitats'!$X$3,E136-X136-W136,"None"))</f>
        <v/>
      </c>
      <c r="AI136" s="58" t="str">
        <f>IF(Q136="","", IF(Q136='G-1 All Habitats'!$X$3, AH136*G136*I136*L136*N136*P136,"None"))</f>
        <v/>
      </c>
      <c r="AJ136" s="30" t="str">
        <f>IFERROR(INDEX('G-7 WaterC'' Data'!$AZ$3:$AZ$7,MATCH(D136,'G-7 WaterC'' Data'!$AY$3:$AY$7,0)),"")</f>
        <v/>
      </c>
      <c r="AK136" s="30">
        <f t="shared" si="12"/>
        <v>0</v>
      </c>
      <c r="AL136" s="124" t="str">
        <f t="shared" si="13"/>
        <v/>
      </c>
      <c r="AM136" s="124" t="str">
        <f t="shared" si="14"/>
        <v/>
      </c>
      <c r="AO136" s="124">
        <v>127</v>
      </c>
      <c r="AQ136" s="124" t="str">
        <f t="array" ref="AQ136">IFERROR(INDEX($AO$10:$AO$258, MATCH(0, IF(TRUE=$AL$10:$AL$258, COUNTIF($AQ$9:$AQ135, $AO$10:$AO$258), ""), 0)),"")</f>
        <v/>
      </c>
      <c r="AR136" s="124" t="str">
        <f t="array" ref="AR136">IFERROR(INDEX($AO$10:$AO$258, MATCH(0, IF(TRUE=$AM$10:$AM$258, COUNTIF($AR$9:$AR135, $AO$10:$AO$258), ""), 0)),"")</f>
        <v/>
      </c>
      <c r="AZ136" s="802" t="str">
        <f t="shared" si="15"/>
        <v/>
      </c>
    </row>
    <row r="137" spans="3:52" ht="15.75" thickBot="1">
      <c r="C137" s="110">
        <v>128</v>
      </c>
      <c r="D137" s="340"/>
      <c r="E137" s="121"/>
      <c r="F137" s="362" t="str">
        <f>IF(D137="","",VLOOKUP(D137,'G-7 WaterC'' Data'!$B$2:$G$8,2,FALSE))</f>
        <v/>
      </c>
      <c r="G137" s="363" t="str">
        <f>IFERROR(VLOOKUP(F137,'G-7 WaterC'' Data'!$C$4:$D$8,2,FALSE),"")</f>
        <v/>
      </c>
      <c r="H137" s="114"/>
      <c r="I137" s="363" t="str">
        <f>IFERROR(INDEX('G-7 WaterC'' Data'!$H$4:$L$8,MATCH(D137,'G-7 WaterC'' Data'!$B$4:$B$8,0),MATCH(H137,'G-7 WaterC'' Data'!$H$3:$L$3,0)),"")</f>
        <v/>
      </c>
      <c r="J137" s="115"/>
      <c r="K137" s="382" t="str">
        <f>IF(J137="","",IF(VLOOKUP(J137,'G-7 WaterC'' Data'!$AK$4:$AM$9,2,FALSE)=0,"Spatial Data Missing ⚠",VLOOKUP(J137,'G-7 WaterC'' Data'!$AK$4:$AM$6,2,FALSE)))</f>
        <v/>
      </c>
      <c r="L137" s="386" t="str">
        <f>IF(J137="","",IF(VLOOKUP(J137,'G-7 WaterC'' Data'!$AK$4:$AM$9,3,FALSE)=0,"Spatial Data Missing ⚠",VLOOKUP(J137,'G-7 WaterC'' Data'!$AK$4:$AM$6,3,FALSE)))</f>
        <v/>
      </c>
      <c r="M137" s="115"/>
      <c r="N137" s="363" t="str">
        <f>IF(M137="","",IF(VLOOKUP(M137,'G-7 WaterC'' Data'!$AA$4:$AB$7,2,FALSE)=0,"Spatial Data Missing ⚠",VLOOKUP(M137,'G-7 WaterC'' Data'!$AA$4:$AB$7,2,FALSE)))</f>
        <v/>
      </c>
      <c r="O137" s="60"/>
      <c r="P137" s="363" t="str">
        <f>IF(O137="","",IF(VLOOKUP(O137,'G-7 WaterC'' Data'!$AD$4:$AE$14,2,FALSE)=0,"Spatial Data Missing ⚠",VLOOKUP(O137,'G-7 WaterC'' Data'!$AD$4:$AE$14,2,FALSE)))</f>
        <v/>
      </c>
      <c r="Q137" s="369" t="str">
        <f>IF(D137="","",VLOOKUP(D137,'G-7 WaterC'' Data'!$B$4:$G$8,6,FALSE))</f>
        <v/>
      </c>
      <c r="R137" s="376" t="str">
        <f>IFERROR(IF(D137="","",IF(AND(Q137='G-1 All Habitats'!$X$3,X137&gt;0),Y137+(Z137*T137),IF(AND(Q137='G-1 All Habitats'!$X$3,W137&gt;0),Y137+(Z137*T137),IF(AND(Q137='G-1 All Habitats'!$X$3,AH137&gt;0),"Any Loss Unacceptable ⚠",IF(AND(Q137='G-1 All Habitats'!$X$3,AI137&gt;0),"Any Loss Unacceptable ⚠", E137*G137*I137*L137*N137*P137*T137 ))))),"Check Data ▲")</f>
        <v/>
      </c>
      <c r="S137" s="516"/>
      <c r="T137" s="368" t="str">
        <f>IF(S137="","",IF(VLOOKUP(S137,'G-7 WaterC'' Data'!$AO$4:$BO$7,2,FALSE)=0,"Spatial Data Missing ⚠",VLOOKUP(S137,'G-7 WaterC'' Data'!$AO$4:$BO$7,2,FALSE)))</f>
        <v/>
      </c>
      <c r="U137" s="376" t="str">
        <f>IFERROR(IF(D137="","",IF(AND(Q137='G-1 All Habitats'!$X$3,X137&gt;0),Y137+Z137,IF(AND(Q137='G-1 All Habitats'!$X$3,W137&gt;0),Y137+Z137,IF(AND(Q137='G-1 All Habitats'!$X$3,AH137&gt;0),"Any Loss Unacceptable ⚠",IF(AND(Q137='G-1 All Habitats'!$X$3,AI137&gt;0),"Any Loss Unacceptable ⚠", E137*G137*I137*L137*N137*P137 ))))),"Check Data ▲")</f>
        <v/>
      </c>
      <c r="V137" s="32"/>
      <c r="W137" s="114"/>
      <c r="X137" s="125"/>
      <c r="Y137" s="374" t="str">
        <f t="shared" si="8"/>
        <v/>
      </c>
      <c r="Z137" s="374" t="str">
        <f t="shared" si="9"/>
        <v/>
      </c>
      <c r="AA137" s="374" t="str">
        <f t="shared" si="10"/>
        <v/>
      </c>
      <c r="AB137" s="670" t="str">
        <f t="shared" si="11"/>
        <v/>
      </c>
      <c r="AC137" s="516"/>
      <c r="AD137" s="119"/>
      <c r="AE137" s="120"/>
      <c r="AF137" s="120"/>
      <c r="AG137" s="120"/>
      <c r="AH137" s="57" t="str">
        <f>IF(Q137="","",IF(Q137='G-1 All Habitats'!$X$3,E137-X137-W137,"None"))</f>
        <v/>
      </c>
      <c r="AI137" s="58" t="str">
        <f>IF(Q137="","", IF(Q137='G-1 All Habitats'!$X$3, AH137*G137*I137*L137*N137*P137,"None"))</f>
        <v/>
      </c>
      <c r="AJ137" s="30" t="str">
        <f>IFERROR(INDEX('G-7 WaterC'' Data'!$AZ$3:$AZ$7,MATCH(D137,'G-7 WaterC'' Data'!$AY$3:$AY$7,0)),"")</f>
        <v/>
      </c>
      <c r="AK137" s="30">
        <f t="shared" si="12"/>
        <v>0</v>
      </c>
      <c r="AL137" s="124" t="str">
        <f t="shared" si="13"/>
        <v/>
      </c>
      <c r="AM137" s="124" t="str">
        <f t="shared" si="14"/>
        <v/>
      </c>
      <c r="AO137" s="124">
        <v>128</v>
      </c>
      <c r="AQ137" s="124" t="str">
        <f t="array" ref="AQ137">IFERROR(INDEX($AO$10:$AO$258, MATCH(0, IF(TRUE=$AL$10:$AL$258, COUNTIF($AQ$9:$AQ136, $AO$10:$AO$258), ""), 0)),"")</f>
        <v/>
      </c>
      <c r="AR137" s="124" t="str">
        <f t="array" ref="AR137">IFERROR(INDEX($AO$10:$AO$258, MATCH(0, IF(TRUE=$AM$10:$AM$258, COUNTIF($AR$9:$AR136, $AO$10:$AO$258), ""), 0)),"")</f>
        <v/>
      </c>
      <c r="AZ137" s="802" t="str">
        <f t="shared" si="15"/>
        <v/>
      </c>
    </row>
    <row r="138" spans="3:52" ht="15.75" thickBot="1">
      <c r="C138" s="110">
        <v>129</v>
      </c>
      <c r="D138" s="340"/>
      <c r="E138" s="121"/>
      <c r="F138" s="362" t="str">
        <f>IF(D138="","",VLOOKUP(D138,'G-7 WaterC'' Data'!$B$2:$G$8,2,FALSE))</f>
        <v/>
      </c>
      <c r="G138" s="363" t="str">
        <f>IFERROR(VLOOKUP(F138,'G-7 WaterC'' Data'!$C$4:$D$8,2,FALSE),"")</f>
        <v/>
      </c>
      <c r="H138" s="114"/>
      <c r="I138" s="363" t="str">
        <f>IFERROR(INDEX('G-7 WaterC'' Data'!$H$4:$L$8,MATCH(D138,'G-7 WaterC'' Data'!$B$4:$B$8,0),MATCH(H138,'G-7 WaterC'' Data'!$H$3:$L$3,0)),"")</f>
        <v/>
      </c>
      <c r="J138" s="115"/>
      <c r="K138" s="382" t="str">
        <f>IF(J138="","",IF(VLOOKUP(J138,'G-7 WaterC'' Data'!$AK$4:$AM$9,2,FALSE)=0,"Spatial Data Missing ⚠",VLOOKUP(J138,'G-7 WaterC'' Data'!$AK$4:$AM$6,2,FALSE)))</f>
        <v/>
      </c>
      <c r="L138" s="386" t="str">
        <f>IF(J138="","",IF(VLOOKUP(J138,'G-7 WaterC'' Data'!$AK$4:$AM$9,3,FALSE)=0,"Spatial Data Missing ⚠",VLOOKUP(J138,'G-7 WaterC'' Data'!$AK$4:$AM$6,3,FALSE)))</f>
        <v/>
      </c>
      <c r="M138" s="115"/>
      <c r="N138" s="363" t="str">
        <f>IF(M138="","",IF(VLOOKUP(M138,'G-7 WaterC'' Data'!$AA$4:$AB$7,2,FALSE)=0,"Spatial Data Missing ⚠",VLOOKUP(M138,'G-7 WaterC'' Data'!$AA$4:$AB$7,2,FALSE)))</f>
        <v/>
      </c>
      <c r="O138" s="60"/>
      <c r="P138" s="363" t="str">
        <f>IF(O138="","",IF(VLOOKUP(O138,'G-7 WaterC'' Data'!$AD$4:$AE$14,2,FALSE)=0,"Spatial Data Missing ⚠",VLOOKUP(O138,'G-7 WaterC'' Data'!$AD$4:$AE$14,2,FALSE)))</f>
        <v/>
      </c>
      <c r="Q138" s="369" t="str">
        <f>IF(D138="","",VLOOKUP(D138,'G-7 WaterC'' Data'!$B$4:$G$8,6,FALSE))</f>
        <v/>
      </c>
      <c r="R138" s="376" t="str">
        <f>IFERROR(IF(D138="","",IF(AND(Q138='G-1 All Habitats'!$X$3,X138&gt;0),Y138+(Z138*T138),IF(AND(Q138='G-1 All Habitats'!$X$3,W138&gt;0),Y138+(Z138*T138),IF(AND(Q138='G-1 All Habitats'!$X$3,AH138&gt;0),"Any Loss Unacceptable ⚠",IF(AND(Q138='G-1 All Habitats'!$X$3,AI138&gt;0),"Any Loss Unacceptable ⚠", E138*G138*I138*L138*N138*P138*T138 ))))),"Check Data ▲")</f>
        <v/>
      </c>
      <c r="S138" s="516"/>
      <c r="T138" s="368" t="str">
        <f>IF(S138="","",IF(VLOOKUP(S138,'G-7 WaterC'' Data'!$AO$4:$BO$7,2,FALSE)=0,"Spatial Data Missing ⚠",VLOOKUP(S138,'G-7 WaterC'' Data'!$AO$4:$BO$7,2,FALSE)))</f>
        <v/>
      </c>
      <c r="U138" s="376" t="str">
        <f>IFERROR(IF(D138="","",IF(AND(Q138='G-1 All Habitats'!$X$3,X138&gt;0),Y138+Z138,IF(AND(Q138='G-1 All Habitats'!$X$3,W138&gt;0),Y138+Z138,IF(AND(Q138='G-1 All Habitats'!$X$3,AH138&gt;0),"Any Loss Unacceptable ⚠",IF(AND(Q138='G-1 All Habitats'!$X$3,AI138&gt;0),"Any Loss Unacceptable ⚠", E138*G138*I138*L138*N138*P138 ))))),"Check Data ▲")</f>
        <v/>
      </c>
      <c r="V138" s="32"/>
      <c r="W138" s="114"/>
      <c r="X138" s="125"/>
      <c r="Y138" s="374" t="str">
        <f t="shared" ref="Y138:Y201" si="16">IFERROR(IF(W138&gt;E138,"Error in Lengths ▲",W138*G138*I138*L138*N138*P138),"")</f>
        <v/>
      </c>
      <c r="Z138" s="374" t="str">
        <f t="shared" si="9"/>
        <v/>
      </c>
      <c r="AA138" s="374" t="str">
        <f t="shared" si="10"/>
        <v/>
      </c>
      <c r="AB138" s="670" t="str">
        <f t="shared" si="11"/>
        <v/>
      </c>
      <c r="AC138" s="516"/>
      <c r="AD138" s="119"/>
      <c r="AE138" s="120"/>
      <c r="AF138" s="120"/>
      <c r="AG138" s="120"/>
      <c r="AH138" s="57" t="str">
        <f>IF(Q138="","",IF(Q138='G-1 All Habitats'!$X$3,E138-X138-W138,"None"))</f>
        <v/>
      </c>
      <c r="AI138" s="58" t="str">
        <f>IF(Q138="","", IF(Q138='G-1 All Habitats'!$X$3, AH138*G138*I138*L138*N138*P138,"None"))</f>
        <v/>
      </c>
      <c r="AJ138" s="30" t="str">
        <f>IFERROR(INDEX('G-7 WaterC'' Data'!$AZ$3:$AZ$7,MATCH(D138,'G-7 WaterC'' Data'!$AY$3:$AY$7,0)),"")</f>
        <v/>
      </c>
      <c r="AK138" s="30">
        <f t="shared" si="12"/>
        <v>0</v>
      </c>
      <c r="AL138" s="124" t="str">
        <f t="shared" si="13"/>
        <v/>
      </c>
      <c r="AM138" s="124" t="str">
        <f t="shared" si="14"/>
        <v/>
      </c>
      <c r="AO138" s="124">
        <v>129</v>
      </c>
      <c r="AQ138" s="124" t="str">
        <f t="array" ref="AQ138">IFERROR(INDEX($AO$10:$AO$258, MATCH(0, IF(TRUE=$AL$10:$AL$258, COUNTIF($AQ$9:$AQ137, $AO$10:$AO$258), ""), 0)),"")</f>
        <v/>
      </c>
      <c r="AR138" s="124" t="str">
        <f t="array" ref="AR138">IFERROR(INDEX($AO$10:$AO$258, MATCH(0, IF(TRUE=$AM$10:$AM$258, COUNTIF($AR$9:$AR137, $AO$10:$AO$258), ""), 0)),"")</f>
        <v/>
      </c>
      <c r="AZ138" s="802" t="str">
        <f t="shared" si="15"/>
        <v/>
      </c>
    </row>
    <row r="139" spans="3:52" ht="15.75" thickBot="1">
      <c r="C139" s="110">
        <v>130</v>
      </c>
      <c r="D139" s="340"/>
      <c r="E139" s="121"/>
      <c r="F139" s="362" t="str">
        <f>IF(D139="","",VLOOKUP(D139,'G-7 WaterC'' Data'!$B$2:$G$8,2,FALSE))</f>
        <v/>
      </c>
      <c r="G139" s="363" t="str">
        <f>IFERROR(VLOOKUP(F139,'G-7 WaterC'' Data'!$C$4:$D$8,2,FALSE),"")</f>
        <v/>
      </c>
      <c r="H139" s="114"/>
      <c r="I139" s="363" t="str">
        <f>IFERROR(INDEX('G-7 WaterC'' Data'!$H$4:$L$8,MATCH(D139,'G-7 WaterC'' Data'!$B$4:$B$8,0),MATCH(H139,'G-7 WaterC'' Data'!$H$3:$L$3,0)),"")</f>
        <v/>
      </c>
      <c r="J139" s="115"/>
      <c r="K139" s="382" t="str">
        <f>IF(J139="","",IF(VLOOKUP(J139,'G-7 WaterC'' Data'!$AK$4:$AM$9,2,FALSE)=0,"Spatial Data Missing ⚠",VLOOKUP(J139,'G-7 WaterC'' Data'!$AK$4:$AM$6,2,FALSE)))</f>
        <v/>
      </c>
      <c r="L139" s="386" t="str">
        <f>IF(J139="","",IF(VLOOKUP(J139,'G-7 WaterC'' Data'!$AK$4:$AM$9,3,FALSE)=0,"Spatial Data Missing ⚠",VLOOKUP(J139,'G-7 WaterC'' Data'!$AK$4:$AM$6,3,FALSE)))</f>
        <v/>
      </c>
      <c r="M139" s="115"/>
      <c r="N139" s="363" t="str">
        <f>IF(M139="","",IF(VLOOKUP(M139,'G-7 WaterC'' Data'!$AA$4:$AB$7,2,FALSE)=0,"Spatial Data Missing ⚠",VLOOKUP(M139,'G-7 WaterC'' Data'!$AA$4:$AB$7,2,FALSE)))</f>
        <v/>
      </c>
      <c r="O139" s="60"/>
      <c r="P139" s="363" t="str">
        <f>IF(O139="","",IF(VLOOKUP(O139,'G-7 WaterC'' Data'!$AD$4:$AE$14,2,FALSE)=0,"Spatial Data Missing ⚠",VLOOKUP(O139,'G-7 WaterC'' Data'!$AD$4:$AE$14,2,FALSE)))</f>
        <v/>
      </c>
      <c r="Q139" s="369" t="str">
        <f>IF(D139="","",VLOOKUP(D139,'G-7 WaterC'' Data'!$B$4:$G$8,6,FALSE))</f>
        <v/>
      </c>
      <c r="R139" s="376" t="str">
        <f>IFERROR(IF(D139="","",IF(AND(Q139='G-1 All Habitats'!$X$3,X139&gt;0),Y139+(Z139*T139),IF(AND(Q139='G-1 All Habitats'!$X$3,W139&gt;0),Y139+(Z139*T139),IF(AND(Q139='G-1 All Habitats'!$X$3,AH139&gt;0),"Any Loss Unacceptable ⚠",IF(AND(Q139='G-1 All Habitats'!$X$3,AI139&gt;0),"Any Loss Unacceptable ⚠", E139*G139*I139*L139*N139*P139*T139 ))))),"Check Data ▲")</f>
        <v/>
      </c>
      <c r="S139" s="516"/>
      <c r="T139" s="368" t="str">
        <f>IF(S139="","",IF(VLOOKUP(S139,'G-7 WaterC'' Data'!$AO$4:$BO$7,2,FALSE)=0,"Spatial Data Missing ⚠",VLOOKUP(S139,'G-7 WaterC'' Data'!$AO$4:$BO$7,2,FALSE)))</f>
        <v/>
      </c>
      <c r="U139" s="376" t="str">
        <f>IFERROR(IF(D139="","",IF(AND(Q139='G-1 All Habitats'!$X$3,X139&gt;0),Y139+Z139,IF(AND(Q139='G-1 All Habitats'!$X$3,W139&gt;0),Y139+Z139,IF(AND(Q139='G-1 All Habitats'!$X$3,AH139&gt;0),"Any Loss Unacceptable ⚠",IF(AND(Q139='G-1 All Habitats'!$X$3,AI139&gt;0),"Any Loss Unacceptable ⚠", E139*G139*I139*L139*N139*P139 ))))),"Check Data ▲")</f>
        <v/>
      </c>
      <c r="V139" s="32"/>
      <c r="W139" s="114"/>
      <c r="X139" s="125"/>
      <c r="Y139" s="374" t="str">
        <f t="shared" si="16"/>
        <v/>
      </c>
      <c r="Z139" s="374" t="str">
        <f t="shared" ref="Z139:Z202" si="17">IFERROR(IF(D139="","",X139*G139*I139*L139*N139*P139),"")</f>
        <v/>
      </c>
      <c r="AA139" s="374" t="str">
        <f t="shared" ref="AA139:AA202" si="18">IFERROR(IF(D139="","",IF(AND(AC139="Yes", F139="V.High"), "Unacceptable loss ⚠",  IF(E139&gt;(W139+X139),E139-W139-X139,0))),"")</f>
        <v/>
      </c>
      <c r="AB139" s="670" t="str">
        <f t="shared" ref="AB139:AB202" si="19">IFERROR(IF(E139="","",IF((Y139+Z139)&gt;U139,0, IF(AND(AC139="Yes", D139="Priority habitat"), "Alternative compensation agreed ✓", IF(AND(D139="Priority habitat", X139+W139&lt;&gt;E139), "Any loss unacceptable ▲", U139-Y139-Z139)))),"Check Data ⚠")</f>
        <v/>
      </c>
      <c r="AC139" s="516"/>
      <c r="AD139" s="119"/>
      <c r="AE139" s="120"/>
      <c r="AF139" s="120"/>
      <c r="AG139" s="120"/>
      <c r="AH139" s="57" t="str">
        <f>IF(Q139="","",IF(Q139='G-1 All Habitats'!$X$3,E139-X139-W139,"None"))</f>
        <v/>
      </c>
      <c r="AI139" s="58" t="str">
        <f>IF(Q139="","", IF(Q139='G-1 All Habitats'!$X$3, AH139*G139*I139*L139*N139*P139,"None"))</f>
        <v/>
      </c>
      <c r="AJ139" s="30" t="str">
        <f>IFERROR(INDEX('G-7 WaterC'' Data'!$AZ$3:$AZ$7,MATCH(D139,'G-7 WaterC'' Data'!$AY$3:$AY$7,0)),"")</f>
        <v/>
      </c>
      <c r="AK139" s="30">
        <f t="shared" ref="AK139:AK202" si="20">IFERROR(IF(W139+X139&gt;E139,1,0),"")</f>
        <v>0</v>
      </c>
      <c r="AL139" s="124" t="str">
        <f t="shared" ref="AL139:AL202" si="21">IF(D139="","",IF(W139&gt;0,TRUE,FALSE))</f>
        <v/>
      </c>
      <c r="AM139" s="124" t="str">
        <f t="shared" ref="AM139:AM202" si="22">IF(D139="","",IF(X139&gt;0,TRUE,FALSE))</f>
        <v/>
      </c>
      <c r="AO139" s="124">
        <v>130</v>
      </c>
      <c r="AQ139" s="124" t="str">
        <f t="array" ref="AQ139">IFERROR(INDEX($AO$10:$AO$258, MATCH(0, IF(TRUE=$AL$10:$AL$258, COUNTIF($AQ$9:$AQ138, $AO$10:$AO$258), ""), 0)),"")</f>
        <v/>
      </c>
      <c r="AR139" s="124" t="str">
        <f t="array" ref="AR139">IFERROR(INDEX($AO$10:$AO$258, MATCH(0, IF(TRUE=$AM$10:$AM$258, COUNTIF($AR$9:$AR138, $AO$10:$AO$258), ""), 0)),"")</f>
        <v/>
      </c>
      <c r="AZ139" s="802" t="str">
        <f t="shared" ref="AZ139:AZ202" si="23">IFERROR(IF(W139&gt;E139,"Error in Lengths ▲",W139*G139*I139*L139*N139*P139*T139),"")</f>
        <v/>
      </c>
    </row>
    <row r="140" spans="3:52" ht="15.75" thickBot="1">
      <c r="C140" s="110">
        <v>131</v>
      </c>
      <c r="D140" s="340"/>
      <c r="E140" s="121"/>
      <c r="F140" s="362" t="str">
        <f>IF(D140="","",VLOOKUP(D140,'G-7 WaterC'' Data'!$B$2:$G$8,2,FALSE))</f>
        <v/>
      </c>
      <c r="G140" s="363" t="str">
        <f>IFERROR(VLOOKUP(F140,'G-7 WaterC'' Data'!$C$4:$D$8,2,FALSE),"")</f>
        <v/>
      </c>
      <c r="H140" s="114"/>
      <c r="I140" s="363" t="str">
        <f>IFERROR(INDEX('G-7 WaterC'' Data'!$H$4:$L$8,MATCH(D140,'G-7 WaterC'' Data'!$B$4:$B$8,0),MATCH(H140,'G-7 WaterC'' Data'!$H$3:$L$3,0)),"")</f>
        <v/>
      </c>
      <c r="J140" s="115"/>
      <c r="K140" s="382" t="str">
        <f>IF(J140="","",IF(VLOOKUP(J140,'G-7 WaterC'' Data'!$AK$4:$AM$9,2,FALSE)=0,"Spatial Data Missing ⚠",VLOOKUP(J140,'G-7 WaterC'' Data'!$AK$4:$AM$6,2,FALSE)))</f>
        <v/>
      </c>
      <c r="L140" s="386" t="str">
        <f>IF(J140="","",IF(VLOOKUP(J140,'G-7 WaterC'' Data'!$AK$4:$AM$9,3,FALSE)=0,"Spatial Data Missing ⚠",VLOOKUP(J140,'G-7 WaterC'' Data'!$AK$4:$AM$6,3,FALSE)))</f>
        <v/>
      </c>
      <c r="M140" s="115"/>
      <c r="N140" s="363" t="str">
        <f>IF(M140="","",IF(VLOOKUP(M140,'G-7 WaterC'' Data'!$AA$4:$AB$7,2,FALSE)=0,"Spatial Data Missing ⚠",VLOOKUP(M140,'G-7 WaterC'' Data'!$AA$4:$AB$7,2,FALSE)))</f>
        <v/>
      </c>
      <c r="O140" s="60"/>
      <c r="P140" s="363" t="str">
        <f>IF(O140="","",IF(VLOOKUP(O140,'G-7 WaterC'' Data'!$AD$4:$AE$14,2,FALSE)=0,"Spatial Data Missing ⚠",VLOOKUP(O140,'G-7 WaterC'' Data'!$AD$4:$AE$14,2,FALSE)))</f>
        <v/>
      </c>
      <c r="Q140" s="369" t="str">
        <f>IF(D140="","",VLOOKUP(D140,'G-7 WaterC'' Data'!$B$4:$G$8,6,FALSE))</f>
        <v/>
      </c>
      <c r="R140" s="376" t="str">
        <f>IFERROR(IF(D140="","",IF(AND(Q140='G-1 All Habitats'!$X$3,X140&gt;0),Y140+(Z140*T140),IF(AND(Q140='G-1 All Habitats'!$X$3,W140&gt;0),Y140+(Z140*T140),IF(AND(Q140='G-1 All Habitats'!$X$3,AH140&gt;0),"Any Loss Unacceptable ⚠",IF(AND(Q140='G-1 All Habitats'!$X$3,AI140&gt;0),"Any Loss Unacceptable ⚠", E140*G140*I140*L140*N140*P140*T140 ))))),"Check Data ▲")</f>
        <v/>
      </c>
      <c r="S140" s="516"/>
      <c r="T140" s="368" t="str">
        <f>IF(S140="","",IF(VLOOKUP(S140,'G-7 WaterC'' Data'!$AO$4:$BO$7,2,FALSE)=0,"Spatial Data Missing ⚠",VLOOKUP(S140,'G-7 WaterC'' Data'!$AO$4:$BO$7,2,FALSE)))</f>
        <v/>
      </c>
      <c r="U140" s="376" t="str">
        <f>IFERROR(IF(D140="","",IF(AND(Q140='G-1 All Habitats'!$X$3,X140&gt;0),Y140+Z140,IF(AND(Q140='G-1 All Habitats'!$X$3,W140&gt;0),Y140+Z140,IF(AND(Q140='G-1 All Habitats'!$X$3,AH140&gt;0),"Any Loss Unacceptable ⚠",IF(AND(Q140='G-1 All Habitats'!$X$3,AI140&gt;0),"Any Loss Unacceptable ⚠", E140*G140*I140*L140*N140*P140 ))))),"Check Data ▲")</f>
        <v/>
      </c>
      <c r="V140" s="32"/>
      <c r="W140" s="114"/>
      <c r="X140" s="125"/>
      <c r="Y140" s="374" t="str">
        <f t="shared" si="16"/>
        <v/>
      </c>
      <c r="Z140" s="374" t="str">
        <f t="shared" si="17"/>
        <v/>
      </c>
      <c r="AA140" s="374" t="str">
        <f t="shared" si="18"/>
        <v/>
      </c>
      <c r="AB140" s="670" t="str">
        <f t="shared" si="19"/>
        <v/>
      </c>
      <c r="AC140" s="516"/>
      <c r="AD140" s="119"/>
      <c r="AE140" s="120"/>
      <c r="AF140" s="120"/>
      <c r="AG140" s="120"/>
      <c r="AH140" s="57" t="str">
        <f>IF(Q140="","",IF(Q140='G-1 All Habitats'!$X$3,E140-X140-W140,"None"))</f>
        <v/>
      </c>
      <c r="AI140" s="58" t="str">
        <f>IF(Q140="","", IF(Q140='G-1 All Habitats'!$X$3, AH140*G140*I140*L140*N140*P140,"None"))</f>
        <v/>
      </c>
      <c r="AJ140" s="30" t="str">
        <f>IFERROR(INDEX('G-7 WaterC'' Data'!$AZ$3:$AZ$7,MATCH(D140,'G-7 WaterC'' Data'!$AY$3:$AY$7,0)),"")</f>
        <v/>
      </c>
      <c r="AK140" s="30">
        <f t="shared" si="20"/>
        <v>0</v>
      </c>
      <c r="AL140" s="124" t="str">
        <f t="shared" si="21"/>
        <v/>
      </c>
      <c r="AM140" s="124" t="str">
        <f t="shared" si="22"/>
        <v/>
      </c>
      <c r="AO140" s="124">
        <v>131</v>
      </c>
      <c r="AQ140" s="124" t="str">
        <f t="array" ref="AQ140">IFERROR(INDEX($AO$10:$AO$258, MATCH(0, IF(TRUE=$AL$10:$AL$258, COUNTIF($AQ$9:$AQ139, $AO$10:$AO$258), ""), 0)),"")</f>
        <v/>
      </c>
      <c r="AR140" s="124" t="str">
        <f t="array" ref="AR140">IFERROR(INDEX($AO$10:$AO$258, MATCH(0, IF(TRUE=$AM$10:$AM$258, COUNTIF($AR$9:$AR139, $AO$10:$AO$258), ""), 0)),"")</f>
        <v/>
      </c>
      <c r="AZ140" s="802" t="str">
        <f t="shared" si="23"/>
        <v/>
      </c>
    </row>
    <row r="141" spans="3:52" ht="15.75" thickBot="1">
      <c r="C141" s="110">
        <v>132</v>
      </c>
      <c r="D141" s="340"/>
      <c r="E141" s="121"/>
      <c r="F141" s="362" t="str">
        <f>IF(D141="","",VLOOKUP(D141,'G-7 WaterC'' Data'!$B$2:$G$8,2,FALSE))</f>
        <v/>
      </c>
      <c r="G141" s="363" t="str">
        <f>IFERROR(VLOOKUP(F141,'G-7 WaterC'' Data'!$C$4:$D$8,2,FALSE),"")</f>
        <v/>
      </c>
      <c r="H141" s="114"/>
      <c r="I141" s="363" t="str">
        <f>IFERROR(INDEX('G-7 WaterC'' Data'!$H$4:$L$8,MATCH(D141,'G-7 WaterC'' Data'!$B$4:$B$8,0),MATCH(H141,'G-7 WaterC'' Data'!$H$3:$L$3,0)),"")</f>
        <v/>
      </c>
      <c r="J141" s="115"/>
      <c r="K141" s="382" t="str">
        <f>IF(J141="","",IF(VLOOKUP(J141,'G-7 WaterC'' Data'!$AK$4:$AM$9,2,FALSE)=0,"Spatial Data Missing ⚠",VLOOKUP(J141,'G-7 WaterC'' Data'!$AK$4:$AM$6,2,FALSE)))</f>
        <v/>
      </c>
      <c r="L141" s="386" t="str">
        <f>IF(J141="","",IF(VLOOKUP(J141,'G-7 WaterC'' Data'!$AK$4:$AM$9,3,FALSE)=0,"Spatial Data Missing ⚠",VLOOKUP(J141,'G-7 WaterC'' Data'!$AK$4:$AM$6,3,FALSE)))</f>
        <v/>
      </c>
      <c r="M141" s="115"/>
      <c r="N141" s="363" t="str">
        <f>IF(M141="","",IF(VLOOKUP(M141,'G-7 WaterC'' Data'!$AA$4:$AB$7,2,FALSE)=0,"Spatial Data Missing ⚠",VLOOKUP(M141,'G-7 WaterC'' Data'!$AA$4:$AB$7,2,FALSE)))</f>
        <v/>
      </c>
      <c r="O141" s="60"/>
      <c r="P141" s="363" t="str">
        <f>IF(O141="","",IF(VLOOKUP(O141,'G-7 WaterC'' Data'!$AD$4:$AE$14,2,FALSE)=0,"Spatial Data Missing ⚠",VLOOKUP(O141,'G-7 WaterC'' Data'!$AD$4:$AE$14,2,FALSE)))</f>
        <v/>
      </c>
      <c r="Q141" s="369" t="str">
        <f>IF(D141="","",VLOOKUP(D141,'G-7 WaterC'' Data'!$B$4:$G$8,6,FALSE))</f>
        <v/>
      </c>
      <c r="R141" s="376" t="str">
        <f>IFERROR(IF(D141="","",IF(AND(Q141='G-1 All Habitats'!$X$3,X141&gt;0),Y141+(Z141*T141),IF(AND(Q141='G-1 All Habitats'!$X$3,W141&gt;0),Y141+(Z141*T141),IF(AND(Q141='G-1 All Habitats'!$X$3,AH141&gt;0),"Any Loss Unacceptable ⚠",IF(AND(Q141='G-1 All Habitats'!$X$3,AI141&gt;0),"Any Loss Unacceptable ⚠", E141*G141*I141*L141*N141*P141*T141 ))))),"Check Data ▲")</f>
        <v/>
      </c>
      <c r="S141" s="516"/>
      <c r="T141" s="368" t="str">
        <f>IF(S141="","",IF(VLOOKUP(S141,'G-7 WaterC'' Data'!$AO$4:$BO$7,2,FALSE)=0,"Spatial Data Missing ⚠",VLOOKUP(S141,'G-7 WaterC'' Data'!$AO$4:$BO$7,2,FALSE)))</f>
        <v/>
      </c>
      <c r="U141" s="376" t="str">
        <f>IFERROR(IF(D141="","",IF(AND(Q141='G-1 All Habitats'!$X$3,X141&gt;0),Y141+Z141,IF(AND(Q141='G-1 All Habitats'!$X$3,W141&gt;0),Y141+Z141,IF(AND(Q141='G-1 All Habitats'!$X$3,AH141&gt;0),"Any Loss Unacceptable ⚠",IF(AND(Q141='G-1 All Habitats'!$X$3,AI141&gt;0),"Any Loss Unacceptable ⚠", E141*G141*I141*L141*N141*P141 ))))),"Check Data ▲")</f>
        <v/>
      </c>
      <c r="V141" s="32"/>
      <c r="W141" s="114"/>
      <c r="X141" s="125"/>
      <c r="Y141" s="374" t="str">
        <f t="shared" si="16"/>
        <v/>
      </c>
      <c r="Z141" s="374" t="str">
        <f t="shared" si="17"/>
        <v/>
      </c>
      <c r="AA141" s="374" t="str">
        <f t="shared" si="18"/>
        <v/>
      </c>
      <c r="AB141" s="670" t="str">
        <f t="shared" si="19"/>
        <v/>
      </c>
      <c r="AC141" s="516"/>
      <c r="AD141" s="119"/>
      <c r="AE141" s="120"/>
      <c r="AF141" s="120"/>
      <c r="AG141" s="120"/>
      <c r="AH141" s="57" t="str">
        <f>IF(Q141="","",IF(Q141='G-1 All Habitats'!$X$3,E141-X141-W141,"None"))</f>
        <v/>
      </c>
      <c r="AI141" s="58" t="str">
        <f>IF(Q141="","", IF(Q141='G-1 All Habitats'!$X$3, AH141*G141*I141*L141*N141*P141,"None"))</f>
        <v/>
      </c>
      <c r="AJ141" s="30" t="str">
        <f>IFERROR(INDEX('G-7 WaterC'' Data'!$AZ$3:$AZ$7,MATCH(D141,'G-7 WaterC'' Data'!$AY$3:$AY$7,0)),"")</f>
        <v/>
      </c>
      <c r="AK141" s="30">
        <f t="shared" si="20"/>
        <v>0</v>
      </c>
      <c r="AL141" s="124" t="str">
        <f t="shared" si="21"/>
        <v/>
      </c>
      <c r="AM141" s="124" t="str">
        <f t="shared" si="22"/>
        <v/>
      </c>
      <c r="AO141" s="124">
        <v>132</v>
      </c>
      <c r="AQ141" s="124" t="str">
        <f t="array" ref="AQ141">IFERROR(INDEX($AO$10:$AO$258, MATCH(0, IF(TRUE=$AL$10:$AL$258, COUNTIF($AQ$9:$AQ140, $AO$10:$AO$258), ""), 0)),"")</f>
        <v/>
      </c>
      <c r="AR141" s="124" t="str">
        <f t="array" ref="AR141">IFERROR(INDEX($AO$10:$AO$258, MATCH(0, IF(TRUE=$AM$10:$AM$258, COUNTIF($AR$9:$AR140, $AO$10:$AO$258), ""), 0)),"")</f>
        <v/>
      </c>
      <c r="AZ141" s="802" t="str">
        <f t="shared" si="23"/>
        <v/>
      </c>
    </row>
    <row r="142" spans="3:52" ht="15.75" thickBot="1">
      <c r="C142" s="110">
        <v>133</v>
      </c>
      <c r="D142" s="340"/>
      <c r="E142" s="121"/>
      <c r="F142" s="362" t="str">
        <f>IF(D142="","",VLOOKUP(D142,'G-7 WaterC'' Data'!$B$2:$G$8,2,FALSE))</f>
        <v/>
      </c>
      <c r="G142" s="363" t="str">
        <f>IFERROR(VLOOKUP(F142,'G-7 WaterC'' Data'!$C$4:$D$8,2,FALSE),"")</f>
        <v/>
      </c>
      <c r="H142" s="114"/>
      <c r="I142" s="363" t="str">
        <f>IFERROR(INDEX('G-7 WaterC'' Data'!$H$4:$L$8,MATCH(D142,'G-7 WaterC'' Data'!$B$4:$B$8,0),MATCH(H142,'G-7 WaterC'' Data'!$H$3:$L$3,0)),"")</f>
        <v/>
      </c>
      <c r="J142" s="115"/>
      <c r="K142" s="382" t="str">
        <f>IF(J142="","",IF(VLOOKUP(J142,'G-7 WaterC'' Data'!$AK$4:$AM$9,2,FALSE)=0,"Spatial Data Missing ⚠",VLOOKUP(J142,'G-7 WaterC'' Data'!$AK$4:$AM$6,2,FALSE)))</f>
        <v/>
      </c>
      <c r="L142" s="386" t="str">
        <f>IF(J142="","",IF(VLOOKUP(J142,'G-7 WaterC'' Data'!$AK$4:$AM$9,3,FALSE)=0,"Spatial Data Missing ⚠",VLOOKUP(J142,'G-7 WaterC'' Data'!$AK$4:$AM$6,3,FALSE)))</f>
        <v/>
      </c>
      <c r="M142" s="115"/>
      <c r="N142" s="363" t="str">
        <f>IF(M142="","",IF(VLOOKUP(M142,'G-7 WaterC'' Data'!$AA$4:$AB$7,2,FALSE)=0,"Spatial Data Missing ⚠",VLOOKUP(M142,'G-7 WaterC'' Data'!$AA$4:$AB$7,2,FALSE)))</f>
        <v/>
      </c>
      <c r="O142" s="60"/>
      <c r="P142" s="363" t="str">
        <f>IF(O142="","",IF(VLOOKUP(O142,'G-7 WaterC'' Data'!$AD$4:$AE$14,2,FALSE)=0,"Spatial Data Missing ⚠",VLOOKUP(O142,'G-7 WaterC'' Data'!$AD$4:$AE$14,2,FALSE)))</f>
        <v/>
      </c>
      <c r="Q142" s="369" t="str">
        <f>IF(D142="","",VLOOKUP(D142,'G-7 WaterC'' Data'!$B$4:$G$8,6,FALSE))</f>
        <v/>
      </c>
      <c r="R142" s="376" t="str">
        <f>IFERROR(IF(D142="","",IF(AND(Q142='G-1 All Habitats'!$X$3,X142&gt;0),Y142+(Z142*T142),IF(AND(Q142='G-1 All Habitats'!$X$3,W142&gt;0),Y142+(Z142*T142),IF(AND(Q142='G-1 All Habitats'!$X$3,AH142&gt;0),"Any Loss Unacceptable ⚠",IF(AND(Q142='G-1 All Habitats'!$X$3,AI142&gt;0),"Any Loss Unacceptable ⚠", E142*G142*I142*L142*N142*P142*T142 ))))),"Check Data ▲")</f>
        <v/>
      </c>
      <c r="S142" s="516"/>
      <c r="T142" s="368" t="str">
        <f>IF(S142="","",IF(VLOOKUP(S142,'G-7 WaterC'' Data'!$AO$4:$BO$7,2,FALSE)=0,"Spatial Data Missing ⚠",VLOOKUP(S142,'G-7 WaterC'' Data'!$AO$4:$BO$7,2,FALSE)))</f>
        <v/>
      </c>
      <c r="U142" s="376" t="str">
        <f>IFERROR(IF(D142="","",IF(AND(Q142='G-1 All Habitats'!$X$3,X142&gt;0),Y142+Z142,IF(AND(Q142='G-1 All Habitats'!$X$3,W142&gt;0),Y142+Z142,IF(AND(Q142='G-1 All Habitats'!$X$3,AH142&gt;0),"Any Loss Unacceptable ⚠",IF(AND(Q142='G-1 All Habitats'!$X$3,AI142&gt;0),"Any Loss Unacceptable ⚠", E142*G142*I142*L142*N142*P142 ))))),"Check Data ▲")</f>
        <v/>
      </c>
      <c r="V142" s="32"/>
      <c r="W142" s="114"/>
      <c r="X142" s="125"/>
      <c r="Y142" s="374" t="str">
        <f t="shared" si="16"/>
        <v/>
      </c>
      <c r="Z142" s="374" t="str">
        <f t="shared" si="17"/>
        <v/>
      </c>
      <c r="AA142" s="374" t="str">
        <f t="shared" si="18"/>
        <v/>
      </c>
      <c r="AB142" s="670" t="str">
        <f t="shared" si="19"/>
        <v/>
      </c>
      <c r="AC142" s="516"/>
      <c r="AD142" s="119"/>
      <c r="AE142" s="120"/>
      <c r="AF142" s="120"/>
      <c r="AG142" s="120"/>
      <c r="AH142" s="57" t="str">
        <f>IF(Q142="","",IF(Q142='G-1 All Habitats'!$X$3,E142-X142-W142,"None"))</f>
        <v/>
      </c>
      <c r="AI142" s="58" t="str">
        <f>IF(Q142="","", IF(Q142='G-1 All Habitats'!$X$3, AH142*G142*I142*L142*N142*P142,"None"))</f>
        <v/>
      </c>
      <c r="AJ142" s="30" t="str">
        <f>IFERROR(INDEX('G-7 WaterC'' Data'!$AZ$3:$AZ$7,MATCH(D142,'G-7 WaterC'' Data'!$AY$3:$AY$7,0)),"")</f>
        <v/>
      </c>
      <c r="AK142" s="30">
        <f t="shared" si="20"/>
        <v>0</v>
      </c>
      <c r="AL142" s="124" t="str">
        <f t="shared" si="21"/>
        <v/>
      </c>
      <c r="AM142" s="124" t="str">
        <f t="shared" si="22"/>
        <v/>
      </c>
      <c r="AO142" s="124">
        <v>133</v>
      </c>
      <c r="AQ142" s="124" t="str">
        <f t="array" ref="AQ142">IFERROR(INDEX($AO$10:$AO$258, MATCH(0, IF(TRUE=$AL$10:$AL$258, COUNTIF($AQ$9:$AQ141, $AO$10:$AO$258), ""), 0)),"")</f>
        <v/>
      </c>
      <c r="AR142" s="124" t="str">
        <f t="array" ref="AR142">IFERROR(INDEX($AO$10:$AO$258, MATCH(0, IF(TRUE=$AM$10:$AM$258, COUNTIF($AR$9:$AR141, $AO$10:$AO$258), ""), 0)),"")</f>
        <v/>
      </c>
      <c r="AZ142" s="802" t="str">
        <f t="shared" si="23"/>
        <v/>
      </c>
    </row>
    <row r="143" spans="3:52" ht="15.75" thickBot="1">
      <c r="C143" s="110">
        <v>134</v>
      </c>
      <c r="D143" s="340"/>
      <c r="E143" s="121"/>
      <c r="F143" s="362" t="str">
        <f>IF(D143="","",VLOOKUP(D143,'G-7 WaterC'' Data'!$B$2:$G$8,2,FALSE))</f>
        <v/>
      </c>
      <c r="G143" s="363" t="str">
        <f>IFERROR(VLOOKUP(F143,'G-7 WaterC'' Data'!$C$4:$D$8,2,FALSE),"")</f>
        <v/>
      </c>
      <c r="H143" s="114"/>
      <c r="I143" s="363" t="str">
        <f>IFERROR(INDEX('G-7 WaterC'' Data'!$H$4:$L$8,MATCH(D143,'G-7 WaterC'' Data'!$B$4:$B$8,0),MATCH(H143,'G-7 WaterC'' Data'!$H$3:$L$3,0)),"")</f>
        <v/>
      </c>
      <c r="J143" s="115"/>
      <c r="K143" s="382" t="str">
        <f>IF(J143="","",IF(VLOOKUP(J143,'G-7 WaterC'' Data'!$AK$4:$AM$9,2,FALSE)=0,"Spatial Data Missing ⚠",VLOOKUP(J143,'G-7 WaterC'' Data'!$AK$4:$AM$6,2,FALSE)))</f>
        <v/>
      </c>
      <c r="L143" s="386" t="str">
        <f>IF(J143="","",IF(VLOOKUP(J143,'G-7 WaterC'' Data'!$AK$4:$AM$9,3,FALSE)=0,"Spatial Data Missing ⚠",VLOOKUP(J143,'G-7 WaterC'' Data'!$AK$4:$AM$6,3,FALSE)))</f>
        <v/>
      </c>
      <c r="M143" s="115"/>
      <c r="N143" s="363" t="str">
        <f>IF(M143="","",IF(VLOOKUP(M143,'G-7 WaterC'' Data'!$AA$4:$AB$7,2,FALSE)=0,"Spatial Data Missing ⚠",VLOOKUP(M143,'G-7 WaterC'' Data'!$AA$4:$AB$7,2,FALSE)))</f>
        <v/>
      </c>
      <c r="O143" s="60"/>
      <c r="P143" s="363" t="str">
        <f>IF(O143="","",IF(VLOOKUP(O143,'G-7 WaterC'' Data'!$AD$4:$AE$14,2,FALSE)=0,"Spatial Data Missing ⚠",VLOOKUP(O143,'G-7 WaterC'' Data'!$AD$4:$AE$14,2,FALSE)))</f>
        <v/>
      </c>
      <c r="Q143" s="369" t="str">
        <f>IF(D143="","",VLOOKUP(D143,'G-7 WaterC'' Data'!$B$4:$G$8,6,FALSE))</f>
        <v/>
      </c>
      <c r="R143" s="376" t="str">
        <f>IFERROR(IF(D143="","",IF(AND(Q143='G-1 All Habitats'!$X$3,X143&gt;0),Y143+(Z143*T143),IF(AND(Q143='G-1 All Habitats'!$X$3,W143&gt;0),Y143+(Z143*T143),IF(AND(Q143='G-1 All Habitats'!$X$3,AH143&gt;0),"Any Loss Unacceptable ⚠",IF(AND(Q143='G-1 All Habitats'!$X$3,AI143&gt;0),"Any Loss Unacceptable ⚠", E143*G143*I143*L143*N143*P143*T143 ))))),"Check Data ▲")</f>
        <v/>
      </c>
      <c r="S143" s="516"/>
      <c r="T143" s="368" t="str">
        <f>IF(S143="","",IF(VLOOKUP(S143,'G-7 WaterC'' Data'!$AO$4:$BO$7,2,FALSE)=0,"Spatial Data Missing ⚠",VLOOKUP(S143,'G-7 WaterC'' Data'!$AO$4:$BO$7,2,FALSE)))</f>
        <v/>
      </c>
      <c r="U143" s="376" t="str">
        <f>IFERROR(IF(D143="","",IF(AND(Q143='G-1 All Habitats'!$X$3,X143&gt;0),Y143+Z143,IF(AND(Q143='G-1 All Habitats'!$X$3,W143&gt;0),Y143+Z143,IF(AND(Q143='G-1 All Habitats'!$X$3,AH143&gt;0),"Any Loss Unacceptable ⚠",IF(AND(Q143='G-1 All Habitats'!$X$3,AI143&gt;0),"Any Loss Unacceptable ⚠", E143*G143*I143*L143*N143*P143 ))))),"Check Data ▲")</f>
        <v/>
      </c>
      <c r="V143" s="32"/>
      <c r="W143" s="114"/>
      <c r="X143" s="125"/>
      <c r="Y143" s="374" t="str">
        <f t="shared" si="16"/>
        <v/>
      </c>
      <c r="Z143" s="374" t="str">
        <f t="shared" si="17"/>
        <v/>
      </c>
      <c r="AA143" s="374" t="str">
        <f t="shared" si="18"/>
        <v/>
      </c>
      <c r="AB143" s="670" t="str">
        <f t="shared" si="19"/>
        <v/>
      </c>
      <c r="AC143" s="516"/>
      <c r="AD143" s="119"/>
      <c r="AE143" s="120"/>
      <c r="AF143" s="120"/>
      <c r="AG143" s="120"/>
      <c r="AH143" s="57" t="str">
        <f>IF(Q143="","",IF(Q143='G-1 All Habitats'!$X$3,E143-X143-W143,"None"))</f>
        <v/>
      </c>
      <c r="AI143" s="58" t="str">
        <f>IF(Q143="","", IF(Q143='G-1 All Habitats'!$X$3, AH143*G143*I143*L143*N143*P143,"None"))</f>
        <v/>
      </c>
      <c r="AJ143" s="30" t="str">
        <f>IFERROR(INDEX('G-7 WaterC'' Data'!$AZ$3:$AZ$7,MATCH(D143,'G-7 WaterC'' Data'!$AY$3:$AY$7,0)),"")</f>
        <v/>
      </c>
      <c r="AK143" s="30">
        <f t="shared" si="20"/>
        <v>0</v>
      </c>
      <c r="AL143" s="124" t="str">
        <f t="shared" si="21"/>
        <v/>
      </c>
      <c r="AM143" s="124" t="str">
        <f t="shared" si="22"/>
        <v/>
      </c>
      <c r="AO143" s="124">
        <v>134</v>
      </c>
      <c r="AQ143" s="124" t="str">
        <f t="array" ref="AQ143">IFERROR(INDEX($AO$10:$AO$258, MATCH(0, IF(TRUE=$AL$10:$AL$258, COUNTIF($AQ$9:$AQ142, $AO$10:$AO$258), ""), 0)),"")</f>
        <v/>
      </c>
      <c r="AR143" s="124" t="str">
        <f t="array" ref="AR143">IFERROR(INDEX($AO$10:$AO$258, MATCH(0, IF(TRUE=$AM$10:$AM$258, COUNTIF($AR$9:$AR142, $AO$10:$AO$258), ""), 0)),"")</f>
        <v/>
      </c>
      <c r="AZ143" s="802" t="str">
        <f t="shared" si="23"/>
        <v/>
      </c>
    </row>
    <row r="144" spans="3:52" ht="15.75" thickBot="1">
      <c r="C144" s="110">
        <v>135</v>
      </c>
      <c r="D144" s="340"/>
      <c r="E144" s="121"/>
      <c r="F144" s="362" t="str">
        <f>IF(D144="","",VLOOKUP(D144,'G-7 WaterC'' Data'!$B$2:$G$8,2,FALSE))</f>
        <v/>
      </c>
      <c r="G144" s="363" t="str">
        <f>IFERROR(VLOOKUP(F144,'G-7 WaterC'' Data'!$C$4:$D$8,2,FALSE),"")</f>
        <v/>
      </c>
      <c r="H144" s="114"/>
      <c r="I144" s="363" t="str">
        <f>IFERROR(INDEX('G-7 WaterC'' Data'!$H$4:$L$8,MATCH(D144,'G-7 WaterC'' Data'!$B$4:$B$8,0),MATCH(H144,'G-7 WaterC'' Data'!$H$3:$L$3,0)),"")</f>
        <v/>
      </c>
      <c r="J144" s="115"/>
      <c r="K144" s="382" t="str">
        <f>IF(J144="","",IF(VLOOKUP(J144,'G-7 WaterC'' Data'!$AK$4:$AM$9,2,FALSE)=0,"Spatial Data Missing ⚠",VLOOKUP(J144,'G-7 WaterC'' Data'!$AK$4:$AM$6,2,FALSE)))</f>
        <v/>
      </c>
      <c r="L144" s="386" t="str">
        <f>IF(J144="","",IF(VLOOKUP(J144,'G-7 WaterC'' Data'!$AK$4:$AM$9,3,FALSE)=0,"Spatial Data Missing ⚠",VLOOKUP(J144,'G-7 WaterC'' Data'!$AK$4:$AM$6,3,FALSE)))</f>
        <v/>
      </c>
      <c r="M144" s="115"/>
      <c r="N144" s="363" t="str">
        <f>IF(M144="","",IF(VLOOKUP(M144,'G-7 WaterC'' Data'!$AA$4:$AB$7,2,FALSE)=0,"Spatial Data Missing ⚠",VLOOKUP(M144,'G-7 WaterC'' Data'!$AA$4:$AB$7,2,FALSE)))</f>
        <v/>
      </c>
      <c r="O144" s="60"/>
      <c r="P144" s="363" t="str">
        <f>IF(O144="","",IF(VLOOKUP(O144,'G-7 WaterC'' Data'!$AD$4:$AE$14,2,FALSE)=0,"Spatial Data Missing ⚠",VLOOKUP(O144,'G-7 WaterC'' Data'!$AD$4:$AE$14,2,FALSE)))</f>
        <v/>
      </c>
      <c r="Q144" s="369" t="str">
        <f>IF(D144="","",VLOOKUP(D144,'G-7 WaterC'' Data'!$B$4:$G$8,6,FALSE))</f>
        <v/>
      </c>
      <c r="R144" s="376" t="str">
        <f>IFERROR(IF(D144="","",IF(AND(Q144='G-1 All Habitats'!$X$3,X144&gt;0),Y144+(Z144*T144),IF(AND(Q144='G-1 All Habitats'!$X$3,W144&gt;0),Y144+(Z144*T144),IF(AND(Q144='G-1 All Habitats'!$X$3,AH144&gt;0),"Any Loss Unacceptable ⚠",IF(AND(Q144='G-1 All Habitats'!$X$3,AI144&gt;0),"Any Loss Unacceptable ⚠", E144*G144*I144*L144*N144*P144*T144 ))))),"Check Data ▲")</f>
        <v/>
      </c>
      <c r="S144" s="516"/>
      <c r="T144" s="368" t="str">
        <f>IF(S144="","",IF(VLOOKUP(S144,'G-7 WaterC'' Data'!$AO$4:$BO$7,2,FALSE)=0,"Spatial Data Missing ⚠",VLOOKUP(S144,'G-7 WaterC'' Data'!$AO$4:$BO$7,2,FALSE)))</f>
        <v/>
      </c>
      <c r="U144" s="376" t="str">
        <f>IFERROR(IF(D144="","",IF(AND(Q144='G-1 All Habitats'!$X$3,X144&gt;0),Y144+Z144,IF(AND(Q144='G-1 All Habitats'!$X$3,W144&gt;0),Y144+Z144,IF(AND(Q144='G-1 All Habitats'!$X$3,AH144&gt;0),"Any Loss Unacceptable ⚠",IF(AND(Q144='G-1 All Habitats'!$X$3,AI144&gt;0),"Any Loss Unacceptable ⚠", E144*G144*I144*L144*N144*P144 ))))),"Check Data ▲")</f>
        <v/>
      </c>
      <c r="V144" s="32"/>
      <c r="W144" s="114"/>
      <c r="X144" s="125"/>
      <c r="Y144" s="374" t="str">
        <f t="shared" si="16"/>
        <v/>
      </c>
      <c r="Z144" s="374" t="str">
        <f t="shared" si="17"/>
        <v/>
      </c>
      <c r="AA144" s="374" t="str">
        <f t="shared" si="18"/>
        <v/>
      </c>
      <c r="AB144" s="670" t="str">
        <f t="shared" si="19"/>
        <v/>
      </c>
      <c r="AC144" s="516"/>
      <c r="AD144" s="119"/>
      <c r="AE144" s="120"/>
      <c r="AF144" s="120"/>
      <c r="AG144" s="120"/>
      <c r="AH144" s="57" t="str">
        <f>IF(Q144="","",IF(Q144='G-1 All Habitats'!$X$3,E144-X144-W144,"None"))</f>
        <v/>
      </c>
      <c r="AI144" s="58" t="str">
        <f>IF(Q144="","", IF(Q144='G-1 All Habitats'!$X$3, AH144*G144*I144*L144*N144*P144,"None"))</f>
        <v/>
      </c>
      <c r="AJ144" s="30" t="str">
        <f>IFERROR(INDEX('G-7 WaterC'' Data'!$AZ$3:$AZ$7,MATCH(D144,'G-7 WaterC'' Data'!$AY$3:$AY$7,0)),"")</f>
        <v/>
      </c>
      <c r="AK144" s="30">
        <f t="shared" si="20"/>
        <v>0</v>
      </c>
      <c r="AL144" s="124" t="str">
        <f t="shared" si="21"/>
        <v/>
      </c>
      <c r="AM144" s="124" t="str">
        <f t="shared" si="22"/>
        <v/>
      </c>
      <c r="AO144" s="124">
        <v>135</v>
      </c>
      <c r="AQ144" s="124" t="str">
        <f t="array" ref="AQ144">IFERROR(INDEX($AO$10:$AO$258, MATCH(0, IF(TRUE=$AL$10:$AL$258, COUNTIF($AQ$9:$AQ143, $AO$10:$AO$258), ""), 0)),"")</f>
        <v/>
      </c>
      <c r="AR144" s="124" t="str">
        <f t="array" ref="AR144">IFERROR(INDEX($AO$10:$AO$258, MATCH(0, IF(TRUE=$AM$10:$AM$258, COUNTIF($AR$9:$AR143, $AO$10:$AO$258), ""), 0)),"")</f>
        <v/>
      </c>
      <c r="AZ144" s="802" t="str">
        <f t="shared" si="23"/>
        <v/>
      </c>
    </row>
    <row r="145" spans="3:52" ht="15.75" thickBot="1">
      <c r="C145" s="110">
        <v>136</v>
      </c>
      <c r="D145" s="340"/>
      <c r="E145" s="121"/>
      <c r="F145" s="362" t="str">
        <f>IF(D145="","",VLOOKUP(D145,'G-7 WaterC'' Data'!$B$2:$G$8,2,FALSE))</f>
        <v/>
      </c>
      <c r="G145" s="363" t="str">
        <f>IFERROR(VLOOKUP(F145,'G-7 WaterC'' Data'!$C$4:$D$8,2,FALSE),"")</f>
        <v/>
      </c>
      <c r="H145" s="114"/>
      <c r="I145" s="363" t="str">
        <f>IFERROR(INDEX('G-7 WaterC'' Data'!$H$4:$L$8,MATCH(D145,'G-7 WaterC'' Data'!$B$4:$B$8,0),MATCH(H145,'G-7 WaterC'' Data'!$H$3:$L$3,0)),"")</f>
        <v/>
      </c>
      <c r="J145" s="115"/>
      <c r="K145" s="382" t="str">
        <f>IF(J145="","",IF(VLOOKUP(J145,'G-7 WaterC'' Data'!$AK$4:$AM$9,2,FALSE)=0,"Spatial Data Missing ⚠",VLOOKUP(J145,'G-7 WaterC'' Data'!$AK$4:$AM$6,2,FALSE)))</f>
        <v/>
      </c>
      <c r="L145" s="386" t="str">
        <f>IF(J145="","",IF(VLOOKUP(J145,'G-7 WaterC'' Data'!$AK$4:$AM$9,3,FALSE)=0,"Spatial Data Missing ⚠",VLOOKUP(J145,'G-7 WaterC'' Data'!$AK$4:$AM$6,3,FALSE)))</f>
        <v/>
      </c>
      <c r="M145" s="115"/>
      <c r="N145" s="363" t="str">
        <f>IF(M145="","",IF(VLOOKUP(M145,'G-7 WaterC'' Data'!$AA$4:$AB$7,2,FALSE)=0,"Spatial Data Missing ⚠",VLOOKUP(M145,'G-7 WaterC'' Data'!$AA$4:$AB$7,2,FALSE)))</f>
        <v/>
      </c>
      <c r="O145" s="60"/>
      <c r="P145" s="363" t="str">
        <f>IF(O145="","",IF(VLOOKUP(O145,'G-7 WaterC'' Data'!$AD$4:$AE$14,2,FALSE)=0,"Spatial Data Missing ⚠",VLOOKUP(O145,'G-7 WaterC'' Data'!$AD$4:$AE$14,2,FALSE)))</f>
        <v/>
      </c>
      <c r="Q145" s="369" t="str">
        <f>IF(D145="","",VLOOKUP(D145,'G-7 WaterC'' Data'!$B$4:$G$8,6,FALSE))</f>
        <v/>
      </c>
      <c r="R145" s="376" t="str">
        <f>IFERROR(IF(D145="","",IF(AND(Q145='G-1 All Habitats'!$X$3,X145&gt;0),Y145+(Z145*T145),IF(AND(Q145='G-1 All Habitats'!$X$3,W145&gt;0),Y145+(Z145*T145),IF(AND(Q145='G-1 All Habitats'!$X$3,AH145&gt;0),"Any Loss Unacceptable ⚠",IF(AND(Q145='G-1 All Habitats'!$X$3,AI145&gt;0),"Any Loss Unacceptable ⚠", E145*G145*I145*L145*N145*P145*T145 ))))),"Check Data ▲")</f>
        <v/>
      </c>
      <c r="S145" s="516"/>
      <c r="T145" s="368" t="str">
        <f>IF(S145="","",IF(VLOOKUP(S145,'G-7 WaterC'' Data'!$AO$4:$BO$7,2,FALSE)=0,"Spatial Data Missing ⚠",VLOOKUP(S145,'G-7 WaterC'' Data'!$AO$4:$BO$7,2,FALSE)))</f>
        <v/>
      </c>
      <c r="U145" s="376" t="str">
        <f>IFERROR(IF(D145="","",IF(AND(Q145='G-1 All Habitats'!$X$3,X145&gt;0),Y145+Z145,IF(AND(Q145='G-1 All Habitats'!$X$3,W145&gt;0),Y145+Z145,IF(AND(Q145='G-1 All Habitats'!$X$3,AH145&gt;0),"Any Loss Unacceptable ⚠",IF(AND(Q145='G-1 All Habitats'!$X$3,AI145&gt;0),"Any Loss Unacceptable ⚠", E145*G145*I145*L145*N145*P145 ))))),"Check Data ▲")</f>
        <v/>
      </c>
      <c r="V145" s="32"/>
      <c r="W145" s="114"/>
      <c r="X145" s="125"/>
      <c r="Y145" s="374" t="str">
        <f t="shared" si="16"/>
        <v/>
      </c>
      <c r="Z145" s="374" t="str">
        <f t="shared" si="17"/>
        <v/>
      </c>
      <c r="AA145" s="374" t="str">
        <f t="shared" si="18"/>
        <v/>
      </c>
      <c r="AB145" s="670" t="str">
        <f t="shared" si="19"/>
        <v/>
      </c>
      <c r="AC145" s="516"/>
      <c r="AD145" s="119"/>
      <c r="AE145" s="120"/>
      <c r="AF145" s="120"/>
      <c r="AG145" s="120"/>
      <c r="AH145" s="57" t="str">
        <f>IF(Q145="","",IF(Q145='G-1 All Habitats'!$X$3,E145-X145-W145,"None"))</f>
        <v/>
      </c>
      <c r="AI145" s="58" t="str">
        <f>IF(Q145="","", IF(Q145='G-1 All Habitats'!$X$3, AH145*G145*I145*L145*N145*P145,"None"))</f>
        <v/>
      </c>
      <c r="AJ145" s="30" t="str">
        <f>IFERROR(INDEX('G-7 WaterC'' Data'!$AZ$3:$AZ$7,MATCH(D145,'G-7 WaterC'' Data'!$AY$3:$AY$7,0)),"")</f>
        <v/>
      </c>
      <c r="AK145" s="30">
        <f t="shared" si="20"/>
        <v>0</v>
      </c>
      <c r="AL145" s="124" t="str">
        <f t="shared" si="21"/>
        <v/>
      </c>
      <c r="AM145" s="124" t="str">
        <f t="shared" si="22"/>
        <v/>
      </c>
      <c r="AO145" s="124">
        <v>136</v>
      </c>
      <c r="AQ145" s="124" t="str">
        <f t="array" ref="AQ145">IFERROR(INDEX($AO$10:$AO$258, MATCH(0, IF(TRUE=$AL$10:$AL$258, COUNTIF($AQ$9:$AQ144, $AO$10:$AO$258), ""), 0)),"")</f>
        <v/>
      </c>
      <c r="AR145" s="124" t="str">
        <f t="array" ref="AR145">IFERROR(INDEX($AO$10:$AO$258, MATCH(0, IF(TRUE=$AM$10:$AM$258, COUNTIF($AR$9:$AR144, $AO$10:$AO$258), ""), 0)),"")</f>
        <v/>
      </c>
      <c r="AZ145" s="802" t="str">
        <f t="shared" si="23"/>
        <v/>
      </c>
    </row>
    <row r="146" spans="3:52" ht="15.75" thickBot="1">
      <c r="C146" s="110">
        <v>137</v>
      </c>
      <c r="D146" s="340"/>
      <c r="E146" s="121"/>
      <c r="F146" s="362" t="str">
        <f>IF(D146="","",VLOOKUP(D146,'G-7 WaterC'' Data'!$B$2:$G$8,2,FALSE))</f>
        <v/>
      </c>
      <c r="G146" s="363" t="str">
        <f>IFERROR(VLOOKUP(F146,'G-7 WaterC'' Data'!$C$4:$D$8,2,FALSE),"")</f>
        <v/>
      </c>
      <c r="H146" s="114"/>
      <c r="I146" s="363" t="str">
        <f>IFERROR(INDEX('G-7 WaterC'' Data'!$H$4:$L$8,MATCH(D146,'G-7 WaterC'' Data'!$B$4:$B$8,0),MATCH(H146,'G-7 WaterC'' Data'!$H$3:$L$3,0)),"")</f>
        <v/>
      </c>
      <c r="J146" s="115"/>
      <c r="K146" s="382" t="str">
        <f>IF(J146="","",IF(VLOOKUP(J146,'G-7 WaterC'' Data'!$AK$4:$AM$9,2,FALSE)=0,"Spatial Data Missing ⚠",VLOOKUP(J146,'G-7 WaterC'' Data'!$AK$4:$AM$6,2,FALSE)))</f>
        <v/>
      </c>
      <c r="L146" s="386" t="str">
        <f>IF(J146="","",IF(VLOOKUP(J146,'G-7 WaterC'' Data'!$AK$4:$AM$9,3,FALSE)=0,"Spatial Data Missing ⚠",VLOOKUP(J146,'G-7 WaterC'' Data'!$AK$4:$AM$6,3,FALSE)))</f>
        <v/>
      </c>
      <c r="M146" s="115"/>
      <c r="N146" s="363" t="str">
        <f>IF(M146="","",IF(VLOOKUP(M146,'G-7 WaterC'' Data'!$AA$4:$AB$7,2,FALSE)=0,"Spatial Data Missing ⚠",VLOOKUP(M146,'G-7 WaterC'' Data'!$AA$4:$AB$7,2,FALSE)))</f>
        <v/>
      </c>
      <c r="O146" s="60"/>
      <c r="P146" s="363" t="str">
        <f>IF(O146="","",IF(VLOOKUP(O146,'G-7 WaterC'' Data'!$AD$4:$AE$14,2,FALSE)=0,"Spatial Data Missing ⚠",VLOOKUP(O146,'G-7 WaterC'' Data'!$AD$4:$AE$14,2,FALSE)))</f>
        <v/>
      </c>
      <c r="Q146" s="369" t="str">
        <f>IF(D146="","",VLOOKUP(D146,'G-7 WaterC'' Data'!$B$4:$G$8,6,FALSE))</f>
        <v/>
      </c>
      <c r="R146" s="376" t="str">
        <f>IFERROR(IF(D146="","",IF(AND(Q146='G-1 All Habitats'!$X$3,X146&gt;0),Y146+(Z146*T146),IF(AND(Q146='G-1 All Habitats'!$X$3,W146&gt;0),Y146+(Z146*T146),IF(AND(Q146='G-1 All Habitats'!$X$3,AH146&gt;0),"Any Loss Unacceptable ⚠",IF(AND(Q146='G-1 All Habitats'!$X$3,AI146&gt;0),"Any Loss Unacceptable ⚠", E146*G146*I146*L146*N146*P146*T146 ))))),"Check Data ▲")</f>
        <v/>
      </c>
      <c r="S146" s="516"/>
      <c r="T146" s="368" t="str">
        <f>IF(S146="","",IF(VLOOKUP(S146,'G-7 WaterC'' Data'!$AO$4:$BO$7,2,FALSE)=0,"Spatial Data Missing ⚠",VLOOKUP(S146,'G-7 WaterC'' Data'!$AO$4:$BO$7,2,FALSE)))</f>
        <v/>
      </c>
      <c r="U146" s="376" t="str">
        <f>IFERROR(IF(D146="","",IF(AND(Q146='G-1 All Habitats'!$X$3,X146&gt;0),Y146+Z146,IF(AND(Q146='G-1 All Habitats'!$X$3,W146&gt;0),Y146+Z146,IF(AND(Q146='G-1 All Habitats'!$X$3,AH146&gt;0),"Any Loss Unacceptable ⚠",IF(AND(Q146='G-1 All Habitats'!$X$3,AI146&gt;0),"Any Loss Unacceptable ⚠", E146*G146*I146*L146*N146*P146 ))))),"Check Data ▲")</f>
        <v/>
      </c>
      <c r="V146" s="32"/>
      <c r="W146" s="114"/>
      <c r="X146" s="125"/>
      <c r="Y146" s="374" t="str">
        <f t="shared" si="16"/>
        <v/>
      </c>
      <c r="Z146" s="374" t="str">
        <f t="shared" si="17"/>
        <v/>
      </c>
      <c r="AA146" s="374" t="str">
        <f t="shared" si="18"/>
        <v/>
      </c>
      <c r="AB146" s="670" t="str">
        <f t="shared" si="19"/>
        <v/>
      </c>
      <c r="AC146" s="516"/>
      <c r="AD146" s="119"/>
      <c r="AE146" s="120"/>
      <c r="AF146" s="120"/>
      <c r="AG146" s="120"/>
      <c r="AH146" s="57" t="str">
        <f>IF(Q146="","",IF(Q146='G-1 All Habitats'!$X$3,E146-X146-W146,"None"))</f>
        <v/>
      </c>
      <c r="AI146" s="58" t="str">
        <f>IF(Q146="","", IF(Q146='G-1 All Habitats'!$X$3, AH146*G146*I146*L146*N146*P146,"None"))</f>
        <v/>
      </c>
      <c r="AJ146" s="30" t="str">
        <f>IFERROR(INDEX('G-7 WaterC'' Data'!$AZ$3:$AZ$7,MATCH(D146,'G-7 WaterC'' Data'!$AY$3:$AY$7,0)),"")</f>
        <v/>
      </c>
      <c r="AK146" s="30">
        <f t="shared" si="20"/>
        <v>0</v>
      </c>
      <c r="AL146" s="124" t="str">
        <f t="shared" si="21"/>
        <v/>
      </c>
      <c r="AM146" s="124" t="str">
        <f t="shared" si="22"/>
        <v/>
      </c>
      <c r="AO146" s="124">
        <v>137</v>
      </c>
      <c r="AQ146" s="124" t="str">
        <f t="array" ref="AQ146">IFERROR(INDEX($AO$10:$AO$258, MATCH(0, IF(TRUE=$AL$10:$AL$258, COUNTIF($AQ$9:$AQ145, $AO$10:$AO$258), ""), 0)),"")</f>
        <v/>
      </c>
      <c r="AR146" s="124" t="str">
        <f t="array" ref="AR146">IFERROR(INDEX($AO$10:$AO$258, MATCH(0, IF(TRUE=$AM$10:$AM$258, COUNTIF($AR$9:$AR145, $AO$10:$AO$258), ""), 0)),"")</f>
        <v/>
      </c>
      <c r="AZ146" s="802" t="str">
        <f t="shared" si="23"/>
        <v/>
      </c>
    </row>
    <row r="147" spans="3:52" ht="15.75" thickBot="1">
      <c r="C147" s="110">
        <v>138</v>
      </c>
      <c r="D147" s="340"/>
      <c r="E147" s="121"/>
      <c r="F147" s="362" t="str">
        <f>IF(D147="","",VLOOKUP(D147,'G-7 WaterC'' Data'!$B$2:$G$8,2,FALSE))</f>
        <v/>
      </c>
      <c r="G147" s="363" t="str">
        <f>IFERROR(VLOOKUP(F147,'G-7 WaterC'' Data'!$C$4:$D$8,2,FALSE),"")</f>
        <v/>
      </c>
      <c r="H147" s="114"/>
      <c r="I147" s="363" t="str">
        <f>IFERROR(INDEX('G-7 WaterC'' Data'!$H$4:$L$8,MATCH(D147,'G-7 WaterC'' Data'!$B$4:$B$8,0),MATCH(H147,'G-7 WaterC'' Data'!$H$3:$L$3,0)),"")</f>
        <v/>
      </c>
      <c r="J147" s="115"/>
      <c r="K147" s="382" t="str">
        <f>IF(J147="","",IF(VLOOKUP(J147,'G-7 WaterC'' Data'!$AK$4:$AM$9,2,FALSE)=0,"Spatial Data Missing ⚠",VLOOKUP(J147,'G-7 WaterC'' Data'!$AK$4:$AM$6,2,FALSE)))</f>
        <v/>
      </c>
      <c r="L147" s="386" t="str">
        <f>IF(J147="","",IF(VLOOKUP(J147,'G-7 WaterC'' Data'!$AK$4:$AM$9,3,FALSE)=0,"Spatial Data Missing ⚠",VLOOKUP(J147,'G-7 WaterC'' Data'!$AK$4:$AM$6,3,FALSE)))</f>
        <v/>
      </c>
      <c r="M147" s="115"/>
      <c r="N147" s="363" t="str">
        <f>IF(M147="","",IF(VLOOKUP(M147,'G-7 WaterC'' Data'!$AA$4:$AB$7,2,FALSE)=0,"Spatial Data Missing ⚠",VLOOKUP(M147,'G-7 WaterC'' Data'!$AA$4:$AB$7,2,FALSE)))</f>
        <v/>
      </c>
      <c r="O147" s="60"/>
      <c r="P147" s="363" t="str">
        <f>IF(O147="","",IF(VLOOKUP(O147,'G-7 WaterC'' Data'!$AD$4:$AE$14,2,FALSE)=0,"Spatial Data Missing ⚠",VLOOKUP(O147,'G-7 WaterC'' Data'!$AD$4:$AE$14,2,FALSE)))</f>
        <v/>
      </c>
      <c r="Q147" s="369" t="str">
        <f>IF(D147="","",VLOOKUP(D147,'G-7 WaterC'' Data'!$B$4:$G$8,6,FALSE))</f>
        <v/>
      </c>
      <c r="R147" s="376" t="str">
        <f>IFERROR(IF(D147="","",IF(AND(Q147='G-1 All Habitats'!$X$3,X147&gt;0),Y147+(Z147*T147),IF(AND(Q147='G-1 All Habitats'!$X$3,W147&gt;0),Y147+(Z147*T147),IF(AND(Q147='G-1 All Habitats'!$X$3,AH147&gt;0),"Any Loss Unacceptable ⚠",IF(AND(Q147='G-1 All Habitats'!$X$3,AI147&gt;0),"Any Loss Unacceptable ⚠", E147*G147*I147*L147*N147*P147*T147 ))))),"Check Data ▲")</f>
        <v/>
      </c>
      <c r="S147" s="516"/>
      <c r="T147" s="368" t="str">
        <f>IF(S147="","",IF(VLOOKUP(S147,'G-7 WaterC'' Data'!$AO$4:$BO$7,2,FALSE)=0,"Spatial Data Missing ⚠",VLOOKUP(S147,'G-7 WaterC'' Data'!$AO$4:$BO$7,2,FALSE)))</f>
        <v/>
      </c>
      <c r="U147" s="376" t="str">
        <f>IFERROR(IF(D147="","",IF(AND(Q147='G-1 All Habitats'!$X$3,X147&gt;0),Y147+Z147,IF(AND(Q147='G-1 All Habitats'!$X$3,W147&gt;0),Y147+Z147,IF(AND(Q147='G-1 All Habitats'!$X$3,AH147&gt;0),"Any Loss Unacceptable ⚠",IF(AND(Q147='G-1 All Habitats'!$X$3,AI147&gt;0),"Any Loss Unacceptable ⚠", E147*G147*I147*L147*N147*P147 ))))),"Check Data ▲")</f>
        <v/>
      </c>
      <c r="V147" s="32"/>
      <c r="W147" s="114"/>
      <c r="X147" s="125"/>
      <c r="Y147" s="374" t="str">
        <f t="shared" si="16"/>
        <v/>
      </c>
      <c r="Z147" s="374" t="str">
        <f t="shared" si="17"/>
        <v/>
      </c>
      <c r="AA147" s="374" t="str">
        <f t="shared" si="18"/>
        <v/>
      </c>
      <c r="AB147" s="670" t="str">
        <f t="shared" si="19"/>
        <v/>
      </c>
      <c r="AC147" s="516"/>
      <c r="AD147" s="119"/>
      <c r="AE147" s="120"/>
      <c r="AF147" s="120"/>
      <c r="AG147" s="120"/>
      <c r="AH147" s="57" t="str">
        <f>IF(Q147="","",IF(Q147='G-1 All Habitats'!$X$3,E147-X147-W147,"None"))</f>
        <v/>
      </c>
      <c r="AI147" s="58" t="str">
        <f>IF(Q147="","", IF(Q147='G-1 All Habitats'!$X$3, AH147*G147*I147*L147*N147*P147,"None"))</f>
        <v/>
      </c>
      <c r="AJ147" s="30" t="str">
        <f>IFERROR(INDEX('G-7 WaterC'' Data'!$AZ$3:$AZ$7,MATCH(D147,'G-7 WaterC'' Data'!$AY$3:$AY$7,0)),"")</f>
        <v/>
      </c>
      <c r="AK147" s="30">
        <f t="shared" si="20"/>
        <v>0</v>
      </c>
      <c r="AL147" s="124" t="str">
        <f t="shared" si="21"/>
        <v/>
      </c>
      <c r="AM147" s="124" t="str">
        <f t="shared" si="22"/>
        <v/>
      </c>
      <c r="AO147" s="124">
        <v>138</v>
      </c>
      <c r="AQ147" s="124" t="str">
        <f t="array" ref="AQ147">IFERROR(INDEX($AO$10:$AO$258, MATCH(0, IF(TRUE=$AL$10:$AL$258, COUNTIF($AQ$9:$AQ146, $AO$10:$AO$258), ""), 0)),"")</f>
        <v/>
      </c>
      <c r="AR147" s="124" t="str">
        <f t="array" ref="AR147">IFERROR(INDEX($AO$10:$AO$258, MATCH(0, IF(TRUE=$AM$10:$AM$258, COUNTIF($AR$9:$AR146, $AO$10:$AO$258), ""), 0)),"")</f>
        <v/>
      </c>
      <c r="AZ147" s="802" t="str">
        <f t="shared" si="23"/>
        <v/>
      </c>
    </row>
    <row r="148" spans="3:52" ht="15.75" thickBot="1">
      <c r="C148" s="110">
        <v>139</v>
      </c>
      <c r="D148" s="340"/>
      <c r="E148" s="121"/>
      <c r="F148" s="362" t="str">
        <f>IF(D148="","",VLOOKUP(D148,'G-7 WaterC'' Data'!$B$2:$G$8,2,FALSE))</f>
        <v/>
      </c>
      <c r="G148" s="363" t="str">
        <f>IFERROR(VLOOKUP(F148,'G-7 WaterC'' Data'!$C$4:$D$8,2,FALSE),"")</f>
        <v/>
      </c>
      <c r="H148" s="114"/>
      <c r="I148" s="363" t="str">
        <f>IFERROR(INDEX('G-7 WaterC'' Data'!$H$4:$L$8,MATCH(D148,'G-7 WaterC'' Data'!$B$4:$B$8,0),MATCH(H148,'G-7 WaterC'' Data'!$H$3:$L$3,0)),"")</f>
        <v/>
      </c>
      <c r="J148" s="115"/>
      <c r="K148" s="382" t="str">
        <f>IF(J148="","",IF(VLOOKUP(J148,'G-7 WaterC'' Data'!$AK$4:$AM$9,2,FALSE)=0,"Spatial Data Missing ⚠",VLOOKUP(J148,'G-7 WaterC'' Data'!$AK$4:$AM$6,2,FALSE)))</f>
        <v/>
      </c>
      <c r="L148" s="386" t="str">
        <f>IF(J148="","",IF(VLOOKUP(J148,'G-7 WaterC'' Data'!$AK$4:$AM$9,3,FALSE)=0,"Spatial Data Missing ⚠",VLOOKUP(J148,'G-7 WaterC'' Data'!$AK$4:$AM$6,3,FALSE)))</f>
        <v/>
      </c>
      <c r="M148" s="115"/>
      <c r="N148" s="363" t="str">
        <f>IF(M148="","",IF(VLOOKUP(M148,'G-7 WaterC'' Data'!$AA$4:$AB$7,2,FALSE)=0,"Spatial Data Missing ⚠",VLOOKUP(M148,'G-7 WaterC'' Data'!$AA$4:$AB$7,2,FALSE)))</f>
        <v/>
      </c>
      <c r="O148" s="60"/>
      <c r="P148" s="363" t="str">
        <f>IF(O148="","",IF(VLOOKUP(O148,'G-7 WaterC'' Data'!$AD$4:$AE$14,2,FALSE)=0,"Spatial Data Missing ⚠",VLOOKUP(O148,'G-7 WaterC'' Data'!$AD$4:$AE$14,2,FALSE)))</f>
        <v/>
      </c>
      <c r="Q148" s="369" t="str">
        <f>IF(D148="","",VLOOKUP(D148,'G-7 WaterC'' Data'!$B$4:$G$8,6,FALSE))</f>
        <v/>
      </c>
      <c r="R148" s="376" t="str">
        <f>IFERROR(IF(D148="","",IF(AND(Q148='G-1 All Habitats'!$X$3,X148&gt;0),Y148+(Z148*T148),IF(AND(Q148='G-1 All Habitats'!$X$3,W148&gt;0),Y148+(Z148*T148),IF(AND(Q148='G-1 All Habitats'!$X$3,AH148&gt;0),"Any Loss Unacceptable ⚠",IF(AND(Q148='G-1 All Habitats'!$X$3,AI148&gt;0),"Any Loss Unacceptable ⚠", E148*G148*I148*L148*N148*P148*T148 ))))),"Check Data ▲")</f>
        <v/>
      </c>
      <c r="S148" s="516"/>
      <c r="T148" s="368" t="str">
        <f>IF(S148="","",IF(VLOOKUP(S148,'G-7 WaterC'' Data'!$AO$4:$BO$7,2,FALSE)=0,"Spatial Data Missing ⚠",VLOOKUP(S148,'G-7 WaterC'' Data'!$AO$4:$BO$7,2,FALSE)))</f>
        <v/>
      </c>
      <c r="U148" s="376" t="str">
        <f>IFERROR(IF(D148="","",IF(AND(Q148='G-1 All Habitats'!$X$3,X148&gt;0),Y148+Z148,IF(AND(Q148='G-1 All Habitats'!$X$3,W148&gt;0),Y148+Z148,IF(AND(Q148='G-1 All Habitats'!$X$3,AH148&gt;0),"Any Loss Unacceptable ⚠",IF(AND(Q148='G-1 All Habitats'!$X$3,AI148&gt;0),"Any Loss Unacceptable ⚠", E148*G148*I148*L148*N148*P148 ))))),"Check Data ▲")</f>
        <v/>
      </c>
      <c r="V148" s="32"/>
      <c r="W148" s="114"/>
      <c r="X148" s="125"/>
      <c r="Y148" s="374" t="str">
        <f t="shared" si="16"/>
        <v/>
      </c>
      <c r="Z148" s="374" t="str">
        <f t="shared" si="17"/>
        <v/>
      </c>
      <c r="AA148" s="374" t="str">
        <f t="shared" si="18"/>
        <v/>
      </c>
      <c r="AB148" s="670" t="str">
        <f t="shared" si="19"/>
        <v/>
      </c>
      <c r="AC148" s="516"/>
      <c r="AD148" s="119"/>
      <c r="AE148" s="120"/>
      <c r="AF148" s="120"/>
      <c r="AG148" s="120"/>
      <c r="AH148" s="57" t="str">
        <f>IF(Q148="","",IF(Q148='G-1 All Habitats'!$X$3,E148-X148-W148,"None"))</f>
        <v/>
      </c>
      <c r="AI148" s="58" t="str">
        <f>IF(Q148="","", IF(Q148='G-1 All Habitats'!$X$3, AH148*G148*I148*L148*N148*P148,"None"))</f>
        <v/>
      </c>
      <c r="AJ148" s="30" t="str">
        <f>IFERROR(INDEX('G-7 WaterC'' Data'!$AZ$3:$AZ$7,MATCH(D148,'G-7 WaterC'' Data'!$AY$3:$AY$7,0)),"")</f>
        <v/>
      </c>
      <c r="AK148" s="30">
        <f t="shared" si="20"/>
        <v>0</v>
      </c>
      <c r="AL148" s="124" t="str">
        <f t="shared" si="21"/>
        <v/>
      </c>
      <c r="AM148" s="124" t="str">
        <f t="shared" si="22"/>
        <v/>
      </c>
      <c r="AO148" s="124">
        <v>139</v>
      </c>
      <c r="AQ148" s="124" t="str">
        <f t="array" ref="AQ148">IFERROR(INDEX($AO$10:$AO$258, MATCH(0, IF(TRUE=$AL$10:$AL$258, COUNTIF($AQ$9:$AQ147, $AO$10:$AO$258), ""), 0)),"")</f>
        <v/>
      </c>
      <c r="AR148" s="124" t="str">
        <f t="array" ref="AR148">IFERROR(INDEX($AO$10:$AO$258, MATCH(0, IF(TRUE=$AM$10:$AM$258, COUNTIF($AR$9:$AR147, $AO$10:$AO$258), ""), 0)),"")</f>
        <v/>
      </c>
      <c r="AZ148" s="802" t="str">
        <f t="shared" si="23"/>
        <v/>
      </c>
    </row>
    <row r="149" spans="3:52" ht="15.75" thickBot="1">
      <c r="C149" s="110">
        <v>140</v>
      </c>
      <c r="D149" s="340"/>
      <c r="E149" s="121"/>
      <c r="F149" s="362" t="str">
        <f>IF(D149="","",VLOOKUP(D149,'G-7 WaterC'' Data'!$B$2:$G$8,2,FALSE))</f>
        <v/>
      </c>
      <c r="G149" s="363" t="str">
        <f>IFERROR(VLOOKUP(F149,'G-7 WaterC'' Data'!$C$4:$D$8,2,FALSE),"")</f>
        <v/>
      </c>
      <c r="H149" s="114"/>
      <c r="I149" s="363" t="str">
        <f>IFERROR(INDEX('G-7 WaterC'' Data'!$H$4:$L$8,MATCH(D149,'G-7 WaterC'' Data'!$B$4:$B$8,0),MATCH(H149,'G-7 WaterC'' Data'!$H$3:$L$3,0)),"")</f>
        <v/>
      </c>
      <c r="J149" s="115"/>
      <c r="K149" s="382" t="str">
        <f>IF(J149="","",IF(VLOOKUP(J149,'G-7 WaterC'' Data'!$AK$4:$AM$9,2,FALSE)=0,"Spatial Data Missing ⚠",VLOOKUP(J149,'G-7 WaterC'' Data'!$AK$4:$AM$6,2,FALSE)))</f>
        <v/>
      </c>
      <c r="L149" s="386" t="str">
        <f>IF(J149="","",IF(VLOOKUP(J149,'G-7 WaterC'' Data'!$AK$4:$AM$9,3,FALSE)=0,"Spatial Data Missing ⚠",VLOOKUP(J149,'G-7 WaterC'' Data'!$AK$4:$AM$6,3,FALSE)))</f>
        <v/>
      </c>
      <c r="M149" s="115"/>
      <c r="N149" s="363" t="str">
        <f>IF(M149="","",IF(VLOOKUP(M149,'G-7 WaterC'' Data'!$AA$4:$AB$7,2,FALSE)=0,"Spatial Data Missing ⚠",VLOOKUP(M149,'G-7 WaterC'' Data'!$AA$4:$AB$7,2,FALSE)))</f>
        <v/>
      </c>
      <c r="O149" s="60"/>
      <c r="P149" s="363" t="str">
        <f>IF(O149="","",IF(VLOOKUP(O149,'G-7 WaterC'' Data'!$AD$4:$AE$14,2,FALSE)=0,"Spatial Data Missing ⚠",VLOOKUP(O149,'G-7 WaterC'' Data'!$AD$4:$AE$14,2,FALSE)))</f>
        <v/>
      </c>
      <c r="Q149" s="369" t="str">
        <f>IF(D149="","",VLOOKUP(D149,'G-7 WaterC'' Data'!$B$4:$G$8,6,FALSE))</f>
        <v/>
      </c>
      <c r="R149" s="376" t="str">
        <f>IFERROR(IF(D149="","",IF(AND(Q149='G-1 All Habitats'!$X$3,X149&gt;0),Y149+(Z149*T149),IF(AND(Q149='G-1 All Habitats'!$X$3,W149&gt;0),Y149+(Z149*T149),IF(AND(Q149='G-1 All Habitats'!$X$3,AH149&gt;0),"Any Loss Unacceptable ⚠",IF(AND(Q149='G-1 All Habitats'!$X$3,AI149&gt;0),"Any Loss Unacceptable ⚠", E149*G149*I149*L149*N149*P149*T149 ))))),"Check Data ▲")</f>
        <v/>
      </c>
      <c r="S149" s="516"/>
      <c r="T149" s="368" t="str">
        <f>IF(S149="","",IF(VLOOKUP(S149,'G-7 WaterC'' Data'!$AO$4:$BO$7,2,FALSE)=0,"Spatial Data Missing ⚠",VLOOKUP(S149,'G-7 WaterC'' Data'!$AO$4:$BO$7,2,FALSE)))</f>
        <v/>
      </c>
      <c r="U149" s="376" t="str">
        <f>IFERROR(IF(D149="","",IF(AND(Q149='G-1 All Habitats'!$X$3,X149&gt;0),Y149+Z149,IF(AND(Q149='G-1 All Habitats'!$X$3,W149&gt;0),Y149+Z149,IF(AND(Q149='G-1 All Habitats'!$X$3,AH149&gt;0),"Any Loss Unacceptable ⚠",IF(AND(Q149='G-1 All Habitats'!$X$3,AI149&gt;0),"Any Loss Unacceptable ⚠", E149*G149*I149*L149*N149*P149 ))))),"Check Data ▲")</f>
        <v/>
      </c>
      <c r="V149" s="32"/>
      <c r="W149" s="114"/>
      <c r="X149" s="125"/>
      <c r="Y149" s="374" t="str">
        <f t="shared" si="16"/>
        <v/>
      </c>
      <c r="Z149" s="374" t="str">
        <f t="shared" si="17"/>
        <v/>
      </c>
      <c r="AA149" s="374" t="str">
        <f t="shared" si="18"/>
        <v/>
      </c>
      <c r="AB149" s="670" t="str">
        <f t="shared" si="19"/>
        <v/>
      </c>
      <c r="AC149" s="516"/>
      <c r="AD149" s="119"/>
      <c r="AE149" s="120"/>
      <c r="AF149" s="120"/>
      <c r="AG149" s="120"/>
      <c r="AH149" s="57" t="str">
        <f>IF(Q149="","",IF(Q149='G-1 All Habitats'!$X$3,E149-X149-W149,"None"))</f>
        <v/>
      </c>
      <c r="AI149" s="58" t="str">
        <f>IF(Q149="","", IF(Q149='G-1 All Habitats'!$X$3, AH149*G149*I149*L149*N149*P149,"None"))</f>
        <v/>
      </c>
      <c r="AJ149" s="30" t="str">
        <f>IFERROR(INDEX('G-7 WaterC'' Data'!$AZ$3:$AZ$7,MATCH(D149,'G-7 WaterC'' Data'!$AY$3:$AY$7,0)),"")</f>
        <v/>
      </c>
      <c r="AK149" s="30">
        <f t="shared" si="20"/>
        <v>0</v>
      </c>
      <c r="AL149" s="124" t="str">
        <f t="shared" si="21"/>
        <v/>
      </c>
      <c r="AM149" s="124" t="str">
        <f t="shared" si="22"/>
        <v/>
      </c>
      <c r="AO149" s="124">
        <v>140</v>
      </c>
      <c r="AQ149" s="124" t="str">
        <f t="array" ref="AQ149">IFERROR(INDEX($AO$10:$AO$258, MATCH(0, IF(TRUE=$AL$10:$AL$258, COUNTIF($AQ$9:$AQ148, $AO$10:$AO$258), ""), 0)),"")</f>
        <v/>
      </c>
      <c r="AR149" s="124" t="str">
        <f t="array" ref="AR149">IFERROR(INDEX($AO$10:$AO$258, MATCH(0, IF(TRUE=$AM$10:$AM$258, COUNTIF($AR$9:$AR148, $AO$10:$AO$258), ""), 0)),"")</f>
        <v/>
      </c>
      <c r="AZ149" s="802" t="str">
        <f t="shared" si="23"/>
        <v/>
      </c>
    </row>
    <row r="150" spans="3:52" ht="15.75" thickBot="1">
      <c r="C150" s="110">
        <v>141</v>
      </c>
      <c r="D150" s="340"/>
      <c r="E150" s="121"/>
      <c r="F150" s="362" t="str">
        <f>IF(D150="","",VLOOKUP(D150,'G-7 WaterC'' Data'!$B$2:$G$8,2,FALSE))</f>
        <v/>
      </c>
      <c r="G150" s="363" t="str">
        <f>IFERROR(VLOOKUP(F150,'G-7 WaterC'' Data'!$C$4:$D$8,2,FALSE),"")</f>
        <v/>
      </c>
      <c r="H150" s="114"/>
      <c r="I150" s="363" t="str">
        <f>IFERROR(INDEX('G-7 WaterC'' Data'!$H$4:$L$8,MATCH(D150,'G-7 WaterC'' Data'!$B$4:$B$8,0),MATCH(H150,'G-7 WaterC'' Data'!$H$3:$L$3,0)),"")</f>
        <v/>
      </c>
      <c r="J150" s="115"/>
      <c r="K150" s="382" t="str">
        <f>IF(J150="","",IF(VLOOKUP(J150,'G-7 WaterC'' Data'!$AK$4:$AM$9,2,FALSE)=0,"Spatial Data Missing ⚠",VLOOKUP(J150,'G-7 WaterC'' Data'!$AK$4:$AM$6,2,FALSE)))</f>
        <v/>
      </c>
      <c r="L150" s="386" t="str">
        <f>IF(J150="","",IF(VLOOKUP(J150,'G-7 WaterC'' Data'!$AK$4:$AM$9,3,FALSE)=0,"Spatial Data Missing ⚠",VLOOKUP(J150,'G-7 WaterC'' Data'!$AK$4:$AM$6,3,FALSE)))</f>
        <v/>
      </c>
      <c r="M150" s="115"/>
      <c r="N150" s="363" t="str">
        <f>IF(M150="","",IF(VLOOKUP(M150,'G-7 WaterC'' Data'!$AA$4:$AB$7,2,FALSE)=0,"Spatial Data Missing ⚠",VLOOKUP(M150,'G-7 WaterC'' Data'!$AA$4:$AB$7,2,FALSE)))</f>
        <v/>
      </c>
      <c r="O150" s="60"/>
      <c r="P150" s="363" t="str">
        <f>IF(O150="","",IF(VLOOKUP(O150,'G-7 WaterC'' Data'!$AD$4:$AE$14,2,FALSE)=0,"Spatial Data Missing ⚠",VLOOKUP(O150,'G-7 WaterC'' Data'!$AD$4:$AE$14,2,FALSE)))</f>
        <v/>
      </c>
      <c r="Q150" s="369" t="str">
        <f>IF(D150="","",VLOOKUP(D150,'G-7 WaterC'' Data'!$B$4:$G$8,6,FALSE))</f>
        <v/>
      </c>
      <c r="R150" s="376" t="str">
        <f>IFERROR(IF(D150="","",IF(AND(Q150='G-1 All Habitats'!$X$3,X150&gt;0),Y150+(Z150*T150),IF(AND(Q150='G-1 All Habitats'!$X$3,W150&gt;0),Y150+(Z150*T150),IF(AND(Q150='G-1 All Habitats'!$X$3,AH150&gt;0),"Any Loss Unacceptable ⚠",IF(AND(Q150='G-1 All Habitats'!$X$3,AI150&gt;0),"Any Loss Unacceptable ⚠", E150*G150*I150*L150*N150*P150*T150 ))))),"Check Data ▲")</f>
        <v/>
      </c>
      <c r="S150" s="516"/>
      <c r="T150" s="368" t="str">
        <f>IF(S150="","",IF(VLOOKUP(S150,'G-7 WaterC'' Data'!$AO$4:$BO$7,2,FALSE)=0,"Spatial Data Missing ⚠",VLOOKUP(S150,'G-7 WaterC'' Data'!$AO$4:$BO$7,2,FALSE)))</f>
        <v/>
      </c>
      <c r="U150" s="376" t="str">
        <f>IFERROR(IF(D150="","",IF(AND(Q150='G-1 All Habitats'!$X$3,X150&gt;0),Y150+Z150,IF(AND(Q150='G-1 All Habitats'!$X$3,W150&gt;0),Y150+Z150,IF(AND(Q150='G-1 All Habitats'!$X$3,AH150&gt;0),"Any Loss Unacceptable ⚠",IF(AND(Q150='G-1 All Habitats'!$X$3,AI150&gt;0),"Any Loss Unacceptable ⚠", E150*G150*I150*L150*N150*P150 ))))),"Check Data ▲")</f>
        <v/>
      </c>
      <c r="V150" s="32"/>
      <c r="W150" s="114"/>
      <c r="X150" s="125"/>
      <c r="Y150" s="374" t="str">
        <f t="shared" si="16"/>
        <v/>
      </c>
      <c r="Z150" s="374" t="str">
        <f t="shared" si="17"/>
        <v/>
      </c>
      <c r="AA150" s="374" t="str">
        <f t="shared" si="18"/>
        <v/>
      </c>
      <c r="AB150" s="670" t="str">
        <f t="shared" si="19"/>
        <v/>
      </c>
      <c r="AC150" s="516"/>
      <c r="AD150" s="119"/>
      <c r="AE150" s="120"/>
      <c r="AF150" s="120"/>
      <c r="AG150" s="120"/>
      <c r="AH150" s="57" t="str">
        <f>IF(Q150="","",IF(Q150='G-1 All Habitats'!$X$3,E150-X150-W150,"None"))</f>
        <v/>
      </c>
      <c r="AI150" s="58" t="str">
        <f>IF(Q150="","", IF(Q150='G-1 All Habitats'!$X$3, AH150*G150*I150*L150*N150*P150,"None"))</f>
        <v/>
      </c>
      <c r="AJ150" s="30" t="str">
        <f>IFERROR(INDEX('G-7 WaterC'' Data'!$AZ$3:$AZ$7,MATCH(D150,'G-7 WaterC'' Data'!$AY$3:$AY$7,0)),"")</f>
        <v/>
      </c>
      <c r="AK150" s="30">
        <f t="shared" si="20"/>
        <v>0</v>
      </c>
      <c r="AL150" s="124" t="str">
        <f t="shared" si="21"/>
        <v/>
      </c>
      <c r="AM150" s="124" t="str">
        <f t="shared" si="22"/>
        <v/>
      </c>
      <c r="AO150" s="124">
        <v>141</v>
      </c>
      <c r="AQ150" s="124" t="str">
        <f t="array" ref="AQ150">IFERROR(INDEX($AO$10:$AO$258, MATCH(0, IF(TRUE=$AL$10:$AL$258, COUNTIF($AQ$9:$AQ149, $AO$10:$AO$258), ""), 0)),"")</f>
        <v/>
      </c>
      <c r="AR150" s="124" t="str">
        <f t="array" ref="AR150">IFERROR(INDEX($AO$10:$AO$258, MATCH(0, IF(TRUE=$AM$10:$AM$258, COUNTIF($AR$9:$AR149, $AO$10:$AO$258), ""), 0)),"")</f>
        <v/>
      </c>
      <c r="AZ150" s="802" t="str">
        <f t="shared" si="23"/>
        <v/>
      </c>
    </row>
    <row r="151" spans="3:52" ht="15.75" thickBot="1">
      <c r="C151" s="110">
        <v>142</v>
      </c>
      <c r="D151" s="340"/>
      <c r="E151" s="121"/>
      <c r="F151" s="362" t="str">
        <f>IF(D151="","",VLOOKUP(D151,'G-7 WaterC'' Data'!$B$2:$G$8,2,FALSE))</f>
        <v/>
      </c>
      <c r="G151" s="363" t="str">
        <f>IFERROR(VLOOKUP(F151,'G-7 WaterC'' Data'!$C$4:$D$8,2,FALSE),"")</f>
        <v/>
      </c>
      <c r="H151" s="114"/>
      <c r="I151" s="363" t="str">
        <f>IFERROR(INDEX('G-7 WaterC'' Data'!$H$4:$L$8,MATCH(D151,'G-7 WaterC'' Data'!$B$4:$B$8,0),MATCH(H151,'G-7 WaterC'' Data'!$H$3:$L$3,0)),"")</f>
        <v/>
      </c>
      <c r="J151" s="115"/>
      <c r="K151" s="382" t="str">
        <f>IF(J151="","",IF(VLOOKUP(J151,'G-7 WaterC'' Data'!$AK$4:$AM$9,2,FALSE)=0,"Spatial Data Missing ⚠",VLOOKUP(J151,'G-7 WaterC'' Data'!$AK$4:$AM$6,2,FALSE)))</f>
        <v/>
      </c>
      <c r="L151" s="386" t="str">
        <f>IF(J151="","",IF(VLOOKUP(J151,'G-7 WaterC'' Data'!$AK$4:$AM$9,3,FALSE)=0,"Spatial Data Missing ⚠",VLOOKUP(J151,'G-7 WaterC'' Data'!$AK$4:$AM$6,3,FALSE)))</f>
        <v/>
      </c>
      <c r="M151" s="115"/>
      <c r="N151" s="363" t="str">
        <f>IF(M151="","",IF(VLOOKUP(M151,'G-7 WaterC'' Data'!$AA$4:$AB$7,2,FALSE)=0,"Spatial Data Missing ⚠",VLOOKUP(M151,'G-7 WaterC'' Data'!$AA$4:$AB$7,2,FALSE)))</f>
        <v/>
      </c>
      <c r="O151" s="60"/>
      <c r="P151" s="363" t="str">
        <f>IF(O151="","",IF(VLOOKUP(O151,'G-7 WaterC'' Data'!$AD$4:$AE$14,2,FALSE)=0,"Spatial Data Missing ⚠",VLOOKUP(O151,'G-7 WaterC'' Data'!$AD$4:$AE$14,2,FALSE)))</f>
        <v/>
      </c>
      <c r="Q151" s="369" t="str">
        <f>IF(D151="","",VLOOKUP(D151,'G-7 WaterC'' Data'!$B$4:$G$8,6,FALSE))</f>
        <v/>
      </c>
      <c r="R151" s="376" t="str">
        <f>IFERROR(IF(D151="","",IF(AND(Q151='G-1 All Habitats'!$X$3,X151&gt;0),Y151+(Z151*T151),IF(AND(Q151='G-1 All Habitats'!$X$3,W151&gt;0),Y151+(Z151*T151),IF(AND(Q151='G-1 All Habitats'!$X$3,AH151&gt;0),"Any Loss Unacceptable ⚠",IF(AND(Q151='G-1 All Habitats'!$X$3,AI151&gt;0),"Any Loss Unacceptable ⚠", E151*G151*I151*L151*N151*P151*T151 ))))),"Check Data ▲")</f>
        <v/>
      </c>
      <c r="S151" s="516"/>
      <c r="T151" s="368" t="str">
        <f>IF(S151="","",IF(VLOOKUP(S151,'G-7 WaterC'' Data'!$AO$4:$BO$7,2,FALSE)=0,"Spatial Data Missing ⚠",VLOOKUP(S151,'G-7 WaterC'' Data'!$AO$4:$BO$7,2,FALSE)))</f>
        <v/>
      </c>
      <c r="U151" s="376" t="str">
        <f>IFERROR(IF(D151="","",IF(AND(Q151='G-1 All Habitats'!$X$3,X151&gt;0),Y151+Z151,IF(AND(Q151='G-1 All Habitats'!$X$3,W151&gt;0),Y151+Z151,IF(AND(Q151='G-1 All Habitats'!$X$3,AH151&gt;0),"Any Loss Unacceptable ⚠",IF(AND(Q151='G-1 All Habitats'!$X$3,AI151&gt;0),"Any Loss Unacceptable ⚠", E151*G151*I151*L151*N151*P151 ))))),"Check Data ▲")</f>
        <v/>
      </c>
      <c r="V151" s="32"/>
      <c r="W151" s="114"/>
      <c r="X151" s="125"/>
      <c r="Y151" s="374" t="str">
        <f t="shared" si="16"/>
        <v/>
      </c>
      <c r="Z151" s="374" t="str">
        <f t="shared" si="17"/>
        <v/>
      </c>
      <c r="AA151" s="374" t="str">
        <f t="shared" si="18"/>
        <v/>
      </c>
      <c r="AB151" s="670" t="str">
        <f t="shared" si="19"/>
        <v/>
      </c>
      <c r="AC151" s="516"/>
      <c r="AD151" s="119"/>
      <c r="AE151" s="120"/>
      <c r="AF151" s="120"/>
      <c r="AG151" s="120"/>
      <c r="AH151" s="57" t="str">
        <f>IF(Q151="","",IF(Q151='G-1 All Habitats'!$X$3,E151-X151-W151,"None"))</f>
        <v/>
      </c>
      <c r="AI151" s="58" t="str">
        <f>IF(Q151="","", IF(Q151='G-1 All Habitats'!$X$3, AH151*G151*I151*L151*N151*P151,"None"))</f>
        <v/>
      </c>
      <c r="AJ151" s="30" t="str">
        <f>IFERROR(INDEX('G-7 WaterC'' Data'!$AZ$3:$AZ$7,MATCH(D151,'G-7 WaterC'' Data'!$AY$3:$AY$7,0)),"")</f>
        <v/>
      </c>
      <c r="AK151" s="30">
        <f t="shared" si="20"/>
        <v>0</v>
      </c>
      <c r="AL151" s="124" t="str">
        <f t="shared" si="21"/>
        <v/>
      </c>
      <c r="AM151" s="124" t="str">
        <f t="shared" si="22"/>
        <v/>
      </c>
      <c r="AO151" s="124">
        <v>142</v>
      </c>
      <c r="AQ151" s="124" t="str">
        <f t="array" ref="AQ151">IFERROR(INDEX($AO$10:$AO$258, MATCH(0, IF(TRUE=$AL$10:$AL$258, COUNTIF($AQ$9:$AQ150, $AO$10:$AO$258), ""), 0)),"")</f>
        <v/>
      </c>
      <c r="AR151" s="124" t="str">
        <f t="array" ref="AR151">IFERROR(INDEX($AO$10:$AO$258, MATCH(0, IF(TRUE=$AM$10:$AM$258, COUNTIF($AR$9:$AR150, $AO$10:$AO$258), ""), 0)),"")</f>
        <v/>
      </c>
      <c r="AZ151" s="802" t="str">
        <f t="shared" si="23"/>
        <v/>
      </c>
    </row>
    <row r="152" spans="3:52" ht="15.75" thickBot="1">
      <c r="C152" s="110">
        <v>143</v>
      </c>
      <c r="D152" s="340"/>
      <c r="E152" s="121"/>
      <c r="F152" s="362" t="str">
        <f>IF(D152="","",VLOOKUP(D152,'G-7 WaterC'' Data'!$B$2:$G$8,2,FALSE))</f>
        <v/>
      </c>
      <c r="G152" s="363" t="str">
        <f>IFERROR(VLOOKUP(F152,'G-7 WaterC'' Data'!$C$4:$D$8,2,FALSE),"")</f>
        <v/>
      </c>
      <c r="H152" s="114"/>
      <c r="I152" s="363" t="str">
        <f>IFERROR(INDEX('G-7 WaterC'' Data'!$H$4:$L$8,MATCH(D152,'G-7 WaterC'' Data'!$B$4:$B$8,0),MATCH(H152,'G-7 WaterC'' Data'!$H$3:$L$3,0)),"")</f>
        <v/>
      </c>
      <c r="J152" s="115"/>
      <c r="K152" s="382" t="str">
        <f>IF(J152="","",IF(VLOOKUP(J152,'G-7 WaterC'' Data'!$AK$4:$AM$9,2,FALSE)=0,"Spatial Data Missing ⚠",VLOOKUP(J152,'G-7 WaterC'' Data'!$AK$4:$AM$6,2,FALSE)))</f>
        <v/>
      </c>
      <c r="L152" s="386" t="str">
        <f>IF(J152="","",IF(VLOOKUP(J152,'G-7 WaterC'' Data'!$AK$4:$AM$9,3,FALSE)=0,"Spatial Data Missing ⚠",VLOOKUP(J152,'G-7 WaterC'' Data'!$AK$4:$AM$6,3,FALSE)))</f>
        <v/>
      </c>
      <c r="M152" s="115"/>
      <c r="N152" s="363" t="str">
        <f>IF(M152="","",IF(VLOOKUP(M152,'G-7 WaterC'' Data'!$AA$4:$AB$7,2,FALSE)=0,"Spatial Data Missing ⚠",VLOOKUP(M152,'G-7 WaterC'' Data'!$AA$4:$AB$7,2,FALSE)))</f>
        <v/>
      </c>
      <c r="O152" s="60"/>
      <c r="P152" s="363" t="str">
        <f>IF(O152="","",IF(VLOOKUP(O152,'G-7 WaterC'' Data'!$AD$4:$AE$14,2,FALSE)=0,"Spatial Data Missing ⚠",VLOOKUP(O152,'G-7 WaterC'' Data'!$AD$4:$AE$14,2,FALSE)))</f>
        <v/>
      </c>
      <c r="Q152" s="369" t="str">
        <f>IF(D152="","",VLOOKUP(D152,'G-7 WaterC'' Data'!$B$4:$G$8,6,FALSE))</f>
        <v/>
      </c>
      <c r="R152" s="376" t="str">
        <f>IFERROR(IF(D152="","",IF(AND(Q152='G-1 All Habitats'!$X$3,X152&gt;0),Y152+(Z152*T152),IF(AND(Q152='G-1 All Habitats'!$X$3,W152&gt;0),Y152+(Z152*T152),IF(AND(Q152='G-1 All Habitats'!$X$3,AH152&gt;0),"Any Loss Unacceptable ⚠",IF(AND(Q152='G-1 All Habitats'!$X$3,AI152&gt;0),"Any Loss Unacceptable ⚠", E152*G152*I152*L152*N152*P152*T152 ))))),"Check Data ▲")</f>
        <v/>
      </c>
      <c r="S152" s="516"/>
      <c r="T152" s="368" t="str">
        <f>IF(S152="","",IF(VLOOKUP(S152,'G-7 WaterC'' Data'!$AO$4:$BO$7,2,FALSE)=0,"Spatial Data Missing ⚠",VLOOKUP(S152,'G-7 WaterC'' Data'!$AO$4:$BO$7,2,FALSE)))</f>
        <v/>
      </c>
      <c r="U152" s="376" t="str">
        <f>IFERROR(IF(D152="","",IF(AND(Q152='G-1 All Habitats'!$X$3,X152&gt;0),Y152+Z152,IF(AND(Q152='G-1 All Habitats'!$X$3,W152&gt;0),Y152+Z152,IF(AND(Q152='G-1 All Habitats'!$X$3,AH152&gt;0),"Any Loss Unacceptable ⚠",IF(AND(Q152='G-1 All Habitats'!$X$3,AI152&gt;0),"Any Loss Unacceptable ⚠", E152*G152*I152*L152*N152*P152 ))))),"Check Data ▲")</f>
        <v/>
      </c>
      <c r="V152" s="32"/>
      <c r="W152" s="114"/>
      <c r="X152" s="125"/>
      <c r="Y152" s="374" t="str">
        <f t="shared" si="16"/>
        <v/>
      </c>
      <c r="Z152" s="374" t="str">
        <f t="shared" si="17"/>
        <v/>
      </c>
      <c r="AA152" s="374" t="str">
        <f t="shared" si="18"/>
        <v/>
      </c>
      <c r="AB152" s="670" t="str">
        <f t="shared" si="19"/>
        <v/>
      </c>
      <c r="AC152" s="516"/>
      <c r="AD152" s="119"/>
      <c r="AE152" s="120"/>
      <c r="AF152" s="120"/>
      <c r="AG152" s="120"/>
      <c r="AH152" s="57" t="str">
        <f>IF(Q152="","",IF(Q152='G-1 All Habitats'!$X$3,E152-X152-W152,"None"))</f>
        <v/>
      </c>
      <c r="AI152" s="58" t="str">
        <f>IF(Q152="","", IF(Q152='G-1 All Habitats'!$X$3, AH152*G152*I152*L152*N152*P152,"None"))</f>
        <v/>
      </c>
      <c r="AJ152" s="30" t="str">
        <f>IFERROR(INDEX('G-7 WaterC'' Data'!$AZ$3:$AZ$7,MATCH(D152,'G-7 WaterC'' Data'!$AY$3:$AY$7,0)),"")</f>
        <v/>
      </c>
      <c r="AK152" s="30">
        <f t="shared" si="20"/>
        <v>0</v>
      </c>
      <c r="AL152" s="124" t="str">
        <f t="shared" si="21"/>
        <v/>
      </c>
      <c r="AM152" s="124" t="str">
        <f t="shared" si="22"/>
        <v/>
      </c>
      <c r="AO152" s="124">
        <v>143</v>
      </c>
      <c r="AQ152" s="124" t="str">
        <f t="array" ref="AQ152">IFERROR(INDEX($AO$10:$AO$258, MATCH(0, IF(TRUE=$AL$10:$AL$258, COUNTIF($AQ$9:$AQ151, $AO$10:$AO$258), ""), 0)),"")</f>
        <v/>
      </c>
      <c r="AR152" s="124" t="str">
        <f t="array" ref="AR152">IFERROR(INDEX($AO$10:$AO$258, MATCH(0, IF(TRUE=$AM$10:$AM$258, COUNTIF($AR$9:$AR151, $AO$10:$AO$258), ""), 0)),"")</f>
        <v/>
      </c>
      <c r="AZ152" s="802" t="str">
        <f t="shared" si="23"/>
        <v/>
      </c>
    </row>
    <row r="153" spans="3:52" ht="15.75" thickBot="1">
      <c r="C153" s="110">
        <v>144</v>
      </c>
      <c r="D153" s="340"/>
      <c r="E153" s="121"/>
      <c r="F153" s="362" t="str">
        <f>IF(D153="","",VLOOKUP(D153,'G-7 WaterC'' Data'!$B$2:$G$8,2,FALSE))</f>
        <v/>
      </c>
      <c r="G153" s="363" t="str">
        <f>IFERROR(VLOOKUP(F153,'G-7 WaterC'' Data'!$C$4:$D$8,2,FALSE),"")</f>
        <v/>
      </c>
      <c r="H153" s="114"/>
      <c r="I153" s="363" t="str">
        <f>IFERROR(INDEX('G-7 WaterC'' Data'!$H$4:$L$8,MATCH(D153,'G-7 WaterC'' Data'!$B$4:$B$8,0),MATCH(H153,'G-7 WaterC'' Data'!$H$3:$L$3,0)),"")</f>
        <v/>
      </c>
      <c r="J153" s="115"/>
      <c r="K153" s="382" t="str">
        <f>IF(J153="","",IF(VLOOKUP(J153,'G-7 WaterC'' Data'!$AK$4:$AM$9,2,FALSE)=0,"Spatial Data Missing ⚠",VLOOKUP(J153,'G-7 WaterC'' Data'!$AK$4:$AM$6,2,FALSE)))</f>
        <v/>
      </c>
      <c r="L153" s="386" t="str">
        <f>IF(J153="","",IF(VLOOKUP(J153,'G-7 WaterC'' Data'!$AK$4:$AM$9,3,FALSE)=0,"Spatial Data Missing ⚠",VLOOKUP(J153,'G-7 WaterC'' Data'!$AK$4:$AM$6,3,FALSE)))</f>
        <v/>
      </c>
      <c r="M153" s="115"/>
      <c r="N153" s="363" t="str">
        <f>IF(M153="","",IF(VLOOKUP(M153,'G-7 WaterC'' Data'!$AA$4:$AB$7,2,FALSE)=0,"Spatial Data Missing ⚠",VLOOKUP(M153,'G-7 WaterC'' Data'!$AA$4:$AB$7,2,FALSE)))</f>
        <v/>
      </c>
      <c r="O153" s="60"/>
      <c r="P153" s="363" t="str">
        <f>IF(O153="","",IF(VLOOKUP(O153,'G-7 WaterC'' Data'!$AD$4:$AE$14,2,FALSE)=0,"Spatial Data Missing ⚠",VLOOKUP(O153,'G-7 WaterC'' Data'!$AD$4:$AE$14,2,FALSE)))</f>
        <v/>
      </c>
      <c r="Q153" s="369" t="str">
        <f>IF(D153="","",VLOOKUP(D153,'G-7 WaterC'' Data'!$B$4:$G$8,6,FALSE))</f>
        <v/>
      </c>
      <c r="R153" s="376" t="str">
        <f>IFERROR(IF(D153="","",IF(AND(Q153='G-1 All Habitats'!$X$3,X153&gt;0),Y153+(Z153*T153),IF(AND(Q153='G-1 All Habitats'!$X$3,W153&gt;0),Y153+(Z153*T153),IF(AND(Q153='G-1 All Habitats'!$X$3,AH153&gt;0),"Any Loss Unacceptable ⚠",IF(AND(Q153='G-1 All Habitats'!$X$3,AI153&gt;0),"Any Loss Unacceptable ⚠", E153*G153*I153*L153*N153*P153*T153 ))))),"Check Data ▲")</f>
        <v/>
      </c>
      <c r="S153" s="516"/>
      <c r="T153" s="368" t="str">
        <f>IF(S153="","",IF(VLOOKUP(S153,'G-7 WaterC'' Data'!$AO$4:$BO$7,2,FALSE)=0,"Spatial Data Missing ⚠",VLOOKUP(S153,'G-7 WaterC'' Data'!$AO$4:$BO$7,2,FALSE)))</f>
        <v/>
      </c>
      <c r="U153" s="376" t="str">
        <f>IFERROR(IF(D153="","",IF(AND(Q153='G-1 All Habitats'!$X$3,X153&gt;0),Y153+Z153,IF(AND(Q153='G-1 All Habitats'!$X$3,W153&gt;0),Y153+Z153,IF(AND(Q153='G-1 All Habitats'!$X$3,AH153&gt;0),"Any Loss Unacceptable ⚠",IF(AND(Q153='G-1 All Habitats'!$X$3,AI153&gt;0),"Any Loss Unacceptable ⚠", E153*G153*I153*L153*N153*P153 ))))),"Check Data ▲")</f>
        <v/>
      </c>
      <c r="V153" s="32"/>
      <c r="W153" s="114"/>
      <c r="X153" s="125"/>
      <c r="Y153" s="374" t="str">
        <f t="shared" si="16"/>
        <v/>
      </c>
      <c r="Z153" s="374" t="str">
        <f t="shared" si="17"/>
        <v/>
      </c>
      <c r="AA153" s="374" t="str">
        <f t="shared" si="18"/>
        <v/>
      </c>
      <c r="AB153" s="670" t="str">
        <f t="shared" si="19"/>
        <v/>
      </c>
      <c r="AC153" s="516"/>
      <c r="AD153" s="119"/>
      <c r="AE153" s="120"/>
      <c r="AF153" s="120"/>
      <c r="AG153" s="120"/>
      <c r="AH153" s="57" t="str">
        <f>IF(Q153="","",IF(Q153='G-1 All Habitats'!$X$3,E153-X153-W153,"None"))</f>
        <v/>
      </c>
      <c r="AI153" s="58" t="str">
        <f>IF(Q153="","", IF(Q153='G-1 All Habitats'!$X$3, AH153*G153*I153*L153*N153*P153,"None"))</f>
        <v/>
      </c>
      <c r="AJ153" s="30" t="str">
        <f>IFERROR(INDEX('G-7 WaterC'' Data'!$AZ$3:$AZ$7,MATCH(D153,'G-7 WaterC'' Data'!$AY$3:$AY$7,0)),"")</f>
        <v/>
      </c>
      <c r="AK153" s="30">
        <f t="shared" si="20"/>
        <v>0</v>
      </c>
      <c r="AL153" s="124" t="str">
        <f t="shared" si="21"/>
        <v/>
      </c>
      <c r="AM153" s="124" t="str">
        <f t="shared" si="22"/>
        <v/>
      </c>
      <c r="AO153" s="124">
        <v>144</v>
      </c>
      <c r="AQ153" s="124" t="str">
        <f t="array" ref="AQ153">IFERROR(INDEX($AO$10:$AO$258, MATCH(0, IF(TRUE=$AL$10:$AL$258, COUNTIF($AQ$9:$AQ152, $AO$10:$AO$258), ""), 0)),"")</f>
        <v/>
      </c>
      <c r="AR153" s="124" t="str">
        <f t="array" ref="AR153">IFERROR(INDEX($AO$10:$AO$258, MATCH(0, IF(TRUE=$AM$10:$AM$258, COUNTIF($AR$9:$AR152, $AO$10:$AO$258), ""), 0)),"")</f>
        <v/>
      </c>
      <c r="AZ153" s="802" t="str">
        <f t="shared" si="23"/>
        <v/>
      </c>
    </row>
    <row r="154" spans="3:52" ht="15.75" thickBot="1">
      <c r="C154" s="110">
        <v>145</v>
      </c>
      <c r="D154" s="340"/>
      <c r="E154" s="121"/>
      <c r="F154" s="362" t="str">
        <f>IF(D154="","",VLOOKUP(D154,'G-7 WaterC'' Data'!$B$2:$G$8,2,FALSE))</f>
        <v/>
      </c>
      <c r="G154" s="363" t="str">
        <f>IFERROR(VLOOKUP(F154,'G-7 WaterC'' Data'!$C$4:$D$8,2,FALSE),"")</f>
        <v/>
      </c>
      <c r="H154" s="114"/>
      <c r="I154" s="363" t="str">
        <f>IFERROR(INDEX('G-7 WaterC'' Data'!$H$4:$L$8,MATCH(D154,'G-7 WaterC'' Data'!$B$4:$B$8,0),MATCH(H154,'G-7 WaterC'' Data'!$H$3:$L$3,0)),"")</f>
        <v/>
      </c>
      <c r="J154" s="115"/>
      <c r="K154" s="382" t="str">
        <f>IF(J154="","",IF(VLOOKUP(J154,'G-7 WaterC'' Data'!$AK$4:$AM$9,2,FALSE)=0,"Spatial Data Missing ⚠",VLOOKUP(J154,'G-7 WaterC'' Data'!$AK$4:$AM$6,2,FALSE)))</f>
        <v/>
      </c>
      <c r="L154" s="386" t="str">
        <f>IF(J154="","",IF(VLOOKUP(J154,'G-7 WaterC'' Data'!$AK$4:$AM$9,3,FALSE)=0,"Spatial Data Missing ⚠",VLOOKUP(J154,'G-7 WaterC'' Data'!$AK$4:$AM$6,3,FALSE)))</f>
        <v/>
      </c>
      <c r="M154" s="115"/>
      <c r="N154" s="363" t="str">
        <f>IF(M154="","",IF(VLOOKUP(M154,'G-7 WaterC'' Data'!$AA$4:$AB$7,2,FALSE)=0,"Spatial Data Missing ⚠",VLOOKUP(M154,'G-7 WaterC'' Data'!$AA$4:$AB$7,2,FALSE)))</f>
        <v/>
      </c>
      <c r="O154" s="60"/>
      <c r="P154" s="363" t="str">
        <f>IF(O154="","",IF(VLOOKUP(O154,'G-7 WaterC'' Data'!$AD$4:$AE$14,2,FALSE)=0,"Spatial Data Missing ⚠",VLOOKUP(O154,'G-7 WaterC'' Data'!$AD$4:$AE$14,2,FALSE)))</f>
        <v/>
      </c>
      <c r="Q154" s="369" t="str">
        <f>IF(D154="","",VLOOKUP(D154,'G-7 WaterC'' Data'!$B$4:$G$8,6,FALSE))</f>
        <v/>
      </c>
      <c r="R154" s="376" t="str">
        <f>IFERROR(IF(D154="","",IF(AND(Q154='G-1 All Habitats'!$X$3,X154&gt;0),Y154+(Z154*T154),IF(AND(Q154='G-1 All Habitats'!$X$3,W154&gt;0),Y154+(Z154*T154),IF(AND(Q154='G-1 All Habitats'!$X$3,AH154&gt;0),"Any Loss Unacceptable ⚠",IF(AND(Q154='G-1 All Habitats'!$X$3,AI154&gt;0),"Any Loss Unacceptable ⚠", E154*G154*I154*L154*N154*P154*T154 ))))),"Check Data ▲")</f>
        <v/>
      </c>
      <c r="S154" s="516"/>
      <c r="T154" s="368" t="str">
        <f>IF(S154="","",IF(VLOOKUP(S154,'G-7 WaterC'' Data'!$AO$4:$BO$7,2,FALSE)=0,"Spatial Data Missing ⚠",VLOOKUP(S154,'G-7 WaterC'' Data'!$AO$4:$BO$7,2,FALSE)))</f>
        <v/>
      </c>
      <c r="U154" s="376" t="str">
        <f>IFERROR(IF(D154="","",IF(AND(Q154='G-1 All Habitats'!$X$3,X154&gt;0),Y154+Z154,IF(AND(Q154='G-1 All Habitats'!$X$3,W154&gt;0),Y154+Z154,IF(AND(Q154='G-1 All Habitats'!$X$3,AH154&gt;0),"Any Loss Unacceptable ⚠",IF(AND(Q154='G-1 All Habitats'!$X$3,AI154&gt;0),"Any Loss Unacceptable ⚠", E154*G154*I154*L154*N154*P154 ))))),"Check Data ▲")</f>
        <v/>
      </c>
      <c r="V154" s="32"/>
      <c r="W154" s="114"/>
      <c r="X154" s="125"/>
      <c r="Y154" s="374" t="str">
        <f t="shared" si="16"/>
        <v/>
      </c>
      <c r="Z154" s="374" t="str">
        <f t="shared" si="17"/>
        <v/>
      </c>
      <c r="AA154" s="374" t="str">
        <f t="shared" si="18"/>
        <v/>
      </c>
      <c r="AB154" s="670" t="str">
        <f t="shared" si="19"/>
        <v/>
      </c>
      <c r="AC154" s="516"/>
      <c r="AD154" s="119"/>
      <c r="AE154" s="120"/>
      <c r="AF154" s="120"/>
      <c r="AG154" s="120"/>
      <c r="AH154" s="57" t="str">
        <f>IF(Q154="","",IF(Q154='G-1 All Habitats'!$X$3,E154-X154-W154,"None"))</f>
        <v/>
      </c>
      <c r="AI154" s="58" t="str">
        <f>IF(Q154="","", IF(Q154='G-1 All Habitats'!$X$3, AH154*G154*I154*L154*N154*P154,"None"))</f>
        <v/>
      </c>
      <c r="AJ154" s="30" t="str">
        <f>IFERROR(INDEX('G-7 WaterC'' Data'!$AZ$3:$AZ$7,MATCH(D154,'G-7 WaterC'' Data'!$AY$3:$AY$7,0)),"")</f>
        <v/>
      </c>
      <c r="AK154" s="30">
        <f t="shared" si="20"/>
        <v>0</v>
      </c>
      <c r="AL154" s="124" t="str">
        <f t="shared" si="21"/>
        <v/>
      </c>
      <c r="AM154" s="124" t="str">
        <f t="shared" si="22"/>
        <v/>
      </c>
      <c r="AO154" s="124">
        <v>145</v>
      </c>
      <c r="AQ154" s="124" t="str">
        <f t="array" ref="AQ154">IFERROR(INDEX($AO$10:$AO$258, MATCH(0, IF(TRUE=$AL$10:$AL$258, COUNTIF($AQ$9:$AQ153, $AO$10:$AO$258), ""), 0)),"")</f>
        <v/>
      </c>
      <c r="AR154" s="124" t="str">
        <f t="array" ref="AR154">IFERROR(INDEX($AO$10:$AO$258, MATCH(0, IF(TRUE=$AM$10:$AM$258, COUNTIF($AR$9:$AR153, $AO$10:$AO$258), ""), 0)),"")</f>
        <v/>
      </c>
      <c r="AZ154" s="802" t="str">
        <f t="shared" si="23"/>
        <v/>
      </c>
    </row>
    <row r="155" spans="3:52" ht="15.75" thickBot="1">
      <c r="C155" s="110">
        <v>146</v>
      </c>
      <c r="D155" s="340"/>
      <c r="E155" s="121"/>
      <c r="F155" s="362" t="str">
        <f>IF(D155="","",VLOOKUP(D155,'G-7 WaterC'' Data'!$B$2:$G$8,2,FALSE))</f>
        <v/>
      </c>
      <c r="G155" s="363" t="str">
        <f>IFERROR(VLOOKUP(F155,'G-7 WaterC'' Data'!$C$4:$D$8,2,FALSE),"")</f>
        <v/>
      </c>
      <c r="H155" s="114"/>
      <c r="I155" s="363" t="str">
        <f>IFERROR(INDEX('G-7 WaterC'' Data'!$H$4:$L$8,MATCH(D155,'G-7 WaterC'' Data'!$B$4:$B$8,0),MATCH(H155,'G-7 WaterC'' Data'!$H$3:$L$3,0)),"")</f>
        <v/>
      </c>
      <c r="J155" s="115"/>
      <c r="K155" s="382" t="str">
        <f>IF(J155="","",IF(VLOOKUP(J155,'G-7 WaterC'' Data'!$AK$4:$AM$9,2,FALSE)=0,"Spatial Data Missing ⚠",VLOOKUP(J155,'G-7 WaterC'' Data'!$AK$4:$AM$6,2,FALSE)))</f>
        <v/>
      </c>
      <c r="L155" s="386" t="str">
        <f>IF(J155="","",IF(VLOOKUP(J155,'G-7 WaterC'' Data'!$AK$4:$AM$9,3,FALSE)=0,"Spatial Data Missing ⚠",VLOOKUP(J155,'G-7 WaterC'' Data'!$AK$4:$AM$6,3,FALSE)))</f>
        <v/>
      </c>
      <c r="M155" s="115"/>
      <c r="N155" s="363" t="str">
        <f>IF(M155="","",IF(VLOOKUP(M155,'G-7 WaterC'' Data'!$AA$4:$AB$7,2,FALSE)=0,"Spatial Data Missing ⚠",VLOOKUP(M155,'G-7 WaterC'' Data'!$AA$4:$AB$7,2,FALSE)))</f>
        <v/>
      </c>
      <c r="O155" s="60"/>
      <c r="P155" s="363" t="str">
        <f>IF(O155="","",IF(VLOOKUP(O155,'G-7 WaterC'' Data'!$AD$4:$AE$14,2,FALSE)=0,"Spatial Data Missing ⚠",VLOOKUP(O155,'G-7 WaterC'' Data'!$AD$4:$AE$14,2,FALSE)))</f>
        <v/>
      </c>
      <c r="Q155" s="369" t="str">
        <f>IF(D155="","",VLOOKUP(D155,'G-7 WaterC'' Data'!$B$4:$G$8,6,FALSE))</f>
        <v/>
      </c>
      <c r="R155" s="376" t="str">
        <f>IFERROR(IF(D155="","",IF(AND(Q155='G-1 All Habitats'!$X$3,X155&gt;0),Y155+(Z155*T155),IF(AND(Q155='G-1 All Habitats'!$X$3,W155&gt;0),Y155+(Z155*T155),IF(AND(Q155='G-1 All Habitats'!$X$3,AH155&gt;0),"Any Loss Unacceptable ⚠",IF(AND(Q155='G-1 All Habitats'!$X$3,AI155&gt;0),"Any Loss Unacceptable ⚠", E155*G155*I155*L155*N155*P155*T155 ))))),"Check Data ▲")</f>
        <v/>
      </c>
      <c r="S155" s="516"/>
      <c r="T155" s="368" t="str">
        <f>IF(S155="","",IF(VLOOKUP(S155,'G-7 WaterC'' Data'!$AO$4:$BO$7,2,FALSE)=0,"Spatial Data Missing ⚠",VLOOKUP(S155,'G-7 WaterC'' Data'!$AO$4:$BO$7,2,FALSE)))</f>
        <v/>
      </c>
      <c r="U155" s="376" t="str">
        <f>IFERROR(IF(D155="","",IF(AND(Q155='G-1 All Habitats'!$X$3,X155&gt;0),Y155+Z155,IF(AND(Q155='G-1 All Habitats'!$X$3,W155&gt;0),Y155+Z155,IF(AND(Q155='G-1 All Habitats'!$X$3,AH155&gt;0),"Any Loss Unacceptable ⚠",IF(AND(Q155='G-1 All Habitats'!$X$3,AI155&gt;0),"Any Loss Unacceptable ⚠", E155*G155*I155*L155*N155*P155 ))))),"Check Data ▲")</f>
        <v/>
      </c>
      <c r="V155" s="32"/>
      <c r="W155" s="114"/>
      <c r="X155" s="125"/>
      <c r="Y155" s="374" t="str">
        <f t="shared" si="16"/>
        <v/>
      </c>
      <c r="Z155" s="374" t="str">
        <f t="shared" si="17"/>
        <v/>
      </c>
      <c r="AA155" s="374" t="str">
        <f t="shared" si="18"/>
        <v/>
      </c>
      <c r="AB155" s="670" t="str">
        <f t="shared" si="19"/>
        <v/>
      </c>
      <c r="AC155" s="516"/>
      <c r="AD155" s="119"/>
      <c r="AE155" s="120"/>
      <c r="AF155" s="120"/>
      <c r="AG155" s="120"/>
      <c r="AH155" s="57" t="str">
        <f>IF(Q155="","",IF(Q155='G-1 All Habitats'!$X$3,E155-X155-W155,"None"))</f>
        <v/>
      </c>
      <c r="AI155" s="58" t="str">
        <f>IF(Q155="","", IF(Q155='G-1 All Habitats'!$X$3, AH155*G155*I155*L155*N155*P155,"None"))</f>
        <v/>
      </c>
      <c r="AJ155" s="30" t="str">
        <f>IFERROR(INDEX('G-7 WaterC'' Data'!$AZ$3:$AZ$7,MATCH(D155,'G-7 WaterC'' Data'!$AY$3:$AY$7,0)),"")</f>
        <v/>
      </c>
      <c r="AK155" s="30">
        <f t="shared" si="20"/>
        <v>0</v>
      </c>
      <c r="AL155" s="124" t="str">
        <f t="shared" si="21"/>
        <v/>
      </c>
      <c r="AM155" s="124" t="str">
        <f t="shared" si="22"/>
        <v/>
      </c>
      <c r="AO155" s="124">
        <v>146</v>
      </c>
      <c r="AQ155" s="124" t="str">
        <f t="array" ref="AQ155">IFERROR(INDEX($AO$10:$AO$258, MATCH(0, IF(TRUE=$AL$10:$AL$258, COUNTIF($AQ$9:$AQ154, $AO$10:$AO$258), ""), 0)),"")</f>
        <v/>
      </c>
      <c r="AR155" s="124" t="str">
        <f t="array" ref="AR155">IFERROR(INDEX($AO$10:$AO$258, MATCH(0, IF(TRUE=$AM$10:$AM$258, COUNTIF($AR$9:$AR154, $AO$10:$AO$258), ""), 0)),"")</f>
        <v/>
      </c>
      <c r="AZ155" s="802" t="str">
        <f t="shared" si="23"/>
        <v/>
      </c>
    </row>
    <row r="156" spans="3:52" ht="15.75" thickBot="1">
      <c r="C156" s="110">
        <v>147</v>
      </c>
      <c r="D156" s="340"/>
      <c r="E156" s="121"/>
      <c r="F156" s="362" t="str">
        <f>IF(D156="","",VLOOKUP(D156,'G-7 WaterC'' Data'!$B$2:$G$8,2,FALSE))</f>
        <v/>
      </c>
      <c r="G156" s="363" t="str">
        <f>IFERROR(VLOOKUP(F156,'G-7 WaterC'' Data'!$C$4:$D$8,2,FALSE),"")</f>
        <v/>
      </c>
      <c r="H156" s="114"/>
      <c r="I156" s="363" t="str">
        <f>IFERROR(INDEX('G-7 WaterC'' Data'!$H$4:$L$8,MATCH(D156,'G-7 WaterC'' Data'!$B$4:$B$8,0),MATCH(H156,'G-7 WaterC'' Data'!$H$3:$L$3,0)),"")</f>
        <v/>
      </c>
      <c r="J156" s="115"/>
      <c r="K156" s="382" t="str">
        <f>IF(J156="","",IF(VLOOKUP(J156,'G-7 WaterC'' Data'!$AK$4:$AM$9,2,FALSE)=0,"Spatial Data Missing ⚠",VLOOKUP(J156,'G-7 WaterC'' Data'!$AK$4:$AM$6,2,FALSE)))</f>
        <v/>
      </c>
      <c r="L156" s="386" t="str">
        <f>IF(J156="","",IF(VLOOKUP(J156,'G-7 WaterC'' Data'!$AK$4:$AM$9,3,FALSE)=0,"Spatial Data Missing ⚠",VLOOKUP(J156,'G-7 WaterC'' Data'!$AK$4:$AM$6,3,FALSE)))</f>
        <v/>
      </c>
      <c r="M156" s="115"/>
      <c r="N156" s="363" t="str">
        <f>IF(M156="","",IF(VLOOKUP(M156,'G-7 WaterC'' Data'!$AA$4:$AB$7,2,FALSE)=0,"Spatial Data Missing ⚠",VLOOKUP(M156,'G-7 WaterC'' Data'!$AA$4:$AB$7,2,FALSE)))</f>
        <v/>
      </c>
      <c r="O156" s="60"/>
      <c r="P156" s="363" t="str">
        <f>IF(O156="","",IF(VLOOKUP(O156,'G-7 WaterC'' Data'!$AD$4:$AE$14,2,FALSE)=0,"Spatial Data Missing ⚠",VLOOKUP(O156,'G-7 WaterC'' Data'!$AD$4:$AE$14,2,FALSE)))</f>
        <v/>
      </c>
      <c r="Q156" s="369" t="str">
        <f>IF(D156="","",VLOOKUP(D156,'G-7 WaterC'' Data'!$B$4:$G$8,6,FALSE))</f>
        <v/>
      </c>
      <c r="R156" s="376" t="str">
        <f>IFERROR(IF(D156="","",IF(AND(Q156='G-1 All Habitats'!$X$3,X156&gt;0),Y156+(Z156*T156),IF(AND(Q156='G-1 All Habitats'!$X$3,W156&gt;0),Y156+(Z156*T156),IF(AND(Q156='G-1 All Habitats'!$X$3,AH156&gt;0),"Any Loss Unacceptable ⚠",IF(AND(Q156='G-1 All Habitats'!$X$3,AI156&gt;0),"Any Loss Unacceptable ⚠", E156*G156*I156*L156*N156*P156*T156 ))))),"Check Data ▲")</f>
        <v/>
      </c>
      <c r="S156" s="516"/>
      <c r="T156" s="368" t="str">
        <f>IF(S156="","",IF(VLOOKUP(S156,'G-7 WaterC'' Data'!$AO$4:$BO$7,2,FALSE)=0,"Spatial Data Missing ⚠",VLOOKUP(S156,'G-7 WaterC'' Data'!$AO$4:$BO$7,2,FALSE)))</f>
        <v/>
      </c>
      <c r="U156" s="376" t="str">
        <f>IFERROR(IF(D156="","",IF(AND(Q156='G-1 All Habitats'!$X$3,X156&gt;0),Y156+Z156,IF(AND(Q156='G-1 All Habitats'!$X$3,W156&gt;0),Y156+Z156,IF(AND(Q156='G-1 All Habitats'!$X$3,AH156&gt;0),"Any Loss Unacceptable ⚠",IF(AND(Q156='G-1 All Habitats'!$X$3,AI156&gt;0),"Any Loss Unacceptable ⚠", E156*G156*I156*L156*N156*P156 ))))),"Check Data ▲")</f>
        <v/>
      </c>
      <c r="V156" s="32"/>
      <c r="W156" s="114"/>
      <c r="X156" s="125"/>
      <c r="Y156" s="374" t="str">
        <f t="shared" si="16"/>
        <v/>
      </c>
      <c r="Z156" s="374" t="str">
        <f t="shared" si="17"/>
        <v/>
      </c>
      <c r="AA156" s="374" t="str">
        <f t="shared" si="18"/>
        <v/>
      </c>
      <c r="AB156" s="670" t="str">
        <f t="shared" si="19"/>
        <v/>
      </c>
      <c r="AC156" s="516"/>
      <c r="AD156" s="119"/>
      <c r="AE156" s="120"/>
      <c r="AF156" s="120"/>
      <c r="AG156" s="120"/>
      <c r="AH156" s="57" t="str">
        <f>IF(Q156="","",IF(Q156='G-1 All Habitats'!$X$3,E156-X156-W156,"None"))</f>
        <v/>
      </c>
      <c r="AI156" s="58" t="str">
        <f>IF(Q156="","", IF(Q156='G-1 All Habitats'!$X$3, AH156*G156*I156*L156*N156*P156,"None"))</f>
        <v/>
      </c>
      <c r="AJ156" s="30" t="str">
        <f>IFERROR(INDEX('G-7 WaterC'' Data'!$AZ$3:$AZ$7,MATCH(D156,'G-7 WaterC'' Data'!$AY$3:$AY$7,0)),"")</f>
        <v/>
      </c>
      <c r="AK156" s="30">
        <f t="shared" si="20"/>
        <v>0</v>
      </c>
      <c r="AL156" s="124" t="str">
        <f t="shared" si="21"/>
        <v/>
      </c>
      <c r="AM156" s="124" t="str">
        <f t="shared" si="22"/>
        <v/>
      </c>
      <c r="AO156" s="124">
        <v>147</v>
      </c>
      <c r="AQ156" s="124" t="str">
        <f t="array" ref="AQ156">IFERROR(INDEX($AO$10:$AO$258, MATCH(0, IF(TRUE=$AL$10:$AL$258, COUNTIF($AQ$9:$AQ155, $AO$10:$AO$258), ""), 0)),"")</f>
        <v/>
      </c>
      <c r="AR156" s="124" t="str">
        <f t="array" ref="AR156">IFERROR(INDEX($AO$10:$AO$258, MATCH(0, IF(TRUE=$AM$10:$AM$258, COUNTIF($AR$9:$AR155, $AO$10:$AO$258), ""), 0)),"")</f>
        <v/>
      </c>
      <c r="AZ156" s="802" t="str">
        <f t="shared" si="23"/>
        <v/>
      </c>
    </row>
    <row r="157" spans="3:52" ht="15.75" thickBot="1">
      <c r="C157" s="110">
        <v>148</v>
      </c>
      <c r="D157" s="340"/>
      <c r="E157" s="121"/>
      <c r="F157" s="362" t="str">
        <f>IF(D157="","",VLOOKUP(D157,'G-7 WaterC'' Data'!$B$2:$G$8,2,FALSE))</f>
        <v/>
      </c>
      <c r="G157" s="363" t="str">
        <f>IFERROR(VLOOKUP(F157,'G-7 WaterC'' Data'!$C$4:$D$8,2,FALSE),"")</f>
        <v/>
      </c>
      <c r="H157" s="114"/>
      <c r="I157" s="363" t="str">
        <f>IFERROR(INDEX('G-7 WaterC'' Data'!$H$4:$L$8,MATCH(D157,'G-7 WaterC'' Data'!$B$4:$B$8,0),MATCH(H157,'G-7 WaterC'' Data'!$H$3:$L$3,0)),"")</f>
        <v/>
      </c>
      <c r="J157" s="115"/>
      <c r="K157" s="382" t="str">
        <f>IF(J157="","",IF(VLOOKUP(J157,'G-7 WaterC'' Data'!$AK$4:$AM$9,2,FALSE)=0,"Spatial Data Missing ⚠",VLOOKUP(J157,'G-7 WaterC'' Data'!$AK$4:$AM$6,2,FALSE)))</f>
        <v/>
      </c>
      <c r="L157" s="386" t="str">
        <f>IF(J157="","",IF(VLOOKUP(J157,'G-7 WaterC'' Data'!$AK$4:$AM$9,3,FALSE)=0,"Spatial Data Missing ⚠",VLOOKUP(J157,'G-7 WaterC'' Data'!$AK$4:$AM$6,3,FALSE)))</f>
        <v/>
      </c>
      <c r="M157" s="115"/>
      <c r="N157" s="363" t="str">
        <f>IF(M157="","",IF(VLOOKUP(M157,'G-7 WaterC'' Data'!$AA$4:$AB$7,2,FALSE)=0,"Spatial Data Missing ⚠",VLOOKUP(M157,'G-7 WaterC'' Data'!$AA$4:$AB$7,2,FALSE)))</f>
        <v/>
      </c>
      <c r="O157" s="60"/>
      <c r="P157" s="363" t="str">
        <f>IF(O157="","",IF(VLOOKUP(O157,'G-7 WaterC'' Data'!$AD$4:$AE$14,2,FALSE)=0,"Spatial Data Missing ⚠",VLOOKUP(O157,'G-7 WaterC'' Data'!$AD$4:$AE$14,2,FALSE)))</f>
        <v/>
      </c>
      <c r="Q157" s="369" t="str">
        <f>IF(D157="","",VLOOKUP(D157,'G-7 WaterC'' Data'!$B$4:$G$8,6,FALSE))</f>
        <v/>
      </c>
      <c r="R157" s="376" t="str">
        <f>IFERROR(IF(D157="","",IF(AND(Q157='G-1 All Habitats'!$X$3,X157&gt;0),Y157+(Z157*T157),IF(AND(Q157='G-1 All Habitats'!$X$3,W157&gt;0),Y157+(Z157*T157),IF(AND(Q157='G-1 All Habitats'!$X$3,AH157&gt;0),"Any Loss Unacceptable ⚠",IF(AND(Q157='G-1 All Habitats'!$X$3,AI157&gt;0),"Any Loss Unacceptable ⚠", E157*G157*I157*L157*N157*P157*T157 ))))),"Check Data ▲")</f>
        <v/>
      </c>
      <c r="S157" s="516"/>
      <c r="T157" s="368" t="str">
        <f>IF(S157="","",IF(VLOOKUP(S157,'G-7 WaterC'' Data'!$AO$4:$BO$7,2,FALSE)=0,"Spatial Data Missing ⚠",VLOOKUP(S157,'G-7 WaterC'' Data'!$AO$4:$BO$7,2,FALSE)))</f>
        <v/>
      </c>
      <c r="U157" s="376" t="str">
        <f>IFERROR(IF(D157="","",IF(AND(Q157='G-1 All Habitats'!$X$3,X157&gt;0),Y157+Z157,IF(AND(Q157='G-1 All Habitats'!$X$3,W157&gt;0),Y157+Z157,IF(AND(Q157='G-1 All Habitats'!$X$3,AH157&gt;0),"Any Loss Unacceptable ⚠",IF(AND(Q157='G-1 All Habitats'!$X$3,AI157&gt;0),"Any Loss Unacceptable ⚠", E157*G157*I157*L157*N157*P157 ))))),"Check Data ▲")</f>
        <v/>
      </c>
      <c r="V157" s="32"/>
      <c r="W157" s="114"/>
      <c r="X157" s="125"/>
      <c r="Y157" s="374" t="str">
        <f t="shared" si="16"/>
        <v/>
      </c>
      <c r="Z157" s="374" t="str">
        <f t="shared" si="17"/>
        <v/>
      </c>
      <c r="AA157" s="374" t="str">
        <f t="shared" si="18"/>
        <v/>
      </c>
      <c r="AB157" s="670" t="str">
        <f t="shared" si="19"/>
        <v/>
      </c>
      <c r="AC157" s="516"/>
      <c r="AD157" s="119"/>
      <c r="AE157" s="120"/>
      <c r="AF157" s="120"/>
      <c r="AG157" s="120"/>
      <c r="AH157" s="57" t="str">
        <f>IF(Q157="","",IF(Q157='G-1 All Habitats'!$X$3,E157-X157-W157,"None"))</f>
        <v/>
      </c>
      <c r="AI157" s="58" t="str">
        <f>IF(Q157="","", IF(Q157='G-1 All Habitats'!$X$3, AH157*G157*I157*L157*N157*P157,"None"))</f>
        <v/>
      </c>
      <c r="AJ157" s="30" t="str">
        <f>IFERROR(INDEX('G-7 WaterC'' Data'!$AZ$3:$AZ$7,MATCH(D157,'G-7 WaterC'' Data'!$AY$3:$AY$7,0)),"")</f>
        <v/>
      </c>
      <c r="AK157" s="30">
        <f t="shared" si="20"/>
        <v>0</v>
      </c>
      <c r="AL157" s="124" t="str">
        <f t="shared" si="21"/>
        <v/>
      </c>
      <c r="AM157" s="124" t="str">
        <f t="shared" si="22"/>
        <v/>
      </c>
      <c r="AO157" s="124">
        <v>148</v>
      </c>
      <c r="AQ157" s="124" t="str">
        <f t="array" ref="AQ157">IFERROR(INDEX($AO$10:$AO$258, MATCH(0, IF(TRUE=$AL$10:$AL$258, COUNTIF($AQ$9:$AQ156, $AO$10:$AO$258), ""), 0)),"")</f>
        <v/>
      </c>
      <c r="AR157" s="124" t="str">
        <f t="array" ref="AR157">IFERROR(INDEX($AO$10:$AO$258, MATCH(0, IF(TRUE=$AM$10:$AM$258, COUNTIF($AR$9:$AR156, $AO$10:$AO$258), ""), 0)),"")</f>
        <v/>
      </c>
      <c r="AZ157" s="802" t="str">
        <f t="shared" si="23"/>
        <v/>
      </c>
    </row>
    <row r="158" spans="3:52" ht="15.75" thickBot="1">
      <c r="C158" s="110">
        <v>149</v>
      </c>
      <c r="D158" s="340"/>
      <c r="E158" s="121"/>
      <c r="F158" s="362" t="str">
        <f>IF(D158="","",VLOOKUP(D158,'G-7 WaterC'' Data'!$B$2:$G$8,2,FALSE))</f>
        <v/>
      </c>
      <c r="G158" s="363" t="str">
        <f>IFERROR(VLOOKUP(F158,'G-7 WaterC'' Data'!$C$4:$D$8,2,FALSE),"")</f>
        <v/>
      </c>
      <c r="H158" s="114"/>
      <c r="I158" s="363" t="str">
        <f>IFERROR(INDEX('G-7 WaterC'' Data'!$H$4:$L$8,MATCH(D158,'G-7 WaterC'' Data'!$B$4:$B$8,0),MATCH(H158,'G-7 WaterC'' Data'!$H$3:$L$3,0)),"")</f>
        <v/>
      </c>
      <c r="J158" s="115"/>
      <c r="K158" s="382" t="str">
        <f>IF(J158="","",IF(VLOOKUP(J158,'G-7 WaterC'' Data'!$AK$4:$AM$9,2,FALSE)=0,"Spatial Data Missing ⚠",VLOOKUP(J158,'G-7 WaterC'' Data'!$AK$4:$AM$6,2,FALSE)))</f>
        <v/>
      </c>
      <c r="L158" s="386" t="str">
        <f>IF(J158="","",IF(VLOOKUP(J158,'G-7 WaterC'' Data'!$AK$4:$AM$9,3,FALSE)=0,"Spatial Data Missing ⚠",VLOOKUP(J158,'G-7 WaterC'' Data'!$AK$4:$AM$6,3,FALSE)))</f>
        <v/>
      </c>
      <c r="M158" s="115"/>
      <c r="N158" s="363" t="str">
        <f>IF(M158="","",IF(VLOOKUP(M158,'G-7 WaterC'' Data'!$AA$4:$AB$7,2,FALSE)=0,"Spatial Data Missing ⚠",VLOOKUP(M158,'G-7 WaterC'' Data'!$AA$4:$AB$7,2,FALSE)))</f>
        <v/>
      </c>
      <c r="O158" s="60"/>
      <c r="P158" s="363" t="str">
        <f>IF(O158="","",IF(VLOOKUP(O158,'G-7 WaterC'' Data'!$AD$4:$AE$14,2,FALSE)=0,"Spatial Data Missing ⚠",VLOOKUP(O158,'G-7 WaterC'' Data'!$AD$4:$AE$14,2,FALSE)))</f>
        <v/>
      </c>
      <c r="Q158" s="369" t="str">
        <f>IF(D158="","",VLOOKUP(D158,'G-7 WaterC'' Data'!$B$4:$G$8,6,FALSE))</f>
        <v/>
      </c>
      <c r="R158" s="376" t="str">
        <f>IFERROR(IF(D158="","",IF(AND(Q158='G-1 All Habitats'!$X$3,X158&gt;0),Y158+(Z158*T158),IF(AND(Q158='G-1 All Habitats'!$X$3,W158&gt;0),Y158+(Z158*T158),IF(AND(Q158='G-1 All Habitats'!$X$3,AH158&gt;0),"Any Loss Unacceptable ⚠",IF(AND(Q158='G-1 All Habitats'!$X$3,AI158&gt;0),"Any Loss Unacceptable ⚠", E158*G158*I158*L158*N158*P158*T158 ))))),"Check Data ▲")</f>
        <v/>
      </c>
      <c r="S158" s="516"/>
      <c r="T158" s="368" t="str">
        <f>IF(S158="","",IF(VLOOKUP(S158,'G-7 WaterC'' Data'!$AO$4:$BO$7,2,FALSE)=0,"Spatial Data Missing ⚠",VLOOKUP(S158,'G-7 WaterC'' Data'!$AO$4:$BO$7,2,FALSE)))</f>
        <v/>
      </c>
      <c r="U158" s="376" t="str">
        <f>IFERROR(IF(D158="","",IF(AND(Q158='G-1 All Habitats'!$X$3,X158&gt;0),Y158+Z158,IF(AND(Q158='G-1 All Habitats'!$X$3,W158&gt;0),Y158+Z158,IF(AND(Q158='G-1 All Habitats'!$X$3,AH158&gt;0),"Any Loss Unacceptable ⚠",IF(AND(Q158='G-1 All Habitats'!$X$3,AI158&gt;0),"Any Loss Unacceptable ⚠", E158*G158*I158*L158*N158*P158 ))))),"Check Data ▲")</f>
        <v/>
      </c>
      <c r="V158" s="32"/>
      <c r="W158" s="114"/>
      <c r="X158" s="125"/>
      <c r="Y158" s="374" t="str">
        <f t="shared" si="16"/>
        <v/>
      </c>
      <c r="Z158" s="374" t="str">
        <f t="shared" si="17"/>
        <v/>
      </c>
      <c r="AA158" s="374" t="str">
        <f t="shared" si="18"/>
        <v/>
      </c>
      <c r="AB158" s="670" t="str">
        <f t="shared" si="19"/>
        <v/>
      </c>
      <c r="AC158" s="516"/>
      <c r="AD158" s="119"/>
      <c r="AE158" s="120"/>
      <c r="AF158" s="120"/>
      <c r="AG158" s="120"/>
      <c r="AH158" s="57" t="str">
        <f>IF(Q158="","",IF(Q158='G-1 All Habitats'!$X$3,E158-X158-W158,"None"))</f>
        <v/>
      </c>
      <c r="AI158" s="58" t="str">
        <f>IF(Q158="","", IF(Q158='G-1 All Habitats'!$X$3, AH158*G158*I158*L158*N158*P158,"None"))</f>
        <v/>
      </c>
      <c r="AJ158" s="30" t="str">
        <f>IFERROR(INDEX('G-7 WaterC'' Data'!$AZ$3:$AZ$7,MATCH(D158,'G-7 WaterC'' Data'!$AY$3:$AY$7,0)),"")</f>
        <v/>
      </c>
      <c r="AK158" s="30">
        <f t="shared" si="20"/>
        <v>0</v>
      </c>
      <c r="AL158" s="124" t="str">
        <f t="shared" si="21"/>
        <v/>
      </c>
      <c r="AM158" s="124" t="str">
        <f t="shared" si="22"/>
        <v/>
      </c>
      <c r="AO158" s="124">
        <v>149</v>
      </c>
      <c r="AQ158" s="124" t="str">
        <f t="array" ref="AQ158">IFERROR(INDEX($AO$10:$AO$258, MATCH(0, IF(TRUE=$AL$10:$AL$258, COUNTIF($AQ$9:$AQ157, $AO$10:$AO$258), ""), 0)),"")</f>
        <v/>
      </c>
      <c r="AR158" s="124" t="str">
        <f t="array" ref="AR158">IFERROR(INDEX($AO$10:$AO$258, MATCH(0, IF(TRUE=$AM$10:$AM$258, COUNTIF($AR$9:$AR157, $AO$10:$AO$258), ""), 0)),"")</f>
        <v/>
      </c>
      <c r="AZ158" s="802" t="str">
        <f t="shared" si="23"/>
        <v/>
      </c>
    </row>
    <row r="159" spans="3:52" ht="15.75" thickBot="1">
      <c r="C159" s="110">
        <v>150</v>
      </c>
      <c r="D159" s="340"/>
      <c r="E159" s="121"/>
      <c r="F159" s="362" t="str">
        <f>IF(D159="","",VLOOKUP(D159,'G-7 WaterC'' Data'!$B$2:$G$8,2,FALSE))</f>
        <v/>
      </c>
      <c r="G159" s="363" t="str">
        <f>IFERROR(VLOOKUP(F159,'G-7 WaterC'' Data'!$C$4:$D$8,2,FALSE),"")</f>
        <v/>
      </c>
      <c r="H159" s="114"/>
      <c r="I159" s="363" t="str">
        <f>IFERROR(INDEX('G-7 WaterC'' Data'!$H$4:$L$8,MATCH(D159,'G-7 WaterC'' Data'!$B$4:$B$8,0),MATCH(H159,'G-7 WaterC'' Data'!$H$3:$L$3,0)),"")</f>
        <v/>
      </c>
      <c r="J159" s="115"/>
      <c r="K159" s="382" t="str">
        <f>IF(J159="","",IF(VLOOKUP(J159,'G-7 WaterC'' Data'!$AK$4:$AM$9,2,FALSE)=0,"Spatial Data Missing ⚠",VLOOKUP(J159,'G-7 WaterC'' Data'!$AK$4:$AM$6,2,FALSE)))</f>
        <v/>
      </c>
      <c r="L159" s="386" t="str">
        <f>IF(J159="","",IF(VLOOKUP(J159,'G-7 WaterC'' Data'!$AK$4:$AM$9,3,FALSE)=0,"Spatial Data Missing ⚠",VLOOKUP(J159,'G-7 WaterC'' Data'!$AK$4:$AM$6,3,FALSE)))</f>
        <v/>
      </c>
      <c r="M159" s="115"/>
      <c r="N159" s="363" t="str">
        <f>IF(M159="","",IF(VLOOKUP(M159,'G-7 WaterC'' Data'!$AA$4:$AB$7,2,FALSE)=0,"Spatial Data Missing ⚠",VLOOKUP(M159,'G-7 WaterC'' Data'!$AA$4:$AB$7,2,FALSE)))</f>
        <v/>
      </c>
      <c r="O159" s="60"/>
      <c r="P159" s="363" t="str">
        <f>IF(O159="","",IF(VLOOKUP(O159,'G-7 WaterC'' Data'!$AD$4:$AE$14,2,FALSE)=0,"Spatial Data Missing ⚠",VLOOKUP(O159,'G-7 WaterC'' Data'!$AD$4:$AE$14,2,FALSE)))</f>
        <v/>
      </c>
      <c r="Q159" s="369" t="str">
        <f>IF(D159="","",VLOOKUP(D159,'G-7 WaterC'' Data'!$B$4:$G$8,6,FALSE))</f>
        <v/>
      </c>
      <c r="R159" s="376" t="str">
        <f>IFERROR(IF(D159="","",IF(AND(Q159='G-1 All Habitats'!$X$3,X159&gt;0),Y159+(Z159*T159),IF(AND(Q159='G-1 All Habitats'!$X$3,W159&gt;0),Y159+(Z159*T159),IF(AND(Q159='G-1 All Habitats'!$X$3,AH159&gt;0),"Any Loss Unacceptable ⚠",IF(AND(Q159='G-1 All Habitats'!$X$3,AI159&gt;0),"Any Loss Unacceptable ⚠", E159*G159*I159*L159*N159*P159*T159 ))))),"Check Data ▲")</f>
        <v/>
      </c>
      <c r="S159" s="516"/>
      <c r="T159" s="368" t="str">
        <f>IF(S159="","",IF(VLOOKUP(S159,'G-7 WaterC'' Data'!$AO$4:$BO$7,2,FALSE)=0,"Spatial Data Missing ⚠",VLOOKUP(S159,'G-7 WaterC'' Data'!$AO$4:$BO$7,2,FALSE)))</f>
        <v/>
      </c>
      <c r="U159" s="376" t="str">
        <f>IFERROR(IF(D159="","",IF(AND(Q159='G-1 All Habitats'!$X$3,X159&gt;0),Y159+Z159,IF(AND(Q159='G-1 All Habitats'!$X$3,W159&gt;0),Y159+Z159,IF(AND(Q159='G-1 All Habitats'!$X$3,AH159&gt;0),"Any Loss Unacceptable ⚠",IF(AND(Q159='G-1 All Habitats'!$X$3,AI159&gt;0),"Any Loss Unacceptable ⚠", E159*G159*I159*L159*N159*P159 ))))),"Check Data ▲")</f>
        <v/>
      </c>
      <c r="V159" s="32"/>
      <c r="W159" s="114"/>
      <c r="X159" s="125"/>
      <c r="Y159" s="374" t="str">
        <f t="shared" si="16"/>
        <v/>
      </c>
      <c r="Z159" s="374" t="str">
        <f t="shared" si="17"/>
        <v/>
      </c>
      <c r="AA159" s="374" t="str">
        <f t="shared" si="18"/>
        <v/>
      </c>
      <c r="AB159" s="670" t="str">
        <f t="shared" si="19"/>
        <v/>
      </c>
      <c r="AC159" s="516"/>
      <c r="AD159" s="119"/>
      <c r="AE159" s="120"/>
      <c r="AF159" s="120"/>
      <c r="AG159" s="120"/>
      <c r="AH159" s="57" t="str">
        <f>IF(Q159="","",IF(Q159='G-1 All Habitats'!$X$3,E159-X159-W159,"None"))</f>
        <v/>
      </c>
      <c r="AI159" s="58" t="str">
        <f>IF(Q159="","", IF(Q159='G-1 All Habitats'!$X$3, AH159*G159*I159*L159*N159*P159,"None"))</f>
        <v/>
      </c>
      <c r="AJ159" s="30" t="str">
        <f>IFERROR(INDEX('G-7 WaterC'' Data'!$AZ$3:$AZ$7,MATCH(D159,'G-7 WaterC'' Data'!$AY$3:$AY$7,0)),"")</f>
        <v/>
      </c>
      <c r="AK159" s="30">
        <f t="shared" si="20"/>
        <v>0</v>
      </c>
      <c r="AL159" s="124" t="str">
        <f t="shared" si="21"/>
        <v/>
      </c>
      <c r="AM159" s="124" t="str">
        <f t="shared" si="22"/>
        <v/>
      </c>
      <c r="AO159" s="124">
        <v>150</v>
      </c>
      <c r="AQ159" s="124" t="str">
        <f t="array" ref="AQ159">IFERROR(INDEX($AO$10:$AO$258, MATCH(0, IF(TRUE=$AL$10:$AL$258, COUNTIF($AQ$9:$AQ158, $AO$10:$AO$258), ""), 0)),"")</f>
        <v/>
      </c>
      <c r="AR159" s="124" t="str">
        <f t="array" ref="AR159">IFERROR(INDEX($AO$10:$AO$258, MATCH(0, IF(TRUE=$AM$10:$AM$258, COUNTIF($AR$9:$AR158, $AO$10:$AO$258), ""), 0)),"")</f>
        <v/>
      </c>
      <c r="AZ159" s="802" t="str">
        <f t="shared" si="23"/>
        <v/>
      </c>
    </row>
    <row r="160" spans="3:52" ht="15.75" thickBot="1">
      <c r="C160" s="110">
        <v>151</v>
      </c>
      <c r="D160" s="340"/>
      <c r="E160" s="121"/>
      <c r="F160" s="362" t="str">
        <f>IF(D160="","",VLOOKUP(D160,'G-7 WaterC'' Data'!$B$2:$G$8,2,FALSE))</f>
        <v/>
      </c>
      <c r="G160" s="363" t="str">
        <f>IFERROR(VLOOKUP(F160,'G-7 WaterC'' Data'!$C$4:$D$8,2,FALSE),"")</f>
        <v/>
      </c>
      <c r="H160" s="114"/>
      <c r="I160" s="363" t="str">
        <f>IFERROR(INDEX('G-7 WaterC'' Data'!$H$4:$L$8,MATCH(D160,'G-7 WaterC'' Data'!$B$4:$B$8,0),MATCH(H160,'G-7 WaterC'' Data'!$H$3:$L$3,0)),"")</f>
        <v/>
      </c>
      <c r="J160" s="115"/>
      <c r="K160" s="382" t="str">
        <f>IF(J160="","",IF(VLOOKUP(J160,'G-7 WaterC'' Data'!$AK$4:$AM$9,2,FALSE)=0,"Spatial Data Missing ⚠",VLOOKUP(J160,'G-7 WaterC'' Data'!$AK$4:$AM$6,2,FALSE)))</f>
        <v/>
      </c>
      <c r="L160" s="386" t="str">
        <f>IF(J160="","",IF(VLOOKUP(J160,'G-7 WaterC'' Data'!$AK$4:$AM$9,3,FALSE)=0,"Spatial Data Missing ⚠",VLOOKUP(J160,'G-7 WaterC'' Data'!$AK$4:$AM$6,3,FALSE)))</f>
        <v/>
      </c>
      <c r="M160" s="115"/>
      <c r="N160" s="363" t="str">
        <f>IF(M160="","",IF(VLOOKUP(M160,'G-7 WaterC'' Data'!$AA$4:$AB$7,2,FALSE)=0,"Spatial Data Missing ⚠",VLOOKUP(M160,'G-7 WaterC'' Data'!$AA$4:$AB$7,2,FALSE)))</f>
        <v/>
      </c>
      <c r="O160" s="60"/>
      <c r="P160" s="363" t="str">
        <f>IF(O160="","",IF(VLOOKUP(O160,'G-7 WaterC'' Data'!$AD$4:$AE$14,2,FALSE)=0,"Spatial Data Missing ⚠",VLOOKUP(O160,'G-7 WaterC'' Data'!$AD$4:$AE$14,2,FALSE)))</f>
        <v/>
      </c>
      <c r="Q160" s="369" t="str">
        <f>IF(D160="","",VLOOKUP(D160,'G-7 WaterC'' Data'!$B$4:$G$8,6,FALSE))</f>
        <v/>
      </c>
      <c r="R160" s="376" t="str">
        <f>IFERROR(IF(D160="","",IF(AND(Q160='G-1 All Habitats'!$X$3,X160&gt;0),Y160+(Z160*T160),IF(AND(Q160='G-1 All Habitats'!$X$3,W160&gt;0),Y160+(Z160*T160),IF(AND(Q160='G-1 All Habitats'!$X$3,AH160&gt;0),"Any Loss Unacceptable ⚠",IF(AND(Q160='G-1 All Habitats'!$X$3,AI160&gt;0),"Any Loss Unacceptable ⚠", E160*G160*I160*L160*N160*P160*T160 ))))),"Check Data ▲")</f>
        <v/>
      </c>
      <c r="S160" s="516"/>
      <c r="T160" s="368" t="str">
        <f>IF(S160="","",IF(VLOOKUP(S160,'G-7 WaterC'' Data'!$AO$4:$BO$7,2,FALSE)=0,"Spatial Data Missing ⚠",VLOOKUP(S160,'G-7 WaterC'' Data'!$AO$4:$BO$7,2,FALSE)))</f>
        <v/>
      </c>
      <c r="U160" s="376" t="str">
        <f>IFERROR(IF(D160="","",IF(AND(Q160='G-1 All Habitats'!$X$3,X160&gt;0),Y160+Z160,IF(AND(Q160='G-1 All Habitats'!$X$3,W160&gt;0),Y160+Z160,IF(AND(Q160='G-1 All Habitats'!$X$3,AH160&gt;0),"Any Loss Unacceptable ⚠",IF(AND(Q160='G-1 All Habitats'!$X$3,AI160&gt;0),"Any Loss Unacceptable ⚠", E160*G160*I160*L160*N160*P160 ))))),"Check Data ▲")</f>
        <v/>
      </c>
      <c r="V160" s="32"/>
      <c r="W160" s="114"/>
      <c r="X160" s="125"/>
      <c r="Y160" s="374" t="str">
        <f t="shared" si="16"/>
        <v/>
      </c>
      <c r="Z160" s="374" t="str">
        <f t="shared" si="17"/>
        <v/>
      </c>
      <c r="AA160" s="374" t="str">
        <f t="shared" si="18"/>
        <v/>
      </c>
      <c r="AB160" s="670" t="str">
        <f t="shared" si="19"/>
        <v/>
      </c>
      <c r="AC160" s="516"/>
      <c r="AD160" s="119"/>
      <c r="AE160" s="120"/>
      <c r="AF160" s="120"/>
      <c r="AG160" s="120"/>
      <c r="AH160" s="57" t="str">
        <f>IF(Q160="","",IF(Q160='G-1 All Habitats'!$X$3,E160-X160-W160,"None"))</f>
        <v/>
      </c>
      <c r="AI160" s="58" t="str">
        <f>IF(Q160="","", IF(Q160='G-1 All Habitats'!$X$3, AH160*G160*I160*L160*N160*P160,"None"))</f>
        <v/>
      </c>
      <c r="AJ160" s="30" t="str">
        <f>IFERROR(INDEX('G-7 WaterC'' Data'!$AZ$3:$AZ$7,MATCH(D160,'G-7 WaterC'' Data'!$AY$3:$AY$7,0)),"")</f>
        <v/>
      </c>
      <c r="AK160" s="30">
        <f t="shared" si="20"/>
        <v>0</v>
      </c>
      <c r="AL160" s="124" t="str">
        <f t="shared" si="21"/>
        <v/>
      </c>
      <c r="AM160" s="124" t="str">
        <f t="shared" si="22"/>
        <v/>
      </c>
      <c r="AO160" s="124">
        <v>151</v>
      </c>
      <c r="AQ160" s="124" t="str">
        <f t="array" ref="AQ160">IFERROR(INDEX($AO$10:$AO$258, MATCH(0, IF(TRUE=$AL$10:$AL$258, COUNTIF($AQ$9:$AQ159, $AO$10:$AO$258), ""), 0)),"")</f>
        <v/>
      </c>
      <c r="AR160" s="124" t="str">
        <f t="array" ref="AR160">IFERROR(INDEX($AO$10:$AO$258, MATCH(0, IF(TRUE=$AM$10:$AM$258, COUNTIF($AR$9:$AR159, $AO$10:$AO$258), ""), 0)),"")</f>
        <v/>
      </c>
      <c r="AZ160" s="802" t="str">
        <f t="shared" si="23"/>
        <v/>
      </c>
    </row>
    <row r="161" spans="3:52" ht="15.75" thickBot="1">
      <c r="C161" s="110">
        <v>152</v>
      </c>
      <c r="D161" s="340"/>
      <c r="E161" s="121"/>
      <c r="F161" s="362" t="str">
        <f>IF(D161="","",VLOOKUP(D161,'G-7 WaterC'' Data'!$B$2:$G$8,2,FALSE))</f>
        <v/>
      </c>
      <c r="G161" s="363" t="str">
        <f>IFERROR(VLOOKUP(F161,'G-7 WaterC'' Data'!$C$4:$D$8,2,FALSE),"")</f>
        <v/>
      </c>
      <c r="H161" s="114"/>
      <c r="I161" s="363" t="str">
        <f>IFERROR(INDEX('G-7 WaterC'' Data'!$H$4:$L$8,MATCH(D161,'G-7 WaterC'' Data'!$B$4:$B$8,0),MATCH(H161,'G-7 WaterC'' Data'!$H$3:$L$3,0)),"")</f>
        <v/>
      </c>
      <c r="J161" s="115"/>
      <c r="K161" s="382" t="str">
        <f>IF(J161="","",IF(VLOOKUP(J161,'G-7 WaterC'' Data'!$AK$4:$AM$9,2,FALSE)=0,"Spatial Data Missing ⚠",VLOOKUP(J161,'G-7 WaterC'' Data'!$AK$4:$AM$6,2,FALSE)))</f>
        <v/>
      </c>
      <c r="L161" s="386" t="str">
        <f>IF(J161="","",IF(VLOOKUP(J161,'G-7 WaterC'' Data'!$AK$4:$AM$9,3,FALSE)=0,"Spatial Data Missing ⚠",VLOOKUP(J161,'G-7 WaterC'' Data'!$AK$4:$AM$6,3,FALSE)))</f>
        <v/>
      </c>
      <c r="M161" s="115"/>
      <c r="N161" s="363" t="str">
        <f>IF(M161="","",IF(VLOOKUP(M161,'G-7 WaterC'' Data'!$AA$4:$AB$7,2,FALSE)=0,"Spatial Data Missing ⚠",VLOOKUP(M161,'G-7 WaterC'' Data'!$AA$4:$AB$7,2,FALSE)))</f>
        <v/>
      </c>
      <c r="O161" s="60"/>
      <c r="P161" s="363" t="str">
        <f>IF(O161="","",IF(VLOOKUP(O161,'G-7 WaterC'' Data'!$AD$4:$AE$14,2,FALSE)=0,"Spatial Data Missing ⚠",VLOOKUP(O161,'G-7 WaterC'' Data'!$AD$4:$AE$14,2,FALSE)))</f>
        <v/>
      </c>
      <c r="Q161" s="369" t="str">
        <f>IF(D161="","",VLOOKUP(D161,'G-7 WaterC'' Data'!$B$4:$G$8,6,FALSE))</f>
        <v/>
      </c>
      <c r="R161" s="376" t="str">
        <f>IFERROR(IF(D161="","",IF(AND(Q161='G-1 All Habitats'!$X$3,X161&gt;0),Y161+(Z161*T161),IF(AND(Q161='G-1 All Habitats'!$X$3,W161&gt;0),Y161+(Z161*T161),IF(AND(Q161='G-1 All Habitats'!$X$3,AH161&gt;0),"Any Loss Unacceptable ⚠",IF(AND(Q161='G-1 All Habitats'!$X$3,AI161&gt;0),"Any Loss Unacceptable ⚠", E161*G161*I161*L161*N161*P161*T161 ))))),"Check Data ▲")</f>
        <v/>
      </c>
      <c r="S161" s="516"/>
      <c r="T161" s="368" t="str">
        <f>IF(S161="","",IF(VLOOKUP(S161,'G-7 WaterC'' Data'!$AO$4:$BO$7,2,FALSE)=0,"Spatial Data Missing ⚠",VLOOKUP(S161,'G-7 WaterC'' Data'!$AO$4:$BO$7,2,FALSE)))</f>
        <v/>
      </c>
      <c r="U161" s="376" t="str">
        <f>IFERROR(IF(D161="","",IF(AND(Q161='G-1 All Habitats'!$X$3,X161&gt;0),Y161+Z161,IF(AND(Q161='G-1 All Habitats'!$X$3,W161&gt;0),Y161+Z161,IF(AND(Q161='G-1 All Habitats'!$X$3,AH161&gt;0),"Any Loss Unacceptable ⚠",IF(AND(Q161='G-1 All Habitats'!$X$3,AI161&gt;0),"Any Loss Unacceptable ⚠", E161*G161*I161*L161*N161*P161 ))))),"Check Data ▲")</f>
        <v/>
      </c>
      <c r="V161" s="32"/>
      <c r="W161" s="114"/>
      <c r="X161" s="125"/>
      <c r="Y161" s="374" t="str">
        <f t="shared" si="16"/>
        <v/>
      </c>
      <c r="Z161" s="374" t="str">
        <f t="shared" si="17"/>
        <v/>
      </c>
      <c r="AA161" s="374" t="str">
        <f t="shared" si="18"/>
        <v/>
      </c>
      <c r="AB161" s="670" t="str">
        <f t="shared" si="19"/>
        <v/>
      </c>
      <c r="AC161" s="516"/>
      <c r="AD161" s="119"/>
      <c r="AE161" s="120"/>
      <c r="AF161" s="120"/>
      <c r="AG161" s="120"/>
      <c r="AH161" s="57" t="str">
        <f>IF(Q161="","",IF(Q161='G-1 All Habitats'!$X$3,E161-X161-W161,"None"))</f>
        <v/>
      </c>
      <c r="AI161" s="58" t="str">
        <f>IF(Q161="","", IF(Q161='G-1 All Habitats'!$X$3, AH161*G161*I161*L161*N161*P161,"None"))</f>
        <v/>
      </c>
      <c r="AJ161" s="30" t="str">
        <f>IFERROR(INDEX('G-7 WaterC'' Data'!$AZ$3:$AZ$7,MATCH(D161,'G-7 WaterC'' Data'!$AY$3:$AY$7,0)),"")</f>
        <v/>
      </c>
      <c r="AK161" s="30">
        <f t="shared" si="20"/>
        <v>0</v>
      </c>
      <c r="AL161" s="124" t="str">
        <f t="shared" si="21"/>
        <v/>
      </c>
      <c r="AM161" s="124" t="str">
        <f t="shared" si="22"/>
        <v/>
      </c>
      <c r="AO161" s="124">
        <v>152</v>
      </c>
      <c r="AQ161" s="124" t="str">
        <f t="array" ref="AQ161">IFERROR(INDEX($AO$10:$AO$258, MATCH(0, IF(TRUE=$AL$10:$AL$258, COUNTIF($AQ$9:$AQ160, $AO$10:$AO$258), ""), 0)),"")</f>
        <v/>
      </c>
      <c r="AR161" s="124" t="str">
        <f t="array" ref="AR161">IFERROR(INDEX($AO$10:$AO$258, MATCH(0, IF(TRUE=$AM$10:$AM$258, COUNTIF($AR$9:$AR160, $AO$10:$AO$258), ""), 0)),"")</f>
        <v/>
      </c>
      <c r="AZ161" s="802" t="str">
        <f t="shared" si="23"/>
        <v/>
      </c>
    </row>
    <row r="162" spans="3:52" ht="15.75" thickBot="1">
      <c r="C162" s="110">
        <v>153</v>
      </c>
      <c r="D162" s="340"/>
      <c r="E162" s="121"/>
      <c r="F162" s="362" t="str">
        <f>IF(D162="","",VLOOKUP(D162,'G-7 WaterC'' Data'!$B$2:$G$8,2,FALSE))</f>
        <v/>
      </c>
      <c r="G162" s="363" t="str">
        <f>IFERROR(VLOOKUP(F162,'G-7 WaterC'' Data'!$C$4:$D$8,2,FALSE),"")</f>
        <v/>
      </c>
      <c r="H162" s="114"/>
      <c r="I162" s="363" t="str">
        <f>IFERROR(INDEX('G-7 WaterC'' Data'!$H$4:$L$8,MATCH(D162,'G-7 WaterC'' Data'!$B$4:$B$8,0),MATCH(H162,'G-7 WaterC'' Data'!$H$3:$L$3,0)),"")</f>
        <v/>
      </c>
      <c r="J162" s="115"/>
      <c r="K162" s="382" t="str">
        <f>IF(J162="","",IF(VLOOKUP(J162,'G-7 WaterC'' Data'!$AK$4:$AM$9,2,FALSE)=0,"Spatial Data Missing ⚠",VLOOKUP(J162,'G-7 WaterC'' Data'!$AK$4:$AM$6,2,FALSE)))</f>
        <v/>
      </c>
      <c r="L162" s="386" t="str">
        <f>IF(J162="","",IF(VLOOKUP(J162,'G-7 WaterC'' Data'!$AK$4:$AM$9,3,FALSE)=0,"Spatial Data Missing ⚠",VLOOKUP(J162,'G-7 WaterC'' Data'!$AK$4:$AM$6,3,FALSE)))</f>
        <v/>
      </c>
      <c r="M162" s="115"/>
      <c r="N162" s="363" t="str">
        <f>IF(M162="","",IF(VLOOKUP(M162,'G-7 WaterC'' Data'!$AA$4:$AB$7,2,FALSE)=0,"Spatial Data Missing ⚠",VLOOKUP(M162,'G-7 WaterC'' Data'!$AA$4:$AB$7,2,FALSE)))</f>
        <v/>
      </c>
      <c r="O162" s="60"/>
      <c r="P162" s="363" t="str">
        <f>IF(O162="","",IF(VLOOKUP(O162,'G-7 WaterC'' Data'!$AD$4:$AE$14,2,FALSE)=0,"Spatial Data Missing ⚠",VLOOKUP(O162,'G-7 WaterC'' Data'!$AD$4:$AE$14,2,FALSE)))</f>
        <v/>
      </c>
      <c r="Q162" s="369" t="str">
        <f>IF(D162="","",VLOOKUP(D162,'G-7 WaterC'' Data'!$B$4:$G$8,6,FALSE))</f>
        <v/>
      </c>
      <c r="R162" s="376" t="str">
        <f>IFERROR(IF(D162="","",IF(AND(Q162='G-1 All Habitats'!$X$3,X162&gt;0),Y162+(Z162*T162),IF(AND(Q162='G-1 All Habitats'!$X$3,W162&gt;0),Y162+(Z162*T162),IF(AND(Q162='G-1 All Habitats'!$X$3,AH162&gt;0),"Any Loss Unacceptable ⚠",IF(AND(Q162='G-1 All Habitats'!$X$3,AI162&gt;0),"Any Loss Unacceptable ⚠", E162*G162*I162*L162*N162*P162*T162 ))))),"Check Data ▲")</f>
        <v/>
      </c>
      <c r="S162" s="516"/>
      <c r="T162" s="368" t="str">
        <f>IF(S162="","",IF(VLOOKUP(S162,'G-7 WaterC'' Data'!$AO$4:$BO$7,2,FALSE)=0,"Spatial Data Missing ⚠",VLOOKUP(S162,'G-7 WaterC'' Data'!$AO$4:$BO$7,2,FALSE)))</f>
        <v/>
      </c>
      <c r="U162" s="376" t="str">
        <f>IFERROR(IF(D162="","",IF(AND(Q162='G-1 All Habitats'!$X$3,X162&gt;0),Y162+Z162,IF(AND(Q162='G-1 All Habitats'!$X$3,W162&gt;0),Y162+Z162,IF(AND(Q162='G-1 All Habitats'!$X$3,AH162&gt;0),"Any Loss Unacceptable ⚠",IF(AND(Q162='G-1 All Habitats'!$X$3,AI162&gt;0),"Any Loss Unacceptable ⚠", E162*G162*I162*L162*N162*P162 ))))),"Check Data ▲")</f>
        <v/>
      </c>
      <c r="V162" s="32"/>
      <c r="W162" s="114"/>
      <c r="X162" s="125"/>
      <c r="Y162" s="374" t="str">
        <f t="shared" si="16"/>
        <v/>
      </c>
      <c r="Z162" s="374" t="str">
        <f t="shared" si="17"/>
        <v/>
      </c>
      <c r="AA162" s="374" t="str">
        <f t="shared" si="18"/>
        <v/>
      </c>
      <c r="AB162" s="670" t="str">
        <f t="shared" si="19"/>
        <v/>
      </c>
      <c r="AC162" s="516"/>
      <c r="AD162" s="119"/>
      <c r="AE162" s="120"/>
      <c r="AF162" s="120"/>
      <c r="AG162" s="120"/>
      <c r="AH162" s="57" t="str">
        <f>IF(Q162="","",IF(Q162='G-1 All Habitats'!$X$3,E162-X162-W162,"None"))</f>
        <v/>
      </c>
      <c r="AI162" s="58" t="str">
        <f>IF(Q162="","", IF(Q162='G-1 All Habitats'!$X$3, AH162*G162*I162*L162*N162*P162,"None"))</f>
        <v/>
      </c>
      <c r="AJ162" s="30" t="str">
        <f>IFERROR(INDEX('G-7 WaterC'' Data'!$AZ$3:$AZ$7,MATCH(D162,'G-7 WaterC'' Data'!$AY$3:$AY$7,0)),"")</f>
        <v/>
      </c>
      <c r="AK162" s="30">
        <f t="shared" si="20"/>
        <v>0</v>
      </c>
      <c r="AL162" s="124" t="str">
        <f t="shared" si="21"/>
        <v/>
      </c>
      <c r="AM162" s="124" t="str">
        <f t="shared" si="22"/>
        <v/>
      </c>
      <c r="AO162" s="124">
        <v>153</v>
      </c>
      <c r="AQ162" s="124" t="str">
        <f t="array" ref="AQ162">IFERROR(INDEX($AO$10:$AO$258, MATCH(0, IF(TRUE=$AL$10:$AL$258, COUNTIF($AQ$9:$AQ161, $AO$10:$AO$258), ""), 0)),"")</f>
        <v/>
      </c>
      <c r="AR162" s="124" t="str">
        <f t="array" ref="AR162">IFERROR(INDEX($AO$10:$AO$258, MATCH(0, IF(TRUE=$AM$10:$AM$258, COUNTIF($AR$9:$AR161, $AO$10:$AO$258), ""), 0)),"")</f>
        <v/>
      </c>
      <c r="AZ162" s="802" t="str">
        <f t="shared" si="23"/>
        <v/>
      </c>
    </row>
    <row r="163" spans="3:52" ht="15.75" thickBot="1">
      <c r="C163" s="110">
        <v>154</v>
      </c>
      <c r="D163" s="340"/>
      <c r="E163" s="121"/>
      <c r="F163" s="362" t="str">
        <f>IF(D163="","",VLOOKUP(D163,'G-7 WaterC'' Data'!$B$2:$G$8,2,FALSE))</f>
        <v/>
      </c>
      <c r="G163" s="363" t="str">
        <f>IFERROR(VLOOKUP(F163,'G-7 WaterC'' Data'!$C$4:$D$8,2,FALSE),"")</f>
        <v/>
      </c>
      <c r="H163" s="114"/>
      <c r="I163" s="363" t="str">
        <f>IFERROR(INDEX('G-7 WaterC'' Data'!$H$4:$L$8,MATCH(D163,'G-7 WaterC'' Data'!$B$4:$B$8,0),MATCH(H163,'G-7 WaterC'' Data'!$H$3:$L$3,0)),"")</f>
        <v/>
      </c>
      <c r="J163" s="115"/>
      <c r="K163" s="382" t="str">
        <f>IF(J163="","",IF(VLOOKUP(J163,'G-7 WaterC'' Data'!$AK$4:$AM$9,2,FALSE)=0,"Spatial Data Missing ⚠",VLOOKUP(J163,'G-7 WaterC'' Data'!$AK$4:$AM$6,2,FALSE)))</f>
        <v/>
      </c>
      <c r="L163" s="386" t="str">
        <f>IF(J163="","",IF(VLOOKUP(J163,'G-7 WaterC'' Data'!$AK$4:$AM$9,3,FALSE)=0,"Spatial Data Missing ⚠",VLOOKUP(J163,'G-7 WaterC'' Data'!$AK$4:$AM$6,3,FALSE)))</f>
        <v/>
      </c>
      <c r="M163" s="115"/>
      <c r="N163" s="363" t="str">
        <f>IF(M163="","",IF(VLOOKUP(M163,'G-7 WaterC'' Data'!$AA$4:$AB$7,2,FALSE)=0,"Spatial Data Missing ⚠",VLOOKUP(M163,'G-7 WaterC'' Data'!$AA$4:$AB$7,2,FALSE)))</f>
        <v/>
      </c>
      <c r="O163" s="60"/>
      <c r="P163" s="363" t="str">
        <f>IF(O163="","",IF(VLOOKUP(O163,'G-7 WaterC'' Data'!$AD$4:$AE$14,2,FALSE)=0,"Spatial Data Missing ⚠",VLOOKUP(O163,'G-7 WaterC'' Data'!$AD$4:$AE$14,2,FALSE)))</f>
        <v/>
      </c>
      <c r="Q163" s="369" t="str">
        <f>IF(D163="","",VLOOKUP(D163,'G-7 WaterC'' Data'!$B$4:$G$8,6,FALSE))</f>
        <v/>
      </c>
      <c r="R163" s="376" t="str">
        <f>IFERROR(IF(D163="","",IF(AND(Q163='G-1 All Habitats'!$X$3,X163&gt;0),Y163+(Z163*T163),IF(AND(Q163='G-1 All Habitats'!$X$3,W163&gt;0),Y163+(Z163*T163),IF(AND(Q163='G-1 All Habitats'!$X$3,AH163&gt;0),"Any Loss Unacceptable ⚠",IF(AND(Q163='G-1 All Habitats'!$X$3,AI163&gt;0),"Any Loss Unacceptable ⚠", E163*G163*I163*L163*N163*P163*T163 ))))),"Check Data ▲")</f>
        <v/>
      </c>
      <c r="S163" s="516"/>
      <c r="T163" s="368" t="str">
        <f>IF(S163="","",IF(VLOOKUP(S163,'G-7 WaterC'' Data'!$AO$4:$BO$7,2,FALSE)=0,"Spatial Data Missing ⚠",VLOOKUP(S163,'G-7 WaterC'' Data'!$AO$4:$BO$7,2,FALSE)))</f>
        <v/>
      </c>
      <c r="U163" s="376" t="str">
        <f>IFERROR(IF(D163="","",IF(AND(Q163='G-1 All Habitats'!$X$3,X163&gt;0),Y163+Z163,IF(AND(Q163='G-1 All Habitats'!$X$3,W163&gt;0),Y163+Z163,IF(AND(Q163='G-1 All Habitats'!$X$3,AH163&gt;0),"Any Loss Unacceptable ⚠",IF(AND(Q163='G-1 All Habitats'!$X$3,AI163&gt;0),"Any Loss Unacceptable ⚠", E163*G163*I163*L163*N163*P163 ))))),"Check Data ▲")</f>
        <v/>
      </c>
      <c r="V163" s="32"/>
      <c r="W163" s="114"/>
      <c r="X163" s="125"/>
      <c r="Y163" s="374" t="str">
        <f t="shared" si="16"/>
        <v/>
      </c>
      <c r="Z163" s="374" t="str">
        <f t="shared" si="17"/>
        <v/>
      </c>
      <c r="AA163" s="374" t="str">
        <f t="shared" si="18"/>
        <v/>
      </c>
      <c r="AB163" s="670" t="str">
        <f t="shared" si="19"/>
        <v/>
      </c>
      <c r="AC163" s="516"/>
      <c r="AD163" s="119"/>
      <c r="AE163" s="120"/>
      <c r="AF163" s="120"/>
      <c r="AG163" s="120"/>
      <c r="AH163" s="57" t="str">
        <f>IF(Q163="","",IF(Q163='G-1 All Habitats'!$X$3,E163-X163-W163,"None"))</f>
        <v/>
      </c>
      <c r="AI163" s="58" t="str">
        <f>IF(Q163="","", IF(Q163='G-1 All Habitats'!$X$3, AH163*G163*I163*L163*N163*P163,"None"))</f>
        <v/>
      </c>
      <c r="AJ163" s="30" t="str">
        <f>IFERROR(INDEX('G-7 WaterC'' Data'!$AZ$3:$AZ$7,MATCH(D163,'G-7 WaterC'' Data'!$AY$3:$AY$7,0)),"")</f>
        <v/>
      </c>
      <c r="AK163" s="30">
        <f t="shared" si="20"/>
        <v>0</v>
      </c>
      <c r="AL163" s="124" t="str">
        <f t="shared" si="21"/>
        <v/>
      </c>
      <c r="AM163" s="124" t="str">
        <f t="shared" si="22"/>
        <v/>
      </c>
      <c r="AO163" s="124">
        <v>154</v>
      </c>
      <c r="AQ163" s="124" t="str">
        <f t="array" ref="AQ163">IFERROR(INDEX($AO$10:$AO$258, MATCH(0, IF(TRUE=$AL$10:$AL$258, COUNTIF($AQ$9:$AQ162, $AO$10:$AO$258), ""), 0)),"")</f>
        <v/>
      </c>
      <c r="AR163" s="124" t="str">
        <f t="array" ref="AR163">IFERROR(INDEX($AO$10:$AO$258, MATCH(0, IF(TRUE=$AM$10:$AM$258, COUNTIF($AR$9:$AR162, $AO$10:$AO$258), ""), 0)),"")</f>
        <v/>
      </c>
      <c r="AZ163" s="802" t="str">
        <f t="shared" si="23"/>
        <v/>
      </c>
    </row>
    <row r="164" spans="3:52" ht="15.75" thickBot="1">
      <c r="C164" s="110">
        <v>155</v>
      </c>
      <c r="D164" s="340"/>
      <c r="E164" s="121"/>
      <c r="F164" s="362" t="str">
        <f>IF(D164="","",VLOOKUP(D164,'G-7 WaterC'' Data'!$B$2:$G$8,2,FALSE))</f>
        <v/>
      </c>
      <c r="G164" s="363" t="str">
        <f>IFERROR(VLOOKUP(F164,'G-7 WaterC'' Data'!$C$4:$D$8,2,FALSE),"")</f>
        <v/>
      </c>
      <c r="H164" s="114"/>
      <c r="I164" s="363" t="str">
        <f>IFERROR(INDEX('G-7 WaterC'' Data'!$H$4:$L$8,MATCH(D164,'G-7 WaterC'' Data'!$B$4:$B$8,0),MATCH(H164,'G-7 WaterC'' Data'!$H$3:$L$3,0)),"")</f>
        <v/>
      </c>
      <c r="J164" s="115"/>
      <c r="K164" s="382" t="str">
        <f>IF(J164="","",IF(VLOOKUP(J164,'G-7 WaterC'' Data'!$AK$4:$AM$9,2,FALSE)=0,"Spatial Data Missing ⚠",VLOOKUP(J164,'G-7 WaterC'' Data'!$AK$4:$AM$6,2,FALSE)))</f>
        <v/>
      </c>
      <c r="L164" s="386" t="str">
        <f>IF(J164="","",IF(VLOOKUP(J164,'G-7 WaterC'' Data'!$AK$4:$AM$9,3,FALSE)=0,"Spatial Data Missing ⚠",VLOOKUP(J164,'G-7 WaterC'' Data'!$AK$4:$AM$6,3,FALSE)))</f>
        <v/>
      </c>
      <c r="M164" s="115"/>
      <c r="N164" s="363" t="str">
        <f>IF(M164="","",IF(VLOOKUP(M164,'G-7 WaterC'' Data'!$AA$4:$AB$7,2,FALSE)=0,"Spatial Data Missing ⚠",VLOOKUP(M164,'G-7 WaterC'' Data'!$AA$4:$AB$7,2,FALSE)))</f>
        <v/>
      </c>
      <c r="O164" s="60"/>
      <c r="P164" s="363" t="str">
        <f>IF(O164="","",IF(VLOOKUP(O164,'G-7 WaterC'' Data'!$AD$4:$AE$14,2,FALSE)=0,"Spatial Data Missing ⚠",VLOOKUP(O164,'G-7 WaterC'' Data'!$AD$4:$AE$14,2,FALSE)))</f>
        <v/>
      </c>
      <c r="Q164" s="369" t="str">
        <f>IF(D164="","",VLOOKUP(D164,'G-7 WaterC'' Data'!$B$4:$G$8,6,FALSE))</f>
        <v/>
      </c>
      <c r="R164" s="376" t="str">
        <f>IFERROR(IF(D164="","",IF(AND(Q164='G-1 All Habitats'!$X$3,X164&gt;0),Y164+(Z164*T164),IF(AND(Q164='G-1 All Habitats'!$X$3,W164&gt;0),Y164+(Z164*T164),IF(AND(Q164='G-1 All Habitats'!$X$3,AH164&gt;0),"Any Loss Unacceptable ⚠",IF(AND(Q164='G-1 All Habitats'!$X$3,AI164&gt;0),"Any Loss Unacceptable ⚠", E164*G164*I164*L164*N164*P164*T164 ))))),"Check Data ▲")</f>
        <v/>
      </c>
      <c r="S164" s="516"/>
      <c r="T164" s="368" t="str">
        <f>IF(S164="","",IF(VLOOKUP(S164,'G-7 WaterC'' Data'!$AO$4:$BO$7,2,FALSE)=0,"Spatial Data Missing ⚠",VLOOKUP(S164,'G-7 WaterC'' Data'!$AO$4:$BO$7,2,FALSE)))</f>
        <v/>
      </c>
      <c r="U164" s="376" t="str">
        <f>IFERROR(IF(D164="","",IF(AND(Q164='G-1 All Habitats'!$X$3,X164&gt;0),Y164+Z164,IF(AND(Q164='G-1 All Habitats'!$X$3,W164&gt;0),Y164+Z164,IF(AND(Q164='G-1 All Habitats'!$X$3,AH164&gt;0),"Any Loss Unacceptable ⚠",IF(AND(Q164='G-1 All Habitats'!$X$3,AI164&gt;0),"Any Loss Unacceptable ⚠", E164*G164*I164*L164*N164*P164 ))))),"Check Data ▲")</f>
        <v/>
      </c>
      <c r="V164" s="32"/>
      <c r="W164" s="114"/>
      <c r="X164" s="125"/>
      <c r="Y164" s="374" t="str">
        <f t="shared" si="16"/>
        <v/>
      </c>
      <c r="Z164" s="374" t="str">
        <f t="shared" si="17"/>
        <v/>
      </c>
      <c r="AA164" s="374" t="str">
        <f t="shared" si="18"/>
        <v/>
      </c>
      <c r="AB164" s="670" t="str">
        <f t="shared" si="19"/>
        <v/>
      </c>
      <c r="AC164" s="516"/>
      <c r="AD164" s="119"/>
      <c r="AE164" s="120"/>
      <c r="AF164" s="120"/>
      <c r="AG164" s="120"/>
      <c r="AH164" s="57" t="str">
        <f>IF(Q164="","",IF(Q164='G-1 All Habitats'!$X$3,E164-X164-W164,"None"))</f>
        <v/>
      </c>
      <c r="AI164" s="58" t="str">
        <f>IF(Q164="","", IF(Q164='G-1 All Habitats'!$X$3, AH164*G164*I164*L164*N164*P164,"None"))</f>
        <v/>
      </c>
      <c r="AJ164" s="30" t="str">
        <f>IFERROR(INDEX('G-7 WaterC'' Data'!$AZ$3:$AZ$7,MATCH(D164,'G-7 WaterC'' Data'!$AY$3:$AY$7,0)),"")</f>
        <v/>
      </c>
      <c r="AK164" s="30">
        <f t="shared" si="20"/>
        <v>0</v>
      </c>
      <c r="AL164" s="124" t="str">
        <f t="shared" si="21"/>
        <v/>
      </c>
      <c r="AM164" s="124" t="str">
        <f t="shared" si="22"/>
        <v/>
      </c>
      <c r="AO164" s="124">
        <v>155</v>
      </c>
      <c r="AQ164" s="124" t="str">
        <f t="array" ref="AQ164">IFERROR(INDEX($AO$10:$AO$258, MATCH(0, IF(TRUE=$AL$10:$AL$258, COUNTIF($AQ$9:$AQ163, $AO$10:$AO$258), ""), 0)),"")</f>
        <v/>
      </c>
      <c r="AR164" s="124" t="str">
        <f t="array" ref="AR164">IFERROR(INDEX($AO$10:$AO$258, MATCH(0, IF(TRUE=$AM$10:$AM$258, COUNTIF($AR$9:$AR163, $AO$10:$AO$258), ""), 0)),"")</f>
        <v/>
      </c>
      <c r="AZ164" s="802" t="str">
        <f t="shared" si="23"/>
        <v/>
      </c>
    </row>
    <row r="165" spans="3:52" ht="15.75" thickBot="1">
      <c r="C165" s="110">
        <v>156</v>
      </c>
      <c r="D165" s="340"/>
      <c r="E165" s="121"/>
      <c r="F165" s="362" t="str">
        <f>IF(D165="","",VLOOKUP(D165,'G-7 WaterC'' Data'!$B$2:$G$8,2,FALSE))</f>
        <v/>
      </c>
      <c r="G165" s="363" t="str">
        <f>IFERROR(VLOOKUP(F165,'G-7 WaterC'' Data'!$C$4:$D$8,2,FALSE),"")</f>
        <v/>
      </c>
      <c r="H165" s="114"/>
      <c r="I165" s="363" t="str">
        <f>IFERROR(INDEX('G-7 WaterC'' Data'!$H$4:$L$8,MATCH(D165,'G-7 WaterC'' Data'!$B$4:$B$8,0),MATCH(H165,'G-7 WaterC'' Data'!$H$3:$L$3,0)),"")</f>
        <v/>
      </c>
      <c r="J165" s="115"/>
      <c r="K165" s="382" t="str">
        <f>IF(J165="","",IF(VLOOKUP(J165,'G-7 WaterC'' Data'!$AK$4:$AM$9,2,FALSE)=0,"Spatial Data Missing ⚠",VLOOKUP(J165,'G-7 WaterC'' Data'!$AK$4:$AM$6,2,FALSE)))</f>
        <v/>
      </c>
      <c r="L165" s="386" t="str">
        <f>IF(J165="","",IF(VLOOKUP(J165,'G-7 WaterC'' Data'!$AK$4:$AM$9,3,FALSE)=0,"Spatial Data Missing ⚠",VLOOKUP(J165,'G-7 WaterC'' Data'!$AK$4:$AM$6,3,FALSE)))</f>
        <v/>
      </c>
      <c r="M165" s="115"/>
      <c r="N165" s="363" t="str">
        <f>IF(M165="","",IF(VLOOKUP(M165,'G-7 WaterC'' Data'!$AA$4:$AB$7,2,FALSE)=0,"Spatial Data Missing ⚠",VLOOKUP(M165,'G-7 WaterC'' Data'!$AA$4:$AB$7,2,FALSE)))</f>
        <v/>
      </c>
      <c r="O165" s="60"/>
      <c r="P165" s="363" t="str">
        <f>IF(O165="","",IF(VLOOKUP(O165,'G-7 WaterC'' Data'!$AD$4:$AE$14,2,FALSE)=0,"Spatial Data Missing ⚠",VLOOKUP(O165,'G-7 WaterC'' Data'!$AD$4:$AE$14,2,FALSE)))</f>
        <v/>
      </c>
      <c r="Q165" s="369" t="str">
        <f>IF(D165="","",VLOOKUP(D165,'G-7 WaterC'' Data'!$B$4:$G$8,6,FALSE))</f>
        <v/>
      </c>
      <c r="R165" s="376" t="str">
        <f>IFERROR(IF(D165="","",IF(AND(Q165='G-1 All Habitats'!$X$3,X165&gt;0),Y165+(Z165*T165),IF(AND(Q165='G-1 All Habitats'!$X$3,W165&gt;0),Y165+(Z165*T165),IF(AND(Q165='G-1 All Habitats'!$X$3,AH165&gt;0),"Any Loss Unacceptable ⚠",IF(AND(Q165='G-1 All Habitats'!$X$3,AI165&gt;0),"Any Loss Unacceptable ⚠", E165*G165*I165*L165*N165*P165*T165 ))))),"Check Data ▲")</f>
        <v/>
      </c>
      <c r="S165" s="516"/>
      <c r="T165" s="368" t="str">
        <f>IF(S165="","",IF(VLOOKUP(S165,'G-7 WaterC'' Data'!$AO$4:$BO$7,2,FALSE)=0,"Spatial Data Missing ⚠",VLOOKUP(S165,'G-7 WaterC'' Data'!$AO$4:$BO$7,2,FALSE)))</f>
        <v/>
      </c>
      <c r="U165" s="376" t="str">
        <f>IFERROR(IF(D165="","",IF(AND(Q165='G-1 All Habitats'!$X$3,X165&gt;0),Y165+Z165,IF(AND(Q165='G-1 All Habitats'!$X$3,W165&gt;0),Y165+Z165,IF(AND(Q165='G-1 All Habitats'!$X$3,AH165&gt;0),"Any Loss Unacceptable ⚠",IF(AND(Q165='G-1 All Habitats'!$X$3,AI165&gt;0),"Any Loss Unacceptable ⚠", E165*G165*I165*L165*N165*P165 ))))),"Check Data ▲")</f>
        <v/>
      </c>
      <c r="V165" s="32"/>
      <c r="W165" s="114"/>
      <c r="X165" s="125"/>
      <c r="Y165" s="374" t="str">
        <f t="shared" si="16"/>
        <v/>
      </c>
      <c r="Z165" s="374" t="str">
        <f t="shared" si="17"/>
        <v/>
      </c>
      <c r="AA165" s="374" t="str">
        <f t="shared" si="18"/>
        <v/>
      </c>
      <c r="AB165" s="670" t="str">
        <f t="shared" si="19"/>
        <v/>
      </c>
      <c r="AC165" s="516"/>
      <c r="AD165" s="119"/>
      <c r="AE165" s="120"/>
      <c r="AF165" s="120"/>
      <c r="AG165" s="120"/>
      <c r="AH165" s="57" t="str">
        <f>IF(Q165="","",IF(Q165='G-1 All Habitats'!$X$3,E165-X165-W165,"None"))</f>
        <v/>
      </c>
      <c r="AI165" s="58" t="str">
        <f>IF(Q165="","", IF(Q165='G-1 All Habitats'!$X$3, AH165*G165*I165*L165*N165*P165,"None"))</f>
        <v/>
      </c>
      <c r="AJ165" s="30" t="str">
        <f>IFERROR(INDEX('G-7 WaterC'' Data'!$AZ$3:$AZ$7,MATCH(D165,'G-7 WaterC'' Data'!$AY$3:$AY$7,0)),"")</f>
        <v/>
      </c>
      <c r="AK165" s="30">
        <f t="shared" si="20"/>
        <v>0</v>
      </c>
      <c r="AL165" s="124" t="str">
        <f t="shared" si="21"/>
        <v/>
      </c>
      <c r="AM165" s="124" t="str">
        <f t="shared" si="22"/>
        <v/>
      </c>
      <c r="AO165" s="124">
        <v>156</v>
      </c>
      <c r="AQ165" s="124" t="str">
        <f t="array" ref="AQ165">IFERROR(INDEX($AO$10:$AO$258, MATCH(0, IF(TRUE=$AL$10:$AL$258, COUNTIF($AQ$9:$AQ164, $AO$10:$AO$258), ""), 0)),"")</f>
        <v/>
      </c>
      <c r="AR165" s="124" t="str">
        <f t="array" ref="AR165">IFERROR(INDEX($AO$10:$AO$258, MATCH(0, IF(TRUE=$AM$10:$AM$258, COUNTIF($AR$9:$AR164, $AO$10:$AO$258), ""), 0)),"")</f>
        <v/>
      </c>
      <c r="AZ165" s="802" t="str">
        <f t="shared" si="23"/>
        <v/>
      </c>
    </row>
    <row r="166" spans="3:52" ht="15.75" thickBot="1">
      <c r="C166" s="110">
        <v>157</v>
      </c>
      <c r="D166" s="340"/>
      <c r="E166" s="121"/>
      <c r="F166" s="362" t="str">
        <f>IF(D166="","",VLOOKUP(D166,'G-7 WaterC'' Data'!$B$2:$G$8,2,FALSE))</f>
        <v/>
      </c>
      <c r="G166" s="363" t="str">
        <f>IFERROR(VLOOKUP(F166,'G-7 WaterC'' Data'!$C$4:$D$8,2,FALSE),"")</f>
        <v/>
      </c>
      <c r="H166" s="114"/>
      <c r="I166" s="363" t="str">
        <f>IFERROR(INDEX('G-7 WaterC'' Data'!$H$4:$L$8,MATCH(D166,'G-7 WaterC'' Data'!$B$4:$B$8,0),MATCH(H166,'G-7 WaterC'' Data'!$H$3:$L$3,0)),"")</f>
        <v/>
      </c>
      <c r="J166" s="115"/>
      <c r="K166" s="382" t="str">
        <f>IF(J166="","",IF(VLOOKUP(J166,'G-7 WaterC'' Data'!$AK$4:$AM$9,2,FALSE)=0,"Spatial Data Missing ⚠",VLOOKUP(J166,'G-7 WaterC'' Data'!$AK$4:$AM$6,2,FALSE)))</f>
        <v/>
      </c>
      <c r="L166" s="386" t="str">
        <f>IF(J166="","",IF(VLOOKUP(J166,'G-7 WaterC'' Data'!$AK$4:$AM$9,3,FALSE)=0,"Spatial Data Missing ⚠",VLOOKUP(J166,'G-7 WaterC'' Data'!$AK$4:$AM$6,3,FALSE)))</f>
        <v/>
      </c>
      <c r="M166" s="115"/>
      <c r="N166" s="363" t="str">
        <f>IF(M166="","",IF(VLOOKUP(M166,'G-7 WaterC'' Data'!$AA$4:$AB$7,2,FALSE)=0,"Spatial Data Missing ⚠",VLOOKUP(M166,'G-7 WaterC'' Data'!$AA$4:$AB$7,2,FALSE)))</f>
        <v/>
      </c>
      <c r="O166" s="60"/>
      <c r="P166" s="363" t="str">
        <f>IF(O166="","",IF(VLOOKUP(O166,'G-7 WaterC'' Data'!$AD$4:$AE$14,2,FALSE)=0,"Spatial Data Missing ⚠",VLOOKUP(O166,'G-7 WaterC'' Data'!$AD$4:$AE$14,2,FALSE)))</f>
        <v/>
      </c>
      <c r="Q166" s="369" t="str">
        <f>IF(D166="","",VLOOKUP(D166,'G-7 WaterC'' Data'!$B$4:$G$8,6,FALSE))</f>
        <v/>
      </c>
      <c r="R166" s="376" t="str">
        <f>IFERROR(IF(D166="","",IF(AND(Q166='G-1 All Habitats'!$X$3,X166&gt;0),Y166+(Z166*T166),IF(AND(Q166='G-1 All Habitats'!$X$3,W166&gt;0),Y166+(Z166*T166),IF(AND(Q166='G-1 All Habitats'!$X$3,AH166&gt;0),"Any Loss Unacceptable ⚠",IF(AND(Q166='G-1 All Habitats'!$X$3,AI166&gt;0),"Any Loss Unacceptable ⚠", E166*G166*I166*L166*N166*P166*T166 ))))),"Check Data ▲")</f>
        <v/>
      </c>
      <c r="S166" s="516"/>
      <c r="T166" s="368" t="str">
        <f>IF(S166="","",IF(VLOOKUP(S166,'G-7 WaterC'' Data'!$AO$4:$BO$7,2,FALSE)=0,"Spatial Data Missing ⚠",VLOOKUP(S166,'G-7 WaterC'' Data'!$AO$4:$BO$7,2,FALSE)))</f>
        <v/>
      </c>
      <c r="U166" s="376" t="str">
        <f>IFERROR(IF(D166="","",IF(AND(Q166='G-1 All Habitats'!$X$3,X166&gt;0),Y166+Z166,IF(AND(Q166='G-1 All Habitats'!$X$3,W166&gt;0),Y166+Z166,IF(AND(Q166='G-1 All Habitats'!$X$3,AH166&gt;0),"Any Loss Unacceptable ⚠",IF(AND(Q166='G-1 All Habitats'!$X$3,AI166&gt;0),"Any Loss Unacceptable ⚠", E166*G166*I166*L166*N166*P166 ))))),"Check Data ▲")</f>
        <v/>
      </c>
      <c r="V166" s="32"/>
      <c r="W166" s="114"/>
      <c r="X166" s="125"/>
      <c r="Y166" s="374" t="str">
        <f t="shared" si="16"/>
        <v/>
      </c>
      <c r="Z166" s="374" t="str">
        <f t="shared" si="17"/>
        <v/>
      </c>
      <c r="AA166" s="374" t="str">
        <f t="shared" si="18"/>
        <v/>
      </c>
      <c r="AB166" s="670" t="str">
        <f t="shared" si="19"/>
        <v/>
      </c>
      <c r="AC166" s="516"/>
      <c r="AD166" s="119"/>
      <c r="AE166" s="120"/>
      <c r="AF166" s="120"/>
      <c r="AG166" s="120"/>
      <c r="AH166" s="57" t="str">
        <f>IF(Q166="","",IF(Q166='G-1 All Habitats'!$X$3,E166-X166-W166,"None"))</f>
        <v/>
      </c>
      <c r="AI166" s="58" t="str">
        <f>IF(Q166="","", IF(Q166='G-1 All Habitats'!$X$3, AH166*G166*I166*L166*N166*P166,"None"))</f>
        <v/>
      </c>
      <c r="AJ166" s="30" t="str">
        <f>IFERROR(INDEX('G-7 WaterC'' Data'!$AZ$3:$AZ$7,MATCH(D166,'G-7 WaterC'' Data'!$AY$3:$AY$7,0)),"")</f>
        <v/>
      </c>
      <c r="AK166" s="30">
        <f t="shared" si="20"/>
        <v>0</v>
      </c>
      <c r="AL166" s="124" t="str">
        <f t="shared" si="21"/>
        <v/>
      </c>
      <c r="AM166" s="124" t="str">
        <f t="shared" si="22"/>
        <v/>
      </c>
      <c r="AO166" s="124">
        <v>157</v>
      </c>
      <c r="AQ166" s="124" t="str">
        <f t="array" ref="AQ166">IFERROR(INDEX($AO$10:$AO$258, MATCH(0, IF(TRUE=$AL$10:$AL$258, COUNTIF($AQ$9:$AQ165, $AO$10:$AO$258), ""), 0)),"")</f>
        <v/>
      </c>
      <c r="AR166" s="124" t="str">
        <f t="array" ref="AR166">IFERROR(INDEX($AO$10:$AO$258, MATCH(0, IF(TRUE=$AM$10:$AM$258, COUNTIF($AR$9:$AR165, $AO$10:$AO$258), ""), 0)),"")</f>
        <v/>
      </c>
      <c r="AZ166" s="802" t="str">
        <f t="shared" si="23"/>
        <v/>
      </c>
    </row>
    <row r="167" spans="3:52" ht="15.75" thickBot="1">
      <c r="C167" s="110">
        <v>158</v>
      </c>
      <c r="D167" s="340"/>
      <c r="E167" s="121"/>
      <c r="F167" s="362" t="str">
        <f>IF(D167="","",VLOOKUP(D167,'G-7 WaterC'' Data'!$B$2:$G$8,2,FALSE))</f>
        <v/>
      </c>
      <c r="G167" s="363" t="str">
        <f>IFERROR(VLOOKUP(F167,'G-7 WaterC'' Data'!$C$4:$D$8,2,FALSE),"")</f>
        <v/>
      </c>
      <c r="H167" s="114"/>
      <c r="I167" s="363" t="str">
        <f>IFERROR(INDEX('G-7 WaterC'' Data'!$H$4:$L$8,MATCH(D167,'G-7 WaterC'' Data'!$B$4:$B$8,0),MATCH(H167,'G-7 WaterC'' Data'!$H$3:$L$3,0)),"")</f>
        <v/>
      </c>
      <c r="J167" s="115"/>
      <c r="K167" s="382" t="str">
        <f>IF(J167="","",IF(VLOOKUP(J167,'G-7 WaterC'' Data'!$AK$4:$AM$9,2,FALSE)=0,"Spatial Data Missing ⚠",VLOOKUP(J167,'G-7 WaterC'' Data'!$AK$4:$AM$6,2,FALSE)))</f>
        <v/>
      </c>
      <c r="L167" s="386" t="str">
        <f>IF(J167="","",IF(VLOOKUP(J167,'G-7 WaterC'' Data'!$AK$4:$AM$9,3,FALSE)=0,"Spatial Data Missing ⚠",VLOOKUP(J167,'G-7 WaterC'' Data'!$AK$4:$AM$6,3,FALSE)))</f>
        <v/>
      </c>
      <c r="M167" s="115"/>
      <c r="N167" s="363" t="str">
        <f>IF(M167="","",IF(VLOOKUP(M167,'G-7 WaterC'' Data'!$AA$4:$AB$7,2,FALSE)=0,"Spatial Data Missing ⚠",VLOOKUP(M167,'G-7 WaterC'' Data'!$AA$4:$AB$7,2,FALSE)))</f>
        <v/>
      </c>
      <c r="O167" s="60"/>
      <c r="P167" s="363" t="str">
        <f>IF(O167="","",IF(VLOOKUP(O167,'G-7 WaterC'' Data'!$AD$4:$AE$14,2,FALSE)=0,"Spatial Data Missing ⚠",VLOOKUP(O167,'G-7 WaterC'' Data'!$AD$4:$AE$14,2,FALSE)))</f>
        <v/>
      </c>
      <c r="Q167" s="369" t="str">
        <f>IF(D167="","",VLOOKUP(D167,'G-7 WaterC'' Data'!$B$4:$G$8,6,FALSE))</f>
        <v/>
      </c>
      <c r="R167" s="376" t="str">
        <f>IFERROR(IF(D167="","",IF(AND(Q167='G-1 All Habitats'!$X$3,X167&gt;0),Y167+(Z167*T167),IF(AND(Q167='G-1 All Habitats'!$X$3,W167&gt;0),Y167+(Z167*T167),IF(AND(Q167='G-1 All Habitats'!$X$3,AH167&gt;0),"Any Loss Unacceptable ⚠",IF(AND(Q167='G-1 All Habitats'!$X$3,AI167&gt;0),"Any Loss Unacceptable ⚠", E167*G167*I167*L167*N167*P167*T167 ))))),"Check Data ▲")</f>
        <v/>
      </c>
      <c r="S167" s="516"/>
      <c r="T167" s="368" t="str">
        <f>IF(S167="","",IF(VLOOKUP(S167,'G-7 WaterC'' Data'!$AO$4:$BO$7,2,FALSE)=0,"Spatial Data Missing ⚠",VLOOKUP(S167,'G-7 WaterC'' Data'!$AO$4:$BO$7,2,FALSE)))</f>
        <v/>
      </c>
      <c r="U167" s="376" t="str">
        <f>IFERROR(IF(D167="","",IF(AND(Q167='G-1 All Habitats'!$X$3,X167&gt;0),Y167+Z167,IF(AND(Q167='G-1 All Habitats'!$X$3,W167&gt;0),Y167+Z167,IF(AND(Q167='G-1 All Habitats'!$X$3,AH167&gt;0),"Any Loss Unacceptable ⚠",IF(AND(Q167='G-1 All Habitats'!$X$3,AI167&gt;0),"Any Loss Unacceptable ⚠", E167*G167*I167*L167*N167*P167 ))))),"Check Data ▲")</f>
        <v/>
      </c>
      <c r="V167" s="32"/>
      <c r="W167" s="114"/>
      <c r="X167" s="125"/>
      <c r="Y167" s="374" t="str">
        <f t="shared" si="16"/>
        <v/>
      </c>
      <c r="Z167" s="374" t="str">
        <f t="shared" si="17"/>
        <v/>
      </c>
      <c r="AA167" s="374" t="str">
        <f t="shared" si="18"/>
        <v/>
      </c>
      <c r="AB167" s="670" t="str">
        <f t="shared" si="19"/>
        <v/>
      </c>
      <c r="AC167" s="516"/>
      <c r="AD167" s="119"/>
      <c r="AE167" s="120"/>
      <c r="AF167" s="120"/>
      <c r="AG167" s="120"/>
      <c r="AH167" s="57" t="str">
        <f>IF(Q167="","",IF(Q167='G-1 All Habitats'!$X$3,E167-X167-W167,"None"))</f>
        <v/>
      </c>
      <c r="AI167" s="58" t="str">
        <f>IF(Q167="","", IF(Q167='G-1 All Habitats'!$X$3, AH167*G167*I167*L167*N167*P167,"None"))</f>
        <v/>
      </c>
      <c r="AJ167" s="30" t="str">
        <f>IFERROR(INDEX('G-7 WaterC'' Data'!$AZ$3:$AZ$7,MATCH(D167,'G-7 WaterC'' Data'!$AY$3:$AY$7,0)),"")</f>
        <v/>
      </c>
      <c r="AK167" s="30">
        <f t="shared" si="20"/>
        <v>0</v>
      </c>
      <c r="AL167" s="124" t="str">
        <f t="shared" si="21"/>
        <v/>
      </c>
      <c r="AM167" s="124" t="str">
        <f t="shared" si="22"/>
        <v/>
      </c>
      <c r="AO167" s="124">
        <v>158</v>
      </c>
      <c r="AQ167" s="124" t="str">
        <f t="array" ref="AQ167">IFERROR(INDEX($AO$10:$AO$258, MATCH(0, IF(TRUE=$AL$10:$AL$258, COUNTIF($AQ$9:$AQ166, $AO$10:$AO$258), ""), 0)),"")</f>
        <v/>
      </c>
      <c r="AR167" s="124" t="str">
        <f t="array" ref="AR167">IFERROR(INDEX($AO$10:$AO$258, MATCH(0, IF(TRUE=$AM$10:$AM$258, COUNTIF($AR$9:$AR166, $AO$10:$AO$258), ""), 0)),"")</f>
        <v/>
      </c>
      <c r="AZ167" s="802" t="str">
        <f t="shared" si="23"/>
        <v/>
      </c>
    </row>
    <row r="168" spans="3:52" ht="15.75" thickBot="1">
      <c r="C168" s="110">
        <v>159</v>
      </c>
      <c r="D168" s="340"/>
      <c r="E168" s="121"/>
      <c r="F168" s="362" t="str">
        <f>IF(D168="","",VLOOKUP(D168,'G-7 WaterC'' Data'!$B$2:$G$8,2,FALSE))</f>
        <v/>
      </c>
      <c r="G168" s="363" t="str">
        <f>IFERROR(VLOOKUP(F168,'G-7 WaterC'' Data'!$C$4:$D$8,2,FALSE),"")</f>
        <v/>
      </c>
      <c r="H168" s="114"/>
      <c r="I168" s="363" t="str">
        <f>IFERROR(INDEX('G-7 WaterC'' Data'!$H$4:$L$8,MATCH(D168,'G-7 WaterC'' Data'!$B$4:$B$8,0),MATCH(H168,'G-7 WaterC'' Data'!$H$3:$L$3,0)),"")</f>
        <v/>
      </c>
      <c r="J168" s="115"/>
      <c r="K168" s="382" t="str">
        <f>IF(J168="","",IF(VLOOKUP(J168,'G-7 WaterC'' Data'!$AK$4:$AM$9,2,FALSE)=0,"Spatial Data Missing ⚠",VLOOKUP(J168,'G-7 WaterC'' Data'!$AK$4:$AM$6,2,FALSE)))</f>
        <v/>
      </c>
      <c r="L168" s="386" t="str">
        <f>IF(J168="","",IF(VLOOKUP(J168,'G-7 WaterC'' Data'!$AK$4:$AM$9,3,FALSE)=0,"Spatial Data Missing ⚠",VLOOKUP(J168,'G-7 WaterC'' Data'!$AK$4:$AM$6,3,FALSE)))</f>
        <v/>
      </c>
      <c r="M168" s="115"/>
      <c r="N168" s="363" t="str">
        <f>IF(M168="","",IF(VLOOKUP(M168,'G-7 WaterC'' Data'!$AA$4:$AB$7,2,FALSE)=0,"Spatial Data Missing ⚠",VLOOKUP(M168,'G-7 WaterC'' Data'!$AA$4:$AB$7,2,FALSE)))</f>
        <v/>
      </c>
      <c r="O168" s="60"/>
      <c r="P168" s="363" t="str">
        <f>IF(O168="","",IF(VLOOKUP(O168,'G-7 WaterC'' Data'!$AD$4:$AE$14,2,FALSE)=0,"Spatial Data Missing ⚠",VLOOKUP(O168,'G-7 WaterC'' Data'!$AD$4:$AE$14,2,FALSE)))</f>
        <v/>
      </c>
      <c r="Q168" s="369" t="str">
        <f>IF(D168="","",VLOOKUP(D168,'G-7 WaterC'' Data'!$B$4:$G$8,6,FALSE))</f>
        <v/>
      </c>
      <c r="R168" s="376" t="str">
        <f>IFERROR(IF(D168="","",IF(AND(Q168='G-1 All Habitats'!$X$3,X168&gt;0),Y168+(Z168*T168),IF(AND(Q168='G-1 All Habitats'!$X$3,W168&gt;0),Y168+(Z168*T168),IF(AND(Q168='G-1 All Habitats'!$X$3,AH168&gt;0),"Any Loss Unacceptable ⚠",IF(AND(Q168='G-1 All Habitats'!$X$3,AI168&gt;0),"Any Loss Unacceptable ⚠", E168*G168*I168*L168*N168*P168*T168 ))))),"Check Data ▲")</f>
        <v/>
      </c>
      <c r="S168" s="516"/>
      <c r="T168" s="368" t="str">
        <f>IF(S168="","",IF(VLOOKUP(S168,'G-7 WaterC'' Data'!$AO$4:$BO$7,2,FALSE)=0,"Spatial Data Missing ⚠",VLOOKUP(S168,'G-7 WaterC'' Data'!$AO$4:$BO$7,2,FALSE)))</f>
        <v/>
      </c>
      <c r="U168" s="376" t="str">
        <f>IFERROR(IF(D168="","",IF(AND(Q168='G-1 All Habitats'!$X$3,X168&gt;0),Y168+Z168,IF(AND(Q168='G-1 All Habitats'!$X$3,W168&gt;0),Y168+Z168,IF(AND(Q168='G-1 All Habitats'!$X$3,AH168&gt;0),"Any Loss Unacceptable ⚠",IF(AND(Q168='G-1 All Habitats'!$X$3,AI168&gt;0),"Any Loss Unacceptable ⚠", E168*G168*I168*L168*N168*P168 ))))),"Check Data ▲")</f>
        <v/>
      </c>
      <c r="V168" s="32"/>
      <c r="W168" s="114"/>
      <c r="X168" s="125"/>
      <c r="Y168" s="374" t="str">
        <f t="shared" si="16"/>
        <v/>
      </c>
      <c r="Z168" s="374" t="str">
        <f t="shared" si="17"/>
        <v/>
      </c>
      <c r="AA168" s="374" t="str">
        <f t="shared" si="18"/>
        <v/>
      </c>
      <c r="AB168" s="670" t="str">
        <f t="shared" si="19"/>
        <v/>
      </c>
      <c r="AC168" s="516"/>
      <c r="AD168" s="119"/>
      <c r="AE168" s="120"/>
      <c r="AF168" s="120"/>
      <c r="AG168" s="120"/>
      <c r="AH168" s="57" t="str">
        <f>IF(Q168="","",IF(Q168='G-1 All Habitats'!$X$3,E168-X168-W168,"None"))</f>
        <v/>
      </c>
      <c r="AI168" s="58" t="str">
        <f>IF(Q168="","", IF(Q168='G-1 All Habitats'!$X$3, AH168*G168*I168*L168*N168*P168,"None"))</f>
        <v/>
      </c>
      <c r="AJ168" s="30" t="str">
        <f>IFERROR(INDEX('G-7 WaterC'' Data'!$AZ$3:$AZ$7,MATCH(D168,'G-7 WaterC'' Data'!$AY$3:$AY$7,0)),"")</f>
        <v/>
      </c>
      <c r="AK168" s="30">
        <f t="shared" si="20"/>
        <v>0</v>
      </c>
      <c r="AL168" s="124" t="str">
        <f t="shared" si="21"/>
        <v/>
      </c>
      <c r="AM168" s="124" t="str">
        <f t="shared" si="22"/>
        <v/>
      </c>
      <c r="AO168" s="124">
        <v>159</v>
      </c>
      <c r="AQ168" s="124" t="str">
        <f t="array" ref="AQ168">IFERROR(INDEX($AO$10:$AO$258, MATCH(0, IF(TRUE=$AL$10:$AL$258, COUNTIF($AQ$9:$AQ167, $AO$10:$AO$258), ""), 0)),"")</f>
        <v/>
      </c>
      <c r="AR168" s="124" t="str">
        <f t="array" ref="AR168">IFERROR(INDEX($AO$10:$AO$258, MATCH(0, IF(TRUE=$AM$10:$AM$258, COUNTIF($AR$9:$AR167, $AO$10:$AO$258), ""), 0)),"")</f>
        <v/>
      </c>
      <c r="AZ168" s="802" t="str">
        <f t="shared" si="23"/>
        <v/>
      </c>
    </row>
    <row r="169" spans="3:52" ht="15.75" thickBot="1">
      <c r="C169" s="110">
        <v>160</v>
      </c>
      <c r="D169" s="340"/>
      <c r="E169" s="121"/>
      <c r="F169" s="362" t="str">
        <f>IF(D169="","",VLOOKUP(D169,'G-7 WaterC'' Data'!$B$2:$G$8,2,FALSE))</f>
        <v/>
      </c>
      <c r="G169" s="363" t="str">
        <f>IFERROR(VLOOKUP(F169,'G-7 WaterC'' Data'!$C$4:$D$8,2,FALSE),"")</f>
        <v/>
      </c>
      <c r="H169" s="114"/>
      <c r="I169" s="363" t="str">
        <f>IFERROR(INDEX('G-7 WaterC'' Data'!$H$4:$L$8,MATCH(D169,'G-7 WaterC'' Data'!$B$4:$B$8,0),MATCH(H169,'G-7 WaterC'' Data'!$H$3:$L$3,0)),"")</f>
        <v/>
      </c>
      <c r="J169" s="115"/>
      <c r="K169" s="382" t="str">
        <f>IF(J169="","",IF(VLOOKUP(J169,'G-7 WaterC'' Data'!$AK$4:$AM$9,2,FALSE)=0,"Spatial Data Missing ⚠",VLOOKUP(J169,'G-7 WaterC'' Data'!$AK$4:$AM$6,2,FALSE)))</f>
        <v/>
      </c>
      <c r="L169" s="386" t="str">
        <f>IF(J169="","",IF(VLOOKUP(J169,'G-7 WaterC'' Data'!$AK$4:$AM$9,3,FALSE)=0,"Spatial Data Missing ⚠",VLOOKUP(J169,'G-7 WaterC'' Data'!$AK$4:$AM$6,3,FALSE)))</f>
        <v/>
      </c>
      <c r="M169" s="115"/>
      <c r="N169" s="363" t="str">
        <f>IF(M169="","",IF(VLOOKUP(M169,'G-7 WaterC'' Data'!$AA$4:$AB$7,2,FALSE)=0,"Spatial Data Missing ⚠",VLOOKUP(M169,'G-7 WaterC'' Data'!$AA$4:$AB$7,2,FALSE)))</f>
        <v/>
      </c>
      <c r="O169" s="60"/>
      <c r="P169" s="363" t="str">
        <f>IF(O169="","",IF(VLOOKUP(O169,'G-7 WaterC'' Data'!$AD$4:$AE$14,2,FALSE)=0,"Spatial Data Missing ⚠",VLOOKUP(O169,'G-7 WaterC'' Data'!$AD$4:$AE$14,2,FALSE)))</f>
        <v/>
      </c>
      <c r="Q169" s="369" t="str">
        <f>IF(D169="","",VLOOKUP(D169,'G-7 WaterC'' Data'!$B$4:$G$8,6,FALSE))</f>
        <v/>
      </c>
      <c r="R169" s="376" t="str">
        <f>IFERROR(IF(D169="","",IF(AND(Q169='G-1 All Habitats'!$X$3,X169&gt;0),Y169+(Z169*T169),IF(AND(Q169='G-1 All Habitats'!$X$3,W169&gt;0),Y169+(Z169*T169),IF(AND(Q169='G-1 All Habitats'!$X$3,AH169&gt;0),"Any Loss Unacceptable ⚠",IF(AND(Q169='G-1 All Habitats'!$X$3,AI169&gt;0),"Any Loss Unacceptable ⚠", E169*G169*I169*L169*N169*P169*T169 ))))),"Check Data ▲")</f>
        <v/>
      </c>
      <c r="S169" s="516"/>
      <c r="T169" s="368" t="str">
        <f>IF(S169="","",IF(VLOOKUP(S169,'G-7 WaterC'' Data'!$AO$4:$BO$7,2,FALSE)=0,"Spatial Data Missing ⚠",VLOOKUP(S169,'G-7 WaterC'' Data'!$AO$4:$BO$7,2,FALSE)))</f>
        <v/>
      </c>
      <c r="U169" s="376" t="str">
        <f>IFERROR(IF(D169="","",IF(AND(Q169='G-1 All Habitats'!$X$3,X169&gt;0),Y169+Z169,IF(AND(Q169='G-1 All Habitats'!$X$3,W169&gt;0),Y169+Z169,IF(AND(Q169='G-1 All Habitats'!$X$3,AH169&gt;0),"Any Loss Unacceptable ⚠",IF(AND(Q169='G-1 All Habitats'!$X$3,AI169&gt;0),"Any Loss Unacceptable ⚠", E169*G169*I169*L169*N169*P169 ))))),"Check Data ▲")</f>
        <v/>
      </c>
      <c r="V169" s="32"/>
      <c r="W169" s="114"/>
      <c r="X169" s="125"/>
      <c r="Y169" s="374" t="str">
        <f t="shared" si="16"/>
        <v/>
      </c>
      <c r="Z169" s="374" t="str">
        <f t="shared" si="17"/>
        <v/>
      </c>
      <c r="AA169" s="374" t="str">
        <f t="shared" si="18"/>
        <v/>
      </c>
      <c r="AB169" s="670" t="str">
        <f t="shared" si="19"/>
        <v/>
      </c>
      <c r="AC169" s="516"/>
      <c r="AD169" s="119"/>
      <c r="AE169" s="120"/>
      <c r="AF169" s="120"/>
      <c r="AG169" s="120"/>
      <c r="AH169" s="57" t="str">
        <f>IF(Q169="","",IF(Q169='G-1 All Habitats'!$X$3,E169-X169-W169,"None"))</f>
        <v/>
      </c>
      <c r="AI169" s="58" t="str">
        <f>IF(Q169="","", IF(Q169='G-1 All Habitats'!$X$3, AH169*G169*I169*L169*N169*P169,"None"))</f>
        <v/>
      </c>
      <c r="AJ169" s="30" t="str">
        <f>IFERROR(INDEX('G-7 WaterC'' Data'!$AZ$3:$AZ$7,MATCH(D169,'G-7 WaterC'' Data'!$AY$3:$AY$7,0)),"")</f>
        <v/>
      </c>
      <c r="AK169" s="30">
        <f t="shared" si="20"/>
        <v>0</v>
      </c>
      <c r="AL169" s="124" t="str">
        <f t="shared" si="21"/>
        <v/>
      </c>
      <c r="AM169" s="124" t="str">
        <f t="shared" si="22"/>
        <v/>
      </c>
      <c r="AO169" s="124">
        <v>160</v>
      </c>
      <c r="AQ169" s="124" t="str">
        <f t="array" ref="AQ169">IFERROR(INDEX($AO$10:$AO$258, MATCH(0, IF(TRUE=$AL$10:$AL$258, COUNTIF($AQ$9:$AQ168, $AO$10:$AO$258), ""), 0)),"")</f>
        <v/>
      </c>
      <c r="AR169" s="124" t="str">
        <f t="array" ref="AR169">IFERROR(INDEX($AO$10:$AO$258, MATCH(0, IF(TRUE=$AM$10:$AM$258, COUNTIF($AR$9:$AR168, $AO$10:$AO$258), ""), 0)),"")</f>
        <v/>
      </c>
      <c r="AZ169" s="802" t="str">
        <f t="shared" si="23"/>
        <v/>
      </c>
    </row>
    <row r="170" spans="3:52" ht="15.75" thickBot="1">
      <c r="C170" s="110">
        <v>161</v>
      </c>
      <c r="D170" s="340"/>
      <c r="E170" s="121"/>
      <c r="F170" s="362" t="str">
        <f>IF(D170="","",VLOOKUP(D170,'G-7 WaterC'' Data'!$B$2:$G$8,2,FALSE))</f>
        <v/>
      </c>
      <c r="G170" s="363" t="str">
        <f>IFERROR(VLOOKUP(F170,'G-7 WaterC'' Data'!$C$4:$D$8,2,FALSE),"")</f>
        <v/>
      </c>
      <c r="H170" s="114"/>
      <c r="I170" s="363" t="str">
        <f>IFERROR(INDEX('G-7 WaterC'' Data'!$H$4:$L$8,MATCH(D170,'G-7 WaterC'' Data'!$B$4:$B$8,0),MATCH(H170,'G-7 WaterC'' Data'!$H$3:$L$3,0)),"")</f>
        <v/>
      </c>
      <c r="J170" s="115"/>
      <c r="K170" s="382" t="str">
        <f>IF(J170="","",IF(VLOOKUP(J170,'G-7 WaterC'' Data'!$AK$4:$AM$9,2,FALSE)=0,"Spatial Data Missing ⚠",VLOOKUP(J170,'G-7 WaterC'' Data'!$AK$4:$AM$6,2,FALSE)))</f>
        <v/>
      </c>
      <c r="L170" s="386" t="str">
        <f>IF(J170="","",IF(VLOOKUP(J170,'G-7 WaterC'' Data'!$AK$4:$AM$9,3,FALSE)=0,"Spatial Data Missing ⚠",VLOOKUP(J170,'G-7 WaterC'' Data'!$AK$4:$AM$6,3,FALSE)))</f>
        <v/>
      </c>
      <c r="M170" s="115"/>
      <c r="N170" s="363" t="str">
        <f>IF(M170="","",IF(VLOOKUP(M170,'G-7 WaterC'' Data'!$AA$4:$AB$7,2,FALSE)=0,"Spatial Data Missing ⚠",VLOOKUP(M170,'G-7 WaterC'' Data'!$AA$4:$AB$7,2,FALSE)))</f>
        <v/>
      </c>
      <c r="O170" s="60"/>
      <c r="P170" s="363" t="str">
        <f>IF(O170="","",IF(VLOOKUP(O170,'G-7 WaterC'' Data'!$AD$4:$AE$14,2,FALSE)=0,"Spatial Data Missing ⚠",VLOOKUP(O170,'G-7 WaterC'' Data'!$AD$4:$AE$14,2,FALSE)))</f>
        <v/>
      </c>
      <c r="Q170" s="369" t="str">
        <f>IF(D170="","",VLOOKUP(D170,'G-7 WaterC'' Data'!$B$4:$G$8,6,FALSE))</f>
        <v/>
      </c>
      <c r="R170" s="376" t="str">
        <f>IFERROR(IF(D170="","",IF(AND(Q170='G-1 All Habitats'!$X$3,X170&gt;0),Y170+(Z170*T170),IF(AND(Q170='G-1 All Habitats'!$X$3,W170&gt;0),Y170+(Z170*T170),IF(AND(Q170='G-1 All Habitats'!$X$3,AH170&gt;0),"Any Loss Unacceptable ⚠",IF(AND(Q170='G-1 All Habitats'!$X$3,AI170&gt;0),"Any Loss Unacceptable ⚠", E170*G170*I170*L170*N170*P170*T170 ))))),"Check Data ▲")</f>
        <v/>
      </c>
      <c r="S170" s="516"/>
      <c r="T170" s="368" t="str">
        <f>IF(S170="","",IF(VLOOKUP(S170,'G-7 WaterC'' Data'!$AO$4:$BO$7,2,FALSE)=0,"Spatial Data Missing ⚠",VLOOKUP(S170,'G-7 WaterC'' Data'!$AO$4:$BO$7,2,FALSE)))</f>
        <v/>
      </c>
      <c r="U170" s="376" t="str">
        <f>IFERROR(IF(D170="","",IF(AND(Q170='G-1 All Habitats'!$X$3,X170&gt;0),Y170+Z170,IF(AND(Q170='G-1 All Habitats'!$X$3,W170&gt;0),Y170+Z170,IF(AND(Q170='G-1 All Habitats'!$X$3,AH170&gt;0),"Any Loss Unacceptable ⚠",IF(AND(Q170='G-1 All Habitats'!$X$3,AI170&gt;0),"Any Loss Unacceptable ⚠", E170*G170*I170*L170*N170*P170 ))))),"Check Data ▲")</f>
        <v/>
      </c>
      <c r="V170" s="32"/>
      <c r="W170" s="114"/>
      <c r="X170" s="125"/>
      <c r="Y170" s="374" t="str">
        <f t="shared" si="16"/>
        <v/>
      </c>
      <c r="Z170" s="374" t="str">
        <f t="shared" si="17"/>
        <v/>
      </c>
      <c r="AA170" s="374" t="str">
        <f t="shared" si="18"/>
        <v/>
      </c>
      <c r="AB170" s="670" t="str">
        <f t="shared" si="19"/>
        <v/>
      </c>
      <c r="AC170" s="516"/>
      <c r="AD170" s="119"/>
      <c r="AE170" s="120"/>
      <c r="AF170" s="120"/>
      <c r="AG170" s="120"/>
      <c r="AH170" s="57" t="str">
        <f>IF(Q170="","",IF(Q170='G-1 All Habitats'!$X$3,E170-X170-W170,"None"))</f>
        <v/>
      </c>
      <c r="AI170" s="58" t="str">
        <f>IF(Q170="","", IF(Q170='G-1 All Habitats'!$X$3, AH170*G170*I170*L170*N170*P170,"None"))</f>
        <v/>
      </c>
      <c r="AJ170" s="30" t="str">
        <f>IFERROR(INDEX('G-7 WaterC'' Data'!$AZ$3:$AZ$7,MATCH(D170,'G-7 WaterC'' Data'!$AY$3:$AY$7,0)),"")</f>
        <v/>
      </c>
      <c r="AK170" s="30">
        <f t="shared" si="20"/>
        <v>0</v>
      </c>
      <c r="AL170" s="124" t="str">
        <f t="shared" si="21"/>
        <v/>
      </c>
      <c r="AM170" s="124" t="str">
        <f t="shared" si="22"/>
        <v/>
      </c>
      <c r="AO170" s="124">
        <v>161</v>
      </c>
      <c r="AQ170" s="124" t="str">
        <f t="array" ref="AQ170">IFERROR(INDEX($AO$10:$AO$258, MATCH(0, IF(TRUE=$AL$10:$AL$258, COUNTIF($AQ$9:$AQ169, $AO$10:$AO$258), ""), 0)),"")</f>
        <v/>
      </c>
      <c r="AR170" s="124" t="str">
        <f t="array" ref="AR170">IFERROR(INDEX($AO$10:$AO$258, MATCH(0, IF(TRUE=$AM$10:$AM$258, COUNTIF($AR$9:$AR169, $AO$10:$AO$258), ""), 0)),"")</f>
        <v/>
      </c>
      <c r="AZ170" s="802" t="str">
        <f t="shared" si="23"/>
        <v/>
      </c>
    </row>
    <row r="171" spans="3:52" ht="15.75" thickBot="1">
      <c r="C171" s="110">
        <v>162</v>
      </c>
      <c r="D171" s="340"/>
      <c r="E171" s="121"/>
      <c r="F171" s="362" t="str">
        <f>IF(D171="","",VLOOKUP(D171,'G-7 WaterC'' Data'!$B$2:$G$8,2,FALSE))</f>
        <v/>
      </c>
      <c r="G171" s="363" t="str">
        <f>IFERROR(VLOOKUP(F171,'G-7 WaterC'' Data'!$C$4:$D$8,2,FALSE),"")</f>
        <v/>
      </c>
      <c r="H171" s="114"/>
      <c r="I171" s="363" t="str">
        <f>IFERROR(INDEX('G-7 WaterC'' Data'!$H$4:$L$8,MATCH(D171,'G-7 WaterC'' Data'!$B$4:$B$8,0),MATCH(H171,'G-7 WaterC'' Data'!$H$3:$L$3,0)),"")</f>
        <v/>
      </c>
      <c r="J171" s="115"/>
      <c r="K171" s="382" t="str">
        <f>IF(J171="","",IF(VLOOKUP(J171,'G-7 WaterC'' Data'!$AK$4:$AM$9,2,FALSE)=0,"Spatial Data Missing ⚠",VLOOKUP(J171,'G-7 WaterC'' Data'!$AK$4:$AM$6,2,FALSE)))</f>
        <v/>
      </c>
      <c r="L171" s="386" t="str">
        <f>IF(J171="","",IF(VLOOKUP(J171,'G-7 WaterC'' Data'!$AK$4:$AM$9,3,FALSE)=0,"Spatial Data Missing ⚠",VLOOKUP(J171,'G-7 WaterC'' Data'!$AK$4:$AM$6,3,FALSE)))</f>
        <v/>
      </c>
      <c r="M171" s="115"/>
      <c r="N171" s="363" t="str">
        <f>IF(M171="","",IF(VLOOKUP(M171,'G-7 WaterC'' Data'!$AA$4:$AB$7,2,FALSE)=0,"Spatial Data Missing ⚠",VLOOKUP(M171,'G-7 WaterC'' Data'!$AA$4:$AB$7,2,FALSE)))</f>
        <v/>
      </c>
      <c r="O171" s="60"/>
      <c r="P171" s="363" t="str">
        <f>IF(O171="","",IF(VLOOKUP(O171,'G-7 WaterC'' Data'!$AD$4:$AE$14,2,FALSE)=0,"Spatial Data Missing ⚠",VLOOKUP(O171,'G-7 WaterC'' Data'!$AD$4:$AE$14,2,FALSE)))</f>
        <v/>
      </c>
      <c r="Q171" s="369" t="str">
        <f>IF(D171="","",VLOOKUP(D171,'G-7 WaterC'' Data'!$B$4:$G$8,6,FALSE))</f>
        <v/>
      </c>
      <c r="R171" s="376" t="str">
        <f>IFERROR(IF(D171="","",IF(AND(Q171='G-1 All Habitats'!$X$3,X171&gt;0),Y171+(Z171*T171),IF(AND(Q171='G-1 All Habitats'!$X$3,W171&gt;0),Y171+(Z171*T171),IF(AND(Q171='G-1 All Habitats'!$X$3,AH171&gt;0),"Any Loss Unacceptable ⚠",IF(AND(Q171='G-1 All Habitats'!$X$3,AI171&gt;0),"Any Loss Unacceptable ⚠", E171*G171*I171*L171*N171*P171*T171 ))))),"Check Data ▲")</f>
        <v/>
      </c>
      <c r="S171" s="516"/>
      <c r="T171" s="368" t="str">
        <f>IF(S171="","",IF(VLOOKUP(S171,'G-7 WaterC'' Data'!$AO$4:$BO$7,2,FALSE)=0,"Spatial Data Missing ⚠",VLOOKUP(S171,'G-7 WaterC'' Data'!$AO$4:$BO$7,2,FALSE)))</f>
        <v/>
      </c>
      <c r="U171" s="376" t="str">
        <f>IFERROR(IF(D171="","",IF(AND(Q171='G-1 All Habitats'!$X$3,X171&gt;0),Y171+Z171,IF(AND(Q171='G-1 All Habitats'!$X$3,W171&gt;0),Y171+Z171,IF(AND(Q171='G-1 All Habitats'!$X$3,AH171&gt;0),"Any Loss Unacceptable ⚠",IF(AND(Q171='G-1 All Habitats'!$X$3,AI171&gt;0),"Any Loss Unacceptable ⚠", E171*G171*I171*L171*N171*P171 ))))),"Check Data ▲")</f>
        <v/>
      </c>
      <c r="V171" s="32"/>
      <c r="W171" s="114"/>
      <c r="X171" s="125"/>
      <c r="Y171" s="374" t="str">
        <f t="shared" si="16"/>
        <v/>
      </c>
      <c r="Z171" s="374" t="str">
        <f t="shared" si="17"/>
        <v/>
      </c>
      <c r="AA171" s="374" t="str">
        <f t="shared" si="18"/>
        <v/>
      </c>
      <c r="AB171" s="670" t="str">
        <f t="shared" si="19"/>
        <v/>
      </c>
      <c r="AC171" s="516"/>
      <c r="AD171" s="119"/>
      <c r="AE171" s="120"/>
      <c r="AF171" s="120"/>
      <c r="AG171" s="120"/>
      <c r="AH171" s="57" t="str">
        <f>IF(Q171="","",IF(Q171='G-1 All Habitats'!$X$3,E171-X171-W171,"None"))</f>
        <v/>
      </c>
      <c r="AI171" s="58" t="str">
        <f>IF(Q171="","", IF(Q171='G-1 All Habitats'!$X$3, AH171*G171*I171*L171*N171*P171,"None"))</f>
        <v/>
      </c>
      <c r="AJ171" s="30" t="str">
        <f>IFERROR(INDEX('G-7 WaterC'' Data'!$AZ$3:$AZ$7,MATCH(D171,'G-7 WaterC'' Data'!$AY$3:$AY$7,0)),"")</f>
        <v/>
      </c>
      <c r="AK171" s="30">
        <f t="shared" si="20"/>
        <v>0</v>
      </c>
      <c r="AL171" s="124" t="str">
        <f t="shared" si="21"/>
        <v/>
      </c>
      <c r="AM171" s="124" t="str">
        <f t="shared" si="22"/>
        <v/>
      </c>
      <c r="AO171" s="124">
        <v>162</v>
      </c>
      <c r="AQ171" s="124" t="str">
        <f t="array" ref="AQ171">IFERROR(INDEX($AO$10:$AO$258, MATCH(0, IF(TRUE=$AL$10:$AL$258, COUNTIF($AQ$9:$AQ170, $AO$10:$AO$258), ""), 0)),"")</f>
        <v/>
      </c>
      <c r="AR171" s="124" t="str">
        <f t="array" ref="AR171">IFERROR(INDEX($AO$10:$AO$258, MATCH(0, IF(TRUE=$AM$10:$AM$258, COUNTIF($AR$9:$AR170, $AO$10:$AO$258), ""), 0)),"")</f>
        <v/>
      </c>
      <c r="AZ171" s="802" t="str">
        <f t="shared" si="23"/>
        <v/>
      </c>
    </row>
    <row r="172" spans="3:52" ht="15.75" thickBot="1">
      <c r="C172" s="110">
        <v>163</v>
      </c>
      <c r="D172" s="340"/>
      <c r="E172" s="121"/>
      <c r="F172" s="362" t="str">
        <f>IF(D172="","",VLOOKUP(D172,'G-7 WaterC'' Data'!$B$2:$G$8,2,FALSE))</f>
        <v/>
      </c>
      <c r="G172" s="363" t="str">
        <f>IFERROR(VLOOKUP(F172,'G-7 WaterC'' Data'!$C$4:$D$8,2,FALSE),"")</f>
        <v/>
      </c>
      <c r="H172" s="114"/>
      <c r="I172" s="363" t="str">
        <f>IFERROR(INDEX('G-7 WaterC'' Data'!$H$4:$L$8,MATCH(D172,'G-7 WaterC'' Data'!$B$4:$B$8,0),MATCH(H172,'G-7 WaterC'' Data'!$H$3:$L$3,0)),"")</f>
        <v/>
      </c>
      <c r="J172" s="115"/>
      <c r="K172" s="382" t="str">
        <f>IF(J172="","",IF(VLOOKUP(J172,'G-7 WaterC'' Data'!$AK$4:$AM$9,2,FALSE)=0,"Spatial Data Missing ⚠",VLOOKUP(J172,'G-7 WaterC'' Data'!$AK$4:$AM$6,2,FALSE)))</f>
        <v/>
      </c>
      <c r="L172" s="386" t="str">
        <f>IF(J172="","",IF(VLOOKUP(J172,'G-7 WaterC'' Data'!$AK$4:$AM$9,3,FALSE)=0,"Spatial Data Missing ⚠",VLOOKUP(J172,'G-7 WaterC'' Data'!$AK$4:$AM$6,3,FALSE)))</f>
        <v/>
      </c>
      <c r="M172" s="115"/>
      <c r="N172" s="363" t="str">
        <f>IF(M172="","",IF(VLOOKUP(M172,'G-7 WaterC'' Data'!$AA$4:$AB$7,2,FALSE)=0,"Spatial Data Missing ⚠",VLOOKUP(M172,'G-7 WaterC'' Data'!$AA$4:$AB$7,2,FALSE)))</f>
        <v/>
      </c>
      <c r="O172" s="60"/>
      <c r="P172" s="363" t="str">
        <f>IF(O172="","",IF(VLOOKUP(O172,'G-7 WaterC'' Data'!$AD$4:$AE$14,2,FALSE)=0,"Spatial Data Missing ⚠",VLOOKUP(O172,'G-7 WaterC'' Data'!$AD$4:$AE$14,2,FALSE)))</f>
        <v/>
      </c>
      <c r="Q172" s="369" t="str">
        <f>IF(D172="","",VLOOKUP(D172,'G-7 WaterC'' Data'!$B$4:$G$8,6,FALSE))</f>
        <v/>
      </c>
      <c r="R172" s="376" t="str">
        <f>IFERROR(IF(D172="","",IF(AND(Q172='G-1 All Habitats'!$X$3,X172&gt;0),Y172+(Z172*T172),IF(AND(Q172='G-1 All Habitats'!$X$3,W172&gt;0),Y172+(Z172*T172),IF(AND(Q172='G-1 All Habitats'!$X$3,AH172&gt;0),"Any Loss Unacceptable ⚠",IF(AND(Q172='G-1 All Habitats'!$X$3,AI172&gt;0),"Any Loss Unacceptable ⚠", E172*G172*I172*L172*N172*P172*T172 ))))),"Check Data ▲")</f>
        <v/>
      </c>
      <c r="S172" s="516"/>
      <c r="T172" s="368" t="str">
        <f>IF(S172="","",IF(VLOOKUP(S172,'G-7 WaterC'' Data'!$AO$4:$BO$7,2,FALSE)=0,"Spatial Data Missing ⚠",VLOOKUP(S172,'G-7 WaterC'' Data'!$AO$4:$BO$7,2,FALSE)))</f>
        <v/>
      </c>
      <c r="U172" s="376" t="str">
        <f>IFERROR(IF(D172="","",IF(AND(Q172='G-1 All Habitats'!$X$3,X172&gt;0),Y172+Z172,IF(AND(Q172='G-1 All Habitats'!$X$3,W172&gt;0),Y172+Z172,IF(AND(Q172='G-1 All Habitats'!$X$3,AH172&gt;0),"Any Loss Unacceptable ⚠",IF(AND(Q172='G-1 All Habitats'!$X$3,AI172&gt;0),"Any Loss Unacceptable ⚠", E172*G172*I172*L172*N172*P172 ))))),"Check Data ▲")</f>
        <v/>
      </c>
      <c r="V172" s="32"/>
      <c r="W172" s="114"/>
      <c r="X172" s="125"/>
      <c r="Y172" s="374" t="str">
        <f t="shared" si="16"/>
        <v/>
      </c>
      <c r="Z172" s="374" t="str">
        <f t="shared" si="17"/>
        <v/>
      </c>
      <c r="AA172" s="374" t="str">
        <f t="shared" si="18"/>
        <v/>
      </c>
      <c r="AB172" s="670" t="str">
        <f t="shared" si="19"/>
        <v/>
      </c>
      <c r="AC172" s="516"/>
      <c r="AD172" s="119"/>
      <c r="AE172" s="120"/>
      <c r="AF172" s="120"/>
      <c r="AG172" s="120"/>
      <c r="AH172" s="57" t="str">
        <f>IF(Q172="","",IF(Q172='G-1 All Habitats'!$X$3,E172-X172-W172,"None"))</f>
        <v/>
      </c>
      <c r="AI172" s="58" t="str">
        <f>IF(Q172="","", IF(Q172='G-1 All Habitats'!$X$3, AH172*G172*I172*L172*N172*P172,"None"))</f>
        <v/>
      </c>
      <c r="AJ172" s="30" t="str">
        <f>IFERROR(INDEX('G-7 WaterC'' Data'!$AZ$3:$AZ$7,MATCH(D172,'G-7 WaterC'' Data'!$AY$3:$AY$7,0)),"")</f>
        <v/>
      </c>
      <c r="AK172" s="30">
        <f t="shared" si="20"/>
        <v>0</v>
      </c>
      <c r="AL172" s="124" t="str">
        <f t="shared" si="21"/>
        <v/>
      </c>
      <c r="AM172" s="124" t="str">
        <f t="shared" si="22"/>
        <v/>
      </c>
      <c r="AO172" s="124">
        <v>163</v>
      </c>
      <c r="AQ172" s="124" t="str">
        <f t="array" ref="AQ172">IFERROR(INDEX($AO$10:$AO$258, MATCH(0, IF(TRUE=$AL$10:$AL$258, COUNTIF($AQ$9:$AQ171, $AO$10:$AO$258), ""), 0)),"")</f>
        <v/>
      </c>
      <c r="AR172" s="124" t="str">
        <f t="array" ref="AR172">IFERROR(INDEX($AO$10:$AO$258, MATCH(0, IF(TRUE=$AM$10:$AM$258, COUNTIF($AR$9:$AR171, $AO$10:$AO$258), ""), 0)),"")</f>
        <v/>
      </c>
      <c r="AZ172" s="802" t="str">
        <f t="shared" si="23"/>
        <v/>
      </c>
    </row>
    <row r="173" spans="3:52" ht="15.75" thickBot="1">
      <c r="C173" s="110">
        <v>164</v>
      </c>
      <c r="D173" s="340"/>
      <c r="E173" s="121"/>
      <c r="F173" s="362" t="str">
        <f>IF(D173="","",VLOOKUP(D173,'G-7 WaterC'' Data'!$B$2:$G$8,2,FALSE))</f>
        <v/>
      </c>
      <c r="G173" s="363" t="str">
        <f>IFERROR(VLOOKUP(F173,'G-7 WaterC'' Data'!$C$4:$D$8,2,FALSE),"")</f>
        <v/>
      </c>
      <c r="H173" s="114"/>
      <c r="I173" s="363" t="str">
        <f>IFERROR(INDEX('G-7 WaterC'' Data'!$H$4:$L$8,MATCH(D173,'G-7 WaterC'' Data'!$B$4:$B$8,0),MATCH(H173,'G-7 WaterC'' Data'!$H$3:$L$3,0)),"")</f>
        <v/>
      </c>
      <c r="J173" s="115"/>
      <c r="K173" s="382" t="str">
        <f>IF(J173="","",IF(VLOOKUP(J173,'G-7 WaterC'' Data'!$AK$4:$AM$9,2,FALSE)=0,"Spatial Data Missing ⚠",VLOOKUP(J173,'G-7 WaterC'' Data'!$AK$4:$AM$6,2,FALSE)))</f>
        <v/>
      </c>
      <c r="L173" s="386" t="str">
        <f>IF(J173="","",IF(VLOOKUP(J173,'G-7 WaterC'' Data'!$AK$4:$AM$9,3,FALSE)=0,"Spatial Data Missing ⚠",VLOOKUP(J173,'G-7 WaterC'' Data'!$AK$4:$AM$6,3,FALSE)))</f>
        <v/>
      </c>
      <c r="M173" s="115"/>
      <c r="N173" s="363" t="str">
        <f>IF(M173="","",IF(VLOOKUP(M173,'G-7 WaterC'' Data'!$AA$4:$AB$7,2,FALSE)=0,"Spatial Data Missing ⚠",VLOOKUP(M173,'G-7 WaterC'' Data'!$AA$4:$AB$7,2,FALSE)))</f>
        <v/>
      </c>
      <c r="O173" s="60"/>
      <c r="P173" s="363" t="str">
        <f>IF(O173="","",IF(VLOOKUP(O173,'G-7 WaterC'' Data'!$AD$4:$AE$14,2,FALSE)=0,"Spatial Data Missing ⚠",VLOOKUP(O173,'G-7 WaterC'' Data'!$AD$4:$AE$14,2,FALSE)))</f>
        <v/>
      </c>
      <c r="Q173" s="369" t="str">
        <f>IF(D173="","",VLOOKUP(D173,'G-7 WaterC'' Data'!$B$4:$G$8,6,FALSE))</f>
        <v/>
      </c>
      <c r="R173" s="376" t="str">
        <f>IFERROR(IF(D173="","",IF(AND(Q173='G-1 All Habitats'!$X$3,X173&gt;0),Y173+(Z173*T173),IF(AND(Q173='G-1 All Habitats'!$X$3,W173&gt;0),Y173+(Z173*T173),IF(AND(Q173='G-1 All Habitats'!$X$3,AH173&gt;0),"Any Loss Unacceptable ⚠",IF(AND(Q173='G-1 All Habitats'!$X$3,AI173&gt;0),"Any Loss Unacceptable ⚠", E173*G173*I173*L173*N173*P173*T173 ))))),"Check Data ▲")</f>
        <v/>
      </c>
      <c r="S173" s="516"/>
      <c r="T173" s="368" t="str">
        <f>IF(S173="","",IF(VLOOKUP(S173,'G-7 WaterC'' Data'!$AO$4:$BO$7,2,FALSE)=0,"Spatial Data Missing ⚠",VLOOKUP(S173,'G-7 WaterC'' Data'!$AO$4:$BO$7,2,FALSE)))</f>
        <v/>
      </c>
      <c r="U173" s="376" t="str">
        <f>IFERROR(IF(D173="","",IF(AND(Q173='G-1 All Habitats'!$X$3,X173&gt;0),Y173+Z173,IF(AND(Q173='G-1 All Habitats'!$X$3,W173&gt;0),Y173+Z173,IF(AND(Q173='G-1 All Habitats'!$X$3,AH173&gt;0),"Any Loss Unacceptable ⚠",IF(AND(Q173='G-1 All Habitats'!$X$3,AI173&gt;0),"Any Loss Unacceptable ⚠", E173*G173*I173*L173*N173*P173 ))))),"Check Data ▲")</f>
        <v/>
      </c>
      <c r="V173" s="32"/>
      <c r="W173" s="114"/>
      <c r="X173" s="125"/>
      <c r="Y173" s="374" t="str">
        <f t="shared" si="16"/>
        <v/>
      </c>
      <c r="Z173" s="374" t="str">
        <f t="shared" si="17"/>
        <v/>
      </c>
      <c r="AA173" s="374" t="str">
        <f t="shared" si="18"/>
        <v/>
      </c>
      <c r="AB173" s="670" t="str">
        <f t="shared" si="19"/>
        <v/>
      </c>
      <c r="AC173" s="516"/>
      <c r="AD173" s="119"/>
      <c r="AE173" s="120"/>
      <c r="AF173" s="120"/>
      <c r="AG173" s="120"/>
      <c r="AH173" s="57" t="str">
        <f>IF(Q173="","",IF(Q173='G-1 All Habitats'!$X$3,E173-X173-W173,"None"))</f>
        <v/>
      </c>
      <c r="AI173" s="58" t="str">
        <f>IF(Q173="","", IF(Q173='G-1 All Habitats'!$X$3, AH173*G173*I173*L173*N173*P173,"None"))</f>
        <v/>
      </c>
      <c r="AJ173" s="30" t="str">
        <f>IFERROR(INDEX('G-7 WaterC'' Data'!$AZ$3:$AZ$7,MATCH(D173,'G-7 WaterC'' Data'!$AY$3:$AY$7,0)),"")</f>
        <v/>
      </c>
      <c r="AK173" s="30">
        <f t="shared" si="20"/>
        <v>0</v>
      </c>
      <c r="AL173" s="124" t="str">
        <f t="shared" si="21"/>
        <v/>
      </c>
      <c r="AM173" s="124" t="str">
        <f t="shared" si="22"/>
        <v/>
      </c>
      <c r="AO173" s="124">
        <v>164</v>
      </c>
      <c r="AQ173" s="124" t="str">
        <f t="array" ref="AQ173">IFERROR(INDEX($AO$10:$AO$258, MATCH(0, IF(TRUE=$AL$10:$AL$258, COUNTIF($AQ$9:$AQ172, $AO$10:$AO$258), ""), 0)),"")</f>
        <v/>
      </c>
      <c r="AR173" s="124" t="str">
        <f t="array" ref="AR173">IFERROR(INDEX($AO$10:$AO$258, MATCH(0, IF(TRUE=$AM$10:$AM$258, COUNTIF($AR$9:$AR172, $AO$10:$AO$258), ""), 0)),"")</f>
        <v/>
      </c>
      <c r="AZ173" s="802" t="str">
        <f t="shared" si="23"/>
        <v/>
      </c>
    </row>
    <row r="174" spans="3:52" ht="15.75" thickBot="1">
      <c r="C174" s="110">
        <v>165</v>
      </c>
      <c r="D174" s="340"/>
      <c r="E174" s="121"/>
      <c r="F174" s="362" t="str">
        <f>IF(D174="","",VLOOKUP(D174,'G-7 WaterC'' Data'!$B$2:$G$8,2,FALSE))</f>
        <v/>
      </c>
      <c r="G174" s="363" t="str">
        <f>IFERROR(VLOOKUP(F174,'G-7 WaterC'' Data'!$C$4:$D$8,2,FALSE),"")</f>
        <v/>
      </c>
      <c r="H174" s="114"/>
      <c r="I174" s="363" t="str">
        <f>IFERROR(INDEX('G-7 WaterC'' Data'!$H$4:$L$8,MATCH(D174,'G-7 WaterC'' Data'!$B$4:$B$8,0),MATCH(H174,'G-7 WaterC'' Data'!$H$3:$L$3,0)),"")</f>
        <v/>
      </c>
      <c r="J174" s="115"/>
      <c r="K174" s="382" t="str">
        <f>IF(J174="","",IF(VLOOKUP(J174,'G-7 WaterC'' Data'!$AK$4:$AM$9,2,FALSE)=0,"Spatial Data Missing ⚠",VLOOKUP(J174,'G-7 WaterC'' Data'!$AK$4:$AM$6,2,FALSE)))</f>
        <v/>
      </c>
      <c r="L174" s="386" t="str">
        <f>IF(J174="","",IF(VLOOKUP(J174,'G-7 WaterC'' Data'!$AK$4:$AM$9,3,FALSE)=0,"Spatial Data Missing ⚠",VLOOKUP(J174,'G-7 WaterC'' Data'!$AK$4:$AM$6,3,FALSE)))</f>
        <v/>
      </c>
      <c r="M174" s="115"/>
      <c r="N174" s="363" t="str">
        <f>IF(M174="","",IF(VLOOKUP(M174,'G-7 WaterC'' Data'!$AA$4:$AB$7,2,FALSE)=0,"Spatial Data Missing ⚠",VLOOKUP(M174,'G-7 WaterC'' Data'!$AA$4:$AB$7,2,FALSE)))</f>
        <v/>
      </c>
      <c r="O174" s="60"/>
      <c r="P174" s="363" t="str">
        <f>IF(O174="","",IF(VLOOKUP(O174,'G-7 WaterC'' Data'!$AD$4:$AE$14,2,FALSE)=0,"Spatial Data Missing ⚠",VLOOKUP(O174,'G-7 WaterC'' Data'!$AD$4:$AE$14,2,FALSE)))</f>
        <v/>
      </c>
      <c r="Q174" s="369" t="str">
        <f>IF(D174="","",VLOOKUP(D174,'G-7 WaterC'' Data'!$B$4:$G$8,6,FALSE))</f>
        <v/>
      </c>
      <c r="R174" s="376" t="str">
        <f>IFERROR(IF(D174="","",IF(AND(Q174='G-1 All Habitats'!$X$3,X174&gt;0),Y174+(Z174*T174),IF(AND(Q174='G-1 All Habitats'!$X$3,W174&gt;0),Y174+(Z174*T174),IF(AND(Q174='G-1 All Habitats'!$X$3,AH174&gt;0),"Any Loss Unacceptable ⚠",IF(AND(Q174='G-1 All Habitats'!$X$3,AI174&gt;0),"Any Loss Unacceptable ⚠", E174*G174*I174*L174*N174*P174*T174 ))))),"Check Data ▲")</f>
        <v/>
      </c>
      <c r="S174" s="516"/>
      <c r="T174" s="368" t="str">
        <f>IF(S174="","",IF(VLOOKUP(S174,'G-7 WaterC'' Data'!$AO$4:$BO$7,2,FALSE)=0,"Spatial Data Missing ⚠",VLOOKUP(S174,'G-7 WaterC'' Data'!$AO$4:$BO$7,2,FALSE)))</f>
        <v/>
      </c>
      <c r="U174" s="376" t="str">
        <f>IFERROR(IF(D174="","",IF(AND(Q174='G-1 All Habitats'!$X$3,X174&gt;0),Y174+Z174,IF(AND(Q174='G-1 All Habitats'!$X$3,W174&gt;0),Y174+Z174,IF(AND(Q174='G-1 All Habitats'!$X$3,AH174&gt;0),"Any Loss Unacceptable ⚠",IF(AND(Q174='G-1 All Habitats'!$X$3,AI174&gt;0),"Any Loss Unacceptable ⚠", E174*G174*I174*L174*N174*P174 ))))),"Check Data ▲")</f>
        <v/>
      </c>
      <c r="V174" s="32"/>
      <c r="W174" s="114"/>
      <c r="X174" s="125"/>
      <c r="Y174" s="374" t="str">
        <f t="shared" si="16"/>
        <v/>
      </c>
      <c r="Z174" s="374" t="str">
        <f t="shared" si="17"/>
        <v/>
      </c>
      <c r="AA174" s="374" t="str">
        <f t="shared" si="18"/>
        <v/>
      </c>
      <c r="AB174" s="670" t="str">
        <f t="shared" si="19"/>
        <v/>
      </c>
      <c r="AC174" s="516"/>
      <c r="AD174" s="119"/>
      <c r="AE174" s="120"/>
      <c r="AF174" s="120"/>
      <c r="AG174" s="120"/>
      <c r="AH174" s="57" t="str">
        <f>IF(Q174="","",IF(Q174='G-1 All Habitats'!$X$3,E174-X174-W174,"None"))</f>
        <v/>
      </c>
      <c r="AI174" s="58" t="str">
        <f>IF(Q174="","", IF(Q174='G-1 All Habitats'!$X$3, AH174*G174*I174*L174*N174*P174,"None"))</f>
        <v/>
      </c>
      <c r="AJ174" s="30" t="str">
        <f>IFERROR(INDEX('G-7 WaterC'' Data'!$AZ$3:$AZ$7,MATCH(D174,'G-7 WaterC'' Data'!$AY$3:$AY$7,0)),"")</f>
        <v/>
      </c>
      <c r="AK174" s="30">
        <f t="shared" si="20"/>
        <v>0</v>
      </c>
      <c r="AL174" s="124" t="str">
        <f t="shared" si="21"/>
        <v/>
      </c>
      <c r="AM174" s="124" t="str">
        <f t="shared" si="22"/>
        <v/>
      </c>
      <c r="AO174" s="124">
        <v>165</v>
      </c>
      <c r="AQ174" s="124" t="str">
        <f t="array" ref="AQ174">IFERROR(INDEX($AO$10:$AO$258, MATCH(0, IF(TRUE=$AL$10:$AL$258, COUNTIF($AQ$9:$AQ173, $AO$10:$AO$258), ""), 0)),"")</f>
        <v/>
      </c>
      <c r="AR174" s="124" t="str">
        <f t="array" ref="AR174">IFERROR(INDEX($AO$10:$AO$258, MATCH(0, IF(TRUE=$AM$10:$AM$258, COUNTIF($AR$9:$AR173, $AO$10:$AO$258), ""), 0)),"")</f>
        <v/>
      </c>
      <c r="AZ174" s="802" t="str">
        <f t="shared" si="23"/>
        <v/>
      </c>
    </row>
    <row r="175" spans="3:52" ht="15.75" thickBot="1">
      <c r="C175" s="110">
        <v>166</v>
      </c>
      <c r="D175" s="340"/>
      <c r="E175" s="121"/>
      <c r="F175" s="362" t="str">
        <f>IF(D175="","",VLOOKUP(D175,'G-7 WaterC'' Data'!$B$2:$G$8,2,FALSE))</f>
        <v/>
      </c>
      <c r="G175" s="363" t="str">
        <f>IFERROR(VLOOKUP(F175,'G-7 WaterC'' Data'!$C$4:$D$8,2,FALSE),"")</f>
        <v/>
      </c>
      <c r="H175" s="114"/>
      <c r="I175" s="363" t="str">
        <f>IFERROR(INDEX('G-7 WaterC'' Data'!$H$4:$L$8,MATCH(D175,'G-7 WaterC'' Data'!$B$4:$B$8,0),MATCH(H175,'G-7 WaterC'' Data'!$H$3:$L$3,0)),"")</f>
        <v/>
      </c>
      <c r="J175" s="115"/>
      <c r="K175" s="382" t="str">
        <f>IF(J175="","",IF(VLOOKUP(J175,'G-7 WaterC'' Data'!$AK$4:$AM$9,2,FALSE)=0,"Spatial Data Missing ⚠",VLOOKUP(J175,'G-7 WaterC'' Data'!$AK$4:$AM$6,2,FALSE)))</f>
        <v/>
      </c>
      <c r="L175" s="386" t="str">
        <f>IF(J175="","",IF(VLOOKUP(J175,'G-7 WaterC'' Data'!$AK$4:$AM$9,3,FALSE)=0,"Spatial Data Missing ⚠",VLOOKUP(J175,'G-7 WaterC'' Data'!$AK$4:$AM$6,3,FALSE)))</f>
        <v/>
      </c>
      <c r="M175" s="115"/>
      <c r="N175" s="363" t="str">
        <f>IF(M175="","",IF(VLOOKUP(M175,'G-7 WaterC'' Data'!$AA$4:$AB$7,2,FALSE)=0,"Spatial Data Missing ⚠",VLOOKUP(M175,'G-7 WaterC'' Data'!$AA$4:$AB$7,2,FALSE)))</f>
        <v/>
      </c>
      <c r="O175" s="60"/>
      <c r="P175" s="363" t="str">
        <f>IF(O175="","",IF(VLOOKUP(O175,'G-7 WaterC'' Data'!$AD$4:$AE$14,2,FALSE)=0,"Spatial Data Missing ⚠",VLOOKUP(O175,'G-7 WaterC'' Data'!$AD$4:$AE$14,2,FALSE)))</f>
        <v/>
      </c>
      <c r="Q175" s="369" t="str">
        <f>IF(D175="","",VLOOKUP(D175,'G-7 WaterC'' Data'!$B$4:$G$8,6,FALSE))</f>
        <v/>
      </c>
      <c r="R175" s="376" t="str">
        <f>IFERROR(IF(D175="","",IF(AND(Q175='G-1 All Habitats'!$X$3,X175&gt;0),Y175+(Z175*T175),IF(AND(Q175='G-1 All Habitats'!$X$3,W175&gt;0),Y175+(Z175*T175),IF(AND(Q175='G-1 All Habitats'!$X$3,AH175&gt;0),"Any Loss Unacceptable ⚠",IF(AND(Q175='G-1 All Habitats'!$X$3,AI175&gt;0),"Any Loss Unacceptable ⚠", E175*G175*I175*L175*N175*P175*T175 ))))),"Check Data ▲")</f>
        <v/>
      </c>
      <c r="S175" s="516"/>
      <c r="T175" s="368" t="str">
        <f>IF(S175="","",IF(VLOOKUP(S175,'G-7 WaterC'' Data'!$AO$4:$BO$7,2,FALSE)=0,"Spatial Data Missing ⚠",VLOOKUP(S175,'G-7 WaterC'' Data'!$AO$4:$BO$7,2,FALSE)))</f>
        <v/>
      </c>
      <c r="U175" s="376" t="str">
        <f>IFERROR(IF(D175="","",IF(AND(Q175='G-1 All Habitats'!$X$3,X175&gt;0),Y175+Z175,IF(AND(Q175='G-1 All Habitats'!$X$3,W175&gt;0),Y175+Z175,IF(AND(Q175='G-1 All Habitats'!$X$3,AH175&gt;0),"Any Loss Unacceptable ⚠",IF(AND(Q175='G-1 All Habitats'!$X$3,AI175&gt;0),"Any Loss Unacceptable ⚠", E175*G175*I175*L175*N175*P175 ))))),"Check Data ▲")</f>
        <v/>
      </c>
      <c r="V175" s="32"/>
      <c r="W175" s="114"/>
      <c r="X175" s="125"/>
      <c r="Y175" s="374" t="str">
        <f t="shared" si="16"/>
        <v/>
      </c>
      <c r="Z175" s="374" t="str">
        <f t="shared" si="17"/>
        <v/>
      </c>
      <c r="AA175" s="374" t="str">
        <f t="shared" si="18"/>
        <v/>
      </c>
      <c r="AB175" s="670" t="str">
        <f t="shared" si="19"/>
        <v/>
      </c>
      <c r="AC175" s="516"/>
      <c r="AD175" s="119"/>
      <c r="AE175" s="120"/>
      <c r="AF175" s="120"/>
      <c r="AG175" s="120"/>
      <c r="AH175" s="57" t="str">
        <f>IF(Q175="","",IF(Q175='G-1 All Habitats'!$X$3,E175-X175-W175,"None"))</f>
        <v/>
      </c>
      <c r="AI175" s="58" t="str">
        <f>IF(Q175="","", IF(Q175='G-1 All Habitats'!$X$3, AH175*G175*I175*L175*N175*P175,"None"))</f>
        <v/>
      </c>
      <c r="AJ175" s="30" t="str">
        <f>IFERROR(INDEX('G-7 WaterC'' Data'!$AZ$3:$AZ$7,MATCH(D175,'G-7 WaterC'' Data'!$AY$3:$AY$7,0)),"")</f>
        <v/>
      </c>
      <c r="AK175" s="30">
        <f t="shared" si="20"/>
        <v>0</v>
      </c>
      <c r="AL175" s="124" t="str">
        <f t="shared" si="21"/>
        <v/>
      </c>
      <c r="AM175" s="124" t="str">
        <f t="shared" si="22"/>
        <v/>
      </c>
      <c r="AO175" s="124">
        <v>166</v>
      </c>
      <c r="AQ175" s="124" t="str">
        <f t="array" ref="AQ175">IFERROR(INDEX($AO$10:$AO$258, MATCH(0, IF(TRUE=$AL$10:$AL$258, COUNTIF($AQ$9:$AQ174, $AO$10:$AO$258), ""), 0)),"")</f>
        <v/>
      </c>
      <c r="AR175" s="124" t="str">
        <f t="array" ref="AR175">IFERROR(INDEX($AO$10:$AO$258, MATCH(0, IF(TRUE=$AM$10:$AM$258, COUNTIF($AR$9:$AR174, $AO$10:$AO$258), ""), 0)),"")</f>
        <v/>
      </c>
      <c r="AZ175" s="802" t="str">
        <f t="shared" si="23"/>
        <v/>
      </c>
    </row>
    <row r="176" spans="3:52" ht="15.75" thickBot="1">
      <c r="C176" s="110">
        <v>167</v>
      </c>
      <c r="D176" s="340"/>
      <c r="E176" s="121"/>
      <c r="F176" s="362" t="str">
        <f>IF(D176="","",VLOOKUP(D176,'G-7 WaterC'' Data'!$B$2:$G$8,2,FALSE))</f>
        <v/>
      </c>
      <c r="G176" s="363" t="str">
        <f>IFERROR(VLOOKUP(F176,'G-7 WaterC'' Data'!$C$4:$D$8,2,FALSE),"")</f>
        <v/>
      </c>
      <c r="H176" s="114"/>
      <c r="I176" s="363" t="str">
        <f>IFERROR(INDEX('G-7 WaterC'' Data'!$H$4:$L$8,MATCH(D176,'G-7 WaterC'' Data'!$B$4:$B$8,0),MATCH(H176,'G-7 WaterC'' Data'!$H$3:$L$3,0)),"")</f>
        <v/>
      </c>
      <c r="J176" s="115"/>
      <c r="K176" s="382" t="str">
        <f>IF(J176="","",IF(VLOOKUP(J176,'G-7 WaterC'' Data'!$AK$4:$AM$9,2,FALSE)=0,"Spatial Data Missing ⚠",VLOOKUP(J176,'G-7 WaterC'' Data'!$AK$4:$AM$6,2,FALSE)))</f>
        <v/>
      </c>
      <c r="L176" s="386" t="str">
        <f>IF(J176="","",IF(VLOOKUP(J176,'G-7 WaterC'' Data'!$AK$4:$AM$9,3,FALSE)=0,"Spatial Data Missing ⚠",VLOOKUP(J176,'G-7 WaterC'' Data'!$AK$4:$AM$6,3,FALSE)))</f>
        <v/>
      </c>
      <c r="M176" s="115"/>
      <c r="N176" s="363" t="str">
        <f>IF(M176="","",IF(VLOOKUP(M176,'G-7 WaterC'' Data'!$AA$4:$AB$7,2,FALSE)=0,"Spatial Data Missing ⚠",VLOOKUP(M176,'G-7 WaterC'' Data'!$AA$4:$AB$7,2,FALSE)))</f>
        <v/>
      </c>
      <c r="O176" s="60"/>
      <c r="P176" s="363" t="str">
        <f>IF(O176="","",IF(VLOOKUP(O176,'G-7 WaterC'' Data'!$AD$4:$AE$14,2,FALSE)=0,"Spatial Data Missing ⚠",VLOOKUP(O176,'G-7 WaterC'' Data'!$AD$4:$AE$14,2,FALSE)))</f>
        <v/>
      </c>
      <c r="Q176" s="369" t="str">
        <f>IF(D176="","",VLOOKUP(D176,'G-7 WaterC'' Data'!$B$4:$G$8,6,FALSE))</f>
        <v/>
      </c>
      <c r="R176" s="376" t="str">
        <f>IFERROR(IF(D176="","",IF(AND(Q176='G-1 All Habitats'!$X$3,X176&gt;0),Y176+(Z176*T176),IF(AND(Q176='G-1 All Habitats'!$X$3,W176&gt;0),Y176+(Z176*T176),IF(AND(Q176='G-1 All Habitats'!$X$3,AH176&gt;0),"Any Loss Unacceptable ⚠",IF(AND(Q176='G-1 All Habitats'!$X$3,AI176&gt;0),"Any Loss Unacceptable ⚠", E176*G176*I176*L176*N176*P176*T176 ))))),"Check Data ▲")</f>
        <v/>
      </c>
      <c r="S176" s="516"/>
      <c r="T176" s="368" t="str">
        <f>IF(S176="","",IF(VLOOKUP(S176,'G-7 WaterC'' Data'!$AO$4:$BO$7,2,FALSE)=0,"Spatial Data Missing ⚠",VLOOKUP(S176,'G-7 WaterC'' Data'!$AO$4:$BO$7,2,FALSE)))</f>
        <v/>
      </c>
      <c r="U176" s="376" t="str">
        <f>IFERROR(IF(D176="","",IF(AND(Q176='G-1 All Habitats'!$X$3,X176&gt;0),Y176+Z176,IF(AND(Q176='G-1 All Habitats'!$X$3,W176&gt;0),Y176+Z176,IF(AND(Q176='G-1 All Habitats'!$X$3,AH176&gt;0),"Any Loss Unacceptable ⚠",IF(AND(Q176='G-1 All Habitats'!$X$3,AI176&gt;0),"Any Loss Unacceptable ⚠", E176*G176*I176*L176*N176*P176 ))))),"Check Data ▲")</f>
        <v/>
      </c>
      <c r="V176" s="32"/>
      <c r="W176" s="114"/>
      <c r="X176" s="125"/>
      <c r="Y176" s="374" t="str">
        <f t="shared" si="16"/>
        <v/>
      </c>
      <c r="Z176" s="374" t="str">
        <f t="shared" si="17"/>
        <v/>
      </c>
      <c r="AA176" s="374" t="str">
        <f t="shared" si="18"/>
        <v/>
      </c>
      <c r="AB176" s="670" t="str">
        <f t="shared" si="19"/>
        <v/>
      </c>
      <c r="AC176" s="516"/>
      <c r="AD176" s="119"/>
      <c r="AE176" s="120"/>
      <c r="AF176" s="120"/>
      <c r="AG176" s="120"/>
      <c r="AH176" s="57" t="str">
        <f>IF(Q176="","",IF(Q176='G-1 All Habitats'!$X$3,E176-X176-W176,"None"))</f>
        <v/>
      </c>
      <c r="AI176" s="58" t="str">
        <f>IF(Q176="","", IF(Q176='G-1 All Habitats'!$X$3, AH176*G176*I176*L176*N176*P176,"None"))</f>
        <v/>
      </c>
      <c r="AJ176" s="30" t="str">
        <f>IFERROR(INDEX('G-7 WaterC'' Data'!$AZ$3:$AZ$7,MATCH(D176,'G-7 WaterC'' Data'!$AY$3:$AY$7,0)),"")</f>
        <v/>
      </c>
      <c r="AK176" s="30">
        <f t="shared" si="20"/>
        <v>0</v>
      </c>
      <c r="AL176" s="124" t="str">
        <f t="shared" si="21"/>
        <v/>
      </c>
      <c r="AM176" s="124" t="str">
        <f t="shared" si="22"/>
        <v/>
      </c>
      <c r="AO176" s="124">
        <v>167</v>
      </c>
      <c r="AQ176" s="124" t="str">
        <f t="array" ref="AQ176">IFERROR(INDEX($AO$10:$AO$258, MATCH(0, IF(TRUE=$AL$10:$AL$258, COUNTIF($AQ$9:$AQ175, $AO$10:$AO$258), ""), 0)),"")</f>
        <v/>
      </c>
      <c r="AR176" s="124" t="str">
        <f t="array" ref="AR176">IFERROR(INDEX($AO$10:$AO$258, MATCH(0, IF(TRUE=$AM$10:$AM$258, COUNTIF($AR$9:$AR175, $AO$10:$AO$258), ""), 0)),"")</f>
        <v/>
      </c>
      <c r="AZ176" s="802" t="str">
        <f t="shared" si="23"/>
        <v/>
      </c>
    </row>
    <row r="177" spans="3:52" ht="15.75" thickBot="1">
      <c r="C177" s="110">
        <v>168</v>
      </c>
      <c r="D177" s="340"/>
      <c r="E177" s="121"/>
      <c r="F177" s="362" t="str">
        <f>IF(D177="","",VLOOKUP(D177,'G-7 WaterC'' Data'!$B$2:$G$8,2,FALSE))</f>
        <v/>
      </c>
      <c r="G177" s="363" t="str">
        <f>IFERROR(VLOOKUP(F177,'G-7 WaterC'' Data'!$C$4:$D$8,2,FALSE),"")</f>
        <v/>
      </c>
      <c r="H177" s="114"/>
      <c r="I177" s="363" t="str">
        <f>IFERROR(INDEX('G-7 WaterC'' Data'!$H$4:$L$8,MATCH(D177,'G-7 WaterC'' Data'!$B$4:$B$8,0),MATCH(H177,'G-7 WaterC'' Data'!$H$3:$L$3,0)),"")</f>
        <v/>
      </c>
      <c r="J177" s="115"/>
      <c r="K177" s="382" t="str">
        <f>IF(J177="","",IF(VLOOKUP(J177,'G-7 WaterC'' Data'!$AK$4:$AM$9,2,FALSE)=0,"Spatial Data Missing ⚠",VLOOKUP(J177,'G-7 WaterC'' Data'!$AK$4:$AM$6,2,FALSE)))</f>
        <v/>
      </c>
      <c r="L177" s="386" t="str">
        <f>IF(J177="","",IF(VLOOKUP(J177,'G-7 WaterC'' Data'!$AK$4:$AM$9,3,FALSE)=0,"Spatial Data Missing ⚠",VLOOKUP(J177,'G-7 WaterC'' Data'!$AK$4:$AM$6,3,FALSE)))</f>
        <v/>
      </c>
      <c r="M177" s="115"/>
      <c r="N177" s="363" t="str">
        <f>IF(M177="","",IF(VLOOKUP(M177,'G-7 WaterC'' Data'!$AA$4:$AB$7,2,FALSE)=0,"Spatial Data Missing ⚠",VLOOKUP(M177,'G-7 WaterC'' Data'!$AA$4:$AB$7,2,FALSE)))</f>
        <v/>
      </c>
      <c r="O177" s="60"/>
      <c r="P177" s="363" t="str">
        <f>IF(O177="","",IF(VLOOKUP(O177,'G-7 WaterC'' Data'!$AD$4:$AE$14,2,FALSE)=0,"Spatial Data Missing ⚠",VLOOKUP(O177,'G-7 WaterC'' Data'!$AD$4:$AE$14,2,FALSE)))</f>
        <v/>
      </c>
      <c r="Q177" s="369" t="str">
        <f>IF(D177="","",VLOOKUP(D177,'G-7 WaterC'' Data'!$B$4:$G$8,6,FALSE))</f>
        <v/>
      </c>
      <c r="R177" s="376" t="str">
        <f>IFERROR(IF(D177="","",IF(AND(Q177='G-1 All Habitats'!$X$3,X177&gt;0),Y177+(Z177*T177),IF(AND(Q177='G-1 All Habitats'!$X$3,W177&gt;0),Y177+(Z177*T177),IF(AND(Q177='G-1 All Habitats'!$X$3,AH177&gt;0),"Any Loss Unacceptable ⚠",IF(AND(Q177='G-1 All Habitats'!$X$3,AI177&gt;0),"Any Loss Unacceptable ⚠", E177*G177*I177*L177*N177*P177*T177 ))))),"Check Data ▲")</f>
        <v/>
      </c>
      <c r="S177" s="516"/>
      <c r="T177" s="368" t="str">
        <f>IF(S177="","",IF(VLOOKUP(S177,'G-7 WaterC'' Data'!$AO$4:$BO$7,2,FALSE)=0,"Spatial Data Missing ⚠",VLOOKUP(S177,'G-7 WaterC'' Data'!$AO$4:$BO$7,2,FALSE)))</f>
        <v/>
      </c>
      <c r="U177" s="376" t="str">
        <f>IFERROR(IF(D177="","",IF(AND(Q177='G-1 All Habitats'!$X$3,X177&gt;0),Y177+Z177,IF(AND(Q177='G-1 All Habitats'!$X$3,W177&gt;0),Y177+Z177,IF(AND(Q177='G-1 All Habitats'!$X$3,AH177&gt;0),"Any Loss Unacceptable ⚠",IF(AND(Q177='G-1 All Habitats'!$X$3,AI177&gt;0),"Any Loss Unacceptable ⚠", E177*G177*I177*L177*N177*P177 ))))),"Check Data ▲")</f>
        <v/>
      </c>
      <c r="V177" s="32"/>
      <c r="W177" s="114"/>
      <c r="X177" s="125"/>
      <c r="Y177" s="374" t="str">
        <f t="shared" si="16"/>
        <v/>
      </c>
      <c r="Z177" s="374" t="str">
        <f t="shared" si="17"/>
        <v/>
      </c>
      <c r="AA177" s="374" t="str">
        <f t="shared" si="18"/>
        <v/>
      </c>
      <c r="AB177" s="670" t="str">
        <f t="shared" si="19"/>
        <v/>
      </c>
      <c r="AC177" s="516"/>
      <c r="AD177" s="119"/>
      <c r="AE177" s="120"/>
      <c r="AF177" s="120"/>
      <c r="AG177" s="120"/>
      <c r="AH177" s="57" t="str">
        <f>IF(Q177="","",IF(Q177='G-1 All Habitats'!$X$3,E177-X177-W177,"None"))</f>
        <v/>
      </c>
      <c r="AI177" s="58" t="str">
        <f>IF(Q177="","", IF(Q177='G-1 All Habitats'!$X$3, AH177*G177*I177*L177*N177*P177,"None"))</f>
        <v/>
      </c>
      <c r="AJ177" s="30" t="str">
        <f>IFERROR(INDEX('G-7 WaterC'' Data'!$AZ$3:$AZ$7,MATCH(D177,'G-7 WaterC'' Data'!$AY$3:$AY$7,0)),"")</f>
        <v/>
      </c>
      <c r="AK177" s="30">
        <f t="shared" si="20"/>
        <v>0</v>
      </c>
      <c r="AL177" s="124" t="str">
        <f t="shared" si="21"/>
        <v/>
      </c>
      <c r="AM177" s="124" t="str">
        <f t="shared" si="22"/>
        <v/>
      </c>
      <c r="AO177" s="124">
        <v>168</v>
      </c>
      <c r="AQ177" s="124" t="str">
        <f t="array" ref="AQ177">IFERROR(INDEX($AO$10:$AO$258, MATCH(0, IF(TRUE=$AL$10:$AL$258, COUNTIF($AQ$9:$AQ176, $AO$10:$AO$258), ""), 0)),"")</f>
        <v/>
      </c>
      <c r="AR177" s="124" t="str">
        <f t="array" ref="AR177">IFERROR(INDEX($AO$10:$AO$258, MATCH(0, IF(TRUE=$AM$10:$AM$258, COUNTIF($AR$9:$AR176, $AO$10:$AO$258), ""), 0)),"")</f>
        <v/>
      </c>
      <c r="AZ177" s="802" t="str">
        <f t="shared" si="23"/>
        <v/>
      </c>
    </row>
    <row r="178" spans="3:52" ht="15.75" thickBot="1">
      <c r="C178" s="110">
        <v>169</v>
      </c>
      <c r="D178" s="340"/>
      <c r="E178" s="121"/>
      <c r="F178" s="362" t="str">
        <f>IF(D178="","",VLOOKUP(D178,'G-7 WaterC'' Data'!$B$2:$G$8,2,FALSE))</f>
        <v/>
      </c>
      <c r="G178" s="363" t="str">
        <f>IFERROR(VLOOKUP(F178,'G-7 WaterC'' Data'!$C$4:$D$8,2,FALSE),"")</f>
        <v/>
      </c>
      <c r="H178" s="114"/>
      <c r="I178" s="363" t="str">
        <f>IFERROR(INDEX('G-7 WaterC'' Data'!$H$4:$L$8,MATCH(D178,'G-7 WaterC'' Data'!$B$4:$B$8,0),MATCH(H178,'G-7 WaterC'' Data'!$H$3:$L$3,0)),"")</f>
        <v/>
      </c>
      <c r="J178" s="115"/>
      <c r="K178" s="382" t="str">
        <f>IF(J178="","",IF(VLOOKUP(J178,'G-7 WaterC'' Data'!$AK$4:$AM$9,2,FALSE)=0,"Spatial Data Missing ⚠",VLOOKUP(J178,'G-7 WaterC'' Data'!$AK$4:$AM$6,2,FALSE)))</f>
        <v/>
      </c>
      <c r="L178" s="386" t="str">
        <f>IF(J178="","",IF(VLOOKUP(J178,'G-7 WaterC'' Data'!$AK$4:$AM$9,3,FALSE)=0,"Spatial Data Missing ⚠",VLOOKUP(J178,'G-7 WaterC'' Data'!$AK$4:$AM$6,3,FALSE)))</f>
        <v/>
      </c>
      <c r="M178" s="115"/>
      <c r="N178" s="363" t="str">
        <f>IF(M178="","",IF(VLOOKUP(M178,'G-7 WaterC'' Data'!$AA$4:$AB$7,2,FALSE)=0,"Spatial Data Missing ⚠",VLOOKUP(M178,'G-7 WaterC'' Data'!$AA$4:$AB$7,2,FALSE)))</f>
        <v/>
      </c>
      <c r="O178" s="60"/>
      <c r="P178" s="363" t="str">
        <f>IF(O178="","",IF(VLOOKUP(O178,'G-7 WaterC'' Data'!$AD$4:$AE$14,2,FALSE)=0,"Spatial Data Missing ⚠",VLOOKUP(O178,'G-7 WaterC'' Data'!$AD$4:$AE$14,2,FALSE)))</f>
        <v/>
      </c>
      <c r="Q178" s="369" t="str">
        <f>IF(D178="","",VLOOKUP(D178,'G-7 WaterC'' Data'!$B$4:$G$8,6,FALSE))</f>
        <v/>
      </c>
      <c r="R178" s="376" t="str">
        <f>IFERROR(IF(D178="","",IF(AND(Q178='G-1 All Habitats'!$X$3,X178&gt;0),Y178+(Z178*T178),IF(AND(Q178='G-1 All Habitats'!$X$3,W178&gt;0),Y178+(Z178*T178),IF(AND(Q178='G-1 All Habitats'!$X$3,AH178&gt;0),"Any Loss Unacceptable ⚠",IF(AND(Q178='G-1 All Habitats'!$X$3,AI178&gt;0),"Any Loss Unacceptable ⚠", E178*G178*I178*L178*N178*P178*T178 ))))),"Check Data ▲")</f>
        <v/>
      </c>
      <c r="S178" s="516"/>
      <c r="T178" s="368" t="str">
        <f>IF(S178="","",IF(VLOOKUP(S178,'G-7 WaterC'' Data'!$AO$4:$BO$7,2,FALSE)=0,"Spatial Data Missing ⚠",VLOOKUP(S178,'G-7 WaterC'' Data'!$AO$4:$BO$7,2,FALSE)))</f>
        <v/>
      </c>
      <c r="U178" s="376" t="str">
        <f>IFERROR(IF(D178="","",IF(AND(Q178='G-1 All Habitats'!$X$3,X178&gt;0),Y178+Z178,IF(AND(Q178='G-1 All Habitats'!$X$3,W178&gt;0),Y178+Z178,IF(AND(Q178='G-1 All Habitats'!$X$3,AH178&gt;0),"Any Loss Unacceptable ⚠",IF(AND(Q178='G-1 All Habitats'!$X$3,AI178&gt;0),"Any Loss Unacceptable ⚠", E178*G178*I178*L178*N178*P178 ))))),"Check Data ▲")</f>
        <v/>
      </c>
      <c r="V178" s="32"/>
      <c r="W178" s="114"/>
      <c r="X178" s="125"/>
      <c r="Y178" s="374" t="str">
        <f t="shared" si="16"/>
        <v/>
      </c>
      <c r="Z178" s="374" t="str">
        <f t="shared" si="17"/>
        <v/>
      </c>
      <c r="AA178" s="374" t="str">
        <f t="shared" si="18"/>
        <v/>
      </c>
      <c r="AB178" s="670" t="str">
        <f t="shared" si="19"/>
        <v/>
      </c>
      <c r="AC178" s="516"/>
      <c r="AD178" s="119"/>
      <c r="AE178" s="120"/>
      <c r="AF178" s="120"/>
      <c r="AG178" s="120"/>
      <c r="AH178" s="57" t="str">
        <f>IF(Q178="","",IF(Q178='G-1 All Habitats'!$X$3,E178-X178-W178,"None"))</f>
        <v/>
      </c>
      <c r="AI178" s="58" t="str">
        <f>IF(Q178="","", IF(Q178='G-1 All Habitats'!$X$3, AH178*G178*I178*L178*N178*P178,"None"))</f>
        <v/>
      </c>
      <c r="AJ178" s="30" t="str">
        <f>IFERROR(INDEX('G-7 WaterC'' Data'!$AZ$3:$AZ$7,MATCH(D178,'G-7 WaterC'' Data'!$AY$3:$AY$7,0)),"")</f>
        <v/>
      </c>
      <c r="AK178" s="30">
        <f t="shared" si="20"/>
        <v>0</v>
      </c>
      <c r="AL178" s="124" t="str">
        <f t="shared" si="21"/>
        <v/>
      </c>
      <c r="AM178" s="124" t="str">
        <f t="shared" si="22"/>
        <v/>
      </c>
      <c r="AO178" s="124">
        <v>169</v>
      </c>
      <c r="AQ178" s="124" t="str">
        <f t="array" ref="AQ178">IFERROR(INDEX($AO$10:$AO$258, MATCH(0, IF(TRUE=$AL$10:$AL$258, COUNTIF($AQ$9:$AQ177, $AO$10:$AO$258), ""), 0)),"")</f>
        <v/>
      </c>
      <c r="AR178" s="124" t="str">
        <f t="array" ref="AR178">IFERROR(INDEX($AO$10:$AO$258, MATCH(0, IF(TRUE=$AM$10:$AM$258, COUNTIF($AR$9:$AR177, $AO$10:$AO$258), ""), 0)),"")</f>
        <v/>
      </c>
      <c r="AZ178" s="802" t="str">
        <f t="shared" si="23"/>
        <v/>
      </c>
    </row>
    <row r="179" spans="3:52" ht="15.75" thickBot="1">
      <c r="C179" s="110">
        <v>170</v>
      </c>
      <c r="D179" s="340"/>
      <c r="E179" s="121"/>
      <c r="F179" s="362" t="str">
        <f>IF(D179="","",VLOOKUP(D179,'G-7 WaterC'' Data'!$B$2:$G$8,2,FALSE))</f>
        <v/>
      </c>
      <c r="G179" s="363" t="str">
        <f>IFERROR(VLOOKUP(F179,'G-7 WaterC'' Data'!$C$4:$D$8,2,FALSE),"")</f>
        <v/>
      </c>
      <c r="H179" s="114"/>
      <c r="I179" s="363" t="str">
        <f>IFERROR(INDEX('G-7 WaterC'' Data'!$H$4:$L$8,MATCH(D179,'G-7 WaterC'' Data'!$B$4:$B$8,0),MATCH(H179,'G-7 WaterC'' Data'!$H$3:$L$3,0)),"")</f>
        <v/>
      </c>
      <c r="J179" s="115"/>
      <c r="K179" s="382" t="str">
        <f>IF(J179="","",IF(VLOOKUP(J179,'G-7 WaterC'' Data'!$AK$4:$AM$9,2,FALSE)=0,"Spatial Data Missing ⚠",VLOOKUP(J179,'G-7 WaterC'' Data'!$AK$4:$AM$6,2,FALSE)))</f>
        <v/>
      </c>
      <c r="L179" s="386" t="str">
        <f>IF(J179="","",IF(VLOOKUP(J179,'G-7 WaterC'' Data'!$AK$4:$AM$9,3,FALSE)=0,"Spatial Data Missing ⚠",VLOOKUP(J179,'G-7 WaterC'' Data'!$AK$4:$AM$6,3,FALSE)))</f>
        <v/>
      </c>
      <c r="M179" s="115"/>
      <c r="N179" s="363" t="str">
        <f>IF(M179="","",IF(VLOOKUP(M179,'G-7 WaterC'' Data'!$AA$4:$AB$7,2,FALSE)=0,"Spatial Data Missing ⚠",VLOOKUP(M179,'G-7 WaterC'' Data'!$AA$4:$AB$7,2,FALSE)))</f>
        <v/>
      </c>
      <c r="O179" s="60"/>
      <c r="P179" s="363" t="str">
        <f>IF(O179="","",IF(VLOOKUP(O179,'G-7 WaterC'' Data'!$AD$4:$AE$14,2,FALSE)=0,"Spatial Data Missing ⚠",VLOOKUP(O179,'G-7 WaterC'' Data'!$AD$4:$AE$14,2,FALSE)))</f>
        <v/>
      </c>
      <c r="Q179" s="369" t="str">
        <f>IF(D179="","",VLOOKUP(D179,'G-7 WaterC'' Data'!$B$4:$G$8,6,FALSE))</f>
        <v/>
      </c>
      <c r="R179" s="376" t="str">
        <f>IFERROR(IF(D179="","",IF(AND(Q179='G-1 All Habitats'!$X$3,X179&gt;0),Y179+(Z179*T179),IF(AND(Q179='G-1 All Habitats'!$X$3,W179&gt;0),Y179+(Z179*T179),IF(AND(Q179='G-1 All Habitats'!$X$3,AH179&gt;0),"Any Loss Unacceptable ⚠",IF(AND(Q179='G-1 All Habitats'!$X$3,AI179&gt;0),"Any Loss Unacceptable ⚠", E179*G179*I179*L179*N179*P179*T179 ))))),"Check Data ▲")</f>
        <v/>
      </c>
      <c r="S179" s="516"/>
      <c r="T179" s="368" t="str">
        <f>IF(S179="","",IF(VLOOKUP(S179,'G-7 WaterC'' Data'!$AO$4:$BO$7,2,FALSE)=0,"Spatial Data Missing ⚠",VLOOKUP(S179,'G-7 WaterC'' Data'!$AO$4:$BO$7,2,FALSE)))</f>
        <v/>
      </c>
      <c r="U179" s="376" t="str">
        <f>IFERROR(IF(D179="","",IF(AND(Q179='G-1 All Habitats'!$X$3,X179&gt;0),Y179+Z179,IF(AND(Q179='G-1 All Habitats'!$X$3,W179&gt;0),Y179+Z179,IF(AND(Q179='G-1 All Habitats'!$X$3,AH179&gt;0),"Any Loss Unacceptable ⚠",IF(AND(Q179='G-1 All Habitats'!$X$3,AI179&gt;0),"Any Loss Unacceptable ⚠", E179*G179*I179*L179*N179*P179 ))))),"Check Data ▲")</f>
        <v/>
      </c>
      <c r="V179" s="32"/>
      <c r="W179" s="114"/>
      <c r="X179" s="125"/>
      <c r="Y179" s="374" t="str">
        <f t="shared" si="16"/>
        <v/>
      </c>
      <c r="Z179" s="374" t="str">
        <f t="shared" si="17"/>
        <v/>
      </c>
      <c r="AA179" s="374" t="str">
        <f t="shared" si="18"/>
        <v/>
      </c>
      <c r="AB179" s="670" t="str">
        <f t="shared" si="19"/>
        <v/>
      </c>
      <c r="AC179" s="516"/>
      <c r="AD179" s="119"/>
      <c r="AE179" s="120"/>
      <c r="AF179" s="120"/>
      <c r="AG179" s="120"/>
      <c r="AH179" s="57" t="str">
        <f>IF(Q179="","",IF(Q179='G-1 All Habitats'!$X$3,E179-X179-W179,"None"))</f>
        <v/>
      </c>
      <c r="AI179" s="58" t="str">
        <f>IF(Q179="","", IF(Q179='G-1 All Habitats'!$X$3, AH179*G179*I179*L179*N179*P179,"None"))</f>
        <v/>
      </c>
      <c r="AJ179" s="30" t="str">
        <f>IFERROR(INDEX('G-7 WaterC'' Data'!$AZ$3:$AZ$7,MATCH(D179,'G-7 WaterC'' Data'!$AY$3:$AY$7,0)),"")</f>
        <v/>
      </c>
      <c r="AK179" s="30">
        <f t="shared" si="20"/>
        <v>0</v>
      </c>
      <c r="AL179" s="124" t="str">
        <f t="shared" si="21"/>
        <v/>
      </c>
      <c r="AM179" s="124" t="str">
        <f t="shared" si="22"/>
        <v/>
      </c>
      <c r="AO179" s="124">
        <v>170</v>
      </c>
      <c r="AQ179" s="124" t="str">
        <f t="array" ref="AQ179">IFERROR(INDEX($AO$10:$AO$258, MATCH(0, IF(TRUE=$AL$10:$AL$258, COUNTIF($AQ$9:$AQ178, $AO$10:$AO$258), ""), 0)),"")</f>
        <v/>
      </c>
      <c r="AR179" s="124" t="str">
        <f t="array" ref="AR179">IFERROR(INDEX($AO$10:$AO$258, MATCH(0, IF(TRUE=$AM$10:$AM$258, COUNTIF($AR$9:$AR178, $AO$10:$AO$258), ""), 0)),"")</f>
        <v/>
      </c>
      <c r="AZ179" s="802" t="str">
        <f t="shared" si="23"/>
        <v/>
      </c>
    </row>
    <row r="180" spans="3:52" ht="15.75" thickBot="1">
      <c r="C180" s="110">
        <v>171</v>
      </c>
      <c r="D180" s="340"/>
      <c r="E180" s="121"/>
      <c r="F180" s="362" t="str">
        <f>IF(D180="","",VLOOKUP(D180,'G-7 WaterC'' Data'!$B$2:$G$8,2,FALSE))</f>
        <v/>
      </c>
      <c r="G180" s="363" t="str">
        <f>IFERROR(VLOOKUP(F180,'G-7 WaterC'' Data'!$C$4:$D$8,2,FALSE),"")</f>
        <v/>
      </c>
      <c r="H180" s="114"/>
      <c r="I180" s="363" t="str">
        <f>IFERROR(INDEX('G-7 WaterC'' Data'!$H$4:$L$8,MATCH(D180,'G-7 WaterC'' Data'!$B$4:$B$8,0),MATCH(H180,'G-7 WaterC'' Data'!$H$3:$L$3,0)),"")</f>
        <v/>
      </c>
      <c r="J180" s="115"/>
      <c r="K180" s="382" t="str">
        <f>IF(J180="","",IF(VLOOKUP(J180,'G-7 WaterC'' Data'!$AK$4:$AM$9,2,FALSE)=0,"Spatial Data Missing ⚠",VLOOKUP(J180,'G-7 WaterC'' Data'!$AK$4:$AM$6,2,FALSE)))</f>
        <v/>
      </c>
      <c r="L180" s="386" t="str">
        <f>IF(J180="","",IF(VLOOKUP(J180,'G-7 WaterC'' Data'!$AK$4:$AM$9,3,FALSE)=0,"Spatial Data Missing ⚠",VLOOKUP(J180,'G-7 WaterC'' Data'!$AK$4:$AM$6,3,FALSE)))</f>
        <v/>
      </c>
      <c r="M180" s="115"/>
      <c r="N180" s="363" t="str">
        <f>IF(M180="","",IF(VLOOKUP(M180,'G-7 WaterC'' Data'!$AA$4:$AB$7,2,FALSE)=0,"Spatial Data Missing ⚠",VLOOKUP(M180,'G-7 WaterC'' Data'!$AA$4:$AB$7,2,FALSE)))</f>
        <v/>
      </c>
      <c r="O180" s="60"/>
      <c r="P180" s="363" t="str">
        <f>IF(O180="","",IF(VLOOKUP(O180,'G-7 WaterC'' Data'!$AD$4:$AE$14,2,FALSE)=0,"Spatial Data Missing ⚠",VLOOKUP(O180,'G-7 WaterC'' Data'!$AD$4:$AE$14,2,FALSE)))</f>
        <v/>
      </c>
      <c r="Q180" s="369" t="str">
        <f>IF(D180="","",VLOOKUP(D180,'G-7 WaterC'' Data'!$B$4:$G$8,6,FALSE))</f>
        <v/>
      </c>
      <c r="R180" s="376" t="str">
        <f>IFERROR(IF(D180="","",IF(AND(Q180='G-1 All Habitats'!$X$3,X180&gt;0),Y180+(Z180*T180),IF(AND(Q180='G-1 All Habitats'!$X$3,W180&gt;0),Y180+(Z180*T180),IF(AND(Q180='G-1 All Habitats'!$X$3,AH180&gt;0),"Any Loss Unacceptable ⚠",IF(AND(Q180='G-1 All Habitats'!$X$3,AI180&gt;0),"Any Loss Unacceptable ⚠", E180*G180*I180*L180*N180*P180*T180 ))))),"Check Data ▲")</f>
        <v/>
      </c>
      <c r="S180" s="516"/>
      <c r="T180" s="368" t="str">
        <f>IF(S180="","",IF(VLOOKUP(S180,'G-7 WaterC'' Data'!$AO$4:$BO$7,2,FALSE)=0,"Spatial Data Missing ⚠",VLOOKUP(S180,'G-7 WaterC'' Data'!$AO$4:$BO$7,2,FALSE)))</f>
        <v/>
      </c>
      <c r="U180" s="376" t="str">
        <f>IFERROR(IF(D180="","",IF(AND(Q180='G-1 All Habitats'!$X$3,X180&gt;0),Y180+Z180,IF(AND(Q180='G-1 All Habitats'!$X$3,W180&gt;0),Y180+Z180,IF(AND(Q180='G-1 All Habitats'!$X$3,AH180&gt;0),"Any Loss Unacceptable ⚠",IF(AND(Q180='G-1 All Habitats'!$X$3,AI180&gt;0),"Any Loss Unacceptable ⚠", E180*G180*I180*L180*N180*P180 ))))),"Check Data ▲")</f>
        <v/>
      </c>
      <c r="V180" s="32"/>
      <c r="W180" s="114"/>
      <c r="X180" s="125"/>
      <c r="Y180" s="374" t="str">
        <f t="shared" si="16"/>
        <v/>
      </c>
      <c r="Z180" s="374" t="str">
        <f t="shared" si="17"/>
        <v/>
      </c>
      <c r="AA180" s="374" t="str">
        <f t="shared" si="18"/>
        <v/>
      </c>
      <c r="AB180" s="670" t="str">
        <f t="shared" si="19"/>
        <v/>
      </c>
      <c r="AC180" s="516"/>
      <c r="AD180" s="119"/>
      <c r="AE180" s="120"/>
      <c r="AF180" s="120"/>
      <c r="AG180" s="120"/>
      <c r="AH180" s="57" t="str">
        <f>IF(Q180="","",IF(Q180='G-1 All Habitats'!$X$3,E180-X180-W180,"None"))</f>
        <v/>
      </c>
      <c r="AI180" s="58" t="str">
        <f>IF(Q180="","", IF(Q180='G-1 All Habitats'!$X$3, AH180*G180*I180*L180*N180*P180,"None"))</f>
        <v/>
      </c>
      <c r="AJ180" s="30" t="str">
        <f>IFERROR(INDEX('G-7 WaterC'' Data'!$AZ$3:$AZ$7,MATCH(D180,'G-7 WaterC'' Data'!$AY$3:$AY$7,0)),"")</f>
        <v/>
      </c>
      <c r="AK180" s="30">
        <f t="shared" si="20"/>
        <v>0</v>
      </c>
      <c r="AL180" s="124" t="str">
        <f t="shared" si="21"/>
        <v/>
      </c>
      <c r="AM180" s="124" t="str">
        <f t="shared" si="22"/>
        <v/>
      </c>
      <c r="AO180" s="124">
        <v>171</v>
      </c>
      <c r="AQ180" s="124" t="str">
        <f t="array" ref="AQ180">IFERROR(INDEX($AO$10:$AO$258, MATCH(0, IF(TRUE=$AL$10:$AL$258, COUNTIF($AQ$9:$AQ179, $AO$10:$AO$258), ""), 0)),"")</f>
        <v/>
      </c>
      <c r="AR180" s="124" t="str">
        <f t="array" ref="AR180">IFERROR(INDEX($AO$10:$AO$258, MATCH(0, IF(TRUE=$AM$10:$AM$258, COUNTIF($AR$9:$AR179, $AO$10:$AO$258), ""), 0)),"")</f>
        <v/>
      </c>
      <c r="AZ180" s="802" t="str">
        <f t="shared" si="23"/>
        <v/>
      </c>
    </row>
    <row r="181" spans="3:52" ht="15.75" thickBot="1">
      <c r="C181" s="110">
        <v>172</v>
      </c>
      <c r="D181" s="340"/>
      <c r="E181" s="121"/>
      <c r="F181" s="362" t="str">
        <f>IF(D181="","",VLOOKUP(D181,'G-7 WaterC'' Data'!$B$2:$G$8,2,FALSE))</f>
        <v/>
      </c>
      <c r="G181" s="363" t="str">
        <f>IFERROR(VLOOKUP(F181,'G-7 WaterC'' Data'!$C$4:$D$8,2,FALSE),"")</f>
        <v/>
      </c>
      <c r="H181" s="114"/>
      <c r="I181" s="363" t="str">
        <f>IFERROR(INDEX('G-7 WaterC'' Data'!$H$4:$L$8,MATCH(D181,'G-7 WaterC'' Data'!$B$4:$B$8,0),MATCH(H181,'G-7 WaterC'' Data'!$H$3:$L$3,0)),"")</f>
        <v/>
      </c>
      <c r="J181" s="115"/>
      <c r="K181" s="382" t="str">
        <f>IF(J181="","",IF(VLOOKUP(J181,'G-7 WaterC'' Data'!$AK$4:$AM$9,2,FALSE)=0,"Spatial Data Missing ⚠",VLOOKUP(J181,'G-7 WaterC'' Data'!$AK$4:$AM$6,2,FALSE)))</f>
        <v/>
      </c>
      <c r="L181" s="386" t="str">
        <f>IF(J181="","",IF(VLOOKUP(J181,'G-7 WaterC'' Data'!$AK$4:$AM$9,3,FALSE)=0,"Spatial Data Missing ⚠",VLOOKUP(J181,'G-7 WaterC'' Data'!$AK$4:$AM$6,3,FALSE)))</f>
        <v/>
      </c>
      <c r="M181" s="115"/>
      <c r="N181" s="363" t="str">
        <f>IF(M181="","",IF(VLOOKUP(M181,'G-7 WaterC'' Data'!$AA$4:$AB$7,2,FALSE)=0,"Spatial Data Missing ⚠",VLOOKUP(M181,'G-7 WaterC'' Data'!$AA$4:$AB$7,2,FALSE)))</f>
        <v/>
      </c>
      <c r="O181" s="60"/>
      <c r="P181" s="363" t="str">
        <f>IF(O181="","",IF(VLOOKUP(O181,'G-7 WaterC'' Data'!$AD$4:$AE$14,2,FALSE)=0,"Spatial Data Missing ⚠",VLOOKUP(O181,'G-7 WaterC'' Data'!$AD$4:$AE$14,2,FALSE)))</f>
        <v/>
      </c>
      <c r="Q181" s="369" t="str">
        <f>IF(D181="","",VLOOKUP(D181,'G-7 WaterC'' Data'!$B$4:$G$8,6,FALSE))</f>
        <v/>
      </c>
      <c r="R181" s="376" t="str">
        <f>IFERROR(IF(D181="","",IF(AND(Q181='G-1 All Habitats'!$X$3,X181&gt;0),Y181+(Z181*T181),IF(AND(Q181='G-1 All Habitats'!$X$3,W181&gt;0),Y181+(Z181*T181),IF(AND(Q181='G-1 All Habitats'!$X$3,AH181&gt;0),"Any Loss Unacceptable ⚠",IF(AND(Q181='G-1 All Habitats'!$X$3,AI181&gt;0),"Any Loss Unacceptable ⚠", E181*G181*I181*L181*N181*P181*T181 ))))),"Check Data ▲")</f>
        <v/>
      </c>
      <c r="S181" s="516"/>
      <c r="T181" s="368" t="str">
        <f>IF(S181="","",IF(VLOOKUP(S181,'G-7 WaterC'' Data'!$AO$4:$BO$7,2,FALSE)=0,"Spatial Data Missing ⚠",VLOOKUP(S181,'G-7 WaterC'' Data'!$AO$4:$BO$7,2,FALSE)))</f>
        <v/>
      </c>
      <c r="U181" s="376" t="str">
        <f>IFERROR(IF(D181="","",IF(AND(Q181='G-1 All Habitats'!$X$3,X181&gt;0),Y181+Z181,IF(AND(Q181='G-1 All Habitats'!$X$3,W181&gt;0),Y181+Z181,IF(AND(Q181='G-1 All Habitats'!$X$3,AH181&gt;0),"Any Loss Unacceptable ⚠",IF(AND(Q181='G-1 All Habitats'!$X$3,AI181&gt;0),"Any Loss Unacceptable ⚠", E181*G181*I181*L181*N181*P181 ))))),"Check Data ▲")</f>
        <v/>
      </c>
      <c r="V181" s="32"/>
      <c r="W181" s="114"/>
      <c r="X181" s="125"/>
      <c r="Y181" s="374" t="str">
        <f t="shared" si="16"/>
        <v/>
      </c>
      <c r="Z181" s="374" t="str">
        <f t="shared" si="17"/>
        <v/>
      </c>
      <c r="AA181" s="374" t="str">
        <f t="shared" si="18"/>
        <v/>
      </c>
      <c r="AB181" s="670" t="str">
        <f t="shared" si="19"/>
        <v/>
      </c>
      <c r="AC181" s="516"/>
      <c r="AD181" s="119"/>
      <c r="AE181" s="120"/>
      <c r="AF181" s="120"/>
      <c r="AG181" s="120"/>
      <c r="AH181" s="57" t="str">
        <f>IF(Q181="","",IF(Q181='G-1 All Habitats'!$X$3,E181-X181-W181,"None"))</f>
        <v/>
      </c>
      <c r="AI181" s="58" t="str">
        <f>IF(Q181="","", IF(Q181='G-1 All Habitats'!$X$3, AH181*G181*I181*L181*N181*P181,"None"))</f>
        <v/>
      </c>
      <c r="AJ181" s="30" t="str">
        <f>IFERROR(INDEX('G-7 WaterC'' Data'!$AZ$3:$AZ$7,MATCH(D181,'G-7 WaterC'' Data'!$AY$3:$AY$7,0)),"")</f>
        <v/>
      </c>
      <c r="AK181" s="30">
        <f t="shared" si="20"/>
        <v>0</v>
      </c>
      <c r="AL181" s="124" t="str">
        <f t="shared" si="21"/>
        <v/>
      </c>
      <c r="AM181" s="124" t="str">
        <f t="shared" si="22"/>
        <v/>
      </c>
      <c r="AO181" s="124">
        <v>172</v>
      </c>
      <c r="AQ181" s="124" t="str">
        <f t="array" ref="AQ181">IFERROR(INDEX($AO$10:$AO$258, MATCH(0, IF(TRUE=$AL$10:$AL$258, COUNTIF($AQ$9:$AQ180, $AO$10:$AO$258), ""), 0)),"")</f>
        <v/>
      </c>
      <c r="AR181" s="124" t="str">
        <f t="array" ref="AR181">IFERROR(INDEX($AO$10:$AO$258, MATCH(0, IF(TRUE=$AM$10:$AM$258, COUNTIF($AR$9:$AR180, $AO$10:$AO$258), ""), 0)),"")</f>
        <v/>
      </c>
      <c r="AZ181" s="802" t="str">
        <f t="shared" si="23"/>
        <v/>
      </c>
    </row>
    <row r="182" spans="3:52" ht="15.75" thickBot="1">
      <c r="C182" s="110">
        <v>173</v>
      </c>
      <c r="D182" s="340"/>
      <c r="E182" s="121"/>
      <c r="F182" s="362" t="str">
        <f>IF(D182="","",VLOOKUP(D182,'G-7 WaterC'' Data'!$B$2:$G$8,2,FALSE))</f>
        <v/>
      </c>
      <c r="G182" s="363" t="str">
        <f>IFERROR(VLOOKUP(F182,'G-7 WaterC'' Data'!$C$4:$D$8,2,FALSE),"")</f>
        <v/>
      </c>
      <c r="H182" s="114"/>
      <c r="I182" s="363" t="str">
        <f>IFERROR(INDEX('G-7 WaterC'' Data'!$H$4:$L$8,MATCH(D182,'G-7 WaterC'' Data'!$B$4:$B$8,0),MATCH(H182,'G-7 WaterC'' Data'!$H$3:$L$3,0)),"")</f>
        <v/>
      </c>
      <c r="J182" s="115"/>
      <c r="K182" s="382" t="str">
        <f>IF(J182="","",IF(VLOOKUP(J182,'G-7 WaterC'' Data'!$AK$4:$AM$9,2,FALSE)=0,"Spatial Data Missing ⚠",VLOOKUP(J182,'G-7 WaterC'' Data'!$AK$4:$AM$6,2,FALSE)))</f>
        <v/>
      </c>
      <c r="L182" s="386" t="str">
        <f>IF(J182="","",IF(VLOOKUP(J182,'G-7 WaterC'' Data'!$AK$4:$AM$9,3,FALSE)=0,"Spatial Data Missing ⚠",VLOOKUP(J182,'G-7 WaterC'' Data'!$AK$4:$AM$6,3,FALSE)))</f>
        <v/>
      </c>
      <c r="M182" s="115"/>
      <c r="N182" s="363" t="str">
        <f>IF(M182="","",IF(VLOOKUP(M182,'G-7 WaterC'' Data'!$AA$4:$AB$7,2,FALSE)=0,"Spatial Data Missing ⚠",VLOOKUP(M182,'G-7 WaterC'' Data'!$AA$4:$AB$7,2,FALSE)))</f>
        <v/>
      </c>
      <c r="O182" s="60"/>
      <c r="P182" s="363" t="str">
        <f>IF(O182="","",IF(VLOOKUP(O182,'G-7 WaterC'' Data'!$AD$4:$AE$14,2,FALSE)=0,"Spatial Data Missing ⚠",VLOOKUP(O182,'G-7 WaterC'' Data'!$AD$4:$AE$14,2,FALSE)))</f>
        <v/>
      </c>
      <c r="Q182" s="369" t="str">
        <f>IF(D182="","",VLOOKUP(D182,'G-7 WaterC'' Data'!$B$4:$G$8,6,FALSE))</f>
        <v/>
      </c>
      <c r="R182" s="376" t="str">
        <f>IFERROR(IF(D182="","",IF(AND(Q182='G-1 All Habitats'!$X$3,X182&gt;0),Y182+(Z182*T182),IF(AND(Q182='G-1 All Habitats'!$X$3,W182&gt;0),Y182+(Z182*T182),IF(AND(Q182='G-1 All Habitats'!$X$3,AH182&gt;0),"Any Loss Unacceptable ⚠",IF(AND(Q182='G-1 All Habitats'!$X$3,AI182&gt;0),"Any Loss Unacceptable ⚠", E182*G182*I182*L182*N182*P182*T182 ))))),"Check Data ▲")</f>
        <v/>
      </c>
      <c r="S182" s="516"/>
      <c r="T182" s="368" t="str">
        <f>IF(S182="","",IF(VLOOKUP(S182,'G-7 WaterC'' Data'!$AO$4:$BO$7,2,FALSE)=0,"Spatial Data Missing ⚠",VLOOKUP(S182,'G-7 WaterC'' Data'!$AO$4:$BO$7,2,FALSE)))</f>
        <v/>
      </c>
      <c r="U182" s="376" t="str">
        <f>IFERROR(IF(D182="","",IF(AND(Q182='G-1 All Habitats'!$X$3,X182&gt;0),Y182+Z182,IF(AND(Q182='G-1 All Habitats'!$X$3,W182&gt;0),Y182+Z182,IF(AND(Q182='G-1 All Habitats'!$X$3,AH182&gt;0),"Any Loss Unacceptable ⚠",IF(AND(Q182='G-1 All Habitats'!$X$3,AI182&gt;0),"Any Loss Unacceptable ⚠", E182*G182*I182*L182*N182*P182 ))))),"Check Data ▲")</f>
        <v/>
      </c>
      <c r="V182" s="32"/>
      <c r="W182" s="114"/>
      <c r="X182" s="125"/>
      <c r="Y182" s="374" t="str">
        <f t="shared" si="16"/>
        <v/>
      </c>
      <c r="Z182" s="374" t="str">
        <f t="shared" si="17"/>
        <v/>
      </c>
      <c r="AA182" s="374" t="str">
        <f t="shared" si="18"/>
        <v/>
      </c>
      <c r="AB182" s="670" t="str">
        <f t="shared" si="19"/>
        <v/>
      </c>
      <c r="AC182" s="516"/>
      <c r="AD182" s="119"/>
      <c r="AE182" s="120"/>
      <c r="AF182" s="120"/>
      <c r="AG182" s="120"/>
      <c r="AH182" s="57" t="str">
        <f>IF(Q182="","",IF(Q182='G-1 All Habitats'!$X$3,E182-X182-W182,"None"))</f>
        <v/>
      </c>
      <c r="AI182" s="58" t="str">
        <f>IF(Q182="","", IF(Q182='G-1 All Habitats'!$X$3, AH182*G182*I182*L182*N182*P182,"None"))</f>
        <v/>
      </c>
      <c r="AJ182" s="30" t="str">
        <f>IFERROR(INDEX('G-7 WaterC'' Data'!$AZ$3:$AZ$7,MATCH(D182,'G-7 WaterC'' Data'!$AY$3:$AY$7,0)),"")</f>
        <v/>
      </c>
      <c r="AK182" s="30">
        <f t="shared" si="20"/>
        <v>0</v>
      </c>
      <c r="AL182" s="124" t="str">
        <f t="shared" si="21"/>
        <v/>
      </c>
      <c r="AM182" s="124" t="str">
        <f t="shared" si="22"/>
        <v/>
      </c>
      <c r="AO182" s="124">
        <v>173</v>
      </c>
      <c r="AQ182" s="124" t="str">
        <f t="array" ref="AQ182">IFERROR(INDEX($AO$10:$AO$258, MATCH(0, IF(TRUE=$AL$10:$AL$258, COUNTIF($AQ$9:$AQ181, $AO$10:$AO$258), ""), 0)),"")</f>
        <v/>
      </c>
      <c r="AR182" s="124" t="str">
        <f t="array" ref="AR182">IFERROR(INDEX($AO$10:$AO$258, MATCH(0, IF(TRUE=$AM$10:$AM$258, COUNTIF($AR$9:$AR181, $AO$10:$AO$258), ""), 0)),"")</f>
        <v/>
      </c>
      <c r="AZ182" s="802" t="str">
        <f t="shared" si="23"/>
        <v/>
      </c>
    </row>
    <row r="183" spans="3:52" ht="15.75" thickBot="1">
      <c r="C183" s="110">
        <v>174</v>
      </c>
      <c r="D183" s="340"/>
      <c r="E183" s="121"/>
      <c r="F183" s="362" t="str">
        <f>IF(D183="","",VLOOKUP(D183,'G-7 WaterC'' Data'!$B$2:$G$8,2,FALSE))</f>
        <v/>
      </c>
      <c r="G183" s="363" t="str">
        <f>IFERROR(VLOOKUP(F183,'G-7 WaterC'' Data'!$C$4:$D$8,2,FALSE),"")</f>
        <v/>
      </c>
      <c r="H183" s="114"/>
      <c r="I183" s="363" t="str">
        <f>IFERROR(INDEX('G-7 WaterC'' Data'!$H$4:$L$8,MATCH(D183,'G-7 WaterC'' Data'!$B$4:$B$8,0),MATCH(H183,'G-7 WaterC'' Data'!$H$3:$L$3,0)),"")</f>
        <v/>
      </c>
      <c r="J183" s="115"/>
      <c r="K183" s="382" t="str">
        <f>IF(J183="","",IF(VLOOKUP(J183,'G-7 WaterC'' Data'!$AK$4:$AM$9,2,FALSE)=0,"Spatial Data Missing ⚠",VLOOKUP(J183,'G-7 WaterC'' Data'!$AK$4:$AM$6,2,FALSE)))</f>
        <v/>
      </c>
      <c r="L183" s="386" t="str">
        <f>IF(J183="","",IF(VLOOKUP(J183,'G-7 WaterC'' Data'!$AK$4:$AM$9,3,FALSE)=0,"Spatial Data Missing ⚠",VLOOKUP(J183,'G-7 WaterC'' Data'!$AK$4:$AM$6,3,FALSE)))</f>
        <v/>
      </c>
      <c r="M183" s="115"/>
      <c r="N183" s="363" t="str">
        <f>IF(M183="","",IF(VLOOKUP(M183,'G-7 WaterC'' Data'!$AA$4:$AB$7,2,FALSE)=0,"Spatial Data Missing ⚠",VLOOKUP(M183,'G-7 WaterC'' Data'!$AA$4:$AB$7,2,FALSE)))</f>
        <v/>
      </c>
      <c r="O183" s="60"/>
      <c r="P183" s="363" t="str">
        <f>IF(O183="","",IF(VLOOKUP(O183,'G-7 WaterC'' Data'!$AD$4:$AE$14,2,FALSE)=0,"Spatial Data Missing ⚠",VLOOKUP(O183,'G-7 WaterC'' Data'!$AD$4:$AE$14,2,FALSE)))</f>
        <v/>
      </c>
      <c r="Q183" s="369" t="str">
        <f>IF(D183="","",VLOOKUP(D183,'G-7 WaterC'' Data'!$B$4:$G$8,6,FALSE))</f>
        <v/>
      </c>
      <c r="R183" s="376" t="str">
        <f>IFERROR(IF(D183="","",IF(AND(Q183='G-1 All Habitats'!$X$3,X183&gt;0),Y183+(Z183*T183),IF(AND(Q183='G-1 All Habitats'!$X$3,W183&gt;0),Y183+(Z183*T183),IF(AND(Q183='G-1 All Habitats'!$X$3,AH183&gt;0),"Any Loss Unacceptable ⚠",IF(AND(Q183='G-1 All Habitats'!$X$3,AI183&gt;0),"Any Loss Unacceptable ⚠", E183*G183*I183*L183*N183*P183*T183 ))))),"Check Data ▲")</f>
        <v/>
      </c>
      <c r="S183" s="516"/>
      <c r="T183" s="368" t="str">
        <f>IF(S183="","",IF(VLOOKUP(S183,'G-7 WaterC'' Data'!$AO$4:$BO$7,2,FALSE)=0,"Spatial Data Missing ⚠",VLOOKUP(S183,'G-7 WaterC'' Data'!$AO$4:$BO$7,2,FALSE)))</f>
        <v/>
      </c>
      <c r="U183" s="376" t="str">
        <f>IFERROR(IF(D183="","",IF(AND(Q183='G-1 All Habitats'!$X$3,X183&gt;0),Y183+Z183,IF(AND(Q183='G-1 All Habitats'!$X$3,W183&gt;0),Y183+Z183,IF(AND(Q183='G-1 All Habitats'!$X$3,AH183&gt;0),"Any Loss Unacceptable ⚠",IF(AND(Q183='G-1 All Habitats'!$X$3,AI183&gt;0),"Any Loss Unacceptable ⚠", E183*G183*I183*L183*N183*P183 ))))),"Check Data ▲")</f>
        <v/>
      </c>
      <c r="V183" s="32"/>
      <c r="W183" s="114"/>
      <c r="X183" s="125"/>
      <c r="Y183" s="374" t="str">
        <f t="shared" si="16"/>
        <v/>
      </c>
      <c r="Z183" s="374" t="str">
        <f t="shared" si="17"/>
        <v/>
      </c>
      <c r="AA183" s="374" t="str">
        <f t="shared" si="18"/>
        <v/>
      </c>
      <c r="AB183" s="670" t="str">
        <f t="shared" si="19"/>
        <v/>
      </c>
      <c r="AC183" s="516"/>
      <c r="AD183" s="119"/>
      <c r="AE183" s="120"/>
      <c r="AF183" s="120"/>
      <c r="AG183" s="120"/>
      <c r="AH183" s="57" t="str">
        <f>IF(Q183="","",IF(Q183='G-1 All Habitats'!$X$3,E183-X183-W183,"None"))</f>
        <v/>
      </c>
      <c r="AI183" s="58" t="str">
        <f>IF(Q183="","", IF(Q183='G-1 All Habitats'!$X$3, AH183*G183*I183*L183*N183*P183,"None"))</f>
        <v/>
      </c>
      <c r="AJ183" s="30" t="str">
        <f>IFERROR(INDEX('G-7 WaterC'' Data'!$AZ$3:$AZ$7,MATCH(D183,'G-7 WaterC'' Data'!$AY$3:$AY$7,0)),"")</f>
        <v/>
      </c>
      <c r="AK183" s="30">
        <f t="shared" si="20"/>
        <v>0</v>
      </c>
      <c r="AL183" s="124" t="str">
        <f t="shared" si="21"/>
        <v/>
      </c>
      <c r="AM183" s="124" t="str">
        <f t="shared" si="22"/>
        <v/>
      </c>
      <c r="AO183" s="124">
        <v>174</v>
      </c>
      <c r="AQ183" s="124" t="str">
        <f t="array" ref="AQ183">IFERROR(INDEX($AO$10:$AO$258, MATCH(0, IF(TRUE=$AL$10:$AL$258, COUNTIF($AQ$9:$AQ182, $AO$10:$AO$258), ""), 0)),"")</f>
        <v/>
      </c>
      <c r="AR183" s="124" t="str">
        <f t="array" ref="AR183">IFERROR(INDEX($AO$10:$AO$258, MATCH(0, IF(TRUE=$AM$10:$AM$258, COUNTIF($AR$9:$AR182, $AO$10:$AO$258), ""), 0)),"")</f>
        <v/>
      </c>
      <c r="AZ183" s="802" t="str">
        <f t="shared" si="23"/>
        <v/>
      </c>
    </row>
    <row r="184" spans="3:52" ht="15.75" thickBot="1">
      <c r="C184" s="110">
        <v>175</v>
      </c>
      <c r="D184" s="340"/>
      <c r="E184" s="121"/>
      <c r="F184" s="362" t="str">
        <f>IF(D184="","",VLOOKUP(D184,'G-7 WaterC'' Data'!$B$2:$G$8,2,FALSE))</f>
        <v/>
      </c>
      <c r="G184" s="363" t="str">
        <f>IFERROR(VLOOKUP(F184,'G-7 WaterC'' Data'!$C$4:$D$8,2,FALSE),"")</f>
        <v/>
      </c>
      <c r="H184" s="114"/>
      <c r="I184" s="363" t="str">
        <f>IFERROR(INDEX('G-7 WaterC'' Data'!$H$4:$L$8,MATCH(D184,'G-7 WaterC'' Data'!$B$4:$B$8,0),MATCH(H184,'G-7 WaterC'' Data'!$H$3:$L$3,0)),"")</f>
        <v/>
      </c>
      <c r="J184" s="115"/>
      <c r="K184" s="382" t="str">
        <f>IF(J184="","",IF(VLOOKUP(J184,'G-7 WaterC'' Data'!$AK$4:$AM$9,2,FALSE)=0,"Spatial Data Missing ⚠",VLOOKUP(J184,'G-7 WaterC'' Data'!$AK$4:$AM$6,2,FALSE)))</f>
        <v/>
      </c>
      <c r="L184" s="386" t="str">
        <f>IF(J184="","",IF(VLOOKUP(J184,'G-7 WaterC'' Data'!$AK$4:$AM$9,3,FALSE)=0,"Spatial Data Missing ⚠",VLOOKUP(J184,'G-7 WaterC'' Data'!$AK$4:$AM$6,3,FALSE)))</f>
        <v/>
      </c>
      <c r="M184" s="115"/>
      <c r="N184" s="363" t="str">
        <f>IF(M184="","",IF(VLOOKUP(M184,'G-7 WaterC'' Data'!$AA$4:$AB$7,2,FALSE)=0,"Spatial Data Missing ⚠",VLOOKUP(M184,'G-7 WaterC'' Data'!$AA$4:$AB$7,2,FALSE)))</f>
        <v/>
      </c>
      <c r="O184" s="60"/>
      <c r="P184" s="363" t="str">
        <f>IF(O184="","",IF(VLOOKUP(O184,'G-7 WaterC'' Data'!$AD$4:$AE$14,2,FALSE)=0,"Spatial Data Missing ⚠",VLOOKUP(O184,'G-7 WaterC'' Data'!$AD$4:$AE$14,2,FALSE)))</f>
        <v/>
      </c>
      <c r="Q184" s="369" t="str">
        <f>IF(D184="","",VLOOKUP(D184,'G-7 WaterC'' Data'!$B$4:$G$8,6,FALSE))</f>
        <v/>
      </c>
      <c r="R184" s="376" t="str">
        <f>IFERROR(IF(D184="","",IF(AND(Q184='G-1 All Habitats'!$X$3,X184&gt;0),Y184+(Z184*T184),IF(AND(Q184='G-1 All Habitats'!$X$3,W184&gt;0),Y184+(Z184*T184),IF(AND(Q184='G-1 All Habitats'!$X$3,AH184&gt;0),"Any Loss Unacceptable ⚠",IF(AND(Q184='G-1 All Habitats'!$X$3,AI184&gt;0),"Any Loss Unacceptable ⚠", E184*G184*I184*L184*N184*P184*T184 ))))),"Check Data ▲")</f>
        <v/>
      </c>
      <c r="S184" s="516"/>
      <c r="T184" s="368" t="str">
        <f>IF(S184="","",IF(VLOOKUP(S184,'G-7 WaterC'' Data'!$AO$4:$BO$7,2,FALSE)=0,"Spatial Data Missing ⚠",VLOOKUP(S184,'G-7 WaterC'' Data'!$AO$4:$BO$7,2,FALSE)))</f>
        <v/>
      </c>
      <c r="U184" s="376" t="str">
        <f>IFERROR(IF(D184="","",IF(AND(Q184='G-1 All Habitats'!$X$3,X184&gt;0),Y184+Z184,IF(AND(Q184='G-1 All Habitats'!$X$3,W184&gt;0),Y184+Z184,IF(AND(Q184='G-1 All Habitats'!$X$3,AH184&gt;0),"Any Loss Unacceptable ⚠",IF(AND(Q184='G-1 All Habitats'!$X$3,AI184&gt;0),"Any Loss Unacceptable ⚠", E184*G184*I184*L184*N184*P184 ))))),"Check Data ▲")</f>
        <v/>
      </c>
      <c r="V184" s="32"/>
      <c r="W184" s="114"/>
      <c r="X184" s="125"/>
      <c r="Y184" s="374" t="str">
        <f t="shared" si="16"/>
        <v/>
      </c>
      <c r="Z184" s="374" t="str">
        <f t="shared" si="17"/>
        <v/>
      </c>
      <c r="AA184" s="374" t="str">
        <f t="shared" si="18"/>
        <v/>
      </c>
      <c r="AB184" s="670" t="str">
        <f t="shared" si="19"/>
        <v/>
      </c>
      <c r="AC184" s="516"/>
      <c r="AD184" s="119"/>
      <c r="AE184" s="120"/>
      <c r="AF184" s="120"/>
      <c r="AG184" s="120"/>
      <c r="AH184" s="57" t="str">
        <f>IF(Q184="","",IF(Q184='G-1 All Habitats'!$X$3,E184-X184-W184,"None"))</f>
        <v/>
      </c>
      <c r="AI184" s="58" t="str">
        <f>IF(Q184="","", IF(Q184='G-1 All Habitats'!$X$3, AH184*G184*I184*L184*N184*P184,"None"))</f>
        <v/>
      </c>
      <c r="AJ184" s="30" t="str">
        <f>IFERROR(INDEX('G-7 WaterC'' Data'!$AZ$3:$AZ$7,MATCH(D184,'G-7 WaterC'' Data'!$AY$3:$AY$7,0)),"")</f>
        <v/>
      </c>
      <c r="AK184" s="30">
        <f t="shared" si="20"/>
        <v>0</v>
      </c>
      <c r="AL184" s="124" t="str">
        <f t="shared" si="21"/>
        <v/>
      </c>
      <c r="AM184" s="124" t="str">
        <f t="shared" si="22"/>
        <v/>
      </c>
      <c r="AO184" s="124">
        <v>175</v>
      </c>
      <c r="AQ184" s="124" t="str">
        <f t="array" ref="AQ184">IFERROR(INDEX($AO$10:$AO$258, MATCH(0, IF(TRUE=$AL$10:$AL$258, COUNTIF($AQ$9:$AQ183, $AO$10:$AO$258), ""), 0)),"")</f>
        <v/>
      </c>
      <c r="AR184" s="124" t="str">
        <f t="array" ref="AR184">IFERROR(INDEX($AO$10:$AO$258, MATCH(0, IF(TRUE=$AM$10:$AM$258, COUNTIF($AR$9:$AR183, $AO$10:$AO$258), ""), 0)),"")</f>
        <v/>
      </c>
      <c r="AZ184" s="802" t="str">
        <f t="shared" si="23"/>
        <v/>
      </c>
    </row>
    <row r="185" spans="3:52" ht="15.75" thickBot="1">
      <c r="C185" s="110">
        <v>176</v>
      </c>
      <c r="D185" s="340"/>
      <c r="E185" s="121"/>
      <c r="F185" s="362" t="str">
        <f>IF(D185="","",VLOOKUP(D185,'G-7 WaterC'' Data'!$B$2:$G$8,2,FALSE))</f>
        <v/>
      </c>
      <c r="G185" s="363" t="str">
        <f>IFERROR(VLOOKUP(F185,'G-7 WaterC'' Data'!$C$4:$D$8,2,FALSE),"")</f>
        <v/>
      </c>
      <c r="H185" s="114"/>
      <c r="I185" s="363" t="str">
        <f>IFERROR(INDEX('G-7 WaterC'' Data'!$H$4:$L$8,MATCH(D185,'G-7 WaterC'' Data'!$B$4:$B$8,0),MATCH(H185,'G-7 WaterC'' Data'!$H$3:$L$3,0)),"")</f>
        <v/>
      </c>
      <c r="J185" s="115"/>
      <c r="K185" s="382" t="str">
        <f>IF(J185="","",IF(VLOOKUP(J185,'G-7 WaterC'' Data'!$AK$4:$AM$9,2,FALSE)=0,"Spatial Data Missing ⚠",VLOOKUP(J185,'G-7 WaterC'' Data'!$AK$4:$AM$6,2,FALSE)))</f>
        <v/>
      </c>
      <c r="L185" s="386" t="str">
        <f>IF(J185="","",IF(VLOOKUP(J185,'G-7 WaterC'' Data'!$AK$4:$AM$9,3,FALSE)=0,"Spatial Data Missing ⚠",VLOOKUP(J185,'G-7 WaterC'' Data'!$AK$4:$AM$6,3,FALSE)))</f>
        <v/>
      </c>
      <c r="M185" s="115"/>
      <c r="N185" s="363" t="str">
        <f>IF(M185="","",IF(VLOOKUP(M185,'G-7 WaterC'' Data'!$AA$4:$AB$7,2,FALSE)=0,"Spatial Data Missing ⚠",VLOOKUP(M185,'G-7 WaterC'' Data'!$AA$4:$AB$7,2,FALSE)))</f>
        <v/>
      </c>
      <c r="O185" s="60"/>
      <c r="P185" s="363" t="str">
        <f>IF(O185="","",IF(VLOOKUP(O185,'G-7 WaterC'' Data'!$AD$4:$AE$14,2,FALSE)=0,"Spatial Data Missing ⚠",VLOOKUP(O185,'G-7 WaterC'' Data'!$AD$4:$AE$14,2,FALSE)))</f>
        <v/>
      </c>
      <c r="Q185" s="369" t="str">
        <f>IF(D185="","",VLOOKUP(D185,'G-7 WaterC'' Data'!$B$4:$G$8,6,FALSE))</f>
        <v/>
      </c>
      <c r="R185" s="376" t="str">
        <f>IFERROR(IF(D185="","",IF(AND(Q185='G-1 All Habitats'!$X$3,X185&gt;0),Y185+(Z185*T185),IF(AND(Q185='G-1 All Habitats'!$X$3,W185&gt;0),Y185+(Z185*T185),IF(AND(Q185='G-1 All Habitats'!$X$3,AH185&gt;0),"Any Loss Unacceptable ⚠",IF(AND(Q185='G-1 All Habitats'!$X$3,AI185&gt;0),"Any Loss Unacceptable ⚠", E185*G185*I185*L185*N185*P185*T185 ))))),"Check Data ▲")</f>
        <v/>
      </c>
      <c r="S185" s="516"/>
      <c r="T185" s="368" t="str">
        <f>IF(S185="","",IF(VLOOKUP(S185,'G-7 WaterC'' Data'!$AO$4:$BO$7,2,FALSE)=0,"Spatial Data Missing ⚠",VLOOKUP(S185,'G-7 WaterC'' Data'!$AO$4:$BO$7,2,FALSE)))</f>
        <v/>
      </c>
      <c r="U185" s="376" t="str">
        <f>IFERROR(IF(D185="","",IF(AND(Q185='G-1 All Habitats'!$X$3,X185&gt;0),Y185+Z185,IF(AND(Q185='G-1 All Habitats'!$X$3,W185&gt;0),Y185+Z185,IF(AND(Q185='G-1 All Habitats'!$X$3,AH185&gt;0),"Any Loss Unacceptable ⚠",IF(AND(Q185='G-1 All Habitats'!$X$3,AI185&gt;0),"Any Loss Unacceptable ⚠", E185*G185*I185*L185*N185*P185 ))))),"Check Data ▲")</f>
        <v/>
      </c>
      <c r="V185" s="32"/>
      <c r="W185" s="114"/>
      <c r="X185" s="125"/>
      <c r="Y185" s="374" t="str">
        <f t="shared" si="16"/>
        <v/>
      </c>
      <c r="Z185" s="374" t="str">
        <f t="shared" si="17"/>
        <v/>
      </c>
      <c r="AA185" s="374" t="str">
        <f t="shared" si="18"/>
        <v/>
      </c>
      <c r="AB185" s="670" t="str">
        <f t="shared" si="19"/>
        <v/>
      </c>
      <c r="AC185" s="516"/>
      <c r="AD185" s="119"/>
      <c r="AE185" s="120"/>
      <c r="AF185" s="120"/>
      <c r="AG185" s="120"/>
      <c r="AH185" s="57" t="str">
        <f>IF(Q185="","",IF(Q185='G-1 All Habitats'!$X$3,E185-X185-W185,"None"))</f>
        <v/>
      </c>
      <c r="AI185" s="58" t="str">
        <f>IF(Q185="","", IF(Q185='G-1 All Habitats'!$X$3, AH185*G185*I185*L185*N185*P185,"None"))</f>
        <v/>
      </c>
      <c r="AJ185" s="30" t="str">
        <f>IFERROR(INDEX('G-7 WaterC'' Data'!$AZ$3:$AZ$7,MATCH(D185,'G-7 WaterC'' Data'!$AY$3:$AY$7,0)),"")</f>
        <v/>
      </c>
      <c r="AK185" s="30">
        <f t="shared" si="20"/>
        <v>0</v>
      </c>
      <c r="AL185" s="124" t="str">
        <f t="shared" si="21"/>
        <v/>
      </c>
      <c r="AM185" s="124" t="str">
        <f t="shared" si="22"/>
        <v/>
      </c>
      <c r="AO185" s="124">
        <v>176</v>
      </c>
      <c r="AQ185" s="124" t="str">
        <f t="array" ref="AQ185">IFERROR(INDEX($AO$10:$AO$258, MATCH(0, IF(TRUE=$AL$10:$AL$258, COUNTIF($AQ$9:$AQ184, $AO$10:$AO$258), ""), 0)),"")</f>
        <v/>
      </c>
      <c r="AR185" s="124" t="str">
        <f t="array" ref="AR185">IFERROR(INDEX($AO$10:$AO$258, MATCH(0, IF(TRUE=$AM$10:$AM$258, COUNTIF($AR$9:$AR184, $AO$10:$AO$258), ""), 0)),"")</f>
        <v/>
      </c>
      <c r="AZ185" s="802" t="str">
        <f t="shared" si="23"/>
        <v/>
      </c>
    </row>
    <row r="186" spans="3:52" ht="15.75" thickBot="1">
      <c r="C186" s="110">
        <v>177</v>
      </c>
      <c r="D186" s="340"/>
      <c r="E186" s="121"/>
      <c r="F186" s="362" t="str">
        <f>IF(D186="","",VLOOKUP(D186,'G-7 WaterC'' Data'!$B$2:$G$8,2,FALSE))</f>
        <v/>
      </c>
      <c r="G186" s="363" t="str">
        <f>IFERROR(VLOOKUP(F186,'G-7 WaterC'' Data'!$C$4:$D$8,2,FALSE),"")</f>
        <v/>
      </c>
      <c r="H186" s="114"/>
      <c r="I186" s="363" t="str">
        <f>IFERROR(INDEX('G-7 WaterC'' Data'!$H$4:$L$8,MATCH(D186,'G-7 WaterC'' Data'!$B$4:$B$8,0),MATCH(H186,'G-7 WaterC'' Data'!$H$3:$L$3,0)),"")</f>
        <v/>
      </c>
      <c r="J186" s="115"/>
      <c r="K186" s="382" t="str">
        <f>IF(J186="","",IF(VLOOKUP(J186,'G-7 WaterC'' Data'!$AK$4:$AM$9,2,FALSE)=0,"Spatial Data Missing ⚠",VLOOKUP(J186,'G-7 WaterC'' Data'!$AK$4:$AM$6,2,FALSE)))</f>
        <v/>
      </c>
      <c r="L186" s="386" t="str">
        <f>IF(J186="","",IF(VLOOKUP(J186,'G-7 WaterC'' Data'!$AK$4:$AM$9,3,FALSE)=0,"Spatial Data Missing ⚠",VLOOKUP(J186,'G-7 WaterC'' Data'!$AK$4:$AM$6,3,FALSE)))</f>
        <v/>
      </c>
      <c r="M186" s="115"/>
      <c r="N186" s="363" t="str">
        <f>IF(M186="","",IF(VLOOKUP(M186,'G-7 WaterC'' Data'!$AA$4:$AB$7,2,FALSE)=0,"Spatial Data Missing ⚠",VLOOKUP(M186,'G-7 WaterC'' Data'!$AA$4:$AB$7,2,FALSE)))</f>
        <v/>
      </c>
      <c r="O186" s="60"/>
      <c r="P186" s="363" t="str">
        <f>IF(O186="","",IF(VLOOKUP(O186,'G-7 WaterC'' Data'!$AD$4:$AE$14,2,FALSE)=0,"Spatial Data Missing ⚠",VLOOKUP(O186,'G-7 WaterC'' Data'!$AD$4:$AE$14,2,FALSE)))</f>
        <v/>
      </c>
      <c r="Q186" s="369" t="str">
        <f>IF(D186="","",VLOOKUP(D186,'G-7 WaterC'' Data'!$B$4:$G$8,6,FALSE))</f>
        <v/>
      </c>
      <c r="R186" s="376" t="str">
        <f>IFERROR(IF(D186="","",IF(AND(Q186='G-1 All Habitats'!$X$3,X186&gt;0),Y186+(Z186*T186),IF(AND(Q186='G-1 All Habitats'!$X$3,W186&gt;0),Y186+(Z186*T186),IF(AND(Q186='G-1 All Habitats'!$X$3,AH186&gt;0),"Any Loss Unacceptable ⚠",IF(AND(Q186='G-1 All Habitats'!$X$3,AI186&gt;0),"Any Loss Unacceptable ⚠", E186*G186*I186*L186*N186*P186*T186 ))))),"Check Data ▲")</f>
        <v/>
      </c>
      <c r="S186" s="516"/>
      <c r="T186" s="368" t="str">
        <f>IF(S186="","",IF(VLOOKUP(S186,'G-7 WaterC'' Data'!$AO$4:$BO$7,2,FALSE)=0,"Spatial Data Missing ⚠",VLOOKUP(S186,'G-7 WaterC'' Data'!$AO$4:$BO$7,2,FALSE)))</f>
        <v/>
      </c>
      <c r="U186" s="376" t="str">
        <f>IFERROR(IF(D186="","",IF(AND(Q186='G-1 All Habitats'!$X$3,X186&gt;0),Y186+Z186,IF(AND(Q186='G-1 All Habitats'!$X$3,W186&gt;0),Y186+Z186,IF(AND(Q186='G-1 All Habitats'!$X$3,AH186&gt;0),"Any Loss Unacceptable ⚠",IF(AND(Q186='G-1 All Habitats'!$X$3,AI186&gt;0),"Any Loss Unacceptable ⚠", E186*G186*I186*L186*N186*P186 ))))),"Check Data ▲")</f>
        <v/>
      </c>
      <c r="V186" s="32"/>
      <c r="W186" s="114"/>
      <c r="X186" s="125"/>
      <c r="Y186" s="374" t="str">
        <f t="shared" si="16"/>
        <v/>
      </c>
      <c r="Z186" s="374" t="str">
        <f t="shared" si="17"/>
        <v/>
      </c>
      <c r="AA186" s="374" t="str">
        <f t="shared" si="18"/>
        <v/>
      </c>
      <c r="AB186" s="670" t="str">
        <f t="shared" si="19"/>
        <v/>
      </c>
      <c r="AC186" s="516"/>
      <c r="AD186" s="119"/>
      <c r="AE186" s="120"/>
      <c r="AF186" s="120"/>
      <c r="AG186" s="120"/>
      <c r="AH186" s="57" t="str">
        <f>IF(Q186="","",IF(Q186='G-1 All Habitats'!$X$3,E186-X186-W186,"None"))</f>
        <v/>
      </c>
      <c r="AI186" s="58" t="str">
        <f>IF(Q186="","", IF(Q186='G-1 All Habitats'!$X$3, AH186*G186*I186*L186*N186*P186,"None"))</f>
        <v/>
      </c>
      <c r="AJ186" s="30" t="str">
        <f>IFERROR(INDEX('G-7 WaterC'' Data'!$AZ$3:$AZ$7,MATCH(D186,'G-7 WaterC'' Data'!$AY$3:$AY$7,0)),"")</f>
        <v/>
      </c>
      <c r="AK186" s="30">
        <f t="shared" si="20"/>
        <v>0</v>
      </c>
      <c r="AL186" s="124" t="str">
        <f t="shared" si="21"/>
        <v/>
      </c>
      <c r="AM186" s="124" t="str">
        <f t="shared" si="22"/>
        <v/>
      </c>
      <c r="AO186" s="124">
        <v>177</v>
      </c>
      <c r="AQ186" s="124" t="str">
        <f t="array" ref="AQ186">IFERROR(INDEX($AO$10:$AO$258, MATCH(0, IF(TRUE=$AL$10:$AL$258, COUNTIF($AQ$9:$AQ185, $AO$10:$AO$258), ""), 0)),"")</f>
        <v/>
      </c>
      <c r="AR186" s="124" t="str">
        <f t="array" ref="AR186">IFERROR(INDEX($AO$10:$AO$258, MATCH(0, IF(TRUE=$AM$10:$AM$258, COUNTIF($AR$9:$AR185, $AO$10:$AO$258), ""), 0)),"")</f>
        <v/>
      </c>
      <c r="AZ186" s="802" t="str">
        <f t="shared" si="23"/>
        <v/>
      </c>
    </row>
    <row r="187" spans="3:52" ht="15.75" thickBot="1">
      <c r="C187" s="110">
        <v>178</v>
      </c>
      <c r="D187" s="340"/>
      <c r="E187" s="121"/>
      <c r="F187" s="362" t="str">
        <f>IF(D187="","",VLOOKUP(D187,'G-7 WaterC'' Data'!$B$2:$G$8,2,FALSE))</f>
        <v/>
      </c>
      <c r="G187" s="363" t="str">
        <f>IFERROR(VLOOKUP(F187,'G-7 WaterC'' Data'!$C$4:$D$8,2,FALSE),"")</f>
        <v/>
      </c>
      <c r="H187" s="114"/>
      <c r="I187" s="363" t="str">
        <f>IFERROR(INDEX('G-7 WaterC'' Data'!$H$4:$L$8,MATCH(D187,'G-7 WaterC'' Data'!$B$4:$B$8,0),MATCH(H187,'G-7 WaterC'' Data'!$H$3:$L$3,0)),"")</f>
        <v/>
      </c>
      <c r="J187" s="115"/>
      <c r="K187" s="382" t="str">
        <f>IF(J187="","",IF(VLOOKUP(J187,'G-7 WaterC'' Data'!$AK$4:$AM$9,2,FALSE)=0,"Spatial Data Missing ⚠",VLOOKUP(J187,'G-7 WaterC'' Data'!$AK$4:$AM$6,2,FALSE)))</f>
        <v/>
      </c>
      <c r="L187" s="386" t="str">
        <f>IF(J187="","",IF(VLOOKUP(J187,'G-7 WaterC'' Data'!$AK$4:$AM$9,3,FALSE)=0,"Spatial Data Missing ⚠",VLOOKUP(J187,'G-7 WaterC'' Data'!$AK$4:$AM$6,3,FALSE)))</f>
        <v/>
      </c>
      <c r="M187" s="115"/>
      <c r="N187" s="363" t="str">
        <f>IF(M187="","",IF(VLOOKUP(M187,'G-7 WaterC'' Data'!$AA$4:$AB$7,2,FALSE)=0,"Spatial Data Missing ⚠",VLOOKUP(M187,'G-7 WaterC'' Data'!$AA$4:$AB$7,2,FALSE)))</f>
        <v/>
      </c>
      <c r="O187" s="60"/>
      <c r="P187" s="363" t="str">
        <f>IF(O187="","",IF(VLOOKUP(O187,'G-7 WaterC'' Data'!$AD$4:$AE$14,2,FALSE)=0,"Spatial Data Missing ⚠",VLOOKUP(O187,'G-7 WaterC'' Data'!$AD$4:$AE$14,2,FALSE)))</f>
        <v/>
      </c>
      <c r="Q187" s="369" t="str">
        <f>IF(D187="","",VLOOKUP(D187,'G-7 WaterC'' Data'!$B$4:$G$8,6,FALSE))</f>
        <v/>
      </c>
      <c r="R187" s="376" t="str">
        <f>IFERROR(IF(D187="","",IF(AND(Q187='G-1 All Habitats'!$X$3,X187&gt;0),Y187+(Z187*T187),IF(AND(Q187='G-1 All Habitats'!$X$3,W187&gt;0),Y187+(Z187*T187),IF(AND(Q187='G-1 All Habitats'!$X$3,AH187&gt;0),"Any Loss Unacceptable ⚠",IF(AND(Q187='G-1 All Habitats'!$X$3,AI187&gt;0),"Any Loss Unacceptable ⚠", E187*G187*I187*L187*N187*P187*T187 ))))),"Check Data ▲")</f>
        <v/>
      </c>
      <c r="S187" s="516"/>
      <c r="T187" s="368" t="str">
        <f>IF(S187="","",IF(VLOOKUP(S187,'G-7 WaterC'' Data'!$AO$4:$BO$7,2,FALSE)=0,"Spatial Data Missing ⚠",VLOOKUP(S187,'G-7 WaterC'' Data'!$AO$4:$BO$7,2,FALSE)))</f>
        <v/>
      </c>
      <c r="U187" s="376" t="str">
        <f>IFERROR(IF(D187="","",IF(AND(Q187='G-1 All Habitats'!$X$3,X187&gt;0),Y187+Z187,IF(AND(Q187='G-1 All Habitats'!$X$3,W187&gt;0),Y187+Z187,IF(AND(Q187='G-1 All Habitats'!$X$3,AH187&gt;0),"Any Loss Unacceptable ⚠",IF(AND(Q187='G-1 All Habitats'!$X$3,AI187&gt;0),"Any Loss Unacceptable ⚠", E187*G187*I187*L187*N187*P187 ))))),"Check Data ▲")</f>
        <v/>
      </c>
      <c r="V187" s="32"/>
      <c r="W187" s="114"/>
      <c r="X187" s="125"/>
      <c r="Y187" s="374" t="str">
        <f t="shared" si="16"/>
        <v/>
      </c>
      <c r="Z187" s="374" t="str">
        <f t="shared" si="17"/>
        <v/>
      </c>
      <c r="AA187" s="374" t="str">
        <f t="shared" si="18"/>
        <v/>
      </c>
      <c r="AB187" s="670" t="str">
        <f t="shared" si="19"/>
        <v/>
      </c>
      <c r="AC187" s="516"/>
      <c r="AD187" s="119"/>
      <c r="AE187" s="120"/>
      <c r="AF187" s="120"/>
      <c r="AG187" s="120"/>
      <c r="AH187" s="57" t="str">
        <f>IF(Q187="","",IF(Q187='G-1 All Habitats'!$X$3,E187-X187-W187,"None"))</f>
        <v/>
      </c>
      <c r="AI187" s="58" t="str">
        <f>IF(Q187="","", IF(Q187='G-1 All Habitats'!$X$3, AH187*G187*I187*L187*N187*P187,"None"))</f>
        <v/>
      </c>
      <c r="AJ187" s="30" t="str">
        <f>IFERROR(INDEX('G-7 WaterC'' Data'!$AZ$3:$AZ$7,MATCH(D187,'G-7 WaterC'' Data'!$AY$3:$AY$7,0)),"")</f>
        <v/>
      </c>
      <c r="AK187" s="30">
        <f t="shared" si="20"/>
        <v>0</v>
      </c>
      <c r="AL187" s="124" t="str">
        <f t="shared" si="21"/>
        <v/>
      </c>
      <c r="AM187" s="124" t="str">
        <f t="shared" si="22"/>
        <v/>
      </c>
      <c r="AO187" s="124">
        <v>178</v>
      </c>
      <c r="AQ187" s="124" t="str">
        <f t="array" ref="AQ187">IFERROR(INDEX($AO$10:$AO$258, MATCH(0, IF(TRUE=$AL$10:$AL$258, COUNTIF($AQ$9:$AQ186, $AO$10:$AO$258), ""), 0)),"")</f>
        <v/>
      </c>
      <c r="AR187" s="124" t="str">
        <f t="array" ref="AR187">IFERROR(INDEX($AO$10:$AO$258, MATCH(0, IF(TRUE=$AM$10:$AM$258, COUNTIF($AR$9:$AR186, $AO$10:$AO$258), ""), 0)),"")</f>
        <v/>
      </c>
      <c r="AZ187" s="802" t="str">
        <f t="shared" si="23"/>
        <v/>
      </c>
    </row>
    <row r="188" spans="3:52" ht="15.75" thickBot="1">
      <c r="C188" s="110">
        <v>179</v>
      </c>
      <c r="D188" s="340"/>
      <c r="E188" s="121"/>
      <c r="F188" s="362" t="str">
        <f>IF(D188="","",VLOOKUP(D188,'G-7 WaterC'' Data'!$B$2:$G$8,2,FALSE))</f>
        <v/>
      </c>
      <c r="G188" s="363" t="str">
        <f>IFERROR(VLOOKUP(F188,'G-7 WaterC'' Data'!$C$4:$D$8,2,FALSE),"")</f>
        <v/>
      </c>
      <c r="H188" s="114"/>
      <c r="I188" s="363" t="str">
        <f>IFERROR(INDEX('G-7 WaterC'' Data'!$H$4:$L$8,MATCH(D188,'G-7 WaterC'' Data'!$B$4:$B$8,0),MATCH(H188,'G-7 WaterC'' Data'!$H$3:$L$3,0)),"")</f>
        <v/>
      </c>
      <c r="J188" s="115"/>
      <c r="K188" s="382" t="str">
        <f>IF(J188="","",IF(VLOOKUP(J188,'G-7 WaterC'' Data'!$AK$4:$AM$9,2,FALSE)=0,"Spatial Data Missing ⚠",VLOOKUP(J188,'G-7 WaterC'' Data'!$AK$4:$AM$6,2,FALSE)))</f>
        <v/>
      </c>
      <c r="L188" s="386" t="str">
        <f>IF(J188="","",IF(VLOOKUP(J188,'G-7 WaterC'' Data'!$AK$4:$AM$9,3,FALSE)=0,"Spatial Data Missing ⚠",VLOOKUP(J188,'G-7 WaterC'' Data'!$AK$4:$AM$6,3,FALSE)))</f>
        <v/>
      </c>
      <c r="M188" s="115"/>
      <c r="N188" s="363" t="str">
        <f>IF(M188="","",IF(VLOOKUP(M188,'G-7 WaterC'' Data'!$AA$4:$AB$7,2,FALSE)=0,"Spatial Data Missing ⚠",VLOOKUP(M188,'G-7 WaterC'' Data'!$AA$4:$AB$7,2,FALSE)))</f>
        <v/>
      </c>
      <c r="O188" s="60"/>
      <c r="P188" s="363" t="str">
        <f>IF(O188="","",IF(VLOOKUP(O188,'G-7 WaterC'' Data'!$AD$4:$AE$14,2,FALSE)=0,"Spatial Data Missing ⚠",VLOOKUP(O188,'G-7 WaterC'' Data'!$AD$4:$AE$14,2,FALSE)))</f>
        <v/>
      </c>
      <c r="Q188" s="369" t="str">
        <f>IF(D188="","",VLOOKUP(D188,'G-7 WaterC'' Data'!$B$4:$G$8,6,FALSE))</f>
        <v/>
      </c>
      <c r="R188" s="376" t="str">
        <f>IFERROR(IF(D188="","",IF(AND(Q188='G-1 All Habitats'!$X$3,X188&gt;0),Y188+(Z188*T188),IF(AND(Q188='G-1 All Habitats'!$X$3,W188&gt;0),Y188+(Z188*T188),IF(AND(Q188='G-1 All Habitats'!$X$3,AH188&gt;0),"Any Loss Unacceptable ⚠",IF(AND(Q188='G-1 All Habitats'!$X$3,AI188&gt;0),"Any Loss Unacceptable ⚠", E188*G188*I188*L188*N188*P188*T188 ))))),"Check Data ▲")</f>
        <v/>
      </c>
      <c r="S188" s="516"/>
      <c r="T188" s="368" t="str">
        <f>IF(S188="","",IF(VLOOKUP(S188,'G-7 WaterC'' Data'!$AO$4:$BO$7,2,FALSE)=0,"Spatial Data Missing ⚠",VLOOKUP(S188,'G-7 WaterC'' Data'!$AO$4:$BO$7,2,FALSE)))</f>
        <v/>
      </c>
      <c r="U188" s="376" t="str">
        <f>IFERROR(IF(D188="","",IF(AND(Q188='G-1 All Habitats'!$X$3,X188&gt;0),Y188+Z188,IF(AND(Q188='G-1 All Habitats'!$X$3,W188&gt;0),Y188+Z188,IF(AND(Q188='G-1 All Habitats'!$X$3,AH188&gt;0),"Any Loss Unacceptable ⚠",IF(AND(Q188='G-1 All Habitats'!$X$3,AI188&gt;0),"Any Loss Unacceptable ⚠", E188*G188*I188*L188*N188*P188 ))))),"Check Data ▲")</f>
        <v/>
      </c>
      <c r="V188" s="32"/>
      <c r="W188" s="114"/>
      <c r="X188" s="125"/>
      <c r="Y188" s="374" t="str">
        <f t="shared" si="16"/>
        <v/>
      </c>
      <c r="Z188" s="374" t="str">
        <f t="shared" si="17"/>
        <v/>
      </c>
      <c r="AA188" s="374" t="str">
        <f t="shared" si="18"/>
        <v/>
      </c>
      <c r="AB188" s="670" t="str">
        <f t="shared" si="19"/>
        <v/>
      </c>
      <c r="AC188" s="516"/>
      <c r="AD188" s="119"/>
      <c r="AE188" s="120"/>
      <c r="AF188" s="120"/>
      <c r="AG188" s="120"/>
      <c r="AH188" s="57" t="str">
        <f>IF(Q188="","",IF(Q188='G-1 All Habitats'!$X$3,E188-X188-W188,"None"))</f>
        <v/>
      </c>
      <c r="AI188" s="58" t="str">
        <f>IF(Q188="","", IF(Q188='G-1 All Habitats'!$X$3, AH188*G188*I188*L188*N188*P188,"None"))</f>
        <v/>
      </c>
      <c r="AJ188" s="30" t="str">
        <f>IFERROR(INDEX('G-7 WaterC'' Data'!$AZ$3:$AZ$7,MATCH(D188,'G-7 WaterC'' Data'!$AY$3:$AY$7,0)),"")</f>
        <v/>
      </c>
      <c r="AK188" s="30">
        <f t="shared" si="20"/>
        <v>0</v>
      </c>
      <c r="AL188" s="124" t="str">
        <f t="shared" si="21"/>
        <v/>
      </c>
      <c r="AM188" s="124" t="str">
        <f t="shared" si="22"/>
        <v/>
      </c>
      <c r="AO188" s="124">
        <v>179</v>
      </c>
      <c r="AQ188" s="124" t="str">
        <f t="array" ref="AQ188">IFERROR(INDEX($AO$10:$AO$258, MATCH(0, IF(TRUE=$AL$10:$AL$258, COUNTIF($AQ$9:$AQ187, $AO$10:$AO$258), ""), 0)),"")</f>
        <v/>
      </c>
      <c r="AR188" s="124" t="str">
        <f t="array" ref="AR188">IFERROR(INDEX($AO$10:$AO$258, MATCH(0, IF(TRUE=$AM$10:$AM$258, COUNTIF($AR$9:$AR187, $AO$10:$AO$258), ""), 0)),"")</f>
        <v/>
      </c>
      <c r="AZ188" s="802" t="str">
        <f t="shared" si="23"/>
        <v/>
      </c>
    </row>
    <row r="189" spans="3:52" ht="15.75" thickBot="1">
      <c r="C189" s="110">
        <v>180</v>
      </c>
      <c r="D189" s="340"/>
      <c r="E189" s="121"/>
      <c r="F189" s="362" t="str">
        <f>IF(D189="","",VLOOKUP(D189,'G-7 WaterC'' Data'!$B$2:$G$8,2,FALSE))</f>
        <v/>
      </c>
      <c r="G189" s="363" t="str">
        <f>IFERROR(VLOOKUP(F189,'G-7 WaterC'' Data'!$C$4:$D$8,2,FALSE),"")</f>
        <v/>
      </c>
      <c r="H189" s="114"/>
      <c r="I189" s="363" t="str">
        <f>IFERROR(INDEX('G-7 WaterC'' Data'!$H$4:$L$8,MATCH(D189,'G-7 WaterC'' Data'!$B$4:$B$8,0),MATCH(H189,'G-7 WaterC'' Data'!$H$3:$L$3,0)),"")</f>
        <v/>
      </c>
      <c r="J189" s="115"/>
      <c r="K189" s="382" t="str">
        <f>IF(J189="","",IF(VLOOKUP(J189,'G-7 WaterC'' Data'!$AK$4:$AM$9,2,FALSE)=0,"Spatial Data Missing ⚠",VLOOKUP(J189,'G-7 WaterC'' Data'!$AK$4:$AM$6,2,FALSE)))</f>
        <v/>
      </c>
      <c r="L189" s="386" t="str">
        <f>IF(J189="","",IF(VLOOKUP(J189,'G-7 WaterC'' Data'!$AK$4:$AM$9,3,FALSE)=0,"Spatial Data Missing ⚠",VLOOKUP(J189,'G-7 WaterC'' Data'!$AK$4:$AM$6,3,FALSE)))</f>
        <v/>
      </c>
      <c r="M189" s="115"/>
      <c r="N189" s="363" t="str">
        <f>IF(M189="","",IF(VLOOKUP(M189,'G-7 WaterC'' Data'!$AA$4:$AB$7,2,FALSE)=0,"Spatial Data Missing ⚠",VLOOKUP(M189,'G-7 WaterC'' Data'!$AA$4:$AB$7,2,FALSE)))</f>
        <v/>
      </c>
      <c r="O189" s="60"/>
      <c r="P189" s="363" t="str">
        <f>IF(O189="","",IF(VLOOKUP(O189,'G-7 WaterC'' Data'!$AD$4:$AE$14,2,FALSE)=0,"Spatial Data Missing ⚠",VLOOKUP(O189,'G-7 WaterC'' Data'!$AD$4:$AE$14,2,FALSE)))</f>
        <v/>
      </c>
      <c r="Q189" s="369" t="str">
        <f>IF(D189="","",VLOOKUP(D189,'G-7 WaterC'' Data'!$B$4:$G$8,6,FALSE))</f>
        <v/>
      </c>
      <c r="R189" s="376" t="str">
        <f>IFERROR(IF(D189="","",IF(AND(Q189='G-1 All Habitats'!$X$3,X189&gt;0),Y189+(Z189*T189),IF(AND(Q189='G-1 All Habitats'!$X$3,W189&gt;0),Y189+(Z189*T189),IF(AND(Q189='G-1 All Habitats'!$X$3,AH189&gt;0),"Any Loss Unacceptable ⚠",IF(AND(Q189='G-1 All Habitats'!$X$3,AI189&gt;0),"Any Loss Unacceptable ⚠", E189*G189*I189*L189*N189*P189*T189 ))))),"Check Data ▲")</f>
        <v/>
      </c>
      <c r="S189" s="516"/>
      <c r="T189" s="368" t="str">
        <f>IF(S189="","",IF(VLOOKUP(S189,'G-7 WaterC'' Data'!$AO$4:$BO$7,2,FALSE)=0,"Spatial Data Missing ⚠",VLOOKUP(S189,'G-7 WaterC'' Data'!$AO$4:$BO$7,2,FALSE)))</f>
        <v/>
      </c>
      <c r="U189" s="376" t="str">
        <f>IFERROR(IF(D189="","",IF(AND(Q189='G-1 All Habitats'!$X$3,X189&gt;0),Y189+Z189,IF(AND(Q189='G-1 All Habitats'!$X$3,W189&gt;0),Y189+Z189,IF(AND(Q189='G-1 All Habitats'!$X$3,AH189&gt;0),"Any Loss Unacceptable ⚠",IF(AND(Q189='G-1 All Habitats'!$X$3,AI189&gt;0),"Any Loss Unacceptable ⚠", E189*G189*I189*L189*N189*P189 ))))),"Check Data ▲")</f>
        <v/>
      </c>
      <c r="V189" s="32"/>
      <c r="W189" s="114"/>
      <c r="X189" s="125"/>
      <c r="Y189" s="374" t="str">
        <f t="shared" si="16"/>
        <v/>
      </c>
      <c r="Z189" s="374" t="str">
        <f t="shared" si="17"/>
        <v/>
      </c>
      <c r="AA189" s="374" t="str">
        <f t="shared" si="18"/>
        <v/>
      </c>
      <c r="AB189" s="670" t="str">
        <f t="shared" si="19"/>
        <v/>
      </c>
      <c r="AC189" s="516"/>
      <c r="AD189" s="119"/>
      <c r="AE189" s="120"/>
      <c r="AF189" s="120"/>
      <c r="AG189" s="120"/>
      <c r="AH189" s="57" t="str">
        <f>IF(Q189="","",IF(Q189='G-1 All Habitats'!$X$3,E189-X189-W189,"None"))</f>
        <v/>
      </c>
      <c r="AI189" s="58" t="str">
        <f>IF(Q189="","", IF(Q189='G-1 All Habitats'!$X$3, AH189*G189*I189*L189*N189*P189,"None"))</f>
        <v/>
      </c>
      <c r="AJ189" s="30" t="str">
        <f>IFERROR(INDEX('G-7 WaterC'' Data'!$AZ$3:$AZ$7,MATCH(D189,'G-7 WaterC'' Data'!$AY$3:$AY$7,0)),"")</f>
        <v/>
      </c>
      <c r="AK189" s="30">
        <f t="shared" si="20"/>
        <v>0</v>
      </c>
      <c r="AL189" s="124" t="str">
        <f t="shared" si="21"/>
        <v/>
      </c>
      <c r="AM189" s="124" t="str">
        <f t="shared" si="22"/>
        <v/>
      </c>
      <c r="AO189" s="124">
        <v>180</v>
      </c>
      <c r="AQ189" s="124" t="str">
        <f t="array" ref="AQ189">IFERROR(INDEX($AO$10:$AO$258, MATCH(0, IF(TRUE=$AL$10:$AL$258, COUNTIF($AQ$9:$AQ188, $AO$10:$AO$258), ""), 0)),"")</f>
        <v/>
      </c>
      <c r="AR189" s="124" t="str">
        <f t="array" ref="AR189">IFERROR(INDEX($AO$10:$AO$258, MATCH(0, IF(TRUE=$AM$10:$AM$258, COUNTIF($AR$9:$AR188, $AO$10:$AO$258), ""), 0)),"")</f>
        <v/>
      </c>
      <c r="AZ189" s="802" t="str">
        <f t="shared" si="23"/>
        <v/>
      </c>
    </row>
    <row r="190" spans="3:52" ht="15.75" thickBot="1">
      <c r="C190" s="110">
        <v>181</v>
      </c>
      <c r="D190" s="340"/>
      <c r="E190" s="121"/>
      <c r="F190" s="362" t="str">
        <f>IF(D190="","",VLOOKUP(D190,'G-7 WaterC'' Data'!$B$2:$G$8,2,FALSE))</f>
        <v/>
      </c>
      <c r="G190" s="363" t="str">
        <f>IFERROR(VLOOKUP(F190,'G-7 WaterC'' Data'!$C$4:$D$8,2,FALSE),"")</f>
        <v/>
      </c>
      <c r="H190" s="114"/>
      <c r="I190" s="363" t="str">
        <f>IFERROR(INDEX('G-7 WaterC'' Data'!$H$4:$L$8,MATCH(D190,'G-7 WaterC'' Data'!$B$4:$B$8,0),MATCH(H190,'G-7 WaterC'' Data'!$H$3:$L$3,0)),"")</f>
        <v/>
      </c>
      <c r="J190" s="115"/>
      <c r="K190" s="382" t="str">
        <f>IF(J190="","",IF(VLOOKUP(J190,'G-7 WaterC'' Data'!$AK$4:$AM$9,2,FALSE)=0,"Spatial Data Missing ⚠",VLOOKUP(J190,'G-7 WaterC'' Data'!$AK$4:$AM$6,2,FALSE)))</f>
        <v/>
      </c>
      <c r="L190" s="386" t="str">
        <f>IF(J190="","",IF(VLOOKUP(J190,'G-7 WaterC'' Data'!$AK$4:$AM$9,3,FALSE)=0,"Spatial Data Missing ⚠",VLOOKUP(J190,'G-7 WaterC'' Data'!$AK$4:$AM$6,3,FALSE)))</f>
        <v/>
      </c>
      <c r="M190" s="115"/>
      <c r="N190" s="363" t="str">
        <f>IF(M190="","",IF(VLOOKUP(M190,'G-7 WaterC'' Data'!$AA$4:$AB$7,2,FALSE)=0,"Spatial Data Missing ⚠",VLOOKUP(M190,'G-7 WaterC'' Data'!$AA$4:$AB$7,2,FALSE)))</f>
        <v/>
      </c>
      <c r="O190" s="60"/>
      <c r="P190" s="363" t="str">
        <f>IF(O190="","",IF(VLOOKUP(O190,'G-7 WaterC'' Data'!$AD$4:$AE$14,2,FALSE)=0,"Spatial Data Missing ⚠",VLOOKUP(O190,'G-7 WaterC'' Data'!$AD$4:$AE$14,2,FALSE)))</f>
        <v/>
      </c>
      <c r="Q190" s="369" t="str">
        <f>IF(D190="","",VLOOKUP(D190,'G-7 WaterC'' Data'!$B$4:$G$8,6,FALSE))</f>
        <v/>
      </c>
      <c r="R190" s="376" t="str">
        <f>IFERROR(IF(D190="","",IF(AND(Q190='G-1 All Habitats'!$X$3,X190&gt;0),Y190+(Z190*T190),IF(AND(Q190='G-1 All Habitats'!$X$3,W190&gt;0),Y190+(Z190*T190),IF(AND(Q190='G-1 All Habitats'!$X$3,AH190&gt;0),"Any Loss Unacceptable ⚠",IF(AND(Q190='G-1 All Habitats'!$X$3,AI190&gt;0),"Any Loss Unacceptable ⚠", E190*G190*I190*L190*N190*P190*T190 ))))),"Check Data ▲")</f>
        <v/>
      </c>
      <c r="S190" s="516"/>
      <c r="T190" s="368" t="str">
        <f>IF(S190="","",IF(VLOOKUP(S190,'G-7 WaterC'' Data'!$AO$4:$BO$7,2,FALSE)=0,"Spatial Data Missing ⚠",VLOOKUP(S190,'G-7 WaterC'' Data'!$AO$4:$BO$7,2,FALSE)))</f>
        <v/>
      </c>
      <c r="U190" s="376" t="str">
        <f>IFERROR(IF(D190="","",IF(AND(Q190='G-1 All Habitats'!$X$3,X190&gt;0),Y190+Z190,IF(AND(Q190='G-1 All Habitats'!$X$3,W190&gt;0),Y190+Z190,IF(AND(Q190='G-1 All Habitats'!$X$3,AH190&gt;0),"Any Loss Unacceptable ⚠",IF(AND(Q190='G-1 All Habitats'!$X$3,AI190&gt;0),"Any Loss Unacceptable ⚠", E190*G190*I190*L190*N190*P190 ))))),"Check Data ▲")</f>
        <v/>
      </c>
      <c r="V190" s="32"/>
      <c r="W190" s="114"/>
      <c r="X190" s="125"/>
      <c r="Y190" s="374" t="str">
        <f t="shared" si="16"/>
        <v/>
      </c>
      <c r="Z190" s="374" t="str">
        <f t="shared" si="17"/>
        <v/>
      </c>
      <c r="AA190" s="374" t="str">
        <f t="shared" si="18"/>
        <v/>
      </c>
      <c r="AB190" s="670" t="str">
        <f t="shared" si="19"/>
        <v/>
      </c>
      <c r="AC190" s="516"/>
      <c r="AD190" s="119"/>
      <c r="AE190" s="120"/>
      <c r="AF190" s="120"/>
      <c r="AG190" s="120"/>
      <c r="AH190" s="57" t="str">
        <f>IF(Q190="","",IF(Q190='G-1 All Habitats'!$X$3,E190-X190-W190,"None"))</f>
        <v/>
      </c>
      <c r="AI190" s="58" t="str">
        <f>IF(Q190="","", IF(Q190='G-1 All Habitats'!$X$3, AH190*G190*I190*L190*N190*P190,"None"))</f>
        <v/>
      </c>
      <c r="AJ190" s="30" t="str">
        <f>IFERROR(INDEX('G-7 WaterC'' Data'!$AZ$3:$AZ$7,MATCH(D190,'G-7 WaterC'' Data'!$AY$3:$AY$7,0)),"")</f>
        <v/>
      </c>
      <c r="AK190" s="30">
        <f t="shared" si="20"/>
        <v>0</v>
      </c>
      <c r="AL190" s="124" t="str">
        <f t="shared" si="21"/>
        <v/>
      </c>
      <c r="AM190" s="124" t="str">
        <f t="shared" si="22"/>
        <v/>
      </c>
      <c r="AO190" s="124">
        <v>181</v>
      </c>
      <c r="AQ190" s="124" t="str">
        <f t="array" ref="AQ190">IFERROR(INDEX($AO$10:$AO$258, MATCH(0, IF(TRUE=$AL$10:$AL$258, COUNTIF($AQ$9:$AQ189, $AO$10:$AO$258), ""), 0)),"")</f>
        <v/>
      </c>
      <c r="AR190" s="124" t="str">
        <f t="array" ref="AR190">IFERROR(INDEX($AO$10:$AO$258, MATCH(0, IF(TRUE=$AM$10:$AM$258, COUNTIF($AR$9:$AR189, $AO$10:$AO$258), ""), 0)),"")</f>
        <v/>
      </c>
      <c r="AZ190" s="802" t="str">
        <f t="shared" si="23"/>
        <v/>
      </c>
    </row>
    <row r="191" spans="3:52" ht="15.75" thickBot="1">
      <c r="C191" s="110">
        <v>182</v>
      </c>
      <c r="D191" s="340"/>
      <c r="E191" s="121"/>
      <c r="F191" s="362" t="str">
        <f>IF(D191="","",VLOOKUP(D191,'G-7 WaterC'' Data'!$B$2:$G$8,2,FALSE))</f>
        <v/>
      </c>
      <c r="G191" s="363" t="str">
        <f>IFERROR(VLOOKUP(F191,'G-7 WaterC'' Data'!$C$4:$D$8,2,FALSE),"")</f>
        <v/>
      </c>
      <c r="H191" s="114"/>
      <c r="I191" s="363" t="str">
        <f>IFERROR(INDEX('G-7 WaterC'' Data'!$H$4:$L$8,MATCH(D191,'G-7 WaterC'' Data'!$B$4:$B$8,0),MATCH(H191,'G-7 WaterC'' Data'!$H$3:$L$3,0)),"")</f>
        <v/>
      </c>
      <c r="J191" s="115"/>
      <c r="K191" s="382" t="str">
        <f>IF(J191="","",IF(VLOOKUP(J191,'G-7 WaterC'' Data'!$AK$4:$AM$9,2,FALSE)=0,"Spatial Data Missing ⚠",VLOOKUP(J191,'G-7 WaterC'' Data'!$AK$4:$AM$6,2,FALSE)))</f>
        <v/>
      </c>
      <c r="L191" s="386" t="str">
        <f>IF(J191="","",IF(VLOOKUP(J191,'G-7 WaterC'' Data'!$AK$4:$AM$9,3,FALSE)=0,"Spatial Data Missing ⚠",VLOOKUP(J191,'G-7 WaterC'' Data'!$AK$4:$AM$6,3,FALSE)))</f>
        <v/>
      </c>
      <c r="M191" s="115"/>
      <c r="N191" s="363" t="str">
        <f>IF(M191="","",IF(VLOOKUP(M191,'G-7 WaterC'' Data'!$AA$4:$AB$7,2,FALSE)=0,"Spatial Data Missing ⚠",VLOOKUP(M191,'G-7 WaterC'' Data'!$AA$4:$AB$7,2,FALSE)))</f>
        <v/>
      </c>
      <c r="O191" s="60"/>
      <c r="P191" s="363" t="str">
        <f>IF(O191="","",IF(VLOOKUP(O191,'G-7 WaterC'' Data'!$AD$4:$AE$14,2,FALSE)=0,"Spatial Data Missing ⚠",VLOOKUP(O191,'G-7 WaterC'' Data'!$AD$4:$AE$14,2,FALSE)))</f>
        <v/>
      </c>
      <c r="Q191" s="369" t="str">
        <f>IF(D191="","",VLOOKUP(D191,'G-7 WaterC'' Data'!$B$4:$G$8,6,FALSE))</f>
        <v/>
      </c>
      <c r="R191" s="376" t="str">
        <f>IFERROR(IF(D191="","",IF(AND(Q191='G-1 All Habitats'!$X$3,X191&gt;0),Y191+(Z191*T191),IF(AND(Q191='G-1 All Habitats'!$X$3,W191&gt;0),Y191+(Z191*T191),IF(AND(Q191='G-1 All Habitats'!$X$3,AH191&gt;0),"Any Loss Unacceptable ⚠",IF(AND(Q191='G-1 All Habitats'!$X$3,AI191&gt;0),"Any Loss Unacceptable ⚠", E191*G191*I191*L191*N191*P191*T191 ))))),"Check Data ▲")</f>
        <v/>
      </c>
      <c r="S191" s="516"/>
      <c r="T191" s="368" t="str">
        <f>IF(S191="","",IF(VLOOKUP(S191,'G-7 WaterC'' Data'!$AO$4:$BO$7,2,FALSE)=0,"Spatial Data Missing ⚠",VLOOKUP(S191,'G-7 WaterC'' Data'!$AO$4:$BO$7,2,FALSE)))</f>
        <v/>
      </c>
      <c r="U191" s="376" t="str">
        <f>IFERROR(IF(D191="","",IF(AND(Q191='G-1 All Habitats'!$X$3,X191&gt;0),Y191+Z191,IF(AND(Q191='G-1 All Habitats'!$X$3,W191&gt;0),Y191+Z191,IF(AND(Q191='G-1 All Habitats'!$X$3,AH191&gt;0),"Any Loss Unacceptable ⚠",IF(AND(Q191='G-1 All Habitats'!$X$3,AI191&gt;0),"Any Loss Unacceptable ⚠", E191*G191*I191*L191*N191*P191 ))))),"Check Data ▲")</f>
        <v/>
      </c>
      <c r="V191" s="32"/>
      <c r="W191" s="114"/>
      <c r="X191" s="125"/>
      <c r="Y191" s="374" t="str">
        <f t="shared" si="16"/>
        <v/>
      </c>
      <c r="Z191" s="374" t="str">
        <f t="shared" si="17"/>
        <v/>
      </c>
      <c r="AA191" s="374" t="str">
        <f t="shared" si="18"/>
        <v/>
      </c>
      <c r="AB191" s="670" t="str">
        <f t="shared" si="19"/>
        <v/>
      </c>
      <c r="AC191" s="516"/>
      <c r="AD191" s="119"/>
      <c r="AE191" s="120"/>
      <c r="AF191" s="120"/>
      <c r="AG191" s="120"/>
      <c r="AH191" s="57" t="str">
        <f>IF(Q191="","",IF(Q191='G-1 All Habitats'!$X$3,E191-X191-W191,"None"))</f>
        <v/>
      </c>
      <c r="AI191" s="58" t="str">
        <f>IF(Q191="","", IF(Q191='G-1 All Habitats'!$X$3, AH191*G191*I191*L191*N191*P191,"None"))</f>
        <v/>
      </c>
      <c r="AJ191" s="30" t="str">
        <f>IFERROR(INDEX('G-7 WaterC'' Data'!$AZ$3:$AZ$7,MATCH(D191,'G-7 WaterC'' Data'!$AY$3:$AY$7,0)),"")</f>
        <v/>
      </c>
      <c r="AK191" s="30">
        <f t="shared" si="20"/>
        <v>0</v>
      </c>
      <c r="AL191" s="124" t="str">
        <f t="shared" si="21"/>
        <v/>
      </c>
      <c r="AM191" s="124" t="str">
        <f t="shared" si="22"/>
        <v/>
      </c>
      <c r="AO191" s="124">
        <v>182</v>
      </c>
      <c r="AQ191" s="124" t="str">
        <f t="array" ref="AQ191">IFERROR(INDEX($AO$10:$AO$258, MATCH(0, IF(TRUE=$AL$10:$AL$258, COUNTIF($AQ$9:$AQ190, $AO$10:$AO$258), ""), 0)),"")</f>
        <v/>
      </c>
      <c r="AR191" s="124" t="str">
        <f t="array" ref="AR191">IFERROR(INDEX($AO$10:$AO$258, MATCH(0, IF(TRUE=$AM$10:$AM$258, COUNTIF($AR$9:$AR190, $AO$10:$AO$258), ""), 0)),"")</f>
        <v/>
      </c>
      <c r="AZ191" s="802" t="str">
        <f t="shared" si="23"/>
        <v/>
      </c>
    </row>
    <row r="192" spans="3:52" ht="15.75" thickBot="1">
      <c r="C192" s="110">
        <v>183</v>
      </c>
      <c r="D192" s="340"/>
      <c r="E192" s="121"/>
      <c r="F192" s="362" t="str">
        <f>IF(D192="","",VLOOKUP(D192,'G-7 WaterC'' Data'!$B$2:$G$8,2,FALSE))</f>
        <v/>
      </c>
      <c r="G192" s="363" t="str">
        <f>IFERROR(VLOOKUP(F192,'G-7 WaterC'' Data'!$C$4:$D$8,2,FALSE),"")</f>
        <v/>
      </c>
      <c r="H192" s="114"/>
      <c r="I192" s="363" t="str">
        <f>IFERROR(INDEX('G-7 WaterC'' Data'!$H$4:$L$8,MATCH(D192,'G-7 WaterC'' Data'!$B$4:$B$8,0),MATCH(H192,'G-7 WaterC'' Data'!$H$3:$L$3,0)),"")</f>
        <v/>
      </c>
      <c r="J192" s="115"/>
      <c r="K192" s="382" t="str">
        <f>IF(J192="","",IF(VLOOKUP(J192,'G-7 WaterC'' Data'!$AK$4:$AM$9,2,FALSE)=0,"Spatial Data Missing ⚠",VLOOKUP(J192,'G-7 WaterC'' Data'!$AK$4:$AM$6,2,FALSE)))</f>
        <v/>
      </c>
      <c r="L192" s="386" t="str">
        <f>IF(J192="","",IF(VLOOKUP(J192,'G-7 WaterC'' Data'!$AK$4:$AM$9,3,FALSE)=0,"Spatial Data Missing ⚠",VLOOKUP(J192,'G-7 WaterC'' Data'!$AK$4:$AM$6,3,FALSE)))</f>
        <v/>
      </c>
      <c r="M192" s="115"/>
      <c r="N192" s="363" t="str">
        <f>IF(M192="","",IF(VLOOKUP(M192,'G-7 WaterC'' Data'!$AA$4:$AB$7,2,FALSE)=0,"Spatial Data Missing ⚠",VLOOKUP(M192,'G-7 WaterC'' Data'!$AA$4:$AB$7,2,FALSE)))</f>
        <v/>
      </c>
      <c r="O192" s="60"/>
      <c r="P192" s="363" t="str">
        <f>IF(O192="","",IF(VLOOKUP(O192,'G-7 WaterC'' Data'!$AD$4:$AE$14,2,FALSE)=0,"Spatial Data Missing ⚠",VLOOKUP(O192,'G-7 WaterC'' Data'!$AD$4:$AE$14,2,FALSE)))</f>
        <v/>
      </c>
      <c r="Q192" s="369" t="str">
        <f>IF(D192="","",VLOOKUP(D192,'G-7 WaterC'' Data'!$B$4:$G$8,6,FALSE))</f>
        <v/>
      </c>
      <c r="R192" s="376" t="str">
        <f>IFERROR(IF(D192="","",IF(AND(Q192='G-1 All Habitats'!$X$3,X192&gt;0),Y192+(Z192*T192),IF(AND(Q192='G-1 All Habitats'!$X$3,W192&gt;0),Y192+(Z192*T192),IF(AND(Q192='G-1 All Habitats'!$X$3,AH192&gt;0),"Any Loss Unacceptable ⚠",IF(AND(Q192='G-1 All Habitats'!$X$3,AI192&gt;0),"Any Loss Unacceptable ⚠", E192*G192*I192*L192*N192*P192*T192 ))))),"Check Data ▲")</f>
        <v/>
      </c>
      <c r="S192" s="516"/>
      <c r="T192" s="368" t="str">
        <f>IF(S192="","",IF(VLOOKUP(S192,'G-7 WaterC'' Data'!$AO$4:$BO$7,2,FALSE)=0,"Spatial Data Missing ⚠",VLOOKUP(S192,'G-7 WaterC'' Data'!$AO$4:$BO$7,2,FALSE)))</f>
        <v/>
      </c>
      <c r="U192" s="376" t="str">
        <f>IFERROR(IF(D192="","",IF(AND(Q192='G-1 All Habitats'!$X$3,X192&gt;0),Y192+Z192,IF(AND(Q192='G-1 All Habitats'!$X$3,W192&gt;0),Y192+Z192,IF(AND(Q192='G-1 All Habitats'!$X$3,AH192&gt;0),"Any Loss Unacceptable ⚠",IF(AND(Q192='G-1 All Habitats'!$X$3,AI192&gt;0),"Any Loss Unacceptable ⚠", E192*G192*I192*L192*N192*P192 ))))),"Check Data ▲")</f>
        <v/>
      </c>
      <c r="V192" s="32"/>
      <c r="W192" s="114"/>
      <c r="X192" s="125"/>
      <c r="Y192" s="374" t="str">
        <f t="shared" si="16"/>
        <v/>
      </c>
      <c r="Z192" s="374" t="str">
        <f t="shared" si="17"/>
        <v/>
      </c>
      <c r="AA192" s="374" t="str">
        <f t="shared" si="18"/>
        <v/>
      </c>
      <c r="AB192" s="670" t="str">
        <f t="shared" si="19"/>
        <v/>
      </c>
      <c r="AC192" s="516"/>
      <c r="AD192" s="119"/>
      <c r="AE192" s="120"/>
      <c r="AF192" s="120"/>
      <c r="AG192" s="120"/>
      <c r="AH192" s="57" t="str">
        <f>IF(Q192="","",IF(Q192='G-1 All Habitats'!$X$3,E192-X192-W192,"None"))</f>
        <v/>
      </c>
      <c r="AI192" s="58" t="str">
        <f>IF(Q192="","", IF(Q192='G-1 All Habitats'!$X$3, AH192*G192*I192*L192*N192*P192,"None"))</f>
        <v/>
      </c>
      <c r="AJ192" s="30" t="str">
        <f>IFERROR(INDEX('G-7 WaterC'' Data'!$AZ$3:$AZ$7,MATCH(D192,'G-7 WaterC'' Data'!$AY$3:$AY$7,0)),"")</f>
        <v/>
      </c>
      <c r="AK192" s="30">
        <f t="shared" si="20"/>
        <v>0</v>
      </c>
      <c r="AL192" s="124" t="str">
        <f t="shared" si="21"/>
        <v/>
      </c>
      <c r="AM192" s="124" t="str">
        <f t="shared" si="22"/>
        <v/>
      </c>
      <c r="AO192" s="124">
        <v>183</v>
      </c>
      <c r="AQ192" s="124" t="str">
        <f t="array" ref="AQ192">IFERROR(INDEX($AO$10:$AO$258, MATCH(0, IF(TRUE=$AL$10:$AL$258, COUNTIF($AQ$9:$AQ191, $AO$10:$AO$258), ""), 0)),"")</f>
        <v/>
      </c>
      <c r="AR192" s="124" t="str">
        <f t="array" ref="AR192">IFERROR(INDEX($AO$10:$AO$258, MATCH(0, IF(TRUE=$AM$10:$AM$258, COUNTIF($AR$9:$AR191, $AO$10:$AO$258), ""), 0)),"")</f>
        <v/>
      </c>
      <c r="AZ192" s="802" t="str">
        <f t="shared" si="23"/>
        <v/>
      </c>
    </row>
    <row r="193" spans="3:52" ht="15.75" thickBot="1">
      <c r="C193" s="110">
        <v>184</v>
      </c>
      <c r="D193" s="340"/>
      <c r="E193" s="121"/>
      <c r="F193" s="362" t="str">
        <f>IF(D193="","",VLOOKUP(D193,'G-7 WaterC'' Data'!$B$2:$G$8,2,FALSE))</f>
        <v/>
      </c>
      <c r="G193" s="363" t="str">
        <f>IFERROR(VLOOKUP(F193,'G-7 WaterC'' Data'!$C$4:$D$8,2,FALSE),"")</f>
        <v/>
      </c>
      <c r="H193" s="114"/>
      <c r="I193" s="363" t="str">
        <f>IFERROR(INDEX('G-7 WaterC'' Data'!$H$4:$L$8,MATCH(D193,'G-7 WaterC'' Data'!$B$4:$B$8,0),MATCH(H193,'G-7 WaterC'' Data'!$H$3:$L$3,0)),"")</f>
        <v/>
      </c>
      <c r="J193" s="115"/>
      <c r="K193" s="382" t="str">
        <f>IF(J193="","",IF(VLOOKUP(J193,'G-7 WaterC'' Data'!$AK$4:$AM$9,2,FALSE)=0,"Spatial Data Missing ⚠",VLOOKUP(J193,'G-7 WaterC'' Data'!$AK$4:$AM$6,2,FALSE)))</f>
        <v/>
      </c>
      <c r="L193" s="386" t="str">
        <f>IF(J193="","",IF(VLOOKUP(J193,'G-7 WaterC'' Data'!$AK$4:$AM$9,3,FALSE)=0,"Spatial Data Missing ⚠",VLOOKUP(J193,'G-7 WaterC'' Data'!$AK$4:$AM$6,3,FALSE)))</f>
        <v/>
      </c>
      <c r="M193" s="115"/>
      <c r="N193" s="363" t="str">
        <f>IF(M193="","",IF(VLOOKUP(M193,'G-7 WaterC'' Data'!$AA$4:$AB$7,2,FALSE)=0,"Spatial Data Missing ⚠",VLOOKUP(M193,'G-7 WaterC'' Data'!$AA$4:$AB$7,2,FALSE)))</f>
        <v/>
      </c>
      <c r="O193" s="60"/>
      <c r="P193" s="363" t="str">
        <f>IF(O193="","",IF(VLOOKUP(O193,'G-7 WaterC'' Data'!$AD$4:$AE$14,2,FALSE)=0,"Spatial Data Missing ⚠",VLOOKUP(O193,'G-7 WaterC'' Data'!$AD$4:$AE$14,2,FALSE)))</f>
        <v/>
      </c>
      <c r="Q193" s="369" t="str">
        <f>IF(D193="","",VLOOKUP(D193,'G-7 WaterC'' Data'!$B$4:$G$8,6,FALSE))</f>
        <v/>
      </c>
      <c r="R193" s="376" t="str">
        <f>IFERROR(IF(D193="","",IF(AND(Q193='G-1 All Habitats'!$X$3,X193&gt;0),Y193+(Z193*T193),IF(AND(Q193='G-1 All Habitats'!$X$3,W193&gt;0),Y193+(Z193*T193),IF(AND(Q193='G-1 All Habitats'!$X$3,AH193&gt;0),"Any Loss Unacceptable ⚠",IF(AND(Q193='G-1 All Habitats'!$X$3,AI193&gt;0),"Any Loss Unacceptable ⚠", E193*G193*I193*L193*N193*P193*T193 ))))),"Check Data ▲")</f>
        <v/>
      </c>
      <c r="S193" s="516"/>
      <c r="T193" s="368" t="str">
        <f>IF(S193="","",IF(VLOOKUP(S193,'G-7 WaterC'' Data'!$AO$4:$BO$7,2,FALSE)=0,"Spatial Data Missing ⚠",VLOOKUP(S193,'G-7 WaterC'' Data'!$AO$4:$BO$7,2,FALSE)))</f>
        <v/>
      </c>
      <c r="U193" s="376" t="str">
        <f>IFERROR(IF(D193="","",IF(AND(Q193='G-1 All Habitats'!$X$3,X193&gt;0),Y193+Z193,IF(AND(Q193='G-1 All Habitats'!$X$3,W193&gt;0),Y193+Z193,IF(AND(Q193='G-1 All Habitats'!$X$3,AH193&gt;0),"Any Loss Unacceptable ⚠",IF(AND(Q193='G-1 All Habitats'!$X$3,AI193&gt;0),"Any Loss Unacceptable ⚠", E193*G193*I193*L193*N193*P193 ))))),"Check Data ▲")</f>
        <v/>
      </c>
      <c r="V193" s="32"/>
      <c r="W193" s="114"/>
      <c r="X193" s="125"/>
      <c r="Y193" s="374" t="str">
        <f t="shared" si="16"/>
        <v/>
      </c>
      <c r="Z193" s="374" t="str">
        <f t="shared" si="17"/>
        <v/>
      </c>
      <c r="AA193" s="374" t="str">
        <f t="shared" si="18"/>
        <v/>
      </c>
      <c r="AB193" s="670" t="str">
        <f t="shared" si="19"/>
        <v/>
      </c>
      <c r="AC193" s="516"/>
      <c r="AD193" s="119"/>
      <c r="AE193" s="120"/>
      <c r="AF193" s="120"/>
      <c r="AG193" s="120"/>
      <c r="AH193" s="57" t="str">
        <f>IF(Q193="","",IF(Q193='G-1 All Habitats'!$X$3,E193-X193-W193,"None"))</f>
        <v/>
      </c>
      <c r="AI193" s="58" t="str">
        <f>IF(Q193="","", IF(Q193='G-1 All Habitats'!$X$3, AH193*G193*I193*L193*N193*P193,"None"))</f>
        <v/>
      </c>
      <c r="AJ193" s="30" t="str">
        <f>IFERROR(INDEX('G-7 WaterC'' Data'!$AZ$3:$AZ$7,MATCH(D193,'G-7 WaterC'' Data'!$AY$3:$AY$7,0)),"")</f>
        <v/>
      </c>
      <c r="AK193" s="30">
        <f t="shared" si="20"/>
        <v>0</v>
      </c>
      <c r="AL193" s="124" t="str">
        <f t="shared" si="21"/>
        <v/>
      </c>
      <c r="AM193" s="124" t="str">
        <f t="shared" si="22"/>
        <v/>
      </c>
      <c r="AO193" s="124">
        <v>184</v>
      </c>
      <c r="AQ193" s="124" t="str">
        <f t="array" ref="AQ193">IFERROR(INDEX($AO$10:$AO$258, MATCH(0, IF(TRUE=$AL$10:$AL$258, COUNTIF($AQ$9:$AQ192, $AO$10:$AO$258), ""), 0)),"")</f>
        <v/>
      </c>
      <c r="AR193" s="124" t="str">
        <f t="array" ref="AR193">IFERROR(INDEX($AO$10:$AO$258, MATCH(0, IF(TRUE=$AM$10:$AM$258, COUNTIF($AR$9:$AR192, $AO$10:$AO$258), ""), 0)),"")</f>
        <v/>
      </c>
      <c r="AZ193" s="802" t="str">
        <f t="shared" si="23"/>
        <v/>
      </c>
    </row>
    <row r="194" spans="3:52" ht="15.75" thickBot="1">
      <c r="C194" s="110">
        <v>185</v>
      </c>
      <c r="D194" s="340"/>
      <c r="E194" s="121"/>
      <c r="F194" s="362" t="str">
        <f>IF(D194="","",VLOOKUP(D194,'G-7 WaterC'' Data'!$B$2:$G$8,2,FALSE))</f>
        <v/>
      </c>
      <c r="G194" s="363" t="str">
        <f>IFERROR(VLOOKUP(F194,'G-7 WaterC'' Data'!$C$4:$D$8,2,FALSE),"")</f>
        <v/>
      </c>
      <c r="H194" s="114"/>
      <c r="I194" s="363" t="str">
        <f>IFERROR(INDEX('G-7 WaterC'' Data'!$H$4:$L$8,MATCH(D194,'G-7 WaterC'' Data'!$B$4:$B$8,0),MATCH(H194,'G-7 WaterC'' Data'!$H$3:$L$3,0)),"")</f>
        <v/>
      </c>
      <c r="J194" s="115"/>
      <c r="K194" s="382" t="str">
        <f>IF(J194="","",IF(VLOOKUP(J194,'G-7 WaterC'' Data'!$AK$4:$AM$9,2,FALSE)=0,"Spatial Data Missing ⚠",VLOOKUP(J194,'G-7 WaterC'' Data'!$AK$4:$AM$6,2,FALSE)))</f>
        <v/>
      </c>
      <c r="L194" s="386" t="str">
        <f>IF(J194="","",IF(VLOOKUP(J194,'G-7 WaterC'' Data'!$AK$4:$AM$9,3,FALSE)=0,"Spatial Data Missing ⚠",VLOOKUP(J194,'G-7 WaterC'' Data'!$AK$4:$AM$6,3,FALSE)))</f>
        <v/>
      </c>
      <c r="M194" s="115"/>
      <c r="N194" s="363" t="str">
        <f>IF(M194="","",IF(VLOOKUP(M194,'G-7 WaterC'' Data'!$AA$4:$AB$7,2,FALSE)=0,"Spatial Data Missing ⚠",VLOOKUP(M194,'G-7 WaterC'' Data'!$AA$4:$AB$7,2,FALSE)))</f>
        <v/>
      </c>
      <c r="O194" s="60"/>
      <c r="P194" s="363" t="str">
        <f>IF(O194="","",IF(VLOOKUP(O194,'G-7 WaterC'' Data'!$AD$4:$AE$14,2,FALSE)=0,"Spatial Data Missing ⚠",VLOOKUP(O194,'G-7 WaterC'' Data'!$AD$4:$AE$14,2,FALSE)))</f>
        <v/>
      </c>
      <c r="Q194" s="369" t="str">
        <f>IF(D194="","",VLOOKUP(D194,'G-7 WaterC'' Data'!$B$4:$G$8,6,FALSE))</f>
        <v/>
      </c>
      <c r="R194" s="376" t="str">
        <f>IFERROR(IF(D194="","",IF(AND(Q194='G-1 All Habitats'!$X$3,X194&gt;0),Y194+(Z194*T194),IF(AND(Q194='G-1 All Habitats'!$X$3,W194&gt;0),Y194+(Z194*T194),IF(AND(Q194='G-1 All Habitats'!$X$3,AH194&gt;0),"Any Loss Unacceptable ⚠",IF(AND(Q194='G-1 All Habitats'!$X$3,AI194&gt;0),"Any Loss Unacceptable ⚠", E194*G194*I194*L194*N194*P194*T194 ))))),"Check Data ▲")</f>
        <v/>
      </c>
      <c r="S194" s="516"/>
      <c r="T194" s="368" t="str">
        <f>IF(S194="","",IF(VLOOKUP(S194,'G-7 WaterC'' Data'!$AO$4:$BO$7,2,FALSE)=0,"Spatial Data Missing ⚠",VLOOKUP(S194,'G-7 WaterC'' Data'!$AO$4:$BO$7,2,FALSE)))</f>
        <v/>
      </c>
      <c r="U194" s="376" t="str">
        <f>IFERROR(IF(D194="","",IF(AND(Q194='G-1 All Habitats'!$X$3,X194&gt;0),Y194+Z194,IF(AND(Q194='G-1 All Habitats'!$X$3,W194&gt;0),Y194+Z194,IF(AND(Q194='G-1 All Habitats'!$X$3,AH194&gt;0),"Any Loss Unacceptable ⚠",IF(AND(Q194='G-1 All Habitats'!$X$3,AI194&gt;0),"Any Loss Unacceptable ⚠", E194*G194*I194*L194*N194*P194 ))))),"Check Data ▲")</f>
        <v/>
      </c>
      <c r="V194" s="32"/>
      <c r="W194" s="114"/>
      <c r="X194" s="125"/>
      <c r="Y194" s="374" t="str">
        <f t="shared" si="16"/>
        <v/>
      </c>
      <c r="Z194" s="374" t="str">
        <f t="shared" si="17"/>
        <v/>
      </c>
      <c r="AA194" s="374" t="str">
        <f t="shared" si="18"/>
        <v/>
      </c>
      <c r="AB194" s="670" t="str">
        <f t="shared" si="19"/>
        <v/>
      </c>
      <c r="AC194" s="516"/>
      <c r="AD194" s="119"/>
      <c r="AE194" s="120"/>
      <c r="AF194" s="120"/>
      <c r="AG194" s="120"/>
      <c r="AH194" s="57" t="str">
        <f>IF(Q194="","",IF(Q194='G-1 All Habitats'!$X$3,E194-X194-W194,"None"))</f>
        <v/>
      </c>
      <c r="AI194" s="58" t="str">
        <f>IF(Q194="","", IF(Q194='G-1 All Habitats'!$X$3, AH194*G194*I194*L194*N194*P194,"None"))</f>
        <v/>
      </c>
      <c r="AJ194" s="30" t="str">
        <f>IFERROR(INDEX('G-7 WaterC'' Data'!$AZ$3:$AZ$7,MATCH(D194,'G-7 WaterC'' Data'!$AY$3:$AY$7,0)),"")</f>
        <v/>
      </c>
      <c r="AK194" s="30">
        <f t="shared" si="20"/>
        <v>0</v>
      </c>
      <c r="AL194" s="124" t="str">
        <f t="shared" si="21"/>
        <v/>
      </c>
      <c r="AM194" s="124" t="str">
        <f t="shared" si="22"/>
        <v/>
      </c>
      <c r="AO194" s="124">
        <v>185</v>
      </c>
      <c r="AQ194" s="124" t="str">
        <f t="array" ref="AQ194">IFERROR(INDEX($AO$10:$AO$258, MATCH(0, IF(TRUE=$AL$10:$AL$258, COUNTIF($AQ$9:$AQ193, $AO$10:$AO$258), ""), 0)),"")</f>
        <v/>
      </c>
      <c r="AR194" s="124" t="str">
        <f t="array" ref="AR194">IFERROR(INDEX($AO$10:$AO$258, MATCH(0, IF(TRUE=$AM$10:$AM$258, COUNTIF($AR$9:$AR193, $AO$10:$AO$258), ""), 0)),"")</f>
        <v/>
      </c>
      <c r="AZ194" s="802" t="str">
        <f t="shared" si="23"/>
        <v/>
      </c>
    </row>
    <row r="195" spans="3:52" ht="15.75" thickBot="1">
      <c r="C195" s="110">
        <v>186</v>
      </c>
      <c r="D195" s="340"/>
      <c r="E195" s="121"/>
      <c r="F195" s="362" t="str">
        <f>IF(D195="","",VLOOKUP(D195,'G-7 WaterC'' Data'!$B$2:$G$8,2,FALSE))</f>
        <v/>
      </c>
      <c r="G195" s="363" t="str">
        <f>IFERROR(VLOOKUP(F195,'G-7 WaterC'' Data'!$C$4:$D$8,2,FALSE),"")</f>
        <v/>
      </c>
      <c r="H195" s="114"/>
      <c r="I195" s="363" t="str">
        <f>IFERROR(INDEX('G-7 WaterC'' Data'!$H$4:$L$8,MATCH(D195,'G-7 WaterC'' Data'!$B$4:$B$8,0),MATCH(H195,'G-7 WaterC'' Data'!$H$3:$L$3,0)),"")</f>
        <v/>
      </c>
      <c r="J195" s="115"/>
      <c r="K195" s="382" t="str">
        <f>IF(J195="","",IF(VLOOKUP(J195,'G-7 WaterC'' Data'!$AK$4:$AM$9,2,FALSE)=0,"Spatial Data Missing ⚠",VLOOKUP(J195,'G-7 WaterC'' Data'!$AK$4:$AM$6,2,FALSE)))</f>
        <v/>
      </c>
      <c r="L195" s="386" t="str">
        <f>IF(J195="","",IF(VLOOKUP(J195,'G-7 WaterC'' Data'!$AK$4:$AM$9,3,FALSE)=0,"Spatial Data Missing ⚠",VLOOKUP(J195,'G-7 WaterC'' Data'!$AK$4:$AM$6,3,FALSE)))</f>
        <v/>
      </c>
      <c r="M195" s="115"/>
      <c r="N195" s="363" t="str">
        <f>IF(M195="","",IF(VLOOKUP(M195,'G-7 WaterC'' Data'!$AA$4:$AB$7,2,FALSE)=0,"Spatial Data Missing ⚠",VLOOKUP(M195,'G-7 WaterC'' Data'!$AA$4:$AB$7,2,FALSE)))</f>
        <v/>
      </c>
      <c r="O195" s="60"/>
      <c r="P195" s="363" t="str">
        <f>IF(O195="","",IF(VLOOKUP(O195,'G-7 WaterC'' Data'!$AD$4:$AE$14,2,FALSE)=0,"Spatial Data Missing ⚠",VLOOKUP(O195,'G-7 WaterC'' Data'!$AD$4:$AE$14,2,FALSE)))</f>
        <v/>
      </c>
      <c r="Q195" s="369" t="str">
        <f>IF(D195="","",VLOOKUP(D195,'G-7 WaterC'' Data'!$B$4:$G$8,6,FALSE))</f>
        <v/>
      </c>
      <c r="R195" s="376" t="str">
        <f>IFERROR(IF(D195="","",IF(AND(Q195='G-1 All Habitats'!$X$3,X195&gt;0),Y195+(Z195*T195),IF(AND(Q195='G-1 All Habitats'!$X$3,W195&gt;0),Y195+(Z195*T195),IF(AND(Q195='G-1 All Habitats'!$X$3,AH195&gt;0),"Any Loss Unacceptable ⚠",IF(AND(Q195='G-1 All Habitats'!$X$3,AI195&gt;0),"Any Loss Unacceptable ⚠", E195*G195*I195*L195*N195*P195*T195 ))))),"Check Data ▲")</f>
        <v/>
      </c>
      <c r="S195" s="516"/>
      <c r="T195" s="368" t="str">
        <f>IF(S195="","",IF(VLOOKUP(S195,'G-7 WaterC'' Data'!$AO$4:$BO$7,2,FALSE)=0,"Spatial Data Missing ⚠",VLOOKUP(S195,'G-7 WaterC'' Data'!$AO$4:$BO$7,2,FALSE)))</f>
        <v/>
      </c>
      <c r="U195" s="376" t="str">
        <f>IFERROR(IF(D195="","",IF(AND(Q195='G-1 All Habitats'!$X$3,X195&gt;0),Y195+Z195,IF(AND(Q195='G-1 All Habitats'!$X$3,W195&gt;0),Y195+Z195,IF(AND(Q195='G-1 All Habitats'!$X$3,AH195&gt;0),"Any Loss Unacceptable ⚠",IF(AND(Q195='G-1 All Habitats'!$X$3,AI195&gt;0),"Any Loss Unacceptable ⚠", E195*G195*I195*L195*N195*P195 ))))),"Check Data ▲")</f>
        <v/>
      </c>
      <c r="V195" s="32"/>
      <c r="W195" s="114"/>
      <c r="X195" s="125"/>
      <c r="Y195" s="374" t="str">
        <f t="shared" si="16"/>
        <v/>
      </c>
      <c r="Z195" s="374" t="str">
        <f t="shared" si="17"/>
        <v/>
      </c>
      <c r="AA195" s="374" t="str">
        <f t="shared" si="18"/>
        <v/>
      </c>
      <c r="AB195" s="670" t="str">
        <f t="shared" si="19"/>
        <v/>
      </c>
      <c r="AC195" s="516"/>
      <c r="AD195" s="119"/>
      <c r="AE195" s="120"/>
      <c r="AF195" s="120"/>
      <c r="AG195" s="120"/>
      <c r="AH195" s="57" t="str">
        <f>IF(Q195="","",IF(Q195='G-1 All Habitats'!$X$3,E195-X195-W195,"None"))</f>
        <v/>
      </c>
      <c r="AI195" s="58" t="str">
        <f>IF(Q195="","", IF(Q195='G-1 All Habitats'!$X$3, AH195*G195*I195*L195*N195*P195,"None"))</f>
        <v/>
      </c>
      <c r="AJ195" s="30" t="str">
        <f>IFERROR(INDEX('G-7 WaterC'' Data'!$AZ$3:$AZ$7,MATCH(D195,'G-7 WaterC'' Data'!$AY$3:$AY$7,0)),"")</f>
        <v/>
      </c>
      <c r="AK195" s="30">
        <f t="shared" si="20"/>
        <v>0</v>
      </c>
      <c r="AL195" s="124" t="str">
        <f t="shared" si="21"/>
        <v/>
      </c>
      <c r="AM195" s="124" t="str">
        <f t="shared" si="22"/>
        <v/>
      </c>
      <c r="AO195" s="124">
        <v>186</v>
      </c>
      <c r="AQ195" s="124" t="str">
        <f t="array" ref="AQ195">IFERROR(INDEX($AO$10:$AO$258, MATCH(0, IF(TRUE=$AL$10:$AL$258, COUNTIF($AQ$9:$AQ194, $AO$10:$AO$258), ""), 0)),"")</f>
        <v/>
      </c>
      <c r="AR195" s="124" t="str">
        <f t="array" ref="AR195">IFERROR(INDEX($AO$10:$AO$258, MATCH(0, IF(TRUE=$AM$10:$AM$258, COUNTIF($AR$9:$AR194, $AO$10:$AO$258), ""), 0)),"")</f>
        <v/>
      </c>
      <c r="AZ195" s="802" t="str">
        <f t="shared" si="23"/>
        <v/>
      </c>
    </row>
    <row r="196" spans="3:52" ht="15.75" thickBot="1">
      <c r="C196" s="110">
        <v>187</v>
      </c>
      <c r="D196" s="340"/>
      <c r="E196" s="121"/>
      <c r="F196" s="362" t="str">
        <f>IF(D196="","",VLOOKUP(D196,'G-7 WaterC'' Data'!$B$2:$G$8,2,FALSE))</f>
        <v/>
      </c>
      <c r="G196" s="363" t="str">
        <f>IFERROR(VLOOKUP(F196,'G-7 WaterC'' Data'!$C$4:$D$8,2,FALSE),"")</f>
        <v/>
      </c>
      <c r="H196" s="114"/>
      <c r="I196" s="363" t="str">
        <f>IFERROR(INDEX('G-7 WaterC'' Data'!$H$4:$L$8,MATCH(D196,'G-7 WaterC'' Data'!$B$4:$B$8,0),MATCH(H196,'G-7 WaterC'' Data'!$H$3:$L$3,0)),"")</f>
        <v/>
      </c>
      <c r="J196" s="115"/>
      <c r="K196" s="382" t="str">
        <f>IF(J196="","",IF(VLOOKUP(J196,'G-7 WaterC'' Data'!$AK$4:$AM$9,2,FALSE)=0,"Spatial Data Missing ⚠",VLOOKUP(J196,'G-7 WaterC'' Data'!$AK$4:$AM$6,2,FALSE)))</f>
        <v/>
      </c>
      <c r="L196" s="386" t="str">
        <f>IF(J196="","",IF(VLOOKUP(J196,'G-7 WaterC'' Data'!$AK$4:$AM$9,3,FALSE)=0,"Spatial Data Missing ⚠",VLOOKUP(J196,'G-7 WaterC'' Data'!$AK$4:$AM$6,3,FALSE)))</f>
        <v/>
      </c>
      <c r="M196" s="115"/>
      <c r="N196" s="363" t="str">
        <f>IF(M196="","",IF(VLOOKUP(M196,'G-7 WaterC'' Data'!$AA$4:$AB$7,2,FALSE)=0,"Spatial Data Missing ⚠",VLOOKUP(M196,'G-7 WaterC'' Data'!$AA$4:$AB$7,2,FALSE)))</f>
        <v/>
      </c>
      <c r="O196" s="60"/>
      <c r="P196" s="363" t="str">
        <f>IF(O196="","",IF(VLOOKUP(O196,'G-7 WaterC'' Data'!$AD$4:$AE$14,2,FALSE)=0,"Spatial Data Missing ⚠",VLOOKUP(O196,'G-7 WaterC'' Data'!$AD$4:$AE$14,2,FALSE)))</f>
        <v/>
      </c>
      <c r="Q196" s="369" t="str">
        <f>IF(D196="","",VLOOKUP(D196,'G-7 WaterC'' Data'!$B$4:$G$8,6,FALSE))</f>
        <v/>
      </c>
      <c r="R196" s="376" t="str">
        <f>IFERROR(IF(D196="","",IF(AND(Q196='G-1 All Habitats'!$X$3,X196&gt;0),Y196+(Z196*T196),IF(AND(Q196='G-1 All Habitats'!$X$3,W196&gt;0),Y196+(Z196*T196),IF(AND(Q196='G-1 All Habitats'!$X$3,AH196&gt;0),"Any Loss Unacceptable ⚠",IF(AND(Q196='G-1 All Habitats'!$X$3,AI196&gt;0),"Any Loss Unacceptable ⚠", E196*G196*I196*L196*N196*P196*T196 ))))),"Check Data ▲")</f>
        <v/>
      </c>
      <c r="S196" s="516"/>
      <c r="T196" s="368" t="str">
        <f>IF(S196="","",IF(VLOOKUP(S196,'G-7 WaterC'' Data'!$AO$4:$BO$7,2,FALSE)=0,"Spatial Data Missing ⚠",VLOOKUP(S196,'G-7 WaterC'' Data'!$AO$4:$BO$7,2,FALSE)))</f>
        <v/>
      </c>
      <c r="U196" s="376" t="str">
        <f>IFERROR(IF(D196="","",IF(AND(Q196='G-1 All Habitats'!$X$3,X196&gt;0),Y196+Z196,IF(AND(Q196='G-1 All Habitats'!$X$3,W196&gt;0),Y196+Z196,IF(AND(Q196='G-1 All Habitats'!$X$3,AH196&gt;0),"Any Loss Unacceptable ⚠",IF(AND(Q196='G-1 All Habitats'!$X$3,AI196&gt;0),"Any Loss Unacceptable ⚠", E196*G196*I196*L196*N196*P196 ))))),"Check Data ▲")</f>
        <v/>
      </c>
      <c r="V196" s="32"/>
      <c r="W196" s="114"/>
      <c r="X196" s="125"/>
      <c r="Y196" s="374" t="str">
        <f t="shared" si="16"/>
        <v/>
      </c>
      <c r="Z196" s="374" t="str">
        <f t="shared" si="17"/>
        <v/>
      </c>
      <c r="AA196" s="374" t="str">
        <f t="shared" si="18"/>
        <v/>
      </c>
      <c r="AB196" s="670" t="str">
        <f t="shared" si="19"/>
        <v/>
      </c>
      <c r="AC196" s="516"/>
      <c r="AD196" s="119"/>
      <c r="AE196" s="120"/>
      <c r="AF196" s="120"/>
      <c r="AG196" s="120"/>
      <c r="AH196" s="57" t="str">
        <f>IF(Q196="","",IF(Q196='G-1 All Habitats'!$X$3,E196-X196-W196,"None"))</f>
        <v/>
      </c>
      <c r="AI196" s="58" t="str">
        <f>IF(Q196="","", IF(Q196='G-1 All Habitats'!$X$3, AH196*G196*I196*L196*N196*P196,"None"))</f>
        <v/>
      </c>
      <c r="AJ196" s="30" t="str">
        <f>IFERROR(INDEX('G-7 WaterC'' Data'!$AZ$3:$AZ$7,MATCH(D196,'G-7 WaterC'' Data'!$AY$3:$AY$7,0)),"")</f>
        <v/>
      </c>
      <c r="AK196" s="30">
        <f t="shared" si="20"/>
        <v>0</v>
      </c>
      <c r="AL196" s="124" t="str">
        <f t="shared" si="21"/>
        <v/>
      </c>
      <c r="AM196" s="124" t="str">
        <f t="shared" si="22"/>
        <v/>
      </c>
      <c r="AO196" s="124">
        <v>187</v>
      </c>
      <c r="AQ196" s="124" t="str">
        <f t="array" ref="AQ196">IFERROR(INDEX($AO$10:$AO$258, MATCH(0, IF(TRUE=$AL$10:$AL$258, COUNTIF($AQ$9:$AQ195, $AO$10:$AO$258), ""), 0)),"")</f>
        <v/>
      </c>
      <c r="AR196" s="124" t="str">
        <f t="array" ref="AR196">IFERROR(INDEX($AO$10:$AO$258, MATCH(0, IF(TRUE=$AM$10:$AM$258, COUNTIF($AR$9:$AR195, $AO$10:$AO$258), ""), 0)),"")</f>
        <v/>
      </c>
      <c r="AZ196" s="802" t="str">
        <f t="shared" si="23"/>
        <v/>
      </c>
    </row>
    <row r="197" spans="3:52" ht="15.75" thickBot="1">
      <c r="C197" s="110">
        <v>188</v>
      </c>
      <c r="D197" s="340"/>
      <c r="E197" s="121"/>
      <c r="F197" s="362" t="str">
        <f>IF(D197="","",VLOOKUP(D197,'G-7 WaterC'' Data'!$B$2:$G$8,2,FALSE))</f>
        <v/>
      </c>
      <c r="G197" s="363" t="str">
        <f>IFERROR(VLOOKUP(F197,'G-7 WaterC'' Data'!$C$4:$D$8,2,FALSE),"")</f>
        <v/>
      </c>
      <c r="H197" s="114"/>
      <c r="I197" s="363" t="str">
        <f>IFERROR(INDEX('G-7 WaterC'' Data'!$H$4:$L$8,MATCH(D197,'G-7 WaterC'' Data'!$B$4:$B$8,0),MATCH(H197,'G-7 WaterC'' Data'!$H$3:$L$3,0)),"")</f>
        <v/>
      </c>
      <c r="J197" s="115"/>
      <c r="K197" s="382" t="str">
        <f>IF(J197="","",IF(VLOOKUP(J197,'G-7 WaterC'' Data'!$AK$4:$AM$9,2,FALSE)=0,"Spatial Data Missing ⚠",VLOOKUP(J197,'G-7 WaterC'' Data'!$AK$4:$AM$6,2,FALSE)))</f>
        <v/>
      </c>
      <c r="L197" s="386" t="str">
        <f>IF(J197="","",IF(VLOOKUP(J197,'G-7 WaterC'' Data'!$AK$4:$AM$9,3,FALSE)=0,"Spatial Data Missing ⚠",VLOOKUP(J197,'G-7 WaterC'' Data'!$AK$4:$AM$6,3,FALSE)))</f>
        <v/>
      </c>
      <c r="M197" s="115"/>
      <c r="N197" s="363" t="str">
        <f>IF(M197="","",IF(VLOOKUP(M197,'G-7 WaterC'' Data'!$AA$4:$AB$7,2,FALSE)=0,"Spatial Data Missing ⚠",VLOOKUP(M197,'G-7 WaterC'' Data'!$AA$4:$AB$7,2,FALSE)))</f>
        <v/>
      </c>
      <c r="O197" s="60"/>
      <c r="P197" s="363" t="str">
        <f>IF(O197="","",IF(VLOOKUP(O197,'G-7 WaterC'' Data'!$AD$4:$AE$14,2,FALSE)=0,"Spatial Data Missing ⚠",VLOOKUP(O197,'G-7 WaterC'' Data'!$AD$4:$AE$14,2,FALSE)))</f>
        <v/>
      </c>
      <c r="Q197" s="369" t="str">
        <f>IF(D197="","",VLOOKUP(D197,'G-7 WaterC'' Data'!$B$4:$G$8,6,FALSE))</f>
        <v/>
      </c>
      <c r="R197" s="376" t="str">
        <f>IFERROR(IF(D197="","",IF(AND(Q197='G-1 All Habitats'!$X$3,X197&gt;0),Y197+(Z197*T197),IF(AND(Q197='G-1 All Habitats'!$X$3,W197&gt;0),Y197+(Z197*T197),IF(AND(Q197='G-1 All Habitats'!$X$3,AH197&gt;0),"Any Loss Unacceptable ⚠",IF(AND(Q197='G-1 All Habitats'!$X$3,AI197&gt;0),"Any Loss Unacceptable ⚠", E197*G197*I197*L197*N197*P197*T197 ))))),"Check Data ▲")</f>
        <v/>
      </c>
      <c r="S197" s="516"/>
      <c r="T197" s="368" t="str">
        <f>IF(S197="","",IF(VLOOKUP(S197,'G-7 WaterC'' Data'!$AO$4:$BO$7,2,FALSE)=0,"Spatial Data Missing ⚠",VLOOKUP(S197,'G-7 WaterC'' Data'!$AO$4:$BO$7,2,FALSE)))</f>
        <v/>
      </c>
      <c r="U197" s="376" t="str">
        <f>IFERROR(IF(D197="","",IF(AND(Q197='G-1 All Habitats'!$X$3,X197&gt;0),Y197+Z197,IF(AND(Q197='G-1 All Habitats'!$X$3,W197&gt;0),Y197+Z197,IF(AND(Q197='G-1 All Habitats'!$X$3,AH197&gt;0),"Any Loss Unacceptable ⚠",IF(AND(Q197='G-1 All Habitats'!$X$3,AI197&gt;0),"Any Loss Unacceptable ⚠", E197*G197*I197*L197*N197*P197 ))))),"Check Data ▲")</f>
        <v/>
      </c>
      <c r="V197" s="32"/>
      <c r="W197" s="114"/>
      <c r="X197" s="125"/>
      <c r="Y197" s="374" t="str">
        <f t="shared" si="16"/>
        <v/>
      </c>
      <c r="Z197" s="374" t="str">
        <f t="shared" si="17"/>
        <v/>
      </c>
      <c r="AA197" s="374" t="str">
        <f t="shared" si="18"/>
        <v/>
      </c>
      <c r="AB197" s="670" t="str">
        <f t="shared" si="19"/>
        <v/>
      </c>
      <c r="AC197" s="516"/>
      <c r="AD197" s="119"/>
      <c r="AE197" s="120"/>
      <c r="AF197" s="120"/>
      <c r="AG197" s="120"/>
      <c r="AH197" s="57" t="str">
        <f>IF(Q197="","",IF(Q197='G-1 All Habitats'!$X$3,E197-X197-W197,"None"))</f>
        <v/>
      </c>
      <c r="AI197" s="58" t="str">
        <f>IF(Q197="","", IF(Q197='G-1 All Habitats'!$X$3, AH197*G197*I197*L197*N197*P197,"None"))</f>
        <v/>
      </c>
      <c r="AJ197" s="30" t="str">
        <f>IFERROR(INDEX('G-7 WaterC'' Data'!$AZ$3:$AZ$7,MATCH(D197,'G-7 WaterC'' Data'!$AY$3:$AY$7,0)),"")</f>
        <v/>
      </c>
      <c r="AK197" s="30">
        <f t="shared" si="20"/>
        <v>0</v>
      </c>
      <c r="AL197" s="124" t="str">
        <f t="shared" si="21"/>
        <v/>
      </c>
      <c r="AM197" s="124" t="str">
        <f t="shared" si="22"/>
        <v/>
      </c>
      <c r="AO197" s="124">
        <v>188</v>
      </c>
      <c r="AQ197" s="124" t="str">
        <f t="array" ref="AQ197">IFERROR(INDEX($AO$10:$AO$258, MATCH(0, IF(TRUE=$AL$10:$AL$258, COUNTIF($AQ$9:$AQ196, $AO$10:$AO$258), ""), 0)),"")</f>
        <v/>
      </c>
      <c r="AR197" s="124" t="str">
        <f t="array" ref="AR197">IFERROR(INDEX($AO$10:$AO$258, MATCH(0, IF(TRUE=$AM$10:$AM$258, COUNTIF($AR$9:$AR196, $AO$10:$AO$258), ""), 0)),"")</f>
        <v/>
      </c>
      <c r="AZ197" s="802" t="str">
        <f t="shared" si="23"/>
        <v/>
      </c>
    </row>
    <row r="198" spans="3:52" ht="15.75" thickBot="1">
      <c r="C198" s="110">
        <v>189</v>
      </c>
      <c r="D198" s="340"/>
      <c r="E198" s="121"/>
      <c r="F198" s="362" t="str">
        <f>IF(D198="","",VLOOKUP(D198,'G-7 WaterC'' Data'!$B$2:$G$8,2,FALSE))</f>
        <v/>
      </c>
      <c r="G198" s="363" t="str">
        <f>IFERROR(VLOOKUP(F198,'G-7 WaterC'' Data'!$C$4:$D$8,2,FALSE),"")</f>
        <v/>
      </c>
      <c r="H198" s="114"/>
      <c r="I198" s="363" t="str">
        <f>IFERROR(INDEX('G-7 WaterC'' Data'!$H$4:$L$8,MATCH(D198,'G-7 WaterC'' Data'!$B$4:$B$8,0),MATCH(H198,'G-7 WaterC'' Data'!$H$3:$L$3,0)),"")</f>
        <v/>
      </c>
      <c r="J198" s="115"/>
      <c r="K198" s="382" t="str">
        <f>IF(J198="","",IF(VLOOKUP(J198,'G-7 WaterC'' Data'!$AK$4:$AM$9,2,FALSE)=0,"Spatial Data Missing ⚠",VLOOKUP(J198,'G-7 WaterC'' Data'!$AK$4:$AM$6,2,FALSE)))</f>
        <v/>
      </c>
      <c r="L198" s="386" t="str">
        <f>IF(J198="","",IF(VLOOKUP(J198,'G-7 WaterC'' Data'!$AK$4:$AM$9,3,FALSE)=0,"Spatial Data Missing ⚠",VLOOKUP(J198,'G-7 WaterC'' Data'!$AK$4:$AM$6,3,FALSE)))</f>
        <v/>
      </c>
      <c r="M198" s="115"/>
      <c r="N198" s="363" t="str">
        <f>IF(M198="","",IF(VLOOKUP(M198,'G-7 WaterC'' Data'!$AA$4:$AB$7,2,FALSE)=0,"Spatial Data Missing ⚠",VLOOKUP(M198,'G-7 WaterC'' Data'!$AA$4:$AB$7,2,FALSE)))</f>
        <v/>
      </c>
      <c r="O198" s="60"/>
      <c r="P198" s="363" t="str">
        <f>IF(O198="","",IF(VLOOKUP(O198,'G-7 WaterC'' Data'!$AD$4:$AE$14,2,FALSE)=0,"Spatial Data Missing ⚠",VLOOKUP(O198,'G-7 WaterC'' Data'!$AD$4:$AE$14,2,FALSE)))</f>
        <v/>
      </c>
      <c r="Q198" s="369" t="str">
        <f>IF(D198="","",VLOOKUP(D198,'G-7 WaterC'' Data'!$B$4:$G$8,6,FALSE))</f>
        <v/>
      </c>
      <c r="R198" s="376" t="str">
        <f>IFERROR(IF(D198="","",IF(AND(Q198='G-1 All Habitats'!$X$3,X198&gt;0),Y198+(Z198*T198),IF(AND(Q198='G-1 All Habitats'!$X$3,W198&gt;0),Y198+(Z198*T198),IF(AND(Q198='G-1 All Habitats'!$X$3,AH198&gt;0),"Any Loss Unacceptable ⚠",IF(AND(Q198='G-1 All Habitats'!$X$3,AI198&gt;0),"Any Loss Unacceptable ⚠", E198*G198*I198*L198*N198*P198*T198 ))))),"Check Data ▲")</f>
        <v/>
      </c>
      <c r="S198" s="516"/>
      <c r="T198" s="368" t="str">
        <f>IF(S198="","",IF(VLOOKUP(S198,'G-7 WaterC'' Data'!$AO$4:$BO$7,2,FALSE)=0,"Spatial Data Missing ⚠",VLOOKUP(S198,'G-7 WaterC'' Data'!$AO$4:$BO$7,2,FALSE)))</f>
        <v/>
      </c>
      <c r="U198" s="376" t="str">
        <f>IFERROR(IF(D198="","",IF(AND(Q198='G-1 All Habitats'!$X$3,X198&gt;0),Y198+Z198,IF(AND(Q198='G-1 All Habitats'!$X$3,W198&gt;0),Y198+Z198,IF(AND(Q198='G-1 All Habitats'!$X$3,AH198&gt;0),"Any Loss Unacceptable ⚠",IF(AND(Q198='G-1 All Habitats'!$X$3,AI198&gt;0),"Any Loss Unacceptable ⚠", E198*G198*I198*L198*N198*P198 ))))),"Check Data ▲")</f>
        <v/>
      </c>
      <c r="V198" s="32"/>
      <c r="W198" s="114"/>
      <c r="X198" s="125"/>
      <c r="Y198" s="374" t="str">
        <f t="shared" si="16"/>
        <v/>
      </c>
      <c r="Z198" s="374" t="str">
        <f t="shared" si="17"/>
        <v/>
      </c>
      <c r="AA198" s="374" t="str">
        <f t="shared" si="18"/>
        <v/>
      </c>
      <c r="AB198" s="670" t="str">
        <f t="shared" si="19"/>
        <v/>
      </c>
      <c r="AC198" s="516"/>
      <c r="AD198" s="119"/>
      <c r="AE198" s="120"/>
      <c r="AF198" s="120"/>
      <c r="AG198" s="120"/>
      <c r="AH198" s="57" t="str">
        <f>IF(Q198="","",IF(Q198='G-1 All Habitats'!$X$3,E198-X198-W198,"None"))</f>
        <v/>
      </c>
      <c r="AI198" s="58" t="str">
        <f>IF(Q198="","", IF(Q198='G-1 All Habitats'!$X$3, AH198*G198*I198*L198*N198*P198,"None"))</f>
        <v/>
      </c>
      <c r="AJ198" s="30" t="str">
        <f>IFERROR(INDEX('G-7 WaterC'' Data'!$AZ$3:$AZ$7,MATCH(D198,'G-7 WaterC'' Data'!$AY$3:$AY$7,0)),"")</f>
        <v/>
      </c>
      <c r="AK198" s="30">
        <f t="shared" si="20"/>
        <v>0</v>
      </c>
      <c r="AL198" s="124" t="str">
        <f t="shared" si="21"/>
        <v/>
      </c>
      <c r="AM198" s="124" t="str">
        <f t="shared" si="22"/>
        <v/>
      </c>
      <c r="AO198" s="124">
        <v>189</v>
      </c>
      <c r="AQ198" s="124" t="str">
        <f t="array" ref="AQ198">IFERROR(INDEX($AO$10:$AO$258, MATCH(0, IF(TRUE=$AL$10:$AL$258, COUNTIF($AQ$9:$AQ197, $AO$10:$AO$258), ""), 0)),"")</f>
        <v/>
      </c>
      <c r="AR198" s="124" t="str">
        <f t="array" ref="AR198">IFERROR(INDEX($AO$10:$AO$258, MATCH(0, IF(TRUE=$AM$10:$AM$258, COUNTIF($AR$9:$AR197, $AO$10:$AO$258), ""), 0)),"")</f>
        <v/>
      </c>
      <c r="AZ198" s="802" t="str">
        <f t="shared" si="23"/>
        <v/>
      </c>
    </row>
    <row r="199" spans="3:52" ht="15.75" thickBot="1">
      <c r="C199" s="110">
        <v>190</v>
      </c>
      <c r="D199" s="340"/>
      <c r="E199" s="121"/>
      <c r="F199" s="362" t="str">
        <f>IF(D199="","",VLOOKUP(D199,'G-7 WaterC'' Data'!$B$2:$G$8,2,FALSE))</f>
        <v/>
      </c>
      <c r="G199" s="363" t="str">
        <f>IFERROR(VLOOKUP(F199,'G-7 WaterC'' Data'!$C$4:$D$8,2,FALSE),"")</f>
        <v/>
      </c>
      <c r="H199" s="114"/>
      <c r="I199" s="363" t="str">
        <f>IFERROR(INDEX('G-7 WaterC'' Data'!$H$4:$L$8,MATCH(D199,'G-7 WaterC'' Data'!$B$4:$B$8,0),MATCH(H199,'G-7 WaterC'' Data'!$H$3:$L$3,0)),"")</f>
        <v/>
      </c>
      <c r="J199" s="115"/>
      <c r="K199" s="382" t="str">
        <f>IF(J199="","",IF(VLOOKUP(J199,'G-7 WaterC'' Data'!$AK$4:$AM$9,2,FALSE)=0,"Spatial Data Missing ⚠",VLOOKUP(J199,'G-7 WaterC'' Data'!$AK$4:$AM$6,2,FALSE)))</f>
        <v/>
      </c>
      <c r="L199" s="386" t="str">
        <f>IF(J199="","",IF(VLOOKUP(J199,'G-7 WaterC'' Data'!$AK$4:$AM$9,3,FALSE)=0,"Spatial Data Missing ⚠",VLOOKUP(J199,'G-7 WaterC'' Data'!$AK$4:$AM$6,3,FALSE)))</f>
        <v/>
      </c>
      <c r="M199" s="115"/>
      <c r="N199" s="363" t="str">
        <f>IF(M199="","",IF(VLOOKUP(M199,'G-7 WaterC'' Data'!$AA$4:$AB$7,2,FALSE)=0,"Spatial Data Missing ⚠",VLOOKUP(M199,'G-7 WaterC'' Data'!$AA$4:$AB$7,2,FALSE)))</f>
        <v/>
      </c>
      <c r="O199" s="60"/>
      <c r="P199" s="363" t="str">
        <f>IF(O199="","",IF(VLOOKUP(O199,'G-7 WaterC'' Data'!$AD$4:$AE$14,2,FALSE)=0,"Spatial Data Missing ⚠",VLOOKUP(O199,'G-7 WaterC'' Data'!$AD$4:$AE$14,2,FALSE)))</f>
        <v/>
      </c>
      <c r="Q199" s="369" t="str">
        <f>IF(D199="","",VLOOKUP(D199,'G-7 WaterC'' Data'!$B$4:$G$8,6,FALSE))</f>
        <v/>
      </c>
      <c r="R199" s="376" t="str">
        <f>IFERROR(IF(D199="","",IF(AND(Q199='G-1 All Habitats'!$X$3,X199&gt;0),Y199+(Z199*T199),IF(AND(Q199='G-1 All Habitats'!$X$3,W199&gt;0),Y199+(Z199*T199),IF(AND(Q199='G-1 All Habitats'!$X$3,AH199&gt;0),"Any Loss Unacceptable ⚠",IF(AND(Q199='G-1 All Habitats'!$X$3,AI199&gt;0),"Any Loss Unacceptable ⚠", E199*G199*I199*L199*N199*P199*T199 ))))),"Check Data ▲")</f>
        <v/>
      </c>
      <c r="S199" s="516"/>
      <c r="T199" s="368" t="str">
        <f>IF(S199="","",IF(VLOOKUP(S199,'G-7 WaterC'' Data'!$AO$4:$BO$7,2,FALSE)=0,"Spatial Data Missing ⚠",VLOOKUP(S199,'G-7 WaterC'' Data'!$AO$4:$BO$7,2,FALSE)))</f>
        <v/>
      </c>
      <c r="U199" s="376" t="str">
        <f>IFERROR(IF(D199="","",IF(AND(Q199='G-1 All Habitats'!$X$3,X199&gt;0),Y199+Z199,IF(AND(Q199='G-1 All Habitats'!$X$3,W199&gt;0),Y199+Z199,IF(AND(Q199='G-1 All Habitats'!$X$3,AH199&gt;0),"Any Loss Unacceptable ⚠",IF(AND(Q199='G-1 All Habitats'!$X$3,AI199&gt;0),"Any Loss Unacceptable ⚠", E199*G199*I199*L199*N199*P199 ))))),"Check Data ▲")</f>
        <v/>
      </c>
      <c r="V199" s="32"/>
      <c r="W199" s="114"/>
      <c r="X199" s="125"/>
      <c r="Y199" s="374" t="str">
        <f t="shared" si="16"/>
        <v/>
      </c>
      <c r="Z199" s="374" t="str">
        <f t="shared" si="17"/>
        <v/>
      </c>
      <c r="AA199" s="374" t="str">
        <f t="shared" si="18"/>
        <v/>
      </c>
      <c r="AB199" s="670" t="str">
        <f t="shared" si="19"/>
        <v/>
      </c>
      <c r="AC199" s="516"/>
      <c r="AD199" s="119"/>
      <c r="AE199" s="120"/>
      <c r="AF199" s="120"/>
      <c r="AG199" s="120"/>
      <c r="AH199" s="57" t="str">
        <f>IF(Q199="","",IF(Q199='G-1 All Habitats'!$X$3,E199-X199-W199,"None"))</f>
        <v/>
      </c>
      <c r="AI199" s="58" t="str">
        <f>IF(Q199="","", IF(Q199='G-1 All Habitats'!$X$3, AH199*G199*I199*L199*N199*P199,"None"))</f>
        <v/>
      </c>
      <c r="AJ199" s="30" t="str">
        <f>IFERROR(INDEX('G-7 WaterC'' Data'!$AZ$3:$AZ$7,MATCH(D199,'G-7 WaterC'' Data'!$AY$3:$AY$7,0)),"")</f>
        <v/>
      </c>
      <c r="AK199" s="30">
        <f t="shared" si="20"/>
        <v>0</v>
      </c>
      <c r="AL199" s="124" t="str">
        <f t="shared" si="21"/>
        <v/>
      </c>
      <c r="AM199" s="124" t="str">
        <f t="shared" si="22"/>
        <v/>
      </c>
      <c r="AO199" s="124">
        <v>190</v>
      </c>
      <c r="AQ199" s="124" t="str">
        <f t="array" ref="AQ199">IFERROR(INDEX($AO$10:$AO$258, MATCH(0, IF(TRUE=$AL$10:$AL$258, COUNTIF($AQ$9:$AQ198, $AO$10:$AO$258), ""), 0)),"")</f>
        <v/>
      </c>
      <c r="AR199" s="124" t="str">
        <f t="array" ref="AR199">IFERROR(INDEX($AO$10:$AO$258, MATCH(0, IF(TRUE=$AM$10:$AM$258, COUNTIF($AR$9:$AR198, $AO$10:$AO$258), ""), 0)),"")</f>
        <v/>
      </c>
      <c r="AZ199" s="802" t="str">
        <f t="shared" si="23"/>
        <v/>
      </c>
    </row>
    <row r="200" spans="3:52" ht="15.75" thickBot="1">
      <c r="C200" s="110">
        <v>191</v>
      </c>
      <c r="D200" s="340"/>
      <c r="E200" s="121"/>
      <c r="F200" s="362" t="str">
        <f>IF(D200="","",VLOOKUP(D200,'G-7 WaterC'' Data'!$B$2:$G$8,2,FALSE))</f>
        <v/>
      </c>
      <c r="G200" s="363" t="str">
        <f>IFERROR(VLOOKUP(F200,'G-7 WaterC'' Data'!$C$4:$D$8,2,FALSE),"")</f>
        <v/>
      </c>
      <c r="H200" s="114"/>
      <c r="I200" s="363" t="str">
        <f>IFERROR(INDEX('G-7 WaterC'' Data'!$H$4:$L$8,MATCH(D200,'G-7 WaterC'' Data'!$B$4:$B$8,0),MATCH(H200,'G-7 WaterC'' Data'!$H$3:$L$3,0)),"")</f>
        <v/>
      </c>
      <c r="J200" s="115"/>
      <c r="K200" s="382" t="str">
        <f>IF(J200="","",IF(VLOOKUP(J200,'G-7 WaterC'' Data'!$AK$4:$AM$9,2,FALSE)=0,"Spatial Data Missing ⚠",VLOOKUP(J200,'G-7 WaterC'' Data'!$AK$4:$AM$6,2,FALSE)))</f>
        <v/>
      </c>
      <c r="L200" s="386" t="str">
        <f>IF(J200="","",IF(VLOOKUP(J200,'G-7 WaterC'' Data'!$AK$4:$AM$9,3,FALSE)=0,"Spatial Data Missing ⚠",VLOOKUP(J200,'G-7 WaterC'' Data'!$AK$4:$AM$6,3,FALSE)))</f>
        <v/>
      </c>
      <c r="M200" s="115"/>
      <c r="N200" s="363" t="str">
        <f>IF(M200="","",IF(VLOOKUP(M200,'G-7 WaterC'' Data'!$AA$4:$AB$7,2,FALSE)=0,"Spatial Data Missing ⚠",VLOOKUP(M200,'G-7 WaterC'' Data'!$AA$4:$AB$7,2,FALSE)))</f>
        <v/>
      </c>
      <c r="O200" s="60"/>
      <c r="P200" s="363" t="str">
        <f>IF(O200="","",IF(VLOOKUP(O200,'G-7 WaterC'' Data'!$AD$4:$AE$14,2,FALSE)=0,"Spatial Data Missing ⚠",VLOOKUP(O200,'G-7 WaterC'' Data'!$AD$4:$AE$14,2,FALSE)))</f>
        <v/>
      </c>
      <c r="Q200" s="369" t="str">
        <f>IF(D200="","",VLOOKUP(D200,'G-7 WaterC'' Data'!$B$4:$G$8,6,FALSE))</f>
        <v/>
      </c>
      <c r="R200" s="376" t="str">
        <f>IFERROR(IF(D200="","",IF(AND(Q200='G-1 All Habitats'!$X$3,X200&gt;0),Y200+(Z200*T200),IF(AND(Q200='G-1 All Habitats'!$X$3,W200&gt;0),Y200+(Z200*T200),IF(AND(Q200='G-1 All Habitats'!$X$3,AH200&gt;0),"Any Loss Unacceptable ⚠",IF(AND(Q200='G-1 All Habitats'!$X$3,AI200&gt;0),"Any Loss Unacceptable ⚠", E200*G200*I200*L200*N200*P200*T200 ))))),"Check Data ▲")</f>
        <v/>
      </c>
      <c r="S200" s="516"/>
      <c r="T200" s="368" t="str">
        <f>IF(S200="","",IF(VLOOKUP(S200,'G-7 WaterC'' Data'!$AO$4:$BO$7,2,FALSE)=0,"Spatial Data Missing ⚠",VLOOKUP(S200,'G-7 WaterC'' Data'!$AO$4:$BO$7,2,FALSE)))</f>
        <v/>
      </c>
      <c r="U200" s="376" t="str">
        <f>IFERROR(IF(D200="","",IF(AND(Q200='G-1 All Habitats'!$X$3,X200&gt;0),Y200+Z200,IF(AND(Q200='G-1 All Habitats'!$X$3,W200&gt;0),Y200+Z200,IF(AND(Q200='G-1 All Habitats'!$X$3,AH200&gt;0),"Any Loss Unacceptable ⚠",IF(AND(Q200='G-1 All Habitats'!$X$3,AI200&gt;0),"Any Loss Unacceptable ⚠", E200*G200*I200*L200*N200*P200 ))))),"Check Data ▲")</f>
        <v/>
      </c>
      <c r="V200" s="32"/>
      <c r="W200" s="114"/>
      <c r="X200" s="125"/>
      <c r="Y200" s="374" t="str">
        <f t="shared" si="16"/>
        <v/>
      </c>
      <c r="Z200" s="374" t="str">
        <f t="shared" si="17"/>
        <v/>
      </c>
      <c r="AA200" s="374" t="str">
        <f t="shared" si="18"/>
        <v/>
      </c>
      <c r="AB200" s="670" t="str">
        <f t="shared" si="19"/>
        <v/>
      </c>
      <c r="AC200" s="516"/>
      <c r="AD200" s="119"/>
      <c r="AE200" s="120"/>
      <c r="AF200" s="120"/>
      <c r="AG200" s="120"/>
      <c r="AH200" s="57" t="str">
        <f>IF(Q200="","",IF(Q200='G-1 All Habitats'!$X$3,E200-X200-W200,"None"))</f>
        <v/>
      </c>
      <c r="AI200" s="58" t="str">
        <f>IF(Q200="","", IF(Q200='G-1 All Habitats'!$X$3, AH200*G200*I200*L200*N200*P200,"None"))</f>
        <v/>
      </c>
      <c r="AJ200" s="30" t="str">
        <f>IFERROR(INDEX('G-7 WaterC'' Data'!$AZ$3:$AZ$7,MATCH(D200,'G-7 WaterC'' Data'!$AY$3:$AY$7,0)),"")</f>
        <v/>
      </c>
      <c r="AK200" s="30">
        <f t="shared" si="20"/>
        <v>0</v>
      </c>
      <c r="AL200" s="124" t="str">
        <f t="shared" si="21"/>
        <v/>
      </c>
      <c r="AM200" s="124" t="str">
        <f t="shared" si="22"/>
        <v/>
      </c>
      <c r="AO200" s="124">
        <v>191</v>
      </c>
      <c r="AQ200" s="124" t="str">
        <f t="array" ref="AQ200">IFERROR(INDEX($AO$10:$AO$258, MATCH(0, IF(TRUE=$AL$10:$AL$258, COUNTIF($AQ$9:$AQ199, $AO$10:$AO$258), ""), 0)),"")</f>
        <v/>
      </c>
      <c r="AR200" s="124" t="str">
        <f t="array" ref="AR200">IFERROR(INDEX($AO$10:$AO$258, MATCH(0, IF(TRUE=$AM$10:$AM$258, COUNTIF($AR$9:$AR199, $AO$10:$AO$258), ""), 0)),"")</f>
        <v/>
      </c>
      <c r="AZ200" s="802" t="str">
        <f t="shared" si="23"/>
        <v/>
      </c>
    </row>
    <row r="201" spans="3:52" ht="15.75" thickBot="1">
      <c r="C201" s="110">
        <v>192</v>
      </c>
      <c r="D201" s="340"/>
      <c r="E201" s="121"/>
      <c r="F201" s="362" t="str">
        <f>IF(D201="","",VLOOKUP(D201,'G-7 WaterC'' Data'!$B$2:$G$8,2,FALSE))</f>
        <v/>
      </c>
      <c r="G201" s="363" t="str">
        <f>IFERROR(VLOOKUP(F201,'G-7 WaterC'' Data'!$C$4:$D$8,2,FALSE),"")</f>
        <v/>
      </c>
      <c r="H201" s="114"/>
      <c r="I201" s="363" t="str">
        <f>IFERROR(INDEX('G-7 WaterC'' Data'!$H$4:$L$8,MATCH(D201,'G-7 WaterC'' Data'!$B$4:$B$8,0),MATCH(H201,'G-7 WaterC'' Data'!$H$3:$L$3,0)),"")</f>
        <v/>
      </c>
      <c r="J201" s="115"/>
      <c r="K201" s="382" t="str">
        <f>IF(J201="","",IF(VLOOKUP(J201,'G-7 WaterC'' Data'!$AK$4:$AM$9,2,FALSE)=0,"Spatial Data Missing ⚠",VLOOKUP(J201,'G-7 WaterC'' Data'!$AK$4:$AM$6,2,FALSE)))</f>
        <v/>
      </c>
      <c r="L201" s="386" t="str">
        <f>IF(J201="","",IF(VLOOKUP(J201,'G-7 WaterC'' Data'!$AK$4:$AM$9,3,FALSE)=0,"Spatial Data Missing ⚠",VLOOKUP(J201,'G-7 WaterC'' Data'!$AK$4:$AM$6,3,FALSE)))</f>
        <v/>
      </c>
      <c r="M201" s="115"/>
      <c r="N201" s="363" t="str">
        <f>IF(M201="","",IF(VLOOKUP(M201,'G-7 WaterC'' Data'!$AA$4:$AB$7,2,FALSE)=0,"Spatial Data Missing ⚠",VLOOKUP(M201,'G-7 WaterC'' Data'!$AA$4:$AB$7,2,FALSE)))</f>
        <v/>
      </c>
      <c r="O201" s="60"/>
      <c r="P201" s="363" t="str">
        <f>IF(O201="","",IF(VLOOKUP(O201,'G-7 WaterC'' Data'!$AD$4:$AE$14,2,FALSE)=0,"Spatial Data Missing ⚠",VLOOKUP(O201,'G-7 WaterC'' Data'!$AD$4:$AE$14,2,FALSE)))</f>
        <v/>
      </c>
      <c r="Q201" s="369" t="str">
        <f>IF(D201="","",VLOOKUP(D201,'G-7 WaterC'' Data'!$B$4:$G$8,6,FALSE))</f>
        <v/>
      </c>
      <c r="R201" s="376" t="str">
        <f>IFERROR(IF(D201="","",IF(AND(Q201='G-1 All Habitats'!$X$3,X201&gt;0),Y201+(Z201*T201),IF(AND(Q201='G-1 All Habitats'!$X$3,W201&gt;0),Y201+(Z201*T201),IF(AND(Q201='G-1 All Habitats'!$X$3,AH201&gt;0),"Any Loss Unacceptable ⚠",IF(AND(Q201='G-1 All Habitats'!$X$3,AI201&gt;0),"Any Loss Unacceptable ⚠", E201*G201*I201*L201*N201*P201*T201 ))))),"Check Data ▲")</f>
        <v/>
      </c>
      <c r="S201" s="516"/>
      <c r="T201" s="368" t="str">
        <f>IF(S201="","",IF(VLOOKUP(S201,'G-7 WaterC'' Data'!$AO$4:$BO$7,2,FALSE)=0,"Spatial Data Missing ⚠",VLOOKUP(S201,'G-7 WaterC'' Data'!$AO$4:$BO$7,2,FALSE)))</f>
        <v/>
      </c>
      <c r="U201" s="376" t="str">
        <f>IFERROR(IF(D201="","",IF(AND(Q201='G-1 All Habitats'!$X$3,X201&gt;0),Y201+Z201,IF(AND(Q201='G-1 All Habitats'!$X$3,W201&gt;0),Y201+Z201,IF(AND(Q201='G-1 All Habitats'!$X$3,AH201&gt;0),"Any Loss Unacceptable ⚠",IF(AND(Q201='G-1 All Habitats'!$X$3,AI201&gt;0),"Any Loss Unacceptable ⚠", E201*G201*I201*L201*N201*P201 ))))),"Check Data ▲")</f>
        <v/>
      </c>
      <c r="V201" s="32"/>
      <c r="W201" s="114"/>
      <c r="X201" s="125"/>
      <c r="Y201" s="374" t="str">
        <f t="shared" si="16"/>
        <v/>
      </c>
      <c r="Z201" s="374" t="str">
        <f t="shared" si="17"/>
        <v/>
      </c>
      <c r="AA201" s="374" t="str">
        <f t="shared" si="18"/>
        <v/>
      </c>
      <c r="AB201" s="670" t="str">
        <f t="shared" si="19"/>
        <v/>
      </c>
      <c r="AC201" s="516"/>
      <c r="AD201" s="119"/>
      <c r="AE201" s="120"/>
      <c r="AF201" s="120"/>
      <c r="AG201" s="120"/>
      <c r="AH201" s="57" t="str">
        <f>IF(Q201="","",IF(Q201='G-1 All Habitats'!$X$3,E201-X201-W201,"None"))</f>
        <v/>
      </c>
      <c r="AI201" s="58" t="str">
        <f>IF(Q201="","", IF(Q201='G-1 All Habitats'!$X$3, AH201*G201*I201*L201*N201*P201,"None"))</f>
        <v/>
      </c>
      <c r="AJ201" s="30" t="str">
        <f>IFERROR(INDEX('G-7 WaterC'' Data'!$AZ$3:$AZ$7,MATCH(D201,'G-7 WaterC'' Data'!$AY$3:$AY$7,0)),"")</f>
        <v/>
      </c>
      <c r="AK201" s="30">
        <f t="shared" si="20"/>
        <v>0</v>
      </c>
      <c r="AL201" s="124" t="str">
        <f t="shared" si="21"/>
        <v/>
      </c>
      <c r="AM201" s="124" t="str">
        <f t="shared" si="22"/>
        <v/>
      </c>
      <c r="AO201" s="124">
        <v>192</v>
      </c>
      <c r="AQ201" s="124" t="str">
        <f t="array" ref="AQ201">IFERROR(INDEX($AO$10:$AO$258, MATCH(0, IF(TRUE=$AL$10:$AL$258, COUNTIF($AQ$9:$AQ200, $AO$10:$AO$258), ""), 0)),"")</f>
        <v/>
      </c>
      <c r="AR201" s="124" t="str">
        <f t="array" ref="AR201">IFERROR(INDEX($AO$10:$AO$258, MATCH(0, IF(TRUE=$AM$10:$AM$258, COUNTIF($AR$9:$AR200, $AO$10:$AO$258), ""), 0)),"")</f>
        <v/>
      </c>
      <c r="AZ201" s="802" t="str">
        <f t="shared" si="23"/>
        <v/>
      </c>
    </row>
    <row r="202" spans="3:52" ht="15.75" thickBot="1">
      <c r="C202" s="110">
        <v>193</v>
      </c>
      <c r="D202" s="340"/>
      <c r="E202" s="121"/>
      <c r="F202" s="362" t="str">
        <f>IF(D202="","",VLOOKUP(D202,'G-7 WaterC'' Data'!$B$2:$G$8,2,FALSE))</f>
        <v/>
      </c>
      <c r="G202" s="363" t="str">
        <f>IFERROR(VLOOKUP(F202,'G-7 WaterC'' Data'!$C$4:$D$8,2,FALSE),"")</f>
        <v/>
      </c>
      <c r="H202" s="114"/>
      <c r="I202" s="363" t="str">
        <f>IFERROR(INDEX('G-7 WaterC'' Data'!$H$4:$L$8,MATCH(D202,'G-7 WaterC'' Data'!$B$4:$B$8,0),MATCH(H202,'G-7 WaterC'' Data'!$H$3:$L$3,0)),"")</f>
        <v/>
      </c>
      <c r="J202" s="115"/>
      <c r="K202" s="382" t="str">
        <f>IF(J202="","",IF(VLOOKUP(J202,'G-7 WaterC'' Data'!$AK$4:$AM$9,2,FALSE)=0,"Spatial Data Missing ⚠",VLOOKUP(J202,'G-7 WaterC'' Data'!$AK$4:$AM$6,2,FALSE)))</f>
        <v/>
      </c>
      <c r="L202" s="386" t="str">
        <f>IF(J202="","",IF(VLOOKUP(J202,'G-7 WaterC'' Data'!$AK$4:$AM$9,3,FALSE)=0,"Spatial Data Missing ⚠",VLOOKUP(J202,'G-7 WaterC'' Data'!$AK$4:$AM$6,3,FALSE)))</f>
        <v/>
      </c>
      <c r="M202" s="115"/>
      <c r="N202" s="363" t="str">
        <f>IF(M202="","",IF(VLOOKUP(M202,'G-7 WaterC'' Data'!$AA$4:$AB$7,2,FALSE)=0,"Spatial Data Missing ⚠",VLOOKUP(M202,'G-7 WaterC'' Data'!$AA$4:$AB$7,2,FALSE)))</f>
        <v/>
      </c>
      <c r="O202" s="60"/>
      <c r="P202" s="363" t="str">
        <f>IF(O202="","",IF(VLOOKUP(O202,'G-7 WaterC'' Data'!$AD$4:$AE$14,2,FALSE)=0,"Spatial Data Missing ⚠",VLOOKUP(O202,'G-7 WaterC'' Data'!$AD$4:$AE$14,2,FALSE)))</f>
        <v/>
      </c>
      <c r="Q202" s="369" t="str">
        <f>IF(D202="","",VLOOKUP(D202,'G-7 WaterC'' Data'!$B$4:$G$8,6,FALSE))</f>
        <v/>
      </c>
      <c r="R202" s="376" t="str">
        <f>IFERROR(IF(D202="","",IF(AND(Q202='G-1 All Habitats'!$X$3,X202&gt;0),Y202+(Z202*T202),IF(AND(Q202='G-1 All Habitats'!$X$3,W202&gt;0),Y202+(Z202*T202),IF(AND(Q202='G-1 All Habitats'!$X$3,AH202&gt;0),"Any Loss Unacceptable ⚠",IF(AND(Q202='G-1 All Habitats'!$X$3,AI202&gt;0),"Any Loss Unacceptable ⚠", E202*G202*I202*L202*N202*P202*T202 ))))),"Check Data ▲")</f>
        <v/>
      </c>
      <c r="S202" s="516"/>
      <c r="T202" s="368" t="str">
        <f>IF(S202="","",IF(VLOOKUP(S202,'G-7 WaterC'' Data'!$AO$4:$BO$7,2,FALSE)=0,"Spatial Data Missing ⚠",VLOOKUP(S202,'G-7 WaterC'' Data'!$AO$4:$BO$7,2,FALSE)))</f>
        <v/>
      </c>
      <c r="U202" s="376" t="str">
        <f>IFERROR(IF(D202="","",IF(AND(Q202='G-1 All Habitats'!$X$3,X202&gt;0),Y202+Z202,IF(AND(Q202='G-1 All Habitats'!$X$3,W202&gt;0),Y202+Z202,IF(AND(Q202='G-1 All Habitats'!$X$3,AH202&gt;0),"Any Loss Unacceptable ⚠",IF(AND(Q202='G-1 All Habitats'!$X$3,AI202&gt;0),"Any Loss Unacceptable ⚠", E202*G202*I202*L202*N202*P202 ))))),"Check Data ▲")</f>
        <v/>
      </c>
      <c r="V202" s="32"/>
      <c r="W202" s="114"/>
      <c r="X202" s="125"/>
      <c r="Y202" s="374" t="str">
        <f t="shared" ref="Y202:Y256" si="24">IFERROR(IF(W202&gt;E202,"Error in Lengths ▲",W202*G202*I202*L202*N202*P202),"")</f>
        <v/>
      </c>
      <c r="Z202" s="374" t="str">
        <f t="shared" si="17"/>
        <v/>
      </c>
      <c r="AA202" s="374" t="str">
        <f t="shared" si="18"/>
        <v/>
      </c>
      <c r="AB202" s="670" t="str">
        <f t="shared" si="19"/>
        <v/>
      </c>
      <c r="AC202" s="516"/>
      <c r="AD202" s="119"/>
      <c r="AE202" s="120"/>
      <c r="AF202" s="120"/>
      <c r="AG202" s="120"/>
      <c r="AH202" s="57" t="str">
        <f>IF(Q202="","",IF(Q202='G-1 All Habitats'!$X$3,E202-X202-W202,"None"))</f>
        <v/>
      </c>
      <c r="AI202" s="58" t="str">
        <f>IF(Q202="","", IF(Q202='G-1 All Habitats'!$X$3, AH202*G202*I202*L202*N202*P202,"None"))</f>
        <v/>
      </c>
      <c r="AJ202" s="30" t="str">
        <f>IFERROR(INDEX('G-7 WaterC'' Data'!$AZ$3:$AZ$7,MATCH(D202,'G-7 WaterC'' Data'!$AY$3:$AY$7,0)),"")</f>
        <v/>
      </c>
      <c r="AK202" s="30">
        <f t="shared" si="20"/>
        <v>0</v>
      </c>
      <c r="AL202" s="124" t="str">
        <f t="shared" si="21"/>
        <v/>
      </c>
      <c r="AM202" s="124" t="str">
        <f t="shared" si="22"/>
        <v/>
      </c>
      <c r="AO202" s="124">
        <v>193</v>
      </c>
      <c r="AQ202" s="124" t="str">
        <f t="array" ref="AQ202">IFERROR(INDEX($AO$10:$AO$258, MATCH(0, IF(TRUE=$AL$10:$AL$258, COUNTIF($AQ$9:$AQ201, $AO$10:$AO$258), ""), 0)),"")</f>
        <v/>
      </c>
      <c r="AR202" s="124" t="str">
        <f t="array" ref="AR202">IFERROR(INDEX($AO$10:$AO$258, MATCH(0, IF(TRUE=$AM$10:$AM$258, COUNTIF($AR$9:$AR201, $AO$10:$AO$258), ""), 0)),"")</f>
        <v/>
      </c>
      <c r="AZ202" s="802" t="str">
        <f t="shared" si="23"/>
        <v/>
      </c>
    </row>
    <row r="203" spans="3:52" ht="15.75" thickBot="1">
      <c r="C203" s="110">
        <v>194</v>
      </c>
      <c r="D203" s="340"/>
      <c r="E203" s="121"/>
      <c r="F203" s="362" t="str">
        <f>IF(D203="","",VLOOKUP(D203,'G-7 WaterC'' Data'!$B$2:$G$8,2,FALSE))</f>
        <v/>
      </c>
      <c r="G203" s="363" t="str">
        <f>IFERROR(VLOOKUP(F203,'G-7 WaterC'' Data'!$C$4:$D$8,2,FALSE),"")</f>
        <v/>
      </c>
      <c r="H203" s="114"/>
      <c r="I203" s="363" t="str">
        <f>IFERROR(INDEX('G-7 WaterC'' Data'!$H$4:$L$8,MATCH(D203,'G-7 WaterC'' Data'!$B$4:$B$8,0),MATCH(H203,'G-7 WaterC'' Data'!$H$3:$L$3,0)),"")</f>
        <v/>
      </c>
      <c r="J203" s="115"/>
      <c r="K203" s="382" t="str">
        <f>IF(J203="","",IF(VLOOKUP(J203,'G-7 WaterC'' Data'!$AK$4:$AM$9,2,FALSE)=0,"Spatial Data Missing ⚠",VLOOKUP(J203,'G-7 WaterC'' Data'!$AK$4:$AM$6,2,FALSE)))</f>
        <v/>
      </c>
      <c r="L203" s="386" t="str">
        <f>IF(J203="","",IF(VLOOKUP(J203,'G-7 WaterC'' Data'!$AK$4:$AM$9,3,FALSE)=0,"Spatial Data Missing ⚠",VLOOKUP(J203,'G-7 WaterC'' Data'!$AK$4:$AM$6,3,FALSE)))</f>
        <v/>
      </c>
      <c r="M203" s="115"/>
      <c r="N203" s="363" t="str">
        <f>IF(M203="","",IF(VLOOKUP(M203,'G-7 WaterC'' Data'!$AA$4:$AB$7,2,FALSE)=0,"Spatial Data Missing ⚠",VLOOKUP(M203,'G-7 WaterC'' Data'!$AA$4:$AB$7,2,FALSE)))</f>
        <v/>
      </c>
      <c r="O203" s="60"/>
      <c r="P203" s="363" t="str">
        <f>IF(O203="","",IF(VLOOKUP(O203,'G-7 WaterC'' Data'!$AD$4:$AE$14,2,FALSE)=0,"Spatial Data Missing ⚠",VLOOKUP(O203,'G-7 WaterC'' Data'!$AD$4:$AE$14,2,FALSE)))</f>
        <v/>
      </c>
      <c r="Q203" s="369" t="str">
        <f>IF(D203="","",VLOOKUP(D203,'G-7 WaterC'' Data'!$B$4:$G$8,6,FALSE))</f>
        <v/>
      </c>
      <c r="R203" s="376" t="str">
        <f>IFERROR(IF(D203="","",IF(AND(Q203='G-1 All Habitats'!$X$3,X203&gt;0),Y203+(Z203*T203),IF(AND(Q203='G-1 All Habitats'!$X$3,W203&gt;0),Y203+(Z203*T203),IF(AND(Q203='G-1 All Habitats'!$X$3,AH203&gt;0),"Any Loss Unacceptable ⚠",IF(AND(Q203='G-1 All Habitats'!$X$3,AI203&gt;0),"Any Loss Unacceptable ⚠", E203*G203*I203*L203*N203*P203*T203 ))))),"Check Data ▲")</f>
        <v/>
      </c>
      <c r="S203" s="516"/>
      <c r="T203" s="368" t="str">
        <f>IF(S203="","",IF(VLOOKUP(S203,'G-7 WaterC'' Data'!$AO$4:$BO$7,2,FALSE)=0,"Spatial Data Missing ⚠",VLOOKUP(S203,'G-7 WaterC'' Data'!$AO$4:$BO$7,2,FALSE)))</f>
        <v/>
      </c>
      <c r="U203" s="376" t="str">
        <f>IFERROR(IF(D203="","",IF(AND(Q203='G-1 All Habitats'!$X$3,X203&gt;0),Y203+Z203,IF(AND(Q203='G-1 All Habitats'!$X$3,W203&gt;0),Y203+Z203,IF(AND(Q203='G-1 All Habitats'!$X$3,AH203&gt;0),"Any Loss Unacceptable ⚠",IF(AND(Q203='G-1 All Habitats'!$X$3,AI203&gt;0),"Any Loss Unacceptable ⚠", E203*G203*I203*L203*N203*P203 ))))),"Check Data ▲")</f>
        <v/>
      </c>
      <c r="V203" s="32"/>
      <c r="W203" s="114"/>
      <c r="X203" s="125"/>
      <c r="Y203" s="374" t="str">
        <f t="shared" si="24"/>
        <v/>
      </c>
      <c r="Z203" s="374" t="str">
        <f t="shared" ref="Z203:Z257" si="25">IFERROR(IF(D203="","",X203*G203*I203*L203*N203*P203),"")</f>
        <v/>
      </c>
      <c r="AA203" s="374" t="str">
        <f t="shared" ref="AA203:AA257" si="26">IFERROR(IF(D203="","",IF(AND(AC203="Yes", F203="V.High"), "Unacceptable loss ⚠",  IF(E203&gt;(W203+X203),E203-W203-X203,0))),"")</f>
        <v/>
      </c>
      <c r="AB203" s="670" t="str">
        <f t="shared" ref="AB203:AB257" si="27">IFERROR(IF(E203="","",IF((Y203+Z203)&gt;U203,0, IF(AND(AC203="Yes", D203="Priority habitat"), "Alternative compensation agreed ✓", IF(AND(D203="Priority habitat", X203+W203&lt;&gt;E203), "Any loss unacceptable ▲", U203-Y203-Z203)))),"Check Data ⚠")</f>
        <v/>
      </c>
      <c r="AC203" s="516"/>
      <c r="AD203" s="119"/>
      <c r="AE203" s="120"/>
      <c r="AF203" s="120"/>
      <c r="AG203" s="120"/>
      <c r="AH203" s="57" t="str">
        <f>IF(Q203="","",IF(Q203='G-1 All Habitats'!$X$3,E203-X203-W203,"None"))</f>
        <v/>
      </c>
      <c r="AI203" s="58" t="str">
        <f>IF(Q203="","", IF(Q203='G-1 All Habitats'!$X$3, AH203*G203*I203*L203*N203*P203,"None"))</f>
        <v/>
      </c>
      <c r="AJ203" s="30" t="str">
        <f>IFERROR(INDEX('G-7 WaterC'' Data'!$AZ$3:$AZ$7,MATCH(D203,'G-7 WaterC'' Data'!$AY$3:$AY$7,0)),"")</f>
        <v/>
      </c>
      <c r="AK203" s="30">
        <f t="shared" ref="AK203:AK257" si="28">IFERROR(IF(W203+X203&gt;E203,1,0),"")</f>
        <v>0</v>
      </c>
      <c r="AL203" s="124" t="str">
        <f t="shared" ref="AL203:AL257" si="29">IF(D203="","",IF(W203&gt;0,TRUE,FALSE))</f>
        <v/>
      </c>
      <c r="AM203" s="124" t="str">
        <f t="shared" ref="AM203:AM257" si="30">IF(D203="","",IF(X203&gt;0,TRUE,FALSE))</f>
        <v/>
      </c>
      <c r="AO203" s="124">
        <v>194</v>
      </c>
      <c r="AQ203" s="124" t="str">
        <f t="array" ref="AQ203">IFERROR(INDEX($AO$10:$AO$258, MATCH(0, IF(TRUE=$AL$10:$AL$258, COUNTIF($AQ$9:$AQ202, $AO$10:$AO$258), ""), 0)),"")</f>
        <v/>
      </c>
      <c r="AR203" s="124" t="str">
        <f t="array" ref="AR203">IFERROR(INDEX($AO$10:$AO$258, MATCH(0, IF(TRUE=$AM$10:$AM$258, COUNTIF($AR$9:$AR202, $AO$10:$AO$258), ""), 0)),"")</f>
        <v/>
      </c>
      <c r="AZ203" s="802" t="str">
        <f t="shared" ref="AZ203:AZ257" si="31">IFERROR(IF(W203&gt;E203,"Error in Lengths ▲",W203*G203*I203*L203*N203*P203*T203),"")</f>
        <v/>
      </c>
    </row>
    <row r="204" spans="3:52" ht="15.75" thickBot="1">
      <c r="C204" s="110">
        <v>195</v>
      </c>
      <c r="D204" s="340"/>
      <c r="E204" s="121"/>
      <c r="F204" s="362" t="str">
        <f>IF(D204="","",VLOOKUP(D204,'G-7 WaterC'' Data'!$B$2:$G$8,2,FALSE))</f>
        <v/>
      </c>
      <c r="G204" s="363" t="str">
        <f>IFERROR(VLOOKUP(F204,'G-7 WaterC'' Data'!$C$4:$D$8,2,FALSE),"")</f>
        <v/>
      </c>
      <c r="H204" s="114"/>
      <c r="I204" s="363" t="str">
        <f>IFERROR(INDEX('G-7 WaterC'' Data'!$H$4:$L$8,MATCH(D204,'G-7 WaterC'' Data'!$B$4:$B$8,0),MATCH(H204,'G-7 WaterC'' Data'!$H$3:$L$3,0)),"")</f>
        <v/>
      </c>
      <c r="J204" s="115"/>
      <c r="K204" s="382" t="str">
        <f>IF(J204="","",IF(VLOOKUP(J204,'G-7 WaterC'' Data'!$AK$4:$AM$9,2,FALSE)=0,"Spatial Data Missing ⚠",VLOOKUP(J204,'G-7 WaterC'' Data'!$AK$4:$AM$6,2,FALSE)))</f>
        <v/>
      </c>
      <c r="L204" s="386" t="str">
        <f>IF(J204="","",IF(VLOOKUP(J204,'G-7 WaterC'' Data'!$AK$4:$AM$9,3,FALSE)=0,"Spatial Data Missing ⚠",VLOOKUP(J204,'G-7 WaterC'' Data'!$AK$4:$AM$6,3,FALSE)))</f>
        <v/>
      </c>
      <c r="M204" s="115"/>
      <c r="N204" s="363" t="str">
        <f>IF(M204="","",IF(VLOOKUP(M204,'G-7 WaterC'' Data'!$AA$4:$AB$7,2,FALSE)=0,"Spatial Data Missing ⚠",VLOOKUP(M204,'G-7 WaterC'' Data'!$AA$4:$AB$7,2,FALSE)))</f>
        <v/>
      </c>
      <c r="O204" s="60"/>
      <c r="P204" s="363" t="str">
        <f>IF(O204="","",IF(VLOOKUP(O204,'G-7 WaterC'' Data'!$AD$4:$AE$14,2,FALSE)=0,"Spatial Data Missing ⚠",VLOOKUP(O204,'G-7 WaterC'' Data'!$AD$4:$AE$14,2,FALSE)))</f>
        <v/>
      </c>
      <c r="Q204" s="369" t="str">
        <f>IF(D204="","",VLOOKUP(D204,'G-7 WaterC'' Data'!$B$4:$G$8,6,FALSE))</f>
        <v/>
      </c>
      <c r="R204" s="376" t="str">
        <f>IFERROR(IF(D204="","",IF(AND(Q204='G-1 All Habitats'!$X$3,X204&gt;0),Y204+(Z204*T204),IF(AND(Q204='G-1 All Habitats'!$X$3,W204&gt;0),Y204+(Z204*T204),IF(AND(Q204='G-1 All Habitats'!$X$3,AH204&gt;0),"Any Loss Unacceptable ⚠",IF(AND(Q204='G-1 All Habitats'!$X$3,AI204&gt;0),"Any Loss Unacceptable ⚠", E204*G204*I204*L204*N204*P204*T204 ))))),"Check Data ▲")</f>
        <v/>
      </c>
      <c r="S204" s="516"/>
      <c r="T204" s="368" t="str">
        <f>IF(S204="","",IF(VLOOKUP(S204,'G-7 WaterC'' Data'!$AO$4:$BO$7,2,FALSE)=0,"Spatial Data Missing ⚠",VLOOKUP(S204,'G-7 WaterC'' Data'!$AO$4:$BO$7,2,FALSE)))</f>
        <v/>
      </c>
      <c r="U204" s="376" t="str">
        <f>IFERROR(IF(D204="","",IF(AND(Q204='G-1 All Habitats'!$X$3,X204&gt;0),Y204+Z204,IF(AND(Q204='G-1 All Habitats'!$X$3,W204&gt;0),Y204+Z204,IF(AND(Q204='G-1 All Habitats'!$X$3,AH204&gt;0),"Any Loss Unacceptable ⚠",IF(AND(Q204='G-1 All Habitats'!$X$3,AI204&gt;0),"Any Loss Unacceptable ⚠", E204*G204*I204*L204*N204*P204 ))))),"Check Data ▲")</f>
        <v/>
      </c>
      <c r="V204" s="32"/>
      <c r="W204" s="114"/>
      <c r="X204" s="125"/>
      <c r="Y204" s="374" t="str">
        <f t="shared" si="24"/>
        <v/>
      </c>
      <c r="Z204" s="374" t="str">
        <f t="shared" si="25"/>
        <v/>
      </c>
      <c r="AA204" s="374" t="str">
        <f t="shared" si="26"/>
        <v/>
      </c>
      <c r="AB204" s="670" t="str">
        <f t="shared" si="27"/>
        <v/>
      </c>
      <c r="AC204" s="516"/>
      <c r="AD204" s="119"/>
      <c r="AE204" s="120"/>
      <c r="AF204" s="120"/>
      <c r="AG204" s="120"/>
      <c r="AH204" s="57" t="str">
        <f>IF(Q204="","",IF(Q204='G-1 All Habitats'!$X$3,E204-X204-W204,"None"))</f>
        <v/>
      </c>
      <c r="AI204" s="58" t="str">
        <f>IF(Q204="","", IF(Q204='G-1 All Habitats'!$X$3, AH204*G204*I204*L204*N204*P204,"None"))</f>
        <v/>
      </c>
      <c r="AJ204" s="30" t="str">
        <f>IFERROR(INDEX('G-7 WaterC'' Data'!$AZ$3:$AZ$7,MATCH(D204,'G-7 WaterC'' Data'!$AY$3:$AY$7,0)),"")</f>
        <v/>
      </c>
      <c r="AK204" s="30">
        <f t="shared" si="28"/>
        <v>0</v>
      </c>
      <c r="AL204" s="124" t="str">
        <f t="shared" si="29"/>
        <v/>
      </c>
      <c r="AM204" s="124" t="str">
        <f t="shared" si="30"/>
        <v/>
      </c>
      <c r="AO204" s="124">
        <v>195</v>
      </c>
      <c r="AQ204" s="124" t="str">
        <f t="array" ref="AQ204">IFERROR(INDEX($AO$10:$AO$258, MATCH(0, IF(TRUE=$AL$10:$AL$258, COUNTIF($AQ$9:$AQ203, $AO$10:$AO$258), ""), 0)),"")</f>
        <v/>
      </c>
      <c r="AR204" s="124" t="str">
        <f t="array" ref="AR204">IFERROR(INDEX($AO$10:$AO$258, MATCH(0, IF(TRUE=$AM$10:$AM$258, COUNTIF($AR$9:$AR203, $AO$10:$AO$258), ""), 0)),"")</f>
        <v/>
      </c>
      <c r="AZ204" s="802" t="str">
        <f t="shared" si="31"/>
        <v/>
      </c>
    </row>
    <row r="205" spans="3:52" ht="15.75" thickBot="1">
      <c r="C205" s="110">
        <v>196</v>
      </c>
      <c r="D205" s="340"/>
      <c r="E205" s="121"/>
      <c r="F205" s="362" t="str">
        <f>IF(D205="","",VLOOKUP(D205,'G-7 WaterC'' Data'!$B$2:$G$8,2,FALSE))</f>
        <v/>
      </c>
      <c r="G205" s="363" t="str">
        <f>IFERROR(VLOOKUP(F205,'G-7 WaterC'' Data'!$C$4:$D$8,2,FALSE),"")</f>
        <v/>
      </c>
      <c r="H205" s="114"/>
      <c r="I205" s="363" t="str">
        <f>IFERROR(INDEX('G-7 WaterC'' Data'!$H$4:$L$8,MATCH(D205,'G-7 WaterC'' Data'!$B$4:$B$8,0),MATCH(H205,'G-7 WaterC'' Data'!$H$3:$L$3,0)),"")</f>
        <v/>
      </c>
      <c r="J205" s="115"/>
      <c r="K205" s="382" t="str">
        <f>IF(J205="","",IF(VLOOKUP(J205,'G-7 WaterC'' Data'!$AK$4:$AM$9,2,FALSE)=0,"Spatial Data Missing ⚠",VLOOKUP(J205,'G-7 WaterC'' Data'!$AK$4:$AM$6,2,FALSE)))</f>
        <v/>
      </c>
      <c r="L205" s="386" t="str">
        <f>IF(J205="","",IF(VLOOKUP(J205,'G-7 WaterC'' Data'!$AK$4:$AM$9,3,FALSE)=0,"Spatial Data Missing ⚠",VLOOKUP(J205,'G-7 WaterC'' Data'!$AK$4:$AM$6,3,FALSE)))</f>
        <v/>
      </c>
      <c r="M205" s="115"/>
      <c r="N205" s="363" t="str">
        <f>IF(M205="","",IF(VLOOKUP(M205,'G-7 WaterC'' Data'!$AA$4:$AB$7,2,FALSE)=0,"Spatial Data Missing ⚠",VLOOKUP(M205,'G-7 WaterC'' Data'!$AA$4:$AB$7,2,FALSE)))</f>
        <v/>
      </c>
      <c r="O205" s="60"/>
      <c r="P205" s="363" t="str">
        <f>IF(O205="","",IF(VLOOKUP(O205,'G-7 WaterC'' Data'!$AD$4:$AE$14,2,FALSE)=0,"Spatial Data Missing ⚠",VLOOKUP(O205,'G-7 WaterC'' Data'!$AD$4:$AE$14,2,FALSE)))</f>
        <v/>
      </c>
      <c r="Q205" s="369" t="str">
        <f>IF(D205="","",VLOOKUP(D205,'G-7 WaterC'' Data'!$B$4:$G$8,6,FALSE))</f>
        <v/>
      </c>
      <c r="R205" s="376" t="str">
        <f>IFERROR(IF(D205="","",IF(AND(Q205='G-1 All Habitats'!$X$3,X205&gt;0),Y205+(Z205*T205),IF(AND(Q205='G-1 All Habitats'!$X$3,W205&gt;0),Y205+(Z205*T205),IF(AND(Q205='G-1 All Habitats'!$X$3,AH205&gt;0),"Any Loss Unacceptable ⚠",IF(AND(Q205='G-1 All Habitats'!$X$3,AI205&gt;0),"Any Loss Unacceptable ⚠", E205*G205*I205*L205*N205*P205*T205 ))))),"Check Data ▲")</f>
        <v/>
      </c>
      <c r="S205" s="516"/>
      <c r="T205" s="368" t="str">
        <f>IF(S205="","",IF(VLOOKUP(S205,'G-7 WaterC'' Data'!$AO$4:$BO$7,2,FALSE)=0,"Spatial Data Missing ⚠",VLOOKUP(S205,'G-7 WaterC'' Data'!$AO$4:$BO$7,2,FALSE)))</f>
        <v/>
      </c>
      <c r="U205" s="376" t="str">
        <f>IFERROR(IF(D205="","",IF(AND(Q205='G-1 All Habitats'!$X$3,X205&gt;0),Y205+Z205,IF(AND(Q205='G-1 All Habitats'!$X$3,W205&gt;0),Y205+Z205,IF(AND(Q205='G-1 All Habitats'!$X$3,AH205&gt;0),"Any Loss Unacceptable ⚠",IF(AND(Q205='G-1 All Habitats'!$X$3,AI205&gt;0),"Any Loss Unacceptable ⚠", E205*G205*I205*L205*N205*P205 ))))),"Check Data ▲")</f>
        <v/>
      </c>
      <c r="V205" s="32"/>
      <c r="W205" s="114"/>
      <c r="X205" s="125"/>
      <c r="Y205" s="374" t="str">
        <f t="shared" si="24"/>
        <v/>
      </c>
      <c r="Z205" s="374" t="str">
        <f t="shared" si="25"/>
        <v/>
      </c>
      <c r="AA205" s="374" t="str">
        <f t="shared" si="26"/>
        <v/>
      </c>
      <c r="AB205" s="670" t="str">
        <f t="shared" si="27"/>
        <v/>
      </c>
      <c r="AC205" s="516"/>
      <c r="AD205" s="119"/>
      <c r="AE205" s="120"/>
      <c r="AF205" s="120"/>
      <c r="AG205" s="120"/>
      <c r="AH205" s="57" t="str">
        <f>IF(Q205="","",IF(Q205='G-1 All Habitats'!$X$3,E205-X205-W205,"None"))</f>
        <v/>
      </c>
      <c r="AI205" s="58" t="str">
        <f>IF(Q205="","", IF(Q205='G-1 All Habitats'!$X$3, AH205*G205*I205*L205*N205*P205,"None"))</f>
        <v/>
      </c>
      <c r="AJ205" s="30" t="str">
        <f>IFERROR(INDEX('G-7 WaterC'' Data'!$AZ$3:$AZ$7,MATCH(D205,'G-7 WaterC'' Data'!$AY$3:$AY$7,0)),"")</f>
        <v/>
      </c>
      <c r="AK205" s="30">
        <f t="shared" si="28"/>
        <v>0</v>
      </c>
      <c r="AL205" s="124" t="str">
        <f t="shared" si="29"/>
        <v/>
      </c>
      <c r="AM205" s="124" t="str">
        <f t="shared" si="30"/>
        <v/>
      </c>
      <c r="AO205" s="124">
        <v>196</v>
      </c>
      <c r="AQ205" s="124" t="str">
        <f t="array" ref="AQ205">IFERROR(INDEX($AO$10:$AO$258, MATCH(0, IF(TRUE=$AL$10:$AL$258, COUNTIF($AQ$9:$AQ204, $AO$10:$AO$258), ""), 0)),"")</f>
        <v/>
      </c>
      <c r="AR205" s="124" t="str">
        <f t="array" ref="AR205">IFERROR(INDEX($AO$10:$AO$258, MATCH(0, IF(TRUE=$AM$10:$AM$258, COUNTIF($AR$9:$AR204, $AO$10:$AO$258), ""), 0)),"")</f>
        <v/>
      </c>
      <c r="AZ205" s="802" t="str">
        <f t="shared" si="31"/>
        <v/>
      </c>
    </row>
    <row r="206" spans="3:52" ht="15.75" thickBot="1">
      <c r="C206" s="110">
        <v>197</v>
      </c>
      <c r="D206" s="340"/>
      <c r="E206" s="121"/>
      <c r="F206" s="362" t="str">
        <f>IF(D206="","",VLOOKUP(D206,'G-7 WaterC'' Data'!$B$2:$G$8,2,FALSE))</f>
        <v/>
      </c>
      <c r="G206" s="363" t="str">
        <f>IFERROR(VLOOKUP(F206,'G-7 WaterC'' Data'!$C$4:$D$8,2,FALSE),"")</f>
        <v/>
      </c>
      <c r="H206" s="114"/>
      <c r="I206" s="363" t="str">
        <f>IFERROR(INDEX('G-7 WaterC'' Data'!$H$4:$L$8,MATCH(D206,'G-7 WaterC'' Data'!$B$4:$B$8,0),MATCH(H206,'G-7 WaterC'' Data'!$H$3:$L$3,0)),"")</f>
        <v/>
      </c>
      <c r="J206" s="115"/>
      <c r="K206" s="382" t="str">
        <f>IF(J206="","",IF(VLOOKUP(J206,'G-7 WaterC'' Data'!$AK$4:$AM$9,2,FALSE)=0,"Spatial Data Missing ⚠",VLOOKUP(J206,'G-7 WaterC'' Data'!$AK$4:$AM$6,2,FALSE)))</f>
        <v/>
      </c>
      <c r="L206" s="386" t="str">
        <f>IF(J206="","",IF(VLOOKUP(J206,'G-7 WaterC'' Data'!$AK$4:$AM$9,3,FALSE)=0,"Spatial Data Missing ⚠",VLOOKUP(J206,'G-7 WaterC'' Data'!$AK$4:$AM$6,3,FALSE)))</f>
        <v/>
      </c>
      <c r="M206" s="115"/>
      <c r="N206" s="363" t="str">
        <f>IF(M206="","",IF(VLOOKUP(M206,'G-7 WaterC'' Data'!$AA$4:$AB$7,2,FALSE)=0,"Spatial Data Missing ⚠",VLOOKUP(M206,'G-7 WaterC'' Data'!$AA$4:$AB$7,2,FALSE)))</f>
        <v/>
      </c>
      <c r="O206" s="60"/>
      <c r="P206" s="363" t="str">
        <f>IF(O206="","",IF(VLOOKUP(O206,'G-7 WaterC'' Data'!$AD$4:$AE$14,2,FALSE)=0,"Spatial Data Missing ⚠",VLOOKUP(O206,'G-7 WaterC'' Data'!$AD$4:$AE$14,2,FALSE)))</f>
        <v/>
      </c>
      <c r="Q206" s="369" t="str">
        <f>IF(D206="","",VLOOKUP(D206,'G-7 WaterC'' Data'!$B$4:$G$8,6,FALSE))</f>
        <v/>
      </c>
      <c r="R206" s="376" t="str">
        <f>IFERROR(IF(D206="","",IF(AND(Q206='G-1 All Habitats'!$X$3,X206&gt;0),Y206+(Z206*T206),IF(AND(Q206='G-1 All Habitats'!$X$3,W206&gt;0),Y206+(Z206*T206),IF(AND(Q206='G-1 All Habitats'!$X$3,AH206&gt;0),"Any Loss Unacceptable ⚠",IF(AND(Q206='G-1 All Habitats'!$X$3,AI206&gt;0),"Any Loss Unacceptable ⚠", E206*G206*I206*L206*N206*P206*T206 ))))),"Check Data ▲")</f>
        <v/>
      </c>
      <c r="S206" s="516"/>
      <c r="T206" s="368" t="str">
        <f>IF(S206="","",IF(VLOOKUP(S206,'G-7 WaterC'' Data'!$AO$4:$BO$7,2,FALSE)=0,"Spatial Data Missing ⚠",VLOOKUP(S206,'G-7 WaterC'' Data'!$AO$4:$BO$7,2,FALSE)))</f>
        <v/>
      </c>
      <c r="U206" s="376" t="str">
        <f>IFERROR(IF(D206="","",IF(AND(Q206='G-1 All Habitats'!$X$3,X206&gt;0),Y206+Z206,IF(AND(Q206='G-1 All Habitats'!$X$3,W206&gt;0),Y206+Z206,IF(AND(Q206='G-1 All Habitats'!$X$3,AH206&gt;0),"Any Loss Unacceptable ⚠",IF(AND(Q206='G-1 All Habitats'!$X$3,AI206&gt;0),"Any Loss Unacceptable ⚠", E206*G206*I206*L206*N206*P206 ))))),"Check Data ▲")</f>
        <v/>
      </c>
      <c r="V206" s="32"/>
      <c r="W206" s="114"/>
      <c r="X206" s="125"/>
      <c r="Y206" s="374" t="str">
        <f t="shared" si="24"/>
        <v/>
      </c>
      <c r="Z206" s="374" t="str">
        <f t="shared" si="25"/>
        <v/>
      </c>
      <c r="AA206" s="374" t="str">
        <f t="shared" si="26"/>
        <v/>
      </c>
      <c r="AB206" s="670" t="str">
        <f t="shared" si="27"/>
        <v/>
      </c>
      <c r="AC206" s="516"/>
      <c r="AD206" s="119"/>
      <c r="AE206" s="120"/>
      <c r="AF206" s="120"/>
      <c r="AG206" s="120"/>
      <c r="AH206" s="57" t="str">
        <f>IF(Q206="","",IF(Q206='G-1 All Habitats'!$X$3,E206-X206-W206,"None"))</f>
        <v/>
      </c>
      <c r="AI206" s="58" t="str">
        <f>IF(Q206="","", IF(Q206='G-1 All Habitats'!$X$3, AH206*G206*I206*L206*N206*P206,"None"))</f>
        <v/>
      </c>
      <c r="AJ206" s="30" t="str">
        <f>IFERROR(INDEX('G-7 WaterC'' Data'!$AZ$3:$AZ$7,MATCH(D206,'G-7 WaterC'' Data'!$AY$3:$AY$7,0)),"")</f>
        <v/>
      </c>
      <c r="AK206" s="30">
        <f t="shared" si="28"/>
        <v>0</v>
      </c>
      <c r="AL206" s="124" t="str">
        <f t="shared" si="29"/>
        <v/>
      </c>
      <c r="AM206" s="124" t="str">
        <f t="shared" si="30"/>
        <v/>
      </c>
      <c r="AO206" s="124">
        <v>197</v>
      </c>
      <c r="AQ206" s="124" t="str">
        <f t="array" ref="AQ206">IFERROR(INDEX($AO$10:$AO$258, MATCH(0, IF(TRUE=$AL$10:$AL$258, COUNTIF($AQ$9:$AQ205, $AO$10:$AO$258), ""), 0)),"")</f>
        <v/>
      </c>
      <c r="AR206" s="124" t="str">
        <f t="array" ref="AR206">IFERROR(INDEX($AO$10:$AO$258, MATCH(0, IF(TRUE=$AM$10:$AM$258, COUNTIF($AR$9:$AR205, $AO$10:$AO$258), ""), 0)),"")</f>
        <v/>
      </c>
      <c r="AZ206" s="802" t="str">
        <f t="shared" si="31"/>
        <v/>
      </c>
    </row>
    <row r="207" spans="3:52" ht="15.75" thickBot="1">
      <c r="C207" s="110">
        <v>198</v>
      </c>
      <c r="D207" s="340"/>
      <c r="E207" s="121"/>
      <c r="F207" s="362" t="str">
        <f>IF(D207="","",VLOOKUP(D207,'G-7 WaterC'' Data'!$B$2:$G$8,2,FALSE))</f>
        <v/>
      </c>
      <c r="G207" s="363" t="str">
        <f>IFERROR(VLOOKUP(F207,'G-7 WaterC'' Data'!$C$4:$D$8,2,FALSE),"")</f>
        <v/>
      </c>
      <c r="H207" s="114"/>
      <c r="I207" s="363" t="str">
        <f>IFERROR(INDEX('G-7 WaterC'' Data'!$H$4:$L$8,MATCH(D207,'G-7 WaterC'' Data'!$B$4:$B$8,0),MATCH(H207,'G-7 WaterC'' Data'!$H$3:$L$3,0)),"")</f>
        <v/>
      </c>
      <c r="J207" s="115"/>
      <c r="K207" s="382" t="str">
        <f>IF(J207="","",IF(VLOOKUP(J207,'G-7 WaterC'' Data'!$AK$4:$AM$9,2,FALSE)=0,"Spatial Data Missing ⚠",VLOOKUP(J207,'G-7 WaterC'' Data'!$AK$4:$AM$6,2,FALSE)))</f>
        <v/>
      </c>
      <c r="L207" s="386" t="str">
        <f>IF(J207="","",IF(VLOOKUP(J207,'G-7 WaterC'' Data'!$AK$4:$AM$9,3,FALSE)=0,"Spatial Data Missing ⚠",VLOOKUP(J207,'G-7 WaterC'' Data'!$AK$4:$AM$6,3,FALSE)))</f>
        <v/>
      </c>
      <c r="M207" s="115"/>
      <c r="N207" s="363" t="str">
        <f>IF(M207="","",IF(VLOOKUP(M207,'G-7 WaterC'' Data'!$AA$4:$AB$7,2,FALSE)=0,"Spatial Data Missing ⚠",VLOOKUP(M207,'G-7 WaterC'' Data'!$AA$4:$AB$7,2,FALSE)))</f>
        <v/>
      </c>
      <c r="O207" s="60"/>
      <c r="P207" s="363" t="str">
        <f>IF(O207="","",IF(VLOOKUP(O207,'G-7 WaterC'' Data'!$AD$4:$AE$14,2,FALSE)=0,"Spatial Data Missing ⚠",VLOOKUP(O207,'G-7 WaterC'' Data'!$AD$4:$AE$14,2,FALSE)))</f>
        <v/>
      </c>
      <c r="Q207" s="369" t="str">
        <f>IF(D207="","",VLOOKUP(D207,'G-7 WaterC'' Data'!$B$4:$G$8,6,FALSE))</f>
        <v/>
      </c>
      <c r="R207" s="376" t="str">
        <f>IFERROR(IF(D207="","",IF(AND(Q207='G-1 All Habitats'!$X$3,X207&gt;0),Y207+(Z207*T207),IF(AND(Q207='G-1 All Habitats'!$X$3,W207&gt;0),Y207+(Z207*T207),IF(AND(Q207='G-1 All Habitats'!$X$3,AH207&gt;0),"Any Loss Unacceptable ⚠",IF(AND(Q207='G-1 All Habitats'!$X$3,AI207&gt;0),"Any Loss Unacceptable ⚠", E207*G207*I207*L207*N207*P207*T207 ))))),"Check Data ▲")</f>
        <v/>
      </c>
      <c r="S207" s="516"/>
      <c r="T207" s="368" t="str">
        <f>IF(S207="","",IF(VLOOKUP(S207,'G-7 WaterC'' Data'!$AO$4:$BO$7,2,FALSE)=0,"Spatial Data Missing ⚠",VLOOKUP(S207,'G-7 WaterC'' Data'!$AO$4:$BO$7,2,FALSE)))</f>
        <v/>
      </c>
      <c r="U207" s="376" t="str">
        <f>IFERROR(IF(D207="","",IF(AND(Q207='G-1 All Habitats'!$X$3,X207&gt;0),Y207+Z207,IF(AND(Q207='G-1 All Habitats'!$X$3,W207&gt;0),Y207+Z207,IF(AND(Q207='G-1 All Habitats'!$X$3,AH207&gt;0),"Any Loss Unacceptable ⚠",IF(AND(Q207='G-1 All Habitats'!$X$3,AI207&gt;0),"Any Loss Unacceptable ⚠", E207*G207*I207*L207*N207*P207 ))))),"Check Data ▲")</f>
        <v/>
      </c>
      <c r="V207" s="32"/>
      <c r="W207" s="114"/>
      <c r="X207" s="125"/>
      <c r="Y207" s="374" t="str">
        <f t="shared" si="24"/>
        <v/>
      </c>
      <c r="Z207" s="374" t="str">
        <f t="shared" si="25"/>
        <v/>
      </c>
      <c r="AA207" s="374" t="str">
        <f t="shared" si="26"/>
        <v/>
      </c>
      <c r="AB207" s="670" t="str">
        <f t="shared" si="27"/>
        <v/>
      </c>
      <c r="AC207" s="516"/>
      <c r="AD207" s="119"/>
      <c r="AE207" s="120"/>
      <c r="AF207" s="120"/>
      <c r="AG207" s="120"/>
      <c r="AH207" s="57" t="str">
        <f>IF(Q207="","",IF(Q207='G-1 All Habitats'!$X$3,E207-X207-W207,"None"))</f>
        <v/>
      </c>
      <c r="AI207" s="58" t="str">
        <f>IF(Q207="","", IF(Q207='G-1 All Habitats'!$X$3, AH207*G207*I207*L207*N207*P207,"None"))</f>
        <v/>
      </c>
      <c r="AJ207" s="30" t="str">
        <f>IFERROR(INDEX('G-7 WaterC'' Data'!$AZ$3:$AZ$7,MATCH(D207,'G-7 WaterC'' Data'!$AY$3:$AY$7,0)),"")</f>
        <v/>
      </c>
      <c r="AK207" s="30">
        <f t="shared" si="28"/>
        <v>0</v>
      </c>
      <c r="AL207" s="124" t="str">
        <f t="shared" si="29"/>
        <v/>
      </c>
      <c r="AM207" s="124" t="str">
        <f t="shared" si="30"/>
        <v/>
      </c>
      <c r="AO207" s="124">
        <v>198</v>
      </c>
      <c r="AQ207" s="124" t="str">
        <f t="array" ref="AQ207">IFERROR(INDEX($AO$10:$AO$258, MATCH(0, IF(TRUE=$AL$10:$AL$258, COUNTIF($AQ$9:$AQ206, $AO$10:$AO$258), ""), 0)),"")</f>
        <v/>
      </c>
      <c r="AR207" s="124" t="str">
        <f t="array" ref="AR207">IFERROR(INDEX($AO$10:$AO$258, MATCH(0, IF(TRUE=$AM$10:$AM$258, COUNTIF($AR$9:$AR206, $AO$10:$AO$258), ""), 0)),"")</f>
        <v/>
      </c>
      <c r="AZ207" s="802" t="str">
        <f t="shared" si="31"/>
        <v/>
      </c>
    </row>
    <row r="208" spans="3:52" ht="15.75" thickBot="1">
      <c r="C208" s="110">
        <v>199</v>
      </c>
      <c r="D208" s="340"/>
      <c r="E208" s="121"/>
      <c r="F208" s="362" t="str">
        <f>IF(D208="","",VLOOKUP(D208,'G-7 WaterC'' Data'!$B$2:$G$8,2,FALSE))</f>
        <v/>
      </c>
      <c r="G208" s="363" t="str">
        <f>IFERROR(VLOOKUP(F208,'G-7 WaterC'' Data'!$C$4:$D$8,2,FALSE),"")</f>
        <v/>
      </c>
      <c r="H208" s="114"/>
      <c r="I208" s="363" t="str">
        <f>IFERROR(INDEX('G-7 WaterC'' Data'!$H$4:$L$8,MATCH(D208,'G-7 WaterC'' Data'!$B$4:$B$8,0),MATCH(H208,'G-7 WaterC'' Data'!$H$3:$L$3,0)),"")</f>
        <v/>
      </c>
      <c r="J208" s="115"/>
      <c r="K208" s="382" t="str">
        <f>IF(J208="","",IF(VLOOKUP(J208,'G-7 WaterC'' Data'!$AK$4:$AM$9,2,FALSE)=0,"Spatial Data Missing ⚠",VLOOKUP(J208,'G-7 WaterC'' Data'!$AK$4:$AM$6,2,FALSE)))</f>
        <v/>
      </c>
      <c r="L208" s="386" t="str">
        <f>IF(J208="","",IF(VLOOKUP(J208,'G-7 WaterC'' Data'!$AK$4:$AM$9,3,FALSE)=0,"Spatial Data Missing ⚠",VLOOKUP(J208,'G-7 WaterC'' Data'!$AK$4:$AM$6,3,FALSE)))</f>
        <v/>
      </c>
      <c r="M208" s="115"/>
      <c r="N208" s="363" t="str">
        <f>IF(M208="","",IF(VLOOKUP(M208,'G-7 WaterC'' Data'!$AA$4:$AB$7,2,FALSE)=0,"Spatial Data Missing ⚠",VLOOKUP(M208,'G-7 WaterC'' Data'!$AA$4:$AB$7,2,FALSE)))</f>
        <v/>
      </c>
      <c r="O208" s="60"/>
      <c r="P208" s="363" t="str">
        <f>IF(O208="","",IF(VLOOKUP(O208,'G-7 WaterC'' Data'!$AD$4:$AE$14,2,FALSE)=0,"Spatial Data Missing ⚠",VLOOKUP(O208,'G-7 WaterC'' Data'!$AD$4:$AE$14,2,FALSE)))</f>
        <v/>
      </c>
      <c r="Q208" s="369" t="str">
        <f>IF(D208="","",VLOOKUP(D208,'G-7 WaterC'' Data'!$B$4:$G$8,6,FALSE))</f>
        <v/>
      </c>
      <c r="R208" s="376" t="str">
        <f>IFERROR(IF(D208="","",IF(AND(Q208='G-1 All Habitats'!$X$3,X208&gt;0),Y208+(Z208*T208),IF(AND(Q208='G-1 All Habitats'!$X$3,W208&gt;0),Y208+(Z208*T208),IF(AND(Q208='G-1 All Habitats'!$X$3,AH208&gt;0),"Any Loss Unacceptable ⚠",IF(AND(Q208='G-1 All Habitats'!$X$3,AI208&gt;0),"Any Loss Unacceptable ⚠", E208*G208*I208*L208*N208*P208*T208 ))))),"Check Data ▲")</f>
        <v/>
      </c>
      <c r="S208" s="516"/>
      <c r="T208" s="368" t="str">
        <f>IF(S208="","",IF(VLOOKUP(S208,'G-7 WaterC'' Data'!$AO$4:$BO$7,2,FALSE)=0,"Spatial Data Missing ⚠",VLOOKUP(S208,'G-7 WaterC'' Data'!$AO$4:$BO$7,2,FALSE)))</f>
        <v/>
      </c>
      <c r="U208" s="376" t="str">
        <f>IFERROR(IF(D208="","",IF(AND(Q208='G-1 All Habitats'!$X$3,X208&gt;0),Y208+Z208,IF(AND(Q208='G-1 All Habitats'!$X$3,W208&gt;0),Y208+Z208,IF(AND(Q208='G-1 All Habitats'!$X$3,AH208&gt;0),"Any Loss Unacceptable ⚠",IF(AND(Q208='G-1 All Habitats'!$X$3,AI208&gt;0),"Any Loss Unacceptable ⚠", E208*G208*I208*L208*N208*P208 ))))),"Check Data ▲")</f>
        <v/>
      </c>
      <c r="V208" s="32"/>
      <c r="W208" s="114"/>
      <c r="X208" s="125"/>
      <c r="Y208" s="374" t="str">
        <f t="shared" si="24"/>
        <v/>
      </c>
      <c r="Z208" s="374" t="str">
        <f t="shared" si="25"/>
        <v/>
      </c>
      <c r="AA208" s="374" t="str">
        <f t="shared" si="26"/>
        <v/>
      </c>
      <c r="AB208" s="670" t="str">
        <f t="shared" si="27"/>
        <v/>
      </c>
      <c r="AC208" s="516"/>
      <c r="AD208" s="119"/>
      <c r="AE208" s="120"/>
      <c r="AF208" s="120"/>
      <c r="AG208" s="120"/>
      <c r="AH208" s="57" t="str">
        <f>IF(Q208="","",IF(Q208='G-1 All Habitats'!$X$3,E208-X208-W208,"None"))</f>
        <v/>
      </c>
      <c r="AI208" s="58" t="str">
        <f>IF(Q208="","", IF(Q208='G-1 All Habitats'!$X$3, AH208*G208*I208*L208*N208*P208,"None"))</f>
        <v/>
      </c>
      <c r="AJ208" s="30" t="str">
        <f>IFERROR(INDEX('G-7 WaterC'' Data'!$AZ$3:$AZ$7,MATCH(D208,'G-7 WaterC'' Data'!$AY$3:$AY$7,0)),"")</f>
        <v/>
      </c>
      <c r="AK208" s="30">
        <f t="shared" si="28"/>
        <v>0</v>
      </c>
      <c r="AL208" s="124" t="str">
        <f t="shared" si="29"/>
        <v/>
      </c>
      <c r="AM208" s="124" t="str">
        <f t="shared" si="30"/>
        <v/>
      </c>
      <c r="AO208" s="124">
        <v>199</v>
      </c>
      <c r="AQ208" s="124" t="str">
        <f t="array" ref="AQ208">IFERROR(INDEX($AO$10:$AO$258, MATCH(0, IF(TRUE=$AL$10:$AL$258, COUNTIF($AQ$9:$AQ207, $AO$10:$AO$258), ""), 0)),"")</f>
        <v/>
      </c>
      <c r="AR208" s="124" t="str">
        <f t="array" ref="AR208">IFERROR(INDEX($AO$10:$AO$258, MATCH(0, IF(TRUE=$AM$10:$AM$258, COUNTIF($AR$9:$AR207, $AO$10:$AO$258), ""), 0)),"")</f>
        <v/>
      </c>
      <c r="AZ208" s="802" t="str">
        <f t="shared" si="31"/>
        <v/>
      </c>
    </row>
    <row r="209" spans="3:52" ht="15.75" thickBot="1">
      <c r="C209" s="110">
        <v>200</v>
      </c>
      <c r="D209" s="340"/>
      <c r="E209" s="121"/>
      <c r="F209" s="362" t="str">
        <f>IF(D209="","",VLOOKUP(D209,'G-7 WaterC'' Data'!$B$2:$G$8,2,FALSE))</f>
        <v/>
      </c>
      <c r="G209" s="363" t="str">
        <f>IFERROR(VLOOKUP(F209,'G-7 WaterC'' Data'!$C$4:$D$8,2,FALSE),"")</f>
        <v/>
      </c>
      <c r="H209" s="114"/>
      <c r="I209" s="363" t="str">
        <f>IFERROR(INDEX('G-7 WaterC'' Data'!$H$4:$L$8,MATCH(D209,'G-7 WaterC'' Data'!$B$4:$B$8,0),MATCH(H209,'G-7 WaterC'' Data'!$H$3:$L$3,0)),"")</f>
        <v/>
      </c>
      <c r="J209" s="115"/>
      <c r="K209" s="382" t="str">
        <f>IF(J209="","",IF(VLOOKUP(J209,'G-7 WaterC'' Data'!$AK$4:$AM$9,2,FALSE)=0,"Spatial Data Missing ⚠",VLOOKUP(J209,'G-7 WaterC'' Data'!$AK$4:$AM$6,2,FALSE)))</f>
        <v/>
      </c>
      <c r="L209" s="386" t="str">
        <f>IF(J209="","",IF(VLOOKUP(J209,'G-7 WaterC'' Data'!$AK$4:$AM$9,3,FALSE)=0,"Spatial Data Missing ⚠",VLOOKUP(J209,'G-7 WaterC'' Data'!$AK$4:$AM$6,3,FALSE)))</f>
        <v/>
      </c>
      <c r="M209" s="115"/>
      <c r="N209" s="363" t="str">
        <f>IF(M209="","",IF(VLOOKUP(M209,'G-7 WaterC'' Data'!$AA$4:$AB$7,2,FALSE)=0,"Spatial Data Missing ⚠",VLOOKUP(M209,'G-7 WaterC'' Data'!$AA$4:$AB$7,2,FALSE)))</f>
        <v/>
      </c>
      <c r="O209" s="60"/>
      <c r="P209" s="363" t="str">
        <f>IF(O209="","",IF(VLOOKUP(O209,'G-7 WaterC'' Data'!$AD$4:$AE$14,2,FALSE)=0,"Spatial Data Missing ⚠",VLOOKUP(O209,'G-7 WaterC'' Data'!$AD$4:$AE$14,2,FALSE)))</f>
        <v/>
      </c>
      <c r="Q209" s="369" t="str">
        <f>IF(D209="","",VLOOKUP(D209,'G-7 WaterC'' Data'!$B$4:$G$8,6,FALSE))</f>
        <v/>
      </c>
      <c r="R209" s="376" t="str">
        <f>IFERROR(IF(D209="","",IF(AND(Q209='G-1 All Habitats'!$X$3,X209&gt;0),Y209+(Z209*T209),IF(AND(Q209='G-1 All Habitats'!$X$3,W209&gt;0),Y209+(Z209*T209),IF(AND(Q209='G-1 All Habitats'!$X$3,AH209&gt;0),"Any Loss Unacceptable ⚠",IF(AND(Q209='G-1 All Habitats'!$X$3,AI209&gt;0),"Any Loss Unacceptable ⚠", E209*G209*I209*L209*N209*P209*T209 ))))),"Check Data ▲")</f>
        <v/>
      </c>
      <c r="S209" s="516"/>
      <c r="T209" s="368" t="str">
        <f>IF(S209="","",IF(VLOOKUP(S209,'G-7 WaterC'' Data'!$AO$4:$BO$7,2,FALSE)=0,"Spatial Data Missing ⚠",VLOOKUP(S209,'G-7 WaterC'' Data'!$AO$4:$BO$7,2,FALSE)))</f>
        <v/>
      </c>
      <c r="U209" s="376" t="str">
        <f>IFERROR(IF(D209="","",IF(AND(Q209='G-1 All Habitats'!$X$3,X209&gt;0),Y209+Z209,IF(AND(Q209='G-1 All Habitats'!$X$3,W209&gt;0),Y209+Z209,IF(AND(Q209='G-1 All Habitats'!$X$3,AH209&gt;0),"Any Loss Unacceptable ⚠",IF(AND(Q209='G-1 All Habitats'!$X$3,AI209&gt;0),"Any Loss Unacceptable ⚠", E209*G209*I209*L209*N209*P209 ))))),"Check Data ▲")</f>
        <v/>
      </c>
      <c r="V209" s="32"/>
      <c r="W209" s="114"/>
      <c r="X209" s="125"/>
      <c r="Y209" s="374" t="str">
        <f t="shared" si="24"/>
        <v/>
      </c>
      <c r="Z209" s="374" t="str">
        <f t="shared" si="25"/>
        <v/>
      </c>
      <c r="AA209" s="374" t="str">
        <f t="shared" si="26"/>
        <v/>
      </c>
      <c r="AB209" s="670" t="str">
        <f t="shared" si="27"/>
        <v/>
      </c>
      <c r="AC209" s="516"/>
      <c r="AD209" s="119"/>
      <c r="AE209" s="120"/>
      <c r="AF209" s="120"/>
      <c r="AG209" s="120"/>
      <c r="AH209" s="57" t="str">
        <f>IF(Q209="","",IF(Q209='G-1 All Habitats'!$X$3,E209-X209-W209,"None"))</f>
        <v/>
      </c>
      <c r="AI209" s="58" t="str">
        <f>IF(Q209="","", IF(Q209='G-1 All Habitats'!$X$3, AH209*G209*I209*L209*N209*P209,"None"))</f>
        <v/>
      </c>
      <c r="AJ209" s="30" t="str">
        <f>IFERROR(INDEX('G-7 WaterC'' Data'!$AZ$3:$AZ$7,MATCH(D209,'G-7 WaterC'' Data'!$AY$3:$AY$7,0)),"")</f>
        <v/>
      </c>
      <c r="AK209" s="30">
        <f t="shared" si="28"/>
        <v>0</v>
      </c>
      <c r="AL209" s="124" t="str">
        <f t="shared" si="29"/>
        <v/>
      </c>
      <c r="AM209" s="124" t="str">
        <f t="shared" si="30"/>
        <v/>
      </c>
      <c r="AO209" s="124">
        <v>200</v>
      </c>
      <c r="AQ209" s="124" t="str">
        <f t="array" ref="AQ209">IFERROR(INDEX($AO$10:$AO$258, MATCH(0, IF(TRUE=$AL$10:$AL$258, COUNTIF($AQ$9:$AQ208, $AO$10:$AO$258), ""), 0)),"")</f>
        <v/>
      </c>
      <c r="AR209" s="124" t="str">
        <f t="array" ref="AR209">IFERROR(INDEX($AO$10:$AO$258, MATCH(0, IF(TRUE=$AM$10:$AM$258, COUNTIF($AR$9:$AR208, $AO$10:$AO$258), ""), 0)),"")</f>
        <v/>
      </c>
      <c r="AZ209" s="802" t="str">
        <f t="shared" si="31"/>
        <v/>
      </c>
    </row>
    <row r="210" spans="3:52" ht="15.75" thickBot="1">
      <c r="C210" s="110">
        <v>201</v>
      </c>
      <c r="D210" s="340"/>
      <c r="E210" s="121"/>
      <c r="F210" s="362" t="str">
        <f>IF(D210="","",VLOOKUP(D210,'G-7 WaterC'' Data'!$B$2:$G$8,2,FALSE))</f>
        <v/>
      </c>
      <c r="G210" s="363" t="str">
        <f>IFERROR(VLOOKUP(F210,'G-7 WaterC'' Data'!$C$4:$D$8,2,FALSE),"")</f>
        <v/>
      </c>
      <c r="H210" s="114"/>
      <c r="I210" s="363" t="str">
        <f>IFERROR(INDEX('G-7 WaterC'' Data'!$H$4:$L$8,MATCH(D210,'G-7 WaterC'' Data'!$B$4:$B$8,0),MATCH(H210,'G-7 WaterC'' Data'!$H$3:$L$3,0)),"")</f>
        <v/>
      </c>
      <c r="J210" s="115"/>
      <c r="K210" s="382" t="str">
        <f>IF(J210="","",IF(VLOOKUP(J210,'G-7 WaterC'' Data'!$AK$4:$AM$9,2,FALSE)=0,"Spatial Data Missing ⚠",VLOOKUP(J210,'G-7 WaterC'' Data'!$AK$4:$AM$6,2,FALSE)))</f>
        <v/>
      </c>
      <c r="L210" s="386" t="str">
        <f>IF(J210="","",IF(VLOOKUP(J210,'G-7 WaterC'' Data'!$AK$4:$AM$9,3,FALSE)=0,"Spatial Data Missing ⚠",VLOOKUP(J210,'G-7 WaterC'' Data'!$AK$4:$AM$6,3,FALSE)))</f>
        <v/>
      </c>
      <c r="M210" s="115"/>
      <c r="N210" s="363" t="str">
        <f>IF(M210="","",IF(VLOOKUP(M210,'G-7 WaterC'' Data'!$AA$4:$AB$7,2,FALSE)=0,"Spatial Data Missing ⚠",VLOOKUP(M210,'G-7 WaterC'' Data'!$AA$4:$AB$7,2,FALSE)))</f>
        <v/>
      </c>
      <c r="O210" s="60"/>
      <c r="P210" s="363" t="str">
        <f>IF(O210="","",IF(VLOOKUP(O210,'G-7 WaterC'' Data'!$AD$4:$AE$14,2,FALSE)=0,"Spatial Data Missing ⚠",VLOOKUP(O210,'G-7 WaterC'' Data'!$AD$4:$AE$14,2,FALSE)))</f>
        <v/>
      </c>
      <c r="Q210" s="369" t="str">
        <f>IF(D210="","",VLOOKUP(D210,'G-7 WaterC'' Data'!$B$4:$G$8,6,FALSE))</f>
        <v/>
      </c>
      <c r="R210" s="376" t="str">
        <f>IFERROR(IF(D210="","",IF(AND(Q210='G-1 All Habitats'!$X$3,X210&gt;0),Y210+(Z210*T210),IF(AND(Q210='G-1 All Habitats'!$X$3,W210&gt;0),Y210+(Z210*T210),IF(AND(Q210='G-1 All Habitats'!$X$3,AH210&gt;0),"Any Loss Unacceptable ⚠",IF(AND(Q210='G-1 All Habitats'!$X$3,AI210&gt;0),"Any Loss Unacceptable ⚠", E210*G210*I210*L210*N210*P210*T210 ))))),"Check Data ▲")</f>
        <v/>
      </c>
      <c r="S210" s="516"/>
      <c r="T210" s="368" t="str">
        <f>IF(S210="","",IF(VLOOKUP(S210,'G-7 WaterC'' Data'!$AO$4:$BO$7,2,FALSE)=0,"Spatial Data Missing ⚠",VLOOKUP(S210,'G-7 WaterC'' Data'!$AO$4:$BO$7,2,FALSE)))</f>
        <v/>
      </c>
      <c r="U210" s="376" t="str">
        <f>IFERROR(IF(D210="","",IF(AND(Q210='G-1 All Habitats'!$X$3,X210&gt;0),Y210+Z210,IF(AND(Q210='G-1 All Habitats'!$X$3,W210&gt;0),Y210+Z210,IF(AND(Q210='G-1 All Habitats'!$X$3,AH210&gt;0),"Any Loss Unacceptable ⚠",IF(AND(Q210='G-1 All Habitats'!$X$3,AI210&gt;0),"Any Loss Unacceptable ⚠", E210*G210*I210*L210*N210*P210 ))))),"Check Data ▲")</f>
        <v/>
      </c>
      <c r="V210" s="32"/>
      <c r="W210" s="114"/>
      <c r="X210" s="125"/>
      <c r="Y210" s="374" t="str">
        <f t="shared" si="24"/>
        <v/>
      </c>
      <c r="Z210" s="374" t="str">
        <f t="shared" si="25"/>
        <v/>
      </c>
      <c r="AA210" s="374" t="str">
        <f t="shared" si="26"/>
        <v/>
      </c>
      <c r="AB210" s="670" t="str">
        <f t="shared" si="27"/>
        <v/>
      </c>
      <c r="AC210" s="516"/>
      <c r="AD210" s="119"/>
      <c r="AE210" s="120"/>
      <c r="AF210" s="120"/>
      <c r="AG210" s="120"/>
      <c r="AH210" s="57" t="str">
        <f>IF(Q210="","",IF(Q210='G-1 All Habitats'!$X$3,E210-X210-W210,"None"))</f>
        <v/>
      </c>
      <c r="AI210" s="58" t="str">
        <f>IF(Q210="","", IF(Q210='G-1 All Habitats'!$X$3, AH210*G210*I210*L210*N210*P210,"None"))</f>
        <v/>
      </c>
      <c r="AJ210" s="30" t="str">
        <f>IFERROR(INDEX('G-7 WaterC'' Data'!$AZ$3:$AZ$7,MATCH(D210,'G-7 WaterC'' Data'!$AY$3:$AY$7,0)),"")</f>
        <v/>
      </c>
      <c r="AK210" s="30">
        <f t="shared" si="28"/>
        <v>0</v>
      </c>
      <c r="AL210" s="124" t="str">
        <f t="shared" si="29"/>
        <v/>
      </c>
      <c r="AM210" s="124" t="str">
        <f t="shared" si="30"/>
        <v/>
      </c>
      <c r="AO210" s="124">
        <v>201</v>
      </c>
      <c r="AQ210" s="124" t="str">
        <f t="array" ref="AQ210">IFERROR(INDEX($AO$10:$AO$258, MATCH(0, IF(TRUE=$AL$10:$AL$258, COUNTIF($AQ$9:$AQ209, $AO$10:$AO$258), ""), 0)),"")</f>
        <v/>
      </c>
      <c r="AR210" s="124" t="str">
        <f t="array" ref="AR210">IFERROR(INDEX($AO$10:$AO$258, MATCH(0, IF(TRUE=$AM$10:$AM$258, COUNTIF($AR$9:$AR209, $AO$10:$AO$258), ""), 0)),"")</f>
        <v/>
      </c>
      <c r="AZ210" s="802" t="str">
        <f t="shared" si="31"/>
        <v/>
      </c>
    </row>
    <row r="211" spans="3:52" ht="15.75" thickBot="1">
      <c r="C211" s="110">
        <v>202</v>
      </c>
      <c r="D211" s="340"/>
      <c r="E211" s="121"/>
      <c r="F211" s="362" t="str">
        <f>IF(D211="","",VLOOKUP(D211,'G-7 WaterC'' Data'!$B$2:$G$8,2,FALSE))</f>
        <v/>
      </c>
      <c r="G211" s="363" t="str">
        <f>IFERROR(VLOOKUP(F211,'G-7 WaterC'' Data'!$C$4:$D$8,2,FALSE),"")</f>
        <v/>
      </c>
      <c r="H211" s="114"/>
      <c r="I211" s="363" t="str">
        <f>IFERROR(INDEX('G-7 WaterC'' Data'!$H$4:$L$8,MATCH(D211,'G-7 WaterC'' Data'!$B$4:$B$8,0),MATCH(H211,'G-7 WaterC'' Data'!$H$3:$L$3,0)),"")</f>
        <v/>
      </c>
      <c r="J211" s="115"/>
      <c r="K211" s="382" t="str">
        <f>IF(J211="","",IF(VLOOKUP(J211,'G-7 WaterC'' Data'!$AK$4:$AM$9,2,FALSE)=0,"Spatial Data Missing ⚠",VLOOKUP(J211,'G-7 WaterC'' Data'!$AK$4:$AM$6,2,FALSE)))</f>
        <v/>
      </c>
      <c r="L211" s="386" t="str">
        <f>IF(J211="","",IF(VLOOKUP(J211,'G-7 WaterC'' Data'!$AK$4:$AM$9,3,FALSE)=0,"Spatial Data Missing ⚠",VLOOKUP(J211,'G-7 WaterC'' Data'!$AK$4:$AM$6,3,FALSE)))</f>
        <v/>
      </c>
      <c r="M211" s="115"/>
      <c r="N211" s="363" t="str">
        <f>IF(M211="","",IF(VLOOKUP(M211,'G-7 WaterC'' Data'!$AA$4:$AB$7,2,FALSE)=0,"Spatial Data Missing ⚠",VLOOKUP(M211,'G-7 WaterC'' Data'!$AA$4:$AB$7,2,FALSE)))</f>
        <v/>
      </c>
      <c r="O211" s="60"/>
      <c r="P211" s="363" t="str">
        <f>IF(O211="","",IF(VLOOKUP(O211,'G-7 WaterC'' Data'!$AD$4:$AE$14,2,FALSE)=0,"Spatial Data Missing ⚠",VLOOKUP(O211,'G-7 WaterC'' Data'!$AD$4:$AE$14,2,FALSE)))</f>
        <v/>
      </c>
      <c r="Q211" s="369" t="str">
        <f>IF(D211="","",VLOOKUP(D211,'G-7 WaterC'' Data'!$B$4:$G$8,6,FALSE))</f>
        <v/>
      </c>
      <c r="R211" s="376" t="str">
        <f>IFERROR(IF(D211="","",IF(AND(Q211='G-1 All Habitats'!$X$3,X211&gt;0),Y211+(Z211*T211),IF(AND(Q211='G-1 All Habitats'!$X$3,W211&gt;0),Y211+(Z211*T211),IF(AND(Q211='G-1 All Habitats'!$X$3,AH211&gt;0),"Any Loss Unacceptable ⚠",IF(AND(Q211='G-1 All Habitats'!$X$3,AI211&gt;0),"Any Loss Unacceptable ⚠", E211*G211*I211*L211*N211*P211*T211 ))))),"Check Data ▲")</f>
        <v/>
      </c>
      <c r="S211" s="516"/>
      <c r="T211" s="368" t="str">
        <f>IF(S211="","",IF(VLOOKUP(S211,'G-7 WaterC'' Data'!$AO$4:$BO$7,2,FALSE)=0,"Spatial Data Missing ⚠",VLOOKUP(S211,'G-7 WaterC'' Data'!$AO$4:$BO$7,2,FALSE)))</f>
        <v/>
      </c>
      <c r="U211" s="376" t="str">
        <f>IFERROR(IF(D211="","",IF(AND(Q211='G-1 All Habitats'!$X$3,X211&gt;0),Y211+Z211,IF(AND(Q211='G-1 All Habitats'!$X$3,W211&gt;0),Y211+Z211,IF(AND(Q211='G-1 All Habitats'!$X$3,AH211&gt;0),"Any Loss Unacceptable ⚠",IF(AND(Q211='G-1 All Habitats'!$X$3,AI211&gt;0),"Any Loss Unacceptable ⚠", E211*G211*I211*L211*N211*P211 ))))),"Check Data ▲")</f>
        <v/>
      </c>
      <c r="V211" s="32"/>
      <c r="W211" s="114"/>
      <c r="X211" s="125"/>
      <c r="Y211" s="374" t="str">
        <f t="shared" si="24"/>
        <v/>
      </c>
      <c r="Z211" s="374" t="str">
        <f t="shared" si="25"/>
        <v/>
      </c>
      <c r="AA211" s="374" t="str">
        <f t="shared" si="26"/>
        <v/>
      </c>
      <c r="AB211" s="670" t="str">
        <f t="shared" si="27"/>
        <v/>
      </c>
      <c r="AC211" s="516"/>
      <c r="AD211" s="119"/>
      <c r="AE211" s="120"/>
      <c r="AF211" s="120"/>
      <c r="AG211" s="120"/>
      <c r="AH211" s="57" t="str">
        <f>IF(Q211="","",IF(Q211='G-1 All Habitats'!$X$3,E211-X211-W211,"None"))</f>
        <v/>
      </c>
      <c r="AI211" s="58" t="str">
        <f>IF(Q211="","", IF(Q211='G-1 All Habitats'!$X$3, AH211*G211*I211*L211*N211*P211,"None"))</f>
        <v/>
      </c>
      <c r="AJ211" s="30" t="str">
        <f>IFERROR(INDEX('G-7 WaterC'' Data'!$AZ$3:$AZ$7,MATCH(D211,'G-7 WaterC'' Data'!$AY$3:$AY$7,0)),"")</f>
        <v/>
      </c>
      <c r="AK211" s="30">
        <f t="shared" si="28"/>
        <v>0</v>
      </c>
      <c r="AL211" s="124" t="str">
        <f t="shared" si="29"/>
        <v/>
      </c>
      <c r="AM211" s="124" t="str">
        <f t="shared" si="30"/>
        <v/>
      </c>
      <c r="AO211" s="124">
        <v>202</v>
      </c>
      <c r="AQ211" s="124" t="str">
        <f t="array" ref="AQ211">IFERROR(INDEX($AO$10:$AO$258, MATCH(0, IF(TRUE=$AL$10:$AL$258, COUNTIF($AQ$9:$AQ210, $AO$10:$AO$258), ""), 0)),"")</f>
        <v/>
      </c>
      <c r="AR211" s="124" t="str">
        <f t="array" ref="AR211">IFERROR(INDEX($AO$10:$AO$258, MATCH(0, IF(TRUE=$AM$10:$AM$258, COUNTIF($AR$9:$AR210, $AO$10:$AO$258), ""), 0)),"")</f>
        <v/>
      </c>
      <c r="AZ211" s="802" t="str">
        <f t="shared" si="31"/>
        <v/>
      </c>
    </row>
    <row r="212" spans="3:52" ht="15.75" thickBot="1">
      <c r="C212" s="110">
        <v>203</v>
      </c>
      <c r="D212" s="340"/>
      <c r="E212" s="121"/>
      <c r="F212" s="362" t="str">
        <f>IF(D212="","",VLOOKUP(D212,'G-7 WaterC'' Data'!$B$2:$G$8,2,FALSE))</f>
        <v/>
      </c>
      <c r="G212" s="363" t="str">
        <f>IFERROR(VLOOKUP(F212,'G-7 WaterC'' Data'!$C$4:$D$8,2,FALSE),"")</f>
        <v/>
      </c>
      <c r="H212" s="114"/>
      <c r="I212" s="363" t="str">
        <f>IFERROR(INDEX('G-7 WaterC'' Data'!$H$4:$L$8,MATCH(D212,'G-7 WaterC'' Data'!$B$4:$B$8,0),MATCH(H212,'G-7 WaterC'' Data'!$H$3:$L$3,0)),"")</f>
        <v/>
      </c>
      <c r="J212" s="115"/>
      <c r="K212" s="382" t="str">
        <f>IF(J212="","",IF(VLOOKUP(J212,'G-7 WaterC'' Data'!$AK$4:$AM$9,2,FALSE)=0,"Spatial Data Missing ⚠",VLOOKUP(J212,'G-7 WaterC'' Data'!$AK$4:$AM$6,2,FALSE)))</f>
        <v/>
      </c>
      <c r="L212" s="386" t="str">
        <f>IF(J212="","",IF(VLOOKUP(J212,'G-7 WaterC'' Data'!$AK$4:$AM$9,3,FALSE)=0,"Spatial Data Missing ⚠",VLOOKUP(J212,'G-7 WaterC'' Data'!$AK$4:$AM$6,3,FALSE)))</f>
        <v/>
      </c>
      <c r="M212" s="115"/>
      <c r="N212" s="363" t="str">
        <f>IF(M212="","",IF(VLOOKUP(M212,'G-7 WaterC'' Data'!$AA$4:$AB$7,2,FALSE)=0,"Spatial Data Missing ⚠",VLOOKUP(M212,'G-7 WaterC'' Data'!$AA$4:$AB$7,2,FALSE)))</f>
        <v/>
      </c>
      <c r="O212" s="60"/>
      <c r="P212" s="363" t="str">
        <f>IF(O212="","",IF(VLOOKUP(O212,'G-7 WaterC'' Data'!$AD$4:$AE$14,2,FALSE)=0,"Spatial Data Missing ⚠",VLOOKUP(O212,'G-7 WaterC'' Data'!$AD$4:$AE$14,2,FALSE)))</f>
        <v/>
      </c>
      <c r="Q212" s="369" t="str">
        <f>IF(D212="","",VLOOKUP(D212,'G-7 WaterC'' Data'!$B$4:$G$8,6,FALSE))</f>
        <v/>
      </c>
      <c r="R212" s="376" t="str">
        <f>IFERROR(IF(D212="","",IF(AND(Q212='G-1 All Habitats'!$X$3,X212&gt;0),Y212+(Z212*T212),IF(AND(Q212='G-1 All Habitats'!$X$3,W212&gt;0),Y212+(Z212*T212),IF(AND(Q212='G-1 All Habitats'!$X$3,AH212&gt;0),"Any Loss Unacceptable ⚠",IF(AND(Q212='G-1 All Habitats'!$X$3,AI212&gt;0),"Any Loss Unacceptable ⚠", E212*G212*I212*L212*N212*P212*T212 ))))),"Check Data ▲")</f>
        <v/>
      </c>
      <c r="S212" s="516"/>
      <c r="T212" s="368" t="str">
        <f>IF(S212="","",IF(VLOOKUP(S212,'G-7 WaterC'' Data'!$AO$4:$BO$7,2,FALSE)=0,"Spatial Data Missing ⚠",VLOOKUP(S212,'G-7 WaterC'' Data'!$AO$4:$BO$7,2,FALSE)))</f>
        <v/>
      </c>
      <c r="U212" s="376" t="str">
        <f>IFERROR(IF(D212="","",IF(AND(Q212='G-1 All Habitats'!$X$3,X212&gt;0),Y212+Z212,IF(AND(Q212='G-1 All Habitats'!$X$3,W212&gt;0),Y212+Z212,IF(AND(Q212='G-1 All Habitats'!$X$3,AH212&gt;0),"Any Loss Unacceptable ⚠",IF(AND(Q212='G-1 All Habitats'!$X$3,AI212&gt;0),"Any Loss Unacceptable ⚠", E212*G212*I212*L212*N212*P212 ))))),"Check Data ▲")</f>
        <v/>
      </c>
      <c r="V212" s="32"/>
      <c r="W212" s="114"/>
      <c r="X212" s="125"/>
      <c r="Y212" s="374" t="str">
        <f t="shared" si="24"/>
        <v/>
      </c>
      <c r="Z212" s="374" t="str">
        <f t="shared" si="25"/>
        <v/>
      </c>
      <c r="AA212" s="374" t="str">
        <f t="shared" si="26"/>
        <v/>
      </c>
      <c r="AB212" s="670" t="str">
        <f t="shared" si="27"/>
        <v/>
      </c>
      <c r="AC212" s="516"/>
      <c r="AD212" s="119"/>
      <c r="AE212" s="120"/>
      <c r="AF212" s="120"/>
      <c r="AG212" s="120"/>
      <c r="AH212" s="57" t="str">
        <f>IF(Q212="","",IF(Q212='G-1 All Habitats'!$X$3,E212-X212-W212,"None"))</f>
        <v/>
      </c>
      <c r="AI212" s="58" t="str">
        <f>IF(Q212="","", IF(Q212='G-1 All Habitats'!$X$3, AH212*G212*I212*L212*N212*P212,"None"))</f>
        <v/>
      </c>
      <c r="AJ212" s="30" t="str">
        <f>IFERROR(INDEX('G-7 WaterC'' Data'!$AZ$3:$AZ$7,MATCH(D212,'G-7 WaterC'' Data'!$AY$3:$AY$7,0)),"")</f>
        <v/>
      </c>
      <c r="AK212" s="30">
        <f t="shared" si="28"/>
        <v>0</v>
      </c>
      <c r="AL212" s="124" t="str">
        <f t="shared" si="29"/>
        <v/>
      </c>
      <c r="AM212" s="124" t="str">
        <f t="shared" si="30"/>
        <v/>
      </c>
      <c r="AO212" s="124">
        <v>203</v>
      </c>
      <c r="AQ212" s="124" t="str">
        <f t="array" ref="AQ212">IFERROR(INDEX($AO$10:$AO$258, MATCH(0, IF(TRUE=$AL$10:$AL$258, COUNTIF($AQ$9:$AQ211, $AO$10:$AO$258), ""), 0)),"")</f>
        <v/>
      </c>
      <c r="AR212" s="124" t="str">
        <f t="array" ref="AR212">IFERROR(INDEX($AO$10:$AO$258, MATCH(0, IF(TRUE=$AM$10:$AM$258, COUNTIF($AR$9:$AR211, $AO$10:$AO$258), ""), 0)),"")</f>
        <v/>
      </c>
      <c r="AZ212" s="802" t="str">
        <f t="shared" si="31"/>
        <v/>
      </c>
    </row>
    <row r="213" spans="3:52" ht="15.75" thickBot="1">
      <c r="C213" s="110">
        <v>204</v>
      </c>
      <c r="D213" s="340"/>
      <c r="E213" s="121"/>
      <c r="F213" s="362" t="str">
        <f>IF(D213="","",VLOOKUP(D213,'G-7 WaterC'' Data'!$B$2:$G$8,2,FALSE))</f>
        <v/>
      </c>
      <c r="G213" s="363" t="str">
        <f>IFERROR(VLOOKUP(F213,'G-7 WaterC'' Data'!$C$4:$D$8,2,FALSE),"")</f>
        <v/>
      </c>
      <c r="H213" s="114"/>
      <c r="I213" s="363" t="str">
        <f>IFERROR(INDEX('G-7 WaterC'' Data'!$H$4:$L$8,MATCH(D213,'G-7 WaterC'' Data'!$B$4:$B$8,0),MATCH(H213,'G-7 WaterC'' Data'!$H$3:$L$3,0)),"")</f>
        <v/>
      </c>
      <c r="J213" s="115"/>
      <c r="K213" s="382" t="str">
        <f>IF(J213="","",IF(VLOOKUP(J213,'G-7 WaterC'' Data'!$AK$4:$AM$9,2,FALSE)=0,"Spatial Data Missing ⚠",VLOOKUP(J213,'G-7 WaterC'' Data'!$AK$4:$AM$6,2,FALSE)))</f>
        <v/>
      </c>
      <c r="L213" s="386" t="str">
        <f>IF(J213="","",IF(VLOOKUP(J213,'G-7 WaterC'' Data'!$AK$4:$AM$9,3,FALSE)=0,"Spatial Data Missing ⚠",VLOOKUP(J213,'G-7 WaterC'' Data'!$AK$4:$AM$6,3,FALSE)))</f>
        <v/>
      </c>
      <c r="M213" s="115"/>
      <c r="N213" s="363" t="str">
        <f>IF(M213="","",IF(VLOOKUP(M213,'G-7 WaterC'' Data'!$AA$4:$AB$7,2,FALSE)=0,"Spatial Data Missing ⚠",VLOOKUP(M213,'G-7 WaterC'' Data'!$AA$4:$AB$7,2,FALSE)))</f>
        <v/>
      </c>
      <c r="O213" s="60"/>
      <c r="P213" s="363" t="str">
        <f>IF(O213="","",IF(VLOOKUP(O213,'G-7 WaterC'' Data'!$AD$4:$AE$14,2,FALSE)=0,"Spatial Data Missing ⚠",VLOOKUP(O213,'G-7 WaterC'' Data'!$AD$4:$AE$14,2,FALSE)))</f>
        <v/>
      </c>
      <c r="Q213" s="369" t="str">
        <f>IF(D213="","",VLOOKUP(D213,'G-7 WaterC'' Data'!$B$4:$G$8,6,FALSE))</f>
        <v/>
      </c>
      <c r="R213" s="376" t="str">
        <f>IFERROR(IF(D213="","",IF(AND(Q213='G-1 All Habitats'!$X$3,X213&gt;0),Y213+(Z213*T213),IF(AND(Q213='G-1 All Habitats'!$X$3,W213&gt;0),Y213+(Z213*T213),IF(AND(Q213='G-1 All Habitats'!$X$3,AH213&gt;0),"Any Loss Unacceptable ⚠",IF(AND(Q213='G-1 All Habitats'!$X$3,AI213&gt;0),"Any Loss Unacceptable ⚠", E213*G213*I213*L213*N213*P213*T213 ))))),"Check Data ▲")</f>
        <v/>
      </c>
      <c r="S213" s="516"/>
      <c r="T213" s="368" t="str">
        <f>IF(S213="","",IF(VLOOKUP(S213,'G-7 WaterC'' Data'!$AO$4:$BO$7,2,FALSE)=0,"Spatial Data Missing ⚠",VLOOKUP(S213,'G-7 WaterC'' Data'!$AO$4:$BO$7,2,FALSE)))</f>
        <v/>
      </c>
      <c r="U213" s="376" t="str">
        <f>IFERROR(IF(D213="","",IF(AND(Q213='G-1 All Habitats'!$X$3,X213&gt;0),Y213+Z213,IF(AND(Q213='G-1 All Habitats'!$X$3,W213&gt;0),Y213+Z213,IF(AND(Q213='G-1 All Habitats'!$X$3,AH213&gt;0),"Any Loss Unacceptable ⚠",IF(AND(Q213='G-1 All Habitats'!$X$3,AI213&gt;0),"Any Loss Unacceptable ⚠", E213*G213*I213*L213*N213*P213 ))))),"Check Data ▲")</f>
        <v/>
      </c>
      <c r="V213" s="32"/>
      <c r="W213" s="114"/>
      <c r="X213" s="125"/>
      <c r="Y213" s="374" t="str">
        <f t="shared" si="24"/>
        <v/>
      </c>
      <c r="Z213" s="374" t="str">
        <f t="shared" si="25"/>
        <v/>
      </c>
      <c r="AA213" s="374" t="str">
        <f t="shared" si="26"/>
        <v/>
      </c>
      <c r="AB213" s="670" t="str">
        <f t="shared" si="27"/>
        <v/>
      </c>
      <c r="AC213" s="516"/>
      <c r="AD213" s="119"/>
      <c r="AE213" s="120"/>
      <c r="AF213" s="120"/>
      <c r="AG213" s="120"/>
      <c r="AH213" s="57" t="str">
        <f>IF(Q213="","",IF(Q213='G-1 All Habitats'!$X$3,E213-X213-W213,"None"))</f>
        <v/>
      </c>
      <c r="AI213" s="58" t="str">
        <f>IF(Q213="","", IF(Q213='G-1 All Habitats'!$X$3, AH213*G213*I213*L213*N213*P213,"None"))</f>
        <v/>
      </c>
      <c r="AJ213" s="30" t="str">
        <f>IFERROR(INDEX('G-7 WaterC'' Data'!$AZ$3:$AZ$7,MATCH(D213,'G-7 WaterC'' Data'!$AY$3:$AY$7,0)),"")</f>
        <v/>
      </c>
      <c r="AK213" s="30">
        <f t="shared" si="28"/>
        <v>0</v>
      </c>
      <c r="AL213" s="124" t="str">
        <f t="shared" si="29"/>
        <v/>
      </c>
      <c r="AM213" s="124" t="str">
        <f t="shared" si="30"/>
        <v/>
      </c>
      <c r="AO213" s="124">
        <v>204</v>
      </c>
      <c r="AQ213" s="124" t="str">
        <f t="array" ref="AQ213">IFERROR(INDEX($AO$10:$AO$258, MATCH(0, IF(TRUE=$AL$10:$AL$258, COUNTIF($AQ$9:$AQ212, $AO$10:$AO$258), ""), 0)),"")</f>
        <v/>
      </c>
      <c r="AR213" s="124" t="str">
        <f t="array" ref="AR213">IFERROR(INDEX($AO$10:$AO$258, MATCH(0, IF(TRUE=$AM$10:$AM$258, COUNTIF($AR$9:$AR212, $AO$10:$AO$258), ""), 0)),"")</f>
        <v/>
      </c>
      <c r="AZ213" s="802" t="str">
        <f t="shared" si="31"/>
        <v/>
      </c>
    </row>
    <row r="214" spans="3:52" ht="15.75" thickBot="1">
      <c r="C214" s="110">
        <v>205</v>
      </c>
      <c r="D214" s="340"/>
      <c r="E214" s="121"/>
      <c r="F214" s="362" t="str">
        <f>IF(D214="","",VLOOKUP(D214,'G-7 WaterC'' Data'!$B$2:$G$8,2,FALSE))</f>
        <v/>
      </c>
      <c r="G214" s="363" t="str">
        <f>IFERROR(VLOOKUP(F214,'G-7 WaterC'' Data'!$C$4:$D$8,2,FALSE),"")</f>
        <v/>
      </c>
      <c r="H214" s="114"/>
      <c r="I214" s="363" t="str">
        <f>IFERROR(INDEX('G-7 WaterC'' Data'!$H$4:$L$8,MATCH(D214,'G-7 WaterC'' Data'!$B$4:$B$8,0),MATCH(H214,'G-7 WaterC'' Data'!$H$3:$L$3,0)),"")</f>
        <v/>
      </c>
      <c r="J214" s="115"/>
      <c r="K214" s="382" t="str">
        <f>IF(J214="","",IF(VLOOKUP(J214,'G-7 WaterC'' Data'!$AK$4:$AM$9,2,FALSE)=0,"Spatial Data Missing ⚠",VLOOKUP(J214,'G-7 WaterC'' Data'!$AK$4:$AM$6,2,FALSE)))</f>
        <v/>
      </c>
      <c r="L214" s="386" t="str">
        <f>IF(J214="","",IF(VLOOKUP(J214,'G-7 WaterC'' Data'!$AK$4:$AM$9,3,FALSE)=0,"Spatial Data Missing ⚠",VLOOKUP(J214,'G-7 WaterC'' Data'!$AK$4:$AM$6,3,FALSE)))</f>
        <v/>
      </c>
      <c r="M214" s="115"/>
      <c r="N214" s="363" t="str">
        <f>IF(M214="","",IF(VLOOKUP(M214,'G-7 WaterC'' Data'!$AA$4:$AB$7,2,FALSE)=0,"Spatial Data Missing ⚠",VLOOKUP(M214,'G-7 WaterC'' Data'!$AA$4:$AB$7,2,FALSE)))</f>
        <v/>
      </c>
      <c r="O214" s="60"/>
      <c r="P214" s="363" t="str">
        <f>IF(O214="","",IF(VLOOKUP(O214,'G-7 WaterC'' Data'!$AD$4:$AE$14,2,FALSE)=0,"Spatial Data Missing ⚠",VLOOKUP(O214,'G-7 WaterC'' Data'!$AD$4:$AE$14,2,FALSE)))</f>
        <v/>
      </c>
      <c r="Q214" s="369" t="str">
        <f>IF(D214="","",VLOOKUP(D214,'G-7 WaterC'' Data'!$B$4:$G$8,6,FALSE))</f>
        <v/>
      </c>
      <c r="R214" s="376" t="str">
        <f>IFERROR(IF(D214="","",IF(AND(Q214='G-1 All Habitats'!$X$3,X214&gt;0),Y214+(Z214*T214),IF(AND(Q214='G-1 All Habitats'!$X$3,W214&gt;0),Y214+(Z214*T214),IF(AND(Q214='G-1 All Habitats'!$X$3,AH214&gt;0),"Any Loss Unacceptable ⚠",IF(AND(Q214='G-1 All Habitats'!$X$3,AI214&gt;0),"Any Loss Unacceptable ⚠", E214*G214*I214*L214*N214*P214*T214 ))))),"Check Data ▲")</f>
        <v/>
      </c>
      <c r="S214" s="516"/>
      <c r="T214" s="368" t="str">
        <f>IF(S214="","",IF(VLOOKUP(S214,'G-7 WaterC'' Data'!$AO$4:$BO$7,2,FALSE)=0,"Spatial Data Missing ⚠",VLOOKUP(S214,'G-7 WaterC'' Data'!$AO$4:$BO$7,2,FALSE)))</f>
        <v/>
      </c>
      <c r="U214" s="376" t="str">
        <f>IFERROR(IF(D214="","",IF(AND(Q214='G-1 All Habitats'!$X$3,X214&gt;0),Y214+Z214,IF(AND(Q214='G-1 All Habitats'!$X$3,W214&gt;0),Y214+Z214,IF(AND(Q214='G-1 All Habitats'!$X$3,AH214&gt;0),"Any Loss Unacceptable ⚠",IF(AND(Q214='G-1 All Habitats'!$X$3,AI214&gt;0),"Any Loss Unacceptable ⚠", E214*G214*I214*L214*N214*P214 ))))),"Check Data ▲")</f>
        <v/>
      </c>
      <c r="V214" s="32"/>
      <c r="W214" s="114"/>
      <c r="X214" s="125"/>
      <c r="Y214" s="374" t="str">
        <f t="shared" si="24"/>
        <v/>
      </c>
      <c r="Z214" s="374" t="str">
        <f t="shared" si="25"/>
        <v/>
      </c>
      <c r="AA214" s="374" t="str">
        <f t="shared" si="26"/>
        <v/>
      </c>
      <c r="AB214" s="670" t="str">
        <f t="shared" si="27"/>
        <v/>
      </c>
      <c r="AC214" s="516"/>
      <c r="AD214" s="119"/>
      <c r="AE214" s="120"/>
      <c r="AF214" s="120"/>
      <c r="AG214" s="120"/>
      <c r="AH214" s="57" t="str">
        <f>IF(Q214="","",IF(Q214='G-1 All Habitats'!$X$3,E214-X214-W214,"None"))</f>
        <v/>
      </c>
      <c r="AI214" s="58" t="str">
        <f>IF(Q214="","", IF(Q214='G-1 All Habitats'!$X$3, AH214*G214*I214*L214*N214*P214,"None"))</f>
        <v/>
      </c>
      <c r="AJ214" s="30" t="str">
        <f>IFERROR(INDEX('G-7 WaterC'' Data'!$AZ$3:$AZ$7,MATCH(D214,'G-7 WaterC'' Data'!$AY$3:$AY$7,0)),"")</f>
        <v/>
      </c>
      <c r="AK214" s="30">
        <f t="shared" si="28"/>
        <v>0</v>
      </c>
      <c r="AL214" s="124" t="str">
        <f t="shared" si="29"/>
        <v/>
      </c>
      <c r="AM214" s="124" t="str">
        <f t="shared" si="30"/>
        <v/>
      </c>
      <c r="AO214" s="124">
        <v>205</v>
      </c>
      <c r="AQ214" s="124" t="str">
        <f t="array" ref="AQ214">IFERROR(INDEX($AO$10:$AO$258, MATCH(0, IF(TRUE=$AL$10:$AL$258, COUNTIF($AQ$9:$AQ213, $AO$10:$AO$258), ""), 0)),"")</f>
        <v/>
      </c>
      <c r="AR214" s="124" t="str">
        <f t="array" ref="AR214">IFERROR(INDEX($AO$10:$AO$258, MATCH(0, IF(TRUE=$AM$10:$AM$258, COUNTIF($AR$9:$AR213, $AO$10:$AO$258), ""), 0)),"")</f>
        <v/>
      </c>
      <c r="AZ214" s="802" t="str">
        <f t="shared" si="31"/>
        <v/>
      </c>
    </row>
    <row r="215" spans="3:52" ht="15.75" thickBot="1">
      <c r="C215" s="110">
        <v>206</v>
      </c>
      <c r="D215" s="340"/>
      <c r="E215" s="121"/>
      <c r="F215" s="362" t="str">
        <f>IF(D215="","",VLOOKUP(D215,'G-7 WaterC'' Data'!$B$2:$G$8,2,FALSE))</f>
        <v/>
      </c>
      <c r="G215" s="363" t="str">
        <f>IFERROR(VLOOKUP(F215,'G-7 WaterC'' Data'!$C$4:$D$8,2,FALSE),"")</f>
        <v/>
      </c>
      <c r="H215" s="114"/>
      <c r="I215" s="363" t="str">
        <f>IFERROR(INDEX('G-7 WaterC'' Data'!$H$4:$L$8,MATCH(D215,'G-7 WaterC'' Data'!$B$4:$B$8,0),MATCH(H215,'G-7 WaterC'' Data'!$H$3:$L$3,0)),"")</f>
        <v/>
      </c>
      <c r="J215" s="115"/>
      <c r="K215" s="382" t="str">
        <f>IF(J215="","",IF(VLOOKUP(J215,'G-7 WaterC'' Data'!$AK$4:$AM$9,2,FALSE)=0,"Spatial Data Missing ⚠",VLOOKUP(J215,'G-7 WaterC'' Data'!$AK$4:$AM$6,2,FALSE)))</f>
        <v/>
      </c>
      <c r="L215" s="386" t="str">
        <f>IF(J215="","",IF(VLOOKUP(J215,'G-7 WaterC'' Data'!$AK$4:$AM$9,3,FALSE)=0,"Spatial Data Missing ⚠",VLOOKUP(J215,'G-7 WaterC'' Data'!$AK$4:$AM$6,3,FALSE)))</f>
        <v/>
      </c>
      <c r="M215" s="115"/>
      <c r="N215" s="363" t="str">
        <f>IF(M215="","",IF(VLOOKUP(M215,'G-7 WaterC'' Data'!$AA$4:$AB$7,2,FALSE)=0,"Spatial Data Missing ⚠",VLOOKUP(M215,'G-7 WaterC'' Data'!$AA$4:$AB$7,2,FALSE)))</f>
        <v/>
      </c>
      <c r="O215" s="60"/>
      <c r="P215" s="363" t="str">
        <f>IF(O215="","",IF(VLOOKUP(O215,'G-7 WaterC'' Data'!$AD$4:$AE$14,2,FALSE)=0,"Spatial Data Missing ⚠",VLOOKUP(O215,'G-7 WaterC'' Data'!$AD$4:$AE$14,2,FALSE)))</f>
        <v/>
      </c>
      <c r="Q215" s="369" t="str">
        <f>IF(D215="","",VLOOKUP(D215,'G-7 WaterC'' Data'!$B$4:$G$8,6,FALSE))</f>
        <v/>
      </c>
      <c r="R215" s="376" t="str">
        <f>IFERROR(IF(D215="","",IF(AND(Q215='G-1 All Habitats'!$X$3,X215&gt;0),Y215+(Z215*T215),IF(AND(Q215='G-1 All Habitats'!$X$3,W215&gt;0),Y215+(Z215*T215),IF(AND(Q215='G-1 All Habitats'!$X$3,AH215&gt;0),"Any Loss Unacceptable ⚠",IF(AND(Q215='G-1 All Habitats'!$X$3,AI215&gt;0),"Any Loss Unacceptable ⚠", E215*G215*I215*L215*N215*P215*T215 ))))),"Check Data ▲")</f>
        <v/>
      </c>
      <c r="S215" s="516"/>
      <c r="T215" s="368" t="str">
        <f>IF(S215="","",IF(VLOOKUP(S215,'G-7 WaterC'' Data'!$AO$4:$BO$7,2,FALSE)=0,"Spatial Data Missing ⚠",VLOOKUP(S215,'G-7 WaterC'' Data'!$AO$4:$BO$7,2,FALSE)))</f>
        <v/>
      </c>
      <c r="U215" s="376" t="str">
        <f>IFERROR(IF(D215="","",IF(AND(Q215='G-1 All Habitats'!$X$3,X215&gt;0),Y215+Z215,IF(AND(Q215='G-1 All Habitats'!$X$3,W215&gt;0),Y215+Z215,IF(AND(Q215='G-1 All Habitats'!$X$3,AH215&gt;0),"Any Loss Unacceptable ⚠",IF(AND(Q215='G-1 All Habitats'!$X$3,AI215&gt;0),"Any Loss Unacceptable ⚠", E215*G215*I215*L215*N215*P215 ))))),"Check Data ▲")</f>
        <v/>
      </c>
      <c r="V215" s="32"/>
      <c r="W215" s="114"/>
      <c r="X215" s="125"/>
      <c r="Y215" s="374" t="str">
        <f t="shared" si="24"/>
        <v/>
      </c>
      <c r="Z215" s="374" t="str">
        <f t="shared" si="25"/>
        <v/>
      </c>
      <c r="AA215" s="374" t="str">
        <f t="shared" si="26"/>
        <v/>
      </c>
      <c r="AB215" s="670" t="str">
        <f t="shared" si="27"/>
        <v/>
      </c>
      <c r="AC215" s="516"/>
      <c r="AD215" s="119"/>
      <c r="AE215" s="120"/>
      <c r="AF215" s="120"/>
      <c r="AG215" s="120"/>
      <c r="AH215" s="57" t="str">
        <f>IF(Q215="","",IF(Q215='G-1 All Habitats'!$X$3,E215-X215-W215,"None"))</f>
        <v/>
      </c>
      <c r="AI215" s="58" t="str">
        <f>IF(Q215="","", IF(Q215='G-1 All Habitats'!$X$3, AH215*G215*I215*L215*N215*P215,"None"))</f>
        <v/>
      </c>
      <c r="AJ215" s="30" t="str">
        <f>IFERROR(INDEX('G-7 WaterC'' Data'!$AZ$3:$AZ$7,MATCH(D215,'G-7 WaterC'' Data'!$AY$3:$AY$7,0)),"")</f>
        <v/>
      </c>
      <c r="AK215" s="30">
        <f t="shared" si="28"/>
        <v>0</v>
      </c>
      <c r="AL215" s="124" t="str">
        <f t="shared" si="29"/>
        <v/>
      </c>
      <c r="AM215" s="124" t="str">
        <f t="shared" si="30"/>
        <v/>
      </c>
      <c r="AO215" s="124">
        <v>206</v>
      </c>
      <c r="AQ215" s="124" t="str">
        <f t="array" ref="AQ215">IFERROR(INDEX($AO$10:$AO$258, MATCH(0, IF(TRUE=$AL$10:$AL$258, COUNTIF($AQ$9:$AQ214, $AO$10:$AO$258), ""), 0)),"")</f>
        <v/>
      </c>
      <c r="AR215" s="124" t="str">
        <f t="array" ref="AR215">IFERROR(INDEX($AO$10:$AO$258, MATCH(0, IF(TRUE=$AM$10:$AM$258, COUNTIF($AR$9:$AR214, $AO$10:$AO$258), ""), 0)),"")</f>
        <v/>
      </c>
      <c r="AZ215" s="802" t="str">
        <f t="shared" si="31"/>
        <v/>
      </c>
    </row>
    <row r="216" spans="3:52" ht="15.75" thickBot="1">
      <c r="C216" s="110">
        <v>207</v>
      </c>
      <c r="D216" s="340"/>
      <c r="E216" s="121"/>
      <c r="F216" s="362" t="str">
        <f>IF(D216="","",VLOOKUP(D216,'G-7 WaterC'' Data'!$B$2:$G$8,2,FALSE))</f>
        <v/>
      </c>
      <c r="G216" s="363" t="str">
        <f>IFERROR(VLOOKUP(F216,'G-7 WaterC'' Data'!$C$4:$D$8,2,FALSE),"")</f>
        <v/>
      </c>
      <c r="H216" s="114"/>
      <c r="I216" s="363" t="str">
        <f>IFERROR(INDEX('G-7 WaterC'' Data'!$H$4:$L$8,MATCH(D216,'G-7 WaterC'' Data'!$B$4:$B$8,0),MATCH(H216,'G-7 WaterC'' Data'!$H$3:$L$3,0)),"")</f>
        <v/>
      </c>
      <c r="J216" s="115"/>
      <c r="K216" s="382" t="str">
        <f>IF(J216="","",IF(VLOOKUP(J216,'G-7 WaterC'' Data'!$AK$4:$AM$9,2,FALSE)=0,"Spatial Data Missing ⚠",VLOOKUP(J216,'G-7 WaterC'' Data'!$AK$4:$AM$6,2,FALSE)))</f>
        <v/>
      </c>
      <c r="L216" s="386" t="str">
        <f>IF(J216="","",IF(VLOOKUP(J216,'G-7 WaterC'' Data'!$AK$4:$AM$9,3,FALSE)=0,"Spatial Data Missing ⚠",VLOOKUP(J216,'G-7 WaterC'' Data'!$AK$4:$AM$6,3,FALSE)))</f>
        <v/>
      </c>
      <c r="M216" s="115"/>
      <c r="N216" s="363" t="str">
        <f>IF(M216="","",IF(VLOOKUP(M216,'G-7 WaterC'' Data'!$AA$4:$AB$7,2,FALSE)=0,"Spatial Data Missing ⚠",VLOOKUP(M216,'G-7 WaterC'' Data'!$AA$4:$AB$7,2,FALSE)))</f>
        <v/>
      </c>
      <c r="O216" s="60"/>
      <c r="P216" s="363" t="str">
        <f>IF(O216="","",IF(VLOOKUP(O216,'G-7 WaterC'' Data'!$AD$4:$AE$14,2,FALSE)=0,"Spatial Data Missing ⚠",VLOOKUP(O216,'G-7 WaterC'' Data'!$AD$4:$AE$14,2,FALSE)))</f>
        <v/>
      </c>
      <c r="Q216" s="369" t="str">
        <f>IF(D216="","",VLOOKUP(D216,'G-7 WaterC'' Data'!$B$4:$G$8,6,FALSE))</f>
        <v/>
      </c>
      <c r="R216" s="376" t="str">
        <f>IFERROR(IF(D216="","",IF(AND(Q216='G-1 All Habitats'!$X$3,X216&gt;0),Y216+(Z216*T216),IF(AND(Q216='G-1 All Habitats'!$X$3,W216&gt;0),Y216+(Z216*T216),IF(AND(Q216='G-1 All Habitats'!$X$3,AH216&gt;0),"Any Loss Unacceptable ⚠",IF(AND(Q216='G-1 All Habitats'!$X$3,AI216&gt;0),"Any Loss Unacceptable ⚠", E216*G216*I216*L216*N216*P216*T216 ))))),"Check Data ▲")</f>
        <v/>
      </c>
      <c r="S216" s="516"/>
      <c r="T216" s="368" t="str">
        <f>IF(S216="","",IF(VLOOKUP(S216,'G-7 WaterC'' Data'!$AO$4:$BO$7,2,FALSE)=0,"Spatial Data Missing ⚠",VLOOKUP(S216,'G-7 WaterC'' Data'!$AO$4:$BO$7,2,FALSE)))</f>
        <v/>
      </c>
      <c r="U216" s="376" t="str">
        <f>IFERROR(IF(D216="","",IF(AND(Q216='G-1 All Habitats'!$X$3,X216&gt;0),Y216+Z216,IF(AND(Q216='G-1 All Habitats'!$X$3,W216&gt;0),Y216+Z216,IF(AND(Q216='G-1 All Habitats'!$X$3,AH216&gt;0),"Any Loss Unacceptable ⚠",IF(AND(Q216='G-1 All Habitats'!$X$3,AI216&gt;0),"Any Loss Unacceptable ⚠", E216*G216*I216*L216*N216*P216 ))))),"Check Data ▲")</f>
        <v/>
      </c>
      <c r="V216" s="32"/>
      <c r="W216" s="114"/>
      <c r="X216" s="125"/>
      <c r="Y216" s="374" t="str">
        <f t="shared" si="24"/>
        <v/>
      </c>
      <c r="Z216" s="374" t="str">
        <f t="shared" si="25"/>
        <v/>
      </c>
      <c r="AA216" s="374" t="str">
        <f t="shared" si="26"/>
        <v/>
      </c>
      <c r="AB216" s="670" t="str">
        <f t="shared" si="27"/>
        <v/>
      </c>
      <c r="AC216" s="516"/>
      <c r="AD216" s="119"/>
      <c r="AE216" s="120"/>
      <c r="AF216" s="120"/>
      <c r="AG216" s="120"/>
      <c r="AH216" s="57" t="str">
        <f>IF(Q216="","",IF(Q216='G-1 All Habitats'!$X$3,E216-X216-W216,"None"))</f>
        <v/>
      </c>
      <c r="AI216" s="58" t="str">
        <f>IF(Q216="","", IF(Q216='G-1 All Habitats'!$X$3, AH216*G216*I216*L216*N216*P216,"None"))</f>
        <v/>
      </c>
      <c r="AJ216" s="30" t="str">
        <f>IFERROR(INDEX('G-7 WaterC'' Data'!$AZ$3:$AZ$7,MATCH(D216,'G-7 WaterC'' Data'!$AY$3:$AY$7,0)),"")</f>
        <v/>
      </c>
      <c r="AK216" s="30">
        <f t="shared" si="28"/>
        <v>0</v>
      </c>
      <c r="AL216" s="124" t="str">
        <f t="shared" si="29"/>
        <v/>
      </c>
      <c r="AM216" s="124" t="str">
        <f t="shared" si="30"/>
        <v/>
      </c>
      <c r="AO216" s="124">
        <v>207</v>
      </c>
      <c r="AQ216" s="124" t="str">
        <f t="array" ref="AQ216">IFERROR(INDEX($AO$10:$AO$258, MATCH(0, IF(TRUE=$AL$10:$AL$258, COUNTIF($AQ$9:$AQ215, $AO$10:$AO$258), ""), 0)),"")</f>
        <v/>
      </c>
      <c r="AR216" s="124" t="str">
        <f t="array" ref="AR216">IFERROR(INDEX($AO$10:$AO$258, MATCH(0, IF(TRUE=$AM$10:$AM$258, COUNTIF($AR$9:$AR215, $AO$10:$AO$258), ""), 0)),"")</f>
        <v/>
      </c>
      <c r="AZ216" s="802" t="str">
        <f t="shared" si="31"/>
        <v/>
      </c>
    </row>
    <row r="217" spans="3:52" ht="15.75" thickBot="1">
      <c r="C217" s="110">
        <v>208</v>
      </c>
      <c r="D217" s="340"/>
      <c r="E217" s="121"/>
      <c r="F217" s="362" t="str">
        <f>IF(D217="","",VLOOKUP(D217,'G-7 WaterC'' Data'!$B$2:$G$8,2,FALSE))</f>
        <v/>
      </c>
      <c r="G217" s="363" t="str">
        <f>IFERROR(VLOOKUP(F217,'G-7 WaterC'' Data'!$C$4:$D$8,2,FALSE),"")</f>
        <v/>
      </c>
      <c r="H217" s="114"/>
      <c r="I217" s="363" t="str">
        <f>IFERROR(INDEX('G-7 WaterC'' Data'!$H$4:$L$8,MATCH(D217,'G-7 WaterC'' Data'!$B$4:$B$8,0),MATCH(H217,'G-7 WaterC'' Data'!$H$3:$L$3,0)),"")</f>
        <v/>
      </c>
      <c r="J217" s="115"/>
      <c r="K217" s="382" t="str">
        <f>IF(J217="","",IF(VLOOKUP(J217,'G-7 WaterC'' Data'!$AK$4:$AM$9,2,FALSE)=0,"Spatial Data Missing ⚠",VLOOKUP(J217,'G-7 WaterC'' Data'!$AK$4:$AM$6,2,FALSE)))</f>
        <v/>
      </c>
      <c r="L217" s="386" t="str">
        <f>IF(J217="","",IF(VLOOKUP(J217,'G-7 WaterC'' Data'!$AK$4:$AM$9,3,FALSE)=0,"Spatial Data Missing ⚠",VLOOKUP(J217,'G-7 WaterC'' Data'!$AK$4:$AM$6,3,FALSE)))</f>
        <v/>
      </c>
      <c r="M217" s="115"/>
      <c r="N217" s="363" t="str">
        <f>IF(M217="","",IF(VLOOKUP(M217,'G-7 WaterC'' Data'!$AA$4:$AB$7,2,FALSE)=0,"Spatial Data Missing ⚠",VLOOKUP(M217,'G-7 WaterC'' Data'!$AA$4:$AB$7,2,FALSE)))</f>
        <v/>
      </c>
      <c r="O217" s="60"/>
      <c r="P217" s="363" t="str">
        <f>IF(O217="","",IF(VLOOKUP(O217,'G-7 WaterC'' Data'!$AD$4:$AE$14,2,FALSE)=0,"Spatial Data Missing ⚠",VLOOKUP(O217,'G-7 WaterC'' Data'!$AD$4:$AE$14,2,FALSE)))</f>
        <v/>
      </c>
      <c r="Q217" s="369" t="str">
        <f>IF(D217="","",VLOOKUP(D217,'G-7 WaterC'' Data'!$B$4:$G$8,6,FALSE))</f>
        <v/>
      </c>
      <c r="R217" s="376" t="str">
        <f>IFERROR(IF(D217="","",IF(AND(Q217='G-1 All Habitats'!$X$3,X217&gt;0),Y217+(Z217*T217),IF(AND(Q217='G-1 All Habitats'!$X$3,W217&gt;0),Y217+(Z217*T217),IF(AND(Q217='G-1 All Habitats'!$X$3,AH217&gt;0),"Any Loss Unacceptable ⚠",IF(AND(Q217='G-1 All Habitats'!$X$3,AI217&gt;0),"Any Loss Unacceptable ⚠", E217*G217*I217*L217*N217*P217*T217 ))))),"Check Data ▲")</f>
        <v/>
      </c>
      <c r="S217" s="516"/>
      <c r="T217" s="368" t="str">
        <f>IF(S217="","",IF(VLOOKUP(S217,'G-7 WaterC'' Data'!$AO$4:$BO$7,2,FALSE)=0,"Spatial Data Missing ⚠",VLOOKUP(S217,'G-7 WaterC'' Data'!$AO$4:$BO$7,2,FALSE)))</f>
        <v/>
      </c>
      <c r="U217" s="376" t="str">
        <f>IFERROR(IF(D217="","",IF(AND(Q217='G-1 All Habitats'!$X$3,X217&gt;0),Y217+Z217,IF(AND(Q217='G-1 All Habitats'!$X$3,W217&gt;0),Y217+Z217,IF(AND(Q217='G-1 All Habitats'!$X$3,AH217&gt;0),"Any Loss Unacceptable ⚠",IF(AND(Q217='G-1 All Habitats'!$X$3,AI217&gt;0),"Any Loss Unacceptable ⚠", E217*G217*I217*L217*N217*P217 ))))),"Check Data ▲")</f>
        <v/>
      </c>
      <c r="V217" s="32"/>
      <c r="W217" s="114"/>
      <c r="X217" s="125"/>
      <c r="Y217" s="374" t="str">
        <f t="shared" si="24"/>
        <v/>
      </c>
      <c r="Z217" s="374" t="str">
        <f t="shared" si="25"/>
        <v/>
      </c>
      <c r="AA217" s="374" t="str">
        <f t="shared" si="26"/>
        <v/>
      </c>
      <c r="AB217" s="670" t="str">
        <f t="shared" si="27"/>
        <v/>
      </c>
      <c r="AC217" s="516"/>
      <c r="AD217" s="119"/>
      <c r="AE217" s="120"/>
      <c r="AF217" s="120"/>
      <c r="AG217" s="120"/>
      <c r="AH217" s="57" t="str">
        <f>IF(Q217="","",IF(Q217='G-1 All Habitats'!$X$3,E217-X217-W217,"None"))</f>
        <v/>
      </c>
      <c r="AI217" s="58" t="str">
        <f>IF(Q217="","", IF(Q217='G-1 All Habitats'!$X$3, AH217*G217*I217*L217*N217*P217,"None"))</f>
        <v/>
      </c>
      <c r="AJ217" s="30" t="str">
        <f>IFERROR(INDEX('G-7 WaterC'' Data'!$AZ$3:$AZ$7,MATCH(D217,'G-7 WaterC'' Data'!$AY$3:$AY$7,0)),"")</f>
        <v/>
      </c>
      <c r="AK217" s="30">
        <f t="shared" si="28"/>
        <v>0</v>
      </c>
      <c r="AL217" s="124" t="str">
        <f t="shared" si="29"/>
        <v/>
      </c>
      <c r="AM217" s="124" t="str">
        <f t="shared" si="30"/>
        <v/>
      </c>
      <c r="AO217" s="124">
        <v>208</v>
      </c>
      <c r="AQ217" s="124" t="str">
        <f t="array" ref="AQ217">IFERROR(INDEX($AO$10:$AO$258, MATCH(0, IF(TRUE=$AL$10:$AL$258, COUNTIF($AQ$9:$AQ216, $AO$10:$AO$258), ""), 0)),"")</f>
        <v/>
      </c>
      <c r="AR217" s="124" t="str">
        <f t="array" ref="AR217">IFERROR(INDEX($AO$10:$AO$258, MATCH(0, IF(TRUE=$AM$10:$AM$258, COUNTIF($AR$9:$AR216, $AO$10:$AO$258), ""), 0)),"")</f>
        <v/>
      </c>
      <c r="AZ217" s="802" t="str">
        <f t="shared" si="31"/>
        <v/>
      </c>
    </row>
    <row r="218" spans="3:52" ht="15.75" thickBot="1">
      <c r="C218" s="110">
        <v>209</v>
      </c>
      <c r="D218" s="340"/>
      <c r="E218" s="121"/>
      <c r="F218" s="362" t="str">
        <f>IF(D218="","",VLOOKUP(D218,'G-7 WaterC'' Data'!$B$2:$G$8,2,FALSE))</f>
        <v/>
      </c>
      <c r="G218" s="363" t="str">
        <f>IFERROR(VLOOKUP(F218,'G-7 WaterC'' Data'!$C$4:$D$8,2,FALSE),"")</f>
        <v/>
      </c>
      <c r="H218" s="114"/>
      <c r="I218" s="363" t="str">
        <f>IFERROR(INDEX('G-7 WaterC'' Data'!$H$4:$L$8,MATCH(D218,'G-7 WaterC'' Data'!$B$4:$B$8,0),MATCH(H218,'G-7 WaterC'' Data'!$H$3:$L$3,0)),"")</f>
        <v/>
      </c>
      <c r="J218" s="115"/>
      <c r="K218" s="382" t="str">
        <f>IF(J218="","",IF(VLOOKUP(J218,'G-7 WaterC'' Data'!$AK$4:$AM$9,2,FALSE)=0,"Spatial Data Missing ⚠",VLOOKUP(J218,'G-7 WaterC'' Data'!$AK$4:$AM$6,2,FALSE)))</f>
        <v/>
      </c>
      <c r="L218" s="386" t="str">
        <f>IF(J218="","",IF(VLOOKUP(J218,'G-7 WaterC'' Data'!$AK$4:$AM$9,3,FALSE)=0,"Spatial Data Missing ⚠",VLOOKUP(J218,'G-7 WaterC'' Data'!$AK$4:$AM$6,3,FALSE)))</f>
        <v/>
      </c>
      <c r="M218" s="115"/>
      <c r="N218" s="363" t="str">
        <f>IF(M218="","",IF(VLOOKUP(M218,'G-7 WaterC'' Data'!$AA$4:$AB$7,2,FALSE)=0,"Spatial Data Missing ⚠",VLOOKUP(M218,'G-7 WaterC'' Data'!$AA$4:$AB$7,2,FALSE)))</f>
        <v/>
      </c>
      <c r="O218" s="60"/>
      <c r="P218" s="363" t="str">
        <f>IF(O218="","",IF(VLOOKUP(O218,'G-7 WaterC'' Data'!$AD$4:$AE$14,2,FALSE)=0,"Spatial Data Missing ⚠",VLOOKUP(O218,'G-7 WaterC'' Data'!$AD$4:$AE$14,2,FALSE)))</f>
        <v/>
      </c>
      <c r="Q218" s="369" t="str">
        <f>IF(D218="","",VLOOKUP(D218,'G-7 WaterC'' Data'!$B$4:$G$8,6,FALSE))</f>
        <v/>
      </c>
      <c r="R218" s="376" t="str">
        <f>IFERROR(IF(D218="","",IF(AND(Q218='G-1 All Habitats'!$X$3,X218&gt;0),Y218+(Z218*T218),IF(AND(Q218='G-1 All Habitats'!$X$3,W218&gt;0),Y218+(Z218*T218),IF(AND(Q218='G-1 All Habitats'!$X$3,AH218&gt;0),"Any Loss Unacceptable ⚠",IF(AND(Q218='G-1 All Habitats'!$X$3,AI218&gt;0),"Any Loss Unacceptable ⚠", E218*G218*I218*L218*N218*P218*T218 ))))),"Check Data ▲")</f>
        <v/>
      </c>
      <c r="S218" s="516"/>
      <c r="T218" s="368" t="str">
        <f>IF(S218="","",IF(VLOOKUP(S218,'G-7 WaterC'' Data'!$AO$4:$BO$7,2,FALSE)=0,"Spatial Data Missing ⚠",VLOOKUP(S218,'G-7 WaterC'' Data'!$AO$4:$BO$7,2,FALSE)))</f>
        <v/>
      </c>
      <c r="U218" s="376" t="str">
        <f>IFERROR(IF(D218="","",IF(AND(Q218='G-1 All Habitats'!$X$3,X218&gt;0),Y218+Z218,IF(AND(Q218='G-1 All Habitats'!$X$3,W218&gt;0),Y218+Z218,IF(AND(Q218='G-1 All Habitats'!$X$3,AH218&gt;0),"Any Loss Unacceptable ⚠",IF(AND(Q218='G-1 All Habitats'!$X$3,AI218&gt;0),"Any Loss Unacceptable ⚠", E218*G218*I218*L218*N218*P218 ))))),"Check Data ▲")</f>
        <v/>
      </c>
      <c r="V218" s="32"/>
      <c r="W218" s="114"/>
      <c r="X218" s="125"/>
      <c r="Y218" s="374" t="str">
        <f t="shared" si="24"/>
        <v/>
      </c>
      <c r="Z218" s="374" t="str">
        <f t="shared" si="25"/>
        <v/>
      </c>
      <c r="AA218" s="374" t="str">
        <f t="shared" si="26"/>
        <v/>
      </c>
      <c r="AB218" s="670" t="str">
        <f t="shared" si="27"/>
        <v/>
      </c>
      <c r="AC218" s="516"/>
      <c r="AD218" s="119"/>
      <c r="AE218" s="120"/>
      <c r="AF218" s="120"/>
      <c r="AG218" s="120"/>
      <c r="AH218" s="57" t="str">
        <f>IF(Q218="","",IF(Q218='G-1 All Habitats'!$X$3,E218-X218-W218,"None"))</f>
        <v/>
      </c>
      <c r="AI218" s="58" t="str">
        <f>IF(Q218="","", IF(Q218='G-1 All Habitats'!$X$3, AH218*G218*I218*L218*N218*P218,"None"))</f>
        <v/>
      </c>
      <c r="AJ218" s="30" t="str">
        <f>IFERROR(INDEX('G-7 WaterC'' Data'!$AZ$3:$AZ$7,MATCH(D218,'G-7 WaterC'' Data'!$AY$3:$AY$7,0)),"")</f>
        <v/>
      </c>
      <c r="AK218" s="30">
        <f t="shared" si="28"/>
        <v>0</v>
      </c>
      <c r="AL218" s="124" t="str">
        <f t="shared" si="29"/>
        <v/>
      </c>
      <c r="AM218" s="124" t="str">
        <f t="shared" si="30"/>
        <v/>
      </c>
      <c r="AO218" s="124">
        <v>209</v>
      </c>
      <c r="AQ218" s="124" t="str">
        <f t="array" ref="AQ218">IFERROR(INDEX($AO$10:$AO$258, MATCH(0, IF(TRUE=$AL$10:$AL$258, COUNTIF($AQ$9:$AQ217, $AO$10:$AO$258), ""), 0)),"")</f>
        <v/>
      </c>
      <c r="AR218" s="124" t="str">
        <f t="array" ref="AR218">IFERROR(INDEX($AO$10:$AO$258, MATCH(0, IF(TRUE=$AM$10:$AM$258, COUNTIF($AR$9:$AR217, $AO$10:$AO$258), ""), 0)),"")</f>
        <v/>
      </c>
      <c r="AZ218" s="802" t="str">
        <f t="shared" si="31"/>
        <v/>
      </c>
    </row>
    <row r="219" spans="3:52" ht="15.75" thickBot="1">
      <c r="C219" s="110">
        <v>210</v>
      </c>
      <c r="D219" s="340"/>
      <c r="E219" s="121"/>
      <c r="F219" s="362" t="str">
        <f>IF(D219="","",VLOOKUP(D219,'G-7 WaterC'' Data'!$B$2:$G$8,2,FALSE))</f>
        <v/>
      </c>
      <c r="G219" s="363" t="str">
        <f>IFERROR(VLOOKUP(F219,'G-7 WaterC'' Data'!$C$4:$D$8,2,FALSE),"")</f>
        <v/>
      </c>
      <c r="H219" s="114"/>
      <c r="I219" s="363" t="str">
        <f>IFERROR(INDEX('G-7 WaterC'' Data'!$H$4:$L$8,MATCH(D219,'G-7 WaterC'' Data'!$B$4:$B$8,0),MATCH(H219,'G-7 WaterC'' Data'!$H$3:$L$3,0)),"")</f>
        <v/>
      </c>
      <c r="J219" s="115"/>
      <c r="K219" s="382" t="str">
        <f>IF(J219="","",IF(VLOOKUP(J219,'G-7 WaterC'' Data'!$AK$4:$AM$9,2,FALSE)=0,"Spatial Data Missing ⚠",VLOOKUP(J219,'G-7 WaterC'' Data'!$AK$4:$AM$6,2,FALSE)))</f>
        <v/>
      </c>
      <c r="L219" s="386" t="str">
        <f>IF(J219="","",IF(VLOOKUP(J219,'G-7 WaterC'' Data'!$AK$4:$AM$9,3,FALSE)=0,"Spatial Data Missing ⚠",VLOOKUP(J219,'G-7 WaterC'' Data'!$AK$4:$AM$6,3,FALSE)))</f>
        <v/>
      </c>
      <c r="M219" s="115"/>
      <c r="N219" s="363" t="str">
        <f>IF(M219="","",IF(VLOOKUP(M219,'G-7 WaterC'' Data'!$AA$4:$AB$7,2,FALSE)=0,"Spatial Data Missing ⚠",VLOOKUP(M219,'G-7 WaterC'' Data'!$AA$4:$AB$7,2,FALSE)))</f>
        <v/>
      </c>
      <c r="O219" s="60"/>
      <c r="P219" s="363" t="str">
        <f>IF(O219="","",IF(VLOOKUP(O219,'G-7 WaterC'' Data'!$AD$4:$AE$14,2,FALSE)=0,"Spatial Data Missing ⚠",VLOOKUP(O219,'G-7 WaterC'' Data'!$AD$4:$AE$14,2,FALSE)))</f>
        <v/>
      </c>
      <c r="Q219" s="369" t="str">
        <f>IF(D219="","",VLOOKUP(D219,'G-7 WaterC'' Data'!$B$4:$G$8,6,FALSE))</f>
        <v/>
      </c>
      <c r="R219" s="376" t="str">
        <f>IFERROR(IF(D219="","",IF(AND(Q219='G-1 All Habitats'!$X$3,X219&gt;0),Y219+(Z219*T219),IF(AND(Q219='G-1 All Habitats'!$X$3,W219&gt;0),Y219+(Z219*T219),IF(AND(Q219='G-1 All Habitats'!$X$3,AH219&gt;0),"Any Loss Unacceptable ⚠",IF(AND(Q219='G-1 All Habitats'!$X$3,AI219&gt;0),"Any Loss Unacceptable ⚠", E219*G219*I219*L219*N219*P219*T219 ))))),"Check Data ▲")</f>
        <v/>
      </c>
      <c r="S219" s="516"/>
      <c r="T219" s="368" t="str">
        <f>IF(S219="","",IF(VLOOKUP(S219,'G-7 WaterC'' Data'!$AO$4:$BO$7,2,FALSE)=0,"Spatial Data Missing ⚠",VLOOKUP(S219,'G-7 WaterC'' Data'!$AO$4:$BO$7,2,FALSE)))</f>
        <v/>
      </c>
      <c r="U219" s="376" t="str">
        <f>IFERROR(IF(D219="","",IF(AND(Q219='G-1 All Habitats'!$X$3,X219&gt;0),Y219+Z219,IF(AND(Q219='G-1 All Habitats'!$X$3,W219&gt;0),Y219+Z219,IF(AND(Q219='G-1 All Habitats'!$X$3,AH219&gt;0),"Any Loss Unacceptable ⚠",IF(AND(Q219='G-1 All Habitats'!$X$3,AI219&gt;0),"Any Loss Unacceptable ⚠", E219*G219*I219*L219*N219*P219 ))))),"Check Data ▲")</f>
        <v/>
      </c>
      <c r="V219" s="32"/>
      <c r="W219" s="114"/>
      <c r="X219" s="125"/>
      <c r="Y219" s="374" t="str">
        <f t="shared" si="24"/>
        <v/>
      </c>
      <c r="Z219" s="374" t="str">
        <f t="shared" si="25"/>
        <v/>
      </c>
      <c r="AA219" s="374" t="str">
        <f t="shared" si="26"/>
        <v/>
      </c>
      <c r="AB219" s="670" t="str">
        <f t="shared" si="27"/>
        <v/>
      </c>
      <c r="AC219" s="516"/>
      <c r="AD219" s="119"/>
      <c r="AE219" s="120"/>
      <c r="AF219" s="120"/>
      <c r="AG219" s="120"/>
      <c r="AH219" s="57" t="str">
        <f>IF(Q219="","",IF(Q219='G-1 All Habitats'!$X$3,E219-X219-W219,"None"))</f>
        <v/>
      </c>
      <c r="AI219" s="58" t="str">
        <f>IF(Q219="","", IF(Q219='G-1 All Habitats'!$X$3, AH219*G219*I219*L219*N219*P219,"None"))</f>
        <v/>
      </c>
      <c r="AJ219" s="30" t="str">
        <f>IFERROR(INDEX('G-7 WaterC'' Data'!$AZ$3:$AZ$7,MATCH(D219,'G-7 WaterC'' Data'!$AY$3:$AY$7,0)),"")</f>
        <v/>
      </c>
      <c r="AK219" s="30">
        <f t="shared" si="28"/>
        <v>0</v>
      </c>
      <c r="AL219" s="124" t="str">
        <f t="shared" si="29"/>
        <v/>
      </c>
      <c r="AM219" s="124" t="str">
        <f t="shared" si="30"/>
        <v/>
      </c>
      <c r="AO219" s="124">
        <v>210</v>
      </c>
      <c r="AQ219" s="124" t="str">
        <f t="array" ref="AQ219">IFERROR(INDEX($AO$10:$AO$258, MATCH(0, IF(TRUE=$AL$10:$AL$258, COUNTIF($AQ$9:$AQ218, $AO$10:$AO$258), ""), 0)),"")</f>
        <v/>
      </c>
      <c r="AR219" s="124" t="str">
        <f t="array" ref="AR219">IFERROR(INDEX($AO$10:$AO$258, MATCH(0, IF(TRUE=$AM$10:$AM$258, COUNTIF($AR$9:$AR218, $AO$10:$AO$258), ""), 0)),"")</f>
        <v/>
      </c>
      <c r="AZ219" s="802" t="str">
        <f t="shared" si="31"/>
        <v/>
      </c>
    </row>
    <row r="220" spans="3:52" ht="15.75" thickBot="1">
      <c r="C220" s="110">
        <v>211</v>
      </c>
      <c r="D220" s="340"/>
      <c r="E220" s="121"/>
      <c r="F220" s="362" t="str">
        <f>IF(D220="","",VLOOKUP(D220,'G-7 WaterC'' Data'!$B$2:$G$8,2,FALSE))</f>
        <v/>
      </c>
      <c r="G220" s="363" t="str">
        <f>IFERROR(VLOOKUP(F220,'G-7 WaterC'' Data'!$C$4:$D$8,2,FALSE),"")</f>
        <v/>
      </c>
      <c r="H220" s="114"/>
      <c r="I220" s="363" t="str">
        <f>IFERROR(INDEX('G-7 WaterC'' Data'!$H$4:$L$8,MATCH(D220,'G-7 WaterC'' Data'!$B$4:$B$8,0),MATCH(H220,'G-7 WaterC'' Data'!$H$3:$L$3,0)),"")</f>
        <v/>
      </c>
      <c r="J220" s="115"/>
      <c r="K220" s="382" t="str">
        <f>IF(J220="","",IF(VLOOKUP(J220,'G-7 WaterC'' Data'!$AK$4:$AM$9,2,FALSE)=0,"Spatial Data Missing ⚠",VLOOKUP(J220,'G-7 WaterC'' Data'!$AK$4:$AM$6,2,FALSE)))</f>
        <v/>
      </c>
      <c r="L220" s="386" t="str">
        <f>IF(J220="","",IF(VLOOKUP(J220,'G-7 WaterC'' Data'!$AK$4:$AM$9,3,FALSE)=0,"Spatial Data Missing ⚠",VLOOKUP(J220,'G-7 WaterC'' Data'!$AK$4:$AM$6,3,FALSE)))</f>
        <v/>
      </c>
      <c r="M220" s="115"/>
      <c r="N220" s="363" t="str">
        <f>IF(M220="","",IF(VLOOKUP(M220,'G-7 WaterC'' Data'!$AA$4:$AB$7,2,FALSE)=0,"Spatial Data Missing ⚠",VLOOKUP(M220,'G-7 WaterC'' Data'!$AA$4:$AB$7,2,FALSE)))</f>
        <v/>
      </c>
      <c r="O220" s="60"/>
      <c r="P220" s="363" t="str">
        <f>IF(O220="","",IF(VLOOKUP(O220,'G-7 WaterC'' Data'!$AD$4:$AE$14,2,FALSE)=0,"Spatial Data Missing ⚠",VLOOKUP(O220,'G-7 WaterC'' Data'!$AD$4:$AE$14,2,FALSE)))</f>
        <v/>
      </c>
      <c r="Q220" s="369" t="str">
        <f>IF(D220="","",VLOOKUP(D220,'G-7 WaterC'' Data'!$B$4:$G$8,6,FALSE))</f>
        <v/>
      </c>
      <c r="R220" s="376" t="str">
        <f>IFERROR(IF(D220="","",IF(AND(Q220='G-1 All Habitats'!$X$3,X220&gt;0),Y220+(Z220*T220),IF(AND(Q220='G-1 All Habitats'!$X$3,W220&gt;0),Y220+(Z220*T220),IF(AND(Q220='G-1 All Habitats'!$X$3,AH220&gt;0),"Any Loss Unacceptable ⚠",IF(AND(Q220='G-1 All Habitats'!$X$3,AI220&gt;0),"Any Loss Unacceptable ⚠", E220*G220*I220*L220*N220*P220*T220 ))))),"Check Data ▲")</f>
        <v/>
      </c>
      <c r="S220" s="516"/>
      <c r="T220" s="368" t="str">
        <f>IF(S220="","",IF(VLOOKUP(S220,'G-7 WaterC'' Data'!$AO$4:$BO$7,2,FALSE)=0,"Spatial Data Missing ⚠",VLOOKUP(S220,'G-7 WaterC'' Data'!$AO$4:$BO$7,2,FALSE)))</f>
        <v/>
      </c>
      <c r="U220" s="376" t="str">
        <f>IFERROR(IF(D220="","",IF(AND(Q220='G-1 All Habitats'!$X$3,X220&gt;0),Y220+Z220,IF(AND(Q220='G-1 All Habitats'!$X$3,W220&gt;0),Y220+Z220,IF(AND(Q220='G-1 All Habitats'!$X$3,AH220&gt;0),"Any Loss Unacceptable ⚠",IF(AND(Q220='G-1 All Habitats'!$X$3,AI220&gt;0),"Any Loss Unacceptable ⚠", E220*G220*I220*L220*N220*P220 ))))),"Check Data ▲")</f>
        <v/>
      </c>
      <c r="V220" s="32"/>
      <c r="W220" s="114"/>
      <c r="X220" s="125"/>
      <c r="Y220" s="374" t="str">
        <f t="shared" si="24"/>
        <v/>
      </c>
      <c r="Z220" s="374" t="str">
        <f t="shared" si="25"/>
        <v/>
      </c>
      <c r="AA220" s="374" t="str">
        <f t="shared" si="26"/>
        <v/>
      </c>
      <c r="AB220" s="670" t="str">
        <f t="shared" si="27"/>
        <v/>
      </c>
      <c r="AC220" s="516"/>
      <c r="AD220" s="119"/>
      <c r="AE220" s="120"/>
      <c r="AF220" s="120"/>
      <c r="AG220" s="120"/>
      <c r="AH220" s="57" t="str">
        <f>IF(Q220="","",IF(Q220='G-1 All Habitats'!$X$3,E220-X220-W220,"None"))</f>
        <v/>
      </c>
      <c r="AI220" s="58" t="str">
        <f>IF(Q220="","", IF(Q220='G-1 All Habitats'!$X$3, AH220*G220*I220*L220*N220*P220,"None"))</f>
        <v/>
      </c>
      <c r="AJ220" s="30" t="str">
        <f>IFERROR(INDEX('G-7 WaterC'' Data'!$AZ$3:$AZ$7,MATCH(D220,'G-7 WaterC'' Data'!$AY$3:$AY$7,0)),"")</f>
        <v/>
      </c>
      <c r="AK220" s="30">
        <f t="shared" si="28"/>
        <v>0</v>
      </c>
      <c r="AL220" s="124" t="str">
        <f t="shared" si="29"/>
        <v/>
      </c>
      <c r="AM220" s="124" t="str">
        <f t="shared" si="30"/>
        <v/>
      </c>
      <c r="AO220" s="124">
        <v>211</v>
      </c>
      <c r="AQ220" s="124" t="str">
        <f t="array" ref="AQ220">IFERROR(INDEX($AO$10:$AO$258, MATCH(0, IF(TRUE=$AL$10:$AL$258, COUNTIF($AQ$9:$AQ219, $AO$10:$AO$258), ""), 0)),"")</f>
        <v/>
      </c>
      <c r="AR220" s="124" t="str">
        <f t="array" ref="AR220">IFERROR(INDEX($AO$10:$AO$258, MATCH(0, IF(TRUE=$AM$10:$AM$258, COUNTIF($AR$9:$AR219, $AO$10:$AO$258), ""), 0)),"")</f>
        <v/>
      </c>
      <c r="AZ220" s="802" t="str">
        <f t="shared" si="31"/>
        <v/>
      </c>
    </row>
    <row r="221" spans="3:52" ht="15.75" thickBot="1">
      <c r="C221" s="110">
        <v>212</v>
      </c>
      <c r="D221" s="340"/>
      <c r="E221" s="121"/>
      <c r="F221" s="362" t="str">
        <f>IF(D221="","",VLOOKUP(D221,'G-7 WaterC'' Data'!$B$2:$G$8,2,FALSE))</f>
        <v/>
      </c>
      <c r="G221" s="363" t="str">
        <f>IFERROR(VLOOKUP(F221,'G-7 WaterC'' Data'!$C$4:$D$8,2,FALSE),"")</f>
        <v/>
      </c>
      <c r="H221" s="114"/>
      <c r="I221" s="363" t="str">
        <f>IFERROR(INDEX('G-7 WaterC'' Data'!$H$4:$L$8,MATCH(D221,'G-7 WaterC'' Data'!$B$4:$B$8,0),MATCH(H221,'G-7 WaterC'' Data'!$H$3:$L$3,0)),"")</f>
        <v/>
      </c>
      <c r="J221" s="115"/>
      <c r="K221" s="382" t="str">
        <f>IF(J221="","",IF(VLOOKUP(J221,'G-7 WaterC'' Data'!$AK$4:$AM$9,2,FALSE)=0,"Spatial Data Missing ⚠",VLOOKUP(J221,'G-7 WaterC'' Data'!$AK$4:$AM$6,2,FALSE)))</f>
        <v/>
      </c>
      <c r="L221" s="386" t="str">
        <f>IF(J221="","",IF(VLOOKUP(J221,'G-7 WaterC'' Data'!$AK$4:$AM$9,3,FALSE)=0,"Spatial Data Missing ⚠",VLOOKUP(J221,'G-7 WaterC'' Data'!$AK$4:$AM$6,3,FALSE)))</f>
        <v/>
      </c>
      <c r="M221" s="115"/>
      <c r="N221" s="363" t="str">
        <f>IF(M221="","",IF(VLOOKUP(M221,'G-7 WaterC'' Data'!$AA$4:$AB$7,2,FALSE)=0,"Spatial Data Missing ⚠",VLOOKUP(M221,'G-7 WaterC'' Data'!$AA$4:$AB$7,2,FALSE)))</f>
        <v/>
      </c>
      <c r="O221" s="60"/>
      <c r="P221" s="363" t="str">
        <f>IF(O221="","",IF(VLOOKUP(O221,'G-7 WaterC'' Data'!$AD$4:$AE$14,2,FALSE)=0,"Spatial Data Missing ⚠",VLOOKUP(O221,'G-7 WaterC'' Data'!$AD$4:$AE$14,2,FALSE)))</f>
        <v/>
      </c>
      <c r="Q221" s="369" t="str">
        <f>IF(D221="","",VLOOKUP(D221,'G-7 WaterC'' Data'!$B$4:$G$8,6,FALSE))</f>
        <v/>
      </c>
      <c r="R221" s="376" t="str">
        <f>IFERROR(IF(D221="","",IF(AND(Q221='G-1 All Habitats'!$X$3,X221&gt;0),Y221+(Z221*T221),IF(AND(Q221='G-1 All Habitats'!$X$3,W221&gt;0),Y221+(Z221*T221),IF(AND(Q221='G-1 All Habitats'!$X$3,AH221&gt;0),"Any Loss Unacceptable ⚠",IF(AND(Q221='G-1 All Habitats'!$X$3,AI221&gt;0),"Any Loss Unacceptable ⚠", E221*G221*I221*L221*N221*P221*T221 ))))),"Check Data ▲")</f>
        <v/>
      </c>
      <c r="S221" s="516"/>
      <c r="T221" s="368" t="str">
        <f>IF(S221="","",IF(VLOOKUP(S221,'G-7 WaterC'' Data'!$AO$4:$BO$7,2,FALSE)=0,"Spatial Data Missing ⚠",VLOOKUP(S221,'G-7 WaterC'' Data'!$AO$4:$BO$7,2,FALSE)))</f>
        <v/>
      </c>
      <c r="U221" s="376" t="str">
        <f>IFERROR(IF(D221="","",IF(AND(Q221='G-1 All Habitats'!$X$3,X221&gt;0),Y221+Z221,IF(AND(Q221='G-1 All Habitats'!$X$3,W221&gt;0),Y221+Z221,IF(AND(Q221='G-1 All Habitats'!$X$3,AH221&gt;0),"Any Loss Unacceptable ⚠",IF(AND(Q221='G-1 All Habitats'!$X$3,AI221&gt;0),"Any Loss Unacceptable ⚠", E221*G221*I221*L221*N221*P221 ))))),"Check Data ▲")</f>
        <v/>
      </c>
      <c r="V221" s="32"/>
      <c r="W221" s="114"/>
      <c r="X221" s="125"/>
      <c r="Y221" s="374" t="str">
        <f t="shared" si="24"/>
        <v/>
      </c>
      <c r="Z221" s="374" t="str">
        <f t="shared" si="25"/>
        <v/>
      </c>
      <c r="AA221" s="374" t="str">
        <f t="shared" si="26"/>
        <v/>
      </c>
      <c r="AB221" s="670" t="str">
        <f t="shared" si="27"/>
        <v/>
      </c>
      <c r="AC221" s="516"/>
      <c r="AD221" s="119"/>
      <c r="AE221" s="120"/>
      <c r="AF221" s="120"/>
      <c r="AG221" s="120"/>
      <c r="AH221" s="57" t="str">
        <f>IF(Q221="","",IF(Q221='G-1 All Habitats'!$X$3,E221-X221-W221,"None"))</f>
        <v/>
      </c>
      <c r="AI221" s="58" t="str">
        <f>IF(Q221="","", IF(Q221='G-1 All Habitats'!$X$3, AH221*G221*I221*L221*N221*P221,"None"))</f>
        <v/>
      </c>
      <c r="AJ221" s="30" t="str">
        <f>IFERROR(INDEX('G-7 WaterC'' Data'!$AZ$3:$AZ$7,MATCH(D221,'G-7 WaterC'' Data'!$AY$3:$AY$7,0)),"")</f>
        <v/>
      </c>
      <c r="AK221" s="30">
        <f t="shared" si="28"/>
        <v>0</v>
      </c>
      <c r="AL221" s="124" t="str">
        <f t="shared" si="29"/>
        <v/>
      </c>
      <c r="AM221" s="124" t="str">
        <f t="shared" si="30"/>
        <v/>
      </c>
      <c r="AO221" s="124">
        <v>212</v>
      </c>
      <c r="AQ221" s="124" t="str">
        <f t="array" ref="AQ221">IFERROR(INDEX($AO$10:$AO$258, MATCH(0, IF(TRUE=$AL$10:$AL$258, COUNTIF($AQ$9:$AQ220, $AO$10:$AO$258), ""), 0)),"")</f>
        <v/>
      </c>
      <c r="AR221" s="124" t="str">
        <f t="array" ref="AR221">IFERROR(INDEX($AO$10:$AO$258, MATCH(0, IF(TRUE=$AM$10:$AM$258, COUNTIF($AR$9:$AR220, $AO$10:$AO$258), ""), 0)),"")</f>
        <v/>
      </c>
      <c r="AZ221" s="802" t="str">
        <f t="shared" si="31"/>
        <v/>
      </c>
    </row>
    <row r="222" spans="3:52" ht="15.75" thickBot="1">
      <c r="C222" s="110">
        <v>213</v>
      </c>
      <c r="D222" s="340"/>
      <c r="E222" s="121"/>
      <c r="F222" s="362" t="str">
        <f>IF(D222="","",VLOOKUP(D222,'G-7 WaterC'' Data'!$B$2:$G$8,2,FALSE))</f>
        <v/>
      </c>
      <c r="G222" s="363" t="str">
        <f>IFERROR(VLOOKUP(F222,'G-7 WaterC'' Data'!$C$4:$D$8,2,FALSE),"")</f>
        <v/>
      </c>
      <c r="H222" s="114"/>
      <c r="I222" s="363" t="str">
        <f>IFERROR(INDEX('G-7 WaterC'' Data'!$H$4:$L$8,MATCH(D222,'G-7 WaterC'' Data'!$B$4:$B$8,0),MATCH(H222,'G-7 WaterC'' Data'!$H$3:$L$3,0)),"")</f>
        <v/>
      </c>
      <c r="J222" s="115"/>
      <c r="K222" s="382" t="str">
        <f>IF(J222="","",IF(VLOOKUP(J222,'G-7 WaterC'' Data'!$AK$4:$AM$9,2,FALSE)=0,"Spatial Data Missing ⚠",VLOOKUP(J222,'G-7 WaterC'' Data'!$AK$4:$AM$6,2,FALSE)))</f>
        <v/>
      </c>
      <c r="L222" s="386" t="str">
        <f>IF(J222="","",IF(VLOOKUP(J222,'G-7 WaterC'' Data'!$AK$4:$AM$9,3,FALSE)=0,"Spatial Data Missing ⚠",VLOOKUP(J222,'G-7 WaterC'' Data'!$AK$4:$AM$6,3,FALSE)))</f>
        <v/>
      </c>
      <c r="M222" s="115"/>
      <c r="N222" s="363" t="str">
        <f>IF(M222="","",IF(VLOOKUP(M222,'G-7 WaterC'' Data'!$AA$4:$AB$7,2,FALSE)=0,"Spatial Data Missing ⚠",VLOOKUP(M222,'G-7 WaterC'' Data'!$AA$4:$AB$7,2,FALSE)))</f>
        <v/>
      </c>
      <c r="O222" s="60"/>
      <c r="P222" s="363" t="str">
        <f>IF(O222="","",IF(VLOOKUP(O222,'G-7 WaterC'' Data'!$AD$4:$AE$14,2,FALSE)=0,"Spatial Data Missing ⚠",VLOOKUP(O222,'G-7 WaterC'' Data'!$AD$4:$AE$14,2,FALSE)))</f>
        <v/>
      </c>
      <c r="Q222" s="369" t="str">
        <f>IF(D222="","",VLOOKUP(D222,'G-7 WaterC'' Data'!$B$4:$G$8,6,FALSE))</f>
        <v/>
      </c>
      <c r="R222" s="376" t="str">
        <f>IFERROR(IF(D222="","",IF(AND(Q222='G-1 All Habitats'!$X$3,X222&gt;0),Y222+(Z222*T222),IF(AND(Q222='G-1 All Habitats'!$X$3,W222&gt;0),Y222+(Z222*T222),IF(AND(Q222='G-1 All Habitats'!$X$3,AH222&gt;0),"Any Loss Unacceptable ⚠",IF(AND(Q222='G-1 All Habitats'!$X$3,AI222&gt;0),"Any Loss Unacceptable ⚠", E222*G222*I222*L222*N222*P222*T222 ))))),"Check Data ▲")</f>
        <v/>
      </c>
      <c r="S222" s="516"/>
      <c r="T222" s="368" t="str">
        <f>IF(S222="","",IF(VLOOKUP(S222,'G-7 WaterC'' Data'!$AO$4:$BO$7,2,FALSE)=0,"Spatial Data Missing ⚠",VLOOKUP(S222,'G-7 WaterC'' Data'!$AO$4:$BO$7,2,FALSE)))</f>
        <v/>
      </c>
      <c r="U222" s="376" t="str">
        <f>IFERROR(IF(D222="","",IF(AND(Q222='G-1 All Habitats'!$X$3,X222&gt;0),Y222+Z222,IF(AND(Q222='G-1 All Habitats'!$X$3,W222&gt;0),Y222+Z222,IF(AND(Q222='G-1 All Habitats'!$X$3,AH222&gt;0),"Any Loss Unacceptable ⚠",IF(AND(Q222='G-1 All Habitats'!$X$3,AI222&gt;0),"Any Loss Unacceptable ⚠", E222*G222*I222*L222*N222*P222 ))))),"Check Data ▲")</f>
        <v/>
      </c>
      <c r="V222" s="32"/>
      <c r="W222" s="114"/>
      <c r="X222" s="125"/>
      <c r="Y222" s="374" t="str">
        <f t="shared" si="24"/>
        <v/>
      </c>
      <c r="Z222" s="374" t="str">
        <f t="shared" si="25"/>
        <v/>
      </c>
      <c r="AA222" s="374" t="str">
        <f t="shared" si="26"/>
        <v/>
      </c>
      <c r="AB222" s="670" t="str">
        <f t="shared" si="27"/>
        <v/>
      </c>
      <c r="AC222" s="516"/>
      <c r="AD222" s="119"/>
      <c r="AE222" s="120"/>
      <c r="AF222" s="120"/>
      <c r="AG222" s="120"/>
      <c r="AH222" s="57" t="str">
        <f>IF(Q222="","",IF(Q222='G-1 All Habitats'!$X$3,E222-X222-W222,"None"))</f>
        <v/>
      </c>
      <c r="AI222" s="58" t="str">
        <f>IF(Q222="","", IF(Q222='G-1 All Habitats'!$X$3, AH222*G222*I222*L222*N222*P222,"None"))</f>
        <v/>
      </c>
      <c r="AJ222" s="30" t="str">
        <f>IFERROR(INDEX('G-7 WaterC'' Data'!$AZ$3:$AZ$7,MATCH(D222,'G-7 WaterC'' Data'!$AY$3:$AY$7,0)),"")</f>
        <v/>
      </c>
      <c r="AK222" s="30">
        <f t="shared" si="28"/>
        <v>0</v>
      </c>
      <c r="AL222" s="124" t="str">
        <f t="shared" si="29"/>
        <v/>
      </c>
      <c r="AM222" s="124" t="str">
        <f t="shared" si="30"/>
        <v/>
      </c>
      <c r="AO222" s="124">
        <v>213</v>
      </c>
      <c r="AQ222" s="124" t="str">
        <f t="array" ref="AQ222">IFERROR(INDEX($AO$10:$AO$258, MATCH(0, IF(TRUE=$AL$10:$AL$258, COUNTIF($AQ$9:$AQ221, $AO$10:$AO$258), ""), 0)),"")</f>
        <v/>
      </c>
      <c r="AR222" s="124" t="str">
        <f t="array" ref="AR222">IFERROR(INDEX($AO$10:$AO$258, MATCH(0, IF(TRUE=$AM$10:$AM$258, COUNTIF($AR$9:$AR221, $AO$10:$AO$258), ""), 0)),"")</f>
        <v/>
      </c>
      <c r="AZ222" s="802" t="str">
        <f t="shared" si="31"/>
        <v/>
      </c>
    </row>
    <row r="223" spans="3:52" ht="15.75" thickBot="1">
      <c r="C223" s="110">
        <v>214</v>
      </c>
      <c r="D223" s="340"/>
      <c r="E223" s="121"/>
      <c r="F223" s="362" t="str">
        <f>IF(D223="","",VLOOKUP(D223,'G-7 WaterC'' Data'!$B$2:$G$8,2,FALSE))</f>
        <v/>
      </c>
      <c r="G223" s="363" t="str">
        <f>IFERROR(VLOOKUP(F223,'G-7 WaterC'' Data'!$C$4:$D$8,2,FALSE),"")</f>
        <v/>
      </c>
      <c r="H223" s="114"/>
      <c r="I223" s="363" t="str">
        <f>IFERROR(INDEX('G-7 WaterC'' Data'!$H$4:$L$8,MATCH(D223,'G-7 WaterC'' Data'!$B$4:$B$8,0),MATCH(H223,'G-7 WaterC'' Data'!$H$3:$L$3,0)),"")</f>
        <v/>
      </c>
      <c r="J223" s="115"/>
      <c r="K223" s="382" t="str">
        <f>IF(J223="","",IF(VLOOKUP(J223,'G-7 WaterC'' Data'!$AK$4:$AM$9,2,FALSE)=0,"Spatial Data Missing ⚠",VLOOKUP(J223,'G-7 WaterC'' Data'!$AK$4:$AM$6,2,FALSE)))</f>
        <v/>
      </c>
      <c r="L223" s="386" t="str">
        <f>IF(J223="","",IF(VLOOKUP(J223,'G-7 WaterC'' Data'!$AK$4:$AM$9,3,FALSE)=0,"Spatial Data Missing ⚠",VLOOKUP(J223,'G-7 WaterC'' Data'!$AK$4:$AM$6,3,FALSE)))</f>
        <v/>
      </c>
      <c r="M223" s="115"/>
      <c r="N223" s="363" t="str">
        <f>IF(M223="","",IF(VLOOKUP(M223,'G-7 WaterC'' Data'!$AA$4:$AB$7,2,FALSE)=0,"Spatial Data Missing ⚠",VLOOKUP(M223,'G-7 WaterC'' Data'!$AA$4:$AB$7,2,FALSE)))</f>
        <v/>
      </c>
      <c r="O223" s="60"/>
      <c r="P223" s="363" t="str">
        <f>IF(O223="","",IF(VLOOKUP(O223,'G-7 WaterC'' Data'!$AD$4:$AE$14,2,FALSE)=0,"Spatial Data Missing ⚠",VLOOKUP(O223,'G-7 WaterC'' Data'!$AD$4:$AE$14,2,FALSE)))</f>
        <v/>
      </c>
      <c r="Q223" s="369" t="str">
        <f>IF(D223="","",VLOOKUP(D223,'G-7 WaterC'' Data'!$B$4:$G$8,6,FALSE))</f>
        <v/>
      </c>
      <c r="R223" s="376" t="str">
        <f>IFERROR(IF(D223="","",IF(AND(Q223='G-1 All Habitats'!$X$3,X223&gt;0),Y223+(Z223*T223),IF(AND(Q223='G-1 All Habitats'!$X$3,W223&gt;0),Y223+(Z223*T223),IF(AND(Q223='G-1 All Habitats'!$X$3,AH223&gt;0),"Any Loss Unacceptable ⚠",IF(AND(Q223='G-1 All Habitats'!$X$3,AI223&gt;0),"Any Loss Unacceptable ⚠", E223*G223*I223*L223*N223*P223*T223 ))))),"Check Data ▲")</f>
        <v/>
      </c>
      <c r="S223" s="516"/>
      <c r="T223" s="368" t="str">
        <f>IF(S223="","",IF(VLOOKUP(S223,'G-7 WaterC'' Data'!$AO$4:$BO$7,2,FALSE)=0,"Spatial Data Missing ⚠",VLOOKUP(S223,'G-7 WaterC'' Data'!$AO$4:$BO$7,2,FALSE)))</f>
        <v/>
      </c>
      <c r="U223" s="376" t="str">
        <f>IFERROR(IF(D223="","",IF(AND(Q223='G-1 All Habitats'!$X$3,X223&gt;0),Y223+Z223,IF(AND(Q223='G-1 All Habitats'!$X$3,W223&gt;0),Y223+Z223,IF(AND(Q223='G-1 All Habitats'!$X$3,AH223&gt;0),"Any Loss Unacceptable ⚠",IF(AND(Q223='G-1 All Habitats'!$X$3,AI223&gt;0),"Any Loss Unacceptable ⚠", E223*G223*I223*L223*N223*P223 ))))),"Check Data ▲")</f>
        <v/>
      </c>
      <c r="V223" s="32"/>
      <c r="W223" s="114"/>
      <c r="X223" s="125"/>
      <c r="Y223" s="374" t="str">
        <f t="shared" si="24"/>
        <v/>
      </c>
      <c r="Z223" s="374" t="str">
        <f t="shared" si="25"/>
        <v/>
      </c>
      <c r="AA223" s="374" t="str">
        <f t="shared" si="26"/>
        <v/>
      </c>
      <c r="AB223" s="670" t="str">
        <f t="shared" si="27"/>
        <v/>
      </c>
      <c r="AC223" s="516"/>
      <c r="AD223" s="119"/>
      <c r="AE223" s="120"/>
      <c r="AF223" s="120"/>
      <c r="AG223" s="120"/>
      <c r="AH223" s="57" t="str">
        <f>IF(Q223="","",IF(Q223='G-1 All Habitats'!$X$3,E223-X223-W223,"None"))</f>
        <v/>
      </c>
      <c r="AI223" s="58" t="str">
        <f>IF(Q223="","", IF(Q223='G-1 All Habitats'!$X$3, AH223*G223*I223*L223*N223*P223,"None"))</f>
        <v/>
      </c>
      <c r="AJ223" s="30" t="str">
        <f>IFERROR(INDEX('G-7 WaterC'' Data'!$AZ$3:$AZ$7,MATCH(D223,'G-7 WaterC'' Data'!$AY$3:$AY$7,0)),"")</f>
        <v/>
      </c>
      <c r="AK223" s="30">
        <f t="shared" si="28"/>
        <v>0</v>
      </c>
      <c r="AL223" s="124" t="str">
        <f t="shared" si="29"/>
        <v/>
      </c>
      <c r="AM223" s="124" t="str">
        <f t="shared" si="30"/>
        <v/>
      </c>
      <c r="AO223" s="124">
        <v>214</v>
      </c>
      <c r="AQ223" s="124" t="str">
        <f t="array" ref="AQ223">IFERROR(INDEX($AO$10:$AO$258, MATCH(0, IF(TRUE=$AL$10:$AL$258, COUNTIF($AQ$9:$AQ222, $AO$10:$AO$258), ""), 0)),"")</f>
        <v/>
      </c>
      <c r="AR223" s="124" t="str">
        <f t="array" ref="AR223">IFERROR(INDEX($AO$10:$AO$258, MATCH(0, IF(TRUE=$AM$10:$AM$258, COUNTIF($AR$9:$AR222, $AO$10:$AO$258), ""), 0)),"")</f>
        <v/>
      </c>
      <c r="AZ223" s="802" t="str">
        <f t="shared" si="31"/>
        <v/>
      </c>
    </row>
    <row r="224" spans="3:52" ht="15.75" thickBot="1">
      <c r="C224" s="110">
        <v>215</v>
      </c>
      <c r="D224" s="340"/>
      <c r="E224" s="121"/>
      <c r="F224" s="362" t="str">
        <f>IF(D224="","",VLOOKUP(D224,'G-7 WaterC'' Data'!$B$2:$G$8,2,FALSE))</f>
        <v/>
      </c>
      <c r="G224" s="363" t="str">
        <f>IFERROR(VLOOKUP(F224,'G-7 WaterC'' Data'!$C$4:$D$8,2,FALSE),"")</f>
        <v/>
      </c>
      <c r="H224" s="114"/>
      <c r="I224" s="363" t="str">
        <f>IFERROR(INDEX('G-7 WaterC'' Data'!$H$4:$L$8,MATCH(D224,'G-7 WaterC'' Data'!$B$4:$B$8,0),MATCH(H224,'G-7 WaterC'' Data'!$H$3:$L$3,0)),"")</f>
        <v/>
      </c>
      <c r="J224" s="115"/>
      <c r="K224" s="382" t="str">
        <f>IF(J224="","",IF(VLOOKUP(J224,'G-7 WaterC'' Data'!$AK$4:$AM$9,2,FALSE)=0,"Spatial Data Missing ⚠",VLOOKUP(J224,'G-7 WaterC'' Data'!$AK$4:$AM$6,2,FALSE)))</f>
        <v/>
      </c>
      <c r="L224" s="386" t="str">
        <f>IF(J224="","",IF(VLOOKUP(J224,'G-7 WaterC'' Data'!$AK$4:$AM$9,3,FALSE)=0,"Spatial Data Missing ⚠",VLOOKUP(J224,'G-7 WaterC'' Data'!$AK$4:$AM$6,3,FALSE)))</f>
        <v/>
      </c>
      <c r="M224" s="115"/>
      <c r="N224" s="363" t="str">
        <f>IF(M224="","",IF(VLOOKUP(M224,'G-7 WaterC'' Data'!$AA$4:$AB$7,2,FALSE)=0,"Spatial Data Missing ⚠",VLOOKUP(M224,'G-7 WaterC'' Data'!$AA$4:$AB$7,2,FALSE)))</f>
        <v/>
      </c>
      <c r="O224" s="60"/>
      <c r="P224" s="363" t="str">
        <f>IF(O224="","",IF(VLOOKUP(O224,'G-7 WaterC'' Data'!$AD$4:$AE$14,2,FALSE)=0,"Spatial Data Missing ⚠",VLOOKUP(O224,'G-7 WaterC'' Data'!$AD$4:$AE$14,2,FALSE)))</f>
        <v/>
      </c>
      <c r="Q224" s="369" t="str">
        <f>IF(D224="","",VLOOKUP(D224,'G-7 WaterC'' Data'!$B$4:$G$8,6,FALSE))</f>
        <v/>
      </c>
      <c r="R224" s="376" t="str">
        <f>IFERROR(IF(D224="","",IF(AND(Q224='G-1 All Habitats'!$X$3,X224&gt;0),Y224+(Z224*T224),IF(AND(Q224='G-1 All Habitats'!$X$3,W224&gt;0),Y224+(Z224*T224),IF(AND(Q224='G-1 All Habitats'!$X$3,AH224&gt;0),"Any Loss Unacceptable ⚠",IF(AND(Q224='G-1 All Habitats'!$X$3,AI224&gt;0),"Any Loss Unacceptable ⚠", E224*G224*I224*L224*N224*P224*T224 ))))),"Check Data ▲")</f>
        <v/>
      </c>
      <c r="S224" s="516"/>
      <c r="T224" s="368" t="str">
        <f>IF(S224="","",IF(VLOOKUP(S224,'G-7 WaterC'' Data'!$AO$4:$BO$7,2,FALSE)=0,"Spatial Data Missing ⚠",VLOOKUP(S224,'G-7 WaterC'' Data'!$AO$4:$BO$7,2,FALSE)))</f>
        <v/>
      </c>
      <c r="U224" s="376" t="str">
        <f>IFERROR(IF(D224="","",IF(AND(Q224='G-1 All Habitats'!$X$3,X224&gt;0),Y224+Z224,IF(AND(Q224='G-1 All Habitats'!$X$3,W224&gt;0),Y224+Z224,IF(AND(Q224='G-1 All Habitats'!$X$3,AH224&gt;0),"Any Loss Unacceptable ⚠",IF(AND(Q224='G-1 All Habitats'!$X$3,AI224&gt;0),"Any Loss Unacceptable ⚠", E224*G224*I224*L224*N224*P224 ))))),"Check Data ▲")</f>
        <v/>
      </c>
      <c r="V224" s="32"/>
      <c r="W224" s="114"/>
      <c r="X224" s="125"/>
      <c r="Y224" s="374" t="str">
        <f t="shared" si="24"/>
        <v/>
      </c>
      <c r="Z224" s="374" t="str">
        <f t="shared" si="25"/>
        <v/>
      </c>
      <c r="AA224" s="374" t="str">
        <f t="shared" si="26"/>
        <v/>
      </c>
      <c r="AB224" s="670" t="str">
        <f t="shared" si="27"/>
        <v/>
      </c>
      <c r="AC224" s="516"/>
      <c r="AD224" s="119"/>
      <c r="AE224" s="120"/>
      <c r="AF224" s="120"/>
      <c r="AG224" s="120"/>
      <c r="AH224" s="57" t="str">
        <f>IF(Q224="","",IF(Q224='G-1 All Habitats'!$X$3,E224-X224-W224,"None"))</f>
        <v/>
      </c>
      <c r="AI224" s="58" t="str">
        <f>IF(Q224="","", IF(Q224='G-1 All Habitats'!$X$3, AH224*G224*I224*L224*N224*P224,"None"))</f>
        <v/>
      </c>
      <c r="AJ224" s="30" t="str">
        <f>IFERROR(INDEX('G-7 WaterC'' Data'!$AZ$3:$AZ$7,MATCH(D224,'G-7 WaterC'' Data'!$AY$3:$AY$7,0)),"")</f>
        <v/>
      </c>
      <c r="AK224" s="30">
        <f t="shared" si="28"/>
        <v>0</v>
      </c>
      <c r="AL224" s="124" t="str">
        <f t="shared" si="29"/>
        <v/>
      </c>
      <c r="AM224" s="124" t="str">
        <f t="shared" si="30"/>
        <v/>
      </c>
      <c r="AO224" s="124">
        <v>215</v>
      </c>
      <c r="AQ224" s="124" t="str">
        <f t="array" ref="AQ224">IFERROR(INDEX($AO$10:$AO$258, MATCH(0, IF(TRUE=$AL$10:$AL$258, COUNTIF($AQ$9:$AQ223, $AO$10:$AO$258), ""), 0)),"")</f>
        <v/>
      </c>
      <c r="AR224" s="124" t="str">
        <f t="array" ref="AR224">IFERROR(INDEX($AO$10:$AO$258, MATCH(0, IF(TRUE=$AM$10:$AM$258, COUNTIF($AR$9:$AR223, $AO$10:$AO$258), ""), 0)),"")</f>
        <v/>
      </c>
      <c r="AZ224" s="802" t="str">
        <f t="shared" si="31"/>
        <v/>
      </c>
    </row>
    <row r="225" spans="3:52" ht="15.75" thickBot="1">
      <c r="C225" s="110">
        <v>216</v>
      </c>
      <c r="D225" s="340"/>
      <c r="E225" s="121"/>
      <c r="F225" s="362" t="str">
        <f>IF(D225="","",VLOOKUP(D225,'G-7 WaterC'' Data'!$B$2:$G$8,2,FALSE))</f>
        <v/>
      </c>
      <c r="G225" s="363" t="str">
        <f>IFERROR(VLOOKUP(F225,'G-7 WaterC'' Data'!$C$4:$D$8,2,FALSE),"")</f>
        <v/>
      </c>
      <c r="H225" s="114"/>
      <c r="I225" s="363" t="str">
        <f>IFERROR(INDEX('G-7 WaterC'' Data'!$H$4:$L$8,MATCH(D225,'G-7 WaterC'' Data'!$B$4:$B$8,0),MATCH(H225,'G-7 WaterC'' Data'!$H$3:$L$3,0)),"")</f>
        <v/>
      </c>
      <c r="J225" s="115"/>
      <c r="K225" s="382" t="str">
        <f>IF(J225="","",IF(VLOOKUP(J225,'G-7 WaterC'' Data'!$AK$4:$AM$9,2,FALSE)=0,"Spatial Data Missing ⚠",VLOOKUP(J225,'G-7 WaterC'' Data'!$AK$4:$AM$6,2,FALSE)))</f>
        <v/>
      </c>
      <c r="L225" s="386" t="str">
        <f>IF(J225="","",IF(VLOOKUP(J225,'G-7 WaterC'' Data'!$AK$4:$AM$9,3,FALSE)=0,"Spatial Data Missing ⚠",VLOOKUP(J225,'G-7 WaterC'' Data'!$AK$4:$AM$6,3,FALSE)))</f>
        <v/>
      </c>
      <c r="M225" s="115"/>
      <c r="N225" s="363" t="str">
        <f>IF(M225="","",IF(VLOOKUP(M225,'G-7 WaterC'' Data'!$AA$4:$AB$7,2,FALSE)=0,"Spatial Data Missing ⚠",VLOOKUP(M225,'G-7 WaterC'' Data'!$AA$4:$AB$7,2,FALSE)))</f>
        <v/>
      </c>
      <c r="O225" s="60"/>
      <c r="P225" s="363" t="str">
        <f>IF(O225="","",IF(VLOOKUP(O225,'G-7 WaterC'' Data'!$AD$4:$AE$14,2,FALSE)=0,"Spatial Data Missing ⚠",VLOOKUP(O225,'G-7 WaterC'' Data'!$AD$4:$AE$14,2,FALSE)))</f>
        <v/>
      </c>
      <c r="Q225" s="369" t="str">
        <f>IF(D225="","",VLOOKUP(D225,'G-7 WaterC'' Data'!$B$4:$G$8,6,FALSE))</f>
        <v/>
      </c>
      <c r="R225" s="376" t="str">
        <f>IFERROR(IF(D225="","",IF(AND(Q225='G-1 All Habitats'!$X$3,X225&gt;0),Y225+(Z225*T225),IF(AND(Q225='G-1 All Habitats'!$X$3,W225&gt;0),Y225+(Z225*T225),IF(AND(Q225='G-1 All Habitats'!$X$3,AH225&gt;0),"Any Loss Unacceptable ⚠",IF(AND(Q225='G-1 All Habitats'!$X$3,AI225&gt;0),"Any Loss Unacceptable ⚠", E225*G225*I225*L225*N225*P225*T225 ))))),"Check Data ▲")</f>
        <v/>
      </c>
      <c r="S225" s="516"/>
      <c r="T225" s="368" t="str">
        <f>IF(S225="","",IF(VLOOKUP(S225,'G-7 WaterC'' Data'!$AO$4:$BO$7,2,FALSE)=0,"Spatial Data Missing ⚠",VLOOKUP(S225,'G-7 WaterC'' Data'!$AO$4:$BO$7,2,FALSE)))</f>
        <v/>
      </c>
      <c r="U225" s="376" t="str">
        <f>IFERROR(IF(D225="","",IF(AND(Q225='G-1 All Habitats'!$X$3,X225&gt;0),Y225+Z225,IF(AND(Q225='G-1 All Habitats'!$X$3,W225&gt;0),Y225+Z225,IF(AND(Q225='G-1 All Habitats'!$X$3,AH225&gt;0),"Any Loss Unacceptable ⚠",IF(AND(Q225='G-1 All Habitats'!$X$3,AI225&gt;0),"Any Loss Unacceptable ⚠", E225*G225*I225*L225*N225*P225 ))))),"Check Data ▲")</f>
        <v/>
      </c>
      <c r="V225" s="32"/>
      <c r="W225" s="114"/>
      <c r="X225" s="125"/>
      <c r="Y225" s="374" t="str">
        <f t="shared" si="24"/>
        <v/>
      </c>
      <c r="Z225" s="374" t="str">
        <f t="shared" si="25"/>
        <v/>
      </c>
      <c r="AA225" s="374" t="str">
        <f t="shared" si="26"/>
        <v/>
      </c>
      <c r="AB225" s="670" t="str">
        <f t="shared" si="27"/>
        <v/>
      </c>
      <c r="AC225" s="516"/>
      <c r="AD225" s="119"/>
      <c r="AE225" s="120"/>
      <c r="AF225" s="120"/>
      <c r="AG225" s="120"/>
      <c r="AH225" s="57" t="str">
        <f>IF(Q225="","",IF(Q225='G-1 All Habitats'!$X$3,E225-X225-W225,"None"))</f>
        <v/>
      </c>
      <c r="AI225" s="58" t="str">
        <f>IF(Q225="","", IF(Q225='G-1 All Habitats'!$X$3, AH225*G225*I225*L225*N225*P225,"None"))</f>
        <v/>
      </c>
      <c r="AJ225" s="30" t="str">
        <f>IFERROR(INDEX('G-7 WaterC'' Data'!$AZ$3:$AZ$7,MATCH(D225,'G-7 WaterC'' Data'!$AY$3:$AY$7,0)),"")</f>
        <v/>
      </c>
      <c r="AK225" s="30">
        <f t="shared" si="28"/>
        <v>0</v>
      </c>
      <c r="AL225" s="124" t="str">
        <f t="shared" si="29"/>
        <v/>
      </c>
      <c r="AM225" s="124" t="str">
        <f t="shared" si="30"/>
        <v/>
      </c>
      <c r="AO225" s="124">
        <v>216</v>
      </c>
      <c r="AQ225" s="124" t="str">
        <f t="array" ref="AQ225">IFERROR(INDEX($AO$10:$AO$258, MATCH(0, IF(TRUE=$AL$10:$AL$258, COUNTIF($AQ$9:$AQ224, $AO$10:$AO$258), ""), 0)),"")</f>
        <v/>
      </c>
      <c r="AR225" s="124" t="str">
        <f t="array" ref="AR225">IFERROR(INDEX($AO$10:$AO$258, MATCH(0, IF(TRUE=$AM$10:$AM$258, COUNTIF($AR$9:$AR224, $AO$10:$AO$258), ""), 0)),"")</f>
        <v/>
      </c>
      <c r="AZ225" s="802" t="str">
        <f t="shared" si="31"/>
        <v/>
      </c>
    </row>
    <row r="226" spans="3:52" ht="15.75" thickBot="1">
      <c r="C226" s="110">
        <v>217</v>
      </c>
      <c r="D226" s="340"/>
      <c r="E226" s="121"/>
      <c r="F226" s="362" t="str">
        <f>IF(D226="","",VLOOKUP(D226,'G-7 WaterC'' Data'!$B$2:$G$8,2,FALSE))</f>
        <v/>
      </c>
      <c r="G226" s="363" t="str">
        <f>IFERROR(VLOOKUP(F226,'G-7 WaterC'' Data'!$C$4:$D$8,2,FALSE),"")</f>
        <v/>
      </c>
      <c r="H226" s="114"/>
      <c r="I226" s="363" t="str">
        <f>IFERROR(INDEX('G-7 WaterC'' Data'!$H$4:$L$8,MATCH(D226,'G-7 WaterC'' Data'!$B$4:$B$8,0),MATCH(H226,'G-7 WaterC'' Data'!$H$3:$L$3,0)),"")</f>
        <v/>
      </c>
      <c r="J226" s="115"/>
      <c r="K226" s="382" t="str">
        <f>IF(J226="","",IF(VLOOKUP(J226,'G-7 WaterC'' Data'!$AK$4:$AM$9,2,FALSE)=0,"Spatial Data Missing ⚠",VLOOKUP(J226,'G-7 WaterC'' Data'!$AK$4:$AM$6,2,FALSE)))</f>
        <v/>
      </c>
      <c r="L226" s="386" t="str">
        <f>IF(J226="","",IF(VLOOKUP(J226,'G-7 WaterC'' Data'!$AK$4:$AM$9,3,FALSE)=0,"Spatial Data Missing ⚠",VLOOKUP(J226,'G-7 WaterC'' Data'!$AK$4:$AM$6,3,FALSE)))</f>
        <v/>
      </c>
      <c r="M226" s="115"/>
      <c r="N226" s="363" t="str">
        <f>IF(M226="","",IF(VLOOKUP(M226,'G-7 WaterC'' Data'!$AA$4:$AB$7,2,FALSE)=0,"Spatial Data Missing ⚠",VLOOKUP(M226,'G-7 WaterC'' Data'!$AA$4:$AB$7,2,FALSE)))</f>
        <v/>
      </c>
      <c r="O226" s="60"/>
      <c r="P226" s="363" t="str">
        <f>IF(O226="","",IF(VLOOKUP(O226,'G-7 WaterC'' Data'!$AD$4:$AE$14,2,FALSE)=0,"Spatial Data Missing ⚠",VLOOKUP(O226,'G-7 WaterC'' Data'!$AD$4:$AE$14,2,FALSE)))</f>
        <v/>
      </c>
      <c r="Q226" s="369" t="str">
        <f>IF(D226="","",VLOOKUP(D226,'G-7 WaterC'' Data'!$B$4:$G$8,6,FALSE))</f>
        <v/>
      </c>
      <c r="R226" s="376" t="str">
        <f>IFERROR(IF(D226="","",IF(AND(Q226='G-1 All Habitats'!$X$3,X226&gt;0),Y226+(Z226*T226),IF(AND(Q226='G-1 All Habitats'!$X$3,W226&gt;0),Y226+(Z226*T226),IF(AND(Q226='G-1 All Habitats'!$X$3,AH226&gt;0),"Any Loss Unacceptable ⚠",IF(AND(Q226='G-1 All Habitats'!$X$3,AI226&gt;0),"Any Loss Unacceptable ⚠", E226*G226*I226*L226*N226*P226*T226 ))))),"Check Data ▲")</f>
        <v/>
      </c>
      <c r="S226" s="516"/>
      <c r="T226" s="368" t="str">
        <f>IF(S226="","",IF(VLOOKUP(S226,'G-7 WaterC'' Data'!$AO$4:$BO$7,2,FALSE)=0,"Spatial Data Missing ⚠",VLOOKUP(S226,'G-7 WaterC'' Data'!$AO$4:$BO$7,2,FALSE)))</f>
        <v/>
      </c>
      <c r="U226" s="376" t="str">
        <f>IFERROR(IF(D226="","",IF(AND(Q226='G-1 All Habitats'!$X$3,X226&gt;0),Y226+Z226,IF(AND(Q226='G-1 All Habitats'!$X$3,W226&gt;0),Y226+Z226,IF(AND(Q226='G-1 All Habitats'!$X$3,AH226&gt;0),"Any Loss Unacceptable ⚠",IF(AND(Q226='G-1 All Habitats'!$X$3,AI226&gt;0),"Any Loss Unacceptable ⚠", E226*G226*I226*L226*N226*P226 ))))),"Check Data ▲")</f>
        <v/>
      </c>
      <c r="V226" s="32"/>
      <c r="W226" s="114"/>
      <c r="X226" s="125"/>
      <c r="Y226" s="374" t="str">
        <f t="shared" si="24"/>
        <v/>
      </c>
      <c r="Z226" s="374" t="str">
        <f t="shared" si="25"/>
        <v/>
      </c>
      <c r="AA226" s="374" t="str">
        <f t="shared" si="26"/>
        <v/>
      </c>
      <c r="AB226" s="670" t="str">
        <f t="shared" si="27"/>
        <v/>
      </c>
      <c r="AC226" s="516"/>
      <c r="AD226" s="119"/>
      <c r="AE226" s="120"/>
      <c r="AF226" s="120"/>
      <c r="AG226" s="120"/>
      <c r="AH226" s="57" t="str">
        <f>IF(Q226="","",IF(Q226='G-1 All Habitats'!$X$3,E226-X226-W226,"None"))</f>
        <v/>
      </c>
      <c r="AI226" s="58" t="str">
        <f>IF(Q226="","", IF(Q226='G-1 All Habitats'!$X$3, AH226*G226*I226*L226*N226*P226,"None"))</f>
        <v/>
      </c>
      <c r="AJ226" s="30" t="str">
        <f>IFERROR(INDEX('G-7 WaterC'' Data'!$AZ$3:$AZ$7,MATCH(D226,'G-7 WaterC'' Data'!$AY$3:$AY$7,0)),"")</f>
        <v/>
      </c>
      <c r="AK226" s="30">
        <f t="shared" si="28"/>
        <v>0</v>
      </c>
      <c r="AL226" s="124" t="str">
        <f t="shared" si="29"/>
        <v/>
      </c>
      <c r="AM226" s="124" t="str">
        <f t="shared" si="30"/>
        <v/>
      </c>
      <c r="AO226" s="124">
        <v>217</v>
      </c>
      <c r="AQ226" s="124" t="str">
        <f t="array" ref="AQ226">IFERROR(INDEX($AO$10:$AO$258, MATCH(0, IF(TRUE=$AL$10:$AL$258, COUNTIF($AQ$9:$AQ225, $AO$10:$AO$258), ""), 0)),"")</f>
        <v/>
      </c>
      <c r="AR226" s="124" t="str">
        <f t="array" ref="AR226">IFERROR(INDEX($AO$10:$AO$258, MATCH(0, IF(TRUE=$AM$10:$AM$258, COUNTIF($AR$9:$AR225, $AO$10:$AO$258), ""), 0)),"")</f>
        <v/>
      </c>
      <c r="AZ226" s="802" t="str">
        <f t="shared" si="31"/>
        <v/>
      </c>
    </row>
    <row r="227" spans="3:52" ht="15.75" thickBot="1">
      <c r="C227" s="110">
        <v>218</v>
      </c>
      <c r="D227" s="340"/>
      <c r="E227" s="121"/>
      <c r="F227" s="362" t="str">
        <f>IF(D227="","",VLOOKUP(D227,'G-7 WaterC'' Data'!$B$2:$G$8,2,FALSE))</f>
        <v/>
      </c>
      <c r="G227" s="363" t="str">
        <f>IFERROR(VLOOKUP(F227,'G-7 WaterC'' Data'!$C$4:$D$8,2,FALSE),"")</f>
        <v/>
      </c>
      <c r="H227" s="114"/>
      <c r="I227" s="363" t="str">
        <f>IFERROR(INDEX('G-7 WaterC'' Data'!$H$4:$L$8,MATCH(D227,'G-7 WaterC'' Data'!$B$4:$B$8,0),MATCH(H227,'G-7 WaterC'' Data'!$H$3:$L$3,0)),"")</f>
        <v/>
      </c>
      <c r="J227" s="115"/>
      <c r="K227" s="382" t="str">
        <f>IF(J227="","",IF(VLOOKUP(J227,'G-7 WaterC'' Data'!$AK$4:$AM$9,2,FALSE)=0,"Spatial Data Missing ⚠",VLOOKUP(J227,'G-7 WaterC'' Data'!$AK$4:$AM$6,2,FALSE)))</f>
        <v/>
      </c>
      <c r="L227" s="386" t="str">
        <f>IF(J227="","",IF(VLOOKUP(J227,'G-7 WaterC'' Data'!$AK$4:$AM$9,3,FALSE)=0,"Spatial Data Missing ⚠",VLOOKUP(J227,'G-7 WaterC'' Data'!$AK$4:$AM$6,3,FALSE)))</f>
        <v/>
      </c>
      <c r="M227" s="115"/>
      <c r="N227" s="363" t="str">
        <f>IF(M227="","",IF(VLOOKUP(M227,'G-7 WaterC'' Data'!$AA$4:$AB$7,2,FALSE)=0,"Spatial Data Missing ⚠",VLOOKUP(M227,'G-7 WaterC'' Data'!$AA$4:$AB$7,2,FALSE)))</f>
        <v/>
      </c>
      <c r="O227" s="60"/>
      <c r="P227" s="363" t="str">
        <f>IF(O227="","",IF(VLOOKUP(O227,'G-7 WaterC'' Data'!$AD$4:$AE$14,2,FALSE)=0,"Spatial Data Missing ⚠",VLOOKUP(O227,'G-7 WaterC'' Data'!$AD$4:$AE$14,2,FALSE)))</f>
        <v/>
      </c>
      <c r="Q227" s="369" t="str">
        <f>IF(D227="","",VLOOKUP(D227,'G-7 WaterC'' Data'!$B$4:$G$8,6,FALSE))</f>
        <v/>
      </c>
      <c r="R227" s="376" t="str">
        <f>IFERROR(IF(D227="","",IF(AND(Q227='G-1 All Habitats'!$X$3,X227&gt;0),Y227+(Z227*T227),IF(AND(Q227='G-1 All Habitats'!$X$3,W227&gt;0),Y227+(Z227*T227),IF(AND(Q227='G-1 All Habitats'!$X$3,AH227&gt;0),"Any Loss Unacceptable ⚠",IF(AND(Q227='G-1 All Habitats'!$X$3,AI227&gt;0),"Any Loss Unacceptable ⚠", E227*G227*I227*L227*N227*P227*T227 ))))),"Check Data ▲")</f>
        <v/>
      </c>
      <c r="S227" s="516"/>
      <c r="T227" s="368" t="str">
        <f>IF(S227="","",IF(VLOOKUP(S227,'G-7 WaterC'' Data'!$AO$4:$BO$7,2,FALSE)=0,"Spatial Data Missing ⚠",VLOOKUP(S227,'G-7 WaterC'' Data'!$AO$4:$BO$7,2,FALSE)))</f>
        <v/>
      </c>
      <c r="U227" s="376" t="str">
        <f>IFERROR(IF(D227="","",IF(AND(Q227='G-1 All Habitats'!$X$3,X227&gt;0),Y227+Z227,IF(AND(Q227='G-1 All Habitats'!$X$3,W227&gt;0),Y227+Z227,IF(AND(Q227='G-1 All Habitats'!$X$3,AH227&gt;0),"Any Loss Unacceptable ⚠",IF(AND(Q227='G-1 All Habitats'!$X$3,AI227&gt;0),"Any Loss Unacceptable ⚠", E227*G227*I227*L227*N227*P227 ))))),"Check Data ▲")</f>
        <v/>
      </c>
      <c r="V227" s="32"/>
      <c r="W227" s="114"/>
      <c r="X227" s="125"/>
      <c r="Y227" s="374" t="str">
        <f t="shared" si="24"/>
        <v/>
      </c>
      <c r="Z227" s="374" t="str">
        <f t="shared" si="25"/>
        <v/>
      </c>
      <c r="AA227" s="374" t="str">
        <f t="shared" si="26"/>
        <v/>
      </c>
      <c r="AB227" s="670" t="str">
        <f t="shared" si="27"/>
        <v/>
      </c>
      <c r="AC227" s="516"/>
      <c r="AD227" s="119"/>
      <c r="AE227" s="120"/>
      <c r="AF227" s="120"/>
      <c r="AG227" s="120"/>
      <c r="AH227" s="57" t="str">
        <f>IF(Q227="","",IF(Q227='G-1 All Habitats'!$X$3,E227-X227-W227,"None"))</f>
        <v/>
      </c>
      <c r="AI227" s="58" t="str">
        <f>IF(Q227="","", IF(Q227='G-1 All Habitats'!$X$3, AH227*G227*I227*L227*N227*P227,"None"))</f>
        <v/>
      </c>
      <c r="AJ227" s="30" t="str">
        <f>IFERROR(INDEX('G-7 WaterC'' Data'!$AZ$3:$AZ$7,MATCH(D227,'G-7 WaterC'' Data'!$AY$3:$AY$7,0)),"")</f>
        <v/>
      </c>
      <c r="AK227" s="30">
        <f t="shared" si="28"/>
        <v>0</v>
      </c>
      <c r="AL227" s="124" t="str">
        <f t="shared" si="29"/>
        <v/>
      </c>
      <c r="AM227" s="124" t="str">
        <f t="shared" si="30"/>
        <v/>
      </c>
      <c r="AO227" s="124">
        <v>218</v>
      </c>
      <c r="AQ227" s="124" t="str">
        <f t="array" ref="AQ227">IFERROR(INDEX($AO$10:$AO$258, MATCH(0, IF(TRUE=$AL$10:$AL$258, COUNTIF($AQ$9:$AQ226, $AO$10:$AO$258), ""), 0)),"")</f>
        <v/>
      </c>
      <c r="AR227" s="124" t="str">
        <f t="array" ref="AR227">IFERROR(INDEX($AO$10:$AO$258, MATCH(0, IF(TRUE=$AM$10:$AM$258, COUNTIF($AR$9:$AR226, $AO$10:$AO$258), ""), 0)),"")</f>
        <v/>
      </c>
      <c r="AZ227" s="802" t="str">
        <f t="shared" si="31"/>
        <v/>
      </c>
    </row>
    <row r="228" spans="3:52" ht="15.75" thickBot="1">
      <c r="C228" s="110">
        <v>219</v>
      </c>
      <c r="D228" s="340"/>
      <c r="E228" s="121"/>
      <c r="F228" s="362" t="str">
        <f>IF(D228="","",VLOOKUP(D228,'G-7 WaterC'' Data'!$B$2:$G$8,2,FALSE))</f>
        <v/>
      </c>
      <c r="G228" s="363" t="str">
        <f>IFERROR(VLOOKUP(F228,'G-7 WaterC'' Data'!$C$4:$D$8,2,FALSE),"")</f>
        <v/>
      </c>
      <c r="H228" s="114"/>
      <c r="I228" s="363" t="str">
        <f>IFERROR(INDEX('G-7 WaterC'' Data'!$H$4:$L$8,MATCH(D228,'G-7 WaterC'' Data'!$B$4:$B$8,0),MATCH(H228,'G-7 WaterC'' Data'!$H$3:$L$3,0)),"")</f>
        <v/>
      </c>
      <c r="J228" s="115"/>
      <c r="K228" s="382" t="str">
        <f>IF(J228="","",IF(VLOOKUP(J228,'G-7 WaterC'' Data'!$AK$4:$AM$9,2,FALSE)=0,"Spatial Data Missing ⚠",VLOOKUP(J228,'G-7 WaterC'' Data'!$AK$4:$AM$6,2,FALSE)))</f>
        <v/>
      </c>
      <c r="L228" s="386" t="str">
        <f>IF(J228="","",IF(VLOOKUP(J228,'G-7 WaterC'' Data'!$AK$4:$AM$9,3,FALSE)=0,"Spatial Data Missing ⚠",VLOOKUP(J228,'G-7 WaterC'' Data'!$AK$4:$AM$6,3,FALSE)))</f>
        <v/>
      </c>
      <c r="M228" s="115"/>
      <c r="N228" s="363" t="str">
        <f>IF(M228="","",IF(VLOOKUP(M228,'G-7 WaterC'' Data'!$AA$4:$AB$7,2,FALSE)=0,"Spatial Data Missing ⚠",VLOOKUP(M228,'G-7 WaterC'' Data'!$AA$4:$AB$7,2,FALSE)))</f>
        <v/>
      </c>
      <c r="O228" s="60"/>
      <c r="P228" s="363" t="str">
        <f>IF(O228="","",IF(VLOOKUP(O228,'G-7 WaterC'' Data'!$AD$4:$AE$14,2,FALSE)=0,"Spatial Data Missing ⚠",VLOOKUP(O228,'G-7 WaterC'' Data'!$AD$4:$AE$14,2,FALSE)))</f>
        <v/>
      </c>
      <c r="Q228" s="369" t="str">
        <f>IF(D228="","",VLOOKUP(D228,'G-7 WaterC'' Data'!$B$4:$G$8,6,FALSE))</f>
        <v/>
      </c>
      <c r="R228" s="376" t="str">
        <f>IFERROR(IF(D228="","",IF(AND(Q228='G-1 All Habitats'!$X$3,X228&gt;0),Y228+(Z228*T228),IF(AND(Q228='G-1 All Habitats'!$X$3,W228&gt;0),Y228+(Z228*T228),IF(AND(Q228='G-1 All Habitats'!$X$3,AH228&gt;0),"Any Loss Unacceptable ⚠",IF(AND(Q228='G-1 All Habitats'!$X$3,AI228&gt;0),"Any Loss Unacceptable ⚠", E228*G228*I228*L228*N228*P228*T228 ))))),"Check Data ▲")</f>
        <v/>
      </c>
      <c r="S228" s="516"/>
      <c r="T228" s="368" t="str">
        <f>IF(S228="","",IF(VLOOKUP(S228,'G-7 WaterC'' Data'!$AO$4:$BO$7,2,FALSE)=0,"Spatial Data Missing ⚠",VLOOKUP(S228,'G-7 WaterC'' Data'!$AO$4:$BO$7,2,FALSE)))</f>
        <v/>
      </c>
      <c r="U228" s="376" t="str">
        <f>IFERROR(IF(D228="","",IF(AND(Q228='G-1 All Habitats'!$X$3,X228&gt;0),Y228+Z228,IF(AND(Q228='G-1 All Habitats'!$X$3,W228&gt;0),Y228+Z228,IF(AND(Q228='G-1 All Habitats'!$X$3,AH228&gt;0),"Any Loss Unacceptable ⚠",IF(AND(Q228='G-1 All Habitats'!$X$3,AI228&gt;0),"Any Loss Unacceptable ⚠", E228*G228*I228*L228*N228*P228 ))))),"Check Data ▲")</f>
        <v/>
      </c>
      <c r="V228" s="32"/>
      <c r="W228" s="114"/>
      <c r="X228" s="125"/>
      <c r="Y228" s="374" t="str">
        <f t="shared" si="24"/>
        <v/>
      </c>
      <c r="Z228" s="374" t="str">
        <f t="shared" si="25"/>
        <v/>
      </c>
      <c r="AA228" s="374" t="str">
        <f t="shared" si="26"/>
        <v/>
      </c>
      <c r="AB228" s="670" t="str">
        <f t="shared" si="27"/>
        <v/>
      </c>
      <c r="AC228" s="516"/>
      <c r="AD228" s="119"/>
      <c r="AE228" s="120"/>
      <c r="AF228" s="120"/>
      <c r="AG228" s="120"/>
      <c r="AH228" s="57" t="str">
        <f>IF(Q228="","",IF(Q228='G-1 All Habitats'!$X$3,E228-X228-W228,"None"))</f>
        <v/>
      </c>
      <c r="AI228" s="58" t="str">
        <f>IF(Q228="","", IF(Q228='G-1 All Habitats'!$X$3, AH228*G228*I228*L228*N228*P228,"None"))</f>
        <v/>
      </c>
      <c r="AJ228" s="30" t="str">
        <f>IFERROR(INDEX('G-7 WaterC'' Data'!$AZ$3:$AZ$7,MATCH(D228,'G-7 WaterC'' Data'!$AY$3:$AY$7,0)),"")</f>
        <v/>
      </c>
      <c r="AK228" s="30">
        <f t="shared" si="28"/>
        <v>0</v>
      </c>
      <c r="AL228" s="124" t="str">
        <f t="shared" si="29"/>
        <v/>
      </c>
      <c r="AM228" s="124" t="str">
        <f t="shared" si="30"/>
        <v/>
      </c>
      <c r="AO228" s="124">
        <v>219</v>
      </c>
      <c r="AQ228" s="124" t="str">
        <f t="array" ref="AQ228">IFERROR(INDEX($AO$10:$AO$258, MATCH(0, IF(TRUE=$AL$10:$AL$258, COUNTIF($AQ$9:$AQ227, $AO$10:$AO$258), ""), 0)),"")</f>
        <v/>
      </c>
      <c r="AR228" s="124" t="str">
        <f t="array" ref="AR228">IFERROR(INDEX($AO$10:$AO$258, MATCH(0, IF(TRUE=$AM$10:$AM$258, COUNTIF($AR$9:$AR227, $AO$10:$AO$258), ""), 0)),"")</f>
        <v/>
      </c>
      <c r="AZ228" s="802" t="str">
        <f t="shared" si="31"/>
        <v/>
      </c>
    </row>
    <row r="229" spans="3:52" ht="15.75" thickBot="1">
      <c r="C229" s="110">
        <v>220</v>
      </c>
      <c r="D229" s="340"/>
      <c r="E229" s="121"/>
      <c r="F229" s="362" t="str">
        <f>IF(D229="","",VLOOKUP(D229,'G-7 WaterC'' Data'!$B$2:$G$8,2,FALSE))</f>
        <v/>
      </c>
      <c r="G229" s="363" t="str">
        <f>IFERROR(VLOOKUP(F229,'G-7 WaterC'' Data'!$C$4:$D$8,2,FALSE),"")</f>
        <v/>
      </c>
      <c r="H229" s="114"/>
      <c r="I229" s="363" t="str">
        <f>IFERROR(INDEX('G-7 WaterC'' Data'!$H$4:$L$8,MATCH(D229,'G-7 WaterC'' Data'!$B$4:$B$8,0),MATCH(H229,'G-7 WaterC'' Data'!$H$3:$L$3,0)),"")</f>
        <v/>
      </c>
      <c r="J229" s="115"/>
      <c r="K229" s="382" t="str">
        <f>IF(J229="","",IF(VLOOKUP(J229,'G-7 WaterC'' Data'!$AK$4:$AM$9,2,FALSE)=0,"Spatial Data Missing ⚠",VLOOKUP(J229,'G-7 WaterC'' Data'!$AK$4:$AM$6,2,FALSE)))</f>
        <v/>
      </c>
      <c r="L229" s="386" t="str">
        <f>IF(J229="","",IF(VLOOKUP(J229,'G-7 WaterC'' Data'!$AK$4:$AM$9,3,FALSE)=0,"Spatial Data Missing ⚠",VLOOKUP(J229,'G-7 WaterC'' Data'!$AK$4:$AM$6,3,FALSE)))</f>
        <v/>
      </c>
      <c r="M229" s="115"/>
      <c r="N229" s="363" t="str">
        <f>IF(M229="","",IF(VLOOKUP(M229,'G-7 WaterC'' Data'!$AA$4:$AB$7,2,FALSE)=0,"Spatial Data Missing ⚠",VLOOKUP(M229,'G-7 WaterC'' Data'!$AA$4:$AB$7,2,FALSE)))</f>
        <v/>
      </c>
      <c r="O229" s="60"/>
      <c r="P229" s="363" t="str">
        <f>IF(O229="","",IF(VLOOKUP(O229,'G-7 WaterC'' Data'!$AD$4:$AE$14,2,FALSE)=0,"Spatial Data Missing ⚠",VLOOKUP(O229,'G-7 WaterC'' Data'!$AD$4:$AE$14,2,FALSE)))</f>
        <v/>
      </c>
      <c r="Q229" s="369" t="str">
        <f>IF(D229="","",VLOOKUP(D229,'G-7 WaterC'' Data'!$B$4:$G$8,6,FALSE))</f>
        <v/>
      </c>
      <c r="R229" s="376" t="str">
        <f>IFERROR(IF(D229="","",IF(AND(Q229='G-1 All Habitats'!$X$3,X229&gt;0),Y229+(Z229*T229),IF(AND(Q229='G-1 All Habitats'!$X$3,W229&gt;0),Y229+(Z229*T229),IF(AND(Q229='G-1 All Habitats'!$X$3,AH229&gt;0),"Any Loss Unacceptable ⚠",IF(AND(Q229='G-1 All Habitats'!$X$3,AI229&gt;0),"Any Loss Unacceptable ⚠", E229*G229*I229*L229*N229*P229*T229 ))))),"Check Data ▲")</f>
        <v/>
      </c>
      <c r="S229" s="516"/>
      <c r="T229" s="368" t="str">
        <f>IF(S229="","",IF(VLOOKUP(S229,'G-7 WaterC'' Data'!$AO$4:$BO$7,2,FALSE)=0,"Spatial Data Missing ⚠",VLOOKUP(S229,'G-7 WaterC'' Data'!$AO$4:$BO$7,2,FALSE)))</f>
        <v/>
      </c>
      <c r="U229" s="376" t="str">
        <f>IFERROR(IF(D229="","",IF(AND(Q229='G-1 All Habitats'!$X$3,X229&gt;0),Y229+Z229,IF(AND(Q229='G-1 All Habitats'!$X$3,W229&gt;0),Y229+Z229,IF(AND(Q229='G-1 All Habitats'!$X$3,AH229&gt;0),"Any Loss Unacceptable ⚠",IF(AND(Q229='G-1 All Habitats'!$X$3,AI229&gt;0),"Any Loss Unacceptable ⚠", E229*G229*I229*L229*N229*P229 ))))),"Check Data ▲")</f>
        <v/>
      </c>
      <c r="V229" s="32"/>
      <c r="W229" s="114"/>
      <c r="X229" s="125"/>
      <c r="Y229" s="374" t="str">
        <f t="shared" si="24"/>
        <v/>
      </c>
      <c r="Z229" s="374" t="str">
        <f t="shared" si="25"/>
        <v/>
      </c>
      <c r="AA229" s="374" t="str">
        <f t="shared" si="26"/>
        <v/>
      </c>
      <c r="AB229" s="670" t="str">
        <f t="shared" si="27"/>
        <v/>
      </c>
      <c r="AC229" s="516"/>
      <c r="AD229" s="119"/>
      <c r="AE229" s="120"/>
      <c r="AF229" s="120"/>
      <c r="AG229" s="120"/>
      <c r="AH229" s="57" t="str">
        <f>IF(Q229="","",IF(Q229='G-1 All Habitats'!$X$3,E229-X229-W229,"None"))</f>
        <v/>
      </c>
      <c r="AI229" s="58" t="str">
        <f>IF(Q229="","", IF(Q229='G-1 All Habitats'!$X$3, AH229*G229*I229*L229*N229*P229,"None"))</f>
        <v/>
      </c>
      <c r="AJ229" s="30" t="str">
        <f>IFERROR(INDEX('G-7 WaterC'' Data'!$AZ$3:$AZ$7,MATCH(D229,'G-7 WaterC'' Data'!$AY$3:$AY$7,0)),"")</f>
        <v/>
      </c>
      <c r="AK229" s="30">
        <f t="shared" si="28"/>
        <v>0</v>
      </c>
      <c r="AL229" s="124" t="str">
        <f t="shared" si="29"/>
        <v/>
      </c>
      <c r="AM229" s="124" t="str">
        <f t="shared" si="30"/>
        <v/>
      </c>
      <c r="AO229" s="124">
        <v>220</v>
      </c>
      <c r="AQ229" s="124" t="str">
        <f t="array" ref="AQ229">IFERROR(INDEX($AO$10:$AO$258, MATCH(0, IF(TRUE=$AL$10:$AL$258, COUNTIF($AQ$9:$AQ228, $AO$10:$AO$258), ""), 0)),"")</f>
        <v/>
      </c>
      <c r="AR229" s="124" t="str">
        <f t="array" ref="AR229">IFERROR(INDEX($AO$10:$AO$258, MATCH(0, IF(TRUE=$AM$10:$AM$258, COUNTIF($AR$9:$AR228, $AO$10:$AO$258), ""), 0)),"")</f>
        <v/>
      </c>
      <c r="AZ229" s="802" t="str">
        <f t="shared" si="31"/>
        <v/>
      </c>
    </row>
    <row r="230" spans="3:52" ht="15.75" thickBot="1">
      <c r="C230" s="110">
        <v>221</v>
      </c>
      <c r="D230" s="340"/>
      <c r="E230" s="121"/>
      <c r="F230" s="362" t="str">
        <f>IF(D230="","",VLOOKUP(D230,'G-7 WaterC'' Data'!$B$2:$G$8,2,FALSE))</f>
        <v/>
      </c>
      <c r="G230" s="363" t="str">
        <f>IFERROR(VLOOKUP(F230,'G-7 WaterC'' Data'!$C$4:$D$8,2,FALSE),"")</f>
        <v/>
      </c>
      <c r="H230" s="114"/>
      <c r="I230" s="363" t="str">
        <f>IFERROR(INDEX('G-7 WaterC'' Data'!$H$4:$L$8,MATCH(D230,'G-7 WaterC'' Data'!$B$4:$B$8,0),MATCH(H230,'G-7 WaterC'' Data'!$H$3:$L$3,0)),"")</f>
        <v/>
      </c>
      <c r="J230" s="115"/>
      <c r="K230" s="382" t="str">
        <f>IF(J230="","",IF(VLOOKUP(J230,'G-7 WaterC'' Data'!$AK$4:$AM$9,2,FALSE)=0,"Spatial Data Missing ⚠",VLOOKUP(J230,'G-7 WaterC'' Data'!$AK$4:$AM$6,2,FALSE)))</f>
        <v/>
      </c>
      <c r="L230" s="386" t="str">
        <f>IF(J230="","",IF(VLOOKUP(J230,'G-7 WaterC'' Data'!$AK$4:$AM$9,3,FALSE)=0,"Spatial Data Missing ⚠",VLOOKUP(J230,'G-7 WaterC'' Data'!$AK$4:$AM$6,3,FALSE)))</f>
        <v/>
      </c>
      <c r="M230" s="115"/>
      <c r="N230" s="363" t="str">
        <f>IF(M230="","",IF(VLOOKUP(M230,'G-7 WaterC'' Data'!$AA$4:$AB$7,2,FALSE)=0,"Spatial Data Missing ⚠",VLOOKUP(M230,'G-7 WaterC'' Data'!$AA$4:$AB$7,2,FALSE)))</f>
        <v/>
      </c>
      <c r="O230" s="60"/>
      <c r="P230" s="363" t="str">
        <f>IF(O230="","",IF(VLOOKUP(O230,'G-7 WaterC'' Data'!$AD$4:$AE$14,2,FALSE)=0,"Spatial Data Missing ⚠",VLOOKUP(O230,'G-7 WaterC'' Data'!$AD$4:$AE$14,2,FALSE)))</f>
        <v/>
      </c>
      <c r="Q230" s="369" t="str">
        <f>IF(D230="","",VLOOKUP(D230,'G-7 WaterC'' Data'!$B$4:$G$8,6,FALSE))</f>
        <v/>
      </c>
      <c r="R230" s="376" t="str">
        <f>IFERROR(IF(D230="","",IF(AND(Q230='G-1 All Habitats'!$X$3,X230&gt;0),Y230+(Z230*T230),IF(AND(Q230='G-1 All Habitats'!$X$3,W230&gt;0),Y230+(Z230*T230),IF(AND(Q230='G-1 All Habitats'!$X$3,AH230&gt;0),"Any Loss Unacceptable ⚠",IF(AND(Q230='G-1 All Habitats'!$X$3,AI230&gt;0),"Any Loss Unacceptable ⚠", E230*G230*I230*L230*N230*P230*T230 ))))),"Check Data ▲")</f>
        <v/>
      </c>
      <c r="S230" s="516"/>
      <c r="T230" s="368" t="str">
        <f>IF(S230="","",IF(VLOOKUP(S230,'G-7 WaterC'' Data'!$AO$4:$BO$7,2,FALSE)=0,"Spatial Data Missing ⚠",VLOOKUP(S230,'G-7 WaterC'' Data'!$AO$4:$BO$7,2,FALSE)))</f>
        <v/>
      </c>
      <c r="U230" s="376" t="str">
        <f>IFERROR(IF(D230="","",IF(AND(Q230='G-1 All Habitats'!$X$3,X230&gt;0),Y230+Z230,IF(AND(Q230='G-1 All Habitats'!$X$3,W230&gt;0),Y230+Z230,IF(AND(Q230='G-1 All Habitats'!$X$3,AH230&gt;0),"Any Loss Unacceptable ⚠",IF(AND(Q230='G-1 All Habitats'!$X$3,AI230&gt;0),"Any Loss Unacceptable ⚠", E230*G230*I230*L230*N230*P230 ))))),"Check Data ▲")</f>
        <v/>
      </c>
      <c r="V230" s="32"/>
      <c r="W230" s="114"/>
      <c r="X230" s="125"/>
      <c r="Y230" s="374" t="str">
        <f t="shared" si="24"/>
        <v/>
      </c>
      <c r="Z230" s="374" t="str">
        <f t="shared" si="25"/>
        <v/>
      </c>
      <c r="AA230" s="374" t="str">
        <f t="shared" si="26"/>
        <v/>
      </c>
      <c r="AB230" s="670" t="str">
        <f t="shared" si="27"/>
        <v/>
      </c>
      <c r="AC230" s="516"/>
      <c r="AD230" s="119"/>
      <c r="AE230" s="120"/>
      <c r="AF230" s="120"/>
      <c r="AG230" s="120"/>
      <c r="AH230" s="57" t="str">
        <f>IF(Q230="","",IF(Q230='G-1 All Habitats'!$X$3,E230-X230-W230,"None"))</f>
        <v/>
      </c>
      <c r="AI230" s="58" t="str">
        <f>IF(Q230="","", IF(Q230='G-1 All Habitats'!$X$3, AH230*G230*I230*L230*N230*P230,"None"))</f>
        <v/>
      </c>
      <c r="AJ230" s="30" t="str">
        <f>IFERROR(INDEX('G-7 WaterC'' Data'!$AZ$3:$AZ$7,MATCH(D230,'G-7 WaterC'' Data'!$AY$3:$AY$7,0)),"")</f>
        <v/>
      </c>
      <c r="AK230" s="30">
        <f t="shared" si="28"/>
        <v>0</v>
      </c>
      <c r="AL230" s="124" t="str">
        <f t="shared" si="29"/>
        <v/>
      </c>
      <c r="AM230" s="124" t="str">
        <f t="shared" si="30"/>
        <v/>
      </c>
      <c r="AO230" s="124">
        <v>221</v>
      </c>
      <c r="AQ230" s="124" t="str">
        <f t="array" ref="AQ230">IFERROR(INDEX($AO$10:$AO$258, MATCH(0, IF(TRUE=$AL$10:$AL$258, COUNTIF($AQ$9:$AQ229, $AO$10:$AO$258), ""), 0)),"")</f>
        <v/>
      </c>
      <c r="AR230" s="124" t="str">
        <f t="array" ref="AR230">IFERROR(INDEX($AO$10:$AO$258, MATCH(0, IF(TRUE=$AM$10:$AM$258, COUNTIF($AR$9:$AR229, $AO$10:$AO$258), ""), 0)),"")</f>
        <v/>
      </c>
      <c r="AZ230" s="802" t="str">
        <f t="shared" si="31"/>
        <v/>
      </c>
    </row>
    <row r="231" spans="3:52" ht="15.75" thickBot="1">
      <c r="C231" s="110">
        <v>222</v>
      </c>
      <c r="D231" s="340"/>
      <c r="E231" s="121"/>
      <c r="F231" s="362" t="str">
        <f>IF(D231="","",VLOOKUP(D231,'G-7 WaterC'' Data'!$B$2:$G$8,2,FALSE))</f>
        <v/>
      </c>
      <c r="G231" s="363" t="str">
        <f>IFERROR(VLOOKUP(F231,'G-7 WaterC'' Data'!$C$4:$D$8,2,FALSE),"")</f>
        <v/>
      </c>
      <c r="H231" s="114"/>
      <c r="I231" s="363" t="str">
        <f>IFERROR(INDEX('G-7 WaterC'' Data'!$H$4:$L$8,MATCH(D231,'G-7 WaterC'' Data'!$B$4:$B$8,0),MATCH(H231,'G-7 WaterC'' Data'!$H$3:$L$3,0)),"")</f>
        <v/>
      </c>
      <c r="J231" s="115"/>
      <c r="K231" s="382" t="str">
        <f>IF(J231="","",IF(VLOOKUP(J231,'G-7 WaterC'' Data'!$AK$4:$AM$9,2,FALSE)=0,"Spatial Data Missing ⚠",VLOOKUP(J231,'G-7 WaterC'' Data'!$AK$4:$AM$6,2,FALSE)))</f>
        <v/>
      </c>
      <c r="L231" s="386" t="str">
        <f>IF(J231="","",IF(VLOOKUP(J231,'G-7 WaterC'' Data'!$AK$4:$AM$9,3,FALSE)=0,"Spatial Data Missing ⚠",VLOOKUP(J231,'G-7 WaterC'' Data'!$AK$4:$AM$6,3,FALSE)))</f>
        <v/>
      </c>
      <c r="M231" s="115"/>
      <c r="N231" s="363" t="str">
        <f>IF(M231="","",IF(VLOOKUP(M231,'G-7 WaterC'' Data'!$AA$4:$AB$7,2,FALSE)=0,"Spatial Data Missing ⚠",VLOOKUP(M231,'G-7 WaterC'' Data'!$AA$4:$AB$7,2,FALSE)))</f>
        <v/>
      </c>
      <c r="O231" s="60"/>
      <c r="P231" s="363" t="str">
        <f>IF(O231="","",IF(VLOOKUP(O231,'G-7 WaterC'' Data'!$AD$4:$AE$14,2,FALSE)=0,"Spatial Data Missing ⚠",VLOOKUP(O231,'G-7 WaterC'' Data'!$AD$4:$AE$14,2,FALSE)))</f>
        <v/>
      </c>
      <c r="Q231" s="369" t="str">
        <f>IF(D231="","",VLOOKUP(D231,'G-7 WaterC'' Data'!$B$4:$G$8,6,FALSE))</f>
        <v/>
      </c>
      <c r="R231" s="376" t="str">
        <f>IFERROR(IF(D231="","",IF(AND(Q231='G-1 All Habitats'!$X$3,X231&gt;0),Y231+(Z231*T231),IF(AND(Q231='G-1 All Habitats'!$X$3,W231&gt;0),Y231+(Z231*T231),IF(AND(Q231='G-1 All Habitats'!$X$3,AH231&gt;0),"Any Loss Unacceptable ⚠",IF(AND(Q231='G-1 All Habitats'!$X$3,AI231&gt;0),"Any Loss Unacceptable ⚠", E231*G231*I231*L231*N231*P231*T231 ))))),"Check Data ▲")</f>
        <v/>
      </c>
      <c r="S231" s="516"/>
      <c r="T231" s="368" t="str">
        <f>IF(S231="","",IF(VLOOKUP(S231,'G-7 WaterC'' Data'!$AO$4:$BO$7,2,FALSE)=0,"Spatial Data Missing ⚠",VLOOKUP(S231,'G-7 WaterC'' Data'!$AO$4:$BO$7,2,FALSE)))</f>
        <v/>
      </c>
      <c r="U231" s="376" t="str">
        <f>IFERROR(IF(D231="","",IF(AND(Q231='G-1 All Habitats'!$X$3,X231&gt;0),Y231+Z231,IF(AND(Q231='G-1 All Habitats'!$X$3,W231&gt;0),Y231+Z231,IF(AND(Q231='G-1 All Habitats'!$X$3,AH231&gt;0),"Any Loss Unacceptable ⚠",IF(AND(Q231='G-1 All Habitats'!$X$3,AI231&gt;0),"Any Loss Unacceptable ⚠", E231*G231*I231*L231*N231*P231 ))))),"Check Data ▲")</f>
        <v/>
      </c>
      <c r="V231" s="32"/>
      <c r="W231" s="114"/>
      <c r="X231" s="125"/>
      <c r="Y231" s="374" t="str">
        <f t="shared" si="24"/>
        <v/>
      </c>
      <c r="Z231" s="374" t="str">
        <f t="shared" si="25"/>
        <v/>
      </c>
      <c r="AA231" s="374" t="str">
        <f t="shared" si="26"/>
        <v/>
      </c>
      <c r="AB231" s="670" t="str">
        <f t="shared" si="27"/>
        <v/>
      </c>
      <c r="AC231" s="516"/>
      <c r="AD231" s="119"/>
      <c r="AE231" s="120"/>
      <c r="AF231" s="120"/>
      <c r="AG231" s="120"/>
      <c r="AH231" s="57" t="str">
        <f>IF(Q231="","",IF(Q231='G-1 All Habitats'!$X$3,E231-X231-W231,"None"))</f>
        <v/>
      </c>
      <c r="AI231" s="58" t="str">
        <f>IF(Q231="","", IF(Q231='G-1 All Habitats'!$X$3, AH231*G231*I231*L231*N231*P231,"None"))</f>
        <v/>
      </c>
      <c r="AJ231" s="30" t="str">
        <f>IFERROR(INDEX('G-7 WaterC'' Data'!$AZ$3:$AZ$7,MATCH(D231,'G-7 WaterC'' Data'!$AY$3:$AY$7,0)),"")</f>
        <v/>
      </c>
      <c r="AK231" s="30">
        <f t="shared" si="28"/>
        <v>0</v>
      </c>
      <c r="AL231" s="124" t="str">
        <f t="shared" si="29"/>
        <v/>
      </c>
      <c r="AM231" s="124" t="str">
        <f t="shared" si="30"/>
        <v/>
      </c>
      <c r="AO231" s="124">
        <v>222</v>
      </c>
      <c r="AQ231" s="124" t="str">
        <f t="array" ref="AQ231">IFERROR(INDEX($AO$10:$AO$258, MATCH(0, IF(TRUE=$AL$10:$AL$258, COUNTIF($AQ$9:$AQ230, $AO$10:$AO$258), ""), 0)),"")</f>
        <v/>
      </c>
      <c r="AR231" s="124" t="str">
        <f t="array" ref="AR231">IFERROR(INDEX($AO$10:$AO$258, MATCH(0, IF(TRUE=$AM$10:$AM$258, COUNTIF($AR$9:$AR230, $AO$10:$AO$258), ""), 0)),"")</f>
        <v/>
      </c>
      <c r="AZ231" s="802" t="str">
        <f t="shared" si="31"/>
        <v/>
      </c>
    </row>
    <row r="232" spans="3:52" ht="15.75" thickBot="1">
      <c r="C232" s="110">
        <v>223</v>
      </c>
      <c r="D232" s="340"/>
      <c r="E232" s="121"/>
      <c r="F232" s="362" t="str">
        <f>IF(D232="","",VLOOKUP(D232,'G-7 WaterC'' Data'!$B$2:$G$8,2,FALSE))</f>
        <v/>
      </c>
      <c r="G232" s="363" t="str">
        <f>IFERROR(VLOOKUP(F232,'G-7 WaterC'' Data'!$C$4:$D$8,2,FALSE),"")</f>
        <v/>
      </c>
      <c r="H232" s="114"/>
      <c r="I232" s="363" t="str">
        <f>IFERROR(INDEX('G-7 WaterC'' Data'!$H$4:$L$8,MATCH(D232,'G-7 WaterC'' Data'!$B$4:$B$8,0),MATCH(H232,'G-7 WaterC'' Data'!$H$3:$L$3,0)),"")</f>
        <v/>
      </c>
      <c r="J232" s="115"/>
      <c r="K232" s="382" t="str">
        <f>IF(J232="","",IF(VLOOKUP(J232,'G-7 WaterC'' Data'!$AK$4:$AM$9,2,FALSE)=0,"Spatial Data Missing ⚠",VLOOKUP(J232,'G-7 WaterC'' Data'!$AK$4:$AM$6,2,FALSE)))</f>
        <v/>
      </c>
      <c r="L232" s="386" t="str">
        <f>IF(J232="","",IF(VLOOKUP(J232,'G-7 WaterC'' Data'!$AK$4:$AM$9,3,FALSE)=0,"Spatial Data Missing ⚠",VLOOKUP(J232,'G-7 WaterC'' Data'!$AK$4:$AM$6,3,FALSE)))</f>
        <v/>
      </c>
      <c r="M232" s="115"/>
      <c r="N232" s="363" t="str">
        <f>IF(M232="","",IF(VLOOKUP(M232,'G-7 WaterC'' Data'!$AA$4:$AB$7,2,FALSE)=0,"Spatial Data Missing ⚠",VLOOKUP(M232,'G-7 WaterC'' Data'!$AA$4:$AB$7,2,FALSE)))</f>
        <v/>
      </c>
      <c r="O232" s="60"/>
      <c r="P232" s="363" t="str">
        <f>IF(O232="","",IF(VLOOKUP(O232,'G-7 WaterC'' Data'!$AD$4:$AE$14,2,FALSE)=0,"Spatial Data Missing ⚠",VLOOKUP(O232,'G-7 WaterC'' Data'!$AD$4:$AE$14,2,FALSE)))</f>
        <v/>
      </c>
      <c r="Q232" s="369" t="str">
        <f>IF(D232="","",VLOOKUP(D232,'G-7 WaterC'' Data'!$B$4:$G$8,6,FALSE))</f>
        <v/>
      </c>
      <c r="R232" s="376" t="str">
        <f>IFERROR(IF(D232="","",IF(AND(Q232='G-1 All Habitats'!$X$3,X232&gt;0),Y232+(Z232*T232),IF(AND(Q232='G-1 All Habitats'!$X$3,W232&gt;0),Y232+(Z232*T232),IF(AND(Q232='G-1 All Habitats'!$X$3,AH232&gt;0),"Any Loss Unacceptable ⚠",IF(AND(Q232='G-1 All Habitats'!$X$3,AI232&gt;0),"Any Loss Unacceptable ⚠", E232*G232*I232*L232*N232*P232*T232 ))))),"Check Data ▲")</f>
        <v/>
      </c>
      <c r="S232" s="516"/>
      <c r="T232" s="368" t="str">
        <f>IF(S232="","",IF(VLOOKUP(S232,'G-7 WaterC'' Data'!$AO$4:$BO$7,2,FALSE)=0,"Spatial Data Missing ⚠",VLOOKUP(S232,'G-7 WaterC'' Data'!$AO$4:$BO$7,2,FALSE)))</f>
        <v/>
      </c>
      <c r="U232" s="376" t="str">
        <f>IFERROR(IF(D232="","",IF(AND(Q232='G-1 All Habitats'!$X$3,X232&gt;0),Y232+Z232,IF(AND(Q232='G-1 All Habitats'!$X$3,W232&gt;0),Y232+Z232,IF(AND(Q232='G-1 All Habitats'!$X$3,AH232&gt;0),"Any Loss Unacceptable ⚠",IF(AND(Q232='G-1 All Habitats'!$X$3,AI232&gt;0),"Any Loss Unacceptable ⚠", E232*G232*I232*L232*N232*P232 ))))),"Check Data ▲")</f>
        <v/>
      </c>
      <c r="V232" s="32"/>
      <c r="W232" s="114"/>
      <c r="X232" s="125"/>
      <c r="Y232" s="374" t="str">
        <f t="shared" si="24"/>
        <v/>
      </c>
      <c r="Z232" s="374" t="str">
        <f t="shared" si="25"/>
        <v/>
      </c>
      <c r="AA232" s="374" t="str">
        <f t="shared" si="26"/>
        <v/>
      </c>
      <c r="AB232" s="670" t="str">
        <f>IFERROR(IF(E232="","",IF((Y232+Z232)&gt;U232,0, IF(AND(AC232="Yes", D232="Priority habitat"), "Alternative compensation agreed ✓", IF(AND(D232="Priority habitat", X232+W232&lt;&gt;E232), "Any loss unacceptable ▲", U232-Y232-Z232)))),"Check Data ⚠")</f>
        <v/>
      </c>
      <c r="AC232" s="516"/>
      <c r="AD232" s="119"/>
      <c r="AE232" s="120"/>
      <c r="AF232" s="120"/>
      <c r="AG232" s="120"/>
      <c r="AH232" s="57" t="str">
        <f>IF(Q232="","",IF(Q232='G-1 All Habitats'!$X$3,E232-X232-W232,"None"))</f>
        <v/>
      </c>
      <c r="AI232" s="58" t="str">
        <f>IF(Q232="","", IF(Q232='G-1 All Habitats'!$X$3, AH232*G232*I232*L232*N232*P232,"None"))</f>
        <v/>
      </c>
      <c r="AJ232" s="30" t="str">
        <f>IFERROR(INDEX('G-7 WaterC'' Data'!$AZ$3:$AZ$7,MATCH(D232,'G-7 WaterC'' Data'!$AY$3:$AY$7,0)),"")</f>
        <v/>
      </c>
      <c r="AK232" s="30">
        <f t="shared" si="28"/>
        <v>0</v>
      </c>
      <c r="AL232" s="124" t="str">
        <f t="shared" si="29"/>
        <v/>
      </c>
      <c r="AM232" s="124" t="str">
        <f t="shared" si="30"/>
        <v/>
      </c>
      <c r="AO232" s="124">
        <v>223</v>
      </c>
      <c r="AQ232" s="124" t="str">
        <f t="array" ref="AQ232">IFERROR(INDEX($AO$10:$AO$258, MATCH(0, IF(TRUE=$AL$10:$AL$258, COUNTIF($AQ$9:$AQ231, $AO$10:$AO$258), ""), 0)),"")</f>
        <v/>
      </c>
      <c r="AR232" s="124" t="str">
        <f t="array" ref="AR232">IFERROR(INDEX($AO$10:$AO$258, MATCH(0, IF(TRUE=$AM$10:$AM$258, COUNTIF($AR$9:$AR231, $AO$10:$AO$258), ""), 0)),"")</f>
        <v/>
      </c>
      <c r="AZ232" s="802" t="str">
        <f t="shared" si="31"/>
        <v/>
      </c>
    </row>
    <row r="233" spans="3:52" ht="15.75" thickBot="1">
      <c r="C233" s="110">
        <v>224</v>
      </c>
      <c r="D233" s="340"/>
      <c r="E233" s="121"/>
      <c r="F233" s="362" t="str">
        <f>IF(D233="","",VLOOKUP(D233,'G-7 WaterC'' Data'!$B$2:$G$8,2,FALSE))</f>
        <v/>
      </c>
      <c r="G233" s="363" t="str">
        <f>IFERROR(VLOOKUP(F233,'G-7 WaterC'' Data'!$C$4:$D$8,2,FALSE),"")</f>
        <v/>
      </c>
      <c r="H233" s="114"/>
      <c r="I233" s="363" t="str">
        <f>IFERROR(INDEX('G-7 WaterC'' Data'!$H$4:$L$8,MATCH(D233,'G-7 WaterC'' Data'!$B$4:$B$8,0),MATCH(H233,'G-7 WaterC'' Data'!$H$3:$L$3,0)),"")</f>
        <v/>
      </c>
      <c r="J233" s="115"/>
      <c r="K233" s="382" t="str">
        <f>IF(J233="","",IF(VLOOKUP(J233,'G-7 WaterC'' Data'!$AK$4:$AM$9,2,FALSE)=0,"Spatial Data Missing ⚠",VLOOKUP(J233,'G-7 WaterC'' Data'!$AK$4:$AM$6,2,FALSE)))</f>
        <v/>
      </c>
      <c r="L233" s="386" t="str">
        <f>IF(J233="","",IF(VLOOKUP(J233,'G-7 WaterC'' Data'!$AK$4:$AM$9,3,FALSE)=0,"Spatial Data Missing ⚠",VLOOKUP(J233,'G-7 WaterC'' Data'!$AK$4:$AM$6,3,FALSE)))</f>
        <v/>
      </c>
      <c r="M233" s="115"/>
      <c r="N233" s="363" t="str">
        <f>IF(M233="","",IF(VLOOKUP(M233,'G-7 WaterC'' Data'!$AA$4:$AB$7,2,FALSE)=0,"Spatial Data Missing ⚠",VLOOKUP(M233,'G-7 WaterC'' Data'!$AA$4:$AB$7,2,FALSE)))</f>
        <v/>
      </c>
      <c r="O233" s="60"/>
      <c r="P233" s="363" t="str">
        <f>IF(O233="","",IF(VLOOKUP(O233,'G-7 WaterC'' Data'!$AD$4:$AE$14,2,FALSE)=0,"Spatial Data Missing ⚠",VLOOKUP(O233,'G-7 WaterC'' Data'!$AD$4:$AE$14,2,FALSE)))</f>
        <v/>
      </c>
      <c r="Q233" s="369" t="str">
        <f>IF(D233="","",VLOOKUP(D233,'G-7 WaterC'' Data'!$B$4:$G$8,6,FALSE))</f>
        <v/>
      </c>
      <c r="R233" s="376" t="str">
        <f>IFERROR(IF(D233="","",IF(AND(Q233='G-1 All Habitats'!$X$3,X233&gt;0),Y233+(Z233*T233),IF(AND(Q233='G-1 All Habitats'!$X$3,W233&gt;0),Y233+(Z233*T233),IF(AND(Q233='G-1 All Habitats'!$X$3,AH233&gt;0),"Any Loss Unacceptable ⚠",IF(AND(Q233='G-1 All Habitats'!$X$3,AI233&gt;0),"Any Loss Unacceptable ⚠", E233*G233*I233*L233*N233*P233*T233 ))))),"Check Data ▲")</f>
        <v/>
      </c>
      <c r="S233" s="516"/>
      <c r="T233" s="368" t="str">
        <f>IF(S233="","",IF(VLOOKUP(S233,'G-7 WaterC'' Data'!$AO$4:$BO$7,2,FALSE)=0,"Spatial Data Missing ⚠",VLOOKUP(S233,'G-7 WaterC'' Data'!$AO$4:$BO$7,2,FALSE)))</f>
        <v/>
      </c>
      <c r="U233" s="376" t="str">
        <f>IFERROR(IF(D233="","",IF(AND(Q233='G-1 All Habitats'!$X$3,X233&gt;0),Y233+Z233,IF(AND(Q233='G-1 All Habitats'!$X$3,W233&gt;0),Y233+Z233,IF(AND(Q233='G-1 All Habitats'!$X$3,AH233&gt;0),"Any Loss Unacceptable ⚠",IF(AND(Q233='G-1 All Habitats'!$X$3,AI233&gt;0),"Any Loss Unacceptable ⚠", E233*G233*I233*L233*N233*P233 ))))),"Check Data ▲")</f>
        <v/>
      </c>
      <c r="V233" s="32"/>
      <c r="W233" s="114"/>
      <c r="X233" s="125"/>
      <c r="Y233" s="374" t="str">
        <f t="shared" si="24"/>
        <v/>
      </c>
      <c r="Z233" s="374" t="str">
        <f t="shared" si="25"/>
        <v/>
      </c>
      <c r="AA233" s="374" t="str">
        <f t="shared" si="26"/>
        <v/>
      </c>
      <c r="AB233" s="670" t="str">
        <f t="shared" si="27"/>
        <v/>
      </c>
      <c r="AC233" s="516"/>
      <c r="AD233" s="119"/>
      <c r="AE233" s="120"/>
      <c r="AF233" s="120"/>
      <c r="AG233" s="120"/>
      <c r="AH233" s="57" t="str">
        <f>IF(Q233="","",IF(Q233='G-1 All Habitats'!$X$3,E233-X233-W233,"None"))</f>
        <v/>
      </c>
      <c r="AI233" s="58" t="str">
        <f>IF(Q233="","", IF(Q233='G-1 All Habitats'!$X$3, AH233*G233*I233*L233*N233*P233,"None"))</f>
        <v/>
      </c>
      <c r="AJ233" s="30" t="str">
        <f>IFERROR(INDEX('G-7 WaterC'' Data'!$AZ$3:$AZ$7,MATCH(D233,'G-7 WaterC'' Data'!$AY$3:$AY$7,0)),"")</f>
        <v/>
      </c>
      <c r="AK233" s="30">
        <f t="shared" si="28"/>
        <v>0</v>
      </c>
      <c r="AL233" s="124" t="str">
        <f t="shared" si="29"/>
        <v/>
      </c>
      <c r="AM233" s="124" t="str">
        <f t="shared" si="30"/>
        <v/>
      </c>
      <c r="AO233" s="124">
        <v>224</v>
      </c>
      <c r="AQ233" s="124" t="str">
        <f t="array" ref="AQ233">IFERROR(INDEX($AO$10:$AO$258, MATCH(0, IF(TRUE=$AL$10:$AL$258, COUNTIF($AQ$9:$AQ232, $AO$10:$AO$258), ""), 0)),"")</f>
        <v/>
      </c>
      <c r="AR233" s="124" t="str">
        <f t="array" ref="AR233">IFERROR(INDEX($AO$10:$AO$258, MATCH(0, IF(TRUE=$AM$10:$AM$258, COUNTIF($AR$9:$AR232, $AO$10:$AO$258), ""), 0)),"")</f>
        <v/>
      </c>
      <c r="AZ233" s="802" t="str">
        <f t="shared" si="31"/>
        <v/>
      </c>
    </row>
    <row r="234" spans="3:52" ht="15.75" thickBot="1">
      <c r="C234" s="110">
        <v>225</v>
      </c>
      <c r="D234" s="340"/>
      <c r="E234" s="121"/>
      <c r="F234" s="362" t="str">
        <f>IF(D234="","",VLOOKUP(D234,'G-7 WaterC'' Data'!$B$2:$G$8,2,FALSE))</f>
        <v/>
      </c>
      <c r="G234" s="363" t="str">
        <f>IFERROR(VLOOKUP(F234,'G-7 WaterC'' Data'!$C$4:$D$8,2,FALSE),"")</f>
        <v/>
      </c>
      <c r="H234" s="114"/>
      <c r="I234" s="363" t="str">
        <f>IFERROR(INDEX('G-7 WaterC'' Data'!$H$4:$L$8,MATCH(D234,'G-7 WaterC'' Data'!$B$4:$B$8,0),MATCH(H234,'G-7 WaterC'' Data'!$H$3:$L$3,0)),"")</f>
        <v/>
      </c>
      <c r="J234" s="115"/>
      <c r="K234" s="382" t="str">
        <f>IF(J234="","",IF(VLOOKUP(J234,'G-7 WaterC'' Data'!$AK$4:$AM$9,2,FALSE)=0,"Spatial Data Missing ⚠",VLOOKUP(J234,'G-7 WaterC'' Data'!$AK$4:$AM$6,2,FALSE)))</f>
        <v/>
      </c>
      <c r="L234" s="386" t="str">
        <f>IF(J234="","",IF(VLOOKUP(J234,'G-7 WaterC'' Data'!$AK$4:$AM$9,3,FALSE)=0,"Spatial Data Missing ⚠",VLOOKUP(J234,'G-7 WaterC'' Data'!$AK$4:$AM$6,3,FALSE)))</f>
        <v/>
      </c>
      <c r="M234" s="115"/>
      <c r="N234" s="363" t="str">
        <f>IF(M234="","",IF(VLOOKUP(M234,'G-7 WaterC'' Data'!$AA$4:$AB$7,2,FALSE)=0,"Spatial Data Missing ⚠",VLOOKUP(M234,'G-7 WaterC'' Data'!$AA$4:$AB$7,2,FALSE)))</f>
        <v/>
      </c>
      <c r="O234" s="60"/>
      <c r="P234" s="363" t="str">
        <f>IF(O234="","",IF(VLOOKUP(O234,'G-7 WaterC'' Data'!$AD$4:$AE$14,2,FALSE)=0,"Spatial Data Missing ⚠",VLOOKUP(O234,'G-7 WaterC'' Data'!$AD$4:$AE$14,2,FALSE)))</f>
        <v/>
      </c>
      <c r="Q234" s="369" t="str">
        <f>IF(D234="","",VLOOKUP(D234,'G-7 WaterC'' Data'!$B$4:$G$8,6,FALSE))</f>
        <v/>
      </c>
      <c r="R234" s="376" t="str">
        <f>IFERROR(IF(D234="","",IF(AND(Q234='G-1 All Habitats'!$X$3,X234&gt;0),Y234+(Z234*T234),IF(AND(Q234='G-1 All Habitats'!$X$3,W234&gt;0),Y234+(Z234*T234),IF(AND(Q234='G-1 All Habitats'!$X$3,AH234&gt;0),"Any Loss Unacceptable ⚠",IF(AND(Q234='G-1 All Habitats'!$X$3,AI234&gt;0),"Any Loss Unacceptable ⚠", E234*G234*I234*L234*N234*P234*T234 ))))),"Check Data ▲")</f>
        <v/>
      </c>
      <c r="S234" s="516"/>
      <c r="T234" s="368" t="str">
        <f>IF(S234="","",IF(VLOOKUP(S234,'G-7 WaterC'' Data'!$AO$4:$BO$7,2,FALSE)=0,"Spatial Data Missing ⚠",VLOOKUP(S234,'G-7 WaterC'' Data'!$AO$4:$BO$7,2,FALSE)))</f>
        <v/>
      </c>
      <c r="U234" s="376" t="str">
        <f>IFERROR(IF(D234="","",IF(AND(Q234='G-1 All Habitats'!$X$3,X234&gt;0),Y234+Z234,IF(AND(Q234='G-1 All Habitats'!$X$3,W234&gt;0),Y234+Z234,IF(AND(Q234='G-1 All Habitats'!$X$3,AH234&gt;0),"Any Loss Unacceptable ⚠",IF(AND(Q234='G-1 All Habitats'!$X$3,AI234&gt;0),"Any Loss Unacceptable ⚠", E234*G234*I234*L234*N234*P234 ))))),"Check Data ▲")</f>
        <v/>
      </c>
      <c r="V234" s="32"/>
      <c r="W234" s="114"/>
      <c r="X234" s="125"/>
      <c r="Y234" s="374" t="str">
        <f t="shared" si="24"/>
        <v/>
      </c>
      <c r="Z234" s="374" t="str">
        <f t="shared" si="25"/>
        <v/>
      </c>
      <c r="AA234" s="374" t="str">
        <f t="shared" si="26"/>
        <v/>
      </c>
      <c r="AB234" s="670" t="str">
        <f t="shared" si="27"/>
        <v/>
      </c>
      <c r="AC234" s="516"/>
      <c r="AD234" s="119"/>
      <c r="AE234" s="120"/>
      <c r="AF234" s="120"/>
      <c r="AG234" s="120"/>
      <c r="AH234" s="57" t="str">
        <f>IF(Q234="","",IF(Q234='G-1 All Habitats'!$X$3,E234-X234-W234,"None"))</f>
        <v/>
      </c>
      <c r="AI234" s="58" t="str">
        <f>IF(Q234="","", IF(Q234='G-1 All Habitats'!$X$3, AH234*G234*I234*L234*N234*P234,"None"))</f>
        <v/>
      </c>
      <c r="AJ234" s="30" t="str">
        <f>IFERROR(INDEX('G-7 WaterC'' Data'!$AZ$3:$AZ$7,MATCH(D234,'G-7 WaterC'' Data'!$AY$3:$AY$7,0)),"")</f>
        <v/>
      </c>
      <c r="AK234" s="30">
        <f t="shared" si="28"/>
        <v>0</v>
      </c>
      <c r="AL234" s="124" t="str">
        <f t="shared" si="29"/>
        <v/>
      </c>
      <c r="AM234" s="124" t="str">
        <f t="shared" si="30"/>
        <v/>
      </c>
      <c r="AO234" s="124">
        <v>225</v>
      </c>
      <c r="AQ234" s="124" t="str">
        <f t="array" ref="AQ234">IFERROR(INDEX($AO$10:$AO$258, MATCH(0, IF(TRUE=$AL$10:$AL$258, COUNTIF($AQ$9:$AQ233, $AO$10:$AO$258), ""), 0)),"")</f>
        <v/>
      </c>
      <c r="AR234" s="124" t="str">
        <f t="array" ref="AR234">IFERROR(INDEX($AO$10:$AO$258, MATCH(0, IF(TRUE=$AM$10:$AM$258, COUNTIF($AR$9:$AR233, $AO$10:$AO$258), ""), 0)),"")</f>
        <v/>
      </c>
      <c r="AZ234" s="802" t="str">
        <f t="shared" si="31"/>
        <v/>
      </c>
    </row>
    <row r="235" spans="3:52" ht="15.75" thickBot="1">
      <c r="C235" s="110">
        <v>226</v>
      </c>
      <c r="D235" s="340"/>
      <c r="E235" s="121"/>
      <c r="F235" s="362" t="str">
        <f>IF(D235="","",VLOOKUP(D235,'G-7 WaterC'' Data'!$B$2:$G$8,2,FALSE))</f>
        <v/>
      </c>
      <c r="G235" s="363" t="str">
        <f>IFERROR(VLOOKUP(F235,'G-7 WaterC'' Data'!$C$4:$D$8,2,FALSE),"")</f>
        <v/>
      </c>
      <c r="H235" s="114"/>
      <c r="I235" s="363" t="str">
        <f>IFERROR(INDEX('G-7 WaterC'' Data'!$H$4:$L$8,MATCH(D235,'G-7 WaterC'' Data'!$B$4:$B$8,0),MATCH(H235,'G-7 WaterC'' Data'!$H$3:$L$3,0)),"")</f>
        <v/>
      </c>
      <c r="J235" s="115"/>
      <c r="K235" s="382" t="str">
        <f>IF(J235="","",IF(VLOOKUP(J235,'G-7 WaterC'' Data'!$AK$4:$AM$9,2,FALSE)=0,"Spatial Data Missing ⚠",VLOOKUP(J235,'G-7 WaterC'' Data'!$AK$4:$AM$6,2,FALSE)))</f>
        <v/>
      </c>
      <c r="L235" s="386" t="str">
        <f>IF(J235="","",IF(VLOOKUP(J235,'G-7 WaterC'' Data'!$AK$4:$AM$9,3,FALSE)=0,"Spatial Data Missing ⚠",VLOOKUP(J235,'G-7 WaterC'' Data'!$AK$4:$AM$6,3,FALSE)))</f>
        <v/>
      </c>
      <c r="M235" s="115"/>
      <c r="N235" s="363" t="str">
        <f>IF(M235="","",IF(VLOOKUP(M235,'G-7 WaterC'' Data'!$AA$4:$AB$7,2,FALSE)=0,"Spatial Data Missing ⚠",VLOOKUP(M235,'G-7 WaterC'' Data'!$AA$4:$AB$7,2,FALSE)))</f>
        <v/>
      </c>
      <c r="O235" s="60"/>
      <c r="P235" s="363" t="str">
        <f>IF(O235="","",IF(VLOOKUP(O235,'G-7 WaterC'' Data'!$AD$4:$AE$14,2,FALSE)=0,"Spatial Data Missing ⚠",VLOOKUP(O235,'G-7 WaterC'' Data'!$AD$4:$AE$14,2,FALSE)))</f>
        <v/>
      </c>
      <c r="Q235" s="369" t="str">
        <f>IF(D235="","",VLOOKUP(D235,'G-7 WaterC'' Data'!$B$4:$G$8,6,FALSE))</f>
        <v/>
      </c>
      <c r="R235" s="376" t="str">
        <f>IFERROR(IF(D235="","",IF(AND(Q235='G-1 All Habitats'!$X$3,X235&gt;0),Y235+(Z235*T235),IF(AND(Q235='G-1 All Habitats'!$X$3,W235&gt;0),Y235+(Z235*T235),IF(AND(Q235='G-1 All Habitats'!$X$3,AH235&gt;0),"Any Loss Unacceptable ⚠",IF(AND(Q235='G-1 All Habitats'!$X$3,AI235&gt;0),"Any Loss Unacceptable ⚠", E235*G235*I235*L235*N235*P235*T235 ))))),"Check Data ▲")</f>
        <v/>
      </c>
      <c r="S235" s="516"/>
      <c r="T235" s="368" t="str">
        <f>IF(S235="","",IF(VLOOKUP(S235,'G-7 WaterC'' Data'!$AO$4:$BO$7,2,FALSE)=0,"Spatial Data Missing ⚠",VLOOKUP(S235,'G-7 WaterC'' Data'!$AO$4:$BO$7,2,FALSE)))</f>
        <v/>
      </c>
      <c r="U235" s="376" t="str">
        <f>IFERROR(IF(D235="","",IF(AND(Q235='G-1 All Habitats'!$X$3,X235&gt;0),Y235+Z235,IF(AND(Q235='G-1 All Habitats'!$X$3,W235&gt;0),Y235+Z235,IF(AND(Q235='G-1 All Habitats'!$X$3,AH235&gt;0),"Any Loss Unacceptable ⚠",IF(AND(Q235='G-1 All Habitats'!$X$3,AI235&gt;0),"Any Loss Unacceptable ⚠", E235*G235*I235*L235*N235*P235 ))))),"Check Data ▲")</f>
        <v/>
      </c>
      <c r="V235" s="32"/>
      <c r="W235" s="114"/>
      <c r="X235" s="125"/>
      <c r="Y235" s="374" t="str">
        <f t="shared" si="24"/>
        <v/>
      </c>
      <c r="Z235" s="374" t="str">
        <f t="shared" si="25"/>
        <v/>
      </c>
      <c r="AA235" s="374" t="str">
        <f t="shared" si="26"/>
        <v/>
      </c>
      <c r="AB235" s="670" t="str">
        <f t="shared" si="27"/>
        <v/>
      </c>
      <c r="AC235" s="516"/>
      <c r="AD235" s="119"/>
      <c r="AE235" s="120"/>
      <c r="AF235" s="120"/>
      <c r="AG235" s="120"/>
      <c r="AH235" s="57" t="str">
        <f>IF(Q235="","",IF(Q235='G-1 All Habitats'!$X$3,E235-X235-W235,"None"))</f>
        <v/>
      </c>
      <c r="AI235" s="58" t="str">
        <f>IF(Q235="","", IF(Q235='G-1 All Habitats'!$X$3, AH235*G235*I235*L235*N235*P235,"None"))</f>
        <v/>
      </c>
      <c r="AJ235" s="30" t="str">
        <f>IFERROR(INDEX('G-7 WaterC'' Data'!$AZ$3:$AZ$7,MATCH(D235,'G-7 WaterC'' Data'!$AY$3:$AY$7,0)),"")</f>
        <v/>
      </c>
      <c r="AK235" s="30">
        <f t="shared" si="28"/>
        <v>0</v>
      </c>
      <c r="AL235" s="124" t="str">
        <f t="shared" si="29"/>
        <v/>
      </c>
      <c r="AM235" s="124" t="str">
        <f t="shared" si="30"/>
        <v/>
      </c>
      <c r="AO235" s="124">
        <v>226</v>
      </c>
      <c r="AQ235" s="124" t="str">
        <f t="array" ref="AQ235">IFERROR(INDEX($AO$10:$AO$258, MATCH(0, IF(TRUE=$AL$10:$AL$258, COUNTIF($AQ$9:$AQ234, $AO$10:$AO$258), ""), 0)),"")</f>
        <v/>
      </c>
      <c r="AR235" s="124" t="str">
        <f t="array" ref="AR235">IFERROR(INDEX($AO$10:$AO$258, MATCH(0, IF(TRUE=$AM$10:$AM$258, COUNTIF($AR$9:$AR234, $AO$10:$AO$258), ""), 0)),"")</f>
        <v/>
      </c>
      <c r="AZ235" s="802" t="str">
        <f t="shared" si="31"/>
        <v/>
      </c>
    </row>
    <row r="236" spans="3:52" ht="15.75" thickBot="1">
      <c r="C236" s="110">
        <v>227</v>
      </c>
      <c r="D236" s="340"/>
      <c r="E236" s="121"/>
      <c r="F236" s="362" t="str">
        <f>IF(D236="","",VLOOKUP(D236,'G-7 WaterC'' Data'!$B$2:$G$8,2,FALSE))</f>
        <v/>
      </c>
      <c r="G236" s="363" t="str">
        <f>IFERROR(VLOOKUP(F236,'G-7 WaterC'' Data'!$C$4:$D$8,2,FALSE),"")</f>
        <v/>
      </c>
      <c r="H236" s="114"/>
      <c r="I236" s="363" t="str">
        <f>IFERROR(INDEX('G-7 WaterC'' Data'!$H$4:$L$8,MATCH(D236,'G-7 WaterC'' Data'!$B$4:$B$8,0),MATCH(H236,'G-7 WaterC'' Data'!$H$3:$L$3,0)),"")</f>
        <v/>
      </c>
      <c r="J236" s="115"/>
      <c r="K236" s="382" t="str">
        <f>IF(J236="","",IF(VLOOKUP(J236,'G-7 WaterC'' Data'!$AK$4:$AM$9,2,FALSE)=0,"Spatial Data Missing ⚠",VLOOKUP(J236,'G-7 WaterC'' Data'!$AK$4:$AM$6,2,FALSE)))</f>
        <v/>
      </c>
      <c r="L236" s="386" t="str">
        <f>IF(J236="","",IF(VLOOKUP(J236,'G-7 WaterC'' Data'!$AK$4:$AM$9,3,FALSE)=0,"Spatial Data Missing ⚠",VLOOKUP(J236,'G-7 WaterC'' Data'!$AK$4:$AM$6,3,FALSE)))</f>
        <v/>
      </c>
      <c r="M236" s="115"/>
      <c r="N236" s="363" t="str">
        <f>IF(M236="","",IF(VLOOKUP(M236,'G-7 WaterC'' Data'!$AA$4:$AB$7,2,FALSE)=0,"Spatial Data Missing ⚠",VLOOKUP(M236,'G-7 WaterC'' Data'!$AA$4:$AB$7,2,FALSE)))</f>
        <v/>
      </c>
      <c r="O236" s="60"/>
      <c r="P236" s="363" t="str">
        <f>IF(O236="","",IF(VLOOKUP(O236,'G-7 WaterC'' Data'!$AD$4:$AE$14,2,FALSE)=0,"Spatial Data Missing ⚠",VLOOKUP(O236,'G-7 WaterC'' Data'!$AD$4:$AE$14,2,FALSE)))</f>
        <v/>
      </c>
      <c r="Q236" s="369" t="str">
        <f>IF(D236="","",VLOOKUP(D236,'G-7 WaterC'' Data'!$B$4:$G$8,6,FALSE))</f>
        <v/>
      </c>
      <c r="R236" s="376" t="str">
        <f>IFERROR(IF(D236="","",IF(AND(Q236='G-1 All Habitats'!$X$3,X236&gt;0),Y236+(Z236*T236),IF(AND(Q236='G-1 All Habitats'!$X$3,W236&gt;0),Y236+(Z236*T236),IF(AND(Q236='G-1 All Habitats'!$X$3,AH236&gt;0),"Any Loss Unacceptable ⚠",IF(AND(Q236='G-1 All Habitats'!$X$3,AI236&gt;0),"Any Loss Unacceptable ⚠", E236*G236*I236*L236*N236*P236*T236 ))))),"Check Data ▲")</f>
        <v/>
      </c>
      <c r="S236" s="516"/>
      <c r="T236" s="368" t="str">
        <f>IF(S236="","",IF(VLOOKUP(S236,'G-7 WaterC'' Data'!$AO$4:$BO$7,2,FALSE)=0,"Spatial Data Missing ⚠",VLOOKUP(S236,'G-7 WaterC'' Data'!$AO$4:$BO$7,2,FALSE)))</f>
        <v/>
      </c>
      <c r="U236" s="376" t="str">
        <f>IFERROR(IF(D236="","",IF(AND(Q236='G-1 All Habitats'!$X$3,X236&gt;0),Y236+Z236,IF(AND(Q236='G-1 All Habitats'!$X$3,W236&gt;0),Y236+Z236,IF(AND(Q236='G-1 All Habitats'!$X$3,AH236&gt;0),"Any Loss Unacceptable ⚠",IF(AND(Q236='G-1 All Habitats'!$X$3,AI236&gt;0),"Any Loss Unacceptable ⚠", E236*G236*I236*L236*N236*P236 ))))),"Check Data ▲")</f>
        <v/>
      </c>
      <c r="V236" s="32"/>
      <c r="W236" s="114"/>
      <c r="X236" s="125"/>
      <c r="Y236" s="374" t="str">
        <f t="shared" si="24"/>
        <v/>
      </c>
      <c r="Z236" s="374" t="str">
        <f t="shared" si="25"/>
        <v/>
      </c>
      <c r="AA236" s="374" t="str">
        <f t="shared" si="26"/>
        <v/>
      </c>
      <c r="AB236" s="670" t="str">
        <f t="shared" si="27"/>
        <v/>
      </c>
      <c r="AC236" s="516"/>
      <c r="AD236" s="119"/>
      <c r="AE236" s="120"/>
      <c r="AF236" s="120"/>
      <c r="AG236" s="120"/>
      <c r="AH236" s="57" t="str">
        <f>IF(Q236="","",IF(Q236='G-1 All Habitats'!$X$3,E236-X236-W236,"None"))</f>
        <v/>
      </c>
      <c r="AI236" s="58" t="str">
        <f>IF(Q236="","", IF(Q236='G-1 All Habitats'!$X$3, AH236*G236*I236*L236*N236*P236,"None"))</f>
        <v/>
      </c>
      <c r="AJ236" s="30" t="str">
        <f>IFERROR(INDEX('G-7 WaterC'' Data'!$AZ$3:$AZ$7,MATCH(D236,'G-7 WaterC'' Data'!$AY$3:$AY$7,0)),"")</f>
        <v/>
      </c>
      <c r="AK236" s="30">
        <f t="shared" si="28"/>
        <v>0</v>
      </c>
      <c r="AL236" s="124" t="str">
        <f t="shared" si="29"/>
        <v/>
      </c>
      <c r="AM236" s="124" t="str">
        <f t="shared" si="30"/>
        <v/>
      </c>
      <c r="AO236" s="124">
        <v>227</v>
      </c>
      <c r="AQ236" s="124" t="str">
        <f t="array" ref="AQ236">IFERROR(INDEX($AO$10:$AO$258, MATCH(0, IF(TRUE=$AL$10:$AL$258, COUNTIF($AQ$9:$AQ235, $AO$10:$AO$258), ""), 0)),"")</f>
        <v/>
      </c>
      <c r="AR236" s="124" t="str">
        <f t="array" ref="AR236">IFERROR(INDEX($AO$10:$AO$258, MATCH(0, IF(TRUE=$AM$10:$AM$258, COUNTIF($AR$9:$AR235, $AO$10:$AO$258), ""), 0)),"")</f>
        <v/>
      </c>
      <c r="AZ236" s="802" t="str">
        <f t="shared" si="31"/>
        <v/>
      </c>
    </row>
    <row r="237" spans="3:52" ht="15.75" thickBot="1">
      <c r="C237" s="110">
        <v>228</v>
      </c>
      <c r="D237" s="340"/>
      <c r="E237" s="121"/>
      <c r="F237" s="362" t="str">
        <f>IF(D237="","",VLOOKUP(D237,'G-7 WaterC'' Data'!$B$2:$G$8,2,FALSE))</f>
        <v/>
      </c>
      <c r="G237" s="363" t="str">
        <f>IFERROR(VLOOKUP(F237,'G-7 WaterC'' Data'!$C$4:$D$8,2,FALSE),"")</f>
        <v/>
      </c>
      <c r="H237" s="114"/>
      <c r="I237" s="363" t="str">
        <f>IFERROR(INDEX('G-7 WaterC'' Data'!$H$4:$L$8,MATCH(D237,'G-7 WaterC'' Data'!$B$4:$B$8,0),MATCH(H237,'G-7 WaterC'' Data'!$H$3:$L$3,0)),"")</f>
        <v/>
      </c>
      <c r="J237" s="115"/>
      <c r="K237" s="382" t="str">
        <f>IF(J237="","",IF(VLOOKUP(J237,'G-7 WaterC'' Data'!$AK$4:$AM$9,2,FALSE)=0,"Spatial Data Missing ⚠",VLOOKUP(J237,'G-7 WaterC'' Data'!$AK$4:$AM$6,2,FALSE)))</f>
        <v/>
      </c>
      <c r="L237" s="386" t="str">
        <f>IF(J237="","",IF(VLOOKUP(J237,'G-7 WaterC'' Data'!$AK$4:$AM$9,3,FALSE)=0,"Spatial Data Missing ⚠",VLOOKUP(J237,'G-7 WaterC'' Data'!$AK$4:$AM$6,3,FALSE)))</f>
        <v/>
      </c>
      <c r="M237" s="115"/>
      <c r="N237" s="363" t="str">
        <f>IF(M237="","",IF(VLOOKUP(M237,'G-7 WaterC'' Data'!$AA$4:$AB$7,2,FALSE)=0,"Spatial Data Missing ⚠",VLOOKUP(M237,'G-7 WaterC'' Data'!$AA$4:$AB$7,2,FALSE)))</f>
        <v/>
      </c>
      <c r="O237" s="60"/>
      <c r="P237" s="363" t="str">
        <f>IF(O237="","",IF(VLOOKUP(O237,'G-7 WaterC'' Data'!$AD$4:$AE$14,2,FALSE)=0,"Spatial Data Missing ⚠",VLOOKUP(O237,'G-7 WaterC'' Data'!$AD$4:$AE$14,2,FALSE)))</f>
        <v/>
      </c>
      <c r="Q237" s="369" t="str">
        <f>IF(D237="","",VLOOKUP(D237,'G-7 WaterC'' Data'!$B$4:$G$8,6,FALSE))</f>
        <v/>
      </c>
      <c r="R237" s="376" t="str">
        <f>IFERROR(IF(D237="","",IF(AND(Q237='G-1 All Habitats'!$X$3,X237&gt;0),Y237+(Z237*T237),IF(AND(Q237='G-1 All Habitats'!$X$3,W237&gt;0),Y237+(Z237*T237),IF(AND(Q237='G-1 All Habitats'!$X$3,AH237&gt;0),"Any Loss Unacceptable ⚠",IF(AND(Q237='G-1 All Habitats'!$X$3,AI237&gt;0),"Any Loss Unacceptable ⚠", E237*G237*I237*L237*N237*P237*T237 ))))),"Check Data ▲")</f>
        <v/>
      </c>
      <c r="S237" s="516"/>
      <c r="T237" s="368" t="str">
        <f>IF(S237="","",IF(VLOOKUP(S237,'G-7 WaterC'' Data'!$AO$4:$BO$7,2,FALSE)=0,"Spatial Data Missing ⚠",VLOOKUP(S237,'G-7 WaterC'' Data'!$AO$4:$BO$7,2,FALSE)))</f>
        <v/>
      </c>
      <c r="U237" s="376" t="str">
        <f>IFERROR(IF(D237="","",IF(AND(Q237='G-1 All Habitats'!$X$3,X237&gt;0),Y237+Z237,IF(AND(Q237='G-1 All Habitats'!$X$3,W237&gt;0),Y237+Z237,IF(AND(Q237='G-1 All Habitats'!$X$3,AH237&gt;0),"Any Loss Unacceptable ⚠",IF(AND(Q237='G-1 All Habitats'!$X$3,AI237&gt;0),"Any Loss Unacceptable ⚠", E237*G237*I237*L237*N237*P237 ))))),"Check Data ▲")</f>
        <v/>
      </c>
      <c r="V237" s="32"/>
      <c r="W237" s="114"/>
      <c r="X237" s="125"/>
      <c r="Y237" s="374" t="str">
        <f t="shared" si="24"/>
        <v/>
      </c>
      <c r="Z237" s="374" t="str">
        <f t="shared" si="25"/>
        <v/>
      </c>
      <c r="AA237" s="374" t="str">
        <f t="shared" si="26"/>
        <v/>
      </c>
      <c r="AB237" s="670" t="str">
        <f t="shared" si="27"/>
        <v/>
      </c>
      <c r="AC237" s="516"/>
      <c r="AD237" s="119"/>
      <c r="AE237" s="120"/>
      <c r="AF237" s="120"/>
      <c r="AG237" s="120"/>
      <c r="AH237" s="57" t="str">
        <f>IF(Q237="","",IF(Q237='G-1 All Habitats'!$X$3,E237-X237-W237,"None"))</f>
        <v/>
      </c>
      <c r="AI237" s="58" t="str">
        <f>IF(Q237="","", IF(Q237='G-1 All Habitats'!$X$3, AH237*G237*I237*L237*N237*P237,"None"))</f>
        <v/>
      </c>
      <c r="AJ237" s="30" t="str">
        <f>IFERROR(INDEX('G-7 WaterC'' Data'!$AZ$3:$AZ$7,MATCH(D237,'G-7 WaterC'' Data'!$AY$3:$AY$7,0)),"")</f>
        <v/>
      </c>
      <c r="AK237" s="30">
        <f t="shared" si="28"/>
        <v>0</v>
      </c>
      <c r="AL237" s="124" t="str">
        <f t="shared" si="29"/>
        <v/>
      </c>
      <c r="AM237" s="124" t="str">
        <f t="shared" si="30"/>
        <v/>
      </c>
      <c r="AO237" s="124">
        <v>228</v>
      </c>
      <c r="AQ237" s="124" t="str">
        <f t="array" ref="AQ237">IFERROR(INDEX($AO$10:$AO$258, MATCH(0, IF(TRUE=$AL$10:$AL$258, COUNTIF($AQ$9:$AQ236, $AO$10:$AO$258), ""), 0)),"")</f>
        <v/>
      </c>
      <c r="AR237" s="124" t="str">
        <f t="array" ref="AR237">IFERROR(INDEX($AO$10:$AO$258, MATCH(0, IF(TRUE=$AM$10:$AM$258, COUNTIF($AR$9:$AR236, $AO$10:$AO$258), ""), 0)),"")</f>
        <v/>
      </c>
      <c r="AZ237" s="802" t="str">
        <f t="shared" si="31"/>
        <v/>
      </c>
    </row>
    <row r="238" spans="3:52" ht="15.75" thickBot="1">
      <c r="C238" s="110">
        <v>229</v>
      </c>
      <c r="D238" s="340"/>
      <c r="E238" s="121"/>
      <c r="F238" s="362" t="str">
        <f>IF(D238="","",VLOOKUP(D238,'G-7 WaterC'' Data'!$B$2:$G$8,2,FALSE))</f>
        <v/>
      </c>
      <c r="G238" s="363" t="str">
        <f>IFERROR(VLOOKUP(F238,'G-7 WaterC'' Data'!$C$4:$D$8,2,FALSE),"")</f>
        <v/>
      </c>
      <c r="H238" s="114"/>
      <c r="I238" s="363" t="str">
        <f>IFERROR(INDEX('G-7 WaterC'' Data'!$H$4:$L$8,MATCH(D238,'G-7 WaterC'' Data'!$B$4:$B$8,0),MATCH(H238,'G-7 WaterC'' Data'!$H$3:$L$3,0)),"")</f>
        <v/>
      </c>
      <c r="J238" s="115"/>
      <c r="K238" s="382" t="str">
        <f>IF(J238="","",IF(VLOOKUP(J238,'G-7 WaterC'' Data'!$AK$4:$AM$9,2,FALSE)=0,"Spatial Data Missing ⚠",VLOOKUP(J238,'G-7 WaterC'' Data'!$AK$4:$AM$6,2,FALSE)))</f>
        <v/>
      </c>
      <c r="L238" s="386" t="str">
        <f>IF(J238="","",IF(VLOOKUP(J238,'G-7 WaterC'' Data'!$AK$4:$AM$9,3,FALSE)=0,"Spatial Data Missing ⚠",VLOOKUP(J238,'G-7 WaterC'' Data'!$AK$4:$AM$6,3,FALSE)))</f>
        <v/>
      </c>
      <c r="M238" s="115"/>
      <c r="N238" s="363" t="str">
        <f>IF(M238="","",IF(VLOOKUP(M238,'G-7 WaterC'' Data'!$AA$4:$AB$7,2,FALSE)=0,"Spatial Data Missing ⚠",VLOOKUP(M238,'G-7 WaterC'' Data'!$AA$4:$AB$7,2,FALSE)))</f>
        <v/>
      </c>
      <c r="O238" s="60"/>
      <c r="P238" s="363" t="str">
        <f>IF(O238="","",IF(VLOOKUP(O238,'G-7 WaterC'' Data'!$AD$4:$AE$14,2,FALSE)=0,"Spatial Data Missing ⚠",VLOOKUP(O238,'G-7 WaterC'' Data'!$AD$4:$AE$14,2,FALSE)))</f>
        <v/>
      </c>
      <c r="Q238" s="369" t="str">
        <f>IF(D238="","",VLOOKUP(D238,'G-7 WaterC'' Data'!$B$4:$G$8,6,FALSE))</f>
        <v/>
      </c>
      <c r="R238" s="376" t="str">
        <f>IFERROR(IF(D238="","",IF(AND(Q238='G-1 All Habitats'!$X$3,X238&gt;0),Y238+(Z238*T238),IF(AND(Q238='G-1 All Habitats'!$X$3,W238&gt;0),Y238+(Z238*T238),IF(AND(Q238='G-1 All Habitats'!$X$3,AH238&gt;0),"Any Loss Unacceptable ⚠",IF(AND(Q238='G-1 All Habitats'!$X$3,AI238&gt;0),"Any Loss Unacceptable ⚠", E238*G238*I238*L238*N238*P238*T238 ))))),"Check Data ▲")</f>
        <v/>
      </c>
      <c r="S238" s="516"/>
      <c r="T238" s="368" t="str">
        <f>IF(S238="","",IF(VLOOKUP(S238,'G-7 WaterC'' Data'!$AO$4:$BO$7,2,FALSE)=0,"Spatial Data Missing ⚠",VLOOKUP(S238,'G-7 WaterC'' Data'!$AO$4:$BO$7,2,FALSE)))</f>
        <v/>
      </c>
      <c r="U238" s="376" t="str">
        <f>IFERROR(IF(D238="","",IF(AND(Q238='G-1 All Habitats'!$X$3,X238&gt;0),Y238+Z238,IF(AND(Q238='G-1 All Habitats'!$X$3,W238&gt;0),Y238+Z238,IF(AND(Q238='G-1 All Habitats'!$X$3,AH238&gt;0),"Any Loss Unacceptable ⚠",IF(AND(Q238='G-1 All Habitats'!$X$3,AI238&gt;0),"Any Loss Unacceptable ⚠", E238*G238*I238*L238*N238*P238 ))))),"Check Data ▲")</f>
        <v/>
      </c>
      <c r="V238" s="32"/>
      <c r="W238" s="114"/>
      <c r="X238" s="125"/>
      <c r="Y238" s="374" t="str">
        <f t="shared" si="24"/>
        <v/>
      </c>
      <c r="Z238" s="374" t="str">
        <f t="shared" si="25"/>
        <v/>
      </c>
      <c r="AA238" s="374" t="str">
        <f t="shared" si="26"/>
        <v/>
      </c>
      <c r="AB238" s="670" t="str">
        <f t="shared" si="27"/>
        <v/>
      </c>
      <c r="AC238" s="516"/>
      <c r="AD238" s="119"/>
      <c r="AE238" s="120"/>
      <c r="AF238" s="120"/>
      <c r="AG238" s="120"/>
      <c r="AH238" s="57" t="str">
        <f>IF(Q238="","",IF(Q238='G-1 All Habitats'!$X$3,E238-X238-W238,"None"))</f>
        <v/>
      </c>
      <c r="AI238" s="58" t="str">
        <f>IF(Q238="","", IF(Q238='G-1 All Habitats'!$X$3, AH238*G238*I238*L238*N238*P238,"None"))</f>
        <v/>
      </c>
      <c r="AJ238" s="30" t="str">
        <f>IFERROR(INDEX('G-7 WaterC'' Data'!$AZ$3:$AZ$7,MATCH(D238,'G-7 WaterC'' Data'!$AY$3:$AY$7,0)),"")</f>
        <v/>
      </c>
      <c r="AK238" s="30">
        <f t="shared" si="28"/>
        <v>0</v>
      </c>
      <c r="AL238" s="124" t="str">
        <f t="shared" si="29"/>
        <v/>
      </c>
      <c r="AM238" s="124" t="str">
        <f t="shared" si="30"/>
        <v/>
      </c>
      <c r="AO238" s="124">
        <v>229</v>
      </c>
      <c r="AQ238" s="124" t="str">
        <f t="array" ref="AQ238">IFERROR(INDEX($AO$10:$AO$258, MATCH(0, IF(TRUE=$AL$10:$AL$258, COUNTIF($AQ$9:$AQ237, $AO$10:$AO$258), ""), 0)),"")</f>
        <v/>
      </c>
      <c r="AR238" s="124" t="str">
        <f t="array" ref="AR238">IFERROR(INDEX($AO$10:$AO$258, MATCH(0, IF(TRUE=$AM$10:$AM$258, COUNTIF($AR$9:$AR237, $AO$10:$AO$258), ""), 0)),"")</f>
        <v/>
      </c>
      <c r="AZ238" s="802" t="str">
        <f t="shared" si="31"/>
        <v/>
      </c>
    </row>
    <row r="239" spans="3:52" ht="15.75" thickBot="1">
      <c r="C239" s="110">
        <v>230</v>
      </c>
      <c r="D239" s="340"/>
      <c r="E239" s="121"/>
      <c r="F239" s="362" t="str">
        <f>IF(D239="","",VLOOKUP(D239,'G-7 WaterC'' Data'!$B$2:$G$8,2,FALSE))</f>
        <v/>
      </c>
      <c r="G239" s="363" t="str">
        <f>IFERROR(VLOOKUP(F239,'G-7 WaterC'' Data'!$C$4:$D$8,2,FALSE),"")</f>
        <v/>
      </c>
      <c r="H239" s="114"/>
      <c r="I239" s="363" t="str">
        <f>IFERROR(INDEX('G-7 WaterC'' Data'!$H$4:$L$8,MATCH(D239,'G-7 WaterC'' Data'!$B$4:$B$8,0),MATCH(H239,'G-7 WaterC'' Data'!$H$3:$L$3,0)),"")</f>
        <v/>
      </c>
      <c r="J239" s="115"/>
      <c r="K239" s="382" t="str">
        <f>IF(J239="","",IF(VLOOKUP(J239,'G-7 WaterC'' Data'!$AK$4:$AM$9,2,FALSE)=0,"Spatial Data Missing ⚠",VLOOKUP(J239,'G-7 WaterC'' Data'!$AK$4:$AM$6,2,FALSE)))</f>
        <v/>
      </c>
      <c r="L239" s="386" t="str">
        <f>IF(J239="","",IF(VLOOKUP(J239,'G-7 WaterC'' Data'!$AK$4:$AM$9,3,FALSE)=0,"Spatial Data Missing ⚠",VLOOKUP(J239,'G-7 WaterC'' Data'!$AK$4:$AM$6,3,FALSE)))</f>
        <v/>
      </c>
      <c r="M239" s="115"/>
      <c r="N239" s="363" t="str">
        <f>IF(M239="","",IF(VLOOKUP(M239,'G-7 WaterC'' Data'!$AA$4:$AB$7,2,FALSE)=0,"Spatial Data Missing ⚠",VLOOKUP(M239,'G-7 WaterC'' Data'!$AA$4:$AB$7,2,FALSE)))</f>
        <v/>
      </c>
      <c r="O239" s="60"/>
      <c r="P239" s="363" t="str">
        <f>IF(O239="","",IF(VLOOKUP(O239,'G-7 WaterC'' Data'!$AD$4:$AE$14,2,FALSE)=0,"Spatial Data Missing ⚠",VLOOKUP(O239,'G-7 WaterC'' Data'!$AD$4:$AE$14,2,FALSE)))</f>
        <v/>
      </c>
      <c r="Q239" s="369" t="str">
        <f>IF(D239="","",VLOOKUP(D239,'G-7 WaterC'' Data'!$B$4:$G$8,6,FALSE))</f>
        <v/>
      </c>
      <c r="R239" s="376" t="str">
        <f>IFERROR(IF(D239="","",IF(AND(Q239='G-1 All Habitats'!$X$3,X239&gt;0),Y239+(Z239*T239),IF(AND(Q239='G-1 All Habitats'!$X$3,W239&gt;0),Y239+(Z239*T239),IF(AND(Q239='G-1 All Habitats'!$X$3,AH239&gt;0),"Any Loss Unacceptable ⚠",IF(AND(Q239='G-1 All Habitats'!$X$3,AI239&gt;0),"Any Loss Unacceptable ⚠", E239*G239*I239*L239*N239*P239*T239 ))))),"Check Data ▲")</f>
        <v/>
      </c>
      <c r="S239" s="516"/>
      <c r="T239" s="368" t="str">
        <f>IF(S239="","",IF(VLOOKUP(S239,'G-7 WaterC'' Data'!$AO$4:$BO$7,2,FALSE)=0,"Spatial Data Missing ⚠",VLOOKUP(S239,'G-7 WaterC'' Data'!$AO$4:$BO$7,2,FALSE)))</f>
        <v/>
      </c>
      <c r="U239" s="376" t="str">
        <f>IFERROR(IF(D239="","",IF(AND(Q239='G-1 All Habitats'!$X$3,X239&gt;0),Y239+Z239,IF(AND(Q239='G-1 All Habitats'!$X$3,W239&gt;0),Y239+Z239,IF(AND(Q239='G-1 All Habitats'!$X$3,AH239&gt;0),"Any Loss Unacceptable ⚠",IF(AND(Q239='G-1 All Habitats'!$X$3,AI239&gt;0),"Any Loss Unacceptable ⚠", E239*G239*I239*L239*N239*P239 ))))),"Check Data ▲")</f>
        <v/>
      </c>
      <c r="V239" s="32"/>
      <c r="W239" s="114"/>
      <c r="X239" s="125"/>
      <c r="Y239" s="374" t="str">
        <f t="shared" si="24"/>
        <v/>
      </c>
      <c r="Z239" s="374" t="str">
        <f t="shared" si="25"/>
        <v/>
      </c>
      <c r="AA239" s="374" t="str">
        <f t="shared" si="26"/>
        <v/>
      </c>
      <c r="AB239" s="670" t="str">
        <f t="shared" si="27"/>
        <v/>
      </c>
      <c r="AC239" s="516"/>
      <c r="AD239" s="119"/>
      <c r="AE239" s="120"/>
      <c r="AF239" s="120"/>
      <c r="AG239" s="120"/>
      <c r="AH239" s="57" t="str">
        <f>IF(Q239="","",IF(Q239='G-1 All Habitats'!$X$3,E239-X239-W239,"None"))</f>
        <v/>
      </c>
      <c r="AI239" s="58" t="str">
        <f>IF(Q239="","", IF(Q239='G-1 All Habitats'!$X$3, AH239*G239*I239*L239*N239*P239,"None"))</f>
        <v/>
      </c>
      <c r="AJ239" s="30" t="str">
        <f>IFERROR(INDEX('G-7 WaterC'' Data'!$AZ$3:$AZ$7,MATCH(D239,'G-7 WaterC'' Data'!$AY$3:$AY$7,0)),"")</f>
        <v/>
      </c>
      <c r="AK239" s="30">
        <f t="shared" si="28"/>
        <v>0</v>
      </c>
      <c r="AL239" s="124" t="str">
        <f t="shared" si="29"/>
        <v/>
      </c>
      <c r="AM239" s="124" t="str">
        <f t="shared" si="30"/>
        <v/>
      </c>
      <c r="AO239" s="124">
        <v>230</v>
      </c>
      <c r="AQ239" s="124" t="str">
        <f t="array" ref="AQ239">IFERROR(INDEX($AO$10:$AO$258, MATCH(0, IF(TRUE=$AL$10:$AL$258, COUNTIF($AQ$9:$AQ238, $AO$10:$AO$258), ""), 0)),"")</f>
        <v/>
      </c>
      <c r="AR239" s="124" t="str">
        <f t="array" ref="AR239">IFERROR(INDEX($AO$10:$AO$258, MATCH(0, IF(TRUE=$AM$10:$AM$258, COUNTIF($AR$9:$AR238, $AO$10:$AO$258), ""), 0)),"")</f>
        <v/>
      </c>
      <c r="AZ239" s="802" t="str">
        <f t="shared" si="31"/>
        <v/>
      </c>
    </row>
    <row r="240" spans="3:52" ht="15.75" thickBot="1">
      <c r="C240" s="110">
        <v>231</v>
      </c>
      <c r="D240" s="340"/>
      <c r="E240" s="121"/>
      <c r="F240" s="362" t="str">
        <f>IF(D240="","",VLOOKUP(D240,'G-7 WaterC'' Data'!$B$2:$G$8,2,FALSE))</f>
        <v/>
      </c>
      <c r="G240" s="363" t="str">
        <f>IFERROR(VLOOKUP(F240,'G-7 WaterC'' Data'!$C$4:$D$8,2,FALSE),"")</f>
        <v/>
      </c>
      <c r="H240" s="114"/>
      <c r="I240" s="363" t="str">
        <f>IFERROR(INDEX('G-7 WaterC'' Data'!$H$4:$L$8,MATCH(D240,'G-7 WaterC'' Data'!$B$4:$B$8,0),MATCH(H240,'G-7 WaterC'' Data'!$H$3:$L$3,0)),"")</f>
        <v/>
      </c>
      <c r="J240" s="115"/>
      <c r="K240" s="382" t="str">
        <f>IF(J240="","",IF(VLOOKUP(J240,'G-7 WaterC'' Data'!$AK$4:$AM$9,2,FALSE)=0,"Spatial Data Missing ⚠",VLOOKUP(J240,'G-7 WaterC'' Data'!$AK$4:$AM$6,2,FALSE)))</f>
        <v/>
      </c>
      <c r="L240" s="386" t="str">
        <f>IF(J240="","",IF(VLOOKUP(J240,'G-7 WaterC'' Data'!$AK$4:$AM$9,3,FALSE)=0,"Spatial Data Missing ⚠",VLOOKUP(J240,'G-7 WaterC'' Data'!$AK$4:$AM$6,3,FALSE)))</f>
        <v/>
      </c>
      <c r="M240" s="115"/>
      <c r="N240" s="363" t="str">
        <f>IF(M240="","",IF(VLOOKUP(M240,'G-7 WaterC'' Data'!$AA$4:$AB$7,2,FALSE)=0,"Spatial Data Missing ⚠",VLOOKUP(M240,'G-7 WaterC'' Data'!$AA$4:$AB$7,2,FALSE)))</f>
        <v/>
      </c>
      <c r="O240" s="60"/>
      <c r="P240" s="363" t="str">
        <f>IF(O240="","",IF(VLOOKUP(O240,'G-7 WaterC'' Data'!$AD$4:$AE$14,2,FALSE)=0,"Spatial Data Missing ⚠",VLOOKUP(O240,'G-7 WaterC'' Data'!$AD$4:$AE$14,2,FALSE)))</f>
        <v/>
      </c>
      <c r="Q240" s="369" t="str">
        <f>IF(D240="","",VLOOKUP(D240,'G-7 WaterC'' Data'!$B$4:$G$8,6,FALSE))</f>
        <v/>
      </c>
      <c r="R240" s="376" t="str">
        <f>IFERROR(IF(D240="","",IF(AND(Q240='G-1 All Habitats'!$X$3,X240&gt;0),Y240+(Z240*T240),IF(AND(Q240='G-1 All Habitats'!$X$3,W240&gt;0),Y240+(Z240*T240),IF(AND(Q240='G-1 All Habitats'!$X$3,AH240&gt;0),"Any Loss Unacceptable ⚠",IF(AND(Q240='G-1 All Habitats'!$X$3,AI240&gt;0),"Any Loss Unacceptable ⚠", E240*G240*I240*L240*N240*P240*T240 ))))),"Check Data ▲")</f>
        <v/>
      </c>
      <c r="S240" s="516"/>
      <c r="T240" s="368" t="str">
        <f>IF(S240="","",IF(VLOOKUP(S240,'G-7 WaterC'' Data'!$AO$4:$BO$7,2,FALSE)=0,"Spatial Data Missing ⚠",VLOOKUP(S240,'G-7 WaterC'' Data'!$AO$4:$BO$7,2,FALSE)))</f>
        <v/>
      </c>
      <c r="U240" s="376" t="str">
        <f>IFERROR(IF(D240="","",IF(AND(Q240='G-1 All Habitats'!$X$3,X240&gt;0),Y240+Z240,IF(AND(Q240='G-1 All Habitats'!$X$3,W240&gt;0),Y240+Z240,IF(AND(Q240='G-1 All Habitats'!$X$3,AH240&gt;0),"Any Loss Unacceptable ⚠",IF(AND(Q240='G-1 All Habitats'!$X$3,AI240&gt;0),"Any Loss Unacceptable ⚠", E240*G240*I240*L240*N240*P240 ))))),"Check Data ▲")</f>
        <v/>
      </c>
      <c r="V240" s="32"/>
      <c r="W240" s="114"/>
      <c r="X240" s="125"/>
      <c r="Y240" s="374" t="str">
        <f t="shared" si="24"/>
        <v/>
      </c>
      <c r="Z240" s="374" t="str">
        <f t="shared" si="25"/>
        <v/>
      </c>
      <c r="AA240" s="374" t="str">
        <f t="shared" si="26"/>
        <v/>
      </c>
      <c r="AB240" s="670" t="str">
        <f t="shared" si="27"/>
        <v/>
      </c>
      <c r="AC240" s="516"/>
      <c r="AD240" s="119"/>
      <c r="AE240" s="120"/>
      <c r="AF240" s="120"/>
      <c r="AG240" s="120"/>
      <c r="AH240" s="57" t="str">
        <f>IF(Q240="","",IF(Q240='G-1 All Habitats'!$X$3,E240-X240-W240,"None"))</f>
        <v/>
      </c>
      <c r="AI240" s="58" t="str">
        <f>IF(Q240="","", IF(Q240='G-1 All Habitats'!$X$3, AH240*G240*I240*L240*N240*P240,"None"))</f>
        <v/>
      </c>
      <c r="AJ240" s="30" t="str">
        <f>IFERROR(INDEX('G-7 WaterC'' Data'!$AZ$3:$AZ$7,MATCH(D240,'G-7 WaterC'' Data'!$AY$3:$AY$7,0)),"")</f>
        <v/>
      </c>
      <c r="AK240" s="30">
        <f t="shared" si="28"/>
        <v>0</v>
      </c>
      <c r="AL240" s="124" t="str">
        <f t="shared" si="29"/>
        <v/>
      </c>
      <c r="AM240" s="124" t="str">
        <f t="shared" si="30"/>
        <v/>
      </c>
      <c r="AO240" s="124">
        <v>231</v>
      </c>
      <c r="AQ240" s="124" t="str">
        <f t="array" ref="AQ240">IFERROR(INDEX($AO$10:$AO$258, MATCH(0, IF(TRUE=$AL$10:$AL$258, COUNTIF($AQ$9:$AQ239, $AO$10:$AO$258), ""), 0)),"")</f>
        <v/>
      </c>
      <c r="AR240" s="124" t="str">
        <f t="array" ref="AR240">IFERROR(INDEX($AO$10:$AO$258, MATCH(0, IF(TRUE=$AM$10:$AM$258, COUNTIF($AR$9:$AR239, $AO$10:$AO$258), ""), 0)),"")</f>
        <v/>
      </c>
      <c r="AZ240" s="802" t="str">
        <f t="shared" si="31"/>
        <v/>
      </c>
    </row>
    <row r="241" spans="3:52" ht="15.75" thickBot="1">
      <c r="C241" s="110">
        <v>232</v>
      </c>
      <c r="D241" s="340"/>
      <c r="E241" s="121"/>
      <c r="F241" s="362" t="str">
        <f>IF(D241="","",VLOOKUP(D241,'G-7 WaterC'' Data'!$B$2:$G$8,2,FALSE))</f>
        <v/>
      </c>
      <c r="G241" s="363" t="str">
        <f>IFERROR(VLOOKUP(F241,'G-7 WaterC'' Data'!$C$4:$D$8,2,FALSE),"")</f>
        <v/>
      </c>
      <c r="H241" s="114"/>
      <c r="I241" s="363" t="str">
        <f>IFERROR(INDEX('G-7 WaterC'' Data'!$H$4:$L$8,MATCH(D241,'G-7 WaterC'' Data'!$B$4:$B$8,0),MATCH(H241,'G-7 WaterC'' Data'!$H$3:$L$3,0)),"")</f>
        <v/>
      </c>
      <c r="J241" s="115"/>
      <c r="K241" s="382" t="str">
        <f>IF(J241="","",IF(VLOOKUP(J241,'G-7 WaterC'' Data'!$AK$4:$AM$9,2,FALSE)=0,"Spatial Data Missing ⚠",VLOOKUP(J241,'G-7 WaterC'' Data'!$AK$4:$AM$6,2,FALSE)))</f>
        <v/>
      </c>
      <c r="L241" s="386" t="str">
        <f>IF(J241="","",IF(VLOOKUP(J241,'G-7 WaterC'' Data'!$AK$4:$AM$9,3,FALSE)=0,"Spatial Data Missing ⚠",VLOOKUP(J241,'G-7 WaterC'' Data'!$AK$4:$AM$6,3,FALSE)))</f>
        <v/>
      </c>
      <c r="M241" s="115"/>
      <c r="N241" s="363" t="str">
        <f>IF(M241="","",IF(VLOOKUP(M241,'G-7 WaterC'' Data'!$AA$4:$AB$7,2,FALSE)=0,"Spatial Data Missing ⚠",VLOOKUP(M241,'G-7 WaterC'' Data'!$AA$4:$AB$7,2,FALSE)))</f>
        <v/>
      </c>
      <c r="O241" s="60"/>
      <c r="P241" s="363" t="str">
        <f>IF(O241="","",IF(VLOOKUP(O241,'G-7 WaterC'' Data'!$AD$4:$AE$14,2,FALSE)=0,"Spatial Data Missing ⚠",VLOOKUP(O241,'G-7 WaterC'' Data'!$AD$4:$AE$14,2,FALSE)))</f>
        <v/>
      </c>
      <c r="Q241" s="369" t="str">
        <f>IF(D241="","",VLOOKUP(D241,'G-7 WaterC'' Data'!$B$4:$G$8,6,FALSE))</f>
        <v/>
      </c>
      <c r="R241" s="376" t="str">
        <f>IFERROR(IF(D241="","",IF(AND(Q241='G-1 All Habitats'!$X$3,X241&gt;0),Y241+(Z241*T241),IF(AND(Q241='G-1 All Habitats'!$X$3,W241&gt;0),Y241+(Z241*T241),IF(AND(Q241='G-1 All Habitats'!$X$3,AH241&gt;0),"Any Loss Unacceptable ⚠",IF(AND(Q241='G-1 All Habitats'!$X$3,AI241&gt;0),"Any Loss Unacceptable ⚠", E241*G241*I241*L241*N241*P241*T241 ))))),"Check Data ▲")</f>
        <v/>
      </c>
      <c r="S241" s="516"/>
      <c r="T241" s="368" t="str">
        <f>IF(S241="","",IF(VLOOKUP(S241,'G-7 WaterC'' Data'!$AO$4:$BO$7,2,FALSE)=0,"Spatial Data Missing ⚠",VLOOKUP(S241,'G-7 WaterC'' Data'!$AO$4:$BO$7,2,FALSE)))</f>
        <v/>
      </c>
      <c r="U241" s="376" t="str">
        <f>IFERROR(IF(D241="","",IF(AND(Q241='G-1 All Habitats'!$X$3,X241&gt;0),Y241+Z241,IF(AND(Q241='G-1 All Habitats'!$X$3,W241&gt;0),Y241+Z241,IF(AND(Q241='G-1 All Habitats'!$X$3,AH241&gt;0),"Any Loss Unacceptable ⚠",IF(AND(Q241='G-1 All Habitats'!$X$3,AI241&gt;0),"Any Loss Unacceptable ⚠", E241*G241*I241*L241*N241*P241 ))))),"Check Data ▲")</f>
        <v/>
      </c>
      <c r="V241" s="32"/>
      <c r="W241" s="114"/>
      <c r="X241" s="125"/>
      <c r="Y241" s="374" t="str">
        <f t="shared" si="24"/>
        <v/>
      </c>
      <c r="Z241" s="374" t="str">
        <f t="shared" si="25"/>
        <v/>
      </c>
      <c r="AA241" s="374" t="str">
        <f t="shared" si="26"/>
        <v/>
      </c>
      <c r="AB241" s="670" t="str">
        <f t="shared" si="27"/>
        <v/>
      </c>
      <c r="AC241" s="516"/>
      <c r="AD241" s="119"/>
      <c r="AE241" s="120"/>
      <c r="AF241" s="120"/>
      <c r="AG241" s="120"/>
      <c r="AH241" s="57" t="str">
        <f>IF(Q241="","",IF(Q241='G-1 All Habitats'!$X$3,E241-X241-W241,"None"))</f>
        <v/>
      </c>
      <c r="AI241" s="58" t="str">
        <f>IF(Q241="","", IF(Q241='G-1 All Habitats'!$X$3, AH241*G241*I241*L241*N241*P241,"None"))</f>
        <v/>
      </c>
      <c r="AJ241" s="30" t="str">
        <f>IFERROR(INDEX('G-7 WaterC'' Data'!$AZ$3:$AZ$7,MATCH(D241,'G-7 WaterC'' Data'!$AY$3:$AY$7,0)),"")</f>
        <v/>
      </c>
      <c r="AK241" s="30">
        <f t="shared" si="28"/>
        <v>0</v>
      </c>
      <c r="AL241" s="124" t="str">
        <f t="shared" si="29"/>
        <v/>
      </c>
      <c r="AM241" s="124" t="str">
        <f t="shared" si="30"/>
        <v/>
      </c>
      <c r="AO241" s="124">
        <v>232</v>
      </c>
      <c r="AQ241" s="124" t="str">
        <f t="array" ref="AQ241">IFERROR(INDEX($AO$10:$AO$258, MATCH(0, IF(TRUE=$AL$10:$AL$258, COUNTIF($AQ$9:$AQ240, $AO$10:$AO$258), ""), 0)),"")</f>
        <v/>
      </c>
      <c r="AR241" s="124" t="str">
        <f t="array" ref="AR241">IFERROR(INDEX($AO$10:$AO$258, MATCH(0, IF(TRUE=$AM$10:$AM$258, COUNTIF($AR$9:$AR240, $AO$10:$AO$258), ""), 0)),"")</f>
        <v/>
      </c>
      <c r="AZ241" s="802" t="str">
        <f t="shared" si="31"/>
        <v/>
      </c>
    </row>
    <row r="242" spans="3:52" ht="15.75" thickBot="1">
      <c r="C242" s="110">
        <v>233</v>
      </c>
      <c r="D242" s="340"/>
      <c r="E242" s="121"/>
      <c r="F242" s="362" t="str">
        <f>IF(D242="","",VLOOKUP(D242,'G-7 WaterC'' Data'!$B$2:$G$8,2,FALSE))</f>
        <v/>
      </c>
      <c r="G242" s="363" t="str">
        <f>IFERROR(VLOOKUP(F242,'G-7 WaterC'' Data'!$C$4:$D$8,2,FALSE),"")</f>
        <v/>
      </c>
      <c r="H242" s="114"/>
      <c r="I242" s="363" t="str">
        <f>IFERROR(INDEX('G-7 WaterC'' Data'!$H$4:$L$8,MATCH(D242,'G-7 WaterC'' Data'!$B$4:$B$8,0),MATCH(H242,'G-7 WaterC'' Data'!$H$3:$L$3,0)),"")</f>
        <v/>
      </c>
      <c r="J242" s="115"/>
      <c r="K242" s="382" t="str">
        <f>IF(J242="","",IF(VLOOKUP(J242,'G-7 WaterC'' Data'!$AK$4:$AM$9,2,FALSE)=0,"Spatial Data Missing ⚠",VLOOKUP(J242,'G-7 WaterC'' Data'!$AK$4:$AM$6,2,FALSE)))</f>
        <v/>
      </c>
      <c r="L242" s="386" t="str">
        <f>IF(J242="","",IF(VLOOKUP(J242,'G-7 WaterC'' Data'!$AK$4:$AM$9,3,FALSE)=0,"Spatial Data Missing ⚠",VLOOKUP(J242,'G-7 WaterC'' Data'!$AK$4:$AM$6,3,FALSE)))</f>
        <v/>
      </c>
      <c r="M242" s="115"/>
      <c r="N242" s="363" t="str">
        <f>IF(M242="","",IF(VLOOKUP(M242,'G-7 WaterC'' Data'!$AA$4:$AB$7,2,FALSE)=0,"Spatial Data Missing ⚠",VLOOKUP(M242,'G-7 WaterC'' Data'!$AA$4:$AB$7,2,FALSE)))</f>
        <v/>
      </c>
      <c r="O242" s="60"/>
      <c r="P242" s="363" t="str">
        <f>IF(O242="","",IF(VLOOKUP(O242,'G-7 WaterC'' Data'!$AD$4:$AE$14,2,FALSE)=0,"Spatial Data Missing ⚠",VLOOKUP(O242,'G-7 WaterC'' Data'!$AD$4:$AE$14,2,FALSE)))</f>
        <v/>
      </c>
      <c r="Q242" s="369" t="str">
        <f>IF(D242="","",VLOOKUP(D242,'G-7 WaterC'' Data'!$B$4:$G$8,6,FALSE))</f>
        <v/>
      </c>
      <c r="R242" s="376" t="str">
        <f>IFERROR(IF(D242="","",IF(AND(Q242='G-1 All Habitats'!$X$3,X242&gt;0),Y242+(Z242*T242),IF(AND(Q242='G-1 All Habitats'!$X$3,W242&gt;0),Y242+(Z242*T242),IF(AND(Q242='G-1 All Habitats'!$X$3,AH242&gt;0),"Any Loss Unacceptable ⚠",IF(AND(Q242='G-1 All Habitats'!$X$3,AI242&gt;0),"Any Loss Unacceptable ⚠", E242*G242*I242*L242*N242*P242*T242 ))))),"Check Data ▲")</f>
        <v/>
      </c>
      <c r="S242" s="516"/>
      <c r="T242" s="368" t="str">
        <f>IF(S242="","",IF(VLOOKUP(S242,'G-7 WaterC'' Data'!$AO$4:$BO$7,2,FALSE)=0,"Spatial Data Missing ⚠",VLOOKUP(S242,'G-7 WaterC'' Data'!$AO$4:$BO$7,2,FALSE)))</f>
        <v/>
      </c>
      <c r="U242" s="376" t="str">
        <f>IFERROR(IF(D242="","",IF(AND(Q242='G-1 All Habitats'!$X$3,X242&gt;0),Y242+Z242,IF(AND(Q242='G-1 All Habitats'!$X$3,W242&gt;0),Y242+Z242,IF(AND(Q242='G-1 All Habitats'!$X$3,AH242&gt;0),"Any Loss Unacceptable ⚠",IF(AND(Q242='G-1 All Habitats'!$X$3,AI242&gt;0),"Any Loss Unacceptable ⚠", E242*G242*I242*L242*N242*P242 ))))),"Check Data ▲")</f>
        <v/>
      </c>
      <c r="V242" s="32"/>
      <c r="W242" s="114"/>
      <c r="X242" s="125"/>
      <c r="Y242" s="374" t="str">
        <f t="shared" si="24"/>
        <v/>
      </c>
      <c r="Z242" s="374" t="str">
        <f t="shared" si="25"/>
        <v/>
      </c>
      <c r="AA242" s="374" t="str">
        <f t="shared" si="26"/>
        <v/>
      </c>
      <c r="AB242" s="670" t="str">
        <f t="shared" si="27"/>
        <v/>
      </c>
      <c r="AC242" s="516"/>
      <c r="AD242" s="119"/>
      <c r="AE242" s="120"/>
      <c r="AF242" s="120"/>
      <c r="AG242" s="120"/>
      <c r="AH242" s="57" t="str">
        <f>IF(Q242="","",IF(Q242='G-1 All Habitats'!$X$3,E242-X242-W242,"None"))</f>
        <v/>
      </c>
      <c r="AI242" s="58" t="str">
        <f>IF(Q242="","", IF(Q242='G-1 All Habitats'!$X$3, AH242*G242*I242*L242*N242*P242,"None"))</f>
        <v/>
      </c>
      <c r="AJ242" s="30" t="str">
        <f>IFERROR(INDEX('G-7 WaterC'' Data'!$AZ$3:$AZ$7,MATCH(D242,'G-7 WaterC'' Data'!$AY$3:$AY$7,0)),"")</f>
        <v/>
      </c>
      <c r="AK242" s="30">
        <f t="shared" si="28"/>
        <v>0</v>
      </c>
      <c r="AL242" s="124" t="str">
        <f t="shared" si="29"/>
        <v/>
      </c>
      <c r="AM242" s="124" t="str">
        <f t="shared" si="30"/>
        <v/>
      </c>
      <c r="AO242" s="124">
        <v>233</v>
      </c>
      <c r="AQ242" s="124" t="str">
        <f t="array" ref="AQ242">IFERROR(INDEX($AO$10:$AO$258, MATCH(0, IF(TRUE=$AL$10:$AL$258, COUNTIF($AQ$9:$AQ241, $AO$10:$AO$258), ""), 0)),"")</f>
        <v/>
      </c>
      <c r="AR242" s="124" t="str">
        <f t="array" ref="AR242">IFERROR(INDEX($AO$10:$AO$258, MATCH(0, IF(TRUE=$AM$10:$AM$258, COUNTIF($AR$9:$AR241, $AO$10:$AO$258), ""), 0)),"")</f>
        <v/>
      </c>
      <c r="AZ242" s="802" t="str">
        <f t="shared" si="31"/>
        <v/>
      </c>
    </row>
    <row r="243" spans="3:52" ht="15.75" thickBot="1">
      <c r="C243" s="110">
        <v>234</v>
      </c>
      <c r="D243" s="340"/>
      <c r="E243" s="121"/>
      <c r="F243" s="362" t="str">
        <f>IF(D243="","",VLOOKUP(D243,'G-7 WaterC'' Data'!$B$2:$G$8,2,FALSE))</f>
        <v/>
      </c>
      <c r="G243" s="363" t="str">
        <f>IFERROR(VLOOKUP(F243,'G-7 WaterC'' Data'!$C$4:$D$8,2,FALSE),"")</f>
        <v/>
      </c>
      <c r="H243" s="114"/>
      <c r="I243" s="363" t="str">
        <f>IFERROR(INDEX('G-7 WaterC'' Data'!$H$4:$L$8,MATCH(D243,'G-7 WaterC'' Data'!$B$4:$B$8,0),MATCH(H243,'G-7 WaterC'' Data'!$H$3:$L$3,0)),"")</f>
        <v/>
      </c>
      <c r="J243" s="115"/>
      <c r="K243" s="382" t="str">
        <f>IF(J243="","",IF(VLOOKUP(J243,'G-7 WaterC'' Data'!$AK$4:$AM$9,2,FALSE)=0,"Spatial Data Missing ⚠",VLOOKUP(J243,'G-7 WaterC'' Data'!$AK$4:$AM$6,2,FALSE)))</f>
        <v/>
      </c>
      <c r="L243" s="386" t="str">
        <f>IF(J243="","",IF(VLOOKUP(J243,'G-7 WaterC'' Data'!$AK$4:$AM$9,3,FALSE)=0,"Spatial Data Missing ⚠",VLOOKUP(J243,'G-7 WaterC'' Data'!$AK$4:$AM$6,3,FALSE)))</f>
        <v/>
      </c>
      <c r="M243" s="115"/>
      <c r="N243" s="363" t="str">
        <f>IF(M243="","",IF(VLOOKUP(M243,'G-7 WaterC'' Data'!$AA$4:$AB$7,2,FALSE)=0,"Spatial Data Missing ⚠",VLOOKUP(M243,'G-7 WaterC'' Data'!$AA$4:$AB$7,2,FALSE)))</f>
        <v/>
      </c>
      <c r="O243" s="60"/>
      <c r="P243" s="363" t="str">
        <f>IF(O243="","",IF(VLOOKUP(O243,'G-7 WaterC'' Data'!$AD$4:$AE$14,2,FALSE)=0,"Spatial Data Missing ⚠",VLOOKUP(O243,'G-7 WaterC'' Data'!$AD$4:$AE$14,2,FALSE)))</f>
        <v/>
      </c>
      <c r="Q243" s="369" t="str">
        <f>IF(D243="","",VLOOKUP(D243,'G-7 WaterC'' Data'!$B$4:$G$8,6,FALSE))</f>
        <v/>
      </c>
      <c r="R243" s="376" t="str">
        <f>IFERROR(IF(D243="","",IF(AND(Q243='G-1 All Habitats'!$X$3,X243&gt;0),Y243+(Z243*T243),IF(AND(Q243='G-1 All Habitats'!$X$3,W243&gt;0),Y243+(Z243*T243),IF(AND(Q243='G-1 All Habitats'!$X$3,AH243&gt;0),"Any Loss Unacceptable ⚠",IF(AND(Q243='G-1 All Habitats'!$X$3,AI243&gt;0),"Any Loss Unacceptable ⚠", E243*G243*I243*L243*N243*P243*T243 ))))),"Check Data ▲")</f>
        <v/>
      </c>
      <c r="S243" s="516"/>
      <c r="T243" s="368" t="str">
        <f>IF(S243="","",IF(VLOOKUP(S243,'G-7 WaterC'' Data'!$AO$4:$BO$7,2,FALSE)=0,"Spatial Data Missing ⚠",VLOOKUP(S243,'G-7 WaterC'' Data'!$AO$4:$BO$7,2,FALSE)))</f>
        <v/>
      </c>
      <c r="U243" s="376" t="str">
        <f>IFERROR(IF(D243="","",IF(AND(Q243='G-1 All Habitats'!$X$3,X243&gt;0),Y243+Z243,IF(AND(Q243='G-1 All Habitats'!$X$3,W243&gt;0),Y243+Z243,IF(AND(Q243='G-1 All Habitats'!$X$3,AH243&gt;0),"Any Loss Unacceptable ⚠",IF(AND(Q243='G-1 All Habitats'!$X$3,AI243&gt;0),"Any Loss Unacceptable ⚠", E243*G243*I243*L243*N243*P243 ))))),"Check Data ▲")</f>
        <v/>
      </c>
      <c r="V243" s="32"/>
      <c r="W243" s="114"/>
      <c r="X243" s="125"/>
      <c r="Y243" s="374" t="str">
        <f t="shared" si="24"/>
        <v/>
      </c>
      <c r="Z243" s="374" t="str">
        <f t="shared" si="25"/>
        <v/>
      </c>
      <c r="AA243" s="374" t="str">
        <f t="shared" si="26"/>
        <v/>
      </c>
      <c r="AB243" s="670" t="str">
        <f t="shared" si="27"/>
        <v/>
      </c>
      <c r="AC243" s="516"/>
      <c r="AD243" s="119"/>
      <c r="AE243" s="120"/>
      <c r="AF243" s="120"/>
      <c r="AG243" s="120"/>
      <c r="AH243" s="57" t="str">
        <f>IF(Q243="","",IF(Q243='G-1 All Habitats'!$X$3,E243-X243-W243,"None"))</f>
        <v/>
      </c>
      <c r="AI243" s="58" t="str">
        <f>IF(Q243="","", IF(Q243='G-1 All Habitats'!$X$3, AH243*G243*I243*L243*N243*P243,"None"))</f>
        <v/>
      </c>
      <c r="AJ243" s="30" t="str">
        <f>IFERROR(INDEX('G-7 WaterC'' Data'!$AZ$3:$AZ$7,MATCH(D243,'G-7 WaterC'' Data'!$AY$3:$AY$7,0)),"")</f>
        <v/>
      </c>
      <c r="AK243" s="30">
        <f t="shared" si="28"/>
        <v>0</v>
      </c>
      <c r="AL243" s="124" t="str">
        <f t="shared" si="29"/>
        <v/>
      </c>
      <c r="AM243" s="124" t="str">
        <f t="shared" si="30"/>
        <v/>
      </c>
      <c r="AO243" s="124">
        <v>234</v>
      </c>
      <c r="AQ243" s="124" t="str">
        <f t="array" ref="AQ243">IFERROR(INDEX($AO$10:$AO$258, MATCH(0, IF(TRUE=$AL$10:$AL$258, COUNTIF($AQ$9:$AQ242, $AO$10:$AO$258), ""), 0)),"")</f>
        <v/>
      </c>
      <c r="AR243" s="124" t="str">
        <f t="array" ref="AR243">IFERROR(INDEX($AO$10:$AO$258, MATCH(0, IF(TRUE=$AM$10:$AM$258, COUNTIF($AR$9:$AR242, $AO$10:$AO$258), ""), 0)),"")</f>
        <v/>
      </c>
      <c r="AZ243" s="802" t="str">
        <f t="shared" si="31"/>
        <v/>
      </c>
    </row>
    <row r="244" spans="3:52" ht="15.75" thickBot="1">
      <c r="C244" s="110">
        <v>235</v>
      </c>
      <c r="D244" s="340"/>
      <c r="E244" s="121"/>
      <c r="F244" s="362" t="str">
        <f>IF(D244="","",VLOOKUP(D244,'G-7 WaterC'' Data'!$B$2:$G$8,2,FALSE))</f>
        <v/>
      </c>
      <c r="G244" s="363" t="str">
        <f>IFERROR(VLOOKUP(F244,'G-7 WaterC'' Data'!$C$4:$D$8,2,FALSE),"")</f>
        <v/>
      </c>
      <c r="H244" s="114"/>
      <c r="I244" s="363" t="str">
        <f>IFERROR(INDEX('G-7 WaterC'' Data'!$H$4:$L$8,MATCH(D244,'G-7 WaterC'' Data'!$B$4:$B$8,0),MATCH(H244,'G-7 WaterC'' Data'!$H$3:$L$3,0)),"")</f>
        <v/>
      </c>
      <c r="J244" s="115"/>
      <c r="K244" s="382" t="str">
        <f>IF(J244="","",IF(VLOOKUP(J244,'G-7 WaterC'' Data'!$AK$4:$AM$9,2,FALSE)=0,"Spatial Data Missing ⚠",VLOOKUP(J244,'G-7 WaterC'' Data'!$AK$4:$AM$6,2,FALSE)))</f>
        <v/>
      </c>
      <c r="L244" s="386" t="str">
        <f>IF(J244="","",IF(VLOOKUP(J244,'G-7 WaterC'' Data'!$AK$4:$AM$9,3,FALSE)=0,"Spatial Data Missing ⚠",VLOOKUP(J244,'G-7 WaterC'' Data'!$AK$4:$AM$6,3,FALSE)))</f>
        <v/>
      </c>
      <c r="M244" s="115"/>
      <c r="N244" s="363" t="str">
        <f>IF(M244="","",IF(VLOOKUP(M244,'G-7 WaterC'' Data'!$AA$4:$AB$7,2,FALSE)=0,"Spatial Data Missing ⚠",VLOOKUP(M244,'G-7 WaterC'' Data'!$AA$4:$AB$7,2,FALSE)))</f>
        <v/>
      </c>
      <c r="O244" s="60"/>
      <c r="P244" s="363" t="str">
        <f>IF(O244="","",IF(VLOOKUP(O244,'G-7 WaterC'' Data'!$AD$4:$AE$14,2,FALSE)=0,"Spatial Data Missing ⚠",VLOOKUP(O244,'G-7 WaterC'' Data'!$AD$4:$AE$14,2,FALSE)))</f>
        <v/>
      </c>
      <c r="Q244" s="369" t="str">
        <f>IF(D244="","",VLOOKUP(D244,'G-7 WaterC'' Data'!$B$4:$G$8,6,FALSE))</f>
        <v/>
      </c>
      <c r="R244" s="376" t="str">
        <f>IFERROR(IF(D244="","",IF(AND(Q244='G-1 All Habitats'!$X$3,X244&gt;0),Y244+(Z244*T244),IF(AND(Q244='G-1 All Habitats'!$X$3,W244&gt;0),Y244+(Z244*T244),IF(AND(Q244='G-1 All Habitats'!$X$3,AH244&gt;0),"Any Loss Unacceptable ⚠",IF(AND(Q244='G-1 All Habitats'!$X$3,AI244&gt;0),"Any Loss Unacceptable ⚠", E244*G244*I244*L244*N244*P244*T244 ))))),"Check Data ▲")</f>
        <v/>
      </c>
      <c r="S244" s="516"/>
      <c r="T244" s="368" t="str">
        <f>IF(S244="","",IF(VLOOKUP(S244,'G-7 WaterC'' Data'!$AO$4:$BO$7,2,FALSE)=0,"Spatial Data Missing ⚠",VLOOKUP(S244,'G-7 WaterC'' Data'!$AO$4:$BO$7,2,FALSE)))</f>
        <v/>
      </c>
      <c r="U244" s="376" t="str">
        <f>IFERROR(IF(D244="","",IF(AND(Q244='G-1 All Habitats'!$X$3,X244&gt;0),Y244+Z244,IF(AND(Q244='G-1 All Habitats'!$X$3,W244&gt;0),Y244+Z244,IF(AND(Q244='G-1 All Habitats'!$X$3,AH244&gt;0),"Any Loss Unacceptable ⚠",IF(AND(Q244='G-1 All Habitats'!$X$3,AI244&gt;0),"Any Loss Unacceptable ⚠", E244*G244*I244*L244*N244*P244 ))))),"Check Data ▲")</f>
        <v/>
      </c>
      <c r="V244" s="32"/>
      <c r="W244" s="114"/>
      <c r="X244" s="125"/>
      <c r="Y244" s="374" t="str">
        <f t="shared" si="24"/>
        <v/>
      </c>
      <c r="Z244" s="374" t="str">
        <f t="shared" si="25"/>
        <v/>
      </c>
      <c r="AA244" s="374" t="str">
        <f t="shared" si="26"/>
        <v/>
      </c>
      <c r="AB244" s="670" t="str">
        <f t="shared" si="27"/>
        <v/>
      </c>
      <c r="AC244" s="516"/>
      <c r="AD244" s="119"/>
      <c r="AE244" s="120"/>
      <c r="AF244" s="120"/>
      <c r="AG244" s="120"/>
      <c r="AH244" s="57" t="str">
        <f>IF(Q244="","",IF(Q244='G-1 All Habitats'!$X$3,E244-X244-W244,"None"))</f>
        <v/>
      </c>
      <c r="AI244" s="58" t="str">
        <f>IF(Q244="","", IF(Q244='G-1 All Habitats'!$X$3, AH244*G244*I244*L244*N244*P244,"None"))</f>
        <v/>
      </c>
      <c r="AJ244" s="30" t="str">
        <f>IFERROR(INDEX('G-7 WaterC'' Data'!$AZ$3:$AZ$7,MATCH(D244,'G-7 WaterC'' Data'!$AY$3:$AY$7,0)),"")</f>
        <v/>
      </c>
      <c r="AK244" s="30">
        <f t="shared" si="28"/>
        <v>0</v>
      </c>
      <c r="AL244" s="124" t="str">
        <f t="shared" si="29"/>
        <v/>
      </c>
      <c r="AM244" s="124" t="str">
        <f t="shared" si="30"/>
        <v/>
      </c>
      <c r="AO244" s="124">
        <v>235</v>
      </c>
      <c r="AQ244" s="124" t="str">
        <f t="array" ref="AQ244">IFERROR(INDEX($AO$10:$AO$258, MATCH(0, IF(TRUE=$AL$10:$AL$258, COUNTIF($AQ$9:$AQ243, $AO$10:$AO$258), ""), 0)),"")</f>
        <v/>
      </c>
      <c r="AR244" s="124" t="str">
        <f t="array" ref="AR244">IFERROR(INDEX($AO$10:$AO$258, MATCH(0, IF(TRUE=$AM$10:$AM$258, COUNTIF($AR$9:$AR243, $AO$10:$AO$258), ""), 0)),"")</f>
        <v/>
      </c>
      <c r="AZ244" s="802" t="str">
        <f t="shared" si="31"/>
        <v/>
      </c>
    </row>
    <row r="245" spans="3:52" ht="15.75" thickBot="1">
      <c r="C245" s="110">
        <v>236</v>
      </c>
      <c r="D245" s="340"/>
      <c r="E245" s="121"/>
      <c r="F245" s="362" t="str">
        <f>IF(D245="","",VLOOKUP(D245,'G-7 WaterC'' Data'!$B$2:$G$8,2,FALSE))</f>
        <v/>
      </c>
      <c r="G245" s="363" t="str">
        <f>IFERROR(VLOOKUP(F245,'G-7 WaterC'' Data'!$C$4:$D$8,2,FALSE),"")</f>
        <v/>
      </c>
      <c r="H245" s="114"/>
      <c r="I245" s="363" t="str">
        <f>IFERROR(INDEX('G-7 WaterC'' Data'!$H$4:$L$8,MATCH(D245,'G-7 WaterC'' Data'!$B$4:$B$8,0),MATCH(H245,'G-7 WaterC'' Data'!$H$3:$L$3,0)),"")</f>
        <v/>
      </c>
      <c r="J245" s="115"/>
      <c r="K245" s="382" t="str">
        <f>IF(J245="","",IF(VLOOKUP(J245,'G-7 WaterC'' Data'!$AK$4:$AM$9,2,FALSE)=0,"Spatial Data Missing ⚠",VLOOKUP(J245,'G-7 WaterC'' Data'!$AK$4:$AM$6,2,FALSE)))</f>
        <v/>
      </c>
      <c r="L245" s="386" t="str">
        <f>IF(J245="","",IF(VLOOKUP(J245,'G-7 WaterC'' Data'!$AK$4:$AM$9,3,FALSE)=0,"Spatial Data Missing ⚠",VLOOKUP(J245,'G-7 WaterC'' Data'!$AK$4:$AM$6,3,FALSE)))</f>
        <v/>
      </c>
      <c r="M245" s="115"/>
      <c r="N245" s="363" t="str">
        <f>IF(M245="","",IF(VLOOKUP(M245,'G-7 WaterC'' Data'!$AA$4:$AB$7,2,FALSE)=0,"Spatial Data Missing ⚠",VLOOKUP(M245,'G-7 WaterC'' Data'!$AA$4:$AB$7,2,FALSE)))</f>
        <v/>
      </c>
      <c r="O245" s="60"/>
      <c r="P245" s="363" t="str">
        <f>IF(O245="","",IF(VLOOKUP(O245,'G-7 WaterC'' Data'!$AD$4:$AE$14,2,FALSE)=0,"Spatial Data Missing ⚠",VLOOKUP(O245,'G-7 WaterC'' Data'!$AD$4:$AE$14,2,FALSE)))</f>
        <v/>
      </c>
      <c r="Q245" s="369" t="str">
        <f>IF(D245="","",VLOOKUP(D245,'G-7 WaterC'' Data'!$B$4:$G$8,6,FALSE))</f>
        <v/>
      </c>
      <c r="R245" s="376" t="str">
        <f>IFERROR(IF(D245="","",IF(AND(Q245='G-1 All Habitats'!$X$3,X245&gt;0),Y245+(Z245*T245),IF(AND(Q245='G-1 All Habitats'!$X$3,W245&gt;0),Y245+(Z245*T245),IF(AND(Q245='G-1 All Habitats'!$X$3,AH245&gt;0),"Any Loss Unacceptable ⚠",IF(AND(Q245='G-1 All Habitats'!$X$3,AI245&gt;0),"Any Loss Unacceptable ⚠", E245*G245*I245*L245*N245*P245*T245 ))))),"Check Data ▲")</f>
        <v/>
      </c>
      <c r="S245" s="516"/>
      <c r="T245" s="368" t="str">
        <f>IF(S245="","",IF(VLOOKUP(S245,'G-7 WaterC'' Data'!$AO$4:$BO$7,2,FALSE)=0,"Spatial Data Missing ⚠",VLOOKUP(S245,'G-7 WaterC'' Data'!$AO$4:$BO$7,2,FALSE)))</f>
        <v/>
      </c>
      <c r="U245" s="376" t="str">
        <f>IFERROR(IF(D245="","",IF(AND(Q245='G-1 All Habitats'!$X$3,X245&gt;0),Y245+Z245,IF(AND(Q245='G-1 All Habitats'!$X$3,W245&gt;0),Y245+Z245,IF(AND(Q245='G-1 All Habitats'!$X$3,AH245&gt;0),"Any Loss Unacceptable ⚠",IF(AND(Q245='G-1 All Habitats'!$X$3,AI245&gt;0),"Any Loss Unacceptable ⚠", E245*G245*I245*L245*N245*P245 ))))),"Check Data ▲")</f>
        <v/>
      </c>
      <c r="V245" s="32"/>
      <c r="W245" s="114"/>
      <c r="X245" s="125"/>
      <c r="Y245" s="374" t="str">
        <f t="shared" si="24"/>
        <v/>
      </c>
      <c r="Z245" s="374" t="str">
        <f t="shared" si="25"/>
        <v/>
      </c>
      <c r="AA245" s="374" t="str">
        <f t="shared" si="26"/>
        <v/>
      </c>
      <c r="AB245" s="670" t="str">
        <f t="shared" si="27"/>
        <v/>
      </c>
      <c r="AC245" s="516"/>
      <c r="AD245" s="119"/>
      <c r="AE245" s="120"/>
      <c r="AF245" s="120"/>
      <c r="AG245" s="120"/>
      <c r="AH245" s="57" t="str">
        <f>IF(Q245="","",IF(Q245='G-1 All Habitats'!$X$3,E245-X245-W245,"None"))</f>
        <v/>
      </c>
      <c r="AI245" s="58" t="str">
        <f>IF(Q245="","", IF(Q245='G-1 All Habitats'!$X$3, AH245*G245*I245*L245*N245*P245,"None"))</f>
        <v/>
      </c>
      <c r="AJ245" s="30" t="str">
        <f>IFERROR(INDEX('G-7 WaterC'' Data'!$AZ$3:$AZ$7,MATCH(D245,'G-7 WaterC'' Data'!$AY$3:$AY$7,0)),"")</f>
        <v/>
      </c>
      <c r="AK245" s="30">
        <f t="shared" si="28"/>
        <v>0</v>
      </c>
      <c r="AL245" s="108" t="str">
        <f t="shared" si="29"/>
        <v/>
      </c>
      <c r="AM245" s="108" t="str">
        <f t="shared" si="30"/>
        <v/>
      </c>
      <c r="AN245" s="109"/>
      <c r="AO245" s="108">
        <v>236</v>
      </c>
      <c r="AP245" s="109"/>
      <c r="AQ245" s="108" t="str">
        <f t="array" ref="AQ245">IFERROR(INDEX($AO$10:$AO$258, MATCH(0, IF(TRUE=$AL$10:$AL$258, COUNTIF($AQ$9:$AQ244, $AO$10:$AO$258), ""), 0)),"")</f>
        <v/>
      </c>
      <c r="AR245" s="108" t="str">
        <f t="array" ref="AR245">IFERROR(INDEX($AO$10:$AO$258, MATCH(0, IF(TRUE=$AM$10:$AM$258, COUNTIF($AR$9:$AR244, $AO$10:$AO$258), ""), 0)),"")</f>
        <v/>
      </c>
      <c r="AZ245" s="802" t="str">
        <f t="shared" si="31"/>
        <v/>
      </c>
    </row>
    <row r="246" spans="3:52" ht="15.75" thickBot="1">
      <c r="C246" s="110">
        <v>237</v>
      </c>
      <c r="D246" s="340"/>
      <c r="E246" s="121"/>
      <c r="F246" s="362" t="str">
        <f>IF(D246="","",VLOOKUP(D246,'G-7 WaterC'' Data'!$B$2:$G$8,2,FALSE))</f>
        <v/>
      </c>
      <c r="G246" s="363" t="str">
        <f>IFERROR(VLOOKUP(F246,'G-7 WaterC'' Data'!$C$4:$D$8,2,FALSE),"")</f>
        <v/>
      </c>
      <c r="H246" s="114"/>
      <c r="I246" s="363" t="str">
        <f>IFERROR(INDEX('G-7 WaterC'' Data'!$H$4:$L$8,MATCH(D246,'G-7 WaterC'' Data'!$B$4:$B$8,0),MATCH(H246,'G-7 WaterC'' Data'!$H$3:$L$3,0)),"")</f>
        <v/>
      </c>
      <c r="J246" s="115"/>
      <c r="K246" s="382" t="str">
        <f>IF(J246="","",IF(VLOOKUP(J246,'G-7 WaterC'' Data'!$AK$4:$AM$9,2,FALSE)=0,"Spatial Data Missing ⚠",VLOOKUP(J246,'G-7 WaterC'' Data'!$AK$4:$AM$6,2,FALSE)))</f>
        <v/>
      </c>
      <c r="L246" s="386" t="str">
        <f>IF(J246="","",IF(VLOOKUP(J246,'G-7 WaterC'' Data'!$AK$4:$AM$9,3,FALSE)=0,"Spatial Data Missing ⚠",VLOOKUP(J246,'G-7 WaterC'' Data'!$AK$4:$AM$6,3,FALSE)))</f>
        <v/>
      </c>
      <c r="M246" s="115"/>
      <c r="N246" s="363" t="str">
        <f>IF(M246="","",IF(VLOOKUP(M246,'G-7 WaterC'' Data'!$AA$4:$AB$7,2,FALSE)=0,"Spatial Data Missing ⚠",VLOOKUP(M246,'G-7 WaterC'' Data'!$AA$4:$AB$7,2,FALSE)))</f>
        <v/>
      </c>
      <c r="O246" s="60"/>
      <c r="P246" s="363" t="str">
        <f>IF(O246="","",IF(VLOOKUP(O246,'G-7 WaterC'' Data'!$AD$4:$AE$14,2,FALSE)=0,"Spatial Data Missing ⚠",VLOOKUP(O246,'G-7 WaterC'' Data'!$AD$4:$AE$14,2,FALSE)))</f>
        <v/>
      </c>
      <c r="Q246" s="369" t="str">
        <f>IF(D246="","",VLOOKUP(D246,'G-7 WaterC'' Data'!$B$4:$G$8,6,FALSE))</f>
        <v/>
      </c>
      <c r="R246" s="376" t="str">
        <f>IFERROR(IF(D246="","",IF(AND(Q246='G-1 All Habitats'!$X$3,X246&gt;0),Y246+(Z246*T246),IF(AND(Q246='G-1 All Habitats'!$X$3,W246&gt;0),Y246+(Z246*T246),IF(AND(Q246='G-1 All Habitats'!$X$3,AH246&gt;0),"Any Loss Unacceptable ⚠",IF(AND(Q246='G-1 All Habitats'!$X$3,AI246&gt;0),"Any Loss Unacceptable ⚠", E246*G246*I246*L246*N246*P246*T246 ))))),"Check Data ▲")</f>
        <v/>
      </c>
      <c r="S246" s="516"/>
      <c r="T246" s="368" t="str">
        <f>IF(S246="","",IF(VLOOKUP(S246,'G-7 WaterC'' Data'!$AO$4:$BO$7,2,FALSE)=0,"Spatial Data Missing ⚠",VLOOKUP(S246,'G-7 WaterC'' Data'!$AO$4:$BO$7,2,FALSE)))</f>
        <v/>
      </c>
      <c r="U246" s="376" t="str">
        <f>IFERROR(IF(D246="","",IF(AND(Q246='G-1 All Habitats'!$X$3,X246&gt;0),Y246+Z246,IF(AND(Q246='G-1 All Habitats'!$X$3,W246&gt;0),Y246+Z246,IF(AND(Q246='G-1 All Habitats'!$X$3,AH246&gt;0),"Any Loss Unacceptable ⚠",IF(AND(Q246='G-1 All Habitats'!$X$3,AI246&gt;0),"Any Loss Unacceptable ⚠", E246*G246*I246*L246*N246*P246 ))))),"Check Data ▲")</f>
        <v/>
      </c>
      <c r="V246" s="32"/>
      <c r="W246" s="114"/>
      <c r="X246" s="125"/>
      <c r="Y246" s="374" t="str">
        <f t="shared" si="24"/>
        <v/>
      </c>
      <c r="Z246" s="374" t="str">
        <f t="shared" si="25"/>
        <v/>
      </c>
      <c r="AA246" s="374" t="str">
        <f t="shared" si="26"/>
        <v/>
      </c>
      <c r="AB246" s="670" t="str">
        <f t="shared" si="27"/>
        <v/>
      </c>
      <c r="AC246" s="516"/>
      <c r="AD246" s="119"/>
      <c r="AE246" s="120"/>
      <c r="AF246" s="120"/>
      <c r="AG246" s="120"/>
      <c r="AH246" s="57" t="str">
        <f>IF(Q246="","",IF(Q246='G-1 All Habitats'!$X$3,E246-X246-W246,"None"))</f>
        <v/>
      </c>
      <c r="AI246" s="58" t="str">
        <f>IF(Q246="","", IF(Q246='G-1 All Habitats'!$X$3, AH246*G246*I246*L246*N246*P246,"None"))</f>
        <v/>
      </c>
      <c r="AJ246" s="30" t="str">
        <f>IFERROR(INDEX('G-7 WaterC'' Data'!$AZ$3:$AZ$7,MATCH(D246,'G-7 WaterC'' Data'!$AY$3:$AY$7,0)),"")</f>
        <v/>
      </c>
      <c r="AK246" s="30">
        <f t="shared" si="28"/>
        <v>0</v>
      </c>
      <c r="AL246" s="108" t="str">
        <f t="shared" si="29"/>
        <v/>
      </c>
      <c r="AM246" s="108" t="str">
        <f t="shared" si="30"/>
        <v/>
      </c>
      <c r="AN246" s="109"/>
      <c r="AO246" s="108">
        <v>237</v>
      </c>
      <c r="AP246" s="109"/>
      <c r="AQ246" s="108" t="str">
        <f t="array" ref="AQ246">IFERROR(INDEX($AO$10:$AO$258, MATCH(0, IF(TRUE=$AL$10:$AL$258, COUNTIF($AQ$9:$AQ245, $AO$10:$AO$258), ""), 0)),"")</f>
        <v/>
      </c>
      <c r="AR246" s="108" t="str">
        <f t="array" ref="AR246">IFERROR(INDEX($AO$10:$AO$258, MATCH(0, IF(TRUE=$AM$10:$AM$258, COUNTIF($AR$9:$AR245, $AO$10:$AO$258), ""), 0)),"")</f>
        <v/>
      </c>
      <c r="AZ246" s="802" t="str">
        <f t="shared" si="31"/>
        <v/>
      </c>
    </row>
    <row r="247" spans="3:52" ht="15.75" thickBot="1">
      <c r="C247" s="110">
        <v>238</v>
      </c>
      <c r="D247" s="340"/>
      <c r="E247" s="121"/>
      <c r="F247" s="362" t="str">
        <f>IF(D247="","",VLOOKUP(D247,'G-7 WaterC'' Data'!$B$2:$G$8,2,FALSE))</f>
        <v/>
      </c>
      <c r="G247" s="363" t="str">
        <f>IFERROR(VLOOKUP(F247,'G-7 WaterC'' Data'!$C$4:$D$8,2,FALSE),"")</f>
        <v/>
      </c>
      <c r="H247" s="114"/>
      <c r="I247" s="363" t="str">
        <f>IFERROR(INDEX('G-7 WaterC'' Data'!$H$4:$L$8,MATCH(D247,'G-7 WaterC'' Data'!$B$4:$B$8,0),MATCH(H247,'G-7 WaterC'' Data'!$H$3:$L$3,0)),"")</f>
        <v/>
      </c>
      <c r="J247" s="115"/>
      <c r="K247" s="382" t="str">
        <f>IF(J247="","",IF(VLOOKUP(J247,'G-7 WaterC'' Data'!$AK$4:$AM$9,2,FALSE)=0,"Spatial Data Missing ⚠",VLOOKUP(J247,'G-7 WaterC'' Data'!$AK$4:$AM$6,2,FALSE)))</f>
        <v/>
      </c>
      <c r="L247" s="386" t="str">
        <f>IF(J247="","",IF(VLOOKUP(J247,'G-7 WaterC'' Data'!$AK$4:$AM$9,3,FALSE)=0,"Spatial Data Missing ⚠",VLOOKUP(J247,'G-7 WaterC'' Data'!$AK$4:$AM$6,3,FALSE)))</f>
        <v/>
      </c>
      <c r="M247" s="115"/>
      <c r="N247" s="363" t="str">
        <f>IF(M247="","",IF(VLOOKUP(M247,'G-7 WaterC'' Data'!$AA$4:$AB$7,2,FALSE)=0,"Spatial Data Missing ⚠",VLOOKUP(M247,'G-7 WaterC'' Data'!$AA$4:$AB$7,2,FALSE)))</f>
        <v/>
      </c>
      <c r="O247" s="60"/>
      <c r="P247" s="363" t="str">
        <f>IF(O247="","",IF(VLOOKUP(O247,'G-7 WaterC'' Data'!$AD$4:$AE$14,2,FALSE)=0,"Spatial Data Missing ⚠",VLOOKUP(O247,'G-7 WaterC'' Data'!$AD$4:$AE$14,2,FALSE)))</f>
        <v/>
      </c>
      <c r="Q247" s="369" t="str">
        <f>IF(D247="","",VLOOKUP(D247,'G-7 WaterC'' Data'!$B$4:$G$8,6,FALSE))</f>
        <v/>
      </c>
      <c r="R247" s="376" t="str">
        <f>IFERROR(IF(D247="","",IF(AND(Q247='G-1 All Habitats'!$X$3,X247&gt;0),Y247+(Z247*T247),IF(AND(Q247='G-1 All Habitats'!$X$3,W247&gt;0),Y247+(Z247*T247),IF(AND(Q247='G-1 All Habitats'!$X$3,AH247&gt;0),"Any Loss Unacceptable ⚠",IF(AND(Q247='G-1 All Habitats'!$X$3,AI247&gt;0),"Any Loss Unacceptable ⚠", E247*G247*I247*L247*N247*P247*T247 ))))),"Check Data ▲")</f>
        <v/>
      </c>
      <c r="S247" s="516"/>
      <c r="T247" s="368" t="str">
        <f>IF(S247="","",IF(VLOOKUP(S247,'G-7 WaterC'' Data'!$AO$4:$BO$7,2,FALSE)=0,"Spatial Data Missing ⚠",VLOOKUP(S247,'G-7 WaterC'' Data'!$AO$4:$BO$7,2,FALSE)))</f>
        <v/>
      </c>
      <c r="U247" s="376" t="str">
        <f>IFERROR(IF(D247="","",IF(AND(Q247='G-1 All Habitats'!$X$3,X247&gt;0),Y247+Z247,IF(AND(Q247='G-1 All Habitats'!$X$3,W247&gt;0),Y247+Z247,IF(AND(Q247='G-1 All Habitats'!$X$3,AH247&gt;0),"Any Loss Unacceptable ⚠",IF(AND(Q247='G-1 All Habitats'!$X$3,AI247&gt;0),"Any Loss Unacceptable ⚠", E247*G247*I247*L247*N247*P247 ))))),"Check Data ▲")</f>
        <v/>
      </c>
      <c r="V247" s="32"/>
      <c r="W247" s="114"/>
      <c r="X247" s="125"/>
      <c r="Y247" s="374" t="str">
        <f t="shared" si="24"/>
        <v/>
      </c>
      <c r="Z247" s="374" t="str">
        <f t="shared" si="25"/>
        <v/>
      </c>
      <c r="AA247" s="374" t="str">
        <f t="shared" si="26"/>
        <v/>
      </c>
      <c r="AB247" s="670" t="str">
        <f t="shared" si="27"/>
        <v/>
      </c>
      <c r="AC247" s="516"/>
      <c r="AD247" s="119"/>
      <c r="AE247" s="120"/>
      <c r="AF247" s="120"/>
      <c r="AG247" s="120"/>
      <c r="AH247" s="57" t="str">
        <f>IF(Q247="","",IF(Q247='G-1 All Habitats'!$X$3,E247-X247-W247,"None"))</f>
        <v/>
      </c>
      <c r="AI247" s="58" t="str">
        <f>IF(Q247="","", IF(Q247='G-1 All Habitats'!$X$3, AH247*G247*I247*L247*N247*P247,"None"))</f>
        <v/>
      </c>
      <c r="AJ247" s="30" t="str">
        <f>IFERROR(INDEX('G-7 WaterC'' Data'!$AZ$3:$AZ$7,MATCH(D247,'G-7 WaterC'' Data'!$AY$3:$AY$7,0)),"")</f>
        <v/>
      </c>
      <c r="AK247" s="30">
        <f t="shared" si="28"/>
        <v>0</v>
      </c>
      <c r="AL247" s="108" t="str">
        <f t="shared" si="29"/>
        <v/>
      </c>
      <c r="AM247" s="108" t="str">
        <f t="shared" si="30"/>
        <v/>
      </c>
      <c r="AN247" s="109"/>
      <c r="AO247" s="108">
        <v>238</v>
      </c>
      <c r="AP247" s="109"/>
      <c r="AQ247" s="108" t="str">
        <f t="array" ref="AQ247">IFERROR(INDEX($AO$10:$AO$258, MATCH(0, IF(TRUE=$AL$10:$AL$258, COUNTIF($AQ$9:$AQ246, $AO$10:$AO$258), ""), 0)),"")</f>
        <v/>
      </c>
      <c r="AR247" s="108" t="str">
        <f t="array" ref="AR247">IFERROR(INDEX($AO$10:$AO$258, MATCH(0, IF(TRUE=$AM$10:$AM$258, COUNTIF($AR$9:$AR246, $AO$10:$AO$258), ""), 0)),"")</f>
        <v/>
      </c>
      <c r="AZ247" s="802" t="str">
        <f t="shared" si="31"/>
        <v/>
      </c>
    </row>
    <row r="248" spans="3:52" ht="15.75" thickBot="1">
      <c r="C248" s="110">
        <v>239</v>
      </c>
      <c r="D248" s="340"/>
      <c r="E248" s="121"/>
      <c r="F248" s="362" t="str">
        <f>IF(D248="","",VLOOKUP(D248,'G-7 WaterC'' Data'!$B$2:$G$8,2,FALSE))</f>
        <v/>
      </c>
      <c r="G248" s="363" t="str">
        <f>IFERROR(VLOOKUP(F248,'G-7 WaterC'' Data'!$C$4:$D$8,2,FALSE),"")</f>
        <v/>
      </c>
      <c r="H248" s="114"/>
      <c r="I248" s="363" t="str">
        <f>IFERROR(INDEX('G-7 WaterC'' Data'!$H$4:$L$8,MATCH(D248,'G-7 WaterC'' Data'!$B$4:$B$8,0),MATCH(H248,'G-7 WaterC'' Data'!$H$3:$L$3,0)),"")</f>
        <v/>
      </c>
      <c r="J248" s="115"/>
      <c r="K248" s="382" t="str">
        <f>IF(J248="","",IF(VLOOKUP(J248,'G-7 WaterC'' Data'!$AK$4:$AM$9,2,FALSE)=0,"Spatial Data Missing ⚠",VLOOKUP(J248,'G-7 WaterC'' Data'!$AK$4:$AM$6,2,FALSE)))</f>
        <v/>
      </c>
      <c r="L248" s="386" t="str">
        <f>IF(J248="","",IF(VLOOKUP(J248,'G-7 WaterC'' Data'!$AK$4:$AM$9,3,FALSE)=0,"Spatial Data Missing ⚠",VLOOKUP(J248,'G-7 WaterC'' Data'!$AK$4:$AM$6,3,FALSE)))</f>
        <v/>
      </c>
      <c r="M248" s="115"/>
      <c r="N248" s="363" t="str">
        <f>IF(M248="","",IF(VLOOKUP(M248,'G-7 WaterC'' Data'!$AA$4:$AB$7,2,FALSE)=0,"Spatial Data Missing ⚠",VLOOKUP(M248,'G-7 WaterC'' Data'!$AA$4:$AB$7,2,FALSE)))</f>
        <v/>
      </c>
      <c r="O248" s="60"/>
      <c r="P248" s="363" t="str">
        <f>IF(O248="","",IF(VLOOKUP(O248,'G-7 WaterC'' Data'!$AD$4:$AE$14,2,FALSE)=0,"Spatial Data Missing ⚠",VLOOKUP(O248,'G-7 WaterC'' Data'!$AD$4:$AE$14,2,FALSE)))</f>
        <v/>
      </c>
      <c r="Q248" s="369" t="str">
        <f>IF(D248="","",VLOOKUP(D248,'G-7 WaterC'' Data'!$B$4:$G$8,6,FALSE))</f>
        <v/>
      </c>
      <c r="R248" s="376" t="str">
        <f>IFERROR(IF(D248="","",IF(AND(Q248='G-1 All Habitats'!$X$3,X248&gt;0),Y248+(Z248*T248),IF(AND(Q248='G-1 All Habitats'!$X$3,W248&gt;0),Y248+(Z248*T248),IF(AND(Q248='G-1 All Habitats'!$X$3,AH248&gt;0),"Any Loss Unacceptable ⚠",IF(AND(Q248='G-1 All Habitats'!$X$3,AI248&gt;0),"Any Loss Unacceptable ⚠", E248*G248*I248*L248*N248*P248*T248 ))))),"Check Data ▲")</f>
        <v/>
      </c>
      <c r="S248" s="516"/>
      <c r="T248" s="368" t="str">
        <f>IF(S248="","",IF(VLOOKUP(S248,'G-7 WaterC'' Data'!$AO$4:$BO$7,2,FALSE)=0,"Spatial Data Missing ⚠",VLOOKUP(S248,'G-7 WaterC'' Data'!$AO$4:$BO$7,2,FALSE)))</f>
        <v/>
      </c>
      <c r="U248" s="376" t="str">
        <f>IFERROR(IF(D248="","",IF(AND(Q248='G-1 All Habitats'!$X$3,X248&gt;0),Y248+Z248,IF(AND(Q248='G-1 All Habitats'!$X$3,W248&gt;0),Y248+Z248,IF(AND(Q248='G-1 All Habitats'!$X$3,AH248&gt;0),"Any Loss Unacceptable ⚠",IF(AND(Q248='G-1 All Habitats'!$X$3,AI248&gt;0),"Any Loss Unacceptable ⚠", E248*G248*I248*L248*N248*P248 ))))),"Check Data ▲")</f>
        <v/>
      </c>
      <c r="V248" s="32"/>
      <c r="W248" s="114"/>
      <c r="X248" s="125"/>
      <c r="Y248" s="374" t="str">
        <f t="shared" si="24"/>
        <v/>
      </c>
      <c r="Z248" s="374" t="str">
        <f t="shared" si="25"/>
        <v/>
      </c>
      <c r="AA248" s="374" t="str">
        <f t="shared" si="26"/>
        <v/>
      </c>
      <c r="AB248" s="670" t="str">
        <f t="shared" si="27"/>
        <v/>
      </c>
      <c r="AC248" s="516"/>
      <c r="AD248" s="119"/>
      <c r="AE248" s="120"/>
      <c r="AF248" s="120"/>
      <c r="AG248" s="120"/>
      <c r="AH248" s="57" t="str">
        <f>IF(Q248="","",IF(Q248='G-1 All Habitats'!$X$3,E248-X248-W248,"None"))</f>
        <v/>
      </c>
      <c r="AI248" s="58" t="str">
        <f>IF(Q248="","", IF(Q248='G-1 All Habitats'!$X$3, AH248*G248*I248*L248*N248*P248,"None"))</f>
        <v/>
      </c>
      <c r="AJ248" s="30" t="str">
        <f>IFERROR(INDEX('G-7 WaterC'' Data'!$AZ$3:$AZ$7,MATCH(D248,'G-7 WaterC'' Data'!$AY$3:$AY$7,0)),"")</f>
        <v/>
      </c>
      <c r="AK248" s="30">
        <f t="shared" si="28"/>
        <v>0</v>
      </c>
      <c r="AL248" s="108" t="str">
        <f t="shared" si="29"/>
        <v/>
      </c>
      <c r="AM248" s="108" t="str">
        <f t="shared" si="30"/>
        <v/>
      </c>
      <c r="AN248" s="109"/>
      <c r="AO248" s="108">
        <v>239</v>
      </c>
      <c r="AP248" s="109"/>
      <c r="AQ248" s="108" t="str">
        <f t="array" ref="AQ248">IFERROR(INDEX($AO$10:$AO$258, MATCH(0, IF(TRUE=$AL$10:$AL$258, COUNTIF($AQ$9:$AQ247, $AO$10:$AO$258), ""), 0)),"")</f>
        <v/>
      </c>
      <c r="AR248" s="108" t="str">
        <f t="array" ref="AR248">IFERROR(INDEX($AO$10:$AO$258, MATCH(0, IF(TRUE=$AM$10:$AM$258, COUNTIF($AR$9:$AR247, $AO$10:$AO$258), ""), 0)),"")</f>
        <v/>
      </c>
      <c r="AZ248" s="802" t="str">
        <f t="shared" si="31"/>
        <v/>
      </c>
    </row>
    <row r="249" spans="3:52" ht="15.75" thickBot="1">
      <c r="C249" s="110">
        <v>240</v>
      </c>
      <c r="D249" s="340"/>
      <c r="E249" s="121"/>
      <c r="F249" s="362" t="str">
        <f>IF(D249="","",VLOOKUP(D249,'G-7 WaterC'' Data'!$B$2:$G$8,2,FALSE))</f>
        <v/>
      </c>
      <c r="G249" s="363" t="str">
        <f>IFERROR(VLOOKUP(F249,'G-7 WaterC'' Data'!$C$4:$D$8,2,FALSE),"")</f>
        <v/>
      </c>
      <c r="H249" s="114"/>
      <c r="I249" s="363" t="str">
        <f>IFERROR(INDEX('G-7 WaterC'' Data'!$H$4:$L$8,MATCH(D249,'G-7 WaterC'' Data'!$B$4:$B$8,0),MATCH(H249,'G-7 WaterC'' Data'!$H$3:$L$3,0)),"")</f>
        <v/>
      </c>
      <c r="J249" s="115"/>
      <c r="K249" s="382" t="str">
        <f>IF(J249="","",IF(VLOOKUP(J249,'G-7 WaterC'' Data'!$AK$4:$AM$9,2,FALSE)=0,"Spatial Data Missing ⚠",VLOOKUP(J249,'G-7 WaterC'' Data'!$AK$4:$AM$6,2,FALSE)))</f>
        <v/>
      </c>
      <c r="L249" s="386" t="str">
        <f>IF(J249="","",IF(VLOOKUP(J249,'G-7 WaterC'' Data'!$AK$4:$AM$9,3,FALSE)=0,"Spatial Data Missing ⚠",VLOOKUP(J249,'G-7 WaterC'' Data'!$AK$4:$AM$6,3,FALSE)))</f>
        <v/>
      </c>
      <c r="M249" s="115"/>
      <c r="N249" s="363" t="str">
        <f>IF(M249="","",IF(VLOOKUP(M249,'G-7 WaterC'' Data'!$AA$4:$AB$7,2,FALSE)=0,"Spatial Data Missing ⚠",VLOOKUP(M249,'G-7 WaterC'' Data'!$AA$4:$AB$7,2,FALSE)))</f>
        <v/>
      </c>
      <c r="O249" s="60"/>
      <c r="P249" s="363" t="str">
        <f>IF(O249="","",IF(VLOOKUP(O249,'G-7 WaterC'' Data'!$AD$4:$AE$14,2,FALSE)=0,"Spatial Data Missing ⚠",VLOOKUP(O249,'G-7 WaterC'' Data'!$AD$4:$AE$14,2,FALSE)))</f>
        <v/>
      </c>
      <c r="Q249" s="369" t="str">
        <f>IF(D249="","",VLOOKUP(D249,'G-7 WaterC'' Data'!$B$4:$G$8,6,FALSE))</f>
        <v/>
      </c>
      <c r="R249" s="376" t="str">
        <f>IFERROR(IF(D249="","",IF(AND(Q249='G-1 All Habitats'!$X$3,X249&gt;0),Y249+(Z249*T249),IF(AND(Q249='G-1 All Habitats'!$X$3,W249&gt;0),Y249+(Z249*T249),IF(AND(Q249='G-1 All Habitats'!$X$3,AH249&gt;0),"Any Loss Unacceptable ⚠",IF(AND(Q249='G-1 All Habitats'!$X$3,AI249&gt;0),"Any Loss Unacceptable ⚠", E249*G249*I249*L249*N249*P249*T249 ))))),"Check Data ▲")</f>
        <v/>
      </c>
      <c r="S249" s="516"/>
      <c r="T249" s="368" t="str">
        <f>IF(S249="","",IF(VLOOKUP(S249,'G-7 WaterC'' Data'!$AO$4:$BO$7,2,FALSE)=0,"Spatial Data Missing ⚠",VLOOKUP(S249,'G-7 WaterC'' Data'!$AO$4:$BO$7,2,FALSE)))</f>
        <v/>
      </c>
      <c r="U249" s="376" t="str">
        <f>IFERROR(IF(D249="","",IF(AND(Q249='G-1 All Habitats'!$X$3,X249&gt;0),Y249+Z249,IF(AND(Q249='G-1 All Habitats'!$X$3,W249&gt;0),Y249+Z249,IF(AND(Q249='G-1 All Habitats'!$X$3,AH249&gt;0),"Any Loss Unacceptable ⚠",IF(AND(Q249='G-1 All Habitats'!$X$3,AI249&gt;0),"Any Loss Unacceptable ⚠", E249*G249*I249*L249*N249*P249 ))))),"Check Data ▲")</f>
        <v/>
      </c>
      <c r="V249" s="32"/>
      <c r="W249" s="114"/>
      <c r="X249" s="125"/>
      <c r="Y249" s="374" t="str">
        <f t="shared" si="24"/>
        <v/>
      </c>
      <c r="Z249" s="374" t="str">
        <f t="shared" si="25"/>
        <v/>
      </c>
      <c r="AA249" s="374" t="str">
        <f t="shared" si="26"/>
        <v/>
      </c>
      <c r="AB249" s="670" t="str">
        <f t="shared" si="27"/>
        <v/>
      </c>
      <c r="AC249" s="516"/>
      <c r="AD249" s="119"/>
      <c r="AE249" s="120"/>
      <c r="AF249" s="120"/>
      <c r="AG249" s="120"/>
      <c r="AH249" s="57" t="str">
        <f>IF(Q249="","",IF(Q249='G-1 All Habitats'!$X$3,E249-X249-W249,"None"))</f>
        <v/>
      </c>
      <c r="AI249" s="58" t="str">
        <f>IF(Q249="","", IF(Q249='G-1 All Habitats'!$X$3, AH249*G249*I249*L249*N249*P249,"None"))</f>
        <v/>
      </c>
      <c r="AJ249" s="30" t="str">
        <f>IFERROR(INDEX('G-7 WaterC'' Data'!$AZ$3:$AZ$7,MATCH(D249,'G-7 WaterC'' Data'!$AY$3:$AY$7,0)),"")</f>
        <v/>
      </c>
      <c r="AK249" s="30">
        <f t="shared" si="28"/>
        <v>0</v>
      </c>
      <c r="AL249" s="108" t="str">
        <f t="shared" si="29"/>
        <v/>
      </c>
      <c r="AM249" s="108" t="str">
        <f t="shared" si="30"/>
        <v/>
      </c>
      <c r="AN249" s="109"/>
      <c r="AO249" s="108">
        <v>240</v>
      </c>
      <c r="AP249" s="109"/>
      <c r="AQ249" s="108" t="str">
        <f t="array" ref="AQ249">IFERROR(INDEX($AO$10:$AO$258, MATCH(0, IF(TRUE=$AL$10:$AL$258, COUNTIF($AQ$9:$AQ248, $AO$10:$AO$258), ""), 0)),"")</f>
        <v/>
      </c>
      <c r="AR249" s="108" t="str">
        <f t="array" ref="AR249">IFERROR(INDEX($AO$10:$AO$258, MATCH(0, IF(TRUE=$AM$10:$AM$258, COUNTIF($AR$9:$AR248, $AO$10:$AO$258), ""), 0)),"")</f>
        <v/>
      </c>
      <c r="AZ249" s="802" t="str">
        <f t="shared" si="31"/>
        <v/>
      </c>
    </row>
    <row r="250" spans="3:52" ht="15.75" thickBot="1">
      <c r="C250" s="110">
        <v>241</v>
      </c>
      <c r="D250" s="340"/>
      <c r="E250" s="121"/>
      <c r="F250" s="362" t="str">
        <f>IF(D250="","",VLOOKUP(D250,'G-7 WaterC'' Data'!$B$2:$G$8,2,FALSE))</f>
        <v/>
      </c>
      <c r="G250" s="363" t="str">
        <f>IFERROR(VLOOKUP(F250,'G-7 WaterC'' Data'!$C$4:$D$8,2,FALSE),"")</f>
        <v/>
      </c>
      <c r="H250" s="114"/>
      <c r="I250" s="363" t="str">
        <f>IFERROR(INDEX('G-7 WaterC'' Data'!$H$4:$L$8,MATCH(D250,'G-7 WaterC'' Data'!$B$4:$B$8,0),MATCH(H250,'G-7 WaterC'' Data'!$H$3:$L$3,0)),"")</f>
        <v/>
      </c>
      <c r="J250" s="115"/>
      <c r="K250" s="382" t="str">
        <f>IF(J250="","",IF(VLOOKUP(J250,'G-7 WaterC'' Data'!$AK$4:$AM$9,2,FALSE)=0,"Spatial Data Missing ⚠",VLOOKUP(J250,'G-7 WaterC'' Data'!$AK$4:$AM$6,2,FALSE)))</f>
        <v/>
      </c>
      <c r="L250" s="386" t="str">
        <f>IF(J250="","",IF(VLOOKUP(J250,'G-7 WaterC'' Data'!$AK$4:$AM$9,3,FALSE)=0,"Spatial Data Missing ⚠",VLOOKUP(J250,'G-7 WaterC'' Data'!$AK$4:$AM$6,3,FALSE)))</f>
        <v/>
      </c>
      <c r="M250" s="115"/>
      <c r="N250" s="363" t="str">
        <f>IF(M250="","",IF(VLOOKUP(M250,'G-7 WaterC'' Data'!$AA$4:$AB$7,2,FALSE)=0,"Spatial Data Missing ⚠",VLOOKUP(M250,'G-7 WaterC'' Data'!$AA$4:$AB$7,2,FALSE)))</f>
        <v/>
      </c>
      <c r="O250" s="60"/>
      <c r="P250" s="363" t="str">
        <f>IF(O250="","",IF(VLOOKUP(O250,'G-7 WaterC'' Data'!$AD$4:$AE$14,2,FALSE)=0,"Spatial Data Missing ⚠",VLOOKUP(O250,'G-7 WaterC'' Data'!$AD$4:$AE$14,2,FALSE)))</f>
        <v/>
      </c>
      <c r="Q250" s="369" t="str">
        <f>IF(D250="","",VLOOKUP(D250,'G-7 WaterC'' Data'!$B$4:$G$8,6,FALSE))</f>
        <v/>
      </c>
      <c r="R250" s="376" t="str">
        <f>IFERROR(IF(D250="","",IF(AND(Q250='G-1 All Habitats'!$X$3,X250&gt;0),Y250+(Z250*T250),IF(AND(Q250='G-1 All Habitats'!$X$3,W250&gt;0),Y250+(Z250*T250),IF(AND(Q250='G-1 All Habitats'!$X$3,AH250&gt;0),"Any Loss Unacceptable ⚠",IF(AND(Q250='G-1 All Habitats'!$X$3,AI250&gt;0),"Any Loss Unacceptable ⚠", E250*G250*I250*L250*N250*P250*T250 ))))),"Check Data ▲")</f>
        <v/>
      </c>
      <c r="S250" s="516"/>
      <c r="T250" s="368" t="str">
        <f>IF(S250="","",IF(VLOOKUP(S250,'G-7 WaterC'' Data'!$AO$4:$BO$7,2,FALSE)=0,"Spatial Data Missing ⚠",VLOOKUP(S250,'G-7 WaterC'' Data'!$AO$4:$BO$7,2,FALSE)))</f>
        <v/>
      </c>
      <c r="U250" s="376" t="str">
        <f>IFERROR(IF(D250="","",IF(AND(Q250='G-1 All Habitats'!$X$3,X250&gt;0),Y250+Z250,IF(AND(Q250='G-1 All Habitats'!$X$3,W250&gt;0),Y250+Z250,IF(AND(Q250='G-1 All Habitats'!$X$3,AH250&gt;0),"Any Loss Unacceptable ⚠",IF(AND(Q250='G-1 All Habitats'!$X$3,AI250&gt;0),"Any Loss Unacceptable ⚠", E250*G250*I250*L250*N250*P250 ))))),"Check Data ▲")</f>
        <v/>
      </c>
      <c r="V250" s="32"/>
      <c r="W250" s="114"/>
      <c r="X250" s="125"/>
      <c r="Y250" s="374" t="str">
        <f t="shared" si="24"/>
        <v/>
      </c>
      <c r="Z250" s="374" t="str">
        <f t="shared" si="25"/>
        <v/>
      </c>
      <c r="AA250" s="374" t="str">
        <f t="shared" si="26"/>
        <v/>
      </c>
      <c r="AB250" s="670" t="str">
        <f t="shared" si="27"/>
        <v/>
      </c>
      <c r="AC250" s="516"/>
      <c r="AD250" s="119"/>
      <c r="AE250" s="120"/>
      <c r="AF250" s="120"/>
      <c r="AG250" s="120"/>
      <c r="AH250" s="57" t="str">
        <f>IF(Q250="","",IF(Q250='G-1 All Habitats'!$X$3,E250-X250-W250,"None"))</f>
        <v/>
      </c>
      <c r="AI250" s="58" t="str">
        <f>IF(Q250="","", IF(Q250='G-1 All Habitats'!$X$3, AH250*G250*I250*L250*N250*P250,"None"))</f>
        <v/>
      </c>
      <c r="AJ250" s="30" t="str">
        <f>IFERROR(INDEX('G-7 WaterC'' Data'!$AZ$3:$AZ$7,MATCH(D250,'G-7 WaterC'' Data'!$AY$3:$AY$7,0)),"")</f>
        <v/>
      </c>
      <c r="AK250" s="30">
        <f t="shared" si="28"/>
        <v>0</v>
      </c>
      <c r="AL250" s="108" t="str">
        <f t="shared" si="29"/>
        <v/>
      </c>
      <c r="AM250" s="108" t="str">
        <f t="shared" si="30"/>
        <v/>
      </c>
      <c r="AN250" s="109"/>
      <c r="AO250" s="108">
        <v>241</v>
      </c>
      <c r="AP250" s="109"/>
      <c r="AQ250" s="108" t="str">
        <f t="array" ref="AQ250">IFERROR(INDEX($AO$10:$AO$258, MATCH(0, IF(TRUE=$AL$10:$AL$258, COUNTIF($AQ$9:$AQ249, $AO$10:$AO$258), ""), 0)),"")</f>
        <v/>
      </c>
      <c r="AR250" s="108" t="str">
        <f t="array" ref="AR250">IFERROR(INDEX($AO$10:$AO$258, MATCH(0, IF(TRUE=$AM$10:$AM$258, COUNTIF($AR$9:$AR249, $AO$10:$AO$258), ""), 0)),"")</f>
        <v/>
      </c>
      <c r="AZ250" s="802" t="str">
        <f t="shared" si="31"/>
        <v/>
      </c>
    </row>
    <row r="251" spans="3:52" ht="15.75" thickBot="1">
      <c r="C251" s="110">
        <v>242</v>
      </c>
      <c r="D251" s="340"/>
      <c r="E251" s="121"/>
      <c r="F251" s="362" t="str">
        <f>IF(D251="","",VLOOKUP(D251,'G-7 WaterC'' Data'!$B$2:$G$8,2,FALSE))</f>
        <v/>
      </c>
      <c r="G251" s="363" t="str">
        <f>IFERROR(VLOOKUP(F251,'G-7 WaterC'' Data'!$C$4:$D$8,2,FALSE),"")</f>
        <v/>
      </c>
      <c r="H251" s="114"/>
      <c r="I251" s="363" t="str">
        <f>IFERROR(INDEX('G-7 WaterC'' Data'!$H$4:$L$8,MATCH(D251,'G-7 WaterC'' Data'!$B$4:$B$8,0),MATCH(H251,'G-7 WaterC'' Data'!$H$3:$L$3,0)),"")</f>
        <v/>
      </c>
      <c r="J251" s="115"/>
      <c r="K251" s="382" t="str">
        <f>IF(J251="","",IF(VLOOKUP(J251,'G-7 WaterC'' Data'!$AK$4:$AM$9,2,FALSE)=0,"Spatial Data Missing ⚠",VLOOKUP(J251,'G-7 WaterC'' Data'!$AK$4:$AM$6,2,FALSE)))</f>
        <v/>
      </c>
      <c r="L251" s="386" t="str">
        <f>IF(J251="","",IF(VLOOKUP(J251,'G-7 WaterC'' Data'!$AK$4:$AM$9,3,FALSE)=0,"Spatial Data Missing ⚠",VLOOKUP(J251,'G-7 WaterC'' Data'!$AK$4:$AM$6,3,FALSE)))</f>
        <v/>
      </c>
      <c r="M251" s="115"/>
      <c r="N251" s="363" t="str">
        <f>IF(M251="","",IF(VLOOKUP(M251,'G-7 WaterC'' Data'!$AA$4:$AB$7,2,FALSE)=0,"Spatial Data Missing ⚠",VLOOKUP(M251,'G-7 WaterC'' Data'!$AA$4:$AB$7,2,FALSE)))</f>
        <v/>
      </c>
      <c r="O251" s="60"/>
      <c r="P251" s="363" t="str">
        <f>IF(O251="","",IF(VLOOKUP(O251,'G-7 WaterC'' Data'!$AD$4:$AE$14,2,FALSE)=0,"Spatial Data Missing ⚠",VLOOKUP(O251,'G-7 WaterC'' Data'!$AD$4:$AE$14,2,FALSE)))</f>
        <v/>
      </c>
      <c r="Q251" s="369" t="str">
        <f>IF(D251="","",VLOOKUP(D251,'G-7 WaterC'' Data'!$B$4:$G$8,6,FALSE))</f>
        <v/>
      </c>
      <c r="R251" s="376" t="str">
        <f>IFERROR(IF(D251="","",IF(AND(Q251='G-1 All Habitats'!$X$3,X251&gt;0),Y251+(Z251*T251),IF(AND(Q251='G-1 All Habitats'!$X$3,W251&gt;0),Y251+(Z251*T251),IF(AND(Q251='G-1 All Habitats'!$X$3,AH251&gt;0),"Any Loss Unacceptable ⚠",IF(AND(Q251='G-1 All Habitats'!$X$3,AI251&gt;0),"Any Loss Unacceptable ⚠", E251*G251*I251*L251*N251*P251*T251 ))))),"Check Data ▲")</f>
        <v/>
      </c>
      <c r="S251" s="516"/>
      <c r="T251" s="368" t="str">
        <f>IF(S251="","",IF(VLOOKUP(S251,'G-7 WaterC'' Data'!$AO$4:$BO$7,2,FALSE)=0,"Spatial Data Missing ⚠",VLOOKUP(S251,'G-7 WaterC'' Data'!$AO$4:$BO$7,2,FALSE)))</f>
        <v/>
      </c>
      <c r="U251" s="376" t="str">
        <f>IFERROR(IF(D251="","",IF(AND(Q251='G-1 All Habitats'!$X$3,X251&gt;0),Y251+Z251,IF(AND(Q251='G-1 All Habitats'!$X$3,W251&gt;0),Y251+Z251,IF(AND(Q251='G-1 All Habitats'!$X$3,AH251&gt;0),"Any Loss Unacceptable ⚠",IF(AND(Q251='G-1 All Habitats'!$X$3,AI251&gt;0),"Any Loss Unacceptable ⚠", E251*G251*I251*L251*N251*P251 ))))),"Check Data ▲")</f>
        <v/>
      </c>
      <c r="V251" s="32"/>
      <c r="W251" s="114"/>
      <c r="X251" s="125"/>
      <c r="Y251" s="374" t="str">
        <f t="shared" si="24"/>
        <v/>
      </c>
      <c r="Z251" s="374" t="str">
        <f t="shared" si="25"/>
        <v/>
      </c>
      <c r="AA251" s="374" t="str">
        <f t="shared" si="26"/>
        <v/>
      </c>
      <c r="AB251" s="670" t="str">
        <f t="shared" si="27"/>
        <v/>
      </c>
      <c r="AC251" s="516"/>
      <c r="AD251" s="119"/>
      <c r="AE251" s="120"/>
      <c r="AF251" s="120"/>
      <c r="AG251" s="120"/>
      <c r="AH251" s="57" t="str">
        <f>IF(Q251="","",IF(Q251='G-1 All Habitats'!$X$3,E251-X251-W251,"None"))</f>
        <v/>
      </c>
      <c r="AI251" s="58" t="str">
        <f>IF(Q251="","", IF(Q251='G-1 All Habitats'!$X$3, AH251*G251*I251*L251*N251*P251,"None"))</f>
        <v/>
      </c>
      <c r="AJ251" s="30" t="str">
        <f>IFERROR(INDEX('G-7 WaterC'' Data'!$AZ$3:$AZ$7,MATCH(D251,'G-7 WaterC'' Data'!$AY$3:$AY$7,0)),"")</f>
        <v/>
      </c>
      <c r="AK251" s="30">
        <f t="shared" si="28"/>
        <v>0</v>
      </c>
      <c r="AL251" s="108" t="str">
        <f t="shared" si="29"/>
        <v/>
      </c>
      <c r="AM251" s="108" t="str">
        <f t="shared" si="30"/>
        <v/>
      </c>
      <c r="AN251" s="109"/>
      <c r="AO251" s="108">
        <v>242</v>
      </c>
      <c r="AP251" s="109"/>
      <c r="AQ251" s="108" t="str">
        <f t="array" ref="AQ251">IFERROR(INDEX($AO$10:$AO$258, MATCH(0, IF(TRUE=$AL$10:$AL$258, COUNTIF($AQ$9:$AQ250, $AO$10:$AO$258), ""), 0)),"")</f>
        <v/>
      </c>
      <c r="AR251" s="108" t="str">
        <f t="array" ref="AR251">IFERROR(INDEX($AO$10:$AO$258, MATCH(0, IF(TRUE=$AM$10:$AM$258, COUNTIF($AR$9:$AR250, $AO$10:$AO$258), ""), 0)),"")</f>
        <v/>
      </c>
      <c r="AZ251" s="802" t="str">
        <f t="shared" si="31"/>
        <v/>
      </c>
    </row>
    <row r="252" spans="3:52" ht="15.75" thickBot="1">
      <c r="C252" s="110">
        <v>243</v>
      </c>
      <c r="D252" s="340"/>
      <c r="E252" s="121"/>
      <c r="F252" s="362" t="str">
        <f>IF(D252="","",VLOOKUP(D252,'G-7 WaterC'' Data'!$B$2:$G$8,2,FALSE))</f>
        <v/>
      </c>
      <c r="G252" s="363" t="str">
        <f>IFERROR(VLOOKUP(F252,'G-7 WaterC'' Data'!$C$4:$D$8,2,FALSE),"")</f>
        <v/>
      </c>
      <c r="H252" s="114"/>
      <c r="I252" s="363" t="str">
        <f>IFERROR(INDEX('G-7 WaterC'' Data'!$H$4:$L$8,MATCH(D252,'G-7 WaterC'' Data'!$B$4:$B$8,0),MATCH(H252,'G-7 WaterC'' Data'!$H$3:$L$3,0)),"")</f>
        <v/>
      </c>
      <c r="J252" s="115"/>
      <c r="K252" s="382" t="str">
        <f>IF(J252="","",IF(VLOOKUP(J252,'G-7 WaterC'' Data'!$AK$4:$AM$9,2,FALSE)=0,"Spatial Data Missing ⚠",VLOOKUP(J252,'G-7 WaterC'' Data'!$AK$4:$AM$6,2,FALSE)))</f>
        <v/>
      </c>
      <c r="L252" s="386" t="str">
        <f>IF(J252="","",IF(VLOOKUP(J252,'G-7 WaterC'' Data'!$AK$4:$AM$9,3,FALSE)=0,"Spatial Data Missing ⚠",VLOOKUP(J252,'G-7 WaterC'' Data'!$AK$4:$AM$6,3,FALSE)))</f>
        <v/>
      </c>
      <c r="M252" s="115"/>
      <c r="N252" s="363" t="str">
        <f>IF(M252="","",IF(VLOOKUP(M252,'G-7 WaterC'' Data'!$AA$4:$AB$7,2,FALSE)=0,"Spatial Data Missing ⚠",VLOOKUP(M252,'G-7 WaterC'' Data'!$AA$4:$AB$7,2,FALSE)))</f>
        <v/>
      </c>
      <c r="O252" s="60"/>
      <c r="P252" s="363" t="str">
        <f>IF(O252="","",IF(VLOOKUP(O252,'G-7 WaterC'' Data'!$AD$4:$AE$14,2,FALSE)=0,"Spatial Data Missing ⚠",VLOOKUP(O252,'G-7 WaterC'' Data'!$AD$4:$AE$14,2,FALSE)))</f>
        <v/>
      </c>
      <c r="Q252" s="369" t="str">
        <f>IF(D252="","",VLOOKUP(D252,'G-7 WaterC'' Data'!$B$4:$G$8,6,FALSE))</f>
        <v/>
      </c>
      <c r="R252" s="376" t="str">
        <f>IFERROR(IF(D252="","",IF(AND(Q252='G-1 All Habitats'!$X$3,X252&gt;0),Y252+(Z252*T252),IF(AND(Q252='G-1 All Habitats'!$X$3,W252&gt;0),Y252+(Z252*T252),IF(AND(Q252='G-1 All Habitats'!$X$3,AH252&gt;0),"Any Loss Unacceptable ⚠",IF(AND(Q252='G-1 All Habitats'!$X$3,AI252&gt;0),"Any Loss Unacceptable ⚠", E252*G252*I252*L252*N252*P252*T252 ))))),"Check Data ▲")</f>
        <v/>
      </c>
      <c r="S252" s="516"/>
      <c r="T252" s="368" t="str">
        <f>IF(S252="","",IF(VLOOKUP(S252,'G-7 WaterC'' Data'!$AO$4:$BO$7,2,FALSE)=0,"Spatial Data Missing ⚠",VLOOKUP(S252,'G-7 WaterC'' Data'!$AO$4:$BO$7,2,FALSE)))</f>
        <v/>
      </c>
      <c r="U252" s="376" t="str">
        <f>IFERROR(IF(D252="","",IF(AND(Q252='G-1 All Habitats'!$X$3,X252&gt;0),Y252+Z252,IF(AND(Q252='G-1 All Habitats'!$X$3,W252&gt;0),Y252+Z252,IF(AND(Q252='G-1 All Habitats'!$X$3,AH252&gt;0),"Any Loss Unacceptable ⚠",IF(AND(Q252='G-1 All Habitats'!$X$3,AI252&gt;0),"Any Loss Unacceptable ⚠", E252*G252*I252*L252*N252*P252 ))))),"Check Data ▲")</f>
        <v/>
      </c>
      <c r="V252" s="32"/>
      <c r="W252" s="114"/>
      <c r="X252" s="125"/>
      <c r="Y252" s="374" t="str">
        <f t="shared" si="24"/>
        <v/>
      </c>
      <c r="Z252" s="374" t="str">
        <f t="shared" si="25"/>
        <v/>
      </c>
      <c r="AA252" s="374" t="str">
        <f t="shared" si="26"/>
        <v/>
      </c>
      <c r="AB252" s="670" t="str">
        <f t="shared" si="27"/>
        <v/>
      </c>
      <c r="AC252" s="516"/>
      <c r="AD252" s="119"/>
      <c r="AE252" s="120"/>
      <c r="AF252" s="120"/>
      <c r="AG252" s="120"/>
      <c r="AH252" s="57" t="str">
        <f>IF(Q252="","",IF(Q252='G-1 All Habitats'!$X$3,E252-X252-W252,"None"))</f>
        <v/>
      </c>
      <c r="AI252" s="58" t="str">
        <f>IF(Q252="","", IF(Q252='G-1 All Habitats'!$X$3, AH252*G252*I252*L252*N252*P252,"None"))</f>
        <v/>
      </c>
      <c r="AJ252" s="30" t="str">
        <f>IFERROR(INDEX('G-7 WaterC'' Data'!$AZ$3:$AZ$7,MATCH(D252,'G-7 WaterC'' Data'!$AY$3:$AY$7,0)),"")</f>
        <v/>
      </c>
      <c r="AK252" s="30">
        <f t="shared" si="28"/>
        <v>0</v>
      </c>
      <c r="AL252" s="108" t="str">
        <f t="shared" si="29"/>
        <v/>
      </c>
      <c r="AM252" s="108" t="str">
        <f t="shared" si="30"/>
        <v/>
      </c>
      <c r="AN252" s="109"/>
      <c r="AO252" s="108">
        <v>243</v>
      </c>
      <c r="AP252" s="109"/>
      <c r="AQ252" s="108" t="str">
        <f t="array" ref="AQ252">IFERROR(INDEX($AO$10:$AO$258, MATCH(0, IF(TRUE=$AL$10:$AL$258, COUNTIF($AQ$9:$AQ251, $AO$10:$AO$258), ""), 0)),"")</f>
        <v/>
      </c>
      <c r="AR252" s="108" t="str">
        <f t="array" ref="AR252">IFERROR(INDEX($AO$10:$AO$258, MATCH(0, IF(TRUE=$AM$10:$AM$258, COUNTIF($AR$9:$AR251, $AO$10:$AO$258), ""), 0)),"")</f>
        <v/>
      </c>
      <c r="AZ252" s="802" t="str">
        <f t="shared" si="31"/>
        <v/>
      </c>
    </row>
    <row r="253" spans="3:52" ht="15.75" thickBot="1">
      <c r="C253" s="110">
        <v>244</v>
      </c>
      <c r="D253" s="340"/>
      <c r="E253" s="121"/>
      <c r="F253" s="362" t="str">
        <f>IF(D253="","",VLOOKUP(D253,'G-7 WaterC'' Data'!$B$2:$G$8,2,FALSE))</f>
        <v/>
      </c>
      <c r="G253" s="363" t="str">
        <f>IFERROR(VLOOKUP(F253,'G-7 WaterC'' Data'!$C$4:$D$8,2,FALSE),"")</f>
        <v/>
      </c>
      <c r="H253" s="114"/>
      <c r="I253" s="363" t="str">
        <f>IFERROR(INDEX('G-7 WaterC'' Data'!$H$4:$L$8,MATCH(D253,'G-7 WaterC'' Data'!$B$4:$B$8,0),MATCH(H253,'G-7 WaterC'' Data'!$H$3:$L$3,0)),"")</f>
        <v/>
      </c>
      <c r="J253" s="115"/>
      <c r="K253" s="382" t="str">
        <f>IF(J253="","",IF(VLOOKUP(J253,'G-7 WaterC'' Data'!$AK$4:$AM$9,2,FALSE)=0,"Spatial Data Missing ⚠",VLOOKUP(J253,'G-7 WaterC'' Data'!$AK$4:$AM$6,2,FALSE)))</f>
        <v/>
      </c>
      <c r="L253" s="386" t="str">
        <f>IF(J253="","",IF(VLOOKUP(J253,'G-7 WaterC'' Data'!$AK$4:$AM$9,3,FALSE)=0,"Spatial Data Missing ⚠",VLOOKUP(J253,'G-7 WaterC'' Data'!$AK$4:$AM$6,3,FALSE)))</f>
        <v/>
      </c>
      <c r="M253" s="115"/>
      <c r="N253" s="363" t="str">
        <f>IF(M253="","",IF(VLOOKUP(M253,'G-7 WaterC'' Data'!$AA$4:$AB$7,2,FALSE)=0,"Spatial Data Missing ⚠",VLOOKUP(M253,'G-7 WaterC'' Data'!$AA$4:$AB$7,2,FALSE)))</f>
        <v/>
      </c>
      <c r="O253" s="60"/>
      <c r="P253" s="363" t="str">
        <f>IF(O253="","",IF(VLOOKUP(O253,'G-7 WaterC'' Data'!$AD$4:$AE$14,2,FALSE)=0,"Spatial Data Missing ⚠",VLOOKUP(O253,'G-7 WaterC'' Data'!$AD$4:$AE$14,2,FALSE)))</f>
        <v/>
      </c>
      <c r="Q253" s="369" t="str">
        <f>IF(D253="","",VLOOKUP(D253,'G-7 WaterC'' Data'!$B$4:$G$8,6,FALSE))</f>
        <v/>
      </c>
      <c r="R253" s="376" t="str">
        <f>IFERROR(IF(D253="","",IF(AND(Q253='G-1 All Habitats'!$X$3,X253&gt;0),Y253+(Z253*T253),IF(AND(Q253='G-1 All Habitats'!$X$3,W253&gt;0),Y253+(Z253*T253),IF(AND(Q253='G-1 All Habitats'!$X$3,AH253&gt;0),"Any Loss Unacceptable ⚠",IF(AND(Q253='G-1 All Habitats'!$X$3,AI253&gt;0),"Any Loss Unacceptable ⚠", E253*G253*I253*L253*N253*P253*T253 ))))),"Check Data ▲")</f>
        <v/>
      </c>
      <c r="S253" s="516"/>
      <c r="T253" s="368" t="str">
        <f>IF(S253="","",IF(VLOOKUP(S253,'G-7 WaterC'' Data'!$AO$4:$BO$7,2,FALSE)=0,"Spatial Data Missing ⚠",VLOOKUP(S253,'G-7 WaterC'' Data'!$AO$4:$BO$7,2,FALSE)))</f>
        <v/>
      </c>
      <c r="U253" s="376" t="str">
        <f>IFERROR(IF(D253="","",IF(AND(Q253='G-1 All Habitats'!$X$3,X253&gt;0),Y253+Z253,IF(AND(Q253='G-1 All Habitats'!$X$3,W253&gt;0),Y253+Z253,IF(AND(Q253='G-1 All Habitats'!$X$3,AH253&gt;0),"Any Loss Unacceptable ⚠",IF(AND(Q253='G-1 All Habitats'!$X$3,AI253&gt;0),"Any Loss Unacceptable ⚠", E253*G253*I253*L253*N253*P253 ))))),"Check Data ▲")</f>
        <v/>
      </c>
      <c r="V253" s="32"/>
      <c r="W253" s="114"/>
      <c r="X253" s="125"/>
      <c r="Y253" s="374" t="str">
        <f t="shared" si="24"/>
        <v/>
      </c>
      <c r="Z253" s="374" t="str">
        <f t="shared" si="25"/>
        <v/>
      </c>
      <c r="AA253" s="374" t="str">
        <f t="shared" si="26"/>
        <v/>
      </c>
      <c r="AB253" s="670" t="str">
        <f t="shared" si="27"/>
        <v/>
      </c>
      <c r="AC253" s="516"/>
      <c r="AD253" s="119"/>
      <c r="AE253" s="120"/>
      <c r="AF253" s="120"/>
      <c r="AG253" s="120"/>
      <c r="AH253" s="57" t="str">
        <f>IF(Q253="","",IF(Q253='G-1 All Habitats'!$X$3,E253-X253-W253,"None"))</f>
        <v/>
      </c>
      <c r="AI253" s="58" t="str">
        <f>IF(Q253="","", IF(Q253='G-1 All Habitats'!$X$3, AH253*G253*I253*L253*N253*P253,"None"))</f>
        <v/>
      </c>
      <c r="AJ253" s="30" t="str">
        <f>IFERROR(INDEX('G-7 WaterC'' Data'!$AZ$3:$AZ$7,MATCH(D253,'G-7 WaterC'' Data'!$AY$3:$AY$7,0)),"")</f>
        <v/>
      </c>
      <c r="AK253" s="30">
        <f t="shared" si="28"/>
        <v>0</v>
      </c>
      <c r="AL253" s="108" t="str">
        <f t="shared" si="29"/>
        <v/>
      </c>
      <c r="AM253" s="108" t="str">
        <f t="shared" si="30"/>
        <v/>
      </c>
      <c r="AN253" s="109"/>
      <c r="AO253" s="108">
        <v>244</v>
      </c>
      <c r="AP253" s="109"/>
      <c r="AQ253" s="108" t="str">
        <f t="array" ref="AQ253">IFERROR(INDEX($AO$10:$AO$258, MATCH(0, IF(TRUE=$AL$10:$AL$258, COUNTIF($AQ$9:$AQ252, $AO$10:$AO$258), ""), 0)),"")</f>
        <v/>
      </c>
      <c r="AR253" s="108" t="str">
        <f t="array" ref="AR253">IFERROR(INDEX($AO$10:$AO$258, MATCH(0, IF(TRUE=$AM$10:$AM$258, COUNTIF($AR$9:$AR252, $AO$10:$AO$258), ""), 0)),"")</f>
        <v/>
      </c>
      <c r="AZ253" s="802" t="str">
        <f t="shared" si="31"/>
        <v/>
      </c>
    </row>
    <row r="254" spans="3:52" ht="15.75" thickBot="1">
      <c r="C254" s="110">
        <v>245</v>
      </c>
      <c r="D254" s="340"/>
      <c r="E254" s="121"/>
      <c r="F254" s="362" t="str">
        <f>IF(D254="","",VLOOKUP(D254,'G-7 WaterC'' Data'!$B$2:$G$8,2,FALSE))</f>
        <v/>
      </c>
      <c r="G254" s="363" t="str">
        <f>IFERROR(VLOOKUP(F254,'G-7 WaterC'' Data'!$C$4:$D$8,2,FALSE),"")</f>
        <v/>
      </c>
      <c r="H254" s="114"/>
      <c r="I254" s="363" t="str">
        <f>IFERROR(INDEX('G-7 WaterC'' Data'!$H$4:$L$8,MATCH(D254,'G-7 WaterC'' Data'!$B$4:$B$8,0),MATCH(H254,'G-7 WaterC'' Data'!$H$3:$L$3,0)),"")</f>
        <v/>
      </c>
      <c r="J254" s="115"/>
      <c r="K254" s="382" t="str">
        <f>IF(J254="","",IF(VLOOKUP(J254,'G-7 WaterC'' Data'!$AK$4:$AM$9,2,FALSE)=0,"Spatial Data Missing ⚠",VLOOKUP(J254,'G-7 WaterC'' Data'!$AK$4:$AM$6,2,FALSE)))</f>
        <v/>
      </c>
      <c r="L254" s="386" t="str">
        <f>IF(J254="","",IF(VLOOKUP(J254,'G-7 WaterC'' Data'!$AK$4:$AM$9,3,FALSE)=0,"Spatial Data Missing ⚠",VLOOKUP(J254,'G-7 WaterC'' Data'!$AK$4:$AM$6,3,FALSE)))</f>
        <v/>
      </c>
      <c r="M254" s="115"/>
      <c r="N254" s="363" t="str">
        <f>IF(M254="","",IF(VLOOKUP(M254,'G-7 WaterC'' Data'!$AA$4:$AB$7,2,FALSE)=0,"Spatial Data Missing ⚠",VLOOKUP(M254,'G-7 WaterC'' Data'!$AA$4:$AB$7,2,FALSE)))</f>
        <v/>
      </c>
      <c r="O254" s="60"/>
      <c r="P254" s="363" t="str">
        <f>IF(O254="","",IF(VLOOKUP(O254,'G-7 WaterC'' Data'!$AD$4:$AE$14,2,FALSE)=0,"Spatial Data Missing ⚠",VLOOKUP(O254,'G-7 WaterC'' Data'!$AD$4:$AE$14,2,FALSE)))</f>
        <v/>
      </c>
      <c r="Q254" s="369" t="str">
        <f>IF(D254="","",VLOOKUP(D254,'G-7 WaterC'' Data'!$B$4:$G$8,6,FALSE))</f>
        <v/>
      </c>
      <c r="R254" s="376" t="str">
        <f>IFERROR(IF(D254="","",IF(AND(Q254='G-1 All Habitats'!$X$3,X254&gt;0),Y254+(Z254*T254),IF(AND(Q254='G-1 All Habitats'!$X$3,W254&gt;0),Y254+(Z254*T254),IF(AND(Q254='G-1 All Habitats'!$X$3,AH254&gt;0),"Any Loss Unacceptable ⚠",IF(AND(Q254='G-1 All Habitats'!$X$3,AI254&gt;0),"Any Loss Unacceptable ⚠", E254*G254*I254*L254*N254*P254*T254 ))))),"Check Data ▲")</f>
        <v/>
      </c>
      <c r="S254" s="516"/>
      <c r="T254" s="368" t="str">
        <f>IF(S254="","",IF(VLOOKUP(S254,'G-7 WaterC'' Data'!$AO$4:$BO$7,2,FALSE)=0,"Spatial Data Missing ⚠",VLOOKUP(S254,'G-7 WaterC'' Data'!$AO$4:$BO$7,2,FALSE)))</f>
        <v/>
      </c>
      <c r="U254" s="376" t="str">
        <f>IFERROR(IF(D254="","",IF(AND(Q254='G-1 All Habitats'!$X$3,X254&gt;0),Y254+Z254,IF(AND(Q254='G-1 All Habitats'!$X$3,W254&gt;0),Y254+Z254,IF(AND(Q254='G-1 All Habitats'!$X$3,AH254&gt;0),"Any Loss Unacceptable ⚠",IF(AND(Q254='G-1 All Habitats'!$X$3,AI254&gt;0),"Any Loss Unacceptable ⚠", E254*G254*I254*L254*N254*P254 ))))),"Check Data ▲")</f>
        <v/>
      </c>
      <c r="V254" s="32"/>
      <c r="W254" s="114"/>
      <c r="X254" s="125"/>
      <c r="Y254" s="374" t="str">
        <f t="shared" si="24"/>
        <v/>
      </c>
      <c r="Z254" s="374" t="str">
        <f t="shared" si="25"/>
        <v/>
      </c>
      <c r="AA254" s="374" t="str">
        <f t="shared" si="26"/>
        <v/>
      </c>
      <c r="AB254" s="670" t="str">
        <f t="shared" si="27"/>
        <v/>
      </c>
      <c r="AC254" s="516"/>
      <c r="AD254" s="119"/>
      <c r="AE254" s="120"/>
      <c r="AF254" s="120"/>
      <c r="AG254" s="120"/>
      <c r="AH254" s="57" t="str">
        <f>IF(Q254="","",IF(Q254='G-1 All Habitats'!$X$3,E254-X254-W254,"None"))</f>
        <v/>
      </c>
      <c r="AI254" s="58" t="str">
        <f>IF(Q254="","", IF(Q254='G-1 All Habitats'!$X$3, AH254*G254*I254*L254*N254*P254,"None"))</f>
        <v/>
      </c>
      <c r="AJ254" s="30" t="str">
        <f>IFERROR(INDEX('G-7 WaterC'' Data'!$AZ$3:$AZ$7,MATCH(D254,'G-7 WaterC'' Data'!$AY$3:$AY$7,0)),"")</f>
        <v/>
      </c>
      <c r="AK254" s="30">
        <f t="shared" si="28"/>
        <v>0</v>
      </c>
      <c r="AL254" s="108" t="str">
        <f t="shared" si="29"/>
        <v/>
      </c>
      <c r="AM254" s="108" t="str">
        <f t="shared" si="30"/>
        <v/>
      </c>
      <c r="AN254" s="109"/>
      <c r="AO254" s="108">
        <v>245</v>
      </c>
      <c r="AP254" s="109"/>
      <c r="AQ254" s="108" t="str">
        <f t="array" ref="AQ254">IFERROR(INDEX($AO$10:$AO$258, MATCH(0, IF(TRUE=$AL$10:$AL$258, COUNTIF($AQ$9:$AQ253, $AO$10:$AO$258), ""), 0)),"")</f>
        <v/>
      </c>
      <c r="AR254" s="108" t="str">
        <f t="array" ref="AR254">IFERROR(INDEX($AO$10:$AO$258, MATCH(0, IF(TRUE=$AM$10:$AM$258, COUNTIF($AR$9:$AR253, $AO$10:$AO$258), ""), 0)),"")</f>
        <v/>
      </c>
      <c r="AZ254" s="802" t="str">
        <f t="shared" si="31"/>
        <v/>
      </c>
    </row>
    <row r="255" spans="3:52" ht="15.75" thickBot="1">
      <c r="C255" s="110">
        <v>246</v>
      </c>
      <c r="D255" s="340"/>
      <c r="E255" s="121"/>
      <c r="F255" s="362" t="str">
        <f>IF(D255="","",VLOOKUP(D255,'G-7 WaterC'' Data'!$B$2:$G$8,2,FALSE))</f>
        <v/>
      </c>
      <c r="G255" s="363" t="str">
        <f>IFERROR(VLOOKUP(F255,'G-7 WaterC'' Data'!$C$4:$D$8,2,FALSE),"")</f>
        <v/>
      </c>
      <c r="H255" s="114"/>
      <c r="I255" s="363" t="str">
        <f>IFERROR(INDEX('G-7 WaterC'' Data'!$H$4:$L$8,MATCH(D255,'G-7 WaterC'' Data'!$B$4:$B$8,0),MATCH(H255,'G-7 WaterC'' Data'!$H$3:$L$3,0)),"")</f>
        <v/>
      </c>
      <c r="J255" s="115"/>
      <c r="K255" s="382" t="str">
        <f>IF(J255="","",IF(VLOOKUP(J255,'G-7 WaterC'' Data'!$AK$4:$AM$9,2,FALSE)=0,"Spatial Data Missing ⚠",VLOOKUP(J255,'G-7 WaterC'' Data'!$AK$4:$AM$6,2,FALSE)))</f>
        <v/>
      </c>
      <c r="L255" s="386" t="str">
        <f>IF(J255="","",IF(VLOOKUP(J255,'G-7 WaterC'' Data'!$AK$4:$AM$9,3,FALSE)=0,"Spatial Data Missing ⚠",VLOOKUP(J255,'G-7 WaterC'' Data'!$AK$4:$AM$6,3,FALSE)))</f>
        <v/>
      </c>
      <c r="M255" s="115"/>
      <c r="N255" s="363" t="str">
        <f>IF(M255="","",IF(VLOOKUP(M255,'G-7 WaterC'' Data'!$AA$4:$AB$7,2,FALSE)=0,"Spatial Data Missing ⚠",VLOOKUP(M255,'G-7 WaterC'' Data'!$AA$4:$AB$7,2,FALSE)))</f>
        <v/>
      </c>
      <c r="O255" s="60"/>
      <c r="P255" s="363" t="str">
        <f>IF(O255="","",IF(VLOOKUP(O255,'G-7 WaterC'' Data'!$AD$4:$AE$14,2,FALSE)=0,"Spatial Data Missing ⚠",VLOOKUP(O255,'G-7 WaterC'' Data'!$AD$4:$AE$14,2,FALSE)))</f>
        <v/>
      </c>
      <c r="Q255" s="369" t="str">
        <f>IF(D255="","",VLOOKUP(D255,'G-7 WaterC'' Data'!$B$4:$G$8,6,FALSE))</f>
        <v/>
      </c>
      <c r="R255" s="376" t="str">
        <f>IFERROR(IF(D255="","",IF(AND(Q255='G-1 All Habitats'!$X$3,X255&gt;0),Y255+(Z255*T255),IF(AND(Q255='G-1 All Habitats'!$X$3,W255&gt;0),Y255+(Z255*T255),IF(AND(Q255='G-1 All Habitats'!$X$3,AH255&gt;0),"Any Loss Unacceptable ⚠",IF(AND(Q255='G-1 All Habitats'!$X$3,AI255&gt;0),"Any Loss Unacceptable ⚠", E255*G255*I255*L255*N255*P255*T255 ))))),"Check Data ▲")</f>
        <v/>
      </c>
      <c r="S255" s="516"/>
      <c r="T255" s="368" t="str">
        <f>IF(S255="","",IF(VLOOKUP(S255,'G-7 WaterC'' Data'!$AO$4:$BO$7,2,FALSE)=0,"Spatial Data Missing ⚠",VLOOKUP(S255,'G-7 WaterC'' Data'!$AO$4:$BO$7,2,FALSE)))</f>
        <v/>
      </c>
      <c r="U255" s="376" t="str">
        <f>IFERROR(IF(D255="","",IF(AND(Q255='G-1 All Habitats'!$X$3,X255&gt;0),Y255+Z255,IF(AND(Q255='G-1 All Habitats'!$X$3,W255&gt;0),Y255+Z255,IF(AND(Q255='G-1 All Habitats'!$X$3,AH255&gt;0),"Any Loss Unacceptable ⚠",IF(AND(Q255='G-1 All Habitats'!$X$3,AI255&gt;0),"Any Loss Unacceptable ⚠", E255*G255*I255*L255*N255*P255 ))))),"Check Data ▲")</f>
        <v/>
      </c>
      <c r="V255" s="32"/>
      <c r="W255" s="114"/>
      <c r="X255" s="125"/>
      <c r="Y255" s="374" t="str">
        <f t="shared" si="24"/>
        <v/>
      </c>
      <c r="Z255" s="374" t="str">
        <f t="shared" si="25"/>
        <v/>
      </c>
      <c r="AA255" s="374" t="str">
        <f t="shared" si="26"/>
        <v/>
      </c>
      <c r="AB255" s="670" t="str">
        <f t="shared" si="27"/>
        <v/>
      </c>
      <c r="AC255" s="516"/>
      <c r="AD255" s="119"/>
      <c r="AE255" s="120"/>
      <c r="AF255" s="120"/>
      <c r="AG255" s="120"/>
      <c r="AH255" s="57" t="str">
        <f>IF(Q255="","",IF(Q255='G-1 All Habitats'!$X$3,E255-X255-W255,"None"))</f>
        <v/>
      </c>
      <c r="AI255" s="58" t="str">
        <f>IF(Q255="","", IF(Q255='G-1 All Habitats'!$X$3, AH255*G255*I255*L255*N255*P255,"None"))</f>
        <v/>
      </c>
      <c r="AJ255" s="30" t="str">
        <f>IFERROR(INDEX('G-7 WaterC'' Data'!$AZ$3:$AZ$7,MATCH(D255,'G-7 WaterC'' Data'!$AY$3:$AY$7,0)),"")</f>
        <v/>
      </c>
      <c r="AK255" s="30">
        <f t="shared" si="28"/>
        <v>0</v>
      </c>
      <c r="AL255" s="108" t="str">
        <f t="shared" si="29"/>
        <v/>
      </c>
      <c r="AM255" s="108" t="str">
        <f t="shared" si="30"/>
        <v/>
      </c>
      <c r="AN255" s="109"/>
      <c r="AO255" s="108">
        <v>246</v>
      </c>
      <c r="AP255" s="109"/>
      <c r="AQ255" s="108" t="str">
        <f t="array" ref="AQ255">IFERROR(INDEX($AO$10:$AO$258, MATCH(0, IF(TRUE=$AL$10:$AL$258, COUNTIF($AQ$9:$AQ254, $AO$10:$AO$258), ""), 0)),"")</f>
        <v/>
      </c>
      <c r="AR255" s="108" t="str">
        <f t="array" ref="AR255">IFERROR(INDEX($AO$10:$AO$258, MATCH(0, IF(TRUE=$AM$10:$AM$258, COUNTIF($AR$9:$AR254, $AO$10:$AO$258), ""), 0)),"")</f>
        <v/>
      </c>
      <c r="AZ255" s="802" t="str">
        <f t="shared" si="31"/>
        <v/>
      </c>
    </row>
    <row r="256" spans="3:52" ht="15.75" thickBot="1">
      <c r="C256" s="110">
        <v>247</v>
      </c>
      <c r="D256" s="340"/>
      <c r="E256" s="121"/>
      <c r="F256" s="362" t="str">
        <f>IF(D256="","",VLOOKUP(D256,'G-7 WaterC'' Data'!$B$2:$G$8,2,FALSE))</f>
        <v/>
      </c>
      <c r="G256" s="363" t="str">
        <f>IFERROR(VLOOKUP(F256,'G-7 WaterC'' Data'!$C$4:$D$8,2,FALSE),"")</f>
        <v/>
      </c>
      <c r="H256" s="114"/>
      <c r="I256" s="363" t="str">
        <f>IFERROR(INDEX('G-7 WaterC'' Data'!$H$4:$L$8,MATCH(D256,'G-7 WaterC'' Data'!$B$4:$B$8,0),MATCH(H256,'G-7 WaterC'' Data'!$H$3:$L$3,0)),"")</f>
        <v/>
      </c>
      <c r="J256" s="115"/>
      <c r="K256" s="382" t="str">
        <f>IF(J256="","",IF(VLOOKUP(J256,'G-7 WaterC'' Data'!$AK$4:$AM$9,2,FALSE)=0,"Spatial Data Missing ⚠",VLOOKUP(J256,'G-7 WaterC'' Data'!$AK$4:$AM$6,2,FALSE)))</f>
        <v/>
      </c>
      <c r="L256" s="386" t="str">
        <f>IF(J256="","",IF(VLOOKUP(J256,'G-7 WaterC'' Data'!$AK$4:$AM$9,3,FALSE)=0,"Spatial Data Missing ⚠",VLOOKUP(J256,'G-7 WaterC'' Data'!$AK$4:$AM$6,3,FALSE)))</f>
        <v/>
      </c>
      <c r="M256" s="115"/>
      <c r="N256" s="363" t="str">
        <f>IF(M256="","",IF(VLOOKUP(M256,'G-7 WaterC'' Data'!$AA$4:$AB$7,2,FALSE)=0,"Spatial Data Missing ⚠",VLOOKUP(M256,'G-7 WaterC'' Data'!$AA$4:$AB$7,2,FALSE)))</f>
        <v/>
      </c>
      <c r="O256" s="60"/>
      <c r="P256" s="363" t="str">
        <f>IF(O256="","",IF(VLOOKUP(O256,'G-7 WaterC'' Data'!$AD$4:$AE$14,2,FALSE)=0,"Spatial Data Missing ⚠",VLOOKUP(O256,'G-7 WaterC'' Data'!$AD$4:$AE$14,2,FALSE)))</f>
        <v/>
      </c>
      <c r="Q256" s="369" t="str">
        <f>IF(D256="","",VLOOKUP(D256,'G-7 WaterC'' Data'!$B$4:$G$8,6,FALSE))</f>
        <v/>
      </c>
      <c r="R256" s="376" t="str">
        <f>IFERROR(IF(D256="","",IF(AND(Q256='G-1 All Habitats'!$X$3,X256&gt;0),Y256+(Z256*T256),IF(AND(Q256='G-1 All Habitats'!$X$3,W256&gt;0),Y256+(Z256*T256),IF(AND(Q256='G-1 All Habitats'!$X$3,AH256&gt;0),"Any Loss Unacceptable ⚠",IF(AND(Q256='G-1 All Habitats'!$X$3,AI256&gt;0),"Any Loss Unacceptable ⚠", E256*G256*I256*L256*N256*P256*T256 ))))),"Check Data ▲")</f>
        <v/>
      </c>
      <c r="S256" s="516"/>
      <c r="T256" s="368" t="str">
        <f>IF(S256="","",IF(VLOOKUP(S256,'G-7 WaterC'' Data'!$AO$4:$BO$7,2,FALSE)=0,"Spatial Data Missing ⚠",VLOOKUP(S256,'G-7 WaterC'' Data'!$AO$4:$BO$7,2,FALSE)))</f>
        <v/>
      </c>
      <c r="U256" s="376" t="str">
        <f>IFERROR(IF(D256="","",IF(AND(Q256='G-1 All Habitats'!$X$3,X256&gt;0),Y256+Z256,IF(AND(Q256='G-1 All Habitats'!$X$3,W256&gt;0),Y256+Z256,IF(AND(Q256='G-1 All Habitats'!$X$3,AH256&gt;0),"Any Loss Unacceptable ⚠",IF(AND(Q256='G-1 All Habitats'!$X$3,AI256&gt;0),"Any Loss Unacceptable ⚠", E256*G256*I256*L256*N256*P256 ))))),"Check Data ▲")</f>
        <v/>
      </c>
      <c r="V256" s="32"/>
      <c r="W256" s="114"/>
      <c r="X256" s="125"/>
      <c r="Y256" s="374" t="str">
        <f t="shared" si="24"/>
        <v/>
      </c>
      <c r="Z256" s="374" t="str">
        <f t="shared" si="25"/>
        <v/>
      </c>
      <c r="AA256" s="374" t="str">
        <f t="shared" si="26"/>
        <v/>
      </c>
      <c r="AB256" s="670" t="str">
        <f t="shared" si="27"/>
        <v/>
      </c>
      <c r="AC256" s="516"/>
      <c r="AD256" s="119"/>
      <c r="AE256" s="120"/>
      <c r="AF256" s="690"/>
      <c r="AG256" s="690"/>
      <c r="AH256" s="57" t="str">
        <f>IF(Q256="","",IF(Q256='G-1 All Habitats'!$X$3,E256-X256-W256,"None"))</f>
        <v/>
      </c>
      <c r="AI256" s="58" t="str">
        <f>IF(Q256="","", IF(Q256='G-1 All Habitats'!$X$3, AH256*G256*I256*L256*N256*P256,"None"))</f>
        <v/>
      </c>
      <c r="AJ256" s="30" t="str">
        <f>IFERROR(INDEX('G-7 WaterC'' Data'!$AZ$3:$AZ$7,MATCH(D256,'G-7 WaterC'' Data'!$AY$3:$AY$7,0)),"")</f>
        <v/>
      </c>
      <c r="AK256" s="30">
        <f t="shared" si="28"/>
        <v>0</v>
      </c>
      <c r="AL256" s="108" t="str">
        <f t="shared" si="29"/>
        <v/>
      </c>
      <c r="AM256" s="108" t="str">
        <f t="shared" si="30"/>
        <v/>
      </c>
      <c r="AN256" s="109"/>
      <c r="AO256" s="108">
        <v>247</v>
      </c>
      <c r="AP256" s="109"/>
      <c r="AQ256" s="108" t="str">
        <f t="array" ref="AQ256">IFERROR(INDEX($AO$10:$AO$258, MATCH(0, IF(TRUE=$AL$10:$AL$258, COUNTIF($AQ$9:$AQ255, $AO$10:$AO$258), ""), 0)),"")</f>
        <v/>
      </c>
      <c r="AR256" s="108" t="str">
        <f t="array" ref="AR256">IFERROR(INDEX($AO$10:$AO$258, MATCH(0, IF(TRUE=$AM$10:$AM$258, COUNTIF($AR$9:$AR255, $AO$10:$AO$258), ""), 0)),"")</f>
        <v/>
      </c>
      <c r="AZ256" s="802" t="str">
        <f t="shared" si="31"/>
        <v/>
      </c>
    </row>
    <row r="257" spans="2:52" ht="15.75" thickBot="1">
      <c r="C257" s="126">
        <v>248</v>
      </c>
      <c r="D257" s="341"/>
      <c r="E257" s="128"/>
      <c r="F257" s="364" t="str">
        <f>IF(D257="","",VLOOKUP(D257,'G-7 WaterC'' Data'!$B$2:$G$8,2,FALSE))</f>
        <v/>
      </c>
      <c r="G257" s="365" t="str">
        <f>IFERROR(VLOOKUP(F257,'G-7 WaterC'' Data'!$C$4:$D$8,2,FALSE),"")</f>
        <v/>
      </c>
      <c r="H257" s="129"/>
      <c r="I257" s="797" t="str">
        <f>IFERROR(INDEX('G-7 WaterC'' Data'!$H$4:$L$8,MATCH(D257,'G-7 WaterC'' Data'!$B$4:$B$8,0),MATCH(H257,'G-7 WaterC'' Data'!$H$3:$L$3,0)),"")</f>
        <v/>
      </c>
      <c r="J257" s="256"/>
      <c r="K257" s="371" t="str">
        <f>IF(J257="","",IF(VLOOKUP(J257,'G-7 WaterC'' Data'!$AK$4:$AM$9,2,FALSE)=0,"Spatial Data Missing ⚠",VLOOKUP(J257,'G-7 WaterC'' Data'!$AK$4:$AM$6,2,FALSE)))</f>
        <v/>
      </c>
      <c r="L257" s="365" t="str">
        <f>IF(J257="","",IF(VLOOKUP(J257,'G-7 WaterC'' Data'!$AK$4:$AM$9,3,FALSE)=0,"Spatial Data Missing ⚠",VLOOKUP(J257,'G-7 WaterC'' Data'!$AK$4:$AM$6,3,FALSE)))</f>
        <v/>
      </c>
      <c r="M257" s="256"/>
      <c r="N257" s="797" t="str">
        <f>IF(M257="","",IF(VLOOKUP(M257,'G-7 WaterC'' Data'!$AA$4:$AB$7,2,FALSE)=0,"Spatial Data Missing ⚠",VLOOKUP(M257,'G-7 WaterC'' Data'!$AA$4:$AB$7,2,FALSE)))</f>
        <v/>
      </c>
      <c r="O257" s="885"/>
      <c r="P257" s="797" t="str">
        <f>IF(O257="","",IF(VLOOKUP(O257,'G-7 WaterC'' Data'!$AD$4:$AE$14,2,FALSE)=0,"Spatial Data Missing ⚠",VLOOKUP(O257,'G-7 WaterC'' Data'!$AD$4:$AE$14,2,FALSE)))</f>
        <v/>
      </c>
      <c r="Q257" s="799" t="str">
        <f>IF(D257="","",VLOOKUP(D257,'G-7 WaterC'' Data'!$B$4:$G$8,6,FALSE))</f>
        <v/>
      </c>
      <c r="R257" s="345" t="str">
        <f>IFERROR(IF(D257="","",IF(AND(Q257='G-1 All Habitats'!$X$3,X257&gt;0),Y257+(Z257*T257),IF(AND(Q257='G-1 All Habitats'!$X$3,W257&gt;0),Y257+(Z257*T257),IF(AND(Q257='G-1 All Habitats'!$X$3,AH257&gt;0),"Any Loss Unacceptable ⚠",IF(AND(Q257='G-1 All Habitats'!$X$3,AI257&gt;0),"Any Loss Unacceptable ⚠", E257*G257*I257*L257*N257*P257*T257 ))))),"Check Data ▲")</f>
        <v/>
      </c>
      <c r="S257" s="579"/>
      <c r="T257" s="818" t="str">
        <f>IF(S257="","",IF(VLOOKUP(S257,'G-7 WaterC'' Data'!$AO$4:$BO$7,2,FALSE)=0,"Spatial Data Missing ⚠",VLOOKUP(S257,'G-7 WaterC'' Data'!$AO$4:$BO$7,2,FALSE)))</f>
        <v/>
      </c>
      <c r="U257" s="345" t="str">
        <f>IFERROR(IF(D257="","",IF(AND(Q257='G-1 All Habitats'!$X$3,X257&gt;0),Y257+Z257,IF(AND(Q257='G-1 All Habitats'!$X$3,W257&gt;0),Y257+Z257,IF(AND(Q257='G-1 All Habitats'!$X$3,AH257&gt;0),"Any Loss Unacceptable ⚠",IF(AND(Q257='G-1 All Habitats'!$X$3,AI257&gt;0),"Any Loss Unacceptable ⚠", E257*G257*I257*L257*N257*P257 ))))),"Check Data ▲")</f>
        <v/>
      </c>
      <c r="V257" s="32"/>
      <c r="W257" s="872"/>
      <c r="X257" s="877"/>
      <c r="Y257" s="804" t="str">
        <f>IFERROR(IF(W257&gt;E257,"Error in Lengths ▲",W257*G257*I257*L257*N257*P257),"")</f>
        <v/>
      </c>
      <c r="Z257" s="804" t="str">
        <f t="shared" si="25"/>
        <v/>
      </c>
      <c r="AA257" s="804" t="str">
        <f t="shared" si="26"/>
        <v/>
      </c>
      <c r="AB257" s="878" t="str">
        <f t="shared" si="27"/>
        <v/>
      </c>
      <c r="AC257" s="579"/>
      <c r="AD257" s="130"/>
      <c r="AE257" s="131"/>
      <c r="AF257" s="683"/>
      <c r="AG257" s="131"/>
      <c r="AH257" s="57" t="str">
        <f>IF(Q257="","",IF(Q257='G-1 All Habitats'!$X$3,E257-X257-W257,"None"))</f>
        <v/>
      </c>
      <c r="AI257" s="58" t="str">
        <f>IF(Q257="","", IF(Q257='G-1 All Habitats'!$X$3, AH257*G257*I257*L257*N257*P257,"None"))</f>
        <v/>
      </c>
      <c r="AJ257" s="30" t="str">
        <f>IFERROR(INDEX('G-7 WaterC'' Data'!$AZ$3:$AZ$7,MATCH(D257,'G-7 WaterC'' Data'!$AY$3:$AY$7,0)),"")</f>
        <v/>
      </c>
      <c r="AK257" s="30">
        <f t="shared" si="28"/>
        <v>0</v>
      </c>
      <c r="AL257" s="108" t="str">
        <f t="shared" si="29"/>
        <v/>
      </c>
      <c r="AM257" s="108" t="str">
        <f t="shared" si="30"/>
        <v/>
      </c>
      <c r="AN257" s="109"/>
      <c r="AO257" s="108">
        <v>248</v>
      </c>
      <c r="AP257" s="109"/>
      <c r="AQ257" s="108" t="str">
        <f t="array" ref="AQ257">IFERROR(INDEX($AO$10:$AO$258, MATCH(0, IF(TRUE=$AL$10:$AL$258, COUNTIF($AQ$9:$AQ256, $AO$10:$AO$258), ""), 0)),"")</f>
        <v/>
      </c>
      <c r="AR257" s="108" t="str">
        <f t="array" ref="AR257">IFERROR(INDEX($AO$10:$AO$258, MATCH(0, IF(TRUE=$AM$10:$AM$258, COUNTIF($AR$9:$AR256, $AO$10:$AO$258), ""), 0)),"")</f>
        <v/>
      </c>
      <c r="AZ257" s="802" t="str">
        <f t="shared" si="31"/>
        <v/>
      </c>
    </row>
    <row r="258" spans="2:52" ht="15.75" customHeight="1" thickBot="1">
      <c r="B258" s="30"/>
      <c r="C258" s="30"/>
      <c r="D258" s="859"/>
      <c r="E258" s="412">
        <f>IF('Detailed Results'!K164&gt;0,"Error ▲",SUM(E10:E257))</f>
        <v>0</v>
      </c>
      <c r="P258" s="1530"/>
      <c r="Q258" s="1530"/>
      <c r="R258" s="414">
        <f>SUM(R10:R257)</f>
        <v>0</v>
      </c>
      <c r="S258" s="65"/>
      <c r="T258" s="544"/>
      <c r="U258" s="414">
        <f>IF('Detailed Results'!K164&gt;0,"Error ▲",SUM(U10:U257))</f>
        <v>0</v>
      </c>
      <c r="V258" s="133"/>
      <c r="W258" s="379">
        <f>IF('Detailed Results'!K164&gt;0,"Error ▲",SUM(W10:W257))</f>
        <v>0</v>
      </c>
      <c r="X258" s="380">
        <f>IF('Detailed Results'!K164&gt;0,"Error ▲",SUM(X10:X257))</f>
        <v>0</v>
      </c>
      <c r="Y258" s="380" cm="1">
        <f t="array" ref="Y258">IF(OR(Y10:Y257="Error in Lengths ▲",Y10:Y257="Check data", 'Detailed Results'!K164&gt;0),"Error ▲",SUM(Y10:Y257))</f>
        <v>0</v>
      </c>
      <c r="Z258" s="380" cm="1">
        <f t="array" ref="Z258">IF(OR(Y10:Y257="Error in Lengths ▲", Z10:Z257="Check data", 'Detailed Results'!K164&gt;0), "Error ▲", SUM(Z10:Z257))</f>
        <v>0</v>
      </c>
      <c r="AA258" s="380">
        <f>IF('Detailed Results'!K164&gt;0,"Error ▲",SUM(AA10:AA257))</f>
        <v>0</v>
      </c>
      <c r="AB258" s="381">
        <f>IFERROR(IF(E258="","",IF('Detailed Results'!K164&gt;0,"Error ▲", IF((Y258+Z258)&gt;U258,0,U258-Y258-Z258))),"Check Data ⚠")</f>
        <v>0</v>
      </c>
      <c r="AC258" s="649"/>
      <c r="AZ258" s="380" cm="1">
        <f t="array" ref="AZ258">IF(OR(Y10:Y257="Error in Lengths ▲",Y10:Y257="Check data", 'Detailed Results'!K164&gt;0),"Error ▲",SUM(AZ10:AZ257))</f>
        <v>0</v>
      </c>
    </row>
    <row r="259" spans="2:52" ht="15">
      <c r="B259" s="30"/>
      <c r="C259" s="30"/>
      <c r="V259" s="133"/>
      <c r="W259" s="133"/>
      <c r="X259" s="133"/>
      <c r="Y259" s="133"/>
      <c r="Z259" s="133"/>
      <c r="AA259" s="133"/>
      <c r="AB259" s="133"/>
      <c r="AC259" s="133"/>
      <c r="AZ259" s="133"/>
    </row>
    <row r="260" spans="2:52" ht="15"/>
    <row r="261" spans="2:52" ht="15"/>
    <row r="262" spans="2:52" ht="15"/>
    <row r="263" spans="2:52" ht="15"/>
    <row r="264" spans="2:52" ht="15"/>
    <row r="265" spans="2:52" ht="15"/>
    <row r="266" spans="2:52" ht="15"/>
    <row r="267" spans="2:52" ht="15"/>
    <row r="268" spans="2:52" ht="15"/>
    <row r="269" spans="2:52" ht="15"/>
    <row r="270" spans="2:52" ht="15"/>
    <row r="271" spans="2:52" ht="15"/>
    <row r="272" spans="2:52" ht="15"/>
  </sheetData>
  <sheetProtection algorithmName="SHA-512" hashValue="7CcmCuzZGsifJSfD9MvcYAWZx2aNuO211mfcdw/1gGSchVerPC6WcYF0tVjyJgt0wK+4tAVXSIQ1ngfCIN9NJg==" saltValue="b6FxX+Jw+JnzNt/gk3XupQ==" spinCount="100000" sheet="1" objects="1" scenarios="1"/>
  <customSheetViews>
    <customSheetView guid="{8BDA793C-C9C5-4FC6-A0A5-F1109F6D4F22}" state="hidden">
      <pane ySplit="9" topLeftCell="A10" activePane="bottomLeft" state="frozen"/>
      <selection pane="bottomLeft" activeCell="D14" sqref="D14"/>
    </customSheetView>
  </customSheetViews>
  <mergeCells count="23">
    <mergeCell ref="W4:AB5"/>
    <mergeCell ref="P258:Q258"/>
    <mergeCell ref="AD8:AE8"/>
    <mergeCell ref="J8:L8"/>
    <mergeCell ref="M8:N8"/>
    <mergeCell ref="O8:P8"/>
    <mergeCell ref="Q8:Q9"/>
    <mergeCell ref="W8:AB8"/>
    <mergeCell ref="O2:V4"/>
    <mergeCell ref="S8:T8"/>
    <mergeCell ref="AC8:AC9"/>
    <mergeCell ref="B2:E2"/>
    <mergeCell ref="B3:E4"/>
    <mergeCell ref="C8:E8"/>
    <mergeCell ref="F8:G8"/>
    <mergeCell ref="H8:I8"/>
    <mergeCell ref="H2:M2"/>
    <mergeCell ref="K3:M3"/>
    <mergeCell ref="K4:M4"/>
    <mergeCell ref="H3:J3"/>
    <mergeCell ref="H4:J4"/>
    <mergeCell ref="H5:J5"/>
    <mergeCell ref="K5:M5"/>
  </mergeCells>
  <conditionalFormatting sqref="Q10:Q257">
    <cfRule type="containsText" dxfId="115" priority="32" operator="containsText" text="Bespoke">
      <formula>NOT(ISERROR(SEARCH("Bespoke",Q10)))</formula>
    </cfRule>
    <cfRule type="containsText" dxfId="114" priority="80" operator="containsText" text="Restore">
      <formula>NOT(ISERROR(SEARCH("Restore",Q10)))</formula>
    </cfRule>
  </conditionalFormatting>
  <conditionalFormatting sqref="K10:Q257">
    <cfRule type="containsText" dxfId="113" priority="81" operator="containsText" text="Spatial">
      <formula>NOT(ISERROR(SEARCH("Spatial",K10)))</formula>
    </cfRule>
  </conditionalFormatting>
  <conditionalFormatting sqref="AA10:AA257">
    <cfRule type="containsText" dxfId="112" priority="77" operator="containsText" text="Error">
      <formula>NOT(ISERROR(SEARCH("Error",AA10)))</formula>
    </cfRule>
  </conditionalFormatting>
  <conditionalFormatting sqref="AB10:AC258">
    <cfRule type="containsText" dxfId="111" priority="75" operator="containsText" text="Check">
      <formula>NOT(ISERROR(SEARCH("Check",AB10)))</formula>
    </cfRule>
    <cfRule type="containsText" dxfId="110" priority="76" operator="containsText" text="Error">
      <formula>NOT(ISERROR(SEARCH("Error",AB10)))</formula>
    </cfRule>
  </conditionalFormatting>
  <conditionalFormatting sqref="V5 W4">
    <cfRule type="containsText" dxfId="109" priority="74" operator="containsText" text="Check">
      <formula>NOT(ISERROR(SEARCH("Check",V4)))</formula>
    </cfRule>
  </conditionalFormatting>
  <conditionalFormatting sqref="K3">
    <cfRule type="containsText" dxfId="108" priority="72" operator="containsText" text="Error">
      <formula>NOT(ISERROR(SEARCH("Error",K3)))</formula>
    </cfRule>
    <cfRule type="containsText" dxfId="107" priority="73" operator="containsText" text="Check">
      <formula>NOT(ISERROR(SEARCH("Check",K3)))</formula>
    </cfRule>
  </conditionalFormatting>
  <conditionalFormatting sqref="K4">
    <cfRule type="containsText" dxfId="106" priority="38" operator="containsText" text="Error">
      <formula>NOT(ISERROR(SEARCH("Error",K4)))</formula>
    </cfRule>
    <cfRule type="containsText" dxfId="105" priority="39" operator="containsText" text="Check">
      <formula>NOT(ISERROR(SEARCH("Check",K4)))</formula>
    </cfRule>
  </conditionalFormatting>
  <conditionalFormatting sqref="O2:V4">
    <cfRule type="containsText" dxfId="104" priority="67" operator="containsText" text="Check">
      <formula>NOT(ISERROR(SEARCH("Check",O2)))</formula>
    </cfRule>
  </conditionalFormatting>
  <conditionalFormatting sqref="K5">
    <cfRule type="containsText" dxfId="103" priority="65" operator="containsText" text="No">
      <formula>NOT(ISERROR(SEARCH("No",K5)))</formula>
    </cfRule>
    <cfRule type="containsText" dxfId="102" priority="66" operator="containsText" text="Yes">
      <formula>NOT(ISERROR(SEARCH("Yes",K5)))</formula>
    </cfRule>
  </conditionalFormatting>
  <conditionalFormatting sqref="S10:S257">
    <cfRule type="containsText" dxfId="101" priority="63" operator="containsText" text="Existing Value Not Required">
      <formula>NOT(ISERROR(SEARCH("Existing Value Not Required",S10)))</formula>
    </cfRule>
    <cfRule type="containsText" dxfId="100" priority="64" operator="containsText" text="Existing Value Required">
      <formula>NOT(ISERROR(SEARCH("Existing Value Required",S10)))</formula>
    </cfRule>
  </conditionalFormatting>
  <conditionalFormatting sqref="S10:T257">
    <cfRule type="containsText" dxfId="99" priority="59" operator="containsText" text="Check">
      <formula>NOT(ISERROR(SEARCH("Check",S10)))</formula>
    </cfRule>
    <cfRule type="containsText" dxfId="98" priority="60" operator="containsText" text="Error">
      <formula>NOT(ISERROR(SEARCH("Error",S10)))</formula>
    </cfRule>
  </conditionalFormatting>
  <conditionalFormatting sqref="T10:T257">
    <cfRule type="containsText" dxfId="97" priority="58" operator="containsText" text="Spatial">
      <formula>NOT(ISERROR(SEARCH("Spatial",T10)))</formula>
    </cfRule>
  </conditionalFormatting>
  <conditionalFormatting sqref="I10:I257">
    <cfRule type="containsText" dxfId="96" priority="43" operator="containsText" text="Not possible">
      <formula>NOT(ISERROR(SEARCH("Not possible",I10)))</formula>
    </cfRule>
  </conditionalFormatting>
  <conditionalFormatting sqref="Y258:Z258">
    <cfRule type="containsText" dxfId="95" priority="42" operator="containsText" text="Error">
      <formula>NOT(ISERROR(SEARCH("Error",Y258)))</formula>
    </cfRule>
  </conditionalFormatting>
  <conditionalFormatting sqref="Y10:Y257">
    <cfRule type="containsText" dxfId="94" priority="41" operator="containsText" text="Error">
      <formula>NOT(ISERROR(SEARCH("Error",Y10)))</formula>
    </cfRule>
  </conditionalFormatting>
  <conditionalFormatting sqref="K4:M4">
    <cfRule type="cellIs" dxfId="93" priority="37" operator="equal">
      <formula>0</formula>
    </cfRule>
    <cfRule type="cellIs" dxfId="92" priority="40" operator="lessThan">
      <formula>0</formula>
    </cfRule>
  </conditionalFormatting>
  <conditionalFormatting sqref="AC1:AC1048576">
    <cfRule type="containsText" dxfId="91" priority="35" operator="containsText" text="Yes">
      <formula>NOT(ISERROR(SEARCH("Yes",AC1)))</formula>
    </cfRule>
    <cfRule type="containsText" dxfId="90" priority="36" operator="containsText" text="No">
      <formula>NOT(ISERROR(SEARCH("No",AC1)))</formula>
    </cfRule>
  </conditionalFormatting>
  <conditionalFormatting sqref="AB1:AB1048576">
    <cfRule type="containsText" dxfId="89" priority="33" operator="containsText" text="✓">
      <formula>NOT(ISERROR(SEARCH("✓",AB1)))</formula>
    </cfRule>
    <cfRule type="containsText" dxfId="88" priority="34" operator="containsText" text="▲">
      <formula>NOT(ISERROR(SEARCH("▲",AB1)))</formula>
    </cfRule>
  </conditionalFormatting>
  <conditionalFormatting sqref="U10:U257">
    <cfRule type="containsText" dxfId="87" priority="31" operator="containsText" text="⚠">
      <formula>NOT(ISERROR(SEARCH("⚠",U10)))</formula>
    </cfRule>
  </conditionalFormatting>
  <conditionalFormatting sqref="AA10:AA257">
    <cfRule type="containsText" dxfId="86" priority="30" operator="containsText" text="⚠">
      <formula>NOT(ISERROR(SEARCH("⚠",AA10)))</formula>
    </cfRule>
  </conditionalFormatting>
  <conditionalFormatting sqref="W258:AB258">
    <cfRule type="containsText" dxfId="85" priority="27" operator="containsText" text="▲">
      <formula>NOT(ISERROR(SEARCH("▲",W258)))</formula>
    </cfRule>
  </conditionalFormatting>
  <conditionalFormatting sqref="AA258">
    <cfRule type="containsText" dxfId="84" priority="28" operator="containsText" text="▲">
      <formula>NOT(ISERROR(SEARCH("▲",AA258)))</formula>
    </cfRule>
  </conditionalFormatting>
  <conditionalFormatting sqref="U258">
    <cfRule type="containsText" dxfId="83" priority="26" operator="containsText" text="▲">
      <formula>NOT(ISERROR(SEARCH("▲",U258)))</formula>
    </cfRule>
  </conditionalFormatting>
  <conditionalFormatting sqref="E258">
    <cfRule type="containsText" dxfId="82" priority="25" operator="containsText" text="▲">
      <formula>NOT(ISERROR(SEARCH("▲",E258)))</formula>
    </cfRule>
  </conditionalFormatting>
  <conditionalFormatting sqref="AH10:AH257">
    <cfRule type="cellIs" dxfId="81" priority="21" operator="equal">
      <formula>""</formula>
    </cfRule>
    <cfRule type="cellIs" dxfId="80" priority="22" operator="equal">
      <formula>"None"</formula>
    </cfRule>
    <cfRule type="cellIs" dxfId="79" priority="24" operator="greaterThan">
      <formula>0</formula>
    </cfRule>
  </conditionalFormatting>
  <conditionalFormatting sqref="AI11">
    <cfRule type="cellIs" dxfId="78" priority="19" operator="equal">
      <formula>"None"</formula>
    </cfRule>
    <cfRule type="cellIs" dxfId="77" priority="20" operator="equal">
      <formula>""</formula>
    </cfRule>
    <cfRule type="cellIs" dxfId="76" priority="23" operator="greaterThan">
      <formula>0</formula>
    </cfRule>
  </conditionalFormatting>
  <conditionalFormatting sqref="AH10:AH257">
    <cfRule type="cellIs" dxfId="75" priority="15" operator="equal">
      <formula>""</formula>
    </cfRule>
    <cfRule type="cellIs" dxfId="74" priority="16" operator="equal">
      <formula>"None"</formula>
    </cfRule>
    <cfRule type="cellIs" dxfId="73" priority="18" operator="greaterThan">
      <formula>0</formula>
    </cfRule>
  </conditionalFormatting>
  <conditionalFormatting sqref="AI10:AI257">
    <cfRule type="cellIs" dxfId="72" priority="13" operator="equal">
      <formula>"None"</formula>
    </cfRule>
    <cfRule type="cellIs" dxfId="71" priority="14" operator="equal">
      <formula>""</formula>
    </cfRule>
    <cfRule type="cellIs" dxfId="70" priority="17" operator="greaterThan">
      <formula>0</formula>
    </cfRule>
  </conditionalFormatting>
  <conditionalFormatting sqref="AH10:AH257">
    <cfRule type="cellIs" dxfId="69" priority="9" operator="equal">
      <formula>""</formula>
    </cfRule>
    <cfRule type="cellIs" dxfId="68" priority="10" operator="equal">
      <formula>"None"</formula>
    </cfRule>
    <cfRule type="cellIs" dxfId="67" priority="12" operator="greaterThan">
      <formula>0</formula>
    </cfRule>
  </conditionalFormatting>
  <conditionalFormatting sqref="AI12:AI257">
    <cfRule type="cellIs" dxfId="66" priority="7" operator="equal">
      <formula>"None"</formula>
    </cfRule>
    <cfRule type="cellIs" dxfId="65" priority="8" operator="equal">
      <formula>""</formula>
    </cfRule>
    <cfRule type="cellIs" dxfId="64" priority="11" operator="greaterThan">
      <formula>0</formula>
    </cfRule>
  </conditionalFormatting>
  <conditionalFormatting sqref="AH10:AH257">
    <cfRule type="cellIs" dxfId="63" priority="6" operator="equal">
      <formula>0</formula>
    </cfRule>
  </conditionalFormatting>
  <conditionalFormatting sqref="AZ258">
    <cfRule type="containsText" dxfId="62" priority="5" operator="containsText" text="Error">
      <formula>NOT(ISERROR(SEARCH("Error",AZ258)))</formula>
    </cfRule>
  </conditionalFormatting>
  <conditionalFormatting sqref="AZ10:AZ257">
    <cfRule type="containsText" dxfId="61" priority="4" operator="containsText" text="Error">
      <formula>NOT(ISERROR(SEARCH("Error",AZ10)))</formula>
    </cfRule>
  </conditionalFormatting>
  <conditionalFormatting sqref="AZ258">
    <cfRule type="containsText" dxfId="60" priority="2" operator="containsText" text="▲">
      <formula>NOT(ISERROR(SEARCH("▲",AZ258)))</formula>
    </cfRule>
  </conditionalFormatting>
  <conditionalFormatting sqref="K3:M5">
    <cfRule type="containsText" dxfId="59" priority="1" operator="containsText" text="N/A">
      <formula>NOT(ISERROR(SEARCH("N/A",K3)))</formula>
    </cfRule>
  </conditionalFormatting>
  <dataValidations count="4">
    <dataValidation type="list" allowBlank="1" showInputMessage="1" showErrorMessage="1" sqref="H10:H257" xr:uid="{00000000-0002-0000-1800-000000000000}">
      <formula1>INDIRECT(AJ10)</formula1>
    </dataValidation>
    <dataValidation type="list" allowBlank="1" showInputMessage="1" showErrorMessage="1" sqref="M10:M257" xr:uid="{D8743FDD-6912-437C-A339-13D0195C0087}">
      <formula1>IF(D10="Culvert",riparianencroachment2,riparianencroachment1)</formula1>
    </dataValidation>
    <dataValidation type="list" allowBlank="1" showInputMessage="1" showErrorMessage="1" sqref="AC10:AC257" xr:uid="{4151BCAC-FA7D-4A21-974B-4D0227956BDD}">
      <formula1>"Yes, No"</formula1>
    </dataValidation>
    <dataValidation type="list" allowBlank="1" showInputMessage="1" showErrorMessage="1" sqref="O10:O257" xr:uid="{992FF488-5483-4234-B169-A25B32BCD193}">
      <formula1>IF(D10="Culvert",Encroachment2,Encroachment1)</formula1>
    </dataValidation>
  </dataValidations>
  <pageMargins left="0.7" right="0.7" top="0.75" bottom="0.75" header="0.3" footer="0.3"/>
  <pageSetup paperSize="9" orientation="portrait" horizontalDpi="90" verticalDpi="90" r:id="rId1"/>
  <drawing r:id="rId2"/>
  <extLst>
    <ext xmlns:x14="http://schemas.microsoft.com/office/spreadsheetml/2009/9/main" uri="{78C0D931-6437-407d-A8EE-F0AAD7539E65}">
      <x14:conditionalFormattings>
        <x14:conditionalFormatting xmlns:xm="http://schemas.microsoft.com/office/excel/2006/main">
          <x14:cfRule type="cellIs" priority="481" operator="lessThan" id="{B0CC3A41-3BA3-464F-80F6-EA546015E284}">
            <xm:f>Start!$F$22</xm:f>
            <x14:dxf>
              <font>
                <color rgb="FF383745"/>
              </font>
              <fill>
                <patternFill>
                  <bgColor rgb="FFFFC000"/>
                </patternFill>
              </fill>
            </x14:dxf>
          </x14:cfRule>
          <x14:cfRule type="cellIs" priority="482" operator="greaterThanOrEqual" id="{1224D70A-AD5F-4F7B-8C1F-B9B15F103F64}">
            <xm:f>Start!$F$22</xm:f>
            <x14:dxf>
              <font>
                <color rgb="FF383745"/>
              </font>
              <fill>
                <patternFill>
                  <bgColor rgb="FF92D050"/>
                </patternFill>
              </fill>
            </x14:dxf>
          </x14:cfRule>
          <xm:sqref>K4:M4</xm:sqref>
        </x14:conditionalFormatting>
        <x14:conditionalFormatting xmlns:xm="http://schemas.microsoft.com/office/excel/2006/main">
          <x14:cfRule type="containsText" priority="29" operator="containsText" id="{C9DF6C2D-1BD0-40A6-8AC1-61A97B405095}">
            <xm:f>NOT(ISERROR(SEARCH(IF('Detailed Results'!K164&gt;0,"Error ▲"),W258)))</xm:f>
            <xm:f>IF('Detailed Results'!K164&gt;0,"Error ▲")</xm:f>
            <x14:dxf>
              <font>
                <color theme="0"/>
              </font>
              <fill>
                <patternFill>
                  <bgColor rgb="FFC00000"/>
                </patternFill>
              </fill>
            </x14:dxf>
          </x14:cfRule>
          <xm:sqref>W258:AB258</xm:sqref>
        </x14:conditionalFormatting>
        <x14:conditionalFormatting xmlns:xm="http://schemas.microsoft.com/office/excel/2006/main">
          <x14:cfRule type="containsText" priority="3" operator="containsText" id="{472D4469-E175-4F1B-BED2-5B896237F834}">
            <xm:f>NOT(ISERROR(SEARCH(IF('Detailed Results'!AN164&gt;0,"Error ▲"),AZ258)))</xm:f>
            <xm:f>IF('Detailed Results'!AN164&gt;0,"Error ▲")</xm:f>
            <x14:dxf>
              <font>
                <color theme="0"/>
              </font>
              <fill>
                <patternFill>
                  <bgColor rgb="FFC00000"/>
                </patternFill>
              </fill>
            </x14:dxf>
          </x14:cfRule>
          <xm:sqref>AZ258</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00000000-0002-0000-1800-000004000000}">
          <x14:formula1>
            <xm:f>'G-7 WaterC'' Data'!$B$4:$B$8</xm:f>
          </x14:formula1>
          <xm:sqref>D10:D257</xm:sqref>
        </x14:dataValidation>
        <x14:dataValidation type="list" allowBlank="1" showInputMessage="1" showErrorMessage="1" xr:uid="{91552617-AC51-4EB3-936B-80A72E295568}">
          <x14:formula1>
            <xm:f>IF(D10="Culvert",'G-7 WaterC'' Data'!$AK$6,'G-7 WaterC'' Data'!$AK$4:$AK$6)</xm:f>
          </x14:formula1>
          <xm:sqref>J10:J257</xm:sqref>
        </x14:dataValidation>
        <x14:dataValidation type="list" allowBlank="1" showInputMessage="1" showErrorMessage="1" xr:uid="{D3C002D9-3D24-4191-B436-0EEE13FCC6B7}">
          <x14:formula1>
            <xm:f>'G-7 WaterC'' Data'!$AO$4:$AO$7</xm:f>
          </x14:formula1>
          <xm:sqref>S10:S257</xm:sqref>
        </x14:dataValidation>
      </x14:dataValidations>
    </ext>
  </extLst>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13">
    <tabColor rgb="FF0033CC"/>
  </sheetPr>
  <dimension ref="A1:AL1048576"/>
  <sheetViews>
    <sheetView showGridLines="0" zoomScale="80" zoomScaleNormal="80" workbookViewId="0">
      <pane ySplit="11" topLeftCell="A12" activePane="bottomLeft" state="frozen"/>
      <selection pane="bottomLeft"/>
    </sheetView>
  </sheetViews>
  <sheetFormatPr defaultColWidth="0" defaultRowHeight="0" customHeight="1" zeroHeight="1"/>
  <cols>
    <col min="1" max="1" width="2.7109375" style="30" customWidth="1"/>
    <col min="2" max="2" width="10.7109375" style="30" customWidth="1"/>
    <col min="3" max="3" width="47.28515625" style="30" customWidth="1"/>
    <col min="4" max="4" width="10.42578125" style="30" customWidth="1"/>
    <col min="5" max="5" width="17.42578125" style="30" customWidth="1"/>
    <col min="6" max="6" width="13.28515625" style="30" customWidth="1"/>
    <col min="7" max="7" width="12.5703125" style="30" bestFit="1" customWidth="1"/>
    <col min="8" max="8" width="12.5703125" style="30" customWidth="1"/>
    <col min="9" max="9" width="33.7109375" style="30" customWidth="1"/>
    <col min="10" max="10" width="15.42578125" style="30" customWidth="1"/>
    <col min="11" max="11" width="12.28515625" style="30" customWidth="1"/>
    <col min="12" max="14" width="17.7109375" style="30" customWidth="1"/>
    <col min="15" max="15" width="34.5703125" style="30" customWidth="1"/>
    <col min="16" max="16" width="17.7109375" style="30" customWidth="1"/>
    <col min="17" max="17" width="15.28515625" style="30" customWidth="1"/>
    <col min="18" max="18" width="14.7109375" style="30" customWidth="1"/>
    <col min="19" max="19" width="26.28515625" style="30" customWidth="1"/>
    <col min="20" max="20" width="13.42578125" style="30" customWidth="1"/>
    <col min="21" max="21" width="12.28515625" style="30" customWidth="1"/>
    <col min="22" max="22" width="16.42578125" style="30" customWidth="1"/>
    <col min="23" max="23" width="12.42578125" style="30" customWidth="1"/>
    <col min="24" max="24" width="17" style="30" customWidth="1"/>
    <col min="25" max="25" width="12.5703125" style="30" customWidth="1"/>
    <col min="26" max="26" width="42.7109375" style="30" customWidth="1"/>
    <col min="27" max="27" width="12.7109375" style="30" customWidth="1"/>
    <col min="28" max="28" width="12" style="30" hidden="1" customWidth="1"/>
    <col min="29" max="29" width="17.28515625" style="30" customWidth="1"/>
    <col min="30" max="31" width="34.7109375" style="30" customWidth="1"/>
    <col min="32" max="32" width="12.5703125" style="30" customWidth="1"/>
    <col min="33" max="33" width="12" style="30" customWidth="1"/>
    <col min="34" max="35" width="8.7109375" style="30" customWidth="1"/>
    <col min="36" max="36" width="8.7109375" style="30" hidden="1" customWidth="1"/>
    <col min="37" max="37" width="5.7109375" style="30" hidden="1" customWidth="1"/>
    <col min="38" max="38" width="15.42578125" style="30" hidden="1" customWidth="1"/>
    <col min="39" max="16384" width="8.7109375" style="30" hidden="1"/>
  </cols>
  <sheetData>
    <row r="1" spans="2:38" ht="15.75" thickBot="1"/>
    <row r="2" spans="2:38" ht="18.600000000000001" customHeight="1" thickBot="1">
      <c r="B2" s="1600" t="str">
        <f>CONCATENATE("Project Name:", " ", Start!F12, "     ", "Map Reference:", " ", Start!K66)</f>
        <v xml:space="preserve">Project Name: Grove Farm Solar     Map Reference: </v>
      </c>
      <c r="C2" s="1603"/>
      <c r="D2" s="1601"/>
      <c r="F2" s="1595" t="s">
        <v>404</v>
      </c>
      <c r="G2" s="1607"/>
      <c r="H2" s="1607"/>
      <c r="I2" s="1607"/>
      <c r="J2" s="1607"/>
      <c r="K2" s="1607"/>
      <c r="L2" s="1607"/>
      <c r="M2" s="1607"/>
      <c r="N2" s="1607"/>
      <c r="O2" s="1596"/>
      <c r="P2" s="1463" t="str">
        <f>IF(OR(COUNTIF(L$12:$L259,"*30+*")&gt;0,COUNTIF(P$12:$P259,"*30+*")&gt;0),"Note; Habitat selected has a time to target condition greater than 30 years. Non standard agreement may be required.","")</f>
        <v/>
      </c>
      <c r="Q2" s="1463"/>
      <c r="R2" s="1463"/>
      <c r="S2" s="1463"/>
      <c r="T2" s="1463"/>
      <c r="U2" s="1463"/>
      <c r="V2" s="1613" t="str" cm="1">
        <f t="array" ref="V2">IF(OR(G12:G259 = "Fairly Good", G12:G259 = "Fairly Poor"),"A 'Fairly' Category has been used - check evidence to ensure this is appropriate ⚠", "")</f>
        <v/>
      </c>
      <c r="W2" s="1613"/>
      <c r="X2" s="1613"/>
      <c r="Y2" s="1613"/>
      <c r="Z2" s="1613"/>
      <c r="AA2" s="1613"/>
      <c r="AB2" s="1613"/>
      <c r="AC2" s="550"/>
    </row>
    <row r="3" spans="2:38" ht="15.6" customHeight="1" thickBot="1">
      <c r="B3" s="1557" t="str">
        <f ca="1">MID(CELL("filename",A1),FIND("]",CELL("filename",A1))+1,256)</f>
        <v>F-2 Off-Site WaterC' Creation</v>
      </c>
      <c r="C3" s="1558"/>
      <c r="D3" s="1559"/>
      <c r="F3" s="1505" t="s">
        <v>263</v>
      </c>
      <c r="G3" s="1506"/>
      <c r="H3" s="1506"/>
      <c r="I3" s="1506"/>
      <c r="J3" s="1506"/>
      <c r="K3" s="1506"/>
      <c r="L3" s="1501">
        <f>'Headline Results'!H49</f>
        <v>0</v>
      </c>
      <c r="M3" s="1501"/>
      <c r="N3" s="1501"/>
      <c r="O3" s="1502"/>
      <c r="P3" s="1463"/>
      <c r="Q3" s="1463"/>
      <c r="R3" s="1463"/>
      <c r="S3" s="1463"/>
      <c r="T3" s="1463"/>
      <c r="U3" s="1463"/>
      <c r="V3" s="1613"/>
      <c r="W3" s="1613"/>
      <c r="X3" s="1613"/>
      <c r="Y3" s="1613"/>
      <c r="Z3" s="1613"/>
      <c r="AA3" s="1613"/>
      <c r="AB3" s="1613"/>
      <c r="AC3" s="550"/>
    </row>
    <row r="4" spans="2:38" ht="16.5" customHeight="1" thickBot="1">
      <c r="B4" s="1557"/>
      <c r="C4" s="1558"/>
      <c r="D4" s="1559"/>
      <c r="F4" s="1583" t="s">
        <v>265</v>
      </c>
      <c r="G4" s="1584"/>
      <c r="H4" s="1584"/>
      <c r="I4" s="1584"/>
      <c r="J4" s="1584"/>
      <c r="K4" s="1584"/>
      <c r="L4" s="1577">
        <f>'Headline Results'!H53</f>
        <v>0</v>
      </c>
      <c r="M4" s="1577"/>
      <c r="N4" s="1577"/>
      <c r="O4" s="1578"/>
      <c r="P4" s="1463"/>
      <c r="Q4" s="1463"/>
      <c r="R4" s="1463"/>
      <c r="S4" s="1463"/>
      <c r="T4" s="1463"/>
      <c r="U4" s="1463"/>
      <c r="V4" s="1613"/>
      <c r="W4" s="1613"/>
      <c r="X4" s="1613"/>
      <c r="Y4" s="1613"/>
      <c r="Z4" s="1613"/>
      <c r="AA4" s="1613"/>
      <c r="AB4" s="1613"/>
      <c r="AC4" s="550"/>
    </row>
    <row r="5" spans="2:38" ht="26.65" customHeight="1" thickBot="1">
      <c r="F5" s="1582" t="s">
        <v>267</v>
      </c>
      <c r="G5" s="1579"/>
      <c r="H5" s="1579"/>
      <c r="I5" s="1579"/>
      <c r="J5" s="1579"/>
      <c r="K5" s="1579"/>
      <c r="L5" s="1579" t="str" cm="1">
        <f t="array" ref="L5">IF(OR('Trading Summary WaterC''s'!G5:H8="No ▲"), "No - check trading summary ▲", "Yes ✓")</f>
        <v>Yes ✓</v>
      </c>
      <c r="M5" s="1579"/>
      <c r="N5" s="1579"/>
      <c r="O5" s="1580"/>
      <c r="P5" s="1463"/>
      <c r="Q5" s="1463"/>
      <c r="R5" s="1463"/>
      <c r="S5" s="1463"/>
      <c r="T5" s="1463"/>
      <c r="U5" s="1463"/>
      <c r="V5" s="1613"/>
      <c r="W5" s="1613"/>
      <c r="X5" s="1613"/>
      <c r="Y5" s="1613"/>
      <c r="Z5" s="1613"/>
      <c r="AA5" s="1613"/>
      <c r="AB5" s="1613"/>
      <c r="AC5" s="550"/>
    </row>
    <row r="6" spans="2:38" ht="23.25" customHeight="1">
      <c r="D6" s="101"/>
      <c r="L6" s="312"/>
      <c r="M6" s="312"/>
      <c r="N6" s="312"/>
      <c r="O6" s="312"/>
      <c r="P6" s="1463"/>
      <c r="Q6" s="1463"/>
      <c r="R6" s="1463"/>
      <c r="S6" s="1463"/>
      <c r="T6" s="1463"/>
      <c r="U6" s="1463"/>
    </row>
    <row r="7" spans="2:38" ht="15"/>
    <row r="8" spans="2:38" ht="15"/>
    <row r="9" spans="2:38" ht="15.75" customHeight="1" thickBot="1"/>
    <row r="10" spans="2:38" s="33" customFormat="1" ht="29.25" customHeight="1" thickBot="1">
      <c r="B10" s="200"/>
      <c r="C10" s="1573" t="s">
        <v>389</v>
      </c>
      <c r="D10" s="1575"/>
      <c r="E10" s="1573" t="s">
        <v>269</v>
      </c>
      <c r="F10" s="1575"/>
      <c r="G10" s="1573" t="s">
        <v>270</v>
      </c>
      <c r="H10" s="1575"/>
      <c r="I10" s="1552" t="s">
        <v>271</v>
      </c>
      <c r="J10" s="1552"/>
      <c r="K10" s="1552"/>
      <c r="L10" s="1552" t="s">
        <v>314</v>
      </c>
      <c r="M10" s="1552"/>
      <c r="N10" s="1552"/>
      <c r="O10" s="1552"/>
      <c r="P10" s="1552"/>
      <c r="Q10" s="1552"/>
      <c r="R10" s="1573" t="s">
        <v>315</v>
      </c>
      <c r="S10" s="1574"/>
      <c r="T10" s="1574"/>
      <c r="U10" s="1575"/>
      <c r="V10" s="1552" t="s">
        <v>406</v>
      </c>
      <c r="W10" s="1552"/>
      <c r="X10" s="1552" t="s">
        <v>407</v>
      </c>
      <c r="Y10" s="1552"/>
      <c r="Z10" s="1552" t="s">
        <v>358</v>
      </c>
      <c r="AA10" s="1552"/>
      <c r="AB10" s="1534" t="s">
        <v>427</v>
      </c>
      <c r="AC10" s="1534" t="s">
        <v>418</v>
      </c>
      <c r="AD10" s="1315" t="s">
        <v>276</v>
      </c>
      <c r="AE10" s="1313"/>
    </row>
    <row r="11" spans="2:38" s="33" customFormat="1" ht="62.65" customHeight="1" thickBot="1">
      <c r="B11" s="719" t="s">
        <v>339</v>
      </c>
      <c r="C11" s="132" t="s">
        <v>193</v>
      </c>
      <c r="D11" s="752" t="s">
        <v>428</v>
      </c>
      <c r="E11" s="132" t="s">
        <v>269</v>
      </c>
      <c r="F11" s="752" t="s">
        <v>286</v>
      </c>
      <c r="G11" s="132" t="s">
        <v>270</v>
      </c>
      <c r="H11" s="752" t="s">
        <v>286</v>
      </c>
      <c r="I11" s="132" t="s">
        <v>271</v>
      </c>
      <c r="J11" s="811" t="s">
        <v>271</v>
      </c>
      <c r="K11" s="752" t="s">
        <v>317</v>
      </c>
      <c r="L11" s="132" t="s">
        <v>392</v>
      </c>
      <c r="M11" s="811" t="s">
        <v>319</v>
      </c>
      <c r="N11" s="811" t="s">
        <v>320</v>
      </c>
      <c r="O11" s="811" t="s">
        <v>321</v>
      </c>
      <c r="P11" s="811" t="s">
        <v>429</v>
      </c>
      <c r="Q11" s="752" t="s">
        <v>430</v>
      </c>
      <c r="R11" s="132" t="s">
        <v>324</v>
      </c>
      <c r="S11" s="811" t="s">
        <v>325</v>
      </c>
      <c r="T11" s="811" t="s">
        <v>326</v>
      </c>
      <c r="U11" s="752" t="s">
        <v>327</v>
      </c>
      <c r="V11" s="132" t="s">
        <v>409</v>
      </c>
      <c r="W11" s="752" t="s">
        <v>410</v>
      </c>
      <c r="X11" s="132" t="s">
        <v>411</v>
      </c>
      <c r="Y11" s="752" t="s">
        <v>410</v>
      </c>
      <c r="Z11" s="132" t="s">
        <v>361</v>
      </c>
      <c r="AA11" s="752" t="s">
        <v>410</v>
      </c>
      <c r="AB11" s="1534"/>
      <c r="AC11" s="1534"/>
      <c r="AD11" s="126" t="s">
        <v>295</v>
      </c>
      <c r="AE11" s="861" t="s">
        <v>296</v>
      </c>
      <c r="AF11" s="682" t="s">
        <v>297</v>
      </c>
      <c r="AG11" s="682" t="s">
        <v>363</v>
      </c>
      <c r="AL11" s="210" t="s">
        <v>280</v>
      </c>
    </row>
    <row r="12" spans="2:38" ht="15">
      <c r="B12" s="291">
        <v>1</v>
      </c>
      <c r="C12" s="209"/>
      <c r="D12" s="53"/>
      <c r="E12" s="362" t="str">
        <f>IF(C12="","",VLOOKUP(C12,'G-7 WaterC'' Data'!$B$2:$Z$9,2,FALSE))</f>
        <v/>
      </c>
      <c r="F12" s="363" t="str">
        <f>IFERROR(VLOOKUP(E12,'G-7 WaterC'' Data'!$C$4:$D$8,2,FALSE),"")</f>
        <v/>
      </c>
      <c r="G12" s="54"/>
      <c r="H12" s="363" t="str">
        <f>IFERROR(INDEX('G-7 WaterC'' Data'!$H$4:$L$8,MATCH(C12,'G-7 WaterC'' Data'!$B$4:$B$8,0),MATCH(G12,'G-7 WaterC'' Data'!$H$3:$L$3,0)),"")</f>
        <v/>
      </c>
      <c r="I12" s="54"/>
      <c r="J12" s="401" t="str">
        <f>IF(I12="","",IF(VLOOKUP(I12,'G-7 WaterC'' Data'!$AK$4:$AM$6,2,FALSE)=0,"Spatial Data Missing ⚠",VLOOKUP(I12,'G-7 WaterC'' Data'!$AK$4:$AM$6,2,FALSE)))</f>
        <v/>
      </c>
      <c r="K12" s="363" t="str">
        <f>IF(I12="","",IF(VLOOKUP(I12,'G-7 WaterC'' Data'!$AK$4:$AM$6,3,FALSE)=0,"Spatial Data Missing ⚠",VLOOKUP(I12,'G-7 WaterC'' Data'!$AK$4:$AM$6,3,FALSE)))</f>
        <v/>
      </c>
      <c r="L12" s="478" t="str">
        <f>IFERROR(INDEX('G-7 WaterC'' Data'!$O$3:$O$7,MATCH(G12,'G-7 WaterC'' Data'!$N$3:$N$7,0)),"")</f>
        <v/>
      </c>
      <c r="M12" s="55"/>
      <c r="N12" s="63"/>
      <c r="O12" s="370" t="str">
        <f>IF(L12="","",IF(AND(M12&gt;0,N12&gt;0),"Error -both advance and delayed habitat creation ▲",IF(AND(OR(M12="Habitat already in target condition",L12&lt;=M12),N12=0),"Check details - Is there evidence that habitat has reached target condition? ⚠",IF(M12&gt;0,"Check details - Is there evidence habitat creation started/in place? ⚠",IF(N12&gt;0,"Check details- Delay in starting habitat in required condition? ⚠","Standard time to target condition applied")))))</f>
        <v/>
      </c>
      <c r="P12" s="383" t="str">
        <f>IF(O12="Error -both advance and delayed habitat creation ▲","Check Data ⚠",IF(L12="","",IF(M12="30+",0,IF(N12="30+","30+",IF(L12+N12&gt;30,"30+",IF(L12+N12-M12&gt;0,L12+N12-M12,IF(L12-M12&lt;0,0,L12+N12-M12)))))))</f>
        <v/>
      </c>
      <c r="Q12" s="422" t="str">
        <f>IFERROR(IF(P12="Check Data ⚠","Check Data ⚠",VLOOKUP(P12,'G-4 Temporal multipliers'!$A$4:$C$37,3,FALSE)),"")</f>
        <v/>
      </c>
      <c r="R12" s="362" t="str">
        <f>IF(C12="","",VLOOKUP(C12,'G-7 WaterC'' Data'!$B$4:$G$8,4,FALSE))</f>
        <v/>
      </c>
      <c r="S12" s="370" t="str">
        <f>IF(C12="","",IF(P12="Check Data ⚠","Check Data ⚠",IF(G12="","",IF($O12="Check details - Is there evidence that habitat has reached target condition? ⚠","No - Low Difficulty - only applicable if all habitat created before losses ⚠","Standard difficulty applied"))))</f>
        <v/>
      </c>
      <c r="T12" s="401" t="str">
        <f>(IF(AND(S12="Standard difficulty applied",L12&gt;M12),R12,IF(AND(S12="No - Low Difficulty - only applicable if all habitat created before losses ⚠",M12&gt;=L12),"Low",R12)))</f>
        <v/>
      </c>
      <c r="U12" s="363" t="str">
        <f>IF(C12="","",VLOOKUP(T12,'G-3 Multipliers'!$P$2:$Q$6,2,FALSE))</f>
        <v/>
      </c>
      <c r="V12" s="54"/>
      <c r="W12" s="363" t="str">
        <f>IF(V12="","",IF(VLOOKUP(V12,'G-7 WaterC'' Data'!$AA$4:$AB$7,2,FALSE)=0,"Spatial Data Missing ⚠",VLOOKUP(V12,'G-7 WaterC'' Data'!$AA$4:$AB$7,2,FALSE)))</f>
        <v/>
      </c>
      <c r="X12" s="60"/>
      <c r="Y12" s="363" t="str">
        <f>IF(X12="","",IF(VLOOKUP(X12,'G-7 WaterC'' Data'!$AD$4:$AE$14,2,FALSE)=0,"Enrcoachment Data Missing ⚠",VLOOKUP(X12,'G-7 WaterC'' Data'!$AD$4:$AE$14,2,FALSE)))</f>
        <v/>
      </c>
      <c r="Z12" s="54"/>
      <c r="AA12" s="363" t="str">
        <f>IF(Z12="","",IF(VLOOKUP(Z12,'G-7 WaterC'' Data'!$AO$4:$BO$7,2,FALSE)=0,"Spatial Data Missing ⚠",VLOOKUP(Z12,'G-7 WaterC'' Data'!$AO$4:$BO$7,2,FALSE)))</f>
        <v/>
      </c>
      <c r="AB12" s="405" t="str">
        <f>IFERROR(D12*F12*H12*K12*Q12*U12*W12*Y12*AA12,"")</f>
        <v/>
      </c>
      <c r="AC12" s="405" t="str">
        <f>IFERROR(IF(Z12="","", D12*F12*H12*K12*Q12*U12*W12*Y12),"")</f>
        <v/>
      </c>
      <c r="AD12" s="194"/>
      <c r="AE12" s="691"/>
      <c r="AF12" s="136"/>
      <c r="AG12" s="137"/>
      <c r="AL12" s="30" t="str">
        <f>IFERROR(INDEX('G-7 WaterC'' Data'!$AZ$3:$AZ$7,MATCH(C12,'G-7 WaterC'' Data'!$AY$3:$AY$7,0)),"")</f>
        <v/>
      </c>
    </row>
    <row r="13" spans="2:38" ht="15">
      <c r="B13" s="110">
        <v>2</v>
      </c>
      <c r="C13" s="500"/>
      <c r="D13" s="53"/>
      <c r="E13" s="362" t="str">
        <f>IF(C13="","",VLOOKUP(C13,'G-7 WaterC'' Data'!$B$2:$Z$9,2,FALSE))</f>
        <v/>
      </c>
      <c r="F13" s="363" t="str">
        <f>IFERROR(VLOOKUP(E13,'G-7 WaterC'' Data'!$C$4:$D$8,2,FALSE),"")</f>
        <v/>
      </c>
      <c r="G13" s="54"/>
      <c r="H13" s="363" t="str">
        <f>IFERROR(INDEX('G-7 WaterC'' Data'!$H$4:$L$8,MATCH(C13,'G-7 WaterC'' Data'!$B$4:$B$8,0),MATCH(G13,'G-7 WaterC'' Data'!$H$3:$L$3,0)),"")</f>
        <v/>
      </c>
      <c r="I13" s="54"/>
      <c r="J13" s="401" t="str">
        <f>IF(I13="","",IF(VLOOKUP(I13,'G-7 WaterC'' Data'!$AK$4:$AM$6,2,FALSE)=0,"Spatial Data Missing ⚠",VLOOKUP(I13,'G-7 WaterC'' Data'!$AK$4:$AM$6,2,FALSE)))</f>
        <v/>
      </c>
      <c r="K13" s="363" t="str">
        <f>IF(I13="","",IF(VLOOKUP(I13,'G-7 WaterC'' Data'!$AK$4:$AM$6,3,FALSE)=0,"Spatial Data Missing ⚠",VLOOKUP(I13,'G-7 WaterC'' Data'!$AK$4:$AM$6,3,FALSE)))</f>
        <v/>
      </c>
      <c r="L13" s="478" t="str">
        <f>IFERROR(INDEX('G-7 WaterC'' Data'!$O$3:$O$7,MATCH(G13,'G-7 WaterC'' Data'!$N$3:$N$7,0)),"")</f>
        <v/>
      </c>
      <c r="M13" s="55"/>
      <c r="N13" s="63"/>
      <c r="O13" s="370" t="str">
        <f t="shared" ref="O13:O76" si="0">IF(L13="","",IF(AND(M13&gt;0,N13&gt;0),"Error -both advance and delayed habitat creation ▲",IF(AND(OR(M13="Habitat already in target condition",L13&lt;=M13),N13=0),"Check details - Is there evidence that habitat has reached target condition? ⚠",IF(M13&gt;0,"Check details - Is there evidence habitat creation started/in place? ⚠",IF(N13&gt;0,"Check details- Delay in starting habitat in required condition? ⚠","Standard time to target condition applied")))))</f>
        <v/>
      </c>
      <c r="P13" s="383" t="str">
        <f t="shared" ref="P13:P76" si="1">IF(O13="Error -both advance and delayed habitat creation ▲","Check Data ⚠",IF(L13="","",IF(M13="30+",0,IF(N13="30+","30+",IF(L13+N13&gt;30,"30+",IF(L13+N13-M13&gt;0,L13+N13-M13,IF(L13-M13&lt;0,0,L13+N13-M13)))))))</f>
        <v/>
      </c>
      <c r="Q13" s="422" t="str">
        <f>IFERROR(IF(P13="Check Data ⚠","Check Data ⚠",VLOOKUP(P13,'G-4 Temporal multipliers'!$A$4:$C$37,3,FALSE)),"")</f>
        <v/>
      </c>
      <c r="R13" s="362" t="str">
        <f>IF(C13="","",VLOOKUP(C13,'G-7 WaterC'' Data'!$B$4:$G$8,4,FALSE))</f>
        <v/>
      </c>
      <c r="S13" s="370" t="str">
        <f t="shared" ref="S13:S76" si="2">IF(C13="","",IF(P13="Check Data ⚠","Check Data ⚠",IF(G13="","",IF($O13="Check details - Is there evidence that habitat has reached target condition? ⚠","No - Low Difficulty - only applicable if all habitat created before losses ⚠","Standard difficulty applied"))))</f>
        <v/>
      </c>
      <c r="T13" s="401" t="str">
        <f t="shared" ref="T13:T76" si="3">(IF(AND(S13="Standard difficulty applied",L13&gt;M13),R13,IF(AND(S13="No - Low Difficulty - only applicable if all habitat created before losses ⚠",M13&gt;=L13),"Low",R13)))</f>
        <v/>
      </c>
      <c r="U13" s="363" t="str">
        <f>IF(C13="","",VLOOKUP(T13,'G-3 Multipliers'!$P$2:$Q$6,2,FALSE))</f>
        <v/>
      </c>
      <c r="V13" s="115"/>
      <c r="W13" s="363" t="str">
        <f>IF(V13="","",IF(VLOOKUP(V13,'G-7 WaterC'' Data'!$AA$4:$AB$7,2,FALSE)=0,"Spatial Data Missing ⚠",VLOOKUP(V13,'G-7 WaterC'' Data'!$AA$4:$AB$7,2,FALSE)))</f>
        <v/>
      </c>
      <c r="X13" s="60"/>
      <c r="Y13" s="363" t="str">
        <f>IF(X13="","",IF(VLOOKUP(X13,'G-7 WaterC'' Data'!$AD$4:$AE$14,2,FALSE)=0,"Enrcoachment Data Missing ⚠",VLOOKUP(X13,'G-7 WaterC'' Data'!$AD$4:$AE$14,2,FALSE)))</f>
        <v/>
      </c>
      <c r="Z13" s="115"/>
      <c r="AA13" s="363" t="str">
        <f>IF(Z13="","",IF(VLOOKUP(Z13,'G-7 WaterC'' Data'!$AO$4:$BO$7,2,FALSE)=0,"Spatial Data Missing ⚠",VLOOKUP(Z13,'G-7 WaterC'' Data'!$AO$4:$BO$7,2,FALSE)))</f>
        <v/>
      </c>
      <c r="AB13" s="405" t="str">
        <f t="shared" ref="AB13:AB76" si="4">IFERROR(D13*F13*H13*K13*Q13*U13*W13*Y13*AA13,"")</f>
        <v/>
      </c>
      <c r="AC13" s="405" t="str">
        <f t="shared" ref="AC13:AC76" si="5">IFERROR(IF(Z13="","", D13*F13*H13*K13*Q13*U13*W13*Y13),"")</f>
        <v/>
      </c>
      <c r="AD13" s="194"/>
      <c r="AE13" s="691"/>
      <c r="AF13" s="119"/>
      <c r="AG13" s="120"/>
      <c r="AL13" s="30" t="str">
        <f>IFERROR(INDEX('G-7 WaterC'' Data'!$AZ$3:$AZ$7,MATCH(C13,'G-7 WaterC'' Data'!$AY$3:$AY$7,0)),"")</f>
        <v/>
      </c>
    </row>
    <row r="14" spans="2:38" ht="15">
      <c r="B14" s="110">
        <v>3</v>
      </c>
      <c r="C14" s="500"/>
      <c r="D14" s="53"/>
      <c r="E14" s="362" t="str">
        <f>IF(C14="","",VLOOKUP(C14,'G-7 WaterC'' Data'!$B$2:$Z$9,2,FALSE))</f>
        <v/>
      </c>
      <c r="F14" s="363" t="str">
        <f>IFERROR(VLOOKUP(E14,'G-7 WaterC'' Data'!$C$4:$D$8,2,FALSE),"")</f>
        <v/>
      </c>
      <c r="G14" s="54"/>
      <c r="H14" s="363" t="str">
        <f>IFERROR(INDEX('G-7 WaterC'' Data'!$H$4:$L$8,MATCH(C14,'G-7 WaterC'' Data'!$B$4:$B$8,0),MATCH(G14,'G-7 WaterC'' Data'!$H$3:$L$3,0)),"")</f>
        <v/>
      </c>
      <c r="I14" s="54"/>
      <c r="J14" s="401" t="str">
        <f>IF(I14="","",IF(VLOOKUP(I14,'G-7 WaterC'' Data'!$AK$4:$AM$6,2,FALSE)=0,"Spatial Data Missing ⚠",VLOOKUP(I14,'G-7 WaterC'' Data'!$AK$4:$AM$6,2,FALSE)))</f>
        <v/>
      </c>
      <c r="K14" s="363" t="str">
        <f>IF(I14="","",IF(VLOOKUP(I14,'G-7 WaterC'' Data'!$AK$4:$AM$6,3,FALSE)=0,"Spatial Data Missing ⚠",VLOOKUP(I14,'G-7 WaterC'' Data'!$AK$4:$AM$6,3,FALSE)))</f>
        <v/>
      </c>
      <c r="L14" s="478" t="str">
        <f>IFERROR(INDEX('G-7 WaterC'' Data'!$O$3:$O$7,MATCH(G14,'G-7 WaterC'' Data'!$N$3:$N$7,0)),"")</f>
        <v/>
      </c>
      <c r="M14" s="55"/>
      <c r="N14" s="63"/>
      <c r="O14" s="370" t="str">
        <f t="shared" si="0"/>
        <v/>
      </c>
      <c r="P14" s="383" t="str">
        <f t="shared" si="1"/>
        <v/>
      </c>
      <c r="Q14" s="422" t="str">
        <f>IFERROR(IF(P14="Check Data ⚠","Check Data ⚠",VLOOKUP(P14,'G-4 Temporal multipliers'!$A$4:$C$37,3,FALSE)),"")</f>
        <v/>
      </c>
      <c r="R14" s="362" t="str">
        <f>IF(C14="","",VLOOKUP(C14,'G-7 WaterC'' Data'!$B$4:$G$8,4,FALSE))</f>
        <v/>
      </c>
      <c r="S14" s="370" t="str">
        <f t="shared" si="2"/>
        <v/>
      </c>
      <c r="T14" s="401" t="str">
        <f t="shared" si="3"/>
        <v/>
      </c>
      <c r="U14" s="363" t="str">
        <f>IF(C14="","",VLOOKUP(T14,'G-3 Multipliers'!$P$2:$Q$6,2,FALSE))</f>
        <v/>
      </c>
      <c r="V14" s="115"/>
      <c r="W14" s="363" t="str">
        <f>IF(V14="","",IF(VLOOKUP(V14,'G-7 WaterC'' Data'!$AA$4:$AB$7,2,FALSE)=0,"Spatial Data Missing ⚠",VLOOKUP(V14,'G-7 WaterC'' Data'!$AA$4:$AB$7,2,FALSE)))</f>
        <v/>
      </c>
      <c r="X14" s="60"/>
      <c r="Y14" s="363" t="str">
        <f>IF(X14="","",IF(VLOOKUP(X14,'G-7 WaterC'' Data'!$AD$4:$AE$14,2,FALSE)=0,"Enrcoachment Data Missing ⚠",VLOOKUP(X14,'G-7 WaterC'' Data'!$AD$4:$AE$14,2,FALSE)))</f>
        <v/>
      </c>
      <c r="Z14" s="115"/>
      <c r="AA14" s="363" t="str">
        <f>IF(Z14="","",IF(VLOOKUP(Z14,'G-7 WaterC'' Data'!$AO$4:$BO$7,2,FALSE)=0,"Spatial Data Missing ⚠",VLOOKUP(Z14,'G-7 WaterC'' Data'!$AO$4:$BO$7,2,FALSE)))</f>
        <v/>
      </c>
      <c r="AB14" s="405" t="str">
        <f t="shared" si="4"/>
        <v/>
      </c>
      <c r="AC14" s="405" t="str">
        <f t="shared" si="5"/>
        <v/>
      </c>
      <c r="AD14" s="194"/>
      <c r="AE14" s="691"/>
      <c r="AF14" s="119"/>
      <c r="AG14" s="120"/>
      <c r="AL14" s="30" t="str">
        <f>IFERROR(INDEX('G-7 WaterC'' Data'!$AZ$3:$AZ$7,MATCH(C14,'G-7 WaterC'' Data'!$AY$3:$AY$7,0)),"")</f>
        <v/>
      </c>
    </row>
    <row r="15" spans="2:38" ht="15">
      <c r="B15" s="110">
        <v>4</v>
      </c>
      <c r="C15" s="500"/>
      <c r="D15" s="53"/>
      <c r="E15" s="362" t="str">
        <f>IF(C15="","",VLOOKUP(C15,'G-7 WaterC'' Data'!$B$2:$Z$9,2,FALSE))</f>
        <v/>
      </c>
      <c r="F15" s="363" t="str">
        <f>IFERROR(VLOOKUP(E15,'G-7 WaterC'' Data'!$C$4:$D$8,2,FALSE),"")</f>
        <v/>
      </c>
      <c r="G15" s="54"/>
      <c r="H15" s="363" t="str">
        <f>IFERROR(INDEX('G-7 WaterC'' Data'!$H$4:$L$8,MATCH(C15,'G-7 WaterC'' Data'!$B$4:$B$8,0),MATCH(G15,'G-7 WaterC'' Data'!$H$3:$L$3,0)),"")</f>
        <v/>
      </c>
      <c r="I15" s="54"/>
      <c r="J15" s="401" t="str">
        <f>IF(I15="","",IF(VLOOKUP(I15,'G-7 WaterC'' Data'!$AK$4:$AM$6,2,FALSE)=0,"Spatial Data Missing ⚠",VLOOKUP(I15,'G-7 WaterC'' Data'!$AK$4:$AM$6,2,FALSE)))</f>
        <v/>
      </c>
      <c r="K15" s="363" t="str">
        <f>IF(I15="","",IF(VLOOKUP(I15,'G-7 WaterC'' Data'!$AK$4:$AM$6,3,FALSE)=0,"Spatial Data Missing ⚠",VLOOKUP(I15,'G-7 WaterC'' Data'!$AK$4:$AM$6,3,FALSE)))</f>
        <v/>
      </c>
      <c r="L15" s="478" t="str">
        <f>IFERROR(INDEX('G-7 WaterC'' Data'!$O$3:$O$7,MATCH(G15,'G-7 WaterC'' Data'!$N$3:$N$7,0)),"")</f>
        <v/>
      </c>
      <c r="M15" s="55"/>
      <c r="N15" s="63"/>
      <c r="O15" s="370" t="str">
        <f t="shared" si="0"/>
        <v/>
      </c>
      <c r="P15" s="383" t="str">
        <f t="shared" si="1"/>
        <v/>
      </c>
      <c r="Q15" s="422" t="str">
        <f>IFERROR(IF(P15="Check Data ⚠","Check Data ⚠",VLOOKUP(P15,'G-4 Temporal multipliers'!$A$4:$C$37,3,FALSE)),"")</f>
        <v/>
      </c>
      <c r="R15" s="362" t="str">
        <f>IF(C15="","",VLOOKUP(C15,'G-7 WaterC'' Data'!$B$4:$G$8,4,FALSE))</f>
        <v/>
      </c>
      <c r="S15" s="370" t="str">
        <f t="shared" si="2"/>
        <v/>
      </c>
      <c r="T15" s="401" t="str">
        <f t="shared" si="3"/>
        <v/>
      </c>
      <c r="U15" s="363" t="str">
        <f>IF(C15="","",VLOOKUP(T15,'G-3 Multipliers'!$P$2:$Q$6,2,FALSE))</f>
        <v/>
      </c>
      <c r="V15" s="115"/>
      <c r="W15" s="363" t="str">
        <f>IF(V15="","",IF(VLOOKUP(V15,'G-7 WaterC'' Data'!$AA$4:$AB$7,2,FALSE)=0,"Spatial Data Missing ⚠",VLOOKUP(V15,'G-7 WaterC'' Data'!$AA$4:$AB$7,2,FALSE)))</f>
        <v/>
      </c>
      <c r="X15" s="60"/>
      <c r="Y15" s="363" t="str">
        <f>IF(X15="","",IF(VLOOKUP(X15,'G-7 WaterC'' Data'!$AD$4:$AE$14,2,FALSE)=0,"Enrcoachment Data Missing ⚠",VLOOKUP(X15,'G-7 WaterC'' Data'!$AD$4:$AE$14,2,FALSE)))</f>
        <v/>
      </c>
      <c r="Z15" s="115"/>
      <c r="AA15" s="363" t="str">
        <f>IF(Z15="","",IF(VLOOKUP(Z15,'G-7 WaterC'' Data'!$AO$4:$BO$7,2,FALSE)=0,"Spatial Data Missing ⚠",VLOOKUP(Z15,'G-7 WaterC'' Data'!$AO$4:$BO$7,2,FALSE)))</f>
        <v/>
      </c>
      <c r="AB15" s="405" t="str">
        <f t="shared" si="4"/>
        <v/>
      </c>
      <c r="AC15" s="405" t="str">
        <f t="shared" si="5"/>
        <v/>
      </c>
      <c r="AD15" s="194"/>
      <c r="AE15" s="691"/>
      <c r="AF15" s="119"/>
      <c r="AG15" s="120"/>
      <c r="AL15" s="30" t="str">
        <f>IFERROR(INDEX('G-7 WaterC'' Data'!$AZ$3:$AZ$7,MATCH(C15,'G-7 WaterC'' Data'!$AY$3:$AY$7,0)),"")</f>
        <v/>
      </c>
    </row>
    <row r="16" spans="2:38" ht="15">
      <c r="B16" s="110">
        <v>5</v>
      </c>
      <c r="C16" s="501"/>
      <c r="D16" s="139"/>
      <c r="E16" s="362" t="str">
        <f>IF(C16="","",VLOOKUP(C16,'G-7 WaterC'' Data'!$B$2:$Z$9,2,FALSE))</f>
        <v/>
      </c>
      <c r="F16" s="363" t="str">
        <f>IFERROR(VLOOKUP(E16,'G-7 WaterC'' Data'!$C$4:$D$8,2,FALSE),"")</f>
        <v/>
      </c>
      <c r="G16" s="114"/>
      <c r="H16" s="363" t="str">
        <f>IFERROR(INDEX('G-7 WaterC'' Data'!$H$4:$L$8,MATCH(C16,'G-7 WaterC'' Data'!$B$4:$B$8,0),MATCH(G16,'G-7 WaterC'' Data'!$H$3:$L$3,0)),"")</f>
        <v/>
      </c>
      <c r="I16" s="54"/>
      <c r="J16" s="401" t="str">
        <f>IF(I16="","",IF(VLOOKUP(I16,'G-7 WaterC'' Data'!$AK$4:$AM$6,2,FALSE)=0,"Spatial Data Missing ⚠",VLOOKUP(I16,'G-7 WaterC'' Data'!$AK$4:$AM$6,2,FALSE)))</f>
        <v/>
      </c>
      <c r="K16" s="363" t="str">
        <f>IF(I16="","",IF(VLOOKUP(I16,'G-7 WaterC'' Data'!$AK$4:$AM$6,3,FALSE)=0,"Spatial Data Missing ⚠",VLOOKUP(I16,'G-7 WaterC'' Data'!$AK$4:$AM$6,3,FALSE)))</f>
        <v/>
      </c>
      <c r="L16" s="478" t="str">
        <f>IFERROR(INDEX('G-7 WaterC'' Data'!$O$3:$O$7,MATCH(G16,'G-7 WaterC'' Data'!$N$3:$N$7,0)),"")</f>
        <v/>
      </c>
      <c r="M16" s="55"/>
      <c r="N16" s="159"/>
      <c r="O16" s="370" t="str">
        <f t="shared" si="0"/>
        <v/>
      </c>
      <c r="P16" s="383" t="str">
        <f t="shared" si="1"/>
        <v/>
      </c>
      <c r="Q16" s="422" t="str">
        <f>IFERROR(IF(P16="Check Data ⚠","Check Data ⚠",VLOOKUP(P16,'G-4 Temporal multipliers'!$A$4:$C$37,3,FALSE)),"")</f>
        <v/>
      </c>
      <c r="R16" s="362" t="str">
        <f>IF(C16="","",VLOOKUP(C16,'G-7 WaterC'' Data'!$B$4:$G$8,4,FALSE))</f>
        <v/>
      </c>
      <c r="S16" s="370" t="str">
        <f t="shared" si="2"/>
        <v/>
      </c>
      <c r="T16" s="401" t="str">
        <f t="shared" si="3"/>
        <v/>
      </c>
      <c r="U16" s="363" t="str">
        <f>IF(C16="","",VLOOKUP(T16,'G-3 Multipliers'!$P$2:$Q$6,2,FALSE))</f>
        <v/>
      </c>
      <c r="V16" s="115"/>
      <c r="W16" s="363" t="str">
        <f>IF(V16="","",IF(VLOOKUP(V16,'G-7 WaterC'' Data'!$AA$4:$AB$7,2,FALSE)=0,"Spatial Data Missing ⚠",VLOOKUP(V16,'G-7 WaterC'' Data'!$AA$4:$AB$7,2,FALSE)))</f>
        <v/>
      </c>
      <c r="X16" s="60"/>
      <c r="Y16" s="363" t="str">
        <f>IF(X16="","",IF(VLOOKUP(X16,'G-7 WaterC'' Data'!$AD$4:$AE$14,2,FALSE)=0,"Enrcoachment Data Missing ⚠",VLOOKUP(X16,'G-7 WaterC'' Data'!$AD$4:$AE$14,2,FALSE)))</f>
        <v/>
      </c>
      <c r="Z16" s="115"/>
      <c r="AA16" s="363" t="str">
        <f>IF(Z16="","",IF(VLOOKUP(Z16,'G-7 WaterC'' Data'!$AO$4:$BO$7,2,FALSE)=0,"Spatial Data Missing ⚠",VLOOKUP(Z16,'G-7 WaterC'' Data'!$AO$4:$BO$7,2,FALSE)))</f>
        <v/>
      </c>
      <c r="AB16" s="405" t="str">
        <f t="shared" si="4"/>
        <v/>
      </c>
      <c r="AC16" s="405" t="str">
        <f t="shared" si="5"/>
        <v/>
      </c>
      <c r="AD16" s="117"/>
      <c r="AE16" s="692"/>
      <c r="AF16" s="119"/>
      <c r="AG16" s="120"/>
      <c r="AL16" s="30" t="str">
        <f>IFERROR(INDEX('G-7 WaterC'' Data'!$AZ$3:$AZ$7,MATCH(C16,'G-7 WaterC'' Data'!$AY$3:$AY$7,0)),"")</f>
        <v/>
      </c>
    </row>
    <row r="17" spans="2:38" ht="15">
      <c r="B17" s="110">
        <v>6</v>
      </c>
      <c r="C17" s="501"/>
      <c r="D17" s="139"/>
      <c r="E17" s="362" t="str">
        <f>IF(C17="","",VLOOKUP(C17,'G-7 WaterC'' Data'!$B$2:$Z$9,2,FALSE))</f>
        <v/>
      </c>
      <c r="F17" s="363" t="str">
        <f>IFERROR(VLOOKUP(E17,'G-7 WaterC'' Data'!$C$4:$D$8,2,FALSE),"")</f>
        <v/>
      </c>
      <c r="G17" s="114"/>
      <c r="H17" s="363" t="str">
        <f>IFERROR(INDEX('G-7 WaterC'' Data'!$H$4:$L$8,MATCH(C17,'G-7 WaterC'' Data'!$B$4:$B$8,0),MATCH(G17,'G-7 WaterC'' Data'!$H$3:$L$3,0)),"")</f>
        <v/>
      </c>
      <c r="I17" s="54"/>
      <c r="J17" s="401" t="str">
        <f>IF(I17="","",IF(VLOOKUP(I17,'G-7 WaterC'' Data'!$AK$4:$AM$6,2,FALSE)=0,"Spatial Data Missing ⚠",VLOOKUP(I17,'G-7 WaterC'' Data'!$AK$4:$AM$6,2,FALSE)))</f>
        <v/>
      </c>
      <c r="K17" s="363" t="str">
        <f>IF(I17="","",IF(VLOOKUP(I17,'G-7 WaterC'' Data'!$AK$4:$AM$6,3,FALSE)=0,"Spatial Data Missing ⚠",VLOOKUP(I17,'G-7 WaterC'' Data'!$AK$4:$AM$6,3,FALSE)))</f>
        <v/>
      </c>
      <c r="L17" s="478" t="str">
        <f>IFERROR(INDEX('G-7 WaterC'' Data'!$O$3:$O$7,MATCH(G17,'G-7 WaterC'' Data'!$N$3:$N$7,0)),"")</f>
        <v/>
      </c>
      <c r="M17" s="55"/>
      <c r="N17" s="159"/>
      <c r="O17" s="370" t="str">
        <f t="shared" si="0"/>
        <v/>
      </c>
      <c r="P17" s="383" t="str">
        <f t="shared" si="1"/>
        <v/>
      </c>
      <c r="Q17" s="422" t="str">
        <f>IFERROR(IF(P17="Check Data ⚠","Check Data ⚠",VLOOKUP(P17,'G-4 Temporal multipliers'!$A$4:$C$37,3,FALSE)),"")</f>
        <v/>
      </c>
      <c r="R17" s="362" t="str">
        <f>IF(C17="","",VLOOKUP(C17,'G-7 WaterC'' Data'!$B$4:$G$8,4,FALSE))</f>
        <v/>
      </c>
      <c r="S17" s="370" t="str">
        <f t="shared" si="2"/>
        <v/>
      </c>
      <c r="T17" s="401" t="str">
        <f t="shared" si="3"/>
        <v/>
      </c>
      <c r="U17" s="363" t="str">
        <f>IF(C17="","",VLOOKUP(T17,'G-3 Multipliers'!$P$2:$Q$6,2,FALSE))</f>
        <v/>
      </c>
      <c r="V17" s="115"/>
      <c r="W17" s="363" t="str">
        <f>IF(V17="","",IF(VLOOKUP(V17,'G-7 WaterC'' Data'!$AA$4:$AB$7,2,FALSE)=0,"Spatial Data Missing ⚠",VLOOKUP(V17,'G-7 WaterC'' Data'!$AA$4:$AB$7,2,FALSE)))</f>
        <v/>
      </c>
      <c r="X17" s="60"/>
      <c r="Y17" s="363" t="str">
        <f>IF(X17="","",IF(VLOOKUP(X17,'G-7 WaterC'' Data'!$AD$4:$AE$14,2,FALSE)=0,"Enrcoachment Data Missing ⚠",VLOOKUP(X17,'G-7 WaterC'' Data'!$AD$4:$AE$14,2,FALSE)))</f>
        <v/>
      </c>
      <c r="Z17" s="115"/>
      <c r="AA17" s="363" t="str">
        <f>IF(Z17="","",IF(VLOOKUP(Z17,'G-7 WaterC'' Data'!$AO$4:$BO$7,2,FALSE)=0,"Spatial Data Missing ⚠",VLOOKUP(Z17,'G-7 WaterC'' Data'!$AO$4:$BO$7,2,FALSE)))</f>
        <v/>
      </c>
      <c r="AB17" s="405" t="str">
        <f t="shared" si="4"/>
        <v/>
      </c>
      <c r="AC17" s="405" t="str">
        <f t="shared" si="5"/>
        <v/>
      </c>
      <c r="AD17" s="117"/>
      <c r="AE17" s="692"/>
      <c r="AF17" s="119"/>
      <c r="AG17" s="120"/>
      <c r="AL17" s="30" t="str">
        <f>IFERROR(INDEX('G-7 WaterC'' Data'!$AZ$3:$AZ$7,MATCH(C17,'G-7 WaterC'' Data'!$AY$3:$AY$7,0)),"")</f>
        <v/>
      </c>
    </row>
    <row r="18" spans="2:38" ht="15">
      <c r="B18" s="110">
        <v>7</v>
      </c>
      <c r="C18" s="501"/>
      <c r="D18" s="139"/>
      <c r="E18" s="362" t="str">
        <f>IF(C18="","",VLOOKUP(C18,'G-7 WaterC'' Data'!$B$2:$Z$9,2,FALSE))</f>
        <v/>
      </c>
      <c r="F18" s="363" t="str">
        <f>IFERROR(VLOOKUP(E18,'G-7 WaterC'' Data'!$C$4:$D$8,2,FALSE),"")</f>
        <v/>
      </c>
      <c r="G18" s="114"/>
      <c r="H18" s="363" t="str">
        <f>IFERROR(INDEX('G-7 WaterC'' Data'!$H$4:$L$8,MATCH(C18,'G-7 WaterC'' Data'!$B$4:$B$8,0),MATCH(G18,'G-7 WaterC'' Data'!$H$3:$L$3,0)),"")</f>
        <v/>
      </c>
      <c r="I18" s="54"/>
      <c r="J18" s="401" t="str">
        <f>IF(I18="","",IF(VLOOKUP(I18,'G-7 WaterC'' Data'!$AK$4:$AM$6,2,FALSE)=0,"Spatial Data Missing ⚠",VLOOKUP(I18,'G-7 WaterC'' Data'!$AK$4:$AM$6,2,FALSE)))</f>
        <v/>
      </c>
      <c r="K18" s="363" t="str">
        <f>IF(I18="","",IF(VLOOKUP(I18,'G-7 WaterC'' Data'!$AK$4:$AM$6,3,FALSE)=0,"Spatial Data Missing ⚠",VLOOKUP(I18,'G-7 WaterC'' Data'!$AK$4:$AM$6,3,FALSE)))</f>
        <v/>
      </c>
      <c r="L18" s="478" t="str">
        <f>IFERROR(INDEX('G-7 WaterC'' Data'!$O$3:$O$7,MATCH(G18,'G-7 WaterC'' Data'!$N$3:$N$7,0)),"")</f>
        <v/>
      </c>
      <c r="M18" s="55"/>
      <c r="N18" s="159"/>
      <c r="O18" s="370" t="str">
        <f t="shared" si="0"/>
        <v/>
      </c>
      <c r="P18" s="383" t="str">
        <f t="shared" si="1"/>
        <v/>
      </c>
      <c r="Q18" s="422" t="str">
        <f>IFERROR(IF(P18="Check Data ⚠","Check Data ⚠",VLOOKUP(P18,'G-4 Temporal multipliers'!$A$4:$C$37,3,FALSE)),"")</f>
        <v/>
      </c>
      <c r="R18" s="362" t="str">
        <f>IF(C18="","",VLOOKUP(C18,'G-7 WaterC'' Data'!$B$4:$G$8,4,FALSE))</f>
        <v/>
      </c>
      <c r="S18" s="370" t="str">
        <f t="shared" si="2"/>
        <v/>
      </c>
      <c r="T18" s="401" t="str">
        <f t="shared" si="3"/>
        <v/>
      </c>
      <c r="U18" s="363" t="str">
        <f>IF(C18="","",VLOOKUP(T18,'G-3 Multipliers'!$P$2:$Q$6,2,FALSE))</f>
        <v/>
      </c>
      <c r="V18" s="115"/>
      <c r="W18" s="363" t="str">
        <f>IF(V18="","",IF(VLOOKUP(V18,'G-7 WaterC'' Data'!$AA$4:$AB$7,2,FALSE)=0,"Spatial Data Missing ⚠",VLOOKUP(V18,'G-7 WaterC'' Data'!$AA$4:$AB$7,2,FALSE)))</f>
        <v/>
      </c>
      <c r="X18" s="60"/>
      <c r="Y18" s="363" t="str">
        <f>IF(X18="","",IF(VLOOKUP(X18,'G-7 WaterC'' Data'!$AD$4:$AE$14,2,FALSE)=0,"Enrcoachment Data Missing ⚠",VLOOKUP(X18,'G-7 WaterC'' Data'!$AD$4:$AE$14,2,FALSE)))</f>
        <v/>
      </c>
      <c r="Z18" s="115"/>
      <c r="AA18" s="363" t="str">
        <f>IF(Z18="","",IF(VLOOKUP(Z18,'G-7 WaterC'' Data'!$AO$4:$BO$7,2,FALSE)=0,"Spatial Data Missing ⚠",VLOOKUP(Z18,'G-7 WaterC'' Data'!$AO$4:$BO$7,2,FALSE)))</f>
        <v/>
      </c>
      <c r="AB18" s="405" t="str">
        <f t="shared" si="4"/>
        <v/>
      </c>
      <c r="AC18" s="405" t="str">
        <f t="shared" si="5"/>
        <v/>
      </c>
      <c r="AD18" s="117"/>
      <c r="AE18" s="692"/>
      <c r="AF18" s="119"/>
      <c r="AG18" s="120"/>
      <c r="AL18" s="30" t="str">
        <f>IFERROR(INDEX('G-7 WaterC'' Data'!$AZ$3:$AZ$7,MATCH(C18,'G-7 WaterC'' Data'!$AY$3:$AY$7,0)),"")</f>
        <v/>
      </c>
    </row>
    <row r="19" spans="2:38" ht="15">
      <c r="B19" s="110">
        <v>8</v>
      </c>
      <c r="C19" s="501"/>
      <c r="D19" s="139"/>
      <c r="E19" s="362" t="str">
        <f>IF(C19="","",VLOOKUP(C19,'G-7 WaterC'' Data'!$B$2:$Z$9,2,FALSE))</f>
        <v/>
      </c>
      <c r="F19" s="363" t="str">
        <f>IFERROR(VLOOKUP(E19,'G-7 WaterC'' Data'!$C$4:$D$8,2,FALSE),"")</f>
        <v/>
      </c>
      <c r="G19" s="114"/>
      <c r="H19" s="363" t="str">
        <f>IFERROR(INDEX('G-7 WaterC'' Data'!$H$4:$L$8,MATCH(C19,'G-7 WaterC'' Data'!$B$4:$B$8,0),MATCH(G19,'G-7 WaterC'' Data'!$H$3:$L$3,0)),"")</f>
        <v/>
      </c>
      <c r="I19" s="54"/>
      <c r="J19" s="401" t="str">
        <f>IF(I19="","",IF(VLOOKUP(I19,'G-7 WaterC'' Data'!$AK$4:$AM$6,2,FALSE)=0,"Spatial Data Missing ⚠",VLOOKUP(I19,'G-7 WaterC'' Data'!$AK$4:$AM$6,2,FALSE)))</f>
        <v/>
      </c>
      <c r="K19" s="363" t="str">
        <f>IF(I19="","",IF(VLOOKUP(I19,'G-7 WaterC'' Data'!$AK$4:$AM$6,3,FALSE)=0,"Spatial Data Missing ⚠",VLOOKUP(I19,'G-7 WaterC'' Data'!$AK$4:$AM$6,3,FALSE)))</f>
        <v/>
      </c>
      <c r="L19" s="478" t="str">
        <f>IFERROR(INDEX('G-7 WaterC'' Data'!$O$3:$O$7,MATCH(G19,'G-7 WaterC'' Data'!$N$3:$N$7,0)),"")</f>
        <v/>
      </c>
      <c r="M19" s="55"/>
      <c r="N19" s="159"/>
      <c r="O19" s="370" t="str">
        <f t="shared" si="0"/>
        <v/>
      </c>
      <c r="P19" s="383" t="str">
        <f t="shared" si="1"/>
        <v/>
      </c>
      <c r="Q19" s="422" t="str">
        <f>IFERROR(IF(P19="Check Data ⚠","Check Data ⚠",VLOOKUP(P19,'G-4 Temporal multipliers'!$A$4:$C$37,3,FALSE)),"")</f>
        <v/>
      </c>
      <c r="R19" s="362" t="str">
        <f>IF(C19="","",VLOOKUP(C19,'G-7 WaterC'' Data'!$B$4:$G$8,4,FALSE))</f>
        <v/>
      </c>
      <c r="S19" s="370" t="str">
        <f t="shared" si="2"/>
        <v/>
      </c>
      <c r="T19" s="401" t="str">
        <f t="shared" si="3"/>
        <v/>
      </c>
      <c r="U19" s="363" t="str">
        <f>IF(C19="","",VLOOKUP(T19,'G-3 Multipliers'!$P$2:$Q$6,2,FALSE))</f>
        <v/>
      </c>
      <c r="V19" s="115"/>
      <c r="W19" s="363" t="str">
        <f>IF(V19="","",IF(VLOOKUP(V19,'G-7 WaterC'' Data'!$AA$4:$AB$7,2,FALSE)=0,"Spatial Data Missing ⚠",VLOOKUP(V19,'G-7 WaterC'' Data'!$AA$4:$AB$7,2,FALSE)))</f>
        <v/>
      </c>
      <c r="X19" s="60"/>
      <c r="Y19" s="363" t="str">
        <f>IF(X19="","",IF(VLOOKUP(X19,'G-7 WaterC'' Data'!$AD$4:$AE$14,2,FALSE)=0,"Enrcoachment Data Missing ⚠",VLOOKUP(X19,'G-7 WaterC'' Data'!$AD$4:$AE$14,2,FALSE)))</f>
        <v/>
      </c>
      <c r="Z19" s="115"/>
      <c r="AA19" s="363" t="str">
        <f>IF(Z19="","",IF(VLOOKUP(Z19,'G-7 WaterC'' Data'!$AO$4:$BO$7,2,FALSE)=0,"Spatial Data Missing ⚠",VLOOKUP(Z19,'G-7 WaterC'' Data'!$AO$4:$BO$7,2,FALSE)))</f>
        <v/>
      </c>
      <c r="AB19" s="405" t="str">
        <f t="shared" si="4"/>
        <v/>
      </c>
      <c r="AC19" s="405" t="str">
        <f t="shared" si="5"/>
        <v/>
      </c>
      <c r="AD19" s="117"/>
      <c r="AE19" s="692"/>
      <c r="AF19" s="119"/>
      <c r="AG19" s="120"/>
      <c r="AL19" s="30" t="str">
        <f>IFERROR(INDEX('G-7 WaterC'' Data'!$AZ$3:$AZ$7,MATCH(C19,'G-7 WaterC'' Data'!$AY$3:$AY$7,0)),"")</f>
        <v/>
      </c>
    </row>
    <row r="20" spans="2:38" ht="15">
      <c r="B20" s="110">
        <v>9</v>
      </c>
      <c r="C20" s="501"/>
      <c r="D20" s="139"/>
      <c r="E20" s="362" t="str">
        <f>IF(C20="","",VLOOKUP(C20,'G-7 WaterC'' Data'!$B$2:$Z$9,2,FALSE))</f>
        <v/>
      </c>
      <c r="F20" s="363" t="str">
        <f>IFERROR(VLOOKUP(E20,'G-7 WaterC'' Data'!$C$4:$D$8,2,FALSE),"")</f>
        <v/>
      </c>
      <c r="G20" s="114"/>
      <c r="H20" s="363" t="str">
        <f>IFERROR(INDEX('G-7 WaterC'' Data'!$H$4:$L$8,MATCH(C20,'G-7 WaterC'' Data'!$B$4:$B$8,0),MATCH(G20,'G-7 WaterC'' Data'!$H$3:$L$3,0)),"")</f>
        <v/>
      </c>
      <c r="I20" s="54"/>
      <c r="J20" s="401" t="str">
        <f>IF(I20="","",IF(VLOOKUP(I20,'G-7 WaterC'' Data'!$AK$4:$AM$6,2,FALSE)=0,"Spatial Data Missing ⚠",VLOOKUP(I20,'G-7 WaterC'' Data'!$AK$4:$AM$6,2,FALSE)))</f>
        <v/>
      </c>
      <c r="K20" s="363" t="str">
        <f>IF(I20="","",IF(VLOOKUP(I20,'G-7 WaterC'' Data'!$AK$4:$AM$6,3,FALSE)=0,"Spatial Data Missing ⚠",VLOOKUP(I20,'G-7 WaterC'' Data'!$AK$4:$AM$6,3,FALSE)))</f>
        <v/>
      </c>
      <c r="L20" s="478" t="str">
        <f>IFERROR(INDEX('G-7 WaterC'' Data'!$O$3:$O$7,MATCH(G20,'G-7 WaterC'' Data'!$N$3:$N$7,0)),"")</f>
        <v/>
      </c>
      <c r="M20" s="55"/>
      <c r="N20" s="159"/>
      <c r="O20" s="370" t="str">
        <f t="shared" si="0"/>
        <v/>
      </c>
      <c r="P20" s="383" t="str">
        <f t="shared" si="1"/>
        <v/>
      </c>
      <c r="Q20" s="422" t="str">
        <f>IFERROR(IF(P20="Check Data ⚠","Check Data ⚠",VLOOKUP(P20,'G-4 Temporal multipliers'!$A$4:$C$37,3,FALSE)),"")</f>
        <v/>
      </c>
      <c r="R20" s="362" t="str">
        <f>IF(C20="","",VLOOKUP(C20,'G-7 WaterC'' Data'!$B$4:$G$8,4,FALSE))</f>
        <v/>
      </c>
      <c r="S20" s="370" t="str">
        <f t="shared" si="2"/>
        <v/>
      </c>
      <c r="T20" s="401" t="str">
        <f t="shared" si="3"/>
        <v/>
      </c>
      <c r="U20" s="363" t="str">
        <f>IF(C20="","",VLOOKUP(T20,'G-3 Multipliers'!$P$2:$Q$6,2,FALSE))</f>
        <v/>
      </c>
      <c r="V20" s="115"/>
      <c r="W20" s="363" t="str">
        <f>IF(V20="","",IF(VLOOKUP(V20,'G-7 WaterC'' Data'!$AA$4:$AB$7,2,FALSE)=0,"Spatial Data Missing ⚠",VLOOKUP(V20,'G-7 WaterC'' Data'!$AA$4:$AB$7,2,FALSE)))</f>
        <v/>
      </c>
      <c r="X20" s="60"/>
      <c r="Y20" s="363" t="str">
        <f>IF(X20="","",IF(VLOOKUP(X20,'G-7 WaterC'' Data'!$AD$4:$AE$14,2,FALSE)=0,"Enrcoachment Data Missing ⚠",VLOOKUP(X20,'G-7 WaterC'' Data'!$AD$4:$AE$14,2,FALSE)))</f>
        <v/>
      </c>
      <c r="Z20" s="115"/>
      <c r="AA20" s="363" t="str">
        <f>IF(Z20="","",IF(VLOOKUP(Z20,'G-7 WaterC'' Data'!$AO$4:$BO$7,2,FALSE)=0,"Spatial Data Missing ⚠",VLOOKUP(Z20,'G-7 WaterC'' Data'!$AO$4:$BO$7,2,FALSE)))</f>
        <v/>
      </c>
      <c r="AB20" s="405" t="str">
        <f t="shared" si="4"/>
        <v/>
      </c>
      <c r="AC20" s="405" t="str">
        <f t="shared" si="5"/>
        <v/>
      </c>
      <c r="AD20" s="117"/>
      <c r="AE20" s="692"/>
      <c r="AF20" s="119"/>
      <c r="AG20" s="120"/>
      <c r="AL20" s="30" t="str">
        <f>IFERROR(INDEX('G-7 WaterC'' Data'!$AZ$3:$AZ$7,MATCH(C20,'G-7 WaterC'' Data'!$AY$3:$AY$7,0)),"")</f>
        <v/>
      </c>
    </row>
    <row r="21" spans="2:38" ht="15">
      <c r="B21" s="110">
        <v>10</v>
      </c>
      <c r="C21" s="501"/>
      <c r="D21" s="139"/>
      <c r="E21" s="362" t="str">
        <f>IF(C21="","",VLOOKUP(C21,'G-7 WaterC'' Data'!$B$2:$Z$9,2,FALSE))</f>
        <v/>
      </c>
      <c r="F21" s="363" t="str">
        <f>IFERROR(VLOOKUP(E21,'G-7 WaterC'' Data'!$C$4:$D$8,2,FALSE),"")</f>
        <v/>
      </c>
      <c r="G21" s="114"/>
      <c r="H21" s="363" t="str">
        <f>IFERROR(INDEX('G-7 WaterC'' Data'!$H$4:$L$8,MATCH(C21,'G-7 WaterC'' Data'!$B$4:$B$8,0),MATCH(G21,'G-7 WaterC'' Data'!$H$3:$L$3,0)),"")</f>
        <v/>
      </c>
      <c r="I21" s="54"/>
      <c r="J21" s="401" t="str">
        <f>IF(I21="","",IF(VLOOKUP(I21,'G-7 WaterC'' Data'!$AK$4:$AM$6,2,FALSE)=0,"Spatial Data Missing ⚠",VLOOKUP(I21,'G-7 WaterC'' Data'!$AK$4:$AM$6,2,FALSE)))</f>
        <v/>
      </c>
      <c r="K21" s="363" t="str">
        <f>IF(I21="","",IF(VLOOKUP(I21,'G-7 WaterC'' Data'!$AK$4:$AM$6,3,FALSE)=0,"Spatial Data Missing ⚠",VLOOKUP(I21,'G-7 WaterC'' Data'!$AK$4:$AM$6,3,FALSE)))</f>
        <v/>
      </c>
      <c r="L21" s="478" t="str">
        <f>IFERROR(INDEX('G-7 WaterC'' Data'!$O$3:$O$7,MATCH(G21,'G-7 WaterC'' Data'!$N$3:$N$7,0)),"")</f>
        <v/>
      </c>
      <c r="M21" s="55"/>
      <c r="N21" s="159"/>
      <c r="O21" s="370" t="str">
        <f t="shared" si="0"/>
        <v/>
      </c>
      <c r="P21" s="383" t="str">
        <f t="shared" si="1"/>
        <v/>
      </c>
      <c r="Q21" s="422" t="str">
        <f>IFERROR(IF(P21="Check Data ⚠","Check Data ⚠",VLOOKUP(P21,'G-4 Temporal multipliers'!$A$4:$C$37,3,FALSE)),"")</f>
        <v/>
      </c>
      <c r="R21" s="362" t="str">
        <f>IF(C21="","",VLOOKUP(C21,'G-7 WaterC'' Data'!$B$4:$G$8,4,FALSE))</f>
        <v/>
      </c>
      <c r="S21" s="370" t="str">
        <f t="shared" si="2"/>
        <v/>
      </c>
      <c r="T21" s="401" t="str">
        <f t="shared" si="3"/>
        <v/>
      </c>
      <c r="U21" s="363" t="str">
        <f>IF(C21="","",VLOOKUP(T21,'G-3 Multipliers'!$P$2:$Q$6,2,FALSE))</f>
        <v/>
      </c>
      <c r="V21" s="115"/>
      <c r="W21" s="363" t="str">
        <f>IF(V21="","",IF(VLOOKUP(V21,'G-7 WaterC'' Data'!$AA$4:$AB$7,2,FALSE)=0,"Spatial Data Missing ⚠",VLOOKUP(V21,'G-7 WaterC'' Data'!$AA$4:$AB$7,2,FALSE)))</f>
        <v/>
      </c>
      <c r="X21" s="60"/>
      <c r="Y21" s="363" t="str">
        <f>IF(X21="","",IF(VLOOKUP(X21,'G-7 WaterC'' Data'!$AD$4:$AE$14,2,FALSE)=0,"Enrcoachment Data Missing ⚠",VLOOKUP(X21,'G-7 WaterC'' Data'!$AD$4:$AE$14,2,FALSE)))</f>
        <v/>
      </c>
      <c r="Z21" s="115"/>
      <c r="AA21" s="363" t="str">
        <f>IF(Z21="","",IF(VLOOKUP(Z21,'G-7 WaterC'' Data'!$AO$4:$BO$7,2,FALSE)=0,"Spatial Data Missing ⚠",VLOOKUP(Z21,'G-7 WaterC'' Data'!$AO$4:$BO$7,2,FALSE)))</f>
        <v/>
      </c>
      <c r="AB21" s="405" t="str">
        <f t="shared" si="4"/>
        <v/>
      </c>
      <c r="AC21" s="405" t="str">
        <f t="shared" si="5"/>
        <v/>
      </c>
      <c r="AD21" s="117"/>
      <c r="AE21" s="692"/>
      <c r="AF21" s="119"/>
      <c r="AG21" s="120"/>
      <c r="AL21" s="30" t="str">
        <f>IFERROR(INDEX('G-7 WaterC'' Data'!$AZ$3:$AZ$7,MATCH(C21,'G-7 WaterC'' Data'!$AY$3:$AY$7,0)),"")</f>
        <v/>
      </c>
    </row>
    <row r="22" spans="2:38" ht="15">
      <c r="B22" s="110">
        <v>11</v>
      </c>
      <c r="C22" s="501"/>
      <c r="D22" s="139"/>
      <c r="E22" s="362" t="str">
        <f>IF(C22="","",VLOOKUP(C22,'G-7 WaterC'' Data'!$B$2:$Z$9,2,FALSE))</f>
        <v/>
      </c>
      <c r="F22" s="363" t="str">
        <f>IFERROR(VLOOKUP(E22,'G-7 WaterC'' Data'!$C$4:$D$8,2,FALSE),"")</f>
        <v/>
      </c>
      <c r="G22" s="114"/>
      <c r="H22" s="363" t="str">
        <f>IFERROR(INDEX('G-7 WaterC'' Data'!$H$4:$L$8,MATCH(C22,'G-7 WaterC'' Data'!$B$4:$B$8,0),MATCH(G22,'G-7 WaterC'' Data'!$H$3:$L$3,0)),"")</f>
        <v/>
      </c>
      <c r="I22" s="54"/>
      <c r="J22" s="401" t="str">
        <f>IF(I22="","",IF(VLOOKUP(I22,'G-7 WaterC'' Data'!$AK$4:$AM$6,2,FALSE)=0,"Spatial Data Missing ⚠",VLOOKUP(I22,'G-7 WaterC'' Data'!$AK$4:$AM$6,2,FALSE)))</f>
        <v/>
      </c>
      <c r="K22" s="363" t="str">
        <f>IF(I22="","",IF(VLOOKUP(I22,'G-7 WaterC'' Data'!$AK$4:$AM$6,3,FALSE)=0,"Spatial Data Missing ⚠",VLOOKUP(I22,'G-7 WaterC'' Data'!$AK$4:$AM$6,3,FALSE)))</f>
        <v/>
      </c>
      <c r="L22" s="478" t="str">
        <f>IFERROR(INDEX('G-7 WaterC'' Data'!$O$3:$O$7,MATCH(G22,'G-7 WaterC'' Data'!$N$3:$N$7,0)),"")</f>
        <v/>
      </c>
      <c r="M22" s="55"/>
      <c r="N22" s="159"/>
      <c r="O22" s="370" t="str">
        <f t="shared" si="0"/>
        <v/>
      </c>
      <c r="P22" s="383" t="str">
        <f t="shared" si="1"/>
        <v/>
      </c>
      <c r="Q22" s="422" t="str">
        <f>IFERROR(IF(P22="Check Data ⚠","Check Data ⚠",VLOOKUP(P22,'G-4 Temporal multipliers'!$A$4:$C$37,3,FALSE)),"")</f>
        <v/>
      </c>
      <c r="R22" s="362" t="str">
        <f>IF(C22="","",VLOOKUP(C22,'G-7 WaterC'' Data'!$B$4:$G$8,4,FALSE))</f>
        <v/>
      </c>
      <c r="S22" s="370" t="str">
        <f t="shared" si="2"/>
        <v/>
      </c>
      <c r="T22" s="401" t="str">
        <f t="shared" si="3"/>
        <v/>
      </c>
      <c r="U22" s="363" t="str">
        <f>IF(C22="","",VLOOKUP(T22,'G-3 Multipliers'!$P$2:$Q$6,2,FALSE))</f>
        <v/>
      </c>
      <c r="V22" s="115"/>
      <c r="W22" s="363" t="str">
        <f>IF(V22="","",IF(VLOOKUP(V22,'G-7 WaterC'' Data'!$AA$4:$AB$7,2,FALSE)=0,"Spatial Data Missing ⚠",VLOOKUP(V22,'G-7 WaterC'' Data'!$AA$4:$AB$7,2,FALSE)))</f>
        <v/>
      </c>
      <c r="X22" s="60"/>
      <c r="Y22" s="363" t="str">
        <f>IF(X22="","",IF(VLOOKUP(X22,'G-7 WaterC'' Data'!$AD$4:$AE$14,2,FALSE)=0,"Enrcoachment Data Missing ⚠",VLOOKUP(X22,'G-7 WaterC'' Data'!$AD$4:$AE$14,2,FALSE)))</f>
        <v/>
      </c>
      <c r="Z22" s="115"/>
      <c r="AA22" s="363" t="str">
        <f>IF(Z22="","",IF(VLOOKUP(Z22,'G-7 WaterC'' Data'!$AO$4:$BO$7,2,FALSE)=0,"Spatial Data Missing ⚠",VLOOKUP(Z22,'G-7 WaterC'' Data'!$AO$4:$BO$7,2,FALSE)))</f>
        <v/>
      </c>
      <c r="AB22" s="405" t="str">
        <f t="shared" si="4"/>
        <v/>
      </c>
      <c r="AC22" s="405" t="str">
        <f t="shared" si="5"/>
        <v/>
      </c>
      <c r="AD22" s="117"/>
      <c r="AE22" s="692"/>
      <c r="AF22" s="119"/>
      <c r="AG22" s="120"/>
      <c r="AL22" s="30" t="str">
        <f>IFERROR(INDEX('G-7 WaterC'' Data'!$AZ$3:$AZ$7,MATCH(C22,'G-7 WaterC'' Data'!$AY$3:$AY$7,0)),"")</f>
        <v/>
      </c>
    </row>
    <row r="23" spans="2:38" ht="15">
      <c r="B23" s="110">
        <v>12</v>
      </c>
      <c r="C23" s="501"/>
      <c r="D23" s="139"/>
      <c r="E23" s="362" t="str">
        <f>IF(C23="","",VLOOKUP(C23,'G-7 WaterC'' Data'!$B$2:$Z$9,2,FALSE))</f>
        <v/>
      </c>
      <c r="F23" s="363" t="str">
        <f>IFERROR(VLOOKUP(E23,'G-7 WaterC'' Data'!$C$4:$D$8,2,FALSE),"")</f>
        <v/>
      </c>
      <c r="G23" s="114"/>
      <c r="H23" s="363" t="str">
        <f>IFERROR(INDEX('G-7 WaterC'' Data'!$H$4:$L$8,MATCH(C23,'G-7 WaterC'' Data'!$B$4:$B$8,0),MATCH(G23,'G-7 WaterC'' Data'!$H$3:$L$3,0)),"")</f>
        <v/>
      </c>
      <c r="I23" s="54"/>
      <c r="J23" s="401" t="str">
        <f>IF(I23="","",IF(VLOOKUP(I23,'G-7 WaterC'' Data'!$AK$4:$AM$6,2,FALSE)=0,"Spatial Data Missing ⚠",VLOOKUP(I23,'G-7 WaterC'' Data'!$AK$4:$AM$6,2,FALSE)))</f>
        <v/>
      </c>
      <c r="K23" s="363" t="str">
        <f>IF(I23="","",IF(VLOOKUP(I23,'G-7 WaterC'' Data'!$AK$4:$AM$6,3,FALSE)=0,"Spatial Data Missing ⚠",VLOOKUP(I23,'G-7 WaterC'' Data'!$AK$4:$AM$6,3,FALSE)))</f>
        <v/>
      </c>
      <c r="L23" s="478" t="str">
        <f>IFERROR(INDEX('G-7 WaterC'' Data'!$O$3:$O$7,MATCH(G23,'G-7 WaterC'' Data'!$N$3:$N$7,0)),"")</f>
        <v/>
      </c>
      <c r="M23" s="55"/>
      <c r="N23" s="159"/>
      <c r="O23" s="370" t="str">
        <f t="shared" si="0"/>
        <v/>
      </c>
      <c r="P23" s="383" t="str">
        <f t="shared" si="1"/>
        <v/>
      </c>
      <c r="Q23" s="422" t="str">
        <f>IFERROR(IF(P23="Check Data ⚠","Check Data ⚠",VLOOKUP(P23,'G-4 Temporal multipliers'!$A$4:$C$37,3,FALSE)),"")</f>
        <v/>
      </c>
      <c r="R23" s="362" t="str">
        <f>IF(C23="","",VLOOKUP(C23,'G-7 WaterC'' Data'!$B$4:$G$8,4,FALSE))</f>
        <v/>
      </c>
      <c r="S23" s="370" t="str">
        <f t="shared" si="2"/>
        <v/>
      </c>
      <c r="T23" s="401" t="str">
        <f t="shared" si="3"/>
        <v/>
      </c>
      <c r="U23" s="363" t="str">
        <f>IF(C23="","",VLOOKUP(T23,'G-3 Multipliers'!$P$2:$Q$6,2,FALSE))</f>
        <v/>
      </c>
      <c r="V23" s="115"/>
      <c r="W23" s="363" t="str">
        <f>IF(V23="","",IF(VLOOKUP(V23,'G-7 WaterC'' Data'!$AA$4:$AB$7,2,FALSE)=0,"Spatial Data Missing ⚠",VLOOKUP(V23,'G-7 WaterC'' Data'!$AA$4:$AB$7,2,FALSE)))</f>
        <v/>
      </c>
      <c r="X23" s="60"/>
      <c r="Y23" s="363" t="str">
        <f>IF(X23="","",IF(VLOOKUP(X23,'G-7 WaterC'' Data'!$AD$4:$AE$14,2,FALSE)=0,"Enrcoachment Data Missing ⚠",VLOOKUP(X23,'G-7 WaterC'' Data'!$AD$4:$AE$14,2,FALSE)))</f>
        <v/>
      </c>
      <c r="Z23" s="115"/>
      <c r="AA23" s="363" t="str">
        <f>IF(Z23="","",IF(VLOOKUP(Z23,'G-7 WaterC'' Data'!$AO$4:$BO$7,2,FALSE)=0,"Spatial Data Missing ⚠",VLOOKUP(Z23,'G-7 WaterC'' Data'!$AO$4:$BO$7,2,FALSE)))</f>
        <v/>
      </c>
      <c r="AB23" s="405" t="str">
        <f t="shared" si="4"/>
        <v/>
      </c>
      <c r="AC23" s="405" t="str">
        <f t="shared" si="5"/>
        <v/>
      </c>
      <c r="AD23" s="117"/>
      <c r="AE23" s="692"/>
      <c r="AF23" s="119"/>
      <c r="AG23" s="120"/>
      <c r="AL23" s="30" t="str">
        <f>IFERROR(INDEX('G-7 WaterC'' Data'!$AZ$3:$AZ$7,MATCH(C23,'G-7 WaterC'' Data'!$AY$3:$AY$7,0)),"")</f>
        <v/>
      </c>
    </row>
    <row r="24" spans="2:38" ht="15">
      <c r="B24" s="110">
        <v>13</v>
      </c>
      <c r="C24" s="501"/>
      <c r="D24" s="139"/>
      <c r="E24" s="362" t="str">
        <f>IF(C24="","",VLOOKUP(C24,'G-7 WaterC'' Data'!$B$2:$Z$9,2,FALSE))</f>
        <v/>
      </c>
      <c r="F24" s="363" t="str">
        <f>IFERROR(VLOOKUP(E24,'G-7 WaterC'' Data'!$C$4:$D$8,2,FALSE),"")</f>
        <v/>
      </c>
      <c r="G24" s="114"/>
      <c r="H24" s="363" t="str">
        <f>IFERROR(INDEX('G-7 WaterC'' Data'!$H$4:$L$8,MATCH(C24,'G-7 WaterC'' Data'!$B$4:$B$8,0),MATCH(G24,'G-7 WaterC'' Data'!$H$3:$L$3,0)),"")</f>
        <v/>
      </c>
      <c r="I24" s="54"/>
      <c r="J24" s="401" t="str">
        <f>IF(I24="","",IF(VLOOKUP(I24,'G-7 WaterC'' Data'!$AK$4:$AM$6,2,FALSE)=0,"Spatial Data Missing ⚠",VLOOKUP(I24,'G-7 WaterC'' Data'!$AK$4:$AM$6,2,FALSE)))</f>
        <v/>
      </c>
      <c r="K24" s="363" t="str">
        <f>IF(I24="","",IF(VLOOKUP(I24,'G-7 WaterC'' Data'!$AK$4:$AM$6,3,FALSE)=0,"Spatial Data Missing ⚠",VLOOKUP(I24,'G-7 WaterC'' Data'!$AK$4:$AM$6,3,FALSE)))</f>
        <v/>
      </c>
      <c r="L24" s="478" t="str">
        <f>IFERROR(INDEX('G-7 WaterC'' Data'!$O$3:$O$7,MATCH(G24,'G-7 WaterC'' Data'!$N$3:$N$7,0)),"")</f>
        <v/>
      </c>
      <c r="M24" s="55"/>
      <c r="N24" s="159"/>
      <c r="O24" s="370" t="str">
        <f t="shared" si="0"/>
        <v/>
      </c>
      <c r="P24" s="383" t="str">
        <f t="shared" si="1"/>
        <v/>
      </c>
      <c r="Q24" s="422" t="str">
        <f>IFERROR(IF(P24="Check Data ⚠","Check Data ⚠",VLOOKUP(P24,'G-4 Temporal multipliers'!$A$4:$C$37,3,FALSE)),"")</f>
        <v/>
      </c>
      <c r="R24" s="362" t="str">
        <f>IF(C24="","",VLOOKUP(C24,'G-7 WaterC'' Data'!$B$4:$G$8,4,FALSE))</f>
        <v/>
      </c>
      <c r="S24" s="370" t="str">
        <f t="shared" si="2"/>
        <v/>
      </c>
      <c r="T24" s="401" t="str">
        <f t="shared" si="3"/>
        <v/>
      </c>
      <c r="U24" s="363" t="str">
        <f>IF(C24="","",VLOOKUP(T24,'G-3 Multipliers'!$P$2:$Q$6,2,FALSE))</f>
        <v/>
      </c>
      <c r="V24" s="115"/>
      <c r="W24" s="363" t="str">
        <f>IF(V24="","",IF(VLOOKUP(V24,'G-7 WaterC'' Data'!$AA$4:$AB$7,2,FALSE)=0,"Spatial Data Missing ⚠",VLOOKUP(V24,'G-7 WaterC'' Data'!$AA$4:$AB$7,2,FALSE)))</f>
        <v/>
      </c>
      <c r="X24" s="60"/>
      <c r="Y24" s="363" t="str">
        <f>IF(X24="","",IF(VLOOKUP(X24,'G-7 WaterC'' Data'!$AD$4:$AE$14,2,FALSE)=0,"Enrcoachment Data Missing ⚠",VLOOKUP(X24,'G-7 WaterC'' Data'!$AD$4:$AE$14,2,FALSE)))</f>
        <v/>
      </c>
      <c r="Z24" s="115"/>
      <c r="AA24" s="363" t="str">
        <f>IF(Z24="","",IF(VLOOKUP(Z24,'G-7 WaterC'' Data'!$AO$4:$BO$7,2,FALSE)=0,"Spatial Data Missing ⚠",VLOOKUP(Z24,'G-7 WaterC'' Data'!$AO$4:$BO$7,2,FALSE)))</f>
        <v/>
      </c>
      <c r="AB24" s="405" t="str">
        <f t="shared" si="4"/>
        <v/>
      </c>
      <c r="AC24" s="405" t="str">
        <f t="shared" si="5"/>
        <v/>
      </c>
      <c r="AD24" s="117"/>
      <c r="AE24" s="692"/>
      <c r="AF24" s="119"/>
      <c r="AG24" s="120"/>
      <c r="AL24" s="30" t="str">
        <f>IFERROR(INDEX('G-7 WaterC'' Data'!$AZ$3:$AZ$7,MATCH(C24,'G-7 WaterC'' Data'!$AY$3:$AY$7,0)),"")</f>
        <v/>
      </c>
    </row>
    <row r="25" spans="2:38" ht="15">
      <c r="B25" s="110">
        <v>14</v>
      </c>
      <c r="C25" s="501"/>
      <c r="D25" s="139"/>
      <c r="E25" s="362" t="str">
        <f>IF(C25="","",VLOOKUP(C25,'G-7 WaterC'' Data'!$B$2:$Z$9,2,FALSE))</f>
        <v/>
      </c>
      <c r="F25" s="363" t="str">
        <f>IFERROR(VLOOKUP(E25,'G-7 WaterC'' Data'!$C$4:$D$8,2,FALSE),"")</f>
        <v/>
      </c>
      <c r="G25" s="114"/>
      <c r="H25" s="363" t="str">
        <f>IFERROR(INDEX('G-7 WaterC'' Data'!$H$4:$L$8,MATCH(C25,'G-7 WaterC'' Data'!$B$4:$B$8,0),MATCH(G25,'G-7 WaterC'' Data'!$H$3:$L$3,0)),"")</f>
        <v/>
      </c>
      <c r="I25" s="54"/>
      <c r="J25" s="401" t="str">
        <f>IF(I25="","",IF(VLOOKUP(I25,'G-7 WaterC'' Data'!$AK$4:$AM$6,2,FALSE)=0,"Spatial Data Missing ⚠",VLOOKUP(I25,'G-7 WaterC'' Data'!$AK$4:$AM$6,2,FALSE)))</f>
        <v/>
      </c>
      <c r="K25" s="363" t="str">
        <f>IF(I25="","",IF(VLOOKUP(I25,'G-7 WaterC'' Data'!$AK$4:$AM$6,3,FALSE)=0,"Spatial Data Missing ⚠",VLOOKUP(I25,'G-7 WaterC'' Data'!$AK$4:$AM$6,3,FALSE)))</f>
        <v/>
      </c>
      <c r="L25" s="478" t="str">
        <f>IFERROR(INDEX('G-7 WaterC'' Data'!$O$3:$O$7,MATCH(G25,'G-7 WaterC'' Data'!$N$3:$N$7,0)),"")</f>
        <v/>
      </c>
      <c r="M25" s="55"/>
      <c r="N25" s="159"/>
      <c r="O25" s="370" t="str">
        <f t="shared" si="0"/>
        <v/>
      </c>
      <c r="P25" s="383" t="str">
        <f t="shared" si="1"/>
        <v/>
      </c>
      <c r="Q25" s="422" t="str">
        <f>IFERROR(IF(P25="Check Data ⚠","Check Data ⚠",VLOOKUP(P25,'G-4 Temporal multipliers'!$A$4:$C$37,3,FALSE)),"")</f>
        <v/>
      </c>
      <c r="R25" s="362" t="str">
        <f>IF(C25="","",VLOOKUP(C25,'G-7 WaterC'' Data'!$B$4:$G$8,4,FALSE))</f>
        <v/>
      </c>
      <c r="S25" s="370" t="str">
        <f t="shared" si="2"/>
        <v/>
      </c>
      <c r="T25" s="401" t="str">
        <f t="shared" si="3"/>
        <v/>
      </c>
      <c r="U25" s="363" t="str">
        <f>IF(C25="","",VLOOKUP(T25,'G-3 Multipliers'!$P$2:$Q$6,2,FALSE))</f>
        <v/>
      </c>
      <c r="V25" s="115"/>
      <c r="W25" s="363" t="str">
        <f>IF(V25="","",IF(VLOOKUP(V25,'G-7 WaterC'' Data'!$AA$4:$AB$7,2,FALSE)=0,"Spatial Data Missing ⚠",VLOOKUP(V25,'G-7 WaterC'' Data'!$AA$4:$AB$7,2,FALSE)))</f>
        <v/>
      </c>
      <c r="X25" s="60"/>
      <c r="Y25" s="363" t="str">
        <f>IF(X25="","",IF(VLOOKUP(X25,'G-7 WaterC'' Data'!$AD$4:$AE$14,2,FALSE)=0,"Enrcoachment Data Missing ⚠",VLOOKUP(X25,'G-7 WaterC'' Data'!$AD$4:$AE$14,2,FALSE)))</f>
        <v/>
      </c>
      <c r="Z25" s="115"/>
      <c r="AA25" s="363" t="str">
        <f>IF(Z25="","",IF(VLOOKUP(Z25,'G-7 WaterC'' Data'!$AO$4:$BO$7,2,FALSE)=0,"Spatial Data Missing ⚠",VLOOKUP(Z25,'G-7 WaterC'' Data'!$AO$4:$BO$7,2,FALSE)))</f>
        <v/>
      </c>
      <c r="AB25" s="405" t="str">
        <f t="shared" si="4"/>
        <v/>
      </c>
      <c r="AC25" s="405" t="str">
        <f t="shared" si="5"/>
        <v/>
      </c>
      <c r="AD25" s="117"/>
      <c r="AE25" s="692"/>
      <c r="AF25" s="119"/>
      <c r="AG25" s="120"/>
      <c r="AL25" s="30" t="str">
        <f>IFERROR(INDEX('G-7 WaterC'' Data'!$AZ$3:$AZ$7,MATCH(C25,'G-7 WaterC'' Data'!$AY$3:$AY$7,0)),"")</f>
        <v/>
      </c>
    </row>
    <row r="26" spans="2:38" ht="15">
      <c r="B26" s="110">
        <v>15</v>
      </c>
      <c r="C26" s="501"/>
      <c r="D26" s="139"/>
      <c r="E26" s="362" t="str">
        <f>IF(C26="","",VLOOKUP(C26,'G-7 WaterC'' Data'!$B$2:$Z$9,2,FALSE))</f>
        <v/>
      </c>
      <c r="F26" s="363" t="str">
        <f>IFERROR(VLOOKUP(E26,'G-7 WaterC'' Data'!$C$4:$D$8,2,FALSE),"")</f>
        <v/>
      </c>
      <c r="G26" s="114"/>
      <c r="H26" s="363" t="str">
        <f>IFERROR(INDEX('G-7 WaterC'' Data'!$H$4:$L$8,MATCH(C26,'G-7 WaterC'' Data'!$B$4:$B$8,0),MATCH(G26,'G-7 WaterC'' Data'!$H$3:$L$3,0)),"")</f>
        <v/>
      </c>
      <c r="I26" s="54"/>
      <c r="J26" s="401" t="str">
        <f>IF(I26="","",IF(VLOOKUP(I26,'G-7 WaterC'' Data'!$AK$4:$AM$6,2,FALSE)=0,"Spatial Data Missing ⚠",VLOOKUP(I26,'G-7 WaterC'' Data'!$AK$4:$AM$6,2,FALSE)))</f>
        <v/>
      </c>
      <c r="K26" s="363" t="str">
        <f>IF(I26="","",IF(VLOOKUP(I26,'G-7 WaterC'' Data'!$AK$4:$AM$6,3,FALSE)=0,"Spatial Data Missing ⚠",VLOOKUP(I26,'G-7 WaterC'' Data'!$AK$4:$AM$6,3,FALSE)))</f>
        <v/>
      </c>
      <c r="L26" s="478" t="str">
        <f>IFERROR(INDEX('G-7 WaterC'' Data'!$O$3:$O$7,MATCH(G26,'G-7 WaterC'' Data'!$N$3:$N$7,0)),"")</f>
        <v/>
      </c>
      <c r="M26" s="55"/>
      <c r="N26" s="159"/>
      <c r="O26" s="370" t="str">
        <f t="shared" si="0"/>
        <v/>
      </c>
      <c r="P26" s="383" t="str">
        <f t="shared" si="1"/>
        <v/>
      </c>
      <c r="Q26" s="422" t="str">
        <f>IFERROR(IF(P26="Check Data ⚠","Check Data ⚠",VLOOKUP(P26,'G-4 Temporal multipliers'!$A$4:$C$37,3,FALSE)),"")</f>
        <v/>
      </c>
      <c r="R26" s="362" t="str">
        <f>IF(C26="","",VLOOKUP(C26,'G-7 WaterC'' Data'!$B$4:$G$8,4,FALSE))</f>
        <v/>
      </c>
      <c r="S26" s="370" t="str">
        <f t="shared" si="2"/>
        <v/>
      </c>
      <c r="T26" s="401" t="str">
        <f t="shared" si="3"/>
        <v/>
      </c>
      <c r="U26" s="363" t="str">
        <f>IF(C26="","",VLOOKUP(T26,'G-3 Multipliers'!$P$2:$Q$6,2,FALSE))</f>
        <v/>
      </c>
      <c r="V26" s="115"/>
      <c r="W26" s="363" t="str">
        <f>IF(V26="","",IF(VLOOKUP(V26,'G-7 WaterC'' Data'!$AA$4:$AB$7,2,FALSE)=0,"Spatial Data Missing ⚠",VLOOKUP(V26,'G-7 WaterC'' Data'!$AA$4:$AB$7,2,FALSE)))</f>
        <v/>
      </c>
      <c r="X26" s="60"/>
      <c r="Y26" s="363" t="str">
        <f>IF(X26="","",IF(VLOOKUP(X26,'G-7 WaterC'' Data'!$AD$4:$AE$14,2,FALSE)=0,"Enrcoachment Data Missing ⚠",VLOOKUP(X26,'G-7 WaterC'' Data'!$AD$4:$AE$14,2,FALSE)))</f>
        <v/>
      </c>
      <c r="Z26" s="115"/>
      <c r="AA26" s="363" t="str">
        <f>IF(Z26="","",IF(VLOOKUP(Z26,'G-7 WaterC'' Data'!$AO$4:$BO$7,2,FALSE)=0,"Spatial Data Missing ⚠",VLOOKUP(Z26,'G-7 WaterC'' Data'!$AO$4:$BO$7,2,FALSE)))</f>
        <v/>
      </c>
      <c r="AB26" s="405" t="str">
        <f t="shared" si="4"/>
        <v/>
      </c>
      <c r="AC26" s="405" t="str">
        <f t="shared" si="5"/>
        <v/>
      </c>
      <c r="AD26" s="117"/>
      <c r="AE26" s="692"/>
      <c r="AF26" s="119"/>
      <c r="AG26" s="120"/>
      <c r="AL26" s="30" t="str">
        <f>IFERROR(INDEX('G-7 WaterC'' Data'!$AZ$3:$AZ$7,MATCH(C26,'G-7 WaterC'' Data'!$AY$3:$AY$7,0)),"")</f>
        <v/>
      </c>
    </row>
    <row r="27" spans="2:38" ht="15">
      <c r="B27" s="110">
        <v>16</v>
      </c>
      <c r="C27" s="501"/>
      <c r="D27" s="139"/>
      <c r="E27" s="362" t="str">
        <f>IF(C27="","",VLOOKUP(C27,'G-7 WaterC'' Data'!$B$2:$Z$9,2,FALSE))</f>
        <v/>
      </c>
      <c r="F27" s="363" t="str">
        <f>IFERROR(VLOOKUP(E27,'G-7 WaterC'' Data'!$C$4:$D$8,2,FALSE),"")</f>
        <v/>
      </c>
      <c r="G27" s="114"/>
      <c r="H27" s="363" t="str">
        <f>IFERROR(INDEX('G-7 WaterC'' Data'!$H$4:$L$8,MATCH(C27,'G-7 WaterC'' Data'!$B$4:$B$8,0),MATCH(G27,'G-7 WaterC'' Data'!$H$3:$L$3,0)),"")</f>
        <v/>
      </c>
      <c r="I27" s="54"/>
      <c r="J27" s="401" t="str">
        <f>IF(I27="","",IF(VLOOKUP(I27,'G-7 WaterC'' Data'!$AK$4:$AM$6,2,FALSE)=0,"Spatial Data Missing ⚠",VLOOKUP(I27,'G-7 WaterC'' Data'!$AK$4:$AM$6,2,FALSE)))</f>
        <v/>
      </c>
      <c r="K27" s="363" t="str">
        <f>IF(I27="","",IF(VLOOKUP(I27,'G-7 WaterC'' Data'!$AK$4:$AM$6,3,FALSE)=0,"Spatial Data Missing ⚠",VLOOKUP(I27,'G-7 WaterC'' Data'!$AK$4:$AM$6,3,FALSE)))</f>
        <v/>
      </c>
      <c r="L27" s="478" t="str">
        <f>IFERROR(INDEX('G-7 WaterC'' Data'!$O$3:$O$7,MATCH(G27,'G-7 WaterC'' Data'!$N$3:$N$7,0)),"")</f>
        <v/>
      </c>
      <c r="M27" s="55"/>
      <c r="N27" s="159"/>
      <c r="O27" s="370" t="str">
        <f t="shared" si="0"/>
        <v/>
      </c>
      <c r="P27" s="383" t="str">
        <f t="shared" si="1"/>
        <v/>
      </c>
      <c r="Q27" s="422" t="str">
        <f>IFERROR(IF(P27="Check Data ⚠","Check Data ⚠",VLOOKUP(P27,'G-4 Temporal multipliers'!$A$4:$C$37,3,FALSE)),"")</f>
        <v/>
      </c>
      <c r="R27" s="362" t="str">
        <f>IF(C27="","",VLOOKUP(C27,'G-7 WaterC'' Data'!$B$4:$G$8,4,FALSE))</f>
        <v/>
      </c>
      <c r="S27" s="370" t="str">
        <f t="shared" si="2"/>
        <v/>
      </c>
      <c r="T27" s="401" t="str">
        <f t="shared" si="3"/>
        <v/>
      </c>
      <c r="U27" s="363" t="str">
        <f>IF(C27="","",VLOOKUP(T27,'G-3 Multipliers'!$P$2:$Q$6,2,FALSE))</f>
        <v/>
      </c>
      <c r="V27" s="115"/>
      <c r="W27" s="363" t="str">
        <f>IF(V27="","",IF(VLOOKUP(V27,'G-7 WaterC'' Data'!$AA$4:$AB$7,2,FALSE)=0,"Spatial Data Missing ⚠",VLOOKUP(V27,'G-7 WaterC'' Data'!$AA$4:$AB$7,2,FALSE)))</f>
        <v/>
      </c>
      <c r="X27" s="60"/>
      <c r="Y27" s="363" t="str">
        <f>IF(X27="","",IF(VLOOKUP(X27,'G-7 WaterC'' Data'!$AD$4:$AE$14,2,FALSE)=0,"Enrcoachment Data Missing ⚠",VLOOKUP(X27,'G-7 WaterC'' Data'!$AD$4:$AE$14,2,FALSE)))</f>
        <v/>
      </c>
      <c r="Z27" s="115"/>
      <c r="AA27" s="363" t="str">
        <f>IF(Z27="","",IF(VLOOKUP(Z27,'G-7 WaterC'' Data'!$AO$4:$BO$7,2,FALSE)=0,"Spatial Data Missing ⚠",VLOOKUP(Z27,'G-7 WaterC'' Data'!$AO$4:$BO$7,2,FALSE)))</f>
        <v/>
      </c>
      <c r="AB27" s="405" t="str">
        <f t="shared" si="4"/>
        <v/>
      </c>
      <c r="AC27" s="405" t="str">
        <f t="shared" si="5"/>
        <v/>
      </c>
      <c r="AD27" s="117"/>
      <c r="AE27" s="692"/>
      <c r="AF27" s="119"/>
      <c r="AG27" s="120"/>
      <c r="AL27" s="30" t="str">
        <f>IFERROR(INDEX('G-7 WaterC'' Data'!$AZ$3:$AZ$7,MATCH(C27,'G-7 WaterC'' Data'!$AY$3:$AY$7,0)),"")</f>
        <v/>
      </c>
    </row>
    <row r="28" spans="2:38" ht="15">
      <c r="B28" s="110">
        <v>17</v>
      </c>
      <c r="C28" s="501"/>
      <c r="D28" s="139"/>
      <c r="E28" s="362" t="str">
        <f>IF(C28="","",VLOOKUP(C28,'G-7 WaterC'' Data'!$B$2:$Z$9,2,FALSE))</f>
        <v/>
      </c>
      <c r="F28" s="363" t="str">
        <f>IFERROR(VLOOKUP(E28,'G-7 WaterC'' Data'!$C$4:$D$8,2,FALSE),"")</f>
        <v/>
      </c>
      <c r="G28" s="114"/>
      <c r="H28" s="363" t="str">
        <f>IFERROR(INDEX('G-7 WaterC'' Data'!$H$4:$L$8,MATCH(C28,'G-7 WaterC'' Data'!$B$4:$B$8,0),MATCH(G28,'G-7 WaterC'' Data'!$H$3:$L$3,0)),"")</f>
        <v/>
      </c>
      <c r="I28" s="54"/>
      <c r="J28" s="401" t="str">
        <f>IF(I28="","",IF(VLOOKUP(I28,'G-7 WaterC'' Data'!$AK$4:$AM$6,2,FALSE)=0,"Spatial Data Missing ⚠",VLOOKUP(I28,'G-7 WaterC'' Data'!$AK$4:$AM$6,2,FALSE)))</f>
        <v/>
      </c>
      <c r="K28" s="363" t="str">
        <f>IF(I28="","",IF(VLOOKUP(I28,'G-7 WaterC'' Data'!$AK$4:$AM$6,3,FALSE)=0,"Spatial Data Missing ⚠",VLOOKUP(I28,'G-7 WaterC'' Data'!$AK$4:$AM$6,3,FALSE)))</f>
        <v/>
      </c>
      <c r="L28" s="478" t="str">
        <f>IFERROR(INDEX('G-7 WaterC'' Data'!$O$3:$O$7,MATCH(G28,'G-7 WaterC'' Data'!$N$3:$N$7,0)),"")</f>
        <v/>
      </c>
      <c r="M28" s="55"/>
      <c r="N28" s="159"/>
      <c r="O28" s="370" t="str">
        <f t="shared" si="0"/>
        <v/>
      </c>
      <c r="P28" s="383" t="str">
        <f t="shared" si="1"/>
        <v/>
      </c>
      <c r="Q28" s="422" t="str">
        <f>IFERROR(IF(P28="Check Data ⚠","Check Data ⚠",VLOOKUP(P28,'G-4 Temporal multipliers'!$A$4:$C$37,3,FALSE)),"")</f>
        <v/>
      </c>
      <c r="R28" s="362" t="str">
        <f>IF(C28="","",VLOOKUP(C28,'G-7 WaterC'' Data'!$B$4:$G$8,4,FALSE))</f>
        <v/>
      </c>
      <c r="S28" s="370" t="str">
        <f t="shared" si="2"/>
        <v/>
      </c>
      <c r="T28" s="401" t="str">
        <f t="shared" si="3"/>
        <v/>
      </c>
      <c r="U28" s="363" t="str">
        <f>IF(C28="","",VLOOKUP(T28,'G-3 Multipliers'!$P$2:$Q$6,2,FALSE))</f>
        <v/>
      </c>
      <c r="V28" s="115"/>
      <c r="W28" s="363" t="str">
        <f>IF(V28="","",IF(VLOOKUP(V28,'G-7 WaterC'' Data'!$AA$4:$AB$7,2,FALSE)=0,"Spatial Data Missing ⚠",VLOOKUP(V28,'G-7 WaterC'' Data'!$AA$4:$AB$7,2,FALSE)))</f>
        <v/>
      </c>
      <c r="X28" s="60"/>
      <c r="Y28" s="363" t="str">
        <f>IF(X28="","",IF(VLOOKUP(X28,'G-7 WaterC'' Data'!$AD$4:$AE$14,2,FALSE)=0,"Enrcoachment Data Missing ⚠",VLOOKUP(X28,'G-7 WaterC'' Data'!$AD$4:$AE$14,2,FALSE)))</f>
        <v/>
      </c>
      <c r="Z28" s="115"/>
      <c r="AA28" s="363" t="str">
        <f>IF(Z28="","",IF(VLOOKUP(Z28,'G-7 WaterC'' Data'!$AO$4:$BO$7,2,FALSE)=0,"Spatial Data Missing ⚠",VLOOKUP(Z28,'G-7 WaterC'' Data'!$AO$4:$BO$7,2,FALSE)))</f>
        <v/>
      </c>
      <c r="AB28" s="405" t="str">
        <f t="shared" si="4"/>
        <v/>
      </c>
      <c r="AC28" s="405" t="str">
        <f t="shared" si="5"/>
        <v/>
      </c>
      <c r="AD28" s="117"/>
      <c r="AE28" s="692"/>
      <c r="AF28" s="119"/>
      <c r="AG28" s="120"/>
      <c r="AL28" s="30" t="str">
        <f>IFERROR(INDEX('G-7 WaterC'' Data'!$AZ$3:$AZ$7,MATCH(C28,'G-7 WaterC'' Data'!$AY$3:$AY$7,0)),"")</f>
        <v/>
      </c>
    </row>
    <row r="29" spans="2:38" ht="15">
      <c r="B29" s="110">
        <v>18</v>
      </c>
      <c r="C29" s="501"/>
      <c r="D29" s="139"/>
      <c r="E29" s="362" t="str">
        <f>IF(C29="","",VLOOKUP(C29,'G-7 WaterC'' Data'!$B$2:$Z$9,2,FALSE))</f>
        <v/>
      </c>
      <c r="F29" s="363" t="str">
        <f>IFERROR(VLOOKUP(E29,'G-7 WaterC'' Data'!$C$4:$D$8,2,FALSE),"")</f>
        <v/>
      </c>
      <c r="G29" s="114"/>
      <c r="H29" s="363" t="str">
        <f>IFERROR(INDEX('G-7 WaterC'' Data'!$H$4:$L$8,MATCH(C29,'G-7 WaterC'' Data'!$B$4:$B$8,0),MATCH(G29,'G-7 WaterC'' Data'!$H$3:$L$3,0)),"")</f>
        <v/>
      </c>
      <c r="I29" s="54"/>
      <c r="J29" s="401" t="str">
        <f>IF(I29="","",IF(VLOOKUP(I29,'G-7 WaterC'' Data'!$AK$4:$AM$6,2,FALSE)=0,"Spatial Data Missing ⚠",VLOOKUP(I29,'G-7 WaterC'' Data'!$AK$4:$AM$6,2,FALSE)))</f>
        <v/>
      </c>
      <c r="K29" s="363" t="str">
        <f>IF(I29="","",IF(VLOOKUP(I29,'G-7 WaterC'' Data'!$AK$4:$AM$6,3,FALSE)=0,"Spatial Data Missing ⚠",VLOOKUP(I29,'G-7 WaterC'' Data'!$AK$4:$AM$6,3,FALSE)))</f>
        <v/>
      </c>
      <c r="L29" s="478" t="str">
        <f>IFERROR(INDEX('G-7 WaterC'' Data'!$O$3:$O$7,MATCH(G29,'G-7 WaterC'' Data'!$N$3:$N$7,0)),"")</f>
        <v/>
      </c>
      <c r="M29" s="55"/>
      <c r="N29" s="159"/>
      <c r="O29" s="370" t="str">
        <f t="shared" si="0"/>
        <v/>
      </c>
      <c r="P29" s="383" t="str">
        <f t="shared" si="1"/>
        <v/>
      </c>
      <c r="Q29" s="422" t="str">
        <f>IFERROR(IF(P29="Check Data ⚠","Check Data ⚠",VLOOKUP(P29,'G-4 Temporal multipliers'!$A$4:$C$37,3,FALSE)),"")</f>
        <v/>
      </c>
      <c r="R29" s="362" t="str">
        <f>IF(C29="","",VLOOKUP(C29,'G-7 WaterC'' Data'!$B$4:$G$8,4,FALSE))</f>
        <v/>
      </c>
      <c r="S29" s="370" t="str">
        <f t="shared" si="2"/>
        <v/>
      </c>
      <c r="T29" s="401" t="str">
        <f t="shared" si="3"/>
        <v/>
      </c>
      <c r="U29" s="363" t="str">
        <f>IF(C29="","",VLOOKUP(T29,'G-3 Multipliers'!$P$2:$Q$6,2,FALSE))</f>
        <v/>
      </c>
      <c r="V29" s="115"/>
      <c r="W29" s="363" t="str">
        <f>IF(V29="","",IF(VLOOKUP(V29,'G-7 WaterC'' Data'!$AA$4:$AB$7,2,FALSE)=0,"Spatial Data Missing ⚠",VLOOKUP(V29,'G-7 WaterC'' Data'!$AA$4:$AB$7,2,FALSE)))</f>
        <v/>
      </c>
      <c r="X29" s="60"/>
      <c r="Y29" s="363" t="str">
        <f>IF(X29="","",IF(VLOOKUP(X29,'G-7 WaterC'' Data'!$AD$4:$AE$14,2,FALSE)=0,"Enrcoachment Data Missing ⚠",VLOOKUP(X29,'G-7 WaterC'' Data'!$AD$4:$AE$14,2,FALSE)))</f>
        <v/>
      </c>
      <c r="Z29" s="115"/>
      <c r="AA29" s="363" t="str">
        <f>IF(Z29="","",IF(VLOOKUP(Z29,'G-7 WaterC'' Data'!$AO$4:$BO$7,2,FALSE)=0,"Spatial Data Missing ⚠",VLOOKUP(Z29,'G-7 WaterC'' Data'!$AO$4:$BO$7,2,FALSE)))</f>
        <v/>
      </c>
      <c r="AB29" s="405" t="str">
        <f t="shared" si="4"/>
        <v/>
      </c>
      <c r="AC29" s="405" t="str">
        <f t="shared" si="5"/>
        <v/>
      </c>
      <c r="AD29" s="117"/>
      <c r="AE29" s="692"/>
      <c r="AF29" s="119"/>
      <c r="AG29" s="120"/>
      <c r="AL29" s="30" t="str">
        <f>IFERROR(INDEX('G-7 WaterC'' Data'!$AZ$3:$AZ$7,MATCH(C29,'G-7 WaterC'' Data'!$AY$3:$AY$7,0)),"")</f>
        <v/>
      </c>
    </row>
    <row r="30" spans="2:38" ht="15">
      <c r="B30" s="110">
        <v>19</v>
      </c>
      <c r="C30" s="501"/>
      <c r="D30" s="139"/>
      <c r="E30" s="362" t="str">
        <f>IF(C30="","",VLOOKUP(C30,'G-7 WaterC'' Data'!$B$2:$Z$9,2,FALSE))</f>
        <v/>
      </c>
      <c r="F30" s="363" t="str">
        <f>IFERROR(VLOOKUP(E30,'G-7 WaterC'' Data'!$C$4:$D$8,2,FALSE),"")</f>
        <v/>
      </c>
      <c r="G30" s="114"/>
      <c r="H30" s="363" t="str">
        <f>IFERROR(INDEX('G-7 WaterC'' Data'!$H$4:$L$8,MATCH(C30,'G-7 WaterC'' Data'!$B$4:$B$8,0),MATCH(G30,'G-7 WaterC'' Data'!$H$3:$L$3,0)),"")</f>
        <v/>
      </c>
      <c r="I30" s="54"/>
      <c r="J30" s="401" t="str">
        <f>IF(I30="","",IF(VLOOKUP(I30,'G-7 WaterC'' Data'!$AK$4:$AM$6,2,FALSE)=0,"Spatial Data Missing ⚠",VLOOKUP(I30,'G-7 WaterC'' Data'!$AK$4:$AM$6,2,FALSE)))</f>
        <v/>
      </c>
      <c r="K30" s="363" t="str">
        <f>IF(I30="","",IF(VLOOKUP(I30,'G-7 WaterC'' Data'!$AK$4:$AM$6,3,FALSE)=0,"Spatial Data Missing ⚠",VLOOKUP(I30,'G-7 WaterC'' Data'!$AK$4:$AM$6,3,FALSE)))</f>
        <v/>
      </c>
      <c r="L30" s="478" t="str">
        <f>IFERROR(INDEX('G-7 WaterC'' Data'!$O$3:$O$7,MATCH(G30,'G-7 WaterC'' Data'!$N$3:$N$7,0)),"")</f>
        <v/>
      </c>
      <c r="M30" s="55"/>
      <c r="N30" s="159"/>
      <c r="O30" s="370" t="str">
        <f t="shared" si="0"/>
        <v/>
      </c>
      <c r="P30" s="383" t="str">
        <f t="shared" si="1"/>
        <v/>
      </c>
      <c r="Q30" s="422" t="str">
        <f>IFERROR(IF(P30="Check Data ⚠","Check Data ⚠",VLOOKUP(P30,'G-4 Temporal multipliers'!$A$4:$C$37,3,FALSE)),"")</f>
        <v/>
      </c>
      <c r="R30" s="362" t="str">
        <f>IF(C30="","",VLOOKUP(C30,'G-7 WaterC'' Data'!$B$4:$G$8,4,FALSE))</f>
        <v/>
      </c>
      <c r="S30" s="370" t="str">
        <f t="shared" si="2"/>
        <v/>
      </c>
      <c r="T30" s="401" t="str">
        <f t="shared" si="3"/>
        <v/>
      </c>
      <c r="U30" s="363" t="str">
        <f>IF(C30="","",VLOOKUP(T30,'G-3 Multipliers'!$P$2:$Q$6,2,FALSE))</f>
        <v/>
      </c>
      <c r="V30" s="115"/>
      <c r="W30" s="363" t="str">
        <f>IF(V30="","",IF(VLOOKUP(V30,'G-7 WaterC'' Data'!$AA$4:$AB$7,2,FALSE)=0,"Spatial Data Missing ⚠",VLOOKUP(V30,'G-7 WaterC'' Data'!$AA$4:$AB$7,2,FALSE)))</f>
        <v/>
      </c>
      <c r="X30" s="60"/>
      <c r="Y30" s="363" t="str">
        <f>IF(X30="","",IF(VLOOKUP(X30,'G-7 WaterC'' Data'!$AD$4:$AE$14,2,FALSE)=0,"Enrcoachment Data Missing ⚠",VLOOKUP(X30,'G-7 WaterC'' Data'!$AD$4:$AE$14,2,FALSE)))</f>
        <v/>
      </c>
      <c r="Z30" s="115"/>
      <c r="AA30" s="363" t="str">
        <f>IF(Z30="","",IF(VLOOKUP(Z30,'G-7 WaterC'' Data'!$AO$4:$BO$7,2,FALSE)=0,"Spatial Data Missing ⚠",VLOOKUP(Z30,'G-7 WaterC'' Data'!$AO$4:$BO$7,2,FALSE)))</f>
        <v/>
      </c>
      <c r="AB30" s="405" t="str">
        <f t="shared" si="4"/>
        <v/>
      </c>
      <c r="AC30" s="405" t="str">
        <f t="shared" si="5"/>
        <v/>
      </c>
      <c r="AD30" s="117"/>
      <c r="AE30" s="692"/>
      <c r="AF30" s="119"/>
      <c r="AG30" s="120"/>
      <c r="AL30" s="30" t="str">
        <f>IFERROR(INDEX('G-7 WaterC'' Data'!$AZ$3:$AZ$7,MATCH(C30,'G-7 WaterC'' Data'!$AY$3:$AY$7,0)),"")</f>
        <v/>
      </c>
    </row>
    <row r="31" spans="2:38" ht="15">
      <c r="B31" s="110">
        <v>20</v>
      </c>
      <c r="C31" s="501"/>
      <c r="D31" s="139"/>
      <c r="E31" s="362" t="str">
        <f>IF(C31="","",VLOOKUP(C31,'G-7 WaterC'' Data'!$B$2:$Z$9,2,FALSE))</f>
        <v/>
      </c>
      <c r="F31" s="363" t="str">
        <f>IFERROR(VLOOKUP(E31,'G-7 WaterC'' Data'!$C$4:$D$8,2,FALSE),"")</f>
        <v/>
      </c>
      <c r="G31" s="114"/>
      <c r="H31" s="363" t="str">
        <f>IFERROR(INDEX('G-7 WaterC'' Data'!$H$4:$L$8,MATCH(C31,'G-7 WaterC'' Data'!$B$4:$B$8,0),MATCH(G31,'G-7 WaterC'' Data'!$H$3:$L$3,0)),"")</f>
        <v/>
      </c>
      <c r="I31" s="54"/>
      <c r="J31" s="401" t="str">
        <f>IF(I31="","",IF(VLOOKUP(I31,'G-7 WaterC'' Data'!$AK$4:$AM$6,2,FALSE)=0,"Spatial Data Missing ⚠",VLOOKUP(I31,'G-7 WaterC'' Data'!$AK$4:$AM$6,2,FALSE)))</f>
        <v/>
      </c>
      <c r="K31" s="363" t="str">
        <f>IF(I31="","",IF(VLOOKUP(I31,'G-7 WaterC'' Data'!$AK$4:$AM$6,3,FALSE)=0,"Spatial Data Missing ⚠",VLOOKUP(I31,'G-7 WaterC'' Data'!$AK$4:$AM$6,3,FALSE)))</f>
        <v/>
      </c>
      <c r="L31" s="478" t="str">
        <f>IFERROR(INDEX('G-7 WaterC'' Data'!$O$3:$O$7,MATCH(G31,'G-7 WaterC'' Data'!$N$3:$N$7,0)),"")</f>
        <v/>
      </c>
      <c r="M31" s="55"/>
      <c r="N31" s="159"/>
      <c r="O31" s="370" t="str">
        <f t="shared" si="0"/>
        <v/>
      </c>
      <c r="P31" s="383" t="str">
        <f t="shared" si="1"/>
        <v/>
      </c>
      <c r="Q31" s="422" t="str">
        <f>IFERROR(IF(P31="Check Data ⚠","Check Data ⚠",VLOOKUP(P31,'G-4 Temporal multipliers'!$A$4:$C$37,3,FALSE)),"")</f>
        <v/>
      </c>
      <c r="R31" s="362" t="str">
        <f>IF(C31="","",VLOOKUP(C31,'G-7 WaterC'' Data'!$B$4:$G$8,4,FALSE))</f>
        <v/>
      </c>
      <c r="S31" s="370" t="str">
        <f t="shared" si="2"/>
        <v/>
      </c>
      <c r="T31" s="401" t="str">
        <f t="shared" si="3"/>
        <v/>
      </c>
      <c r="U31" s="363" t="str">
        <f>IF(C31="","",VLOOKUP(T31,'G-3 Multipliers'!$P$2:$Q$6,2,FALSE))</f>
        <v/>
      </c>
      <c r="V31" s="115"/>
      <c r="W31" s="363" t="str">
        <f>IF(V31="","",IF(VLOOKUP(V31,'G-7 WaterC'' Data'!$AA$4:$AB$7,2,FALSE)=0,"Spatial Data Missing ⚠",VLOOKUP(V31,'G-7 WaterC'' Data'!$AA$4:$AB$7,2,FALSE)))</f>
        <v/>
      </c>
      <c r="X31" s="60"/>
      <c r="Y31" s="363" t="str">
        <f>IF(X31="","",IF(VLOOKUP(X31,'G-7 WaterC'' Data'!$AD$4:$AE$14,2,FALSE)=0,"Enrcoachment Data Missing ⚠",VLOOKUP(X31,'G-7 WaterC'' Data'!$AD$4:$AE$14,2,FALSE)))</f>
        <v/>
      </c>
      <c r="Z31" s="115"/>
      <c r="AA31" s="363" t="str">
        <f>IF(Z31="","",IF(VLOOKUP(Z31,'G-7 WaterC'' Data'!$AO$4:$BO$7,2,FALSE)=0,"Spatial Data Missing ⚠",VLOOKUP(Z31,'G-7 WaterC'' Data'!$AO$4:$BO$7,2,FALSE)))</f>
        <v/>
      </c>
      <c r="AB31" s="405" t="str">
        <f t="shared" si="4"/>
        <v/>
      </c>
      <c r="AC31" s="405" t="str">
        <f t="shared" si="5"/>
        <v/>
      </c>
      <c r="AD31" s="117"/>
      <c r="AE31" s="692"/>
      <c r="AF31" s="119"/>
      <c r="AG31" s="120"/>
      <c r="AL31" s="30" t="str">
        <f>IFERROR(INDEX('G-7 WaterC'' Data'!$AZ$3:$AZ$7,MATCH(C31,'G-7 WaterC'' Data'!$AY$3:$AY$7,0)),"")</f>
        <v/>
      </c>
    </row>
    <row r="32" spans="2:38" ht="15">
      <c r="B32" s="110">
        <v>21</v>
      </c>
      <c r="C32" s="501"/>
      <c r="D32" s="139"/>
      <c r="E32" s="362" t="str">
        <f>IF(C32="","",VLOOKUP(C32,'G-7 WaterC'' Data'!$B$2:$Z$9,2,FALSE))</f>
        <v/>
      </c>
      <c r="F32" s="363" t="str">
        <f>IFERROR(VLOOKUP(E32,'G-7 WaterC'' Data'!$C$4:$D$8,2,FALSE),"")</f>
        <v/>
      </c>
      <c r="G32" s="114"/>
      <c r="H32" s="363" t="str">
        <f>IFERROR(INDEX('G-7 WaterC'' Data'!$H$4:$L$8,MATCH(C32,'G-7 WaterC'' Data'!$B$4:$B$8,0),MATCH(G32,'G-7 WaterC'' Data'!$H$3:$L$3,0)),"")</f>
        <v/>
      </c>
      <c r="I32" s="54"/>
      <c r="J32" s="401" t="str">
        <f>IF(I32="","",IF(VLOOKUP(I32,'G-7 WaterC'' Data'!$AK$4:$AM$6,2,FALSE)=0,"Spatial Data Missing ⚠",VLOOKUP(I32,'G-7 WaterC'' Data'!$AK$4:$AM$6,2,FALSE)))</f>
        <v/>
      </c>
      <c r="K32" s="363" t="str">
        <f>IF(I32="","",IF(VLOOKUP(I32,'G-7 WaterC'' Data'!$AK$4:$AM$6,3,FALSE)=0,"Spatial Data Missing ⚠",VLOOKUP(I32,'G-7 WaterC'' Data'!$AK$4:$AM$6,3,FALSE)))</f>
        <v/>
      </c>
      <c r="L32" s="478" t="str">
        <f>IFERROR(INDEX('G-7 WaterC'' Data'!$O$3:$O$7,MATCH(G32,'G-7 WaterC'' Data'!$N$3:$N$7,0)),"")</f>
        <v/>
      </c>
      <c r="M32" s="55"/>
      <c r="N32" s="159"/>
      <c r="O32" s="370" t="str">
        <f t="shared" si="0"/>
        <v/>
      </c>
      <c r="P32" s="383" t="str">
        <f t="shared" si="1"/>
        <v/>
      </c>
      <c r="Q32" s="422" t="str">
        <f>IFERROR(IF(P32="Check Data ⚠","Check Data ⚠",VLOOKUP(P32,'G-4 Temporal multipliers'!$A$4:$C$37,3,FALSE)),"")</f>
        <v/>
      </c>
      <c r="R32" s="362" t="str">
        <f>IF(C32="","",VLOOKUP(C32,'G-7 WaterC'' Data'!$B$4:$G$8,4,FALSE))</f>
        <v/>
      </c>
      <c r="S32" s="370" t="str">
        <f t="shared" si="2"/>
        <v/>
      </c>
      <c r="T32" s="401" t="str">
        <f t="shared" si="3"/>
        <v/>
      </c>
      <c r="U32" s="363" t="str">
        <f>IF(C32="","",VLOOKUP(T32,'G-3 Multipliers'!$P$2:$Q$6,2,FALSE))</f>
        <v/>
      </c>
      <c r="V32" s="115"/>
      <c r="W32" s="363" t="str">
        <f>IF(V32="","",IF(VLOOKUP(V32,'G-7 WaterC'' Data'!$AA$4:$AB$7,2,FALSE)=0,"Spatial Data Missing ⚠",VLOOKUP(V32,'G-7 WaterC'' Data'!$AA$4:$AB$7,2,FALSE)))</f>
        <v/>
      </c>
      <c r="X32" s="60"/>
      <c r="Y32" s="363" t="str">
        <f>IF(X32="","",IF(VLOOKUP(X32,'G-7 WaterC'' Data'!$AD$4:$AE$14,2,FALSE)=0,"Enrcoachment Data Missing ⚠",VLOOKUP(X32,'G-7 WaterC'' Data'!$AD$4:$AE$14,2,FALSE)))</f>
        <v/>
      </c>
      <c r="Z32" s="115"/>
      <c r="AA32" s="363" t="str">
        <f>IF(Z32="","",IF(VLOOKUP(Z32,'G-7 WaterC'' Data'!$AO$4:$BO$7,2,FALSE)=0,"Spatial Data Missing ⚠",VLOOKUP(Z32,'G-7 WaterC'' Data'!$AO$4:$BO$7,2,FALSE)))</f>
        <v/>
      </c>
      <c r="AB32" s="405" t="str">
        <f t="shared" si="4"/>
        <v/>
      </c>
      <c r="AC32" s="405" t="str">
        <f t="shared" si="5"/>
        <v/>
      </c>
      <c r="AD32" s="117"/>
      <c r="AE32" s="692"/>
      <c r="AF32" s="119"/>
      <c r="AG32" s="120"/>
      <c r="AL32" s="30" t="str">
        <f>IFERROR(INDEX('G-7 WaterC'' Data'!$AZ$3:$AZ$7,MATCH(C32,'G-7 WaterC'' Data'!$AY$3:$AY$7,0)),"")</f>
        <v/>
      </c>
    </row>
    <row r="33" spans="2:38" ht="15">
      <c r="B33" s="110">
        <v>22</v>
      </c>
      <c r="C33" s="501"/>
      <c r="D33" s="139"/>
      <c r="E33" s="362" t="str">
        <f>IF(C33="","",VLOOKUP(C33,'G-7 WaterC'' Data'!$B$2:$Z$9,2,FALSE))</f>
        <v/>
      </c>
      <c r="F33" s="363" t="str">
        <f>IFERROR(VLOOKUP(E33,'G-7 WaterC'' Data'!$C$4:$D$8,2,FALSE),"")</f>
        <v/>
      </c>
      <c r="G33" s="114"/>
      <c r="H33" s="363" t="str">
        <f>IFERROR(INDEX('G-7 WaterC'' Data'!$H$4:$L$8,MATCH(C33,'G-7 WaterC'' Data'!$B$4:$B$8,0),MATCH(G33,'G-7 WaterC'' Data'!$H$3:$L$3,0)),"")</f>
        <v/>
      </c>
      <c r="I33" s="54"/>
      <c r="J33" s="401" t="str">
        <f>IF(I33="","",IF(VLOOKUP(I33,'G-7 WaterC'' Data'!$AK$4:$AM$6,2,FALSE)=0,"Spatial Data Missing ⚠",VLOOKUP(I33,'G-7 WaterC'' Data'!$AK$4:$AM$6,2,FALSE)))</f>
        <v/>
      </c>
      <c r="K33" s="363" t="str">
        <f>IF(I33="","",IF(VLOOKUP(I33,'G-7 WaterC'' Data'!$AK$4:$AM$6,3,FALSE)=0,"Spatial Data Missing ⚠",VLOOKUP(I33,'G-7 WaterC'' Data'!$AK$4:$AM$6,3,FALSE)))</f>
        <v/>
      </c>
      <c r="L33" s="478" t="str">
        <f>IFERROR(INDEX('G-7 WaterC'' Data'!$O$3:$O$7,MATCH(G33,'G-7 WaterC'' Data'!$N$3:$N$7,0)),"")</f>
        <v/>
      </c>
      <c r="M33" s="55"/>
      <c r="N33" s="159"/>
      <c r="O33" s="370" t="str">
        <f t="shared" si="0"/>
        <v/>
      </c>
      <c r="P33" s="383" t="str">
        <f t="shared" si="1"/>
        <v/>
      </c>
      <c r="Q33" s="422" t="str">
        <f>IFERROR(IF(P33="Check Data ⚠","Check Data ⚠",VLOOKUP(P33,'G-4 Temporal multipliers'!$A$4:$C$37,3,FALSE)),"")</f>
        <v/>
      </c>
      <c r="R33" s="362" t="str">
        <f>IF(C33="","",VLOOKUP(C33,'G-7 WaterC'' Data'!$B$4:$G$8,4,FALSE))</f>
        <v/>
      </c>
      <c r="S33" s="370" t="str">
        <f t="shared" si="2"/>
        <v/>
      </c>
      <c r="T33" s="401" t="str">
        <f t="shared" si="3"/>
        <v/>
      </c>
      <c r="U33" s="363" t="str">
        <f>IF(C33="","",VLOOKUP(T33,'G-3 Multipliers'!$P$2:$Q$6,2,FALSE))</f>
        <v/>
      </c>
      <c r="V33" s="115"/>
      <c r="W33" s="363" t="str">
        <f>IF(V33="","",IF(VLOOKUP(V33,'G-7 WaterC'' Data'!$AA$4:$AB$7,2,FALSE)=0,"Spatial Data Missing ⚠",VLOOKUP(V33,'G-7 WaterC'' Data'!$AA$4:$AB$7,2,FALSE)))</f>
        <v/>
      </c>
      <c r="X33" s="60"/>
      <c r="Y33" s="363" t="str">
        <f>IF(X33="","",IF(VLOOKUP(X33,'G-7 WaterC'' Data'!$AD$4:$AE$14,2,FALSE)=0,"Enrcoachment Data Missing ⚠",VLOOKUP(X33,'G-7 WaterC'' Data'!$AD$4:$AE$14,2,FALSE)))</f>
        <v/>
      </c>
      <c r="Z33" s="115"/>
      <c r="AA33" s="363" t="str">
        <f>IF(Z33="","",IF(VLOOKUP(Z33,'G-7 WaterC'' Data'!$AO$4:$BO$7,2,FALSE)=0,"Spatial Data Missing ⚠",VLOOKUP(Z33,'G-7 WaterC'' Data'!$AO$4:$BO$7,2,FALSE)))</f>
        <v/>
      </c>
      <c r="AB33" s="405" t="str">
        <f t="shared" si="4"/>
        <v/>
      </c>
      <c r="AC33" s="405" t="str">
        <f t="shared" si="5"/>
        <v/>
      </c>
      <c r="AD33" s="117"/>
      <c r="AE33" s="692"/>
      <c r="AF33" s="119"/>
      <c r="AG33" s="120"/>
      <c r="AL33" s="30" t="str">
        <f>IFERROR(INDEX('G-7 WaterC'' Data'!$AZ$3:$AZ$7,MATCH(C33,'G-7 WaterC'' Data'!$AY$3:$AY$7,0)),"")</f>
        <v/>
      </c>
    </row>
    <row r="34" spans="2:38" ht="15">
      <c r="B34" s="110">
        <v>23</v>
      </c>
      <c r="C34" s="501"/>
      <c r="D34" s="139"/>
      <c r="E34" s="362" t="str">
        <f>IF(C34="","",VLOOKUP(C34,'G-7 WaterC'' Data'!$B$2:$Z$9,2,FALSE))</f>
        <v/>
      </c>
      <c r="F34" s="363" t="str">
        <f>IFERROR(VLOOKUP(E34,'G-7 WaterC'' Data'!$C$4:$D$8,2,FALSE),"")</f>
        <v/>
      </c>
      <c r="G34" s="114"/>
      <c r="H34" s="363" t="str">
        <f>IFERROR(INDEX('G-7 WaterC'' Data'!$H$4:$L$8,MATCH(C34,'G-7 WaterC'' Data'!$B$4:$B$8,0),MATCH(G34,'G-7 WaterC'' Data'!$H$3:$L$3,0)),"")</f>
        <v/>
      </c>
      <c r="I34" s="54"/>
      <c r="J34" s="401" t="str">
        <f>IF(I34="","",IF(VLOOKUP(I34,'G-7 WaterC'' Data'!$AK$4:$AM$6,2,FALSE)=0,"Spatial Data Missing ⚠",VLOOKUP(I34,'G-7 WaterC'' Data'!$AK$4:$AM$6,2,FALSE)))</f>
        <v/>
      </c>
      <c r="K34" s="363" t="str">
        <f>IF(I34="","",IF(VLOOKUP(I34,'G-7 WaterC'' Data'!$AK$4:$AM$6,3,FALSE)=0,"Spatial Data Missing ⚠",VLOOKUP(I34,'G-7 WaterC'' Data'!$AK$4:$AM$6,3,FALSE)))</f>
        <v/>
      </c>
      <c r="L34" s="478" t="str">
        <f>IFERROR(INDEX('G-7 WaterC'' Data'!$O$3:$O$7,MATCH(G34,'G-7 WaterC'' Data'!$N$3:$N$7,0)),"")</f>
        <v/>
      </c>
      <c r="M34" s="55"/>
      <c r="N34" s="159"/>
      <c r="O34" s="370" t="str">
        <f t="shared" si="0"/>
        <v/>
      </c>
      <c r="P34" s="383" t="str">
        <f t="shared" si="1"/>
        <v/>
      </c>
      <c r="Q34" s="422" t="str">
        <f>IFERROR(IF(P34="Check Data ⚠","Check Data ⚠",VLOOKUP(P34,'G-4 Temporal multipliers'!$A$4:$C$37,3,FALSE)),"")</f>
        <v/>
      </c>
      <c r="R34" s="362" t="str">
        <f>IF(C34="","",VLOOKUP(C34,'G-7 WaterC'' Data'!$B$4:$G$8,4,FALSE))</f>
        <v/>
      </c>
      <c r="S34" s="370" t="str">
        <f t="shared" si="2"/>
        <v/>
      </c>
      <c r="T34" s="401" t="str">
        <f t="shared" si="3"/>
        <v/>
      </c>
      <c r="U34" s="363" t="str">
        <f>IF(C34="","",VLOOKUP(T34,'G-3 Multipliers'!$P$2:$Q$6,2,FALSE))</f>
        <v/>
      </c>
      <c r="V34" s="115"/>
      <c r="W34" s="363" t="str">
        <f>IF(V34="","",IF(VLOOKUP(V34,'G-7 WaterC'' Data'!$AA$4:$AB$7,2,FALSE)=0,"Spatial Data Missing ⚠",VLOOKUP(V34,'G-7 WaterC'' Data'!$AA$4:$AB$7,2,FALSE)))</f>
        <v/>
      </c>
      <c r="X34" s="60"/>
      <c r="Y34" s="363" t="str">
        <f>IF(X34="","",IF(VLOOKUP(X34,'G-7 WaterC'' Data'!$AD$4:$AE$14,2,FALSE)=0,"Enrcoachment Data Missing ⚠",VLOOKUP(X34,'G-7 WaterC'' Data'!$AD$4:$AE$14,2,FALSE)))</f>
        <v/>
      </c>
      <c r="Z34" s="115"/>
      <c r="AA34" s="363" t="str">
        <f>IF(Z34="","",IF(VLOOKUP(Z34,'G-7 WaterC'' Data'!$AO$4:$BO$7,2,FALSE)=0,"Spatial Data Missing ⚠",VLOOKUP(Z34,'G-7 WaterC'' Data'!$AO$4:$BO$7,2,FALSE)))</f>
        <v/>
      </c>
      <c r="AB34" s="405" t="str">
        <f t="shared" si="4"/>
        <v/>
      </c>
      <c r="AC34" s="405" t="str">
        <f t="shared" si="5"/>
        <v/>
      </c>
      <c r="AD34" s="117"/>
      <c r="AE34" s="692"/>
      <c r="AF34" s="119"/>
      <c r="AG34" s="120"/>
      <c r="AL34" s="30" t="str">
        <f>IFERROR(INDEX('G-7 WaterC'' Data'!$AZ$3:$AZ$7,MATCH(C34,'G-7 WaterC'' Data'!$AY$3:$AY$7,0)),"")</f>
        <v/>
      </c>
    </row>
    <row r="35" spans="2:38" ht="15">
      <c r="B35" s="110">
        <v>24</v>
      </c>
      <c r="C35" s="501"/>
      <c r="D35" s="139"/>
      <c r="E35" s="362" t="str">
        <f>IF(C35="","",VLOOKUP(C35,'G-7 WaterC'' Data'!$B$2:$Z$9,2,FALSE))</f>
        <v/>
      </c>
      <c r="F35" s="363" t="str">
        <f>IFERROR(VLOOKUP(E35,'G-7 WaterC'' Data'!$C$4:$D$8,2,FALSE),"")</f>
        <v/>
      </c>
      <c r="G35" s="114"/>
      <c r="H35" s="363" t="str">
        <f>IFERROR(INDEX('G-7 WaterC'' Data'!$H$4:$L$8,MATCH(C35,'G-7 WaterC'' Data'!$B$4:$B$8,0),MATCH(G35,'G-7 WaterC'' Data'!$H$3:$L$3,0)),"")</f>
        <v/>
      </c>
      <c r="I35" s="54"/>
      <c r="J35" s="401" t="str">
        <f>IF(I35="","",IF(VLOOKUP(I35,'G-7 WaterC'' Data'!$AK$4:$AM$6,2,FALSE)=0,"Spatial Data Missing ⚠",VLOOKUP(I35,'G-7 WaterC'' Data'!$AK$4:$AM$6,2,FALSE)))</f>
        <v/>
      </c>
      <c r="K35" s="363" t="str">
        <f>IF(I35="","",IF(VLOOKUP(I35,'G-7 WaterC'' Data'!$AK$4:$AM$6,3,FALSE)=0,"Spatial Data Missing ⚠",VLOOKUP(I35,'G-7 WaterC'' Data'!$AK$4:$AM$6,3,FALSE)))</f>
        <v/>
      </c>
      <c r="L35" s="478" t="str">
        <f>IFERROR(INDEX('G-7 WaterC'' Data'!$O$3:$O$7,MATCH(G35,'G-7 WaterC'' Data'!$N$3:$N$7,0)),"")</f>
        <v/>
      </c>
      <c r="M35" s="55"/>
      <c r="N35" s="159"/>
      <c r="O35" s="370" t="str">
        <f t="shared" si="0"/>
        <v/>
      </c>
      <c r="P35" s="383" t="str">
        <f t="shared" si="1"/>
        <v/>
      </c>
      <c r="Q35" s="422" t="str">
        <f>IFERROR(IF(P35="Check Data ⚠","Check Data ⚠",VLOOKUP(P35,'G-4 Temporal multipliers'!$A$4:$C$37,3,FALSE)),"")</f>
        <v/>
      </c>
      <c r="R35" s="362" t="str">
        <f>IF(C35="","",VLOOKUP(C35,'G-7 WaterC'' Data'!$B$4:$G$8,4,FALSE))</f>
        <v/>
      </c>
      <c r="S35" s="370" t="str">
        <f t="shared" si="2"/>
        <v/>
      </c>
      <c r="T35" s="401" t="str">
        <f t="shared" si="3"/>
        <v/>
      </c>
      <c r="U35" s="363" t="str">
        <f>IF(C35="","",VLOOKUP(T35,'G-3 Multipliers'!$P$2:$Q$6,2,FALSE))</f>
        <v/>
      </c>
      <c r="V35" s="115"/>
      <c r="W35" s="363" t="str">
        <f>IF(V35="","",IF(VLOOKUP(V35,'G-7 WaterC'' Data'!$AA$4:$AB$7,2,FALSE)=0,"Spatial Data Missing ⚠",VLOOKUP(V35,'G-7 WaterC'' Data'!$AA$4:$AB$7,2,FALSE)))</f>
        <v/>
      </c>
      <c r="X35" s="60"/>
      <c r="Y35" s="363" t="str">
        <f>IF(X35="","",IF(VLOOKUP(X35,'G-7 WaterC'' Data'!$AD$4:$AE$14,2,FALSE)=0,"Enrcoachment Data Missing ⚠",VLOOKUP(X35,'G-7 WaterC'' Data'!$AD$4:$AE$14,2,FALSE)))</f>
        <v/>
      </c>
      <c r="Z35" s="115"/>
      <c r="AA35" s="363" t="str">
        <f>IF(Z35="","",IF(VLOOKUP(Z35,'G-7 WaterC'' Data'!$AO$4:$BO$7,2,FALSE)=0,"Spatial Data Missing ⚠",VLOOKUP(Z35,'G-7 WaterC'' Data'!$AO$4:$BO$7,2,FALSE)))</f>
        <v/>
      </c>
      <c r="AB35" s="405" t="str">
        <f t="shared" si="4"/>
        <v/>
      </c>
      <c r="AC35" s="405" t="str">
        <f t="shared" si="5"/>
        <v/>
      </c>
      <c r="AD35" s="117"/>
      <c r="AE35" s="692"/>
      <c r="AF35" s="119"/>
      <c r="AG35" s="120"/>
      <c r="AL35" s="30" t="str">
        <f>IFERROR(INDEX('G-7 WaterC'' Data'!$AZ$3:$AZ$7,MATCH(C35,'G-7 WaterC'' Data'!$AY$3:$AY$7,0)),"")</f>
        <v/>
      </c>
    </row>
    <row r="36" spans="2:38" ht="15">
      <c r="B36" s="110">
        <v>25</v>
      </c>
      <c r="C36" s="501"/>
      <c r="D36" s="139"/>
      <c r="E36" s="362" t="str">
        <f>IF(C36="","",VLOOKUP(C36,'G-7 WaterC'' Data'!$B$2:$Z$9,2,FALSE))</f>
        <v/>
      </c>
      <c r="F36" s="363" t="str">
        <f>IFERROR(VLOOKUP(E36,'G-7 WaterC'' Data'!$C$4:$D$8,2,FALSE),"")</f>
        <v/>
      </c>
      <c r="G36" s="114"/>
      <c r="H36" s="363" t="str">
        <f>IFERROR(INDEX('G-7 WaterC'' Data'!$H$4:$L$8,MATCH(C36,'G-7 WaterC'' Data'!$B$4:$B$8,0),MATCH(G36,'G-7 WaterC'' Data'!$H$3:$L$3,0)),"")</f>
        <v/>
      </c>
      <c r="I36" s="54"/>
      <c r="J36" s="401" t="str">
        <f>IF(I36="","",IF(VLOOKUP(I36,'G-7 WaterC'' Data'!$AK$4:$AM$6,2,FALSE)=0,"Spatial Data Missing ⚠",VLOOKUP(I36,'G-7 WaterC'' Data'!$AK$4:$AM$6,2,FALSE)))</f>
        <v/>
      </c>
      <c r="K36" s="363" t="str">
        <f>IF(I36="","",IF(VLOOKUP(I36,'G-7 WaterC'' Data'!$AK$4:$AM$6,3,FALSE)=0,"Spatial Data Missing ⚠",VLOOKUP(I36,'G-7 WaterC'' Data'!$AK$4:$AM$6,3,FALSE)))</f>
        <v/>
      </c>
      <c r="L36" s="478" t="str">
        <f>IFERROR(INDEX('G-7 WaterC'' Data'!$O$3:$O$7,MATCH(G36,'G-7 WaterC'' Data'!$N$3:$N$7,0)),"")</f>
        <v/>
      </c>
      <c r="M36" s="55"/>
      <c r="N36" s="159"/>
      <c r="O36" s="370" t="str">
        <f t="shared" si="0"/>
        <v/>
      </c>
      <c r="P36" s="383" t="str">
        <f t="shared" si="1"/>
        <v/>
      </c>
      <c r="Q36" s="422" t="str">
        <f>IFERROR(IF(P36="Check Data ⚠","Check Data ⚠",VLOOKUP(P36,'G-4 Temporal multipliers'!$A$4:$C$37,3,FALSE)),"")</f>
        <v/>
      </c>
      <c r="R36" s="362" t="str">
        <f>IF(C36="","",VLOOKUP(C36,'G-7 WaterC'' Data'!$B$4:$G$8,4,FALSE))</f>
        <v/>
      </c>
      <c r="S36" s="370" t="str">
        <f t="shared" si="2"/>
        <v/>
      </c>
      <c r="T36" s="401" t="str">
        <f t="shared" si="3"/>
        <v/>
      </c>
      <c r="U36" s="363" t="str">
        <f>IF(C36="","",VLOOKUP(T36,'G-3 Multipliers'!$P$2:$Q$6,2,FALSE))</f>
        <v/>
      </c>
      <c r="V36" s="115"/>
      <c r="W36" s="363" t="str">
        <f>IF(V36="","",IF(VLOOKUP(V36,'G-7 WaterC'' Data'!$AA$4:$AB$7,2,FALSE)=0,"Spatial Data Missing ⚠",VLOOKUP(V36,'G-7 WaterC'' Data'!$AA$4:$AB$7,2,FALSE)))</f>
        <v/>
      </c>
      <c r="X36" s="60"/>
      <c r="Y36" s="363" t="str">
        <f>IF(X36="","",IF(VLOOKUP(X36,'G-7 WaterC'' Data'!$AD$4:$AE$14,2,FALSE)=0,"Enrcoachment Data Missing ⚠",VLOOKUP(X36,'G-7 WaterC'' Data'!$AD$4:$AE$14,2,FALSE)))</f>
        <v/>
      </c>
      <c r="Z36" s="115"/>
      <c r="AA36" s="363" t="str">
        <f>IF(Z36="","",IF(VLOOKUP(Z36,'G-7 WaterC'' Data'!$AO$4:$BO$7,2,FALSE)=0,"Spatial Data Missing ⚠",VLOOKUP(Z36,'G-7 WaterC'' Data'!$AO$4:$BO$7,2,FALSE)))</f>
        <v/>
      </c>
      <c r="AB36" s="405" t="str">
        <f t="shared" si="4"/>
        <v/>
      </c>
      <c r="AC36" s="405" t="str">
        <f t="shared" si="5"/>
        <v/>
      </c>
      <c r="AD36" s="117"/>
      <c r="AE36" s="692"/>
      <c r="AF36" s="119"/>
      <c r="AG36" s="120"/>
      <c r="AL36" s="30" t="str">
        <f>IFERROR(INDEX('G-7 WaterC'' Data'!$AZ$3:$AZ$7,MATCH(C36,'G-7 WaterC'' Data'!$AY$3:$AY$7,0)),"")</f>
        <v/>
      </c>
    </row>
    <row r="37" spans="2:38" ht="15">
      <c r="B37" s="110">
        <v>26</v>
      </c>
      <c r="C37" s="501"/>
      <c r="D37" s="139"/>
      <c r="E37" s="362" t="str">
        <f>IF(C37="","",VLOOKUP(C37,'G-7 WaterC'' Data'!$B$2:$Z$9,2,FALSE))</f>
        <v/>
      </c>
      <c r="F37" s="363" t="str">
        <f>IFERROR(VLOOKUP(E37,'G-7 WaterC'' Data'!$C$4:$D$8,2,FALSE),"")</f>
        <v/>
      </c>
      <c r="G37" s="114"/>
      <c r="H37" s="363" t="str">
        <f>IFERROR(INDEX('G-7 WaterC'' Data'!$H$4:$L$8,MATCH(C37,'G-7 WaterC'' Data'!$B$4:$B$8,0),MATCH(G37,'G-7 WaterC'' Data'!$H$3:$L$3,0)),"")</f>
        <v/>
      </c>
      <c r="I37" s="54"/>
      <c r="J37" s="401" t="str">
        <f>IF(I37="","",IF(VLOOKUP(I37,'G-7 WaterC'' Data'!$AK$4:$AM$6,2,FALSE)=0,"Spatial Data Missing ⚠",VLOOKUP(I37,'G-7 WaterC'' Data'!$AK$4:$AM$6,2,FALSE)))</f>
        <v/>
      </c>
      <c r="K37" s="363" t="str">
        <f>IF(I37="","",IF(VLOOKUP(I37,'G-7 WaterC'' Data'!$AK$4:$AM$6,3,FALSE)=0,"Spatial Data Missing ⚠",VLOOKUP(I37,'G-7 WaterC'' Data'!$AK$4:$AM$6,3,FALSE)))</f>
        <v/>
      </c>
      <c r="L37" s="478" t="str">
        <f>IFERROR(INDEX('G-7 WaterC'' Data'!$O$3:$O$7,MATCH(G37,'G-7 WaterC'' Data'!$N$3:$N$7,0)),"")</f>
        <v/>
      </c>
      <c r="M37" s="55"/>
      <c r="N37" s="159"/>
      <c r="O37" s="370" t="str">
        <f t="shared" si="0"/>
        <v/>
      </c>
      <c r="P37" s="383" t="str">
        <f t="shared" si="1"/>
        <v/>
      </c>
      <c r="Q37" s="422" t="str">
        <f>IFERROR(IF(P37="Check Data ⚠","Check Data ⚠",VLOOKUP(P37,'G-4 Temporal multipliers'!$A$4:$C$37,3,FALSE)),"")</f>
        <v/>
      </c>
      <c r="R37" s="362" t="str">
        <f>IF(C37="","",VLOOKUP(C37,'G-7 WaterC'' Data'!$B$4:$G$8,4,FALSE))</f>
        <v/>
      </c>
      <c r="S37" s="370" t="str">
        <f t="shared" si="2"/>
        <v/>
      </c>
      <c r="T37" s="401" t="str">
        <f t="shared" si="3"/>
        <v/>
      </c>
      <c r="U37" s="363" t="str">
        <f>IF(C37="","",VLOOKUP(T37,'G-3 Multipliers'!$P$2:$Q$6,2,FALSE))</f>
        <v/>
      </c>
      <c r="V37" s="115"/>
      <c r="W37" s="363" t="str">
        <f>IF(V37="","",IF(VLOOKUP(V37,'G-7 WaterC'' Data'!$AA$4:$AB$7,2,FALSE)=0,"Spatial Data Missing ⚠",VLOOKUP(V37,'G-7 WaterC'' Data'!$AA$4:$AB$7,2,FALSE)))</f>
        <v/>
      </c>
      <c r="X37" s="60"/>
      <c r="Y37" s="363" t="str">
        <f>IF(X37="","",IF(VLOOKUP(X37,'G-7 WaterC'' Data'!$AD$4:$AE$14,2,FALSE)=0,"Enrcoachment Data Missing ⚠",VLOOKUP(X37,'G-7 WaterC'' Data'!$AD$4:$AE$14,2,FALSE)))</f>
        <v/>
      </c>
      <c r="Z37" s="115"/>
      <c r="AA37" s="363" t="str">
        <f>IF(Z37="","",IF(VLOOKUP(Z37,'G-7 WaterC'' Data'!$AO$4:$BO$7,2,FALSE)=0,"Spatial Data Missing ⚠",VLOOKUP(Z37,'G-7 WaterC'' Data'!$AO$4:$BO$7,2,FALSE)))</f>
        <v/>
      </c>
      <c r="AB37" s="405" t="str">
        <f t="shared" si="4"/>
        <v/>
      </c>
      <c r="AC37" s="405" t="str">
        <f t="shared" si="5"/>
        <v/>
      </c>
      <c r="AD37" s="117"/>
      <c r="AE37" s="692"/>
      <c r="AF37" s="119"/>
      <c r="AG37" s="120"/>
      <c r="AL37" s="30" t="str">
        <f>IFERROR(INDEX('G-7 WaterC'' Data'!$AZ$3:$AZ$7,MATCH(C37,'G-7 WaterC'' Data'!$AY$3:$AY$7,0)),"")</f>
        <v/>
      </c>
    </row>
    <row r="38" spans="2:38" ht="15">
      <c r="B38" s="110">
        <v>27</v>
      </c>
      <c r="C38" s="501"/>
      <c r="D38" s="139"/>
      <c r="E38" s="362" t="str">
        <f>IF(C38="","",VLOOKUP(C38,'G-7 WaterC'' Data'!$B$2:$Z$9,2,FALSE))</f>
        <v/>
      </c>
      <c r="F38" s="363" t="str">
        <f>IFERROR(VLOOKUP(E38,'G-7 WaterC'' Data'!$C$4:$D$8,2,FALSE),"")</f>
        <v/>
      </c>
      <c r="G38" s="114"/>
      <c r="H38" s="363" t="str">
        <f>IFERROR(INDEX('G-7 WaterC'' Data'!$H$4:$L$8,MATCH(C38,'G-7 WaterC'' Data'!$B$4:$B$8,0),MATCH(G38,'G-7 WaterC'' Data'!$H$3:$L$3,0)),"")</f>
        <v/>
      </c>
      <c r="I38" s="54"/>
      <c r="J38" s="401" t="str">
        <f>IF(I38="","",IF(VLOOKUP(I38,'G-7 WaterC'' Data'!$AK$4:$AM$6,2,FALSE)=0,"Spatial Data Missing ⚠",VLOOKUP(I38,'G-7 WaterC'' Data'!$AK$4:$AM$6,2,FALSE)))</f>
        <v/>
      </c>
      <c r="K38" s="363" t="str">
        <f>IF(I38="","",IF(VLOOKUP(I38,'G-7 WaterC'' Data'!$AK$4:$AM$6,3,FALSE)=0,"Spatial Data Missing ⚠",VLOOKUP(I38,'G-7 WaterC'' Data'!$AK$4:$AM$6,3,FALSE)))</f>
        <v/>
      </c>
      <c r="L38" s="478" t="str">
        <f>IFERROR(INDEX('G-7 WaterC'' Data'!$O$3:$O$7,MATCH(G38,'G-7 WaterC'' Data'!$N$3:$N$7,0)),"")</f>
        <v/>
      </c>
      <c r="M38" s="55"/>
      <c r="N38" s="159"/>
      <c r="O38" s="370" t="str">
        <f t="shared" si="0"/>
        <v/>
      </c>
      <c r="P38" s="383" t="str">
        <f t="shared" si="1"/>
        <v/>
      </c>
      <c r="Q38" s="422" t="str">
        <f>IFERROR(IF(P38="Check Data ⚠","Check Data ⚠",VLOOKUP(P38,'G-4 Temporal multipliers'!$A$4:$C$37,3,FALSE)),"")</f>
        <v/>
      </c>
      <c r="R38" s="362" t="str">
        <f>IF(C38="","",VLOOKUP(C38,'G-7 WaterC'' Data'!$B$4:$G$8,4,FALSE))</f>
        <v/>
      </c>
      <c r="S38" s="370" t="str">
        <f t="shared" si="2"/>
        <v/>
      </c>
      <c r="T38" s="401" t="str">
        <f t="shared" si="3"/>
        <v/>
      </c>
      <c r="U38" s="363" t="str">
        <f>IF(C38="","",VLOOKUP(T38,'G-3 Multipliers'!$P$2:$Q$6,2,FALSE))</f>
        <v/>
      </c>
      <c r="V38" s="115"/>
      <c r="W38" s="363" t="str">
        <f>IF(V38="","",IF(VLOOKUP(V38,'G-7 WaterC'' Data'!$AA$4:$AB$7,2,FALSE)=0,"Spatial Data Missing ⚠",VLOOKUP(V38,'G-7 WaterC'' Data'!$AA$4:$AB$7,2,FALSE)))</f>
        <v/>
      </c>
      <c r="X38" s="60"/>
      <c r="Y38" s="363" t="str">
        <f>IF(X38="","",IF(VLOOKUP(X38,'G-7 WaterC'' Data'!$AD$4:$AE$14,2,FALSE)=0,"Enrcoachment Data Missing ⚠",VLOOKUP(X38,'G-7 WaterC'' Data'!$AD$4:$AE$14,2,FALSE)))</f>
        <v/>
      </c>
      <c r="Z38" s="115"/>
      <c r="AA38" s="363" t="str">
        <f>IF(Z38="","",IF(VLOOKUP(Z38,'G-7 WaterC'' Data'!$AO$4:$BO$7,2,FALSE)=0,"Spatial Data Missing ⚠",VLOOKUP(Z38,'G-7 WaterC'' Data'!$AO$4:$BO$7,2,FALSE)))</f>
        <v/>
      </c>
      <c r="AB38" s="405" t="str">
        <f t="shared" si="4"/>
        <v/>
      </c>
      <c r="AC38" s="405" t="str">
        <f t="shared" si="5"/>
        <v/>
      </c>
      <c r="AD38" s="117"/>
      <c r="AE38" s="692"/>
      <c r="AF38" s="119"/>
      <c r="AG38" s="120"/>
      <c r="AL38" s="30" t="str">
        <f>IFERROR(INDEX('G-7 WaterC'' Data'!$AZ$3:$AZ$7,MATCH(C38,'G-7 WaterC'' Data'!$AY$3:$AY$7,0)),"")</f>
        <v/>
      </c>
    </row>
    <row r="39" spans="2:38" ht="15">
      <c r="B39" s="110">
        <v>28</v>
      </c>
      <c r="C39" s="501"/>
      <c r="D39" s="139"/>
      <c r="E39" s="362" t="str">
        <f>IF(C39="","",VLOOKUP(C39,'G-7 WaterC'' Data'!$B$2:$Z$9,2,FALSE))</f>
        <v/>
      </c>
      <c r="F39" s="363" t="str">
        <f>IFERROR(VLOOKUP(E39,'G-7 WaterC'' Data'!$C$4:$D$8,2,FALSE),"")</f>
        <v/>
      </c>
      <c r="G39" s="114"/>
      <c r="H39" s="363" t="str">
        <f>IFERROR(INDEX('G-7 WaterC'' Data'!$H$4:$L$8,MATCH(C39,'G-7 WaterC'' Data'!$B$4:$B$8,0),MATCH(G39,'G-7 WaterC'' Data'!$H$3:$L$3,0)),"")</f>
        <v/>
      </c>
      <c r="I39" s="54"/>
      <c r="J39" s="401" t="str">
        <f>IF(I39="","",IF(VLOOKUP(I39,'G-7 WaterC'' Data'!$AK$4:$AM$6,2,FALSE)=0,"Spatial Data Missing ⚠",VLOOKUP(I39,'G-7 WaterC'' Data'!$AK$4:$AM$6,2,FALSE)))</f>
        <v/>
      </c>
      <c r="K39" s="363" t="str">
        <f>IF(I39="","",IF(VLOOKUP(I39,'G-7 WaterC'' Data'!$AK$4:$AM$6,3,FALSE)=0,"Spatial Data Missing ⚠",VLOOKUP(I39,'G-7 WaterC'' Data'!$AK$4:$AM$6,3,FALSE)))</f>
        <v/>
      </c>
      <c r="L39" s="478" t="str">
        <f>IFERROR(INDEX('G-7 WaterC'' Data'!$O$3:$O$7,MATCH(G39,'G-7 WaterC'' Data'!$N$3:$N$7,0)),"")</f>
        <v/>
      </c>
      <c r="M39" s="55"/>
      <c r="N39" s="159"/>
      <c r="O39" s="370" t="str">
        <f t="shared" si="0"/>
        <v/>
      </c>
      <c r="P39" s="383" t="str">
        <f t="shared" si="1"/>
        <v/>
      </c>
      <c r="Q39" s="422" t="str">
        <f>IFERROR(IF(P39="Check Data ⚠","Check Data ⚠",VLOOKUP(P39,'G-4 Temporal multipliers'!$A$4:$C$37,3,FALSE)),"")</f>
        <v/>
      </c>
      <c r="R39" s="362" t="str">
        <f>IF(C39="","",VLOOKUP(C39,'G-7 WaterC'' Data'!$B$4:$G$8,4,FALSE))</f>
        <v/>
      </c>
      <c r="S39" s="370" t="str">
        <f t="shared" si="2"/>
        <v/>
      </c>
      <c r="T39" s="401" t="str">
        <f t="shared" si="3"/>
        <v/>
      </c>
      <c r="U39" s="363" t="str">
        <f>IF(C39="","",VLOOKUP(T39,'G-3 Multipliers'!$P$2:$Q$6,2,FALSE))</f>
        <v/>
      </c>
      <c r="V39" s="115"/>
      <c r="W39" s="363" t="str">
        <f>IF(V39="","",IF(VLOOKUP(V39,'G-7 WaterC'' Data'!$AA$4:$AB$7,2,FALSE)=0,"Spatial Data Missing ⚠",VLOOKUP(V39,'G-7 WaterC'' Data'!$AA$4:$AB$7,2,FALSE)))</f>
        <v/>
      </c>
      <c r="X39" s="60"/>
      <c r="Y39" s="363" t="str">
        <f>IF(X39="","",IF(VLOOKUP(X39,'G-7 WaterC'' Data'!$AD$4:$AE$14,2,FALSE)=0,"Enrcoachment Data Missing ⚠",VLOOKUP(X39,'G-7 WaterC'' Data'!$AD$4:$AE$14,2,FALSE)))</f>
        <v/>
      </c>
      <c r="Z39" s="115"/>
      <c r="AA39" s="363" t="str">
        <f>IF(Z39="","",IF(VLOOKUP(Z39,'G-7 WaterC'' Data'!$AO$4:$BO$7,2,FALSE)=0,"Spatial Data Missing ⚠",VLOOKUP(Z39,'G-7 WaterC'' Data'!$AO$4:$BO$7,2,FALSE)))</f>
        <v/>
      </c>
      <c r="AB39" s="405" t="str">
        <f t="shared" si="4"/>
        <v/>
      </c>
      <c r="AC39" s="405" t="str">
        <f t="shared" si="5"/>
        <v/>
      </c>
      <c r="AD39" s="117"/>
      <c r="AE39" s="692"/>
      <c r="AF39" s="119"/>
      <c r="AG39" s="120"/>
      <c r="AL39" s="30" t="str">
        <f>IFERROR(INDEX('G-7 WaterC'' Data'!$AZ$3:$AZ$7,MATCH(C39,'G-7 WaterC'' Data'!$AY$3:$AY$7,0)),"")</f>
        <v/>
      </c>
    </row>
    <row r="40" spans="2:38" ht="15">
      <c r="B40" s="110">
        <v>29</v>
      </c>
      <c r="C40" s="501"/>
      <c r="D40" s="139"/>
      <c r="E40" s="362" t="str">
        <f>IF(C40="","",VLOOKUP(C40,'G-7 WaterC'' Data'!$B$2:$Z$9,2,FALSE))</f>
        <v/>
      </c>
      <c r="F40" s="363" t="str">
        <f>IFERROR(VLOOKUP(E40,'G-7 WaterC'' Data'!$C$4:$D$8,2,FALSE),"")</f>
        <v/>
      </c>
      <c r="G40" s="114"/>
      <c r="H40" s="363" t="str">
        <f>IFERROR(INDEX('G-7 WaterC'' Data'!$H$4:$L$8,MATCH(C40,'G-7 WaterC'' Data'!$B$4:$B$8,0),MATCH(G40,'G-7 WaterC'' Data'!$H$3:$L$3,0)),"")</f>
        <v/>
      </c>
      <c r="I40" s="54"/>
      <c r="J40" s="401" t="str">
        <f>IF(I40="","",IF(VLOOKUP(I40,'G-7 WaterC'' Data'!$AK$4:$AM$6,2,FALSE)=0,"Spatial Data Missing ⚠",VLOOKUP(I40,'G-7 WaterC'' Data'!$AK$4:$AM$6,2,FALSE)))</f>
        <v/>
      </c>
      <c r="K40" s="363" t="str">
        <f>IF(I40="","",IF(VLOOKUP(I40,'G-7 WaterC'' Data'!$AK$4:$AM$6,3,FALSE)=0,"Spatial Data Missing ⚠",VLOOKUP(I40,'G-7 WaterC'' Data'!$AK$4:$AM$6,3,FALSE)))</f>
        <v/>
      </c>
      <c r="L40" s="478" t="str">
        <f>IFERROR(INDEX('G-7 WaterC'' Data'!$O$3:$O$7,MATCH(G40,'G-7 WaterC'' Data'!$N$3:$N$7,0)),"")</f>
        <v/>
      </c>
      <c r="M40" s="55"/>
      <c r="N40" s="159"/>
      <c r="O40" s="370" t="str">
        <f t="shared" si="0"/>
        <v/>
      </c>
      <c r="P40" s="383" t="str">
        <f t="shared" si="1"/>
        <v/>
      </c>
      <c r="Q40" s="422" t="str">
        <f>IFERROR(IF(P40="Check Data ⚠","Check Data ⚠",VLOOKUP(P40,'G-4 Temporal multipliers'!$A$4:$C$37,3,FALSE)),"")</f>
        <v/>
      </c>
      <c r="R40" s="362" t="str">
        <f>IF(C40="","",VLOOKUP(C40,'G-7 WaterC'' Data'!$B$4:$G$8,4,FALSE))</f>
        <v/>
      </c>
      <c r="S40" s="370" t="str">
        <f t="shared" si="2"/>
        <v/>
      </c>
      <c r="T40" s="401" t="str">
        <f t="shared" si="3"/>
        <v/>
      </c>
      <c r="U40" s="363" t="str">
        <f>IF(C40="","",VLOOKUP(T40,'G-3 Multipliers'!$P$2:$Q$6,2,FALSE))</f>
        <v/>
      </c>
      <c r="V40" s="115"/>
      <c r="W40" s="363" t="str">
        <f>IF(V40="","",IF(VLOOKUP(V40,'G-7 WaterC'' Data'!$AA$4:$AB$7,2,FALSE)=0,"Spatial Data Missing ⚠",VLOOKUP(V40,'G-7 WaterC'' Data'!$AA$4:$AB$7,2,FALSE)))</f>
        <v/>
      </c>
      <c r="X40" s="60"/>
      <c r="Y40" s="363" t="str">
        <f>IF(X40="","",IF(VLOOKUP(X40,'G-7 WaterC'' Data'!$AD$4:$AE$14,2,FALSE)=0,"Enrcoachment Data Missing ⚠",VLOOKUP(X40,'G-7 WaterC'' Data'!$AD$4:$AE$14,2,FALSE)))</f>
        <v/>
      </c>
      <c r="Z40" s="115"/>
      <c r="AA40" s="363" t="str">
        <f>IF(Z40="","",IF(VLOOKUP(Z40,'G-7 WaterC'' Data'!$AO$4:$BO$7,2,FALSE)=0,"Spatial Data Missing ⚠",VLOOKUP(Z40,'G-7 WaterC'' Data'!$AO$4:$BO$7,2,FALSE)))</f>
        <v/>
      </c>
      <c r="AB40" s="405" t="str">
        <f t="shared" si="4"/>
        <v/>
      </c>
      <c r="AC40" s="405" t="str">
        <f t="shared" si="5"/>
        <v/>
      </c>
      <c r="AD40" s="117"/>
      <c r="AE40" s="692"/>
      <c r="AF40" s="119"/>
      <c r="AG40" s="120"/>
      <c r="AL40" s="30" t="str">
        <f>IFERROR(INDEX('G-7 WaterC'' Data'!$AZ$3:$AZ$7,MATCH(C40,'G-7 WaterC'' Data'!$AY$3:$AY$7,0)),"")</f>
        <v/>
      </c>
    </row>
    <row r="41" spans="2:38" ht="15">
      <c r="B41" s="110">
        <v>30</v>
      </c>
      <c r="C41" s="501"/>
      <c r="D41" s="139"/>
      <c r="E41" s="362" t="str">
        <f>IF(C41="","",VLOOKUP(C41,'G-7 WaterC'' Data'!$B$2:$Z$9,2,FALSE))</f>
        <v/>
      </c>
      <c r="F41" s="363" t="str">
        <f>IFERROR(VLOOKUP(E41,'G-7 WaterC'' Data'!$C$4:$D$8,2,FALSE),"")</f>
        <v/>
      </c>
      <c r="G41" s="114"/>
      <c r="H41" s="363" t="str">
        <f>IFERROR(INDEX('G-7 WaterC'' Data'!$H$4:$L$8,MATCH(C41,'G-7 WaterC'' Data'!$B$4:$B$8,0),MATCH(G41,'G-7 WaterC'' Data'!$H$3:$L$3,0)),"")</f>
        <v/>
      </c>
      <c r="I41" s="54"/>
      <c r="J41" s="401" t="str">
        <f>IF(I41="","",IF(VLOOKUP(I41,'G-7 WaterC'' Data'!$AK$4:$AM$6,2,FALSE)=0,"Spatial Data Missing ⚠",VLOOKUP(I41,'G-7 WaterC'' Data'!$AK$4:$AM$6,2,FALSE)))</f>
        <v/>
      </c>
      <c r="K41" s="363" t="str">
        <f>IF(I41="","",IF(VLOOKUP(I41,'G-7 WaterC'' Data'!$AK$4:$AM$6,3,FALSE)=0,"Spatial Data Missing ⚠",VLOOKUP(I41,'G-7 WaterC'' Data'!$AK$4:$AM$6,3,FALSE)))</f>
        <v/>
      </c>
      <c r="L41" s="478" t="str">
        <f>IFERROR(INDEX('G-7 WaterC'' Data'!$O$3:$O$7,MATCH(G41,'G-7 WaterC'' Data'!$N$3:$N$7,0)),"")</f>
        <v/>
      </c>
      <c r="M41" s="55"/>
      <c r="N41" s="159"/>
      <c r="O41" s="370" t="str">
        <f t="shared" si="0"/>
        <v/>
      </c>
      <c r="P41" s="383" t="str">
        <f t="shared" si="1"/>
        <v/>
      </c>
      <c r="Q41" s="422" t="str">
        <f>IFERROR(IF(P41="Check Data ⚠","Check Data ⚠",VLOOKUP(P41,'G-4 Temporal multipliers'!$A$4:$C$37,3,FALSE)),"")</f>
        <v/>
      </c>
      <c r="R41" s="362" t="str">
        <f>IF(C41="","",VLOOKUP(C41,'G-7 WaterC'' Data'!$B$4:$G$8,4,FALSE))</f>
        <v/>
      </c>
      <c r="S41" s="370" t="str">
        <f t="shared" si="2"/>
        <v/>
      </c>
      <c r="T41" s="401" t="str">
        <f t="shared" si="3"/>
        <v/>
      </c>
      <c r="U41" s="363" t="str">
        <f>IF(C41="","",VLOOKUP(T41,'G-3 Multipliers'!$P$2:$Q$6,2,FALSE))</f>
        <v/>
      </c>
      <c r="V41" s="115"/>
      <c r="W41" s="363" t="str">
        <f>IF(V41="","",IF(VLOOKUP(V41,'G-7 WaterC'' Data'!$AA$4:$AB$7,2,FALSE)=0,"Spatial Data Missing ⚠",VLOOKUP(V41,'G-7 WaterC'' Data'!$AA$4:$AB$7,2,FALSE)))</f>
        <v/>
      </c>
      <c r="X41" s="60"/>
      <c r="Y41" s="363" t="str">
        <f>IF(X41="","",IF(VLOOKUP(X41,'G-7 WaterC'' Data'!$AD$4:$AE$14,2,FALSE)=0,"Enrcoachment Data Missing ⚠",VLOOKUP(X41,'G-7 WaterC'' Data'!$AD$4:$AE$14,2,FALSE)))</f>
        <v/>
      </c>
      <c r="Z41" s="115"/>
      <c r="AA41" s="363" t="str">
        <f>IF(Z41="","",IF(VLOOKUP(Z41,'G-7 WaterC'' Data'!$AO$4:$BO$7,2,FALSE)=0,"Spatial Data Missing ⚠",VLOOKUP(Z41,'G-7 WaterC'' Data'!$AO$4:$BO$7,2,FALSE)))</f>
        <v/>
      </c>
      <c r="AB41" s="405" t="str">
        <f t="shared" si="4"/>
        <v/>
      </c>
      <c r="AC41" s="405" t="str">
        <f t="shared" si="5"/>
        <v/>
      </c>
      <c r="AD41" s="117"/>
      <c r="AE41" s="692"/>
      <c r="AF41" s="119"/>
      <c r="AG41" s="120"/>
      <c r="AL41" s="30" t="str">
        <f>IFERROR(INDEX('G-7 WaterC'' Data'!$AZ$3:$AZ$7,MATCH(C41,'G-7 WaterC'' Data'!$AY$3:$AY$7,0)),"")</f>
        <v/>
      </c>
    </row>
    <row r="42" spans="2:38" ht="15">
      <c r="B42" s="110">
        <v>31</v>
      </c>
      <c r="C42" s="501"/>
      <c r="D42" s="139"/>
      <c r="E42" s="362" t="str">
        <f>IF(C42="","",VLOOKUP(C42,'G-7 WaterC'' Data'!$B$2:$Z$9,2,FALSE))</f>
        <v/>
      </c>
      <c r="F42" s="363" t="str">
        <f>IFERROR(VLOOKUP(E42,'G-7 WaterC'' Data'!$C$4:$D$8,2,FALSE),"")</f>
        <v/>
      </c>
      <c r="G42" s="114"/>
      <c r="H42" s="363" t="str">
        <f>IFERROR(INDEX('G-7 WaterC'' Data'!$H$4:$L$8,MATCH(C42,'G-7 WaterC'' Data'!$B$4:$B$8,0),MATCH(G42,'G-7 WaterC'' Data'!$H$3:$L$3,0)),"")</f>
        <v/>
      </c>
      <c r="I42" s="54"/>
      <c r="J42" s="401" t="str">
        <f>IF(I42="","",IF(VLOOKUP(I42,'G-7 WaterC'' Data'!$AK$4:$AM$6,2,FALSE)=0,"Spatial Data Missing ⚠",VLOOKUP(I42,'G-7 WaterC'' Data'!$AK$4:$AM$6,2,FALSE)))</f>
        <v/>
      </c>
      <c r="K42" s="363" t="str">
        <f>IF(I42="","",IF(VLOOKUP(I42,'G-7 WaterC'' Data'!$AK$4:$AM$6,3,FALSE)=0,"Spatial Data Missing ⚠",VLOOKUP(I42,'G-7 WaterC'' Data'!$AK$4:$AM$6,3,FALSE)))</f>
        <v/>
      </c>
      <c r="L42" s="478" t="str">
        <f>IFERROR(INDEX('G-7 WaterC'' Data'!$O$3:$O$7,MATCH(G42,'G-7 WaterC'' Data'!$N$3:$N$7,0)),"")</f>
        <v/>
      </c>
      <c r="M42" s="55"/>
      <c r="N42" s="159"/>
      <c r="O42" s="370" t="str">
        <f t="shared" si="0"/>
        <v/>
      </c>
      <c r="P42" s="383" t="str">
        <f t="shared" si="1"/>
        <v/>
      </c>
      <c r="Q42" s="422" t="str">
        <f>IFERROR(IF(P42="Check Data ⚠","Check Data ⚠",VLOOKUP(P42,'G-4 Temporal multipliers'!$A$4:$C$37,3,FALSE)),"")</f>
        <v/>
      </c>
      <c r="R42" s="362" t="str">
        <f>IF(C42="","",VLOOKUP(C42,'G-7 WaterC'' Data'!$B$4:$G$8,4,FALSE))</f>
        <v/>
      </c>
      <c r="S42" s="370" t="str">
        <f t="shared" si="2"/>
        <v/>
      </c>
      <c r="T42" s="401" t="str">
        <f t="shared" si="3"/>
        <v/>
      </c>
      <c r="U42" s="363" t="str">
        <f>IF(C42="","",VLOOKUP(T42,'G-3 Multipliers'!$P$2:$Q$6,2,FALSE))</f>
        <v/>
      </c>
      <c r="V42" s="115"/>
      <c r="W42" s="363" t="str">
        <f>IF(V42="","",IF(VLOOKUP(V42,'G-7 WaterC'' Data'!$AA$4:$AB$7,2,FALSE)=0,"Spatial Data Missing ⚠",VLOOKUP(V42,'G-7 WaterC'' Data'!$AA$4:$AB$7,2,FALSE)))</f>
        <v/>
      </c>
      <c r="X42" s="60"/>
      <c r="Y42" s="363" t="str">
        <f>IF(X42="","",IF(VLOOKUP(X42,'G-7 WaterC'' Data'!$AD$4:$AE$14,2,FALSE)=0,"Enrcoachment Data Missing ⚠",VLOOKUP(X42,'G-7 WaterC'' Data'!$AD$4:$AE$14,2,FALSE)))</f>
        <v/>
      </c>
      <c r="Z42" s="115"/>
      <c r="AA42" s="363" t="str">
        <f>IF(Z42="","",IF(VLOOKUP(Z42,'G-7 WaterC'' Data'!$AO$4:$BO$7,2,FALSE)=0,"Spatial Data Missing ⚠",VLOOKUP(Z42,'G-7 WaterC'' Data'!$AO$4:$BO$7,2,FALSE)))</f>
        <v/>
      </c>
      <c r="AB42" s="405" t="str">
        <f t="shared" si="4"/>
        <v/>
      </c>
      <c r="AC42" s="405" t="str">
        <f t="shared" si="5"/>
        <v/>
      </c>
      <c r="AD42" s="117"/>
      <c r="AE42" s="692"/>
      <c r="AF42" s="119"/>
      <c r="AG42" s="120"/>
      <c r="AL42" s="30" t="str">
        <f>IFERROR(INDEX('G-7 WaterC'' Data'!$AZ$3:$AZ$7,MATCH(C42,'G-7 WaterC'' Data'!$AY$3:$AY$7,0)),"")</f>
        <v/>
      </c>
    </row>
    <row r="43" spans="2:38" ht="15">
      <c r="B43" s="110">
        <v>32</v>
      </c>
      <c r="C43" s="501"/>
      <c r="D43" s="139"/>
      <c r="E43" s="362" t="str">
        <f>IF(C43="","",VLOOKUP(C43,'G-7 WaterC'' Data'!$B$2:$Z$9,2,FALSE))</f>
        <v/>
      </c>
      <c r="F43" s="363" t="str">
        <f>IFERROR(VLOOKUP(E43,'G-7 WaterC'' Data'!$C$4:$D$8,2,FALSE),"")</f>
        <v/>
      </c>
      <c r="G43" s="114"/>
      <c r="H43" s="363" t="str">
        <f>IFERROR(INDEX('G-7 WaterC'' Data'!$H$4:$L$8,MATCH(C43,'G-7 WaterC'' Data'!$B$4:$B$8,0),MATCH(G43,'G-7 WaterC'' Data'!$H$3:$L$3,0)),"")</f>
        <v/>
      </c>
      <c r="I43" s="54"/>
      <c r="J43" s="401" t="str">
        <f>IF(I43="","",IF(VLOOKUP(I43,'G-7 WaterC'' Data'!$AK$4:$AM$6,2,FALSE)=0,"Spatial Data Missing ⚠",VLOOKUP(I43,'G-7 WaterC'' Data'!$AK$4:$AM$6,2,FALSE)))</f>
        <v/>
      </c>
      <c r="K43" s="363" t="str">
        <f>IF(I43="","",IF(VLOOKUP(I43,'G-7 WaterC'' Data'!$AK$4:$AM$6,3,FALSE)=0,"Spatial Data Missing ⚠",VLOOKUP(I43,'G-7 WaterC'' Data'!$AK$4:$AM$6,3,FALSE)))</f>
        <v/>
      </c>
      <c r="L43" s="478" t="str">
        <f>IFERROR(INDEX('G-7 WaterC'' Data'!$O$3:$O$7,MATCH(G43,'G-7 WaterC'' Data'!$N$3:$N$7,0)),"")</f>
        <v/>
      </c>
      <c r="M43" s="55"/>
      <c r="N43" s="159"/>
      <c r="O43" s="370" t="str">
        <f t="shared" si="0"/>
        <v/>
      </c>
      <c r="P43" s="383" t="str">
        <f t="shared" si="1"/>
        <v/>
      </c>
      <c r="Q43" s="422" t="str">
        <f>IFERROR(IF(P43="Check Data ⚠","Check Data ⚠",VLOOKUP(P43,'G-4 Temporal multipliers'!$A$4:$C$37,3,FALSE)),"")</f>
        <v/>
      </c>
      <c r="R43" s="362" t="str">
        <f>IF(C43="","",VLOOKUP(C43,'G-7 WaterC'' Data'!$B$4:$G$8,4,FALSE))</f>
        <v/>
      </c>
      <c r="S43" s="370" t="str">
        <f t="shared" si="2"/>
        <v/>
      </c>
      <c r="T43" s="401" t="str">
        <f t="shared" si="3"/>
        <v/>
      </c>
      <c r="U43" s="363" t="str">
        <f>IF(C43="","",VLOOKUP(T43,'G-3 Multipliers'!$P$2:$Q$6,2,FALSE))</f>
        <v/>
      </c>
      <c r="V43" s="115"/>
      <c r="W43" s="363" t="str">
        <f>IF(V43="","",IF(VLOOKUP(V43,'G-7 WaterC'' Data'!$AA$4:$AB$7,2,FALSE)=0,"Spatial Data Missing ⚠",VLOOKUP(V43,'G-7 WaterC'' Data'!$AA$4:$AB$7,2,FALSE)))</f>
        <v/>
      </c>
      <c r="X43" s="60"/>
      <c r="Y43" s="363" t="str">
        <f>IF(X43="","",IF(VLOOKUP(X43,'G-7 WaterC'' Data'!$AD$4:$AE$14,2,FALSE)=0,"Enrcoachment Data Missing ⚠",VLOOKUP(X43,'G-7 WaterC'' Data'!$AD$4:$AE$14,2,FALSE)))</f>
        <v/>
      </c>
      <c r="Z43" s="115"/>
      <c r="AA43" s="363" t="str">
        <f>IF(Z43="","",IF(VLOOKUP(Z43,'G-7 WaterC'' Data'!$AO$4:$BO$7,2,FALSE)=0,"Spatial Data Missing ⚠",VLOOKUP(Z43,'G-7 WaterC'' Data'!$AO$4:$BO$7,2,FALSE)))</f>
        <v/>
      </c>
      <c r="AB43" s="405" t="str">
        <f t="shared" si="4"/>
        <v/>
      </c>
      <c r="AC43" s="405" t="str">
        <f t="shared" si="5"/>
        <v/>
      </c>
      <c r="AD43" s="117"/>
      <c r="AE43" s="692"/>
      <c r="AF43" s="119"/>
      <c r="AG43" s="120"/>
      <c r="AL43" s="30" t="str">
        <f>IFERROR(INDEX('G-7 WaterC'' Data'!$AZ$3:$AZ$7,MATCH(C43,'G-7 WaterC'' Data'!$AY$3:$AY$7,0)),"")</f>
        <v/>
      </c>
    </row>
    <row r="44" spans="2:38" ht="15">
      <c r="B44" s="110">
        <v>33</v>
      </c>
      <c r="C44" s="501"/>
      <c r="D44" s="139"/>
      <c r="E44" s="362" t="str">
        <f>IF(C44="","",VLOOKUP(C44,'G-7 WaterC'' Data'!$B$2:$Z$9,2,FALSE))</f>
        <v/>
      </c>
      <c r="F44" s="363" t="str">
        <f>IFERROR(VLOOKUP(E44,'G-7 WaterC'' Data'!$C$4:$D$8,2,FALSE),"")</f>
        <v/>
      </c>
      <c r="G44" s="114"/>
      <c r="H44" s="363" t="str">
        <f>IFERROR(INDEX('G-7 WaterC'' Data'!$H$4:$L$8,MATCH(C44,'G-7 WaterC'' Data'!$B$4:$B$8,0),MATCH(G44,'G-7 WaterC'' Data'!$H$3:$L$3,0)),"")</f>
        <v/>
      </c>
      <c r="I44" s="54"/>
      <c r="J44" s="401" t="str">
        <f>IF(I44="","",IF(VLOOKUP(I44,'G-7 WaterC'' Data'!$AK$4:$AM$6,2,FALSE)=0,"Spatial Data Missing ⚠",VLOOKUP(I44,'G-7 WaterC'' Data'!$AK$4:$AM$6,2,FALSE)))</f>
        <v/>
      </c>
      <c r="K44" s="363" t="str">
        <f>IF(I44="","",IF(VLOOKUP(I44,'G-7 WaterC'' Data'!$AK$4:$AM$6,3,FALSE)=0,"Spatial Data Missing ⚠",VLOOKUP(I44,'G-7 WaterC'' Data'!$AK$4:$AM$6,3,FALSE)))</f>
        <v/>
      </c>
      <c r="L44" s="478" t="str">
        <f>IFERROR(INDEX('G-7 WaterC'' Data'!$O$3:$O$7,MATCH(G44,'G-7 WaterC'' Data'!$N$3:$N$7,0)),"")</f>
        <v/>
      </c>
      <c r="M44" s="55"/>
      <c r="N44" s="159"/>
      <c r="O44" s="370" t="str">
        <f t="shared" si="0"/>
        <v/>
      </c>
      <c r="P44" s="383" t="str">
        <f t="shared" si="1"/>
        <v/>
      </c>
      <c r="Q44" s="422" t="str">
        <f>IFERROR(IF(P44="Check Data ⚠","Check Data ⚠",VLOOKUP(P44,'G-4 Temporal multipliers'!$A$4:$C$37,3,FALSE)),"")</f>
        <v/>
      </c>
      <c r="R44" s="362" t="str">
        <f>IF(C44="","",VLOOKUP(C44,'G-7 WaterC'' Data'!$B$4:$G$8,4,FALSE))</f>
        <v/>
      </c>
      <c r="S44" s="370" t="str">
        <f t="shared" si="2"/>
        <v/>
      </c>
      <c r="T44" s="401" t="str">
        <f t="shared" si="3"/>
        <v/>
      </c>
      <c r="U44" s="363" t="str">
        <f>IF(C44="","",VLOOKUP(T44,'G-3 Multipliers'!$P$2:$Q$6,2,FALSE))</f>
        <v/>
      </c>
      <c r="V44" s="115"/>
      <c r="W44" s="363" t="str">
        <f>IF(V44="","",IF(VLOOKUP(V44,'G-7 WaterC'' Data'!$AA$4:$AB$7,2,FALSE)=0,"Spatial Data Missing ⚠",VLOOKUP(V44,'G-7 WaterC'' Data'!$AA$4:$AB$7,2,FALSE)))</f>
        <v/>
      </c>
      <c r="X44" s="60"/>
      <c r="Y44" s="363" t="str">
        <f>IF(X44="","",IF(VLOOKUP(X44,'G-7 WaterC'' Data'!$AD$4:$AE$14,2,FALSE)=0,"Enrcoachment Data Missing ⚠",VLOOKUP(X44,'G-7 WaterC'' Data'!$AD$4:$AE$14,2,FALSE)))</f>
        <v/>
      </c>
      <c r="Z44" s="115"/>
      <c r="AA44" s="363" t="str">
        <f>IF(Z44="","",IF(VLOOKUP(Z44,'G-7 WaterC'' Data'!$AO$4:$BO$7,2,FALSE)=0,"Spatial Data Missing ⚠",VLOOKUP(Z44,'G-7 WaterC'' Data'!$AO$4:$BO$7,2,FALSE)))</f>
        <v/>
      </c>
      <c r="AB44" s="405" t="str">
        <f t="shared" si="4"/>
        <v/>
      </c>
      <c r="AC44" s="405" t="str">
        <f t="shared" si="5"/>
        <v/>
      </c>
      <c r="AD44" s="117"/>
      <c r="AE44" s="692"/>
      <c r="AF44" s="119"/>
      <c r="AG44" s="120"/>
      <c r="AL44" s="30" t="str">
        <f>IFERROR(INDEX('G-7 WaterC'' Data'!$AZ$3:$AZ$7,MATCH(C44,'G-7 WaterC'' Data'!$AY$3:$AY$7,0)),"")</f>
        <v/>
      </c>
    </row>
    <row r="45" spans="2:38" ht="15">
      <c r="B45" s="110">
        <v>34</v>
      </c>
      <c r="C45" s="501"/>
      <c r="D45" s="139"/>
      <c r="E45" s="362" t="str">
        <f>IF(C45="","",VLOOKUP(C45,'G-7 WaterC'' Data'!$B$2:$Z$9,2,FALSE))</f>
        <v/>
      </c>
      <c r="F45" s="363" t="str">
        <f>IFERROR(VLOOKUP(E45,'G-7 WaterC'' Data'!$C$4:$D$8,2,FALSE),"")</f>
        <v/>
      </c>
      <c r="G45" s="114"/>
      <c r="H45" s="363" t="str">
        <f>IFERROR(INDEX('G-7 WaterC'' Data'!$H$4:$L$8,MATCH(C45,'G-7 WaterC'' Data'!$B$4:$B$8,0),MATCH(G45,'G-7 WaterC'' Data'!$H$3:$L$3,0)),"")</f>
        <v/>
      </c>
      <c r="I45" s="54"/>
      <c r="J45" s="401" t="str">
        <f>IF(I45="","",IF(VLOOKUP(I45,'G-7 WaterC'' Data'!$AK$4:$AM$6,2,FALSE)=0,"Spatial Data Missing ⚠",VLOOKUP(I45,'G-7 WaterC'' Data'!$AK$4:$AM$6,2,FALSE)))</f>
        <v/>
      </c>
      <c r="K45" s="363" t="str">
        <f>IF(I45="","",IF(VLOOKUP(I45,'G-7 WaterC'' Data'!$AK$4:$AM$6,3,FALSE)=0,"Spatial Data Missing ⚠",VLOOKUP(I45,'G-7 WaterC'' Data'!$AK$4:$AM$6,3,FALSE)))</f>
        <v/>
      </c>
      <c r="L45" s="478" t="str">
        <f>IFERROR(INDEX('G-7 WaterC'' Data'!$O$3:$O$7,MATCH(G45,'G-7 WaterC'' Data'!$N$3:$N$7,0)),"")</f>
        <v/>
      </c>
      <c r="M45" s="55"/>
      <c r="N45" s="159"/>
      <c r="O45" s="370" t="str">
        <f t="shared" si="0"/>
        <v/>
      </c>
      <c r="P45" s="383" t="str">
        <f t="shared" si="1"/>
        <v/>
      </c>
      <c r="Q45" s="422" t="str">
        <f>IFERROR(IF(P45="Check Data ⚠","Check Data ⚠",VLOOKUP(P45,'G-4 Temporal multipliers'!$A$4:$C$37,3,FALSE)),"")</f>
        <v/>
      </c>
      <c r="R45" s="362" t="str">
        <f>IF(C45="","",VLOOKUP(C45,'G-7 WaterC'' Data'!$B$4:$G$8,4,FALSE))</f>
        <v/>
      </c>
      <c r="S45" s="370" t="str">
        <f t="shared" si="2"/>
        <v/>
      </c>
      <c r="T45" s="401" t="str">
        <f t="shared" si="3"/>
        <v/>
      </c>
      <c r="U45" s="363" t="str">
        <f>IF(C45="","",VLOOKUP(T45,'G-3 Multipliers'!$P$2:$Q$6,2,FALSE))</f>
        <v/>
      </c>
      <c r="V45" s="115"/>
      <c r="W45" s="363" t="str">
        <f>IF(V45="","",IF(VLOOKUP(V45,'G-7 WaterC'' Data'!$AA$4:$AB$7,2,FALSE)=0,"Spatial Data Missing ⚠",VLOOKUP(V45,'G-7 WaterC'' Data'!$AA$4:$AB$7,2,FALSE)))</f>
        <v/>
      </c>
      <c r="X45" s="60"/>
      <c r="Y45" s="363" t="str">
        <f>IF(X45="","",IF(VLOOKUP(X45,'G-7 WaterC'' Data'!$AD$4:$AE$14,2,FALSE)=0,"Enrcoachment Data Missing ⚠",VLOOKUP(X45,'G-7 WaterC'' Data'!$AD$4:$AE$14,2,FALSE)))</f>
        <v/>
      </c>
      <c r="Z45" s="115"/>
      <c r="AA45" s="363" t="str">
        <f>IF(Z45="","",IF(VLOOKUP(Z45,'G-7 WaterC'' Data'!$AO$4:$BO$7,2,FALSE)=0,"Spatial Data Missing ⚠",VLOOKUP(Z45,'G-7 WaterC'' Data'!$AO$4:$BO$7,2,FALSE)))</f>
        <v/>
      </c>
      <c r="AB45" s="405" t="str">
        <f t="shared" si="4"/>
        <v/>
      </c>
      <c r="AC45" s="405" t="str">
        <f t="shared" si="5"/>
        <v/>
      </c>
      <c r="AD45" s="117"/>
      <c r="AE45" s="692"/>
      <c r="AF45" s="119"/>
      <c r="AG45" s="120"/>
      <c r="AL45" s="30" t="str">
        <f>IFERROR(INDEX('G-7 WaterC'' Data'!$AZ$3:$AZ$7,MATCH(C45,'G-7 WaterC'' Data'!$AY$3:$AY$7,0)),"")</f>
        <v/>
      </c>
    </row>
    <row r="46" spans="2:38" ht="15">
      <c r="B46" s="110">
        <v>35</v>
      </c>
      <c r="C46" s="501"/>
      <c r="D46" s="139"/>
      <c r="E46" s="362" t="str">
        <f>IF(C46="","",VLOOKUP(C46,'G-7 WaterC'' Data'!$B$2:$Z$9,2,FALSE))</f>
        <v/>
      </c>
      <c r="F46" s="363" t="str">
        <f>IFERROR(VLOOKUP(E46,'G-7 WaterC'' Data'!$C$4:$D$8,2,FALSE),"")</f>
        <v/>
      </c>
      <c r="G46" s="114"/>
      <c r="H46" s="363" t="str">
        <f>IFERROR(INDEX('G-7 WaterC'' Data'!$H$4:$L$8,MATCH(C46,'G-7 WaterC'' Data'!$B$4:$B$8,0),MATCH(G46,'G-7 WaterC'' Data'!$H$3:$L$3,0)),"")</f>
        <v/>
      </c>
      <c r="I46" s="54"/>
      <c r="J46" s="401" t="str">
        <f>IF(I46="","",IF(VLOOKUP(I46,'G-7 WaterC'' Data'!$AK$4:$AM$6,2,FALSE)=0,"Spatial Data Missing ⚠",VLOOKUP(I46,'G-7 WaterC'' Data'!$AK$4:$AM$6,2,FALSE)))</f>
        <v/>
      </c>
      <c r="K46" s="363" t="str">
        <f>IF(I46="","",IF(VLOOKUP(I46,'G-7 WaterC'' Data'!$AK$4:$AM$6,3,FALSE)=0,"Spatial Data Missing ⚠",VLOOKUP(I46,'G-7 WaterC'' Data'!$AK$4:$AM$6,3,FALSE)))</f>
        <v/>
      </c>
      <c r="L46" s="478" t="str">
        <f>IFERROR(INDEX('G-7 WaterC'' Data'!$O$3:$O$7,MATCH(G46,'G-7 WaterC'' Data'!$N$3:$N$7,0)),"")</f>
        <v/>
      </c>
      <c r="M46" s="55"/>
      <c r="N46" s="159"/>
      <c r="O46" s="370" t="str">
        <f t="shared" si="0"/>
        <v/>
      </c>
      <c r="P46" s="383" t="str">
        <f t="shared" si="1"/>
        <v/>
      </c>
      <c r="Q46" s="422" t="str">
        <f>IFERROR(IF(P46="Check Data ⚠","Check Data ⚠",VLOOKUP(P46,'G-4 Temporal multipliers'!$A$4:$C$37,3,FALSE)),"")</f>
        <v/>
      </c>
      <c r="R46" s="362" t="str">
        <f>IF(C46="","",VLOOKUP(C46,'G-7 WaterC'' Data'!$B$4:$G$8,4,FALSE))</f>
        <v/>
      </c>
      <c r="S46" s="370" t="str">
        <f t="shared" si="2"/>
        <v/>
      </c>
      <c r="T46" s="401" t="str">
        <f t="shared" si="3"/>
        <v/>
      </c>
      <c r="U46" s="363" t="str">
        <f>IF(C46="","",VLOOKUP(T46,'G-3 Multipliers'!$P$2:$Q$6,2,FALSE))</f>
        <v/>
      </c>
      <c r="V46" s="115"/>
      <c r="W46" s="363" t="str">
        <f>IF(V46="","",IF(VLOOKUP(V46,'G-7 WaterC'' Data'!$AA$4:$AB$7,2,FALSE)=0,"Spatial Data Missing ⚠",VLOOKUP(V46,'G-7 WaterC'' Data'!$AA$4:$AB$7,2,FALSE)))</f>
        <v/>
      </c>
      <c r="X46" s="60"/>
      <c r="Y46" s="363" t="str">
        <f>IF(X46="","",IF(VLOOKUP(X46,'G-7 WaterC'' Data'!$AD$4:$AE$14,2,FALSE)=0,"Enrcoachment Data Missing ⚠",VLOOKUP(X46,'G-7 WaterC'' Data'!$AD$4:$AE$14,2,FALSE)))</f>
        <v/>
      </c>
      <c r="Z46" s="115"/>
      <c r="AA46" s="363" t="str">
        <f>IF(Z46="","",IF(VLOOKUP(Z46,'G-7 WaterC'' Data'!$AO$4:$BO$7,2,FALSE)=0,"Spatial Data Missing ⚠",VLOOKUP(Z46,'G-7 WaterC'' Data'!$AO$4:$BO$7,2,FALSE)))</f>
        <v/>
      </c>
      <c r="AB46" s="405" t="str">
        <f t="shared" si="4"/>
        <v/>
      </c>
      <c r="AC46" s="405" t="str">
        <f t="shared" si="5"/>
        <v/>
      </c>
      <c r="AD46" s="117"/>
      <c r="AE46" s="692"/>
      <c r="AF46" s="119"/>
      <c r="AG46" s="120"/>
      <c r="AL46" s="30" t="str">
        <f>IFERROR(INDEX('G-7 WaterC'' Data'!$AZ$3:$AZ$7,MATCH(C46,'G-7 WaterC'' Data'!$AY$3:$AY$7,0)),"")</f>
        <v/>
      </c>
    </row>
    <row r="47" spans="2:38" ht="15">
      <c r="B47" s="110">
        <v>36</v>
      </c>
      <c r="C47" s="501"/>
      <c r="D47" s="139"/>
      <c r="E47" s="362" t="str">
        <f>IF(C47="","",VLOOKUP(C47,'G-7 WaterC'' Data'!$B$2:$Z$9,2,FALSE))</f>
        <v/>
      </c>
      <c r="F47" s="363" t="str">
        <f>IFERROR(VLOOKUP(E47,'G-7 WaterC'' Data'!$C$4:$D$8,2,FALSE),"")</f>
        <v/>
      </c>
      <c r="G47" s="114"/>
      <c r="H47" s="363" t="str">
        <f>IFERROR(INDEX('G-7 WaterC'' Data'!$H$4:$L$8,MATCH(C47,'G-7 WaterC'' Data'!$B$4:$B$8,0),MATCH(G47,'G-7 WaterC'' Data'!$H$3:$L$3,0)),"")</f>
        <v/>
      </c>
      <c r="I47" s="54"/>
      <c r="J47" s="401" t="str">
        <f>IF(I47="","",IF(VLOOKUP(I47,'G-7 WaterC'' Data'!$AK$4:$AM$6,2,FALSE)=0,"Spatial Data Missing ⚠",VLOOKUP(I47,'G-7 WaterC'' Data'!$AK$4:$AM$6,2,FALSE)))</f>
        <v/>
      </c>
      <c r="K47" s="363" t="str">
        <f>IF(I47="","",IF(VLOOKUP(I47,'G-7 WaterC'' Data'!$AK$4:$AM$6,3,FALSE)=0,"Spatial Data Missing ⚠",VLOOKUP(I47,'G-7 WaterC'' Data'!$AK$4:$AM$6,3,FALSE)))</f>
        <v/>
      </c>
      <c r="L47" s="478" t="str">
        <f>IFERROR(INDEX('G-7 WaterC'' Data'!$O$3:$O$7,MATCH(G47,'G-7 WaterC'' Data'!$N$3:$N$7,0)),"")</f>
        <v/>
      </c>
      <c r="M47" s="55"/>
      <c r="N47" s="159"/>
      <c r="O47" s="370" t="str">
        <f t="shared" si="0"/>
        <v/>
      </c>
      <c r="P47" s="383" t="str">
        <f t="shared" si="1"/>
        <v/>
      </c>
      <c r="Q47" s="422" t="str">
        <f>IFERROR(IF(P47="Check Data ⚠","Check Data ⚠",VLOOKUP(P47,'G-4 Temporal multipliers'!$A$4:$C$37,3,FALSE)),"")</f>
        <v/>
      </c>
      <c r="R47" s="362" t="str">
        <f>IF(C47="","",VLOOKUP(C47,'G-7 WaterC'' Data'!$B$4:$G$8,4,FALSE))</f>
        <v/>
      </c>
      <c r="S47" s="370" t="str">
        <f t="shared" si="2"/>
        <v/>
      </c>
      <c r="T47" s="401" t="str">
        <f t="shared" si="3"/>
        <v/>
      </c>
      <c r="U47" s="363" t="str">
        <f>IF(C47="","",VLOOKUP(T47,'G-3 Multipliers'!$P$2:$Q$6,2,FALSE))</f>
        <v/>
      </c>
      <c r="V47" s="115"/>
      <c r="W47" s="363" t="str">
        <f>IF(V47="","",IF(VLOOKUP(V47,'G-7 WaterC'' Data'!$AA$4:$AB$7,2,FALSE)=0,"Spatial Data Missing ⚠",VLOOKUP(V47,'G-7 WaterC'' Data'!$AA$4:$AB$7,2,FALSE)))</f>
        <v/>
      </c>
      <c r="X47" s="60"/>
      <c r="Y47" s="363" t="str">
        <f>IF(X47="","",IF(VLOOKUP(X47,'G-7 WaterC'' Data'!$AD$4:$AE$14,2,FALSE)=0,"Enrcoachment Data Missing ⚠",VLOOKUP(X47,'G-7 WaterC'' Data'!$AD$4:$AE$14,2,FALSE)))</f>
        <v/>
      </c>
      <c r="Z47" s="115"/>
      <c r="AA47" s="363" t="str">
        <f>IF(Z47="","",IF(VLOOKUP(Z47,'G-7 WaterC'' Data'!$AO$4:$BO$7,2,FALSE)=0,"Spatial Data Missing ⚠",VLOOKUP(Z47,'G-7 WaterC'' Data'!$AO$4:$BO$7,2,FALSE)))</f>
        <v/>
      </c>
      <c r="AB47" s="405" t="str">
        <f t="shared" si="4"/>
        <v/>
      </c>
      <c r="AC47" s="405" t="str">
        <f t="shared" si="5"/>
        <v/>
      </c>
      <c r="AD47" s="117"/>
      <c r="AE47" s="692"/>
      <c r="AF47" s="119"/>
      <c r="AG47" s="120"/>
      <c r="AL47" s="30" t="str">
        <f>IFERROR(INDEX('G-7 WaterC'' Data'!$AZ$3:$AZ$7,MATCH(C47,'G-7 WaterC'' Data'!$AY$3:$AY$7,0)),"")</f>
        <v/>
      </c>
    </row>
    <row r="48" spans="2:38" ht="15">
      <c r="B48" s="110">
        <v>37</v>
      </c>
      <c r="C48" s="501"/>
      <c r="D48" s="139"/>
      <c r="E48" s="362" t="str">
        <f>IF(C48="","",VLOOKUP(C48,'G-7 WaterC'' Data'!$B$2:$Z$9,2,FALSE))</f>
        <v/>
      </c>
      <c r="F48" s="363" t="str">
        <f>IFERROR(VLOOKUP(E48,'G-7 WaterC'' Data'!$C$4:$D$8,2,FALSE),"")</f>
        <v/>
      </c>
      <c r="G48" s="114"/>
      <c r="H48" s="363" t="str">
        <f>IFERROR(INDEX('G-7 WaterC'' Data'!$H$4:$L$8,MATCH(C48,'G-7 WaterC'' Data'!$B$4:$B$8,0),MATCH(G48,'G-7 WaterC'' Data'!$H$3:$L$3,0)),"")</f>
        <v/>
      </c>
      <c r="I48" s="54"/>
      <c r="J48" s="401" t="str">
        <f>IF(I48="","",IF(VLOOKUP(I48,'G-7 WaterC'' Data'!$AK$4:$AM$6,2,FALSE)=0,"Spatial Data Missing ⚠",VLOOKUP(I48,'G-7 WaterC'' Data'!$AK$4:$AM$6,2,FALSE)))</f>
        <v/>
      </c>
      <c r="K48" s="363" t="str">
        <f>IF(I48="","",IF(VLOOKUP(I48,'G-7 WaterC'' Data'!$AK$4:$AM$6,3,FALSE)=0,"Spatial Data Missing ⚠",VLOOKUP(I48,'G-7 WaterC'' Data'!$AK$4:$AM$6,3,FALSE)))</f>
        <v/>
      </c>
      <c r="L48" s="478" t="str">
        <f>IFERROR(INDEX('G-7 WaterC'' Data'!$O$3:$O$7,MATCH(G48,'G-7 WaterC'' Data'!$N$3:$N$7,0)),"")</f>
        <v/>
      </c>
      <c r="M48" s="55"/>
      <c r="N48" s="159"/>
      <c r="O48" s="370" t="str">
        <f t="shared" si="0"/>
        <v/>
      </c>
      <c r="P48" s="383" t="str">
        <f t="shared" si="1"/>
        <v/>
      </c>
      <c r="Q48" s="422" t="str">
        <f>IFERROR(IF(P48="Check Data ⚠","Check Data ⚠",VLOOKUP(P48,'G-4 Temporal multipliers'!$A$4:$C$37,3,FALSE)),"")</f>
        <v/>
      </c>
      <c r="R48" s="362" t="str">
        <f>IF(C48="","",VLOOKUP(C48,'G-7 WaterC'' Data'!$B$4:$G$8,4,FALSE))</f>
        <v/>
      </c>
      <c r="S48" s="370" t="str">
        <f t="shared" si="2"/>
        <v/>
      </c>
      <c r="T48" s="401" t="str">
        <f t="shared" si="3"/>
        <v/>
      </c>
      <c r="U48" s="363" t="str">
        <f>IF(C48="","",VLOOKUP(T48,'G-3 Multipliers'!$P$2:$Q$6,2,FALSE))</f>
        <v/>
      </c>
      <c r="V48" s="115"/>
      <c r="W48" s="363" t="str">
        <f>IF(V48="","",IF(VLOOKUP(V48,'G-7 WaterC'' Data'!$AA$4:$AB$7,2,FALSE)=0,"Spatial Data Missing ⚠",VLOOKUP(V48,'G-7 WaterC'' Data'!$AA$4:$AB$7,2,FALSE)))</f>
        <v/>
      </c>
      <c r="X48" s="60"/>
      <c r="Y48" s="363" t="str">
        <f>IF(X48="","",IF(VLOOKUP(X48,'G-7 WaterC'' Data'!$AD$4:$AE$14,2,FALSE)=0,"Enrcoachment Data Missing ⚠",VLOOKUP(X48,'G-7 WaterC'' Data'!$AD$4:$AE$14,2,FALSE)))</f>
        <v/>
      </c>
      <c r="Z48" s="115"/>
      <c r="AA48" s="363" t="str">
        <f>IF(Z48="","",IF(VLOOKUP(Z48,'G-7 WaterC'' Data'!$AO$4:$BO$7,2,FALSE)=0,"Spatial Data Missing ⚠",VLOOKUP(Z48,'G-7 WaterC'' Data'!$AO$4:$BO$7,2,FALSE)))</f>
        <v/>
      </c>
      <c r="AB48" s="405" t="str">
        <f t="shared" si="4"/>
        <v/>
      </c>
      <c r="AC48" s="405" t="str">
        <f t="shared" si="5"/>
        <v/>
      </c>
      <c r="AD48" s="117"/>
      <c r="AE48" s="692"/>
      <c r="AF48" s="119"/>
      <c r="AG48" s="120"/>
      <c r="AL48" s="30" t="str">
        <f>IFERROR(INDEX('G-7 WaterC'' Data'!$AZ$3:$AZ$7,MATCH(C48,'G-7 WaterC'' Data'!$AY$3:$AY$7,0)),"")</f>
        <v/>
      </c>
    </row>
    <row r="49" spans="2:38" ht="15">
      <c r="B49" s="110">
        <v>38</v>
      </c>
      <c r="C49" s="501"/>
      <c r="D49" s="139"/>
      <c r="E49" s="362" t="str">
        <f>IF(C49="","",VLOOKUP(C49,'G-7 WaterC'' Data'!$B$2:$Z$9,2,FALSE))</f>
        <v/>
      </c>
      <c r="F49" s="363" t="str">
        <f>IFERROR(VLOOKUP(E49,'G-7 WaterC'' Data'!$C$4:$D$8,2,FALSE),"")</f>
        <v/>
      </c>
      <c r="G49" s="114"/>
      <c r="H49" s="363" t="str">
        <f>IFERROR(INDEX('G-7 WaterC'' Data'!$H$4:$L$8,MATCH(C49,'G-7 WaterC'' Data'!$B$4:$B$8,0),MATCH(G49,'G-7 WaterC'' Data'!$H$3:$L$3,0)),"")</f>
        <v/>
      </c>
      <c r="I49" s="54"/>
      <c r="J49" s="401" t="str">
        <f>IF(I49="","",IF(VLOOKUP(I49,'G-7 WaterC'' Data'!$AK$4:$AM$6,2,FALSE)=0,"Spatial Data Missing ⚠",VLOOKUP(I49,'G-7 WaterC'' Data'!$AK$4:$AM$6,2,FALSE)))</f>
        <v/>
      </c>
      <c r="K49" s="363" t="str">
        <f>IF(I49="","",IF(VLOOKUP(I49,'G-7 WaterC'' Data'!$AK$4:$AM$6,3,FALSE)=0,"Spatial Data Missing ⚠",VLOOKUP(I49,'G-7 WaterC'' Data'!$AK$4:$AM$6,3,FALSE)))</f>
        <v/>
      </c>
      <c r="L49" s="478" t="str">
        <f>IFERROR(INDEX('G-7 WaterC'' Data'!$O$3:$O$7,MATCH(G49,'G-7 WaterC'' Data'!$N$3:$N$7,0)),"")</f>
        <v/>
      </c>
      <c r="M49" s="55"/>
      <c r="N49" s="159"/>
      <c r="O49" s="370" t="str">
        <f t="shared" si="0"/>
        <v/>
      </c>
      <c r="P49" s="383" t="str">
        <f t="shared" si="1"/>
        <v/>
      </c>
      <c r="Q49" s="422" t="str">
        <f>IFERROR(IF(P49="Check Data ⚠","Check Data ⚠",VLOOKUP(P49,'G-4 Temporal multipliers'!$A$4:$C$37,3,FALSE)),"")</f>
        <v/>
      </c>
      <c r="R49" s="362" t="str">
        <f>IF(C49="","",VLOOKUP(C49,'G-7 WaterC'' Data'!$B$4:$G$8,4,FALSE))</f>
        <v/>
      </c>
      <c r="S49" s="370" t="str">
        <f t="shared" si="2"/>
        <v/>
      </c>
      <c r="T49" s="401" t="str">
        <f t="shared" si="3"/>
        <v/>
      </c>
      <c r="U49" s="363" t="str">
        <f>IF(C49="","",VLOOKUP(T49,'G-3 Multipliers'!$P$2:$Q$6,2,FALSE))</f>
        <v/>
      </c>
      <c r="V49" s="115"/>
      <c r="W49" s="363" t="str">
        <f>IF(V49="","",IF(VLOOKUP(V49,'G-7 WaterC'' Data'!$AA$4:$AB$7,2,FALSE)=0,"Spatial Data Missing ⚠",VLOOKUP(V49,'G-7 WaterC'' Data'!$AA$4:$AB$7,2,FALSE)))</f>
        <v/>
      </c>
      <c r="X49" s="60"/>
      <c r="Y49" s="363" t="str">
        <f>IF(X49="","",IF(VLOOKUP(X49,'G-7 WaterC'' Data'!$AD$4:$AE$14,2,FALSE)=0,"Enrcoachment Data Missing ⚠",VLOOKUP(X49,'G-7 WaterC'' Data'!$AD$4:$AE$14,2,FALSE)))</f>
        <v/>
      </c>
      <c r="Z49" s="115"/>
      <c r="AA49" s="363" t="str">
        <f>IF(Z49="","",IF(VLOOKUP(Z49,'G-7 WaterC'' Data'!$AO$4:$BO$7,2,FALSE)=0,"Spatial Data Missing ⚠",VLOOKUP(Z49,'G-7 WaterC'' Data'!$AO$4:$BO$7,2,FALSE)))</f>
        <v/>
      </c>
      <c r="AB49" s="405" t="str">
        <f t="shared" si="4"/>
        <v/>
      </c>
      <c r="AC49" s="405" t="str">
        <f t="shared" si="5"/>
        <v/>
      </c>
      <c r="AD49" s="117"/>
      <c r="AE49" s="692"/>
      <c r="AF49" s="119"/>
      <c r="AG49" s="120"/>
      <c r="AL49" s="30" t="str">
        <f>IFERROR(INDEX('G-7 WaterC'' Data'!$AZ$3:$AZ$7,MATCH(C49,'G-7 WaterC'' Data'!$AY$3:$AY$7,0)),"")</f>
        <v/>
      </c>
    </row>
    <row r="50" spans="2:38" ht="15">
      <c r="B50" s="110">
        <v>39</v>
      </c>
      <c r="C50" s="501"/>
      <c r="D50" s="139"/>
      <c r="E50" s="362" t="str">
        <f>IF(C50="","",VLOOKUP(C50,'G-7 WaterC'' Data'!$B$2:$Z$9,2,FALSE))</f>
        <v/>
      </c>
      <c r="F50" s="363" t="str">
        <f>IFERROR(VLOOKUP(E50,'G-7 WaterC'' Data'!$C$4:$D$8,2,FALSE),"")</f>
        <v/>
      </c>
      <c r="G50" s="114"/>
      <c r="H50" s="363" t="str">
        <f>IFERROR(INDEX('G-7 WaterC'' Data'!$H$4:$L$8,MATCH(C50,'G-7 WaterC'' Data'!$B$4:$B$8,0),MATCH(G50,'G-7 WaterC'' Data'!$H$3:$L$3,0)),"")</f>
        <v/>
      </c>
      <c r="I50" s="54"/>
      <c r="J50" s="401" t="str">
        <f>IF(I50="","",IF(VLOOKUP(I50,'G-7 WaterC'' Data'!$AK$4:$AM$6,2,FALSE)=0,"Spatial Data Missing ⚠",VLOOKUP(I50,'G-7 WaterC'' Data'!$AK$4:$AM$6,2,FALSE)))</f>
        <v/>
      </c>
      <c r="K50" s="363" t="str">
        <f>IF(I50="","",IF(VLOOKUP(I50,'G-7 WaterC'' Data'!$AK$4:$AM$6,3,FALSE)=0,"Spatial Data Missing ⚠",VLOOKUP(I50,'G-7 WaterC'' Data'!$AK$4:$AM$6,3,FALSE)))</f>
        <v/>
      </c>
      <c r="L50" s="478" t="str">
        <f>IFERROR(INDEX('G-7 WaterC'' Data'!$O$3:$O$7,MATCH(G50,'G-7 WaterC'' Data'!$N$3:$N$7,0)),"")</f>
        <v/>
      </c>
      <c r="M50" s="55"/>
      <c r="N50" s="159"/>
      <c r="O50" s="370" t="str">
        <f t="shared" si="0"/>
        <v/>
      </c>
      <c r="P50" s="383" t="str">
        <f t="shared" si="1"/>
        <v/>
      </c>
      <c r="Q50" s="422" t="str">
        <f>IFERROR(IF(P50="Check Data ⚠","Check Data ⚠",VLOOKUP(P50,'G-4 Temporal multipliers'!$A$4:$C$37,3,FALSE)),"")</f>
        <v/>
      </c>
      <c r="R50" s="362" t="str">
        <f>IF(C50="","",VLOOKUP(C50,'G-7 WaterC'' Data'!$B$4:$G$8,4,FALSE))</f>
        <v/>
      </c>
      <c r="S50" s="370" t="str">
        <f t="shared" si="2"/>
        <v/>
      </c>
      <c r="T50" s="401" t="str">
        <f t="shared" si="3"/>
        <v/>
      </c>
      <c r="U50" s="363" t="str">
        <f>IF(C50="","",VLOOKUP(T50,'G-3 Multipliers'!$P$2:$Q$6,2,FALSE))</f>
        <v/>
      </c>
      <c r="V50" s="115"/>
      <c r="W50" s="363" t="str">
        <f>IF(V50="","",IF(VLOOKUP(V50,'G-7 WaterC'' Data'!$AA$4:$AB$7,2,FALSE)=0,"Spatial Data Missing ⚠",VLOOKUP(V50,'G-7 WaterC'' Data'!$AA$4:$AB$7,2,FALSE)))</f>
        <v/>
      </c>
      <c r="X50" s="60"/>
      <c r="Y50" s="363" t="str">
        <f>IF(X50="","",IF(VLOOKUP(X50,'G-7 WaterC'' Data'!$AD$4:$AE$14,2,FALSE)=0,"Enrcoachment Data Missing ⚠",VLOOKUP(X50,'G-7 WaterC'' Data'!$AD$4:$AE$14,2,FALSE)))</f>
        <v/>
      </c>
      <c r="Z50" s="115"/>
      <c r="AA50" s="363" t="str">
        <f>IF(Z50="","",IF(VLOOKUP(Z50,'G-7 WaterC'' Data'!$AO$4:$BO$7,2,FALSE)=0,"Spatial Data Missing ⚠",VLOOKUP(Z50,'G-7 WaterC'' Data'!$AO$4:$BO$7,2,FALSE)))</f>
        <v/>
      </c>
      <c r="AB50" s="405" t="str">
        <f t="shared" si="4"/>
        <v/>
      </c>
      <c r="AC50" s="405" t="str">
        <f t="shared" si="5"/>
        <v/>
      </c>
      <c r="AD50" s="117"/>
      <c r="AE50" s="692"/>
      <c r="AF50" s="119"/>
      <c r="AG50" s="120"/>
      <c r="AL50" s="30" t="str">
        <f>IFERROR(INDEX('G-7 WaterC'' Data'!$AZ$3:$AZ$7,MATCH(C50,'G-7 WaterC'' Data'!$AY$3:$AY$7,0)),"")</f>
        <v/>
      </c>
    </row>
    <row r="51" spans="2:38" ht="15">
      <c r="B51" s="110">
        <v>40</v>
      </c>
      <c r="C51" s="501"/>
      <c r="D51" s="139"/>
      <c r="E51" s="362" t="str">
        <f>IF(C51="","",VLOOKUP(C51,'G-7 WaterC'' Data'!$B$2:$Z$9,2,FALSE))</f>
        <v/>
      </c>
      <c r="F51" s="363" t="str">
        <f>IFERROR(VLOOKUP(E51,'G-7 WaterC'' Data'!$C$4:$D$8,2,FALSE),"")</f>
        <v/>
      </c>
      <c r="G51" s="114"/>
      <c r="H51" s="363" t="str">
        <f>IFERROR(INDEX('G-7 WaterC'' Data'!$H$4:$L$8,MATCH(C51,'G-7 WaterC'' Data'!$B$4:$B$8,0),MATCH(G51,'G-7 WaterC'' Data'!$H$3:$L$3,0)),"")</f>
        <v/>
      </c>
      <c r="I51" s="54"/>
      <c r="J51" s="401" t="str">
        <f>IF(I51="","",IF(VLOOKUP(I51,'G-7 WaterC'' Data'!$AK$4:$AM$6,2,FALSE)=0,"Spatial Data Missing ⚠",VLOOKUP(I51,'G-7 WaterC'' Data'!$AK$4:$AM$6,2,FALSE)))</f>
        <v/>
      </c>
      <c r="K51" s="363" t="str">
        <f>IF(I51="","",IF(VLOOKUP(I51,'G-7 WaterC'' Data'!$AK$4:$AM$6,3,FALSE)=0,"Spatial Data Missing ⚠",VLOOKUP(I51,'G-7 WaterC'' Data'!$AK$4:$AM$6,3,FALSE)))</f>
        <v/>
      </c>
      <c r="L51" s="478" t="str">
        <f>IFERROR(INDEX('G-7 WaterC'' Data'!$O$3:$O$7,MATCH(G51,'G-7 WaterC'' Data'!$N$3:$N$7,0)),"")</f>
        <v/>
      </c>
      <c r="M51" s="55"/>
      <c r="N51" s="159"/>
      <c r="O51" s="370" t="str">
        <f t="shared" si="0"/>
        <v/>
      </c>
      <c r="P51" s="383" t="str">
        <f t="shared" si="1"/>
        <v/>
      </c>
      <c r="Q51" s="422" t="str">
        <f>IFERROR(IF(P51="Check Data ⚠","Check Data ⚠",VLOOKUP(P51,'G-4 Temporal multipliers'!$A$4:$C$37,3,FALSE)),"")</f>
        <v/>
      </c>
      <c r="R51" s="362" t="str">
        <f>IF(C51="","",VLOOKUP(C51,'G-7 WaterC'' Data'!$B$4:$G$8,4,FALSE))</f>
        <v/>
      </c>
      <c r="S51" s="370" t="str">
        <f t="shared" si="2"/>
        <v/>
      </c>
      <c r="T51" s="401" t="str">
        <f t="shared" si="3"/>
        <v/>
      </c>
      <c r="U51" s="363" t="str">
        <f>IF(C51="","",VLOOKUP(T51,'G-3 Multipliers'!$P$2:$Q$6,2,FALSE))</f>
        <v/>
      </c>
      <c r="V51" s="115"/>
      <c r="W51" s="363" t="str">
        <f>IF(V51="","",IF(VLOOKUP(V51,'G-7 WaterC'' Data'!$AA$4:$AB$7,2,FALSE)=0,"Spatial Data Missing ⚠",VLOOKUP(V51,'G-7 WaterC'' Data'!$AA$4:$AB$7,2,FALSE)))</f>
        <v/>
      </c>
      <c r="X51" s="60"/>
      <c r="Y51" s="363" t="str">
        <f>IF(X51="","",IF(VLOOKUP(X51,'G-7 WaterC'' Data'!$AD$4:$AE$14,2,FALSE)=0,"Enrcoachment Data Missing ⚠",VLOOKUP(X51,'G-7 WaterC'' Data'!$AD$4:$AE$14,2,FALSE)))</f>
        <v/>
      </c>
      <c r="Z51" s="115"/>
      <c r="AA51" s="363" t="str">
        <f>IF(Z51="","",IF(VLOOKUP(Z51,'G-7 WaterC'' Data'!$AO$4:$BO$7,2,FALSE)=0,"Spatial Data Missing ⚠",VLOOKUP(Z51,'G-7 WaterC'' Data'!$AO$4:$BO$7,2,FALSE)))</f>
        <v/>
      </c>
      <c r="AB51" s="405" t="str">
        <f t="shared" si="4"/>
        <v/>
      </c>
      <c r="AC51" s="405" t="str">
        <f t="shared" si="5"/>
        <v/>
      </c>
      <c r="AD51" s="117"/>
      <c r="AE51" s="692"/>
      <c r="AF51" s="119"/>
      <c r="AG51" s="120"/>
      <c r="AL51" s="30" t="str">
        <f>IFERROR(INDEX('G-7 WaterC'' Data'!$AZ$3:$AZ$7,MATCH(C51,'G-7 WaterC'' Data'!$AY$3:$AY$7,0)),"")</f>
        <v/>
      </c>
    </row>
    <row r="52" spans="2:38" ht="15">
      <c r="B52" s="110">
        <v>41</v>
      </c>
      <c r="C52" s="501"/>
      <c r="D52" s="139"/>
      <c r="E52" s="362" t="str">
        <f>IF(C52="","",VLOOKUP(C52,'G-7 WaterC'' Data'!$B$2:$Z$9,2,FALSE))</f>
        <v/>
      </c>
      <c r="F52" s="363" t="str">
        <f>IFERROR(VLOOKUP(E52,'G-7 WaterC'' Data'!$C$4:$D$8,2,FALSE),"")</f>
        <v/>
      </c>
      <c r="G52" s="114"/>
      <c r="H52" s="363" t="str">
        <f>IFERROR(INDEX('G-7 WaterC'' Data'!$H$4:$L$8,MATCH(C52,'G-7 WaterC'' Data'!$B$4:$B$8,0),MATCH(G52,'G-7 WaterC'' Data'!$H$3:$L$3,0)),"")</f>
        <v/>
      </c>
      <c r="I52" s="54"/>
      <c r="J52" s="401" t="str">
        <f>IF(I52="","",IF(VLOOKUP(I52,'G-7 WaterC'' Data'!$AK$4:$AM$6,2,FALSE)=0,"Spatial Data Missing ⚠",VLOOKUP(I52,'G-7 WaterC'' Data'!$AK$4:$AM$6,2,FALSE)))</f>
        <v/>
      </c>
      <c r="K52" s="363" t="str">
        <f>IF(I52="","",IF(VLOOKUP(I52,'G-7 WaterC'' Data'!$AK$4:$AM$6,3,FALSE)=0,"Spatial Data Missing ⚠",VLOOKUP(I52,'G-7 WaterC'' Data'!$AK$4:$AM$6,3,FALSE)))</f>
        <v/>
      </c>
      <c r="L52" s="478" t="str">
        <f>IFERROR(INDEX('G-7 WaterC'' Data'!$O$3:$O$7,MATCH(G52,'G-7 WaterC'' Data'!$N$3:$N$7,0)),"")</f>
        <v/>
      </c>
      <c r="M52" s="55"/>
      <c r="N52" s="159"/>
      <c r="O52" s="370" t="str">
        <f t="shared" si="0"/>
        <v/>
      </c>
      <c r="P52" s="383" t="str">
        <f t="shared" si="1"/>
        <v/>
      </c>
      <c r="Q52" s="422" t="str">
        <f>IFERROR(IF(P52="Check Data ⚠","Check Data ⚠",VLOOKUP(P52,'G-4 Temporal multipliers'!$A$4:$C$37,3,FALSE)),"")</f>
        <v/>
      </c>
      <c r="R52" s="362" t="str">
        <f>IF(C52="","",VLOOKUP(C52,'G-7 WaterC'' Data'!$B$4:$G$8,4,FALSE))</f>
        <v/>
      </c>
      <c r="S52" s="370" t="str">
        <f t="shared" si="2"/>
        <v/>
      </c>
      <c r="T52" s="401" t="str">
        <f t="shared" si="3"/>
        <v/>
      </c>
      <c r="U52" s="363" t="str">
        <f>IF(C52="","",VLOOKUP(T52,'G-3 Multipliers'!$P$2:$Q$6,2,FALSE))</f>
        <v/>
      </c>
      <c r="V52" s="115"/>
      <c r="W52" s="363" t="str">
        <f>IF(V52="","",IF(VLOOKUP(V52,'G-7 WaterC'' Data'!$AA$4:$AB$7,2,FALSE)=0,"Spatial Data Missing ⚠",VLOOKUP(V52,'G-7 WaterC'' Data'!$AA$4:$AB$7,2,FALSE)))</f>
        <v/>
      </c>
      <c r="X52" s="60"/>
      <c r="Y52" s="363" t="str">
        <f>IF(X52="","",IF(VLOOKUP(X52,'G-7 WaterC'' Data'!$AD$4:$AE$14,2,FALSE)=0,"Enrcoachment Data Missing ⚠",VLOOKUP(X52,'G-7 WaterC'' Data'!$AD$4:$AE$14,2,FALSE)))</f>
        <v/>
      </c>
      <c r="Z52" s="115"/>
      <c r="AA52" s="363" t="str">
        <f>IF(Z52="","",IF(VLOOKUP(Z52,'G-7 WaterC'' Data'!$AO$4:$BO$7,2,FALSE)=0,"Spatial Data Missing ⚠",VLOOKUP(Z52,'G-7 WaterC'' Data'!$AO$4:$BO$7,2,FALSE)))</f>
        <v/>
      </c>
      <c r="AB52" s="405" t="str">
        <f t="shared" si="4"/>
        <v/>
      </c>
      <c r="AC52" s="405" t="str">
        <f t="shared" si="5"/>
        <v/>
      </c>
      <c r="AD52" s="117"/>
      <c r="AE52" s="692"/>
      <c r="AF52" s="119"/>
      <c r="AG52" s="120"/>
      <c r="AL52" s="30" t="str">
        <f>IFERROR(INDEX('G-7 WaterC'' Data'!$AZ$3:$AZ$7,MATCH(C52,'G-7 WaterC'' Data'!$AY$3:$AY$7,0)),"")</f>
        <v/>
      </c>
    </row>
    <row r="53" spans="2:38" ht="15">
      <c r="B53" s="110">
        <v>42</v>
      </c>
      <c r="C53" s="501"/>
      <c r="D53" s="139"/>
      <c r="E53" s="362" t="str">
        <f>IF(C53="","",VLOOKUP(C53,'G-7 WaterC'' Data'!$B$2:$Z$9,2,FALSE))</f>
        <v/>
      </c>
      <c r="F53" s="363" t="str">
        <f>IFERROR(VLOOKUP(E53,'G-7 WaterC'' Data'!$C$4:$D$8,2,FALSE),"")</f>
        <v/>
      </c>
      <c r="G53" s="114"/>
      <c r="H53" s="363" t="str">
        <f>IFERROR(INDEX('G-7 WaterC'' Data'!$H$4:$L$8,MATCH(C53,'G-7 WaterC'' Data'!$B$4:$B$8,0),MATCH(G53,'G-7 WaterC'' Data'!$H$3:$L$3,0)),"")</f>
        <v/>
      </c>
      <c r="I53" s="54"/>
      <c r="J53" s="401" t="str">
        <f>IF(I53="","",IF(VLOOKUP(I53,'G-7 WaterC'' Data'!$AK$4:$AM$6,2,FALSE)=0,"Spatial Data Missing ⚠",VLOOKUP(I53,'G-7 WaterC'' Data'!$AK$4:$AM$6,2,FALSE)))</f>
        <v/>
      </c>
      <c r="K53" s="363" t="str">
        <f>IF(I53="","",IF(VLOOKUP(I53,'G-7 WaterC'' Data'!$AK$4:$AM$6,3,FALSE)=0,"Spatial Data Missing ⚠",VLOOKUP(I53,'G-7 WaterC'' Data'!$AK$4:$AM$6,3,FALSE)))</f>
        <v/>
      </c>
      <c r="L53" s="478" t="str">
        <f>IFERROR(INDEX('G-7 WaterC'' Data'!$O$3:$O$7,MATCH(G53,'G-7 WaterC'' Data'!$N$3:$N$7,0)),"")</f>
        <v/>
      </c>
      <c r="M53" s="55"/>
      <c r="N53" s="159"/>
      <c r="O53" s="370" t="str">
        <f t="shared" si="0"/>
        <v/>
      </c>
      <c r="P53" s="383" t="str">
        <f t="shared" si="1"/>
        <v/>
      </c>
      <c r="Q53" s="422" t="str">
        <f>IFERROR(IF(P53="Check Data ⚠","Check Data ⚠",VLOOKUP(P53,'G-4 Temporal multipliers'!$A$4:$C$37,3,FALSE)),"")</f>
        <v/>
      </c>
      <c r="R53" s="362" t="str">
        <f>IF(C53="","",VLOOKUP(C53,'G-7 WaterC'' Data'!$B$4:$G$8,4,FALSE))</f>
        <v/>
      </c>
      <c r="S53" s="370" t="str">
        <f t="shared" si="2"/>
        <v/>
      </c>
      <c r="T53" s="401" t="str">
        <f t="shared" si="3"/>
        <v/>
      </c>
      <c r="U53" s="363" t="str">
        <f>IF(C53="","",VLOOKUP(T53,'G-3 Multipliers'!$P$2:$Q$6,2,FALSE))</f>
        <v/>
      </c>
      <c r="V53" s="115"/>
      <c r="W53" s="363" t="str">
        <f>IF(V53="","",IF(VLOOKUP(V53,'G-7 WaterC'' Data'!$AA$4:$AB$7,2,FALSE)=0,"Spatial Data Missing ⚠",VLOOKUP(V53,'G-7 WaterC'' Data'!$AA$4:$AB$7,2,FALSE)))</f>
        <v/>
      </c>
      <c r="X53" s="60"/>
      <c r="Y53" s="363" t="str">
        <f>IF(X53="","",IF(VLOOKUP(X53,'G-7 WaterC'' Data'!$AD$4:$AE$14,2,FALSE)=0,"Enrcoachment Data Missing ⚠",VLOOKUP(X53,'G-7 WaterC'' Data'!$AD$4:$AE$14,2,FALSE)))</f>
        <v/>
      </c>
      <c r="Z53" s="115"/>
      <c r="AA53" s="363" t="str">
        <f>IF(Z53="","",IF(VLOOKUP(Z53,'G-7 WaterC'' Data'!$AO$4:$BO$7,2,FALSE)=0,"Spatial Data Missing ⚠",VLOOKUP(Z53,'G-7 WaterC'' Data'!$AO$4:$BO$7,2,FALSE)))</f>
        <v/>
      </c>
      <c r="AB53" s="405" t="str">
        <f t="shared" si="4"/>
        <v/>
      </c>
      <c r="AC53" s="405" t="str">
        <f t="shared" si="5"/>
        <v/>
      </c>
      <c r="AD53" s="117"/>
      <c r="AE53" s="692"/>
      <c r="AF53" s="119"/>
      <c r="AG53" s="120"/>
      <c r="AL53" s="30" t="str">
        <f>IFERROR(INDEX('G-7 WaterC'' Data'!$AZ$3:$AZ$7,MATCH(C53,'G-7 WaterC'' Data'!$AY$3:$AY$7,0)),"")</f>
        <v/>
      </c>
    </row>
    <row r="54" spans="2:38" ht="15">
      <c r="B54" s="110">
        <v>43</v>
      </c>
      <c r="C54" s="501"/>
      <c r="D54" s="139"/>
      <c r="E54" s="362" t="str">
        <f>IF(C54="","",VLOOKUP(C54,'G-7 WaterC'' Data'!$B$2:$Z$9,2,FALSE))</f>
        <v/>
      </c>
      <c r="F54" s="363" t="str">
        <f>IFERROR(VLOOKUP(E54,'G-7 WaterC'' Data'!$C$4:$D$8,2,FALSE),"")</f>
        <v/>
      </c>
      <c r="G54" s="114"/>
      <c r="H54" s="363" t="str">
        <f>IFERROR(INDEX('G-7 WaterC'' Data'!$H$4:$L$8,MATCH(C54,'G-7 WaterC'' Data'!$B$4:$B$8,0),MATCH(G54,'G-7 WaterC'' Data'!$H$3:$L$3,0)),"")</f>
        <v/>
      </c>
      <c r="I54" s="54"/>
      <c r="J54" s="401" t="str">
        <f>IF(I54="","",IF(VLOOKUP(I54,'G-7 WaterC'' Data'!$AK$4:$AM$6,2,FALSE)=0,"Spatial Data Missing ⚠",VLOOKUP(I54,'G-7 WaterC'' Data'!$AK$4:$AM$6,2,FALSE)))</f>
        <v/>
      </c>
      <c r="K54" s="363" t="str">
        <f>IF(I54="","",IF(VLOOKUP(I54,'G-7 WaterC'' Data'!$AK$4:$AM$6,3,FALSE)=0,"Spatial Data Missing ⚠",VLOOKUP(I54,'G-7 WaterC'' Data'!$AK$4:$AM$6,3,FALSE)))</f>
        <v/>
      </c>
      <c r="L54" s="478" t="str">
        <f>IFERROR(INDEX('G-7 WaterC'' Data'!$O$3:$O$7,MATCH(G54,'G-7 WaterC'' Data'!$N$3:$N$7,0)),"")</f>
        <v/>
      </c>
      <c r="M54" s="55"/>
      <c r="N54" s="159"/>
      <c r="O54" s="370" t="str">
        <f t="shared" si="0"/>
        <v/>
      </c>
      <c r="P54" s="383" t="str">
        <f t="shared" si="1"/>
        <v/>
      </c>
      <c r="Q54" s="422" t="str">
        <f>IFERROR(IF(P54="Check Data ⚠","Check Data ⚠",VLOOKUP(P54,'G-4 Temporal multipliers'!$A$4:$C$37,3,FALSE)),"")</f>
        <v/>
      </c>
      <c r="R54" s="362" t="str">
        <f>IF(C54="","",VLOOKUP(C54,'G-7 WaterC'' Data'!$B$4:$G$8,4,FALSE))</f>
        <v/>
      </c>
      <c r="S54" s="370" t="str">
        <f t="shared" si="2"/>
        <v/>
      </c>
      <c r="T54" s="401" t="str">
        <f t="shared" si="3"/>
        <v/>
      </c>
      <c r="U54" s="363" t="str">
        <f>IF(C54="","",VLOOKUP(T54,'G-3 Multipliers'!$P$2:$Q$6,2,FALSE))</f>
        <v/>
      </c>
      <c r="V54" s="115"/>
      <c r="W54" s="363" t="str">
        <f>IF(V54="","",IF(VLOOKUP(V54,'G-7 WaterC'' Data'!$AA$4:$AB$7,2,FALSE)=0,"Spatial Data Missing ⚠",VLOOKUP(V54,'G-7 WaterC'' Data'!$AA$4:$AB$7,2,FALSE)))</f>
        <v/>
      </c>
      <c r="X54" s="60"/>
      <c r="Y54" s="363" t="str">
        <f>IF(X54="","",IF(VLOOKUP(X54,'G-7 WaterC'' Data'!$AD$4:$AE$14,2,FALSE)=0,"Enrcoachment Data Missing ⚠",VLOOKUP(X54,'G-7 WaterC'' Data'!$AD$4:$AE$14,2,FALSE)))</f>
        <v/>
      </c>
      <c r="Z54" s="115"/>
      <c r="AA54" s="363" t="str">
        <f>IF(Z54="","",IF(VLOOKUP(Z54,'G-7 WaterC'' Data'!$AO$4:$BO$7,2,FALSE)=0,"Spatial Data Missing ⚠",VLOOKUP(Z54,'G-7 WaterC'' Data'!$AO$4:$BO$7,2,FALSE)))</f>
        <v/>
      </c>
      <c r="AB54" s="405" t="str">
        <f t="shared" si="4"/>
        <v/>
      </c>
      <c r="AC54" s="405" t="str">
        <f t="shared" si="5"/>
        <v/>
      </c>
      <c r="AD54" s="117"/>
      <c r="AE54" s="692"/>
      <c r="AF54" s="119"/>
      <c r="AG54" s="120"/>
      <c r="AL54" s="30" t="str">
        <f>IFERROR(INDEX('G-7 WaterC'' Data'!$AZ$3:$AZ$7,MATCH(C54,'G-7 WaterC'' Data'!$AY$3:$AY$7,0)),"")</f>
        <v/>
      </c>
    </row>
    <row r="55" spans="2:38" ht="15">
      <c r="B55" s="110">
        <v>44</v>
      </c>
      <c r="C55" s="501"/>
      <c r="D55" s="139"/>
      <c r="E55" s="362" t="str">
        <f>IF(C55="","",VLOOKUP(C55,'G-7 WaterC'' Data'!$B$2:$Z$9,2,FALSE))</f>
        <v/>
      </c>
      <c r="F55" s="363" t="str">
        <f>IFERROR(VLOOKUP(E55,'G-7 WaterC'' Data'!$C$4:$D$8,2,FALSE),"")</f>
        <v/>
      </c>
      <c r="G55" s="114"/>
      <c r="H55" s="363" t="str">
        <f>IFERROR(INDEX('G-7 WaterC'' Data'!$H$4:$L$8,MATCH(C55,'G-7 WaterC'' Data'!$B$4:$B$8,0),MATCH(G55,'G-7 WaterC'' Data'!$H$3:$L$3,0)),"")</f>
        <v/>
      </c>
      <c r="I55" s="54"/>
      <c r="J55" s="401" t="str">
        <f>IF(I55="","",IF(VLOOKUP(I55,'G-7 WaterC'' Data'!$AK$4:$AM$6,2,FALSE)=0,"Spatial Data Missing ⚠",VLOOKUP(I55,'G-7 WaterC'' Data'!$AK$4:$AM$6,2,FALSE)))</f>
        <v/>
      </c>
      <c r="K55" s="363" t="str">
        <f>IF(I55="","",IF(VLOOKUP(I55,'G-7 WaterC'' Data'!$AK$4:$AM$6,3,FALSE)=0,"Spatial Data Missing ⚠",VLOOKUP(I55,'G-7 WaterC'' Data'!$AK$4:$AM$6,3,FALSE)))</f>
        <v/>
      </c>
      <c r="L55" s="478" t="str">
        <f>IFERROR(INDEX('G-7 WaterC'' Data'!$O$3:$O$7,MATCH(G55,'G-7 WaterC'' Data'!$N$3:$N$7,0)),"")</f>
        <v/>
      </c>
      <c r="M55" s="55"/>
      <c r="N55" s="159"/>
      <c r="O55" s="370" t="str">
        <f t="shared" si="0"/>
        <v/>
      </c>
      <c r="P55" s="383" t="str">
        <f t="shared" si="1"/>
        <v/>
      </c>
      <c r="Q55" s="422" t="str">
        <f>IFERROR(IF(P55="Check Data ⚠","Check Data ⚠",VLOOKUP(P55,'G-4 Temporal multipliers'!$A$4:$C$37,3,FALSE)),"")</f>
        <v/>
      </c>
      <c r="R55" s="362" t="str">
        <f>IF(C55="","",VLOOKUP(C55,'G-7 WaterC'' Data'!$B$4:$G$8,4,FALSE))</f>
        <v/>
      </c>
      <c r="S55" s="370" t="str">
        <f t="shared" si="2"/>
        <v/>
      </c>
      <c r="T55" s="401" t="str">
        <f t="shared" si="3"/>
        <v/>
      </c>
      <c r="U55" s="363" t="str">
        <f>IF(C55="","",VLOOKUP(T55,'G-3 Multipliers'!$P$2:$Q$6,2,FALSE))</f>
        <v/>
      </c>
      <c r="V55" s="115"/>
      <c r="W55" s="363" t="str">
        <f>IF(V55="","",IF(VLOOKUP(V55,'G-7 WaterC'' Data'!$AA$4:$AB$7,2,FALSE)=0,"Spatial Data Missing ⚠",VLOOKUP(V55,'G-7 WaterC'' Data'!$AA$4:$AB$7,2,FALSE)))</f>
        <v/>
      </c>
      <c r="X55" s="60"/>
      <c r="Y55" s="363" t="str">
        <f>IF(X55="","",IF(VLOOKUP(X55,'G-7 WaterC'' Data'!$AD$4:$AE$14,2,FALSE)=0,"Enrcoachment Data Missing ⚠",VLOOKUP(X55,'G-7 WaterC'' Data'!$AD$4:$AE$14,2,FALSE)))</f>
        <v/>
      </c>
      <c r="Z55" s="115"/>
      <c r="AA55" s="363" t="str">
        <f>IF(Z55="","",IF(VLOOKUP(Z55,'G-7 WaterC'' Data'!$AO$4:$BO$7,2,FALSE)=0,"Spatial Data Missing ⚠",VLOOKUP(Z55,'G-7 WaterC'' Data'!$AO$4:$BO$7,2,FALSE)))</f>
        <v/>
      </c>
      <c r="AB55" s="405" t="str">
        <f t="shared" si="4"/>
        <v/>
      </c>
      <c r="AC55" s="405" t="str">
        <f t="shared" si="5"/>
        <v/>
      </c>
      <c r="AD55" s="117"/>
      <c r="AE55" s="692"/>
      <c r="AF55" s="119"/>
      <c r="AG55" s="120"/>
      <c r="AL55" s="30" t="str">
        <f>IFERROR(INDEX('G-7 WaterC'' Data'!$AZ$3:$AZ$7,MATCH(C55,'G-7 WaterC'' Data'!$AY$3:$AY$7,0)),"")</f>
        <v/>
      </c>
    </row>
    <row r="56" spans="2:38" ht="15">
      <c r="B56" s="110">
        <v>45</v>
      </c>
      <c r="C56" s="501"/>
      <c r="D56" s="139"/>
      <c r="E56" s="362" t="str">
        <f>IF(C56="","",VLOOKUP(C56,'G-7 WaterC'' Data'!$B$2:$Z$9,2,FALSE))</f>
        <v/>
      </c>
      <c r="F56" s="363" t="str">
        <f>IFERROR(VLOOKUP(E56,'G-7 WaterC'' Data'!$C$4:$D$8,2,FALSE),"")</f>
        <v/>
      </c>
      <c r="G56" s="114"/>
      <c r="H56" s="363" t="str">
        <f>IFERROR(INDEX('G-7 WaterC'' Data'!$H$4:$L$8,MATCH(C56,'G-7 WaterC'' Data'!$B$4:$B$8,0),MATCH(G56,'G-7 WaterC'' Data'!$H$3:$L$3,0)),"")</f>
        <v/>
      </c>
      <c r="I56" s="54"/>
      <c r="J56" s="401" t="str">
        <f>IF(I56="","",IF(VLOOKUP(I56,'G-7 WaterC'' Data'!$AK$4:$AM$6,2,FALSE)=0,"Spatial Data Missing ⚠",VLOOKUP(I56,'G-7 WaterC'' Data'!$AK$4:$AM$6,2,FALSE)))</f>
        <v/>
      </c>
      <c r="K56" s="363" t="str">
        <f>IF(I56="","",IF(VLOOKUP(I56,'G-7 WaterC'' Data'!$AK$4:$AM$6,3,FALSE)=0,"Spatial Data Missing ⚠",VLOOKUP(I56,'G-7 WaterC'' Data'!$AK$4:$AM$6,3,FALSE)))</f>
        <v/>
      </c>
      <c r="L56" s="478" t="str">
        <f>IFERROR(INDEX('G-7 WaterC'' Data'!$O$3:$O$7,MATCH(G56,'G-7 WaterC'' Data'!$N$3:$N$7,0)),"")</f>
        <v/>
      </c>
      <c r="M56" s="55"/>
      <c r="N56" s="159"/>
      <c r="O56" s="370" t="str">
        <f t="shared" si="0"/>
        <v/>
      </c>
      <c r="P56" s="383" t="str">
        <f t="shared" si="1"/>
        <v/>
      </c>
      <c r="Q56" s="422" t="str">
        <f>IFERROR(IF(P56="Check Data ⚠","Check Data ⚠",VLOOKUP(P56,'G-4 Temporal multipliers'!$A$4:$C$37,3,FALSE)),"")</f>
        <v/>
      </c>
      <c r="R56" s="362" t="str">
        <f>IF(C56="","",VLOOKUP(C56,'G-7 WaterC'' Data'!$B$4:$G$8,4,FALSE))</f>
        <v/>
      </c>
      <c r="S56" s="370" t="str">
        <f t="shared" si="2"/>
        <v/>
      </c>
      <c r="T56" s="401" t="str">
        <f t="shared" si="3"/>
        <v/>
      </c>
      <c r="U56" s="363" t="str">
        <f>IF(C56="","",VLOOKUP(T56,'G-3 Multipliers'!$P$2:$Q$6,2,FALSE))</f>
        <v/>
      </c>
      <c r="V56" s="115"/>
      <c r="W56" s="363" t="str">
        <f>IF(V56="","",IF(VLOOKUP(V56,'G-7 WaterC'' Data'!$AA$4:$AB$7,2,FALSE)=0,"Spatial Data Missing ⚠",VLOOKUP(V56,'G-7 WaterC'' Data'!$AA$4:$AB$7,2,FALSE)))</f>
        <v/>
      </c>
      <c r="X56" s="60"/>
      <c r="Y56" s="363" t="str">
        <f>IF(X56="","",IF(VLOOKUP(X56,'G-7 WaterC'' Data'!$AD$4:$AE$14,2,FALSE)=0,"Enrcoachment Data Missing ⚠",VLOOKUP(X56,'G-7 WaterC'' Data'!$AD$4:$AE$14,2,FALSE)))</f>
        <v/>
      </c>
      <c r="Z56" s="115"/>
      <c r="AA56" s="363" t="str">
        <f>IF(Z56="","",IF(VLOOKUP(Z56,'G-7 WaterC'' Data'!$AO$4:$BO$7,2,FALSE)=0,"Spatial Data Missing ⚠",VLOOKUP(Z56,'G-7 WaterC'' Data'!$AO$4:$BO$7,2,FALSE)))</f>
        <v/>
      </c>
      <c r="AB56" s="405" t="str">
        <f t="shared" si="4"/>
        <v/>
      </c>
      <c r="AC56" s="405" t="str">
        <f t="shared" si="5"/>
        <v/>
      </c>
      <c r="AD56" s="117"/>
      <c r="AE56" s="692"/>
      <c r="AF56" s="119"/>
      <c r="AG56" s="120"/>
      <c r="AL56" s="30" t="str">
        <f>IFERROR(INDEX('G-7 WaterC'' Data'!$AZ$3:$AZ$7,MATCH(C56,'G-7 WaterC'' Data'!$AY$3:$AY$7,0)),"")</f>
        <v/>
      </c>
    </row>
    <row r="57" spans="2:38" ht="15">
      <c r="B57" s="110">
        <v>46</v>
      </c>
      <c r="C57" s="501"/>
      <c r="D57" s="139"/>
      <c r="E57" s="362" t="str">
        <f>IF(C57="","",VLOOKUP(C57,'G-7 WaterC'' Data'!$B$2:$Z$9,2,FALSE))</f>
        <v/>
      </c>
      <c r="F57" s="363" t="str">
        <f>IFERROR(VLOOKUP(E57,'G-7 WaterC'' Data'!$C$4:$D$8,2,FALSE),"")</f>
        <v/>
      </c>
      <c r="G57" s="114"/>
      <c r="H57" s="363" t="str">
        <f>IFERROR(INDEX('G-7 WaterC'' Data'!$H$4:$L$8,MATCH(C57,'G-7 WaterC'' Data'!$B$4:$B$8,0),MATCH(G57,'G-7 WaterC'' Data'!$H$3:$L$3,0)),"")</f>
        <v/>
      </c>
      <c r="I57" s="54"/>
      <c r="J57" s="401" t="str">
        <f>IF(I57="","",IF(VLOOKUP(I57,'G-7 WaterC'' Data'!$AK$4:$AM$6,2,FALSE)=0,"Spatial Data Missing ⚠",VLOOKUP(I57,'G-7 WaterC'' Data'!$AK$4:$AM$6,2,FALSE)))</f>
        <v/>
      </c>
      <c r="K57" s="363" t="str">
        <f>IF(I57="","",IF(VLOOKUP(I57,'G-7 WaterC'' Data'!$AK$4:$AM$6,3,FALSE)=0,"Spatial Data Missing ⚠",VLOOKUP(I57,'G-7 WaterC'' Data'!$AK$4:$AM$6,3,FALSE)))</f>
        <v/>
      </c>
      <c r="L57" s="478" t="str">
        <f>IFERROR(INDEX('G-7 WaterC'' Data'!$O$3:$O$7,MATCH(G57,'G-7 WaterC'' Data'!$N$3:$N$7,0)),"")</f>
        <v/>
      </c>
      <c r="M57" s="55"/>
      <c r="N57" s="159"/>
      <c r="O57" s="370" t="str">
        <f t="shared" si="0"/>
        <v/>
      </c>
      <c r="P57" s="383" t="str">
        <f t="shared" si="1"/>
        <v/>
      </c>
      <c r="Q57" s="422" t="str">
        <f>IFERROR(IF(P57="Check Data ⚠","Check Data ⚠",VLOOKUP(P57,'G-4 Temporal multipliers'!$A$4:$C$37,3,FALSE)),"")</f>
        <v/>
      </c>
      <c r="R57" s="362" t="str">
        <f>IF(C57="","",VLOOKUP(C57,'G-7 WaterC'' Data'!$B$4:$G$8,4,FALSE))</f>
        <v/>
      </c>
      <c r="S57" s="370" t="str">
        <f t="shared" si="2"/>
        <v/>
      </c>
      <c r="T57" s="401" t="str">
        <f t="shared" si="3"/>
        <v/>
      </c>
      <c r="U57" s="363" t="str">
        <f>IF(C57="","",VLOOKUP(T57,'G-3 Multipliers'!$P$2:$Q$6,2,FALSE))</f>
        <v/>
      </c>
      <c r="V57" s="115"/>
      <c r="W57" s="363" t="str">
        <f>IF(V57="","",IF(VLOOKUP(V57,'G-7 WaterC'' Data'!$AA$4:$AB$7,2,FALSE)=0,"Spatial Data Missing ⚠",VLOOKUP(V57,'G-7 WaterC'' Data'!$AA$4:$AB$7,2,FALSE)))</f>
        <v/>
      </c>
      <c r="X57" s="60"/>
      <c r="Y57" s="363" t="str">
        <f>IF(X57="","",IF(VLOOKUP(X57,'G-7 WaterC'' Data'!$AD$4:$AE$14,2,FALSE)=0,"Enrcoachment Data Missing ⚠",VLOOKUP(X57,'G-7 WaterC'' Data'!$AD$4:$AE$14,2,FALSE)))</f>
        <v/>
      </c>
      <c r="Z57" s="115"/>
      <c r="AA57" s="363" t="str">
        <f>IF(Z57="","",IF(VLOOKUP(Z57,'G-7 WaterC'' Data'!$AO$4:$BO$7,2,FALSE)=0,"Spatial Data Missing ⚠",VLOOKUP(Z57,'G-7 WaterC'' Data'!$AO$4:$BO$7,2,FALSE)))</f>
        <v/>
      </c>
      <c r="AB57" s="405" t="str">
        <f t="shared" si="4"/>
        <v/>
      </c>
      <c r="AC57" s="405" t="str">
        <f t="shared" si="5"/>
        <v/>
      </c>
      <c r="AD57" s="117"/>
      <c r="AE57" s="692"/>
      <c r="AF57" s="119"/>
      <c r="AG57" s="120"/>
      <c r="AL57" s="30" t="str">
        <f>IFERROR(INDEX('G-7 WaterC'' Data'!$AZ$3:$AZ$7,MATCH(C57,'G-7 WaterC'' Data'!$AY$3:$AY$7,0)),"")</f>
        <v/>
      </c>
    </row>
    <row r="58" spans="2:38" ht="15">
      <c r="B58" s="110">
        <v>47</v>
      </c>
      <c r="C58" s="501"/>
      <c r="D58" s="139"/>
      <c r="E58" s="362" t="str">
        <f>IF(C58="","",VLOOKUP(C58,'G-7 WaterC'' Data'!$B$2:$Z$9,2,FALSE))</f>
        <v/>
      </c>
      <c r="F58" s="363" t="str">
        <f>IFERROR(VLOOKUP(E58,'G-7 WaterC'' Data'!$C$4:$D$8,2,FALSE),"")</f>
        <v/>
      </c>
      <c r="G58" s="114"/>
      <c r="H58" s="363" t="str">
        <f>IFERROR(INDEX('G-7 WaterC'' Data'!$H$4:$L$8,MATCH(C58,'G-7 WaterC'' Data'!$B$4:$B$8,0),MATCH(G58,'G-7 WaterC'' Data'!$H$3:$L$3,0)),"")</f>
        <v/>
      </c>
      <c r="I58" s="54"/>
      <c r="J58" s="401" t="str">
        <f>IF(I58="","",IF(VLOOKUP(I58,'G-7 WaterC'' Data'!$AK$4:$AM$6,2,FALSE)=0,"Spatial Data Missing ⚠",VLOOKUP(I58,'G-7 WaterC'' Data'!$AK$4:$AM$6,2,FALSE)))</f>
        <v/>
      </c>
      <c r="K58" s="363" t="str">
        <f>IF(I58="","",IF(VLOOKUP(I58,'G-7 WaterC'' Data'!$AK$4:$AM$6,3,FALSE)=0,"Spatial Data Missing ⚠",VLOOKUP(I58,'G-7 WaterC'' Data'!$AK$4:$AM$6,3,FALSE)))</f>
        <v/>
      </c>
      <c r="L58" s="478" t="str">
        <f>IFERROR(INDEX('G-7 WaterC'' Data'!$O$3:$O$7,MATCH(G58,'G-7 WaterC'' Data'!$N$3:$N$7,0)),"")</f>
        <v/>
      </c>
      <c r="M58" s="55"/>
      <c r="N58" s="159"/>
      <c r="O58" s="370" t="str">
        <f t="shared" si="0"/>
        <v/>
      </c>
      <c r="P58" s="383" t="str">
        <f t="shared" si="1"/>
        <v/>
      </c>
      <c r="Q58" s="422" t="str">
        <f>IFERROR(IF(P58="Check Data ⚠","Check Data ⚠",VLOOKUP(P58,'G-4 Temporal multipliers'!$A$4:$C$37,3,FALSE)),"")</f>
        <v/>
      </c>
      <c r="R58" s="362" t="str">
        <f>IF(C58="","",VLOOKUP(C58,'G-7 WaterC'' Data'!$B$4:$G$8,4,FALSE))</f>
        <v/>
      </c>
      <c r="S58" s="370" t="str">
        <f t="shared" si="2"/>
        <v/>
      </c>
      <c r="T58" s="401" t="str">
        <f t="shared" si="3"/>
        <v/>
      </c>
      <c r="U58" s="363" t="str">
        <f>IF(C58="","",VLOOKUP(T58,'G-3 Multipliers'!$P$2:$Q$6,2,FALSE))</f>
        <v/>
      </c>
      <c r="V58" s="115"/>
      <c r="W58" s="363" t="str">
        <f>IF(V58="","",IF(VLOOKUP(V58,'G-7 WaterC'' Data'!$AA$4:$AB$7,2,FALSE)=0,"Spatial Data Missing ⚠",VLOOKUP(V58,'G-7 WaterC'' Data'!$AA$4:$AB$7,2,FALSE)))</f>
        <v/>
      </c>
      <c r="X58" s="60"/>
      <c r="Y58" s="363" t="str">
        <f>IF(X58="","",IF(VLOOKUP(X58,'G-7 WaterC'' Data'!$AD$4:$AE$14,2,FALSE)=0,"Enrcoachment Data Missing ⚠",VLOOKUP(X58,'G-7 WaterC'' Data'!$AD$4:$AE$14,2,FALSE)))</f>
        <v/>
      </c>
      <c r="Z58" s="115"/>
      <c r="AA58" s="363" t="str">
        <f>IF(Z58="","",IF(VLOOKUP(Z58,'G-7 WaterC'' Data'!$AO$4:$BO$7,2,FALSE)=0,"Spatial Data Missing ⚠",VLOOKUP(Z58,'G-7 WaterC'' Data'!$AO$4:$BO$7,2,FALSE)))</f>
        <v/>
      </c>
      <c r="AB58" s="405" t="str">
        <f t="shared" si="4"/>
        <v/>
      </c>
      <c r="AC58" s="405" t="str">
        <f t="shared" si="5"/>
        <v/>
      </c>
      <c r="AD58" s="117"/>
      <c r="AE58" s="692"/>
      <c r="AF58" s="119"/>
      <c r="AG58" s="120"/>
      <c r="AL58" s="30" t="str">
        <f>IFERROR(INDEX('G-7 WaterC'' Data'!$AZ$3:$AZ$7,MATCH(C58,'G-7 WaterC'' Data'!$AY$3:$AY$7,0)),"")</f>
        <v/>
      </c>
    </row>
    <row r="59" spans="2:38" ht="15">
      <c r="B59" s="110">
        <v>48</v>
      </c>
      <c r="C59" s="501"/>
      <c r="D59" s="139"/>
      <c r="E59" s="362" t="str">
        <f>IF(C59="","",VLOOKUP(C59,'G-7 WaterC'' Data'!$B$2:$Z$9,2,FALSE))</f>
        <v/>
      </c>
      <c r="F59" s="363" t="str">
        <f>IFERROR(VLOOKUP(E59,'G-7 WaterC'' Data'!$C$4:$D$8,2,FALSE),"")</f>
        <v/>
      </c>
      <c r="G59" s="114"/>
      <c r="H59" s="363" t="str">
        <f>IFERROR(INDEX('G-7 WaterC'' Data'!$H$4:$L$8,MATCH(C59,'G-7 WaterC'' Data'!$B$4:$B$8,0),MATCH(G59,'G-7 WaterC'' Data'!$H$3:$L$3,0)),"")</f>
        <v/>
      </c>
      <c r="I59" s="54"/>
      <c r="J59" s="401" t="str">
        <f>IF(I59="","",IF(VLOOKUP(I59,'G-7 WaterC'' Data'!$AK$4:$AM$6,2,FALSE)=0,"Spatial Data Missing ⚠",VLOOKUP(I59,'G-7 WaterC'' Data'!$AK$4:$AM$6,2,FALSE)))</f>
        <v/>
      </c>
      <c r="K59" s="363" t="str">
        <f>IF(I59="","",IF(VLOOKUP(I59,'G-7 WaterC'' Data'!$AK$4:$AM$6,3,FALSE)=0,"Spatial Data Missing ⚠",VLOOKUP(I59,'G-7 WaterC'' Data'!$AK$4:$AM$6,3,FALSE)))</f>
        <v/>
      </c>
      <c r="L59" s="478" t="str">
        <f>IFERROR(INDEX('G-7 WaterC'' Data'!$O$3:$O$7,MATCH(G59,'G-7 WaterC'' Data'!$N$3:$N$7,0)),"")</f>
        <v/>
      </c>
      <c r="M59" s="55"/>
      <c r="N59" s="159"/>
      <c r="O59" s="370" t="str">
        <f t="shared" si="0"/>
        <v/>
      </c>
      <c r="P59" s="383" t="str">
        <f t="shared" si="1"/>
        <v/>
      </c>
      <c r="Q59" s="422" t="str">
        <f>IFERROR(IF(P59="Check Data ⚠","Check Data ⚠",VLOOKUP(P59,'G-4 Temporal multipliers'!$A$4:$C$37,3,FALSE)),"")</f>
        <v/>
      </c>
      <c r="R59" s="362" t="str">
        <f>IF(C59="","",VLOOKUP(C59,'G-7 WaterC'' Data'!$B$4:$G$8,4,FALSE))</f>
        <v/>
      </c>
      <c r="S59" s="370" t="str">
        <f t="shared" si="2"/>
        <v/>
      </c>
      <c r="T59" s="401" t="str">
        <f t="shared" si="3"/>
        <v/>
      </c>
      <c r="U59" s="363" t="str">
        <f>IF(C59="","",VLOOKUP(T59,'G-3 Multipliers'!$P$2:$Q$6,2,FALSE))</f>
        <v/>
      </c>
      <c r="V59" s="115"/>
      <c r="W59" s="363" t="str">
        <f>IF(V59="","",IF(VLOOKUP(V59,'G-7 WaterC'' Data'!$AA$4:$AB$7,2,FALSE)=0,"Spatial Data Missing ⚠",VLOOKUP(V59,'G-7 WaterC'' Data'!$AA$4:$AB$7,2,FALSE)))</f>
        <v/>
      </c>
      <c r="X59" s="60"/>
      <c r="Y59" s="363" t="str">
        <f>IF(X59="","",IF(VLOOKUP(X59,'G-7 WaterC'' Data'!$AD$4:$AE$14,2,FALSE)=0,"Enrcoachment Data Missing ⚠",VLOOKUP(X59,'G-7 WaterC'' Data'!$AD$4:$AE$14,2,FALSE)))</f>
        <v/>
      </c>
      <c r="Z59" s="115"/>
      <c r="AA59" s="363" t="str">
        <f>IF(Z59="","",IF(VLOOKUP(Z59,'G-7 WaterC'' Data'!$AO$4:$BO$7,2,FALSE)=0,"Spatial Data Missing ⚠",VLOOKUP(Z59,'G-7 WaterC'' Data'!$AO$4:$BO$7,2,FALSE)))</f>
        <v/>
      </c>
      <c r="AB59" s="405" t="str">
        <f t="shared" si="4"/>
        <v/>
      </c>
      <c r="AC59" s="405" t="str">
        <f t="shared" si="5"/>
        <v/>
      </c>
      <c r="AD59" s="117"/>
      <c r="AE59" s="692"/>
      <c r="AF59" s="119"/>
      <c r="AG59" s="120"/>
      <c r="AL59" s="30" t="str">
        <f>IFERROR(INDEX('G-7 WaterC'' Data'!$AZ$3:$AZ$7,MATCH(C59,'G-7 WaterC'' Data'!$AY$3:$AY$7,0)),"")</f>
        <v/>
      </c>
    </row>
    <row r="60" spans="2:38" ht="15">
      <c r="B60" s="110">
        <v>49</v>
      </c>
      <c r="C60" s="501"/>
      <c r="D60" s="139"/>
      <c r="E60" s="362" t="str">
        <f>IF(C60="","",VLOOKUP(C60,'G-7 WaterC'' Data'!$B$2:$Z$9,2,FALSE))</f>
        <v/>
      </c>
      <c r="F60" s="363" t="str">
        <f>IFERROR(VLOOKUP(E60,'G-7 WaterC'' Data'!$C$4:$D$8,2,FALSE),"")</f>
        <v/>
      </c>
      <c r="G60" s="114"/>
      <c r="H60" s="363" t="str">
        <f>IFERROR(INDEX('G-7 WaterC'' Data'!$H$4:$L$8,MATCH(C60,'G-7 WaterC'' Data'!$B$4:$B$8,0),MATCH(G60,'G-7 WaterC'' Data'!$H$3:$L$3,0)),"")</f>
        <v/>
      </c>
      <c r="I60" s="54"/>
      <c r="J60" s="401" t="str">
        <f>IF(I60="","",IF(VLOOKUP(I60,'G-7 WaterC'' Data'!$AK$4:$AM$6,2,FALSE)=0,"Spatial Data Missing ⚠",VLOOKUP(I60,'G-7 WaterC'' Data'!$AK$4:$AM$6,2,FALSE)))</f>
        <v/>
      </c>
      <c r="K60" s="363" t="str">
        <f>IF(I60="","",IF(VLOOKUP(I60,'G-7 WaterC'' Data'!$AK$4:$AM$6,3,FALSE)=0,"Spatial Data Missing ⚠",VLOOKUP(I60,'G-7 WaterC'' Data'!$AK$4:$AM$6,3,FALSE)))</f>
        <v/>
      </c>
      <c r="L60" s="478" t="str">
        <f>IFERROR(INDEX('G-7 WaterC'' Data'!$O$3:$O$7,MATCH(G60,'G-7 WaterC'' Data'!$N$3:$N$7,0)),"")</f>
        <v/>
      </c>
      <c r="M60" s="55"/>
      <c r="N60" s="159"/>
      <c r="O60" s="370" t="str">
        <f t="shared" si="0"/>
        <v/>
      </c>
      <c r="P60" s="383" t="str">
        <f t="shared" si="1"/>
        <v/>
      </c>
      <c r="Q60" s="422" t="str">
        <f>IFERROR(IF(P60="Check Data ⚠","Check Data ⚠",VLOOKUP(P60,'G-4 Temporal multipliers'!$A$4:$C$37,3,FALSE)),"")</f>
        <v/>
      </c>
      <c r="R60" s="362" t="str">
        <f>IF(C60="","",VLOOKUP(C60,'G-7 WaterC'' Data'!$B$4:$G$8,4,FALSE))</f>
        <v/>
      </c>
      <c r="S60" s="370" t="str">
        <f t="shared" si="2"/>
        <v/>
      </c>
      <c r="T60" s="401" t="str">
        <f t="shared" si="3"/>
        <v/>
      </c>
      <c r="U60" s="363" t="str">
        <f>IF(C60="","",VLOOKUP(T60,'G-3 Multipliers'!$P$2:$Q$6,2,FALSE))</f>
        <v/>
      </c>
      <c r="V60" s="115"/>
      <c r="W60" s="363" t="str">
        <f>IF(V60="","",IF(VLOOKUP(V60,'G-7 WaterC'' Data'!$AA$4:$AB$7,2,FALSE)=0,"Spatial Data Missing ⚠",VLOOKUP(V60,'G-7 WaterC'' Data'!$AA$4:$AB$7,2,FALSE)))</f>
        <v/>
      </c>
      <c r="X60" s="60"/>
      <c r="Y60" s="363" t="str">
        <f>IF(X60="","",IF(VLOOKUP(X60,'G-7 WaterC'' Data'!$AD$4:$AE$14,2,FALSE)=0,"Enrcoachment Data Missing ⚠",VLOOKUP(X60,'G-7 WaterC'' Data'!$AD$4:$AE$14,2,FALSE)))</f>
        <v/>
      </c>
      <c r="Z60" s="115"/>
      <c r="AA60" s="363" t="str">
        <f>IF(Z60="","",IF(VLOOKUP(Z60,'G-7 WaterC'' Data'!$AO$4:$BO$7,2,FALSE)=0,"Spatial Data Missing ⚠",VLOOKUP(Z60,'G-7 WaterC'' Data'!$AO$4:$BO$7,2,FALSE)))</f>
        <v/>
      </c>
      <c r="AB60" s="405" t="str">
        <f t="shared" si="4"/>
        <v/>
      </c>
      <c r="AC60" s="405" t="str">
        <f t="shared" si="5"/>
        <v/>
      </c>
      <c r="AD60" s="117"/>
      <c r="AE60" s="692"/>
      <c r="AF60" s="119"/>
      <c r="AG60" s="120"/>
      <c r="AL60" s="30" t="str">
        <f>IFERROR(INDEX('G-7 WaterC'' Data'!$AZ$3:$AZ$7,MATCH(C60,'G-7 WaterC'' Data'!$AY$3:$AY$7,0)),"")</f>
        <v/>
      </c>
    </row>
    <row r="61" spans="2:38" ht="15">
      <c r="B61" s="110">
        <v>50</v>
      </c>
      <c r="C61" s="501"/>
      <c r="D61" s="139"/>
      <c r="E61" s="362" t="str">
        <f>IF(C61="","",VLOOKUP(C61,'G-7 WaterC'' Data'!$B$2:$Z$9,2,FALSE))</f>
        <v/>
      </c>
      <c r="F61" s="363" t="str">
        <f>IFERROR(VLOOKUP(E61,'G-7 WaterC'' Data'!$C$4:$D$8,2,FALSE),"")</f>
        <v/>
      </c>
      <c r="G61" s="114"/>
      <c r="H61" s="363" t="str">
        <f>IFERROR(INDEX('G-7 WaterC'' Data'!$H$4:$L$8,MATCH(C61,'G-7 WaterC'' Data'!$B$4:$B$8,0),MATCH(G61,'G-7 WaterC'' Data'!$H$3:$L$3,0)),"")</f>
        <v/>
      </c>
      <c r="I61" s="54"/>
      <c r="J61" s="401" t="str">
        <f>IF(I61="","",IF(VLOOKUP(I61,'G-7 WaterC'' Data'!$AK$4:$AM$6,2,FALSE)=0,"Spatial Data Missing ⚠",VLOOKUP(I61,'G-7 WaterC'' Data'!$AK$4:$AM$6,2,FALSE)))</f>
        <v/>
      </c>
      <c r="K61" s="363" t="str">
        <f>IF(I61="","",IF(VLOOKUP(I61,'G-7 WaterC'' Data'!$AK$4:$AM$6,3,FALSE)=0,"Spatial Data Missing ⚠",VLOOKUP(I61,'G-7 WaterC'' Data'!$AK$4:$AM$6,3,FALSE)))</f>
        <v/>
      </c>
      <c r="L61" s="478" t="str">
        <f>IFERROR(INDEX('G-7 WaterC'' Data'!$O$3:$O$7,MATCH(G61,'G-7 WaterC'' Data'!$N$3:$N$7,0)),"")</f>
        <v/>
      </c>
      <c r="M61" s="55"/>
      <c r="N61" s="159"/>
      <c r="O61" s="370" t="str">
        <f t="shared" si="0"/>
        <v/>
      </c>
      <c r="P61" s="383" t="str">
        <f t="shared" si="1"/>
        <v/>
      </c>
      <c r="Q61" s="422" t="str">
        <f>IFERROR(IF(P61="Check Data ⚠","Check Data ⚠",VLOOKUP(P61,'G-4 Temporal multipliers'!$A$4:$C$37,3,FALSE)),"")</f>
        <v/>
      </c>
      <c r="R61" s="362" t="str">
        <f>IF(C61="","",VLOOKUP(C61,'G-7 WaterC'' Data'!$B$4:$G$8,4,FALSE))</f>
        <v/>
      </c>
      <c r="S61" s="370" t="str">
        <f t="shared" si="2"/>
        <v/>
      </c>
      <c r="T61" s="401" t="str">
        <f t="shared" si="3"/>
        <v/>
      </c>
      <c r="U61" s="363" t="str">
        <f>IF(C61="","",VLOOKUP(T61,'G-3 Multipliers'!$P$2:$Q$6,2,FALSE))</f>
        <v/>
      </c>
      <c r="V61" s="115"/>
      <c r="W61" s="363" t="str">
        <f>IF(V61="","",IF(VLOOKUP(V61,'G-7 WaterC'' Data'!$AA$4:$AB$7,2,FALSE)=0,"Spatial Data Missing ⚠",VLOOKUP(V61,'G-7 WaterC'' Data'!$AA$4:$AB$7,2,FALSE)))</f>
        <v/>
      </c>
      <c r="X61" s="60"/>
      <c r="Y61" s="363" t="str">
        <f>IF(X61="","",IF(VLOOKUP(X61,'G-7 WaterC'' Data'!$AD$4:$AE$14,2,FALSE)=0,"Enrcoachment Data Missing ⚠",VLOOKUP(X61,'G-7 WaterC'' Data'!$AD$4:$AE$14,2,FALSE)))</f>
        <v/>
      </c>
      <c r="Z61" s="115"/>
      <c r="AA61" s="363" t="str">
        <f>IF(Z61="","",IF(VLOOKUP(Z61,'G-7 WaterC'' Data'!$AO$4:$BO$7,2,FALSE)=0,"Spatial Data Missing ⚠",VLOOKUP(Z61,'G-7 WaterC'' Data'!$AO$4:$BO$7,2,FALSE)))</f>
        <v/>
      </c>
      <c r="AB61" s="405" t="str">
        <f t="shared" si="4"/>
        <v/>
      </c>
      <c r="AC61" s="405" t="str">
        <f t="shared" si="5"/>
        <v/>
      </c>
      <c r="AD61" s="117"/>
      <c r="AE61" s="692"/>
      <c r="AF61" s="119"/>
      <c r="AG61" s="120"/>
      <c r="AL61" s="30" t="str">
        <f>IFERROR(INDEX('G-7 WaterC'' Data'!$AZ$3:$AZ$7,MATCH(C61,'G-7 WaterC'' Data'!$AY$3:$AY$7,0)),"")</f>
        <v/>
      </c>
    </row>
    <row r="62" spans="2:38" ht="15">
      <c r="B62" s="110">
        <v>51</v>
      </c>
      <c r="C62" s="501"/>
      <c r="D62" s="139"/>
      <c r="E62" s="362" t="str">
        <f>IF(C62="","",VLOOKUP(C62,'G-7 WaterC'' Data'!$B$2:$Z$9,2,FALSE))</f>
        <v/>
      </c>
      <c r="F62" s="363" t="str">
        <f>IFERROR(VLOOKUP(E62,'G-7 WaterC'' Data'!$C$4:$D$8,2,FALSE),"")</f>
        <v/>
      </c>
      <c r="G62" s="114"/>
      <c r="H62" s="363" t="str">
        <f>IFERROR(INDEX('G-7 WaterC'' Data'!$H$4:$L$8,MATCH(C62,'G-7 WaterC'' Data'!$B$4:$B$8,0),MATCH(G62,'G-7 WaterC'' Data'!$H$3:$L$3,0)),"")</f>
        <v/>
      </c>
      <c r="I62" s="54"/>
      <c r="J62" s="401" t="str">
        <f>IF(I62="","",IF(VLOOKUP(I62,'G-7 WaterC'' Data'!$AK$4:$AM$6,2,FALSE)=0,"Spatial Data Missing ⚠",VLOOKUP(I62,'G-7 WaterC'' Data'!$AK$4:$AM$6,2,FALSE)))</f>
        <v/>
      </c>
      <c r="K62" s="363" t="str">
        <f>IF(I62="","",IF(VLOOKUP(I62,'G-7 WaterC'' Data'!$AK$4:$AM$6,3,FALSE)=0,"Spatial Data Missing ⚠",VLOOKUP(I62,'G-7 WaterC'' Data'!$AK$4:$AM$6,3,FALSE)))</f>
        <v/>
      </c>
      <c r="L62" s="478" t="str">
        <f>IFERROR(INDEX('G-7 WaterC'' Data'!$O$3:$O$7,MATCH(G62,'G-7 WaterC'' Data'!$N$3:$N$7,0)),"")</f>
        <v/>
      </c>
      <c r="M62" s="55"/>
      <c r="N62" s="159"/>
      <c r="O62" s="370" t="str">
        <f t="shared" si="0"/>
        <v/>
      </c>
      <c r="P62" s="383" t="str">
        <f t="shared" si="1"/>
        <v/>
      </c>
      <c r="Q62" s="422" t="str">
        <f>IFERROR(IF(P62="Check Data ⚠","Check Data ⚠",VLOOKUP(P62,'G-4 Temporal multipliers'!$A$4:$C$37,3,FALSE)),"")</f>
        <v/>
      </c>
      <c r="R62" s="362" t="str">
        <f>IF(C62="","",VLOOKUP(C62,'G-7 WaterC'' Data'!$B$4:$G$8,4,FALSE))</f>
        <v/>
      </c>
      <c r="S62" s="370" t="str">
        <f t="shared" si="2"/>
        <v/>
      </c>
      <c r="T62" s="401" t="str">
        <f t="shared" si="3"/>
        <v/>
      </c>
      <c r="U62" s="363" t="str">
        <f>IF(C62="","",VLOOKUP(T62,'G-3 Multipliers'!$P$2:$Q$6,2,FALSE))</f>
        <v/>
      </c>
      <c r="V62" s="115"/>
      <c r="W62" s="363" t="str">
        <f>IF(V62="","",IF(VLOOKUP(V62,'G-7 WaterC'' Data'!$AA$4:$AB$7,2,FALSE)=0,"Spatial Data Missing ⚠",VLOOKUP(V62,'G-7 WaterC'' Data'!$AA$4:$AB$7,2,FALSE)))</f>
        <v/>
      </c>
      <c r="X62" s="60"/>
      <c r="Y62" s="363" t="str">
        <f>IF(X62="","",IF(VLOOKUP(X62,'G-7 WaterC'' Data'!$AD$4:$AE$14,2,FALSE)=0,"Enrcoachment Data Missing ⚠",VLOOKUP(X62,'G-7 WaterC'' Data'!$AD$4:$AE$14,2,FALSE)))</f>
        <v/>
      </c>
      <c r="Z62" s="115"/>
      <c r="AA62" s="363" t="str">
        <f>IF(Z62="","",IF(VLOOKUP(Z62,'G-7 WaterC'' Data'!$AO$4:$BO$7,2,FALSE)=0,"Spatial Data Missing ⚠",VLOOKUP(Z62,'G-7 WaterC'' Data'!$AO$4:$BO$7,2,FALSE)))</f>
        <v/>
      </c>
      <c r="AB62" s="405" t="str">
        <f t="shared" si="4"/>
        <v/>
      </c>
      <c r="AC62" s="405" t="str">
        <f t="shared" si="5"/>
        <v/>
      </c>
      <c r="AD62" s="117"/>
      <c r="AE62" s="692"/>
      <c r="AF62" s="119"/>
      <c r="AG62" s="120"/>
      <c r="AL62" s="30" t="str">
        <f>IFERROR(INDEX('G-7 WaterC'' Data'!$AZ$3:$AZ$7,MATCH(C62,'G-7 WaterC'' Data'!$AY$3:$AY$7,0)),"")</f>
        <v/>
      </c>
    </row>
    <row r="63" spans="2:38" ht="15">
      <c r="B63" s="110">
        <v>52</v>
      </c>
      <c r="C63" s="501"/>
      <c r="D63" s="139"/>
      <c r="E63" s="362" t="str">
        <f>IF(C63="","",VLOOKUP(C63,'G-7 WaterC'' Data'!$B$2:$Z$9,2,FALSE))</f>
        <v/>
      </c>
      <c r="F63" s="363" t="str">
        <f>IFERROR(VLOOKUP(E63,'G-7 WaterC'' Data'!$C$4:$D$8,2,FALSE),"")</f>
        <v/>
      </c>
      <c r="G63" s="114"/>
      <c r="H63" s="363" t="str">
        <f>IFERROR(INDEX('G-7 WaterC'' Data'!$H$4:$L$8,MATCH(C63,'G-7 WaterC'' Data'!$B$4:$B$8,0),MATCH(G63,'G-7 WaterC'' Data'!$H$3:$L$3,0)),"")</f>
        <v/>
      </c>
      <c r="I63" s="54"/>
      <c r="J63" s="401" t="str">
        <f>IF(I63="","",IF(VLOOKUP(I63,'G-7 WaterC'' Data'!$AK$4:$AM$6,2,FALSE)=0,"Spatial Data Missing ⚠",VLOOKUP(I63,'G-7 WaterC'' Data'!$AK$4:$AM$6,2,FALSE)))</f>
        <v/>
      </c>
      <c r="K63" s="363" t="str">
        <f>IF(I63="","",IF(VLOOKUP(I63,'G-7 WaterC'' Data'!$AK$4:$AM$6,3,FALSE)=0,"Spatial Data Missing ⚠",VLOOKUP(I63,'G-7 WaterC'' Data'!$AK$4:$AM$6,3,FALSE)))</f>
        <v/>
      </c>
      <c r="L63" s="478" t="str">
        <f>IFERROR(INDEX('G-7 WaterC'' Data'!$O$3:$O$7,MATCH(G63,'G-7 WaterC'' Data'!$N$3:$N$7,0)),"")</f>
        <v/>
      </c>
      <c r="M63" s="55"/>
      <c r="N63" s="159"/>
      <c r="O63" s="370" t="str">
        <f t="shared" si="0"/>
        <v/>
      </c>
      <c r="P63" s="383" t="str">
        <f t="shared" si="1"/>
        <v/>
      </c>
      <c r="Q63" s="422" t="str">
        <f>IFERROR(IF(P63="Check Data ⚠","Check Data ⚠",VLOOKUP(P63,'G-4 Temporal multipliers'!$A$4:$C$37,3,FALSE)),"")</f>
        <v/>
      </c>
      <c r="R63" s="362" t="str">
        <f>IF(C63="","",VLOOKUP(C63,'G-7 WaterC'' Data'!$B$4:$G$8,4,FALSE))</f>
        <v/>
      </c>
      <c r="S63" s="370" t="str">
        <f t="shared" si="2"/>
        <v/>
      </c>
      <c r="T63" s="401" t="str">
        <f t="shared" si="3"/>
        <v/>
      </c>
      <c r="U63" s="363" t="str">
        <f>IF(C63="","",VLOOKUP(T63,'G-3 Multipliers'!$P$2:$Q$6,2,FALSE))</f>
        <v/>
      </c>
      <c r="V63" s="115"/>
      <c r="W63" s="363" t="str">
        <f>IF(V63="","",IF(VLOOKUP(V63,'G-7 WaterC'' Data'!$AA$4:$AB$7,2,FALSE)=0,"Spatial Data Missing ⚠",VLOOKUP(V63,'G-7 WaterC'' Data'!$AA$4:$AB$7,2,FALSE)))</f>
        <v/>
      </c>
      <c r="X63" s="60"/>
      <c r="Y63" s="363" t="str">
        <f>IF(X63="","",IF(VLOOKUP(X63,'G-7 WaterC'' Data'!$AD$4:$AE$14,2,FALSE)=0,"Enrcoachment Data Missing ⚠",VLOOKUP(X63,'G-7 WaterC'' Data'!$AD$4:$AE$14,2,FALSE)))</f>
        <v/>
      </c>
      <c r="Z63" s="115"/>
      <c r="AA63" s="363" t="str">
        <f>IF(Z63="","",IF(VLOOKUP(Z63,'G-7 WaterC'' Data'!$AO$4:$BO$7,2,FALSE)=0,"Spatial Data Missing ⚠",VLOOKUP(Z63,'G-7 WaterC'' Data'!$AO$4:$BO$7,2,FALSE)))</f>
        <v/>
      </c>
      <c r="AB63" s="405" t="str">
        <f t="shared" si="4"/>
        <v/>
      </c>
      <c r="AC63" s="405" t="str">
        <f t="shared" si="5"/>
        <v/>
      </c>
      <c r="AD63" s="117"/>
      <c r="AE63" s="692"/>
      <c r="AF63" s="119"/>
      <c r="AG63" s="120"/>
      <c r="AL63" s="30" t="str">
        <f>IFERROR(INDEX('G-7 WaterC'' Data'!$AZ$3:$AZ$7,MATCH(C63,'G-7 WaterC'' Data'!$AY$3:$AY$7,0)),"")</f>
        <v/>
      </c>
    </row>
    <row r="64" spans="2:38" ht="15">
      <c r="B64" s="110">
        <v>53</v>
      </c>
      <c r="C64" s="501"/>
      <c r="D64" s="139"/>
      <c r="E64" s="362" t="str">
        <f>IF(C64="","",VLOOKUP(C64,'G-7 WaterC'' Data'!$B$2:$Z$9,2,FALSE))</f>
        <v/>
      </c>
      <c r="F64" s="363" t="str">
        <f>IFERROR(VLOOKUP(E64,'G-7 WaterC'' Data'!$C$4:$D$8,2,FALSE),"")</f>
        <v/>
      </c>
      <c r="G64" s="114"/>
      <c r="H64" s="363" t="str">
        <f>IFERROR(INDEX('G-7 WaterC'' Data'!$H$4:$L$8,MATCH(C64,'G-7 WaterC'' Data'!$B$4:$B$8,0),MATCH(G64,'G-7 WaterC'' Data'!$H$3:$L$3,0)),"")</f>
        <v/>
      </c>
      <c r="I64" s="54"/>
      <c r="J64" s="401" t="str">
        <f>IF(I64="","",IF(VLOOKUP(I64,'G-7 WaterC'' Data'!$AK$4:$AM$6,2,FALSE)=0,"Spatial Data Missing ⚠",VLOOKUP(I64,'G-7 WaterC'' Data'!$AK$4:$AM$6,2,FALSE)))</f>
        <v/>
      </c>
      <c r="K64" s="363" t="str">
        <f>IF(I64="","",IF(VLOOKUP(I64,'G-7 WaterC'' Data'!$AK$4:$AM$6,3,FALSE)=0,"Spatial Data Missing ⚠",VLOOKUP(I64,'G-7 WaterC'' Data'!$AK$4:$AM$6,3,FALSE)))</f>
        <v/>
      </c>
      <c r="L64" s="478" t="str">
        <f>IFERROR(INDEX('G-7 WaterC'' Data'!$O$3:$O$7,MATCH(G64,'G-7 WaterC'' Data'!$N$3:$N$7,0)),"")</f>
        <v/>
      </c>
      <c r="M64" s="55"/>
      <c r="N64" s="159"/>
      <c r="O64" s="370" t="str">
        <f t="shared" si="0"/>
        <v/>
      </c>
      <c r="P64" s="383" t="str">
        <f t="shared" si="1"/>
        <v/>
      </c>
      <c r="Q64" s="422" t="str">
        <f>IFERROR(IF(P64="Check Data ⚠","Check Data ⚠",VLOOKUP(P64,'G-4 Temporal multipliers'!$A$4:$C$37,3,FALSE)),"")</f>
        <v/>
      </c>
      <c r="R64" s="362" t="str">
        <f>IF(C64="","",VLOOKUP(C64,'G-7 WaterC'' Data'!$B$4:$G$8,4,FALSE))</f>
        <v/>
      </c>
      <c r="S64" s="370" t="str">
        <f t="shared" si="2"/>
        <v/>
      </c>
      <c r="T64" s="401" t="str">
        <f t="shared" si="3"/>
        <v/>
      </c>
      <c r="U64" s="363" t="str">
        <f>IF(C64="","",VLOOKUP(T64,'G-3 Multipliers'!$P$2:$Q$6,2,FALSE))</f>
        <v/>
      </c>
      <c r="V64" s="115"/>
      <c r="W64" s="363" t="str">
        <f>IF(V64="","",IF(VLOOKUP(V64,'G-7 WaterC'' Data'!$AA$4:$AB$7,2,FALSE)=0,"Spatial Data Missing ⚠",VLOOKUP(V64,'G-7 WaterC'' Data'!$AA$4:$AB$7,2,FALSE)))</f>
        <v/>
      </c>
      <c r="X64" s="60"/>
      <c r="Y64" s="363" t="str">
        <f>IF(X64="","",IF(VLOOKUP(X64,'G-7 WaterC'' Data'!$AD$4:$AE$14,2,FALSE)=0,"Enrcoachment Data Missing ⚠",VLOOKUP(X64,'G-7 WaterC'' Data'!$AD$4:$AE$14,2,FALSE)))</f>
        <v/>
      </c>
      <c r="Z64" s="115"/>
      <c r="AA64" s="363" t="str">
        <f>IF(Z64="","",IF(VLOOKUP(Z64,'G-7 WaterC'' Data'!$AO$4:$BO$7,2,FALSE)=0,"Spatial Data Missing ⚠",VLOOKUP(Z64,'G-7 WaterC'' Data'!$AO$4:$BO$7,2,FALSE)))</f>
        <v/>
      </c>
      <c r="AB64" s="405" t="str">
        <f t="shared" si="4"/>
        <v/>
      </c>
      <c r="AC64" s="405" t="str">
        <f t="shared" si="5"/>
        <v/>
      </c>
      <c r="AD64" s="117"/>
      <c r="AE64" s="692"/>
      <c r="AF64" s="119"/>
      <c r="AG64" s="120"/>
      <c r="AL64" s="30" t="str">
        <f>IFERROR(INDEX('G-7 WaterC'' Data'!$AZ$3:$AZ$7,MATCH(C64,'G-7 WaterC'' Data'!$AY$3:$AY$7,0)),"")</f>
        <v/>
      </c>
    </row>
    <row r="65" spans="2:38" ht="15">
      <c r="B65" s="110">
        <v>54</v>
      </c>
      <c r="C65" s="501"/>
      <c r="D65" s="139"/>
      <c r="E65" s="362" t="str">
        <f>IF(C65="","",VLOOKUP(C65,'G-7 WaterC'' Data'!$B$2:$Z$9,2,FALSE))</f>
        <v/>
      </c>
      <c r="F65" s="363" t="str">
        <f>IFERROR(VLOOKUP(E65,'G-7 WaterC'' Data'!$C$4:$D$8,2,FALSE),"")</f>
        <v/>
      </c>
      <c r="G65" s="114"/>
      <c r="H65" s="363" t="str">
        <f>IFERROR(INDEX('G-7 WaterC'' Data'!$H$4:$L$8,MATCH(C65,'G-7 WaterC'' Data'!$B$4:$B$8,0),MATCH(G65,'G-7 WaterC'' Data'!$H$3:$L$3,0)),"")</f>
        <v/>
      </c>
      <c r="I65" s="54"/>
      <c r="J65" s="401" t="str">
        <f>IF(I65="","",IF(VLOOKUP(I65,'G-7 WaterC'' Data'!$AK$4:$AM$6,2,FALSE)=0,"Spatial Data Missing ⚠",VLOOKUP(I65,'G-7 WaterC'' Data'!$AK$4:$AM$6,2,FALSE)))</f>
        <v/>
      </c>
      <c r="K65" s="363" t="str">
        <f>IF(I65="","",IF(VLOOKUP(I65,'G-7 WaterC'' Data'!$AK$4:$AM$6,3,FALSE)=0,"Spatial Data Missing ⚠",VLOOKUP(I65,'G-7 WaterC'' Data'!$AK$4:$AM$6,3,FALSE)))</f>
        <v/>
      </c>
      <c r="L65" s="478" t="str">
        <f>IFERROR(INDEX('G-7 WaterC'' Data'!$O$3:$O$7,MATCH(G65,'G-7 WaterC'' Data'!$N$3:$N$7,0)),"")</f>
        <v/>
      </c>
      <c r="M65" s="55"/>
      <c r="N65" s="159"/>
      <c r="O65" s="370" t="str">
        <f t="shared" si="0"/>
        <v/>
      </c>
      <c r="P65" s="383" t="str">
        <f t="shared" si="1"/>
        <v/>
      </c>
      <c r="Q65" s="422" t="str">
        <f>IFERROR(IF(P65="Check Data ⚠","Check Data ⚠",VLOOKUP(P65,'G-4 Temporal multipliers'!$A$4:$C$37,3,FALSE)),"")</f>
        <v/>
      </c>
      <c r="R65" s="362" t="str">
        <f>IF(C65="","",VLOOKUP(C65,'G-7 WaterC'' Data'!$B$4:$G$8,4,FALSE))</f>
        <v/>
      </c>
      <c r="S65" s="370" t="str">
        <f t="shared" si="2"/>
        <v/>
      </c>
      <c r="T65" s="401" t="str">
        <f t="shared" si="3"/>
        <v/>
      </c>
      <c r="U65" s="363" t="str">
        <f>IF(C65="","",VLOOKUP(T65,'G-3 Multipliers'!$P$2:$Q$6,2,FALSE))</f>
        <v/>
      </c>
      <c r="V65" s="115"/>
      <c r="W65" s="363" t="str">
        <f>IF(V65="","",IF(VLOOKUP(V65,'G-7 WaterC'' Data'!$AA$4:$AB$7,2,FALSE)=0,"Spatial Data Missing ⚠",VLOOKUP(V65,'G-7 WaterC'' Data'!$AA$4:$AB$7,2,FALSE)))</f>
        <v/>
      </c>
      <c r="X65" s="60"/>
      <c r="Y65" s="363" t="str">
        <f>IF(X65="","",IF(VLOOKUP(X65,'G-7 WaterC'' Data'!$AD$4:$AE$14,2,FALSE)=0,"Enrcoachment Data Missing ⚠",VLOOKUP(X65,'G-7 WaterC'' Data'!$AD$4:$AE$14,2,FALSE)))</f>
        <v/>
      </c>
      <c r="Z65" s="115"/>
      <c r="AA65" s="363" t="str">
        <f>IF(Z65="","",IF(VLOOKUP(Z65,'G-7 WaterC'' Data'!$AO$4:$BO$7,2,FALSE)=0,"Spatial Data Missing ⚠",VLOOKUP(Z65,'G-7 WaterC'' Data'!$AO$4:$BO$7,2,FALSE)))</f>
        <v/>
      </c>
      <c r="AB65" s="405" t="str">
        <f t="shared" si="4"/>
        <v/>
      </c>
      <c r="AC65" s="405" t="str">
        <f t="shared" si="5"/>
        <v/>
      </c>
      <c r="AD65" s="117"/>
      <c r="AE65" s="692"/>
      <c r="AF65" s="119"/>
      <c r="AG65" s="120"/>
      <c r="AL65" s="30" t="str">
        <f>IFERROR(INDEX('G-7 WaterC'' Data'!$AZ$3:$AZ$7,MATCH(C65,'G-7 WaterC'' Data'!$AY$3:$AY$7,0)),"")</f>
        <v/>
      </c>
    </row>
    <row r="66" spans="2:38" ht="15">
      <c r="B66" s="110">
        <v>55</v>
      </c>
      <c r="C66" s="501"/>
      <c r="D66" s="139"/>
      <c r="E66" s="362" t="str">
        <f>IF(C66="","",VLOOKUP(C66,'G-7 WaterC'' Data'!$B$2:$Z$9,2,FALSE))</f>
        <v/>
      </c>
      <c r="F66" s="363" t="str">
        <f>IFERROR(VLOOKUP(E66,'G-7 WaterC'' Data'!$C$4:$D$8,2,FALSE),"")</f>
        <v/>
      </c>
      <c r="G66" s="114"/>
      <c r="H66" s="363" t="str">
        <f>IFERROR(INDEX('G-7 WaterC'' Data'!$H$4:$L$8,MATCH(C66,'G-7 WaterC'' Data'!$B$4:$B$8,0),MATCH(G66,'G-7 WaterC'' Data'!$H$3:$L$3,0)),"")</f>
        <v/>
      </c>
      <c r="I66" s="54"/>
      <c r="J66" s="401" t="str">
        <f>IF(I66="","",IF(VLOOKUP(I66,'G-7 WaterC'' Data'!$AK$4:$AM$6,2,FALSE)=0,"Spatial Data Missing ⚠",VLOOKUP(I66,'G-7 WaterC'' Data'!$AK$4:$AM$6,2,FALSE)))</f>
        <v/>
      </c>
      <c r="K66" s="363" t="str">
        <f>IF(I66="","",IF(VLOOKUP(I66,'G-7 WaterC'' Data'!$AK$4:$AM$6,3,FALSE)=0,"Spatial Data Missing ⚠",VLOOKUP(I66,'G-7 WaterC'' Data'!$AK$4:$AM$6,3,FALSE)))</f>
        <v/>
      </c>
      <c r="L66" s="478" t="str">
        <f>IFERROR(INDEX('G-7 WaterC'' Data'!$O$3:$O$7,MATCH(G66,'G-7 WaterC'' Data'!$N$3:$N$7,0)),"")</f>
        <v/>
      </c>
      <c r="M66" s="55"/>
      <c r="N66" s="159"/>
      <c r="O66" s="370" t="str">
        <f t="shared" si="0"/>
        <v/>
      </c>
      <c r="P66" s="383" t="str">
        <f t="shared" si="1"/>
        <v/>
      </c>
      <c r="Q66" s="422" t="str">
        <f>IFERROR(IF(P66="Check Data ⚠","Check Data ⚠",VLOOKUP(P66,'G-4 Temporal multipliers'!$A$4:$C$37,3,FALSE)),"")</f>
        <v/>
      </c>
      <c r="R66" s="362" t="str">
        <f>IF(C66="","",VLOOKUP(C66,'G-7 WaterC'' Data'!$B$4:$G$8,4,FALSE))</f>
        <v/>
      </c>
      <c r="S66" s="370" t="str">
        <f t="shared" si="2"/>
        <v/>
      </c>
      <c r="T66" s="401" t="str">
        <f t="shared" si="3"/>
        <v/>
      </c>
      <c r="U66" s="363" t="str">
        <f>IF(C66="","",VLOOKUP(T66,'G-3 Multipliers'!$P$2:$Q$6,2,FALSE))</f>
        <v/>
      </c>
      <c r="V66" s="115"/>
      <c r="W66" s="363" t="str">
        <f>IF(V66="","",IF(VLOOKUP(V66,'G-7 WaterC'' Data'!$AA$4:$AB$7,2,FALSE)=0,"Spatial Data Missing ⚠",VLOOKUP(V66,'G-7 WaterC'' Data'!$AA$4:$AB$7,2,FALSE)))</f>
        <v/>
      </c>
      <c r="X66" s="60"/>
      <c r="Y66" s="363" t="str">
        <f>IF(X66="","",IF(VLOOKUP(X66,'G-7 WaterC'' Data'!$AD$4:$AE$14,2,FALSE)=0,"Enrcoachment Data Missing ⚠",VLOOKUP(X66,'G-7 WaterC'' Data'!$AD$4:$AE$14,2,FALSE)))</f>
        <v/>
      </c>
      <c r="Z66" s="115"/>
      <c r="AA66" s="363" t="str">
        <f>IF(Z66="","",IF(VLOOKUP(Z66,'G-7 WaterC'' Data'!$AO$4:$BO$7,2,FALSE)=0,"Spatial Data Missing ⚠",VLOOKUP(Z66,'G-7 WaterC'' Data'!$AO$4:$BO$7,2,FALSE)))</f>
        <v/>
      </c>
      <c r="AB66" s="405" t="str">
        <f t="shared" si="4"/>
        <v/>
      </c>
      <c r="AC66" s="405" t="str">
        <f t="shared" si="5"/>
        <v/>
      </c>
      <c r="AD66" s="117"/>
      <c r="AE66" s="692"/>
      <c r="AF66" s="119"/>
      <c r="AG66" s="120"/>
      <c r="AL66" s="30" t="str">
        <f>IFERROR(INDEX('G-7 WaterC'' Data'!$AZ$3:$AZ$7,MATCH(C66,'G-7 WaterC'' Data'!$AY$3:$AY$7,0)),"")</f>
        <v/>
      </c>
    </row>
    <row r="67" spans="2:38" ht="15">
      <c r="B67" s="110">
        <v>56</v>
      </c>
      <c r="C67" s="501"/>
      <c r="D67" s="139"/>
      <c r="E67" s="362" t="str">
        <f>IF(C67="","",VLOOKUP(C67,'G-7 WaterC'' Data'!$B$2:$Z$9,2,FALSE))</f>
        <v/>
      </c>
      <c r="F67" s="363" t="str">
        <f>IFERROR(VLOOKUP(E67,'G-7 WaterC'' Data'!$C$4:$D$8,2,FALSE),"")</f>
        <v/>
      </c>
      <c r="G67" s="114"/>
      <c r="H67" s="363" t="str">
        <f>IFERROR(INDEX('G-7 WaterC'' Data'!$H$4:$L$8,MATCH(C67,'G-7 WaterC'' Data'!$B$4:$B$8,0),MATCH(G67,'G-7 WaterC'' Data'!$H$3:$L$3,0)),"")</f>
        <v/>
      </c>
      <c r="I67" s="54"/>
      <c r="J67" s="401" t="str">
        <f>IF(I67="","",IF(VLOOKUP(I67,'G-7 WaterC'' Data'!$AK$4:$AM$6,2,FALSE)=0,"Spatial Data Missing ⚠",VLOOKUP(I67,'G-7 WaterC'' Data'!$AK$4:$AM$6,2,FALSE)))</f>
        <v/>
      </c>
      <c r="K67" s="363" t="str">
        <f>IF(I67="","",IF(VLOOKUP(I67,'G-7 WaterC'' Data'!$AK$4:$AM$6,3,FALSE)=0,"Spatial Data Missing ⚠",VLOOKUP(I67,'G-7 WaterC'' Data'!$AK$4:$AM$6,3,FALSE)))</f>
        <v/>
      </c>
      <c r="L67" s="478" t="str">
        <f>IFERROR(INDEX('G-7 WaterC'' Data'!$O$3:$O$7,MATCH(G67,'G-7 WaterC'' Data'!$N$3:$N$7,0)),"")</f>
        <v/>
      </c>
      <c r="M67" s="55"/>
      <c r="N67" s="159"/>
      <c r="O67" s="370" t="str">
        <f t="shared" si="0"/>
        <v/>
      </c>
      <c r="P67" s="383" t="str">
        <f t="shared" si="1"/>
        <v/>
      </c>
      <c r="Q67" s="422" t="str">
        <f>IFERROR(IF(P67="Check Data ⚠","Check Data ⚠",VLOOKUP(P67,'G-4 Temporal multipliers'!$A$4:$C$37,3,FALSE)),"")</f>
        <v/>
      </c>
      <c r="R67" s="362" t="str">
        <f>IF(C67="","",VLOOKUP(C67,'G-7 WaterC'' Data'!$B$4:$G$8,4,FALSE))</f>
        <v/>
      </c>
      <c r="S67" s="370" t="str">
        <f t="shared" si="2"/>
        <v/>
      </c>
      <c r="T67" s="401" t="str">
        <f t="shared" si="3"/>
        <v/>
      </c>
      <c r="U67" s="363" t="str">
        <f>IF(C67="","",VLOOKUP(T67,'G-3 Multipliers'!$P$2:$Q$6,2,FALSE))</f>
        <v/>
      </c>
      <c r="V67" s="115"/>
      <c r="W67" s="363" t="str">
        <f>IF(V67="","",IF(VLOOKUP(V67,'G-7 WaterC'' Data'!$AA$4:$AB$7,2,FALSE)=0,"Spatial Data Missing ⚠",VLOOKUP(V67,'G-7 WaterC'' Data'!$AA$4:$AB$7,2,FALSE)))</f>
        <v/>
      </c>
      <c r="X67" s="60"/>
      <c r="Y67" s="363" t="str">
        <f>IF(X67="","",IF(VLOOKUP(X67,'G-7 WaterC'' Data'!$AD$4:$AE$14,2,FALSE)=0,"Enrcoachment Data Missing ⚠",VLOOKUP(X67,'G-7 WaterC'' Data'!$AD$4:$AE$14,2,FALSE)))</f>
        <v/>
      </c>
      <c r="Z67" s="115"/>
      <c r="AA67" s="363" t="str">
        <f>IF(Z67="","",IF(VLOOKUP(Z67,'G-7 WaterC'' Data'!$AO$4:$BO$7,2,FALSE)=0,"Spatial Data Missing ⚠",VLOOKUP(Z67,'G-7 WaterC'' Data'!$AO$4:$BO$7,2,FALSE)))</f>
        <v/>
      </c>
      <c r="AB67" s="405" t="str">
        <f t="shared" si="4"/>
        <v/>
      </c>
      <c r="AC67" s="405" t="str">
        <f t="shared" si="5"/>
        <v/>
      </c>
      <c r="AD67" s="117"/>
      <c r="AE67" s="692"/>
      <c r="AF67" s="119"/>
      <c r="AG67" s="120"/>
      <c r="AL67" s="30" t="str">
        <f>IFERROR(INDEX('G-7 WaterC'' Data'!$AZ$3:$AZ$7,MATCH(C67,'G-7 WaterC'' Data'!$AY$3:$AY$7,0)),"")</f>
        <v/>
      </c>
    </row>
    <row r="68" spans="2:38" ht="15">
      <c r="B68" s="110">
        <v>57</v>
      </c>
      <c r="C68" s="501"/>
      <c r="D68" s="139"/>
      <c r="E68" s="362" t="str">
        <f>IF(C68="","",VLOOKUP(C68,'G-7 WaterC'' Data'!$B$2:$Z$9,2,FALSE))</f>
        <v/>
      </c>
      <c r="F68" s="363" t="str">
        <f>IFERROR(VLOOKUP(E68,'G-7 WaterC'' Data'!$C$4:$D$8,2,FALSE),"")</f>
        <v/>
      </c>
      <c r="G68" s="114"/>
      <c r="H68" s="363" t="str">
        <f>IFERROR(INDEX('G-7 WaterC'' Data'!$H$4:$L$8,MATCH(C68,'G-7 WaterC'' Data'!$B$4:$B$8,0),MATCH(G68,'G-7 WaterC'' Data'!$H$3:$L$3,0)),"")</f>
        <v/>
      </c>
      <c r="I68" s="54"/>
      <c r="J68" s="401" t="str">
        <f>IF(I68="","",IF(VLOOKUP(I68,'G-7 WaterC'' Data'!$AK$4:$AM$6,2,FALSE)=0,"Spatial Data Missing ⚠",VLOOKUP(I68,'G-7 WaterC'' Data'!$AK$4:$AM$6,2,FALSE)))</f>
        <v/>
      </c>
      <c r="K68" s="363" t="str">
        <f>IF(I68="","",IF(VLOOKUP(I68,'G-7 WaterC'' Data'!$AK$4:$AM$6,3,FALSE)=0,"Spatial Data Missing ⚠",VLOOKUP(I68,'G-7 WaterC'' Data'!$AK$4:$AM$6,3,FALSE)))</f>
        <v/>
      </c>
      <c r="L68" s="478" t="str">
        <f>IFERROR(INDEX('G-7 WaterC'' Data'!$O$3:$O$7,MATCH(G68,'G-7 WaterC'' Data'!$N$3:$N$7,0)),"")</f>
        <v/>
      </c>
      <c r="M68" s="55"/>
      <c r="N68" s="159"/>
      <c r="O68" s="370" t="str">
        <f t="shared" si="0"/>
        <v/>
      </c>
      <c r="P68" s="383" t="str">
        <f t="shared" si="1"/>
        <v/>
      </c>
      <c r="Q68" s="422" t="str">
        <f>IFERROR(IF(P68="Check Data ⚠","Check Data ⚠",VLOOKUP(P68,'G-4 Temporal multipliers'!$A$4:$C$37,3,FALSE)),"")</f>
        <v/>
      </c>
      <c r="R68" s="362" t="str">
        <f>IF(C68="","",VLOOKUP(C68,'G-7 WaterC'' Data'!$B$4:$G$8,4,FALSE))</f>
        <v/>
      </c>
      <c r="S68" s="370" t="str">
        <f t="shared" si="2"/>
        <v/>
      </c>
      <c r="T68" s="401" t="str">
        <f t="shared" si="3"/>
        <v/>
      </c>
      <c r="U68" s="363" t="str">
        <f>IF(C68="","",VLOOKUP(T68,'G-3 Multipliers'!$P$2:$Q$6,2,FALSE))</f>
        <v/>
      </c>
      <c r="V68" s="115"/>
      <c r="W68" s="363" t="str">
        <f>IF(V68="","",IF(VLOOKUP(V68,'G-7 WaterC'' Data'!$AA$4:$AB$7,2,FALSE)=0,"Spatial Data Missing ⚠",VLOOKUP(V68,'G-7 WaterC'' Data'!$AA$4:$AB$7,2,FALSE)))</f>
        <v/>
      </c>
      <c r="X68" s="60"/>
      <c r="Y68" s="363" t="str">
        <f>IF(X68="","",IF(VLOOKUP(X68,'G-7 WaterC'' Data'!$AD$4:$AE$14,2,FALSE)=0,"Enrcoachment Data Missing ⚠",VLOOKUP(X68,'G-7 WaterC'' Data'!$AD$4:$AE$14,2,FALSE)))</f>
        <v/>
      </c>
      <c r="Z68" s="115"/>
      <c r="AA68" s="363" t="str">
        <f>IF(Z68="","",IF(VLOOKUP(Z68,'G-7 WaterC'' Data'!$AO$4:$BO$7,2,FALSE)=0,"Spatial Data Missing ⚠",VLOOKUP(Z68,'G-7 WaterC'' Data'!$AO$4:$BO$7,2,FALSE)))</f>
        <v/>
      </c>
      <c r="AB68" s="405" t="str">
        <f t="shared" si="4"/>
        <v/>
      </c>
      <c r="AC68" s="405" t="str">
        <f t="shared" si="5"/>
        <v/>
      </c>
      <c r="AD68" s="117"/>
      <c r="AE68" s="692"/>
      <c r="AF68" s="119"/>
      <c r="AG68" s="120"/>
      <c r="AL68" s="30" t="str">
        <f>IFERROR(INDEX('G-7 WaterC'' Data'!$AZ$3:$AZ$7,MATCH(C68,'G-7 WaterC'' Data'!$AY$3:$AY$7,0)),"")</f>
        <v/>
      </c>
    </row>
    <row r="69" spans="2:38" ht="15">
      <c r="B69" s="110">
        <v>58</v>
      </c>
      <c r="C69" s="501"/>
      <c r="D69" s="139"/>
      <c r="E69" s="362" t="str">
        <f>IF(C69="","",VLOOKUP(C69,'G-7 WaterC'' Data'!$B$2:$Z$9,2,FALSE))</f>
        <v/>
      </c>
      <c r="F69" s="363" t="str">
        <f>IFERROR(VLOOKUP(E69,'G-7 WaterC'' Data'!$C$4:$D$8,2,FALSE),"")</f>
        <v/>
      </c>
      <c r="G69" s="114"/>
      <c r="H69" s="363" t="str">
        <f>IFERROR(INDEX('G-7 WaterC'' Data'!$H$4:$L$8,MATCH(C69,'G-7 WaterC'' Data'!$B$4:$B$8,0),MATCH(G69,'G-7 WaterC'' Data'!$H$3:$L$3,0)),"")</f>
        <v/>
      </c>
      <c r="I69" s="54"/>
      <c r="J69" s="401" t="str">
        <f>IF(I69="","",IF(VLOOKUP(I69,'G-7 WaterC'' Data'!$AK$4:$AM$6,2,FALSE)=0,"Spatial Data Missing ⚠",VLOOKUP(I69,'G-7 WaterC'' Data'!$AK$4:$AM$6,2,FALSE)))</f>
        <v/>
      </c>
      <c r="K69" s="363" t="str">
        <f>IF(I69="","",IF(VLOOKUP(I69,'G-7 WaterC'' Data'!$AK$4:$AM$6,3,FALSE)=0,"Spatial Data Missing ⚠",VLOOKUP(I69,'G-7 WaterC'' Data'!$AK$4:$AM$6,3,FALSE)))</f>
        <v/>
      </c>
      <c r="L69" s="478" t="str">
        <f>IFERROR(INDEX('G-7 WaterC'' Data'!$O$3:$O$7,MATCH(G69,'G-7 WaterC'' Data'!$N$3:$N$7,0)),"")</f>
        <v/>
      </c>
      <c r="M69" s="55"/>
      <c r="N69" s="159"/>
      <c r="O69" s="370" t="str">
        <f t="shared" si="0"/>
        <v/>
      </c>
      <c r="P69" s="383" t="str">
        <f t="shared" si="1"/>
        <v/>
      </c>
      <c r="Q69" s="422" t="str">
        <f>IFERROR(IF(P69="Check Data ⚠","Check Data ⚠",VLOOKUP(P69,'G-4 Temporal multipliers'!$A$4:$C$37,3,FALSE)),"")</f>
        <v/>
      </c>
      <c r="R69" s="362" t="str">
        <f>IF(C69="","",VLOOKUP(C69,'G-7 WaterC'' Data'!$B$4:$G$8,4,FALSE))</f>
        <v/>
      </c>
      <c r="S69" s="370" t="str">
        <f t="shared" si="2"/>
        <v/>
      </c>
      <c r="T69" s="401" t="str">
        <f t="shared" si="3"/>
        <v/>
      </c>
      <c r="U69" s="363" t="str">
        <f>IF(C69="","",VLOOKUP(T69,'G-3 Multipliers'!$P$2:$Q$6,2,FALSE))</f>
        <v/>
      </c>
      <c r="V69" s="115"/>
      <c r="W69" s="363" t="str">
        <f>IF(V69="","",IF(VLOOKUP(V69,'G-7 WaterC'' Data'!$AA$4:$AB$7,2,FALSE)=0,"Spatial Data Missing ⚠",VLOOKUP(V69,'G-7 WaterC'' Data'!$AA$4:$AB$7,2,FALSE)))</f>
        <v/>
      </c>
      <c r="X69" s="60"/>
      <c r="Y69" s="363" t="str">
        <f>IF(X69="","",IF(VLOOKUP(X69,'G-7 WaterC'' Data'!$AD$4:$AE$14,2,FALSE)=0,"Enrcoachment Data Missing ⚠",VLOOKUP(X69,'G-7 WaterC'' Data'!$AD$4:$AE$14,2,FALSE)))</f>
        <v/>
      </c>
      <c r="Z69" s="115"/>
      <c r="AA69" s="363" t="str">
        <f>IF(Z69="","",IF(VLOOKUP(Z69,'G-7 WaterC'' Data'!$AO$4:$BO$7,2,FALSE)=0,"Spatial Data Missing ⚠",VLOOKUP(Z69,'G-7 WaterC'' Data'!$AO$4:$BO$7,2,FALSE)))</f>
        <v/>
      </c>
      <c r="AB69" s="405" t="str">
        <f t="shared" si="4"/>
        <v/>
      </c>
      <c r="AC69" s="405" t="str">
        <f t="shared" si="5"/>
        <v/>
      </c>
      <c r="AD69" s="117"/>
      <c r="AE69" s="692"/>
      <c r="AF69" s="119"/>
      <c r="AG69" s="120"/>
      <c r="AL69" s="30" t="str">
        <f>IFERROR(INDEX('G-7 WaterC'' Data'!$AZ$3:$AZ$7,MATCH(C69,'G-7 WaterC'' Data'!$AY$3:$AY$7,0)),"")</f>
        <v/>
      </c>
    </row>
    <row r="70" spans="2:38" ht="15">
      <c r="B70" s="110">
        <v>59</v>
      </c>
      <c r="C70" s="501"/>
      <c r="D70" s="139"/>
      <c r="E70" s="362" t="str">
        <f>IF(C70="","",VLOOKUP(C70,'G-7 WaterC'' Data'!$B$2:$Z$9,2,FALSE))</f>
        <v/>
      </c>
      <c r="F70" s="363" t="str">
        <f>IFERROR(VLOOKUP(E70,'G-7 WaterC'' Data'!$C$4:$D$8,2,FALSE),"")</f>
        <v/>
      </c>
      <c r="G70" s="114"/>
      <c r="H70" s="363" t="str">
        <f>IFERROR(INDEX('G-7 WaterC'' Data'!$H$4:$L$8,MATCH(C70,'G-7 WaterC'' Data'!$B$4:$B$8,0),MATCH(G70,'G-7 WaterC'' Data'!$H$3:$L$3,0)),"")</f>
        <v/>
      </c>
      <c r="I70" s="54"/>
      <c r="J70" s="401" t="str">
        <f>IF(I70="","",IF(VLOOKUP(I70,'G-7 WaterC'' Data'!$AK$4:$AM$6,2,FALSE)=0,"Spatial Data Missing ⚠",VLOOKUP(I70,'G-7 WaterC'' Data'!$AK$4:$AM$6,2,FALSE)))</f>
        <v/>
      </c>
      <c r="K70" s="363" t="str">
        <f>IF(I70="","",IF(VLOOKUP(I70,'G-7 WaterC'' Data'!$AK$4:$AM$6,3,FALSE)=0,"Spatial Data Missing ⚠",VLOOKUP(I70,'G-7 WaterC'' Data'!$AK$4:$AM$6,3,FALSE)))</f>
        <v/>
      </c>
      <c r="L70" s="478" t="str">
        <f>IFERROR(INDEX('G-7 WaterC'' Data'!$O$3:$O$7,MATCH(G70,'G-7 WaterC'' Data'!$N$3:$N$7,0)),"")</f>
        <v/>
      </c>
      <c r="M70" s="55"/>
      <c r="N70" s="159"/>
      <c r="O70" s="370" t="str">
        <f t="shared" si="0"/>
        <v/>
      </c>
      <c r="P70" s="383" t="str">
        <f t="shared" si="1"/>
        <v/>
      </c>
      <c r="Q70" s="422" t="str">
        <f>IFERROR(IF(P70="Check Data ⚠","Check Data ⚠",VLOOKUP(P70,'G-4 Temporal multipliers'!$A$4:$C$37,3,FALSE)),"")</f>
        <v/>
      </c>
      <c r="R70" s="362" t="str">
        <f>IF(C70="","",VLOOKUP(C70,'G-7 WaterC'' Data'!$B$4:$G$8,4,FALSE))</f>
        <v/>
      </c>
      <c r="S70" s="370" t="str">
        <f t="shared" si="2"/>
        <v/>
      </c>
      <c r="T70" s="401" t="str">
        <f t="shared" si="3"/>
        <v/>
      </c>
      <c r="U70" s="363" t="str">
        <f>IF(C70="","",VLOOKUP(T70,'G-3 Multipliers'!$P$2:$Q$6,2,FALSE))</f>
        <v/>
      </c>
      <c r="V70" s="115"/>
      <c r="W70" s="363" t="str">
        <f>IF(V70="","",IF(VLOOKUP(V70,'G-7 WaterC'' Data'!$AA$4:$AB$7,2,FALSE)=0,"Spatial Data Missing ⚠",VLOOKUP(V70,'G-7 WaterC'' Data'!$AA$4:$AB$7,2,FALSE)))</f>
        <v/>
      </c>
      <c r="X70" s="60"/>
      <c r="Y70" s="363" t="str">
        <f>IF(X70="","",IF(VLOOKUP(X70,'G-7 WaterC'' Data'!$AD$4:$AE$14,2,FALSE)=0,"Enrcoachment Data Missing ⚠",VLOOKUP(X70,'G-7 WaterC'' Data'!$AD$4:$AE$14,2,FALSE)))</f>
        <v/>
      </c>
      <c r="Z70" s="115"/>
      <c r="AA70" s="363" t="str">
        <f>IF(Z70="","",IF(VLOOKUP(Z70,'G-7 WaterC'' Data'!$AO$4:$BO$7,2,FALSE)=0,"Spatial Data Missing ⚠",VLOOKUP(Z70,'G-7 WaterC'' Data'!$AO$4:$BO$7,2,FALSE)))</f>
        <v/>
      </c>
      <c r="AB70" s="405" t="str">
        <f t="shared" si="4"/>
        <v/>
      </c>
      <c r="AC70" s="405" t="str">
        <f t="shared" si="5"/>
        <v/>
      </c>
      <c r="AD70" s="117"/>
      <c r="AE70" s="692"/>
      <c r="AF70" s="119"/>
      <c r="AG70" s="120"/>
      <c r="AL70" s="30" t="str">
        <f>IFERROR(INDEX('G-7 WaterC'' Data'!$AZ$3:$AZ$7,MATCH(C70,'G-7 WaterC'' Data'!$AY$3:$AY$7,0)),"")</f>
        <v/>
      </c>
    </row>
    <row r="71" spans="2:38" ht="15">
      <c r="B71" s="110">
        <v>60</v>
      </c>
      <c r="C71" s="501"/>
      <c r="D71" s="139"/>
      <c r="E71" s="362" t="str">
        <f>IF(C71="","",VLOOKUP(C71,'G-7 WaterC'' Data'!$B$2:$Z$9,2,FALSE))</f>
        <v/>
      </c>
      <c r="F71" s="363" t="str">
        <f>IFERROR(VLOOKUP(E71,'G-7 WaterC'' Data'!$C$4:$D$8,2,FALSE),"")</f>
        <v/>
      </c>
      <c r="G71" s="114"/>
      <c r="H71" s="363" t="str">
        <f>IFERROR(INDEX('G-7 WaterC'' Data'!$H$4:$L$8,MATCH(C71,'G-7 WaterC'' Data'!$B$4:$B$8,0),MATCH(G71,'G-7 WaterC'' Data'!$H$3:$L$3,0)),"")</f>
        <v/>
      </c>
      <c r="I71" s="54"/>
      <c r="J71" s="401" t="str">
        <f>IF(I71="","",IF(VLOOKUP(I71,'G-7 WaterC'' Data'!$AK$4:$AM$6,2,FALSE)=0,"Spatial Data Missing ⚠",VLOOKUP(I71,'G-7 WaterC'' Data'!$AK$4:$AM$6,2,FALSE)))</f>
        <v/>
      </c>
      <c r="K71" s="363" t="str">
        <f>IF(I71="","",IF(VLOOKUP(I71,'G-7 WaterC'' Data'!$AK$4:$AM$6,3,FALSE)=0,"Spatial Data Missing ⚠",VLOOKUP(I71,'G-7 WaterC'' Data'!$AK$4:$AM$6,3,FALSE)))</f>
        <v/>
      </c>
      <c r="L71" s="478" t="str">
        <f>IFERROR(INDEX('G-7 WaterC'' Data'!$O$3:$O$7,MATCH(G71,'G-7 WaterC'' Data'!$N$3:$N$7,0)),"")</f>
        <v/>
      </c>
      <c r="M71" s="55"/>
      <c r="N71" s="159"/>
      <c r="O71" s="370" t="str">
        <f t="shared" si="0"/>
        <v/>
      </c>
      <c r="P71" s="383" t="str">
        <f t="shared" si="1"/>
        <v/>
      </c>
      <c r="Q71" s="422" t="str">
        <f>IFERROR(IF(P71="Check Data ⚠","Check Data ⚠",VLOOKUP(P71,'G-4 Temporal multipliers'!$A$4:$C$37,3,FALSE)),"")</f>
        <v/>
      </c>
      <c r="R71" s="362" t="str">
        <f>IF(C71="","",VLOOKUP(C71,'G-7 WaterC'' Data'!$B$4:$G$8,4,FALSE))</f>
        <v/>
      </c>
      <c r="S71" s="370" t="str">
        <f t="shared" si="2"/>
        <v/>
      </c>
      <c r="T71" s="401" t="str">
        <f t="shared" si="3"/>
        <v/>
      </c>
      <c r="U71" s="363" t="str">
        <f>IF(C71="","",VLOOKUP(T71,'G-3 Multipliers'!$P$2:$Q$6,2,FALSE))</f>
        <v/>
      </c>
      <c r="V71" s="115"/>
      <c r="W71" s="363" t="str">
        <f>IF(V71="","",IF(VLOOKUP(V71,'G-7 WaterC'' Data'!$AA$4:$AB$7,2,FALSE)=0,"Spatial Data Missing ⚠",VLOOKUP(V71,'G-7 WaterC'' Data'!$AA$4:$AB$7,2,FALSE)))</f>
        <v/>
      </c>
      <c r="X71" s="60"/>
      <c r="Y71" s="363" t="str">
        <f>IF(X71="","",IF(VLOOKUP(X71,'G-7 WaterC'' Data'!$AD$4:$AE$14,2,FALSE)=0,"Enrcoachment Data Missing ⚠",VLOOKUP(X71,'G-7 WaterC'' Data'!$AD$4:$AE$14,2,FALSE)))</f>
        <v/>
      </c>
      <c r="Z71" s="115"/>
      <c r="AA71" s="363" t="str">
        <f>IF(Z71="","",IF(VLOOKUP(Z71,'G-7 WaterC'' Data'!$AO$4:$BO$7,2,FALSE)=0,"Spatial Data Missing ⚠",VLOOKUP(Z71,'G-7 WaterC'' Data'!$AO$4:$BO$7,2,FALSE)))</f>
        <v/>
      </c>
      <c r="AB71" s="405" t="str">
        <f t="shared" si="4"/>
        <v/>
      </c>
      <c r="AC71" s="405" t="str">
        <f t="shared" si="5"/>
        <v/>
      </c>
      <c r="AD71" s="117"/>
      <c r="AE71" s="692"/>
      <c r="AF71" s="119"/>
      <c r="AG71" s="120"/>
      <c r="AL71" s="30" t="str">
        <f>IFERROR(INDEX('G-7 WaterC'' Data'!$AZ$3:$AZ$7,MATCH(C71,'G-7 WaterC'' Data'!$AY$3:$AY$7,0)),"")</f>
        <v/>
      </c>
    </row>
    <row r="72" spans="2:38" ht="15">
      <c r="B72" s="110">
        <v>61</v>
      </c>
      <c r="C72" s="501"/>
      <c r="D72" s="139"/>
      <c r="E72" s="362" t="str">
        <f>IF(C72="","",VLOOKUP(C72,'G-7 WaterC'' Data'!$B$2:$Z$9,2,FALSE))</f>
        <v/>
      </c>
      <c r="F72" s="363" t="str">
        <f>IFERROR(VLOOKUP(E72,'G-7 WaterC'' Data'!$C$4:$D$8,2,FALSE),"")</f>
        <v/>
      </c>
      <c r="G72" s="114"/>
      <c r="H72" s="363" t="str">
        <f>IFERROR(INDEX('G-7 WaterC'' Data'!$H$4:$L$8,MATCH(C72,'G-7 WaterC'' Data'!$B$4:$B$8,0),MATCH(G72,'G-7 WaterC'' Data'!$H$3:$L$3,0)),"")</f>
        <v/>
      </c>
      <c r="I72" s="54"/>
      <c r="J72" s="401" t="str">
        <f>IF(I72="","",IF(VLOOKUP(I72,'G-7 WaterC'' Data'!$AK$4:$AM$6,2,FALSE)=0,"Spatial Data Missing ⚠",VLOOKUP(I72,'G-7 WaterC'' Data'!$AK$4:$AM$6,2,FALSE)))</f>
        <v/>
      </c>
      <c r="K72" s="363" t="str">
        <f>IF(I72="","",IF(VLOOKUP(I72,'G-7 WaterC'' Data'!$AK$4:$AM$6,3,FALSE)=0,"Spatial Data Missing ⚠",VLOOKUP(I72,'G-7 WaterC'' Data'!$AK$4:$AM$6,3,FALSE)))</f>
        <v/>
      </c>
      <c r="L72" s="478" t="str">
        <f>IFERROR(INDEX('G-7 WaterC'' Data'!$O$3:$O$7,MATCH(G72,'G-7 WaterC'' Data'!$N$3:$N$7,0)),"")</f>
        <v/>
      </c>
      <c r="M72" s="55"/>
      <c r="N72" s="159"/>
      <c r="O72" s="370" t="str">
        <f t="shared" si="0"/>
        <v/>
      </c>
      <c r="P72" s="383" t="str">
        <f t="shared" si="1"/>
        <v/>
      </c>
      <c r="Q72" s="422" t="str">
        <f>IFERROR(IF(P72="Check Data ⚠","Check Data ⚠",VLOOKUP(P72,'G-4 Temporal multipliers'!$A$4:$C$37,3,FALSE)),"")</f>
        <v/>
      </c>
      <c r="R72" s="362" t="str">
        <f>IF(C72="","",VLOOKUP(C72,'G-7 WaterC'' Data'!$B$4:$G$8,4,FALSE))</f>
        <v/>
      </c>
      <c r="S72" s="370" t="str">
        <f t="shared" si="2"/>
        <v/>
      </c>
      <c r="T72" s="401" t="str">
        <f t="shared" si="3"/>
        <v/>
      </c>
      <c r="U72" s="363" t="str">
        <f>IF(C72="","",VLOOKUP(T72,'G-3 Multipliers'!$P$2:$Q$6,2,FALSE))</f>
        <v/>
      </c>
      <c r="V72" s="115"/>
      <c r="W72" s="363" t="str">
        <f>IF(V72="","",IF(VLOOKUP(V72,'G-7 WaterC'' Data'!$AA$4:$AB$7,2,FALSE)=0,"Spatial Data Missing ⚠",VLOOKUP(V72,'G-7 WaterC'' Data'!$AA$4:$AB$7,2,FALSE)))</f>
        <v/>
      </c>
      <c r="X72" s="60"/>
      <c r="Y72" s="363" t="str">
        <f>IF(X72="","",IF(VLOOKUP(X72,'G-7 WaterC'' Data'!$AD$4:$AE$14,2,FALSE)=0,"Enrcoachment Data Missing ⚠",VLOOKUP(X72,'G-7 WaterC'' Data'!$AD$4:$AE$14,2,FALSE)))</f>
        <v/>
      </c>
      <c r="Z72" s="115"/>
      <c r="AA72" s="363" t="str">
        <f>IF(Z72="","",IF(VLOOKUP(Z72,'G-7 WaterC'' Data'!$AO$4:$BO$7,2,FALSE)=0,"Spatial Data Missing ⚠",VLOOKUP(Z72,'G-7 WaterC'' Data'!$AO$4:$BO$7,2,FALSE)))</f>
        <v/>
      </c>
      <c r="AB72" s="405" t="str">
        <f t="shared" si="4"/>
        <v/>
      </c>
      <c r="AC72" s="405" t="str">
        <f t="shared" si="5"/>
        <v/>
      </c>
      <c r="AD72" s="117"/>
      <c r="AE72" s="692"/>
      <c r="AF72" s="119"/>
      <c r="AG72" s="120"/>
      <c r="AL72" s="30" t="str">
        <f>IFERROR(INDEX('G-7 WaterC'' Data'!$AZ$3:$AZ$7,MATCH(C72,'G-7 WaterC'' Data'!$AY$3:$AY$7,0)),"")</f>
        <v/>
      </c>
    </row>
    <row r="73" spans="2:38" ht="15">
      <c r="B73" s="110">
        <v>62</v>
      </c>
      <c r="C73" s="501"/>
      <c r="D73" s="139"/>
      <c r="E73" s="362" t="str">
        <f>IF(C73="","",VLOOKUP(C73,'G-7 WaterC'' Data'!$B$2:$Z$9,2,FALSE))</f>
        <v/>
      </c>
      <c r="F73" s="363" t="str">
        <f>IFERROR(VLOOKUP(E73,'G-7 WaterC'' Data'!$C$4:$D$8,2,FALSE),"")</f>
        <v/>
      </c>
      <c r="G73" s="114"/>
      <c r="H73" s="363" t="str">
        <f>IFERROR(INDEX('G-7 WaterC'' Data'!$H$4:$L$8,MATCH(C73,'G-7 WaterC'' Data'!$B$4:$B$8,0),MATCH(G73,'G-7 WaterC'' Data'!$H$3:$L$3,0)),"")</f>
        <v/>
      </c>
      <c r="I73" s="54"/>
      <c r="J73" s="401" t="str">
        <f>IF(I73="","",IF(VLOOKUP(I73,'G-7 WaterC'' Data'!$AK$4:$AM$6,2,FALSE)=0,"Spatial Data Missing ⚠",VLOOKUP(I73,'G-7 WaterC'' Data'!$AK$4:$AM$6,2,FALSE)))</f>
        <v/>
      </c>
      <c r="K73" s="363" t="str">
        <f>IF(I73="","",IF(VLOOKUP(I73,'G-7 WaterC'' Data'!$AK$4:$AM$6,3,FALSE)=0,"Spatial Data Missing ⚠",VLOOKUP(I73,'G-7 WaterC'' Data'!$AK$4:$AM$6,3,FALSE)))</f>
        <v/>
      </c>
      <c r="L73" s="478" t="str">
        <f>IFERROR(INDEX('G-7 WaterC'' Data'!$O$3:$O$7,MATCH(G73,'G-7 WaterC'' Data'!$N$3:$N$7,0)),"")</f>
        <v/>
      </c>
      <c r="M73" s="55"/>
      <c r="N73" s="159"/>
      <c r="O73" s="370" t="str">
        <f t="shared" si="0"/>
        <v/>
      </c>
      <c r="P73" s="383" t="str">
        <f t="shared" si="1"/>
        <v/>
      </c>
      <c r="Q73" s="422" t="str">
        <f>IFERROR(IF(P73="Check Data ⚠","Check Data ⚠",VLOOKUP(P73,'G-4 Temporal multipliers'!$A$4:$C$37,3,FALSE)),"")</f>
        <v/>
      </c>
      <c r="R73" s="362" t="str">
        <f>IF(C73="","",VLOOKUP(C73,'G-7 WaterC'' Data'!$B$4:$G$8,4,FALSE))</f>
        <v/>
      </c>
      <c r="S73" s="370" t="str">
        <f t="shared" si="2"/>
        <v/>
      </c>
      <c r="T73" s="401" t="str">
        <f t="shared" si="3"/>
        <v/>
      </c>
      <c r="U73" s="363" t="str">
        <f>IF(C73="","",VLOOKUP(T73,'G-3 Multipliers'!$P$2:$Q$6,2,FALSE))</f>
        <v/>
      </c>
      <c r="V73" s="115"/>
      <c r="W73" s="363" t="str">
        <f>IF(V73="","",IF(VLOOKUP(V73,'G-7 WaterC'' Data'!$AA$4:$AB$7,2,FALSE)=0,"Spatial Data Missing ⚠",VLOOKUP(V73,'G-7 WaterC'' Data'!$AA$4:$AB$7,2,FALSE)))</f>
        <v/>
      </c>
      <c r="X73" s="60"/>
      <c r="Y73" s="363" t="str">
        <f>IF(X73="","",IF(VLOOKUP(X73,'G-7 WaterC'' Data'!$AD$4:$AE$14,2,FALSE)=0,"Enrcoachment Data Missing ⚠",VLOOKUP(X73,'G-7 WaterC'' Data'!$AD$4:$AE$14,2,FALSE)))</f>
        <v/>
      </c>
      <c r="Z73" s="115"/>
      <c r="AA73" s="363" t="str">
        <f>IF(Z73="","",IF(VLOOKUP(Z73,'G-7 WaterC'' Data'!$AO$4:$BO$7,2,FALSE)=0,"Spatial Data Missing ⚠",VLOOKUP(Z73,'G-7 WaterC'' Data'!$AO$4:$BO$7,2,FALSE)))</f>
        <v/>
      </c>
      <c r="AB73" s="405" t="str">
        <f t="shared" si="4"/>
        <v/>
      </c>
      <c r="AC73" s="405" t="str">
        <f t="shared" si="5"/>
        <v/>
      </c>
      <c r="AD73" s="117"/>
      <c r="AE73" s="692"/>
      <c r="AF73" s="119"/>
      <c r="AG73" s="120"/>
      <c r="AL73" s="30" t="str">
        <f>IFERROR(INDEX('G-7 WaterC'' Data'!$AZ$3:$AZ$7,MATCH(C73,'G-7 WaterC'' Data'!$AY$3:$AY$7,0)),"")</f>
        <v/>
      </c>
    </row>
    <row r="74" spans="2:38" ht="15">
      <c r="B74" s="110">
        <v>63</v>
      </c>
      <c r="C74" s="501"/>
      <c r="D74" s="139"/>
      <c r="E74" s="362" t="str">
        <f>IF(C74="","",VLOOKUP(C74,'G-7 WaterC'' Data'!$B$2:$Z$9,2,FALSE))</f>
        <v/>
      </c>
      <c r="F74" s="363" t="str">
        <f>IFERROR(VLOOKUP(E74,'G-7 WaterC'' Data'!$C$4:$D$8,2,FALSE),"")</f>
        <v/>
      </c>
      <c r="G74" s="114"/>
      <c r="H74" s="363" t="str">
        <f>IFERROR(INDEX('G-7 WaterC'' Data'!$H$4:$L$8,MATCH(C74,'G-7 WaterC'' Data'!$B$4:$B$8,0),MATCH(G74,'G-7 WaterC'' Data'!$H$3:$L$3,0)),"")</f>
        <v/>
      </c>
      <c r="I74" s="54"/>
      <c r="J74" s="401" t="str">
        <f>IF(I74="","",IF(VLOOKUP(I74,'G-7 WaterC'' Data'!$AK$4:$AM$6,2,FALSE)=0,"Spatial Data Missing ⚠",VLOOKUP(I74,'G-7 WaterC'' Data'!$AK$4:$AM$6,2,FALSE)))</f>
        <v/>
      </c>
      <c r="K74" s="363" t="str">
        <f>IF(I74="","",IF(VLOOKUP(I74,'G-7 WaterC'' Data'!$AK$4:$AM$6,3,FALSE)=0,"Spatial Data Missing ⚠",VLOOKUP(I74,'G-7 WaterC'' Data'!$AK$4:$AM$6,3,FALSE)))</f>
        <v/>
      </c>
      <c r="L74" s="478" t="str">
        <f>IFERROR(INDEX('G-7 WaterC'' Data'!$O$3:$O$7,MATCH(G74,'G-7 WaterC'' Data'!$N$3:$N$7,0)),"")</f>
        <v/>
      </c>
      <c r="M74" s="55"/>
      <c r="N74" s="159"/>
      <c r="O74" s="370" t="str">
        <f t="shared" si="0"/>
        <v/>
      </c>
      <c r="P74" s="383" t="str">
        <f t="shared" si="1"/>
        <v/>
      </c>
      <c r="Q74" s="422" t="str">
        <f>IFERROR(IF(P74="Check Data ⚠","Check Data ⚠",VLOOKUP(P74,'G-4 Temporal multipliers'!$A$4:$C$37,3,FALSE)),"")</f>
        <v/>
      </c>
      <c r="R74" s="362" t="str">
        <f>IF(C74="","",VLOOKUP(C74,'G-7 WaterC'' Data'!$B$4:$G$8,4,FALSE))</f>
        <v/>
      </c>
      <c r="S74" s="370" t="str">
        <f t="shared" si="2"/>
        <v/>
      </c>
      <c r="T74" s="401" t="str">
        <f t="shared" si="3"/>
        <v/>
      </c>
      <c r="U74" s="363" t="str">
        <f>IF(C74="","",VLOOKUP(T74,'G-3 Multipliers'!$P$2:$Q$6,2,FALSE))</f>
        <v/>
      </c>
      <c r="V74" s="115"/>
      <c r="W74" s="363" t="str">
        <f>IF(V74="","",IF(VLOOKUP(V74,'G-7 WaterC'' Data'!$AA$4:$AB$7,2,FALSE)=0,"Spatial Data Missing ⚠",VLOOKUP(V74,'G-7 WaterC'' Data'!$AA$4:$AB$7,2,FALSE)))</f>
        <v/>
      </c>
      <c r="X74" s="60"/>
      <c r="Y74" s="363" t="str">
        <f>IF(X74="","",IF(VLOOKUP(X74,'G-7 WaterC'' Data'!$AD$4:$AE$14,2,FALSE)=0,"Enrcoachment Data Missing ⚠",VLOOKUP(X74,'G-7 WaterC'' Data'!$AD$4:$AE$14,2,FALSE)))</f>
        <v/>
      </c>
      <c r="Z74" s="115"/>
      <c r="AA74" s="363" t="str">
        <f>IF(Z74="","",IF(VLOOKUP(Z74,'G-7 WaterC'' Data'!$AO$4:$BO$7,2,FALSE)=0,"Spatial Data Missing ⚠",VLOOKUP(Z74,'G-7 WaterC'' Data'!$AO$4:$BO$7,2,FALSE)))</f>
        <v/>
      </c>
      <c r="AB74" s="405" t="str">
        <f t="shared" si="4"/>
        <v/>
      </c>
      <c r="AC74" s="405" t="str">
        <f t="shared" si="5"/>
        <v/>
      </c>
      <c r="AD74" s="117"/>
      <c r="AE74" s="692"/>
      <c r="AF74" s="119"/>
      <c r="AG74" s="120"/>
      <c r="AL74" s="30" t="str">
        <f>IFERROR(INDEX('G-7 WaterC'' Data'!$AZ$3:$AZ$7,MATCH(C74,'G-7 WaterC'' Data'!$AY$3:$AY$7,0)),"")</f>
        <v/>
      </c>
    </row>
    <row r="75" spans="2:38" ht="15">
      <c r="B75" s="110">
        <v>64</v>
      </c>
      <c r="C75" s="501"/>
      <c r="D75" s="139"/>
      <c r="E75" s="362" t="str">
        <f>IF(C75="","",VLOOKUP(C75,'G-7 WaterC'' Data'!$B$2:$Z$9,2,FALSE))</f>
        <v/>
      </c>
      <c r="F75" s="363" t="str">
        <f>IFERROR(VLOOKUP(E75,'G-7 WaterC'' Data'!$C$4:$D$8,2,FALSE),"")</f>
        <v/>
      </c>
      <c r="G75" s="114"/>
      <c r="H75" s="363" t="str">
        <f>IFERROR(INDEX('G-7 WaterC'' Data'!$H$4:$L$8,MATCH(C75,'G-7 WaterC'' Data'!$B$4:$B$8,0),MATCH(G75,'G-7 WaterC'' Data'!$H$3:$L$3,0)),"")</f>
        <v/>
      </c>
      <c r="I75" s="54"/>
      <c r="J75" s="401" t="str">
        <f>IF(I75="","",IF(VLOOKUP(I75,'G-7 WaterC'' Data'!$AK$4:$AM$6,2,FALSE)=0,"Spatial Data Missing ⚠",VLOOKUP(I75,'G-7 WaterC'' Data'!$AK$4:$AM$6,2,FALSE)))</f>
        <v/>
      </c>
      <c r="K75" s="363" t="str">
        <f>IF(I75="","",IF(VLOOKUP(I75,'G-7 WaterC'' Data'!$AK$4:$AM$6,3,FALSE)=0,"Spatial Data Missing ⚠",VLOOKUP(I75,'G-7 WaterC'' Data'!$AK$4:$AM$6,3,FALSE)))</f>
        <v/>
      </c>
      <c r="L75" s="478" t="str">
        <f>IFERROR(INDEX('G-7 WaterC'' Data'!$O$3:$O$7,MATCH(G75,'G-7 WaterC'' Data'!$N$3:$N$7,0)),"")</f>
        <v/>
      </c>
      <c r="M75" s="55"/>
      <c r="N75" s="159"/>
      <c r="O75" s="370" t="str">
        <f t="shared" si="0"/>
        <v/>
      </c>
      <c r="P75" s="383" t="str">
        <f t="shared" si="1"/>
        <v/>
      </c>
      <c r="Q75" s="422" t="str">
        <f>IFERROR(IF(P75="Check Data ⚠","Check Data ⚠",VLOOKUP(P75,'G-4 Temporal multipliers'!$A$4:$C$37,3,FALSE)),"")</f>
        <v/>
      </c>
      <c r="R75" s="362" t="str">
        <f>IF(C75="","",VLOOKUP(C75,'G-7 WaterC'' Data'!$B$4:$G$8,4,FALSE))</f>
        <v/>
      </c>
      <c r="S75" s="370" t="str">
        <f t="shared" si="2"/>
        <v/>
      </c>
      <c r="T75" s="401" t="str">
        <f t="shared" si="3"/>
        <v/>
      </c>
      <c r="U75" s="363" t="str">
        <f>IF(C75="","",VLOOKUP(T75,'G-3 Multipliers'!$P$2:$Q$6,2,FALSE))</f>
        <v/>
      </c>
      <c r="V75" s="115"/>
      <c r="W75" s="363" t="str">
        <f>IF(V75="","",IF(VLOOKUP(V75,'G-7 WaterC'' Data'!$AA$4:$AB$7,2,FALSE)=0,"Spatial Data Missing ⚠",VLOOKUP(V75,'G-7 WaterC'' Data'!$AA$4:$AB$7,2,FALSE)))</f>
        <v/>
      </c>
      <c r="X75" s="60"/>
      <c r="Y75" s="363" t="str">
        <f>IF(X75="","",IF(VLOOKUP(X75,'G-7 WaterC'' Data'!$AD$4:$AE$14,2,FALSE)=0,"Enrcoachment Data Missing ⚠",VLOOKUP(X75,'G-7 WaterC'' Data'!$AD$4:$AE$14,2,FALSE)))</f>
        <v/>
      </c>
      <c r="Z75" s="115"/>
      <c r="AA75" s="363" t="str">
        <f>IF(Z75="","",IF(VLOOKUP(Z75,'G-7 WaterC'' Data'!$AO$4:$BO$7,2,FALSE)=0,"Spatial Data Missing ⚠",VLOOKUP(Z75,'G-7 WaterC'' Data'!$AO$4:$BO$7,2,FALSE)))</f>
        <v/>
      </c>
      <c r="AB75" s="405" t="str">
        <f t="shared" si="4"/>
        <v/>
      </c>
      <c r="AC75" s="405" t="str">
        <f t="shared" si="5"/>
        <v/>
      </c>
      <c r="AD75" s="117"/>
      <c r="AE75" s="692"/>
      <c r="AF75" s="119"/>
      <c r="AG75" s="120"/>
      <c r="AL75" s="30" t="str">
        <f>IFERROR(INDEX('G-7 WaterC'' Data'!$AZ$3:$AZ$7,MATCH(C75,'G-7 WaterC'' Data'!$AY$3:$AY$7,0)),"")</f>
        <v/>
      </c>
    </row>
    <row r="76" spans="2:38" ht="15">
      <c r="B76" s="110">
        <v>65</v>
      </c>
      <c r="C76" s="501"/>
      <c r="D76" s="139"/>
      <c r="E76" s="362" t="str">
        <f>IF(C76="","",VLOOKUP(C76,'G-7 WaterC'' Data'!$B$2:$Z$9,2,FALSE))</f>
        <v/>
      </c>
      <c r="F76" s="363" t="str">
        <f>IFERROR(VLOOKUP(E76,'G-7 WaterC'' Data'!$C$4:$D$8,2,FALSE),"")</f>
        <v/>
      </c>
      <c r="G76" s="114"/>
      <c r="H76" s="363" t="str">
        <f>IFERROR(INDEX('G-7 WaterC'' Data'!$H$4:$L$8,MATCH(C76,'G-7 WaterC'' Data'!$B$4:$B$8,0),MATCH(G76,'G-7 WaterC'' Data'!$H$3:$L$3,0)),"")</f>
        <v/>
      </c>
      <c r="I76" s="54"/>
      <c r="J76" s="401" t="str">
        <f>IF(I76="","",IF(VLOOKUP(I76,'G-7 WaterC'' Data'!$AK$4:$AM$6,2,FALSE)=0,"Spatial Data Missing ⚠",VLOOKUP(I76,'G-7 WaterC'' Data'!$AK$4:$AM$6,2,FALSE)))</f>
        <v/>
      </c>
      <c r="K76" s="363" t="str">
        <f>IF(I76="","",IF(VLOOKUP(I76,'G-7 WaterC'' Data'!$AK$4:$AM$6,3,FALSE)=0,"Spatial Data Missing ⚠",VLOOKUP(I76,'G-7 WaterC'' Data'!$AK$4:$AM$6,3,FALSE)))</f>
        <v/>
      </c>
      <c r="L76" s="478" t="str">
        <f>IFERROR(INDEX('G-7 WaterC'' Data'!$O$3:$O$7,MATCH(G76,'G-7 WaterC'' Data'!$N$3:$N$7,0)),"")</f>
        <v/>
      </c>
      <c r="M76" s="55"/>
      <c r="N76" s="159"/>
      <c r="O76" s="370" t="str">
        <f t="shared" si="0"/>
        <v/>
      </c>
      <c r="P76" s="383" t="str">
        <f t="shared" si="1"/>
        <v/>
      </c>
      <c r="Q76" s="422" t="str">
        <f>IFERROR(IF(P76="Check Data ⚠","Check Data ⚠",VLOOKUP(P76,'G-4 Temporal multipliers'!$A$4:$C$37,3,FALSE)),"")</f>
        <v/>
      </c>
      <c r="R76" s="362" t="str">
        <f>IF(C76="","",VLOOKUP(C76,'G-7 WaterC'' Data'!$B$4:$G$8,4,FALSE))</f>
        <v/>
      </c>
      <c r="S76" s="370" t="str">
        <f t="shared" si="2"/>
        <v/>
      </c>
      <c r="T76" s="401" t="str">
        <f t="shared" si="3"/>
        <v/>
      </c>
      <c r="U76" s="363" t="str">
        <f>IF(C76="","",VLOOKUP(T76,'G-3 Multipliers'!$P$2:$Q$6,2,FALSE))</f>
        <v/>
      </c>
      <c r="V76" s="115"/>
      <c r="W76" s="363" t="str">
        <f>IF(V76="","",IF(VLOOKUP(V76,'G-7 WaterC'' Data'!$AA$4:$AB$7,2,FALSE)=0,"Spatial Data Missing ⚠",VLOOKUP(V76,'G-7 WaterC'' Data'!$AA$4:$AB$7,2,FALSE)))</f>
        <v/>
      </c>
      <c r="X76" s="60"/>
      <c r="Y76" s="363" t="str">
        <f>IF(X76="","",IF(VLOOKUP(X76,'G-7 WaterC'' Data'!$AD$4:$AE$14,2,FALSE)=0,"Enrcoachment Data Missing ⚠",VLOOKUP(X76,'G-7 WaterC'' Data'!$AD$4:$AE$14,2,FALSE)))</f>
        <v/>
      </c>
      <c r="Z76" s="115"/>
      <c r="AA76" s="363" t="str">
        <f>IF(Z76="","",IF(VLOOKUP(Z76,'G-7 WaterC'' Data'!$AO$4:$BO$7,2,FALSE)=0,"Spatial Data Missing ⚠",VLOOKUP(Z76,'G-7 WaterC'' Data'!$AO$4:$BO$7,2,FALSE)))</f>
        <v/>
      </c>
      <c r="AB76" s="405" t="str">
        <f t="shared" si="4"/>
        <v/>
      </c>
      <c r="AC76" s="405" t="str">
        <f t="shared" si="5"/>
        <v/>
      </c>
      <c r="AD76" s="117"/>
      <c r="AE76" s="692"/>
      <c r="AF76" s="119"/>
      <c r="AG76" s="120"/>
      <c r="AL76" s="30" t="str">
        <f>IFERROR(INDEX('G-7 WaterC'' Data'!$AZ$3:$AZ$7,MATCH(C76,'G-7 WaterC'' Data'!$AY$3:$AY$7,0)),"")</f>
        <v/>
      </c>
    </row>
    <row r="77" spans="2:38" ht="15">
      <c r="B77" s="110">
        <v>66</v>
      </c>
      <c r="C77" s="501"/>
      <c r="D77" s="139"/>
      <c r="E77" s="362" t="str">
        <f>IF(C77="","",VLOOKUP(C77,'G-7 WaterC'' Data'!$B$2:$Z$9,2,FALSE))</f>
        <v/>
      </c>
      <c r="F77" s="363" t="str">
        <f>IFERROR(VLOOKUP(E77,'G-7 WaterC'' Data'!$C$4:$D$8,2,FALSE),"")</f>
        <v/>
      </c>
      <c r="G77" s="114"/>
      <c r="H77" s="363" t="str">
        <f>IFERROR(INDEX('G-7 WaterC'' Data'!$H$4:$L$8,MATCH(C77,'G-7 WaterC'' Data'!$B$4:$B$8,0),MATCH(G77,'G-7 WaterC'' Data'!$H$3:$L$3,0)),"")</f>
        <v/>
      </c>
      <c r="I77" s="54"/>
      <c r="J77" s="401" t="str">
        <f>IF(I77="","",IF(VLOOKUP(I77,'G-7 WaterC'' Data'!$AK$4:$AM$6,2,FALSE)=0,"Spatial Data Missing ⚠",VLOOKUP(I77,'G-7 WaterC'' Data'!$AK$4:$AM$6,2,FALSE)))</f>
        <v/>
      </c>
      <c r="K77" s="363" t="str">
        <f>IF(I77="","",IF(VLOOKUP(I77,'G-7 WaterC'' Data'!$AK$4:$AM$6,3,FALSE)=0,"Spatial Data Missing ⚠",VLOOKUP(I77,'G-7 WaterC'' Data'!$AK$4:$AM$6,3,FALSE)))</f>
        <v/>
      </c>
      <c r="L77" s="478" t="str">
        <f>IFERROR(INDEX('G-7 WaterC'' Data'!$O$3:$O$7,MATCH(G77,'G-7 WaterC'' Data'!$N$3:$N$7,0)),"")</f>
        <v/>
      </c>
      <c r="M77" s="55"/>
      <c r="N77" s="159"/>
      <c r="O77" s="370" t="str">
        <f t="shared" ref="O77:O140" si="6">IF(L77="","",IF(AND(M77&gt;0,N77&gt;0),"Error -both advance and delayed habitat creation ▲",IF(AND(OR(M77="Habitat already in target condition",L77&lt;=M77),N77=0),"Check details - Is there evidence that habitat has reached target condition? ⚠",IF(M77&gt;0,"Check details - Is there evidence habitat creation started/in place? ⚠",IF(N77&gt;0,"Check details- Delay in starting habitat in required condition? ⚠","Standard time to target condition applied")))))</f>
        <v/>
      </c>
      <c r="P77" s="383" t="str">
        <f t="shared" ref="P77:P140" si="7">IF(O77="Error -both advance and delayed habitat creation ▲","Check Data ⚠",IF(L77="","",IF(M77="30+",0,IF(N77="30+","30+",IF(L77+N77&gt;30,"30+",IF(L77+N77-M77&gt;0,L77+N77-M77,IF(L77-M77&lt;0,0,L77+N77-M77)))))))</f>
        <v/>
      </c>
      <c r="Q77" s="422" t="str">
        <f>IFERROR(IF(P77="Check Data ⚠","Check Data ⚠",VLOOKUP(P77,'G-4 Temporal multipliers'!$A$4:$C$37,3,FALSE)),"")</f>
        <v/>
      </c>
      <c r="R77" s="362" t="str">
        <f>IF(C77="","",VLOOKUP(C77,'G-7 WaterC'' Data'!$B$4:$G$8,4,FALSE))</f>
        <v/>
      </c>
      <c r="S77" s="370" t="str">
        <f t="shared" ref="S77:S140" si="8">IF(C77="","",IF(P77="Check Data ⚠","Check Data ⚠",IF(G77="","",IF($O77="Check details - Is there evidence that habitat has reached target condition? ⚠","No - Low Difficulty - only applicable if all habitat created before losses ⚠","Standard difficulty applied"))))</f>
        <v/>
      </c>
      <c r="T77" s="401" t="str">
        <f t="shared" ref="T77:T140" si="9">(IF(AND(S77="Standard difficulty applied",L77&gt;M77),R77,IF(AND(S77="No - Low Difficulty - only applicable if all habitat created before losses ⚠",M77&gt;=L77),"Low",R77)))</f>
        <v/>
      </c>
      <c r="U77" s="363" t="str">
        <f>IF(C77="","",VLOOKUP(T77,'G-3 Multipliers'!$P$2:$Q$6,2,FALSE))</f>
        <v/>
      </c>
      <c r="V77" s="115"/>
      <c r="W77" s="363" t="str">
        <f>IF(V77="","",IF(VLOOKUP(V77,'G-7 WaterC'' Data'!$AA$4:$AB$7,2,FALSE)=0,"Spatial Data Missing ⚠",VLOOKUP(V77,'G-7 WaterC'' Data'!$AA$4:$AB$7,2,FALSE)))</f>
        <v/>
      </c>
      <c r="X77" s="60"/>
      <c r="Y77" s="363" t="str">
        <f>IF(X77="","",IF(VLOOKUP(X77,'G-7 WaterC'' Data'!$AD$4:$AE$14,2,FALSE)=0,"Enrcoachment Data Missing ⚠",VLOOKUP(X77,'G-7 WaterC'' Data'!$AD$4:$AE$14,2,FALSE)))</f>
        <v/>
      </c>
      <c r="Z77" s="115"/>
      <c r="AA77" s="363" t="str">
        <f>IF(Z77="","",IF(VLOOKUP(Z77,'G-7 WaterC'' Data'!$AO$4:$BO$7,2,FALSE)=0,"Spatial Data Missing ⚠",VLOOKUP(Z77,'G-7 WaterC'' Data'!$AO$4:$BO$7,2,FALSE)))</f>
        <v/>
      </c>
      <c r="AB77" s="405" t="str">
        <f t="shared" ref="AB77:AB140" si="10">IFERROR(D77*F77*H77*K77*Q77*U77*W77*Y77*AA77,"")</f>
        <v/>
      </c>
      <c r="AC77" s="405" t="str">
        <f t="shared" ref="AC77:AC140" si="11">IFERROR(IF(Z77="","", D77*F77*H77*K77*Q77*U77*W77*Y77),"")</f>
        <v/>
      </c>
      <c r="AD77" s="117"/>
      <c r="AE77" s="692"/>
      <c r="AF77" s="119"/>
      <c r="AG77" s="120"/>
      <c r="AL77" s="30" t="str">
        <f>IFERROR(INDEX('G-7 WaterC'' Data'!$AZ$3:$AZ$7,MATCH(C77,'G-7 WaterC'' Data'!$AY$3:$AY$7,0)),"")</f>
        <v/>
      </c>
    </row>
    <row r="78" spans="2:38" ht="15">
      <c r="B78" s="110">
        <v>67</v>
      </c>
      <c r="C78" s="501"/>
      <c r="D78" s="139"/>
      <c r="E78" s="362" t="str">
        <f>IF(C78="","",VLOOKUP(C78,'G-7 WaterC'' Data'!$B$2:$Z$9,2,FALSE))</f>
        <v/>
      </c>
      <c r="F78" s="363" t="str">
        <f>IFERROR(VLOOKUP(E78,'G-7 WaterC'' Data'!$C$4:$D$8,2,FALSE),"")</f>
        <v/>
      </c>
      <c r="G78" s="114"/>
      <c r="H78" s="363" t="str">
        <f>IFERROR(INDEX('G-7 WaterC'' Data'!$H$4:$L$8,MATCH(C78,'G-7 WaterC'' Data'!$B$4:$B$8,0),MATCH(G78,'G-7 WaterC'' Data'!$H$3:$L$3,0)),"")</f>
        <v/>
      </c>
      <c r="I78" s="54"/>
      <c r="J78" s="401" t="str">
        <f>IF(I78="","",IF(VLOOKUP(I78,'G-7 WaterC'' Data'!$AK$4:$AM$6,2,FALSE)=0,"Spatial Data Missing ⚠",VLOOKUP(I78,'G-7 WaterC'' Data'!$AK$4:$AM$6,2,FALSE)))</f>
        <v/>
      </c>
      <c r="K78" s="363" t="str">
        <f>IF(I78="","",IF(VLOOKUP(I78,'G-7 WaterC'' Data'!$AK$4:$AM$6,3,FALSE)=0,"Spatial Data Missing ⚠",VLOOKUP(I78,'G-7 WaterC'' Data'!$AK$4:$AM$6,3,FALSE)))</f>
        <v/>
      </c>
      <c r="L78" s="478" t="str">
        <f>IFERROR(INDEX('G-7 WaterC'' Data'!$O$3:$O$7,MATCH(G78,'G-7 WaterC'' Data'!$N$3:$N$7,0)),"")</f>
        <v/>
      </c>
      <c r="M78" s="55"/>
      <c r="N78" s="159"/>
      <c r="O78" s="370" t="str">
        <f t="shared" si="6"/>
        <v/>
      </c>
      <c r="P78" s="383" t="str">
        <f t="shared" si="7"/>
        <v/>
      </c>
      <c r="Q78" s="422" t="str">
        <f>IFERROR(IF(P78="Check Data ⚠","Check Data ⚠",VLOOKUP(P78,'G-4 Temporal multipliers'!$A$4:$C$37,3,FALSE)),"")</f>
        <v/>
      </c>
      <c r="R78" s="362" t="str">
        <f>IF(C78="","",VLOOKUP(C78,'G-7 WaterC'' Data'!$B$4:$G$8,4,FALSE))</f>
        <v/>
      </c>
      <c r="S78" s="370" t="str">
        <f t="shared" si="8"/>
        <v/>
      </c>
      <c r="T78" s="401" t="str">
        <f t="shared" si="9"/>
        <v/>
      </c>
      <c r="U78" s="363" t="str">
        <f>IF(C78="","",VLOOKUP(T78,'G-3 Multipliers'!$P$2:$Q$6,2,FALSE))</f>
        <v/>
      </c>
      <c r="V78" s="115"/>
      <c r="W78" s="363" t="str">
        <f>IF(V78="","",IF(VLOOKUP(V78,'G-7 WaterC'' Data'!$AA$4:$AB$7,2,FALSE)=0,"Spatial Data Missing ⚠",VLOOKUP(V78,'G-7 WaterC'' Data'!$AA$4:$AB$7,2,FALSE)))</f>
        <v/>
      </c>
      <c r="X78" s="60"/>
      <c r="Y78" s="363" t="str">
        <f>IF(X78="","",IF(VLOOKUP(X78,'G-7 WaterC'' Data'!$AD$4:$AE$14,2,FALSE)=0,"Enrcoachment Data Missing ⚠",VLOOKUP(X78,'G-7 WaterC'' Data'!$AD$4:$AE$14,2,FALSE)))</f>
        <v/>
      </c>
      <c r="Z78" s="115"/>
      <c r="AA78" s="363" t="str">
        <f>IF(Z78="","",IF(VLOOKUP(Z78,'G-7 WaterC'' Data'!$AO$4:$BO$7,2,FALSE)=0,"Spatial Data Missing ⚠",VLOOKUP(Z78,'G-7 WaterC'' Data'!$AO$4:$BO$7,2,FALSE)))</f>
        <v/>
      </c>
      <c r="AB78" s="405" t="str">
        <f t="shared" si="10"/>
        <v/>
      </c>
      <c r="AC78" s="405" t="str">
        <f t="shared" si="11"/>
        <v/>
      </c>
      <c r="AD78" s="117"/>
      <c r="AE78" s="692"/>
      <c r="AF78" s="119"/>
      <c r="AG78" s="120"/>
      <c r="AL78" s="30" t="str">
        <f>IFERROR(INDEX('G-7 WaterC'' Data'!$AZ$3:$AZ$7,MATCH(C78,'G-7 WaterC'' Data'!$AY$3:$AY$7,0)),"")</f>
        <v/>
      </c>
    </row>
    <row r="79" spans="2:38" ht="15">
      <c r="B79" s="110">
        <v>68</v>
      </c>
      <c r="C79" s="501"/>
      <c r="D79" s="139"/>
      <c r="E79" s="362" t="str">
        <f>IF(C79="","",VLOOKUP(C79,'G-7 WaterC'' Data'!$B$2:$Z$9,2,FALSE))</f>
        <v/>
      </c>
      <c r="F79" s="363" t="str">
        <f>IFERROR(VLOOKUP(E79,'G-7 WaterC'' Data'!$C$4:$D$8,2,FALSE),"")</f>
        <v/>
      </c>
      <c r="G79" s="114"/>
      <c r="H79" s="363" t="str">
        <f>IFERROR(INDEX('G-7 WaterC'' Data'!$H$4:$L$8,MATCH(C79,'G-7 WaterC'' Data'!$B$4:$B$8,0),MATCH(G79,'G-7 WaterC'' Data'!$H$3:$L$3,0)),"")</f>
        <v/>
      </c>
      <c r="I79" s="54"/>
      <c r="J79" s="401" t="str">
        <f>IF(I79="","",IF(VLOOKUP(I79,'G-7 WaterC'' Data'!$AK$4:$AM$6,2,FALSE)=0,"Spatial Data Missing ⚠",VLOOKUP(I79,'G-7 WaterC'' Data'!$AK$4:$AM$6,2,FALSE)))</f>
        <v/>
      </c>
      <c r="K79" s="363" t="str">
        <f>IF(I79="","",IF(VLOOKUP(I79,'G-7 WaterC'' Data'!$AK$4:$AM$6,3,FALSE)=0,"Spatial Data Missing ⚠",VLOOKUP(I79,'G-7 WaterC'' Data'!$AK$4:$AM$6,3,FALSE)))</f>
        <v/>
      </c>
      <c r="L79" s="478" t="str">
        <f>IFERROR(INDEX('G-7 WaterC'' Data'!$O$3:$O$7,MATCH(G79,'G-7 WaterC'' Data'!$N$3:$N$7,0)),"")</f>
        <v/>
      </c>
      <c r="M79" s="55"/>
      <c r="N79" s="159"/>
      <c r="O79" s="370" t="str">
        <f t="shared" si="6"/>
        <v/>
      </c>
      <c r="P79" s="383" t="str">
        <f t="shared" si="7"/>
        <v/>
      </c>
      <c r="Q79" s="422" t="str">
        <f>IFERROR(IF(P79="Check Data ⚠","Check Data ⚠",VLOOKUP(P79,'G-4 Temporal multipliers'!$A$4:$C$37,3,FALSE)),"")</f>
        <v/>
      </c>
      <c r="R79" s="362" t="str">
        <f>IF(C79="","",VLOOKUP(C79,'G-7 WaterC'' Data'!$B$4:$G$8,4,FALSE))</f>
        <v/>
      </c>
      <c r="S79" s="370" t="str">
        <f t="shared" si="8"/>
        <v/>
      </c>
      <c r="T79" s="401" t="str">
        <f t="shared" si="9"/>
        <v/>
      </c>
      <c r="U79" s="363" t="str">
        <f>IF(C79="","",VLOOKUP(T79,'G-3 Multipliers'!$P$2:$Q$6,2,FALSE))</f>
        <v/>
      </c>
      <c r="V79" s="115"/>
      <c r="W79" s="363" t="str">
        <f>IF(V79="","",IF(VLOOKUP(V79,'G-7 WaterC'' Data'!$AA$4:$AB$7,2,FALSE)=0,"Spatial Data Missing ⚠",VLOOKUP(V79,'G-7 WaterC'' Data'!$AA$4:$AB$7,2,FALSE)))</f>
        <v/>
      </c>
      <c r="X79" s="60"/>
      <c r="Y79" s="363" t="str">
        <f>IF(X79="","",IF(VLOOKUP(X79,'G-7 WaterC'' Data'!$AD$4:$AE$14,2,FALSE)=0,"Enrcoachment Data Missing ⚠",VLOOKUP(X79,'G-7 WaterC'' Data'!$AD$4:$AE$14,2,FALSE)))</f>
        <v/>
      </c>
      <c r="Z79" s="115"/>
      <c r="AA79" s="363" t="str">
        <f>IF(Z79="","",IF(VLOOKUP(Z79,'G-7 WaterC'' Data'!$AO$4:$BO$7,2,FALSE)=0,"Spatial Data Missing ⚠",VLOOKUP(Z79,'G-7 WaterC'' Data'!$AO$4:$BO$7,2,FALSE)))</f>
        <v/>
      </c>
      <c r="AB79" s="405" t="str">
        <f t="shared" si="10"/>
        <v/>
      </c>
      <c r="AC79" s="405" t="str">
        <f t="shared" si="11"/>
        <v/>
      </c>
      <c r="AD79" s="117"/>
      <c r="AE79" s="692"/>
      <c r="AF79" s="119"/>
      <c r="AG79" s="120"/>
      <c r="AL79" s="30" t="str">
        <f>IFERROR(INDEX('G-7 WaterC'' Data'!$AZ$3:$AZ$7,MATCH(C79,'G-7 WaterC'' Data'!$AY$3:$AY$7,0)),"")</f>
        <v/>
      </c>
    </row>
    <row r="80" spans="2:38" ht="15">
      <c r="B80" s="110">
        <v>69</v>
      </c>
      <c r="C80" s="501"/>
      <c r="D80" s="139"/>
      <c r="E80" s="362" t="str">
        <f>IF(C80="","",VLOOKUP(C80,'G-7 WaterC'' Data'!$B$2:$Z$9,2,FALSE))</f>
        <v/>
      </c>
      <c r="F80" s="363" t="str">
        <f>IFERROR(VLOOKUP(E80,'G-7 WaterC'' Data'!$C$4:$D$8,2,FALSE),"")</f>
        <v/>
      </c>
      <c r="G80" s="114"/>
      <c r="H80" s="363" t="str">
        <f>IFERROR(INDEX('G-7 WaterC'' Data'!$H$4:$L$8,MATCH(C80,'G-7 WaterC'' Data'!$B$4:$B$8,0),MATCH(G80,'G-7 WaterC'' Data'!$H$3:$L$3,0)),"")</f>
        <v/>
      </c>
      <c r="I80" s="54"/>
      <c r="J80" s="401" t="str">
        <f>IF(I80="","",IF(VLOOKUP(I80,'G-7 WaterC'' Data'!$AK$4:$AM$6,2,FALSE)=0,"Spatial Data Missing ⚠",VLOOKUP(I80,'G-7 WaterC'' Data'!$AK$4:$AM$6,2,FALSE)))</f>
        <v/>
      </c>
      <c r="K80" s="363" t="str">
        <f>IF(I80="","",IF(VLOOKUP(I80,'G-7 WaterC'' Data'!$AK$4:$AM$6,3,FALSE)=0,"Spatial Data Missing ⚠",VLOOKUP(I80,'G-7 WaterC'' Data'!$AK$4:$AM$6,3,FALSE)))</f>
        <v/>
      </c>
      <c r="L80" s="478" t="str">
        <f>IFERROR(INDEX('G-7 WaterC'' Data'!$O$3:$O$7,MATCH(G80,'G-7 WaterC'' Data'!$N$3:$N$7,0)),"")</f>
        <v/>
      </c>
      <c r="M80" s="55"/>
      <c r="N80" s="159"/>
      <c r="O80" s="370" t="str">
        <f t="shared" si="6"/>
        <v/>
      </c>
      <c r="P80" s="383" t="str">
        <f t="shared" si="7"/>
        <v/>
      </c>
      <c r="Q80" s="422" t="str">
        <f>IFERROR(IF(P80="Check Data ⚠","Check Data ⚠",VLOOKUP(P80,'G-4 Temporal multipliers'!$A$4:$C$37,3,FALSE)),"")</f>
        <v/>
      </c>
      <c r="R80" s="362" t="str">
        <f>IF(C80="","",VLOOKUP(C80,'G-7 WaterC'' Data'!$B$4:$G$8,4,FALSE))</f>
        <v/>
      </c>
      <c r="S80" s="370" t="str">
        <f t="shared" si="8"/>
        <v/>
      </c>
      <c r="T80" s="401" t="str">
        <f t="shared" si="9"/>
        <v/>
      </c>
      <c r="U80" s="363" t="str">
        <f>IF(C80="","",VLOOKUP(T80,'G-3 Multipliers'!$P$2:$Q$6,2,FALSE))</f>
        <v/>
      </c>
      <c r="V80" s="115"/>
      <c r="W80" s="363" t="str">
        <f>IF(V80="","",IF(VLOOKUP(V80,'G-7 WaterC'' Data'!$AA$4:$AB$7,2,FALSE)=0,"Spatial Data Missing ⚠",VLOOKUP(V80,'G-7 WaterC'' Data'!$AA$4:$AB$7,2,FALSE)))</f>
        <v/>
      </c>
      <c r="X80" s="60"/>
      <c r="Y80" s="363" t="str">
        <f>IF(X80="","",IF(VLOOKUP(X80,'G-7 WaterC'' Data'!$AD$4:$AE$14,2,FALSE)=0,"Enrcoachment Data Missing ⚠",VLOOKUP(X80,'G-7 WaterC'' Data'!$AD$4:$AE$14,2,FALSE)))</f>
        <v/>
      </c>
      <c r="Z80" s="115"/>
      <c r="AA80" s="363" t="str">
        <f>IF(Z80="","",IF(VLOOKUP(Z80,'G-7 WaterC'' Data'!$AO$4:$BO$7,2,FALSE)=0,"Spatial Data Missing ⚠",VLOOKUP(Z80,'G-7 WaterC'' Data'!$AO$4:$BO$7,2,FALSE)))</f>
        <v/>
      </c>
      <c r="AB80" s="405" t="str">
        <f t="shared" si="10"/>
        <v/>
      </c>
      <c r="AC80" s="405" t="str">
        <f t="shared" si="11"/>
        <v/>
      </c>
      <c r="AD80" s="117"/>
      <c r="AE80" s="692"/>
      <c r="AF80" s="119"/>
      <c r="AG80" s="120"/>
      <c r="AL80" s="30" t="str">
        <f>IFERROR(INDEX('G-7 WaterC'' Data'!$AZ$3:$AZ$7,MATCH(C80,'G-7 WaterC'' Data'!$AY$3:$AY$7,0)),"")</f>
        <v/>
      </c>
    </row>
    <row r="81" spans="2:38" ht="15">
      <c r="B81" s="110">
        <v>70</v>
      </c>
      <c r="C81" s="501"/>
      <c r="D81" s="139"/>
      <c r="E81" s="362" t="str">
        <f>IF(C81="","",VLOOKUP(C81,'G-7 WaterC'' Data'!$B$2:$Z$9,2,FALSE))</f>
        <v/>
      </c>
      <c r="F81" s="363" t="str">
        <f>IFERROR(VLOOKUP(E81,'G-7 WaterC'' Data'!$C$4:$D$8,2,FALSE),"")</f>
        <v/>
      </c>
      <c r="G81" s="114"/>
      <c r="H81" s="363" t="str">
        <f>IFERROR(INDEX('G-7 WaterC'' Data'!$H$4:$L$8,MATCH(C81,'G-7 WaterC'' Data'!$B$4:$B$8,0),MATCH(G81,'G-7 WaterC'' Data'!$H$3:$L$3,0)),"")</f>
        <v/>
      </c>
      <c r="I81" s="54"/>
      <c r="J81" s="401" t="str">
        <f>IF(I81="","",IF(VLOOKUP(I81,'G-7 WaterC'' Data'!$AK$4:$AM$6,2,FALSE)=0,"Spatial Data Missing ⚠",VLOOKUP(I81,'G-7 WaterC'' Data'!$AK$4:$AM$6,2,FALSE)))</f>
        <v/>
      </c>
      <c r="K81" s="363" t="str">
        <f>IF(I81="","",IF(VLOOKUP(I81,'G-7 WaterC'' Data'!$AK$4:$AM$6,3,FALSE)=0,"Spatial Data Missing ⚠",VLOOKUP(I81,'G-7 WaterC'' Data'!$AK$4:$AM$6,3,FALSE)))</f>
        <v/>
      </c>
      <c r="L81" s="478" t="str">
        <f>IFERROR(INDEX('G-7 WaterC'' Data'!$O$3:$O$7,MATCH(G81,'G-7 WaterC'' Data'!$N$3:$N$7,0)),"")</f>
        <v/>
      </c>
      <c r="M81" s="55"/>
      <c r="N81" s="159"/>
      <c r="O81" s="370" t="str">
        <f t="shared" si="6"/>
        <v/>
      </c>
      <c r="P81" s="383" t="str">
        <f t="shared" si="7"/>
        <v/>
      </c>
      <c r="Q81" s="422" t="str">
        <f>IFERROR(IF(P81="Check Data ⚠","Check Data ⚠",VLOOKUP(P81,'G-4 Temporal multipliers'!$A$4:$C$37,3,FALSE)),"")</f>
        <v/>
      </c>
      <c r="R81" s="362" t="str">
        <f>IF(C81="","",VLOOKUP(C81,'G-7 WaterC'' Data'!$B$4:$G$8,4,FALSE))</f>
        <v/>
      </c>
      <c r="S81" s="370" t="str">
        <f t="shared" si="8"/>
        <v/>
      </c>
      <c r="T81" s="401" t="str">
        <f t="shared" si="9"/>
        <v/>
      </c>
      <c r="U81" s="363" t="str">
        <f>IF(C81="","",VLOOKUP(T81,'G-3 Multipliers'!$P$2:$Q$6,2,FALSE))</f>
        <v/>
      </c>
      <c r="V81" s="115"/>
      <c r="W81" s="363" t="str">
        <f>IF(V81="","",IF(VLOOKUP(V81,'G-7 WaterC'' Data'!$AA$4:$AB$7,2,FALSE)=0,"Spatial Data Missing ⚠",VLOOKUP(V81,'G-7 WaterC'' Data'!$AA$4:$AB$7,2,FALSE)))</f>
        <v/>
      </c>
      <c r="X81" s="60"/>
      <c r="Y81" s="363" t="str">
        <f>IF(X81="","",IF(VLOOKUP(X81,'G-7 WaterC'' Data'!$AD$4:$AE$14,2,FALSE)=0,"Enrcoachment Data Missing ⚠",VLOOKUP(X81,'G-7 WaterC'' Data'!$AD$4:$AE$14,2,FALSE)))</f>
        <v/>
      </c>
      <c r="Z81" s="115"/>
      <c r="AA81" s="363" t="str">
        <f>IF(Z81="","",IF(VLOOKUP(Z81,'G-7 WaterC'' Data'!$AO$4:$BO$7,2,FALSE)=0,"Spatial Data Missing ⚠",VLOOKUP(Z81,'G-7 WaterC'' Data'!$AO$4:$BO$7,2,FALSE)))</f>
        <v/>
      </c>
      <c r="AB81" s="405" t="str">
        <f t="shared" si="10"/>
        <v/>
      </c>
      <c r="AC81" s="405" t="str">
        <f t="shared" si="11"/>
        <v/>
      </c>
      <c r="AD81" s="117"/>
      <c r="AE81" s="692"/>
      <c r="AF81" s="119"/>
      <c r="AG81" s="120"/>
      <c r="AL81" s="30" t="str">
        <f>IFERROR(INDEX('G-7 WaterC'' Data'!$AZ$3:$AZ$7,MATCH(C81,'G-7 WaterC'' Data'!$AY$3:$AY$7,0)),"")</f>
        <v/>
      </c>
    </row>
    <row r="82" spans="2:38" ht="15">
      <c r="B82" s="110">
        <v>71</v>
      </c>
      <c r="C82" s="501"/>
      <c r="D82" s="139"/>
      <c r="E82" s="362" t="str">
        <f>IF(C82="","",VLOOKUP(C82,'G-7 WaterC'' Data'!$B$2:$Z$9,2,FALSE))</f>
        <v/>
      </c>
      <c r="F82" s="363" t="str">
        <f>IFERROR(VLOOKUP(E82,'G-7 WaterC'' Data'!$C$4:$D$8,2,FALSE),"")</f>
        <v/>
      </c>
      <c r="G82" s="114"/>
      <c r="H82" s="363" t="str">
        <f>IFERROR(INDEX('G-7 WaterC'' Data'!$H$4:$L$8,MATCH(C82,'G-7 WaterC'' Data'!$B$4:$B$8,0),MATCH(G82,'G-7 WaterC'' Data'!$H$3:$L$3,0)),"")</f>
        <v/>
      </c>
      <c r="I82" s="54"/>
      <c r="J82" s="401" t="str">
        <f>IF(I82="","",IF(VLOOKUP(I82,'G-7 WaterC'' Data'!$AK$4:$AM$6,2,FALSE)=0,"Spatial Data Missing ⚠",VLOOKUP(I82,'G-7 WaterC'' Data'!$AK$4:$AM$6,2,FALSE)))</f>
        <v/>
      </c>
      <c r="K82" s="363" t="str">
        <f>IF(I82="","",IF(VLOOKUP(I82,'G-7 WaterC'' Data'!$AK$4:$AM$6,3,FALSE)=0,"Spatial Data Missing ⚠",VLOOKUP(I82,'G-7 WaterC'' Data'!$AK$4:$AM$6,3,FALSE)))</f>
        <v/>
      </c>
      <c r="L82" s="478" t="str">
        <f>IFERROR(INDEX('G-7 WaterC'' Data'!$O$3:$O$7,MATCH(G82,'G-7 WaterC'' Data'!$N$3:$N$7,0)),"")</f>
        <v/>
      </c>
      <c r="M82" s="55"/>
      <c r="N82" s="159"/>
      <c r="O82" s="370" t="str">
        <f t="shared" si="6"/>
        <v/>
      </c>
      <c r="P82" s="383" t="str">
        <f t="shared" si="7"/>
        <v/>
      </c>
      <c r="Q82" s="422" t="str">
        <f>IFERROR(IF(P82="Check Data ⚠","Check Data ⚠",VLOOKUP(P82,'G-4 Temporal multipliers'!$A$4:$C$37,3,FALSE)),"")</f>
        <v/>
      </c>
      <c r="R82" s="362" t="str">
        <f>IF(C82="","",VLOOKUP(C82,'G-7 WaterC'' Data'!$B$4:$G$8,4,FALSE))</f>
        <v/>
      </c>
      <c r="S82" s="370" t="str">
        <f t="shared" si="8"/>
        <v/>
      </c>
      <c r="T82" s="401" t="str">
        <f t="shared" si="9"/>
        <v/>
      </c>
      <c r="U82" s="363" t="str">
        <f>IF(C82="","",VLOOKUP(T82,'G-3 Multipliers'!$P$2:$Q$6,2,FALSE))</f>
        <v/>
      </c>
      <c r="V82" s="115"/>
      <c r="W82" s="363" t="str">
        <f>IF(V82="","",IF(VLOOKUP(V82,'G-7 WaterC'' Data'!$AA$4:$AB$7,2,FALSE)=0,"Spatial Data Missing ⚠",VLOOKUP(V82,'G-7 WaterC'' Data'!$AA$4:$AB$7,2,FALSE)))</f>
        <v/>
      </c>
      <c r="X82" s="60"/>
      <c r="Y82" s="363" t="str">
        <f>IF(X82="","",IF(VLOOKUP(X82,'G-7 WaterC'' Data'!$AD$4:$AE$14,2,FALSE)=0,"Enrcoachment Data Missing ⚠",VLOOKUP(X82,'G-7 WaterC'' Data'!$AD$4:$AE$14,2,FALSE)))</f>
        <v/>
      </c>
      <c r="Z82" s="115"/>
      <c r="AA82" s="363" t="str">
        <f>IF(Z82="","",IF(VLOOKUP(Z82,'G-7 WaterC'' Data'!$AO$4:$BO$7,2,FALSE)=0,"Spatial Data Missing ⚠",VLOOKUP(Z82,'G-7 WaterC'' Data'!$AO$4:$BO$7,2,FALSE)))</f>
        <v/>
      </c>
      <c r="AB82" s="405" t="str">
        <f t="shared" si="10"/>
        <v/>
      </c>
      <c r="AC82" s="405" t="str">
        <f t="shared" si="11"/>
        <v/>
      </c>
      <c r="AD82" s="117"/>
      <c r="AE82" s="692"/>
      <c r="AF82" s="119"/>
      <c r="AG82" s="120"/>
      <c r="AL82" s="30" t="str">
        <f>IFERROR(INDEX('G-7 WaterC'' Data'!$AZ$3:$AZ$7,MATCH(C82,'G-7 WaterC'' Data'!$AY$3:$AY$7,0)),"")</f>
        <v/>
      </c>
    </row>
    <row r="83" spans="2:38" ht="15">
      <c r="B83" s="110">
        <v>72</v>
      </c>
      <c r="C83" s="501"/>
      <c r="D83" s="139"/>
      <c r="E83" s="362" t="str">
        <f>IF(C83="","",VLOOKUP(C83,'G-7 WaterC'' Data'!$B$2:$Z$9,2,FALSE))</f>
        <v/>
      </c>
      <c r="F83" s="363" t="str">
        <f>IFERROR(VLOOKUP(E83,'G-7 WaterC'' Data'!$C$4:$D$8,2,FALSE),"")</f>
        <v/>
      </c>
      <c r="G83" s="114"/>
      <c r="H83" s="363" t="str">
        <f>IFERROR(INDEX('G-7 WaterC'' Data'!$H$4:$L$8,MATCH(C83,'G-7 WaterC'' Data'!$B$4:$B$8,0),MATCH(G83,'G-7 WaterC'' Data'!$H$3:$L$3,0)),"")</f>
        <v/>
      </c>
      <c r="I83" s="54"/>
      <c r="J83" s="401" t="str">
        <f>IF(I83="","",IF(VLOOKUP(I83,'G-7 WaterC'' Data'!$AK$4:$AM$6,2,FALSE)=0,"Spatial Data Missing ⚠",VLOOKUP(I83,'G-7 WaterC'' Data'!$AK$4:$AM$6,2,FALSE)))</f>
        <v/>
      </c>
      <c r="K83" s="363" t="str">
        <f>IF(I83="","",IF(VLOOKUP(I83,'G-7 WaterC'' Data'!$AK$4:$AM$6,3,FALSE)=0,"Spatial Data Missing ⚠",VLOOKUP(I83,'G-7 WaterC'' Data'!$AK$4:$AM$6,3,FALSE)))</f>
        <v/>
      </c>
      <c r="L83" s="478" t="str">
        <f>IFERROR(INDEX('G-7 WaterC'' Data'!$O$3:$O$7,MATCH(G83,'G-7 WaterC'' Data'!$N$3:$N$7,0)),"")</f>
        <v/>
      </c>
      <c r="M83" s="55"/>
      <c r="N83" s="159"/>
      <c r="O83" s="370" t="str">
        <f t="shared" si="6"/>
        <v/>
      </c>
      <c r="P83" s="383" t="str">
        <f t="shared" si="7"/>
        <v/>
      </c>
      <c r="Q83" s="422" t="str">
        <f>IFERROR(IF(P83="Check Data ⚠","Check Data ⚠",VLOOKUP(P83,'G-4 Temporal multipliers'!$A$4:$C$37,3,FALSE)),"")</f>
        <v/>
      </c>
      <c r="R83" s="362" t="str">
        <f>IF(C83="","",VLOOKUP(C83,'G-7 WaterC'' Data'!$B$4:$G$8,4,FALSE))</f>
        <v/>
      </c>
      <c r="S83" s="370" t="str">
        <f t="shared" si="8"/>
        <v/>
      </c>
      <c r="T83" s="401" t="str">
        <f t="shared" si="9"/>
        <v/>
      </c>
      <c r="U83" s="363" t="str">
        <f>IF(C83="","",VLOOKUP(T83,'G-3 Multipliers'!$P$2:$Q$6,2,FALSE))</f>
        <v/>
      </c>
      <c r="V83" s="115"/>
      <c r="W83" s="363" t="str">
        <f>IF(V83="","",IF(VLOOKUP(V83,'G-7 WaterC'' Data'!$AA$4:$AB$7,2,FALSE)=0,"Spatial Data Missing ⚠",VLOOKUP(V83,'G-7 WaterC'' Data'!$AA$4:$AB$7,2,FALSE)))</f>
        <v/>
      </c>
      <c r="X83" s="60"/>
      <c r="Y83" s="363" t="str">
        <f>IF(X83="","",IF(VLOOKUP(X83,'G-7 WaterC'' Data'!$AD$4:$AE$14,2,FALSE)=0,"Enrcoachment Data Missing ⚠",VLOOKUP(X83,'G-7 WaterC'' Data'!$AD$4:$AE$14,2,FALSE)))</f>
        <v/>
      </c>
      <c r="Z83" s="115"/>
      <c r="AA83" s="363" t="str">
        <f>IF(Z83="","",IF(VLOOKUP(Z83,'G-7 WaterC'' Data'!$AO$4:$BO$7,2,FALSE)=0,"Spatial Data Missing ⚠",VLOOKUP(Z83,'G-7 WaterC'' Data'!$AO$4:$BO$7,2,FALSE)))</f>
        <v/>
      </c>
      <c r="AB83" s="405" t="str">
        <f t="shared" si="10"/>
        <v/>
      </c>
      <c r="AC83" s="405" t="str">
        <f t="shared" si="11"/>
        <v/>
      </c>
      <c r="AD83" s="117"/>
      <c r="AE83" s="692"/>
      <c r="AF83" s="119"/>
      <c r="AG83" s="120"/>
      <c r="AL83" s="30" t="str">
        <f>IFERROR(INDEX('G-7 WaterC'' Data'!$AZ$3:$AZ$7,MATCH(C83,'G-7 WaterC'' Data'!$AY$3:$AY$7,0)),"")</f>
        <v/>
      </c>
    </row>
    <row r="84" spans="2:38" ht="15">
      <c r="B84" s="110">
        <v>73</v>
      </c>
      <c r="C84" s="501"/>
      <c r="D84" s="139"/>
      <c r="E84" s="362" t="str">
        <f>IF(C84="","",VLOOKUP(C84,'G-7 WaterC'' Data'!$B$2:$Z$9,2,FALSE))</f>
        <v/>
      </c>
      <c r="F84" s="363" t="str">
        <f>IFERROR(VLOOKUP(E84,'G-7 WaterC'' Data'!$C$4:$D$8,2,FALSE),"")</f>
        <v/>
      </c>
      <c r="G84" s="114"/>
      <c r="H84" s="363" t="str">
        <f>IFERROR(INDEX('G-7 WaterC'' Data'!$H$4:$L$8,MATCH(C84,'G-7 WaterC'' Data'!$B$4:$B$8,0),MATCH(G84,'G-7 WaterC'' Data'!$H$3:$L$3,0)),"")</f>
        <v/>
      </c>
      <c r="I84" s="54"/>
      <c r="J84" s="401" t="str">
        <f>IF(I84="","",IF(VLOOKUP(I84,'G-7 WaterC'' Data'!$AK$4:$AM$6,2,FALSE)=0,"Spatial Data Missing ⚠",VLOOKUP(I84,'G-7 WaterC'' Data'!$AK$4:$AM$6,2,FALSE)))</f>
        <v/>
      </c>
      <c r="K84" s="363" t="str">
        <f>IF(I84="","",IF(VLOOKUP(I84,'G-7 WaterC'' Data'!$AK$4:$AM$6,3,FALSE)=0,"Spatial Data Missing ⚠",VLOOKUP(I84,'G-7 WaterC'' Data'!$AK$4:$AM$6,3,FALSE)))</f>
        <v/>
      </c>
      <c r="L84" s="478" t="str">
        <f>IFERROR(INDEX('G-7 WaterC'' Data'!$O$3:$O$7,MATCH(G84,'G-7 WaterC'' Data'!$N$3:$N$7,0)),"")</f>
        <v/>
      </c>
      <c r="M84" s="55"/>
      <c r="N84" s="159"/>
      <c r="O84" s="370" t="str">
        <f t="shared" si="6"/>
        <v/>
      </c>
      <c r="P84" s="383" t="str">
        <f t="shared" si="7"/>
        <v/>
      </c>
      <c r="Q84" s="422" t="str">
        <f>IFERROR(IF(P84="Check Data ⚠","Check Data ⚠",VLOOKUP(P84,'G-4 Temporal multipliers'!$A$4:$C$37,3,FALSE)),"")</f>
        <v/>
      </c>
      <c r="R84" s="362" t="str">
        <f>IF(C84="","",VLOOKUP(C84,'G-7 WaterC'' Data'!$B$4:$G$8,4,FALSE))</f>
        <v/>
      </c>
      <c r="S84" s="370" t="str">
        <f t="shared" si="8"/>
        <v/>
      </c>
      <c r="T84" s="401" t="str">
        <f t="shared" si="9"/>
        <v/>
      </c>
      <c r="U84" s="363" t="str">
        <f>IF(C84="","",VLOOKUP(T84,'G-3 Multipliers'!$P$2:$Q$6,2,FALSE))</f>
        <v/>
      </c>
      <c r="V84" s="115"/>
      <c r="W84" s="363" t="str">
        <f>IF(V84="","",IF(VLOOKUP(V84,'G-7 WaterC'' Data'!$AA$4:$AB$7,2,FALSE)=0,"Spatial Data Missing ⚠",VLOOKUP(V84,'G-7 WaterC'' Data'!$AA$4:$AB$7,2,FALSE)))</f>
        <v/>
      </c>
      <c r="X84" s="60"/>
      <c r="Y84" s="363" t="str">
        <f>IF(X84="","",IF(VLOOKUP(X84,'G-7 WaterC'' Data'!$AD$4:$AE$14,2,FALSE)=0,"Enrcoachment Data Missing ⚠",VLOOKUP(X84,'G-7 WaterC'' Data'!$AD$4:$AE$14,2,FALSE)))</f>
        <v/>
      </c>
      <c r="Z84" s="115"/>
      <c r="AA84" s="363" t="str">
        <f>IF(Z84="","",IF(VLOOKUP(Z84,'G-7 WaterC'' Data'!$AO$4:$BO$7,2,FALSE)=0,"Spatial Data Missing ⚠",VLOOKUP(Z84,'G-7 WaterC'' Data'!$AO$4:$BO$7,2,FALSE)))</f>
        <v/>
      </c>
      <c r="AB84" s="405" t="str">
        <f t="shared" si="10"/>
        <v/>
      </c>
      <c r="AC84" s="405" t="str">
        <f t="shared" si="11"/>
        <v/>
      </c>
      <c r="AD84" s="117"/>
      <c r="AE84" s="692"/>
      <c r="AF84" s="119"/>
      <c r="AG84" s="120"/>
      <c r="AL84" s="30" t="str">
        <f>IFERROR(INDEX('G-7 WaterC'' Data'!$AZ$3:$AZ$7,MATCH(C84,'G-7 WaterC'' Data'!$AY$3:$AY$7,0)),"")</f>
        <v/>
      </c>
    </row>
    <row r="85" spans="2:38" ht="15">
      <c r="B85" s="110">
        <v>74</v>
      </c>
      <c r="C85" s="501"/>
      <c r="D85" s="139"/>
      <c r="E85" s="362" t="str">
        <f>IF(C85="","",VLOOKUP(C85,'G-7 WaterC'' Data'!$B$2:$Z$9,2,FALSE))</f>
        <v/>
      </c>
      <c r="F85" s="363" t="str">
        <f>IFERROR(VLOOKUP(E85,'G-7 WaterC'' Data'!$C$4:$D$8,2,FALSE),"")</f>
        <v/>
      </c>
      <c r="G85" s="114"/>
      <c r="H85" s="363" t="str">
        <f>IFERROR(INDEX('G-7 WaterC'' Data'!$H$4:$L$8,MATCH(C85,'G-7 WaterC'' Data'!$B$4:$B$8,0),MATCH(G85,'G-7 WaterC'' Data'!$H$3:$L$3,0)),"")</f>
        <v/>
      </c>
      <c r="I85" s="54"/>
      <c r="J85" s="401" t="str">
        <f>IF(I85="","",IF(VLOOKUP(I85,'G-7 WaterC'' Data'!$AK$4:$AM$6,2,FALSE)=0,"Spatial Data Missing ⚠",VLOOKUP(I85,'G-7 WaterC'' Data'!$AK$4:$AM$6,2,FALSE)))</f>
        <v/>
      </c>
      <c r="K85" s="363" t="str">
        <f>IF(I85="","",IF(VLOOKUP(I85,'G-7 WaterC'' Data'!$AK$4:$AM$6,3,FALSE)=0,"Spatial Data Missing ⚠",VLOOKUP(I85,'G-7 WaterC'' Data'!$AK$4:$AM$6,3,FALSE)))</f>
        <v/>
      </c>
      <c r="L85" s="478" t="str">
        <f>IFERROR(INDEX('G-7 WaterC'' Data'!$O$3:$O$7,MATCH(G85,'G-7 WaterC'' Data'!$N$3:$N$7,0)),"")</f>
        <v/>
      </c>
      <c r="M85" s="55"/>
      <c r="N85" s="159"/>
      <c r="O85" s="370" t="str">
        <f t="shared" si="6"/>
        <v/>
      </c>
      <c r="P85" s="383" t="str">
        <f t="shared" si="7"/>
        <v/>
      </c>
      <c r="Q85" s="422" t="str">
        <f>IFERROR(IF(P85="Check Data ⚠","Check Data ⚠",VLOOKUP(P85,'G-4 Temporal multipliers'!$A$4:$C$37,3,FALSE)),"")</f>
        <v/>
      </c>
      <c r="R85" s="362" t="str">
        <f>IF(C85="","",VLOOKUP(C85,'G-7 WaterC'' Data'!$B$4:$G$8,4,FALSE))</f>
        <v/>
      </c>
      <c r="S85" s="370" t="str">
        <f t="shared" si="8"/>
        <v/>
      </c>
      <c r="T85" s="401" t="str">
        <f t="shared" si="9"/>
        <v/>
      </c>
      <c r="U85" s="363" t="str">
        <f>IF(C85="","",VLOOKUP(T85,'G-3 Multipliers'!$P$2:$Q$6,2,FALSE))</f>
        <v/>
      </c>
      <c r="V85" s="115"/>
      <c r="W85" s="363" t="str">
        <f>IF(V85="","",IF(VLOOKUP(V85,'G-7 WaterC'' Data'!$AA$4:$AB$7,2,FALSE)=0,"Spatial Data Missing ⚠",VLOOKUP(V85,'G-7 WaterC'' Data'!$AA$4:$AB$7,2,FALSE)))</f>
        <v/>
      </c>
      <c r="X85" s="60"/>
      <c r="Y85" s="363" t="str">
        <f>IF(X85="","",IF(VLOOKUP(X85,'G-7 WaterC'' Data'!$AD$4:$AE$14,2,FALSE)=0,"Enrcoachment Data Missing ⚠",VLOOKUP(X85,'G-7 WaterC'' Data'!$AD$4:$AE$14,2,FALSE)))</f>
        <v/>
      </c>
      <c r="Z85" s="115"/>
      <c r="AA85" s="363" t="str">
        <f>IF(Z85="","",IF(VLOOKUP(Z85,'G-7 WaterC'' Data'!$AO$4:$BO$7,2,FALSE)=0,"Spatial Data Missing ⚠",VLOOKUP(Z85,'G-7 WaterC'' Data'!$AO$4:$BO$7,2,FALSE)))</f>
        <v/>
      </c>
      <c r="AB85" s="405" t="str">
        <f t="shared" si="10"/>
        <v/>
      </c>
      <c r="AC85" s="405" t="str">
        <f t="shared" si="11"/>
        <v/>
      </c>
      <c r="AD85" s="117"/>
      <c r="AE85" s="692"/>
      <c r="AF85" s="119"/>
      <c r="AG85" s="120"/>
      <c r="AL85" s="30" t="str">
        <f>IFERROR(INDEX('G-7 WaterC'' Data'!$AZ$3:$AZ$7,MATCH(C85,'G-7 WaterC'' Data'!$AY$3:$AY$7,0)),"")</f>
        <v/>
      </c>
    </row>
    <row r="86" spans="2:38" ht="15">
      <c r="B86" s="110">
        <v>75</v>
      </c>
      <c r="C86" s="501"/>
      <c r="D86" s="139"/>
      <c r="E86" s="362" t="str">
        <f>IF(C86="","",VLOOKUP(C86,'G-7 WaterC'' Data'!$B$2:$Z$9,2,FALSE))</f>
        <v/>
      </c>
      <c r="F86" s="363" t="str">
        <f>IFERROR(VLOOKUP(E86,'G-7 WaterC'' Data'!$C$4:$D$8,2,FALSE),"")</f>
        <v/>
      </c>
      <c r="G86" s="114"/>
      <c r="H86" s="363" t="str">
        <f>IFERROR(INDEX('G-7 WaterC'' Data'!$H$4:$L$8,MATCH(C86,'G-7 WaterC'' Data'!$B$4:$B$8,0),MATCH(G86,'G-7 WaterC'' Data'!$H$3:$L$3,0)),"")</f>
        <v/>
      </c>
      <c r="I86" s="54"/>
      <c r="J86" s="401" t="str">
        <f>IF(I86="","",IF(VLOOKUP(I86,'G-7 WaterC'' Data'!$AK$4:$AM$6,2,FALSE)=0,"Spatial Data Missing ⚠",VLOOKUP(I86,'G-7 WaterC'' Data'!$AK$4:$AM$6,2,FALSE)))</f>
        <v/>
      </c>
      <c r="K86" s="363" t="str">
        <f>IF(I86="","",IF(VLOOKUP(I86,'G-7 WaterC'' Data'!$AK$4:$AM$6,3,FALSE)=0,"Spatial Data Missing ⚠",VLOOKUP(I86,'G-7 WaterC'' Data'!$AK$4:$AM$6,3,FALSE)))</f>
        <v/>
      </c>
      <c r="L86" s="478" t="str">
        <f>IFERROR(INDEX('G-7 WaterC'' Data'!$O$3:$O$7,MATCH(G86,'G-7 WaterC'' Data'!$N$3:$N$7,0)),"")</f>
        <v/>
      </c>
      <c r="M86" s="55"/>
      <c r="N86" s="159"/>
      <c r="O86" s="370" t="str">
        <f t="shared" si="6"/>
        <v/>
      </c>
      <c r="P86" s="383" t="str">
        <f t="shared" si="7"/>
        <v/>
      </c>
      <c r="Q86" s="422" t="str">
        <f>IFERROR(IF(P86="Check Data ⚠","Check Data ⚠",VLOOKUP(P86,'G-4 Temporal multipliers'!$A$4:$C$37,3,FALSE)),"")</f>
        <v/>
      </c>
      <c r="R86" s="362" t="str">
        <f>IF(C86="","",VLOOKUP(C86,'G-7 WaterC'' Data'!$B$4:$G$8,4,FALSE))</f>
        <v/>
      </c>
      <c r="S86" s="370" t="str">
        <f t="shared" si="8"/>
        <v/>
      </c>
      <c r="T86" s="401" t="str">
        <f t="shared" si="9"/>
        <v/>
      </c>
      <c r="U86" s="363" t="str">
        <f>IF(C86="","",VLOOKUP(T86,'G-3 Multipliers'!$P$2:$Q$6,2,FALSE))</f>
        <v/>
      </c>
      <c r="V86" s="115"/>
      <c r="W86" s="363" t="str">
        <f>IF(V86="","",IF(VLOOKUP(V86,'G-7 WaterC'' Data'!$AA$4:$AB$7,2,FALSE)=0,"Spatial Data Missing ⚠",VLOOKUP(V86,'G-7 WaterC'' Data'!$AA$4:$AB$7,2,FALSE)))</f>
        <v/>
      </c>
      <c r="X86" s="60"/>
      <c r="Y86" s="363" t="str">
        <f>IF(X86="","",IF(VLOOKUP(X86,'G-7 WaterC'' Data'!$AD$4:$AE$14,2,FALSE)=0,"Enrcoachment Data Missing ⚠",VLOOKUP(X86,'G-7 WaterC'' Data'!$AD$4:$AE$14,2,FALSE)))</f>
        <v/>
      </c>
      <c r="Z86" s="115"/>
      <c r="AA86" s="363" t="str">
        <f>IF(Z86="","",IF(VLOOKUP(Z86,'G-7 WaterC'' Data'!$AO$4:$BO$7,2,FALSE)=0,"Spatial Data Missing ⚠",VLOOKUP(Z86,'G-7 WaterC'' Data'!$AO$4:$BO$7,2,FALSE)))</f>
        <v/>
      </c>
      <c r="AB86" s="405" t="str">
        <f t="shared" si="10"/>
        <v/>
      </c>
      <c r="AC86" s="405" t="str">
        <f t="shared" si="11"/>
        <v/>
      </c>
      <c r="AD86" s="117"/>
      <c r="AE86" s="692"/>
      <c r="AF86" s="119"/>
      <c r="AG86" s="120"/>
      <c r="AL86" s="30" t="str">
        <f>IFERROR(INDEX('G-7 WaterC'' Data'!$AZ$3:$AZ$7,MATCH(C86,'G-7 WaterC'' Data'!$AY$3:$AY$7,0)),"")</f>
        <v/>
      </c>
    </row>
    <row r="87" spans="2:38" ht="15">
      <c r="B87" s="110">
        <v>76</v>
      </c>
      <c r="C87" s="501"/>
      <c r="D87" s="139"/>
      <c r="E87" s="362" t="str">
        <f>IF(C87="","",VLOOKUP(C87,'G-7 WaterC'' Data'!$B$2:$Z$9,2,FALSE))</f>
        <v/>
      </c>
      <c r="F87" s="363" t="str">
        <f>IFERROR(VLOOKUP(E87,'G-7 WaterC'' Data'!$C$4:$D$8,2,FALSE),"")</f>
        <v/>
      </c>
      <c r="G87" s="114"/>
      <c r="H87" s="363" t="str">
        <f>IFERROR(INDEX('G-7 WaterC'' Data'!$H$4:$L$8,MATCH(C87,'G-7 WaterC'' Data'!$B$4:$B$8,0),MATCH(G87,'G-7 WaterC'' Data'!$H$3:$L$3,0)),"")</f>
        <v/>
      </c>
      <c r="I87" s="54"/>
      <c r="J87" s="401" t="str">
        <f>IF(I87="","",IF(VLOOKUP(I87,'G-7 WaterC'' Data'!$AK$4:$AM$6,2,FALSE)=0,"Spatial Data Missing ⚠",VLOOKUP(I87,'G-7 WaterC'' Data'!$AK$4:$AM$6,2,FALSE)))</f>
        <v/>
      </c>
      <c r="K87" s="363" t="str">
        <f>IF(I87="","",IF(VLOOKUP(I87,'G-7 WaterC'' Data'!$AK$4:$AM$6,3,FALSE)=0,"Spatial Data Missing ⚠",VLOOKUP(I87,'G-7 WaterC'' Data'!$AK$4:$AM$6,3,FALSE)))</f>
        <v/>
      </c>
      <c r="L87" s="478" t="str">
        <f>IFERROR(INDEX('G-7 WaterC'' Data'!$O$3:$O$7,MATCH(G87,'G-7 WaterC'' Data'!$N$3:$N$7,0)),"")</f>
        <v/>
      </c>
      <c r="M87" s="55"/>
      <c r="N87" s="159"/>
      <c r="O87" s="370" t="str">
        <f t="shared" si="6"/>
        <v/>
      </c>
      <c r="P87" s="383" t="str">
        <f t="shared" si="7"/>
        <v/>
      </c>
      <c r="Q87" s="422" t="str">
        <f>IFERROR(IF(P87="Check Data ⚠","Check Data ⚠",VLOOKUP(P87,'G-4 Temporal multipliers'!$A$4:$C$37,3,FALSE)),"")</f>
        <v/>
      </c>
      <c r="R87" s="362" t="str">
        <f>IF(C87="","",VLOOKUP(C87,'G-7 WaterC'' Data'!$B$4:$G$8,4,FALSE))</f>
        <v/>
      </c>
      <c r="S87" s="370" t="str">
        <f t="shared" si="8"/>
        <v/>
      </c>
      <c r="T87" s="401" t="str">
        <f t="shared" si="9"/>
        <v/>
      </c>
      <c r="U87" s="363" t="str">
        <f>IF(C87="","",VLOOKUP(T87,'G-3 Multipliers'!$P$2:$Q$6,2,FALSE))</f>
        <v/>
      </c>
      <c r="V87" s="115"/>
      <c r="W87" s="363" t="str">
        <f>IF(V87="","",IF(VLOOKUP(V87,'G-7 WaterC'' Data'!$AA$4:$AB$7,2,FALSE)=0,"Spatial Data Missing ⚠",VLOOKUP(V87,'G-7 WaterC'' Data'!$AA$4:$AB$7,2,FALSE)))</f>
        <v/>
      </c>
      <c r="X87" s="60"/>
      <c r="Y87" s="363" t="str">
        <f>IF(X87="","",IF(VLOOKUP(X87,'G-7 WaterC'' Data'!$AD$4:$AE$14,2,FALSE)=0,"Enrcoachment Data Missing ⚠",VLOOKUP(X87,'G-7 WaterC'' Data'!$AD$4:$AE$14,2,FALSE)))</f>
        <v/>
      </c>
      <c r="Z87" s="115"/>
      <c r="AA87" s="363" t="str">
        <f>IF(Z87="","",IF(VLOOKUP(Z87,'G-7 WaterC'' Data'!$AO$4:$BO$7,2,FALSE)=0,"Spatial Data Missing ⚠",VLOOKUP(Z87,'G-7 WaterC'' Data'!$AO$4:$BO$7,2,FALSE)))</f>
        <v/>
      </c>
      <c r="AB87" s="405" t="str">
        <f t="shared" si="10"/>
        <v/>
      </c>
      <c r="AC87" s="405" t="str">
        <f t="shared" si="11"/>
        <v/>
      </c>
      <c r="AD87" s="117"/>
      <c r="AE87" s="692"/>
      <c r="AF87" s="119"/>
      <c r="AG87" s="120"/>
      <c r="AL87" s="30" t="str">
        <f>IFERROR(INDEX('G-7 WaterC'' Data'!$AZ$3:$AZ$7,MATCH(C87,'G-7 WaterC'' Data'!$AY$3:$AY$7,0)),"")</f>
        <v/>
      </c>
    </row>
    <row r="88" spans="2:38" ht="15">
      <c r="B88" s="110">
        <v>77</v>
      </c>
      <c r="C88" s="501"/>
      <c r="D88" s="139"/>
      <c r="E88" s="362" t="str">
        <f>IF(C88="","",VLOOKUP(C88,'G-7 WaterC'' Data'!$B$2:$Z$9,2,FALSE))</f>
        <v/>
      </c>
      <c r="F88" s="363" t="str">
        <f>IFERROR(VLOOKUP(E88,'G-7 WaterC'' Data'!$C$4:$D$8,2,FALSE),"")</f>
        <v/>
      </c>
      <c r="G88" s="114"/>
      <c r="H88" s="363" t="str">
        <f>IFERROR(INDEX('G-7 WaterC'' Data'!$H$4:$L$8,MATCH(C88,'G-7 WaterC'' Data'!$B$4:$B$8,0),MATCH(G88,'G-7 WaterC'' Data'!$H$3:$L$3,0)),"")</f>
        <v/>
      </c>
      <c r="I88" s="54"/>
      <c r="J88" s="401" t="str">
        <f>IF(I88="","",IF(VLOOKUP(I88,'G-7 WaterC'' Data'!$AK$4:$AM$6,2,FALSE)=0,"Spatial Data Missing ⚠",VLOOKUP(I88,'G-7 WaterC'' Data'!$AK$4:$AM$6,2,FALSE)))</f>
        <v/>
      </c>
      <c r="K88" s="363" t="str">
        <f>IF(I88="","",IF(VLOOKUP(I88,'G-7 WaterC'' Data'!$AK$4:$AM$6,3,FALSE)=0,"Spatial Data Missing ⚠",VLOOKUP(I88,'G-7 WaterC'' Data'!$AK$4:$AM$6,3,FALSE)))</f>
        <v/>
      </c>
      <c r="L88" s="478" t="str">
        <f>IFERROR(INDEX('G-7 WaterC'' Data'!$O$3:$O$7,MATCH(G88,'G-7 WaterC'' Data'!$N$3:$N$7,0)),"")</f>
        <v/>
      </c>
      <c r="M88" s="55"/>
      <c r="N88" s="159"/>
      <c r="O88" s="370" t="str">
        <f t="shared" si="6"/>
        <v/>
      </c>
      <c r="P88" s="383" t="str">
        <f t="shared" si="7"/>
        <v/>
      </c>
      <c r="Q88" s="422" t="str">
        <f>IFERROR(IF(P88="Check Data ⚠","Check Data ⚠",VLOOKUP(P88,'G-4 Temporal multipliers'!$A$4:$C$37,3,FALSE)),"")</f>
        <v/>
      </c>
      <c r="R88" s="362" t="str">
        <f>IF(C88="","",VLOOKUP(C88,'G-7 WaterC'' Data'!$B$4:$G$8,4,FALSE))</f>
        <v/>
      </c>
      <c r="S88" s="370" t="str">
        <f t="shared" si="8"/>
        <v/>
      </c>
      <c r="T88" s="401" t="str">
        <f t="shared" si="9"/>
        <v/>
      </c>
      <c r="U88" s="363" t="str">
        <f>IF(C88="","",VLOOKUP(T88,'G-3 Multipliers'!$P$2:$Q$6,2,FALSE))</f>
        <v/>
      </c>
      <c r="V88" s="115"/>
      <c r="W88" s="363" t="str">
        <f>IF(V88="","",IF(VLOOKUP(V88,'G-7 WaterC'' Data'!$AA$4:$AB$7,2,FALSE)=0,"Spatial Data Missing ⚠",VLOOKUP(V88,'G-7 WaterC'' Data'!$AA$4:$AB$7,2,FALSE)))</f>
        <v/>
      </c>
      <c r="X88" s="60"/>
      <c r="Y88" s="363" t="str">
        <f>IF(X88="","",IF(VLOOKUP(X88,'G-7 WaterC'' Data'!$AD$4:$AE$14,2,FALSE)=0,"Enrcoachment Data Missing ⚠",VLOOKUP(X88,'G-7 WaterC'' Data'!$AD$4:$AE$14,2,FALSE)))</f>
        <v/>
      </c>
      <c r="Z88" s="115"/>
      <c r="AA88" s="363" t="str">
        <f>IF(Z88="","",IF(VLOOKUP(Z88,'G-7 WaterC'' Data'!$AO$4:$BO$7,2,FALSE)=0,"Spatial Data Missing ⚠",VLOOKUP(Z88,'G-7 WaterC'' Data'!$AO$4:$BO$7,2,FALSE)))</f>
        <v/>
      </c>
      <c r="AB88" s="405" t="str">
        <f t="shared" si="10"/>
        <v/>
      </c>
      <c r="AC88" s="405" t="str">
        <f t="shared" si="11"/>
        <v/>
      </c>
      <c r="AD88" s="117"/>
      <c r="AE88" s="692"/>
      <c r="AF88" s="119"/>
      <c r="AG88" s="120"/>
      <c r="AL88" s="30" t="str">
        <f>IFERROR(INDEX('G-7 WaterC'' Data'!$AZ$3:$AZ$7,MATCH(C88,'G-7 WaterC'' Data'!$AY$3:$AY$7,0)),"")</f>
        <v/>
      </c>
    </row>
    <row r="89" spans="2:38" ht="15">
      <c r="B89" s="110">
        <v>78</v>
      </c>
      <c r="C89" s="501"/>
      <c r="D89" s="139"/>
      <c r="E89" s="362" t="str">
        <f>IF(C89="","",VLOOKUP(C89,'G-7 WaterC'' Data'!$B$2:$Z$9,2,FALSE))</f>
        <v/>
      </c>
      <c r="F89" s="363" t="str">
        <f>IFERROR(VLOOKUP(E89,'G-7 WaterC'' Data'!$C$4:$D$8,2,FALSE),"")</f>
        <v/>
      </c>
      <c r="G89" s="114"/>
      <c r="H89" s="363" t="str">
        <f>IFERROR(INDEX('G-7 WaterC'' Data'!$H$4:$L$8,MATCH(C89,'G-7 WaterC'' Data'!$B$4:$B$8,0),MATCH(G89,'G-7 WaterC'' Data'!$H$3:$L$3,0)),"")</f>
        <v/>
      </c>
      <c r="I89" s="54"/>
      <c r="J89" s="401" t="str">
        <f>IF(I89="","",IF(VLOOKUP(I89,'G-7 WaterC'' Data'!$AK$4:$AM$6,2,FALSE)=0,"Spatial Data Missing ⚠",VLOOKUP(I89,'G-7 WaterC'' Data'!$AK$4:$AM$6,2,FALSE)))</f>
        <v/>
      </c>
      <c r="K89" s="363" t="str">
        <f>IF(I89="","",IF(VLOOKUP(I89,'G-7 WaterC'' Data'!$AK$4:$AM$6,3,FALSE)=0,"Spatial Data Missing ⚠",VLOOKUP(I89,'G-7 WaterC'' Data'!$AK$4:$AM$6,3,FALSE)))</f>
        <v/>
      </c>
      <c r="L89" s="478" t="str">
        <f>IFERROR(INDEX('G-7 WaterC'' Data'!$O$3:$O$7,MATCH(G89,'G-7 WaterC'' Data'!$N$3:$N$7,0)),"")</f>
        <v/>
      </c>
      <c r="M89" s="55"/>
      <c r="N89" s="159"/>
      <c r="O89" s="370" t="str">
        <f t="shared" si="6"/>
        <v/>
      </c>
      <c r="P89" s="383" t="str">
        <f t="shared" si="7"/>
        <v/>
      </c>
      <c r="Q89" s="422" t="str">
        <f>IFERROR(IF(P89="Check Data ⚠","Check Data ⚠",VLOOKUP(P89,'G-4 Temporal multipliers'!$A$4:$C$37,3,FALSE)),"")</f>
        <v/>
      </c>
      <c r="R89" s="362" t="str">
        <f>IF(C89="","",VLOOKUP(C89,'G-7 WaterC'' Data'!$B$4:$G$8,4,FALSE))</f>
        <v/>
      </c>
      <c r="S89" s="370" t="str">
        <f t="shared" si="8"/>
        <v/>
      </c>
      <c r="T89" s="401" t="str">
        <f t="shared" si="9"/>
        <v/>
      </c>
      <c r="U89" s="363" t="str">
        <f>IF(C89="","",VLOOKUP(T89,'G-3 Multipliers'!$P$2:$Q$6,2,FALSE))</f>
        <v/>
      </c>
      <c r="V89" s="115"/>
      <c r="W89" s="363" t="str">
        <f>IF(V89="","",IF(VLOOKUP(V89,'G-7 WaterC'' Data'!$AA$4:$AB$7,2,FALSE)=0,"Spatial Data Missing ⚠",VLOOKUP(V89,'G-7 WaterC'' Data'!$AA$4:$AB$7,2,FALSE)))</f>
        <v/>
      </c>
      <c r="X89" s="60"/>
      <c r="Y89" s="363" t="str">
        <f>IF(X89="","",IF(VLOOKUP(X89,'G-7 WaterC'' Data'!$AD$4:$AE$14,2,FALSE)=0,"Enrcoachment Data Missing ⚠",VLOOKUP(X89,'G-7 WaterC'' Data'!$AD$4:$AE$14,2,FALSE)))</f>
        <v/>
      </c>
      <c r="Z89" s="115"/>
      <c r="AA89" s="363" t="str">
        <f>IF(Z89="","",IF(VLOOKUP(Z89,'G-7 WaterC'' Data'!$AO$4:$BO$7,2,FALSE)=0,"Spatial Data Missing ⚠",VLOOKUP(Z89,'G-7 WaterC'' Data'!$AO$4:$BO$7,2,FALSE)))</f>
        <v/>
      </c>
      <c r="AB89" s="405" t="str">
        <f t="shared" si="10"/>
        <v/>
      </c>
      <c r="AC89" s="405" t="str">
        <f t="shared" si="11"/>
        <v/>
      </c>
      <c r="AD89" s="117"/>
      <c r="AE89" s="692"/>
      <c r="AF89" s="119"/>
      <c r="AG89" s="120"/>
      <c r="AL89" s="30" t="str">
        <f>IFERROR(INDEX('G-7 WaterC'' Data'!$AZ$3:$AZ$7,MATCH(C89,'G-7 WaterC'' Data'!$AY$3:$AY$7,0)),"")</f>
        <v/>
      </c>
    </row>
    <row r="90" spans="2:38" ht="15">
      <c r="B90" s="110">
        <v>79</v>
      </c>
      <c r="C90" s="501"/>
      <c r="D90" s="139"/>
      <c r="E90" s="362" t="str">
        <f>IF(C90="","",VLOOKUP(C90,'G-7 WaterC'' Data'!$B$2:$Z$9,2,FALSE))</f>
        <v/>
      </c>
      <c r="F90" s="363" t="str">
        <f>IFERROR(VLOOKUP(E90,'G-7 WaterC'' Data'!$C$4:$D$8,2,FALSE),"")</f>
        <v/>
      </c>
      <c r="G90" s="114"/>
      <c r="H90" s="363" t="str">
        <f>IFERROR(INDEX('G-7 WaterC'' Data'!$H$4:$L$8,MATCH(C90,'G-7 WaterC'' Data'!$B$4:$B$8,0),MATCH(G90,'G-7 WaterC'' Data'!$H$3:$L$3,0)),"")</f>
        <v/>
      </c>
      <c r="I90" s="54"/>
      <c r="J90" s="401" t="str">
        <f>IF(I90="","",IF(VLOOKUP(I90,'G-7 WaterC'' Data'!$AK$4:$AM$6,2,FALSE)=0,"Spatial Data Missing ⚠",VLOOKUP(I90,'G-7 WaterC'' Data'!$AK$4:$AM$6,2,FALSE)))</f>
        <v/>
      </c>
      <c r="K90" s="363" t="str">
        <f>IF(I90="","",IF(VLOOKUP(I90,'G-7 WaterC'' Data'!$AK$4:$AM$6,3,FALSE)=0,"Spatial Data Missing ⚠",VLOOKUP(I90,'G-7 WaterC'' Data'!$AK$4:$AM$6,3,FALSE)))</f>
        <v/>
      </c>
      <c r="L90" s="478" t="str">
        <f>IFERROR(INDEX('G-7 WaterC'' Data'!$O$3:$O$7,MATCH(G90,'G-7 WaterC'' Data'!$N$3:$N$7,0)),"")</f>
        <v/>
      </c>
      <c r="M90" s="55"/>
      <c r="N90" s="159"/>
      <c r="O90" s="370" t="str">
        <f t="shared" si="6"/>
        <v/>
      </c>
      <c r="P90" s="383" t="str">
        <f t="shared" si="7"/>
        <v/>
      </c>
      <c r="Q90" s="422" t="str">
        <f>IFERROR(IF(P90="Check Data ⚠","Check Data ⚠",VLOOKUP(P90,'G-4 Temporal multipliers'!$A$4:$C$37,3,FALSE)),"")</f>
        <v/>
      </c>
      <c r="R90" s="362" t="str">
        <f>IF(C90="","",VLOOKUP(C90,'G-7 WaterC'' Data'!$B$4:$G$8,4,FALSE))</f>
        <v/>
      </c>
      <c r="S90" s="370" t="str">
        <f t="shared" si="8"/>
        <v/>
      </c>
      <c r="T90" s="401" t="str">
        <f t="shared" si="9"/>
        <v/>
      </c>
      <c r="U90" s="363" t="str">
        <f>IF(C90="","",VLOOKUP(T90,'G-3 Multipliers'!$P$2:$Q$6,2,FALSE))</f>
        <v/>
      </c>
      <c r="V90" s="115"/>
      <c r="W90" s="363" t="str">
        <f>IF(V90="","",IF(VLOOKUP(V90,'G-7 WaterC'' Data'!$AA$4:$AB$7,2,FALSE)=0,"Spatial Data Missing ⚠",VLOOKUP(V90,'G-7 WaterC'' Data'!$AA$4:$AB$7,2,FALSE)))</f>
        <v/>
      </c>
      <c r="X90" s="60"/>
      <c r="Y90" s="363" t="str">
        <f>IF(X90="","",IF(VLOOKUP(X90,'G-7 WaterC'' Data'!$AD$4:$AE$14,2,FALSE)=0,"Enrcoachment Data Missing ⚠",VLOOKUP(X90,'G-7 WaterC'' Data'!$AD$4:$AE$14,2,FALSE)))</f>
        <v/>
      </c>
      <c r="Z90" s="115"/>
      <c r="AA90" s="363" t="str">
        <f>IF(Z90="","",IF(VLOOKUP(Z90,'G-7 WaterC'' Data'!$AO$4:$BO$7,2,FALSE)=0,"Spatial Data Missing ⚠",VLOOKUP(Z90,'G-7 WaterC'' Data'!$AO$4:$BO$7,2,FALSE)))</f>
        <v/>
      </c>
      <c r="AB90" s="405" t="str">
        <f t="shared" si="10"/>
        <v/>
      </c>
      <c r="AC90" s="405" t="str">
        <f t="shared" si="11"/>
        <v/>
      </c>
      <c r="AD90" s="117"/>
      <c r="AE90" s="692"/>
      <c r="AF90" s="119"/>
      <c r="AG90" s="120"/>
      <c r="AL90" s="30" t="str">
        <f>IFERROR(INDEX('G-7 WaterC'' Data'!$AZ$3:$AZ$7,MATCH(C90,'G-7 WaterC'' Data'!$AY$3:$AY$7,0)),"")</f>
        <v/>
      </c>
    </row>
    <row r="91" spans="2:38" ht="15">
      <c r="B91" s="110">
        <v>80</v>
      </c>
      <c r="C91" s="501"/>
      <c r="D91" s="139"/>
      <c r="E91" s="362" t="str">
        <f>IF(C91="","",VLOOKUP(C91,'G-7 WaterC'' Data'!$B$2:$Z$9,2,FALSE))</f>
        <v/>
      </c>
      <c r="F91" s="363" t="str">
        <f>IFERROR(VLOOKUP(E91,'G-7 WaterC'' Data'!$C$4:$D$8,2,FALSE),"")</f>
        <v/>
      </c>
      <c r="G91" s="114"/>
      <c r="H91" s="363" t="str">
        <f>IFERROR(INDEX('G-7 WaterC'' Data'!$H$4:$L$8,MATCH(C91,'G-7 WaterC'' Data'!$B$4:$B$8,0),MATCH(G91,'G-7 WaterC'' Data'!$H$3:$L$3,0)),"")</f>
        <v/>
      </c>
      <c r="I91" s="54"/>
      <c r="J91" s="401" t="str">
        <f>IF(I91="","",IF(VLOOKUP(I91,'G-7 WaterC'' Data'!$AK$4:$AM$6,2,FALSE)=0,"Spatial Data Missing ⚠",VLOOKUP(I91,'G-7 WaterC'' Data'!$AK$4:$AM$6,2,FALSE)))</f>
        <v/>
      </c>
      <c r="K91" s="363" t="str">
        <f>IF(I91="","",IF(VLOOKUP(I91,'G-7 WaterC'' Data'!$AK$4:$AM$6,3,FALSE)=0,"Spatial Data Missing ⚠",VLOOKUP(I91,'G-7 WaterC'' Data'!$AK$4:$AM$6,3,FALSE)))</f>
        <v/>
      </c>
      <c r="L91" s="478" t="str">
        <f>IFERROR(INDEX('G-7 WaterC'' Data'!$O$3:$O$7,MATCH(G91,'G-7 WaterC'' Data'!$N$3:$N$7,0)),"")</f>
        <v/>
      </c>
      <c r="M91" s="55"/>
      <c r="N91" s="159"/>
      <c r="O91" s="370" t="str">
        <f t="shared" si="6"/>
        <v/>
      </c>
      <c r="P91" s="383" t="str">
        <f t="shared" si="7"/>
        <v/>
      </c>
      <c r="Q91" s="422" t="str">
        <f>IFERROR(IF(P91="Check Data ⚠","Check Data ⚠",VLOOKUP(P91,'G-4 Temporal multipliers'!$A$4:$C$37,3,FALSE)),"")</f>
        <v/>
      </c>
      <c r="R91" s="362" t="str">
        <f>IF(C91="","",VLOOKUP(C91,'G-7 WaterC'' Data'!$B$4:$G$8,4,FALSE))</f>
        <v/>
      </c>
      <c r="S91" s="370" t="str">
        <f t="shared" si="8"/>
        <v/>
      </c>
      <c r="T91" s="401" t="str">
        <f t="shared" si="9"/>
        <v/>
      </c>
      <c r="U91" s="363" t="str">
        <f>IF(C91="","",VLOOKUP(T91,'G-3 Multipliers'!$P$2:$Q$6,2,FALSE))</f>
        <v/>
      </c>
      <c r="V91" s="115"/>
      <c r="W91" s="363" t="str">
        <f>IF(V91="","",IF(VLOOKUP(V91,'G-7 WaterC'' Data'!$AA$4:$AB$7,2,FALSE)=0,"Spatial Data Missing ⚠",VLOOKUP(V91,'G-7 WaterC'' Data'!$AA$4:$AB$7,2,FALSE)))</f>
        <v/>
      </c>
      <c r="X91" s="60"/>
      <c r="Y91" s="363" t="str">
        <f>IF(X91="","",IF(VLOOKUP(X91,'G-7 WaterC'' Data'!$AD$4:$AE$14,2,FALSE)=0,"Enrcoachment Data Missing ⚠",VLOOKUP(X91,'G-7 WaterC'' Data'!$AD$4:$AE$14,2,FALSE)))</f>
        <v/>
      </c>
      <c r="Z91" s="115"/>
      <c r="AA91" s="363" t="str">
        <f>IF(Z91="","",IF(VLOOKUP(Z91,'G-7 WaterC'' Data'!$AO$4:$BO$7,2,FALSE)=0,"Spatial Data Missing ⚠",VLOOKUP(Z91,'G-7 WaterC'' Data'!$AO$4:$BO$7,2,FALSE)))</f>
        <v/>
      </c>
      <c r="AB91" s="405" t="str">
        <f t="shared" si="10"/>
        <v/>
      </c>
      <c r="AC91" s="405" t="str">
        <f t="shared" si="11"/>
        <v/>
      </c>
      <c r="AD91" s="117"/>
      <c r="AE91" s="692"/>
      <c r="AF91" s="119"/>
      <c r="AG91" s="120"/>
      <c r="AL91" s="30" t="str">
        <f>IFERROR(INDEX('G-7 WaterC'' Data'!$AZ$3:$AZ$7,MATCH(C91,'G-7 WaterC'' Data'!$AY$3:$AY$7,0)),"")</f>
        <v/>
      </c>
    </row>
    <row r="92" spans="2:38" ht="15">
      <c r="B92" s="110">
        <v>81</v>
      </c>
      <c r="C92" s="501"/>
      <c r="D92" s="139"/>
      <c r="E92" s="362" t="str">
        <f>IF(C92="","",VLOOKUP(C92,'G-7 WaterC'' Data'!$B$2:$Z$9,2,FALSE))</f>
        <v/>
      </c>
      <c r="F92" s="363" t="str">
        <f>IFERROR(VLOOKUP(E92,'G-7 WaterC'' Data'!$C$4:$D$8,2,FALSE),"")</f>
        <v/>
      </c>
      <c r="G92" s="114"/>
      <c r="H92" s="363" t="str">
        <f>IFERROR(INDEX('G-7 WaterC'' Data'!$H$4:$L$8,MATCH(C92,'G-7 WaterC'' Data'!$B$4:$B$8,0),MATCH(G92,'G-7 WaterC'' Data'!$H$3:$L$3,0)),"")</f>
        <v/>
      </c>
      <c r="I92" s="54"/>
      <c r="J92" s="401" t="str">
        <f>IF(I92="","",IF(VLOOKUP(I92,'G-7 WaterC'' Data'!$AK$4:$AM$6,2,FALSE)=0,"Spatial Data Missing ⚠",VLOOKUP(I92,'G-7 WaterC'' Data'!$AK$4:$AM$6,2,FALSE)))</f>
        <v/>
      </c>
      <c r="K92" s="363" t="str">
        <f>IF(I92="","",IF(VLOOKUP(I92,'G-7 WaterC'' Data'!$AK$4:$AM$6,3,FALSE)=0,"Spatial Data Missing ⚠",VLOOKUP(I92,'G-7 WaterC'' Data'!$AK$4:$AM$6,3,FALSE)))</f>
        <v/>
      </c>
      <c r="L92" s="478" t="str">
        <f>IFERROR(INDEX('G-7 WaterC'' Data'!$O$3:$O$7,MATCH(G92,'G-7 WaterC'' Data'!$N$3:$N$7,0)),"")</f>
        <v/>
      </c>
      <c r="M92" s="55"/>
      <c r="N92" s="159"/>
      <c r="O92" s="370" t="str">
        <f t="shared" si="6"/>
        <v/>
      </c>
      <c r="P92" s="383" t="str">
        <f t="shared" si="7"/>
        <v/>
      </c>
      <c r="Q92" s="422" t="str">
        <f>IFERROR(IF(P92="Check Data ⚠","Check Data ⚠",VLOOKUP(P92,'G-4 Temporal multipliers'!$A$4:$C$37,3,FALSE)),"")</f>
        <v/>
      </c>
      <c r="R92" s="362" t="str">
        <f>IF(C92="","",VLOOKUP(C92,'G-7 WaterC'' Data'!$B$4:$G$8,4,FALSE))</f>
        <v/>
      </c>
      <c r="S92" s="370" t="str">
        <f t="shared" si="8"/>
        <v/>
      </c>
      <c r="T92" s="401" t="str">
        <f t="shared" si="9"/>
        <v/>
      </c>
      <c r="U92" s="363" t="str">
        <f>IF(C92="","",VLOOKUP(T92,'G-3 Multipliers'!$P$2:$Q$6,2,FALSE))</f>
        <v/>
      </c>
      <c r="V92" s="115"/>
      <c r="W92" s="363" t="str">
        <f>IF(V92="","",IF(VLOOKUP(V92,'G-7 WaterC'' Data'!$AA$4:$AB$7,2,FALSE)=0,"Spatial Data Missing ⚠",VLOOKUP(V92,'G-7 WaterC'' Data'!$AA$4:$AB$7,2,FALSE)))</f>
        <v/>
      </c>
      <c r="X92" s="60"/>
      <c r="Y92" s="363" t="str">
        <f>IF(X92="","",IF(VLOOKUP(X92,'G-7 WaterC'' Data'!$AD$4:$AE$14,2,FALSE)=0,"Enrcoachment Data Missing ⚠",VLOOKUP(X92,'G-7 WaterC'' Data'!$AD$4:$AE$14,2,FALSE)))</f>
        <v/>
      </c>
      <c r="Z92" s="115"/>
      <c r="AA92" s="363" t="str">
        <f>IF(Z92="","",IF(VLOOKUP(Z92,'G-7 WaterC'' Data'!$AO$4:$BO$7,2,FALSE)=0,"Spatial Data Missing ⚠",VLOOKUP(Z92,'G-7 WaterC'' Data'!$AO$4:$BO$7,2,FALSE)))</f>
        <v/>
      </c>
      <c r="AB92" s="405" t="str">
        <f t="shared" si="10"/>
        <v/>
      </c>
      <c r="AC92" s="405" t="str">
        <f t="shared" si="11"/>
        <v/>
      </c>
      <c r="AD92" s="117"/>
      <c r="AE92" s="692"/>
      <c r="AF92" s="119"/>
      <c r="AG92" s="120"/>
      <c r="AL92" s="30" t="str">
        <f>IFERROR(INDEX('G-7 WaterC'' Data'!$AZ$3:$AZ$7,MATCH(C92,'G-7 WaterC'' Data'!$AY$3:$AY$7,0)),"")</f>
        <v/>
      </c>
    </row>
    <row r="93" spans="2:38" ht="15">
      <c r="B93" s="110">
        <v>82</v>
      </c>
      <c r="C93" s="501"/>
      <c r="D93" s="139"/>
      <c r="E93" s="362" t="str">
        <f>IF(C93="","",VLOOKUP(C93,'G-7 WaterC'' Data'!$B$2:$Z$9,2,FALSE))</f>
        <v/>
      </c>
      <c r="F93" s="363" t="str">
        <f>IFERROR(VLOOKUP(E93,'G-7 WaterC'' Data'!$C$4:$D$8,2,FALSE),"")</f>
        <v/>
      </c>
      <c r="G93" s="114"/>
      <c r="H93" s="363" t="str">
        <f>IFERROR(INDEX('G-7 WaterC'' Data'!$H$4:$L$8,MATCH(C93,'G-7 WaterC'' Data'!$B$4:$B$8,0),MATCH(G93,'G-7 WaterC'' Data'!$H$3:$L$3,0)),"")</f>
        <v/>
      </c>
      <c r="I93" s="54"/>
      <c r="J93" s="401" t="str">
        <f>IF(I93="","",IF(VLOOKUP(I93,'G-7 WaterC'' Data'!$AK$4:$AM$6,2,FALSE)=0,"Spatial Data Missing ⚠",VLOOKUP(I93,'G-7 WaterC'' Data'!$AK$4:$AM$6,2,FALSE)))</f>
        <v/>
      </c>
      <c r="K93" s="363" t="str">
        <f>IF(I93="","",IF(VLOOKUP(I93,'G-7 WaterC'' Data'!$AK$4:$AM$6,3,FALSE)=0,"Spatial Data Missing ⚠",VLOOKUP(I93,'G-7 WaterC'' Data'!$AK$4:$AM$6,3,FALSE)))</f>
        <v/>
      </c>
      <c r="L93" s="478" t="str">
        <f>IFERROR(INDEX('G-7 WaterC'' Data'!$O$3:$O$7,MATCH(G93,'G-7 WaterC'' Data'!$N$3:$N$7,0)),"")</f>
        <v/>
      </c>
      <c r="M93" s="55"/>
      <c r="N93" s="159"/>
      <c r="O93" s="370" t="str">
        <f t="shared" si="6"/>
        <v/>
      </c>
      <c r="P93" s="383" t="str">
        <f t="shared" si="7"/>
        <v/>
      </c>
      <c r="Q93" s="422" t="str">
        <f>IFERROR(IF(P93="Check Data ⚠","Check Data ⚠",VLOOKUP(P93,'G-4 Temporal multipliers'!$A$4:$C$37,3,FALSE)),"")</f>
        <v/>
      </c>
      <c r="R93" s="362" t="str">
        <f>IF(C93="","",VLOOKUP(C93,'G-7 WaterC'' Data'!$B$4:$G$8,4,FALSE))</f>
        <v/>
      </c>
      <c r="S93" s="370" t="str">
        <f t="shared" si="8"/>
        <v/>
      </c>
      <c r="T93" s="401" t="str">
        <f t="shared" si="9"/>
        <v/>
      </c>
      <c r="U93" s="363" t="str">
        <f>IF(C93="","",VLOOKUP(T93,'G-3 Multipliers'!$P$2:$Q$6,2,FALSE))</f>
        <v/>
      </c>
      <c r="V93" s="115"/>
      <c r="W93" s="363" t="str">
        <f>IF(V93="","",IF(VLOOKUP(V93,'G-7 WaterC'' Data'!$AA$4:$AB$7,2,FALSE)=0,"Spatial Data Missing ⚠",VLOOKUP(V93,'G-7 WaterC'' Data'!$AA$4:$AB$7,2,FALSE)))</f>
        <v/>
      </c>
      <c r="X93" s="60"/>
      <c r="Y93" s="363" t="str">
        <f>IF(X93="","",IF(VLOOKUP(X93,'G-7 WaterC'' Data'!$AD$4:$AE$14,2,FALSE)=0,"Enrcoachment Data Missing ⚠",VLOOKUP(X93,'G-7 WaterC'' Data'!$AD$4:$AE$14,2,FALSE)))</f>
        <v/>
      </c>
      <c r="Z93" s="115"/>
      <c r="AA93" s="363" t="str">
        <f>IF(Z93="","",IF(VLOOKUP(Z93,'G-7 WaterC'' Data'!$AO$4:$BO$7,2,FALSE)=0,"Spatial Data Missing ⚠",VLOOKUP(Z93,'G-7 WaterC'' Data'!$AO$4:$BO$7,2,FALSE)))</f>
        <v/>
      </c>
      <c r="AB93" s="405" t="str">
        <f t="shared" si="10"/>
        <v/>
      </c>
      <c r="AC93" s="405" t="str">
        <f t="shared" si="11"/>
        <v/>
      </c>
      <c r="AD93" s="117"/>
      <c r="AE93" s="692"/>
      <c r="AF93" s="119"/>
      <c r="AG93" s="120"/>
      <c r="AL93" s="30" t="str">
        <f>IFERROR(INDEX('G-7 WaterC'' Data'!$AZ$3:$AZ$7,MATCH(C93,'G-7 WaterC'' Data'!$AY$3:$AY$7,0)),"")</f>
        <v/>
      </c>
    </row>
    <row r="94" spans="2:38" ht="15">
      <c r="B94" s="110">
        <v>83</v>
      </c>
      <c r="C94" s="501"/>
      <c r="D94" s="139"/>
      <c r="E94" s="362" t="str">
        <f>IF(C94="","",VLOOKUP(C94,'G-7 WaterC'' Data'!$B$2:$Z$9,2,FALSE))</f>
        <v/>
      </c>
      <c r="F94" s="363" t="str">
        <f>IFERROR(VLOOKUP(E94,'G-7 WaterC'' Data'!$C$4:$D$8,2,FALSE),"")</f>
        <v/>
      </c>
      <c r="G94" s="114"/>
      <c r="H94" s="363" t="str">
        <f>IFERROR(INDEX('G-7 WaterC'' Data'!$H$4:$L$8,MATCH(C94,'G-7 WaterC'' Data'!$B$4:$B$8,0),MATCH(G94,'G-7 WaterC'' Data'!$H$3:$L$3,0)),"")</f>
        <v/>
      </c>
      <c r="I94" s="54"/>
      <c r="J94" s="401" t="str">
        <f>IF(I94="","",IF(VLOOKUP(I94,'G-7 WaterC'' Data'!$AK$4:$AM$6,2,FALSE)=0,"Spatial Data Missing ⚠",VLOOKUP(I94,'G-7 WaterC'' Data'!$AK$4:$AM$6,2,FALSE)))</f>
        <v/>
      </c>
      <c r="K94" s="363" t="str">
        <f>IF(I94="","",IF(VLOOKUP(I94,'G-7 WaterC'' Data'!$AK$4:$AM$6,3,FALSE)=0,"Spatial Data Missing ⚠",VLOOKUP(I94,'G-7 WaterC'' Data'!$AK$4:$AM$6,3,FALSE)))</f>
        <v/>
      </c>
      <c r="L94" s="478" t="str">
        <f>IFERROR(INDEX('G-7 WaterC'' Data'!$O$3:$O$7,MATCH(G94,'G-7 WaterC'' Data'!$N$3:$N$7,0)),"")</f>
        <v/>
      </c>
      <c r="M94" s="55"/>
      <c r="N94" s="159"/>
      <c r="O94" s="370" t="str">
        <f t="shared" si="6"/>
        <v/>
      </c>
      <c r="P94" s="383" t="str">
        <f t="shared" si="7"/>
        <v/>
      </c>
      <c r="Q94" s="422" t="str">
        <f>IFERROR(IF(P94="Check Data ⚠","Check Data ⚠",VLOOKUP(P94,'G-4 Temporal multipliers'!$A$4:$C$37,3,FALSE)),"")</f>
        <v/>
      </c>
      <c r="R94" s="362" t="str">
        <f>IF(C94="","",VLOOKUP(C94,'G-7 WaterC'' Data'!$B$4:$G$8,4,FALSE))</f>
        <v/>
      </c>
      <c r="S94" s="370" t="str">
        <f t="shared" si="8"/>
        <v/>
      </c>
      <c r="T94" s="401" t="str">
        <f t="shared" si="9"/>
        <v/>
      </c>
      <c r="U94" s="363" t="str">
        <f>IF(C94="","",VLOOKUP(T94,'G-3 Multipliers'!$P$2:$Q$6,2,FALSE))</f>
        <v/>
      </c>
      <c r="V94" s="115"/>
      <c r="W94" s="363" t="str">
        <f>IF(V94="","",IF(VLOOKUP(V94,'G-7 WaterC'' Data'!$AA$4:$AB$7,2,FALSE)=0,"Spatial Data Missing ⚠",VLOOKUP(V94,'G-7 WaterC'' Data'!$AA$4:$AB$7,2,FALSE)))</f>
        <v/>
      </c>
      <c r="X94" s="60"/>
      <c r="Y94" s="363" t="str">
        <f>IF(X94="","",IF(VLOOKUP(X94,'G-7 WaterC'' Data'!$AD$4:$AE$14,2,FALSE)=0,"Enrcoachment Data Missing ⚠",VLOOKUP(X94,'G-7 WaterC'' Data'!$AD$4:$AE$14,2,FALSE)))</f>
        <v/>
      </c>
      <c r="Z94" s="115"/>
      <c r="AA94" s="363" t="str">
        <f>IF(Z94="","",IF(VLOOKUP(Z94,'G-7 WaterC'' Data'!$AO$4:$BO$7,2,FALSE)=0,"Spatial Data Missing ⚠",VLOOKUP(Z94,'G-7 WaterC'' Data'!$AO$4:$BO$7,2,FALSE)))</f>
        <v/>
      </c>
      <c r="AB94" s="405" t="str">
        <f t="shared" si="10"/>
        <v/>
      </c>
      <c r="AC94" s="405" t="str">
        <f t="shared" si="11"/>
        <v/>
      </c>
      <c r="AD94" s="117"/>
      <c r="AE94" s="692"/>
      <c r="AF94" s="119"/>
      <c r="AG94" s="120"/>
      <c r="AL94" s="30" t="str">
        <f>IFERROR(INDEX('G-7 WaterC'' Data'!$AZ$3:$AZ$7,MATCH(C94,'G-7 WaterC'' Data'!$AY$3:$AY$7,0)),"")</f>
        <v/>
      </c>
    </row>
    <row r="95" spans="2:38" ht="15">
      <c r="B95" s="110">
        <v>84</v>
      </c>
      <c r="C95" s="501"/>
      <c r="D95" s="139"/>
      <c r="E95" s="362" t="str">
        <f>IF(C95="","",VLOOKUP(C95,'G-7 WaterC'' Data'!$B$2:$Z$9,2,FALSE))</f>
        <v/>
      </c>
      <c r="F95" s="363" t="str">
        <f>IFERROR(VLOOKUP(E95,'G-7 WaterC'' Data'!$C$4:$D$8,2,FALSE),"")</f>
        <v/>
      </c>
      <c r="G95" s="114"/>
      <c r="H95" s="363" t="str">
        <f>IFERROR(INDEX('G-7 WaterC'' Data'!$H$4:$L$8,MATCH(C95,'G-7 WaterC'' Data'!$B$4:$B$8,0),MATCH(G95,'G-7 WaterC'' Data'!$H$3:$L$3,0)),"")</f>
        <v/>
      </c>
      <c r="I95" s="54"/>
      <c r="J95" s="401" t="str">
        <f>IF(I95="","",IF(VLOOKUP(I95,'G-7 WaterC'' Data'!$AK$4:$AM$6,2,FALSE)=0,"Spatial Data Missing ⚠",VLOOKUP(I95,'G-7 WaterC'' Data'!$AK$4:$AM$6,2,FALSE)))</f>
        <v/>
      </c>
      <c r="K95" s="363" t="str">
        <f>IF(I95="","",IF(VLOOKUP(I95,'G-7 WaterC'' Data'!$AK$4:$AM$6,3,FALSE)=0,"Spatial Data Missing ⚠",VLOOKUP(I95,'G-7 WaterC'' Data'!$AK$4:$AM$6,3,FALSE)))</f>
        <v/>
      </c>
      <c r="L95" s="478" t="str">
        <f>IFERROR(INDEX('G-7 WaterC'' Data'!$O$3:$O$7,MATCH(G95,'G-7 WaterC'' Data'!$N$3:$N$7,0)),"")</f>
        <v/>
      </c>
      <c r="M95" s="55"/>
      <c r="N95" s="159"/>
      <c r="O95" s="370" t="str">
        <f t="shared" si="6"/>
        <v/>
      </c>
      <c r="P95" s="383" t="str">
        <f t="shared" si="7"/>
        <v/>
      </c>
      <c r="Q95" s="422" t="str">
        <f>IFERROR(IF(P95="Check Data ⚠","Check Data ⚠",VLOOKUP(P95,'G-4 Temporal multipliers'!$A$4:$C$37,3,FALSE)),"")</f>
        <v/>
      </c>
      <c r="R95" s="362" t="str">
        <f>IF(C95="","",VLOOKUP(C95,'G-7 WaterC'' Data'!$B$4:$G$8,4,FALSE))</f>
        <v/>
      </c>
      <c r="S95" s="370" t="str">
        <f t="shared" si="8"/>
        <v/>
      </c>
      <c r="T95" s="401" t="str">
        <f t="shared" si="9"/>
        <v/>
      </c>
      <c r="U95" s="363" t="str">
        <f>IF(C95="","",VLOOKUP(T95,'G-3 Multipliers'!$P$2:$Q$6,2,FALSE))</f>
        <v/>
      </c>
      <c r="V95" s="115"/>
      <c r="W95" s="363" t="str">
        <f>IF(V95="","",IF(VLOOKUP(V95,'G-7 WaterC'' Data'!$AA$4:$AB$7,2,FALSE)=0,"Spatial Data Missing ⚠",VLOOKUP(V95,'G-7 WaterC'' Data'!$AA$4:$AB$7,2,FALSE)))</f>
        <v/>
      </c>
      <c r="X95" s="60"/>
      <c r="Y95" s="363" t="str">
        <f>IF(X95="","",IF(VLOOKUP(X95,'G-7 WaterC'' Data'!$AD$4:$AE$14,2,FALSE)=0,"Enrcoachment Data Missing ⚠",VLOOKUP(X95,'G-7 WaterC'' Data'!$AD$4:$AE$14,2,FALSE)))</f>
        <v/>
      </c>
      <c r="Z95" s="115"/>
      <c r="AA95" s="363" t="str">
        <f>IF(Z95="","",IF(VLOOKUP(Z95,'G-7 WaterC'' Data'!$AO$4:$BO$7,2,FALSE)=0,"Spatial Data Missing ⚠",VLOOKUP(Z95,'G-7 WaterC'' Data'!$AO$4:$BO$7,2,FALSE)))</f>
        <v/>
      </c>
      <c r="AB95" s="405" t="str">
        <f t="shared" si="10"/>
        <v/>
      </c>
      <c r="AC95" s="405" t="str">
        <f t="shared" si="11"/>
        <v/>
      </c>
      <c r="AD95" s="117"/>
      <c r="AE95" s="692"/>
      <c r="AF95" s="119"/>
      <c r="AG95" s="120"/>
      <c r="AL95" s="30" t="str">
        <f>IFERROR(INDEX('G-7 WaterC'' Data'!$AZ$3:$AZ$7,MATCH(C95,'G-7 WaterC'' Data'!$AY$3:$AY$7,0)),"")</f>
        <v/>
      </c>
    </row>
    <row r="96" spans="2:38" ht="15">
      <c r="B96" s="110">
        <v>85</v>
      </c>
      <c r="C96" s="501"/>
      <c r="D96" s="139"/>
      <c r="E96" s="362" t="str">
        <f>IF(C96="","",VLOOKUP(C96,'G-7 WaterC'' Data'!$B$2:$Z$9,2,FALSE))</f>
        <v/>
      </c>
      <c r="F96" s="363" t="str">
        <f>IFERROR(VLOOKUP(E96,'G-7 WaterC'' Data'!$C$4:$D$8,2,FALSE),"")</f>
        <v/>
      </c>
      <c r="G96" s="114"/>
      <c r="H96" s="363" t="str">
        <f>IFERROR(INDEX('G-7 WaterC'' Data'!$H$4:$L$8,MATCH(C96,'G-7 WaterC'' Data'!$B$4:$B$8,0),MATCH(G96,'G-7 WaterC'' Data'!$H$3:$L$3,0)),"")</f>
        <v/>
      </c>
      <c r="I96" s="54"/>
      <c r="J96" s="401" t="str">
        <f>IF(I96="","",IF(VLOOKUP(I96,'G-7 WaterC'' Data'!$AK$4:$AM$6,2,FALSE)=0,"Spatial Data Missing ⚠",VLOOKUP(I96,'G-7 WaterC'' Data'!$AK$4:$AM$6,2,FALSE)))</f>
        <v/>
      </c>
      <c r="K96" s="363" t="str">
        <f>IF(I96="","",IF(VLOOKUP(I96,'G-7 WaterC'' Data'!$AK$4:$AM$6,3,FALSE)=0,"Spatial Data Missing ⚠",VLOOKUP(I96,'G-7 WaterC'' Data'!$AK$4:$AM$6,3,FALSE)))</f>
        <v/>
      </c>
      <c r="L96" s="478" t="str">
        <f>IFERROR(INDEX('G-7 WaterC'' Data'!$O$3:$O$7,MATCH(G96,'G-7 WaterC'' Data'!$N$3:$N$7,0)),"")</f>
        <v/>
      </c>
      <c r="M96" s="55"/>
      <c r="N96" s="159"/>
      <c r="O96" s="370" t="str">
        <f t="shared" si="6"/>
        <v/>
      </c>
      <c r="P96" s="383" t="str">
        <f t="shared" si="7"/>
        <v/>
      </c>
      <c r="Q96" s="422" t="str">
        <f>IFERROR(IF(P96="Check Data ⚠","Check Data ⚠",VLOOKUP(P96,'G-4 Temporal multipliers'!$A$4:$C$37,3,FALSE)),"")</f>
        <v/>
      </c>
      <c r="R96" s="362" t="str">
        <f>IF(C96="","",VLOOKUP(C96,'G-7 WaterC'' Data'!$B$4:$G$8,4,FALSE))</f>
        <v/>
      </c>
      <c r="S96" s="370" t="str">
        <f t="shared" si="8"/>
        <v/>
      </c>
      <c r="T96" s="401" t="str">
        <f t="shared" si="9"/>
        <v/>
      </c>
      <c r="U96" s="363" t="str">
        <f>IF(C96="","",VLOOKUP(T96,'G-3 Multipliers'!$P$2:$Q$6,2,FALSE))</f>
        <v/>
      </c>
      <c r="V96" s="115"/>
      <c r="W96" s="363" t="str">
        <f>IF(V96="","",IF(VLOOKUP(V96,'G-7 WaterC'' Data'!$AA$4:$AB$7,2,FALSE)=0,"Spatial Data Missing ⚠",VLOOKUP(V96,'G-7 WaterC'' Data'!$AA$4:$AB$7,2,FALSE)))</f>
        <v/>
      </c>
      <c r="X96" s="60"/>
      <c r="Y96" s="363" t="str">
        <f>IF(X96="","",IF(VLOOKUP(X96,'G-7 WaterC'' Data'!$AD$4:$AE$14,2,FALSE)=0,"Enrcoachment Data Missing ⚠",VLOOKUP(X96,'G-7 WaterC'' Data'!$AD$4:$AE$14,2,FALSE)))</f>
        <v/>
      </c>
      <c r="Z96" s="115"/>
      <c r="AA96" s="363" t="str">
        <f>IF(Z96="","",IF(VLOOKUP(Z96,'G-7 WaterC'' Data'!$AO$4:$BO$7,2,FALSE)=0,"Spatial Data Missing ⚠",VLOOKUP(Z96,'G-7 WaterC'' Data'!$AO$4:$BO$7,2,FALSE)))</f>
        <v/>
      </c>
      <c r="AB96" s="405" t="str">
        <f t="shared" si="10"/>
        <v/>
      </c>
      <c r="AC96" s="405" t="str">
        <f t="shared" si="11"/>
        <v/>
      </c>
      <c r="AD96" s="117"/>
      <c r="AE96" s="692"/>
      <c r="AF96" s="119"/>
      <c r="AG96" s="120"/>
      <c r="AL96" s="30" t="str">
        <f>IFERROR(INDEX('G-7 WaterC'' Data'!$AZ$3:$AZ$7,MATCH(C96,'G-7 WaterC'' Data'!$AY$3:$AY$7,0)),"")</f>
        <v/>
      </c>
    </row>
    <row r="97" spans="2:38" ht="15">
      <c r="B97" s="110">
        <v>86</v>
      </c>
      <c r="C97" s="501"/>
      <c r="D97" s="139"/>
      <c r="E97" s="362" t="str">
        <f>IF(C97="","",VLOOKUP(C97,'G-7 WaterC'' Data'!$B$2:$Z$9,2,FALSE))</f>
        <v/>
      </c>
      <c r="F97" s="363" t="str">
        <f>IFERROR(VLOOKUP(E97,'G-7 WaterC'' Data'!$C$4:$D$8,2,FALSE),"")</f>
        <v/>
      </c>
      <c r="G97" s="114"/>
      <c r="H97" s="363" t="str">
        <f>IFERROR(INDEX('G-7 WaterC'' Data'!$H$4:$L$8,MATCH(C97,'G-7 WaterC'' Data'!$B$4:$B$8,0),MATCH(G97,'G-7 WaterC'' Data'!$H$3:$L$3,0)),"")</f>
        <v/>
      </c>
      <c r="I97" s="54"/>
      <c r="J97" s="401" t="str">
        <f>IF(I97="","",IF(VLOOKUP(I97,'G-7 WaterC'' Data'!$AK$4:$AM$6,2,FALSE)=0,"Spatial Data Missing ⚠",VLOOKUP(I97,'G-7 WaterC'' Data'!$AK$4:$AM$6,2,FALSE)))</f>
        <v/>
      </c>
      <c r="K97" s="363" t="str">
        <f>IF(I97="","",IF(VLOOKUP(I97,'G-7 WaterC'' Data'!$AK$4:$AM$6,3,FALSE)=0,"Spatial Data Missing ⚠",VLOOKUP(I97,'G-7 WaterC'' Data'!$AK$4:$AM$6,3,FALSE)))</f>
        <v/>
      </c>
      <c r="L97" s="478" t="str">
        <f>IFERROR(INDEX('G-7 WaterC'' Data'!$O$3:$O$7,MATCH(G97,'G-7 WaterC'' Data'!$N$3:$N$7,0)),"")</f>
        <v/>
      </c>
      <c r="M97" s="55"/>
      <c r="N97" s="159"/>
      <c r="O97" s="370" t="str">
        <f t="shared" si="6"/>
        <v/>
      </c>
      <c r="P97" s="383" t="str">
        <f t="shared" si="7"/>
        <v/>
      </c>
      <c r="Q97" s="422" t="str">
        <f>IFERROR(IF(P97="Check Data ⚠","Check Data ⚠",VLOOKUP(P97,'G-4 Temporal multipliers'!$A$4:$C$37,3,FALSE)),"")</f>
        <v/>
      </c>
      <c r="R97" s="362" t="str">
        <f>IF(C97="","",VLOOKUP(C97,'G-7 WaterC'' Data'!$B$4:$G$8,4,FALSE))</f>
        <v/>
      </c>
      <c r="S97" s="370" t="str">
        <f t="shared" si="8"/>
        <v/>
      </c>
      <c r="T97" s="401" t="str">
        <f t="shared" si="9"/>
        <v/>
      </c>
      <c r="U97" s="363" t="str">
        <f>IF(C97="","",VLOOKUP(T97,'G-3 Multipliers'!$P$2:$Q$6,2,FALSE))</f>
        <v/>
      </c>
      <c r="V97" s="115"/>
      <c r="W97" s="363" t="str">
        <f>IF(V97="","",IF(VLOOKUP(V97,'G-7 WaterC'' Data'!$AA$4:$AB$7,2,FALSE)=0,"Spatial Data Missing ⚠",VLOOKUP(V97,'G-7 WaterC'' Data'!$AA$4:$AB$7,2,FALSE)))</f>
        <v/>
      </c>
      <c r="X97" s="60"/>
      <c r="Y97" s="363" t="str">
        <f>IF(X97="","",IF(VLOOKUP(X97,'G-7 WaterC'' Data'!$AD$4:$AE$14,2,FALSE)=0,"Enrcoachment Data Missing ⚠",VLOOKUP(X97,'G-7 WaterC'' Data'!$AD$4:$AE$14,2,FALSE)))</f>
        <v/>
      </c>
      <c r="Z97" s="115"/>
      <c r="AA97" s="363" t="str">
        <f>IF(Z97="","",IF(VLOOKUP(Z97,'G-7 WaterC'' Data'!$AO$4:$BO$7,2,FALSE)=0,"Spatial Data Missing ⚠",VLOOKUP(Z97,'G-7 WaterC'' Data'!$AO$4:$BO$7,2,FALSE)))</f>
        <v/>
      </c>
      <c r="AB97" s="405" t="str">
        <f t="shared" si="10"/>
        <v/>
      </c>
      <c r="AC97" s="405" t="str">
        <f t="shared" si="11"/>
        <v/>
      </c>
      <c r="AD97" s="117"/>
      <c r="AE97" s="692"/>
      <c r="AF97" s="119"/>
      <c r="AG97" s="120"/>
      <c r="AL97" s="30" t="str">
        <f>IFERROR(INDEX('G-7 WaterC'' Data'!$AZ$3:$AZ$7,MATCH(C97,'G-7 WaterC'' Data'!$AY$3:$AY$7,0)),"")</f>
        <v/>
      </c>
    </row>
    <row r="98" spans="2:38" ht="15">
      <c r="B98" s="110">
        <v>87</v>
      </c>
      <c r="C98" s="501"/>
      <c r="D98" s="139"/>
      <c r="E98" s="362" t="str">
        <f>IF(C98="","",VLOOKUP(C98,'G-7 WaterC'' Data'!$B$2:$Z$9,2,FALSE))</f>
        <v/>
      </c>
      <c r="F98" s="363" t="str">
        <f>IFERROR(VLOOKUP(E98,'G-7 WaterC'' Data'!$C$4:$D$8,2,FALSE),"")</f>
        <v/>
      </c>
      <c r="G98" s="114"/>
      <c r="H98" s="363" t="str">
        <f>IFERROR(INDEX('G-7 WaterC'' Data'!$H$4:$L$8,MATCH(C98,'G-7 WaterC'' Data'!$B$4:$B$8,0),MATCH(G98,'G-7 WaterC'' Data'!$H$3:$L$3,0)),"")</f>
        <v/>
      </c>
      <c r="I98" s="54"/>
      <c r="J98" s="401" t="str">
        <f>IF(I98="","",IF(VLOOKUP(I98,'G-7 WaterC'' Data'!$AK$4:$AM$6,2,FALSE)=0,"Spatial Data Missing ⚠",VLOOKUP(I98,'G-7 WaterC'' Data'!$AK$4:$AM$6,2,FALSE)))</f>
        <v/>
      </c>
      <c r="K98" s="363" t="str">
        <f>IF(I98="","",IF(VLOOKUP(I98,'G-7 WaterC'' Data'!$AK$4:$AM$6,3,FALSE)=0,"Spatial Data Missing ⚠",VLOOKUP(I98,'G-7 WaterC'' Data'!$AK$4:$AM$6,3,FALSE)))</f>
        <v/>
      </c>
      <c r="L98" s="478" t="str">
        <f>IFERROR(INDEX('G-7 WaterC'' Data'!$O$3:$O$7,MATCH(G98,'G-7 WaterC'' Data'!$N$3:$N$7,0)),"")</f>
        <v/>
      </c>
      <c r="M98" s="55"/>
      <c r="N98" s="159"/>
      <c r="O98" s="370" t="str">
        <f t="shared" si="6"/>
        <v/>
      </c>
      <c r="P98" s="383" t="str">
        <f t="shared" si="7"/>
        <v/>
      </c>
      <c r="Q98" s="422" t="str">
        <f>IFERROR(IF(P98="Check Data ⚠","Check Data ⚠",VLOOKUP(P98,'G-4 Temporal multipliers'!$A$4:$C$37,3,FALSE)),"")</f>
        <v/>
      </c>
      <c r="R98" s="362" t="str">
        <f>IF(C98="","",VLOOKUP(C98,'G-7 WaterC'' Data'!$B$4:$G$8,4,FALSE))</f>
        <v/>
      </c>
      <c r="S98" s="370" t="str">
        <f t="shared" si="8"/>
        <v/>
      </c>
      <c r="T98" s="401" t="str">
        <f t="shared" si="9"/>
        <v/>
      </c>
      <c r="U98" s="363" t="str">
        <f>IF(C98="","",VLOOKUP(T98,'G-3 Multipliers'!$P$2:$Q$6,2,FALSE))</f>
        <v/>
      </c>
      <c r="V98" s="115"/>
      <c r="W98" s="363" t="str">
        <f>IF(V98="","",IF(VLOOKUP(V98,'G-7 WaterC'' Data'!$AA$4:$AB$7,2,FALSE)=0,"Spatial Data Missing ⚠",VLOOKUP(V98,'G-7 WaterC'' Data'!$AA$4:$AB$7,2,FALSE)))</f>
        <v/>
      </c>
      <c r="X98" s="60"/>
      <c r="Y98" s="363" t="str">
        <f>IF(X98="","",IF(VLOOKUP(X98,'G-7 WaterC'' Data'!$AD$4:$AE$14,2,FALSE)=0,"Enrcoachment Data Missing ⚠",VLOOKUP(X98,'G-7 WaterC'' Data'!$AD$4:$AE$14,2,FALSE)))</f>
        <v/>
      </c>
      <c r="Z98" s="115"/>
      <c r="AA98" s="363" t="str">
        <f>IF(Z98="","",IF(VLOOKUP(Z98,'G-7 WaterC'' Data'!$AO$4:$BO$7,2,FALSE)=0,"Spatial Data Missing ⚠",VLOOKUP(Z98,'G-7 WaterC'' Data'!$AO$4:$BO$7,2,FALSE)))</f>
        <v/>
      </c>
      <c r="AB98" s="405" t="str">
        <f t="shared" si="10"/>
        <v/>
      </c>
      <c r="AC98" s="405" t="str">
        <f t="shared" si="11"/>
        <v/>
      </c>
      <c r="AD98" s="117"/>
      <c r="AE98" s="692"/>
      <c r="AF98" s="119"/>
      <c r="AG98" s="120"/>
      <c r="AL98" s="30" t="str">
        <f>IFERROR(INDEX('G-7 WaterC'' Data'!$AZ$3:$AZ$7,MATCH(C98,'G-7 WaterC'' Data'!$AY$3:$AY$7,0)),"")</f>
        <v/>
      </c>
    </row>
    <row r="99" spans="2:38" ht="15">
      <c r="B99" s="110">
        <v>88</v>
      </c>
      <c r="C99" s="501"/>
      <c r="D99" s="139"/>
      <c r="E99" s="362" t="str">
        <f>IF(C99="","",VLOOKUP(C99,'G-7 WaterC'' Data'!$B$2:$Z$9,2,FALSE))</f>
        <v/>
      </c>
      <c r="F99" s="363" t="str">
        <f>IFERROR(VLOOKUP(E99,'G-7 WaterC'' Data'!$C$4:$D$8,2,FALSE),"")</f>
        <v/>
      </c>
      <c r="G99" s="114"/>
      <c r="H99" s="363" t="str">
        <f>IFERROR(INDEX('G-7 WaterC'' Data'!$H$4:$L$8,MATCH(C99,'G-7 WaterC'' Data'!$B$4:$B$8,0),MATCH(G99,'G-7 WaterC'' Data'!$H$3:$L$3,0)),"")</f>
        <v/>
      </c>
      <c r="I99" s="54"/>
      <c r="J99" s="401" t="str">
        <f>IF(I99="","",IF(VLOOKUP(I99,'G-7 WaterC'' Data'!$AK$4:$AM$6,2,FALSE)=0,"Spatial Data Missing ⚠",VLOOKUP(I99,'G-7 WaterC'' Data'!$AK$4:$AM$6,2,FALSE)))</f>
        <v/>
      </c>
      <c r="K99" s="363" t="str">
        <f>IF(I99="","",IF(VLOOKUP(I99,'G-7 WaterC'' Data'!$AK$4:$AM$6,3,FALSE)=0,"Spatial Data Missing ⚠",VLOOKUP(I99,'G-7 WaterC'' Data'!$AK$4:$AM$6,3,FALSE)))</f>
        <v/>
      </c>
      <c r="L99" s="478" t="str">
        <f>IFERROR(INDEX('G-7 WaterC'' Data'!$O$3:$O$7,MATCH(G99,'G-7 WaterC'' Data'!$N$3:$N$7,0)),"")</f>
        <v/>
      </c>
      <c r="M99" s="55"/>
      <c r="N99" s="159"/>
      <c r="O99" s="370" t="str">
        <f t="shared" si="6"/>
        <v/>
      </c>
      <c r="P99" s="383" t="str">
        <f t="shared" si="7"/>
        <v/>
      </c>
      <c r="Q99" s="422" t="str">
        <f>IFERROR(IF(P99="Check Data ⚠","Check Data ⚠",VLOOKUP(P99,'G-4 Temporal multipliers'!$A$4:$C$37,3,FALSE)),"")</f>
        <v/>
      </c>
      <c r="R99" s="362" t="str">
        <f>IF(C99="","",VLOOKUP(C99,'G-7 WaterC'' Data'!$B$4:$G$8,4,FALSE))</f>
        <v/>
      </c>
      <c r="S99" s="370" t="str">
        <f t="shared" si="8"/>
        <v/>
      </c>
      <c r="T99" s="401" t="str">
        <f t="shared" si="9"/>
        <v/>
      </c>
      <c r="U99" s="363" t="str">
        <f>IF(C99="","",VLOOKUP(T99,'G-3 Multipliers'!$P$2:$Q$6,2,FALSE))</f>
        <v/>
      </c>
      <c r="V99" s="115"/>
      <c r="W99" s="363" t="str">
        <f>IF(V99="","",IF(VLOOKUP(V99,'G-7 WaterC'' Data'!$AA$4:$AB$7,2,FALSE)=0,"Spatial Data Missing ⚠",VLOOKUP(V99,'G-7 WaterC'' Data'!$AA$4:$AB$7,2,FALSE)))</f>
        <v/>
      </c>
      <c r="X99" s="60"/>
      <c r="Y99" s="363" t="str">
        <f>IF(X99="","",IF(VLOOKUP(X99,'G-7 WaterC'' Data'!$AD$4:$AE$14,2,FALSE)=0,"Enrcoachment Data Missing ⚠",VLOOKUP(X99,'G-7 WaterC'' Data'!$AD$4:$AE$14,2,FALSE)))</f>
        <v/>
      </c>
      <c r="Z99" s="115"/>
      <c r="AA99" s="363" t="str">
        <f>IF(Z99="","",IF(VLOOKUP(Z99,'G-7 WaterC'' Data'!$AO$4:$BO$7,2,FALSE)=0,"Spatial Data Missing ⚠",VLOOKUP(Z99,'G-7 WaterC'' Data'!$AO$4:$BO$7,2,FALSE)))</f>
        <v/>
      </c>
      <c r="AB99" s="405" t="str">
        <f t="shared" si="10"/>
        <v/>
      </c>
      <c r="AC99" s="405" t="str">
        <f t="shared" si="11"/>
        <v/>
      </c>
      <c r="AD99" s="117"/>
      <c r="AE99" s="692"/>
      <c r="AF99" s="119"/>
      <c r="AG99" s="120"/>
      <c r="AL99" s="30" t="str">
        <f>IFERROR(INDEX('G-7 WaterC'' Data'!$AZ$3:$AZ$7,MATCH(C99,'G-7 WaterC'' Data'!$AY$3:$AY$7,0)),"")</f>
        <v/>
      </c>
    </row>
    <row r="100" spans="2:38" ht="15">
      <c r="B100" s="110">
        <v>89</v>
      </c>
      <c r="C100" s="501"/>
      <c r="D100" s="139"/>
      <c r="E100" s="362" t="str">
        <f>IF(C100="","",VLOOKUP(C100,'G-7 WaterC'' Data'!$B$2:$Z$9,2,FALSE))</f>
        <v/>
      </c>
      <c r="F100" s="363" t="str">
        <f>IFERROR(VLOOKUP(E100,'G-7 WaterC'' Data'!$C$4:$D$8,2,FALSE),"")</f>
        <v/>
      </c>
      <c r="G100" s="114"/>
      <c r="H100" s="363" t="str">
        <f>IFERROR(INDEX('G-7 WaterC'' Data'!$H$4:$L$8,MATCH(C100,'G-7 WaterC'' Data'!$B$4:$B$8,0),MATCH(G100,'G-7 WaterC'' Data'!$H$3:$L$3,0)),"")</f>
        <v/>
      </c>
      <c r="I100" s="54"/>
      <c r="J100" s="401" t="str">
        <f>IF(I100="","",IF(VLOOKUP(I100,'G-7 WaterC'' Data'!$AK$4:$AM$6,2,FALSE)=0,"Spatial Data Missing ⚠",VLOOKUP(I100,'G-7 WaterC'' Data'!$AK$4:$AM$6,2,FALSE)))</f>
        <v/>
      </c>
      <c r="K100" s="363" t="str">
        <f>IF(I100="","",IF(VLOOKUP(I100,'G-7 WaterC'' Data'!$AK$4:$AM$6,3,FALSE)=0,"Spatial Data Missing ⚠",VLOOKUP(I100,'G-7 WaterC'' Data'!$AK$4:$AM$6,3,FALSE)))</f>
        <v/>
      </c>
      <c r="L100" s="478" t="str">
        <f>IFERROR(INDEX('G-7 WaterC'' Data'!$O$3:$O$7,MATCH(G100,'G-7 WaterC'' Data'!$N$3:$N$7,0)),"")</f>
        <v/>
      </c>
      <c r="M100" s="55"/>
      <c r="N100" s="159"/>
      <c r="O100" s="370" t="str">
        <f t="shared" si="6"/>
        <v/>
      </c>
      <c r="P100" s="383" t="str">
        <f t="shared" si="7"/>
        <v/>
      </c>
      <c r="Q100" s="422" t="str">
        <f>IFERROR(IF(P100="Check Data ⚠","Check Data ⚠",VLOOKUP(P100,'G-4 Temporal multipliers'!$A$4:$C$37,3,FALSE)),"")</f>
        <v/>
      </c>
      <c r="R100" s="362" t="str">
        <f>IF(C100="","",VLOOKUP(C100,'G-7 WaterC'' Data'!$B$4:$G$8,4,FALSE))</f>
        <v/>
      </c>
      <c r="S100" s="370" t="str">
        <f t="shared" si="8"/>
        <v/>
      </c>
      <c r="T100" s="401" t="str">
        <f t="shared" si="9"/>
        <v/>
      </c>
      <c r="U100" s="363" t="str">
        <f>IF(C100="","",VLOOKUP(T100,'G-3 Multipliers'!$P$2:$Q$6,2,FALSE))</f>
        <v/>
      </c>
      <c r="V100" s="115"/>
      <c r="W100" s="363" t="str">
        <f>IF(V100="","",IF(VLOOKUP(V100,'G-7 WaterC'' Data'!$AA$4:$AB$7,2,FALSE)=0,"Spatial Data Missing ⚠",VLOOKUP(V100,'G-7 WaterC'' Data'!$AA$4:$AB$7,2,FALSE)))</f>
        <v/>
      </c>
      <c r="X100" s="60"/>
      <c r="Y100" s="363" t="str">
        <f>IF(X100="","",IF(VLOOKUP(X100,'G-7 WaterC'' Data'!$AD$4:$AE$14,2,FALSE)=0,"Enrcoachment Data Missing ⚠",VLOOKUP(X100,'G-7 WaterC'' Data'!$AD$4:$AE$14,2,FALSE)))</f>
        <v/>
      </c>
      <c r="Z100" s="115"/>
      <c r="AA100" s="363" t="str">
        <f>IF(Z100="","",IF(VLOOKUP(Z100,'G-7 WaterC'' Data'!$AO$4:$BO$7,2,FALSE)=0,"Spatial Data Missing ⚠",VLOOKUP(Z100,'G-7 WaterC'' Data'!$AO$4:$BO$7,2,FALSE)))</f>
        <v/>
      </c>
      <c r="AB100" s="405" t="str">
        <f t="shared" si="10"/>
        <v/>
      </c>
      <c r="AC100" s="405" t="str">
        <f t="shared" si="11"/>
        <v/>
      </c>
      <c r="AD100" s="117"/>
      <c r="AE100" s="692"/>
      <c r="AF100" s="119"/>
      <c r="AG100" s="120"/>
      <c r="AL100" s="30" t="str">
        <f>IFERROR(INDEX('G-7 WaterC'' Data'!$AZ$3:$AZ$7,MATCH(C100,'G-7 WaterC'' Data'!$AY$3:$AY$7,0)),"")</f>
        <v/>
      </c>
    </row>
    <row r="101" spans="2:38" ht="15">
      <c r="B101" s="110">
        <v>90</v>
      </c>
      <c r="C101" s="501"/>
      <c r="D101" s="139"/>
      <c r="E101" s="362" t="str">
        <f>IF(C101="","",VLOOKUP(C101,'G-7 WaterC'' Data'!$B$2:$Z$9,2,FALSE))</f>
        <v/>
      </c>
      <c r="F101" s="363" t="str">
        <f>IFERROR(VLOOKUP(E101,'G-7 WaterC'' Data'!$C$4:$D$8,2,FALSE),"")</f>
        <v/>
      </c>
      <c r="G101" s="114"/>
      <c r="H101" s="363" t="str">
        <f>IFERROR(INDEX('G-7 WaterC'' Data'!$H$4:$L$8,MATCH(C101,'G-7 WaterC'' Data'!$B$4:$B$8,0),MATCH(G101,'G-7 WaterC'' Data'!$H$3:$L$3,0)),"")</f>
        <v/>
      </c>
      <c r="I101" s="54"/>
      <c r="J101" s="401" t="str">
        <f>IF(I101="","",IF(VLOOKUP(I101,'G-7 WaterC'' Data'!$AK$4:$AM$6,2,FALSE)=0,"Spatial Data Missing ⚠",VLOOKUP(I101,'G-7 WaterC'' Data'!$AK$4:$AM$6,2,FALSE)))</f>
        <v/>
      </c>
      <c r="K101" s="363" t="str">
        <f>IF(I101="","",IF(VLOOKUP(I101,'G-7 WaterC'' Data'!$AK$4:$AM$6,3,FALSE)=0,"Spatial Data Missing ⚠",VLOOKUP(I101,'G-7 WaterC'' Data'!$AK$4:$AM$6,3,FALSE)))</f>
        <v/>
      </c>
      <c r="L101" s="478" t="str">
        <f>IFERROR(INDEX('G-7 WaterC'' Data'!$O$3:$O$7,MATCH(G101,'G-7 WaterC'' Data'!$N$3:$N$7,0)),"")</f>
        <v/>
      </c>
      <c r="M101" s="55"/>
      <c r="N101" s="159"/>
      <c r="O101" s="370" t="str">
        <f t="shared" si="6"/>
        <v/>
      </c>
      <c r="P101" s="383" t="str">
        <f t="shared" si="7"/>
        <v/>
      </c>
      <c r="Q101" s="422" t="str">
        <f>IFERROR(IF(P101="Check Data ⚠","Check Data ⚠",VLOOKUP(P101,'G-4 Temporal multipliers'!$A$4:$C$37,3,FALSE)),"")</f>
        <v/>
      </c>
      <c r="R101" s="362" t="str">
        <f>IF(C101="","",VLOOKUP(C101,'G-7 WaterC'' Data'!$B$4:$G$8,4,FALSE))</f>
        <v/>
      </c>
      <c r="S101" s="370" t="str">
        <f t="shared" si="8"/>
        <v/>
      </c>
      <c r="T101" s="401" t="str">
        <f t="shared" si="9"/>
        <v/>
      </c>
      <c r="U101" s="363" t="str">
        <f>IF(C101="","",VLOOKUP(T101,'G-3 Multipliers'!$P$2:$Q$6,2,FALSE))</f>
        <v/>
      </c>
      <c r="V101" s="115"/>
      <c r="W101" s="363" t="str">
        <f>IF(V101="","",IF(VLOOKUP(V101,'G-7 WaterC'' Data'!$AA$4:$AB$7,2,FALSE)=0,"Spatial Data Missing ⚠",VLOOKUP(V101,'G-7 WaterC'' Data'!$AA$4:$AB$7,2,FALSE)))</f>
        <v/>
      </c>
      <c r="X101" s="60"/>
      <c r="Y101" s="363" t="str">
        <f>IF(X101="","",IF(VLOOKUP(X101,'G-7 WaterC'' Data'!$AD$4:$AE$14,2,FALSE)=0,"Enrcoachment Data Missing ⚠",VLOOKUP(X101,'G-7 WaterC'' Data'!$AD$4:$AE$14,2,FALSE)))</f>
        <v/>
      </c>
      <c r="Z101" s="115"/>
      <c r="AA101" s="363" t="str">
        <f>IF(Z101="","",IF(VLOOKUP(Z101,'G-7 WaterC'' Data'!$AO$4:$BO$7,2,FALSE)=0,"Spatial Data Missing ⚠",VLOOKUP(Z101,'G-7 WaterC'' Data'!$AO$4:$BO$7,2,FALSE)))</f>
        <v/>
      </c>
      <c r="AB101" s="405" t="str">
        <f t="shared" si="10"/>
        <v/>
      </c>
      <c r="AC101" s="405" t="str">
        <f t="shared" si="11"/>
        <v/>
      </c>
      <c r="AD101" s="117"/>
      <c r="AE101" s="692"/>
      <c r="AF101" s="119"/>
      <c r="AG101" s="120"/>
      <c r="AL101" s="30" t="str">
        <f>IFERROR(INDEX('G-7 WaterC'' Data'!$AZ$3:$AZ$7,MATCH(C101,'G-7 WaterC'' Data'!$AY$3:$AY$7,0)),"")</f>
        <v/>
      </c>
    </row>
    <row r="102" spans="2:38" ht="15">
      <c r="B102" s="110">
        <v>91</v>
      </c>
      <c r="C102" s="501"/>
      <c r="D102" s="139"/>
      <c r="E102" s="362" t="str">
        <f>IF(C102="","",VLOOKUP(C102,'G-7 WaterC'' Data'!$B$2:$Z$9,2,FALSE))</f>
        <v/>
      </c>
      <c r="F102" s="363" t="str">
        <f>IFERROR(VLOOKUP(E102,'G-7 WaterC'' Data'!$C$4:$D$8,2,FALSE),"")</f>
        <v/>
      </c>
      <c r="G102" s="114"/>
      <c r="H102" s="363" t="str">
        <f>IFERROR(INDEX('G-7 WaterC'' Data'!$H$4:$L$8,MATCH(C102,'G-7 WaterC'' Data'!$B$4:$B$8,0),MATCH(G102,'G-7 WaterC'' Data'!$H$3:$L$3,0)),"")</f>
        <v/>
      </c>
      <c r="I102" s="54"/>
      <c r="J102" s="401" t="str">
        <f>IF(I102="","",IF(VLOOKUP(I102,'G-7 WaterC'' Data'!$AK$4:$AM$6,2,FALSE)=0,"Spatial Data Missing ⚠",VLOOKUP(I102,'G-7 WaterC'' Data'!$AK$4:$AM$6,2,FALSE)))</f>
        <v/>
      </c>
      <c r="K102" s="363" t="str">
        <f>IF(I102="","",IF(VLOOKUP(I102,'G-7 WaterC'' Data'!$AK$4:$AM$6,3,FALSE)=0,"Spatial Data Missing ⚠",VLOOKUP(I102,'G-7 WaterC'' Data'!$AK$4:$AM$6,3,FALSE)))</f>
        <v/>
      </c>
      <c r="L102" s="478" t="str">
        <f>IFERROR(INDEX('G-7 WaterC'' Data'!$O$3:$O$7,MATCH(G102,'G-7 WaterC'' Data'!$N$3:$N$7,0)),"")</f>
        <v/>
      </c>
      <c r="M102" s="55"/>
      <c r="N102" s="159"/>
      <c r="O102" s="370" t="str">
        <f t="shared" si="6"/>
        <v/>
      </c>
      <c r="P102" s="383" t="str">
        <f t="shared" si="7"/>
        <v/>
      </c>
      <c r="Q102" s="422" t="str">
        <f>IFERROR(IF(P102="Check Data ⚠","Check Data ⚠",VLOOKUP(P102,'G-4 Temporal multipliers'!$A$4:$C$37,3,FALSE)),"")</f>
        <v/>
      </c>
      <c r="R102" s="362" t="str">
        <f>IF(C102="","",VLOOKUP(C102,'G-7 WaterC'' Data'!$B$4:$G$8,4,FALSE))</f>
        <v/>
      </c>
      <c r="S102" s="370" t="str">
        <f t="shared" si="8"/>
        <v/>
      </c>
      <c r="T102" s="401" t="str">
        <f t="shared" si="9"/>
        <v/>
      </c>
      <c r="U102" s="363" t="str">
        <f>IF(C102="","",VLOOKUP(T102,'G-3 Multipliers'!$P$2:$Q$6,2,FALSE))</f>
        <v/>
      </c>
      <c r="V102" s="115"/>
      <c r="W102" s="363" t="str">
        <f>IF(V102="","",IF(VLOOKUP(V102,'G-7 WaterC'' Data'!$AA$4:$AB$7,2,FALSE)=0,"Spatial Data Missing ⚠",VLOOKUP(V102,'G-7 WaterC'' Data'!$AA$4:$AB$7,2,FALSE)))</f>
        <v/>
      </c>
      <c r="X102" s="60"/>
      <c r="Y102" s="363" t="str">
        <f>IF(X102="","",IF(VLOOKUP(X102,'G-7 WaterC'' Data'!$AD$4:$AE$14,2,FALSE)=0,"Enrcoachment Data Missing ⚠",VLOOKUP(X102,'G-7 WaterC'' Data'!$AD$4:$AE$14,2,FALSE)))</f>
        <v/>
      </c>
      <c r="Z102" s="115"/>
      <c r="AA102" s="363" t="str">
        <f>IF(Z102="","",IF(VLOOKUP(Z102,'G-7 WaterC'' Data'!$AO$4:$BO$7,2,FALSE)=0,"Spatial Data Missing ⚠",VLOOKUP(Z102,'G-7 WaterC'' Data'!$AO$4:$BO$7,2,FALSE)))</f>
        <v/>
      </c>
      <c r="AB102" s="405" t="str">
        <f t="shared" si="10"/>
        <v/>
      </c>
      <c r="AC102" s="405" t="str">
        <f t="shared" si="11"/>
        <v/>
      </c>
      <c r="AD102" s="117"/>
      <c r="AE102" s="692"/>
      <c r="AF102" s="119"/>
      <c r="AG102" s="120"/>
      <c r="AL102" s="30" t="str">
        <f>IFERROR(INDEX('G-7 WaterC'' Data'!$AZ$3:$AZ$7,MATCH(C102,'G-7 WaterC'' Data'!$AY$3:$AY$7,0)),"")</f>
        <v/>
      </c>
    </row>
    <row r="103" spans="2:38" ht="15">
      <c r="B103" s="110">
        <v>92</v>
      </c>
      <c r="C103" s="501"/>
      <c r="D103" s="139"/>
      <c r="E103" s="362" t="str">
        <f>IF(C103="","",VLOOKUP(C103,'G-7 WaterC'' Data'!$B$2:$Z$9,2,FALSE))</f>
        <v/>
      </c>
      <c r="F103" s="363" t="str">
        <f>IFERROR(VLOOKUP(E103,'G-7 WaterC'' Data'!$C$4:$D$8,2,FALSE),"")</f>
        <v/>
      </c>
      <c r="G103" s="114"/>
      <c r="H103" s="363" t="str">
        <f>IFERROR(INDEX('G-7 WaterC'' Data'!$H$4:$L$8,MATCH(C103,'G-7 WaterC'' Data'!$B$4:$B$8,0),MATCH(G103,'G-7 WaterC'' Data'!$H$3:$L$3,0)),"")</f>
        <v/>
      </c>
      <c r="I103" s="54"/>
      <c r="J103" s="401" t="str">
        <f>IF(I103="","",IF(VLOOKUP(I103,'G-7 WaterC'' Data'!$AK$4:$AM$6,2,FALSE)=0,"Spatial Data Missing ⚠",VLOOKUP(I103,'G-7 WaterC'' Data'!$AK$4:$AM$6,2,FALSE)))</f>
        <v/>
      </c>
      <c r="K103" s="363" t="str">
        <f>IF(I103="","",IF(VLOOKUP(I103,'G-7 WaterC'' Data'!$AK$4:$AM$6,3,FALSE)=0,"Spatial Data Missing ⚠",VLOOKUP(I103,'G-7 WaterC'' Data'!$AK$4:$AM$6,3,FALSE)))</f>
        <v/>
      </c>
      <c r="L103" s="478" t="str">
        <f>IFERROR(INDEX('G-7 WaterC'' Data'!$O$3:$O$7,MATCH(G103,'G-7 WaterC'' Data'!$N$3:$N$7,0)),"")</f>
        <v/>
      </c>
      <c r="M103" s="55"/>
      <c r="N103" s="159"/>
      <c r="O103" s="370" t="str">
        <f t="shared" si="6"/>
        <v/>
      </c>
      <c r="P103" s="383" t="str">
        <f t="shared" si="7"/>
        <v/>
      </c>
      <c r="Q103" s="422" t="str">
        <f>IFERROR(IF(P103="Check Data ⚠","Check Data ⚠",VLOOKUP(P103,'G-4 Temporal multipliers'!$A$4:$C$37,3,FALSE)),"")</f>
        <v/>
      </c>
      <c r="R103" s="362" t="str">
        <f>IF(C103="","",VLOOKUP(C103,'G-7 WaterC'' Data'!$B$4:$G$8,4,FALSE))</f>
        <v/>
      </c>
      <c r="S103" s="370" t="str">
        <f t="shared" si="8"/>
        <v/>
      </c>
      <c r="T103" s="401" t="str">
        <f t="shared" si="9"/>
        <v/>
      </c>
      <c r="U103" s="363" t="str">
        <f>IF(C103="","",VLOOKUP(T103,'G-3 Multipliers'!$P$2:$Q$6,2,FALSE))</f>
        <v/>
      </c>
      <c r="V103" s="115"/>
      <c r="W103" s="363" t="str">
        <f>IF(V103="","",IF(VLOOKUP(V103,'G-7 WaterC'' Data'!$AA$4:$AB$7,2,FALSE)=0,"Spatial Data Missing ⚠",VLOOKUP(V103,'G-7 WaterC'' Data'!$AA$4:$AB$7,2,FALSE)))</f>
        <v/>
      </c>
      <c r="X103" s="60"/>
      <c r="Y103" s="363" t="str">
        <f>IF(X103="","",IF(VLOOKUP(X103,'G-7 WaterC'' Data'!$AD$4:$AE$14,2,FALSE)=0,"Enrcoachment Data Missing ⚠",VLOOKUP(X103,'G-7 WaterC'' Data'!$AD$4:$AE$14,2,FALSE)))</f>
        <v/>
      </c>
      <c r="Z103" s="115"/>
      <c r="AA103" s="363" t="str">
        <f>IF(Z103="","",IF(VLOOKUP(Z103,'G-7 WaterC'' Data'!$AO$4:$BO$7,2,FALSE)=0,"Spatial Data Missing ⚠",VLOOKUP(Z103,'G-7 WaterC'' Data'!$AO$4:$BO$7,2,FALSE)))</f>
        <v/>
      </c>
      <c r="AB103" s="405" t="str">
        <f t="shared" si="10"/>
        <v/>
      </c>
      <c r="AC103" s="405" t="str">
        <f t="shared" si="11"/>
        <v/>
      </c>
      <c r="AD103" s="117"/>
      <c r="AE103" s="692"/>
      <c r="AF103" s="119"/>
      <c r="AG103" s="120"/>
      <c r="AL103" s="30" t="str">
        <f>IFERROR(INDEX('G-7 WaterC'' Data'!$AZ$3:$AZ$7,MATCH(C103,'G-7 WaterC'' Data'!$AY$3:$AY$7,0)),"")</f>
        <v/>
      </c>
    </row>
    <row r="104" spans="2:38" ht="15">
      <c r="B104" s="110">
        <v>93</v>
      </c>
      <c r="C104" s="501"/>
      <c r="D104" s="139"/>
      <c r="E104" s="362" t="str">
        <f>IF(C104="","",VLOOKUP(C104,'G-7 WaterC'' Data'!$B$2:$Z$9,2,FALSE))</f>
        <v/>
      </c>
      <c r="F104" s="363" t="str">
        <f>IFERROR(VLOOKUP(E104,'G-7 WaterC'' Data'!$C$4:$D$8,2,FALSE),"")</f>
        <v/>
      </c>
      <c r="G104" s="114"/>
      <c r="H104" s="363" t="str">
        <f>IFERROR(INDEX('G-7 WaterC'' Data'!$H$4:$L$8,MATCH(C104,'G-7 WaterC'' Data'!$B$4:$B$8,0),MATCH(G104,'G-7 WaterC'' Data'!$H$3:$L$3,0)),"")</f>
        <v/>
      </c>
      <c r="I104" s="54"/>
      <c r="J104" s="401" t="str">
        <f>IF(I104="","",IF(VLOOKUP(I104,'G-7 WaterC'' Data'!$AK$4:$AM$6,2,FALSE)=0,"Spatial Data Missing ⚠",VLOOKUP(I104,'G-7 WaterC'' Data'!$AK$4:$AM$6,2,FALSE)))</f>
        <v/>
      </c>
      <c r="K104" s="363" t="str">
        <f>IF(I104="","",IF(VLOOKUP(I104,'G-7 WaterC'' Data'!$AK$4:$AM$6,3,FALSE)=0,"Spatial Data Missing ⚠",VLOOKUP(I104,'G-7 WaterC'' Data'!$AK$4:$AM$6,3,FALSE)))</f>
        <v/>
      </c>
      <c r="L104" s="478" t="str">
        <f>IFERROR(INDEX('G-7 WaterC'' Data'!$O$3:$O$7,MATCH(G104,'G-7 WaterC'' Data'!$N$3:$N$7,0)),"")</f>
        <v/>
      </c>
      <c r="M104" s="55"/>
      <c r="N104" s="159"/>
      <c r="O104" s="370" t="str">
        <f t="shared" si="6"/>
        <v/>
      </c>
      <c r="P104" s="383" t="str">
        <f t="shared" si="7"/>
        <v/>
      </c>
      <c r="Q104" s="422" t="str">
        <f>IFERROR(IF(P104="Check Data ⚠","Check Data ⚠",VLOOKUP(P104,'G-4 Temporal multipliers'!$A$4:$C$37,3,FALSE)),"")</f>
        <v/>
      </c>
      <c r="R104" s="362" t="str">
        <f>IF(C104="","",VLOOKUP(C104,'G-7 WaterC'' Data'!$B$4:$G$8,4,FALSE))</f>
        <v/>
      </c>
      <c r="S104" s="370" t="str">
        <f t="shared" si="8"/>
        <v/>
      </c>
      <c r="T104" s="401" t="str">
        <f t="shared" si="9"/>
        <v/>
      </c>
      <c r="U104" s="363" t="str">
        <f>IF(C104="","",VLOOKUP(T104,'G-3 Multipliers'!$P$2:$Q$6,2,FALSE))</f>
        <v/>
      </c>
      <c r="V104" s="115"/>
      <c r="W104" s="363" t="str">
        <f>IF(V104="","",IF(VLOOKUP(V104,'G-7 WaterC'' Data'!$AA$4:$AB$7,2,FALSE)=0,"Spatial Data Missing ⚠",VLOOKUP(V104,'G-7 WaterC'' Data'!$AA$4:$AB$7,2,FALSE)))</f>
        <v/>
      </c>
      <c r="X104" s="60"/>
      <c r="Y104" s="363" t="str">
        <f>IF(X104="","",IF(VLOOKUP(X104,'G-7 WaterC'' Data'!$AD$4:$AE$14,2,FALSE)=0,"Enrcoachment Data Missing ⚠",VLOOKUP(X104,'G-7 WaterC'' Data'!$AD$4:$AE$14,2,FALSE)))</f>
        <v/>
      </c>
      <c r="Z104" s="115"/>
      <c r="AA104" s="363" t="str">
        <f>IF(Z104="","",IF(VLOOKUP(Z104,'G-7 WaterC'' Data'!$AO$4:$BO$7,2,FALSE)=0,"Spatial Data Missing ⚠",VLOOKUP(Z104,'G-7 WaterC'' Data'!$AO$4:$BO$7,2,FALSE)))</f>
        <v/>
      </c>
      <c r="AB104" s="405" t="str">
        <f t="shared" si="10"/>
        <v/>
      </c>
      <c r="AC104" s="405" t="str">
        <f t="shared" si="11"/>
        <v/>
      </c>
      <c r="AD104" s="117"/>
      <c r="AE104" s="692"/>
      <c r="AF104" s="119"/>
      <c r="AG104" s="120"/>
      <c r="AL104" s="30" t="str">
        <f>IFERROR(INDEX('G-7 WaterC'' Data'!$AZ$3:$AZ$7,MATCH(C104,'G-7 WaterC'' Data'!$AY$3:$AY$7,0)),"")</f>
        <v/>
      </c>
    </row>
    <row r="105" spans="2:38" ht="15">
      <c r="B105" s="110">
        <v>94</v>
      </c>
      <c r="C105" s="501"/>
      <c r="D105" s="139"/>
      <c r="E105" s="362" t="str">
        <f>IF(C105="","",VLOOKUP(C105,'G-7 WaterC'' Data'!$B$2:$Z$9,2,FALSE))</f>
        <v/>
      </c>
      <c r="F105" s="363" t="str">
        <f>IFERROR(VLOOKUP(E105,'G-7 WaterC'' Data'!$C$4:$D$8,2,FALSE),"")</f>
        <v/>
      </c>
      <c r="G105" s="114"/>
      <c r="H105" s="363" t="str">
        <f>IFERROR(INDEX('G-7 WaterC'' Data'!$H$4:$L$8,MATCH(C105,'G-7 WaterC'' Data'!$B$4:$B$8,0),MATCH(G105,'G-7 WaterC'' Data'!$H$3:$L$3,0)),"")</f>
        <v/>
      </c>
      <c r="I105" s="54"/>
      <c r="J105" s="401" t="str">
        <f>IF(I105="","",IF(VLOOKUP(I105,'G-7 WaterC'' Data'!$AK$4:$AM$6,2,FALSE)=0,"Spatial Data Missing ⚠",VLOOKUP(I105,'G-7 WaterC'' Data'!$AK$4:$AM$6,2,FALSE)))</f>
        <v/>
      </c>
      <c r="K105" s="363" t="str">
        <f>IF(I105="","",IF(VLOOKUP(I105,'G-7 WaterC'' Data'!$AK$4:$AM$6,3,FALSE)=0,"Spatial Data Missing ⚠",VLOOKUP(I105,'G-7 WaterC'' Data'!$AK$4:$AM$6,3,FALSE)))</f>
        <v/>
      </c>
      <c r="L105" s="478" t="str">
        <f>IFERROR(INDEX('G-7 WaterC'' Data'!$O$3:$O$7,MATCH(G105,'G-7 WaterC'' Data'!$N$3:$N$7,0)),"")</f>
        <v/>
      </c>
      <c r="M105" s="55"/>
      <c r="N105" s="159"/>
      <c r="O105" s="370" t="str">
        <f t="shared" si="6"/>
        <v/>
      </c>
      <c r="P105" s="383" t="str">
        <f t="shared" si="7"/>
        <v/>
      </c>
      <c r="Q105" s="422" t="str">
        <f>IFERROR(IF(P105="Check Data ⚠","Check Data ⚠",VLOOKUP(P105,'G-4 Temporal multipliers'!$A$4:$C$37,3,FALSE)),"")</f>
        <v/>
      </c>
      <c r="R105" s="362" t="str">
        <f>IF(C105="","",VLOOKUP(C105,'G-7 WaterC'' Data'!$B$4:$G$8,4,FALSE))</f>
        <v/>
      </c>
      <c r="S105" s="370" t="str">
        <f t="shared" si="8"/>
        <v/>
      </c>
      <c r="T105" s="401" t="str">
        <f t="shared" si="9"/>
        <v/>
      </c>
      <c r="U105" s="363" t="str">
        <f>IF(C105="","",VLOOKUP(T105,'G-3 Multipliers'!$P$2:$Q$6,2,FALSE))</f>
        <v/>
      </c>
      <c r="V105" s="115"/>
      <c r="W105" s="363" t="str">
        <f>IF(V105="","",IF(VLOOKUP(V105,'G-7 WaterC'' Data'!$AA$4:$AB$7,2,FALSE)=0,"Spatial Data Missing ⚠",VLOOKUP(V105,'G-7 WaterC'' Data'!$AA$4:$AB$7,2,FALSE)))</f>
        <v/>
      </c>
      <c r="X105" s="60"/>
      <c r="Y105" s="363" t="str">
        <f>IF(X105="","",IF(VLOOKUP(X105,'G-7 WaterC'' Data'!$AD$4:$AE$14,2,FALSE)=0,"Enrcoachment Data Missing ⚠",VLOOKUP(X105,'G-7 WaterC'' Data'!$AD$4:$AE$14,2,FALSE)))</f>
        <v/>
      </c>
      <c r="Z105" s="115"/>
      <c r="AA105" s="363" t="str">
        <f>IF(Z105="","",IF(VLOOKUP(Z105,'G-7 WaterC'' Data'!$AO$4:$BO$7,2,FALSE)=0,"Spatial Data Missing ⚠",VLOOKUP(Z105,'G-7 WaterC'' Data'!$AO$4:$BO$7,2,FALSE)))</f>
        <v/>
      </c>
      <c r="AB105" s="405" t="str">
        <f t="shared" si="10"/>
        <v/>
      </c>
      <c r="AC105" s="405" t="str">
        <f t="shared" si="11"/>
        <v/>
      </c>
      <c r="AD105" s="117"/>
      <c r="AE105" s="692"/>
      <c r="AF105" s="119"/>
      <c r="AG105" s="120"/>
      <c r="AL105" s="30" t="str">
        <f>IFERROR(INDEX('G-7 WaterC'' Data'!$AZ$3:$AZ$7,MATCH(C105,'G-7 WaterC'' Data'!$AY$3:$AY$7,0)),"")</f>
        <v/>
      </c>
    </row>
    <row r="106" spans="2:38" ht="15">
      <c r="B106" s="110">
        <v>95</v>
      </c>
      <c r="C106" s="501"/>
      <c r="D106" s="139"/>
      <c r="E106" s="362" t="str">
        <f>IF(C106="","",VLOOKUP(C106,'G-7 WaterC'' Data'!$B$2:$Z$9,2,FALSE))</f>
        <v/>
      </c>
      <c r="F106" s="363" t="str">
        <f>IFERROR(VLOOKUP(E106,'G-7 WaterC'' Data'!$C$4:$D$8,2,FALSE),"")</f>
        <v/>
      </c>
      <c r="G106" s="114"/>
      <c r="H106" s="363" t="str">
        <f>IFERROR(INDEX('G-7 WaterC'' Data'!$H$4:$L$8,MATCH(C106,'G-7 WaterC'' Data'!$B$4:$B$8,0),MATCH(G106,'G-7 WaterC'' Data'!$H$3:$L$3,0)),"")</f>
        <v/>
      </c>
      <c r="I106" s="54"/>
      <c r="J106" s="401" t="str">
        <f>IF(I106="","",IF(VLOOKUP(I106,'G-7 WaterC'' Data'!$AK$4:$AM$6,2,FALSE)=0,"Spatial Data Missing ⚠",VLOOKUP(I106,'G-7 WaterC'' Data'!$AK$4:$AM$6,2,FALSE)))</f>
        <v/>
      </c>
      <c r="K106" s="363" t="str">
        <f>IF(I106="","",IF(VLOOKUP(I106,'G-7 WaterC'' Data'!$AK$4:$AM$6,3,FALSE)=0,"Spatial Data Missing ⚠",VLOOKUP(I106,'G-7 WaterC'' Data'!$AK$4:$AM$6,3,FALSE)))</f>
        <v/>
      </c>
      <c r="L106" s="478" t="str">
        <f>IFERROR(INDEX('G-7 WaterC'' Data'!$O$3:$O$7,MATCH(G106,'G-7 WaterC'' Data'!$N$3:$N$7,0)),"")</f>
        <v/>
      </c>
      <c r="M106" s="55"/>
      <c r="N106" s="159"/>
      <c r="O106" s="370" t="str">
        <f t="shared" si="6"/>
        <v/>
      </c>
      <c r="P106" s="383" t="str">
        <f t="shared" si="7"/>
        <v/>
      </c>
      <c r="Q106" s="422" t="str">
        <f>IFERROR(IF(P106="Check Data ⚠","Check Data ⚠",VLOOKUP(P106,'G-4 Temporal multipliers'!$A$4:$C$37,3,FALSE)),"")</f>
        <v/>
      </c>
      <c r="R106" s="362" t="str">
        <f>IF(C106="","",VLOOKUP(C106,'G-7 WaterC'' Data'!$B$4:$G$8,4,FALSE))</f>
        <v/>
      </c>
      <c r="S106" s="370" t="str">
        <f t="shared" si="8"/>
        <v/>
      </c>
      <c r="T106" s="401" t="str">
        <f t="shared" si="9"/>
        <v/>
      </c>
      <c r="U106" s="363" t="str">
        <f>IF(C106="","",VLOOKUP(T106,'G-3 Multipliers'!$P$2:$Q$6,2,FALSE))</f>
        <v/>
      </c>
      <c r="V106" s="115"/>
      <c r="W106" s="363" t="str">
        <f>IF(V106="","",IF(VLOOKUP(V106,'G-7 WaterC'' Data'!$AA$4:$AB$7,2,FALSE)=0,"Spatial Data Missing ⚠",VLOOKUP(V106,'G-7 WaterC'' Data'!$AA$4:$AB$7,2,FALSE)))</f>
        <v/>
      </c>
      <c r="X106" s="60"/>
      <c r="Y106" s="363" t="str">
        <f>IF(X106="","",IF(VLOOKUP(X106,'G-7 WaterC'' Data'!$AD$4:$AE$14,2,FALSE)=0,"Enrcoachment Data Missing ⚠",VLOOKUP(X106,'G-7 WaterC'' Data'!$AD$4:$AE$14,2,FALSE)))</f>
        <v/>
      </c>
      <c r="Z106" s="115"/>
      <c r="AA106" s="363" t="str">
        <f>IF(Z106="","",IF(VLOOKUP(Z106,'G-7 WaterC'' Data'!$AO$4:$BO$7,2,FALSE)=0,"Spatial Data Missing ⚠",VLOOKUP(Z106,'G-7 WaterC'' Data'!$AO$4:$BO$7,2,FALSE)))</f>
        <v/>
      </c>
      <c r="AB106" s="405" t="str">
        <f t="shared" si="10"/>
        <v/>
      </c>
      <c r="AC106" s="405" t="str">
        <f t="shared" si="11"/>
        <v/>
      </c>
      <c r="AD106" s="117"/>
      <c r="AE106" s="692"/>
      <c r="AF106" s="119"/>
      <c r="AG106" s="120"/>
      <c r="AL106" s="30" t="str">
        <f>IFERROR(INDEX('G-7 WaterC'' Data'!$AZ$3:$AZ$7,MATCH(C106,'G-7 WaterC'' Data'!$AY$3:$AY$7,0)),"")</f>
        <v/>
      </c>
    </row>
    <row r="107" spans="2:38" ht="15">
      <c r="B107" s="110">
        <v>96</v>
      </c>
      <c r="C107" s="501"/>
      <c r="D107" s="139"/>
      <c r="E107" s="362" t="str">
        <f>IF(C107="","",VLOOKUP(C107,'G-7 WaterC'' Data'!$B$2:$Z$9,2,FALSE))</f>
        <v/>
      </c>
      <c r="F107" s="363" t="str">
        <f>IFERROR(VLOOKUP(E107,'G-7 WaterC'' Data'!$C$4:$D$8,2,FALSE),"")</f>
        <v/>
      </c>
      <c r="G107" s="114"/>
      <c r="H107" s="363" t="str">
        <f>IFERROR(INDEX('G-7 WaterC'' Data'!$H$4:$L$8,MATCH(C107,'G-7 WaterC'' Data'!$B$4:$B$8,0),MATCH(G107,'G-7 WaterC'' Data'!$H$3:$L$3,0)),"")</f>
        <v/>
      </c>
      <c r="I107" s="54"/>
      <c r="J107" s="401" t="str">
        <f>IF(I107="","",IF(VLOOKUP(I107,'G-7 WaterC'' Data'!$AK$4:$AM$6,2,FALSE)=0,"Spatial Data Missing ⚠",VLOOKUP(I107,'G-7 WaterC'' Data'!$AK$4:$AM$6,2,FALSE)))</f>
        <v/>
      </c>
      <c r="K107" s="363" t="str">
        <f>IF(I107="","",IF(VLOOKUP(I107,'G-7 WaterC'' Data'!$AK$4:$AM$6,3,FALSE)=0,"Spatial Data Missing ⚠",VLOOKUP(I107,'G-7 WaterC'' Data'!$AK$4:$AM$6,3,FALSE)))</f>
        <v/>
      </c>
      <c r="L107" s="478" t="str">
        <f>IFERROR(INDEX('G-7 WaterC'' Data'!$O$3:$O$7,MATCH(G107,'G-7 WaterC'' Data'!$N$3:$N$7,0)),"")</f>
        <v/>
      </c>
      <c r="M107" s="55"/>
      <c r="N107" s="159"/>
      <c r="O107" s="370" t="str">
        <f t="shared" si="6"/>
        <v/>
      </c>
      <c r="P107" s="383" t="str">
        <f t="shared" si="7"/>
        <v/>
      </c>
      <c r="Q107" s="422" t="str">
        <f>IFERROR(IF(P107="Check Data ⚠","Check Data ⚠",VLOOKUP(P107,'G-4 Temporal multipliers'!$A$4:$C$37,3,FALSE)),"")</f>
        <v/>
      </c>
      <c r="R107" s="362" t="str">
        <f>IF(C107="","",VLOOKUP(C107,'G-7 WaterC'' Data'!$B$4:$G$8,4,FALSE))</f>
        <v/>
      </c>
      <c r="S107" s="370" t="str">
        <f t="shared" si="8"/>
        <v/>
      </c>
      <c r="T107" s="401" t="str">
        <f t="shared" si="9"/>
        <v/>
      </c>
      <c r="U107" s="363" t="str">
        <f>IF(C107="","",VLOOKUP(T107,'G-3 Multipliers'!$P$2:$Q$6,2,FALSE))</f>
        <v/>
      </c>
      <c r="V107" s="115"/>
      <c r="W107" s="363" t="str">
        <f>IF(V107="","",IF(VLOOKUP(V107,'G-7 WaterC'' Data'!$AA$4:$AB$7,2,FALSE)=0,"Spatial Data Missing ⚠",VLOOKUP(V107,'G-7 WaterC'' Data'!$AA$4:$AB$7,2,FALSE)))</f>
        <v/>
      </c>
      <c r="X107" s="60"/>
      <c r="Y107" s="363" t="str">
        <f>IF(X107="","",IF(VLOOKUP(X107,'G-7 WaterC'' Data'!$AD$4:$AE$14,2,FALSE)=0,"Enrcoachment Data Missing ⚠",VLOOKUP(X107,'G-7 WaterC'' Data'!$AD$4:$AE$14,2,FALSE)))</f>
        <v/>
      </c>
      <c r="Z107" s="115"/>
      <c r="AA107" s="363" t="str">
        <f>IF(Z107="","",IF(VLOOKUP(Z107,'G-7 WaterC'' Data'!$AO$4:$BO$7,2,FALSE)=0,"Spatial Data Missing ⚠",VLOOKUP(Z107,'G-7 WaterC'' Data'!$AO$4:$BO$7,2,FALSE)))</f>
        <v/>
      </c>
      <c r="AB107" s="405" t="str">
        <f t="shared" si="10"/>
        <v/>
      </c>
      <c r="AC107" s="405" t="str">
        <f t="shared" si="11"/>
        <v/>
      </c>
      <c r="AD107" s="117"/>
      <c r="AE107" s="692"/>
      <c r="AF107" s="119"/>
      <c r="AG107" s="120"/>
      <c r="AL107" s="30" t="str">
        <f>IFERROR(INDEX('G-7 WaterC'' Data'!$AZ$3:$AZ$7,MATCH(C107,'G-7 WaterC'' Data'!$AY$3:$AY$7,0)),"")</f>
        <v/>
      </c>
    </row>
    <row r="108" spans="2:38" ht="15">
      <c r="B108" s="110">
        <v>97</v>
      </c>
      <c r="C108" s="501"/>
      <c r="D108" s="139"/>
      <c r="E108" s="362" t="str">
        <f>IF(C108="","",VLOOKUP(C108,'G-7 WaterC'' Data'!$B$2:$Z$9,2,FALSE))</f>
        <v/>
      </c>
      <c r="F108" s="363" t="str">
        <f>IFERROR(VLOOKUP(E108,'G-7 WaterC'' Data'!$C$4:$D$8,2,FALSE),"")</f>
        <v/>
      </c>
      <c r="G108" s="114"/>
      <c r="H108" s="363" t="str">
        <f>IFERROR(INDEX('G-7 WaterC'' Data'!$H$4:$L$8,MATCH(C108,'G-7 WaterC'' Data'!$B$4:$B$8,0),MATCH(G108,'G-7 WaterC'' Data'!$H$3:$L$3,0)),"")</f>
        <v/>
      </c>
      <c r="I108" s="54"/>
      <c r="J108" s="401" t="str">
        <f>IF(I108="","",IF(VLOOKUP(I108,'G-7 WaterC'' Data'!$AK$4:$AM$6,2,FALSE)=0,"Spatial Data Missing ⚠",VLOOKUP(I108,'G-7 WaterC'' Data'!$AK$4:$AM$6,2,FALSE)))</f>
        <v/>
      </c>
      <c r="K108" s="363" t="str">
        <f>IF(I108="","",IF(VLOOKUP(I108,'G-7 WaterC'' Data'!$AK$4:$AM$6,3,FALSE)=0,"Spatial Data Missing ⚠",VLOOKUP(I108,'G-7 WaterC'' Data'!$AK$4:$AM$6,3,FALSE)))</f>
        <v/>
      </c>
      <c r="L108" s="478" t="str">
        <f>IFERROR(INDEX('G-7 WaterC'' Data'!$O$3:$O$7,MATCH(G108,'G-7 WaterC'' Data'!$N$3:$N$7,0)),"")</f>
        <v/>
      </c>
      <c r="M108" s="55"/>
      <c r="N108" s="159"/>
      <c r="O108" s="370" t="str">
        <f t="shared" si="6"/>
        <v/>
      </c>
      <c r="P108" s="383" t="str">
        <f t="shared" si="7"/>
        <v/>
      </c>
      <c r="Q108" s="422" t="str">
        <f>IFERROR(IF(P108="Check Data ⚠","Check Data ⚠",VLOOKUP(P108,'G-4 Temporal multipliers'!$A$4:$C$37,3,FALSE)),"")</f>
        <v/>
      </c>
      <c r="R108" s="362" t="str">
        <f>IF(C108="","",VLOOKUP(C108,'G-7 WaterC'' Data'!$B$4:$G$8,4,FALSE))</f>
        <v/>
      </c>
      <c r="S108" s="370" t="str">
        <f t="shared" si="8"/>
        <v/>
      </c>
      <c r="T108" s="401" t="str">
        <f t="shared" si="9"/>
        <v/>
      </c>
      <c r="U108" s="363" t="str">
        <f>IF(C108="","",VLOOKUP(T108,'G-3 Multipliers'!$P$2:$Q$6,2,FALSE))</f>
        <v/>
      </c>
      <c r="V108" s="115"/>
      <c r="W108" s="363" t="str">
        <f>IF(V108="","",IF(VLOOKUP(V108,'G-7 WaterC'' Data'!$AA$4:$AB$7,2,FALSE)=0,"Spatial Data Missing ⚠",VLOOKUP(V108,'G-7 WaterC'' Data'!$AA$4:$AB$7,2,FALSE)))</f>
        <v/>
      </c>
      <c r="X108" s="60"/>
      <c r="Y108" s="363" t="str">
        <f>IF(X108="","",IF(VLOOKUP(X108,'G-7 WaterC'' Data'!$AD$4:$AE$14,2,FALSE)=0,"Enrcoachment Data Missing ⚠",VLOOKUP(X108,'G-7 WaterC'' Data'!$AD$4:$AE$14,2,FALSE)))</f>
        <v/>
      </c>
      <c r="Z108" s="115"/>
      <c r="AA108" s="363" t="str">
        <f>IF(Z108="","",IF(VLOOKUP(Z108,'G-7 WaterC'' Data'!$AO$4:$BO$7,2,FALSE)=0,"Spatial Data Missing ⚠",VLOOKUP(Z108,'G-7 WaterC'' Data'!$AO$4:$BO$7,2,FALSE)))</f>
        <v/>
      </c>
      <c r="AB108" s="405" t="str">
        <f t="shared" si="10"/>
        <v/>
      </c>
      <c r="AC108" s="405" t="str">
        <f t="shared" si="11"/>
        <v/>
      </c>
      <c r="AD108" s="117"/>
      <c r="AE108" s="692"/>
      <c r="AF108" s="119"/>
      <c r="AG108" s="120"/>
      <c r="AL108" s="30" t="str">
        <f>IFERROR(INDEX('G-7 WaterC'' Data'!$AZ$3:$AZ$7,MATCH(C108,'G-7 WaterC'' Data'!$AY$3:$AY$7,0)),"")</f>
        <v/>
      </c>
    </row>
    <row r="109" spans="2:38" ht="15">
      <c r="B109" s="110">
        <v>98</v>
      </c>
      <c r="C109" s="501"/>
      <c r="D109" s="139"/>
      <c r="E109" s="362" t="str">
        <f>IF(C109="","",VLOOKUP(C109,'G-7 WaterC'' Data'!$B$2:$Z$9,2,FALSE))</f>
        <v/>
      </c>
      <c r="F109" s="363" t="str">
        <f>IFERROR(VLOOKUP(E109,'G-7 WaterC'' Data'!$C$4:$D$8,2,FALSE),"")</f>
        <v/>
      </c>
      <c r="G109" s="114"/>
      <c r="H109" s="363" t="str">
        <f>IFERROR(INDEX('G-7 WaterC'' Data'!$H$4:$L$8,MATCH(C109,'G-7 WaterC'' Data'!$B$4:$B$8,0),MATCH(G109,'G-7 WaterC'' Data'!$H$3:$L$3,0)),"")</f>
        <v/>
      </c>
      <c r="I109" s="54"/>
      <c r="J109" s="401" t="str">
        <f>IF(I109="","",IF(VLOOKUP(I109,'G-7 WaterC'' Data'!$AK$4:$AM$6,2,FALSE)=0,"Spatial Data Missing ⚠",VLOOKUP(I109,'G-7 WaterC'' Data'!$AK$4:$AM$6,2,FALSE)))</f>
        <v/>
      </c>
      <c r="K109" s="363" t="str">
        <f>IF(I109="","",IF(VLOOKUP(I109,'G-7 WaterC'' Data'!$AK$4:$AM$6,3,FALSE)=0,"Spatial Data Missing ⚠",VLOOKUP(I109,'G-7 WaterC'' Data'!$AK$4:$AM$6,3,FALSE)))</f>
        <v/>
      </c>
      <c r="L109" s="478" t="str">
        <f>IFERROR(INDEX('G-7 WaterC'' Data'!$O$3:$O$7,MATCH(G109,'G-7 WaterC'' Data'!$N$3:$N$7,0)),"")</f>
        <v/>
      </c>
      <c r="M109" s="55"/>
      <c r="N109" s="159"/>
      <c r="O109" s="370" t="str">
        <f t="shared" si="6"/>
        <v/>
      </c>
      <c r="P109" s="383" t="str">
        <f t="shared" si="7"/>
        <v/>
      </c>
      <c r="Q109" s="422" t="str">
        <f>IFERROR(IF(P109="Check Data ⚠","Check Data ⚠",VLOOKUP(P109,'G-4 Temporal multipliers'!$A$4:$C$37,3,FALSE)),"")</f>
        <v/>
      </c>
      <c r="R109" s="362" t="str">
        <f>IF(C109="","",VLOOKUP(C109,'G-7 WaterC'' Data'!$B$4:$G$8,4,FALSE))</f>
        <v/>
      </c>
      <c r="S109" s="370" t="str">
        <f t="shared" si="8"/>
        <v/>
      </c>
      <c r="T109" s="401" t="str">
        <f t="shared" si="9"/>
        <v/>
      </c>
      <c r="U109" s="363" t="str">
        <f>IF(C109="","",VLOOKUP(T109,'G-3 Multipliers'!$P$2:$Q$6,2,FALSE))</f>
        <v/>
      </c>
      <c r="V109" s="115"/>
      <c r="W109" s="363" t="str">
        <f>IF(V109="","",IF(VLOOKUP(V109,'G-7 WaterC'' Data'!$AA$4:$AB$7,2,FALSE)=0,"Spatial Data Missing ⚠",VLOOKUP(V109,'G-7 WaterC'' Data'!$AA$4:$AB$7,2,FALSE)))</f>
        <v/>
      </c>
      <c r="X109" s="60"/>
      <c r="Y109" s="363" t="str">
        <f>IF(X109="","",IF(VLOOKUP(X109,'G-7 WaterC'' Data'!$AD$4:$AE$14,2,FALSE)=0,"Enrcoachment Data Missing ⚠",VLOOKUP(X109,'G-7 WaterC'' Data'!$AD$4:$AE$14,2,FALSE)))</f>
        <v/>
      </c>
      <c r="Z109" s="115"/>
      <c r="AA109" s="363" t="str">
        <f>IF(Z109="","",IF(VLOOKUP(Z109,'G-7 WaterC'' Data'!$AO$4:$BO$7,2,FALSE)=0,"Spatial Data Missing ⚠",VLOOKUP(Z109,'G-7 WaterC'' Data'!$AO$4:$BO$7,2,FALSE)))</f>
        <v/>
      </c>
      <c r="AB109" s="405" t="str">
        <f t="shared" si="10"/>
        <v/>
      </c>
      <c r="AC109" s="405" t="str">
        <f t="shared" si="11"/>
        <v/>
      </c>
      <c r="AD109" s="117"/>
      <c r="AE109" s="692"/>
      <c r="AF109" s="119"/>
      <c r="AG109" s="120"/>
      <c r="AL109" s="30" t="str">
        <f>IFERROR(INDEX('G-7 WaterC'' Data'!$AZ$3:$AZ$7,MATCH(C109,'G-7 WaterC'' Data'!$AY$3:$AY$7,0)),"")</f>
        <v/>
      </c>
    </row>
    <row r="110" spans="2:38" ht="15">
      <c r="B110" s="110">
        <v>99</v>
      </c>
      <c r="C110" s="501"/>
      <c r="D110" s="139"/>
      <c r="E110" s="362" t="str">
        <f>IF(C110="","",VLOOKUP(C110,'G-7 WaterC'' Data'!$B$2:$Z$9,2,FALSE))</f>
        <v/>
      </c>
      <c r="F110" s="363" t="str">
        <f>IFERROR(VLOOKUP(E110,'G-7 WaterC'' Data'!$C$4:$D$8,2,FALSE),"")</f>
        <v/>
      </c>
      <c r="G110" s="114"/>
      <c r="H110" s="363" t="str">
        <f>IFERROR(INDEX('G-7 WaterC'' Data'!$H$4:$L$8,MATCH(C110,'G-7 WaterC'' Data'!$B$4:$B$8,0),MATCH(G110,'G-7 WaterC'' Data'!$H$3:$L$3,0)),"")</f>
        <v/>
      </c>
      <c r="I110" s="54"/>
      <c r="J110" s="401" t="str">
        <f>IF(I110="","",IF(VLOOKUP(I110,'G-7 WaterC'' Data'!$AK$4:$AM$6,2,FALSE)=0,"Spatial Data Missing ⚠",VLOOKUP(I110,'G-7 WaterC'' Data'!$AK$4:$AM$6,2,FALSE)))</f>
        <v/>
      </c>
      <c r="K110" s="363" t="str">
        <f>IF(I110="","",IF(VLOOKUP(I110,'G-7 WaterC'' Data'!$AK$4:$AM$6,3,FALSE)=0,"Spatial Data Missing ⚠",VLOOKUP(I110,'G-7 WaterC'' Data'!$AK$4:$AM$6,3,FALSE)))</f>
        <v/>
      </c>
      <c r="L110" s="478" t="str">
        <f>IFERROR(INDEX('G-7 WaterC'' Data'!$O$3:$O$7,MATCH(G110,'G-7 WaterC'' Data'!$N$3:$N$7,0)),"")</f>
        <v/>
      </c>
      <c r="M110" s="55"/>
      <c r="N110" s="159"/>
      <c r="O110" s="370" t="str">
        <f t="shared" si="6"/>
        <v/>
      </c>
      <c r="P110" s="383" t="str">
        <f t="shared" si="7"/>
        <v/>
      </c>
      <c r="Q110" s="422" t="str">
        <f>IFERROR(IF(P110="Check Data ⚠","Check Data ⚠",VLOOKUP(P110,'G-4 Temporal multipliers'!$A$4:$C$37,3,FALSE)),"")</f>
        <v/>
      </c>
      <c r="R110" s="362" t="str">
        <f>IF(C110="","",VLOOKUP(C110,'G-7 WaterC'' Data'!$B$4:$G$8,4,FALSE))</f>
        <v/>
      </c>
      <c r="S110" s="370" t="str">
        <f t="shared" si="8"/>
        <v/>
      </c>
      <c r="T110" s="401" t="str">
        <f t="shared" si="9"/>
        <v/>
      </c>
      <c r="U110" s="363" t="str">
        <f>IF(C110="","",VLOOKUP(T110,'G-3 Multipliers'!$P$2:$Q$6,2,FALSE))</f>
        <v/>
      </c>
      <c r="V110" s="115"/>
      <c r="W110" s="363" t="str">
        <f>IF(V110="","",IF(VLOOKUP(V110,'G-7 WaterC'' Data'!$AA$4:$AB$7,2,FALSE)=0,"Spatial Data Missing ⚠",VLOOKUP(V110,'G-7 WaterC'' Data'!$AA$4:$AB$7,2,FALSE)))</f>
        <v/>
      </c>
      <c r="X110" s="60"/>
      <c r="Y110" s="363" t="str">
        <f>IF(X110="","",IF(VLOOKUP(X110,'G-7 WaterC'' Data'!$AD$4:$AE$14,2,FALSE)=0,"Enrcoachment Data Missing ⚠",VLOOKUP(X110,'G-7 WaterC'' Data'!$AD$4:$AE$14,2,FALSE)))</f>
        <v/>
      </c>
      <c r="Z110" s="115"/>
      <c r="AA110" s="363" t="str">
        <f>IF(Z110="","",IF(VLOOKUP(Z110,'G-7 WaterC'' Data'!$AO$4:$BO$7,2,FALSE)=0,"Spatial Data Missing ⚠",VLOOKUP(Z110,'G-7 WaterC'' Data'!$AO$4:$BO$7,2,FALSE)))</f>
        <v/>
      </c>
      <c r="AB110" s="405" t="str">
        <f t="shared" si="10"/>
        <v/>
      </c>
      <c r="AC110" s="405" t="str">
        <f t="shared" si="11"/>
        <v/>
      </c>
      <c r="AD110" s="117"/>
      <c r="AE110" s="692"/>
      <c r="AF110" s="119"/>
      <c r="AG110" s="120"/>
      <c r="AL110" s="30" t="str">
        <f>IFERROR(INDEX('G-7 WaterC'' Data'!$AZ$3:$AZ$7,MATCH(C110,'G-7 WaterC'' Data'!$AY$3:$AY$7,0)),"")</f>
        <v/>
      </c>
    </row>
    <row r="111" spans="2:38" ht="15">
      <c r="B111" s="110">
        <v>100</v>
      </c>
      <c r="C111" s="501"/>
      <c r="D111" s="139"/>
      <c r="E111" s="362" t="str">
        <f>IF(C111="","",VLOOKUP(C111,'G-7 WaterC'' Data'!$B$2:$Z$9,2,FALSE))</f>
        <v/>
      </c>
      <c r="F111" s="363" t="str">
        <f>IFERROR(VLOOKUP(E111,'G-7 WaterC'' Data'!$C$4:$D$8,2,FALSE),"")</f>
        <v/>
      </c>
      <c r="G111" s="114"/>
      <c r="H111" s="363" t="str">
        <f>IFERROR(INDEX('G-7 WaterC'' Data'!$H$4:$L$8,MATCH(C111,'G-7 WaterC'' Data'!$B$4:$B$8,0),MATCH(G111,'G-7 WaterC'' Data'!$H$3:$L$3,0)),"")</f>
        <v/>
      </c>
      <c r="I111" s="54"/>
      <c r="J111" s="401" t="str">
        <f>IF(I111="","",IF(VLOOKUP(I111,'G-7 WaterC'' Data'!$AK$4:$AM$6,2,FALSE)=0,"Spatial Data Missing ⚠",VLOOKUP(I111,'G-7 WaterC'' Data'!$AK$4:$AM$6,2,FALSE)))</f>
        <v/>
      </c>
      <c r="K111" s="363" t="str">
        <f>IF(I111="","",IF(VLOOKUP(I111,'G-7 WaterC'' Data'!$AK$4:$AM$6,3,FALSE)=0,"Spatial Data Missing ⚠",VLOOKUP(I111,'G-7 WaterC'' Data'!$AK$4:$AM$6,3,FALSE)))</f>
        <v/>
      </c>
      <c r="L111" s="478" t="str">
        <f>IFERROR(INDEX('G-7 WaterC'' Data'!$O$3:$O$7,MATCH(G111,'G-7 WaterC'' Data'!$N$3:$N$7,0)),"")</f>
        <v/>
      </c>
      <c r="M111" s="55"/>
      <c r="N111" s="159"/>
      <c r="O111" s="370" t="str">
        <f t="shared" si="6"/>
        <v/>
      </c>
      <c r="P111" s="383" t="str">
        <f t="shared" si="7"/>
        <v/>
      </c>
      <c r="Q111" s="422" t="str">
        <f>IFERROR(IF(P111="Check Data ⚠","Check Data ⚠",VLOOKUP(P111,'G-4 Temporal multipliers'!$A$4:$C$37,3,FALSE)),"")</f>
        <v/>
      </c>
      <c r="R111" s="362" t="str">
        <f>IF(C111="","",VLOOKUP(C111,'G-7 WaterC'' Data'!$B$4:$G$8,4,FALSE))</f>
        <v/>
      </c>
      <c r="S111" s="370" t="str">
        <f t="shared" si="8"/>
        <v/>
      </c>
      <c r="T111" s="401" t="str">
        <f t="shared" si="9"/>
        <v/>
      </c>
      <c r="U111" s="363" t="str">
        <f>IF(C111="","",VLOOKUP(T111,'G-3 Multipliers'!$P$2:$Q$6,2,FALSE))</f>
        <v/>
      </c>
      <c r="V111" s="115"/>
      <c r="W111" s="363" t="str">
        <f>IF(V111="","",IF(VLOOKUP(V111,'G-7 WaterC'' Data'!$AA$4:$AB$7,2,FALSE)=0,"Spatial Data Missing ⚠",VLOOKUP(V111,'G-7 WaterC'' Data'!$AA$4:$AB$7,2,FALSE)))</f>
        <v/>
      </c>
      <c r="X111" s="60"/>
      <c r="Y111" s="363" t="str">
        <f>IF(X111="","",IF(VLOOKUP(X111,'G-7 WaterC'' Data'!$AD$4:$AE$14,2,FALSE)=0,"Enrcoachment Data Missing ⚠",VLOOKUP(X111,'G-7 WaterC'' Data'!$AD$4:$AE$14,2,FALSE)))</f>
        <v/>
      </c>
      <c r="Z111" s="115"/>
      <c r="AA111" s="363" t="str">
        <f>IF(Z111="","",IF(VLOOKUP(Z111,'G-7 WaterC'' Data'!$AO$4:$BO$7,2,FALSE)=0,"Spatial Data Missing ⚠",VLOOKUP(Z111,'G-7 WaterC'' Data'!$AO$4:$BO$7,2,FALSE)))</f>
        <v/>
      </c>
      <c r="AB111" s="405" t="str">
        <f t="shared" si="10"/>
        <v/>
      </c>
      <c r="AC111" s="405" t="str">
        <f t="shared" si="11"/>
        <v/>
      </c>
      <c r="AD111" s="117"/>
      <c r="AE111" s="692"/>
      <c r="AF111" s="119"/>
      <c r="AG111" s="120"/>
      <c r="AL111" s="30" t="str">
        <f>IFERROR(INDEX('G-7 WaterC'' Data'!$AZ$3:$AZ$7,MATCH(C111,'G-7 WaterC'' Data'!$AY$3:$AY$7,0)),"")</f>
        <v/>
      </c>
    </row>
    <row r="112" spans="2:38" ht="15">
      <c r="B112" s="110">
        <v>101</v>
      </c>
      <c r="C112" s="501"/>
      <c r="D112" s="139"/>
      <c r="E112" s="362" t="str">
        <f>IF(C112="","",VLOOKUP(C112,'G-7 WaterC'' Data'!$B$2:$Z$9,2,FALSE))</f>
        <v/>
      </c>
      <c r="F112" s="363" t="str">
        <f>IFERROR(VLOOKUP(E112,'G-7 WaterC'' Data'!$C$4:$D$8,2,FALSE),"")</f>
        <v/>
      </c>
      <c r="G112" s="114"/>
      <c r="H112" s="363" t="str">
        <f>IFERROR(INDEX('G-7 WaterC'' Data'!$H$4:$L$8,MATCH(C112,'G-7 WaterC'' Data'!$B$4:$B$8,0),MATCH(G112,'G-7 WaterC'' Data'!$H$3:$L$3,0)),"")</f>
        <v/>
      </c>
      <c r="I112" s="54"/>
      <c r="J112" s="401" t="str">
        <f>IF(I112="","",IF(VLOOKUP(I112,'G-7 WaterC'' Data'!$AK$4:$AM$6,2,FALSE)=0,"Spatial Data Missing ⚠",VLOOKUP(I112,'G-7 WaterC'' Data'!$AK$4:$AM$6,2,FALSE)))</f>
        <v/>
      </c>
      <c r="K112" s="363" t="str">
        <f>IF(I112="","",IF(VLOOKUP(I112,'G-7 WaterC'' Data'!$AK$4:$AM$6,3,FALSE)=0,"Spatial Data Missing ⚠",VLOOKUP(I112,'G-7 WaterC'' Data'!$AK$4:$AM$6,3,FALSE)))</f>
        <v/>
      </c>
      <c r="L112" s="478" t="str">
        <f>IFERROR(INDEX('G-7 WaterC'' Data'!$O$3:$O$7,MATCH(G112,'G-7 WaterC'' Data'!$N$3:$N$7,0)),"")</f>
        <v/>
      </c>
      <c r="M112" s="55"/>
      <c r="N112" s="159"/>
      <c r="O112" s="370" t="str">
        <f t="shared" si="6"/>
        <v/>
      </c>
      <c r="P112" s="383" t="str">
        <f t="shared" si="7"/>
        <v/>
      </c>
      <c r="Q112" s="422" t="str">
        <f>IFERROR(IF(P112="Check Data ⚠","Check Data ⚠",VLOOKUP(P112,'G-4 Temporal multipliers'!$A$4:$C$37,3,FALSE)),"")</f>
        <v/>
      </c>
      <c r="R112" s="362" t="str">
        <f>IF(C112="","",VLOOKUP(C112,'G-7 WaterC'' Data'!$B$4:$G$8,4,FALSE))</f>
        <v/>
      </c>
      <c r="S112" s="370" t="str">
        <f t="shared" si="8"/>
        <v/>
      </c>
      <c r="T112" s="401" t="str">
        <f t="shared" si="9"/>
        <v/>
      </c>
      <c r="U112" s="363" t="str">
        <f>IF(C112="","",VLOOKUP(T112,'G-3 Multipliers'!$P$2:$Q$6,2,FALSE))</f>
        <v/>
      </c>
      <c r="V112" s="115"/>
      <c r="W112" s="363" t="str">
        <f>IF(V112="","",IF(VLOOKUP(V112,'G-7 WaterC'' Data'!$AA$4:$AB$7,2,FALSE)=0,"Spatial Data Missing ⚠",VLOOKUP(V112,'G-7 WaterC'' Data'!$AA$4:$AB$7,2,FALSE)))</f>
        <v/>
      </c>
      <c r="X112" s="60"/>
      <c r="Y112" s="363" t="str">
        <f>IF(X112="","",IF(VLOOKUP(X112,'G-7 WaterC'' Data'!$AD$4:$AE$14,2,FALSE)=0,"Enrcoachment Data Missing ⚠",VLOOKUP(X112,'G-7 WaterC'' Data'!$AD$4:$AE$14,2,FALSE)))</f>
        <v/>
      </c>
      <c r="Z112" s="115"/>
      <c r="AA112" s="363" t="str">
        <f>IF(Z112="","",IF(VLOOKUP(Z112,'G-7 WaterC'' Data'!$AO$4:$BO$7,2,FALSE)=0,"Spatial Data Missing ⚠",VLOOKUP(Z112,'G-7 WaterC'' Data'!$AO$4:$BO$7,2,FALSE)))</f>
        <v/>
      </c>
      <c r="AB112" s="405" t="str">
        <f t="shared" si="10"/>
        <v/>
      </c>
      <c r="AC112" s="405" t="str">
        <f t="shared" si="11"/>
        <v/>
      </c>
      <c r="AD112" s="117"/>
      <c r="AE112" s="692"/>
      <c r="AF112" s="119"/>
      <c r="AG112" s="120"/>
      <c r="AL112" s="30" t="str">
        <f>IFERROR(INDEX('G-7 WaterC'' Data'!$AZ$3:$AZ$7,MATCH(C112,'G-7 WaterC'' Data'!$AY$3:$AY$7,0)),"")</f>
        <v/>
      </c>
    </row>
    <row r="113" spans="2:38" ht="15">
      <c r="B113" s="110">
        <v>102</v>
      </c>
      <c r="C113" s="501"/>
      <c r="D113" s="139"/>
      <c r="E113" s="362" t="str">
        <f>IF(C113="","",VLOOKUP(C113,'G-7 WaterC'' Data'!$B$2:$Z$9,2,FALSE))</f>
        <v/>
      </c>
      <c r="F113" s="363" t="str">
        <f>IFERROR(VLOOKUP(E113,'G-7 WaterC'' Data'!$C$4:$D$8,2,FALSE),"")</f>
        <v/>
      </c>
      <c r="G113" s="114"/>
      <c r="H113" s="363" t="str">
        <f>IFERROR(INDEX('G-7 WaterC'' Data'!$H$4:$L$8,MATCH(C113,'G-7 WaterC'' Data'!$B$4:$B$8,0),MATCH(G113,'G-7 WaterC'' Data'!$H$3:$L$3,0)),"")</f>
        <v/>
      </c>
      <c r="I113" s="54"/>
      <c r="J113" s="401" t="str">
        <f>IF(I113="","",IF(VLOOKUP(I113,'G-7 WaterC'' Data'!$AK$4:$AM$6,2,FALSE)=0,"Spatial Data Missing ⚠",VLOOKUP(I113,'G-7 WaterC'' Data'!$AK$4:$AM$6,2,FALSE)))</f>
        <v/>
      </c>
      <c r="K113" s="363" t="str">
        <f>IF(I113="","",IF(VLOOKUP(I113,'G-7 WaterC'' Data'!$AK$4:$AM$6,3,FALSE)=0,"Spatial Data Missing ⚠",VLOOKUP(I113,'G-7 WaterC'' Data'!$AK$4:$AM$6,3,FALSE)))</f>
        <v/>
      </c>
      <c r="L113" s="478" t="str">
        <f>IFERROR(INDEX('G-7 WaterC'' Data'!$O$3:$O$7,MATCH(G113,'G-7 WaterC'' Data'!$N$3:$N$7,0)),"")</f>
        <v/>
      </c>
      <c r="M113" s="55"/>
      <c r="N113" s="159"/>
      <c r="O113" s="370" t="str">
        <f t="shared" si="6"/>
        <v/>
      </c>
      <c r="P113" s="383" t="str">
        <f t="shared" si="7"/>
        <v/>
      </c>
      <c r="Q113" s="422" t="str">
        <f>IFERROR(IF(P113="Check Data ⚠","Check Data ⚠",VLOOKUP(P113,'G-4 Temporal multipliers'!$A$4:$C$37,3,FALSE)),"")</f>
        <v/>
      </c>
      <c r="R113" s="362" t="str">
        <f>IF(C113="","",VLOOKUP(C113,'G-7 WaterC'' Data'!$B$4:$G$8,4,FALSE))</f>
        <v/>
      </c>
      <c r="S113" s="370" t="str">
        <f t="shared" si="8"/>
        <v/>
      </c>
      <c r="T113" s="401" t="str">
        <f t="shared" si="9"/>
        <v/>
      </c>
      <c r="U113" s="363" t="str">
        <f>IF(C113="","",VLOOKUP(T113,'G-3 Multipliers'!$P$2:$Q$6,2,FALSE))</f>
        <v/>
      </c>
      <c r="V113" s="115"/>
      <c r="W113" s="363" t="str">
        <f>IF(V113="","",IF(VLOOKUP(V113,'G-7 WaterC'' Data'!$AA$4:$AB$7,2,FALSE)=0,"Spatial Data Missing ⚠",VLOOKUP(V113,'G-7 WaterC'' Data'!$AA$4:$AB$7,2,FALSE)))</f>
        <v/>
      </c>
      <c r="X113" s="60"/>
      <c r="Y113" s="363" t="str">
        <f>IF(X113="","",IF(VLOOKUP(X113,'G-7 WaterC'' Data'!$AD$4:$AE$14,2,FALSE)=0,"Enrcoachment Data Missing ⚠",VLOOKUP(X113,'G-7 WaterC'' Data'!$AD$4:$AE$14,2,FALSE)))</f>
        <v/>
      </c>
      <c r="Z113" s="115"/>
      <c r="AA113" s="363" t="str">
        <f>IF(Z113="","",IF(VLOOKUP(Z113,'G-7 WaterC'' Data'!$AO$4:$BO$7,2,FALSE)=0,"Spatial Data Missing ⚠",VLOOKUP(Z113,'G-7 WaterC'' Data'!$AO$4:$BO$7,2,FALSE)))</f>
        <v/>
      </c>
      <c r="AB113" s="405" t="str">
        <f t="shared" si="10"/>
        <v/>
      </c>
      <c r="AC113" s="405" t="str">
        <f t="shared" si="11"/>
        <v/>
      </c>
      <c r="AD113" s="117"/>
      <c r="AE113" s="692"/>
      <c r="AF113" s="119"/>
      <c r="AG113" s="120"/>
      <c r="AL113" s="30" t="str">
        <f>IFERROR(INDEX('G-7 WaterC'' Data'!$AZ$3:$AZ$7,MATCH(C113,'G-7 WaterC'' Data'!$AY$3:$AY$7,0)),"")</f>
        <v/>
      </c>
    </row>
    <row r="114" spans="2:38" ht="15">
      <c r="B114" s="110">
        <v>103</v>
      </c>
      <c r="C114" s="501"/>
      <c r="D114" s="139"/>
      <c r="E114" s="362" t="str">
        <f>IF(C114="","",VLOOKUP(C114,'G-7 WaterC'' Data'!$B$2:$Z$9,2,FALSE))</f>
        <v/>
      </c>
      <c r="F114" s="363" t="str">
        <f>IFERROR(VLOOKUP(E114,'G-7 WaterC'' Data'!$C$4:$D$8,2,FALSE),"")</f>
        <v/>
      </c>
      <c r="G114" s="114"/>
      <c r="H114" s="363" t="str">
        <f>IFERROR(INDEX('G-7 WaterC'' Data'!$H$4:$L$8,MATCH(C114,'G-7 WaterC'' Data'!$B$4:$B$8,0),MATCH(G114,'G-7 WaterC'' Data'!$H$3:$L$3,0)),"")</f>
        <v/>
      </c>
      <c r="I114" s="54"/>
      <c r="J114" s="401" t="str">
        <f>IF(I114="","",IF(VLOOKUP(I114,'G-7 WaterC'' Data'!$AK$4:$AM$6,2,FALSE)=0,"Spatial Data Missing ⚠",VLOOKUP(I114,'G-7 WaterC'' Data'!$AK$4:$AM$6,2,FALSE)))</f>
        <v/>
      </c>
      <c r="K114" s="363" t="str">
        <f>IF(I114="","",IF(VLOOKUP(I114,'G-7 WaterC'' Data'!$AK$4:$AM$6,3,FALSE)=0,"Spatial Data Missing ⚠",VLOOKUP(I114,'G-7 WaterC'' Data'!$AK$4:$AM$6,3,FALSE)))</f>
        <v/>
      </c>
      <c r="L114" s="478" t="str">
        <f>IFERROR(INDEX('G-7 WaterC'' Data'!$O$3:$O$7,MATCH(G114,'G-7 WaterC'' Data'!$N$3:$N$7,0)),"")</f>
        <v/>
      </c>
      <c r="M114" s="55"/>
      <c r="N114" s="159"/>
      <c r="O114" s="370" t="str">
        <f t="shared" si="6"/>
        <v/>
      </c>
      <c r="P114" s="383" t="str">
        <f t="shared" si="7"/>
        <v/>
      </c>
      <c r="Q114" s="422" t="str">
        <f>IFERROR(IF(P114="Check Data ⚠","Check Data ⚠",VLOOKUP(P114,'G-4 Temporal multipliers'!$A$4:$C$37,3,FALSE)),"")</f>
        <v/>
      </c>
      <c r="R114" s="362" t="str">
        <f>IF(C114="","",VLOOKUP(C114,'G-7 WaterC'' Data'!$B$4:$G$8,4,FALSE))</f>
        <v/>
      </c>
      <c r="S114" s="370" t="str">
        <f t="shared" si="8"/>
        <v/>
      </c>
      <c r="T114" s="401" t="str">
        <f t="shared" si="9"/>
        <v/>
      </c>
      <c r="U114" s="363" t="str">
        <f>IF(C114="","",VLOOKUP(T114,'G-3 Multipliers'!$P$2:$Q$6,2,FALSE))</f>
        <v/>
      </c>
      <c r="V114" s="115"/>
      <c r="W114" s="363" t="str">
        <f>IF(V114="","",IF(VLOOKUP(V114,'G-7 WaterC'' Data'!$AA$4:$AB$7,2,FALSE)=0,"Spatial Data Missing ⚠",VLOOKUP(V114,'G-7 WaterC'' Data'!$AA$4:$AB$7,2,FALSE)))</f>
        <v/>
      </c>
      <c r="X114" s="60"/>
      <c r="Y114" s="363" t="str">
        <f>IF(X114="","",IF(VLOOKUP(X114,'G-7 WaterC'' Data'!$AD$4:$AE$14,2,FALSE)=0,"Enrcoachment Data Missing ⚠",VLOOKUP(X114,'G-7 WaterC'' Data'!$AD$4:$AE$14,2,FALSE)))</f>
        <v/>
      </c>
      <c r="Z114" s="115"/>
      <c r="AA114" s="363" t="str">
        <f>IF(Z114="","",IF(VLOOKUP(Z114,'G-7 WaterC'' Data'!$AO$4:$BO$7,2,FALSE)=0,"Spatial Data Missing ⚠",VLOOKUP(Z114,'G-7 WaterC'' Data'!$AO$4:$BO$7,2,FALSE)))</f>
        <v/>
      </c>
      <c r="AB114" s="405" t="str">
        <f t="shared" si="10"/>
        <v/>
      </c>
      <c r="AC114" s="405" t="str">
        <f t="shared" si="11"/>
        <v/>
      </c>
      <c r="AD114" s="117"/>
      <c r="AE114" s="692"/>
      <c r="AF114" s="119"/>
      <c r="AG114" s="120"/>
      <c r="AL114" s="30" t="str">
        <f>IFERROR(INDEX('G-7 WaterC'' Data'!$AZ$3:$AZ$7,MATCH(C114,'G-7 WaterC'' Data'!$AY$3:$AY$7,0)),"")</f>
        <v/>
      </c>
    </row>
    <row r="115" spans="2:38" ht="15">
      <c r="B115" s="110">
        <v>104</v>
      </c>
      <c r="C115" s="501"/>
      <c r="D115" s="139"/>
      <c r="E115" s="362" t="str">
        <f>IF(C115="","",VLOOKUP(C115,'G-7 WaterC'' Data'!$B$2:$Z$9,2,FALSE))</f>
        <v/>
      </c>
      <c r="F115" s="363" t="str">
        <f>IFERROR(VLOOKUP(E115,'G-7 WaterC'' Data'!$C$4:$D$8,2,FALSE),"")</f>
        <v/>
      </c>
      <c r="G115" s="114"/>
      <c r="H115" s="363" t="str">
        <f>IFERROR(INDEX('G-7 WaterC'' Data'!$H$4:$L$8,MATCH(C115,'G-7 WaterC'' Data'!$B$4:$B$8,0),MATCH(G115,'G-7 WaterC'' Data'!$H$3:$L$3,0)),"")</f>
        <v/>
      </c>
      <c r="I115" s="54"/>
      <c r="J115" s="401" t="str">
        <f>IF(I115="","",IF(VLOOKUP(I115,'G-7 WaterC'' Data'!$AK$4:$AM$6,2,FALSE)=0,"Spatial Data Missing ⚠",VLOOKUP(I115,'G-7 WaterC'' Data'!$AK$4:$AM$6,2,FALSE)))</f>
        <v/>
      </c>
      <c r="K115" s="363" t="str">
        <f>IF(I115="","",IF(VLOOKUP(I115,'G-7 WaterC'' Data'!$AK$4:$AM$6,3,FALSE)=0,"Spatial Data Missing ⚠",VLOOKUP(I115,'G-7 WaterC'' Data'!$AK$4:$AM$6,3,FALSE)))</f>
        <v/>
      </c>
      <c r="L115" s="478" t="str">
        <f>IFERROR(INDEX('G-7 WaterC'' Data'!$O$3:$O$7,MATCH(G115,'G-7 WaterC'' Data'!$N$3:$N$7,0)),"")</f>
        <v/>
      </c>
      <c r="M115" s="55"/>
      <c r="N115" s="159"/>
      <c r="O115" s="370" t="str">
        <f t="shared" si="6"/>
        <v/>
      </c>
      <c r="P115" s="383" t="str">
        <f t="shared" si="7"/>
        <v/>
      </c>
      <c r="Q115" s="422" t="str">
        <f>IFERROR(IF(P115="Check Data ⚠","Check Data ⚠",VLOOKUP(P115,'G-4 Temporal multipliers'!$A$4:$C$37,3,FALSE)),"")</f>
        <v/>
      </c>
      <c r="R115" s="362" t="str">
        <f>IF(C115="","",VLOOKUP(C115,'G-7 WaterC'' Data'!$B$4:$G$8,4,FALSE))</f>
        <v/>
      </c>
      <c r="S115" s="370" t="str">
        <f t="shared" si="8"/>
        <v/>
      </c>
      <c r="T115" s="401" t="str">
        <f t="shared" si="9"/>
        <v/>
      </c>
      <c r="U115" s="363" t="str">
        <f>IF(C115="","",VLOOKUP(T115,'G-3 Multipliers'!$P$2:$Q$6,2,FALSE))</f>
        <v/>
      </c>
      <c r="V115" s="115"/>
      <c r="W115" s="363" t="str">
        <f>IF(V115="","",IF(VLOOKUP(V115,'G-7 WaterC'' Data'!$AA$4:$AB$7,2,FALSE)=0,"Spatial Data Missing ⚠",VLOOKUP(V115,'G-7 WaterC'' Data'!$AA$4:$AB$7,2,FALSE)))</f>
        <v/>
      </c>
      <c r="X115" s="60"/>
      <c r="Y115" s="363" t="str">
        <f>IF(X115="","",IF(VLOOKUP(X115,'G-7 WaterC'' Data'!$AD$4:$AE$14,2,FALSE)=0,"Enrcoachment Data Missing ⚠",VLOOKUP(X115,'G-7 WaterC'' Data'!$AD$4:$AE$14,2,FALSE)))</f>
        <v/>
      </c>
      <c r="Z115" s="115"/>
      <c r="AA115" s="363" t="str">
        <f>IF(Z115="","",IF(VLOOKUP(Z115,'G-7 WaterC'' Data'!$AO$4:$BO$7,2,FALSE)=0,"Spatial Data Missing ⚠",VLOOKUP(Z115,'G-7 WaterC'' Data'!$AO$4:$BO$7,2,FALSE)))</f>
        <v/>
      </c>
      <c r="AB115" s="405" t="str">
        <f t="shared" si="10"/>
        <v/>
      </c>
      <c r="AC115" s="405" t="str">
        <f t="shared" si="11"/>
        <v/>
      </c>
      <c r="AD115" s="117"/>
      <c r="AE115" s="692"/>
      <c r="AF115" s="119"/>
      <c r="AG115" s="120"/>
      <c r="AL115" s="30" t="str">
        <f>IFERROR(INDEX('G-7 WaterC'' Data'!$AZ$3:$AZ$7,MATCH(C115,'G-7 WaterC'' Data'!$AY$3:$AY$7,0)),"")</f>
        <v/>
      </c>
    </row>
    <row r="116" spans="2:38" ht="15">
      <c r="B116" s="110">
        <v>105</v>
      </c>
      <c r="C116" s="501"/>
      <c r="D116" s="139"/>
      <c r="E116" s="362" t="str">
        <f>IF(C116="","",VLOOKUP(C116,'G-7 WaterC'' Data'!$B$2:$Z$9,2,FALSE))</f>
        <v/>
      </c>
      <c r="F116" s="363" t="str">
        <f>IFERROR(VLOOKUP(E116,'G-7 WaterC'' Data'!$C$4:$D$8,2,FALSE),"")</f>
        <v/>
      </c>
      <c r="G116" s="114"/>
      <c r="H116" s="363" t="str">
        <f>IFERROR(INDEX('G-7 WaterC'' Data'!$H$4:$L$8,MATCH(C116,'G-7 WaterC'' Data'!$B$4:$B$8,0),MATCH(G116,'G-7 WaterC'' Data'!$H$3:$L$3,0)),"")</f>
        <v/>
      </c>
      <c r="I116" s="54"/>
      <c r="J116" s="401" t="str">
        <f>IF(I116="","",IF(VLOOKUP(I116,'G-7 WaterC'' Data'!$AK$4:$AM$6,2,FALSE)=0,"Spatial Data Missing ⚠",VLOOKUP(I116,'G-7 WaterC'' Data'!$AK$4:$AM$6,2,FALSE)))</f>
        <v/>
      </c>
      <c r="K116" s="363" t="str">
        <f>IF(I116="","",IF(VLOOKUP(I116,'G-7 WaterC'' Data'!$AK$4:$AM$6,3,FALSE)=0,"Spatial Data Missing ⚠",VLOOKUP(I116,'G-7 WaterC'' Data'!$AK$4:$AM$6,3,FALSE)))</f>
        <v/>
      </c>
      <c r="L116" s="478" t="str">
        <f>IFERROR(INDEX('G-7 WaterC'' Data'!$O$3:$O$7,MATCH(G116,'G-7 WaterC'' Data'!$N$3:$N$7,0)),"")</f>
        <v/>
      </c>
      <c r="M116" s="55"/>
      <c r="N116" s="159"/>
      <c r="O116" s="370" t="str">
        <f t="shared" si="6"/>
        <v/>
      </c>
      <c r="P116" s="383" t="str">
        <f t="shared" si="7"/>
        <v/>
      </c>
      <c r="Q116" s="422" t="str">
        <f>IFERROR(IF(P116="Check Data ⚠","Check Data ⚠",VLOOKUP(P116,'G-4 Temporal multipliers'!$A$4:$C$37,3,FALSE)),"")</f>
        <v/>
      </c>
      <c r="R116" s="362" t="str">
        <f>IF(C116="","",VLOOKUP(C116,'G-7 WaterC'' Data'!$B$4:$G$8,4,FALSE))</f>
        <v/>
      </c>
      <c r="S116" s="370" t="str">
        <f t="shared" si="8"/>
        <v/>
      </c>
      <c r="T116" s="401" t="str">
        <f t="shared" si="9"/>
        <v/>
      </c>
      <c r="U116" s="363" t="str">
        <f>IF(C116="","",VLOOKUP(T116,'G-3 Multipliers'!$P$2:$Q$6,2,FALSE))</f>
        <v/>
      </c>
      <c r="V116" s="115"/>
      <c r="W116" s="363" t="str">
        <f>IF(V116="","",IF(VLOOKUP(V116,'G-7 WaterC'' Data'!$AA$4:$AB$7,2,FALSE)=0,"Spatial Data Missing ⚠",VLOOKUP(V116,'G-7 WaterC'' Data'!$AA$4:$AB$7,2,FALSE)))</f>
        <v/>
      </c>
      <c r="X116" s="60"/>
      <c r="Y116" s="363" t="str">
        <f>IF(X116="","",IF(VLOOKUP(X116,'G-7 WaterC'' Data'!$AD$4:$AE$14,2,FALSE)=0,"Enrcoachment Data Missing ⚠",VLOOKUP(X116,'G-7 WaterC'' Data'!$AD$4:$AE$14,2,FALSE)))</f>
        <v/>
      </c>
      <c r="Z116" s="115"/>
      <c r="AA116" s="363" t="str">
        <f>IF(Z116="","",IF(VLOOKUP(Z116,'G-7 WaterC'' Data'!$AO$4:$BO$7,2,FALSE)=0,"Spatial Data Missing ⚠",VLOOKUP(Z116,'G-7 WaterC'' Data'!$AO$4:$BO$7,2,FALSE)))</f>
        <v/>
      </c>
      <c r="AB116" s="405" t="str">
        <f t="shared" si="10"/>
        <v/>
      </c>
      <c r="AC116" s="405" t="str">
        <f t="shared" si="11"/>
        <v/>
      </c>
      <c r="AD116" s="117"/>
      <c r="AE116" s="692"/>
      <c r="AF116" s="119"/>
      <c r="AG116" s="120"/>
      <c r="AL116" s="30" t="str">
        <f>IFERROR(INDEX('G-7 WaterC'' Data'!$AZ$3:$AZ$7,MATCH(C116,'G-7 WaterC'' Data'!$AY$3:$AY$7,0)),"")</f>
        <v/>
      </c>
    </row>
    <row r="117" spans="2:38" ht="15">
      <c r="B117" s="110">
        <v>106</v>
      </c>
      <c r="C117" s="501"/>
      <c r="D117" s="139"/>
      <c r="E117" s="362" t="str">
        <f>IF(C117="","",VLOOKUP(C117,'G-7 WaterC'' Data'!$B$2:$Z$9,2,FALSE))</f>
        <v/>
      </c>
      <c r="F117" s="363" t="str">
        <f>IFERROR(VLOOKUP(E117,'G-7 WaterC'' Data'!$C$4:$D$8,2,FALSE),"")</f>
        <v/>
      </c>
      <c r="G117" s="114"/>
      <c r="H117" s="363" t="str">
        <f>IFERROR(INDEX('G-7 WaterC'' Data'!$H$4:$L$8,MATCH(C117,'G-7 WaterC'' Data'!$B$4:$B$8,0),MATCH(G117,'G-7 WaterC'' Data'!$H$3:$L$3,0)),"")</f>
        <v/>
      </c>
      <c r="I117" s="54"/>
      <c r="J117" s="401" t="str">
        <f>IF(I117="","",IF(VLOOKUP(I117,'G-7 WaterC'' Data'!$AK$4:$AM$6,2,FALSE)=0,"Spatial Data Missing ⚠",VLOOKUP(I117,'G-7 WaterC'' Data'!$AK$4:$AM$6,2,FALSE)))</f>
        <v/>
      </c>
      <c r="K117" s="363" t="str">
        <f>IF(I117="","",IF(VLOOKUP(I117,'G-7 WaterC'' Data'!$AK$4:$AM$6,3,FALSE)=0,"Spatial Data Missing ⚠",VLOOKUP(I117,'G-7 WaterC'' Data'!$AK$4:$AM$6,3,FALSE)))</f>
        <v/>
      </c>
      <c r="L117" s="478" t="str">
        <f>IFERROR(INDEX('G-7 WaterC'' Data'!$O$3:$O$7,MATCH(G117,'G-7 WaterC'' Data'!$N$3:$N$7,0)),"")</f>
        <v/>
      </c>
      <c r="M117" s="55"/>
      <c r="N117" s="159"/>
      <c r="O117" s="370" t="str">
        <f t="shared" si="6"/>
        <v/>
      </c>
      <c r="P117" s="383" t="str">
        <f t="shared" si="7"/>
        <v/>
      </c>
      <c r="Q117" s="422" t="str">
        <f>IFERROR(IF(P117="Check Data ⚠","Check Data ⚠",VLOOKUP(P117,'G-4 Temporal multipliers'!$A$4:$C$37,3,FALSE)),"")</f>
        <v/>
      </c>
      <c r="R117" s="362" t="str">
        <f>IF(C117="","",VLOOKUP(C117,'G-7 WaterC'' Data'!$B$4:$G$8,4,FALSE))</f>
        <v/>
      </c>
      <c r="S117" s="370" t="str">
        <f t="shared" si="8"/>
        <v/>
      </c>
      <c r="T117" s="401" t="str">
        <f t="shared" si="9"/>
        <v/>
      </c>
      <c r="U117" s="363" t="str">
        <f>IF(C117="","",VLOOKUP(T117,'G-3 Multipliers'!$P$2:$Q$6,2,FALSE))</f>
        <v/>
      </c>
      <c r="V117" s="115"/>
      <c r="W117" s="363" t="str">
        <f>IF(V117="","",IF(VLOOKUP(V117,'G-7 WaterC'' Data'!$AA$4:$AB$7,2,FALSE)=0,"Spatial Data Missing ⚠",VLOOKUP(V117,'G-7 WaterC'' Data'!$AA$4:$AB$7,2,FALSE)))</f>
        <v/>
      </c>
      <c r="X117" s="60"/>
      <c r="Y117" s="363" t="str">
        <f>IF(X117="","",IF(VLOOKUP(X117,'G-7 WaterC'' Data'!$AD$4:$AE$14,2,FALSE)=0,"Enrcoachment Data Missing ⚠",VLOOKUP(X117,'G-7 WaterC'' Data'!$AD$4:$AE$14,2,FALSE)))</f>
        <v/>
      </c>
      <c r="Z117" s="115"/>
      <c r="AA117" s="363" t="str">
        <f>IF(Z117="","",IF(VLOOKUP(Z117,'G-7 WaterC'' Data'!$AO$4:$BO$7,2,FALSE)=0,"Spatial Data Missing ⚠",VLOOKUP(Z117,'G-7 WaterC'' Data'!$AO$4:$BO$7,2,FALSE)))</f>
        <v/>
      </c>
      <c r="AB117" s="405" t="str">
        <f t="shared" si="10"/>
        <v/>
      </c>
      <c r="AC117" s="405" t="str">
        <f t="shared" si="11"/>
        <v/>
      </c>
      <c r="AD117" s="117"/>
      <c r="AE117" s="692"/>
      <c r="AF117" s="119"/>
      <c r="AG117" s="120"/>
      <c r="AL117" s="30" t="str">
        <f>IFERROR(INDEX('G-7 WaterC'' Data'!$AZ$3:$AZ$7,MATCH(C117,'G-7 WaterC'' Data'!$AY$3:$AY$7,0)),"")</f>
        <v/>
      </c>
    </row>
    <row r="118" spans="2:38" ht="15">
      <c r="B118" s="110">
        <v>107</v>
      </c>
      <c r="C118" s="501"/>
      <c r="D118" s="139"/>
      <c r="E118" s="362" t="str">
        <f>IF(C118="","",VLOOKUP(C118,'G-7 WaterC'' Data'!$B$2:$Z$9,2,FALSE))</f>
        <v/>
      </c>
      <c r="F118" s="363" t="str">
        <f>IFERROR(VLOOKUP(E118,'G-7 WaterC'' Data'!$C$4:$D$8,2,FALSE),"")</f>
        <v/>
      </c>
      <c r="G118" s="114"/>
      <c r="H118" s="363" t="str">
        <f>IFERROR(INDEX('G-7 WaterC'' Data'!$H$4:$L$8,MATCH(C118,'G-7 WaterC'' Data'!$B$4:$B$8,0),MATCH(G118,'G-7 WaterC'' Data'!$H$3:$L$3,0)),"")</f>
        <v/>
      </c>
      <c r="I118" s="54"/>
      <c r="J118" s="401" t="str">
        <f>IF(I118="","",IF(VLOOKUP(I118,'G-7 WaterC'' Data'!$AK$4:$AM$6,2,FALSE)=0,"Spatial Data Missing ⚠",VLOOKUP(I118,'G-7 WaterC'' Data'!$AK$4:$AM$6,2,FALSE)))</f>
        <v/>
      </c>
      <c r="K118" s="363" t="str">
        <f>IF(I118="","",IF(VLOOKUP(I118,'G-7 WaterC'' Data'!$AK$4:$AM$6,3,FALSE)=0,"Spatial Data Missing ⚠",VLOOKUP(I118,'G-7 WaterC'' Data'!$AK$4:$AM$6,3,FALSE)))</f>
        <v/>
      </c>
      <c r="L118" s="478" t="str">
        <f>IFERROR(INDEX('G-7 WaterC'' Data'!$O$3:$O$7,MATCH(G118,'G-7 WaterC'' Data'!$N$3:$N$7,0)),"")</f>
        <v/>
      </c>
      <c r="M118" s="55"/>
      <c r="N118" s="159"/>
      <c r="O118" s="370" t="str">
        <f t="shared" si="6"/>
        <v/>
      </c>
      <c r="P118" s="383" t="str">
        <f t="shared" si="7"/>
        <v/>
      </c>
      <c r="Q118" s="422" t="str">
        <f>IFERROR(IF(P118="Check Data ⚠","Check Data ⚠",VLOOKUP(P118,'G-4 Temporal multipliers'!$A$4:$C$37,3,FALSE)),"")</f>
        <v/>
      </c>
      <c r="R118" s="362" t="str">
        <f>IF(C118="","",VLOOKUP(C118,'G-7 WaterC'' Data'!$B$4:$G$8,4,FALSE))</f>
        <v/>
      </c>
      <c r="S118" s="370" t="str">
        <f t="shared" si="8"/>
        <v/>
      </c>
      <c r="T118" s="401" t="str">
        <f t="shared" si="9"/>
        <v/>
      </c>
      <c r="U118" s="363" t="str">
        <f>IF(C118="","",VLOOKUP(T118,'G-3 Multipliers'!$P$2:$Q$6,2,FALSE))</f>
        <v/>
      </c>
      <c r="V118" s="115"/>
      <c r="W118" s="363" t="str">
        <f>IF(V118="","",IF(VLOOKUP(V118,'G-7 WaterC'' Data'!$AA$4:$AB$7,2,FALSE)=0,"Spatial Data Missing ⚠",VLOOKUP(V118,'G-7 WaterC'' Data'!$AA$4:$AB$7,2,FALSE)))</f>
        <v/>
      </c>
      <c r="X118" s="60"/>
      <c r="Y118" s="363" t="str">
        <f>IF(X118="","",IF(VLOOKUP(X118,'G-7 WaterC'' Data'!$AD$4:$AE$14,2,FALSE)=0,"Enrcoachment Data Missing ⚠",VLOOKUP(X118,'G-7 WaterC'' Data'!$AD$4:$AE$14,2,FALSE)))</f>
        <v/>
      </c>
      <c r="Z118" s="115"/>
      <c r="AA118" s="363" t="str">
        <f>IF(Z118="","",IF(VLOOKUP(Z118,'G-7 WaterC'' Data'!$AO$4:$BO$7,2,FALSE)=0,"Spatial Data Missing ⚠",VLOOKUP(Z118,'G-7 WaterC'' Data'!$AO$4:$BO$7,2,FALSE)))</f>
        <v/>
      </c>
      <c r="AB118" s="405" t="str">
        <f t="shared" si="10"/>
        <v/>
      </c>
      <c r="AC118" s="405" t="str">
        <f t="shared" si="11"/>
        <v/>
      </c>
      <c r="AD118" s="117"/>
      <c r="AE118" s="692"/>
      <c r="AF118" s="119"/>
      <c r="AG118" s="120"/>
      <c r="AL118" s="30" t="str">
        <f>IFERROR(INDEX('G-7 WaterC'' Data'!$AZ$3:$AZ$7,MATCH(C118,'G-7 WaterC'' Data'!$AY$3:$AY$7,0)),"")</f>
        <v/>
      </c>
    </row>
    <row r="119" spans="2:38" ht="15">
      <c r="B119" s="110">
        <v>108</v>
      </c>
      <c r="C119" s="501"/>
      <c r="D119" s="139"/>
      <c r="E119" s="362" t="str">
        <f>IF(C119="","",VLOOKUP(C119,'G-7 WaterC'' Data'!$B$2:$Z$9,2,FALSE))</f>
        <v/>
      </c>
      <c r="F119" s="363" t="str">
        <f>IFERROR(VLOOKUP(E119,'G-7 WaterC'' Data'!$C$4:$D$8,2,FALSE),"")</f>
        <v/>
      </c>
      <c r="G119" s="114"/>
      <c r="H119" s="363" t="str">
        <f>IFERROR(INDEX('G-7 WaterC'' Data'!$H$4:$L$8,MATCH(C119,'G-7 WaterC'' Data'!$B$4:$B$8,0),MATCH(G119,'G-7 WaterC'' Data'!$H$3:$L$3,0)),"")</f>
        <v/>
      </c>
      <c r="I119" s="54"/>
      <c r="J119" s="401" t="str">
        <f>IF(I119="","",IF(VLOOKUP(I119,'G-7 WaterC'' Data'!$AK$4:$AM$6,2,FALSE)=0,"Spatial Data Missing ⚠",VLOOKUP(I119,'G-7 WaterC'' Data'!$AK$4:$AM$6,2,FALSE)))</f>
        <v/>
      </c>
      <c r="K119" s="363" t="str">
        <f>IF(I119="","",IF(VLOOKUP(I119,'G-7 WaterC'' Data'!$AK$4:$AM$6,3,FALSE)=0,"Spatial Data Missing ⚠",VLOOKUP(I119,'G-7 WaterC'' Data'!$AK$4:$AM$6,3,FALSE)))</f>
        <v/>
      </c>
      <c r="L119" s="478" t="str">
        <f>IFERROR(INDEX('G-7 WaterC'' Data'!$O$3:$O$7,MATCH(G119,'G-7 WaterC'' Data'!$N$3:$N$7,0)),"")</f>
        <v/>
      </c>
      <c r="M119" s="55"/>
      <c r="N119" s="159"/>
      <c r="O119" s="370" t="str">
        <f t="shared" si="6"/>
        <v/>
      </c>
      <c r="P119" s="383" t="str">
        <f t="shared" si="7"/>
        <v/>
      </c>
      <c r="Q119" s="422" t="str">
        <f>IFERROR(IF(P119="Check Data ⚠","Check Data ⚠",VLOOKUP(P119,'G-4 Temporal multipliers'!$A$4:$C$37,3,FALSE)),"")</f>
        <v/>
      </c>
      <c r="R119" s="362" t="str">
        <f>IF(C119="","",VLOOKUP(C119,'G-7 WaterC'' Data'!$B$4:$G$8,4,FALSE))</f>
        <v/>
      </c>
      <c r="S119" s="370" t="str">
        <f t="shared" si="8"/>
        <v/>
      </c>
      <c r="T119" s="401" t="str">
        <f t="shared" si="9"/>
        <v/>
      </c>
      <c r="U119" s="363" t="str">
        <f>IF(C119="","",VLOOKUP(T119,'G-3 Multipliers'!$P$2:$Q$6,2,FALSE))</f>
        <v/>
      </c>
      <c r="V119" s="115"/>
      <c r="W119" s="363" t="str">
        <f>IF(V119="","",IF(VLOOKUP(V119,'G-7 WaterC'' Data'!$AA$4:$AB$7,2,FALSE)=0,"Spatial Data Missing ⚠",VLOOKUP(V119,'G-7 WaterC'' Data'!$AA$4:$AB$7,2,FALSE)))</f>
        <v/>
      </c>
      <c r="X119" s="60"/>
      <c r="Y119" s="363" t="str">
        <f>IF(X119="","",IF(VLOOKUP(X119,'G-7 WaterC'' Data'!$AD$4:$AE$14,2,FALSE)=0,"Enrcoachment Data Missing ⚠",VLOOKUP(X119,'G-7 WaterC'' Data'!$AD$4:$AE$14,2,FALSE)))</f>
        <v/>
      </c>
      <c r="Z119" s="115"/>
      <c r="AA119" s="363" t="str">
        <f>IF(Z119="","",IF(VLOOKUP(Z119,'G-7 WaterC'' Data'!$AO$4:$BO$7,2,FALSE)=0,"Spatial Data Missing ⚠",VLOOKUP(Z119,'G-7 WaterC'' Data'!$AO$4:$BO$7,2,FALSE)))</f>
        <v/>
      </c>
      <c r="AB119" s="405" t="str">
        <f t="shared" si="10"/>
        <v/>
      </c>
      <c r="AC119" s="405" t="str">
        <f t="shared" si="11"/>
        <v/>
      </c>
      <c r="AD119" s="117"/>
      <c r="AE119" s="692"/>
      <c r="AF119" s="119"/>
      <c r="AG119" s="120"/>
      <c r="AL119" s="30" t="str">
        <f>IFERROR(INDEX('G-7 WaterC'' Data'!$AZ$3:$AZ$7,MATCH(C119,'G-7 WaterC'' Data'!$AY$3:$AY$7,0)),"")</f>
        <v/>
      </c>
    </row>
    <row r="120" spans="2:38" ht="15">
      <c r="B120" s="110">
        <v>109</v>
      </c>
      <c r="C120" s="501"/>
      <c r="D120" s="139"/>
      <c r="E120" s="362" t="str">
        <f>IF(C120="","",VLOOKUP(C120,'G-7 WaterC'' Data'!$B$2:$Z$9,2,FALSE))</f>
        <v/>
      </c>
      <c r="F120" s="363" t="str">
        <f>IFERROR(VLOOKUP(E120,'G-7 WaterC'' Data'!$C$4:$D$8,2,FALSE),"")</f>
        <v/>
      </c>
      <c r="G120" s="114"/>
      <c r="H120" s="363" t="str">
        <f>IFERROR(INDEX('G-7 WaterC'' Data'!$H$4:$L$8,MATCH(C120,'G-7 WaterC'' Data'!$B$4:$B$8,0),MATCH(G120,'G-7 WaterC'' Data'!$H$3:$L$3,0)),"")</f>
        <v/>
      </c>
      <c r="I120" s="54"/>
      <c r="J120" s="401" t="str">
        <f>IF(I120="","",IF(VLOOKUP(I120,'G-7 WaterC'' Data'!$AK$4:$AM$6,2,FALSE)=0,"Spatial Data Missing ⚠",VLOOKUP(I120,'G-7 WaterC'' Data'!$AK$4:$AM$6,2,FALSE)))</f>
        <v/>
      </c>
      <c r="K120" s="363" t="str">
        <f>IF(I120="","",IF(VLOOKUP(I120,'G-7 WaterC'' Data'!$AK$4:$AM$6,3,FALSE)=0,"Spatial Data Missing ⚠",VLOOKUP(I120,'G-7 WaterC'' Data'!$AK$4:$AM$6,3,FALSE)))</f>
        <v/>
      </c>
      <c r="L120" s="478" t="str">
        <f>IFERROR(INDEX('G-7 WaterC'' Data'!$O$3:$O$7,MATCH(G120,'G-7 WaterC'' Data'!$N$3:$N$7,0)),"")</f>
        <v/>
      </c>
      <c r="M120" s="55"/>
      <c r="N120" s="159"/>
      <c r="O120" s="370" t="str">
        <f t="shared" si="6"/>
        <v/>
      </c>
      <c r="P120" s="383" t="str">
        <f t="shared" si="7"/>
        <v/>
      </c>
      <c r="Q120" s="422" t="str">
        <f>IFERROR(IF(P120="Check Data ⚠","Check Data ⚠",VLOOKUP(P120,'G-4 Temporal multipliers'!$A$4:$C$37,3,FALSE)),"")</f>
        <v/>
      </c>
      <c r="R120" s="362" t="str">
        <f>IF(C120="","",VLOOKUP(C120,'G-7 WaterC'' Data'!$B$4:$G$8,4,FALSE))</f>
        <v/>
      </c>
      <c r="S120" s="370" t="str">
        <f t="shared" si="8"/>
        <v/>
      </c>
      <c r="T120" s="401" t="str">
        <f t="shared" si="9"/>
        <v/>
      </c>
      <c r="U120" s="363" t="str">
        <f>IF(C120="","",VLOOKUP(T120,'G-3 Multipliers'!$P$2:$Q$6,2,FALSE))</f>
        <v/>
      </c>
      <c r="V120" s="115"/>
      <c r="W120" s="363" t="str">
        <f>IF(V120="","",IF(VLOOKUP(V120,'G-7 WaterC'' Data'!$AA$4:$AB$7,2,FALSE)=0,"Spatial Data Missing ⚠",VLOOKUP(V120,'G-7 WaterC'' Data'!$AA$4:$AB$7,2,FALSE)))</f>
        <v/>
      </c>
      <c r="X120" s="60"/>
      <c r="Y120" s="363" t="str">
        <f>IF(X120="","",IF(VLOOKUP(X120,'G-7 WaterC'' Data'!$AD$4:$AE$14,2,FALSE)=0,"Enrcoachment Data Missing ⚠",VLOOKUP(X120,'G-7 WaterC'' Data'!$AD$4:$AE$14,2,FALSE)))</f>
        <v/>
      </c>
      <c r="Z120" s="115"/>
      <c r="AA120" s="363" t="str">
        <f>IF(Z120="","",IF(VLOOKUP(Z120,'G-7 WaterC'' Data'!$AO$4:$BO$7,2,FALSE)=0,"Spatial Data Missing ⚠",VLOOKUP(Z120,'G-7 WaterC'' Data'!$AO$4:$BO$7,2,FALSE)))</f>
        <v/>
      </c>
      <c r="AB120" s="405" t="str">
        <f t="shared" si="10"/>
        <v/>
      </c>
      <c r="AC120" s="405" t="str">
        <f t="shared" si="11"/>
        <v/>
      </c>
      <c r="AD120" s="117"/>
      <c r="AE120" s="692"/>
      <c r="AF120" s="119"/>
      <c r="AG120" s="120"/>
      <c r="AL120" s="30" t="str">
        <f>IFERROR(INDEX('G-7 WaterC'' Data'!$AZ$3:$AZ$7,MATCH(C120,'G-7 WaterC'' Data'!$AY$3:$AY$7,0)),"")</f>
        <v/>
      </c>
    </row>
    <row r="121" spans="2:38" ht="15">
      <c r="B121" s="110">
        <v>110</v>
      </c>
      <c r="C121" s="501"/>
      <c r="D121" s="139"/>
      <c r="E121" s="362" t="str">
        <f>IF(C121="","",VLOOKUP(C121,'G-7 WaterC'' Data'!$B$2:$Z$9,2,FALSE))</f>
        <v/>
      </c>
      <c r="F121" s="363" t="str">
        <f>IFERROR(VLOOKUP(E121,'G-7 WaterC'' Data'!$C$4:$D$8,2,FALSE),"")</f>
        <v/>
      </c>
      <c r="G121" s="114"/>
      <c r="H121" s="363" t="str">
        <f>IFERROR(INDEX('G-7 WaterC'' Data'!$H$4:$L$8,MATCH(C121,'G-7 WaterC'' Data'!$B$4:$B$8,0),MATCH(G121,'G-7 WaterC'' Data'!$H$3:$L$3,0)),"")</f>
        <v/>
      </c>
      <c r="I121" s="54"/>
      <c r="J121" s="401" t="str">
        <f>IF(I121="","",IF(VLOOKUP(I121,'G-7 WaterC'' Data'!$AK$4:$AM$6,2,FALSE)=0,"Spatial Data Missing ⚠",VLOOKUP(I121,'G-7 WaterC'' Data'!$AK$4:$AM$6,2,FALSE)))</f>
        <v/>
      </c>
      <c r="K121" s="363" t="str">
        <f>IF(I121="","",IF(VLOOKUP(I121,'G-7 WaterC'' Data'!$AK$4:$AM$6,3,FALSE)=0,"Spatial Data Missing ⚠",VLOOKUP(I121,'G-7 WaterC'' Data'!$AK$4:$AM$6,3,FALSE)))</f>
        <v/>
      </c>
      <c r="L121" s="478" t="str">
        <f>IFERROR(INDEX('G-7 WaterC'' Data'!$O$3:$O$7,MATCH(G121,'G-7 WaterC'' Data'!$N$3:$N$7,0)),"")</f>
        <v/>
      </c>
      <c r="M121" s="55"/>
      <c r="N121" s="159"/>
      <c r="O121" s="370" t="str">
        <f t="shared" si="6"/>
        <v/>
      </c>
      <c r="P121" s="383" t="str">
        <f t="shared" si="7"/>
        <v/>
      </c>
      <c r="Q121" s="422" t="str">
        <f>IFERROR(IF(P121="Check Data ⚠","Check Data ⚠",VLOOKUP(P121,'G-4 Temporal multipliers'!$A$4:$C$37,3,FALSE)),"")</f>
        <v/>
      </c>
      <c r="R121" s="362" t="str">
        <f>IF(C121="","",VLOOKUP(C121,'G-7 WaterC'' Data'!$B$4:$G$8,4,FALSE))</f>
        <v/>
      </c>
      <c r="S121" s="370" t="str">
        <f t="shared" si="8"/>
        <v/>
      </c>
      <c r="T121" s="401" t="str">
        <f t="shared" si="9"/>
        <v/>
      </c>
      <c r="U121" s="363" t="str">
        <f>IF(C121="","",VLOOKUP(T121,'G-3 Multipliers'!$P$2:$Q$6,2,FALSE))</f>
        <v/>
      </c>
      <c r="V121" s="115"/>
      <c r="W121" s="363" t="str">
        <f>IF(V121="","",IF(VLOOKUP(V121,'G-7 WaterC'' Data'!$AA$4:$AB$7,2,FALSE)=0,"Spatial Data Missing ⚠",VLOOKUP(V121,'G-7 WaterC'' Data'!$AA$4:$AB$7,2,FALSE)))</f>
        <v/>
      </c>
      <c r="X121" s="60"/>
      <c r="Y121" s="363" t="str">
        <f>IF(X121="","",IF(VLOOKUP(X121,'G-7 WaterC'' Data'!$AD$4:$AE$14,2,FALSE)=0,"Enrcoachment Data Missing ⚠",VLOOKUP(X121,'G-7 WaterC'' Data'!$AD$4:$AE$14,2,FALSE)))</f>
        <v/>
      </c>
      <c r="Z121" s="115"/>
      <c r="AA121" s="363" t="str">
        <f>IF(Z121="","",IF(VLOOKUP(Z121,'G-7 WaterC'' Data'!$AO$4:$BO$7,2,FALSE)=0,"Spatial Data Missing ⚠",VLOOKUP(Z121,'G-7 WaterC'' Data'!$AO$4:$BO$7,2,FALSE)))</f>
        <v/>
      </c>
      <c r="AB121" s="405" t="str">
        <f t="shared" si="10"/>
        <v/>
      </c>
      <c r="AC121" s="405" t="str">
        <f t="shared" si="11"/>
        <v/>
      </c>
      <c r="AD121" s="117"/>
      <c r="AE121" s="692"/>
      <c r="AF121" s="119"/>
      <c r="AG121" s="120"/>
      <c r="AL121" s="30" t="str">
        <f>IFERROR(INDEX('G-7 WaterC'' Data'!$AZ$3:$AZ$7,MATCH(C121,'G-7 WaterC'' Data'!$AY$3:$AY$7,0)),"")</f>
        <v/>
      </c>
    </row>
    <row r="122" spans="2:38" ht="15">
      <c r="B122" s="110">
        <v>111</v>
      </c>
      <c r="C122" s="501"/>
      <c r="D122" s="139"/>
      <c r="E122" s="362" t="str">
        <f>IF(C122="","",VLOOKUP(C122,'G-7 WaterC'' Data'!$B$2:$Z$9,2,FALSE))</f>
        <v/>
      </c>
      <c r="F122" s="363" t="str">
        <f>IFERROR(VLOOKUP(E122,'G-7 WaterC'' Data'!$C$4:$D$8,2,FALSE),"")</f>
        <v/>
      </c>
      <c r="G122" s="114"/>
      <c r="H122" s="363" t="str">
        <f>IFERROR(INDEX('G-7 WaterC'' Data'!$H$4:$L$8,MATCH(C122,'G-7 WaterC'' Data'!$B$4:$B$8,0),MATCH(G122,'G-7 WaterC'' Data'!$H$3:$L$3,0)),"")</f>
        <v/>
      </c>
      <c r="I122" s="54"/>
      <c r="J122" s="401" t="str">
        <f>IF(I122="","",IF(VLOOKUP(I122,'G-7 WaterC'' Data'!$AK$4:$AM$6,2,FALSE)=0,"Spatial Data Missing ⚠",VLOOKUP(I122,'G-7 WaterC'' Data'!$AK$4:$AM$6,2,FALSE)))</f>
        <v/>
      </c>
      <c r="K122" s="363" t="str">
        <f>IF(I122="","",IF(VLOOKUP(I122,'G-7 WaterC'' Data'!$AK$4:$AM$6,3,FALSE)=0,"Spatial Data Missing ⚠",VLOOKUP(I122,'G-7 WaterC'' Data'!$AK$4:$AM$6,3,FALSE)))</f>
        <v/>
      </c>
      <c r="L122" s="478" t="str">
        <f>IFERROR(INDEX('G-7 WaterC'' Data'!$O$3:$O$7,MATCH(G122,'G-7 WaterC'' Data'!$N$3:$N$7,0)),"")</f>
        <v/>
      </c>
      <c r="M122" s="55"/>
      <c r="N122" s="159"/>
      <c r="O122" s="370" t="str">
        <f t="shared" si="6"/>
        <v/>
      </c>
      <c r="P122" s="383" t="str">
        <f t="shared" si="7"/>
        <v/>
      </c>
      <c r="Q122" s="422" t="str">
        <f>IFERROR(IF(P122="Check Data ⚠","Check Data ⚠",VLOOKUP(P122,'G-4 Temporal multipliers'!$A$4:$C$37,3,FALSE)),"")</f>
        <v/>
      </c>
      <c r="R122" s="362" t="str">
        <f>IF(C122="","",VLOOKUP(C122,'G-7 WaterC'' Data'!$B$4:$G$8,4,FALSE))</f>
        <v/>
      </c>
      <c r="S122" s="370" t="str">
        <f t="shared" si="8"/>
        <v/>
      </c>
      <c r="T122" s="401" t="str">
        <f t="shared" si="9"/>
        <v/>
      </c>
      <c r="U122" s="363" t="str">
        <f>IF(C122="","",VLOOKUP(T122,'G-3 Multipliers'!$P$2:$Q$6,2,FALSE))</f>
        <v/>
      </c>
      <c r="V122" s="115"/>
      <c r="W122" s="363" t="str">
        <f>IF(V122="","",IF(VLOOKUP(V122,'G-7 WaterC'' Data'!$AA$4:$AB$7,2,FALSE)=0,"Spatial Data Missing ⚠",VLOOKUP(V122,'G-7 WaterC'' Data'!$AA$4:$AB$7,2,FALSE)))</f>
        <v/>
      </c>
      <c r="X122" s="60"/>
      <c r="Y122" s="363" t="str">
        <f>IF(X122="","",IF(VLOOKUP(X122,'G-7 WaterC'' Data'!$AD$4:$AE$14,2,FALSE)=0,"Enrcoachment Data Missing ⚠",VLOOKUP(X122,'G-7 WaterC'' Data'!$AD$4:$AE$14,2,FALSE)))</f>
        <v/>
      </c>
      <c r="Z122" s="115"/>
      <c r="AA122" s="363" t="str">
        <f>IF(Z122="","",IF(VLOOKUP(Z122,'G-7 WaterC'' Data'!$AO$4:$BO$7,2,FALSE)=0,"Spatial Data Missing ⚠",VLOOKUP(Z122,'G-7 WaterC'' Data'!$AO$4:$BO$7,2,FALSE)))</f>
        <v/>
      </c>
      <c r="AB122" s="405" t="str">
        <f t="shared" si="10"/>
        <v/>
      </c>
      <c r="AC122" s="405" t="str">
        <f t="shared" si="11"/>
        <v/>
      </c>
      <c r="AD122" s="117"/>
      <c r="AE122" s="692"/>
      <c r="AF122" s="119"/>
      <c r="AG122" s="120"/>
      <c r="AL122" s="30" t="str">
        <f>IFERROR(INDEX('G-7 WaterC'' Data'!$AZ$3:$AZ$7,MATCH(C122,'G-7 WaterC'' Data'!$AY$3:$AY$7,0)),"")</f>
        <v/>
      </c>
    </row>
    <row r="123" spans="2:38" ht="15">
      <c r="B123" s="110">
        <v>112</v>
      </c>
      <c r="C123" s="501"/>
      <c r="D123" s="139"/>
      <c r="E123" s="362" t="str">
        <f>IF(C123="","",VLOOKUP(C123,'G-7 WaterC'' Data'!$B$2:$Z$9,2,FALSE))</f>
        <v/>
      </c>
      <c r="F123" s="363" t="str">
        <f>IFERROR(VLOOKUP(E123,'G-7 WaterC'' Data'!$C$4:$D$8,2,FALSE),"")</f>
        <v/>
      </c>
      <c r="G123" s="114"/>
      <c r="H123" s="363" t="str">
        <f>IFERROR(INDEX('G-7 WaterC'' Data'!$H$4:$L$8,MATCH(C123,'G-7 WaterC'' Data'!$B$4:$B$8,0),MATCH(G123,'G-7 WaterC'' Data'!$H$3:$L$3,0)),"")</f>
        <v/>
      </c>
      <c r="I123" s="54"/>
      <c r="J123" s="401" t="str">
        <f>IF(I123="","",IF(VLOOKUP(I123,'G-7 WaterC'' Data'!$AK$4:$AM$6,2,FALSE)=0,"Spatial Data Missing ⚠",VLOOKUP(I123,'G-7 WaterC'' Data'!$AK$4:$AM$6,2,FALSE)))</f>
        <v/>
      </c>
      <c r="K123" s="363" t="str">
        <f>IF(I123="","",IF(VLOOKUP(I123,'G-7 WaterC'' Data'!$AK$4:$AM$6,3,FALSE)=0,"Spatial Data Missing ⚠",VLOOKUP(I123,'G-7 WaterC'' Data'!$AK$4:$AM$6,3,FALSE)))</f>
        <v/>
      </c>
      <c r="L123" s="478" t="str">
        <f>IFERROR(INDEX('G-7 WaterC'' Data'!$O$3:$O$7,MATCH(G123,'G-7 WaterC'' Data'!$N$3:$N$7,0)),"")</f>
        <v/>
      </c>
      <c r="M123" s="55"/>
      <c r="N123" s="159"/>
      <c r="O123" s="370" t="str">
        <f t="shared" si="6"/>
        <v/>
      </c>
      <c r="P123" s="383" t="str">
        <f t="shared" si="7"/>
        <v/>
      </c>
      <c r="Q123" s="422" t="str">
        <f>IFERROR(IF(P123="Check Data ⚠","Check Data ⚠",VLOOKUP(P123,'G-4 Temporal multipliers'!$A$4:$C$37,3,FALSE)),"")</f>
        <v/>
      </c>
      <c r="R123" s="362" t="str">
        <f>IF(C123="","",VLOOKUP(C123,'G-7 WaterC'' Data'!$B$4:$G$8,4,FALSE))</f>
        <v/>
      </c>
      <c r="S123" s="370" t="str">
        <f t="shared" si="8"/>
        <v/>
      </c>
      <c r="T123" s="401" t="str">
        <f t="shared" si="9"/>
        <v/>
      </c>
      <c r="U123" s="363" t="str">
        <f>IF(C123="","",VLOOKUP(T123,'G-3 Multipliers'!$P$2:$Q$6,2,FALSE))</f>
        <v/>
      </c>
      <c r="V123" s="115"/>
      <c r="W123" s="363" t="str">
        <f>IF(V123="","",IF(VLOOKUP(V123,'G-7 WaterC'' Data'!$AA$4:$AB$7,2,FALSE)=0,"Spatial Data Missing ⚠",VLOOKUP(V123,'G-7 WaterC'' Data'!$AA$4:$AB$7,2,FALSE)))</f>
        <v/>
      </c>
      <c r="X123" s="60"/>
      <c r="Y123" s="363" t="str">
        <f>IF(X123="","",IF(VLOOKUP(X123,'G-7 WaterC'' Data'!$AD$4:$AE$14,2,FALSE)=0,"Enrcoachment Data Missing ⚠",VLOOKUP(X123,'G-7 WaterC'' Data'!$AD$4:$AE$14,2,FALSE)))</f>
        <v/>
      </c>
      <c r="Z123" s="115"/>
      <c r="AA123" s="363" t="str">
        <f>IF(Z123="","",IF(VLOOKUP(Z123,'G-7 WaterC'' Data'!$AO$4:$BO$7,2,FALSE)=0,"Spatial Data Missing ⚠",VLOOKUP(Z123,'G-7 WaterC'' Data'!$AO$4:$BO$7,2,FALSE)))</f>
        <v/>
      </c>
      <c r="AB123" s="405" t="str">
        <f t="shared" si="10"/>
        <v/>
      </c>
      <c r="AC123" s="405" t="str">
        <f t="shared" si="11"/>
        <v/>
      </c>
      <c r="AD123" s="117"/>
      <c r="AE123" s="692"/>
      <c r="AF123" s="119"/>
      <c r="AG123" s="120"/>
      <c r="AL123" s="30" t="str">
        <f>IFERROR(INDEX('G-7 WaterC'' Data'!$AZ$3:$AZ$7,MATCH(C123,'G-7 WaterC'' Data'!$AY$3:$AY$7,0)),"")</f>
        <v/>
      </c>
    </row>
    <row r="124" spans="2:38" ht="15">
      <c r="B124" s="110">
        <v>113</v>
      </c>
      <c r="C124" s="501"/>
      <c r="D124" s="139"/>
      <c r="E124" s="362" t="str">
        <f>IF(C124="","",VLOOKUP(C124,'G-7 WaterC'' Data'!$B$2:$Z$9,2,FALSE))</f>
        <v/>
      </c>
      <c r="F124" s="363" t="str">
        <f>IFERROR(VLOOKUP(E124,'G-7 WaterC'' Data'!$C$4:$D$8,2,FALSE),"")</f>
        <v/>
      </c>
      <c r="G124" s="114"/>
      <c r="H124" s="363" t="str">
        <f>IFERROR(INDEX('G-7 WaterC'' Data'!$H$4:$L$8,MATCH(C124,'G-7 WaterC'' Data'!$B$4:$B$8,0),MATCH(G124,'G-7 WaterC'' Data'!$H$3:$L$3,0)),"")</f>
        <v/>
      </c>
      <c r="I124" s="54"/>
      <c r="J124" s="401" t="str">
        <f>IF(I124="","",IF(VLOOKUP(I124,'G-7 WaterC'' Data'!$AK$4:$AM$6,2,FALSE)=0,"Spatial Data Missing ⚠",VLOOKUP(I124,'G-7 WaterC'' Data'!$AK$4:$AM$6,2,FALSE)))</f>
        <v/>
      </c>
      <c r="K124" s="363" t="str">
        <f>IF(I124="","",IF(VLOOKUP(I124,'G-7 WaterC'' Data'!$AK$4:$AM$6,3,FALSE)=0,"Spatial Data Missing ⚠",VLOOKUP(I124,'G-7 WaterC'' Data'!$AK$4:$AM$6,3,FALSE)))</f>
        <v/>
      </c>
      <c r="L124" s="478" t="str">
        <f>IFERROR(INDEX('G-7 WaterC'' Data'!$O$3:$O$7,MATCH(G124,'G-7 WaterC'' Data'!$N$3:$N$7,0)),"")</f>
        <v/>
      </c>
      <c r="M124" s="55"/>
      <c r="N124" s="159"/>
      <c r="O124" s="370" t="str">
        <f t="shared" si="6"/>
        <v/>
      </c>
      <c r="P124" s="383" t="str">
        <f t="shared" si="7"/>
        <v/>
      </c>
      <c r="Q124" s="422" t="str">
        <f>IFERROR(IF(P124="Check Data ⚠","Check Data ⚠",VLOOKUP(P124,'G-4 Temporal multipliers'!$A$4:$C$37,3,FALSE)),"")</f>
        <v/>
      </c>
      <c r="R124" s="362" t="str">
        <f>IF(C124="","",VLOOKUP(C124,'G-7 WaterC'' Data'!$B$4:$G$8,4,FALSE))</f>
        <v/>
      </c>
      <c r="S124" s="370" t="str">
        <f t="shared" si="8"/>
        <v/>
      </c>
      <c r="T124" s="401" t="str">
        <f t="shared" si="9"/>
        <v/>
      </c>
      <c r="U124" s="363" t="str">
        <f>IF(C124="","",VLOOKUP(T124,'G-3 Multipliers'!$P$2:$Q$6,2,FALSE))</f>
        <v/>
      </c>
      <c r="V124" s="115"/>
      <c r="W124" s="363" t="str">
        <f>IF(V124="","",IF(VLOOKUP(V124,'G-7 WaterC'' Data'!$AA$4:$AB$7,2,FALSE)=0,"Spatial Data Missing ⚠",VLOOKUP(V124,'G-7 WaterC'' Data'!$AA$4:$AB$7,2,FALSE)))</f>
        <v/>
      </c>
      <c r="X124" s="60"/>
      <c r="Y124" s="363" t="str">
        <f>IF(X124="","",IF(VLOOKUP(X124,'G-7 WaterC'' Data'!$AD$4:$AE$14,2,FALSE)=0,"Enrcoachment Data Missing ⚠",VLOOKUP(X124,'G-7 WaterC'' Data'!$AD$4:$AE$14,2,FALSE)))</f>
        <v/>
      </c>
      <c r="Z124" s="115"/>
      <c r="AA124" s="363" t="str">
        <f>IF(Z124="","",IF(VLOOKUP(Z124,'G-7 WaterC'' Data'!$AO$4:$BO$7,2,FALSE)=0,"Spatial Data Missing ⚠",VLOOKUP(Z124,'G-7 WaterC'' Data'!$AO$4:$BO$7,2,FALSE)))</f>
        <v/>
      </c>
      <c r="AB124" s="405" t="str">
        <f t="shared" si="10"/>
        <v/>
      </c>
      <c r="AC124" s="405" t="str">
        <f t="shared" si="11"/>
        <v/>
      </c>
      <c r="AD124" s="117"/>
      <c r="AE124" s="692"/>
      <c r="AF124" s="119"/>
      <c r="AG124" s="120"/>
      <c r="AL124" s="30" t="str">
        <f>IFERROR(INDEX('G-7 WaterC'' Data'!$AZ$3:$AZ$7,MATCH(C124,'G-7 WaterC'' Data'!$AY$3:$AY$7,0)),"")</f>
        <v/>
      </c>
    </row>
    <row r="125" spans="2:38" ht="15">
      <c r="B125" s="110">
        <v>114</v>
      </c>
      <c r="C125" s="501"/>
      <c r="D125" s="139"/>
      <c r="E125" s="362" t="str">
        <f>IF(C125="","",VLOOKUP(C125,'G-7 WaterC'' Data'!$B$2:$Z$9,2,FALSE))</f>
        <v/>
      </c>
      <c r="F125" s="363" t="str">
        <f>IFERROR(VLOOKUP(E125,'G-7 WaterC'' Data'!$C$4:$D$8,2,FALSE),"")</f>
        <v/>
      </c>
      <c r="G125" s="114"/>
      <c r="H125" s="363" t="str">
        <f>IFERROR(INDEX('G-7 WaterC'' Data'!$H$4:$L$8,MATCH(C125,'G-7 WaterC'' Data'!$B$4:$B$8,0),MATCH(G125,'G-7 WaterC'' Data'!$H$3:$L$3,0)),"")</f>
        <v/>
      </c>
      <c r="I125" s="54"/>
      <c r="J125" s="401" t="str">
        <f>IF(I125="","",IF(VLOOKUP(I125,'G-7 WaterC'' Data'!$AK$4:$AM$6,2,FALSE)=0,"Spatial Data Missing ⚠",VLOOKUP(I125,'G-7 WaterC'' Data'!$AK$4:$AM$6,2,FALSE)))</f>
        <v/>
      </c>
      <c r="K125" s="363" t="str">
        <f>IF(I125="","",IF(VLOOKUP(I125,'G-7 WaterC'' Data'!$AK$4:$AM$6,3,FALSE)=0,"Spatial Data Missing ⚠",VLOOKUP(I125,'G-7 WaterC'' Data'!$AK$4:$AM$6,3,FALSE)))</f>
        <v/>
      </c>
      <c r="L125" s="478" t="str">
        <f>IFERROR(INDEX('G-7 WaterC'' Data'!$O$3:$O$7,MATCH(G125,'G-7 WaterC'' Data'!$N$3:$N$7,0)),"")</f>
        <v/>
      </c>
      <c r="M125" s="55"/>
      <c r="N125" s="159"/>
      <c r="O125" s="370" t="str">
        <f t="shared" si="6"/>
        <v/>
      </c>
      <c r="P125" s="383" t="str">
        <f t="shared" si="7"/>
        <v/>
      </c>
      <c r="Q125" s="422" t="str">
        <f>IFERROR(IF(P125="Check Data ⚠","Check Data ⚠",VLOOKUP(P125,'G-4 Temporal multipliers'!$A$4:$C$37,3,FALSE)),"")</f>
        <v/>
      </c>
      <c r="R125" s="362" t="str">
        <f>IF(C125="","",VLOOKUP(C125,'G-7 WaterC'' Data'!$B$4:$G$8,4,FALSE))</f>
        <v/>
      </c>
      <c r="S125" s="370" t="str">
        <f t="shared" si="8"/>
        <v/>
      </c>
      <c r="T125" s="401" t="str">
        <f t="shared" si="9"/>
        <v/>
      </c>
      <c r="U125" s="363" t="str">
        <f>IF(C125="","",VLOOKUP(T125,'G-3 Multipliers'!$P$2:$Q$6,2,FALSE))</f>
        <v/>
      </c>
      <c r="V125" s="115"/>
      <c r="W125" s="363" t="str">
        <f>IF(V125="","",IF(VLOOKUP(V125,'G-7 WaterC'' Data'!$AA$4:$AB$7,2,FALSE)=0,"Spatial Data Missing ⚠",VLOOKUP(V125,'G-7 WaterC'' Data'!$AA$4:$AB$7,2,FALSE)))</f>
        <v/>
      </c>
      <c r="X125" s="60"/>
      <c r="Y125" s="363" t="str">
        <f>IF(X125="","",IF(VLOOKUP(X125,'G-7 WaterC'' Data'!$AD$4:$AE$14,2,FALSE)=0,"Enrcoachment Data Missing ⚠",VLOOKUP(X125,'G-7 WaterC'' Data'!$AD$4:$AE$14,2,FALSE)))</f>
        <v/>
      </c>
      <c r="Z125" s="115"/>
      <c r="AA125" s="363" t="str">
        <f>IF(Z125="","",IF(VLOOKUP(Z125,'G-7 WaterC'' Data'!$AO$4:$BO$7,2,FALSE)=0,"Spatial Data Missing ⚠",VLOOKUP(Z125,'G-7 WaterC'' Data'!$AO$4:$BO$7,2,FALSE)))</f>
        <v/>
      </c>
      <c r="AB125" s="405" t="str">
        <f t="shared" si="10"/>
        <v/>
      </c>
      <c r="AC125" s="405" t="str">
        <f t="shared" si="11"/>
        <v/>
      </c>
      <c r="AD125" s="117"/>
      <c r="AE125" s="692"/>
      <c r="AF125" s="119"/>
      <c r="AG125" s="120"/>
      <c r="AL125" s="30" t="str">
        <f>IFERROR(INDEX('G-7 WaterC'' Data'!$AZ$3:$AZ$7,MATCH(C125,'G-7 WaterC'' Data'!$AY$3:$AY$7,0)),"")</f>
        <v/>
      </c>
    </row>
    <row r="126" spans="2:38" ht="15">
      <c r="B126" s="110">
        <v>115</v>
      </c>
      <c r="C126" s="501"/>
      <c r="D126" s="139"/>
      <c r="E126" s="362" t="str">
        <f>IF(C126="","",VLOOKUP(C126,'G-7 WaterC'' Data'!$B$2:$Z$9,2,FALSE))</f>
        <v/>
      </c>
      <c r="F126" s="363" t="str">
        <f>IFERROR(VLOOKUP(E126,'G-7 WaterC'' Data'!$C$4:$D$8,2,FALSE),"")</f>
        <v/>
      </c>
      <c r="G126" s="114"/>
      <c r="H126" s="363" t="str">
        <f>IFERROR(INDEX('G-7 WaterC'' Data'!$H$4:$L$8,MATCH(C126,'G-7 WaterC'' Data'!$B$4:$B$8,0),MATCH(G126,'G-7 WaterC'' Data'!$H$3:$L$3,0)),"")</f>
        <v/>
      </c>
      <c r="I126" s="54"/>
      <c r="J126" s="401" t="str">
        <f>IF(I126="","",IF(VLOOKUP(I126,'G-7 WaterC'' Data'!$AK$4:$AM$6,2,FALSE)=0,"Spatial Data Missing ⚠",VLOOKUP(I126,'G-7 WaterC'' Data'!$AK$4:$AM$6,2,FALSE)))</f>
        <v/>
      </c>
      <c r="K126" s="363" t="str">
        <f>IF(I126="","",IF(VLOOKUP(I126,'G-7 WaterC'' Data'!$AK$4:$AM$6,3,FALSE)=0,"Spatial Data Missing ⚠",VLOOKUP(I126,'G-7 WaterC'' Data'!$AK$4:$AM$6,3,FALSE)))</f>
        <v/>
      </c>
      <c r="L126" s="478" t="str">
        <f>IFERROR(INDEX('G-7 WaterC'' Data'!$O$3:$O$7,MATCH(G126,'G-7 WaterC'' Data'!$N$3:$N$7,0)),"")</f>
        <v/>
      </c>
      <c r="M126" s="55"/>
      <c r="N126" s="159"/>
      <c r="O126" s="370" t="str">
        <f t="shared" si="6"/>
        <v/>
      </c>
      <c r="P126" s="383" t="str">
        <f t="shared" si="7"/>
        <v/>
      </c>
      <c r="Q126" s="422" t="str">
        <f>IFERROR(IF(P126="Check Data ⚠","Check Data ⚠",VLOOKUP(P126,'G-4 Temporal multipliers'!$A$4:$C$37,3,FALSE)),"")</f>
        <v/>
      </c>
      <c r="R126" s="362" t="str">
        <f>IF(C126="","",VLOOKUP(C126,'G-7 WaterC'' Data'!$B$4:$G$8,4,FALSE))</f>
        <v/>
      </c>
      <c r="S126" s="370" t="str">
        <f t="shared" si="8"/>
        <v/>
      </c>
      <c r="T126" s="401" t="str">
        <f t="shared" si="9"/>
        <v/>
      </c>
      <c r="U126" s="363" t="str">
        <f>IF(C126="","",VLOOKUP(T126,'G-3 Multipliers'!$P$2:$Q$6,2,FALSE))</f>
        <v/>
      </c>
      <c r="V126" s="115"/>
      <c r="W126" s="363" t="str">
        <f>IF(V126="","",IF(VLOOKUP(V126,'G-7 WaterC'' Data'!$AA$4:$AB$7,2,FALSE)=0,"Spatial Data Missing ⚠",VLOOKUP(V126,'G-7 WaterC'' Data'!$AA$4:$AB$7,2,FALSE)))</f>
        <v/>
      </c>
      <c r="X126" s="60"/>
      <c r="Y126" s="363" t="str">
        <f>IF(X126="","",IF(VLOOKUP(X126,'G-7 WaterC'' Data'!$AD$4:$AE$14,2,FALSE)=0,"Enrcoachment Data Missing ⚠",VLOOKUP(X126,'G-7 WaterC'' Data'!$AD$4:$AE$14,2,FALSE)))</f>
        <v/>
      </c>
      <c r="Z126" s="115"/>
      <c r="AA126" s="363" t="str">
        <f>IF(Z126="","",IF(VLOOKUP(Z126,'G-7 WaterC'' Data'!$AO$4:$BO$7,2,FALSE)=0,"Spatial Data Missing ⚠",VLOOKUP(Z126,'G-7 WaterC'' Data'!$AO$4:$BO$7,2,FALSE)))</f>
        <v/>
      </c>
      <c r="AB126" s="405" t="str">
        <f t="shared" si="10"/>
        <v/>
      </c>
      <c r="AC126" s="405" t="str">
        <f t="shared" si="11"/>
        <v/>
      </c>
      <c r="AD126" s="117"/>
      <c r="AE126" s="692"/>
      <c r="AF126" s="119"/>
      <c r="AG126" s="120"/>
      <c r="AL126" s="30" t="str">
        <f>IFERROR(INDEX('G-7 WaterC'' Data'!$AZ$3:$AZ$7,MATCH(C126,'G-7 WaterC'' Data'!$AY$3:$AY$7,0)),"")</f>
        <v/>
      </c>
    </row>
    <row r="127" spans="2:38" ht="15">
      <c r="B127" s="110">
        <v>116</v>
      </c>
      <c r="C127" s="501"/>
      <c r="D127" s="139"/>
      <c r="E127" s="362" t="str">
        <f>IF(C127="","",VLOOKUP(C127,'G-7 WaterC'' Data'!$B$2:$Z$9,2,FALSE))</f>
        <v/>
      </c>
      <c r="F127" s="363" t="str">
        <f>IFERROR(VLOOKUP(E127,'G-7 WaterC'' Data'!$C$4:$D$8,2,FALSE),"")</f>
        <v/>
      </c>
      <c r="G127" s="114"/>
      <c r="H127" s="363" t="str">
        <f>IFERROR(INDEX('G-7 WaterC'' Data'!$H$4:$L$8,MATCH(C127,'G-7 WaterC'' Data'!$B$4:$B$8,0),MATCH(G127,'G-7 WaterC'' Data'!$H$3:$L$3,0)),"")</f>
        <v/>
      </c>
      <c r="I127" s="54"/>
      <c r="J127" s="401" t="str">
        <f>IF(I127="","",IF(VLOOKUP(I127,'G-7 WaterC'' Data'!$AK$4:$AM$6,2,FALSE)=0,"Spatial Data Missing ⚠",VLOOKUP(I127,'G-7 WaterC'' Data'!$AK$4:$AM$6,2,FALSE)))</f>
        <v/>
      </c>
      <c r="K127" s="363" t="str">
        <f>IF(I127="","",IF(VLOOKUP(I127,'G-7 WaterC'' Data'!$AK$4:$AM$6,3,FALSE)=0,"Spatial Data Missing ⚠",VLOOKUP(I127,'G-7 WaterC'' Data'!$AK$4:$AM$6,3,FALSE)))</f>
        <v/>
      </c>
      <c r="L127" s="478" t="str">
        <f>IFERROR(INDEX('G-7 WaterC'' Data'!$O$3:$O$7,MATCH(G127,'G-7 WaterC'' Data'!$N$3:$N$7,0)),"")</f>
        <v/>
      </c>
      <c r="M127" s="55"/>
      <c r="N127" s="159"/>
      <c r="O127" s="370" t="str">
        <f t="shared" si="6"/>
        <v/>
      </c>
      <c r="P127" s="383" t="str">
        <f t="shared" si="7"/>
        <v/>
      </c>
      <c r="Q127" s="422" t="str">
        <f>IFERROR(IF(P127="Check Data ⚠","Check Data ⚠",VLOOKUP(P127,'G-4 Temporal multipliers'!$A$4:$C$37,3,FALSE)),"")</f>
        <v/>
      </c>
      <c r="R127" s="362" t="str">
        <f>IF(C127="","",VLOOKUP(C127,'G-7 WaterC'' Data'!$B$4:$G$8,4,FALSE))</f>
        <v/>
      </c>
      <c r="S127" s="370" t="str">
        <f t="shared" si="8"/>
        <v/>
      </c>
      <c r="T127" s="401" t="str">
        <f t="shared" si="9"/>
        <v/>
      </c>
      <c r="U127" s="363" t="str">
        <f>IF(C127="","",VLOOKUP(T127,'G-3 Multipliers'!$P$2:$Q$6,2,FALSE))</f>
        <v/>
      </c>
      <c r="V127" s="115"/>
      <c r="W127" s="363" t="str">
        <f>IF(V127="","",IF(VLOOKUP(V127,'G-7 WaterC'' Data'!$AA$4:$AB$7,2,FALSE)=0,"Spatial Data Missing ⚠",VLOOKUP(V127,'G-7 WaterC'' Data'!$AA$4:$AB$7,2,FALSE)))</f>
        <v/>
      </c>
      <c r="X127" s="60"/>
      <c r="Y127" s="363" t="str">
        <f>IF(X127="","",IF(VLOOKUP(X127,'G-7 WaterC'' Data'!$AD$4:$AE$14,2,FALSE)=0,"Enrcoachment Data Missing ⚠",VLOOKUP(X127,'G-7 WaterC'' Data'!$AD$4:$AE$14,2,FALSE)))</f>
        <v/>
      </c>
      <c r="Z127" s="115"/>
      <c r="AA127" s="363" t="str">
        <f>IF(Z127="","",IF(VLOOKUP(Z127,'G-7 WaterC'' Data'!$AO$4:$BO$7,2,FALSE)=0,"Spatial Data Missing ⚠",VLOOKUP(Z127,'G-7 WaterC'' Data'!$AO$4:$BO$7,2,FALSE)))</f>
        <v/>
      </c>
      <c r="AB127" s="405" t="str">
        <f t="shared" si="10"/>
        <v/>
      </c>
      <c r="AC127" s="405" t="str">
        <f t="shared" si="11"/>
        <v/>
      </c>
      <c r="AD127" s="117"/>
      <c r="AE127" s="692"/>
      <c r="AF127" s="119"/>
      <c r="AG127" s="120"/>
      <c r="AL127" s="30" t="str">
        <f>IFERROR(INDEX('G-7 WaterC'' Data'!$AZ$3:$AZ$7,MATCH(C127,'G-7 WaterC'' Data'!$AY$3:$AY$7,0)),"")</f>
        <v/>
      </c>
    </row>
    <row r="128" spans="2:38" ht="15">
      <c r="B128" s="110">
        <v>117</v>
      </c>
      <c r="C128" s="501"/>
      <c r="D128" s="139"/>
      <c r="E128" s="362" t="str">
        <f>IF(C128="","",VLOOKUP(C128,'G-7 WaterC'' Data'!$B$2:$Z$9,2,FALSE))</f>
        <v/>
      </c>
      <c r="F128" s="363" t="str">
        <f>IFERROR(VLOOKUP(E128,'G-7 WaterC'' Data'!$C$4:$D$8,2,FALSE),"")</f>
        <v/>
      </c>
      <c r="G128" s="114"/>
      <c r="H128" s="363" t="str">
        <f>IFERROR(INDEX('G-7 WaterC'' Data'!$H$4:$L$8,MATCH(C128,'G-7 WaterC'' Data'!$B$4:$B$8,0),MATCH(G128,'G-7 WaterC'' Data'!$H$3:$L$3,0)),"")</f>
        <v/>
      </c>
      <c r="I128" s="54"/>
      <c r="J128" s="401" t="str">
        <f>IF(I128="","",IF(VLOOKUP(I128,'G-7 WaterC'' Data'!$AK$4:$AM$6,2,FALSE)=0,"Spatial Data Missing ⚠",VLOOKUP(I128,'G-7 WaterC'' Data'!$AK$4:$AM$6,2,FALSE)))</f>
        <v/>
      </c>
      <c r="K128" s="363" t="str">
        <f>IF(I128="","",IF(VLOOKUP(I128,'G-7 WaterC'' Data'!$AK$4:$AM$6,3,FALSE)=0,"Spatial Data Missing ⚠",VLOOKUP(I128,'G-7 WaterC'' Data'!$AK$4:$AM$6,3,FALSE)))</f>
        <v/>
      </c>
      <c r="L128" s="478" t="str">
        <f>IFERROR(INDEX('G-7 WaterC'' Data'!$O$3:$O$7,MATCH(G128,'G-7 WaterC'' Data'!$N$3:$N$7,0)),"")</f>
        <v/>
      </c>
      <c r="M128" s="55"/>
      <c r="N128" s="159"/>
      <c r="O128" s="370" t="str">
        <f t="shared" si="6"/>
        <v/>
      </c>
      <c r="P128" s="383" t="str">
        <f t="shared" si="7"/>
        <v/>
      </c>
      <c r="Q128" s="422" t="str">
        <f>IFERROR(IF(P128="Check Data ⚠","Check Data ⚠",VLOOKUP(P128,'G-4 Temporal multipliers'!$A$4:$C$37,3,FALSE)),"")</f>
        <v/>
      </c>
      <c r="R128" s="362" t="str">
        <f>IF(C128="","",VLOOKUP(C128,'G-7 WaterC'' Data'!$B$4:$G$8,4,FALSE))</f>
        <v/>
      </c>
      <c r="S128" s="370" t="str">
        <f t="shared" si="8"/>
        <v/>
      </c>
      <c r="T128" s="401" t="str">
        <f t="shared" si="9"/>
        <v/>
      </c>
      <c r="U128" s="363" t="str">
        <f>IF(C128="","",VLOOKUP(T128,'G-3 Multipliers'!$P$2:$Q$6,2,FALSE))</f>
        <v/>
      </c>
      <c r="V128" s="115"/>
      <c r="W128" s="363" t="str">
        <f>IF(V128="","",IF(VLOOKUP(V128,'G-7 WaterC'' Data'!$AA$4:$AB$7,2,FALSE)=0,"Spatial Data Missing ⚠",VLOOKUP(V128,'G-7 WaterC'' Data'!$AA$4:$AB$7,2,FALSE)))</f>
        <v/>
      </c>
      <c r="X128" s="60"/>
      <c r="Y128" s="363" t="str">
        <f>IF(X128="","",IF(VLOOKUP(X128,'G-7 WaterC'' Data'!$AD$4:$AE$14,2,FALSE)=0,"Enrcoachment Data Missing ⚠",VLOOKUP(X128,'G-7 WaterC'' Data'!$AD$4:$AE$14,2,FALSE)))</f>
        <v/>
      </c>
      <c r="Z128" s="115"/>
      <c r="AA128" s="363" t="str">
        <f>IF(Z128="","",IF(VLOOKUP(Z128,'G-7 WaterC'' Data'!$AO$4:$BO$7,2,FALSE)=0,"Spatial Data Missing ⚠",VLOOKUP(Z128,'G-7 WaterC'' Data'!$AO$4:$BO$7,2,FALSE)))</f>
        <v/>
      </c>
      <c r="AB128" s="405" t="str">
        <f t="shared" si="10"/>
        <v/>
      </c>
      <c r="AC128" s="405" t="str">
        <f t="shared" si="11"/>
        <v/>
      </c>
      <c r="AD128" s="117"/>
      <c r="AE128" s="692"/>
      <c r="AF128" s="119"/>
      <c r="AG128" s="120"/>
      <c r="AL128" s="30" t="str">
        <f>IFERROR(INDEX('G-7 WaterC'' Data'!$AZ$3:$AZ$7,MATCH(C128,'G-7 WaterC'' Data'!$AY$3:$AY$7,0)),"")</f>
        <v/>
      </c>
    </row>
    <row r="129" spans="2:38" ht="15">
      <c r="B129" s="110">
        <v>118</v>
      </c>
      <c r="C129" s="501"/>
      <c r="D129" s="139"/>
      <c r="E129" s="362" t="str">
        <f>IF(C129="","",VLOOKUP(C129,'G-7 WaterC'' Data'!$B$2:$Z$9,2,FALSE))</f>
        <v/>
      </c>
      <c r="F129" s="363" t="str">
        <f>IFERROR(VLOOKUP(E129,'G-7 WaterC'' Data'!$C$4:$D$8,2,FALSE),"")</f>
        <v/>
      </c>
      <c r="G129" s="114"/>
      <c r="H129" s="363" t="str">
        <f>IFERROR(INDEX('G-7 WaterC'' Data'!$H$4:$L$8,MATCH(C129,'G-7 WaterC'' Data'!$B$4:$B$8,0),MATCH(G129,'G-7 WaterC'' Data'!$H$3:$L$3,0)),"")</f>
        <v/>
      </c>
      <c r="I129" s="54"/>
      <c r="J129" s="401" t="str">
        <f>IF(I129="","",IF(VLOOKUP(I129,'G-7 WaterC'' Data'!$AK$4:$AM$6,2,FALSE)=0,"Spatial Data Missing ⚠",VLOOKUP(I129,'G-7 WaterC'' Data'!$AK$4:$AM$6,2,FALSE)))</f>
        <v/>
      </c>
      <c r="K129" s="363" t="str">
        <f>IF(I129="","",IF(VLOOKUP(I129,'G-7 WaterC'' Data'!$AK$4:$AM$6,3,FALSE)=0,"Spatial Data Missing ⚠",VLOOKUP(I129,'G-7 WaterC'' Data'!$AK$4:$AM$6,3,FALSE)))</f>
        <v/>
      </c>
      <c r="L129" s="478" t="str">
        <f>IFERROR(INDEX('G-7 WaterC'' Data'!$O$3:$O$7,MATCH(G129,'G-7 WaterC'' Data'!$N$3:$N$7,0)),"")</f>
        <v/>
      </c>
      <c r="M129" s="55"/>
      <c r="N129" s="159"/>
      <c r="O129" s="370" t="str">
        <f t="shared" si="6"/>
        <v/>
      </c>
      <c r="P129" s="383" t="str">
        <f t="shared" si="7"/>
        <v/>
      </c>
      <c r="Q129" s="422" t="str">
        <f>IFERROR(IF(P129="Check Data ⚠","Check Data ⚠",VLOOKUP(P129,'G-4 Temporal multipliers'!$A$4:$C$37,3,FALSE)),"")</f>
        <v/>
      </c>
      <c r="R129" s="362" t="str">
        <f>IF(C129="","",VLOOKUP(C129,'G-7 WaterC'' Data'!$B$4:$G$8,4,FALSE))</f>
        <v/>
      </c>
      <c r="S129" s="370" t="str">
        <f t="shared" si="8"/>
        <v/>
      </c>
      <c r="T129" s="401" t="str">
        <f t="shared" si="9"/>
        <v/>
      </c>
      <c r="U129" s="363" t="str">
        <f>IF(C129="","",VLOOKUP(T129,'G-3 Multipliers'!$P$2:$Q$6,2,FALSE))</f>
        <v/>
      </c>
      <c r="V129" s="115"/>
      <c r="W129" s="363" t="str">
        <f>IF(V129="","",IF(VLOOKUP(V129,'G-7 WaterC'' Data'!$AA$4:$AB$7,2,FALSE)=0,"Spatial Data Missing ⚠",VLOOKUP(V129,'G-7 WaterC'' Data'!$AA$4:$AB$7,2,FALSE)))</f>
        <v/>
      </c>
      <c r="X129" s="60"/>
      <c r="Y129" s="363" t="str">
        <f>IF(X129="","",IF(VLOOKUP(X129,'G-7 WaterC'' Data'!$AD$4:$AE$14,2,FALSE)=0,"Enrcoachment Data Missing ⚠",VLOOKUP(X129,'G-7 WaterC'' Data'!$AD$4:$AE$14,2,FALSE)))</f>
        <v/>
      </c>
      <c r="Z129" s="115"/>
      <c r="AA129" s="363" t="str">
        <f>IF(Z129="","",IF(VLOOKUP(Z129,'G-7 WaterC'' Data'!$AO$4:$BO$7,2,FALSE)=0,"Spatial Data Missing ⚠",VLOOKUP(Z129,'G-7 WaterC'' Data'!$AO$4:$BO$7,2,FALSE)))</f>
        <v/>
      </c>
      <c r="AB129" s="405" t="str">
        <f t="shared" si="10"/>
        <v/>
      </c>
      <c r="AC129" s="405" t="str">
        <f t="shared" si="11"/>
        <v/>
      </c>
      <c r="AD129" s="117"/>
      <c r="AE129" s="692"/>
      <c r="AF129" s="119"/>
      <c r="AG129" s="120"/>
      <c r="AL129" s="30" t="str">
        <f>IFERROR(INDEX('G-7 WaterC'' Data'!$AZ$3:$AZ$7,MATCH(C129,'G-7 WaterC'' Data'!$AY$3:$AY$7,0)),"")</f>
        <v/>
      </c>
    </row>
    <row r="130" spans="2:38" ht="15">
      <c r="B130" s="110">
        <v>119</v>
      </c>
      <c r="C130" s="501"/>
      <c r="D130" s="139"/>
      <c r="E130" s="362" t="str">
        <f>IF(C130="","",VLOOKUP(C130,'G-7 WaterC'' Data'!$B$2:$Z$9,2,FALSE))</f>
        <v/>
      </c>
      <c r="F130" s="363" t="str">
        <f>IFERROR(VLOOKUP(E130,'G-7 WaterC'' Data'!$C$4:$D$8,2,FALSE),"")</f>
        <v/>
      </c>
      <c r="G130" s="114"/>
      <c r="H130" s="363" t="str">
        <f>IFERROR(INDEX('G-7 WaterC'' Data'!$H$4:$L$8,MATCH(C130,'G-7 WaterC'' Data'!$B$4:$B$8,0),MATCH(G130,'G-7 WaterC'' Data'!$H$3:$L$3,0)),"")</f>
        <v/>
      </c>
      <c r="I130" s="54"/>
      <c r="J130" s="401" t="str">
        <f>IF(I130="","",IF(VLOOKUP(I130,'G-7 WaterC'' Data'!$AK$4:$AM$6,2,FALSE)=0,"Spatial Data Missing ⚠",VLOOKUP(I130,'G-7 WaterC'' Data'!$AK$4:$AM$6,2,FALSE)))</f>
        <v/>
      </c>
      <c r="K130" s="363" t="str">
        <f>IF(I130="","",IF(VLOOKUP(I130,'G-7 WaterC'' Data'!$AK$4:$AM$6,3,FALSE)=0,"Spatial Data Missing ⚠",VLOOKUP(I130,'G-7 WaterC'' Data'!$AK$4:$AM$6,3,FALSE)))</f>
        <v/>
      </c>
      <c r="L130" s="478" t="str">
        <f>IFERROR(INDEX('G-7 WaterC'' Data'!$O$3:$O$7,MATCH(G130,'G-7 WaterC'' Data'!$N$3:$N$7,0)),"")</f>
        <v/>
      </c>
      <c r="M130" s="55"/>
      <c r="N130" s="159"/>
      <c r="O130" s="370" t="str">
        <f t="shared" si="6"/>
        <v/>
      </c>
      <c r="P130" s="383" t="str">
        <f t="shared" si="7"/>
        <v/>
      </c>
      <c r="Q130" s="422" t="str">
        <f>IFERROR(IF(P130="Check Data ⚠","Check Data ⚠",VLOOKUP(P130,'G-4 Temporal multipliers'!$A$4:$C$37,3,FALSE)),"")</f>
        <v/>
      </c>
      <c r="R130" s="362" t="str">
        <f>IF(C130="","",VLOOKUP(C130,'G-7 WaterC'' Data'!$B$4:$G$8,4,FALSE))</f>
        <v/>
      </c>
      <c r="S130" s="370" t="str">
        <f t="shared" si="8"/>
        <v/>
      </c>
      <c r="T130" s="401" t="str">
        <f t="shared" si="9"/>
        <v/>
      </c>
      <c r="U130" s="363" t="str">
        <f>IF(C130="","",VLOOKUP(T130,'G-3 Multipliers'!$P$2:$Q$6,2,FALSE))</f>
        <v/>
      </c>
      <c r="V130" s="115"/>
      <c r="W130" s="363" t="str">
        <f>IF(V130="","",IF(VLOOKUP(V130,'G-7 WaterC'' Data'!$AA$4:$AB$7,2,FALSE)=0,"Spatial Data Missing ⚠",VLOOKUP(V130,'G-7 WaterC'' Data'!$AA$4:$AB$7,2,FALSE)))</f>
        <v/>
      </c>
      <c r="X130" s="60"/>
      <c r="Y130" s="363" t="str">
        <f>IF(X130="","",IF(VLOOKUP(X130,'G-7 WaterC'' Data'!$AD$4:$AE$14,2,FALSE)=0,"Enrcoachment Data Missing ⚠",VLOOKUP(X130,'G-7 WaterC'' Data'!$AD$4:$AE$14,2,FALSE)))</f>
        <v/>
      </c>
      <c r="Z130" s="115"/>
      <c r="AA130" s="363" t="str">
        <f>IF(Z130="","",IF(VLOOKUP(Z130,'G-7 WaterC'' Data'!$AO$4:$BO$7,2,FALSE)=0,"Spatial Data Missing ⚠",VLOOKUP(Z130,'G-7 WaterC'' Data'!$AO$4:$BO$7,2,FALSE)))</f>
        <v/>
      </c>
      <c r="AB130" s="405" t="str">
        <f t="shared" si="10"/>
        <v/>
      </c>
      <c r="AC130" s="405" t="str">
        <f t="shared" si="11"/>
        <v/>
      </c>
      <c r="AD130" s="117"/>
      <c r="AE130" s="692"/>
      <c r="AF130" s="119"/>
      <c r="AG130" s="120"/>
      <c r="AL130" s="30" t="str">
        <f>IFERROR(INDEX('G-7 WaterC'' Data'!$AZ$3:$AZ$7,MATCH(C130,'G-7 WaterC'' Data'!$AY$3:$AY$7,0)),"")</f>
        <v/>
      </c>
    </row>
    <row r="131" spans="2:38" ht="15">
      <c r="B131" s="110">
        <v>120</v>
      </c>
      <c r="C131" s="501"/>
      <c r="D131" s="139"/>
      <c r="E131" s="362" t="str">
        <f>IF(C131="","",VLOOKUP(C131,'G-7 WaterC'' Data'!$B$2:$Z$9,2,FALSE))</f>
        <v/>
      </c>
      <c r="F131" s="363" t="str">
        <f>IFERROR(VLOOKUP(E131,'G-7 WaterC'' Data'!$C$4:$D$8,2,FALSE),"")</f>
        <v/>
      </c>
      <c r="G131" s="114"/>
      <c r="H131" s="363" t="str">
        <f>IFERROR(INDEX('G-7 WaterC'' Data'!$H$4:$L$8,MATCH(C131,'G-7 WaterC'' Data'!$B$4:$B$8,0),MATCH(G131,'G-7 WaterC'' Data'!$H$3:$L$3,0)),"")</f>
        <v/>
      </c>
      <c r="I131" s="54"/>
      <c r="J131" s="401" t="str">
        <f>IF(I131="","",IF(VLOOKUP(I131,'G-7 WaterC'' Data'!$AK$4:$AM$6,2,FALSE)=0,"Spatial Data Missing ⚠",VLOOKUP(I131,'G-7 WaterC'' Data'!$AK$4:$AM$6,2,FALSE)))</f>
        <v/>
      </c>
      <c r="K131" s="363" t="str">
        <f>IF(I131="","",IF(VLOOKUP(I131,'G-7 WaterC'' Data'!$AK$4:$AM$6,3,FALSE)=0,"Spatial Data Missing ⚠",VLOOKUP(I131,'G-7 WaterC'' Data'!$AK$4:$AM$6,3,FALSE)))</f>
        <v/>
      </c>
      <c r="L131" s="478" t="str">
        <f>IFERROR(INDEX('G-7 WaterC'' Data'!$O$3:$O$7,MATCH(G131,'G-7 WaterC'' Data'!$N$3:$N$7,0)),"")</f>
        <v/>
      </c>
      <c r="M131" s="55"/>
      <c r="N131" s="159"/>
      <c r="O131" s="370" t="str">
        <f t="shared" si="6"/>
        <v/>
      </c>
      <c r="P131" s="383" t="str">
        <f t="shared" si="7"/>
        <v/>
      </c>
      <c r="Q131" s="422" t="str">
        <f>IFERROR(IF(P131="Check Data ⚠","Check Data ⚠",VLOOKUP(P131,'G-4 Temporal multipliers'!$A$4:$C$37,3,FALSE)),"")</f>
        <v/>
      </c>
      <c r="R131" s="362" t="str">
        <f>IF(C131="","",VLOOKUP(C131,'G-7 WaterC'' Data'!$B$4:$G$8,4,FALSE))</f>
        <v/>
      </c>
      <c r="S131" s="370" t="str">
        <f t="shared" si="8"/>
        <v/>
      </c>
      <c r="T131" s="401" t="str">
        <f t="shared" si="9"/>
        <v/>
      </c>
      <c r="U131" s="363" t="str">
        <f>IF(C131="","",VLOOKUP(T131,'G-3 Multipliers'!$P$2:$Q$6,2,FALSE))</f>
        <v/>
      </c>
      <c r="V131" s="115"/>
      <c r="W131" s="363" t="str">
        <f>IF(V131="","",IF(VLOOKUP(V131,'G-7 WaterC'' Data'!$AA$4:$AB$7,2,FALSE)=0,"Spatial Data Missing ⚠",VLOOKUP(V131,'G-7 WaterC'' Data'!$AA$4:$AB$7,2,FALSE)))</f>
        <v/>
      </c>
      <c r="X131" s="60"/>
      <c r="Y131" s="363" t="str">
        <f>IF(X131="","",IF(VLOOKUP(X131,'G-7 WaterC'' Data'!$AD$4:$AE$14,2,FALSE)=0,"Enrcoachment Data Missing ⚠",VLOOKUP(X131,'G-7 WaterC'' Data'!$AD$4:$AE$14,2,FALSE)))</f>
        <v/>
      </c>
      <c r="Z131" s="115"/>
      <c r="AA131" s="363" t="str">
        <f>IF(Z131="","",IF(VLOOKUP(Z131,'G-7 WaterC'' Data'!$AO$4:$BO$7,2,FALSE)=0,"Spatial Data Missing ⚠",VLOOKUP(Z131,'G-7 WaterC'' Data'!$AO$4:$BO$7,2,FALSE)))</f>
        <v/>
      </c>
      <c r="AB131" s="405" t="str">
        <f t="shared" si="10"/>
        <v/>
      </c>
      <c r="AC131" s="405" t="str">
        <f t="shared" si="11"/>
        <v/>
      </c>
      <c r="AD131" s="117"/>
      <c r="AE131" s="692"/>
      <c r="AF131" s="119"/>
      <c r="AG131" s="120"/>
      <c r="AL131" s="30" t="str">
        <f>IFERROR(INDEX('G-7 WaterC'' Data'!$AZ$3:$AZ$7,MATCH(C131,'G-7 WaterC'' Data'!$AY$3:$AY$7,0)),"")</f>
        <v/>
      </c>
    </row>
    <row r="132" spans="2:38" ht="15">
      <c r="B132" s="110">
        <v>121</v>
      </c>
      <c r="C132" s="501"/>
      <c r="D132" s="139"/>
      <c r="E132" s="362" t="str">
        <f>IF(C132="","",VLOOKUP(C132,'G-7 WaterC'' Data'!$B$2:$Z$9,2,FALSE))</f>
        <v/>
      </c>
      <c r="F132" s="363" t="str">
        <f>IFERROR(VLOOKUP(E132,'G-7 WaterC'' Data'!$C$4:$D$8,2,FALSE),"")</f>
        <v/>
      </c>
      <c r="G132" s="114"/>
      <c r="H132" s="363" t="str">
        <f>IFERROR(INDEX('G-7 WaterC'' Data'!$H$4:$L$8,MATCH(C132,'G-7 WaterC'' Data'!$B$4:$B$8,0),MATCH(G132,'G-7 WaterC'' Data'!$H$3:$L$3,0)),"")</f>
        <v/>
      </c>
      <c r="I132" s="54"/>
      <c r="J132" s="401" t="str">
        <f>IF(I132="","",IF(VLOOKUP(I132,'G-7 WaterC'' Data'!$AK$4:$AM$6,2,FALSE)=0,"Spatial Data Missing ⚠",VLOOKUP(I132,'G-7 WaterC'' Data'!$AK$4:$AM$6,2,FALSE)))</f>
        <v/>
      </c>
      <c r="K132" s="363" t="str">
        <f>IF(I132="","",IF(VLOOKUP(I132,'G-7 WaterC'' Data'!$AK$4:$AM$6,3,FALSE)=0,"Spatial Data Missing ⚠",VLOOKUP(I132,'G-7 WaterC'' Data'!$AK$4:$AM$6,3,FALSE)))</f>
        <v/>
      </c>
      <c r="L132" s="478" t="str">
        <f>IFERROR(INDEX('G-7 WaterC'' Data'!$O$3:$O$7,MATCH(G132,'G-7 WaterC'' Data'!$N$3:$N$7,0)),"")</f>
        <v/>
      </c>
      <c r="M132" s="55"/>
      <c r="N132" s="159"/>
      <c r="O132" s="370" t="str">
        <f t="shared" si="6"/>
        <v/>
      </c>
      <c r="P132" s="383" t="str">
        <f t="shared" si="7"/>
        <v/>
      </c>
      <c r="Q132" s="422" t="str">
        <f>IFERROR(IF(P132="Check Data ⚠","Check Data ⚠",VLOOKUP(P132,'G-4 Temporal multipliers'!$A$4:$C$37,3,FALSE)),"")</f>
        <v/>
      </c>
      <c r="R132" s="362" t="str">
        <f>IF(C132="","",VLOOKUP(C132,'G-7 WaterC'' Data'!$B$4:$G$8,4,FALSE))</f>
        <v/>
      </c>
      <c r="S132" s="370" t="str">
        <f t="shared" si="8"/>
        <v/>
      </c>
      <c r="T132" s="401" t="str">
        <f t="shared" si="9"/>
        <v/>
      </c>
      <c r="U132" s="363" t="str">
        <f>IF(C132="","",VLOOKUP(T132,'G-3 Multipliers'!$P$2:$Q$6,2,FALSE))</f>
        <v/>
      </c>
      <c r="V132" s="115"/>
      <c r="W132" s="363" t="str">
        <f>IF(V132="","",IF(VLOOKUP(V132,'G-7 WaterC'' Data'!$AA$4:$AB$7,2,FALSE)=0,"Spatial Data Missing ⚠",VLOOKUP(V132,'G-7 WaterC'' Data'!$AA$4:$AB$7,2,FALSE)))</f>
        <v/>
      </c>
      <c r="X132" s="60"/>
      <c r="Y132" s="363" t="str">
        <f>IF(X132="","",IF(VLOOKUP(X132,'G-7 WaterC'' Data'!$AD$4:$AE$14,2,FALSE)=0,"Enrcoachment Data Missing ⚠",VLOOKUP(X132,'G-7 WaterC'' Data'!$AD$4:$AE$14,2,FALSE)))</f>
        <v/>
      </c>
      <c r="Z132" s="115"/>
      <c r="AA132" s="363" t="str">
        <f>IF(Z132="","",IF(VLOOKUP(Z132,'G-7 WaterC'' Data'!$AO$4:$BO$7,2,FALSE)=0,"Spatial Data Missing ⚠",VLOOKUP(Z132,'G-7 WaterC'' Data'!$AO$4:$BO$7,2,FALSE)))</f>
        <v/>
      </c>
      <c r="AB132" s="405" t="str">
        <f t="shared" si="10"/>
        <v/>
      </c>
      <c r="AC132" s="405" t="str">
        <f t="shared" si="11"/>
        <v/>
      </c>
      <c r="AD132" s="117"/>
      <c r="AE132" s="692"/>
      <c r="AF132" s="119"/>
      <c r="AG132" s="120"/>
      <c r="AL132" s="30" t="str">
        <f>IFERROR(INDEX('G-7 WaterC'' Data'!$AZ$3:$AZ$7,MATCH(C132,'G-7 WaterC'' Data'!$AY$3:$AY$7,0)),"")</f>
        <v/>
      </c>
    </row>
    <row r="133" spans="2:38" ht="15">
      <c r="B133" s="110">
        <v>122</v>
      </c>
      <c r="C133" s="501"/>
      <c r="D133" s="139"/>
      <c r="E133" s="362" t="str">
        <f>IF(C133="","",VLOOKUP(C133,'G-7 WaterC'' Data'!$B$2:$Z$9,2,FALSE))</f>
        <v/>
      </c>
      <c r="F133" s="363" t="str">
        <f>IFERROR(VLOOKUP(E133,'G-7 WaterC'' Data'!$C$4:$D$8,2,FALSE),"")</f>
        <v/>
      </c>
      <c r="G133" s="114"/>
      <c r="H133" s="363" t="str">
        <f>IFERROR(INDEX('G-7 WaterC'' Data'!$H$4:$L$8,MATCH(C133,'G-7 WaterC'' Data'!$B$4:$B$8,0),MATCH(G133,'G-7 WaterC'' Data'!$H$3:$L$3,0)),"")</f>
        <v/>
      </c>
      <c r="I133" s="54"/>
      <c r="J133" s="401" t="str">
        <f>IF(I133="","",IF(VLOOKUP(I133,'G-7 WaterC'' Data'!$AK$4:$AM$6,2,FALSE)=0,"Spatial Data Missing ⚠",VLOOKUP(I133,'G-7 WaterC'' Data'!$AK$4:$AM$6,2,FALSE)))</f>
        <v/>
      </c>
      <c r="K133" s="363" t="str">
        <f>IF(I133="","",IF(VLOOKUP(I133,'G-7 WaterC'' Data'!$AK$4:$AM$6,3,FALSE)=0,"Spatial Data Missing ⚠",VLOOKUP(I133,'G-7 WaterC'' Data'!$AK$4:$AM$6,3,FALSE)))</f>
        <v/>
      </c>
      <c r="L133" s="478" t="str">
        <f>IFERROR(INDEX('G-7 WaterC'' Data'!$O$3:$O$7,MATCH(G133,'G-7 WaterC'' Data'!$N$3:$N$7,0)),"")</f>
        <v/>
      </c>
      <c r="M133" s="55"/>
      <c r="N133" s="159"/>
      <c r="O133" s="370" t="str">
        <f t="shared" si="6"/>
        <v/>
      </c>
      <c r="P133" s="383" t="str">
        <f t="shared" si="7"/>
        <v/>
      </c>
      <c r="Q133" s="422" t="str">
        <f>IFERROR(IF(P133="Check Data ⚠","Check Data ⚠",VLOOKUP(P133,'G-4 Temporal multipliers'!$A$4:$C$37,3,FALSE)),"")</f>
        <v/>
      </c>
      <c r="R133" s="362" t="str">
        <f>IF(C133="","",VLOOKUP(C133,'G-7 WaterC'' Data'!$B$4:$G$8,4,FALSE))</f>
        <v/>
      </c>
      <c r="S133" s="370" t="str">
        <f t="shared" si="8"/>
        <v/>
      </c>
      <c r="T133" s="401" t="str">
        <f t="shared" si="9"/>
        <v/>
      </c>
      <c r="U133" s="363" t="str">
        <f>IF(C133="","",VLOOKUP(T133,'G-3 Multipliers'!$P$2:$Q$6,2,FALSE))</f>
        <v/>
      </c>
      <c r="V133" s="115"/>
      <c r="W133" s="363" t="str">
        <f>IF(V133="","",IF(VLOOKUP(V133,'G-7 WaterC'' Data'!$AA$4:$AB$7,2,FALSE)=0,"Spatial Data Missing ⚠",VLOOKUP(V133,'G-7 WaterC'' Data'!$AA$4:$AB$7,2,FALSE)))</f>
        <v/>
      </c>
      <c r="X133" s="60"/>
      <c r="Y133" s="363" t="str">
        <f>IF(X133="","",IF(VLOOKUP(X133,'G-7 WaterC'' Data'!$AD$4:$AE$14,2,FALSE)=0,"Enrcoachment Data Missing ⚠",VLOOKUP(X133,'G-7 WaterC'' Data'!$AD$4:$AE$14,2,FALSE)))</f>
        <v/>
      </c>
      <c r="Z133" s="115"/>
      <c r="AA133" s="363" t="str">
        <f>IF(Z133="","",IF(VLOOKUP(Z133,'G-7 WaterC'' Data'!$AO$4:$BO$7,2,FALSE)=0,"Spatial Data Missing ⚠",VLOOKUP(Z133,'G-7 WaterC'' Data'!$AO$4:$BO$7,2,FALSE)))</f>
        <v/>
      </c>
      <c r="AB133" s="405" t="str">
        <f t="shared" si="10"/>
        <v/>
      </c>
      <c r="AC133" s="405" t="str">
        <f t="shared" si="11"/>
        <v/>
      </c>
      <c r="AD133" s="117"/>
      <c r="AE133" s="692"/>
      <c r="AF133" s="119"/>
      <c r="AG133" s="120"/>
      <c r="AL133" s="30" t="str">
        <f>IFERROR(INDEX('G-7 WaterC'' Data'!$AZ$3:$AZ$7,MATCH(C133,'G-7 WaterC'' Data'!$AY$3:$AY$7,0)),"")</f>
        <v/>
      </c>
    </row>
    <row r="134" spans="2:38" ht="15">
      <c r="B134" s="110">
        <v>123</v>
      </c>
      <c r="C134" s="501"/>
      <c r="D134" s="139"/>
      <c r="E134" s="362" t="str">
        <f>IF(C134="","",VLOOKUP(C134,'G-7 WaterC'' Data'!$B$2:$Z$9,2,FALSE))</f>
        <v/>
      </c>
      <c r="F134" s="363" t="str">
        <f>IFERROR(VLOOKUP(E134,'G-7 WaterC'' Data'!$C$4:$D$8,2,FALSE),"")</f>
        <v/>
      </c>
      <c r="G134" s="114"/>
      <c r="H134" s="363" t="str">
        <f>IFERROR(INDEX('G-7 WaterC'' Data'!$H$4:$L$8,MATCH(C134,'G-7 WaterC'' Data'!$B$4:$B$8,0),MATCH(G134,'G-7 WaterC'' Data'!$H$3:$L$3,0)),"")</f>
        <v/>
      </c>
      <c r="I134" s="54"/>
      <c r="J134" s="401" t="str">
        <f>IF(I134="","",IF(VLOOKUP(I134,'G-7 WaterC'' Data'!$AK$4:$AM$6,2,FALSE)=0,"Spatial Data Missing ⚠",VLOOKUP(I134,'G-7 WaterC'' Data'!$AK$4:$AM$6,2,FALSE)))</f>
        <v/>
      </c>
      <c r="K134" s="363" t="str">
        <f>IF(I134="","",IF(VLOOKUP(I134,'G-7 WaterC'' Data'!$AK$4:$AM$6,3,FALSE)=0,"Spatial Data Missing ⚠",VLOOKUP(I134,'G-7 WaterC'' Data'!$AK$4:$AM$6,3,FALSE)))</f>
        <v/>
      </c>
      <c r="L134" s="478" t="str">
        <f>IFERROR(INDEX('G-7 WaterC'' Data'!$O$3:$O$7,MATCH(G134,'G-7 WaterC'' Data'!$N$3:$N$7,0)),"")</f>
        <v/>
      </c>
      <c r="M134" s="55"/>
      <c r="N134" s="159"/>
      <c r="O134" s="370" t="str">
        <f t="shared" si="6"/>
        <v/>
      </c>
      <c r="P134" s="383" t="str">
        <f t="shared" si="7"/>
        <v/>
      </c>
      <c r="Q134" s="422" t="str">
        <f>IFERROR(IF(P134="Check Data ⚠","Check Data ⚠",VLOOKUP(P134,'G-4 Temporal multipliers'!$A$4:$C$37,3,FALSE)),"")</f>
        <v/>
      </c>
      <c r="R134" s="362" t="str">
        <f>IF(C134="","",VLOOKUP(C134,'G-7 WaterC'' Data'!$B$4:$G$8,4,FALSE))</f>
        <v/>
      </c>
      <c r="S134" s="370" t="str">
        <f t="shared" si="8"/>
        <v/>
      </c>
      <c r="T134" s="401" t="str">
        <f t="shared" si="9"/>
        <v/>
      </c>
      <c r="U134" s="363" t="str">
        <f>IF(C134="","",VLOOKUP(T134,'G-3 Multipliers'!$P$2:$Q$6,2,FALSE))</f>
        <v/>
      </c>
      <c r="V134" s="115"/>
      <c r="W134" s="363" t="str">
        <f>IF(V134="","",IF(VLOOKUP(V134,'G-7 WaterC'' Data'!$AA$4:$AB$7,2,FALSE)=0,"Spatial Data Missing ⚠",VLOOKUP(V134,'G-7 WaterC'' Data'!$AA$4:$AB$7,2,FALSE)))</f>
        <v/>
      </c>
      <c r="X134" s="60"/>
      <c r="Y134" s="363" t="str">
        <f>IF(X134="","",IF(VLOOKUP(X134,'G-7 WaterC'' Data'!$AD$4:$AE$14,2,FALSE)=0,"Enrcoachment Data Missing ⚠",VLOOKUP(X134,'G-7 WaterC'' Data'!$AD$4:$AE$14,2,FALSE)))</f>
        <v/>
      </c>
      <c r="Z134" s="115"/>
      <c r="AA134" s="363" t="str">
        <f>IF(Z134="","",IF(VLOOKUP(Z134,'G-7 WaterC'' Data'!$AO$4:$BO$7,2,FALSE)=0,"Spatial Data Missing ⚠",VLOOKUP(Z134,'G-7 WaterC'' Data'!$AO$4:$BO$7,2,FALSE)))</f>
        <v/>
      </c>
      <c r="AB134" s="405" t="str">
        <f t="shared" si="10"/>
        <v/>
      </c>
      <c r="AC134" s="405" t="str">
        <f t="shared" si="11"/>
        <v/>
      </c>
      <c r="AD134" s="117"/>
      <c r="AE134" s="692"/>
      <c r="AF134" s="119"/>
      <c r="AG134" s="120"/>
      <c r="AL134" s="30" t="str">
        <f>IFERROR(INDEX('G-7 WaterC'' Data'!$AZ$3:$AZ$7,MATCH(C134,'G-7 WaterC'' Data'!$AY$3:$AY$7,0)),"")</f>
        <v/>
      </c>
    </row>
    <row r="135" spans="2:38" ht="15">
      <c r="B135" s="110">
        <v>124</v>
      </c>
      <c r="C135" s="501"/>
      <c r="D135" s="139"/>
      <c r="E135" s="362" t="str">
        <f>IF(C135="","",VLOOKUP(C135,'G-7 WaterC'' Data'!$B$2:$Z$9,2,FALSE))</f>
        <v/>
      </c>
      <c r="F135" s="363" t="str">
        <f>IFERROR(VLOOKUP(E135,'G-7 WaterC'' Data'!$C$4:$D$8,2,FALSE),"")</f>
        <v/>
      </c>
      <c r="G135" s="114"/>
      <c r="H135" s="363" t="str">
        <f>IFERROR(INDEX('G-7 WaterC'' Data'!$H$4:$L$8,MATCH(C135,'G-7 WaterC'' Data'!$B$4:$B$8,0),MATCH(G135,'G-7 WaterC'' Data'!$H$3:$L$3,0)),"")</f>
        <v/>
      </c>
      <c r="I135" s="54"/>
      <c r="J135" s="401" t="str">
        <f>IF(I135="","",IF(VLOOKUP(I135,'G-7 WaterC'' Data'!$AK$4:$AM$6,2,FALSE)=0,"Spatial Data Missing ⚠",VLOOKUP(I135,'G-7 WaterC'' Data'!$AK$4:$AM$6,2,FALSE)))</f>
        <v/>
      </c>
      <c r="K135" s="363" t="str">
        <f>IF(I135="","",IF(VLOOKUP(I135,'G-7 WaterC'' Data'!$AK$4:$AM$6,3,FALSE)=0,"Spatial Data Missing ⚠",VLOOKUP(I135,'G-7 WaterC'' Data'!$AK$4:$AM$6,3,FALSE)))</f>
        <v/>
      </c>
      <c r="L135" s="478" t="str">
        <f>IFERROR(INDEX('G-7 WaterC'' Data'!$O$3:$O$7,MATCH(G135,'G-7 WaterC'' Data'!$N$3:$N$7,0)),"")</f>
        <v/>
      </c>
      <c r="M135" s="55"/>
      <c r="N135" s="159"/>
      <c r="O135" s="370" t="str">
        <f t="shared" si="6"/>
        <v/>
      </c>
      <c r="P135" s="383" t="str">
        <f t="shared" si="7"/>
        <v/>
      </c>
      <c r="Q135" s="422" t="str">
        <f>IFERROR(IF(P135="Check Data ⚠","Check Data ⚠",VLOOKUP(P135,'G-4 Temporal multipliers'!$A$4:$C$37,3,FALSE)),"")</f>
        <v/>
      </c>
      <c r="R135" s="362" t="str">
        <f>IF(C135="","",VLOOKUP(C135,'G-7 WaterC'' Data'!$B$4:$G$8,4,FALSE))</f>
        <v/>
      </c>
      <c r="S135" s="370" t="str">
        <f t="shared" si="8"/>
        <v/>
      </c>
      <c r="T135" s="401" t="str">
        <f t="shared" si="9"/>
        <v/>
      </c>
      <c r="U135" s="363" t="str">
        <f>IF(C135="","",VLOOKUP(T135,'G-3 Multipliers'!$P$2:$Q$6,2,FALSE))</f>
        <v/>
      </c>
      <c r="V135" s="115"/>
      <c r="W135" s="363" t="str">
        <f>IF(V135="","",IF(VLOOKUP(V135,'G-7 WaterC'' Data'!$AA$4:$AB$7,2,FALSE)=0,"Spatial Data Missing ⚠",VLOOKUP(V135,'G-7 WaterC'' Data'!$AA$4:$AB$7,2,FALSE)))</f>
        <v/>
      </c>
      <c r="X135" s="60"/>
      <c r="Y135" s="363" t="str">
        <f>IF(X135="","",IF(VLOOKUP(X135,'G-7 WaterC'' Data'!$AD$4:$AE$14,2,FALSE)=0,"Enrcoachment Data Missing ⚠",VLOOKUP(X135,'G-7 WaterC'' Data'!$AD$4:$AE$14,2,FALSE)))</f>
        <v/>
      </c>
      <c r="Z135" s="115"/>
      <c r="AA135" s="363" t="str">
        <f>IF(Z135="","",IF(VLOOKUP(Z135,'G-7 WaterC'' Data'!$AO$4:$BO$7,2,FALSE)=0,"Spatial Data Missing ⚠",VLOOKUP(Z135,'G-7 WaterC'' Data'!$AO$4:$BO$7,2,FALSE)))</f>
        <v/>
      </c>
      <c r="AB135" s="405" t="str">
        <f t="shared" si="10"/>
        <v/>
      </c>
      <c r="AC135" s="405" t="str">
        <f t="shared" si="11"/>
        <v/>
      </c>
      <c r="AD135" s="117"/>
      <c r="AE135" s="692"/>
      <c r="AF135" s="119"/>
      <c r="AG135" s="120"/>
      <c r="AL135" s="30" t="str">
        <f>IFERROR(INDEX('G-7 WaterC'' Data'!$AZ$3:$AZ$7,MATCH(C135,'G-7 WaterC'' Data'!$AY$3:$AY$7,0)),"")</f>
        <v/>
      </c>
    </row>
    <row r="136" spans="2:38" ht="15">
      <c r="B136" s="110">
        <v>125</v>
      </c>
      <c r="C136" s="501"/>
      <c r="D136" s="139"/>
      <c r="E136" s="362" t="str">
        <f>IF(C136="","",VLOOKUP(C136,'G-7 WaterC'' Data'!$B$2:$Z$9,2,FALSE))</f>
        <v/>
      </c>
      <c r="F136" s="363" t="str">
        <f>IFERROR(VLOOKUP(E136,'G-7 WaterC'' Data'!$C$4:$D$8,2,FALSE),"")</f>
        <v/>
      </c>
      <c r="G136" s="114"/>
      <c r="H136" s="363" t="str">
        <f>IFERROR(INDEX('G-7 WaterC'' Data'!$H$4:$L$8,MATCH(C136,'G-7 WaterC'' Data'!$B$4:$B$8,0),MATCH(G136,'G-7 WaterC'' Data'!$H$3:$L$3,0)),"")</f>
        <v/>
      </c>
      <c r="I136" s="54"/>
      <c r="J136" s="401" t="str">
        <f>IF(I136="","",IF(VLOOKUP(I136,'G-7 WaterC'' Data'!$AK$4:$AM$6,2,FALSE)=0,"Spatial Data Missing ⚠",VLOOKUP(I136,'G-7 WaterC'' Data'!$AK$4:$AM$6,2,FALSE)))</f>
        <v/>
      </c>
      <c r="K136" s="363" t="str">
        <f>IF(I136="","",IF(VLOOKUP(I136,'G-7 WaterC'' Data'!$AK$4:$AM$6,3,FALSE)=0,"Spatial Data Missing ⚠",VLOOKUP(I136,'G-7 WaterC'' Data'!$AK$4:$AM$6,3,FALSE)))</f>
        <v/>
      </c>
      <c r="L136" s="478" t="str">
        <f>IFERROR(INDEX('G-7 WaterC'' Data'!$O$3:$O$7,MATCH(G136,'G-7 WaterC'' Data'!$N$3:$N$7,0)),"")</f>
        <v/>
      </c>
      <c r="M136" s="55"/>
      <c r="N136" s="159"/>
      <c r="O136" s="370" t="str">
        <f t="shared" si="6"/>
        <v/>
      </c>
      <c r="P136" s="383" t="str">
        <f t="shared" si="7"/>
        <v/>
      </c>
      <c r="Q136" s="422" t="str">
        <f>IFERROR(IF(P136="Check Data ⚠","Check Data ⚠",VLOOKUP(P136,'G-4 Temporal multipliers'!$A$4:$C$37,3,FALSE)),"")</f>
        <v/>
      </c>
      <c r="R136" s="362" t="str">
        <f>IF(C136="","",VLOOKUP(C136,'G-7 WaterC'' Data'!$B$4:$G$8,4,FALSE))</f>
        <v/>
      </c>
      <c r="S136" s="370" t="str">
        <f t="shared" si="8"/>
        <v/>
      </c>
      <c r="T136" s="401" t="str">
        <f t="shared" si="9"/>
        <v/>
      </c>
      <c r="U136" s="363" t="str">
        <f>IF(C136="","",VLOOKUP(T136,'G-3 Multipliers'!$P$2:$Q$6,2,FALSE))</f>
        <v/>
      </c>
      <c r="V136" s="115"/>
      <c r="W136" s="363" t="str">
        <f>IF(V136="","",IF(VLOOKUP(V136,'G-7 WaterC'' Data'!$AA$4:$AB$7,2,FALSE)=0,"Spatial Data Missing ⚠",VLOOKUP(V136,'G-7 WaterC'' Data'!$AA$4:$AB$7,2,FALSE)))</f>
        <v/>
      </c>
      <c r="X136" s="60"/>
      <c r="Y136" s="363" t="str">
        <f>IF(X136="","",IF(VLOOKUP(X136,'G-7 WaterC'' Data'!$AD$4:$AE$14,2,FALSE)=0,"Enrcoachment Data Missing ⚠",VLOOKUP(X136,'G-7 WaterC'' Data'!$AD$4:$AE$14,2,FALSE)))</f>
        <v/>
      </c>
      <c r="Z136" s="115"/>
      <c r="AA136" s="363" t="str">
        <f>IF(Z136="","",IF(VLOOKUP(Z136,'G-7 WaterC'' Data'!$AO$4:$BO$7,2,FALSE)=0,"Spatial Data Missing ⚠",VLOOKUP(Z136,'G-7 WaterC'' Data'!$AO$4:$BO$7,2,FALSE)))</f>
        <v/>
      </c>
      <c r="AB136" s="405" t="str">
        <f t="shared" si="10"/>
        <v/>
      </c>
      <c r="AC136" s="405" t="str">
        <f t="shared" si="11"/>
        <v/>
      </c>
      <c r="AD136" s="117"/>
      <c r="AE136" s="692"/>
      <c r="AF136" s="119"/>
      <c r="AG136" s="120"/>
      <c r="AL136" s="30" t="str">
        <f>IFERROR(INDEX('G-7 WaterC'' Data'!$AZ$3:$AZ$7,MATCH(C136,'G-7 WaterC'' Data'!$AY$3:$AY$7,0)),"")</f>
        <v/>
      </c>
    </row>
    <row r="137" spans="2:38" ht="15">
      <c r="B137" s="110">
        <v>126</v>
      </c>
      <c r="C137" s="501"/>
      <c r="D137" s="139"/>
      <c r="E137" s="362" t="str">
        <f>IF(C137="","",VLOOKUP(C137,'G-7 WaterC'' Data'!$B$2:$Z$9,2,FALSE))</f>
        <v/>
      </c>
      <c r="F137" s="363" t="str">
        <f>IFERROR(VLOOKUP(E137,'G-7 WaterC'' Data'!$C$4:$D$8,2,FALSE),"")</f>
        <v/>
      </c>
      <c r="G137" s="114"/>
      <c r="H137" s="363" t="str">
        <f>IFERROR(INDEX('G-7 WaterC'' Data'!$H$4:$L$8,MATCH(C137,'G-7 WaterC'' Data'!$B$4:$B$8,0),MATCH(G137,'G-7 WaterC'' Data'!$H$3:$L$3,0)),"")</f>
        <v/>
      </c>
      <c r="I137" s="54"/>
      <c r="J137" s="401" t="str">
        <f>IF(I137="","",IF(VLOOKUP(I137,'G-7 WaterC'' Data'!$AK$4:$AM$6,2,FALSE)=0,"Spatial Data Missing ⚠",VLOOKUP(I137,'G-7 WaterC'' Data'!$AK$4:$AM$6,2,FALSE)))</f>
        <v/>
      </c>
      <c r="K137" s="363" t="str">
        <f>IF(I137="","",IF(VLOOKUP(I137,'G-7 WaterC'' Data'!$AK$4:$AM$6,3,FALSE)=0,"Spatial Data Missing ⚠",VLOOKUP(I137,'G-7 WaterC'' Data'!$AK$4:$AM$6,3,FALSE)))</f>
        <v/>
      </c>
      <c r="L137" s="478" t="str">
        <f>IFERROR(INDEX('G-7 WaterC'' Data'!$O$3:$O$7,MATCH(G137,'G-7 WaterC'' Data'!$N$3:$N$7,0)),"")</f>
        <v/>
      </c>
      <c r="M137" s="55"/>
      <c r="N137" s="159"/>
      <c r="O137" s="370" t="str">
        <f t="shared" si="6"/>
        <v/>
      </c>
      <c r="P137" s="383" t="str">
        <f t="shared" si="7"/>
        <v/>
      </c>
      <c r="Q137" s="422" t="str">
        <f>IFERROR(IF(P137="Check Data ⚠","Check Data ⚠",VLOOKUP(P137,'G-4 Temporal multipliers'!$A$4:$C$37,3,FALSE)),"")</f>
        <v/>
      </c>
      <c r="R137" s="362" t="str">
        <f>IF(C137="","",VLOOKUP(C137,'G-7 WaterC'' Data'!$B$4:$G$8,4,FALSE))</f>
        <v/>
      </c>
      <c r="S137" s="370" t="str">
        <f t="shared" si="8"/>
        <v/>
      </c>
      <c r="T137" s="401" t="str">
        <f t="shared" si="9"/>
        <v/>
      </c>
      <c r="U137" s="363" t="str">
        <f>IF(C137="","",VLOOKUP(T137,'G-3 Multipliers'!$P$2:$Q$6,2,FALSE))</f>
        <v/>
      </c>
      <c r="V137" s="115"/>
      <c r="W137" s="363" t="str">
        <f>IF(V137="","",IF(VLOOKUP(V137,'G-7 WaterC'' Data'!$AA$4:$AB$7,2,FALSE)=0,"Spatial Data Missing ⚠",VLOOKUP(V137,'G-7 WaterC'' Data'!$AA$4:$AB$7,2,FALSE)))</f>
        <v/>
      </c>
      <c r="X137" s="60"/>
      <c r="Y137" s="363" t="str">
        <f>IF(X137="","",IF(VLOOKUP(X137,'G-7 WaterC'' Data'!$AD$4:$AE$14,2,FALSE)=0,"Enrcoachment Data Missing ⚠",VLOOKUP(X137,'G-7 WaterC'' Data'!$AD$4:$AE$14,2,FALSE)))</f>
        <v/>
      </c>
      <c r="Z137" s="115"/>
      <c r="AA137" s="363" t="str">
        <f>IF(Z137="","",IF(VLOOKUP(Z137,'G-7 WaterC'' Data'!$AO$4:$BO$7,2,FALSE)=0,"Spatial Data Missing ⚠",VLOOKUP(Z137,'G-7 WaterC'' Data'!$AO$4:$BO$7,2,FALSE)))</f>
        <v/>
      </c>
      <c r="AB137" s="405" t="str">
        <f t="shared" si="10"/>
        <v/>
      </c>
      <c r="AC137" s="405" t="str">
        <f t="shared" si="11"/>
        <v/>
      </c>
      <c r="AD137" s="117"/>
      <c r="AE137" s="692"/>
      <c r="AF137" s="119"/>
      <c r="AG137" s="120"/>
      <c r="AL137" s="30" t="str">
        <f>IFERROR(INDEX('G-7 WaterC'' Data'!$AZ$3:$AZ$7,MATCH(C137,'G-7 WaterC'' Data'!$AY$3:$AY$7,0)),"")</f>
        <v/>
      </c>
    </row>
    <row r="138" spans="2:38" ht="15">
      <c r="B138" s="110">
        <v>127</v>
      </c>
      <c r="C138" s="501"/>
      <c r="D138" s="139"/>
      <c r="E138" s="362" t="str">
        <f>IF(C138="","",VLOOKUP(C138,'G-7 WaterC'' Data'!$B$2:$Z$9,2,FALSE))</f>
        <v/>
      </c>
      <c r="F138" s="363" t="str">
        <f>IFERROR(VLOOKUP(E138,'G-7 WaterC'' Data'!$C$4:$D$8,2,FALSE),"")</f>
        <v/>
      </c>
      <c r="G138" s="114"/>
      <c r="H138" s="363" t="str">
        <f>IFERROR(INDEX('G-7 WaterC'' Data'!$H$4:$L$8,MATCH(C138,'G-7 WaterC'' Data'!$B$4:$B$8,0),MATCH(G138,'G-7 WaterC'' Data'!$H$3:$L$3,0)),"")</f>
        <v/>
      </c>
      <c r="I138" s="54"/>
      <c r="J138" s="401" t="str">
        <f>IF(I138="","",IF(VLOOKUP(I138,'G-7 WaterC'' Data'!$AK$4:$AM$6,2,FALSE)=0,"Spatial Data Missing ⚠",VLOOKUP(I138,'G-7 WaterC'' Data'!$AK$4:$AM$6,2,FALSE)))</f>
        <v/>
      </c>
      <c r="K138" s="363" t="str">
        <f>IF(I138="","",IF(VLOOKUP(I138,'G-7 WaterC'' Data'!$AK$4:$AM$6,3,FALSE)=0,"Spatial Data Missing ⚠",VLOOKUP(I138,'G-7 WaterC'' Data'!$AK$4:$AM$6,3,FALSE)))</f>
        <v/>
      </c>
      <c r="L138" s="478" t="str">
        <f>IFERROR(INDEX('G-7 WaterC'' Data'!$O$3:$O$7,MATCH(G138,'G-7 WaterC'' Data'!$N$3:$N$7,0)),"")</f>
        <v/>
      </c>
      <c r="M138" s="55"/>
      <c r="N138" s="159"/>
      <c r="O138" s="370" t="str">
        <f t="shared" si="6"/>
        <v/>
      </c>
      <c r="P138" s="383" t="str">
        <f t="shared" si="7"/>
        <v/>
      </c>
      <c r="Q138" s="422" t="str">
        <f>IFERROR(IF(P138="Check Data ⚠","Check Data ⚠",VLOOKUP(P138,'G-4 Temporal multipliers'!$A$4:$C$37,3,FALSE)),"")</f>
        <v/>
      </c>
      <c r="R138" s="362" t="str">
        <f>IF(C138="","",VLOOKUP(C138,'G-7 WaterC'' Data'!$B$4:$G$8,4,FALSE))</f>
        <v/>
      </c>
      <c r="S138" s="370" t="str">
        <f t="shared" si="8"/>
        <v/>
      </c>
      <c r="T138" s="401" t="str">
        <f t="shared" si="9"/>
        <v/>
      </c>
      <c r="U138" s="363" t="str">
        <f>IF(C138="","",VLOOKUP(T138,'G-3 Multipliers'!$P$2:$Q$6,2,FALSE))</f>
        <v/>
      </c>
      <c r="V138" s="115"/>
      <c r="W138" s="363" t="str">
        <f>IF(V138="","",IF(VLOOKUP(V138,'G-7 WaterC'' Data'!$AA$4:$AB$7,2,FALSE)=0,"Spatial Data Missing ⚠",VLOOKUP(V138,'G-7 WaterC'' Data'!$AA$4:$AB$7,2,FALSE)))</f>
        <v/>
      </c>
      <c r="X138" s="60"/>
      <c r="Y138" s="363" t="str">
        <f>IF(X138="","",IF(VLOOKUP(X138,'G-7 WaterC'' Data'!$AD$4:$AE$14,2,FALSE)=0,"Enrcoachment Data Missing ⚠",VLOOKUP(X138,'G-7 WaterC'' Data'!$AD$4:$AE$14,2,FALSE)))</f>
        <v/>
      </c>
      <c r="Z138" s="115"/>
      <c r="AA138" s="363" t="str">
        <f>IF(Z138="","",IF(VLOOKUP(Z138,'G-7 WaterC'' Data'!$AO$4:$BO$7,2,FALSE)=0,"Spatial Data Missing ⚠",VLOOKUP(Z138,'G-7 WaterC'' Data'!$AO$4:$BO$7,2,FALSE)))</f>
        <v/>
      </c>
      <c r="AB138" s="405" t="str">
        <f t="shared" si="10"/>
        <v/>
      </c>
      <c r="AC138" s="405" t="str">
        <f t="shared" si="11"/>
        <v/>
      </c>
      <c r="AD138" s="117"/>
      <c r="AE138" s="692"/>
      <c r="AF138" s="119"/>
      <c r="AG138" s="120"/>
      <c r="AL138" s="30" t="str">
        <f>IFERROR(INDEX('G-7 WaterC'' Data'!$AZ$3:$AZ$7,MATCH(C138,'G-7 WaterC'' Data'!$AY$3:$AY$7,0)),"")</f>
        <v/>
      </c>
    </row>
    <row r="139" spans="2:38" ht="15">
      <c r="B139" s="110">
        <v>128</v>
      </c>
      <c r="C139" s="501"/>
      <c r="D139" s="139"/>
      <c r="E139" s="362" t="str">
        <f>IF(C139="","",VLOOKUP(C139,'G-7 WaterC'' Data'!$B$2:$Z$9,2,FALSE))</f>
        <v/>
      </c>
      <c r="F139" s="363" t="str">
        <f>IFERROR(VLOOKUP(E139,'G-7 WaterC'' Data'!$C$4:$D$8,2,FALSE),"")</f>
        <v/>
      </c>
      <c r="G139" s="114"/>
      <c r="H139" s="363" t="str">
        <f>IFERROR(INDEX('G-7 WaterC'' Data'!$H$4:$L$8,MATCH(C139,'G-7 WaterC'' Data'!$B$4:$B$8,0),MATCH(G139,'G-7 WaterC'' Data'!$H$3:$L$3,0)),"")</f>
        <v/>
      </c>
      <c r="I139" s="54"/>
      <c r="J139" s="401" t="str">
        <f>IF(I139="","",IF(VLOOKUP(I139,'G-7 WaterC'' Data'!$AK$4:$AM$6,2,FALSE)=0,"Spatial Data Missing ⚠",VLOOKUP(I139,'G-7 WaterC'' Data'!$AK$4:$AM$6,2,FALSE)))</f>
        <v/>
      </c>
      <c r="K139" s="363" t="str">
        <f>IF(I139="","",IF(VLOOKUP(I139,'G-7 WaterC'' Data'!$AK$4:$AM$6,3,FALSE)=0,"Spatial Data Missing ⚠",VLOOKUP(I139,'G-7 WaterC'' Data'!$AK$4:$AM$6,3,FALSE)))</f>
        <v/>
      </c>
      <c r="L139" s="478" t="str">
        <f>IFERROR(INDEX('G-7 WaterC'' Data'!$O$3:$O$7,MATCH(G139,'G-7 WaterC'' Data'!$N$3:$N$7,0)),"")</f>
        <v/>
      </c>
      <c r="M139" s="55"/>
      <c r="N139" s="159"/>
      <c r="O139" s="370" t="str">
        <f t="shared" si="6"/>
        <v/>
      </c>
      <c r="P139" s="383" t="str">
        <f t="shared" si="7"/>
        <v/>
      </c>
      <c r="Q139" s="422" t="str">
        <f>IFERROR(IF(P139="Check Data ⚠","Check Data ⚠",VLOOKUP(P139,'G-4 Temporal multipliers'!$A$4:$C$37,3,FALSE)),"")</f>
        <v/>
      </c>
      <c r="R139" s="362" t="str">
        <f>IF(C139="","",VLOOKUP(C139,'G-7 WaterC'' Data'!$B$4:$G$8,4,FALSE))</f>
        <v/>
      </c>
      <c r="S139" s="370" t="str">
        <f t="shared" si="8"/>
        <v/>
      </c>
      <c r="T139" s="401" t="str">
        <f t="shared" si="9"/>
        <v/>
      </c>
      <c r="U139" s="363" t="str">
        <f>IF(C139="","",VLOOKUP(T139,'G-3 Multipliers'!$P$2:$Q$6,2,FALSE))</f>
        <v/>
      </c>
      <c r="V139" s="115"/>
      <c r="W139" s="363" t="str">
        <f>IF(V139="","",IF(VLOOKUP(V139,'G-7 WaterC'' Data'!$AA$4:$AB$7,2,FALSE)=0,"Spatial Data Missing ⚠",VLOOKUP(V139,'G-7 WaterC'' Data'!$AA$4:$AB$7,2,FALSE)))</f>
        <v/>
      </c>
      <c r="X139" s="60"/>
      <c r="Y139" s="363" t="str">
        <f>IF(X139="","",IF(VLOOKUP(X139,'G-7 WaterC'' Data'!$AD$4:$AE$14,2,FALSE)=0,"Enrcoachment Data Missing ⚠",VLOOKUP(X139,'G-7 WaterC'' Data'!$AD$4:$AE$14,2,FALSE)))</f>
        <v/>
      </c>
      <c r="Z139" s="115"/>
      <c r="AA139" s="363" t="str">
        <f>IF(Z139="","",IF(VLOOKUP(Z139,'G-7 WaterC'' Data'!$AO$4:$BO$7,2,FALSE)=0,"Spatial Data Missing ⚠",VLOOKUP(Z139,'G-7 WaterC'' Data'!$AO$4:$BO$7,2,FALSE)))</f>
        <v/>
      </c>
      <c r="AB139" s="405" t="str">
        <f t="shared" si="10"/>
        <v/>
      </c>
      <c r="AC139" s="405" t="str">
        <f t="shared" si="11"/>
        <v/>
      </c>
      <c r="AD139" s="117"/>
      <c r="AE139" s="692"/>
      <c r="AF139" s="119"/>
      <c r="AG139" s="120"/>
      <c r="AL139" s="30" t="str">
        <f>IFERROR(INDEX('G-7 WaterC'' Data'!$AZ$3:$AZ$7,MATCH(C139,'G-7 WaterC'' Data'!$AY$3:$AY$7,0)),"")</f>
        <v/>
      </c>
    </row>
    <row r="140" spans="2:38" ht="15">
      <c r="B140" s="110">
        <v>129</v>
      </c>
      <c r="C140" s="501"/>
      <c r="D140" s="139"/>
      <c r="E140" s="362" t="str">
        <f>IF(C140="","",VLOOKUP(C140,'G-7 WaterC'' Data'!$B$2:$Z$9,2,FALSE))</f>
        <v/>
      </c>
      <c r="F140" s="363" t="str">
        <f>IFERROR(VLOOKUP(E140,'G-7 WaterC'' Data'!$C$4:$D$8,2,FALSE),"")</f>
        <v/>
      </c>
      <c r="G140" s="114"/>
      <c r="H140" s="363" t="str">
        <f>IFERROR(INDEX('G-7 WaterC'' Data'!$H$4:$L$8,MATCH(C140,'G-7 WaterC'' Data'!$B$4:$B$8,0),MATCH(G140,'G-7 WaterC'' Data'!$H$3:$L$3,0)),"")</f>
        <v/>
      </c>
      <c r="I140" s="54"/>
      <c r="J140" s="401" t="str">
        <f>IF(I140="","",IF(VLOOKUP(I140,'G-7 WaterC'' Data'!$AK$4:$AM$6,2,FALSE)=0,"Spatial Data Missing ⚠",VLOOKUP(I140,'G-7 WaterC'' Data'!$AK$4:$AM$6,2,FALSE)))</f>
        <v/>
      </c>
      <c r="K140" s="363" t="str">
        <f>IF(I140="","",IF(VLOOKUP(I140,'G-7 WaterC'' Data'!$AK$4:$AM$6,3,FALSE)=0,"Spatial Data Missing ⚠",VLOOKUP(I140,'G-7 WaterC'' Data'!$AK$4:$AM$6,3,FALSE)))</f>
        <v/>
      </c>
      <c r="L140" s="478" t="str">
        <f>IFERROR(INDEX('G-7 WaterC'' Data'!$O$3:$O$7,MATCH(G140,'G-7 WaterC'' Data'!$N$3:$N$7,0)),"")</f>
        <v/>
      </c>
      <c r="M140" s="55"/>
      <c r="N140" s="159"/>
      <c r="O140" s="370" t="str">
        <f t="shared" si="6"/>
        <v/>
      </c>
      <c r="P140" s="383" t="str">
        <f t="shared" si="7"/>
        <v/>
      </c>
      <c r="Q140" s="422" t="str">
        <f>IFERROR(IF(P140="Check Data ⚠","Check Data ⚠",VLOOKUP(P140,'G-4 Temporal multipliers'!$A$4:$C$37,3,FALSE)),"")</f>
        <v/>
      </c>
      <c r="R140" s="362" t="str">
        <f>IF(C140="","",VLOOKUP(C140,'G-7 WaterC'' Data'!$B$4:$G$8,4,FALSE))</f>
        <v/>
      </c>
      <c r="S140" s="370" t="str">
        <f t="shared" si="8"/>
        <v/>
      </c>
      <c r="T140" s="401" t="str">
        <f t="shared" si="9"/>
        <v/>
      </c>
      <c r="U140" s="363" t="str">
        <f>IF(C140="","",VLOOKUP(T140,'G-3 Multipliers'!$P$2:$Q$6,2,FALSE))</f>
        <v/>
      </c>
      <c r="V140" s="115"/>
      <c r="W140" s="363" t="str">
        <f>IF(V140="","",IF(VLOOKUP(V140,'G-7 WaterC'' Data'!$AA$4:$AB$7,2,FALSE)=0,"Spatial Data Missing ⚠",VLOOKUP(V140,'G-7 WaterC'' Data'!$AA$4:$AB$7,2,FALSE)))</f>
        <v/>
      </c>
      <c r="X140" s="60"/>
      <c r="Y140" s="363" t="str">
        <f>IF(X140="","",IF(VLOOKUP(X140,'G-7 WaterC'' Data'!$AD$4:$AE$14,2,FALSE)=0,"Enrcoachment Data Missing ⚠",VLOOKUP(X140,'G-7 WaterC'' Data'!$AD$4:$AE$14,2,FALSE)))</f>
        <v/>
      </c>
      <c r="Z140" s="115"/>
      <c r="AA140" s="363" t="str">
        <f>IF(Z140="","",IF(VLOOKUP(Z140,'G-7 WaterC'' Data'!$AO$4:$BO$7,2,FALSE)=0,"Spatial Data Missing ⚠",VLOOKUP(Z140,'G-7 WaterC'' Data'!$AO$4:$BO$7,2,FALSE)))</f>
        <v/>
      </c>
      <c r="AB140" s="405" t="str">
        <f t="shared" si="10"/>
        <v/>
      </c>
      <c r="AC140" s="405" t="str">
        <f t="shared" si="11"/>
        <v/>
      </c>
      <c r="AD140" s="117"/>
      <c r="AE140" s="692"/>
      <c r="AF140" s="119"/>
      <c r="AG140" s="120"/>
      <c r="AL140" s="30" t="str">
        <f>IFERROR(INDEX('G-7 WaterC'' Data'!$AZ$3:$AZ$7,MATCH(C140,'G-7 WaterC'' Data'!$AY$3:$AY$7,0)),"")</f>
        <v/>
      </c>
    </row>
    <row r="141" spans="2:38" ht="15">
      <c r="B141" s="110">
        <v>130</v>
      </c>
      <c r="C141" s="501"/>
      <c r="D141" s="139"/>
      <c r="E141" s="362" t="str">
        <f>IF(C141="","",VLOOKUP(C141,'G-7 WaterC'' Data'!$B$2:$Z$9,2,FALSE))</f>
        <v/>
      </c>
      <c r="F141" s="363" t="str">
        <f>IFERROR(VLOOKUP(E141,'G-7 WaterC'' Data'!$C$4:$D$8,2,FALSE),"")</f>
        <v/>
      </c>
      <c r="G141" s="114"/>
      <c r="H141" s="363" t="str">
        <f>IFERROR(INDEX('G-7 WaterC'' Data'!$H$4:$L$8,MATCH(C141,'G-7 WaterC'' Data'!$B$4:$B$8,0),MATCH(G141,'G-7 WaterC'' Data'!$H$3:$L$3,0)),"")</f>
        <v/>
      </c>
      <c r="I141" s="54"/>
      <c r="J141" s="401" t="str">
        <f>IF(I141="","",IF(VLOOKUP(I141,'G-7 WaterC'' Data'!$AK$4:$AM$6,2,FALSE)=0,"Spatial Data Missing ⚠",VLOOKUP(I141,'G-7 WaterC'' Data'!$AK$4:$AM$6,2,FALSE)))</f>
        <v/>
      </c>
      <c r="K141" s="363" t="str">
        <f>IF(I141="","",IF(VLOOKUP(I141,'G-7 WaterC'' Data'!$AK$4:$AM$6,3,FALSE)=0,"Spatial Data Missing ⚠",VLOOKUP(I141,'G-7 WaterC'' Data'!$AK$4:$AM$6,3,FALSE)))</f>
        <v/>
      </c>
      <c r="L141" s="478" t="str">
        <f>IFERROR(INDEX('G-7 WaterC'' Data'!$O$3:$O$7,MATCH(G141,'G-7 WaterC'' Data'!$N$3:$N$7,0)),"")</f>
        <v/>
      </c>
      <c r="M141" s="55"/>
      <c r="N141" s="159"/>
      <c r="O141" s="370" t="str">
        <f t="shared" ref="O141:O204" si="12">IF(L141="","",IF(AND(M141&gt;0,N141&gt;0),"Error -both advance and delayed habitat creation ▲",IF(AND(OR(M141="Habitat already in target condition",L141&lt;=M141),N141=0),"Check details - Is there evidence that habitat has reached target condition? ⚠",IF(M141&gt;0,"Check details - Is there evidence habitat creation started/in place? ⚠",IF(N141&gt;0,"Check details- Delay in starting habitat in required condition? ⚠","Standard time to target condition applied")))))</f>
        <v/>
      </c>
      <c r="P141" s="383" t="str">
        <f t="shared" ref="P141:P204" si="13">IF(O141="Error -both advance and delayed habitat creation ▲","Check Data ⚠",IF(L141="","",IF(M141="30+",0,IF(N141="30+","30+",IF(L141+N141&gt;30,"30+",IF(L141+N141-M141&gt;0,L141+N141-M141,IF(L141-M141&lt;0,0,L141+N141-M141)))))))</f>
        <v/>
      </c>
      <c r="Q141" s="422" t="str">
        <f>IFERROR(IF(P141="Check Data ⚠","Check Data ⚠",VLOOKUP(P141,'G-4 Temporal multipliers'!$A$4:$C$37,3,FALSE)),"")</f>
        <v/>
      </c>
      <c r="R141" s="362" t="str">
        <f>IF(C141="","",VLOOKUP(C141,'G-7 WaterC'' Data'!$B$4:$G$8,4,FALSE))</f>
        <v/>
      </c>
      <c r="S141" s="370" t="str">
        <f t="shared" ref="S141:S204" si="14">IF(C141="","",IF(P141="Check Data ⚠","Check Data ⚠",IF(G141="","",IF($O141="Check details - Is there evidence that habitat has reached target condition? ⚠","No - Low Difficulty - only applicable if all habitat created before losses ⚠","Standard difficulty applied"))))</f>
        <v/>
      </c>
      <c r="T141" s="401" t="str">
        <f t="shared" ref="T141:T204" si="15">(IF(AND(S141="Standard difficulty applied",L141&gt;M141),R141,IF(AND(S141="No - Low Difficulty - only applicable if all habitat created before losses ⚠",M141&gt;=L141),"Low",R141)))</f>
        <v/>
      </c>
      <c r="U141" s="363" t="str">
        <f>IF(C141="","",VLOOKUP(T141,'G-3 Multipliers'!$P$2:$Q$6,2,FALSE))</f>
        <v/>
      </c>
      <c r="V141" s="115"/>
      <c r="W141" s="363" t="str">
        <f>IF(V141="","",IF(VLOOKUP(V141,'G-7 WaterC'' Data'!$AA$4:$AB$7,2,FALSE)=0,"Spatial Data Missing ⚠",VLOOKUP(V141,'G-7 WaterC'' Data'!$AA$4:$AB$7,2,FALSE)))</f>
        <v/>
      </c>
      <c r="X141" s="60"/>
      <c r="Y141" s="363" t="str">
        <f>IF(X141="","",IF(VLOOKUP(X141,'G-7 WaterC'' Data'!$AD$4:$AE$14,2,FALSE)=0,"Enrcoachment Data Missing ⚠",VLOOKUP(X141,'G-7 WaterC'' Data'!$AD$4:$AE$14,2,FALSE)))</f>
        <v/>
      </c>
      <c r="Z141" s="115"/>
      <c r="AA141" s="363" t="str">
        <f>IF(Z141="","",IF(VLOOKUP(Z141,'G-7 WaterC'' Data'!$AO$4:$BO$7,2,FALSE)=0,"Spatial Data Missing ⚠",VLOOKUP(Z141,'G-7 WaterC'' Data'!$AO$4:$BO$7,2,FALSE)))</f>
        <v/>
      </c>
      <c r="AB141" s="405" t="str">
        <f t="shared" ref="AB141:AB204" si="16">IFERROR(D141*F141*H141*K141*Q141*U141*W141*Y141*AA141,"")</f>
        <v/>
      </c>
      <c r="AC141" s="405" t="str">
        <f t="shared" ref="AC141:AC204" si="17">IFERROR(IF(Z141="","", D141*F141*H141*K141*Q141*U141*W141*Y141),"")</f>
        <v/>
      </c>
      <c r="AD141" s="117"/>
      <c r="AE141" s="692"/>
      <c r="AF141" s="119"/>
      <c r="AG141" s="120"/>
      <c r="AL141" s="30" t="str">
        <f>IFERROR(INDEX('G-7 WaterC'' Data'!$AZ$3:$AZ$7,MATCH(C141,'G-7 WaterC'' Data'!$AY$3:$AY$7,0)),"")</f>
        <v/>
      </c>
    </row>
    <row r="142" spans="2:38" ht="15">
      <c r="B142" s="110">
        <v>131</v>
      </c>
      <c r="C142" s="501"/>
      <c r="D142" s="139"/>
      <c r="E142" s="362" t="str">
        <f>IF(C142="","",VLOOKUP(C142,'G-7 WaterC'' Data'!$B$2:$Z$9,2,FALSE))</f>
        <v/>
      </c>
      <c r="F142" s="363" t="str">
        <f>IFERROR(VLOOKUP(E142,'G-7 WaterC'' Data'!$C$4:$D$8,2,FALSE),"")</f>
        <v/>
      </c>
      <c r="G142" s="114"/>
      <c r="H142" s="363" t="str">
        <f>IFERROR(INDEX('G-7 WaterC'' Data'!$H$4:$L$8,MATCH(C142,'G-7 WaterC'' Data'!$B$4:$B$8,0),MATCH(G142,'G-7 WaterC'' Data'!$H$3:$L$3,0)),"")</f>
        <v/>
      </c>
      <c r="I142" s="54"/>
      <c r="J142" s="401" t="str">
        <f>IF(I142="","",IF(VLOOKUP(I142,'G-7 WaterC'' Data'!$AK$4:$AM$6,2,FALSE)=0,"Spatial Data Missing ⚠",VLOOKUP(I142,'G-7 WaterC'' Data'!$AK$4:$AM$6,2,FALSE)))</f>
        <v/>
      </c>
      <c r="K142" s="363" t="str">
        <f>IF(I142="","",IF(VLOOKUP(I142,'G-7 WaterC'' Data'!$AK$4:$AM$6,3,FALSE)=0,"Spatial Data Missing ⚠",VLOOKUP(I142,'G-7 WaterC'' Data'!$AK$4:$AM$6,3,FALSE)))</f>
        <v/>
      </c>
      <c r="L142" s="478" t="str">
        <f>IFERROR(INDEX('G-7 WaterC'' Data'!$O$3:$O$7,MATCH(G142,'G-7 WaterC'' Data'!$N$3:$N$7,0)),"")</f>
        <v/>
      </c>
      <c r="M142" s="55"/>
      <c r="N142" s="159"/>
      <c r="O142" s="370" t="str">
        <f t="shared" si="12"/>
        <v/>
      </c>
      <c r="P142" s="383" t="str">
        <f t="shared" si="13"/>
        <v/>
      </c>
      <c r="Q142" s="422" t="str">
        <f>IFERROR(IF(P142="Check Data ⚠","Check Data ⚠",VLOOKUP(P142,'G-4 Temporal multipliers'!$A$4:$C$37,3,FALSE)),"")</f>
        <v/>
      </c>
      <c r="R142" s="362" t="str">
        <f>IF(C142="","",VLOOKUP(C142,'G-7 WaterC'' Data'!$B$4:$G$8,4,FALSE))</f>
        <v/>
      </c>
      <c r="S142" s="370" t="str">
        <f t="shared" si="14"/>
        <v/>
      </c>
      <c r="T142" s="401" t="str">
        <f t="shared" si="15"/>
        <v/>
      </c>
      <c r="U142" s="363" t="str">
        <f>IF(C142="","",VLOOKUP(T142,'G-3 Multipliers'!$P$2:$Q$6,2,FALSE))</f>
        <v/>
      </c>
      <c r="V142" s="115"/>
      <c r="W142" s="363" t="str">
        <f>IF(V142="","",IF(VLOOKUP(V142,'G-7 WaterC'' Data'!$AA$4:$AB$7,2,FALSE)=0,"Spatial Data Missing ⚠",VLOOKUP(V142,'G-7 WaterC'' Data'!$AA$4:$AB$7,2,FALSE)))</f>
        <v/>
      </c>
      <c r="X142" s="60"/>
      <c r="Y142" s="363" t="str">
        <f>IF(X142="","",IF(VLOOKUP(X142,'G-7 WaterC'' Data'!$AD$4:$AE$14,2,FALSE)=0,"Enrcoachment Data Missing ⚠",VLOOKUP(X142,'G-7 WaterC'' Data'!$AD$4:$AE$14,2,FALSE)))</f>
        <v/>
      </c>
      <c r="Z142" s="115"/>
      <c r="AA142" s="363" t="str">
        <f>IF(Z142="","",IF(VLOOKUP(Z142,'G-7 WaterC'' Data'!$AO$4:$BO$7,2,FALSE)=0,"Spatial Data Missing ⚠",VLOOKUP(Z142,'G-7 WaterC'' Data'!$AO$4:$BO$7,2,FALSE)))</f>
        <v/>
      </c>
      <c r="AB142" s="405" t="str">
        <f t="shared" si="16"/>
        <v/>
      </c>
      <c r="AC142" s="405" t="str">
        <f t="shared" si="17"/>
        <v/>
      </c>
      <c r="AD142" s="117"/>
      <c r="AE142" s="692"/>
      <c r="AF142" s="119"/>
      <c r="AG142" s="120"/>
      <c r="AL142" s="30" t="str">
        <f>IFERROR(INDEX('G-7 WaterC'' Data'!$AZ$3:$AZ$7,MATCH(C142,'G-7 WaterC'' Data'!$AY$3:$AY$7,0)),"")</f>
        <v/>
      </c>
    </row>
    <row r="143" spans="2:38" ht="15">
      <c r="B143" s="110">
        <v>132</v>
      </c>
      <c r="C143" s="501"/>
      <c r="D143" s="139"/>
      <c r="E143" s="362" t="str">
        <f>IF(C143="","",VLOOKUP(C143,'G-7 WaterC'' Data'!$B$2:$Z$9,2,FALSE))</f>
        <v/>
      </c>
      <c r="F143" s="363" t="str">
        <f>IFERROR(VLOOKUP(E143,'G-7 WaterC'' Data'!$C$4:$D$8,2,FALSE),"")</f>
        <v/>
      </c>
      <c r="G143" s="114"/>
      <c r="H143" s="363" t="str">
        <f>IFERROR(INDEX('G-7 WaterC'' Data'!$H$4:$L$8,MATCH(C143,'G-7 WaterC'' Data'!$B$4:$B$8,0),MATCH(G143,'G-7 WaterC'' Data'!$H$3:$L$3,0)),"")</f>
        <v/>
      </c>
      <c r="I143" s="54"/>
      <c r="J143" s="401" t="str">
        <f>IF(I143="","",IF(VLOOKUP(I143,'G-7 WaterC'' Data'!$AK$4:$AM$6,2,FALSE)=0,"Spatial Data Missing ⚠",VLOOKUP(I143,'G-7 WaterC'' Data'!$AK$4:$AM$6,2,FALSE)))</f>
        <v/>
      </c>
      <c r="K143" s="363" t="str">
        <f>IF(I143="","",IF(VLOOKUP(I143,'G-7 WaterC'' Data'!$AK$4:$AM$6,3,FALSE)=0,"Spatial Data Missing ⚠",VLOOKUP(I143,'G-7 WaterC'' Data'!$AK$4:$AM$6,3,FALSE)))</f>
        <v/>
      </c>
      <c r="L143" s="478" t="str">
        <f>IFERROR(INDEX('G-7 WaterC'' Data'!$O$3:$O$7,MATCH(G143,'G-7 WaterC'' Data'!$N$3:$N$7,0)),"")</f>
        <v/>
      </c>
      <c r="M143" s="55"/>
      <c r="N143" s="159"/>
      <c r="O143" s="370" t="str">
        <f t="shared" si="12"/>
        <v/>
      </c>
      <c r="P143" s="383" t="str">
        <f t="shared" si="13"/>
        <v/>
      </c>
      <c r="Q143" s="422" t="str">
        <f>IFERROR(IF(P143="Check Data ⚠","Check Data ⚠",VLOOKUP(P143,'G-4 Temporal multipliers'!$A$4:$C$37,3,FALSE)),"")</f>
        <v/>
      </c>
      <c r="R143" s="362" t="str">
        <f>IF(C143="","",VLOOKUP(C143,'G-7 WaterC'' Data'!$B$4:$G$8,4,FALSE))</f>
        <v/>
      </c>
      <c r="S143" s="370" t="str">
        <f t="shared" si="14"/>
        <v/>
      </c>
      <c r="T143" s="401" t="str">
        <f t="shared" si="15"/>
        <v/>
      </c>
      <c r="U143" s="363" t="str">
        <f>IF(C143="","",VLOOKUP(T143,'G-3 Multipliers'!$P$2:$Q$6,2,FALSE))</f>
        <v/>
      </c>
      <c r="V143" s="115"/>
      <c r="W143" s="363" t="str">
        <f>IF(V143="","",IF(VLOOKUP(V143,'G-7 WaterC'' Data'!$AA$4:$AB$7,2,FALSE)=0,"Spatial Data Missing ⚠",VLOOKUP(V143,'G-7 WaterC'' Data'!$AA$4:$AB$7,2,FALSE)))</f>
        <v/>
      </c>
      <c r="X143" s="60"/>
      <c r="Y143" s="363" t="str">
        <f>IF(X143="","",IF(VLOOKUP(X143,'G-7 WaterC'' Data'!$AD$4:$AE$14,2,FALSE)=0,"Enrcoachment Data Missing ⚠",VLOOKUP(X143,'G-7 WaterC'' Data'!$AD$4:$AE$14,2,FALSE)))</f>
        <v/>
      </c>
      <c r="Z143" s="115"/>
      <c r="AA143" s="363" t="str">
        <f>IF(Z143="","",IF(VLOOKUP(Z143,'G-7 WaterC'' Data'!$AO$4:$BO$7,2,FALSE)=0,"Spatial Data Missing ⚠",VLOOKUP(Z143,'G-7 WaterC'' Data'!$AO$4:$BO$7,2,FALSE)))</f>
        <v/>
      </c>
      <c r="AB143" s="405" t="str">
        <f t="shared" si="16"/>
        <v/>
      </c>
      <c r="AC143" s="405" t="str">
        <f t="shared" si="17"/>
        <v/>
      </c>
      <c r="AD143" s="117"/>
      <c r="AE143" s="692"/>
      <c r="AF143" s="119"/>
      <c r="AG143" s="120"/>
      <c r="AL143" s="30" t="str">
        <f>IFERROR(INDEX('G-7 WaterC'' Data'!$AZ$3:$AZ$7,MATCH(C143,'G-7 WaterC'' Data'!$AY$3:$AY$7,0)),"")</f>
        <v/>
      </c>
    </row>
    <row r="144" spans="2:38" ht="15">
      <c r="B144" s="110">
        <v>133</v>
      </c>
      <c r="C144" s="501"/>
      <c r="D144" s="139"/>
      <c r="E144" s="362" t="str">
        <f>IF(C144="","",VLOOKUP(C144,'G-7 WaterC'' Data'!$B$2:$Z$9,2,FALSE))</f>
        <v/>
      </c>
      <c r="F144" s="363" t="str">
        <f>IFERROR(VLOOKUP(E144,'G-7 WaterC'' Data'!$C$4:$D$8,2,FALSE),"")</f>
        <v/>
      </c>
      <c r="G144" s="114"/>
      <c r="H144" s="363" t="str">
        <f>IFERROR(INDEX('G-7 WaterC'' Data'!$H$4:$L$8,MATCH(C144,'G-7 WaterC'' Data'!$B$4:$B$8,0),MATCH(G144,'G-7 WaterC'' Data'!$H$3:$L$3,0)),"")</f>
        <v/>
      </c>
      <c r="I144" s="54"/>
      <c r="J144" s="401" t="str">
        <f>IF(I144="","",IF(VLOOKUP(I144,'G-7 WaterC'' Data'!$AK$4:$AM$6,2,FALSE)=0,"Spatial Data Missing ⚠",VLOOKUP(I144,'G-7 WaterC'' Data'!$AK$4:$AM$6,2,FALSE)))</f>
        <v/>
      </c>
      <c r="K144" s="363" t="str">
        <f>IF(I144="","",IF(VLOOKUP(I144,'G-7 WaterC'' Data'!$AK$4:$AM$6,3,FALSE)=0,"Spatial Data Missing ⚠",VLOOKUP(I144,'G-7 WaterC'' Data'!$AK$4:$AM$6,3,FALSE)))</f>
        <v/>
      </c>
      <c r="L144" s="478" t="str">
        <f>IFERROR(INDEX('G-7 WaterC'' Data'!$O$3:$O$7,MATCH(G144,'G-7 WaterC'' Data'!$N$3:$N$7,0)),"")</f>
        <v/>
      </c>
      <c r="M144" s="55"/>
      <c r="N144" s="159"/>
      <c r="O144" s="370" t="str">
        <f t="shared" si="12"/>
        <v/>
      </c>
      <c r="P144" s="383" t="str">
        <f t="shared" si="13"/>
        <v/>
      </c>
      <c r="Q144" s="422" t="str">
        <f>IFERROR(IF(P144="Check Data ⚠","Check Data ⚠",VLOOKUP(P144,'G-4 Temporal multipliers'!$A$4:$C$37,3,FALSE)),"")</f>
        <v/>
      </c>
      <c r="R144" s="362" t="str">
        <f>IF(C144="","",VLOOKUP(C144,'G-7 WaterC'' Data'!$B$4:$G$8,4,FALSE))</f>
        <v/>
      </c>
      <c r="S144" s="370" t="str">
        <f t="shared" si="14"/>
        <v/>
      </c>
      <c r="T144" s="401" t="str">
        <f t="shared" si="15"/>
        <v/>
      </c>
      <c r="U144" s="363" t="str">
        <f>IF(C144="","",VLOOKUP(T144,'G-3 Multipliers'!$P$2:$Q$6,2,FALSE))</f>
        <v/>
      </c>
      <c r="V144" s="115"/>
      <c r="W144" s="363" t="str">
        <f>IF(V144="","",IF(VLOOKUP(V144,'G-7 WaterC'' Data'!$AA$4:$AB$7,2,FALSE)=0,"Spatial Data Missing ⚠",VLOOKUP(V144,'G-7 WaterC'' Data'!$AA$4:$AB$7,2,FALSE)))</f>
        <v/>
      </c>
      <c r="X144" s="60"/>
      <c r="Y144" s="363" t="str">
        <f>IF(X144="","",IF(VLOOKUP(X144,'G-7 WaterC'' Data'!$AD$4:$AE$14,2,FALSE)=0,"Enrcoachment Data Missing ⚠",VLOOKUP(X144,'G-7 WaterC'' Data'!$AD$4:$AE$14,2,FALSE)))</f>
        <v/>
      </c>
      <c r="Z144" s="115"/>
      <c r="AA144" s="363" t="str">
        <f>IF(Z144="","",IF(VLOOKUP(Z144,'G-7 WaterC'' Data'!$AO$4:$BO$7,2,FALSE)=0,"Spatial Data Missing ⚠",VLOOKUP(Z144,'G-7 WaterC'' Data'!$AO$4:$BO$7,2,FALSE)))</f>
        <v/>
      </c>
      <c r="AB144" s="405" t="str">
        <f t="shared" si="16"/>
        <v/>
      </c>
      <c r="AC144" s="405" t="str">
        <f t="shared" si="17"/>
        <v/>
      </c>
      <c r="AD144" s="117"/>
      <c r="AE144" s="692"/>
      <c r="AF144" s="119"/>
      <c r="AG144" s="120"/>
      <c r="AL144" s="30" t="str">
        <f>IFERROR(INDEX('G-7 WaterC'' Data'!$AZ$3:$AZ$7,MATCH(C144,'G-7 WaterC'' Data'!$AY$3:$AY$7,0)),"")</f>
        <v/>
      </c>
    </row>
    <row r="145" spans="2:38" ht="15">
      <c r="B145" s="110">
        <v>134</v>
      </c>
      <c r="C145" s="501"/>
      <c r="D145" s="139"/>
      <c r="E145" s="362" t="str">
        <f>IF(C145="","",VLOOKUP(C145,'G-7 WaterC'' Data'!$B$2:$Z$9,2,FALSE))</f>
        <v/>
      </c>
      <c r="F145" s="363" t="str">
        <f>IFERROR(VLOOKUP(E145,'G-7 WaterC'' Data'!$C$4:$D$8,2,FALSE),"")</f>
        <v/>
      </c>
      <c r="G145" s="114"/>
      <c r="H145" s="363" t="str">
        <f>IFERROR(INDEX('G-7 WaterC'' Data'!$H$4:$L$8,MATCH(C145,'G-7 WaterC'' Data'!$B$4:$B$8,0),MATCH(G145,'G-7 WaterC'' Data'!$H$3:$L$3,0)),"")</f>
        <v/>
      </c>
      <c r="I145" s="54"/>
      <c r="J145" s="401" t="str">
        <f>IF(I145="","",IF(VLOOKUP(I145,'G-7 WaterC'' Data'!$AK$4:$AM$6,2,FALSE)=0,"Spatial Data Missing ⚠",VLOOKUP(I145,'G-7 WaterC'' Data'!$AK$4:$AM$6,2,FALSE)))</f>
        <v/>
      </c>
      <c r="K145" s="363" t="str">
        <f>IF(I145="","",IF(VLOOKUP(I145,'G-7 WaterC'' Data'!$AK$4:$AM$6,3,FALSE)=0,"Spatial Data Missing ⚠",VLOOKUP(I145,'G-7 WaterC'' Data'!$AK$4:$AM$6,3,FALSE)))</f>
        <v/>
      </c>
      <c r="L145" s="478" t="str">
        <f>IFERROR(INDEX('G-7 WaterC'' Data'!$O$3:$O$7,MATCH(G145,'G-7 WaterC'' Data'!$N$3:$N$7,0)),"")</f>
        <v/>
      </c>
      <c r="M145" s="55"/>
      <c r="N145" s="159"/>
      <c r="O145" s="370" t="str">
        <f t="shared" si="12"/>
        <v/>
      </c>
      <c r="P145" s="383" t="str">
        <f t="shared" si="13"/>
        <v/>
      </c>
      <c r="Q145" s="422" t="str">
        <f>IFERROR(IF(P145="Check Data ⚠","Check Data ⚠",VLOOKUP(P145,'G-4 Temporal multipliers'!$A$4:$C$37,3,FALSE)),"")</f>
        <v/>
      </c>
      <c r="R145" s="362" t="str">
        <f>IF(C145="","",VLOOKUP(C145,'G-7 WaterC'' Data'!$B$4:$G$8,4,FALSE))</f>
        <v/>
      </c>
      <c r="S145" s="370" t="str">
        <f t="shared" si="14"/>
        <v/>
      </c>
      <c r="T145" s="401" t="str">
        <f t="shared" si="15"/>
        <v/>
      </c>
      <c r="U145" s="363" t="str">
        <f>IF(C145="","",VLOOKUP(T145,'G-3 Multipliers'!$P$2:$Q$6,2,FALSE))</f>
        <v/>
      </c>
      <c r="V145" s="115"/>
      <c r="W145" s="363" t="str">
        <f>IF(V145="","",IF(VLOOKUP(V145,'G-7 WaterC'' Data'!$AA$4:$AB$7,2,FALSE)=0,"Spatial Data Missing ⚠",VLOOKUP(V145,'G-7 WaterC'' Data'!$AA$4:$AB$7,2,FALSE)))</f>
        <v/>
      </c>
      <c r="X145" s="60"/>
      <c r="Y145" s="363" t="str">
        <f>IF(X145="","",IF(VLOOKUP(X145,'G-7 WaterC'' Data'!$AD$4:$AE$14,2,FALSE)=0,"Enrcoachment Data Missing ⚠",VLOOKUP(X145,'G-7 WaterC'' Data'!$AD$4:$AE$14,2,FALSE)))</f>
        <v/>
      </c>
      <c r="Z145" s="115"/>
      <c r="AA145" s="363" t="str">
        <f>IF(Z145="","",IF(VLOOKUP(Z145,'G-7 WaterC'' Data'!$AO$4:$BO$7,2,FALSE)=0,"Spatial Data Missing ⚠",VLOOKUP(Z145,'G-7 WaterC'' Data'!$AO$4:$BO$7,2,FALSE)))</f>
        <v/>
      </c>
      <c r="AB145" s="405" t="str">
        <f t="shared" si="16"/>
        <v/>
      </c>
      <c r="AC145" s="405" t="str">
        <f t="shared" si="17"/>
        <v/>
      </c>
      <c r="AD145" s="117"/>
      <c r="AE145" s="692"/>
      <c r="AF145" s="119"/>
      <c r="AG145" s="120"/>
      <c r="AL145" s="30" t="str">
        <f>IFERROR(INDEX('G-7 WaterC'' Data'!$AZ$3:$AZ$7,MATCH(C145,'G-7 WaterC'' Data'!$AY$3:$AY$7,0)),"")</f>
        <v/>
      </c>
    </row>
    <row r="146" spans="2:38" ht="15">
      <c r="B146" s="110">
        <v>135</v>
      </c>
      <c r="C146" s="501"/>
      <c r="D146" s="139"/>
      <c r="E146" s="362" t="str">
        <f>IF(C146="","",VLOOKUP(C146,'G-7 WaterC'' Data'!$B$2:$Z$9,2,FALSE))</f>
        <v/>
      </c>
      <c r="F146" s="363" t="str">
        <f>IFERROR(VLOOKUP(E146,'G-7 WaterC'' Data'!$C$4:$D$8,2,FALSE),"")</f>
        <v/>
      </c>
      <c r="G146" s="114"/>
      <c r="H146" s="363" t="str">
        <f>IFERROR(INDEX('G-7 WaterC'' Data'!$H$4:$L$8,MATCH(C146,'G-7 WaterC'' Data'!$B$4:$B$8,0),MATCH(G146,'G-7 WaterC'' Data'!$H$3:$L$3,0)),"")</f>
        <v/>
      </c>
      <c r="I146" s="54"/>
      <c r="J146" s="401" t="str">
        <f>IF(I146="","",IF(VLOOKUP(I146,'G-7 WaterC'' Data'!$AK$4:$AM$6,2,FALSE)=0,"Spatial Data Missing ⚠",VLOOKUP(I146,'G-7 WaterC'' Data'!$AK$4:$AM$6,2,FALSE)))</f>
        <v/>
      </c>
      <c r="K146" s="363" t="str">
        <f>IF(I146="","",IF(VLOOKUP(I146,'G-7 WaterC'' Data'!$AK$4:$AM$6,3,FALSE)=0,"Spatial Data Missing ⚠",VLOOKUP(I146,'G-7 WaterC'' Data'!$AK$4:$AM$6,3,FALSE)))</f>
        <v/>
      </c>
      <c r="L146" s="478" t="str">
        <f>IFERROR(INDEX('G-7 WaterC'' Data'!$O$3:$O$7,MATCH(G146,'G-7 WaterC'' Data'!$N$3:$N$7,0)),"")</f>
        <v/>
      </c>
      <c r="M146" s="55"/>
      <c r="N146" s="159"/>
      <c r="O146" s="370" t="str">
        <f t="shared" si="12"/>
        <v/>
      </c>
      <c r="P146" s="383" t="str">
        <f t="shared" si="13"/>
        <v/>
      </c>
      <c r="Q146" s="422" t="str">
        <f>IFERROR(IF(P146="Check Data ⚠","Check Data ⚠",VLOOKUP(P146,'G-4 Temporal multipliers'!$A$4:$C$37,3,FALSE)),"")</f>
        <v/>
      </c>
      <c r="R146" s="362" t="str">
        <f>IF(C146="","",VLOOKUP(C146,'G-7 WaterC'' Data'!$B$4:$G$8,4,FALSE))</f>
        <v/>
      </c>
      <c r="S146" s="370" t="str">
        <f t="shared" si="14"/>
        <v/>
      </c>
      <c r="T146" s="401" t="str">
        <f t="shared" si="15"/>
        <v/>
      </c>
      <c r="U146" s="363" t="str">
        <f>IF(C146="","",VLOOKUP(T146,'G-3 Multipliers'!$P$2:$Q$6,2,FALSE))</f>
        <v/>
      </c>
      <c r="V146" s="115"/>
      <c r="W146" s="363" t="str">
        <f>IF(V146="","",IF(VLOOKUP(V146,'G-7 WaterC'' Data'!$AA$4:$AB$7,2,FALSE)=0,"Spatial Data Missing ⚠",VLOOKUP(V146,'G-7 WaterC'' Data'!$AA$4:$AB$7,2,FALSE)))</f>
        <v/>
      </c>
      <c r="X146" s="60"/>
      <c r="Y146" s="363" t="str">
        <f>IF(X146="","",IF(VLOOKUP(X146,'G-7 WaterC'' Data'!$AD$4:$AE$14,2,FALSE)=0,"Enrcoachment Data Missing ⚠",VLOOKUP(X146,'G-7 WaterC'' Data'!$AD$4:$AE$14,2,FALSE)))</f>
        <v/>
      </c>
      <c r="Z146" s="115"/>
      <c r="AA146" s="363" t="str">
        <f>IF(Z146="","",IF(VLOOKUP(Z146,'G-7 WaterC'' Data'!$AO$4:$BO$7,2,FALSE)=0,"Spatial Data Missing ⚠",VLOOKUP(Z146,'G-7 WaterC'' Data'!$AO$4:$BO$7,2,FALSE)))</f>
        <v/>
      </c>
      <c r="AB146" s="405" t="str">
        <f t="shared" si="16"/>
        <v/>
      </c>
      <c r="AC146" s="405" t="str">
        <f t="shared" si="17"/>
        <v/>
      </c>
      <c r="AD146" s="117"/>
      <c r="AE146" s="692"/>
      <c r="AF146" s="119"/>
      <c r="AG146" s="120"/>
      <c r="AL146" s="30" t="str">
        <f>IFERROR(INDEX('G-7 WaterC'' Data'!$AZ$3:$AZ$7,MATCH(C146,'G-7 WaterC'' Data'!$AY$3:$AY$7,0)),"")</f>
        <v/>
      </c>
    </row>
    <row r="147" spans="2:38" ht="15">
      <c r="B147" s="110">
        <v>136</v>
      </c>
      <c r="C147" s="501"/>
      <c r="D147" s="139"/>
      <c r="E147" s="362" t="str">
        <f>IF(C147="","",VLOOKUP(C147,'G-7 WaterC'' Data'!$B$2:$Z$9,2,FALSE))</f>
        <v/>
      </c>
      <c r="F147" s="363" t="str">
        <f>IFERROR(VLOOKUP(E147,'G-7 WaterC'' Data'!$C$4:$D$8,2,FALSE),"")</f>
        <v/>
      </c>
      <c r="G147" s="114"/>
      <c r="H147" s="363" t="str">
        <f>IFERROR(INDEX('G-7 WaterC'' Data'!$H$4:$L$8,MATCH(C147,'G-7 WaterC'' Data'!$B$4:$B$8,0),MATCH(G147,'G-7 WaterC'' Data'!$H$3:$L$3,0)),"")</f>
        <v/>
      </c>
      <c r="I147" s="54"/>
      <c r="J147" s="401" t="str">
        <f>IF(I147="","",IF(VLOOKUP(I147,'G-7 WaterC'' Data'!$AK$4:$AM$6,2,FALSE)=0,"Spatial Data Missing ⚠",VLOOKUP(I147,'G-7 WaterC'' Data'!$AK$4:$AM$6,2,FALSE)))</f>
        <v/>
      </c>
      <c r="K147" s="363" t="str">
        <f>IF(I147="","",IF(VLOOKUP(I147,'G-7 WaterC'' Data'!$AK$4:$AM$6,3,FALSE)=0,"Spatial Data Missing ⚠",VLOOKUP(I147,'G-7 WaterC'' Data'!$AK$4:$AM$6,3,FALSE)))</f>
        <v/>
      </c>
      <c r="L147" s="478" t="str">
        <f>IFERROR(INDEX('G-7 WaterC'' Data'!$O$3:$O$7,MATCH(G147,'G-7 WaterC'' Data'!$N$3:$N$7,0)),"")</f>
        <v/>
      </c>
      <c r="M147" s="55"/>
      <c r="N147" s="159"/>
      <c r="O147" s="370" t="str">
        <f t="shared" si="12"/>
        <v/>
      </c>
      <c r="P147" s="383" t="str">
        <f t="shared" si="13"/>
        <v/>
      </c>
      <c r="Q147" s="422" t="str">
        <f>IFERROR(IF(P147="Check Data ⚠","Check Data ⚠",VLOOKUP(P147,'G-4 Temporal multipliers'!$A$4:$C$37,3,FALSE)),"")</f>
        <v/>
      </c>
      <c r="R147" s="362" t="str">
        <f>IF(C147="","",VLOOKUP(C147,'G-7 WaterC'' Data'!$B$4:$G$8,4,FALSE))</f>
        <v/>
      </c>
      <c r="S147" s="370" t="str">
        <f t="shared" si="14"/>
        <v/>
      </c>
      <c r="T147" s="401" t="str">
        <f t="shared" si="15"/>
        <v/>
      </c>
      <c r="U147" s="363" t="str">
        <f>IF(C147="","",VLOOKUP(T147,'G-3 Multipliers'!$P$2:$Q$6,2,FALSE))</f>
        <v/>
      </c>
      <c r="V147" s="115"/>
      <c r="W147" s="363" t="str">
        <f>IF(V147="","",IF(VLOOKUP(V147,'G-7 WaterC'' Data'!$AA$4:$AB$7,2,FALSE)=0,"Spatial Data Missing ⚠",VLOOKUP(V147,'G-7 WaterC'' Data'!$AA$4:$AB$7,2,FALSE)))</f>
        <v/>
      </c>
      <c r="X147" s="60"/>
      <c r="Y147" s="363" t="str">
        <f>IF(X147="","",IF(VLOOKUP(X147,'G-7 WaterC'' Data'!$AD$4:$AE$14,2,FALSE)=0,"Enrcoachment Data Missing ⚠",VLOOKUP(X147,'G-7 WaterC'' Data'!$AD$4:$AE$14,2,FALSE)))</f>
        <v/>
      </c>
      <c r="Z147" s="115"/>
      <c r="AA147" s="363" t="str">
        <f>IF(Z147="","",IF(VLOOKUP(Z147,'G-7 WaterC'' Data'!$AO$4:$BO$7,2,FALSE)=0,"Spatial Data Missing ⚠",VLOOKUP(Z147,'G-7 WaterC'' Data'!$AO$4:$BO$7,2,FALSE)))</f>
        <v/>
      </c>
      <c r="AB147" s="405" t="str">
        <f t="shared" si="16"/>
        <v/>
      </c>
      <c r="AC147" s="405" t="str">
        <f t="shared" si="17"/>
        <v/>
      </c>
      <c r="AD147" s="117"/>
      <c r="AE147" s="692"/>
      <c r="AF147" s="119"/>
      <c r="AG147" s="120"/>
      <c r="AL147" s="30" t="str">
        <f>IFERROR(INDEX('G-7 WaterC'' Data'!$AZ$3:$AZ$7,MATCH(C147,'G-7 WaterC'' Data'!$AY$3:$AY$7,0)),"")</f>
        <v/>
      </c>
    </row>
    <row r="148" spans="2:38" ht="15">
      <c r="B148" s="110">
        <v>137</v>
      </c>
      <c r="C148" s="501"/>
      <c r="D148" s="139"/>
      <c r="E148" s="362" t="str">
        <f>IF(C148="","",VLOOKUP(C148,'G-7 WaterC'' Data'!$B$2:$Z$9,2,FALSE))</f>
        <v/>
      </c>
      <c r="F148" s="363" t="str">
        <f>IFERROR(VLOOKUP(E148,'G-7 WaterC'' Data'!$C$4:$D$8,2,FALSE),"")</f>
        <v/>
      </c>
      <c r="G148" s="114"/>
      <c r="H148" s="363" t="str">
        <f>IFERROR(INDEX('G-7 WaterC'' Data'!$H$4:$L$8,MATCH(C148,'G-7 WaterC'' Data'!$B$4:$B$8,0),MATCH(G148,'G-7 WaterC'' Data'!$H$3:$L$3,0)),"")</f>
        <v/>
      </c>
      <c r="I148" s="54"/>
      <c r="J148" s="401" t="str">
        <f>IF(I148="","",IF(VLOOKUP(I148,'G-7 WaterC'' Data'!$AK$4:$AM$6,2,FALSE)=0,"Spatial Data Missing ⚠",VLOOKUP(I148,'G-7 WaterC'' Data'!$AK$4:$AM$6,2,FALSE)))</f>
        <v/>
      </c>
      <c r="K148" s="363" t="str">
        <f>IF(I148="","",IF(VLOOKUP(I148,'G-7 WaterC'' Data'!$AK$4:$AM$6,3,FALSE)=0,"Spatial Data Missing ⚠",VLOOKUP(I148,'G-7 WaterC'' Data'!$AK$4:$AM$6,3,FALSE)))</f>
        <v/>
      </c>
      <c r="L148" s="478" t="str">
        <f>IFERROR(INDEX('G-7 WaterC'' Data'!$O$3:$O$7,MATCH(G148,'G-7 WaterC'' Data'!$N$3:$N$7,0)),"")</f>
        <v/>
      </c>
      <c r="M148" s="55"/>
      <c r="N148" s="159"/>
      <c r="O148" s="370" t="str">
        <f t="shared" si="12"/>
        <v/>
      </c>
      <c r="P148" s="383" t="str">
        <f t="shared" si="13"/>
        <v/>
      </c>
      <c r="Q148" s="422" t="str">
        <f>IFERROR(IF(P148="Check Data ⚠","Check Data ⚠",VLOOKUP(P148,'G-4 Temporal multipliers'!$A$4:$C$37,3,FALSE)),"")</f>
        <v/>
      </c>
      <c r="R148" s="362" t="str">
        <f>IF(C148="","",VLOOKUP(C148,'G-7 WaterC'' Data'!$B$4:$G$8,4,FALSE))</f>
        <v/>
      </c>
      <c r="S148" s="370" t="str">
        <f t="shared" si="14"/>
        <v/>
      </c>
      <c r="T148" s="401" t="str">
        <f t="shared" si="15"/>
        <v/>
      </c>
      <c r="U148" s="363" t="str">
        <f>IF(C148="","",VLOOKUP(T148,'G-3 Multipliers'!$P$2:$Q$6,2,FALSE))</f>
        <v/>
      </c>
      <c r="V148" s="115"/>
      <c r="W148" s="363" t="str">
        <f>IF(V148="","",IF(VLOOKUP(V148,'G-7 WaterC'' Data'!$AA$4:$AB$7,2,FALSE)=0,"Spatial Data Missing ⚠",VLOOKUP(V148,'G-7 WaterC'' Data'!$AA$4:$AB$7,2,FALSE)))</f>
        <v/>
      </c>
      <c r="X148" s="60"/>
      <c r="Y148" s="363" t="str">
        <f>IF(X148="","",IF(VLOOKUP(X148,'G-7 WaterC'' Data'!$AD$4:$AE$14,2,FALSE)=0,"Enrcoachment Data Missing ⚠",VLOOKUP(X148,'G-7 WaterC'' Data'!$AD$4:$AE$14,2,FALSE)))</f>
        <v/>
      </c>
      <c r="Z148" s="115"/>
      <c r="AA148" s="363" t="str">
        <f>IF(Z148="","",IF(VLOOKUP(Z148,'G-7 WaterC'' Data'!$AO$4:$BO$7,2,FALSE)=0,"Spatial Data Missing ⚠",VLOOKUP(Z148,'G-7 WaterC'' Data'!$AO$4:$BO$7,2,FALSE)))</f>
        <v/>
      </c>
      <c r="AB148" s="405" t="str">
        <f t="shared" si="16"/>
        <v/>
      </c>
      <c r="AC148" s="405" t="str">
        <f t="shared" si="17"/>
        <v/>
      </c>
      <c r="AD148" s="117"/>
      <c r="AE148" s="692"/>
      <c r="AF148" s="119"/>
      <c r="AG148" s="120"/>
      <c r="AL148" s="30" t="str">
        <f>IFERROR(INDEX('G-7 WaterC'' Data'!$AZ$3:$AZ$7,MATCH(C148,'G-7 WaterC'' Data'!$AY$3:$AY$7,0)),"")</f>
        <v/>
      </c>
    </row>
    <row r="149" spans="2:38" ht="15">
      <c r="B149" s="110">
        <v>138</v>
      </c>
      <c r="C149" s="501"/>
      <c r="D149" s="139"/>
      <c r="E149" s="362" t="str">
        <f>IF(C149="","",VLOOKUP(C149,'G-7 WaterC'' Data'!$B$2:$Z$9,2,FALSE))</f>
        <v/>
      </c>
      <c r="F149" s="363" t="str">
        <f>IFERROR(VLOOKUP(E149,'G-7 WaterC'' Data'!$C$4:$D$8,2,FALSE),"")</f>
        <v/>
      </c>
      <c r="G149" s="114"/>
      <c r="H149" s="363" t="str">
        <f>IFERROR(INDEX('G-7 WaterC'' Data'!$H$4:$L$8,MATCH(C149,'G-7 WaterC'' Data'!$B$4:$B$8,0),MATCH(G149,'G-7 WaterC'' Data'!$H$3:$L$3,0)),"")</f>
        <v/>
      </c>
      <c r="I149" s="54"/>
      <c r="J149" s="401" t="str">
        <f>IF(I149="","",IF(VLOOKUP(I149,'G-7 WaterC'' Data'!$AK$4:$AM$6,2,FALSE)=0,"Spatial Data Missing ⚠",VLOOKUP(I149,'G-7 WaterC'' Data'!$AK$4:$AM$6,2,FALSE)))</f>
        <v/>
      </c>
      <c r="K149" s="363" t="str">
        <f>IF(I149="","",IF(VLOOKUP(I149,'G-7 WaterC'' Data'!$AK$4:$AM$6,3,FALSE)=0,"Spatial Data Missing ⚠",VLOOKUP(I149,'G-7 WaterC'' Data'!$AK$4:$AM$6,3,FALSE)))</f>
        <v/>
      </c>
      <c r="L149" s="478" t="str">
        <f>IFERROR(INDEX('G-7 WaterC'' Data'!$O$3:$O$7,MATCH(G149,'G-7 WaterC'' Data'!$N$3:$N$7,0)),"")</f>
        <v/>
      </c>
      <c r="M149" s="55"/>
      <c r="N149" s="159"/>
      <c r="O149" s="370" t="str">
        <f t="shared" si="12"/>
        <v/>
      </c>
      <c r="P149" s="383" t="str">
        <f t="shared" si="13"/>
        <v/>
      </c>
      <c r="Q149" s="422" t="str">
        <f>IFERROR(IF(P149="Check Data ⚠","Check Data ⚠",VLOOKUP(P149,'G-4 Temporal multipliers'!$A$4:$C$37,3,FALSE)),"")</f>
        <v/>
      </c>
      <c r="R149" s="362" t="str">
        <f>IF(C149="","",VLOOKUP(C149,'G-7 WaterC'' Data'!$B$4:$G$8,4,FALSE))</f>
        <v/>
      </c>
      <c r="S149" s="370" t="str">
        <f t="shared" si="14"/>
        <v/>
      </c>
      <c r="T149" s="401" t="str">
        <f t="shared" si="15"/>
        <v/>
      </c>
      <c r="U149" s="363" t="str">
        <f>IF(C149="","",VLOOKUP(T149,'G-3 Multipliers'!$P$2:$Q$6,2,FALSE))</f>
        <v/>
      </c>
      <c r="V149" s="115"/>
      <c r="W149" s="363" t="str">
        <f>IF(V149="","",IF(VLOOKUP(V149,'G-7 WaterC'' Data'!$AA$4:$AB$7,2,FALSE)=0,"Spatial Data Missing ⚠",VLOOKUP(V149,'G-7 WaterC'' Data'!$AA$4:$AB$7,2,FALSE)))</f>
        <v/>
      </c>
      <c r="X149" s="60"/>
      <c r="Y149" s="363" t="str">
        <f>IF(X149="","",IF(VLOOKUP(X149,'G-7 WaterC'' Data'!$AD$4:$AE$14,2,FALSE)=0,"Enrcoachment Data Missing ⚠",VLOOKUP(X149,'G-7 WaterC'' Data'!$AD$4:$AE$14,2,FALSE)))</f>
        <v/>
      </c>
      <c r="Z149" s="115"/>
      <c r="AA149" s="363" t="str">
        <f>IF(Z149="","",IF(VLOOKUP(Z149,'G-7 WaterC'' Data'!$AO$4:$BO$7,2,FALSE)=0,"Spatial Data Missing ⚠",VLOOKUP(Z149,'G-7 WaterC'' Data'!$AO$4:$BO$7,2,FALSE)))</f>
        <v/>
      </c>
      <c r="AB149" s="405" t="str">
        <f t="shared" si="16"/>
        <v/>
      </c>
      <c r="AC149" s="405" t="str">
        <f t="shared" si="17"/>
        <v/>
      </c>
      <c r="AD149" s="117"/>
      <c r="AE149" s="692"/>
      <c r="AF149" s="119"/>
      <c r="AG149" s="120"/>
      <c r="AL149" s="30" t="str">
        <f>IFERROR(INDEX('G-7 WaterC'' Data'!$AZ$3:$AZ$7,MATCH(C149,'G-7 WaterC'' Data'!$AY$3:$AY$7,0)),"")</f>
        <v/>
      </c>
    </row>
    <row r="150" spans="2:38" ht="15">
      <c r="B150" s="110">
        <v>139</v>
      </c>
      <c r="C150" s="501"/>
      <c r="D150" s="139"/>
      <c r="E150" s="362" t="str">
        <f>IF(C150="","",VLOOKUP(C150,'G-7 WaterC'' Data'!$B$2:$Z$9,2,FALSE))</f>
        <v/>
      </c>
      <c r="F150" s="363" t="str">
        <f>IFERROR(VLOOKUP(E150,'G-7 WaterC'' Data'!$C$4:$D$8,2,FALSE),"")</f>
        <v/>
      </c>
      <c r="G150" s="114"/>
      <c r="H150" s="363" t="str">
        <f>IFERROR(INDEX('G-7 WaterC'' Data'!$H$4:$L$8,MATCH(C150,'G-7 WaterC'' Data'!$B$4:$B$8,0),MATCH(G150,'G-7 WaterC'' Data'!$H$3:$L$3,0)),"")</f>
        <v/>
      </c>
      <c r="I150" s="54"/>
      <c r="J150" s="401" t="str">
        <f>IF(I150="","",IF(VLOOKUP(I150,'G-7 WaterC'' Data'!$AK$4:$AM$6,2,FALSE)=0,"Spatial Data Missing ⚠",VLOOKUP(I150,'G-7 WaterC'' Data'!$AK$4:$AM$6,2,FALSE)))</f>
        <v/>
      </c>
      <c r="K150" s="363" t="str">
        <f>IF(I150="","",IF(VLOOKUP(I150,'G-7 WaterC'' Data'!$AK$4:$AM$6,3,FALSE)=0,"Spatial Data Missing ⚠",VLOOKUP(I150,'G-7 WaterC'' Data'!$AK$4:$AM$6,3,FALSE)))</f>
        <v/>
      </c>
      <c r="L150" s="478" t="str">
        <f>IFERROR(INDEX('G-7 WaterC'' Data'!$O$3:$O$7,MATCH(G150,'G-7 WaterC'' Data'!$N$3:$N$7,0)),"")</f>
        <v/>
      </c>
      <c r="M150" s="55"/>
      <c r="N150" s="159"/>
      <c r="O150" s="370" t="str">
        <f t="shared" si="12"/>
        <v/>
      </c>
      <c r="P150" s="383" t="str">
        <f t="shared" si="13"/>
        <v/>
      </c>
      <c r="Q150" s="422" t="str">
        <f>IFERROR(IF(P150="Check Data ⚠","Check Data ⚠",VLOOKUP(P150,'G-4 Temporal multipliers'!$A$4:$C$37,3,FALSE)),"")</f>
        <v/>
      </c>
      <c r="R150" s="362" t="str">
        <f>IF(C150="","",VLOOKUP(C150,'G-7 WaterC'' Data'!$B$4:$G$8,4,FALSE))</f>
        <v/>
      </c>
      <c r="S150" s="370" t="str">
        <f t="shared" si="14"/>
        <v/>
      </c>
      <c r="T150" s="401" t="str">
        <f t="shared" si="15"/>
        <v/>
      </c>
      <c r="U150" s="363" t="str">
        <f>IF(C150="","",VLOOKUP(T150,'G-3 Multipliers'!$P$2:$Q$6,2,FALSE))</f>
        <v/>
      </c>
      <c r="V150" s="115"/>
      <c r="W150" s="363" t="str">
        <f>IF(V150="","",IF(VLOOKUP(V150,'G-7 WaterC'' Data'!$AA$4:$AB$7,2,FALSE)=0,"Spatial Data Missing ⚠",VLOOKUP(V150,'G-7 WaterC'' Data'!$AA$4:$AB$7,2,FALSE)))</f>
        <v/>
      </c>
      <c r="X150" s="60"/>
      <c r="Y150" s="363" t="str">
        <f>IF(X150="","",IF(VLOOKUP(X150,'G-7 WaterC'' Data'!$AD$4:$AE$14,2,FALSE)=0,"Enrcoachment Data Missing ⚠",VLOOKUP(X150,'G-7 WaterC'' Data'!$AD$4:$AE$14,2,FALSE)))</f>
        <v/>
      </c>
      <c r="Z150" s="115"/>
      <c r="AA150" s="363" t="str">
        <f>IF(Z150="","",IF(VLOOKUP(Z150,'G-7 WaterC'' Data'!$AO$4:$BO$7,2,FALSE)=0,"Spatial Data Missing ⚠",VLOOKUP(Z150,'G-7 WaterC'' Data'!$AO$4:$BO$7,2,FALSE)))</f>
        <v/>
      </c>
      <c r="AB150" s="405" t="str">
        <f t="shared" si="16"/>
        <v/>
      </c>
      <c r="AC150" s="405" t="str">
        <f t="shared" si="17"/>
        <v/>
      </c>
      <c r="AD150" s="117"/>
      <c r="AE150" s="692"/>
      <c r="AF150" s="119"/>
      <c r="AG150" s="120"/>
      <c r="AL150" s="30" t="str">
        <f>IFERROR(INDEX('G-7 WaterC'' Data'!$AZ$3:$AZ$7,MATCH(C150,'G-7 WaterC'' Data'!$AY$3:$AY$7,0)),"")</f>
        <v/>
      </c>
    </row>
    <row r="151" spans="2:38" ht="15">
      <c r="B151" s="110">
        <v>140</v>
      </c>
      <c r="C151" s="501"/>
      <c r="D151" s="139"/>
      <c r="E151" s="362" t="str">
        <f>IF(C151="","",VLOOKUP(C151,'G-7 WaterC'' Data'!$B$2:$Z$9,2,FALSE))</f>
        <v/>
      </c>
      <c r="F151" s="363" t="str">
        <f>IFERROR(VLOOKUP(E151,'G-7 WaterC'' Data'!$C$4:$D$8,2,FALSE),"")</f>
        <v/>
      </c>
      <c r="G151" s="114"/>
      <c r="H151" s="363" t="str">
        <f>IFERROR(INDEX('G-7 WaterC'' Data'!$H$4:$L$8,MATCH(C151,'G-7 WaterC'' Data'!$B$4:$B$8,0),MATCH(G151,'G-7 WaterC'' Data'!$H$3:$L$3,0)),"")</f>
        <v/>
      </c>
      <c r="I151" s="54"/>
      <c r="J151" s="401" t="str">
        <f>IF(I151="","",IF(VLOOKUP(I151,'G-7 WaterC'' Data'!$AK$4:$AM$6,2,FALSE)=0,"Spatial Data Missing ⚠",VLOOKUP(I151,'G-7 WaterC'' Data'!$AK$4:$AM$6,2,FALSE)))</f>
        <v/>
      </c>
      <c r="K151" s="363" t="str">
        <f>IF(I151="","",IF(VLOOKUP(I151,'G-7 WaterC'' Data'!$AK$4:$AM$6,3,FALSE)=0,"Spatial Data Missing ⚠",VLOOKUP(I151,'G-7 WaterC'' Data'!$AK$4:$AM$6,3,FALSE)))</f>
        <v/>
      </c>
      <c r="L151" s="478" t="str">
        <f>IFERROR(INDEX('G-7 WaterC'' Data'!$O$3:$O$7,MATCH(G151,'G-7 WaterC'' Data'!$N$3:$N$7,0)),"")</f>
        <v/>
      </c>
      <c r="M151" s="55"/>
      <c r="N151" s="159"/>
      <c r="O151" s="370" t="str">
        <f t="shared" si="12"/>
        <v/>
      </c>
      <c r="P151" s="383" t="str">
        <f t="shared" si="13"/>
        <v/>
      </c>
      <c r="Q151" s="422" t="str">
        <f>IFERROR(IF(P151="Check Data ⚠","Check Data ⚠",VLOOKUP(P151,'G-4 Temporal multipliers'!$A$4:$C$37,3,FALSE)),"")</f>
        <v/>
      </c>
      <c r="R151" s="362" t="str">
        <f>IF(C151="","",VLOOKUP(C151,'G-7 WaterC'' Data'!$B$4:$G$8,4,FALSE))</f>
        <v/>
      </c>
      <c r="S151" s="370" t="str">
        <f t="shared" si="14"/>
        <v/>
      </c>
      <c r="T151" s="401" t="str">
        <f t="shared" si="15"/>
        <v/>
      </c>
      <c r="U151" s="363" t="str">
        <f>IF(C151="","",VLOOKUP(T151,'G-3 Multipliers'!$P$2:$Q$6,2,FALSE))</f>
        <v/>
      </c>
      <c r="V151" s="115"/>
      <c r="W151" s="363" t="str">
        <f>IF(V151="","",IF(VLOOKUP(V151,'G-7 WaterC'' Data'!$AA$4:$AB$7,2,FALSE)=0,"Spatial Data Missing ⚠",VLOOKUP(V151,'G-7 WaterC'' Data'!$AA$4:$AB$7,2,FALSE)))</f>
        <v/>
      </c>
      <c r="X151" s="60"/>
      <c r="Y151" s="363" t="str">
        <f>IF(X151="","",IF(VLOOKUP(X151,'G-7 WaterC'' Data'!$AD$4:$AE$14,2,FALSE)=0,"Enrcoachment Data Missing ⚠",VLOOKUP(X151,'G-7 WaterC'' Data'!$AD$4:$AE$14,2,FALSE)))</f>
        <v/>
      </c>
      <c r="Z151" s="115"/>
      <c r="AA151" s="363" t="str">
        <f>IF(Z151="","",IF(VLOOKUP(Z151,'G-7 WaterC'' Data'!$AO$4:$BO$7,2,FALSE)=0,"Spatial Data Missing ⚠",VLOOKUP(Z151,'G-7 WaterC'' Data'!$AO$4:$BO$7,2,FALSE)))</f>
        <v/>
      </c>
      <c r="AB151" s="405" t="str">
        <f t="shared" si="16"/>
        <v/>
      </c>
      <c r="AC151" s="405" t="str">
        <f t="shared" si="17"/>
        <v/>
      </c>
      <c r="AD151" s="117"/>
      <c r="AE151" s="692"/>
      <c r="AF151" s="119"/>
      <c r="AG151" s="120"/>
      <c r="AL151" s="30" t="str">
        <f>IFERROR(INDEX('G-7 WaterC'' Data'!$AZ$3:$AZ$7,MATCH(C151,'G-7 WaterC'' Data'!$AY$3:$AY$7,0)),"")</f>
        <v/>
      </c>
    </row>
    <row r="152" spans="2:38" ht="15">
      <c r="B152" s="110">
        <v>141</v>
      </c>
      <c r="C152" s="501"/>
      <c r="D152" s="139"/>
      <c r="E152" s="362" t="str">
        <f>IF(C152="","",VLOOKUP(C152,'G-7 WaterC'' Data'!$B$2:$Z$9,2,FALSE))</f>
        <v/>
      </c>
      <c r="F152" s="363" t="str">
        <f>IFERROR(VLOOKUP(E152,'G-7 WaterC'' Data'!$C$4:$D$8,2,FALSE),"")</f>
        <v/>
      </c>
      <c r="G152" s="114"/>
      <c r="H152" s="363" t="str">
        <f>IFERROR(INDEX('G-7 WaterC'' Data'!$H$4:$L$8,MATCH(C152,'G-7 WaterC'' Data'!$B$4:$B$8,0),MATCH(G152,'G-7 WaterC'' Data'!$H$3:$L$3,0)),"")</f>
        <v/>
      </c>
      <c r="I152" s="54"/>
      <c r="J152" s="401" t="str">
        <f>IF(I152="","",IF(VLOOKUP(I152,'G-7 WaterC'' Data'!$AK$4:$AM$6,2,FALSE)=0,"Spatial Data Missing ⚠",VLOOKUP(I152,'G-7 WaterC'' Data'!$AK$4:$AM$6,2,FALSE)))</f>
        <v/>
      </c>
      <c r="K152" s="363" t="str">
        <f>IF(I152="","",IF(VLOOKUP(I152,'G-7 WaterC'' Data'!$AK$4:$AM$6,3,FALSE)=0,"Spatial Data Missing ⚠",VLOOKUP(I152,'G-7 WaterC'' Data'!$AK$4:$AM$6,3,FALSE)))</f>
        <v/>
      </c>
      <c r="L152" s="478" t="str">
        <f>IFERROR(INDEX('G-7 WaterC'' Data'!$O$3:$O$7,MATCH(G152,'G-7 WaterC'' Data'!$N$3:$N$7,0)),"")</f>
        <v/>
      </c>
      <c r="M152" s="55"/>
      <c r="N152" s="159"/>
      <c r="O152" s="370" t="str">
        <f t="shared" si="12"/>
        <v/>
      </c>
      <c r="P152" s="383" t="str">
        <f t="shared" si="13"/>
        <v/>
      </c>
      <c r="Q152" s="422" t="str">
        <f>IFERROR(IF(P152="Check Data ⚠","Check Data ⚠",VLOOKUP(P152,'G-4 Temporal multipliers'!$A$4:$C$37,3,FALSE)),"")</f>
        <v/>
      </c>
      <c r="R152" s="362" t="str">
        <f>IF(C152="","",VLOOKUP(C152,'G-7 WaterC'' Data'!$B$4:$G$8,4,FALSE))</f>
        <v/>
      </c>
      <c r="S152" s="370" t="str">
        <f t="shared" si="14"/>
        <v/>
      </c>
      <c r="T152" s="401" t="str">
        <f t="shared" si="15"/>
        <v/>
      </c>
      <c r="U152" s="363" t="str">
        <f>IF(C152="","",VLOOKUP(T152,'G-3 Multipliers'!$P$2:$Q$6,2,FALSE))</f>
        <v/>
      </c>
      <c r="V152" s="115"/>
      <c r="W152" s="363" t="str">
        <f>IF(V152="","",IF(VLOOKUP(V152,'G-7 WaterC'' Data'!$AA$4:$AB$7,2,FALSE)=0,"Spatial Data Missing ⚠",VLOOKUP(V152,'G-7 WaterC'' Data'!$AA$4:$AB$7,2,FALSE)))</f>
        <v/>
      </c>
      <c r="X152" s="60"/>
      <c r="Y152" s="363" t="str">
        <f>IF(X152="","",IF(VLOOKUP(X152,'G-7 WaterC'' Data'!$AD$4:$AE$14,2,FALSE)=0,"Enrcoachment Data Missing ⚠",VLOOKUP(X152,'G-7 WaterC'' Data'!$AD$4:$AE$14,2,FALSE)))</f>
        <v/>
      </c>
      <c r="Z152" s="115"/>
      <c r="AA152" s="363" t="str">
        <f>IF(Z152="","",IF(VLOOKUP(Z152,'G-7 WaterC'' Data'!$AO$4:$BO$7,2,FALSE)=0,"Spatial Data Missing ⚠",VLOOKUP(Z152,'G-7 WaterC'' Data'!$AO$4:$BO$7,2,FALSE)))</f>
        <v/>
      </c>
      <c r="AB152" s="405" t="str">
        <f t="shared" si="16"/>
        <v/>
      </c>
      <c r="AC152" s="405" t="str">
        <f t="shared" si="17"/>
        <v/>
      </c>
      <c r="AD152" s="117"/>
      <c r="AE152" s="692"/>
      <c r="AF152" s="119"/>
      <c r="AG152" s="120"/>
      <c r="AL152" s="30" t="str">
        <f>IFERROR(INDEX('G-7 WaterC'' Data'!$AZ$3:$AZ$7,MATCH(C152,'G-7 WaterC'' Data'!$AY$3:$AY$7,0)),"")</f>
        <v/>
      </c>
    </row>
    <row r="153" spans="2:38" ht="15">
      <c r="B153" s="110">
        <v>142</v>
      </c>
      <c r="C153" s="501"/>
      <c r="D153" s="139"/>
      <c r="E153" s="362" t="str">
        <f>IF(C153="","",VLOOKUP(C153,'G-7 WaterC'' Data'!$B$2:$Z$9,2,FALSE))</f>
        <v/>
      </c>
      <c r="F153" s="363" t="str">
        <f>IFERROR(VLOOKUP(E153,'G-7 WaterC'' Data'!$C$4:$D$8,2,FALSE),"")</f>
        <v/>
      </c>
      <c r="G153" s="114"/>
      <c r="H153" s="363" t="str">
        <f>IFERROR(INDEX('G-7 WaterC'' Data'!$H$4:$L$8,MATCH(C153,'G-7 WaterC'' Data'!$B$4:$B$8,0),MATCH(G153,'G-7 WaterC'' Data'!$H$3:$L$3,0)),"")</f>
        <v/>
      </c>
      <c r="I153" s="54"/>
      <c r="J153" s="401" t="str">
        <f>IF(I153="","",IF(VLOOKUP(I153,'G-7 WaterC'' Data'!$AK$4:$AM$6,2,FALSE)=0,"Spatial Data Missing ⚠",VLOOKUP(I153,'G-7 WaterC'' Data'!$AK$4:$AM$6,2,FALSE)))</f>
        <v/>
      </c>
      <c r="K153" s="363" t="str">
        <f>IF(I153="","",IF(VLOOKUP(I153,'G-7 WaterC'' Data'!$AK$4:$AM$6,3,FALSE)=0,"Spatial Data Missing ⚠",VLOOKUP(I153,'G-7 WaterC'' Data'!$AK$4:$AM$6,3,FALSE)))</f>
        <v/>
      </c>
      <c r="L153" s="478" t="str">
        <f>IFERROR(INDEX('G-7 WaterC'' Data'!$O$3:$O$7,MATCH(G153,'G-7 WaterC'' Data'!$N$3:$N$7,0)),"")</f>
        <v/>
      </c>
      <c r="M153" s="55"/>
      <c r="N153" s="159"/>
      <c r="O153" s="370" t="str">
        <f t="shared" si="12"/>
        <v/>
      </c>
      <c r="P153" s="383" t="str">
        <f t="shared" si="13"/>
        <v/>
      </c>
      <c r="Q153" s="422" t="str">
        <f>IFERROR(IF(P153="Check Data ⚠","Check Data ⚠",VLOOKUP(P153,'G-4 Temporal multipliers'!$A$4:$C$37,3,FALSE)),"")</f>
        <v/>
      </c>
      <c r="R153" s="362" t="str">
        <f>IF(C153="","",VLOOKUP(C153,'G-7 WaterC'' Data'!$B$4:$G$8,4,FALSE))</f>
        <v/>
      </c>
      <c r="S153" s="370" t="str">
        <f t="shared" si="14"/>
        <v/>
      </c>
      <c r="T153" s="401" t="str">
        <f t="shared" si="15"/>
        <v/>
      </c>
      <c r="U153" s="363" t="str">
        <f>IF(C153="","",VLOOKUP(T153,'G-3 Multipliers'!$P$2:$Q$6,2,FALSE))</f>
        <v/>
      </c>
      <c r="V153" s="115"/>
      <c r="W153" s="363" t="str">
        <f>IF(V153="","",IF(VLOOKUP(V153,'G-7 WaterC'' Data'!$AA$4:$AB$7,2,FALSE)=0,"Spatial Data Missing ⚠",VLOOKUP(V153,'G-7 WaterC'' Data'!$AA$4:$AB$7,2,FALSE)))</f>
        <v/>
      </c>
      <c r="X153" s="60"/>
      <c r="Y153" s="363" t="str">
        <f>IF(X153="","",IF(VLOOKUP(X153,'G-7 WaterC'' Data'!$AD$4:$AE$14,2,FALSE)=0,"Enrcoachment Data Missing ⚠",VLOOKUP(X153,'G-7 WaterC'' Data'!$AD$4:$AE$14,2,FALSE)))</f>
        <v/>
      </c>
      <c r="Z153" s="115"/>
      <c r="AA153" s="363" t="str">
        <f>IF(Z153="","",IF(VLOOKUP(Z153,'G-7 WaterC'' Data'!$AO$4:$BO$7,2,FALSE)=0,"Spatial Data Missing ⚠",VLOOKUP(Z153,'G-7 WaterC'' Data'!$AO$4:$BO$7,2,FALSE)))</f>
        <v/>
      </c>
      <c r="AB153" s="405" t="str">
        <f t="shared" si="16"/>
        <v/>
      </c>
      <c r="AC153" s="405" t="str">
        <f t="shared" si="17"/>
        <v/>
      </c>
      <c r="AD153" s="117"/>
      <c r="AE153" s="692"/>
      <c r="AF153" s="119"/>
      <c r="AG153" s="120"/>
      <c r="AL153" s="30" t="str">
        <f>IFERROR(INDEX('G-7 WaterC'' Data'!$AZ$3:$AZ$7,MATCH(C153,'G-7 WaterC'' Data'!$AY$3:$AY$7,0)),"")</f>
        <v/>
      </c>
    </row>
    <row r="154" spans="2:38" ht="15">
      <c r="B154" s="110">
        <v>143</v>
      </c>
      <c r="C154" s="501"/>
      <c r="D154" s="139"/>
      <c r="E154" s="362" t="str">
        <f>IF(C154="","",VLOOKUP(C154,'G-7 WaterC'' Data'!$B$2:$Z$9,2,FALSE))</f>
        <v/>
      </c>
      <c r="F154" s="363" t="str">
        <f>IFERROR(VLOOKUP(E154,'G-7 WaterC'' Data'!$C$4:$D$8,2,FALSE),"")</f>
        <v/>
      </c>
      <c r="G154" s="114"/>
      <c r="H154" s="363" t="str">
        <f>IFERROR(INDEX('G-7 WaterC'' Data'!$H$4:$L$8,MATCH(C154,'G-7 WaterC'' Data'!$B$4:$B$8,0),MATCH(G154,'G-7 WaterC'' Data'!$H$3:$L$3,0)),"")</f>
        <v/>
      </c>
      <c r="I154" s="54"/>
      <c r="J154" s="401" t="str">
        <f>IF(I154="","",IF(VLOOKUP(I154,'G-7 WaterC'' Data'!$AK$4:$AM$6,2,FALSE)=0,"Spatial Data Missing ⚠",VLOOKUP(I154,'G-7 WaterC'' Data'!$AK$4:$AM$6,2,FALSE)))</f>
        <v/>
      </c>
      <c r="K154" s="363" t="str">
        <f>IF(I154="","",IF(VLOOKUP(I154,'G-7 WaterC'' Data'!$AK$4:$AM$6,3,FALSE)=0,"Spatial Data Missing ⚠",VLOOKUP(I154,'G-7 WaterC'' Data'!$AK$4:$AM$6,3,FALSE)))</f>
        <v/>
      </c>
      <c r="L154" s="478" t="str">
        <f>IFERROR(INDEX('G-7 WaterC'' Data'!$O$3:$O$7,MATCH(G154,'G-7 WaterC'' Data'!$N$3:$N$7,0)),"")</f>
        <v/>
      </c>
      <c r="M154" s="55"/>
      <c r="N154" s="159"/>
      <c r="O154" s="370" t="str">
        <f t="shared" si="12"/>
        <v/>
      </c>
      <c r="P154" s="383" t="str">
        <f t="shared" si="13"/>
        <v/>
      </c>
      <c r="Q154" s="422" t="str">
        <f>IFERROR(IF(P154="Check Data ⚠","Check Data ⚠",VLOOKUP(P154,'G-4 Temporal multipliers'!$A$4:$C$37,3,FALSE)),"")</f>
        <v/>
      </c>
      <c r="R154" s="362" t="str">
        <f>IF(C154="","",VLOOKUP(C154,'G-7 WaterC'' Data'!$B$4:$G$8,4,FALSE))</f>
        <v/>
      </c>
      <c r="S154" s="370" t="str">
        <f t="shared" si="14"/>
        <v/>
      </c>
      <c r="T154" s="401" t="str">
        <f t="shared" si="15"/>
        <v/>
      </c>
      <c r="U154" s="363" t="str">
        <f>IF(C154="","",VLOOKUP(T154,'G-3 Multipliers'!$P$2:$Q$6,2,FALSE))</f>
        <v/>
      </c>
      <c r="V154" s="115"/>
      <c r="W154" s="363" t="str">
        <f>IF(V154="","",IF(VLOOKUP(V154,'G-7 WaterC'' Data'!$AA$4:$AB$7,2,FALSE)=0,"Spatial Data Missing ⚠",VLOOKUP(V154,'G-7 WaterC'' Data'!$AA$4:$AB$7,2,FALSE)))</f>
        <v/>
      </c>
      <c r="X154" s="60"/>
      <c r="Y154" s="363" t="str">
        <f>IF(X154="","",IF(VLOOKUP(X154,'G-7 WaterC'' Data'!$AD$4:$AE$14,2,FALSE)=0,"Enrcoachment Data Missing ⚠",VLOOKUP(X154,'G-7 WaterC'' Data'!$AD$4:$AE$14,2,FALSE)))</f>
        <v/>
      </c>
      <c r="Z154" s="115"/>
      <c r="AA154" s="363" t="str">
        <f>IF(Z154="","",IF(VLOOKUP(Z154,'G-7 WaterC'' Data'!$AO$4:$BO$7,2,FALSE)=0,"Spatial Data Missing ⚠",VLOOKUP(Z154,'G-7 WaterC'' Data'!$AO$4:$BO$7,2,FALSE)))</f>
        <v/>
      </c>
      <c r="AB154" s="405" t="str">
        <f t="shared" si="16"/>
        <v/>
      </c>
      <c r="AC154" s="405" t="str">
        <f t="shared" si="17"/>
        <v/>
      </c>
      <c r="AD154" s="117"/>
      <c r="AE154" s="692"/>
      <c r="AF154" s="119"/>
      <c r="AG154" s="120"/>
      <c r="AL154" s="30" t="str">
        <f>IFERROR(INDEX('G-7 WaterC'' Data'!$AZ$3:$AZ$7,MATCH(C154,'G-7 WaterC'' Data'!$AY$3:$AY$7,0)),"")</f>
        <v/>
      </c>
    </row>
    <row r="155" spans="2:38" ht="15">
      <c r="B155" s="110">
        <v>144</v>
      </c>
      <c r="C155" s="501"/>
      <c r="D155" s="139"/>
      <c r="E155" s="362" t="str">
        <f>IF(C155="","",VLOOKUP(C155,'G-7 WaterC'' Data'!$B$2:$Z$9,2,FALSE))</f>
        <v/>
      </c>
      <c r="F155" s="363" t="str">
        <f>IFERROR(VLOOKUP(E155,'G-7 WaterC'' Data'!$C$4:$D$8,2,FALSE),"")</f>
        <v/>
      </c>
      <c r="G155" s="114"/>
      <c r="H155" s="363" t="str">
        <f>IFERROR(INDEX('G-7 WaterC'' Data'!$H$4:$L$8,MATCH(C155,'G-7 WaterC'' Data'!$B$4:$B$8,0),MATCH(G155,'G-7 WaterC'' Data'!$H$3:$L$3,0)),"")</f>
        <v/>
      </c>
      <c r="I155" s="54"/>
      <c r="J155" s="401" t="str">
        <f>IF(I155="","",IF(VLOOKUP(I155,'G-7 WaterC'' Data'!$AK$4:$AM$6,2,FALSE)=0,"Spatial Data Missing ⚠",VLOOKUP(I155,'G-7 WaterC'' Data'!$AK$4:$AM$6,2,FALSE)))</f>
        <v/>
      </c>
      <c r="K155" s="363" t="str">
        <f>IF(I155="","",IF(VLOOKUP(I155,'G-7 WaterC'' Data'!$AK$4:$AM$6,3,FALSE)=0,"Spatial Data Missing ⚠",VLOOKUP(I155,'G-7 WaterC'' Data'!$AK$4:$AM$6,3,FALSE)))</f>
        <v/>
      </c>
      <c r="L155" s="478" t="str">
        <f>IFERROR(INDEX('G-7 WaterC'' Data'!$O$3:$O$7,MATCH(G155,'G-7 WaterC'' Data'!$N$3:$N$7,0)),"")</f>
        <v/>
      </c>
      <c r="M155" s="55"/>
      <c r="N155" s="159"/>
      <c r="O155" s="370" t="str">
        <f t="shared" si="12"/>
        <v/>
      </c>
      <c r="P155" s="383" t="str">
        <f t="shared" si="13"/>
        <v/>
      </c>
      <c r="Q155" s="422" t="str">
        <f>IFERROR(IF(P155="Check Data ⚠","Check Data ⚠",VLOOKUP(P155,'G-4 Temporal multipliers'!$A$4:$C$37,3,FALSE)),"")</f>
        <v/>
      </c>
      <c r="R155" s="362" t="str">
        <f>IF(C155="","",VLOOKUP(C155,'G-7 WaterC'' Data'!$B$4:$G$8,4,FALSE))</f>
        <v/>
      </c>
      <c r="S155" s="370" t="str">
        <f t="shared" si="14"/>
        <v/>
      </c>
      <c r="T155" s="401" t="str">
        <f t="shared" si="15"/>
        <v/>
      </c>
      <c r="U155" s="363" t="str">
        <f>IF(C155="","",VLOOKUP(T155,'G-3 Multipliers'!$P$2:$Q$6,2,FALSE))</f>
        <v/>
      </c>
      <c r="V155" s="115"/>
      <c r="W155" s="363" t="str">
        <f>IF(V155="","",IF(VLOOKUP(V155,'G-7 WaterC'' Data'!$AA$4:$AB$7,2,FALSE)=0,"Spatial Data Missing ⚠",VLOOKUP(V155,'G-7 WaterC'' Data'!$AA$4:$AB$7,2,FALSE)))</f>
        <v/>
      </c>
      <c r="X155" s="60"/>
      <c r="Y155" s="363" t="str">
        <f>IF(X155="","",IF(VLOOKUP(X155,'G-7 WaterC'' Data'!$AD$4:$AE$14,2,FALSE)=0,"Enrcoachment Data Missing ⚠",VLOOKUP(X155,'G-7 WaterC'' Data'!$AD$4:$AE$14,2,FALSE)))</f>
        <v/>
      </c>
      <c r="Z155" s="115"/>
      <c r="AA155" s="363" t="str">
        <f>IF(Z155="","",IF(VLOOKUP(Z155,'G-7 WaterC'' Data'!$AO$4:$BO$7,2,FALSE)=0,"Spatial Data Missing ⚠",VLOOKUP(Z155,'G-7 WaterC'' Data'!$AO$4:$BO$7,2,FALSE)))</f>
        <v/>
      </c>
      <c r="AB155" s="405" t="str">
        <f t="shared" si="16"/>
        <v/>
      </c>
      <c r="AC155" s="405" t="str">
        <f t="shared" si="17"/>
        <v/>
      </c>
      <c r="AD155" s="117"/>
      <c r="AE155" s="692"/>
      <c r="AF155" s="119"/>
      <c r="AG155" s="120"/>
      <c r="AL155" s="30" t="str">
        <f>IFERROR(INDEX('G-7 WaterC'' Data'!$AZ$3:$AZ$7,MATCH(C155,'G-7 WaterC'' Data'!$AY$3:$AY$7,0)),"")</f>
        <v/>
      </c>
    </row>
    <row r="156" spans="2:38" ht="15">
      <c r="B156" s="110">
        <v>145</v>
      </c>
      <c r="C156" s="501"/>
      <c r="D156" s="139"/>
      <c r="E156" s="362" t="str">
        <f>IF(C156="","",VLOOKUP(C156,'G-7 WaterC'' Data'!$B$2:$Z$9,2,FALSE))</f>
        <v/>
      </c>
      <c r="F156" s="363" t="str">
        <f>IFERROR(VLOOKUP(E156,'G-7 WaterC'' Data'!$C$4:$D$8,2,FALSE),"")</f>
        <v/>
      </c>
      <c r="G156" s="114"/>
      <c r="H156" s="363" t="str">
        <f>IFERROR(INDEX('G-7 WaterC'' Data'!$H$4:$L$8,MATCH(C156,'G-7 WaterC'' Data'!$B$4:$B$8,0),MATCH(G156,'G-7 WaterC'' Data'!$H$3:$L$3,0)),"")</f>
        <v/>
      </c>
      <c r="I156" s="54"/>
      <c r="J156" s="401" t="str">
        <f>IF(I156="","",IF(VLOOKUP(I156,'G-7 WaterC'' Data'!$AK$4:$AM$6,2,FALSE)=0,"Spatial Data Missing ⚠",VLOOKUP(I156,'G-7 WaterC'' Data'!$AK$4:$AM$6,2,FALSE)))</f>
        <v/>
      </c>
      <c r="K156" s="363" t="str">
        <f>IF(I156="","",IF(VLOOKUP(I156,'G-7 WaterC'' Data'!$AK$4:$AM$6,3,FALSE)=0,"Spatial Data Missing ⚠",VLOOKUP(I156,'G-7 WaterC'' Data'!$AK$4:$AM$6,3,FALSE)))</f>
        <v/>
      </c>
      <c r="L156" s="478" t="str">
        <f>IFERROR(INDEX('G-7 WaterC'' Data'!$O$3:$O$7,MATCH(G156,'G-7 WaterC'' Data'!$N$3:$N$7,0)),"")</f>
        <v/>
      </c>
      <c r="M156" s="55"/>
      <c r="N156" s="159"/>
      <c r="O156" s="370" t="str">
        <f t="shared" si="12"/>
        <v/>
      </c>
      <c r="P156" s="383" t="str">
        <f t="shared" si="13"/>
        <v/>
      </c>
      <c r="Q156" s="422" t="str">
        <f>IFERROR(IF(P156="Check Data ⚠","Check Data ⚠",VLOOKUP(P156,'G-4 Temporal multipliers'!$A$4:$C$37,3,FALSE)),"")</f>
        <v/>
      </c>
      <c r="R156" s="362" t="str">
        <f>IF(C156="","",VLOOKUP(C156,'G-7 WaterC'' Data'!$B$4:$G$8,4,FALSE))</f>
        <v/>
      </c>
      <c r="S156" s="370" t="str">
        <f t="shared" si="14"/>
        <v/>
      </c>
      <c r="T156" s="401" t="str">
        <f t="shared" si="15"/>
        <v/>
      </c>
      <c r="U156" s="363" t="str">
        <f>IF(C156="","",VLOOKUP(T156,'G-3 Multipliers'!$P$2:$Q$6,2,FALSE))</f>
        <v/>
      </c>
      <c r="V156" s="115"/>
      <c r="W156" s="363" t="str">
        <f>IF(V156="","",IF(VLOOKUP(V156,'G-7 WaterC'' Data'!$AA$4:$AB$7,2,FALSE)=0,"Spatial Data Missing ⚠",VLOOKUP(V156,'G-7 WaterC'' Data'!$AA$4:$AB$7,2,FALSE)))</f>
        <v/>
      </c>
      <c r="X156" s="60"/>
      <c r="Y156" s="363" t="str">
        <f>IF(X156="","",IF(VLOOKUP(X156,'G-7 WaterC'' Data'!$AD$4:$AE$14,2,FALSE)=0,"Enrcoachment Data Missing ⚠",VLOOKUP(X156,'G-7 WaterC'' Data'!$AD$4:$AE$14,2,FALSE)))</f>
        <v/>
      </c>
      <c r="Z156" s="115"/>
      <c r="AA156" s="363" t="str">
        <f>IF(Z156="","",IF(VLOOKUP(Z156,'G-7 WaterC'' Data'!$AO$4:$BO$7,2,FALSE)=0,"Spatial Data Missing ⚠",VLOOKUP(Z156,'G-7 WaterC'' Data'!$AO$4:$BO$7,2,FALSE)))</f>
        <v/>
      </c>
      <c r="AB156" s="405" t="str">
        <f t="shared" si="16"/>
        <v/>
      </c>
      <c r="AC156" s="405" t="str">
        <f t="shared" si="17"/>
        <v/>
      </c>
      <c r="AD156" s="117"/>
      <c r="AE156" s="692"/>
      <c r="AF156" s="119"/>
      <c r="AG156" s="120"/>
      <c r="AL156" s="30" t="str">
        <f>IFERROR(INDEX('G-7 WaterC'' Data'!$AZ$3:$AZ$7,MATCH(C156,'G-7 WaterC'' Data'!$AY$3:$AY$7,0)),"")</f>
        <v/>
      </c>
    </row>
    <row r="157" spans="2:38" ht="15">
      <c r="B157" s="110">
        <v>146</v>
      </c>
      <c r="C157" s="501"/>
      <c r="D157" s="139"/>
      <c r="E157" s="362" t="str">
        <f>IF(C157="","",VLOOKUP(C157,'G-7 WaterC'' Data'!$B$2:$Z$9,2,FALSE))</f>
        <v/>
      </c>
      <c r="F157" s="363" t="str">
        <f>IFERROR(VLOOKUP(E157,'G-7 WaterC'' Data'!$C$4:$D$8,2,FALSE),"")</f>
        <v/>
      </c>
      <c r="G157" s="114"/>
      <c r="H157" s="363" t="str">
        <f>IFERROR(INDEX('G-7 WaterC'' Data'!$H$4:$L$8,MATCH(C157,'G-7 WaterC'' Data'!$B$4:$B$8,0),MATCH(G157,'G-7 WaterC'' Data'!$H$3:$L$3,0)),"")</f>
        <v/>
      </c>
      <c r="I157" s="54"/>
      <c r="J157" s="401" t="str">
        <f>IF(I157="","",IF(VLOOKUP(I157,'G-7 WaterC'' Data'!$AK$4:$AM$6,2,FALSE)=0,"Spatial Data Missing ⚠",VLOOKUP(I157,'G-7 WaterC'' Data'!$AK$4:$AM$6,2,FALSE)))</f>
        <v/>
      </c>
      <c r="K157" s="363" t="str">
        <f>IF(I157="","",IF(VLOOKUP(I157,'G-7 WaterC'' Data'!$AK$4:$AM$6,3,FALSE)=0,"Spatial Data Missing ⚠",VLOOKUP(I157,'G-7 WaterC'' Data'!$AK$4:$AM$6,3,FALSE)))</f>
        <v/>
      </c>
      <c r="L157" s="478" t="str">
        <f>IFERROR(INDEX('G-7 WaterC'' Data'!$O$3:$O$7,MATCH(G157,'G-7 WaterC'' Data'!$N$3:$N$7,0)),"")</f>
        <v/>
      </c>
      <c r="M157" s="55"/>
      <c r="N157" s="159"/>
      <c r="O157" s="370" t="str">
        <f t="shared" si="12"/>
        <v/>
      </c>
      <c r="P157" s="383" t="str">
        <f t="shared" si="13"/>
        <v/>
      </c>
      <c r="Q157" s="422" t="str">
        <f>IFERROR(IF(P157="Check Data ⚠","Check Data ⚠",VLOOKUP(P157,'G-4 Temporal multipliers'!$A$4:$C$37,3,FALSE)),"")</f>
        <v/>
      </c>
      <c r="R157" s="362" t="str">
        <f>IF(C157="","",VLOOKUP(C157,'G-7 WaterC'' Data'!$B$4:$G$8,4,FALSE))</f>
        <v/>
      </c>
      <c r="S157" s="370" t="str">
        <f t="shared" si="14"/>
        <v/>
      </c>
      <c r="T157" s="401" t="str">
        <f t="shared" si="15"/>
        <v/>
      </c>
      <c r="U157" s="363" t="str">
        <f>IF(C157="","",VLOOKUP(T157,'G-3 Multipliers'!$P$2:$Q$6,2,FALSE))</f>
        <v/>
      </c>
      <c r="V157" s="115"/>
      <c r="W157" s="363" t="str">
        <f>IF(V157="","",IF(VLOOKUP(V157,'G-7 WaterC'' Data'!$AA$4:$AB$7,2,FALSE)=0,"Spatial Data Missing ⚠",VLOOKUP(V157,'G-7 WaterC'' Data'!$AA$4:$AB$7,2,FALSE)))</f>
        <v/>
      </c>
      <c r="X157" s="60"/>
      <c r="Y157" s="363" t="str">
        <f>IF(X157="","",IF(VLOOKUP(X157,'G-7 WaterC'' Data'!$AD$4:$AE$14,2,FALSE)=0,"Enrcoachment Data Missing ⚠",VLOOKUP(X157,'G-7 WaterC'' Data'!$AD$4:$AE$14,2,FALSE)))</f>
        <v/>
      </c>
      <c r="Z157" s="115"/>
      <c r="AA157" s="363" t="str">
        <f>IF(Z157="","",IF(VLOOKUP(Z157,'G-7 WaterC'' Data'!$AO$4:$BO$7,2,FALSE)=0,"Spatial Data Missing ⚠",VLOOKUP(Z157,'G-7 WaterC'' Data'!$AO$4:$BO$7,2,FALSE)))</f>
        <v/>
      </c>
      <c r="AB157" s="405" t="str">
        <f t="shared" si="16"/>
        <v/>
      </c>
      <c r="AC157" s="405" t="str">
        <f t="shared" si="17"/>
        <v/>
      </c>
      <c r="AD157" s="117"/>
      <c r="AE157" s="692"/>
      <c r="AF157" s="119"/>
      <c r="AG157" s="120"/>
      <c r="AL157" s="30" t="str">
        <f>IFERROR(INDEX('G-7 WaterC'' Data'!$AZ$3:$AZ$7,MATCH(C157,'G-7 WaterC'' Data'!$AY$3:$AY$7,0)),"")</f>
        <v/>
      </c>
    </row>
    <row r="158" spans="2:38" ht="15">
      <c r="B158" s="110">
        <v>147</v>
      </c>
      <c r="C158" s="501"/>
      <c r="D158" s="139"/>
      <c r="E158" s="362" t="str">
        <f>IF(C158="","",VLOOKUP(C158,'G-7 WaterC'' Data'!$B$2:$Z$9,2,FALSE))</f>
        <v/>
      </c>
      <c r="F158" s="363" t="str">
        <f>IFERROR(VLOOKUP(E158,'G-7 WaterC'' Data'!$C$4:$D$8,2,FALSE),"")</f>
        <v/>
      </c>
      <c r="G158" s="114"/>
      <c r="H158" s="363" t="str">
        <f>IFERROR(INDEX('G-7 WaterC'' Data'!$H$4:$L$8,MATCH(C158,'G-7 WaterC'' Data'!$B$4:$B$8,0),MATCH(G158,'G-7 WaterC'' Data'!$H$3:$L$3,0)),"")</f>
        <v/>
      </c>
      <c r="I158" s="54"/>
      <c r="J158" s="401" t="str">
        <f>IF(I158="","",IF(VLOOKUP(I158,'G-7 WaterC'' Data'!$AK$4:$AM$6,2,FALSE)=0,"Spatial Data Missing ⚠",VLOOKUP(I158,'G-7 WaterC'' Data'!$AK$4:$AM$6,2,FALSE)))</f>
        <v/>
      </c>
      <c r="K158" s="363" t="str">
        <f>IF(I158="","",IF(VLOOKUP(I158,'G-7 WaterC'' Data'!$AK$4:$AM$6,3,FALSE)=0,"Spatial Data Missing ⚠",VLOOKUP(I158,'G-7 WaterC'' Data'!$AK$4:$AM$6,3,FALSE)))</f>
        <v/>
      </c>
      <c r="L158" s="478" t="str">
        <f>IFERROR(INDEX('G-7 WaterC'' Data'!$O$3:$O$7,MATCH(G158,'G-7 WaterC'' Data'!$N$3:$N$7,0)),"")</f>
        <v/>
      </c>
      <c r="M158" s="55"/>
      <c r="N158" s="159"/>
      <c r="O158" s="370" t="str">
        <f t="shared" si="12"/>
        <v/>
      </c>
      <c r="P158" s="383" t="str">
        <f t="shared" si="13"/>
        <v/>
      </c>
      <c r="Q158" s="422" t="str">
        <f>IFERROR(IF(P158="Check Data ⚠","Check Data ⚠",VLOOKUP(P158,'G-4 Temporal multipliers'!$A$4:$C$37,3,FALSE)),"")</f>
        <v/>
      </c>
      <c r="R158" s="362" t="str">
        <f>IF(C158="","",VLOOKUP(C158,'G-7 WaterC'' Data'!$B$4:$G$8,4,FALSE))</f>
        <v/>
      </c>
      <c r="S158" s="370" t="str">
        <f t="shared" si="14"/>
        <v/>
      </c>
      <c r="T158" s="401" t="str">
        <f t="shared" si="15"/>
        <v/>
      </c>
      <c r="U158" s="363" t="str">
        <f>IF(C158="","",VLOOKUP(T158,'G-3 Multipliers'!$P$2:$Q$6,2,FALSE))</f>
        <v/>
      </c>
      <c r="V158" s="115"/>
      <c r="W158" s="363" t="str">
        <f>IF(V158="","",IF(VLOOKUP(V158,'G-7 WaterC'' Data'!$AA$4:$AB$7,2,FALSE)=0,"Spatial Data Missing ⚠",VLOOKUP(V158,'G-7 WaterC'' Data'!$AA$4:$AB$7,2,FALSE)))</f>
        <v/>
      </c>
      <c r="X158" s="60"/>
      <c r="Y158" s="363" t="str">
        <f>IF(X158="","",IF(VLOOKUP(X158,'G-7 WaterC'' Data'!$AD$4:$AE$14,2,FALSE)=0,"Enrcoachment Data Missing ⚠",VLOOKUP(X158,'G-7 WaterC'' Data'!$AD$4:$AE$14,2,FALSE)))</f>
        <v/>
      </c>
      <c r="Z158" s="115"/>
      <c r="AA158" s="363" t="str">
        <f>IF(Z158="","",IF(VLOOKUP(Z158,'G-7 WaterC'' Data'!$AO$4:$BO$7,2,FALSE)=0,"Spatial Data Missing ⚠",VLOOKUP(Z158,'G-7 WaterC'' Data'!$AO$4:$BO$7,2,FALSE)))</f>
        <v/>
      </c>
      <c r="AB158" s="405" t="str">
        <f t="shared" si="16"/>
        <v/>
      </c>
      <c r="AC158" s="405" t="str">
        <f t="shared" si="17"/>
        <v/>
      </c>
      <c r="AD158" s="117"/>
      <c r="AE158" s="692"/>
      <c r="AF158" s="119"/>
      <c r="AG158" s="120"/>
      <c r="AL158" s="30" t="str">
        <f>IFERROR(INDEX('G-7 WaterC'' Data'!$AZ$3:$AZ$7,MATCH(C158,'G-7 WaterC'' Data'!$AY$3:$AY$7,0)),"")</f>
        <v/>
      </c>
    </row>
    <row r="159" spans="2:38" ht="15">
      <c r="B159" s="110">
        <v>148</v>
      </c>
      <c r="C159" s="501"/>
      <c r="D159" s="139"/>
      <c r="E159" s="362" t="str">
        <f>IF(C159="","",VLOOKUP(C159,'G-7 WaterC'' Data'!$B$2:$Z$9,2,FALSE))</f>
        <v/>
      </c>
      <c r="F159" s="363" t="str">
        <f>IFERROR(VLOOKUP(E159,'G-7 WaterC'' Data'!$C$4:$D$8,2,FALSE),"")</f>
        <v/>
      </c>
      <c r="G159" s="114"/>
      <c r="H159" s="363" t="str">
        <f>IFERROR(INDEX('G-7 WaterC'' Data'!$H$4:$L$8,MATCH(C159,'G-7 WaterC'' Data'!$B$4:$B$8,0),MATCH(G159,'G-7 WaterC'' Data'!$H$3:$L$3,0)),"")</f>
        <v/>
      </c>
      <c r="I159" s="54"/>
      <c r="J159" s="401" t="str">
        <f>IF(I159="","",IF(VLOOKUP(I159,'G-7 WaterC'' Data'!$AK$4:$AM$6,2,FALSE)=0,"Spatial Data Missing ⚠",VLOOKUP(I159,'G-7 WaterC'' Data'!$AK$4:$AM$6,2,FALSE)))</f>
        <v/>
      </c>
      <c r="K159" s="363" t="str">
        <f>IF(I159="","",IF(VLOOKUP(I159,'G-7 WaterC'' Data'!$AK$4:$AM$6,3,FALSE)=0,"Spatial Data Missing ⚠",VLOOKUP(I159,'G-7 WaterC'' Data'!$AK$4:$AM$6,3,FALSE)))</f>
        <v/>
      </c>
      <c r="L159" s="478" t="str">
        <f>IFERROR(INDEX('G-7 WaterC'' Data'!$O$3:$O$7,MATCH(G159,'G-7 WaterC'' Data'!$N$3:$N$7,0)),"")</f>
        <v/>
      </c>
      <c r="M159" s="55"/>
      <c r="N159" s="159"/>
      <c r="O159" s="370" t="str">
        <f t="shared" si="12"/>
        <v/>
      </c>
      <c r="P159" s="383" t="str">
        <f t="shared" si="13"/>
        <v/>
      </c>
      <c r="Q159" s="422" t="str">
        <f>IFERROR(IF(P159="Check Data ⚠","Check Data ⚠",VLOOKUP(P159,'G-4 Temporal multipliers'!$A$4:$C$37,3,FALSE)),"")</f>
        <v/>
      </c>
      <c r="R159" s="362" t="str">
        <f>IF(C159="","",VLOOKUP(C159,'G-7 WaterC'' Data'!$B$4:$G$8,4,FALSE))</f>
        <v/>
      </c>
      <c r="S159" s="370" t="str">
        <f t="shared" si="14"/>
        <v/>
      </c>
      <c r="T159" s="401" t="str">
        <f t="shared" si="15"/>
        <v/>
      </c>
      <c r="U159" s="363" t="str">
        <f>IF(C159="","",VLOOKUP(T159,'G-3 Multipliers'!$P$2:$Q$6,2,FALSE))</f>
        <v/>
      </c>
      <c r="V159" s="115"/>
      <c r="W159" s="363" t="str">
        <f>IF(V159="","",IF(VLOOKUP(V159,'G-7 WaterC'' Data'!$AA$4:$AB$7,2,FALSE)=0,"Spatial Data Missing ⚠",VLOOKUP(V159,'G-7 WaterC'' Data'!$AA$4:$AB$7,2,FALSE)))</f>
        <v/>
      </c>
      <c r="X159" s="60"/>
      <c r="Y159" s="363" t="str">
        <f>IF(X159="","",IF(VLOOKUP(X159,'G-7 WaterC'' Data'!$AD$4:$AE$14,2,FALSE)=0,"Enrcoachment Data Missing ⚠",VLOOKUP(X159,'G-7 WaterC'' Data'!$AD$4:$AE$14,2,FALSE)))</f>
        <v/>
      </c>
      <c r="Z159" s="115"/>
      <c r="AA159" s="363" t="str">
        <f>IF(Z159="","",IF(VLOOKUP(Z159,'G-7 WaterC'' Data'!$AO$4:$BO$7,2,FALSE)=0,"Spatial Data Missing ⚠",VLOOKUP(Z159,'G-7 WaterC'' Data'!$AO$4:$BO$7,2,FALSE)))</f>
        <v/>
      </c>
      <c r="AB159" s="405" t="str">
        <f t="shared" si="16"/>
        <v/>
      </c>
      <c r="AC159" s="405" t="str">
        <f t="shared" si="17"/>
        <v/>
      </c>
      <c r="AD159" s="117"/>
      <c r="AE159" s="692"/>
      <c r="AF159" s="119"/>
      <c r="AG159" s="120"/>
      <c r="AL159" s="30" t="str">
        <f>IFERROR(INDEX('G-7 WaterC'' Data'!$AZ$3:$AZ$7,MATCH(C159,'G-7 WaterC'' Data'!$AY$3:$AY$7,0)),"")</f>
        <v/>
      </c>
    </row>
    <row r="160" spans="2:38" ht="15">
      <c r="B160" s="110">
        <v>149</v>
      </c>
      <c r="C160" s="501"/>
      <c r="D160" s="139"/>
      <c r="E160" s="362" t="str">
        <f>IF(C160="","",VLOOKUP(C160,'G-7 WaterC'' Data'!$B$2:$Z$9,2,FALSE))</f>
        <v/>
      </c>
      <c r="F160" s="363" t="str">
        <f>IFERROR(VLOOKUP(E160,'G-7 WaterC'' Data'!$C$4:$D$8,2,FALSE),"")</f>
        <v/>
      </c>
      <c r="G160" s="114"/>
      <c r="H160" s="363" t="str">
        <f>IFERROR(INDEX('G-7 WaterC'' Data'!$H$4:$L$8,MATCH(C160,'G-7 WaterC'' Data'!$B$4:$B$8,0),MATCH(G160,'G-7 WaterC'' Data'!$H$3:$L$3,0)),"")</f>
        <v/>
      </c>
      <c r="I160" s="54"/>
      <c r="J160" s="401" t="str">
        <f>IF(I160="","",IF(VLOOKUP(I160,'G-7 WaterC'' Data'!$AK$4:$AM$6,2,FALSE)=0,"Spatial Data Missing ⚠",VLOOKUP(I160,'G-7 WaterC'' Data'!$AK$4:$AM$6,2,FALSE)))</f>
        <v/>
      </c>
      <c r="K160" s="363" t="str">
        <f>IF(I160="","",IF(VLOOKUP(I160,'G-7 WaterC'' Data'!$AK$4:$AM$6,3,FALSE)=0,"Spatial Data Missing ⚠",VLOOKUP(I160,'G-7 WaterC'' Data'!$AK$4:$AM$6,3,FALSE)))</f>
        <v/>
      </c>
      <c r="L160" s="478" t="str">
        <f>IFERROR(INDEX('G-7 WaterC'' Data'!$O$3:$O$7,MATCH(G160,'G-7 WaterC'' Data'!$N$3:$N$7,0)),"")</f>
        <v/>
      </c>
      <c r="M160" s="55"/>
      <c r="N160" s="159"/>
      <c r="O160" s="370" t="str">
        <f t="shared" si="12"/>
        <v/>
      </c>
      <c r="P160" s="383" t="str">
        <f t="shared" si="13"/>
        <v/>
      </c>
      <c r="Q160" s="422" t="str">
        <f>IFERROR(IF(P160="Check Data ⚠","Check Data ⚠",VLOOKUP(P160,'G-4 Temporal multipliers'!$A$4:$C$37,3,FALSE)),"")</f>
        <v/>
      </c>
      <c r="R160" s="362" t="str">
        <f>IF(C160="","",VLOOKUP(C160,'G-7 WaterC'' Data'!$B$4:$G$8,4,FALSE))</f>
        <v/>
      </c>
      <c r="S160" s="370" t="str">
        <f t="shared" si="14"/>
        <v/>
      </c>
      <c r="T160" s="401" t="str">
        <f t="shared" si="15"/>
        <v/>
      </c>
      <c r="U160" s="363" t="str">
        <f>IF(C160="","",VLOOKUP(T160,'G-3 Multipliers'!$P$2:$Q$6,2,FALSE))</f>
        <v/>
      </c>
      <c r="V160" s="115"/>
      <c r="W160" s="363" t="str">
        <f>IF(V160="","",IF(VLOOKUP(V160,'G-7 WaterC'' Data'!$AA$4:$AB$7,2,FALSE)=0,"Spatial Data Missing ⚠",VLOOKUP(V160,'G-7 WaterC'' Data'!$AA$4:$AB$7,2,FALSE)))</f>
        <v/>
      </c>
      <c r="X160" s="60"/>
      <c r="Y160" s="363" t="str">
        <f>IF(X160="","",IF(VLOOKUP(X160,'G-7 WaterC'' Data'!$AD$4:$AE$14,2,FALSE)=0,"Enrcoachment Data Missing ⚠",VLOOKUP(X160,'G-7 WaterC'' Data'!$AD$4:$AE$14,2,FALSE)))</f>
        <v/>
      </c>
      <c r="Z160" s="115"/>
      <c r="AA160" s="363" t="str">
        <f>IF(Z160="","",IF(VLOOKUP(Z160,'G-7 WaterC'' Data'!$AO$4:$BO$7,2,FALSE)=0,"Spatial Data Missing ⚠",VLOOKUP(Z160,'G-7 WaterC'' Data'!$AO$4:$BO$7,2,FALSE)))</f>
        <v/>
      </c>
      <c r="AB160" s="405" t="str">
        <f t="shared" si="16"/>
        <v/>
      </c>
      <c r="AC160" s="405" t="str">
        <f t="shared" si="17"/>
        <v/>
      </c>
      <c r="AD160" s="117"/>
      <c r="AE160" s="692"/>
      <c r="AF160" s="119"/>
      <c r="AG160" s="120"/>
      <c r="AL160" s="30" t="str">
        <f>IFERROR(INDEX('G-7 WaterC'' Data'!$AZ$3:$AZ$7,MATCH(C160,'G-7 WaterC'' Data'!$AY$3:$AY$7,0)),"")</f>
        <v/>
      </c>
    </row>
    <row r="161" spans="2:38" ht="15">
      <c r="B161" s="110">
        <v>150</v>
      </c>
      <c r="C161" s="501"/>
      <c r="D161" s="139"/>
      <c r="E161" s="362" t="str">
        <f>IF(C161="","",VLOOKUP(C161,'G-7 WaterC'' Data'!$B$2:$Z$9,2,FALSE))</f>
        <v/>
      </c>
      <c r="F161" s="363" t="str">
        <f>IFERROR(VLOOKUP(E161,'G-7 WaterC'' Data'!$C$4:$D$8,2,FALSE),"")</f>
        <v/>
      </c>
      <c r="G161" s="114"/>
      <c r="H161" s="363" t="str">
        <f>IFERROR(INDEX('G-7 WaterC'' Data'!$H$4:$L$8,MATCH(C161,'G-7 WaterC'' Data'!$B$4:$B$8,0),MATCH(G161,'G-7 WaterC'' Data'!$H$3:$L$3,0)),"")</f>
        <v/>
      </c>
      <c r="I161" s="54"/>
      <c r="J161" s="401" t="str">
        <f>IF(I161="","",IF(VLOOKUP(I161,'G-7 WaterC'' Data'!$AK$4:$AM$6,2,FALSE)=0,"Spatial Data Missing ⚠",VLOOKUP(I161,'G-7 WaterC'' Data'!$AK$4:$AM$6,2,FALSE)))</f>
        <v/>
      </c>
      <c r="K161" s="363" t="str">
        <f>IF(I161="","",IF(VLOOKUP(I161,'G-7 WaterC'' Data'!$AK$4:$AM$6,3,FALSE)=0,"Spatial Data Missing ⚠",VLOOKUP(I161,'G-7 WaterC'' Data'!$AK$4:$AM$6,3,FALSE)))</f>
        <v/>
      </c>
      <c r="L161" s="478" t="str">
        <f>IFERROR(INDEX('G-7 WaterC'' Data'!$O$3:$O$7,MATCH(G161,'G-7 WaterC'' Data'!$N$3:$N$7,0)),"")</f>
        <v/>
      </c>
      <c r="M161" s="55"/>
      <c r="N161" s="159"/>
      <c r="O161" s="370" t="str">
        <f t="shared" si="12"/>
        <v/>
      </c>
      <c r="P161" s="383" t="str">
        <f t="shared" si="13"/>
        <v/>
      </c>
      <c r="Q161" s="422" t="str">
        <f>IFERROR(IF(P161="Check Data ⚠","Check Data ⚠",VLOOKUP(P161,'G-4 Temporal multipliers'!$A$4:$C$37,3,FALSE)),"")</f>
        <v/>
      </c>
      <c r="R161" s="362" t="str">
        <f>IF(C161="","",VLOOKUP(C161,'G-7 WaterC'' Data'!$B$4:$G$8,4,FALSE))</f>
        <v/>
      </c>
      <c r="S161" s="370" t="str">
        <f t="shared" si="14"/>
        <v/>
      </c>
      <c r="T161" s="401" t="str">
        <f t="shared" si="15"/>
        <v/>
      </c>
      <c r="U161" s="363" t="str">
        <f>IF(C161="","",VLOOKUP(T161,'G-3 Multipliers'!$P$2:$Q$6,2,FALSE))</f>
        <v/>
      </c>
      <c r="V161" s="115"/>
      <c r="W161" s="363" t="str">
        <f>IF(V161="","",IF(VLOOKUP(V161,'G-7 WaterC'' Data'!$AA$4:$AB$7,2,FALSE)=0,"Spatial Data Missing ⚠",VLOOKUP(V161,'G-7 WaterC'' Data'!$AA$4:$AB$7,2,FALSE)))</f>
        <v/>
      </c>
      <c r="X161" s="60"/>
      <c r="Y161" s="363" t="str">
        <f>IF(X161="","",IF(VLOOKUP(X161,'G-7 WaterC'' Data'!$AD$4:$AE$14,2,FALSE)=0,"Enrcoachment Data Missing ⚠",VLOOKUP(X161,'G-7 WaterC'' Data'!$AD$4:$AE$14,2,FALSE)))</f>
        <v/>
      </c>
      <c r="Z161" s="115"/>
      <c r="AA161" s="363" t="str">
        <f>IF(Z161="","",IF(VLOOKUP(Z161,'G-7 WaterC'' Data'!$AO$4:$BO$7,2,FALSE)=0,"Spatial Data Missing ⚠",VLOOKUP(Z161,'G-7 WaterC'' Data'!$AO$4:$BO$7,2,FALSE)))</f>
        <v/>
      </c>
      <c r="AB161" s="405" t="str">
        <f t="shared" si="16"/>
        <v/>
      </c>
      <c r="AC161" s="405" t="str">
        <f t="shared" si="17"/>
        <v/>
      </c>
      <c r="AD161" s="117"/>
      <c r="AE161" s="692"/>
      <c r="AF161" s="119"/>
      <c r="AG161" s="120"/>
      <c r="AL161" s="30" t="str">
        <f>IFERROR(INDEX('G-7 WaterC'' Data'!$AZ$3:$AZ$7,MATCH(C161,'G-7 WaterC'' Data'!$AY$3:$AY$7,0)),"")</f>
        <v/>
      </c>
    </row>
    <row r="162" spans="2:38" ht="15">
      <c r="B162" s="110">
        <v>151</v>
      </c>
      <c r="C162" s="501"/>
      <c r="D162" s="139"/>
      <c r="E162" s="362" t="str">
        <f>IF(C162="","",VLOOKUP(C162,'G-7 WaterC'' Data'!$B$2:$Z$9,2,FALSE))</f>
        <v/>
      </c>
      <c r="F162" s="363" t="str">
        <f>IFERROR(VLOOKUP(E162,'G-7 WaterC'' Data'!$C$4:$D$8,2,FALSE),"")</f>
        <v/>
      </c>
      <c r="G162" s="114"/>
      <c r="H162" s="363" t="str">
        <f>IFERROR(INDEX('G-7 WaterC'' Data'!$H$4:$L$8,MATCH(C162,'G-7 WaterC'' Data'!$B$4:$B$8,0),MATCH(G162,'G-7 WaterC'' Data'!$H$3:$L$3,0)),"")</f>
        <v/>
      </c>
      <c r="I162" s="54"/>
      <c r="J162" s="401" t="str">
        <f>IF(I162="","",IF(VLOOKUP(I162,'G-7 WaterC'' Data'!$AK$4:$AM$6,2,FALSE)=0,"Spatial Data Missing ⚠",VLOOKUP(I162,'G-7 WaterC'' Data'!$AK$4:$AM$6,2,FALSE)))</f>
        <v/>
      </c>
      <c r="K162" s="363" t="str">
        <f>IF(I162="","",IF(VLOOKUP(I162,'G-7 WaterC'' Data'!$AK$4:$AM$6,3,FALSE)=0,"Spatial Data Missing ⚠",VLOOKUP(I162,'G-7 WaterC'' Data'!$AK$4:$AM$6,3,FALSE)))</f>
        <v/>
      </c>
      <c r="L162" s="478" t="str">
        <f>IFERROR(INDEX('G-7 WaterC'' Data'!$O$3:$O$7,MATCH(G162,'G-7 WaterC'' Data'!$N$3:$N$7,0)),"")</f>
        <v/>
      </c>
      <c r="M162" s="55"/>
      <c r="N162" s="159"/>
      <c r="O162" s="370" t="str">
        <f t="shared" si="12"/>
        <v/>
      </c>
      <c r="P162" s="383" t="str">
        <f t="shared" si="13"/>
        <v/>
      </c>
      <c r="Q162" s="422" t="str">
        <f>IFERROR(IF(P162="Check Data ⚠","Check Data ⚠",VLOOKUP(P162,'G-4 Temporal multipliers'!$A$4:$C$37,3,FALSE)),"")</f>
        <v/>
      </c>
      <c r="R162" s="362" t="str">
        <f>IF(C162="","",VLOOKUP(C162,'G-7 WaterC'' Data'!$B$4:$G$8,4,FALSE))</f>
        <v/>
      </c>
      <c r="S162" s="370" t="str">
        <f t="shared" si="14"/>
        <v/>
      </c>
      <c r="T162" s="401" t="str">
        <f t="shared" si="15"/>
        <v/>
      </c>
      <c r="U162" s="363" t="str">
        <f>IF(C162="","",VLOOKUP(T162,'G-3 Multipliers'!$P$2:$Q$6,2,FALSE))</f>
        <v/>
      </c>
      <c r="V162" s="115"/>
      <c r="W162" s="363" t="str">
        <f>IF(V162="","",IF(VLOOKUP(V162,'G-7 WaterC'' Data'!$AA$4:$AB$7,2,FALSE)=0,"Spatial Data Missing ⚠",VLOOKUP(V162,'G-7 WaterC'' Data'!$AA$4:$AB$7,2,FALSE)))</f>
        <v/>
      </c>
      <c r="X162" s="60"/>
      <c r="Y162" s="363" t="str">
        <f>IF(X162="","",IF(VLOOKUP(X162,'G-7 WaterC'' Data'!$AD$4:$AE$14,2,FALSE)=0,"Enrcoachment Data Missing ⚠",VLOOKUP(X162,'G-7 WaterC'' Data'!$AD$4:$AE$14,2,FALSE)))</f>
        <v/>
      </c>
      <c r="Z162" s="115"/>
      <c r="AA162" s="363" t="str">
        <f>IF(Z162="","",IF(VLOOKUP(Z162,'G-7 WaterC'' Data'!$AO$4:$BO$7,2,FALSE)=0,"Spatial Data Missing ⚠",VLOOKUP(Z162,'G-7 WaterC'' Data'!$AO$4:$BO$7,2,FALSE)))</f>
        <v/>
      </c>
      <c r="AB162" s="405" t="str">
        <f t="shared" si="16"/>
        <v/>
      </c>
      <c r="AC162" s="405" t="str">
        <f t="shared" si="17"/>
        <v/>
      </c>
      <c r="AD162" s="117"/>
      <c r="AE162" s="692"/>
      <c r="AF162" s="119"/>
      <c r="AG162" s="120"/>
      <c r="AL162" s="30" t="str">
        <f>IFERROR(INDEX('G-7 WaterC'' Data'!$AZ$3:$AZ$7,MATCH(C162,'G-7 WaterC'' Data'!$AY$3:$AY$7,0)),"")</f>
        <v/>
      </c>
    </row>
    <row r="163" spans="2:38" ht="15">
      <c r="B163" s="110">
        <v>152</v>
      </c>
      <c r="C163" s="501"/>
      <c r="D163" s="139"/>
      <c r="E163" s="362" t="str">
        <f>IF(C163="","",VLOOKUP(C163,'G-7 WaterC'' Data'!$B$2:$Z$9,2,FALSE))</f>
        <v/>
      </c>
      <c r="F163" s="363" t="str">
        <f>IFERROR(VLOOKUP(E163,'G-7 WaterC'' Data'!$C$4:$D$8,2,FALSE),"")</f>
        <v/>
      </c>
      <c r="G163" s="114"/>
      <c r="H163" s="363" t="str">
        <f>IFERROR(INDEX('G-7 WaterC'' Data'!$H$4:$L$8,MATCH(C163,'G-7 WaterC'' Data'!$B$4:$B$8,0),MATCH(G163,'G-7 WaterC'' Data'!$H$3:$L$3,0)),"")</f>
        <v/>
      </c>
      <c r="I163" s="54"/>
      <c r="J163" s="401" t="str">
        <f>IF(I163="","",IF(VLOOKUP(I163,'G-7 WaterC'' Data'!$AK$4:$AM$6,2,FALSE)=0,"Spatial Data Missing ⚠",VLOOKUP(I163,'G-7 WaterC'' Data'!$AK$4:$AM$6,2,FALSE)))</f>
        <v/>
      </c>
      <c r="K163" s="363" t="str">
        <f>IF(I163="","",IF(VLOOKUP(I163,'G-7 WaterC'' Data'!$AK$4:$AM$6,3,FALSE)=0,"Spatial Data Missing ⚠",VLOOKUP(I163,'G-7 WaterC'' Data'!$AK$4:$AM$6,3,FALSE)))</f>
        <v/>
      </c>
      <c r="L163" s="478" t="str">
        <f>IFERROR(INDEX('G-7 WaterC'' Data'!$O$3:$O$7,MATCH(G163,'G-7 WaterC'' Data'!$N$3:$N$7,0)),"")</f>
        <v/>
      </c>
      <c r="M163" s="55"/>
      <c r="N163" s="159"/>
      <c r="O163" s="370" t="str">
        <f t="shared" si="12"/>
        <v/>
      </c>
      <c r="P163" s="383" t="str">
        <f t="shared" si="13"/>
        <v/>
      </c>
      <c r="Q163" s="422" t="str">
        <f>IFERROR(IF(P163="Check Data ⚠","Check Data ⚠",VLOOKUP(P163,'G-4 Temporal multipliers'!$A$4:$C$37,3,FALSE)),"")</f>
        <v/>
      </c>
      <c r="R163" s="362" t="str">
        <f>IF(C163="","",VLOOKUP(C163,'G-7 WaterC'' Data'!$B$4:$G$8,4,FALSE))</f>
        <v/>
      </c>
      <c r="S163" s="370" t="str">
        <f t="shared" si="14"/>
        <v/>
      </c>
      <c r="T163" s="401" t="str">
        <f t="shared" si="15"/>
        <v/>
      </c>
      <c r="U163" s="363" t="str">
        <f>IF(C163="","",VLOOKUP(T163,'G-3 Multipliers'!$P$2:$Q$6,2,FALSE))</f>
        <v/>
      </c>
      <c r="V163" s="115"/>
      <c r="W163" s="363" t="str">
        <f>IF(V163="","",IF(VLOOKUP(V163,'G-7 WaterC'' Data'!$AA$4:$AB$7,2,FALSE)=0,"Spatial Data Missing ⚠",VLOOKUP(V163,'G-7 WaterC'' Data'!$AA$4:$AB$7,2,FALSE)))</f>
        <v/>
      </c>
      <c r="X163" s="60"/>
      <c r="Y163" s="363" t="str">
        <f>IF(X163="","",IF(VLOOKUP(X163,'G-7 WaterC'' Data'!$AD$4:$AE$14,2,FALSE)=0,"Enrcoachment Data Missing ⚠",VLOOKUP(X163,'G-7 WaterC'' Data'!$AD$4:$AE$14,2,FALSE)))</f>
        <v/>
      </c>
      <c r="Z163" s="115"/>
      <c r="AA163" s="363" t="str">
        <f>IF(Z163="","",IF(VLOOKUP(Z163,'G-7 WaterC'' Data'!$AO$4:$BO$7,2,FALSE)=0,"Spatial Data Missing ⚠",VLOOKUP(Z163,'G-7 WaterC'' Data'!$AO$4:$BO$7,2,FALSE)))</f>
        <v/>
      </c>
      <c r="AB163" s="405" t="str">
        <f t="shared" si="16"/>
        <v/>
      </c>
      <c r="AC163" s="405" t="str">
        <f t="shared" si="17"/>
        <v/>
      </c>
      <c r="AD163" s="117"/>
      <c r="AE163" s="692"/>
      <c r="AF163" s="119"/>
      <c r="AG163" s="120"/>
      <c r="AL163" s="30" t="str">
        <f>IFERROR(INDEX('G-7 WaterC'' Data'!$AZ$3:$AZ$7,MATCH(C163,'G-7 WaterC'' Data'!$AY$3:$AY$7,0)),"")</f>
        <v/>
      </c>
    </row>
    <row r="164" spans="2:38" ht="15">
      <c r="B164" s="110">
        <v>153</v>
      </c>
      <c r="C164" s="501"/>
      <c r="D164" s="139"/>
      <c r="E164" s="362" t="str">
        <f>IF(C164="","",VLOOKUP(C164,'G-7 WaterC'' Data'!$B$2:$Z$9,2,FALSE))</f>
        <v/>
      </c>
      <c r="F164" s="363" t="str">
        <f>IFERROR(VLOOKUP(E164,'G-7 WaterC'' Data'!$C$4:$D$8,2,FALSE),"")</f>
        <v/>
      </c>
      <c r="G164" s="114"/>
      <c r="H164" s="363" t="str">
        <f>IFERROR(INDEX('G-7 WaterC'' Data'!$H$4:$L$8,MATCH(C164,'G-7 WaterC'' Data'!$B$4:$B$8,0),MATCH(G164,'G-7 WaterC'' Data'!$H$3:$L$3,0)),"")</f>
        <v/>
      </c>
      <c r="I164" s="54"/>
      <c r="J164" s="401" t="str">
        <f>IF(I164="","",IF(VLOOKUP(I164,'G-7 WaterC'' Data'!$AK$4:$AM$6,2,FALSE)=0,"Spatial Data Missing ⚠",VLOOKUP(I164,'G-7 WaterC'' Data'!$AK$4:$AM$6,2,FALSE)))</f>
        <v/>
      </c>
      <c r="K164" s="363" t="str">
        <f>IF(I164="","",IF(VLOOKUP(I164,'G-7 WaterC'' Data'!$AK$4:$AM$6,3,FALSE)=0,"Spatial Data Missing ⚠",VLOOKUP(I164,'G-7 WaterC'' Data'!$AK$4:$AM$6,3,FALSE)))</f>
        <v/>
      </c>
      <c r="L164" s="478" t="str">
        <f>IFERROR(INDEX('G-7 WaterC'' Data'!$O$3:$O$7,MATCH(G164,'G-7 WaterC'' Data'!$N$3:$N$7,0)),"")</f>
        <v/>
      </c>
      <c r="M164" s="55"/>
      <c r="N164" s="159"/>
      <c r="O164" s="370" t="str">
        <f t="shared" si="12"/>
        <v/>
      </c>
      <c r="P164" s="383" t="str">
        <f t="shared" si="13"/>
        <v/>
      </c>
      <c r="Q164" s="422" t="str">
        <f>IFERROR(IF(P164="Check Data ⚠","Check Data ⚠",VLOOKUP(P164,'G-4 Temporal multipliers'!$A$4:$C$37,3,FALSE)),"")</f>
        <v/>
      </c>
      <c r="R164" s="362" t="str">
        <f>IF(C164="","",VLOOKUP(C164,'G-7 WaterC'' Data'!$B$4:$G$8,4,FALSE))</f>
        <v/>
      </c>
      <c r="S164" s="370" t="str">
        <f t="shared" si="14"/>
        <v/>
      </c>
      <c r="T164" s="401" t="str">
        <f t="shared" si="15"/>
        <v/>
      </c>
      <c r="U164" s="363" t="str">
        <f>IF(C164="","",VLOOKUP(T164,'G-3 Multipliers'!$P$2:$Q$6,2,FALSE))</f>
        <v/>
      </c>
      <c r="V164" s="115"/>
      <c r="W164" s="363" t="str">
        <f>IF(V164="","",IF(VLOOKUP(V164,'G-7 WaterC'' Data'!$AA$4:$AB$7,2,FALSE)=0,"Spatial Data Missing ⚠",VLOOKUP(V164,'G-7 WaterC'' Data'!$AA$4:$AB$7,2,FALSE)))</f>
        <v/>
      </c>
      <c r="X164" s="60"/>
      <c r="Y164" s="363" t="str">
        <f>IF(X164="","",IF(VLOOKUP(X164,'G-7 WaterC'' Data'!$AD$4:$AE$14,2,FALSE)=0,"Enrcoachment Data Missing ⚠",VLOOKUP(X164,'G-7 WaterC'' Data'!$AD$4:$AE$14,2,FALSE)))</f>
        <v/>
      </c>
      <c r="Z164" s="115"/>
      <c r="AA164" s="363" t="str">
        <f>IF(Z164="","",IF(VLOOKUP(Z164,'G-7 WaterC'' Data'!$AO$4:$BO$7,2,FALSE)=0,"Spatial Data Missing ⚠",VLOOKUP(Z164,'G-7 WaterC'' Data'!$AO$4:$BO$7,2,FALSE)))</f>
        <v/>
      </c>
      <c r="AB164" s="405" t="str">
        <f t="shared" si="16"/>
        <v/>
      </c>
      <c r="AC164" s="405" t="str">
        <f t="shared" si="17"/>
        <v/>
      </c>
      <c r="AD164" s="117"/>
      <c r="AE164" s="692"/>
      <c r="AF164" s="119"/>
      <c r="AG164" s="120"/>
      <c r="AL164" s="30" t="str">
        <f>IFERROR(INDEX('G-7 WaterC'' Data'!$AZ$3:$AZ$7,MATCH(C164,'G-7 WaterC'' Data'!$AY$3:$AY$7,0)),"")</f>
        <v/>
      </c>
    </row>
    <row r="165" spans="2:38" ht="15">
      <c r="B165" s="110">
        <v>154</v>
      </c>
      <c r="C165" s="501"/>
      <c r="D165" s="139"/>
      <c r="E165" s="362" t="str">
        <f>IF(C165="","",VLOOKUP(C165,'G-7 WaterC'' Data'!$B$2:$Z$9,2,FALSE))</f>
        <v/>
      </c>
      <c r="F165" s="363" t="str">
        <f>IFERROR(VLOOKUP(E165,'G-7 WaterC'' Data'!$C$4:$D$8,2,FALSE),"")</f>
        <v/>
      </c>
      <c r="G165" s="114"/>
      <c r="H165" s="363" t="str">
        <f>IFERROR(INDEX('G-7 WaterC'' Data'!$H$4:$L$8,MATCH(C165,'G-7 WaterC'' Data'!$B$4:$B$8,0),MATCH(G165,'G-7 WaterC'' Data'!$H$3:$L$3,0)),"")</f>
        <v/>
      </c>
      <c r="I165" s="54"/>
      <c r="J165" s="401" t="str">
        <f>IF(I165="","",IF(VLOOKUP(I165,'G-7 WaterC'' Data'!$AK$4:$AM$6,2,FALSE)=0,"Spatial Data Missing ⚠",VLOOKUP(I165,'G-7 WaterC'' Data'!$AK$4:$AM$6,2,FALSE)))</f>
        <v/>
      </c>
      <c r="K165" s="363" t="str">
        <f>IF(I165="","",IF(VLOOKUP(I165,'G-7 WaterC'' Data'!$AK$4:$AM$6,3,FALSE)=0,"Spatial Data Missing ⚠",VLOOKUP(I165,'G-7 WaterC'' Data'!$AK$4:$AM$6,3,FALSE)))</f>
        <v/>
      </c>
      <c r="L165" s="478" t="str">
        <f>IFERROR(INDEX('G-7 WaterC'' Data'!$O$3:$O$7,MATCH(G165,'G-7 WaterC'' Data'!$N$3:$N$7,0)),"")</f>
        <v/>
      </c>
      <c r="M165" s="55"/>
      <c r="N165" s="159"/>
      <c r="O165" s="370" t="str">
        <f t="shared" si="12"/>
        <v/>
      </c>
      <c r="P165" s="383" t="str">
        <f t="shared" si="13"/>
        <v/>
      </c>
      <c r="Q165" s="422" t="str">
        <f>IFERROR(IF(P165="Check Data ⚠","Check Data ⚠",VLOOKUP(P165,'G-4 Temporal multipliers'!$A$4:$C$37,3,FALSE)),"")</f>
        <v/>
      </c>
      <c r="R165" s="362" t="str">
        <f>IF(C165="","",VLOOKUP(C165,'G-7 WaterC'' Data'!$B$4:$G$8,4,FALSE))</f>
        <v/>
      </c>
      <c r="S165" s="370" t="str">
        <f t="shared" si="14"/>
        <v/>
      </c>
      <c r="T165" s="401" t="str">
        <f t="shared" si="15"/>
        <v/>
      </c>
      <c r="U165" s="363" t="str">
        <f>IF(C165="","",VLOOKUP(T165,'G-3 Multipliers'!$P$2:$Q$6,2,FALSE))</f>
        <v/>
      </c>
      <c r="V165" s="115"/>
      <c r="W165" s="363" t="str">
        <f>IF(V165="","",IF(VLOOKUP(V165,'G-7 WaterC'' Data'!$AA$4:$AB$7,2,FALSE)=0,"Spatial Data Missing ⚠",VLOOKUP(V165,'G-7 WaterC'' Data'!$AA$4:$AB$7,2,FALSE)))</f>
        <v/>
      </c>
      <c r="X165" s="60"/>
      <c r="Y165" s="363" t="str">
        <f>IF(X165="","",IF(VLOOKUP(X165,'G-7 WaterC'' Data'!$AD$4:$AE$14,2,FALSE)=0,"Enrcoachment Data Missing ⚠",VLOOKUP(X165,'G-7 WaterC'' Data'!$AD$4:$AE$14,2,FALSE)))</f>
        <v/>
      </c>
      <c r="Z165" s="115"/>
      <c r="AA165" s="363" t="str">
        <f>IF(Z165="","",IF(VLOOKUP(Z165,'G-7 WaterC'' Data'!$AO$4:$BO$7,2,FALSE)=0,"Spatial Data Missing ⚠",VLOOKUP(Z165,'G-7 WaterC'' Data'!$AO$4:$BO$7,2,FALSE)))</f>
        <v/>
      </c>
      <c r="AB165" s="405" t="str">
        <f t="shared" si="16"/>
        <v/>
      </c>
      <c r="AC165" s="405" t="str">
        <f t="shared" si="17"/>
        <v/>
      </c>
      <c r="AD165" s="117"/>
      <c r="AE165" s="692"/>
      <c r="AF165" s="119"/>
      <c r="AG165" s="120"/>
      <c r="AL165" s="30" t="str">
        <f>IFERROR(INDEX('G-7 WaterC'' Data'!$AZ$3:$AZ$7,MATCH(C165,'G-7 WaterC'' Data'!$AY$3:$AY$7,0)),"")</f>
        <v/>
      </c>
    </row>
    <row r="166" spans="2:38" ht="15">
      <c r="B166" s="110">
        <v>155</v>
      </c>
      <c r="C166" s="501"/>
      <c r="D166" s="139"/>
      <c r="E166" s="362" t="str">
        <f>IF(C166="","",VLOOKUP(C166,'G-7 WaterC'' Data'!$B$2:$Z$9,2,FALSE))</f>
        <v/>
      </c>
      <c r="F166" s="363" t="str">
        <f>IFERROR(VLOOKUP(E166,'G-7 WaterC'' Data'!$C$4:$D$8,2,FALSE),"")</f>
        <v/>
      </c>
      <c r="G166" s="114"/>
      <c r="H166" s="363" t="str">
        <f>IFERROR(INDEX('G-7 WaterC'' Data'!$H$4:$L$8,MATCH(C166,'G-7 WaterC'' Data'!$B$4:$B$8,0),MATCH(G166,'G-7 WaterC'' Data'!$H$3:$L$3,0)),"")</f>
        <v/>
      </c>
      <c r="I166" s="54"/>
      <c r="J166" s="401" t="str">
        <f>IF(I166="","",IF(VLOOKUP(I166,'G-7 WaterC'' Data'!$AK$4:$AM$6,2,FALSE)=0,"Spatial Data Missing ⚠",VLOOKUP(I166,'G-7 WaterC'' Data'!$AK$4:$AM$6,2,FALSE)))</f>
        <v/>
      </c>
      <c r="K166" s="363" t="str">
        <f>IF(I166="","",IF(VLOOKUP(I166,'G-7 WaterC'' Data'!$AK$4:$AM$6,3,FALSE)=0,"Spatial Data Missing ⚠",VLOOKUP(I166,'G-7 WaterC'' Data'!$AK$4:$AM$6,3,FALSE)))</f>
        <v/>
      </c>
      <c r="L166" s="478" t="str">
        <f>IFERROR(INDEX('G-7 WaterC'' Data'!$O$3:$O$7,MATCH(G166,'G-7 WaterC'' Data'!$N$3:$N$7,0)),"")</f>
        <v/>
      </c>
      <c r="M166" s="55"/>
      <c r="N166" s="159"/>
      <c r="O166" s="370" t="str">
        <f t="shared" si="12"/>
        <v/>
      </c>
      <c r="P166" s="383" t="str">
        <f t="shared" si="13"/>
        <v/>
      </c>
      <c r="Q166" s="422" t="str">
        <f>IFERROR(IF(P166="Check Data ⚠","Check Data ⚠",VLOOKUP(P166,'G-4 Temporal multipliers'!$A$4:$C$37,3,FALSE)),"")</f>
        <v/>
      </c>
      <c r="R166" s="362" t="str">
        <f>IF(C166="","",VLOOKUP(C166,'G-7 WaterC'' Data'!$B$4:$G$8,4,FALSE))</f>
        <v/>
      </c>
      <c r="S166" s="370" t="str">
        <f t="shared" si="14"/>
        <v/>
      </c>
      <c r="T166" s="401" t="str">
        <f t="shared" si="15"/>
        <v/>
      </c>
      <c r="U166" s="363" t="str">
        <f>IF(C166="","",VLOOKUP(T166,'G-3 Multipliers'!$P$2:$Q$6,2,FALSE))</f>
        <v/>
      </c>
      <c r="V166" s="115"/>
      <c r="W166" s="363" t="str">
        <f>IF(V166="","",IF(VLOOKUP(V166,'G-7 WaterC'' Data'!$AA$4:$AB$7,2,FALSE)=0,"Spatial Data Missing ⚠",VLOOKUP(V166,'G-7 WaterC'' Data'!$AA$4:$AB$7,2,FALSE)))</f>
        <v/>
      </c>
      <c r="X166" s="60"/>
      <c r="Y166" s="363" t="str">
        <f>IF(X166="","",IF(VLOOKUP(X166,'G-7 WaterC'' Data'!$AD$4:$AE$14,2,FALSE)=0,"Enrcoachment Data Missing ⚠",VLOOKUP(X166,'G-7 WaterC'' Data'!$AD$4:$AE$14,2,FALSE)))</f>
        <v/>
      </c>
      <c r="Z166" s="115"/>
      <c r="AA166" s="363" t="str">
        <f>IF(Z166="","",IF(VLOOKUP(Z166,'G-7 WaterC'' Data'!$AO$4:$BO$7,2,FALSE)=0,"Spatial Data Missing ⚠",VLOOKUP(Z166,'G-7 WaterC'' Data'!$AO$4:$BO$7,2,FALSE)))</f>
        <v/>
      </c>
      <c r="AB166" s="405" t="str">
        <f t="shared" si="16"/>
        <v/>
      </c>
      <c r="AC166" s="405" t="str">
        <f t="shared" si="17"/>
        <v/>
      </c>
      <c r="AD166" s="117"/>
      <c r="AE166" s="692"/>
      <c r="AF166" s="119"/>
      <c r="AG166" s="120"/>
      <c r="AL166" s="30" t="str">
        <f>IFERROR(INDEX('G-7 WaterC'' Data'!$AZ$3:$AZ$7,MATCH(C166,'G-7 WaterC'' Data'!$AY$3:$AY$7,0)),"")</f>
        <v/>
      </c>
    </row>
    <row r="167" spans="2:38" ht="15">
      <c r="B167" s="110">
        <v>156</v>
      </c>
      <c r="C167" s="501"/>
      <c r="D167" s="139"/>
      <c r="E167" s="362" t="str">
        <f>IF(C167="","",VLOOKUP(C167,'G-7 WaterC'' Data'!$B$2:$Z$9,2,FALSE))</f>
        <v/>
      </c>
      <c r="F167" s="363" t="str">
        <f>IFERROR(VLOOKUP(E167,'G-7 WaterC'' Data'!$C$4:$D$8,2,FALSE),"")</f>
        <v/>
      </c>
      <c r="G167" s="114"/>
      <c r="H167" s="363" t="str">
        <f>IFERROR(INDEX('G-7 WaterC'' Data'!$H$4:$L$8,MATCH(C167,'G-7 WaterC'' Data'!$B$4:$B$8,0),MATCH(G167,'G-7 WaterC'' Data'!$H$3:$L$3,0)),"")</f>
        <v/>
      </c>
      <c r="I167" s="54"/>
      <c r="J167" s="401" t="str">
        <f>IF(I167="","",IF(VLOOKUP(I167,'G-7 WaterC'' Data'!$AK$4:$AM$6,2,FALSE)=0,"Spatial Data Missing ⚠",VLOOKUP(I167,'G-7 WaterC'' Data'!$AK$4:$AM$6,2,FALSE)))</f>
        <v/>
      </c>
      <c r="K167" s="363" t="str">
        <f>IF(I167="","",IF(VLOOKUP(I167,'G-7 WaterC'' Data'!$AK$4:$AM$6,3,FALSE)=0,"Spatial Data Missing ⚠",VLOOKUP(I167,'G-7 WaterC'' Data'!$AK$4:$AM$6,3,FALSE)))</f>
        <v/>
      </c>
      <c r="L167" s="478" t="str">
        <f>IFERROR(INDEX('G-7 WaterC'' Data'!$O$3:$O$7,MATCH(G167,'G-7 WaterC'' Data'!$N$3:$N$7,0)),"")</f>
        <v/>
      </c>
      <c r="M167" s="55"/>
      <c r="N167" s="159"/>
      <c r="O167" s="370" t="str">
        <f t="shared" si="12"/>
        <v/>
      </c>
      <c r="P167" s="383" t="str">
        <f t="shared" si="13"/>
        <v/>
      </c>
      <c r="Q167" s="422" t="str">
        <f>IFERROR(IF(P167="Check Data ⚠","Check Data ⚠",VLOOKUP(P167,'G-4 Temporal multipliers'!$A$4:$C$37,3,FALSE)),"")</f>
        <v/>
      </c>
      <c r="R167" s="362" t="str">
        <f>IF(C167="","",VLOOKUP(C167,'G-7 WaterC'' Data'!$B$4:$G$8,4,FALSE))</f>
        <v/>
      </c>
      <c r="S167" s="370" t="str">
        <f t="shared" si="14"/>
        <v/>
      </c>
      <c r="T167" s="401" t="str">
        <f t="shared" si="15"/>
        <v/>
      </c>
      <c r="U167" s="363" t="str">
        <f>IF(C167="","",VLOOKUP(T167,'G-3 Multipliers'!$P$2:$Q$6,2,FALSE))</f>
        <v/>
      </c>
      <c r="V167" s="115"/>
      <c r="W167" s="363" t="str">
        <f>IF(V167="","",IF(VLOOKUP(V167,'G-7 WaterC'' Data'!$AA$4:$AB$7,2,FALSE)=0,"Spatial Data Missing ⚠",VLOOKUP(V167,'G-7 WaterC'' Data'!$AA$4:$AB$7,2,FALSE)))</f>
        <v/>
      </c>
      <c r="X167" s="60"/>
      <c r="Y167" s="363" t="str">
        <f>IF(X167="","",IF(VLOOKUP(X167,'G-7 WaterC'' Data'!$AD$4:$AE$14,2,FALSE)=0,"Enrcoachment Data Missing ⚠",VLOOKUP(X167,'G-7 WaterC'' Data'!$AD$4:$AE$14,2,FALSE)))</f>
        <v/>
      </c>
      <c r="Z167" s="115"/>
      <c r="AA167" s="363" t="str">
        <f>IF(Z167="","",IF(VLOOKUP(Z167,'G-7 WaterC'' Data'!$AO$4:$BO$7,2,FALSE)=0,"Spatial Data Missing ⚠",VLOOKUP(Z167,'G-7 WaterC'' Data'!$AO$4:$BO$7,2,FALSE)))</f>
        <v/>
      </c>
      <c r="AB167" s="405" t="str">
        <f t="shared" si="16"/>
        <v/>
      </c>
      <c r="AC167" s="405" t="str">
        <f t="shared" si="17"/>
        <v/>
      </c>
      <c r="AD167" s="117"/>
      <c r="AE167" s="692"/>
      <c r="AF167" s="119"/>
      <c r="AG167" s="120"/>
      <c r="AL167" s="30" t="str">
        <f>IFERROR(INDEX('G-7 WaterC'' Data'!$AZ$3:$AZ$7,MATCH(C167,'G-7 WaterC'' Data'!$AY$3:$AY$7,0)),"")</f>
        <v/>
      </c>
    </row>
    <row r="168" spans="2:38" ht="15">
      <c r="B168" s="110">
        <v>157</v>
      </c>
      <c r="C168" s="501"/>
      <c r="D168" s="139"/>
      <c r="E168" s="362" t="str">
        <f>IF(C168="","",VLOOKUP(C168,'G-7 WaterC'' Data'!$B$2:$Z$9,2,FALSE))</f>
        <v/>
      </c>
      <c r="F168" s="363" t="str">
        <f>IFERROR(VLOOKUP(E168,'G-7 WaterC'' Data'!$C$4:$D$8,2,FALSE),"")</f>
        <v/>
      </c>
      <c r="G168" s="114"/>
      <c r="H168" s="363" t="str">
        <f>IFERROR(INDEX('G-7 WaterC'' Data'!$H$4:$L$8,MATCH(C168,'G-7 WaterC'' Data'!$B$4:$B$8,0),MATCH(G168,'G-7 WaterC'' Data'!$H$3:$L$3,0)),"")</f>
        <v/>
      </c>
      <c r="I168" s="54"/>
      <c r="J168" s="401" t="str">
        <f>IF(I168="","",IF(VLOOKUP(I168,'G-7 WaterC'' Data'!$AK$4:$AM$6,2,FALSE)=0,"Spatial Data Missing ⚠",VLOOKUP(I168,'G-7 WaterC'' Data'!$AK$4:$AM$6,2,FALSE)))</f>
        <v/>
      </c>
      <c r="K168" s="363" t="str">
        <f>IF(I168="","",IF(VLOOKUP(I168,'G-7 WaterC'' Data'!$AK$4:$AM$6,3,FALSE)=0,"Spatial Data Missing ⚠",VLOOKUP(I168,'G-7 WaterC'' Data'!$AK$4:$AM$6,3,FALSE)))</f>
        <v/>
      </c>
      <c r="L168" s="478" t="str">
        <f>IFERROR(INDEX('G-7 WaterC'' Data'!$O$3:$O$7,MATCH(G168,'G-7 WaterC'' Data'!$N$3:$N$7,0)),"")</f>
        <v/>
      </c>
      <c r="M168" s="55"/>
      <c r="N168" s="159"/>
      <c r="O168" s="370" t="str">
        <f t="shared" si="12"/>
        <v/>
      </c>
      <c r="P168" s="383" t="str">
        <f t="shared" si="13"/>
        <v/>
      </c>
      <c r="Q168" s="422" t="str">
        <f>IFERROR(IF(P168="Check Data ⚠","Check Data ⚠",VLOOKUP(P168,'G-4 Temporal multipliers'!$A$4:$C$37,3,FALSE)),"")</f>
        <v/>
      </c>
      <c r="R168" s="362" t="str">
        <f>IF(C168="","",VLOOKUP(C168,'G-7 WaterC'' Data'!$B$4:$G$8,4,FALSE))</f>
        <v/>
      </c>
      <c r="S168" s="370" t="str">
        <f t="shared" si="14"/>
        <v/>
      </c>
      <c r="T168" s="401" t="str">
        <f t="shared" si="15"/>
        <v/>
      </c>
      <c r="U168" s="363" t="str">
        <f>IF(C168="","",VLOOKUP(T168,'G-3 Multipliers'!$P$2:$Q$6,2,FALSE))</f>
        <v/>
      </c>
      <c r="V168" s="115"/>
      <c r="W168" s="363" t="str">
        <f>IF(V168="","",IF(VLOOKUP(V168,'G-7 WaterC'' Data'!$AA$4:$AB$7,2,FALSE)=0,"Spatial Data Missing ⚠",VLOOKUP(V168,'G-7 WaterC'' Data'!$AA$4:$AB$7,2,FALSE)))</f>
        <v/>
      </c>
      <c r="X168" s="60"/>
      <c r="Y168" s="363" t="str">
        <f>IF(X168="","",IF(VLOOKUP(X168,'G-7 WaterC'' Data'!$AD$4:$AE$14,2,FALSE)=0,"Enrcoachment Data Missing ⚠",VLOOKUP(X168,'G-7 WaterC'' Data'!$AD$4:$AE$14,2,FALSE)))</f>
        <v/>
      </c>
      <c r="Z168" s="115"/>
      <c r="AA168" s="363" t="str">
        <f>IF(Z168="","",IF(VLOOKUP(Z168,'G-7 WaterC'' Data'!$AO$4:$BO$7,2,FALSE)=0,"Spatial Data Missing ⚠",VLOOKUP(Z168,'G-7 WaterC'' Data'!$AO$4:$BO$7,2,FALSE)))</f>
        <v/>
      </c>
      <c r="AB168" s="405" t="str">
        <f t="shared" si="16"/>
        <v/>
      </c>
      <c r="AC168" s="405" t="str">
        <f t="shared" si="17"/>
        <v/>
      </c>
      <c r="AD168" s="117"/>
      <c r="AE168" s="692"/>
      <c r="AF168" s="119"/>
      <c r="AG168" s="120"/>
      <c r="AL168" s="30" t="str">
        <f>IFERROR(INDEX('G-7 WaterC'' Data'!$AZ$3:$AZ$7,MATCH(C168,'G-7 WaterC'' Data'!$AY$3:$AY$7,0)),"")</f>
        <v/>
      </c>
    </row>
    <row r="169" spans="2:38" ht="15">
      <c r="B169" s="110">
        <v>158</v>
      </c>
      <c r="C169" s="501"/>
      <c r="D169" s="139"/>
      <c r="E169" s="362" t="str">
        <f>IF(C169="","",VLOOKUP(C169,'G-7 WaterC'' Data'!$B$2:$Z$9,2,FALSE))</f>
        <v/>
      </c>
      <c r="F169" s="363" t="str">
        <f>IFERROR(VLOOKUP(E169,'G-7 WaterC'' Data'!$C$4:$D$8,2,FALSE),"")</f>
        <v/>
      </c>
      <c r="G169" s="114"/>
      <c r="H169" s="363" t="str">
        <f>IFERROR(INDEX('G-7 WaterC'' Data'!$H$4:$L$8,MATCH(C169,'G-7 WaterC'' Data'!$B$4:$B$8,0),MATCH(G169,'G-7 WaterC'' Data'!$H$3:$L$3,0)),"")</f>
        <v/>
      </c>
      <c r="I169" s="54"/>
      <c r="J169" s="401" t="str">
        <f>IF(I169="","",IF(VLOOKUP(I169,'G-7 WaterC'' Data'!$AK$4:$AM$6,2,FALSE)=0,"Spatial Data Missing ⚠",VLOOKUP(I169,'G-7 WaterC'' Data'!$AK$4:$AM$6,2,FALSE)))</f>
        <v/>
      </c>
      <c r="K169" s="363" t="str">
        <f>IF(I169="","",IF(VLOOKUP(I169,'G-7 WaterC'' Data'!$AK$4:$AM$6,3,FALSE)=0,"Spatial Data Missing ⚠",VLOOKUP(I169,'G-7 WaterC'' Data'!$AK$4:$AM$6,3,FALSE)))</f>
        <v/>
      </c>
      <c r="L169" s="478" t="str">
        <f>IFERROR(INDEX('G-7 WaterC'' Data'!$O$3:$O$7,MATCH(G169,'G-7 WaterC'' Data'!$N$3:$N$7,0)),"")</f>
        <v/>
      </c>
      <c r="M169" s="55"/>
      <c r="N169" s="159"/>
      <c r="O169" s="370" t="str">
        <f t="shared" si="12"/>
        <v/>
      </c>
      <c r="P169" s="383" t="str">
        <f t="shared" si="13"/>
        <v/>
      </c>
      <c r="Q169" s="422" t="str">
        <f>IFERROR(IF(P169="Check Data ⚠","Check Data ⚠",VLOOKUP(P169,'G-4 Temporal multipliers'!$A$4:$C$37,3,FALSE)),"")</f>
        <v/>
      </c>
      <c r="R169" s="362" t="str">
        <f>IF(C169="","",VLOOKUP(C169,'G-7 WaterC'' Data'!$B$4:$G$8,4,FALSE))</f>
        <v/>
      </c>
      <c r="S169" s="370" t="str">
        <f t="shared" si="14"/>
        <v/>
      </c>
      <c r="T169" s="401" t="str">
        <f t="shared" si="15"/>
        <v/>
      </c>
      <c r="U169" s="363" t="str">
        <f>IF(C169="","",VLOOKUP(T169,'G-3 Multipliers'!$P$2:$Q$6,2,FALSE))</f>
        <v/>
      </c>
      <c r="V169" s="115"/>
      <c r="W169" s="363" t="str">
        <f>IF(V169="","",IF(VLOOKUP(V169,'G-7 WaterC'' Data'!$AA$4:$AB$7,2,FALSE)=0,"Spatial Data Missing ⚠",VLOOKUP(V169,'G-7 WaterC'' Data'!$AA$4:$AB$7,2,FALSE)))</f>
        <v/>
      </c>
      <c r="X169" s="60"/>
      <c r="Y169" s="363" t="str">
        <f>IF(X169="","",IF(VLOOKUP(X169,'G-7 WaterC'' Data'!$AD$4:$AE$14,2,FALSE)=0,"Enrcoachment Data Missing ⚠",VLOOKUP(X169,'G-7 WaterC'' Data'!$AD$4:$AE$14,2,FALSE)))</f>
        <v/>
      </c>
      <c r="Z169" s="115"/>
      <c r="AA169" s="363" t="str">
        <f>IF(Z169="","",IF(VLOOKUP(Z169,'G-7 WaterC'' Data'!$AO$4:$BO$7,2,FALSE)=0,"Spatial Data Missing ⚠",VLOOKUP(Z169,'G-7 WaterC'' Data'!$AO$4:$BO$7,2,FALSE)))</f>
        <v/>
      </c>
      <c r="AB169" s="405" t="str">
        <f t="shared" si="16"/>
        <v/>
      </c>
      <c r="AC169" s="405" t="str">
        <f t="shared" si="17"/>
        <v/>
      </c>
      <c r="AD169" s="117"/>
      <c r="AE169" s="692"/>
      <c r="AF169" s="119"/>
      <c r="AG169" s="120"/>
      <c r="AL169" s="30" t="str">
        <f>IFERROR(INDEX('G-7 WaterC'' Data'!$AZ$3:$AZ$7,MATCH(C169,'G-7 WaterC'' Data'!$AY$3:$AY$7,0)),"")</f>
        <v/>
      </c>
    </row>
    <row r="170" spans="2:38" ht="15">
      <c r="B170" s="110">
        <v>159</v>
      </c>
      <c r="C170" s="501"/>
      <c r="D170" s="139"/>
      <c r="E170" s="362" t="str">
        <f>IF(C170="","",VLOOKUP(C170,'G-7 WaterC'' Data'!$B$2:$Z$9,2,FALSE))</f>
        <v/>
      </c>
      <c r="F170" s="363" t="str">
        <f>IFERROR(VLOOKUP(E170,'G-7 WaterC'' Data'!$C$4:$D$8,2,FALSE),"")</f>
        <v/>
      </c>
      <c r="G170" s="114"/>
      <c r="H170" s="363" t="str">
        <f>IFERROR(INDEX('G-7 WaterC'' Data'!$H$4:$L$8,MATCH(C170,'G-7 WaterC'' Data'!$B$4:$B$8,0),MATCH(G170,'G-7 WaterC'' Data'!$H$3:$L$3,0)),"")</f>
        <v/>
      </c>
      <c r="I170" s="54"/>
      <c r="J170" s="401" t="str">
        <f>IF(I170="","",IF(VLOOKUP(I170,'G-7 WaterC'' Data'!$AK$4:$AM$6,2,FALSE)=0,"Spatial Data Missing ⚠",VLOOKUP(I170,'G-7 WaterC'' Data'!$AK$4:$AM$6,2,FALSE)))</f>
        <v/>
      </c>
      <c r="K170" s="363" t="str">
        <f>IF(I170="","",IF(VLOOKUP(I170,'G-7 WaterC'' Data'!$AK$4:$AM$6,3,FALSE)=0,"Spatial Data Missing ⚠",VLOOKUP(I170,'G-7 WaterC'' Data'!$AK$4:$AM$6,3,FALSE)))</f>
        <v/>
      </c>
      <c r="L170" s="478" t="str">
        <f>IFERROR(INDEX('G-7 WaterC'' Data'!$O$3:$O$7,MATCH(G170,'G-7 WaterC'' Data'!$N$3:$N$7,0)),"")</f>
        <v/>
      </c>
      <c r="M170" s="55"/>
      <c r="N170" s="159"/>
      <c r="O170" s="370" t="str">
        <f t="shared" si="12"/>
        <v/>
      </c>
      <c r="P170" s="383" t="str">
        <f t="shared" si="13"/>
        <v/>
      </c>
      <c r="Q170" s="422" t="str">
        <f>IFERROR(IF(P170="Check Data ⚠","Check Data ⚠",VLOOKUP(P170,'G-4 Temporal multipliers'!$A$4:$C$37,3,FALSE)),"")</f>
        <v/>
      </c>
      <c r="R170" s="362" t="str">
        <f>IF(C170="","",VLOOKUP(C170,'G-7 WaterC'' Data'!$B$4:$G$8,4,FALSE))</f>
        <v/>
      </c>
      <c r="S170" s="370" t="str">
        <f t="shared" si="14"/>
        <v/>
      </c>
      <c r="T170" s="401" t="str">
        <f t="shared" si="15"/>
        <v/>
      </c>
      <c r="U170" s="363" t="str">
        <f>IF(C170="","",VLOOKUP(T170,'G-3 Multipliers'!$P$2:$Q$6,2,FALSE))</f>
        <v/>
      </c>
      <c r="V170" s="115"/>
      <c r="W170" s="363" t="str">
        <f>IF(V170="","",IF(VLOOKUP(V170,'G-7 WaterC'' Data'!$AA$4:$AB$7,2,FALSE)=0,"Spatial Data Missing ⚠",VLOOKUP(V170,'G-7 WaterC'' Data'!$AA$4:$AB$7,2,FALSE)))</f>
        <v/>
      </c>
      <c r="X170" s="60"/>
      <c r="Y170" s="363" t="str">
        <f>IF(X170="","",IF(VLOOKUP(X170,'G-7 WaterC'' Data'!$AD$4:$AE$14,2,FALSE)=0,"Enrcoachment Data Missing ⚠",VLOOKUP(X170,'G-7 WaterC'' Data'!$AD$4:$AE$14,2,FALSE)))</f>
        <v/>
      </c>
      <c r="Z170" s="115"/>
      <c r="AA170" s="363" t="str">
        <f>IF(Z170="","",IF(VLOOKUP(Z170,'G-7 WaterC'' Data'!$AO$4:$BO$7,2,FALSE)=0,"Spatial Data Missing ⚠",VLOOKUP(Z170,'G-7 WaterC'' Data'!$AO$4:$BO$7,2,FALSE)))</f>
        <v/>
      </c>
      <c r="AB170" s="405" t="str">
        <f t="shared" si="16"/>
        <v/>
      </c>
      <c r="AC170" s="405" t="str">
        <f t="shared" si="17"/>
        <v/>
      </c>
      <c r="AD170" s="117"/>
      <c r="AE170" s="692"/>
      <c r="AF170" s="119"/>
      <c r="AG170" s="120"/>
      <c r="AL170" s="30" t="str">
        <f>IFERROR(INDEX('G-7 WaterC'' Data'!$AZ$3:$AZ$7,MATCH(C170,'G-7 WaterC'' Data'!$AY$3:$AY$7,0)),"")</f>
        <v/>
      </c>
    </row>
    <row r="171" spans="2:38" ht="15">
      <c r="B171" s="110">
        <v>160</v>
      </c>
      <c r="C171" s="501"/>
      <c r="D171" s="139"/>
      <c r="E171" s="362" t="str">
        <f>IF(C171="","",VLOOKUP(C171,'G-7 WaterC'' Data'!$B$2:$Z$9,2,FALSE))</f>
        <v/>
      </c>
      <c r="F171" s="363" t="str">
        <f>IFERROR(VLOOKUP(E171,'G-7 WaterC'' Data'!$C$4:$D$8,2,FALSE),"")</f>
        <v/>
      </c>
      <c r="G171" s="114"/>
      <c r="H171" s="363" t="str">
        <f>IFERROR(INDEX('G-7 WaterC'' Data'!$H$4:$L$8,MATCH(C171,'G-7 WaterC'' Data'!$B$4:$B$8,0),MATCH(G171,'G-7 WaterC'' Data'!$H$3:$L$3,0)),"")</f>
        <v/>
      </c>
      <c r="I171" s="54"/>
      <c r="J171" s="401" t="str">
        <f>IF(I171="","",IF(VLOOKUP(I171,'G-7 WaterC'' Data'!$AK$4:$AM$6,2,FALSE)=0,"Spatial Data Missing ⚠",VLOOKUP(I171,'G-7 WaterC'' Data'!$AK$4:$AM$6,2,FALSE)))</f>
        <v/>
      </c>
      <c r="K171" s="363" t="str">
        <f>IF(I171="","",IF(VLOOKUP(I171,'G-7 WaterC'' Data'!$AK$4:$AM$6,3,FALSE)=0,"Spatial Data Missing ⚠",VLOOKUP(I171,'G-7 WaterC'' Data'!$AK$4:$AM$6,3,FALSE)))</f>
        <v/>
      </c>
      <c r="L171" s="478" t="str">
        <f>IFERROR(INDEX('G-7 WaterC'' Data'!$O$3:$O$7,MATCH(G171,'G-7 WaterC'' Data'!$N$3:$N$7,0)),"")</f>
        <v/>
      </c>
      <c r="M171" s="55"/>
      <c r="N171" s="159"/>
      <c r="O171" s="370" t="str">
        <f t="shared" si="12"/>
        <v/>
      </c>
      <c r="P171" s="383" t="str">
        <f t="shared" si="13"/>
        <v/>
      </c>
      <c r="Q171" s="422" t="str">
        <f>IFERROR(IF(P171="Check Data ⚠","Check Data ⚠",VLOOKUP(P171,'G-4 Temporal multipliers'!$A$4:$C$37,3,FALSE)),"")</f>
        <v/>
      </c>
      <c r="R171" s="362" t="str">
        <f>IF(C171="","",VLOOKUP(C171,'G-7 WaterC'' Data'!$B$4:$G$8,4,FALSE))</f>
        <v/>
      </c>
      <c r="S171" s="370" t="str">
        <f t="shared" si="14"/>
        <v/>
      </c>
      <c r="T171" s="401" t="str">
        <f t="shared" si="15"/>
        <v/>
      </c>
      <c r="U171" s="363" t="str">
        <f>IF(C171="","",VLOOKUP(T171,'G-3 Multipliers'!$P$2:$Q$6,2,FALSE))</f>
        <v/>
      </c>
      <c r="V171" s="115"/>
      <c r="W171" s="363" t="str">
        <f>IF(V171="","",IF(VLOOKUP(V171,'G-7 WaterC'' Data'!$AA$4:$AB$7,2,FALSE)=0,"Spatial Data Missing ⚠",VLOOKUP(V171,'G-7 WaterC'' Data'!$AA$4:$AB$7,2,FALSE)))</f>
        <v/>
      </c>
      <c r="X171" s="60"/>
      <c r="Y171" s="363" t="str">
        <f>IF(X171="","",IF(VLOOKUP(X171,'G-7 WaterC'' Data'!$AD$4:$AE$14,2,FALSE)=0,"Enrcoachment Data Missing ⚠",VLOOKUP(X171,'G-7 WaterC'' Data'!$AD$4:$AE$14,2,FALSE)))</f>
        <v/>
      </c>
      <c r="Z171" s="115"/>
      <c r="AA171" s="363" t="str">
        <f>IF(Z171="","",IF(VLOOKUP(Z171,'G-7 WaterC'' Data'!$AO$4:$BO$7,2,FALSE)=0,"Spatial Data Missing ⚠",VLOOKUP(Z171,'G-7 WaterC'' Data'!$AO$4:$BO$7,2,FALSE)))</f>
        <v/>
      </c>
      <c r="AB171" s="405" t="str">
        <f t="shared" si="16"/>
        <v/>
      </c>
      <c r="AC171" s="405" t="str">
        <f t="shared" si="17"/>
        <v/>
      </c>
      <c r="AD171" s="117"/>
      <c r="AE171" s="692"/>
      <c r="AF171" s="119"/>
      <c r="AG171" s="120"/>
      <c r="AL171" s="30" t="str">
        <f>IFERROR(INDEX('G-7 WaterC'' Data'!$AZ$3:$AZ$7,MATCH(C171,'G-7 WaterC'' Data'!$AY$3:$AY$7,0)),"")</f>
        <v/>
      </c>
    </row>
    <row r="172" spans="2:38" ht="15">
      <c r="B172" s="110">
        <v>161</v>
      </c>
      <c r="C172" s="501"/>
      <c r="D172" s="139"/>
      <c r="E172" s="362" t="str">
        <f>IF(C172="","",VLOOKUP(C172,'G-7 WaterC'' Data'!$B$2:$Z$9,2,FALSE))</f>
        <v/>
      </c>
      <c r="F172" s="363" t="str">
        <f>IFERROR(VLOOKUP(E172,'G-7 WaterC'' Data'!$C$4:$D$8,2,FALSE),"")</f>
        <v/>
      </c>
      <c r="G172" s="114"/>
      <c r="H172" s="363" t="str">
        <f>IFERROR(INDEX('G-7 WaterC'' Data'!$H$4:$L$8,MATCH(C172,'G-7 WaterC'' Data'!$B$4:$B$8,0),MATCH(G172,'G-7 WaterC'' Data'!$H$3:$L$3,0)),"")</f>
        <v/>
      </c>
      <c r="I172" s="54"/>
      <c r="J172" s="401" t="str">
        <f>IF(I172="","",IF(VLOOKUP(I172,'G-7 WaterC'' Data'!$AK$4:$AM$6,2,FALSE)=0,"Spatial Data Missing ⚠",VLOOKUP(I172,'G-7 WaterC'' Data'!$AK$4:$AM$6,2,FALSE)))</f>
        <v/>
      </c>
      <c r="K172" s="363" t="str">
        <f>IF(I172="","",IF(VLOOKUP(I172,'G-7 WaterC'' Data'!$AK$4:$AM$6,3,FALSE)=0,"Spatial Data Missing ⚠",VLOOKUP(I172,'G-7 WaterC'' Data'!$AK$4:$AM$6,3,FALSE)))</f>
        <v/>
      </c>
      <c r="L172" s="478" t="str">
        <f>IFERROR(INDEX('G-7 WaterC'' Data'!$O$3:$O$7,MATCH(G172,'G-7 WaterC'' Data'!$N$3:$N$7,0)),"")</f>
        <v/>
      </c>
      <c r="M172" s="55"/>
      <c r="N172" s="159"/>
      <c r="O172" s="370" t="str">
        <f t="shared" si="12"/>
        <v/>
      </c>
      <c r="P172" s="383" t="str">
        <f t="shared" si="13"/>
        <v/>
      </c>
      <c r="Q172" s="422" t="str">
        <f>IFERROR(IF(P172="Check Data ⚠","Check Data ⚠",VLOOKUP(P172,'G-4 Temporal multipliers'!$A$4:$C$37,3,FALSE)),"")</f>
        <v/>
      </c>
      <c r="R172" s="362" t="str">
        <f>IF(C172="","",VLOOKUP(C172,'G-7 WaterC'' Data'!$B$4:$G$8,4,FALSE))</f>
        <v/>
      </c>
      <c r="S172" s="370" t="str">
        <f t="shared" si="14"/>
        <v/>
      </c>
      <c r="T172" s="401" t="str">
        <f t="shared" si="15"/>
        <v/>
      </c>
      <c r="U172" s="363" t="str">
        <f>IF(C172="","",VLOOKUP(T172,'G-3 Multipliers'!$P$2:$Q$6,2,FALSE))</f>
        <v/>
      </c>
      <c r="V172" s="115"/>
      <c r="W172" s="363" t="str">
        <f>IF(V172="","",IF(VLOOKUP(V172,'G-7 WaterC'' Data'!$AA$4:$AB$7,2,FALSE)=0,"Spatial Data Missing ⚠",VLOOKUP(V172,'G-7 WaterC'' Data'!$AA$4:$AB$7,2,FALSE)))</f>
        <v/>
      </c>
      <c r="X172" s="60"/>
      <c r="Y172" s="363" t="str">
        <f>IF(X172="","",IF(VLOOKUP(X172,'G-7 WaterC'' Data'!$AD$4:$AE$14,2,FALSE)=0,"Enrcoachment Data Missing ⚠",VLOOKUP(X172,'G-7 WaterC'' Data'!$AD$4:$AE$14,2,FALSE)))</f>
        <v/>
      </c>
      <c r="Z172" s="115"/>
      <c r="AA172" s="363" t="str">
        <f>IF(Z172="","",IF(VLOOKUP(Z172,'G-7 WaterC'' Data'!$AO$4:$BO$7,2,FALSE)=0,"Spatial Data Missing ⚠",VLOOKUP(Z172,'G-7 WaterC'' Data'!$AO$4:$BO$7,2,FALSE)))</f>
        <v/>
      </c>
      <c r="AB172" s="405" t="str">
        <f t="shared" si="16"/>
        <v/>
      </c>
      <c r="AC172" s="405" t="str">
        <f t="shared" si="17"/>
        <v/>
      </c>
      <c r="AD172" s="117"/>
      <c r="AE172" s="692"/>
      <c r="AF172" s="119"/>
      <c r="AG172" s="120"/>
      <c r="AL172" s="30" t="str">
        <f>IFERROR(INDEX('G-7 WaterC'' Data'!$AZ$3:$AZ$7,MATCH(C172,'G-7 WaterC'' Data'!$AY$3:$AY$7,0)),"")</f>
        <v/>
      </c>
    </row>
    <row r="173" spans="2:38" ht="15">
      <c r="B173" s="110">
        <v>162</v>
      </c>
      <c r="C173" s="501"/>
      <c r="D173" s="139"/>
      <c r="E173" s="362" t="str">
        <f>IF(C173="","",VLOOKUP(C173,'G-7 WaterC'' Data'!$B$2:$Z$9,2,FALSE))</f>
        <v/>
      </c>
      <c r="F173" s="363" t="str">
        <f>IFERROR(VLOOKUP(E173,'G-7 WaterC'' Data'!$C$4:$D$8,2,FALSE),"")</f>
        <v/>
      </c>
      <c r="G173" s="114"/>
      <c r="H173" s="363" t="str">
        <f>IFERROR(INDEX('G-7 WaterC'' Data'!$H$4:$L$8,MATCH(C173,'G-7 WaterC'' Data'!$B$4:$B$8,0),MATCH(G173,'G-7 WaterC'' Data'!$H$3:$L$3,0)),"")</f>
        <v/>
      </c>
      <c r="I173" s="54"/>
      <c r="J173" s="401" t="str">
        <f>IF(I173="","",IF(VLOOKUP(I173,'G-7 WaterC'' Data'!$AK$4:$AM$6,2,FALSE)=0,"Spatial Data Missing ⚠",VLOOKUP(I173,'G-7 WaterC'' Data'!$AK$4:$AM$6,2,FALSE)))</f>
        <v/>
      </c>
      <c r="K173" s="363" t="str">
        <f>IF(I173="","",IF(VLOOKUP(I173,'G-7 WaterC'' Data'!$AK$4:$AM$6,3,FALSE)=0,"Spatial Data Missing ⚠",VLOOKUP(I173,'G-7 WaterC'' Data'!$AK$4:$AM$6,3,FALSE)))</f>
        <v/>
      </c>
      <c r="L173" s="478" t="str">
        <f>IFERROR(INDEX('G-7 WaterC'' Data'!$O$3:$O$7,MATCH(G173,'G-7 WaterC'' Data'!$N$3:$N$7,0)),"")</f>
        <v/>
      </c>
      <c r="M173" s="55"/>
      <c r="N173" s="159"/>
      <c r="O173" s="370" t="str">
        <f t="shared" si="12"/>
        <v/>
      </c>
      <c r="P173" s="383" t="str">
        <f t="shared" si="13"/>
        <v/>
      </c>
      <c r="Q173" s="422" t="str">
        <f>IFERROR(IF(P173="Check Data ⚠","Check Data ⚠",VLOOKUP(P173,'G-4 Temporal multipliers'!$A$4:$C$37,3,FALSE)),"")</f>
        <v/>
      </c>
      <c r="R173" s="362" t="str">
        <f>IF(C173="","",VLOOKUP(C173,'G-7 WaterC'' Data'!$B$4:$G$8,4,FALSE))</f>
        <v/>
      </c>
      <c r="S173" s="370" t="str">
        <f t="shared" si="14"/>
        <v/>
      </c>
      <c r="T173" s="401" t="str">
        <f t="shared" si="15"/>
        <v/>
      </c>
      <c r="U173" s="363" t="str">
        <f>IF(C173="","",VLOOKUP(T173,'G-3 Multipliers'!$P$2:$Q$6,2,FALSE))</f>
        <v/>
      </c>
      <c r="V173" s="115"/>
      <c r="W173" s="363" t="str">
        <f>IF(V173="","",IF(VLOOKUP(V173,'G-7 WaterC'' Data'!$AA$4:$AB$7,2,FALSE)=0,"Spatial Data Missing ⚠",VLOOKUP(V173,'G-7 WaterC'' Data'!$AA$4:$AB$7,2,FALSE)))</f>
        <v/>
      </c>
      <c r="X173" s="60"/>
      <c r="Y173" s="363" t="str">
        <f>IF(X173="","",IF(VLOOKUP(X173,'G-7 WaterC'' Data'!$AD$4:$AE$14,2,FALSE)=0,"Enrcoachment Data Missing ⚠",VLOOKUP(X173,'G-7 WaterC'' Data'!$AD$4:$AE$14,2,FALSE)))</f>
        <v/>
      </c>
      <c r="Z173" s="115"/>
      <c r="AA173" s="363" t="str">
        <f>IF(Z173="","",IF(VLOOKUP(Z173,'G-7 WaterC'' Data'!$AO$4:$BO$7,2,FALSE)=0,"Spatial Data Missing ⚠",VLOOKUP(Z173,'G-7 WaterC'' Data'!$AO$4:$BO$7,2,FALSE)))</f>
        <v/>
      </c>
      <c r="AB173" s="405" t="str">
        <f t="shared" si="16"/>
        <v/>
      </c>
      <c r="AC173" s="405" t="str">
        <f t="shared" si="17"/>
        <v/>
      </c>
      <c r="AD173" s="117"/>
      <c r="AE173" s="692"/>
      <c r="AF173" s="119"/>
      <c r="AG173" s="120"/>
      <c r="AL173" s="30" t="str">
        <f>IFERROR(INDEX('G-7 WaterC'' Data'!$AZ$3:$AZ$7,MATCH(C173,'G-7 WaterC'' Data'!$AY$3:$AY$7,0)),"")</f>
        <v/>
      </c>
    </row>
    <row r="174" spans="2:38" ht="15">
      <c r="B174" s="110">
        <v>163</v>
      </c>
      <c r="C174" s="501"/>
      <c r="D174" s="139"/>
      <c r="E174" s="362" t="str">
        <f>IF(C174="","",VLOOKUP(C174,'G-7 WaterC'' Data'!$B$2:$Z$9,2,FALSE))</f>
        <v/>
      </c>
      <c r="F174" s="363" t="str">
        <f>IFERROR(VLOOKUP(E174,'G-7 WaterC'' Data'!$C$4:$D$8,2,FALSE),"")</f>
        <v/>
      </c>
      <c r="G174" s="114"/>
      <c r="H174" s="363" t="str">
        <f>IFERROR(INDEX('G-7 WaterC'' Data'!$H$4:$L$8,MATCH(C174,'G-7 WaterC'' Data'!$B$4:$B$8,0),MATCH(G174,'G-7 WaterC'' Data'!$H$3:$L$3,0)),"")</f>
        <v/>
      </c>
      <c r="I174" s="54"/>
      <c r="J174" s="401" t="str">
        <f>IF(I174="","",IF(VLOOKUP(I174,'G-7 WaterC'' Data'!$AK$4:$AM$6,2,FALSE)=0,"Spatial Data Missing ⚠",VLOOKUP(I174,'G-7 WaterC'' Data'!$AK$4:$AM$6,2,FALSE)))</f>
        <v/>
      </c>
      <c r="K174" s="363" t="str">
        <f>IF(I174="","",IF(VLOOKUP(I174,'G-7 WaterC'' Data'!$AK$4:$AM$6,3,FALSE)=0,"Spatial Data Missing ⚠",VLOOKUP(I174,'G-7 WaterC'' Data'!$AK$4:$AM$6,3,FALSE)))</f>
        <v/>
      </c>
      <c r="L174" s="478" t="str">
        <f>IFERROR(INDEX('G-7 WaterC'' Data'!$O$3:$O$7,MATCH(G174,'G-7 WaterC'' Data'!$N$3:$N$7,0)),"")</f>
        <v/>
      </c>
      <c r="M174" s="55"/>
      <c r="N174" s="159"/>
      <c r="O174" s="370" t="str">
        <f t="shared" si="12"/>
        <v/>
      </c>
      <c r="P174" s="383" t="str">
        <f t="shared" si="13"/>
        <v/>
      </c>
      <c r="Q174" s="422" t="str">
        <f>IFERROR(IF(P174="Check Data ⚠","Check Data ⚠",VLOOKUP(P174,'G-4 Temporal multipliers'!$A$4:$C$37,3,FALSE)),"")</f>
        <v/>
      </c>
      <c r="R174" s="362" t="str">
        <f>IF(C174="","",VLOOKUP(C174,'G-7 WaterC'' Data'!$B$4:$G$8,4,FALSE))</f>
        <v/>
      </c>
      <c r="S174" s="370" t="str">
        <f t="shared" si="14"/>
        <v/>
      </c>
      <c r="T174" s="401" t="str">
        <f t="shared" si="15"/>
        <v/>
      </c>
      <c r="U174" s="363" t="str">
        <f>IF(C174="","",VLOOKUP(T174,'G-3 Multipliers'!$P$2:$Q$6,2,FALSE))</f>
        <v/>
      </c>
      <c r="V174" s="115"/>
      <c r="W174" s="363" t="str">
        <f>IF(V174="","",IF(VLOOKUP(V174,'G-7 WaterC'' Data'!$AA$4:$AB$7,2,FALSE)=0,"Spatial Data Missing ⚠",VLOOKUP(V174,'G-7 WaterC'' Data'!$AA$4:$AB$7,2,FALSE)))</f>
        <v/>
      </c>
      <c r="X174" s="60"/>
      <c r="Y174" s="363" t="str">
        <f>IF(X174="","",IF(VLOOKUP(X174,'G-7 WaterC'' Data'!$AD$4:$AE$14,2,FALSE)=0,"Enrcoachment Data Missing ⚠",VLOOKUP(X174,'G-7 WaterC'' Data'!$AD$4:$AE$14,2,FALSE)))</f>
        <v/>
      </c>
      <c r="Z174" s="115"/>
      <c r="AA174" s="363" t="str">
        <f>IF(Z174="","",IF(VLOOKUP(Z174,'G-7 WaterC'' Data'!$AO$4:$BO$7,2,FALSE)=0,"Spatial Data Missing ⚠",VLOOKUP(Z174,'G-7 WaterC'' Data'!$AO$4:$BO$7,2,FALSE)))</f>
        <v/>
      </c>
      <c r="AB174" s="405" t="str">
        <f t="shared" si="16"/>
        <v/>
      </c>
      <c r="AC174" s="405" t="str">
        <f t="shared" si="17"/>
        <v/>
      </c>
      <c r="AD174" s="117"/>
      <c r="AE174" s="692"/>
      <c r="AF174" s="119"/>
      <c r="AG174" s="120"/>
      <c r="AL174" s="30" t="str">
        <f>IFERROR(INDEX('G-7 WaterC'' Data'!$AZ$3:$AZ$7,MATCH(C174,'G-7 WaterC'' Data'!$AY$3:$AY$7,0)),"")</f>
        <v/>
      </c>
    </row>
    <row r="175" spans="2:38" ht="15">
      <c r="B175" s="110">
        <v>164</v>
      </c>
      <c r="C175" s="501"/>
      <c r="D175" s="139"/>
      <c r="E175" s="362" t="str">
        <f>IF(C175="","",VLOOKUP(C175,'G-7 WaterC'' Data'!$B$2:$Z$9,2,FALSE))</f>
        <v/>
      </c>
      <c r="F175" s="363" t="str">
        <f>IFERROR(VLOOKUP(E175,'G-7 WaterC'' Data'!$C$4:$D$8,2,FALSE),"")</f>
        <v/>
      </c>
      <c r="G175" s="114"/>
      <c r="H175" s="363" t="str">
        <f>IFERROR(INDEX('G-7 WaterC'' Data'!$H$4:$L$8,MATCH(C175,'G-7 WaterC'' Data'!$B$4:$B$8,0),MATCH(G175,'G-7 WaterC'' Data'!$H$3:$L$3,0)),"")</f>
        <v/>
      </c>
      <c r="I175" s="54"/>
      <c r="J175" s="401" t="str">
        <f>IF(I175="","",IF(VLOOKUP(I175,'G-7 WaterC'' Data'!$AK$4:$AM$6,2,FALSE)=0,"Spatial Data Missing ⚠",VLOOKUP(I175,'G-7 WaterC'' Data'!$AK$4:$AM$6,2,FALSE)))</f>
        <v/>
      </c>
      <c r="K175" s="363" t="str">
        <f>IF(I175="","",IF(VLOOKUP(I175,'G-7 WaterC'' Data'!$AK$4:$AM$6,3,FALSE)=0,"Spatial Data Missing ⚠",VLOOKUP(I175,'G-7 WaterC'' Data'!$AK$4:$AM$6,3,FALSE)))</f>
        <v/>
      </c>
      <c r="L175" s="478" t="str">
        <f>IFERROR(INDEX('G-7 WaterC'' Data'!$O$3:$O$7,MATCH(G175,'G-7 WaterC'' Data'!$N$3:$N$7,0)),"")</f>
        <v/>
      </c>
      <c r="M175" s="55"/>
      <c r="N175" s="159"/>
      <c r="O175" s="370" t="str">
        <f t="shared" si="12"/>
        <v/>
      </c>
      <c r="P175" s="383" t="str">
        <f t="shared" si="13"/>
        <v/>
      </c>
      <c r="Q175" s="422" t="str">
        <f>IFERROR(IF(P175="Check Data ⚠","Check Data ⚠",VLOOKUP(P175,'G-4 Temporal multipliers'!$A$4:$C$37,3,FALSE)),"")</f>
        <v/>
      </c>
      <c r="R175" s="362" t="str">
        <f>IF(C175="","",VLOOKUP(C175,'G-7 WaterC'' Data'!$B$4:$G$8,4,FALSE))</f>
        <v/>
      </c>
      <c r="S175" s="370" t="str">
        <f t="shared" si="14"/>
        <v/>
      </c>
      <c r="T175" s="401" t="str">
        <f t="shared" si="15"/>
        <v/>
      </c>
      <c r="U175" s="363" t="str">
        <f>IF(C175="","",VLOOKUP(T175,'G-3 Multipliers'!$P$2:$Q$6,2,FALSE))</f>
        <v/>
      </c>
      <c r="V175" s="115"/>
      <c r="W175" s="363" t="str">
        <f>IF(V175="","",IF(VLOOKUP(V175,'G-7 WaterC'' Data'!$AA$4:$AB$7,2,FALSE)=0,"Spatial Data Missing ⚠",VLOOKUP(V175,'G-7 WaterC'' Data'!$AA$4:$AB$7,2,FALSE)))</f>
        <v/>
      </c>
      <c r="X175" s="60"/>
      <c r="Y175" s="363" t="str">
        <f>IF(X175="","",IF(VLOOKUP(X175,'G-7 WaterC'' Data'!$AD$4:$AE$14,2,FALSE)=0,"Enrcoachment Data Missing ⚠",VLOOKUP(X175,'G-7 WaterC'' Data'!$AD$4:$AE$14,2,FALSE)))</f>
        <v/>
      </c>
      <c r="Z175" s="115"/>
      <c r="AA175" s="363" t="str">
        <f>IF(Z175="","",IF(VLOOKUP(Z175,'G-7 WaterC'' Data'!$AO$4:$BO$7,2,FALSE)=0,"Spatial Data Missing ⚠",VLOOKUP(Z175,'G-7 WaterC'' Data'!$AO$4:$BO$7,2,FALSE)))</f>
        <v/>
      </c>
      <c r="AB175" s="405" t="str">
        <f t="shared" si="16"/>
        <v/>
      </c>
      <c r="AC175" s="405" t="str">
        <f t="shared" si="17"/>
        <v/>
      </c>
      <c r="AD175" s="117"/>
      <c r="AE175" s="692"/>
      <c r="AF175" s="119"/>
      <c r="AG175" s="120"/>
      <c r="AL175" s="30" t="str">
        <f>IFERROR(INDEX('G-7 WaterC'' Data'!$AZ$3:$AZ$7,MATCH(C175,'G-7 WaterC'' Data'!$AY$3:$AY$7,0)),"")</f>
        <v/>
      </c>
    </row>
    <row r="176" spans="2:38" ht="15">
      <c r="B176" s="110">
        <v>165</v>
      </c>
      <c r="C176" s="501"/>
      <c r="D176" s="139"/>
      <c r="E176" s="362" t="str">
        <f>IF(C176="","",VLOOKUP(C176,'G-7 WaterC'' Data'!$B$2:$Z$9,2,FALSE))</f>
        <v/>
      </c>
      <c r="F176" s="363" t="str">
        <f>IFERROR(VLOOKUP(E176,'G-7 WaterC'' Data'!$C$4:$D$8,2,FALSE),"")</f>
        <v/>
      </c>
      <c r="G176" s="114"/>
      <c r="H176" s="363" t="str">
        <f>IFERROR(INDEX('G-7 WaterC'' Data'!$H$4:$L$8,MATCH(C176,'G-7 WaterC'' Data'!$B$4:$B$8,0),MATCH(G176,'G-7 WaterC'' Data'!$H$3:$L$3,0)),"")</f>
        <v/>
      </c>
      <c r="I176" s="54"/>
      <c r="J176" s="401" t="str">
        <f>IF(I176="","",IF(VLOOKUP(I176,'G-7 WaterC'' Data'!$AK$4:$AM$6,2,FALSE)=0,"Spatial Data Missing ⚠",VLOOKUP(I176,'G-7 WaterC'' Data'!$AK$4:$AM$6,2,FALSE)))</f>
        <v/>
      </c>
      <c r="K176" s="363" t="str">
        <f>IF(I176="","",IF(VLOOKUP(I176,'G-7 WaterC'' Data'!$AK$4:$AM$6,3,FALSE)=0,"Spatial Data Missing ⚠",VLOOKUP(I176,'G-7 WaterC'' Data'!$AK$4:$AM$6,3,FALSE)))</f>
        <v/>
      </c>
      <c r="L176" s="478" t="str">
        <f>IFERROR(INDEX('G-7 WaterC'' Data'!$O$3:$O$7,MATCH(G176,'G-7 WaterC'' Data'!$N$3:$N$7,0)),"")</f>
        <v/>
      </c>
      <c r="M176" s="55"/>
      <c r="N176" s="159"/>
      <c r="O176" s="370" t="str">
        <f t="shared" si="12"/>
        <v/>
      </c>
      <c r="P176" s="383" t="str">
        <f t="shared" si="13"/>
        <v/>
      </c>
      <c r="Q176" s="422" t="str">
        <f>IFERROR(IF(P176="Check Data ⚠","Check Data ⚠",VLOOKUP(P176,'G-4 Temporal multipliers'!$A$4:$C$37,3,FALSE)),"")</f>
        <v/>
      </c>
      <c r="R176" s="362" t="str">
        <f>IF(C176="","",VLOOKUP(C176,'G-7 WaterC'' Data'!$B$4:$G$8,4,FALSE))</f>
        <v/>
      </c>
      <c r="S176" s="370" t="str">
        <f t="shared" si="14"/>
        <v/>
      </c>
      <c r="T176" s="401" t="str">
        <f t="shared" si="15"/>
        <v/>
      </c>
      <c r="U176" s="363" t="str">
        <f>IF(C176="","",VLOOKUP(T176,'G-3 Multipliers'!$P$2:$Q$6,2,FALSE))</f>
        <v/>
      </c>
      <c r="V176" s="115"/>
      <c r="W176" s="363" t="str">
        <f>IF(V176="","",IF(VLOOKUP(V176,'G-7 WaterC'' Data'!$AA$4:$AB$7,2,FALSE)=0,"Spatial Data Missing ⚠",VLOOKUP(V176,'G-7 WaterC'' Data'!$AA$4:$AB$7,2,FALSE)))</f>
        <v/>
      </c>
      <c r="X176" s="60"/>
      <c r="Y176" s="363" t="str">
        <f>IF(X176="","",IF(VLOOKUP(X176,'G-7 WaterC'' Data'!$AD$4:$AE$14,2,FALSE)=0,"Enrcoachment Data Missing ⚠",VLOOKUP(X176,'G-7 WaterC'' Data'!$AD$4:$AE$14,2,FALSE)))</f>
        <v/>
      </c>
      <c r="Z176" s="115"/>
      <c r="AA176" s="363" t="str">
        <f>IF(Z176="","",IF(VLOOKUP(Z176,'G-7 WaterC'' Data'!$AO$4:$BO$7,2,FALSE)=0,"Spatial Data Missing ⚠",VLOOKUP(Z176,'G-7 WaterC'' Data'!$AO$4:$BO$7,2,FALSE)))</f>
        <v/>
      </c>
      <c r="AB176" s="405" t="str">
        <f t="shared" si="16"/>
        <v/>
      </c>
      <c r="AC176" s="405" t="str">
        <f t="shared" si="17"/>
        <v/>
      </c>
      <c r="AD176" s="117"/>
      <c r="AE176" s="692"/>
      <c r="AF176" s="119"/>
      <c r="AG176" s="120"/>
      <c r="AL176" s="30" t="str">
        <f>IFERROR(INDEX('G-7 WaterC'' Data'!$AZ$3:$AZ$7,MATCH(C176,'G-7 WaterC'' Data'!$AY$3:$AY$7,0)),"")</f>
        <v/>
      </c>
    </row>
    <row r="177" spans="2:38" ht="15">
      <c r="B177" s="110">
        <v>166</v>
      </c>
      <c r="C177" s="501"/>
      <c r="D177" s="139"/>
      <c r="E177" s="362" t="str">
        <f>IF(C177="","",VLOOKUP(C177,'G-7 WaterC'' Data'!$B$2:$Z$9,2,FALSE))</f>
        <v/>
      </c>
      <c r="F177" s="363" t="str">
        <f>IFERROR(VLOOKUP(E177,'G-7 WaterC'' Data'!$C$4:$D$8,2,FALSE),"")</f>
        <v/>
      </c>
      <c r="G177" s="114"/>
      <c r="H177" s="363" t="str">
        <f>IFERROR(INDEX('G-7 WaterC'' Data'!$H$4:$L$8,MATCH(C177,'G-7 WaterC'' Data'!$B$4:$B$8,0),MATCH(G177,'G-7 WaterC'' Data'!$H$3:$L$3,0)),"")</f>
        <v/>
      </c>
      <c r="I177" s="54"/>
      <c r="J177" s="401" t="str">
        <f>IF(I177="","",IF(VLOOKUP(I177,'G-7 WaterC'' Data'!$AK$4:$AM$6,2,FALSE)=0,"Spatial Data Missing ⚠",VLOOKUP(I177,'G-7 WaterC'' Data'!$AK$4:$AM$6,2,FALSE)))</f>
        <v/>
      </c>
      <c r="K177" s="363" t="str">
        <f>IF(I177="","",IF(VLOOKUP(I177,'G-7 WaterC'' Data'!$AK$4:$AM$6,3,FALSE)=0,"Spatial Data Missing ⚠",VLOOKUP(I177,'G-7 WaterC'' Data'!$AK$4:$AM$6,3,FALSE)))</f>
        <v/>
      </c>
      <c r="L177" s="478" t="str">
        <f>IFERROR(INDEX('G-7 WaterC'' Data'!$O$3:$O$7,MATCH(G177,'G-7 WaterC'' Data'!$N$3:$N$7,0)),"")</f>
        <v/>
      </c>
      <c r="M177" s="55"/>
      <c r="N177" s="159"/>
      <c r="O177" s="370" t="str">
        <f t="shared" si="12"/>
        <v/>
      </c>
      <c r="P177" s="383" t="str">
        <f t="shared" si="13"/>
        <v/>
      </c>
      <c r="Q177" s="422" t="str">
        <f>IFERROR(IF(P177="Check Data ⚠","Check Data ⚠",VLOOKUP(P177,'G-4 Temporal multipliers'!$A$4:$C$37,3,FALSE)),"")</f>
        <v/>
      </c>
      <c r="R177" s="362" t="str">
        <f>IF(C177="","",VLOOKUP(C177,'G-7 WaterC'' Data'!$B$4:$G$8,4,FALSE))</f>
        <v/>
      </c>
      <c r="S177" s="370" t="str">
        <f t="shared" si="14"/>
        <v/>
      </c>
      <c r="T177" s="401" t="str">
        <f t="shared" si="15"/>
        <v/>
      </c>
      <c r="U177" s="363" t="str">
        <f>IF(C177="","",VLOOKUP(T177,'G-3 Multipliers'!$P$2:$Q$6,2,FALSE))</f>
        <v/>
      </c>
      <c r="V177" s="115"/>
      <c r="W177" s="363" t="str">
        <f>IF(V177="","",IF(VLOOKUP(V177,'G-7 WaterC'' Data'!$AA$4:$AB$7,2,FALSE)=0,"Spatial Data Missing ⚠",VLOOKUP(V177,'G-7 WaterC'' Data'!$AA$4:$AB$7,2,FALSE)))</f>
        <v/>
      </c>
      <c r="X177" s="60"/>
      <c r="Y177" s="363" t="str">
        <f>IF(X177="","",IF(VLOOKUP(X177,'G-7 WaterC'' Data'!$AD$4:$AE$14,2,FALSE)=0,"Enrcoachment Data Missing ⚠",VLOOKUP(X177,'G-7 WaterC'' Data'!$AD$4:$AE$14,2,FALSE)))</f>
        <v/>
      </c>
      <c r="Z177" s="115"/>
      <c r="AA177" s="363" t="str">
        <f>IF(Z177="","",IF(VLOOKUP(Z177,'G-7 WaterC'' Data'!$AO$4:$BO$7,2,FALSE)=0,"Spatial Data Missing ⚠",VLOOKUP(Z177,'G-7 WaterC'' Data'!$AO$4:$BO$7,2,FALSE)))</f>
        <v/>
      </c>
      <c r="AB177" s="405" t="str">
        <f t="shared" si="16"/>
        <v/>
      </c>
      <c r="AC177" s="405" t="str">
        <f t="shared" si="17"/>
        <v/>
      </c>
      <c r="AD177" s="117"/>
      <c r="AE177" s="692"/>
      <c r="AF177" s="119"/>
      <c r="AG177" s="120"/>
      <c r="AL177" s="30" t="str">
        <f>IFERROR(INDEX('G-7 WaterC'' Data'!$AZ$3:$AZ$7,MATCH(C177,'G-7 WaterC'' Data'!$AY$3:$AY$7,0)),"")</f>
        <v/>
      </c>
    </row>
    <row r="178" spans="2:38" ht="15">
      <c r="B178" s="110">
        <v>167</v>
      </c>
      <c r="C178" s="501"/>
      <c r="D178" s="139"/>
      <c r="E178" s="362" t="str">
        <f>IF(C178="","",VLOOKUP(C178,'G-7 WaterC'' Data'!$B$2:$Z$9,2,FALSE))</f>
        <v/>
      </c>
      <c r="F178" s="363" t="str">
        <f>IFERROR(VLOOKUP(E178,'G-7 WaterC'' Data'!$C$4:$D$8,2,FALSE),"")</f>
        <v/>
      </c>
      <c r="G178" s="114"/>
      <c r="H178" s="363" t="str">
        <f>IFERROR(INDEX('G-7 WaterC'' Data'!$H$4:$L$8,MATCH(C178,'G-7 WaterC'' Data'!$B$4:$B$8,0),MATCH(G178,'G-7 WaterC'' Data'!$H$3:$L$3,0)),"")</f>
        <v/>
      </c>
      <c r="I178" s="54"/>
      <c r="J178" s="401" t="str">
        <f>IF(I178="","",IF(VLOOKUP(I178,'G-7 WaterC'' Data'!$AK$4:$AM$6,2,FALSE)=0,"Spatial Data Missing ⚠",VLOOKUP(I178,'G-7 WaterC'' Data'!$AK$4:$AM$6,2,FALSE)))</f>
        <v/>
      </c>
      <c r="K178" s="363" t="str">
        <f>IF(I178="","",IF(VLOOKUP(I178,'G-7 WaterC'' Data'!$AK$4:$AM$6,3,FALSE)=0,"Spatial Data Missing ⚠",VLOOKUP(I178,'G-7 WaterC'' Data'!$AK$4:$AM$6,3,FALSE)))</f>
        <v/>
      </c>
      <c r="L178" s="478" t="str">
        <f>IFERROR(INDEX('G-7 WaterC'' Data'!$O$3:$O$7,MATCH(G178,'G-7 WaterC'' Data'!$N$3:$N$7,0)),"")</f>
        <v/>
      </c>
      <c r="M178" s="55"/>
      <c r="N178" s="159"/>
      <c r="O178" s="370" t="str">
        <f t="shared" si="12"/>
        <v/>
      </c>
      <c r="P178" s="383" t="str">
        <f t="shared" si="13"/>
        <v/>
      </c>
      <c r="Q178" s="422" t="str">
        <f>IFERROR(IF(P178="Check Data ⚠","Check Data ⚠",VLOOKUP(P178,'G-4 Temporal multipliers'!$A$4:$C$37,3,FALSE)),"")</f>
        <v/>
      </c>
      <c r="R178" s="362" t="str">
        <f>IF(C178="","",VLOOKUP(C178,'G-7 WaterC'' Data'!$B$4:$G$8,4,FALSE))</f>
        <v/>
      </c>
      <c r="S178" s="370" t="str">
        <f t="shared" si="14"/>
        <v/>
      </c>
      <c r="T178" s="401" t="str">
        <f t="shared" si="15"/>
        <v/>
      </c>
      <c r="U178" s="363" t="str">
        <f>IF(C178="","",VLOOKUP(T178,'G-3 Multipliers'!$P$2:$Q$6,2,FALSE))</f>
        <v/>
      </c>
      <c r="V178" s="115"/>
      <c r="W178" s="363" t="str">
        <f>IF(V178="","",IF(VLOOKUP(V178,'G-7 WaterC'' Data'!$AA$4:$AB$7,2,FALSE)=0,"Spatial Data Missing ⚠",VLOOKUP(V178,'G-7 WaterC'' Data'!$AA$4:$AB$7,2,FALSE)))</f>
        <v/>
      </c>
      <c r="X178" s="60"/>
      <c r="Y178" s="363" t="str">
        <f>IF(X178="","",IF(VLOOKUP(X178,'G-7 WaterC'' Data'!$AD$4:$AE$14,2,FALSE)=0,"Enrcoachment Data Missing ⚠",VLOOKUP(X178,'G-7 WaterC'' Data'!$AD$4:$AE$14,2,FALSE)))</f>
        <v/>
      </c>
      <c r="Z178" s="115"/>
      <c r="AA178" s="363" t="str">
        <f>IF(Z178="","",IF(VLOOKUP(Z178,'G-7 WaterC'' Data'!$AO$4:$BO$7,2,FALSE)=0,"Spatial Data Missing ⚠",VLOOKUP(Z178,'G-7 WaterC'' Data'!$AO$4:$BO$7,2,FALSE)))</f>
        <v/>
      </c>
      <c r="AB178" s="405" t="str">
        <f t="shared" si="16"/>
        <v/>
      </c>
      <c r="AC178" s="405" t="str">
        <f t="shared" si="17"/>
        <v/>
      </c>
      <c r="AD178" s="117"/>
      <c r="AE178" s="692"/>
      <c r="AF178" s="119"/>
      <c r="AG178" s="120"/>
      <c r="AL178" s="30" t="str">
        <f>IFERROR(INDEX('G-7 WaterC'' Data'!$AZ$3:$AZ$7,MATCH(C178,'G-7 WaterC'' Data'!$AY$3:$AY$7,0)),"")</f>
        <v/>
      </c>
    </row>
    <row r="179" spans="2:38" ht="15">
      <c r="B179" s="110">
        <v>168</v>
      </c>
      <c r="C179" s="501"/>
      <c r="D179" s="139"/>
      <c r="E179" s="362" t="str">
        <f>IF(C179="","",VLOOKUP(C179,'G-7 WaterC'' Data'!$B$2:$Z$9,2,FALSE))</f>
        <v/>
      </c>
      <c r="F179" s="363" t="str">
        <f>IFERROR(VLOOKUP(E179,'G-7 WaterC'' Data'!$C$4:$D$8,2,FALSE),"")</f>
        <v/>
      </c>
      <c r="G179" s="114"/>
      <c r="H179" s="363" t="str">
        <f>IFERROR(INDEX('G-7 WaterC'' Data'!$H$4:$L$8,MATCH(C179,'G-7 WaterC'' Data'!$B$4:$B$8,0),MATCH(G179,'G-7 WaterC'' Data'!$H$3:$L$3,0)),"")</f>
        <v/>
      </c>
      <c r="I179" s="54"/>
      <c r="J179" s="401" t="str">
        <f>IF(I179="","",IF(VLOOKUP(I179,'G-7 WaterC'' Data'!$AK$4:$AM$6,2,FALSE)=0,"Spatial Data Missing ⚠",VLOOKUP(I179,'G-7 WaterC'' Data'!$AK$4:$AM$6,2,FALSE)))</f>
        <v/>
      </c>
      <c r="K179" s="363" t="str">
        <f>IF(I179="","",IF(VLOOKUP(I179,'G-7 WaterC'' Data'!$AK$4:$AM$6,3,FALSE)=0,"Spatial Data Missing ⚠",VLOOKUP(I179,'G-7 WaterC'' Data'!$AK$4:$AM$6,3,FALSE)))</f>
        <v/>
      </c>
      <c r="L179" s="478" t="str">
        <f>IFERROR(INDEX('G-7 WaterC'' Data'!$O$3:$O$7,MATCH(G179,'G-7 WaterC'' Data'!$N$3:$N$7,0)),"")</f>
        <v/>
      </c>
      <c r="M179" s="55"/>
      <c r="N179" s="159"/>
      <c r="O179" s="370" t="str">
        <f t="shared" si="12"/>
        <v/>
      </c>
      <c r="P179" s="383" t="str">
        <f t="shared" si="13"/>
        <v/>
      </c>
      <c r="Q179" s="422" t="str">
        <f>IFERROR(IF(P179="Check Data ⚠","Check Data ⚠",VLOOKUP(P179,'G-4 Temporal multipliers'!$A$4:$C$37,3,FALSE)),"")</f>
        <v/>
      </c>
      <c r="R179" s="362" t="str">
        <f>IF(C179="","",VLOOKUP(C179,'G-7 WaterC'' Data'!$B$4:$G$8,4,FALSE))</f>
        <v/>
      </c>
      <c r="S179" s="370" t="str">
        <f t="shared" si="14"/>
        <v/>
      </c>
      <c r="T179" s="401" t="str">
        <f t="shared" si="15"/>
        <v/>
      </c>
      <c r="U179" s="363" t="str">
        <f>IF(C179="","",VLOOKUP(T179,'G-3 Multipliers'!$P$2:$Q$6,2,FALSE))</f>
        <v/>
      </c>
      <c r="V179" s="115"/>
      <c r="W179" s="363" t="str">
        <f>IF(V179="","",IF(VLOOKUP(V179,'G-7 WaterC'' Data'!$AA$4:$AB$7,2,FALSE)=0,"Spatial Data Missing ⚠",VLOOKUP(V179,'G-7 WaterC'' Data'!$AA$4:$AB$7,2,FALSE)))</f>
        <v/>
      </c>
      <c r="X179" s="60"/>
      <c r="Y179" s="363" t="str">
        <f>IF(X179="","",IF(VLOOKUP(X179,'G-7 WaterC'' Data'!$AD$4:$AE$14,2,FALSE)=0,"Enrcoachment Data Missing ⚠",VLOOKUP(X179,'G-7 WaterC'' Data'!$AD$4:$AE$14,2,FALSE)))</f>
        <v/>
      </c>
      <c r="Z179" s="115"/>
      <c r="AA179" s="363" t="str">
        <f>IF(Z179="","",IF(VLOOKUP(Z179,'G-7 WaterC'' Data'!$AO$4:$BO$7,2,FALSE)=0,"Spatial Data Missing ⚠",VLOOKUP(Z179,'G-7 WaterC'' Data'!$AO$4:$BO$7,2,FALSE)))</f>
        <v/>
      </c>
      <c r="AB179" s="405" t="str">
        <f t="shared" si="16"/>
        <v/>
      </c>
      <c r="AC179" s="405" t="str">
        <f t="shared" si="17"/>
        <v/>
      </c>
      <c r="AD179" s="117"/>
      <c r="AE179" s="692"/>
      <c r="AF179" s="119"/>
      <c r="AG179" s="120"/>
      <c r="AL179" s="30" t="str">
        <f>IFERROR(INDEX('G-7 WaterC'' Data'!$AZ$3:$AZ$7,MATCH(C179,'G-7 WaterC'' Data'!$AY$3:$AY$7,0)),"")</f>
        <v/>
      </c>
    </row>
    <row r="180" spans="2:38" ht="15">
      <c r="B180" s="110">
        <v>169</v>
      </c>
      <c r="C180" s="501"/>
      <c r="D180" s="139"/>
      <c r="E180" s="362" t="str">
        <f>IF(C180="","",VLOOKUP(C180,'G-7 WaterC'' Data'!$B$2:$Z$9,2,FALSE))</f>
        <v/>
      </c>
      <c r="F180" s="363" t="str">
        <f>IFERROR(VLOOKUP(E180,'G-7 WaterC'' Data'!$C$4:$D$8,2,FALSE),"")</f>
        <v/>
      </c>
      <c r="G180" s="114"/>
      <c r="H180" s="363" t="str">
        <f>IFERROR(INDEX('G-7 WaterC'' Data'!$H$4:$L$8,MATCH(C180,'G-7 WaterC'' Data'!$B$4:$B$8,0),MATCH(G180,'G-7 WaterC'' Data'!$H$3:$L$3,0)),"")</f>
        <v/>
      </c>
      <c r="I180" s="54"/>
      <c r="J180" s="401" t="str">
        <f>IF(I180="","",IF(VLOOKUP(I180,'G-7 WaterC'' Data'!$AK$4:$AM$6,2,FALSE)=0,"Spatial Data Missing ⚠",VLOOKUP(I180,'G-7 WaterC'' Data'!$AK$4:$AM$6,2,FALSE)))</f>
        <v/>
      </c>
      <c r="K180" s="363" t="str">
        <f>IF(I180="","",IF(VLOOKUP(I180,'G-7 WaterC'' Data'!$AK$4:$AM$6,3,FALSE)=0,"Spatial Data Missing ⚠",VLOOKUP(I180,'G-7 WaterC'' Data'!$AK$4:$AM$6,3,FALSE)))</f>
        <v/>
      </c>
      <c r="L180" s="478" t="str">
        <f>IFERROR(INDEX('G-7 WaterC'' Data'!$O$3:$O$7,MATCH(G180,'G-7 WaterC'' Data'!$N$3:$N$7,0)),"")</f>
        <v/>
      </c>
      <c r="M180" s="55"/>
      <c r="N180" s="159"/>
      <c r="O180" s="370" t="str">
        <f t="shared" si="12"/>
        <v/>
      </c>
      <c r="P180" s="383" t="str">
        <f t="shared" si="13"/>
        <v/>
      </c>
      <c r="Q180" s="422" t="str">
        <f>IFERROR(IF(P180="Check Data ⚠","Check Data ⚠",VLOOKUP(P180,'G-4 Temporal multipliers'!$A$4:$C$37,3,FALSE)),"")</f>
        <v/>
      </c>
      <c r="R180" s="362" t="str">
        <f>IF(C180="","",VLOOKUP(C180,'G-7 WaterC'' Data'!$B$4:$G$8,4,FALSE))</f>
        <v/>
      </c>
      <c r="S180" s="370" t="str">
        <f t="shared" si="14"/>
        <v/>
      </c>
      <c r="T180" s="401" t="str">
        <f t="shared" si="15"/>
        <v/>
      </c>
      <c r="U180" s="363" t="str">
        <f>IF(C180="","",VLOOKUP(T180,'G-3 Multipliers'!$P$2:$Q$6,2,FALSE))</f>
        <v/>
      </c>
      <c r="V180" s="115"/>
      <c r="W180" s="363" t="str">
        <f>IF(V180="","",IF(VLOOKUP(V180,'G-7 WaterC'' Data'!$AA$4:$AB$7,2,FALSE)=0,"Spatial Data Missing ⚠",VLOOKUP(V180,'G-7 WaterC'' Data'!$AA$4:$AB$7,2,FALSE)))</f>
        <v/>
      </c>
      <c r="X180" s="60"/>
      <c r="Y180" s="363" t="str">
        <f>IF(X180="","",IF(VLOOKUP(X180,'G-7 WaterC'' Data'!$AD$4:$AE$14,2,FALSE)=0,"Enrcoachment Data Missing ⚠",VLOOKUP(X180,'G-7 WaterC'' Data'!$AD$4:$AE$14,2,FALSE)))</f>
        <v/>
      </c>
      <c r="Z180" s="115"/>
      <c r="AA180" s="363" t="str">
        <f>IF(Z180="","",IF(VLOOKUP(Z180,'G-7 WaterC'' Data'!$AO$4:$BO$7,2,FALSE)=0,"Spatial Data Missing ⚠",VLOOKUP(Z180,'G-7 WaterC'' Data'!$AO$4:$BO$7,2,FALSE)))</f>
        <v/>
      </c>
      <c r="AB180" s="405" t="str">
        <f t="shared" si="16"/>
        <v/>
      </c>
      <c r="AC180" s="405" t="str">
        <f t="shared" si="17"/>
        <v/>
      </c>
      <c r="AD180" s="117"/>
      <c r="AE180" s="692"/>
      <c r="AF180" s="119"/>
      <c r="AG180" s="120"/>
      <c r="AL180" s="30" t="str">
        <f>IFERROR(INDEX('G-7 WaterC'' Data'!$AZ$3:$AZ$7,MATCH(C180,'G-7 WaterC'' Data'!$AY$3:$AY$7,0)),"")</f>
        <v/>
      </c>
    </row>
    <row r="181" spans="2:38" ht="15">
      <c r="B181" s="110">
        <v>170</v>
      </c>
      <c r="C181" s="501"/>
      <c r="D181" s="139"/>
      <c r="E181" s="362" t="str">
        <f>IF(C181="","",VLOOKUP(C181,'G-7 WaterC'' Data'!$B$2:$Z$9,2,FALSE))</f>
        <v/>
      </c>
      <c r="F181" s="363" t="str">
        <f>IFERROR(VLOOKUP(E181,'G-7 WaterC'' Data'!$C$4:$D$8,2,FALSE),"")</f>
        <v/>
      </c>
      <c r="G181" s="114"/>
      <c r="H181" s="363" t="str">
        <f>IFERROR(INDEX('G-7 WaterC'' Data'!$H$4:$L$8,MATCH(C181,'G-7 WaterC'' Data'!$B$4:$B$8,0),MATCH(G181,'G-7 WaterC'' Data'!$H$3:$L$3,0)),"")</f>
        <v/>
      </c>
      <c r="I181" s="54"/>
      <c r="J181" s="401" t="str">
        <f>IF(I181="","",IF(VLOOKUP(I181,'G-7 WaterC'' Data'!$AK$4:$AM$6,2,FALSE)=0,"Spatial Data Missing ⚠",VLOOKUP(I181,'G-7 WaterC'' Data'!$AK$4:$AM$6,2,FALSE)))</f>
        <v/>
      </c>
      <c r="K181" s="363" t="str">
        <f>IF(I181="","",IF(VLOOKUP(I181,'G-7 WaterC'' Data'!$AK$4:$AM$6,3,FALSE)=0,"Spatial Data Missing ⚠",VLOOKUP(I181,'G-7 WaterC'' Data'!$AK$4:$AM$6,3,FALSE)))</f>
        <v/>
      </c>
      <c r="L181" s="478" t="str">
        <f>IFERROR(INDEX('G-7 WaterC'' Data'!$O$3:$O$7,MATCH(G181,'G-7 WaterC'' Data'!$N$3:$N$7,0)),"")</f>
        <v/>
      </c>
      <c r="M181" s="55"/>
      <c r="N181" s="159"/>
      <c r="O181" s="370" t="str">
        <f t="shared" si="12"/>
        <v/>
      </c>
      <c r="P181" s="383" t="str">
        <f t="shared" si="13"/>
        <v/>
      </c>
      <c r="Q181" s="422" t="str">
        <f>IFERROR(IF(P181="Check Data ⚠","Check Data ⚠",VLOOKUP(P181,'G-4 Temporal multipliers'!$A$4:$C$37,3,FALSE)),"")</f>
        <v/>
      </c>
      <c r="R181" s="362" t="str">
        <f>IF(C181="","",VLOOKUP(C181,'G-7 WaterC'' Data'!$B$4:$G$8,4,FALSE))</f>
        <v/>
      </c>
      <c r="S181" s="370" t="str">
        <f t="shared" si="14"/>
        <v/>
      </c>
      <c r="T181" s="401" t="str">
        <f t="shared" si="15"/>
        <v/>
      </c>
      <c r="U181" s="363" t="str">
        <f>IF(C181="","",VLOOKUP(T181,'G-3 Multipliers'!$P$2:$Q$6,2,FALSE))</f>
        <v/>
      </c>
      <c r="V181" s="115"/>
      <c r="W181" s="363" t="str">
        <f>IF(V181="","",IF(VLOOKUP(V181,'G-7 WaterC'' Data'!$AA$4:$AB$7,2,FALSE)=0,"Spatial Data Missing ⚠",VLOOKUP(V181,'G-7 WaterC'' Data'!$AA$4:$AB$7,2,FALSE)))</f>
        <v/>
      </c>
      <c r="X181" s="60"/>
      <c r="Y181" s="363" t="str">
        <f>IF(X181="","",IF(VLOOKUP(X181,'G-7 WaterC'' Data'!$AD$4:$AE$14,2,FALSE)=0,"Enrcoachment Data Missing ⚠",VLOOKUP(X181,'G-7 WaterC'' Data'!$AD$4:$AE$14,2,FALSE)))</f>
        <v/>
      </c>
      <c r="Z181" s="115"/>
      <c r="AA181" s="363" t="str">
        <f>IF(Z181="","",IF(VLOOKUP(Z181,'G-7 WaterC'' Data'!$AO$4:$BO$7,2,FALSE)=0,"Spatial Data Missing ⚠",VLOOKUP(Z181,'G-7 WaterC'' Data'!$AO$4:$BO$7,2,FALSE)))</f>
        <v/>
      </c>
      <c r="AB181" s="405" t="str">
        <f t="shared" si="16"/>
        <v/>
      </c>
      <c r="AC181" s="405" t="str">
        <f t="shared" si="17"/>
        <v/>
      </c>
      <c r="AD181" s="117"/>
      <c r="AE181" s="692"/>
      <c r="AF181" s="119"/>
      <c r="AG181" s="120"/>
      <c r="AL181" s="30" t="str">
        <f>IFERROR(INDEX('G-7 WaterC'' Data'!$AZ$3:$AZ$7,MATCH(C181,'G-7 WaterC'' Data'!$AY$3:$AY$7,0)),"")</f>
        <v/>
      </c>
    </row>
    <row r="182" spans="2:38" ht="15">
      <c r="B182" s="110">
        <v>171</v>
      </c>
      <c r="C182" s="501"/>
      <c r="D182" s="139"/>
      <c r="E182" s="362" t="str">
        <f>IF(C182="","",VLOOKUP(C182,'G-7 WaterC'' Data'!$B$2:$Z$9,2,FALSE))</f>
        <v/>
      </c>
      <c r="F182" s="363" t="str">
        <f>IFERROR(VLOOKUP(E182,'G-7 WaterC'' Data'!$C$4:$D$8,2,FALSE),"")</f>
        <v/>
      </c>
      <c r="G182" s="114"/>
      <c r="H182" s="363" t="str">
        <f>IFERROR(INDEX('G-7 WaterC'' Data'!$H$4:$L$8,MATCH(C182,'G-7 WaterC'' Data'!$B$4:$B$8,0),MATCH(G182,'G-7 WaterC'' Data'!$H$3:$L$3,0)),"")</f>
        <v/>
      </c>
      <c r="I182" s="54"/>
      <c r="J182" s="401" t="str">
        <f>IF(I182="","",IF(VLOOKUP(I182,'G-7 WaterC'' Data'!$AK$4:$AM$6,2,FALSE)=0,"Spatial Data Missing ⚠",VLOOKUP(I182,'G-7 WaterC'' Data'!$AK$4:$AM$6,2,FALSE)))</f>
        <v/>
      </c>
      <c r="K182" s="363" t="str">
        <f>IF(I182="","",IF(VLOOKUP(I182,'G-7 WaterC'' Data'!$AK$4:$AM$6,3,FALSE)=0,"Spatial Data Missing ⚠",VLOOKUP(I182,'G-7 WaterC'' Data'!$AK$4:$AM$6,3,FALSE)))</f>
        <v/>
      </c>
      <c r="L182" s="478" t="str">
        <f>IFERROR(INDEX('G-7 WaterC'' Data'!$O$3:$O$7,MATCH(G182,'G-7 WaterC'' Data'!$N$3:$N$7,0)),"")</f>
        <v/>
      </c>
      <c r="M182" s="55"/>
      <c r="N182" s="159"/>
      <c r="O182" s="370" t="str">
        <f t="shared" si="12"/>
        <v/>
      </c>
      <c r="P182" s="383" t="str">
        <f t="shared" si="13"/>
        <v/>
      </c>
      <c r="Q182" s="422" t="str">
        <f>IFERROR(IF(P182="Check Data ⚠","Check Data ⚠",VLOOKUP(P182,'G-4 Temporal multipliers'!$A$4:$C$37,3,FALSE)),"")</f>
        <v/>
      </c>
      <c r="R182" s="362" t="str">
        <f>IF(C182="","",VLOOKUP(C182,'G-7 WaterC'' Data'!$B$4:$G$8,4,FALSE))</f>
        <v/>
      </c>
      <c r="S182" s="370" t="str">
        <f t="shared" si="14"/>
        <v/>
      </c>
      <c r="T182" s="401" t="str">
        <f t="shared" si="15"/>
        <v/>
      </c>
      <c r="U182" s="363" t="str">
        <f>IF(C182="","",VLOOKUP(T182,'G-3 Multipliers'!$P$2:$Q$6,2,FALSE))</f>
        <v/>
      </c>
      <c r="V182" s="115"/>
      <c r="W182" s="363" t="str">
        <f>IF(V182="","",IF(VLOOKUP(V182,'G-7 WaterC'' Data'!$AA$4:$AB$7,2,FALSE)=0,"Spatial Data Missing ⚠",VLOOKUP(V182,'G-7 WaterC'' Data'!$AA$4:$AB$7,2,FALSE)))</f>
        <v/>
      </c>
      <c r="X182" s="60"/>
      <c r="Y182" s="363" t="str">
        <f>IF(X182="","",IF(VLOOKUP(X182,'G-7 WaterC'' Data'!$AD$4:$AE$14,2,FALSE)=0,"Enrcoachment Data Missing ⚠",VLOOKUP(X182,'G-7 WaterC'' Data'!$AD$4:$AE$14,2,FALSE)))</f>
        <v/>
      </c>
      <c r="Z182" s="115"/>
      <c r="AA182" s="363" t="str">
        <f>IF(Z182="","",IF(VLOOKUP(Z182,'G-7 WaterC'' Data'!$AO$4:$BO$7,2,FALSE)=0,"Spatial Data Missing ⚠",VLOOKUP(Z182,'G-7 WaterC'' Data'!$AO$4:$BO$7,2,FALSE)))</f>
        <v/>
      </c>
      <c r="AB182" s="405" t="str">
        <f t="shared" si="16"/>
        <v/>
      </c>
      <c r="AC182" s="405" t="str">
        <f t="shared" si="17"/>
        <v/>
      </c>
      <c r="AD182" s="117"/>
      <c r="AE182" s="692"/>
      <c r="AF182" s="119"/>
      <c r="AG182" s="120"/>
      <c r="AL182" s="30" t="str">
        <f>IFERROR(INDEX('G-7 WaterC'' Data'!$AZ$3:$AZ$7,MATCH(C182,'G-7 WaterC'' Data'!$AY$3:$AY$7,0)),"")</f>
        <v/>
      </c>
    </row>
    <row r="183" spans="2:38" ht="15">
      <c r="B183" s="110">
        <v>172</v>
      </c>
      <c r="C183" s="501"/>
      <c r="D183" s="139"/>
      <c r="E183" s="362" t="str">
        <f>IF(C183="","",VLOOKUP(C183,'G-7 WaterC'' Data'!$B$2:$Z$9,2,FALSE))</f>
        <v/>
      </c>
      <c r="F183" s="363" t="str">
        <f>IFERROR(VLOOKUP(E183,'G-7 WaterC'' Data'!$C$4:$D$8,2,FALSE),"")</f>
        <v/>
      </c>
      <c r="G183" s="114"/>
      <c r="H183" s="363" t="str">
        <f>IFERROR(INDEX('G-7 WaterC'' Data'!$H$4:$L$8,MATCH(C183,'G-7 WaterC'' Data'!$B$4:$B$8,0),MATCH(G183,'G-7 WaterC'' Data'!$H$3:$L$3,0)),"")</f>
        <v/>
      </c>
      <c r="I183" s="54"/>
      <c r="J183" s="401" t="str">
        <f>IF(I183="","",IF(VLOOKUP(I183,'G-7 WaterC'' Data'!$AK$4:$AM$6,2,FALSE)=0,"Spatial Data Missing ⚠",VLOOKUP(I183,'G-7 WaterC'' Data'!$AK$4:$AM$6,2,FALSE)))</f>
        <v/>
      </c>
      <c r="K183" s="363" t="str">
        <f>IF(I183="","",IF(VLOOKUP(I183,'G-7 WaterC'' Data'!$AK$4:$AM$6,3,FALSE)=0,"Spatial Data Missing ⚠",VLOOKUP(I183,'G-7 WaterC'' Data'!$AK$4:$AM$6,3,FALSE)))</f>
        <v/>
      </c>
      <c r="L183" s="478" t="str">
        <f>IFERROR(INDEX('G-7 WaterC'' Data'!$O$3:$O$7,MATCH(G183,'G-7 WaterC'' Data'!$N$3:$N$7,0)),"")</f>
        <v/>
      </c>
      <c r="M183" s="55"/>
      <c r="N183" s="159"/>
      <c r="O183" s="370" t="str">
        <f t="shared" si="12"/>
        <v/>
      </c>
      <c r="P183" s="383" t="str">
        <f t="shared" si="13"/>
        <v/>
      </c>
      <c r="Q183" s="422" t="str">
        <f>IFERROR(IF(P183="Check Data ⚠","Check Data ⚠",VLOOKUP(P183,'G-4 Temporal multipliers'!$A$4:$C$37,3,FALSE)),"")</f>
        <v/>
      </c>
      <c r="R183" s="362" t="str">
        <f>IF(C183="","",VLOOKUP(C183,'G-7 WaterC'' Data'!$B$4:$G$8,4,FALSE))</f>
        <v/>
      </c>
      <c r="S183" s="370" t="str">
        <f t="shared" si="14"/>
        <v/>
      </c>
      <c r="T183" s="401" t="str">
        <f t="shared" si="15"/>
        <v/>
      </c>
      <c r="U183" s="363" t="str">
        <f>IF(C183="","",VLOOKUP(T183,'G-3 Multipliers'!$P$2:$Q$6,2,FALSE))</f>
        <v/>
      </c>
      <c r="V183" s="115"/>
      <c r="W183" s="363" t="str">
        <f>IF(V183="","",IF(VLOOKUP(V183,'G-7 WaterC'' Data'!$AA$4:$AB$7,2,FALSE)=0,"Spatial Data Missing ⚠",VLOOKUP(V183,'G-7 WaterC'' Data'!$AA$4:$AB$7,2,FALSE)))</f>
        <v/>
      </c>
      <c r="X183" s="60"/>
      <c r="Y183" s="363" t="str">
        <f>IF(X183="","",IF(VLOOKUP(X183,'G-7 WaterC'' Data'!$AD$4:$AE$14,2,FALSE)=0,"Enrcoachment Data Missing ⚠",VLOOKUP(X183,'G-7 WaterC'' Data'!$AD$4:$AE$14,2,FALSE)))</f>
        <v/>
      </c>
      <c r="Z183" s="115"/>
      <c r="AA183" s="363" t="str">
        <f>IF(Z183="","",IF(VLOOKUP(Z183,'G-7 WaterC'' Data'!$AO$4:$BO$7,2,FALSE)=0,"Spatial Data Missing ⚠",VLOOKUP(Z183,'G-7 WaterC'' Data'!$AO$4:$BO$7,2,FALSE)))</f>
        <v/>
      </c>
      <c r="AB183" s="405" t="str">
        <f t="shared" si="16"/>
        <v/>
      </c>
      <c r="AC183" s="405" t="str">
        <f t="shared" si="17"/>
        <v/>
      </c>
      <c r="AD183" s="117"/>
      <c r="AE183" s="692"/>
      <c r="AF183" s="119"/>
      <c r="AG183" s="120"/>
      <c r="AL183" s="30" t="str">
        <f>IFERROR(INDEX('G-7 WaterC'' Data'!$AZ$3:$AZ$7,MATCH(C183,'G-7 WaterC'' Data'!$AY$3:$AY$7,0)),"")</f>
        <v/>
      </c>
    </row>
    <row r="184" spans="2:38" ht="15">
      <c r="B184" s="110">
        <v>173</v>
      </c>
      <c r="C184" s="501"/>
      <c r="D184" s="139"/>
      <c r="E184" s="362" t="str">
        <f>IF(C184="","",VLOOKUP(C184,'G-7 WaterC'' Data'!$B$2:$Z$9,2,FALSE))</f>
        <v/>
      </c>
      <c r="F184" s="363" t="str">
        <f>IFERROR(VLOOKUP(E184,'G-7 WaterC'' Data'!$C$4:$D$8,2,FALSE),"")</f>
        <v/>
      </c>
      <c r="G184" s="114"/>
      <c r="H184" s="363" t="str">
        <f>IFERROR(INDEX('G-7 WaterC'' Data'!$H$4:$L$8,MATCH(C184,'G-7 WaterC'' Data'!$B$4:$B$8,0),MATCH(G184,'G-7 WaterC'' Data'!$H$3:$L$3,0)),"")</f>
        <v/>
      </c>
      <c r="I184" s="54"/>
      <c r="J184" s="401" t="str">
        <f>IF(I184="","",IF(VLOOKUP(I184,'G-7 WaterC'' Data'!$AK$4:$AM$6,2,FALSE)=0,"Spatial Data Missing ⚠",VLOOKUP(I184,'G-7 WaterC'' Data'!$AK$4:$AM$6,2,FALSE)))</f>
        <v/>
      </c>
      <c r="K184" s="363" t="str">
        <f>IF(I184="","",IF(VLOOKUP(I184,'G-7 WaterC'' Data'!$AK$4:$AM$6,3,FALSE)=0,"Spatial Data Missing ⚠",VLOOKUP(I184,'G-7 WaterC'' Data'!$AK$4:$AM$6,3,FALSE)))</f>
        <v/>
      </c>
      <c r="L184" s="478" t="str">
        <f>IFERROR(INDEX('G-7 WaterC'' Data'!$O$3:$O$7,MATCH(G184,'G-7 WaterC'' Data'!$N$3:$N$7,0)),"")</f>
        <v/>
      </c>
      <c r="M184" s="55"/>
      <c r="N184" s="159"/>
      <c r="O184" s="370" t="str">
        <f t="shared" si="12"/>
        <v/>
      </c>
      <c r="P184" s="383" t="str">
        <f t="shared" si="13"/>
        <v/>
      </c>
      <c r="Q184" s="422" t="str">
        <f>IFERROR(IF(P184="Check Data ⚠","Check Data ⚠",VLOOKUP(P184,'G-4 Temporal multipliers'!$A$4:$C$37,3,FALSE)),"")</f>
        <v/>
      </c>
      <c r="R184" s="362" t="str">
        <f>IF(C184="","",VLOOKUP(C184,'G-7 WaterC'' Data'!$B$4:$G$8,4,FALSE))</f>
        <v/>
      </c>
      <c r="S184" s="370" t="str">
        <f t="shared" si="14"/>
        <v/>
      </c>
      <c r="T184" s="401" t="str">
        <f t="shared" si="15"/>
        <v/>
      </c>
      <c r="U184" s="363" t="str">
        <f>IF(C184="","",VLOOKUP(T184,'G-3 Multipliers'!$P$2:$Q$6,2,FALSE))</f>
        <v/>
      </c>
      <c r="V184" s="115"/>
      <c r="W184" s="363" t="str">
        <f>IF(V184="","",IF(VLOOKUP(V184,'G-7 WaterC'' Data'!$AA$4:$AB$7,2,FALSE)=0,"Spatial Data Missing ⚠",VLOOKUP(V184,'G-7 WaterC'' Data'!$AA$4:$AB$7,2,FALSE)))</f>
        <v/>
      </c>
      <c r="X184" s="60"/>
      <c r="Y184" s="363" t="str">
        <f>IF(X184="","",IF(VLOOKUP(X184,'G-7 WaterC'' Data'!$AD$4:$AE$14,2,FALSE)=0,"Enrcoachment Data Missing ⚠",VLOOKUP(X184,'G-7 WaterC'' Data'!$AD$4:$AE$14,2,FALSE)))</f>
        <v/>
      </c>
      <c r="Z184" s="115"/>
      <c r="AA184" s="363" t="str">
        <f>IF(Z184="","",IF(VLOOKUP(Z184,'G-7 WaterC'' Data'!$AO$4:$BO$7,2,FALSE)=0,"Spatial Data Missing ⚠",VLOOKUP(Z184,'G-7 WaterC'' Data'!$AO$4:$BO$7,2,FALSE)))</f>
        <v/>
      </c>
      <c r="AB184" s="405" t="str">
        <f t="shared" si="16"/>
        <v/>
      </c>
      <c r="AC184" s="405" t="str">
        <f t="shared" si="17"/>
        <v/>
      </c>
      <c r="AD184" s="117"/>
      <c r="AE184" s="692"/>
      <c r="AF184" s="119"/>
      <c r="AG184" s="120"/>
      <c r="AL184" s="30" t="str">
        <f>IFERROR(INDEX('G-7 WaterC'' Data'!$AZ$3:$AZ$7,MATCH(C184,'G-7 WaterC'' Data'!$AY$3:$AY$7,0)),"")</f>
        <v/>
      </c>
    </row>
    <row r="185" spans="2:38" ht="15">
      <c r="B185" s="110">
        <v>174</v>
      </c>
      <c r="C185" s="501"/>
      <c r="D185" s="139"/>
      <c r="E185" s="362" t="str">
        <f>IF(C185="","",VLOOKUP(C185,'G-7 WaterC'' Data'!$B$2:$Z$9,2,FALSE))</f>
        <v/>
      </c>
      <c r="F185" s="363" t="str">
        <f>IFERROR(VLOOKUP(E185,'G-7 WaterC'' Data'!$C$4:$D$8,2,FALSE),"")</f>
        <v/>
      </c>
      <c r="G185" s="114"/>
      <c r="H185" s="363" t="str">
        <f>IFERROR(INDEX('G-7 WaterC'' Data'!$H$4:$L$8,MATCH(C185,'G-7 WaterC'' Data'!$B$4:$B$8,0),MATCH(G185,'G-7 WaterC'' Data'!$H$3:$L$3,0)),"")</f>
        <v/>
      </c>
      <c r="I185" s="54"/>
      <c r="J185" s="401" t="str">
        <f>IF(I185="","",IF(VLOOKUP(I185,'G-7 WaterC'' Data'!$AK$4:$AM$6,2,FALSE)=0,"Spatial Data Missing ⚠",VLOOKUP(I185,'G-7 WaterC'' Data'!$AK$4:$AM$6,2,FALSE)))</f>
        <v/>
      </c>
      <c r="K185" s="363" t="str">
        <f>IF(I185="","",IF(VLOOKUP(I185,'G-7 WaterC'' Data'!$AK$4:$AM$6,3,FALSE)=0,"Spatial Data Missing ⚠",VLOOKUP(I185,'G-7 WaterC'' Data'!$AK$4:$AM$6,3,FALSE)))</f>
        <v/>
      </c>
      <c r="L185" s="478" t="str">
        <f>IFERROR(INDEX('G-7 WaterC'' Data'!$O$3:$O$7,MATCH(G185,'G-7 WaterC'' Data'!$N$3:$N$7,0)),"")</f>
        <v/>
      </c>
      <c r="M185" s="55"/>
      <c r="N185" s="159"/>
      <c r="O185" s="370" t="str">
        <f t="shared" si="12"/>
        <v/>
      </c>
      <c r="P185" s="383" t="str">
        <f t="shared" si="13"/>
        <v/>
      </c>
      <c r="Q185" s="422" t="str">
        <f>IFERROR(IF(P185="Check Data ⚠","Check Data ⚠",VLOOKUP(P185,'G-4 Temporal multipliers'!$A$4:$C$37,3,FALSE)),"")</f>
        <v/>
      </c>
      <c r="R185" s="362" t="str">
        <f>IF(C185="","",VLOOKUP(C185,'G-7 WaterC'' Data'!$B$4:$G$8,4,FALSE))</f>
        <v/>
      </c>
      <c r="S185" s="370" t="str">
        <f t="shared" si="14"/>
        <v/>
      </c>
      <c r="T185" s="401" t="str">
        <f t="shared" si="15"/>
        <v/>
      </c>
      <c r="U185" s="363" t="str">
        <f>IF(C185="","",VLOOKUP(T185,'G-3 Multipliers'!$P$2:$Q$6,2,FALSE))</f>
        <v/>
      </c>
      <c r="V185" s="115"/>
      <c r="W185" s="363" t="str">
        <f>IF(V185="","",IF(VLOOKUP(V185,'G-7 WaterC'' Data'!$AA$4:$AB$7,2,FALSE)=0,"Spatial Data Missing ⚠",VLOOKUP(V185,'G-7 WaterC'' Data'!$AA$4:$AB$7,2,FALSE)))</f>
        <v/>
      </c>
      <c r="X185" s="60"/>
      <c r="Y185" s="363" t="str">
        <f>IF(X185="","",IF(VLOOKUP(X185,'G-7 WaterC'' Data'!$AD$4:$AE$14,2,FALSE)=0,"Enrcoachment Data Missing ⚠",VLOOKUP(X185,'G-7 WaterC'' Data'!$AD$4:$AE$14,2,FALSE)))</f>
        <v/>
      </c>
      <c r="Z185" s="115"/>
      <c r="AA185" s="363" t="str">
        <f>IF(Z185="","",IF(VLOOKUP(Z185,'G-7 WaterC'' Data'!$AO$4:$BO$7,2,FALSE)=0,"Spatial Data Missing ⚠",VLOOKUP(Z185,'G-7 WaterC'' Data'!$AO$4:$BO$7,2,FALSE)))</f>
        <v/>
      </c>
      <c r="AB185" s="405" t="str">
        <f t="shared" si="16"/>
        <v/>
      </c>
      <c r="AC185" s="405" t="str">
        <f t="shared" si="17"/>
        <v/>
      </c>
      <c r="AD185" s="117"/>
      <c r="AE185" s="692"/>
      <c r="AF185" s="119"/>
      <c r="AG185" s="120"/>
      <c r="AL185" s="30" t="str">
        <f>IFERROR(INDEX('G-7 WaterC'' Data'!$AZ$3:$AZ$7,MATCH(C185,'G-7 WaterC'' Data'!$AY$3:$AY$7,0)),"")</f>
        <v/>
      </c>
    </row>
    <row r="186" spans="2:38" ht="15">
      <c r="B186" s="110">
        <v>175</v>
      </c>
      <c r="C186" s="501"/>
      <c r="D186" s="139"/>
      <c r="E186" s="362" t="str">
        <f>IF(C186="","",VLOOKUP(C186,'G-7 WaterC'' Data'!$B$2:$Z$9,2,FALSE))</f>
        <v/>
      </c>
      <c r="F186" s="363" t="str">
        <f>IFERROR(VLOOKUP(E186,'G-7 WaterC'' Data'!$C$4:$D$8,2,FALSE),"")</f>
        <v/>
      </c>
      <c r="G186" s="114"/>
      <c r="H186" s="363" t="str">
        <f>IFERROR(INDEX('G-7 WaterC'' Data'!$H$4:$L$8,MATCH(C186,'G-7 WaterC'' Data'!$B$4:$B$8,0),MATCH(G186,'G-7 WaterC'' Data'!$H$3:$L$3,0)),"")</f>
        <v/>
      </c>
      <c r="I186" s="54"/>
      <c r="J186" s="401" t="str">
        <f>IF(I186="","",IF(VLOOKUP(I186,'G-7 WaterC'' Data'!$AK$4:$AM$6,2,FALSE)=0,"Spatial Data Missing ⚠",VLOOKUP(I186,'G-7 WaterC'' Data'!$AK$4:$AM$6,2,FALSE)))</f>
        <v/>
      </c>
      <c r="K186" s="363" t="str">
        <f>IF(I186="","",IF(VLOOKUP(I186,'G-7 WaterC'' Data'!$AK$4:$AM$6,3,FALSE)=0,"Spatial Data Missing ⚠",VLOOKUP(I186,'G-7 WaterC'' Data'!$AK$4:$AM$6,3,FALSE)))</f>
        <v/>
      </c>
      <c r="L186" s="478" t="str">
        <f>IFERROR(INDEX('G-7 WaterC'' Data'!$O$3:$O$7,MATCH(G186,'G-7 WaterC'' Data'!$N$3:$N$7,0)),"")</f>
        <v/>
      </c>
      <c r="M186" s="55"/>
      <c r="N186" s="159"/>
      <c r="O186" s="370" t="str">
        <f t="shared" si="12"/>
        <v/>
      </c>
      <c r="P186" s="383" t="str">
        <f t="shared" si="13"/>
        <v/>
      </c>
      <c r="Q186" s="422" t="str">
        <f>IFERROR(IF(P186="Check Data ⚠","Check Data ⚠",VLOOKUP(P186,'G-4 Temporal multipliers'!$A$4:$C$37,3,FALSE)),"")</f>
        <v/>
      </c>
      <c r="R186" s="362" t="str">
        <f>IF(C186="","",VLOOKUP(C186,'G-7 WaterC'' Data'!$B$4:$G$8,4,FALSE))</f>
        <v/>
      </c>
      <c r="S186" s="370" t="str">
        <f t="shared" si="14"/>
        <v/>
      </c>
      <c r="T186" s="401" t="str">
        <f t="shared" si="15"/>
        <v/>
      </c>
      <c r="U186" s="363" t="str">
        <f>IF(C186="","",VLOOKUP(T186,'G-3 Multipliers'!$P$2:$Q$6,2,FALSE))</f>
        <v/>
      </c>
      <c r="V186" s="115"/>
      <c r="W186" s="363" t="str">
        <f>IF(V186="","",IF(VLOOKUP(V186,'G-7 WaterC'' Data'!$AA$4:$AB$7,2,FALSE)=0,"Spatial Data Missing ⚠",VLOOKUP(V186,'G-7 WaterC'' Data'!$AA$4:$AB$7,2,FALSE)))</f>
        <v/>
      </c>
      <c r="X186" s="60"/>
      <c r="Y186" s="363" t="str">
        <f>IF(X186="","",IF(VLOOKUP(X186,'G-7 WaterC'' Data'!$AD$4:$AE$14,2,FALSE)=0,"Enrcoachment Data Missing ⚠",VLOOKUP(X186,'G-7 WaterC'' Data'!$AD$4:$AE$14,2,FALSE)))</f>
        <v/>
      </c>
      <c r="Z186" s="115"/>
      <c r="AA186" s="363" t="str">
        <f>IF(Z186="","",IF(VLOOKUP(Z186,'G-7 WaterC'' Data'!$AO$4:$BO$7,2,FALSE)=0,"Spatial Data Missing ⚠",VLOOKUP(Z186,'G-7 WaterC'' Data'!$AO$4:$BO$7,2,FALSE)))</f>
        <v/>
      </c>
      <c r="AB186" s="405" t="str">
        <f t="shared" si="16"/>
        <v/>
      </c>
      <c r="AC186" s="405" t="str">
        <f t="shared" si="17"/>
        <v/>
      </c>
      <c r="AD186" s="117"/>
      <c r="AE186" s="692"/>
      <c r="AF186" s="119"/>
      <c r="AG186" s="120"/>
      <c r="AL186" s="30" t="str">
        <f>IFERROR(INDEX('G-7 WaterC'' Data'!$AZ$3:$AZ$7,MATCH(C186,'G-7 WaterC'' Data'!$AY$3:$AY$7,0)),"")</f>
        <v/>
      </c>
    </row>
    <row r="187" spans="2:38" ht="15">
      <c r="B187" s="110">
        <v>176</v>
      </c>
      <c r="C187" s="501"/>
      <c r="D187" s="139"/>
      <c r="E187" s="362" t="str">
        <f>IF(C187="","",VLOOKUP(C187,'G-7 WaterC'' Data'!$B$2:$Z$9,2,FALSE))</f>
        <v/>
      </c>
      <c r="F187" s="363" t="str">
        <f>IFERROR(VLOOKUP(E187,'G-7 WaterC'' Data'!$C$4:$D$8,2,FALSE),"")</f>
        <v/>
      </c>
      <c r="G187" s="114"/>
      <c r="H187" s="363" t="str">
        <f>IFERROR(INDEX('G-7 WaterC'' Data'!$H$4:$L$8,MATCH(C187,'G-7 WaterC'' Data'!$B$4:$B$8,0),MATCH(G187,'G-7 WaterC'' Data'!$H$3:$L$3,0)),"")</f>
        <v/>
      </c>
      <c r="I187" s="54"/>
      <c r="J187" s="401" t="str">
        <f>IF(I187="","",IF(VLOOKUP(I187,'G-7 WaterC'' Data'!$AK$4:$AM$6,2,FALSE)=0,"Spatial Data Missing ⚠",VLOOKUP(I187,'G-7 WaterC'' Data'!$AK$4:$AM$6,2,FALSE)))</f>
        <v/>
      </c>
      <c r="K187" s="363" t="str">
        <f>IF(I187="","",IF(VLOOKUP(I187,'G-7 WaterC'' Data'!$AK$4:$AM$6,3,FALSE)=0,"Spatial Data Missing ⚠",VLOOKUP(I187,'G-7 WaterC'' Data'!$AK$4:$AM$6,3,FALSE)))</f>
        <v/>
      </c>
      <c r="L187" s="478" t="str">
        <f>IFERROR(INDEX('G-7 WaterC'' Data'!$O$3:$O$7,MATCH(G187,'G-7 WaterC'' Data'!$N$3:$N$7,0)),"")</f>
        <v/>
      </c>
      <c r="M187" s="55"/>
      <c r="N187" s="159"/>
      <c r="O187" s="370" t="str">
        <f t="shared" si="12"/>
        <v/>
      </c>
      <c r="P187" s="383" t="str">
        <f t="shared" si="13"/>
        <v/>
      </c>
      <c r="Q187" s="422" t="str">
        <f>IFERROR(IF(P187="Check Data ⚠","Check Data ⚠",VLOOKUP(P187,'G-4 Temporal multipliers'!$A$4:$C$37,3,FALSE)),"")</f>
        <v/>
      </c>
      <c r="R187" s="362" t="str">
        <f>IF(C187="","",VLOOKUP(C187,'G-7 WaterC'' Data'!$B$4:$G$8,4,FALSE))</f>
        <v/>
      </c>
      <c r="S187" s="370" t="str">
        <f t="shared" si="14"/>
        <v/>
      </c>
      <c r="T187" s="401" t="str">
        <f t="shared" si="15"/>
        <v/>
      </c>
      <c r="U187" s="363" t="str">
        <f>IF(C187="","",VLOOKUP(T187,'G-3 Multipliers'!$P$2:$Q$6,2,FALSE))</f>
        <v/>
      </c>
      <c r="V187" s="115"/>
      <c r="W187" s="363" t="str">
        <f>IF(V187="","",IF(VLOOKUP(V187,'G-7 WaterC'' Data'!$AA$4:$AB$7,2,FALSE)=0,"Spatial Data Missing ⚠",VLOOKUP(V187,'G-7 WaterC'' Data'!$AA$4:$AB$7,2,FALSE)))</f>
        <v/>
      </c>
      <c r="X187" s="60"/>
      <c r="Y187" s="363" t="str">
        <f>IF(X187="","",IF(VLOOKUP(X187,'G-7 WaterC'' Data'!$AD$4:$AE$14,2,FALSE)=0,"Enrcoachment Data Missing ⚠",VLOOKUP(X187,'G-7 WaterC'' Data'!$AD$4:$AE$14,2,FALSE)))</f>
        <v/>
      </c>
      <c r="Z187" s="115"/>
      <c r="AA187" s="363" t="str">
        <f>IF(Z187="","",IF(VLOOKUP(Z187,'G-7 WaterC'' Data'!$AO$4:$BO$7,2,FALSE)=0,"Spatial Data Missing ⚠",VLOOKUP(Z187,'G-7 WaterC'' Data'!$AO$4:$BO$7,2,FALSE)))</f>
        <v/>
      </c>
      <c r="AB187" s="405" t="str">
        <f t="shared" si="16"/>
        <v/>
      </c>
      <c r="AC187" s="405" t="str">
        <f t="shared" si="17"/>
        <v/>
      </c>
      <c r="AD187" s="117"/>
      <c r="AE187" s="692"/>
      <c r="AF187" s="119"/>
      <c r="AG187" s="120"/>
      <c r="AL187" s="30" t="str">
        <f>IFERROR(INDEX('G-7 WaterC'' Data'!$AZ$3:$AZ$7,MATCH(C187,'G-7 WaterC'' Data'!$AY$3:$AY$7,0)),"")</f>
        <v/>
      </c>
    </row>
    <row r="188" spans="2:38" ht="15">
      <c r="B188" s="110">
        <v>177</v>
      </c>
      <c r="C188" s="501"/>
      <c r="D188" s="139"/>
      <c r="E188" s="362" t="str">
        <f>IF(C188="","",VLOOKUP(C188,'G-7 WaterC'' Data'!$B$2:$Z$9,2,FALSE))</f>
        <v/>
      </c>
      <c r="F188" s="363" t="str">
        <f>IFERROR(VLOOKUP(E188,'G-7 WaterC'' Data'!$C$4:$D$8,2,FALSE),"")</f>
        <v/>
      </c>
      <c r="G188" s="114"/>
      <c r="H188" s="363" t="str">
        <f>IFERROR(INDEX('G-7 WaterC'' Data'!$H$4:$L$8,MATCH(C188,'G-7 WaterC'' Data'!$B$4:$B$8,0),MATCH(G188,'G-7 WaterC'' Data'!$H$3:$L$3,0)),"")</f>
        <v/>
      </c>
      <c r="I188" s="54"/>
      <c r="J188" s="401" t="str">
        <f>IF(I188="","",IF(VLOOKUP(I188,'G-7 WaterC'' Data'!$AK$4:$AM$6,2,FALSE)=0,"Spatial Data Missing ⚠",VLOOKUP(I188,'G-7 WaterC'' Data'!$AK$4:$AM$6,2,FALSE)))</f>
        <v/>
      </c>
      <c r="K188" s="363" t="str">
        <f>IF(I188="","",IF(VLOOKUP(I188,'G-7 WaterC'' Data'!$AK$4:$AM$6,3,FALSE)=0,"Spatial Data Missing ⚠",VLOOKUP(I188,'G-7 WaterC'' Data'!$AK$4:$AM$6,3,FALSE)))</f>
        <v/>
      </c>
      <c r="L188" s="478" t="str">
        <f>IFERROR(INDEX('G-7 WaterC'' Data'!$O$3:$O$7,MATCH(G188,'G-7 WaterC'' Data'!$N$3:$N$7,0)),"")</f>
        <v/>
      </c>
      <c r="M188" s="55"/>
      <c r="N188" s="159"/>
      <c r="O188" s="370" t="str">
        <f t="shared" si="12"/>
        <v/>
      </c>
      <c r="P188" s="383" t="str">
        <f t="shared" si="13"/>
        <v/>
      </c>
      <c r="Q188" s="422" t="str">
        <f>IFERROR(IF(P188="Check Data ⚠","Check Data ⚠",VLOOKUP(P188,'G-4 Temporal multipliers'!$A$4:$C$37,3,FALSE)),"")</f>
        <v/>
      </c>
      <c r="R188" s="362" t="str">
        <f>IF(C188="","",VLOOKUP(C188,'G-7 WaterC'' Data'!$B$4:$G$8,4,FALSE))</f>
        <v/>
      </c>
      <c r="S188" s="370" t="str">
        <f t="shared" si="14"/>
        <v/>
      </c>
      <c r="T188" s="401" t="str">
        <f t="shared" si="15"/>
        <v/>
      </c>
      <c r="U188" s="363" t="str">
        <f>IF(C188="","",VLOOKUP(T188,'G-3 Multipliers'!$P$2:$Q$6,2,FALSE))</f>
        <v/>
      </c>
      <c r="V188" s="115"/>
      <c r="W188" s="363" t="str">
        <f>IF(V188="","",IF(VLOOKUP(V188,'G-7 WaterC'' Data'!$AA$4:$AB$7,2,FALSE)=0,"Spatial Data Missing ⚠",VLOOKUP(V188,'G-7 WaterC'' Data'!$AA$4:$AB$7,2,FALSE)))</f>
        <v/>
      </c>
      <c r="X188" s="60"/>
      <c r="Y188" s="363" t="str">
        <f>IF(X188="","",IF(VLOOKUP(X188,'G-7 WaterC'' Data'!$AD$4:$AE$14,2,FALSE)=0,"Enrcoachment Data Missing ⚠",VLOOKUP(X188,'G-7 WaterC'' Data'!$AD$4:$AE$14,2,FALSE)))</f>
        <v/>
      </c>
      <c r="Z188" s="115"/>
      <c r="AA188" s="363" t="str">
        <f>IF(Z188="","",IF(VLOOKUP(Z188,'G-7 WaterC'' Data'!$AO$4:$BO$7,2,FALSE)=0,"Spatial Data Missing ⚠",VLOOKUP(Z188,'G-7 WaterC'' Data'!$AO$4:$BO$7,2,FALSE)))</f>
        <v/>
      </c>
      <c r="AB188" s="405" t="str">
        <f t="shared" si="16"/>
        <v/>
      </c>
      <c r="AC188" s="405" t="str">
        <f t="shared" si="17"/>
        <v/>
      </c>
      <c r="AD188" s="117"/>
      <c r="AE188" s="692"/>
      <c r="AF188" s="119"/>
      <c r="AG188" s="120"/>
      <c r="AL188" s="30" t="str">
        <f>IFERROR(INDEX('G-7 WaterC'' Data'!$AZ$3:$AZ$7,MATCH(C188,'G-7 WaterC'' Data'!$AY$3:$AY$7,0)),"")</f>
        <v/>
      </c>
    </row>
    <row r="189" spans="2:38" ht="15">
      <c r="B189" s="110">
        <v>178</v>
      </c>
      <c r="C189" s="501"/>
      <c r="D189" s="139"/>
      <c r="E189" s="362" t="str">
        <f>IF(C189="","",VLOOKUP(C189,'G-7 WaterC'' Data'!$B$2:$Z$9,2,FALSE))</f>
        <v/>
      </c>
      <c r="F189" s="363" t="str">
        <f>IFERROR(VLOOKUP(E189,'G-7 WaterC'' Data'!$C$4:$D$8,2,FALSE),"")</f>
        <v/>
      </c>
      <c r="G189" s="114"/>
      <c r="H189" s="363" t="str">
        <f>IFERROR(INDEX('G-7 WaterC'' Data'!$H$4:$L$8,MATCH(C189,'G-7 WaterC'' Data'!$B$4:$B$8,0),MATCH(G189,'G-7 WaterC'' Data'!$H$3:$L$3,0)),"")</f>
        <v/>
      </c>
      <c r="I189" s="54"/>
      <c r="J189" s="401" t="str">
        <f>IF(I189="","",IF(VLOOKUP(I189,'G-7 WaterC'' Data'!$AK$4:$AM$6,2,FALSE)=0,"Spatial Data Missing ⚠",VLOOKUP(I189,'G-7 WaterC'' Data'!$AK$4:$AM$6,2,FALSE)))</f>
        <v/>
      </c>
      <c r="K189" s="363" t="str">
        <f>IF(I189="","",IF(VLOOKUP(I189,'G-7 WaterC'' Data'!$AK$4:$AM$6,3,FALSE)=0,"Spatial Data Missing ⚠",VLOOKUP(I189,'G-7 WaterC'' Data'!$AK$4:$AM$6,3,FALSE)))</f>
        <v/>
      </c>
      <c r="L189" s="478" t="str">
        <f>IFERROR(INDEX('G-7 WaterC'' Data'!$O$3:$O$7,MATCH(G189,'G-7 WaterC'' Data'!$N$3:$N$7,0)),"")</f>
        <v/>
      </c>
      <c r="M189" s="55"/>
      <c r="N189" s="159"/>
      <c r="O189" s="370" t="str">
        <f t="shared" si="12"/>
        <v/>
      </c>
      <c r="P189" s="383" t="str">
        <f t="shared" si="13"/>
        <v/>
      </c>
      <c r="Q189" s="422" t="str">
        <f>IFERROR(IF(P189="Check Data ⚠","Check Data ⚠",VLOOKUP(P189,'G-4 Temporal multipliers'!$A$4:$C$37,3,FALSE)),"")</f>
        <v/>
      </c>
      <c r="R189" s="362" t="str">
        <f>IF(C189="","",VLOOKUP(C189,'G-7 WaterC'' Data'!$B$4:$G$8,4,FALSE))</f>
        <v/>
      </c>
      <c r="S189" s="370" t="str">
        <f t="shared" si="14"/>
        <v/>
      </c>
      <c r="T189" s="401" t="str">
        <f t="shared" si="15"/>
        <v/>
      </c>
      <c r="U189" s="363" t="str">
        <f>IF(C189="","",VLOOKUP(T189,'G-3 Multipliers'!$P$2:$Q$6,2,FALSE))</f>
        <v/>
      </c>
      <c r="V189" s="115"/>
      <c r="W189" s="363" t="str">
        <f>IF(V189="","",IF(VLOOKUP(V189,'G-7 WaterC'' Data'!$AA$4:$AB$7,2,FALSE)=0,"Spatial Data Missing ⚠",VLOOKUP(V189,'G-7 WaterC'' Data'!$AA$4:$AB$7,2,FALSE)))</f>
        <v/>
      </c>
      <c r="X189" s="60"/>
      <c r="Y189" s="363" t="str">
        <f>IF(X189="","",IF(VLOOKUP(X189,'G-7 WaterC'' Data'!$AD$4:$AE$14,2,FALSE)=0,"Enrcoachment Data Missing ⚠",VLOOKUP(X189,'G-7 WaterC'' Data'!$AD$4:$AE$14,2,FALSE)))</f>
        <v/>
      </c>
      <c r="Z189" s="115"/>
      <c r="AA189" s="363" t="str">
        <f>IF(Z189="","",IF(VLOOKUP(Z189,'G-7 WaterC'' Data'!$AO$4:$BO$7,2,FALSE)=0,"Spatial Data Missing ⚠",VLOOKUP(Z189,'G-7 WaterC'' Data'!$AO$4:$BO$7,2,FALSE)))</f>
        <v/>
      </c>
      <c r="AB189" s="405" t="str">
        <f t="shared" si="16"/>
        <v/>
      </c>
      <c r="AC189" s="405" t="str">
        <f t="shared" si="17"/>
        <v/>
      </c>
      <c r="AD189" s="117"/>
      <c r="AE189" s="692"/>
      <c r="AF189" s="119"/>
      <c r="AG189" s="120"/>
      <c r="AL189" s="30" t="str">
        <f>IFERROR(INDEX('G-7 WaterC'' Data'!$AZ$3:$AZ$7,MATCH(C189,'G-7 WaterC'' Data'!$AY$3:$AY$7,0)),"")</f>
        <v/>
      </c>
    </row>
    <row r="190" spans="2:38" ht="15">
      <c r="B190" s="110">
        <v>179</v>
      </c>
      <c r="C190" s="501"/>
      <c r="D190" s="139"/>
      <c r="E190" s="362" t="str">
        <f>IF(C190="","",VLOOKUP(C190,'G-7 WaterC'' Data'!$B$2:$Z$9,2,FALSE))</f>
        <v/>
      </c>
      <c r="F190" s="363" t="str">
        <f>IFERROR(VLOOKUP(E190,'G-7 WaterC'' Data'!$C$4:$D$8,2,FALSE),"")</f>
        <v/>
      </c>
      <c r="G190" s="114"/>
      <c r="H190" s="363" t="str">
        <f>IFERROR(INDEX('G-7 WaterC'' Data'!$H$4:$L$8,MATCH(C190,'G-7 WaterC'' Data'!$B$4:$B$8,0),MATCH(G190,'G-7 WaterC'' Data'!$H$3:$L$3,0)),"")</f>
        <v/>
      </c>
      <c r="I190" s="54"/>
      <c r="J190" s="401" t="str">
        <f>IF(I190="","",IF(VLOOKUP(I190,'G-7 WaterC'' Data'!$AK$4:$AM$6,2,FALSE)=0,"Spatial Data Missing ⚠",VLOOKUP(I190,'G-7 WaterC'' Data'!$AK$4:$AM$6,2,FALSE)))</f>
        <v/>
      </c>
      <c r="K190" s="363" t="str">
        <f>IF(I190="","",IF(VLOOKUP(I190,'G-7 WaterC'' Data'!$AK$4:$AM$6,3,FALSE)=0,"Spatial Data Missing ⚠",VLOOKUP(I190,'G-7 WaterC'' Data'!$AK$4:$AM$6,3,FALSE)))</f>
        <v/>
      </c>
      <c r="L190" s="478" t="str">
        <f>IFERROR(INDEX('G-7 WaterC'' Data'!$O$3:$O$7,MATCH(G190,'G-7 WaterC'' Data'!$N$3:$N$7,0)),"")</f>
        <v/>
      </c>
      <c r="M190" s="55"/>
      <c r="N190" s="159"/>
      <c r="O190" s="370" t="str">
        <f t="shared" si="12"/>
        <v/>
      </c>
      <c r="P190" s="383" t="str">
        <f t="shared" si="13"/>
        <v/>
      </c>
      <c r="Q190" s="422" t="str">
        <f>IFERROR(IF(P190="Check Data ⚠","Check Data ⚠",VLOOKUP(P190,'G-4 Temporal multipliers'!$A$4:$C$37,3,FALSE)),"")</f>
        <v/>
      </c>
      <c r="R190" s="362" t="str">
        <f>IF(C190="","",VLOOKUP(C190,'G-7 WaterC'' Data'!$B$4:$G$8,4,FALSE))</f>
        <v/>
      </c>
      <c r="S190" s="370" t="str">
        <f t="shared" si="14"/>
        <v/>
      </c>
      <c r="T190" s="401" t="str">
        <f t="shared" si="15"/>
        <v/>
      </c>
      <c r="U190" s="363" t="str">
        <f>IF(C190="","",VLOOKUP(T190,'G-3 Multipliers'!$P$2:$Q$6,2,FALSE))</f>
        <v/>
      </c>
      <c r="V190" s="115"/>
      <c r="W190" s="363" t="str">
        <f>IF(V190="","",IF(VLOOKUP(V190,'G-7 WaterC'' Data'!$AA$4:$AB$7,2,FALSE)=0,"Spatial Data Missing ⚠",VLOOKUP(V190,'G-7 WaterC'' Data'!$AA$4:$AB$7,2,FALSE)))</f>
        <v/>
      </c>
      <c r="X190" s="60"/>
      <c r="Y190" s="363" t="str">
        <f>IF(X190="","",IF(VLOOKUP(X190,'G-7 WaterC'' Data'!$AD$4:$AE$14,2,FALSE)=0,"Enrcoachment Data Missing ⚠",VLOOKUP(X190,'G-7 WaterC'' Data'!$AD$4:$AE$14,2,FALSE)))</f>
        <v/>
      </c>
      <c r="Z190" s="115"/>
      <c r="AA190" s="363" t="str">
        <f>IF(Z190="","",IF(VLOOKUP(Z190,'G-7 WaterC'' Data'!$AO$4:$BO$7,2,FALSE)=0,"Spatial Data Missing ⚠",VLOOKUP(Z190,'G-7 WaterC'' Data'!$AO$4:$BO$7,2,FALSE)))</f>
        <v/>
      </c>
      <c r="AB190" s="405" t="str">
        <f t="shared" si="16"/>
        <v/>
      </c>
      <c r="AC190" s="405" t="str">
        <f t="shared" si="17"/>
        <v/>
      </c>
      <c r="AD190" s="117"/>
      <c r="AE190" s="692"/>
      <c r="AF190" s="119"/>
      <c r="AG190" s="120"/>
      <c r="AL190" s="30" t="str">
        <f>IFERROR(INDEX('G-7 WaterC'' Data'!$AZ$3:$AZ$7,MATCH(C190,'G-7 WaterC'' Data'!$AY$3:$AY$7,0)),"")</f>
        <v/>
      </c>
    </row>
    <row r="191" spans="2:38" ht="15">
      <c r="B191" s="110">
        <v>180</v>
      </c>
      <c r="C191" s="501"/>
      <c r="D191" s="139"/>
      <c r="E191" s="362" t="str">
        <f>IF(C191="","",VLOOKUP(C191,'G-7 WaterC'' Data'!$B$2:$Z$9,2,FALSE))</f>
        <v/>
      </c>
      <c r="F191" s="363" t="str">
        <f>IFERROR(VLOOKUP(E191,'G-7 WaterC'' Data'!$C$4:$D$8,2,FALSE),"")</f>
        <v/>
      </c>
      <c r="G191" s="114"/>
      <c r="H191" s="363" t="str">
        <f>IFERROR(INDEX('G-7 WaterC'' Data'!$H$4:$L$8,MATCH(C191,'G-7 WaterC'' Data'!$B$4:$B$8,0),MATCH(G191,'G-7 WaterC'' Data'!$H$3:$L$3,0)),"")</f>
        <v/>
      </c>
      <c r="I191" s="54"/>
      <c r="J191" s="401" t="str">
        <f>IF(I191="","",IF(VLOOKUP(I191,'G-7 WaterC'' Data'!$AK$4:$AM$6,2,FALSE)=0,"Spatial Data Missing ⚠",VLOOKUP(I191,'G-7 WaterC'' Data'!$AK$4:$AM$6,2,FALSE)))</f>
        <v/>
      </c>
      <c r="K191" s="363" t="str">
        <f>IF(I191="","",IF(VLOOKUP(I191,'G-7 WaterC'' Data'!$AK$4:$AM$6,3,FALSE)=0,"Spatial Data Missing ⚠",VLOOKUP(I191,'G-7 WaterC'' Data'!$AK$4:$AM$6,3,FALSE)))</f>
        <v/>
      </c>
      <c r="L191" s="478" t="str">
        <f>IFERROR(INDEX('G-7 WaterC'' Data'!$O$3:$O$7,MATCH(G191,'G-7 WaterC'' Data'!$N$3:$N$7,0)),"")</f>
        <v/>
      </c>
      <c r="M191" s="55"/>
      <c r="N191" s="159"/>
      <c r="O191" s="370" t="str">
        <f t="shared" si="12"/>
        <v/>
      </c>
      <c r="P191" s="383" t="str">
        <f t="shared" si="13"/>
        <v/>
      </c>
      <c r="Q191" s="422" t="str">
        <f>IFERROR(IF(P191="Check Data ⚠","Check Data ⚠",VLOOKUP(P191,'G-4 Temporal multipliers'!$A$4:$C$37,3,FALSE)),"")</f>
        <v/>
      </c>
      <c r="R191" s="362" t="str">
        <f>IF(C191="","",VLOOKUP(C191,'G-7 WaterC'' Data'!$B$4:$G$8,4,FALSE))</f>
        <v/>
      </c>
      <c r="S191" s="370" t="str">
        <f t="shared" si="14"/>
        <v/>
      </c>
      <c r="T191" s="401" t="str">
        <f t="shared" si="15"/>
        <v/>
      </c>
      <c r="U191" s="363" t="str">
        <f>IF(C191="","",VLOOKUP(T191,'G-3 Multipliers'!$P$2:$Q$6,2,FALSE))</f>
        <v/>
      </c>
      <c r="V191" s="115"/>
      <c r="W191" s="363" t="str">
        <f>IF(V191="","",IF(VLOOKUP(V191,'G-7 WaterC'' Data'!$AA$4:$AB$7,2,FALSE)=0,"Spatial Data Missing ⚠",VLOOKUP(V191,'G-7 WaterC'' Data'!$AA$4:$AB$7,2,FALSE)))</f>
        <v/>
      </c>
      <c r="X191" s="60"/>
      <c r="Y191" s="363" t="str">
        <f>IF(X191="","",IF(VLOOKUP(X191,'G-7 WaterC'' Data'!$AD$4:$AE$14,2,FALSE)=0,"Enrcoachment Data Missing ⚠",VLOOKUP(X191,'G-7 WaterC'' Data'!$AD$4:$AE$14,2,FALSE)))</f>
        <v/>
      </c>
      <c r="Z191" s="115"/>
      <c r="AA191" s="363" t="str">
        <f>IF(Z191="","",IF(VLOOKUP(Z191,'G-7 WaterC'' Data'!$AO$4:$BO$7,2,FALSE)=0,"Spatial Data Missing ⚠",VLOOKUP(Z191,'G-7 WaterC'' Data'!$AO$4:$BO$7,2,FALSE)))</f>
        <v/>
      </c>
      <c r="AB191" s="405" t="str">
        <f t="shared" si="16"/>
        <v/>
      </c>
      <c r="AC191" s="405" t="str">
        <f t="shared" si="17"/>
        <v/>
      </c>
      <c r="AD191" s="117"/>
      <c r="AE191" s="692"/>
      <c r="AF191" s="119"/>
      <c r="AG191" s="120"/>
      <c r="AL191" s="30" t="str">
        <f>IFERROR(INDEX('G-7 WaterC'' Data'!$AZ$3:$AZ$7,MATCH(C191,'G-7 WaterC'' Data'!$AY$3:$AY$7,0)),"")</f>
        <v/>
      </c>
    </row>
    <row r="192" spans="2:38" ht="15">
      <c r="B192" s="110">
        <v>181</v>
      </c>
      <c r="C192" s="501"/>
      <c r="D192" s="139"/>
      <c r="E192" s="362" t="str">
        <f>IF(C192="","",VLOOKUP(C192,'G-7 WaterC'' Data'!$B$2:$Z$9,2,FALSE))</f>
        <v/>
      </c>
      <c r="F192" s="363" t="str">
        <f>IFERROR(VLOOKUP(E192,'G-7 WaterC'' Data'!$C$4:$D$8,2,FALSE),"")</f>
        <v/>
      </c>
      <c r="G192" s="114"/>
      <c r="H192" s="363" t="str">
        <f>IFERROR(INDEX('G-7 WaterC'' Data'!$H$4:$L$8,MATCH(C192,'G-7 WaterC'' Data'!$B$4:$B$8,0),MATCH(G192,'G-7 WaterC'' Data'!$H$3:$L$3,0)),"")</f>
        <v/>
      </c>
      <c r="I192" s="54"/>
      <c r="J192" s="401" t="str">
        <f>IF(I192="","",IF(VLOOKUP(I192,'G-7 WaterC'' Data'!$AK$4:$AM$6,2,FALSE)=0,"Spatial Data Missing ⚠",VLOOKUP(I192,'G-7 WaterC'' Data'!$AK$4:$AM$6,2,FALSE)))</f>
        <v/>
      </c>
      <c r="K192" s="363" t="str">
        <f>IF(I192="","",IF(VLOOKUP(I192,'G-7 WaterC'' Data'!$AK$4:$AM$6,3,FALSE)=0,"Spatial Data Missing ⚠",VLOOKUP(I192,'G-7 WaterC'' Data'!$AK$4:$AM$6,3,FALSE)))</f>
        <v/>
      </c>
      <c r="L192" s="478" t="str">
        <f>IFERROR(INDEX('G-7 WaterC'' Data'!$O$3:$O$7,MATCH(G192,'G-7 WaterC'' Data'!$N$3:$N$7,0)),"")</f>
        <v/>
      </c>
      <c r="M192" s="55"/>
      <c r="N192" s="159"/>
      <c r="O192" s="370" t="str">
        <f t="shared" si="12"/>
        <v/>
      </c>
      <c r="P192" s="383" t="str">
        <f t="shared" si="13"/>
        <v/>
      </c>
      <c r="Q192" s="422" t="str">
        <f>IFERROR(IF(P192="Check Data ⚠","Check Data ⚠",VLOOKUP(P192,'G-4 Temporal multipliers'!$A$4:$C$37,3,FALSE)),"")</f>
        <v/>
      </c>
      <c r="R192" s="362" t="str">
        <f>IF(C192="","",VLOOKUP(C192,'G-7 WaterC'' Data'!$B$4:$G$8,4,FALSE))</f>
        <v/>
      </c>
      <c r="S192" s="370" t="str">
        <f t="shared" si="14"/>
        <v/>
      </c>
      <c r="T192" s="401" t="str">
        <f t="shared" si="15"/>
        <v/>
      </c>
      <c r="U192" s="363" t="str">
        <f>IF(C192="","",VLOOKUP(T192,'G-3 Multipliers'!$P$2:$Q$6,2,FALSE))</f>
        <v/>
      </c>
      <c r="V192" s="115"/>
      <c r="W192" s="363" t="str">
        <f>IF(V192="","",IF(VLOOKUP(V192,'G-7 WaterC'' Data'!$AA$4:$AB$7,2,FALSE)=0,"Spatial Data Missing ⚠",VLOOKUP(V192,'G-7 WaterC'' Data'!$AA$4:$AB$7,2,FALSE)))</f>
        <v/>
      </c>
      <c r="X192" s="60"/>
      <c r="Y192" s="363" t="str">
        <f>IF(X192="","",IF(VLOOKUP(X192,'G-7 WaterC'' Data'!$AD$4:$AE$14,2,FALSE)=0,"Enrcoachment Data Missing ⚠",VLOOKUP(X192,'G-7 WaterC'' Data'!$AD$4:$AE$14,2,FALSE)))</f>
        <v/>
      </c>
      <c r="Z192" s="115"/>
      <c r="AA192" s="363" t="str">
        <f>IF(Z192="","",IF(VLOOKUP(Z192,'G-7 WaterC'' Data'!$AO$4:$BO$7,2,FALSE)=0,"Spatial Data Missing ⚠",VLOOKUP(Z192,'G-7 WaterC'' Data'!$AO$4:$BO$7,2,FALSE)))</f>
        <v/>
      </c>
      <c r="AB192" s="405" t="str">
        <f t="shared" si="16"/>
        <v/>
      </c>
      <c r="AC192" s="405" t="str">
        <f t="shared" si="17"/>
        <v/>
      </c>
      <c r="AD192" s="117"/>
      <c r="AE192" s="692"/>
      <c r="AF192" s="119"/>
      <c r="AG192" s="120"/>
      <c r="AL192" s="30" t="str">
        <f>IFERROR(INDEX('G-7 WaterC'' Data'!$AZ$3:$AZ$7,MATCH(C192,'G-7 WaterC'' Data'!$AY$3:$AY$7,0)),"")</f>
        <v/>
      </c>
    </row>
    <row r="193" spans="2:38" ht="15">
      <c r="B193" s="110">
        <v>182</v>
      </c>
      <c r="C193" s="501"/>
      <c r="D193" s="139"/>
      <c r="E193" s="362" t="str">
        <f>IF(C193="","",VLOOKUP(C193,'G-7 WaterC'' Data'!$B$2:$Z$9,2,FALSE))</f>
        <v/>
      </c>
      <c r="F193" s="363" t="str">
        <f>IFERROR(VLOOKUP(E193,'G-7 WaterC'' Data'!$C$4:$D$8,2,FALSE),"")</f>
        <v/>
      </c>
      <c r="G193" s="114"/>
      <c r="H193" s="363" t="str">
        <f>IFERROR(INDEX('G-7 WaterC'' Data'!$H$4:$L$8,MATCH(C193,'G-7 WaterC'' Data'!$B$4:$B$8,0),MATCH(G193,'G-7 WaterC'' Data'!$H$3:$L$3,0)),"")</f>
        <v/>
      </c>
      <c r="I193" s="54"/>
      <c r="J193" s="401" t="str">
        <f>IF(I193="","",IF(VLOOKUP(I193,'G-7 WaterC'' Data'!$AK$4:$AM$6,2,FALSE)=0,"Spatial Data Missing ⚠",VLOOKUP(I193,'G-7 WaterC'' Data'!$AK$4:$AM$6,2,FALSE)))</f>
        <v/>
      </c>
      <c r="K193" s="363" t="str">
        <f>IF(I193="","",IF(VLOOKUP(I193,'G-7 WaterC'' Data'!$AK$4:$AM$6,3,FALSE)=0,"Spatial Data Missing ⚠",VLOOKUP(I193,'G-7 WaterC'' Data'!$AK$4:$AM$6,3,FALSE)))</f>
        <v/>
      </c>
      <c r="L193" s="478" t="str">
        <f>IFERROR(INDEX('G-7 WaterC'' Data'!$O$3:$O$7,MATCH(G193,'G-7 WaterC'' Data'!$N$3:$N$7,0)),"")</f>
        <v/>
      </c>
      <c r="M193" s="55"/>
      <c r="N193" s="159"/>
      <c r="O193" s="370" t="str">
        <f t="shared" si="12"/>
        <v/>
      </c>
      <c r="P193" s="383" t="str">
        <f t="shared" si="13"/>
        <v/>
      </c>
      <c r="Q193" s="422" t="str">
        <f>IFERROR(IF(P193="Check Data ⚠","Check Data ⚠",VLOOKUP(P193,'G-4 Temporal multipliers'!$A$4:$C$37,3,FALSE)),"")</f>
        <v/>
      </c>
      <c r="R193" s="362" t="str">
        <f>IF(C193="","",VLOOKUP(C193,'G-7 WaterC'' Data'!$B$4:$G$8,4,FALSE))</f>
        <v/>
      </c>
      <c r="S193" s="370" t="str">
        <f t="shared" si="14"/>
        <v/>
      </c>
      <c r="T193" s="401" t="str">
        <f t="shared" si="15"/>
        <v/>
      </c>
      <c r="U193" s="363" t="str">
        <f>IF(C193="","",VLOOKUP(T193,'G-3 Multipliers'!$P$2:$Q$6,2,FALSE))</f>
        <v/>
      </c>
      <c r="V193" s="115"/>
      <c r="W193" s="363" t="str">
        <f>IF(V193="","",IF(VLOOKUP(V193,'G-7 WaterC'' Data'!$AA$4:$AB$7,2,FALSE)=0,"Spatial Data Missing ⚠",VLOOKUP(V193,'G-7 WaterC'' Data'!$AA$4:$AB$7,2,FALSE)))</f>
        <v/>
      </c>
      <c r="X193" s="60"/>
      <c r="Y193" s="363" t="str">
        <f>IF(X193="","",IF(VLOOKUP(X193,'G-7 WaterC'' Data'!$AD$4:$AE$14,2,FALSE)=0,"Enrcoachment Data Missing ⚠",VLOOKUP(X193,'G-7 WaterC'' Data'!$AD$4:$AE$14,2,FALSE)))</f>
        <v/>
      </c>
      <c r="Z193" s="115"/>
      <c r="AA193" s="363" t="str">
        <f>IF(Z193="","",IF(VLOOKUP(Z193,'G-7 WaterC'' Data'!$AO$4:$BO$7,2,FALSE)=0,"Spatial Data Missing ⚠",VLOOKUP(Z193,'G-7 WaterC'' Data'!$AO$4:$BO$7,2,FALSE)))</f>
        <v/>
      </c>
      <c r="AB193" s="405" t="str">
        <f t="shared" si="16"/>
        <v/>
      </c>
      <c r="AC193" s="405" t="str">
        <f t="shared" si="17"/>
        <v/>
      </c>
      <c r="AD193" s="117"/>
      <c r="AE193" s="692"/>
      <c r="AF193" s="119"/>
      <c r="AG193" s="120"/>
      <c r="AL193" s="30" t="str">
        <f>IFERROR(INDEX('G-7 WaterC'' Data'!$AZ$3:$AZ$7,MATCH(C193,'G-7 WaterC'' Data'!$AY$3:$AY$7,0)),"")</f>
        <v/>
      </c>
    </row>
    <row r="194" spans="2:38" ht="15">
      <c r="B194" s="110">
        <v>183</v>
      </c>
      <c r="C194" s="501"/>
      <c r="D194" s="139"/>
      <c r="E194" s="362" t="str">
        <f>IF(C194="","",VLOOKUP(C194,'G-7 WaterC'' Data'!$B$2:$Z$9,2,FALSE))</f>
        <v/>
      </c>
      <c r="F194" s="363" t="str">
        <f>IFERROR(VLOOKUP(E194,'G-7 WaterC'' Data'!$C$4:$D$8,2,FALSE),"")</f>
        <v/>
      </c>
      <c r="G194" s="114"/>
      <c r="H194" s="363" t="str">
        <f>IFERROR(INDEX('G-7 WaterC'' Data'!$H$4:$L$8,MATCH(C194,'G-7 WaterC'' Data'!$B$4:$B$8,0),MATCH(G194,'G-7 WaterC'' Data'!$H$3:$L$3,0)),"")</f>
        <v/>
      </c>
      <c r="I194" s="54"/>
      <c r="J194" s="401" t="str">
        <f>IF(I194="","",IF(VLOOKUP(I194,'G-7 WaterC'' Data'!$AK$4:$AM$6,2,FALSE)=0,"Spatial Data Missing ⚠",VLOOKUP(I194,'G-7 WaterC'' Data'!$AK$4:$AM$6,2,FALSE)))</f>
        <v/>
      </c>
      <c r="K194" s="363" t="str">
        <f>IF(I194="","",IF(VLOOKUP(I194,'G-7 WaterC'' Data'!$AK$4:$AM$6,3,FALSE)=0,"Spatial Data Missing ⚠",VLOOKUP(I194,'G-7 WaterC'' Data'!$AK$4:$AM$6,3,FALSE)))</f>
        <v/>
      </c>
      <c r="L194" s="478" t="str">
        <f>IFERROR(INDEX('G-7 WaterC'' Data'!$O$3:$O$7,MATCH(G194,'G-7 WaterC'' Data'!$N$3:$N$7,0)),"")</f>
        <v/>
      </c>
      <c r="M194" s="55"/>
      <c r="N194" s="159"/>
      <c r="O194" s="370" t="str">
        <f t="shared" si="12"/>
        <v/>
      </c>
      <c r="P194" s="383" t="str">
        <f t="shared" si="13"/>
        <v/>
      </c>
      <c r="Q194" s="422" t="str">
        <f>IFERROR(IF(P194="Check Data ⚠","Check Data ⚠",VLOOKUP(P194,'G-4 Temporal multipliers'!$A$4:$C$37,3,FALSE)),"")</f>
        <v/>
      </c>
      <c r="R194" s="362" t="str">
        <f>IF(C194="","",VLOOKUP(C194,'G-7 WaterC'' Data'!$B$4:$G$8,4,FALSE))</f>
        <v/>
      </c>
      <c r="S194" s="370" t="str">
        <f t="shared" si="14"/>
        <v/>
      </c>
      <c r="T194" s="401" t="str">
        <f t="shared" si="15"/>
        <v/>
      </c>
      <c r="U194" s="363" t="str">
        <f>IF(C194="","",VLOOKUP(T194,'G-3 Multipliers'!$P$2:$Q$6,2,FALSE))</f>
        <v/>
      </c>
      <c r="V194" s="115"/>
      <c r="W194" s="363" t="str">
        <f>IF(V194="","",IF(VLOOKUP(V194,'G-7 WaterC'' Data'!$AA$4:$AB$7,2,FALSE)=0,"Spatial Data Missing ⚠",VLOOKUP(V194,'G-7 WaterC'' Data'!$AA$4:$AB$7,2,FALSE)))</f>
        <v/>
      </c>
      <c r="X194" s="60"/>
      <c r="Y194" s="363" t="str">
        <f>IF(X194="","",IF(VLOOKUP(X194,'G-7 WaterC'' Data'!$AD$4:$AE$14,2,FALSE)=0,"Enrcoachment Data Missing ⚠",VLOOKUP(X194,'G-7 WaterC'' Data'!$AD$4:$AE$14,2,FALSE)))</f>
        <v/>
      </c>
      <c r="Z194" s="115"/>
      <c r="AA194" s="363" t="str">
        <f>IF(Z194="","",IF(VLOOKUP(Z194,'G-7 WaterC'' Data'!$AO$4:$BO$7,2,FALSE)=0,"Spatial Data Missing ⚠",VLOOKUP(Z194,'G-7 WaterC'' Data'!$AO$4:$BO$7,2,FALSE)))</f>
        <v/>
      </c>
      <c r="AB194" s="405" t="str">
        <f t="shared" si="16"/>
        <v/>
      </c>
      <c r="AC194" s="405" t="str">
        <f t="shared" si="17"/>
        <v/>
      </c>
      <c r="AD194" s="117"/>
      <c r="AE194" s="692"/>
      <c r="AF194" s="119"/>
      <c r="AG194" s="120"/>
      <c r="AL194" s="30" t="str">
        <f>IFERROR(INDEX('G-7 WaterC'' Data'!$AZ$3:$AZ$7,MATCH(C194,'G-7 WaterC'' Data'!$AY$3:$AY$7,0)),"")</f>
        <v/>
      </c>
    </row>
    <row r="195" spans="2:38" ht="15">
      <c r="B195" s="110">
        <v>184</v>
      </c>
      <c r="C195" s="501"/>
      <c r="D195" s="139"/>
      <c r="E195" s="362" t="str">
        <f>IF(C195="","",VLOOKUP(C195,'G-7 WaterC'' Data'!$B$2:$Z$9,2,FALSE))</f>
        <v/>
      </c>
      <c r="F195" s="363" t="str">
        <f>IFERROR(VLOOKUP(E195,'G-7 WaterC'' Data'!$C$4:$D$8,2,FALSE),"")</f>
        <v/>
      </c>
      <c r="G195" s="114"/>
      <c r="H195" s="363" t="str">
        <f>IFERROR(INDEX('G-7 WaterC'' Data'!$H$4:$L$8,MATCH(C195,'G-7 WaterC'' Data'!$B$4:$B$8,0),MATCH(G195,'G-7 WaterC'' Data'!$H$3:$L$3,0)),"")</f>
        <v/>
      </c>
      <c r="I195" s="54"/>
      <c r="J195" s="401" t="str">
        <f>IF(I195="","",IF(VLOOKUP(I195,'G-7 WaterC'' Data'!$AK$4:$AM$6,2,FALSE)=0,"Spatial Data Missing ⚠",VLOOKUP(I195,'G-7 WaterC'' Data'!$AK$4:$AM$6,2,FALSE)))</f>
        <v/>
      </c>
      <c r="K195" s="363" t="str">
        <f>IF(I195="","",IF(VLOOKUP(I195,'G-7 WaterC'' Data'!$AK$4:$AM$6,3,FALSE)=0,"Spatial Data Missing ⚠",VLOOKUP(I195,'G-7 WaterC'' Data'!$AK$4:$AM$6,3,FALSE)))</f>
        <v/>
      </c>
      <c r="L195" s="478" t="str">
        <f>IFERROR(INDEX('G-7 WaterC'' Data'!$O$3:$O$7,MATCH(G195,'G-7 WaterC'' Data'!$N$3:$N$7,0)),"")</f>
        <v/>
      </c>
      <c r="M195" s="55"/>
      <c r="N195" s="159"/>
      <c r="O195" s="370" t="str">
        <f t="shared" si="12"/>
        <v/>
      </c>
      <c r="P195" s="383" t="str">
        <f t="shared" si="13"/>
        <v/>
      </c>
      <c r="Q195" s="422" t="str">
        <f>IFERROR(IF(P195="Check Data ⚠","Check Data ⚠",VLOOKUP(P195,'G-4 Temporal multipliers'!$A$4:$C$37,3,FALSE)),"")</f>
        <v/>
      </c>
      <c r="R195" s="362" t="str">
        <f>IF(C195="","",VLOOKUP(C195,'G-7 WaterC'' Data'!$B$4:$G$8,4,FALSE))</f>
        <v/>
      </c>
      <c r="S195" s="370" t="str">
        <f t="shared" si="14"/>
        <v/>
      </c>
      <c r="T195" s="401" t="str">
        <f t="shared" si="15"/>
        <v/>
      </c>
      <c r="U195" s="363" t="str">
        <f>IF(C195="","",VLOOKUP(T195,'G-3 Multipliers'!$P$2:$Q$6,2,FALSE))</f>
        <v/>
      </c>
      <c r="V195" s="115"/>
      <c r="W195" s="363" t="str">
        <f>IF(V195="","",IF(VLOOKUP(V195,'G-7 WaterC'' Data'!$AA$4:$AB$7,2,FALSE)=0,"Spatial Data Missing ⚠",VLOOKUP(V195,'G-7 WaterC'' Data'!$AA$4:$AB$7,2,FALSE)))</f>
        <v/>
      </c>
      <c r="X195" s="60"/>
      <c r="Y195" s="363" t="str">
        <f>IF(X195="","",IF(VLOOKUP(X195,'G-7 WaterC'' Data'!$AD$4:$AE$14,2,FALSE)=0,"Enrcoachment Data Missing ⚠",VLOOKUP(X195,'G-7 WaterC'' Data'!$AD$4:$AE$14,2,FALSE)))</f>
        <v/>
      </c>
      <c r="Z195" s="115"/>
      <c r="AA195" s="363" t="str">
        <f>IF(Z195="","",IF(VLOOKUP(Z195,'G-7 WaterC'' Data'!$AO$4:$BO$7,2,FALSE)=0,"Spatial Data Missing ⚠",VLOOKUP(Z195,'G-7 WaterC'' Data'!$AO$4:$BO$7,2,FALSE)))</f>
        <v/>
      </c>
      <c r="AB195" s="405" t="str">
        <f t="shared" si="16"/>
        <v/>
      </c>
      <c r="AC195" s="405" t="str">
        <f t="shared" si="17"/>
        <v/>
      </c>
      <c r="AD195" s="117"/>
      <c r="AE195" s="692"/>
      <c r="AF195" s="119"/>
      <c r="AG195" s="120"/>
      <c r="AL195" s="30" t="str">
        <f>IFERROR(INDEX('G-7 WaterC'' Data'!$AZ$3:$AZ$7,MATCH(C195,'G-7 WaterC'' Data'!$AY$3:$AY$7,0)),"")</f>
        <v/>
      </c>
    </row>
    <row r="196" spans="2:38" ht="15">
      <c r="B196" s="110">
        <v>185</v>
      </c>
      <c r="C196" s="501"/>
      <c r="D196" s="139"/>
      <c r="E196" s="362" t="str">
        <f>IF(C196="","",VLOOKUP(C196,'G-7 WaterC'' Data'!$B$2:$Z$9,2,FALSE))</f>
        <v/>
      </c>
      <c r="F196" s="363" t="str">
        <f>IFERROR(VLOOKUP(E196,'G-7 WaterC'' Data'!$C$4:$D$8,2,FALSE),"")</f>
        <v/>
      </c>
      <c r="G196" s="114"/>
      <c r="H196" s="363" t="str">
        <f>IFERROR(INDEX('G-7 WaterC'' Data'!$H$4:$L$8,MATCH(C196,'G-7 WaterC'' Data'!$B$4:$B$8,0),MATCH(G196,'G-7 WaterC'' Data'!$H$3:$L$3,0)),"")</f>
        <v/>
      </c>
      <c r="I196" s="54"/>
      <c r="J196" s="401" t="str">
        <f>IF(I196="","",IF(VLOOKUP(I196,'G-7 WaterC'' Data'!$AK$4:$AM$6,2,FALSE)=0,"Spatial Data Missing ⚠",VLOOKUP(I196,'G-7 WaterC'' Data'!$AK$4:$AM$6,2,FALSE)))</f>
        <v/>
      </c>
      <c r="K196" s="363" t="str">
        <f>IF(I196="","",IF(VLOOKUP(I196,'G-7 WaterC'' Data'!$AK$4:$AM$6,3,FALSE)=0,"Spatial Data Missing ⚠",VLOOKUP(I196,'G-7 WaterC'' Data'!$AK$4:$AM$6,3,FALSE)))</f>
        <v/>
      </c>
      <c r="L196" s="478" t="str">
        <f>IFERROR(INDEX('G-7 WaterC'' Data'!$O$3:$O$7,MATCH(G196,'G-7 WaterC'' Data'!$N$3:$N$7,0)),"")</f>
        <v/>
      </c>
      <c r="M196" s="55"/>
      <c r="N196" s="159"/>
      <c r="O196" s="370" t="str">
        <f t="shared" si="12"/>
        <v/>
      </c>
      <c r="P196" s="383" t="str">
        <f t="shared" si="13"/>
        <v/>
      </c>
      <c r="Q196" s="422" t="str">
        <f>IFERROR(IF(P196="Check Data ⚠","Check Data ⚠",VLOOKUP(P196,'G-4 Temporal multipliers'!$A$4:$C$37,3,FALSE)),"")</f>
        <v/>
      </c>
      <c r="R196" s="362" t="str">
        <f>IF(C196="","",VLOOKUP(C196,'G-7 WaterC'' Data'!$B$4:$G$8,4,FALSE))</f>
        <v/>
      </c>
      <c r="S196" s="370" t="str">
        <f t="shared" si="14"/>
        <v/>
      </c>
      <c r="T196" s="401" t="str">
        <f t="shared" si="15"/>
        <v/>
      </c>
      <c r="U196" s="363" t="str">
        <f>IF(C196="","",VLOOKUP(T196,'G-3 Multipliers'!$P$2:$Q$6,2,FALSE))</f>
        <v/>
      </c>
      <c r="V196" s="115"/>
      <c r="W196" s="363" t="str">
        <f>IF(V196="","",IF(VLOOKUP(V196,'G-7 WaterC'' Data'!$AA$4:$AB$7,2,FALSE)=0,"Spatial Data Missing ⚠",VLOOKUP(V196,'G-7 WaterC'' Data'!$AA$4:$AB$7,2,FALSE)))</f>
        <v/>
      </c>
      <c r="X196" s="60"/>
      <c r="Y196" s="363" t="str">
        <f>IF(X196="","",IF(VLOOKUP(X196,'G-7 WaterC'' Data'!$AD$4:$AE$14,2,FALSE)=0,"Enrcoachment Data Missing ⚠",VLOOKUP(X196,'G-7 WaterC'' Data'!$AD$4:$AE$14,2,FALSE)))</f>
        <v/>
      </c>
      <c r="Z196" s="115"/>
      <c r="AA196" s="363" t="str">
        <f>IF(Z196="","",IF(VLOOKUP(Z196,'G-7 WaterC'' Data'!$AO$4:$BO$7,2,FALSE)=0,"Spatial Data Missing ⚠",VLOOKUP(Z196,'G-7 WaterC'' Data'!$AO$4:$BO$7,2,FALSE)))</f>
        <v/>
      </c>
      <c r="AB196" s="405" t="str">
        <f t="shared" si="16"/>
        <v/>
      </c>
      <c r="AC196" s="405" t="str">
        <f t="shared" si="17"/>
        <v/>
      </c>
      <c r="AD196" s="117"/>
      <c r="AE196" s="692"/>
      <c r="AF196" s="119"/>
      <c r="AG196" s="120"/>
      <c r="AL196" s="30" t="str">
        <f>IFERROR(INDEX('G-7 WaterC'' Data'!$AZ$3:$AZ$7,MATCH(C196,'G-7 WaterC'' Data'!$AY$3:$AY$7,0)),"")</f>
        <v/>
      </c>
    </row>
    <row r="197" spans="2:38" ht="15">
      <c r="B197" s="110">
        <v>186</v>
      </c>
      <c r="C197" s="501"/>
      <c r="D197" s="139"/>
      <c r="E197" s="362" t="str">
        <f>IF(C197="","",VLOOKUP(C197,'G-7 WaterC'' Data'!$B$2:$Z$9,2,FALSE))</f>
        <v/>
      </c>
      <c r="F197" s="363" t="str">
        <f>IFERROR(VLOOKUP(E197,'G-7 WaterC'' Data'!$C$4:$D$8,2,FALSE),"")</f>
        <v/>
      </c>
      <c r="G197" s="114"/>
      <c r="H197" s="363" t="str">
        <f>IFERROR(INDEX('G-7 WaterC'' Data'!$H$4:$L$8,MATCH(C197,'G-7 WaterC'' Data'!$B$4:$B$8,0),MATCH(G197,'G-7 WaterC'' Data'!$H$3:$L$3,0)),"")</f>
        <v/>
      </c>
      <c r="I197" s="54"/>
      <c r="J197" s="401" t="str">
        <f>IF(I197="","",IF(VLOOKUP(I197,'G-7 WaterC'' Data'!$AK$4:$AM$6,2,FALSE)=0,"Spatial Data Missing ⚠",VLOOKUP(I197,'G-7 WaterC'' Data'!$AK$4:$AM$6,2,FALSE)))</f>
        <v/>
      </c>
      <c r="K197" s="363" t="str">
        <f>IF(I197="","",IF(VLOOKUP(I197,'G-7 WaterC'' Data'!$AK$4:$AM$6,3,FALSE)=0,"Spatial Data Missing ⚠",VLOOKUP(I197,'G-7 WaterC'' Data'!$AK$4:$AM$6,3,FALSE)))</f>
        <v/>
      </c>
      <c r="L197" s="478" t="str">
        <f>IFERROR(INDEX('G-7 WaterC'' Data'!$O$3:$O$7,MATCH(G197,'G-7 WaterC'' Data'!$N$3:$N$7,0)),"")</f>
        <v/>
      </c>
      <c r="M197" s="55"/>
      <c r="N197" s="159"/>
      <c r="O197" s="370" t="str">
        <f t="shared" si="12"/>
        <v/>
      </c>
      <c r="P197" s="383" t="str">
        <f t="shared" si="13"/>
        <v/>
      </c>
      <c r="Q197" s="422" t="str">
        <f>IFERROR(IF(P197="Check Data ⚠","Check Data ⚠",VLOOKUP(P197,'G-4 Temporal multipliers'!$A$4:$C$37,3,FALSE)),"")</f>
        <v/>
      </c>
      <c r="R197" s="362" t="str">
        <f>IF(C197="","",VLOOKUP(C197,'G-7 WaterC'' Data'!$B$4:$G$8,4,FALSE))</f>
        <v/>
      </c>
      <c r="S197" s="370" t="str">
        <f t="shared" si="14"/>
        <v/>
      </c>
      <c r="T197" s="401" t="str">
        <f t="shared" si="15"/>
        <v/>
      </c>
      <c r="U197" s="363" t="str">
        <f>IF(C197="","",VLOOKUP(T197,'G-3 Multipliers'!$P$2:$Q$6,2,FALSE))</f>
        <v/>
      </c>
      <c r="V197" s="115"/>
      <c r="W197" s="363" t="str">
        <f>IF(V197="","",IF(VLOOKUP(V197,'G-7 WaterC'' Data'!$AA$4:$AB$7,2,FALSE)=0,"Spatial Data Missing ⚠",VLOOKUP(V197,'G-7 WaterC'' Data'!$AA$4:$AB$7,2,FALSE)))</f>
        <v/>
      </c>
      <c r="X197" s="60"/>
      <c r="Y197" s="363" t="str">
        <f>IF(X197="","",IF(VLOOKUP(X197,'G-7 WaterC'' Data'!$AD$4:$AE$14,2,FALSE)=0,"Enrcoachment Data Missing ⚠",VLOOKUP(X197,'G-7 WaterC'' Data'!$AD$4:$AE$14,2,FALSE)))</f>
        <v/>
      </c>
      <c r="Z197" s="115"/>
      <c r="AA197" s="363" t="str">
        <f>IF(Z197="","",IF(VLOOKUP(Z197,'G-7 WaterC'' Data'!$AO$4:$BO$7,2,FALSE)=0,"Spatial Data Missing ⚠",VLOOKUP(Z197,'G-7 WaterC'' Data'!$AO$4:$BO$7,2,FALSE)))</f>
        <v/>
      </c>
      <c r="AB197" s="405" t="str">
        <f t="shared" si="16"/>
        <v/>
      </c>
      <c r="AC197" s="405" t="str">
        <f t="shared" si="17"/>
        <v/>
      </c>
      <c r="AD197" s="117"/>
      <c r="AE197" s="692"/>
      <c r="AF197" s="119"/>
      <c r="AG197" s="120"/>
      <c r="AL197" s="30" t="str">
        <f>IFERROR(INDEX('G-7 WaterC'' Data'!$AZ$3:$AZ$7,MATCH(C197,'G-7 WaterC'' Data'!$AY$3:$AY$7,0)),"")</f>
        <v/>
      </c>
    </row>
    <row r="198" spans="2:38" ht="15">
      <c r="B198" s="110">
        <v>187</v>
      </c>
      <c r="C198" s="501"/>
      <c r="D198" s="139"/>
      <c r="E198" s="362" t="str">
        <f>IF(C198="","",VLOOKUP(C198,'G-7 WaterC'' Data'!$B$2:$Z$9,2,FALSE))</f>
        <v/>
      </c>
      <c r="F198" s="363" t="str">
        <f>IFERROR(VLOOKUP(E198,'G-7 WaterC'' Data'!$C$4:$D$8,2,FALSE),"")</f>
        <v/>
      </c>
      <c r="G198" s="114"/>
      <c r="H198" s="363" t="str">
        <f>IFERROR(INDEX('G-7 WaterC'' Data'!$H$4:$L$8,MATCH(C198,'G-7 WaterC'' Data'!$B$4:$B$8,0),MATCH(G198,'G-7 WaterC'' Data'!$H$3:$L$3,0)),"")</f>
        <v/>
      </c>
      <c r="I198" s="54"/>
      <c r="J198" s="401" t="str">
        <f>IF(I198="","",IF(VLOOKUP(I198,'G-7 WaterC'' Data'!$AK$4:$AM$6,2,FALSE)=0,"Spatial Data Missing ⚠",VLOOKUP(I198,'G-7 WaterC'' Data'!$AK$4:$AM$6,2,FALSE)))</f>
        <v/>
      </c>
      <c r="K198" s="363" t="str">
        <f>IF(I198="","",IF(VLOOKUP(I198,'G-7 WaterC'' Data'!$AK$4:$AM$6,3,FALSE)=0,"Spatial Data Missing ⚠",VLOOKUP(I198,'G-7 WaterC'' Data'!$AK$4:$AM$6,3,FALSE)))</f>
        <v/>
      </c>
      <c r="L198" s="478" t="str">
        <f>IFERROR(INDEX('G-7 WaterC'' Data'!$O$3:$O$7,MATCH(G198,'G-7 WaterC'' Data'!$N$3:$N$7,0)),"")</f>
        <v/>
      </c>
      <c r="M198" s="55"/>
      <c r="N198" s="159"/>
      <c r="O198" s="370" t="str">
        <f t="shared" si="12"/>
        <v/>
      </c>
      <c r="P198" s="383" t="str">
        <f t="shared" si="13"/>
        <v/>
      </c>
      <c r="Q198" s="422" t="str">
        <f>IFERROR(IF(P198="Check Data ⚠","Check Data ⚠",VLOOKUP(P198,'G-4 Temporal multipliers'!$A$4:$C$37,3,FALSE)),"")</f>
        <v/>
      </c>
      <c r="R198" s="362" t="str">
        <f>IF(C198="","",VLOOKUP(C198,'G-7 WaterC'' Data'!$B$4:$G$8,4,FALSE))</f>
        <v/>
      </c>
      <c r="S198" s="370" t="str">
        <f t="shared" si="14"/>
        <v/>
      </c>
      <c r="T198" s="401" t="str">
        <f t="shared" si="15"/>
        <v/>
      </c>
      <c r="U198" s="363" t="str">
        <f>IF(C198="","",VLOOKUP(T198,'G-3 Multipliers'!$P$2:$Q$6,2,FALSE))</f>
        <v/>
      </c>
      <c r="V198" s="115"/>
      <c r="W198" s="363" t="str">
        <f>IF(V198="","",IF(VLOOKUP(V198,'G-7 WaterC'' Data'!$AA$4:$AB$7,2,FALSE)=0,"Spatial Data Missing ⚠",VLOOKUP(V198,'G-7 WaterC'' Data'!$AA$4:$AB$7,2,FALSE)))</f>
        <v/>
      </c>
      <c r="X198" s="60"/>
      <c r="Y198" s="363" t="str">
        <f>IF(X198="","",IF(VLOOKUP(X198,'G-7 WaterC'' Data'!$AD$4:$AE$14,2,FALSE)=0,"Enrcoachment Data Missing ⚠",VLOOKUP(X198,'G-7 WaterC'' Data'!$AD$4:$AE$14,2,FALSE)))</f>
        <v/>
      </c>
      <c r="Z198" s="115"/>
      <c r="AA198" s="363" t="str">
        <f>IF(Z198="","",IF(VLOOKUP(Z198,'G-7 WaterC'' Data'!$AO$4:$BO$7,2,FALSE)=0,"Spatial Data Missing ⚠",VLOOKUP(Z198,'G-7 WaterC'' Data'!$AO$4:$BO$7,2,FALSE)))</f>
        <v/>
      </c>
      <c r="AB198" s="405" t="str">
        <f t="shared" si="16"/>
        <v/>
      </c>
      <c r="AC198" s="405" t="str">
        <f t="shared" si="17"/>
        <v/>
      </c>
      <c r="AD198" s="117"/>
      <c r="AE198" s="692"/>
      <c r="AF198" s="119"/>
      <c r="AG198" s="120"/>
      <c r="AL198" s="30" t="str">
        <f>IFERROR(INDEX('G-7 WaterC'' Data'!$AZ$3:$AZ$7,MATCH(C198,'G-7 WaterC'' Data'!$AY$3:$AY$7,0)),"")</f>
        <v/>
      </c>
    </row>
    <row r="199" spans="2:38" ht="15">
      <c r="B199" s="110">
        <v>188</v>
      </c>
      <c r="C199" s="501"/>
      <c r="D199" s="139"/>
      <c r="E199" s="362" t="str">
        <f>IF(C199="","",VLOOKUP(C199,'G-7 WaterC'' Data'!$B$2:$Z$9,2,FALSE))</f>
        <v/>
      </c>
      <c r="F199" s="363" t="str">
        <f>IFERROR(VLOOKUP(E199,'G-7 WaterC'' Data'!$C$4:$D$8,2,FALSE),"")</f>
        <v/>
      </c>
      <c r="G199" s="114"/>
      <c r="H199" s="363" t="str">
        <f>IFERROR(INDEX('G-7 WaterC'' Data'!$H$4:$L$8,MATCH(C199,'G-7 WaterC'' Data'!$B$4:$B$8,0),MATCH(G199,'G-7 WaterC'' Data'!$H$3:$L$3,0)),"")</f>
        <v/>
      </c>
      <c r="I199" s="54"/>
      <c r="J199" s="401" t="str">
        <f>IF(I199="","",IF(VLOOKUP(I199,'G-7 WaterC'' Data'!$AK$4:$AM$6,2,FALSE)=0,"Spatial Data Missing ⚠",VLOOKUP(I199,'G-7 WaterC'' Data'!$AK$4:$AM$6,2,FALSE)))</f>
        <v/>
      </c>
      <c r="K199" s="363" t="str">
        <f>IF(I199="","",IF(VLOOKUP(I199,'G-7 WaterC'' Data'!$AK$4:$AM$6,3,FALSE)=0,"Spatial Data Missing ⚠",VLOOKUP(I199,'G-7 WaterC'' Data'!$AK$4:$AM$6,3,FALSE)))</f>
        <v/>
      </c>
      <c r="L199" s="478" t="str">
        <f>IFERROR(INDEX('G-7 WaterC'' Data'!$O$3:$O$7,MATCH(G199,'G-7 WaterC'' Data'!$N$3:$N$7,0)),"")</f>
        <v/>
      </c>
      <c r="M199" s="55"/>
      <c r="N199" s="159"/>
      <c r="O199" s="370" t="str">
        <f t="shared" si="12"/>
        <v/>
      </c>
      <c r="P199" s="383" t="str">
        <f t="shared" si="13"/>
        <v/>
      </c>
      <c r="Q199" s="422" t="str">
        <f>IFERROR(IF(P199="Check Data ⚠","Check Data ⚠",VLOOKUP(P199,'G-4 Temporal multipliers'!$A$4:$C$37,3,FALSE)),"")</f>
        <v/>
      </c>
      <c r="R199" s="362" t="str">
        <f>IF(C199="","",VLOOKUP(C199,'G-7 WaterC'' Data'!$B$4:$G$8,4,FALSE))</f>
        <v/>
      </c>
      <c r="S199" s="370" t="str">
        <f t="shared" si="14"/>
        <v/>
      </c>
      <c r="T199" s="401" t="str">
        <f t="shared" si="15"/>
        <v/>
      </c>
      <c r="U199" s="363" t="str">
        <f>IF(C199="","",VLOOKUP(T199,'G-3 Multipliers'!$P$2:$Q$6,2,FALSE))</f>
        <v/>
      </c>
      <c r="V199" s="115"/>
      <c r="W199" s="363" t="str">
        <f>IF(V199="","",IF(VLOOKUP(V199,'G-7 WaterC'' Data'!$AA$4:$AB$7,2,FALSE)=0,"Spatial Data Missing ⚠",VLOOKUP(V199,'G-7 WaterC'' Data'!$AA$4:$AB$7,2,FALSE)))</f>
        <v/>
      </c>
      <c r="X199" s="60"/>
      <c r="Y199" s="363" t="str">
        <f>IF(X199="","",IF(VLOOKUP(X199,'G-7 WaterC'' Data'!$AD$4:$AE$14,2,FALSE)=0,"Enrcoachment Data Missing ⚠",VLOOKUP(X199,'G-7 WaterC'' Data'!$AD$4:$AE$14,2,FALSE)))</f>
        <v/>
      </c>
      <c r="Z199" s="115"/>
      <c r="AA199" s="363" t="str">
        <f>IF(Z199="","",IF(VLOOKUP(Z199,'G-7 WaterC'' Data'!$AO$4:$BO$7,2,FALSE)=0,"Spatial Data Missing ⚠",VLOOKUP(Z199,'G-7 WaterC'' Data'!$AO$4:$BO$7,2,FALSE)))</f>
        <v/>
      </c>
      <c r="AB199" s="405" t="str">
        <f t="shared" si="16"/>
        <v/>
      </c>
      <c r="AC199" s="405" t="str">
        <f t="shared" si="17"/>
        <v/>
      </c>
      <c r="AD199" s="117"/>
      <c r="AE199" s="692"/>
      <c r="AF199" s="119"/>
      <c r="AG199" s="120"/>
      <c r="AL199" s="30" t="str">
        <f>IFERROR(INDEX('G-7 WaterC'' Data'!$AZ$3:$AZ$7,MATCH(C199,'G-7 WaterC'' Data'!$AY$3:$AY$7,0)),"")</f>
        <v/>
      </c>
    </row>
    <row r="200" spans="2:38" ht="15">
      <c r="B200" s="110">
        <v>189</v>
      </c>
      <c r="C200" s="501"/>
      <c r="D200" s="139"/>
      <c r="E200" s="362" t="str">
        <f>IF(C200="","",VLOOKUP(C200,'G-7 WaterC'' Data'!$B$2:$Z$9,2,FALSE))</f>
        <v/>
      </c>
      <c r="F200" s="363" t="str">
        <f>IFERROR(VLOOKUP(E200,'G-7 WaterC'' Data'!$C$4:$D$8,2,FALSE),"")</f>
        <v/>
      </c>
      <c r="G200" s="114"/>
      <c r="H200" s="363" t="str">
        <f>IFERROR(INDEX('G-7 WaterC'' Data'!$H$4:$L$8,MATCH(C200,'G-7 WaterC'' Data'!$B$4:$B$8,0),MATCH(G200,'G-7 WaterC'' Data'!$H$3:$L$3,0)),"")</f>
        <v/>
      </c>
      <c r="I200" s="54"/>
      <c r="J200" s="401" t="str">
        <f>IF(I200="","",IF(VLOOKUP(I200,'G-7 WaterC'' Data'!$AK$4:$AM$6,2,FALSE)=0,"Spatial Data Missing ⚠",VLOOKUP(I200,'G-7 WaterC'' Data'!$AK$4:$AM$6,2,FALSE)))</f>
        <v/>
      </c>
      <c r="K200" s="363" t="str">
        <f>IF(I200="","",IF(VLOOKUP(I200,'G-7 WaterC'' Data'!$AK$4:$AM$6,3,FALSE)=0,"Spatial Data Missing ⚠",VLOOKUP(I200,'G-7 WaterC'' Data'!$AK$4:$AM$6,3,FALSE)))</f>
        <v/>
      </c>
      <c r="L200" s="478" t="str">
        <f>IFERROR(INDEX('G-7 WaterC'' Data'!$O$3:$O$7,MATCH(G200,'G-7 WaterC'' Data'!$N$3:$N$7,0)),"")</f>
        <v/>
      </c>
      <c r="M200" s="55"/>
      <c r="N200" s="159"/>
      <c r="O200" s="370" t="str">
        <f t="shared" si="12"/>
        <v/>
      </c>
      <c r="P200" s="383" t="str">
        <f t="shared" si="13"/>
        <v/>
      </c>
      <c r="Q200" s="422" t="str">
        <f>IFERROR(IF(P200="Check Data ⚠","Check Data ⚠",VLOOKUP(P200,'G-4 Temporal multipliers'!$A$4:$C$37,3,FALSE)),"")</f>
        <v/>
      </c>
      <c r="R200" s="362" t="str">
        <f>IF(C200="","",VLOOKUP(C200,'G-7 WaterC'' Data'!$B$4:$G$8,4,FALSE))</f>
        <v/>
      </c>
      <c r="S200" s="370" t="str">
        <f t="shared" si="14"/>
        <v/>
      </c>
      <c r="T200" s="401" t="str">
        <f t="shared" si="15"/>
        <v/>
      </c>
      <c r="U200" s="363" t="str">
        <f>IF(C200="","",VLOOKUP(T200,'G-3 Multipliers'!$P$2:$Q$6,2,FALSE))</f>
        <v/>
      </c>
      <c r="V200" s="115"/>
      <c r="W200" s="363" t="str">
        <f>IF(V200="","",IF(VLOOKUP(V200,'G-7 WaterC'' Data'!$AA$4:$AB$7,2,FALSE)=0,"Spatial Data Missing ⚠",VLOOKUP(V200,'G-7 WaterC'' Data'!$AA$4:$AB$7,2,FALSE)))</f>
        <v/>
      </c>
      <c r="X200" s="60"/>
      <c r="Y200" s="363" t="str">
        <f>IF(X200="","",IF(VLOOKUP(X200,'G-7 WaterC'' Data'!$AD$4:$AE$14,2,FALSE)=0,"Enrcoachment Data Missing ⚠",VLOOKUP(X200,'G-7 WaterC'' Data'!$AD$4:$AE$14,2,FALSE)))</f>
        <v/>
      </c>
      <c r="Z200" s="115"/>
      <c r="AA200" s="363" t="str">
        <f>IF(Z200="","",IF(VLOOKUP(Z200,'G-7 WaterC'' Data'!$AO$4:$BO$7,2,FALSE)=0,"Spatial Data Missing ⚠",VLOOKUP(Z200,'G-7 WaterC'' Data'!$AO$4:$BO$7,2,FALSE)))</f>
        <v/>
      </c>
      <c r="AB200" s="405" t="str">
        <f t="shared" si="16"/>
        <v/>
      </c>
      <c r="AC200" s="405" t="str">
        <f t="shared" si="17"/>
        <v/>
      </c>
      <c r="AD200" s="117"/>
      <c r="AE200" s="692"/>
      <c r="AF200" s="119"/>
      <c r="AG200" s="120"/>
      <c r="AL200" s="30" t="str">
        <f>IFERROR(INDEX('G-7 WaterC'' Data'!$AZ$3:$AZ$7,MATCH(C200,'G-7 WaterC'' Data'!$AY$3:$AY$7,0)),"")</f>
        <v/>
      </c>
    </row>
    <row r="201" spans="2:38" ht="15">
      <c r="B201" s="110">
        <v>190</v>
      </c>
      <c r="C201" s="501"/>
      <c r="D201" s="139"/>
      <c r="E201" s="362" t="str">
        <f>IF(C201="","",VLOOKUP(C201,'G-7 WaterC'' Data'!$B$2:$Z$9,2,FALSE))</f>
        <v/>
      </c>
      <c r="F201" s="363" t="str">
        <f>IFERROR(VLOOKUP(E201,'G-7 WaterC'' Data'!$C$4:$D$8,2,FALSE),"")</f>
        <v/>
      </c>
      <c r="G201" s="114"/>
      <c r="H201" s="363" t="str">
        <f>IFERROR(INDEX('G-7 WaterC'' Data'!$H$4:$L$8,MATCH(C201,'G-7 WaterC'' Data'!$B$4:$B$8,0),MATCH(G201,'G-7 WaterC'' Data'!$H$3:$L$3,0)),"")</f>
        <v/>
      </c>
      <c r="I201" s="54"/>
      <c r="J201" s="401" t="str">
        <f>IF(I201="","",IF(VLOOKUP(I201,'G-7 WaterC'' Data'!$AK$4:$AM$6,2,FALSE)=0,"Spatial Data Missing ⚠",VLOOKUP(I201,'G-7 WaterC'' Data'!$AK$4:$AM$6,2,FALSE)))</f>
        <v/>
      </c>
      <c r="K201" s="363" t="str">
        <f>IF(I201="","",IF(VLOOKUP(I201,'G-7 WaterC'' Data'!$AK$4:$AM$6,3,FALSE)=0,"Spatial Data Missing ⚠",VLOOKUP(I201,'G-7 WaterC'' Data'!$AK$4:$AM$6,3,FALSE)))</f>
        <v/>
      </c>
      <c r="L201" s="478" t="str">
        <f>IFERROR(INDEX('G-7 WaterC'' Data'!$O$3:$O$7,MATCH(G201,'G-7 WaterC'' Data'!$N$3:$N$7,0)),"")</f>
        <v/>
      </c>
      <c r="M201" s="55"/>
      <c r="N201" s="159"/>
      <c r="O201" s="370" t="str">
        <f t="shared" si="12"/>
        <v/>
      </c>
      <c r="P201" s="383" t="str">
        <f t="shared" si="13"/>
        <v/>
      </c>
      <c r="Q201" s="422" t="str">
        <f>IFERROR(IF(P201="Check Data ⚠","Check Data ⚠",VLOOKUP(P201,'G-4 Temporal multipliers'!$A$4:$C$37,3,FALSE)),"")</f>
        <v/>
      </c>
      <c r="R201" s="362" t="str">
        <f>IF(C201="","",VLOOKUP(C201,'G-7 WaterC'' Data'!$B$4:$G$8,4,FALSE))</f>
        <v/>
      </c>
      <c r="S201" s="370" t="str">
        <f t="shared" si="14"/>
        <v/>
      </c>
      <c r="T201" s="401" t="str">
        <f t="shared" si="15"/>
        <v/>
      </c>
      <c r="U201" s="363" t="str">
        <f>IF(C201="","",VLOOKUP(T201,'G-3 Multipliers'!$P$2:$Q$6,2,FALSE))</f>
        <v/>
      </c>
      <c r="V201" s="115"/>
      <c r="W201" s="363" t="str">
        <f>IF(V201="","",IF(VLOOKUP(V201,'G-7 WaterC'' Data'!$AA$4:$AB$7,2,FALSE)=0,"Spatial Data Missing ⚠",VLOOKUP(V201,'G-7 WaterC'' Data'!$AA$4:$AB$7,2,FALSE)))</f>
        <v/>
      </c>
      <c r="X201" s="60"/>
      <c r="Y201" s="363" t="str">
        <f>IF(X201="","",IF(VLOOKUP(X201,'G-7 WaterC'' Data'!$AD$4:$AE$14,2,FALSE)=0,"Enrcoachment Data Missing ⚠",VLOOKUP(X201,'G-7 WaterC'' Data'!$AD$4:$AE$14,2,FALSE)))</f>
        <v/>
      </c>
      <c r="Z201" s="115"/>
      <c r="AA201" s="363" t="str">
        <f>IF(Z201="","",IF(VLOOKUP(Z201,'G-7 WaterC'' Data'!$AO$4:$BO$7,2,FALSE)=0,"Spatial Data Missing ⚠",VLOOKUP(Z201,'G-7 WaterC'' Data'!$AO$4:$BO$7,2,FALSE)))</f>
        <v/>
      </c>
      <c r="AB201" s="405" t="str">
        <f t="shared" si="16"/>
        <v/>
      </c>
      <c r="AC201" s="405" t="str">
        <f t="shared" si="17"/>
        <v/>
      </c>
      <c r="AD201" s="117"/>
      <c r="AE201" s="692"/>
      <c r="AF201" s="119"/>
      <c r="AG201" s="120"/>
      <c r="AL201" s="30" t="str">
        <f>IFERROR(INDEX('G-7 WaterC'' Data'!$AZ$3:$AZ$7,MATCH(C201,'G-7 WaterC'' Data'!$AY$3:$AY$7,0)),"")</f>
        <v/>
      </c>
    </row>
    <row r="202" spans="2:38" ht="15">
      <c r="B202" s="110">
        <v>191</v>
      </c>
      <c r="C202" s="501"/>
      <c r="D202" s="139"/>
      <c r="E202" s="362" t="str">
        <f>IF(C202="","",VLOOKUP(C202,'G-7 WaterC'' Data'!$B$2:$Z$9,2,FALSE))</f>
        <v/>
      </c>
      <c r="F202" s="363" t="str">
        <f>IFERROR(VLOOKUP(E202,'G-7 WaterC'' Data'!$C$4:$D$8,2,FALSE),"")</f>
        <v/>
      </c>
      <c r="G202" s="114"/>
      <c r="H202" s="363" t="str">
        <f>IFERROR(INDEX('G-7 WaterC'' Data'!$H$4:$L$8,MATCH(C202,'G-7 WaterC'' Data'!$B$4:$B$8,0),MATCH(G202,'G-7 WaterC'' Data'!$H$3:$L$3,0)),"")</f>
        <v/>
      </c>
      <c r="I202" s="54"/>
      <c r="J202" s="401" t="str">
        <f>IF(I202="","",IF(VLOOKUP(I202,'G-7 WaterC'' Data'!$AK$4:$AM$6,2,FALSE)=0,"Spatial Data Missing ⚠",VLOOKUP(I202,'G-7 WaterC'' Data'!$AK$4:$AM$6,2,FALSE)))</f>
        <v/>
      </c>
      <c r="K202" s="363" t="str">
        <f>IF(I202="","",IF(VLOOKUP(I202,'G-7 WaterC'' Data'!$AK$4:$AM$6,3,FALSE)=0,"Spatial Data Missing ⚠",VLOOKUP(I202,'G-7 WaterC'' Data'!$AK$4:$AM$6,3,FALSE)))</f>
        <v/>
      </c>
      <c r="L202" s="478" t="str">
        <f>IFERROR(INDEX('G-7 WaterC'' Data'!$O$3:$O$7,MATCH(G202,'G-7 WaterC'' Data'!$N$3:$N$7,0)),"")</f>
        <v/>
      </c>
      <c r="M202" s="55"/>
      <c r="N202" s="159"/>
      <c r="O202" s="370" t="str">
        <f t="shared" si="12"/>
        <v/>
      </c>
      <c r="P202" s="383" t="str">
        <f t="shared" si="13"/>
        <v/>
      </c>
      <c r="Q202" s="422" t="str">
        <f>IFERROR(IF(P202="Check Data ⚠","Check Data ⚠",VLOOKUP(P202,'G-4 Temporal multipliers'!$A$4:$C$37,3,FALSE)),"")</f>
        <v/>
      </c>
      <c r="R202" s="362" t="str">
        <f>IF(C202="","",VLOOKUP(C202,'G-7 WaterC'' Data'!$B$4:$G$8,4,FALSE))</f>
        <v/>
      </c>
      <c r="S202" s="370" t="str">
        <f t="shared" si="14"/>
        <v/>
      </c>
      <c r="T202" s="401" t="str">
        <f t="shared" si="15"/>
        <v/>
      </c>
      <c r="U202" s="363" t="str">
        <f>IF(C202="","",VLOOKUP(T202,'G-3 Multipliers'!$P$2:$Q$6,2,FALSE))</f>
        <v/>
      </c>
      <c r="V202" s="115"/>
      <c r="W202" s="363" t="str">
        <f>IF(V202="","",IF(VLOOKUP(V202,'G-7 WaterC'' Data'!$AA$4:$AB$7,2,FALSE)=0,"Spatial Data Missing ⚠",VLOOKUP(V202,'G-7 WaterC'' Data'!$AA$4:$AB$7,2,FALSE)))</f>
        <v/>
      </c>
      <c r="X202" s="60"/>
      <c r="Y202" s="363" t="str">
        <f>IF(X202="","",IF(VLOOKUP(X202,'G-7 WaterC'' Data'!$AD$4:$AE$14,2,FALSE)=0,"Enrcoachment Data Missing ⚠",VLOOKUP(X202,'G-7 WaterC'' Data'!$AD$4:$AE$14,2,FALSE)))</f>
        <v/>
      </c>
      <c r="Z202" s="115"/>
      <c r="AA202" s="363" t="str">
        <f>IF(Z202="","",IF(VLOOKUP(Z202,'G-7 WaterC'' Data'!$AO$4:$BO$7,2,FALSE)=0,"Spatial Data Missing ⚠",VLOOKUP(Z202,'G-7 WaterC'' Data'!$AO$4:$BO$7,2,FALSE)))</f>
        <v/>
      </c>
      <c r="AB202" s="405" t="str">
        <f t="shared" si="16"/>
        <v/>
      </c>
      <c r="AC202" s="405" t="str">
        <f t="shared" si="17"/>
        <v/>
      </c>
      <c r="AD202" s="117"/>
      <c r="AE202" s="692"/>
      <c r="AF202" s="119"/>
      <c r="AG202" s="120"/>
      <c r="AL202" s="30" t="str">
        <f>IFERROR(INDEX('G-7 WaterC'' Data'!$AZ$3:$AZ$7,MATCH(C202,'G-7 WaterC'' Data'!$AY$3:$AY$7,0)),"")</f>
        <v/>
      </c>
    </row>
    <row r="203" spans="2:38" ht="15">
      <c r="B203" s="110">
        <v>192</v>
      </c>
      <c r="C203" s="501"/>
      <c r="D203" s="139"/>
      <c r="E203" s="362" t="str">
        <f>IF(C203="","",VLOOKUP(C203,'G-7 WaterC'' Data'!$B$2:$Z$9,2,FALSE))</f>
        <v/>
      </c>
      <c r="F203" s="363" t="str">
        <f>IFERROR(VLOOKUP(E203,'G-7 WaterC'' Data'!$C$4:$D$8,2,FALSE),"")</f>
        <v/>
      </c>
      <c r="G203" s="114"/>
      <c r="H203" s="363" t="str">
        <f>IFERROR(INDEX('G-7 WaterC'' Data'!$H$4:$L$8,MATCH(C203,'G-7 WaterC'' Data'!$B$4:$B$8,0),MATCH(G203,'G-7 WaterC'' Data'!$H$3:$L$3,0)),"")</f>
        <v/>
      </c>
      <c r="I203" s="54"/>
      <c r="J203" s="401" t="str">
        <f>IF(I203="","",IF(VLOOKUP(I203,'G-7 WaterC'' Data'!$AK$4:$AM$6,2,FALSE)=0,"Spatial Data Missing ⚠",VLOOKUP(I203,'G-7 WaterC'' Data'!$AK$4:$AM$6,2,FALSE)))</f>
        <v/>
      </c>
      <c r="K203" s="363" t="str">
        <f>IF(I203="","",IF(VLOOKUP(I203,'G-7 WaterC'' Data'!$AK$4:$AM$6,3,FALSE)=0,"Spatial Data Missing ⚠",VLOOKUP(I203,'G-7 WaterC'' Data'!$AK$4:$AM$6,3,FALSE)))</f>
        <v/>
      </c>
      <c r="L203" s="478" t="str">
        <f>IFERROR(INDEX('G-7 WaterC'' Data'!$O$3:$O$7,MATCH(G203,'G-7 WaterC'' Data'!$N$3:$N$7,0)),"")</f>
        <v/>
      </c>
      <c r="M203" s="55"/>
      <c r="N203" s="159"/>
      <c r="O203" s="370" t="str">
        <f t="shared" si="12"/>
        <v/>
      </c>
      <c r="P203" s="383" t="str">
        <f t="shared" si="13"/>
        <v/>
      </c>
      <c r="Q203" s="422" t="str">
        <f>IFERROR(IF(P203="Check Data ⚠","Check Data ⚠",VLOOKUP(P203,'G-4 Temporal multipliers'!$A$4:$C$37,3,FALSE)),"")</f>
        <v/>
      </c>
      <c r="R203" s="362" t="str">
        <f>IF(C203="","",VLOOKUP(C203,'G-7 WaterC'' Data'!$B$4:$G$8,4,FALSE))</f>
        <v/>
      </c>
      <c r="S203" s="370" t="str">
        <f t="shared" si="14"/>
        <v/>
      </c>
      <c r="T203" s="401" t="str">
        <f t="shared" si="15"/>
        <v/>
      </c>
      <c r="U203" s="363" t="str">
        <f>IF(C203="","",VLOOKUP(T203,'G-3 Multipliers'!$P$2:$Q$6,2,FALSE))</f>
        <v/>
      </c>
      <c r="V203" s="115"/>
      <c r="W203" s="363" t="str">
        <f>IF(V203="","",IF(VLOOKUP(V203,'G-7 WaterC'' Data'!$AA$4:$AB$7,2,FALSE)=0,"Spatial Data Missing ⚠",VLOOKUP(V203,'G-7 WaterC'' Data'!$AA$4:$AB$7,2,FALSE)))</f>
        <v/>
      </c>
      <c r="X203" s="60"/>
      <c r="Y203" s="363" t="str">
        <f>IF(X203="","",IF(VLOOKUP(X203,'G-7 WaterC'' Data'!$AD$4:$AE$14,2,FALSE)=0,"Enrcoachment Data Missing ⚠",VLOOKUP(X203,'G-7 WaterC'' Data'!$AD$4:$AE$14,2,FALSE)))</f>
        <v/>
      </c>
      <c r="Z203" s="115"/>
      <c r="AA203" s="363" t="str">
        <f>IF(Z203="","",IF(VLOOKUP(Z203,'G-7 WaterC'' Data'!$AO$4:$BO$7,2,FALSE)=0,"Spatial Data Missing ⚠",VLOOKUP(Z203,'G-7 WaterC'' Data'!$AO$4:$BO$7,2,FALSE)))</f>
        <v/>
      </c>
      <c r="AB203" s="405" t="str">
        <f t="shared" si="16"/>
        <v/>
      </c>
      <c r="AC203" s="405" t="str">
        <f t="shared" si="17"/>
        <v/>
      </c>
      <c r="AD203" s="117"/>
      <c r="AE203" s="692"/>
      <c r="AF203" s="119"/>
      <c r="AG203" s="120"/>
      <c r="AL203" s="30" t="str">
        <f>IFERROR(INDEX('G-7 WaterC'' Data'!$AZ$3:$AZ$7,MATCH(C203,'G-7 WaterC'' Data'!$AY$3:$AY$7,0)),"")</f>
        <v/>
      </c>
    </row>
    <row r="204" spans="2:38" ht="15">
      <c r="B204" s="110">
        <v>193</v>
      </c>
      <c r="C204" s="501"/>
      <c r="D204" s="139"/>
      <c r="E204" s="362" t="str">
        <f>IF(C204="","",VLOOKUP(C204,'G-7 WaterC'' Data'!$B$2:$Z$9,2,FALSE))</f>
        <v/>
      </c>
      <c r="F204" s="363" t="str">
        <f>IFERROR(VLOOKUP(E204,'G-7 WaterC'' Data'!$C$4:$D$8,2,FALSE),"")</f>
        <v/>
      </c>
      <c r="G204" s="114"/>
      <c r="H204" s="363" t="str">
        <f>IFERROR(INDEX('G-7 WaterC'' Data'!$H$4:$L$8,MATCH(C204,'G-7 WaterC'' Data'!$B$4:$B$8,0),MATCH(G204,'G-7 WaterC'' Data'!$H$3:$L$3,0)),"")</f>
        <v/>
      </c>
      <c r="I204" s="54"/>
      <c r="J204" s="401" t="str">
        <f>IF(I204="","",IF(VLOOKUP(I204,'G-7 WaterC'' Data'!$AK$4:$AM$6,2,FALSE)=0,"Spatial Data Missing ⚠",VLOOKUP(I204,'G-7 WaterC'' Data'!$AK$4:$AM$6,2,FALSE)))</f>
        <v/>
      </c>
      <c r="K204" s="363" t="str">
        <f>IF(I204="","",IF(VLOOKUP(I204,'G-7 WaterC'' Data'!$AK$4:$AM$6,3,FALSE)=0,"Spatial Data Missing ⚠",VLOOKUP(I204,'G-7 WaterC'' Data'!$AK$4:$AM$6,3,FALSE)))</f>
        <v/>
      </c>
      <c r="L204" s="478" t="str">
        <f>IFERROR(INDEX('G-7 WaterC'' Data'!$O$3:$O$7,MATCH(G204,'G-7 WaterC'' Data'!$N$3:$N$7,0)),"")</f>
        <v/>
      </c>
      <c r="M204" s="55"/>
      <c r="N204" s="159"/>
      <c r="O204" s="370" t="str">
        <f t="shared" si="12"/>
        <v/>
      </c>
      <c r="P204" s="383" t="str">
        <f t="shared" si="13"/>
        <v/>
      </c>
      <c r="Q204" s="422" t="str">
        <f>IFERROR(IF(P204="Check Data ⚠","Check Data ⚠",VLOOKUP(P204,'G-4 Temporal multipliers'!$A$4:$C$37,3,FALSE)),"")</f>
        <v/>
      </c>
      <c r="R204" s="362" t="str">
        <f>IF(C204="","",VLOOKUP(C204,'G-7 WaterC'' Data'!$B$4:$G$8,4,FALSE))</f>
        <v/>
      </c>
      <c r="S204" s="370" t="str">
        <f t="shared" si="14"/>
        <v/>
      </c>
      <c r="T204" s="401" t="str">
        <f t="shared" si="15"/>
        <v/>
      </c>
      <c r="U204" s="363" t="str">
        <f>IF(C204="","",VLOOKUP(T204,'G-3 Multipliers'!$P$2:$Q$6,2,FALSE))</f>
        <v/>
      </c>
      <c r="V204" s="115"/>
      <c r="W204" s="363" t="str">
        <f>IF(V204="","",IF(VLOOKUP(V204,'G-7 WaterC'' Data'!$AA$4:$AB$7,2,FALSE)=0,"Spatial Data Missing ⚠",VLOOKUP(V204,'G-7 WaterC'' Data'!$AA$4:$AB$7,2,FALSE)))</f>
        <v/>
      </c>
      <c r="X204" s="60"/>
      <c r="Y204" s="363" t="str">
        <f>IF(X204="","",IF(VLOOKUP(X204,'G-7 WaterC'' Data'!$AD$4:$AE$14,2,FALSE)=0,"Enrcoachment Data Missing ⚠",VLOOKUP(X204,'G-7 WaterC'' Data'!$AD$4:$AE$14,2,FALSE)))</f>
        <v/>
      </c>
      <c r="Z204" s="115"/>
      <c r="AA204" s="363" t="str">
        <f>IF(Z204="","",IF(VLOOKUP(Z204,'G-7 WaterC'' Data'!$AO$4:$BO$7,2,FALSE)=0,"Spatial Data Missing ⚠",VLOOKUP(Z204,'G-7 WaterC'' Data'!$AO$4:$BO$7,2,FALSE)))</f>
        <v/>
      </c>
      <c r="AB204" s="405" t="str">
        <f t="shared" si="16"/>
        <v/>
      </c>
      <c r="AC204" s="405" t="str">
        <f t="shared" si="17"/>
        <v/>
      </c>
      <c r="AD204" s="117"/>
      <c r="AE204" s="692"/>
      <c r="AF204" s="119"/>
      <c r="AG204" s="120"/>
      <c r="AL204" s="30" t="str">
        <f>IFERROR(INDEX('G-7 WaterC'' Data'!$AZ$3:$AZ$7,MATCH(C204,'G-7 WaterC'' Data'!$AY$3:$AY$7,0)),"")</f>
        <v/>
      </c>
    </row>
    <row r="205" spans="2:38" ht="15">
      <c r="B205" s="110">
        <v>194</v>
      </c>
      <c r="C205" s="501"/>
      <c r="D205" s="139"/>
      <c r="E205" s="362" t="str">
        <f>IF(C205="","",VLOOKUP(C205,'G-7 WaterC'' Data'!$B$2:$Z$9,2,FALSE))</f>
        <v/>
      </c>
      <c r="F205" s="363" t="str">
        <f>IFERROR(VLOOKUP(E205,'G-7 WaterC'' Data'!$C$4:$D$8,2,FALSE),"")</f>
        <v/>
      </c>
      <c r="G205" s="114"/>
      <c r="H205" s="363" t="str">
        <f>IFERROR(INDEX('G-7 WaterC'' Data'!$H$4:$L$8,MATCH(C205,'G-7 WaterC'' Data'!$B$4:$B$8,0),MATCH(G205,'G-7 WaterC'' Data'!$H$3:$L$3,0)),"")</f>
        <v/>
      </c>
      <c r="I205" s="54"/>
      <c r="J205" s="401" t="str">
        <f>IF(I205="","",IF(VLOOKUP(I205,'G-7 WaterC'' Data'!$AK$4:$AM$6,2,FALSE)=0,"Spatial Data Missing ⚠",VLOOKUP(I205,'G-7 WaterC'' Data'!$AK$4:$AM$6,2,FALSE)))</f>
        <v/>
      </c>
      <c r="K205" s="363" t="str">
        <f>IF(I205="","",IF(VLOOKUP(I205,'G-7 WaterC'' Data'!$AK$4:$AM$6,3,FALSE)=0,"Spatial Data Missing ⚠",VLOOKUP(I205,'G-7 WaterC'' Data'!$AK$4:$AM$6,3,FALSE)))</f>
        <v/>
      </c>
      <c r="L205" s="478" t="str">
        <f>IFERROR(INDEX('G-7 WaterC'' Data'!$O$3:$O$7,MATCH(G205,'G-7 WaterC'' Data'!$N$3:$N$7,0)),"")</f>
        <v/>
      </c>
      <c r="M205" s="55"/>
      <c r="N205" s="159"/>
      <c r="O205" s="370" t="str">
        <f t="shared" ref="O205:O259" si="18">IF(L205="","",IF(AND(M205&gt;0,N205&gt;0),"Error -both advance and delayed habitat creation ▲",IF(AND(OR(M205="Habitat already in target condition",L205&lt;=M205),N205=0),"Check details - Is there evidence that habitat has reached target condition? ⚠",IF(M205&gt;0,"Check details - Is there evidence habitat creation started/in place? ⚠",IF(N205&gt;0,"Check details- Delay in starting habitat in required condition? ⚠","Standard time to target condition applied")))))</f>
        <v/>
      </c>
      <c r="P205" s="383" t="str">
        <f t="shared" ref="P205:P259" si="19">IF(O205="Error -both advance and delayed habitat creation ▲","Check Data ⚠",IF(L205="","",IF(M205="30+",0,IF(N205="30+","30+",IF(L205+N205&gt;30,"30+",IF(L205+N205-M205&gt;0,L205+N205-M205,IF(L205-M205&lt;0,0,L205+N205-M205)))))))</f>
        <v/>
      </c>
      <c r="Q205" s="422" t="str">
        <f>IFERROR(IF(P205="Check Data ⚠","Check Data ⚠",VLOOKUP(P205,'G-4 Temporal multipliers'!$A$4:$C$37,3,FALSE)),"")</f>
        <v/>
      </c>
      <c r="R205" s="362" t="str">
        <f>IF(C205="","",VLOOKUP(C205,'G-7 WaterC'' Data'!$B$4:$G$8,4,FALSE))</f>
        <v/>
      </c>
      <c r="S205" s="370" t="str">
        <f t="shared" ref="S205:S259" si="20">IF(C205="","",IF(P205="Check Data ⚠","Check Data ⚠",IF(G205="","",IF($O205="Check details - Is there evidence that habitat has reached target condition? ⚠","No - Low Difficulty - only applicable if all habitat created before losses ⚠","Standard difficulty applied"))))</f>
        <v/>
      </c>
      <c r="T205" s="401" t="str">
        <f t="shared" ref="T205:T259" si="21">(IF(AND(S205="Standard difficulty applied",L205&gt;M205),R205,IF(AND(S205="No - Low Difficulty - only applicable if all habitat created before losses ⚠",M205&gt;=L205),"Low",R205)))</f>
        <v/>
      </c>
      <c r="U205" s="363" t="str">
        <f>IF(C205="","",VLOOKUP(T205,'G-3 Multipliers'!$P$2:$Q$6,2,FALSE))</f>
        <v/>
      </c>
      <c r="V205" s="115"/>
      <c r="W205" s="363" t="str">
        <f>IF(V205="","",IF(VLOOKUP(V205,'G-7 WaterC'' Data'!$AA$4:$AB$7,2,FALSE)=0,"Spatial Data Missing ⚠",VLOOKUP(V205,'G-7 WaterC'' Data'!$AA$4:$AB$7,2,FALSE)))</f>
        <v/>
      </c>
      <c r="X205" s="60"/>
      <c r="Y205" s="363" t="str">
        <f>IF(X205="","",IF(VLOOKUP(X205,'G-7 WaterC'' Data'!$AD$4:$AE$14,2,FALSE)=0,"Enrcoachment Data Missing ⚠",VLOOKUP(X205,'G-7 WaterC'' Data'!$AD$4:$AE$14,2,FALSE)))</f>
        <v/>
      </c>
      <c r="Z205" s="115"/>
      <c r="AA205" s="363" t="str">
        <f>IF(Z205="","",IF(VLOOKUP(Z205,'G-7 WaterC'' Data'!$AO$4:$BO$7,2,FALSE)=0,"Spatial Data Missing ⚠",VLOOKUP(Z205,'G-7 WaterC'' Data'!$AO$4:$BO$7,2,FALSE)))</f>
        <v/>
      </c>
      <c r="AB205" s="405" t="str">
        <f t="shared" ref="AB205:AB259" si="22">IFERROR(D205*F205*H205*K205*Q205*U205*W205*Y205*AA205,"")</f>
        <v/>
      </c>
      <c r="AC205" s="405" t="str">
        <f t="shared" ref="AC205:AC259" si="23">IFERROR(IF(Z205="","", D205*F205*H205*K205*Q205*U205*W205*Y205),"")</f>
        <v/>
      </c>
      <c r="AD205" s="117"/>
      <c r="AE205" s="692"/>
      <c r="AF205" s="119"/>
      <c r="AG205" s="120"/>
      <c r="AL205" s="30" t="str">
        <f>IFERROR(INDEX('G-7 WaterC'' Data'!$AZ$3:$AZ$7,MATCH(C205,'G-7 WaterC'' Data'!$AY$3:$AY$7,0)),"")</f>
        <v/>
      </c>
    </row>
    <row r="206" spans="2:38" ht="15">
      <c r="B206" s="110">
        <v>195</v>
      </c>
      <c r="C206" s="501"/>
      <c r="D206" s="139"/>
      <c r="E206" s="362" t="str">
        <f>IF(C206="","",VLOOKUP(C206,'G-7 WaterC'' Data'!$B$2:$Z$9,2,FALSE))</f>
        <v/>
      </c>
      <c r="F206" s="363" t="str">
        <f>IFERROR(VLOOKUP(E206,'G-7 WaterC'' Data'!$C$4:$D$8,2,FALSE),"")</f>
        <v/>
      </c>
      <c r="G206" s="114"/>
      <c r="H206" s="363" t="str">
        <f>IFERROR(INDEX('G-7 WaterC'' Data'!$H$4:$L$8,MATCH(C206,'G-7 WaterC'' Data'!$B$4:$B$8,0),MATCH(G206,'G-7 WaterC'' Data'!$H$3:$L$3,0)),"")</f>
        <v/>
      </c>
      <c r="I206" s="54"/>
      <c r="J206" s="401" t="str">
        <f>IF(I206="","",IF(VLOOKUP(I206,'G-7 WaterC'' Data'!$AK$4:$AM$6,2,FALSE)=0,"Spatial Data Missing ⚠",VLOOKUP(I206,'G-7 WaterC'' Data'!$AK$4:$AM$6,2,FALSE)))</f>
        <v/>
      </c>
      <c r="K206" s="363" t="str">
        <f>IF(I206="","",IF(VLOOKUP(I206,'G-7 WaterC'' Data'!$AK$4:$AM$6,3,FALSE)=0,"Spatial Data Missing ⚠",VLOOKUP(I206,'G-7 WaterC'' Data'!$AK$4:$AM$6,3,FALSE)))</f>
        <v/>
      </c>
      <c r="L206" s="478" t="str">
        <f>IFERROR(INDEX('G-7 WaterC'' Data'!$O$3:$O$7,MATCH(G206,'G-7 WaterC'' Data'!$N$3:$N$7,0)),"")</f>
        <v/>
      </c>
      <c r="M206" s="55"/>
      <c r="N206" s="159"/>
      <c r="O206" s="370" t="str">
        <f t="shared" si="18"/>
        <v/>
      </c>
      <c r="P206" s="383" t="str">
        <f t="shared" si="19"/>
        <v/>
      </c>
      <c r="Q206" s="422" t="str">
        <f>IFERROR(IF(P206="Check Data ⚠","Check Data ⚠",VLOOKUP(P206,'G-4 Temporal multipliers'!$A$4:$C$37,3,FALSE)),"")</f>
        <v/>
      </c>
      <c r="R206" s="362" t="str">
        <f>IF(C206="","",VLOOKUP(C206,'G-7 WaterC'' Data'!$B$4:$G$8,4,FALSE))</f>
        <v/>
      </c>
      <c r="S206" s="370" t="str">
        <f t="shared" si="20"/>
        <v/>
      </c>
      <c r="T206" s="401" t="str">
        <f t="shared" si="21"/>
        <v/>
      </c>
      <c r="U206" s="363" t="str">
        <f>IF(C206="","",VLOOKUP(T206,'G-3 Multipliers'!$P$2:$Q$6,2,FALSE))</f>
        <v/>
      </c>
      <c r="V206" s="115"/>
      <c r="W206" s="363" t="str">
        <f>IF(V206="","",IF(VLOOKUP(V206,'G-7 WaterC'' Data'!$AA$4:$AB$7,2,FALSE)=0,"Spatial Data Missing ⚠",VLOOKUP(V206,'G-7 WaterC'' Data'!$AA$4:$AB$7,2,FALSE)))</f>
        <v/>
      </c>
      <c r="X206" s="60"/>
      <c r="Y206" s="363" t="str">
        <f>IF(X206="","",IF(VLOOKUP(X206,'G-7 WaterC'' Data'!$AD$4:$AE$14,2,FALSE)=0,"Enrcoachment Data Missing ⚠",VLOOKUP(X206,'G-7 WaterC'' Data'!$AD$4:$AE$14,2,FALSE)))</f>
        <v/>
      </c>
      <c r="Z206" s="115"/>
      <c r="AA206" s="363" t="str">
        <f>IF(Z206="","",IF(VLOOKUP(Z206,'G-7 WaterC'' Data'!$AO$4:$BO$7,2,FALSE)=0,"Spatial Data Missing ⚠",VLOOKUP(Z206,'G-7 WaterC'' Data'!$AO$4:$BO$7,2,FALSE)))</f>
        <v/>
      </c>
      <c r="AB206" s="405" t="str">
        <f t="shared" si="22"/>
        <v/>
      </c>
      <c r="AC206" s="405" t="str">
        <f t="shared" si="23"/>
        <v/>
      </c>
      <c r="AD206" s="117"/>
      <c r="AE206" s="692"/>
      <c r="AF206" s="119"/>
      <c r="AG206" s="120"/>
      <c r="AL206" s="30" t="str">
        <f>IFERROR(INDEX('G-7 WaterC'' Data'!$AZ$3:$AZ$7,MATCH(C206,'G-7 WaterC'' Data'!$AY$3:$AY$7,0)),"")</f>
        <v/>
      </c>
    </row>
    <row r="207" spans="2:38" ht="15">
      <c r="B207" s="110">
        <v>196</v>
      </c>
      <c r="C207" s="501"/>
      <c r="D207" s="139"/>
      <c r="E207" s="362" t="str">
        <f>IF(C207="","",VLOOKUP(C207,'G-7 WaterC'' Data'!$B$2:$Z$9,2,FALSE))</f>
        <v/>
      </c>
      <c r="F207" s="363" t="str">
        <f>IFERROR(VLOOKUP(E207,'G-7 WaterC'' Data'!$C$4:$D$8,2,FALSE),"")</f>
        <v/>
      </c>
      <c r="G207" s="114"/>
      <c r="H207" s="363" t="str">
        <f>IFERROR(INDEX('G-7 WaterC'' Data'!$H$4:$L$8,MATCH(C207,'G-7 WaterC'' Data'!$B$4:$B$8,0),MATCH(G207,'G-7 WaterC'' Data'!$H$3:$L$3,0)),"")</f>
        <v/>
      </c>
      <c r="I207" s="54"/>
      <c r="J207" s="401" t="str">
        <f>IF(I207="","",IF(VLOOKUP(I207,'G-7 WaterC'' Data'!$AK$4:$AM$6,2,FALSE)=0,"Spatial Data Missing ⚠",VLOOKUP(I207,'G-7 WaterC'' Data'!$AK$4:$AM$6,2,FALSE)))</f>
        <v/>
      </c>
      <c r="K207" s="363" t="str">
        <f>IF(I207="","",IF(VLOOKUP(I207,'G-7 WaterC'' Data'!$AK$4:$AM$6,3,FALSE)=0,"Spatial Data Missing ⚠",VLOOKUP(I207,'G-7 WaterC'' Data'!$AK$4:$AM$6,3,FALSE)))</f>
        <v/>
      </c>
      <c r="L207" s="478" t="str">
        <f>IFERROR(INDEX('G-7 WaterC'' Data'!$O$3:$O$7,MATCH(G207,'G-7 WaterC'' Data'!$N$3:$N$7,0)),"")</f>
        <v/>
      </c>
      <c r="M207" s="55"/>
      <c r="N207" s="159"/>
      <c r="O207" s="370" t="str">
        <f t="shared" si="18"/>
        <v/>
      </c>
      <c r="P207" s="383" t="str">
        <f t="shared" si="19"/>
        <v/>
      </c>
      <c r="Q207" s="422" t="str">
        <f>IFERROR(IF(P207="Check Data ⚠","Check Data ⚠",VLOOKUP(P207,'G-4 Temporal multipliers'!$A$4:$C$37,3,FALSE)),"")</f>
        <v/>
      </c>
      <c r="R207" s="362" t="str">
        <f>IF(C207="","",VLOOKUP(C207,'G-7 WaterC'' Data'!$B$4:$G$8,4,FALSE))</f>
        <v/>
      </c>
      <c r="S207" s="370" t="str">
        <f t="shared" si="20"/>
        <v/>
      </c>
      <c r="T207" s="401" t="str">
        <f t="shared" si="21"/>
        <v/>
      </c>
      <c r="U207" s="363" t="str">
        <f>IF(C207="","",VLOOKUP(T207,'G-3 Multipliers'!$P$2:$Q$6,2,FALSE))</f>
        <v/>
      </c>
      <c r="V207" s="115"/>
      <c r="W207" s="363" t="str">
        <f>IF(V207="","",IF(VLOOKUP(V207,'G-7 WaterC'' Data'!$AA$4:$AB$7,2,FALSE)=0,"Spatial Data Missing ⚠",VLOOKUP(V207,'G-7 WaterC'' Data'!$AA$4:$AB$7,2,FALSE)))</f>
        <v/>
      </c>
      <c r="X207" s="60"/>
      <c r="Y207" s="363" t="str">
        <f>IF(X207="","",IF(VLOOKUP(X207,'G-7 WaterC'' Data'!$AD$4:$AE$14,2,FALSE)=0,"Enrcoachment Data Missing ⚠",VLOOKUP(X207,'G-7 WaterC'' Data'!$AD$4:$AE$14,2,FALSE)))</f>
        <v/>
      </c>
      <c r="Z207" s="115"/>
      <c r="AA207" s="363" t="str">
        <f>IF(Z207="","",IF(VLOOKUP(Z207,'G-7 WaterC'' Data'!$AO$4:$BO$7,2,FALSE)=0,"Spatial Data Missing ⚠",VLOOKUP(Z207,'G-7 WaterC'' Data'!$AO$4:$BO$7,2,FALSE)))</f>
        <v/>
      </c>
      <c r="AB207" s="405" t="str">
        <f t="shared" si="22"/>
        <v/>
      </c>
      <c r="AC207" s="405" t="str">
        <f t="shared" si="23"/>
        <v/>
      </c>
      <c r="AD207" s="117"/>
      <c r="AE207" s="692"/>
      <c r="AF207" s="119"/>
      <c r="AG207" s="120"/>
      <c r="AL207" s="30" t="str">
        <f>IFERROR(INDEX('G-7 WaterC'' Data'!$AZ$3:$AZ$7,MATCH(C207,'G-7 WaterC'' Data'!$AY$3:$AY$7,0)),"")</f>
        <v/>
      </c>
    </row>
    <row r="208" spans="2:38" ht="15">
      <c r="B208" s="110">
        <v>197</v>
      </c>
      <c r="C208" s="501"/>
      <c r="D208" s="139"/>
      <c r="E208" s="362" t="str">
        <f>IF(C208="","",VLOOKUP(C208,'G-7 WaterC'' Data'!$B$2:$Z$9,2,FALSE))</f>
        <v/>
      </c>
      <c r="F208" s="363" t="str">
        <f>IFERROR(VLOOKUP(E208,'G-7 WaterC'' Data'!$C$4:$D$8,2,FALSE),"")</f>
        <v/>
      </c>
      <c r="G208" s="114"/>
      <c r="H208" s="363" t="str">
        <f>IFERROR(INDEX('G-7 WaterC'' Data'!$H$4:$L$8,MATCH(C208,'G-7 WaterC'' Data'!$B$4:$B$8,0),MATCH(G208,'G-7 WaterC'' Data'!$H$3:$L$3,0)),"")</f>
        <v/>
      </c>
      <c r="I208" s="54"/>
      <c r="J208" s="401" t="str">
        <f>IF(I208="","",IF(VLOOKUP(I208,'G-7 WaterC'' Data'!$AK$4:$AM$6,2,FALSE)=0,"Spatial Data Missing ⚠",VLOOKUP(I208,'G-7 WaterC'' Data'!$AK$4:$AM$6,2,FALSE)))</f>
        <v/>
      </c>
      <c r="K208" s="363" t="str">
        <f>IF(I208="","",IF(VLOOKUP(I208,'G-7 WaterC'' Data'!$AK$4:$AM$6,3,FALSE)=0,"Spatial Data Missing ⚠",VLOOKUP(I208,'G-7 WaterC'' Data'!$AK$4:$AM$6,3,FALSE)))</f>
        <v/>
      </c>
      <c r="L208" s="478" t="str">
        <f>IFERROR(INDEX('G-7 WaterC'' Data'!$O$3:$O$7,MATCH(G208,'G-7 WaterC'' Data'!$N$3:$N$7,0)),"")</f>
        <v/>
      </c>
      <c r="M208" s="55"/>
      <c r="N208" s="159"/>
      <c r="O208" s="370" t="str">
        <f t="shared" si="18"/>
        <v/>
      </c>
      <c r="P208" s="383" t="str">
        <f t="shared" si="19"/>
        <v/>
      </c>
      <c r="Q208" s="422" t="str">
        <f>IFERROR(IF(P208="Check Data ⚠","Check Data ⚠",VLOOKUP(P208,'G-4 Temporal multipliers'!$A$4:$C$37,3,FALSE)),"")</f>
        <v/>
      </c>
      <c r="R208" s="362" t="str">
        <f>IF(C208="","",VLOOKUP(C208,'G-7 WaterC'' Data'!$B$4:$G$8,4,FALSE))</f>
        <v/>
      </c>
      <c r="S208" s="370" t="str">
        <f t="shared" si="20"/>
        <v/>
      </c>
      <c r="T208" s="401" t="str">
        <f t="shared" si="21"/>
        <v/>
      </c>
      <c r="U208" s="363" t="str">
        <f>IF(C208="","",VLOOKUP(T208,'G-3 Multipliers'!$P$2:$Q$6,2,FALSE))</f>
        <v/>
      </c>
      <c r="V208" s="115"/>
      <c r="W208" s="363" t="str">
        <f>IF(V208="","",IF(VLOOKUP(V208,'G-7 WaterC'' Data'!$AA$4:$AB$7,2,FALSE)=0,"Spatial Data Missing ⚠",VLOOKUP(V208,'G-7 WaterC'' Data'!$AA$4:$AB$7,2,FALSE)))</f>
        <v/>
      </c>
      <c r="X208" s="60"/>
      <c r="Y208" s="363" t="str">
        <f>IF(X208="","",IF(VLOOKUP(X208,'G-7 WaterC'' Data'!$AD$4:$AE$14,2,FALSE)=0,"Enrcoachment Data Missing ⚠",VLOOKUP(X208,'G-7 WaterC'' Data'!$AD$4:$AE$14,2,FALSE)))</f>
        <v/>
      </c>
      <c r="Z208" s="115"/>
      <c r="AA208" s="363" t="str">
        <f>IF(Z208="","",IF(VLOOKUP(Z208,'G-7 WaterC'' Data'!$AO$4:$BO$7,2,FALSE)=0,"Spatial Data Missing ⚠",VLOOKUP(Z208,'G-7 WaterC'' Data'!$AO$4:$BO$7,2,FALSE)))</f>
        <v/>
      </c>
      <c r="AB208" s="405" t="str">
        <f t="shared" si="22"/>
        <v/>
      </c>
      <c r="AC208" s="405" t="str">
        <f t="shared" si="23"/>
        <v/>
      </c>
      <c r="AD208" s="117"/>
      <c r="AE208" s="692"/>
      <c r="AF208" s="119"/>
      <c r="AG208" s="120"/>
      <c r="AL208" s="30" t="str">
        <f>IFERROR(INDEX('G-7 WaterC'' Data'!$AZ$3:$AZ$7,MATCH(C208,'G-7 WaterC'' Data'!$AY$3:$AY$7,0)),"")</f>
        <v/>
      </c>
    </row>
    <row r="209" spans="2:38" ht="15">
      <c r="B209" s="110">
        <v>198</v>
      </c>
      <c r="C209" s="501"/>
      <c r="D209" s="139"/>
      <c r="E209" s="362" t="str">
        <f>IF(C209="","",VLOOKUP(C209,'G-7 WaterC'' Data'!$B$2:$Z$9,2,FALSE))</f>
        <v/>
      </c>
      <c r="F209" s="363" t="str">
        <f>IFERROR(VLOOKUP(E209,'G-7 WaterC'' Data'!$C$4:$D$8,2,FALSE),"")</f>
        <v/>
      </c>
      <c r="G209" s="114"/>
      <c r="H209" s="363" t="str">
        <f>IFERROR(INDEX('G-7 WaterC'' Data'!$H$4:$L$8,MATCH(C209,'G-7 WaterC'' Data'!$B$4:$B$8,0),MATCH(G209,'G-7 WaterC'' Data'!$H$3:$L$3,0)),"")</f>
        <v/>
      </c>
      <c r="I209" s="54"/>
      <c r="J209" s="401" t="str">
        <f>IF(I209="","",IF(VLOOKUP(I209,'G-7 WaterC'' Data'!$AK$4:$AM$6,2,FALSE)=0,"Spatial Data Missing ⚠",VLOOKUP(I209,'G-7 WaterC'' Data'!$AK$4:$AM$6,2,FALSE)))</f>
        <v/>
      </c>
      <c r="K209" s="363" t="str">
        <f>IF(I209="","",IF(VLOOKUP(I209,'G-7 WaterC'' Data'!$AK$4:$AM$6,3,FALSE)=0,"Spatial Data Missing ⚠",VLOOKUP(I209,'G-7 WaterC'' Data'!$AK$4:$AM$6,3,FALSE)))</f>
        <v/>
      </c>
      <c r="L209" s="478" t="str">
        <f>IFERROR(INDEX('G-7 WaterC'' Data'!$O$3:$O$7,MATCH(G209,'G-7 WaterC'' Data'!$N$3:$N$7,0)),"")</f>
        <v/>
      </c>
      <c r="M209" s="55"/>
      <c r="N209" s="159"/>
      <c r="O209" s="370" t="str">
        <f t="shared" si="18"/>
        <v/>
      </c>
      <c r="P209" s="383" t="str">
        <f t="shared" si="19"/>
        <v/>
      </c>
      <c r="Q209" s="422" t="str">
        <f>IFERROR(IF(P209="Check Data ⚠","Check Data ⚠",VLOOKUP(P209,'G-4 Temporal multipliers'!$A$4:$C$37,3,FALSE)),"")</f>
        <v/>
      </c>
      <c r="R209" s="362" t="str">
        <f>IF(C209="","",VLOOKUP(C209,'G-7 WaterC'' Data'!$B$4:$G$8,4,FALSE))</f>
        <v/>
      </c>
      <c r="S209" s="370" t="str">
        <f t="shared" si="20"/>
        <v/>
      </c>
      <c r="T209" s="401" t="str">
        <f t="shared" si="21"/>
        <v/>
      </c>
      <c r="U209" s="363" t="str">
        <f>IF(C209="","",VLOOKUP(T209,'G-3 Multipliers'!$P$2:$Q$6,2,FALSE))</f>
        <v/>
      </c>
      <c r="V209" s="115"/>
      <c r="W209" s="363" t="str">
        <f>IF(V209="","",IF(VLOOKUP(V209,'G-7 WaterC'' Data'!$AA$4:$AB$7,2,FALSE)=0,"Spatial Data Missing ⚠",VLOOKUP(V209,'G-7 WaterC'' Data'!$AA$4:$AB$7,2,FALSE)))</f>
        <v/>
      </c>
      <c r="X209" s="60"/>
      <c r="Y209" s="363" t="str">
        <f>IF(X209="","",IF(VLOOKUP(X209,'G-7 WaterC'' Data'!$AD$4:$AE$14,2,FALSE)=0,"Enrcoachment Data Missing ⚠",VLOOKUP(X209,'G-7 WaterC'' Data'!$AD$4:$AE$14,2,FALSE)))</f>
        <v/>
      </c>
      <c r="Z209" s="115"/>
      <c r="AA209" s="363" t="str">
        <f>IF(Z209="","",IF(VLOOKUP(Z209,'G-7 WaterC'' Data'!$AO$4:$BO$7,2,FALSE)=0,"Spatial Data Missing ⚠",VLOOKUP(Z209,'G-7 WaterC'' Data'!$AO$4:$BO$7,2,FALSE)))</f>
        <v/>
      </c>
      <c r="AB209" s="405" t="str">
        <f t="shared" si="22"/>
        <v/>
      </c>
      <c r="AC209" s="405" t="str">
        <f t="shared" si="23"/>
        <v/>
      </c>
      <c r="AD209" s="117"/>
      <c r="AE209" s="692"/>
      <c r="AF209" s="119"/>
      <c r="AG209" s="120"/>
      <c r="AL209" s="30" t="str">
        <f>IFERROR(INDEX('G-7 WaterC'' Data'!$AZ$3:$AZ$7,MATCH(C209,'G-7 WaterC'' Data'!$AY$3:$AY$7,0)),"")</f>
        <v/>
      </c>
    </row>
    <row r="210" spans="2:38" ht="15">
      <c r="B210" s="110">
        <v>199</v>
      </c>
      <c r="C210" s="501"/>
      <c r="D210" s="139"/>
      <c r="E210" s="362" t="str">
        <f>IF(C210="","",VLOOKUP(C210,'G-7 WaterC'' Data'!$B$2:$Z$9,2,FALSE))</f>
        <v/>
      </c>
      <c r="F210" s="363" t="str">
        <f>IFERROR(VLOOKUP(E210,'G-7 WaterC'' Data'!$C$4:$D$8,2,FALSE),"")</f>
        <v/>
      </c>
      <c r="G210" s="114"/>
      <c r="H210" s="363" t="str">
        <f>IFERROR(INDEX('G-7 WaterC'' Data'!$H$4:$L$8,MATCH(C210,'G-7 WaterC'' Data'!$B$4:$B$8,0),MATCH(G210,'G-7 WaterC'' Data'!$H$3:$L$3,0)),"")</f>
        <v/>
      </c>
      <c r="I210" s="54"/>
      <c r="J210" s="401" t="str">
        <f>IF(I210="","",IF(VLOOKUP(I210,'G-7 WaterC'' Data'!$AK$4:$AM$6,2,FALSE)=0,"Spatial Data Missing ⚠",VLOOKUP(I210,'G-7 WaterC'' Data'!$AK$4:$AM$6,2,FALSE)))</f>
        <v/>
      </c>
      <c r="K210" s="363" t="str">
        <f>IF(I210="","",IF(VLOOKUP(I210,'G-7 WaterC'' Data'!$AK$4:$AM$6,3,FALSE)=0,"Spatial Data Missing ⚠",VLOOKUP(I210,'G-7 WaterC'' Data'!$AK$4:$AM$6,3,FALSE)))</f>
        <v/>
      </c>
      <c r="L210" s="478" t="str">
        <f>IFERROR(INDEX('G-7 WaterC'' Data'!$O$3:$O$7,MATCH(G210,'G-7 WaterC'' Data'!$N$3:$N$7,0)),"")</f>
        <v/>
      </c>
      <c r="M210" s="55"/>
      <c r="N210" s="159"/>
      <c r="O210" s="370" t="str">
        <f t="shared" si="18"/>
        <v/>
      </c>
      <c r="P210" s="383" t="str">
        <f t="shared" si="19"/>
        <v/>
      </c>
      <c r="Q210" s="422" t="str">
        <f>IFERROR(IF(P210="Check Data ⚠","Check Data ⚠",VLOOKUP(P210,'G-4 Temporal multipliers'!$A$4:$C$37,3,FALSE)),"")</f>
        <v/>
      </c>
      <c r="R210" s="362" t="str">
        <f>IF(C210="","",VLOOKUP(C210,'G-7 WaterC'' Data'!$B$4:$G$8,4,FALSE))</f>
        <v/>
      </c>
      <c r="S210" s="370" t="str">
        <f t="shared" si="20"/>
        <v/>
      </c>
      <c r="T210" s="401" t="str">
        <f t="shared" si="21"/>
        <v/>
      </c>
      <c r="U210" s="363" t="str">
        <f>IF(C210="","",VLOOKUP(T210,'G-3 Multipliers'!$P$2:$Q$6,2,FALSE))</f>
        <v/>
      </c>
      <c r="V210" s="115"/>
      <c r="W210" s="363" t="str">
        <f>IF(V210="","",IF(VLOOKUP(V210,'G-7 WaterC'' Data'!$AA$4:$AB$7,2,FALSE)=0,"Spatial Data Missing ⚠",VLOOKUP(V210,'G-7 WaterC'' Data'!$AA$4:$AB$7,2,FALSE)))</f>
        <v/>
      </c>
      <c r="X210" s="60"/>
      <c r="Y210" s="363" t="str">
        <f>IF(X210="","",IF(VLOOKUP(X210,'G-7 WaterC'' Data'!$AD$4:$AE$14,2,FALSE)=0,"Enrcoachment Data Missing ⚠",VLOOKUP(X210,'G-7 WaterC'' Data'!$AD$4:$AE$14,2,FALSE)))</f>
        <v/>
      </c>
      <c r="Z210" s="115"/>
      <c r="AA210" s="363" t="str">
        <f>IF(Z210="","",IF(VLOOKUP(Z210,'G-7 WaterC'' Data'!$AO$4:$BO$7,2,FALSE)=0,"Spatial Data Missing ⚠",VLOOKUP(Z210,'G-7 WaterC'' Data'!$AO$4:$BO$7,2,FALSE)))</f>
        <v/>
      </c>
      <c r="AB210" s="405" t="str">
        <f t="shared" si="22"/>
        <v/>
      </c>
      <c r="AC210" s="405" t="str">
        <f t="shared" si="23"/>
        <v/>
      </c>
      <c r="AD210" s="117"/>
      <c r="AE210" s="692"/>
      <c r="AF210" s="119"/>
      <c r="AG210" s="120"/>
      <c r="AL210" s="30" t="str">
        <f>IFERROR(INDEX('G-7 WaterC'' Data'!$AZ$3:$AZ$7,MATCH(C210,'G-7 WaterC'' Data'!$AY$3:$AY$7,0)),"")</f>
        <v/>
      </c>
    </row>
    <row r="211" spans="2:38" ht="15">
      <c r="B211" s="110">
        <v>200</v>
      </c>
      <c r="C211" s="501"/>
      <c r="D211" s="139"/>
      <c r="E211" s="362" t="str">
        <f>IF(C211="","",VLOOKUP(C211,'G-7 WaterC'' Data'!$B$2:$Z$9,2,FALSE))</f>
        <v/>
      </c>
      <c r="F211" s="363" t="str">
        <f>IFERROR(VLOOKUP(E211,'G-7 WaterC'' Data'!$C$4:$D$8,2,FALSE),"")</f>
        <v/>
      </c>
      <c r="G211" s="114"/>
      <c r="H211" s="363" t="str">
        <f>IFERROR(INDEX('G-7 WaterC'' Data'!$H$4:$L$8,MATCH(C211,'G-7 WaterC'' Data'!$B$4:$B$8,0),MATCH(G211,'G-7 WaterC'' Data'!$H$3:$L$3,0)),"")</f>
        <v/>
      </c>
      <c r="I211" s="54"/>
      <c r="J211" s="401" t="str">
        <f>IF(I211="","",IF(VLOOKUP(I211,'G-7 WaterC'' Data'!$AK$4:$AM$6,2,FALSE)=0,"Spatial Data Missing ⚠",VLOOKUP(I211,'G-7 WaterC'' Data'!$AK$4:$AM$6,2,FALSE)))</f>
        <v/>
      </c>
      <c r="K211" s="363" t="str">
        <f>IF(I211="","",IF(VLOOKUP(I211,'G-7 WaterC'' Data'!$AK$4:$AM$6,3,FALSE)=0,"Spatial Data Missing ⚠",VLOOKUP(I211,'G-7 WaterC'' Data'!$AK$4:$AM$6,3,FALSE)))</f>
        <v/>
      </c>
      <c r="L211" s="478" t="str">
        <f>IFERROR(INDEX('G-7 WaterC'' Data'!$O$3:$O$7,MATCH(G211,'G-7 WaterC'' Data'!$N$3:$N$7,0)),"")</f>
        <v/>
      </c>
      <c r="M211" s="55"/>
      <c r="N211" s="159"/>
      <c r="O211" s="370" t="str">
        <f t="shared" si="18"/>
        <v/>
      </c>
      <c r="P211" s="383" t="str">
        <f t="shared" si="19"/>
        <v/>
      </c>
      <c r="Q211" s="422" t="str">
        <f>IFERROR(IF(P211="Check Data ⚠","Check Data ⚠",VLOOKUP(P211,'G-4 Temporal multipliers'!$A$4:$C$37,3,FALSE)),"")</f>
        <v/>
      </c>
      <c r="R211" s="362" t="str">
        <f>IF(C211="","",VLOOKUP(C211,'G-7 WaterC'' Data'!$B$4:$G$8,4,FALSE))</f>
        <v/>
      </c>
      <c r="S211" s="370" t="str">
        <f t="shared" si="20"/>
        <v/>
      </c>
      <c r="T211" s="401" t="str">
        <f t="shared" si="21"/>
        <v/>
      </c>
      <c r="U211" s="363" t="str">
        <f>IF(C211="","",VLOOKUP(T211,'G-3 Multipliers'!$P$2:$Q$6,2,FALSE))</f>
        <v/>
      </c>
      <c r="V211" s="115"/>
      <c r="W211" s="363" t="str">
        <f>IF(V211="","",IF(VLOOKUP(V211,'G-7 WaterC'' Data'!$AA$4:$AB$7,2,FALSE)=0,"Spatial Data Missing ⚠",VLOOKUP(V211,'G-7 WaterC'' Data'!$AA$4:$AB$7,2,FALSE)))</f>
        <v/>
      </c>
      <c r="X211" s="60"/>
      <c r="Y211" s="363" t="str">
        <f>IF(X211="","",IF(VLOOKUP(X211,'G-7 WaterC'' Data'!$AD$4:$AE$14,2,FALSE)=0,"Enrcoachment Data Missing ⚠",VLOOKUP(X211,'G-7 WaterC'' Data'!$AD$4:$AE$14,2,FALSE)))</f>
        <v/>
      </c>
      <c r="Z211" s="115"/>
      <c r="AA211" s="363" t="str">
        <f>IF(Z211="","",IF(VLOOKUP(Z211,'G-7 WaterC'' Data'!$AO$4:$BO$7,2,FALSE)=0,"Spatial Data Missing ⚠",VLOOKUP(Z211,'G-7 WaterC'' Data'!$AO$4:$BO$7,2,FALSE)))</f>
        <v/>
      </c>
      <c r="AB211" s="405" t="str">
        <f t="shared" si="22"/>
        <v/>
      </c>
      <c r="AC211" s="405" t="str">
        <f t="shared" si="23"/>
        <v/>
      </c>
      <c r="AD211" s="117"/>
      <c r="AE211" s="692"/>
      <c r="AF211" s="119"/>
      <c r="AG211" s="120"/>
      <c r="AL211" s="30" t="str">
        <f>IFERROR(INDEX('G-7 WaterC'' Data'!$AZ$3:$AZ$7,MATCH(C211,'G-7 WaterC'' Data'!$AY$3:$AY$7,0)),"")</f>
        <v/>
      </c>
    </row>
    <row r="212" spans="2:38" ht="15">
      <c r="B212" s="110">
        <v>201</v>
      </c>
      <c r="C212" s="501"/>
      <c r="D212" s="139"/>
      <c r="E212" s="362" t="str">
        <f>IF(C212="","",VLOOKUP(C212,'G-7 WaterC'' Data'!$B$2:$Z$9,2,FALSE))</f>
        <v/>
      </c>
      <c r="F212" s="363" t="str">
        <f>IFERROR(VLOOKUP(E212,'G-7 WaterC'' Data'!$C$4:$D$8,2,FALSE),"")</f>
        <v/>
      </c>
      <c r="G212" s="114"/>
      <c r="H212" s="363" t="str">
        <f>IFERROR(INDEX('G-7 WaterC'' Data'!$H$4:$L$8,MATCH(C212,'G-7 WaterC'' Data'!$B$4:$B$8,0),MATCH(G212,'G-7 WaterC'' Data'!$H$3:$L$3,0)),"")</f>
        <v/>
      </c>
      <c r="I212" s="54"/>
      <c r="J212" s="401" t="str">
        <f>IF(I212="","",IF(VLOOKUP(I212,'G-7 WaterC'' Data'!$AK$4:$AM$6,2,FALSE)=0,"Spatial Data Missing ⚠",VLOOKUP(I212,'G-7 WaterC'' Data'!$AK$4:$AM$6,2,FALSE)))</f>
        <v/>
      </c>
      <c r="K212" s="363" t="str">
        <f>IF(I212="","",IF(VLOOKUP(I212,'G-7 WaterC'' Data'!$AK$4:$AM$6,3,FALSE)=0,"Spatial Data Missing ⚠",VLOOKUP(I212,'G-7 WaterC'' Data'!$AK$4:$AM$6,3,FALSE)))</f>
        <v/>
      </c>
      <c r="L212" s="478" t="str">
        <f>IFERROR(INDEX('G-7 WaterC'' Data'!$O$3:$O$7,MATCH(G212,'G-7 WaterC'' Data'!$N$3:$N$7,0)),"")</f>
        <v/>
      </c>
      <c r="M212" s="55"/>
      <c r="N212" s="159"/>
      <c r="O212" s="370" t="str">
        <f t="shared" si="18"/>
        <v/>
      </c>
      <c r="P212" s="383" t="str">
        <f t="shared" si="19"/>
        <v/>
      </c>
      <c r="Q212" s="422" t="str">
        <f>IFERROR(IF(P212="Check Data ⚠","Check Data ⚠",VLOOKUP(P212,'G-4 Temporal multipliers'!$A$4:$C$37,3,FALSE)),"")</f>
        <v/>
      </c>
      <c r="R212" s="362" t="str">
        <f>IF(C212="","",VLOOKUP(C212,'G-7 WaterC'' Data'!$B$4:$G$8,4,FALSE))</f>
        <v/>
      </c>
      <c r="S212" s="370" t="str">
        <f t="shared" si="20"/>
        <v/>
      </c>
      <c r="T212" s="401" t="str">
        <f t="shared" si="21"/>
        <v/>
      </c>
      <c r="U212" s="363" t="str">
        <f>IF(C212="","",VLOOKUP(T212,'G-3 Multipliers'!$P$2:$Q$6,2,FALSE))</f>
        <v/>
      </c>
      <c r="V212" s="115"/>
      <c r="W212" s="363" t="str">
        <f>IF(V212="","",IF(VLOOKUP(V212,'G-7 WaterC'' Data'!$AA$4:$AB$7,2,FALSE)=0,"Spatial Data Missing ⚠",VLOOKUP(V212,'G-7 WaterC'' Data'!$AA$4:$AB$7,2,FALSE)))</f>
        <v/>
      </c>
      <c r="X212" s="60"/>
      <c r="Y212" s="363" t="str">
        <f>IF(X212="","",IF(VLOOKUP(X212,'G-7 WaterC'' Data'!$AD$4:$AE$14,2,FALSE)=0,"Enrcoachment Data Missing ⚠",VLOOKUP(X212,'G-7 WaterC'' Data'!$AD$4:$AE$14,2,FALSE)))</f>
        <v/>
      </c>
      <c r="Z212" s="115"/>
      <c r="AA212" s="363" t="str">
        <f>IF(Z212="","",IF(VLOOKUP(Z212,'G-7 WaterC'' Data'!$AO$4:$BO$7,2,FALSE)=0,"Spatial Data Missing ⚠",VLOOKUP(Z212,'G-7 WaterC'' Data'!$AO$4:$BO$7,2,FALSE)))</f>
        <v/>
      </c>
      <c r="AB212" s="405" t="str">
        <f t="shared" si="22"/>
        <v/>
      </c>
      <c r="AC212" s="405" t="str">
        <f t="shared" si="23"/>
        <v/>
      </c>
      <c r="AD212" s="117"/>
      <c r="AE212" s="692"/>
      <c r="AF212" s="119"/>
      <c r="AG212" s="120"/>
      <c r="AL212" s="30" t="str">
        <f>IFERROR(INDEX('G-7 WaterC'' Data'!$AZ$3:$AZ$7,MATCH(C212,'G-7 WaterC'' Data'!$AY$3:$AY$7,0)),"")</f>
        <v/>
      </c>
    </row>
    <row r="213" spans="2:38" ht="15">
      <c r="B213" s="110">
        <v>202</v>
      </c>
      <c r="C213" s="501"/>
      <c r="D213" s="139"/>
      <c r="E213" s="362" t="str">
        <f>IF(C213="","",VLOOKUP(C213,'G-7 WaterC'' Data'!$B$2:$Z$9,2,FALSE))</f>
        <v/>
      </c>
      <c r="F213" s="363" t="str">
        <f>IFERROR(VLOOKUP(E213,'G-7 WaterC'' Data'!$C$4:$D$8,2,FALSE),"")</f>
        <v/>
      </c>
      <c r="G213" s="114"/>
      <c r="H213" s="363" t="str">
        <f>IFERROR(INDEX('G-7 WaterC'' Data'!$H$4:$L$8,MATCH(C213,'G-7 WaterC'' Data'!$B$4:$B$8,0),MATCH(G213,'G-7 WaterC'' Data'!$H$3:$L$3,0)),"")</f>
        <v/>
      </c>
      <c r="I213" s="54"/>
      <c r="J213" s="401" t="str">
        <f>IF(I213="","",IF(VLOOKUP(I213,'G-7 WaterC'' Data'!$AK$4:$AM$6,2,FALSE)=0,"Spatial Data Missing ⚠",VLOOKUP(I213,'G-7 WaterC'' Data'!$AK$4:$AM$6,2,FALSE)))</f>
        <v/>
      </c>
      <c r="K213" s="363" t="str">
        <f>IF(I213="","",IF(VLOOKUP(I213,'G-7 WaterC'' Data'!$AK$4:$AM$6,3,FALSE)=0,"Spatial Data Missing ⚠",VLOOKUP(I213,'G-7 WaterC'' Data'!$AK$4:$AM$6,3,FALSE)))</f>
        <v/>
      </c>
      <c r="L213" s="478" t="str">
        <f>IFERROR(INDEX('G-7 WaterC'' Data'!$O$3:$O$7,MATCH(G213,'G-7 WaterC'' Data'!$N$3:$N$7,0)),"")</f>
        <v/>
      </c>
      <c r="M213" s="55"/>
      <c r="N213" s="159"/>
      <c r="O213" s="370" t="str">
        <f t="shared" si="18"/>
        <v/>
      </c>
      <c r="P213" s="383" t="str">
        <f t="shared" si="19"/>
        <v/>
      </c>
      <c r="Q213" s="422" t="str">
        <f>IFERROR(IF(P213="Check Data ⚠","Check Data ⚠",VLOOKUP(P213,'G-4 Temporal multipliers'!$A$4:$C$37,3,FALSE)),"")</f>
        <v/>
      </c>
      <c r="R213" s="362" t="str">
        <f>IF(C213="","",VLOOKUP(C213,'G-7 WaterC'' Data'!$B$4:$G$8,4,FALSE))</f>
        <v/>
      </c>
      <c r="S213" s="370" t="str">
        <f t="shared" si="20"/>
        <v/>
      </c>
      <c r="T213" s="401" t="str">
        <f t="shared" si="21"/>
        <v/>
      </c>
      <c r="U213" s="363" t="str">
        <f>IF(C213="","",VLOOKUP(T213,'G-3 Multipliers'!$P$2:$Q$6,2,FALSE))</f>
        <v/>
      </c>
      <c r="V213" s="115"/>
      <c r="W213" s="363" t="str">
        <f>IF(V213="","",IF(VLOOKUP(V213,'G-7 WaterC'' Data'!$AA$4:$AB$7,2,FALSE)=0,"Spatial Data Missing ⚠",VLOOKUP(V213,'G-7 WaterC'' Data'!$AA$4:$AB$7,2,FALSE)))</f>
        <v/>
      </c>
      <c r="X213" s="60"/>
      <c r="Y213" s="363" t="str">
        <f>IF(X213="","",IF(VLOOKUP(X213,'G-7 WaterC'' Data'!$AD$4:$AE$14,2,FALSE)=0,"Enrcoachment Data Missing ⚠",VLOOKUP(X213,'G-7 WaterC'' Data'!$AD$4:$AE$14,2,FALSE)))</f>
        <v/>
      </c>
      <c r="Z213" s="115"/>
      <c r="AA213" s="363" t="str">
        <f>IF(Z213="","",IF(VLOOKUP(Z213,'G-7 WaterC'' Data'!$AO$4:$BO$7,2,FALSE)=0,"Spatial Data Missing ⚠",VLOOKUP(Z213,'G-7 WaterC'' Data'!$AO$4:$BO$7,2,FALSE)))</f>
        <v/>
      </c>
      <c r="AB213" s="405" t="str">
        <f t="shared" si="22"/>
        <v/>
      </c>
      <c r="AC213" s="405" t="str">
        <f t="shared" si="23"/>
        <v/>
      </c>
      <c r="AD213" s="117"/>
      <c r="AE213" s="692"/>
      <c r="AF213" s="119"/>
      <c r="AG213" s="120"/>
      <c r="AL213" s="30" t="str">
        <f>IFERROR(INDEX('G-7 WaterC'' Data'!$AZ$3:$AZ$7,MATCH(C213,'G-7 WaterC'' Data'!$AY$3:$AY$7,0)),"")</f>
        <v/>
      </c>
    </row>
    <row r="214" spans="2:38" ht="15">
      <c r="B214" s="110">
        <v>203</v>
      </c>
      <c r="C214" s="501"/>
      <c r="D214" s="139"/>
      <c r="E214" s="362" t="str">
        <f>IF(C214="","",VLOOKUP(C214,'G-7 WaterC'' Data'!$B$2:$Z$9,2,FALSE))</f>
        <v/>
      </c>
      <c r="F214" s="363" t="str">
        <f>IFERROR(VLOOKUP(E214,'G-7 WaterC'' Data'!$C$4:$D$8,2,FALSE),"")</f>
        <v/>
      </c>
      <c r="G214" s="114"/>
      <c r="H214" s="363" t="str">
        <f>IFERROR(INDEX('G-7 WaterC'' Data'!$H$4:$L$8,MATCH(C214,'G-7 WaterC'' Data'!$B$4:$B$8,0),MATCH(G214,'G-7 WaterC'' Data'!$H$3:$L$3,0)),"")</f>
        <v/>
      </c>
      <c r="I214" s="54"/>
      <c r="J214" s="401" t="str">
        <f>IF(I214="","",IF(VLOOKUP(I214,'G-7 WaterC'' Data'!$AK$4:$AM$6,2,FALSE)=0,"Spatial Data Missing ⚠",VLOOKUP(I214,'G-7 WaterC'' Data'!$AK$4:$AM$6,2,FALSE)))</f>
        <v/>
      </c>
      <c r="K214" s="363" t="str">
        <f>IF(I214="","",IF(VLOOKUP(I214,'G-7 WaterC'' Data'!$AK$4:$AM$6,3,FALSE)=0,"Spatial Data Missing ⚠",VLOOKUP(I214,'G-7 WaterC'' Data'!$AK$4:$AM$6,3,FALSE)))</f>
        <v/>
      </c>
      <c r="L214" s="478" t="str">
        <f>IFERROR(INDEX('G-7 WaterC'' Data'!$O$3:$O$7,MATCH(G214,'G-7 WaterC'' Data'!$N$3:$N$7,0)),"")</f>
        <v/>
      </c>
      <c r="M214" s="55"/>
      <c r="N214" s="159"/>
      <c r="O214" s="370" t="str">
        <f t="shared" si="18"/>
        <v/>
      </c>
      <c r="P214" s="383" t="str">
        <f t="shared" si="19"/>
        <v/>
      </c>
      <c r="Q214" s="422" t="str">
        <f>IFERROR(IF(P214="Check Data ⚠","Check Data ⚠",VLOOKUP(P214,'G-4 Temporal multipliers'!$A$4:$C$37,3,FALSE)),"")</f>
        <v/>
      </c>
      <c r="R214" s="362" t="str">
        <f>IF(C214="","",VLOOKUP(C214,'G-7 WaterC'' Data'!$B$4:$G$8,4,FALSE))</f>
        <v/>
      </c>
      <c r="S214" s="370" t="str">
        <f t="shared" si="20"/>
        <v/>
      </c>
      <c r="T214" s="401" t="str">
        <f t="shared" si="21"/>
        <v/>
      </c>
      <c r="U214" s="363" t="str">
        <f>IF(C214="","",VLOOKUP(T214,'G-3 Multipliers'!$P$2:$Q$6,2,FALSE))</f>
        <v/>
      </c>
      <c r="V214" s="115"/>
      <c r="W214" s="363" t="str">
        <f>IF(V214="","",IF(VLOOKUP(V214,'G-7 WaterC'' Data'!$AA$4:$AB$7,2,FALSE)=0,"Spatial Data Missing ⚠",VLOOKUP(V214,'G-7 WaterC'' Data'!$AA$4:$AB$7,2,FALSE)))</f>
        <v/>
      </c>
      <c r="X214" s="60"/>
      <c r="Y214" s="363" t="str">
        <f>IF(X214="","",IF(VLOOKUP(X214,'G-7 WaterC'' Data'!$AD$4:$AE$14,2,FALSE)=0,"Enrcoachment Data Missing ⚠",VLOOKUP(X214,'G-7 WaterC'' Data'!$AD$4:$AE$14,2,FALSE)))</f>
        <v/>
      </c>
      <c r="Z214" s="115"/>
      <c r="AA214" s="363" t="str">
        <f>IF(Z214="","",IF(VLOOKUP(Z214,'G-7 WaterC'' Data'!$AO$4:$BO$7,2,FALSE)=0,"Spatial Data Missing ⚠",VLOOKUP(Z214,'G-7 WaterC'' Data'!$AO$4:$BO$7,2,FALSE)))</f>
        <v/>
      </c>
      <c r="AB214" s="405" t="str">
        <f t="shared" si="22"/>
        <v/>
      </c>
      <c r="AC214" s="405" t="str">
        <f t="shared" si="23"/>
        <v/>
      </c>
      <c r="AD214" s="117"/>
      <c r="AE214" s="692"/>
      <c r="AF214" s="119"/>
      <c r="AG214" s="120"/>
      <c r="AL214" s="30" t="str">
        <f>IFERROR(INDEX('G-7 WaterC'' Data'!$AZ$3:$AZ$7,MATCH(C214,'G-7 WaterC'' Data'!$AY$3:$AY$7,0)),"")</f>
        <v/>
      </c>
    </row>
    <row r="215" spans="2:38" ht="15">
      <c r="B215" s="110">
        <v>204</v>
      </c>
      <c r="C215" s="501"/>
      <c r="D215" s="139"/>
      <c r="E215" s="362" t="str">
        <f>IF(C215="","",VLOOKUP(C215,'G-7 WaterC'' Data'!$B$2:$Z$9,2,FALSE))</f>
        <v/>
      </c>
      <c r="F215" s="363" t="str">
        <f>IFERROR(VLOOKUP(E215,'G-7 WaterC'' Data'!$C$4:$D$8,2,FALSE),"")</f>
        <v/>
      </c>
      <c r="G215" s="114"/>
      <c r="H215" s="363" t="str">
        <f>IFERROR(INDEX('G-7 WaterC'' Data'!$H$4:$L$8,MATCH(C215,'G-7 WaterC'' Data'!$B$4:$B$8,0),MATCH(G215,'G-7 WaterC'' Data'!$H$3:$L$3,0)),"")</f>
        <v/>
      </c>
      <c r="I215" s="54"/>
      <c r="J215" s="401" t="str">
        <f>IF(I215="","",IF(VLOOKUP(I215,'G-7 WaterC'' Data'!$AK$4:$AM$6,2,FALSE)=0,"Spatial Data Missing ⚠",VLOOKUP(I215,'G-7 WaterC'' Data'!$AK$4:$AM$6,2,FALSE)))</f>
        <v/>
      </c>
      <c r="K215" s="363" t="str">
        <f>IF(I215="","",IF(VLOOKUP(I215,'G-7 WaterC'' Data'!$AK$4:$AM$6,3,FALSE)=0,"Spatial Data Missing ⚠",VLOOKUP(I215,'G-7 WaterC'' Data'!$AK$4:$AM$6,3,FALSE)))</f>
        <v/>
      </c>
      <c r="L215" s="478" t="str">
        <f>IFERROR(INDEX('G-7 WaterC'' Data'!$O$3:$O$7,MATCH(G215,'G-7 WaterC'' Data'!$N$3:$N$7,0)),"")</f>
        <v/>
      </c>
      <c r="M215" s="55"/>
      <c r="N215" s="159"/>
      <c r="O215" s="370" t="str">
        <f t="shared" si="18"/>
        <v/>
      </c>
      <c r="P215" s="383" t="str">
        <f t="shared" si="19"/>
        <v/>
      </c>
      <c r="Q215" s="422" t="str">
        <f>IFERROR(IF(P215="Check Data ⚠","Check Data ⚠",VLOOKUP(P215,'G-4 Temporal multipliers'!$A$4:$C$37,3,FALSE)),"")</f>
        <v/>
      </c>
      <c r="R215" s="362" t="str">
        <f>IF(C215="","",VLOOKUP(C215,'G-7 WaterC'' Data'!$B$4:$G$8,4,FALSE))</f>
        <v/>
      </c>
      <c r="S215" s="370" t="str">
        <f t="shared" si="20"/>
        <v/>
      </c>
      <c r="T215" s="401" t="str">
        <f t="shared" si="21"/>
        <v/>
      </c>
      <c r="U215" s="363" t="str">
        <f>IF(C215="","",VLOOKUP(T215,'G-3 Multipliers'!$P$2:$Q$6,2,FALSE))</f>
        <v/>
      </c>
      <c r="V215" s="115"/>
      <c r="W215" s="363" t="str">
        <f>IF(V215="","",IF(VLOOKUP(V215,'G-7 WaterC'' Data'!$AA$4:$AB$7,2,FALSE)=0,"Spatial Data Missing ⚠",VLOOKUP(V215,'G-7 WaterC'' Data'!$AA$4:$AB$7,2,FALSE)))</f>
        <v/>
      </c>
      <c r="X215" s="60"/>
      <c r="Y215" s="363" t="str">
        <f>IF(X215="","",IF(VLOOKUP(X215,'G-7 WaterC'' Data'!$AD$4:$AE$14,2,FALSE)=0,"Enrcoachment Data Missing ⚠",VLOOKUP(X215,'G-7 WaterC'' Data'!$AD$4:$AE$14,2,FALSE)))</f>
        <v/>
      </c>
      <c r="Z215" s="115"/>
      <c r="AA215" s="363" t="str">
        <f>IF(Z215="","",IF(VLOOKUP(Z215,'G-7 WaterC'' Data'!$AO$4:$BO$7,2,FALSE)=0,"Spatial Data Missing ⚠",VLOOKUP(Z215,'G-7 WaterC'' Data'!$AO$4:$BO$7,2,FALSE)))</f>
        <v/>
      </c>
      <c r="AB215" s="405" t="str">
        <f t="shared" si="22"/>
        <v/>
      </c>
      <c r="AC215" s="405" t="str">
        <f t="shared" si="23"/>
        <v/>
      </c>
      <c r="AD215" s="117"/>
      <c r="AE215" s="692"/>
      <c r="AF215" s="119"/>
      <c r="AG215" s="120"/>
      <c r="AL215" s="30" t="str">
        <f>IFERROR(INDEX('G-7 WaterC'' Data'!$AZ$3:$AZ$7,MATCH(C215,'G-7 WaterC'' Data'!$AY$3:$AY$7,0)),"")</f>
        <v/>
      </c>
    </row>
    <row r="216" spans="2:38" ht="15">
      <c r="B216" s="110">
        <v>205</v>
      </c>
      <c r="C216" s="501"/>
      <c r="D216" s="139"/>
      <c r="E216" s="362" t="str">
        <f>IF(C216="","",VLOOKUP(C216,'G-7 WaterC'' Data'!$B$2:$Z$9,2,FALSE))</f>
        <v/>
      </c>
      <c r="F216" s="363" t="str">
        <f>IFERROR(VLOOKUP(E216,'G-7 WaterC'' Data'!$C$4:$D$8,2,FALSE),"")</f>
        <v/>
      </c>
      <c r="G216" s="114"/>
      <c r="H216" s="363" t="str">
        <f>IFERROR(INDEX('G-7 WaterC'' Data'!$H$4:$L$8,MATCH(C216,'G-7 WaterC'' Data'!$B$4:$B$8,0),MATCH(G216,'G-7 WaterC'' Data'!$H$3:$L$3,0)),"")</f>
        <v/>
      </c>
      <c r="I216" s="54"/>
      <c r="J216" s="401" t="str">
        <f>IF(I216="","",IF(VLOOKUP(I216,'G-7 WaterC'' Data'!$AK$4:$AM$6,2,FALSE)=0,"Spatial Data Missing ⚠",VLOOKUP(I216,'G-7 WaterC'' Data'!$AK$4:$AM$6,2,FALSE)))</f>
        <v/>
      </c>
      <c r="K216" s="363" t="str">
        <f>IF(I216="","",IF(VLOOKUP(I216,'G-7 WaterC'' Data'!$AK$4:$AM$6,3,FALSE)=0,"Spatial Data Missing ⚠",VLOOKUP(I216,'G-7 WaterC'' Data'!$AK$4:$AM$6,3,FALSE)))</f>
        <v/>
      </c>
      <c r="L216" s="478" t="str">
        <f>IFERROR(INDEX('G-7 WaterC'' Data'!$O$3:$O$7,MATCH(G216,'G-7 WaterC'' Data'!$N$3:$N$7,0)),"")</f>
        <v/>
      </c>
      <c r="M216" s="55"/>
      <c r="N216" s="159"/>
      <c r="O216" s="370" t="str">
        <f t="shared" si="18"/>
        <v/>
      </c>
      <c r="P216" s="383" t="str">
        <f t="shared" si="19"/>
        <v/>
      </c>
      <c r="Q216" s="422" t="str">
        <f>IFERROR(IF(P216="Check Data ⚠","Check Data ⚠",VLOOKUP(P216,'G-4 Temporal multipliers'!$A$4:$C$37,3,FALSE)),"")</f>
        <v/>
      </c>
      <c r="R216" s="362" t="str">
        <f>IF(C216="","",VLOOKUP(C216,'G-7 WaterC'' Data'!$B$4:$G$8,4,FALSE))</f>
        <v/>
      </c>
      <c r="S216" s="370" t="str">
        <f t="shared" si="20"/>
        <v/>
      </c>
      <c r="T216" s="401" t="str">
        <f t="shared" si="21"/>
        <v/>
      </c>
      <c r="U216" s="363" t="str">
        <f>IF(C216="","",VLOOKUP(T216,'G-3 Multipliers'!$P$2:$Q$6,2,FALSE))</f>
        <v/>
      </c>
      <c r="V216" s="115"/>
      <c r="W216" s="363" t="str">
        <f>IF(V216="","",IF(VLOOKUP(V216,'G-7 WaterC'' Data'!$AA$4:$AB$7,2,FALSE)=0,"Spatial Data Missing ⚠",VLOOKUP(V216,'G-7 WaterC'' Data'!$AA$4:$AB$7,2,FALSE)))</f>
        <v/>
      </c>
      <c r="X216" s="60"/>
      <c r="Y216" s="363" t="str">
        <f>IF(X216="","",IF(VLOOKUP(X216,'G-7 WaterC'' Data'!$AD$4:$AE$14,2,FALSE)=0,"Enrcoachment Data Missing ⚠",VLOOKUP(X216,'G-7 WaterC'' Data'!$AD$4:$AE$14,2,FALSE)))</f>
        <v/>
      </c>
      <c r="Z216" s="115"/>
      <c r="AA216" s="363" t="str">
        <f>IF(Z216="","",IF(VLOOKUP(Z216,'G-7 WaterC'' Data'!$AO$4:$BO$7,2,FALSE)=0,"Spatial Data Missing ⚠",VLOOKUP(Z216,'G-7 WaterC'' Data'!$AO$4:$BO$7,2,FALSE)))</f>
        <v/>
      </c>
      <c r="AB216" s="405" t="str">
        <f t="shared" si="22"/>
        <v/>
      </c>
      <c r="AC216" s="405" t="str">
        <f t="shared" si="23"/>
        <v/>
      </c>
      <c r="AD216" s="117"/>
      <c r="AE216" s="692"/>
      <c r="AF216" s="119"/>
      <c r="AG216" s="120"/>
      <c r="AL216" s="30" t="str">
        <f>IFERROR(INDEX('G-7 WaterC'' Data'!$AZ$3:$AZ$7,MATCH(C216,'G-7 WaterC'' Data'!$AY$3:$AY$7,0)),"")</f>
        <v/>
      </c>
    </row>
    <row r="217" spans="2:38" ht="15">
      <c r="B217" s="110">
        <v>206</v>
      </c>
      <c r="C217" s="501"/>
      <c r="D217" s="139"/>
      <c r="E217" s="362" t="str">
        <f>IF(C217="","",VLOOKUP(C217,'G-7 WaterC'' Data'!$B$2:$Z$9,2,FALSE))</f>
        <v/>
      </c>
      <c r="F217" s="363" t="str">
        <f>IFERROR(VLOOKUP(E217,'G-7 WaterC'' Data'!$C$4:$D$8,2,FALSE),"")</f>
        <v/>
      </c>
      <c r="G217" s="114"/>
      <c r="H217" s="363" t="str">
        <f>IFERROR(INDEX('G-7 WaterC'' Data'!$H$4:$L$8,MATCH(C217,'G-7 WaterC'' Data'!$B$4:$B$8,0),MATCH(G217,'G-7 WaterC'' Data'!$H$3:$L$3,0)),"")</f>
        <v/>
      </c>
      <c r="I217" s="54"/>
      <c r="J217" s="401" t="str">
        <f>IF(I217="","",IF(VLOOKUP(I217,'G-7 WaterC'' Data'!$AK$4:$AM$6,2,FALSE)=0,"Spatial Data Missing ⚠",VLOOKUP(I217,'G-7 WaterC'' Data'!$AK$4:$AM$6,2,FALSE)))</f>
        <v/>
      </c>
      <c r="K217" s="363" t="str">
        <f>IF(I217="","",IF(VLOOKUP(I217,'G-7 WaterC'' Data'!$AK$4:$AM$6,3,FALSE)=0,"Spatial Data Missing ⚠",VLOOKUP(I217,'G-7 WaterC'' Data'!$AK$4:$AM$6,3,FALSE)))</f>
        <v/>
      </c>
      <c r="L217" s="478" t="str">
        <f>IFERROR(INDEX('G-7 WaterC'' Data'!$O$3:$O$7,MATCH(G217,'G-7 WaterC'' Data'!$N$3:$N$7,0)),"")</f>
        <v/>
      </c>
      <c r="M217" s="55"/>
      <c r="N217" s="159"/>
      <c r="O217" s="370" t="str">
        <f t="shared" si="18"/>
        <v/>
      </c>
      <c r="P217" s="383" t="str">
        <f t="shared" si="19"/>
        <v/>
      </c>
      <c r="Q217" s="422" t="str">
        <f>IFERROR(IF(P217="Check Data ⚠","Check Data ⚠",VLOOKUP(P217,'G-4 Temporal multipliers'!$A$4:$C$37,3,FALSE)),"")</f>
        <v/>
      </c>
      <c r="R217" s="362" t="str">
        <f>IF(C217="","",VLOOKUP(C217,'G-7 WaterC'' Data'!$B$4:$G$8,4,FALSE))</f>
        <v/>
      </c>
      <c r="S217" s="370" t="str">
        <f t="shared" si="20"/>
        <v/>
      </c>
      <c r="T217" s="401" t="str">
        <f t="shared" si="21"/>
        <v/>
      </c>
      <c r="U217" s="363" t="str">
        <f>IF(C217="","",VLOOKUP(T217,'G-3 Multipliers'!$P$2:$Q$6,2,FALSE))</f>
        <v/>
      </c>
      <c r="V217" s="115"/>
      <c r="W217" s="363" t="str">
        <f>IF(V217="","",IF(VLOOKUP(V217,'G-7 WaterC'' Data'!$AA$4:$AB$7,2,FALSE)=0,"Spatial Data Missing ⚠",VLOOKUP(V217,'G-7 WaterC'' Data'!$AA$4:$AB$7,2,FALSE)))</f>
        <v/>
      </c>
      <c r="X217" s="60"/>
      <c r="Y217" s="363" t="str">
        <f>IF(X217="","",IF(VLOOKUP(X217,'G-7 WaterC'' Data'!$AD$4:$AE$14,2,FALSE)=0,"Enrcoachment Data Missing ⚠",VLOOKUP(X217,'G-7 WaterC'' Data'!$AD$4:$AE$14,2,FALSE)))</f>
        <v/>
      </c>
      <c r="Z217" s="115"/>
      <c r="AA217" s="363" t="str">
        <f>IF(Z217="","",IF(VLOOKUP(Z217,'G-7 WaterC'' Data'!$AO$4:$BO$7,2,FALSE)=0,"Spatial Data Missing ⚠",VLOOKUP(Z217,'G-7 WaterC'' Data'!$AO$4:$BO$7,2,FALSE)))</f>
        <v/>
      </c>
      <c r="AB217" s="405" t="str">
        <f t="shared" si="22"/>
        <v/>
      </c>
      <c r="AC217" s="405" t="str">
        <f t="shared" si="23"/>
        <v/>
      </c>
      <c r="AD217" s="117"/>
      <c r="AE217" s="692"/>
      <c r="AF217" s="119"/>
      <c r="AG217" s="120"/>
      <c r="AL217" s="30" t="str">
        <f>IFERROR(INDEX('G-7 WaterC'' Data'!$AZ$3:$AZ$7,MATCH(C217,'G-7 WaterC'' Data'!$AY$3:$AY$7,0)),"")</f>
        <v/>
      </c>
    </row>
    <row r="218" spans="2:38" ht="15">
      <c r="B218" s="110">
        <v>207</v>
      </c>
      <c r="C218" s="501"/>
      <c r="D218" s="139"/>
      <c r="E218" s="362" t="str">
        <f>IF(C218="","",VLOOKUP(C218,'G-7 WaterC'' Data'!$B$2:$Z$9,2,FALSE))</f>
        <v/>
      </c>
      <c r="F218" s="363" t="str">
        <f>IFERROR(VLOOKUP(E218,'G-7 WaterC'' Data'!$C$4:$D$8,2,FALSE),"")</f>
        <v/>
      </c>
      <c r="G218" s="114"/>
      <c r="H218" s="363" t="str">
        <f>IFERROR(INDEX('G-7 WaterC'' Data'!$H$4:$L$8,MATCH(C218,'G-7 WaterC'' Data'!$B$4:$B$8,0),MATCH(G218,'G-7 WaterC'' Data'!$H$3:$L$3,0)),"")</f>
        <v/>
      </c>
      <c r="I218" s="54"/>
      <c r="J218" s="401" t="str">
        <f>IF(I218="","",IF(VLOOKUP(I218,'G-7 WaterC'' Data'!$AK$4:$AM$6,2,FALSE)=0,"Spatial Data Missing ⚠",VLOOKUP(I218,'G-7 WaterC'' Data'!$AK$4:$AM$6,2,FALSE)))</f>
        <v/>
      </c>
      <c r="K218" s="363" t="str">
        <f>IF(I218="","",IF(VLOOKUP(I218,'G-7 WaterC'' Data'!$AK$4:$AM$6,3,FALSE)=0,"Spatial Data Missing ⚠",VLOOKUP(I218,'G-7 WaterC'' Data'!$AK$4:$AM$6,3,FALSE)))</f>
        <v/>
      </c>
      <c r="L218" s="478" t="str">
        <f>IFERROR(INDEX('G-7 WaterC'' Data'!$O$3:$O$7,MATCH(G218,'G-7 WaterC'' Data'!$N$3:$N$7,0)),"")</f>
        <v/>
      </c>
      <c r="M218" s="55"/>
      <c r="N218" s="159"/>
      <c r="O218" s="370" t="str">
        <f t="shared" si="18"/>
        <v/>
      </c>
      <c r="P218" s="383" t="str">
        <f t="shared" si="19"/>
        <v/>
      </c>
      <c r="Q218" s="422" t="str">
        <f>IFERROR(IF(P218="Check Data ⚠","Check Data ⚠",VLOOKUP(P218,'G-4 Temporal multipliers'!$A$4:$C$37,3,FALSE)),"")</f>
        <v/>
      </c>
      <c r="R218" s="362" t="str">
        <f>IF(C218="","",VLOOKUP(C218,'G-7 WaterC'' Data'!$B$4:$G$8,4,FALSE))</f>
        <v/>
      </c>
      <c r="S218" s="370" t="str">
        <f t="shared" si="20"/>
        <v/>
      </c>
      <c r="T218" s="401" t="str">
        <f t="shared" si="21"/>
        <v/>
      </c>
      <c r="U218" s="363" t="str">
        <f>IF(C218="","",VLOOKUP(T218,'G-3 Multipliers'!$P$2:$Q$6,2,FALSE))</f>
        <v/>
      </c>
      <c r="V218" s="115"/>
      <c r="W218" s="363" t="str">
        <f>IF(V218="","",IF(VLOOKUP(V218,'G-7 WaterC'' Data'!$AA$4:$AB$7,2,FALSE)=0,"Spatial Data Missing ⚠",VLOOKUP(V218,'G-7 WaterC'' Data'!$AA$4:$AB$7,2,FALSE)))</f>
        <v/>
      </c>
      <c r="X218" s="60"/>
      <c r="Y218" s="363" t="str">
        <f>IF(X218="","",IF(VLOOKUP(X218,'G-7 WaterC'' Data'!$AD$4:$AE$14,2,FALSE)=0,"Enrcoachment Data Missing ⚠",VLOOKUP(X218,'G-7 WaterC'' Data'!$AD$4:$AE$14,2,FALSE)))</f>
        <v/>
      </c>
      <c r="Z218" s="115"/>
      <c r="AA218" s="363" t="str">
        <f>IF(Z218="","",IF(VLOOKUP(Z218,'G-7 WaterC'' Data'!$AO$4:$BO$7,2,FALSE)=0,"Spatial Data Missing ⚠",VLOOKUP(Z218,'G-7 WaterC'' Data'!$AO$4:$BO$7,2,FALSE)))</f>
        <v/>
      </c>
      <c r="AB218" s="405" t="str">
        <f t="shared" si="22"/>
        <v/>
      </c>
      <c r="AC218" s="405" t="str">
        <f t="shared" si="23"/>
        <v/>
      </c>
      <c r="AD218" s="117"/>
      <c r="AE218" s="692"/>
      <c r="AF218" s="119"/>
      <c r="AG218" s="120"/>
      <c r="AL218" s="30" t="str">
        <f>IFERROR(INDEX('G-7 WaterC'' Data'!$AZ$3:$AZ$7,MATCH(C218,'G-7 WaterC'' Data'!$AY$3:$AY$7,0)),"")</f>
        <v/>
      </c>
    </row>
    <row r="219" spans="2:38" ht="15">
      <c r="B219" s="110">
        <v>208</v>
      </c>
      <c r="C219" s="501"/>
      <c r="D219" s="139"/>
      <c r="E219" s="362" t="str">
        <f>IF(C219="","",VLOOKUP(C219,'G-7 WaterC'' Data'!$B$2:$Z$9,2,FALSE))</f>
        <v/>
      </c>
      <c r="F219" s="363" t="str">
        <f>IFERROR(VLOOKUP(E219,'G-7 WaterC'' Data'!$C$4:$D$8,2,FALSE),"")</f>
        <v/>
      </c>
      <c r="G219" s="114"/>
      <c r="H219" s="363" t="str">
        <f>IFERROR(INDEX('G-7 WaterC'' Data'!$H$4:$L$8,MATCH(C219,'G-7 WaterC'' Data'!$B$4:$B$8,0),MATCH(G219,'G-7 WaterC'' Data'!$H$3:$L$3,0)),"")</f>
        <v/>
      </c>
      <c r="I219" s="54"/>
      <c r="J219" s="401" t="str">
        <f>IF(I219="","",IF(VLOOKUP(I219,'G-7 WaterC'' Data'!$AK$4:$AM$6,2,FALSE)=0,"Spatial Data Missing ⚠",VLOOKUP(I219,'G-7 WaterC'' Data'!$AK$4:$AM$6,2,FALSE)))</f>
        <v/>
      </c>
      <c r="K219" s="363" t="str">
        <f>IF(I219="","",IF(VLOOKUP(I219,'G-7 WaterC'' Data'!$AK$4:$AM$6,3,FALSE)=0,"Spatial Data Missing ⚠",VLOOKUP(I219,'G-7 WaterC'' Data'!$AK$4:$AM$6,3,FALSE)))</f>
        <v/>
      </c>
      <c r="L219" s="478" t="str">
        <f>IFERROR(INDEX('G-7 WaterC'' Data'!$O$3:$O$7,MATCH(G219,'G-7 WaterC'' Data'!$N$3:$N$7,0)),"")</f>
        <v/>
      </c>
      <c r="M219" s="55"/>
      <c r="N219" s="159"/>
      <c r="O219" s="370" t="str">
        <f t="shared" si="18"/>
        <v/>
      </c>
      <c r="P219" s="383" t="str">
        <f t="shared" si="19"/>
        <v/>
      </c>
      <c r="Q219" s="422" t="str">
        <f>IFERROR(IF(P219="Check Data ⚠","Check Data ⚠",VLOOKUP(P219,'G-4 Temporal multipliers'!$A$4:$C$37,3,FALSE)),"")</f>
        <v/>
      </c>
      <c r="R219" s="362" t="str">
        <f>IF(C219="","",VLOOKUP(C219,'G-7 WaterC'' Data'!$B$4:$G$8,4,FALSE))</f>
        <v/>
      </c>
      <c r="S219" s="370" t="str">
        <f t="shared" si="20"/>
        <v/>
      </c>
      <c r="T219" s="401" t="str">
        <f t="shared" si="21"/>
        <v/>
      </c>
      <c r="U219" s="363" t="str">
        <f>IF(C219="","",VLOOKUP(T219,'G-3 Multipliers'!$P$2:$Q$6,2,FALSE))</f>
        <v/>
      </c>
      <c r="V219" s="115"/>
      <c r="W219" s="363" t="str">
        <f>IF(V219="","",IF(VLOOKUP(V219,'G-7 WaterC'' Data'!$AA$4:$AB$7,2,FALSE)=0,"Spatial Data Missing ⚠",VLOOKUP(V219,'G-7 WaterC'' Data'!$AA$4:$AB$7,2,FALSE)))</f>
        <v/>
      </c>
      <c r="X219" s="60"/>
      <c r="Y219" s="363" t="str">
        <f>IF(X219="","",IF(VLOOKUP(X219,'G-7 WaterC'' Data'!$AD$4:$AE$14,2,FALSE)=0,"Enrcoachment Data Missing ⚠",VLOOKUP(X219,'G-7 WaterC'' Data'!$AD$4:$AE$14,2,FALSE)))</f>
        <v/>
      </c>
      <c r="Z219" s="115"/>
      <c r="AA219" s="363" t="str">
        <f>IF(Z219="","",IF(VLOOKUP(Z219,'G-7 WaterC'' Data'!$AO$4:$BO$7,2,FALSE)=0,"Spatial Data Missing ⚠",VLOOKUP(Z219,'G-7 WaterC'' Data'!$AO$4:$BO$7,2,FALSE)))</f>
        <v/>
      </c>
      <c r="AB219" s="405" t="str">
        <f t="shared" si="22"/>
        <v/>
      </c>
      <c r="AC219" s="405" t="str">
        <f t="shared" si="23"/>
        <v/>
      </c>
      <c r="AD219" s="117"/>
      <c r="AE219" s="692"/>
      <c r="AF219" s="119"/>
      <c r="AG219" s="120"/>
      <c r="AL219" s="30" t="str">
        <f>IFERROR(INDEX('G-7 WaterC'' Data'!$AZ$3:$AZ$7,MATCH(C219,'G-7 WaterC'' Data'!$AY$3:$AY$7,0)),"")</f>
        <v/>
      </c>
    </row>
    <row r="220" spans="2:38" ht="15">
      <c r="B220" s="110">
        <v>209</v>
      </c>
      <c r="C220" s="501"/>
      <c r="D220" s="139"/>
      <c r="E220" s="362" t="str">
        <f>IF(C220="","",VLOOKUP(C220,'G-7 WaterC'' Data'!$B$2:$Z$9,2,FALSE))</f>
        <v/>
      </c>
      <c r="F220" s="363" t="str">
        <f>IFERROR(VLOOKUP(E220,'G-7 WaterC'' Data'!$C$4:$D$8,2,FALSE),"")</f>
        <v/>
      </c>
      <c r="G220" s="114"/>
      <c r="H220" s="363" t="str">
        <f>IFERROR(INDEX('G-7 WaterC'' Data'!$H$4:$L$8,MATCH(C220,'G-7 WaterC'' Data'!$B$4:$B$8,0),MATCH(G220,'G-7 WaterC'' Data'!$H$3:$L$3,0)),"")</f>
        <v/>
      </c>
      <c r="I220" s="54"/>
      <c r="J220" s="401" t="str">
        <f>IF(I220="","",IF(VLOOKUP(I220,'G-7 WaterC'' Data'!$AK$4:$AM$6,2,FALSE)=0,"Spatial Data Missing ⚠",VLOOKUP(I220,'G-7 WaterC'' Data'!$AK$4:$AM$6,2,FALSE)))</f>
        <v/>
      </c>
      <c r="K220" s="363" t="str">
        <f>IF(I220="","",IF(VLOOKUP(I220,'G-7 WaterC'' Data'!$AK$4:$AM$6,3,FALSE)=0,"Spatial Data Missing ⚠",VLOOKUP(I220,'G-7 WaterC'' Data'!$AK$4:$AM$6,3,FALSE)))</f>
        <v/>
      </c>
      <c r="L220" s="478" t="str">
        <f>IFERROR(INDEX('G-7 WaterC'' Data'!$O$3:$O$7,MATCH(G220,'G-7 WaterC'' Data'!$N$3:$N$7,0)),"")</f>
        <v/>
      </c>
      <c r="M220" s="55"/>
      <c r="N220" s="159"/>
      <c r="O220" s="370" t="str">
        <f t="shared" si="18"/>
        <v/>
      </c>
      <c r="P220" s="383" t="str">
        <f t="shared" si="19"/>
        <v/>
      </c>
      <c r="Q220" s="422" t="str">
        <f>IFERROR(IF(P220="Check Data ⚠","Check Data ⚠",VLOOKUP(P220,'G-4 Temporal multipliers'!$A$4:$C$37,3,FALSE)),"")</f>
        <v/>
      </c>
      <c r="R220" s="362" t="str">
        <f>IF(C220="","",VLOOKUP(C220,'G-7 WaterC'' Data'!$B$4:$G$8,4,FALSE))</f>
        <v/>
      </c>
      <c r="S220" s="370" t="str">
        <f t="shared" si="20"/>
        <v/>
      </c>
      <c r="T220" s="401" t="str">
        <f t="shared" si="21"/>
        <v/>
      </c>
      <c r="U220" s="363" t="str">
        <f>IF(C220="","",VLOOKUP(T220,'G-3 Multipliers'!$P$2:$Q$6,2,FALSE))</f>
        <v/>
      </c>
      <c r="V220" s="115"/>
      <c r="W220" s="363" t="str">
        <f>IF(V220="","",IF(VLOOKUP(V220,'G-7 WaterC'' Data'!$AA$4:$AB$7,2,FALSE)=0,"Spatial Data Missing ⚠",VLOOKUP(V220,'G-7 WaterC'' Data'!$AA$4:$AB$7,2,FALSE)))</f>
        <v/>
      </c>
      <c r="X220" s="60"/>
      <c r="Y220" s="363" t="str">
        <f>IF(X220="","",IF(VLOOKUP(X220,'G-7 WaterC'' Data'!$AD$4:$AE$14,2,FALSE)=0,"Enrcoachment Data Missing ⚠",VLOOKUP(X220,'G-7 WaterC'' Data'!$AD$4:$AE$14,2,FALSE)))</f>
        <v/>
      </c>
      <c r="Z220" s="115"/>
      <c r="AA220" s="363" t="str">
        <f>IF(Z220="","",IF(VLOOKUP(Z220,'G-7 WaterC'' Data'!$AO$4:$BO$7,2,FALSE)=0,"Spatial Data Missing ⚠",VLOOKUP(Z220,'G-7 WaterC'' Data'!$AO$4:$BO$7,2,FALSE)))</f>
        <v/>
      </c>
      <c r="AB220" s="405" t="str">
        <f t="shared" si="22"/>
        <v/>
      </c>
      <c r="AC220" s="405" t="str">
        <f t="shared" si="23"/>
        <v/>
      </c>
      <c r="AD220" s="117"/>
      <c r="AE220" s="692"/>
      <c r="AF220" s="119"/>
      <c r="AG220" s="120"/>
      <c r="AL220" s="30" t="str">
        <f>IFERROR(INDEX('G-7 WaterC'' Data'!$AZ$3:$AZ$7,MATCH(C220,'G-7 WaterC'' Data'!$AY$3:$AY$7,0)),"")</f>
        <v/>
      </c>
    </row>
    <row r="221" spans="2:38" ht="15">
      <c r="B221" s="110">
        <v>210</v>
      </c>
      <c r="C221" s="501"/>
      <c r="D221" s="139"/>
      <c r="E221" s="362" t="str">
        <f>IF(C221="","",VLOOKUP(C221,'G-7 WaterC'' Data'!$B$2:$Z$9,2,FALSE))</f>
        <v/>
      </c>
      <c r="F221" s="363" t="str">
        <f>IFERROR(VLOOKUP(E221,'G-7 WaterC'' Data'!$C$4:$D$8,2,FALSE),"")</f>
        <v/>
      </c>
      <c r="G221" s="114"/>
      <c r="H221" s="363" t="str">
        <f>IFERROR(INDEX('G-7 WaterC'' Data'!$H$4:$L$8,MATCH(C221,'G-7 WaterC'' Data'!$B$4:$B$8,0),MATCH(G221,'G-7 WaterC'' Data'!$H$3:$L$3,0)),"")</f>
        <v/>
      </c>
      <c r="I221" s="54"/>
      <c r="J221" s="401" t="str">
        <f>IF(I221="","",IF(VLOOKUP(I221,'G-7 WaterC'' Data'!$AK$4:$AM$6,2,FALSE)=0,"Spatial Data Missing ⚠",VLOOKUP(I221,'G-7 WaterC'' Data'!$AK$4:$AM$6,2,FALSE)))</f>
        <v/>
      </c>
      <c r="K221" s="363" t="str">
        <f>IF(I221="","",IF(VLOOKUP(I221,'G-7 WaterC'' Data'!$AK$4:$AM$6,3,FALSE)=0,"Spatial Data Missing ⚠",VLOOKUP(I221,'G-7 WaterC'' Data'!$AK$4:$AM$6,3,FALSE)))</f>
        <v/>
      </c>
      <c r="L221" s="478" t="str">
        <f>IFERROR(INDEX('G-7 WaterC'' Data'!$O$3:$O$7,MATCH(G221,'G-7 WaterC'' Data'!$N$3:$N$7,0)),"")</f>
        <v/>
      </c>
      <c r="M221" s="55"/>
      <c r="N221" s="159"/>
      <c r="O221" s="370" t="str">
        <f t="shared" si="18"/>
        <v/>
      </c>
      <c r="P221" s="383" t="str">
        <f t="shared" si="19"/>
        <v/>
      </c>
      <c r="Q221" s="422" t="str">
        <f>IFERROR(IF(P221="Check Data ⚠","Check Data ⚠",VLOOKUP(P221,'G-4 Temporal multipliers'!$A$4:$C$37,3,FALSE)),"")</f>
        <v/>
      </c>
      <c r="R221" s="362" t="str">
        <f>IF(C221="","",VLOOKUP(C221,'G-7 WaterC'' Data'!$B$4:$G$8,4,FALSE))</f>
        <v/>
      </c>
      <c r="S221" s="370" t="str">
        <f t="shared" si="20"/>
        <v/>
      </c>
      <c r="T221" s="401" t="str">
        <f t="shared" si="21"/>
        <v/>
      </c>
      <c r="U221" s="363" t="str">
        <f>IF(C221="","",VLOOKUP(T221,'G-3 Multipliers'!$P$2:$Q$6,2,FALSE))</f>
        <v/>
      </c>
      <c r="V221" s="115"/>
      <c r="W221" s="363" t="str">
        <f>IF(V221="","",IF(VLOOKUP(V221,'G-7 WaterC'' Data'!$AA$4:$AB$7,2,FALSE)=0,"Spatial Data Missing ⚠",VLOOKUP(V221,'G-7 WaterC'' Data'!$AA$4:$AB$7,2,FALSE)))</f>
        <v/>
      </c>
      <c r="X221" s="60"/>
      <c r="Y221" s="363" t="str">
        <f>IF(X221="","",IF(VLOOKUP(X221,'G-7 WaterC'' Data'!$AD$4:$AE$14,2,FALSE)=0,"Enrcoachment Data Missing ⚠",VLOOKUP(X221,'G-7 WaterC'' Data'!$AD$4:$AE$14,2,FALSE)))</f>
        <v/>
      </c>
      <c r="Z221" s="115"/>
      <c r="AA221" s="363" t="str">
        <f>IF(Z221="","",IF(VLOOKUP(Z221,'G-7 WaterC'' Data'!$AO$4:$BO$7,2,FALSE)=0,"Spatial Data Missing ⚠",VLOOKUP(Z221,'G-7 WaterC'' Data'!$AO$4:$BO$7,2,FALSE)))</f>
        <v/>
      </c>
      <c r="AB221" s="405" t="str">
        <f t="shared" si="22"/>
        <v/>
      </c>
      <c r="AC221" s="405" t="str">
        <f t="shared" si="23"/>
        <v/>
      </c>
      <c r="AD221" s="117"/>
      <c r="AE221" s="692"/>
      <c r="AF221" s="119"/>
      <c r="AG221" s="120"/>
      <c r="AL221" s="30" t="str">
        <f>IFERROR(INDEX('G-7 WaterC'' Data'!$AZ$3:$AZ$7,MATCH(C221,'G-7 WaterC'' Data'!$AY$3:$AY$7,0)),"")</f>
        <v/>
      </c>
    </row>
    <row r="222" spans="2:38" ht="15">
      <c r="B222" s="110">
        <v>211</v>
      </c>
      <c r="C222" s="501"/>
      <c r="D222" s="139"/>
      <c r="E222" s="362" t="str">
        <f>IF(C222="","",VLOOKUP(C222,'G-7 WaterC'' Data'!$B$2:$Z$9,2,FALSE))</f>
        <v/>
      </c>
      <c r="F222" s="363" t="str">
        <f>IFERROR(VLOOKUP(E222,'G-7 WaterC'' Data'!$C$4:$D$8,2,FALSE),"")</f>
        <v/>
      </c>
      <c r="G222" s="114"/>
      <c r="H222" s="363" t="str">
        <f>IFERROR(INDEX('G-7 WaterC'' Data'!$H$4:$L$8,MATCH(C222,'G-7 WaterC'' Data'!$B$4:$B$8,0),MATCH(G222,'G-7 WaterC'' Data'!$H$3:$L$3,0)),"")</f>
        <v/>
      </c>
      <c r="I222" s="54"/>
      <c r="J222" s="401" t="str">
        <f>IF(I222="","",IF(VLOOKUP(I222,'G-7 WaterC'' Data'!$AK$4:$AM$6,2,FALSE)=0,"Spatial Data Missing ⚠",VLOOKUP(I222,'G-7 WaterC'' Data'!$AK$4:$AM$6,2,FALSE)))</f>
        <v/>
      </c>
      <c r="K222" s="363" t="str">
        <f>IF(I222="","",IF(VLOOKUP(I222,'G-7 WaterC'' Data'!$AK$4:$AM$6,3,FALSE)=0,"Spatial Data Missing ⚠",VLOOKUP(I222,'G-7 WaterC'' Data'!$AK$4:$AM$6,3,FALSE)))</f>
        <v/>
      </c>
      <c r="L222" s="478" t="str">
        <f>IFERROR(INDEX('G-7 WaterC'' Data'!$O$3:$O$7,MATCH(G222,'G-7 WaterC'' Data'!$N$3:$N$7,0)),"")</f>
        <v/>
      </c>
      <c r="M222" s="55"/>
      <c r="N222" s="159"/>
      <c r="O222" s="370" t="str">
        <f t="shared" si="18"/>
        <v/>
      </c>
      <c r="P222" s="383" t="str">
        <f t="shared" si="19"/>
        <v/>
      </c>
      <c r="Q222" s="422" t="str">
        <f>IFERROR(IF(P222="Check Data ⚠","Check Data ⚠",VLOOKUP(P222,'G-4 Temporal multipliers'!$A$4:$C$37,3,FALSE)),"")</f>
        <v/>
      </c>
      <c r="R222" s="362" t="str">
        <f>IF(C222="","",VLOOKUP(C222,'G-7 WaterC'' Data'!$B$4:$G$8,4,FALSE))</f>
        <v/>
      </c>
      <c r="S222" s="370" t="str">
        <f t="shared" si="20"/>
        <v/>
      </c>
      <c r="T222" s="401" t="str">
        <f t="shared" si="21"/>
        <v/>
      </c>
      <c r="U222" s="363" t="str">
        <f>IF(C222="","",VLOOKUP(T222,'G-3 Multipliers'!$P$2:$Q$6,2,FALSE))</f>
        <v/>
      </c>
      <c r="V222" s="115"/>
      <c r="W222" s="363" t="str">
        <f>IF(V222="","",IF(VLOOKUP(V222,'G-7 WaterC'' Data'!$AA$4:$AB$7,2,FALSE)=0,"Spatial Data Missing ⚠",VLOOKUP(V222,'G-7 WaterC'' Data'!$AA$4:$AB$7,2,FALSE)))</f>
        <v/>
      </c>
      <c r="X222" s="60"/>
      <c r="Y222" s="363" t="str">
        <f>IF(X222="","",IF(VLOOKUP(X222,'G-7 WaterC'' Data'!$AD$4:$AE$14,2,FALSE)=0,"Enrcoachment Data Missing ⚠",VLOOKUP(X222,'G-7 WaterC'' Data'!$AD$4:$AE$14,2,FALSE)))</f>
        <v/>
      </c>
      <c r="Z222" s="115"/>
      <c r="AA222" s="363" t="str">
        <f>IF(Z222="","",IF(VLOOKUP(Z222,'G-7 WaterC'' Data'!$AO$4:$BO$7,2,FALSE)=0,"Spatial Data Missing ⚠",VLOOKUP(Z222,'G-7 WaterC'' Data'!$AO$4:$BO$7,2,FALSE)))</f>
        <v/>
      </c>
      <c r="AB222" s="405" t="str">
        <f t="shared" si="22"/>
        <v/>
      </c>
      <c r="AC222" s="405" t="str">
        <f t="shared" si="23"/>
        <v/>
      </c>
      <c r="AD222" s="117"/>
      <c r="AE222" s="692"/>
      <c r="AF222" s="119"/>
      <c r="AG222" s="120"/>
      <c r="AL222" s="30" t="str">
        <f>IFERROR(INDEX('G-7 WaterC'' Data'!$AZ$3:$AZ$7,MATCH(C222,'G-7 WaterC'' Data'!$AY$3:$AY$7,0)),"")</f>
        <v/>
      </c>
    </row>
    <row r="223" spans="2:38" ht="15">
      <c r="B223" s="110">
        <v>212</v>
      </c>
      <c r="C223" s="501"/>
      <c r="D223" s="139"/>
      <c r="E223" s="362" t="str">
        <f>IF(C223="","",VLOOKUP(C223,'G-7 WaterC'' Data'!$B$2:$Z$9,2,FALSE))</f>
        <v/>
      </c>
      <c r="F223" s="363" t="str">
        <f>IFERROR(VLOOKUP(E223,'G-7 WaterC'' Data'!$C$4:$D$8,2,FALSE),"")</f>
        <v/>
      </c>
      <c r="G223" s="114"/>
      <c r="H223" s="363" t="str">
        <f>IFERROR(INDEX('G-7 WaterC'' Data'!$H$4:$L$8,MATCH(C223,'G-7 WaterC'' Data'!$B$4:$B$8,0),MATCH(G223,'G-7 WaterC'' Data'!$H$3:$L$3,0)),"")</f>
        <v/>
      </c>
      <c r="I223" s="54"/>
      <c r="J223" s="401" t="str">
        <f>IF(I223="","",IF(VLOOKUP(I223,'G-7 WaterC'' Data'!$AK$4:$AM$6,2,FALSE)=0,"Spatial Data Missing ⚠",VLOOKUP(I223,'G-7 WaterC'' Data'!$AK$4:$AM$6,2,FALSE)))</f>
        <v/>
      </c>
      <c r="K223" s="363" t="str">
        <f>IF(I223="","",IF(VLOOKUP(I223,'G-7 WaterC'' Data'!$AK$4:$AM$6,3,FALSE)=0,"Spatial Data Missing ⚠",VLOOKUP(I223,'G-7 WaterC'' Data'!$AK$4:$AM$6,3,FALSE)))</f>
        <v/>
      </c>
      <c r="L223" s="478" t="str">
        <f>IFERROR(INDEX('G-7 WaterC'' Data'!$O$3:$O$7,MATCH(G223,'G-7 WaterC'' Data'!$N$3:$N$7,0)),"")</f>
        <v/>
      </c>
      <c r="M223" s="55"/>
      <c r="N223" s="159"/>
      <c r="O223" s="370" t="str">
        <f t="shared" si="18"/>
        <v/>
      </c>
      <c r="P223" s="383" t="str">
        <f t="shared" si="19"/>
        <v/>
      </c>
      <c r="Q223" s="422" t="str">
        <f>IFERROR(IF(P223="Check Data ⚠","Check Data ⚠",VLOOKUP(P223,'G-4 Temporal multipliers'!$A$4:$C$37,3,FALSE)),"")</f>
        <v/>
      </c>
      <c r="R223" s="362" t="str">
        <f>IF(C223="","",VLOOKUP(C223,'G-7 WaterC'' Data'!$B$4:$G$8,4,FALSE))</f>
        <v/>
      </c>
      <c r="S223" s="370" t="str">
        <f t="shared" si="20"/>
        <v/>
      </c>
      <c r="T223" s="401" t="str">
        <f t="shared" si="21"/>
        <v/>
      </c>
      <c r="U223" s="363" t="str">
        <f>IF(C223="","",VLOOKUP(T223,'G-3 Multipliers'!$P$2:$Q$6,2,FALSE))</f>
        <v/>
      </c>
      <c r="V223" s="115"/>
      <c r="W223" s="363" t="str">
        <f>IF(V223="","",IF(VLOOKUP(V223,'G-7 WaterC'' Data'!$AA$4:$AB$7,2,FALSE)=0,"Spatial Data Missing ⚠",VLOOKUP(V223,'G-7 WaterC'' Data'!$AA$4:$AB$7,2,FALSE)))</f>
        <v/>
      </c>
      <c r="X223" s="60"/>
      <c r="Y223" s="363" t="str">
        <f>IF(X223="","",IF(VLOOKUP(X223,'G-7 WaterC'' Data'!$AD$4:$AE$14,2,FALSE)=0,"Enrcoachment Data Missing ⚠",VLOOKUP(X223,'G-7 WaterC'' Data'!$AD$4:$AE$14,2,FALSE)))</f>
        <v/>
      </c>
      <c r="Z223" s="115"/>
      <c r="AA223" s="363" t="str">
        <f>IF(Z223="","",IF(VLOOKUP(Z223,'G-7 WaterC'' Data'!$AO$4:$BO$7,2,FALSE)=0,"Spatial Data Missing ⚠",VLOOKUP(Z223,'G-7 WaterC'' Data'!$AO$4:$BO$7,2,FALSE)))</f>
        <v/>
      </c>
      <c r="AB223" s="405" t="str">
        <f t="shared" si="22"/>
        <v/>
      </c>
      <c r="AC223" s="405" t="str">
        <f t="shared" si="23"/>
        <v/>
      </c>
      <c r="AD223" s="117"/>
      <c r="AE223" s="692"/>
      <c r="AF223" s="119"/>
      <c r="AG223" s="120"/>
      <c r="AL223" s="30" t="str">
        <f>IFERROR(INDEX('G-7 WaterC'' Data'!$AZ$3:$AZ$7,MATCH(C223,'G-7 WaterC'' Data'!$AY$3:$AY$7,0)),"")</f>
        <v/>
      </c>
    </row>
    <row r="224" spans="2:38" ht="15">
      <c r="B224" s="110">
        <v>213</v>
      </c>
      <c r="C224" s="501"/>
      <c r="D224" s="139"/>
      <c r="E224" s="362" t="str">
        <f>IF(C224="","",VLOOKUP(C224,'G-7 WaterC'' Data'!$B$2:$Z$9,2,FALSE))</f>
        <v/>
      </c>
      <c r="F224" s="363" t="str">
        <f>IFERROR(VLOOKUP(E224,'G-7 WaterC'' Data'!$C$4:$D$8,2,FALSE),"")</f>
        <v/>
      </c>
      <c r="G224" s="114"/>
      <c r="H224" s="363" t="str">
        <f>IFERROR(INDEX('G-7 WaterC'' Data'!$H$4:$L$8,MATCH(C224,'G-7 WaterC'' Data'!$B$4:$B$8,0),MATCH(G224,'G-7 WaterC'' Data'!$H$3:$L$3,0)),"")</f>
        <v/>
      </c>
      <c r="I224" s="54"/>
      <c r="J224" s="401" t="str">
        <f>IF(I224="","",IF(VLOOKUP(I224,'G-7 WaterC'' Data'!$AK$4:$AM$6,2,FALSE)=0,"Spatial Data Missing ⚠",VLOOKUP(I224,'G-7 WaterC'' Data'!$AK$4:$AM$6,2,FALSE)))</f>
        <v/>
      </c>
      <c r="K224" s="363" t="str">
        <f>IF(I224="","",IF(VLOOKUP(I224,'G-7 WaterC'' Data'!$AK$4:$AM$6,3,FALSE)=0,"Spatial Data Missing ⚠",VLOOKUP(I224,'G-7 WaterC'' Data'!$AK$4:$AM$6,3,FALSE)))</f>
        <v/>
      </c>
      <c r="L224" s="478" t="str">
        <f>IFERROR(INDEX('G-7 WaterC'' Data'!$O$3:$O$7,MATCH(G224,'G-7 WaterC'' Data'!$N$3:$N$7,0)),"")</f>
        <v/>
      </c>
      <c r="M224" s="55"/>
      <c r="N224" s="159"/>
      <c r="O224" s="370" t="str">
        <f t="shared" si="18"/>
        <v/>
      </c>
      <c r="P224" s="383" t="str">
        <f t="shared" si="19"/>
        <v/>
      </c>
      <c r="Q224" s="422" t="str">
        <f>IFERROR(IF(P224="Check Data ⚠","Check Data ⚠",VLOOKUP(P224,'G-4 Temporal multipliers'!$A$4:$C$37,3,FALSE)),"")</f>
        <v/>
      </c>
      <c r="R224" s="362" t="str">
        <f>IF(C224="","",VLOOKUP(C224,'G-7 WaterC'' Data'!$B$4:$G$8,4,FALSE))</f>
        <v/>
      </c>
      <c r="S224" s="370" t="str">
        <f t="shared" si="20"/>
        <v/>
      </c>
      <c r="T224" s="401" t="str">
        <f t="shared" si="21"/>
        <v/>
      </c>
      <c r="U224" s="363" t="str">
        <f>IF(C224="","",VLOOKUP(T224,'G-3 Multipliers'!$P$2:$Q$6,2,FALSE))</f>
        <v/>
      </c>
      <c r="V224" s="115"/>
      <c r="W224" s="363" t="str">
        <f>IF(V224="","",IF(VLOOKUP(V224,'G-7 WaterC'' Data'!$AA$4:$AB$7,2,FALSE)=0,"Spatial Data Missing ⚠",VLOOKUP(V224,'G-7 WaterC'' Data'!$AA$4:$AB$7,2,FALSE)))</f>
        <v/>
      </c>
      <c r="X224" s="60"/>
      <c r="Y224" s="363" t="str">
        <f>IF(X224="","",IF(VLOOKUP(X224,'G-7 WaterC'' Data'!$AD$4:$AE$14,2,FALSE)=0,"Enrcoachment Data Missing ⚠",VLOOKUP(X224,'G-7 WaterC'' Data'!$AD$4:$AE$14,2,FALSE)))</f>
        <v/>
      </c>
      <c r="Z224" s="115"/>
      <c r="AA224" s="363" t="str">
        <f>IF(Z224="","",IF(VLOOKUP(Z224,'G-7 WaterC'' Data'!$AO$4:$BO$7,2,FALSE)=0,"Spatial Data Missing ⚠",VLOOKUP(Z224,'G-7 WaterC'' Data'!$AO$4:$BO$7,2,FALSE)))</f>
        <v/>
      </c>
      <c r="AB224" s="405" t="str">
        <f t="shared" si="22"/>
        <v/>
      </c>
      <c r="AC224" s="405" t="str">
        <f t="shared" si="23"/>
        <v/>
      </c>
      <c r="AD224" s="117"/>
      <c r="AE224" s="692"/>
      <c r="AF224" s="119"/>
      <c r="AG224" s="120"/>
      <c r="AL224" s="30" t="str">
        <f>IFERROR(INDEX('G-7 WaterC'' Data'!$AZ$3:$AZ$7,MATCH(C224,'G-7 WaterC'' Data'!$AY$3:$AY$7,0)),"")</f>
        <v/>
      </c>
    </row>
    <row r="225" spans="2:38" ht="15">
      <c r="B225" s="110">
        <v>214</v>
      </c>
      <c r="C225" s="501"/>
      <c r="D225" s="139"/>
      <c r="E225" s="362" t="str">
        <f>IF(C225="","",VLOOKUP(C225,'G-7 WaterC'' Data'!$B$2:$Z$9,2,FALSE))</f>
        <v/>
      </c>
      <c r="F225" s="363" t="str">
        <f>IFERROR(VLOOKUP(E225,'G-7 WaterC'' Data'!$C$4:$D$8,2,FALSE),"")</f>
        <v/>
      </c>
      <c r="G225" s="114"/>
      <c r="H225" s="363" t="str">
        <f>IFERROR(INDEX('G-7 WaterC'' Data'!$H$4:$L$8,MATCH(C225,'G-7 WaterC'' Data'!$B$4:$B$8,0),MATCH(G225,'G-7 WaterC'' Data'!$H$3:$L$3,0)),"")</f>
        <v/>
      </c>
      <c r="I225" s="54"/>
      <c r="J225" s="401" t="str">
        <f>IF(I225="","",IF(VLOOKUP(I225,'G-7 WaterC'' Data'!$AK$4:$AM$6,2,FALSE)=0,"Spatial Data Missing ⚠",VLOOKUP(I225,'G-7 WaterC'' Data'!$AK$4:$AM$6,2,FALSE)))</f>
        <v/>
      </c>
      <c r="K225" s="363" t="str">
        <f>IF(I225="","",IF(VLOOKUP(I225,'G-7 WaterC'' Data'!$AK$4:$AM$6,3,FALSE)=0,"Spatial Data Missing ⚠",VLOOKUP(I225,'G-7 WaterC'' Data'!$AK$4:$AM$6,3,FALSE)))</f>
        <v/>
      </c>
      <c r="L225" s="478" t="str">
        <f>IFERROR(INDEX('G-7 WaterC'' Data'!$O$3:$O$7,MATCH(G225,'G-7 WaterC'' Data'!$N$3:$N$7,0)),"")</f>
        <v/>
      </c>
      <c r="M225" s="55"/>
      <c r="N225" s="159"/>
      <c r="O225" s="370" t="str">
        <f t="shared" si="18"/>
        <v/>
      </c>
      <c r="P225" s="383" t="str">
        <f t="shared" si="19"/>
        <v/>
      </c>
      <c r="Q225" s="422" t="str">
        <f>IFERROR(IF(P225="Check Data ⚠","Check Data ⚠",VLOOKUP(P225,'G-4 Temporal multipliers'!$A$4:$C$37,3,FALSE)),"")</f>
        <v/>
      </c>
      <c r="R225" s="362" t="str">
        <f>IF(C225="","",VLOOKUP(C225,'G-7 WaterC'' Data'!$B$4:$G$8,4,FALSE))</f>
        <v/>
      </c>
      <c r="S225" s="370" t="str">
        <f t="shared" si="20"/>
        <v/>
      </c>
      <c r="T225" s="401" t="str">
        <f t="shared" si="21"/>
        <v/>
      </c>
      <c r="U225" s="363" t="str">
        <f>IF(C225="","",VLOOKUP(T225,'G-3 Multipliers'!$P$2:$Q$6,2,FALSE))</f>
        <v/>
      </c>
      <c r="V225" s="115"/>
      <c r="W225" s="363" t="str">
        <f>IF(V225="","",IF(VLOOKUP(V225,'G-7 WaterC'' Data'!$AA$4:$AB$7,2,FALSE)=0,"Spatial Data Missing ⚠",VLOOKUP(V225,'G-7 WaterC'' Data'!$AA$4:$AB$7,2,FALSE)))</f>
        <v/>
      </c>
      <c r="X225" s="60"/>
      <c r="Y225" s="363" t="str">
        <f>IF(X225="","",IF(VLOOKUP(X225,'G-7 WaterC'' Data'!$AD$4:$AE$14,2,FALSE)=0,"Enrcoachment Data Missing ⚠",VLOOKUP(X225,'G-7 WaterC'' Data'!$AD$4:$AE$14,2,FALSE)))</f>
        <v/>
      </c>
      <c r="Z225" s="115"/>
      <c r="AA225" s="363" t="str">
        <f>IF(Z225="","",IF(VLOOKUP(Z225,'G-7 WaterC'' Data'!$AO$4:$BO$7,2,FALSE)=0,"Spatial Data Missing ⚠",VLOOKUP(Z225,'G-7 WaterC'' Data'!$AO$4:$BO$7,2,FALSE)))</f>
        <v/>
      </c>
      <c r="AB225" s="405" t="str">
        <f t="shared" si="22"/>
        <v/>
      </c>
      <c r="AC225" s="405" t="str">
        <f t="shared" si="23"/>
        <v/>
      </c>
      <c r="AD225" s="117"/>
      <c r="AE225" s="692"/>
      <c r="AF225" s="119"/>
      <c r="AG225" s="120"/>
      <c r="AL225" s="30" t="str">
        <f>IFERROR(INDEX('G-7 WaterC'' Data'!$AZ$3:$AZ$7,MATCH(C225,'G-7 WaterC'' Data'!$AY$3:$AY$7,0)),"")</f>
        <v/>
      </c>
    </row>
    <row r="226" spans="2:38" ht="15">
      <c r="B226" s="110">
        <v>215</v>
      </c>
      <c r="C226" s="501"/>
      <c r="D226" s="139"/>
      <c r="E226" s="362" t="str">
        <f>IF(C226="","",VLOOKUP(C226,'G-7 WaterC'' Data'!$B$2:$Z$9,2,FALSE))</f>
        <v/>
      </c>
      <c r="F226" s="363" t="str">
        <f>IFERROR(VLOOKUP(E226,'G-7 WaterC'' Data'!$C$4:$D$8,2,FALSE),"")</f>
        <v/>
      </c>
      <c r="G226" s="114"/>
      <c r="H226" s="363" t="str">
        <f>IFERROR(INDEX('G-7 WaterC'' Data'!$H$4:$L$8,MATCH(C226,'G-7 WaterC'' Data'!$B$4:$B$8,0),MATCH(G226,'G-7 WaterC'' Data'!$H$3:$L$3,0)),"")</f>
        <v/>
      </c>
      <c r="I226" s="54"/>
      <c r="J226" s="401" t="str">
        <f>IF(I226="","",IF(VLOOKUP(I226,'G-7 WaterC'' Data'!$AK$4:$AM$6,2,FALSE)=0,"Spatial Data Missing ⚠",VLOOKUP(I226,'G-7 WaterC'' Data'!$AK$4:$AM$6,2,FALSE)))</f>
        <v/>
      </c>
      <c r="K226" s="363" t="str">
        <f>IF(I226="","",IF(VLOOKUP(I226,'G-7 WaterC'' Data'!$AK$4:$AM$6,3,FALSE)=0,"Spatial Data Missing ⚠",VLOOKUP(I226,'G-7 WaterC'' Data'!$AK$4:$AM$6,3,FALSE)))</f>
        <v/>
      </c>
      <c r="L226" s="478" t="str">
        <f>IFERROR(INDEX('G-7 WaterC'' Data'!$O$3:$O$7,MATCH(G226,'G-7 WaterC'' Data'!$N$3:$N$7,0)),"")</f>
        <v/>
      </c>
      <c r="M226" s="55"/>
      <c r="N226" s="159"/>
      <c r="O226" s="370" t="str">
        <f t="shared" si="18"/>
        <v/>
      </c>
      <c r="P226" s="383" t="str">
        <f t="shared" si="19"/>
        <v/>
      </c>
      <c r="Q226" s="422" t="str">
        <f>IFERROR(IF(P226="Check Data ⚠","Check Data ⚠",VLOOKUP(P226,'G-4 Temporal multipliers'!$A$4:$C$37,3,FALSE)),"")</f>
        <v/>
      </c>
      <c r="R226" s="362" t="str">
        <f>IF(C226="","",VLOOKUP(C226,'G-7 WaterC'' Data'!$B$4:$G$8,4,FALSE))</f>
        <v/>
      </c>
      <c r="S226" s="370" t="str">
        <f t="shared" si="20"/>
        <v/>
      </c>
      <c r="T226" s="401" t="str">
        <f t="shared" si="21"/>
        <v/>
      </c>
      <c r="U226" s="363" t="str">
        <f>IF(C226="","",VLOOKUP(T226,'G-3 Multipliers'!$P$2:$Q$6,2,FALSE))</f>
        <v/>
      </c>
      <c r="V226" s="115"/>
      <c r="W226" s="363" t="str">
        <f>IF(V226="","",IF(VLOOKUP(V226,'G-7 WaterC'' Data'!$AA$4:$AB$7,2,FALSE)=0,"Spatial Data Missing ⚠",VLOOKUP(V226,'G-7 WaterC'' Data'!$AA$4:$AB$7,2,FALSE)))</f>
        <v/>
      </c>
      <c r="X226" s="60"/>
      <c r="Y226" s="363" t="str">
        <f>IF(X226="","",IF(VLOOKUP(X226,'G-7 WaterC'' Data'!$AD$4:$AE$14,2,FALSE)=0,"Enrcoachment Data Missing ⚠",VLOOKUP(X226,'G-7 WaterC'' Data'!$AD$4:$AE$14,2,FALSE)))</f>
        <v/>
      </c>
      <c r="Z226" s="115"/>
      <c r="AA226" s="363" t="str">
        <f>IF(Z226="","",IF(VLOOKUP(Z226,'G-7 WaterC'' Data'!$AO$4:$BO$7,2,FALSE)=0,"Spatial Data Missing ⚠",VLOOKUP(Z226,'G-7 WaterC'' Data'!$AO$4:$BO$7,2,FALSE)))</f>
        <v/>
      </c>
      <c r="AB226" s="405" t="str">
        <f t="shared" si="22"/>
        <v/>
      </c>
      <c r="AC226" s="405" t="str">
        <f t="shared" si="23"/>
        <v/>
      </c>
      <c r="AD226" s="117"/>
      <c r="AE226" s="692"/>
      <c r="AF226" s="119"/>
      <c r="AG226" s="120"/>
      <c r="AL226" s="30" t="str">
        <f>IFERROR(INDEX('G-7 WaterC'' Data'!$AZ$3:$AZ$7,MATCH(C226,'G-7 WaterC'' Data'!$AY$3:$AY$7,0)),"")</f>
        <v/>
      </c>
    </row>
    <row r="227" spans="2:38" ht="15">
      <c r="B227" s="110">
        <v>216</v>
      </c>
      <c r="C227" s="501"/>
      <c r="D227" s="139"/>
      <c r="E227" s="362" t="str">
        <f>IF(C227="","",VLOOKUP(C227,'G-7 WaterC'' Data'!$B$2:$Z$9,2,FALSE))</f>
        <v/>
      </c>
      <c r="F227" s="363" t="str">
        <f>IFERROR(VLOOKUP(E227,'G-7 WaterC'' Data'!$C$4:$D$8,2,FALSE),"")</f>
        <v/>
      </c>
      <c r="G227" s="114"/>
      <c r="H227" s="363" t="str">
        <f>IFERROR(INDEX('G-7 WaterC'' Data'!$H$4:$L$8,MATCH(C227,'G-7 WaterC'' Data'!$B$4:$B$8,0),MATCH(G227,'G-7 WaterC'' Data'!$H$3:$L$3,0)),"")</f>
        <v/>
      </c>
      <c r="I227" s="54"/>
      <c r="J227" s="401" t="str">
        <f>IF(I227="","",IF(VLOOKUP(I227,'G-7 WaterC'' Data'!$AK$4:$AM$6,2,FALSE)=0,"Spatial Data Missing ⚠",VLOOKUP(I227,'G-7 WaterC'' Data'!$AK$4:$AM$6,2,FALSE)))</f>
        <v/>
      </c>
      <c r="K227" s="363" t="str">
        <f>IF(I227="","",IF(VLOOKUP(I227,'G-7 WaterC'' Data'!$AK$4:$AM$6,3,FALSE)=0,"Spatial Data Missing ⚠",VLOOKUP(I227,'G-7 WaterC'' Data'!$AK$4:$AM$6,3,FALSE)))</f>
        <v/>
      </c>
      <c r="L227" s="478" t="str">
        <f>IFERROR(INDEX('G-7 WaterC'' Data'!$O$3:$O$7,MATCH(G227,'G-7 WaterC'' Data'!$N$3:$N$7,0)),"")</f>
        <v/>
      </c>
      <c r="M227" s="55"/>
      <c r="N227" s="159"/>
      <c r="O227" s="370" t="str">
        <f t="shared" si="18"/>
        <v/>
      </c>
      <c r="P227" s="383" t="str">
        <f t="shared" si="19"/>
        <v/>
      </c>
      <c r="Q227" s="422" t="str">
        <f>IFERROR(IF(P227="Check Data ⚠","Check Data ⚠",VLOOKUP(P227,'G-4 Temporal multipliers'!$A$4:$C$37,3,FALSE)),"")</f>
        <v/>
      </c>
      <c r="R227" s="362" t="str">
        <f>IF(C227="","",VLOOKUP(C227,'G-7 WaterC'' Data'!$B$4:$G$8,4,FALSE))</f>
        <v/>
      </c>
      <c r="S227" s="370" t="str">
        <f t="shared" si="20"/>
        <v/>
      </c>
      <c r="T227" s="401" t="str">
        <f t="shared" si="21"/>
        <v/>
      </c>
      <c r="U227" s="363" t="str">
        <f>IF(C227="","",VLOOKUP(T227,'G-3 Multipliers'!$P$2:$Q$6,2,FALSE))</f>
        <v/>
      </c>
      <c r="V227" s="115"/>
      <c r="W227" s="363" t="str">
        <f>IF(V227="","",IF(VLOOKUP(V227,'G-7 WaterC'' Data'!$AA$4:$AB$7,2,FALSE)=0,"Spatial Data Missing ⚠",VLOOKUP(V227,'G-7 WaterC'' Data'!$AA$4:$AB$7,2,FALSE)))</f>
        <v/>
      </c>
      <c r="X227" s="60"/>
      <c r="Y227" s="363" t="str">
        <f>IF(X227="","",IF(VLOOKUP(X227,'G-7 WaterC'' Data'!$AD$4:$AE$14,2,FALSE)=0,"Enrcoachment Data Missing ⚠",VLOOKUP(X227,'G-7 WaterC'' Data'!$AD$4:$AE$14,2,FALSE)))</f>
        <v/>
      </c>
      <c r="Z227" s="115"/>
      <c r="AA227" s="363" t="str">
        <f>IF(Z227="","",IF(VLOOKUP(Z227,'G-7 WaterC'' Data'!$AO$4:$BO$7,2,FALSE)=0,"Spatial Data Missing ⚠",VLOOKUP(Z227,'G-7 WaterC'' Data'!$AO$4:$BO$7,2,FALSE)))</f>
        <v/>
      </c>
      <c r="AB227" s="405" t="str">
        <f t="shared" si="22"/>
        <v/>
      </c>
      <c r="AC227" s="405" t="str">
        <f t="shared" si="23"/>
        <v/>
      </c>
      <c r="AD227" s="117"/>
      <c r="AE227" s="692"/>
      <c r="AF227" s="119"/>
      <c r="AG227" s="120"/>
      <c r="AL227" s="30" t="str">
        <f>IFERROR(INDEX('G-7 WaterC'' Data'!$AZ$3:$AZ$7,MATCH(C227,'G-7 WaterC'' Data'!$AY$3:$AY$7,0)),"")</f>
        <v/>
      </c>
    </row>
    <row r="228" spans="2:38" ht="15">
      <c r="B228" s="110">
        <v>217</v>
      </c>
      <c r="C228" s="501"/>
      <c r="D228" s="139"/>
      <c r="E228" s="362" t="str">
        <f>IF(C228="","",VLOOKUP(C228,'G-7 WaterC'' Data'!$B$2:$Z$9,2,FALSE))</f>
        <v/>
      </c>
      <c r="F228" s="363" t="str">
        <f>IFERROR(VLOOKUP(E228,'G-7 WaterC'' Data'!$C$4:$D$8,2,FALSE),"")</f>
        <v/>
      </c>
      <c r="G228" s="114"/>
      <c r="H228" s="363" t="str">
        <f>IFERROR(INDEX('G-7 WaterC'' Data'!$H$4:$L$8,MATCH(C228,'G-7 WaterC'' Data'!$B$4:$B$8,0),MATCH(G228,'G-7 WaterC'' Data'!$H$3:$L$3,0)),"")</f>
        <v/>
      </c>
      <c r="I228" s="54"/>
      <c r="J228" s="401" t="str">
        <f>IF(I228="","",IF(VLOOKUP(I228,'G-7 WaterC'' Data'!$AK$4:$AM$6,2,FALSE)=0,"Spatial Data Missing ⚠",VLOOKUP(I228,'G-7 WaterC'' Data'!$AK$4:$AM$6,2,FALSE)))</f>
        <v/>
      </c>
      <c r="K228" s="363" t="str">
        <f>IF(I228="","",IF(VLOOKUP(I228,'G-7 WaterC'' Data'!$AK$4:$AM$6,3,FALSE)=0,"Spatial Data Missing ⚠",VLOOKUP(I228,'G-7 WaterC'' Data'!$AK$4:$AM$6,3,FALSE)))</f>
        <v/>
      </c>
      <c r="L228" s="478" t="str">
        <f>IFERROR(INDEX('G-7 WaterC'' Data'!$O$3:$O$7,MATCH(G228,'G-7 WaterC'' Data'!$N$3:$N$7,0)),"")</f>
        <v/>
      </c>
      <c r="M228" s="55"/>
      <c r="N228" s="159"/>
      <c r="O228" s="370" t="str">
        <f t="shared" si="18"/>
        <v/>
      </c>
      <c r="P228" s="383" t="str">
        <f t="shared" si="19"/>
        <v/>
      </c>
      <c r="Q228" s="422" t="str">
        <f>IFERROR(IF(P228="Check Data ⚠","Check Data ⚠",VLOOKUP(P228,'G-4 Temporal multipliers'!$A$4:$C$37,3,FALSE)),"")</f>
        <v/>
      </c>
      <c r="R228" s="362" t="str">
        <f>IF(C228="","",VLOOKUP(C228,'G-7 WaterC'' Data'!$B$4:$G$8,4,FALSE))</f>
        <v/>
      </c>
      <c r="S228" s="370" t="str">
        <f t="shared" si="20"/>
        <v/>
      </c>
      <c r="T228" s="401" t="str">
        <f t="shared" si="21"/>
        <v/>
      </c>
      <c r="U228" s="363" t="str">
        <f>IF(C228="","",VLOOKUP(T228,'G-3 Multipliers'!$P$2:$Q$6,2,FALSE))</f>
        <v/>
      </c>
      <c r="V228" s="115"/>
      <c r="W228" s="363" t="str">
        <f>IF(V228="","",IF(VLOOKUP(V228,'G-7 WaterC'' Data'!$AA$4:$AB$7,2,FALSE)=0,"Spatial Data Missing ⚠",VLOOKUP(V228,'G-7 WaterC'' Data'!$AA$4:$AB$7,2,FALSE)))</f>
        <v/>
      </c>
      <c r="X228" s="60"/>
      <c r="Y228" s="363" t="str">
        <f>IF(X228="","",IF(VLOOKUP(X228,'G-7 WaterC'' Data'!$AD$4:$AE$14,2,FALSE)=0,"Enrcoachment Data Missing ⚠",VLOOKUP(X228,'G-7 WaterC'' Data'!$AD$4:$AE$14,2,FALSE)))</f>
        <v/>
      </c>
      <c r="Z228" s="115"/>
      <c r="AA228" s="363" t="str">
        <f>IF(Z228="","",IF(VLOOKUP(Z228,'G-7 WaterC'' Data'!$AO$4:$BO$7,2,FALSE)=0,"Spatial Data Missing ⚠",VLOOKUP(Z228,'G-7 WaterC'' Data'!$AO$4:$BO$7,2,FALSE)))</f>
        <v/>
      </c>
      <c r="AB228" s="405" t="str">
        <f t="shared" si="22"/>
        <v/>
      </c>
      <c r="AC228" s="405" t="str">
        <f t="shared" si="23"/>
        <v/>
      </c>
      <c r="AD228" s="117"/>
      <c r="AE228" s="692"/>
      <c r="AF228" s="119"/>
      <c r="AG228" s="120"/>
      <c r="AL228" s="30" t="str">
        <f>IFERROR(INDEX('G-7 WaterC'' Data'!$AZ$3:$AZ$7,MATCH(C228,'G-7 WaterC'' Data'!$AY$3:$AY$7,0)),"")</f>
        <v/>
      </c>
    </row>
    <row r="229" spans="2:38" ht="15">
      <c r="B229" s="110">
        <v>218</v>
      </c>
      <c r="C229" s="501"/>
      <c r="D229" s="139"/>
      <c r="E229" s="362" t="str">
        <f>IF(C229="","",VLOOKUP(C229,'G-7 WaterC'' Data'!$B$2:$Z$9,2,FALSE))</f>
        <v/>
      </c>
      <c r="F229" s="363" t="str">
        <f>IFERROR(VLOOKUP(E229,'G-7 WaterC'' Data'!$C$4:$D$8,2,FALSE),"")</f>
        <v/>
      </c>
      <c r="G229" s="114"/>
      <c r="H229" s="363" t="str">
        <f>IFERROR(INDEX('G-7 WaterC'' Data'!$H$4:$L$8,MATCH(C229,'G-7 WaterC'' Data'!$B$4:$B$8,0),MATCH(G229,'G-7 WaterC'' Data'!$H$3:$L$3,0)),"")</f>
        <v/>
      </c>
      <c r="I229" s="54"/>
      <c r="J229" s="401" t="str">
        <f>IF(I229="","",IF(VLOOKUP(I229,'G-7 WaterC'' Data'!$AK$4:$AM$6,2,FALSE)=0,"Spatial Data Missing ⚠",VLOOKUP(I229,'G-7 WaterC'' Data'!$AK$4:$AM$6,2,FALSE)))</f>
        <v/>
      </c>
      <c r="K229" s="363" t="str">
        <f>IF(I229="","",IF(VLOOKUP(I229,'G-7 WaterC'' Data'!$AK$4:$AM$6,3,FALSE)=0,"Spatial Data Missing ⚠",VLOOKUP(I229,'G-7 WaterC'' Data'!$AK$4:$AM$6,3,FALSE)))</f>
        <v/>
      </c>
      <c r="L229" s="478" t="str">
        <f>IFERROR(INDEX('G-7 WaterC'' Data'!$O$3:$O$7,MATCH(G229,'G-7 WaterC'' Data'!$N$3:$N$7,0)),"")</f>
        <v/>
      </c>
      <c r="M229" s="55"/>
      <c r="N229" s="159"/>
      <c r="O229" s="370" t="str">
        <f t="shared" si="18"/>
        <v/>
      </c>
      <c r="P229" s="383" t="str">
        <f t="shared" si="19"/>
        <v/>
      </c>
      <c r="Q229" s="422" t="str">
        <f>IFERROR(IF(P229="Check Data ⚠","Check Data ⚠",VLOOKUP(P229,'G-4 Temporal multipliers'!$A$4:$C$37,3,FALSE)),"")</f>
        <v/>
      </c>
      <c r="R229" s="362" t="str">
        <f>IF(C229="","",VLOOKUP(C229,'G-7 WaterC'' Data'!$B$4:$G$8,4,FALSE))</f>
        <v/>
      </c>
      <c r="S229" s="370" t="str">
        <f t="shared" si="20"/>
        <v/>
      </c>
      <c r="T229" s="401" t="str">
        <f t="shared" si="21"/>
        <v/>
      </c>
      <c r="U229" s="363" t="str">
        <f>IF(C229="","",VLOOKUP(T229,'G-3 Multipliers'!$P$2:$Q$6,2,FALSE))</f>
        <v/>
      </c>
      <c r="V229" s="115"/>
      <c r="W229" s="363" t="str">
        <f>IF(V229="","",IF(VLOOKUP(V229,'G-7 WaterC'' Data'!$AA$4:$AB$7,2,FALSE)=0,"Spatial Data Missing ⚠",VLOOKUP(V229,'G-7 WaterC'' Data'!$AA$4:$AB$7,2,FALSE)))</f>
        <v/>
      </c>
      <c r="X229" s="60"/>
      <c r="Y229" s="363" t="str">
        <f>IF(X229="","",IF(VLOOKUP(X229,'G-7 WaterC'' Data'!$AD$4:$AE$14,2,FALSE)=0,"Enrcoachment Data Missing ⚠",VLOOKUP(X229,'G-7 WaterC'' Data'!$AD$4:$AE$14,2,FALSE)))</f>
        <v/>
      </c>
      <c r="Z229" s="115"/>
      <c r="AA229" s="363" t="str">
        <f>IF(Z229="","",IF(VLOOKUP(Z229,'G-7 WaterC'' Data'!$AO$4:$BO$7,2,FALSE)=0,"Spatial Data Missing ⚠",VLOOKUP(Z229,'G-7 WaterC'' Data'!$AO$4:$BO$7,2,FALSE)))</f>
        <v/>
      </c>
      <c r="AB229" s="405" t="str">
        <f t="shared" si="22"/>
        <v/>
      </c>
      <c r="AC229" s="405" t="str">
        <f t="shared" si="23"/>
        <v/>
      </c>
      <c r="AD229" s="117"/>
      <c r="AE229" s="692"/>
      <c r="AF229" s="119"/>
      <c r="AG229" s="120"/>
      <c r="AL229" s="30" t="str">
        <f>IFERROR(INDEX('G-7 WaterC'' Data'!$AZ$3:$AZ$7,MATCH(C229,'G-7 WaterC'' Data'!$AY$3:$AY$7,0)),"")</f>
        <v/>
      </c>
    </row>
    <row r="230" spans="2:38" ht="15">
      <c r="B230" s="110">
        <v>219</v>
      </c>
      <c r="C230" s="501"/>
      <c r="D230" s="139"/>
      <c r="E230" s="362" t="str">
        <f>IF(C230="","",VLOOKUP(C230,'G-7 WaterC'' Data'!$B$2:$Z$9,2,FALSE))</f>
        <v/>
      </c>
      <c r="F230" s="363" t="str">
        <f>IFERROR(VLOOKUP(E230,'G-7 WaterC'' Data'!$C$4:$D$8,2,FALSE),"")</f>
        <v/>
      </c>
      <c r="G230" s="114"/>
      <c r="H230" s="363" t="str">
        <f>IFERROR(INDEX('G-7 WaterC'' Data'!$H$4:$L$8,MATCH(C230,'G-7 WaterC'' Data'!$B$4:$B$8,0),MATCH(G230,'G-7 WaterC'' Data'!$H$3:$L$3,0)),"")</f>
        <v/>
      </c>
      <c r="I230" s="54"/>
      <c r="J230" s="401" t="str">
        <f>IF(I230="","",IF(VLOOKUP(I230,'G-7 WaterC'' Data'!$AK$4:$AM$6,2,FALSE)=0,"Spatial Data Missing ⚠",VLOOKUP(I230,'G-7 WaterC'' Data'!$AK$4:$AM$6,2,FALSE)))</f>
        <v/>
      </c>
      <c r="K230" s="363" t="str">
        <f>IF(I230="","",IF(VLOOKUP(I230,'G-7 WaterC'' Data'!$AK$4:$AM$6,3,FALSE)=0,"Spatial Data Missing ⚠",VLOOKUP(I230,'G-7 WaterC'' Data'!$AK$4:$AM$6,3,FALSE)))</f>
        <v/>
      </c>
      <c r="L230" s="478" t="str">
        <f>IFERROR(INDEX('G-7 WaterC'' Data'!$O$3:$O$7,MATCH(G230,'G-7 WaterC'' Data'!$N$3:$N$7,0)),"")</f>
        <v/>
      </c>
      <c r="M230" s="55"/>
      <c r="N230" s="159"/>
      <c r="O230" s="370" t="str">
        <f t="shared" si="18"/>
        <v/>
      </c>
      <c r="P230" s="383" t="str">
        <f t="shared" si="19"/>
        <v/>
      </c>
      <c r="Q230" s="422" t="str">
        <f>IFERROR(IF(P230="Check Data ⚠","Check Data ⚠",VLOOKUP(P230,'G-4 Temporal multipliers'!$A$4:$C$37,3,FALSE)),"")</f>
        <v/>
      </c>
      <c r="R230" s="362" t="str">
        <f>IF(C230="","",VLOOKUP(C230,'G-7 WaterC'' Data'!$B$4:$G$8,4,FALSE))</f>
        <v/>
      </c>
      <c r="S230" s="370" t="str">
        <f t="shared" si="20"/>
        <v/>
      </c>
      <c r="T230" s="401" t="str">
        <f t="shared" si="21"/>
        <v/>
      </c>
      <c r="U230" s="363" t="str">
        <f>IF(C230="","",VLOOKUP(T230,'G-3 Multipliers'!$P$2:$Q$6,2,FALSE))</f>
        <v/>
      </c>
      <c r="V230" s="115"/>
      <c r="W230" s="363" t="str">
        <f>IF(V230="","",IF(VLOOKUP(V230,'G-7 WaterC'' Data'!$AA$4:$AB$7,2,FALSE)=0,"Spatial Data Missing ⚠",VLOOKUP(V230,'G-7 WaterC'' Data'!$AA$4:$AB$7,2,FALSE)))</f>
        <v/>
      </c>
      <c r="X230" s="60"/>
      <c r="Y230" s="363" t="str">
        <f>IF(X230="","",IF(VLOOKUP(X230,'G-7 WaterC'' Data'!$AD$4:$AE$14,2,FALSE)=0,"Enrcoachment Data Missing ⚠",VLOOKUP(X230,'G-7 WaterC'' Data'!$AD$4:$AE$14,2,FALSE)))</f>
        <v/>
      </c>
      <c r="Z230" s="115"/>
      <c r="AA230" s="363" t="str">
        <f>IF(Z230="","",IF(VLOOKUP(Z230,'G-7 WaterC'' Data'!$AO$4:$BO$7,2,FALSE)=0,"Spatial Data Missing ⚠",VLOOKUP(Z230,'G-7 WaterC'' Data'!$AO$4:$BO$7,2,FALSE)))</f>
        <v/>
      </c>
      <c r="AB230" s="405" t="str">
        <f t="shared" si="22"/>
        <v/>
      </c>
      <c r="AC230" s="405" t="str">
        <f t="shared" si="23"/>
        <v/>
      </c>
      <c r="AD230" s="117"/>
      <c r="AE230" s="692"/>
      <c r="AF230" s="119"/>
      <c r="AG230" s="120"/>
      <c r="AL230" s="30" t="str">
        <f>IFERROR(INDEX('G-7 WaterC'' Data'!$AZ$3:$AZ$7,MATCH(C230,'G-7 WaterC'' Data'!$AY$3:$AY$7,0)),"")</f>
        <v/>
      </c>
    </row>
    <row r="231" spans="2:38" ht="15">
      <c r="B231" s="110">
        <v>220</v>
      </c>
      <c r="C231" s="501"/>
      <c r="D231" s="139"/>
      <c r="E231" s="362" t="str">
        <f>IF(C231="","",VLOOKUP(C231,'G-7 WaterC'' Data'!$B$2:$Z$9,2,FALSE))</f>
        <v/>
      </c>
      <c r="F231" s="363" t="str">
        <f>IFERROR(VLOOKUP(E231,'G-7 WaterC'' Data'!$C$4:$D$8,2,FALSE),"")</f>
        <v/>
      </c>
      <c r="G231" s="114"/>
      <c r="H231" s="363" t="str">
        <f>IFERROR(INDEX('G-7 WaterC'' Data'!$H$4:$L$8,MATCH(C231,'G-7 WaterC'' Data'!$B$4:$B$8,0),MATCH(G231,'G-7 WaterC'' Data'!$H$3:$L$3,0)),"")</f>
        <v/>
      </c>
      <c r="I231" s="54"/>
      <c r="J231" s="401" t="str">
        <f>IF(I231="","",IF(VLOOKUP(I231,'G-7 WaterC'' Data'!$AK$4:$AM$6,2,FALSE)=0,"Spatial Data Missing ⚠",VLOOKUP(I231,'G-7 WaterC'' Data'!$AK$4:$AM$6,2,FALSE)))</f>
        <v/>
      </c>
      <c r="K231" s="363" t="str">
        <f>IF(I231="","",IF(VLOOKUP(I231,'G-7 WaterC'' Data'!$AK$4:$AM$6,3,FALSE)=0,"Spatial Data Missing ⚠",VLOOKUP(I231,'G-7 WaterC'' Data'!$AK$4:$AM$6,3,FALSE)))</f>
        <v/>
      </c>
      <c r="L231" s="478" t="str">
        <f>IFERROR(INDEX('G-7 WaterC'' Data'!$O$3:$O$7,MATCH(G231,'G-7 WaterC'' Data'!$N$3:$N$7,0)),"")</f>
        <v/>
      </c>
      <c r="M231" s="55"/>
      <c r="N231" s="159"/>
      <c r="O231" s="370" t="str">
        <f t="shared" si="18"/>
        <v/>
      </c>
      <c r="P231" s="383" t="str">
        <f t="shared" si="19"/>
        <v/>
      </c>
      <c r="Q231" s="422" t="str">
        <f>IFERROR(IF(P231="Check Data ⚠","Check Data ⚠",VLOOKUP(P231,'G-4 Temporal multipliers'!$A$4:$C$37,3,FALSE)),"")</f>
        <v/>
      </c>
      <c r="R231" s="362" t="str">
        <f>IF(C231="","",VLOOKUP(C231,'G-7 WaterC'' Data'!$B$4:$G$8,4,FALSE))</f>
        <v/>
      </c>
      <c r="S231" s="370" t="str">
        <f t="shared" si="20"/>
        <v/>
      </c>
      <c r="T231" s="401" t="str">
        <f t="shared" si="21"/>
        <v/>
      </c>
      <c r="U231" s="363" t="str">
        <f>IF(C231="","",VLOOKUP(T231,'G-3 Multipliers'!$P$2:$Q$6,2,FALSE))</f>
        <v/>
      </c>
      <c r="V231" s="115"/>
      <c r="W231" s="363" t="str">
        <f>IF(V231="","",IF(VLOOKUP(V231,'G-7 WaterC'' Data'!$AA$4:$AB$7,2,FALSE)=0,"Spatial Data Missing ⚠",VLOOKUP(V231,'G-7 WaterC'' Data'!$AA$4:$AB$7,2,FALSE)))</f>
        <v/>
      </c>
      <c r="X231" s="60"/>
      <c r="Y231" s="363" t="str">
        <f>IF(X231="","",IF(VLOOKUP(X231,'G-7 WaterC'' Data'!$AD$4:$AE$14,2,FALSE)=0,"Enrcoachment Data Missing ⚠",VLOOKUP(X231,'G-7 WaterC'' Data'!$AD$4:$AE$14,2,FALSE)))</f>
        <v/>
      </c>
      <c r="Z231" s="115"/>
      <c r="AA231" s="363" t="str">
        <f>IF(Z231="","",IF(VLOOKUP(Z231,'G-7 WaterC'' Data'!$AO$4:$BO$7,2,FALSE)=0,"Spatial Data Missing ⚠",VLOOKUP(Z231,'G-7 WaterC'' Data'!$AO$4:$BO$7,2,FALSE)))</f>
        <v/>
      </c>
      <c r="AB231" s="405" t="str">
        <f t="shared" si="22"/>
        <v/>
      </c>
      <c r="AC231" s="405" t="str">
        <f t="shared" si="23"/>
        <v/>
      </c>
      <c r="AD231" s="117"/>
      <c r="AE231" s="692"/>
      <c r="AF231" s="119"/>
      <c r="AG231" s="120"/>
      <c r="AL231" s="30" t="str">
        <f>IFERROR(INDEX('G-7 WaterC'' Data'!$AZ$3:$AZ$7,MATCH(C231,'G-7 WaterC'' Data'!$AY$3:$AY$7,0)),"")</f>
        <v/>
      </c>
    </row>
    <row r="232" spans="2:38" ht="15">
      <c r="B232" s="110">
        <v>221</v>
      </c>
      <c r="C232" s="501"/>
      <c r="D232" s="139"/>
      <c r="E232" s="362" t="str">
        <f>IF(C232="","",VLOOKUP(C232,'G-7 WaterC'' Data'!$B$2:$Z$9,2,FALSE))</f>
        <v/>
      </c>
      <c r="F232" s="363" t="str">
        <f>IFERROR(VLOOKUP(E232,'G-7 WaterC'' Data'!$C$4:$D$8,2,FALSE),"")</f>
        <v/>
      </c>
      <c r="G232" s="114"/>
      <c r="H232" s="363" t="str">
        <f>IFERROR(INDEX('G-7 WaterC'' Data'!$H$4:$L$8,MATCH(C232,'G-7 WaterC'' Data'!$B$4:$B$8,0),MATCH(G232,'G-7 WaterC'' Data'!$H$3:$L$3,0)),"")</f>
        <v/>
      </c>
      <c r="I232" s="54"/>
      <c r="J232" s="401" t="str">
        <f>IF(I232="","",IF(VLOOKUP(I232,'G-7 WaterC'' Data'!$AK$4:$AM$6,2,FALSE)=0,"Spatial Data Missing ⚠",VLOOKUP(I232,'G-7 WaterC'' Data'!$AK$4:$AM$6,2,FALSE)))</f>
        <v/>
      </c>
      <c r="K232" s="363" t="str">
        <f>IF(I232="","",IF(VLOOKUP(I232,'G-7 WaterC'' Data'!$AK$4:$AM$6,3,FALSE)=0,"Spatial Data Missing ⚠",VLOOKUP(I232,'G-7 WaterC'' Data'!$AK$4:$AM$6,3,FALSE)))</f>
        <v/>
      </c>
      <c r="L232" s="478" t="str">
        <f>IFERROR(INDEX('G-7 WaterC'' Data'!$O$3:$O$7,MATCH(G232,'G-7 WaterC'' Data'!$N$3:$N$7,0)),"")</f>
        <v/>
      </c>
      <c r="M232" s="55"/>
      <c r="N232" s="159"/>
      <c r="O232" s="370" t="str">
        <f t="shared" si="18"/>
        <v/>
      </c>
      <c r="P232" s="383" t="str">
        <f t="shared" si="19"/>
        <v/>
      </c>
      <c r="Q232" s="422" t="str">
        <f>IFERROR(IF(P232="Check Data ⚠","Check Data ⚠",VLOOKUP(P232,'G-4 Temporal multipliers'!$A$4:$C$37,3,FALSE)),"")</f>
        <v/>
      </c>
      <c r="R232" s="362" t="str">
        <f>IF(C232="","",VLOOKUP(C232,'G-7 WaterC'' Data'!$B$4:$G$8,4,FALSE))</f>
        <v/>
      </c>
      <c r="S232" s="370" t="str">
        <f t="shared" si="20"/>
        <v/>
      </c>
      <c r="T232" s="401" t="str">
        <f t="shared" si="21"/>
        <v/>
      </c>
      <c r="U232" s="363" t="str">
        <f>IF(C232="","",VLOOKUP(T232,'G-3 Multipliers'!$P$2:$Q$6,2,FALSE))</f>
        <v/>
      </c>
      <c r="V232" s="115"/>
      <c r="W232" s="363" t="str">
        <f>IF(V232="","",IF(VLOOKUP(V232,'G-7 WaterC'' Data'!$AA$4:$AB$7,2,FALSE)=0,"Spatial Data Missing ⚠",VLOOKUP(V232,'G-7 WaterC'' Data'!$AA$4:$AB$7,2,FALSE)))</f>
        <v/>
      </c>
      <c r="X232" s="60"/>
      <c r="Y232" s="363" t="str">
        <f>IF(X232="","",IF(VLOOKUP(X232,'G-7 WaterC'' Data'!$AD$4:$AE$14,2,FALSE)=0,"Enrcoachment Data Missing ⚠",VLOOKUP(X232,'G-7 WaterC'' Data'!$AD$4:$AE$14,2,FALSE)))</f>
        <v/>
      </c>
      <c r="Z232" s="115"/>
      <c r="AA232" s="363" t="str">
        <f>IF(Z232="","",IF(VLOOKUP(Z232,'G-7 WaterC'' Data'!$AO$4:$BO$7,2,FALSE)=0,"Spatial Data Missing ⚠",VLOOKUP(Z232,'G-7 WaterC'' Data'!$AO$4:$BO$7,2,FALSE)))</f>
        <v/>
      </c>
      <c r="AB232" s="405" t="str">
        <f t="shared" si="22"/>
        <v/>
      </c>
      <c r="AC232" s="405" t="str">
        <f t="shared" si="23"/>
        <v/>
      </c>
      <c r="AD232" s="117"/>
      <c r="AE232" s="692"/>
      <c r="AF232" s="119"/>
      <c r="AG232" s="120"/>
      <c r="AL232" s="30" t="str">
        <f>IFERROR(INDEX('G-7 WaterC'' Data'!$AZ$3:$AZ$7,MATCH(C232,'G-7 WaterC'' Data'!$AY$3:$AY$7,0)),"")</f>
        <v/>
      </c>
    </row>
    <row r="233" spans="2:38" ht="15">
      <c r="B233" s="110">
        <v>222</v>
      </c>
      <c r="C233" s="501"/>
      <c r="D233" s="139"/>
      <c r="E233" s="362" t="str">
        <f>IF(C233="","",VLOOKUP(C233,'G-7 WaterC'' Data'!$B$2:$Z$9,2,FALSE))</f>
        <v/>
      </c>
      <c r="F233" s="363" t="str">
        <f>IFERROR(VLOOKUP(E233,'G-7 WaterC'' Data'!$C$4:$D$8,2,FALSE),"")</f>
        <v/>
      </c>
      <c r="G233" s="114"/>
      <c r="H233" s="363" t="str">
        <f>IFERROR(INDEX('G-7 WaterC'' Data'!$H$4:$L$8,MATCH(C233,'G-7 WaterC'' Data'!$B$4:$B$8,0),MATCH(G233,'G-7 WaterC'' Data'!$H$3:$L$3,0)),"")</f>
        <v/>
      </c>
      <c r="I233" s="54"/>
      <c r="J233" s="401" t="str">
        <f>IF(I233="","",IF(VLOOKUP(I233,'G-7 WaterC'' Data'!$AK$4:$AM$6,2,FALSE)=0,"Spatial Data Missing ⚠",VLOOKUP(I233,'G-7 WaterC'' Data'!$AK$4:$AM$6,2,FALSE)))</f>
        <v/>
      </c>
      <c r="K233" s="363" t="str">
        <f>IF(I233="","",IF(VLOOKUP(I233,'G-7 WaterC'' Data'!$AK$4:$AM$6,3,FALSE)=0,"Spatial Data Missing ⚠",VLOOKUP(I233,'G-7 WaterC'' Data'!$AK$4:$AM$6,3,FALSE)))</f>
        <v/>
      </c>
      <c r="L233" s="478" t="str">
        <f>IFERROR(INDEX('G-7 WaterC'' Data'!$O$3:$O$7,MATCH(G233,'G-7 WaterC'' Data'!$N$3:$N$7,0)),"")</f>
        <v/>
      </c>
      <c r="M233" s="55"/>
      <c r="N233" s="159"/>
      <c r="O233" s="370" t="str">
        <f t="shared" si="18"/>
        <v/>
      </c>
      <c r="P233" s="383" t="str">
        <f t="shared" si="19"/>
        <v/>
      </c>
      <c r="Q233" s="422" t="str">
        <f>IFERROR(IF(P233="Check Data ⚠","Check Data ⚠",VLOOKUP(P233,'G-4 Temporal multipliers'!$A$4:$C$37,3,FALSE)),"")</f>
        <v/>
      </c>
      <c r="R233" s="362" t="str">
        <f>IF(C233="","",VLOOKUP(C233,'G-7 WaterC'' Data'!$B$4:$G$8,4,FALSE))</f>
        <v/>
      </c>
      <c r="S233" s="370" t="str">
        <f t="shared" si="20"/>
        <v/>
      </c>
      <c r="T233" s="401" t="str">
        <f t="shared" si="21"/>
        <v/>
      </c>
      <c r="U233" s="363" t="str">
        <f>IF(C233="","",VLOOKUP(T233,'G-3 Multipliers'!$P$2:$Q$6,2,FALSE))</f>
        <v/>
      </c>
      <c r="V233" s="115"/>
      <c r="W233" s="363" t="str">
        <f>IF(V233="","",IF(VLOOKUP(V233,'G-7 WaterC'' Data'!$AA$4:$AB$7,2,FALSE)=0,"Spatial Data Missing ⚠",VLOOKUP(V233,'G-7 WaterC'' Data'!$AA$4:$AB$7,2,FALSE)))</f>
        <v/>
      </c>
      <c r="X233" s="60"/>
      <c r="Y233" s="363" t="str">
        <f>IF(X233="","",IF(VLOOKUP(X233,'G-7 WaterC'' Data'!$AD$4:$AE$14,2,FALSE)=0,"Enrcoachment Data Missing ⚠",VLOOKUP(X233,'G-7 WaterC'' Data'!$AD$4:$AE$14,2,FALSE)))</f>
        <v/>
      </c>
      <c r="Z233" s="115"/>
      <c r="AA233" s="363" t="str">
        <f>IF(Z233="","",IF(VLOOKUP(Z233,'G-7 WaterC'' Data'!$AO$4:$BO$7,2,FALSE)=0,"Spatial Data Missing ⚠",VLOOKUP(Z233,'G-7 WaterC'' Data'!$AO$4:$BO$7,2,FALSE)))</f>
        <v/>
      </c>
      <c r="AB233" s="405" t="str">
        <f t="shared" si="22"/>
        <v/>
      </c>
      <c r="AC233" s="405" t="str">
        <f t="shared" si="23"/>
        <v/>
      </c>
      <c r="AD233" s="117"/>
      <c r="AE233" s="692"/>
      <c r="AF233" s="119"/>
      <c r="AG233" s="120"/>
      <c r="AL233" s="30" t="str">
        <f>IFERROR(INDEX('G-7 WaterC'' Data'!$AZ$3:$AZ$7,MATCH(C233,'G-7 WaterC'' Data'!$AY$3:$AY$7,0)),"")</f>
        <v/>
      </c>
    </row>
    <row r="234" spans="2:38" ht="15">
      <c r="B234" s="110">
        <v>223</v>
      </c>
      <c r="C234" s="501"/>
      <c r="D234" s="139"/>
      <c r="E234" s="362" t="str">
        <f>IF(C234="","",VLOOKUP(C234,'G-7 WaterC'' Data'!$B$2:$Z$9,2,FALSE))</f>
        <v/>
      </c>
      <c r="F234" s="363" t="str">
        <f>IFERROR(VLOOKUP(E234,'G-7 WaterC'' Data'!$C$4:$D$8,2,FALSE),"")</f>
        <v/>
      </c>
      <c r="G234" s="114"/>
      <c r="H234" s="363" t="str">
        <f>IFERROR(INDEX('G-7 WaterC'' Data'!$H$4:$L$8,MATCH(C234,'G-7 WaterC'' Data'!$B$4:$B$8,0),MATCH(G234,'G-7 WaterC'' Data'!$H$3:$L$3,0)),"")</f>
        <v/>
      </c>
      <c r="I234" s="54"/>
      <c r="J234" s="401" t="str">
        <f>IF(I234="","",IF(VLOOKUP(I234,'G-7 WaterC'' Data'!$AK$4:$AM$6,2,FALSE)=0,"Spatial Data Missing ⚠",VLOOKUP(I234,'G-7 WaterC'' Data'!$AK$4:$AM$6,2,FALSE)))</f>
        <v/>
      </c>
      <c r="K234" s="363" t="str">
        <f>IF(I234="","",IF(VLOOKUP(I234,'G-7 WaterC'' Data'!$AK$4:$AM$6,3,FALSE)=0,"Spatial Data Missing ⚠",VLOOKUP(I234,'G-7 WaterC'' Data'!$AK$4:$AM$6,3,FALSE)))</f>
        <v/>
      </c>
      <c r="L234" s="478" t="str">
        <f>IFERROR(INDEX('G-7 WaterC'' Data'!$O$3:$O$7,MATCH(G234,'G-7 WaterC'' Data'!$N$3:$N$7,0)),"")</f>
        <v/>
      </c>
      <c r="M234" s="55"/>
      <c r="N234" s="159"/>
      <c r="O234" s="370" t="str">
        <f t="shared" si="18"/>
        <v/>
      </c>
      <c r="P234" s="383" t="str">
        <f t="shared" si="19"/>
        <v/>
      </c>
      <c r="Q234" s="422" t="str">
        <f>IFERROR(IF(P234="Check Data ⚠","Check Data ⚠",VLOOKUP(P234,'G-4 Temporal multipliers'!$A$4:$C$37,3,FALSE)),"")</f>
        <v/>
      </c>
      <c r="R234" s="362" t="str">
        <f>IF(C234="","",VLOOKUP(C234,'G-7 WaterC'' Data'!$B$4:$G$8,4,FALSE))</f>
        <v/>
      </c>
      <c r="S234" s="370" t="str">
        <f t="shared" si="20"/>
        <v/>
      </c>
      <c r="T234" s="401" t="str">
        <f t="shared" si="21"/>
        <v/>
      </c>
      <c r="U234" s="363" t="str">
        <f>IF(C234="","",VLOOKUP(T234,'G-3 Multipliers'!$P$2:$Q$6,2,FALSE))</f>
        <v/>
      </c>
      <c r="V234" s="115"/>
      <c r="W234" s="363" t="str">
        <f>IF(V234="","",IF(VLOOKUP(V234,'G-7 WaterC'' Data'!$AA$4:$AB$7,2,FALSE)=0,"Spatial Data Missing ⚠",VLOOKUP(V234,'G-7 WaterC'' Data'!$AA$4:$AB$7,2,FALSE)))</f>
        <v/>
      </c>
      <c r="X234" s="60"/>
      <c r="Y234" s="363" t="str">
        <f>IF(X234="","",IF(VLOOKUP(X234,'G-7 WaterC'' Data'!$AD$4:$AE$14,2,FALSE)=0,"Enrcoachment Data Missing ⚠",VLOOKUP(X234,'G-7 WaterC'' Data'!$AD$4:$AE$14,2,FALSE)))</f>
        <v/>
      </c>
      <c r="Z234" s="115"/>
      <c r="AA234" s="363" t="str">
        <f>IF(Z234="","",IF(VLOOKUP(Z234,'G-7 WaterC'' Data'!$AO$4:$BO$7,2,FALSE)=0,"Spatial Data Missing ⚠",VLOOKUP(Z234,'G-7 WaterC'' Data'!$AO$4:$BO$7,2,FALSE)))</f>
        <v/>
      </c>
      <c r="AB234" s="405" t="str">
        <f t="shared" si="22"/>
        <v/>
      </c>
      <c r="AC234" s="405" t="str">
        <f t="shared" si="23"/>
        <v/>
      </c>
      <c r="AD234" s="117"/>
      <c r="AE234" s="692"/>
      <c r="AF234" s="119"/>
      <c r="AG234" s="120"/>
      <c r="AL234" s="30" t="str">
        <f>IFERROR(INDEX('G-7 WaterC'' Data'!$AZ$3:$AZ$7,MATCH(C234,'G-7 WaterC'' Data'!$AY$3:$AY$7,0)),"")</f>
        <v/>
      </c>
    </row>
    <row r="235" spans="2:38" ht="15">
      <c r="B235" s="110">
        <v>224</v>
      </c>
      <c r="C235" s="501"/>
      <c r="D235" s="139"/>
      <c r="E235" s="362" t="str">
        <f>IF(C235="","",VLOOKUP(C235,'G-7 WaterC'' Data'!$B$2:$Z$9,2,FALSE))</f>
        <v/>
      </c>
      <c r="F235" s="363" t="str">
        <f>IFERROR(VLOOKUP(E235,'G-7 WaterC'' Data'!$C$4:$D$8,2,FALSE),"")</f>
        <v/>
      </c>
      <c r="G235" s="114"/>
      <c r="H235" s="363" t="str">
        <f>IFERROR(INDEX('G-7 WaterC'' Data'!$H$4:$L$8,MATCH(C235,'G-7 WaterC'' Data'!$B$4:$B$8,0),MATCH(G235,'G-7 WaterC'' Data'!$H$3:$L$3,0)),"")</f>
        <v/>
      </c>
      <c r="I235" s="54"/>
      <c r="J235" s="401" t="str">
        <f>IF(I235="","",IF(VLOOKUP(I235,'G-7 WaterC'' Data'!$AK$4:$AM$6,2,FALSE)=0,"Spatial Data Missing ⚠",VLOOKUP(I235,'G-7 WaterC'' Data'!$AK$4:$AM$6,2,FALSE)))</f>
        <v/>
      </c>
      <c r="K235" s="363" t="str">
        <f>IF(I235="","",IF(VLOOKUP(I235,'G-7 WaterC'' Data'!$AK$4:$AM$6,3,FALSE)=0,"Spatial Data Missing ⚠",VLOOKUP(I235,'G-7 WaterC'' Data'!$AK$4:$AM$6,3,FALSE)))</f>
        <v/>
      </c>
      <c r="L235" s="478" t="str">
        <f>IFERROR(INDEX('G-7 WaterC'' Data'!$O$3:$O$7,MATCH(G235,'G-7 WaterC'' Data'!$N$3:$N$7,0)),"")</f>
        <v/>
      </c>
      <c r="M235" s="55"/>
      <c r="N235" s="159"/>
      <c r="O235" s="370" t="str">
        <f t="shared" si="18"/>
        <v/>
      </c>
      <c r="P235" s="383" t="str">
        <f t="shared" si="19"/>
        <v/>
      </c>
      <c r="Q235" s="422" t="str">
        <f>IFERROR(IF(P235="Check Data ⚠","Check Data ⚠",VLOOKUP(P235,'G-4 Temporal multipliers'!$A$4:$C$37,3,FALSE)),"")</f>
        <v/>
      </c>
      <c r="R235" s="362" t="str">
        <f>IF(C235="","",VLOOKUP(C235,'G-7 WaterC'' Data'!$B$4:$G$8,4,FALSE))</f>
        <v/>
      </c>
      <c r="S235" s="370" t="str">
        <f t="shared" si="20"/>
        <v/>
      </c>
      <c r="T235" s="401" t="str">
        <f t="shared" si="21"/>
        <v/>
      </c>
      <c r="U235" s="363" t="str">
        <f>IF(C235="","",VLOOKUP(T235,'G-3 Multipliers'!$P$2:$Q$6,2,FALSE))</f>
        <v/>
      </c>
      <c r="V235" s="115"/>
      <c r="W235" s="363" t="str">
        <f>IF(V235="","",IF(VLOOKUP(V235,'G-7 WaterC'' Data'!$AA$4:$AB$7,2,FALSE)=0,"Spatial Data Missing ⚠",VLOOKUP(V235,'G-7 WaterC'' Data'!$AA$4:$AB$7,2,FALSE)))</f>
        <v/>
      </c>
      <c r="X235" s="60"/>
      <c r="Y235" s="363" t="str">
        <f>IF(X235="","",IF(VLOOKUP(X235,'G-7 WaterC'' Data'!$AD$4:$AE$14,2,FALSE)=0,"Enrcoachment Data Missing ⚠",VLOOKUP(X235,'G-7 WaterC'' Data'!$AD$4:$AE$14,2,FALSE)))</f>
        <v/>
      </c>
      <c r="Z235" s="115"/>
      <c r="AA235" s="363" t="str">
        <f>IF(Z235="","",IF(VLOOKUP(Z235,'G-7 WaterC'' Data'!$AO$4:$BO$7,2,FALSE)=0,"Spatial Data Missing ⚠",VLOOKUP(Z235,'G-7 WaterC'' Data'!$AO$4:$BO$7,2,FALSE)))</f>
        <v/>
      </c>
      <c r="AB235" s="405" t="str">
        <f t="shared" si="22"/>
        <v/>
      </c>
      <c r="AC235" s="405" t="str">
        <f t="shared" si="23"/>
        <v/>
      </c>
      <c r="AD235" s="117"/>
      <c r="AE235" s="692"/>
      <c r="AF235" s="119"/>
      <c r="AG235" s="120"/>
      <c r="AL235" s="30" t="str">
        <f>IFERROR(INDEX('G-7 WaterC'' Data'!$AZ$3:$AZ$7,MATCH(C235,'G-7 WaterC'' Data'!$AY$3:$AY$7,0)),"")</f>
        <v/>
      </c>
    </row>
    <row r="236" spans="2:38" ht="15">
      <c r="B236" s="110">
        <v>225</v>
      </c>
      <c r="C236" s="501"/>
      <c r="D236" s="139"/>
      <c r="E236" s="362" t="str">
        <f>IF(C236="","",VLOOKUP(C236,'G-7 WaterC'' Data'!$B$2:$Z$9,2,FALSE))</f>
        <v/>
      </c>
      <c r="F236" s="363" t="str">
        <f>IFERROR(VLOOKUP(E236,'G-7 WaterC'' Data'!$C$4:$D$8,2,FALSE),"")</f>
        <v/>
      </c>
      <c r="G236" s="114"/>
      <c r="H236" s="363" t="str">
        <f>IFERROR(INDEX('G-7 WaterC'' Data'!$H$4:$L$8,MATCH(C236,'G-7 WaterC'' Data'!$B$4:$B$8,0),MATCH(G236,'G-7 WaterC'' Data'!$H$3:$L$3,0)),"")</f>
        <v/>
      </c>
      <c r="I236" s="54"/>
      <c r="J236" s="401" t="str">
        <f>IF(I236="","",IF(VLOOKUP(I236,'G-7 WaterC'' Data'!$AK$4:$AM$6,2,FALSE)=0,"Spatial Data Missing ⚠",VLOOKUP(I236,'G-7 WaterC'' Data'!$AK$4:$AM$6,2,FALSE)))</f>
        <v/>
      </c>
      <c r="K236" s="363" t="str">
        <f>IF(I236="","",IF(VLOOKUP(I236,'G-7 WaterC'' Data'!$AK$4:$AM$6,3,FALSE)=0,"Spatial Data Missing ⚠",VLOOKUP(I236,'G-7 WaterC'' Data'!$AK$4:$AM$6,3,FALSE)))</f>
        <v/>
      </c>
      <c r="L236" s="478" t="str">
        <f>IFERROR(INDEX('G-7 WaterC'' Data'!$O$3:$O$7,MATCH(G236,'G-7 WaterC'' Data'!$N$3:$N$7,0)),"")</f>
        <v/>
      </c>
      <c r="M236" s="55"/>
      <c r="N236" s="159"/>
      <c r="O236" s="370" t="str">
        <f t="shared" si="18"/>
        <v/>
      </c>
      <c r="P236" s="383" t="str">
        <f t="shared" si="19"/>
        <v/>
      </c>
      <c r="Q236" s="422" t="str">
        <f>IFERROR(IF(P236="Check Data ⚠","Check Data ⚠",VLOOKUP(P236,'G-4 Temporal multipliers'!$A$4:$C$37,3,FALSE)),"")</f>
        <v/>
      </c>
      <c r="R236" s="362" t="str">
        <f>IF(C236="","",VLOOKUP(C236,'G-7 WaterC'' Data'!$B$4:$G$8,4,FALSE))</f>
        <v/>
      </c>
      <c r="S236" s="370" t="str">
        <f t="shared" si="20"/>
        <v/>
      </c>
      <c r="T236" s="401" t="str">
        <f t="shared" si="21"/>
        <v/>
      </c>
      <c r="U236" s="363" t="str">
        <f>IF(C236="","",VLOOKUP(T236,'G-3 Multipliers'!$P$2:$Q$6,2,FALSE))</f>
        <v/>
      </c>
      <c r="V236" s="115"/>
      <c r="W236" s="363" t="str">
        <f>IF(V236="","",IF(VLOOKUP(V236,'G-7 WaterC'' Data'!$AA$4:$AB$7,2,FALSE)=0,"Spatial Data Missing ⚠",VLOOKUP(V236,'G-7 WaterC'' Data'!$AA$4:$AB$7,2,FALSE)))</f>
        <v/>
      </c>
      <c r="X236" s="60"/>
      <c r="Y236" s="363" t="str">
        <f>IF(X236="","",IF(VLOOKUP(X236,'G-7 WaterC'' Data'!$AD$4:$AE$14,2,FALSE)=0,"Enrcoachment Data Missing ⚠",VLOOKUP(X236,'G-7 WaterC'' Data'!$AD$4:$AE$14,2,FALSE)))</f>
        <v/>
      </c>
      <c r="Z236" s="115"/>
      <c r="AA236" s="363" t="str">
        <f>IF(Z236="","",IF(VLOOKUP(Z236,'G-7 WaterC'' Data'!$AO$4:$BO$7,2,FALSE)=0,"Spatial Data Missing ⚠",VLOOKUP(Z236,'G-7 WaterC'' Data'!$AO$4:$BO$7,2,FALSE)))</f>
        <v/>
      </c>
      <c r="AB236" s="405" t="str">
        <f t="shared" si="22"/>
        <v/>
      </c>
      <c r="AC236" s="405" t="str">
        <f t="shared" si="23"/>
        <v/>
      </c>
      <c r="AD236" s="117"/>
      <c r="AE236" s="692"/>
      <c r="AF236" s="119"/>
      <c r="AG236" s="120"/>
      <c r="AL236" s="30" t="str">
        <f>IFERROR(INDEX('G-7 WaterC'' Data'!$AZ$3:$AZ$7,MATCH(C236,'G-7 WaterC'' Data'!$AY$3:$AY$7,0)),"")</f>
        <v/>
      </c>
    </row>
    <row r="237" spans="2:38" ht="15">
      <c r="B237" s="110">
        <v>226</v>
      </c>
      <c r="C237" s="501"/>
      <c r="D237" s="139"/>
      <c r="E237" s="362" t="str">
        <f>IF(C237="","",VLOOKUP(C237,'G-7 WaterC'' Data'!$B$2:$Z$9,2,FALSE))</f>
        <v/>
      </c>
      <c r="F237" s="363" t="str">
        <f>IFERROR(VLOOKUP(E237,'G-7 WaterC'' Data'!$C$4:$D$8,2,FALSE),"")</f>
        <v/>
      </c>
      <c r="G237" s="114"/>
      <c r="H237" s="363" t="str">
        <f>IFERROR(INDEX('G-7 WaterC'' Data'!$H$4:$L$8,MATCH(C237,'G-7 WaterC'' Data'!$B$4:$B$8,0),MATCH(G237,'G-7 WaterC'' Data'!$H$3:$L$3,0)),"")</f>
        <v/>
      </c>
      <c r="I237" s="54"/>
      <c r="J237" s="401" t="str">
        <f>IF(I237="","",IF(VLOOKUP(I237,'G-7 WaterC'' Data'!$AK$4:$AM$6,2,FALSE)=0,"Spatial Data Missing ⚠",VLOOKUP(I237,'G-7 WaterC'' Data'!$AK$4:$AM$6,2,FALSE)))</f>
        <v/>
      </c>
      <c r="K237" s="363" t="str">
        <f>IF(I237="","",IF(VLOOKUP(I237,'G-7 WaterC'' Data'!$AK$4:$AM$6,3,FALSE)=0,"Spatial Data Missing ⚠",VLOOKUP(I237,'G-7 WaterC'' Data'!$AK$4:$AM$6,3,FALSE)))</f>
        <v/>
      </c>
      <c r="L237" s="478" t="str">
        <f>IFERROR(INDEX('G-7 WaterC'' Data'!$O$3:$O$7,MATCH(G237,'G-7 WaterC'' Data'!$N$3:$N$7,0)),"")</f>
        <v/>
      </c>
      <c r="M237" s="55"/>
      <c r="N237" s="159"/>
      <c r="O237" s="370" t="str">
        <f t="shared" si="18"/>
        <v/>
      </c>
      <c r="P237" s="383" t="str">
        <f t="shared" si="19"/>
        <v/>
      </c>
      <c r="Q237" s="422" t="str">
        <f>IFERROR(IF(P237="Check Data ⚠","Check Data ⚠",VLOOKUP(P237,'G-4 Temporal multipliers'!$A$4:$C$37,3,FALSE)),"")</f>
        <v/>
      </c>
      <c r="R237" s="362" t="str">
        <f>IF(C237="","",VLOOKUP(C237,'G-7 WaterC'' Data'!$B$4:$G$8,4,FALSE))</f>
        <v/>
      </c>
      <c r="S237" s="370" t="str">
        <f t="shared" si="20"/>
        <v/>
      </c>
      <c r="T237" s="401" t="str">
        <f t="shared" si="21"/>
        <v/>
      </c>
      <c r="U237" s="363" t="str">
        <f>IF(C237="","",VLOOKUP(T237,'G-3 Multipliers'!$P$2:$Q$6,2,FALSE))</f>
        <v/>
      </c>
      <c r="V237" s="115"/>
      <c r="W237" s="363" t="str">
        <f>IF(V237="","",IF(VLOOKUP(V237,'G-7 WaterC'' Data'!$AA$4:$AB$7,2,FALSE)=0,"Spatial Data Missing ⚠",VLOOKUP(V237,'G-7 WaterC'' Data'!$AA$4:$AB$7,2,FALSE)))</f>
        <v/>
      </c>
      <c r="X237" s="60"/>
      <c r="Y237" s="363" t="str">
        <f>IF(X237="","",IF(VLOOKUP(X237,'G-7 WaterC'' Data'!$AD$4:$AE$14,2,FALSE)=0,"Enrcoachment Data Missing ⚠",VLOOKUP(X237,'G-7 WaterC'' Data'!$AD$4:$AE$14,2,FALSE)))</f>
        <v/>
      </c>
      <c r="Z237" s="115"/>
      <c r="AA237" s="363" t="str">
        <f>IF(Z237="","",IF(VLOOKUP(Z237,'G-7 WaterC'' Data'!$AO$4:$BO$7,2,FALSE)=0,"Spatial Data Missing ⚠",VLOOKUP(Z237,'G-7 WaterC'' Data'!$AO$4:$BO$7,2,FALSE)))</f>
        <v/>
      </c>
      <c r="AB237" s="405" t="str">
        <f t="shared" si="22"/>
        <v/>
      </c>
      <c r="AC237" s="405" t="str">
        <f t="shared" si="23"/>
        <v/>
      </c>
      <c r="AD237" s="117"/>
      <c r="AE237" s="692"/>
      <c r="AF237" s="119"/>
      <c r="AG237" s="120"/>
      <c r="AL237" s="30" t="str">
        <f>IFERROR(INDEX('G-7 WaterC'' Data'!$AZ$3:$AZ$7,MATCH(C237,'G-7 WaterC'' Data'!$AY$3:$AY$7,0)),"")</f>
        <v/>
      </c>
    </row>
    <row r="238" spans="2:38" ht="15">
      <c r="B238" s="110">
        <v>227</v>
      </c>
      <c r="C238" s="501"/>
      <c r="D238" s="139"/>
      <c r="E238" s="362" t="str">
        <f>IF(C238="","",VLOOKUP(C238,'G-7 WaterC'' Data'!$B$2:$Z$9,2,FALSE))</f>
        <v/>
      </c>
      <c r="F238" s="363" t="str">
        <f>IFERROR(VLOOKUP(E238,'G-7 WaterC'' Data'!$C$4:$D$8,2,FALSE),"")</f>
        <v/>
      </c>
      <c r="G238" s="114"/>
      <c r="H238" s="363" t="str">
        <f>IFERROR(INDEX('G-7 WaterC'' Data'!$H$4:$L$8,MATCH(C238,'G-7 WaterC'' Data'!$B$4:$B$8,0),MATCH(G238,'G-7 WaterC'' Data'!$H$3:$L$3,0)),"")</f>
        <v/>
      </c>
      <c r="I238" s="54"/>
      <c r="J238" s="401" t="str">
        <f>IF(I238="","",IF(VLOOKUP(I238,'G-7 WaterC'' Data'!$AK$4:$AM$6,2,FALSE)=0,"Spatial Data Missing ⚠",VLOOKUP(I238,'G-7 WaterC'' Data'!$AK$4:$AM$6,2,FALSE)))</f>
        <v/>
      </c>
      <c r="K238" s="363" t="str">
        <f>IF(I238="","",IF(VLOOKUP(I238,'G-7 WaterC'' Data'!$AK$4:$AM$6,3,FALSE)=0,"Spatial Data Missing ⚠",VLOOKUP(I238,'G-7 WaterC'' Data'!$AK$4:$AM$6,3,FALSE)))</f>
        <v/>
      </c>
      <c r="L238" s="478" t="str">
        <f>IFERROR(INDEX('G-7 WaterC'' Data'!$O$3:$O$7,MATCH(G238,'G-7 WaterC'' Data'!$N$3:$N$7,0)),"")</f>
        <v/>
      </c>
      <c r="M238" s="55"/>
      <c r="N238" s="159"/>
      <c r="O238" s="370" t="str">
        <f t="shared" si="18"/>
        <v/>
      </c>
      <c r="P238" s="383" t="str">
        <f t="shared" si="19"/>
        <v/>
      </c>
      <c r="Q238" s="422" t="str">
        <f>IFERROR(IF(P238="Check Data ⚠","Check Data ⚠",VLOOKUP(P238,'G-4 Temporal multipliers'!$A$4:$C$37,3,FALSE)),"")</f>
        <v/>
      </c>
      <c r="R238" s="362" t="str">
        <f>IF(C238="","",VLOOKUP(C238,'G-7 WaterC'' Data'!$B$4:$G$8,4,FALSE))</f>
        <v/>
      </c>
      <c r="S238" s="370" t="str">
        <f t="shared" si="20"/>
        <v/>
      </c>
      <c r="T238" s="401" t="str">
        <f t="shared" si="21"/>
        <v/>
      </c>
      <c r="U238" s="363" t="str">
        <f>IF(C238="","",VLOOKUP(T238,'G-3 Multipliers'!$P$2:$Q$6,2,FALSE))</f>
        <v/>
      </c>
      <c r="V238" s="115"/>
      <c r="W238" s="363" t="str">
        <f>IF(V238="","",IF(VLOOKUP(V238,'G-7 WaterC'' Data'!$AA$4:$AB$7,2,FALSE)=0,"Spatial Data Missing ⚠",VLOOKUP(V238,'G-7 WaterC'' Data'!$AA$4:$AB$7,2,FALSE)))</f>
        <v/>
      </c>
      <c r="X238" s="60"/>
      <c r="Y238" s="363" t="str">
        <f>IF(X238="","",IF(VLOOKUP(X238,'G-7 WaterC'' Data'!$AD$4:$AE$14,2,FALSE)=0,"Enrcoachment Data Missing ⚠",VLOOKUP(X238,'G-7 WaterC'' Data'!$AD$4:$AE$14,2,FALSE)))</f>
        <v/>
      </c>
      <c r="Z238" s="115"/>
      <c r="AA238" s="363" t="str">
        <f>IF(Z238="","",IF(VLOOKUP(Z238,'G-7 WaterC'' Data'!$AO$4:$BO$7,2,FALSE)=0,"Spatial Data Missing ⚠",VLOOKUP(Z238,'G-7 WaterC'' Data'!$AO$4:$BO$7,2,FALSE)))</f>
        <v/>
      </c>
      <c r="AB238" s="405" t="str">
        <f t="shared" si="22"/>
        <v/>
      </c>
      <c r="AC238" s="405" t="str">
        <f t="shared" si="23"/>
        <v/>
      </c>
      <c r="AD238" s="117"/>
      <c r="AE238" s="692"/>
      <c r="AF238" s="119"/>
      <c r="AG238" s="120"/>
      <c r="AL238" s="30" t="str">
        <f>IFERROR(INDEX('G-7 WaterC'' Data'!$AZ$3:$AZ$7,MATCH(C238,'G-7 WaterC'' Data'!$AY$3:$AY$7,0)),"")</f>
        <v/>
      </c>
    </row>
    <row r="239" spans="2:38" ht="15">
      <c r="B239" s="110">
        <v>228</v>
      </c>
      <c r="C239" s="501"/>
      <c r="D239" s="139"/>
      <c r="E239" s="362" t="str">
        <f>IF(C239="","",VLOOKUP(C239,'G-7 WaterC'' Data'!$B$2:$Z$9,2,FALSE))</f>
        <v/>
      </c>
      <c r="F239" s="363" t="str">
        <f>IFERROR(VLOOKUP(E239,'G-7 WaterC'' Data'!$C$4:$D$8,2,FALSE),"")</f>
        <v/>
      </c>
      <c r="G239" s="114"/>
      <c r="H239" s="363" t="str">
        <f>IFERROR(INDEX('G-7 WaterC'' Data'!$H$4:$L$8,MATCH(C239,'G-7 WaterC'' Data'!$B$4:$B$8,0),MATCH(G239,'G-7 WaterC'' Data'!$H$3:$L$3,0)),"")</f>
        <v/>
      </c>
      <c r="I239" s="54"/>
      <c r="J239" s="401" t="str">
        <f>IF(I239="","",IF(VLOOKUP(I239,'G-7 WaterC'' Data'!$AK$4:$AM$6,2,FALSE)=0,"Spatial Data Missing ⚠",VLOOKUP(I239,'G-7 WaterC'' Data'!$AK$4:$AM$6,2,FALSE)))</f>
        <v/>
      </c>
      <c r="K239" s="363" t="str">
        <f>IF(I239="","",IF(VLOOKUP(I239,'G-7 WaterC'' Data'!$AK$4:$AM$6,3,FALSE)=0,"Spatial Data Missing ⚠",VLOOKUP(I239,'G-7 WaterC'' Data'!$AK$4:$AM$6,3,FALSE)))</f>
        <v/>
      </c>
      <c r="L239" s="478" t="str">
        <f>IFERROR(INDEX('G-7 WaterC'' Data'!$O$3:$O$7,MATCH(G239,'G-7 WaterC'' Data'!$N$3:$N$7,0)),"")</f>
        <v/>
      </c>
      <c r="M239" s="55"/>
      <c r="N239" s="159"/>
      <c r="O239" s="370" t="str">
        <f t="shared" si="18"/>
        <v/>
      </c>
      <c r="P239" s="383" t="str">
        <f t="shared" si="19"/>
        <v/>
      </c>
      <c r="Q239" s="422" t="str">
        <f>IFERROR(IF(P239="Check Data ⚠","Check Data ⚠",VLOOKUP(P239,'G-4 Temporal multipliers'!$A$4:$C$37,3,FALSE)),"")</f>
        <v/>
      </c>
      <c r="R239" s="362" t="str">
        <f>IF(C239="","",VLOOKUP(C239,'G-7 WaterC'' Data'!$B$4:$G$8,4,FALSE))</f>
        <v/>
      </c>
      <c r="S239" s="370" t="str">
        <f t="shared" si="20"/>
        <v/>
      </c>
      <c r="T239" s="401" t="str">
        <f t="shared" si="21"/>
        <v/>
      </c>
      <c r="U239" s="363" t="str">
        <f>IF(C239="","",VLOOKUP(T239,'G-3 Multipliers'!$P$2:$Q$6,2,FALSE))</f>
        <v/>
      </c>
      <c r="V239" s="115"/>
      <c r="W239" s="363" t="str">
        <f>IF(V239="","",IF(VLOOKUP(V239,'G-7 WaterC'' Data'!$AA$4:$AB$7,2,FALSE)=0,"Spatial Data Missing ⚠",VLOOKUP(V239,'G-7 WaterC'' Data'!$AA$4:$AB$7,2,FALSE)))</f>
        <v/>
      </c>
      <c r="X239" s="60"/>
      <c r="Y239" s="363" t="str">
        <f>IF(X239="","",IF(VLOOKUP(X239,'G-7 WaterC'' Data'!$AD$4:$AE$14,2,FALSE)=0,"Enrcoachment Data Missing ⚠",VLOOKUP(X239,'G-7 WaterC'' Data'!$AD$4:$AE$14,2,FALSE)))</f>
        <v/>
      </c>
      <c r="Z239" s="115"/>
      <c r="AA239" s="363" t="str">
        <f>IF(Z239="","",IF(VLOOKUP(Z239,'G-7 WaterC'' Data'!$AO$4:$BO$7,2,FALSE)=0,"Spatial Data Missing ⚠",VLOOKUP(Z239,'G-7 WaterC'' Data'!$AO$4:$BO$7,2,FALSE)))</f>
        <v/>
      </c>
      <c r="AB239" s="405" t="str">
        <f t="shared" si="22"/>
        <v/>
      </c>
      <c r="AC239" s="405" t="str">
        <f t="shared" si="23"/>
        <v/>
      </c>
      <c r="AD239" s="117"/>
      <c r="AE239" s="692"/>
      <c r="AF239" s="119"/>
      <c r="AG239" s="120"/>
      <c r="AL239" s="30" t="str">
        <f>IFERROR(INDEX('G-7 WaterC'' Data'!$AZ$3:$AZ$7,MATCH(C239,'G-7 WaterC'' Data'!$AY$3:$AY$7,0)),"")</f>
        <v/>
      </c>
    </row>
    <row r="240" spans="2:38" ht="15">
      <c r="B240" s="110">
        <v>229</v>
      </c>
      <c r="C240" s="501"/>
      <c r="D240" s="139"/>
      <c r="E240" s="362" t="str">
        <f>IF(C240="","",VLOOKUP(C240,'G-7 WaterC'' Data'!$B$2:$Z$9,2,FALSE))</f>
        <v/>
      </c>
      <c r="F240" s="363" t="str">
        <f>IFERROR(VLOOKUP(E240,'G-7 WaterC'' Data'!$C$4:$D$8,2,FALSE),"")</f>
        <v/>
      </c>
      <c r="G240" s="114"/>
      <c r="H240" s="363" t="str">
        <f>IFERROR(INDEX('G-7 WaterC'' Data'!$H$4:$L$8,MATCH(C240,'G-7 WaterC'' Data'!$B$4:$B$8,0),MATCH(G240,'G-7 WaterC'' Data'!$H$3:$L$3,0)),"")</f>
        <v/>
      </c>
      <c r="I240" s="54"/>
      <c r="J240" s="401" t="str">
        <f>IF(I240="","",IF(VLOOKUP(I240,'G-7 WaterC'' Data'!$AK$4:$AM$6,2,FALSE)=0,"Spatial Data Missing ⚠",VLOOKUP(I240,'G-7 WaterC'' Data'!$AK$4:$AM$6,2,FALSE)))</f>
        <v/>
      </c>
      <c r="K240" s="363" t="str">
        <f>IF(I240="","",IF(VLOOKUP(I240,'G-7 WaterC'' Data'!$AK$4:$AM$6,3,FALSE)=0,"Spatial Data Missing ⚠",VLOOKUP(I240,'G-7 WaterC'' Data'!$AK$4:$AM$6,3,FALSE)))</f>
        <v/>
      </c>
      <c r="L240" s="478" t="str">
        <f>IFERROR(INDEX('G-7 WaterC'' Data'!$O$3:$O$7,MATCH(G240,'G-7 WaterC'' Data'!$N$3:$N$7,0)),"")</f>
        <v/>
      </c>
      <c r="M240" s="55"/>
      <c r="N240" s="159"/>
      <c r="O240" s="370" t="str">
        <f t="shared" si="18"/>
        <v/>
      </c>
      <c r="P240" s="383" t="str">
        <f t="shared" si="19"/>
        <v/>
      </c>
      <c r="Q240" s="422" t="str">
        <f>IFERROR(IF(P240="Check Data ⚠","Check Data ⚠",VLOOKUP(P240,'G-4 Temporal multipliers'!$A$4:$C$37,3,FALSE)),"")</f>
        <v/>
      </c>
      <c r="R240" s="362" t="str">
        <f>IF(C240="","",VLOOKUP(C240,'G-7 WaterC'' Data'!$B$4:$G$8,4,FALSE))</f>
        <v/>
      </c>
      <c r="S240" s="370" t="str">
        <f t="shared" si="20"/>
        <v/>
      </c>
      <c r="T240" s="401" t="str">
        <f t="shared" si="21"/>
        <v/>
      </c>
      <c r="U240" s="363" t="str">
        <f>IF(C240="","",VLOOKUP(T240,'G-3 Multipliers'!$P$2:$Q$6,2,FALSE))</f>
        <v/>
      </c>
      <c r="V240" s="115"/>
      <c r="W240" s="363" t="str">
        <f>IF(V240="","",IF(VLOOKUP(V240,'G-7 WaterC'' Data'!$AA$4:$AB$7,2,FALSE)=0,"Spatial Data Missing ⚠",VLOOKUP(V240,'G-7 WaterC'' Data'!$AA$4:$AB$7,2,FALSE)))</f>
        <v/>
      </c>
      <c r="X240" s="60"/>
      <c r="Y240" s="363" t="str">
        <f>IF(X240="","",IF(VLOOKUP(X240,'G-7 WaterC'' Data'!$AD$4:$AE$14,2,FALSE)=0,"Enrcoachment Data Missing ⚠",VLOOKUP(X240,'G-7 WaterC'' Data'!$AD$4:$AE$14,2,FALSE)))</f>
        <v/>
      </c>
      <c r="Z240" s="115"/>
      <c r="AA240" s="363" t="str">
        <f>IF(Z240="","",IF(VLOOKUP(Z240,'G-7 WaterC'' Data'!$AO$4:$BO$7,2,FALSE)=0,"Spatial Data Missing ⚠",VLOOKUP(Z240,'G-7 WaterC'' Data'!$AO$4:$BO$7,2,FALSE)))</f>
        <v/>
      </c>
      <c r="AB240" s="405" t="str">
        <f t="shared" si="22"/>
        <v/>
      </c>
      <c r="AC240" s="405" t="str">
        <f t="shared" si="23"/>
        <v/>
      </c>
      <c r="AD240" s="117"/>
      <c r="AE240" s="692"/>
      <c r="AF240" s="119"/>
      <c r="AG240" s="120"/>
      <c r="AL240" s="30" t="str">
        <f>IFERROR(INDEX('G-7 WaterC'' Data'!$AZ$3:$AZ$7,MATCH(C240,'G-7 WaterC'' Data'!$AY$3:$AY$7,0)),"")</f>
        <v/>
      </c>
    </row>
    <row r="241" spans="2:38" ht="15">
      <c r="B241" s="110">
        <v>230</v>
      </c>
      <c r="C241" s="501"/>
      <c r="D241" s="139"/>
      <c r="E241" s="362" t="str">
        <f>IF(C241="","",VLOOKUP(C241,'G-7 WaterC'' Data'!$B$2:$Z$9,2,FALSE))</f>
        <v/>
      </c>
      <c r="F241" s="363" t="str">
        <f>IFERROR(VLOOKUP(E241,'G-7 WaterC'' Data'!$C$4:$D$8,2,FALSE),"")</f>
        <v/>
      </c>
      <c r="G241" s="114"/>
      <c r="H241" s="363" t="str">
        <f>IFERROR(INDEX('G-7 WaterC'' Data'!$H$4:$L$8,MATCH(C241,'G-7 WaterC'' Data'!$B$4:$B$8,0),MATCH(G241,'G-7 WaterC'' Data'!$H$3:$L$3,0)),"")</f>
        <v/>
      </c>
      <c r="I241" s="54"/>
      <c r="J241" s="401" t="str">
        <f>IF(I241="","",IF(VLOOKUP(I241,'G-7 WaterC'' Data'!$AK$4:$AM$6,2,FALSE)=0,"Spatial Data Missing ⚠",VLOOKUP(I241,'G-7 WaterC'' Data'!$AK$4:$AM$6,2,FALSE)))</f>
        <v/>
      </c>
      <c r="K241" s="363" t="str">
        <f>IF(I241="","",IF(VLOOKUP(I241,'G-7 WaterC'' Data'!$AK$4:$AM$6,3,FALSE)=0,"Spatial Data Missing ⚠",VLOOKUP(I241,'G-7 WaterC'' Data'!$AK$4:$AM$6,3,FALSE)))</f>
        <v/>
      </c>
      <c r="L241" s="478" t="str">
        <f>IFERROR(INDEX('G-7 WaterC'' Data'!$O$3:$O$7,MATCH(G241,'G-7 WaterC'' Data'!$N$3:$N$7,0)),"")</f>
        <v/>
      </c>
      <c r="M241" s="55"/>
      <c r="N241" s="159"/>
      <c r="O241" s="370" t="str">
        <f t="shared" si="18"/>
        <v/>
      </c>
      <c r="P241" s="383" t="str">
        <f t="shared" si="19"/>
        <v/>
      </c>
      <c r="Q241" s="422" t="str">
        <f>IFERROR(IF(P241="Check Data ⚠","Check Data ⚠",VLOOKUP(P241,'G-4 Temporal multipliers'!$A$4:$C$37,3,FALSE)),"")</f>
        <v/>
      </c>
      <c r="R241" s="362" t="str">
        <f>IF(C241="","",VLOOKUP(C241,'G-7 WaterC'' Data'!$B$4:$G$8,4,FALSE))</f>
        <v/>
      </c>
      <c r="S241" s="370" t="str">
        <f t="shared" si="20"/>
        <v/>
      </c>
      <c r="T241" s="401" t="str">
        <f t="shared" si="21"/>
        <v/>
      </c>
      <c r="U241" s="363" t="str">
        <f>IF(C241="","",VLOOKUP(T241,'G-3 Multipliers'!$P$2:$Q$6,2,FALSE))</f>
        <v/>
      </c>
      <c r="V241" s="115"/>
      <c r="W241" s="363" t="str">
        <f>IF(V241="","",IF(VLOOKUP(V241,'G-7 WaterC'' Data'!$AA$4:$AB$7,2,FALSE)=0,"Spatial Data Missing ⚠",VLOOKUP(V241,'G-7 WaterC'' Data'!$AA$4:$AB$7,2,FALSE)))</f>
        <v/>
      </c>
      <c r="X241" s="60"/>
      <c r="Y241" s="363" t="str">
        <f>IF(X241="","",IF(VLOOKUP(X241,'G-7 WaterC'' Data'!$AD$4:$AE$14,2,FALSE)=0,"Enrcoachment Data Missing ⚠",VLOOKUP(X241,'G-7 WaterC'' Data'!$AD$4:$AE$14,2,FALSE)))</f>
        <v/>
      </c>
      <c r="Z241" s="115"/>
      <c r="AA241" s="363" t="str">
        <f>IF(Z241="","",IF(VLOOKUP(Z241,'G-7 WaterC'' Data'!$AO$4:$BO$7,2,FALSE)=0,"Spatial Data Missing ⚠",VLOOKUP(Z241,'G-7 WaterC'' Data'!$AO$4:$BO$7,2,FALSE)))</f>
        <v/>
      </c>
      <c r="AB241" s="405" t="str">
        <f t="shared" si="22"/>
        <v/>
      </c>
      <c r="AC241" s="405" t="str">
        <f t="shared" si="23"/>
        <v/>
      </c>
      <c r="AD241" s="117"/>
      <c r="AE241" s="692"/>
      <c r="AF241" s="119"/>
      <c r="AG241" s="120"/>
      <c r="AL241" s="30" t="str">
        <f>IFERROR(INDEX('G-7 WaterC'' Data'!$AZ$3:$AZ$7,MATCH(C241,'G-7 WaterC'' Data'!$AY$3:$AY$7,0)),"")</f>
        <v/>
      </c>
    </row>
    <row r="242" spans="2:38" ht="15">
      <c r="B242" s="110">
        <v>231</v>
      </c>
      <c r="C242" s="501"/>
      <c r="D242" s="139"/>
      <c r="E242" s="362" t="str">
        <f>IF(C242="","",VLOOKUP(C242,'G-7 WaterC'' Data'!$B$2:$Z$9,2,FALSE))</f>
        <v/>
      </c>
      <c r="F242" s="363" t="str">
        <f>IFERROR(VLOOKUP(E242,'G-7 WaterC'' Data'!$C$4:$D$8,2,FALSE),"")</f>
        <v/>
      </c>
      <c r="G242" s="114"/>
      <c r="H242" s="363" t="str">
        <f>IFERROR(INDEX('G-7 WaterC'' Data'!$H$4:$L$8,MATCH(C242,'G-7 WaterC'' Data'!$B$4:$B$8,0),MATCH(G242,'G-7 WaterC'' Data'!$H$3:$L$3,0)),"")</f>
        <v/>
      </c>
      <c r="I242" s="54"/>
      <c r="J242" s="401" t="str">
        <f>IF(I242="","",IF(VLOOKUP(I242,'G-7 WaterC'' Data'!$AK$4:$AM$6,2,FALSE)=0,"Spatial Data Missing ⚠",VLOOKUP(I242,'G-7 WaterC'' Data'!$AK$4:$AM$6,2,FALSE)))</f>
        <v/>
      </c>
      <c r="K242" s="363" t="str">
        <f>IF(I242="","",IF(VLOOKUP(I242,'G-7 WaterC'' Data'!$AK$4:$AM$6,3,FALSE)=0,"Spatial Data Missing ⚠",VLOOKUP(I242,'G-7 WaterC'' Data'!$AK$4:$AM$6,3,FALSE)))</f>
        <v/>
      </c>
      <c r="L242" s="478" t="str">
        <f>IFERROR(INDEX('G-7 WaterC'' Data'!$O$3:$O$7,MATCH(G242,'G-7 WaterC'' Data'!$N$3:$N$7,0)),"")</f>
        <v/>
      </c>
      <c r="M242" s="55"/>
      <c r="N242" s="159"/>
      <c r="O242" s="370" t="str">
        <f t="shared" si="18"/>
        <v/>
      </c>
      <c r="P242" s="383" t="str">
        <f t="shared" si="19"/>
        <v/>
      </c>
      <c r="Q242" s="422" t="str">
        <f>IFERROR(IF(P242="Check Data ⚠","Check Data ⚠",VLOOKUP(P242,'G-4 Temporal multipliers'!$A$4:$C$37,3,FALSE)),"")</f>
        <v/>
      </c>
      <c r="R242" s="362" t="str">
        <f>IF(C242="","",VLOOKUP(C242,'G-7 WaterC'' Data'!$B$4:$G$8,4,FALSE))</f>
        <v/>
      </c>
      <c r="S242" s="370" t="str">
        <f t="shared" si="20"/>
        <v/>
      </c>
      <c r="T242" s="401" t="str">
        <f t="shared" si="21"/>
        <v/>
      </c>
      <c r="U242" s="363" t="str">
        <f>IF(C242="","",VLOOKUP(T242,'G-3 Multipliers'!$P$2:$Q$6,2,FALSE))</f>
        <v/>
      </c>
      <c r="V242" s="115"/>
      <c r="W242" s="363" t="str">
        <f>IF(V242="","",IF(VLOOKUP(V242,'G-7 WaterC'' Data'!$AA$4:$AB$7,2,FALSE)=0,"Spatial Data Missing ⚠",VLOOKUP(V242,'G-7 WaterC'' Data'!$AA$4:$AB$7,2,FALSE)))</f>
        <v/>
      </c>
      <c r="X242" s="60"/>
      <c r="Y242" s="363" t="str">
        <f>IF(X242="","",IF(VLOOKUP(X242,'G-7 WaterC'' Data'!$AD$4:$AE$14,2,FALSE)=0,"Enrcoachment Data Missing ⚠",VLOOKUP(X242,'G-7 WaterC'' Data'!$AD$4:$AE$14,2,FALSE)))</f>
        <v/>
      </c>
      <c r="Z242" s="115"/>
      <c r="AA242" s="363" t="str">
        <f>IF(Z242="","",IF(VLOOKUP(Z242,'G-7 WaterC'' Data'!$AO$4:$BO$7,2,FALSE)=0,"Spatial Data Missing ⚠",VLOOKUP(Z242,'G-7 WaterC'' Data'!$AO$4:$BO$7,2,FALSE)))</f>
        <v/>
      </c>
      <c r="AB242" s="405" t="str">
        <f t="shared" si="22"/>
        <v/>
      </c>
      <c r="AC242" s="405" t="str">
        <f t="shared" si="23"/>
        <v/>
      </c>
      <c r="AD242" s="117"/>
      <c r="AE242" s="692"/>
      <c r="AF242" s="119"/>
      <c r="AG242" s="120"/>
      <c r="AL242" s="30" t="str">
        <f>IFERROR(INDEX('G-7 WaterC'' Data'!$AZ$3:$AZ$7,MATCH(C242,'G-7 WaterC'' Data'!$AY$3:$AY$7,0)),"")</f>
        <v/>
      </c>
    </row>
    <row r="243" spans="2:38" ht="15">
      <c r="B243" s="110">
        <v>232</v>
      </c>
      <c r="C243" s="501"/>
      <c r="D243" s="139"/>
      <c r="E243" s="362" t="str">
        <f>IF(C243="","",VLOOKUP(C243,'G-7 WaterC'' Data'!$B$2:$Z$9,2,FALSE))</f>
        <v/>
      </c>
      <c r="F243" s="363" t="str">
        <f>IFERROR(VLOOKUP(E243,'G-7 WaterC'' Data'!$C$4:$D$8,2,FALSE),"")</f>
        <v/>
      </c>
      <c r="G243" s="114"/>
      <c r="H243" s="363" t="str">
        <f>IFERROR(INDEX('G-7 WaterC'' Data'!$H$4:$L$8,MATCH(C243,'G-7 WaterC'' Data'!$B$4:$B$8,0),MATCH(G243,'G-7 WaterC'' Data'!$H$3:$L$3,0)),"")</f>
        <v/>
      </c>
      <c r="I243" s="54"/>
      <c r="J243" s="401" t="str">
        <f>IF(I243="","",IF(VLOOKUP(I243,'G-7 WaterC'' Data'!$AK$4:$AM$6,2,FALSE)=0,"Spatial Data Missing ⚠",VLOOKUP(I243,'G-7 WaterC'' Data'!$AK$4:$AM$6,2,FALSE)))</f>
        <v/>
      </c>
      <c r="K243" s="363" t="str">
        <f>IF(I243="","",IF(VLOOKUP(I243,'G-7 WaterC'' Data'!$AK$4:$AM$6,3,FALSE)=0,"Spatial Data Missing ⚠",VLOOKUP(I243,'G-7 WaterC'' Data'!$AK$4:$AM$6,3,FALSE)))</f>
        <v/>
      </c>
      <c r="L243" s="478" t="str">
        <f>IFERROR(INDEX('G-7 WaterC'' Data'!$O$3:$O$7,MATCH(G243,'G-7 WaterC'' Data'!$N$3:$N$7,0)),"")</f>
        <v/>
      </c>
      <c r="M243" s="55"/>
      <c r="N243" s="159"/>
      <c r="O243" s="370" t="str">
        <f t="shared" si="18"/>
        <v/>
      </c>
      <c r="P243" s="383" t="str">
        <f t="shared" si="19"/>
        <v/>
      </c>
      <c r="Q243" s="422" t="str">
        <f>IFERROR(IF(P243="Check Data ⚠","Check Data ⚠",VLOOKUP(P243,'G-4 Temporal multipliers'!$A$4:$C$37,3,FALSE)),"")</f>
        <v/>
      </c>
      <c r="R243" s="362" t="str">
        <f>IF(C243="","",VLOOKUP(C243,'G-7 WaterC'' Data'!$B$4:$G$8,4,FALSE))</f>
        <v/>
      </c>
      <c r="S243" s="370" t="str">
        <f t="shared" si="20"/>
        <v/>
      </c>
      <c r="T243" s="401" t="str">
        <f t="shared" si="21"/>
        <v/>
      </c>
      <c r="U243" s="363" t="str">
        <f>IF(C243="","",VLOOKUP(T243,'G-3 Multipliers'!$P$2:$Q$6,2,FALSE))</f>
        <v/>
      </c>
      <c r="V243" s="115"/>
      <c r="W243" s="363" t="str">
        <f>IF(V243="","",IF(VLOOKUP(V243,'G-7 WaterC'' Data'!$AA$4:$AB$7,2,FALSE)=0,"Spatial Data Missing ⚠",VLOOKUP(V243,'G-7 WaterC'' Data'!$AA$4:$AB$7,2,FALSE)))</f>
        <v/>
      </c>
      <c r="X243" s="60"/>
      <c r="Y243" s="363" t="str">
        <f>IF(X243="","",IF(VLOOKUP(X243,'G-7 WaterC'' Data'!$AD$4:$AE$14,2,FALSE)=0,"Enrcoachment Data Missing ⚠",VLOOKUP(X243,'G-7 WaterC'' Data'!$AD$4:$AE$14,2,FALSE)))</f>
        <v/>
      </c>
      <c r="Z243" s="115"/>
      <c r="AA243" s="363" t="str">
        <f>IF(Z243="","",IF(VLOOKUP(Z243,'G-7 WaterC'' Data'!$AO$4:$BO$7,2,FALSE)=0,"Spatial Data Missing ⚠",VLOOKUP(Z243,'G-7 WaterC'' Data'!$AO$4:$BO$7,2,FALSE)))</f>
        <v/>
      </c>
      <c r="AB243" s="405" t="str">
        <f t="shared" si="22"/>
        <v/>
      </c>
      <c r="AC243" s="405" t="str">
        <f t="shared" si="23"/>
        <v/>
      </c>
      <c r="AD243" s="117"/>
      <c r="AE243" s="692"/>
      <c r="AF243" s="119"/>
      <c r="AG243" s="120"/>
      <c r="AL243" s="30" t="str">
        <f>IFERROR(INDEX('G-7 WaterC'' Data'!$AZ$3:$AZ$7,MATCH(C243,'G-7 WaterC'' Data'!$AY$3:$AY$7,0)),"")</f>
        <v/>
      </c>
    </row>
    <row r="244" spans="2:38" ht="15">
      <c r="B244" s="110">
        <v>233</v>
      </c>
      <c r="C244" s="501"/>
      <c r="D244" s="139"/>
      <c r="E244" s="362" t="str">
        <f>IF(C244="","",VLOOKUP(C244,'G-7 WaterC'' Data'!$B$2:$Z$9,2,FALSE))</f>
        <v/>
      </c>
      <c r="F244" s="363" t="str">
        <f>IFERROR(VLOOKUP(E244,'G-7 WaterC'' Data'!$C$4:$D$8,2,FALSE),"")</f>
        <v/>
      </c>
      <c r="G244" s="114"/>
      <c r="H244" s="363" t="str">
        <f>IFERROR(INDEX('G-7 WaterC'' Data'!$H$4:$L$8,MATCH(C244,'G-7 WaterC'' Data'!$B$4:$B$8,0),MATCH(G244,'G-7 WaterC'' Data'!$H$3:$L$3,0)),"")</f>
        <v/>
      </c>
      <c r="I244" s="54"/>
      <c r="J244" s="401" t="str">
        <f>IF(I244="","",IF(VLOOKUP(I244,'G-7 WaterC'' Data'!$AK$4:$AM$6,2,FALSE)=0,"Spatial Data Missing ⚠",VLOOKUP(I244,'G-7 WaterC'' Data'!$AK$4:$AM$6,2,FALSE)))</f>
        <v/>
      </c>
      <c r="K244" s="363" t="str">
        <f>IF(I244="","",IF(VLOOKUP(I244,'G-7 WaterC'' Data'!$AK$4:$AM$6,3,FALSE)=0,"Spatial Data Missing ⚠",VLOOKUP(I244,'G-7 WaterC'' Data'!$AK$4:$AM$6,3,FALSE)))</f>
        <v/>
      </c>
      <c r="L244" s="478" t="str">
        <f>IFERROR(INDEX('G-7 WaterC'' Data'!$O$3:$O$7,MATCH(G244,'G-7 WaterC'' Data'!$N$3:$N$7,0)),"")</f>
        <v/>
      </c>
      <c r="M244" s="55"/>
      <c r="N244" s="159"/>
      <c r="O244" s="370" t="str">
        <f t="shared" si="18"/>
        <v/>
      </c>
      <c r="P244" s="383" t="str">
        <f t="shared" si="19"/>
        <v/>
      </c>
      <c r="Q244" s="422" t="str">
        <f>IFERROR(IF(P244="Check Data ⚠","Check Data ⚠",VLOOKUP(P244,'G-4 Temporal multipliers'!$A$4:$C$37,3,FALSE)),"")</f>
        <v/>
      </c>
      <c r="R244" s="362" t="str">
        <f>IF(C244="","",VLOOKUP(C244,'G-7 WaterC'' Data'!$B$4:$G$8,4,FALSE))</f>
        <v/>
      </c>
      <c r="S244" s="370" t="str">
        <f t="shared" si="20"/>
        <v/>
      </c>
      <c r="T244" s="401" t="str">
        <f t="shared" si="21"/>
        <v/>
      </c>
      <c r="U244" s="363" t="str">
        <f>IF(C244="","",VLOOKUP(T244,'G-3 Multipliers'!$P$2:$Q$6,2,FALSE))</f>
        <v/>
      </c>
      <c r="V244" s="115"/>
      <c r="W244" s="363" t="str">
        <f>IF(V244="","",IF(VLOOKUP(V244,'G-7 WaterC'' Data'!$AA$4:$AB$7,2,FALSE)=0,"Spatial Data Missing ⚠",VLOOKUP(V244,'G-7 WaterC'' Data'!$AA$4:$AB$7,2,FALSE)))</f>
        <v/>
      </c>
      <c r="X244" s="60"/>
      <c r="Y244" s="363" t="str">
        <f>IF(X244="","",IF(VLOOKUP(X244,'G-7 WaterC'' Data'!$AD$4:$AE$14,2,FALSE)=0,"Enrcoachment Data Missing ⚠",VLOOKUP(X244,'G-7 WaterC'' Data'!$AD$4:$AE$14,2,FALSE)))</f>
        <v/>
      </c>
      <c r="Z244" s="115"/>
      <c r="AA244" s="363" t="str">
        <f>IF(Z244="","",IF(VLOOKUP(Z244,'G-7 WaterC'' Data'!$AO$4:$BO$7,2,FALSE)=0,"Spatial Data Missing ⚠",VLOOKUP(Z244,'G-7 WaterC'' Data'!$AO$4:$BO$7,2,FALSE)))</f>
        <v/>
      </c>
      <c r="AB244" s="405" t="str">
        <f t="shared" si="22"/>
        <v/>
      </c>
      <c r="AC244" s="405" t="str">
        <f t="shared" si="23"/>
        <v/>
      </c>
      <c r="AD244" s="117"/>
      <c r="AE244" s="692"/>
      <c r="AF244" s="119"/>
      <c r="AG244" s="120"/>
      <c r="AL244" s="30" t="str">
        <f>IFERROR(INDEX('G-7 WaterC'' Data'!$AZ$3:$AZ$7,MATCH(C244,'G-7 WaterC'' Data'!$AY$3:$AY$7,0)),"")</f>
        <v/>
      </c>
    </row>
    <row r="245" spans="2:38" ht="15">
      <c r="B245" s="110">
        <v>234</v>
      </c>
      <c r="C245" s="501"/>
      <c r="D245" s="139"/>
      <c r="E245" s="362" t="str">
        <f>IF(C245="","",VLOOKUP(C245,'G-7 WaterC'' Data'!$B$2:$Z$9,2,FALSE))</f>
        <v/>
      </c>
      <c r="F245" s="363" t="str">
        <f>IFERROR(VLOOKUP(E245,'G-7 WaterC'' Data'!$C$4:$D$8,2,FALSE),"")</f>
        <v/>
      </c>
      <c r="G245" s="114"/>
      <c r="H245" s="363" t="str">
        <f>IFERROR(INDEX('G-7 WaterC'' Data'!$H$4:$L$8,MATCH(C245,'G-7 WaterC'' Data'!$B$4:$B$8,0),MATCH(G245,'G-7 WaterC'' Data'!$H$3:$L$3,0)),"")</f>
        <v/>
      </c>
      <c r="I245" s="54"/>
      <c r="J245" s="401" t="str">
        <f>IF(I245="","",IF(VLOOKUP(I245,'G-7 WaterC'' Data'!$AK$4:$AM$6,2,FALSE)=0,"Spatial Data Missing ⚠",VLOOKUP(I245,'G-7 WaterC'' Data'!$AK$4:$AM$6,2,FALSE)))</f>
        <v/>
      </c>
      <c r="K245" s="363" t="str">
        <f>IF(I245="","",IF(VLOOKUP(I245,'G-7 WaterC'' Data'!$AK$4:$AM$6,3,FALSE)=0,"Spatial Data Missing ⚠",VLOOKUP(I245,'G-7 WaterC'' Data'!$AK$4:$AM$6,3,FALSE)))</f>
        <v/>
      </c>
      <c r="L245" s="478" t="str">
        <f>IFERROR(INDEX('G-7 WaterC'' Data'!$O$3:$O$7,MATCH(G245,'G-7 WaterC'' Data'!$N$3:$N$7,0)),"")</f>
        <v/>
      </c>
      <c r="M245" s="55"/>
      <c r="N245" s="159"/>
      <c r="O245" s="370" t="str">
        <f t="shared" si="18"/>
        <v/>
      </c>
      <c r="P245" s="383" t="str">
        <f t="shared" si="19"/>
        <v/>
      </c>
      <c r="Q245" s="422" t="str">
        <f>IFERROR(IF(P245="Check Data ⚠","Check Data ⚠",VLOOKUP(P245,'G-4 Temporal multipliers'!$A$4:$C$37,3,FALSE)),"")</f>
        <v/>
      </c>
      <c r="R245" s="362" t="str">
        <f>IF(C245="","",VLOOKUP(C245,'G-7 WaterC'' Data'!$B$4:$G$8,4,FALSE))</f>
        <v/>
      </c>
      <c r="S245" s="370" t="str">
        <f t="shared" si="20"/>
        <v/>
      </c>
      <c r="T245" s="401" t="str">
        <f t="shared" si="21"/>
        <v/>
      </c>
      <c r="U245" s="363" t="str">
        <f>IF(C245="","",VLOOKUP(T245,'G-3 Multipliers'!$P$2:$Q$6,2,FALSE))</f>
        <v/>
      </c>
      <c r="V245" s="115"/>
      <c r="W245" s="363" t="str">
        <f>IF(V245="","",IF(VLOOKUP(V245,'G-7 WaterC'' Data'!$AA$4:$AB$7,2,FALSE)=0,"Spatial Data Missing ⚠",VLOOKUP(V245,'G-7 WaterC'' Data'!$AA$4:$AB$7,2,FALSE)))</f>
        <v/>
      </c>
      <c r="X245" s="60"/>
      <c r="Y245" s="363" t="str">
        <f>IF(X245="","",IF(VLOOKUP(X245,'G-7 WaterC'' Data'!$AD$4:$AE$14,2,FALSE)=0,"Enrcoachment Data Missing ⚠",VLOOKUP(X245,'G-7 WaterC'' Data'!$AD$4:$AE$14,2,FALSE)))</f>
        <v/>
      </c>
      <c r="Z245" s="115"/>
      <c r="AA245" s="363" t="str">
        <f>IF(Z245="","",IF(VLOOKUP(Z245,'G-7 WaterC'' Data'!$AO$4:$BO$7,2,FALSE)=0,"Spatial Data Missing ⚠",VLOOKUP(Z245,'G-7 WaterC'' Data'!$AO$4:$BO$7,2,FALSE)))</f>
        <v/>
      </c>
      <c r="AB245" s="405" t="str">
        <f t="shared" si="22"/>
        <v/>
      </c>
      <c r="AC245" s="405" t="str">
        <f t="shared" si="23"/>
        <v/>
      </c>
      <c r="AD245" s="117"/>
      <c r="AE245" s="692"/>
      <c r="AF245" s="119"/>
      <c r="AG245" s="120"/>
      <c r="AL245" s="30" t="str">
        <f>IFERROR(INDEX('G-7 WaterC'' Data'!$AZ$3:$AZ$7,MATCH(C245,'G-7 WaterC'' Data'!$AY$3:$AY$7,0)),"")</f>
        <v/>
      </c>
    </row>
    <row r="246" spans="2:38" ht="15">
      <c r="B246" s="110">
        <v>235</v>
      </c>
      <c r="C246" s="501"/>
      <c r="D246" s="139"/>
      <c r="E246" s="362" t="str">
        <f>IF(C246="","",VLOOKUP(C246,'G-7 WaterC'' Data'!$B$2:$Z$9,2,FALSE))</f>
        <v/>
      </c>
      <c r="F246" s="363" t="str">
        <f>IFERROR(VLOOKUP(E246,'G-7 WaterC'' Data'!$C$4:$D$8,2,FALSE),"")</f>
        <v/>
      </c>
      <c r="G246" s="114"/>
      <c r="H246" s="363" t="str">
        <f>IFERROR(INDEX('G-7 WaterC'' Data'!$H$4:$L$8,MATCH(C246,'G-7 WaterC'' Data'!$B$4:$B$8,0),MATCH(G246,'G-7 WaterC'' Data'!$H$3:$L$3,0)),"")</f>
        <v/>
      </c>
      <c r="I246" s="54"/>
      <c r="J246" s="401" t="str">
        <f>IF(I246="","",IF(VLOOKUP(I246,'G-7 WaterC'' Data'!$AK$4:$AM$6,2,FALSE)=0,"Spatial Data Missing ⚠",VLOOKUP(I246,'G-7 WaterC'' Data'!$AK$4:$AM$6,2,FALSE)))</f>
        <v/>
      </c>
      <c r="K246" s="363" t="str">
        <f>IF(I246="","",IF(VLOOKUP(I246,'G-7 WaterC'' Data'!$AK$4:$AM$6,3,FALSE)=0,"Spatial Data Missing ⚠",VLOOKUP(I246,'G-7 WaterC'' Data'!$AK$4:$AM$6,3,FALSE)))</f>
        <v/>
      </c>
      <c r="L246" s="478" t="str">
        <f>IFERROR(INDEX('G-7 WaterC'' Data'!$O$3:$O$7,MATCH(G246,'G-7 WaterC'' Data'!$N$3:$N$7,0)),"")</f>
        <v/>
      </c>
      <c r="M246" s="55"/>
      <c r="N246" s="159"/>
      <c r="O246" s="370" t="str">
        <f t="shared" si="18"/>
        <v/>
      </c>
      <c r="P246" s="383" t="str">
        <f t="shared" si="19"/>
        <v/>
      </c>
      <c r="Q246" s="422" t="str">
        <f>IFERROR(IF(P246="Check Data ⚠","Check Data ⚠",VLOOKUP(P246,'G-4 Temporal multipliers'!$A$4:$C$37,3,FALSE)),"")</f>
        <v/>
      </c>
      <c r="R246" s="362" t="str">
        <f>IF(C246="","",VLOOKUP(C246,'G-7 WaterC'' Data'!$B$4:$G$8,4,FALSE))</f>
        <v/>
      </c>
      <c r="S246" s="370" t="str">
        <f t="shared" si="20"/>
        <v/>
      </c>
      <c r="T246" s="401" t="str">
        <f t="shared" si="21"/>
        <v/>
      </c>
      <c r="U246" s="363" t="str">
        <f>IF(C246="","",VLOOKUP(T246,'G-3 Multipliers'!$P$2:$Q$6,2,FALSE))</f>
        <v/>
      </c>
      <c r="V246" s="115"/>
      <c r="W246" s="363" t="str">
        <f>IF(V246="","",IF(VLOOKUP(V246,'G-7 WaterC'' Data'!$AA$4:$AB$7,2,FALSE)=0,"Spatial Data Missing ⚠",VLOOKUP(V246,'G-7 WaterC'' Data'!$AA$4:$AB$7,2,FALSE)))</f>
        <v/>
      </c>
      <c r="X246" s="60"/>
      <c r="Y246" s="363" t="str">
        <f>IF(X246="","",IF(VLOOKUP(X246,'G-7 WaterC'' Data'!$AD$4:$AE$14,2,FALSE)=0,"Enrcoachment Data Missing ⚠",VLOOKUP(X246,'G-7 WaterC'' Data'!$AD$4:$AE$14,2,FALSE)))</f>
        <v/>
      </c>
      <c r="Z246" s="115"/>
      <c r="AA246" s="363" t="str">
        <f>IF(Z246="","",IF(VLOOKUP(Z246,'G-7 WaterC'' Data'!$AO$4:$BO$7,2,FALSE)=0,"Spatial Data Missing ⚠",VLOOKUP(Z246,'G-7 WaterC'' Data'!$AO$4:$BO$7,2,FALSE)))</f>
        <v/>
      </c>
      <c r="AB246" s="405" t="str">
        <f t="shared" si="22"/>
        <v/>
      </c>
      <c r="AC246" s="405" t="str">
        <f t="shared" si="23"/>
        <v/>
      </c>
      <c r="AD246" s="117"/>
      <c r="AE246" s="692"/>
      <c r="AF246" s="119"/>
      <c r="AG246" s="120"/>
      <c r="AL246" s="30" t="str">
        <f>IFERROR(INDEX('G-7 WaterC'' Data'!$AZ$3:$AZ$7,MATCH(C246,'G-7 WaterC'' Data'!$AY$3:$AY$7,0)),"")</f>
        <v/>
      </c>
    </row>
    <row r="247" spans="2:38" ht="15">
      <c r="B247" s="110">
        <v>236</v>
      </c>
      <c r="C247" s="501"/>
      <c r="D247" s="139"/>
      <c r="E247" s="362" t="str">
        <f>IF(C247="","",VLOOKUP(C247,'G-7 WaterC'' Data'!$B$2:$Z$9,2,FALSE))</f>
        <v/>
      </c>
      <c r="F247" s="363" t="str">
        <f>IFERROR(VLOOKUP(E247,'G-7 WaterC'' Data'!$C$4:$D$8,2,FALSE),"")</f>
        <v/>
      </c>
      <c r="G247" s="114"/>
      <c r="H247" s="363" t="str">
        <f>IFERROR(INDEX('G-7 WaterC'' Data'!$H$4:$L$8,MATCH(C247,'G-7 WaterC'' Data'!$B$4:$B$8,0),MATCH(G247,'G-7 WaterC'' Data'!$H$3:$L$3,0)),"")</f>
        <v/>
      </c>
      <c r="I247" s="54"/>
      <c r="J247" s="401" t="str">
        <f>IF(I247="","",IF(VLOOKUP(I247,'G-7 WaterC'' Data'!$AK$4:$AM$6,2,FALSE)=0,"Spatial Data Missing ⚠",VLOOKUP(I247,'G-7 WaterC'' Data'!$AK$4:$AM$6,2,FALSE)))</f>
        <v/>
      </c>
      <c r="K247" s="363" t="str">
        <f>IF(I247="","",IF(VLOOKUP(I247,'G-7 WaterC'' Data'!$AK$4:$AM$6,3,FALSE)=0,"Spatial Data Missing ⚠",VLOOKUP(I247,'G-7 WaterC'' Data'!$AK$4:$AM$6,3,FALSE)))</f>
        <v/>
      </c>
      <c r="L247" s="478" t="str">
        <f>IFERROR(INDEX('G-7 WaterC'' Data'!$O$3:$O$7,MATCH(G247,'G-7 WaterC'' Data'!$N$3:$N$7,0)),"")</f>
        <v/>
      </c>
      <c r="M247" s="55"/>
      <c r="N247" s="159"/>
      <c r="O247" s="370" t="str">
        <f t="shared" si="18"/>
        <v/>
      </c>
      <c r="P247" s="383" t="str">
        <f t="shared" si="19"/>
        <v/>
      </c>
      <c r="Q247" s="422" t="str">
        <f>IFERROR(IF(P247="Check Data ⚠","Check Data ⚠",VLOOKUP(P247,'G-4 Temporal multipliers'!$A$4:$C$37,3,FALSE)),"")</f>
        <v/>
      </c>
      <c r="R247" s="362" t="str">
        <f>IF(C247="","",VLOOKUP(C247,'G-7 WaterC'' Data'!$B$4:$G$8,4,FALSE))</f>
        <v/>
      </c>
      <c r="S247" s="370" t="str">
        <f t="shared" si="20"/>
        <v/>
      </c>
      <c r="T247" s="401" t="str">
        <f t="shared" si="21"/>
        <v/>
      </c>
      <c r="U247" s="363" t="str">
        <f>IF(C247="","",VLOOKUP(T247,'G-3 Multipliers'!$P$2:$Q$6,2,FALSE))</f>
        <v/>
      </c>
      <c r="V247" s="115"/>
      <c r="W247" s="363" t="str">
        <f>IF(V247="","",IF(VLOOKUP(V247,'G-7 WaterC'' Data'!$AA$4:$AB$7,2,FALSE)=0,"Spatial Data Missing ⚠",VLOOKUP(V247,'G-7 WaterC'' Data'!$AA$4:$AB$7,2,FALSE)))</f>
        <v/>
      </c>
      <c r="X247" s="60"/>
      <c r="Y247" s="363" t="str">
        <f>IF(X247="","",IF(VLOOKUP(X247,'G-7 WaterC'' Data'!$AD$4:$AE$14,2,FALSE)=0,"Enrcoachment Data Missing ⚠",VLOOKUP(X247,'G-7 WaterC'' Data'!$AD$4:$AE$14,2,FALSE)))</f>
        <v/>
      </c>
      <c r="Z247" s="115"/>
      <c r="AA247" s="363" t="str">
        <f>IF(Z247="","",IF(VLOOKUP(Z247,'G-7 WaterC'' Data'!$AO$4:$BO$7,2,FALSE)=0,"Spatial Data Missing ⚠",VLOOKUP(Z247,'G-7 WaterC'' Data'!$AO$4:$BO$7,2,FALSE)))</f>
        <v/>
      </c>
      <c r="AB247" s="405" t="str">
        <f t="shared" si="22"/>
        <v/>
      </c>
      <c r="AC247" s="405" t="str">
        <f t="shared" si="23"/>
        <v/>
      </c>
      <c r="AD247" s="117"/>
      <c r="AE247" s="692"/>
      <c r="AF247" s="119"/>
      <c r="AG247" s="120"/>
      <c r="AL247" s="30" t="str">
        <f>IFERROR(INDEX('G-7 WaterC'' Data'!$AZ$3:$AZ$7,MATCH(C247,'G-7 WaterC'' Data'!$AY$3:$AY$7,0)),"")</f>
        <v/>
      </c>
    </row>
    <row r="248" spans="2:38" ht="15">
      <c r="B248" s="110">
        <v>237</v>
      </c>
      <c r="C248" s="501"/>
      <c r="D248" s="139"/>
      <c r="E248" s="362" t="str">
        <f>IF(C248="","",VLOOKUP(C248,'G-7 WaterC'' Data'!$B$2:$Z$9,2,FALSE))</f>
        <v/>
      </c>
      <c r="F248" s="363" t="str">
        <f>IFERROR(VLOOKUP(E248,'G-7 WaterC'' Data'!$C$4:$D$8,2,FALSE),"")</f>
        <v/>
      </c>
      <c r="G248" s="114"/>
      <c r="H248" s="363" t="str">
        <f>IFERROR(INDEX('G-7 WaterC'' Data'!$H$4:$L$8,MATCH(C248,'G-7 WaterC'' Data'!$B$4:$B$8,0),MATCH(G248,'G-7 WaterC'' Data'!$H$3:$L$3,0)),"")</f>
        <v/>
      </c>
      <c r="I248" s="54"/>
      <c r="J248" s="401" t="str">
        <f>IF(I248="","",IF(VLOOKUP(I248,'G-7 WaterC'' Data'!$AK$4:$AM$6,2,FALSE)=0,"Spatial Data Missing ⚠",VLOOKUP(I248,'G-7 WaterC'' Data'!$AK$4:$AM$6,2,FALSE)))</f>
        <v/>
      </c>
      <c r="K248" s="363" t="str">
        <f>IF(I248="","",IF(VLOOKUP(I248,'G-7 WaterC'' Data'!$AK$4:$AM$6,3,FALSE)=0,"Spatial Data Missing ⚠",VLOOKUP(I248,'G-7 WaterC'' Data'!$AK$4:$AM$6,3,FALSE)))</f>
        <v/>
      </c>
      <c r="L248" s="478" t="str">
        <f>IFERROR(INDEX('G-7 WaterC'' Data'!$O$3:$O$7,MATCH(G248,'G-7 WaterC'' Data'!$N$3:$N$7,0)),"")</f>
        <v/>
      </c>
      <c r="M248" s="55"/>
      <c r="N248" s="159"/>
      <c r="O248" s="370" t="str">
        <f t="shared" si="18"/>
        <v/>
      </c>
      <c r="P248" s="383" t="str">
        <f t="shared" si="19"/>
        <v/>
      </c>
      <c r="Q248" s="422" t="str">
        <f>IFERROR(IF(P248="Check Data ⚠","Check Data ⚠",VLOOKUP(P248,'G-4 Temporal multipliers'!$A$4:$C$37,3,FALSE)),"")</f>
        <v/>
      </c>
      <c r="R248" s="362" t="str">
        <f>IF(C248="","",VLOOKUP(C248,'G-7 WaterC'' Data'!$B$4:$G$8,4,FALSE))</f>
        <v/>
      </c>
      <c r="S248" s="370" t="str">
        <f t="shared" si="20"/>
        <v/>
      </c>
      <c r="T248" s="401" t="str">
        <f t="shared" si="21"/>
        <v/>
      </c>
      <c r="U248" s="363" t="str">
        <f>IF(C248="","",VLOOKUP(T248,'G-3 Multipliers'!$P$2:$Q$6,2,FALSE))</f>
        <v/>
      </c>
      <c r="V248" s="115"/>
      <c r="W248" s="363" t="str">
        <f>IF(V248="","",IF(VLOOKUP(V248,'G-7 WaterC'' Data'!$AA$4:$AB$7,2,FALSE)=0,"Spatial Data Missing ⚠",VLOOKUP(V248,'G-7 WaterC'' Data'!$AA$4:$AB$7,2,FALSE)))</f>
        <v/>
      </c>
      <c r="X248" s="60"/>
      <c r="Y248" s="363" t="str">
        <f>IF(X248="","",IF(VLOOKUP(X248,'G-7 WaterC'' Data'!$AD$4:$AE$14,2,FALSE)=0,"Enrcoachment Data Missing ⚠",VLOOKUP(X248,'G-7 WaterC'' Data'!$AD$4:$AE$14,2,FALSE)))</f>
        <v/>
      </c>
      <c r="Z248" s="115"/>
      <c r="AA248" s="363" t="str">
        <f>IF(Z248="","",IF(VLOOKUP(Z248,'G-7 WaterC'' Data'!$AO$4:$BO$7,2,FALSE)=0,"Spatial Data Missing ⚠",VLOOKUP(Z248,'G-7 WaterC'' Data'!$AO$4:$BO$7,2,FALSE)))</f>
        <v/>
      </c>
      <c r="AB248" s="405" t="str">
        <f t="shared" si="22"/>
        <v/>
      </c>
      <c r="AC248" s="405" t="str">
        <f t="shared" si="23"/>
        <v/>
      </c>
      <c r="AD248" s="117"/>
      <c r="AE248" s="692"/>
      <c r="AF248" s="119"/>
      <c r="AG248" s="120"/>
      <c r="AL248" s="30" t="str">
        <f>IFERROR(INDEX('G-7 WaterC'' Data'!$AZ$3:$AZ$7,MATCH(C248,'G-7 WaterC'' Data'!$AY$3:$AY$7,0)),"")</f>
        <v/>
      </c>
    </row>
    <row r="249" spans="2:38" ht="15">
      <c r="B249" s="110">
        <v>238</v>
      </c>
      <c r="C249" s="501"/>
      <c r="D249" s="139"/>
      <c r="E249" s="362" t="str">
        <f>IF(C249="","",VLOOKUP(C249,'G-7 WaterC'' Data'!$B$2:$Z$9,2,FALSE))</f>
        <v/>
      </c>
      <c r="F249" s="363" t="str">
        <f>IFERROR(VLOOKUP(E249,'G-7 WaterC'' Data'!$C$4:$D$8,2,FALSE),"")</f>
        <v/>
      </c>
      <c r="G249" s="114"/>
      <c r="H249" s="363" t="str">
        <f>IFERROR(INDEX('G-7 WaterC'' Data'!$H$4:$L$8,MATCH(C249,'G-7 WaterC'' Data'!$B$4:$B$8,0),MATCH(G249,'G-7 WaterC'' Data'!$H$3:$L$3,0)),"")</f>
        <v/>
      </c>
      <c r="I249" s="54"/>
      <c r="J249" s="401" t="str">
        <f>IF(I249="","",IF(VLOOKUP(I249,'G-7 WaterC'' Data'!$AK$4:$AM$6,2,FALSE)=0,"Spatial Data Missing ⚠",VLOOKUP(I249,'G-7 WaterC'' Data'!$AK$4:$AM$6,2,FALSE)))</f>
        <v/>
      </c>
      <c r="K249" s="363" t="str">
        <f>IF(I249="","",IF(VLOOKUP(I249,'G-7 WaterC'' Data'!$AK$4:$AM$6,3,FALSE)=0,"Spatial Data Missing ⚠",VLOOKUP(I249,'G-7 WaterC'' Data'!$AK$4:$AM$6,3,FALSE)))</f>
        <v/>
      </c>
      <c r="L249" s="478" t="str">
        <f>IFERROR(INDEX('G-7 WaterC'' Data'!$O$3:$O$7,MATCH(G249,'G-7 WaterC'' Data'!$N$3:$N$7,0)),"")</f>
        <v/>
      </c>
      <c r="M249" s="55"/>
      <c r="N249" s="159"/>
      <c r="O249" s="370" t="str">
        <f t="shared" si="18"/>
        <v/>
      </c>
      <c r="P249" s="383" t="str">
        <f t="shared" si="19"/>
        <v/>
      </c>
      <c r="Q249" s="422" t="str">
        <f>IFERROR(IF(P249="Check Data ⚠","Check Data ⚠",VLOOKUP(P249,'G-4 Temporal multipliers'!$A$4:$C$37,3,FALSE)),"")</f>
        <v/>
      </c>
      <c r="R249" s="362" t="str">
        <f>IF(C249="","",VLOOKUP(C249,'G-7 WaterC'' Data'!$B$4:$G$8,4,FALSE))</f>
        <v/>
      </c>
      <c r="S249" s="370" t="str">
        <f t="shared" si="20"/>
        <v/>
      </c>
      <c r="T249" s="401" t="str">
        <f t="shared" si="21"/>
        <v/>
      </c>
      <c r="U249" s="363" t="str">
        <f>IF(C249="","",VLOOKUP(T249,'G-3 Multipliers'!$P$2:$Q$6,2,FALSE))</f>
        <v/>
      </c>
      <c r="V249" s="115"/>
      <c r="W249" s="363" t="str">
        <f>IF(V249="","",IF(VLOOKUP(V249,'G-7 WaterC'' Data'!$AA$4:$AB$7,2,FALSE)=0,"Spatial Data Missing ⚠",VLOOKUP(V249,'G-7 WaterC'' Data'!$AA$4:$AB$7,2,FALSE)))</f>
        <v/>
      </c>
      <c r="X249" s="60"/>
      <c r="Y249" s="363" t="str">
        <f>IF(X249="","",IF(VLOOKUP(X249,'G-7 WaterC'' Data'!$AD$4:$AE$14,2,FALSE)=0,"Enrcoachment Data Missing ⚠",VLOOKUP(X249,'G-7 WaterC'' Data'!$AD$4:$AE$14,2,FALSE)))</f>
        <v/>
      </c>
      <c r="Z249" s="115"/>
      <c r="AA249" s="363" t="str">
        <f>IF(Z249="","",IF(VLOOKUP(Z249,'G-7 WaterC'' Data'!$AO$4:$BO$7,2,FALSE)=0,"Spatial Data Missing ⚠",VLOOKUP(Z249,'G-7 WaterC'' Data'!$AO$4:$BO$7,2,FALSE)))</f>
        <v/>
      </c>
      <c r="AB249" s="405" t="str">
        <f t="shared" si="22"/>
        <v/>
      </c>
      <c r="AC249" s="405" t="str">
        <f t="shared" si="23"/>
        <v/>
      </c>
      <c r="AD249" s="117"/>
      <c r="AE249" s="692"/>
      <c r="AF249" s="119"/>
      <c r="AG249" s="120"/>
      <c r="AL249" s="30" t="str">
        <f>IFERROR(INDEX('G-7 WaterC'' Data'!$AZ$3:$AZ$7,MATCH(C249,'G-7 WaterC'' Data'!$AY$3:$AY$7,0)),"")</f>
        <v/>
      </c>
    </row>
    <row r="250" spans="2:38" ht="15">
      <c r="B250" s="110">
        <v>239</v>
      </c>
      <c r="C250" s="501"/>
      <c r="D250" s="139"/>
      <c r="E250" s="362" t="str">
        <f>IF(C250="","",VLOOKUP(C250,'G-7 WaterC'' Data'!$B$2:$Z$9,2,FALSE))</f>
        <v/>
      </c>
      <c r="F250" s="363" t="str">
        <f>IFERROR(VLOOKUP(E250,'G-7 WaterC'' Data'!$C$4:$D$8,2,FALSE),"")</f>
        <v/>
      </c>
      <c r="G250" s="114"/>
      <c r="H250" s="363" t="str">
        <f>IFERROR(INDEX('G-7 WaterC'' Data'!$H$4:$L$8,MATCH(C250,'G-7 WaterC'' Data'!$B$4:$B$8,0),MATCH(G250,'G-7 WaterC'' Data'!$H$3:$L$3,0)),"")</f>
        <v/>
      </c>
      <c r="I250" s="54"/>
      <c r="J250" s="401" t="str">
        <f>IF(I250="","",IF(VLOOKUP(I250,'G-7 WaterC'' Data'!$AK$4:$AM$6,2,FALSE)=0,"Spatial Data Missing ⚠",VLOOKUP(I250,'G-7 WaterC'' Data'!$AK$4:$AM$6,2,FALSE)))</f>
        <v/>
      </c>
      <c r="K250" s="363" t="str">
        <f>IF(I250="","",IF(VLOOKUP(I250,'G-7 WaterC'' Data'!$AK$4:$AM$6,3,FALSE)=0,"Spatial Data Missing ⚠",VLOOKUP(I250,'G-7 WaterC'' Data'!$AK$4:$AM$6,3,FALSE)))</f>
        <v/>
      </c>
      <c r="L250" s="478" t="str">
        <f>IFERROR(INDEX('G-7 WaterC'' Data'!$O$3:$O$7,MATCH(G250,'G-7 WaterC'' Data'!$N$3:$N$7,0)),"")</f>
        <v/>
      </c>
      <c r="M250" s="55"/>
      <c r="N250" s="159"/>
      <c r="O250" s="370" t="str">
        <f t="shared" si="18"/>
        <v/>
      </c>
      <c r="P250" s="383" t="str">
        <f t="shared" si="19"/>
        <v/>
      </c>
      <c r="Q250" s="422" t="str">
        <f>IFERROR(IF(P250="Check Data ⚠","Check Data ⚠",VLOOKUP(P250,'G-4 Temporal multipliers'!$A$4:$C$37,3,FALSE)),"")</f>
        <v/>
      </c>
      <c r="R250" s="362" t="str">
        <f>IF(C250="","",VLOOKUP(C250,'G-7 WaterC'' Data'!$B$4:$G$8,4,FALSE))</f>
        <v/>
      </c>
      <c r="S250" s="370" t="str">
        <f t="shared" si="20"/>
        <v/>
      </c>
      <c r="T250" s="401" t="str">
        <f t="shared" si="21"/>
        <v/>
      </c>
      <c r="U250" s="363" t="str">
        <f>IF(C250="","",VLOOKUP(T250,'G-3 Multipliers'!$P$2:$Q$6,2,FALSE))</f>
        <v/>
      </c>
      <c r="V250" s="115"/>
      <c r="W250" s="363" t="str">
        <f>IF(V250="","",IF(VLOOKUP(V250,'G-7 WaterC'' Data'!$AA$4:$AB$7,2,FALSE)=0,"Spatial Data Missing ⚠",VLOOKUP(V250,'G-7 WaterC'' Data'!$AA$4:$AB$7,2,FALSE)))</f>
        <v/>
      </c>
      <c r="X250" s="60"/>
      <c r="Y250" s="363" t="str">
        <f>IF(X250="","",IF(VLOOKUP(X250,'G-7 WaterC'' Data'!$AD$4:$AE$14,2,FALSE)=0,"Enrcoachment Data Missing ⚠",VLOOKUP(X250,'G-7 WaterC'' Data'!$AD$4:$AE$14,2,FALSE)))</f>
        <v/>
      </c>
      <c r="Z250" s="115"/>
      <c r="AA250" s="363" t="str">
        <f>IF(Z250="","",IF(VLOOKUP(Z250,'G-7 WaterC'' Data'!$AO$4:$BO$7,2,FALSE)=0,"Spatial Data Missing ⚠",VLOOKUP(Z250,'G-7 WaterC'' Data'!$AO$4:$BO$7,2,FALSE)))</f>
        <v/>
      </c>
      <c r="AB250" s="405" t="str">
        <f t="shared" si="22"/>
        <v/>
      </c>
      <c r="AC250" s="405" t="str">
        <f t="shared" si="23"/>
        <v/>
      </c>
      <c r="AD250" s="117"/>
      <c r="AE250" s="692"/>
      <c r="AF250" s="119"/>
      <c r="AG250" s="120"/>
      <c r="AL250" s="30" t="str">
        <f>IFERROR(INDEX('G-7 WaterC'' Data'!$AZ$3:$AZ$7,MATCH(C250,'G-7 WaterC'' Data'!$AY$3:$AY$7,0)),"")</f>
        <v/>
      </c>
    </row>
    <row r="251" spans="2:38" ht="15">
      <c r="B251" s="110">
        <v>240</v>
      </c>
      <c r="C251" s="501"/>
      <c r="D251" s="139"/>
      <c r="E251" s="362" t="str">
        <f>IF(C251="","",VLOOKUP(C251,'G-7 WaterC'' Data'!$B$2:$Z$9,2,FALSE))</f>
        <v/>
      </c>
      <c r="F251" s="363" t="str">
        <f>IFERROR(VLOOKUP(E251,'G-7 WaterC'' Data'!$C$4:$D$8,2,FALSE),"")</f>
        <v/>
      </c>
      <c r="G251" s="114"/>
      <c r="H251" s="363" t="str">
        <f>IFERROR(INDEX('G-7 WaterC'' Data'!$H$4:$L$8,MATCH(C251,'G-7 WaterC'' Data'!$B$4:$B$8,0),MATCH(G251,'G-7 WaterC'' Data'!$H$3:$L$3,0)),"")</f>
        <v/>
      </c>
      <c r="I251" s="54"/>
      <c r="J251" s="401" t="str">
        <f>IF(I251="","",IF(VLOOKUP(I251,'G-7 WaterC'' Data'!$AK$4:$AM$6,2,FALSE)=0,"Spatial Data Missing ⚠",VLOOKUP(I251,'G-7 WaterC'' Data'!$AK$4:$AM$6,2,FALSE)))</f>
        <v/>
      </c>
      <c r="K251" s="363" t="str">
        <f>IF(I251="","",IF(VLOOKUP(I251,'G-7 WaterC'' Data'!$AK$4:$AM$6,3,FALSE)=0,"Spatial Data Missing ⚠",VLOOKUP(I251,'G-7 WaterC'' Data'!$AK$4:$AM$6,3,FALSE)))</f>
        <v/>
      </c>
      <c r="L251" s="478" t="str">
        <f>IFERROR(INDEX('G-7 WaterC'' Data'!$O$3:$O$7,MATCH(G251,'G-7 WaterC'' Data'!$N$3:$N$7,0)),"")</f>
        <v/>
      </c>
      <c r="M251" s="55"/>
      <c r="N251" s="159"/>
      <c r="O251" s="370" t="str">
        <f t="shared" si="18"/>
        <v/>
      </c>
      <c r="P251" s="383" t="str">
        <f t="shared" si="19"/>
        <v/>
      </c>
      <c r="Q251" s="422" t="str">
        <f>IFERROR(IF(P251="Check Data ⚠","Check Data ⚠",VLOOKUP(P251,'G-4 Temporal multipliers'!$A$4:$C$37,3,FALSE)),"")</f>
        <v/>
      </c>
      <c r="R251" s="362" t="str">
        <f>IF(C251="","",VLOOKUP(C251,'G-7 WaterC'' Data'!$B$4:$G$8,4,FALSE))</f>
        <v/>
      </c>
      <c r="S251" s="370" t="str">
        <f t="shared" si="20"/>
        <v/>
      </c>
      <c r="T251" s="401" t="str">
        <f t="shared" si="21"/>
        <v/>
      </c>
      <c r="U251" s="363" t="str">
        <f>IF(C251="","",VLOOKUP(T251,'G-3 Multipliers'!$P$2:$Q$6,2,FALSE))</f>
        <v/>
      </c>
      <c r="V251" s="115"/>
      <c r="W251" s="363" t="str">
        <f>IF(V251="","",IF(VLOOKUP(V251,'G-7 WaterC'' Data'!$AA$4:$AB$7,2,FALSE)=0,"Spatial Data Missing ⚠",VLOOKUP(V251,'G-7 WaterC'' Data'!$AA$4:$AB$7,2,FALSE)))</f>
        <v/>
      </c>
      <c r="X251" s="60"/>
      <c r="Y251" s="363" t="str">
        <f>IF(X251="","",IF(VLOOKUP(X251,'G-7 WaterC'' Data'!$AD$4:$AE$14,2,FALSE)=0,"Enrcoachment Data Missing ⚠",VLOOKUP(X251,'G-7 WaterC'' Data'!$AD$4:$AE$14,2,FALSE)))</f>
        <v/>
      </c>
      <c r="Z251" s="115"/>
      <c r="AA251" s="363" t="str">
        <f>IF(Z251="","",IF(VLOOKUP(Z251,'G-7 WaterC'' Data'!$AO$4:$BO$7,2,FALSE)=0,"Spatial Data Missing ⚠",VLOOKUP(Z251,'G-7 WaterC'' Data'!$AO$4:$BO$7,2,FALSE)))</f>
        <v/>
      </c>
      <c r="AB251" s="405" t="str">
        <f t="shared" si="22"/>
        <v/>
      </c>
      <c r="AC251" s="405" t="str">
        <f t="shared" si="23"/>
        <v/>
      </c>
      <c r="AD251" s="117"/>
      <c r="AE251" s="692"/>
      <c r="AF251" s="119"/>
      <c r="AG251" s="120"/>
      <c r="AL251" s="30" t="str">
        <f>IFERROR(INDEX('G-7 WaterC'' Data'!$AZ$3:$AZ$7,MATCH(C251,'G-7 WaterC'' Data'!$AY$3:$AY$7,0)),"")</f>
        <v/>
      </c>
    </row>
    <row r="252" spans="2:38" ht="15">
      <c r="B252" s="110">
        <v>241</v>
      </c>
      <c r="C252" s="501"/>
      <c r="D252" s="139"/>
      <c r="E252" s="362" t="str">
        <f>IF(C252="","",VLOOKUP(C252,'G-7 WaterC'' Data'!$B$2:$Z$9,2,FALSE))</f>
        <v/>
      </c>
      <c r="F252" s="363" t="str">
        <f>IFERROR(VLOOKUP(E252,'G-7 WaterC'' Data'!$C$4:$D$8,2,FALSE),"")</f>
        <v/>
      </c>
      <c r="G252" s="114"/>
      <c r="H252" s="363" t="str">
        <f>IFERROR(INDEX('G-7 WaterC'' Data'!$H$4:$L$8,MATCH(C252,'G-7 WaterC'' Data'!$B$4:$B$8,0),MATCH(G252,'G-7 WaterC'' Data'!$H$3:$L$3,0)),"")</f>
        <v/>
      </c>
      <c r="I252" s="54"/>
      <c r="J252" s="401" t="str">
        <f>IF(I252="","",IF(VLOOKUP(I252,'G-7 WaterC'' Data'!$AK$4:$AM$6,2,FALSE)=0,"Spatial Data Missing ⚠",VLOOKUP(I252,'G-7 WaterC'' Data'!$AK$4:$AM$6,2,FALSE)))</f>
        <v/>
      </c>
      <c r="K252" s="363" t="str">
        <f>IF(I252="","",IF(VLOOKUP(I252,'G-7 WaterC'' Data'!$AK$4:$AM$6,3,FALSE)=0,"Spatial Data Missing ⚠",VLOOKUP(I252,'G-7 WaterC'' Data'!$AK$4:$AM$6,3,FALSE)))</f>
        <v/>
      </c>
      <c r="L252" s="478" t="str">
        <f>IFERROR(INDEX('G-7 WaterC'' Data'!$O$3:$O$7,MATCH(G252,'G-7 WaterC'' Data'!$N$3:$N$7,0)),"")</f>
        <v/>
      </c>
      <c r="M252" s="55"/>
      <c r="N252" s="159"/>
      <c r="O252" s="370" t="str">
        <f t="shared" si="18"/>
        <v/>
      </c>
      <c r="P252" s="383" t="str">
        <f t="shared" si="19"/>
        <v/>
      </c>
      <c r="Q252" s="422" t="str">
        <f>IFERROR(IF(P252="Check Data ⚠","Check Data ⚠",VLOOKUP(P252,'G-4 Temporal multipliers'!$A$4:$C$37,3,FALSE)),"")</f>
        <v/>
      </c>
      <c r="R252" s="362" t="str">
        <f>IF(C252="","",VLOOKUP(C252,'G-7 WaterC'' Data'!$B$4:$G$8,4,FALSE))</f>
        <v/>
      </c>
      <c r="S252" s="370" t="str">
        <f t="shared" si="20"/>
        <v/>
      </c>
      <c r="T252" s="401" t="str">
        <f t="shared" si="21"/>
        <v/>
      </c>
      <c r="U252" s="363" t="str">
        <f>IF(C252="","",VLOOKUP(T252,'G-3 Multipliers'!$P$2:$Q$6,2,FALSE))</f>
        <v/>
      </c>
      <c r="V252" s="115"/>
      <c r="W252" s="363" t="str">
        <f>IF(V252="","",IF(VLOOKUP(V252,'G-7 WaterC'' Data'!$AA$4:$AB$7,2,FALSE)=0,"Spatial Data Missing ⚠",VLOOKUP(V252,'G-7 WaterC'' Data'!$AA$4:$AB$7,2,FALSE)))</f>
        <v/>
      </c>
      <c r="X252" s="60"/>
      <c r="Y252" s="363" t="str">
        <f>IF(X252="","",IF(VLOOKUP(X252,'G-7 WaterC'' Data'!$AD$4:$AE$14,2,FALSE)=0,"Enrcoachment Data Missing ⚠",VLOOKUP(X252,'G-7 WaterC'' Data'!$AD$4:$AE$14,2,FALSE)))</f>
        <v/>
      </c>
      <c r="Z252" s="115"/>
      <c r="AA252" s="363" t="str">
        <f>IF(Z252="","",IF(VLOOKUP(Z252,'G-7 WaterC'' Data'!$AO$4:$BO$7,2,FALSE)=0,"Spatial Data Missing ⚠",VLOOKUP(Z252,'G-7 WaterC'' Data'!$AO$4:$BO$7,2,FALSE)))</f>
        <v/>
      </c>
      <c r="AB252" s="405" t="str">
        <f t="shared" si="22"/>
        <v/>
      </c>
      <c r="AC252" s="405" t="str">
        <f t="shared" si="23"/>
        <v/>
      </c>
      <c r="AD252" s="117"/>
      <c r="AE252" s="692"/>
      <c r="AF252" s="119"/>
      <c r="AG252" s="120"/>
      <c r="AL252" s="30" t="str">
        <f>IFERROR(INDEX('G-7 WaterC'' Data'!$AZ$3:$AZ$7,MATCH(C252,'G-7 WaterC'' Data'!$AY$3:$AY$7,0)),"")</f>
        <v/>
      </c>
    </row>
    <row r="253" spans="2:38" ht="15">
      <c r="B253" s="110">
        <v>242</v>
      </c>
      <c r="C253" s="501"/>
      <c r="D253" s="139"/>
      <c r="E253" s="362" t="str">
        <f>IF(C253="","",VLOOKUP(C253,'G-7 WaterC'' Data'!$B$2:$Z$9,2,FALSE))</f>
        <v/>
      </c>
      <c r="F253" s="363" t="str">
        <f>IFERROR(VLOOKUP(E253,'G-7 WaterC'' Data'!$C$4:$D$8,2,FALSE),"")</f>
        <v/>
      </c>
      <c r="G253" s="114"/>
      <c r="H253" s="363" t="str">
        <f>IFERROR(INDEX('G-7 WaterC'' Data'!$H$4:$L$8,MATCH(C253,'G-7 WaterC'' Data'!$B$4:$B$8,0),MATCH(G253,'G-7 WaterC'' Data'!$H$3:$L$3,0)),"")</f>
        <v/>
      </c>
      <c r="I253" s="54"/>
      <c r="J253" s="401" t="str">
        <f>IF(I253="","",IF(VLOOKUP(I253,'G-7 WaterC'' Data'!$AK$4:$AM$6,2,FALSE)=0,"Spatial Data Missing ⚠",VLOOKUP(I253,'G-7 WaterC'' Data'!$AK$4:$AM$6,2,FALSE)))</f>
        <v/>
      </c>
      <c r="K253" s="363" t="str">
        <f>IF(I253="","",IF(VLOOKUP(I253,'G-7 WaterC'' Data'!$AK$4:$AM$6,3,FALSE)=0,"Spatial Data Missing ⚠",VLOOKUP(I253,'G-7 WaterC'' Data'!$AK$4:$AM$6,3,FALSE)))</f>
        <v/>
      </c>
      <c r="L253" s="478" t="str">
        <f>IFERROR(INDEX('G-7 WaterC'' Data'!$O$3:$O$7,MATCH(G253,'G-7 WaterC'' Data'!$N$3:$N$7,0)),"")</f>
        <v/>
      </c>
      <c r="M253" s="55"/>
      <c r="N253" s="159"/>
      <c r="O253" s="370" t="str">
        <f t="shared" si="18"/>
        <v/>
      </c>
      <c r="P253" s="383" t="str">
        <f t="shared" si="19"/>
        <v/>
      </c>
      <c r="Q253" s="422" t="str">
        <f>IFERROR(IF(P253="Check Data ⚠","Check Data ⚠",VLOOKUP(P253,'G-4 Temporal multipliers'!$A$4:$C$37,3,FALSE)),"")</f>
        <v/>
      </c>
      <c r="R253" s="362" t="str">
        <f>IF(C253="","",VLOOKUP(C253,'G-7 WaterC'' Data'!$B$4:$G$8,4,FALSE))</f>
        <v/>
      </c>
      <c r="S253" s="370" t="str">
        <f t="shared" si="20"/>
        <v/>
      </c>
      <c r="T253" s="401" t="str">
        <f t="shared" si="21"/>
        <v/>
      </c>
      <c r="U253" s="363" t="str">
        <f>IF(C253="","",VLOOKUP(T253,'G-3 Multipliers'!$P$2:$Q$6,2,FALSE))</f>
        <v/>
      </c>
      <c r="V253" s="115"/>
      <c r="W253" s="363" t="str">
        <f>IF(V253="","",IF(VLOOKUP(V253,'G-7 WaterC'' Data'!$AA$4:$AB$7,2,FALSE)=0,"Spatial Data Missing ⚠",VLOOKUP(V253,'G-7 WaterC'' Data'!$AA$4:$AB$7,2,FALSE)))</f>
        <v/>
      </c>
      <c r="X253" s="60"/>
      <c r="Y253" s="363" t="str">
        <f>IF(X253="","",IF(VLOOKUP(X253,'G-7 WaterC'' Data'!$AD$4:$AE$14,2,FALSE)=0,"Enrcoachment Data Missing ⚠",VLOOKUP(X253,'G-7 WaterC'' Data'!$AD$4:$AE$14,2,FALSE)))</f>
        <v/>
      </c>
      <c r="Z253" s="115"/>
      <c r="AA253" s="363" t="str">
        <f>IF(Z253="","",IF(VLOOKUP(Z253,'G-7 WaterC'' Data'!$AO$4:$BO$7,2,FALSE)=0,"Spatial Data Missing ⚠",VLOOKUP(Z253,'G-7 WaterC'' Data'!$AO$4:$BO$7,2,FALSE)))</f>
        <v/>
      </c>
      <c r="AB253" s="405" t="str">
        <f t="shared" si="22"/>
        <v/>
      </c>
      <c r="AC253" s="405" t="str">
        <f t="shared" si="23"/>
        <v/>
      </c>
      <c r="AD253" s="117"/>
      <c r="AE253" s="692"/>
      <c r="AF253" s="119"/>
      <c r="AG253" s="120"/>
      <c r="AL253" s="30" t="str">
        <f>IFERROR(INDEX('G-7 WaterC'' Data'!$AZ$3:$AZ$7,MATCH(C253,'G-7 WaterC'' Data'!$AY$3:$AY$7,0)),"")</f>
        <v/>
      </c>
    </row>
    <row r="254" spans="2:38" ht="15">
      <c r="B254" s="110">
        <v>243</v>
      </c>
      <c r="C254" s="501"/>
      <c r="D254" s="139"/>
      <c r="E254" s="362" t="str">
        <f>IF(C254="","",VLOOKUP(C254,'G-7 WaterC'' Data'!$B$2:$Z$9,2,FALSE))</f>
        <v/>
      </c>
      <c r="F254" s="363" t="str">
        <f>IFERROR(VLOOKUP(E254,'G-7 WaterC'' Data'!$C$4:$D$8,2,FALSE),"")</f>
        <v/>
      </c>
      <c r="G254" s="114"/>
      <c r="H254" s="363" t="str">
        <f>IFERROR(INDEX('G-7 WaterC'' Data'!$H$4:$L$8,MATCH(C254,'G-7 WaterC'' Data'!$B$4:$B$8,0),MATCH(G254,'G-7 WaterC'' Data'!$H$3:$L$3,0)),"")</f>
        <v/>
      </c>
      <c r="I254" s="54"/>
      <c r="J254" s="401" t="str">
        <f>IF(I254="","",IF(VLOOKUP(I254,'G-7 WaterC'' Data'!$AK$4:$AM$6,2,FALSE)=0,"Spatial Data Missing ⚠",VLOOKUP(I254,'G-7 WaterC'' Data'!$AK$4:$AM$6,2,FALSE)))</f>
        <v/>
      </c>
      <c r="K254" s="363" t="str">
        <f>IF(I254="","",IF(VLOOKUP(I254,'G-7 WaterC'' Data'!$AK$4:$AM$6,3,FALSE)=0,"Spatial Data Missing ⚠",VLOOKUP(I254,'G-7 WaterC'' Data'!$AK$4:$AM$6,3,FALSE)))</f>
        <v/>
      </c>
      <c r="L254" s="478" t="str">
        <f>IFERROR(INDEX('G-7 WaterC'' Data'!$O$3:$O$7,MATCH(G254,'G-7 WaterC'' Data'!$N$3:$N$7,0)),"")</f>
        <v/>
      </c>
      <c r="M254" s="55"/>
      <c r="N254" s="159"/>
      <c r="O254" s="370" t="str">
        <f t="shared" si="18"/>
        <v/>
      </c>
      <c r="P254" s="383" t="str">
        <f t="shared" si="19"/>
        <v/>
      </c>
      <c r="Q254" s="422" t="str">
        <f>IFERROR(IF(P254="Check Data ⚠","Check Data ⚠",VLOOKUP(P254,'G-4 Temporal multipliers'!$A$4:$C$37,3,FALSE)),"")</f>
        <v/>
      </c>
      <c r="R254" s="362" t="str">
        <f>IF(C254="","",VLOOKUP(C254,'G-7 WaterC'' Data'!$B$4:$G$8,4,FALSE))</f>
        <v/>
      </c>
      <c r="S254" s="370" t="str">
        <f t="shared" si="20"/>
        <v/>
      </c>
      <c r="T254" s="401" t="str">
        <f t="shared" si="21"/>
        <v/>
      </c>
      <c r="U254" s="363" t="str">
        <f>IF(C254="","",VLOOKUP(T254,'G-3 Multipliers'!$P$2:$Q$6,2,FALSE))</f>
        <v/>
      </c>
      <c r="V254" s="115"/>
      <c r="W254" s="363" t="str">
        <f>IF(V254="","",IF(VLOOKUP(V254,'G-7 WaterC'' Data'!$AA$4:$AB$7,2,FALSE)=0,"Spatial Data Missing ⚠",VLOOKUP(V254,'G-7 WaterC'' Data'!$AA$4:$AB$7,2,FALSE)))</f>
        <v/>
      </c>
      <c r="X254" s="60"/>
      <c r="Y254" s="363" t="str">
        <f>IF(X254="","",IF(VLOOKUP(X254,'G-7 WaterC'' Data'!$AD$4:$AE$14,2,FALSE)=0,"Enrcoachment Data Missing ⚠",VLOOKUP(X254,'G-7 WaterC'' Data'!$AD$4:$AE$14,2,FALSE)))</f>
        <v/>
      </c>
      <c r="Z254" s="115"/>
      <c r="AA254" s="363" t="str">
        <f>IF(Z254="","",IF(VLOOKUP(Z254,'G-7 WaterC'' Data'!$AO$4:$BO$7,2,FALSE)=0,"Spatial Data Missing ⚠",VLOOKUP(Z254,'G-7 WaterC'' Data'!$AO$4:$BO$7,2,FALSE)))</f>
        <v/>
      </c>
      <c r="AB254" s="405" t="str">
        <f t="shared" si="22"/>
        <v/>
      </c>
      <c r="AC254" s="405" t="str">
        <f t="shared" si="23"/>
        <v/>
      </c>
      <c r="AD254" s="117"/>
      <c r="AE254" s="692"/>
      <c r="AF254" s="119"/>
      <c r="AG254" s="120"/>
      <c r="AL254" s="30" t="str">
        <f>IFERROR(INDEX('G-7 WaterC'' Data'!$AZ$3:$AZ$7,MATCH(C254,'G-7 WaterC'' Data'!$AY$3:$AY$7,0)),"")</f>
        <v/>
      </c>
    </row>
    <row r="255" spans="2:38" ht="15">
      <c r="B255" s="110">
        <v>244</v>
      </c>
      <c r="C255" s="501"/>
      <c r="D255" s="139"/>
      <c r="E255" s="362" t="str">
        <f>IF(C255="","",VLOOKUP(C255,'G-7 WaterC'' Data'!$B$2:$Z$9,2,FALSE))</f>
        <v/>
      </c>
      <c r="F255" s="363" t="str">
        <f>IFERROR(VLOOKUP(E255,'G-7 WaterC'' Data'!$C$4:$D$8,2,FALSE),"")</f>
        <v/>
      </c>
      <c r="G255" s="114"/>
      <c r="H255" s="363" t="str">
        <f>IFERROR(INDEX('G-7 WaterC'' Data'!$H$4:$L$8,MATCH(C255,'G-7 WaterC'' Data'!$B$4:$B$8,0),MATCH(G255,'G-7 WaterC'' Data'!$H$3:$L$3,0)),"")</f>
        <v/>
      </c>
      <c r="I255" s="54"/>
      <c r="J255" s="401" t="str">
        <f>IF(I255="","",IF(VLOOKUP(I255,'G-7 WaterC'' Data'!$AK$4:$AM$6,2,FALSE)=0,"Spatial Data Missing ⚠",VLOOKUP(I255,'G-7 WaterC'' Data'!$AK$4:$AM$6,2,FALSE)))</f>
        <v/>
      </c>
      <c r="K255" s="363" t="str">
        <f>IF(I255="","",IF(VLOOKUP(I255,'G-7 WaterC'' Data'!$AK$4:$AM$6,3,FALSE)=0,"Spatial Data Missing ⚠",VLOOKUP(I255,'G-7 WaterC'' Data'!$AK$4:$AM$6,3,FALSE)))</f>
        <v/>
      </c>
      <c r="L255" s="478" t="str">
        <f>IFERROR(INDEX('G-7 WaterC'' Data'!$O$3:$O$7,MATCH(G255,'G-7 WaterC'' Data'!$N$3:$N$7,0)),"")</f>
        <v/>
      </c>
      <c r="M255" s="55"/>
      <c r="N255" s="159"/>
      <c r="O255" s="370" t="str">
        <f t="shared" si="18"/>
        <v/>
      </c>
      <c r="P255" s="383" t="str">
        <f t="shared" si="19"/>
        <v/>
      </c>
      <c r="Q255" s="422" t="str">
        <f>IFERROR(IF(P255="Check Data ⚠","Check Data ⚠",VLOOKUP(P255,'G-4 Temporal multipliers'!$A$4:$C$37,3,FALSE)),"")</f>
        <v/>
      </c>
      <c r="R255" s="362" t="str">
        <f>IF(C255="","",VLOOKUP(C255,'G-7 WaterC'' Data'!$B$4:$G$8,4,FALSE))</f>
        <v/>
      </c>
      <c r="S255" s="370" t="str">
        <f t="shared" si="20"/>
        <v/>
      </c>
      <c r="T255" s="401" t="str">
        <f t="shared" si="21"/>
        <v/>
      </c>
      <c r="U255" s="363" t="str">
        <f>IF(C255="","",VLOOKUP(T255,'G-3 Multipliers'!$P$2:$Q$6,2,FALSE))</f>
        <v/>
      </c>
      <c r="V255" s="115"/>
      <c r="W255" s="363" t="str">
        <f>IF(V255="","",IF(VLOOKUP(V255,'G-7 WaterC'' Data'!$AA$4:$AB$7,2,FALSE)=0,"Spatial Data Missing ⚠",VLOOKUP(V255,'G-7 WaterC'' Data'!$AA$4:$AB$7,2,FALSE)))</f>
        <v/>
      </c>
      <c r="X255" s="60"/>
      <c r="Y255" s="363" t="str">
        <f>IF(X255="","",IF(VLOOKUP(X255,'G-7 WaterC'' Data'!$AD$4:$AE$14,2,FALSE)=0,"Enrcoachment Data Missing ⚠",VLOOKUP(X255,'G-7 WaterC'' Data'!$AD$4:$AE$14,2,FALSE)))</f>
        <v/>
      </c>
      <c r="Z255" s="115"/>
      <c r="AA255" s="363" t="str">
        <f>IF(Z255="","",IF(VLOOKUP(Z255,'G-7 WaterC'' Data'!$AO$4:$BO$7,2,FALSE)=0,"Spatial Data Missing ⚠",VLOOKUP(Z255,'G-7 WaterC'' Data'!$AO$4:$BO$7,2,FALSE)))</f>
        <v/>
      </c>
      <c r="AB255" s="405" t="str">
        <f t="shared" si="22"/>
        <v/>
      </c>
      <c r="AC255" s="405" t="str">
        <f t="shared" si="23"/>
        <v/>
      </c>
      <c r="AD255" s="117"/>
      <c r="AE255" s="692"/>
      <c r="AF255" s="119"/>
      <c r="AG255" s="120"/>
      <c r="AL255" s="30" t="str">
        <f>IFERROR(INDEX('G-7 WaterC'' Data'!$AZ$3:$AZ$7,MATCH(C255,'G-7 WaterC'' Data'!$AY$3:$AY$7,0)),"")</f>
        <v/>
      </c>
    </row>
    <row r="256" spans="2:38" ht="15">
      <c r="B256" s="110">
        <v>245</v>
      </c>
      <c r="C256" s="501"/>
      <c r="D256" s="139"/>
      <c r="E256" s="362" t="str">
        <f>IF(C256="","",VLOOKUP(C256,'G-7 WaterC'' Data'!$B$2:$Z$9,2,FALSE))</f>
        <v/>
      </c>
      <c r="F256" s="363" t="str">
        <f>IFERROR(VLOOKUP(E256,'G-7 WaterC'' Data'!$C$4:$D$8,2,FALSE),"")</f>
        <v/>
      </c>
      <c r="G256" s="114"/>
      <c r="H256" s="363" t="str">
        <f>IFERROR(INDEX('G-7 WaterC'' Data'!$H$4:$L$8,MATCH(C256,'G-7 WaterC'' Data'!$B$4:$B$8,0),MATCH(G256,'G-7 WaterC'' Data'!$H$3:$L$3,0)),"")</f>
        <v/>
      </c>
      <c r="I256" s="54"/>
      <c r="J256" s="401" t="str">
        <f>IF(I256="","",IF(VLOOKUP(I256,'G-7 WaterC'' Data'!$AK$4:$AM$6,2,FALSE)=0,"Spatial Data Missing ⚠",VLOOKUP(I256,'G-7 WaterC'' Data'!$AK$4:$AM$6,2,FALSE)))</f>
        <v/>
      </c>
      <c r="K256" s="363" t="str">
        <f>IF(I256="","",IF(VLOOKUP(I256,'G-7 WaterC'' Data'!$AK$4:$AM$6,3,FALSE)=0,"Spatial Data Missing ⚠",VLOOKUP(I256,'G-7 WaterC'' Data'!$AK$4:$AM$6,3,FALSE)))</f>
        <v/>
      </c>
      <c r="L256" s="478" t="str">
        <f>IFERROR(INDEX('G-7 WaterC'' Data'!$O$3:$O$7,MATCH(G256,'G-7 WaterC'' Data'!$N$3:$N$7,0)),"")</f>
        <v/>
      </c>
      <c r="M256" s="55"/>
      <c r="N256" s="159"/>
      <c r="O256" s="370" t="str">
        <f t="shared" si="18"/>
        <v/>
      </c>
      <c r="P256" s="383" t="str">
        <f t="shared" si="19"/>
        <v/>
      </c>
      <c r="Q256" s="422" t="str">
        <f>IFERROR(IF(P256="Check Data ⚠","Check Data ⚠",VLOOKUP(P256,'G-4 Temporal multipliers'!$A$4:$C$37,3,FALSE)),"")</f>
        <v/>
      </c>
      <c r="R256" s="362" t="str">
        <f>IF(C256="","",VLOOKUP(C256,'G-7 WaterC'' Data'!$B$4:$G$8,4,FALSE))</f>
        <v/>
      </c>
      <c r="S256" s="370" t="str">
        <f t="shared" si="20"/>
        <v/>
      </c>
      <c r="T256" s="401" t="str">
        <f t="shared" si="21"/>
        <v/>
      </c>
      <c r="U256" s="363" t="str">
        <f>IF(C256="","",VLOOKUP(T256,'G-3 Multipliers'!$P$2:$Q$6,2,FALSE))</f>
        <v/>
      </c>
      <c r="V256" s="115"/>
      <c r="W256" s="363" t="str">
        <f>IF(V256="","",IF(VLOOKUP(V256,'G-7 WaterC'' Data'!$AA$4:$AB$7,2,FALSE)=0,"Spatial Data Missing ⚠",VLOOKUP(V256,'G-7 WaterC'' Data'!$AA$4:$AB$7,2,FALSE)))</f>
        <v/>
      </c>
      <c r="X256" s="60"/>
      <c r="Y256" s="363" t="str">
        <f>IF(X256="","",IF(VLOOKUP(X256,'G-7 WaterC'' Data'!$AD$4:$AE$14,2,FALSE)=0,"Enrcoachment Data Missing ⚠",VLOOKUP(X256,'G-7 WaterC'' Data'!$AD$4:$AE$14,2,FALSE)))</f>
        <v/>
      </c>
      <c r="Z256" s="115"/>
      <c r="AA256" s="363" t="str">
        <f>IF(Z256="","",IF(VLOOKUP(Z256,'G-7 WaterC'' Data'!$AO$4:$BO$7,2,FALSE)=0,"Spatial Data Missing ⚠",VLOOKUP(Z256,'G-7 WaterC'' Data'!$AO$4:$BO$7,2,FALSE)))</f>
        <v/>
      </c>
      <c r="AB256" s="405" t="str">
        <f t="shared" si="22"/>
        <v/>
      </c>
      <c r="AC256" s="405" t="str">
        <f t="shared" si="23"/>
        <v/>
      </c>
      <c r="AD256" s="117"/>
      <c r="AE256" s="692"/>
      <c r="AF256" s="119"/>
      <c r="AG256" s="120"/>
      <c r="AL256" s="30" t="str">
        <f>IFERROR(INDEX('G-7 WaterC'' Data'!$AZ$3:$AZ$7,MATCH(C256,'G-7 WaterC'' Data'!$AY$3:$AY$7,0)),"")</f>
        <v/>
      </c>
    </row>
    <row r="257" spans="2:38" ht="15">
      <c r="B257" s="110">
        <v>246</v>
      </c>
      <c r="C257" s="501"/>
      <c r="D257" s="139"/>
      <c r="E257" s="362" t="str">
        <f>IF(C257="","",VLOOKUP(C257,'G-7 WaterC'' Data'!$B$2:$Z$9,2,FALSE))</f>
        <v/>
      </c>
      <c r="F257" s="363" t="str">
        <f>IFERROR(VLOOKUP(E257,'G-7 WaterC'' Data'!$C$4:$D$8,2,FALSE),"")</f>
        <v/>
      </c>
      <c r="G257" s="114"/>
      <c r="H257" s="363" t="str">
        <f>IFERROR(INDEX('G-7 WaterC'' Data'!$H$4:$L$8,MATCH(C257,'G-7 WaterC'' Data'!$B$4:$B$8,0),MATCH(G257,'G-7 WaterC'' Data'!$H$3:$L$3,0)),"")</f>
        <v/>
      </c>
      <c r="I257" s="54"/>
      <c r="J257" s="401" t="str">
        <f>IF(I257="","",IF(VLOOKUP(I257,'G-7 WaterC'' Data'!$AK$4:$AM$6,2,FALSE)=0,"Spatial Data Missing ⚠",VLOOKUP(I257,'G-7 WaterC'' Data'!$AK$4:$AM$6,2,FALSE)))</f>
        <v/>
      </c>
      <c r="K257" s="363" t="str">
        <f>IF(I257="","",IF(VLOOKUP(I257,'G-7 WaterC'' Data'!$AK$4:$AM$6,3,FALSE)=0,"Spatial Data Missing ⚠",VLOOKUP(I257,'G-7 WaterC'' Data'!$AK$4:$AM$6,3,FALSE)))</f>
        <v/>
      </c>
      <c r="L257" s="478" t="str">
        <f>IFERROR(INDEX('G-7 WaterC'' Data'!$O$3:$O$7,MATCH(G257,'G-7 WaterC'' Data'!$N$3:$N$7,0)),"")</f>
        <v/>
      </c>
      <c r="M257" s="55"/>
      <c r="N257" s="159"/>
      <c r="O257" s="370" t="str">
        <f t="shared" si="18"/>
        <v/>
      </c>
      <c r="P257" s="383" t="str">
        <f t="shared" si="19"/>
        <v/>
      </c>
      <c r="Q257" s="422" t="str">
        <f>IFERROR(IF(P257="Check Data ⚠","Check Data ⚠",VLOOKUP(P257,'G-4 Temporal multipliers'!$A$4:$C$37,3,FALSE)),"")</f>
        <v/>
      </c>
      <c r="R257" s="362" t="str">
        <f>IF(C257="","",VLOOKUP(C257,'G-7 WaterC'' Data'!$B$4:$G$8,4,FALSE))</f>
        <v/>
      </c>
      <c r="S257" s="370" t="str">
        <f t="shared" si="20"/>
        <v/>
      </c>
      <c r="T257" s="401" t="str">
        <f t="shared" si="21"/>
        <v/>
      </c>
      <c r="U257" s="363" t="str">
        <f>IF(C257="","",VLOOKUP(T257,'G-3 Multipliers'!$P$2:$Q$6,2,FALSE))</f>
        <v/>
      </c>
      <c r="V257" s="115"/>
      <c r="W257" s="363" t="str">
        <f>IF(V257="","",IF(VLOOKUP(V257,'G-7 WaterC'' Data'!$AA$4:$AB$7,2,FALSE)=0,"Spatial Data Missing ⚠",VLOOKUP(V257,'G-7 WaterC'' Data'!$AA$4:$AB$7,2,FALSE)))</f>
        <v/>
      </c>
      <c r="X257" s="60"/>
      <c r="Y257" s="363" t="str">
        <f>IF(X257="","",IF(VLOOKUP(X257,'G-7 WaterC'' Data'!$AD$4:$AE$14,2,FALSE)=0,"Enrcoachment Data Missing ⚠",VLOOKUP(X257,'G-7 WaterC'' Data'!$AD$4:$AE$14,2,FALSE)))</f>
        <v/>
      </c>
      <c r="Z257" s="115"/>
      <c r="AA257" s="363" t="str">
        <f>IF(Z257="","",IF(VLOOKUP(Z257,'G-7 WaterC'' Data'!$AO$4:$BO$7,2,FALSE)=0,"Spatial Data Missing ⚠",VLOOKUP(Z257,'G-7 WaterC'' Data'!$AO$4:$BO$7,2,FALSE)))</f>
        <v/>
      </c>
      <c r="AB257" s="405" t="str">
        <f t="shared" si="22"/>
        <v/>
      </c>
      <c r="AC257" s="405" t="str">
        <f t="shared" si="23"/>
        <v/>
      </c>
      <c r="AD257" s="117"/>
      <c r="AE257" s="692"/>
      <c r="AF257" s="119"/>
      <c r="AG257" s="120"/>
      <c r="AL257" s="30" t="str">
        <f>IFERROR(INDEX('G-7 WaterC'' Data'!$AZ$3:$AZ$7,MATCH(C257,'G-7 WaterC'' Data'!$AY$3:$AY$7,0)),"")</f>
        <v/>
      </c>
    </row>
    <row r="258" spans="2:38" ht="15">
      <c r="B258" s="110">
        <v>247</v>
      </c>
      <c r="C258" s="501"/>
      <c r="D258" s="139"/>
      <c r="E258" s="362" t="str">
        <f>IF(C258="","",VLOOKUP(C258,'G-7 WaterC'' Data'!$B$2:$Z$9,2,FALSE))</f>
        <v/>
      </c>
      <c r="F258" s="363" t="str">
        <f>IFERROR(VLOOKUP(E258,'G-7 WaterC'' Data'!$C$4:$D$8,2,FALSE),"")</f>
        <v/>
      </c>
      <c r="G258" s="114"/>
      <c r="H258" s="363" t="str">
        <f>IFERROR(INDEX('G-7 WaterC'' Data'!$H$4:$L$8,MATCH(C258,'G-7 WaterC'' Data'!$B$4:$B$8,0),MATCH(G258,'G-7 WaterC'' Data'!$H$3:$L$3,0)),"")</f>
        <v/>
      </c>
      <c r="I258" s="54"/>
      <c r="J258" s="401" t="str">
        <f>IF(I258="","",IF(VLOOKUP(I258,'G-7 WaterC'' Data'!$AK$4:$AM$6,2,FALSE)=0,"Spatial Data Missing ⚠",VLOOKUP(I258,'G-7 WaterC'' Data'!$AK$4:$AM$6,2,FALSE)))</f>
        <v/>
      </c>
      <c r="K258" s="363" t="str">
        <f>IF(I258="","",IF(VLOOKUP(I258,'G-7 WaterC'' Data'!$AK$4:$AM$6,3,FALSE)=0,"Spatial Data Missing ⚠",VLOOKUP(I258,'G-7 WaterC'' Data'!$AK$4:$AM$6,3,FALSE)))</f>
        <v/>
      </c>
      <c r="L258" s="478" t="str">
        <f>IFERROR(INDEX('G-7 WaterC'' Data'!$O$3:$O$7,MATCH(G258,'G-7 WaterC'' Data'!$N$3:$N$7,0)),"")</f>
        <v/>
      </c>
      <c r="M258" s="55"/>
      <c r="N258" s="159"/>
      <c r="O258" s="370" t="str">
        <f t="shared" si="18"/>
        <v/>
      </c>
      <c r="P258" s="383" t="str">
        <f t="shared" si="19"/>
        <v/>
      </c>
      <c r="Q258" s="422" t="str">
        <f>IFERROR(IF(P258="Check Data ⚠","Check Data ⚠",VLOOKUP(P258,'G-4 Temporal multipliers'!$A$4:$C$37,3,FALSE)),"")</f>
        <v/>
      </c>
      <c r="R258" s="362" t="str">
        <f>IF(C258="","",VLOOKUP(C258,'G-7 WaterC'' Data'!$B$4:$G$8,4,FALSE))</f>
        <v/>
      </c>
      <c r="S258" s="370" t="str">
        <f t="shared" si="20"/>
        <v/>
      </c>
      <c r="T258" s="401" t="str">
        <f>(IF(AND(S258="Standard difficulty applied",L258&gt;M258),R258,IF(AND(S258="No - Low Difficulty - only applicable if all habitat created before losses ⚠",M258&gt;=L258),"Low",R258)))</f>
        <v/>
      </c>
      <c r="U258" s="363" t="str">
        <f>IF(C258="","",VLOOKUP(T258,'G-3 Multipliers'!$P$2:$Q$6,2,FALSE))</f>
        <v/>
      </c>
      <c r="V258" s="115"/>
      <c r="W258" s="363" t="str">
        <f>IF(V258="","",IF(VLOOKUP(V258,'G-7 WaterC'' Data'!$AA$4:$AB$7,2,FALSE)=0,"Spatial Data Missing ⚠",VLOOKUP(V258,'G-7 WaterC'' Data'!$AA$4:$AB$7,2,FALSE)))</f>
        <v/>
      </c>
      <c r="X258" s="60"/>
      <c r="Y258" s="363" t="str">
        <f>IF(X258="","",IF(VLOOKUP(X258,'G-7 WaterC'' Data'!$AD$4:$AE$14,2,FALSE)=0,"Enrcoachment Data Missing ⚠",VLOOKUP(X258,'G-7 WaterC'' Data'!$AD$4:$AE$14,2,FALSE)))</f>
        <v/>
      </c>
      <c r="Z258" s="115"/>
      <c r="AA258" s="363" t="str">
        <f>IF(Z258="","",IF(VLOOKUP(Z258,'G-7 WaterC'' Data'!$AO$4:$BO$7,2,FALSE)=0,"Spatial Data Missing ⚠",VLOOKUP(Z258,'G-7 WaterC'' Data'!$AO$4:$BO$7,2,FALSE)))</f>
        <v/>
      </c>
      <c r="AB258" s="405" t="str">
        <f t="shared" si="22"/>
        <v/>
      </c>
      <c r="AC258" s="405" t="str">
        <f t="shared" si="23"/>
        <v/>
      </c>
      <c r="AD258" s="117"/>
      <c r="AE258" s="692"/>
      <c r="AF258" s="119"/>
      <c r="AG258" s="120"/>
      <c r="AL258" s="30" t="str">
        <f>IFERROR(INDEX('G-7 WaterC'' Data'!$AZ$3:$AZ$7,MATCH(C258,'G-7 WaterC'' Data'!$AY$3:$AY$7,0)),"")</f>
        <v/>
      </c>
    </row>
    <row r="259" spans="2:38" ht="15.75" thickBot="1">
      <c r="B259" s="126">
        <v>248</v>
      </c>
      <c r="C259" s="502"/>
      <c r="D259" s="128"/>
      <c r="E259" s="364" t="str">
        <f>IF(C259="","",VLOOKUP(C259,'G-7 WaterC'' Data'!$B$2:$Z$9,2,FALSE))</f>
        <v/>
      </c>
      <c r="F259" s="365" t="str">
        <f>IFERROR(VLOOKUP(E259,'G-7 WaterC'' Data'!$C$4:$D$8,2,FALSE),"")</f>
        <v/>
      </c>
      <c r="G259" s="129"/>
      <c r="H259" s="365" t="str">
        <f>IFERROR(INDEX('G-7 WaterC'' Data'!$H$4:$L$8,MATCH(C259,'G-7 WaterC'' Data'!$B$4:$B$8,0),MATCH(G259,'G-7 WaterC'' Data'!$H$3:$L$3,0)),"")</f>
        <v/>
      </c>
      <c r="I259" s="54"/>
      <c r="J259" s="401" t="str">
        <f>IF(I259="","",IF(VLOOKUP(I259,'G-7 WaterC'' Data'!$AK$4:$AM$6,2,FALSE)=0,"Spatial Data Missing ⚠",VLOOKUP(I259,'G-7 WaterC'' Data'!$AK$4:$AM$6,2,FALSE)))</f>
        <v/>
      </c>
      <c r="K259" s="363" t="str">
        <f>IF(I259="","",IF(VLOOKUP(I259,'G-7 WaterC'' Data'!$AK$4:$AM$6,3,FALSE)=0,"Spatial Data Missing ⚠",VLOOKUP(I259,'G-7 WaterC'' Data'!$AK$4:$AM$6,3,FALSE)))</f>
        <v/>
      </c>
      <c r="L259" s="479" t="str">
        <f>IFERROR(INDEX('G-7 WaterC'' Data'!$O$3:$O$7,MATCH(G259,'G-7 WaterC'' Data'!$N$3:$N$7,0)),"")</f>
        <v/>
      </c>
      <c r="M259" s="55"/>
      <c r="N259" s="168"/>
      <c r="O259" s="370" t="str">
        <f t="shared" si="18"/>
        <v/>
      </c>
      <c r="P259" s="383" t="str">
        <f t="shared" si="19"/>
        <v/>
      </c>
      <c r="Q259" s="422" t="str">
        <f>IFERROR(IF(P259="Check Data ⚠","Check Data ⚠",VLOOKUP(P259,'G-4 Temporal multipliers'!$A$4:$C$37,3,FALSE)),"")</f>
        <v/>
      </c>
      <c r="R259" s="364" t="str">
        <f>IF(C259="","",VLOOKUP(C259,'G-7 WaterC'' Data'!$B$4:$G$8,4,FALSE))</f>
        <v/>
      </c>
      <c r="S259" s="370" t="str">
        <f t="shared" si="20"/>
        <v/>
      </c>
      <c r="T259" s="401" t="str">
        <f t="shared" si="21"/>
        <v/>
      </c>
      <c r="U259" s="363" t="str">
        <f>IF(C259="","",VLOOKUP(T259,'G-3 Multipliers'!$P$2:$Q$6,2,FALSE))</f>
        <v/>
      </c>
      <c r="V259" s="115"/>
      <c r="W259" s="363" t="str">
        <f>IF(V259="","",IF(VLOOKUP(V259,'G-7 WaterC'' Data'!$AA$4:$AB$7,2,FALSE)=0,"Spatial Data Missing ⚠",VLOOKUP(V259,'G-7 WaterC'' Data'!$AA$4:$AB$7,2,FALSE)))</f>
        <v/>
      </c>
      <c r="X259" s="60"/>
      <c r="Y259" s="363" t="str">
        <f>IF(X259="","",IF(VLOOKUP(X259,'G-7 WaterC'' Data'!$AD$4:$AE$14,2,FALSE)=0,"Enrcoachment Data Missing ⚠",VLOOKUP(X259,'G-7 WaterC'' Data'!$AD$4:$AE$14,2,FALSE)))</f>
        <v/>
      </c>
      <c r="Z259" s="115"/>
      <c r="AA259" s="363" t="str">
        <f>IF(Z259="","",IF(VLOOKUP(Z259,'G-7 WaterC'' Data'!$AO$4:$BO$7,2,FALSE)=0,"Spatial Data Missing ⚠",VLOOKUP(Z259,'G-7 WaterC'' Data'!$AO$4:$BO$7,2,FALSE)))</f>
        <v/>
      </c>
      <c r="AB259" s="406" t="str">
        <f t="shared" si="22"/>
        <v/>
      </c>
      <c r="AC259" s="405" t="str">
        <f t="shared" si="23"/>
        <v/>
      </c>
      <c r="AD259" s="130"/>
      <c r="AE259" s="693"/>
      <c r="AF259" s="130"/>
      <c r="AG259" s="131"/>
      <c r="AL259" s="30" t="str">
        <f>IFERROR(INDEX('G-7 WaterC'' Data'!$AZ$3:$AZ$7,MATCH(C259,'G-7 WaterC'' Data'!$AY$3:$AY$7,0)),"")</f>
        <v/>
      </c>
    </row>
    <row r="260" spans="2:38" ht="15.75" thickBot="1">
      <c r="B260" s="34"/>
      <c r="C260" s="223"/>
      <c r="D260" s="366">
        <f>SUM(D12:D259)</f>
        <v>0</v>
      </c>
      <c r="E260" s="34"/>
      <c r="F260" s="34"/>
      <c r="G260" s="34"/>
      <c r="H260" s="34"/>
      <c r="I260" s="34"/>
      <c r="J260" s="34"/>
      <c r="K260" s="34"/>
      <c r="L260" s="34"/>
      <c r="M260" s="34"/>
      <c r="N260" s="34"/>
      <c r="O260" s="34"/>
      <c r="P260" s="34"/>
      <c r="Q260" s="34"/>
      <c r="R260" s="34"/>
      <c r="S260" s="34"/>
      <c r="T260" s="34"/>
      <c r="U260" s="34"/>
      <c r="V260" s="34"/>
      <c r="W260" s="34"/>
      <c r="X260" s="34"/>
      <c r="Y260" s="34"/>
      <c r="Z260" s="1616"/>
      <c r="AA260" s="1617"/>
      <c r="AB260" s="366">
        <f>SUM(AB12:AB259)</f>
        <v>0</v>
      </c>
      <c r="AC260" s="366">
        <f>SUM(AC12:AC259)</f>
        <v>0</v>
      </c>
      <c r="AD260" s="34"/>
      <c r="AE260" s="34"/>
    </row>
    <row r="261" spans="2:38" ht="28.9" customHeight="1"/>
    <row r="262" spans="2:38" ht="27" customHeight="1"/>
    <row r="263" spans="2:38" ht="15"/>
    <row r="264" spans="2:38" ht="15"/>
    <row r="265" spans="2:38" ht="15"/>
    <row r="266" spans="2:38" ht="15"/>
    <row r="267" spans="2:38" ht="15"/>
    <row r="268" spans="2:38" ht="15"/>
    <row r="269" spans="2:38" ht="15" hidden="1"/>
    <row r="270" spans="2:38" ht="15" hidden="1"/>
    <row r="271" spans="2:38" ht="15" hidden="1"/>
    <row r="272" spans="2:38" ht="15" hidden="1"/>
    <row r="273" ht="15" hidden="1"/>
    <row r="274" ht="15" hidden="1"/>
    <row r="275" ht="15" hidden="1"/>
    <row r="1048576" ht="15"/>
  </sheetData>
  <sheetProtection algorithmName="SHA-512" hashValue="mziT3SBBGX3rENj20OhwcFpNzM/VosHh2cw45D/DQPd+7O4pGyHpDoErMoF0tMlz7fc/raPomEah3WnR1Y0opQ==" saltValue="AckNxpmHP+Qn9BvvV1syyg==" spinCount="100000" sheet="1" objects="1" scenarios="1"/>
  <customSheetViews>
    <customSheetView guid="{8BDA793C-C9C5-4FC6-A0A5-F1109F6D4F22}" state="hidden">
      <pane ySplit="11" topLeftCell="A12" activePane="bottomLeft" state="frozen"/>
      <selection pane="bottomLeft" activeCell="D14" sqref="D14"/>
    </customSheetView>
  </customSheetViews>
  <mergeCells count="24">
    <mergeCell ref="AC10:AC11"/>
    <mergeCell ref="P2:U6"/>
    <mergeCell ref="F4:K4"/>
    <mergeCell ref="F3:K3"/>
    <mergeCell ref="F2:O2"/>
    <mergeCell ref="V2:AB5"/>
    <mergeCell ref="F5:K5"/>
    <mergeCell ref="L5:O5"/>
    <mergeCell ref="Z260:AA260"/>
    <mergeCell ref="AD10:AE10"/>
    <mergeCell ref="Z10:AA10"/>
    <mergeCell ref="AB10:AB11"/>
    <mergeCell ref="B2:D2"/>
    <mergeCell ref="B3:D4"/>
    <mergeCell ref="X10:Y10"/>
    <mergeCell ref="L10:Q10"/>
    <mergeCell ref="V10:W10"/>
    <mergeCell ref="I10:K10"/>
    <mergeCell ref="R10:U10"/>
    <mergeCell ref="C10:D10"/>
    <mergeCell ref="E10:F10"/>
    <mergeCell ref="G10:H10"/>
    <mergeCell ref="L3:O3"/>
    <mergeCell ref="L4:O4"/>
  </mergeCells>
  <conditionalFormatting sqref="H12:H259">
    <cfRule type="beginsWith" dxfId="54" priority="23" operator="beginsWith" text="Not Possible">
      <formula>LEFT(H12,LEN("Not Possible"))="Not Possible"</formula>
    </cfRule>
  </conditionalFormatting>
  <conditionalFormatting sqref="J12:K259">
    <cfRule type="containsText" dxfId="53" priority="22" operator="containsText" text="Spatial">
      <formula>NOT(ISERROR(SEARCH("Spatial",J12)))</formula>
    </cfRule>
  </conditionalFormatting>
  <conditionalFormatting sqref="O12:AB259">
    <cfRule type="containsText" dxfId="52" priority="20" operator="containsText" text="Check">
      <formula>NOT(ISERROR(SEARCH("Check",O12)))</formula>
    </cfRule>
    <cfRule type="containsText" dxfId="51" priority="21" operator="containsText" text="Error">
      <formula>NOT(ISERROR(SEARCH("Error",O12)))</formula>
    </cfRule>
  </conditionalFormatting>
  <conditionalFormatting sqref="L12:Q259">
    <cfRule type="containsText" dxfId="50" priority="19" operator="containsText" text="30+">
      <formula>NOT(ISERROR(SEARCH("30+",L12)))</formula>
    </cfRule>
  </conditionalFormatting>
  <conditionalFormatting sqref="L6:O6 P2">
    <cfRule type="containsText" dxfId="49" priority="18" operator="containsText" text="Note">
      <formula>NOT(ISERROR(SEARCH("Note",L2)))</formula>
    </cfRule>
  </conditionalFormatting>
  <conditionalFormatting sqref="W12:Y259">
    <cfRule type="containsText" dxfId="48" priority="17" operator="containsText" text="Spatial">
      <formula>NOT(ISERROR(SEARCH("Spatial",W12)))</formula>
    </cfRule>
  </conditionalFormatting>
  <conditionalFormatting sqref="L3">
    <cfRule type="containsText" dxfId="47" priority="15" operator="containsText" text="Error">
      <formula>NOT(ISERROR(SEARCH("Error",L3)))</formula>
    </cfRule>
    <cfRule type="containsText" dxfId="46" priority="16" operator="containsText" text="Check">
      <formula>NOT(ISERROR(SEARCH("Check",L3)))</formula>
    </cfRule>
  </conditionalFormatting>
  <conditionalFormatting sqref="L4">
    <cfRule type="containsText" dxfId="45" priority="3" operator="containsText" text="Error">
      <formula>NOT(ISERROR(SEARCH("Error",L4)))</formula>
    </cfRule>
    <cfRule type="containsText" dxfId="44" priority="4" operator="containsText" text="Check">
      <formula>NOT(ISERROR(SEARCH("Check",L4)))</formula>
    </cfRule>
  </conditionalFormatting>
  <conditionalFormatting sqref="V2:AC5">
    <cfRule type="containsText" dxfId="43" priority="10" operator="containsText" text="Check">
      <formula>NOT(ISERROR(SEARCH("Check",V2)))</formula>
    </cfRule>
  </conditionalFormatting>
  <conditionalFormatting sqref="L5">
    <cfRule type="containsText" dxfId="42" priority="8" operator="containsText" text="No">
      <formula>NOT(ISERROR(SEARCH("No",L5)))</formula>
    </cfRule>
    <cfRule type="containsText" dxfId="41" priority="9" operator="containsText" text="Yes">
      <formula>NOT(ISERROR(SEARCH("Yes",L5)))</formula>
    </cfRule>
  </conditionalFormatting>
  <conditionalFormatting sqref="AC12:AC259">
    <cfRule type="containsText" dxfId="40" priority="6" operator="containsText" text="Check">
      <formula>NOT(ISERROR(SEARCH("Check",AC12)))</formula>
    </cfRule>
    <cfRule type="containsText" dxfId="39" priority="7" operator="containsText" text="Error">
      <formula>NOT(ISERROR(SEARCH("Error",AC12)))</formula>
    </cfRule>
  </conditionalFormatting>
  <conditionalFormatting sqref="L4:O4">
    <cfRule type="cellIs" dxfId="38" priority="2" operator="equal">
      <formula>0</formula>
    </cfRule>
    <cfRule type="cellIs" dxfId="37" priority="5" operator="lessThan">
      <formula>0</formula>
    </cfRule>
  </conditionalFormatting>
  <conditionalFormatting sqref="L3:O5">
    <cfRule type="containsText" dxfId="36" priority="1" operator="containsText" text="N/A">
      <formula>NOT(ISERROR(SEARCH("N/A",L3)))</formula>
    </cfRule>
  </conditionalFormatting>
  <dataValidations count="3">
    <dataValidation type="list" allowBlank="1" showInputMessage="1" showErrorMessage="1" sqref="G12:G259" xr:uid="{00000000-0002-0000-1A00-000000000000}">
      <formula1>INDIRECT(AL12)</formula1>
    </dataValidation>
    <dataValidation type="list" allowBlank="1" showInputMessage="1" showErrorMessage="1" sqref="V12:V259" xr:uid="{B9E38A8A-4494-46AA-9B48-FD2F298A6BB3}">
      <formula1>IF(C12="Culvert",riparianencroachment2,riparianencroachment1)</formula1>
    </dataValidation>
    <dataValidation type="list" allowBlank="1" showInputMessage="1" showErrorMessage="1" sqref="X12:X259" xr:uid="{DB13BF56-4025-47E2-BB14-DA90DCFAD74B}">
      <formula1>IF(C12="Culvert",Encroachment2,Encroachment1)</formula1>
    </dataValidation>
  </dataValidations>
  <pageMargins left="0.7" right="0.7" top="0.75" bottom="0.75" header="0.3" footer="0.3"/>
  <pageSetup paperSize="9" orientation="portrait" horizontalDpi="90" verticalDpi="90" r:id="rId1"/>
  <drawing r:id="rId2"/>
  <extLst>
    <ext xmlns:x14="http://schemas.microsoft.com/office/spreadsheetml/2009/9/main" uri="{78C0D931-6437-407d-A8EE-F0AAD7539E65}">
      <x14:conditionalFormattings>
        <x14:conditionalFormatting xmlns:xm="http://schemas.microsoft.com/office/excel/2006/main">
          <x14:cfRule type="cellIs" priority="452" operator="lessThan" id="{ACB35EB0-74C0-41D6-8DE8-9B58D5CE6B24}">
            <xm:f>Start!$F$22</xm:f>
            <x14:dxf>
              <font>
                <color rgb="FF383745"/>
              </font>
              <fill>
                <patternFill>
                  <bgColor rgb="FFFFC000"/>
                </patternFill>
              </fill>
            </x14:dxf>
          </x14:cfRule>
          <x14:cfRule type="cellIs" priority="453" operator="greaterThan" id="{DE6FAF15-99A8-456A-BADE-BBD0C4B986DB}">
            <xm:f>Start!$F$22</xm:f>
            <x14:dxf>
              <font>
                <color rgb="FF383745"/>
              </font>
              <fill>
                <patternFill>
                  <bgColor rgb="FF92D050"/>
                </patternFill>
              </fill>
            </x14:dxf>
          </x14:cfRule>
          <xm:sqref>L4:O4</xm:sqref>
        </x14:conditionalFormatting>
      </x14:conditionalFormattings>
    </ext>
    <ext xmlns:x14="http://schemas.microsoft.com/office/spreadsheetml/2009/9/main" uri="{CCE6A557-97BC-4b89-ADB6-D9C93CAAB3DF}">
      <x14:dataValidations xmlns:xm="http://schemas.microsoft.com/office/excel/2006/main" count="4">
        <x14:dataValidation type="list" allowBlank="1" showInputMessage="1" showErrorMessage="1" xr:uid="{00000000-0002-0000-1A00-000005000000}">
          <x14:formula1>
            <xm:f>'G-7 WaterC'' Data'!$B$4:$B$8</xm:f>
          </x14:formula1>
          <xm:sqref>C12:C259</xm:sqref>
        </x14:dataValidation>
        <x14:dataValidation type="list" allowBlank="1" showInputMessage="1" showErrorMessage="1" xr:uid="{0A5A6F42-44F0-42E1-AC5E-749B8C41A7EC}">
          <x14:formula1>
            <xm:f>IF(C12="Culvert",'G-7 WaterC'' Data'!$AK$6,'G-7 WaterC'' Data'!$AK$4:$AK$6)</xm:f>
          </x14:formula1>
          <xm:sqref>I12:I259</xm:sqref>
        </x14:dataValidation>
        <x14:dataValidation type="list" allowBlank="1" showInputMessage="1" showErrorMessage="1" xr:uid="{00000000-0002-0000-1A00-000006000000}">
          <x14:formula1>
            <xm:f>'G-4 Temporal multipliers'!$A$42:$A$73</xm:f>
          </x14:formula1>
          <xm:sqref>M12:N259</xm:sqref>
        </x14:dataValidation>
        <x14:dataValidation type="list" allowBlank="1" showInputMessage="1" showErrorMessage="1" xr:uid="{8760A304-9E21-4FEF-81C8-8174AF784153}">
          <x14:formula1>
            <xm:f>'G-7 WaterC'' Data'!$AO$4:$AO$7</xm:f>
          </x14:formula1>
          <xm:sqref>Z12:Z259</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3">
    <tabColor theme="0" tint="-0.249977111117893"/>
  </sheetPr>
  <dimension ref="A1:Z564"/>
  <sheetViews>
    <sheetView showRowColHeaders="0" zoomScale="80" zoomScaleNormal="80" workbookViewId="0"/>
  </sheetViews>
  <sheetFormatPr defaultColWidth="0" defaultRowHeight="14.65" customHeight="1" zeroHeight="1"/>
  <cols>
    <col min="1" max="3" width="2.28515625" style="9" customWidth="1"/>
    <col min="4" max="4" width="18.7109375" style="9" customWidth="1"/>
    <col min="5" max="8" width="9.28515625" style="9" customWidth="1"/>
    <col min="9" max="9" width="7" style="9" customWidth="1"/>
    <col min="10" max="12" width="9.28515625" style="9" customWidth="1"/>
    <col min="13" max="13" width="12.28515625" style="9" customWidth="1"/>
    <col min="14" max="14" width="5.7109375" style="9" customWidth="1"/>
    <col min="15" max="15" width="14.5703125" style="9" customWidth="1"/>
    <col min="16" max="16" width="14" style="9" customWidth="1"/>
    <col min="17" max="17" width="13.7109375" style="9" bestFit="1" customWidth="1"/>
    <col min="18" max="18" width="19.28515625" style="9" customWidth="1"/>
    <col min="19" max="26" width="9.28515625" style="9" customWidth="1"/>
    <col min="27" max="16384" width="9.28515625" style="9" hidden="1"/>
  </cols>
  <sheetData>
    <row r="1" spans="1:18" ht="15.75" customHeight="1">
      <c r="B1" s="16"/>
      <c r="C1" s="16"/>
      <c r="E1" s="17"/>
      <c r="F1" s="981"/>
      <c r="G1" s="981"/>
      <c r="H1" s="981"/>
      <c r="I1" s="981"/>
      <c r="J1" s="981"/>
      <c r="K1" s="982"/>
      <c r="L1" s="982"/>
      <c r="M1" s="982"/>
      <c r="N1" s="982"/>
      <c r="O1" s="982"/>
    </row>
    <row r="2" spans="1:18" ht="15.75" customHeight="1">
      <c r="B2" s="16"/>
      <c r="C2" s="16"/>
      <c r="E2" s="17"/>
    </row>
    <row r="3" spans="1:18" ht="15.75" customHeight="1">
      <c r="A3" s="17"/>
      <c r="B3" s="17"/>
      <c r="C3" s="17"/>
      <c r="D3" s="17"/>
      <c r="E3" s="17"/>
      <c r="F3" s="18"/>
      <c r="G3" s="18"/>
      <c r="H3" s="18"/>
      <c r="I3" s="18"/>
      <c r="J3" s="18"/>
      <c r="K3" s="18"/>
      <c r="L3" s="18"/>
      <c r="M3" s="18"/>
      <c r="N3" s="18"/>
      <c r="O3" s="18"/>
      <c r="P3" s="18"/>
    </row>
    <row r="4" spans="1:18" ht="16.5" customHeight="1">
      <c r="A4" s="17"/>
      <c r="B4" s="17"/>
      <c r="C4" s="17"/>
      <c r="D4" s="17"/>
      <c r="E4" s="17"/>
      <c r="F4" s="18"/>
      <c r="G4" s="18"/>
      <c r="H4" s="18"/>
      <c r="I4" s="18"/>
      <c r="J4" s="18"/>
      <c r="K4" s="18"/>
      <c r="L4" s="18"/>
      <c r="M4" s="18"/>
      <c r="N4" s="18"/>
      <c r="O4" s="18"/>
      <c r="P4" s="18"/>
    </row>
    <row r="5" spans="1:18" ht="16.5" customHeight="1">
      <c r="A5" s="17"/>
      <c r="B5" s="17"/>
      <c r="C5" s="17"/>
      <c r="D5" s="17"/>
      <c r="E5" s="17"/>
      <c r="F5" s="19"/>
      <c r="G5" s="19"/>
      <c r="H5" s="19"/>
      <c r="I5" s="19"/>
      <c r="J5" s="19"/>
      <c r="K5" s="19"/>
      <c r="L5" s="19"/>
      <c r="M5" s="19"/>
      <c r="N5" s="19"/>
      <c r="O5" s="19"/>
      <c r="P5" s="19"/>
      <c r="Q5" s="19"/>
      <c r="R5" s="19"/>
    </row>
    <row r="6" spans="1:18" ht="16.5" customHeight="1">
      <c r="B6" s="16"/>
      <c r="C6" s="16"/>
      <c r="D6" s="17"/>
      <c r="E6" s="17"/>
      <c r="F6" s="19"/>
      <c r="G6" s="19"/>
      <c r="H6" s="19"/>
      <c r="I6" s="19"/>
      <c r="J6" s="19"/>
      <c r="K6" s="19"/>
      <c r="L6" s="19"/>
      <c r="M6" s="19"/>
      <c r="N6" s="19"/>
      <c r="O6" s="19"/>
      <c r="P6" s="19"/>
      <c r="Q6" s="19"/>
      <c r="R6" s="19"/>
    </row>
    <row r="7" spans="1:18" ht="16.5" customHeight="1">
      <c r="B7" s="16"/>
      <c r="C7" s="17"/>
      <c r="D7" s="17"/>
      <c r="E7" s="17"/>
      <c r="F7" s="19"/>
      <c r="G7" s="19"/>
      <c r="H7" s="19"/>
      <c r="I7" s="19"/>
      <c r="J7" s="19"/>
      <c r="K7" s="19"/>
      <c r="L7" s="19"/>
      <c r="M7" s="19"/>
      <c r="N7" s="19"/>
      <c r="O7" s="19"/>
      <c r="P7" s="19"/>
      <c r="Q7" s="19"/>
      <c r="R7" s="19"/>
    </row>
    <row r="8" spans="1:18" ht="16.5" customHeight="1">
      <c r="B8" s="16"/>
      <c r="C8" s="16"/>
      <c r="D8" s="17"/>
      <c r="E8" s="17"/>
      <c r="F8" s="19"/>
      <c r="G8" s="19"/>
      <c r="H8" s="19"/>
      <c r="I8" s="19"/>
      <c r="J8" s="19"/>
      <c r="K8" s="19"/>
      <c r="L8" s="19"/>
      <c r="M8" s="19"/>
      <c r="N8" s="19"/>
      <c r="O8" s="19"/>
      <c r="P8" s="19"/>
      <c r="Q8" s="19"/>
      <c r="R8" s="19"/>
    </row>
    <row r="9" spans="1:18" ht="16.5" customHeight="1">
      <c r="B9" s="16"/>
      <c r="C9" s="16"/>
      <c r="D9" s="20"/>
      <c r="E9" s="20"/>
      <c r="F9" s="19"/>
      <c r="G9" s="19"/>
      <c r="H9" s="19"/>
      <c r="I9" s="19"/>
      <c r="J9" s="19"/>
      <c r="K9" s="19"/>
      <c r="L9" s="19"/>
      <c r="M9" s="19"/>
      <c r="N9" s="19"/>
      <c r="O9" s="19"/>
      <c r="P9" s="19"/>
      <c r="Q9" s="19"/>
      <c r="R9" s="19"/>
    </row>
    <row r="10" spans="1:18" ht="30" customHeight="1">
      <c r="B10" s="16"/>
      <c r="C10" s="16"/>
      <c r="D10" s="8"/>
      <c r="E10" s="8"/>
      <c r="F10" s="8"/>
      <c r="G10" s="983"/>
      <c r="H10" s="983"/>
      <c r="I10" s="983"/>
      <c r="J10" s="983"/>
      <c r="K10" s="983"/>
      <c r="L10" s="983"/>
      <c r="M10" s="983"/>
      <c r="N10" s="983"/>
      <c r="O10" s="983"/>
    </row>
    <row r="11" spans="1:18" ht="16.5" customHeight="1">
      <c r="B11" s="16"/>
      <c r="C11" s="16"/>
    </row>
    <row r="12" spans="1:18" ht="16.5" customHeight="1">
      <c r="B12" s="16"/>
      <c r="C12" s="16"/>
    </row>
    <row r="13" spans="1:18" ht="16.5" customHeight="1">
      <c r="B13" s="16"/>
      <c r="C13" s="16"/>
    </row>
    <row r="14" spans="1:18" ht="16.5" customHeight="1">
      <c r="B14" s="16"/>
      <c r="C14" s="16"/>
    </row>
    <row r="15" spans="1:18" ht="16.5" customHeight="1">
      <c r="B15" s="16"/>
      <c r="C15" s="16"/>
    </row>
    <row r="16" spans="1:18" ht="16.5" customHeight="1">
      <c r="B16" s="16"/>
      <c r="C16" s="16"/>
    </row>
    <row r="17" spans="2:3" ht="16.5" customHeight="1">
      <c r="B17" s="16"/>
      <c r="C17" s="16"/>
    </row>
    <row r="18" spans="2:3" ht="16.5" customHeight="1">
      <c r="B18" s="16"/>
      <c r="C18" s="16"/>
    </row>
    <row r="19" spans="2:3" ht="16.5" customHeight="1">
      <c r="B19" s="16"/>
      <c r="C19" s="16"/>
    </row>
    <row r="20" spans="2:3" ht="16.5" customHeight="1">
      <c r="B20" s="16"/>
      <c r="C20" s="16"/>
    </row>
    <row r="21" spans="2:3" ht="16.5" customHeight="1">
      <c r="B21" s="16"/>
      <c r="C21" s="16"/>
    </row>
    <row r="22" spans="2:3" ht="16.5" customHeight="1">
      <c r="B22" s="16"/>
      <c r="C22" s="16"/>
    </row>
    <row r="23" spans="2:3" ht="16.5" customHeight="1">
      <c r="B23" s="16"/>
      <c r="C23" s="16"/>
    </row>
    <row r="24" spans="2:3" ht="16.5" customHeight="1">
      <c r="B24" s="16"/>
      <c r="C24" s="16"/>
    </row>
    <row r="25" spans="2:3" ht="16.5" customHeight="1">
      <c r="B25" s="16"/>
      <c r="C25" s="16"/>
    </row>
    <row r="26" spans="2:3" ht="16.5" customHeight="1">
      <c r="B26" s="16"/>
      <c r="C26" s="16"/>
    </row>
    <row r="27" spans="2:3" ht="16.5" customHeight="1">
      <c r="B27" s="16"/>
      <c r="C27" s="16"/>
    </row>
    <row r="28" spans="2:3" ht="16.5" customHeight="1">
      <c r="B28" s="16"/>
      <c r="C28" s="16"/>
    </row>
    <row r="29" spans="2:3" ht="16.5" customHeight="1">
      <c r="B29" s="16"/>
      <c r="C29" s="16"/>
    </row>
    <row r="30" spans="2:3" ht="16.5" customHeight="1">
      <c r="B30" s="16"/>
      <c r="C30" s="16"/>
    </row>
    <row r="31" spans="2:3" ht="16.5" customHeight="1">
      <c r="B31" s="16"/>
      <c r="C31" s="16"/>
    </row>
    <row r="32" spans="2:3" ht="16.5" customHeight="1">
      <c r="B32" s="16"/>
      <c r="C32" s="16"/>
    </row>
    <row r="33" spans="2:3" ht="16.5" customHeight="1">
      <c r="B33" s="16"/>
      <c r="C33" s="16"/>
    </row>
    <row r="34" spans="2:3" ht="16.5" customHeight="1">
      <c r="B34" s="16"/>
      <c r="C34" s="16"/>
    </row>
    <row r="35" spans="2:3" ht="16.5" customHeight="1">
      <c r="B35" s="16"/>
      <c r="C35" s="16"/>
    </row>
    <row r="36" spans="2:3" ht="16.5" customHeight="1">
      <c r="B36" s="16"/>
      <c r="C36" s="16"/>
    </row>
    <row r="37" spans="2:3" ht="16.5" customHeight="1">
      <c r="B37" s="16"/>
      <c r="C37" s="16"/>
    </row>
    <row r="38" spans="2:3" ht="16.5" customHeight="1">
      <c r="B38" s="16"/>
      <c r="C38" s="16"/>
    </row>
    <row r="39" spans="2:3" ht="16.5" customHeight="1">
      <c r="B39" s="16"/>
      <c r="C39" s="16"/>
    </row>
    <row r="40" spans="2:3" ht="16.5" customHeight="1">
      <c r="B40" s="16"/>
      <c r="C40" s="16"/>
    </row>
    <row r="41" spans="2:3" ht="16.5" customHeight="1">
      <c r="B41" s="16"/>
      <c r="C41" s="16"/>
    </row>
    <row r="42" spans="2:3" ht="16.5" customHeight="1">
      <c r="B42" s="16"/>
      <c r="C42" s="16"/>
    </row>
    <row r="43" spans="2:3" ht="16.5" customHeight="1">
      <c r="B43" s="16"/>
      <c r="C43" s="16"/>
    </row>
    <row r="44" spans="2:3" ht="16.5" customHeight="1">
      <c r="B44" s="16"/>
      <c r="C44" s="16"/>
    </row>
    <row r="45" spans="2:3" ht="16.5" customHeight="1">
      <c r="B45" s="16"/>
      <c r="C45" s="16"/>
    </row>
    <row r="46" spans="2:3" ht="16.5" customHeight="1">
      <c r="B46" s="16"/>
      <c r="C46" s="16"/>
    </row>
    <row r="47" spans="2:3" ht="16.5" customHeight="1">
      <c r="B47" s="16"/>
      <c r="C47" s="16"/>
    </row>
    <row r="48" spans="2:3" ht="16.5" customHeight="1">
      <c r="B48" s="16"/>
      <c r="C48" s="16"/>
    </row>
    <row r="49" spans="2:3" ht="16.5" customHeight="1">
      <c r="B49" s="16"/>
      <c r="C49" s="16"/>
    </row>
    <row r="50" spans="2:3" ht="16.5" customHeight="1">
      <c r="B50" s="16"/>
      <c r="C50" s="16"/>
    </row>
    <row r="51" spans="2:3" ht="16.5" customHeight="1">
      <c r="B51" s="16"/>
      <c r="C51" s="16"/>
    </row>
    <row r="52" spans="2:3" ht="16.5" customHeight="1">
      <c r="B52" s="16"/>
      <c r="C52" s="16"/>
    </row>
    <row r="53" spans="2:3" ht="16.5" customHeight="1">
      <c r="B53" s="16"/>
      <c r="C53" s="16"/>
    </row>
    <row r="54" spans="2:3" ht="16.5" customHeight="1">
      <c r="B54" s="16"/>
      <c r="C54" s="16"/>
    </row>
    <row r="55" spans="2:3" ht="16.5" customHeight="1">
      <c r="B55" s="16"/>
      <c r="C55" s="16"/>
    </row>
    <row r="56" spans="2:3" ht="16.5" customHeight="1">
      <c r="B56" s="16"/>
      <c r="C56" s="16"/>
    </row>
    <row r="57" spans="2:3" ht="16.5" customHeight="1">
      <c r="B57" s="16"/>
      <c r="C57" s="16"/>
    </row>
    <row r="58" spans="2:3" ht="16.5" customHeight="1">
      <c r="B58" s="16"/>
      <c r="C58" s="16"/>
    </row>
    <row r="59" spans="2:3" ht="16.5" customHeight="1">
      <c r="B59" s="16"/>
      <c r="C59" s="16"/>
    </row>
    <row r="60" spans="2:3" ht="16.5" hidden="1" customHeight="1">
      <c r="B60" s="16"/>
      <c r="C60" s="16"/>
    </row>
    <row r="61" spans="2:3" ht="16.5" hidden="1" customHeight="1">
      <c r="B61" s="16"/>
      <c r="C61" s="16"/>
    </row>
    <row r="62" spans="2:3" ht="16.5" hidden="1" customHeight="1">
      <c r="B62" s="16"/>
      <c r="C62" s="16"/>
    </row>
    <row r="63" spans="2:3" ht="16.5" hidden="1" customHeight="1">
      <c r="B63" s="16"/>
      <c r="C63" s="16"/>
    </row>
    <row r="64" spans="2:3" ht="16.5" hidden="1" customHeight="1">
      <c r="B64" s="16"/>
      <c r="C64" s="16"/>
    </row>
    <row r="65" spans="2:3" ht="16.5" hidden="1" customHeight="1">
      <c r="B65" s="16"/>
      <c r="C65" s="16"/>
    </row>
    <row r="66" spans="2:3" ht="16.5" hidden="1" customHeight="1">
      <c r="B66" s="16"/>
      <c r="C66" s="16"/>
    </row>
    <row r="67" spans="2:3" ht="16.5" hidden="1" customHeight="1">
      <c r="B67" s="16"/>
      <c r="C67" s="16"/>
    </row>
    <row r="68" spans="2:3" ht="16.5" hidden="1" customHeight="1">
      <c r="B68" s="16"/>
      <c r="C68" s="16"/>
    </row>
    <row r="69" spans="2:3" ht="16.5" hidden="1" customHeight="1">
      <c r="B69" s="16"/>
      <c r="C69" s="16"/>
    </row>
    <row r="70" spans="2:3" ht="16.5" hidden="1" customHeight="1">
      <c r="B70" s="16"/>
      <c r="C70" s="16"/>
    </row>
    <row r="71" spans="2:3" ht="16.5" hidden="1" customHeight="1">
      <c r="B71" s="16"/>
      <c r="C71" s="16"/>
    </row>
    <row r="72" spans="2:3" ht="16.5" hidden="1" customHeight="1">
      <c r="B72" s="16"/>
      <c r="C72" s="16"/>
    </row>
    <row r="73" spans="2:3" ht="16.5" hidden="1" customHeight="1">
      <c r="B73" s="16"/>
      <c r="C73" s="16"/>
    </row>
    <row r="74" spans="2:3" ht="16.5" hidden="1" customHeight="1">
      <c r="B74" s="16"/>
      <c r="C74" s="16"/>
    </row>
    <row r="75" spans="2:3" ht="16.5" hidden="1" customHeight="1">
      <c r="B75" s="16"/>
      <c r="C75" s="16"/>
    </row>
    <row r="76" spans="2:3" ht="16.5" hidden="1" customHeight="1">
      <c r="B76" s="16"/>
      <c r="C76" s="16"/>
    </row>
    <row r="77" spans="2:3" ht="16.5" hidden="1" customHeight="1">
      <c r="B77" s="16"/>
      <c r="C77" s="16"/>
    </row>
    <row r="78" spans="2:3" ht="16.5" hidden="1" customHeight="1">
      <c r="B78" s="16"/>
      <c r="C78" s="16"/>
    </row>
    <row r="79" spans="2:3" ht="16.5" hidden="1" customHeight="1">
      <c r="B79" s="16"/>
      <c r="C79" s="16"/>
    </row>
    <row r="80" spans="2:3" ht="16.5" hidden="1" customHeight="1">
      <c r="B80" s="16"/>
      <c r="C80" s="16"/>
    </row>
    <row r="81" spans="2:3" ht="16.5" hidden="1" customHeight="1">
      <c r="B81" s="16"/>
      <c r="C81" s="16"/>
    </row>
    <row r="82" spans="2:3" ht="16.5" hidden="1" customHeight="1">
      <c r="B82" s="16"/>
      <c r="C82" s="16"/>
    </row>
    <row r="83" spans="2:3" ht="16.5" hidden="1" customHeight="1">
      <c r="B83" s="16"/>
      <c r="C83" s="16"/>
    </row>
    <row r="84" spans="2:3" ht="16.5" hidden="1" customHeight="1">
      <c r="B84" s="16"/>
      <c r="C84" s="16"/>
    </row>
    <row r="85" spans="2:3" ht="16.5" hidden="1" customHeight="1">
      <c r="B85" s="16"/>
      <c r="C85" s="16"/>
    </row>
    <row r="86" spans="2:3" ht="16.5" hidden="1" customHeight="1">
      <c r="B86" s="16"/>
      <c r="C86" s="16"/>
    </row>
    <row r="87" spans="2:3" ht="16.5" hidden="1" customHeight="1">
      <c r="B87" s="16"/>
      <c r="C87" s="16"/>
    </row>
    <row r="88" spans="2:3" ht="16.5" hidden="1" customHeight="1">
      <c r="B88" s="16"/>
      <c r="C88" s="16"/>
    </row>
    <row r="89" spans="2:3" ht="16.5" hidden="1" customHeight="1">
      <c r="B89" s="16"/>
      <c r="C89" s="16"/>
    </row>
    <row r="90" spans="2:3" ht="16.5" hidden="1" customHeight="1">
      <c r="B90" s="16"/>
      <c r="C90" s="16"/>
    </row>
    <row r="91" spans="2:3" ht="16.5" hidden="1" customHeight="1">
      <c r="B91" s="16"/>
      <c r="C91" s="16"/>
    </row>
    <row r="92" spans="2:3" ht="16.5" hidden="1" customHeight="1">
      <c r="B92" s="16"/>
      <c r="C92" s="16"/>
    </row>
    <row r="93" spans="2:3" ht="16.5" hidden="1" customHeight="1">
      <c r="B93" s="16"/>
      <c r="C93" s="16"/>
    </row>
    <row r="94" spans="2:3" ht="16.5" hidden="1" customHeight="1">
      <c r="B94" s="16"/>
      <c r="C94" s="16"/>
    </row>
    <row r="95" spans="2:3" ht="16.5" hidden="1" customHeight="1">
      <c r="B95" s="16"/>
      <c r="C95" s="16"/>
    </row>
    <row r="96" spans="2:3" ht="16.5" hidden="1" customHeight="1">
      <c r="B96" s="16"/>
      <c r="C96" s="16"/>
    </row>
    <row r="97" spans="2:3" ht="16.5" hidden="1" customHeight="1">
      <c r="B97" s="16"/>
      <c r="C97" s="16"/>
    </row>
    <row r="98" spans="2:3" ht="16.5" hidden="1" customHeight="1">
      <c r="B98" s="16"/>
      <c r="C98" s="16"/>
    </row>
    <row r="99" spans="2:3" ht="16.5" hidden="1" customHeight="1">
      <c r="B99" s="16"/>
      <c r="C99" s="16"/>
    </row>
    <row r="100" spans="2:3" ht="16.5" hidden="1" customHeight="1">
      <c r="B100" s="16"/>
      <c r="C100" s="16"/>
    </row>
    <row r="101" spans="2:3" ht="16.5" hidden="1" customHeight="1">
      <c r="B101" s="16"/>
      <c r="C101" s="16"/>
    </row>
    <row r="102" spans="2:3" ht="16.5" hidden="1" customHeight="1">
      <c r="B102" s="16"/>
      <c r="C102" s="16"/>
    </row>
    <row r="103" spans="2:3" ht="16.5" hidden="1" customHeight="1">
      <c r="B103" s="16"/>
      <c r="C103" s="16"/>
    </row>
    <row r="104" spans="2:3" ht="16.5" hidden="1" customHeight="1">
      <c r="B104" s="16"/>
      <c r="C104" s="16"/>
    </row>
    <row r="105" spans="2:3" ht="16.5" hidden="1" customHeight="1">
      <c r="B105" s="16"/>
      <c r="C105" s="16"/>
    </row>
    <row r="106" spans="2:3" ht="16.5" hidden="1" customHeight="1">
      <c r="B106" s="16"/>
      <c r="C106" s="16"/>
    </row>
    <row r="107" spans="2:3" ht="16.5" hidden="1" customHeight="1">
      <c r="B107" s="16"/>
      <c r="C107" s="16"/>
    </row>
    <row r="108" spans="2:3" ht="16.5" hidden="1" customHeight="1">
      <c r="B108" s="16"/>
      <c r="C108" s="16"/>
    </row>
    <row r="109" spans="2:3" ht="16.5" hidden="1" customHeight="1">
      <c r="B109" s="16"/>
      <c r="C109" s="16"/>
    </row>
    <row r="110" spans="2:3" ht="16.5" hidden="1" customHeight="1">
      <c r="B110" s="16"/>
      <c r="C110" s="16"/>
    </row>
    <row r="111" spans="2:3" ht="16.5" hidden="1" customHeight="1">
      <c r="B111" s="16"/>
      <c r="C111" s="16"/>
    </row>
    <row r="112" spans="2:3" ht="16.5" hidden="1" customHeight="1">
      <c r="B112" s="16"/>
      <c r="C112" s="16"/>
    </row>
    <row r="113" spans="2:3" ht="16.5" hidden="1" customHeight="1">
      <c r="B113" s="16"/>
      <c r="C113" s="16"/>
    </row>
    <row r="114" spans="2:3" ht="16.5" hidden="1" customHeight="1">
      <c r="B114" s="16"/>
      <c r="C114" s="16"/>
    </row>
    <row r="115" spans="2:3" ht="16.5" hidden="1" customHeight="1">
      <c r="B115" s="16"/>
      <c r="C115" s="16"/>
    </row>
    <row r="116" spans="2:3" ht="16.5" hidden="1" customHeight="1">
      <c r="B116" s="16"/>
      <c r="C116" s="16"/>
    </row>
    <row r="117" spans="2:3" ht="16.5" hidden="1" customHeight="1">
      <c r="B117" s="16"/>
      <c r="C117" s="16"/>
    </row>
    <row r="118" spans="2:3" ht="16.5" hidden="1" customHeight="1">
      <c r="B118" s="16"/>
      <c r="C118" s="16"/>
    </row>
    <row r="119" spans="2:3" ht="16.5" hidden="1" customHeight="1">
      <c r="B119" s="16"/>
      <c r="C119" s="16"/>
    </row>
    <row r="120" spans="2:3" ht="16.5" hidden="1" customHeight="1">
      <c r="B120" s="16"/>
      <c r="C120" s="16"/>
    </row>
    <row r="121" spans="2:3" ht="16.5" hidden="1" customHeight="1">
      <c r="B121" s="16"/>
      <c r="C121" s="16"/>
    </row>
    <row r="122" spans="2:3" ht="16.5" hidden="1" customHeight="1">
      <c r="B122" s="16"/>
      <c r="C122" s="16"/>
    </row>
    <row r="123" spans="2:3" ht="16.5" hidden="1" customHeight="1">
      <c r="B123" s="16"/>
      <c r="C123" s="16"/>
    </row>
    <row r="124" spans="2:3" ht="16.5" hidden="1" customHeight="1">
      <c r="B124" s="16"/>
      <c r="C124" s="16"/>
    </row>
    <row r="125" spans="2:3" ht="16.5" hidden="1" customHeight="1">
      <c r="B125" s="16"/>
      <c r="C125" s="16"/>
    </row>
    <row r="126" spans="2:3" ht="16.5" hidden="1" customHeight="1">
      <c r="B126" s="16"/>
      <c r="C126" s="16"/>
    </row>
    <row r="127" spans="2:3" ht="16.5" hidden="1" customHeight="1">
      <c r="B127" s="16"/>
      <c r="C127" s="16"/>
    </row>
    <row r="128" spans="2:3" ht="16.5" hidden="1" customHeight="1">
      <c r="B128" s="16"/>
      <c r="C128" s="16"/>
    </row>
    <row r="129" spans="2:3" ht="16.5" hidden="1" customHeight="1">
      <c r="B129" s="16"/>
      <c r="C129" s="16"/>
    </row>
    <row r="130" spans="2:3" ht="16.5" hidden="1" customHeight="1">
      <c r="B130" s="16"/>
      <c r="C130" s="16"/>
    </row>
    <row r="131" spans="2:3" ht="16.5" hidden="1" customHeight="1">
      <c r="B131" s="16"/>
      <c r="C131" s="16"/>
    </row>
    <row r="132" spans="2:3" ht="16.5" hidden="1" customHeight="1">
      <c r="B132" s="16"/>
      <c r="C132" s="16"/>
    </row>
    <row r="133" spans="2:3" ht="16.5" hidden="1" customHeight="1">
      <c r="B133" s="16"/>
      <c r="C133" s="16"/>
    </row>
    <row r="134" spans="2:3" ht="16.5" hidden="1" customHeight="1">
      <c r="B134" s="16"/>
      <c r="C134" s="16"/>
    </row>
    <row r="135" spans="2:3" ht="16.5" hidden="1" customHeight="1">
      <c r="B135" s="16"/>
      <c r="C135" s="16"/>
    </row>
    <row r="136" spans="2:3" ht="16.5" hidden="1" customHeight="1">
      <c r="B136" s="16"/>
      <c r="C136" s="16"/>
    </row>
    <row r="137" spans="2:3" ht="16.5" hidden="1" customHeight="1">
      <c r="B137" s="16"/>
      <c r="C137" s="16"/>
    </row>
    <row r="138" spans="2:3" ht="16.5" hidden="1" customHeight="1">
      <c r="B138" s="16"/>
      <c r="C138" s="16"/>
    </row>
    <row r="139" spans="2:3" ht="16.5" hidden="1" customHeight="1">
      <c r="B139" s="16"/>
      <c r="C139" s="16"/>
    </row>
    <row r="140" spans="2:3" ht="16.5" hidden="1" customHeight="1">
      <c r="B140" s="16"/>
      <c r="C140" s="16"/>
    </row>
    <row r="141" spans="2:3" ht="16.5" hidden="1" customHeight="1">
      <c r="B141" s="16"/>
      <c r="C141" s="16"/>
    </row>
    <row r="142" spans="2:3" ht="16.5" hidden="1" customHeight="1">
      <c r="B142" s="16"/>
      <c r="C142" s="16"/>
    </row>
    <row r="143" spans="2:3" ht="16.5" hidden="1" customHeight="1">
      <c r="B143" s="16"/>
      <c r="C143" s="16"/>
    </row>
    <row r="144" spans="2:3" ht="16.5" hidden="1" customHeight="1">
      <c r="B144" s="16"/>
      <c r="C144" s="16"/>
    </row>
    <row r="145" spans="2:3" ht="16.5" hidden="1" customHeight="1">
      <c r="B145" s="16"/>
      <c r="C145" s="16"/>
    </row>
    <row r="146" spans="2:3" ht="16.5" hidden="1" customHeight="1">
      <c r="B146" s="16"/>
      <c r="C146" s="16"/>
    </row>
    <row r="147" spans="2:3" ht="16.5" hidden="1" customHeight="1">
      <c r="B147" s="16"/>
      <c r="C147" s="16"/>
    </row>
    <row r="148" spans="2:3" ht="16.5" hidden="1" customHeight="1">
      <c r="B148" s="16"/>
      <c r="C148" s="16"/>
    </row>
    <row r="149" spans="2:3" ht="16.5" hidden="1" customHeight="1">
      <c r="B149" s="16"/>
      <c r="C149" s="16"/>
    </row>
    <row r="150" spans="2:3" ht="16.5" hidden="1" customHeight="1">
      <c r="B150" s="16"/>
      <c r="C150" s="16"/>
    </row>
    <row r="151" spans="2:3" ht="16.5" hidden="1" customHeight="1">
      <c r="B151" s="16"/>
      <c r="C151" s="16"/>
    </row>
    <row r="152" spans="2:3" ht="16.5" hidden="1" customHeight="1">
      <c r="B152" s="16"/>
      <c r="C152" s="16"/>
    </row>
    <row r="153" spans="2:3" ht="16.5" hidden="1" customHeight="1">
      <c r="B153" s="16"/>
      <c r="C153" s="16"/>
    </row>
    <row r="154" spans="2:3" ht="16.5" hidden="1" customHeight="1">
      <c r="B154" s="16"/>
      <c r="C154" s="16"/>
    </row>
    <row r="155" spans="2:3" ht="16.5" hidden="1" customHeight="1">
      <c r="B155" s="16"/>
      <c r="C155" s="16"/>
    </row>
    <row r="156" spans="2:3" ht="16.5" hidden="1" customHeight="1">
      <c r="B156" s="16"/>
      <c r="C156" s="16"/>
    </row>
    <row r="157" spans="2:3" ht="16.5" hidden="1" customHeight="1">
      <c r="B157" s="16"/>
      <c r="C157" s="16"/>
    </row>
    <row r="158" spans="2:3" ht="16.5" hidden="1" customHeight="1">
      <c r="B158" s="16"/>
      <c r="C158" s="16"/>
    </row>
    <row r="159" spans="2:3" ht="16.5" hidden="1" customHeight="1">
      <c r="B159" s="16"/>
      <c r="C159" s="16"/>
    </row>
    <row r="160" spans="2:3" ht="16.5" hidden="1" customHeight="1">
      <c r="B160" s="16"/>
      <c r="C160" s="16"/>
    </row>
    <row r="161" spans="2:3" ht="16.5" hidden="1" customHeight="1">
      <c r="B161" s="16"/>
      <c r="C161" s="16"/>
    </row>
    <row r="162" spans="2:3" ht="16.5" hidden="1" customHeight="1">
      <c r="B162" s="16"/>
      <c r="C162" s="16"/>
    </row>
    <row r="163" spans="2:3" ht="16.5" hidden="1" customHeight="1">
      <c r="B163" s="16"/>
      <c r="C163" s="16"/>
    </row>
    <row r="164" spans="2:3" ht="16.5" hidden="1" customHeight="1">
      <c r="B164" s="16"/>
      <c r="C164" s="16"/>
    </row>
    <row r="165" spans="2:3" ht="16.5" hidden="1" customHeight="1">
      <c r="B165" s="16"/>
      <c r="C165" s="16"/>
    </row>
    <row r="166" spans="2:3" ht="16.5" hidden="1" customHeight="1">
      <c r="B166" s="16"/>
      <c r="C166" s="16"/>
    </row>
    <row r="167" spans="2:3" ht="16.5" hidden="1" customHeight="1">
      <c r="B167" s="16"/>
      <c r="C167" s="16"/>
    </row>
    <row r="168" spans="2:3" ht="16.5" hidden="1" customHeight="1">
      <c r="B168" s="16"/>
      <c r="C168" s="16"/>
    </row>
    <row r="169" spans="2:3" ht="16.5" hidden="1" customHeight="1">
      <c r="B169" s="16"/>
      <c r="C169" s="16"/>
    </row>
    <row r="170" spans="2:3" ht="16.5" hidden="1" customHeight="1">
      <c r="B170" s="16"/>
      <c r="C170" s="16"/>
    </row>
    <row r="171" spans="2:3" ht="16.5" hidden="1" customHeight="1">
      <c r="B171" s="16"/>
      <c r="C171" s="16"/>
    </row>
    <row r="172" spans="2:3" ht="16.5" hidden="1" customHeight="1">
      <c r="B172" s="16"/>
      <c r="C172" s="16"/>
    </row>
    <row r="173" spans="2:3" ht="16.5" hidden="1" customHeight="1">
      <c r="B173" s="16"/>
      <c r="C173" s="16"/>
    </row>
    <row r="174" spans="2:3" ht="16.5" hidden="1" customHeight="1">
      <c r="B174" s="16"/>
      <c r="C174" s="16"/>
    </row>
    <row r="175" spans="2:3" ht="16.5" hidden="1" customHeight="1">
      <c r="B175" s="16"/>
      <c r="C175" s="16"/>
    </row>
    <row r="176" spans="2:3" ht="16.5" hidden="1" customHeight="1">
      <c r="B176" s="16"/>
      <c r="C176" s="16"/>
    </row>
    <row r="177" spans="2:3" ht="16.5" hidden="1" customHeight="1">
      <c r="B177" s="16"/>
      <c r="C177" s="16"/>
    </row>
    <row r="178" spans="2:3" ht="16.5" hidden="1" customHeight="1">
      <c r="B178" s="16"/>
      <c r="C178" s="16"/>
    </row>
    <row r="179" spans="2:3" ht="16.5" hidden="1" customHeight="1">
      <c r="B179" s="16"/>
      <c r="C179" s="16"/>
    </row>
    <row r="180" spans="2:3" ht="16.5" hidden="1" customHeight="1">
      <c r="B180" s="16"/>
      <c r="C180" s="16"/>
    </row>
    <row r="181" spans="2:3" ht="16.5" hidden="1" customHeight="1">
      <c r="B181" s="16"/>
      <c r="C181" s="16"/>
    </row>
    <row r="182" spans="2:3" ht="16.5" hidden="1" customHeight="1">
      <c r="B182" s="16"/>
      <c r="C182" s="16"/>
    </row>
    <row r="183" spans="2:3" ht="16.5" hidden="1" customHeight="1">
      <c r="B183" s="16"/>
      <c r="C183" s="16"/>
    </row>
    <row r="184" spans="2:3" ht="16.5" hidden="1" customHeight="1">
      <c r="B184" s="16"/>
      <c r="C184" s="16"/>
    </row>
    <row r="185" spans="2:3" ht="16.5" hidden="1" customHeight="1">
      <c r="B185" s="16"/>
      <c r="C185" s="16"/>
    </row>
    <row r="186" spans="2:3" ht="16.5" hidden="1" customHeight="1">
      <c r="B186" s="16"/>
      <c r="C186" s="16"/>
    </row>
    <row r="187" spans="2:3" ht="16.5" hidden="1" customHeight="1">
      <c r="B187" s="16"/>
      <c r="C187" s="16"/>
    </row>
    <row r="188" spans="2:3" ht="16.5" hidden="1" customHeight="1">
      <c r="B188" s="16"/>
      <c r="C188" s="16"/>
    </row>
    <row r="189" spans="2:3" ht="16.5" hidden="1" customHeight="1">
      <c r="B189" s="16"/>
      <c r="C189" s="16"/>
    </row>
    <row r="190" spans="2:3" ht="16.5" hidden="1" customHeight="1">
      <c r="B190" s="16"/>
      <c r="C190" s="16"/>
    </row>
    <row r="191" spans="2:3" ht="16.5" hidden="1" customHeight="1">
      <c r="B191" s="16"/>
      <c r="C191" s="16"/>
    </row>
    <row r="192" spans="2:3" ht="16.5" hidden="1" customHeight="1">
      <c r="B192" s="16"/>
      <c r="C192" s="16"/>
    </row>
    <row r="193" spans="2:3" ht="16.5" hidden="1" customHeight="1">
      <c r="B193" s="16"/>
      <c r="C193" s="16"/>
    </row>
    <row r="194" spans="2:3" ht="16.5" hidden="1" customHeight="1">
      <c r="B194" s="16"/>
      <c r="C194" s="16"/>
    </row>
    <row r="195" spans="2:3" ht="16.5" hidden="1" customHeight="1">
      <c r="B195" s="16"/>
      <c r="C195" s="16"/>
    </row>
    <row r="196" spans="2:3" ht="16.5" hidden="1" customHeight="1">
      <c r="B196" s="16"/>
      <c r="C196" s="16"/>
    </row>
    <row r="197" spans="2:3" ht="16.5" hidden="1" customHeight="1">
      <c r="B197" s="16"/>
      <c r="C197" s="16"/>
    </row>
    <row r="198" spans="2:3" ht="16.5" hidden="1" customHeight="1">
      <c r="B198" s="16"/>
      <c r="C198" s="16"/>
    </row>
    <row r="199" spans="2:3" ht="16.5" hidden="1" customHeight="1">
      <c r="B199" s="16"/>
      <c r="C199" s="16"/>
    </row>
    <row r="200" spans="2:3" ht="16.5" hidden="1" customHeight="1">
      <c r="B200" s="16"/>
      <c r="C200" s="16"/>
    </row>
    <row r="201" spans="2:3" ht="16.5" hidden="1" customHeight="1">
      <c r="B201" s="16"/>
      <c r="C201" s="16"/>
    </row>
    <row r="202" spans="2:3" ht="16.5" hidden="1" customHeight="1">
      <c r="B202" s="16"/>
      <c r="C202" s="16"/>
    </row>
    <row r="203" spans="2:3" ht="16.5" hidden="1" customHeight="1">
      <c r="B203" s="16"/>
      <c r="C203" s="16"/>
    </row>
    <row r="204" spans="2:3" ht="16.5" hidden="1" customHeight="1">
      <c r="B204" s="16"/>
      <c r="C204" s="16"/>
    </row>
    <row r="205" spans="2:3" ht="16.5" hidden="1" customHeight="1">
      <c r="B205" s="16"/>
      <c r="C205" s="16"/>
    </row>
    <row r="206" spans="2:3" ht="16.5" hidden="1" customHeight="1">
      <c r="B206" s="16"/>
      <c r="C206" s="16"/>
    </row>
    <row r="207" spans="2:3" ht="16.5" hidden="1" customHeight="1">
      <c r="B207" s="16"/>
      <c r="C207" s="16"/>
    </row>
    <row r="208" spans="2:3" ht="16.5" hidden="1" customHeight="1">
      <c r="B208" s="16"/>
      <c r="C208" s="16"/>
    </row>
    <row r="209" spans="2:3" ht="16.5" hidden="1" customHeight="1">
      <c r="B209" s="16"/>
      <c r="C209" s="16"/>
    </row>
    <row r="210" spans="2:3" ht="16.5" hidden="1" customHeight="1">
      <c r="B210" s="16"/>
      <c r="C210" s="16"/>
    </row>
    <row r="211" spans="2:3" ht="16.5" hidden="1" customHeight="1">
      <c r="B211" s="16"/>
      <c r="C211" s="16"/>
    </row>
    <row r="212" spans="2:3" ht="16.5" hidden="1" customHeight="1">
      <c r="B212" s="16"/>
      <c r="C212" s="16"/>
    </row>
    <row r="213" spans="2:3" ht="16.5" hidden="1" customHeight="1">
      <c r="B213" s="16"/>
      <c r="C213" s="16"/>
    </row>
    <row r="214" spans="2:3" ht="16.5" hidden="1" customHeight="1">
      <c r="B214" s="16"/>
      <c r="C214" s="16"/>
    </row>
    <row r="215" spans="2:3" ht="16.5" hidden="1" customHeight="1">
      <c r="B215" s="16"/>
      <c r="C215" s="16"/>
    </row>
    <row r="216" spans="2:3" ht="16.5" hidden="1" customHeight="1">
      <c r="B216" s="16"/>
      <c r="C216" s="16"/>
    </row>
    <row r="217" spans="2:3" ht="16.5" hidden="1" customHeight="1">
      <c r="B217" s="16"/>
      <c r="C217" s="16"/>
    </row>
    <row r="218" spans="2:3" ht="16.5" hidden="1" customHeight="1">
      <c r="B218" s="16"/>
      <c r="C218" s="16"/>
    </row>
    <row r="219" spans="2:3" ht="16.5" hidden="1" customHeight="1">
      <c r="B219" s="16"/>
      <c r="C219" s="16"/>
    </row>
    <row r="220" spans="2:3" ht="16.5" hidden="1" customHeight="1">
      <c r="B220" s="16"/>
      <c r="C220" s="16"/>
    </row>
    <row r="221" spans="2:3" ht="16.5" hidden="1" customHeight="1">
      <c r="B221" s="16"/>
      <c r="C221" s="16"/>
    </row>
    <row r="222" spans="2:3" ht="16.5" hidden="1" customHeight="1">
      <c r="B222" s="16"/>
      <c r="C222" s="16"/>
    </row>
    <row r="223" spans="2:3" ht="16.5" hidden="1" customHeight="1">
      <c r="B223" s="16"/>
      <c r="C223" s="16"/>
    </row>
    <row r="224" spans="2:3" ht="16.5" hidden="1" customHeight="1">
      <c r="B224" s="16"/>
      <c r="C224" s="16"/>
    </row>
    <row r="225" spans="2:3" ht="16.5" hidden="1" customHeight="1">
      <c r="B225" s="16"/>
      <c r="C225" s="16"/>
    </row>
    <row r="226" spans="2:3" ht="16.5" hidden="1" customHeight="1">
      <c r="B226" s="16"/>
      <c r="C226" s="16"/>
    </row>
    <row r="227" spans="2:3" ht="16.5" hidden="1" customHeight="1">
      <c r="B227" s="16"/>
      <c r="C227" s="16"/>
    </row>
    <row r="228" spans="2:3" ht="16.5" hidden="1" customHeight="1">
      <c r="B228" s="16"/>
      <c r="C228" s="16"/>
    </row>
    <row r="229" spans="2:3" ht="16.5" hidden="1" customHeight="1">
      <c r="B229" s="16"/>
      <c r="C229" s="16"/>
    </row>
    <row r="230" spans="2:3" ht="16.5" hidden="1" customHeight="1">
      <c r="B230" s="16"/>
      <c r="C230" s="16"/>
    </row>
    <row r="231" spans="2:3" ht="16.5" hidden="1" customHeight="1">
      <c r="B231" s="16"/>
      <c r="C231" s="16"/>
    </row>
    <row r="232" spans="2:3" ht="16.5" hidden="1" customHeight="1">
      <c r="B232" s="16"/>
      <c r="C232" s="16"/>
    </row>
    <row r="233" spans="2:3" ht="16.5" hidden="1" customHeight="1">
      <c r="B233" s="16"/>
      <c r="C233" s="16"/>
    </row>
    <row r="234" spans="2:3" ht="16.5" hidden="1" customHeight="1">
      <c r="B234" s="16"/>
      <c r="C234" s="16"/>
    </row>
    <row r="235" spans="2:3" ht="16.5" hidden="1" customHeight="1">
      <c r="B235" s="16"/>
      <c r="C235" s="16"/>
    </row>
    <row r="236" spans="2:3" ht="16.5" hidden="1" customHeight="1">
      <c r="B236" s="16"/>
      <c r="C236" s="16"/>
    </row>
    <row r="237" spans="2:3" ht="16.5" hidden="1" customHeight="1">
      <c r="B237" s="16"/>
      <c r="C237" s="16"/>
    </row>
    <row r="238" spans="2:3" ht="16.5" hidden="1" customHeight="1">
      <c r="B238" s="16"/>
      <c r="C238" s="16"/>
    </row>
    <row r="239" spans="2:3" ht="16.5" hidden="1" customHeight="1">
      <c r="B239" s="16"/>
      <c r="C239" s="16"/>
    </row>
    <row r="240" spans="2:3" ht="16.5" hidden="1" customHeight="1">
      <c r="B240" s="16"/>
      <c r="C240" s="16"/>
    </row>
    <row r="241" spans="2:3" ht="16.5" hidden="1" customHeight="1">
      <c r="B241" s="16"/>
      <c r="C241" s="16"/>
    </row>
    <row r="242" spans="2:3" ht="16.5" hidden="1" customHeight="1">
      <c r="B242" s="16"/>
      <c r="C242" s="16"/>
    </row>
    <row r="243" spans="2:3" ht="16.5" hidden="1" customHeight="1">
      <c r="B243" s="16"/>
      <c r="C243" s="16"/>
    </row>
    <row r="244" spans="2:3" ht="16.5" hidden="1" customHeight="1">
      <c r="B244" s="16"/>
      <c r="C244" s="16"/>
    </row>
    <row r="245" spans="2:3" ht="16.5" hidden="1" customHeight="1">
      <c r="B245" s="16"/>
      <c r="C245" s="16"/>
    </row>
    <row r="246" spans="2:3" ht="16.5" hidden="1" customHeight="1">
      <c r="B246" s="16"/>
      <c r="C246" s="16"/>
    </row>
    <row r="247" spans="2:3" ht="16.5" hidden="1" customHeight="1">
      <c r="B247" s="16"/>
      <c r="C247" s="16"/>
    </row>
    <row r="248" spans="2:3" ht="16.5" hidden="1" customHeight="1">
      <c r="B248" s="16"/>
      <c r="C248" s="16"/>
    </row>
    <row r="249" spans="2:3" ht="16.5" hidden="1" customHeight="1">
      <c r="B249" s="16"/>
      <c r="C249" s="16"/>
    </row>
    <row r="250" spans="2:3" ht="16.5" hidden="1" customHeight="1">
      <c r="B250" s="16"/>
      <c r="C250" s="16"/>
    </row>
    <row r="251" spans="2:3" ht="16.5" hidden="1" customHeight="1">
      <c r="B251" s="16"/>
      <c r="C251" s="16"/>
    </row>
    <row r="252" spans="2:3" ht="16.5" hidden="1" customHeight="1">
      <c r="B252" s="16"/>
      <c r="C252" s="16"/>
    </row>
    <row r="253" spans="2:3" ht="16.5" hidden="1" customHeight="1">
      <c r="B253" s="16"/>
      <c r="C253" s="16"/>
    </row>
    <row r="254" spans="2:3" ht="16.5" hidden="1" customHeight="1">
      <c r="B254" s="16"/>
      <c r="C254" s="16"/>
    </row>
    <row r="255" spans="2:3" ht="16.5" hidden="1" customHeight="1">
      <c r="B255" s="16"/>
      <c r="C255" s="16"/>
    </row>
    <row r="256" spans="2:3" ht="16.5" hidden="1" customHeight="1">
      <c r="B256" s="16"/>
      <c r="C256" s="16"/>
    </row>
    <row r="257" spans="2:3" ht="16.5" hidden="1" customHeight="1">
      <c r="B257" s="16"/>
      <c r="C257" s="16"/>
    </row>
    <row r="258" spans="2:3" ht="16.5" hidden="1" customHeight="1">
      <c r="B258" s="16"/>
      <c r="C258" s="16"/>
    </row>
    <row r="259" spans="2:3" ht="16.5" hidden="1" customHeight="1">
      <c r="B259" s="16"/>
      <c r="C259" s="16"/>
    </row>
    <row r="260" spans="2:3" ht="16.5" hidden="1" customHeight="1">
      <c r="B260" s="16"/>
      <c r="C260" s="16"/>
    </row>
    <row r="261" spans="2:3" ht="16.5" hidden="1" customHeight="1">
      <c r="B261" s="16"/>
      <c r="C261" s="16"/>
    </row>
    <row r="262" spans="2:3" ht="16.5" hidden="1" customHeight="1">
      <c r="B262" s="16"/>
      <c r="C262" s="16"/>
    </row>
    <row r="263" spans="2:3" ht="16.5" hidden="1" customHeight="1">
      <c r="B263" s="16"/>
      <c r="C263" s="16"/>
    </row>
    <row r="264" spans="2:3" ht="16.5" hidden="1" customHeight="1">
      <c r="B264" s="16"/>
      <c r="C264" s="16"/>
    </row>
    <row r="265" spans="2:3" ht="16.5" hidden="1" customHeight="1">
      <c r="B265" s="16"/>
      <c r="C265" s="16"/>
    </row>
    <row r="266" spans="2:3" ht="16.5" hidden="1" customHeight="1">
      <c r="B266" s="16"/>
      <c r="C266" s="16"/>
    </row>
    <row r="267" spans="2:3" ht="16.5" hidden="1" customHeight="1">
      <c r="B267" s="16"/>
      <c r="C267" s="16"/>
    </row>
    <row r="268" spans="2:3" ht="16.5" hidden="1" customHeight="1">
      <c r="B268" s="16"/>
      <c r="C268" s="16"/>
    </row>
    <row r="269" spans="2:3" ht="16.5" hidden="1" customHeight="1">
      <c r="B269" s="16"/>
      <c r="C269" s="16"/>
    </row>
    <row r="270" spans="2:3" ht="16.5" hidden="1" customHeight="1">
      <c r="B270" s="16"/>
      <c r="C270" s="16"/>
    </row>
    <row r="271" spans="2:3" ht="16.5" hidden="1" customHeight="1">
      <c r="B271" s="16"/>
      <c r="C271" s="16"/>
    </row>
    <row r="272" spans="2:3" ht="16.5" hidden="1" customHeight="1">
      <c r="B272" s="16"/>
      <c r="C272" s="16"/>
    </row>
    <row r="273" spans="2:3" ht="16.5" hidden="1" customHeight="1">
      <c r="B273" s="16"/>
      <c r="C273" s="16"/>
    </row>
    <row r="274" spans="2:3" ht="16.5" hidden="1" customHeight="1">
      <c r="B274" s="16"/>
      <c r="C274" s="16"/>
    </row>
    <row r="275" spans="2:3" ht="16.5" hidden="1" customHeight="1">
      <c r="B275" s="16"/>
      <c r="C275" s="16"/>
    </row>
    <row r="276" spans="2:3" ht="16.5" hidden="1" customHeight="1">
      <c r="B276" s="16"/>
      <c r="C276" s="16"/>
    </row>
    <row r="277" spans="2:3" ht="16.5" hidden="1" customHeight="1">
      <c r="B277" s="16"/>
      <c r="C277" s="16"/>
    </row>
    <row r="278" spans="2:3" ht="16.5" hidden="1" customHeight="1">
      <c r="B278" s="16"/>
      <c r="C278" s="16"/>
    </row>
    <row r="279" spans="2:3" ht="16.5" hidden="1" customHeight="1">
      <c r="B279" s="16"/>
      <c r="C279" s="16"/>
    </row>
    <row r="280" spans="2:3" ht="16.5" hidden="1" customHeight="1">
      <c r="B280" s="16"/>
      <c r="C280" s="16"/>
    </row>
    <row r="281" spans="2:3" ht="16.5" hidden="1" customHeight="1">
      <c r="B281" s="16"/>
      <c r="C281" s="16"/>
    </row>
    <row r="282" spans="2:3" ht="16.5" hidden="1" customHeight="1">
      <c r="B282" s="16"/>
      <c r="C282" s="16"/>
    </row>
    <row r="283" spans="2:3" ht="16.5" hidden="1" customHeight="1">
      <c r="B283" s="16"/>
      <c r="C283" s="16"/>
    </row>
    <row r="284" spans="2:3" ht="16.5" hidden="1" customHeight="1">
      <c r="B284" s="16"/>
      <c r="C284" s="16"/>
    </row>
    <row r="285" spans="2:3" ht="16.5" hidden="1" customHeight="1">
      <c r="B285" s="16"/>
      <c r="C285" s="16"/>
    </row>
    <row r="286" spans="2:3" ht="16.5" hidden="1" customHeight="1">
      <c r="B286" s="16"/>
      <c r="C286" s="16"/>
    </row>
    <row r="287" spans="2:3" ht="16.5" hidden="1" customHeight="1">
      <c r="B287" s="16"/>
      <c r="C287" s="16"/>
    </row>
    <row r="288" spans="2:3" ht="16.5" hidden="1" customHeight="1">
      <c r="B288" s="16"/>
      <c r="C288" s="16"/>
    </row>
    <row r="289" spans="2:3" ht="16.5" hidden="1" customHeight="1">
      <c r="B289" s="16"/>
      <c r="C289" s="16"/>
    </row>
    <row r="290" spans="2:3" ht="16.5" hidden="1" customHeight="1">
      <c r="B290" s="16"/>
      <c r="C290" s="16"/>
    </row>
    <row r="291" spans="2:3" ht="16.5" hidden="1" customHeight="1">
      <c r="B291" s="16"/>
      <c r="C291" s="16"/>
    </row>
    <row r="292" spans="2:3" ht="16.5" hidden="1" customHeight="1">
      <c r="B292" s="16"/>
      <c r="C292" s="16"/>
    </row>
    <row r="293" spans="2:3" ht="16.5" hidden="1" customHeight="1">
      <c r="B293" s="16"/>
      <c r="C293" s="16"/>
    </row>
    <row r="294" spans="2:3" ht="16.5" hidden="1" customHeight="1">
      <c r="B294" s="16"/>
      <c r="C294" s="16"/>
    </row>
    <row r="295" spans="2:3" ht="16.5" hidden="1" customHeight="1">
      <c r="B295" s="16"/>
      <c r="C295" s="16"/>
    </row>
    <row r="296" spans="2:3" ht="16.5" hidden="1" customHeight="1">
      <c r="B296" s="16"/>
      <c r="C296" s="16"/>
    </row>
    <row r="297" spans="2:3" ht="16.5" hidden="1" customHeight="1">
      <c r="B297" s="16"/>
      <c r="C297" s="16"/>
    </row>
    <row r="298" spans="2:3" ht="16.5" hidden="1" customHeight="1">
      <c r="B298" s="16"/>
      <c r="C298" s="16"/>
    </row>
    <row r="299" spans="2:3" ht="16.5" hidden="1" customHeight="1">
      <c r="B299" s="16"/>
      <c r="C299" s="16"/>
    </row>
    <row r="300" spans="2:3" ht="16.5" hidden="1" customHeight="1">
      <c r="B300" s="16"/>
      <c r="C300" s="16"/>
    </row>
    <row r="301" spans="2:3" ht="16.5" hidden="1" customHeight="1">
      <c r="B301" s="16"/>
      <c r="C301" s="16"/>
    </row>
    <row r="302" spans="2:3" ht="16.5" hidden="1" customHeight="1">
      <c r="B302" s="16"/>
      <c r="C302" s="16"/>
    </row>
    <row r="303" spans="2:3" ht="16.5" hidden="1" customHeight="1">
      <c r="B303" s="16"/>
      <c r="C303" s="16"/>
    </row>
    <row r="304" spans="2:3" ht="16.5" hidden="1" customHeight="1">
      <c r="B304" s="16"/>
      <c r="C304" s="16"/>
    </row>
    <row r="305" spans="2:3" ht="16.5" hidden="1" customHeight="1">
      <c r="B305" s="16"/>
      <c r="C305" s="16"/>
    </row>
    <row r="306" spans="2:3" ht="16.5" hidden="1" customHeight="1">
      <c r="B306" s="16"/>
      <c r="C306" s="16"/>
    </row>
    <row r="307" spans="2:3" ht="16.5" hidden="1" customHeight="1">
      <c r="B307" s="16"/>
      <c r="C307" s="16"/>
    </row>
    <row r="308" spans="2:3" ht="16.5" hidden="1" customHeight="1">
      <c r="B308" s="16"/>
      <c r="C308" s="16"/>
    </row>
    <row r="309" spans="2:3" ht="16.5" hidden="1" customHeight="1">
      <c r="B309" s="16"/>
      <c r="C309" s="16"/>
    </row>
    <row r="310" spans="2:3" ht="16.5" hidden="1" customHeight="1">
      <c r="B310" s="16"/>
      <c r="C310" s="16"/>
    </row>
    <row r="311" spans="2:3" ht="16.5" hidden="1" customHeight="1">
      <c r="B311" s="16"/>
      <c r="C311" s="16"/>
    </row>
    <row r="312" spans="2:3" ht="16.5" hidden="1" customHeight="1">
      <c r="B312" s="16"/>
      <c r="C312" s="16"/>
    </row>
    <row r="313" spans="2:3" ht="16.5" hidden="1" customHeight="1">
      <c r="B313" s="16"/>
      <c r="C313" s="16"/>
    </row>
    <row r="314" spans="2:3" ht="16.5" hidden="1" customHeight="1">
      <c r="B314" s="16"/>
      <c r="C314" s="16"/>
    </row>
    <row r="315" spans="2:3" ht="16.5" hidden="1" customHeight="1">
      <c r="B315" s="16"/>
      <c r="C315" s="16"/>
    </row>
    <row r="316" spans="2:3" ht="16.5" hidden="1" customHeight="1">
      <c r="B316" s="16"/>
      <c r="C316" s="16"/>
    </row>
    <row r="317" spans="2:3" ht="16.5" hidden="1" customHeight="1">
      <c r="B317" s="16"/>
      <c r="C317" s="16"/>
    </row>
    <row r="318" spans="2:3" ht="16.5" hidden="1" customHeight="1">
      <c r="B318" s="16"/>
      <c r="C318" s="16"/>
    </row>
    <row r="319" spans="2:3" ht="16.5" hidden="1" customHeight="1">
      <c r="B319" s="16"/>
      <c r="C319" s="16"/>
    </row>
    <row r="320" spans="2:3" ht="16.5" hidden="1" customHeight="1">
      <c r="B320" s="16"/>
      <c r="C320" s="16"/>
    </row>
    <row r="321" spans="2:3" ht="16.5" hidden="1" customHeight="1">
      <c r="B321" s="16"/>
      <c r="C321" s="16"/>
    </row>
    <row r="322" spans="2:3" ht="16.5" hidden="1" customHeight="1">
      <c r="B322" s="16"/>
      <c r="C322" s="16"/>
    </row>
    <row r="323" spans="2:3" ht="16.5" hidden="1" customHeight="1">
      <c r="B323" s="16"/>
      <c r="C323" s="16"/>
    </row>
    <row r="324" spans="2:3" ht="16.5" hidden="1" customHeight="1">
      <c r="B324" s="16"/>
      <c r="C324" s="16"/>
    </row>
    <row r="325" spans="2:3" ht="16.5" hidden="1" customHeight="1">
      <c r="B325" s="16"/>
      <c r="C325" s="16"/>
    </row>
    <row r="326" spans="2:3" ht="16.5" hidden="1" customHeight="1">
      <c r="B326" s="16"/>
      <c r="C326" s="16"/>
    </row>
    <row r="327" spans="2:3" ht="16.5" hidden="1" customHeight="1">
      <c r="B327" s="16"/>
      <c r="C327" s="16"/>
    </row>
    <row r="328" spans="2:3" ht="16.5" hidden="1" customHeight="1">
      <c r="B328" s="16"/>
      <c r="C328" s="16"/>
    </row>
    <row r="329" spans="2:3" ht="16.5" hidden="1" customHeight="1">
      <c r="B329" s="16"/>
      <c r="C329" s="16"/>
    </row>
    <row r="330" spans="2:3" ht="16.5" hidden="1" customHeight="1">
      <c r="B330" s="16"/>
      <c r="C330" s="16"/>
    </row>
    <row r="331" spans="2:3" ht="16.5" hidden="1" customHeight="1">
      <c r="B331" s="16"/>
      <c r="C331" s="16"/>
    </row>
    <row r="332" spans="2:3" ht="16.5" hidden="1" customHeight="1">
      <c r="B332" s="16"/>
      <c r="C332" s="16"/>
    </row>
    <row r="333" spans="2:3" ht="16.5" hidden="1" customHeight="1">
      <c r="B333" s="16"/>
      <c r="C333" s="16"/>
    </row>
    <row r="334" spans="2:3" ht="16.5" hidden="1" customHeight="1">
      <c r="B334" s="16"/>
      <c r="C334" s="16"/>
    </row>
    <row r="335" spans="2:3" ht="16.5" hidden="1" customHeight="1">
      <c r="B335" s="16"/>
      <c r="C335" s="16"/>
    </row>
    <row r="336" spans="2:3" ht="16.5" hidden="1" customHeight="1">
      <c r="B336" s="16"/>
      <c r="C336" s="16"/>
    </row>
    <row r="337" spans="2:3" ht="16.5" hidden="1" customHeight="1">
      <c r="B337" s="16"/>
      <c r="C337" s="16"/>
    </row>
    <row r="338" spans="2:3" ht="16.5" hidden="1" customHeight="1">
      <c r="B338" s="16"/>
      <c r="C338" s="16"/>
    </row>
    <row r="339" spans="2:3" ht="16.5" hidden="1" customHeight="1">
      <c r="B339" s="16"/>
      <c r="C339" s="16"/>
    </row>
    <row r="340" spans="2:3" ht="16.5" hidden="1" customHeight="1">
      <c r="B340" s="16"/>
      <c r="C340" s="16"/>
    </row>
    <row r="341" spans="2:3" ht="16.5" hidden="1" customHeight="1">
      <c r="B341" s="16"/>
      <c r="C341" s="16"/>
    </row>
    <row r="342" spans="2:3" ht="16.5" hidden="1" customHeight="1">
      <c r="B342" s="16"/>
      <c r="C342" s="16"/>
    </row>
    <row r="343" spans="2:3" ht="16.5" hidden="1" customHeight="1">
      <c r="B343" s="16"/>
      <c r="C343" s="16"/>
    </row>
    <row r="344" spans="2:3" ht="16.5" hidden="1" customHeight="1">
      <c r="B344" s="16"/>
      <c r="C344" s="16"/>
    </row>
    <row r="345" spans="2:3" ht="16.5" hidden="1" customHeight="1">
      <c r="B345" s="16"/>
      <c r="C345" s="16"/>
    </row>
    <row r="346" spans="2:3" ht="16.5" hidden="1" customHeight="1">
      <c r="B346" s="16"/>
      <c r="C346" s="16"/>
    </row>
    <row r="347" spans="2:3" ht="16.5" hidden="1" customHeight="1">
      <c r="B347" s="16"/>
      <c r="C347" s="16"/>
    </row>
    <row r="348" spans="2:3" ht="16.5" hidden="1" customHeight="1">
      <c r="B348" s="16"/>
      <c r="C348" s="16"/>
    </row>
    <row r="349" spans="2:3" ht="16.5" hidden="1" customHeight="1">
      <c r="B349" s="16"/>
      <c r="C349" s="16"/>
    </row>
    <row r="350" spans="2:3" ht="16.5" hidden="1" customHeight="1">
      <c r="B350" s="16"/>
      <c r="C350" s="16"/>
    </row>
    <row r="351" spans="2:3" ht="16.5" hidden="1" customHeight="1">
      <c r="B351" s="16"/>
      <c r="C351" s="16"/>
    </row>
    <row r="352" spans="2:3" ht="16.5" hidden="1" customHeight="1">
      <c r="B352" s="16"/>
      <c r="C352" s="16"/>
    </row>
    <row r="353" spans="2:3" ht="16.5" hidden="1" customHeight="1">
      <c r="B353" s="16"/>
      <c r="C353" s="16"/>
    </row>
    <row r="354" spans="2:3" ht="16.5" hidden="1" customHeight="1">
      <c r="B354" s="16"/>
      <c r="C354" s="16"/>
    </row>
    <row r="355" spans="2:3" ht="16.5" hidden="1" customHeight="1">
      <c r="B355" s="16"/>
      <c r="C355" s="16"/>
    </row>
    <row r="356" spans="2:3" ht="16.5" hidden="1" customHeight="1">
      <c r="B356" s="16"/>
      <c r="C356" s="16"/>
    </row>
    <row r="357" spans="2:3" ht="16.5" hidden="1" customHeight="1">
      <c r="B357" s="16"/>
      <c r="C357" s="16"/>
    </row>
    <row r="358" spans="2:3" ht="16.5" hidden="1" customHeight="1">
      <c r="B358" s="16"/>
      <c r="C358" s="16"/>
    </row>
    <row r="359" spans="2:3" ht="16.5" hidden="1" customHeight="1">
      <c r="B359" s="16"/>
      <c r="C359" s="16"/>
    </row>
    <row r="360" spans="2:3" ht="16.5" hidden="1" customHeight="1">
      <c r="B360" s="16"/>
      <c r="C360" s="16"/>
    </row>
    <row r="361" spans="2:3" ht="16.5" hidden="1" customHeight="1">
      <c r="B361" s="16"/>
      <c r="C361" s="16"/>
    </row>
    <row r="362" spans="2:3" ht="16.5" hidden="1" customHeight="1">
      <c r="B362" s="16"/>
      <c r="C362" s="16"/>
    </row>
    <row r="363" spans="2:3" ht="16.5" hidden="1" customHeight="1">
      <c r="B363" s="16"/>
      <c r="C363" s="16"/>
    </row>
    <row r="364" spans="2:3" ht="16.5" hidden="1" customHeight="1">
      <c r="B364" s="16"/>
      <c r="C364" s="16"/>
    </row>
    <row r="365" spans="2:3" ht="16.5" hidden="1" customHeight="1">
      <c r="B365" s="16"/>
      <c r="C365" s="16"/>
    </row>
    <row r="366" spans="2:3" ht="16.5" hidden="1" customHeight="1">
      <c r="B366" s="16"/>
      <c r="C366" s="16"/>
    </row>
    <row r="367" spans="2:3" ht="16.5" hidden="1" customHeight="1">
      <c r="B367" s="16"/>
      <c r="C367" s="16"/>
    </row>
    <row r="368" spans="2:3" ht="16.5" hidden="1" customHeight="1">
      <c r="B368" s="16"/>
      <c r="C368" s="16"/>
    </row>
    <row r="369" spans="2:3" ht="16.5" hidden="1" customHeight="1">
      <c r="B369" s="16"/>
      <c r="C369" s="16"/>
    </row>
    <row r="370" spans="2:3" ht="16.5" hidden="1" customHeight="1">
      <c r="B370" s="16"/>
      <c r="C370" s="16"/>
    </row>
    <row r="371" spans="2:3" ht="16.5" hidden="1" customHeight="1">
      <c r="B371" s="16"/>
      <c r="C371" s="16"/>
    </row>
    <row r="372" spans="2:3" ht="16.5" hidden="1" customHeight="1">
      <c r="B372" s="16"/>
      <c r="C372" s="16"/>
    </row>
    <row r="373" spans="2:3" ht="16.5" hidden="1" customHeight="1">
      <c r="B373" s="16"/>
      <c r="C373" s="16"/>
    </row>
    <row r="374" spans="2:3" ht="16.5" hidden="1" customHeight="1">
      <c r="B374" s="16"/>
      <c r="C374" s="16"/>
    </row>
    <row r="375" spans="2:3" ht="16.5" hidden="1" customHeight="1">
      <c r="B375" s="16"/>
      <c r="C375" s="16"/>
    </row>
    <row r="376" spans="2:3" ht="16.5" hidden="1" customHeight="1">
      <c r="B376" s="16"/>
      <c r="C376" s="16"/>
    </row>
    <row r="377" spans="2:3" ht="16.5" hidden="1" customHeight="1">
      <c r="B377" s="16"/>
      <c r="C377" s="16"/>
    </row>
    <row r="378" spans="2:3" ht="16.5" hidden="1" customHeight="1">
      <c r="B378" s="16"/>
      <c r="C378" s="16"/>
    </row>
    <row r="379" spans="2:3" ht="16.5" hidden="1" customHeight="1">
      <c r="B379" s="16"/>
      <c r="C379" s="16"/>
    </row>
    <row r="380" spans="2:3" ht="16.5" hidden="1" customHeight="1">
      <c r="B380" s="16"/>
      <c r="C380" s="16"/>
    </row>
    <row r="381" spans="2:3" ht="16.5" hidden="1" customHeight="1">
      <c r="B381" s="16"/>
      <c r="C381" s="16"/>
    </row>
    <row r="382" spans="2:3" ht="16.5" hidden="1" customHeight="1">
      <c r="B382" s="16"/>
      <c r="C382" s="16"/>
    </row>
    <row r="383" spans="2:3" ht="16.5" hidden="1" customHeight="1">
      <c r="B383" s="16"/>
      <c r="C383" s="16"/>
    </row>
    <row r="384" spans="2:3" ht="16.5" hidden="1" customHeight="1">
      <c r="B384" s="16"/>
      <c r="C384" s="16"/>
    </row>
    <row r="385" spans="2:3" ht="16.5" hidden="1" customHeight="1">
      <c r="B385" s="16"/>
      <c r="C385" s="16"/>
    </row>
    <row r="386" spans="2:3" ht="16.5" hidden="1" customHeight="1">
      <c r="B386" s="16"/>
      <c r="C386" s="16"/>
    </row>
    <row r="387" spans="2:3" ht="16.5" hidden="1" customHeight="1">
      <c r="B387" s="16"/>
      <c r="C387" s="16"/>
    </row>
    <row r="388" spans="2:3" ht="16.5" hidden="1" customHeight="1">
      <c r="B388" s="16"/>
      <c r="C388" s="16"/>
    </row>
    <row r="389" spans="2:3" ht="16.5" hidden="1" customHeight="1">
      <c r="B389" s="16"/>
      <c r="C389" s="16"/>
    </row>
    <row r="390" spans="2:3" ht="16.5" hidden="1" customHeight="1">
      <c r="B390" s="16"/>
      <c r="C390" s="16"/>
    </row>
    <row r="391" spans="2:3" ht="16.5" hidden="1" customHeight="1">
      <c r="B391" s="16"/>
      <c r="C391" s="16"/>
    </row>
    <row r="392" spans="2:3" ht="16.5" hidden="1" customHeight="1">
      <c r="B392" s="16"/>
      <c r="C392" s="16"/>
    </row>
    <row r="393" spans="2:3" ht="16.5" hidden="1" customHeight="1">
      <c r="B393" s="16"/>
      <c r="C393" s="16"/>
    </row>
    <row r="394" spans="2:3" ht="16.5" hidden="1" customHeight="1">
      <c r="B394" s="16"/>
      <c r="C394" s="16"/>
    </row>
    <row r="395" spans="2:3" ht="16.5" hidden="1" customHeight="1">
      <c r="B395" s="16"/>
      <c r="C395" s="16"/>
    </row>
    <row r="396" spans="2:3" ht="16.5" hidden="1" customHeight="1">
      <c r="B396" s="16"/>
      <c r="C396" s="16"/>
    </row>
    <row r="397" spans="2:3" ht="16.5" hidden="1" customHeight="1">
      <c r="B397" s="16"/>
      <c r="C397" s="16"/>
    </row>
    <row r="398" spans="2:3" ht="16.5" hidden="1" customHeight="1">
      <c r="B398" s="16"/>
      <c r="C398" s="16"/>
    </row>
    <row r="399" spans="2:3" ht="16.5" hidden="1" customHeight="1">
      <c r="B399" s="16"/>
      <c r="C399" s="16"/>
    </row>
    <row r="400" spans="2:3" ht="16.5" hidden="1" customHeight="1">
      <c r="B400" s="16"/>
      <c r="C400" s="16"/>
    </row>
    <row r="401" spans="2:3" ht="16.5" hidden="1" customHeight="1">
      <c r="B401" s="16"/>
      <c r="C401" s="16"/>
    </row>
    <row r="402" spans="2:3" ht="16.5" hidden="1" customHeight="1">
      <c r="B402" s="16"/>
      <c r="C402" s="16"/>
    </row>
    <row r="403" spans="2:3" ht="16.5" hidden="1" customHeight="1">
      <c r="B403" s="16"/>
      <c r="C403" s="16"/>
    </row>
    <row r="404" spans="2:3" ht="16.5" hidden="1" customHeight="1">
      <c r="B404" s="16"/>
      <c r="C404" s="16"/>
    </row>
    <row r="405" spans="2:3" ht="16.5" hidden="1" customHeight="1">
      <c r="B405" s="16"/>
      <c r="C405" s="16"/>
    </row>
    <row r="406" spans="2:3" ht="16.5" hidden="1" customHeight="1">
      <c r="B406" s="16"/>
      <c r="C406" s="16"/>
    </row>
    <row r="407" spans="2:3" ht="16.5" hidden="1" customHeight="1">
      <c r="B407" s="16"/>
      <c r="C407" s="16"/>
    </row>
    <row r="408" spans="2:3" ht="16.5" hidden="1" customHeight="1">
      <c r="B408" s="16"/>
      <c r="C408" s="16"/>
    </row>
    <row r="409" spans="2:3" ht="16.5" hidden="1" customHeight="1">
      <c r="B409" s="16"/>
      <c r="C409" s="16"/>
    </row>
    <row r="410" spans="2:3" ht="16.5" hidden="1" customHeight="1">
      <c r="B410" s="16"/>
      <c r="C410" s="16"/>
    </row>
    <row r="411" spans="2:3" ht="16.5" hidden="1" customHeight="1">
      <c r="B411" s="16"/>
      <c r="C411" s="16"/>
    </row>
    <row r="412" spans="2:3" ht="16.5" hidden="1" customHeight="1">
      <c r="B412" s="16"/>
      <c r="C412" s="16"/>
    </row>
    <row r="413" spans="2:3" ht="16.5" hidden="1" customHeight="1">
      <c r="B413" s="16"/>
      <c r="C413" s="16"/>
    </row>
    <row r="414" spans="2:3" ht="16.5" hidden="1" customHeight="1">
      <c r="B414" s="16"/>
      <c r="C414" s="16"/>
    </row>
    <row r="415" spans="2:3" ht="16.5" hidden="1" customHeight="1">
      <c r="B415" s="16"/>
      <c r="C415" s="16"/>
    </row>
    <row r="416" spans="2:3" ht="16.5" hidden="1" customHeight="1">
      <c r="B416" s="16"/>
      <c r="C416" s="16"/>
    </row>
    <row r="417" spans="2:3" ht="16.5" hidden="1" customHeight="1">
      <c r="B417" s="16"/>
      <c r="C417" s="16"/>
    </row>
    <row r="418" spans="2:3" ht="16.5" hidden="1" customHeight="1">
      <c r="B418" s="16"/>
      <c r="C418" s="16"/>
    </row>
    <row r="419" spans="2:3" ht="16.5" hidden="1" customHeight="1">
      <c r="B419" s="16"/>
      <c r="C419" s="16"/>
    </row>
    <row r="420" spans="2:3" ht="16.5" hidden="1" customHeight="1">
      <c r="B420" s="16"/>
      <c r="C420" s="16"/>
    </row>
    <row r="421" spans="2:3" ht="16.5" hidden="1" customHeight="1">
      <c r="B421" s="16"/>
      <c r="C421" s="16"/>
    </row>
    <row r="422" spans="2:3" ht="16.5" hidden="1" customHeight="1">
      <c r="B422" s="16"/>
      <c r="C422" s="16"/>
    </row>
    <row r="423" spans="2:3" ht="16.5" hidden="1" customHeight="1">
      <c r="B423" s="16"/>
      <c r="C423" s="16"/>
    </row>
    <row r="424" spans="2:3" ht="16.5" hidden="1" customHeight="1">
      <c r="B424" s="16"/>
      <c r="C424" s="16"/>
    </row>
    <row r="425" spans="2:3" ht="16.5" hidden="1" customHeight="1">
      <c r="B425" s="16"/>
      <c r="C425" s="16"/>
    </row>
    <row r="426" spans="2:3" ht="16.5" hidden="1" customHeight="1">
      <c r="B426" s="16"/>
      <c r="C426" s="16"/>
    </row>
    <row r="427" spans="2:3" ht="16.5" hidden="1" customHeight="1">
      <c r="B427" s="16"/>
      <c r="C427" s="16"/>
    </row>
    <row r="428" spans="2:3" ht="16.5" hidden="1" customHeight="1">
      <c r="B428" s="16"/>
      <c r="C428" s="16"/>
    </row>
    <row r="429" spans="2:3" ht="16.5" hidden="1" customHeight="1">
      <c r="B429" s="16"/>
      <c r="C429" s="16"/>
    </row>
    <row r="430" spans="2:3" ht="16.5" hidden="1" customHeight="1">
      <c r="B430" s="16"/>
      <c r="C430" s="16"/>
    </row>
    <row r="431" spans="2:3" ht="16.5" hidden="1" customHeight="1">
      <c r="B431" s="16"/>
      <c r="C431" s="16"/>
    </row>
    <row r="432" spans="2:3" ht="16.5" hidden="1" customHeight="1">
      <c r="B432" s="16"/>
      <c r="C432" s="16"/>
    </row>
    <row r="433" spans="2:3" ht="16.5" hidden="1" customHeight="1">
      <c r="B433" s="16"/>
      <c r="C433" s="16"/>
    </row>
    <row r="434" spans="2:3" ht="16.5" hidden="1" customHeight="1">
      <c r="B434" s="16"/>
      <c r="C434" s="16"/>
    </row>
    <row r="435" spans="2:3" ht="16.5" hidden="1" customHeight="1">
      <c r="B435" s="16"/>
      <c r="C435" s="16"/>
    </row>
    <row r="436" spans="2:3" ht="16.5" hidden="1" customHeight="1">
      <c r="B436" s="16"/>
      <c r="C436" s="16"/>
    </row>
    <row r="437" spans="2:3" ht="16.5" hidden="1" customHeight="1">
      <c r="B437" s="16"/>
      <c r="C437" s="16"/>
    </row>
    <row r="438" spans="2:3" ht="16.5" hidden="1" customHeight="1">
      <c r="B438" s="16"/>
      <c r="C438" s="16"/>
    </row>
    <row r="439" spans="2:3" ht="16.5" hidden="1" customHeight="1">
      <c r="B439" s="16"/>
      <c r="C439" s="16"/>
    </row>
    <row r="440" spans="2:3" ht="16.5" hidden="1" customHeight="1">
      <c r="B440" s="16"/>
      <c r="C440" s="16"/>
    </row>
    <row r="441" spans="2:3" ht="16.5" hidden="1" customHeight="1">
      <c r="B441" s="16"/>
      <c r="C441" s="16"/>
    </row>
    <row r="442" spans="2:3" ht="16.5" hidden="1" customHeight="1">
      <c r="B442" s="16"/>
      <c r="C442" s="16"/>
    </row>
    <row r="443" spans="2:3" ht="16.5" hidden="1" customHeight="1">
      <c r="B443" s="16"/>
      <c r="C443" s="16"/>
    </row>
    <row r="444" spans="2:3" ht="16.5" hidden="1" customHeight="1">
      <c r="B444" s="16"/>
      <c r="C444" s="16"/>
    </row>
    <row r="445" spans="2:3" ht="16.5" hidden="1" customHeight="1">
      <c r="B445" s="16"/>
      <c r="C445" s="16"/>
    </row>
    <row r="446" spans="2:3" ht="16.5" hidden="1" customHeight="1">
      <c r="B446" s="16"/>
      <c r="C446" s="16"/>
    </row>
    <row r="447" spans="2:3" ht="16.5" hidden="1" customHeight="1">
      <c r="B447" s="16"/>
      <c r="C447" s="16"/>
    </row>
    <row r="448" spans="2:3" ht="16.5" hidden="1" customHeight="1">
      <c r="B448" s="16"/>
      <c r="C448" s="16"/>
    </row>
    <row r="449" spans="2:3" ht="16.5" hidden="1" customHeight="1">
      <c r="B449" s="16"/>
      <c r="C449" s="16"/>
    </row>
    <row r="450" spans="2:3" ht="16.5" hidden="1" customHeight="1">
      <c r="B450" s="16"/>
      <c r="C450" s="16"/>
    </row>
    <row r="451" spans="2:3" ht="16.5" hidden="1" customHeight="1">
      <c r="B451" s="16"/>
      <c r="C451" s="16"/>
    </row>
    <row r="452" spans="2:3" ht="16.5" hidden="1" customHeight="1">
      <c r="B452" s="16"/>
      <c r="C452" s="16"/>
    </row>
    <row r="453" spans="2:3" ht="16.5" hidden="1" customHeight="1">
      <c r="B453" s="16"/>
      <c r="C453" s="16"/>
    </row>
    <row r="454" spans="2:3" ht="16.5" hidden="1" customHeight="1">
      <c r="B454" s="16"/>
      <c r="C454" s="16"/>
    </row>
    <row r="455" spans="2:3" ht="16.5" hidden="1" customHeight="1">
      <c r="B455" s="16"/>
      <c r="C455" s="16"/>
    </row>
    <row r="456" spans="2:3" ht="16.5" hidden="1" customHeight="1">
      <c r="B456" s="16"/>
      <c r="C456" s="16"/>
    </row>
    <row r="457" spans="2:3" ht="16.5" hidden="1" customHeight="1">
      <c r="B457" s="16"/>
      <c r="C457" s="16"/>
    </row>
    <row r="458" spans="2:3" ht="16.5" hidden="1" customHeight="1">
      <c r="B458" s="16"/>
      <c r="C458" s="16"/>
    </row>
    <row r="459" spans="2:3" ht="16.5" hidden="1" customHeight="1">
      <c r="B459" s="16"/>
      <c r="C459" s="16"/>
    </row>
    <row r="460" spans="2:3" ht="16.5" hidden="1" customHeight="1">
      <c r="B460" s="16"/>
      <c r="C460" s="16"/>
    </row>
    <row r="461" spans="2:3" ht="16.5" hidden="1" customHeight="1">
      <c r="B461" s="16"/>
      <c r="C461" s="16"/>
    </row>
    <row r="462" spans="2:3" ht="16.5" hidden="1" customHeight="1">
      <c r="B462" s="16"/>
      <c r="C462" s="16"/>
    </row>
    <row r="463" spans="2:3" ht="16.5" hidden="1" customHeight="1">
      <c r="B463" s="16"/>
      <c r="C463" s="16"/>
    </row>
    <row r="464" spans="2:3" ht="16.5" hidden="1" customHeight="1">
      <c r="B464" s="16"/>
      <c r="C464" s="16"/>
    </row>
    <row r="465" spans="2:3" ht="16.5" hidden="1" customHeight="1">
      <c r="B465" s="16"/>
      <c r="C465" s="16"/>
    </row>
    <row r="466" spans="2:3" ht="16.5" hidden="1" customHeight="1">
      <c r="B466" s="16"/>
      <c r="C466" s="16"/>
    </row>
    <row r="467" spans="2:3" ht="16.5" hidden="1" customHeight="1">
      <c r="B467" s="16"/>
      <c r="C467" s="16"/>
    </row>
    <row r="468" spans="2:3" ht="16.5" hidden="1" customHeight="1">
      <c r="B468" s="16"/>
      <c r="C468" s="16"/>
    </row>
    <row r="469" spans="2:3" ht="16.5" hidden="1" customHeight="1">
      <c r="B469" s="16"/>
      <c r="C469" s="16"/>
    </row>
    <row r="470" spans="2:3" ht="16.5" hidden="1" customHeight="1">
      <c r="B470" s="16"/>
      <c r="C470" s="16"/>
    </row>
    <row r="471" spans="2:3" ht="16.5" hidden="1" customHeight="1">
      <c r="B471" s="16"/>
      <c r="C471" s="16"/>
    </row>
    <row r="472" spans="2:3" ht="16.5" hidden="1" customHeight="1">
      <c r="B472" s="16"/>
      <c r="C472" s="16"/>
    </row>
    <row r="473" spans="2:3" ht="16.5" hidden="1" customHeight="1">
      <c r="B473" s="16"/>
      <c r="C473" s="16"/>
    </row>
    <row r="474" spans="2:3" ht="16.5" hidden="1" customHeight="1">
      <c r="B474" s="16"/>
      <c r="C474" s="16"/>
    </row>
    <row r="475" spans="2:3" ht="16.5" hidden="1" customHeight="1">
      <c r="B475" s="16"/>
      <c r="C475" s="16"/>
    </row>
    <row r="476" spans="2:3" ht="16.5" hidden="1" customHeight="1">
      <c r="B476" s="16"/>
      <c r="C476" s="16"/>
    </row>
    <row r="477" spans="2:3" ht="16.5" hidden="1" customHeight="1">
      <c r="B477" s="16"/>
      <c r="C477" s="16"/>
    </row>
    <row r="478" spans="2:3" ht="16.5" hidden="1" customHeight="1">
      <c r="B478" s="16"/>
      <c r="C478" s="16"/>
    </row>
    <row r="479" spans="2:3" ht="16.5" hidden="1" customHeight="1">
      <c r="B479" s="16"/>
      <c r="C479" s="16"/>
    </row>
    <row r="480" spans="2:3" ht="16.5" hidden="1" customHeight="1">
      <c r="B480" s="16"/>
      <c r="C480" s="16"/>
    </row>
    <row r="481" spans="2:3" ht="16.5" hidden="1" customHeight="1">
      <c r="B481" s="16"/>
      <c r="C481" s="16"/>
    </row>
    <row r="482" spans="2:3" ht="16.5" hidden="1" customHeight="1">
      <c r="B482" s="16"/>
      <c r="C482" s="16"/>
    </row>
    <row r="483" spans="2:3" ht="16.5" hidden="1" customHeight="1">
      <c r="B483" s="16"/>
      <c r="C483" s="16"/>
    </row>
    <row r="484" spans="2:3" ht="16.5" hidden="1" customHeight="1">
      <c r="B484" s="16"/>
      <c r="C484" s="16"/>
    </row>
    <row r="485" spans="2:3" ht="16.5" hidden="1" customHeight="1">
      <c r="B485" s="16"/>
      <c r="C485" s="16"/>
    </row>
    <row r="486" spans="2:3" ht="16.5" hidden="1" customHeight="1">
      <c r="B486" s="16"/>
      <c r="C486" s="16"/>
    </row>
    <row r="487" spans="2:3" ht="16.5" hidden="1" customHeight="1">
      <c r="B487" s="16"/>
      <c r="C487" s="16"/>
    </row>
    <row r="488" spans="2:3" ht="16.5" hidden="1" customHeight="1">
      <c r="B488" s="16"/>
      <c r="C488" s="16"/>
    </row>
    <row r="489" spans="2:3" ht="16.5" hidden="1" customHeight="1">
      <c r="B489" s="16"/>
      <c r="C489" s="16"/>
    </row>
    <row r="490" spans="2:3" ht="16.5" hidden="1" customHeight="1">
      <c r="B490" s="16"/>
      <c r="C490" s="16"/>
    </row>
    <row r="491" spans="2:3" ht="16.5" hidden="1" customHeight="1">
      <c r="B491" s="16"/>
      <c r="C491" s="16"/>
    </row>
    <row r="492" spans="2:3" ht="16.5" hidden="1" customHeight="1">
      <c r="B492" s="16"/>
      <c r="C492" s="16"/>
    </row>
    <row r="493" spans="2:3" ht="16.5" hidden="1" customHeight="1">
      <c r="B493" s="16"/>
      <c r="C493" s="16"/>
    </row>
    <row r="494" spans="2:3" ht="16.5" hidden="1" customHeight="1">
      <c r="B494" s="16"/>
      <c r="C494" s="16"/>
    </row>
    <row r="495" spans="2:3" ht="16.5" hidden="1" customHeight="1">
      <c r="B495" s="16"/>
      <c r="C495" s="16"/>
    </row>
    <row r="496" spans="2:3" ht="16.5" hidden="1" customHeight="1">
      <c r="B496" s="16"/>
      <c r="C496" s="16"/>
    </row>
    <row r="497" spans="2:3" ht="16.5" hidden="1" customHeight="1">
      <c r="B497" s="16"/>
      <c r="C497" s="16"/>
    </row>
    <row r="498" spans="2:3" ht="16.5" hidden="1" customHeight="1">
      <c r="B498" s="16"/>
      <c r="C498" s="16"/>
    </row>
    <row r="499" spans="2:3" ht="16.5" hidden="1" customHeight="1">
      <c r="B499" s="16"/>
      <c r="C499" s="16"/>
    </row>
    <row r="500" spans="2:3" ht="16.5" hidden="1" customHeight="1">
      <c r="B500" s="16"/>
      <c r="C500" s="16"/>
    </row>
    <row r="501" spans="2:3" ht="16.5" hidden="1" customHeight="1">
      <c r="B501" s="16"/>
      <c r="C501" s="16"/>
    </row>
    <row r="502" spans="2:3" ht="16.5" hidden="1" customHeight="1">
      <c r="B502" s="16"/>
      <c r="C502" s="16"/>
    </row>
    <row r="503" spans="2:3" ht="16.5" hidden="1" customHeight="1">
      <c r="B503" s="16"/>
      <c r="C503" s="16"/>
    </row>
    <row r="504" spans="2:3" ht="16.5" hidden="1" customHeight="1">
      <c r="B504" s="16"/>
      <c r="C504" s="16"/>
    </row>
    <row r="505" spans="2:3" ht="16.5" hidden="1" customHeight="1">
      <c r="B505" s="16"/>
      <c r="C505" s="16"/>
    </row>
    <row r="506" spans="2:3" ht="16.5" hidden="1" customHeight="1">
      <c r="B506" s="16"/>
      <c r="C506" s="16"/>
    </row>
    <row r="507" spans="2:3" ht="16.5" hidden="1" customHeight="1">
      <c r="B507" s="16"/>
      <c r="C507" s="16"/>
    </row>
    <row r="508" spans="2:3" ht="16.5" hidden="1" customHeight="1">
      <c r="B508" s="16"/>
      <c r="C508" s="16"/>
    </row>
    <row r="509" spans="2:3" ht="16.5" hidden="1" customHeight="1">
      <c r="B509" s="16"/>
      <c r="C509" s="16"/>
    </row>
    <row r="510" spans="2:3" ht="16.5" hidden="1" customHeight="1">
      <c r="B510" s="16"/>
      <c r="C510" s="16"/>
    </row>
    <row r="511" spans="2:3" ht="16.5" hidden="1" customHeight="1">
      <c r="B511" s="16"/>
      <c r="C511" s="16"/>
    </row>
    <row r="512" spans="2:3" ht="16.5" hidden="1" customHeight="1">
      <c r="B512" s="16"/>
      <c r="C512" s="16"/>
    </row>
    <row r="513" spans="2:3" ht="16.5" hidden="1" customHeight="1">
      <c r="B513" s="16"/>
      <c r="C513" s="16"/>
    </row>
    <row r="514" spans="2:3" ht="16.5" hidden="1" customHeight="1">
      <c r="B514" s="16"/>
      <c r="C514" s="16"/>
    </row>
    <row r="515" spans="2:3" ht="16.5" hidden="1" customHeight="1">
      <c r="B515" s="16"/>
      <c r="C515" s="16"/>
    </row>
    <row r="516" spans="2:3" ht="16.5" hidden="1" customHeight="1">
      <c r="B516" s="16"/>
      <c r="C516" s="16"/>
    </row>
    <row r="517" spans="2:3" ht="16.5" hidden="1" customHeight="1">
      <c r="B517" s="16"/>
      <c r="C517" s="16"/>
    </row>
    <row r="518" spans="2:3" ht="16.5" hidden="1" customHeight="1">
      <c r="B518" s="16"/>
      <c r="C518" s="16"/>
    </row>
    <row r="519" spans="2:3" ht="16.5" hidden="1" customHeight="1">
      <c r="B519" s="16"/>
      <c r="C519" s="16"/>
    </row>
    <row r="520" spans="2:3" ht="16.5" hidden="1" customHeight="1">
      <c r="B520" s="16"/>
      <c r="C520" s="16"/>
    </row>
    <row r="521" spans="2:3" ht="16.5" hidden="1" customHeight="1">
      <c r="B521" s="16"/>
      <c r="C521" s="16"/>
    </row>
    <row r="522" spans="2:3" ht="16.5" hidden="1" customHeight="1">
      <c r="B522" s="16"/>
      <c r="C522" s="16"/>
    </row>
    <row r="523" spans="2:3" ht="16.5" hidden="1" customHeight="1">
      <c r="B523" s="16"/>
      <c r="C523" s="16"/>
    </row>
    <row r="524" spans="2:3" ht="16.5" hidden="1" customHeight="1">
      <c r="B524" s="16"/>
      <c r="C524" s="16"/>
    </row>
    <row r="525" spans="2:3" ht="16.5" hidden="1" customHeight="1">
      <c r="B525" s="16"/>
      <c r="C525" s="16"/>
    </row>
    <row r="526" spans="2:3" ht="16.5" hidden="1" customHeight="1">
      <c r="B526" s="16"/>
      <c r="C526" s="16"/>
    </row>
    <row r="527" spans="2:3" ht="16.5" hidden="1" customHeight="1">
      <c r="B527" s="16"/>
      <c r="C527" s="16"/>
    </row>
    <row r="528" spans="2:3" ht="16.5" hidden="1" customHeight="1">
      <c r="B528" s="16"/>
      <c r="C528" s="16"/>
    </row>
    <row r="529" spans="2:3" ht="16.5" hidden="1" customHeight="1">
      <c r="B529" s="16"/>
      <c r="C529" s="16"/>
    </row>
    <row r="530" spans="2:3" ht="16.5" hidden="1" customHeight="1">
      <c r="B530" s="16"/>
      <c r="C530" s="16"/>
    </row>
    <row r="531" spans="2:3" ht="16.5" hidden="1" customHeight="1">
      <c r="B531" s="16"/>
      <c r="C531" s="16"/>
    </row>
    <row r="532" spans="2:3" ht="16.5" hidden="1" customHeight="1">
      <c r="B532" s="16"/>
      <c r="C532" s="16"/>
    </row>
    <row r="533" spans="2:3" ht="16.5" hidden="1" customHeight="1">
      <c r="B533" s="16"/>
      <c r="C533" s="16"/>
    </row>
    <row r="534" spans="2:3" ht="16.5" hidden="1" customHeight="1">
      <c r="B534" s="16"/>
      <c r="C534" s="16"/>
    </row>
    <row r="535" spans="2:3" ht="16.5" hidden="1" customHeight="1">
      <c r="B535" s="16"/>
      <c r="C535" s="16"/>
    </row>
    <row r="536" spans="2:3" ht="16.5" hidden="1" customHeight="1">
      <c r="B536" s="16"/>
      <c r="C536" s="16"/>
    </row>
    <row r="537" spans="2:3" ht="16.5" hidden="1" customHeight="1">
      <c r="B537" s="16"/>
      <c r="C537" s="16"/>
    </row>
    <row r="538" spans="2:3" ht="16.5" hidden="1" customHeight="1">
      <c r="B538" s="16"/>
      <c r="C538" s="16"/>
    </row>
    <row r="539" spans="2:3" ht="16.5" hidden="1" customHeight="1">
      <c r="B539" s="16"/>
      <c r="C539" s="16"/>
    </row>
    <row r="540" spans="2:3" ht="16.5" hidden="1" customHeight="1">
      <c r="B540" s="16"/>
      <c r="C540" s="16"/>
    </row>
    <row r="541" spans="2:3" ht="16.5" hidden="1" customHeight="1">
      <c r="B541" s="16"/>
      <c r="C541" s="16"/>
    </row>
    <row r="542" spans="2:3" ht="16.5" hidden="1" customHeight="1">
      <c r="B542" s="16"/>
      <c r="C542" s="16"/>
    </row>
    <row r="543" spans="2:3" ht="16.5" hidden="1" customHeight="1">
      <c r="B543" s="16"/>
      <c r="C543" s="16"/>
    </row>
    <row r="544" spans="2:3" ht="16.5" hidden="1" customHeight="1">
      <c r="B544" s="16"/>
      <c r="C544" s="16"/>
    </row>
    <row r="545" spans="2:3" ht="16.5" hidden="1" customHeight="1">
      <c r="B545" s="16"/>
      <c r="C545" s="16"/>
    </row>
    <row r="546" spans="2:3" ht="16.5" hidden="1" customHeight="1">
      <c r="B546" s="16"/>
      <c r="C546" s="16"/>
    </row>
    <row r="547" spans="2:3" ht="16.5" hidden="1" customHeight="1">
      <c r="B547" s="16"/>
      <c r="C547" s="16"/>
    </row>
    <row r="548" spans="2:3" ht="16.5" hidden="1" customHeight="1">
      <c r="B548" s="16"/>
      <c r="C548" s="16"/>
    </row>
    <row r="549" spans="2:3" ht="16.5" hidden="1" customHeight="1">
      <c r="B549" s="16"/>
      <c r="C549" s="16"/>
    </row>
    <row r="550" spans="2:3" ht="16.5" hidden="1" customHeight="1">
      <c r="B550" s="16"/>
      <c r="C550" s="16"/>
    </row>
    <row r="551" spans="2:3" ht="16.5" hidden="1" customHeight="1">
      <c r="B551" s="16"/>
      <c r="C551" s="16"/>
    </row>
    <row r="552" spans="2:3" ht="16.5" hidden="1" customHeight="1">
      <c r="B552" s="16"/>
      <c r="C552" s="16"/>
    </row>
    <row r="553" spans="2:3" ht="16.5" hidden="1" customHeight="1">
      <c r="B553" s="16"/>
      <c r="C553" s="16"/>
    </row>
    <row r="554" spans="2:3" ht="16.5" hidden="1" customHeight="1"/>
    <row r="555" spans="2:3" ht="16.5" hidden="1" customHeight="1"/>
    <row r="556" spans="2:3" ht="16.5" hidden="1" customHeight="1"/>
    <row r="557" spans="2:3" ht="16.5" hidden="1" customHeight="1"/>
    <row r="558" spans="2:3" ht="16.5" hidden="1" customHeight="1"/>
    <row r="559" spans="2:3" ht="16.5" hidden="1" customHeight="1"/>
    <row r="560" spans="2:3" ht="16.5" hidden="1" customHeight="1"/>
    <row r="561" ht="16.5" hidden="1" customHeight="1"/>
    <row r="562" ht="16.5" hidden="1" customHeight="1"/>
    <row r="563" ht="16.5" hidden="1" customHeight="1"/>
    <row r="564" ht="16.5" hidden="1" customHeight="1"/>
  </sheetData>
  <sheetProtection algorithmName="SHA-512" hashValue="wZ6CUStAP6fBZamd/NeOUJD/JHogDcYOZIXNrCXvG/gCkP7Cu4VGwNSTE0jPGf4a+7Ad2URfMZ6ofjvt5azF9g==" saltValue="Z0fyRMfISexj8GDynbRbPg==" spinCount="100000" sheet="1" objects="1" scenarios="1"/>
  <customSheetViews>
    <customSheetView guid="{8BDA793C-C9C5-4FC6-A0A5-F1109F6D4F22}" state="hidden">
      <selection activeCell="D14" sqref="D14"/>
    </customSheetView>
  </customSheetViews>
  <mergeCells count="3">
    <mergeCell ref="F1:J1"/>
    <mergeCell ref="K1:O1"/>
    <mergeCell ref="G10:O10"/>
  </mergeCells>
  <pageMargins left="0.7" right="0.7" top="0.75" bottom="0.75" header="0.3" footer="0.3"/>
  <pageSetup paperSize="9" orientation="portrait" r:id="rId1"/>
  <drawing r:id="rId2"/>
  <legacyDrawing r:id="rId3"/>
  <oleObjects>
    <mc:AlternateContent xmlns:mc="http://schemas.openxmlformats.org/markup-compatibility/2006">
      <mc:Choice Requires="x14">
        <oleObject progId="Acrobat.Document.DC" shapeId="3080" r:id="rId4">
          <objectPr locked="0" defaultSize="0" autoPict="0" r:id="rId5">
            <anchor moveWithCells="1">
              <from>
                <xdr:col>5</xdr:col>
                <xdr:colOff>590550</xdr:colOff>
                <xdr:row>11</xdr:row>
                <xdr:rowOff>171450</xdr:rowOff>
              </from>
              <to>
                <xdr:col>15</xdr:col>
                <xdr:colOff>180975</xdr:colOff>
                <xdr:row>50</xdr:row>
                <xdr:rowOff>152400</xdr:rowOff>
              </to>
            </anchor>
          </objectPr>
        </oleObject>
      </mc:Choice>
      <mc:Fallback>
        <oleObject progId="Acrobat.Document.DC" shapeId="3080" r:id="rId4"/>
      </mc:Fallback>
    </mc:AlternateContent>
  </oleObject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14">
    <tabColor rgb="FF0033CC"/>
  </sheetPr>
  <dimension ref="A1:BG266"/>
  <sheetViews>
    <sheetView showGridLines="0" zoomScale="80" zoomScaleNormal="80" workbookViewId="0">
      <pane ySplit="11" topLeftCell="A12" activePane="bottomLeft" state="frozen"/>
      <selection pane="bottomLeft"/>
    </sheetView>
  </sheetViews>
  <sheetFormatPr defaultColWidth="0" defaultRowHeight="0" customHeight="1" zeroHeight="1"/>
  <cols>
    <col min="1" max="1" width="2.7109375" style="30" customWidth="1"/>
    <col min="2" max="2" width="14.28515625" style="30" customWidth="1"/>
    <col min="3" max="3" width="51.28515625" style="30" customWidth="1"/>
    <col min="4" max="4" width="10.42578125" style="30" customWidth="1"/>
    <col min="5" max="5" width="17.42578125" style="30" customWidth="1"/>
    <col min="6" max="6" width="17.5703125" style="30" customWidth="1"/>
    <col min="7" max="7" width="18.28515625" style="30" customWidth="1"/>
    <col min="8" max="8" width="19.28515625" style="30" customWidth="1"/>
    <col min="9" max="9" width="34.5703125" style="30" customWidth="1"/>
    <col min="10" max="13" width="19.28515625" style="30" customWidth="1"/>
    <col min="14" max="14" width="56.7109375" style="30" customWidth="1"/>
    <col min="15" max="15" width="34.28515625" style="30" customWidth="1"/>
    <col min="16" max="16" width="45.7109375" style="30" customWidth="1"/>
    <col min="17" max="17" width="9.7109375" style="30" customWidth="1"/>
    <col min="18" max="18" width="18.28515625" style="30" customWidth="1"/>
    <col min="19" max="19" width="13.28515625" style="30" customWidth="1"/>
    <col min="20" max="20" width="12.5703125" style="30" bestFit="1" customWidth="1"/>
    <col min="21" max="21" width="12.5703125" style="30" customWidth="1"/>
    <col min="22" max="22" width="33.7109375" style="30" customWidth="1"/>
    <col min="23" max="23" width="15.42578125" style="30" customWidth="1"/>
    <col min="24" max="24" width="12.28515625" style="30" customWidth="1"/>
    <col min="25" max="25" width="18.42578125" style="30" customWidth="1"/>
    <col min="26" max="26" width="20.42578125" style="30" customWidth="1"/>
    <col min="27" max="27" width="23.28515625" style="30" customWidth="1"/>
    <col min="28" max="28" width="26.7109375" style="30" customWidth="1"/>
    <col min="29" max="29" width="18.42578125" style="30" customWidth="1"/>
    <col min="30" max="30" width="15.28515625" style="30" customWidth="1"/>
    <col min="31" max="31" width="17.7109375" style="30" customWidth="1"/>
    <col min="32" max="32" width="27.28515625" style="30" customWidth="1"/>
    <col min="33" max="33" width="17.42578125" style="30" customWidth="1"/>
    <col min="34" max="34" width="12.7109375" style="30" customWidth="1"/>
    <col min="35" max="35" width="16.7109375" style="30" customWidth="1"/>
    <col min="36" max="36" width="12.7109375" style="30" customWidth="1"/>
    <col min="37" max="37" width="19.5703125" style="30" customWidth="1"/>
    <col min="38" max="38" width="12.7109375" style="30" customWidth="1"/>
    <col min="39" max="39" width="41.42578125" style="30" customWidth="1"/>
    <col min="40" max="40" width="12.7109375" style="30" customWidth="1"/>
    <col min="41" max="41" width="11" style="30" hidden="1" customWidth="1"/>
    <col min="42" max="42" width="15.28515625" style="30" customWidth="1"/>
    <col min="43" max="43" width="42.28515625" style="30" customWidth="1"/>
    <col min="44" max="44" width="42.42578125" style="30" customWidth="1"/>
    <col min="45" max="46" width="13.42578125" style="30" customWidth="1"/>
    <col min="47" max="50" width="8.7109375" style="30" customWidth="1"/>
    <col min="51" max="51" width="8.7109375" style="30" hidden="1" customWidth="1"/>
    <col min="52" max="59" width="0" style="30" hidden="1" customWidth="1"/>
    <col min="60" max="16384" width="8.7109375" style="30" hidden="1"/>
  </cols>
  <sheetData>
    <row r="1" spans="2:51" ht="20.65" customHeight="1" thickBot="1"/>
    <row r="2" spans="2:51" ht="27" customHeight="1" thickBot="1">
      <c r="B2" s="1600" t="str">
        <f>CONCATENATE("Project Name:", " ", Start!F12, "     ", "Map Reference:", " ", Start!K66)</f>
        <v xml:space="preserve">Project Name: Grove Farm Solar     Map Reference: </v>
      </c>
      <c r="C2" s="1601"/>
      <c r="R2" s="102"/>
      <c r="Y2" s="1463" t="str">
        <f>IF(OR(COUNTIF($Y$12:Y259,"*30+*")&gt;0,COUNTIF($AC$12:AC259,"*30+*")&gt;0),"Note; Habitat selected has a time to target condition greater than 30 years. Non standard agreement may be required. ⚠","")</f>
        <v/>
      </c>
      <c r="Z2" s="1463"/>
      <c r="AA2" s="1463"/>
      <c r="AB2" s="1463"/>
      <c r="AC2" s="1463"/>
      <c r="AD2" s="1463"/>
    </row>
    <row r="3" spans="2:51" ht="21" customHeight="1" thickBot="1">
      <c r="B3" s="1621" t="str">
        <f ca="1">MID(CELL("filename",A1),FIND("]",CELL("filename",A1))+1,256)</f>
        <v>F-3 Off-Site WaterC Enhancement</v>
      </c>
      <c r="C3" s="1622"/>
      <c r="O3" s="1404" t="s">
        <v>404</v>
      </c>
      <c r="P3" s="1406"/>
      <c r="R3" s="1613" t="str" cm="1">
        <f t="array" ref="R3">IF(OR(T12:T257 = "Fairly Good", T12:T257 = "Fairly Poor"),"A 'Fairly' Category has been used - check evidence to ensure this is appropriate ⚠", "")</f>
        <v/>
      </c>
      <c r="S3" s="1613"/>
      <c r="T3" s="1613"/>
      <c r="U3" s="1613"/>
      <c r="V3" s="1613"/>
      <c r="W3" s="1613"/>
      <c r="X3" s="1613"/>
      <c r="Y3" s="1463"/>
      <c r="Z3" s="1463"/>
      <c r="AA3" s="1463"/>
      <c r="AB3" s="1463"/>
      <c r="AC3" s="1463"/>
      <c r="AD3" s="1463"/>
    </row>
    <row r="4" spans="2:51" ht="21" customHeight="1" thickBot="1">
      <c r="B4" s="1623"/>
      <c r="C4" s="1624"/>
      <c r="O4" s="535" t="s">
        <v>263</v>
      </c>
      <c r="P4" s="512">
        <f>'Headline Results'!H49</f>
        <v>0</v>
      </c>
      <c r="R4" s="1613"/>
      <c r="S4" s="1613"/>
      <c r="T4" s="1613"/>
      <c r="U4" s="1613"/>
      <c r="V4" s="1613"/>
      <c r="W4" s="1613"/>
      <c r="X4" s="1613"/>
      <c r="Y4" s="1463"/>
      <c r="Z4" s="1463"/>
      <c r="AA4" s="1463"/>
      <c r="AB4" s="1463"/>
      <c r="AC4" s="1463"/>
      <c r="AD4" s="1463"/>
    </row>
    <row r="5" spans="2:51" ht="15.6" customHeight="1">
      <c r="O5" s="506" t="s">
        <v>265</v>
      </c>
      <c r="P5" s="513">
        <f>'Headline Results'!H53</f>
        <v>0</v>
      </c>
      <c r="Q5" s="30" t="s">
        <v>431</v>
      </c>
      <c r="R5" s="1613"/>
      <c r="S5" s="1613"/>
      <c r="T5" s="1613"/>
      <c r="U5" s="1613"/>
      <c r="V5" s="1613"/>
      <c r="W5" s="1613"/>
      <c r="X5" s="1613"/>
      <c r="AH5" s="158"/>
      <c r="AI5" s="158"/>
      <c r="AJ5" s="158"/>
      <c r="AK5" s="158"/>
      <c r="AL5" s="158"/>
      <c r="AM5" s="158"/>
      <c r="AN5" s="158"/>
    </row>
    <row r="6" spans="2:51" ht="15" customHeight="1" thickBot="1">
      <c r="O6" s="536" t="s">
        <v>267</v>
      </c>
      <c r="P6" s="504" t="str" cm="1">
        <f t="array" ref="P6">IF(OR('Trading Summary WaterC''s'!G5:H8="No ▲"), "No - check trading summary ▲", "Yes ✓")</f>
        <v>Yes ✓</v>
      </c>
      <c r="Q6" s="509"/>
      <c r="R6" s="509"/>
      <c r="S6" s="509"/>
      <c r="T6" s="509"/>
    </row>
    <row r="7" spans="2:51" ht="15">
      <c r="C7" s="101"/>
    </row>
    <row r="8" spans="2:51" ht="15.75" thickBot="1"/>
    <row r="9" spans="2:51" ht="15.75" thickBot="1">
      <c r="C9" s="101"/>
      <c r="D9" s="101"/>
      <c r="E9" s="101"/>
      <c r="F9" s="101"/>
      <c r="G9" s="101"/>
      <c r="H9" s="101"/>
      <c r="I9" s="101"/>
      <c r="J9" s="101"/>
      <c r="K9" s="101"/>
      <c r="L9" s="101"/>
      <c r="M9" s="101"/>
      <c r="N9" s="1542" t="s">
        <v>311</v>
      </c>
      <c r="O9" s="1543"/>
      <c r="P9" s="1543"/>
      <c r="Q9" s="1543"/>
      <c r="R9" s="1543"/>
      <c r="S9" s="1543"/>
      <c r="T9" s="1543"/>
      <c r="U9" s="1543"/>
      <c r="V9" s="1543"/>
      <c r="W9" s="1543"/>
      <c r="X9" s="1543"/>
      <c r="Y9" s="1543"/>
      <c r="Z9" s="1543"/>
      <c r="AA9" s="1543"/>
      <c r="AB9" s="1543"/>
      <c r="AC9" s="1543"/>
      <c r="AD9" s="1543"/>
      <c r="AE9" s="1543"/>
      <c r="AF9" s="1543"/>
      <c r="AG9" s="1543"/>
      <c r="AH9" s="1543"/>
      <c r="AI9" s="1543"/>
      <c r="AJ9" s="1543"/>
      <c r="AK9" s="1543"/>
      <c r="AL9" s="1543"/>
      <c r="AM9" s="1543"/>
      <c r="AN9" s="1544"/>
      <c r="AO9" s="332"/>
    </row>
    <row r="10" spans="2:51" s="33" customFormat="1" ht="27" customHeight="1" thickBot="1">
      <c r="C10" s="1532" t="s">
        <v>332</v>
      </c>
      <c r="D10" s="1602"/>
      <c r="E10" s="1602"/>
      <c r="F10" s="1602"/>
      <c r="G10" s="1602"/>
      <c r="H10" s="1602"/>
      <c r="I10" s="1602"/>
      <c r="J10" s="1602"/>
      <c r="K10" s="1602"/>
      <c r="L10" s="1602"/>
      <c r="M10" s="1602"/>
      <c r="N10" s="1618" t="s">
        <v>432</v>
      </c>
      <c r="O10" s="1625" t="s">
        <v>334</v>
      </c>
      <c r="P10" s="1626"/>
      <c r="Q10" s="1552" t="s">
        <v>34</v>
      </c>
      <c r="R10" s="1552" t="s">
        <v>421</v>
      </c>
      <c r="S10" s="1552"/>
      <c r="T10" s="1552" t="s">
        <v>422</v>
      </c>
      <c r="U10" s="1552"/>
      <c r="V10" s="1573" t="s">
        <v>271</v>
      </c>
      <c r="W10" s="1574"/>
      <c r="X10" s="1575"/>
      <c r="Y10" s="1573" t="s">
        <v>314</v>
      </c>
      <c r="Z10" s="1574"/>
      <c r="AA10" s="1574"/>
      <c r="AB10" s="1574"/>
      <c r="AC10" s="1574"/>
      <c r="AD10" s="1575"/>
      <c r="AE10" s="1573" t="s">
        <v>315</v>
      </c>
      <c r="AF10" s="1574"/>
      <c r="AG10" s="1574"/>
      <c r="AH10" s="1575"/>
      <c r="AI10" s="1552" t="s">
        <v>406</v>
      </c>
      <c r="AJ10" s="1552"/>
      <c r="AK10" s="1573" t="s">
        <v>407</v>
      </c>
      <c r="AL10" s="1575"/>
      <c r="AM10" s="1552" t="s">
        <v>358</v>
      </c>
      <c r="AN10" s="1573"/>
      <c r="AO10" s="1566" t="s">
        <v>433</v>
      </c>
      <c r="AP10" s="1566" t="s">
        <v>418</v>
      </c>
      <c r="AQ10" s="1315" t="s">
        <v>276</v>
      </c>
      <c r="AR10" s="1313"/>
    </row>
    <row r="11" spans="2:51" ht="60" customHeight="1" thickBot="1">
      <c r="B11" s="719" t="s">
        <v>339</v>
      </c>
      <c r="C11" s="140" t="s">
        <v>340</v>
      </c>
      <c r="D11" s="145" t="s">
        <v>34</v>
      </c>
      <c r="E11" s="145" t="s">
        <v>342</v>
      </c>
      <c r="F11" s="145" t="s">
        <v>343</v>
      </c>
      <c r="G11" s="145" t="s">
        <v>344</v>
      </c>
      <c r="H11" s="145" t="s">
        <v>345</v>
      </c>
      <c r="I11" s="145" t="s">
        <v>346</v>
      </c>
      <c r="J11" s="145" t="s">
        <v>271</v>
      </c>
      <c r="K11" s="145" t="s">
        <v>347</v>
      </c>
      <c r="L11" s="145" t="s">
        <v>272</v>
      </c>
      <c r="M11" s="144" t="s">
        <v>424</v>
      </c>
      <c r="N11" s="1619"/>
      <c r="O11" s="132" t="s">
        <v>395</v>
      </c>
      <c r="P11" s="861" t="s">
        <v>396</v>
      </c>
      <c r="Q11" s="1620"/>
      <c r="R11" s="132" t="s">
        <v>269</v>
      </c>
      <c r="S11" s="752" t="s">
        <v>286</v>
      </c>
      <c r="T11" s="132" t="s">
        <v>270</v>
      </c>
      <c r="U11" s="752" t="s">
        <v>286</v>
      </c>
      <c r="V11" s="132" t="s">
        <v>271</v>
      </c>
      <c r="W11" s="811" t="s">
        <v>271</v>
      </c>
      <c r="X11" s="752" t="s">
        <v>317</v>
      </c>
      <c r="Y11" s="132" t="s">
        <v>392</v>
      </c>
      <c r="Z11" s="811" t="s">
        <v>377</v>
      </c>
      <c r="AA11" s="811" t="s">
        <v>354</v>
      </c>
      <c r="AB11" s="811" t="s">
        <v>321</v>
      </c>
      <c r="AC11" s="811" t="s">
        <v>322</v>
      </c>
      <c r="AD11" s="752" t="s">
        <v>397</v>
      </c>
      <c r="AE11" s="132" t="s">
        <v>398</v>
      </c>
      <c r="AF11" s="811" t="s">
        <v>1679</v>
      </c>
      <c r="AG11" s="811" t="s">
        <v>356</v>
      </c>
      <c r="AH11" s="752" t="s">
        <v>327</v>
      </c>
      <c r="AI11" s="132" t="s">
        <v>409</v>
      </c>
      <c r="AJ11" s="752" t="s">
        <v>410</v>
      </c>
      <c r="AK11" s="132" t="s">
        <v>411</v>
      </c>
      <c r="AL11" s="752" t="s">
        <v>410</v>
      </c>
      <c r="AM11" s="132" t="s">
        <v>361</v>
      </c>
      <c r="AN11" s="887" t="s">
        <v>410</v>
      </c>
      <c r="AO11" s="1567"/>
      <c r="AP11" s="1567"/>
      <c r="AQ11" s="126" t="s">
        <v>295</v>
      </c>
      <c r="AR11" s="861" t="s">
        <v>296</v>
      </c>
      <c r="AS11" s="43" t="s">
        <v>297</v>
      </c>
      <c r="AT11" s="43" t="s">
        <v>363</v>
      </c>
      <c r="AY11" s="210" t="s">
        <v>280</v>
      </c>
    </row>
    <row r="12" spans="2:51" ht="15">
      <c r="B12" s="863" t="str">
        <f>'F-1 Off-Site WaterC'' Baseline'!AR10</f>
        <v/>
      </c>
      <c r="C12" s="370" t="str">
        <f>IF(B12="","",VLOOKUP($B12,'F-1 Off-Site WaterC'' Baseline'!$C$9:$R$257,2,FALSE))</f>
        <v/>
      </c>
      <c r="D12" s="370" t="str">
        <f>IF(C12="","",VLOOKUP($B12,'F-1 Off-Site WaterC'' Baseline'!$C$9:$R$257,3,FALSE))</f>
        <v/>
      </c>
      <c r="E12" s="370" t="str">
        <f>IF(D12="","",VLOOKUP($B12,'F-1 Off-Site WaterC'' Baseline'!$C$9:$R$257,4,FALSE))</f>
        <v/>
      </c>
      <c r="F12" s="370" t="str">
        <f>IF(E12="","",VLOOKUP($B12,'F-1 Off-Site WaterC'' Baseline'!$C$9:$R$257,5,FALSE))</f>
        <v/>
      </c>
      <c r="G12" s="370" t="str">
        <f>IF(F12="","",VLOOKUP($B12,'F-1 Off-Site WaterC'' Baseline'!$C$9:$R$257,6,FALSE))</f>
        <v/>
      </c>
      <c r="H12" s="370" t="str">
        <f>IF(G12="","",VLOOKUP($B12,'F-1 Off-Site WaterC'' Baseline'!$C$9:$R$257,7,FALSE))</f>
        <v/>
      </c>
      <c r="I12" s="370" t="str">
        <f>IF(H12="","",VLOOKUP($B12,'F-1 Off-Site WaterC'' Baseline'!$C$9:$R$257,8,FALSE))</f>
        <v/>
      </c>
      <c r="J12" s="370" t="str">
        <f>IF(I12="","",VLOOKUP($B12,'F-1 Off-Site WaterC'' Baseline'!$C$9:$R$257,9,FALSE))</f>
        <v/>
      </c>
      <c r="K12" s="370" t="str">
        <f>IF(J12="","",VLOOKUP($B12,'F-1 Off-Site WaterC'' Baseline'!$C$9:$R$257,10,FALSE))</f>
        <v/>
      </c>
      <c r="L12" s="370" t="str">
        <f>IF(B12="","",VLOOKUP($B12,'F-1 Off-Site WaterC'' Baseline'!$C$9:$R$257,15,FALSE))</f>
        <v/>
      </c>
      <c r="M12" s="363" t="str">
        <f>IF(L12="","",VLOOKUP($B12,'F-1 Off-Site WaterC'' Baseline'!$C$9:$R$257,16,FALSE))</f>
        <v/>
      </c>
      <c r="N12" s="316" t="str">
        <f t="shared" ref="N12:N76" si="0">C12</f>
        <v/>
      </c>
      <c r="O12" s="362" t="str">
        <f>IF(B12="","",IF(S12&lt;F12,"Error Trading Down ▲",E12&amp;" - "&amp;R12))</f>
        <v/>
      </c>
      <c r="P12" s="363" t="str">
        <f>IF(C12="","",IF(AND(LEFT(C12,55)&lt;&gt;LEFT(N12,55),O12="High - High"),"Error - Not like for like ▲",IF(H12&gt;U12,"Error - Can not reduce condition ▲",IF(AND(F12=S12,H12=U12,AJ12='F-1 Off-Site WaterC'' Baseline'!N10,'F-1 Off-Site WaterC'' Baseline'!P10=AL12),"Error - No enhancement ▲",IF(AND(C12&lt;&gt;N12,F12&lt;S12),"Lower Distinctiveness Habitat"&amp;" - "&amp;T12,G12&amp;" - "&amp;T12)))))</f>
        <v/>
      </c>
      <c r="Q12" s="368" t="str">
        <f>IF(N12="","",VLOOKUP(B12,'F-1 Off-Site WaterC'' Baseline'!$C$10:$AE$257,22,FALSE))</f>
        <v/>
      </c>
      <c r="R12" s="362" t="str">
        <f>IF(N12="","",VLOOKUP(N12,'G-7 WaterC'' Data'!$B$2:$G$8,2,FALSE))</f>
        <v/>
      </c>
      <c r="S12" s="363" t="str">
        <f>IFERROR(VLOOKUP(R12,'G-7 WaterC'' Data'!$C$4:$D$8,2,FALSE),"")</f>
        <v/>
      </c>
      <c r="T12" s="114"/>
      <c r="U12" s="363" t="str">
        <f>IFERROR(INDEX('G-7 WaterC'' Data'!$H$4:$L$8,MATCH(N12,'G-7 WaterC'' Data'!$B$4:$B$8,0),MATCH(T12,'G-7 WaterC'' Data'!$H$3:$L$3,0)),"")</f>
        <v/>
      </c>
      <c r="V12" s="114"/>
      <c r="W12" s="370" t="str">
        <f>IF(V12="","",IF(VLOOKUP(V12,'G-7 WaterC'' Data'!$AK$4:$AM$6,2,FALSE)=0,"Spatial Data Missing ⚠",VLOOKUP(V12,'G-7 WaterC'' Data'!$AK$4:$AM$6,2,FALSE)))</f>
        <v/>
      </c>
      <c r="X12" s="363" t="str">
        <f>IF(V12="","",IF(VLOOKUP(V12,'G-7 WaterC'' Data'!$AK$4:$AM$6,3,FALSE)=0,"Spatial Data Missing ⚠",VLOOKUP(V12,'G-7 WaterC'' Data'!$AK$4:$AM$6,3,FALSE)))</f>
        <v/>
      </c>
      <c r="Y12" s="362" t="str">
        <f>IFERROR(IF(OR(LEFT(P12,5)="Error",LEFT(O12,5)="Error"),"Check Data ⚠",IF(F12&lt;S12,'G-7 WaterC'' Data'!$R$3,INDEX('G-7 WaterC'' Data'!$U$5:$Y$9,MATCH(G12,'G-7 WaterC'' Data'!$T$5:$T$9,0),MATCH(T12,'G-7 WaterC'' Data'!$U$4:$Y$4,0)))),"")</f>
        <v/>
      </c>
      <c r="Z12" s="159"/>
      <c r="AA12" s="159"/>
      <c r="AB12" s="466" t="str">
        <f>IF(Y12="","",IF(Y12="Check Data ⚠","Check Data ⚠",IF(AND(Z12&gt;0,AA12&gt;0),"Error -both advance and delayed habitat creation ▲",IF(AND(OR(Z12="Habitat already in target condition",Y12&lt;=Z12),AA12=0),"Check details - Is there evidence that habitat has reached target condition? ⚠",IF(Z12&gt;0,"Check details - Is there evidence habitat creation started/in place? ⚠",IF(AA12&gt;0,"Check details- Delay in starting habitat in required condition? ⚠","Standard time to target condition applied"))))))</f>
        <v/>
      </c>
      <c r="AC12" s="383" t="str">
        <f>IF(AB12="Error -both advance and delayed habitat creation ▲","Check Data ⚠",IF(AB12="Check Data ⚠","Check Data ⚠",IF(Y12="","",IF(Z12="30+",0,IF(AA12="30+","30+",IF(Y12+AA12&gt;30,"30+",IF(Y12+AA12-Z12&gt;0,Y12+AA12-Z12,IF(Y12-Z12&lt;0,0,Y12+AA12-Z12))))))))</f>
        <v/>
      </c>
      <c r="AD12" s="422" t="str">
        <f>IFERROR(IF(AC12="Check Data ⚠","Check Data ⚠",VLOOKUP(AC12,'G-4 Temporal multipliers'!$A$4:$C$37,3,FALSE)),"")</f>
        <v/>
      </c>
      <c r="AE12" s="362" t="str">
        <f>IF(N12="","",VLOOKUP(N12,'G-7 WaterC'' Data'!$B$4:$G$8,5,FALSE))</f>
        <v/>
      </c>
      <c r="AF12" s="370" t="str">
        <f t="shared" ref="AF12:AF75" si="1">IF(N12="","",IF(AC12="Check Data ⚠","Check Data ⚠",IF(T12="","",IF($AB12="Check details - Is there evidence that habitat has reached target condition? ⚠","Low Difficulty - only applicable if all habitat created before losses ⚠","Standard difficulty applied"))))</f>
        <v/>
      </c>
      <c r="AG12" s="370" t="str">
        <f>(IF(AND(AF12="Standard difficulty applied",Y12&gt;Z12),AE12,IF(AND(AF12="Low Difficulty - only applicable if all habitat created before losses ⚠",Z12&gt;=Y12),"Low",AE12)))</f>
        <v/>
      </c>
      <c r="AH12" s="363" t="str">
        <f t="shared" ref="AH12:AH75" si="2">IF(N12="","",VLOOKUP(AE12,Difficulty,2,FALSE))</f>
        <v/>
      </c>
      <c r="AI12" s="114"/>
      <c r="AJ12" s="363" t="str">
        <f>IF(AI12="","",IF(VLOOKUP(AI12,'G-7 WaterC'' Data'!$AA$4:$AB$7,2,FALSE)=0,"Spatial Data Missing ⚠",VLOOKUP(AI12,'G-7 WaterC'' Data'!$AA$4:$AB$7,2,FALSE)))</f>
        <v/>
      </c>
      <c r="AK12" s="123"/>
      <c r="AL12" s="886" t="str">
        <f>IF(AK12="","",IF(VLOOKUP(AK12,'G-7 WaterC'' Data'!$AD$4:$AE$14,2,FALSE)=0,"Spatial Data Missing ⚠",VLOOKUP(AK12,'G-7 WaterC'' Data'!$AD$4:$AE$14,2,FALSE)))</f>
        <v/>
      </c>
      <c r="AM12" s="114"/>
      <c r="AN12" s="363" t="str">
        <f>IF(AM12="","",IF(VLOOKUP(AM12,'G-7 WaterC'' Data'!$AO$4:$BO$7,2,FALSE)=0,"Spatial Data Missing ⚠",VLOOKUP(AM12,'G-7 WaterC'' Data'!$AO$4:$BO$7,2,FALSE)))</f>
        <v/>
      </c>
      <c r="AO12" s="405" t="str">
        <f>IFERROR(IF(C12="","",IF(Q12&gt;D12,((((Q12*S12*U12)-(D12*F12*H12))*(AH12*AD12))+(D12*F12*H12))*(AL12*X12*AJ12*AN12),((((Q12*S12*U12)-(Q12*F12*H12))*(AH12*AD12))+(Q12*F12*H12))*(AL12*X12*AJ12*AN12))),"")</f>
        <v/>
      </c>
      <c r="AP12" s="405" t="str">
        <f>IFERROR(IF(C12="","",IF(AM12="","", IF(Q12&gt;D12,((((Q12*S12*U12)-(D12*F12*H12))*(AH12*AD12))+(D12*F12*H12))*(AL12*X12*AJ12),((((Q12*S12*U12)-(Q12*F12*H12))*(AH12*AD12))+(Q12*F12*H12))*(AL12*X12*AJ12)))),"")</f>
        <v/>
      </c>
      <c r="AQ12" s="117"/>
      <c r="AR12" s="118"/>
      <c r="AS12" s="118"/>
      <c r="AT12" s="118"/>
      <c r="AY12" s="30" t="str">
        <f>IFERROR(INDEX('G-7 WaterC'' Data'!$AZ$3:$AZ$7,MATCH(N12,'G-7 WaterC'' Data'!$AY$3:$AY$7,0)),"")</f>
        <v/>
      </c>
    </row>
    <row r="13" spans="2:51" ht="15">
      <c r="B13" s="392" t="str">
        <f>'F-1 Off-Site WaterC'' Baseline'!AR11</f>
        <v/>
      </c>
      <c r="C13" s="382" t="str">
        <f>IF(B13="","",VLOOKUP($B13,'F-1 Off-Site WaterC'' Baseline'!$C$9:$R$257,2,FALSE))</f>
        <v/>
      </c>
      <c r="D13" s="382" t="str">
        <f>IF(C13="","",VLOOKUP($B13,'F-1 Off-Site WaterC'' Baseline'!$C$9:$R$257,3,FALSE))</f>
        <v/>
      </c>
      <c r="E13" s="382" t="str">
        <f>IF(D13="","",VLOOKUP($B13,'F-1 Off-Site WaterC'' Baseline'!$C$9:$R$257,4,FALSE))</f>
        <v/>
      </c>
      <c r="F13" s="382" t="str">
        <f>IF(E13="","",VLOOKUP($B13,'F-1 Off-Site WaterC'' Baseline'!$C$9:$R$257,5,FALSE))</f>
        <v/>
      </c>
      <c r="G13" s="382" t="str">
        <f>IF(F13="","",VLOOKUP($B13,'F-1 Off-Site WaterC'' Baseline'!$C$9:$R$257,6,FALSE))</f>
        <v/>
      </c>
      <c r="H13" s="382" t="str">
        <f>IF(G13="","",VLOOKUP($B13,'F-1 Off-Site WaterC'' Baseline'!$C$9:$R$257,7,FALSE))</f>
        <v/>
      </c>
      <c r="I13" s="382" t="str">
        <f>IF(H13="","",VLOOKUP($B13,'F-1 Off-Site WaterC'' Baseline'!$C$9:$R$257,8,FALSE))</f>
        <v/>
      </c>
      <c r="J13" s="382" t="str">
        <f>IF(I13="","",VLOOKUP($B13,'F-1 Off-Site WaterC'' Baseline'!$C$9:$R$257,9,FALSE))</f>
        <v/>
      </c>
      <c r="K13" s="382" t="str">
        <f>IF(J13="","",VLOOKUP($B13,'F-1 Off-Site WaterC'' Baseline'!$C$9:$R$257,10,FALSE))</f>
        <v/>
      </c>
      <c r="L13" s="382" t="str">
        <f>IF(B13="","",VLOOKUP($B13,'F-1 Off-Site WaterC'' Baseline'!$C$9:$R$257,15,FALSE))</f>
        <v/>
      </c>
      <c r="M13" s="386" t="str">
        <f>IF(L13="","",VLOOKUP($B13,'F-1 Off-Site WaterC'' Baseline'!$C$9:$R$257,16,FALSE))</f>
        <v/>
      </c>
      <c r="N13" s="316" t="str">
        <f t="shared" si="0"/>
        <v/>
      </c>
      <c r="O13" s="362" t="str">
        <f t="shared" ref="O13:O76" si="3">IF(B13="","",IF(S13&lt;F13,"Error Trading Down ▲",E13&amp;" - "&amp;R13))</f>
        <v/>
      </c>
      <c r="P13" s="363" t="str">
        <f>IF(C13="","",IF(AND(LEFT(C13,55)&lt;&gt;LEFT(N13,55),O13="High - High"),"Error - Not like for like ▲",IF(H13&gt;U13,"Error - Can not reduce condition ▲",IF(AND(F13=S13,H13=U13,AJ13='F-1 Off-Site WaterC'' Baseline'!N11,'F-1 Off-Site WaterC'' Baseline'!P11=AL13),"Error - No enhancement ▲",IF(AND(C13&lt;&gt;N13,F13&lt;S13),"Lower Distinctiveness Habitat"&amp;" - "&amp;T13,G13&amp;" - "&amp;T13)))))</f>
        <v/>
      </c>
      <c r="Q13" s="368" t="str">
        <f>IF(N13="","",VLOOKUP(B13,'F-1 Off-Site WaterC'' Baseline'!$C$10:$AE$257,22,FALSE))</f>
        <v/>
      </c>
      <c r="R13" s="362" t="str">
        <f>IF(N13="","",VLOOKUP(N13,'G-7 WaterC'' Data'!$B$2:$G$8,2,FALSE))</f>
        <v/>
      </c>
      <c r="S13" s="363" t="str">
        <f>IFERROR(VLOOKUP(R13,'G-7 WaterC'' Data'!$C$4:$D$8,2,FALSE),"")</f>
        <v/>
      </c>
      <c r="T13" s="114"/>
      <c r="U13" s="363" t="str">
        <f>IFERROR(INDEX('G-7 WaterC'' Data'!$H$4:$L$8,MATCH(N13,'G-7 WaterC'' Data'!$B$4:$B$8,0),MATCH(T13,'G-7 WaterC'' Data'!$H$3:$L$3,0)),"")</f>
        <v/>
      </c>
      <c r="V13" s="122"/>
      <c r="W13" s="382" t="str">
        <f>IF(V13="","",IF(VLOOKUP(V13,'G-7 WaterC'' Data'!$AK$4:$AM$6,2,FALSE)=0,"Spatial Data Missing ⚠",VLOOKUP(V13,'G-7 WaterC'' Data'!$AK$4:$AM$6,2,FALSE)))</f>
        <v/>
      </c>
      <c r="X13" s="386" t="str">
        <f>IF(V13="","",IF(VLOOKUP(V13,'G-7 WaterC'' Data'!$AK$4:$AM$6,3,FALSE)=0,"Spatial Data Missing ⚠",VLOOKUP(V13,'G-7 WaterC'' Data'!$AK$4:$AM$6,3,FALSE)))</f>
        <v/>
      </c>
      <c r="Y13" s="398" t="str">
        <f>IFERROR(IF(OR(LEFT(P13,5)="Error",LEFT(O13,5)="Error"),"Check Data ⚠",IF(F13&lt;S13,'G-7 WaterC'' Data'!$R$3,INDEX('G-7 WaterC'' Data'!$U$5:$Y$9,MATCH(G13,'G-7 WaterC'' Data'!$T$5:$T$9,0),MATCH(T13,'G-7 WaterC'' Data'!$U$4:$Y$4,0)))),"")</f>
        <v/>
      </c>
      <c r="Z13" s="165"/>
      <c r="AA13" s="165"/>
      <c r="AB13" s="395" t="str">
        <f t="shared" ref="AB13:AB75" si="4">IF(Y13="","",IF(Y13="Check Data ⚠","Check Data ⚠",IF(AND(Z13&gt;0,AA13&gt;0),"Error -both advance and delayed habitat creation ▲",IF(AND(OR(Z13="Habitat already in target condition",Y13&lt;=Z13),AA13=0),"Check details - Is there evidence that habitat has reached target condition? ⚠",IF(Z13&gt;0,"Check details - Is there evidence habitat creation started/in place? ⚠",IF(AA13&gt;0,"Check details- Delay in starting habitat in required condition? ⚠","Standard time to target condition applied"))))))</f>
        <v/>
      </c>
      <c r="AC13" s="383" t="str">
        <f t="shared" ref="AC13:AC76" si="5">IF(AB13="Error -both advance and delayed habitat creation ▲","Check Data ⚠",IF(AB13="Check Data ⚠","Check Data ⚠",IF(Y13="","",IF(Z13="30+",0,IF(AA13="30+","30+",IF(Y13+AA13&gt;30,"30+",IF(Y13+AA13-Z13&gt;0,Y13+AA13-Z13,IF(Y13-Z13&lt;0,0,Y13+AA13-Z13))))))))</f>
        <v/>
      </c>
      <c r="AD13" s="422" t="str">
        <f>IFERROR(IF(AC13="Check Data ⚠","Check Data ⚠",VLOOKUP(AC13,'G-4 Temporal multipliers'!$A$4:$C$37,3,FALSE)),"")</f>
        <v/>
      </c>
      <c r="AE13" s="398" t="str">
        <f>IF(N13="","",VLOOKUP(N13,'G-7 WaterC'' Data'!$B$4:$G$8,5,FALSE))</f>
        <v/>
      </c>
      <c r="AF13" s="382" t="str">
        <f t="shared" si="1"/>
        <v/>
      </c>
      <c r="AG13" s="382" t="str">
        <f t="shared" ref="AG13:AG76" si="6">(IF(AND(AF13="Standard difficulty applied",Y13&gt;Z13),AE13,IF(AND(AF13="Low Difficulty - only applicable if all habitat created before losses ⚠",Z13&gt;=Y13),"Low",AE13)))</f>
        <v/>
      </c>
      <c r="AH13" s="386" t="str">
        <f t="shared" si="2"/>
        <v/>
      </c>
      <c r="AI13" s="122"/>
      <c r="AJ13" s="363" t="str">
        <f>IF(AI13="","",IF(VLOOKUP(AI13,'G-7 WaterC'' Data'!$AA$4:$AB$7,2,FALSE)=0,"Spatial Data Missing ⚠",VLOOKUP(AI13,'G-7 WaterC'' Data'!$AA$4:$AB$7,2,FALSE)))</f>
        <v/>
      </c>
      <c r="AK13" s="123"/>
      <c r="AL13" s="397" t="str">
        <f>IF(AK13="","",IF(VLOOKUP(AK13,'G-7 WaterC'' Data'!$AD$4:$AE$14,2,FALSE)=0,"Spatial Data Missing ⚠",VLOOKUP(AK13,'G-7 WaterC'' Data'!$AD$4:$AE$14,2,FALSE)))</f>
        <v/>
      </c>
      <c r="AM13" s="122"/>
      <c r="AN13" s="363" t="str">
        <f>IF(AM13="","",IF(VLOOKUP(AM13,'G-7 WaterC'' Data'!$AO$4:$BO$7,2,FALSE)=0,"Spatial Data Missing ⚠",VLOOKUP(AM13,'G-7 WaterC'' Data'!$AO$4:$BO$7,2,FALSE)))</f>
        <v/>
      </c>
      <c r="AO13" s="405" t="str">
        <f t="shared" ref="AO13:AO76" si="7">IFERROR(IF(C13="","",IF(Q13&gt;D13,((((Q13*S13*U13)-(D13*F13*H13))*(AH13*AD13))+(D13*F13*H13))*(AL13*X13*AJ13*AN13),((((Q13*S13*U13)-(Q13*F13*H13))*(AH13*AD13))+(Q13*F13*H13))*(AL13*X13*AJ13*AN13))),"")</f>
        <v/>
      </c>
      <c r="AP13" s="405" t="str">
        <f t="shared" ref="AP13:AP76" si="8">IFERROR(IF(C13="","",IF(AM13="","Check data ⚠", IF(Q13&gt;D13,((((Q13*S13*U13)-(D13*F13*H13))*(AH13*AD13))+(D13*F13*H13))*(AL13*X13*AJ13),((((Q13*S13*U13)-(Q13*F13*H13))*(AH13*AD13))+(Q13*F13*H13))*(AL13*X13*AJ13)))),"")</f>
        <v/>
      </c>
      <c r="AQ13" s="117"/>
      <c r="AR13" s="118"/>
      <c r="AS13" s="120"/>
      <c r="AT13" s="120"/>
      <c r="AY13" s="30" t="str">
        <f>IFERROR(INDEX('G-7 WaterC'' Data'!$AZ$3:$AZ$7,MATCH(N13,'G-7 WaterC'' Data'!$AY$3:$AY$7,0)),"")</f>
        <v/>
      </c>
    </row>
    <row r="14" spans="2:51" ht="15">
      <c r="B14" s="392" t="str">
        <f>'F-1 Off-Site WaterC'' Baseline'!AR12</f>
        <v/>
      </c>
      <c r="C14" s="382" t="str">
        <f>IF(B14="","",VLOOKUP($B14,'F-1 Off-Site WaterC'' Baseline'!$C$9:$R$257,2,FALSE))</f>
        <v/>
      </c>
      <c r="D14" s="382" t="str">
        <f>IF(C14="","",VLOOKUP($B14,'F-1 Off-Site WaterC'' Baseline'!$C$9:$R$257,3,FALSE))</f>
        <v/>
      </c>
      <c r="E14" s="382" t="str">
        <f>IF(D14="","",VLOOKUP($B14,'F-1 Off-Site WaterC'' Baseline'!$C$9:$R$257,4,FALSE))</f>
        <v/>
      </c>
      <c r="F14" s="382" t="str">
        <f>IF(E14="","",VLOOKUP($B14,'F-1 Off-Site WaterC'' Baseline'!$C$9:$R$257,5,FALSE))</f>
        <v/>
      </c>
      <c r="G14" s="382" t="str">
        <f>IF(F14="","",VLOOKUP($B14,'F-1 Off-Site WaterC'' Baseline'!$C$9:$R$257,6,FALSE))</f>
        <v/>
      </c>
      <c r="H14" s="382" t="str">
        <f>IF(G14="","",VLOOKUP($B14,'F-1 Off-Site WaterC'' Baseline'!$C$9:$R$257,7,FALSE))</f>
        <v/>
      </c>
      <c r="I14" s="382" t="str">
        <f>IF(H14="","",VLOOKUP($B14,'F-1 Off-Site WaterC'' Baseline'!$C$9:$R$257,8,FALSE))</f>
        <v/>
      </c>
      <c r="J14" s="382" t="str">
        <f>IF(I14="","",VLOOKUP($B14,'F-1 Off-Site WaterC'' Baseline'!$C$9:$R$257,9,FALSE))</f>
        <v/>
      </c>
      <c r="K14" s="382" t="str">
        <f>IF(J14="","",VLOOKUP($B14,'F-1 Off-Site WaterC'' Baseline'!$C$9:$R$257,10,FALSE))</f>
        <v/>
      </c>
      <c r="L14" s="382" t="str">
        <f>IF(B14="","",VLOOKUP($B14,'F-1 Off-Site WaterC'' Baseline'!$C$9:$R$257,15,FALSE))</f>
        <v/>
      </c>
      <c r="M14" s="386" t="str">
        <f>IF(L14="","",VLOOKUP($B14,'F-1 Off-Site WaterC'' Baseline'!$C$9:$R$257,16,FALSE))</f>
        <v/>
      </c>
      <c r="N14" s="316" t="str">
        <f t="shared" si="0"/>
        <v/>
      </c>
      <c r="O14" s="362" t="str">
        <f t="shared" si="3"/>
        <v/>
      </c>
      <c r="P14" s="363" t="str">
        <f>IF(C14="","",IF(AND(LEFT(C14,55)&lt;&gt;LEFT(N14,55),O14="High - High"),"Error - Not like for like ▲",IF(H14&gt;U14,"Error - Can not reduce condition ▲",IF(AND(F14=S14,H14=U14,AJ14='F-1 Off-Site WaterC'' Baseline'!N12,'F-1 Off-Site WaterC'' Baseline'!P12=AL14),"Error - No enhancement ▲",IF(AND(C14&lt;&gt;N14,F14&lt;S14),"Lower Distinctiveness Habitat"&amp;" - "&amp;T14,G14&amp;" - "&amp;T14)))))</f>
        <v/>
      </c>
      <c r="Q14" s="368" t="str">
        <f>IF(N14="","",VLOOKUP(B14,'F-1 Off-Site WaterC'' Baseline'!$C$10:$AE$257,22,FALSE))</f>
        <v/>
      </c>
      <c r="R14" s="362" t="str">
        <f>IF(N14="","",VLOOKUP(N14,'G-7 WaterC'' Data'!$B$2:$G$8,2,FALSE))</f>
        <v/>
      </c>
      <c r="S14" s="363" t="str">
        <f>IFERROR(VLOOKUP(R14,'G-7 WaterC'' Data'!$C$4:$D$8,2,FALSE),"")</f>
        <v/>
      </c>
      <c r="T14" s="114"/>
      <c r="U14" s="363" t="str">
        <f>IFERROR(INDEX('G-7 WaterC'' Data'!$H$4:$L$8,MATCH(N14,'G-7 WaterC'' Data'!$B$4:$B$8,0),MATCH(T14,'G-7 WaterC'' Data'!$H$3:$L$3,0)),"")</f>
        <v/>
      </c>
      <c r="V14" s="122"/>
      <c r="W14" s="382" t="str">
        <f>IF(V14="","",IF(VLOOKUP(V14,'G-7 WaterC'' Data'!$AK$4:$AM$6,2,FALSE)=0,"Spatial Data Missing ⚠",VLOOKUP(V14,'G-7 WaterC'' Data'!$AK$4:$AM$6,2,FALSE)))</f>
        <v/>
      </c>
      <c r="X14" s="386" t="str">
        <f>IF(V14="","",IF(VLOOKUP(V14,'G-7 WaterC'' Data'!$AK$4:$AM$6,3,FALSE)=0,"Spatial Data Missing ⚠",VLOOKUP(V14,'G-7 WaterC'' Data'!$AK$4:$AM$6,3,FALSE)))</f>
        <v/>
      </c>
      <c r="Y14" s="398" t="str">
        <f>IFERROR(IF(OR(LEFT(P14,5)="Error",LEFT(O14,5)="Error"),"Check Data ⚠",IF(F14&lt;S14,'G-7 WaterC'' Data'!$R$3,INDEX('G-7 WaterC'' Data'!$U$5:$Y$9,MATCH(G14,'G-7 WaterC'' Data'!$T$5:$T$9,0),MATCH(T14,'G-7 WaterC'' Data'!$U$4:$Y$4,0)))),"")</f>
        <v/>
      </c>
      <c r="Z14" s="165"/>
      <c r="AA14" s="165"/>
      <c r="AB14" s="395" t="str">
        <f t="shared" si="4"/>
        <v/>
      </c>
      <c r="AC14" s="383" t="str">
        <f t="shared" si="5"/>
        <v/>
      </c>
      <c r="AD14" s="422" t="str">
        <f>IFERROR(IF(AC14="Check Data ⚠","Check Data ⚠",VLOOKUP(AC14,'G-4 Temporal multipliers'!$A$4:$C$37,3,FALSE)),"")</f>
        <v/>
      </c>
      <c r="AE14" s="398" t="str">
        <f>IF(N14="","",VLOOKUP(N14,'G-7 WaterC'' Data'!$B$4:$G$8,5,FALSE))</f>
        <v/>
      </c>
      <c r="AF14" s="382" t="str">
        <f t="shared" si="1"/>
        <v/>
      </c>
      <c r="AG14" s="382" t="str">
        <f t="shared" si="6"/>
        <v/>
      </c>
      <c r="AH14" s="386" t="str">
        <f t="shared" si="2"/>
        <v/>
      </c>
      <c r="AI14" s="122"/>
      <c r="AJ14" s="363" t="str">
        <f>IF(AI14="","",IF(VLOOKUP(AI14,'G-7 WaterC'' Data'!$AA$4:$AB$7,2,FALSE)=0,"Spatial Data Missing ⚠",VLOOKUP(AI14,'G-7 WaterC'' Data'!$AA$4:$AB$7,2,FALSE)))</f>
        <v/>
      </c>
      <c r="AK14" s="123"/>
      <c r="AL14" s="397" t="str">
        <f>IF(AK14="","",IF(VLOOKUP(AK14,'G-7 WaterC'' Data'!$AD$4:$AE$14,2,FALSE)=0,"Spatial Data Missing ⚠",VLOOKUP(AK14,'G-7 WaterC'' Data'!$AD$4:$AE$14,2,FALSE)))</f>
        <v/>
      </c>
      <c r="AM14" s="122"/>
      <c r="AN14" s="363" t="str">
        <f>IF(AM14="","",IF(VLOOKUP(AM14,'G-7 WaterC'' Data'!$AO$4:$BO$7,2,FALSE)=0,"Spatial Data Missing ⚠",VLOOKUP(AM14,'G-7 WaterC'' Data'!$AO$4:$BO$7,2,FALSE)))</f>
        <v/>
      </c>
      <c r="AO14" s="405" t="str">
        <f t="shared" si="7"/>
        <v/>
      </c>
      <c r="AP14" s="405" t="str">
        <f t="shared" si="8"/>
        <v/>
      </c>
      <c r="AQ14" s="117"/>
      <c r="AR14" s="118"/>
      <c r="AS14" s="120"/>
      <c r="AT14" s="120"/>
      <c r="AY14" s="30" t="str">
        <f>IFERROR(INDEX('G-7 WaterC'' Data'!$AZ$3:$AZ$7,MATCH(N14,'G-7 WaterC'' Data'!$AY$3:$AY$7,0)),"")</f>
        <v/>
      </c>
    </row>
    <row r="15" spans="2:51" ht="15">
      <c r="B15" s="392" t="str">
        <f>'F-1 Off-Site WaterC'' Baseline'!AR13</f>
        <v/>
      </c>
      <c r="C15" s="382" t="str">
        <f>IF(B15="","",VLOOKUP($B15,'F-1 Off-Site WaterC'' Baseline'!$C$9:$R$257,2,FALSE))</f>
        <v/>
      </c>
      <c r="D15" s="382" t="str">
        <f>IF(C15="","",VLOOKUP($B15,'F-1 Off-Site WaterC'' Baseline'!$C$9:$R$257,3,FALSE))</f>
        <v/>
      </c>
      <c r="E15" s="382" t="str">
        <f>IF(D15="","",VLOOKUP($B15,'F-1 Off-Site WaterC'' Baseline'!$C$9:$R$257,4,FALSE))</f>
        <v/>
      </c>
      <c r="F15" s="382" t="str">
        <f>IF(E15="","",VLOOKUP($B15,'F-1 Off-Site WaterC'' Baseline'!$C$9:$R$257,5,FALSE))</f>
        <v/>
      </c>
      <c r="G15" s="382" t="str">
        <f>IF(F15="","",VLOOKUP($B15,'F-1 Off-Site WaterC'' Baseline'!$C$9:$R$257,6,FALSE))</f>
        <v/>
      </c>
      <c r="H15" s="382" t="str">
        <f>IF(G15="","",VLOOKUP($B15,'F-1 Off-Site WaterC'' Baseline'!$C$9:$R$257,7,FALSE))</f>
        <v/>
      </c>
      <c r="I15" s="382" t="str">
        <f>IF(H15="","",VLOOKUP($B15,'F-1 Off-Site WaterC'' Baseline'!$C$9:$R$257,8,FALSE))</f>
        <v/>
      </c>
      <c r="J15" s="382" t="str">
        <f>IF(I15="","",VLOOKUP($B15,'F-1 Off-Site WaterC'' Baseline'!$C$9:$R$257,9,FALSE))</f>
        <v/>
      </c>
      <c r="K15" s="382" t="str">
        <f>IF(J15="","",VLOOKUP($B15,'F-1 Off-Site WaterC'' Baseline'!$C$9:$R$257,10,FALSE))</f>
        <v/>
      </c>
      <c r="L15" s="382" t="str">
        <f>IF(B15="","",VLOOKUP($B15,'F-1 Off-Site WaterC'' Baseline'!$C$9:$R$257,15,FALSE))</f>
        <v/>
      </c>
      <c r="M15" s="386" t="str">
        <f>IF(L15="","",VLOOKUP($B15,'F-1 Off-Site WaterC'' Baseline'!$C$9:$R$257,16,FALSE))</f>
        <v/>
      </c>
      <c r="N15" s="316" t="str">
        <f t="shared" si="0"/>
        <v/>
      </c>
      <c r="O15" s="362" t="str">
        <f t="shared" si="3"/>
        <v/>
      </c>
      <c r="P15" s="363" t="str">
        <f>IF(C15="","",IF(AND(LEFT(C15,55)&lt;&gt;LEFT(N15,55),O15="High - High"),"Error - Not like for like ▲",IF(H15&gt;U15,"Error - Can not reduce condition ▲",IF(AND(F15=S15,H15=U15,AJ15='F-1 Off-Site WaterC'' Baseline'!N13,'F-1 Off-Site WaterC'' Baseline'!P13=AL15),"Error - No enhancement ▲",IF(AND(C15&lt;&gt;N15,F15&lt;S15),"Lower Distinctiveness Habitat"&amp;" - "&amp;T15,G15&amp;" - "&amp;T15)))))</f>
        <v/>
      </c>
      <c r="Q15" s="368" t="str">
        <f>IF(N15="","",VLOOKUP(B15,'F-1 Off-Site WaterC'' Baseline'!$C$10:$AE$257,22,FALSE))</f>
        <v/>
      </c>
      <c r="R15" s="362" t="str">
        <f>IF(N15="","",VLOOKUP(N15,'G-7 WaterC'' Data'!$B$2:$G$8,2,FALSE))</f>
        <v/>
      </c>
      <c r="S15" s="363" t="str">
        <f>IFERROR(VLOOKUP(R15,'G-7 WaterC'' Data'!$C$4:$D$8,2,FALSE),"")</f>
        <v/>
      </c>
      <c r="T15" s="114"/>
      <c r="U15" s="363" t="str">
        <f>IFERROR(INDEX('G-7 WaterC'' Data'!$H$4:$L$8,MATCH(N15,'G-7 WaterC'' Data'!$B$4:$B$8,0),MATCH(T15,'G-7 WaterC'' Data'!$H$3:$L$3,0)),"")</f>
        <v/>
      </c>
      <c r="V15" s="122"/>
      <c r="W15" s="382" t="str">
        <f>IF(V15="","",IF(VLOOKUP(V15,'G-7 WaterC'' Data'!$AK$4:$AM$6,2,FALSE)=0,"Spatial Data Missing ⚠",VLOOKUP(V15,'G-7 WaterC'' Data'!$AK$4:$AM$6,2,FALSE)))</f>
        <v/>
      </c>
      <c r="X15" s="386" t="str">
        <f>IF(V15="","",IF(VLOOKUP(V15,'G-7 WaterC'' Data'!$AK$4:$AM$6,3,FALSE)=0,"Spatial Data Missing ⚠",VLOOKUP(V15,'G-7 WaterC'' Data'!$AK$4:$AM$6,3,FALSE)))</f>
        <v/>
      </c>
      <c r="Y15" s="398" t="str">
        <f>IFERROR(IF(OR(LEFT(P15,5)="Error",LEFT(O15,5)="Error"),"Check Data ⚠",IF(F15&lt;S15,'G-7 WaterC'' Data'!$R$3,INDEX('G-7 WaterC'' Data'!$U$5:$Y$9,MATCH(G15,'G-7 WaterC'' Data'!$T$5:$T$9,0),MATCH(T15,'G-7 WaterC'' Data'!$U$4:$Y$4,0)))),"")</f>
        <v/>
      </c>
      <c r="Z15" s="165"/>
      <c r="AA15" s="165"/>
      <c r="AB15" s="395" t="str">
        <f t="shared" si="4"/>
        <v/>
      </c>
      <c r="AC15" s="383" t="str">
        <f t="shared" si="5"/>
        <v/>
      </c>
      <c r="AD15" s="422" t="str">
        <f>IFERROR(IF(AC15="Check Data ⚠","Check Data ⚠",VLOOKUP(AC15,'G-4 Temporal multipliers'!$A$4:$C$37,3,FALSE)),"")</f>
        <v/>
      </c>
      <c r="AE15" s="398" t="str">
        <f>IF(N15="","",VLOOKUP(N15,'G-7 WaterC'' Data'!$B$4:$G$8,5,FALSE))</f>
        <v/>
      </c>
      <c r="AF15" s="382" t="str">
        <f t="shared" si="1"/>
        <v/>
      </c>
      <c r="AG15" s="382" t="str">
        <f t="shared" si="6"/>
        <v/>
      </c>
      <c r="AH15" s="386" t="str">
        <f t="shared" si="2"/>
        <v/>
      </c>
      <c r="AI15" s="122"/>
      <c r="AJ15" s="363" t="str">
        <f>IF(AI15="","",IF(VLOOKUP(AI15,'G-7 WaterC'' Data'!$AA$4:$AB$7,2,FALSE)=0,"Spatial Data Missing ⚠",VLOOKUP(AI15,'G-7 WaterC'' Data'!$AA$4:$AB$7,2,FALSE)))</f>
        <v/>
      </c>
      <c r="AK15" s="123"/>
      <c r="AL15" s="397" t="str">
        <f>IF(AK15="","",IF(VLOOKUP(AK15,'G-7 WaterC'' Data'!$AD$4:$AE$14,2,FALSE)=0,"Spatial Data Missing ⚠",VLOOKUP(AK15,'G-7 WaterC'' Data'!$AD$4:$AE$14,2,FALSE)))</f>
        <v/>
      </c>
      <c r="AM15" s="122"/>
      <c r="AN15" s="363" t="str">
        <f>IF(AM15="","",IF(VLOOKUP(AM15,'G-7 WaterC'' Data'!$AO$4:$BO$7,2,FALSE)=0,"Spatial Data Missing ⚠",VLOOKUP(AM15,'G-7 WaterC'' Data'!$AO$4:$BO$7,2,FALSE)))</f>
        <v/>
      </c>
      <c r="AO15" s="405" t="str">
        <f t="shared" si="7"/>
        <v/>
      </c>
      <c r="AP15" s="405" t="str">
        <f t="shared" si="8"/>
        <v/>
      </c>
      <c r="AQ15" s="117"/>
      <c r="AR15" s="118"/>
      <c r="AS15" s="120"/>
      <c r="AT15" s="120"/>
      <c r="AY15" s="30" t="str">
        <f>IFERROR(INDEX('G-7 WaterC'' Data'!$AZ$3:$AZ$7,MATCH(N15,'G-7 WaterC'' Data'!$AY$3:$AY$7,0)),"")</f>
        <v/>
      </c>
    </row>
    <row r="16" spans="2:51" ht="15">
      <c r="B16" s="392" t="str">
        <f>'F-1 Off-Site WaterC'' Baseline'!AR14</f>
        <v/>
      </c>
      <c r="C16" s="382" t="str">
        <f>IF(B16="","",VLOOKUP($B16,'F-1 Off-Site WaterC'' Baseline'!$C$9:$R$257,2,FALSE))</f>
        <v/>
      </c>
      <c r="D16" s="382" t="str">
        <f>IF(C16="","",VLOOKUP($B16,'F-1 Off-Site WaterC'' Baseline'!$C$9:$R$257,3,FALSE))</f>
        <v/>
      </c>
      <c r="E16" s="382" t="str">
        <f>IF(D16="","",VLOOKUP($B16,'F-1 Off-Site WaterC'' Baseline'!$C$9:$R$257,4,FALSE))</f>
        <v/>
      </c>
      <c r="F16" s="382" t="str">
        <f>IF(E16="","",VLOOKUP($B16,'F-1 Off-Site WaterC'' Baseline'!$C$9:$R$257,5,FALSE))</f>
        <v/>
      </c>
      <c r="G16" s="382" t="str">
        <f>IF(F16="","",VLOOKUP($B16,'F-1 Off-Site WaterC'' Baseline'!$C$9:$R$257,6,FALSE))</f>
        <v/>
      </c>
      <c r="H16" s="382" t="str">
        <f>IF(G16="","",VLOOKUP($B16,'F-1 Off-Site WaterC'' Baseline'!$C$9:$R$257,7,FALSE))</f>
        <v/>
      </c>
      <c r="I16" s="382" t="str">
        <f>IF(H16="","",VLOOKUP($B16,'F-1 Off-Site WaterC'' Baseline'!$C$9:$R$257,8,FALSE))</f>
        <v/>
      </c>
      <c r="J16" s="382" t="str">
        <f>IF(I16="","",VLOOKUP($B16,'F-1 Off-Site WaterC'' Baseline'!$C$9:$R$257,9,FALSE))</f>
        <v/>
      </c>
      <c r="K16" s="382" t="str">
        <f>IF(J16="","",VLOOKUP($B16,'F-1 Off-Site WaterC'' Baseline'!$C$9:$R$257,10,FALSE))</f>
        <v/>
      </c>
      <c r="L16" s="382" t="str">
        <f>IF(B16="","",VLOOKUP($B16,'F-1 Off-Site WaterC'' Baseline'!$C$9:$R$257,15,FALSE))</f>
        <v/>
      </c>
      <c r="M16" s="386" t="str">
        <f>IF(L16="","",VLOOKUP($B16,'F-1 Off-Site WaterC'' Baseline'!$C$9:$R$257,16,FALSE))</f>
        <v/>
      </c>
      <c r="N16" s="316" t="str">
        <f t="shared" si="0"/>
        <v/>
      </c>
      <c r="O16" s="362" t="str">
        <f t="shared" si="3"/>
        <v/>
      </c>
      <c r="P16" s="363" t="str">
        <f>IF(C16="","",IF(AND(LEFT(C16,55)&lt;&gt;LEFT(N16,55),O16="High - High"),"Error - Not like for like ▲",IF(H16&gt;U16,"Error - Can not reduce condition ▲",IF(AND(F16=S16,H16=U16,AJ16='F-1 Off-Site WaterC'' Baseline'!N14,'F-1 Off-Site WaterC'' Baseline'!P14=AL16),"Error - No enhancement ▲",IF(AND(C16&lt;&gt;N16,F16&lt;S16),"Lower Distinctiveness Habitat"&amp;" - "&amp;T16,G16&amp;" - "&amp;T16)))))</f>
        <v/>
      </c>
      <c r="Q16" s="368" t="str">
        <f>IF(N16="","",VLOOKUP(B16,'F-1 Off-Site WaterC'' Baseline'!$C$10:$AE$257,22,FALSE))</f>
        <v/>
      </c>
      <c r="R16" s="362" t="str">
        <f>IF(N16="","",VLOOKUP(N16,'G-7 WaterC'' Data'!$B$2:$G$8,2,FALSE))</f>
        <v/>
      </c>
      <c r="S16" s="363" t="str">
        <f>IFERROR(VLOOKUP(R16,'G-7 WaterC'' Data'!$C$4:$D$8,2,FALSE),"")</f>
        <v/>
      </c>
      <c r="T16" s="114"/>
      <c r="U16" s="363" t="str">
        <f>IFERROR(INDEX('G-7 WaterC'' Data'!$H$4:$L$8,MATCH(N16,'G-7 WaterC'' Data'!$B$4:$B$8,0),MATCH(T16,'G-7 WaterC'' Data'!$H$3:$L$3,0)),"")</f>
        <v/>
      </c>
      <c r="V16" s="122"/>
      <c r="W16" s="382" t="str">
        <f>IF(V16="","",IF(VLOOKUP(V16,'G-7 WaterC'' Data'!$AK$4:$AM$6,2,FALSE)=0,"Spatial Data Missing ⚠",VLOOKUP(V16,'G-7 WaterC'' Data'!$AK$4:$AM$6,2,FALSE)))</f>
        <v/>
      </c>
      <c r="X16" s="386" t="str">
        <f>IF(V16="","",IF(VLOOKUP(V16,'G-7 WaterC'' Data'!$AK$4:$AM$6,3,FALSE)=0,"Spatial Data Missing ⚠",VLOOKUP(V16,'G-7 WaterC'' Data'!$AK$4:$AM$6,3,FALSE)))</f>
        <v/>
      </c>
      <c r="Y16" s="398" t="str">
        <f>IFERROR(IF(OR(LEFT(P16,5)="Error",LEFT(O16,5)="Error"),"Check Data ⚠",IF(F16&lt;S16,'G-7 WaterC'' Data'!$R$3,INDEX('G-7 WaterC'' Data'!$U$5:$Y$9,MATCH(G16,'G-7 WaterC'' Data'!$T$5:$T$9,0),MATCH(T16,'G-7 WaterC'' Data'!$U$4:$Y$4,0)))),"")</f>
        <v/>
      </c>
      <c r="Z16" s="165"/>
      <c r="AA16" s="165"/>
      <c r="AB16" s="395" t="str">
        <f t="shared" si="4"/>
        <v/>
      </c>
      <c r="AC16" s="383" t="str">
        <f t="shared" si="5"/>
        <v/>
      </c>
      <c r="AD16" s="422" t="str">
        <f>IFERROR(IF(AC16="Check Data ⚠","Check Data ⚠",VLOOKUP(AC16,'G-4 Temporal multipliers'!$A$4:$C$37,3,FALSE)),"")</f>
        <v/>
      </c>
      <c r="AE16" s="398" t="str">
        <f>IF(N16="","",VLOOKUP(N16,'G-7 WaterC'' Data'!$B$4:$G$8,5,FALSE))</f>
        <v/>
      </c>
      <c r="AF16" s="382" t="str">
        <f t="shared" si="1"/>
        <v/>
      </c>
      <c r="AG16" s="382" t="str">
        <f t="shared" si="6"/>
        <v/>
      </c>
      <c r="AH16" s="386" t="str">
        <f t="shared" si="2"/>
        <v/>
      </c>
      <c r="AI16" s="122"/>
      <c r="AJ16" s="363" t="str">
        <f>IF(AI16="","",IF(VLOOKUP(AI16,'G-7 WaterC'' Data'!$AA$4:$AB$7,2,FALSE)=0,"Spatial Data Missing ⚠",VLOOKUP(AI16,'G-7 WaterC'' Data'!$AA$4:$AB$7,2,FALSE)))</f>
        <v/>
      </c>
      <c r="AK16" s="123"/>
      <c r="AL16" s="397" t="str">
        <f>IF(AK16="","",IF(VLOOKUP(AK16,'G-7 WaterC'' Data'!$AD$4:$AE$14,2,FALSE)=0,"Spatial Data Missing ⚠",VLOOKUP(AK16,'G-7 WaterC'' Data'!$AD$4:$AE$14,2,FALSE)))</f>
        <v/>
      </c>
      <c r="AM16" s="122"/>
      <c r="AN16" s="363" t="str">
        <f>IF(AM16="","",IF(VLOOKUP(AM16,'G-7 WaterC'' Data'!$AO$4:$BO$7,2,FALSE)=0,"Spatial Data Missing ⚠",VLOOKUP(AM16,'G-7 WaterC'' Data'!$AO$4:$BO$7,2,FALSE)))</f>
        <v/>
      </c>
      <c r="AO16" s="405" t="str">
        <f t="shared" si="7"/>
        <v/>
      </c>
      <c r="AP16" s="405" t="str">
        <f t="shared" si="8"/>
        <v/>
      </c>
      <c r="AQ16" s="117"/>
      <c r="AR16" s="118"/>
      <c r="AS16" s="120"/>
      <c r="AT16" s="120"/>
      <c r="AY16" s="30" t="str">
        <f>IFERROR(INDEX('G-7 WaterC'' Data'!$AZ$3:$AZ$7,MATCH(N16,'G-7 WaterC'' Data'!$AY$3:$AY$7,0)),"")</f>
        <v/>
      </c>
    </row>
    <row r="17" spans="2:51" ht="15">
      <c r="B17" s="392" t="str">
        <f>'F-1 Off-Site WaterC'' Baseline'!AR15</f>
        <v/>
      </c>
      <c r="C17" s="382" t="str">
        <f>IF(B17="","",VLOOKUP($B17,'F-1 Off-Site WaterC'' Baseline'!$C$9:$R$257,2,FALSE))</f>
        <v/>
      </c>
      <c r="D17" s="382" t="str">
        <f>IF(C17="","",VLOOKUP($B17,'F-1 Off-Site WaterC'' Baseline'!$C$9:$R$257,3,FALSE))</f>
        <v/>
      </c>
      <c r="E17" s="382" t="str">
        <f>IF(D17="","",VLOOKUP($B17,'F-1 Off-Site WaterC'' Baseline'!$C$9:$R$257,4,FALSE))</f>
        <v/>
      </c>
      <c r="F17" s="382" t="str">
        <f>IF(E17="","",VLOOKUP($B17,'F-1 Off-Site WaterC'' Baseline'!$C$9:$R$257,5,FALSE))</f>
        <v/>
      </c>
      <c r="G17" s="382" t="str">
        <f>IF(F17="","",VLOOKUP($B17,'F-1 Off-Site WaterC'' Baseline'!$C$9:$R$257,6,FALSE))</f>
        <v/>
      </c>
      <c r="H17" s="382" t="str">
        <f>IF(G17="","",VLOOKUP($B17,'F-1 Off-Site WaterC'' Baseline'!$C$9:$R$257,7,FALSE))</f>
        <v/>
      </c>
      <c r="I17" s="382" t="str">
        <f>IF(H17="","",VLOOKUP($B17,'F-1 Off-Site WaterC'' Baseline'!$C$9:$R$257,8,FALSE))</f>
        <v/>
      </c>
      <c r="J17" s="382" t="str">
        <f>IF(I17="","",VLOOKUP($B17,'F-1 Off-Site WaterC'' Baseline'!$C$9:$R$257,9,FALSE))</f>
        <v/>
      </c>
      <c r="K17" s="382" t="str">
        <f>IF(J17="","",VLOOKUP($B17,'F-1 Off-Site WaterC'' Baseline'!$C$9:$R$257,10,FALSE))</f>
        <v/>
      </c>
      <c r="L17" s="382" t="str">
        <f>IF(B17="","",VLOOKUP($B17,'F-1 Off-Site WaterC'' Baseline'!$C$9:$R$257,15,FALSE))</f>
        <v/>
      </c>
      <c r="M17" s="386" t="str">
        <f>IF(L17="","",VLOOKUP($B17,'F-1 Off-Site WaterC'' Baseline'!$C$9:$R$257,16,FALSE))</f>
        <v/>
      </c>
      <c r="N17" s="316" t="str">
        <f t="shared" si="0"/>
        <v/>
      </c>
      <c r="O17" s="362" t="str">
        <f t="shared" si="3"/>
        <v/>
      </c>
      <c r="P17" s="363" t="str">
        <f>IF(C17="","",IF(AND(LEFT(C17,55)&lt;&gt;LEFT(N17,55),O17="High - High"),"Error - Not like for like ▲",IF(H17&gt;U17,"Error - Can not reduce condition ▲",IF(AND(F17=S17,H17=U17,AJ17='F-1 Off-Site WaterC'' Baseline'!N15,'F-1 Off-Site WaterC'' Baseline'!P15=AL17),"Error - No enhancement ▲",IF(AND(C17&lt;&gt;N17,F17&lt;S17),"Lower Distinctiveness Habitat"&amp;" - "&amp;T17,G17&amp;" - "&amp;T17)))))</f>
        <v/>
      </c>
      <c r="Q17" s="368" t="str">
        <f>IF(N17="","",VLOOKUP(B17,'F-1 Off-Site WaterC'' Baseline'!$C$10:$AE$257,22,FALSE))</f>
        <v/>
      </c>
      <c r="R17" s="362" t="str">
        <f>IF(N17="","",VLOOKUP(N17,'G-7 WaterC'' Data'!$B$2:$G$8,2,FALSE))</f>
        <v/>
      </c>
      <c r="S17" s="363" t="str">
        <f>IFERROR(VLOOKUP(R17,'G-7 WaterC'' Data'!$C$4:$D$8,2,FALSE),"")</f>
        <v/>
      </c>
      <c r="T17" s="114"/>
      <c r="U17" s="363" t="str">
        <f>IFERROR(INDEX('G-7 WaterC'' Data'!$H$4:$L$8,MATCH(N17,'G-7 WaterC'' Data'!$B$4:$B$8,0),MATCH(T17,'G-7 WaterC'' Data'!$H$3:$L$3,0)),"")</f>
        <v/>
      </c>
      <c r="V17" s="122"/>
      <c r="W17" s="382" t="str">
        <f>IF(V17="","",IF(VLOOKUP(V17,'G-7 WaterC'' Data'!$AK$4:$AM$6,2,FALSE)=0,"Spatial Data Missing ⚠",VLOOKUP(V17,'G-7 WaterC'' Data'!$AK$4:$AM$6,2,FALSE)))</f>
        <v/>
      </c>
      <c r="X17" s="386" t="str">
        <f>IF(V17="","",IF(VLOOKUP(V17,'G-7 WaterC'' Data'!$AK$4:$AM$6,3,FALSE)=0,"Spatial Data Missing ⚠",VLOOKUP(V17,'G-7 WaterC'' Data'!$AK$4:$AM$6,3,FALSE)))</f>
        <v/>
      </c>
      <c r="Y17" s="398" t="str">
        <f>IFERROR(IF(OR(LEFT(P17,5)="Error",LEFT(O17,5)="Error"),"Check Data ⚠",IF(F17&lt;S17,'G-7 WaterC'' Data'!$R$3,INDEX('G-7 WaterC'' Data'!$U$5:$Y$9,MATCH(G17,'G-7 WaterC'' Data'!$T$5:$T$9,0),MATCH(T17,'G-7 WaterC'' Data'!$U$4:$Y$4,0)))),"")</f>
        <v/>
      </c>
      <c r="Z17" s="165"/>
      <c r="AA17" s="165"/>
      <c r="AB17" s="395" t="str">
        <f t="shared" si="4"/>
        <v/>
      </c>
      <c r="AC17" s="383" t="str">
        <f t="shared" si="5"/>
        <v/>
      </c>
      <c r="AD17" s="422" t="str">
        <f>IFERROR(IF(AC17="Check Data ⚠","Check Data ⚠",VLOOKUP(AC17,'G-4 Temporal multipliers'!$A$4:$C$37,3,FALSE)),"")</f>
        <v/>
      </c>
      <c r="AE17" s="398" t="str">
        <f>IF(N17="","",VLOOKUP(N17,'G-7 WaterC'' Data'!$B$4:$G$8,5,FALSE))</f>
        <v/>
      </c>
      <c r="AF17" s="382" t="str">
        <f t="shared" si="1"/>
        <v/>
      </c>
      <c r="AG17" s="382" t="str">
        <f t="shared" si="6"/>
        <v/>
      </c>
      <c r="AH17" s="386" t="str">
        <f t="shared" si="2"/>
        <v/>
      </c>
      <c r="AI17" s="122"/>
      <c r="AJ17" s="363" t="str">
        <f>IF(AI17="","",IF(VLOOKUP(AI17,'G-7 WaterC'' Data'!$AA$4:$AB$7,2,FALSE)=0,"Spatial Data Missing ⚠",VLOOKUP(AI17,'G-7 WaterC'' Data'!$AA$4:$AB$7,2,FALSE)))</f>
        <v/>
      </c>
      <c r="AK17" s="123"/>
      <c r="AL17" s="397" t="str">
        <f>IF(AK17="","",IF(VLOOKUP(AK17,'G-7 WaterC'' Data'!$AD$4:$AE$14,2,FALSE)=0,"Spatial Data Missing ⚠",VLOOKUP(AK17,'G-7 WaterC'' Data'!$AD$4:$AE$14,2,FALSE)))</f>
        <v/>
      </c>
      <c r="AM17" s="122"/>
      <c r="AN17" s="363" t="str">
        <f>IF(AM17="","",IF(VLOOKUP(AM17,'G-7 WaterC'' Data'!$AO$4:$BO$7,2,FALSE)=0,"Spatial Data Missing ⚠",VLOOKUP(AM17,'G-7 WaterC'' Data'!$AO$4:$BO$7,2,FALSE)))</f>
        <v/>
      </c>
      <c r="AO17" s="405" t="str">
        <f t="shared" si="7"/>
        <v/>
      </c>
      <c r="AP17" s="405" t="str">
        <f t="shared" si="8"/>
        <v/>
      </c>
      <c r="AQ17" s="117"/>
      <c r="AR17" s="118"/>
      <c r="AS17" s="120"/>
      <c r="AT17" s="120"/>
      <c r="AY17" s="30" t="str">
        <f>IFERROR(INDEX('G-7 WaterC'' Data'!$AZ$3:$AZ$7,MATCH(N17,'G-7 WaterC'' Data'!$AY$3:$AY$7,0)),"")</f>
        <v/>
      </c>
    </row>
    <row r="18" spans="2:51" ht="15">
      <c r="B18" s="392" t="str">
        <f>'F-1 Off-Site WaterC'' Baseline'!AR16</f>
        <v/>
      </c>
      <c r="C18" s="382" t="str">
        <f>IF(B18="","",VLOOKUP($B18,'F-1 Off-Site WaterC'' Baseline'!$C$9:$R$257,2,FALSE))</f>
        <v/>
      </c>
      <c r="D18" s="382" t="str">
        <f>IF(C18="","",VLOOKUP($B18,'F-1 Off-Site WaterC'' Baseline'!$C$9:$R$257,3,FALSE))</f>
        <v/>
      </c>
      <c r="E18" s="382" t="str">
        <f>IF(D18="","",VLOOKUP($B18,'F-1 Off-Site WaterC'' Baseline'!$C$9:$R$257,4,FALSE))</f>
        <v/>
      </c>
      <c r="F18" s="382" t="str">
        <f>IF(E18="","",VLOOKUP($B18,'F-1 Off-Site WaterC'' Baseline'!$C$9:$R$257,5,FALSE))</f>
        <v/>
      </c>
      <c r="G18" s="382" t="str">
        <f>IF(F18="","",VLOOKUP($B18,'F-1 Off-Site WaterC'' Baseline'!$C$9:$R$257,6,FALSE))</f>
        <v/>
      </c>
      <c r="H18" s="382" t="str">
        <f>IF(G18="","",VLOOKUP($B18,'F-1 Off-Site WaterC'' Baseline'!$C$9:$R$257,7,FALSE))</f>
        <v/>
      </c>
      <c r="I18" s="382" t="str">
        <f>IF(H18="","",VLOOKUP($B18,'F-1 Off-Site WaterC'' Baseline'!$C$9:$R$257,8,FALSE))</f>
        <v/>
      </c>
      <c r="J18" s="382" t="str">
        <f>IF(I18="","",VLOOKUP($B18,'F-1 Off-Site WaterC'' Baseline'!$C$9:$R$257,9,FALSE))</f>
        <v/>
      </c>
      <c r="K18" s="382" t="str">
        <f>IF(J18="","",VLOOKUP($B18,'F-1 Off-Site WaterC'' Baseline'!$C$9:$R$257,10,FALSE))</f>
        <v/>
      </c>
      <c r="L18" s="382" t="str">
        <f>IF(B18="","",VLOOKUP($B18,'F-1 Off-Site WaterC'' Baseline'!$C$9:$R$257,15,FALSE))</f>
        <v/>
      </c>
      <c r="M18" s="386" t="str">
        <f>IF(L18="","",VLOOKUP($B18,'F-1 Off-Site WaterC'' Baseline'!$C$9:$R$257,16,FALSE))</f>
        <v/>
      </c>
      <c r="N18" s="316" t="str">
        <f t="shared" si="0"/>
        <v/>
      </c>
      <c r="O18" s="362" t="str">
        <f t="shared" si="3"/>
        <v/>
      </c>
      <c r="P18" s="363" t="str">
        <f>IF(C18="","",IF(AND(LEFT(C18,55)&lt;&gt;LEFT(N18,55),O18="High - High"),"Error - Not like for like ▲",IF(H18&gt;U18,"Error - Can not reduce condition ▲",IF(AND(F18=S18,H18=U18,AJ18='F-1 Off-Site WaterC'' Baseline'!N16,'F-1 Off-Site WaterC'' Baseline'!P16=AL18),"Error - No enhancement ▲",IF(AND(C18&lt;&gt;N18,F18&lt;S18),"Lower Distinctiveness Habitat"&amp;" - "&amp;T18,G18&amp;" - "&amp;T18)))))</f>
        <v/>
      </c>
      <c r="Q18" s="368" t="str">
        <f>IF(N18="","",VLOOKUP(B18,'F-1 Off-Site WaterC'' Baseline'!$C$10:$AE$257,22,FALSE))</f>
        <v/>
      </c>
      <c r="R18" s="362" t="str">
        <f>IF(N18="","",VLOOKUP(N18,'G-7 WaterC'' Data'!$B$2:$G$8,2,FALSE))</f>
        <v/>
      </c>
      <c r="S18" s="363" t="str">
        <f>IFERROR(VLOOKUP(R18,'G-7 WaterC'' Data'!$C$4:$D$8,2,FALSE),"")</f>
        <v/>
      </c>
      <c r="T18" s="114"/>
      <c r="U18" s="363" t="str">
        <f>IFERROR(INDEX('G-7 WaterC'' Data'!$H$4:$L$8,MATCH(N18,'G-7 WaterC'' Data'!$B$4:$B$8,0),MATCH(T18,'G-7 WaterC'' Data'!$H$3:$L$3,0)),"")</f>
        <v/>
      </c>
      <c r="V18" s="122"/>
      <c r="W18" s="382" t="str">
        <f>IF(V18="","",IF(VLOOKUP(V18,'G-7 WaterC'' Data'!$AK$4:$AM$6,2,FALSE)=0,"Spatial Data Missing ⚠",VLOOKUP(V18,'G-7 WaterC'' Data'!$AK$4:$AM$6,2,FALSE)))</f>
        <v/>
      </c>
      <c r="X18" s="386" t="str">
        <f>IF(V18="","",IF(VLOOKUP(V18,'G-7 WaterC'' Data'!$AK$4:$AM$6,3,FALSE)=0,"Spatial Data Missing ⚠",VLOOKUP(V18,'G-7 WaterC'' Data'!$AK$4:$AM$6,3,FALSE)))</f>
        <v/>
      </c>
      <c r="Y18" s="398" t="str">
        <f>IFERROR(IF(OR(LEFT(P18,5)="Error",LEFT(O18,5)="Error"),"Check Data ⚠",IF(F18&lt;S18,'G-7 WaterC'' Data'!$R$3,INDEX('G-7 WaterC'' Data'!$U$5:$Y$9,MATCH(G18,'G-7 WaterC'' Data'!$T$5:$T$9,0),MATCH(T18,'G-7 WaterC'' Data'!$U$4:$Y$4,0)))),"")</f>
        <v/>
      </c>
      <c r="Z18" s="165"/>
      <c r="AA18" s="165"/>
      <c r="AB18" s="395" t="str">
        <f t="shared" si="4"/>
        <v/>
      </c>
      <c r="AC18" s="383" t="str">
        <f t="shared" si="5"/>
        <v/>
      </c>
      <c r="AD18" s="422" t="str">
        <f>IFERROR(IF(AC18="Check Data ⚠","Check Data ⚠",VLOOKUP(AC18,'G-4 Temporal multipliers'!$A$4:$C$37,3,FALSE)),"")</f>
        <v/>
      </c>
      <c r="AE18" s="398" t="str">
        <f>IF(N18="","",VLOOKUP(N18,'G-7 WaterC'' Data'!$B$4:$G$8,5,FALSE))</f>
        <v/>
      </c>
      <c r="AF18" s="382" t="str">
        <f t="shared" si="1"/>
        <v/>
      </c>
      <c r="AG18" s="382" t="str">
        <f t="shared" si="6"/>
        <v/>
      </c>
      <c r="AH18" s="386" t="str">
        <f t="shared" si="2"/>
        <v/>
      </c>
      <c r="AI18" s="122"/>
      <c r="AJ18" s="363" t="str">
        <f>IF(AI18="","",IF(VLOOKUP(AI18,'G-7 WaterC'' Data'!$AA$4:$AB$7,2,FALSE)=0,"Spatial Data Missing ⚠",VLOOKUP(AI18,'G-7 WaterC'' Data'!$AA$4:$AB$7,2,FALSE)))</f>
        <v/>
      </c>
      <c r="AK18" s="123"/>
      <c r="AL18" s="397" t="str">
        <f>IF(AK18="","",IF(VLOOKUP(AK18,'G-7 WaterC'' Data'!$AD$4:$AE$14,2,FALSE)=0,"Spatial Data Missing ⚠",VLOOKUP(AK18,'G-7 WaterC'' Data'!$AD$4:$AE$14,2,FALSE)))</f>
        <v/>
      </c>
      <c r="AM18" s="122"/>
      <c r="AN18" s="363" t="str">
        <f>IF(AM18="","",IF(VLOOKUP(AM18,'G-7 WaterC'' Data'!$AO$4:$BO$7,2,FALSE)=0,"Spatial Data Missing ⚠",VLOOKUP(AM18,'G-7 WaterC'' Data'!$AO$4:$BO$7,2,FALSE)))</f>
        <v/>
      </c>
      <c r="AO18" s="405" t="str">
        <f t="shared" si="7"/>
        <v/>
      </c>
      <c r="AP18" s="405" t="str">
        <f t="shared" si="8"/>
        <v/>
      </c>
      <c r="AQ18" s="117"/>
      <c r="AR18" s="118"/>
      <c r="AS18" s="120"/>
      <c r="AT18" s="120"/>
      <c r="AY18" s="30" t="str">
        <f>IFERROR(INDEX('G-7 WaterC'' Data'!$AZ$3:$AZ$7,MATCH(N18,'G-7 WaterC'' Data'!$AY$3:$AY$7,0)),"")</f>
        <v/>
      </c>
    </row>
    <row r="19" spans="2:51" ht="15">
      <c r="B19" s="392" t="str">
        <f>'F-1 Off-Site WaterC'' Baseline'!AR17</f>
        <v/>
      </c>
      <c r="C19" s="382" t="str">
        <f>IF(B19="","",VLOOKUP($B19,'F-1 Off-Site WaterC'' Baseline'!$C$9:$R$257,2,FALSE))</f>
        <v/>
      </c>
      <c r="D19" s="382" t="str">
        <f>IF(C19="","",VLOOKUP($B19,'F-1 Off-Site WaterC'' Baseline'!$C$9:$R$257,3,FALSE))</f>
        <v/>
      </c>
      <c r="E19" s="382" t="str">
        <f>IF(D19="","",VLOOKUP($B19,'F-1 Off-Site WaterC'' Baseline'!$C$9:$R$257,4,FALSE))</f>
        <v/>
      </c>
      <c r="F19" s="382" t="str">
        <f>IF(E19="","",VLOOKUP($B19,'F-1 Off-Site WaterC'' Baseline'!$C$9:$R$257,5,FALSE))</f>
        <v/>
      </c>
      <c r="G19" s="382" t="str">
        <f>IF(F19="","",VLOOKUP($B19,'F-1 Off-Site WaterC'' Baseline'!$C$9:$R$257,6,FALSE))</f>
        <v/>
      </c>
      <c r="H19" s="382" t="str">
        <f>IF(G19="","",VLOOKUP($B19,'F-1 Off-Site WaterC'' Baseline'!$C$9:$R$257,7,FALSE))</f>
        <v/>
      </c>
      <c r="I19" s="382" t="str">
        <f>IF(H19="","",VLOOKUP($B19,'F-1 Off-Site WaterC'' Baseline'!$C$9:$R$257,8,FALSE))</f>
        <v/>
      </c>
      <c r="J19" s="382" t="str">
        <f>IF(I19="","",VLOOKUP($B19,'F-1 Off-Site WaterC'' Baseline'!$C$9:$R$257,9,FALSE))</f>
        <v/>
      </c>
      <c r="K19" s="382" t="str">
        <f>IF(J19="","",VLOOKUP($B19,'F-1 Off-Site WaterC'' Baseline'!$C$9:$R$257,10,FALSE))</f>
        <v/>
      </c>
      <c r="L19" s="382" t="str">
        <f>IF(B19="","",VLOOKUP($B19,'F-1 Off-Site WaterC'' Baseline'!$C$9:$R$257,15,FALSE))</f>
        <v/>
      </c>
      <c r="M19" s="386" t="str">
        <f>IF(L19="","",VLOOKUP($B19,'F-1 Off-Site WaterC'' Baseline'!$C$9:$R$257,16,FALSE))</f>
        <v/>
      </c>
      <c r="N19" s="316" t="str">
        <f t="shared" si="0"/>
        <v/>
      </c>
      <c r="O19" s="362" t="str">
        <f t="shared" si="3"/>
        <v/>
      </c>
      <c r="P19" s="363" t="str">
        <f>IF(C19="","",IF(AND(LEFT(C19,55)&lt;&gt;LEFT(N19,55),O19="High - High"),"Error - Not like for like ▲",IF(H19&gt;U19,"Error - Can not reduce condition ▲",IF(AND(F19=S19,H19=U19,AJ19='F-1 Off-Site WaterC'' Baseline'!N17,'F-1 Off-Site WaterC'' Baseline'!P17=AL19),"Error - No enhancement ▲",IF(AND(C19&lt;&gt;N19,F19&lt;S19),"Lower Distinctiveness Habitat"&amp;" - "&amp;T19,G19&amp;" - "&amp;T19)))))</f>
        <v/>
      </c>
      <c r="Q19" s="368" t="str">
        <f>IF(N19="","",VLOOKUP(B19,'F-1 Off-Site WaterC'' Baseline'!$C$10:$AE$257,22,FALSE))</f>
        <v/>
      </c>
      <c r="R19" s="362" t="str">
        <f>IF(N19="","",VLOOKUP(N19,'G-7 WaterC'' Data'!$B$2:$G$8,2,FALSE))</f>
        <v/>
      </c>
      <c r="S19" s="363" t="str">
        <f>IFERROR(VLOOKUP(R19,'G-7 WaterC'' Data'!$C$4:$D$8,2,FALSE),"")</f>
        <v/>
      </c>
      <c r="T19" s="114"/>
      <c r="U19" s="363" t="str">
        <f>IFERROR(INDEX('G-7 WaterC'' Data'!$H$4:$L$8,MATCH(N19,'G-7 WaterC'' Data'!$B$4:$B$8,0),MATCH(T19,'G-7 WaterC'' Data'!$H$3:$L$3,0)),"")</f>
        <v/>
      </c>
      <c r="V19" s="122"/>
      <c r="W19" s="382" t="str">
        <f>IF(V19="","",IF(VLOOKUP(V19,'G-7 WaterC'' Data'!$AK$4:$AM$6,2,FALSE)=0,"Spatial Data Missing ⚠",VLOOKUP(V19,'G-7 WaterC'' Data'!$AK$4:$AM$6,2,FALSE)))</f>
        <v/>
      </c>
      <c r="X19" s="386" t="str">
        <f>IF(V19="","",IF(VLOOKUP(V19,'G-7 WaterC'' Data'!$AK$4:$AM$6,3,FALSE)=0,"Spatial Data Missing ⚠",VLOOKUP(V19,'G-7 WaterC'' Data'!$AK$4:$AM$6,3,FALSE)))</f>
        <v/>
      </c>
      <c r="Y19" s="398" t="str">
        <f>IFERROR(IF(OR(LEFT(P19,5)="Error",LEFT(O19,5)="Error"),"Check Data ⚠",IF(F19&lt;S19,'G-7 WaterC'' Data'!$R$3,INDEX('G-7 WaterC'' Data'!$U$5:$Y$9,MATCH(G19,'G-7 WaterC'' Data'!$T$5:$T$9,0),MATCH(T19,'G-7 WaterC'' Data'!$U$4:$Y$4,0)))),"")</f>
        <v/>
      </c>
      <c r="Z19" s="165"/>
      <c r="AA19" s="165"/>
      <c r="AB19" s="395" t="str">
        <f t="shared" si="4"/>
        <v/>
      </c>
      <c r="AC19" s="383" t="str">
        <f t="shared" si="5"/>
        <v/>
      </c>
      <c r="AD19" s="422" t="str">
        <f>IFERROR(IF(AC19="Check Data ⚠","Check Data ⚠",VLOOKUP(AC19,'G-4 Temporal multipliers'!$A$4:$C$37,3,FALSE)),"")</f>
        <v/>
      </c>
      <c r="AE19" s="398" t="str">
        <f>IF(N19="","",VLOOKUP(N19,'G-7 WaterC'' Data'!$B$4:$G$8,5,FALSE))</f>
        <v/>
      </c>
      <c r="AF19" s="382" t="str">
        <f t="shared" si="1"/>
        <v/>
      </c>
      <c r="AG19" s="382" t="str">
        <f t="shared" si="6"/>
        <v/>
      </c>
      <c r="AH19" s="386" t="str">
        <f t="shared" si="2"/>
        <v/>
      </c>
      <c r="AI19" s="122"/>
      <c r="AJ19" s="363" t="str">
        <f>IF(AI19="","",IF(VLOOKUP(AI19,'G-7 WaterC'' Data'!$AA$4:$AB$7,2,FALSE)=0,"Spatial Data Missing ⚠",VLOOKUP(AI19,'G-7 WaterC'' Data'!$AA$4:$AB$7,2,FALSE)))</f>
        <v/>
      </c>
      <c r="AK19" s="123"/>
      <c r="AL19" s="397" t="str">
        <f>IF(AK19="","",IF(VLOOKUP(AK19,'G-7 WaterC'' Data'!$AD$4:$AE$14,2,FALSE)=0,"Spatial Data Missing ⚠",VLOOKUP(AK19,'G-7 WaterC'' Data'!$AD$4:$AE$14,2,FALSE)))</f>
        <v/>
      </c>
      <c r="AM19" s="122"/>
      <c r="AN19" s="363" t="str">
        <f>IF(AM19="","",IF(VLOOKUP(AM19,'G-7 WaterC'' Data'!$AO$4:$BO$7,2,FALSE)=0,"Spatial Data Missing ⚠",VLOOKUP(AM19,'G-7 WaterC'' Data'!$AO$4:$BO$7,2,FALSE)))</f>
        <v/>
      </c>
      <c r="AO19" s="405" t="str">
        <f t="shared" si="7"/>
        <v/>
      </c>
      <c r="AP19" s="405" t="str">
        <f t="shared" si="8"/>
        <v/>
      </c>
      <c r="AQ19" s="117"/>
      <c r="AR19" s="118"/>
      <c r="AS19" s="120"/>
      <c r="AT19" s="120"/>
      <c r="AY19" s="30" t="str">
        <f>IFERROR(INDEX('G-7 WaterC'' Data'!$AZ$3:$AZ$7,MATCH(N19,'G-7 WaterC'' Data'!$AY$3:$AY$7,0)),"")</f>
        <v/>
      </c>
    </row>
    <row r="20" spans="2:51" ht="15">
      <c r="B20" s="392" t="str">
        <f>'F-1 Off-Site WaterC'' Baseline'!AR18</f>
        <v/>
      </c>
      <c r="C20" s="382" t="str">
        <f>IF(B20="","",VLOOKUP($B20,'F-1 Off-Site WaterC'' Baseline'!$C$9:$R$257,2,FALSE))</f>
        <v/>
      </c>
      <c r="D20" s="382" t="str">
        <f>IF(C20="","",VLOOKUP($B20,'F-1 Off-Site WaterC'' Baseline'!$C$9:$R$257,3,FALSE))</f>
        <v/>
      </c>
      <c r="E20" s="382" t="str">
        <f>IF(D20="","",VLOOKUP($B20,'F-1 Off-Site WaterC'' Baseline'!$C$9:$R$257,4,FALSE))</f>
        <v/>
      </c>
      <c r="F20" s="382" t="str">
        <f>IF(E20="","",VLOOKUP($B20,'F-1 Off-Site WaterC'' Baseline'!$C$9:$R$257,5,FALSE))</f>
        <v/>
      </c>
      <c r="G20" s="382" t="str">
        <f>IF(F20="","",VLOOKUP($B20,'F-1 Off-Site WaterC'' Baseline'!$C$9:$R$257,6,FALSE))</f>
        <v/>
      </c>
      <c r="H20" s="382" t="str">
        <f>IF(G20="","",VLOOKUP($B20,'F-1 Off-Site WaterC'' Baseline'!$C$9:$R$257,7,FALSE))</f>
        <v/>
      </c>
      <c r="I20" s="382" t="str">
        <f>IF(H20="","",VLOOKUP($B20,'F-1 Off-Site WaterC'' Baseline'!$C$9:$R$257,8,FALSE))</f>
        <v/>
      </c>
      <c r="J20" s="382" t="str">
        <f>IF(I20="","",VLOOKUP($B20,'F-1 Off-Site WaterC'' Baseline'!$C$9:$R$257,9,FALSE))</f>
        <v/>
      </c>
      <c r="K20" s="382" t="str">
        <f>IF(J20="","",VLOOKUP($B20,'F-1 Off-Site WaterC'' Baseline'!$C$9:$R$257,10,FALSE))</f>
        <v/>
      </c>
      <c r="L20" s="382" t="str">
        <f>IF(B20="","",VLOOKUP($B20,'F-1 Off-Site WaterC'' Baseline'!$C$9:$R$257,15,FALSE))</f>
        <v/>
      </c>
      <c r="M20" s="386" t="str">
        <f>IF(L20="","",VLOOKUP($B20,'F-1 Off-Site WaterC'' Baseline'!$C$9:$R$257,16,FALSE))</f>
        <v/>
      </c>
      <c r="N20" s="316" t="str">
        <f t="shared" si="0"/>
        <v/>
      </c>
      <c r="O20" s="362" t="str">
        <f t="shared" si="3"/>
        <v/>
      </c>
      <c r="P20" s="363" t="str">
        <f>IF(C20="","",IF(AND(LEFT(C20,55)&lt;&gt;LEFT(N20,55),O20="High - High"),"Error - Not like for like ▲",IF(H20&gt;U20,"Error - Can not reduce condition ▲",IF(AND(F20=S20,H20=U20,AJ20='F-1 Off-Site WaterC'' Baseline'!N18,'F-1 Off-Site WaterC'' Baseline'!P18=AL20),"Error - No enhancement ▲",IF(AND(C20&lt;&gt;N20,F20&lt;S20),"Lower Distinctiveness Habitat"&amp;" - "&amp;T20,G20&amp;" - "&amp;T20)))))</f>
        <v/>
      </c>
      <c r="Q20" s="368" t="str">
        <f>IF(N20="","",VLOOKUP(B20,'F-1 Off-Site WaterC'' Baseline'!$C$10:$AE$257,22,FALSE))</f>
        <v/>
      </c>
      <c r="R20" s="362" t="str">
        <f>IF(N20="","",VLOOKUP(N20,'G-7 WaterC'' Data'!$B$2:$G$8,2,FALSE))</f>
        <v/>
      </c>
      <c r="S20" s="363" t="str">
        <f>IFERROR(VLOOKUP(R20,'G-7 WaterC'' Data'!$C$4:$D$8,2,FALSE),"")</f>
        <v/>
      </c>
      <c r="T20" s="114"/>
      <c r="U20" s="363" t="str">
        <f>IFERROR(INDEX('G-7 WaterC'' Data'!$H$4:$L$8,MATCH(N20,'G-7 WaterC'' Data'!$B$4:$B$8,0),MATCH(T20,'G-7 WaterC'' Data'!$H$3:$L$3,0)),"")</f>
        <v/>
      </c>
      <c r="V20" s="122"/>
      <c r="W20" s="382" t="str">
        <f>IF(V20="","",IF(VLOOKUP(V20,'G-7 WaterC'' Data'!$AK$4:$AM$6,2,FALSE)=0,"Spatial Data Missing ⚠",VLOOKUP(V20,'G-7 WaterC'' Data'!$AK$4:$AM$6,2,FALSE)))</f>
        <v/>
      </c>
      <c r="X20" s="386" t="str">
        <f>IF(V20="","",IF(VLOOKUP(V20,'G-7 WaterC'' Data'!$AK$4:$AM$6,3,FALSE)=0,"Spatial Data Missing ⚠",VLOOKUP(V20,'G-7 WaterC'' Data'!$AK$4:$AM$6,3,FALSE)))</f>
        <v/>
      </c>
      <c r="Y20" s="398" t="str">
        <f>IFERROR(IF(OR(LEFT(P20,5)="Error",LEFT(O20,5)="Error"),"Check Data ⚠",IF(F20&lt;S20,'G-7 WaterC'' Data'!$R$3,INDEX('G-7 WaterC'' Data'!$U$5:$Y$9,MATCH(G20,'G-7 WaterC'' Data'!$T$5:$T$9,0),MATCH(T20,'G-7 WaterC'' Data'!$U$4:$Y$4,0)))),"")</f>
        <v/>
      </c>
      <c r="Z20" s="165"/>
      <c r="AA20" s="165"/>
      <c r="AB20" s="395" t="str">
        <f t="shared" si="4"/>
        <v/>
      </c>
      <c r="AC20" s="383" t="str">
        <f t="shared" si="5"/>
        <v/>
      </c>
      <c r="AD20" s="422" t="str">
        <f>IFERROR(IF(AC20="Check Data ⚠","Check Data ⚠",VLOOKUP(AC20,'G-4 Temporal multipliers'!$A$4:$C$37,3,FALSE)),"")</f>
        <v/>
      </c>
      <c r="AE20" s="398" t="str">
        <f>IF(N20="","",VLOOKUP(N20,'G-7 WaterC'' Data'!$B$4:$G$8,5,FALSE))</f>
        <v/>
      </c>
      <c r="AF20" s="382" t="str">
        <f t="shared" si="1"/>
        <v/>
      </c>
      <c r="AG20" s="382" t="str">
        <f t="shared" si="6"/>
        <v/>
      </c>
      <c r="AH20" s="386" t="str">
        <f t="shared" si="2"/>
        <v/>
      </c>
      <c r="AI20" s="122"/>
      <c r="AJ20" s="363" t="str">
        <f>IF(AI20="","",IF(VLOOKUP(AI20,'G-7 WaterC'' Data'!$AA$4:$AB$7,2,FALSE)=0,"Spatial Data Missing ⚠",VLOOKUP(AI20,'G-7 WaterC'' Data'!$AA$4:$AB$7,2,FALSE)))</f>
        <v/>
      </c>
      <c r="AK20" s="123"/>
      <c r="AL20" s="397" t="str">
        <f>IF(AK20="","",IF(VLOOKUP(AK20,'G-7 WaterC'' Data'!$AD$4:$AE$14,2,FALSE)=0,"Spatial Data Missing ⚠",VLOOKUP(AK20,'G-7 WaterC'' Data'!$AD$4:$AE$14,2,FALSE)))</f>
        <v/>
      </c>
      <c r="AM20" s="122"/>
      <c r="AN20" s="363" t="str">
        <f>IF(AM20="","",IF(VLOOKUP(AM20,'G-7 WaterC'' Data'!$AO$4:$BO$7,2,FALSE)=0,"Spatial Data Missing ⚠",VLOOKUP(AM20,'G-7 WaterC'' Data'!$AO$4:$BO$7,2,FALSE)))</f>
        <v/>
      </c>
      <c r="AO20" s="405" t="str">
        <f t="shared" si="7"/>
        <v/>
      </c>
      <c r="AP20" s="405" t="str">
        <f t="shared" si="8"/>
        <v/>
      </c>
      <c r="AQ20" s="117"/>
      <c r="AR20" s="118"/>
      <c r="AS20" s="120"/>
      <c r="AT20" s="120"/>
      <c r="AY20" s="30" t="str">
        <f>IFERROR(INDEX('G-7 WaterC'' Data'!$AZ$3:$AZ$7,MATCH(N20,'G-7 WaterC'' Data'!$AY$3:$AY$7,0)),"")</f>
        <v/>
      </c>
    </row>
    <row r="21" spans="2:51" ht="15">
      <c r="B21" s="392" t="str">
        <f>'F-1 Off-Site WaterC'' Baseline'!AR19</f>
        <v/>
      </c>
      <c r="C21" s="382" t="str">
        <f>IF(B21="","",VLOOKUP($B21,'F-1 Off-Site WaterC'' Baseline'!$C$9:$R$257,2,FALSE))</f>
        <v/>
      </c>
      <c r="D21" s="382" t="str">
        <f>IF(C21="","",VLOOKUP($B21,'F-1 Off-Site WaterC'' Baseline'!$C$9:$R$257,3,FALSE))</f>
        <v/>
      </c>
      <c r="E21" s="382" t="str">
        <f>IF(D21="","",VLOOKUP($B21,'F-1 Off-Site WaterC'' Baseline'!$C$9:$R$257,4,FALSE))</f>
        <v/>
      </c>
      <c r="F21" s="382" t="str">
        <f>IF(E21="","",VLOOKUP($B21,'F-1 Off-Site WaterC'' Baseline'!$C$9:$R$257,5,FALSE))</f>
        <v/>
      </c>
      <c r="G21" s="382" t="str">
        <f>IF(F21="","",VLOOKUP($B21,'F-1 Off-Site WaterC'' Baseline'!$C$9:$R$257,6,FALSE))</f>
        <v/>
      </c>
      <c r="H21" s="382" t="str">
        <f>IF(G21="","",VLOOKUP($B21,'F-1 Off-Site WaterC'' Baseline'!$C$9:$R$257,7,FALSE))</f>
        <v/>
      </c>
      <c r="I21" s="382" t="str">
        <f>IF(H21="","",VLOOKUP($B21,'F-1 Off-Site WaterC'' Baseline'!$C$9:$R$257,8,FALSE))</f>
        <v/>
      </c>
      <c r="J21" s="382" t="str">
        <f>IF(I21="","",VLOOKUP($B21,'F-1 Off-Site WaterC'' Baseline'!$C$9:$R$257,9,FALSE))</f>
        <v/>
      </c>
      <c r="K21" s="382" t="str">
        <f>IF(J21="","",VLOOKUP($B21,'F-1 Off-Site WaterC'' Baseline'!$C$9:$R$257,10,FALSE))</f>
        <v/>
      </c>
      <c r="L21" s="382" t="str">
        <f>IF(B21="","",VLOOKUP($B21,'F-1 Off-Site WaterC'' Baseline'!$C$9:$R$257,15,FALSE))</f>
        <v/>
      </c>
      <c r="M21" s="386" t="str">
        <f>IF(L21="","",VLOOKUP($B21,'F-1 Off-Site WaterC'' Baseline'!$C$9:$R$257,16,FALSE))</f>
        <v/>
      </c>
      <c r="N21" s="316" t="str">
        <f t="shared" si="0"/>
        <v/>
      </c>
      <c r="O21" s="362" t="str">
        <f t="shared" si="3"/>
        <v/>
      </c>
      <c r="P21" s="363" t="str">
        <f>IF(C21="","",IF(AND(LEFT(C21,55)&lt;&gt;LEFT(N21,55),O21="High - High"),"Error - Not like for like ▲",IF(H21&gt;U21,"Error - Can not reduce condition ▲",IF(AND(F21=S21,H21=U21,AJ21='F-1 Off-Site WaterC'' Baseline'!N19,'F-1 Off-Site WaterC'' Baseline'!P19=AL21),"Error - No enhancement ▲",IF(AND(C21&lt;&gt;N21,F21&lt;S21),"Lower Distinctiveness Habitat"&amp;" - "&amp;T21,G21&amp;" - "&amp;T21)))))</f>
        <v/>
      </c>
      <c r="Q21" s="368" t="str">
        <f>IF(N21="","",VLOOKUP(B21,'F-1 Off-Site WaterC'' Baseline'!$C$10:$AE$257,22,FALSE))</f>
        <v/>
      </c>
      <c r="R21" s="362" t="str">
        <f>IF(N21="","",VLOOKUP(N21,'G-7 WaterC'' Data'!$B$2:$G$8,2,FALSE))</f>
        <v/>
      </c>
      <c r="S21" s="363" t="str">
        <f>IFERROR(VLOOKUP(R21,'G-7 WaterC'' Data'!$C$4:$D$8,2,FALSE),"")</f>
        <v/>
      </c>
      <c r="T21" s="114"/>
      <c r="U21" s="363" t="str">
        <f>IFERROR(INDEX('G-7 WaterC'' Data'!$H$4:$L$8,MATCH(N21,'G-7 WaterC'' Data'!$B$4:$B$8,0),MATCH(T21,'G-7 WaterC'' Data'!$H$3:$L$3,0)),"")</f>
        <v/>
      </c>
      <c r="V21" s="122"/>
      <c r="W21" s="382" t="str">
        <f>IF(V21="","",IF(VLOOKUP(V21,'G-7 WaterC'' Data'!$AK$4:$AM$6,2,FALSE)=0,"Spatial Data Missing ⚠",VLOOKUP(V21,'G-7 WaterC'' Data'!$AK$4:$AM$6,2,FALSE)))</f>
        <v/>
      </c>
      <c r="X21" s="386" t="str">
        <f>IF(V21="","",IF(VLOOKUP(V21,'G-7 WaterC'' Data'!$AK$4:$AM$6,3,FALSE)=0,"Spatial Data Missing ⚠",VLOOKUP(V21,'G-7 WaterC'' Data'!$AK$4:$AM$6,3,FALSE)))</f>
        <v/>
      </c>
      <c r="Y21" s="398" t="str">
        <f>IFERROR(IF(OR(LEFT(P21,5)="Error",LEFT(O21,5)="Error"),"Check Data ⚠",IF(F21&lt;S21,'G-7 WaterC'' Data'!$R$3,INDEX('G-7 WaterC'' Data'!$U$5:$Y$9,MATCH(G21,'G-7 WaterC'' Data'!$T$5:$T$9,0),MATCH(T21,'G-7 WaterC'' Data'!$U$4:$Y$4,0)))),"")</f>
        <v/>
      </c>
      <c r="Z21" s="165"/>
      <c r="AA21" s="165"/>
      <c r="AB21" s="395" t="str">
        <f t="shared" si="4"/>
        <v/>
      </c>
      <c r="AC21" s="383" t="str">
        <f t="shared" si="5"/>
        <v/>
      </c>
      <c r="AD21" s="422" t="str">
        <f>IFERROR(IF(AC21="Check Data ⚠","Check Data ⚠",VLOOKUP(AC21,'G-4 Temporal multipliers'!$A$4:$C$37,3,FALSE)),"")</f>
        <v/>
      </c>
      <c r="AE21" s="398" t="str">
        <f>IF(N21="","",VLOOKUP(N21,'G-7 WaterC'' Data'!$B$4:$G$8,5,FALSE))</f>
        <v/>
      </c>
      <c r="AF21" s="382" t="str">
        <f t="shared" si="1"/>
        <v/>
      </c>
      <c r="AG21" s="382" t="str">
        <f t="shared" si="6"/>
        <v/>
      </c>
      <c r="AH21" s="386" t="str">
        <f t="shared" si="2"/>
        <v/>
      </c>
      <c r="AI21" s="122"/>
      <c r="AJ21" s="363" t="str">
        <f>IF(AI21="","",IF(VLOOKUP(AI21,'G-7 WaterC'' Data'!$AA$4:$AB$7,2,FALSE)=0,"Spatial Data Missing ⚠",VLOOKUP(AI21,'G-7 WaterC'' Data'!$AA$4:$AB$7,2,FALSE)))</f>
        <v/>
      </c>
      <c r="AK21" s="123"/>
      <c r="AL21" s="397" t="str">
        <f>IF(AK21="","",IF(VLOOKUP(AK21,'G-7 WaterC'' Data'!$AD$4:$AE$14,2,FALSE)=0,"Spatial Data Missing ⚠",VLOOKUP(AK21,'G-7 WaterC'' Data'!$AD$4:$AE$14,2,FALSE)))</f>
        <v/>
      </c>
      <c r="AM21" s="122"/>
      <c r="AN21" s="363" t="str">
        <f>IF(AM21="","",IF(VLOOKUP(AM21,'G-7 WaterC'' Data'!$AO$4:$BO$7,2,FALSE)=0,"Spatial Data Missing ⚠",VLOOKUP(AM21,'G-7 WaterC'' Data'!$AO$4:$BO$7,2,FALSE)))</f>
        <v/>
      </c>
      <c r="AO21" s="405" t="str">
        <f t="shared" si="7"/>
        <v/>
      </c>
      <c r="AP21" s="405" t="str">
        <f t="shared" si="8"/>
        <v/>
      </c>
      <c r="AQ21" s="117"/>
      <c r="AR21" s="118"/>
      <c r="AS21" s="120"/>
      <c r="AT21" s="120"/>
      <c r="AY21" s="30" t="str">
        <f>IFERROR(INDEX('G-7 WaterC'' Data'!$AZ$3:$AZ$7,MATCH(N21,'G-7 WaterC'' Data'!$AY$3:$AY$7,0)),"")</f>
        <v/>
      </c>
    </row>
    <row r="22" spans="2:51" ht="15">
      <c r="B22" s="392" t="str">
        <f>'F-1 Off-Site WaterC'' Baseline'!AR20</f>
        <v/>
      </c>
      <c r="C22" s="382" t="str">
        <f>IF(B22="","",VLOOKUP($B22,'F-1 Off-Site WaterC'' Baseline'!$C$9:$R$257,2,FALSE))</f>
        <v/>
      </c>
      <c r="D22" s="382" t="str">
        <f>IF(C22="","",VLOOKUP($B22,'F-1 Off-Site WaterC'' Baseline'!$C$9:$R$257,3,FALSE))</f>
        <v/>
      </c>
      <c r="E22" s="382" t="str">
        <f>IF(D22="","",VLOOKUP($B22,'F-1 Off-Site WaterC'' Baseline'!$C$9:$R$257,4,FALSE))</f>
        <v/>
      </c>
      <c r="F22" s="382" t="str">
        <f>IF(E22="","",VLOOKUP($B22,'F-1 Off-Site WaterC'' Baseline'!$C$9:$R$257,5,FALSE))</f>
        <v/>
      </c>
      <c r="G22" s="382" t="str">
        <f>IF(F22="","",VLOOKUP($B22,'F-1 Off-Site WaterC'' Baseline'!$C$9:$R$257,6,FALSE))</f>
        <v/>
      </c>
      <c r="H22" s="382" t="str">
        <f>IF(G22="","",VLOOKUP($B22,'F-1 Off-Site WaterC'' Baseline'!$C$9:$R$257,7,FALSE))</f>
        <v/>
      </c>
      <c r="I22" s="382" t="str">
        <f>IF(H22="","",VLOOKUP($B22,'F-1 Off-Site WaterC'' Baseline'!$C$9:$R$257,8,FALSE))</f>
        <v/>
      </c>
      <c r="J22" s="382" t="str">
        <f>IF(I22="","",VLOOKUP($B22,'F-1 Off-Site WaterC'' Baseline'!$C$9:$R$257,9,FALSE))</f>
        <v/>
      </c>
      <c r="K22" s="382" t="str">
        <f>IF(J22="","",VLOOKUP($B22,'F-1 Off-Site WaterC'' Baseline'!$C$9:$R$257,10,FALSE))</f>
        <v/>
      </c>
      <c r="L22" s="382" t="str">
        <f>IF(B22="","",VLOOKUP($B22,'F-1 Off-Site WaterC'' Baseline'!$C$9:$R$257,15,FALSE))</f>
        <v/>
      </c>
      <c r="M22" s="386" t="str">
        <f>IF(L22="","",VLOOKUP($B22,'F-1 Off-Site WaterC'' Baseline'!$C$9:$R$257,16,FALSE))</f>
        <v/>
      </c>
      <c r="N22" s="316" t="str">
        <f t="shared" si="0"/>
        <v/>
      </c>
      <c r="O22" s="362" t="str">
        <f t="shared" si="3"/>
        <v/>
      </c>
      <c r="P22" s="363" t="str">
        <f>IF(C22="","",IF(AND(LEFT(C22,55)&lt;&gt;LEFT(N22,55),O22="High - High"),"Error - Not like for like ▲",IF(H22&gt;U22,"Error - Can not reduce condition ▲",IF(AND(F22=S22,H22=U22,AJ22='F-1 Off-Site WaterC'' Baseline'!N20,'F-1 Off-Site WaterC'' Baseline'!P20=AL22),"Error - No enhancement ▲",IF(AND(C22&lt;&gt;N22,F22&lt;S22),"Lower Distinctiveness Habitat"&amp;" - "&amp;T22,G22&amp;" - "&amp;T22)))))</f>
        <v/>
      </c>
      <c r="Q22" s="368" t="str">
        <f>IF(N22="","",VLOOKUP(B22,'F-1 Off-Site WaterC'' Baseline'!$C$10:$AE$257,22,FALSE))</f>
        <v/>
      </c>
      <c r="R22" s="362" t="str">
        <f>IF(N22="","",VLOOKUP(N22,'G-7 WaterC'' Data'!$B$2:$G$8,2,FALSE))</f>
        <v/>
      </c>
      <c r="S22" s="363" t="str">
        <f>IFERROR(VLOOKUP(R22,'G-7 WaterC'' Data'!$C$4:$D$8,2,FALSE),"")</f>
        <v/>
      </c>
      <c r="T22" s="114"/>
      <c r="U22" s="363" t="str">
        <f>IFERROR(INDEX('G-7 WaterC'' Data'!$H$4:$L$8,MATCH(N22,'G-7 WaterC'' Data'!$B$4:$B$8,0),MATCH(T22,'G-7 WaterC'' Data'!$H$3:$L$3,0)),"")</f>
        <v/>
      </c>
      <c r="V22" s="122"/>
      <c r="W22" s="382" t="str">
        <f>IF(V22="","",IF(VLOOKUP(V22,'G-7 WaterC'' Data'!$AK$4:$AM$6,2,FALSE)=0,"Spatial Data Missing ⚠",VLOOKUP(V22,'G-7 WaterC'' Data'!$AK$4:$AM$6,2,FALSE)))</f>
        <v/>
      </c>
      <c r="X22" s="386" t="str">
        <f>IF(V22="","",IF(VLOOKUP(V22,'G-7 WaterC'' Data'!$AK$4:$AM$6,3,FALSE)=0,"Spatial Data Missing ⚠",VLOOKUP(V22,'G-7 WaterC'' Data'!$AK$4:$AM$6,3,FALSE)))</f>
        <v/>
      </c>
      <c r="Y22" s="398" t="str">
        <f>IFERROR(IF(OR(LEFT(P22,5)="Error",LEFT(O22,5)="Error"),"Check Data ⚠",IF(F22&lt;S22,'G-7 WaterC'' Data'!$R$3,INDEX('G-7 WaterC'' Data'!$U$5:$Y$9,MATCH(G22,'G-7 WaterC'' Data'!$T$5:$T$9,0),MATCH(T22,'G-7 WaterC'' Data'!$U$4:$Y$4,0)))),"")</f>
        <v/>
      </c>
      <c r="Z22" s="165"/>
      <c r="AA22" s="165"/>
      <c r="AB22" s="395" t="str">
        <f t="shared" si="4"/>
        <v/>
      </c>
      <c r="AC22" s="383" t="str">
        <f t="shared" si="5"/>
        <v/>
      </c>
      <c r="AD22" s="422" t="str">
        <f>IFERROR(IF(AC22="Check Data ⚠","Check Data ⚠",VLOOKUP(AC22,'G-4 Temporal multipliers'!$A$4:$C$37,3,FALSE)),"")</f>
        <v/>
      </c>
      <c r="AE22" s="398" t="str">
        <f>IF(N22="","",VLOOKUP(N22,'G-7 WaterC'' Data'!$B$4:$G$8,5,FALSE))</f>
        <v/>
      </c>
      <c r="AF22" s="382" t="str">
        <f t="shared" si="1"/>
        <v/>
      </c>
      <c r="AG22" s="382" t="str">
        <f t="shared" si="6"/>
        <v/>
      </c>
      <c r="AH22" s="386" t="str">
        <f t="shared" si="2"/>
        <v/>
      </c>
      <c r="AI22" s="122"/>
      <c r="AJ22" s="363" t="str">
        <f>IF(AI22="","",IF(VLOOKUP(AI22,'G-7 WaterC'' Data'!$AA$4:$AB$7,2,FALSE)=0,"Spatial Data Missing ⚠",VLOOKUP(AI22,'G-7 WaterC'' Data'!$AA$4:$AB$7,2,FALSE)))</f>
        <v/>
      </c>
      <c r="AK22" s="123"/>
      <c r="AL22" s="397" t="str">
        <f>IF(AK22="","",IF(VLOOKUP(AK22,'G-7 WaterC'' Data'!$AD$4:$AE$14,2,FALSE)=0,"Spatial Data Missing ⚠",VLOOKUP(AK22,'G-7 WaterC'' Data'!$AD$4:$AE$14,2,FALSE)))</f>
        <v/>
      </c>
      <c r="AM22" s="122"/>
      <c r="AN22" s="363" t="str">
        <f>IF(AM22="","",IF(VLOOKUP(AM22,'G-7 WaterC'' Data'!$AO$4:$BO$7,2,FALSE)=0,"Spatial Data Missing ⚠",VLOOKUP(AM22,'G-7 WaterC'' Data'!$AO$4:$BO$7,2,FALSE)))</f>
        <v/>
      </c>
      <c r="AO22" s="405" t="str">
        <f t="shared" si="7"/>
        <v/>
      </c>
      <c r="AP22" s="405" t="str">
        <f t="shared" si="8"/>
        <v/>
      </c>
      <c r="AQ22" s="117"/>
      <c r="AR22" s="118"/>
      <c r="AS22" s="120"/>
      <c r="AT22" s="120"/>
      <c r="AY22" s="30" t="str">
        <f>IFERROR(INDEX('G-7 WaterC'' Data'!$AZ$3:$AZ$7,MATCH(N22,'G-7 WaterC'' Data'!$AY$3:$AY$7,0)),"")</f>
        <v/>
      </c>
    </row>
    <row r="23" spans="2:51" ht="15">
      <c r="B23" s="392" t="str">
        <f>'F-1 Off-Site WaterC'' Baseline'!AR21</f>
        <v/>
      </c>
      <c r="C23" s="382" t="str">
        <f>IF(B23="","",VLOOKUP($B23,'F-1 Off-Site WaterC'' Baseline'!$C$9:$R$257,2,FALSE))</f>
        <v/>
      </c>
      <c r="D23" s="382" t="str">
        <f>IF(C23="","",VLOOKUP($B23,'F-1 Off-Site WaterC'' Baseline'!$C$9:$R$257,3,FALSE))</f>
        <v/>
      </c>
      <c r="E23" s="382" t="str">
        <f>IF(D23="","",VLOOKUP($B23,'F-1 Off-Site WaterC'' Baseline'!$C$9:$R$257,4,FALSE))</f>
        <v/>
      </c>
      <c r="F23" s="382" t="str">
        <f>IF(E23="","",VLOOKUP($B23,'F-1 Off-Site WaterC'' Baseline'!$C$9:$R$257,5,FALSE))</f>
        <v/>
      </c>
      <c r="G23" s="382" t="str">
        <f>IF(F23="","",VLOOKUP($B23,'F-1 Off-Site WaterC'' Baseline'!$C$9:$R$257,6,FALSE))</f>
        <v/>
      </c>
      <c r="H23" s="382" t="str">
        <f>IF(G23="","",VLOOKUP($B23,'F-1 Off-Site WaterC'' Baseline'!$C$9:$R$257,7,FALSE))</f>
        <v/>
      </c>
      <c r="I23" s="382" t="str">
        <f>IF(H23="","",VLOOKUP($B23,'F-1 Off-Site WaterC'' Baseline'!$C$9:$R$257,8,FALSE))</f>
        <v/>
      </c>
      <c r="J23" s="382" t="str">
        <f>IF(I23="","",VLOOKUP($B23,'F-1 Off-Site WaterC'' Baseline'!$C$9:$R$257,9,FALSE))</f>
        <v/>
      </c>
      <c r="K23" s="382" t="str">
        <f>IF(J23="","",VLOOKUP($B23,'F-1 Off-Site WaterC'' Baseline'!$C$9:$R$257,10,FALSE))</f>
        <v/>
      </c>
      <c r="L23" s="382" t="str">
        <f>IF(B23="","",VLOOKUP($B23,'F-1 Off-Site WaterC'' Baseline'!$C$9:$R$257,15,FALSE))</f>
        <v/>
      </c>
      <c r="M23" s="386" t="str">
        <f>IF(L23="","",VLOOKUP($B23,'F-1 Off-Site WaterC'' Baseline'!$C$9:$R$257,16,FALSE))</f>
        <v/>
      </c>
      <c r="N23" s="316" t="str">
        <f t="shared" si="0"/>
        <v/>
      </c>
      <c r="O23" s="362" t="str">
        <f t="shared" si="3"/>
        <v/>
      </c>
      <c r="P23" s="363" t="str">
        <f>IF(C23="","",IF(AND(LEFT(C23,55)&lt;&gt;LEFT(N23,55),O23="High - High"),"Error - Not like for like ▲",IF(H23&gt;U23,"Error - Can not reduce condition ▲",IF(AND(F23=S23,H23=U23,AJ23='F-1 Off-Site WaterC'' Baseline'!N21,'F-1 Off-Site WaterC'' Baseline'!P21=AL23),"Error - No enhancement ▲",IF(AND(C23&lt;&gt;N23,F23&lt;S23),"Lower Distinctiveness Habitat"&amp;" - "&amp;T23,G23&amp;" - "&amp;T23)))))</f>
        <v/>
      </c>
      <c r="Q23" s="368" t="str">
        <f>IF(N23="","",VLOOKUP(B23,'F-1 Off-Site WaterC'' Baseline'!$C$10:$AE$257,22,FALSE))</f>
        <v/>
      </c>
      <c r="R23" s="362" t="str">
        <f>IF(N23="","",VLOOKUP(N23,'G-7 WaterC'' Data'!$B$2:$G$8,2,FALSE))</f>
        <v/>
      </c>
      <c r="S23" s="363" t="str">
        <f>IFERROR(VLOOKUP(R23,'G-7 WaterC'' Data'!$C$4:$D$8,2,FALSE),"")</f>
        <v/>
      </c>
      <c r="T23" s="114"/>
      <c r="U23" s="363" t="str">
        <f>IFERROR(INDEX('G-7 WaterC'' Data'!$H$4:$L$8,MATCH(N23,'G-7 WaterC'' Data'!$B$4:$B$8,0),MATCH(T23,'G-7 WaterC'' Data'!$H$3:$L$3,0)),"")</f>
        <v/>
      </c>
      <c r="V23" s="122"/>
      <c r="W23" s="382" t="str">
        <f>IF(V23="","",IF(VLOOKUP(V23,'G-7 WaterC'' Data'!$AK$4:$AM$6,2,FALSE)=0,"Spatial Data Missing ⚠",VLOOKUP(V23,'G-7 WaterC'' Data'!$AK$4:$AM$6,2,FALSE)))</f>
        <v/>
      </c>
      <c r="X23" s="386" t="str">
        <f>IF(V23="","",IF(VLOOKUP(V23,'G-7 WaterC'' Data'!$AK$4:$AM$6,3,FALSE)=0,"Spatial Data Missing ⚠",VLOOKUP(V23,'G-7 WaterC'' Data'!$AK$4:$AM$6,3,FALSE)))</f>
        <v/>
      </c>
      <c r="Y23" s="398" t="str">
        <f>IFERROR(IF(OR(LEFT(P23,5)="Error",LEFT(O23,5)="Error"),"Check Data ⚠",IF(F23&lt;S23,'G-7 WaterC'' Data'!$R$3,INDEX('G-7 WaterC'' Data'!$U$5:$Y$9,MATCH(G23,'G-7 WaterC'' Data'!$T$5:$T$9,0),MATCH(T23,'G-7 WaterC'' Data'!$U$4:$Y$4,0)))),"")</f>
        <v/>
      </c>
      <c r="Z23" s="165"/>
      <c r="AA23" s="165"/>
      <c r="AB23" s="395" t="str">
        <f t="shared" si="4"/>
        <v/>
      </c>
      <c r="AC23" s="383" t="str">
        <f t="shared" si="5"/>
        <v/>
      </c>
      <c r="AD23" s="422" t="str">
        <f>IFERROR(IF(AC23="Check Data ⚠","Check Data ⚠",VLOOKUP(AC23,'G-4 Temporal multipliers'!$A$4:$C$37,3,FALSE)),"")</f>
        <v/>
      </c>
      <c r="AE23" s="398" t="str">
        <f>IF(N23="","",VLOOKUP(N23,'G-7 WaterC'' Data'!$B$4:$G$8,5,FALSE))</f>
        <v/>
      </c>
      <c r="AF23" s="382" t="str">
        <f t="shared" si="1"/>
        <v/>
      </c>
      <c r="AG23" s="382" t="str">
        <f t="shared" si="6"/>
        <v/>
      </c>
      <c r="AH23" s="386" t="str">
        <f t="shared" si="2"/>
        <v/>
      </c>
      <c r="AI23" s="122"/>
      <c r="AJ23" s="363" t="str">
        <f>IF(AI23="","",IF(VLOOKUP(AI23,'G-7 WaterC'' Data'!$AA$4:$AB$7,2,FALSE)=0,"Spatial Data Missing ⚠",VLOOKUP(AI23,'G-7 WaterC'' Data'!$AA$4:$AB$7,2,FALSE)))</f>
        <v/>
      </c>
      <c r="AK23" s="123"/>
      <c r="AL23" s="397" t="str">
        <f>IF(AK23="","",IF(VLOOKUP(AK23,'G-7 WaterC'' Data'!$AD$4:$AE$14,2,FALSE)=0,"Spatial Data Missing ⚠",VLOOKUP(AK23,'G-7 WaterC'' Data'!$AD$4:$AE$14,2,FALSE)))</f>
        <v/>
      </c>
      <c r="AM23" s="122"/>
      <c r="AN23" s="363" t="str">
        <f>IF(AM23="","",IF(VLOOKUP(AM23,'G-7 WaterC'' Data'!$AO$4:$BO$7,2,FALSE)=0,"Spatial Data Missing ⚠",VLOOKUP(AM23,'G-7 WaterC'' Data'!$AO$4:$BO$7,2,FALSE)))</f>
        <v/>
      </c>
      <c r="AO23" s="405" t="str">
        <f t="shared" si="7"/>
        <v/>
      </c>
      <c r="AP23" s="405" t="str">
        <f t="shared" si="8"/>
        <v/>
      </c>
      <c r="AQ23" s="117"/>
      <c r="AR23" s="118"/>
      <c r="AS23" s="120"/>
      <c r="AT23" s="120"/>
      <c r="AY23" s="30" t="str">
        <f>IFERROR(INDEX('G-7 WaterC'' Data'!$AZ$3:$AZ$7,MATCH(N23,'G-7 WaterC'' Data'!$AY$3:$AY$7,0)),"")</f>
        <v/>
      </c>
    </row>
    <row r="24" spans="2:51" ht="15">
      <c r="B24" s="392" t="str">
        <f>'F-1 Off-Site WaterC'' Baseline'!AR22</f>
        <v/>
      </c>
      <c r="C24" s="382" t="str">
        <f>IF(B24="","",VLOOKUP($B24,'F-1 Off-Site WaterC'' Baseline'!$C$9:$R$257,2,FALSE))</f>
        <v/>
      </c>
      <c r="D24" s="382" t="str">
        <f>IF(C24="","",VLOOKUP($B24,'F-1 Off-Site WaterC'' Baseline'!$C$9:$R$257,3,FALSE))</f>
        <v/>
      </c>
      <c r="E24" s="382" t="str">
        <f>IF(D24="","",VLOOKUP($B24,'F-1 Off-Site WaterC'' Baseline'!$C$9:$R$257,4,FALSE))</f>
        <v/>
      </c>
      <c r="F24" s="382" t="str">
        <f>IF(E24="","",VLOOKUP($B24,'F-1 Off-Site WaterC'' Baseline'!$C$9:$R$257,5,FALSE))</f>
        <v/>
      </c>
      <c r="G24" s="382" t="str">
        <f>IF(F24="","",VLOOKUP($B24,'F-1 Off-Site WaterC'' Baseline'!$C$9:$R$257,6,FALSE))</f>
        <v/>
      </c>
      <c r="H24" s="382" t="str">
        <f>IF(G24="","",VLOOKUP($B24,'F-1 Off-Site WaterC'' Baseline'!$C$9:$R$257,7,FALSE))</f>
        <v/>
      </c>
      <c r="I24" s="382" t="str">
        <f>IF(H24="","",VLOOKUP($B24,'F-1 Off-Site WaterC'' Baseline'!$C$9:$R$257,8,FALSE))</f>
        <v/>
      </c>
      <c r="J24" s="382" t="str">
        <f>IF(I24="","",VLOOKUP($B24,'F-1 Off-Site WaterC'' Baseline'!$C$9:$R$257,9,FALSE))</f>
        <v/>
      </c>
      <c r="K24" s="382" t="str">
        <f>IF(J24="","",VLOOKUP($B24,'F-1 Off-Site WaterC'' Baseline'!$C$9:$R$257,10,FALSE))</f>
        <v/>
      </c>
      <c r="L24" s="382" t="str">
        <f>IF(B24="","",VLOOKUP($B24,'F-1 Off-Site WaterC'' Baseline'!$C$9:$R$257,15,FALSE))</f>
        <v/>
      </c>
      <c r="M24" s="386" t="str">
        <f>IF(L24="","",VLOOKUP($B24,'F-1 Off-Site WaterC'' Baseline'!$C$9:$R$257,16,FALSE))</f>
        <v/>
      </c>
      <c r="N24" s="316" t="str">
        <f t="shared" si="0"/>
        <v/>
      </c>
      <c r="O24" s="362" t="str">
        <f t="shared" si="3"/>
        <v/>
      </c>
      <c r="P24" s="363" t="str">
        <f>IF(C24="","",IF(AND(LEFT(C24,55)&lt;&gt;LEFT(N24,55),O24="High - High"),"Error - Not like for like ▲",IF(H24&gt;U24,"Error - Can not reduce condition ▲",IF(AND(F24=S24,H24=U24,AJ24='F-1 Off-Site WaterC'' Baseline'!N22,'F-1 Off-Site WaterC'' Baseline'!P22=AL24),"Error - No enhancement ▲",IF(AND(C24&lt;&gt;N24,F24&lt;S24),"Lower Distinctiveness Habitat"&amp;" - "&amp;T24,G24&amp;" - "&amp;T24)))))</f>
        <v/>
      </c>
      <c r="Q24" s="368" t="str">
        <f>IF(N24="","",VLOOKUP(B24,'F-1 Off-Site WaterC'' Baseline'!$C$10:$AE$257,22,FALSE))</f>
        <v/>
      </c>
      <c r="R24" s="362" t="str">
        <f>IF(N24="","",VLOOKUP(N24,'G-7 WaterC'' Data'!$B$2:$G$8,2,FALSE))</f>
        <v/>
      </c>
      <c r="S24" s="363" t="str">
        <f>IFERROR(VLOOKUP(R24,'G-7 WaterC'' Data'!$C$4:$D$8,2,FALSE),"")</f>
        <v/>
      </c>
      <c r="T24" s="114"/>
      <c r="U24" s="363" t="str">
        <f>IFERROR(INDEX('G-7 WaterC'' Data'!$H$4:$L$8,MATCH(N24,'G-7 WaterC'' Data'!$B$4:$B$8,0),MATCH(T24,'G-7 WaterC'' Data'!$H$3:$L$3,0)),"")</f>
        <v/>
      </c>
      <c r="V24" s="122"/>
      <c r="W24" s="382" t="str">
        <f>IF(V24="","",IF(VLOOKUP(V24,'G-7 WaterC'' Data'!$AK$4:$AM$6,2,FALSE)=0,"Spatial Data Missing ⚠",VLOOKUP(V24,'G-7 WaterC'' Data'!$AK$4:$AM$6,2,FALSE)))</f>
        <v/>
      </c>
      <c r="X24" s="386" t="str">
        <f>IF(V24="","",IF(VLOOKUP(V24,'G-7 WaterC'' Data'!$AK$4:$AM$6,3,FALSE)=0,"Spatial Data Missing ⚠",VLOOKUP(V24,'G-7 WaterC'' Data'!$AK$4:$AM$6,3,FALSE)))</f>
        <v/>
      </c>
      <c r="Y24" s="398" t="str">
        <f>IFERROR(IF(OR(LEFT(P24,5)="Error",LEFT(O24,5)="Error"),"Check Data ⚠",IF(F24&lt;S24,'G-7 WaterC'' Data'!$R$3,INDEX('G-7 WaterC'' Data'!$U$5:$Y$9,MATCH(G24,'G-7 WaterC'' Data'!$T$5:$T$9,0),MATCH(T24,'G-7 WaterC'' Data'!$U$4:$Y$4,0)))),"")</f>
        <v/>
      </c>
      <c r="Z24" s="165"/>
      <c r="AA24" s="165"/>
      <c r="AB24" s="395" t="str">
        <f t="shared" si="4"/>
        <v/>
      </c>
      <c r="AC24" s="383" t="str">
        <f t="shared" si="5"/>
        <v/>
      </c>
      <c r="AD24" s="422" t="str">
        <f>IFERROR(IF(AC24="Check Data ⚠","Check Data ⚠",VLOOKUP(AC24,'G-4 Temporal multipliers'!$A$4:$C$37,3,FALSE)),"")</f>
        <v/>
      </c>
      <c r="AE24" s="398" t="str">
        <f>IF(N24="","",VLOOKUP(N24,'G-7 WaterC'' Data'!$B$4:$G$8,5,FALSE))</f>
        <v/>
      </c>
      <c r="AF24" s="382" t="str">
        <f t="shared" si="1"/>
        <v/>
      </c>
      <c r="AG24" s="382" t="str">
        <f t="shared" si="6"/>
        <v/>
      </c>
      <c r="AH24" s="386" t="str">
        <f t="shared" si="2"/>
        <v/>
      </c>
      <c r="AI24" s="122"/>
      <c r="AJ24" s="363" t="str">
        <f>IF(AI24="","",IF(VLOOKUP(AI24,'G-7 WaterC'' Data'!$AA$4:$AB$7,2,FALSE)=0,"Spatial Data Missing ⚠",VLOOKUP(AI24,'G-7 WaterC'' Data'!$AA$4:$AB$7,2,FALSE)))</f>
        <v/>
      </c>
      <c r="AK24" s="123"/>
      <c r="AL24" s="397" t="str">
        <f>IF(AK24="","",IF(VLOOKUP(AK24,'G-7 WaterC'' Data'!$AD$4:$AE$14,2,FALSE)=0,"Spatial Data Missing ⚠",VLOOKUP(AK24,'G-7 WaterC'' Data'!$AD$4:$AE$14,2,FALSE)))</f>
        <v/>
      </c>
      <c r="AM24" s="122"/>
      <c r="AN24" s="363" t="str">
        <f>IF(AM24="","",IF(VLOOKUP(AM24,'G-7 WaterC'' Data'!$AO$4:$BO$7,2,FALSE)=0,"Spatial Data Missing ⚠",VLOOKUP(AM24,'G-7 WaterC'' Data'!$AO$4:$BO$7,2,FALSE)))</f>
        <v/>
      </c>
      <c r="AO24" s="405" t="str">
        <f t="shared" si="7"/>
        <v/>
      </c>
      <c r="AP24" s="405" t="str">
        <f t="shared" si="8"/>
        <v/>
      </c>
      <c r="AQ24" s="117"/>
      <c r="AR24" s="118"/>
      <c r="AS24" s="120"/>
      <c r="AT24" s="120"/>
      <c r="AY24" s="30" t="str">
        <f>IFERROR(INDEX('G-7 WaterC'' Data'!$AZ$3:$AZ$7,MATCH(N24,'G-7 WaterC'' Data'!$AY$3:$AY$7,0)),"")</f>
        <v/>
      </c>
    </row>
    <row r="25" spans="2:51" ht="15">
      <c r="B25" s="392" t="str">
        <f>'F-1 Off-Site WaterC'' Baseline'!AR23</f>
        <v/>
      </c>
      <c r="C25" s="382" t="str">
        <f>IF(B25="","",VLOOKUP($B25,'F-1 Off-Site WaterC'' Baseline'!$C$9:$R$257,2,FALSE))</f>
        <v/>
      </c>
      <c r="D25" s="382" t="str">
        <f>IF(C25="","",VLOOKUP($B25,'F-1 Off-Site WaterC'' Baseline'!$C$9:$R$257,3,FALSE))</f>
        <v/>
      </c>
      <c r="E25" s="382" t="str">
        <f>IF(D25="","",VLOOKUP($B25,'F-1 Off-Site WaterC'' Baseline'!$C$9:$R$257,4,FALSE))</f>
        <v/>
      </c>
      <c r="F25" s="382" t="str">
        <f>IF(E25="","",VLOOKUP($B25,'F-1 Off-Site WaterC'' Baseline'!$C$9:$R$257,5,FALSE))</f>
        <v/>
      </c>
      <c r="G25" s="382" t="str">
        <f>IF(F25="","",VLOOKUP($B25,'F-1 Off-Site WaterC'' Baseline'!$C$9:$R$257,6,FALSE))</f>
        <v/>
      </c>
      <c r="H25" s="382" t="str">
        <f>IF(G25="","",VLOOKUP($B25,'F-1 Off-Site WaterC'' Baseline'!$C$9:$R$257,7,FALSE))</f>
        <v/>
      </c>
      <c r="I25" s="382" t="str">
        <f>IF(H25="","",VLOOKUP($B25,'F-1 Off-Site WaterC'' Baseline'!$C$9:$R$257,8,FALSE))</f>
        <v/>
      </c>
      <c r="J25" s="382" t="str">
        <f>IF(I25="","",VLOOKUP($B25,'F-1 Off-Site WaterC'' Baseline'!$C$9:$R$257,9,FALSE))</f>
        <v/>
      </c>
      <c r="K25" s="382" t="str">
        <f>IF(J25="","",VLOOKUP($B25,'F-1 Off-Site WaterC'' Baseline'!$C$9:$R$257,10,FALSE))</f>
        <v/>
      </c>
      <c r="L25" s="382" t="str">
        <f>IF(B25="","",VLOOKUP($B25,'F-1 Off-Site WaterC'' Baseline'!$C$9:$R$257,15,FALSE))</f>
        <v/>
      </c>
      <c r="M25" s="386" t="str">
        <f>IF(L25="","",VLOOKUP($B25,'F-1 Off-Site WaterC'' Baseline'!$C$9:$R$257,16,FALSE))</f>
        <v/>
      </c>
      <c r="N25" s="316" t="str">
        <f t="shared" si="0"/>
        <v/>
      </c>
      <c r="O25" s="362" t="str">
        <f t="shared" si="3"/>
        <v/>
      </c>
      <c r="P25" s="363" t="str">
        <f>IF(C25="","",IF(AND(LEFT(C25,55)&lt;&gt;LEFT(N25,55),O25="High - High"),"Error - Not like for like ▲",IF(H25&gt;U25,"Error - Can not reduce condition ▲",IF(AND(F25=S25,H25=U25,AJ25='F-1 Off-Site WaterC'' Baseline'!N23,'F-1 Off-Site WaterC'' Baseline'!P23=AL25),"Error - No enhancement ▲",IF(AND(C25&lt;&gt;N25,F25&lt;S25),"Lower Distinctiveness Habitat"&amp;" - "&amp;T25,G25&amp;" - "&amp;T25)))))</f>
        <v/>
      </c>
      <c r="Q25" s="368" t="str">
        <f>IF(N25="","",VLOOKUP(B25,'F-1 Off-Site WaterC'' Baseline'!$C$10:$AE$257,22,FALSE))</f>
        <v/>
      </c>
      <c r="R25" s="362" t="str">
        <f>IF(N25="","",VLOOKUP(N25,'G-7 WaterC'' Data'!$B$2:$G$8,2,FALSE))</f>
        <v/>
      </c>
      <c r="S25" s="363" t="str">
        <f>IFERROR(VLOOKUP(R25,'G-7 WaterC'' Data'!$C$4:$D$8,2,FALSE),"")</f>
        <v/>
      </c>
      <c r="T25" s="114"/>
      <c r="U25" s="363" t="str">
        <f>IFERROR(INDEX('G-7 WaterC'' Data'!$H$4:$L$8,MATCH(N25,'G-7 WaterC'' Data'!$B$4:$B$8,0),MATCH(T25,'G-7 WaterC'' Data'!$H$3:$L$3,0)),"")</f>
        <v/>
      </c>
      <c r="V25" s="122"/>
      <c r="W25" s="382" t="str">
        <f>IF(V25="","",IF(VLOOKUP(V25,'G-7 WaterC'' Data'!$AK$4:$AM$6,2,FALSE)=0,"Spatial Data Missing ⚠",VLOOKUP(V25,'G-7 WaterC'' Data'!$AK$4:$AM$6,2,FALSE)))</f>
        <v/>
      </c>
      <c r="X25" s="386" t="str">
        <f>IF(V25="","",IF(VLOOKUP(V25,'G-7 WaterC'' Data'!$AK$4:$AM$6,3,FALSE)=0,"Spatial Data Missing ⚠",VLOOKUP(V25,'G-7 WaterC'' Data'!$AK$4:$AM$6,3,FALSE)))</f>
        <v/>
      </c>
      <c r="Y25" s="398" t="str">
        <f>IFERROR(IF(OR(LEFT(P25,5)="Error",LEFT(O25,5)="Error"),"Check Data ⚠",IF(F25&lt;S25,'G-7 WaterC'' Data'!$R$3,INDEX('G-7 WaterC'' Data'!$U$5:$Y$9,MATCH(G25,'G-7 WaterC'' Data'!$T$5:$T$9,0),MATCH(T25,'G-7 WaterC'' Data'!$U$4:$Y$4,0)))),"")</f>
        <v/>
      </c>
      <c r="Z25" s="165"/>
      <c r="AA25" s="165"/>
      <c r="AB25" s="395" t="str">
        <f t="shared" si="4"/>
        <v/>
      </c>
      <c r="AC25" s="383" t="str">
        <f t="shared" si="5"/>
        <v/>
      </c>
      <c r="AD25" s="422" t="str">
        <f>IFERROR(IF(AC25="Check Data ⚠","Check Data ⚠",VLOOKUP(AC25,'G-4 Temporal multipliers'!$A$4:$C$37,3,FALSE)),"")</f>
        <v/>
      </c>
      <c r="AE25" s="398" t="str">
        <f>IF(N25="","",VLOOKUP(N25,'G-7 WaterC'' Data'!$B$4:$G$8,5,FALSE))</f>
        <v/>
      </c>
      <c r="AF25" s="382" t="str">
        <f t="shared" si="1"/>
        <v/>
      </c>
      <c r="AG25" s="382" t="str">
        <f t="shared" si="6"/>
        <v/>
      </c>
      <c r="AH25" s="386" t="str">
        <f t="shared" si="2"/>
        <v/>
      </c>
      <c r="AI25" s="122"/>
      <c r="AJ25" s="363" t="str">
        <f>IF(AI25="","",IF(VLOOKUP(AI25,'G-7 WaterC'' Data'!$AA$4:$AB$7,2,FALSE)=0,"Spatial Data Missing ⚠",VLOOKUP(AI25,'G-7 WaterC'' Data'!$AA$4:$AB$7,2,FALSE)))</f>
        <v/>
      </c>
      <c r="AK25" s="123"/>
      <c r="AL25" s="397" t="str">
        <f>IF(AK25="","",IF(VLOOKUP(AK25,'G-7 WaterC'' Data'!$AD$4:$AE$14,2,FALSE)=0,"Spatial Data Missing ⚠",VLOOKUP(AK25,'G-7 WaterC'' Data'!$AD$4:$AE$14,2,FALSE)))</f>
        <v/>
      </c>
      <c r="AM25" s="122"/>
      <c r="AN25" s="363" t="str">
        <f>IF(AM25="","",IF(VLOOKUP(AM25,'G-7 WaterC'' Data'!$AO$4:$BO$7,2,FALSE)=0,"Spatial Data Missing ⚠",VLOOKUP(AM25,'G-7 WaterC'' Data'!$AO$4:$BO$7,2,FALSE)))</f>
        <v/>
      </c>
      <c r="AO25" s="405" t="str">
        <f t="shared" si="7"/>
        <v/>
      </c>
      <c r="AP25" s="405" t="str">
        <f t="shared" si="8"/>
        <v/>
      </c>
      <c r="AQ25" s="117"/>
      <c r="AR25" s="118"/>
      <c r="AS25" s="120"/>
      <c r="AT25" s="120"/>
      <c r="AY25" s="30" t="str">
        <f>IFERROR(INDEX('G-7 WaterC'' Data'!$AZ$3:$AZ$7,MATCH(N25,'G-7 WaterC'' Data'!$AY$3:$AY$7,0)),"")</f>
        <v/>
      </c>
    </row>
    <row r="26" spans="2:51" ht="15">
      <c r="B26" s="392" t="str">
        <f>'F-1 Off-Site WaterC'' Baseline'!AR24</f>
        <v/>
      </c>
      <c r="C26" s="382" t="str">
        <f>IF(B26="","",VLOOKUP($B26,'F-1 Off-Site WaterC'' Baseline'!$C$9:$R$257,2,FALSE))</f>
        <v/>
      </c>
      <c r="D26" s="382" t="str">
        <f>IF(C26="","",VLOOKUP($B26,'F-1 Off-Site WaterC'' Baseline'!$C$9:$R$257,3,FALSE))</f>
        <v/>
      </c>
      <c r="E26" s="382" t="str">
        <f>IF(D26="","",VLOOKUP($B26,'F-1 Off-Site WaterC'' Baseline'!$C$9:$R$257,4,FALSE))</f>
        <v/>
      </c>
      <c r="F26" s="382" t="str">
        <f>IF(E26="","",VLOOKUP($B26,'F-1 Off-Site WaterC'' Baseline'!$C$9:$R$257,5,FALSE))</f>
        <v/>
      </c>
      <c r="G26" s="382" t="str">
        <f>IF(F26="","",VLOOKUP($B26,'F-1 Off-Site WaterC'' Baseline'!$C$9:$R$257,6,FALSE))</f>
        <v/>
      </c>
      <c r="H26" s="382" t="str">
        <f>IF(G26="","",VLOOKUP($B26,'F-1 Off-Site WaterC'' Baseline'!$C$9:$R$257,7,FALSE))</f>
        <v/>
      </c>
      <c r="I26" s="382" t="str">
        <f>IF(H26="","",VLOOKUP($B26,'F-1 Off-Site WaterC'' Baseline'!$C$9:$R$257,8,FALSE))</f>
        <v/>
      </c>
      <c r="J26" s="382" t="str">
        <f>IF(I26="","",VLOOKUP($B26,'F-1 Off-Site WaterC'' Baseline'!$C$9:$R$257,9,FALSE))</f>
        <v/>
      </c>
      <c r="K26" s="382" t="str">
        <f>IF(J26="","",VLOOKUP($B26,'F-1 Off-Site WaterC'' Baseline'!$C$9:$R$257,10,FALSE))</f>
        <v/>
      </c>
      <c r="L26" s="382" t="str">
        <f>IF(B26="","",VLOOKUP($B26,'F-1 Off-Site WaterC'' Baseline'!$C$9:$R$257,15,FALSE))</f>
        <v/>
      </c>
      <c r="M26" s="386" t="str">
        <f>IF(L26="","",VLOOKUP($B26,'F-1 Off-Site WaterC'' Baseline'!$C$9:$R$257,16,FALSE))</f>
        <v/>
      </c>
      <c r="N26" s="316" t="str">
        <f t="shared" si="0"/>
        <v/>
      </c>
      <c r="O26" s="362" t="str">
        <f t="shared" si="3"/>
        <v/>
      </c>
      <c r="P26" s="363" t="str">
        <f>IF(C26="","",IF(AND(LEFT(C26,55)&lt;&gt;LEFT(N26,55),O26="High - High"),"Error - Not like for like ▲",IF(H26&gt;U26,"Error - Can not reduce condition ▲",IF(AND(F26=S26,H26=U26,AJ26='F-1 Off-Site WaterC'' Baseline'!N24,'F-1 Off-Site WaterC'' Baseline'!P24=AL26),"Error - No enhancement ▲",IF(AND(C26&lt;&gt;N26,F26&lt;S26),"Lower Distinctiveness Habitat"&amp;" - "&amp;T26,G26&amp;" - "&amp;T26)))))</f>
        <v/>
      </c>
      <c r="Q26" s="368" t="str">
        <f>IF(N26="","",VLOOKUP(B26,'F-1 Off-Site WaterC'' Baseline'!$C$10:$AE$257,22,FALSE))</f>
        <v/>
      </c>
      <c r="R26" s="362" t="str">
        <f>IF(N26="","",VLOOKUP(N26,'G-7 WaterC'' Data'!$B$2:$G$8,2,FALSE))</f>
        <v/>
      </c>
      <c r="S26" s="363" t="str">
        <f>IFERROR(VLOOKUP(R26,'G-7 WaterC'' Data'!$C$4:$D$8,2,FALSE),"")</f>
        <v/>
      </c>
      <c r="T26" s="114"/>
      <c r="U26" s="363" t="str">
        <f>IFERROR(INDEX('G-7 WaterC'' Data'!$H$4:$L$8,MATCH(N26,'G-7 WaterC'' Data'!$B$4:$B$8,0),MATCH(T26,'G-7 WaterC'' Data'!$H$3:$L$3,0)),"")</f>
        <v/>
      </c>
      <c r="V26" s="122"/>
      <c r="W26" s="382" t="str">
        <f>IF(V26="","",IF(VLOOKUP(V26,'G-7 WaterC'' Data'!$AK$4:$AM$6,2,FALSE)=0,"Spatial Data Missing ⚠",VLOOKUP(V26,'G-7 WaterC'' Data'!$AK$4:$AM$6,2,FALSE)))</f>
        <v/>
      </c>
      <c r="X26" s="386" t="str">
        <f>IF(V26="","",IF(VLOOKUP(V26,'G-7 WaterC'' Data'!$AK$4:$AM$6,3,FALSE)=0,"Spatial Data Missing ⚠",VLOOKUP(V26,'G-7 WaterC'' Data'!$AK$4:$AM$6,3,FALSE)))</f>
        <v/>
      </c>
      <c r="Y26" s="398" t="str">
        <f>IFERROR(IF(OR(LEFT(P26,5)="Error",LEFT(O26,5)="Error"),"Check Data ⚠",IF(F26&lt;S26,'G-7 WaterC'' Data'!$R$3,INDEX('G-7 WaterC'' Data'!$U$5:$Y$9,MATCH(G26,'G-7 WaterC'' Data'!$T$5:$T$9,0),MATCH(T26,'G-7 WaterC'' Data'!$U$4:$Y$4,0)))),"")</f>
        <v/>
      </c>
      <c r="Z26" s="165"/>
      <c r="AA26" s="165"/>
      <c r="AB26" s="395" t="str">
        <f t="shared" si="4"/>
        <v/>
      </c>
      <c r="AC26" s="383" t="str">
        <f t="shared" si="5"/>
        <v/>
      </c>
      <c r="AD26" s="422" t="str">
        <f>IFERROR(IF(AC26="Check Data ⚠","Check Data ⚠",VLOOKUP(AC26,'G-4 Temporal multipliers'!$A$4:$C$37,3,FALSE)),"")</f>
        <v/>
      </c>
      <c r="AE26" s="398" t="str">
        <f>IF(N26="","",VLOOKUP(N26,'G-7 WaterC'' Data'!$B$4:$G$8,5,FALSE))</f>
        <v/>
      </c>
      <c r="AF26" s="382" t="str">
        <f t="shared" si="1"/>
        <v/>
      </c>
      <c r="AG26" s="382" t="str">
        <f t="shared" si="6"/>
        <v/>
      </c>
      <c r="AH26" s="386" t="str">
        <f t="shared" si="2"/>
        <v/>
      </c>
      <c r="AI26" s="122"/>
      <c r="AJ26" s="363" t="str">
        <f>IF(AI26="","",IF(VLOOKUP(AI26,'G-7 WaterC'' Data'!$AA$4:$AB$7,2,FALSE)=0,"Spatial Data Missing ⚠",VLOOKUP(AI26,'G-7 WaterC'' Data'!$AA$4:$AB$7,2,FALSE)))</f>
        <v/>
      </c>
      <c r="AK26" s="123"/>
      <c r="AL26" s="397" t="str">
        <f>IF(AK26="","",IF(VLOOKUP(AK26,'G-7 WaterC'' Data'!$AD$4:$AE$14,2,FALSE)=0,"Spatial Data Missing ⚠",VLOOKUP(AK26,'G-7 WaterC'' Data'!$AD$4:$AE$14,2,FALSE)))</f>
        <v/>
      </c>
      <c r="AM26" s="122"/>
      <c r="AN26" s="363" t="str">
        <f>IF(AM26="","",IF(VLOOKUP(AM26,'G-7 WaterC'' Data'!$AO$4:$BO$7,2,FALSE)=0,"Spatial Data Missing ⚠",VLOOKUP(AM26,'G-7 WaterC'' Data'!$AO$4:$BO$7,2,FALSE)))</f>
        <v/>
      </c>
      <c r="AO26" s="405" t="str">
        <f t="shared" si="7"/>
        <v/>
      </c>
      <c r="AP26" s="405" t="str">
        <f t="shared" si="8"/>
        <v/>
      </c>
      <c r="AQ26" s="117"/>
      <c r="AR26" s="118"/>
      <c r="AS26" s="120"/>
      <c r="AT26" s="120"/>
      <c r="AY26" s="30" t="str">
        <f>IFERROR(INDEX('G-7 WaterC'' Data'!$AZ$3:$AZ$7,MATCH(N26,'G-7 WaterC'' Data'!$AY$3:$AY$7,0)),"")</f>
        <v/>
      </c>
    </row>
    <row r="27" spans="2:51" ht="15">
      <c r="B27" s="392" t="str">
        <f>'F-1 Off-Site WaterC'' Baseline'!AR25</f>
        <v/>
      </c>
      <c r="C27" s="382" t="str">
        <f>IF(B27="","",VLOOKUP($B27,'F-1 Off-Site WaterC'' Baseline'!$C$9:$R$257,2,FALSE))</f>
        <v/>
      </c>
      <c r="D27" s="382" t="str">
        <f>IF(C27="","",VLOOKUP($B27,'F-1 Off-Site WaterC'' Baseline'!$C$9:$R$257,3,FALSE))</f>
        <v/>
      </c>
      <c r="E27" s="382" t="str">
        <f>IF(D27="","",VLOOKUP($B27,'F-1 Off-Site WaterC'' Baseline'!$C$9:$R$257,4,FALSE))</f>
        <v/>
      </c>
      <c r="F27" s="382" t="str">
        <f>IF(E27="","",VLOOKUP($B27,'F-1 Off-Site WaterC'' Baseline'!$C$9:$R$257,5,FALSE))</f>
        <v/>
      </c>
      <c r="G27" s="382" t="str">
        <f>IF(F27="","",VLOOKUP($B27,'F-1 Off-Site WaterC'' Baseline'!$C$9:$R$257,6,FALSE))</f>
        <v/>
      </c>
      <c r="H27" s="382" t="str">
        <f>IF(G27="","",VLOOKUP($B27,'F-1 Off-Site WaterC'' Baseline'!$C$9:$R$257,7,FALSE))</f>
        <v/>
      </c>
      <c r="I27" s="382" t="str">
        <f>IF(H27="","",VLOOKUP($B27,'F-1 Off-Site WaterC'' Baseline'!$C$9:$R$257,8,FALSE))</f>
        <v/>
      </c>
      <c r="J27" s="382" t="str">
        <f>IF(I27="","",VLOOKUP($B27,'F-1 Off-Site WaterC'' Baseline'!$C$9:$R$257,9,FALSE))</f>
        <v/>
      </c>
      <c r="K27" s="382" t="str">
        <f>IF(J27="","",VLOOKUP($B27,'F-1 Off-Site WaterC'' Baseline'!$C$9:$R$257,10,FALSE))</f>
        <v/>
      </c>
      <c r="L27" s="382" t="str">
        <f>IF(B27="","",VLOOKUP($B27,'F-1 Off-Site WaterC'' Baseline'!$C$9:$R$257,15,FALSE))</f>
        <v/>
      </c>
      <c r="M27" s="386" t="str">
        <f>IF(L27="","",VLOOKUP($B27,'F-1 Off-Site WaterC'' Baseline'!$C$9:$R$257,16,FALSE))</f>
        <v/>
      </c>
      <c r="N27" s="316" t="str">
        <f t="shared" si="0"/>
        <v/>
      </c>
      <c r="O27" s="362" t="str">
        <f t="shared" si="3"/>
        <v/>
      </c>
      <c r="P27" s="363" t="str">
        <f>IF(C27="","",IF(AND(LEFT(C27,55)&lt;&gt;LEFT(N27,55),O27="High - High"),"Error - Not like for like ▲",IF(H27&gt;U27,"Error - Can not reduce condition ▲",IF(AND(F27=S27,H27=U27,AJ27='F-1 Off-Site WaterC'' Baseline'!N25,'F-1 Off-Site WaterC'' Baseline'!P25=AL27),"Error - No enhancement ▲",IF(AND(C27&lt;&gt;N27,F27&lt;S27),"Lower Distinctiveness Habitat"&amp;" - "&amp;T27,G27&amp;" - "&amp;T27)))))</f>
        <v/>
      </c>
      <c r="Q27" s="368" t="str">
        <f>IF(N27="","",VLOOKUP(B27,'F-1 Off-Site WaterC'' Baseline'!$C$10:$AE$257,22,FALSE))</f>
        <v/>
      </c>
      <c r="R27" s="362" t="str">
        <f>IF(N27="","",VLOOKUP(N27,'G-7 WaterC'' Data'!$B$2:$G$8,2,FALSE))</f>
        <v/>
      </c>
      <c r="S27" s="363" t="str">
        <f>IFERROR(VLOOKUP(R27,'G-7 WaterC'' Data'!$C$4:$D$8,2,FALSE),"")</f>
        <v/>
      </c>
      <c r="T27" s="114"/>
      <c r="U27" s="363" t="str">
        <f>IFERROR(INDEX('G-7 WaterC'' Data'!$H$4:$L$8,MATCH(N27,'G-7 WaterC'' Data'!$B$4:$B$8,0),MATCH(T27,'G-7 WaterC'' Data'!$H$3:$L$3,0)),"")</f>
        <v/>
      </c>
      <c r="V27" s="122"/>
      <c r="W27" s="382" t="str">
        <f>IF(V27="","",IF(VLOOKUP(V27,'G-7 WaterC'' Data'!$AK$4:$AM$6,2,FALSE)=0,"Spatial Data Missing ⚠",VLOOKUP(V27,'G-7 WaterC'' Data'!$AK$4:$AM$6,2,FALSE)))</f>
        <v/>
      </c>
      <c r="X27" s="386" t="str">
        <f>IF(V27="","",IF(VLOOKUP(V27,'G-7 WaterC'' Data'!$AK$4:$AM$6,3,FALSE)=0,"Spatial Data Missing ⚠",VLOOKUP(V27,'G-7 WaterC'' Data'!$AK$4:$AM$6,3,FALSE)))</f>
        <v/>
      </c>
      <c r="Y27" s="398" t="str">
        <f>IFERROR(IF(OR(LEFT(P27,5)="Error",LEFT(O27,5)="Error"),"Check Data ⚠",IF(F27&lt;S27,'G-7 WaterC'' Data'!$R$3,INDEX('G-7 WaterC'' Data'!$U$5:$Y$9,MATCH(G27,'G-7 WaterC'' Data'!$T$5:$T$9,0),MATCH(T27,'G-7 WaterC'' Data'!$U$4:$Y$4,0)))),"")</f>
        <v/>
      </c>
      <c r="Z27" s="165"/>
      <c r="AA27" s="165"/>
      <c r="AB27" s="395" t="str">
        <f t="shared" si="4"/>
        <v/>
      </c>
      <c r="AC27" s="383" t="str">
        <f t="shared" si="5"/>
        <v/>
      </c>
      <c r="AD27" s="422" t="str">
        <f>IFERROR(IF(AC27="Check Data ⚠","Check Data ⚠",VLOOKUP(AC27,'G-4 Temporal multipliers'!$A$4:$C$37,3,FALSE)),"")</f>
        <v/>
      </c>
      <c r="AE27" s="398" t="str">
        <f>IF(N27="","",VLOOKUP(N27,'G-7 WaterC'' Data'!$B$4:$G$8,5,FALSE))</f>
        <v/>
      </c>
      <c r="AF27" s="382" t="str">
        <f t="shared" si="1"/>
        <v/>
      </c>
      <c r="AG27" s="382" t="str">
        <f t="shared" si="6"/>
        <v/>
      </c>
      <c r="AH27" s="386" t="str">
        <f t="shared" si="2"/>
        <v/>
      </c>
      <c r="AI27" s="122"/>
      <c r="AJ27" s="363" t="str">
        <f>IF(AI27="","",IF(VLOOKUP(AI27,'G-7 WaterC'' Data'!$AA$4:$AB$7,2,FALSE)=0,"Spatial Data Missing ⚠",VLOOKUP(AI27,'G-7 WaterC'' Data'!$AA$4:$AB$7,2,FALSE)))</f>
        <v/>
      </c>
      <c r="AK27" s="123"/>
      <c r="AL27" s="397" t="str">
        <f>IF(AK27="","",IF(VLOOKUP(AK27,'G-7 WaterC'' Data'!$AD$4:$AE$14,2,FALSE)=0,"Spatial Data Missing ⚠",VLOOKUP(AK27,'G-7 WaterC'' Data'!$AD$4:$AE$14,2,FALSE)))</f>
        <v/>
      </c>
      <c r="AM27" s="122"/>
      <c r="AN27" s="363" t="str">
        <f>IF(AM27="","",IF(VLOOKUP(AM27,'G-7 WaterC'' Data'!$AO$4:$BO$7,2,FALSE)=0,"Spatial Data Missing ⚠",VLOOKUP(AM27,'G-7 WaterC'' Data'!$AO$4:$BO$7,2,FALSE)))</f>
        <v/>
      </c>
      <c r="AO27" s="405" t="str">
        <f t="shared" si="7"/>
        <v/>
      </c>
      <c r="AP27" s="405" t="str">
        <f t="shared" si="8"/>
        <v/>
      </c>
      <c r="AQ27" s="117"/>
      <c r="AR27" s="118"/>
      <c r="AS27" s="120"/>
      <c r="AT27" s="120"/>
      <c r="AY27" s="30" t="str">
        <f>IFERROR(INDEX('G-7 WaterC'' Data'!$AZ$3:$AZ$7,MATCH(N27,'G-7 WaterC'' Data'!$AY$3:$AY$7,0)),"")</f>
        <v/>
      </c>
    </row>
    <row r="28" spans="2:51" ht="15">
      <c r="B28" s="392" t="str">
        <f>'F-1 Off-Site WaterC'' Baseline'!AR26</f>
        <v/>
      </c>
      <c r="C28" s="382" t="str">
        <f>IF(B28="","",VLOOKUP($B28,'F-1 Off-Site WaterC'' Baseline'!$C$9:$R$257,2,FALSE))</f>
        <v/>
      </c>
      <c r="D28" s="382" t="str">
        <f>IF(C28="","",VLOOKUP($B28,'F-1 Off-Site WaterC'' Baseline'!$C$9:$R$257,3,FALSE))</f>
        <v/>
      </c>
      <c r="E28" s="382" t="str">
        <f>IF(D28="","",VLOOKUP($B28,'F-1 Off-Site WaterC'' Baseline'!$C$9:$R$257,4,FALSE))</f>
        <v/>
      </c>
      <c r="F28" s="382" t="str">
        <f>IF(E28="","",VLOOKUP($B28,'F-1 Off-Site WaterC'' Baseline'!$C$9:$R$257,5,FALSE))</f>
        <v/>
      </c>
      <c r="G28" s="382" t="str">
        <f>IF(F28="","",VLOOKUP($B28,'F-1 Off-Site WaterC'' Baseline'!$C$9:$R$257,6,FALSE))</f>
        <v/>
      </c>
      <c r="H28" s="382" t="str">
        <f>IF(G28="","",VLOOKUP($B28,'F-1 Off-Site WaterC'' Baseline'!$C$9:$R$257,7,FALSE))</f>
        <v/>
      </c>
      <c r="I28" s="382" t="str">
        <f>IF(H28="","",VLOOKUP($B28,'F-1 Off-Site WaterC'' Baseline'!$C$9:$R$257,8,FALSE))</f>
        <v/>
      </c>
      <c r="J28" s="382" t="str">
        <f>IF(I28="","",VLOOKUP($B28,'F-1 Off-Site WaterC'' Baseline'!$C$9:$R$257,9,FALSE))</f>
        <v/>
      </c>
      <c r="K28" s="382" t="str">
        <f>IF(J28="","",VLOOKUP($B28,'F-1 Off-Site WaterC'' Baseline'!$C$9:$R$257,10,FALSE))</f>
        <v/>
      </c>
      <c r="L28" s="382" t="str">
        <f>IF(B28="","",VLOOKUP($B28,'F-1 Off-Site WaterC'' Baseline'!$C$9:$R$257,15,FALSE))</f>
        <v/>
      </c>
      <c r="M28" s="386" t="str">
        <f>IF(L28="","",VLOOKUP($B28,'F-1 Off-Site WaterC'' Baseline'!$C$9:$R$257,16,FALSE))</f>
        <v/>
      </c>
      <c r="N28" s="316" t="str">
        <f t="shared" si="0"/>
        <v/>
      </c>
      <c r="O28" s="362" t="str">
        <f t="shared" si="3"/>
        <v/>
      </c>
      <c r="P28" s="363" t="str">
        <f>IF(C28="","",IF(AND(LEFT(C28,55)&lt;&gt;LEFT(N28,55),O28="High - High"),"Error - Not like for like ▲",IF(H28&gt;U28,"Error - Can not reduce condition ▲",IF(AND(F28=S28,H28=U28,AJ28='F-1 Off-Site WaterC'' Baseline'!N26,'F-1 Off-Site WaterC'' Baseline'!P26=AL28),"Error - No enhancement ▲",IF(AND(C28&lt;&gt;N28,F28&lt;S28),"Lower Distinctiveness Habitat"&amp;" - "&amp;T28,G28&amp;" - "&amp;T28)))))</f>
        <v/>
      </c>
      <c r="Q28" s="368" t="str">
        <f>IF(N28="","",VLOOKUP(B28,'F-1 Off-Site WaterC'' Baseline'!$C$10:$AE$257,22,FALSE))</f>
        <v/>
      </c>
      <c r="R28" s="362" t="str">
        <f>IF(N28="","",VLOOKUP(N28,'G-7 WaterC'' Data'!$B$2:$G$8,2,FALSE))</f>
        <v/>
      </c>
      <c r="S28" s="363" t="str">
        <f>IFERROR(VLOOKUP(R28,'G-7 WaterC'' Data'!$C$4:$D$8,2,FALSE),"")</f>
        <v/>
      </c>
      <c r="T28" s="114"/>
      <c r="U28" s="363" t="str">
        <f>IFERROR(INDEX('G-7 WaterC'' Data'!$H$4:$L$8,MATCH(N28,'G-7 WaterC'' Data'!$B$4:$B$8,0),MATCH(T28,'G-7 WaterC'' Data'!$H$3:$L$3,0)),"")</f>
        <v/>
      </c>
      <c r="V28" s="122"/>
      <c r="W28" s="382" t="str">
        <f>IF(V28="","",IF(VLOOKUP(V28,'G-7 WaterC'' Data'!$AK$4:$AM$6,2,FALSE)=0,"Spatial Data Missing ⚠",VLOOKUP(V28,'G-7 WaterC'' Data'!$AK$4:$AM$6,2,FALSE)))</f>
        <v/>
      </c>
      <c r="X28" s="386" t="str">
        <f>IF(V28="","",IF(VLOOKUP(V28,'G-7 WaterC'' Data'!$AK$4:$AM$6,3,FALSE)=0,"Spatial Data Missing ⚠",VLOOKUP(V28,'G-7 WaterC'' Data'!$AK$4:$AM$6,3,FALSE)))</f>
        <v/>
      </c>
      <c r="Y28" s="398" t="str">
        <f>IFERROR(IF(OR(LEFT(P28,5)="Error",LEFT(O28,5)="Error"),"Check Data ⚠",IF(F28&lt;S28,'G-7 WaterC'' Data'!$R$3,INDEX('G-7 WaterC'' Data'!$U$5:$Y$9,MATCH(G28,'G-7 WaterC'' Data'!$T$5:$T$9,0),MATCH(T28,'G-7 WaterC'' Data'!$U$4:$Y$4,0)))),"")</f>
        <v/>
      </c>
      <c r="Z28" s="165"/>
      <c r="AA28" s="165"/>
      <c r="AB28" s="395" t="str">
        <f t="shared" si="4"/>
        <v/>
      </c>
      <c r="AC28" s="383" t="str">
        <f t="shared" si="5"/>
        <v/>
      </c>
      <c r="AD28" s="422" t="str">
        <f>IFERROR(IF(AC28="Check Data ⚠","Check Data ⚠",VLOOKUP(AC28,'G-4 Temporal multipliers'!$A$4:$C$37,3,FALSE)),"")</f>
        <v/>
      </c>
      <c r="AE28" s="398" t="str">
        <f>IF(N28="","",VLOOKUP(N28,'G-7 WaterC'' Data'!$B$4:$G$8,5,FALSE))</f>
        <v/>
      </c>
      <c r="AF28" s="382" t="str">
        <f t="shared" si="1"/>
        <v/>
      </c>
      <c r="AG28" s="382" t="str">
        <f t="shared" si="6"/>
        <v/>
      </c>
      <c r="AH28" s="386" t="str">
        <f t="shared" si="2"/>
        <v/>
      </c>
      <c r="AI28" s="122"/>
      <c r="AJ28" s="363" t="str">
        <f>IF(AI28="","",IF(VLOOKUP(AI28,'G-7 WaterC'' Data'!$AA$4:$AB$7,2,FALSE)=0,"Spatial Data Missing ⚠",VLOOKUP(AI28,'G-7 WaterC'' Data'!$AA$4:$AB$7,2,FALSE)))</f>
        <v/>
      </c>
      <c r="AK28" s="123"/>
      <c r="AL28" s="397" t="str">
        <f>IF(AK28="","",IF(VLOOKUP(AK28,'G-7 WaterC'' Data'!$AD$4:$AE$14,2,FALSE)=0,"Spatial Data Missing ⚠",VLOOKUP(AK28,'G-7 WaterC'' Data'!$AD$4:$AE$14,2,FALSE)))</f>
        <v/>
      </c>
      <c r="AM28" s="122"/>
      <c r="AN28" s="363" t="str">
        <f>IF(AM28="","",IF(VLOOKUP(AM28,'G-7 WaterC'' Data'!$AO$4:$BO$7,2,FALSE)=0,"Spatial Data Missing ⚠",VLOOKUP(AM28,'G-7 WaterC'' Data'!$AO$4:$BO$7,2,FALSE)))</f>
        <v/>
      </c>
      <c r="AO28" s="405" t="str">
        <f t="shared" si="7"/>
        <v/>
      </c>
      <c r="AP28" s="405" t="str">
        <f t="shared" si="8"/>
        <v/>
      </c>
      <c r="AQ28" s="117"/>
      <c r="AR28" s="118"/>
      <c r="AS28" s="120"/>
      <c r="AT28" s="120"/>
      <c r="AY28" s="30" t="str">
        <f>IFERROR(INDEX('G-7 WaterC'' Data'!$AZ$3:$AZ$7,MATCH(N28,'G-7 WaterC'' Data'!$AY$3:$AY$7,0)),"")</f>
        <v/>
      </c>
    </row>
    <row r="29" spans="2:51" ht="15">
      <c r="B29" s="392" t="str">
        <f>'F-1 Off-Site WaterC'' Baseline'!AR27</f>
        <v/>
      </c>
      <c r="C29" s="382" t="str">
        <f>IF(B29="","",VLOOKUP($B29,'F-1 Off-Site WaterC'' Baseline'!$C$9:$R$257,2,FALSE))</f>
        <v/>
      </c>
      <c r="D29" s="382" t="str">
        <f>IF(C29="","",VLOOKUP($B29,'F-1 Off-Site WaterC'' Baseline'!$C$9:$R$257,3,FALSE))</f>
        <v/>
      </c>
      <c r="E29" s="382" t="str">
        <f>IF(D29="","",VLOOKUP($B29,'F-1 Off-Site WaterC'' Baseline'!$C$9:$R$257,4,FALSE))</f>
        <v/>
      </c>
      <c r="F29" s="382" t="str">
        <f>IF(E29="","",VLOOKUP($B29,'F-1 Off-Site WaterC'' Baseline'!$C$9:$R$257,5,FALSE))</f>
        <v/>
      </c>
      <c r="G29" s="382" t="str">
        <f>IF(F29="","",VLOOKUP($B29,'F-1 Off-Site WaterC'' Baseline'!$C$9:$R$257,6,FALSE))</f>
        <v/>
      </c>
      <c r="H29" s="382" t="str">
        <f>IF(G29="","",VLOOKUP($B29,'F-1 Off-Site WaterC'' Baseline'!$C$9:$R$257,7,FALSE))</f>
        <v/>
      </c>
      <c r="I29" s="382" t="str">
        <f>IF(H29="","",VLOOKUP($B29,'F-1 Off-Site WaterC'' Baseline'!$C$9:$R$257,8,FALSE))</f>
        <v/>
      </c>
      <c r="J29" s="382" t="str">
        <f>IF(I29="","",VLOOKUP($B29,'F-1 Off-Site WaterC'' Baseline'!$C$9:$R$257,9,FALSE))</f>
        <v/>
      </c>
      <c r="K29" s="382" t="str">
        <f>IF(J29="","",VLOOKUP($B29,'F-1 Off-Site WaterC'' Baseline'!$C$9:$R$257,10,FALSE))</f>
        <v/>
      </c>
      <c r="L29" s="382" t="str">
        <f>IF(B29="","",VLOOKUP($B29,'F-1 Off-Site WaterC'' Baseline'!$C$9:$R$257,15,FALSE))</f>
        <v/>
      </c>
      <c r="M29" s="386" t="str">
        <f>IF(L29="","",VLOOKUP($B29,'F-1 Off-Site WaterC'' Baseline'!$C$9:$R$257,16,FALSE))</f>
        <v/>
      </c>
      <c r="N29" s="316" t="str">
        <f t="shared" si="0"/>
        <v/>
      </c>
      <c r="O29" s="362" t="str">
        <f t="shared" si="3"/>
        <v/>
      </c>
      <c r="P29" s="363" t="str">
        <f>IF(C29="","",IF(AND(LEFT(C29,55)&lt;&gt;LEFT(N29,55),O29="High - High"),"Error - Not like for like ▲",IF(H29&gt;U29,"Error - Can not reduce condition ▲",IF(AND(F29=S29,H29=U29,AJ29='F-1 Off-Site WaterC'' Baseline'!N27,'F-1 Off-Site WaterC'' Baseline'!P27=AL29),"Error - No enhancement ▲",IF(AND(C29&lt;&gt;N29,F29&lt;S29),"Lower Distinctiveness Habitat"&amp;" - "&amp;T29,G29&amp;" - "&amp;T29)))))</f>
        <v/>
      </c>
      <c r="Q29" s="368" t="str">
        <f>IF(N29="","",VLOOKUP(B29,'F-1 Off-Site WaterC'' Baseline'!$C$10:$AE$257,22,FALSE))</f>
        <v/>
      </c>
      <c r="R29" s="362" t="str">
        <f>IF(N29="","",VLOOKUP(N29,'G-7 WaterC'' Data'!$B$2:$G$8,2,FALSE))</f>
        <v/>
      </c>
      <c r="S29" s="363" t="str">
        <f>IFERROR(VLOOKUP(R29,'G-7 WaterC'' Data'!$C$4:$D$8,2,FALSE),"")</f>
        <v/>
      </c>
      <c r="T29" s="114"/>
      <c r="U29" s="363" t="str">
        <f>IFERROR(INDEX('G-7 WaterC'' Data'!$H$4:$L$8,MATCH(N29,'G-7 WaterC'' Data'!$B$4:$B$8,0),MATCH(T29,'G-7 WaterC'' Data'!$H$3:$L$3,0)),"")</f>
        <v/>
      </c>
      <c r="V29" s="122"/>
      <c r="W29" s="382" t="str">
        <f>IF(V29="","",IF(VLOOKUP(V29,'G-7 WaterC'' Data'!$AK$4:$AM$6,2,FALSE)=0,"Spatial Data Missing ⚠",VLOOKUP(V29,'G-7 WaterC'' Data'!$AK$4:$AM$6,2,FALSE)))</f>
        <v/>
      </c>
      <c r="X29" s="386" t="str">
        <f>IF(V29="","",IF(VLOOKUP(V29,'G-7 WaterC'' Data'!$AK$4:$AM$6,3,FALSE)=0,"Spatial Data Missing ⚠",VLOOKUP(V29,'G-7 WaterC'' Data'!$AK$4:$AM$6,3,FALSE)))</f>
        <v/>
      </c>
      <c r="Y29" s="398" t="str">
        <f>IFERROR(IF(OR(LEFT(P29,5)="Error",LEFT(O29,5)="Error"),"Check Data ⚠",IF(F29&lt;S29,'G-7 WaterC'' Data'!$R$3,INDEX('G-7 WaterC'' Data'!$U$5:$Y$9,MATCH(G29,'G-7 WaterC'' Data'!$T$5:$T$9,0),MATCH(T29,'G-7 WaterC'' Data'!$U$4:$Y$4,0)))),"")</f>
        <v/>
      </c>
      <c r="Z29" s="165"/>
      <c r="AA29" s="165"/>
      <c r="AB29" s="395" t="str">
        <f t="shared" si="4"/>
        <v/>
      </c>
      <c r="AC29" s="383" t="str">
        <f t="shared" si="5"/>
        <v/>
      </c>
      <c r="AD29" s="422" t="str">
        <f>IFERROR(IF(AC29="Check Data ⚠","Check Data ⚠",VLOOKUP(AC29,'G-4 Temporal multipliers'!$A$4:$C$37,3,FALSE)),"")</f>
        <v/>
      </c>
      <c r="AE29" s="398" t="str">
        <f>IF(N29="","",VLOOKUP(N29,'G-7 WaterC'' Data'!$B$4:$G$8,5,FALSE))</f>
        <v/>
      </c>
      <c r="AF29" s="382" t="str">
        <f t="shared" si="1"/>
        <v/>
      </c>
      <c r="AG29" s="382" t="str">
        <f t="shared" si="6"/>
        <v/>
      </c>
      <c r="AH29" s="386" t="str">
        <f t="shared" si="2"/>
        <v/>
      </c>
      <c r="AI29" s="122"/>
      <c r="AJ29" s="363" t="str">
        <f>IF(AI29="","",IF(VLOOKUP(AI29,'G-7 WaterC'' Data'!$AA$4:$AB$7,2,FALSE)=0,"Spatial Data Missing ⚠",VLOOKUP(AI29,'G-7 WaterC'' Data'!$AA$4:$AB$7,2,FALSE)))</f>
        <v/>
      </c>
      <c r="AK29" s="123"/>
      <c r="AL29" s="397" t="str">
        <f>IF(AK29="","",IF(VLOOKUP(AK29,'G-7 WaterC'' Data'!$AD$4:$AE$14,2,FALSE)=0,"Spatial Data Missing ⚠",VLOOKUP(AK29,'G-7 WaterC'' Data'!$AD$4:$AE$14,2,FALSE)))</f>
        <v/>
      </c>
      <c r="AM29" s="122"/>
      <c r="AN29" s="363" t="str">
        <f>IF(AM29="","",IF(VLOOKUP(AM29,'G-7 WaterC'' Data'!$AO$4:$BO$7,2,FALSE)=0,"Spatial Data Missing ⚠",VLOOKUP(AM29,'G-7 WaterC'' Data'!$AO$4:$BO$7,2,FALSE)))</f>
        <v/>
      </c>
      <c r="AO29" s="405" t="str">
        <f t="shared" si="7"/>
        <v/>
      </c>
      <c r="AP29" s="405" t="str">
        <f t="shared" si="8"/>
        <v/>
      </c>
      <c r="AQ29" s="117"/>
      <c r="AR29" s="118"/>
      <c r="AS29" s="120"/>
      <c r="AT29" s="120"/>
      <c r="AY29" s="30" t="str">
        <f>IFERROR(INDEX('G-7 WaterC'' Data'!$AZ$3:$AZ$7,MATCH(N29,'G-7 WaterC'' Data'!$AY$3:$AY$7,0)),"")</f>
        <v/>
      </c>
    </row>
    <row r="30" spans="2:51" ht="15">
      <c r="B30" s="392" t="str">
        <f>'F-1 Off-Site WaterC'' Baseline'!AR28</f>
        <v/>
      </c>
      <c r="C30" s="382" t="str">
        <f>IF(B30="","",VLOOKUP($B30,'F-1 Off-Site WaterC'' Baseline'!$C$9:$R$257,2,FALSE))</f>
        <v/>
      </c>
      <c r="D30" s="382" t="str">
        <f>IF(C30="","",VLOOKUP($B30,'F-1 Off-Site WaterC'' Baseline'!$C$9:$R$257,3,FALSE))</f>
        <v/>
      </c>
      <c r="E30" s="382" t="str">
        <f>IF(D30="","",VLOOKUP($B30,'F-1 Off-Site WaterC'' Baseline'!$C$9:$R$257,4,FALSE))</f>
        <v/>
      </c>
      <c r="F30" s="382" t="str">
        <f>IF(E30="","",VLOOKUP($B30,'F-1 Off-Site WaterC'' Baseline'!$C$9:$R$257,5,FALSE))</f>
        <v/>
      </c>
      <c r="G30" s="382" t="str">
        <f>IF(F30="","",VLOOKUP($B30,'F-1 Off-Site WaterC'' Baseline'!$C$9:$R$257,6,FALSE))</f>
        <v/>
      </c>
      <c r="H30" s="382" t="str">
        <f>IF(G30="","",VLOOKUP($B30,'F-1 Off-Site WaterC'' Baseline'!$C$9:$R$257,7,FALSE))</f>
        <v/>
      </c>
      <c r="I30" s="382" t="str">
        <f>IF(H30="","",VLOOKUP($B30,'F-1 Off-Site WaterC'' Baseline'!$C$9:$R$257,8,FALSE))</f>
        <v/>
      </c>
      <c r="J30" s="382" t="str">
        <f>IF(I30="","",VLOOKUP($B30,'F-1 Off-Site WaterC'' Baseline'!$C$9:$R$257,9,FALSE))</f>
        <v/>
      </c>
      <c r="K30" s="382" t="str">
        <f>IF(J30="","",VLOOKUP($B30,'F-1 Off-Site WaterC'' Baseline'!$C$9:$R$257,10,FALSE))</f>
        <v/>
      </c>
      <c r="L30" s="382" t="str">
        <f>IF(B30="","",VLOOKUP($B30,'F-1 Off-Site WaterC'' Baseline'!$C$9:$R$257,15,FALSE))</f>
        <v/>
      </c>
      <c r="M30" s="386" t="str">
        <f>IF(L30="","",VLOOKUP($B30,'F-1 Off-Site WaterC'' Baseline'!$C$9:$R$257,16,FALSE))</f>
        <v/>
      </c>
      <c r="N30" s="316" t="str">
        <f t="shared" si="0"/>
        <v/>
      </c>
      <c r="O30" s="362" t="str">
        <f t="shared" si="3"/>
        <v/>
      </c>
      <c r="P30" s="363" t="str">
        <f>IF(C30="","",IF(AND(LEFT(C30,55)&lt;&gt;LEFT(N30,55),O30="High - High"),"Error - Not like for like ▲",IF(H30&gt;U30,"Error - Can not reduce condition ▲",IF(AND(F30=S30,H30=U30,AJ30='F-1 Off-Site WaterC'' Baseline'!N28,'F-1 Off-Site WaterC'' Baseline'!P28=AL30),"Error - No enhancement ▲",IF(AND(C30&lt;&gt;N30,F30&lt;S30),"Lower Distinctiveness Habitat"&amp;" - "&amp;T30,G30&amp;" - "&amp;T30)))))</f>
        <v/>
      </c>
      <c r="Q30" s="368" t="str">
        <f>IF(N30="","",VLOOKUP(B30,'F-1 Off-Site WaterC'' Baseline'!$C$10:$AE$257,22,FALSE))</f>
        <v/>
      </c>
      <c r="R30" s="362" t="str">
        <f>IF(N30="","",VLOOKUP(N30,'G-7 WaterC'' Data'!$B$2:$G$8,2,FALSE))</f>
        <v/>
      </c>
      <c r="S30" s="363" t="str">
        <f>IFERROR(VLOOKUP(R30,'G-7 WaterC'' Data'!$C$4:$D$8,2,FALSE),"")</f>
        <v/>
      </c>
      <c r="T30" s="114"/>
      <c r="U30" s="363" t="str">
        <f>IFERROR(INDEX('G-7 WaterC'' Data'!$H$4:$L$8,MATCH(N30,'G-7 WaterC'' Data'!$B$4:$B$8,0),MATCH(T30,'G-7 WaterC'' Data'!$H$3:$L$3,0)),"")</f>
        <v/>
      </c>
      <c r="V30" s="122"/>
      <c r="W30" s="382" t="str">
        <f>IF(V30="","",IF(VLOOKUP(V30,'G-7 WaterC'' Data'!$AK$4:$AM$6,2,FALSE)=0,"Spatial Data Missing ⚠",VLOOKUP(V30,'G-7 WaterC'' Data'!$AK$4:$AM$6,2,FALSE)))</f>
        <v/>
      </c>
      <c r="X30" s="386" t="str">
        <f>IF(V30="","",IF(VLOOKUP(V30,'G-7 WaterC'' Data'!$AK$4:$AM$6,3,FALSE)=0,"Spatial Data Missing ⚠",VLOOKUP(V30,'G-7 WaterC'' Data'!$AK$4:$AM$6,3,FALSE)))</f>
        <v/>
      </c>
      <c r="Y30" s="398" t="str">
        <f>IFERROR(IF(OR(LEFT(P30,5)="Error",LEFT(O30,5)="Error"),"Check Data ⚠",IF(F30&lt;S30,'G-7 WaterC'' Data'!$R$3,INDEX('G-7 WaterC'' Data'!$U$5:$Y$9,MATCH(G30,'G-7 WaterC'' Data'!$T$5:$T$9,0),MATCH(T30,'G-7 WaterC'' Data'!$U$4:$Y$4,0)))),"")</f>
        <v/>
      </c>
      <c r="Z30" s="165"/>
      <c r="AA30" s="165"/>
      <c r="AB30" s="395" t="str">
        <f t="shared" si="4"/>
        <v/>
      </c>
      <c r="AC30" s="383" t="str">
        <f t="shared" si="5"/>
        <v/>
      </c>
      <c r="AD30" s="422" t="str">
        <f>IFERROR(IF(AC30="Check Data ⚠","Check Data ⚠",VLOOKUP(AC30,'G-4 Temporal multipliers'!$A$4:$C$37,3,FALSE)),"")</f>
        <v/>
      </c>
      <c r="AE30" s="398" t="str">
        <f>IF(N30="","",VLOOKUP(N30,'G-7 WaterC'' Data'!$B$4:$G$8,5,FALSE))</f>
        <v/>
      </c>
      <c r="AF30" s="382" t="str">
        <f t="shared" si="1"/>
        <v/>
      </c>
      <c r="AG30" s="382" t="str">
        <f t="shared" si="6"/>
        <v/>
      </c>
      <c r="AH30" s="386" t="str">
        <f t="shared" si="2"/>
        <v/>
      </c>
      <c r="AI30" s="122"/>
      <c r="AJ30" s="363" t="str">
        <f>IF(AI30="","",IF(VLOOKUP(AI30,'G-7 WaterC'' Data'!$AA$4:$AB$7,2,FALSE)=0,"Spatial Data Missing ⚠",VLOOKUP(AI30,'G-7 WaterC'' Data'!$AA$4:$AB$7,2,FALSE)))</f>
        <v/>
      </c>
      <c r="AK30" s="123"/>
      <c r="AL30" s="397" t="str">
        <f>IF(AK30="","",IF(VLOOKUP(AK30,'G-7 WaterC'' Data'!$AD$4:$AE$14,2,FALSE)=0,"Spatial Data Missing ⚠",VLOOKUP(AK30,'G-7 WaterC'' Data'!$AD$4:$AE$14,2,FALSE)))</f>
        <v/>
      </c>
      <c r="AM30" s="122"/>
      <c r="AN30" s="363" t="str">
        <f>IF(AM30="","",IF(VLOOKUP(AM30,'G-7 WaterC'' Data'!$AO$4:$BO$7,2,FALSE)=0,"Spatial Data Missing ⚠",VLOOKUP(AM30,'G-7 WaterC'' Data'!$AO$4:$BO$7,2,FALSE)))</f>
        <v/>
      </c>
      <c r="AO30" s="405" t="str">
        <f t="shared" si="7"/>
        <v/>
      </c>
      <c r="AP30" s="405" t="str">
        <f t="shared" si="8"/>
        <v/>
      </c>
      <c r="AQ30" s="117"/>
      <c r="AR30" s="118"/>
      <c r="AS30" s="120"/>
      <c r="AT30" s="120"/>
      <c r="AY30" s="30" t="str">
        <f>IFERROR(INDEX('G-7 WaterC'' Data'!$AZ$3:$AZ$7,MATCH(N30,'G-7 WaterC'' Data'!$AY$3:$AY$7,0)),"")</f>
        <v/>
      </c>
    </row>
    <row r="31" spans="2:51" ht="15">
      <c r="B31" s="392" t="str">
        <f>'F-1 Off-Site WaterC'' Baseline'!AR29</f>
        <v/>
      </c>
      <c r="C31" s="382" t="str">
        <f>IF(B31="","",VLOOKUP($B31,'F-1 Off-Site WaterC'' Baseline'!$C$9:$R$257,2,FALSE))</f>
        <v/>
      </c>
      <c r="D31" s="382" t="str">
        <f>IF(C31="","",VLOOKUP($B31,'F-1 Off-Site WaterC'' Baseline'!$C$9:$R$257,3,FALSE))</f>
        <v/>
      </c>
      <c r="E31" s="382" t="str">
        <f>IF(D31="","",VLOOKUP($B31,'F-1 Off-Site WaterC'' Baseline'!$C$9:$R$257,4,FALSE))</f>
        <v/>
      </c>
      <c r="F31" s="382" t="str">
        <f>IF(E31="","",VLOOKUP($B31,'F-1 Off-Site WaterC'' Baseline'!$C$9:$R$257,5,FALSE))</f>
        <v/>
      </c>
      <c r="G31" s="382" t="str">
        <f>IF(F31="","",VLOOKUP($B31,'F-1 Off-Site WaterC'' Baseline'!$C$9:$R$257,6,FALSE))</f>
        <v/>
      </c>
      <c r="H31" s="382" t="str">
        <f>IF(G31="","",VLOOKUP($B31,'F-1 Off-Site WaterC'' Baseline'!$C$9:$R$257,7,FALSE))</f>
        <v/>
      </c>
      <c r="I31" s="382" t="str">
        <f>IF(H31="","",VLOOKUP($B31,'F-1 Off-Site WaterC'' Baseline'!$C$9:$R$257,8,FALSE))</f>
        <v/>
      </c>
      <c r="J31" s="382" t="str">
        <f>IF(I31="","",VLOOKUP($B31,'F-1 Off-Site WaterC'' Baseline'!$C$9:$R$257,9,FALSE))</f>
        <v/>
      </c>
      <c r="K31" s="382" t="str">
        <f>IF(J31="","",VLOOKUP($B31,'F-1 Off-Site WaterC'' Baseline'!$C$9:$R$257,10,FALSE))</f>
        <v/>
      </c>
      <c r="L31" s="382" t="str">
        <f>IF(B31="","",VLOOKUP($B31,'F-1 Off-Site WaterC'' Baseline'!$C$9:$R$257,15,FALSE))</f>
        <v/>
      </c>
      <c r="M31" s="386" t="str">
        <f>IF(L31="","",VLOOKUP($B31,'F-1 Off-Site WaterC'' Baseline'!$C$9:$R$257,16,FALSE))</f>
        <v/>
      </c>
      <c r="N31" s="316" t="str">
        <f t="shared" si="0"/>
        <v/>
      </c>
      <c r="O31" s="362" t="str">
        <f t="shared" si="3"/>
        <v/>
      </c>
      <c r="P31" s="363" t="str">
        <f>IF(C31="","",IF(AND(LEFT(C31,55)&lt;&gt;LEFT(N31,55),O31="High - High"),"Error - Not like for like ▲",IF(H31&gt;U31,"Error - Can not reduce condition ▲",IF(AND(F31=S31,H31=U31,AJ31='F-1 Off-Site WaterC'' Baseline'!N29,'F-1 Off-Site WaterC'' Baseline'!P29=AL31),"Error - No enhancement ▲",IF(AND(C31&lt;&gt;N31,F31&lt;S31),"Lower Distinctiveness Habitat"&amp;" - "&amp;T31,G31&amp;" - "&amp;T31)))))</f>
        <v/>
      </c>
      <c r="Q31" s="368" t="str">
        <f>IF(N31="","",VLOOKUP(B31,'F-1 Off-Site WaterC'' Baseline'!$C$10:$AE$257,22,FALSE))</f>
        <v/>
      </c>
      <c r="R31" s="362" t="str">
        <f>IF(N31="","",VLOOKUP(N31,'G-7 WaterC'' Data'!$B$2:$G$8,2,FALSE))</f>
        <v/>
      </c>
      <c r="S31" s="363" t="str">
        <f>IFERROR(VLOOKUP(R31,'G-7 WaterC'' Data'!$C$4:$D$8,2,FALSE),"")</f>
        <v/>
      </c>
      <c r="T31" s="114"/>
      <c r="U31" s="363" t="str">
        <f>IFERROR(INDEX('G-7 WaterC'' Data'!$H$4:$L$8,MATCH(N31,'G-7 WaterC'' Data'!$B$4:$B$8,0),MATCH(T31,'G-7 WaterC'' Data'!$H$3:$L$3,0)),"")</f>
        <v/>
      </c>
      <c r="V31" s="122"/>
      <c r="W31" s="382" t="str">
        <f>IF(V31="","",IF(VLOOKUP(V31,'G-7 WaterC'' Data'!$AK$4:$AM$6,2,FALSE)=0,"Spatial Data Missing ⚠",VLOOKUP(V31,'G-7 WaterC'' Data'!$AK$4:$AM$6,2,FALSE)))</f>
        <v/>
      </c>
      <c r="X31" s="386" t="str">
        <f>IF(V31="","",IF(VLOOKUP(V31,'G-7 WaterC'' Data'!$AK$4:$AM$6,3,FALSE)=0,"Spatial Data Missing ⚠",VLOOKUP(V31,'G-7 WaterC'' Data'!$AK$4:$AM$6,3,FALSE)))</f>
        <v/>
      </c>
      <c r="Y31" s="398" t="str">
        <f>IFERROR(IF(OR(LEFT(P31,5)="Error",LEFT(O31,5)="Error"),"Check Data ⚠",IF(F31&lt;S31,'G-7 WaterC'' Data'!$R$3,INDEX('G-7 WaterC'' Data'!$U$5:$Y$9,MATCH(G31,'G-7 WaterC'' Data'!$T$5:$T$9,0),MATCH(T31,'G-7 WaterC'' Data'!$U$4:$Y$4,0)))),"")</f>
        <v/>
      </c>
      <c r="Z31" s="165"/>
      <c r="AA31" s="165"/>
      <c r="AB31" s="395" t="str">
        <f t="shared" si="4"/>
        <v/>
      </c>
      <c r="AC31" s="383" t="str">
        <f t="shared" si="5"/>
        <v/>
      </c>
      <c r="AD31" s="422" t="str">
        <f>IFERROR(IF(AC31="Check Data ⚠","Check Data ⚠",VLOOKUP(AC31,'G-4 Temporal multipliers'!$A$4:$C$37,3,FALSE)),"")</f>
        <v/>
      </c>
      <c r="AE31" s="398" t="str">
        <f>IF(N31="","",VLOOKUP(N31,'G-7 WaterC'' Data'!$B$4:$G$8,5,FALSE))</f>
        <v/>
      </c>
      <c r="AF31" s="382" t="str">
        <f t="shared" si="1"/>
        <v/>
      </c>
      <c r="AG31" s="382" t="str">
        <f t="shared" si="6"/>
        <v/>
      </c>
      <c r="AH31" s="386" t="str">
        <f t="shared" si="2"/>
        <v/>
      </c>
      <c r="AI31" s="122"/>
      <c r="AJ31" s="363" t="str">
        <f>IF(AI31="","",IF(VLOOKUP(AI31,'G-7 WaterC'' Data'!$AA$4:$AB$7,2,FALSE)=0,"Spatial Data Missing ⚠",VLOOKUP(AI31,'G-7 WaterC'' Data'!$AA$4:$AB$7,2,FALSE)))</f>
        <v/>
      </c>
      <c r="AK31" s="123"/>
      <c r="AL31" s="397" t="str">
        <f>IF(AK31="","",IF(VLOOKUP(AK31,'G-7 WaterC'' Data'!$AD$4:$AE$14,2,FALSE)=0,"Spatial Data Missing ⚠",VLOOKUP(AK31,'G-7 WaterC'' Data'!$AD$4:$AE$14,2,FALSE)))</f>
        <v/>
      </c>
      <c r="AM31" s="122"/>
      <c r="AN31" s="363" t="str">
        <f>IF(AM31="","",IF(VLOOKUP(AM31,'G-7 WaterC'' Data'!$AO$4:$BO$7,2,FALSE)=0,"Spatial Data Missing ⚠",VLOOKUP(AM31,'G-7 WaterC'' Data'!$AO$4:$BO$7,2,FALSE)))</f>
        <v/>
      </c>
      <c r="AO31" s="405" t="str">
        <f t="shared" si="7"/>
        <v/>
      </c>
      <c r="AP31" s="405" t="str">
        <f t="shared" si="8"/>
        <v/>
      </c>
      <c r="AQ31" s="117"/>
      <c r="AR31" s="118"/>
      <c r="AS31" s="120"/>
      <c r="AT31" s="120"/>
      <c r="AY31" s="30" t="str">
        <f>IFERROR(INDEX('G-7 WaterC'' Data'!$AZ$3:$AZ$7,MATCH(N31,'G-7 WaterC'' Data'!$AY$3:$AY$7,0)),"")</f>
        <v/>
      </c>
    </row>
    <row r="32" spans="2:51" ht="15">
      <c r="B32" s="392" t="str">
        <f>'F-1 Off-Site WaterC'' Baseline'!AR30</f>
        <v/>
      </c>
      <c r="C32" s="382" t="str">
        <f>IF(B32="","",VLOOKUP($B32,'F-1 Off-Site WaterC'' Baseline'!$C$9:$R$257,2,FALSE))</f>
        <v/>
      </c>
      <c r="D32" s="382" t="str">
        <f>IF(C32="","",VLOOKUP($B32,'F-1 Off-Site WaterC'' Baseline'!$C$9:$R$257,3,FALSE))</f>
        <v/>
      </c>
      <c r="E32" s="382" t="str">
        <f>IF(D32="","",VLOOKUP($B32,'F-1 Off-Site WaterC'' Baseline'!$C$9:$R$257,4,FALSE))</f>
        <v/>
      </c>
      <c r="F32" s="382" t="str">
        <f>IF(E32="","",VLOOKUP($B32,'F-1 Off-Site WaterC'' Baseline'!$C$9:$R$257,5,FALSE))</f>
        <v/>
      </c>
      <c r="G32" s="382" t="str">
        <f>IF(F32="","",VLOOKUP($B32,'F-1 Off-Site WaterC'' Baseline'!$C$9:$R$257,6,FALSE))</f>
        <v/>
      </c>
      <c r="H32" s="382" t="str">
        <f>IF(G32="","",VLOOKUP($B32,'F-1 Off-Site WaterC'' Baseline'!$C$9:$R$257,7,FALSE))</f>
        <v/>
      </c>
      <c r="I32" s="382" t="str">
        <f>IF(H32="","",VLOOKUP($B32,'F-1 Off-Site WaterC'' Baseline'!$C$9:$R$257,8,FALSE))</f>
        <v/>
      </c>
      <c r="J32" s="382" t="str">
        <f>IF(I32="","",VLOOKUP($B32,'F-1 Off-Site WaterC'' Baseline'!$C$9:$R$257,9,FALSE))</f>
        <v/>
      </c>
      <c r="K32" s="382" t="str">
        <f>IF(J32="","",VLOOKUP($B32,'F-1 Off-Site WaterC'' Baseline'!$C$9:$R$257,10,FALSE))</f>
        <v/>
      </c>
      <c r="L32" s="382" t="str">
        <f>IF(B32="","",VLOOKUP($B32,'F-1 Off-Site WaterC'' Baseline'!$C$9:$R$257,15,FALSE))</f>
        <v/>
      </c>
      <c r="M32" s="386" t="str">
        <f>IF(L32="","",VLOOKUP($B32,'F-1 Off-Site WaterC'' Baseline'!$C$9:$R$257,16,FALSE))</f>
        <v/>
      </c>
      <c r="N32" s="316" t="str">
        <f t="shared" si="0"/>
        <v/>
      </c>
      <c r="O32" s="362" t="str">
        <f t="shared" si="3"/>
        <v/>
      </c>
      <c r="P32" s="363" t="str">
        <f>IF(C32="","",IF(AND(LEFT(C32,55)&lt;&gt;LEFT(N32,55),O32="High - High"),"Error - Not like for like ▲",IF(H32&gt;U32,"Error - Can not reduce condition ▲",IF(AND(F32=S32,H32=U32,AJ32='F-1 Off-Site WaterC'' Baseline'!N30,'F-1 Off-Site WaterC'' Baseline'!P30=AL32),"Error - No enhancement ▲",IF(AND(C32&lt;&gt;N32,F32&lt;S32),"Lower Distinctiveness Habitat"&amp;" - "&amp;T32,G32&amp;" - "&amp;T32)))))</f>
        <v/>
      </c>
      <c r="Q32" s="368" t="str">
        <f>IF(N32="","",VLOOKUP(B32,'F-1 Off-Site WaterC'' Baseline'!$C$10:$AE$257,22,FALSE))</f>
        <v/>
      </c>
      <c r="R32" s="362" t="str">
        <f>IF(N32="","",VLOOKUP(N32,'G-7 WaterC'' Data'!$B$2:$G$8,2,FALSE))</f>
        <v/>
      </c>
      <c r="S32" s="363" t="str">
        <f>IFERROR(VLOOKUP(R32,'G-7 WaterC'' Data'!$C$4:$D$8,2,FALSE),"")</f>
        <v/>
      </c>
      <c r="T32" s="114"/>
      <c r="U32" s="363" t="str">
        <f>IFERROR(INDEX('G-7 WaterC'' Data'!$H$4:$L$8,MATCH(N32,'G-7 WaterC'' Data'!$B$4:$B$8,0),MATCH(T32,'G-7 WaterC'' Data'!$H$3:$L$3,0)),"")</f>
        <v/>
      </c>
      <c r="V32" s="122"/>
      <c r="W32" s="382" t="str">
        <f>IF(V32="","",IF(VLOOKUP(V32,'G-7 WaterC'' Data'!$AK$4:$AM$6,2,FALSE)=0,"Spatial Data Missing ⚠",VLOOKUP(V32,'G-7 WaterC'' Data'!$AK$4:$AM$6,2,FALSE)))</f>
        <v/>
      </c>
      <c r="X32" s="386" t="str">
        <f>IF(V32="","",IF(VLOOKUP(V32,'G-7 WaterC'' Data'!$AK$4:$AM$6,3,FALSE)=0,"Spatial Data Missing ⚠",VLOOKUP(V32,'G-7 WaterC'' Data'!$AK$4:$AM$6,3,FALSE)))</f>
        <v/>
      </c>
      <c r="Y32" s="398" t="str">
        <f>IFERROR(IF(OR(LEFT(P32,5)="Error",LEFT(O32,5)="Error"),"Check Data ⚠",IF(F32&lt;S32,'G-7 WaterC'' Data'!$R$3,INDEX('G-7 WaterC'' Data'!$U$5:$Y$9,MATCH(G32,'G-7 WaterC'' Data'!$T$5:$T$9,0),MATCH(T32,'G-7 WaterC'' Data'!$U$4:$Y$4,0)))),"")</f>
        <v/>
      </c>
      <c r="Z32" s="165"/>
      <c r="AA32" s="165"/>
      <c r="AB32" s="395" t="str">
        <f t="shared" si="4"/>
        <v/>
      </c>
      <c r="AC32" s="383" t="str">
        <f t="shared" si="5"/>
        <v/>
      </c>
      <c r="AD32" s="422" t="str">
        <f>IFERROR(IF(AC32="Check Data ⚠","Check Data ⚠",VLOOKUP(AC32,'G-4 Temporal multipliers'!$A$4:$C$37,3,FALSE)),"")</f>
        <v/>
      </c>
      <c r="AE32" s="398" t="str">
        <f>IF(N32="","",VLOOKUP(N32,'G-7 WaterC'' Data'!$B$4:$G$8,5,FALSE))</f>
        <v/>
      </c>
      <c r="AF32" s="382" t="str">
        <f t="shared" si="1"/>
        <v/>
      </c>
      <c r="AG32" s="382" t="str">
        <f t="shared" si="6"/>
        <v/>
      </c>
      <c r="AH32" s="386" t="str">
        <f t="shared" si="2"/>
        <v/>
      </c>
      <c r="AI32" s="122"/>
      <c r="AJ32" s="363" t="str">
        <f>IF(AI32="","",IF(VLOOKUP(AI32,'G-7 WaterC'' Data'!$AA$4:$AB$7,2,FALSE)=0,"Spatial Data Missing ⚠",VLOOKUP(AI32,'G-7 WaterC'' Data'!$AA$4:$AB$7,2,FALSE)))</f>
        <v/>
      </c>
      <c r="AK32" s="123"/>
      <c r="AL32" s="397" t="str">
        <f>IF(AK32="","",IF(VLOOKUP(AK32,'G-7 WaterC'' Data'!$AD$4:$AE$14,2,FALSE)=0,"Spatial Data Missing ⚠",VLOOKUP(AK32,'G-7 WaterC'' Data'!$AD$4:$AE$14,2,FALSE)))</f>
        <v/>
      </c>
      <c r="AM32" s="122"/>
      <c r="AN32" s="363" t="str">
        <f>IF(AM32="","",IF(VLOOKUP(AM32,'G-7 WaterC'' Data'!$AO$4:$BO$7,2,FALSE)=0,"Spatial Data Missing ⚠",VLOOKUP(AM32,'G-7 WaterC'' Data'!$AO$4:$BO$7,2,FALSE)))</f>
        <v/>
      </c>
      <c r="AO32" s="405" t="str">
        <f t="shared" si="7"/>
        <v/>
      </c>
      <c r="AP32" s="405" t="str">
        <f t="shared" si="8"/>
        <v/>
      </c>
      <c r="AQ32" s="117"/>
      <c r="AR32" s="118"/>
      <c r="AS32" s="120"/>
      <c r="AT32" s="120"/>
      <c r="AY32" s="30" t="str">
        <f>IFERROR(INDEX('G-7 WaterC'' Data'!$AZ$3:$AZ$7,MATCH(N32,'G-7 WaterC'' Data'!$AY$3:$AY$7,0)),"")</f>
        <v/>
      </c>
    </row>
    <row r="33" spans="2:51" ht="15">
      <c r="B33" s="392" t="str">
        <f>'F-1 Off-Site WaterC'' Baseline'!AR31</f>
        <v/>
      </c>
      <c r="C33" s="382" t="str">
        <f>IF(B33="","",VLOOKUP($B33,'F-1 Off-Site WaterC'' Baseline'!$C$9:$R$257,2,FALSE))</f>
        <v/>
      </c>
      <c r="D33" s="382" t="str">
        <f>IF(C33="","",VLOOKUP($B33,'F-1 Off-Site WaterC'' Baseline'!$C$9:$R$257,3,FALSE))</f>
        <v/>
      </c>
      <c r="E33" s="382" t="str">
        <f>IF(D33="","",VLOOKUP($B33,'F-1 Off-Site WaterC'' Baseline'!$C$9:$R$257,4,FALSE))</f>
        <v/>
      </c>
      <c r="F33" s="382" t="str">
        <f>IF(E33="","",VLOOKUP($B33,'F-1 Off-Site WaterC'' Baseline'!$C$9:$R$257,5,FALSE))</f>
        <v/>
      </c>
      <c r="G33" s="382" t="str">
        <f>IF(F33="","",VLOOKUP($B33,'F-1 Off-Site WaterC'' Baseline'!$C$9:$R$257,6,FALSE))</f>
        <v/>
      </c>
      <c r="H33" s="382" t="str">
        <f>IF(G33="","",VLOOKUP($B33,'F-1 Off-Site WaterC'' Baseline'!$C$9:$R$257,7,FALSE))</f>
        <v/>
      </c>
      <c r="I33" s="382" t="str">
        <f>IF(H33="","",VLOOKUP($B33,'F-1 Off-Site WaterC'' Baseline'!$C$9:$R$257,8,FALSE))</f>
        <v/>
      </c>
      <c r="J33" s="382" t="str">
        <f>IF(I33="","",VLOOKUP($B33,'F-1 Off-Site WaterC'' Baseline'!$C$9:$R$257,9,FALSE))</f>
        <v/>
      </c>
      <c r="K33" s="382" t="str">
        <f>IF(J33="","",VLOOKUP($B33,'F-1 Off-Site WaterC'' Baseline'!$C$9:$R$257,10,FALSE))</f>
        <v/>
      </c>
      <c r="L33" s="382" t="str">
        <f>IF(B33="","",VLOOKUP($B33,'F-1 Off-Site WaterC'' Baseline'!$C$9:$R$257,15,FALSE))</f>
        <v/>
      </c>
      <c r="M33" s="386" t="str">
        <f>IF(L33="","",VLOOKUP($B33,'F-1 Off-Site WaterC'' Baseline'!$C$9:$R$257,16,FALSE))</f>
        <v/>
      </c>
      <c r="N33" s="316" t="str">
        <f t="shared" si="0"/>
        <v/>
      </c>
      <c r="O33" s="362" t="str">
        <f t="shared" si="3"/>
        <v/>
      </c>
      <c r="P33" s="363" t="str">
        <f>IF(C33="","",IF(AND(LEFT(C33,55)&lt;&gt;LEFT(N33,55),O33="High - High"),"Error - Not like for like ▲",IF(H33&gt;U33,"Error - Can not reduce condition ▲",IF(AND(F33=S33,H33=U33,AJ33='F-1 Off-Site WaterC'' Baseline'!N31,'F-1 Off-Site WaterC'' Baseline'!P31=AL33),"Error - No enhancement ▲",IF(AND(C33&lt;&gt;N33,F33&lt;S33),"Lower Distinctiveness Habitat"&amp;" - "&amp;T33,G33&amp;" - "&amp;T33)))))</f>
        <v/>
      </c>
      <c r="Q33" s="368" t="str">
        <f>IF(N33="","",VLOOKUP(B33,'F-1 Off-Site WaterC'' Baseline'!$C$10:$AE$257,22,FALSE))</f>
        <v/>
      </c>
      <c r="R33" s="362" t="str">
        <f>IF(N33="","",VLOOKUP(N33,'G-7 WaterC'' Data'!$B$2:$G$8,2,FALSE))</f>
        <v/>
      </c>
      <c r="S33" s="363" t="str">
        <f>IFERROR(VLOOKUP(R33,'G-7 WaterC'' Data'!$C$4:$D$8,2,FALSE),"")</f>
        <v/>
      </c>
      <c r="T33" s="114"/>
      <c r="U33" s="363" t="str">
        <f>IFERROR(INDEX('G-7 WaterC'' Data'!$H$4:$L$8,MATCH(N33,'G-7 WaterC'' Data'!$B$4:$B$8,0),MATCH(T33,'G-7 WaterC'' Data'!$H$3:$L$3,0)),"")</f>
        <v/>
      </c>
      <c r="V33" s="122"/>
      <c r="W33" s="382" t="str">
        <f>IF(V33="","",IF(VLOOKUP(V33,'G-7 WaterC'' Data'!$AK$4:$AM$6,2,FALSE)=0,"Spatial Data Missing ⚠",VLOOKUP(V33,'G-7 WaterC'' Data'!$AK$4:$AM$6,2,FALSE)))</f>
        <v/>
      </c>
      <c r="X33" s="386" t="str">
        <f>IF(V33="","",IF(VLOOKUP(V33,'G-7 WaterC'' Data'!$AK$4:$AM$6,3,FALSE)=0,"Spatial Data Missing ⚠",VLOOKUP(V33,'G-7 WaterC'' Data'!$AK$4:$AM$6,3,FALSE)))</f>
        <v/>
      </c>
      <c r="Y33" s="398" t="str">
        <f>IFERROR(IF(OR(LEFT(P33,5)="Error",LEFT(O33,5)="Error"),"Check Data ⚠",IF(F33&lt;S33,'G-7 WaterC'' Data'!$R$3,INDEX('G-7 WaterC'' Data'!$U$5:$Y$9,MATCH(G33,'G-7 WaterC'' Data'!$T$5:$T$9,0),MATCH(T33,'G-7 WaterC'' Data'!$U$4:$Y$4,0)))),"")</f>
        <v/>
      </c>
      <c r="Z33" s="165"/>
      <c r="AA33" s="165"/>
      <c r="AB33" s="395" t="str">
        <f t="shared" si="4"/>
        <v/>
      </c>
      <c r="AC33" s="383" t="str">
        <f t="shared" si="5"/>
        <v/>
      </c>
      <c r="AD33" s="422" t="str">
        <f>IFERROR(IF(AC33="Check Data ⚠","Check Data ⚠",VLOOKUP(AC33,'G-4 Temporal multipliers'!$A$4:$C$37,3,FALSE)),"")</f>
        <v/>
      </c>
      <c r="AE33" s="398" t="str">
        <f>IF(N33="","",VLOOKUP(N33,'G-7 WaterC'' Data'!$B$4:$G$8,5,FALSE))</f>
        <v/>
      </c>
      <c r="AF33" s="382" t="str">
        <f t="shared" si="1"/>
        <v/>
      </c>
      <c r="AG33" s="382" t="str">
        <f t="shared" si="6"/>
        <v/>
      </c>
      <c r="AH33" s="386" t="str">
        <f t="shared" si="2"/>
        <v/>
      </c>
      <c r="AI33" s="122"/>
      <c r="AJ33" s="363" t="str">
        <f>IF(AI33="","",IF(VLOOKUP(AI33,'G-7 WaterC'' Data'!$AA$4:$AB$7,2,FALSE)=0,"Spatial Data Missing ⚠",VLOOKUP(AI33,'G-7 WaterC'' Data'!$AA$4:$AB$7,2,FALSE)))</f>
        <v/>
      </c>
      <c r="AK33" s="123"/>
      <c r="AL33" s="397" t="str">
        <f>IF(AK33="","",IF(VLOOKUP(AK33,'G-7 WaterC'' Data'!$AD$4:$AE$14,2,FALSE)=0,"Spatial Data Missing ⚠",VLOOKUP(AK33,'G-7 WaterC'' Data'!$AD$4:$AE$14,2,FALSE)))</f>
        <v/>
      </c>
      <c r="AM33" s="122"/>
      <c r="AN33" s="363" t="str">
        <f>IF(AM33="","",IF(VLOOKUP(AM33,'G-7 WaterC'' Data'!$AO$4:$BO$7,2,FALSE)=0,"Spatial Data Missing ⚠",VLOOKUP(AM33,'G-7 WaterC'' Data'!$AO$4:$BO$7,2,FALSE)))</f>
        <v/>
      </c>
      <c r="AO33" s="405" t="str">
        <f t="shared" si="7"/>
        <v/>
      </c>
      <c r="AP33" s="405" t="str">
        <f t="shared" si="8"/>
        <v/>
      </c>
      <c r="AQ33" s="117"/>
      <c r="AR33" s="118"/>
      <c r="AS33" s="120"/>
      <c r="AT33" s="120"/>
      <c r="AY33" s="30" t="str">
        <f>IFERROR(INDEX('G-7 WaterC'' Data'!$AZ$3:$AZ$7,MATCH(N33,'G-7 WaterC'' Data'!$AY$3:$AY$7,0)),"")</f>
        <v/>
      </c>
    </row>
    <row r="34" spans="2:51" ht="15">
      <c r="B34" s="392" t="str">
        <f>'F-1 Off-Site WaterC'' Baseline'!AR32</f>
        <v/>
      </c>
      <c r="C34" s="382" t="str">
        <f>IF(B34="","",VLOOKUP($B34,'F-1 Off-Site WaterC'' Baseline'!$C$9:$R$257,2,FALSE))</f>
        <v/>
      </c>
      <c r="D34" s="382" t="str">
        <f>IF(C34="","",VLOOKUP($B34,'F-1 Off-Site WaterC'' Baseline'!$C$9:$R$257,3,FALSE))</f>
        <v/>
      </c>
      <c r="E34" s="382" t="str">
        <f>IF(D34="","",VLOOKUP($B34,'F-1 Off-Site WaterC'' Baseline'!$C$9:$R$257,4,FALSE))</f>
        <v/>
      </c>
      <c r="F34" s="382" t="str">
        <f>IF(E34="","",VLOOKUP($B34,'F-1 Off-Site WaterC'' Baseline'!$C$9:$R$257,5,FALSE))</f>
        <v/>
      </c>
      <c r="G34" s="382" t="str">
        <f>IF(F34="","",VLOOKUP($B34,'F-1 Off-Site WaterC'' Baseline'!$C$9:$R$257,6,FALSE))</f>
        <v/>
      </c>
      <c r="H34" s="382" t="str">
        <f>IF(G34="","",VLOOKUP($B34,'F-1 Off-Site WaterC'' Baseline'!$C$9:$R$257,7,FALSE))</f>
        <v/>
      </c>
      <c r="I34" s="382" t="str">
        <f>IF(H34="","",VLOOKUP($B34,'F-1 Off-Site WaterC'' Baseline'!$C$9:$R$257,8,FALSE))</f>
        <v/>
      </c>
      <c r="J34" s="382" t="str">
        <f>IF(I34="","",VLOOKUP($B34,'F-1 Off-Site WaterC'' Baseline'!$C$9:$R$257,9,FALSE))</f>
        <v/>
      </c>
      <c r="K34" s="382" t="str">
        <f>IF(J34="","",VLOOKUP($B34,'F-1 Off-Site WaterC'' Baseline'!$C$9:$R$257,10,FALSE))</f>
        <v/>
      </c>
      <c r="L34" s="382" t="str">
        <f>IF(B34="","",VLOOKUP($B34,'F-1 Off-Site WaterC'' Baseline'!$C$9:$R$257,15,FALSE))</f>
        <v/>
      </c>
      <c r="M34" s="386" t="str">
        <f>IF(L34="","",VLOOKUP($B34,'F-1 Off-Site WaterC'' Baseline'!$C$9:$R$257,16,FALSE))</f>
        <v/>
      </c>
      <c r="N34" s="316" t="str">
        <f t="shared" si="0"/>
        <v/>
      </c>
      <c r="O34" s="362" t="str">
        <f t="shared" si="3"/>
        <v/>
      </c>
      <c r="P34" s="363" t="str">
        <f>IF(C34="","",IF(AND(LEFT(C34,55)&lt;&gt;LEFT(N34,55),O34="High - High"),"Error - Not like for like ▲",IF(H34&gt;U34,"Error - Can not reduce condition ▲",IF(AND(F34=S34,H34=U34,AJ34='F-1 Off-Site WaterC'' Baseline'!N32,'F-1 Off-Site WaterC'' Baseline'!P32=AL34),"Error - No enhancement ▲",IF(AND(C34&lt;&gt;N34,F34&lt;S34),"Lower Distinctiveness Habitat"&amp;" - "&amp;T34,G34&amp;" - "&amp;T34)))))</f>
        <v/>
      </c>
      <c r="Q34" s="368" t="str">
        <f>IF(N34="","",VLOOKUP(B34,'F-1 Off-Site WaterC'' Baseline'!$C$10:$AE$257,22,FALSE))</f>
        <v/>
      </c>
      <c r="R34" s="362" t="str">
        <f>IF(N34="","",VLOOKUP(N34,'G-7 WaterC'' Data'!$B$2:$G$8,2,FALSE))</f>
        <v/>
      </c>
      <c r="S34" s="363" t="str">
        <f>IFERROR(VLOOKUP(R34,'G-7 WaterC'' Data'!$C$4:$D$8,2,FALSE),"")</f>
        <v/>
      </c>
      <c r="T34" s="114"/>
      <c r="U34" s="363" t="str">
        <f>IFERROR(INDEX('G-7 WaterC'' Data'!$H$4:$L$8,MATCH(N34,'G-7 WaterC'' Data'!$B$4:$B$8,0),MATCH(T34,'G-7 WaterC'' Data'!$H$3:$L$3,0)),"")</f>
        <v/>
      </c>
      <c r="V34" s="122"/>
      <c r="W34" s="382" t="str">
        <f>IF(V34="","",IF(VLOOKUP(V34,'G-7 WaterC'' Data'!$AK$4:$AM$6,2,FALSE)=0,"Spatial Data Missing ⚠",VLOOKUP(V34,'G-7 WaterC'' Data'!$AK$4:$AM$6,2,FALSE)))</f>
        <v/>
      </c>
      <c r="X34" s="386" t="str">
        <f>IF(V34="","",IF(VLOOKUP(V34,'G-7 WaterC'' Data'!$AK$4:$AM$6,3,FALSE)=0,"Spatial Data Missing ⚠",VLOOKUP(V34,'G-7 WaterC'' Data'!$AK$4:$AM$6,3,FALSE)))</f>
        <v/>
      </c>
      <c r="Y34" s="398" t="str">
        <f>IFERROR(IF(OR(LEFT(P34,5)="Error",LEFT(O34,5)="Error"),"Check Data ⚠",IF(F34&lt;S34,'G-7 WaterC'' Data'!$R$3,INDEX('G-7 WaterC'' Data'!$U$5:$Y$9,MATCH(G34,'G-7 WaterC'' Data'!$T$5:$T$9,0),MATCH(T34,'G-7 WaterC'' Data'!$U$4:$Y$4,0)))),"")</f>
        <v/>
      </c>
      <c r="Z34" s="165"/>
      <c r="AA34" s="165"/>
      <c r="AB34" s="395" t="str">
        <f t="shared" si="4"/>
        <v/>
      </c>
      <c r="AC34" s="383" t="str">
        <f t="shared" si="5"/>
        <v/>
      </c>
      <c r="AD34" s="422" t="str">
        <f>IFERROR(IF(AC34="Check Data ⚠","Check Data ⚠",VLOOKUP(AC34,'G-4 Temporal multipliers'!$A$4:$C$37,3,FALSE)),"")</f>
        <v/>
      </c>
      <c r="AE34" s="398" t="str">
        <f>IF(N34="","",VLOOKUP(N34,'G-7 WaterC'' Data'!$B$4:$G$8,5,FALSE))</f>
        <v/>
      </c>
      <c r="AF34" s="382" t="str">
        <f t="shared" si="1"/>
        <v/>
      </c>
      <c r="AG34" s="382" t="str">
        <f t="shared" si="6"/>
        <v/>
      </c>
      <c r="AH34" s="386" t="str">
        <f t="shared" si="2"/>
        <v/>
      </c>
      <c r="AI34" s="122"/>
      <c r="AJ34" s="363" t="str">
        <f>IF(AI34="","",IF(VLOOKUP(AI34,'G-7 WaterC'' Data'!$AA$4:$AB$7,2,FALSE)=0,"Spatial Data Missing ⚠",VLOOKUP(AI34,'G-7 WaterC'' Data'!$AA$4:$AB$7,2,FALSE)))</f>
        <v/>
      </c>
      <c r="AK34" s="123"/>
      <c r="AL34" s="397" t="str">
        <f>IF(AK34="","",IF(VLOOKUP(AK34,'G-7 WaterC'' Data'!$AD$4:$AE$14,2,FALSE)=0,"Spatial Data Missing ⚠",VLOOKUP(AK34,'G-7 WaterC'' Data'!$AD$4:$AE$14,2,FALSE)))</f>
        <v/>
      </c>
      <c r="AM34" s="122"/>
      <c r="AN34" s="363" t="str">
        <f>IF(AM34="","",IF(VLOOKUP(AM34,'G-7 WaterC'' Data'!$AO$4:$BO$7,2,FALSE)=0,"Spatial Data Missing ⚠",VLOOKUP(AM34,'G-7 WaterC'' Data'!$AO$4:$BO$7,2,FALSE)))</f>
        <v/>
      </c>
      <c r="AO34" s="405" t="str">
        <f t="shared" si="7"/>
        <v/>
      </c>
      <c r="AP34" s="405" t="str">
        <f t="shared" si="8"/>
        <v/>
      </c>
      <c r="AQ34" s="117"/>
      <c r="AR34" s="118"/>
      <c r="AS34" s="120"/>
      <c r="AT34" s="120"/>
      <c r="AY34" s="30" t="str">
        <f>IFERROR(INDEX('G-7 WaterC'' Data'!$AZ$3:$AZ$7,MATCH(N34,'G-7 WaterC'' Data'!$AY$3:$AY$7,0)),"")</f>
        <v/>
      </c>
    </row>
    <row r="35" spans="2:51" ht="15">
      <c r="B35" s="392" t="str">
        <f>'F-1 Off-Site WaterC'' Baseline'!AR33</f>
        <v/>
      </c>
      <c r="C35" s="382" t="str">
        <f>IF(B35="","",VLOOKUP($B35,'F-1 Off-Site WaterC'' Baseline'!$C$9:$R$257,2,FALSE))</f>
        <v/>
      </c>
      <c r="D35" s="382" t="str">
        <f>IF(C35="","",VLOOKUP($B35,'F-1 Off-Site WaterC'' Baseline'!$C$9:$R$257,3,FALSE))</f>
        <v/>
      </c>
      <c r="E35" s="382" t="str">
        <f>IF(D35="","",VLOOKUP($B35,'F-1 Off-Site WaterC'' Baseline'!$C$9:$R$257,4,FALSE))</f>
        <v/>
      </c>
      <c r="F35" s="382" t="str">
        <f>IF(E35="","",VLOOKUP($B35,'F-1 Off-Site WaterC'' Baseline'!$C$9:$R$257,5,FALSE))</f>
        <v/>
      </c>
      <c r="G35" s="382" t="str">
        <f>IF(F35="","",VLOOKUP($B35,'F-1 Off-Site WaterC'' Baseline'!$C$9:$R$257,6,FALSE))</f>
        <v/>
      </c>
      <c r="H35" s="382" t="str">
        <f>IF(G35="","",VLOOKUP($B35,'F-1 Off-Site WaterC'' Baseline'!$C$9:$R$257,7,FALSE))</f>
        <v/>
      </c>
      <c r="I35" s="382" t="str">
        <f>IF(H35="","",VLOOKUP($B35,'F-1 Off-Site WaterC'' Baseline'!$C$9:$R$257,8,FALSE))</f>
        <v/>
      </c>
      <c r="J35" s="382" t="str">
        <f>IF(I35="","",VLOOKUP($B35,'F-1 Off-Site WaterC'' Baseline'!$C$9:$R$257,9,FALSE))</f>
        <v/>
      </c>
      <c r="K35" s="382" t="str">
        <f>IF(J35="","",VLOOKUP($B35,'F-1 Off-Site WaterC'' Baseline'!$C$9:$R$257,10,FALSE))</f>
        <v/>
      </c>
      <c r="L35" s="382" t="str">
        <f>IF(B35="","",VLOOKUP($B35,'F-1 Off-Site WaterC'' Baseline'!$C$9:$R$257,15,FALSE))</f>
        <v/>
      </c>
      <c r="M35" s="386" t="str">
        <f>IF(L35="","",VLOOKUP($B35,'F-1 Off-Site WaterC'' Baseline'!$C$9:$R$257,16,FALSE))</f>
        <v/>
      </c>
      <c r="N35" s="316" t="str">
        <f t="shared" si="0"/>
        <v/>
      </c>
      <c r="O35" s="362" t="str">
        <f t="shared" si="3"/>
        <v/>
      </c>
      <c r="P35" s="363" t="str">
        <f>IF(C35="","",IF(AND(LEFT(C35,55)&lt;&gt;LEFT(N35,55),O35="High - High"),"Error - Not like for like ▲",IF(H35&gt;U35,"Error - Can not reduce condition ▲",IF(AND(F35=S35,H35=U35,AJ35='F-1 Off-Site WaterC'' Baseline'!N33,'F-1 Off-Site WaterC'' Baseline'!P33=AL35),"Error - No enhancement ▲",IF(AND(C35&lt;&gt;N35,F35&lt;S35),"Lower Distinctiveness Habitat"&amp;" - "&amp;T35,G35&amp;" - "&amp;T35)))))</f>
        <v/>
      </c>
      <c r="Q35" s="368" t="str">
        <f>IF(N35="","",VLOOKUP(B35,'F-1 Off-Site WaterC'' Baseline'!$C$10:$AE$257,22,FALSE))</f>
        <v/>
      </c>
      <c r="R35" s="362" t="str">
        <f>IF(N35="","",VLOOKUP(N35,'G-7 WaterC'' Data'!$B$2:$G$8,2,FALSE))</f>
        <v/>
      </c>
      <c r="S35" s="363" t="str">
        <f>IFERROR(VLOOKUP(R35,'G-7 WaterC'' Data'!$C$4:$D$8,2,FALSE),"")</f>
        <v/>
      </c>
      <c r="T35" s="114"/>
      <c r="U35" s="363" t="str">
        <f>IFERROR(INDEX('G-7 WaterC'' Data'!$H$4:$L$8,MATCH(N35,'G-7 WaterC'' Data'!$B$4:$B$8,0),MATCH(T35,'G-7 WaterC'' Data'!$H$3:$L$3,0)),"")</f>
        <v/>
      </c>
      <c r="V35" s="122"/>
      <c r="W35" s="382" t="str">
        <f>IF(V35="","",IF(VLOOKUP(V35,'G-7 WaterC'' Data'!$AK$4:$AM$6,2,FALSE)=0,"Spatial Data Missing ⚠",VLOOKUP(V35,'G-7 WaterC'' Data'!$AK$4:$AM$6,2,FALSE)))</f>
        <v/>
      </c>
      <c r="X35" s="386" t="str">
        <f>IF(V35="","",IF(VLOOKUP(V35,'G-7 WaterC'' Data'!$AK$4:$AM$6,3,FALSE)=0,"Spatial Data Missing ⚠",VLOOKUP(V35,'G-7 WaterC'' Data'!$AK$4:$AM$6,3,FALSE)))</f>
        <v/>
      </c>
      <c r="Y35" s="398" t="str">
        <f>IFERROR(IF(OR(LEFT(P35,5)="Error",LEFT(O35,5)="Error"),"Check Data ⚠",IF(F35&lt;S35,'G-7 WaterC'' Data'!$R$3,INDEX('G-7 WaterC'' Data'!$U$5:$Y$9,MATCH(G35,'G-7 WaterC'' Data'!$T$5:$T$9,0),MATCH(T35,'G-7 WaterC'' Data'!$U$4:$Y$4,0)))),"")</f>
        <v/>
      </c>
      <c r="Z35" s="165"/>
      <c r="AA35" s="165"/>
      <c r="AB35" s="395" t="str">
        <f t="shared" si="4"/>
        <v/>
      </c>
      <c r="AC35" s="383" t="str">
        <f t="shared" si="5"/>
        <v/>
      </c>
      <c r="AD35" s="422" t="str">
        <f>IFERROR(IF(AC35="Check Data ⚠","Check Data ⚠",VLOOKUP(AC35,'G-4 Temporal multipliers'!$A$4:$C$37,3,FALSE)),"")</f>
        <v/>
      </c>
      <c r="AE35" s="398" t="str">
        <f>IF(N35="","",VLOOKUP(N35,'G-7 WaterC'' Data'!$B$4:$G$8,5,FALSE))</f>
        <v/>
      </c>
      <c r="AF35" s="382" t="str">
        <f t="shared" si="1"/>
        <v/>
      </c>
      <c r="AG35" s="382" t="str">
        <f t="shared" si="6"/>
        <v/>
      </c>
      <c r="AH35" s="386" t="str">
        <f t="shared" si="2"/>
        <v/>
      </c>
      <c r="AI35" s="122"/>
      <c r="AJ35" s="363" t="str">
        <f>IF(AI35="","",IF(VLOOKUP(AI35,'G-7 WaterC'' Data'!$AA$4:$AB$7,2,FALSE)=0,"Spatial Data Missing ⚠",VLOOKUP(AI35,'G-7 WaterC'' Data'!$AA$4:$AB$7,2,FALSE)))</f>
        <v/>
      </c>
      <c r="AK35" s="123"/>
      <c r="AL35" s="397" t="str">
        <f>IF(AK35="","",IF(VLOOKUP(AK35,'G-7 WaterC'' Data'!$AD$4:$AE$14,2,FALSE)=0,"Spatial Data Missing ⚠",VLOOKUP(AK35,'G-7 WaterC'' Data'!$AD$4:$AE$14,2,FALSE)))</f>
        <v/>
      </c>
      <c r="AM35" s="122"/>
      <c r="AN35" s="363" t="str">
        <f>IF(AM35="","",IF(VLOOKUP(AM35,'G-7 WaterC'' Data'!$AO$4:$BO$7,2,FALSE)=0,"Spatial Data Missing ⚠",VLOOKUP(AM35,'G-7 WaterC'' Data'!$AO$4:$BO$7,2,FALSE)))</f>
        <v/>
      </c>
      <c r="AO35" s="405" t="str">
        <f t="shared" si="7"/>
        <v/>
      </c>
      <c r="AP35" s="405" t="str">
        <f t="shared" si="8"/>
        <v/>
      </c>
      <c r="AQ35" s="117"/>
      <c r="AR35" s="118"/>
      <c r="AS35" s="120"/>
      <c r="AT35" s="120"/>
      <c r="AY35" s="30" t="str">
        <f>IFERROR(INDEX('G-7 WaterC'' Data'!$AZ$3:$AZ$7,MATCH(N35,'G-7 WaterC'' Data'!$AY$3:$AY$7,0)),"")</f>
        <v/>
      </c>
    </row>
    <row r="36" spans="2:51" ht="15">
      <c r="B36" s="392" t="str">
        <f>'F-1 Off-Site WaterC'' Baseline'!AR34</f>
        <v/>
      </c>
      <c r="C36" s="382" t="str">
        <f>IF(B36="","",VLOOKUP($B36,'F-1 Off-Site WaterC'' Baseline'!$C$9:$R$257,2,FALSE))</f>
        <v/>
      </c>
      <c r="D36" s="382" t="str">
        <f>IF(C36="","",VLOOKUP($B36,'F-1 Off-Site WaterC'' Baseline'!$C$9:$R$257,3,FALSE))</f>
        <v/>
      </c>
      <c r="E36" s="382" t="str">
        <f>IF(D36="","",VLOOKUP($B36,'F-1 Off-Site WaterC'' Baseline'!$C$9:$R$257,4,FALSE))</f>
        <v/>
      </c>
      <c r="F36" s="382" t="str">
        <f>IF(E36="","",VLOOKUP($B36,'F-1 Off-Site WaterC'' Baseline'!$C$9:$R$257,5,FALSE))</f>
        <v/>
      </c>
      <c r="G36" s="382" t="str">
        <f>IF(F36="","",VLOOKUP($B36,'F-1 Off-Site WaterC'' Baseline'!$C$9:$R$257,6,FALSE))</f>
        <v/>
      </c>
      <c r="H36" s="382" t="str">
        <f>IF(G36="","",VLOOKUP($B36,'F-1 Off-Site WaterC'' Baseline'!$C$9:$R$257,7,FALSE))</f>
        <v/>
      </c>
      <c r="I36" s="382" t="str">
        <f>IF(H36="","",VLOOKUP($B36,'F-1 Off-Site WaterC'' Baseline'!$C$9:$R$257,8,FALSE))</f>
        <v/>
      </c>
      <c r="J36" s="382" t="str">
        <f>IF(I36="","",VLOOKUP($B36,'F-1 Off-Site WaterC'' Baseline'!$C$9:$R$257,9,FALSE))</f>
        <v/>
      </c>
      <c r="K36" s="382" t="str">
        <f>IF(J36="","",VLOOKUP($B36,'F-1 Off-Site WaterC'' Baseline'!$C$9:$R$257,10,FALSE))</f>
        <v/>
      </c>
      <c r="L36" s="382" t="str">
        <f>IF(B36="","",VLOOKUP($B36,'F-1 Off-Site WaterC'' Baseline'!$C$9:$R$257,15,FALSE))</f>
        <v/>
      </c>
      <c r="M36" s="386" t="str">
        <f>IF(L36="","",VLOOKUP($B36,'F-1 Off-Site WaterC'' Baseline'!$C$9:$R$257,16,FALSE))</f>
        <v/>
      </c>
      <c r="N36" s="316" t="str">
        <f t="shared" si="0"/>
        <v/>
      </c>
      <c r="O36" s="362" t="str">
        <f t="shared" si="3"/>
        <v/>
      </c>
      <c r="P36" s="363" t="str">
        <f>IF(C36="","",IF(AND(LEFT(C36,55)&lt;&gt;LEFT(N36,55),O36="High - High"),"Error - Not like for like ▲",IF(H36&gt;U36,"Error - Can not reduce condition ▲",IF(AND(F36=S36,H36=U36,AJ36='F-1 Off-Site WaterC'' Baseline'!N34,'F-1 Off-Site WaterC'' Baseline'!P34=AL36),"Error - No enhancement ▲",IF(AND(C36&lt;&gt;N36,F36&lt;S36),"Lower Distinctiveness Habitat"&amp;" - "&amp;T36,G36&amp;" - "&amp;T36)))))</f>
        <v/>
      </c>
      <c r="Q36" s="368" t="str">
        <f>IF(N36="","",VLOOKUP(B36,'F-1 Off-Site WaterC'' Baseline'!$C$10:$AE$257,22,FALSE))</f>
        <v/>
      </c>
      <c r="R36" s="362" t="str">
        <f>IF(N36="","",VLOOKUP(N36,'G-7 WaterC'' Data'!$B$2:$G$8,2,FALSE))</f>
        <v/>
      </c>
      <c r="S36" s="363" t="str">
        <f>IFERROR(VLOOKUP(R36,'G-7 WaterC'' Data'!$C$4:$D$8,2,FALSE),"")</f>
        <v/>
      </c>
      <c r="T36" s="114"/>
      <c r="U36" s="363" t="str">
        <f>IFERROR(INDEX('G-7 WaterC'' Data'!$H$4:$L$8,MATCH(N36,'G-7 WaterC'' Data'!$B$4:$B$8,0),MATCH(T36,'G-7 WaterC'' Data'!$H$3:$L$3,0)),"")</f>
        <v/>
      </c>
      <c r="V36" s="122"/>
      <c r="W36" s="382" t="str">
        <f>IF(V36="","",IF(VLOOKUP(V36,'G-7 WaterC'' Data'!$AK$4:$AM$6,2,FALSE)=0,"Spatial Data Missing ⚠",VLOOKUP(V36,'G-7 WaterC'' Data'!$AK$4:$AM$6,2,FALSE)))</f>
        <v/>
      </c>
      <c r="X36" s="386" t="str">
        <f>IF(V36="","",IF(VLOOKUP(V36,'G-7 WaterC'' Data'!$AK$4:$AM$6,3,FALSE)=0,"Spatial Data Missing ⚠",VLOOKUP(V36,'G-7 WaterC'' Data'!$AK$4:$AM$6,3,FALSE)))</f>
        <v/>
      </c>
      <c r="Y36" s="398" t="str">
        <f>IFERROR(IF(OR(LEFT(P36,5)="Error",LEFT(O36,5)="Error"),"Check Data ⚠",IF(F36&lt;S36,'G-7 WaterC'' Data'!$R$3,INDEX('G-7 WaterC'' Data'!$U$5:$Y$9,MATCH(G36,'G-7 WaterC'' Data'!$T$5:$T$9,0),MATCH(T36,'G-7 WaterC'' Data'!$U$4:$Y$4,0)))),"")</f>
        <v/>
      </c>
      <c r="Z36" s="165"/>
      <c r="AA36" s="165"/>
      <c r="AB36" s="395" t="str">
        <f t="shared" si="4"/>
        <v/>
      </c>
      <c r="AC36" s="383" t="str">
        <f t="shared" si="5"/>
        <v/>
      </c>
      <c r="AD36" s="422" t="str">
        <f>IFERROR(IF(AC36="Check Data ⚠","Check Data ⚠",VLOOKUP(AC36,'G-4 Temporal multipliers'!$A$4:$C$37,3,FALSE)),"")</f>
        <v/>
      </c>
      <c r="AE36" s="398" t="str">
        <f>IF(N36="","",VLOOKUP(N36,'G-7 WaterC'' Data'!$B$4:$G$8,5,FALSE))</f>
        <v/>
      </c>
      <c r="AF36" s="382" t="str">
        <f t="shared" si="1"/>
        <v/>
      </c>
      <c r="AG36" s="382" t="str">
        <f t="shared" si="6"/>
        <v/>
      </c>
      <c r="AH36" s="386" t="str">
        <f t="shared" si="2"/>
        <v/>
      </c>
      <c r="AI36" s="122"/>
      <c r="AJ36" s="363" t="str">
        <f>IF(AI36="","",IF(VLOOKUP(AI36,'G-7 WaterC'' Data'!$AA$4:$AB$7,2,FALSE)=0,"Spatial Data Missing ⚠",VLOOKUP(AI36,'G-7 WaterC'' Data'!$AA$4:$AB$7,2,FALSE)))</f>
        <v/>
      </c>
      <c r="AK36" s="123"/>
      <c r="AL36" s="397" t="str">
        <f>IF(AK36="","",IF(VLOOKUP(AK36,'G-7 WaterC'' Data'!$AD$4:$AE$14,2,FALSE)=0,"Spatial Data Missing ⚠",VLOOKUP(AK36,'G-7 WaterC'' Data'!$AD$4:$AE$14,2,FALSE)))</f>
        <v/>
      </c>
      <c r="AM36" s="122"/>
      <c r="AN36" s="363" t="str">
        <f>IF(AM36="","",IF(VLOOKUP(AM36,'G-7 WaterC'' Data'!$AO$4:$BO$7,2,FALSE)=0,"Spatial Data Missing ⚠",VLOOKUP(AM36,'G-7 WaterC'' Data'!$AO$4:$BO$7,2,FALSE)))</f>
        <v/>
      </c>
      <c r="AO36" s="405" t="str">
        <f t="shared" si="7"/>
        <v/>
      </c>
      <c r="AP36" s="405" t="str">
        <f t="shared" si="8"/>
        <v/>
      </c>
      <c r="AQ36" s="117"/>
      <c r="AR36" s="118"/>
      <c r="AS36" s="120"/>
      <c r="AT36" s="120"/>
      <c r="AY36" s="30" t="str">
        <f>IFERROR(INDEX('G-7 WaterC'' Data'!$AZ$3:$AZ$7,MATCH(N36,'G-7 WaterC'' Data'!$AY$3:$AY$7,0)),"")</f>
        <v/>
      </c>
    </row>
    <row r="37" spans="2:51" ht="15">
      <c r="B37" s="392" t="str">
        <f>'F-1 Off-Site WaterC'' Baseline'!AR35</f>
        <v/>
      </c>
      <c r="C37" s="382" t="str">
        <f>IF(B37="","",VLOOKUP($B37,'F-1 Off-Site WaterC'' Baseline'!$C$9:$R$257,2,FALSE))</f>
        <v/>
      </c>
      <c r="D37" s="382" t="str">
        <f>IF(C37="","",VLOOKUP($B37,'F-1 Off-Site WaterC'' Baseline'!$C$9:$R$257,3,FALSE))</f>
        <v/>
      </c>
      <c r="E37" s="382" t="str">
        <f>IF(D37="","",VLOOKUP($B37,'F-1 Off-Site WaterC'' Baseline'!$C$9:$R$257,4,FALSE))</f>
        <v/>
      </c>
      <c r="F37" s="382" t="str">
        <f>IF(E37="","",VLOOKUP($B37,'F-1 Off-Site WaterC'' Baseline'!$C$9:$R$257,5,FALSE))</f>
        <v/>
      </c>
      <c r="G37" s="382" t="str">
        <f>IF(F37="","",VLOOKUP($B37,'F-1 Off-Site WaterC'' Baseline'!$C$9:$R$257,6,FALSE))</f>
        <v/>
      </c>
      <c r="H37" s="382" t="str">
        <f>IF(G37="","",VLOOKUP($B37,'F-1 Off-Site WaterC'' Baseline'!$C$9:$R$257,7,FALSE))</f>
        <v/>
      </c>
      <c r="I37" s="382" t="str">
        <f>IF(H37="","",VLOOKUP($B37,'F-1 Off-Site WaterC'' Baseline'!$C$9:$R$257,8,FALSE))</f>
        <v/>
      </c>
      <c r="J37" s="382" t="str">
        <f>IF(I37="","",VLOOKUP($B37,'F-1 Off-Site WaterC'' Baseline'!$C$9:$R$257,9,FALSE))</f>
        <v/>
      </c>
      <c r="K37" s="382" t="str">
        <f>IF(J37="","",VLOOKUP($B37,'F-1 Off-Site WaterC'' Baseline'!$C$9:$R$257,10,FALSE))</f>
        <v/>
      </c>
      <c r="L37" s="382" t="str">
        <f>IF(B37="","",VLOOKUP($B37,'F-1 Off-Site WaterC'' Baseline'!$C$9:$R$257,15,FALSE))</f>
        <v/>
      </c>
      <c r="M37" s="386" t="str">
        <f>IF(L37="","",VLOOKUP($B37,'F-1 Off-Site WaterC'' Baseline'!$C$9:$R$257,16,FALSE))</f>
        <v/>
      </c>
      <c r="N37" s="316" t="str">
        <f t="shared" si="0"/>
        <v/>
      </c>
      <c r="O37" s="362" t="str">
        <f t="shared" si="3"/>
        <v/>
      </c>
      <c r="P37" s="363" t="str">
        <f>IF(C37="","",IF(AND(LEFT(C37,55)&lt;&gt;LEFT(N37,55),O37="High - High"),"Error - Not like for like ▲",IF(H37&gt;U37,"Error - Can not reduce condition ▲",IF(AND(F37=S37,H37=U37,AJ37='F-1 Off-Site WaterC'' Baseline'!N35,'F-1 Off-Site WaterC'' Baseline'!P35=AL37),"Error - No enhancement ▲",IF(AND(C37&lt;&gt;N37,F37&lt;S37),"Lower Distinctiveness Habitat"&amp;" - "&amp;T37,G37&amp;" - "&amp;T37)))))</f>
        <v/>
      </c>
      <c r="Q37" s="368" t="str">
        <f>IF(N37="","",VLOOKUP(B37,'F-1 Off-Site WaterC'' Baseline'!$C$10:$AE$257,22,FALSE))</f>
        <v/>
      </c>
      <c r="R37" s="362" t="str">
        <f>IF(N37="","",VLOOKUP(N37,'G-7 WaterC'' Data'!$B$2:$G$8,2,FALSE))</f>
        <v/>
      </c>
      <c r="S37" s="363" t="str">
        <f>IFERROR(VLOOKUP(R37,'G-7 WaterC'' Data'!$C$4:$D$8,2,FALSE),"")</f>
        <v/>
      </c>
      <c r="T37" s="114"/>
      <c r="U37" s="363" t="str">
        <f>IFERROR(INDEX('G-7 WaterC'' Data'!$H$4:$L$8,MATCH(N37,'G-7 WaterC'' Data'!$B$4:$B$8,0),MATCH(T37,'G-7 WaterC'' Data'!$H$3:$L$3,0)),"")</f>
        <v/>
      </c>
      <c r="V37" s="122"/>
      <c r="W37" s="382" t="str">
        <f>IF(V37="","",IF(VLOOKUP(V37,'G-7 WaterC'' Data'!$AK$4:$AM$6,2,FALSE)=0,"Spatial Data Missing ⚠",VLOOKUP(V37,'G-7 WaterC'' Data'!$AK$4:$AM$6,2,FALSE)))</f>
        <v/>
      </c>
      <c r="X37" s="386" t="str">
        <f>IF(V37="","",IF(VLOOKUP(V37,'G-7 WaterC'' Data'!$AK$4:$AM$6,3,FALSE)=0,"Spatial Data Missing ⚠",VLOOKUP(V37,'G-7 WaterC'' Data'!$AK$4:$AM$6,3,FALSE)))</f>
        <v/>
      </c>
      <c r="Y37" s="398" t="str">
        <f>IFERROR(IF(OR(LEFT(P37,5)="Error",LEFT(O37,5)="Error"),"Check Data ⚠",IF(F37&lt;S37,'G-7 WaterC'' Data'!$R$3,INDEX('G-7 WaterC'' Data'!$U$5:$Y$9,MATCH(G37,'G-7 WaterC'' Data'!$T$5:$T$9,0),MATCH(T37,'G-7 WaterC'' Data'!$U$4:$Y$4,0)))),"")</f>
        <v/>
      </c>
      <c r="Z37" s="165"/>
      <c r="AA37" s="165"/>
      <c r="AB37" s="395" t="str">
        <f t="shared" si="4"/>
        <v/>
      </c>
      <c r="AC37" s="383" t="str">
        <f t="shared" si="5"/>
        <v/>
      </c>
      <c r="AD37" s="422" t="str">
        <f>IFERROR(IF(AC37="Check Data ⚠","Check Data ⚠",VLOOKUP(AC37,'G-4 Temporal multipliers'!$A$4:$C$37,3,FALSE)),"")</f>
        <v/>
      </c>
      <c r="AE37" s="398" t="str">
        <f>IF(N37="","",VLOOKUP(N37,'G-7 WaterC'' Data'!$B$4:$G$8,5,FALSE))</f>
        <v/>
      </c>
      <c r="AF37" s="382" t="str">
        <f t="shared" si="1"/>
        <v/>
      </c>
      <c r="AG37" s="382" t="str">
        <f t="shared" si="6"/>
        <v/>
      </c>
      <c r="AH37" s="386" t="str">
        <f t="shared" si="2"/>
        <v/>
      </c>
      <c r="AI37" s="122"/>
      <c r="AJ37" s="363" t="str">
        <f>IF(AI37="","",IF(VLOOKUP(AI37,'G-7 WaterC'' Data'!$AA$4:$AB$7,2,FALSE)=0,"Spatial Data Missing ⚠",VLOOKUP(AI37,'G-7 WaterC'' Data'!$AA$4:$AB$7,2,FALSE)))</f>
        <v/>
      </c>
      <c r="AK37" s="123"/>
      <c r="AL37" s="397" t="str">
        <f>IF(AK37="","",IF(VLOOKUP(AK37,'G-7 WaterC'' Data'!$AD$4:$AE$14,2,FALSE)=0,"Spatial Data Missing ⚠",VLOOKUP(AK37,'G-7 WaterC'' Data'!$AD$4:$AE$14,2,FALSE)))</f>
        <v/>
      </c>
      <c r="AM37" s="122"/>
      <c r="AN37" s="363" t="str">
        <f>IF(AM37="","",IF(VLOOKUP(AM37,'G-7 WaterC'' Data'!$AO$4:$BO$7,2,FALSE)=0,"Spatial Data Missing ⚠",VLOOKUP(AM37,'G-7 WaterC'' Data'!$AO$4:$BO$7,2,FALSE)))</f>
        <v/>
      </c>
      <c r="AO37" s="405" t="str">
        <f t="shared" si="7"/>
        <v/>
      </c>
      <c r="AP37" s="405" t="str">
        <f t="shared" si="8"/>
        <v/>
      </c>
      <c r="AQ37" s="117"/>
      <c r="AR37" s="118"/>
      <c r="AS37" s="120"/>
      <c r="AT37" s="120"/>
      <c r="AY37" s="30" t="str">
        <f>IFERROR(INDEX('G-7 WaterC'' Data'!$AZ$3:$AZ$7,MATCH(N37,'G-7 WaterC'' Data'!$AY$3:$AY$7,0)),"")</f>
        <v/>
      </c>
    </row>
    <row r="38" spans="2:51" ht="15">
      <c r="B38" s="392" t="str">
        <f>'F-1 Off-Site WaterC'' Baseline'!AR36</f>
        <v/>
      </c>
      <c r="C38" s="382" t="str">
        <f>IF(B38="","",VLOOKUP($B38,'F-1 Off-Site WaterC'' Baseline'!$C$9:$R$257,2,FALSE))</f>
        <v/>
      </c>
      <c r="D38" s="382" t="str">
        <f>IF(C38="","",VLOOKUP($B38,'F-1 Off-Site WaterC'' Baseline'!$C$9:$R$257,3,FALSE))</f>
        <v/>
      </c>
      <c r="E38" s="382" t="str">
        <f>IF(D38="","",VLOOKUP($B38,'F-1 Off-Site WaterC'' Baseline'!$C$9:$R$257,4,FALSE))</f>
        <v/>
      </c>
      <c r="F38" s="382" t="str">
        <f>IF(E38="","",VLOOKUP($B38,'F-1 Off-Site WaterC'' Baseline'!$C$9:$R$257,5,FALSE))</f>
        <v/>
      </c>
      <c r="G38" s="382" t="str">
        <f>IF(F38="","",VLOOKUP($B38,'F-1 Off-Site WaterC'' Baseline'!$C$9:$R$257,6,FALSE))</f>
        <v/>
      </c>
      <c r="H38" s="382" t="str">
        <f>IF(G38="","",VLOOKUP($B38,'F-1 Off-Site WaterC'' Baseline'!$C$9:$R$257,7,FALSE))</f>
        <v/>
      </c>
      <c r="I38" s="382" t="str">
        <f>IF(H38="","",VLOOKUP($B38,'F-1 Off-Site WaterC'' Baseline'!$C$9:$R$257,8,FALSE))</f>
        <v/>
      </c>
      <c r="J38" s="382" t="str">
        <f>IF(I38="","",VLOOKUP($B38,'F-1 Off-Site WaterC'' Baseline'!$C$9:$R$257,9,FALSE))</f>
        <v/>
      </c>
      <c r="K38" s="382" t="str">
        <f>IF(J38="","",VLOOKUP($B38,'F-1 Off-Site WaterC'' Baseline'!$C$9:$R$257,10,FALSE))</f>
        <v/>
      </c>
      <c r="L38" s="382" t="str">
        <f>IF(B38="","",VLOOKUP($B38,'F-1 Off-Site WaterC'' Baseline'!$C$9:$R$257,15,FALSE))</f>
        <v/>
      </c>
      <c r="M38" s="386" t="str">
        <f>IF(L38="","",VLOOKUP($B38,'F-1 Off-Site WaterC'' Baseline'!$C$9:$R$257,16,FALSE))</f>
        <v/>
      </c>
      <c r="N38" s="316" t="str">
        <f t="shared" si="0"/>
        <v/>
      </c>
      <c r="O38" s="362" t="str">
        <f t="shared" si="3"/>
        <v/>
      </c>
      <c r="P38" s="363" t="str">
        <f>IF(C38="","",IF(AND(LEFT(C38,55)&lt;&gt;LEFT(N38,55),O38="High - High"),"Error - Not like for like ▲",IF(H38&gt;U38,"Error - Can not reduce condition ▲",IF(AND(F38=S38,H38=U38,AJ38='F-1 Off-Site WaterC'' Baseline'!N36,'F-1 Off-Site WaterC'' Baseline'!P36=AL38),"Error - No enhancement ▲",IF(AND(C38&lt;&gt;N38,F38&lt;S38),"Lower Distinctiveness Habitat"&amp;" - "&amp;T38,G38&amp;" - "&amp;T38)))))</f>
        <v/>
      </c>
      <c r="Q38" s="368" t="str">
        <f>IF(N38="","",VLOOKUP(B38,'F-1 Off-Site WaterC'' Baseline'!$C$10:$AE$257,22,FALSE))</f>
        <v/>
      </c>
      <c r="R38" s="362" t="str">
        <f>IF(N38="","",VLOOKUP(N38,'G-7 WaterC'' Data'!$B$2:$G$8,2,FALSE))</f>
        <v/>
      </c>
      <c r="S38" s="363" t="str">
        <f>IFERROR(VLOOKUP(R38,'G-7 WaterC'' Data'!$C$4:$D$8,2,FALSE),"")</f>
        <v/>
      </c>
      <c r="T38" s="114"/>
      <c r="U38" s="363" t="str">
        <f>IFERROR(INDEX('G-7 WaterC'' Data'!$H$4:$L$8,MATCH(N38,'G-7 WaterC'' Data'!$B$4:$B$8,0),MATCH(T38,'G-7 WaterC'' Data'!$H$3:$L$3,0)),"")</f>
        <v/>
      </c>
      <c r="V38" s="122"/>
      <c r="W38" s="382" t="str">
        <f>IF(V38="","",IF(VLOOKUP(V38,'G-7 WaterC'' Data'!$AK$4:$AM$6,2,FALSE)=0,"Spatial Data Missing ⚠",VLOOKUP(V38,'G-7 WaterC'' Data'!$AK$4:$AM$6,2,FALSE)))</f>
        <v/>
      </c>
      <c r="X38" s="386" t="str">
        <f>IF(V38="","",IF(VLOOKUP(V38,'G-7 WaterC'' Data'!$AK$4:$AM$6,3,FALSE)=0,"Spatial Data Missing ⚠",VLOOKUP(V38,'G-7 WaterC'' Data'!$AK$4:$AM$6,3,FALSE)))</f>
        <v/>
      </c>
      <c r="Y38" s="398" t="str">
        <f>IFERROR(IF(OR(LEFT(P38,5)="Error",LEFT(O38,5)="Error"),"Check Data ⚠",IF(F38&lt;S38,'G-7 WaterC'' Data'!$R$3,INDEX('G-7 WaterC'' Data'!$U$5:$Y$9,MATCH(G38,'G-7 WaterC'' Data'!$T$5:$T$9,0),MATCH(T38,'G-7 WaterC'' Data'!$U$4:$Y$4,0)))),"")</f>
        <v/>
      </c>
      <c r="Z38" s="165"/>
      <c r="AA38" s="165"/>
      <c r="AB38" s="395" t="str">
        <f t="shared" si="4"/>
        <v/>
      </c>
      <c r="AC38" s="383" t="str">
        <f t="shared" si="5"/>
        <v/>
      </c>
      <c r="AD38" s="422" t="str">
        <f>IFERROR(IF(AC38="Check Data ⚠","Check Data ⚠",VLOOKUP(AC38,'G-4 Temporal multipliers'!$A$4:$C$37,3,FALSE)),"")</f>
        <v/>
      </c>
      <c r="AE38" s="398" t="str">
        <f>IF(N38="","",VLOOKUP(N38,'G-7 WaterC'' Data'!$B$4:$G$8,5,FALSE))</f>
        <v/>
      </c>
      <c r="AF38" s="382" t="str">
        <f t="shared" si="1"/>
        <v/>
      </c>
      <c r="AG38" s="382" t="str">
        <f t="shared" si="6"/>
        <v/>
      </c>
      <c r="AH38" s="386" t="str">
        <f t="shared" si="2"/>
        <v/>
      </c>
      <c r="AI38" s="122"/>
      <c r="AJ38" s="363" t="str">
        <f>IF(AI38="","",IF(VLOOKUP(AI38,'G-7 WaterC'' Data'!$AA$4:$AB$7,2,FALSE)=0,"Spatial Data Missing ⚠",VLOOKUP(AI38,'G-7 WaterC'' Data'!$AA$4:$AB$7,2,FALSE)))</f>
        <v/>
      </c>
      <c r="AK38" s="123"/>
      <c r="AL38" s="397" t="str">
        <f>IF(AK38="","",IF(VLOOKUP(AK38,'G-7 WaterC'' Data'!$AD$4:$AE$14,2,FALSE)=0,"Spatial Data Missing ⚠",VLOOKUP(AK38,'G-7 WaterC'' Data'!$AD$4:$AE$14,2,FALSE)))</f>
        <v/>
      </c>
      <c r="AM38" s="122"/>
      <c r="AN38" s="363" t="str">
        <f>IF(AM38="","",IF(VLOOKUP(AM38,'G-7 WaterC'' Data'!$AO$4:$BO$7,2,FALSE)=0,"Spatial Data Missing ⚠",VLOOKUP(AM38,'G-7 WaterC'' Data'!$AO$4:$BO$7,2,FALSE)))</f>
        <v/>
      </c>
      <c r="AO38" s="405" t="str">
        <f t="shared" si="7"/>
        <v/>
      </c>
      <c r="AP38" s="405" t="str">
        <f t="shared" si="8"/>
        <v/>
      </c>
      <c r="AQ38" s="117"/>
      <c r="AR38" s="118"/>
      <c r="AS38" s="120"/>
      <c r="AT38" s="120"/>
      <c r="AY38" s="30" t="str">
        <f>IFERROR(INDEX('G-7 WaterC'' Data'!$AZ$3:$AZ$7,MATCH(N38,'G-7 WaterC'' Data'!$AY$3:$AY$7,0)),"")</f>
        <v/>
      </c>
    </row>
    <row r="39" spans="2:51" ht="15">
      <c r="B39" s="392" t="str">
        <f>'F-1 Off-Site WaterC'' Baseline'!AR37</f>
        <v/>
      </c>
      <c r="C39" s="382" t="str">
        <f>IF(B39="","",VLOOKUP($B39,'F-1 Off-Site WaterC'' Baseline'!$C$9:$R$257,2,FALSE))</f>
        <v/>
      </c>
      <c r="D39" s="382" t="str">
        <f>IF(C39="","",VLOOKUP($B39,'F-1 Off-Site WaterC'' Baseline'!$C$9:$R$257,3,FALSE))</f>
        <v/>
      </c>
      <c r="E39" s="382" t="str">
        <f>IF(D39="","",VLOOKUP($B39,'F-1 Off-Site WaterC'' Baseline'!$C$9:$R$257,4,FALSE))</f>
        <v/>
      </c>
      <c r="F39" s="382" t="str">
        <f>IF(E39="","",VLOOKUP($B39,'F-1 Off-Site WaterC'' Baseline'!$C$9:$R$257,5,FALSE))</f>
        <v/>
      </c>
      <c r="G39" s="382" t="str">
        <f>IF(F39="","",VLOOKUP($B39,'F-1 Off-Site WaterC'' Baseline'!$C$9:$R$257,6,FALSE))</f>
        <v/>
      </c>
      <c r="H39" s="382" t="str">
        <f>IF(G39="","",VLOOKUP($B39,'F-1 Off-Site WaterC'' Baseline'!$C$9:$R$257,7,FALSE))</f>
        <v/>
      </c>
      <c r="I39" s="382" t="str">
        <f>IF(H39="","",VLOOKUP($B39,'F-1 Off-Site WaterC'' Baseline'!$C$9:$R$257,8,FALSE))</f>
        <v/>
      </c>
      <c r="J39" s="382" t="str">
        <f>IF(I39="","",VLOOKUP($B39,'F-1 Off-Site WaterC'' Baseline'!$C$9:$R$257,9,FALSE))</f>
        <v/>
      </c>
      <c r="K39" s="382" t="str">
        <f>IF(J39="","",VLOOKUP($B39,'F-1 Off-Site WaterC'' Baseline'!$C$9:$R$257,10,FALSE))</f>
        <v/>
      </c>
      <c r="L39" s="382" t="str">
        <f>IF(B39="","",VLOOKUP($B39,'F-1 Off-Site WaterC'' Baseline'!$C$9:$R$257,15,FALSE))</f>
        <v/>
      </c>
      <c r="M39" s="386" t="str">
        <f>IF(L39="","",VLOOKUP($B39,'F-1 Off-Site WaterC'' Baseline'!$C$9:$R$257,16,FALSE))</f>
        <v/>
      </c>
      <c r="N39" s="316" t="str">
        <f t="shared" si="0"/>
        <v/>
      </c>
      <c r="O39" s="362" t="str">
        <f t="shared" si="3"/>
        <v/>
      </c>
      <c r="P39" s="363" t="str">
        <f>IF(C39="","",IF(AND(LEFT(C39,55)&lt;&gt;LEFT(N39,55),O39="High - High"),"Error - Not like for like ▲",IF(H39&gt;U39,"Error - Can not reduce condition ▲",IF(AND(F39=S39,H39=U39,AJ39='F-1 Off-Site WaterC'' Baseline'!N37,'F-1 Off-Site WaterC'' Baseline'!P37=AL39),"Error - No enhancement ▲",IF(AND(C39&lt;&gt;N39,F39&lt;S39),"Lower Distinctiveness Habitat"&amp;" - "&amp;T39,G39&amp;" - "&amp;T39)))))</f>
        <v/>
      </c>
      <c r="Q39" s="368" t="str">
        <f>IF(N39="","",VLOOKUP(B39,'F-1 Off-Site WaterC'' Baseline'!$C$10:$AE$257,22,FALSE))</f>
        <v/>
      </c>
      <c r="R39" s="362" t="str">
        <f>IF(N39="","",VLOOKUP(N39,'G-7 WaterC'' Data'!$B$2:$G$8,2,FALSE))</f>
        <v/>
      </c>
      <c r="S39" s="363" t="str">
        <f>IFERROR(VLOOKUP(R39,'G-7 WaterC'' Data'!$C$4:$D$8,2,FALSE),"")</f>
        <v/>
      </c>
      <c r="T39" s="114"/>
      <c r="U39" s="363" t="str">
        <f>IFERROR(INDEX('G-7 WaterC'' Data'!$H$4:$L$8,MATCH(N39,'G-7 WaterC'' Data'!$B$4:$B$8,0),MATCH(T39,'G-7 WaterC'' Data'!$H$3:$L$3,0)),"")</f>
        <v/>
      </c>
      <c r="V39" s="122"/>
      <c r="W39" s="382" t="str">
        <f>IF(V39="","",IF(VLOOKUP(V39,'G-7 WaterC'' Data'!$AK$4:$AM$6,2,FALSE)=0,"Spatial Data Missing ⚠",VLOOKUP(V39,'G-7 WaterC'' Data'!$AK$4:$AM$6,2,FALSE)))</f>
        <v/>
      </c>
      <c r="X39" s="386" t="str">
        <f>IF(V39="","",IF(VLOOKUP(V39,'G-7 WaterC'' Data'!$AK$4:$AM$6,3,FALSE)=0,"Spatial Data Missing ⚠",VLOOKUP(V39,'G-7 WaterC'' Data'!$AK$4:$AM$6,3,FALSE)))</f>
        <v/>
      </c>
      <c r="Y39" s="398" t="str">
        <f>IFERROR(IF(OR(LEFT(P39,5)="Error",LEFT(O39,5)="Error"),"Check Data ⚠",IF(F39&lt;S39,'G-7 WaterC'' Data'!$R$3,INDEX('G-7 WaterC'' Data'!$U$5:$Y$9,MATCH(G39,'G-7 WaterC'' Data'!$T$5:$T$9,0),MATCH(T39,'G-7 WaterC'' Data'!$U$4:$Y$4,0)))),"")</f>
        <v/>
      </c>
      <c r="Z39" s="165"/>
      <c r="AA39" s="165"/>
      <c r="AB39" s="395" t="str">
        <f t="shared" si="4"/>
        <v/>
      </c>
      <c r="AC39" s="383" t="str">
        <f t="shared" si="5"/>
        <v/>
      </c>
      <c r="AD39" s="422" t="str">
        <f>IFERROR(IF(AC39="Check Data ⚠","Check Data ⚠",VLOOKUP(AC39,'G-4 Temporal multipliers'!$A$4:$C$37,3,FALSE)),"")</f>
        <v/>
      </c>
      <c r="AE39" s="398" t="str">
        <f>IF(N39="","",VLOOKUP(N39,'G-7 WaterC'' Data'!$B$4:$G$8,5,FALSE))</f>
        <v/>
      </c>
      <c r="AF39" s="382" t="str">
        <f t="shared" si="1"/>
        <v/>
      </c>
      <c r="AG39" s="382" t="str">
        <f t="shared" si="6"/>
        <v/>
      </c>
      <c r="AH39" s="386" t="str">
        <f t="shared" si="2"/>
        <v/>
      </c>
      <c r="AI39" s="122"/>
      <c r="AJ39" s="363" t="str">
        <f>IF(AI39="","",IF(VLOOKUP(AI39,'G-7 WaterC'' Data'!$AA$4:$AB$7,2,FALSE)=0,"Spatial Data Missing ⚠",VLOOKUP(AI39,'G-7 WaterC'' Data'!$AA$4:$AB$7,2,FALSE)))</f>
        <v/>
      </c>
      <c r="AK39" s="123"/>
      <c r="AL39" s="397" t="str">
        <f>IF(AK39="","",IF(VLOOKUP(AK39,'G-7 WaterC'' Data'!$AD$4:$AE$14,2,FALSE)=0,"Spatial Data Missing ⚠",VLOOKUP(AK39,'G-7 WaterC'' Data'!$AD$4:$AE$14,2,FALSE)))</f>
        <v/>
      </c>
      <c r="AM39" s="122"/>
      <c r="AN39" s="363" t="str">
        <f>IF(AM39="","",IF(VLOOKUP(AM39,'G-7 WaterC'' Data'!$AO$4:$BO$7,2,FALSE)=0,"Spatial Data Missing ⚠",VLOOKUP(AM39,'G-7 WaterC'' Data'!$AO$4:$BO$7,2,FALSE)))</f>
        <v/>
      </c>
      <c r="AO39" s="405" t="str">
        <f t="shared" si="7"/>
        <v/>
      </c>
      <c r="AP39" s="405" t="str">
        <f t="shared" si="8"/>
        <v/>
      </c>
      <c r="AQ39" s="117"/>
      <c r="AR39" s="118"/>
      <c r="AS39" s="120"/>
      <c r="AT39" s="120"/>
      <c r="AY39" s="30" t="str">
        <f>IFERROR(INDEX('G-7 WaterC'' Data'!$AZ$3:$AZ$7,MATCH(N39,'G-7 WaterC'' Data'!$AY$3:$AY$7,0)),"")</f>
        <v/>
      </c>
    </row>
    <row r="40" spans="2:51" ht="15">
      <c r="B40" s="392" t="str">
        <f>'F-1 Off-Site WaterC'' Baseline'!AR38</f>
        <v/>
      </c>
      <c r="C40" s="382" t="str">
        <f>IF(B40="","",VLOOKUP($B40,'F-1 Off-Site WaterC'' Baseline'!$C$9:$R$257,2,FALSE))</f>
        <v/>
      </c>
      <c r="D40" s="382" t="str">
        <f>IF(C40="","",VLOOKUP($B40,'F-1 Off-Site WaterC'' Baseline'!$C$9:$R$257,3,FALSE))</f>
        <v/>
      </c>
      <c r="E40" s="382" t="str">
        <f>IF(D40="","",VLOOKUP($B40,'F-1 Off-Site WaterC'' Baseline'!$C$9:$R$257,4,FALSE))</f>
        <v/>
      </c>
      <c r="F40" s="382" t="str">
        <f>IF(E40="","",VLOOKUP($B40,'F-1 Off-Site WaterC'' Baseline'!$C$9:$R$257,5,FALSE))</f>
        <v/>
      </c>
      <c r="G40" s="382" t="str">
        <f>IF(F40="","",VLOOKUP($B40,'F-1 Off-Site WaterC'' Baseline'!$C$9:$R$257,6,FALSE))</f>
        <v/>
      </c>
      <c r="H40" s="382" t="str">
        <f>IF(G40="","",VLOOKUP($B40,'F-1 Off-Site WaterC'' Baseline'!$C$9:$R$257,7,FALSE))</f>
        <v/>
      </c>
      <c r="I40" s="382" t="str">
        <f>IF(H40="","",VLOOKUP($B40,'F-1 Off-Site WaterC'' Baseline'!$C$9:$R$257,8,FALSE))</f>
        <v/>
      </c>
      <c r="J40" s="382" t="str">
        <f>IF(I40="","",VLOOKUP($B40,'F-1 Off-Site WaterC'' Baseline'!$C$9:$R$257,9,FALSE))</f>
        <v/>
      </c>
      <c r="K40" s="382" t="str">
        <f>IF(J40="","",VLOOKUP($B40,'F-1 Off-Site WaterC'' Baseline'!$C$9:$R$257,10,FALSE))</f>
        <v/>
      </c>
      <c r="L40" s="382" t="str">
        <f>IF(B40="","",VLOOKUP($B40,'F-1 Off-Site WaterC'' Baseline'!$C$9:$R$257,15,FALSE))</f>
        <v/>
      </c>
      <c r="M40" s="386" t="str">
        <f>IF(L40="","",VLOOKUP($B40,'F-1 Off-Site WaterC'' Baseline'!$C$9:$R$257,16,FALSE))</f>
        <v/>
      </c>
      <c r="N40" s="316" t="str">
        <f t="shared" si="0"/>
        <v/>
      </c>
      <c r="O40" s="362" t="str">
        <f t="shared" si="3"/>
        <v/>
      </c>
      <c r="P40" s="363" t="str">
        <f>IF(C40="","",IF(AND(LEFT(C40,55)&lt;&gt;LEFT(N40,55),O40="High - High"),"Error - Not like for like ▲",IF(H40&gt;U40,"Error - Can not reduce condition ▲",IF(AND(F40=S40,H40=U40,AJ40='F-1 Off-Site WaterC'' Baseline'!N38,'F-1 Off-Site WaterC'' Baseline'!P38=AL40),"Error - No enhancement ▲",IF(AND(C40&lt;&gt;N40,F40&lt;S40),"Lower Distinctiveness Habitat"&amp;" - "&amp;T40,G40&amp;" - "&amp;T40)))))</f>
        <v/>
      </c>
      <c r="Q40" s="368" t="str">
        <f>IF(N40="","",VLOOKUP(B40,'F-1 Off-Site WaterC'' Baseline'!$C$10:$AE$257,22,FALSE))</f>
        <v/>
      </c>
      <c r="R40" s="362" t="str">
        <f>IF(N40="","",VLOOKUP(N40,'G-7 WaterC'' Data'!$B$2:$G$8,2,FALSE))</f>
        <v/>
      </c>
      <c r="S40" s="363" t="str">
        <f>IFERROR(VLOOKUP(R40,'G-7 WaterC'' Data'!$C$4:$D$8,2,FALSE),"")</f>
        <v/>
      </c>
      <c r="T40" s="114"/>
      <c r="U40" s="363" t="str">
        <f>IFERROR(INDEX('G-7 WaterC'' Data'!$H$4:$L$8,MATCH(N40,'G-7 WaterC'' Data'!$B$4:$B$8,0),MATCH(T40,'G-7 WaterC'' Data'!$H$3:$L$3,0)),"")</f>
        <v/>
      </c>
      <c r="V40" s="122"/>
      <c r="W40" s="382" t="str">
        <f>IF(V40="","",IF(VLOOKUP(V40,'G-7 WaterC'' Data'!$AK$4:$AM$6,2,FALSE)=0,"Spatial Data Missing ⚠",VLOOKUP(V40,'G-7 WaterC'' Data'!$AK$4:$AM$6,2,FALSE)))</f>
        <v/>
      </c>
      <c r="X40" s="386" t="str">
        <f>IF(V40="","",IF(VLOOKUP(V40,'G-7 WaterC'' Data'!$AK$4:$AM$6,3,FALSE)=0,"Spatial Data Missing ⚠",VLOOKUP(V40,'G-7 WaterC'' Data'!$AK$4:$AM$6,3,FALSE)))</f>
        <v/>
      </c>
      <c r="Y40" s="398" t="str">
        <f>IFERROR(IF(OR(LEFT(P40,5)="Error",LEFT(O40,5)="Error"),"Check Data ⚠",IF(F40&lt;S40,'G-7 WaterC'' Data'!$R$3,INDEX('G-7 WaterC'' Data'!$U$5:$Y$9,MATCH(G40,'G-7 WaterC'' Data'!$T$5:$T$9,0),MATCH(T40,'G-7 WaterC'' Data'!$U$4:$Y$4,0)))),"")</f>
        <v/>
      </c>
      <c r="Z40" s="165"/>
      <c r="AA40" s="165"/>
      <c r="AB40" s="395" t="str">
        <f t="shared" si="4"/>
        <v/>
      </c>
      <c r="AC40" s="383" t="str">
        <f t="shared" si="5"/>
        <v/>
      </c>
      <c r="AD40" s="422" t="str">
        <f>IFERROR(IF(AC40="Check Data ⚠","Check Data ⚠",VLOOKUP(AC40,'G-4 Temporal multipliers'!$A$4:$C$37,3,FALSE)),"")</f>
        <v/>
      </c>
      <c r="AE40" s="398" t="str">
        <f>IF(N40="","",VLOOKUP(N40,'G-7 WaterC'' Data'!$B$4:$G$8,5,FALSE))</f>
        <v/>
      </c>
      <c r="AF40" s="382" t="str">
        <f t="shared" si="1"/>
        <v/>
      </c>
      <c r="AG40" s="382" t="str">
        <f t="shared" si="6"/>
        <v/>
      </c>
      <c r="AH40" s="386" t="str">
        <f t="shared" si="2"/>
        <v/>
      </c>
      <c r="AI40" s="122"/>
      <c r="AJ40" s="363" t="str">
        <f>IF(AI40="","",IF(VLOOKUP(AI40,'G-7 WaterC'' Data'!$AA$4:$AB$7,2,FALSE)=0,"Spatial Data Missing ⚠",VLOOKUP(AI40,'G-7 WaterC'' Data'!$AA$4:$AB$7,2,FALSE)))</f>
        <v/>
      </c>
      <c r="AK40" s="123"/>
      <c r="AL40" s="397" t="str">
        <f>IF(AK40="","",IF(VLOOKUP(AK40,'G-7 WaterC'' Data'!$AD$4:$AE$14,2,FALSE)=0,"Spatial Data Missing ⚠",VLOOKUP(AK40,'G-7 WaterC'' Data'!$AD$4:$AE$14,2,FALSE)))</f>
        <v/>
      </c>
      <c r="AM40" s="122"/>
      <c r="AN40" s="363" t="str">
        <f>IF(AM40="","",IF(VLOOKUP(AM40,'G-7 WaterC'' Data'!$AO$4:$BO$7,2,FALSE)=0,"Spatial Data Missing ⚠",VLOOKUP(AM40,'G-7 WaterC'' Data'!$AO$4:$BO$7,2,FALSE)))</f>
        <v/>
      </c>
      <c r="AO40" s="405" t="str">
        <f t="shared" si="7"/>
        <v/>
      </c>
      <c r="AP40" s="405" t="str">
        <f t="shared" si="8"/>
        <v/>
      </c>
      <c r="AQ40" s="117"/>
      <c r="AR40" s="118"/>
      <c r="AS40" s="120"/>
      <c r="AT40" s="120"/>
      <c r="AY40" s="30" t="str">
        <f>IFERROR(INDEX('G-7 WaterC'' Data'!$AZ$3:$AZ$7,MATCH(N40,'G-7 WaterC'' Data'!$AY$3:$AY$7,0)),"")</f>
        <v/>
      </c>
    </row>
    <row r="41" spans="2:51" ht="15">
      <c r="B41" s="392" t="str">
        <f>'F-1 Off-Site WaterC'' Baseline'!AR39</f>
        <v/>
      </c>
      <c r="C41" s="382" t="str">
        <f>IF(B41="","",VLOOKUP($B41,'F-1 Off-Site WaterC'' Baseline'!$C$9:$R$257,2,FALSE))</f>
        <v/>
      </c>
      <c r="D41" s="382" t="str">
        <f>IF(C41="","",VLOOKUP($B41,'F-1 Off-Site WaterC'' Baseline'!$C$9:$R$257,3,FALSE))</f>
        <v/>
      </c>
      <c r="E41" s="382" t="str">
        <f>IF(D41="","",VLOOKUP($B41,'F-1 Off-Site WaterC'' Baseline'!$C$9:$R$257,4,FALSE))</f>
        <v/>
      </c>
      <c r="F41" s="382" t="str">
        <f>IF(E41="","",VLOOKUP($B41,'F-1 Off-Site WaterC'' Baseline'!$C$9:$R$257,5,FALSE))</f>
        <v/>
      </c>
      <c r="G41" s="382" t="str">
        <f>IF(F41="","",VLOOKUP($B41,'F-1 Off-Site WaterC'' Baseline'!$C$9:$R$257,6,FALSE))</f>
        <v/>
      </c>
      <c r="H41" s="382" t="str">
        <f>IF(G41="","",VLOOKUP($B41,'F-1 Off-Site WaterC'' Baseline'!$C$9:$R$257,7,FALSE))</f>
        <v/>
      </c>
      <c r="I41" s="382" t="str">
        <f>IF(H41="","",VLOOKUP($B41,'F-1 Off-Site WaterC'' Baseline'!$C$9:$R$257,8,FALSE))</f>
        <v/>
      </c>
      <c r="J41" s="382" t="str">
        <f>IF(I41="","",VLOOKUP($B41,'F-1 Off-Site WaterC'' Baseline'!$C$9:$R$257,9,FALSE))</f>
        <v/>
      </c>
      <c r="K41" s="382" t="str">
        <f>IF(J41="","",VLOOKUP($B41,'F-1 Off-Site WaterC'' Baseline'!$C$9:$R$257,10,FALSE))</f>
        <v/>
      </c>
      <c r="L41" s="382" t="str">
        <f>IF(B41="","",VLOOKUP($B41,'F-1 Off-Site WaterC'' Baseline'!$C$9:$R$257,15,FALSE))</f>
        <v/>
      </c>
      <c r="M41" s="386" t="str">
        <f>IF(L41="","",VLOOKUP($B41,'F-1 Off-Site WaterC'' Baseline'!$C$9:$R$257,16,FALSE))</f>
        <v/>
      </c>
      <c r="N41" s="316" t="str">
        <f t="shared" si="0"/>
        <v/>
      </c>
      <c r="O41" s="362" t="str">
        <f t="shared" si="3"/>
        <v/>
      </c>
      <c r="P41" s="363" t="str">
        <f>IF(C41="","",IF(AND(LEFT(C41,55)&lt;&gt;LEFT(N41,55),O41="High - High"),"Error - Not like for like ▲",IF(H41&gt;U41,"Error - Can not reduce condition ▲",IF(AND(F41=S41,H41=U41,AJ41='F-1 Off-Site WaterC'' Baseline'!N39,'F-1 Off-Site WaterC'' Baseline'!P39=AL41),"Error - No enhancement ▲",IF(AND(C41&lt;&gt;N41,F41&lt;S41),"Lower Distinctiveness Habitat"&amp;" - "&amp;T41,G41&amp;" - "&amp;T41)))))</f>
        <v/>
      </c>
      <c r="Q41" s="368" t="str">
        <f>IF(N41="","",VLOOKUP(B41,'F-1 Off-Site WaterC'' Baseline'!$C$10:$AE$257,22,FALSE))</f>
        <v/>
      </c>
      <c r="R41" s="362" t="str">
        <f>IF(N41="","",VLOOKUP(N41,'G-7 WaterC'' Data'!$B$2:$G$8,2,FALSE))</f>
        <v/>
      </c>
      <c r="S41" s="363" t="str">
        <f>IFERROR(VLOOKUP(R41,'G-7 WaterC'' Data'!$C$4:$D$8,2,FALSE),"")</f>
        <v/>
      </c>
      <c r="T41" s="114"/>
      <c r="U41" s="363" t="str">
        <f>IFERROR(INDEX('G-7 WaterC'' Data'!$H$4:$L$8,MATCH(N41,'G-7 WaterC'' Data'!$B$4:$B$8,0),MATCH(T41,'G-7 WaterC'' Data'!$H$3:$L$3,0)),"")</f>
        <v/>
      </c>
      <c r="V41" s="122"/>
      <c r="W41" s="382" t="str">
        <f>IF(V41="","",IF(VLOOKUP(V41,'G-7 WaterC'' Data'!$AK$4:$AM$6,2,FALSE)=0,"Spatial Data Missing ⚠",VLOOKUP(V41,'G-7 WaterC'' Data'!$AK$4:$AM$6,2,FALSE)))</f>
        <v/>
      </c>
      <c r="X41" s="386" t="str">
        <f>IF(V41="","",IF(VLOOKUP(V41,'G-7 WaterC'' Data'!$AK$4:$AM$6,3,FALSE)=0,"Spatial Data Missing ⚠",VLOOKUP(V41,'G-7 WaterC'' Data'!$AK$4:$AM$6,3,FALSE)))</f>
        <v/>
      </c>
      <c r="Y41" s="398" t="str">
        <f>IFERROR(IF(OR(LEFT(P41,5)="Error",LEFT(O41,5)="Error"),"Check Data ⚠",IF(F41&lt;S41,'G-7 WaterC'' Data'!$R$3,INDEX('G-7 WaterC'' Data'!$U$5:$Y$9,MATCH(G41,'G-7 WaterC'' Data'!$T$5:$T$9,0),MATCH(T41,'G-7 WaterC'' Data'!$U$4:$Y$4,0)))),"")</f>
        <v/>
      </c>
      <c r="Z41" s="165"/>
      <c r="AA41" s="165"/>
      <c r="AB41" s="395" t="str">
        <f t="shared" si="4"/>
        <v/>
      </c>
      <c r="AC41" s="383" t="str">
        <f t="shared" si="5"/>
        <v/>
      </c>
      <c r="AD41" s="422" t="str">
        <f>IFERROR(IF(AC41="Check Data ⚠","Check Data ⚠",VLOOKUP(AC41,'G-4 Temporal multipliers'!$A$4:$C$37,3,FALSE)),"")</f>
        <v/>
      </c>
      <c r="AE41" s="398" t="str">
        <f>IF(N41="","",VLOOKUP(N41,'G-7 WaterC'' Data'!$B$4:$G$8,5,FALSE))</f>
        <v/>
      </c>
      <c r="AF41" s="382" t="str">
        <f t="shared" si="1"/>
        <v/>
      </c>
      <c r="AG41" s="382" t="str">
        <f t="shared" si="6"/>
        <v/>
      </c>
      <c r="AH41" s="386" t="str">
        <f t="shared" si="2"/>
        <v/>
      </c>
      <c r="AI41" s="122"/>
      <c r="AJ41" s="363" t="str">
        <f>IF(AI41="","",IF(VLOOKUP(AI41,'G-7 WaterC'' Data'!$AA$4:$AB$7,2,FALSE)=0,"Spatial Data Missing ⚠",VLOOKUP(AI41,'G-7 WaterC'' Data'!$AA$4:$AB$7,2,FALSE)))</f>
        <v/>
      </c>
      <c r="AK41" s="123"/>
      <c r="AL41" s="397" t="str">
        <f>IF(AK41="","",IF(VLOOKUP(AK41,'G-7 WaterC'' Data'!$AD$4:$AE$14,2,FALSE)=0,"Spatial Data Missing ⚠",VLOOKUP(AK41,'G-7 WaterC'' Data'!$AD$4:$AE$14,2,FALSE)))</f>
        <v/>
      </c>
      <c r="AM41" s="122"/>
      <c r="AN41" s="363" t="str">
        <f>IF(AM41="","",IF(VLOOKUP(AM41,'G-7 WaterC'' Data'!$AO$4:$BO$7,2,FALSE)=0,"Spatial Data Missing ⚠",VLOOKUP(AM41,'G-7 WaterC'' Data'!$AO$4:$BO$7,2,FALSE)))</f>
        <v/>
      </c>
      <c r="AO41" s="405" t="str">
        <f t="shared" si="7"/>
        <v/>
      </c>
      <c r="AP41" s="405" t="str">
        <f t="shared" si="8"/>
        <v/>
      </c>
      <c r="AQ41" s="117"/>
      <c r="AR41" s="118"/>
      <c r="AS41" s="120"/>
      <c r="AT41" s="120"/>
      <c r="AY41" s="30" t="str">
        <f>IFERROR(INDEX('G-7 WaterC'' Data'!$AZ$3:$AZ$7,MATCH(N41,'G-7 WaterC'' Data'!$AY$3:$AY$7,0)),"")</f>
        <v/>
      </c>
    </row>
    <row r="42" spans="2:51" ht="15">
      <c r="B42" s="392" t="str">
        <f>'F-1 Off-Site WaterC'' Baseline'!AR40</f>
        <v/>
      </c>
      <c r="C42" s="382" t="str">
        <f>IF(B42="","",VLOOKUP($B42,'F-1 Off-Site WaterC'' Baseline'!$C$9:$R$257,2,FALSE))</f>
        <v/>
      </c>
      <c r="D42" s="382" t="str">
        <f>IF(C42="","",VLOOKUP($B42,'F-1 Off-Site WaterC'' Baseline'!$C$9:$R$257,3,FALSE))</f>
        <v/>
      </c>
      <c r="E42" s="382" t="str">
        <f>IF(D42="","",VLOOKUP($B42,'F-1 Off-Site WaterC'' Baseline'!$C$9:$R$257,4,FALSE))</f>
        <v/>
      </c>
      <c r="F42" s="382" t="str">
        <f>IF(E42="","",VLOOKUP($B42,'F-1 Off-Site WaterC'' Baseline'!$C$9:$R$257,5,FALSE))</f>
        <v/>
      </c>
      <c r="G42" s="382" t="str">
        <f>IF(F42="","",VLOOKUP($B42,'F-1 Off-Site WaterC'' Baseline'!$C$9:$R$257,6,FALSE))</f>
        <v/>
      </c>
      <c r="H42" s="382" t="str">
        <f>IF(G42="","",VLOOKUP($B42,'F-1 Off-Site WaterC'' Baseline'!$C$9:$R$257,7,FALSE))</f>
        <v/>
      </c>
      <c r="I42" s="382" t="str">
        <f>IF(H42="","",VLOOKUP($B42,'F-1 Off-Site WaterC'' Baseline'!$C$9:$R$257,8,FALSE))</f>
        <v/>
      </c>
      <c r="J42" s="382" t="str">
        <f>IF(I42="","",VLOOKUP($B42,'F-1 Off-Site WaterC'' Baseline'!$C$9:$R$257,9,FALSE))</f>
        <v/>
      </c>
      <c r="K42" s="382" t="str">
        <f>IF(J42="","",VLOOKUP($B42,'F-1 Off-Site WaterC'' Baseline'!$C$9:$R$257,10,FALSE))</f>
        <v/>
      </c>
      <c r="L42" s="382" t="str">
        <f>IF(B42="","",VLOOKUP($B42,'F-1 Off-Site WaterC'' Baseline'!$C$9:$R$257,15,FALSE))</f>
        <v/>
      </c>
      <c r="M42" s="386" t="str">
        <f>IF(L42="","",VLOOKUP($B42,'F-1 Off-Site WaterC'' Baseline'!$C$9:$R$257,16,FALSE))</f>
        <v/>
      </c>
      <c r="N42" s="316" t="str">
        <f t="shared" si="0"/>
        <v/>
      </c>
      <c r="O42" s="362" t="str">
        <f t="shared" si="3"/>
        <v/>
      </c>
      <c r="P42" s="363" t="str">
        <f>IF(C42="","",IF(AND(LEFT(C42,55)&lt;&gt;LEFT(N42,55),O42="High - High"),"Error - Not like for like ▲",IF(H42&gt;U42,"Error - Can not reduce condition ▲",IF(AND(F42=S42,H42=U42,AJ42='F-1 Off-Site WaterC'' Baseline'!N40,'F-1 Off-Site WaterC'' Baseline'!P40=AL42),"Error - No enhancement ▲",IF(AND(C42&lt;&gt;N42,F42&lt;S42),"Lower Distinctiveness Habitat"&amp;" - "&amp;T42,G42&amp;" - "&amp;T42)))))</f>
        <v/>
      </c>
      <c r="Q42" s="368" t="str">
        <f>IF(N42="","",VLOOKUP(B42,'F-1 Off-Site WaterC'' Baseline'!$C$10:$AE$257,22,FALSE))</f>
        <v/>
      </c>
      <c r="R42" s="362" t="str">
        <f>IF(N42="","",VLOOKUP(N42,'G-7 WaterC'' Data'!$B$2:$G$8,2,FALSE))</f>
        <v/>
      </c>
      <c r="S42" s="363" t="str">
        <f>IFERROR(VLOOKUP(R42,'G-7 WaterC'' Data'!$C$4:$D$8,2,FALSE),"")</f>
        <v/>
      </c>
      <c r="T42" s="114"/>
      <c r="U42" s="363" t="str">
        <f>IFERROR(INDEX('G-7 WaterC'' Data'!$H$4:$L$8,MATCH(N42,'G-7 WaterC'' Data'!$B$4:$B$8,0),MATCH(T42,'G-7 WaterC'' Data'!$H$3:$L$3,0)),"")</f>
        <v/>
      </c>
      <c r="V42" s="122"/>
      <c r="W42" s="382" t="str">
        <f>IF(V42="","",IF(VLOOKUP(V42,'G-7 WaterC'' Data'!$AK$4:$AM$6,2,FALSE)=0,"Spatial Data Missing ⚠",VLOOKUP(V42,'G-7 WaterC'' Data'!$AK$4:$AM$6,2,FALSE)))</f>
        <v/>
      </c>
      <c r="X42" s="386" t="str">
        <f>IF(V42="","",IF(VLOOKUP(V42,'G-7 WaterC'' Data'!$AK$4:$AM$6,3,FALSE)=0,"Spatial Data Missing ⚠",VLOOKUP(V42,'G-7 WaterC'' Data'!$AK$4:$AM$6,3,FALSE)))</f>
        <v/>
      </c>
      <c r="Y42" s="398" t="str">
        <f>IFERROR(IF(OR(LEFT(P42,5)="Error",LEFT(O42,5)="Error"),"Check Data ⚠",IF(F42&lt;S42,'G-7 WaterC'' Data'!$R$3,INDEX('G-7 WaterC'' Data'!$U$5:$Y$9,MATCH(G42,'G-7 WaterC'' Data'!$T$5:$T$9,0),MATCH(T42,'G-7 WaterC'' Data'!$U$4:$Y$4,0)))),"")</f>
        <v/>
      </c>
      <c r="Z42" s="165"/>
      <c r="AA42" s="165"/>
      <c r="AB42" s="395" t="str">
        <f t="shared" si="4"/>
        <v/>
      </c>
      <c r="AC42" s="383" t="str">
        <f t="shared" si="5"/>
        <v/>
      </c>
      <c r="AD42" s="422" t="str">
        <f>IFERROR(IF(AC42="Check Data ⚠","Check Data ⚠",VLOOKUP(AC42,'G-4 Temporal multipliers'!$A$4:$C$37,3,FALSE)),"")</f>
        <v/>
      </c>
      <c r="AE42" s="398" t="str">
        <f>IF(N42="","",VLOOKUP(N42,'G-7 WaterC'' Data'!$B$4:$G$8,5,FALSE))</f>
        <v/>
      </c>
      <c r="AF42" s="382" t="str">
        <f t="shared" si="1"/>
        <v/>
      </c>
      <c r="AG42" s="382" t="str">
        <f t="shared" si="6"/>
        <v/>
      </c>
      <c r="AH42" s="386" t="str">
        <f t="shared" si="2"/>
        <v/>
      </c>
      <c r="AI42" s="122"/>
      <c r="AJ42" s="363" t="str">
        <f>IF(AI42="","",IF(VLOOKUP(AI42,'G-7 WaterC'' Data'!$AA$4:$AB$7,2,FALSE)=0,"Spatial Data Missing ⚠",VLOOKUP(AI42,'G-7 WaterC'' Data'!$AA$4:$AB$7,2,FALSE)))</f>
        <v/>
      </c>
      <c r="AK42" s="123"/>
      <c r="AL42" s="397" t="str">
        <f>IF(AK42="","",IF(VLOOKUP(AK42,'G-7 WaterC'' Data'!$AD$4:$AE$14,2,FALSE)=0,"Spatial Data Missing ⚠",VLOOKUP(AK42,'G-7 WaterC'' Data'!$AD$4:$AE$14,2,FALSE)))</f>
        <v/>
      </c>
      <c r="AM42" s="122"/>
      <c r="AN42" s="363" t="str">
        <f>IF(AM42="","",IF(VLOOKUP(AM42,'G-7 WaterC'' Data'!$AO$4:$BO$7,2,FALSE)=0,"Spatial Data Missing ⚠",VLOOKUP(AM42,'G-7 WaterC'' Data'!$AO$4:$BO$7,2,FALSE)))</f>
        <v/>
      </c>
      <c r="AO42" s="405" t="str">
        <f t="shared" si="7"/>
        <v/>
      </c>
      <c r="AP42" s="405" t="str">
        <f t="shared" si="8"/>
        <v/>
      </c>
      <c r="AQ42" s="117"/>
      <c r="AR42" s="118"/>
      <c r="AS42" s="120"/>
      <c r="AT42" s="120"/>
      <c r="AY42" s="30" t="str">
        <f>IFERROR(INDEX('G-7 WaterC'' Data'!$AZ$3:$AZ$7,MATCH(N42,'G-7 WaterC'' Data'!$AY$3:$AY$7,0)),"")</f>
        <v/>
      </c>
    </row>
    <row r="43" spans="2:51" ht="15">
      <c r="B43" s="392" t="str">
        <f>'F-1 Off-Site WaterC'' Baseline'!AR41</f>
        <v/>
      </c>
      <c r="C43" s="382" t="str">
        <f>IF(B43="","",VLOOKUP($B43,'F-1 Off-Site WaterC'' Baseline'!$C$9:$R$257,2,FALSE))</f>
        <v/>
      </c>
      <c r="D43" s="382" t="str">
        <f>IF(C43="","",VLOOKUP($B43,'F-1 Off-Site WaterC'' Baseline'!$C$9:$R$257,3,FALSE))</f>
        <v/>
      </c>
      <c r="E43" s="382" t="str">
        <f>IF(D43="","",VLOOKUP($B43,'F-1 Off-Site WaterC'' Baseline'!$C$9:$R$257,4,FALSE))</f>
        <v/>
      </c>
      <c r="F43" s="382" t="str">
        <f>IF(E43="","",VLOOKUP($B43,'F-1 Off-Site WaterC'' Baseline'!$C$9:$R$257,5,FALSE))</f>
        <v/>
      </c>
      <c r="G43" s="382" t="str">
        <f>IF(F43="","",VLOOKUP($B43,'F-1 Off-Site WaterC'' Baseline'!$C$9:$R$257,6,FALSE))</f>
        <v/>
      </c>
      <c r="H43" s="382" t="str">
        <f>IF(G43="","",VLOOKUP($B43,'F-1 Off-Site WaterC'' Baseline'!$C$9:$R$257,7,FALSE))</f>
        <v/>
      </c>
      <c r="I43" s="382" t="str">
        <f>IF(H43="","",VLOOKUP($B43,'F-1 Off-Site WaterC'' Baseline'!$C$9:$R$257,8,FALSE))</f>
        <v/>
      </c>
      <c r="J43" s="382" t="str">
        <f>IF(I43="","",VLOOKUP($B43,'F-1 Off-Site WaterC'' Baseline'!$C$9:$R$257,9,FALSE))</f>
        <v/>
      </c>
      <c r="K43" s="382" t="str">
        <f>IF(J43="","",VLOOKUP($B43,'F-1 Off-Site WaterC'' Baseline'!$C$9:$R$257,10,FALSE))</f>
        <v/>
      </c>
      <c r="L43" s="382" t="str">
        <f>IF(B43="","",VLOOKUP($B43,'F-1 Off-Site WaterC'' Baseline'!$C$9:$R$257,15,FALSE))</f>
        <v/>
      </c>
      <c r="M43" s="386" t="str">
        <f>IF(L43="","",VLOOKUP($B43,'F-1 Off-Site WaterC'' Baseline'!$C$9:$R$257,16,FALSE))</f>
        <v/>
      </c>
      <c r="N43" s="316" t="str">
        <f t="shared" si="0"/>
        <v/>
      </c>
      <c r="O43" s="362" t="str">
        <f t="shared" si="3"/>
        <v/>
      </c>
      <c r="P43" s="363" t="str">
        <f>IF(C43="","",IF(AND(LEFT(C43,55)&lt;&gt;LEFT(N43,55),O43="High - High"),"Error - Not like for like ▲",IF(H43&gt;U43,"Error - Can not reduce condition ▲",IF(AND(F43=S43,H43=U43,AJ43='F-1 Off-Site WaterC'' Baseline'!N41,'F-1 Off-Site WaterC'' Baseline'!P41=AL43),"Error - No enhancement ▲",IF(AND(C43&lt;&gt;N43,F43&lt;S43),"Lower Distinctiveness Habitat"&amp;" - "&amp;T43,G43&amp;" - "&amp;T43)))))</f>
        <v/>
      </c>
      <c r="Q43" s="368" t="str">
        <f>IF(N43="","",VLOOKUP(B43,'F-1 Off-Site WaterC'' Baseline'!$C$10:$AE$257,22,FALSE))</f>
        <v/>
      </c>
      <c r="R43" s="362" t="str">
        <f>IF(N43="","",VLOOKUP(N43,'G-7 WaterC'' Data'!$B$2:$G$8,2,FALSE))</f>
        <v/>
      </c>
      <c r="S43" s="363" t="str">
        <f>IFERROR(VLOOKUP(R43,'G-7 WaterC'' Data'!$C$4:$D$8,2,FALSE),"")</f>
        <v/>
      </c>
      <c r="T43" s="114"/>
      <c r="U43" s="363" t="str">
        <f>IFERROR(INDEX('G-7 WaterC'' Data'!$H$4:$L$8,MATCH(N43,'G-7 WaterC'' Data'!$B$4:$B$8,0),MATCH(T43,'G-7 WaterC'' Data'!$H$3:$L$3,0)),"")</f>
        <v/>
      </c>
      <c r="V43" s="122"/>
      <c r="W43" s="382" t="str">
        <f>IF(V43="","",IF(VLOOKUP(V43,'G-7 WaterC'' Data'!$AK$4:$AM$6,2,FALSE)=0,"Spatial Data Missing ⚠",VLOOKUP(V43,'G-7 WaterC'' Data'!$AK$4:$AM$6,2,FALSE)))</f>
        <v/>
      </c>
      <c r="X43" s="386" t="str">
        <f>IF(V43="","",IF(VLOOKUP(V43,'G-7 WaterC'' Data'!$AK$4:$AM$6,3,FALSE)=0,"Spatial Data Missing ⚠",VLOOKUP(V43,'G-7 WaterC'' Data'!$AK$4:$AM$6,3,FALSE)))</f>
        <v/>
      </c>
      <c r="Y43" s="398" t="str">
        <f>IFERROR(IF(OR(LEFT(P43,5)="Error",LEFT(O43,5)="Error"),"Check Data ⚠",IF(F43&lt;S43,'G-7 WaterC'' Data'!$R$3,INDEX('G-7 WaterC'' Data'!$U$5:$Y$9,MATCH(G43,'G-7 WaterC'' Data'!$T$5:$T$9,0),MATCH(T43,'G-7 WaterC'' Data'!$U$4:$Y$4,0)))),"")</f>
        <v/>
      </c>
      <c r="Z43" s="165"/>
      <c r="AA43" s="165"/>
      <c r="AB43" s="395" t="str">
        <f t="shared" si="4"/>
        <v/>
      </c>
      <c r="AC43" s="383" t="str">
        <f t="shared" si="5"/>
        <v/>
      </c>
      <c r="AD43" s="422" t="str">
        <f>IFERROR(IF(AC43="Check Data ⚠","Check Data ⚠",VLOOKUP(AC43,'G-4 Temporal multipliers'!$A$4:$C$37,3,FALSE)),"")</f>
        <v/>
      </c>
      <c r="AE43" s="398" t="str">
        <f>IF(N43="","",VLOOKUP(N43,'G-7 WaterC'' Data'!$B$4:$G$8,5,FALSE))</f>
        <v/>
      </c>
      <c r="AF43" s="382" t="str">
        <f t="shared" si="1"/>
        <v/>
      </c>
      <c r="AG43" s="382" t="str">
        <f t="shared" si="6"/>
        <v/>
      </c>
      <c r="AH43" s="386" t="str">
        <f t="shared" si="2"/>
        <v/>
      </c>
      <c r="AI43" s="122"/>
      <c r="AJ43" s="363" t="str">
        <f>IF(AI43="","",IF(VLOOKUP(AI43,'G-7 WaterC'' Data'!$AA$4:$AB$7,2,FALSE)=0,"Spatial Data Missing ⚠",VLOOKUP(AI43,'G-7 WaterC'' Data'!$AA$4:$AB$7,2,FALSE)))</f>
        <v/>
      </c>
      <c r="AK43" s="123"/>
      <c r="AL43" s="397" t="str">
        <f>IF(AK43="","",IF(VLOOKUP(AK43,'G-7 WaterC'' Data'!$AD$4:$AE$14,2,FALSE)=0,"Spatial Data Missing ⚠",VLOOKUP(AK43,'G-7 WaterC'' Data'!$AD$4:$AE$14,2,FALSE)))</f>
        <v/>
      </c>
      <c r="AM43" s="122"/>
      <c r="AN43" s="363" t="str">
        <f>IF(AM43="","",IF(VLOOKUP(AM43,'G-7 WaterC'' Data'!$AO$4:$BO$7,2,FALSE)=0,"Spatial Data Missing ⚠",VLOOKUP(AM43,'G-7 WaterC'' Data'!$AO$4:$BO$7,2,FALSE)))</f>
        <v/>
      </c>
      <c r="AO43" s="405" t="str">
        <f t="shared" si="7"/>
        <v/>
      </c>
      <c r="AP43" s="405" t="str">
        <f t="shared" si="8"/>
        <v/>
      </c>
      <c r="AQ43" s="117"/>
      <c r="AR43" s="118"/>
      <c r="AS43" s="120"/>
      <c r="AT43" s="120"/>
      <c r="AY43" s="30" t="str">
        <f>IFERROR(INDEX('G-7 WaterC'' Data'!$AZ$3:$AZ$7,MATCH(N43,'G-7 WaterC'' Data'!$AY$3:$AY$7,0)),"")</f>
        <v/>
      </c>
    </row>
    <row r="44" spans="2:51" ht="15">
      <c r="B44" s="392" t="str">
        <f>'F-1 Off-Site WaterC'' Baseline'!AR42</f>
        <v/>
      </c>
      <c r="C44" s="382" t="str">
        <f>IF(B44="","",VLOOKUP($B44,'F-1 Off-Site WaterC'' Baseline'!$C$9:$R$257,2,FALSE))</f>
        <v/>
      </c>
      <c r="D44" s="382" t="str">
        <f>IF(C44="","",VLOOKUP($B44,'F-1 Off-Site WaterC'' Baseline'!$C$9:$R$257,3,FALSE))</f>
        <v/>
      </c>
      <c r="E44" s="382" t="str">
        <f>IF(D44="","",VLOOKUP($B44,'F-1 Off-Site WaterC'' Baseline'!$C$9:$R$257,4,FALSE))</f>
        <v/>
      </c>
      <c r="F44" s="382" t="str">
        <f>IF(E44="","",VLOOKUP($B44,'F-1 Off-Site WaterC'' Baseline'!$C$9:$R$257,5,FALSE))</f>
        <v/>
      </c>
      <c r="G44" s="382" t="str">
        <f>IF(F44="","",VLOOKUP($B44,'F-1 Off-Site WaterC'' Baseline'!$C$9:$R$257,6,FALSE))</f>
        <v/>
      </c>
      <c r="H44" s="382" t="str">
        <f>IF(G44="","",VLOOKUP($B44,'F-1 Off-Site WaterC'' Baseline'!$C$9:$R$257,7,FALSE))</f>
        <v/>
      </c>
      <c r="I44" s="382" t="str">
        <f>IF(H44="","",VLOOKUP($B44,'F-1 Off-Site WaterC'' Baseline'!$C$9:$R$257,8,FALSE))</f>
        <v/>
      </c>
      <c r="J44" s="382" t="str">
        <f>IF(I44="","",VLOOKUP($B44,'F-1 Off-Site WaterC'' Baseline'!$C$9:$R$257,9,FALSE))</f>
        <v/>
      </c>
      <c r="K44" s="382" t="str">
        <f>IF(J44="","",VLOOKUP($B44,'F-1 Off-Site WaterC'' Baseline'!$C$9:$R$257,10,FALSE))</f>
        <v/>
      </c>
      <c r="L44" s="382" t="str">
        <f>IF(B44="","",VLOOKUP($B44,'F-1 Off-Site WaterC'' Baseline'!$C$9:$R$257,15,FALSE))</f>
        <v/>
      </c>
      <c r="M44" s="386" t="str">
        <f>IF(L44="","",VLOOKUP($B44,'F-1 Off-Site WaterC'' Baseline'!$C$9:$R$257,16,FALSE))</f>
        <v/>
      </c>
      <c r="N44" s="316" t="str">
        <f t="shared" si="0"/>
        <v/>
      </c>
      <c r="O44" s="362" t="str">
        <f t="shared" si="3"/>
        <v/>
      </c>
      <c r="P44" s="363" t="str">
        <f>IF(C44="","",IF(AND(LEFT(C44,55)&lt;&gt;LEFT(N44,55),O44="High - High"),"Error - Not like for like ▲",IF(H44&gt;U44,"Error - Can not reduce condition ▲",IF(AND(F44=S44,H44=U44,AJ44='F-1 Off-Site WaterC'' Baseline'!N42,'F-1 Off-Site WaterC'' Baseline'!P42=AL44),"Error - No enhancement ▲",IF(AND(C44&lt;&gt;N44,F44&lt;S44),"Lower Distinctiveness Habitat"&amp;" - "&amp;T44,G44&amp;" - "&amp;T44)))))</f>
        <v/>
      </c>
      <c r="Q44" s="368" t="str">
        <f>IF(N44="","",VLOOKUP(B44,'F-1 Off-Site WaterC'' Baseline'!$C$10:$AE$257,22,FALSE))</f>
        <v/>
      </c>
      <c r="R44" s="362" t="str">
        <f>IF(N44="","",VLOOKUP(N44,'G-7 WaterC'' Data'!$B$2:$G$8,2,FALSE))</f>
        <v/>
      </c>
      <c r="S44" s="363" t="str">
        <f>IFERROR(VLOOKUP(R44,'G-7 WaterC'' Data'!$C$4:$D$8,2,FALSE),"")</f>
        <v/>
      </c>
      <c r="T44" s="114"/>
      <c r="U44" s="363" t="str">
        <f>IFERROR(INDEX('G-7 WaterC'' Data'!$H$4:$L$8,MATCH(N44,'G-7 WaterC'' Data'!$B$4:$B$8,0),MATCH(T44,'G-7 WaterC'' Data'!$H$3:$L$3,0)),"")</f>
        <v/>
      </c>
      <c r="V44" s="122"/>
      <c r="W44" s="382" t="str">
        <f>IF(V44="","",IF(VLOOKUP(V44,'G-7 WaterC'' Data'!$AK$4:$AM$6,2,FALSE)=0,"Spatial Data Missing ⚠",VLOOKUP(V44,'G-7 WaterC'' Data'!$AK$4:$AM$6,2,FALSE)))</f>
        <v/>
      </c>
      <c r="X44" s="386" t="str">
        <f>IF(V44="","",IF(VLOOKUP(V44,'G-7 WaterC'' Data'!$AK$4:$AM$6,3,FALSE)=0,"Spatial Data Missing ⚠",VLOOKUP(V44,'G-7 WaterC'' Data'!$AK$4:$AM$6,3,FALSE)))</f>
        <v/>
      </c>
      <c r="Y44" s="398" t="str">
        <f>IFERROR(IF(OR(LEFT(P44,5)="Error",LEFT(O44,5)="Error"),"Check Data ⚠",IF(F44&lt;S44,'G-7 WaterC'' Data'!$R$3,INDEX('G-7 WaterC'' Data'!$U$5:$Y$9,MATCH(G44,'G-7 WaterC'' Data'!$T$5:$T$9,0),MATCH(T44,'G-7 WaterC'' Data'!$U$4:$Y$4,0)))),"")</f>
        <v/>
      </c>
      <c r="Z44" s="165"/>
      <c r="AA44" s="165"/>
      <c r="AB44" s="395" t="str">
        <f t="shared" si="4"/>
        <v/>
      </c>
      <c r="AC44" s="383" t="str">
        <f t="shared" si="5"/>
        <v/>
      </c>
      <c r="AD44" s="422" t="str">
        <f>IFERROR(IF(AC44="Check Data ⚠","Check Data ⚠",VLOOKUP(AC44,'G-4 Temporal multipliers'!$A$4:$C$37,3,FALSE)),"")</f>
        <v/>
      </c>
      <c r="AE44" s="398" t="str">
        <f>IF(N44="","",VLOOKUP(N44,'G-7 WaterC'' Data'!$B$4:$G$8,5,FALSE))</f>
        <v/>
      </c>
      <c r="AF44" s="382" t="str">
        <f t="shared" si="1"/>
        <v/>
      </c>
      <c r="AG44" s="382" t="str">
        <f t="shared" si="6"/>
        <v/>
      </c>
      <c r="AH44" s="386" t="str">
        <f t="shared" si="2"/>
        <v/>
      </c>
      <c r="AI44" s="122"/>
      <c r="AJ44" s="363" t="str">
        <f>IF(AI44="","",IF(VLOOKUP(AI44,'G-7 WaterC'' Data'!$AA$4:$AB$7,2,FALSE)=0,"Spatial Data Missing ⚠",VLOOKUP(AI44,'G-7 WaterC'' Data'!$AA$4:$AB$7,2,FALSE)))</f>
        <v/>
      </c>
      <c r="AK44" s="123"/>
      <c r="AL44" s="397" t="str">
        <f>IF(AK44="","",IF(VLOOKUP(AK44,'G-7 WaterC'' Data'!$AD$4:$AE$14,2,FALSE)=0,"Spatial Data Missing ⚠",VLOOKUP(AK44,'G-7 WaterC'' Data'!$AD$4:$AE$14,2,FALSE)))</f>
        <v/>
      </c>
      <c r="AM44" s="122"/>
      <c r="AN44" s="363" t="str">
        <f>IF(AM44="","",IF(VLOOKUP(AM44,'G-7 WaterC'' Data'!$AO$4:$BO$7,2,FALSE)=0,"Spatial Data Missing ⚠",VLOOKUP(AM44,'G-7 WaterC'' Data'!$AO$4:$BO$7,2,FALSE)))</f>
        <v/>
      </c>
      <c r="AO44" s="405" t="str">
        <f t="shared" si="7"/>
        <v/>
      </c>
      <c r="AP44" s="405" t="str">
        <f t="shared" si="8"/>
        <v/>
      </c>
      <c r="AQ44" s="117"/>
      <c r="AR44" s="118"/>
      <c r="AS44" s="120"/>
      <c r="AT44" s="120"/>
      <c r="AY44" s="30" t="str">
        <f>IFERROR(INDEX('G-7 WaterC'' Data'!$AZ$3:$AZ$7,MATCH(N44,'G-7 WaterC'' Data'!$AY$3:$AY$7,0)),"")</f>
        <v/>
      </c>
    </row>
    <row r="45" spans="2:51" ht="15">
      <c r="B45" s="392" t="str">
        <f>'F-1 Off-Site WaterC'' Baseline'!AR43</f>
        <v/>
      </c>
      <c r="C45" s="382" t="str">
        <f>IF(B45="","",VLOOKUP($B45,'F-1 Off-Site WaterC'' Baseline'!$C$9:$R$257,2,FALSE))</f>
        <v/>
      </c>
      <c r="D45" s="382" t="str">
        <f>IF(C45="","",VLOOKUP($B45,'F-1 Off-Site WaterC'' Baseline'!$C$9:$R$257,3,FALSE))</f>
        <v/>
      </c>
      <c r="E45" s="382" t="str">
        <f>IF(D45="","",VLOOKUP($B45,'F-1 Off-Site WaterC'' Baseline'!$C$9:$R$257,4,FALSE))</f>
        <v/>
      </c>
      <c r="F45" s="382" t="str">
        <f>IF(E45="","",VLOOKUP($B45,'F-1 Off-Site WaterC'' Baseline'!$C$9:$R$257,5,FALSE))</f>
        <v/>
      </c>
      <c r="G45" s="382" t="str">
        <f>IF(F45="","",VLOOKUP($B45,'F-1 Off-Site WaterC'' Baseline'!$C$9:$R$257,6,FALSE))</f>
        <v/>
      </c>
      <c r="H45" s="382" t="str">
        <f>IF(G45="","",VLOOKUP($B45,'F-1 Off-Site WaterC'' Baseline'!$C$9:$R$257,7,FALSE))</f>
        <v/>
      </c>
      <c r="I45" s="382" t="str">
        <f>IF(H45="","",VLOOKUP($B45,'F-1 Off-Site WaterC'' Baseline'!$C$9:$R$257,8,FALSE))</f>
        <v/>
      </c>
      <c r="J45" s="382" t="str">
        <f>IF(I45="","",VLOOKUP($B45,'F-1 Off-Site WaterC'' Baseline'!$C$9:$R$257,9,FALSE))</f>
        <v/>
      </c>
      <c r="K45" s="382" t="str">
        <f>IF(J45="","",VLOOKUP($B45,'F-1 Off-Site WaterC'' Baseline'!$C$9:$R$257,10,FALSE))</f>
        <v/>
      </c>
      <c r="L45" s="382" t="str">
        <f>IF(B45="","",VLOOKUP($B45,'F-1 Off-Site WaterC'' Baseline'!$C$9:$R$257,15,FALSE))</f>
        <v/>
      </c>
      <c r="M45" s="386" t="str">
        <f>IF(L45="","",VLOOKUP($B45,'F-1 Off-Site WaterC'' Baseline'!$C$9:$R$257,16,FALSE))</f>
        <v/>
      </c>
      <c r="N45" s="316" t="str">
        <f t="shared" si="0"/>
        <v/>
      </c>
      <c r="O45" s="362" t="str">
        <f t="shared" si="3"/>
        <v/>
      </c>
      <c r="P45" s="363" t="str">
        <f>IF(C45="","",IF(AND(LEFT(C45,55)&lt;&gt;LEFT(N45,55),O45="High - High"),"Error - Not like for like ▲",IF(H45&gt;U45,"Error - Can not reduce condition ▲",IF(AND(F45=S45,H45=U45,AJ45='F-1 Off-Site WaterC'' Baseline'!N43,'F-1 Off-Site WaterC'' Baseline'!P43=AL45),"Error - No enhancement ▲",IF(AND(C45&lt;&gt;N45,F45&lt;S45),"Lower Distinctiveness Habitat"&amp;" - "&amp;T45,G45&amp;" - "&amp;T45)))))</f>
        <v/>
      </c>
      <c r="Q45" s="368" t="str">
        <f>IF(N45="","",VLOOKUP(B45,'F-1 Off-Site WaterC'' Baseline'!$C$10:$AE$257,22,FALSE))</f>
        <v/>
      </c>
      <c r="R45" s="362" t="str">
        <f>IF(N45="","",VLOOKUP(N45,'G-7 WaterC'' Data'!$B$2:$G$8,2,FALSE))</f>
        <v/>
      </c>
      <c r="S45" s="363" t="str">
        <f>IFERROR(VLOOKUP(R45,'G-7 WaterC'' Data'!$C$4:$D$8,2,FALSE),"")</f>
        <v/>
      </c>
      <c r="T45" s="114"/>
      <c r="U45" s="363" t="str">
        <f>IFERROR(INDEX('G-7 WaterC'' Data'!$H$4:$L$8,MATCH(N45,'G-7 WaterC'' Data'!$B$4:$B$8,0),MATCH(T45,'G-7 WaterC'' Data'!$H$3:$L$3,0)),"")</f>
        <v/>
      </c>
      <c r="V45" s="122"/>
      <c r="W45" s="382" t="str">
        <f>IF(V45="","",IF(VLOOKUP(V45,'G-7 WaterC'' Data'!$AK$4:$AM$6,2,FALSE)=0,"Spatial Data Missing ⚠",VLOOKUP(V45,'G-7 WaterC'' Data'!$AK$4:$AM$6,2,FALSE)))</f>
        <v/>
      </c>
      <c r="X45" s="386" t="str">
        <f>IF(V45="","",IF(VLOOKUP(V45,'G-7 WaterC'' Data'!$AK$4:$AM$6,3,FALSE)=0,"Spatial Data Missing ⚠",VLOOKUP(V45,'G-7 WaterC'' Data'!$AK$4:$AM$6,3,FALSE)))</f>
        <v/>
      </c>
      <c r="Y45" s="398" t="str">
        <f>IFERROR(IF(OR(LEFT(P45,5)="Error",LEFT(O45,5)="Error"),"Check Data ⚠",IF(F45&lt;S45,'G-7 WaterC'' Data'!$R$3,INDEX('G-7 WaterC'' Data'!$U$5:$Y$9,MATCH(G45,'G-7 WaterC'' Data'!$T$5:$T$9,0),MATCH(T45,'G-7 WaterC'' Data'!$U$4:$Y$4,0)))),"")</f>
        <v/>
      </c>
      <c r="Z45" s="165"/>
      <c r="AA45" s="165"/>
      <c r="AB45" s="395" t="str">
        <f t="shared" si="4"/>
        <v/>
      </c>
      <c r="AC45" s="383" t="str">
        <f t="shared" si="5"/>
        <v/>
      </c>
      <c r="AD45" s="422" t="str">
        <f>IFERROR(IF(AC45="Check Data ⚠","Check Data ⚠",VLOOKUP(AC45,'G-4 Temporal multipliers'!$A$4:$C$37,3,FALSE)),"")</f>
        <v/>
      </c>
      <c r="AE45" s="398" t="str">
        <f>IF(N45="","",VLOOKUP(N45,'G-7 WaterC'' Data'!$B$4:$G$8,5,FALSE))</f>
        <v/>
      </c>
      <c r="AF45" s="382" t="str">
        <f t="shared" si="1"/>
        <v/>
      </c>
      <c r="AG45" s="382" t="str">
        <f t="shared" si="6"/>
        <v/>
      </c>
      <c r="AH45" s="386" t="str">
        <f t="shared" si="2"/>
        <v/>
      </c>
      <c r="AI45" s="122"/>
      <c r="AJ45" s="363" t="str">
        <f>IF(AI45="","",IF(VLOOKUP(AI45,'G-7 WaterC'' Data'!$AA$4:$AB$7,2,FALSE)=0,"Spatial Data Missing ⚠",VLOOKUP(AI45,'G-7 WaterC'' Data'!$AA$4:$AB$7,2,FALSE)))</f>
        <v/>
      </c>
      <c r="AK45" s="123"/>
      <c r="AL45" s="397" t="str">
        <f>IF(AK45="","",IF(VLOOKUP(AK45,'G-7 WaterC'' Data'!$AD$4:$AE$14,2,FALSE)=0,"Spatial Data Missing ⚠",VLOOKUP(AK45,'G-7 WaterC'' Data'!$AD$4:$AE$14,2,FALSE)))</f>
        <v/>
      </c>
      <c r="AM45" s="122"/>
      <c r="AN45" s="363" t="str">
        <f>IF(AM45="","",IF(VLOOKUP(AM45,'G-7 WaterC'' Data'!$AO$4:$BO$7,2,FALSE)=0,"Spatial Data Missing ⚠",VLOOKUP(AM45,'G-7 WaterC'' Data'!$AO$4:$BO$7,2,FALSE)))</f>
        <v/>
      </c>
      <c r="AO45" s="405" t="str">
        <f t="shared" si="7"/>
        <v/>
      </c>
      <c r="AP45" s="405" t="str">
        <f t="shared" si="8"/>
        <v/>
      </c>
      <c r="AQ45" s="117"/>
      <c r="AR45" s="118"/>
      <c r="AS45" s="120"/>
      <c r="AT45" s="120"/>
      <c r="AY45" s="30" t="str">
        <f>IFERROR(INDEX('G-7 WaterC'' Data'!$AZ$3:$AZ$7,MATCH(N45,'G-7 WaterC'' Data'!$AY$3:$AY$7,0)),"")</f>
        <v/>
      </c>
    </row>
    <row r="46" spans="2:51" ht="15">
      <c r="B46" s="392" t="str">
        <f>'F-1 Off-Site WaterC'' Baseline'!AR44</f>
        <v/>
      </c>
      <c r="C46" s="382" t="str">
        <f>IF(B46="","",VLOOKUP($B46,'F-1 Off-Site WaterC'' Baseline'!$C$9:$R$257,2,FALSE))</f>
        <v/>
      </c>
      <c r="D46" s="382" t="str">
        <f>IF(C46="","",VLOOKUP($B46,'F-1 Off-Site WaterC'' Baseline'!$C$9:$R$257,3,FALSE))</f>
        <v/>
      </c>
      <c r="E46" s="382" t="str">
        <f>IF(D46="","",VLOOKUP($B46,'F-1 Off-Site WaterC'' Baseline'!$C$9:$R$257,4,FALSE))</f>
        <v/>
      </c>
      <c r="F46" s="382" t="str">
        <f>IF(E46="","",VLOOKUP($B46,'F-1 Off-Site WaterC'' Baseline'!$C$9:$R$257,5,FALSE))</f>
        <v/>
      </c>
      <c r="G46" s="382" t="str">
        <f>IF(F46="","",VLOOKUP($B46,'F-1 Off-Site WaterC'' Baseline'!$C$9:$R$257,6,FALSE))</f>
        <v/>
      </c>
      <c r="H46" s="382" t="str">
        <f>IF(G46="","",VLOOKUP($B46,'F-1 Off-Site WaterC'' Baseline'!$C$9:$R$257,7,FALSE))</f>
        <v/>
      </c>
      <c r="I46" s="382" t="str">
        <f>IF(H46="","",VLOOKUP($B46,'F-1 Off-Site WaterC'' Baseline'!$C$9:$R$257,8,FALSE))</f>
        <v/>
      </c>
      <c r="J46" s="382" t="str">
        <f>IF(I46="","",VLOOKUP($B46,'F-1 Off-Site WaterC'' Baseline'!$C$9:$R$257,9,FALSE))</f>
        <v/>
      </c>
      <c r="K46" s="382" t="str">
        <f>IF(J46="","",VLOOKUP($B46,'F-1 Off-Site WaterC'' Baseline'!$C$9:$R$257,10,FALSE))</f>
        <v/>
      </c>
      <c r="L46" s="382" t="str">
        <f>IF(B46="","",VLOOKUP($B46,'F-1 Off-Site WaterC'' Baseline'!$C$9:$R$257,15,FALSE))</f>
        <v/>
      </c>
      <c r="M46" s="386" t="str">
        <f>IF(L46="","",VLOOKUP($B46,'F-1 Off-Site WaterC'' Baseline'!$C$9:$R$257,16,FALSE))</f>
        <v/>
      </c>
      <c r="N46" s="316" t="str">
        <f t="shared" si="0"/>
        <v/>
      </c>
      <c r="O46" s="362" t="str">
        <f t="shared" si="3"/>
        <v/>
      </c>
      <c r="P46" s="363" t="str">
        <f>IF(C46="","",IF(AND(LEFT(C46,55)&lt;&gt;LEFT(N46,55),O46="High - High"),"Error - Not like for like ▲",IF(H46&gt;U46,"Error - Can not reduce condition ▲",IF(AND(F46=S46,H46=U46,AJ46='F-1 Off-Site WaterC'' Baseline'!N44,'F-1 Off-Site WaterC'' Baseline'!P44=AL46),"Error - No enhancement ▲",IF(AND(C46&lt;&gt;N46,F46&lt;S46),"Lower Distinctiveness Habitat"&amp;" - "&amp;T46,G46&amp;" - "&amp;T46)))))</f>
        <v/>
      </c>
      <c r="Q46" s="368" t="str">
        <f>IF(N46="","",VLOOKUP(B46,'F-1 Off-Site WaterC'' Baseline'!$C$10:$AE$257,22,FALSE))</f>
        <v/>
      </c>
      <c r="R46" s="362" t="str">
        <f>IF(N46="","",VLOOKUP(N46,'G-7 WaterC'' Data'!$B$2:$G$8,2,FALSE))</f>
        <v/>
      </c>
      <c r="S46" s="363" t="str">
        <f>IFERROR(VLOOKUP(R46,'G-7 WaterC'' Data'!$C$4:$D$8,2,FALSE),"")</f>
        <v/>
      </c>
      <c r="T46" s="114"/>
      <c r="U46" s="363" t="str">
        <f>IFERROR(INDEX('G-7 WaterC'' Data'!$H$4:$L$8,MATCH(N46,'G-7 WaterC'' Data'!$B$4:$B$8,0),MATCH(T46,'G-7 WaterC'' Data'!$H$3:$L$3,0)),"")</f>
        <v/>
      </c>
      <c r="V46" s="122"/>
      <c r="W46" s="382" t="str">
        <f>IF(V46="","",IF(VLOOKUP(V46,'G-7 WaterC'' Data'!$AK$4:$AM$6,2,FALSE)=0,"Spatial Data Missing ⚠",VLOOKUP(V46,'G-7 WaterC'' Data'!$AK$4:$AM$6,2,FALSE)))</f>
        <v/>
      </c>
      <c r="X46" s="386" t="str">
        <f>IF(V46="","",IF(VLOOKUP(V46,'G-7 WaterC'' Data'!$AK$4:$AM$6,3,FALSE)=0,"Spatial Data Missing ⚠",VLOOKUP(V46,'G-7 WaterC'' Data'!$AK$4:$AM$6,3,FALSE)))</f>
        <v/>
      </c>
      <c r="Y46" s="398" t="str">
        <f>IFERROR(IF(OR(LEFT(P46,5)="Error",LEFT(O46,5)="Error"),"Check Data ⚠",IF(F46&lt;S46,'G-7 WaterC'' Data'!$R$3,INDEX('G-7 WaterC'' Data'!$U$5:$Y$9,MATCH(G46,'G-7 WaterC'' Data'!$T$5:$T$9,0),MATCH(T46,'G-7 WaterC'' Data'!$U$4:$Y$4,0)))),"")</f>
        <v/>
      </c>
      <c r="Z46" s="165"/>
      <c r="AA46" s="165"/>
      <c r="AB46" s="395" t="str">
        <f t="shared" si="4"/>
        <v/>
      </c>
      <c r="AC46" s="383" t="str">
        <f t="shared" si="5"/>
        <v/>
      </c>
      <c r="AD46" s="422" t="str">
        <f>IFERROR(IF(AC46="Check Data ⚠","Check Data ⚠",VLOOKUP(AC46,'G-4 Temporal multipliers'!$A$4:$C$37,3,FALSE)),"")</f>
        <v/>
      </c>
      <c r="AE46" s="398" t="str">
        <f>IF(N46="","",VLOOKUP(N46,'G-7 WaterC'' Data'!$B$4:$G$8,5,FALSE))</f>
        <v/>
      </c>
      <c r="AF46" s="382" t="str">
        <f t="shared" si="1"/>
        <v/>
      </c>
      <c r="AG46" s="382" t="str">
        <f t="shared" si="6"/>
        <v/>
      </c>
      <c r="AH46" s="386" t="str">
        <f t="shared" si="2"/>
        <v/>
      </c>
      <c r="AI46" s="122"/>
      <c r="AJ46" s="363" t="str">
        <f>IF(AI46="","",IF(VLOOKUP(AI46,'G-7 WaterC'' Data'!$AA$4:$AB$7,2,FALSE)=0,"Spatial Data Missing ⚠",VLOOKUP(AI46,'G-7 WaterC'' Data'!$AA$4:$AB$7,2,FALSE)))</f>
        <v/>
      </c>
      <c r="AK46" s="123"/>
      <c r="AL46" s="397" t="str">
        <f>IF(AK46="","",IF(VLOOKUP(AK46,'G-7 WaterC'' Data'!$AD$4:$AE$14,2,FALSE)=0,"Spatial Data Missing ⚠",VLOOKUP(AK46,'G-7 WaterC'' Data'!$AD$4:$AE$14,2,FALSE)))</f>
        <v/>
      </c>
      <c r="AM46" s="122"/>
      <c r="AN46" s="363" t="str">
        <f>IF(AM46="","",IF(VLOOKUP(AM46,'G-7 WaterC'' Data'!$AO$4:$BO$7,2,FALSE)=0,"Spatial Data Missing ⚠",VLOOKUP(AM46,'G-7 WaterC'' Data'!$AO$4:$BO$7,2,FALSE)))</f>
        <v/>
      </c>
      <c r="AO46" s="405" t="str">
        <f t="shared" si="7"/>
        <v/>
      </c>
      <c r="AP46" s="405" t="str">
        <f t="shared" si="8"/>
        <v/>
      </c>
      <c r="AQ46" s="117"/>
      <c r="AR46" s="118"/>
      <c r="AS46" s="120"/>
      <c r="AT46" s="120"/>
      <c r="AY46" s="30" t="str">
        <f>IFERROR(INDEX('G-7 WaterC'' Data'!$AZ$3:$AZ$7,MATCH(N46,'G-7 WaterC'' Data'!$AY$3:$AY$7,0)),"")</f>
        <v/>
      </c>
    </row>
    <row r="47" spans="2:51" ht="15">
      <c r="B47" s="392" t="str">
        <f>'F-1 Off-Site WaterC'' Baseline'!AR45</f>
        <v/>
      </c>
      <c r="C47" s="382" t="str">
        <f>IF(B47="","",VLOOKUP($B47,'F-1 Off-Site WaterC'' Baseline'!$C$9:$R$257,2,FALSE))</f>
        <v/>
      </c>
      <c r="D47" s="382" t="str">
        <f>IF(C47="","",VLOOKUP($B47,'F-1 Off-Site WaterC'' Baseline'!$C$9:$R$257,3,FALSE))</f>
        <v/>
      </c>
      <c r="E47" s="382" t="str">
        <f>IF(D47="","",VLOOKUP($B47,'F-1 Off-Site WaterC'' Baseline'!$C$9:$R$257,4,FALSE))</f>
        <v/>
      </c>
      <c r="F47" s="382" t="str">
        <f>IF(E47="","",VLOOKUP($B47,'F-1 Off-Site WaterC'' Baseline'!$C$9:$R$257,5,FALSE))</f>
        <v/>
      </c>
      <c r="G47" s="382" t="str">
        <f>IF(F47="","",VLOOKUP($B47,'F-1 Off-Site WaterC'' Baseline'!$C$9:$R$257,6,FALSE))</f>
        <v/>
      </c>
      <c r="H47" s="382" t="str">
        <f>IF(G47="","",VLOOKUP($B47,'F-1 Off-Site WaterC'' Baseline'!$C$9:$R$257,7,FALSE))</f>
        <v/>
      </c>
      <c r="I47" s="382" t="str">
        <f>IF(H47="","",VLOOKUP($B47,'F-1 Off-Site WaterC'' Baseline'!$C$9:$R$257,8,FALSE))</f>
        <v/>
      </c>
      <c r="J47" s="382" t="str">
        <f>IF(I47="","",VLOOKUP($B47,'F-1 Off-Site WaterC'' Baseline'!$C$9:$R$257,9,FALSE))</f>
        <v/>
      </c>
      <c r="K47" s="382" t="str">
        <f>IF(J47="","",VLOOKUP($B47,'F-1 Off-Site WaterC'' Baseline'!$C$9:$R$257,10,FALSE))</f>
        <v/>
      </c>
      <c r="L47" s="382" t="str">
        <f>IF(B47="","",VLOOKUP($B47,'F-1 Off-Site WaterC'' Baseline'!$C$9:$R$257,15,FALSE))</f>
        <v/>
      </c>
      <c r="M47" s="386" t="str">
        <f>IF(L47="","",VLOOKUP($B47,'F-1 Off-Site WaterC'' Baseline'!$C$9:$R$257,16,FALSE))</f>
        <v/>
      </c>
      <c r="N47" s="316" t="str">
        <f t="shared" si="0"/>
        <v/>
      </c>
      <c r="O47" s="362" t="str">
        <f t="shared" si="3"/>
        <v/>
      </c>
      <c r="P47" s="363" t="str">
        <f>IF(C47="","",IF(AND(LEFT(C47,55)&lt;&gt;LEFT(N47,55),O47="High - High"),"Error - Not like for like ▲",IF(H47&gt;U47,"Error - Can not reduce condition ▲",IF(AND(F47=S47,H47=U47,AJ47='F-1 Off-Site WaterC'' Baseline'!N45,'F-1 Off-Site WaterC'' Baseline'!P45=AL47),"Error - No enhancement ▲",IF(AND(C47&lt;&gt;N47,F47&lt;S47),"Lower Distinctiveness Habitat"&amp;" - "&amp;T47,G47&amp;" - "&amp;T47)))))</f>
        <v/>
      </c>
      <c r="Q47" s="368" t="str">
        <f>IF(N47="","",VLOOKUP(B47,'F-1 Off-Site WaterC'' Baseline'!$C$10:$AE$257,22,FALSE))</f>
        <v/>
      </c>
      <c r="R47" s="362" t="str">
        <f>IF(N47="","",VLOOKUP(N47,'G-7 WaterC'' Data'!$B$2:$G$8,2,FALSE))</f>
        <v/>
      </c>
      <c r="S47" s="363" t="str">
        <f>IFERROR(VLOOKUP(R47,'G-7 WaterC'' Data'!$C$4:$D$8,2,FALSE),"")</f>
        <v/>
      </c>
      <c r="T47" s="114"/>
      <c r="U47" s="363" t="str">
        <f>IFERROR(INDEX('G-7 WaterC'' Data'!$H$4:$L$8,MATCH(N47,'G-7 WaterC'' Data'!$B$4:$B$8,0),MATCH(T47,'G-7 WaterC'' Data'!$H$3:$L$3,0)),"")</f>
        <v/>
      </c>
      <c r="V47" s="122"/>
      <c r="W47" s="382" t="str">
        <f>IF(V47="","",IF(VLOOKUP(V47,'G-7 WaterC'' Data'!$AK$4:$AM$6,2,FALSE)=0,"Spatial Data Missing ⚠",VLOOKUP(V47,'G-7 WaterC'' Data'!$AK$4:$AM$6,2,FALSE)))</f>
        <v/>
      </c>
      <c r="X47" s="386" t="str">
        <f>IF(V47="","",IF(VLOOKUP(V47,'G-7 WaterC'' Data'!$AK$4:$AM$6,3,FALSE)=0,"Spatial Data Missing ⚠",VLOOKUP(V47,'G-7 WaterC'' Data'!$AK$4:$AM$6,3,FALSE)))</f>
        <v/>
      </c>
      <c r="Y47" s="398" t="str">
        <f>IFERROR(IF(OR(LEFT(P47,5)="Error",LEFT(O47,5)="Error"),"Check Data ⚠",IF(F47&lt;S47,'G-7 WaterC'' Data'!$R$3,INDEX('G-7 WaterC'' Data'!$U$5:$Y$9,MATCH(G47,'G-7 WaterC'' Data'!$T$5:$T$9,0),MATCH(T47,'G-7 WaterC'' Data'!$U$4:$Y$4,0)))),"")</f>
        <v/>
      </c>
      <c r="Z47" s="165"/>
      <c r="AA47" s="165"/>
      <c r="AB47" s="395" t="str">
        <f t="shared" si="4"/>
        <v/>
      </c>
      <c r="AC47" s="383" t="str">
        <f t="shared" si="5"/>
        <v/>
      </c>
      <c r="AD47" s="422" t="str">
        <f>IFERROR(IF(AC47="Check Data ⚠","Check Data ⚠",VLOOKUP(AC47,'G-4 Temporal multipliers'!$A$4:$C$37,3,FALSE)),"")</f>
        <v/>
      </c>
      <c r="AE47" s="398" t="str">
        <f>IF(N47="","",VLOOKUP(N47,'G-7 WaterC'' Data'!$B$4:$G$8,5,FALSE))</f>
        <v/>
      </c>
      <c r="AF47" s="382" t="str">
        <f t="shared" si="1"/>
        <v/>
      </c>
      <c r="AG47" s="382" t="str">
        <f t="shared" si="6"/>
        <v/>
      </c>
      <c r="AH47" s="386" t="str">
        <f t="shared" si="2"/>
        <v/>
      </c>
      <c r="AI47" s="122"/>
      <c r="AJ47" s="363" t="str">
        <f>IF(AI47="","",IF(VLOOKUP(AI47,'G-7 WaterC'' Data'!$AA$4:$AB$7,2,FALSE)=0,"Spatial Data Missing ⚠",VLOOKUP(AI47,'G-7 WaterC'' Data'!$AA$4:$AB$7,2,FALSE)))</f>
        <v/>
      </c>
      <c r="AK47" s="123"/>
      <c r="AL47" s="397" t="str">
        <f>IF(AK47="","",IF(VLOOKUP(AK47,'G-7 WaterC'' Data'!$AD$4:$AE$14,2,FALSE)=0,"Spatial Data Missing ⚠",VLOOKUP(AK47,'G-7 WaterC'' Data'!$AD$4:$AE$14,2,FALSE)))</f>
        <v/>
      </c>
      <c r="AM47" s="122"/>
      <c r="AN47" s="363" t="str">
        <f>IF(AM47="","",IF(VLOOKUP(AM47,'G-7 WaterC'' Data'!$AO$4:$BO$7,2,FALSE)=0,"Spatial Data Missing ⚠",VLOOKUP(AM47,'G-7 WaterC'' Data'!$AO$4:$BO$7,2,FALSE)))</f>
        <v/>
      </c>
      <c r="AO47" s="405" t="str">
        <f t="shared" si="7"/>
        <v/>
      </c>
      <c r="AP47" s="405" t="str">
        <f t="shared" si="8"/>
        <v/>
      </c>
      <c r="AQ47" s="117"/>
      <c r="AR47" s="118"/>
      <c r="AS47" s="120"/>
      <c r="AT47" s="120"/>
      <c r="AY47" s="30" t="str">
        <f>IFERROR(INDEX('G-7 WaterC'' Data'!$AZ$3:$AZ$7,MATCH(N47,'G-7 WaterC'' Data'!$AY$3:$AY$7,0)),"")</f>
        <v/>
      </c>
    </row>
    <row r="48" spans="2:51" ht="15">
      <c r="B48" s="392" t="str">
        <f>'F-1 Off-Site WaterC'' Baseline'!AR46</f>
        <v/>
      </c>
      <c r="C48" s="382" t="str">
        <f>IF(B48="","",VLOOKUP($B48,'F-1 Off-Site WaterC'' Baseline'!$C$9:$R$257,2,FALSE))</f>
        <v/>
      </c>
      <c r="D48" s="382" t="str">
        <f>IF(C48="","",VLOOKUP($B48,'F-1 Off-Site WaterC'' Baseline'!$C$9:$R$257,3,FALSE))</f>
        <v/>
      </c>
      <c r="E48" s="382" t="str">
        <f>IF(D48="","",VLOOKUP($B48,'F-1 Off-Site WaterC'' Baseline'!$C$9:$R$257,4,FALSE))</f>
        <v/>
      </c>
      <c r="F48" s="382" t="str">
        <f>IF(E48="","",VLOOKUP($B48,'F-1 Off-Site WaterC'' Baseline'!$C$9:$R$257,5,FALSE))</f>
        <v/>
      </c>
      <c r="G48" s="382" t="str">
        <f>IF(F48="","",VLOOKUP($B48,'F-1 Off-Site WaterC'' Baseline'!$C$9:$R$257,6,FALSE))</f>
        <v/>
      </c>
      <c r="H48" s="382" t="str">
        <f>IF(G48="","",VLOOKUP($B48,'F-1 Off-Site WaterC'' Baseline'!$C$9:$R$257,7,FALSE))</f>
        <v/>
      </c>
      <c r="I48" s="382" t="str">
        <f>IF(H48="","",VLOOKUP($B48,'F-1 Off-Site WaterC'' Baseline'!$C$9:$R$257,8,FALSE))</f>
        <v/>
      </c>
      <c r="J48" s="382" t="str">
        <f>IF(I48="","",VLOOKUP($B48,'F-1 Off-Site WaterC'' Baseline'!$C$9:$R$257,9,FALSE))</f>
        <v/>
      </c>
      <c r="K48" s="382" t="str">
        <f>IF(J48="","",VLOOKUP($B48,'F-1 Off-Site WaterC'' Baseline'!$C$9:$R$257,10,FALSE))</f>
        <v/>
      </c>
      <c r="L48" s="382" t="str">
        <f>IF(B48="","",VLOOKUP($B48,'F-1 Off-Site WaterC'' Baseline'!$C$9:$R$257,15,FALSE))</f>
        <v/>
      </c>
      <c r="M48" s="386" t="str">
        <f>IF(L48="","",VLOOKUP($B48,'F-1 Off-Site WaterC'' Baseline'!$C$9:$R$257,16,FALSE))</f>
        <v/>
      </c>
      <c r="N48" s="316" t="str">
        <f t="shared" si="0"/>
        <v/>
      </c>
      <c r="O48" s="362" t="str">
        <f t="shared" si="3"/>
        <v/>
      </c>
      <c r="P48" s="363" t="str">
        <f>IF(C48="","",IF(AND(LEFT(C48,55)&lt;&gt;LEFT(N48,55),O48="High - High"),"Error - Not like for like ▲",IF(H48&gt;U48,"Error - Can not reduce condition ▲",IF(AND(F48=S48,H48=U48,AJ48='F-1 Off-Site WaterC'' Baseline'!N46,'F-1 Off-Site WaterC'' Baseline'!P46=AL48),"Error - No enhancement ▲",IF(AND(C48&lt;&gt;N48,F48&lt;S48),"Lower Distinctiveness Habitat"&amp;" - "&amp;T48,G48&amp;" - "&amp;T48)))))</f>
        <v/>
      </c>
      <c r="Q48" s="368" t="str">
        <f>IF(N48="","",VLOOKUP(B48,'F-1 Off-Site WaterC'' Baseline'!$C$10:$AE$257,22,FALSE))</f>
        <v/>
      </c>
      <c r="R48" s="362" t="str">
        <f>IF(N48="","",VLOOKUP(N48,'G-7 WaterC'' Data'!$B$2:$G$8,2,FALSE))</f>
        <v/>
      </c>
      <c r="S48" s="363" t="str">
        <f>IFERROR(VLOOKUP(R48,'G-7 WaterC'' Data'!$C$4:$D$8,2,FALSE),"")</f>
        <v/>
      </c>
      <c r="T48" s="114"/>
      <c r="U48" s="363" t="str">
        <f>IFERROR(INDEX('G-7 WaterC'' Data'!$H$4:$L$8,MATCH(N48,'G-7 WaterC'' Data'!$B$4:$B$8,0),MATCH(T48,'G-7 WaterC'' Data'!$H$3:$L$3,0)),"")</f>
        <v/>
      </c>
      <c r="V48" s="122"/>
      <c r="W48" s="382" t="str">
        <f>IF(V48="","",IF(VLOOKUP(V48,'G-7 WaterC'' Data'!$AK$4:$AM$6,2,FALSE)=0,"Spatial Data Missing ⚠",VLOOKUP(V48,'G-7 WaterC'' Data'!$AK$4:$AM$6,2,FALSE)))</f>
        <v/>
      </c>
      <c r="X48" s="386" t="str">
        <f>IF(V48="","",IF(VLOOKUP(V48,'G-7 WaterC'' Data'!$AK$4:$AM$6,3,FALSE)=0,"Spatial Data Missing ⚠",VLOOKUP(V48,'G-7 WaterC'' Data'!$AK$4:$AM$6,3,FALSE)))</f>
        <v/>
      </c>
      <c r="Y48" s="398" t="str">
        <f>IFERROR(IF(OR(LEFT(P48,5)="Error",LEFT(O48,5)="Error"),"Check Data ⚠",IF(F48&lt;S48,'G-7 WaterC'' Data'!$R$3,INDEX('G-7 WaterC'' Data'!$U$5:$Y$9,MATCH(G48,'G-7 WaterC'' Data'!$T$5:$T$9,0),MATCH(T48,'G-7 WaterC'' Data'!$U$4:$Y$4,0)))),"")</f>
        <v/>
      </c>
      <c r="Z48" s="165"/>
      <c r="AA48" s="165"/>
      <c r="AB48" s="395" t="str">
        <f t="shared" si="4"/>
        <v/>
      </c>
      <c r="AC48" s="383" t="str">
        <f t="shared" si="5"/>
        <v/>
      </c>
      <c r="AD48" s="422" t="str">
        <f>IFERROR(IF(AC48="Check Data ⚠","Check Data ⚠",VLOOKUP(AC48,'G-4 Temporal multipliers'!$A$4:$C$37,3,FALSE)),"")</f>
        <v/>
      </c>
      <c r="AE48" s="398" t="str">
        <f>IF(N48="","",VLOOKUP(N48,'G-7 WaterC'' Data'!$B$4:$G$8,5,FALSE))</f>
        <v/>
      </c>
      <c r="AF48" s="382" t="str">
        <f t="shared" si="1"/>
        <v/>
      </c>
      <c r="AG48" s="382" t="str">
        <f t="shared" si="6"/>
        <v/>
      </c>
      <c r="AH48" s="386" t="str">
        <f t="shared" si="2"/>
        <v/>
      </c>
      <c r="AI48" s="122"/>
      <c r="AJ48" s="363" t="str">
        <f>IF(AI48="","",IF(VLOOKUP(AI48,'G-7 WaterC'' Data'!$AA$4:$AB$7,2,FALSE)=0,"Spatial Data Missing ⚠",VLOOKUP(AI48,'G-7 WaterC'' Data'!$AA$4:$AB$7,2,FALSE)))</f>
        <v/>
      </c>
      <c r="AK48" s="123"/>
      <c r="AL48" s="397" t="str">
        <f>IF(AK48="","",IF(VLOOKUP(AK48,'G-7 WaterC'' Data'!$AD$4:$AE$14,2,FALSE)=0,"Spatial Data Missing ⚠",VLOOKUP(AK48,'G-7 WaterC'' Data'!$AD$4:$AE$14,2,FALSE)))</f>
        <v/>
      </c>
      <c r="AM48" s="122"/>
      <c r="AN48" s="363" t="str">
        <f>IF(AM48="","",IF(VLOOKUP(AM48,'G-7 WaterC'' Data'!$AO$4:$BO$7,2,FALSE)=0,"Spatial Data Missing ⚠",VLOOKUP(AM48,'G-7 WaterC'' Data'!$AO$4:$BO$7,2,FALSE)))</f>
        <v/>
      </c>
      <c r="AO48" s="405" t="str">
        <f t="shared" si="7"/>
        <v/>
      </c>
      <c r="AP48" s="405" t="str">
        <f t="shared" si="8"/>
        <v/>
      </c>
      <c r="AQ48" s="117"/>
      <c r="AR48" s="118"/>
      <c r="AS48" s="120"/>
      <c r="AT48" s="120"/>
      <c r="AY48" s="30" t="str">
        <f>IFERROR(INDEX('G-7 WaterC'' Data'!$AZ$3:$AZ$7,MATCH(N48,'G-7 WaterC'' Data'!$AY$3:$AY$7,0)),"")</f>
        <v/>
      </c>
    </row>
    <row r="49" spans="2:51" ht="15">
      <c r="B49" s="392" t="str">
        <f>'F-1 Off-Site WaterC'' Baseline'!AR47</f>
        <v/>
      </c>
      <c r="C49" s="382" t="str">
        <f>IF(B49="","",VLOOKUP($B49,'F-1 Off-Site WaterC'' Baseline'!$C$9:$R$257,2,FALSE))</f>
        <v/>
      </c>
      <c r="D49" s="382" t="str">
        <f>IF(C49="","",VLOOKUP($B49,'F-1 Off-Site WaterC'' Baseline'!$C$9:$R$257,3,FALSE))</f>
        <v/>
      </c>
      <c r="E49" s="382" t="str">
        <f>IF(D49="","",VLOOKUP($B49,'F-1 Off-Site WaterC'' Baseline'!$C$9:$R$257,4,FALSE))</f>
        <v/>
      </c>
      <c r="F49" s="382" t="str">
        <f>IF(E49="","",VLOOKUP($B49,'F-1 Off-Site WaterC'' Baseline'!$C$9:$R$257,5,FALSE))</f>
        <v/>
      </c>
      <c r="G49" s="382" t="str">
        <f>IF(F49="","",VLOOKUP($B49,'F-1 Off-Site WaterC'' Baseline'!$C$9:$R$257,6,FALSE))</f>
        <v/>
      </c>
      <c r="H49" s="382" t="str">
        <f>IF(G49="","",VLOOKUP($B49,'F-1 Off-Site WaterC'' Baseline'!$C$9:$R$257,7,FALSE))</f>
        <v/>
      </c>
      <c r="I49" s="382" t="str">
        <f>IF(H49="","",VLOOKUP($B49,'F-1 Off-Site WaterC'' Baseline'!$C$9:$R$257,8,FALSE))</f>
        <v/>
      </c>
      <c r="J49" s="382" t="str">
        <f>IF(I49="","",VLOOKUP($B49,'F-1 Off-Site WaterC'' Baseline'!$C$9:$R$257,9,FALSE))</f>
        <v/>
      </c>
      <c r="K49" s="382" t="str">
        <f>IF(J49="","",VLOOKUP($B49,'F-1 Off-Site WaterC'' Baseline'!$C$9:$R$257,10,FALSE))</f>
        <v/>
      </c>
      <c r="L49" s="382" t="str">
        <f>IF(B49="","",VLOOKUP($B49,'F-1 Off-Site WaterC'' Baseline'!$C$9:$R$257,15,FALSE))</f>
        <v/>
      </c>
      <c r="M49" s="386" t="str">
        <f>IF(L49="","",VLOOKUP($B49,'F-1 Off-Site WaterC'' Baseline'!$C$9:$R$257,16,FALSE))</f>
        <v/>
      </c>
      <c r="N49" s="316" t="str">
        <f t="shared" si="0"/>
        <v/>
      </c>
      <c r="O49" s="362" t="str">
        <f t="shared" si="3"/>
        <v/>
      </c>
      <c r="P49" s="363" t="str">
        <f>IF(C49="","",IF(AND(LEFT(C49,55)&lt;&gt;LEFT(N49,55),O49="High - High"),"Error - Not like for like ▲",IF(H49&gt;U49,"Error - Can not reduce condition ▲",IF(AND(F49=S49,H49=U49,AJ49='F-1 Off-Site WaterC'' Baseline'!N47,'F-1 Off-Site WaterC'' Baseline'!P47=AL49),"Error - No enhancement ▲",IF(AND(C49&lt;&gt;N49,F49&lt;S49),"Lower Distinctiveness Habitat"&amp;" - "&amp;T49,G49&amp;" - "&amp;T49)))))</f>
        <v/>
      </c>
      <c r="Q49" s="368" t="str">
        <f>IF(N49="","",VLOOKUP(B49,'F-1 Off-Site WaterC'' Baseline'!$C$10:$AE$257,22,FALSE))</f>
        <v/>
      </c>
      <c r="R49" s="362" t="str">
        <f>IF(N49="","",VLOOKUP(N49,'G-7 WaterC'' Data'!$B$2:$G$8,2,FALSE))</f>
        <v/>
      </c>
      <c r="S49" s="363" t="str">
        <f>IFERROR(VLOOKUP(R49,'G-7 WaterC'' Data'!$C$4:$D$8,2,FALSE),"")</f>
        <v/>
      </c>
      <c r="T49" s="114"/>
      <c r="U49" s="363" t="str">
        <f>IFERROR(INDEX('G-7 WaterC'' Data'!$H$4:$L$8,MATCH(N49,'G-7 WaterC'' Data'!$B$4:$B$8,0),MATCH(T49,'G-7 WaterC'' Data'!$H$3:$L$3,0)),"")</f>
        <v/>
      </c>
      <c r="V49" s="122"/>
      <c r="W49" s="382" t="str">
        <f>IF(V49="","",IF(VLOOKUP(V49,'G-7 WaterC'' Data'!$AK$4:$AM$6,2,FALSE)=0,"Spatial Data Missing ⚠",VLOOKUP(V49,'G-7 WaterC'' Data'!$AK$4:$AM$6,2,FALSE)))</f>
        <v/>
      </c>
      <c r="X49" s="386" t="str">
        <f>IF(V49="","",IF(VLOOKUP(V49,'G-7 WaterC'' Data'!$AK$4:$AM$6,3,FALSE)=0,"Spatial Data Missing ⚠",VLOOKUP(V49,'G-7 WaterC'' Data'!$AK$4:$AM$6,3,FALSE)))</f>
        <v/>
      </c>
      <c r="Y49" s="398" t="str">
        <f>IFERROR(IF(OR(LEFT(P49,5)="Error",LEFT(O49,5)="Error"),"Check Data ⚠",IF(F49&lt;S49,'G-7 WaterC'' Data'!$R$3,INDEX('G-7 WaterC'' Data'!$U$5:$Y$9,MATCH(G49,'G-7 WaterC'' Data'!$T$5:$T$9,0),MATCH(T49,'G-7 WaterC'' Data'!$U$4:$Y$4,0)))),"")</f>
        <v/>
      </c>
      <c r="Z49" s="165"/>
      <c r="AA49" s="165"/>
      <c r="AB49" s="395" t="str">
        <f t="shared" si="4"/>
        <v/>
      </c>
      <c r="AC49" s="383" t="str">
        <f t="shared" si="5"/>
        <v/>
      </c>
      <c r="AD49" s="422" t="str">
        <f>IFERROR(IF(AC49="Check Data ⚠","Check Data ⚠",VLOOKUP(AC49,'G-4 Temporal multipliers'!$A$4:$C$37,3,FALSE)),"")</f>
        <v/>
      </c>
      <c r="AE49" s="398" t="str">
        <f>IF(N49="","",VLOOKUP(N49,'G-7 WaterC'' Data'!$B$4:$G$8,5,FALSE))</f>
        <v/>
      </c>
      <c r="AF49" s="382" t="str">
        <f t="shared" si="1"/>
        <v/>
      </c>
      <c r="AG49" s="382" t="str">
        <f t="shared" si="6"/>
        <v/>
      </c>
      <c r="AH49" s="386" t="str">
        <f t="shared" si="2"/>
        <v/>
      </c>
      <c r="AI49" s="122"/>
      <c r="AJ49" s="363" t="str">
        <f>IF(AI49="","",IF(VLOOKUP(AI49,'G-7 WaterC'' Data'!$AA$4:$AB$7,2,FALSE)=0,"Spatial Data Missing ⚠",VLOOKUP(AI49,'G-7 WaterC'' Data'!$AA$4:$AB$7,2,FALSE)))</f>
        <v/>
      </c>
      <c r="AK49" s="123"/>
      <c r="AL49" s="397" t="str">
        <f>IF(AK49="","",IF(VLOOKUP(AK49,'G-7 WaterC'' Data'!$AD$4:$AE$14,2,FALSE)=0,"Spatial Data Missing ⚠",VLOOKUP(AK49,'G-7 WaterC'' Data'!$AD$4:$AE$14,2,FALSE)))</f>
        <v/>
      </c>
      <c r="AM49" s="122"/>
      <c r="AN49" s="363" t="str">
        <f>IF(AM49="","",IF(VLOOKUP(AM49,'G-7 WaterC'' Data'!$AO$4:$BO$7,2,FALSE)=0,"Spatial Data Missing ⚠",VLOOKUP(AM49,'G-7 WaterC'' Data'!$AO$4:$BO$7,2,FALSE)))</f>
        <v/>
      </c>
      <c r="AO49" s="405" t="str">
        <f t="shared" si="7"/>
        <v/>
      </c>
      <c r="AP49" s="405" t="str">
        <f t="shared" si="8"/>
        <v/>
      </c>
      <c r="AQ49" s="117"/>
      <c r="AR49" s="118"/>
      <c r="AS49" s="120"/>
      <c r="AT49" s="120"/>
      <c r="AY49" s="30" t="str">
        <f>IFERROR(INDEX('G-7 WaterC'' Data'!$AZ$3:$AZ$7,MATCH(N49,'G-7 WaterC'' Data'!$AY$3:$AY$7,0)),"")</f>
        <v/>
      </c>
    </row>
    <row r="50" spans="2:51" ht="15">
      <c r="B50" s="392" t="str">
        <f>'F-1 Off-Site WaterC'' Baseline'!AR48</f>
        <v/>
      </c>
      <c r="C50" s="382" t="str">
        <f>IF(B50="","",VLOOKUP($B50,'F-1 Off-Site WaterC'' Baseline'!$C$9:$R$257,2,FALSE))</f>
        <v/>
      </c>
      <c r="D50" s="382" t="str">
        <f>IF(C50="","",VLOOKUP($B50,'F-1 Off-Site WaterC'' Baseline'!$C$9:$R$257,3,FALSE))</f>
        <v/>
      </c>
      <c r="E50" s="382" t="str">
        <f>IF(D50="","",VLOOKUP($B50,'F-1 Off-Site WaterC'' Baseline'!$C$9:$R$257,4,FALSE))</f>
        <v/>
      </c>
      <c r="F50" s="382" t="str">
        <f>IF(E50="","",VLOOKUP($B50,'F-1 Off-Site WaterC'' Baseline'!$C$9:$R$257,5,FALSE))</f>
        <v/>
      </c>
      <c r="G50" s="382" t="str">
        <f>IF(F50="","",VLOOKUP($B50,'F-1 Off-Site WaterC'' Baseline'!$C$9:$R$257,6,FALSE))</f>
        <v/>
      </c>
      <c r="H50" s="382" t="str">
        <f>IF(G50="","",VLOOKUP($B50,'F-1 Off-Site WaterC'' Baseline'!$C$9:$R$257,7,FALSE))</f>
        <v/>
      </c>
      <c r="I50" s="382" t="str">
        <f>IF(H50="","",VLOOKUP($B50,'F-1 Off-Site WaterC'' Baseline'!$C$9:$R$257,8,FALSE))</f>
        <v/>
      </c>
      <c r="J50" s="382" t="str">
        <f>IF(I50="","",VLOOKUP($B50,'F-1 Off-Site WaterC'' Baseline'!$C$9:$R$257,9,FALSE))</f>
        <v/>
      </c>
      <c r="K50" s="382" t="str">
        <f>IF(J50="","",VLOOKUP($B50,'F-1 Off-Site WaterC'' Baseline'!$C$9:$R$257,10,FALSE))</f>
        <v/>
      </c>
      <c r="L50" s="382" t="str">
        <f>IF(B50="","",VLOOKUP($B50,'F-1 Off-Site WaterC'' Baseline'!$C$9:$R$257,15,FALSE))</f>
        <v/>
      </c>
      <c r="M50" s="386" t="str">
        <f>IF(L50="","",VLOOKUP($B50,'F-1 Off-Site WaterC'' Baseline'!$C$9:$R$257,16,FALSE))</f>
        <v/>
      </c>
      <c r="N50" s="316" t="str">
        <f t="shared" si="0"/>
        <v/>
      </c>
      <c r="O50" s="362" t="str">
        <f t="shared" si="3"/>
        <v/>
      </c>
      <c r="P50" s="363" t="str">
        <f>IF(C50="","",IF(AND(LEFT(C50,55)&lt;&gt;LEFT(N50,55),O50="High - High"),"Error - Not like for like ▲",IF(H50&gt;U50,"Error - Can not reduce condition ▲",IF(AND(F50=S50,H50=U50,AJ50='F-1 Off-Site WaterC'' Baseline'!N48,'F-1 Off-Site WaterC'' Baseline'!P48=AL50),"Error - No enhancement ▲",IF(AND(C50&lt;&gt;N50,F50&lt;S50),"Lower Distinctiveness Habitat"&amp;" - "&amp;T50,G50&amp;" - "&amp;T50)))))</f>
        <v/>
      </c>
      <c r="Q50" s="368" t="str">
        <f>IF(N50="","",VLOOKUP(B50,'F-1 Off-Site WaterC'' Baseline'!$C$10:$AE$257,22,FALSE))</f>
        <v/>
      </c>
      <c r="R50" s="362" t="str">
        <f>IF(N50="","",VLOOKUP(N50,'G-7 WaterC'' Data'!$B$2:$G$8,2,FALSE))</f>
        <v/>
      </c>
      <c r="S50" s="363" t="str">
        <f>IFERROR(VLOOKUP(R50,'G-7 WaterC'' Data'!$C$4:$D$8,2,FALSE),"")</f>
        <v/>
      </c>
      <c r="T50" s="114"/>
      <c r="U50" s="363" t="str">
        <f>IFERROR(INDEX('G-7 WaterC'' Data'!$H$4:$L$8,MATCH(N50,'G-7 WaterC'' Data'!$B$4:$B$8,0),MATCH(T50,'G-7 WaterC'' Data'!$H$3:$L$3,0)),"")</f>
        <v/>
      </c>
      <c r="V50" s="122"/>
      <c r="W50" s="382" t="str">
        <f>IF(V50="","",IF(VLOOKUP(V50,'G-7 WaterC'' Data'!$AK$4:$AM$6,2,FALSE)=0,"Spatial Data Missing ⚠",VLOOKUP(V50,'G-7 WaterC'' Data'!$AK$4:$AM$6,2,FALSE)))</f>
        <v/>
      </c>
      <c r="X50" s="386" t="str">
        <f>IF(V50="","",IF(VLOOKUP(V50,'G-7 WaterC'' Data'!$AK$4:$AM$6,3,FALSE)=0,"Spatial Data Missing ⚠",VLOOKUP(V50,'G-7 WaterC'' Data'!$AK$4:$AM$6,3,FALSE)))</f>
        <v/>
      </c>
      <c r="Y50" s="398" t="str">
        <f>IFERROR(IF(OR(LEFT(P50,5)="Error",LEFT(O50,5)="Error"),"Check Data ⚠",IF(F50&lt;S50,'G-7 WaterC'' Data'!$R$3,INDEX('G-7 WaterC'' Data'!$U$5:$Y$9,MATCH(G50,'G-7 WaterC'' Data'!$T$5:$T$9,0),MATCH(T50,'G-7 WaterC'' Data'!$U$4:$Y$4,0)))),"")</f>
        <v/>
      </c>
      <c r="Z50" s="165"/>
      <c r="AA50" s="165"/>
      <c r="AB50" s="395" t="str">
        <f t="shared" si="4"/>
        <v/>
      </c>
      <c r="AC50" s="383" t="str">
        <f t="shared" si="5"/>
        <v/>
      </c>
      <c r="AD50" s="422" t="str">
        <f>IFERROR(IF(AC50="Check Data ⚠","Check Data ⚠",VLOOKUP(AC50,'G-4 Temporal multipliers'!$A$4:$C$37,3,FALSE)),"")</f>
        <v/>
      </c>
      <c r="AE50" s="398" t="str">
        <f>IF(N50="","",VLOOKUP(N50,'G-7 WaterC'' Data'!$B$4:$G$8,5,FALSE))</f>
        <v/>
      </c>
      <c r="AF50" s="382" t="str">
        <f t="shared" si="1"/>
        <v/>
      </c>
      <c r="AG50" s="382" t="str">
        <f t="shared" si="6"/>
        <v/>
      </c>
      <c r="AH50" s="386" t="str">
        <f t="shared" si="2"/>
        <v/>
      </c>
      <c r="AI50" s="122"/>
      <c r="AJ50" s="363" t="str">
        <f>IF(AI50="","",IF(VLOOKUP(AI50,'G-7 WaterC'' Data'!$AA$4:$AB$7,2,FALSE)=0,"Spatial Data Missing ⚠",VLOOKUP(AI50,'G-7 WaterC'' Data'!$AA$4:$AB$7,2,FALSE)))</f>
        <v/>
      </c>
      <c r="AK50" s="123"/>
      <c r="AL50" s="397" t="str">
        <f>IF(AK50="","",IF(VLOOKUP(AK50,'G-7 WaterC'' Data'!$AD$4:$AE$14,2,FALSE)=0,"Spatial Data Missing ⚠",VLOOKUP(AK50,'G-7 WaterC'' Data'!$AD$4:$AE$14,2,FALSE)))</f>
        <v/>
      </c>
      <c r="AM50" s="122"/>
      <c r="AN50" s="363" t="str">
        <f>IF(AM50="","",IF(VLOOKUP(AM50,'G-7 WaterC'' Data'!$AO$4:$BO$7,2,FALSE)=0,"Spatial Data Missing ⚠",VLOOKUP(AM50,'G-7 WaterC'' Data'!$AO$4:$BO$7,2,FALSE)))</f>
        <v/>
      </c>
      <c r="AO50" s="405" t="str">
        <f t="shared" si="7"/>
        <v/>
      </c>
      <c r="AP50" s="405" t="str">
        <f t="shared" si="8"/>
        <v/>
      </c>
      <c r="AQ50" s="117"/>
      <c r="AR50" s="118"/>
      <c r="AS50" s="120"/>
      <c r="AT50" s="120"/>
      <c r="AY50" s="30" t="str">
        <f>IFERROR(INDEX('G-7 WaterC'' Data'!$AZ$3:$AZ$7,MATCH(N50,'G-7 WaterC'' Data'!$AY$3:$AY$7,0)),"")</f>
        <v/>
      </c>
    </row>
    <row r="51" spans="2:51" ht="15">
      <c r="B51" s="392" t="str">
        <f>'F-1 Off-Site WaterC'' Baseline'!AR49</f>
        <v/>
      </c>
      <c r="C51" s="382" t="str">
        <f>IF(B51="","",VLOOKUP($B51,'F-1 Off-Site WaterC'' Baseline'!$C$9:$R$257,2,FALSE))</f>
        <v/>
      </c>
      <c r="D51" s="382" t="str">
        <f>IF(C51="","",VLOOKUP($B51,'F-1 Off-Site WaterC'' Baseline'!$C$9:$R$257,3,FALSE))</f>
        <v/>
      </c>
      <c r="E51" s="382" t="str">
        <f>IF(D51="","",VLOOKUP($B51,'F-1 Off-Site WaterC'' Baseline'!$C$9:$R$257,4,FALSE))</f>
        <v/>
      </c>
      <c r="F51" s="382" t="str">
        <f>IF(E51="","",VLOOKUP($B51,'F-1 Off-Site WaterC'' Baseline'!$C$9:$R$257,5,FALSE))</f>
        <v/>
      </c>
      <c r="G51" s="382" t="str">
        <f>IF(F51="","",VLOOKUP($B51,'F-1 Off-Site WaterC'' Baseline'!$C$9:$R$257,6,FALSE))</f>
        <v/>
      </c>
      <c r="H51" s="382" t="str">
        <f>IF(G51="","",VLOOKUP($B51,'F-1 Off-Site WaterC'' Baseline'!$C$9:$R$257,7,FALSE))</f>
        <v/>
      </c>
      <c r="I51" s="382" t="str">
        <f>IF(H51="","",VLOOKUP($B51,'F-1 Off-Site WaterC'' Baseline'!$C$9:$R$257,8,FALSE))</f>
        <v/>
      </c>
      <c r="J51" s="382" t="str">
        <f>IF(I51="","",VLOOKUP($B51,'F-1 Off-Site WaterC'' Baseline'!$C$9:$R$257,9,FALSE))</f>
        <v/>
      </c>
      <c r="K51" s="382" t="str">
        <f>IF(J51="","",VLOOKUP($B51,'F-1 Off-Site WaterC'' Baseline'!$C$9:$R$257,10,FALSE))</f>
        <v/>
      </c>
      <c r="L51" s="382" t="str">
        <f>IF(B51="","",VLOOKUP($B51,'F-1 Off-Site WaterC'' Baseline'!$C$9:$R$257,15,FALSE))</f>
        <v/>
      </c>
      <c r="M51" s="386" t="str">
        <f>IF(L51="","",VLOOKUP($B51,'F-1 Off-Site WaterC'' Baseline'!$C$9:$R$257,16,FALSE))</f>
        <v/>
      </c>
      <c r="N51" s="316" t="str">
        <f t="shared" si="0"/>
        <v/>
      </c>
      <c r="O51" s="362" t="str">
        <f t="shared" si="3"/>
        <v/>
      </c>
      <c r="P51" s="363" t="str">
        <f>IF(C51="","",IF(AND(LEFT(C51,55)&lt;&gt;LEFT(N51,55),O51="High - High"),"Error - Not like for like ▲",IF(H51&gt;U51,"Error - Can not reduce condition ▲",IF(AND(F51=S51,H51=U51,AJ51='F-1 Off-Site WaterC'' Baseline'!N49,'F-1 Off-Site WaterC'' Baseline'!P49=AL51),"Error - No enhancement ▲",IF(AND(C51&lt;&gt;N51,F51&lt;S51),"Lower Distinctiveness Habitat"&amp;" - "&amp;T51,G51&amp;" - "&amp;T51)))))</f>
        <v/>
      </c>
      <c r="Q51" s="368" t="str">
        <f>IF(N51="","",VLOOKUP(B51,'F-1 Off-Site WaterC'' Baseline'!$C$10:$AE$257,22,FALSE))</f>
        <v/>
      </c>
      <c r="R51" s="362" t="str">
        <f>IF(N51="","",VLOOKUP(N51,'G-7 WaterC'' Data'!$B$2:$G$8,2,FALSE))</f>
        <v/>
      </c>
      <c r="S51" s="363" t="str">
        <f>IFERROR(VLOOKUP(R51,'G-7 WaterC'' Data'!$C$4:$D$8,2,FALSE),"")</f>
        <v/>
      </c>
      <c r="T51" s="114"/>
      <c r="U51" s="363" t="str">
        <f>IFERROR(INDEX('G-7 WaterC'' Data'!$H$4:$L$8,MATCH(N51,'G-7 WaterC'' Data'!$B$4:$B$8,0),MATCH(T51,'G-7 WaterC'' Data'!$H$3:$L$3,0)),"")</f>
        <v/>
      </c>
      <c r="V51" s="122"/>
      <c r="W51" s="382" t="str">
        <f>IF(V51="","",IF(VLOOKUP(V51,'G-7 WaterC'' Data'!$AK$4:$AM$6,2,FALSE)=0,"Spatial Data Missing ⚠",VLOOKUP(V51,'G-7 WaterC'' Data'!$AK$4:$AM$6,2,FALSE)))</f>
        <v/>
      </c>
      <c r="X51" s="386" t="str">
        <f>IF(V51="","",IF(VLOOKUP(V51,'G-7 WaterC'' Data'!$AK$4:$AM$6,3,FALSE)=0,"Spatial Data Missing ⚠",VLOOKUP(V51,'G-7 WaterC'' Data'!$AK$4:$AM$6,3,FALSE)))</f>
        <v/>
      </c>
      <c r="Y51" s="398" t="str">
        <f>IFERROR(IF(OR(LEFT(P51,5)="Error",LEFT(O51,5)="Error"),"Check Data ⚠",IF(F51&lt;S51,'G-7 WaterC'' Data'!$R$3,INDEX('G-7 WaterC'' Data'!$U$5:$Y$9,MATCH(G51,'G-7 WaterC'' Data'!$T$5:$T$9,0),MATCH(T51,'G-7 WaterC'' Data'!$U$4:$Y$4,0)))),"")</f>
        <v/>
      </c>
      <c r="Z51" s="165"/>
      <c r="AA51" s="165"/>
      <c r="AB51" s="395" t="str">
        <f t="shared" si="4"/>
        <v/>
      </c>
      <c r="AC51" s="383" t="str">
        <f t="shared" si="5"/>
        <v/>
      </c>
      <c r="AD51" s="422" t="str">
        <f>IFERROR(IF(AC51="Check Data ⚠","Check Data ⚠",VLOOKUP(AC51,'G-4 Temporal multipliers'!$A$4:$C$37,3,FALSE)),"")</f>
        <v/>
      </c>
      <c r="AE51" s="398" t="str">
        <f>IF(N51="","",VLOOKUP(N51,'G-7 WaterC'' Data'!$B$4:$G$8,5,FALSE))</f>
        <v/>
      </c>
      <c r="AF51" s="382" t="str">
        <f t="shared" si="1"/>
        <v/>
      </c>
      <c r="AG51" s="382" t="str">
        <f t="shared" si="6"/>
        <v/>
      </c>
      <c r="AH51" s="386" t="str">
        <f t="shared" si="2"/>
        <v/>
      </c>
      <c r="AI51" s="122"/>
      <c r="AJ51" s="363" t="str">
        <f>IF(AI51="","",IF(VLOOKUP(AI51,'G-7 WaterC'' Data'!$AA$4:$AB$7,2,FALSE)=0,"Spatial Data Missing ⚠",VLOOKUP(AI51,'G-7 WaterC'' Data'!$AA$4:$AB$7,2,FALSE)))</f>
        <v/>
      </c>
      <c r="AK51" s="123"/>
      <c r="AL51" s="397" t="str">
        <f>IF(AK51="","",IF(VLOOKUP(AK51,'G-7 WaterC'' Data'!$AD$4:$AE$14,2,FALSE)=0,"Spatial Data Missing ⚠",VLOOKUP(AK51,'G-7 WaterC'' Data'!$AD$4:$AE$14,2,FALSE)))</f>
        <v/>
      </c>
      <c r="AM51" s="122"/>
      <c r="AN51" s="363" t="str">
        <f>IF(AM51="","",IF(VLOOKUP(AM51,'G-7 WaterC'' Data'!$AO$4:$BO$7,2,FALSE)=0,"Spatial Data Missing ⚠",VLOOKUP(AM51,'G-7 WaterC'' Data'!$AO$4:$BO$7,2,FALSE)))</f>
        <v/>
      </c>
      <c r="AO51" s="405" t="str">
        <f t="shared" si="7"/>
        <v/>
      </c>
      <c r="AP51" s="405" t="str">
        <f t="shared" si="8"/>
        <v/>
      </c>
      <c r="AQ51" s="117"/>
      <c r="AR51" s="118"/>
      <c r="AS51" s="120"/>
      <c r="AT51" s="120"/>
      <c r="AY51" s="30" t="str">
        <f>IFERROR(INDEX('G-7 WaterC'' Data'!$AZ$3:$AZ$7,MATCH(N51,'G-7 WaterC'' Data'!$AY$3:$AY$7,0)),"")</f>
        <v/>
      </c>
    </row>
    <row r="52" spans="2:51" ht="15">
      <c r="B52" s="392" t="str">
        <f>'F-1 Off-Site WaterC'' Baseline'!AR50</f>
        <v/>
      </c>
      <c r="C52" s="382" t="str">
        <f>IF(B52="","",VLOOKUP($B52,'F-1 Off-Site WaterC'' Baseline'!$C$9:$R$257,2,FALSE))</f>
        <v/>
      </c>
      <c r="D52" s="382" t="str">
        <f>IF(C52="","",VLOOKUP($B52,'F-1 Off-Site WaterC'' Baseline'!$C$9:$R$257,3,FALSE))</f>
        <v/>
      </c>
      <c r="E52" s="382" t="str">
        <f>IF(D52="","",VLOOKUP($B52,'F-1 Off-Site WaterC'' Baseline'!$C$9:$R$257,4,FALSE))</f>
        <v/>
      </c>
      <c r="F52" s="382" t="str">
        <f>IF(E52="","",VLOOKUP($B52,'F-1 Off-Site WaterC'' Baseline'!$C$9:$R$257,5,FALSE))</f>
        <v/>
      </c>
      <c r="G52" s="382" t="str">
        <f>IF(F52="","",VLOOKUP($B52,'F-1 Off-Site WaterC'' Baseline'!$C$9:$R$257,6,FALSE))</f>
        <v/>
      </c>
      <c r="H52" s="382" t="str">
        <f>IF(G52="","",VLOOKUP($B52,'F-1 Off-Site WaterC'' Baseline'!$C$9:$R$257,7,FALSE))</f>
        <v/>
      </c>
      <c r="I52" s="382" t="str">
        <f>IF(H52="","",VLOOKUP($B52,'F-1 Off-Site WaterC'' Baseline'!$C$9:$R$257,8,FALSE))</f>
        <v/>
      </c>
      <c r="J52" s="382" t="str">
        <f>IF(I52="","",VLOOKUP($B52,'F-1 Off-Site WaterC'' Baseline'!$C$9:$R$257,9,FALSE))</f>
        <v/>
      </c>
      <c r="K52" s="382" t="str">
        <f>IF(J52="","",VLOOKUP($B52,'F-1 Off-Site WaterC'' Baseline'!$C$9:$R$257,10,FALSE))</f>
        <v/>
      </c>
      <c r="L52" s="382" t="str">
        <f>IF(B52="","",VLOOKUP($B52,'F-1 Off-Site WaterC'' Baseline'!$C$9:$R$257,15,FALSE))</f>
        <v/>
      </c>
      <c r="M52" s="386" t="str">
        <f>IF(L52="","",VLOOKUP($B52,'F-1 Off-Site WaterC'' Baseline'!$C$9:$R$257,16,FALSE))</f>
        <v/>
      </c>
      <c r="N52" s="316" t="str">
        <f t="shared" si="0"/>
        <v/>
      </c>
      <c r="O52" s="362" t="str">
        <f t="shared" si="3"/>
        <v/>
      </c>
      <c r="P52" s="363" t="str">
        <f>IF(C52="","",IF(AND(LEFT(C52,55)&lt;&gt;LEFT(N52,55),O52="High - High"),"Error - Not like for like ▲",IF(H52&gt;U52,"Error - Can not reduce condition ▲",IF(AND(F52=S52,H52=U52,AJ52='F-1 Off-Site WaterC'' Baseline'!N50,'F-1 Off-Site WaterC'' Baseline'!P50=AL52),"Error - No enhancement ▲",IF(AND(C52&lt;&gt;N52,F52&lt;S52),"Lower Distinctiveness Habitat"&amp;" - "&amp;T52,G52&amp;" - "&amp;T52)))))</f>
        <v/>
      </c>
      <c r="Q52" s="368" t="str">
        <f>IF(N52="","",VLOOKUP(B52,'F-1 Off-Site WaterC'' Baseline'!$C$10:$AE$257,22,FALSE))</f>
        <v/>
      </c>
      <c r="R52" s="362" t="str">
        <f>IF(N52="","",VLOOKUP(N52,'G-7 WaterC'' Data'!$B$2:$G$8,2,FALSE))</f>
        <v/>
      </c>
      <c r="S52" s="363" t="str">
        <f>IFERROR(VLOOKUP(R52,'G-7 WaterC'' Data'!$C$4:$D$8,2,FALSE),"")</f>
        <v/>
      </c>
      <c r="T52" s="114"/>
      <c r="U52" s="363" t="str">
        <f>IFERROR(INDEX('G-7 WaterC'' Data'!$H$4:$L$8,MATCH(N52,'G-7 WaterC'' Data'!$B$4:$B$8,0),MATCH(T52,'G-7 WaterC'' Data'!$H$3:$L$3,0)),"")</f>
        <v/>
      </c>
      <c r="V52" s="122"/>
      <c r="W52" s="382" t="str">
        <f>IF(V52="","",IF(VLOOKUP(V52,'G-7 WaterC'' Data'!$AK$4:$AM$6,2,FALSE)=0,"Spatial Data Missing ⚠",VLOOKUP(V52,'G-7 WaterC'' Data'!$AK$4:$AM$6,2,FALSE)))</f>
        <v/>
      </c>
      <c r="X52" s="386" t="str">
        <f>IF(V52="","",IF(VLOOKUP(V52,'G-7 WaterC'' Data'!$AK$4:$AM$6,3,FALSE)=0,"Spatial Data Missing ⚠",VLOOKUP(V52,'G-7 WaterC'' Data'!$AK$4:$AM$6,3,FALSE)))</f>
        <v/>
      </c>
      <c r="Y52" s="398" t="str">
        <f>IFERROR(IF(OR(LEFT(P52,5)="Error",LEFT(O52,5)="Error"),"Check Data ⚠",IF(F52&lt;S52,'G-7 WaterC'' Data'!$R$3,INDEX('G-7 WaterC'' Data'!$U$5:$Y$9,MATCH(G52,'G-7 WaterC'' Data'!$T$5:$T$9,0),MATCH(T52,'G-7 WaterC'' Data'!$U$4:$Y$4,0)))),"")</f>
        <v/>
      </c>
      <c r="Z52" s="165"/>
      <c r="AA52" s="165"/>
      <c r="AB52" s="395" t="str">
        <f t="shared" si="4"/>
        <v/>
      </c>
      <c r="AC52" s="383" t="str">
        <f t="shared" si="5"/>
        <v/>
      </c>
      <c r="AD52" s="422" t="str">
        <f>IFERROR(IF(AC52="Check Data ⚠","Check Data ⚠",VLOOKUP(AC52,'G-4 Temporal multipliers'!$A$4:$C$37,3,FALSE)),"")</f>
        <v/>
      </c>
      <c r="AE52" s="398" t="str">
        <f>IF(N52="","",VLOOKUP(N52,'G-7 WaterC'' Data'!$B$4:$G$8,5,FALSE))</f>
        <v/>
      </c>
      <c r="AF52" s="382" t="str">
        <f t="shared" si="1"/>
        <v/>
      </c>
      <c r="AG52" s="382" t="str">
        <f t="shared" si="6"/>
        <v/>
      </c>
      <c r="AH52" s="386" t="str">
        <f t="shared" si="2"/>
        <v/>
      </c>
      <c r="AI52" s="122"/>
      <c r="AJ52" s="363" t="str">
        <f>IF(AI52="","",IF(VLOOKUP(AI52,'G-7 WaterC'' Data'!$AA$4:$AB$7,2,FALSE)=0,"Spatial Data Missing ⚠",VLOOKUP(AI52,'G-7 WaterC'' Data'!$AA$4:$AB$7,2,FALSE)))</f>
        <v/>
      </c>
      <c r="AK52" s="123"/>
      <c r="AL52" s="397" t="str">
        <f>IF(AK52="","",IF(VLOOKUP(AK52,'G-7 WaterC'' Data'!$AD$4:$AE$14,2,FALSE)=0,"Spatial Data Missing ⚠",VLOOKUP(AK52,'G-7 WaterC'' Data'!$AD$4:$AE$14,2,FALSE)))</f>
        <v/>
      </c>
      <c r="AM52" s="122"/>
      <c r="AN52" s="363" t="str">
        <f>IF(AM52="","",IF(VLOOKUP(AM52,'G-7 WaterC'' Data'!$AO$4:$BO$7,2,FALSE)=0,"Spatial Data Missing ⚠",VLOOKUP(AM52,'G-7 WaterC'' Data'!$AO$4:$BO$7,2,FALSE)))</f>
        <v/>
      </c>
      <c r="AO52" s="405" t="str">
        <f t="shared" si="7"/>
        <v/>
      </c>
      <c r="AP52" s="405" t="str">
        <f t="shared" si="8"/>
        <v/>
      </c>
      <c r="AQ52" s="117"/>
      <c r="AR52" s="118"/>
      <c r="AS52" s="120"/>
      <c r="AT52" s="120"/>
      <c r="AY52" s="30" t="str">
        <f>IFERROR(INDEX('G-7 WaterC'' Data'!$AZ$3:$AZ$7,MATCH(N52,'G-7 WaterC'' Data'!$AY$3:$AY$7,0)),"")</f>
        <v/>
      </c>
    </row>
    <row r="53" spans="2:51" ht="15">
      <c r="B53" s="392" t="str">
        <f>'F-1 Off-Site WaterC'' Baseline'!AR51</f>
        <v/>
      </c>
      <c r="C53" s="382" t="str">
        <f>IF(B53="","",VLOOKUP($B53,'F-1 Off-Site WaterC'' Baseline'!$C$9:$R$257,2,FALSE))</f>
        <v/>
      </c>
      <c r="D53" s="382" t="str">
        <f>IF(C53="","",VLOOKUP($B53,'F-1 Off-Site WaterC'' Baseline'!$C$9:$R$257,3,FALSE))</f>
        <v/>
      </c>
      <c r="E53" s="382" t="str">
        <f>IF(D53="","",VLOOKUP($B53,'F-1 Off-Site WaterC'' Baseline'!$C$9:$R$257,4,FALSE))</f>
        <v/>
      </c>
      <c r="F53" s="382" t="str">
        <f>IF(E53="","",VLOOKUP($B53,'F-1 Off-Site WaterC'' Baseline'!$C$9:$R$257,5,FALSE))</f>
        <v/>
      </c>
      <c r="G53" s="382" t="str">
        <f>IF(F53="","",VLOOKUP($B53,'F-1 Off-Site WaterC'' Baseline'!$C$9:$R$257,6,FALSE))</f>
        <v/>
      </c>
      <c r="H53" s="382" t="str">
        <f>IF(G53="","",VLOOKUP($B53,'F-1 Off-Site WaterC'' Baseline'!$C$9:$R$257,7,FALSE))</f>
        <v/>
      </c>
      <c r="I53" s="382" t="str">
        <f>IF(H53="","",VLOOKUP($B53,'F-1 Off-Site WaterC'' Baseline'!$C$9:$R$257,8,FALSE))</f>
        <v/>
      </c>
      <c r="J53" s="382" t="str">
        <f>IF(I53="","",VLOOKUP($B53,'F-1 Off-Site WaterC'' Baseline'!$C$9:$R$257,9,FALSE))</f>
        <v/>
      </c>
      <c r="K53" s="382" t="str">
        <f>IF(J53="","",VLOOKUP($B53,'F-1 Off-Site WaterC'' Baseline'!$C$9:$R$257,10,FALSE))</f>
        <v/>
      </c>
      <c r="L53" s="382" t="str">
        <f>IF(B53="","",VLOOKUP($B53,'F-1 Off-Site WaterC'' Baseline'!$C$9:$R$257,15,FALSE))</f>
        <v/>
      </c>
      <c r="M53" s="386" t="str">
        <f>IF(L53="","",VLOOKUP($B53,'F-1 Off-Site WaterC'' Baseline'!$C$9:$R$257,16,FALSE))</f>
        <v/>
      </c>
      <c r="N53" s="316" t="str">
        <f t="shared" si="0"/>
        <v/>
      </c>
      <c r="O53" s="362" t="str">
        <f t="shared" si="3"/>
        <v/>
      </c>
      <c r="P53" s="363" t="str">
        <f>IF(C53="","",IF(AND(LEFT(C53,55)&lt;&gt;LEFT(N53,55),O53="High - High"),"Error - Not like for like ▲",IF(H53&gt;U53,"Error - Can not reduce condition ▲",IF(AND(F53=S53,H53=U53,AJ53='F-1 Off-Site WaterC'' Baseline'!N51,'F-1 Off-Site WaterC'' Baseline'!P51=AL53),"Error - No enhancement ▲",IF(AND(C53&lt;&gt;N53,F53&lt;S53),"Lower Distinctiveness Habitat"&amp;" - "&amp;T53,G53&amp;" - "&amp;T53)))))</f>
        <v/>
      </c>
      <c r="Q53" s="368" t="str">
        <f>IF(N53="","",VLOOKUP(B53,'F-1 Off-Site WaterC'' Baseline'!$C$10:$AE$257,22,FALSE))</f>
        <v/>
      </c>
      <c r="R53" s="362" t="str">
        <f>IF(N53="","",VLOOKUP(N53,'G-7 WaterC'' Data'!$B$2:$G$8,2,FALSE))</f>
        <v/>
      </c>
      <c r="S53" s="363" t="str">
        <f>IFERROR(VLOOKUP(R53,'G-7 WaterC'' Data'!$C$4:$D$8,2,FALSE),"")</f>
        <v/>
      </c>
      <c r="T53" s="114"/>
      <c r="U53" s="363" t="str">
        <f>IFERROR(INDEX('G-7 WaterC'' Data'!$H$4:$L$8,MATCH(N53,'G-7 WaterC'' Data'!$B$4:$B$8,0),MATCH(T53,'G-7 WaterC'' Data'!$H$3:$L$3,0)),"")</f>
        <v/>
      </c>
      <c r="V53" s="122"/>
      <c r="W53" s="382" t="str">
        <f>IF(V53="","",IF(VLOOKUP(V53,'G-7 WaterC'' Data'!$AK$4:$AM$6,2,FALSE)=0,"Spatial Data Missing ⚠",VLOOKUP(V53,'G-7 WaterC'' Data'!$AK$4:$AM$6,2,FALSE)))</f>
        <v/>
      </c>
      <c r="X53" s="386" t="str">
        <f>IF(V53="","",IF(VLOOKUP(V53,'G-7 WaterC'' Data'!$AK$4:$AM$6,3,FALSE)=0,"Spatial Data Missing ⚠",VLOOKUP(V53,'G-7 WaterC'' Data'!$AK$4:$AM$6,3,FALSE)))</f>
        <v/>
      </c>
      <c r="Y53" s="398" t="str">
        <f>IFERROR(IF(OR(LEFT(P53,5)="Error",LEFT(O53,5)="Error"),"Check Data ⚠",IF(F53&lt;S53,'G-7 WaterC'' Data'!$R$3,INDEX('G-7 WaterC'' Data'!$U$5:$Y$9,MATCH(G53,'G-7 WaterC'' Data'!$T$5:$T$9,0),MATCH(T53,'G-7 WaterC'' Data'!$U$4:$Y$4,0)))),"")</f>
        <v/>
      </c>
      <c r="Z53" s="165"/>
      <c r="AA53" s="165"/>
      <c r="AB53" s="395" t="str">
        <f t="shared" si="4"/>
        <v/>
      </c>
      <c r="AC53" s="383" t="str">
        <f t="shared" si="5"/>
        <v/>
      </c>
      <c r="AD53" s="422" t="str">
        <f>IFERROR(IF(AC53="Check Data ⚠","Check Data ⚠",VLOOKUP(AC53,'G-4 Temporal multipliers'!$A$4:$C$37,3,FALSE)),"")</f>
        <v/>
      </c>
      <c r="AE53" s="398" t="str">
        <f>IF(N53="","",VLOOKUP(N53,'G-7 WaterC'' Data'!$B$4:$G$8,5,FALSE))</f>
        <v/>
      </c>
      <c r="AF53" s="382" t="str">
        <f t="shared" si="1"/>
        <v/>
      </c>
      <c r="AG53" s="382" t="str">
        <f t="shared" si="6"/>
        <v/>
      </c>
      <c r="AH53" s="386" t="str">
        <f t="shared" si="2"/>
        <v/>
      </c>
      <c r="AI53" s="122"/>
      <c r="AJ53" s="363" t="str">
        <f>IF(AI53="","",IF(VLOOKUP(AI53,'G-7 WaterC'' Data'!$AA$4:$AB$7,2,FALSE)=0,"Spatial Data Missing ⚠",VLOOKUP(AI53,'G-7 WaterC'' Data'!$AA$4:$AB$7,2,FALSE)))</f>
        <v/>
      </c>
      <c r="AK53" s="123"/>
      <c r="AL53" s="397" t="str">
        <f>IF(AK53="","",IF(VLOOKUP(AK53,'G-7 WaterC'' Data'!$AD$4:$AE$14,2,FALSE)=0,"Spatial Data Missing ⚠",VLOOKUP(AK53,'G-7 WaterC'' Data'!$AD$4:$AE$14,2,FALSE)))</f>
        <v/>
      </c>
      <c r="AM53" s="122"/>
      <c r="AN53" s="363" t="str">
        <f>IF(AM53="","",IF(VLOOKUP(AM53,'G-7 WaterC'' Data'!$AO$4:$BO$7,2,FALSE)=0,"Spatial Data Missing ⚠",VLOOKUP(AM53,'G-7 WaterC'' Data'!$AO$4:$BO$7,2,FALSE)))</f>
        <v/>
      </c>
      <c r="AO53" s="405" t="str">
        <f t="shared" si="7"/>
        <v/>
      </c>
      <c r="AP53" s="405" t="str">
        <f t="shared" si="8"/>
        <v/>
      </c>
      <c r="AQ53" s="117"/>
      <c r="AR53" s="118"/>
      <c r="AS53" s="120"/>
      <c r="AT53" s="120"/>
      <c r="AY53" s="30" t="str">
        <f>IFERROR(INDEX('G-7 WaterC'' Data'!$AZ$3:$AZ$7,MATCH(N53,'G-7 WaterC'' Data'!$AY$3:$AY$7,0)),"")</f>
        <v/>
      </c>
    </row>
    <row r="54" spans="2:51" ht="15">
      <c r="B54" s="392" t="str">
        <f>'F-1 Off-Site WaterC'' Baseline'!AR52</f>
        <v/>
      </c>
      <c r="C54" s="382" t="str">
        <f>IF(B54="","",VLOOKUP($B54,'F-1 Off-Site WaterC'' Baseline'!$C$9:$R$257,2,FALSE))</f>
        <v/>
      </c>
      <c r="D54" s="382" t="str">
        <f>IF(C54="","",VLOOKUP($B54,'F-1 Off-Site WaterC'' Baseline'!$C$9:$R$257,3,FALSE))</f>
        <v/>
      </c>
      <c r="E54" s="382" t="str">
        <f>IF(D54="","",VLOOKUP($B54,'F-1 Off-Site WaterC'' Baseline'!$C$9:$R$257,4,FALSE))</f>
        <v/>
      </c>
      <c r="F54" s="382" t="str">
        <f>IF(E54="","",VLOOKUP($B54,'F-1 Off-Site WaterC'' Baseline'!$C$9:$R$257,5,FALSE))</f>
        <v/>
      </c>
      <c r="G54" s="382" t="str">
        <f>IF(F54="","",VLOOKUP($B54,'F-1 Off-Site WaterC'' Baseline'!$C$9:$R$257,6,FALSE))</f>
        <v/>
      </c>
      <c r="H54" s="382" t="str">
        <f>IF(G54="","",VLOOKUP($B54,'F-1 Off-Site WaterC'' Baseline'!$C$9:$R$257,7,FALSE))</f>
        <v/>
      </c>
      <c r="I54" s="382" t="str">
        <f>IF(H54="","",VLOOKUP($B54,'F-1 Off-Site WaterC'' Baseline'!$C$9:$R$257,8,FALSE))</f>
        <v/>
      </c>
      <c r="J54" s="382" t="str">
        <f>IF(I54="","",VLOOKUP($B54,'F-1 Off-Site WaterC'' Baseline'!$C$9:$R$257,9,FALSE))</f>
        <v/>
      </c>
      <c r="K54" s="382" t="str">
        <f>IF(J54="","",VLOOKUP($B54,'F-1 Off-Site WaterC'' Baseline'!$C$9:$R$257,10,FALSE))</f>
        <v/>
      </c>
      <c r="L54" s="382" t="str">
        <f>IF(B54="","",VLOOKUP($B54,'F-1 Off-Site WaterC'' Baseline'!$C$9:$R$257,15,FALSE))</f>
        <v/>
      </c>
      <c r="M54" s="386" t="str">
        <f>IF(L54="","",VLOOKUP($B54,'F-1 Off-Site WaterC'' Baseline'!$C$9:$R$257,16,FALSE))</f>
        <v/>
      </c>
      <c r="N54" s="316" t="str">
        <f t="shared" si="0"/>
        <v/>
      </c>
      <c r="O54" s="362" t="str">
        <f t="shared" si="3"/>
        <v/>
      </c>
      <c r="P54" s="363" t="str">
        <f>IF(C54="","",IF(AND(LEFT(C54,55)&lt;&gt;LEFT(N54,55),O54="High - High"),"Error - Not like for like ▲",IF(H54&gt;U54,"Error - Can not reduce condition ▲",IF(AND(F54=S54,H54=U54,AJ54='F-1 Off-Site WaterC'' Baseline'!N52,'F-1 Off-Site WaterC'' Baseline'!P52=AL54),"Error - No enhancement ▲",IF(AND(C54&lt;&gt;N54,F54&lt;S54),"Lower Distinctiveness Habitat"&amp;" - "&amp;T54,G54&amp;" - "&amp;T54)))))</f>
        <v/>
      </c>
      <c r="Q54" s="368" t="str">
        <f>IF(N54="","",VLOOKUP(B54,'F-1 Off-Site WaterC'' Baseline'!$C$10:$AE$257,22,FALSE))</f>
        <v/>
      </c>
      <c r="R54" s="362" t="str">
        <f>IF(N54="","",VLOOKUP(N54,'G-7 WaterC'' Data'!$B$2:$G$8,2,FALSE))</f>
        <v/>
      </c>
      <c r="S54" s="363" t="str">
        <f>IFERROR(VLOOKUP(R54,'G-7 WaterC'' Data'!$C$4:$D$8,2,FALSE),"")</f>
        <v/>
      </c>
      <c r="T54" s="114"/>
      <c r="U54" s="363" t="str">
        <f>IFERROR(INDEX('G-7 WaterC'' Data'!$H$4:$L$8,MATCH(N54,'G-7 WaterC'' Data'!$B$4:$B$8,0),MATCH(T54,'G-7 WaterC'' Data'!$H$3:$L$3,0)),"")</f>
        <v/>
      </c>
      <c r="V54" s="122"/>
      <c r="W54" s="382" t="str">
        <f>IF(V54="","",IF(VLOOKUP(V54,'G-7 WaterC'' Data'!$AK$4:$AM$6,2,FALSE)=0,"Spatial Data Missing ⚠",VLOOKUP(V54,'G-7 WaterC'' Data'!$AK$4:$AM$6,2,FALSE)))</f>
        <v/>
      </c>
      <c r="X54" s="386" t="str">
        <f>IF(V54="","",IF(VLOOKUP(V54,'G-7 WaterC'' Data'!$AK$4:$AM$6,3,FALSE)=0,"Spatial Data Missing ⚠",VLOOKUP(V54,'G-7 WaterC'' Data'!$AK$4:$AM$6,3,FALSE)))</f>
        <v/>
      </c>
      <c r="Y54" s="398" t="str">
        <f>IFERROR(IF(OR(LEFT(P54,5)="Error",LEFT(O54,5)="Error"),"Check Data ⚠",IF(F54&lt;S54,'G-7 WaterC'' Data'!$R$3,INDEX('G-7 WaterC'' Data'!$U$5:$Y$9,MATCH(G54,'G-7 WaterC'' Data'!$T$5:$T$9,0),MATCH(T54,'G-7 WaterC'' Data'!$U$4:$Y$4,0)))),"")</f>
        <v/>
      </c>
      <c r="Z54" s="165"/>
      <c r="AA54" s="165"/>
      <c r="AB54" s="395" t="str">
        <f t="shared" si="4"/>
        <v/>
      </c>
      <c r="AC54" s="383" t="str">
        <f t="shared" si="5"/>
        <v/>
      </c>
      <c r="AD54" s="422" t="str">
        <f>IFERROR(IF(AC54="Check Data ⚠","Check Data ⚠",VLOOKUP(AC54,'G-4 Temporal multipliers'!$A$4:$C$37,3,FALSE)),"")</f>
        <v/>
      </c>
      <c r="AE54" s="398" t="str">
        <f>IF(N54="","",VLOOKUP(N54,'G-7 WaterC'' Data'!$B$4:$G$8,5,FALSE))</f>
        <v/>
      </c>
      <c r="AF54" s="382" t="str">
        <f t="shared" si="1"/>
        <v/>
      </c>
      <c r="AG54" s="382" t="str">
        <f t="shared" si="6"/>
        <v/>
      </c>
      <c r="AH54" s="386" t="str">
        <f t="shared" si="2"/>
        <v/>
      </c>
      <c r="AI54" s="122"/>
      <c r="AJ54" s="363" t="str">
        <f>IF(AI54="","",IF(VLOOKUP(AI54,'G-7 WaterC'' Data'!$AA$4:$AB$7,2,FALSE)=0,"Spatial Data Missing ⚠",VLOOKUP(AI54,'G-7 WaterC'' Data'!$AA$4:$AB$7,2,FALSE)))</f>
        <v/>
      </c>
      <c r="AK54" s="123"/>
      <c r="AL54" s="397" t="str">
        <f>IF(AK54="","",IF(VLOOKUP(AK54,'G-7 WaterC'' Data'!$AD$4:$AE$14,2,FALSE)=0,"Spatial Data Missing ⚠",VLOOKUP(AK54,'G-7 WaterC'' Data'!$AD$4:$AE$14,2,FALSE)))</f>
        <v/>
      </c>
      <c r="AM54" s="122"/>
      <c r="AN54" s="363" t="str">
        <f>IF(AM54="","",IF(VLOOKUP(AM54,'G-7 WaterC'' Data'!$AO$4:$BO$7,2,FALSE)=0,"Spatial Data Missing ⚠",VLOOKUP(AM54,'G-7 WaterC'' Data'!$AO$4:$BO$7,2,FALSE)))</f>
        <v/>
      </c>
      <c r="AO54" s="405" t="str">
        <f t="shared" si="7"/>
        <v/>
      </c>
      <c r="AP54" s="405" t="str">
        <f t="shared" si="8"/>
        <v/>
      </c>
      <c r="AQ54" s="117"/>
      <c r="AR54" s="118"/>
      <c r="AS54" s="120"/>
      <c r="AT54" s="120"/>
      <c r="AY54" s="30" t="str">
        <f>IFERROR(INDEX('G-7 WaterC'' Data'!$AZ$3:$AZ$7,MATCH(N54,'G-7 WaterC'' Data'!$AY$3:$AY$7,0)),"")</f>
        <v/>
      </c>
    </row>
    <row r="55" spans="2:51" ht="15">
      <c r="B55" s="392" t="str">
        <f>'F-1 Off-Site WaterC'' Baseline'!AR53</f>
        <v/>
      </c>
      <c r="C55" s="382" t="str">
        <f>IF(B55="","",VLOOKUP($B55,'F-1 Off-Site WaterC'' Baseline'!$C$9:$R$257,2,FALSE))</f>
        <v/>
      </c>
      <c r="D55" s="382" t="str">
        <f>IF(C55="","",VLOOKUP($B55,'F-1 Off-Site WaterC'' Baseline'!$C$9:$R$257,3,FALSE))</f>
        <v/>
      </c>
      <c r="E55" s="382" t="str">
        <f>IF(D55="","",VLOOKUP($B55,'F-1 Off-Site WaterC'' Baseline'!$C$9:$R$257,4,FALSE))</f>
        <v/>
      </c>
      <c r="F55" s="382" t="str">
        <f>IF(E55="","",VLOOKUP($B55,'F-1 Off-Site WaterC'' Baseline'!$C$9:$R$257,5,FALSE))</f>
        <v/>
      </c>
      <c r="G55" s="382" t="str">
        <f>IF(F55="","",VLOOKUP($B55,'F-1 Off-Site WaterC'' Baseline'!$C$9:$R$257,6,FALSE))</f>
        <v/>
      </c>
      <c r="H55" s="382" t="str">
        <f>IF(G55="","",VLOOKUP($B55,'F-1 Off-Site WaterC'' Baseline'!$C$9:$R$257,7,FALSE))</f>
        <v/>
      </c>
      <c r="I55" s="382" t="str">
        <f>IF(H55="","",VLOOKUP($B55,'F-1 Off-Site WaterC'' Baseline'!$C$9:$R$257,8,FALSE))</f>
        <v/>
      </c>
      <c r="J55" s="382" t="str">
        <f>IF(I55="","",VLOOKUP($B55,'F-1 Off-Site WaterC'' Baseline'!$C$9:$R$257,9,FALSE))</f>
        <v/>
      </c>
      <c r="K55" s="382" t="str">
        <f>IF(J55="","",VLOOKUP($B55,'F-1 Off-Site WaterC'' Baseline'!$C$9:$R$257,10,FALSE))</f>
        <v/>
      </c>
      <c r="L55" s="382" t="str">
        <f>IF(B55="","",VLOOKUP($B55,'F-1 Off-Site WaterC'' Baseline'!$C$9:$R$257,15,FALSE))</f>
        <v/>
      </c>
      <c r="M55" s="386" t="str">
        <f>IF(L55="","",VLOOKUP($B55,'F-1 Off-Site WaterC'' Baseline'!$C$9:$R$257,16,FALSE))</f>
        <v/>
      </c>
      <c r="N55" s="316" t="str">
        <f t="shared" si="0"/>
        <v/>
      </c>
      <c r="O55" s="362" t="str">
        <f t="shared" si="3"/>
        <v/>
      </c>
      <c r="P55" s="363" t="str">
        <f>IF(C55="","",IF(AND(LEFT(C55,55)&lt;&gt;LEFT(N55,55),O55="High - High"),"Error - Not like for like ▲",IF(H55&gt;U55,"Error - Can not reduce condition ▲",IF(AND(F55=S55,H55=U55,AJ55='F-1 Off-Site WaterC'' Baseline'!N53,'F-1 Off-Site WaterC'' Baseline'!P53=AL55),"Error - No enhancement ▲",IF(AND(C55&lt;&gt;N55,F55&lt;S55),"Lower Distinctiveness Habitat"&amp;" - "&amp;T55,G55&amp;" - "&amp;T55)))))</f>
        <v/>
      </c>
      <c r="Q55" s="368" t="str">
        <f>IF(N55="","",VLOOKUP(B55,'F-1 Off-Site WaterC'' Baseline'!$C$10:$AE$257,22,FALSE))</f>
        <v/>
      </c>
      <c r="R55" s="362" t="str">
        <f>IF(N55="","",VLOOKUP(N55,'G-7 WaterC'' Data'!$B$2:$G$8,2,FALSE))</f>
        <v/>
      </c>
      <c r="S55" s="363" t="str">
        <f>IFERROR(VLOOKUP(R55,'G-7 WaterC'' Data'!$C$4:$D$8,2,FALSE),"")</f>
        <v/>
      </c>
      <c r="T55" s="114"/>
      <c r="U55" s="363" t="str">
        <f>IFERROR(INDEX('G-7 WaterC'' Data'!$H$4:$L$8,MATCH(N55,'G-7 WaterC'' Data'!$B$4:$B$8,0),MATCH(T55,'G-7 WaterC'' Data'!$H$3:$L$3,0)),"")</f>
        <v/>
      </c>
      <c r="V55" s="122"/>
      <c r="W55" s="382" t="str">
        <f>IF(V55="","",IF(VLOOKUP(V55,'G-7 WaterC'' Data'!$AK$4:$AM$6,2,FALSE)=0,"Spatial Data Missing ⚠",VLOOKUP(V55,'G-7 WaterC'' Data'!$AK$4:$AM$6,2,FALSE)))</f>
        <v/>
      </c>
      <c r="X55" s="386" t="str">
        <f>IF(V55="","",IF(VLOOKUP(V55,'G-7 WaterC'' Data'!$AK$4:$AM$6,3,FALSE)=0,"Spatial Data Missing ⚠",VLOOKUP(V55,'G-7 WaterC'' Data'!$AK$4:$AM$6,3,FALSE)))</f>
        <v/>
      </c>
      <c r="Y55" s="398" t="str">
        <f>IFERROR(IF(OR(LEFT(P55,5)="Error",LEFT(O55,5)="Error"),"Check Data ⚠",IF(F55&lt;S55,'G-7 WaterC'' Data'!$R$3,INDEX('G-7 WaterC'' Data'!$U$5:$Y$9,MATCH(G55,'G-7 WaterC'' Data'!$T$5:$T$9,0),MATCH(T55,'G-7 WaterC'' Data'!$U$4:$Y$4,0)))),"")</f>
        <v/>
      </c>
      <c r="Z55" s="165"/>
      <c r="AA55" s="165"/>
      <c r="AB55" s="395" t="str">
        <f t="shared" si="4"/>
        <v/>
      </c>
      <c r="AC55" s="383" t="str">
        <f t="shared" si="5"/>
        <v/>
      </c>
      <c r="AD55" s="422" t="str">
        <f>IFERROR(IF(AC55="Check Data ⚠","Check Data ⚠",VLOOKUP(AC55,'G-4 Temporal multipliers'!$A$4:$C$37,3,FALSE)),"")</f>
        <v/>
      </c>
      <c r="AE55" s="398" t="str">
        <f>IF(N55="","",VLOOKUP(N55,'G-7 WaterC'' Data'!$B$4:$G$8,5,FALSE))</f>
        <v/>
      </c>
      <c r="AF55" s="382" t="str">
        <f t="shared" si="1"/>
        <v/>
      </c>
      <c r="AG55" s="382" t="str">
        <f t="shared" si="6"/>
        <v/>
      </c>
      <c r="AH55" s="386" t="str">
        <f t="shared" si="2"/>
        <v/>
      </c>
      <c r="AI55" s="122"/>
      <c r="AJ55" s="363" t="str">
        <f>IF(AI55="","",IF(VLOOKUP(AI55,'G-7 WaterC'' Data'!$AA$4:$AB$7,2,FALSE)=0,"Spatial Data Missing ⚠",VLOOKUP(AI55,'G-7 WaterC'' Data'!$AA$4:$AB$7,2,FALSE)))</f>
        <v/>
      </c>
      <c r="AK55" s="123"/>
      <c r="AL55" s="397" t="str">
        <f>IF(AK55="","",IF(VLOOKUP(AK55,'G-7 WaterC'' Data'!$AD$4:$AE$14,2,FALSE)=0,"Spatial Data Missing ⚠",VLOOKUP(AK55,'G-7 WaterC'' Data'!$AD$4:$AE$14,2,FALSE)))</f>
        <v/>
      </c>
      <c r="AM55" s="122"/>
      <c r="AN55" s="363" t="str">
        <f>IF(AM55="","",IF(VLOOKUP(AM55,'G-7 WaterC'' Data'!$AO$4:$BO$7,2,FALSE)=0,"Spatial Data Missing ⚠",VLOOKUP(AM55,'G-7 WaterC'' Data'!$AO$4:$BO$7,2,FALSE)))</f>
        <v/>
      </c>
      <c r="AO55" s="405" t="str">
        <f t="shared" si="7"/>
        <v/>
      </c>
      <c r="AP55" s="405" t="str">
        <f t="shared" si="8"/>
        <v/>
      </c>
      <c r="AQ55" s="117"/>
      <c r="AR55" s="118"/>
      <c r="AS55" s="120"/>
      <c r="AT55" s="120"/>
      <c r="AY55" s="30" t="str">
        <f>IFERROR(INDEX('G-7 WaterC'' Data'!$AZ$3:$AZ$7,MATCH(N55,'G-7 WaterC'' Data'!$AY$3:$AY$7,0)),"")</f>
        <v/>
      </c>
    </row>
    <row r="56" spans="2:51" ht="15">
      <c r="B56" s="392" t="str">
        <f>'F-1 Off-Site WaterC'' Baseline'!AR54</f>
        <v/>
      </c>
      <c r="C56" s="382" t="str">
        <f>IF(B56="","",VLOOKUP($B56,'F-1 Off-Site WaterC'' Baseline'!$C$9:$R$257,2,FALSE))</f>
        <v/>
      </c>
      <c r="D56" s="382" t="str">
        <f>IF(C56="","",VLOOKUP($B56,'F-1 Off-Site WaterC'' Baseline'!$C$9:$R$257,3,FALSE))</f>
        <v/>
      </c>
      <c r="E56" s="382" t="str">
        <f>IF(D56="","",VLOOKUP($B56,'F-1 Off-Site WaterC'' Baseline'!$C$9:$R$257,4,FALSE))</f>
        <v/>
      </c>
      <c r="F56" s="382" t="str">
        <f>IF(E56="","",VLOOKUP($B56,'F-1 Off-Site WaterC'' Baseline'!$C$9:$R$257,5,FALSE))</f>
        <v/>
      </c>
      <c r="G56" s="382" t="str">
        <f>IF(F56="","",VLOOKUP($B56,'F-1 Off-Site WaterC'' Baseline'!$C$9:$R$257,6,FALSE))</f>
        <v/>
      </c>
      <c r="H56" s="382" t="str">
        <f>IF(G56="","",VLOOKUP($B56,'F-1 Off-Site WaterC'' Baseline'!$C$9:$R$257,7,FALSE))</f>
        <v/>
      </c>
      <c r="I56" s="382" t="str">
        <f>IF(H56="","",VLOOKUP($B56,'F-1 Off-Site WaterC'' Baseline'!$C$9:$R$257,8,FALSE))</f>
        <v/>
      </c>
      <c r="J56" s="382" t="str">
        <f>IF(I56="","",VLOOKUP($B56,'F-1 Off-Site WaterC'' Baseline'!$C$9:$R$257,9,FALSE))</f>
        <v/>
      </c>
      <c r="K56" s="382" t="str">
        <f>IF(J56="","",VLOOKUP($B56,'F-1 Off-Site WaterC'' Baseline'!$C$9:$R$257,10,FALSE))</f>
        <v/>
      </c>
      <c r="L56" s="382" t="str">
        <f>IF(B56="","",VLOOKUP($B56,'F-1 Off-Site WaterC'' Baseline'!$C$9:$R$257,15,FALSE))</f>
        <v/>
      </c>
      <c r="M56" s="386" t="str">
        <f>IF(L56="","",VLOOKUP($B56,'F-1 Off-Site WaterC'' Baseline'!$C$9:$R$257,16,FALSE))</f>
        <v/>
      </c>
      <c r="N56" s="316" t="str">
        <f t="shared" si="0"/>
        <v/>
      </c>
      <c r="O56" s="362" t="str">
        <f t="shared" si="3"/>
        <v/>
      </c>
      <c r="P56" s="363" t="str">
        <f>IF(C56="","",IF(AND(LEFT(C56,55)&lt;&gt;LEFT(N56,55),O56="High - High"),"Error - Not like for like ▲",IF(H56&gt;U56,"Error - Can not reduce condition ▲",IF(AND(F56=S56,H56=U56,AJ56='F-1 Off-Site WaterC'' Baseline'!N54,'F-1 Off-Site WaterC'' Baseline'!P54=AL56),"Error - No enhancement ▲",IF(AND(C56&lt;&gt;N56,F56&lt;S56),"Lower Distinctiveness Habitat"&amp;" - "&amp;T56,G56&amp;" - "&amp;T56)))))</f>
        <v/>
      </c>
      <c r="Q56" s="368" t="str">
        <f>IF(N56="","",VLOOKUP(B56,'F-1 Off-Site WaterC'' Baseline'!$C$10:$AE$257,22,FALSE))</f>
        <v/>
      </c>
      <c r="R56" s="362" t="str">
        <f>IF(N56="","",VLOOKUP(N56,'G-7 WaterC'' Data'!$B$2:$G$8,2,FALSE))</f>
        <v/>
      </c>
      <c r="S56" s="363" t="str">
        <f>IFERROR(VLOOKUP(R56,'G-7 WaterC'' Data'!$C$4:$D$8,2,FALSE),"")</f>
        <v/>
      </c>
      <c r="T56" s="114"/>
      <c r="U56" s="363" t="str">
        <f>IFERROR(INDEX('G-7 WaterC'' Data'!$H$4:$L$8,MATCH(N56,'G-7 WaterC'' Data'!$B$4:$B$8,0),MATCH(T56,'G-7 WaterC'' Data'!$H$3:$L$3,0)),"")</f>
        <v/>
      </c>
      <c r="V56" s="122"/>
      <c r="W56" s="382" t="str">
        <f>IF(V56="","",IF(VLOOKUP(V56,'G-7 WaterC'' Data'!$AK$4:$AM$6,2,FALSE)=0,"Spatial Data Missing ⚠",VLOOKUP(V56,'G-7 WaterC'' Data'!$AK$4:$AM$6,2,FALSE)))</f>
        <v/>
      </c>
      <c r="X56" s="386" t="str">
        <f>IF(V56="","",IF(VLOOKUP(V56,'G-7 WaterC'' Data'!$AK$4:$AM$6,3,FALSE)=0,"Spatial Data Missing ⚠",VLOOKUP(V56,'G-7 WaterC'' Data'!$AK$4:$AM$6,3,FALSE)))</f>
        <v/>
      </c>
      <c r="Y56" s="398" t="str">
        <f>IFERROR(IF(OR(LEFT(P56,5)="Error",LEFT(O56,5)="Error"),"Check Data ⚠",IF(F56&lt;S56,'G-7 WaterC'' Data'!$R$3,INDEX('G-7 WaterC'' Data'!$U$5:$Y$9,MATCH(G56,'G-7 WaterC'' Data'!$T$5:$T$9,0),MATCH(T56,'G-7 WaterC'' Data'!$U$4:$Y$4,0)))),"")</f>
        <v/>
      </c>
      <c r="Z56" s="165"/>
      <c r="AA56" s="165"/>
      <c r="AB56" s="395" t="str">
        <f t="shared" si="4"/>
        <v/>
      </c>
      <c r="AC56" s="383" t="str">
        <f t="shared" si="5"/>
        <v/>
      </c>
      <c r="AD56" s="422" t="str">
        <f>IFERROR(IF(AC56="Check Data ⚠","Check Data ⚠",VLOOKUP(AC56,'G-4 Temporal multipliers'!$A$4:$C$37,3,FALSE)),"")</f>
        <v/>
      </c>
      <c r="AE56" s="398" t="str">
        <f>IF(N56="","",VLOOKUP(N56,'G-7 WaterC'' Data'!$B$4:$G$8,5,FALSE))</f>
        <v/>
      </c>
      <c r="AF56" s="382" t="str">
        <f t="shared" si="1"/>
        <v/>
      </c>
      <c r="AG56" s="382" t="str">
        <f t="shared" si="6"/>
        <v/>
      </c>
      <c r="AH56" s="386" t="str">
        <f t="shared" si="2"/>
        <v/>
      </c>
      <c r="AI56" s="122"/>
      <c r="AJ56" s="363" t="str">
        <f>IF(AI56="","",IF(VLOOKUP(AI56,'G-7 WaterC'' Data'!$AA$4:$AB$7,2,FALSE)=0,"Spatial Data Missing ⚠",VLOOKUP(AI56,'G-7 WaterC'' Data'!$AA$4:$AB$7,2,FALSE)))</f>
        <v/>
      </c>
      <c r="AK56" s="123"/>
      <c r="AL56" s="397" t="str">
        <f>IF(AK56="","",IF(VLOOKUP(AK56,'G-7 WaterC'' Data'!$AD$4:$AE$14,2,FALSE)=0,"Spatial Data Missing ⚠",VLOOKUP(AK56,'G-7 WaterC'' Data'!$AD$4:$AE$14,2,FALSE)))</f>
        <v/>
      </c>
      <c r="AM56" s="122"/>
      <c r="AN56" s="363" t="str">
        <f>IF(AM56="","",IF(VLOOKUP(AM56,'G-7 WaterC'' Data'!$AO$4:$BO$7,2,FALSE)=0,"Spatial Data Missing ⚠",VLOOKUP(AM56,'G-7 WaterC'' Data'!$AO$4:$BO$7,2,FALSE)))</f>
        <v/>
      </c>
      <c r="AO56" s="405" t="str">
        <f t="shared" si="7"/>
        <v/>
      </c>
      <c r="AP56" s="405" t="str">
        <f t="shared" si="8"/>
        <v/>
      </c>
      <c r="AQ56" s="117"/>
      <c r="AR56" s="118"/>
      <c r="AS56" s="120"/>
      <c r="AT56" s="120"/>
      <c r="AY56" s="30" t="str">
        <f>IFERROR(INDEX('G-7 WaterC'' Data'!$AZ$3:$AZ$7,MATCH(N56,'G-7 WaterC'' Data'!$AY$3:$AY$7,0)),"")</f>
        <v/>
      </c>
    </row>
    <row r="57" spans="2:51" ht="15">
      <c r="B57" s="392" t="str">
        <f>'F-1 Off-Site WaterC'' Baseline'!AR55</f>
        <v/>
      </c>
      <c r="C57" s="382" t="str">
        <f>IF(B57="","",VLOOKUP($B57,'F-1 Off-Site WaterC'' Baseline'!$C$9:$R$257,2,FALSE))</f>
        <v/>
      </c>
      <c r="D57" s="382" t="str">
        <f>IF(C57="","",VLOOKUP($B57,'F-1 Off-Site WaterC'' Baseline'!$C$9:$R$257,3,FALSE))</f>
        <v/>
      </c>
      <c r="E57" s="382" t="str">
        <f>IF(D57="","",VLOOKUP($B57,'F-1 Off-Site WaterC'' Baseline'!$C$9:$R$257,4,FALSE))</f>
        <v/>
      </c>
      <c r="F57" s="382" t="str">
        <f>IF(E57="","",VLOOKUP($B57,'F-1 Off-Site WaterC'' Baseline'!$C$9:$R$257,5,FALSE))</f>
        <v/>
      </c>
      <c r="G57" s="382" t="str">
        <f>IF(F57="","",VLOOKUP($B57,'F-1 Off-Site WaterC'' Baseline'!$C$9:$R$257,6,FALSE))</f>
        <v/>
      </c>
      <c r="H57" s="382" t="str">
        <f>IF(G57="","",VLOOKUP($B57,'F-1 Off-Site WaterC'' Baseline'!$C$9:$R$257,7,FALSE))</f>
        <v/>
      </c>
      <c r="I57" s="382" t="str">
        <f>IF(H57="","",VLOOKUP($B57,'F-1 Off-Site WaterC'' Baseline'!$C$9:$R$257,8,FALSE))</f>
        <v/>
      </c>
      <c r="J57" s="382" t="str">
        <f>IF(I57="","",VLOOKUP($B57,'F-1 Off-Site WaterC'' Baseline'!$C$9:$R$257,9,FALSE))</f>
        <v/>
      </c>
      <c r="K57" s="382" t="str">
        <f>IF(J57="","",VLOOKUP($B57,'F-1 Off-Site WaterC'' Baseline'!$C$9:$R$257,10,FALSE))</f>
        <v/>
      </c>
      <c r="L57" s="382" t="str">
        <f>IF(B57="","",VLOOKUP($B57,'F-1 Off-Site WaterC'' Baseline'!$C$9:$R$257,15,FALSE))</f>
        <v/>
      </c>
      <c r="M57" s="386" t="str">
        <f>IF(L57="","",VLOOKUP($B57,'F-1 Off-Site WaterC'' Baseline'!$C$9:$R$257,16,FALSE))</f>
        <v/>
      </c>
      <c r="N57" s="316" t="str">
        <f t="shared" si="0"/>
        <v/>
      </c>
      <c r="O57" s="362" t="str">
        <f t="shared" si="3"/>
        <v/>
      </c>
      <c r="P57" s="363" t="str">
        <f>IF(C57="","",IF(AND(LEFT(C57,55)&lt;&gt;LEFT(N57,55),O57="High - High"),"Error - Not like for like ▲",IF(H57&gt;U57,"Error - Can not reduce condition ▲",IF(AND(F57=S57,H57=U57,AJ57='F-1 Off-Site WaterC'' Baseline'!N55,'F-1 Off-Site WaterC'' Baseline'!P55=AL57),"Error - No enhancement ▲",IF(AND(C57&lt;&gt;N57,F57&lt;S57),"Lower Distinctiveness Habitat"&amp;" - "&amp;T57,G57&amp;" - "&amp;T57)))))</f>
        <v/>
      </c>
      <c r="Q57" s="368" t="str">
        <f>IF(N57="","",VLOOKUP(B57,'F-1 Off-Site WaterC'' Baseline'!$C$10:$AE$257,22,FALSE))</f>
        <v/>
      </c>
      <c r="R57" s="362" t="str">
        <f>IF(N57="","",VLOOKUP(N57,'G-7 WaterC'' Data'!$B$2:$G$8,2,FALSE))</f>
        <v/>
      </c>
      <c r="S57" s="363" t="str">
        <f>IFERROR(VLOOKUP(R57,'G-7 WaterC'' Data'!$C$4:$D$8,2,FALSE),"")</f>
        <v/>
      </c>
      <c r="T57" s="114"/>
      <c r="U57" s="363" t="str">
        <f>IFERROR(INDEX('G-7 WaterC'' Data'!$H$4:$L$8,MATCH(N57,'G-7 WaterC'' Data'!$B$4:$B$8,0),MATCH(T57,'G-7 WaterC'' Data'!$H$3:$L$3,0)),"")</f>
        <v/>
      </c>
      <c r="V57" s="122"/>
      <c r="W57" s="382" t="str">
        <f>IF(V57="","",IF(VLOOKUP(V57,'G-7 WaterC'' Data'!$AK$4:$AM$6,2,FALSE)=0,"Spatial Data Missing ⚠",VLOOKUP(V57,'G-7 WaterC'' Data'!$AK$4:$AM$6,2,FALSE)))</f>
        <v/>
      </c>
      <c r="X57" s="386" t="str">
        <f>IF(V57="","",IF(VLOOKUP(V57,'G-7 WaterC'' Data'!$AK$4:$AM$6,3,FALSE)=0,"Spatial Data Missing ⚠",VLOOKUP(V57,'G-7 WaterC'' Data'!$AK$4:$AM$6,3,FALSE)))</f>
        <v/>
      </c>
      <c r="Y57" s="398" t="str">
        <f>IFERROR(IF(OR(LEFT(P57,5)="Error",LEFT(O57,5)="Error"),"Check Data ⚠",IF(F57&lt;S57,'G-7 WaterC'' Data'!$R$3,INDEX('G-7 WaterC'' Data'!$U$5:$Y$9,MATCH(G57,'G-7 WaterC'' Data'!$T$5:$T$9,0),MATCH(T57,'G-7 WaterC'' Data'!$U$4:$Y$4,0)))),"")</f>
        <v/>
      </c>
      <c r="Z57" s="165"/>
      <c r="AA57" s="165"/>
      <c r="AB57" s="395" t="str">
        <f t="shared" si="4"/>
        <v/>
      </c>
      <c r="AC57" s="383" t="str">
        <f t="shared" si="5"/>
        <v/>
      </c>
      <c r="AD57" s="422" t="str">
        <f>IFERROR(IF(AC57="Check Data ⚠","Check Data ⚠",VLOOKUP(AC57,'G-4 Temporal multipliers'!$A$4:$C$37,3,FALSE)),"")</f>
        <v/>
      </c>
      <c r="AE57" s="398" t="str">
        <f>IF(N57="","",VLOOKUP(N57,'G-7 WaterC'' Data'!$B$4:$G$8,5,FALSE))</f>
        <v/>
      </c>
      <c r="AF57" s="382" t="str">
        <f t="shared" si="1"/>
        <v/>
      </c>
      <c r="AG57" s="382" t="str">
        <f t="shared" si="6"/>
        <v/>
      </c>
      <c r="AH57" s="386" t="str">
        <f t="shared" si="2"/>
        <v/>
      </c>
      <c r="AI57" s="122"/>
      <c r="AJ57" s="363" t="str">
        <f>IF(AI57="","",IF(VLOOKUP(AI57,'G-7 WaterC'' Data'!$AA$4:$AB$7,2,FALSE)=0,"Spatial Data Missing ⚠",VLOOKUP(AI57,'G-7 WaterC'' Data'!$AA$4:$AB$7,2,FALSE)))</f>
        <v/>
      </c>
      <c r="AK57" s="123"/>
      <c r="AL57" s="397" t="str">
        <f>IF(AK57="","",IF(VLOOKUP(AK57,'G-7 WaterC'' Data'!$AD$4:$AE$14,2,FALSE)=0,"Spatial Data Missing ⚠",VLOOKUP(AK57,'G-7 WaterC'' Data'!$AD$4:$AE$14,2,FALSE)))</f>
        <v/>
      </c>
      <c r="AM57" s="122"/>
      <c r="AN57" s="363" t="str">
        <f>IF(AM57="","",IF(VLOOKUP(AM57,'G-7 WaterC'' Data'!$AO$4:$BO$7,2,FALSE)=0,"Spatial Data Missing ⚠",VLOOKUP(AM57,'G-7 WaterC'' Data'!$AO$4:$BO$7,2,FALSE)))</f>
        <v/>
      </c>
      <c r="AO57" s="405" t="str">
        <f t="shared" si="7"/>
        <v/>
      </c>
      <c r="AP57" s="405" t="str">
        <f t="shared" si="8"/>
        <v/>
      </c>
      <c r="AQ57" s="117"/>
      <c r="AR57" s="118"/>
      <c r="AS57" s="120"/>
      <c r="AT57" s="120"/>
      <c r="AY57" s="30" t="str">
        <f>IFERROR(INDEX('G-7 WaterC'' Data'!$AZ$3:$AZ$7,MATCH(N57,'G-7 WaterC'' Data'!$AY$3:$AY$7,0)),"")</f>
        <v/>
      </c>
    </row>
    <row r="58" spans="2:51" ht="15">
      <c r="B58" s="392" t="str">
        <f>'F-1 Off-Site WaterC'' Baseline'!AR56</f>
        <v/>
      </c>
      <c r="C58" s="382" t="str">
        <f>IF(B58="","",VLOOKUP($B58,'F-1 Off-Site WaterC'' Baseline'!$C$9:$R$257,2,FALSE))</f>
        <v/>
      </c>
      <c r="D58" s="382" t="str">
        <f>IF(C58="","",VLOOKUP($B58,'F-1 Off-Site WaterC'' Baseline'!$C$9:$R$257,3,FALSE))</f>
        <v/>
      </c>
      <c r="E58" s="382" t="str">
        <f>IF(D58="","",VLOOKUP($B58,'F-1 Off-Site WaterC'' Baseline'!$C$9:$R$257,4,FALSE))</f>
        <v/>
      </c>
      <c r="F58" s="382" t="str">
        <f>IF(E58="","",VLOOKUP($B58,'F-1 Off-Site WaterC'' Baseline'!$C$9:$R$257,5,FALSE))</f>
        <v/>
      </c>
      <c r="G58" s="382" t="str">
        <f>IF(F58="","",VLOOKUP($B58,'F-1 Off-Site WaterC'' Baseline'!$C$9:$R$257,6,FALSE))</f>
        <v/>
      </c>
      <c r="H58" s="382" t="str">
        <f>IF(G58="","",VLOOKUP($B58,'F-1 Off-Site WaterC'' Baseline'!$C$9:$R$257,7,FALSE))</f>
        <v/>
      </c>
      <c r="I58" s="382" t="str">
        <f>IF(H58="","",VLOOKUP($B58,'F-1 Off-Site WaterC'' Baseline'!$C$9:$R$257,8,FALSE))</f>
        <v/>
      </c>
      <c r="J58" s="382" t="str">
        <f>IF(I58="","",VLOOKUP($B58,'F-1 Off-Site WaterC'' Baseline'!$C$9:$R$257,9,FALSE))</f>
        <v/>
      </c>
      <c r="K58" s="382" t="str">
        <f>IF(J58="","",VLOOKUP($B58,'F-1 Off-Site WaterC'' Baseline'!$C$9:$R$257,10,FALSE))</f>
        <v/>
      </c>
      <c r="L58" s="382" t="str">
        <f>IF(B58="","",VLOOKUP($B58,'F-1 Off-Site WaterC'' Baseline'!$C$9:$R$257,15,FALSE))</f>
        <v/>
      </c>
      <c r="M58" s="386" t="str">
        <f>IF(L58="","",VLOOKUP($B58,'F-1 Off-Site WaterC'' Baseline'!$C$9:$R$257,16,FALSE))</f>
        <v/>
      </c>
      <c r="N58" s="316" t="str">
        <f t="shared" si="0"/>
        <v/>
      </c>
      <c r="O58" s="362" t="str">
        <f t="shared" si="3"/>
        <v/>
      </c>
      <c r="P58" s="363" t="str">
        <f>IF(C58="","",IF(AND(LEFT(C58,55)&lt;&gt;LEFT(N58,55),O58="High - High"),"Error - Not like for like ▲",IF(H58&gt;U58,"Error - Can not reduce condition ▲",IF(AND(F58=S58,H58=U58,AJ58='F-1 Off-Site WaterC'' Baseline'!N56,'F-1 Off-Site WaterC'' Baseline'!P56=AL58),"Error - No enhancement ▲",IF(AND(C58&lt;&gt;N58,F58&lt;S58),"Lower Distinctiveness Habitat"&amp;" - "&amp;T58,G58&amp;" - "&amp;T58)))))</f>
        <v/>
      </c>
      <c r="Q58" s="368" t="str">
        <f>IF(N58="","",VLOOKUP(B58,'F-1 Off-Site WaterC'' Baseline'!$C$10:$AE$257,22,FALSE))</f>
        <v/>
      </c>
      <c r="R58" s="362" t="str">
        <f>IF(N58="","",VLOOKUP(N58,'G-7 WaterC'' Data'!$B$2:$G$8,2,FALSE))</f>
        <v/>
      </c>
      <c r="S58" s="363" t="str">
        <f>IFERROR(VLOOKUP(R58,'G-7 WaterC'' Data'!$C$4:$D$8,2,FALSE),"")</f>
        <v/>
      </c>
      <c r="T58" s="114"/>
      <c r="U58" s="363" t="str">
        <f>IFERROR(INDEX('G-7 WaterC'' Data'!$H$4:$L$8,MATCH(N58,'G-7 WaterC'' Data'!$B$4:$B$8,0),MATCH(T58,'G-7 WaterC'' Data'!$H$3:$L$3,0)),"")</f>
        <v/>
      </c>
      <c r="V58" s="122"/>
      <c r="W58" s="382" t="str">
        <f>IF(V58="","",IF(VLOOKUP(V58,'G-7 WaterC'' Data'!$AK$4:$AM$6,2,FALSE)=0,"Spatial Data Missing ⚠",VLOOKUP(V58,'G-7 WaterC'' Data'!$AK$4:$AM$6,2,FALSE)))</f>
        <v/>
      </c>
      <c r="X58" s="386" t="str">
        <f>IF(V58="","",IF(VLOOKUP(V58,'G-7 WaterC'' Data'!$AK$4:$AM$6,3,FALSE)=0,"Spatial Data Missing ⚠",VLOOKUP(V58,'G-7 WaterC'' Data'!$AK$4:$AM$6,3,FALSE)))</f>
        <v/>
      </c>
      <c r="Y58" s="398" t="str">
        <f>IFERROR(IF(OR(LEFT(P58,5)="Error",LEFT(O58,5)="Error"),"Check Data ⚠",IF(F58&lt;S58,'G-7 WaterC'' Data'!$R$3,INDEX('G-7 WaterC'' Data'!$U$5:$Y$9,MATCH(G58,'G-7 WaterC'' Data'!$T$5:$T$9,0),MATCH(T58,'G-7 WaterC'' Data'!$U$4:$Y$4,0)))),"")</f>
        <v/>
      </c>
      <c r="Z58" s="165"/>
      <c r="AA58" s="165"/>
      <c r="AB58" s="395" t="str">
        <f t="shared" si="4"/>
        <v/>
      </c>
      <c r="AC58" s="383" t="str">
        <f t="shared" si="5"/>
        <v/>
      </c>
      <c r="AD58" s="422" t="str">
        <f>IFERROR(IF(AC58="Check Data ⚠","Check Data ⚠",VLOOKUP(AC58,'G-4 Temporal multipliers'!$A$4:$C$37,3,FALSE)),"")</f>
        <v/>
      </c>
      <c r="AE58" s="398" t="str">
        <f>IF(N58="","",VLOOKUP(N58,'G-7 WaterC'' Data'!$B$4:$G$8,5,FALSE))</f>
        <v/>
      </c>
      <c r="AF58" s="382" t="str">
        <f t="shared" si="1"/>
        <v/>
      </c>
      <c r="AG58" s="382" t="str">
        <f t="shared" si="6"/>
        <v/>
      </c>
      <c r="AH58" s="386" t="str">
        <f t="shared" si="2"/>
        <v/>
      </c>
      <c r="AI58" s="122"/>
      <c r="AJ58" s="363" t="str">
        <f>IF(AI58="","",IF(VLOOKUP(AI58,'G-7 WaterC'' Data'!$AA$4:$AB$7,2,FALSE)=0,"Spatial Data Missing ⚠",VLOOKUP(AI58,'G-7 WaterC'' Data'!$AA$4:$AB$7,2,FALSE)))</f>
        <v/>
      </c>
      <c r="AK58" s="123"/>
      <c r="AL58" s="397" t="str">
        <f>IF(AK58="","",IF(VLOOKUP(AK58,'G-7 WaterC'' Data'!$AD$4:$AE$14,2,FALSE)=0,"Spatial Data Missing ⚠",VLOOKUP(AK58,'G-7 WaterC'' Data'!$AD$4:$AE$14,2,FALSE)))</f>
        <v/>
      </c>
      <c r="AM58" s="122"/>
      <c r="AN58" s="363" t="str">
        <f>IF(AM58="","",IF(VLOOKUP(AM58,'G-7 WaterC'' Data'!$AO$4:$BO$7,2,FALSE)=0,"Spatial Data Missing ⚠",VLOOKUP(AM58,'G-7 WaterC'' Data'!$AO$4:$BO$7,2,FALSE)))</f>
        <v/>
      </c>
      <c r="AO58" s="405" t="str">
        <f t="shared" si="7"/>
        <v/>
      </c>
      <c r="AP58" s="405" t="str">
        <f t="shared" si="8"/>
        <v/>
      </c>
      <c r="AQ58" s="117"/>
      <c r="AR58" s="118"/>
      <c r="AS58" s="120"/>
      <c r="AT58" s="120"/>
      <c r="AY58" s="30" t="str">
        <f>IFERROR(INDEX('G-7 WaterC'' Data'!$AZ$3:$AZ$7,MATCH(N58,'G-7 WaterC'' Data'!$AY$3:$AY$7,0)),"")</f>
        <v/>
      </c>
    </row>
    <row r="59" spans="2:51" ht="15">
      <c r="B59" s="392" t="str">
        <f>'F-1 Off-Site WaterC'' Baseline'!AR57</f>
        <v/>
      </c>
      <c r="C59" s="382" t="str">
        <f>IF(B59="","",VLOOKUP($B59,'F-1 Off-Site WaterC'' Baseline'!$C$9:$R$257,2,FALSE))</f>
        <v/>
      </c>
      <c r="D59" s="382" t="str">
        <f>IF(C59="","",VLOOKUP($B59,'F-1 Off-Site WaterC'' Baseline'!$C$9:$R$257,3,FALSE))</f>
        <v/>
      </c>
      <c r="E59" s="382" t="str">
        <f>IF(D59="","",VLOOKUP($B59,'F-1 Off-Site WaterC'' Baseline'!$C$9:$R$257,4,FALSE))</f>
        <v/>
      </c>
      <c r="F59" s="382" t="str">
        <f>IF(E59="","",VLOOKUP($B59,'F-1 Off-Site WaterC'' Baseline'!$C$9:$R$257,5,FALSE))</f>
        <v/>
      </c>
      <c r="G59" s="382" t="str">
        <f>IF(F59="","",VLOOKUP($B59,'F-1 Off-Site WaterC'' Baseline'!$C$9:$R$257,6,FALSE))</f>
        <v/>
      </c>
      <c r="H59" s="382" t="str">
        <f>IF(G59="","",VLOOKUP($B59,'F-1 Off-Site WaterC'' Baseline'!$C$9:$R$257,7,FALSE))</f>
        <v/>
      </c>
      <c r="I59" s="382" t="str">
        <f>IF(H59="","",VLOOKUP($B59,'F-1 Off-Site WaterC'' Baseline'!$C$9:$R$257,8,FALSE))</f>
        <v/>
      </c>
      <c r="J59" s="382" t="str">
        <f>IF(I59="","",VLOOKUP($B59,'F-1 Off-Site WaterC'' Baseline'!$C$9:$R$257,9,FALSE))</f>
        <v/>
      </c>
      <c r="K59" s="382" t="str">
        <f>IF(J59="","",VLOOKUP($B59,'F-1 Off-Site WaterC'' Baseline'!$C$9:$R$257,10,FALSE))</f>
        <v/>
      </c>
      <c r="L59" s="382" t="str">
        <f>IF(B59="","",VLOOKUP($B59,'F-1 Off-Site WaterC'' Baseline'!$C$9:$R$257,15,FALSE))</f>
        <v/>
      </c>
      <c r="M59" s="386" t="str">
        <f>IF(L59="","",VLOOKUP($B59,'F-1 Off-Site WaterC'' Baseline'!$C$9:$R$257,16,FALSE))</f>
        <v/>
      </c>
      <c r="N59" s="316" t="str">
        <f t="shared" si="0"/>
        <v/>
      </c>
      <c r="O59" s="362" t="str">
        <f t="shared" si="3"/>
        <v/>
      </c>
      <c r="P59" s="363" t="str">
        <f>IF(C59="","",IF(AND(LEFT(C59,55)&lt;&gt;LEFT(N59,55),O59="High - High"),"Error - Not like for like ▲",IF(H59&gt;U59,"Error - Can not reduce condition ▲",IF(AND(F59=S59,H59=U59,AJ59='F-1 Off-Site WaterC'' Baseline'!N57,'F-1 Off-Site WaterC'' Baseline'!P57=AL59),"Error - No enhancement ▲",IF(AND(C59&lt;&gt;N59,F59&lt;S59),"Lower Distinctiveness Habitat"&amp;" - "&amp;T59,G59&amp;" - "&amp;T59)))))</f>
        <v/>
      </c>
      <c r="Q59" s="368" t="str">
        <f>IF(N59="","",VLOOKUP(B59,'F-1 Off-Site WaterC'' Baseline'!$C$10:$AE$257,22,FALSE))</f>
        <v/>
      </c>
      <c r="R59" s="362" t="str">
        <f>IF(N59="","",VLOOKUP(N59,'G-7 WaterC'' Data'!$B$2:$G$8,2,FALSE))</f>
        <v/>
      </c>
      <c r="S59" s="363" t="str">
        <f>IFERROR(VLOOKUP(R59,'G-7 WaterC'' Data'!$C$4:$D$8,2,FALSE),"")</f>
        <v/>
      </c>
      <c r="T59" s="114"/>
      <c r="U59" s="363" t="str">
        <f>IFERROR(INDEX('G-7 WaterC'' Data'!$H$4:$L$8,MATCH(N59,'G-7 WaterC'' Data'!$B$4:$B$8,0),MATCH(T59,'G-7 WaterC'' Data'!$H$3:$L$3,0)),"")</f>
        <v/>
      </c>
      <c r="V59" s="122"/>
      <c r="W59" s="382" t="str">
        <f>IF(V59="","",IF(VLOOKUP(V59,'G-7 WaterC'' Data'!$AK$4:$AM$6,2,FALSE)=0,"Spatial Data Missing ⚠",VLOOKUP(V59,'G-7 WaterC'' Data'!$AK$4:$AM$6,2,FALSE)))</f>
        <v/>
      </c>
      <c r="X59" s="386" t="str">
        <f>IF(V59="","",IF(VLOOKUP(V59,'G-7 WaterC'' Data'!$AK$4:$AM$6,3,FALSE)=0,"Spatial Data Missing ⚠",VLOOKUP(V59,'G-7 WaterC'' Data'!$AK$4:$AM$6,3,FALSE)))</f>
        <v/>
      </c>
      <c r="Y59" s="398" t="str">
        <f>IFERROR(IF(OR(LEFT(P59,5)="Error",LEFT(O59,5)="Error"),"Check Data ⚠",IF(F59&lt;S59,'G-7 WaterC'' Data'!$R$3,INDEX('G-7 WaterC'' Data'!$U$5:$Y$9,MATCH(G59,'G-7 WaterC'' Data'!$T$5:$T$9,0),MATCH(T59,'G-7 WaterC'' Data'!$U$4:$Y$4,0)))),"")</f>
        <v/>
      </c>
      <c r="Z59" s="165"/>
      <c r="AA59" s="165"/>
      <c r="AB59" s="395" t="str">
        <f t="shared" si="4"/>
        <v/>
      </c>
      <c r="AC59" s="383" t="str">
        <f t="shared" si="5"/>
        <v/>
      </c>
      <c r="AD59" s="422" t="str">
        <f>IFERROR(IF(AC59="Check Data ⚠","Check Data ⚠",VLOOKUP(AC59,'G-4 Temporal multipliers'!$A$4:$C$37,3,FALSE)),"")</f>
        <v/>
      </c>
      <c r="AE59" s="398" t="str">
        <f>IF(N59="","",VLOOKUP(N59,'G-7 WaterC'' Data'!$B$4:$G$8,5,FALSE))</f>
        <v/>
      </c>
      <c r="AF59" s="382" t="str">
        <f t="shared" si="1"/>
        <v/>
      </c>
      <c r="AG59" s="382" t="str">
        <f t="shared" si="6"/>
        <v/>
      </c>
      <c r="AH59" s="386" t="str">
        <f t="shared" si="2"/>
        <v/>
      </c>
      <c r="AI59" s="122"/>
      <c r="AJ59" s="363" t="str">
        <f>IF(AI59="","",IF(VLOOKUP(AI59,'G-7 WaterC'' Data'!$AA$4:$AB$7,2,FALSE)=0,"Spatial Data Missing ⚠",VLOOKUP(AI59,'G-7 WaterC'' Data'!$AA$4:$AB$7,2,FALSE)))</f>
        <v/>
      </c>
      <c r="AK59" s="123"/>
      <c r="AL59" s="397" t="str">
        <f>IF(AK59="","",IF(VLOOKUP(AK59,'G-7 WaterC'' Data'!$AD$4:$AE$14,2,FALSE)=0,"Spatial Data Missing ⚠",VLOOKUP(AK59,'G-7 WaterC'' Data'!$AD$4:$AE$14,2,FALSE)))</f>
        <v/>
      </c>
      <c r="AM59" s="122"/>
      <c r="AN59" s="363" t="str">
        <f>IF(AM59="","",IF(VLOOKUP(AM59,'G-7 WaterC'' Data'!$AO$4:$BO$7,2,FALSE)=0,"Spatial Data Missing ⚠",VLOOKUP(AM59,'G-7 WaterC'' Data'!$AO$4:$BO$7,2,FALSE)))</f>
        <v/>
      </c>
      <c r="AO59" s="405" t="str">
        <f t="shared" si="7"/>
        <v/>
      </c>
      <c r="AP59" s="405" t="str">
        <f t="shared" si="8"/>
        <v/>
      </c>
      <c r="AQ59" s="117"/>
      <c r="AR59" s="118"/>
      <c r="AS59" s="120"/>
      <c r="AT59" s="120"/>
      <c r="AY59" s="30" t="str">
        <f>IFERROR(INDEX('G-7 WaterC'' Data'!$AZ$3:$AZ$7,MATCH(N59,'G-7 WaterC'' Data'!$AY$3:$AY$7,0)),"")</f>
        <v/>
      </c>
    </row>
    <row r="60" spans="2:51" ht="15">
      <c r="B60" s="392" t="str">
        <f>'F-1 Off-Site WaterC'' Baseline'!AR58</f>
        <v/>
      </c>
      <c r="C60" s="382" t="str">
        <f>IF(B60="","",VLOOKUP($B60,'F-1 Off-Site WaterC'' Baseline'!$C$9:$R$257,2,FALSE))</f>
        <v/>
      </c>
      <c r="D60" s="382" t="str">
        <f>IF(C60="","",VLOOKUP($B60,'F-1 Off-Site WaterC'' Baseline'!$C$9:$R$257,3,FALSE))</f>
        <v/>
      </c>
      <c r="E60" s="382" t="str">
        <f>IF(D60="","",VLOOKUP($B60,'F-1 Off-Site WaterC'' Baseline'!$C$9:$R$257,4,FALSE))</f>
        <v/>
      </c>
      <c r="F60" s="382" t="str">
        <f>IF(E60="","",VLOOKUP($B60,'F-1 Off-Site WaterC'' Baseline'!$C$9:$R$257,5,FALSE))</f>
        <v/>
      </c>
      <c r="G60" s="382" t="str">
        <f>IF(F60="","",VLOOKUP($B60,'F-1 Off-Site WaterC'' Baseline'!$C$9:$R$257,6,FALSE))</f>
        <v/>
      </c>
      <c r="H60" s="382" t="str">
        <f>IF(G60="","",VLOOKUP($B60,'F-1 Off-Site WaterC'' Baseline'!$C$9:$R$257,7,FALSE))</f>
        <v/>
      </c>
      <c r="I60" s="382" t="str">
        <f>IF(H60="","",VLOOKUP($B60,'F-1 Off-Site WaterC'' Baseline'!$C$9:$R$257,8,FALSE))</f>
        <v/>
      </c>
      <c r="J60" s="382" t="str">
        <f>IF(I60="","",VLOOKUP($B60,'F-1 Off-Site WaterC'' Baseline'!$C$9:$R$257,9,FALSE))</f>
        <v/>
      </c>
      <c r="K60" s="382" t="str">
        <f>IF(J60="","",VLOOKUP($B60,'F-1 Off-Site WaterC'' Baseline'!$C$9:$R$257,10,FALSE))</f>
        <v/>
      </c>
      <c r="L60" s="382" t="str">
        <f>IF(B60="","",VLOOKUP($B60,'F-1 Off-Site WaterC'' Baseline'!$C$9:$R$257,15,FALSE))</f>
        <v/>
      </c>
      <c r="M60" s="386" t="str">
        <f>IF(L60="","",VLOOKUP($B60,'F-1 Off-Site WaterC'' Baseline'!$C$9:$R$257,16,FALSE))</f>
        <v/>
      </c>
      <c r="N60" s="316" t="str">
        <f t="shared" si="0"/>
        <v/>
      </c>
      <c r="O60" s="362" t="str">
        <f t="shared" si="3"/>
        <v/>
      </c>
      <c r="P60" s="363" t="str">
        <f>IF(C60="","",IF(AND(LEFT(C60,55)&lt;&gt;LEFT(N60,55),O60="High - High"),"Error - Not like for like ▲",IF(H60&gt;U60,"Error - Can not reduce condition ▲",IF(AND(F60=S60,H60=U60,AJ60='F-1 Off-Site WaterC'' Baseline'!N58,'F-1 Off-Site WaterC'' Baseline'!P58=AL60),"Error - No enhancement ▲",IF(AND(C60&lt;&gt;N60,F60&lt;S60),"Lower Distinctiveness Habitat"&amp;" - "&amp;T60,G60&amp;" - "&amp;T60)))))</f>
        <v/>
      </c>
      <c r="Q60" s="368" t="str">
        <f>IF(N60="","",VLOOKUP(B60,'F-1 Off-Site WaterC'' Baseline'!$C$10:$AE$257,22,FALSE))</f>
        <v/>
      </c>
      <c r="R60" s="362" t="str">
        <f>IF(N60="","",VLOOKUP(N60,'G-7 WaterC'' Data'!$B$2:$G$8,2,FALSE))</f>
        <v/>
      </c>
      <c r="S60" s="363" t="str">
        <f>IFERROR(VLOOKUP(R60,'G-7 WaterC'' Data'!$C$4:$D$8,2,FALSE),"")</f>
        <v/>
      </c>
      <c r="T60" s="114"/>
      <c r="U60" s="363" t="str">
        <f>IFERROR(INDEX('G-7 WaterC'' Data'!$H$4:$L$8,MATCH(N60,'G-7 WaterC'' Data'!$B$4:$B$8,0),MATCH(T60,'G-7 WaterC'' Data'!$H$3:$L$3,0)),"")</f>
        <v/>
      </c>
      <c r="V60" s="122"/>
      <c r="W60" s="382" t="str">
        <f>IF(V60="","",IF(VLOOKUP(V60,'G-7 WaterC'' Data'!$AK$4:$AM$6,2,FALSE)=0,"Spatial Data Missing ⚠",VLOOKUP(V60,'G-7 WaterC'' Data'!$AK$4:$AM$6,2,FALSE)))</f>
        <v/>
      </c>
      <c r="X60" s="386" t="str">
        <f>IF(V60="","",IF(VLOOKUP(V60,'G-7 WaterC'' Data'!$AK$4:$AM$6,3,FALSE)=0,"Spatial Data Missing ⚠",VLOOKUP(V60,'G-7 WaterC'' Data'!$AK$4:$AM$6,3,FALSE)))</f>
        <v/>
      </c>
      <c r="Y60" s="398" t="str">
        <f>IFERROR(IF(OR(LEFT(P60,5)="Error",LEFT(O60,5)="Error"),"Check Data ⚠",IF(F60&lt;S60,'G-7 WaterC'' Data'!$R$3,INDEX('G-7 WaterC'' Data'!$U$5:$Y$9,MATCH(G60,'G-7 WaterC'' Data'!$T$5:$T$9,0),MATCH(T60,'G-7 WaterC'' Data'!$U$4:$Y$4,0)))),"")</f>
        <v/>
      </c>
      <c r="Z60" s="165"/>
      <c r="AA60" s="165"/>
      <c r="AB60" s="395" t="str">
        <f t="shared" si="4"/>
        <v/>
      </c>
      <c r="AC60" s="383" t="str">
        <f t="shared" si="5"/>
        <v/>
      </c>
      <c r="AD60" s="422" t="str">
        <f>IFERROR(IF(AC60="Check Data ⚠","Check Data ⚠",VLOOKUP(AC60,'G-4 Temporal multipliers'!$A$4:$C$37,3,FALSE)),"")</f>
        <v/>
      </c>
      <c r="AE60" s="398" t="str">
        <f>IF(N60="","",VLOOKUP(N60,'G-7 WaterC'' Data'!$B$4:$G$8,5,FALSE))</f>
        <v/>
      </c>
      <c r="AF60" s="382" t="str">
        <f t="shared" si="1"/>
        <v/>
      </c>
      <c r="AG60" s="382" t="str">
        <f t="shared" si="6"/>
        <v/>
      </c>
      <c r="AH60" s="386" t="str">
        <f t="shared" si="2"/>
        <v/>
      </c>
      <c r="AI60" s="122"/>
      <c r="AJ60" s="363" t="str">
        <f>IF(AI60="","",IF(VLOOKUP(AI60,'G-7 WaterC'' Data'!$AA$4:$AB$7,2,FALSE)=0,"Spatial Data Missing ⚠",VLOOKUP(AI60,'G-7 WaterC'' Data'!$AA$4:$AB$7,2,FALSE)))</f>
        <v/>
      </c>
      <c r="AK60" s="123"/>
      <c r="AL60" s="397" t="str">
        <f>IF(AK60="","",IF(VLOOKUP(AK60,'G-7 WaterC'' Data'!$AD$4:$AE$14,2,FALSE)=0,"Spatial Data Missing ⚠",VLOOKUP(AK60,'G-7 WaterC'' Data'!$AD$4:$AE$14,2,FALSE)))</f>
        <v/>
      </c>
      <c r="AM60" s="122"/>
      <c r="AN60" s="363" t="str">
        <f>IF(AM60="","",IF(VLOOKUP(AM60,'G-7 WaterC'' Data'!$AO$4:$BO$7,2,FALSE)=0,"Spatial Data Missing ⚠",VLOOKUP(AM60,'G-7 WaterC'' Data'!$AO$4:$BO$7,2,FALSE)))</f>
        <v/>
      </c>
      <c r="AO60" s="405" t="str">
        <f t="shared" si="7"/>
        <v/>
      </c>
      <c r="AP60" s="405" t="str">
        <f t="shared" si="8"/>
        <v/>
      </c>
      <c r="AQ60" s="117"/>
      <c r="AR60" s="118"/>
      <c r="AS60" s="120"/>
      <c r="AT60" s="120"/>
      <c r="AY60" s="30" t="str">
        <f>IFERROR(INDEX('G-7 WaterC'' Data'!$AZ$3:$AZ$7,MATCH(N60,'G-7 WaterC'' Data'!$AY$3:$AY$7,0)),"")</f>
        <v/>
      </c>
    </row>
    <row r="61" spans="2:51" ht="15">
      <c r="B61" s="392" t="str">
        <f>'F-1 Off-Site WaterC'' Baseline'!AR59</f>
        <v/>
      </c>
      <c r="C61" s="382" t="str">
        <f>IF(B61="","",VLOOKUP($B61,'F-1 Off-Site WaterC'' Baseline'!$C$9:$R$257,2,FALSE))</f>
        <v/>
      </c>
      <c r="D61" s="382" t="str">
        <f>IF(C61="","",VLOOKUP($B61,'F-1 Off-Site WaterC'' Baseline'!$C$9:$R$257,3,FALSE))</f>
        <v/>
      </c>
      <c r="E61" s="382" t="str">
        <f>IF(D61="","",VLOOKUP($B61,'F-1 Off-Site WaterC'' Baseline'!$C$9:$R$257,4,FALSE))</f>
        <v/>
      </c>
      <c r="F61" s="382" t="str">
        <f>IF(E61="","",VLOOKUP($B61,'F-1 Off-Site WaterC'' Baseline'!$C$9:$R$257,5,FALSE))</f>
        <v/>
      </c>
      <c r="G61" s="382" t="str">
        <f>IF(F61="","",VLOOKUP($B61,'F-1 Off-Site WaterC'' Baseline'!$C$9:$R$257,6,FALSE))</f>
        <v/>
      </c>
      <c r="H61" s="382" t="str">
        <f>IF(G61="","",VLOOKUP($B61,'F-1 Off-Site WaterC'' Baseline'!$C$9:$R$257,7,FALSE))</f>
        <v/>
      </c>
      <c r="I61" s="382" t="str">
        <f>IF(H61="","",VLOOKUP($B61,'F-1 Off-Site WaterC'' Baseline'!$C$9:$R$257,8,FALSE))</f>
        <v/>
      </c>
      <c r="J61" s="382" t="str">
        <f>IF(I61="","",VLOOKUP($B61,'F-1 Off-Site WaterC'' Baseline'!$C$9:$R$257,9,FALSE))</f>
        <v/>
      </c>
      <c r="K61" s="382" t="str">
        <f>IF(J61="","",VLOOKUP($B61,'F-1 Off-Site WaterC'' Baseline'!$C$9:$R$257,10,FALSE))</f>
        <v/>
      </c>
      <c r="L61" s="382" t="str">
        <f>IF(B61="","",VLOOKUP($B61,'F-1 Off-Site WaterC'' Baseline'!$C$9:$R$257,15,FALSE))</f>
        <v/>
      </c>
      <c r="M61" s="386" t="str">
        <f>IF(L61="","",VLOOKUP($B61,'F-1 Off-Site WaterC'' Baseline'!$C$9:$R$257,16,FALSE))</f>
        <v/>
      </c>
      <c r="N61" s="316" t="str">
        <f t="shared" si="0"/>
        <v/>
      </c>
      <c r="O61" s="362" t="str">
        <f t="shared" si="3"/>
        <v/>
      </c>
      <c r="P61" s="363" t="str">
        <f>IF(C61="","",IF(AND(LEFT(C61,55)&lt;&gt;LEFT(N61,55),O61="High - High"),"Error - Not like for like ▲",IF(H61&gt;U61,"Error - Can not reduce condition ▲",IF(AND(F61=S61,H61=U61,AJ61='F-1 Off-Site WaterC'' Baseline'!N59,'F-1 Off-Site WaterC'' Baseline'!P59=AL61),"Error - No enhancement ▲",IF(AND(C61&lt;&gt;N61,F61&lt;S61),"Lower Distinctiveness Habitat"&amp;" - "&amp;T61,G61&amp;" - "&amp;T61)))))</f>
        <v/>
      </c>
      <c r="Q61" s="368" t="str">
        <f>IF(N61="","",VLOOKUP(B61,'F-1 Off-Site WaterC'' Baseline'!$C$10:$AE$257,22,FALSE))</f>
        <v/>
      </c>
      <c r="R61" s="362" t="str">
        <f>IF(N61="","",VLOOKUP(N61,'G-7 WaterC'' Data'!$B$2:$G$8,2,FALSE))</f>
        <v/>
      </c>
      <c r="S61" s="363" t="str">
        <f>IFERROR(VLOOKUP(R61,'G-7 WaterC'' Data'!$C$4:$D$8,2,FALSE),"")</f>
        <v/>
      </c>
      <c r="T61" s="114"/>
      <c r="U61" s="363" t="str">
        <f>IFERROR(INDEX('G-7 WaterC'' Data'!$H$4:$L$8,MATCH(N61,'G-7 WaterC'' Data'!$B$4:$B$8,0),MATCH(T61,'G-7 WaterC'' Data'!$H$3:$L$3,0)),"")</f>
        <v/>
      </c>
      <c r="V61" s="122"/>
      <c r="W61" s="382" t="str">
        <f>IF(V61="","",IF(VLOOKUP(V61,'G-7 WaterC'' Data'!$AK$4:$AM$6,2,FALSE)=0,"Spatial Data Missing ⚠",VLOOKUP(V61,'G-7 WaterC'' Data'!$AK$4:$AM$6,2,FALSE)))</f>
        <v/>
      </c>
      <c r="X61" s="386" t="str">
        <f>IF(V61="","",IF(VLOOKUP(V61,'G-7 WaterC'' Data'!$AK$4:$AM$6,3,FALSE)=0,"Spatial Data Missing ⚠",VLOOKUP(V61,'G-7 WaterC'' Data'!$AK$4:$AM$6,3,FALSE)))</f>
        <v/>
      </c>
      <c r="Y61" s="398" t="str">
        <f>IFERROR(IF(OR(LEFT(P61,5)="Error",LEFT(O61,5)="Error"),"Check Data ⚠",IF(F61&lt;S61,'G-7 WaterC'' Data'!$R$3,INDEX('G-7 WaterC'' Data'!$U$5:$Y$9,MATCH(G61,'G-7 WaterC'' Data'!$T$5:$T$9,0),MATCH(T61,'G-7 WaterC'' Data'!$U$4:$Y$4,0)))),"")</f>
        <v/>
      </c>
      <c r="Z61" s="165"/>
      <c r="AA61" s="165"/>
      <c r="AB61" s="395" t="str">
        <f t="shared" si="4"/>
        <v/>
      </c>
      <c r="AC61" s="383" t="str">
        <f t="shared" si="5"/>
        <v/>
      </c>
      <c r="AD61" s="422" t="str">
        <f>IFERROR(IF(AC61="Check Data ⚠","Check Data ⚠",VLOOKUP(AC61,'G-4 Temporal multipliers'!$A$4:$C$37,3,FALSE)),"")</f>
        <v/>
      </c>
      <c r="AE61" s="398" t="str">
        <f>IF(N61="","",VLOOKUP(N61,'G-7 WaterC'' Data'!$B$4:$G$8,5,FALSE))</f>
        <v/>
      </c>
      <c r="AF61" s="382" t="str">
        <f t="shared" si="1"/>
        <v/>
      </c>
      <c r="AG61" s="382" t="str">
        <f t="shared" si="6"/>
        <v/>
      </c>
      <c r="AH61" s="386" t="str">
        <f t="shared" si="2"/>
        <v/>
      </c>
      <c r="AI61" s="122"/>
      <c r="AJ61" s="363" t="str">
        <f>IF(AI61="","",IF(VLOOKUP(AI61,'G-7 WaterC'' Data'!$AA$4:$AB$7,2,FALSE)=0,"Spatial Data Missing ⚠",VLOOKUP(AI61,'G-7 WaterC'' Data'!$AA$4:$AB$7,2,FALSE)))</f>
        <v/>
      </c>
      <c r="AK61" s="123"/>
      <c r="AL61" s="397" t="str">
        <f>IF(AK61="","",IF(VLOOKUP(AK61,'G-7 WaterC'' Data'!$AD$4:$AE$14,2,FALSE)=0,"Spatial Data Missing ⚠",VLOOKUP(AK61,'G-7 WaterC'' Data'!$AD$4:$AE$14,2,FALSE)))</f>
        <v/>
      </c>
      <c r="AM61" s="122"/>
      <c r="AN61" s="363" t="str">
        <f>IF(AM61="","",IF(VLOOKUP(AM61,'G-7 WaterC'' Data'!$AO$4:$BO$7,2,FALSE)=0,"Spatial Data Missing ⚠",VLOOKUP(AM61,'G-7 WaterC'' Data'!$AO$4:$BO$7,2,FALSE)))</f>
        <v/>
      </c>
      <c r="AO61" s="405" t="str">
        <f t="shared" si="7"/>
        <v/>
      </c>
      <c r="AP61" s="405" t="str">
        <f t="shared" si="8"/>
        <v/>
      </c>
      <c r="AQ61" s="117"/>
      <c r="AR61" s="118"/>
      <c r="AS61" s="120"/>
      <c r="AT61" s="120"/>
      <c r="AY61" s="30" t="str">
        <f>IFERROR(INDEX('G-7 WaterC'' Data'!$AZ$3:$AZ$7,MATCH(N61,'G-7 WaterC'' Data'!$AY$3:$AY$7,0)),"")</f>
        <v/>
      </c>
    </row>
    <row r="62" spans="2:51" ht="15">
      <c r="B62" s="392" t="str">
        <f>'F-1 Off-Site WaterC'' Baseline'!AR60</f>
        <v/>
      </c>
      <c r="C62" s="382" t="str">
        <f>IF(B62="","",VLOOKUP($B62,'F-1 Off-Site WaterC'' Baseline'!$C$9:$R$257,2,FALSE))</f>
        <v/>
      </c>
      <c r="D62" s="382" t="str">
        <f>IF(C62="","",VLOOKUP($B62,'F-1 Off-Site WaterC'' Baseline'!$C$9:$R$257,3,FALSE))</f>
        <v/>
      </c>
      <c r="E62" s="382" t="str">
        <f>IF(D62="","",VLOOKUP($B62,'F-1 Off-Site WaterC'' Baseline'!$C$9:$R$257,4,FALSE))</f>
        <v/>
      </c>
      <c r="F62" s="382" t="str">
        <f>IF(E62="","",VLOOKUP($B62,'F-1 Off-Site WaterC'' Baseline'!$C$9:$R$257,5,FALSE))</f>
        <v/>
      </c>
      <c r="G62" s="382" t="str">
        <f>IF(F62="","",VLOOKUP($B62,'F-1 Off-Site WaterC'' Baseline'!$C$9:$R$257,6,FALSE))</f>
        <v/>
      </c>
      <c r="H62" s="382" t="str">
        <f>IF(G62="","",VLOOKUP($B62,'F-1 Off-Site WaterC'' Baseline'!$C$9:$R$257,7,FALSE))</f>
        <v/>
      </c>
      <c r="I62" s="382" t="str">
        <f>IF(H62="","",VLOOKUP($B62,'F-1 Off-Site WaterC'' Baseline'!$C$9:$R$257,8,FALSE))</f>
        <v/>
      </c>
      <c r="J62" s="382" t="str">
        <f>IF(I62="","",VLOOKUP($B62,'F-1 Off-Site WaterC'' Baseline'!$C$9:$R$257,9,FALSE))</f>
        <v/>
      </c>
      <c r="K62" s="382" t="str">
        <f>IF(J62="","",VLOOKUP($B62,'F-1 Off-Site WaterC'' Baseline'!$C$9:$R$257,10,FALSE))</f>
        <v/>
      </c>
      <c r="L62" s="382" t="str">
        <f>IF(B62="","",VLOOKUP($B62,'F-1 Off-Site WaterC'' Baseline'!$C$9:$R$257,15,FALSE))</f>
        <v/>
      </c>
      <c r="M62" s="386" t="str">
        <f>IF(L62="","",VLOOKUP($B62,'F-1 Off-Site WaterC'' Baseline'!$C$9:$R$257,16,FALSE))</f>
        <v/>
      </c>
      <c r="N62" s="316" t="str">
        <f t="shared" si="0"/>
        <v/>
      </c>
      <c r="O62" s="362" t="str">
        <f t="shared" si="3"/>
        <v/>
      </c>
      <c r="P62" s="363" t="str">
        <f>IF(C62="","",IF(AND(LEFT(C62,55)&lt;&gt;LEFT(N62,55),O62="High - High"),"Error - Not like for like ▲",IF(H62&gt;U62,"Error - Can not reduce condition ▲",IF(AND(F62=S62,H62=U62,AJ62='F-1 Off-Site WaterC'' Baseline'!N60,'F-1 Off-Site WaterC'' Baseline'!P60=AL62),"Error - No enhancement ▲",IF(AND(C62&lt;&gt;N62,F62&lt;S62),"Lower Distinctiveness Habitat"&amp;" - "&amp;T62,G62&amp;" - "&amp;T62)))))</f>
        <v/>
      </c>
      <c r="Q62" s="368" t="str">
        <f>IF(N62="","",VLOOKUP(B62,'F-1 Off-Site WaterC'' Baseline'!$C$10:$AE$257,22,FALSE))</f>
        <v/>
      </c>
      <c r="R62" s="362" t="str">
        <f>IF(N62="","",VLOOKUP(N62,'G-7 WaterC'' Data'!$B$2:$G$8,2,FALSE))</f>
        <v/>
      </c>
      <c r="S62" s="363" t="str">
        <f>IFERROR(VLOOKUP(R62,'G-7 WaterC'' Data'!$C$4:$D$8,2,FALSE),"")</f>
        <v/>
      </c>
      <c r="T62" s="114"/>
      <c r="U62" s="363" t="str">
        <f>IFERROR(INDEX('G-7 WaterC'' Data'!$H$4:$L$8,MATCH(N62,'G-7 WaterC'' Data'!$B$4:$B$8,0),MATCH(T62,'G-7 WaterC'' Data'!$H$3:$L$3,0)),"")</f>
        <v/>
      </c>
      <c r="V62" s="122"/>
      <c r="W62" s="382" t="str">
        <f>IF(V62="","",IF(VLOOKUP(V62,'G-7 WaterC'' Data'!$AK$4:$AM$6,2,FALSE)=0,"Spatial Data Missing ⚠",VLOOKUP(V62,'G-7 WaterC'' Data'!$AK$4:$AM$6,2,FALSE)))</f>
        <v/>
      </c>
      <c r="X62" s="386" t="str">
        <f>IF(V62="","",IF(VLOOKUP(V62,'G-7 WaterC'' Data'!$AK$4:$AM$6,3,FALSE)=0,"Spatial Data Missing ⚠",VLOOKUP(V62,'G-7 WaterC'' Data'!$AK$4:$AM$6,3,FALSE)))</f>
        <v/>
      </c>
      <c r="Y62" s="398" t="str">
        <f>IFERROR(IF(OR(LEFT(P62,5)="Error",LEFT(O62,5)="Error"),"Check Data ⚠",IF(F62&lt;S62,'G-7 WaterC'' Data'!$R$3,INDEX('G-7 WaterC'' Data'!$U$5:$Y$9,MATCH(G62,'G-7 WaterC'' Data'!$T$5:$T$9,0),MATCH(T62,'G-7 WaterC'' Data'!$U$4:$Y$4,0)))),"")</f>
        <v/>
      </c>
      <c r="Z62" s="165"/>
      <c r="AA62" s="165"/>
      <c r="AB62" s="395" t="str">
        <f t="shared" si="4"/>
        <v/>
      </c>
      <c r="AC62" s="383" t="str">
        <f t="shared" si="5"/>
        <v/>
      </c>
      <c r="AD62" s="422" t="str">
        <f>IFERROR(IF(AC62="Check Data ⚠","Check Data ⚠",VLOOKUP(AC62,'G-4 Temporal multipliers'!$A$4:$C$37,3,FALSE)),"")</f>
        <v/>
      </c>
      <c r="AE62" s="398" t="str">
        <f>IF(N62="","",VLOOKUP(N62,'G-7 WaterC'' Data'!$B$4:$G$8,5,FALSE))</f>
        <v/>
      </c>
      <c r="AF62" s="382" t="str">
        <f t="shared" si="1"/>
        <v/>
      </c>
      <c r="AG62" s="382" t="str">
        <f t="shared" si="6"/>
        <v/>
      </c>
      <c r="AH62" s="386" t="str">
        <f t="shared" si="2"/>
        <v/>
      </c>
      <c r="AI62" s="122"/>
      <c r="AJ62" s="363" t="str">
        <f>IF(AI62="","",IF(VLOOKUP(AI62,'G-7 WaterC'' Data'!$AA$4:$AB$7,2,FALSE)=0,"Spatial Data Missing ⚠",VLOOKUP(AI62,'G-7 WaterC'' Data'!$AA$4:$AB$7,2,FALSE)))</f>
        <v/>
      </c>
      <c r="AK62" s="123"/>
      <c r="AL62" s="397" t="str">
        <f>IF(AK62="","",IF(VLOOKUP(AK62,'G-7 WaterC'' Data'!$AD$4:$AE$14,2,FALSE)=0,"Spatial Data Missing ⚠",VLOOKUP(AK62,'G-7 WaterC'' Data'!$AD$4:$AE$14,2,FALSE)))</f>
        <v/>
      </c>
      <c r="AM62" s="122"/>
      <c r="AN62" s="363" t="str">
        <f>IF(AM62="","",IF(VLOOKUP(AM62,'G-7 WaterC'' Data'!$AO$4:$BO$7,2,FALSE)=0,"Spatial Data Missing ⚠",VLOOKUP(AM62,'G-7 WaterC'' Data'!$AO$4:$BO$7,2,FALSE)))</f>
        <v/>
      </c>
      <c r="AO62" s="405" t="str">
        <f t="shared" si="7"/>
        <v/>
      </c>
      <c r="AP62" s="405" t="str">
        <f t="shared" si="8"/>
        <v/>
      </c>
      <c r="AQ62" s="117"/>
      <c r="AR62" s="118"/>
      <c r="AS62" s="120"/>
      <c r="AT62" s="120"/>
      <c r="AY62" s="30" t="str">
        <f>IFERROR(INDEX('G-7 WaterC'' Data'!$AZ$3:$AZ$7,MATCH(N62,'G-7 WaterC'' Data'!$AY$3:$AY$7,0)),"")</f>
        <v/>
      </c>
    </row>
    <row r="63" spans="2:51" ht="15">
      <c r="B63" s="392" t="str">
        <f>'F-1 Off-Site WaterC'' Baseline'!AR61</f>
        <v/>
      </c>
      <c r="C63" s="382" t="str">
        <f>IF(B63="","",VLOOKUP($B63,'F-1 Off-Site WaterC'' Baseline'!$C$9:$R$257,2,FALSE))</f>
        <v/>
      </c>
      <c r="D63" s="382" t="str">
        <f>IF(C63="","",VLOOKUP($B63,'F-1 Off-Site WaterC'' Baseline'!$C$9:$R$257,3,FALSE))</f>
        <v/>
      </c>
      <c r="E63" s="382" t="str">
        <f>IF(D63="","",VLOOKUP($B63,'F-1 Off-Site WaterC'' Baseline'!$C$9:$R$257,4,FALSE))</f>
        <v/>
      </c>
      <c r="F63" s="382" t="str">
        <f>IF(E63="","",VLOOKUP($B63,'F-1 Off-Site WaterC'' Baseline'!$C$9:$R$257,5,FALSE))</f>
        <v/>
      </c>
      <c r="G63" s="382" t="str">
        <f>IF(F63="","",VLOOKUP($B63,'F-1 Off-Site WaterC'' Baseline'!$C$9:$R$257,6,FALSE))</f>
        <v/>
      </c>
      <c r="H63" s="382" t="str">
        <f>IF(G63="","",VLOOKUP($B63,'F-1 Off-Site WaterC'' Baseline'!$C$9:$R$257,7,FALSE))</f>
        <v/>
      </c>
      <c r="I63" s="382" t="str">
        <f>IF(H63="","",VLOOKUP($B63,'F-1 Off-Site WaterC'' Baseline'!$C$9:$R$257,8,FALSE))</f>
        <v/>
      </c>
      <c r="J63" s="382" t="str">
        <f>IF(I63="","",VLOOKUP($B63,'F-1 Off-Site WaterC'' Baseline'!$C$9:$R$257,9,FALSE))</f>
        <v/>
      </c>
      <c r="K63" s="382" t="str">
        <f>IF(J63="","",VLOOKUP($B63,'F-1 Off-Site WaterC'' Baseline'!$C$9:$R$257,10,FALSE))</f>
        <v/>
      </c>
      <c r="L63" s="382" t="str">
        <f>IF(B63="","",VLOOKUP($B63,'F-1 Off-Site WaterC'' Baseline'!$C$9:$R$257,15,FALSE))</f>
        <v/>
      </c>
      <c r="M63" s="386" t="str">
        <f>IF(L63="","",VLOOKUP($B63,'F-1 Off-Site WaterC'' Baseline'!$C$9:$R$257,16,FALSE))</f>
        <v/>
      </c>
      <c r="N63" s="316" t="str">
        <f t="shared" si="0"/>
        <v/>
      </c>
      <c r="O63" s="362" t="str">
        <f t="shared" si="3"/>
        <v/>
      </c>
      <c r="P63" s="363" t="str">
        <f>IF(C63="","",IF(AND(LEFT(C63,55)&lt;&gt;LEFT(N63,55),O63="High - High"),"Error - Not like for like ▲",IF(H63&gt;U63,"Error - Can not reduce condition ▲",IF(AND(F63=S63,H63=U63,AJ63='F-1 Off-Site WaterC'' Baseline'!N61,'F-1 Off-Site WaterC'' Baseline'!P61=AL63),"Error - No enhancement ▲",IF(AND(C63&lt;&gt;N63,F63&lt;S63),"Lower Distinctiveness Habitat"&amp;" - "&amp;T63,G63&amp;" - "&amp;T63)))))</f>
        <v/>
      </c>
      <c r="Q63" s="368" t="str">
        <f>IF(N63="","",VLOOKUP(B63,'F-1 Off-Site WaterC'' Baseline'!$C$10:$AE$257,22,FALSE))</f>
        <v/>
      </c>
      <c r="R63" s="362" t="str">
        <f>IF(N63="","",VLOOKUP(N63,'G-7 WaterC'' Data'!$B$2:$G$8,2,FALSE))</f>
        <v/>
      </c>
      <c r="S63" s="363" t="str">
        <f>IFERROR(VLOOKUP(R63,'G-7 WaterC'' Data'!$C$4:$D$8,2,FALSE),"")</f>
        <v/>
      </c>
      <c r="T63" s="114"/>
      <c r="U63" s="363" t="str">
        <f>IFERROR(INDEX('G-7 WaterC'' Data'!$H$4:$L$8,MATCH(N63,'G-7 WaterC'' Data'!$B$4:$B$8,0),MATCH(T63,'G-7 WaterC'' Data'!$H$3:$L$3,0)),"")</f>
        <v/>
      </c>
      <c r="V63" s="122"/>
      <c r="W63" s="382" t="str">
        <f>IF(V63="","",IF(VLOOKUP(V63,'G-7 WaterC'' Data'!$AK$4:$AM$6,2,FALSE)=0,"Spatial Data Missing ⚠",VLOOKUP(V63,'G-7 WaterC'' Data'!$AK$4:$AM$6,2,FALSE)))</f>
        <v/>
      </c>
      <c r="X63" s="386" t="str">
        <f>IF(V63="","",IF(VLOOKUP(V63,'G-7 WaterC'' Data'!$AK$4:$AM$6,3,FALSE)=0,"Spatial Data Missing ⚠",VLOOKUP(V63,'G-7 WaterC'' Data'!$AK$4:$AM$6,3,FALSE)))</f>
        <v/>
      </c>
      <c r="Y63" s="398" t="str">
        <f>IFERROR(IF(OR(LEFT(P63,5)="Error",LEFT(O63,5)="Error"),"Check Data ⚠",IF(F63&lt;S63,'G-7 WaterC'' Data'!$R$3,INDEX('G-7 WaterC'' Data'!$U$5:$Y$9,MATCH(G63,'G-7 WaterC'' Data'!$T$5:$T$9,0),MATCH(T63,'G-7 WaterC'' Data'!$U$4:$Y$4,0)))),"")</f>
        <v/>
      </c>
      <c r="Z63" s="165"/>
      <c r="AA63" s="165"/>
      <c r="AB63" s="395" t="str">
        <f t="shared" si="4"/>
        <v/>
      </c>
      <c r="AC63" s="383" t="str">
        <f t="shared" si="5"/>
        <v/>
      </c>
      <c r="AD63" s="422" t="str">
        <f>IFERROR(IF(AC63="Check Data ⚠","Check Data ⚠",VLOOKUP(AC63,'G-4 Temporal multipliers'!$A$4:$C$37,3,FALSE)),"")</f>
        <v/>
      </c>
      <c r="AE63" s="398" t="str">
        <f>IF(N63="","",VLOOKUP(N63,'G-7 WaterC'' Data'!$B$4:$G$8,5,FALSE))</f>
        <v/>
      </c>
      <c r="AF63" s="382" t="str">
        <f t="shared" si="1"/>
        <v/>
      </c>
      <c r="AG63" s="382" t="str">
        <f t="shared" si="6"/>
        <v/>
      </c>
      <c r="AH63" s="386" t="str">
        <f t="shared" si="2"/>
        <v/>
      </c>
      <c r="AI63" s="122"/>
      <c r="AJ63" s="363" t="str">
        <f>IF(AI63="","",IF(VLOOKUP(AI63,'G-7 WaterC'' Data'!$AA$4:$AB$7,2,FALSE)=0,"Spatial Data Missing ⚠",VLOOKUP(AI63,'G-7 WaterC'' Data'!$AA$4:$AB$7,2,FALSE)))</f>
        <v/>
      </c>
      <c r="AK63" s="123"/>
      <c r="AL63" s="397" t="str">
        <f>IF(AK63="","",IF(VLOOKUP(AK63,'G-7 WaterC'' Data'!$AD$4:$AE$14,2,FALSE)=0,"Spatial Data Missing ⚠",VLOOKUP(AK63,'G-7 WaterC'' Data'!$AD$4:$AE$14,2,FALSE)))</f>
        <v/>
      </c>
      <c r="AM63" s="122"/>
      <c r="AN63" s="363" t="str">
        <f>IF(AM63="","",IF(VLOOKUP(AM63,'G-7 WaterC'' Data'!$AO$4:$BO$7,2,FALSE)=0,"Spatial Data Missing ⚠",VLOOKUP(AM63,'G-7 WaterC'' Data'!$AO$4:$BO$7,2,FALSE)))</f>
        <v/>
      </c>
      <c r="AO63" s="405" t="str">
        <f t="shared" si="7"/>
        <v/>
      </c>
      <c r="AP63" s="405" t="str">
        <f t="shared" si="8"/>
        <v/>
      </c>
      <c r="AQ63" s="117"/>
      <c r="AR63" s="118"/>
      <c r="AS63" s="120"/>
      <c r="AT63" s="120"/>
      <c r="AY63" s="30" t="str">
        <f>IFERROR(INDEX('G-7 WaterC'' Data'!$AZ$3:$AZ$7,MATCH(N63,'G-7 WaterC'' Data'!$AY$3:$AY$7,0)),"")</f>
        <v/>
      </c>
    </row>
    <row r="64" spans="2:51" ht="15">
      <c r="B64" s="392" t="str">
        <f>'F-1 Off-Site WaterC'' Baseline'!AR62</f>
        <v/>
      </c>
      <c r="C64" s="382" t="str">
        <f>IF(B64="","",VLOOKUP($B64,'F-1 Off-Site WaterC'' Baseline'!$C$9:$R$257,2,FALSE))</f>
        <v/>
      </c>
      <c r="D64" s="382" t="str">
        <f>IF(C64="","",VLOOKUP($B64,'F-1 Off-Site WaterC'' Baseline'!$C$9:$R$257,3,FALSE))</f>
        <v/>
      </c>
      <c r="E64" s="382" t="str">
        <f>IF(D64="","",VLOOKUP($B64,'F-1 Off-Site WaterC'' Baseline'!$C$9:$R$257,4,FALSE))</f>
        <v/>
      </c>
      <c r="F64" s="382" t="str">
        <f>IF(E64="","",VLOOKUP($B64,'F-1 Off-Site WaterC'' Baseline'!$C$9:$R$257,5,FALSE))</f>
        <v/>
      </c>
      <c r="G64" s="382" t="str">
        <f>IF(F64="","",VLOOKUP($B64,'F-1 Off-Site WaterC'' Baseline'!$C$9:$R$257,6,FALSE))</f>
        <v/>
      </c>
      <c r="H64" s="382" t="str">
        <f>IF(G64="","",VLOOKUP($B64,'F-1 Off-Site WaterC'' Baseline'!$C$9:$R$257,7,FALSE))</f>
        <v/>
      </c>
      <c r="I64" s="382" t="str">
        <f>IF(H64="","",VLOOKUP($B64,'F-1 Off-Site WaterC'' Baseline'!$C$9:$R$257,8,FALSE))</f>
        <v/>
      </c>
      <c r="J64" s="382" t="str">
        <f>IF(I64="","",VLOOKUP($B64,'F-1 Off-Site WaterC'' Baseline'!$C$9:$R$257,9,FALSE))</f>
        <v/>
      </c>
      <c r="K64" s="382" t="str">
        <f>IF(J64="","",VLOOKUP($B64,'F-1 Off-Site WaterC'' Baseline'!$C$9:$R$257,10,FALSE))</f>
        <v/>
      </c>
      <c r="L64" s="382" t="str">
        <f>IF(B64="","",VLOOKUP($B64,'F-1 Off-Site WaterC'' Baseline'!$C$9:$R$257,15,FALSE))</f>
        <v/>
      </c>
      <c r="M64" s="386" t="str">
        <f>IF(L64="","",VLOOKUP($B64,'F-1 Off-Site WaterC'' Baseline'!$C$9:$R$257,16,FALSE))</f>
        <v/>
      </c>
      <c r="N64" s="316" t="str">
        <f t="shared" si="0"/>
        <v/>
      </c>
      <c r="O64" s="362" t="str">
        <f t="shared" si="3"/>
        <v/>
      </c>
      <c r="P64" s="363" t="str">
        <f>IF(C64="","",IF(AND(LEFT(C64,55)&lt;&gt;LEFT(N64,55),O64="High - High"),"Error - Not like for like ▲",IF(H64&gt;U64,"Error - Can not reduce condition ▲",IF(AND(F64=S64,H64=U64,AJ64='F-1 Off-Site WaterC'' Baseline'!N62,'F-1 Off-Site WaterC'' Baseline'!P62=AL64),"Error - No enhancement ▲",IF(AND(C64&lt;&gt;N64,F64&lt;S64),"Lower Distinctiveness Habitat"&amp;" - "&amp;T64,G64&amp;" - "&amp;T64)))))</f>
        <v/>
      </c>
      <c r="Q64" s="368" t="str">
        <f>IF(N64="","",VLOOKUP(B64,'F-1 Off-Site WaterC'' Baseline'!$C$10:$AE$257,22,FALSE))</f>
        <v/>
      </c>
      <c r="R64" s="362" t="str">
        <f>IF(N64="","",VLOOKUP(N64,'G-7 WaterC'' Data'!$B$2:$G$8,2,FALSE))</f>
        <v/>
      </c>
      <c r="S64" s="363" t="str">
        <f>IFERROR(VLOOKUP(R64,'G-7 WaterC'' Data'!$C$4:$D$8,2,FALSE),"")</f>
        <v/>
      </c>
      <c r="T64" s="114"/>
      <c r="U64" s="363" t="str">
        <f>IFERROR(INDEX('G-7 WaterC'' Data'!$H$4:$L$8,MATCH(N64,'G-7 WaterC'' Data'!$B$4:$B$8,0),MATCH(T64,'G-7 WaterC'' Data'!$H$3:$L$3,0)),"")</f>
        <v/>
      </c>
      <c r="V64" s="122"/>
      <c r="W64" s="382" t="str">
        <f>IF(V64="","",IF(VLOOKUP(V64,'G-7 WaterC'' Data'!$AK$4:$AM$6,2,FALSE)=0,"Spatial Data Missing ⚠",VLOOKUP(V64,'G-7 WaterC'' Data'!$AK$4:$AM$6,2,FALSE)))</f>
        <v/>
      </c>
      <c r="X64" s="386" t="str">
        <f>IF(V64="","",IF(VLOOKUP(V64,'G-7 WaterC'' Data'!$AK$4:$AM$6,3,FALSE)=0,"Spatial Data Missing ⚠",VLOOKUP(V64,'G-7 WaterC'' Data'!$AK$4:$AM$6,3,FALSE)))</f>
        <v/>
      </c>
      <c r="Y64" s="398" t="str">
        <f>IFERROR(IF(OR(LEFT(P64,5)="Error",LEFT(O64,5)="Error"),"Check Data ⚠",IF(F64&lt;S64,'G-7 WaterC'' Data'!$R$3,INDEX('G-7 WaterC'' Data'!$U$5:$Y$9,MATCH(G64,'G-7 WaterC'' Data'!$T$5:$T$9,0),MATCH(T64,'G-7 WaterC'' Data'!$U$4:$Y$4,0)))),"")</f>
        <v/>
      </c>
      <c r="Z64" s="165"/>
      <c r="AA64" s="165"/>
      <c r="AB64" s="395" t="str">
        <f t="shared" si="4"/>
        <v/>
      </c>
      <c r="AC64" s="383" t="str">
        <f t="shared" si="5"/>
        <v/>
      </c>
      <c r="AD64" s="422" t="str">
        <f>IFERROR(IF(AC64="Check Data ⚠","Check Data ⚠",VLOOKUP(AC64,'G-4 Temporal multipliers'!$A$4:$C$37,3,FALSE)),"")</f>
        <v/>
      </c>
      <c r="AE64" s="398" t="str">
        <f>IF(N64="","",VLOOKUP(N64,'G-7 WaterC'' Data'!$B$4:$G$8,5,FALSE))</f>
        <v/>
      </c>
      <c r="AF64" s="382" t="str">
        <f t="shared" si="1"/>
        <v/>
      </c>
      <c r="AG64" s="382" t="str">
        <f t="shared" si="6"/>
        <v/>
      </c>
      <c r="AH64" s="386" t="str">
        <f t="shared" si="2"/>
        <v/>
      </c>
      <c r="AI64" s="122"/>
      <c r="AJ64" s="363" t="str">
        <f>IF(AI64="","",IF(VLOOKUP(AI64,'G-7 WaterC'' Data'!$AA$4:$AB$7,2,FALSE)=0,"Spatial Data Missing ⚠",VLOOKUP(AI64,'G-7 WaterC'' Data'!$AA$4:$AB$7,2,FALSE)))</f>
        <v/>
      </c>
      <c r="AK64" s="123"/>
      <c r="AL64" s="397" t="str">
        <f>IF(AK64="","",IF(VLOOKUP(AK64,'G-7 WaterC'' Data'!$AD$4:$AE$14,2,FALSE)=0,"Spatial Data Missing ⚠",VLOOKUP(AK64,'G-7 WaterC'' Data'!$AD$4:$AE$14,2,FALSE)))</f>
        <v/>
      </c>
      <c r="AM64" s="122"/>
      <c r="AN64" s="363" t="str">
        <f>IF(AM64="","",IF(VLOOKUP(AM64,'G-7 WaterC'' Data'!$AO$4:$BO$7,2,FALSE)=0,"Spatial Data Missing ⚠",VLOOKUP(AM64,'G-7 WaterC'' Data'!$AO$4:$BO$7,2,FALSE)))</f>
        <v/>
      </c>
      <c r="AO64" s="405" t="str">
        <f t="shared" si="7"/>
        <v/>
      </c>
      <c r="AP64" s="405" t="str">
        <f t="shared" si="8"/>
        <v/>
      </c>
      <c r="AQ64" s="117"/>
      <c r="AR64" s="118"/>
      <c r="AS64" s="120"/>
      <c r="AT64" s="120"/>
      <c r="AY64" s="30" t="str">
        <f>IFERROR(INDEX('G-7 WaterC'' Data'!$AZ$3:$AZ$7,MATCH(N64,'G-7 WaterC'' Data'!$AY$3:$AY$7,0)),"")</f>
        <v/>
      </c>
    </row>
    <row r="65" spans="2:51" ht="15">
      <c r="B65" s="392" t="str">
        <f>'F-1 Off-Site WaterC'' Baseline'!AR63</f>
        <v/>
      </c>
      <c r="C65" s="382" t="str">
        <f>IF(B65="","",VLOOKUP($B65,'F-1 Off-Site WaterC'' Baseline'!$C$9:$R$257,2,FALSE))</f>
        <v/>
      </c>
      <c r="D65" s="382" t="str">
        <f>IF(C65="","",VLOOKUP($B65,'F-1 Off-Site WaterC'' Baseline'!$C$9:$R$257,3,FALSE))</f>
        <v/>
      </c>
      <c r="E65" s="382" t="str">
        <f>IF(D65="","",VLOOKUP($B65,'F-1 Off-Site WaterC'' Baseline'!$C$9:$R$257,4,FALSE))</f>
        <v/>
      </c>
      <c r="F65" s="382" t="str">
        <f>IF(E65="","",VLOOKUP($B65,'F-1 Off-Site WaterC'' Baseline'!$C$9:$R$257,5,FALSE))</f>
        <v/>
      </c>
      <c r="G65" s="382" t="str">
        <f>IF(F65="","",VLOOKUP($B65,'F-1 Off-Site WaterC'' Baseline'!$C$9:$R$257,6,FALSE))</f>
        <v/>
      </c>
      <c r="H65" s="382" t="str">
        <f>IF(G65="","",VLOOKUP($B65,'F-1 Off-Site WaterC'' Baseline'!$C$9:$R$257,7,FALSE))</f>
        <v/>
      </c>
      <c r="I65" s="382" t="str">
        <f>IF(H65="","",VLOOKUP($B65,'F-1 Off-Site WaterC'' Baseline'!$C$9:$R$257,8,FALSE))</f>
        <v/>
      </c>
      <c r="J65" s="382" t="str">
        <f>IF(I65="","",VLOOKUP($B65,'F-1 Off-Site WaterC'' Baseline'!$C$9:$R$257,9,FALSE))</f>
        <v/>
      </c>
      <c r="K65" s="382" t="str">
        <f>IF(J65="","",VLOOKUP($B65,'F-1 Off-Site WaterC'' Baseline'!$C$9:$R$257,10,FALSE))</f>
        <v/>
      </c>
      <c r="L65" s="382" t="str">
        <f>IF(B65="","",VLOOKUP($B65,'F-1 Off-Site WaterC'' Baseline'!$C$9:$R$257,15,FALSE))</f>
        <v/>
      </c>
      <c r="M65" s="386" t="str">
        <f>IF(L65="","",VLOOKUP($B65,'F-1 Off-Site WaterC'' Baseline'!$C$9:$R$257,16,FALSE))</f>
        <v/>
      </c>
      <c r="N65" s="316" t="str">
        <f t="shared" si="0"/>
        <v/>
      </c>
      <c r="O65" s="362" t="str">
        <f t="shared" si="3"/>
        <v/>
      </c>
      <c r="P65" s="363" t="str">
        <f>IF(C65="","",IF(AND(LEFT(C65,55)&lt;&gt;LEFT(N65,55),O65="High - High"),"Error - Not like for like ▲",IF(H65&gt;U65,"Error - Can not reduce condition ▲",IF(AND(F65=S65,H65=U65,AJ65='F-1 Off-Site WaterC'' Baseline'!N63,'F-1 Off-Site WaterC'' Baseline'!P63=AL65),"Error - No enhancement ▲",IF(AND(C65&lt;&gt;N65,F65&lt;S65),"Lower Distinctiveness Habitat"&amp;" - "&amp;T65,G65&amp;" - "&amp;T65)))))</f>
        <v/>
      </c>
      <c r="Q65" s="368" t="str">
        <f>IF(N65="","",VLOOKUP(B65,'F-1 Off-Site WaterC'' Baseline'!$C$10:$AE$257,22,FALSE))</f>
        <v/>
      </c>
      <c r="R65" s="362" t="str">
        <f>IF(N65="","",VLOOKUP(N65,'G-7 WaterC'' Data'!$B$2:$G$8,2,FALSE))</f>
        <v/>
      </c>
      <c r="S65" s="363" t="str">
        <f>IFERROR(VLOOKUP(R65,'G-7 WaterC'' Data'!$C$4:$D$8,2,FALSE),"")</f>
        <v/>
      </c>
      <c r="T65" s="114"/>
      <c r="U65" s="363" t="str">
        <f>IFERROR(INDEX('G-7 WaterC'' Data'!$H$4:$L$8,MATCH(N65,'G-7 WaterC'' Data'!$B$4:$B$8,0),MATCH(T65,'G-7 WaterC'' Data'!$H$3:$L$3,0)),"")</f>
        <v/>
      </c>
      <c r="V65" s="122"/>
      <c r="W65" s="382" t="str">
        <f>IF(V65="","",IF(VLOOKUP(V65,'G-7 WaterC'' Data'!$AK$4:$AM$6,2,FALSE)=0,"Spatial Data Missing ⚠",VLOOKUP(V65,'G-7 WaterC'' Data'!$AK$4:$AM$6,2,FALSE)))</f>
        <v/>
      </c>
      <c r="X65" s="386" t="str">
        <f>IF(V65="","",IF(VLOOKUP(V65,'G-7 WaterC'' Data'!$AK$4:$AM$6,3,FALSE)=0,"Spatial Data Missing ⚠",VLOOKUP(V65,'G-7 WaterC'' Data'!$AK$4:$AM$6,3,FALSE)))</f>
        <v/>
      </c>
      <c r="Y65" s="398" t="str">
        <f>IFERROR(IF(OR(LEFT(P65,5)="Error",LEFT(O65,5)="Error"),"Check Data ⚠",IF(F65&lt;S65,'G-7 WaterC'' Data'!$R$3,INDEX('G-7 WaterC'' Data'!$U$5:$Y$9,MATCH(G65,'G-7 WaterC'' Data'!$T$5:$T$9,0),MATCH(T65,'G-7 WaterC'' Data'!$U$4:$Y$4,0)))),"")</f>
        <v/>
      </c>
      <c r="Z65" s="165"/>
      <c r="AA65" s="165"/>
      <c r="AB65" s="395" t="str">
        <f t="shared" si="4"/>
        <v/>
      </c>
      <c r="AC65" s="383" t="str">
        <f t="shared" si="5"/>
        <v/>
      </c>
      <c r="AD65" s="422" t="str">
        <f>IFERROR(IF(AC65="Check Data ⚠","Check Data ⚠",VLOOKUP(AC65,'G-4 Temporal multipliers'!$A$4:$C$37,3,FALSE)),"")</f>
        <v/>
      </c>
      <c r="AE65" s="398" t="str">
        <f>IF(N65="","",VLOOKUP(N65,'G-7 WaterC'' Data'!$B$4:$G$8,5,FALSE))</f>
        <v/>
      </c>
      <c r="AF65" s="382" t="str">
        <f t="shared" si="1"/>
        <v/>
      </c>
      <c r="AG65" s="382" t="str">
        <f t="shared" si="6"/>
        <v/>
      </c>
      <c r="AH65" s="386" t="str">
        <f t="shared" si="2"/>
        <v/>
      </c>
      <c r="AI65" s="122"/>
      <c r="AJ65" s="363" t="str">
        <f>IF(AI65="","",IF(VLOOKUP(AI65,'G-7 WaterC'' Data'!$AA$4:$AB$7,2,FALSE)=0,"Spatial Data Missing ⚠",VLOOKUP(AI65,'G-7 WaterC'' Data'!$AA$4:$AB$7,2,FALSE)))</f>
        <v/>
      </c>
      <c r="AK65" s="123"/>
      <c r="AL65" s="397" t="str">
        <f>IF(AK65="","",IF(VLOOKUP(AK65,'G-7 WaterC'' Data'!$AD$4:$AE$14,2,FALSE)=0,"Spatial Data Missing ⚠",VLOOKUP(AK65,'G-7 WaterC'' Data'!$AD$4:$AE$14,2,FALSE)))</f>
        <v/>
      </c>
      <c r="AM65" s="122"/>
      <c r="AN65" s="363" t="str">
        <f>IF(AM65="","",IF(VLOOKUP(AM65,'G-7 WaterC'' Data'!$AO$4:$BO$7,2,FALSE)=0,"Spatial Data Missing ⚠",VLOOKUP(AM65,'G-7 WaterC'' Data'!$AO$4:$BO$7,2,FALSE)))</f>
        <v/>
      </c>
      <c r="AO65" s="405" t="str">
        <f t="shared" si="7"/>
        <v/>
      </c>
      <c r="AP65" s="405" t="str">
        <f t="shared" si="8"/>
        <v/>
      </c>
      <c r="AQ65" s="117"/>
      <c r="AR65" s="118"/>
      <c r="AS65" s="120"/>
      <c r="AT65" s="120"/>
      <c r="AY65" s="30" t="str">
        <f>IFERROR(INDEX('G-7 WaterC'' Data'!$AZ$3:$AZ$7,MATCH(N65,'G-7 WaterC'' Data'!$AY$3:$AY$7,0)),"")</f>
        <v/>
      </c>
    </row>
    <row r="66" spans="2:51" ht="15">
      <c r="B66" s="392" t="str">
        <f>'F-1 Off-Site WaterC'' Baseline'!AR64</f>
        <v/>
      </c>
      <c r="C66" s="382" t="str">
        <f>IF(B66="","",VLOOKUP($B66,'F-1 Off-Site WaterC'' Baseline'!$C$9:$R$257,2,FALSE))</f>
        <v/>
      </c>
      <c r="D66" s="382" t="str">
        <f>IF(C66="","",VLOOKUP($B66,'F-1 Off-Site WaterC'' Baseline'!$C$9:$R$257,3,FALSE))</f>
        <v/>
      </c>
      <c r="E66" s="382" t="str">
        <f>IF(D66="","",VLOOKUP($B66,'F-1 Off-Site WaterC'' Baseline'!$C$9:$R$257,4,FALSE))</f>
        <v/>
      </c>
      <c r="F66" s="382" t="str">
        <f>IF(E66="","",VLOOKUP($B66,'F-1 Off-Site WaterC'' Baseline'!$C$9:$R$257,5,FALSE))</f>
        <v/>
      </c>
      <c r="G66" s="382" t="str">
        <f>IF(F66="","",VLOOKUP($B66,'F-1 Off-Site WaterC'' Baseline'!$C$9:$R$257,6,FALSE))</f>
        <v/>
      </c>
      <c r="H66" s="382" t="str">
        <f>IF(G66="","",VLOOKUP($B66,'F-1 Off-Site WaterC'' Baseline'!$C$9:$R$257,7,FALSE))</f>
        <v/>
      </c>
      <c r="I66" s="382" t="str">
        <f>IF(H66="","",VLOOKUP($B66,'F-1 Off-Site WaterC'' Baseline'!$C$9:$R$257,8,FALSE))</f>
        <v/>
      </c>
      <c r="J66" s="382" t="str">
        <f>IF(I66="","",VLOOKUP($B66,'F-1 Off-Site WaterC'' Baseline'!$C$9:$R$257,9,FALSE))</f>
        <v/>
      </c>
      <c r="K66" s="382" t="str">
        <f>IF(J66="","",VLOOKUP($B66,'F-1 Off-Site WaterC'' Baseline'!$C$9:$R$257,10,FALSE))</f>
        <v/>
      </c>
      <c r="L66" s="382" t="str">
        <f>IF(B66="","",VLOOKUP($B66,'F-1 Off-Site WaterC'' Baseline'!$C$9:$R$257,15,FALSE))</f>
        <v/>
      </c>
      <c r="M66" s="386" t="str">
        <f>IF(L66="","",VLOOKUP($B66,'F-1 Off-Site WaterC'' Baseline'!$C$9:$R$257,16,FALSE))</f>
        <v/>
      </c>
      <c r="N66" s="316" t="str">
        <f t="shared" si="0"/>
        <v/>
      </c>
      <c r="O66" s="362" t="str">
        <f t="shared" si="3"/>
        <v/>
      </c>
      <c r="P66" s="363" t="str">
        <f>IF(C66="","",IF(AND(LEFT(C66,55)&lt;&gt;LEFT(N66,55),O66="High - High"),"Error - Not like for like ▲",IF(H66&gt;U66,"Error - Can not reduce condition ▲",IF(AND(F66=S66,H66=U66,AJ66='F-1 Off-Site WaterC'' Baseline'!N64,'F-1 Off-Site WaterC'' Baseline'!P64=AL66),"Error - No enhancement ▲",IF(AND(C66&lt;&gt;N66,F66&lt;S66),"Lower Distinctiveness Habitat"&amp;" - "&amp;T66,G66&amp;" - "&amp;T66)))))</f>
        <v/>
      </c>
      <c r="Q66" s="368" t="str">
        <f>IF(N66="","",VLOOKUP(B66,'F-1 Off-Site WaterC'' Baseline'!$C$10:$AE$257,22,FALSE))</f>
        <v/>
      </c>
      <c r="R66" s="362" t="str">
        <f>IF(N66="","",VLOOKUP(N66,'G-7 WaterC'' Data'!$B$2:$G$8,2,FALSE))</f>
        <v/>
      </c>
      <c r="S66" s="363" t="str">
        <f>IFERROR(VLOOKUP(R66,'G-7 WaterC'' Data'!$C$4:$D$8,2,FALSE),"")</f>
        <v/>
      </c>
      <c r="T66" s="114"/>
      <c r="U66" s="363" t="str">
        <f>IFERROR(INDEX('G-7 WaterC'' Data'!$H$4:$L$8,MATCH(N66,'G-7 WaterC'' Data'!$B$4:$B$8,0),MATCH(T66,'G-7 WaterC'' Data'!$H$3:$L$3,0)),"")</f>
        <v/>
      </c>
      <c r="V66" s="122"/>
      <c r="W66" s="382" t="str">
        <f>IF(V66="","",IF(VLOOKUP(V66,'G-7 WaterC'' Data'!$AK$4:$AM$6,2,FALSE)=0,"Spatial Data Missing ⚠",VLOOKUP(V66,'G-7 WaterC'' Data'!$AK$4:$AM$6,2,FALSE)))</f>
        <v/>
      </c>
      <c r="X66" s="386" t="str">
        <f>IF(V66="","",IF(VLOOKUP(V66,'G-7 WaterC'' Data'!$AK$4:$AM$6,3,FALSE)=0,"Spatial Data Missing ⚠",VLOOKUP(V66,'G-7 WaterC'' Data'!$AK$4:$AM$6,3,FALSE)))</f>
        <v/>
      </c>
      <c r="Y66" s="398" t="str">
        <f>IFERROR(IF(OR(LEFT(P66,5)="Error",LEFT(O66,5)="Error"),"Check Data ⚠",IF(F66&lt;S66,'G-7 WaterC'' Data'!$R$3,INDEX('G-7 WaterC'' Data'!$U$5:$Y$9,MATCH(G66,'G-7 WaterC'' Data'!$T$5:$T$9,0),MATCH(T66,'G-7 WaterC'' Data'!$U$4:$Y$4,0)))),"")</f>
        <v/>
      </c>
      <c r="Z66" s="165"/>
      <c r="AA66" s="165"/>
      <c r="AB66" s="395" t="str">
        <f t="shared" si="4"/>
        <v/>
      </c>
      <c r="AC66" s="383" t="str">
        <f t="shared" si="5"/>
        <v/>
      </c>
      <c r="AD66" s="422" t="str">
        <f>IFERROR(IF(AC66="Check Data ⚠","Check Data ⚠",VLOOKUP(AC66,'G-4 Temporal multipliers'!$A$4:$C$37,3,FALSE)),"")</f>
        <v/>
      </c>
      <c r="AE66" s="398" t="str">
        <f>IF(N66="","",VLOOKUP(N66,'G-7 WaterC'' Data'!$B$4:$G$8,5,FALSE))</f>
        <v/>
      </c>
      <c r="AF66" s="382" t="str">
        <f t="shared" si="1"/>
        <v/>
      </c>
      <c r="AG66" s="382" t="str">
        <f t="shared" si="6"/>
        <v/>
      </c>
      <c r="AH66" s="386" t="str">
        <f t="shared" si="2"/>
        <v/>
      </c>
      <c r="AI66" s="122"/>
      <c r="AJ66" s="363" t="str">
        <f>IF(AI66="","",IF(VLOOKUP(AI66,'G-7 WaterC'' Data'!$AA$4:$AB$7,2,FALSE)=0,"Spatial Data Missing ⚠",VLOOKUP(AI66,'G-7 WaterC'' Data'!$AA$4:$AB$7,2,FALSE)))</f>
        <v/>
      </c>
      <c r="AK66" s="123"/>
      <c r="AL66" s="397" t="str">
        <f>IF(AK66="","",IF(VLOOKUP(AK66,'G-7 WaterC'' Data'!$AD$4:$AE$14,2,FALSE)=0,"Spatial Data Missing ⚠",VLOOKUP(AK66,'G-7 WaterC'' Data'!$AD$4:$AE$14,2,FALSE)))</f>
        <v/>
      </c>
      <c r="AM66" s="122"/>
      <c r="AN66" s="363" t="str">
        <f>IF(AM66="","",IF(VLOOKUP(AM66,'G-7 WaterC'' Data'!$AO$4:$BO$7,2,FALSE)=0,"Spatial Data Missing ⚠",VLOOKUP(AM66,'G-7 WaterC'' Data'!$AO$4:$BO$7,2,FALSE)))</f>
        <v/>
      </c>
      <c r="AO66" s="405" t="str">
        <f t="shared" si="7"/>
        <v/>
      </c>
      <c r="AP66" s="405" t="str">
        <f t="shared" si="8"/>
        <v/>
      </c>
      <c r="AQ66" s="117"/>
      <c r="AR66" s="118"/>
      <c r="AS66" s="120"/>
      <c r="AT66" s="120"/>
      <c r="AY66" s="30" t="str">
        <f>IFERROR(INDEX('G-7 WaterC'' Data'!$AZ$3:$AZ$7,MATCH(N66,'G-7 WaterC'' Data'!$AY$3:$AY$7,0)),"")</f>
        <v/>
      </c>
    </row>
    <row r="67" spans="2:51" ht="15">
      <c r="B67" s="392" t="str">
        <f>'F-1 Off-Site WaterC'' Baseline'!AR65</f>
        <v/>
      </c>
      <c r="C67" s="382" t="str">
        <f>IF(B67="","",VLOOKUP($B67,'F-1 Off-Site WaterC'' Baseline'!$C$9:$R$257,2,FALSE))</f>
        <v/>
      </c>
      <c r="D67" s="382" t="str">
        <f>IF(C67="","",VLOOKUP($B67,'F-1 Off-Site WaterC'' Baseline'!$C$9:$R$257,3,FALSE))</f>
        <v/>
      </c>
      <c r="E67" s="382" t="str">
        <f>IF(D67="","",VLOOKUP($B67,'F-1 Off-Site WaterC'' Baseline'!$C$9:$R$257,4,FALSE))</f>
        <v/>
      </c>
      <c r="F67" s="382" t="str">
        <f>IF(E67="","",VLOOKUP($B67,'F-1 Off-Site WaterC'' Baseline'!$C$9:$R$257,5,FALSE))</f>
        <v/>
      </c>
      <c r="G67" s="382" t="str">
        <f>IF(F67="","",VLOOKUP($B67,'F-1 Off-Site WaterC'' Baseline'!$C$9:$R$257,6,FALSE))</f>
        <v/>
      </c>
      <c r="H67" s="382" t="str">
        <f>IF(G67="","",VLOOKUP($B67,'F-1 Off-Site WaterC'' Baseline'!$C$9:$R$257,7,FALSE))</f>
        <v/>
      </c>
      <c r="I67" s="382" t="str">
        <f>IF(H67="","",VLOOKUP($B67,'F-1 Off-Site WaterC'' Baseline'!$C$9:$R$257,8,FALSE))</f>
        <v/>
      </c>
      <c r="J67" s="382" t="str">
        <f>IF(I67="","",VLOOKUP($B67,'F-1 Off-Site WaterC'' Baseline'!$C$9:$R$257,9,FALSE))</f>
        <v/>
      </c>
      <c r="K67" s="382" t="str">
        <f>IF(J67="","",VLOOKUP($B67,'F-1 Off-Site WaterC'' Baseline'!$C$9:$R$257,10,FALSE))</f>
        <v/>
      </c>
      <c r="L67" s="382" t="str">
        <f>IF(B67="","",VLOOKUP($B67,'F-1 Off-Site WaterC'' Baseline'!$C$9:$R$257,15,FALSE))</f>
        <v/>
      </c>
      <c r="M67" s="386" t="str">
        <f>IF(L67="","",VLOOKUP($B67,'F-1 Off-Site WaterC'' Baseline'!$C$9:$R$257,16,FALSE))</f>
        <v/>
      </c>
      <c r="N67" s="316" t="str">
        <f t="shared" si="0"/>
        <v/>
      </c>
      <c r="O67" s="362" t="str">
        <f t="shared" si="3"/>
        <v/>
      </c>
      <c r="P67" s="363" t="str">
        <f>IF(C67="","",IF(AND(LEFT(C67,55)&lt;&gt;LEFT(N67,55),O67="High - High"),"Error - Not like for like ▲",IF(H67&gt;U67,"Error - Can not reduce condition ▲",IF(AND(F67=S67,H67=U67,AJ67='F-1 Off-Site WaterC'' Baseline'!N65,'F-1 Off-Site WaterC'' Baseline'!P65=AL67),"Error - No enhancement ▲",IF(AND(C67&lt;&gt;N67,F67&lt;S67),"Lower Distinctiveness Habitat"&amp;" - "&amp;T67,G67&amp;" - "&amp;T67)))))</f>
        <v/>
      </c>
      <c r="Q67" s="368" t="str">
        <f>IF(N67="","",VLOOKUP(B67,'F-1 Off-Site WaterC'' Baseline'!$C$10:$AE$257,22,FALSE))</f>
        <v/>
      </c>
      <c r="R67" s="362" t="str">
        <f>IF(N67="","",VLOOKUP(N67,'G-7 WaterC'' Data'!$B$2:$G$8,2,FALSE))</f>
        <v/>
      </c>
      <c r="S67" s="363" t="str">
        <f>IFERROR(VLOOKUP(R67,'G-7 WaterC'' Data'!$C$4:$D$8,2,FALSE),"")</f>
        <v/>
      </c>
      <c r="T67" s="114"/>
      <c r="U67" s="363" t="str">
        <f>IFERROR(INDEX('G-7 WaterC'' Data'!$H$4:$L$8,MATCH(N67,'G-7 WaterC'' Data'!$B$4:$B$8,0),MATCH(T67,'G-7 WaterC'' Data'!$H$3:$L$3,0)),"")</f>
        <v/>
      </c>
      <c r="V67" s="122"/>
      <c r="W67" s="382" t="str">
        <f>IF(V67="","",IF(VLOOKUP(V67,'G-7 WaterC'' Data'!$AK$4:$AM$6,2,FALSE)=0,"Spatial Data Missing ⚠",VLOOKUP(V67,'G-7 WaterC'' Data'!$AK$4:$AM$6,2,FALSE)))</f>
        <v/>
      </c>
      <c r="X67" s="386" t="str">
        <f>IF(V67="","",IF(VLOOKUP(V67,'G-7 WaterC'' Data'!$AK$4:$AM$6,3,FALSE)=0,"Spatial Data Missing ⚠",VLOOKUP(V67,'G-7 WaterC'' Data'!$AK$4:$AM$6,3,FALSE)))</f>
        <v/>
      </c>
      <c r="Y67" s="398" t="str">
        <f>IFERROR(IF(OR(LEFT(P67,5)="Error",LEFT(O67,5)="Error"),"Check Data ⚠",IF(F67&lt;S67,'G-7 WaterC'' Data'!$R$3,INDEX('G-7 WaterC'' Data'!$U$5:$Y$9,MATCH(G67,'G-7 WaterC'' Data'!$T$5:$T$9,0),MATCH(T67,'G-7 WaterC'' Data'!$U$4:$Y$4,0)))),"")</f>
        <v/>
      </c>
      <c r="Z67" s="165"/>
      <c r="AA67" s="165"/>
      <c r="AB67" s="395" t="str">
        <f t="shared" si="4"/>
        <v/>
      </c>
      <c r="AC67" s="383" t="str">
        <f t="shared" si="5"/>
        <v/>
      </c>
      <c r="AD67" s="422" t="str">
        <f>IFERROR(IF(AC67="Check Data ⚠","Check Data ⚠",VLOOKUP(AC67,'G-4 Temporal multipliers'!$A$4:$C$37,3,FALSE)),"")</f>
        <v/>
      </c>
      <c r="AE67" s="398" t="str">
        <f>IF(N67="","",VLOOKUP(N67,'G-7 WaterC'' Data'!$B$4:$G$8,5,FALSE))</f>
        <v/>
      </c>
      <c r="AF67" s="382" t="str">
        <f t="shared" si="1"/>
        <v/>
      </c>
      <c r="AG67" s="382" t="str">
        <f t="shared" si="6"/>
        <v/>
      </c>
      <c r="AH67" s="386" t="str">
        <f t="shared" si="2"/>
        <v/>
      </c>
      <c r="AI67" s="122"/>
      <c r="AJ67" s="363" t="str">
        <f>IF(AI67="","",IF(VLOOKUP(AI67,'G-7 WaterC'' Data'!$AA$4:$AB$7,2,FALSE)=0,"Spatial Data Missing ⚠",VLOOKUP(AI67,'G-7 WaterC'' Data'!$AA$4:$AB$7,2,FALSE)))</f>
        <v/>
      </c>
      <c r="AK67" s="123"/>
      <c r="AL67" s="397" t="str">
        <f>IF(AK67="","",IF(VLOOKUP(AK67,'G-7 WaterC'' Data'!$AD$4:$AE$14,2,FALSE)=0,"Spatial Data Missing ⚠",VLOOKUP(AK67,'G-7 WaterC'' Data'!$AD$4:$AE$14,2,FALSE)))</f>
        <v/>
      </c>
      <c r="AM67" s="122"/>
      <c r="AN67" s="363" t="str">
        <f>IF(AM67="","",IF(VLOOKUP(AM67,'G-7 WaterC'' Data'!$AO$4:$BO$7,2,FALSE)=0,"Spatial Data Missing ⚠",VLOOKUP(AM67,'G-7 WaterC'' Data'!$AO$4:$BO$7,2,FALSE)))</f>
        <v/>
      </c>
      <c r="AO67" s="405" t="str">
        <f t="shared" si="7"/>
        <v/>
      </c>
      <c r="AP67" s="405" t="str">
        <f t="shared" si="8"/>
        <v/>
      </c>
      <c r="AQ67" s="117"/>
      <c r="AR67" s="118"/>
      <c r="AS67" s="120"/>
      <c r="AT67" s="120"/>
      <c r="AY67" s="30" t="str">
        <f>IFERROR(INDEX('G-7 WaterC'' Data'!$AZ$3:$AZ$7,MATCH(N67,'G-7 WaterC'' Data'!$AY$3:$AY$7,0)),"")</f>
        <v/>
      </c>
    </row>
    <row r="68" spans="2:51" ht="15">
      <c r="B68" s="392" t="str">
        <f>'F-1 Off-Site WaterC'' Baseline'!AR66</f>
        <v/>
      </c>
      <c r="C68" s="382" t="str">
        <f>IF(B68="","",VLOOKUP($B68,'F-1 Off-Site WaterC'' Baseline'!$C$9:$R$257,2,FALSE))</f>
        <v/>
      </c>
      <c r="D68" s="382" t="str">
        <f>IF(C68="","",VLOOKUP($B68,'F-1 Off-Site WaterC'' Baseline'!$C$9:$R$257,3,FALSE))</f>
        <v/>
      </c>
      <c r="E68" s="382" t="str">
        <f>IF(D68="","",VLOOKUP($B68,'F-1 Off-Site WaterC'' Baseline'!$C$9:$R$257,4,FALSE))</f>
        <v/>
      </c>
      <c r="F68" s="382" t="str">
        <f>IF(E68="","",VLOOKUP($B68,'F-1 Off-Site WaterC'' Baseline'!$C$9:$R$257,5,FALSE))</f>
        <v/>
      </c>
      <c r="G68" s="382" t="str">
        <f>IF(F68="","",VLOOKUP($B68,'F-1 Off-Site WaterC'' Baseline'!$C$9:$R$257,6,FALSE))</f>
        <v/>
      </c>
      <c r="H68" s="382" t="str">
        <f>IF(G68="","",VLOOKUP($B68,'F-1 Off-Site WaterC'' Baseline'!$C$9:$R$257,7,FALSE))</f>
        <v/>
      </c>
      <c r="I68" s="382" t="str">
        <f>IF(H68="","",VLOOKUP($B68,'F-1 Off-Site WaterC'' Baseline'!$C$9:$R$257,8,FALSE))</f>
        <v/>
      </c>
      <c r="J68" s="382" t="str">
        <f>IF(I68="","",VLOOKUP($B68,'F-1 Off-Site WaterC'' Baseline'!$C$9:$R$257,9,FALSE))</f>
        <v/>
      </c>
      <c r="K68" s="382" t="str">
        <f>IF(J68="","",VLOOKUP($B68,'F-1 Off-Site WaterC'' Baseline'!$C$9:$R$257,10,FALSE))</f>
        <v/>
      </c>
      <c r="L68" s="382" t="str">
        <f>IF(B68="","",VLOOKUP($B68,'F-1 Off-Site WaterC'' Baseline'!$C$9:$R$257,15,FALSE))</f>
        <v/>
      </c>
      <c r="M68" s="386" t="str">
        <f>IF(L68="","",VLOOKUP($B68,'F-1 Off-Site WaterC'' Baseline'!$C$9:$R$257,16,FALSE))</f>
        <v/>
      </c>
      <c r="N68" s="316" t="str">
        <f t="shared" si="0"/>
        <v/>
      </c>
      <c r="O68" s="362" t="str">
        <f t="shared" si="3"/>
        <v/>
      </c>
      <c r="P68" s="363" t="str">
        <f>IF(C68="","",IF(AND(LEFT(C68,55)&lt;&gt;LEFT(N68,55),O68="High - High"),"Error - Not like for like ▲",IF(H68&gt;U68,"Error - Can not reduce condition ▲",IF(AND(F68=S68,H68=U68,AJ68='F-1 Off-Site WaterC'' Baseline'!N66,'F-1 Off-Site WaterC'' Baseline'!P66=AL68),"Error - No enhancement ▲",IF(AND(C68&lt;&gt;N68,F68&lt;S68),"Lower Distinctiveness Habitat"&amp;" - "&amp;T68,G68&amp;" - "&amp;T68)))))</f>
        <v/>
      </c>
      <c r="Q68" s="368" t="str">
        <f>IF(N68="","",VLOOKUP(B68,'F-1 Off-Site WaterC'' Baseline'!$C$10:$AE$257,22,FALSE))</f>
        <v/>
      </c>
      <c r="R68" s="362" t="str">
        <f>IF(N68="","",VLOOKUP(N68,'G-7 WaterC'' Data'!$B$2:$G$8,2,FALSE))</f>
        <v/>
      </c>
      <c r="S68" s="363" t="str">
        <f>IFERROR(VLOOKUP(R68,'G-7 WaterC'' Data'!$C$4:$D$8,2,FALSE),"")</f>
        <v/>
      </c>
      <c r="T68" s="114"/>
      <c r="U68" s="363" t="str">
        <f>IFERROR(INDEX('G-7 WaterC'' Data'!$H$4:$L$8,MATCH(N68,'G-7 WaterC'' Data'!$B$4:$B$8,0),MATCH(T68,'G-7 WaterC'' Data'!$H$3:$L$3,0)),"")</f>
        <v/>
      </c>
      <c r="V68" s="122"/>
      <c r="W68" s="382" t="str">
        <f>IF(V68="","",IF(VLOOKUP(V68,'G-7 WaterC'' Data'!$AK$4:$AM$6,2,FALSE)=0,"Spatial Data Missing ⚠",VLOOKUP(V68,'G-7 WaterC'' Data'!$AK$4:$AM$6,2,FALSE)))</f>
        <v/>
      </c>
      <c r="X68" s="386" t="str">
        <f>IF(V68="","",IF(VLOOKUP(V68,'G-7 WaterC'' Data'!$AK$4:$AM$6,3,FALSE)=0,"Spatial Data Missing ⚠",VLOOKUP(V68,'G-7 WaterC'' Data'!$AK$4:$AM$6,3,FALSE)))</f>
        <v/>
      </c>
      <c r="Y68" s="398" t="str">
        <f>IFERROR(IF(OR(LEFT(P68,5)="Error",LEFT(O68,5)="Error"),"Check Data ⚠",IF(F68&lt;S68,'G-7 WaterC'' Data'!$R$3,INDEX('G-7 WaterC'' Data'!$U$5:$Y$9,MATCH(G68,'G-7 WaterC'' Data'!$T$5:$T$9,0),MATCH(T68,'G-7 WaterC'' Data'!$U$4:$Y$4,0)))),"")</f>
        <v/>
      </c>
      <c r="Z68" s="165"/>
      <c r="AA68" s="165"/>
      <c r="AB68" s="395" t="str">
        <f t="shared" si="4"/>
        <v/>
      </c>
      <c r="AC68" s="383" t="str">
        <f t="shared" si="5"/>
        <v/>
      </c>
      <c r="AD68" s="422" t="str">
        <f>IFERROR(IF(AC68="Check Data ⚠","Check Data ⚠",VLOOKUP(AC68,'G-4 Temporal multipliers'!$A$4:$C$37,3,FALSE)),"")</f>
        <v/>
      </c>
      <c r="AE68" s="398" t="str">
        <f>IF(N68="","",VLOOKUP(N68,'G-7 WaterC'' Data'!$B$4:$G$8,5,FALSE))</f>
        <v/>
      </c>
      <c r="AF68" s="382" t="str">
        <f t="shared" si="1"/>
        <v/>
      </c>
      <c r="AG68" s="382" t="str">
        <f t="shared" si="6"/>
        <v/>
      </c>
      <c r="AH68" s="386" t="str">
        <f t="shared" si="2"/>
        <v/>
      </c>
      <c r="AI68" s="122"/>
      <c r="AJ68" s="363" t="str">
        <f>IF(AI68="","",IF(VLOOKUP(AI68,'G-7 WaterC'' Data'!$AA$4:$AB$7,2,FALSE)=0,"Spatial Data Missing ⚠",VLOOKUP(AI68,'G-7 WaterC'' Data'!$AA$4:$AB$7,2,FALSE)))</f>
        <v/>
      </c>
      <c r="AK68" s="123"/>
      <c r="AL68" s="397" t="str">
        <f>IF(AK68="","",IF(VLOOKUP(AK68,'G-7 WaterC'' Data'!$AD$4:$AE$14,2,FALSE)=0,"Spatial Data Missing ⚠",VLOOKUP(AK68,'G-7 WaterC'' Data'!$AD$4:$AE$14,2,FALSE)))</f>
        <v/>
      </c>
      <c r="AM68" s="122"/>
      <c r="AN68" s="363" t="str">
        <f>IF(AM68="","",IF(VLOOKUP(AM68,'G-7 WaterC'' Data'!$AO$4:$BO$7,2,FALSE)=0,"Spatial Data Missing ⚠",VLOOKUP(AM68,'G-7 WaterC'' Data'!$AO$4:$BO$7,2,FALSE)))</f>
        <v/>
      </c>
      <c r="AO68" s="405" t="str">
        <f t="shared" si="7"/>
        <v/>
      </c>
      <c r="AP68" s="405" t="str">
        <f t="shared" si="8"/>
        <v/>
      </c>
      <c r="AQ68" s="117"/>
      <c r="AR68" s="118"/>
      <c r="AS68" s="120"/>
      <c r="AT68" s="120"/>
      <c r="AY68" s="30" t="str">
        <f>IFERROR(INDEX('G-7 WaterC'' Data'!$AZ$3:$AZ$7,MATCH(N68,'G-7 WaterC'' Data'!$AY$3:$AY$7,0)),"")</f>
        <v/>
      </c>
    </row>
    <row r="69" spans="2:51" ht="15">
      <c r="B69" s="392" t="str">
        <f>'F-1 Off-Site WaterC'' Baseline'!AR67</f>
        <v/>
      </c>
      <c r="C69" s="382" t="str">
        <f>IF(B69="","",VLOOKUP($B69,'F-1 Off-Site WaterC'' Baseline'!$C$9:$R$257,2,FALSE))</f>
        <v/>
      </c>
      <c r="D69" s="382" t="str">
        <f>IF(C69="","",VLOOKUP($B69,'F-1 Off-Site WaterC'' Baseline'!$C$9:$R$257,3,FALSE))</f>
        <v/>
      </c>
      <c r="E69" s="382" t="str">
        <f>IF(D69="","",VLOOKUP($B69,'F-1 Off-Site WaterC'' Baseline'!$C$9:$R$257,4,FALSE))</f>
        <v/>
      </c>
      <c r="F69" s="382" t="str">
        <f>IF(E69="","",VLOOKUP($B69,'F-1 Off-Site WaterC'' Baseline'!$C$9:$R$257,5,FALSE))</f>
        <v/>
      </c>
      <c r="G69" s="382" t="str">
        <f>IF(F69="","",VLOOKUP($B69,'F-1 Off-Site WaterC'' Baseline'!$C$9:$R$257,6,FALSE))</f>
        <v/>
      </c>
      <c r="H69" s="382" t="str">
        <f>IF(G69="","",VLOOKUP($B69,'F-1 Off-Site WaterC'' Baseline'!$C$9:$R$257,7,FALSE))</f>
        <v/>
      </c>
      <c r="I69" s="382" t="str">
        <f>IF(H69="","",VLOOKUP($B69,'F-1 Off-Site WaterC'' Baseline'!$C$9:$R$257,8,FALSE))</f>
        <v/>
      </c>
      <c r="J69" s="382" t="str">
        <f>IF(I69="","",VLOOKUP($B69,'F-1 Off-Site WaterC'' Baseline'!$C$9:$R$257,9,FALSE))</f>
        <v/>
      </c>
      <c r="K69" s="382" t="str">
        <f>IF(J69="","",VLOOKUP($B69,'F-1 Off-Site WaterC'' Baseline'!$C$9:$R$257,10,FALSE))</f>
        <v/>
      </c>
      <c r="L69" s="382" t="str">
        <f>IF(B69="","",VLOOKUP($B69,'F-1 Off-Site WaterC'' Baseline'!$C$9:$R$257,15,FALSE))</f>
        <v/>
      </c>
      <c r="M69" s="386" t="str">
        <f>IF(L69="","",VLOOKUP($B69,'F-1 Off-Site WaterC'' Baseline'!$C$9:$R$257,16,FALSE))</f>
        <v/>
      </c>
      <c r="N69" s="316" t="str">
        <f t="shared" si="0"/>
        <v/>
      </c>
      <c r="O69" s="362" t="str">
        <f t="shared" si="3"/>
        <v/>
      </c>
      <c r="P69" s="363" t="str">
        <f>IF(C69="","",IF(AND(LEFT(C69,55)&lt;&gt;LEFT(N69,55),O69="High - High"),"Error - Not like for like ▲",IF(H69&gt;U69,"Error - Can not reduce condition ▲",IF(AND(F69=S69,H69=U69,AJ69='F-1 Off-Site WaterC'' Baseline'!N67,'F-1 Off-Site WaterC'' Baseline'!P67=AL69),"Error - No enhancement ▲",IF(AND(C69&lt;&gt;N69,F69&lt;S69),"Lower Distinctiveness Habitat"&amp;" - "&amp;T69,G69&amp;" - "&amp;T69)))))</f>
        <v/>
      </c>
      <c r="Q69" s="368" t="str">
        <f>IF(N69="","",VLOOKUP(B69,'F-1 Off-Site WaterC'' Baseline'!$C$10:$AE$257,22,FALSE))</f>
        <v/>
      </c>
      <c r="R69" s="362" t="str">
        <f>IF(N69="","",VLOOKUP(N69,'G-7 WaterC'' Data'!$B$2:$G$8,2,FALSE))</f>
        <v/>
      </c>
      <c r="S69" s="363" t="str">
        <f>IFERROR(VLOOKUP(R69,'G-7 WaterC'' Data'!$C$4:$D$8,2,FALSE),"")</f>
        <v/>
      </c>
      <c r="T69" s="114"/>
      <c r="U69" s="363" t="str">
        <f>IFERROR(INDEX('G-7 WaterC'' Data'!$H$4:$L$8,MATCH(N69,'G-7 WaterC'' Data'!$B$4:$B$8,0),MATCH(T69,'G-7 WaterC'' Data'!$H$3:$L$3,0)),"")</f>
        <v/>
      </c>
      <c r="V69" s="122"/>
      <c r="W69" s="382" t="str">
        <f>IF(V69="","",IF(VLOOKUP(V69,'G-7 WaterC'' Data'!$AK$4:$AM$6,2,FALSE)=0,"Spatial Data Missing ⚠",VLOOKUP(V69,'G-7 WaterC'' Data'!$AK$4:$AM$6,2,FALSE)))</f>
        <v/>
      </c>
      <c r="X69" s="386" t="str">
        <f>IF(V69="","",IF(VLOOKUP(V69,'G-7 WaterC'' Data'!$AK$4:$AM$6,3,FALSE)=0,"Spatial Data Missing ⚠",VLOOKUP(V69,'G-7 WaterC'' Data'!$AK$4:$AM$6,3,FALSE)))</f>
        <v/>
      </c>
      <c r="Y69" s="398" t="str">
        <f>IFERROR(IF(OR(LEFT(P69,5)="Error",LEFT(O69,5)="Error"),"Check Data ⚠",IF(F69&lt;S69,'G-7 WaterC'' Data'!$R$3,INDEX('G-7 WaterC'' Data'!$U$5:$Y$9,MATCH(G69,'G-7 WaterC'' Data'!$T$5:$T$9,0),MATCH(T69,'G-7 WaterC'' Data'!$U$4:$Y$4,0)))),"")</f>
        <v/>
      </c>
      <c r="Z69" s="165"/>
      <c r="AA69" s="165"/>
      <c r="AB69" s="395" t="str">
        <f t="shared" si="4"/>
        <v/>
      </c>
      <c r="AC69" s="383" t="str">
        <f t="shared" si="5"/>
        <v/>
      </c>
      <c r="AD69" s="422" t="str">
        <f>IFERROR(IF(AC69="Check Data ⚠","Check Data ⚠",VLOOKUP(AC69,'G-4 Temporal multipliers'!$A$4:$C$37,3,FALSE)),"")</f>
        <v/>
      </c>
      <c r="AE69" s="398" t="str">
        <f>IF(N69="","",VLOOKUP(N69,'G-7 WaterC'' Data'!$B$4:$G$8,5,FALSE))</f>
        <v/>
      </c>
      <c r="AF69" s="382" t="str">
        <f t="shared" si="1"/>
        <v/>
      </c>
      <c r="AG69" s="382" t="str">
        <f t="shared" si="6"/>
        <v/>
      </c>
      <c r="AH69" s="386" t="str">
        <f t="shared" si="2"/>
        <v/>
      </c>
      <c r="AI69" s="122"/>
      <c r="AJ69" s="363" t="str">
        <f>IF(AI69="","",IF(VLOOKUP(AI69,'G-7 WaterC'' Data'!$AA$4:$AB$7,2,FALSE)=0,"Spatial Data Missing ⚠",VLOOKUP(AI69,'G-7 WaterC'' Data'!$AA$4:$AB$7,2,FALSE)))</f>
        <v/>
      </c>
      <c r="AK69" s="123"/>
      <c r="AL69" s="397" t="str">
        <f>IF(AK69="","",IF(VLOOKUP(AK69,'G-7 WaterC'' Data'!$AD$4:$AE$14,2,FALSE)=0,"Spatial Data Missing ⚠",VLOOKUP(AK69,'G-7 WaterC'' Data'!$AD$4:$AE$14,2,FALSE)))</f>
        <v/>
      </c>
      <c r="AM69" s="122"/>
      <c r="AN69" s="363" t="str">
        <f>IF(AM69="","",IF(VLOOKUP(AM69,'G-7 WaterC'' Data'!$AO$4:$BO$7,2,FALSE)=0,"Spatial Data Missing ⚠",VLOOKUP(AM69,'G-7 WaterC'' Data'!$AO$4:$BO$7,2,FALSE)))</f>
        <v/>
      </c>
      <c r="AO69" s="405" t="str">
        <f t="shared" si="7"/>
        <v/>
      </c>
      <c r="AP69" s="405" t="str">
        <f t="shared" si="8"/>
        <v/>
      </c>
      <c r="AQ69" s="117"/>
      <c r="AR69" s="118"/>
      <c r="AS69" s="120"/>
      <c r="AT69" s="120"/>
      <c r="AY69" s="30" t="str">
        <f>IFERROR(INDEX('G-7 WaterC'' Data'!$AZ$3:$AZ$7,MATCH(N69,'G-7 WaterC'' Data'!$AY$3:$AY$7,0)),"")</f>
        <v/>
      </c>
    </row>
    <row r="70" spans="2:51" ht="15">
      <c r="B70" s="392" t="str">
        <f>'F-1 Off-Site WaterC'' Baseline'!AR68</f>
        <v/>
      </c>
      <c r="C70" s="382" t="str">
        <f>IF(B70="","",VLOOKUP($B70,'F-1 Off-Site WaterC'' Baseline'!$C$9:$R$257,2,FALSE))</f>
        <v/>
      </c>
      <c r="D70" s="382" t="str">
        <f>IF(C70="","",VLOOKUP($B70,'F-1 Off-Site WaterC'' Baseline'!$C$9:$R$257,3,FALSE))</f>
        <v/>
      </c>
      <c r="E70" s="382" t="str">
        <f>IF(D70="","",VLOOKUP($B70,'F-1 Off-Site WaterC'' Baseline'!$C$9:$R$257,4,FALSE))</f>
        <v/>
      </c>
      <c r="F70" s="382" t="str">
        <f>IF(E70="","",VLOOKUP($B70,'F-1 Off-Site WaterC'' Baseline'!$C$9:$R$257,5,FALSE))</f>
        <v/>
      </c>
      <c r="G70" s="382" t="str">
        <f>IF(F70="","",VLOOKUP($B70,'F-1 Off-Site WaterC'' Baseline'!$C$9:$R$257,6,FALSE))</f>
        <v/>
      </c>
      <c r="H70" s="382" t="str">
        <f>IF(G70="","",VLOOKUP($B70,'F-1 Off-Site WaterC'' Baseline'!$C$9:$R$257,7,FALSE))</f>
        <v/>
      </c>
      <c r="I70" s="382" t="str">
        <f>IF(H70="","",VLOOKUP($B70,'F-1 Off-Site WaterC'' Baseline'!$C$9:$R$257,8,FALSE))</f>
        <v/>
      </c>
      <c r="J70" s="382" t="str">
        <f>IF(I70="","",VLOOKUP($B70,'F-1 Off-Site WaterC'' Baseline'!$C$9:$R$257,9,FALSE))</f>
        <v/>
      </c>
      <c r="K70" s="382" t="str">
        <f>IF(J70="","",VLOOKUP($B70,'F-1 Off-Site WaterC'' Baseline'!$C$9:$R$257,10,FALSE))</f>
        <v/>
      </c>
      <c r="L70" s="382" t="str">
        <f>IF(B70="","",VLOOKUP($B70,'F-1 Off-Site WaterC'' Baseline'!$C$9:$R$257,15,FALSE))</f>
        <v/>
      </c>
      <c r="M70" s="386" t="str">
        <f>IF(L70="","",VLOOKUP($B70,'F-1 Off-Site WaterC'' Baseline'!$C$9:$R$257,16,FALSE))</f>
        <v/>
      </c>
      <c r="N70" s="316" t="str">
        <f t="shared" si="0"/>
        <v/>
      </c>
      <c r="O70" s="362" t="str">
        <f t="shared" si="3"/>
        <v/>
      </c>
      <c r="P70" s="363" t="str">
        <f>IF(C70="","",IF(AND(LEFT(C70,55)&lt;&gt;LEFT(N70,55),O70="High - High"),"Error - Not like for like ▲",IF(H70&gt;U70,"Error - Can not reduce condition ▲",IF(AND(F70=S70,H70=U70,AJ70='F-1 Off-Site WaterC'' Baseline'!N68,'F-1 Off-Site WaterC'' Baseline'!P68=AL70),"Error - No enhancement ▲",IF(AND(C70&lt;&gt;N70,F70&lt;S70),"Lower Distinctiveness Habitat"&amp;" - "&amp;T70,G70&amp;" - "&amp;T70)))))</f>
        <v/>
      </c>
      <c r="Q70" s="368" t="str">
        <f>IF(N70="","",VLOOKUP(B70,'F-1 Off-Site WaterC'' Baseline'!$C$10:$AE$257,22,FALSE))</f>
        <v/>
      </c>
      <c r="R70" s="362" t="str">
        <f>IF(N70="","",VLOOKUP(N70,'G-7 WaterC'' Data'!$B$2:$G$8,2,FALSE))</f>
        <v/>
      </c>
      <c r="S70" s="363" t="str">
        <f>IFERROR(VLOOKUP(R70,'G-7 WaterC'' Data'!$C$4:$D$8,2,FALSE),"")</f>
        <v/>
      </c>
      <c r="T70" s="114"/>
      <c r="U70" s="363" t="str">
        <f>IFERROR(INDEX('G-7 WaterC'' Data'!$H$4:$L$8,MATCH(N70,'G-7 WaterC'' Data'!$B$4:$B$8,0),MATCH(T70,'G-7 WaterC'' Data'!$H$3:$L$3,0)),"")</f>
        <v/>
      </c>
      <c r="V70" s="122"/>
      <c r="W70" s="382" t="str">
        <f>IF(V70="","",IF(VLOOKUP(V70,'G-7 WaterC'' Data'!$AK$4:$AM$6,2,FALSE)=0,"Spatial Data Missing ⚠",VLOOKUP(V70,'G-7 WaterC'' Data'!$AK$4:$AM$6,2,FALSE)))</f>
        <v/>
      </c>
      <c r="X70" s="386" t="str">
        <f>IF(V70="","",IF(VLOOKUP(V70,'G-7 WaterC'' Data'!$AK$4:$AM$6,3,FALSE)=0,"Spatial Data Missing ⚠",VLOOKUP(V70,'G-7 WaterC'' Data'!$AK$4:$AM$6,3,FALSE)))</f>
        <v/>
      </c>
      <c r="Y70" s="398" t="str">
        <f>IFERROR(IF(OR(LEFT(P70,5)="Error",LEFT(O70,5)="Error"),"Check Data ⚠",IF(F70&lt;S70,'G-7 WaterC'' Data'!$R$3,INDEX('G-7 WaterC'' Data'!$U$5:$Y$9,MATCH(G70,'G-7 WaterC'' Data'!$T$5:$T$9,0),MATCH(T70,'G-7 WaterC'' Data'!$U$4:$Y$4,0)))),"")</f>
        <v/>
      </c>
      <c r="Z70" s="165"/>
      <c r="AA70" s="165"/>
      <c r="AB70" s="395" t="str">
        <f t="shared" si="4"/>
        <v/>
      </c>
      <c r="AC70" s="383" t="str">
        <f t="shared" si="5"/>
        <v/>
      </c>
      <c r="AD70" s="422" t="str">
        <f>IFERROR(IF(AC70="Check Data ⚠","Check Data ⚠",VLOOKUP(AC70,'G-4 Temporal multipliers'!$A$4:$C$37,3,FALSE)),"")</f>
        <v/>
      </c>
      <c r="AE70" s="398" t="str">
        <f>IF(N70="","",VLOOKUP(N70,'G-7 WaterC'' Data'!$B$4:$G$8,5,FALSE))</f>
        <v/>
      </c>
      <c r="AF70" s="382" t="str">
        <f t="shared" si="1"/>
        <v/>
      </c>
      <c r="AG70" s="382" t="str">
        <f t="shared" si="6"/>
        <v/>
      </c>
      <c r="AH70" s="386" t="str">
        <f t="shared" si="2"/>
        <v/>
      </c>
      <c r="AI70" s="122"/>
      <c r="AJ70" s="363" t="str">
        <f>IF(AI70="","",IF(VLOOKUP(AI70,'G-7 WaterC'' Data'!$AA$4:$AB$7,2,FALSE)=0,"Spatial Data Missing ⚠",VLOOKUP(AI70,'G-7 WaterC'' Data'!$AA$4:$AB$7,2,FALSE)))</f>
        <v/>
      </c>
      <c r="AK70" s="123"/>
      <c r="AL70" s="397" t="str">
        <f>IF(AK70="","",IF(VLOOKUP(AK70,'G-7 WaterC'' Data'!$AD$4:$AE$14,2,FALSE)=0,"Spatial Data Missing ⚠",VLOOKUP(AK70,'G-7 WaterC'' Data'!$AD$4:$AE$14,2,FALSE)))</f>
        <v/>
      </c>
      <c r="AM70" s="122"/>
      <c r="AN70" s="363" t="str">
        <f>IF(AM70="","",IF(VLOOKUP(AM70,'G-7 WaterC'' Data'!$AO$4:$BO$7,2,FALSE)=0,"Spatial Data Missing ⚠",VLOOKUP(AM70,'G-7 WaterC'' Data'!$AO$4:$BO$7,2,FALSE)))</f>
        <v/>
      </c>
      <c r="AO70" s="405" t="str">
        <f t="shared" si="7"/>
        <v/>
      </c>
      <c r="AP70" s="405" t="str">
        <f t="shared" si="8"/>
        <v/>
      </c>
      <c r="AQ70" s="117"/>
      <c r="AR70" s="118"/>
      <c r="AS70" s="120"/>
      <c r="AT70" s="120"/>
      <c r="AY70" s="30" t="str">
        <f>IFERROR(INDEX('G-7 WaterC'' Data'!$AZ$3:$AZ$7,MATCH(N70,'G-7 WaterC'' Data'!$AY$3:$AY$7,0)),"")</f>
        <v/>
      </c>
    </row>
    <row r="71" spans="2:51" ht="15">
      <c r="B71" s="392" t="str">
        <f>'F-1 Off-Site WaterC'' Baseline'!AR69</f>
        <v/>
      </c>
      <c r="C71" s="382" t="str">
        <f>IF(B71="","",VLOOKUP($B71,'F-1 Off-Site WaterC'' Baseline'!$C$9:$R$257,2,FALSE))</f>
        <v/>
      </c>
      <c r="D71" s="382" t="str">
        <f>IF(C71="","",VLOOKUP($B71,'F-1 Off-Site WaterC'' Baseline'!$C$9:$R$257,3,FALSE))</f>
        <v/>
      </c>
      <c r="E71" s="382" t="str">
        <f>IF(D71="","",VLOOKUP($B71,'F-1 Off-Site WaterC'' Baseline'!$C$9:$R$257,4,FALSE))</f>
        <v/>
      </c>
      <c r="F71" s="382" t="str">
        <f>IF(E71="","",VLOOKUP($B71,'F-1 Off-Site WaterC'' Baseline'!$C$9:$R$257,5,FALSE))</f>
        <v/>
      </c>
      <c r="G71" s="382" t="str">
        <f>IF(F71="","",VLOOKUP($B71,'F-1 Off-Site WaterC'' Baseline'!$C$9:$R$257,6,FALSE))</f>
        <v/>
      </c>
      <c r="H71" s="382" t="str">
        <f>IF(G71="","",VLOOKUP($B71,'F-1 Off-Site WaterC'' Baseline'!$C$9:$R$257,7,FALSE))</f>
        <v/>
      </c>
      <c r="I71" s="382" t="str">
        <f>IF(H71="","",VLOOKUP($B71,'F-1 Off-Site WaterC'' Baseline'!$C$9:$R$257,8,FALSE))</f>
        <v/>
      </c>
      <c r="J71" s="382" t="str">
        <f>IF(I71="","",VLOOKUP($B71,'F-1 Off-Site WaterC'' Baseline'!$C$9:$R$257,9,FALSE))</f>
        <v/>
      </c>
      <c r="K71" s="382" t="str">
        <f>IF(J71="","",VLOOKUP($B71,'F-1 Off-Site WaterC'' Baseline'!$C$9:$R$257,10,FALSE))</f>
        <v/>
      </c>
      <c r="L71" s="382" t="str">
        <f>IF(B71="","",VLOOKUP($B71,'F-1 Off-Site WaterC'' Baseline'!$C$9:$R$257,15,FALSE))</f>
        <v/>
      </c>
      <c r="M71" s="386" t="str">
        <f>IF(L71="","",VLOOKUP($B71,'F-1 Off-Site WaterC'' Baseline'!$C$9:$R$257,16,FALSE))</f>
        <v/>
      </c>
      <c r="N71" s="316" t="str">
        <f t="shared" si="0"/>
        <v/>
      </c>
      <c r="O71" s="362" t="str">
        <f t="shared" si="3"/>
        <v/>
      </c>
      <c r="P71" s="363" t="str">
        <f>IF(C71="","",IF(AND(LEFT(C71,55)&lt;&gt;LEFT(N71,55),O71="High - High"),"Error - Not like for like ▲",IF(H71&gt;U71,"Error - Can not reduce condition ▲",IF(AND(F71=S71,H71=U71,AJ71='F-1 Off-Site WaterC'' Baseline'!N69,'F-1 Off-Site WaterC'' Baseline'!P69=AL71),"Error - No enhancement ▲",IF(AND(C71&lt;&gt;N71,F71&lt;S71),"Lower Distinctiveness Habitat"&amp;" - "&amp;T71,G71&amp;" - "&amp;T71)))))</f>
        <v/>
      </c>
      <c r="Q71" s="368" t="str">
        <f>IF(N71="","",VLOOKUP(B71,'F-1 Off-Site WaterC'' Baseline'!$C$10:$AE$257,22,FALSE))</f>
        <v/>
      </c>
      <c r="R71" s="362" t="str">
        <f>IF(N71="","",VLOOKUP(N71,'G-7 WaterC'' Data'!$B$2:$G$8,2,FALSE))</f>
        <v/>
      </c>
      <c r="S71" s="363" t="str">
        <f>IFERROR(VLOOKUP(R71,'G-7 WaterC'' Data'!$C$4:$D$8,2,FALSE),"")</f>
        <v/>
      </c>
      <c r="T71" s="114"/>
      <c r="U71" s="363" t="str">
        <f>IFERROR(INDEX('G-7 WaterC'' Data'!$H$4:$L$8,MATCH(N71,'G-7 WaterC'' Data'!$B$4:$B$8,0),MATCH(T71,'G-7 WaterC'' Data'!$H$3:$L$3,0)),"")</f>
        <v/>
      </c>
      <c r="V71" s="122"/>
      <c r="W71" s="382" t="str">
        <f>IF(V71="","",IF(VLOOKUP(V71,'G-7 WaterC'' Data'!$AK$4:$AM$6,2,FALSE)=0,"Spatial Data Missing ⚠",VLOOKUP(V71,'G-7 WaterC'' Data'!$AK$4:$AM$6,2,FALSE)))</f>
        <v/>
      </c>
      <c r="X71" s="386" t="str">
        <f>IF(V71="","",IF(VLOOKUP(V71,'G-7 WaterC'' Data'!$AK$4:$AM$6,3,FALSE)=0,"Spatial Data Missing ⚠",VLOOKUP(V71,'G-7 WaterC'' Data'!$AK$4:$AM$6,3,FALSE)))</f>
        <v/>
      </c>
      <c r="Y71" s="398" t="str">
        <f>IFERROR(IF(OR(LEFT(P71,5)="Error",LEFT(O71,5)="Error"),"Check Data ⚠",IF(F71&lt;S71,'G-7 WaterC'' Data'!$R$3,INDEX('G-7 WaterC'' Data'!$U$5:$Y$9,MATCH(G71,'G-7 WaterC'' Data'!$T$5:$T$9,0),MATCH(T71,'G-7 WaterC'' Data'!$U$4:$Y$4,0)))),"")</f>
        <v/>
      </c>
      <c r="Z71" s="165"/>
      <c r="AA71" s="165"/>
      <c r="AB71" s="395" t="str">
        <f t="shared" si="4"/>
        <v/>
      </c>
      <c r="AC71" s="383" t="str">
        <f t="shared" si="5"/>
        <v/>
      </c>
      <c r="AD71" s="422" t="str">
        <f>IFERROR(IF(AC71="Check Data ⚠","Check Data ⚠",VLOOKUP(AC71,'G-4 Temporal multipliers'!$A$4:$C$37,3,FALSE)),"")</f>
        <v/>
      </c>
      <c r="AE71" s="398" t="str">
        <f>IF(N71="","",VLOOKUP(N71,'G-7 WaterC'' Data'!$B$4:$G$8,5,FALSE))</f>
        <v/>
      </c>
      <c r="AF71" s="382" t="str">
        <f t="shared" si="1"/>
        <v/>
      </c>
      <c r="AG71" s="382" t="str">
        <f t="shared" si="6"/>
        <v/>
      </c>
      <c r="AH71" s="386" t="str">
        <f t="shared" si="2"/>
        <v/>
      </c>
      <c r="AI71" s="122"/>
      <c r="AJ71" s="363" t="str">
        <f>IF(AI71="","",IF(VLOOKUP(AI71,'G-7 WaterC'' Data'!$AA$4:$AB$7,2,FALSE)=0,"Spatial Data Missing ⚠",VLOOKUP(AI71,'G-7 WaterC'' Data'!$AA$4:$AB$7,2,FALSE)))</f>
        <v/>
      </c>
      <c r="AK71" s="123"/>
      <c r="AL71" s="397" t="str">
        <f>IF(AK71="","",IF(VLOOKUP(AK71,'G-7 WaterC'' Data'!$AD$4:$AE$14,2,FALSE)=0,"Spatial Data Missing ⚠",VLOOKUP(AK71,'G-7 WaterC'' Data'!$AD$4:$AE$14,2,FALSE)))</f>
        <v/>
      </c>
      <c r="AM71" s="122"/>
      <c r="AN71" s="363" t="str">
        <f>IF(AM71="","",IF(VLOOKUP(AM71,'G-7 WaterC'' Data'!$AO$4:$BO$7,2,FALSE)=0,"Spatial Data Missing ⚠",VLOOKUP(AM71,'G-7 WaterC'' Data'!$AO$4:$BO$7,2,FALSE)))</f>
        <v/>
      </c>
      <c r="AO71" s="405" t="str">
        <f t="shared" si="7"/>
        <v/>
      </c>
      <c r="AP71" s="405" t="str">
        <f t="shared" si="8"/>
        <v/>
      </c>
      <c r="AQ71" s="117"/>
      <c r="AR71" s="118"/>
      <c r="AS71" s="120"/>
      <c r="AT71" s="120"/>
      <c r="AY71" s="30" t="str">
        <f>IFERROR(INDEX('G-7 WaterC'' Data'!$AZ$3:$AZ$7,MATCH(N71,'G-7 WaterC'' Data'!$AY$3:$AY$7,0)),"")</f>
        <v/>
      </c>
    </row>
    <row r="72" spans="2:51" ht="15">
      <c r="B72" s="392" t="str">
        <f>'F-1 Off-Site WaterC'' Baseline'!AR70</f>
        <v/>
      </c>
      <c r="C72" s="382" t="str">
        <f>IF(B72="","",VLOOKUP($B72,'F-1 Off-Site WaterC'' Baseline'!$C$9:$R$257,2,FALSE))</f>
        <v/>
      </c>
      <c r="D72" s="382" t="str">
        <f>IF(C72="","",VLOOKUP($B72,'F-1 Off-Site WaterC'' Baseline'!$C$9:$R$257,3,FALSE))</f>
        <v/>
      </c>
      <c r="E72" s="382" t="str">
        <f>IF(D72="","",VLOOKUP($B72,'F-1 Off-Site WaterC'' Baseline'!$C$9:$R$257,4,FALSE))</f>
        <v/>
      </c>
      <c r="F72" s="382" t="str">
        <f>IF(E72="","",VLOOKUP($B72,'F-1 Off-Site WaterC'' Baseline'!$C$9:$R$257,5,FALSE))</f>
        <v/>
      </c>
      <c r="G72" s="382" t="str">
        <f>IF(F72="","",VLOOKUP($B72,'F-1 Off-Site WaterC'' Baseline'!$C$9:$R$257,6,FALSE))</f>
        <v/>
      </c>
      <c r="H72" s="382" t="str">
        <f>IF(G72="","",VLOOKUP($B72,'F-1 Off-Site WaterC'' Baseline'!$C$9:$R$257,7,FALSE))</f>
        <v/>
      </c>
      <c r="I72" s="382" t="str">
        <f>IF(H72="","",VLOOKUP($B72,'F-1 Off-Site WaterC'' Baseline'!$C$9:$R$257,8,FALSE))</f>
        <v/>
      </c>
      <c r="J72" s="382" t="str">
        <f>IF(I72="","",VLOOKUP($B72,'F-1 Off-Site WaterC'' Baseline'!$C$9:$R$257,9,FALSE))</f>
        <v/>
      </c>
      <c r="K72" s="382" t="str">
        <f>IF(J72="","",VLOOKUP($B72,'F-1 Off-Site WaterC'' Baseline'!$C$9:$R$257,10,FALSE))</f>
        <v/>
      </c>
      <c r="L72" s="382" t="str">
        <f>IF(B72="","",VLOOKUP($B72,'F-1 Off-Site WaterC'' Baseline'!$C$9:$R$257,15,FALSE))</f>
        <v/>
      </c>
      <c r="M72" s="386" t="str">
        <f>IF(L72="","",VLOOKUP($B72,'F-1 Off-Site WaterC'' Baseline'!$C$9:$R$257,16,FALSE))</f>
        <v/>
      </c>
      <c r="N72" s="316" t="str">
        <f t="shared" si="0"/>
        <v/>
      </c>
      <c r="O72" s="362" t="str">
        <f t="shared" si="3"/>
        <v/>
      </c>
      <c r="P72" s="363" t="str">
        <f>IF(C72="","",IF(AND(LEFT(C72,55)&lt;&gt;LEFT(N72,55),O72="High - High"),"Error - Not like for like ▲",IF(H72&gt;U72,"Error - Can not reduce condition ▲",IF(AND(F72=S72,H72=U72,AJ72='F-1 Off-Site WaterC'' Baseline'!N70,'F-1 Off-Site WaterC'' Baseline'!P70=AL72),"Error - No enhancement ▲",IF(AND(C72&lt;&gt;N72,F72&lt;S72),"Lower Distinctiveness Habitat"&amp;" - "&amp;T72,G72&amp;" - "&amp;T72)))))</f>
        <v/>
      </c>
      <c r="Q72" s="368" t="str">
        <f>IF(N72="","",VLOOKUP(B72,'F-1 Off-Site WaterC'' Baseline'!$C$10:$AE$257,22,FALSE))</f>
        <v/>
      </c>
      <c r="R72" s="362" t="str">
        <f>IF(N72="","",VLOOKUP(N72,'G-7 WaterC'' Data'!$B$2:$G$8,2,FALSE))</f>
        <v/>
      </c>
      <c r="S72" s="363" t="str">
        <f>IFERROR(VLOOKUP(R72,'G-7 WaterC'' Data'!$C$4:$D$8,2,FALSE),"")</f>
        <v/>
      </c>
      <c r="T72" s="114"/>
      <c r="U72" s="363" t="str">
        <f>IFERROR(INDEX('G-7 WaterC'' Data'!$H$4:$L$8,MATCH(N72,'G-7 WaterC'' Data'!$B$4:$B$8,0),MATCH(T72,'G-7 WaterC'' Data'!$H$3:$L$3,0)),"")</f>
        <v/>
      </c>
      <c r="V72" s="122"/>
      <c r="W72" s="382" t="str">
        <f>IF(V72="","",IF(VLOOKUP(V72,'G-7 WaterC'' Data'!$AK$4:$AM$6,2,FALSE)=0,"Spatial Data Missing ⚠",VLOOKUP(V72,'G-7 WaterC'' Data'!$AK$4:$AM$6,2,FALSE)))</f>
        <v/>
      </c>
      <c r="X72" s="386" t="str">
        <f>IF(V72="","",IF(VLOOKUP(V72,'G-7 WaterC'' Data'!$AK$4:$AM$6,3,FALSE)=0,"Spatial Data Missing ⚠",VLOOKUP(V72,'G-7 WaterC'' Data'!$AK$4:$AM$6,3,FALSE)))</f>
        <v/>
      </c>
      <c r="Y72" s="398" t="str">
        <f>IFERROR(IF(OR(LEFT(P72,5)="Error",LEFT(O72,5)="Error"),"Check Data ⚠",IF(F72&lt;S72,'G-7 WaterC'' Data'!$R$3,INDEX('G-7 WaterC'' Data'!$U$5:$Y$9,MATCH(G72,'G-7 WaterC'' Data'!$T$5:$T$9,0),MATCH(T72,'G-7 WaterC'' Data'!$U$4:$Y$4,0)))),"")</f>
        <v/>
      </c>
      <c r="Z72" s="165"/>
      <c r="AA72" s="165"/>
      <c r="AB72" s="395" t="str">
        <f t="shared" si="4"/>
        <v/>
      </c>
      <c r="AC72" s="383" t="str">
        <f t="shared" si="5"/>
        <v/>
      </c>
      <c r="AD72" s="422" t="str">
        <f>IFERROR(IF(AC72="Check Data ⚠","Check Data ⚠",VLOOKUP(AC72,'G-4 Temporal multipliers'!$A$4:$C$37,3,FALSE)),"")</f>
        <v/>
      </c>
      <c r="AE72" s="398" t="str">
        <f>IF(N72="","",VLOOKUP(N72,'G-7 WaterC'' Data'!$B$4:$G$8,5,FALSE))</f>
        <v/>
      </c>
      <c r="AF72" s="382" t="str">
        <f t="shared" si="1"/>
        <v/>
      </c>
      <c r="AG72" s="382" t="str">
        <f t="shared" si="6"/>
        <v/>
      </c>
      <c r="AH72" s="386" t="str">
        <f t="shared" si="2"/>
        <v/>
      </c>
      <c r="AI72" s="122"/>
      <c r="AJ72" s="363" t="str">
        <f>IF(AI72="","",IF(VLOOKUP(AI72,'G-7 WaterC'' Data'!$AA$4:$AB$7,2,FALSE)=0,"Spatial Data Missing ⚠",VLOOKUP(AI72,'G-7 WaterC'' Data'!$AA$4:$AB$7,2,FALSE)))</f>
        <v/>
      </c>
      <c r="AK72" s="123"/>
      <c r="AL72" s="397" t="str">
        <f>IF(AK72="","",IF(VLOOKUP(AK72,'G-7 WaterC'' Data'!$AD$4:$AE$14,2,FALSE)=0,"Spatial Data Missing ⚠",VLOOKUP(AK72,'G-7 WaterC'' Data'!$AD$4:$AE$14,2,FALSE)))</f>
        <v/>
      </c>
      <c r="AM72" s="122"/>
      <c r="AN72" s="363" t="str">
        <f>IF(AM72="","",IF(VLOOKUP(AM72,'G-7 WaterC'' Data'!$AO$4:$BO$7,2,FALSE)=0,"Spatial Data Missing ⚠",VLOOKUP(AM72,'G-7 WaterC'' Data'!$AO$4:$BO$7,2,FALSE)))</f>
        <v/>
      </c>
      <c r="AO72" s="405" t="str">
        <f t="shared" si="7"/>
        <v/>
      </c>
      <c r="AP72" s="405" t="str">
        <f t="shared" si="8"/>
        <v/>
      </c>
      <c r="AQ72" s="117"/>
      <c r="AR72" s="118"/>
      <c r="AS72" s="120"/>
      <c r="AT72" s="120"/>
      <c r="AY72" s="30" t="str">
        <f>IFERROR(INDEX('G-7 WaterC'' Data'!$AZ$3:$AZ$7,MATCH(N72,'G-7 WaterC'' Data'!$AY$3:$AY$7,0)),"")</f>
        <v/>
      </c>
    </row>
    <row r="73" spans="2:51" ht="15">
      <c r="B73" s="392" t="str">
        <f>'F-1 Off-Site WaterC'' Baseline'!AR71</f>
        <v/>
      </c>
      <c r="C73" s="382" t="str">
        <f>IF(B73="","",VLOOKUP($B73,'F-1 Off-Site WaterC'' Baseline'!$C$9:$R$257,2,FALSE))</f>
        <v/>
      </c>
      <c r="D73" s="382" t="str">
        <f>IF(C73="","",VLOOKUP($B73,'F-1 Off-Site WaterC'' Baseline'!$C$9:$R$257,3,FALSE))</f>
        <v/>
      </c>
      <c r="E73" s="382" t="str">
        <f>IF(D73="","",VLOOKUP($B73,'F-1 Off-Site WaterC'' Baseline'!$C$9:$R$257,4,FALSE))</f>
        <v/>
      </c>
      <c r="F73" s="382" t="str">
        <f>IF(E73="","",VLOOKUP($B73,'F-1 Off-Site WaterC'' Baseline'!$C$9:$R$257,5,FALSE))</f>
        <v/>
      </c>
      <c r="G73" s="382" t="str">
        <f>IF(F73="","",VLOOKUP($B73,'F-1 Off-Site WaterC'' Baseline'!$C$9:$R$257,6,FALSE))</f>
        <v/>
      </c>
      <c r="H73" s="382" t="str">
        <f>IF(G73="","",VLOOKUP($B73,'F-1 Off-Site WaterC'' Baseline'!$C$9:$R$257,7,FALSE))</f>
        <v/>
      </c>
      <c r="I73" s="382" t="str">
        <f>IF(H73="","",VLOOKUP($B73,'F-1 Off-Site WaterC'' Baseline'!$C$9:$R$257,8,FALSE))</f>
        <v/>
      </c>
      <c r="J73" s="382" t="str">
        <f>IF(I73="","",VLOOKUP($B73,'F-1 Off-Site WaterC'' Baseline'!$C$9:$R$257,9,FALSE))</f>
        <v/>
      </c>
      <c r="K73" s="382" t="str">
        <f>IF(J73="","",VLOOKUP($B73,'F-1 Off-Site WaterC'' Baseline'!$C$9:$R$257,10,FALSE))</f>
        <v/>
      </c>
      <c r="L73" s="382" t="str">
        <f>IF(B73="","",VLOOKUP($B73,'F-1 Off-Site WaterC'' Baseline'!$C$9:$R$257,15,FALSE))</f>
        <v/>
      </c>
      <c r="M73" s="386" t="str">
        <f>IF(L73="","",VLOOKUP($B73,'F-1 Off-Site WaterC'' Baseline'!$C$9:$R$257,16,FALSE))</f>
        <v/>
      </c>
      <c r="N73" s="316" t="str">
        <f t="shared" si="0"/>
        <v/>
      </c>
      <c r="O73" s="362" t="str">
        <f t="shared" si="3"/>
        <v/>
      </c>
      <c r="P73" s="363" t="str">
        <f>IF(C73="","",IF(AND(LEFT(C73,55)&lt;&gt;LEFT(N73,55),O73="High - High"),"Error - Not like for like ▲",IF(H73&gt;U73,"Error - Can not reduce condition ▲",IF(AND(F73=S73,H73=U73,AJ73='F-1 Off-Site WaterC'' Baseline'!N71,'F-1 Off-Site WaterC'' Baseline'!P71=AL73),"Error - No enhancement ▲",IF(AND(C73&lt;&gt;N73,F73&lt;S73),"Lower Distinctiveness Habitat"&amp;" - "&amp;T73,G73&amp;" - "&amp;T73)))))</f>
        <v/>
      </c>
      <c r="Q73" s="368" t="str">
        <f>IF(N73="","",VLOOKUP(B73,'F-1 Off-Site WaterC'' Baseline'!$C$10:$AE$257,22,FALSE))</f>
        <v/>
      </c>
      <c r="R73" s="362" t="str">
        <f>IF(N73="","",VLOOKUP(N73,'G-7 WaterC'' Data'!$B$2:$G$8,2,FALSE))</f>
        <v/>
      </c>
      <c r="S73" s="363" t="str">
        <f>IFERROR(VLOOKUP(R73,'G-7 WaterC'' Data'!$C$4:$D$8,2,FALSE),"")</f>
        <v/>
      </c>
      <c r="T73" s="114"/>
      <c r="U73" s="363" t="str">
        <f>IFERROR(INDEX('G-7 WaterC'' Data'!$H$4:$L$8,MATCH(N73,'G-7 WaterC'' Data'!$B$4:$B$8,0),MATCH(T73,'G-7 WaterC'' Data'!$H$3:$L$3,0)),"")</f>
        <v/>
      </c>
      <c r="V73" s="122"/>
      <c r="W73" s="382" t="str">
        <f>IF(V73="","",IF(VLOOKUP(V73,'G-7 WaterC'' Data'!$AK$4:$AM$6,2,FALSE)=0,"Spatial Data Missing ⚠",VLOOKUP(V73,'G-7 WaterC'' Data'!$AK$4:$AM$6,2,FALSE)))</f>
        <v/>
      </c>
      <c r="X73" s="386" t="str">
        <f>IF(V73="","",IF(VLOOKUP(V73,'G-7 WaterC'' Data'!$AK$4:$AM$6,3,FALSE)=0,"Spatial Data Missing ⚠",VLOOKUP(V73,'G-7 WaterC'' Data'!$AK$4:$AM$6,3,FALSE)))</f>
        <v/>
      </c>
      <c r="Y73" s="398" t="str">
        <f>IFERROR(IF(OR(LEFT(P73,5)="Error",LEFT(O73,5)="Error"),"Check Data ⚠",IF(F73&lt;S73,'G-7 WaterC'' Data'!$R$3,INDEX('G-7 WaterC'' Data'!$U$5:$Y$9,MATCH(G73,'G-7 WaterC'' Data'!$T$5:$T$9,0),MATCH(T73,'G-7 WaterC'' Data'!$U$4:$Y$4,0)))),"")</f>
        <v/>
      </c>
      <c r="Z73" s="165"/>
      <c r="AA73" s="165"/>
      <c r="AB73" s="395" t="str">
        <f t="shared" si="4"/>
        <v/>
      </c>
      <c r="AC73" s="383" t="str">
        <f t="shared" si="5"/>
        <v/>
      </c>
      <c r="AD73" s="422" t="str">
        <f>IFERROR(IF(AC73="Check Data ⚠","Check Data ⚠",VLOOKUP(AC73,'G-4 Temporal multipliers'!$A$4:$C$37,3,FALSE)),"")</f>
        <v/>
      </c>
      <c r="AE73" s="398" t="str">
        <f>IF(N73="","",VLOOKUP(N73,'G-7 WaterC'' Data'!$B$4:$G$8,5,FALSE))</f>
        <v/>
      </c>
      <c r="AF73" s="382" t="str">
        <f t="shared" si="1"/>
        <v/>
      </c>
      <c r="AG73" s="382" t="str">
        <f t="shared" si="6"/>
        <v/>
      </c>
      <c r="AH73" s="386" t="str">
        <f t="shared" si="2"/>
        <v/>
      </c>
      <c r="AI73" s="122"/>
      <c r="AJ73" s="363" t="str">
        <f>IF(AI73="","",IF(VLOOKUP(AI73,'G-7 WaterC'' Data'!$AA$4:$AB$7,2,FALSE)=0,"Spatial Data Missing ⚠",VLOOKUP(AI73,'G-7 WaterC'' Data'!$AA$4:$AB$7,2,FALSE)))</f>
        <v/>
      </c>
      <c r="AK73" s="123"/>
      <c r="AL73" s="397" t="str">
        <f>IF(AK73="","",IF(VLOOKUP(AK73,'G-7 WaterC'' Data'!$AD$4:$AE$14,2,FALSE)=0,"Spatial Data Missing ⚠",VLOOKUP(AK73,'G-7 WaterC'' Data'!$AD$4:$AE$14,2,FALSE)))</f>
        <v/>
      </c>
      <c r="AM73" s="122"/>
      <c r="AN73" s="363" t="str">
        <f>IF(AM73="","",IF(VLOOKUP(AM73,'G-7 WaterC'' Data'!$AO$4:$BO$7,2,FALSE)=0,"Spatial Data Missing ⚠",VLOOKUP(AM73,'G-7 WaterC'' Data'!$AO$4:$BO$7,2,FALSE)))</f>
        <v/>
      </c>
      <c r="AO73" s="405" t="str">
        <f t="shared" si="7"/>
        <v/>
      </c>
      <c r="AP73" s="405" t="str">
        <f t="shared" si="8"/>
        <v/>
      </c>
      <c r="AQ73" s="117"/>
      <c r="AR73" s="118"/>
      <c r="AS73" s="120"/>
      <c r="AT73" s="120"/>
      <c r="AY73" s="30" t="str">
        <f>IFERROR(INDEX('G-7 WaterC'' Data'!$AZ$3:$AZ$7,MATCH(N73,'G-7 WaterC'' Data'!$AY$3:$AY$7,0)),"")</f>
        <v/>
      </c>
    </row>
    <row r="74" spans="2:51" ht="15">
      <c r="B74" s="392" t="str">
        <f>'F-1 Off-Site WaterC'' Baseline'!AR72</f>
        <v/>
      </c>
      <c r="C74" s="382" t="str">
        <f>IF(B74="","",VLOOKUP($B74,'F-1 Off-Site WaterC'' Baseline'!$C$9:$R$257,2,FALSE))</f>
        <v/>
      </c>
      <c r="D74" s="382" t="str">
        <f>IF(C74="","",VLOOKUP($B74,'F-1 Off-Site WaterC'' Baseline'!$C$9:$R$257,3,FALSE))</f>
        <v/>
      </c>
      <c r="E74" s="382" t="str">
        <f>IF(D74="","",VLOOKUP($B74,'F-1 Off-Site WaterC'' Baseline'!$C$9:$R$257,4,FALSE))</f>
        <v/>
      </c>
      <c r="F74" s="382" t="str">
        <f>IF(E74="","",VLOOKUP($B74,'F-1 Off-Site WaterC'' Baseline'!$C$9:$R$257,5,FALSE))</f>
        <v/>
      </c>
      <c r="G74" s="382" t="str">
        <f>IF(F74="","",VLOOKUP($B74,'F-1 Off-Site WaterC'' Baseline'!$C$9:$R$257,6,FALSE))</f>
        <v/>
      </c>
      <c r="H74" s="382" t="str">
        <f>IF(G74="","",VLOOKUP($B74,'F-1 Off-Site WaterC'' Baseline'!$C$9:$R$257,7,FALSE))</f>
        <v/>
      </c>
      <c r="I74" s="382" t="str">
        <f>IF(H74="","",VLOOKUP($B74,'F-1 Off-Site WaterC'' Baseline'!$C$9:$R$257,8,FALSE))</f>
        <v/>
      </c>
      <c r="J74" s="382" t="str">
        <f>IF(I74="","",VLOOKUP($B74,'F-1 Off-Site WaterC'' Baseline'!$C$9:$R$257,9,FALSE))</f>
        <v/>
      </c>
      <c r="K74" s="382" t="str">
        <f>IF(J74="","",VLOOKUP($B74,'F-1 Off-Site WaterC'' Baseline'!$C$9:$R$257,10,FALSE))</f>
        <v/>
      </c>
      <c r="L74" s="382" t="str">
        <f>IF(B74="","",VLOOKUP($B74,'F-1 Off-Site WaterC'' Baseline'!$C$9:$R$257,15,FALSE))</f>
        <v/>
      </c>
      <c r="M74" s="386" t="str">
        <f>IF(L74="","",VLOOKUP($B74,'F-1 Off-Site WaterC'' Baseline'!$C$9:$R$257,16,FALSE))</f>
        <v/>
      </c>
      <c r="N74" s="316" t="str">
        <f t="shared" si="0"/>
        <v/>
      </c>
      <c r="O74" s="362" t="str">
        <f t="shared" si="3"/>
        <v/>
      </c>
      <c r="P74" s="363" t="str">
        <f>IF(C74="","",IF(AND(LEFT(C74,55)&lt;&gt;LEFT(N74,55),O74="High - High"),"Error - Not like for like ▲",IF(H74&gt;U74,"Error - Can not reduce condition ▲",IF(AND(F74=S74,H74=U74,AJ74='F-1 Off-Site WaterC'' Baseline'!N72,'F-1 Off-Site WaterC'' Baseline'!P72=AL74),"Error - No enhancement ▲",IF(AND(C74&lt;&gt;N74,F74&lt;S74),"Lower Distinctiveness Habitat"&amp;" - "&amp;T74,G74&amp;" - "&amp;T74)))))</f>
        <v/>
      </c>
      <c r="Q74" s="368" t="str">
        <f>IF(N74="","",VLOOKUP(B74,'F-1 Off-Site WaterC'' Baseline'!$C$10:$AE$257,22,FALSE))</f>
        <v/>
      </c>
      <c r="R74" s="362" t="str">
        <f>IF(N74="","",VLOOKUP(N74,'G-7 WaterC'' Data'!$B$2:$G$8,2,FALSE))</f>
        <v/>
      </c>
      <c r="S74" s="363" t="str">
        <f>IFERROR(VLOOKUP(R74,'G-7 WaterC'' Data'!$C$4:$D$8,2,FALSE),"")</f>
        <v/>
      </c>
      <c r="T74" s="114"/>
      <c r="U74" s="363" t="str">
        <f>IFERROR(INDEX('G-7 WaterC'' Data'!$H$4:$L$8,MATCH(N74,'G-7 WaterC'' Data'!$B$4:$B$8,0),MATCH(T74,'G-7 WaterC'' Data'!$H$3:$L$3,0)),"")</f>
        <v/>
      </c>
      <c r="V74" s="122"/>
      <c r="W74" s="382" t="str">
        <f>IF(V74="","",IF(VLOOKUP(V74,'G-7 WaterC'' Data'!$AK$4:$AM$6,2,FALSE)=0,"Spatial Data Missing ⚠",VLOOKUP(V74,'G-7 WaterC'' Data'!$AK$4:$AM$6,2,FALSE)))</f>
        <v/>
      </c>
      <c r="X74" s="386" t="str">
        <f>IF(V74="","",IF(VLOOKUP(V74,'G-7 WaterC'' Data'!$AK$4:$AM$6,3,FALSE)=0,"Spatial Data Missing ⚠",VLOOKUP(V74,'G-7 WaterC'' Data'!$AK$4:$AM$6,3,FALSE)))</f>
        <v/>
      </c>
      <c r="Y74" s="398" t="str">
        <f>IFERROR(IF(OR(LEFT(P74,5)="Error",LEFT(O74,5)="Error"),"Check Data ⚠",IF(F74&lt;S74,'G-7 WaterC'' Data'!$R$3,INDEX('G-7 WaterC'' Data'!$U$5:$Y$9,MATCH(G74,'G-7 WaterC'' Data'!$T$5:$T$9,0),MATCH(T74,'G-7 WaterC'' Data'!$U$4:$Y$4,0)))),"")</f>
        <v/>
      </c>
      <c r="Z74" s="165"/>
      <c r="AA74" s="165"/>
      <c r="AB74" s="395" t="str">
        <f t="shared" si="4"/>
        <v/>
      </c>
      <c r="AC74" s="383" t="str">
        <f t="shared" si="5"/>
        <v/>
      </c>
      <c r="AD74" s="422" t="str">
        <f>IFERROR(IF(AC74="Check Data ⚠","Check Data ⚠",VLOOKUP(AC74,'G-4 Temporal multipliers'!$A$4:$C$37,3,FALSE)),"")</f>
        <v/>
      </c>
      <c r="AE74" s="398" t="str">
        <f>IF(N74="","",VLOOKUP(N74,'G-7 WaterC'' Data'!$B$4:$G$8,5,FALSE))</f>
        <v/>
      </c>
      <c r="AF74" s="382" t="str">
        <f t="shared" si="1"/>
        <v/>
      </c>
      <c r="AG74" s="382" t="str">
        <f t="shared" si="6"/>
        <v/>
      </c>
      <c r="AH74" s="386" t="str">
        <f t="shared" si="2"/>
        <v/>
      </c>
      <c r="AI74" s="122"/>
      <c r="AJ74" s="363" t="str">
        <f>IF(AI74="","",IF(VLOOKUP(AI74,'G-7 WaterC'' Data'!$AA$4:$AB$7,2,FALSE)=0,"Spatial Data Missing ⚠",VLOOKUP(AI74,'G-7 WaterC'' Data'!$AA$4:$AB$7,2,FALSE)))</f>
        <v/>
      </c>
      <c r="AK74" s="123"/>
      <c r="AL74" s="397" t="str">
        <f>IF(AK74="","",IF(VLOOKUP(AK74,'G-7 WaterC'' Data'!$AD$4:$AE$14,2,FALSE)=0,"Spatial Data Missing ⚠",VLOOKUP(AK74,'G-7 WaterC'' Data'!$AD$4:$AE$14,2,FALSE)))</f>
        <v/>
      </c>
      <c r="AM74" s="122"/>
      <c r="AN74" s="363" t="str">
        <f>IF(AM74="","",IF(VLOOKUP(AM74,'G-7 WaterC'' Data'!$AO$4:$BO$7,2,FALSE)=0,"Spatial Data Missing ⚠",VLOOKUP(AM74,'G-7 WaterC'' Data'!$AO$4:$BO$7,2,FALSE)))</f>
        <v/>
      </c>
      <c r="AO74" s="405" t="str">
        <f t="shared" si="7"/>
        <v/>
      </c>
      <c r="AP74" s="405" t="str">
        <f t="shared" si="8"/>
        <v/>
      </c>
      <c r="AQ74" s="117"/>
      <c r="AR74" s="118"/>
      <c r="AS74" s="120"/>
      <c r="AT74" s="120"/>
      <c r="AY74" s="30" t="str">
        <f>IFERROR(INDEX('G-7 WaterC'' Data'!$AZ$3:$AZ$7,MATCH(N74,'G-7 WaterC'' Data'!$AY$3:$AY$7,0)),"")</f>
        <v/>
      </c>
    </row>
    <row r="75" spans="2:51" ht="15">
      <c r="B75" s="392" t="str">
        <f>'F-1 Off-Site WaterC'' Baseline'!AR73</f>
        <v/>
      </c>
      <c r="C75" s="382" t="str">
        <f>IF(B75="","",VLOOKUP($B75,'F-1 Off-Site WaterC'' Baseline'!$C$9:$R$257,2,FALSE))</f>
        <v/>
      </c>
      <c r="D75" s="382" t="str">
        <f>IF(C75="","",VLOOKUP($B75,'F-1 Off-Site WaterC'' Baseline'!$C$9:$R$257,3,FALSE))</f>
        <v/>
      </c>
      <c r="E75" s="382" t="str">
        <f>IF(D75="","",VLOOKUP($B75,'F-1 Off-Site WaterC'' Baseline'!$C$9:$R$257,4,FALSE))</f>
        <v/>
      </c>
      <c r="F75" s="382" t="str">
        <f>IF(E75="","",VLOOKUP($B75,'F-1 Off-Site WaterC'' Baseline'!$C$9:$R$257,5,FALSE))</f>
        <v/>
      </c>
      <c r="G75" s="382" t="str">
        <f>IF(F75="","",VLOOKUP($B75,'F-1 Off-Site WaterC'' Baseline'!$C$9:$R$257,6,FALSE))</f>
        <v/>
      </c>
      <c r="H75" s="382" t="str">
        <f>IF(G75="","",VLOOKUP($B75,'F-1 Off-Site WaterC'' Baseline'!$C$9:$R$257,7,FALSE))</f>
        <v/>
      </c>
      <c r="I75" s="382" t="str">
        <f>IF(H75="","",VLOOKUP($B75,'F-1 Off-Site WaterC'' Baseline'!$C$9:$R$257,8,FALSE))</f>
        <v/>
      </c>
      <c r="J75" s="382" t="str">
        <f>IF(I75="","",VLOOKUP($B75,'F-1 Off-Site WaterC'' Baseline'!$C$9:$R$257,9,FALSE))</f>
        <v/>
      </c>
      <c r="K75" s="382" t="str">
        <f>IF(J75="","",VLOOKUP($B75,'F-1 Off-Site WaterC'' Baseline'!$C$9:$R$257,10,FALSE))</f>
        <v/>
      </c>
      <c r="L75" s="382" t="str">
        <f>IF(B75="","",VLOOKUP($B75,'F-1 Off-Site WaterC'' Baseline'!$C$9:$R$257,15,FALSE))</f>
        <v/>
      </c>
      <c r="M75" s="386" t="str">
        <f>IF(L75="","",VLOOKUP($B75,'F-1 Off-Site WaterC'' Baseline'!$C$9:$R$257,16,FALSE))</f>
        <v/>
      </c>
      <c r="N75" s="316" t="str">
        <f t="shared" si="0"/>
        <v/>
      </c>
      <c r="O75" s="362" t="str">
        <f t="shared" si="3"/>
        <v/>
      </c>
      <c r="P75" s="363" t="str">
        <f>IF(C75="","",IF(AND(LEFT(C75,55)&lt;&gt;LEFT(N75,55),O75="High - High"),"Error - Not like for like ▲",IF(H75&gt;U75,"Error - Can not reduce condition ▲",IF(AND(F75=S75,H75=U75,AJ75='F-1 Off-Site WaterC'' Baseline'!N73,'F-1 Off-Site WaterC'' Baseline'!P73=AL75),"Error - No enhancement ▲",IF(AND(C75&lt;&gt;N75,F75&lt;S75),"Lower Distinctiveness Habitat"&amp;" - "&amp;T75,G75&amp;" - "&amp;T75)))))</f>
        <v/>
      </c>
      <c r="Q75" s="368" t="str">
        <f>IF(N75="","",VLOOKUP(B75,'F-1 Off-Site WaterC'' Baseline'!$C$10:$AE$257,22,FALSE))</f>
        <v/>
      </c>
      <c r="R75" s="362" t="str">
        <f>IF(N75="","",VLOOKUP(N75,'G-7 WaterC'' Data'!$B$2:$G$8,2,FALSE))</f>
        <v/>
      </c>
      <c r="S75" s="363" t="str">
        <f>IFERROR(VLOOKUP(R75,'G-7 WaterC'' Data'!$C$4:$D$8,2,FALSE),"")</f>
        <v/>
      </c>
      <c r="T75" s="114"/>
      <c r="U75" s="363" t="str">
        <f>IFERROR(INDEX('G-7 WaterC'' Data'!$H$4:$L$8,MATCH(N75,'G-7 WaterC'' Data'!$B$4:$B$8,0),MATCH(T75,'G-7 WaterC'' Data'!$H$3:$L$3,0)),"")</f>
        <v/>
      </c>
      <c r="V75" s="122"/>
      <c r="W75" s="382" t="str">
        <f>IF(V75="","",IF(VLOOKUP(V75,'G-7 WaterC'' Data'!$AK$4:$AM$6,2,FALSE)=0,"Spatial Data Missing ⚠",VLOOKUP(V75,'G-7 WaterC'' Data'!$AK$4:$AM$6,2,FALSE)))</f>
        <v/>
      </c>
      <c r="X75" s="386" t="str">
        <f>IF(V75="","",IF(VLOOKUP(V75,'G-7 WaterC'' Data'!$AK$4:$AM$6,3,FALSE)=0,"Spatial Data Missing ⚠",VLOOKUP(V75,'G-7 WaterC'' Data'!$AK$4:$AM$6,3,FALSE)))</f>
        <v/>
      </c>
      <c r="Y75" s="398" t="str">
        <f>IFERROR(IF(OR(LEFT(P75,5)="Error",LEFT(O75,5)="Error"),"Check Data ⚠",IF(F75&lt;S75,'G-7 WaterC'' Data'!$R$3,INDEX('G-7 WaterC'' Data'!$U$5:$Y$9,MATCH(G75,'G-7 WaterC'' Data'!$T$5:$T$9,0),MATCH(T75,'G-7 WaterC'' Data'!$U$4:$Y$4,0)))),"")</f>
        <v/>
      </c>
      <c r="Z75" s="165"/>
      <c r="AA75" s="165"/>
      <c r="AB75" s="395" t="str">
        <f t="shared" si="4"/>
        <v/>
      </c>
      <c r="AC75" s="383" t="str">
        <f t="shared" si="5"/>
        <v/>
      </c>
      <c r="AD75" s="422" t="str">
        <f>IFERROR(IF(AC75="Check Data ⚠","Check Data ⚠",VLOOKUP(AC75,'G-4 Temporal multipliers'!$A$4:$C$37,3,FALSE)),"")</f>
        <v/>
      </c>
      <c r="AE75" s="398" t="str">
        <f>IF(N75="","",VLOOKUP(N75,'G-7 WaterC'' Data'!$B$4:$G$8,5,FALSE))</f>
        <v/>
      </c>
      <c r="AF75" s="382" t="str">
        <f t="shared" si="1"/>
        <v/>
      </c>
      <c r="AG75" s="382" t="str">
        <f t="shared" si="6"/>
        <v/>
      </c>
      <c r="AH75" s="386" t="str">
        <f t="shared" si="2"/>
        <v/>
      </c>
      <c r="AI75" s="122"/>
      <c r="AJ75" s="363" t="str">
        <f>IF(AI75="","",IF(VLOOKUP(AI75,'G-7 WaterC'' Data'!$AA$4:$AB$7,2,FALSE)=0,"Spatial Data Missing ⚠",VLOOKUP(AI75,'G-7 WaterC'' Data'!$AA$4:$AB$7,2,FALSE)))</f>
        <v/>
      </c>
      <c r="AK75" s="123"/>
      <c r="AL75" s="397" t="str">
        <f>IF(AK75="","",IF(VLOOKUP(AK75,'G-7 WaterC'' Data'!$AD$4:$AE$14,2,FALSE)=0,"Spatial Data Missing ⚠",VLOOKUP(AK75,'G-7 WaterC'' Data'!$AD$4:$AE$14,2,FALSE)))</f>
        <v/>
      </c>
      <c r="AM75" s="122"/>
      <c r="AN75" s="363" t="str">
        <f>IF(AM75="","",IF(VLOOKUP(AM75,'G-7 WaterC'' Data'!$AO$4:$BO$7,2,FALSE)=0,"Spatial Data Missing ⚠",VLOOKUP(AM75,'G-7 WaterC'' Data'!$AO$4:$BO$7,2,FALSE)))</f>
        <v/>
      </c>
      <c r="AO75" s="405" t="str">
        <f t="shared" si="7"/>
        <v/>
      </c>
      <c r="AP75" s="405" t="str">
        <f t="shared" si="8"/>
        <v/>
      </c>
      <c r="AQ75" s="117"/>
      <c r="AR75" s="118"/>
      <c r="AS75" s="120"/>
      <c r="AT75" s="120"/>
      <c r="AY75" s="30" t="str">
        <f>IFERROR(INDEX('G-7 WaterC'' Data'!$AZ$3:$AZ$7,MATCH(N75,'G-7 WaterC'' Data'!$AY$3:$AY$7,0)),"")</f>
        <v/>
      </c>
    </row>
    <row r="76" spans="2:51" ht="15">
      <c r="B76" s="392" t="str">
        <f>'F-1 Off-Site WaterC'' Baseline'!AR74</f>
        <v/>
      </c>
      <c r="C76" s="382" t="str">
        <f>IF(B76="","",VLOOKUP($B76,'F-1 Off-Site WaterC'' Baseline'!$C$9:$R$257,2,FALSE))</f>
        <v/>
      </c>
      <c r="D76" s="382" t="str">
        <f>IF(C76="","",VLOOKUP($B76,'F-1 Off-Site WaterC'' Baseline'!$C$9:$R$257,3,FALSE))</f>
        <v/>
      </c>
      <c r="E76" s="382" t="str">
        <f>IF(D76="","",VLOOKUP($B76,'F-1 Off-Site WaterC'' Baseline'!$C$9:$R$257,4,FALSE))</f>
        <v/>
      </c>
      <c r="F76" s="382" t="str">
        <f>IF(E76="","",VLOOKUP($B76,'F-1 Off-Site WaterC'' Baseline'!$C$9:$R$257,5,FALSE))</f>
        <v/>
      </c>
      <c r="G76" s="382" t="str">
        <f>IF(F76="","",VLOOKUP($B76,'F-1 Off-Site WaterC'' Baseline'!$C$9:$R$257,6,FALSE))</f>
        <v/>
      </c>
      <c r="H76" s="382" t="str">
        <f>IF(G76="","",VLOOKUP($B76,'F-1 Off-Site WaterC'' Baseline'!$C$9:$R$257,7,FALSE))</f>
        <v/>
      </c>
      <c r="I76" s="382" t="str">
        <f>IF(H76="","",VLOOKUP($B76,'F-1 Off-Site WaterC'' Baseline'!$C$9:$R$257,8,FALSE))</f>
        <v/>
      </c>
      <c r="J76" s="382" t="str">
        <f>IF(I76="","",VLOOKUP($B76,'F-1 Off-Site WaterC'' Baseline'!$C$9:$R$257,9,FALSE))</f>
        <v/>
      </c>
      <c r="K76" s="382" t="str">
        <f>IF(J76="","",VLOOKUP($B76,'F-1 Off-Site WaterC'' Baseline'!$C$9:$R$257,10,FALSE))</f>
        <v/>
      </c>
      <c r="L76" s="382" t="str">
        <f>IF(B76="","",VLOOKUP($B76,'F-1 Off-Site WaterC'' Baseline'!$C$9:$R$257,15,FALSE))</f>
        <v/>
      </c>
      <c r="M76" s="386" t="str">
        <f>IF(L76="","",VLOOKUP($B76,'F-1 Off-Site WaterC'' Baseline'!$C$9:$R$257,16,FALSE))</f>
        <v/>
      </c>
      <c r="N76" s="316" t="str">
        <f t="shared" si="0"/>
        <v/>
      </c>
      <c r="O76" s="362" t="str">
        <f t="shared" si="3"/>
        <v/>
      </c>
      <c r="P76" s="363" t="str">
        <f>IF(C76="","",IF(AND(LEFT(C76,55)&lt;&gt;LEFT(N76,55),O76="High - High"),"Error - Not like for like ▲",IF(H76&gt;U76,"Error - Can not reduce condition ▲",IF(AND(F76=S76,H76=U76,AJ76='F-1 Off-Site WaterC'' Baseline'!N74,'F-1 Off-Site WaterC'' Baseline'!P74=AL76),"Error - No enhancement ▲",IF(AND(C76&lt;&gt;N76,F76&lt;S76),"Lower Distinctiveness Habitat"&amp;" - "&amp;T76,G76&amp;" - "&amp;T76)))))</f>
        <v/>
      </c>
      <c r="Q76" s="368" t="str">
        <f>IF(N76="","",VLOOKUP(B76,'F-1 Off-Site WaterC'' Baseline'!$C$10:$AE$257,22,FALSE))</f>
        <v/>
      </c>
      <c r="R76" s="362" t="str">
        <f>IF(N76="","",VLOOKUP(N76,'G-7 WaterC'' Data'!$B$2:$G$8,2,FALSE))</f>
        <v/>
      </c>
      <c r="S76" s="363" t="str">
        <f>IFERROR(VLOOKUP(R76,'G-7 WaterC'' Data'!$C$4:$D$8,2,FALSE),"")</f>
        <v/>
      </c>
      <c r="T76" s="114"/>
      <c r="U76" s="363" t="str">
        <f>IFERROR(INDEX('G-7 WaterC'' Data'!$H$4:$L$8,MATCH(N76,'G-7 WaterC'' Data'!$B$4:$B$8,0),MATCH(T76,'G-7 WaterC'' Data'!$H$3:$L$3,0)),"")</f>
        <v/>
      </c>
      <c r="V76" s="122"/>
      <c r="W76" s="382" t="str">
        <f>IF(V76="","",IF(VLOOKUP(V76,'G-7 WaterC'' Data'!$AK$4:$AM$6,2,FALSE)=0,"Spatial Data Missing ⚠",VLOOKUP(V76,'G-7 WaterC'' Data'!$AK$4:$AM$6,2,FALSE)))</f>
        <v/>
      </c>
      <c r="X76" s="386" t="str">
        <f>IF(V76="","",IF(VLOOKUP(V76,'G-7 WaterC'' Data'!$AK$4:$AM$6,3,FALSE)=0,"Spatial Data Missing ⚠",VLOOKUP(V76,'G-7 WaterC'' Data'!$AK$4:$AM$6,3,FALSE)))</f>
        <v/>
      </c>
      <c r="Y76" s="398" t="str">
        <f>IFERROR(IF(OR(LEFT(P76,5)="Error",LEFT(O76,5)="Error"),"Check Data ⚠",IF(F76&lt;S76,'G-7 WaterC'' Data'!$R$3,INDEX('G-7 WaterC'' Data'!$U$5:$Y$9,MATCH(G76,'G-7 WaterC'' Data'!$T$5:$T$9,0),MATCH(T76,'G-7 WaterC'' Data'!$U$4:$Y$4,0)))),"")</f>
        <v/>
      </c>
      <c r="Z76" s="165"/>
      <c r="AA76" s="165"/>
      <c r="AB76" s="395" t="str">
        <f t="shared" ref="AB76:AB139" si="9">IF(Y76="","",IF(Y76="Check Data ⚠","Check Data ⚠",IF(AND(Z76&gt;0,AA76&gt;0),"Error -both advance and delayed habitat creation ▲",IF(AND(OR(Z76="Habitat already in target condition",Y76&lt;=Z76),AA76=0),"Check details - Is there evidence that habitat has reached target condition? ⚠",IF(Z76&gt;0,"Check details - Is there evidence habitat creation started/in place? ⚠",IF(AA76&gt;0,"Check details- Delay in starting habitat in required condition? ⚠","Standard time to target condition applied"))))))</f>
        <v/>
      </c>
      <c r="AC76" s="383" t="str">
        <f t="shared" si="5"/>
        <v/>
      </c>
      <c r="AD76" s="422" t="str">
        <f>IFERROR(IF(AC76="Check Data ⚠","Check Data ⚠",VLOOKUP(AC76,'G-4 Temporal multipliers'!$A$4:$C$37,3,FALSE)),"")</f>
        <v/>
      </c>
      <c r="AE76" s="398" t="str">
        <f>IF(N76="","",VLOOKUP(N76,'G-7 WaterC'' Data'!$B$4:$G$8,5,FALSE))</f>
        <v/>
      </c>
      <c r="AF76" s="382" t="str">
        <f t="shared" ref="AF76:AF139" si="10">IF(N76="","",IF(AC76="Check Data ⚠","Check Data ⚠",IF(T76="","",IF($AB76="Check details - Is there evidence that habitat has reached target condition? ⚠","Low Difficulty - only applicable if all habitat created before losses ⚠","Standard difficulty applied"))))</f>
        <v/>
      </c>
      <c r="AG76" s="382" t="str">
        <f t="shared" si="6"/>
        <v/>
      </c>
      <c r="AH76" s="386" t="str">
        <f t="shared" ref="AH76:AH139" si="11">IF(N76="","",VLOOKUP(AE76,Difficulty,2,FALSE))</f>
        <v/>
      </c>
      <c r="AI76" s="122"/>
      <c r="AJ76" s="363" t="str">
        <f>IF(AI76="","",IF(VLOOKUP(AI76,'G-7 WaterC'' Data'!$AA$4:$AB$7,2,FALSE)=0,"Spatial Data Missing ⚠",VLOOKUP(AI76,'G-7 WaterC'' Data'!$AA$4:$AB$7,2,FALSE)))</f>
        <v/>
      </c>
      <c r="AK76" s="123"/>
      <c r="AL76" s="397" t="str">
        <f>IF(AK76="","",IF(VLOOKUP(AK76,'G-7 WaterC'' Data'!$AD$4:$AE$14,2,FALSE)=0,"Spatial Data Missing ⚠",VLOOKUP(AK76,'G-7 WaterC'' Data'!$AD$4:$AE$14,2,FALSE)))</f>
        <v/>
      </c>
      <c r="AM76" s="122"/>
      <c r="AN76" s="363" t="str">
        <f>IF(AM76="","",IF(VLOOKUP(AM76,'G-7 WaterC'' Data'!$AO$4:$BO$7,2,FALSE)=0,"Spatial Data Missing ⚠",VLOOKUP(AM76,'G-7 WaterC'' Data'!$AO$4:$BO$7,2,FALSE)))</f>
        <v/>
      </c>
      <c r="AO76" s="405" t="str">
        <f t="shared" si="7"/>
        <v/>
      </c>
      <c r="AP76" s="405" t="str">
        <f t="shared" si="8"/>
        <v/>
      </c>
      <c r="AQ76" s="117"/>
      <c r="AR76" s="118"/>
      <c r="AS76" s="120"/>
      <c r="AT76" s="120"/>
      <c r="AY76" s="30" t="str">
        <f>IFERROR(INDEX('G-7 WaterC'' Data'!$AZ$3:$AZ$7,MATCH(N76,'G-7 WaterC'' Data'!$AY$3:$AY$7,0)),"")</f>
        <v/>
      </c>
    </row>
    <row r="77" spans="2:51" ht="15">
      <c r="B77" s="392" t="str">
        <f>'F-1 Off-Site WaterC'' Baseline'!AR75</f>
        <v/>
      </c>
      <c r="C77" s="382" t="str">
        <f>IF(B77="","",VLOOKUP($B77,'F-1 Off-Site WaterC'' Baseline'!$C$9:$R$257,2,FALSE))</f>
        <v/>
      </c>
      <c r="D77" s="382" t="str">
        <f>IF(C77="","",VLOOKUP($B77,'F-1 Off-Site WaterC'' Baseline'!$C$9:$R$257,3,FALSE))</f>
        <v/>
      </c>
      <c r="E77" s="382" t="str">
        <f>IF(D77="","",VLOOKUP($B77,'F-1 Off-Site WaterC'' Baseline'!$C$9:$R$257,4,FALSE))</f>
        <v/>
      </c>
      <c r="F77" s="382" t="str">
        <f>IF(E77="","",VLOOKUP($B77,'F-1 Off-Site WaterC'' Baseline'!$C$9:$R$257,5,FALSE))</f>
        <v/>
      </c>
      <c r="G77" s="382" t="str">
        <f>IF(F77="","",VLOOKUP($B77,'F-1 Off-Site WaterC'' Baseline'!$C$9:$R$257,6,FALSE))</f>
        <v/>
      </c>
      <c r="H77" s="382" t="str">
        <f>IF(G77="","",VLOOKUP($B77,'F-1 Off-Site WaterC'' Baseline'!$C$9:$R$257,7,FALSE))</f>
        <v/>
      </c>
      <c r="I77" s="382" t="str">
        <f>IF(H77="","",VLOOKUP($B77,'F-1 Off-Site WaterC'' Baseline'!$C$9:$R$257,8,FALSE))</f>
        <v/>
      </c>
      <c r="J77" s="382" t="str">
        <f>IF(I77="","",VLOOKUP($B77,'F-1 Off-Site WaterC'' Baseline'!$C$9:$R$257,9,FALSE))</f>
        <v/>
      </c>
      <c r="K77" s="382" t="str">
        <f>IF(J77="","",VLOOKUP($B77,'F-1 Off-Site WaterC'' Baseline'!$C$9:$R$257,10,FALSE))</f>
        <v/>
      </c>
      <c r="L77" s="382" t="str">
        <f>IF(B77="","",VLOOKUP($B77,'F-1 Off-Site WaterC'' Baseline'!$C$9:$R$257,15,FALSE))</f>
        <v/>
      </c>
      <c r="M77" s="386" t="str">
        <f>IF(L77="","",VLOOKUP($B77,'F-1 Off-Site WaterC'' Baseline'!$C$9:$R$257,16,FALSE))</f>
        <v/>
      </c>
      <c r="N77" s="316" t="str">
        <f t="shared" ref="N77:N140" si="12">C77</f>
        <v/>
      </c>
      <c r="O77" s="362" t="str">
        <f t="shared" ref="O77:O140" si="13">IF(B77="","",IF(S77&lt;F77,"Error Trading Down ▲",E77&amp;" - "&amp;R77))</f>
        <v/>
      </c>
      <c r="P77" s="363" t="str">
        <f>IF(C77="","",IF(AND(LEFT(C77,55)&lt;&gt;LEFT(N77,55),O77="High - High"),"Error - Not like for like ▲",IF(H77&gt;U77,"Error - Can not reduce condition ▲",IF(AND(F77=S77,H77=U77,AJ77='F-1 Off-Site WaterC'' Baseline'!N75,'F-1 Off-Site WaterC'' Baseline'!P75=AL77),"Error - No enhancement ▲",IF(AND(C77&lt;&gt;N77,F77&lt;S77),"Lower Distinctiveness Habitat"&amp;" - "&amp;T77,G77&amp;" - "&amp;T77)))))</f>
        <v/>
      </c>
      <c r="Q77" s="368" t="str">
        <f>IF(N77="","",VLOOKUP(B77,'F-1 Off-Site WaterC'' Baseline'!$C$10:$AE$257,22,FALSE))</f>
        <v/>
      </c>
      <c r="R77" s="362" t="str">
        <f>IF(N77="","",VLOOKUP(N77,'G-7 WaterC'' Data'!$B$2:$G$8,2,FALSE))</f>
        <v/>
      </c>
      <c r="S77" s="363" t="str">
        <f>IFERROR(VLOOKUP(R77,'G-7 WaterC'' Data'!$C$4:$D$8,2,FALSE),"")</f>
        <v/>
      </c>
      <c r="T77" s="114"/>
      <c r="U77" s="363" t="str">
        <f>IFERROR(INDEX('G-7 WaterC'' Data'!$H$4:$L$8,MATCH(N77,'G-7 WaterC'' Data'!$B$4:$B$8,0),MATCH(T77,'G-7 WaterC'' Data'!$H$3:$L$3,0)),"")</f>
        <v/>
      </c>
      <c r="V77" s="122"/>
      <c r="W77" s="382" t="str">
        <f>IF(V77="","",IF(VLOOKUP(V77,'G-7 WaterC'' Data'!$AK$4:$AM$6,2,FALSE)=0,"Spatial Data Missing ⚠",VLOOKUP(V77,'G-7 WaterC'' Data'!$AK$4:$AM$6,2,FALSE)))</f>
        <v/>
      </c>
      <c r="X77" s="386" t="str">
        <f>IF(V77="","",IF(VLOOKUP(V77,'G-7 WaterC'' Data'!$AK$4:$AM$6,3,FALSE)=0,"Spatial Data Missing ⚠",VLOOKUP(V77,'G-7 WaterC'' Data'!$AK$4:$AM$6,3,FALSE)))</f>
        <v/>
      </c>
      <c r="Y77" s="398" t="str">
        <f>IFERROR(IF(OR(LEFT(P77,5)="Error",LEFT(O77,5)="Error"),"Check Data ⚠",IF(F77&lt;S77,'G-7 WaterC'' Data'!$R$3,INDEX('G-7 WaterC'' Data'!$U$5:$Y$9,MATCH(G77,'G-7 WaterC'' Data'!$T$5:$T$9,0),MATCH(T77,'G-7 WaterC'' Data'!$U$4:$Y$4,0)))),"")</f>
        <v/>
      </c>
      <c r="Z77" s="165"/>
      <c r="AA77" s="165"/>
      <c r="AB77" s="395" t="str">
        <f t="shared" si="9"/>
        <v/>
      </c>
      <c r="AC77" s="383" t="str">
        <f t="shared" ref="AC77:AC140" si="14">IF(AB77="Error -both advance and delayed habitat creation ▲","Check Data ⚠",IF(AB77="Check Data ⚠","Check Data ⚠",IF(Y77="","",IF(Z77="30+",0,IF(AA77="30+","30+",IF(Y77+AA77&gt;30,"30+",IF(Y77+AA77-Z77&gt;0,Y77+AA77-Z77,IF(Y77-Z77&lt;0,0,Y77+AA77-Z77))))))))</f>
        <v/>
      </c>
      <c r="AD77" s="422" t="str">
        <f>IFERROR(IF(AC77="Check Data ⚠","Check Data ⚠",VLOOKUP(AC77,'G-4 Temporal multipliers'!$A$4:$C$37,3,FALSE)),"")</f>
        <v/>
      </c>
      <c r="AE77" s="398" t="str">
        <f>IF(N77="","",VLOOKUP(N77,'G-7 WaterC'' Data'!$B$4:$G$8,5,FALSE))</f>
        <v/>
      </c>
      <c r="AF77" s="382" t="str">
        <f t="shared" si="10"/>
        <v/>
      </c>
      <c r="AG77" s="382" t="str">
        <f t="shared" ref="AG77:AG140" si="15">(IF(AND(AF77="Standard difficulty applied",Y77&gt;Z77),AE77,IF(AND(AF77="Low Difficulty - only applicable if all habitat created before losses ⚠",Z77&gt;=Y77),"Low",AE77)))</f>
        <v/>
      </c>
      <c r="AH77" s="386" t="str">
        <f t="shared" si="11"/>
        <v/>
      </c>
      <c r="AI77" s="122"/>
      <c r="AJ77" s="363" t="str">
        <f>IF(AI77="","",IF(VLOOKUP(AI77,'G-7 WaterC'' Data'!$AA$4:$AB$7,2,FALSE)=0,"Spatial Data Missing ⚠",VLOOKUP(AI77,'G-7 WaterC'' Data'!$AA$4:$AB$7,2,FALSE)))</f>
        <v/>
      </c>
      <c r="AK77" s="123"/>
      <c r="AL77" s="397" t="str">
        <f>IF(AK77="","",IF(VLOOKUP(AK77,'G-7 WaterC'' Data'!$AD$4:$AE$14,2,FALSE)=0,"Spatial Data Missing ⚠",VLOOKUP(AK77,'G-7 WaterC'' Data'!$AD$4:$AE$14,2,FALSE)))</f>
        <v/>
      </c>
      <c r="AM77" s="122"/>
      <c r="AN77" s="363" t="str">
        <f>IF(AM77="","",IF(VLOOKUP(AM77,'G-7 WaterC'' Data'!$AO$4:$BO$7,2,FALSE)=0,"Spatial Data Missing ⚠",VLOOKUP(AM77,'G-7 WaterC'' Data'!$AO$4:$BO$7,2,FALSE)))</f>
        <v/>
      </c>
      <c r="AO77" s="405" t="str">
        <f t="shared" ref="AO77:AO140" si="16">IFERROR(IF(C77="","",IF(Q77&gt;D77,((((Q77*S77*U77)-(D77*F77*H77))*(AH77*AD77))+(D77*F77*H77))*(AL77*X77*AJ77*AN77),((((Q77*S77*U77)-(Q77*F77*H77))*(AH77*AD77))+(Q77*F77*H77))*(AL77*X77*AJ77*AN77))),"")</f>
        <v/>
      </c>
      <c r="AP77" s="405" t="str">
        <f t="shared" ref="AP77:AP140" si="17">IFERROR(IF(C77="","",IF(AM77="","Check data ⚠", IF(Q77&gt;D77,((((Q77*S77*U77)-(D77*F77*H77))*(AH77*AD77))+(D77*F77*H77))*(AL77*X77*AJ77),((((Q77*S77*U77)-(Q77*F77*H77))*(AH77*AD77))+(Q77*F77*H77))*(AL77*X77*AJ77)))),"")</f>
        <v/>
      </c>
      <c r="AQ77" s="117"/>
      <c r="AR77" s="118"/>
      <c r="AS77" s="120"/>
      <c r="AT77" s="120"/>
      <c r="AY77" s="30" t="str">
        <f>IFERROR(INDEX('G-7 WaterC'' Data'!$AZ$3:$AZ$7,MATCH(N77,'G-7 WaterC'' Data'!$AY$3:$AY$7,0)),"")</f>
        <v/>
      </c>
    </row>
    <row r="78" spans="2:51" ht="15">
      <c r="B78" s="392" t="str">
        <f>'F-1 Off-Site WaterC'' Baseline'!AR76</f>
        <v/>
      </c>
      <c r="C78" s="382" t="str">
        <f>IF(B78="","",VLOOKUP($B78,'F-1 Off-Site WaterC'' Baseline'!$C$9:$R$257,2,FALSE))</f>
        <v/>
      </c>
      <c r="D78" s="382" t="str">
        <f>IF(C78="","",VLOOKUP($B78,'F-1 Off-Site WaterC'' Baseline'!$C$9:$R$257,3,FALSE))</f>
        <v/>
      </c>
      <c r="E78" s="382" t="str">
        <f>IF(D78="","",VLOOKUP($B78,'F-1 Off-Site WaterC'' Baseline'!$C$9:$R$257,4,FALSE))</f>
        <v/>
      </c>
      <c r="F78" s="382" t="str">
        <f>IF(E78="","",VLOOKUP($B78,'F-1 Off-Site WaterC'' Baseline'!$C$9:$R$257,5,FALSE))</f>
        <v/>
      </c>
      <c r="G78" s="382" t="str">
        <f>IF(F78="","",VLOOKUP($B78,'F-1 Off-Site WaterC'' Baseline'!$C$9:$R$257,6,FALSE))</f>
        <v/>
      </c>
      <c r="H78" s="382" t="str">
        <f>IF(G78="","",VLOOKUP($B78,'F-1 Off-Site WaterC'' Baseline'!$C$9:$R$257,7,FALSE))</f>
        <v/>
      </c>
      <c r="I78" s="382" t="str">
        <f>IF(H78="","",VLOOKUP($B78,'F-1 Off-Site WaterC'' Baseline'!$C$9:$R$257,8,FALSE))</f>
        <v/>
      </c>
      <c r="J78" s="382" t="str">
        <f>IF(I78="","",VLOOKUP($B78,'F-1 Off-Site WaterC'' Baseline'!$C$9:$R$257,9,FALSE))</f>
        <v/>
      </c>
      <c r="K78" s="382" t="str">
        <f>IF(J78="","",VLOOKUP($B78,'F-1 Off-Site WaterC'' Baseline'!$C$9:$R$257,10,FALSE))</f>
        <v/>
      </c>
      <c r="L78" s="382" t="str">
        <f>IF(B78="","",VLOOKUP($B78,'F-1 Off-Site WaterC'' Baseline'!$C$9:$R$257,15,FALSE))</f>
        <v/>
      </c>
      <c r="M78" s="386" t="str">
        <f>IF(L78="","",VLOOKUP($B78,'F-1 Off-Site WaterC'' Baseline'!$C$9:$R$257,16,FALSE))</f>
        <v/>
      </c>
      <c r="N78" s="316" t="str">
        <f t="shared" si="12"/>
        <v/>
      </c>
      <c r="O78" s="362" t="str">
        <f t="shared" si="13"/>
        <v/>
      </c>
      <c r="P78" s="363" t="str">
        <f>IF(C78="","",IF(AND(LEFT(C78,55)&lt;&gt;LEFT(N78,55),O78="High - High"),"Error - Not like for like ▲",IF(H78&gt;U78,"Error - Can not reduce condition ▲",IF(AND(F78=S78,H78=U78,AJ78='F-1 Off-Site WaterC'' Baseline'!N76,'F-1 Off-Site WaterC'' Baseline'!P76=AL78),"Error - No enhancement ▲",IF(AND(C78&lt;&gt;N78,F78&lt;S78),"Lower Distinctiveness Habitat"&amp;" - "&amp;T78,G78&amp;" - "&amp;T78)))))</f>
        <v/>
      </c>
      <c r="Q78" s="368" t="str">
        <f>IF(N78="","",VLOOKUP(B78,'F-1 Off-Site WaterC'' Baseline'!$C$10:$AE$257,22,FALSE))</f>
        <v/>
      </c>
      <c r="R78" s="362" t="str">
        <f>IF(N78="","",VLOOKUP(N78,'G-7 WaterC'' Data'!$B$2:$G$8,2,FALSE))</f>
        <v/>
      </c>
      <c r="S78" s="363" t="str">
        <f>IFERROR(VLOOKUP(R78,'G-7 WaterC'' Data'!$C$4:$D$8,2,FALSE),"")</f>
        <v/>
      </c>
      <c r="T78" s="114"/>
      <c r="U78" s="363" t="str">
        <f>IFERROR(INDEX('G-7 WaterC'' Data'!$H$4:$L$8,MATCH(N78,'G-7 WaterC'' Data'!$B$4:$B$8,0),MATCH(T78,'G-7 WaterC'' Data'!$H$3:$L$3,0)),"")</f>
        <v/>
      </c>
      <c r="V78" s="122"/>
      <c r="W78" s="382" t="str">
        <f>IF(V78="","",IF(VLOOKUP(V78,'G-7 WaterC'' Data'!$AK$4:$AM$6,2,FALSE)=0,"Spatial Data Missing ⚠",VLOOKUP(V78,'G-7 WaterC'' Data'!$AK$4:$AM$6,2,FALSE)))</f>
        <v/>
      </c>
      <c r="X78" s="386" t="str">
        <f>IF(V78="","",IF(VLOOKUP(V78,'G-7 WaterC'' Data'!$AK$4:$AM$6,3,FALSE)=0,"Spatial Data Missing ⚠",VLOOKUP(V78,'G-7 WaterC'' Data'!$AK$4:$AM$6,3,FALSE)))</f>
        <v/>
      </c>
      <c r="Y78" s="398" t="str">
        <f>IFERROR(IF(OR(LEFT(P78,5)="Error",LEFT(O78,5)="Error"),"Check Data ⚠",IF(F78&lt;S78,'G-7 WaterC'' Data'!$R$3,INDEX('G-7 WaterC'' Data'!$U$5:$Y$9,MATCH(G78,'G-7 WaterC'' Data'!$T$5:$T$9,0),MATCH(T78,'G-7 WaterC'' Data'!$U$4:$Y$4,0)))),"")</f>
        <v/>
      </c>
      <c r="Z78" s="165"/>
      <c r="AA78" s="165"/>
      <c r="AB78" s="395" t="str">
        <f t="shared" si="9"/>
        <v/>
      </c>
      <c r="AC78" s="383" t="str">
        <f t="shared" si="14"/>
        <v/>
      </c>
      <c r="AD78" s="422" t="str">
        <f>IFERROR(IF(AC78="Check Data ⚠","Check Data ⚠",VLOOKUP(AC78,'G-4 Temporal multipliers'!$A$4:$C$37,3,FALSE)),"")</f>
        <v/>
      </c>
      <c r="AE78" s="398" t="str">
        <f>IF(N78="","",VLOOKUP(N78,'G-7 WaterC'' Data'!$B$4:$G$8,5,FALSE))</f>
        <v/>
      </c>
      <c r="AF78" s="382" t="str">
        <f t="shared" si="10"/>
        <v/>
      </c>
      <c r="AG78" s="382" t="str">
        <f t="shared" si="15"/>
        <v/>
      </c>
      <c r="AH78" s="386" t="str">
        <f t="shared" si="11"/>
        <v/>
      </c>
      <c r="AI78" s="122"/>
      <c r="AJ78" s="363" t="str">
        <f>IF(AI78="","",IF(VLOOKUP(AI78,'G-7 WaterC'' Data'!$AA$4:$AB$7,2,FALSE)=0,"Spatial Data Missing ⚠",VLOOKUP(AI78,'G-7 WaterC'' Data'!$AA$4:$AB$7,2,FALSE)))</f>
        <v/>
      </c>
      <c r="AK78" s="123"/>
      <c r="AL78" s="397" t="str">
        <f>IF(AK78="","",IF(VLOOKUP(AK78,'G-7 WaterC'' Data'!$AD$4:$AE$14,2,FALSE)=0,"Spatial Data Missing ⚠",VLOOKUP(AK78,'G-7 WaterC'' Data'!$AD$4:$AE$14,2,FALSE)))</f>
        <v/>
      </c>
      <c r="AM78" s="122"/>
      <c r="AN78" s="363" t="str">
        <f>IF(AM78="","",IF(VLOOKUP(AM78,'G-7 WaterC'' Data'!$AO$4:$BO$7,2,FALSE)=0,"Spatial Data Missing ⚠",VLOOKUP(AM78,'G-7 WaterC'' Data'!$AO$4:$BO$7,2,FALSE)))</f>
        <v/>
      </c>
      <c r="AO78" s="405" t="str">
        <f t="shared" si="16"/>
        <v/>
      </c>
      <c r="AP78" s="405" t="str">
        <f t="shared" si="17"/>
        <v/>
      </c>
      <c r="AQ78" s="117"/>
      <c r="AR78" s="118"/>
      <c r="AS78" s="120"/>
      <c r="AT78" s="120"/>
      <c r="AY78" s="30" t="str">
        <f>IFERROR(INDEX('G-7 WaterC'' Data'!$AZ$3:$AZ$7,MATCH(N78,'G-7 WaterC'' Data'!$AY$3:$AY$7,0)),"")</f>
        <v/>
      </c>
    </row>
    <row r="79" spans="2:51" ht="15">
      <c r="B79" s="392" t="str">
        <f>'F-1 Off-Site WaterC'' Baseline'!AR77</f>
        <v/>
      </c>
      <c r="C79" s="382" t="str">
        <f>IF(B79="","",VLOOKUP($B79,'F-1 Off-Site WaterC'' Baseline'!$C$9:$R$257,2,FALSE))</f>
        <v/>
      </c>
      <c r="D79" s="382" t="str">
        <f>IF(C79="","",VLOOKUP($B79,'F-1 Off-Site WaterC'' Baseline'!$C$9:$R$257,3,FALSE))</f>
        <v/>
      </c>
      <c r="E79" s="382" t="str">
        <f>IF(D79="","",VLOOKUP($B79,'F-1 Off-Site WaterC'' Baseline'!$C$9:$R$257,4,FALSE))</f>
        <v/>
      </c>
      <c r="F79" s="382" t="str">
        <f>IF(E79="","",VLOOKUP($B79,'F-1 Off-Site WaterC'' Baseline'!$C$9:$R$257,5,FALSE))</f>
        <v/>
      </c>
      <c r="G79" s="382" t="str">
        <f>IF(F79="","",VLOOKUP($B79,'F-1 Off-Site WaterC'' Baseline'!$C$9:$R$257,6,FALSE))</f>
        <v/>
      </c>
      <c r="H79" s="382" t="str">
        <f>IF(G79="","",VLOOKUP($B79,'F-1 Off-Site WaterC'' Baseline'!$C$9:$R$257,7,FALSE))</f>
        <v/>
      </c>
      <c r="I79" s="382" t="str">
        <f>IF(H79="","",VLOOKUP($B79,'F-1 Off-Site WaterC'' Baseline'!$C$9:$R$257,8,FALSE))</f>
        <v/>
      </c>
      <c r="J79" s="382" t="str">
        <f>IF(I79="","",VLOOKUP($B79,'F-1 Off-Site WaterC'' Baseline'!$C$9:$R$257,9,FALSE))</f>
        <v/>
      </c>
      <c r="K79" s="382" t="str">
        <f>IF(J79="","",VLOOKUP($B79,'F-1 Off-Site WaterC'' Baseline'!$C$9:$R$257,10,FALSE))</f>
        <v/>
      </c>
      <c r="L79" s="382" t="str">
        <f>IF(B79="","",VLOOKUP($B79,'F-1 Off-Site WaterC'' Baseline'!$C$9:$R$257,15,FALSE))</f>
        <v/>
      </c>
      <c r="M79" s="386" t="str">
        <f>IF(L79="","",VLOOKUP($B79,'F-1 Off-Site WaterC'' Baseline'!$C$9:$R$257,16,FALSE))</f>
        <v/>
      </c>
      <c r="N79" s="316" t="str">
        <f t="shared" si="12"/>
        <v/>
      </c>
      <c r="O79" s="362" t="str">
        <f t="shared" si="13"/>
        <v/>
      </c>
      <c r="P79" s="363" t="str">
        <f>IF(C79="","",IF(AND(LEFT(C79,55)&lt;&gt;LEFT(N79,55),O79="High - High"),"Error - Not like for like ▲",IF(H79&gt;U79,"Error - Can not reduce condition ▲",IF(AND(F79=S79,H79=U79,AJ79='F-1 Off-Site WaterC'' Baseline'!N77,'F-1 Off-Site WaterC'' Baseline'!P77=AL79),"Error - No enhancement ▲",IF(AND(C79&lt;&gt;N79,F79&lt;S79),"Lower Distinctiveness Habitat"&amp;" - "&amp;T79,G79&amp;" - "&amp;T79)))))</f>
        <v/>
      </c>
      <c r="Q79" s="368" t="str">
        <f>IF(N79="","",VLOOKUP(B79,'F-1 Off-Site WaterC'' Baseline'!$C$10:$AE$257,22,FALSE))</f>
        <v/>
      </c>
      <c r="R79" s="362" t="str">
        <f>IF(N79="","",VLOOKUP(N79,'G-7 WaterC'' Data'!$B$2:$G$8,2,FALSE))</f>
        <v/>
      </c>
      <c r="S79" s="363" t="str">
        <f>IFERROR(VLOOKUP(R79,'G-7 WaterC'' Data'!$C$4:$D$8,2,FALSE),"")</f>
        <v/>
      </c>
      <c r="T79" s="114"/>
      <c r="U79" s="363" t="str">
        <f>IFERROR(INDEX('G-7 WaterC'' Data'!$H$4:$L$8,MATCH(N79,'G-7 WaterC'' Data'!$B$4:$B$8,0),MATCH(T79,'G-7 WaterC'' Data'!$H$3:$L$3,0)),"")</f>
        <v/>
      </c>
      <c r="V79" s="122"/>
      <c r="W79" s="382" t="str">
        <f>IF(V79="","",IF(VLOOKUP(V79,'G-7 WaterC'' Data'!$AK$4:$AM$6,2,FALSE)=0,"Spatial Data Missing ⚠",VLOOKUP(V79,'G-7 WaterC'' Data'!$AK$4:$AM$6,2,FALSE)))</f>
        <v/>
      </c>
      <c r="X79" s="386" t="str">
        <f>IF(V79="","",IF(VLOOKUP(V79,'G-7 WaterC'' Data'!$AK$4:$AM$6,3,FALSE)=0,"Spatial Data Missing ⚠",VLOOKUP(V79,'G-7 WaterC'' Data'!$AK$4:$AM$6,3,FALSE)))</f>
        <v/>
      </c>
      <c r="Y79" s="398" t="str">
        <f>IFERROR(IF(OR(LEFT(P79,5)="Error",LEFT(O79,5)="Error"),"Check Data ⚠",IF(F79&lt;S79,'G-7 WaterC'' Data'!$R$3,INDEX('G-7 WaterC'' Data'!$U$5:$Y$9,MATCH(G79,'G-7 WaterC'' Data'!$T$5:$T$9,0),MATCH(T79,'G-7 WaterC'' Data'!$U$4:$Y$4,0)))),"")</f>
        <v/>
      </c>
      <c r="Z79" s="165"/>
      <c r="AA79" s="165"/>
      <c r="AB79" s="395" t="str">
        <f t="shared" si="9"/>
        <v/>
      </c>
      <c r="AC79" s="383" t="str">
        <f t="shared" si="14"/>
        <v/>
      </c>
      <c r="AD79" s="422" t="str">
        <f>IFERROR(IF(AC79="Check Data ⚠","Check Data ⚠",VLOOKUP(AC79,'G-4 Temporal multipliers'!$A$4:$C$37,3,FALSE)),"")</f>
        <v/>
      </c>
      <c r="AE79" s="398" t="str">
        <f>IF(N79="","",VLOOKUP(N79,'G-7 WaterC'' Data'!$B$4:$G$8,5,FALSE))</f>
        <v/>
      </c>
      <c r="AF79" s="382" t="str">
        <f t="shared" si="10"/>
        <v/>
      </c>
      <c r="AG79" s="382" t="str">
        <f t="shared" si="15"/>
        <v/>
      </c>
      <c r="AH79" s="386" t="str">
        <f t="shared" si="11"/>
        <v/>
      </c>
      <c r="AI79" s="122"/>
      <c r="AJ79" s="363" t="str">
        <f>IF(AI79="","",IF(VLOOKUP(AI79,'G-7 WaterC'' Data'!$AA$4:$AB$7,2,FALSE)=0,"Spatial Data Missing ⚠",VLOOKUP(AI79,'G-7 WaterC'' Data'!$AA$4:$AB$7,2,FALSE)))</f>
        <v/>
      </c>
      <c r="AK79" s="123"/>
      <c r="AL79" s="397" t="str">
        <f>IF(AK79="","",IF(VLOOKUP(AK79,'G-7 WaterC'' Data'!$AD$4:$AE$14,2,FALSE)=0,"Spatial Data Missing ⚠",VLOOKUP(AK79,'G-7 WaterC'' Data'!$AD$4:$AE$14,2,FALSE)))</f>
        <v/>
      </c>
      <c r="AM79" s="122"/>
      <c r="AN79" s="363" t="str">
        <f>IF(AM79="","",IF(VLOOKUP(AM79,'G-7 WaterC'' Data'!$AO$4:$BO$7,2,FALSE)=0,"Spatial Data Missing ⚠",VLOOKUP(AM79,'G-7 WaterC'' Data'!$AO$4:$BO$7,2,FALSE)))</f>
        <v/>
      </c>
      <c r="AO79" s="405" t="str">
        <f t="shared" si="16"/>
        <v/>
      </c>
      <c r="AP79" s="405" t="str">
        <f t="shared" si="17"/>
        <v/>
      </c>
      <c r="AQ79" s="117"/>
      <c r="AR79" s="118"/>
      <c r="AS79" s="120"/>
      <c r="AT79" s="120"/>
      <c r="AY79" s="30" t="str">
        <f>IFERROR(INDEX('G-7 WaterC'' Data'!$AZ$3:$AZ$7,MATCH(N79,'G-7 WaterC'' Data'!$AY$3:$AY$7,0)),"")</f>
        <v/>
      </c>
    </row>
    <row r="80" spans="2:51" ht="15">
      <c r="B80" s="392" t="str">
        <f>'F-1 Off-Site WaterC'' Baseline'!AR78</f>
        <v/>
      </c>
      <c r="C80" s="382" t="str">
        <f>IF(B80="","",VLOOKUP($B80,'F-1 Off-Site WaterC'' Baseline'!$C$9:$R$257,2,FALSE))</f>
        <v/>
      </c>
      <c r="D80" s="382" t="str">
        <f>IF(C80="","",VLOOKUP($B80,'F-1 Off-Site WaterC'' Baseline'!$C$9:$R$257,3,FALSE))</f>
        <v/>
      </c>
      <c r="E80" s="382" t="str">
        <f>IF(D80="","",VLOOKUP($B80,'F-1 Off-Site WaterC'' Baseline'!$C$9:$R$257,4,FALSE))</f>
        <v/>
      </c>
      <c r="F80" s="382" t="str">
        <f>IF(E80="","",VLOOKUP($B80,'F-1 Off-Site WaterC'' Baseline'!$C$9:$R$257,5,FALSE))</f>
        <v/>
      </c>
      <c r="G80" s="382" t="str">
        <f>IF(F80="","",VLOOKUP($B80,'F-1 Off-Site WaterC'' Baseline'!$C$9:$R$257,6,FALSE))</f>
        <v/>
      </c>
      <c r="H80" s="382" t="str">
        <f>IF(G80="","",VLOOKUP($B80,'F-1 Off-Site WaterC'' Baseline'!$C$9:$R$257,7,FALSE))</f>
        <v/>
      </c>
      <c r="I80" s="382" t="str">
        <f>IF(H80="","",VLOOKUP($B80,'F-1 Off-Site WaterC'' Baseline'!$C$9:$R$257,8,FALSE))</f>
        <v/>
      </c>
      <c r="J80" s="382" t="str">
        <f>IF(I80="","",VLOOKUP($B80,'F-1 Off-Site WaterC'' Baseline'!$C$9:$R$257,9,FALSE))</f>
        <v/>
      </c>
      <c r="K80" s="382" t="str">
        <f>IF(J80="","",VLOOKUP($B80,'F-1 Off-Site WaterC'' Baseline'!$C$9:$R$257,10,FALSE))</f>
        <v/>
      </c>
      <c r="L80" s="382" t="str">
        <f>IF(B80="","",VLOOKUP($B80,'F-1 Off-Site WaterC'' Baseline'!$C$9:$R$257,15,FALSE))</f>
        <v/>
      </c>
      <c r="M80" s="386" t="str">
        <f>IF(L80="","",VLOOKUP($B80,'F-1 Off-Site WaterC'' Baseline'!$C$9:$R$257,16,FALSE))</f>
        <v/>
      </c>
      <c r="N80" s="316" t="str">
        <f t="shared" si="12"/>
        <v/>
      </c>
      <c r="O80" s="362" t="str">
        <f t="shared" si="13"/>
        <v/>
      </c>
      <c r="P80" s="363" t="str">
        <f>IF(C80="","",IF(AND(LEFT(C80,55)&lt;&gt;LEFT(N80,55),O80="High - High"),"Error - Not like for like ▲",IF(H80&gt;U80,"Error - Can not reduce condition ▲",IF(AND(F80=S80,H80=U80,AJ80='F-1 Off-Site WaterC'' Baseline'!N78,'F-1 Off-Site WaterC'' Baseline'!P78=AL80),"Error - No enhancement ▲",IF(AND(C80&lt;&gt;N80,F80&lt;S80),"Lower Distinctiveness Habitat"&amp;" - "&amp;T80,G80&amp;" - "&amp;T80)))))</f>
        <v/>
      </c>
      <c r="Q80" s="368" t="str">
        <f>IF(N80="","",VLOOKUP(B80,'F-1 Off-Site WaterC'' Baseline'!$C$10:$AE$257,22,FALSE))</f>
        <v/>
      </c>
      <c r="R80" s="362" t="str">
        <f>IF(N80="","",VLOOKUP(N80,'G-7 WaterC'' Data'!$B$2:$G$8,2,FALSE))</f>
        <v/>
      </c>
      <c r="S80" s="363" t="str">
        <f>IFERROR(VLOOKUP(R80,'G-7 WaterC'' Data'!$C$4:$D$8,2,FALSE),"")</f>
        <v/>
      </c>
      <c r="T80" s="114"/>
      <c r="U80" s="363" t="str">
        <f>IFERROR(INDEX('G-7 WaterC'' Data'!$H$4:$L$8,MATCH(N80,'G-7 WaterC'' Data'!$B$4:$B$8,0),MATCH(T80,'G-7 WaterC'' Data'!$H$3:$L$3,0)),"")</f>
        <v/>
      </c>
      <c r="V80" s="122"/>
      <c r="W80" s="382" t="str">
        <f>IF(V80="","",IF(VLOOKUP(V80,'G-7 WaterC'' Data'!$AK$4:$AM$6,2,FALSE)=0,"Spatial Data Missing ⚠",VLOOKUP(V80,'G-7 WaterC'' Data'!$AK$4:$AM$6,2,FALSE)))</f>
        <v/>
      </c>
      <c r="X80" s="386" t="str">
        <f>IF(V80="","",IF(VLOOKUP(V80,'G-7 WaterC'' Data'!$AK$4:$AM$6,3,FALSE)=0,"Spatial Data Missing ⚠",VLOOKUP(V80,'G-7 WaterC'' Data'!$AK$4:$AM$6,3,FALSE)))</f>
        <v/>
      </c>
      <c r="Y80" s="398" t="str">
        <f>IFERROR(IF(OR(LEFT(P80,5)="Error",LEFT(O80,5)="Error"),"Check Data ⚠",IF(F80&lt;S80,'G-7 WaterC'' Data'!$R$3,INDEX('G-7 WaterC'' Data'!$U$5:$Y$9,MATCH(G80,'G-7 WaterC'' Data'!$T$5:$T$9,0),MATCH(T80,'G-7 WaterC'' Data'!$U$4:$Y$4,0)))),"")</f>
        <v/>
      </c>
      <c r="Z80" s="165"/>
      <c r="AA80" s="165"/>
      <c r="AB80" s="395" t="str">
        <f t="shared" si="9"/>
        <v/>
      </c>
      <c r="AC80" s="383" t="str">
        <f t="shared" si="14"/>
        <v/>
      </c>
      <c r="AD80" s="422" t="str">
        <f>IFERROR(IF(AC80="Check Data ⚠","Check Data ⚠",VLOOKUP(AC80,'G-4 Temporal multipliers'!$A$4:$C$37,3,FALSE)),"")</f>
        <v/>
      </c>
      <c r="AE80" s="398" t="str">
        <f>IF(N80="","",VLOOKUP(N80,'G-7 WaterC'' Data'!$B$4:$G$8,5,FALSE))</f>
        <v/>
      </c>
      <c r="AF80" s="382" t="str">
        <f t="shared" si="10"/>
        <v/>
      </c>
      <c r="AG80" s="382" t="str">
        <f t="shared" si="15"/>
        <v/>
      </c>
      <c r="AH80" s="386" t="str">
        <f t="shared" si="11"/>
        <v/>
      </c>
      <c r="AI80" s="122"/>
      <c r="AJ80" s="363" t="str">
        <f>IF(AI80="","",IF(VLOOKUP(AI80,'G-7 WaterC'' Data'!$AA$4:$AB$7,2,FALSE)=0,"Spatial Data Missing ⚠",VLOOKUP(AI80,'G-7 WaterC'' Data'!$AA$4:$AB$7,2,FALSE)))</f>
        <v/>
      </c>
      <c r="AK80" s="123"/>
      <c r="AL80" s="397" t="str">
        <f>IF(AK80="","",IF(VLOOKUP(AK80,'G-7 WaterC'' Data'!$AD$4:$AE$14,2,FALSE)=0,"Spatial Data Missing ⚠",VLOOKUP(AK80,'G-7 WaterC'' Data'!$AD$4:$AE$14,2,FALSE)))</f>
        <v/>
      </c>
      <c r="AM80" s="122"/>
      <c r="AN80" s="363" t="str">
        <f>IF(AM80="","",IF(VLOOKUP(AM80,'G-7 WaterC'' Data'!$AO$4:$BO$7,2,FALSE)=0,"Spatial Data Missing ⚠",VLOOKUP(AM80,'G-7 WaterC'' Data'!$AO$4:$BO$7,2,FALSE)))</f>
        <v/>
      </c>
      <c r="AO80" s="405" t="str">
        <f t="shared" si="16"/>
        <v/>
      </c>
      <c r="AP80" s="405" t="str">
        <f t="shared" si="17"/>
        <v/>
      </c>
      <c r="AQ80" s="117"/>
      <c r="AR80" s="118"/>
      <c r="AS80" s="120"/>
      <c r="AT80" s="120"/>
      <c r="AY80" s="30" t="str">
        <f>IFERROR(INDEX('G-7 WaterC'' Data'!$AZ$3:$AZ$7,MATCH(N80,'G-7 WaterC'' Data'!$AY$3:$AY$7,0)),"")</f>
        <v/>
      </c>
    </row>
    <row r="81" spans="2:51" ht="15">
      <c r="B81" s="392" t="str">
        <f>'F-1 Off-Site WaterC'' Baseline'!AR79</f>
        <v/>
      </c>
      <c r="C81" s="382" t="str">
        <f>IF(B81="","",VLOOKUP($B81,'F-1 Off-Site WaterC'' Baseline'!$C$9:$R$257,2,FALSE))</f>
        <v/>
      </c>
      <c r="D81" s="382" t="str">
        <f>IF(C81="","",VLOOKUP($B81,'F-1 Off-Site WaterC'' Baseline'!$C$9:$R$257,3,FALSE))</f>
        <v/>
      </c>
      <c r="E81" s="382" t="str">
        <f>IF(D81="","",VLOOKUP($B81,'F-1 Off-Site WaterC'' Baseline'!$C$9:$R$257,4,FALSE))</f>
        <v/>
      </c>
      <c r="F81" s="382" t="str">
        <f>IF(E81="","",VLOOKUP($B81,'F-1 Off-Site WaterC'' Baseline'!$C$9:$R$257,5,FALSE))</f>
        <v/>
      </c>
      <c r="G81" s="382" t="str">
        <f>IF(F81="","",VLOOKUP($B81,'F-1 Off-Site WaterC'' Baseline'!$C$9:$R$257,6,FALSE))</f>
        <v/>
      </c>
      <c r="H81" s="382" t="str">
        <f>IF(G81="","",VLOOKUP($B81,'F-1 Off-Site WaterC'' Baseline'!$C$9:$R$257,7,FALSE))</f>
        <v/>
      </c>
      <c r="I81" s="382" t="str">
        <f>IF(H81="","",VLOOKUP($B81,'F-1 Off-Site WaterC'' Baseline'!$C$9:$R$257,8,FALSE))</f>
        <v/>
      </c>
      <c r="J81" s="382" t="str">
        <f>IF(I81="","",VLOOKUP($B81,'F-1 Off-Site WaterC'' Baseline'!$C$9:$R$257,9,FALSE))</f>
        <v/>
      </c>
      <c r="K81" s="382" t="str">
        <f>IF(J81="","",VLOOKUP($B81,'F-1 Off-Site WaterC'' Baseline'!$C$9:$R$257,10,FALSE))</f>
        <v/>
      </c>
      <c r="L81" s="382" t="str">
        <f>IF(B81="","",VLOOKUP($B81,'F-1 Off-Site WaterC'' Baseline'!$C$9:$R$257,15,FALSE))</f>
        <v/>
      </c>
      <c r="M81" s="386" t="str">
        <f>IF(L81="","",VLOOKUP($B81,'F-1 Off-Site WaterC'' Baseline'!$C$9:$R$257,16,FALSE))</f>
        <v/>
      </c>
      <c r="N81" s="316" t="str">
        <f t="shared" si="12"/>
        <v/>
      </c>
      <c r="O81" s="362" t="str">
        <f t="shared" si="13"/>
        <v/>
      </c>
      <c r="P81" s="363" t="str">
        <f>IF(C81="","",IF(AND(LEFT(C81,55)&lt;&gt;LEFT(N81,55),O81="High - High"),"Error - Not like for like ▲",IF(H81&gt;U81,"Error - Can not reduce condition ▲",IF(AND(F81=S81,H81=U81,AJ81='F-1 Off-Site WaterC'' Baseline'!N79,'F-1 Off-Site WaterC'' Baseline'!P79=AL81),"Error - No enhancement ▲",IF(AND(C81&lt;&gt;N81,F81&lt;S81),"Lower Distinctiveness Habitat"&amp;" - "&amp;T81,G81&amp;" - "&amp;T81)))))</f>
        <v/>
      </c>
      <c r="Q81" s="368" t="str">
        <f>IF(N81="","",VLOOKUP(B81,'F-1 Off-Site WaterC'' Baseline'!$C$10:$AE$257,22,FALSE))</f>
        <v/>
      </c>
      <c r="R81" s="362" t="str">
        <f>IF(N81="","",VLOOKUP(N81,'G-7 WaterC'' Data'!$B$2:$G$8,2,FALSE))</f>
        <v/>
      </c>
      <c r="S81" s="363" t="str">
        <f>IFERROR(VLOOKUP(R81,'G-7 WaterC'' Data'!$C$4:$D$8,2,FALSE),"")</f>
        <v/>
      </c>
      <c r="T81" s="114"/>
      <c r="U81" s="363" t="str">
        <f>IFERROR(INDEX('G-7 WaterC'' Data'!$H$4:$L$8,MATCH(N81,'G-7 WaterC'' Data'!$B$4:$B$8,0),MATCH(T81,'G-7 WaterC'' Data'!$H$3:$L$3,0)),"")</f>
        <v/>
      </c>
      <c r="V81" s="122"/>
      <c r="W81" s="382" t="str">
        <f>IF(V81="","",IF(VLOOKUP(V81,'G-7 WaterC'' Data'!$AK$4:$AM$6,2,FALSE)=0,"Spatial Data Missing ⚠",VLOOKUP(V81,'G-7 WaterC'' Data'!$AK$4:$AM$6,2,FALSE)))</f>
        <v/>
      </c>
      <c r="X81" s="386" t="str">
        <f>IF(V81="","",IF(VLOOKUP(V81,'G-7 WaterC'' Data'!$AK$4:$AM$6,3,FALSE)=0,"Spatial Data Missing ⚠",VLOOKUP(V81,'G-7 WaterC'' Data'!$AK$4:$AM$6,3,FALSE)))</f>
        <v/>
      </c>
      <c r="Y81" s="398" t="str">
        <f>IFERROR(IF(OR(LEFT(P81,5)="Error",LEFT(O81,5)="Error"),"Check Data ⚠",IF(F81&lt;S81,'G-7 WaterC'' Data'!$R$3,INDEX('G-7 WaterC'' Data'!$U$5:$Y$9,MATCH(G81,'G-7 WaterC'' Data'!$T$5:$T$9,0),MATCH(T81,'G-7 WaterC'' Data'!$U$4:$Y$4,0)))),"")</f>
        <v/>
      </c>
      <c r="Z81" s="165"/>
      <c r="AA81" s="165"/>
      <c r="AB81" s="395" t="str">
        <f t="shared" si="9"/>
        <v/>
      </c>
      <c r="AC81" s="383" t="str">
        <f t="shared" si="14"/>
        <v/>
      </c>
      <c r="AD81" s="422" t="str">
        <f>IFERROR(IF(AC81="Check Data ⚠","Check Data ⚠",VLOOKUP(AC81,'G-4 Temporal multipliers'!$A$4:$C$37,3,FALSE)),"")</f>
        <v/>
      </c>
      <c r="AE81" s="398" t="str">
        <f>IF(N81="","",VLOOKUP(N81,'G-7 WaterC'' Data'!$B$4:$G$8,5,FALSE))</f>
        <v/>
      </c>
      <c r="AF81" s="382" t="str">
        <f t="shared" si="10"/>
        <v/>
      </c>
      <c r="AG81" s="382" t="str">
        <f t="shared" si="15"/>
        <v/>
      </c>
      <c r="AH81" s="386" t="str">
        <f t="shared" si="11"/>
        <v/>
      </c>
      <c r="AI81" s="122"/>
      <c r="AJ81" s="363" t="str">
        <f>IF(AI81="","",IF(VLOOKUP(AI81,'G-7 WaterC'' Data'!$AA$4:$AB$7,2,FALSE)=0,"Spatial Data Missing ⚠",VLOOKUP(AI81,'G-7 WaterC'' Data'!$AA$4:$AB$7,2,FALSE)))</f>
        <v/>
      </c>
      <c r="AK81" s="123"/>
      <c r="AL81" s="397" t="str">
        <f>IF(AK81="","",IF(VLOOKUP(AK81,'G-7 WaterC'' Data'!$AD$4:$AE$14,2,FALSE)=0,"Spatial Data Missing ⚠",VLOOKUP(AK81,'G-7 WaterC'' Data'!$AD$4:$AE$14,2,FALSE)))</f>
        <v/>
      </c>
      <c r="AM81" s="122"/>
      <c r="AN81" s="363" t="str">
        <f>IF(AM81="","",IF(VLOOKUP(AM81,'G-7 WaterC'' Data'!$AO$4:$BO$7,2,FALSE)=0,"Spatial Data Missing ⚠",VLOOKUP(AM81,'G-7 WaterC'' Data'!$AO$4:$BO$7,2,FALSE)))</f>
        <v/>
      </c>
      <c r="AO81" s="405" t="str">
        <f t="shared" si="16"/>
        <v/>
      </c>
      <c r="AP81" s="405" t="str">
        <f t="shared" si="17"/>
        <v/>
      </c>
      <c r="AQ81" s="117"/>
      <c r="AR81" s="118"/>
      <c r="AS81" s="120"/>
      <c r="AT81" s="120"/>
      <c r="AY81" s="30" t="str">
        <f>IFERROR(INDEX('G-7 WaterC'' Data'!$AZ$3:$AZ$7,MATCH(N81,'G-7 WaterC'' Data'!$AY$3:$AY$7,0)),"")</f>
        <v/>
      </c>
    </row>
    <row r="82" spans="2:51" ht="15">
      <c r="B82" s="392" t="str">
        <f>'F-1 Off-Site WaterC'' Baseline'!AR80</f>
        <v/>
      </c>
      <c r="C82" s="382" t="str">
        <f>IF(B82="","",VLOOKUP($B82,'F-1 Off-Site WaterC'' Baseline'!$C$9:$R$257,2,FALSE))</f>
        <v/>
      </c>
      <c r="D82" s="382" t="str">
        <f>IF(C82="","",VLOOKUP($B82,'F-1 Off-Site WaterC'' Baseline'!$C$9:$R$257,3,FALSE))</f>
        <v/>
      </c>
      <c r="E82" s="382" t="str">
        <f>IF(D82="","",VLOOKUP($B82,'F-1 Off-Site WaterC'' Baseline'!$C$9:$R$257,4,FALSE))</f>
        <v/>
      </c>
      <c r="F82" s="382" t="str">
        <f>IF(E82="","",VLOOKUP($B82,'F-1 Off-Site WaterC'' Baseline'!$C$9:$R$257,5,FALSE))</f>
        <v/>
      </c>
      <c r="G82" s="382" t="str">
        <f>IF(F82="","",VLOOKUP($B82,'F-1 Off-Site WaterC'' Baseline'!$C$9:$R$257,6,FALSE))</f>
        <v/>
      </c>
      <c r="H82" s="382" t="str">
        <f>IF(G82="","",VLOOKUP($B82,'F-1 Off-Site WaterC'' Baseline'!$C$9:$R$257,7,FALSE))</f>
        <v/>
      </c>
      <c r="I82" s="382" t="str">
        <f>IF(H82="","",VLOOKUP($B82,'F-1 Off-Site WaterC'' Baseline'!$C$9:$R$257,8,FALSE))</f>
        <v/>
      </c>
      <c r="J82" s="382" t="str">
        <f>IF(I82="","",VLOOKUP($B82,'F-1 Off-Site WaterC'' Baseline'!$C$9:$R$257,9,FALSE))</f>
        <v/>
      </c>
      <c r="K82" s="382" t="str">
        <f>IF(J82="","",VLOOKUP($B82,'F-1 Off-Site WaterC'' Baseline'!$C$9:$R$257,10,FALSE))</f>
        <v/>
      </c>
      <c r="L82" s="382" t="str">
        <f>IF(B82="","",VLOOKUP($B82,'F-1 Off-Site WaterC'' Baseline'!$C$9:$R$257,15,FALSE))</f>
        <v/>
      </c>
      <c r="M82" s="386" t="str">
        <f>IF(L82="","",VLOOKUP($B82,'F-1 Off-Site WaterC'' Baseline'!$C$9:$R$257,16,FALSE))</f>
        <v/>
      </c>
      <c r="N82" s="316" t="str">
        <f t="shared" si="12"/>
        <v/>
      </c>
      <c r="O82" s="362" t="str">
        <f t="shared" si="13"/>
        <v/>
      </c>
      <c r="P82" s="363" t="str">
        <f>IF(C82="","",IF(AND(LEFT(C82,55)&lt;&gt;LEFT(N82,55),O82="High - High"),"Error - Not like for like ▲",IF(H82&gt;U82,"Error - Can not reduce condition ▲",IF(AND(F82=S82,H82=U82,AJ82='F-1 Off-Site WaterC'' Baseline'!N80,'F-1 Off-Site WaterC'' Baseline'!P80=AL82),"Error - No enhancement ▲",IF(AND(C82&lt;&gt;N82,F82&lt;S82),"Lower Distinctiveness Habitat"&amp;" - "&amp;T82,G82&amp;" - "&amp;T82)))))</f>
        <v/>
      </c>
      <c r="Q82" s="368" t="str">
        <f>IF(N82="","",VLOOKUP(B82,'F-1 Off-Site WaterC'' Baseline'!$C$10:$AE$257,22,FALSE))</f>
        <v/>
      </c>
      <c r="R82" s="362" t="str">
        <f>IF(N82="","",VLOOKUP(N82,'G-7 WaterC'' Data'!$B$2:$G$8,2,FALSE))</f>
        <v/>
      </c>
      <c r="S82" s="363" t="str">
        <f>IFERROR(VLOOKUP(R82,'G-7 WaterC'' Data'!$C$4:$D$8,2,FALSE),"")</f>
        <v/>
      </c>
      <c r="T82" s="114"/>
      <c r="U82" s="363" t="str">
        <f>IFERROR(INDEX('G-7 WaterC'' Data'!$H$4:$L$8,MATCH(N82,'G-7 WaterC'' Data'!$B$4:$B$8,0),MATCH(T82,'G-7 WaterC'' Data'!$H$3:$L$3,0)),"")</f>
        <v/>
      </c>
      <c r="V82" s="122"/>
      <c r="W82" s="382" t="str">
        <f>IF(V82="","",IF(VLOOKUP(V82,'G-7 WaterC'' Data'!$AK$4:$AM$6,2,FALSE)=0,"Spatial Data Missing ⚠",VLOOKUP(V82,'G-7 WaterC'' Data'!$AK$4:$AM$6,2,FALSE)))</f>
        <v/>
      </c>
      <c r="X82" s="386" t="str">
        <f>IF(V82="","",IF(VLOOKUP(V82,'G-7 WaterC'' Data'!$AK$4:$AM$6,3,FALSE)=0,"Spatial Data Missing ⚠",VLOOKUP(V82,'G-7 WaterC'' Data'!$AK$4:$AM$6,3,FALSE)))</f>
        <v/>
      </c>
      <c r="Y82" s="398" t="str">
        <f>IFERROR(IF(OR(LEFT(P82,5)="Error",LEFT(O82,5)="Error"),"Check Data ⚠",IF(F82&lt;S82,'G-7 WaterC'' Data'!$R$3,INDEX('G-7 WaterC'' Data'!$U$5:$Y$9,MATCH(G82,'G-7 WaterC'' Data'!$T$5:$T$9,0),MATCH(T82,'G-7 WaterC'' Data'!$U$4:$Y$4,0)))),"")</f>
        <v/>
      </c>
      <c r="Z82" s="165"/>
      <c r="AA82" s="165"/>
      <c r="AB82" s="395" t="str">
        <f t="shared" si="9"/>
        <v/>
      </c>
      <c r="AC82" s="383" t="str">
        <f t="shared" si="14"/>
        <v/>
      </c>
      <c r="AD82" s="422" t="str">
        <f>IFERROR(IF(AC82="Check Data ⚠","Check Data ⚠",VLOOKUP(AC82,'G-4 Temporal multipliers'!$A$4:$C$37,3,FALSE)),"")</f>
        <v/>
      </c>
      <c r="AE82" s="398" t="str">
        <f>IF(N82="","",VLOOKUP(N82,'G-7 WaterC'' Data'!$B$4:$G$8,5,FALSE))</f>
        <v/>
      </c>
      <c r="AF82" s="382" t="str">
        <f t="shared" si="10"/>
        <v/>
      </c>
      <c r="AG82" s="382" t="str">
        <f t="shared" si="15"/>
        <v/>
      </c>
      <c r="AH82" s="386" t="str">
        <f t="shared" si="11"/>
        <v/>
      </c>
      <c r="AI82" s="122"/>
      <c r="AJ82" s="363" t="str">
        <f>IF(AI82="","",IF(VLOOKUP(AI82,'G-7 WaterC'' Data'!$AA$4:$AB$7,2,FALSE)=0,"Spatial Data Missing ⚠",VLOOKUP(AI82,'G-7 WaterC'' Data'!$AA$4:$AB$7,2,FALSE)))</f>
        <v/>
      </c>
      <c r="AK82" s="123"/>
      <c r="AL82" s="397" t="str">
        <f>IF(AK82="","",IF(VLOOKUP(AK82,'G-7 WaterC'' Data'!$AD$4:$AE$14,2,FALSE)=0,"Spatial Data Missing ⚠",VLOOKUP(AK82,'G-7 WaterC'' Data'!$AD$4:$AE$14,2,FALSE)))</f>
        <v/>
      </c>
      <c r="AM82" s="122"/>
      <c r="AN82" s="363" t="str">
        <f>IF(AM82="","",IF(VLOOKUP(AM82,'G-7 WaterC'' Data'!$AO$4:$BO$7,2,FALSE)=0,"Spatial Data Missing ⚠",VLOOKUP(AM82,'G-7 WaterC'' Data'!$AO$4:$BO$7,2,FALSE)))</f>
        <v/>
      </c>
      <c r="AO82" s="405" t="str">
        <f t="shared" si="16"/>
        <v/>
      </c>
      <c r="AP82" s="405" t="str">
        <f t="shared" si="17"/>
        <v/>
      </c>
      <c r="AQ82" s="117"/>
      <c r="AR82" s="118"/>
      <c r="AS82" s="120"/>
      <c r="AT82" s="120"/>
      <c r="AY82" s="30" t="str">
        <f>IFERROR(INDEX('G-7 WaterC'' Data'!$AZ$3:$AZ$7,MATCH(N82,'G-7 WaterC'' Data'!$AY$3:$AY$7,0)),"")</f>
        <v/>
      </c>
    </row>
    <row r="83" spans="2:51" ht="15">
      <c r="B83" s="392" t="str">
        <f>'F-1 Off-Site WaterC'' Baseline'!AR81</f>
        <v/>
      </c>
      <c r="C83" s="382" t="str">
        <f>IF(B83="","",VLOOKUP($B83,'F-1 Off-Site WaterC'' Baseline'!$C$9:$R$257,2,FALSE))</f>
        <v/>
      </c>
      <c r="D83" s="382" t="str">
        <f>IF(C83="","",VLOOKUP($B83,'F-1 Off-Site WaterC'' Baseline'!$C$9:$R$257,3,FALSE))</f>
        <v/>
      </c>
      <c r="E83" s="382" t="str">
        <f>IF(D83="","",VLOOKUP($B83,'F-1 Off-Site WaterC'' Baseline'!$C$9:$R$257,4,FALSE))</f>
        <v/>
      </c>
      <c r="F83" s="382" t="str">
        <f>IF(E83="","",VLOOKUP($B83,'F-1 Off-Site WaterC'' Baseline'!$C$9:$R$257,5,FALSE))</f>
        <v/>
      </c>
      <c r="G83" s="382" t="str">
        <f>IF(F83="","",VLOOKUP($B83,'F-1 Off-Site WaterC'' Baseline'!$C$9:$R$257,6,FALSE))</f>
        <v/>
      </c>
      <c r="H83" s="382" t="str">
        <f>IF(G83="","",VLOOKUP($B83,'F-1 Off-Site WaterC'' Baseline'!$C$9:$R$257,7,FALSE))</f>
        <v/>
      </c>
      <c r="I83" s="382" t="str">
        <f>IF(H83="","",VLOOKUP($B83,'F-1 Off-Site WaterC'' Baseline'!$C$9:$R$257,8,FALSE))</f>
        <v/>
      </c>
      <c r="J83" s="382" t="str">
        <f>IF(I83="","",VLOOKUP($B83,'F-1 Off-Site WaterC'' Baseline'!$C$9:$R$257,9,FALSE))</f>
        <v/>
      </c>
      <c r="K83" s="382" t="str">
        <f>IF(J83="","",VLOOKUP($B83,'F-1 Off-Site WaterC'' Baseline'!$C$9:$R$257,10,FALSE))</f>
        <v/>
      </c>
      <c r="L83" s="382" t="str">
        <f>IF(B83="","",VLOOKUP($B83,'F-1 Off-Site WaterC'' Baseline'!$C$9:$R$257,15,FALSE))</f>
        <v/>
      </c>
      <c r="M83" s="386" t="str">
        <f>IF(L83="","",VLOOKUP($B83,'F-1 Off-Site WaterC'' Baseline'!$C$9:$R$257,16,FALSE))</f>
        <v/>
      </c>
      <c r="N83" s="316" t="str">
        <f t="shared" si="12"/>
        <v/>
      </c>
      <c r="O83" s="362" t="str">
        <f t="shared" si="13"/>
        <v/>
      </c>
      <c r="P83" s="363" t="str">
        <f>IF(C83="","",IF(AND(LEFT(C83,55)&lt;&gt;LEFT(N83,55),O83="High - High"),"Error - Not like for like ▲",IF(H83&gt;U83,"Error - Can not reduce condition ▲",IF(AND(F83=S83,H83=U83,AJ83='F-1 Off-Site WaterC'' Baseline'!N81,'F-1 Off-Site WaterC'' Baseline'!P81=AL83),"Error - No enhancement ▲",IF(AND(C83&lt;&gt;N83,F83&lt;S83),"Lower Distinctiveness Habitat"&amp;" - "&amp;T83,G83&amp;" - "&amp;T83)))))</f>
        <v/>
      </c>
      <c r="Q83" s="368" t="str">
        <f>IF(N83="","",VLOOKUP(B83,'F-1 Off-Site WaterC'' Baseline'!$C$10:$AE$257,22,FALSE))</f>
        <v/>
      </c>
      <c r="R83" s="362" t="str">
        <f>IF(N83="","",VLOOKUP(N83,'G-7 WaterC'' Data'!$B$2:$G$8,2,FALSE))</f>
        <v/>
      </c>
      <c r="S83" s="363" t="str">
        <f>IFERROR(VLOOKUP(R83,'G-7 WaterC'' Data'!$C$4:$D$8,2,FALSE),"")</f>
        <v/>
      </c>
      <c r="T83" s="114"/>
      <c r="U83" s="363" t="str">
        <f>IFERROR(INDEX('G-7 WaterC'' Data'!$H$4:$L$8,MATCH(N83,'G-7 WaterC'' Data'!$B$4:$B$8,0),MATCH(T83,'G-7 WaterC'' Data'!$H$3:$L$3,0)),"")</f>
        <v/>
      </c>
      <c r="V83" s="122"/>
      <c r="W83" s="382" t="str">
        <f>IF(V83="","",IF(VLOOKUP(V83,'G-7 WaterC'' Data'!$AK$4:$AM$6,2,FALSE)=0,"Spatial Data Missing ⚠",VLOOKUP(V83,'G-7 WaterC'' Data'!$AK$4:$AM$6,2,FALSE)))</f>
        <v/>
      </c>
      <c r="X83" s="386" t="str">
        <f>IF(V83="","",IF(VLOOKUP(V83,'G-7 WaterC'' Data'!$AK$4:$AM$6,3,FALSE)=0,"Spatial Data Missing ⚠",VLOOKUP(V83,'G-7 WaterC'' Data'!$AK$4:$AM$6,3,FALSE)))</f>
        <v/>
      </c>
      <c r="Y83" s="398" t="str">
        <f>IFERROR(IF(OR(LEFT(P83,5)="Error",LEFT(O83,5)="Error"),"Check Data ⚠",IF(F83&lt;S83,'G-7 WaterC'' Data'!$R$3,INDEX('G-7 WaterC'' Data'!$U$5:$Y$9,MATCH(G83,'G-7 WaterC'' Data'!$T$5:$T$9,0),MATCH(T83,'G-7 WaterC'' Data'!$U$4:$Y$4,0)))),"")</f>
        <v/>
      </c>
      <c r="Z83" s="165"/>
      <c r="AA83" s="165"/>
      <c r="AB83" s="395" t="str">
        <f t="shared" si="9"/>
        <v/>
      </c>
      <c r="AC83" s="383" t="str">
        <f t="shared" si="14"/>
        <v/>
      </c>
      <c r="AD83" s="422" t="str">
        <f>IFERROR(IF(AC83="Check Data ⚠","Check Data ⚠",VLOOKUP(AC83,'G-4 Temporal multipliers'!$A$4:$C$37,3,FALSE)),"")</f>
        <v/>
      </c>
      <c r="AE83" s="398" t="str">
        <f>IF(N83="","",VLOOKUP(N83,'G-7 WaterC'' Data'!$B$4:$G$8,5,FALSE))</f>
        <v/>
      </c>
      <c r="AF83" s="382" t="str">
        <f t="shared" si="10"/>
        <v/>
      </c>
      <c r="AG83" s="382" t="str">
        <f t="shared" si="15"/>
        <v/>
      </c>
      <c r="AH83" s="386" t="str">
        <f t="shared" si="11"/>
        <v/>
      </c>
      <c r="AI83" s="122"/>
      <c r="AJ83" s="363" t="str">
        <f>IF(AI83="","",IF(VLOOKUP(AI83,'G-7 WaterC'' Data'!$AA$4:$AB$7,2,FALSE)=0,"Spatial Data Missing ⚠",VLOOKUP(AI83,'G-7 WaterC'' Data'!$AA$4:$AB$7,2,FALSE)))</f>
        <v/>
      </c>
      <c r="AK83" s="123"/>
      <c r="AL83" s="397" t="str">
        <f>IF(AK83="","",IF(VLOOKUP(AK83,'G-7 WaterC'' Data'!$AD$4:$AE$14,2,FALSE)=0,"Spatial Data Missing ⚠",VLOOKUP(AK83,'G-7 WaterC'' Data'!$AD$4:$AE$14,2,FALSE)))</f>
        <v/>
      </c>
      <c r="AM83" s="122"/>
      <c r="AN83" s="363" t="str">
        <f>IF(AM83="","",IF(VLOOKUP(AM83,'G-7 WaterC'' Data'!$AO$4:$BO$7,2,FALSE)=0,"Spatial Data Missing ⚠",VLOOKUP(AM83,'G-7 WaterC'' Data'!$AO$4:$BO$7,2,FALSE)))</f>
        <v/>
      </c>
      <c r="AO83" s="405" t="str">
        <f t="shared" si="16"/>
        <v/>
      </c>
      <c r="AP83" s="405" t="str">
        <f t="shared" si="17"/>
        <v/>
      </c>
      <c r="AQ83" s="117"/>
      <c r="AR83" s="118"/>
      <c r="AS83" s="120"/>
      <c r="AT83" s="120"/>
      <c r="AY83" s="30" t="str">
        <f>IFERROR(INDEX('G-7 WaterC'' Data'!$AZ$3:$AZ$7,MATCH(N83,'G-7 WaterC'' Data'!$AY$3:$AY$7,0)),"")</f>
        <v/>
      </c>
    </row>
    <row r="84" spans="2:51" ht="15">
      <c r="B84" s="392" t="str">
        <f>'F-1 Off-Site WaterC'' Baseline'!AR82</f>
        <v/>
      </c>
      <c r="C84" s="382" t="str">
        <f>IF(B84="","",VLOOKUP($B84,'F-1 Off-Site WaterC'' Baseline'!$C$9:$R$257,2,FALSE))</f>
        <v/>
      </c>
      <c r="D84" s="382" t="str">
        <f>IF(C84="","",VLOOKUP($B84,'F-1 Off-Site WaterC'' Baseline'!$C$9:$R$257,3,FALSE))</f>
        <v/>
      </c>
      <c r="E84" s="382" t="str">
        <f>IF(D84="","",VLOOKUP($B84,'F-1 Off-Site WaterC'' Baseline'!$C$9:$R$257,4,FALSE))</f>
        <v/>
      </c>
      <c r="F84" s="382" t="str">
        <f>IF(E84="","",VLOOKUP($B84,'F-1 Off-Site WaterC'' Baseline'!$C$9:$R$257,5,FALSE))</f>
        <v/>
      </c>
      <c r="G84" s="382" t="str">
        <f>IF(F84="","",VLOOKUP($B84,'F-1 Off-Site WaterC'' Baseline'!$C$9:$R$257,6,FALSE))</f>
        <v/>
      </c>
      <c r="H84" s="382" t="str">
        <f>IF(G84="","",VLOOKUP($B84,'F-1 Off-Site WaterC'' Baseline'!$C$9:$R$257,7,FALSE))</f>
        <v/>
      </c>
      <c r="I84" s="382" t="str">
        <f>IF(H84="","",VLOOKUP($B84,'F-1 Off-Site WaterC'' Baseline'!$C$9:$R$257,8,FALSE))</f>
        <v/>
      </c>
      <c r="J84" s="382" t="str">
        <f>IF(I84="","",VLOOKUP($B84,'F-1 Off-Site WaterC'' Baseline'!$C$9:$R$257,9,FALSE))</f>
        <v/>
      </c>
      <c r="K84" s="382" t="str">
        <f>IF(J84="","",VLOOKUP($B84,'F-1 Off-Site WaterC'' Baseline'!$C$9:$R$257,10,FALSE))</f>
        <v/>
      </c>
      <c r="L84" s="382" t="str">
        <f>IF(B84="","",VLOOKUP($B84,'F-1 Off-Site WaterC'' Baseline'!$C$9:$R$257,15,FALSE))</f>
        <v/>
      </c>
      <c r="M84" s="386" t="str">
        <f>IF(L84="","",VLOOKUP($B84,'F-1 Off-Site WaterC'' Baseline'!$C$9:$R$257,16,FALSE))</f>
        <v/>
      </c>
      <c r="N84" s="316" t="str">
        <f t="shared" si="12"/>
        <v/>
      </c>
      <c r="O84" s="362" t="str">
        <f t="shared" si="13"/>
        <v/>
      </c>
      <c r="P84" s="363" t="str">
        <f>IF(C84="","",IF(AND(LEFT(C84,55)&lt;&gt;LEFT(N84,55),O84="High - High"),"Error - Not like for like ▲",IF(H84&gt;U84,"Error - Can not reduce condition ▲",IF(AND(F84=S84,H84=U84,AJ84='F-1 Off-Site WaterC'' Baseline'!N82,'F-1 Off-Site WaterC'' Baseline'!P82=AL84),"Error - No enhancement ▲",IF(AND(C84&lt;&gt;N84,F84&lt;S84),"Lower Distinctiveness Habitat"&amp;" - "&amp;T84,G84&amp;" - "&amp;T84)))))</f>
        <v/>
      </c>
      <c r="Q84" s="368" t="str">
        <f>IF(N84="","",VLOOKUP(B84,'F-1 Off-Site WaterC'' Baseline'!$C$10:$AE$257,22,FALSE))</f>
        <v/>
      </c>
      <c r="R84" s="362" t="str">
        <f>IF(N84="","",VLOOKUP(N84,'G-7 WaterC'' Data'!$B$2:$G$8,2,FALSE))</f>
        <v/>
      </c>
      <c r="S84" s="363" t="str">
        <f>IFERROR(VLOOKUP(R84,'G-7 WaterC'' Data'!$C$4:$D$8,2,FALSE),"")</f>
        <v/>
      </c>
      <c r="T84" s="114"/>
      <c r="U84" s="363" t="str">
        <f>IFERROR(INDEX('G-7 WaterC'' Data'!$H$4:$L$8,MATCH(N84,'G-7 WaterC'' Data'!$B$4:$B$8,0),MATCH(T84,'G-7 WaterC'' Data'!$H$3:$L$3,0)),"")</f>
        <v/>
      </c>
      <c r="V84" s="122"/>
      <c r="W84" s="382" t="str">
        <f>IF(V84="","",IF(VLOOKUP(V84,'G-7 WaterC'' Data'!$AK$4:$AM$6,2,FALSE)=0,"Spatial Data Missing ⚠",VLOOKUP(V84,'G-7 WaterC'' Data'!$AK$4:$AM$6,2,FALSE)))</f>
        <v/>
      </c>
      <c r="X84" s="386" t="str">
        <f>IF(V84="","",IF(VLOOKUP(V84,'G-7 WaterC'' Data'!$AK$4:$AM$6,3,FALSE)=0,"Spatial Data Missing ⚠",VLOOKUP(V84,'G-7 WaterC'' Data'!$AK$4:$AM$6,3,FALSE)))</f>
        <v/>
      </c>
      <c r="Y84" s="398" t="str">
        <f>IFERROR(IF(OR(LEFT(P84,5)="Error",LEFT(O84,5)="Error"),"Check Data ⚠",IF(F84&lt;S84,'G-7 WaterC'' Data'!$R$3,INDEX('G-7 WaterC'' Data'!$U$5:$Y$9,MATCH(G84,'G-7 WaterC'' Data'!$T$5:$T$9,0),MATCH(T84,'G-7 WaterC'' Data'!$U$4:$Y$4,0)))),"")</f>
        <v/>
      </c>
      <c r="Z84" s="165"/>
      <c r="AA84" s="165"/>
      <c r="AB84" s="395" t="str">
        <f t="shared" si="9"/>
        <v/>
      </c>
      <c r="AC84" s="383" t="str">
        <f t="shared" si="14"/>
        <v/>
      </c>
      <c r="AD84" s="422" t="str">
        <f>IFERROR(IF(AC84="Check Data ⚠","Check Data ⚠",VLOOKUP(AC84,'G-4 Temporal multipliers'!$A$4:$C$37,3,FALSE)),"")</f>
        <v/>
      </c>
      <c r="AE84" s="398" t="str">
        <f>IF(N84="","",VLOOKUP(N84,'G-7 WaterC'' Data'!$B$4:$G$8,5,FALSE))</f>
        <v/>
      </c>
      <c r="AF84" s="382" t="str">
        <f t="shared" si="10"/>
        <v/>
      </c>
      <c r="AG84" s="382" t="str">
        <f t="shared" si="15"/>
        <v/>
      </c>
      <c r="AH84" s="386" t="str">
        <f t="shared" si="11"/>
        <v/>
      </c>
      <c r="AI84" s="122"/>
      <c r="AJ84" s="363" t="str">
        <f>IF(AI84="","",IF(VLOOKUP(AI84,'G-7 WaterC'' Data'!$AA$4:$AB$7,2,FALSE)=0,"Spatial Data Missing ⚠",VLOOKUP(AI84,'G-7 WaterC'' Data'!$AA$4:$AB$7,2,FALSE)))</f>
        <v/>
      </c>
      <c r="AK84" s="123"/>
      <c r="AL84" s="397" t="str">
        <f>IF(AK84="","",IF(VLOOKUP(AK84,'G-7 WaterC'' Data'!$AD$4:$AE$14,2,FALSE)=0,"Spatial Data Missing ⚠",VLOOKUP(AK84,'G-7 WaterC'' Data'!$AD$4:$AE$14,2,FALSE)))</f>
        <v/>
      </c>
      <c r="AM84" s="122"/>
      <c r="AN84" s="363" t="str">
        <f>IF(AM84="","",IF(VLOOKUP(AM84,'G-7 WaterC'' Data'!$AO$4:$BO$7,2,FALSE)=0,"Spatial Data Missing ⚠",VLOOKUP(AM84,'G-7 WaterC'' Data'!$AO$4:$BO$7,2,FALSE)))</f>
        <v/>
      </c>
      <c r="AO84" s="405" t="str">
        <f t="shared" si="16"/>
        <v/>
      </c>
      <c r="AP84" s="405" t="str">
        <f t="shared" si="17"/>
        <v/>
      </c>
      <c r="AQ84" s="117"/>
      <c r="AR84" s="118"/>
      <c r="AS84" s="120"/>
      <c r="AT84" s="120"/>
      <c r="AY84" s="30" t="str">
        <f>IFERROR(INDEX('G-7 WaterC'' Data'!$AZ$3:$AZ$7,MATCH(N84,'G-7 WaterC'' Data'!$AY$3:$AY$7,0)),"")</f>
        <v/>
      </c>
    </row>
    <row r="85" spans="2:51" ht="15">
      <c r="B85" s="392" t="str">
        <f>'F-1 Off-Site WaterC'' Baseline'!AR83</f>
        <v/>
      </c>
      <c r="C85" s="382" t="str">
        <f>IF(B85="","",VLOOKUP($B85,'F-1 Off-Site WaterC'' Baseline'!$C$9:$R$257,2,FALSE))</f>
        <v/>
      </c>
      <c r="D85" s="382" t="str">
        <f>IF(C85="","",VLOOKUP($B85,'F-1 Off-Site WaterC'' Baseline'!$C$9:$R$257,3,FALSE))</f>
        <v/>
      </c>
      <c r="E85" s="382" t="str">
        <f>IF(D85="","",VLOOKUP($B85,'F-1 Off-Site WaterC'' Baseline'!$C$9:$R$257,4,FALSE))</f>
        <v/>
      </c>
      <c r="F85" s="382" t="str">
        <f>IF(E85="","",VLOOKUP($B85,'F-1 Off-Site WaterC'' Baseline'!$C$9:$R$257,5,FALSE))</f>
        <v/>
      </c>
      <c r="G85" s="382" t="str">
        <f>IF(F85="","",VLOOKUP($B85,'F-1 Off-Site WaterC'' Baseline'!$C$9:$R$257,6,FALSE))</f>
        <v/>
      </c>
      <c r="H85" s="382" t="str">
        <f>IF(G85="","",VLOOKUP($B85,'F-1 Off-Site WaterC'' Baseline'!$C$9:$R$257,7,FALSE))</f>
        <v/>
      </c>
      <c r="I85" s="382" t="str">
        <f>IF(H85="","",VLOOKUP($B85,'F-1 Off-Site WaterC'' Baseline'!$C$9:$R$257,8,FALSE))</f>
        <v/>
      </c>
      <c r="J85" s="382" t="str">
        <f>IF(I85="","",VLOOKUP($B85,'F-1 Off-Site WaterC'' Baseline'!$C$9:$R$257,9,FALSE))</f>
        <v/>
      </c>
      <c r="K85" s="382" t="str">
        <f>IF(J85="","",VLOOKUP($B85,'F-1 Off-Site WaterC'' Baseline'!$C$9:$R$257,10,FALSE))</f>
        <v/>
      </c>
      <c r="L85" s="382" t="str">
        <f>IF(B85="","",VLOOKUP($B85,'F-1 Off-Site WaterC'' Baseline'!$C$9:$R$257,15,FALSE))</f>
        <v/>
      </c>
      <c r="M85" s="386" t="str">
        <f>IF(L85="","",VLOOKUP($B85,'F-1 Off-Site WaterC'' Baseline'!$C$9:$R$257,16,FALSE))</f>
        <v/>
      </c>
      <c r="N85" s="316" t="str">
        <f t="shared" si="12"/>
        <v/>
      </c>
      <c r="O85" s="362" t="str">
        <f t="shared" si="13"/>
        <v/>
      </c>
      <c r="P85" s="363" t="str">
        <f>IF(C85="","",IF(AND(LEFT(C85,55)&lt;&gt;LEFT(N85,55),O85="High - High"),"Error - Not like for like ▲",IF(H85&gt;U85,"Error - Can not reduce condition ▲",IF(AND(F85=S85,H85=U85,AJ85='F-1 Off-Site WaterC'' Baseline'!N83,'F-1 Off-Site WaterC'' Baseline'!P83=AL85),"Error - No enhancement ▲",IF(AND(C85&lt;&gt;N85,F85&lt;S85),"Lower Distinctiveness Habitat"&amp;" - "&amp;T85,G85&amp;" - "&amp;T85)))))</f>
        <v/>
      </c>
      <c r="Q85" s="368" t="str">
        <f>IF(N85="","",VLOOKUP(B85,'F-1 Off-Site WaterC'' Baseline'!$C$10:$AE$257,22,FALSE))</f>
        <v/>
      </c>
      <c r="R85" s="362" t="str">
        <f>IF(N85="","",VLOOKUP(N85,'G-7 WaterC'' Data'!$B$2:$G$8,2,FALSE))</f>
        <v/>
      </c>
      <c r="S85" s="363" t="str">
        <f>IFERROR(VLOOKUP(R85,'G-7 WaterC'' Data'!$C$4:$D$8,2,FALSE),"")</f>
        <v/>
      </c>
      <c r="T85" s="114"/>
      <c r="U85" s="363" t="str">
        <f>IFERROR(INDEX('G-7 WaterC'' Data'!$H$4:$L$8,MATCH(N85,'G-7 WaterC'' Data'!$B$4:$B$8,0),MATCH(T85,'G-7 WaterC'' Data'!$H$3:$L$3,0)),"")</f>
        <v/>
      </c>
      <c r="V85" s="122"/>
      <c r="W85" s="382" t="str">
        <f>IF(V85="","",IF(VLOOKUP(V85,'G-7 WaterC'' Data'!$AK$4:$AM$6,2,FALSE)=0,"Spatial Data Missing ⚠",VLOOKUP(V85,'G-7 WaterC'' Data'!$AK$4:$AM$6,2,FALSE)))</f>
        <v/>
      </c>
      <c r="X85" s="386" t="str">
        <f>IF(V85="","",IF(VLOOKUP(V85,'G-7 WaterC'' Data'!$AK$4:$AM$6,3,FALSE)=0,"Spatial Data Missing ⚠",VLOOKUP(V85,'G-7 WaterC'' Data'!$AK$4:$AM$6,3,FALSE)))</f>
        <v/>
      </c>
      <c r="Y85" s="398" t="str">
        <f>IFERROR(IF(OR(LEFT(P85,5)="Error",LEFT(O85,5)="Error"),"Check Data ⚠",IF(F85&lt;S85,'G-7 WaterC'' Data'!$R$3,INDEX('G-7 WaterC'' Data'!$U$5:$Y$9,MATCH(G85,'G-7 WaterC'' Data'!$T$5:$T$9,0),MATCH(T85,'G-7 WaterC'' Data'!$U$4:$Y$4,0)))),"")</f>
        <v/>
      </c>
      <c r="Z85" s="165"/>
      <c r="AA85" s="165"/>
      <c r="AB85" s="395" t="str">
        <f t="shared" si="9"/>
        <v/>
      </c>
      <c r="AC85" s="383" t="str">
        <f t="shared" si="14"/>
        <v/>
      </c>
      <c r="AD85" s="422" t="str">
        <f>IFERROR(IF(AC85="Check Data ⚠","Check Data ⚠",VLOOKUP(AC85,'G-4 Temporal multipliers'!$A$4:$C$37,3,FALSE)),"")</f>
        <v/>
      </c>
      <c r="AE85" s="398" t="str">
        <f>IF(N85="","",VLOOKUP(N85,'G-7 WaterC'' Data'!$B$4:$G$8,5,FALSE))</f>
        <v/>
      </c>
      <c r="AF85" s="382" t="str">
        <f t="shared" si="10"/>
        <v/>
      </c>
      <c r="AG85" s="382" t="str">
        <f t="shared" si="15"/>
        <v/>
      </c>
      <c r="AH85" s="386" t="str">
        <f t="shared" si="11"/>
        <v/>
      </c>
      <c r="AI85" s="122"/>
      <c r="AJ85" s="363" t="str">
        <f>IF(AI85="","",IF(VLOOKUP(AI85,'G-7 WaterC'' Data'!$AA$4:$AB$7,2,FALSE)=0,"Spatial Data Missing ⚠",VLOOKUP(AI85,'G-7 WaterC'' Data'!$AA$4:$AB$7,2,FALSE)))</f>
        <v/>
      </c>
      <c r="AK85" s="123"/>
      <c r="AL85" s="397" t="str">
        <f>IF(AK85="","",IF(VLOOKUP(AK85,'G-7 WaterC'' Data'!$AD$4:$AE$14,2,FALSE)=0,"Spatial Data Missing ⚠",VLOOKUP(AK85,'G-7 WaterC'' Data'!$AD$4:$AE$14,2,FALSE)))</f>
        <v/>
      </c>
      <c r="AM85" s="122"/>
      <c r="AN85" s="363" t="str">
        <f>IF(AM85="","",IF(VLOOKUP(AM85,'G-7 WaterC'' Data'!$AO$4:$BO$7,2,FALSE)=0,"Spatial Data Missing ⚠",VLOOKUP(AM85,'G-7 WaterC'' Data'!$AO$4:$BO$7,2,FALSE)))</f>
        <v/>
      </c>
      <c r="AO85" s="405" t="str">
        <f t="shared" si="16"/>
        <v/>
      </c>
      <c r="AP85" s="405" t="str">
        <f t="shared" si="17"/>
        <v/>
      </c>
      <c r="AQ85" s="117"/>
      <c r="AR85" s="118"/>
      <c r="AS85" s="120"/>
      <c r="AT85" s="120"/>
      <c r="AY85" s="30" t="str">
        <f>IFERROR(INDEX('G-7 WaterC'' Data'!$AZ$3:$AZ$7,MATCH(N85,'G-7 WaterC'' Data'!$AY$3:$AY$7,0)),"")</f>
        <v/>
      </c>
    </row>
    <row r="86" spans="2:51" ht="15">
      <c r="B86" s="392" t="str">
        <f>'F-1 Off-Site WaterC'' Baseline'!AR84</f>
        <v/>
      </c>
      <c r="C86" s="382" t="str">
        <f>IF(B86="","",VLOOKUP($B86,'F-1 Off-Site WaterC'' Baseline'!$C$9:$R$257,2,FALSE))</f>
        <v/>
      </c>
      <c r="D86" s="382" t="str">
        <f>IF(C86="","",VLOOKUP($B86,'F-1 Off-Site WaterC'' Baseline'!$C$9:$R$257,3,FALSE))</f>
        <v/>
      </c>
      <c r="E86" s="382" t="str">
        <f>IF(D86="","",VLOOKUP($B86,'F-1 Off-Site WaterC'' Baseline'!$C$9:$R$257,4,FALSE))</f>
        <v/>
      </c>
      <c r="F86" s="382" t="str">
        <f>IF(E86="","",VLOOKUP($B86,'F-1 Off-Site WaterC'' Baseline'!$C$9:$R$257,5,FALSE))</f>
        <v/>
      </c>
      <c r="G86" s="382" t="str">
        <f>IF(F86="","",VLOOKUP($B86,'F-1 Off-Site WaterC'' Baseline'!$C$9:$R$257,6,FALSE))</f>
        <v/>
      </c>
      <c r="H86" s="382" t="str">
        <f>IF(G86="","",VLOOKUP($B86,'F-1 Off-Site WaterC'' Baseline'!$C$9:$R$257,7,FALSE))</f>
        <v/>
      </c>
      <c r="I86" s="382" t="str">
        <f>IF(H86="","",VLOOKUP($B86,'F-1 Off-Site WaterC'' Baseline'!$C$9:$R$257,8,FALSE))</f>
        <v/>
      </c>
      <c r="J86" s="382" t="str">
        <f>IF(I86="","",VLOOKUP($B86,'F-1 Off-Site WaterC'' Baseline'!$C$9:$R$257,9,FALSE))</f>
        <v/>
      </c>
      <c r="K86" s="382" t="str">
        <f>IF(J86="","",VLOOKUP($B86,'F-1 Off-Site WaterC'' Baseline'!$C$9:$R$257,10,FALSE))</f>
        <v/>
      </c>
      <c r="L86" s="382" t="str">
        <f>IF(B86="","",VLOOKUP($B86,'F-1 Off-Site WaterC'' Baseline'!$C$9:$R$257,15,FALSE))</f>
        <v/>
      </c>
      <c r="M86" s="386" t="str">
        <f>IF(L86="","",VLOOKUP($B86,'F-1 Off-Site WaterC'' Baseline'!$C$9:$R$257,16,FALSE))</f>
        <v/>
      </c>
      <c r="N86" s="316" t="str">
        <f t="shared" si="12"/>
        <v/>
      </c>
      <c r="O86" s="362" t="str">
        <f t="shared" si="13"/>
        <v/>
      </c>
      <c r="P86" s="363" t="str">
        <f>IF(C86="","",IF(AND(LEFT(C86,55)&lt;&gt;LEFT(N86,55),O86="High - High"),"Error - Not like for like ▲",IF(H86&gt;U86,"Error - Can not reduce condition ▲",IF(AND(F86=S86,H86=U86,AJ86='F-1 Off-Site WaterC'' Baseline'!N84,'F-1 Off-Site WaterC'' Baseline'!P84=AL86),"Error - No enhancement ▲",IF(AND(C86&lt;&gt;N86,F86&lt;S86),"Lower Distinctiveness Habitat"&amp;" - "&amp;T86,G86&amp;" - "&amp;T86)))))</f>
        <v/>
      </c>
      <c r="Q86" s="368" t="str">
        <f>IF(N86="","",VLOOKUP(B86,'F-1 Off-Site WaterC'' Baseline'!$C$10:$AE$257,22,FALSE))</f>
        <v/>
      </c>
      <c r="R86" s="362" t="str">
        <f>IF(N86="","",VLOOKUP(N86,'G-7 WaterC'' Data'!$B$2:$G$8,2,FALSE))</f>
        <v/>
      </c>
      <c r="S86" s="363" t="str">
        <f>IFERROR(VLOOKUP(R86,'G-7 WaterC'' Data'!$C$4:$D$8,2,FALSE),"")</f>
        <v/>
      </c>
      <c r="T86" s="114"/>
      <c r="U86" s="363" t="str">
        <f>IFERROR(INDEX('G-7 WaterC'' Data'!$H$4:$L$8,MATCH(N86,'G-7 WaterC'' Data'!$B$4:$B$8,0),MATCH(T86,'G-7 WaterC'' Data'!$H$3:$L$3,0)),"")</f>
        <v/>
      </c>
      <c r="V86" s="122"/>
      <c r="W86" s="382" t="str">
        <f>IF(V86="","",IF(VLOOKUP(V86,'G-7 WaterC'' Data'!$AK$4:$AM$6,2,FALSE)=0,"Spatial Data Missing ⚠",VLOOKUP(V86,'G-7 WaterC'' Data'!$AK$4:$AM$6,2,FALSE)))</f>
        <v/>
      </c>
      <c r="X86" s="386" t="str">
        <f>IF(V86="","",IF(VLOOKUP(V86,'G-7 WaterC'' Data'!$AK$4:$AM$6,3,FALSE)=0,"Spatial Data Missing ⚠",VLOOKUP(V86,'G-7 WaterC'' Data'!$AK$4:$AM$6,3,FALSE)))</f>
        <v/>
      </c>
      <c r="Y86" s="398" t="str">
        <f>IFERROR(IF(OR(LEFT(P86,5)="Error",LEFT(O86,5)="Error"),"Check Data ⚠",IF(F86&lt;S86,'G-7 WaterC'' Data'!$R$3,INDEX('G-7 WaterC'' Data'!$U$5:$Y$9,MATCH(G86,'G-7 WaterC'' Data'!$T$5:$T$9,0),MATCH(T86,'G-7 WaterC'' Data'!$U$4:$Y$4,0)))),"")</f>
        <v/>
      </c>
      <c r="Z86" s="165"/>
      <c r="AA86" s="165"/>
      <c r="AB86" s="395" t="str">
        <f t="shared" si="9"/>
        <v/>
      </c>
      <c r="AC86" s="383" t="str">
        <f t="shared" si="14"/>
        <v/>
      </c>
      <c r="AD86" s="422" t="str">
        <f>IFERROR(IF(AC86="Check Data ⚠","Check Data ⚠",VLOOKUP(AC86,'G-4 Temporal multipliers'!$A$4:$C$37,3,FALSE)),"")</f>
        <v/>
      </c>
      <c r="AE86" s="398" t="str">
        <f>IF(N86="","",VLOOKUP(N86,'G-7 WaterC'' Data'!$B$4:$G$8,5,FALSE))</f>
        <v/>
      </c>
      <c r="AF86" s="382" t="str">
        <f t="shared" si="10"/>
        <v/>
      </c>
      <c r="AG86" s="382" t="str">
        <f t="shared" si="15"/>
        <v/>
      </c>
      <c r="AH86" s="386" t="str">
        <f t="shared" si="11"/>
        <v/>
      </c>
      <c r="AI86" s="122"/>
      <c r="AJ86" s="363" t="str">
        <f>IF(AI86="","",IF(VLOOKUP(AI86,'G-7 WaterC'' Data'!$AA$4:$AB$7,2,FALSE)=0,"Spatial Data Missing ⚠",VLOOKUP(AI86,'G-7 WaterC'' Data'!$AA$4:$AB$7,2,FALSE)))</f>
        <v/>
      </c>
      <c r="AK86" s="123"/>
      <c r="AL86" s="397" t="str">
        <f>IF(AK86="","",IF(VLOOKUP(AK86,'G-7 WaterC'' Data'!$AD$4:$AE$14,2,FALSE)=0,"Spatial Data Missing ⚠",VLOOKUP(AK86,'G-7 WaterC'' Data'!$AD$4:$AE$14,2,FALSE)))</f>
        <v/>
      </c>
      <c r="AM86" s="122"/>
      <c r="AN86" s="363" t="str">
        <f>IF(AM86="","",IF(VLOOKUP(AM86,'G-7 WaterC'' Data'!$AO$4:$BO$7,2,FALSE)=0,"Spatial Data Missing ⚠",VLOOKUP(AM86,'G-7 WaterC'' Data'!$AO$4:$BO$7,2,FALSE)))</f>
        <v/>
      </c>
      <c r="AO86" s="405" t="str">
        <f t="shared" si="16"/>
        <v/>
      </c>
      <c r="AP86" s="405" t="str">
        <f t="shared" si="17"/>
        <v/>
      </c>
      <c r="AQ86" s="117"/>
      <c r="AR86" s="118"/>
      <c r="AS86" s="120"/>
      <c r="AT86" s="120"/>
      <c r="AY86" s="30" t="str">
        <f>IFERROR(INDEX('G-7 WaterC'' Data'!$AZ$3:$AZ$7,MATCH(N86,'G-7 WaterC'' Data'!$AY$3:$AY$7,0)),"")</f>
        <v/>
      </c>
    </row>
    <row r="87" spans="2:51" ht="15">
      <c r="B87" s="392" t="str">
        <f>'F-1 Off-Site WaterC'' Baseline'!AR85</f>
        <v/>
      </c>
      <c r="C87" s="382" t="str">
        <f>IF(B87="","",VLOOKUP($B87,'F-1 Off-Site WaterC'' Baseline'!$C$9:$R$257,2,FALSE))</f>
        <v/>
      </c>
      <c r="D87" s="382" t="str">
        <f>IF(C87="","",VLOOKUP($B87,'F-1 Off-Site WaterC'' Baseline'!$C$9:$R$257,3,FALSE))</f>
        <v/>
      </c>
      <c r="E87" s="382" t="str">
        <f>IF(D87="","",VLOOKUP($B87,'F-1 Off-Site WaterC'' Baseline'!$C$9:$R$257,4,FALSE))</f>
        <v/>
      </c>
      <c r="F87" s="382" t="str">
        <f>IF(E87="","",VLOOKUP($B87,'F-1 Off-Site WaterC'' Baseline'!$C$9:$R$257,5,FALSE))</f>
        <v/>
      </c>
      <c r="G87" s="382" t="str">
        <f>IF(F87="","",VLOOKUP($B87,'F-1 Off-Site WaterC'' Baseline'!$C$9:$R$257,6,FALSE))</f>
        <v/>
      </c>
      <c r="H87" s="382" t="str">
        <f>IF(G87="","",VLOOKUP($B87,'F-1 Off-Site WaterC'' Baseline'!$C$9:$R$257,7,FALSE))</f>
        <v/>
      </c>
      <c r="I87" s="382" t="str">
        <f>IF(H87="","",VLOOKUP($B87,'F-1 Off-Site WaterC'' Baseline'!$C$9:$R$257,8,FALSE))</f>
        <v/>
      </c>
      <c r="J87" s="382" t="str">
        <f>IF(I87="","",VLOOKUP($B87,'F-1 Off-Site WaterC'' Baseline'!$C$9:$R$257,9,FALSE))</f>
        <v/>
      </c>
      <c r="K87" s="382" t="str">
        <f>IF(J87="","",VLOOKUP($B87,'F-1 Off-Site WaterC'' Baseline'!$C$9:$R$257,10,FALSE))</f>
        <v/>
      </c>
      <c r="L87" s="382" t="str">
        <f>IF(B87="","",VLOOKUP($B87,'F-1 Off-Site WaterC'' Baseline'!$C$9:$R$257,15,FALSE))</f>
        <v/>
      </c>
      <c r="M87" s="386" t="str">
        <f>IF(L87="","",VLOOKUP($B87,'F-1 Off-Site WaterC'' Baseline'!$C$9:$R$257,16,FALSE))</f>
        <v/>
      </c>
      <c r="N87" s="316" t="str">
        <f t="shared" si="12"/>
        <v/>
      </c>
      <c r="O87" s="362" t="str">
        <f t="shared" si="13"/>
        <v/>
      </c>
      <c r="P87" s="363" t="str">
        <f>IF(C87="","",IF(AND(LEFT(C87,55)&lt;&gt;LEFT(N87,55),O87="High - High"),"Error - Not like for like ▲",IF(H87&gt;U87,"Error - Can not reduce condition ▲",IF(AND(F87=S87,H87=U87,AJ87='F-1 Off-Site WaterC'' Baseline'!N85,'F-1 Off-Site WaterC'' Baseline'!P85=AL87),"Error - No enhancement ▲",IF(AND(C87&lt;&gt;N87,F87&lt;S87),"Lower Distinctiveness Habitat"&amp;" - "&amp;T87,G87&amp;" - "&amp;T87)))))</f>
        <v/>
      </c>
      <c r="Q87" s="368" t="str">
        <f>IF(N87="","",VLOOKUP(B87,'F-1 Off-Site WaterC'' Baseline'!$C$10:$AE$257,22,FALSE))</f>
        <v/>
      </c>
      <c r="R87" s="362" t="str">
        <f>IF(N87="","",VLOOKUP(N87,'G-7 WaterC'' Data'!$B$2:$G$8,2,FALSE))</f>
        <v/>
      </c>
      <c r="S87" s="363" t="str">
        <f>IFERROR(VLOOKUP(R87,'G-7 WaterC'' Data'!$C$4:$D$8,2,FALSE),"")</f>
        <v/>
      </c>
      <c r="T87" s="114"/>
      <c r="U87" s="363" t="str">
        <f>IFERROR(INDEX('G-7 WaterC'' Data'!$H$4:$L$8,MATCH(N87,'G-7 WaterC'' Data'!$B$4:$B$8,0),MATCH(T87,'G-7 WaterC'' Data'!$H$3:$L$3,0)),"")</f>
        <v/>
      </c>
      <c r="V87" s="122"/>
      <c r="W87" s="382" t="str">
        <f>IF(V87="","",IF(VLOOKUP(V87,'G-7 WaterC'' Data'!$AK$4:$AM$6,2,FALSE)=0,"Spatial Data Missing ⚠",VLOOKUP(V87,'G-7 WaterC'' Data'!$AK$4:$AM$6,2,FALSE)))</f>
        <v/>
      </c>
      <c r="X87" s="386" t="str">
        <f>IF(V87="","",IF(VLOOKUP(V87,'G-7 WaterC'' Data'!$AK$4:$AM$6,3,FALSE)=0,"Spatial Data Missing ⚠",VLOOKUP(V87,'G-7 WaterC'' Data'!$AK$4:$AM$6,3,FALSE)))</f>
        <v/>
      </c>
      <c r="Y87" s="398" t="str">
        <f>IFERROR(IF(OR(LEFT(P87,5)="Error",LEFT(O87,5)="Error"),"Check Data ⚠",IF(F87&lt;S87,'G-7 WaterC'' Data'!$R$3,INDEX('G-7 WaterC'' Data'!$U$5:$Y$9,MATCH(G87,'G-7 WaterC'' Data'!$T$5:$T$9,0),MATCH(T87,'G-7 WaterC'' Data'!$U$4:$Y$4,0)))),"")</f>
        <v/>
      </c>
      <c r="Z87" s="165"/>
      <c r="AA87" s="165"/>
      <c r="AB87" s="395" t="str">
        <f t="shared" si="9"/>
        <v/>
      </c>
      <c r="AC87" s="383" t="str">
        <f t="shared" si="14"/>
        <v/>
      </c>
      <c r="AD87" s="422" t="str">
        <f>IFERROR(IF(AC87="Check Data ⚠","Check Data ⚠",VLOOKUP(AC87,'G-4 Temporal multipliers'!$A$4:$C$37,3,FALSE)),"")</f>
        <v/>
      </c>
      <c r="AE87" s="398" t="str">
        <f>IF(N87="","",VLOOKUP(N87,'G-7 WaterC'' Data'!$B$4:$G$8,5,FALSE))</f>
        <v/>
      </c>
      <c r="AF87" s="382" t="str">
        <f t="shared" si="10"/>
        <v/>
      </c>
      <c r="AG87" s="382" t="str">
        <f t="shared" si="15"/>
        <v/>
      </c>
      <c r="AH87" s="386" t="str">
        <f t="shared" si="11"/>
        <v/>
      </c>
      <c r="AI87" s="122"/>
      <c r="AJ87" s="363" t="str">
        <f>IF(AI87="","",IF(VLOOKUP(AI87,'G-7 WaterC'' Data'!$AA$4:$AB$7,2,FALSE)=0,"Spatial Data Missing ⚠",VLOOKUP(AI87,'G-7 WaterC'' Data'!$AA$4:$AB$7,2,FALSE)))</f>
        <v/>
      </c>
      <c r="AK87" s="123"/>
      <c r="AL87" s="397" t="str">
        <f>IF(AK87="","",IF(VLOOKUP(AK87,'G-7 WaterC'' Data'!$AD$4:$AE$14,2,FALSE)=0,"Spatial Data Missing ⚠",VLOOKUP(AK87,'G-7 WaterC'' Data'!$AD$4:$AE$14,2,FALSE)))</f>
        <v/>
      </c>
      <c r="AM87" s="122"/>
      <c r="AN87" s="363" t="str">
        <f>IF(AM87="","",IF(VLOOKUP(AM87,'G-7 WaterC'' Data'!$AO$4:$BO$7,2,FALSE)=0,"Spatial Data Missing ⚠",VLOOKUP(AM87,'G-7 WaterC'' Data'!$AO$4:$BO$7,2,FALSE)))</f>
        <v/>
      </c>
      <c r="AO87" s="405" t="str">
        <f t="shared" si="16"/>
        <v/>
      </c>
      <c r="AP87" s="405" t="str">
        <f t="shared" si="17"/>
        <v/>
      </c>
      <c r="AQ87" s="117"/>
      <c r="AR87" s="118"/>
      <c r="AS87" s="120"/>
      <c r="AT87" s="120"/>
      <c r="AY87" s="30" t="str">
        <f>IFERROR(INDEX('G-7 WaterC'' Data'!$AZ$3:$AZ$7,MATCH(N87,'G-7 WaterC'' Data'!$AY$3:$AY$7,0)),"")</f>
        <v/>
      </c>
    </row>
    <row r="88" spans="2:51" ht="15">
      <c r="B88" s="392" t="str">
        <f>'F-1 Off-Site WaterC'' Baseline'!AR86</f>
        <v/>
      </c>
      <c r="C88" s="382" t="str">
        <f>IF(B88="","",VLOOKUP($B88,'F-1 Off-Site WaterC'' Baseline'!$C$9:$R$257,2,FALSE))</f>
        <v/>
      </c>
      <c r="D88" s="382" t="str">
        <f>IF(C88="","",VLOOKUP($B88,'F-1 Off-Site WaterC'' Baseline'!$C$9:$R$257,3,FALSE))</f>
        <v/>
      </c>
      <c r="E88" s="382" t="str">
        <f>IF(D88="","",VLOOKUP($B88,'F-1 Off-Site WaterC'' Baseline'!$C$9:$R$257,4,FALSE))</f>
        <v/>
      </c>
      <c r="F88" s="382" t="str">
        <f>IF(E88="","",VLOOKUP($B88,'F-1 Off-Site WaterC'' Baseline'!$C$9:$R$257,5,FALSE))</f>
        <v/>
      </c>
      <c r="G88" s="382" t="str">
        <f>IF(F88="","",VLOOKUP($B88,'F-1 Off-Site WaterC'' Baseline'!$C$9:$R$257,6,FALSE))</f>
        <v/>
      </c>
      <c r="H88" s="382" t="str">
        <f>IF(G88="","",VLOOKUP($B88,'F-1 Off-Site WaterC'' Baseline'!$C$9:$R$257,7,FALSE))</f>
        <v/>
      </c>
      <c r="I88" s="382" t="str">
        <f>IF(H88="","",VLOOKUP($B88,'F-1 Off-Site WaterC'' Baseline'!$C$9:$R$257,8,FALSE))</f>
        <v/>
      </c>
      <c r="J88" s="382" t="str">
        <f>IF(I88="","",VLOOKUP($B88,'F-1 Off-Site WaterC'' Baseline'!$C$9:$R$257,9,FALSE))</f>
        <v/>
      </c>
      <c r="K88" s="382" t="str">
        <f>IF(J88="","",VLOOKUP($B88,'F-1 Off-Site WaterC'' Baseline'!$C$9:$R$257,10,FALSE))</f>
        <v/>
      </c>
      <c r="L88" s="382" t="str">
        <f>IF(B88="","",VLOOKUP($B88,'F-1 Off-Site WaterC'' Baseline'!$C$9:$R$257,15,FALSE))</f>
        <v/>
      </c>
      <c r="M88" s="386" t="str">
        <f>IF(L88="","",VLOOKUP($B88,'F-1 Off-Site WaterC'' Baseline'!$C$9:$R$257,16,FALSE))</f>
        <v/>
      </c>
      <c r="N88" s="316" t="str">
        <f t="shared" si="12"/>
        <v/>
      </c>
      <c r="O88" s="362" t="str">
        <f t="shared" si="13"/>
        <v/>
      </c>
      <c r="P88" s="363" t="str">
        <f>IF(C88="","",IF(AND(LEFT(C88,55)&lt;&gt;LEFT(N88,55),O88="High - High"),"Error - Not like for like ▲",IF(H88&gt;U88,"Error - Can not reduce condition ▲",IF(AND(F88=S88,H88=U88,AJ88='F-1 Off-Site WaterC'' Baseline'!N86,'F-1 Off-Site WaterC'' Baseline'!P86=AL88),"Error - No enhancement ▲",IF(AND(C88&lt;&gt;N88,F88&lt;S88),"Lower Distinctiveness Habitat"&amp;" - "&amp;T88,G88&amp;" - "&amp;T88)))))</f>
        <v/>
      </c>
      <c r="Q88" s="368" t="str">
        <f>IF(N88="","",VLOOKUP(B88,'F-1 Off-Site WaterC'' Baseline'!$C$10:$AE$257,22,FALSE))</f>
        <v/>
      </c>
      <c r="R88" s="362" t="str">
        <f>IF(N88="","",VLOOKUP(N88,'G-7 WaterC'' Data'!$B$2:$G$8,2,FALSE))</f>
        <v/>
      </c>
      <c r="S88" s="363" t="str">
        <f>IFERROR(VLOOKUP(R88,'G-7 WaterC'' Data'!$C$4:$D$8,2,FALSE),"")</f>
        <v/>
      </c>
      <c r="T88" s="114"/>
      <c r="U88" s="363" t="str">
        <f>IFERROR(INDEX('G-7 WaterC'' Data'!$H$4:$L$8,MATCH(N88,'G-7 WaterC'' Data'!$B$4:$B$8,0),MATCH(T88,'G-7 WaterC'' Data'!$H$3:$L$3,0)),"")</f>
        <v/>
      </c>
      <c r="V88" s="122"/>
      <c r="W88" s="382" t="str">
        <f>IF(V88="","",IF(VLOOKUP(V88,'G-7 WaterC'' Data'!$AK$4:$AM$6,2,FALSE)=0,"Spatial Data Missing ⚠",VLOOKUP(V88,'G-7 WaterC'' Data'!$AK$4:$AM$6,2,FALSE)))</f>
        <v/>
      </c>
      <c r="X88" s="386" t="str">
        <f>IF(V88="","",IF(VLOOKUP(V88,'G-7 WaterC'' Data'!$AK$4:$AM$6,3,FALSE)=0,"Spatial Data Missing ⚠",VLOOKUP(V88,'G-7 WaterC'' Data'!$AK$4:$AM$6,3,FALSE)))</f>
        <v/>
      </c>
      <c r="Y88" s="398" t="str">
        <f>IFERROR(IF(OR(LEFT(P88,5)="Error",LEFT(O88,5)="Error"),"Check Data ⚠",IF(F88&lt;S88,'G-7 WaterC'' Data'!$R$3,INDEX('G-7 WaterC'' Data'!$U$5:$Y$9,MATCH(G88,'G-7 WaterC'' Data'!$T$5:$T$9,0),MATCH(T88,'G-7 WaterC'' Data'!$U$4:$Y$4,0)))),"")</f>
        <v/>
      </c>
      <c r="Z88" s="165"/>
      <c r="AA88" s="165"/>
      <c r="AB88" s="395" t="str">
        <f t="shared" si="9"/>
        <v/>
      </c>
      <c r="AC88" s="383" t="str">
        <f t="shared" si="14"/>
        <v/>
      </c>
      <c r="AD88" s="422" t="str">
        <f>IFERROR(IF(AC88="Check Data ⚠","Check Data ⚠",VLOOKUP(AC88,'G-4 Temporal multipliers'!$A$4:$C$37,3,FALSE)),"")</f>
        <v/>
      </c>
      <c r="AE88" s="398" t="str">
        <f>IF(N88="","",VLOOKUP(N88,'G-7 WaterC'' Data'!$B$4:$G$8,5,FALSE))</f>
        <v/>
      </c>
      <c r="AF88" s="382" t="str">
        <f t="shared" si="10"/>
        <v/>
      </c>
      <c r="AG88" s="382" t="str">
        <f t="shared" si="15"/>
        <v/>
      </c>
      <c r="AH88" s="386" t="str">
        <f t="shared" si="11"/>
        <v/>
      </c>
      <c r="AI88" s="122"/>
      <c r="AJ88" s="363" t="str">
        <f>IF(AI88="","",IF(VLOOKUP(AI88,'G-7 WaterC'' Data'!$AA$4:$AB$7,2,FALSE)=0,"Spatial Data Missing ⚠",VLOOKUP(AI88,'G-7 WaterC'' Data'!$AA$4:$AB$7,2,FALSE)))</f>
        <v/>
      </c>
      <c r="AK88" s="123"/>
      <c r="AL88" s="397" t="str">
        <f>IF(AK88="","",IF(VLOOKUP(AK88,'G-7 WaterC'' Data'!$AD$4:$AE$14,2,FALSE)=0,"Spatial Data Missing ⚠",VLOOKUP(AK88,'G-7 WaterC'' Data'!$AD$4:$AE$14,2,FALSE)))</f>
        <v/>
      </c>
      <c r="AM88" s="122"/>
      <c r="AN88" s="363" t="str">
        <f>IF(AM88="","",IF(VLOOKUP(AM88,'G-7 WaterC'' Data'!$AO$4:$BO$7,2,FALSE)=0,"Spatial Data Missing ⚠",VLOOKUP(AM88,'G-7 WaterC'' Data'!$AO$4:$BO$7,2,FALSE)))</f>
        <v/>
      </c>
      <c r="AO88" s="405" t="str">
        <f t="shared" si="16"/>
        <v/>
      </c>
      <c r="AP88" s="405" t="str">
        <f t="shared" si="17"/>
        <v/>
      </c>
      <c r="AQ88" s="117"/>
      <c r="AR88" s="118"/>
      <c r="AS88" s="120"/>
      <c r="AT88" s="120"/>
      <c r="AY88" s="30" t="str">
        <f>IFERROR(INDEX('G-7 WaterC'' Data'!$AZ$3:$AZ$7,MATCH(N88,'G-7 WaterC'' Data'!$AY$3:$AY$7,0)),"")</f>
        <v/>
      </c>
    </row>
    <row r="89" spans="2:51" ht="15">
      <c r="B89" s="392" t="str">
        <f>'F-1 Off-Site WaterC'' Baseline'!AR87</f>
        <v/>
      </c>
      <c r="C89" s="382" t="str">
        <f>IF(B89="","",VLOOKUP($B89,'F-1 Off-Site WaterC'' Baseline'!$C$9:$R$257,2,FALSE))</f>
        <v/>
      </c>
      <c r="D89" s="382" t="str">
        <f>IF(C89="","",VLOOKUP($B89,'F-1 Off-Site WaterC'' Baseline'!$C$9:$R$257,3,FALSE))</f>
        <v/>
      </c>
      <c r="E89" s="382" t="str">
        <f>IF(D89="","",VLOOKUP($B89,'F-1 Off-Site WaterC'' Baseline'!$C$9:$R$257,4,FALSE))</f>
        <v/>
      </c>
      <c r="F89" s="382" t="str">
        <f>IF(E89="","",VLOOKUP($B89,'F-1 Off-Site WaterC'' Baseline'!$C$9:$R$257,5,FALSE))</f>
        <v/>
      </c>
      <c r="G89" s="382" t="str">
        <f>IF(F89="","",VLOOKUP($B89,'F-1 Off-Site WaterC'' Baseline'!$C$9:$R$257,6,FALSE))</f>
        <v/>
      </c>
      <c r="H89" s="382" t="str">
        <f>IF(G89="","",VLOOKUP($B89,'F-1 Off-Site WaterC'' Baseline'!$C$9:$R$257,7,FALSE))</f>
        <v/>
      </c>
      <c r="I89" s="382" t="str">
        <f>IF(H89="","",VLOOKUP($B89,'F-1 Off-Site WaterC'' Baseline'!$C$9:$R$257,8,FALSE))</f>
        <v/>
      </c>
      <c r="J89" s="382" t="str">
        <f>IF(I89="","",VLOOKUP($B89,'F-1 Off-Site WaterC'' Baseline'!$C$9:$R$257,9,FALSE))</f>
        <v/>
      </c>
      <c r="K89" s="382" t="str">
        <f>IF(J89="","",VLOOKUP($B89,'F-1 Off-Site WaterC'' Baseline'!$C$9:$R$257,10,FALSE))</f>
        <v/>
      </c>
      <c r="L89" s="382" t="str">
        <f>IF(B89="","",VLOOKUP($B89,'F-1 Off-Site WaterC'' Baseline'!$C$9:$R$257,15,FALSE))</f>
        <v/>
      </c>
      <c r="M89" s="386" t="str">
        <f>IF(L89="","",VLOOKUP($B89,'F-1 Off-Site WaterC'' Baseline'!$C$9:$R$257,16,FALSE))</f>
        <v/>
      </c>
      <c r="N89" s="316" t="str">
        <f t="shared" si="12"/>
        <v/>
      </c>
      <c r="O89" s="362" t="str">
        <f t="shared" si="13"/>
        <v/>
      </c>
      <c r="P89" s="363" t="str">
        <f>IF(C89="","",IF(AND(LEFT(C89,55)&lt;&gt;LEFT(N89,55),O89="High - High"),"Error - Not like for like ▲",IF(H89&gt;U89,"Error - Can not reduce condition ▲",IF(AND(F89=S89,H89=U89,AJ89='F-1 Off-Site WaterC'' Baseline'!N87,'F-1 Off-Site WaterC'' Baseline'!P87=AL89),"Error - No enhancement ▲",IF(AND(C89&lt;&gt;N89,F89&lt;S89),"Lower Distinctiveness Habitat"&amp;" - "&amp;T89,G89&amp;" - "&amp;T89)))))</f>
        <v/>
      </c>
      <c r="Q89" s="368" t="str">
        <f>IF(N89="","",VLOOKUP(B89,'F-1 Off-Site WaterC'' Baseline'!$C$10:$AE$257,22,FALSE))</f>
        <v/>
      </c>
      <c r="R89" s="362" t="str">
        <f>IF(N89="","",VLOOKUP(N89,'G-7 WaterC'' Data'!$B$2:$G$8,2,FALSE))</f>
        <v/>
      </c>
      <c r="S89" s="363" t="str">
        <f>IFERROR(VLOOKUP(R89,'G-7 WaterC'' Data'!$C$4:$D$8,2,FALSE),"")</f>
        <v/>
      </c>
      <c r="T89" s="114"/>
      <c r="U89" s="363" t="str">
        <f>IFERROR(INDEX('G-7 WaterC'' Data'!$H$4:$L$8,MATCH(N89,'G-7 WaterC'' Data'!$B$4:$B$8,0),MATCH(T89,'G-7 WaterC'' Data'!$H$3:$L$3,0)),"")</f>
        <v/>
      </c>
      <c r="V89" s="122"/>
      <c r="W89" s="382" t="str">
        <f>IF(V89="","",IF(VLOOKUP(V89,'G-7 WaterC'' Data'!$AK$4:$AM$6,2,FALSE)=0,"Spatial Data Missing ⚠",VLOOKUP(V89,'G-7 WaterC'' Data'!$AK$4:$AM$6,2,FALSE)))</f>
        <v/>
      </c>
      <c r="X89" s="386" t="str">
        <f>IF(V89="","",IF(VLOOKUP(V89,'G-7 WaterC'' Data'!$AK$4:$AM$6,3,FALSE)=0,"Spatial Data Missing ⚠",VLOOKUP(V89,'G-7 WaterC'' Data'!$AK$4:$AM$6,3,FALSE)))</f>
        <v/>
      </c>
      <c r="Y89" s="398" t="str">
        <f>IFERROR(IF(OR(LEFT(P89,5)="Error",LEFT(O89,5)="Error"),"Check Data ⚠",IF(F89&lt;S89,'G-7 WaterC'' Data'!$R$3,INDEX('G-7 WaterC'' Data'!$U$5:$Y$9,MATCH(G89,'G-7 WaterC'' Data'!$T$5:$T$9,0),MATCH(T89,'G-7 WaterC'' Data'!$U$4:$Y$4,0)))),"")</f>
        <v/>
      </c>
      <c r="Z89" s="165"/>
      <c r="AA89" s="165"/>
      <c r="AB89" s="395" t="str">
        <f t="shared" si="9"/>
        <v/>
      </c>
      <c r="AC89" s="383" t="str">
        <f t="shared" si="14"/>
        <v/>
      </c>
      <c r="AD89" s="422" t="str">
        <f>IFERROR(IF(AC89="Check Data ⚠","Check Data ⚠",VLOOKUP(AC89,'G-4 Temporal multipliers'!$A$4:$C$37,3,FALSE)),"")</f>
        <v/>
      </c>
      <c r="AE89" s="398" t="str">
        <f>IF(N89="","",VLOOKUP(N89,'G-7 WaterC'' Data'!$B$4:$G$8,5,FALSE))</f>
        <v/>
      </c>
      <c r="AF89" s="382" t="str">
        <f t="shared" si="10"/>
        <v/>
      </c>
      <c r="AG89" s="382" t="str">
        <f t="shared" si="15"/>
        <v/>
      </c>
      <c r="AH89" s="386" t="str">
        <f t="shared" si="11"/>
        <v/>
      </c>
      <c r="AI89" s="122"/>
      <c r="AJ89" s="363" t="str">
        <f>IF(AI89="","",IF(VLOOKUP(AI89,'G-7 WaterC'' Data'!$AA$4:$AB$7,2,FALSE)=0,"Spatial Data Missing ⚠",VLOOKUP(AI89,'G-7 WaterC'' Data'!$AA$4:$AB$7,2,FALSE)))</f>
        <v/>
      </c>
      <c r="AK89" s="123"/>
      <c r="AL89" s="397" t="str">
        <f>IF(AK89="","",IF(VLOOKUP(AK89,'G-7 WaterC'' Data'!$AD$4:$AE$14,2,FALSE)=0,"Spatial Data Missing ⚠",VLOOKUP(AK89,'G-7 WaterC'' Data'!$AD$4:$AE$14,2,FALSE)))</f>
        <v/>
      </c>
      <c r="AM89" s="122"/>
      <c r="AN89" s="363" t="str">
        <f>IF(AM89="","",IF(VLOOKUP(AM89,'G-7 WaterC'' Data'!$AO$4:$BO$7,2,FALSE)=0,"Spatial Data Missing ⚠",VLOOKUP(AM89,'G-7 WaterC'' Data'!$AO$4:$BO$7,2,FALSE)))</f>
        <v/>
      </c>
      <c r="AO89" s="405" t="str">
        <f t="shared" si="16"/>
        <v/>
      </c>
      <c r="AP89" s="405" t="str">
        <f t="shared" si="17"/>
        <v/>
      </c>
      <c r="AQ89" s="117"/>
      <c r="AR89" s="118"/>
      <c r="AS89" s="120"/>
      <c r="AT89" s="120"/>
      <c r="AY89" s="30" t="str">
        <f>IFERROR(INDEX('G-7 WaterC'' Data'!$AZ$3:$AZ$7,MATCH(N89,'G-7 WaterC'' Data'!$AY$3:$AY$7,0)),"")</f>
        <v/>
      </c>
    </row>
    <row r="90" spans="2:51" ht="15">
      <c r="B90" s="392" t="str">
        <f>'F-1 Off-Site WaterC'' Baseline'!AR88</f>
        <v/>
      </c>
      <c r="C90" s="382" t="str">
        <f>IF(B90="","",VLOOKUP($B90,'F-1 Off-Site WaterC'' Baseline'!$C$9:$R$257,2,FALSE))</f>
        <v/>
      </c>
      <c r="D90" s="382" t="str">
        <f>IF(C90="","",VLOOKUP($B90,'F-1 Off-Site WaterC'' Baseline'!$C$9:$R$257,3,FALSE))</f>
        <v/>
      </c>
      <c r="E90" s="382" t="str">
        <f>IF(D90="","",VLOOKUP($B90,'F-1 Off-Site WaterC'' Baseline'!$C$9:$R$257,4,FALSE))</f>
        <v/>
      </c>
      <c r="F90" s="382" t="str">
        <f>IF(E90="","",VLOOKUP($B90,'F-1 Off-Site WaterC'' Baseline'!$C$9:$R$257,5,FALSE))</f>
        <v/>
      </c>
      <c r="G90" s="382" t="str">
        <f>IF(F90="","",VLOOKUP($B90,'F-1 Off-Site WaterC'' Baseline'!$C$9:$R$257,6,FALSE))</f>
        <v/>
      </c>
      <c r="H90" s="382" t="str">
        <f>IF(G90="","",VLOOKUP($B90,'F-1 Off-Site WaterC'' Baseline'!$C$9:$R$257,7,FALSE))</f>
        <v/>
      </c>
      <c r="I90" s="382" t="str">
        <f>IF(H90="","",VLOOKUP($B90,'F-1 Off-Site WaterC'' Baseline'!$C$9:$R$257,8,FALSE))</f>
        <v/>
      </c>
      <c r="J90" s="382" t="str">
        <f>IF(I90="","",VLOOKUP($B90,'F-1 Off-Site WaterC'' Baseline'!$C$9:$R$257,9,FALSE))</f>
        <v/>
      </c>
      <c r="K90" s="382" t="str">
        <f>IF(J90="","",VLOOKUP($B90,'F-1 Off-Site WaterC'' Baseline'!$C$9:$R$257,10,FALSE))</f>
        <v/>
      </c>
      <c r="L90" s="382" t="str">
        <f>IF(B90="","",VLOOKUP($B90,'F-1 Off-Site WaterC'' Baseline'!$C$9:$R$257,15,FALSE))</f>
        <v/>
      </c>
      <c r="M90" s="386" t="str">
        <f>IF(L90="","",VLOOKUP($B90,'F-1 Off-Site WaterC'' Baseline'!$C$9:$R$257,16,FALSE))</f>
        <v/>
      </c>
      <c r="N90" s="316" t="str">
        <f t="shared" si="12"/>
        <v/>
      </c>
      <c r="O90" s="362" t="str">
        <f t="shared" si="13"/>
        <v/>
      </c>
      <c r="P90" s="363" t="str">
        <f>IF(C90="","",IF(AND(LEFT(C90,55)&lt;&gt;LEFT(N90,55),O90="High - High"),"Error - Not like for like ▲",IF(H90&gt;U90,"Error - Can not reduce condition ▲",IF(AND(F90=S90,H90=U90,AJ90='F-1 Off-Site WaterC'' Baseline'!N88,'F-1 Off-Site WaterC'' Baseline'!P88=AL90),"Error - No enhancement ▲",IF(AND(C90&lt;&gt;N90,F90&lt;S90),"Lower Distinctiveness Habitat"&amp;" - "&amp;T90,G90&amp;" - "&amp;T90)))))</f>
        <v/>
      </c>
      <c r="Q90" s="368" t="str">
        <f>IF(N90="","",VLOOKUP(B90,'F-1 Off-Site WaterC'' Baseline'!$C$10:$AE$257,22,FALSE))</f>
        <v/>
      </c>
      <c r="R90" s="362" t="str">
        <f>IF(N90="","",VLOOKUP(N90,'G-7 WaterC'' Data'!$B$2:$G$8,2,FALSE))</f>
        <v/>
      </c>
      <c r="S90" s="363" t="str">
        <f>IFERROR(VLOOKUP(R90,'G-7 WaterC'' Data'!$C$4:$D$8,2,FALSE),"")</f>
        <v/>
      </c>
      <c r="T90" s="114"/>
      <c r="U90" s="363" t="str">
        <f>IFERROR(INDEX('G-7 WaterC'' Data'!$H$4:$L$8,MATCH(N90,'G-7 WaterC'' Data'!$B$4:$B$8,0),MATCH(T90,'G-7 WaterC'' Data'!$H$3:$L$3,0)),"")</f>
        <v/>
      </c>
      <c r="V90" s="122"/>
      <c r="W90" s="382" t="str">
        <f>IF(V90="","",IF(VLOOKUP(V90,'G-7 WaterC'' Data'!$AK$4:$AM$6,2,FALSE)=0,"Spatial Data Missing ⚠",VLOOKUP(V90,'G-7 WaterC'' Data'!$AK$4:$AM$6,2,FALSE)))</f>
        <v/>
      </c>
      <c r="X90" s="386" t="str">
        <f>IF(V90="","",IF(VLOOKUP(V90,'G-7 WaterC'' Data'!$AK$4:$AM$6,3,FALSE)=0,"Spatial Data Missing ⚠",VLOOKUP(V90,'G-7 WaterC'' Data'!$AK$4:$AM$6,3,FALSE)))</f>
        <v/>
      </c>
      <c r="Y90" s="398" t="str">
        <f>IFERROR(IF(OR(LEFT(P90,5)="Error",LEFT(O90,5)="Error"),"Check Data ⚠",IF(F90&lt;S90,'G-7 WaterC'' Data'!$R$3,INDEX('G-7 WaterC'' Data'!$U$5:$Y$9,MATCH(G90,'G-7 WaterC'' Data'!$T$5:$T$9,0),MATCH(T90,'G-7 WaterC'' Data'!$U$4:$Y$4,0)))),"")</f>
        <v/>
      </c>
      <c r="Z90" s="165"/>
      <c r="AA90" s="165"/>
      <c r="AB90" s="395" t="str">
        <f t="shared" si="9"/>
        <v/>
      </c>
      <c r="AC90" s="383" t="str">
        <f t="shared" si="14"/>
        <v/>
      </c>
      <c r="AD90" s="422" t="str">
        <f>IFERROR(IF(AC90="Check Data ⚠","Check Data ⚠",VLOOKUP(AC90,'G-4 Temporal multipliers'!$A$4:$C$37,3,FALSE)),"")</f>
        <v/>
      </c>
      <c r="AE90" s="398" t="str">
        <f>IF(N90="","",VLOOKUP(N90,'G-7 WaterC'' Data'!$B$4:$G$8,5,FALSE))</f>
        <v/>
      </c>
      <c r="AF90" s="382" t="str">
        <f t="shared" si="10"/>
        <v/>
      </c>
      <c r="AG90" s="382" t="str">
        <f t="shared" si="15"/>
        <v/>
      </c>
      <c r="AH90" s="386" t="str">
        <f t="shared" si="11"/>
        <v/>
      </c>
      <c r="AI90" s="122"/>
      <c r="AJ90" s="363" t="str">
        <f>IF(AI90="","",IF(VLOOKUP(AI90,'G-7 WaterC'' Data'!$AA$4:$AB$7,2,FALSE)=0,"Spatial Data Missing ⚠",VLOOKUP(AI90,'G-7 WaterC'' Data'!$AA$4:$AB$7,2,FALSE)))</f>
        <v/>
      </c>
      <c r="AK90" s="123"/>
      <c r="AL90" s="397" t="str">
        <f>IF(AK90="","",IF(VLOOKUP(AK90,'G-7 WaterC'' Data'!$AD$4:$AE$14,2,FALSE)=0,"Spatial Data Missing ⚠",VLOOKUP(AK90,'G-7 WaterC'' Data'!$AD$4:$AE$14,2,FALSE)))</f>
        <v/>
      </c>
      <c r="AM90" s="122"/>
      <c r="AN90" s="363" t="str">
        <f>IF(AM90="","",IF(VLOOKUP(AM90,'G-7 WaterC'' Data'!$AO$4:$BO$7,2,FALSE)=0,"Spatial Data Missing ⚠",VLOOKUP(AM90,'G-7 WaterC'' Data'!$AO$4:$BO$7,2,FALSE)))</f>
        <v/>
      </c>
      <c r="AO90" s="405" t="str">
        <f t="shared" si="16"/>
        <v/>
      </c>
      <c r="AP90" s="405" t="str">
        <f t="shared" si="17"/>
        <v/>
      </c>
      <c r="AQ90" s="117"/>
      <c r="AR90" s="118"/>
      <c r="AS90" s="120"/>
      <c r="AT90" s="120"/>
      <c r="AY90" s="30" t="str">
        <f>IFERROR(INDEX('G-7 WaterC'' Data'!$AZ$3:$AZ$7,MATCH(N90,'G-7 WaterC'' Data'!$AY$3:$AY$7,0)),"")</f>
        <v/>
      </c>
    </row>
    <row r="91" spans="2:51" ht="15">
      <c r="B91" s="392" t="str">
        <f>'F-1 Off-Site WaterC'' Baseline'!AR89</f>
        <v/>
      </c>
      <c r="C91" s="382" t="str">
        <f>IF(B91="","",VLOOKUP($B91,'F-1 Off-Site WaterC'' Baseline'!$C$9:$R$257,2,FALSE))</f>
        <v/>
      </c>
      <c r="D91" s="382" t="str">
        <f>IF(C91="","",VLOOKUP($B91,'F-1 Off-Site WaterC'' Baseline'!$C$9:$R$257,3,FALSE))</f>
        <v/>
      </c>
      <c r="E91" s="382" t="str">
        <f>IF(D91="","",VLOOKUP($B91,'F-1 Off-Site WaterC'' Baseline'!$C$9:$R$257,4,FALSE))</f>
        <v/>
      </c>
      <c r="F91" s="382" t="str">
        <f>IF(E91="","",VLOOKUP($B91,'F-1 Off-Site WaterC'' Baseline'!$C$9:$R$257,5,FALSE))</f>
        <v/>
      </c>
      <c r="G91" s="382" t="str">
        <f>IF(F91="","",VLOOKUP($B91,'F-1 Off-Site WaterC'' Baseline'!$C$9:$R$257,6,FALSE))</f>
        <v/>
      </c>
      <c r="H91" s="382" t="str">
        <f>IF(G91="","",VLOOKUP($B91,'F-1 Off-Site WaterC'' Baseline'!$C$9:$R$257,7,FALSE))</f>
        <v/>
      </c>
      <c r="I91" s="382" t="str">
        <f>IF(H91="","",VLOOKUP($B91,'F-1 Off-Site WaterC'' Baseline'!$C$9:$R$257,8,FALSE))</f>
        <v/>
      </c>
      <c r="J91" s="382" t="str">
        <f>IF(I91="","",VLOOKUP($B91,'F-1 Off-Site WaterC'' Baseline'!$C$9:$R$257,9,FALSE))</f>
        <v/>
      </c>
      <c r="K91" s="382" t="str">
        <f>IF(J91="","",VLOOKUP($B91,'F-1 Off-Site WaterC'' Baseline'!$C$9:$R$257,10,FALSE))</f>
        <v/>
      </c>
      <c r="L91" s="382" t="str">
        <f>IF(B91="","",VLOOKUP($B91,'F-1 Off-Site WaterC'' Baseline'!$C$9:$R$257,15,FALSE))</f>
        <v/>
      </c>
      <c r="M91" s="386" t="str">
        <f>IF(L91="","",VLOOKUP($B91,'F-1 Off-Site WaterC'' Baseline'!$C$9:$R$257,16,FALSE))</f>
        <v/>
      </c>
      <c r="N91" s="316" t="str">
        <f t="shared" si="12"/>
        <v/>
      </c>
      <c r="O91" s="362" t="str">
        <f t="shared" si="13"/>
        <v/>
      </c>
      <c r="P91" s="363" t="str">
        <f>IF(C91="","",IF(AND(LEFT(C91,55)&lt;&gt;LEFT(N91,55),O91="High - High"),"Error - Not like for like ▲",IF(H91&gt;U91,"Error - Can not reduce condition ▲",IF(AND(F91=S91,H91=U91,AJ91='F-1 Off-Site WaterC'' Baseline'!N89,'F-1 Off-Site WaterC'' Baseline'!P89=AL91),"Error - No enhancement ▲",IF(AND(C91&lt;&gt;N91,F91&lt;S91),"Lower Distinctiveness Habitat"&amp;" - "&amp;T91,G91&amp;" - "&amp;T91)))))</f>
        <v/>
      </c>
      <c r="Q91" s="368" t="str">
        <f>IF(N91="","",VLOOKUP(B91,'F-1 Off-Site WaterC'' Baseline'!$C$10:$AE$257,22,FALSE))</f>
        <v/>
      </c>
      <c r="R91" s="362" t="str">
        <f>IF(N91="","",VLOOKUP(N91,'G-7 WaterC'' Data'!$B$2:$G$8,2,FALSE))</f>
        <v/>
      </c>
      <c r="S91" s="363" t="str">
        <f>IFERROR(VLOOKUP(R91,'G-7 WaterC'' Data'!$C$4:$D$8,2,FALSE),"")</f>
        <v/>
      </c>
      <c r="T91" s="114"/>
      <c r="U91" s="363" t="str">
        <f>IFERROR(INDEX('G-7 WaterC'' Data'!$H$4:$L$8,MATCH(N91,'G-7 WaterC'' Data'!$B$4:$B$8,0),MATCH(T91,'G-7 WaterC'' Data'!$H$3:$L$3,0)),"")</f>
        <v/>
      </c>
      <c r="V91" s="122"/>
      <c r="W91" s="382" t="str">
        <f>IF(V91="","",IF(VLOOKUP(V91,'G-7 WaterC'' Data'!$AK$4:$AM$6,2,FALSE)=0,"Spatial Data Missing ⚠",VLOOKUP(V91,'G-7 WaterC'' Data'!$AK$4:$AM$6,2,FALSE)))</f>
        <v/>
      </c>
      <c r="X91" s="386" t="str">
        <f>IF(V91="","",IF(VLOOKUP(V91,'G-7 WaterC'' Data'!$AK$4:$AM$6,3,FALSE)=0,"Spatial Data Missing ⚠",VLOOKUP(V91,'G-7 WaterC'' Data'!$AK$4:$AM$6,3,FALSE)))</f>
        <v/>
      </c>
      <c r="Y91" s="398" t="str">
        <f>IFERROR(IF(OR(LEFT(P91,5)="Error",LEFT(O91,5)="Error"),"Check Data ⚠",IF(F91&lt;S91,'G-7 WaterC'' Data'!$R$3,INDEX('G-7 WaterC'' Data'!$U$5:$Y$9,MATCH(G91,'G-7 WaterC'' Data'!$T$5:$T$9,0),MATCH(T91,'G-7 WaterC'' Data'!$U$4:$Y$4,0)))),"")</f>
        <v/>
      </c>
      <c r="Z91" s="165"/>
      <c r="AA91" s="165"/>
      <c r="AB91" s="395" t="str">
        <f t="shared" si="9"/>
        <v/>
      </c>
      <c r="AC91" s="383" t="str">
        <f t="shared" si="14"/>
        <v/>
      </c>
      <c r="AD91" s="422" t="str">
        <f>IFERROR(IF(AC91="Check Data ⚠","Check Data ⚠",VLOOKUP(AC91,'G-4 Temporal multipliers'!$A$4:$C$37,3,FALSE)),"")</f>
        <v/>
      </c>
      <c r="AE91" s="398" t="str">
        <f>IF(N91="","",VLOOKUP(N91,'G-7 WaterC'' Data'!$B$4:$G$8,5,FALSE))</f>
        <v/>
      </c>
      <c r="AF91" s="382" t="str">
        <f t="shared" si="10"/>
        <v/>
      </c>
      <c r="AG91" s="382" t="str">
        <f t="shared" si="15"/>
        <v/>
      </c>
      <c r="AH91" s="386" t="str">
        <f t="shared" si="11"/>
        <v/>
      </c>
      <c r="AI91" s="122"/>
      <c r="AJ91" s="363" t="str">
        <f>IF(AI91="","",IF(VLOOKUP(AI91,'G-7 WaterC'' Data'!$AA$4:$AB$7,2,FALSE)=0,"Spatial Data Missing ⚠",VLOOKUP(AI91,'G-7 WaterC'' Data'!$AA$4:$AB$7,2,FALSE)))</f>
        <v/>
      </c>
      <c r="AK91" s="123"/>
      <c r="AL91" s="397" t="str">
        <f>IF(AK91="","",IF(VLOOKUP(AK91,'G-7 WaterC'' Data'!$AD$4:$AE$14,2,FALSE)=0,"Spatial Data Missing ⚠",VLOOKUP(AK91,'G-7 WaterC'' Data'!$AD$4:$AE$14,2,FALSE)))</f>
        <v/>
      </c>
      <c r="AM91" s="122"/>
      <c r="AN91" s="363" t="str">
        <f>IF(AM91="","",IF(VLOOKUP(AM91,'G-7 WaterC'' Data'!$AO$4:$BO$7,2,FALSE)=0,"Spatial Data Missing ⚠",VLOOKUP(AM91,'G-7 WaterC'' Data'!$AO$4:$BO$7,2,FALSE)))</f>
        <v/>
      </c>
      <c r="AO91" s="405" t="str">
        <f t="shared" si="16"/>
        <v/>
      </c>
      <c r="AP91" s="405" t="str">
        <f t="shared" si="17"/>
        <v/>
      </c>
      <c r="AQ91" s="117"/>
      <c r="AR91" s="118"/>
      <c r="AS91" s="120"/>
      <c r="AT91" s="120"/>
      <c r="AY91" s="30" t="str">
        <f>IFERROR(INDEX('G-7 WaterC'' Data'!$AZ$3:$AZ$7,MATCH(N91,'G-7 WaterC'' Data'!$AY$3:$AY$7,0)),"")</f>
        <v/>
      </c>
    </row>
    <row r="92" spans="2:51" ht="15">
      <c r="B92" s="392" t="str">
        <f>'F-1 Off-Site WaterC'' Baseline'!AR90</f>
        <v/>
      </c>
      <c r="C92" s="382" t="str">
        <f>IF(B92="","",VLOOKUP($B92,'F-1 Off-Site WaterC'' Baseline'!$C$9:$R$257,2,FALSE))</f>
        <v/>
      </c>
      <c r="D92" s="382" t="str">
        <f>IF(C92="","",VLOOKUP($B92,'F-1 Off-Site WaterC'' Baseline'!$C$9:$R$257,3,FALSE))</f>
        <v/>
      </c>
      <c r="E92" s="382" t="str">
        <f>IF(D92="","",VLOOKUP($B92,'F-1 Off-Site WaterC'' Baseline'!$C$9:$R$257,4,FALSE))</f>
        <v/>
      </c>
      <c r="F92" s="382" t="str">
        <f>IF(E92="","",VLOOKUP($B92,'F-1 Off-Site WaterC'' Baseline'!$C$9:$R$257,5,FALSE))</f>
        <v/>
      </c>
      <c r="G92" s="382" t="str">
        <f>IF(F92="","",VLOOKUP($B92,'F-1 Off-Site WaterC'' Baseline'!$C$9:$R$257,6,FALSE))</f>
        <v/>
      </c>
      <c r="H92" s="382" t="str">
        <f>IF(G92="","",VLOOKUP($B92,'F-1 Off-Site WaterC'' Baseline'!$C$9:$R$257,7,FALSE))</f>
        <v/>
      </c>
      <c r="I92" s="382" t="str">
        <f>IF(H92="","",VLOOKUP($B92,'F-1 Off-Site WaterC'' Baseline'!$C$9:$R$257,8,FALSE))</f>
        <v/>
      </c>
      <c r="J92" s="382" t="str">
        <f>IF(I92="","",VLOOKUP($B92,'F-1 Off-Site WaterC'' Baseline'!$C$9:$R$257,9,FALSE))</f>
        <v/>
      </c>
      <c r="K92" s="382" t="str">
        <f>IF(J92="","",VLOOKUP($B92,'F-1 Off-Site WaterC'' Baseline'!$C$9:$R$257,10,FALSE))</f>
        <v/>
      </c>
      <c r="L92" s="382" t="str">
        <f>IF(B92="","",VLOOKUP($B92,'F-1 Off-Site WaterC'' Baseline'!$C$9:$R$257,15,FALSE))</f>
        <v/>
      </c>
      <c r="M92" s="386" t="str">
        <f>IF(L92="","",VLOOKUP($B92,'F-1 Off-Site WaterC'' Baseline'!$C$9:$R$257,16,FALSE))</f>
        <v/>
      </c>
      <c r="N92" s="316" t="str">
        <f t="shared" si="12"/>
        <v/>
      </c>
      <c r="O92" s="362" t="str">
        <f t="shared" si="13"/>
        <v/>
      </c>
      <c r="P92" s="363" t="str">
        <f>IF(C92="","",IF(AND(LEFT(C92,55)&lt;&gt;LEFT(N92,55),O92="High - High"),"Error - Not like for like ▲",IF(H92&gt;U92,"Error - Can not reduce condition ▲",IF(AND(F92=S92,H92=U92,AJ92='F-1 Off-Site WaterC'' Baseline'!N90,'F-1 Off-Site WaterC'' Baseline'!P90=AL92),"Error - No enhancement ▲",IF(AND(C92&lt;&gt;N92,F92&lt;S92),"Lower Distinctiveness Habitat"&amp;" - "&amp;T92,G92&amp;" - "&amp;T92)))))</f>
        <v/>
      </c>
      <c r="Q92" s="368" t="str">
        <f>IF(N92="","",VLOOKUP(B92,'F-1 Off-Site WaterC'' Baseline'!$C$10:$AE$257,22,FALSE))</f>
        <v/>
      </c>
      <c r="R92" s="362" t="str">
        <f>IF(N92="","",VLOOKUP(N92,'G-7 WaterC'' Data'!$B$2:$G$8,2,FALSE))</f>
        <v/>
      </c>
      <c r="S92" s="363" t="str">
        <f>IFERROR(VLOOKUP(R92,'G-7 WaterC'' Data'!$C$4:$D$8,2,FALSE),"")</f>
        <v/>
      </c>
      <c r="T92" s="114"/>
      <c r="U92" s="363" t="str">
        <f>IFERROR(INDEX('G-7 WaterC'' Data'!$H$4:$L$8,MATCH(N92,'G-7 WaterC'' Data'!$B$4:$B$8,0),MATCH(T92,'G-7 WaterC'' Data'!$H$3:$L$3,0)),"")</f>
        <v/>
      </c>
      <c r="V92" s="122"/>
      <c r="W92" s="382" t="str">
        <f>IF(V92="","",IF(VLOOKUP(V92,'G-7 WaterC'' Data'!$AK$4:$AM$6,2,FALSE)=0,"Spatial Data Missing ⚠",VLOOKUP(V92,'G-7 WaterC'' Data'!$AK$4:$AM$6,2,FALSE)))</f>
        <v/>
      </c>
      <c r="X92" s="386" t="str">
        <f>IF(V92="","",IF(VLOOKUP(V92,'G-7 WaterC'' Data'!$AK$4:$AM$6,3,FALSE)=0,"Spatial Data Missing ⚠",VLOOKUP(V92,'G-7 WaterC'' Data'!$AK$4:$AM$6,3,FALSE)))</f>
        <v/>
      </c>
      <c r="Y92" s="398" t="str">
        <f>IFERROR(IF(OR(LEFT(P92,5)="Error",LEFT(O92,5)="Error"),"Check Data ⚠",IF(F92&lt;S92,'G-7 WaterC'' Data'!$R$3,INDEX('G-7 WaterC'' Data'!$U$5:$Y$9,MATCH(G92,'G-7 WaterC'' Data'!$T$5:$T$9,0),MATCH(T92,'G-7 WaterC'' Data'!$U$4:$Y$4,0)))),"")</f>
        <v/>
      </c>
      <c r="Z92" s="165"/>
      <c r="AA92" s="165"/>
      <c r="AB92" s="395" t="str">
        <f t="shared" si="9"/>
        <v/>
      </c>
      <c r="AC92" s="383" t="str">
        <f t="shared" si="14"/>
        <v/>
      </c>
      <c r="AD92" s="422" t="str">
        <f>IFERROR(IF(AC92="Check Data ⚠","Check Data ⚠",VLOOKUP(AC92,'G-4 Temporal multipliers'!$A$4:$C$37,3,FALSE)),"")</f>
        <v/>
      </c>
      <c r="AE92" s="398" t="str">
        <f>IF(N92="","",VLOOKUP(N92,'G-7 WaterC'' Data'!$B$4:$G$8,5,FALSE))</f>
        <v/>
      </c>
      <c r="AF92" s="382" t="str">
        <f t="shared" si="10"/>
        <v/>
      </c>
      <c r="AG92" s="382" t="str">
        <f t="shared" si="15"/>
        <v/>
      </c>
      <c r="AH92" s="386" t="str">
        <f t="shared" si="11"/>
        <v/>
      </c>
      <c r="AI92" s="122"/>
      <c r="AJ92" s="363" t="str">
        <f>IF(AI92="","",IF(VLOOKUP(AI92,'G-7 WaterC'' Data'!$AA$4:$AB$7,2,FALSE)=0,"Spatial Data Missing ⚠",VLOOKUP(AI92,'G-7 WaterC'' Data'!$AA$4:$AB$7,2,FALSE)))</f>
        <v/>
      </c>
      <c r="AK92" s="123"/>
      <c r="AL92" s="397" t="str">
        <f>IF(AK92="","",IF(VLOOKUP(AK92,'G-7 WaterC'' Data'!$AD$4:$AE$14,2,FALSE)=0,"Spatial Data Missing ⚠",VLOOKUP(AK92,'G-7 WaterC'' Data'!$AD$4:$AE$14,2,FALSE)))</f>
        <v/>
      </c>
      <c r="AM92" s="122"/>
      <c r="AN92" s="363" t="str">
        <f>IF(AM92="","",IF(VLOOKUP(AM92,'G-7 WaterC'' Data'!$AO$4:$BO$7,2,FALSE)=0,"Spatial Data Missing ⚠",VLOOKUP(AM92,'G-7 WaterC'' Data'!$AO$4:$BO$7,2,FALSE)))</f>
        <v/>
      </c>
      <c r="AO92" s="405" t="str">
        <f t="shared" si="16"/>
        <v/>
      </c>
      <c r="AP92" s="405" t="str">
        <f t="shared" si="17"/>
        <v/>
      </c>
      <c r="AQ92" s="117"/>
      <c r="AR92" s="118"/>
      <c r="AS92" s="120"/>
      <c r="AT92" s="120"/>
      <c r="AY92" s="30" t="str">
        <f>IFERROR(INDEX('G-7 WaterC'' Data'!$AZ$3:$AZ$7,MATCH(N92,'G-7 WaterC'' Data'!$AY$3:$AY$7,0)),"")</f>
        <v/>
      </c>
    </row>
    <row r="93" spans="2:51" ht="15">
      <c r="B93" s="392" t="str">
        <f>'F-1 Off-Site WaterC'' Baseline'!AR91</f>
        <v/>
      </c>
      <c r="C93" s="382" t="str">
        <f>IF(B93="","",VLOOKUP($B93,'F-1 Off-Site WaterC'' Baseline'!$C$9:$R$257,2,FALSE))</f>
        <v/>
      </c>
      <c r="D93" s="382" t="str">
        <f>IF(C93="","",VLOOKUP($B93,'F-1 Off-Site WaterC'' Baseline'!$C$9:$R$257,3,FALSE))</f>
        <v/>
      </c>
      <c r="E93" s="382" t="str">
        <f>IF(D93="","",VLOOKUP($B93,'F-1 Off-Site WaterC'' Baseline'!$C$9:$R$257,4,FALSE))</f>
        <v/>
      </c>
      <c r="F93" s="382" t="str">
        <f>IF(E93="","",VLOOKUP($B93,'F-1 Off-Site WaterC'' Baseline'!$C$9:$R$257,5,FALSE))</f>
        <v/>
      </c>
      <c r="G93" s="382" t="str">
        <f>IF(F93="","",VLOOKUP($B93,'F-1 Off-Site WaterC'' Baseline'!$C$9:$R$257,6,FALSE))</f>
        <v/>
      </c>
      <c r="H93" s="382" t="str">
        <f>IF(G93="","",VLOOKUP($B93,'F-1 Off-Site WaterC'' Baseline'!$C$9:$R$257,7,FALSE))</f>
        <v/>
      </c>
      <c r="I93" s="382" t="str">
        <f>IF(H93="","",VLOOKUP($B93,'F-1 Off-Site WaterC'' Baseline'!$C$9:$R$257,8,FALSE))</f>
        <v/>
      </c>
      <c r="J93" s="382" t="str">
        <f>IF(I93="","",VLOOKUP($B93,'F-1 Off-Site WaterC'' Baseline'!$C$9:$R$257,9,FALSE))</f>
        <v/>
      </c>
      <c r="K93" s="382" t="str">
        <f>IF(J93="","",VLOOKUP($B93,'F-1 Off-Site WaterC'' Baseline'!$C$9:$R$257,10,FALSE))</f>
        <v/>
      </c>
      <c r="L93" s="382" t="str">
        <f>IF(B93="","",VLOOKUP($B93,'F-1 Off-Site WaterC'' Baseline'!$C$9:$R$257,15,FALSE))</f>
        <v/>
      </c>
      <c r="M93" s="386" t="str">
        <f>IF(L93="","",VLOOKUP($B93,'F-1 Off-Site WaterC'' Baseline'!$C$9:$R$257,16,FALSE))</f>
        <v/>
      </c>
      <c r="N93" s="316" t="str">
        <f t="shared" si="12"/>
        <v/>
      </c>
      <c r="O93" s="362" t="str">
        <f t="shared" si="13"/>
        <v/>
      </c>
      <c r="P93" s="363" t="str">
        <f>IF(C93="","",IF(AND(LEFT(C93,55)&lt;&gt;LEFT(N93,55),O93="High - High"),"Error - Not like for like ▲",IF(H93&gt;U93,"Error - Can not reduce condition ▲",IF(AND(F93=S93,H93=U93,AJ93='F-1 Off-Site WaterC'' Baseline'!N91,'F-1 Off-Site WaterC'' Baseline'!P91=AL93),"Error - No enhancement ▲",IF(AND(C93&lt;&gt;N93,F93&lt;S93),"Lower Distinctiveness Habitat"&amp;" - "&amp;T93,G93&amp;" - "&amp;T93)))))</f>
        <v/>
      </c>
      <c r="Q93" s="368" t="str">
        <f>IF(N93="","",VLOOKUP(B93,'F-1 Off-Site WaterC'' Baseline'!$C$10:$AE$257,22,FALSE))</f>
        <v/>
      </c>
      <c r="R93" s="362" t="str">
        <f>IF(N93="","",VLOOKUP(N93,'G-7 WaterC'' Data'!$B$2:$G$8,2,FALSE))</f>
        <v/>
      </c>
      <c r="S93" s="363" t="str">
        <f>IFERROR(VLOOKUP(R93,'G-7 WaterC'' Data'!$C$4:$D$8,2,FALSE),"")</f>
        <v/>
      </c>
      <c r="T93" s="114"/>
      <c r="U93" s="363" t="str">
        <f>IFERROR(INDEX('G-7 WaterC'' Data'!$H$4:$L$8,MATCH(N93,'G-7 WaterC'' Data'!$B$4:$B$8,0),MATCH(T93,'G-7 WaterC'' Data'!$H$3:$L$3,0)),"")</f>
        <v/>
      </c>
      <c r="V93" s="122"/>
      <c r="W93" s="382" t="str">
        <f>IF(V93="","",IF(VLOOKUP(V93,'G-7 WaterC'' Data'!$AK$4:$AM$6,2,FALSE)=0,"Spatial Data Missing ⚠",VLOOKUP(V93,'G-7 WaterC'' Data'!$AK$4:$AM$6,2,FALSE)))</f>
        <v/>
      </c>
      <c r="X93" s="386" t="str">
        <f>IF(V93="","",IF(VLOOKUP(V93,'G-7 WaterC'' Data'!$AK$4:$AM$6,3,FALSE)=0,"Spatial Data Missing ⚠",VLOOKUP(V93,'G-7 WaterC'' Data'!$AK$4:$AM$6,3,FALSE)))</f>
        <v/>
      </c>
      <c r="Y93" s="398" t="str">
        <f>IFERROR(IF(OR(LEFT(P93,5)="Error",LEFT(O93,5)="Error"),"Check Data ⚠",IF(F93&lt;S93,'G-7 WaterC'' Data'!$R$3,INDEX('G-7 WaterC'' Data'!$U$5:$Y$9,MATCH(G93,'G-7 WaterC'' Data'!$T$5:$T$9,0),MATCH(T93,'G-7 WaterC'' Data'!$U$4:$Y$4,0)))),"")</f>
        <v/>
      </c>
      <c r="Z93" s="165"/>
      <c r="AA93" s="165"/>
      <c r="AB93" s="395" t="str">
        <f t="shared" si="9"/>
        <v/>
      </c>
      <c r="AC93" s="383" t="str">
        <f t="shared" si="14"/>
        <v/>
      </c>
      <c r="AD93" s="422" t="str">
        <f>IFERROR(IF(AC93="Check Data ⚠","Check Data ⚠",VLOOKUP(AC93,'G-4 Temporal multipliers'!$A$4:$C$37,3,FALSE)),"")</f>
        <v/>
      </c>
      <c r="AE93" s="398" t="str">
        <f>IF(N93="","",VLOOKUP(N93,'G-7 WaterC'' Data'!$B$4:$G$8,5,FALSE))</f>
        <v/>
      </c>
      <c r="AF93" s="382" t="str">
        <f t="shared" si="10"/>
        <v/>
      </c>
      <c r="AG93" s="382" t="str">
        <f t="shared" si="15"/>
        <v/>
      </c>
      <c r="AH93" s="386" t="str">
        <f t="shared" si="11"/>
        <v/>
      </c>
      <c r="AI93" s="122"/>
      <c r="AJ93" s="363" t="str">
        <f>IF(AI93="","",IF(VLOOKUP(AI93,'G-7 WaterC'' Data'!$AA$4:$AB$7,2,FALSE)=0,"Spatial Data Missing ⚠",VLOOKUP(AI93,'G-7 WaterC'' Data'!$AA$4:$AB$7,2,FALSE)))</f>
        <v/>
      </c>
      <c r="AK93" s="123"/>
      <c r="AL93" s="397" t="str">
        <f>IF(AK93="","",IF(VLOOKUP(AK93,'G-7 WaterC'' Data'!$AD$4:$AE$14,2,FALSE)=0,"Spatial Data Missing ⚠",VLOOKUP(AK93,'G-7 WaterC'' Data'!$AD$4:$AE$14,2,FALSE)))</f>
        <v/>
      </c>
      <c r="AM93" s="122"/>
      <c r="AN93" s="363" t="str">
        <f>IF(AM93="","",IF(VLOOKUP(AM93,'G-7 WaterC'' Data'!$AO$4:$BO$7,2,FALSE)=0,"Spatial Data Missing ⚠",VLOOKUP(AM93,'G-7 WaterC'' Data'!$AO$4:$BO$7,2,FALSE)))</f>
        <v/>
      </c>
      <c r="AO93" s="405" t="str">
        <f t="shared" si="16"/>
        <v/>
      </c>
      <c r="AP93" s="405" t="str">
        <f t="shared" si="17"/>
        <v/>
      </c>
      <c r="AQ93" s="117"/>
      <c r="AR93" s="118"/>
      <c r="AS93" s="120"/>
      <c r="AT93" s="120"/>
      <c r="AY93" s="30" t="str">
        <f>IFERROR(INDEX('G-7 WaterC'' Data'!$AZ$3:$AZ$7,MATCH(N93,'G-7 WaterC'' Data'!$AY$3:$AY$7,0)),"")</f>
        <v/>
      </c>
    </row>
    <row r="94" spans="2:51" ht="15">
      <c r="B94" s="392" t="str">
        <f>'F-1 Off-Site WaterC'' Baseline'!AR92</f>
        <v/>
      </c>
      <c r="C94" s="382" t="str">
        <f>IF(B94="","",VLOOKUP($B94,'F-1 Off-Site WaterC'' Baseline'!$C$9:$R$257,2,FALSE))</f>
        <v/>
      </c>
      <c r="D94" s="382" t="str">
        <f>IF(C94="","",VLOOKUP($B94,'F-1 Off-Site WaterC'' Baseline'!$C$9:$R$257,3,FALSE))</f>
        <v/>
      </c>
      <c r="E94" s="382" t="str">
        <f>IF(D94="","",VLOOKUP($B94,'F-1 Off-Site WaterC'' Baseline'!$C$9:$R$257,4,FALSE))</f>
        <v/>
      </c>
      <c r="F94" s="382" t="str">
        <f>IF(E94="","",VLOOKUP($B94,'F-1 Off-Site WaterC'' Baseline'!$C$9:$R$257,5,FALSE))</f>
        <v/>
      </c>
      <c r="G94" s="382" t="str">
        <f>IF(F94="","",VLOOKUP($B94,'F-1 Off-Site WaterC'' Baseline'!$C$9:$R$257,6,FALSE))</f>
        <v/>
      </c>
      <c r="H94" s="382" t="str">
        <f>IF(G94="","",VLOOKUP($B94,'F-1 Off-Site WaterC'' Baseline'!$C$9:$R$257,7,FALSE))</f>
        <v/>
      </c>
      <c r="I94" s="382" t="str">
        <f>IF(H94="","",VLOOKUP($B94,'F-1 Off-Site WaterC'' Baseline'!$C$9:$R$257,8,FALSE))</f>
        <v/>
      </c>
      <c r="J94" s="382" t="str">
        <f>IF(I94="","",VLOOKUP($B94,'F-1 Off-Site WaterC'' Baseline'!$C$9:$R$257,9,FALSE))</f>
        <v/>
      </c>
      <c r="K94" s="382" t="str">
        <f>IF(J94="","",VLOOKUP($B94,'F-1 Off-Site WaterC'' Baseline'!$C$9:$R$257,10,FALSE))</f>
        <v/>
      </c>
      <c r="L94" s="382" t="str">
        <f>IF(B94="","",VLOOKUP($B94,'F-1 Off-Site WaterC'' Baseline'!$C$9:$R$257,15,FALSE))</f>
        <v/>
      </c>
      <c r="M94" s="386" t="str">
        <f>IF(L94="","",VLOOKUP($B94,'F-1 Off-Site WaterC'' Baseline'!$C$9:$R$257,16,FALSE))</f>
        <v/>
      </c>
      <c r="N94" s="316" t="str">
        <f t="shared" si="12"/>
        <v/>
      </c>
      <c r="O94" s="362" t="str">
        <f t="shared" si="13"/>
        <v/>
      </c>
      <c r="P94" s="363" t="str">
        <f>IF(C94="","",IF(AND(LEFT(C94,55)&lt;&gt;LEFT(N94,55),O94="High - High"),"Error - Not like for like ▲",IF(H94&gt;U94,"Error - Can not reduce condition ▲",IF(AND(F94=S94,H94=U94,AJ94='F-1 Off-Site WaterC'' Baseline'!N92,'F-1 Off-Site WaterC'' Baseline'!P92=AL94),"Error - No enhancement ▲",IF(AND(C94&lt;&gt;N94,F94&lt;S94),"Lower Distinctiveness Habitat"&amp;" - "&amp;T94,G94&amp;" - "&amp;T94)))))</f>
        <v/>
      </c>
      <c r="Q94" s="368" t="str">
        <f>IF(N94="","",VLOOKUP(B94,'F-1 Off-Site WaterC'' Baseline'!$C$10:$AE$257,22,FALSE))</f>
        <v/>
      </c>
      <c r="R94" s="362" t="str">
        <f>IF(N94="","",VLOOKUP(N94,'G-7 WaterC'' Data'!$B$2:$G$8,2,FALSE))</f>
        <v/>
      </c>
      <c r="S94" s="363" t="str">
        <f>IFERROR(VLOOKUP(R94,'G-7 WaterC'' Data'!$C$4:$D$8,2,FALSE),"")</f>
        <v/>
      </c>
      <c r="T94" s="114"/>
      <c r="U94" s="363" t="str">
        <f>IFERROR(INDEX('G-7 WaterC'' Data'!$H$4:$L$8,MATCH(N94,'G-7 WaterC'' Data'!$B$4:$B$8,0),MATCH(T94,'G-7 WaterC'' Data'!$H$3:$L$3,0)),"")</f>
        <v/>
      </c>
      <c r="V94" s="122"/>
      <c r="W94" s="382" t="str">
        <f>IF(V94="","",IF(VLOOKUP(V94,'G-7 WaterC'' Data'!$AK$4:$AM$6,2,FALSE)=0,"Spatial Data Missing ⚠",VLOOKUP(V94,'G-7 WaterC'' Data'!$AK$4:$AM$6,2,FALSE)))</f>
        <v/>
      </c>
      <c r="X94" s="386" t="str">
        <f>IF(V94="","",IF(VLOOKUP(V94,'G-7 WaterC'' Data'!$AK$4:$AM$6,3,FALSE)=0,"Spatial Data Missing ⚠",VLOOKUP(V94,'G-7 WaterC'' Data'!$AK$4:$AM$6,3,FALSE)))</f>
        <v/>
      </c>
      <c r="Y94" s="398" t="str">
        <f>IFERROR(IF(OR(LEFT(P94,5)="Error",LEFT(O94,5)="Error"),"Check Data ⚠",IF(F94&lt;S94,'G-7 WaterC'' Data'!$R$3,INDEX('G-7 WaterC'' Data'!$U$5:$Y$9,MATCH(G94,'G-7 WaterC'' Data'!$T$5:$T$9,0),MATCH(T94,'G-7 WaterC'' Data'!$U$4:$Y$4,0)))),"")</f>
        <v/>
      </c>
      <c r="Z94" s="165"/>
      <c r="AA94" s="165"/>
      <c r="AB94" s="395" t="str">
        <f t="shared" si="9"/>
        <v/>
      </c>
      <c r="AC94" s="383" t="str">
        <f t="shared" si="14"/>
        <v/>
      </c>
      <c r="AD94" s="422" t="str">
        <f>IFERROR(IF(AC94="Check Data ⚠","Check Data ⚠",VLOOKUP(AC94,'G-4 Temporal multipliers'!$A$4:$C$37,3,FALSE)),"")</f>
        <v/>
      </c>
      <c r="AE94" s="398" t="str">
        <f>IF(N94="","",VLOOKUP(N94,'G-7 WaterC'' Data'!$B$4:$G$8,5,FALSE))</f>
        <v/>
      </c>
      <c r="AF94" s="382" t="str">
        <f t="shared" si="10"/>
        <v/>
      </c>
      <c r="AG94" s="382" t="str">
        <f t="shared" si="15"/>
        <v/>
      </c>
      <c r="AH94" s="386" t="str">
        <f t="shared" si="11"/>
        <v/>
      </c>
      <c r="AI94" s="122"/>
      <c r="AJ94" s="363" t="str">
        <f>IF(AI94="","",IF(VLOOKUP(AI94,'G-7 WaterC'' Data'!$AA$4:$AB$7,2,FALSE)=0,"Spatial Data Missing ⚠",VLOOKUP(AI94,'G-7 WaterC'' Data'!$AA$4:$AB$7,2,FALSE)))</f>
        <v/>
      </c>
      <c r="AK94" s="123"/>
      <c r="AL94" s="397" t="str">
        <f>IF(AK94="","",IF(VLOOKUP(AK94,'G-7 WaterC'' Data'!$AD$4:$AE$14,2,FALSE)=0,"Spatial Data Missing ⚠",VLOOKUP(AK94,'G-7 WaterC'' Data'!$AD$4:$AE$14,2,FALSE)))</f>
        <v/>
      </c>
      <c r="AM94" s="122"/>
      <c r="AN94" s="363" t="str">
        <f>IF(AM94="","",IF(VLOOKUP(AM94,'G-7 WaterC'' Data'!$AO$4:$BO$7,2,FALSE)=0,"Spatial Data Missing ⚠",VLOOKUP(AM94,'G-7 WaterC'' Data'!$AO$4:$BO$7,2,FALSE)))</f>
        <v/>
      </c>
      <c r="AO94" s="405" t="str">
        <f t="shared" si="16"/>
        <v/>
      </c>
      <c r="AP94" s="405" t="str">
        <f t="shared" si="17"/>
        <v/>
      </c>
      <c r="AQ94" s="117"/>
      <c r="AR94" s="118"/>
      <c r="AS94" s="120"/>
      <c r="AT94" s="120"/>
      <c r="AY94" s="30" t="str">
        <f>IFERROR(INDEX('G-7 WaterC'' Data'!$AZ$3:$AZ$7,MATCH(N94,'G-7 WaterC'' Data'!$AY$3:$AY$7,0)),"")</f>
        <v/>
      </c>
    </row>
    <row r="95" spans="2:51" ht="15">
      <c r="B95" s="392" t="str">
        <f>'F-1 Off-Site WaterC'' Baseline'!AR93</f>
        <v/>
      </c>
      <c r="C95" s="382" t="str">
        <f>IF(B95="","",VLOOKUP($B95,'F-1 Off-Site WaterC'' Baseline'!$C$9:$R$257,2,FALSE))</f>
        <v/>
      </c>
      <c r="D95" s="382" t="str">
        <f>IF(C95="","",VLOOKUP($B95,'F-1 Off-Site WaterC'' Baseline'!$C$9:$R$257,3,FALSE))</f>
        <v/>
      </c>
      <c r="E95" s="382" t="str">
        <f>IF(D95="","",VLOOKUP($B95,'F-1 Off-Site WaterC'' Baseline'!$C$9:$R$257,4,FALSE))</f>
        <v/>
      </c>
      <c r="F95" s="382" t="str">
        <f>IF(E95="","",VLOOKUP($B95,'F-1 Off-Site WaterC'' Baseline'!$C$9:$R$257,5,FALSE))</f>
        <v/>
      </c>
      <c r="G95" s="382" t="str">
        <f>IF(F95="","",VLOOKUP($B95,'F-1 Off-Site WaterC'' Baseline'!$C$9:$R$257,6,FALSE))</f>
        <v/>
      </c>
      <c r="H95" s="382" t="str">
        <f>IF(G95="","",VLOOKUP($B95,'F-1 Off-Site WaterC'' Baseline'!$C$9:$R$257,7,FALSE))</f>
        <v/>
      </c>
      <c r="I95" s="382" t="str">
        <f>IF(H95="","",VLOOKUP($B95,'F-1 Off-Site WaterC'' Baseline'!$C$9:$R$257,8,FALSE))</f>
        <v/>
      </c>
      <c r="J95" s="382" t="str">
        <f>IF(I95="","",VLOOKUP($B95,'F-1 Off-Site WaterC'' Baseline'!$C$9:$R$257,9,FALSE))</f>
        <v/>
      </c>
      <c r="K95" s="382" t="str">
        <f>IF(J95="","",VLOOKUP($B95,'F-1 Off-Site WaterC'' Baseline'!$C$9:$R$257,10,FALSE))</f>
        <v/>
      </c>
      <c r="L95" s="382" t="str">
        <f>IF(B95="","",VLOOKUP($B95,'F-1 Off-Site WaterC'' Baseline'!$C$9:$R$257,15,FALSE))</f>
        <v/>
      </c>
      <c r="M95" s="386" t="str">
        <f>IF(L95="","",VLOOKUP($B95,'F-1 Off-Site WaterC'' Baseline'!$C$9:$R$257,16,FALSE))</f>
        <v/>
      </c>
      <c r="N95" s="316" t="str">
        <f t="shared" si="12"/>
        <v/>
      </c>
      <c r="O95" s="362" t="str">
        <f t="shared" si="13"/>
        <v/>
      </c>
      <c r="P95" s="363" t="str">
        <f>IF(C95="","",IF(AND(LEFT(C95,55)&lt;&gt;LEFT(N95,55),O95="High - High"),"Error - Not like for like ▲",IF(H95&gt;U95,"Error - Can not reduce condition ▲",IF(AND(F95=S95,H95=U95,AJ95='F-1 Off-Site WaterC'' Baseline'!N93,'F-1 Off-Site WaterC'' Baseline'!P93=AL95),"Error - No enhancement ▲",IF(AND(C95&lt;&gt;N95,F95&lt;S95),"Lower Distinctiveness Habitat"&amp;" - "&amp;T95,G95&amp;" - "&amp;T95)))))</f>
        <v/>
      </c>
      <c r="Q95" s="368" t="str">
        <f>IF(N95="","",VLOOKUP(B95,'F-1 Off-Site WaterC'' Baseline'!$C$10:$AE$257,22,FALSE))</f>
        <v/>
      </c>
      <c r="R95" s="362" t="str">
        <f>IF(N95="","",VLOOKUP(N95,'G-7 WaterC'' Data'!$B$2:$G$8,2,FALSE))</f>
        <v/>
      </c>
      <c r="S95" s="363" t="str">
        <f>IFERROR(VLOOKUP(R95,'G-7 WaterC'' Data'!$C$4:$D$8,2,FALSE),"")</f>
        <v/>
      </c>
      <c r="T95" s="114"/>
      <c r="U95" s="363" t="str">
        <f>IFERROR(INDEX('G-7 WaterC'' Data'!$H$4:$L$8,MATCH(N95,'G-7 WaterC'' Data'!$B$4:$B$8,0),MATCH(T95,'G-7 WaterC'' Data'!$H$3:$L$3,0)),"")</f>
        <v/>
      </c>
      <c r="V95" s="122"/>
      <c r="W95" s="382" t="str">
        <f>IF(V95="","",IF(VLOOKUP(V95,'G-7 WaterC'' Data'!$AK$4:$AM$6,2,FALSE)=0,"Spatial Data Missing ⚠",VLOOKUP(V95,'G-7 WaterC'' Data'!$AK$4:$AM$6,2,FALSE)))</f>
        <v/>
      </c>
      <c r="X95" s="386" t="str">
        <f>IF(V95="","",IF(VLOOKUP(V95,'G-7 WaterC'' Data'!$AK$4:$AM$6,3,FALSE)=0,"Spatial Data Missing ⚠",VLOOKUP(V95,'G-7 WaterC'' Data'!$AK$4:$AM$6,3,FALSE)))</f>
        <v/>
      </c>
      <c r="Y95" s="398" t="str">
        <f>IFERROR(IF(OR(LEFT(P95,5)="Error",LEFT(O95,5)="Error"),"Check Data ⚠",IF(F95&lt;S95,'G-7 WaterC'' Data'!$R$3,INDEX('G-7 WaterC'' Data'!$U$5:$Y$9,MATCH(G95,'G-7 WaterC'' Data'!$T$5:$T$9,0),MATCH(T95,'G-7 WaterC'' Data'!$U$4:$Y$4,0)))),"")</f>
        <v/>
      </c>
      <c r="Z95" s="165"/>
      <c r="AA95" s="165"/>
      <c r="AB95" s="395" t="str">
        <f t="shared" si="9"/>
        <v/>
      </c>
      <c r="AC95" s="383" t="str">
        <f t="shared" si="14"/>
        <v/>
      </c>
      <c r="AD95" s="422" t="str">
        <f>IFERROR(IF(AC95="Check Data ⚠","Check Data ⚠",VLOOKUP(AC95,'G-4 Temporal multipliers'!$A$4:$C$37,3,FALSE)),"")</f>
        <v/>
      </c>
      <c r="AE95" s="398" t="str">
        <f>IF(N95="","",VLOOKUP(N95,'G-7 WaterC'' Data'!$B$4:$G$8,5,FALSE))</f>
        <v/>
      </c>
      <c r="AF95" s="382" t="str">
        <f t="shared" si="10"/>
        <v/>
      </c>
      <c r="AG95" s="382" t="str">
        <f t="shared" si="15"/>
        <v/>
      </c>
      <c r="AH95" s="386" t="str">
        <f t="shared" si="11"/>
        <v/>
      </c>
      <c r="AI95" s="122"/>
      <c r="AJ95" s="363" t="str">
        <f>IF(AI95="","",IF(VLOOKUP(AI95,'G-7 WaterC'' Data'!$AA$4:$AB$7,2,FALSE)=0,"Spatial Data Missing ⚠",VLOOKUP(AI95,'G-7 WaterC'' Data'!$AA$4:$AB$7,2,FALSE)))</f>
        <v/>
      </c>
      <c r="AK95" s="123"/>
      <c r="AL95" s="397" t="str">
        <f>IF(AK95="","",IF(VLOOKUP(AK95,'G-7 WaterC'' Data'!$AD$4:$AE$14,2,FALSE)=0,"Spatial Data Missing ⚠",VLOOKUP(AK95,'G-7 WaterC'' Data'!$AD$4:$AE$14,2,FALSE)))</f>
        <v/>
      </c>
      <c r="AM95" s="122"/>
      <c r="AN95" s="363" t="str">
        <f>IF(AM95="","",IF(VLOOKUP(AM95,'G-7 WaterC'' Data'!$AO$4:$BO$7,2,FALSE)=0,"Spatial Data Missing ⚠",VLOOKUP(AM95,'G-7 WaterC'' Data'!$AO$4:$BO$7,2,FALSE)))</f>
        <v/>
      </c>
      <c r="AO95" s="405" t="str">
        <f t="shared" si="16"/>
        <v/>
      </c>
      <c r="AP95" s="405" t="str">
        <f t="shared" si="17"/>
        <v/>
      </c>
      <c r="AQ95" s="117"/>
      <c r="AR95" s="118"/>
      <c r="AS95" s="120"/>
      <c r="AT95" s="120"/>
      <c r="AY95" s="30" t="str">
        <f>IFERROR(INDEX('G-7 WaterC'' Data'!$AZ$3:$AZ$7,MATCH(N95,'G-7 WaterC'' Data'!$AY$3:$AY$7,0)),"")</f>
        <v/>
      </c>
    </row>
    <row r="96" spans="2:51" ht="15">
      <c r="B96" s="392" t="str">
        <f>'F-1 Off-Site WaterC'' Baseline'!AR94</f>
        <v/>
      </c>
      <c r="C96" s="382" t="str">
        <f>IF(B96="","",VLOOKUP($B96,'F-1 Off-Site WaterC'' Baseline'!$C$9:$R$257,2,FALSE))</f>
        <v/>
      </c>
      <c r="D96" s="382" t="str">
        <f>IF(C96="","",VLOOKUP($B96,'F-1 Off-Site WaterC'' Baseline'!$C$9:$R$257,3,FALSE))</f>
        <v/>
      </c>
      <c r="E96" s="382" t="str">
        <f>IF(D96="","",VLOOKUP($B96,'F-1 Off-Site WaterC'' Baseline'!$C$9:$R$257,4,FALSE))</f>
        <v/>
      </c>
      <c r="F96" s="382" t="str">
        <f>IF(E96="","",VLOOKUP($B96,'F-1 Off-Site WaterC'' Baseline'!$C$9:$R$257,5,FALSE))</f>
        <v/>
      </c>
      <c r="G96" s="382" t="str">
        <f>IF(F96="","",VLOOKUP($B96,'F-1 Off-Site WaterC'' Baseline'!$C$9:$R$257,6,FALSE))</f>
        <v/>
      </c>
      <c r="H96" s="382" t="str">
        <f>IF(G96="","",VLOOKUP($B96,'F-1 Off-Site WaterC'' Baseline'!$C$9:$R$257,7,FALSE))</f>
        <v/>
      </c>
      <c r="I96" s="382" t="str">
        <f>IF(H96="","",VLOOKUP($B96,'F-1 Off-Site WaterC'' Baseline'!$C$9:$R$257,8,FALSE))</f>
        <v/>
      </c>
      <c r="J96" s="382" t="str">
        <f>IF(I96="","",VLOOKUP($B96,'F-1 Off-Site WaterC'' Baseline'!$C$9:$R$257,9,FALSE))</f>
        <v/>
      </c>
      <c r="K96" s="382" t="str">
        <f>IF(J96="","",VLOOKUP($B96,'F-1 Off-Site WaterC'' Baseline'!$C$9:$R$257,10,FALSE))</f>
        <v/>
      </c>
      <c r="L96" s="382" t="str">
        <f>IF(B96="","",VLOOKUP($B96,'F-1 Off-Site WaterC'' Baseline'!$C$9:$R$257,15,FALSE))</f>
        <v/>
      </c>
      <c r="M96" s="386" t="str">
        <f>IF(L96="","",VLOOKUP($B96,'F-1 Off-Site WaterC'' Baseline'!$C$9:$R$257,16,FALSE))</f>
        <v/>
      </c>
      <c r="N96" s="316" t="str">
        <f t="shared" si="12"/>
        <v/>
      </c>
      <c r="O96" s="362" t="str">
        <f t="shared" si="13"/>
        <v/>
      </c>
      <c r="P96" s="363" t="str">
        <f>IF(C96="","",IF(AND(LEFT(C96,55)&lt;&gt;LEFT(N96,55),O96="High - High"),"Error - Not like for like ▲",IF(H96&gt;U96,"Error - Can not reduce condition ▲",IF(AND(F96=S96,H96=U96,AJ96='F-1 Off-Site WaterC'' Baseline'!N94,'F-1 Off-Site WaterC'' Baseline'!P94=AL96),"Error - No enhancement ▲",IF(AND(C96&lt;&gt;N96,F96&lt;S96),"Lower Distinctiveness Habitat"&amp;" - "&amp;T96,G96&amp;" - "&amp;T96)))))</f>
        <v/>
      </c>
      <c r="Q96" s="368" t="str">
        <f>IF(N96="","",VLOOKUP(B96,'F-1 Off-Site WaterC'' Baseline'!$C$10:$AE$257,22,FALSE))</f>
        <v/>
      </c>
      <c r="R96" s="362" t="str">
        <f>IF(N96="","",VLOOKUP(N96,'G-7 WaterC'' Data'!$B$2:$G$8,2,FALSE))</f>
        <v/>
      </c>
      <c r="S96" s="363" t="str">
        <f>IFERROR(VLOOKUP(R96,'G-7 WaterC'' Data'!$C$4:$D$8,2,FALSE),"")</f>
        <v/>
      </c>
      <c r="T96" s="114"/>
      <c r="U96" s="363" t="str">
        <f>IFERROR(INDEX('G-7 WaterC'' Data'!$H$4:$L$8,MATCH(N96,'G-7 WaterC'' Data'!$B$4:$B$8,0),MATCH(T96,'G-7 WaterC'' Data'!$H$3:$L$3,0)),"")</f>
        <v/>
      </c>
      <c r="V96" s="122"/>
      <c r="W96" s="382" t="str">
        <f>IF(V96="","",IF(VLOOKUP(V96,'G-7 WaterC'' Data'!$AK$4:$AM$6,2,FALSE)=0,"Spatial Data Missing ⚠",VLOOKUP(V96,'G-7 WaterC'' Data'!$AK$4:$AM$6,2,FALSE)))</f>
        <v/>
      </c>
      <c r="X96" s="386" t="str">
        <f>IF(V96="","",IF(VLOOKUP(V96,'G-7 WaterC'' Data'!$AK$4:$AM$6,3,FALSE)=0,"Spatial Data Missing ⚠",VLOOKUP(V96,'G-7 WaterC'' Data'!$AK$4:$AM$6,3,FALSE)))</f>
        <v/>
      </c>
      <c r="Y96" s="398" t="str">
        <f>IFERROR(IF(OR(LEFT(P96,5)="Error",LEFT(O96,5)="Error"),"Check Data ⚠",IF(F96&lt;S96,'G-7 WaterC'' Data'!$R$3,INDEX('G-7 WaterC'' Data'!$U$5:$Y$9,MATCH(G96,'G-7 WaterC'' Data'!$T$5:$T$9,0),MATCH(T96,'G-7 WaterC'' Data'!$U$4:$Y$4,0)))),"")</f>
        <v/>
      </c>
      <c r="Z96" s="165"/>
      <c r="AA96" s="165"/>
      <c r="AB96" s="395" t="str">
        <f t="shared" si="9"/>
        <v/>
      </c>
      <c r="AC96" s="383" t="str">
        <f t="shared" si="14"/>
        <v/>
      </c>
      <c r="AD96" s="422" t="str">
        <f>IFERROR(IF(AC96="Check Data ⚠","Check Data ⚠",VLOOKUP(AC96,'G-4 Temporal multipliers'!$A$4:$C$37,3,FALSE)),"")</f>
        <v/>
      </c>
      <c r="AE96" s="398" t="str">
        <f>IF(N96="","",VLOOKUP(N96,'G-7 WaterC'' Data'!$B$4:$G$8,5,FALSE))</f>
        <v/>
      </c>
      <c r="AF96" s="382" t="str">
        <f t="shared" si="10"/>
        <v/>
      </c>
      <c r="AG96" s="382" t="str">
        <f t="shared" si="15"/>
        <v/>
      </c>
      <c r="AH96" s="386" t="str">
        <f t="shared" si="11"/>
        <v/>
      </c>
      <c r="AI96" s="122"/>
      <c r="AJ96" s="363" t="str">
        <f>IF(AI96="","",IF(VLOOKUP(AI96,'G-7 WaterC'' Data'!$AA$4:$AB$7,2,FALSE)=0,"Spatial Data Missing ⚠",VLOOKUP(AI96,'G-7 WaterC'' Data'!$AA$4:$AB$7,2,FALSE)))</f>
        <v/>
      </c>
      <c r="AK96" s="123"/>
      <c r="AL96" s="397" t="str">
        <f>IF(AK96="","",IF(VLOOKUP(AK96,'G-7 WaterC'' Data'!$AD$4:$AE$14,2,FALSE)=0,"Spatial Data Missing ⚠",VLOOKUP(AK96,'G-7 WaterC'' Data'!$AD$4:$AE$14,2,FALSE)))</f>
        <v/>
      </c>
      <c r="AM96" s="122"/>
      <c r="AN96" s="363" t="str">
        <f>IF(AM96="","",IF(VLOOKUP(AM96,'G-7 WaterC'' Data'!$AO$4:$BO$7,2,FALSE)=0,"Spatial Data Missing ⚠",VLOOKUP(AM96,'G-7 WaterC'' Data'!$AO$4:$BO$7,2,FALSE)))</f>
        <v/>
      </c>
      <c r="AO96" s="405" t="str">
        <f t="shared" si="16"/>
        <v/>
      </c>
      <c r="AP96" s="405" t="str">
        <f t="shared" si="17"/>
        <v/>
      </c>
      <c r="AQ96" s="117"/>
      <c r="AR96" s="118"/>
      <c r="AS96" s="120"/>
      <c r="AT96" s="120"/>
      <c r="AY96" s="30" t="str">
        <f>IFERROR(INDEX('G-7 WaterC'' Data'!$AZ$3:$AZ$7,MATCH(N96,'G-7 WaterC'' Data'!$AY$3:$AY$7,0)),"")</f>
        <v/>
      </c>
    </row>
    <row r="97" spans="2:51" ht="15">
      <c r="B97" s="392" t="str">
        <f>'F-1 Off-Site WaterC'' Baseline'!AR95</f>
        <v/>
      </c>
      <c r="C97" s="382" t="str">
        <f>IF(B97="","",VLOOKUP($B97,'F-1 Off-Site WaterC'' Baseline'!$C$9:$R$257,2,FALSE))</f>
        <v/>
      </c>
      <c r="D97" s="382" t="str">
        <f>IF(C97="","",VLOOKUP($B97,'F-1 Off-Site WaterC'' Baseline'!$C$9:$R$257,3,FALSE))</f>
        <v/>
      </c>
      <c r="E97" s="382" t="str">
        <f>IF(D97="","",VLOOKUP($B97,'F-1 Off-Site WaterC'' Baseline'!$C$9:$R$257,4,FALSE))</f>
        <v/>
      </c>
      <c r="F97" s="382" t="str">
        <f>IF(E97="","",VLOOKUP($B97,'F-1 Off-Site WaterC'' Baseline'!$C$9:$R$257,5,FALSE))</f>
        <v/>
      </c>
      <c r="G97" s="382" t="str">
        <f>IF(F97="","",VLOOKUP($B97,'F-1 Off-Site WaterC'' Baseline'!$C$9:$R$257,6,FALSE))</f>
        <v/>
      </c>
      <c r="H97" s="382" t="str">
        <f>IF(G97="","",VLOOKUP($B97,'F-1 Off-Site WaterC'' Baseline'!$C$9:$R$257,7,FALSE))</f>
        <v/>
      </c>
      <c r="I97" s="382" t="str">
        <f>IF(H97="","",VLOOKUP($B97,'F-1 Off-Site WaterC'' Baseline'!$C$9:$R$257,8,FALSE))</f>
        <v/>
      </c>
      <c r="J97" s="382" t="str">
        <f>IF(I97="","",VLOOKUP($B97,'F-1 Off-Site WaterC'' Baseline'!$C$9:$R$257,9,FALSE))</f>
        <v/>
      </c>
      <c r="K97" s="382" t="str">
        <f>IF(J97="","",VLOOKUP($B97,'F-1 Off-Site WaterC'' Baseline'!$C$9:$R$257,10,FALSE))</f>
        <v/>
      </c>
      <c r="L97" s="382" t="str">
        <f>IF(B97="","",VLOOKUP($B97,'F-1 Off-Site WaterC'' Baseline'!$C$9:$R$257,15,FALSE))</f>
        <v/>
      </c>
      <c r="M97" s="386" t="str">
        <f>IF(L97="","",VLOOKUP($B97,'F-1 Off-Site WaterC'' Baseline'!$C$9:$R$257,16,FALSE))</f>
        <v/>
      </c>
      <c r="N97" s="316" t="str">
        <f t="shared" si="12"/>
        <v/>
      </c>
      <c r="O97" s="362" t="str">
        <f t="shared" si="13"/>
        <v/>
      </c>
      <c r="P97" s="363" t="str">
        <f>IF(C97="","",IF(AND(LEFT(C97,55)&lt;&gt;LEFT(N97,55),O97="High - High"),"Error - Not like for like ▲",IF(H97&gt;U97,"Error - Can not reduce condition ▲",IF(AND(F97=S97,H97=U97,AJ97='F-1 Off-Site WaterC'' Baseline'!N95,'F-1 Off-Site WaterC'' Baseline'!P95=AL97),"Error - No enhancement ▲",IF(AND(C97&lt;&gt;N97,F97&lt;S97),"Lower Distinctiveness Habitat"&amp;" - "&amp;T97,G97&amp;" - "&amp;T97)))))</f>
        <v/>
      </c>
      <c r="Q97" s="368" t="str">
        <f>IF(N97="","",VLOOKUP(B97,'F-1 Off-Site WaterC'' Baseline'!$C$10:$AE$257,22,FALSE))</f>
        <v/>
      </c>
      <c r="R97" s="362" t="str">
        <f>IF(N97="","",VLOOKUP(N97,'G-7 WaterC'' Data'!$B$2:$G$8,2,FALSE))</f>
        <v/>
      </c>
      <c r="S97" s="363" t="str">
        <f>IFERROR(VLOOKUP(R97,'G-7 WaterC'' Data'!$C$4:$D$8,2,FALSE),"")</f>
        <v/>
      </c>
      <c r="T97" s="114"/>
      <c r="U97" s="363" t="str">
        <f>IFERROR(INDEX('G-7 WaterC'' Data'!$H$4:$L$8,MATCH(N97,'G-7 WaterC'' Data'!$B$4:$B$8,0),MATCH(T97,'G-7 WaterC'' Data'!$H$3:$L$3,0)),"")</f>
        <v/>
      </c>
      <c r="V97" s="122"/>
      <c r="W97" s="382" t="str">
        <f>IF(V97="","",IF(VLOOKUP(V97,'G-7 WaterC'' Data'!$AK$4:$AM$6,2,FALSE)=0,"Spatial Data Missing ⚠",VLOOKUP(V97,'G-7 WaterC'' Data'!$AK$4:$AM$6,2,FALSE)))</f>
        <v/>
      </c>
      <c r="X97" s="386" t="str">
        <f>IF(V97="","",IF(VLOOKUP(V97,'G-7 WaterC'' Data'!$AK$4:$AM$6,3,FALSE)=0,"Spatial Data Missing ⚠",VLOOKUP(V97,'G-7 WaterC'' Data'!$AK$4:$AM$6,3,FALSE)))</f>
        <v/>
      </c>
      <c r="Y97" s="398" t="str">
        <f>IFERROR(IF(OR(LEFT(P97,5)="Error",LEFT(O97,5)="Error"),"Check Data ⚠",IF(F97&lt;S97,'G-7 WaterC'' Data'!$R$3,INDEX('G-7 WaterC'' Data'!$U$5:$Y$9,MATCH(G97,'G-7 WaterC'' Data'!$T$5:$T$9,0),MATCH(T97,'G-7 WaterC'' Data'!$U$4:$Y$4,0)))),"")</f>
        <v/>
      </c>
      <c r="Z97" s="165"/>
      <c r="AA97" s="165"/>
      <c r="AB97" s="395" t="str">
        <f t="shared" si="9"/>
        <v/>
      </c>
      <c r="AC97" s="383" t="str">
        <f t="shared" si="14"/>
        <v/>
      </c>
      <c r="AD97" s="422" t="str">
        <f>IFERROR(IF(AC97="Check Data ⚠","Check Data ⚠",VLOOKUP(AC97,'G-4 Temporal multipliers'!$A$4:$C$37,3,FALSE)),"")</f>
        <v/>
      </c>
      <c r="AE97" s="398" t="str">
        <f>IF(N97="","",VLOOKUP(N97,'G-7 WaterC'' Data'!$B$4:$G$8,5,FALSE))</f>
        <v/>
      </c>
      <c r="AF97" s="382" t="str">
        <f t="shared" si="10"/>
        <v/>
      </c>
      <c r="AG97" s="382" t="str">
        <f t="shared" si="15"/>
        <v/>
      </c>
      <c r="AH97" s="386" t="str">
        <f t="shared" si="11"/>
        <v/>
      </c>
      <c r="AI97" s="122"/>
      <c r="AJ97" s="363" t="str">
        <f>IF(AI97="","",IF(VLOOKUP(AI97,'G-7 WaterC'' Data'!$AA$4:$AB$7,2,FALSE)=0,"Spatial Data Missing ⚠",VLOOKUP(AI97,'G-7 WaterC'' Data'!$AA$4:$AB$7,2,FALSE)))</f>
        <v/>
      </c>
      <c r="AK97" s="123"/>
      <c r="AL97" s="397" t="str">
        <f>IF(AK97="","",IF(VLOOKUP(AK97,'G-7 WaterC'' Data'!$AD$4:$AE$14,2,FALSE)=0,"Spatial Data Missing ⚠",VLOOKUP(AK97,'G-7 WaterC'' Data'!$AD$4:$AE$14,2,FALSE)))</f>
        <v/>
      </c>
      <c r="AM97" s="122"/>
      <c r="AN97" s="363" t="str">
        <f>IF(AM97="","",IF(VLOOKUP(AM97,'G-7 WaterC'' Data'!$AO$4:$BO$7,2,FALSE)=0,"Spatial Data Missing ⚠",VLOOKUP(AM97,'G-7 WaterC'' Data'!$AO$4:$BO$7,2,FALSE)))</f>
        <v/>
      </c>
      <c r="AO97" s="405" t="str">
        <f t="shared" si="16"/>
        <v/>
      </c>
      <c r="AP97" s="405" t="str">
        <f t="shared" si="17"/>
        <v/>
      </c>
      <c r="AQ97" s="117"/>
      <c r="AR97" s="118"/>
      <c r="AS97" s="120"/>
      <c r="AT97" s="120"/>
      <c r="AY97" s="30" t="str">
        <f>IFERROR(INDEX('G-7 WaterC'' Data'!$AZ$3:$AZ$7,MATCH(N97,'G-7 WaterC'' Data'!$AY$3:$AY$7,0)),"")</f>
        <v/>
      </c>
    </row>
    <row r="98" spans="2:51" ht="15">
      <c r="B98" s="392" t="str">
        <f>'F-1 Off-Site WaterC'' Baseline'!AR96</f>
        <v/>
      </c>
      <c r="C98" s="382" t="str">
        <f>IF(B98="","",VLOOKUP($B98,'F-1 Off-Site WaterC'' Baseline'!$C$9:$R$257,2,FALSE))</f>
        <v/>
      </c>
      <c r="D98" s="382" t="str">
        <f>IF(C98="","",VLOOKUP($B98,'F-1 Off-Site WaterC'' Baseline'!$C$9:$R$257,3,FALSE))</f>
        <v/>
      </c>
      <c r="E98" s="382" t="str">
        <f>IF(D98="","",VLOOKUP($B98,'F-1 Off-Site WaterC'' Baseline'!$C$9:$R$257,4,FALSE))</f>
        <v/>
      </c>
      <c r="F98" s="382" t="str">
        <f>IF(E98="","",VLOOKUP($B98,'F-1 Off-Site WaterC'' Baseline'!$C$9:$R$257,5,FALSE))</f>
        <v/>
      </c>
      <c r="G98" s="382" t="str">
        <f>IF(F98="","",VLOOKUP($B98,'F-1 Off-Site WaterC'' Baseline'!$C$9:$R$257,6,FALSE))</f>
        <v/>
      </c>
      <c r="H98" s="382" t="str">
        <f>IF(G98="","",VLOOKUP($B98,'F-1 Off-Site WaterC'' Baseline'!$C$9:$R$257,7,FALSE))</f>
        <v/>
      </c>
      <c r="I98" s="382" t="str">
        <f>IF(H98="","",VLOOKUP($B98,'F-1 Off-Site WaterC'' Baseline'!$C$9:$R$257,8,FALSE))</f>
        <v/>
      </c>
      <c r="J98" s="382" t="str">
        <f>IF(I98="","",VLOOKUP($B98,'F-1 Off-Site WaterC'' Baseline'!$C$9:$R$257,9,FALSE))</f>
        <v/>
      </c>
      <c r="K98" s="382" t="str">
        <f>IF(J98="","",VLOOKUP($B98,'F-1 Off-Site WaterC'' Baseline'!$C$9:$R$257,10,FALSE))</f>
        <v/>
      </c>
      <c r="L98" s="382" t="str">
        <f>IF(B98="","",VLOOKUP($B98,'F-1 Off-Site WaterC'' Baseline'!$C$9:$R$257,15,FALSE))</f>
        <v/>
      </c>
      <c r="M98" s="386" t="str">
        <f>IF(L98="","",VLOOKUP($B98,'F-1 Off-Site WaterC'' Baseline'!$C$9:$R$257,16,FALSE))</f>
        <v/>
      </c>
      <c r="N98" s="316" t="str">
        <f t="shared" si="12"/>
        <v/>
      </c>
      <c r="O98" s="362" t="str">
        <f t="shared" si="13"/>
        <v/>
      </c>
      <c r="P98" s="363" t="str">
        <f>IF(C98="","",IF(AND(LEFT(C98,55)&lt;&gt;LEFT(N98,55),O98="High - High"),"Error - Not like for like ▲",IF(H98&gt;U98,"Error - Can not reduce condition ▲",IF(AND(F98=S98,H98=U98,AJ98='F-1 Off-Site WaterC'' Baseline'!N96,'F-1 Off-Site WaterC'' Baseline'!P96=AL98),"Error - No enhancement ▲",IF(AND(C98&lt;&gt;N98,F98&lt;S98),"Lower Distinctiveness Habitat"&amp;" - "&amp;T98,G98&amp;" - "&amp;T98)))))</f>
        <v/>
      </c>
      <c r="Q98" s="368" t="str">
        <f>IF(N98="","",VLOOKUP(B98,'F-1 Off-Site WaterC'' Baseline'!$C$10:$AE$257,22,FALSE))</f>
        <v/>
      </c>
      <c r="R98" s="362" t="str">
        <f>IF(N98="","",VLOOKUP(N98,'G-7 WaterC'' Data'!$B$2:$G$8,2,FALSE))</f>
        <v/>
      </c>
      <c r="S98" s="363" t="str">
        <f>IFERROR(VLOOKUP(R98,'G-7 WaterC'' Data'!$C$4:$D$8,2,FALSE),"")</f>
        <v/>
      </c>
      <c r="T98" s="114"/>
      <c r="U98" s="363" t="str">
        <f>IFERROR(INDEX('G-7 WaterC'' Data'!$H$4:$L$8,MATCH(N98,'G-7 WaterC'' Data'!$B$4:$B$8,0),MATCH(T98,'G-7 WaterC'' Data'!$H$3:$L$3,0)),"")</f>
        <v/>
      </c>
      <c r="V98" s="122"/>
      <c r="W98" s="382" t="str">
        <f>IF(V98="","",IF(VLOOKUP(V98,'G-7 WaterC'' Data'!$AK$4:$AM$6,2,FALSE)=0,"Spatial Data Missing ⚠",VLOOKUP(V98,'G-7 WaterC'' Data'!$AK$4:$AM$6,2,FALSE)))</f>
        <v/>
      </c>
      <c r="X98" s="386" t="str">
        <f>IF(V98="","",IF(VLOOKUP(V98,'G-7 WaterC'' Data'!$AK$4:$AM$6,3,FALSE)=0,"Spatial Data Missing ⚠",VLOOKUP(V98,'G-7 WaterC'' Data'!$AK$4:$AM$6,3,FALSE)))</f>
        <v/>
      </c>
      <c r="Y98" s="398" t="str">
        <f>IFERROR(IF(OR(LEFT(P98,5)="Error",LEFT(O98,5)="Error"),"Check Data ⚠",IF(F98&lt;S98,'G-7 WaterC'' Data'!$R$3,INDEX('G-7 WaterC'' Data'!$U$5:$Y$9,MATCH(G98,'G-7 WaterC'' Data'!$T$5:$T$9,0),MATCH(T98,'G-7 WaterC'' Data'!$U$4:$Y$4,0)))),"")</f>
        <v/>
      </c>
      <c r="Z98" s="165"/>
      <c r="AA98" s="165"/>
      <c r="AB98" s="395" t="str">
        <f t="shared" si="9"/>
        <v/>
      </c>
      <c r="AC98" s="383" t="str">
        <f t="shared" si="14"/>
        <v/>
      </c>
      <c r="AD98" s="422" t="str">
        <f>IFERROR(IF(AC98="Check Data ⚠","Check Data ⚠",VLOOKUP(AC98,'G-4 Temporal multipliers'!$A$4:$C$37,3,FALSE)),"")</f>
        <v/>
      </c>
      <c r="AE98" s="398" t="str">
        <f>IF(N98="","",VLOOKUP(N98,'G-7 WaterC'' Data'!$B$4:$G$8,5,FALSE))</f>
        <v/>
      </c>
      <c r="AF98" s="382" t="str">
        <f t="shared" si="10"/>
        <v/>
      </c>
      <c r="AG98" s="382" t="str">
        <f t="shared" si="15"/>
        <v/>
      </c>
      <c r="AH98" s="386" t="str">
        <f t="shared" si="11"/>
        <v/>
      </c>
      <c r="AI98" s="122"/>
      <c r="AJ98" s="363" t="str">
        <f>IF(AI98="","",IF(VLOOKUP(AI98,'G-7 WaterC'' Data'!$AA$4:$AB$7,2,FALSE)=0,"Spatial Data Missing ⚠",VLOOKUP(AI98,'G-7 WaterC'' Data'!$AA$4:$AB$7,2,FALSE)))</f>
        <v/>
      </c>
      <c r="AK98" s="123"/>
      <c r="AL98" s="397" t="str">
        <f>IF(AK98="","",IF(VLOOKUP(AK98,'G-7 WaterC'' Data'!$AD$4:$AE$14,2,FALSE)=0,"Spatial Data Missing ⚠",VLOOKUP(AK98,'G-7 WaterC'' Data'!$AD$4:$AE$14,2,FALSE)))</f>
        <v/>
      </c>
      <c r="AM98" s="122"/>
      <c r="AN98" s="363" t="str">
        <f>IF(AM98="","",IF(VLOOKUP(AM98,'G-7 WaterC'' Data'!$AO$4:$BO$7,2,FALSE)=0,"Spatial Data Missing ⚠",VLOOKUP(AM98,'G-7 WaterC'' Data'!$AO$4:$BO$7,2,FALSE)))</f>
        <v/>
      </c>
      <c r="AO98" s="405" t="str">
        <f t="shared" si="16"/>
        <v/>
      </c>
      <c r="AP98" s="405" t="str">
        <f t="shared" si="17"/>
        <v/>
      </c>
      <c r="AQ98" s="117"/>
      <c r="AR98" s="118"/>
      <c r="AS98" s="120"/>
      <c r="AT98" s="120"/>
      <c r="AY98" s="30" t="str">
        <f>IFERROR(INDEX('G-7 WaterC'' Data'!$AZ$3:$AZ$7,MATCH(N98,'G-7 WaterC'' Data'!$AY$3:$AY$7,0)),"")</f>
        <v/>
      </c>
    </row>
    <row r="99" spans="2:51" ht="15">
      <c r="B99" s="392" t="str">
        <f>'F-1 Off-Site WaterC'' Baseline'!AR97</f>
        <v/>
      </c>
      <c r="C99" s="382" t="str">
        <f>IF(B99="","",VLOOKUP($B99,'F-1 Off-Site WaterC'' Baseline'!$C$9:$R$257,2,FALSE))</f>
        <v/>
      </c>
      <c r="D99" s="382" t="str">
        <f>IF(C99="","",VLOOKUP($B99,'F-1 Off-Site WaterC'' Baseline'!$C$9:$R$257,3,FALSE))</f>
        <v/>
      </c>
      <c r="E99" s="382" t="str">
        <f>IF(D99="","",VLOOKUP($B99,'F-1 Off-Site WaterC'' Baseline'!$C$9:$R$257,4,FALSE))</f>
        <v/>
      </c>
      <c r="F99" s="382" t="str">
        <f>IF(E99="","",VLOOKUP($B99,'F-1 Off-Site WaterC'' Baseline'!$C$9:$R$257,5,FALSE))</f>
        <v/>
      </c>
      <c r="G99" s="382" t="str">
        <f>IF(F99="","",VLOOKUP($B99,'F-1 Off-Site WaterC'' Baseline'!$C$9:$R$257,6,FALSE))</f>
        <v/>
      </c>
      <c r="H99" s="382" t="str">
        <f>IF(G99="","",VLOOKUP($B99,'F-1 Off-Site WaterC'' Baseline'!$C$9:$R$257,7,FALSE))</f>
        <v/>
      </c>
      <c r="I99" s="382" t="str">
        <f>IF(H99="","",VLOOKUP($B99,'F-1 Off-Site WaterC'' Baseline'!$C$9:$R$257,8,FALSE))</f>
        <v/>
      </c>
      <c r="J99" s="382" t="str">
        <f>IF(I99="","",VLOOKUP($B99,'F-1 Off-Site WaterC'' Baseline'!$C$9:$R$257,9,FALSE))</f>
        <v/>
      </c>
      <c r="K99" s="382" t="str">
        <f>IF(J99="","",VLOOKUP($B99,'F-1 Off-Site WaterC'' Baseline'!$C$9:$R$257,10,FALSE))</f>
        <v/>
      </c>
      <c r="L99" s="382" t="str">
        <f>IF(B99="","",VLOOKUP($B99,'F-1 Off-Site WaterC'' Baseline'!$C$9:$R$257,15,FALSE))</f>
        <v/>
      </c>
      <c r="M99" s="386" t="str">
        <f>IF(L99="","",VLOOKUP($B99,'F-1 Off-Site WaterC'' Baseline'!$C$9:$R$257,16,FALSE))</f>
        <v/>
      </c>
      <c r="N99" s="316" t="str">
        <f t="shared" si="12"/>
        <v/>
      </c>
      <c r="O99" s="362" t="str">
        <f t="shared" si="13"/>
        <v/>
      </c>
      <c r="P99" s="363" t="str">
        <f>IF(C99="","",IF(AND(LEFT(C99,55)&lt;&gt;LEFT(N99,55),O99="High - High"),"Error - Not like for like ▲",IF(H99&gt;U99,"Error - Can not reduce condition ▲",IF(AND(F99=S99,H99=U99,AJ99='F-1 Off-Site WaterC'' Baseline'!N97,'F-1 Off-Site WaterC'' Baseline'!P97=AL99),"Error - No enhancement ▲",IF(AND(C99&lt;&gt;N99,F99&lt;S99),"Lower Distinctiveness Habitat"&amp;" - "&amp;T99,G99&amp;" - "&amp;T99)))))</f>
        <v/>
      </c>
      <c r="Q99" s="368" t="str">
        <f>IF(N99="","",VLOOKUP(B99,'F-1 Off-Site WaterC'' Baseline'!$C$10:$AE$257,22,FALSE))</f>
        <v/>
      </c>
      <c r="R99" s="362" t="str">
        <f>IF(N99="","",VLOOKUP(N99,'G-7 WaterC'' Data'!$B$2:$G$8,2,FALSE))</f>
        <v/>
      </c>
      <c r="S99" s="363" t="str">
        <f>IFERROR(VLOOKUP(R99,'G-7 WaterC'' Data'!$C$4:$D$8,2,FALSE),"")</f>
        <v/>
      </c>
      <c r="T99" s="114"/>
      <c r="U99" s="363" t="str">
        <f>IFERROR(INDEX('G-7 WaterC'' Data'!$H$4:$L$8,MATCH(N99,'G-7 WaterC'' Data'!$B$4:$B$8,0),MATCH(T99,'G-7 WaterC'' Data'!$H$3:$L$3,0)),"")</f>
        <v/>
      </c>
      <c r="V99" s="122"/>
      <c r="W99" s="382" t="str">
        <f>IF(V99="","",IF(VLOOKUP(V99,'G-7 WaterC'' Data'!$AK$4:$AM$6,2,FALSE)=0,"Spatial Data Missing ⚠",VLOOKUP(V99,'G-7 WaterC'' Data'!$AK$4:$AM$6,2,FALSE)))</f>
        <v/>
      </c>
      <c r="X99" s="386" t="str">
        <f>IF(V99="","",IF(VLOOKUP(V99,'G-7 WaterC'' Data'!$AK$4:$AM$6,3,FALSE)=0,"Spatial Data Missing ⚠",VLOOKUP(V99,'G-7 WaterC'' Data'!$AK$4:$AM$6,3,FALSE)))</f>
        <v/>
      </c>
      <c r="Y99" s="398" t="str">
        <f>IFERROR(IF(OR(LEFT(P99,5)="Error",LEFT(O99,5)="Error"),"Check Data ⚠",IF(F99&lt;S99,'G-7 WaterC'' Data'!$R$3,INDEX('G-7 WaterC'' Data'!$U$5:$Y$9,MATCH(G99,'G-7 WaterC'' Data'!$T$5:$T$9,0),MATCH(T99,'G-7 WaterC'' Data'!$U$4:$Y$4,0)))),"")</f>
        <v/>
      </c>
      <c r="Z99" s="165"/>
      <c r="AA99" s="165"/>
      <c r="AB99" s="395" t="str">
        <f t="shared" si="9"/>
        <v/>
      </c>
      <c r="AC99" s="383" t="str">
        <f t="shared" si="14"/>
        <v/>
      </c>
      <c r="AD99" s="422" t="str">
        <f>IFERROR(IF(AC99="Check Data ⚠","Check Data ⚠",VLOOKUP(AC99,'G-4 Temporal multipliers'!$A$4:$C$37,3,FALSE)),"")</f>
        <v/>
      </c>
      <c r="AE99" s="398" t="str">
        <f>IF(N99="","",VLOOKUP(N99,'G-7 WaterC'' Data'!$B$4:$G$8,5,FALSE))</f>
        <v/>
      </c>
      <c r="AF99" s="382" t="str">
        <f t="shared" si="10"/>
        <v/>
      </c>
      <c r="AG99" s="382" t="str">
        <f t="shared" si="15"/>
        <v/>
      </c>
      <c r="AH99" s="386" t="str">
        <f t="shared" si="11"/>
        <v/>
      </c>
      <c r="AI99" s="122"/>
      <c r="AJ99" s="363" t="str">
        <f>IF(AI99="","",IF(VLOOKUP(AI99,'G-7 WaterC'' Data'!$AA$4:$AB$7,2,FALSE)=0,"Spatial Data Missing ⚠",VLOOKUP(AI99,'G-7 WaterC'' Data'!$AA$4:$AB$7,2,FALSE)))</f>
        <v/>
      </c>
      <c r="AK99" s="123"/>
      <c r="AL99" s="397" t="str">
        <f>IF(AK99="","",IF(VLOOKUP(AK99,'G-7 WaterC'' Data'!$AD$4:$AE$14,2,FALSE)=0,"Spatial Data Missing ⚠",VLOOKUP(AK99,'G-7 WaterC'' Data'!$AD$4:$AE$14,2,FALSE)))</f>
        <v/>
      </c>
      <c r="AM99" s="122"/>
      <c r="AN99" s="363" t="str">
        <f>IF(AM99="","",IF(VLOOKUP(AM99,'G-7 WaterC'' Data'!$AO$4:$BO$7,2,FALSE)=0,"Spatial Data Missing ⚠",VLOOKUP(AM99,'G-7 WaterC'' Data'!$AO$4:$BO$7,2,FALSE)))</f>
        <v/>
      </c>
      <c r="AO99" s="405" t="str">
        <f t="shared" si="16"/>
        <v/>
      </c>
      <c r="AP99" s="405" t="str">
        <f t="shared" si="17"/>
        <v/>
      </c>
      <c r="AQ99" s="117"/>
      <c r="AR99" s="118"/>
      <c r="AS99" s="120"/>
      <c r="AT99" s="120"/>
      <c r="AY99" s="30" t="str">
        <f>IFERROR(INDEX('G-7 WaterC'' Data'!$AZ$3:$AZ$7,MATCH(N99,'G-7 WaterC'' Data'!$AY$3:$AY$7,0)),"")</f>
        <v/>
      </c>
    </row>
    <row r="100" spans="2:51" ht="15">
      <c r="B100" s="392" t="str">
        <f>'F-1 Off-Site WaterC'' Baseline'!AR98</f>
        <v/>
      </c>
      <c r="C100" s="382" t="str">
        <f>IF(B100="","",VLOOKUP($B100,'F-1 Off-Site WaterC'' Baseline'!$C$9:$R$257,2,FALSE))</f>
        <v/>
      </c>
      <c r="D100" s="382" t="str">
        <f>IF(C100="","",VLOOKUP($B100,'F-1 Off-Site WaterC'' Baseline'!$C$9:$R$257,3,FALSE))</f>
        <v/>
      </c>
      <c r="E100" s="382" t="str">
        <f>IF(D100="","",VLOOKUP($B100,'F-1 Off-Site WaterC'' Baseline'!$C$9:$R$257,4,FALSE))</f>
        <v/>
      </c>
      <c r="F100" s="382" t="str">
        <f>IF(E100="","",VLOOKUP($B100,'F-1 Off-Site WaterC'' Baseline'!$C$9:$R$257,5,FALSE))</f>
        <v/>
      </c>
      <c r="G100" s="382" t="str">
        <f>IF(F100="","",VLOOKUP($B100,'F-1 Off-Site WaterC'' Baseline'!$C$9:$R$257,6,FALSE))</f>
        <v/>
      </c>
      <c r="H100" s="382" t="str">
        <f>IF(G100="","",VLOOKUP($B100,'F-1 Off-Site WaterC'' Baseline'!$C$9:$R$257,7,FALSE))</f>
        <v/>
      </c>
      <c r="I100" s="382" t="str">
        <f>IF(H100="","",VLOOKUP($B100,'F-1 Off-Site WaterC'' Baseline'!$C$9:$R$257,8,FALSE))</f>
        <v/>
      </c>
      <c r="J100" s="382" t="str">
        <f>IF(I100="","",VLOOKUP($B100,'F-1 Off-Site WaterC'' Baseline'!$C$9:$R$257,9,FALSE))</f>
        <v/>
      </c>
      <c r="K100" s="382" t="str">
        <f>IF(J100="","",VLOOKUP($B100,'F-1 Off-Site WaterC'' Baseline'!$C$9:$R$257,10,FALSE))</f>
        <v/>
      </c>
      <c r="L100" s="382" t="str">
        <f>IF(B100="","",VLOOKUP($B100,'F-1 Off-Site WaterC'' Baseline'!$C$9:$R$257,15,FALSE))</f>
        <v/>
      </c>
      <c r="M100" s="386" t="str">
        <f>IF(L100="","",VLOOKUP($B100,'F-1 Off-Site WaterC'' Baseline'!$C$9:$R$257,16,FALSE))</f>
        <v/>
      </c>
      <c r="N100" s="316" t="str">
        <f t="shared" si="12"/>
        <v/>
      </c>
      <c r="O100" s="362" t="str">
        <f t="shared" si="13"/>
        <v/>
      </c>
      <c r="P100" s="363" t="str">
        <f>IF(C100="","",IF(AND(LEFT(C100,55)&lt;&gt;LEFT(N100,55),O100="High - High"),"Error - Not like for like ▲",IF(H100&gt;U100,"Error - Can not reduce condition ▲",IF(AND(F100=S100,H100=U100,AJ100='F-1 Off-Site WaterC'' Baseline'!N98,'F-1 Off-Site WaterC'' Baseline'!P98=AL100),"Error - No enhancement ▲",IF(AND(C100&lt;&gt;N100,F100&lt;S100),"Lower Distinctiveness Habitat"&amp;" - "&amp;T100,G100&amp;" - "&amp;T100)))))</f>
        <v/>
      </c>
      <c r="Q100" s="368" t="str">
        <f>IF(N100="","",VLOOKUP(B100,'F-1 Off-Site WaterC'' Baseline'!$C$10:$AE$257,22,FALSE))</f>
        <v/>
      </c>
      <c r="R100" s="362" t="str">
        <f>IF(N100="","",VLOOKUP(N100,'G-7 WaterC'' Data'!$B$2:$G$8,2,FALSE))</f>
        <v/>
      </c>
      <c r="S100" s="363" t="str">
        <f>IFERROR(VLOOKUP(R100,'G-7 WaterC'' Data'!$C$4:$D$8,2,FALSE),"")</f>
        <v/>
      </c>
      <c r="T100" s="114"/>
      <c r="U100" s="363" t="str">
        <f>IFERROR(INDEX('G-7 WaterC'' Data'!$H$4:$L$8,MATCH(N100,'G-7 WaterC'' Data'!$B$4:$B$8,0),MATCH(T100,'G-7 WaterC'' Data'!$H$3:$L$3,0)),"")</f>
        <v/>
      </c>
      <c r="V100" s="122"/>
      <c r="W100" s="382" t="str">
        <f>IF(V100="","",IF(VLOOKUP(V100,'G-7 WaterC'' Data'!$AK$4:$AM$6,2,FALSE)=0,"Spatial Data Missing ⚠",VLOOKUP(V100,'G-7 WaterC'' Data'!$AK$4:$AM$6,2,FALSE)))</f>
        <v/>
      </c>
      <c r="X100" s="386" t="str">
        <f>IF(V100="","",IF(VLOOKUP(V100,'G-7 WaterC'' Data'!$AK$4:$AM$6,3,FALSE)=0,"Spatial Data Missing ⚠",VLOOKUP(V100,'G-7 WaterC'' Data'!$AK$4:$AM$6,3,FALSE)))</f>
        <v/>
      </c>
      <c r="Y100" s="398" t="str">
        <f>IFERROR(IF(OR(LEFT(P100,5)="Error",LEFT(O100,5)="Error"),"Check Data ⚠",IF(F100&lt;S100,'G-7 WaterC'' Data'!$R$3,INDEX('G-7 WaterC'' Data'!$U$5:$Y$9,MATCH(G100,'G-7 WaterC'' Data'!$T$5:$T$9,0),MATCH(T100,'G-7 WaterC'' Data'!$U$4:$Y$4,0)))),"")</f>
        <v/>
      </c>
      <c r="Z100" s="165"/>
      <c r="AA100" s="165"/>
      <c r="AB100" s="395" t="str">
        <f t="shared" si="9"/>
        <v/>
      </c>
      <c r="AC100" s="383" t="str">
        <f t="shared" si="14"/>
        <v/>
      </c>
      <c r="AD100" s="422" t="str">
        <f>IFERROR(IF(AC100="Check Data ⚠","Check Data ⚠",VLOOKUP(AC100,'G-4 Temporal multipliers'!$A$4:$C$37,3,FALSE)),"")</f>
        <v/>
      </c>
      <c r="AE100" s="398" t="str">
        <f>IF(N100="","",VLOOKUP(N100,'G-7 WaterC'' Data'!$B$4:$G$8,5,FALSE))</f>
        <v/>
      </c>
      <c r="AF100" s="382" t="str">
        <f t="shared" si="10"/>
        <v/>
      </c>
      <c r="AG100" s="382" t="str">
        <f t="shared" si="15"/>
        <v/>
      </c>
      <c r="AH100" s="386" t="str">
        <f t="shared" si="11"/>
        <v/>
      </c>
      <c r="AI100" s="122"/>
      <c r="AJ100" s="363" t="str">
        <f>IF(AI100="","",IF(VLOOKUP(AI100,'G-7 WaterC'' Data'!$AA$4:$AB$7,2,FALSE)=0,"Spatial Data Missing ⚠",VLOOKUP(AI100,'G-7 WaterC'' Data'!$AA$4:$AB$7,2,FALSE)))</f>
        <v/>
      </c>
      <c r="AK100" s="123"/>
      <c r="AL100" s="397" t="str">
        <f>IF(AK100="","",IF(VLOOKUP(AK100,'G-7 WaterC'' Data'!$AD$4:$AE$14,2,FALSE)=0,"Spatial Data Missing ⚠",VLOOKUP(AK100,'G-7 WaterC'' Data'!$AD$4:$AE$14,2,FALSE)))</f>
        <v/>
      </c>
      <c r="AM100" s="122"/>
      <c r="AN100" s="363" t="str">
        <f>IF(AM100="","",IF(VLOOKUP(AM100,'G-7 WaterC'' Data'!$AO$4:$BO$7,2,FALSE)=0,"Spatial Data Missing ⚠",VLOOKUP(AM100,'G-7 WaterC'' Data'!$AO$4:$BO$7,2,FALSE)))</f>
        <v/>
      </c>
      <c r="AO100" s="405" t="str">
        <f t="shared" si="16"/>
        <v/>
      </c>
      <c r="AP100" s="405" t="str">
        <f t="shared" si="17"/>
        <v/>
      </c>
      <c r="AQ100" s="117"/>
      <c r="AR100" s="118"/>
      <c r="AS100" s="120"/>
      <c r="AT100" s="120"/>
      <c r="AY100" s="30" t="str">
        <f>IFERROR(INDEX('G-7 WaterC'' Data'!$AZ$3:$AZ$7,MATCH(N100,'G-7 WaterC'' Data'!$AY$3:$AY$7,0)),"")</f>
        <v/>
      </c>
    </row>
    <row r="101" spans="2:51" ht="15">
      <c r="B101" s="392" t="str">
        <f>'F-1 Off-Site WaterC'' Baseline'!AR99</f>
        <v/>
      </c>
      <c r="C101" s="382" t="str">
        <f>IF(B101="","",VLOOKUP($B101,'F-1 Off-Site WaterC'' Baseline'!$C$9:$R$257,2,FALSE))</f>
        <v/>
      </c>
      <c r="D101" s="382" t="str">
        <f>IF(C101="","",VLOOKUP($B101,'F-1 Off-Site WaterC'' Baseline'!$C$9:$R$257,3,FALSE))</f>
        <v/>
      </c>
      <c r="E101" s="382" t="str">
        <f>IF(D101="","",VLOOKUP($B101,'F-1 Off-Site WaterC'' Baseline'!$C$9:$R$257,4,FALSE))</f>
        <v/>
      </c>
      <c r="F101" s="382" t="str">
        <f>IF(E101="","",VLOOKUP($B101,'F-1 Off-Site WaterC'' Baseline'!$C$9:$R$257,5,FALSE))</f>
        <v/>
      </c>
      <c r="G101" s="382" t="str">
        <f>IF(F101="","",VLOOKUP($B101,'F-1 Off-Site WaterC'' Baseline'!$C$9:$R$257,6,FALSE))</f>
        <v/>
      </c>
      <c r="H101" s="382" t="str">
        <f>IF(G101="","",VLOOKUP($B101,'F-1 Off-Site WaterC'' Baseline'!$C$9:$R$257,7,FALSE))</f>
        <v/>
      </c>
      <c r="I101" s="382" t="str">
        <f>IF(H101="","",VLOOKUP($B101,'F-1 Off-Site WaterC'' Baseline'!$C$9:$R$257,8,FALSE))</f>
        <v/>
      </c>
      <c r="J101" s="382" t="str">
        <f>IF(I101="","",VLOOKUP($B101,'F-1 Off-Site WaterC'' Baseline'!$C$9:$R$257,9,FALSE))</f>
        <v/>
      </c>
      <c r="K101" s="382" t="str">
        <f>IF(J101="","",VLOOKUP($B101,'F-1 Off-Site WaterC'' Baseline'!$C$9:$R$257,10,FALSE))</f>
        <v/>
      </c>
      <c r="L101" s="382" t="str">
        <f>IF(B101="","",VLOOKUP($B101,'F-1 Off-Site WaterC'' Baseline'!$C$9:$R$257,15,FALSE))</f>
        <v/>
      </c>
      <c r="M101" s="386" t="str">
        <f>IF(L101="","",VLOOKUP($B101,'F-1 Off-Site WaterC'' Baseline'!$C$9:$R$257,16,FALSE))</f>
        <v/>
      </c>
      <c r="N101" s="316" t="str">
        <f t="shared" si="12"/>
        <v/>
      </c>
      <c r="O101" s="362" t="str">
        <f t="shared" si="13"/>
        <v/>
      </c>
      <c r="P101" s="363" t="str">
        <f>IF(C101="","",IF(AND(LEFT(C101,55)&lt;&gt;LEFT(N101,55),O101="High - High"),"Error - Not like for like ▲",IF(H101&gt;U101,"Error - Can not reduce condition ▲",IF(AND(F101=S101,H101=U101,AJ101='F-1 Off-Site WaterC'' Baseline'!N99,'F-1 Off-Site WaterC'' Baseline'!P99=AL101),"Error - No enhancement ▲",IF(AND(C101&lt;&gt;N101,F101&lt;S101),"Lower Distinctiveness Habitat"&amp;" - "&amp;T101,G101&amp;" - "&amp;T101)))))</f>
        <v/>
      </c>
      <c r="Q101" s="368" t="str">
        <f>IF(N101="","",VLOOKUP(B101,'F-1 Off-Site WaterC'' Baseline'!$C$10:$AE$257,22,FALSE))</f>
        <v/>
      </c>
      <c r="R101" s="362" t="str">
        <f>IF(N101="","",VLOOKUP(N101,'G-7 WaterC'' Data'!$B$2:$G$8,2,FALSE))</f>
        <v/>
      </c>
      <c r="S101" s="363" t="str">
        <f>IFERROR(VLOOKUP(R101,'G-7 WaterC'' Data'!$C$4:$D$8,2,FALSE),"")</f>
        <v/>
      </c>
      <c r="T101" s="114"/>
      <c r="U101" s="363" t="str">
        <f>IFERROR(INDEX('G-7 WaterC'' Data'!$H$4:$L$8,MATCH(N101,'G-7 WaterC'' Data'!$B$4:$B$8,0),MATCH(T101,'G-7 WaterC'' Data'!$H$3:$L$3,0)),"")</f>
        <v/>
      </c>
      <c r="V101" s="122"/>
      <c r="W101" s="382" t="str">
        <f>IF(V101="","",IF(VLOOKUP(V101,'G-7 WaterC'' Data'!$AK$4:$AM$6,2,FALSE)=0,"Spatial Data Missing ⚠",VLOOKUP(V101,'G-7 WaterC'' Data'!$AK$4:$AM$6,2,FALSE)))</f>
        <v/>
      </c>
      <c r="X101" s="386" t="str">
        <f>IF(V101="","",IF(VLOOKUP(V101,'G-7 WaterC'' Data'!$AK$4:$AM$6,3,FALSE)=0,"Spatial Data Missing ⚠",VLOOKUP(V101,'G-7 WaterC'' Data'!$AK$4:$AM$6,3,FALSE)))</f>
        <v/>
      </c>
      <c r="Y101" s="398" t="str">
        <f>IFERROR(IF(OR(LEFT(P101,5)="Error",LEFT(O101,5)="Error"),"Check Data ⚠",IF(F101&lt;S101,'G-7 WaterC'' Data'!$R$3,INDEX('G-7 WaterC'' Data'!$U$5:$Y$9,MATCH(G101,'G-7 WaterC'' Data'!$T$5:$T$9,0),MATCH(T101,'G-7 WaterC'' Data'!$U$4:$Y$4,0)))),"")</f>
        <v/>
      </c>
      <c r="Z101" s="165"/>
      <c r="AA101" s="165"/>
      <c r="AB101" s="395" t="str">
        <f t="shared" si="9"/>
        <v/>
      </c>
      <c r="AC101" s="383" t="str">
        <f t="shared" si="14"/>
        <v/>
      </c>
      <c r="AD101" s="422" t="str">
        <f>IFERROR(IF(AC101="Check Data ⚠","Check Data ⚠",VLOOKUP(AC101,'G-4 Temporal multipliers'!$A$4:$C$37,3,FALSE)),"")</f>
        <v/>
      </c>
      <c r="AE101" s="398" t="str">
        <f>IF(N101="","",VLOOKUP(N101,'G-7 WaterC'' Data'!$B$4:$G$8,5,FALSE))</f>
        <v/>
      </c>
      <c r="AF101" s="382" t="str">
        <f t="shared" si="10"/>
        <v/>
      </c>
      <c r="AG101" s="382" t="str">
        <f t="shared" si="15"/>
        <v/>
      </c>
      <c r="AH101" s="386" t="str">
        <f t="shared" si="11"/>
        <v/>
      </c>
      <c r="AI101" s="122"/>
      <c r="AJ101" s="363" t="str">
        <f>IF(AI101="","",IF(VLOOKUP(AI101,'G-7 WaterC'' Data'!$AA$4:$AB$7,2,FALSE)=0,"Spatial Data Missing ⚠",VLOOKUP(AI101,'G-7 WaterC'' Data'!$AA$4:$AB$7,2,FALSE)))</f>
        <v/>
      </c>
      <c r="AK101" s="123"/>
      <c r="AL101" s="397" t="str">
        <f>IF(AK101="","",IF(VLOOKUP(AK101,'G-7 WaterC'' Data'!$AD$4:$AE$14,2,FALSE)=0,"Spatial Data Missing ⚠",VLOOKUP(AK101,'G-7 WaterC'' Data'!$AD$4:$AE$14,2,FALSE)))</f>
        <v/>
      </c>
      <c r="AM101" s="122"/>
      <c r="AN101" s="363" t="str">
        <f>IF(AM101="","",IF(VLOOKUP(AM101,'G-7 WaterC'' Data'!$AO$4:$BO$7,2,FALSE)=0,"Spatial Data Missing ⚠",VLOOKUP(AM101,'G-7 WaterC'' Data'!$AO$4:$BO$7,2,FALSE)))</f>
        <v/>
      </c>
      <c r="AO101" s="405" t="str">
        <f t="shared" si="16"/>
        <v/>
      </c>
      <c r="AP101" s="405" t="str">
        <f t="shared" si="17"/>
        <v/>
      </c>
      <c r="AQ101" s="117"/>
      <c r="AR101" s="118"/>
      <c r="AS101" s="120"/>
      <c r="AT101" s="120"/>
      <c r="AY101" s="30" t="str">
        <f>IFERROR(INDEX('G-7 WaterC'' Data'!$AZ$3:$AZ$7,MATCH(N101,'G-7 WaterC'' Data'!$AY$3:$AY$7,0)),"")</f>
        <v/>
      </c>
    </row>
    <row r="102" spans="2:51" ht="15">
      <c r="B102" s="392" t="str">
        <f>'F-1 Off-Site WaterC'' Baseline'!AR100</f>
        <v/>
      </c>
      <c r="C102" s="382" t="str">
        <f>IF(B102="","",VLOOKUP($B102,'F-1 Off-Site WaterC'' Baseline'!$C$9:$R$257,2,FALSE))</f>
        <v/>
      </c>
      <c r="D102" s="382" t="str">
        <f>IF(C102="","",VLOOKUP($B102,'F-1 Off-Site WaterC'' Baseline'!$C$9:$R$257,3,FALSE))</f>
        <v/>
      </c>
      <c r="E102" s="382" t="str">
        <f>IF(D102="","",VLOOKUP($B102,'F-1 Off-Site WaterC'' Baseline'!$C$9:$R$257,4,FALSE))</f>
        <v/>
      </c>
      <c r="F102" s="382" t="str">
        <f>IF(E102="","",VLOOKUP($B102,'F-1 Off-Site WaterC'' Baseline'!$C$9:$R$257,5,FALSE))</f>
        <v/>
      </c>
      <c r="G102" s="382" t="str">
        <f>IF(F102="","",VLOOKUP($B102,'F-1 Off-Site WaterC'' Baseline'!$C$9:$R$257,6,FALSE))</f>
        <v/>
      </c>
      <c r="H102" s="382" t="str">
        <f>IF(G102="","",VLOOKUP($B102,'F-1 Off-Site WaterC'' Baseline'!$C$9:$R$257,7,FALSE))</f>
        <v/>
      </c>
      <c r="I102" s="382" t="str">
        <f>IF(H102="","",VLOOKUP($B102,'F-1 Off-Site WaterC'' Baseline'!$C$9:$R$257,8,FALSE))</f>
        <v/>
      </c>
      <c r="J102" s="382" t="str">
        <f>IF(I102="","",VLOOKUP($B102,'F-1 Off-Site WaterC'' Baseline'!$C$9:$R$257,9,FALSE))</f>
        <v/>
      </c>
      <c r="K102" s="382" t="str">
        <f>IF(J102="","",VLOOKUP($B102,'F-1 Off-Site WaterC'' Baseline'!$C$9:$R$257,10,FALSE))</f>
        <v/>
      </c>
      <c r="L102" s="382" t="str">
        <f>IF(B102="","",VLOOKUP($B102,'F-1 Off-Site WaterC'' Baseline'!$C$9:$R$257,15,FALSE))</f>
        <v/>
      </c>
      <c r="M102" s="386" t="str">
        <f>IF(L102="","",VLOOKUP($B102,'F-1 Off-Site WaterC'' Baseline'!$C$9:$R$257,16,FALSE))</f>
        <v/>
      </c>
      <c r="N102" s="316" t="str">
        <f t="shared" si="12"/>
        <v/>
      </c>
      <c r="O102" s="362" t="str">
        <f t="shared" si="13"/>
        <v/>
      </c>
      <c r="P102" s="363" t="str">
        <f>IF(C102="","",IF(AND(LEFT(C102,55)&lt;&gt;LEFT(N102,55),O102="High - High"),"Error - Not like for like ▲",IF(H102&gt;U102,"Error - Can not reduce condition ▲",IF(AND(F102=S102,H102=U102,AJ102='F-1 Off-Site WaterC'' Baseline'!N100,'F-1 Off-Site WaterC'' Baseline'!P100=AL102),"Error - No enhancement ▲",IF(AND(C102&lt;&gt;N102,F102&lt;S102),"Lower Distinctiveness Habitat"&amp;" - "&amp;T102,G102&amp;" - "&amp;T102)))))</f>
        <v/>
      </c>
      <c r="Q102" s="368" t="str">
        <f>IF(N102="","",VLOOKUP(B102,'F-1 Off-Site WaterC'' Baseline'!$C$10:$AE$257,22,FALSE))</f>
        <v/>
      </c>
      <c r="R102" s="362" t="str">
        <f>IF(N102="","",VLOOKUP(N102,'G-7 WaterC'' Data'!$B$2:$G$8,2,FALSE))</f>
        <v/>
      </c>
      <c r="S102" s="363" t="str">
        <f>IFERROR(VLOOKUP(R102,'G-7 WaterC'' Data'!$C$4:$D$8,2,FALSE),"")</f>
        <v/>
      </c>
      <c r="T102" s="114"/>
      <c r="U102" s="363" t="str">
        <f>IFERROR(INDEX('G-7 WaterC'' Data'!$H$4:$L$8,MATCH(N102,'G-7 WaterC'' Data'!$B$4:$B$8,0),MATCH(T102,'G-7 WaterC'' Data'!$H$3:$L$3,0)),"")</f>
        <v/>
      </c>
      <c r="V102" s="122"/>
      <c r="W102" s="382" t="str">
        <f>IF(V102="","",IF(VLOOKUP(V102,'G-7 WaterC'' Data'!$AK$4:$AM$6,2,FALSE)=0,"Spatial Data Missing ⚠",VLOOKUP(V102,'G-7 WaterC'' Data'!$AK$4:$AM$6,2,FALSE)))</f>
        <v/>
      </c>
      <c r="X102" s="386" t="str">
        <f>IF(V102="","",IF(VLOOKUP(V102,'G-7 WaterC'' Data'!$AK$4:$AM$6,3,FALSE)=0,"Spatial Data Missing ⚠",VLOOKUP(V102,'G-7 WaterC'' Data'!$AK$4:$AM$6,3,FALSE)))</f>
        <v/>
      </c>
      <c r="Y102" s="398" t="str">
        <f>IFERROR(IF(OR(LEFT(P102,5)="Error",LEFT(O102,5)="Error"),"Check Data ⚠",IF(F102&lt;S102,'G-7 WaterC'' Data'!$R$3,INDEX('G-7 WaterC'' Data'!$U$5:$Y$9,MATCH(G102,'G-7 WaterC'' Data'!$T$5:$T$9,0),MATCH(T102,'G-7 WaterC'' Data'!$U$4:$Y$4,0)))),"")</f>
        <v/>
      </c>
      <c r="Z102" s="165"/>
      <c r="AA102" s="165"/>
      <c r="AB102" s="395" t="str">
        <f t="shared" si="9"/>
        <v/>
      </c>
      <c r="AC102" s="383" t="str">
        <f t="shared" si="14"/>
        <v/>
      </c>
      <c r="AD102" s="422" t="str">
        <f>IFERROR(IF(AC102="Check Data ⚠","Check Data ⚠",VLOOKUP(AC102,'G-4 Temporal multipliers'!$A$4:$C$37,3,FALSE)),"")</f>
        <v/>
      </c>
      <c r="AE102" s="398" t="str">
        <f>IF(N102="","",VLOOKUP(N102,'G-7 WaterC'' Data'!$B$4:$G$8,5,FALSE))</f>
        <v/>
      </c>
      <c r="AF102" s="382" t="str">
        <f t="shared" si="10"/>
        <v/>
      </c>
      <c r="AG102" s="382" t="str">
        <f t="shared" si="15"/>
        <v/>
      </c>
      <c r="AH102" s="386" t="str">
        <f t="shared" si="11"/>
        <v/>
      </c>
      <c r="AI102" s="122"/>
      <c r="AJ102" s="363" t="str">
        <f>IF(AI102="","",IF(VLOOKUP(AI102,'G-7 WaterC'' Data'!$AA$4:$AB$7,2,FALSE)=0,"Spatial Data Missing ⚠",VLOOKUP(AI102,'G-7 WaterC'' Data'!$AA$4:$AB$7,2,FALSE)))</f>
        <v/>
      </c>
      <c r="AK102" s="123"/>
      <c r="AL102" s="397" t="str">
        <f>IF(AK102="","",IF(VLOOKUP(AK102,'G-7 WaterC'' Data'!$AD$4:$AE$14,2,FALSE)=0,"Spatial Data Missing ⚠",VLOOKUP(AK102,'G-7 WaterC'' Data'!$AD$4:$AE$14,2,FALSE)))</f>
        <v/>
      </c>
      <c r="AM102" s="122"/>
      <c r="AN102" s="363" t="str">
        <f>IF(AM102="","",IF(VLOOKUP(AM102,'G-7 WaterC'' Data'!$AO$4:$BO$7,2,FALSE)=0,"Spatial Data Missing ⚠",VLOOKUP(AM102,'G-7 WaterC'' Data'!$AO$4:$BO$7,2,FALSE)))</f>
        <v/>
      </c>
      <c r="AO102" s="405" t="str">
        <f t="shared" si="16"/>
        <v/>
      </c>
      <c r="AP102" s="405" t="str">
        <f t="shared" si="17"/>
        <v/>
      </c>
      <c r="AQ102" s="117"/>
      <c r="AR102" s="118"/>
      <c r="AS102" s="120"/>
      <c r="AT102" s="120"/>
      <c r="AY102" s="30" t="str">
        <f>IFERROR(INDEX('G-7 WaterC'' Data'!$AZ$3:$AZ$7,MATCH(N102,'G-7 WaterC'' Data'!$AY$3:$AY$7,0)),"")</f>
        <v/>
      </c>
    </row>
    <row r="103" spans="2:51" ht="15">
      <c r="B103" s="392" t="str">
        <f>'F-1 Off-Site WaterC'' Baseline'!AR101</f>
        <v/>
      </c>
      <c r="C103" s="382" t="str">
        <f>IF(B103="","",VLOOKUP($B103,'F-1 Off-Site WaterC'' Baseline'!$C$9:$R$257,2,FALSE))</f>
        <v/>
      </c>
      <c r="D103" s="382" t="str">
        <f>IF(C103="","",VLOOKUP($B103,'F-1 Off-Site WaterC'' Baseline'!$C$9:$R$257,3,FALSE))</f>
        <v/>
      </c>
      <c r="E103" s="382" t="str">
        <f>IF(D103="","",VLOOKUP($B103,'F-1 Off-Site WaterC'' Baseline'!$C$9:$R$257,4,FALSE))</f>
        <v/>
      </c>
      <c r="F103" s="382" t="str">
        <f>IF(E103="","",VLOOKUP($B103,'F-1 Off-Site WaterC'' Baseline'!$C$9:$R$257,5,FALSE))</f>
        <v/>
      </c>
      <c r="G103" s="382" t="str">
        <f>IF(F103="","",VLOOKUP($B103,'F-1 Off-Site WaterC'' Baseline'!$C$9:$R$257,6,FALSE))</f>
        <v/>
      </c>
      <c r="H103" s="382" t="str">
        <f>IF(G103="","",VLOOKUP($B103,'F-1 Off-Site WaterC'' Baseline'!$C$9:$R$257,7,FALSE))</f>
        <v/>
      </c>
      <c r="I103" s="382" t="str">
        <f>IF(H103="","",VLOOKUP($B103,'F-1 Off-Site WaterC'' Baseline'!$C$9:$R$257,8,FALSE))</f>
        <v/>
      </c>
      <c r="J103" s="382" t="str">
        <f>IF(I103="","",VLOOKUP($B103,'F-1 Off-Site WaterC'' Baseline'!$C$9:$R$257,9,FALSE))</f>
        <v/>
      </c>
      <c r="K103" s="382" t="str">
        <f>IF(J103="","",VLOOKUP($B103,'F-1 Off-Site WaterC'' Baseline'!$C$9:$R$257,10,FALSE))</f>
        <v/>
      </c>
      <c r="L103" s="382" t="str">
        <f>IF(B103="","",VLOOKUP($B103,'F-1 Off-Site WaterC'' Baseline'!$C$9:$R$257,15,FALSE))</f>
        <v/>
      </c>
      <c r="M103" s="386" t="str">
        <f>IF(L103="","",VLOOKUP($B103,'F-1 Off-Site WaterC'' Baseline'!$C$9:$R$257,16,FALSE))</f>
        <v/>
      </c>
      <c r="N103" s="316" t="str">
        <f t="shared" si="12"/>
        <v/>
      </c>
      <c r="O103" s="362" t="str">
        <f t="shared" si="13"/>
        <v/>
      </c>
      <c r="P103" s="363" t="str">
        <f>IF(C103="","",IF(AND(LEFT(C103,55)&lt;&gt;LEFT(N103,55),O103="High - High"),"Error - Not like for like ▲",IF(H103&gt;U103,"Error - Can not reduce condition ▲",IF(AND(F103=S103,H103=U103,AJ103='F-1 Off-Site WaterC'' Baseline'!N101,'F-1 Off-Site WaterC'' Baseline'!P101=AL103),"Error - No enhancement ▲",IF(AND(C103&lt;&gt;N103,F103&lt;S103),"Lower Distinctiveness Habitat"&amp;" - "&amp;T103,G103&amp;" - "&amp;T103)))))</f>
        <v/>
      </c>
      <c r="Q103" s="368" t="str">
        <f>IF(N103="","",VLOOKUP(B103,'F-1 Off-Site WaterC'' Baseline'!$C$10:$AE$257,22,FALSE))</f>
        <v/>
      </c>
      <c r="R103" s="362" t="str">
        <f>IF(N103="","",VLOOKUP(N103,'G-7 WaterC'' Data'!$B$2:$G$8,2,FALSE))</f>
        <v/>
      </c>
      <c r="S103" s="363" t="str">
        <f>IFERROR(VLOOKUP(R103,'G-7 WaterC'' Data'!$C$4:$D$8,2,FALSE),"")</f>
        <v/>
      </c>
      <c r="T103" s="114"/>
      <c r="U103" s="363" t="str">
        <f>IFERROR(INDEX('G-7 WaterC'' Data'!$H$4:$L$8,MATCH(N103,'G-7 WaterC'' Data'!$B$4:$B$8,0),MATCH(T103,'G-7 WaterC'' Data'!$H$3:$L$3,0)),"")</f>
        <v/>
      </c>
      <c r="V103" s="122"/>
      <c r="W103" s="382" t="str">
        <f>IF(V103="","",IF(VLOOKUP(V103,'G-7 WaterC'' Data'!$AK$4:$AM$6,2,FALSE)=0,"Spatial Data Missing ⚠",VLOOKUP(V103,'G-7 WaterC'' Data'!$AK$4:$AM$6,2,FALSE)))</f>
        <v/>
      </c>
      <c r="X103" s="386" t="str">
        <f>IF(V103="","",IF(VLOOKUP(V103,'G-7 WaterC'' Data'!$AK$4:$AM$6,3,FALSE)=0,"Spatial Data Missing ⚠",VLOOKUP(V103,'G-7 WaterC'' Data'!$AK$4:$AM$6,3,FALSE)))</f>
        <v/>
      </c>
      <c r="Y103" s="398" t="str">
        <f>IFERROR(IF(OR(LEFT(P103,5)="Error",LEFT(O103,5)="Error"),"Check Data ⚠",IF(F103&lt;S103,'G-7 WaterC'' Data'!$R$3,INDEX('G-7 WaterC'' Data'!$U$5:$Y$9,MATCH(G103,'G-7 WaterC'' Data'!$T$5:$T$9,0),MATCH(T103,'G-7 WaterC'' Data'!$U$4:$Y$4,0)))),"")</f>
        <v/>
      </c>
      <c r="Z103" s="165"/>
      <c r="AA103" s="165"/>
      <c r="AB103" s="395" t="str">
        <f t="shared" si="9"/>
        <v/>
      </c>
      <c r="AC103" s="383" t="str">
        <f t="shared" si="14"/>
        <v/>
      </c>
      <c r="AD103" s="422" t="str">
        <f>IFERROR(IF(AC103="Check Data ⚠","Check Data ⚠",VLOOKUP(AC103,'G-4 Temporal multipliers'!$A$4:$C$37,3,FALSE)),"")</f>
        <v/>
      </c>
      <c r="AE103" s="398" t="str">
        <f>IF(N103="","",VLOOKUP(N103,'G-7 WaterC'' Data'!$B$4:$G$8,5,FALSE))</f>
        <v/>
      </c>
      <c r="AF103" s="382" t="str">
        <f t="shared" si="10"/>
        <v/>
      </c>
      <c r="AG103" s="382" t="str">
        <f t="shared" si="15"/>
        <v/>
      </c>
      <c r="AH103" s="386" t="str">
        <f t="shared" si="11"/>
        <v/>
      </c>
      <c r="AI103" s="122"/>
      <c r="AJ103" s="363" t="str">
        <f>IF(AI103="","",IF(VLOOKUP(AI103,'G-7 WaterC'' Data'!$AA$4:$AB$7,2,FALSE)=0,"Spatial Data Missing ⚠",VLOOKUP(AI103,'G-7 WaterC'' Data'!$AA$4:$AB$7,2,FALSE)))</f>
        <v/>
      </c>
      <c r="AK103" s="123"/>
      <c r="AL103" s="397" t="str">
        <f>IF(AK103="","",IF(VLOOKUP(AK103,'G-7 WaterC'' Data'!$AD$4:$AE$14,2,FALSE)=0,"Spatial Data Missing ⚠",VLOOKUP(AK103,'G-7 WaterC'' Data'!$AD$4:$AE$14,2,FALSE)))</f>
        <v/>
      </c>
      <c r="AM103" s="122"/>
      <c r="AN103" s="363" t="str">
        <f>IF(AM103="","",IF(VLOOKUP(AM103,'G-7 WaterC'' Data'!$AO$4:$BO$7,2,FALSE)=0,"Spatial Data Missing ⚠",VLOOKUP(AM103,'G-7 WaterC'' Data'!$AO$4:$BO$7,2,FALSE)))</f>
        <v/>
      </c>
      <c r="AO103" s="405" t="str">
        <f t="shared" si="16"/>
        <v/>
      </c>
      <c r="AP103" s="405" t="str">
        <f t="shared" si="17"/>
        <v/>
      </c>
      <c r="AQ103" s="117"/>
      <c r="AR103" s="118"/>
      <c r="AS103" s="120"/>
      <c r="AT103" s="120"/>
      <c r="AY103" s="30" t="str">
        <f>IFERROR(INDEX('G-7 WaterC'' Data'!$AZ$3:$AZ$7,MATCH(N103,'G-7 WaterC'' Data'!$AY$3:$AY$7,0)),"")</f>
        <v/>
      </c>
    </row>
    <row r="104" spans="2:51" ht="15">
      <c r="B104" s="392" t="str">
        <f>'F-1 Off-Site WaterC'' Baseline'!AR102</f>
        <v/>
      </c>
      <c r="C104" s="382" t="str">
        <f>IF(B104="","",VLOOKUP($B104,'F-1 Off-Site WaterC'' Baseline'!$C$9:$R$257,2,FALSE))</f>
        <v/>
      </c>
      <c r="D104" s="382" t="str">
        <f>IF(C104="","",VLOOKUP($B104,'F-1 Off-Site WaterC'' Baseline'!$C$9:$R$257,3,FALSE))</f>
        <v/>
      </c>
      <c r="E104" s="382" t="str">
        <f>IF(D104="","",VLOOKUP($B104,'F-1 Off-Site WaterC'' Baseline'!$C$9:$R$257,4,FALSE))</f>
        <v/>
      </c>
      <c r="F104" s="382" t="str">
        <f>IF(E104="","",VLOOKUP($B104,'F-1 Off-Site WaterC'' Baseline'!$C$9:$R$257,5,FALSE))</f>
        <v/>
      </c>
      <c r="G104" s="382" t="str">
        <f>IF(F104="","",VLOOKUP($B104,'F-1 Off-Site WaterC'' Baseline'!$C$9:$R$257,6,FALSE))</f>
        <v/>
      </c>
      <c r="H104" s="382" t="str">
        <f>IF(G104="","",VLOOKUP($B104,'F-1 Off-Site WaterC'' Baseline'!$C$9:$R$257,7,FALSE))</f>
        <v/>
      </c>
      <c r="I104" s="382" t="str">
        <f>IF(H104="","",VLOOKUP($B104,'F-1 Off-Site WaterC'' Baseline'!$C$9:$R$257,8,FALSE))</f>
        <v/>
      </c>
      <c r="J104" s="382" t="str">
        <f>IF(I104="","",VLOOKUP($B104,'F-1 Off-Site WaterC'' Baseline'!$C$9:$R$257,9,FALSE))</f>
        <v/>
      </c>
      <c r="K104" s="382" t="str">
        <f>IF(J104="","",VLOOKUP($B104,'F-1 Off-Site WaterC'' Baseline'!$C$9:$R$257,10,FALSE))</f>
        <v/>
      </c>
      <c r="L104" s="382" t="str">
        <f>IF(B104="","",VLOOKUP($B104,'F-1 Off-Site WaterC'' Baseline'!$C$9:$R$257,15,FALSE))</f>
        <v/>
      </c>
      <c r="M104" s="386" t="str">
        <f>IF(L104="","",VLOOKUP($B104,'F-1 Off-Site WaterC'' Baseline'!$C$9:$R$257,16,FALSE))</f>
        <v/>
      </c>
      <c r="N104" s="316" t="str">
        <f t="shared" si="12"/>
        <v/>
      </c>
      <c r="O104" s="362" t="str">
        <f t="shared" si="13"/>
        <v/>
      </c>
      <c r="P104" s="363" t="str">
        <f>IF(C104="","",IF(AND(LEFT(C104,55)&lt;&gt;LEFT(N104,55),O104="High - High"),"Error - Not like for like ▲",IF(H104&gt;U104,"Error - Can not reduce condition ▲",IF(AND(F104=S104,H104=U104,AJ104='F-1 Off-Site WaterC'' Baseline'!N102,'F-1 Off-Site WaterC'' Baseline'!P102=AL104),"Error - No enhancement ▲",IF(AND(C104&lt;&gt;N104,F104&lt;S104),"Lower Distinctiveness Habitat"&amp;" - "&amp;T104,G104&amp;" - "&amp;T104)))))</f>
        <v/>
      </c>
      <c r="Q104" s="368" t="str">
        <f>IF(N104="","",VLOOKUP(B104,'F-1 Off-Site WaterC'' Baseline'!$C$10:$AE$257,22,FALSE))</f>
        <v/>
      </c>
      <c r="R104" s="362" t="str">
        <f>IF(N104="","",VLOOKUP(N104,'G-7 WaterC'' Data'!$B$2:$G$8,2,FALSE))</f>
        <v/>
      </c>
      <c r="S104" s="363" t="str">
        <f>IFERROR(VLOOKUP(R104,'G-7 WaterC'' Data'!$C$4:$D$8,2,FALSE),"")</f>
        <v/>
      </c>
      <c r="T104" s="114"/>
      <c r="U104" s="363" t="str">
        <f>IFERROR(INDEX('G-7 WaterC'' Data'!$H$4:$L$8,MATCH(N104,'G-7 WaterC'' Data'!$B$4:$B$8,0),MATCH(T104,'G-7 WaterC'' Data'!$H$3:$L$3,0)),"")</f>
        <v/>
      </c>
      <c r="V104" s="122"/>
      <c r="W104" s="382" t="str">
        <f>IF(V104="","",IF(VLOOKUP(V104,'G-7 WaterC'' Data'!$AK$4:$AM$6,2,FALSE)=0,"Spatial Data Missing ⚠",VLOOKUP(V104,'G-7 WaterC'' Data'!$AK$4:$AM$6,2,FALSE)))</f>
        <v/>
      </c>
      <c r="X104" s="386" t="str">
        <f>IF(V104="","",IF(VLOOKUP(V104,'G-7 WaterC'' Data'!$AK$4:$AM$6,3,FALSE)=0,"Spatial Data Missing ⚠",VLOOKUP(V104,'G-7 WaterC'' Data'!$AK$4:$AM$6,3,FALSE)))</f>
        <v/>
      </c>
      <c r="Y104" s="398" t="str">
        <f>IFERROR(IF(OR(LEFT(P104,5)="Error",LEFT(O104,5)="Error"),"Check Data ⚠",IF(F104&lt;S104,'G-7 WaterC'' Data'!$R$3,INDEX('G-7 WaterC'' Data'!$U$5:$Y$9,MATCH(G104,'G-7 WaterC'' Data'!$T$5:$T$9,0),MATCH(T104,'G-7 WaterC'' Data'!$U$4:$Y$4,0)))),"")</f>
        <v/>
      </c>
      <c r="Z104" s="165"/>
      <c r="AA104" s="165"/>
      <c r="AB104" s="395" t="str">
        <f t="shared" si="9"/>
        <v/>
      </c>
      <c r="AC104" s="383" t="str">
        <f t="shared" si="14"/>
        <v/>
      </c>
      <c r="AD104" s="422" t="str">
        <f>IFERROR(IF(AC104="Check Data ⚠","Check Data ⚠",VLOOKUP(AC104,'G-4 Temporal multipliers'!$A$4:$C$37,3,FALSE)),"")</f>
        <v/>
      </c>
      <c r="AE104" s="398" t="str">
        <f>IF(N104="","",VLOOKUP(N104,'G-7 WaterC'' Data'!$B$4:$G$8,5,FALSE))</f>
        <v/>
      </c>
      <c r="AF104" s="382" t="str">
        <f t="shared" si="10"/>
        <v/>
      </c>
      <c r="AG104" s="382" t="str">
        <f t="shared" si="15"/>
        <v/>
      </c>
      <c r="AH104" s="386" t="str">
        <f t="shared" si="11"/>
        <v/>
      </c>
      <c r="AI104" s="122"/>
      <c r="AJ104" s="363" t="str">
        <f>IF(AI104="","",IF(VLOOKUP(AI104,'G-7 WaterC'' Data'!$AA$4:$AB$7,2,FALSE)=0,"Spatial Data Missing ⚠",VLOOKUP(AI104,'G-7 WaterC'' Data'!$AA$4:$AB$7,2,FALSE)))</f>
        <v/>
      </c>
      <c r="AK104" s="123"/>
      <c r="AL104" s="397" t="str">
        <f>IF(AK104="","",IF(VLOOKUP(AK104,'G-7 WaterC'' Data'!$AD$4:$AE$14,2,FALSE)=0,"Spatial Data Missing ⚠",VLOOKUP(AK104,'G-7 WaterC'' Data'!$AD$4:$AE$14,2,FALSE)))</f>
        <v/>
      </c>
      <c r="AM104" s="122"/>
      <c r="AN104" s="363" t="str">
        <f>IF(AM104="","",IF(VLOOKUP(AM104,'G-7 WaterC'' Data'!$AO$4:$BO$7,2,FALSE)=0,"Spatial Data Missing ⚠",VLOOKUP(AM104,'G-7 WaterC'' Data'!$AO$4:$BO$7,2,FALSE)))</f>
        <v/>
      </c>
      <c r="AO104" s="405" t="str">
        <f t="shared" si="16"/>
        <v/>
      </c>
      <c r="AP104" s="405" t="str">
        <f t="shared" si="17"/>
        <v/>
      </c>
      <c r="AQ104" s="117"/>
      <c r="AR104" s="118"/>
      <c r="AS104" s="120"/>
      <c r="AT104" s="120"/>
      <c r="AY104" s="30" t="str">
        <f>IFERROR(INDEX('G-7 WaterC'' Data'!$AZ$3:$AZ$7,MATCH(N104,'G-7 WaterC'' Data'!$AY$3:$AY$7,0)),"")</f>
        <v/>
      </c>
    </row>
    <row r="105" spans="2:51" ht="15">
      <c r="B105" s="392" t="str">
        <f>'F-1 Off-Site WaterC'' Baseline'!AR103</f>
        <v/>
      </c>
      <c r="C105" s="382" t="str">
        <f>IF(B105="","",VLOOKUP($B105,'F-1 Off-Site WaterC'' Baseline'!$C$9:$R$257,2,FALSE))</f>
        <v/>
      </c>
      <c r="D105" s="382" t="str">
        <f>IF(C105="","",VLOOKUP($B105,'F-1 Off-Site WaterC'' Baseline'!$C$9:$R$257,3,FALSE))</f>
        <v/>
      </c>
      <c r="E105" s="382" t="str">
        <f>IF(D105="","",VLOOKUP($B105,'F-1 Off-Site WaterC'' Baseline'!$C$9:$R$257,4,FALSE))</f>
        <v/>
      </c>
      <c r="F105" s="382" t="str">
        <f>IF(E105="","",VLOOKUP($B105,'F-1 Off-Site WaterC'' Baseline'!$C$9:$R$257,5,FALSE))</f>
        <v/>
      </c>
      <c r="G105" s="382" t="str">
        <f>IF(F105="","",VLOOKUP($B105,'F-1 Off-Site WaterC'' Baseline'!$C$9:$R$257,6,FALSE))</f>
        <v/>
      </c>
      <c r="H105" s="382" t="str">
        <f>IF(G105="","",VLOOKUP($B105,'F-1 Off-Site WaterC'' Baseline'!$C$9:$R$257,7,FALSE))</f>
        <v/>
      </c>
      <c r="I105" s="382" t="str">
        <f>IF(H105="","",VLOOKUP($B105,'F-1 Off-Site WaterC'' Baseline'!$C$9:$R$257,8,FALSE))</f>
        <v/>
      </c>
      <c r="J105" s="382" t="str">
        <f>IF(I105="","",VLOOKUP($B105,'F-1 Off-Site WaterC'' Baseline'!$C$9:$R$257,9,FALSE))</f>
        <v/>
      </c>
      <c r="K105" s="382" t="str">
        <f>IF(J105="","",VLOOKUP($B105,'F-1 Off-Site WaterC'' Baseline'!$C$9:$R$257,10,FALSE))</f>
        <v/>
      </c>
      <c r="L105" s="382" t="str">
        <f>IF(B105="","",VLOOKUP($B105,'F-1 Off-Site WaterC'' Baseline'!$C$9:$R$257,15,FALSE))</f>
        <v/>
      </c>
      <c r="M105" s="386" t="str">
        <f>IF(L105="","",VLOOKUP($B105,'F-1 Off-Site WaterC'' Baseline'!$C$9:$R$257,16,FALSE))</f>
        <v/>
      </c>
      <c r="N105" s="316" t="str">
        <f t="shared" si="12"/>
        <v/>
      </c>
      <c r="O105" s="362" t="str">
        <f t="shared" si="13"/>
        <v/>
      </c>
      <c r="P105" s="363" t="str">
        <f>IF(C105="","",IF(AND(LEFT(C105,55)&lt;&gt;LEFT(N105,55),O105="High - High"),"Error - Not like for like ▲",IF(H105&gt;U105,"Error - Can not reduce condition ▲",IF(AND(F105=S105,H105=U105,AJ105='F-1 Off-Site WaterC'' Baseline'!N103,'F-1 Off-Site WaterC'' Baseline'!P103=AL105),"Error - No enhancement ▲",IF(AND(C105&lt;&gt;N105,F105&lt;S105),"Lower Distinctiveness Habitat"&amp;" - "&amp;T105,G105&amp;" - "&amp;T105)))))</f>
        <v/>
      </c>
      <c r="Q105" s="368" t="str">
        <f>IF(N105="","",VLOOKUP(B105,'F-1 Off-Site WaterC'' Baseline'!$C$10:$AE$257,22,FALSE))</f>
        <v/>
      </c>
      <c r="R105" s="362" t="str">
        <f>IF(N105="","",VLOOKUP(N105,'G-7 WaterC'' Data'!$B$2:$G$8,2,FALSE))</f>
        <v/>
      </c>
      <c r="S105" s="363" t="str">
        <f>IFERROR(VLOOKUP(R105,'G-7 WaterC'' Data'!$C$4:$D$8,2,FALSE),"")</f>
        <v/>
      </c>
      <c r="T105" s="114"/>
      <c r="U105" s="363" t="str">
        <f>IFERROR(INDEX('G-7 WaterC'' Data'!$H$4:$L$8,MATCH(N105,'G-7 WaterC'' Data'!$B$4:$B$8,0),MATCH(T105,'G-7 WaterC'' Data'!$H$3:$L$3,0)),"")</f>
        <v/>
      </c>
      <c r="V105" s="122"/>
      <c r="W105" s="382" t="str">
        <f>IF(V105="","",IF(VLOOKUP(V105,'G-7 WaterC'' Data'!$AK$4:$AM$6,2,FALSE)=0,"Spatial Data Missing ⚠",VLOOKUP(V105,'G-7 WaterC'' Data'!$AK$4:$AM$6,2,FALSE)))</f>
        <v/>
      </c>
      <c r="X105" s="386" t="str">
        <f>IF(V105="","",IF(VLOOKUP(V105,'G-7 WaterC'' Data'!$AK$4:$AM$6,3,FALSE)=0,"Spatial Data Missing ⚠",VLOOKUP(V105,'G-7 WaterC'' Data'!$AK$4:$AM$6,3,FALSE)))</f>
        <v/>
      </c>
      <c r="Y105" s="398" t="str">
        <f>IFERROR(IF(OR(LEFT(P105,5)="Error",LEFT(O105,5)="Error"),"Check Data ⚠",IF(F105&lt;S105,'G-7 WaterC'' Data'!$R$3,INDEX('G-7 WaterC'' Data'!$U$5:$Y$9,MATCH(G105,'G-7 WaterC'' Data'!$T$5:$T$9,0),MATCH(T105,'G-7 WaterC'' Data'!$U$4:$Y$4,0)))),"")</f>
        <v/>
      </c>
      <c r="Z105" s="165"/>
      <c r="AA105" s="165"/>
      <c r="AB105" s="395" t="str">
        <f t="shared" si="9"/>
        <v/>
      </c>
      <c r="AC105" s="383" t="str">
        <f t="shared" si="14"/>
        <v/>
      </c>
      <c r="AD105" s="422" t="str">
        <f>IFERROR(IF(AC105="Check Data ⚠","Check Data ⚠",VLOOKUP(AC105,'G-4 Temporal multipliers'!$A$4:$C$37,3,FALSE)),"")</f>
        <v/>
      </c>
      <c r="AE105" s="398" t="str">
        <f>IF(N105="","",VLOOKUP(N105,'G-7 WaterC'' Data'!$B$4:$G$8,5,FALSE))</f>
        <v/>
      </c>
      <c r="AF105" s="382" t="str">
        <f t="shared" si="10"/>
        <v/>
      </c>
      <c r="AG105" s="382" t="str">
        <f t="shared" si="15"/>
        <v/>
      </c>
      <c r="AH105" s="386" t="str">
        <f t="shared" si="11"/>
        <v/>
      </c>
      <c r="AI105" s="122"/>
      <c r="AJ105" s="363" t="str">
        <f>IF(AI105="","",IF(VLOOKUP(AI105,'G-7 WaterC'' Data'!$AA$4:$AB$7,2,FALSE)=0,"Spatial Data Missing ⚠",VLOOKUP(AI105,'G-7 WaterC'' Data'!$AA$4:$AB$7,2,FALSE)))</f>
        <v/>
      </c>
      <c r="AK105" s="123"/>
      <c r="AL105" s="397" t="str">
        <f>IF(AK105="","",IF(VLOOKUP(AK105,'G-7 WaterC'' Data'!$AD$4:$AE$14,2,FALSE)=0,"Spatial Data Missing ⚠",VLOOKUP(AK105,'G-7 WaterC'' Data'!$AD$4:$AE$14,2,FALSE)))</f>
        <v/>
      </c>
      <c r="AM105" s="122"/>
      <c r="AN105" s="363" t="str">
        <f>IF(AM105="","",IF(VLOOKUP(AM105,'G-7 WaterC'' Data'!$AO$4:$BO$7,2,FALSE)=0,"Spatial Data Missing ⚠",VLOOKUP(AM105,'G-7 WaterC'' Data'!$AO$4:$BO$7,2,FALSE)))</f>
        <v/>
      </c>
      <c r="AO105" s="405" t="str">
        <f t="shared" si="16"/>
        <v/>
      </c>
      <c r="AP105" s="405" t="str">
        <f t="shared" si="17"/>
        <v/>
      </c>
      <c r="AQ105" s="117"/>
      <c r="AR105" s="118"/>
      <c r="AS105" s="120"/>
      <c r="AT105" s="120"/>
      <c r="AY105" s="30" t="str">
        <f>IFERROR(INDEX('G-7 WaterC'' Data'!$AZ$3:$AZ$7,MATCH(N105,'G-7 WaterC'' Data'!$AY$3:$AY$7,0)),"")</f>
        <v/>
      </c>
    </row>
    <row r="106" spans="2:51" ht="15">
      <c r="B106" s="392" t="str">
        <f>'F-1 Off-Site WaterC'' Baseline'!AR104</f>
        <v/>
      </c>
      <c r="C106" s="382" t="str">
        <f>IF(B106="","",VLOOKUP($B106,'F-1 Off-Site WaterC'' Baseline'!$C$9:$R$257,2,FALSE))</f>
        <v/>
      </c>
      <c r="D106" s="382" t="str">
        <f>IF(C106="","",VLOOKUP($B106,'F-1 Off-Site WaterC'' Baseline'!$C$9:$R$257,3,FALSE))</f>
        <v/>
      </c>
      <c r="E106" s="382" t="str">
        <f>IF(D106="","",VLOOKUP($B106,'F-1 Off-Site WaterC'' Baseline'!$C$9:$R$257,4,FALSE))</f>
        <v/>
      </c>
      <c r="F106" s="382" t="str">
        <f>IF(E106="","",VLOOKUP($B106,'F-1 Off-Site WaterC'' Baseline'!$C$9:$R$257,5,FALSE))</f>
        <v/>
      </c>
      <c r="G106" s="382" t="str">
        <f>IF(F106="","",VLOOKUP($B106,'F-1 Off-Site WaterC'' Baseline'!$C$9:$R$257,6,FALSE))</f>
        <v/>
      </c>
      <c r="H106" s="382" t="str">
        <f>IF(G106="","",VLOOKUP($B106,'F-1 Off-Site WaterC'' Baseline'!$C$9:$R$257,7,FALSE))</f>
        <v/>
      </c>
      <c r="I106" s="382" t="str">
        <f>IF(H106="","",VLOOKUP($B106,'F-1 Off-Site WaterC'' Baseline'!$C$9:$R$257,8,FALSE))</f>
        <v/>
      </c>
      <c r="J106" s="382" t="str">
        <f>IF(I106="","",VLOOKUP($B106,'F-1 Off-Site WaterC'' Baseline'!$C$9:$R$257,9,FALSE))</f>
        <v/>
      </c>
      <c r="K106" s="382" t="str">
        <f>IF(J106="","",VLOOKUP($B106,'F-1 Off-Site WaterC'' Baseline'!$C$9:$R$257,10,FALSE))</f>
        <v/>
      </c>
      <c r="L106" s="382" t="str">
        <f>IF(B106="","",VLOOKUP($B106,'F-1 Off-Site WaterC'' Baseline'!$C$9:$R$257,15,FALSE))</f>
        <v/>
      </c>
      <c r="M106" s="386" t="str">
        <f>IF(L106="","",VLOOKUP($B106,'F-1 Off-Site WaterC'' Baseline'!$C$9:$R$257,16,FALSE))</f>
        <v/>
      </c>
      <c r="N106" s="316" t="str">
        <f t="shared" si="12"/>
        <v/>
      </c>
      <c r="O106" s="362" t="str">
        <f t="shared" si="13"/>
        <v/>
      </c>
      <c r="P106" s="363" t="str">
        <f>IF(C106="","",IF(AND(LEFT(C106,55)&lt;&gt;LEFT(N106,55),O106="High - High"),"Error - Not like for like ▲",IF(H106&gt;U106,"Error - Can not reduce condition ▲",IF(AND(F106=S106,H106=U106,AJ106='F-1 Off-Site WaterC'' Baseline'!N104,'F-1 Off-Site WaterC'' Baseline'!P104=AL106),"Error - No enhancement ▲",IF(AND(C106&lt;&gt;N106,F106&lt;S106),"Lower Distinctiveness Habitat"&amp;" - "&amp;T106,G106&amp;" - "&amp;T106)))))</f>
        <v/>
      </c>
      <c r="Q106" s="368" t="str">
        <f>IF(N106="","",VLOOKUP(B106,'F-1 Off-Site WaterC'' Baseline'!$C$10:$AE$257,22,FALSE))</f>
        <v/>
      </c>
      <c r="R106" s="362" t="str">
        <f>IF(N106="","",VLOOKUP(N106,'G-7 WaterC'' Data'!$B$2:$G$8,2,FALSE))</f>
        <v/>
      </c>
      <c r="S106" s="363" t="str">
        <f>IFERROR(VLOOKUP(R106,'G-7 WaterC'' Data'!$C$4:$D$8,2,FALSE),"")</f>
        <v/>
      </c>
      <c r="T106" s="114"/>
      <c r="U106" s="363" t="str">
        <f>IFERROR(INDEX('G-7 WaterC'' Data'!$H$4:$L$8,MATCH(N106,'G-7 WaterC'' Data'!$B$4:$B$8,0),MATCH(T106,'G-7 WaterC'' Data'!$H$3:$L$3,0)),"")</f>
        <v/>
      </c>
      <c r="V106" s="122"/>
      <c r="W106" s="382" t="str">
        <f>IF(V106="","",IF(VLOOKUP(V106,'G-7 WaterC'' Data'!$AK$4:$AM$6,2,FALSE)=0,"Spatial Data Missing ⚠",VLOOKUP(V106,'G-7 WaterC'' Data'!$AK$4:$AM$6,2,FALSE)))</f>
        <v/>
      </c>
      <c r="X106" s="386" t="str">
        <f>IF(V106="","",IF(VLOOKUP(V106,'G-7 WaterC'' Data'!$AK$4:$AM$6,3,FALSE)=0,"Spatial Data Missing ⚠",VLOOKUP(V106,'G-7 WaterC'' Data'!$AK$4:$AM$6,3,FALSE)))</f>
        <v/>
      </c>
      <c r="Y106" s="398" t="str">
        <f>IFERROR(IF(OR(LEFT(P106,5)="Error",LEFT(O106,5)="Error"),"Check Data ⚠",IF(F106&lt;S106,'G-7 WaterC'' Data'!$R$3,INDEX('G-7 WaterC'' Data'!$U$5:$Y$9,MATCH(G106,'G-7 WaterC'' Data'!$T$5:$T$9,0),MATCH(T106,'G-7 WaterC'' Data'!$U$4:$Y$4,0)))),"")</f>
        <v/>
      </c>
      <c r="Z106" s="165"/>
      <c r="AA106" s="165"/>
      <c r="AB106" s="395" t="str">
        <f t="shared" si="9"/>
        <v/>
      </c>
      <c r="AC106" s="383" t="str">
        <f t="shared" si="14"/>
        <v/>
      </c>
      <c r="AD106" s="422" t="str">
        <f>IFERROR(IF(AC106="Check Data ⚠","Check Data ⚠",VLOOKUP(AC106,'G-4 Temporal multipliers'!$A$4:$C$37,3,FALSE)),"")</f>
        <v/>
      </c>
      <c r="AE106" s="398" t="str">
        <f>IF(N106="","",VLOOKUP(N106,'G-7 WaterC'' Data'!$B$4:$G$8,5,FALSE))</f>
        <v/>
      </c>
      <c r="AF106" s="382" t="str">
        <f t="shared" si="10"/>
        <v/>
      </c>
      <c r="AG106" s="382" t="str">
        <f t="shared" si="15"/>
        <v/>
      </c>
      <c r="AH106" s="386" t="str">
        <f t="shared" si="11"/>
        <v/>
      </c>
      <c r="AI106" s="122"/>
      <c r="AJ106" s="363" t="str">
        <f>IF(AI106="","",IF(VLOOKUP(AI106,'G-7 WaterC'' Data'!$AA$4:$AB$7,2,FALSE)=0,"Spatial Data Missing ⚠",VLOOKUP(AI106,'G-7 WaterC'' Data'!$AA$4:$AB$7,2,FALSE)))</f>
        <v/>
      </c>
      <c r="AK106" s="123"/>
      <c r="AL106" s="397" t="str">
        <f>IF(AK106="","",IF(VLOOKUP(AK106,'G-7 WaterC'' Data'!$AD$4:$AE$14,2,FALSE)=0,"Spatial Data Missing ⚠",VLOOKUP(AK106,'G-7 WaterC'' Data'!$AD$4:$AE$14,2,FALSE)))</f>
        <v/>
      </c>
      <c r="AM106" s="122"/>
      <c r="AN106" s="363" t="str">
        <f>IF(AM106="","",IF(VLOOKUP(AM106,'G-7 WaterC'' Data'!$AO$4:$BO$7,2,FALSE)=0,"Spatial Data Missing ⚠",VLOOKUP(AM106,'G-7 WaterC'' Data'!$AO$4:$BO$7,2,FALSE)))</f>
        <v/>
      </c>
      <c r="AO106" s="405" t="str">
        <f t="shared" si="16"/>
        <v/>
      </c>
      <c r="AP106" s="405" t="str">
        <f t="shared" si="17"/>
        <v/>
      </c>
      <c r="AQ106" s="117"/>
      <c r="AR106" s="118"/>
      <c r="AS106" s="120"/>
      <c r="AT106" s="120"/>
      <c r="AY106" s="30" t="str">
        <f>IFERROR(INDEX('G-7 WaterC'' Data'!$AZ$3:$AZ$7,MATCH(N106,'G-7 WaterC'' Data'!$AY$3:$AY$7,0)),"")</f>
        <v/>
      </c>
    </row>
    <row r="107" spans="2:51" ht="15">
      <c r="B107" s="392" t="str">
        <f>'F-1 Off-Site WaterC'' Baseline'!AR105</f>
        <v/>
      </c>
      <c r="C107" s="382" t="str">
        <f>IF(B107="","",VLOOKUP($B107,'F-1 Off-Site WaterC'' Baseline'!$C$9:$R$257,2,FALSE))</f>
        <v/>
      </c>
      <c r="D107" s="382" t="str">
        <f>IF(C107="","",VLOOKUP($B107,'F-1 Off-Site WaterC'' Baseline'!$C$9:$R$257,3,FALSE))</f>
        <v/>
      </c>
      <c r="E107" s="382" t="str">
        <f>IF(D107="","",VLOOKUP($B107,'F-1 Off-Site WaterC'' Baseline'!$C$9:$R$257,4,FALSE))</f>
        <v/>
      </c>
      <c r="F107" s="382" t="str">
        <f>IF(E107="","",VLOOKUP($B107,'F-1 Off-Site WaterC'' Baseline'!$C$9:$R$257,5,FALSE))</f>
        <v/>
      </c>
      <c r="G107" s="382" t="str">
        <f>IF(F107="","",VLOOKUP($B107,'F-1 Off-Site WaterC'' Baseline'!$C$9:$R$257,6,FALSE))</f>
        <v/>
      </c>
      <c r="H107" s="382" t="str">
        <f>IF(G107="","",VLOOKUP($B107,'F-1 Off-Site WaterC'' Baseline'!$C$9:$R$257,7,FALSE))</f>
        <v/>
      </c>
      <c r="I107" s="382" t="str">
        <f>IF(H107="","",VLOOKUP($B107,'F-1 Off-Site WaterC'' Baseline'!$C$9:$R$257,8,FALSE))</f>
        <v/>
      </c>
      <c r="J107" s="382" t="str">
        <f>IF(I107="","",VLOOKUP($B107,'F-1 Off-Site WaterC'' Baseline'!$C$9:$R$257,9,FALSE))</f>
        <v/>
      </c>
      <c r="K107" s="382" t="str">
        <f>IF(J107="","",VLOOKUP($B107,'F-1 Off-Site WaterC'' Baseline'!$C$9:$R$257,10,FALSE))</f>
        <v/>
      </c>
      <c r="L107" s="382" t="str">
        <f>IF(B107="","",VLOOKUP($B107,'F-1 Off-Site WaterC'' Baseline'!$C$9:$R$257,15,FALSE))</f>
        <v/>
      </c>
      <c r="M107" s="386" t="str">
        <f>IF(L107="","",VLOOKUP($B107,'F-1 Off-Site WaterC'' Baseline'!$C$9:$R$257,16,FALSE))</f>
        <v/>
      </c>
      <c r="N107" s="316" t="str">
        <f t="shared" si="12"/>
        <v/>
      </c>
      <c r="O107" s="362" t="str">
        <f t="shared" si="13"/>
        <v/>
      </c>
      <c r="P107" s="363" t="str">
        <f>IF(C107="","",IF(AND(LEFT(C107,55)&lt;&gt;LEFT(N107,55),O107="High - High"),"Error - Not like for like ▲",IF(H107&gt;U107,"Error - Can not reduce condition ▲",IF(AND(F107=S107,H107=U107,AJ107='F-1 Off-Site WaterC'' Baseline'!N105,'F-1 Off-Site WaterC'' Baseline'!P105=AL107),"Error - No enhancement ▲",IF(AND(C107&lt;&gt;N107,F107&lt;S107),"Lower Distinctiveness Habitat"&amp;" - "&amp;T107,G107&amp;" - "&amp;T107)))))</f>
        <v/>
      </c>
      <c r="Q107" s="368" t="str">
        <f>IF(N107="","",VLOOKUP(B107,'F-1 Off-Site WaterC'' Baseline'!$C$10:$AE$257,22,FALSE))</f>
        <v/>
      </c>
      <c r="R107" s="362" t="str">
        <f>IF(N107="","",VLOOKUP(N107,'G-7 WaterC'' Data'!$B$2:$G$8,2,FALSE))</f>
        <v/>
      </c>
      <c r="S107" s="363" t="str">
        <f>IFERROR(VLOOKUP(R107,'G-7 WaterC'' Data'!$C$4:$D$8,2,FALSE),"")</f>
        <v/>
      </c>
      <c r="T107" s="114"/>
      <c r="U107" s="363" t="str">
        <f>IFERROR(INDEX('G-7 WaterC'' Data'!$H$4:$L$8,MATCH(N107,'G-7 WaterC'' Data'!$B$4:$B$8,0),MATCH(T107,'G-7 WaterC'' Data'!$H$3:$L$3,0)),"")</f>
        <v/>
      </c>
      <c r="V107" s="122"/>
      <c r="W107" s="382" t="str">
        <f>IF(V107="","",IF(VLOOKUP(V107,'G-7 WaterC'' Data'!$AK$4:$AM$6,2,FALSE)=0,"Spatial Data Missing ⚠",VLOOKUP(V107,'G-7 WaterC'' Data'!$AK$4:$AM$6,2,FALSE)))</f>
        <v/>
      </c>
      <c r="X107" s="386" t="str">
        <f>IF(V107="","",IF(VLOOKUP(V107,'G-7 WaterC'' Data'!$AK$4:$AM$6,3,FALSE)=0,"Spatial Data Missing ⚠",VLOOKUP(V107,'G-7 WaterC'' Data'!$AK$4:$AM$6,3,FALSE)))</f>
        <v/>
      </c>
      <c r="Y107" s="398" t="str">
        <f>IFERROR(IF(OR(LEFT(P107,5)="Error",LEFT(O107,5)="Error"),"Check Data ⚠",IF(F107&lt;S107,'G-7 WaterC'' Data'!$R$3,INDEX('G-7 WaterC'' Data'!$U$5:$Y$9,MATCH(G107,'G-7 WaterC'' Data'!$T$5:$T$9,0),MATCH(T107,'G-7 WaterC'' Data'!$U$4:$Y$4,0)))),"")</f>
        <v/>
      </c>
      <c r="Z107" s="165"/>
      <c r="AA107" s="165"/>
      <c r="AB107" s="395" t="str">
        <f t="shared" si="9"/>
        <v/>
      </c>
      <c r="AC107" s="383" t="str">
        <f t="shared" si="14"/>
        <v/>
      </c>
      <c r="AD107" s="422" t="str">
        <f>IFERROR(IF(AC107="Check Data ⚠","Check Data ⚠",VLOOKUP(AC107,'G-4 Temporal multipliers'!$A$4:$C$37,3,FALSE)),"")</f>
        <v/>
      </c>
      <c r="AE107" s="398" t="str">
        <f>IF(N107="","",VLOOKUP(N107,'G-7 WaterC'' Data'!$B$4:$G$8,5,FALSE))</f>
        <v/>
      </c>
      <c r="AF107" s="382" t="str">
        <f t="shared" si="10"/>
        <v/>
      </c>
      <c r="AG107" s="382" t="str">
        <f t="shared" si="15"/>
        <v/>
      </c>
      <c r="AH107" s="386" t="str">
        <f t="shared" si="11"/>
        <v/>
      </c>
      <c r="AI107" s="122"/>
      <c r="AJ107" s="363" t="str">
        <f>IF(AI107="","",IF(VLOOKUP(AI107,'G-7 WaterC'' Data'!$AA$4:$AB$7,2,FALSE)=0,"Spatial Data Missing ⚠",VLOOKUP(AI107,'G-7 WaterC'' Data'!$AA$4:$AB$7,2,FALSE)))</f>
        <v/>
      </c>
      <c r="AK107" s="123"/>
      <c r="AL107" s="397" t="str">
        <f>IF(AK107="","",IF(VLOOKUP(AK107,'G-7 WaterC'' Data'!$AD$4:$AE$14,2,FALSE)=0,"Spatial Data Missing ⚠",VLOOKUP(AK107,'G-7 WaterC'' Data'!$AD$4:$AE$14,2,FALSE)))</f>
        <v/>
      </c>
      <c r="AM107" s="122"/>
      <c r="AN107" s="363" t="str">
        <f>IF(AM107="","",IF(VLOOKUP(AM107,'G-7 WaterC'' Data'!$AO$4:$BO$7,2,FALSE)=0,"Spatial Data Missing ⚠",VLOOKUP(AM107,'G-7 WaterC'' Data'!$AO$4:$BO$7,2,FALSE)))</f>
        <v/>
      </c>
      <c r="AO107" s="405" t="str">
        <f t="shared" si="16"/>
        <v/>
      </c>
      <c r="AP107" s="405" t="str">
        <f t="shared" si="17"/>
        <v/>
      </c>
      <c r="AQ107" s="117"/>
      <c r="AR107" s="118"/>
      <c r="AS107" s="120"/>
      <c r="AT107" s="120"/>
      <c r="AY107" s="30" t="str">
        <f>IFERROR(INDEX('G-7 WaterC'' Data'!$AZ$3:$AZ$7,MATCH(N107,'G-7 WaterC'' Data'!$AY$3:$AY$7,0)),"")</f>
        <v/>
      </c>
    </row>
    <row r="108" spans="2:51" ht="15">
      <c r="B108" s="392" t="str">
        <f>'F-1 Off-Site WaterC'' Baseline'!AR106</f>
        <v/>
      </c>
      <c r="C108" s="382" t="str">
        <f>IF(B108="","",VLOOKUP($B108,'F-1 Off-Site WaterC'' Baseline'!$C$9:$R$257,2,FALSE))</f>
        <v/>
      </c>
      <c r="D108" s="382" t="str">
        <f>IF(C108="","",VLOOKUP($B108,'F-1 Off-Site WaterC'' Baseline'!$C$9:$R$257,3,FALSE))</f>
        <v/>
      </c>
      <c r="E108" s="382" t="str">
        <f>IF(D108="","",VLOOKUP($B108,'F-1 Off-Site WaterC'' Baseline'!$C$9:$R$257,4,FALSE))</f>
        <v/>
      </c>
      <c r="F108" s="382" t="str">
        <f>IF(E108="","",VLOOKUP($B108,'F-1 Off-Site WaterC'' Baseline'!$C$9:$R$257,5,FALSE))</f>
        <v/>
      </c>
      <c r="G108" s="382" t="str">
        <f>IF(F108="","",VLOOKUP($B108,'F-1 Off-Site WaterC'' Baseline'!$C$9:$R$257,6,FALSE))</f>
        <v/>
      </c>
      <c r="H108" s="382" t="str">
        <f>IF(G108="","",VLOOKUP($B108,'F-1 Off-Site WaterC'' Baseline'!$C$9:$R$257,7,FALSE))</f>
        <v/>
      </c>
      <c r="I108" s="382" t="str">
        <f>IF(H108="","",VLOOKUP($B108,'F-1 Off-Site WaterC'' Baseline'!$C$9:$R$257,8,FALSE))</f>
        <v/>
      </c>
      <c r="J108" s="382" t="str">
        <f>IF(I108="","",VLOOKUP($B108,'F-1 Off-Site WaterC'' Baseline'!$C$9:$R$257,9,FALSE))</f>
        <v/>
      </c>
      <c r="K108" s="382" t="str">
        <f>IF(J108="","",VLOOKUP($B108,'F-1 Off-Site WaterC'' Baseline'!$C$9:$R$257,10,FALSE))</f>
        <v/>
      </c>
      <c r="L108" s="382" t="str">
        <f>IF(B108="","",VLOOKUP($B108,'F-1 Off-Site WaterC'' Baseline'!$C$9:$R$257,15,FALSE))</f>
        <v/>
      </c>
      <c r="M108" s="386" t="str">
        <f>IF(L108="","",VLOOKUP($B108,'F-1 Off-Site WaterC'' Baseline'!$C$9:$R$257,16,FALSE))</f>
        <v/>
      </c>
      <c r="N108" s="316" t="str">
        <f t="shared" si="12"/>
        <v/>
      </c>
      <c r="O108" s="362" t="str">
        <f t="shared" si="13"/>
        <v/>
      </c>
      <c r="P108" s="363" t="str">
        <f>IF(C108="","",IF(AND(LEFT(C108,55)&lt;&gt;LEFT(N108,55),O108="High - High"),"Error - Not like for like ▲",IF(H108&gt;U108,"Error - Can not reduce condition ▲",IF(AND(F108=S108,H108=U108,AJ108='F-1 Off-Site WaterC'' Baseline'!N106,'F-1 Off-Site WaterC'' Baseline'!P106=AL108),"Error - No enhancement ▲",IF(AND(C108&lt;&gt;N108,F108&lt;S108),"Lower Distinctiveness Habitat"&amp;" - "&amp;T108,G108&amp;" - "&amp;T108)))))</f>
        <v/>
      </c>
      <c r="Q108" s="368" t="str">
        <f>IF(N108="","",VLOOKUP(B108,'F-1 Off-Site WaterC'' Baseline'!$C$10:$AE$257,22,FALSE))</f>
        <v/>
      </c>
      <c r="R108" s="362" t="str">
        <f>IF(N108="","",VLOOKUP(N108,'G-7 WaterC'' Data'!$B$2:$G$8,2,FALSE))</f>
        <v/>
      </c>
      <c r="S108" s="363" t="str">
        <f>IFERROR(VLOOKUP(R108,'G-7 WaterC'' Data'!$C$4:$D$8,2,FALSE),"")</f>
        <v/>
      </c>
      <c r="T108" s="114"/>
      <c r="U108" s="363" t="str">
        <f>IFERROR(INDEX('G-7 WaterC'' Data'!$H$4:$L$8,MATCH(N108,'G-7 WaterC'' Data'!$B$4:$B$8,0),MATCH(T108,'G-7 WaterC'' Data'!$H$3:$L$3,0)),"")</f>
        <v/>
      </c>
      <c r="V108" s="122"/>
      <c r="W108" s="382" t="str">
        <f>IF(V108="","",IF(VLOOKUP(V108,'G-7 WaterC'' Data'!$AK$4:$AM$6,2,FALSE)=0,"Spatial Data Missing ⚠",VLOOKUP(V108,'G-7 WaterC'' Data'!$AK$4:$AM$6,2,FALSE)))</f>
        <v/>
      </c>
      <c r="X108" s="386" t="str">
        <f>IF(V108="","",IF(VLOOKUP(V108,'G-7 WaterC'' Data'!$AK$4:$AM$6,3,FALSE)=0,"Spatial Data Missing ⚠",VLOOKUP(V108,'G-7 WaterC'' Data'!$AK$4:$AM$6,3,FALSE)))</f>
        <v/>
      </c>
      <c r="Y108" s="398" t="str">
        <f>IFERROR(IF(OR(LEFT(P108,5)="Error",LEFT(O108,5)="Error"),"Check Data ⚠",IF(F108&lt;S108,'G-7 WaterC'' Data'!$R$3,INDEX('G-7 WaterC'' Data'!$U$5:$Y$9,MATCH(G108,'G-7 WaterC'' Data'!$T$5:$T$9,0),MATCH(T108,'G-7 WaterC'' Data'!$U$4:$Y$4,0)))),"")</f>
        <v/>
      </c>
      <c r="Z108" s="165"/>
      <c r="AA108" s="165"/>
      <c r="AB108" s="395" t="str">
        <f t="shared" si="9"/>
        <v/>
      </c>
      <c r="AC108" s="383" t="str">
        <f t="shared" si="14"/>
        <v/>
      </c>
      <c r="AD108" s="422" t="str">
        <f>IFERROR(IF(AC108="Check Data ⚠","Check Data ⚠",VLOOKUP(AC108,'G-4 Temporal multipliers'!$A$4:$C$37,3,FALSE)),"")</f>
        <v/>
      </c>
      <c r="AE108" s="398" t="str">
        <f>IF(N108="","",VLOOKUP(N108,'G-7 WaterC'' Data'!$B$4:$G$8,5,FALSE))</f>
        <v/>
      </c>
      <c r="AF108" s="382" t="str">
        <f t="shared" si="10"/>
        <v/>
      </c>
      <c r="AG108" s="382" t="str">
        <f t="shared" si="15"/>
        <v/>
      </c>
      <c r="AH108" s="386" t="str">
        <f t="shared" si="11"/>
        <v/>
      </c>
      <c r="AI108" s="122"/>
      <c r="AJ108" s="363" t="str">
        <f>IF(AI108="","",IF(VLOOKUP(AI108,'G-7 WaterC'' Data'!$AA$4:$AB$7,2,FALSE)=0,"Spatial Data Missing ⚠",VLOOKUP(AI108,'G-7 WaterC'' Data'!$AA$4:$AB$7,2,FALSE)))</f>
        <v/>
      </c>
      <c r="AK108" s="123"/>
      <c r="AL108" s="397" t="str">
        <f>IF(AK108="","",IF(VLOOKUP(AK108,'G-7 WaterC'' Data'!$AD$4:$AE$14,2,FALSE)=0,"Spatial Data Missing ⚠",VLOOKUP(AK108,'G-7 WaterC'' Data'!$AD$4:$AE$14,2,FALSE)))</f>
        <v/>
      </c>
      <c r="AM108" s="122"/>
      <c r="AN108" s="363" t="str">
        <f>IF(AM108="","",IF(VLOOKUP(AM108,'G-7 WaterC'' Data'!$AO$4:$BO$7,2,FALSE)=0,"Spatial Data Missing ⚠",VLOOKUP(AM108,'G-7 WaterC'' Data'!$AO$4:$BO$7,2,FALSE)))</f>
        <v/>
      </c>
      <c r="AO108" s="405" t="str">
        <f t="shared" si="16"/>
        <v/>
      </c>
      <c r="AP108" s="405" t="str">
        <f t="shared" si="17"/>
        <v/>
      </c>
      <c r="AQ108" s="117"/>
      <c r="AR108" s="118"/>
      <c r="AS108" s="120"/>
      <c r="AT108" s="120"/>
      <c r="AY108" s="30" t="str">
        <f>IFERROR(INDEX('G-7 WaterC'' Data'!$AZ$3:$AZ$7,MATCH(N108,'G-7 WaterC'' Data'!$AY$3:$AY$7,0)),"")</f>
        <v/>
      </c>
    </row>
    <row r="109" spans="2:51" ht="15">
      <c r="B109" s="392" t="str">
        <f>'F-1 Off-Site WaterC'' Baseline'!AR107</f>
        <v/>
      </c>
      <c r="C109" s="382" t="str">
        <f>IF(B109="","",VLOOKUP($B109,'F-1 Off-Site WaterC'' Baseline'!$C$9:$R$257,2,FALSE))</f>
        <v/>
      </c>
      <c r="D109" s="382" t="str">
        <f>IF(C109="","",VLOOKUP($B109,'F-1 Off-Site WaterC'' Baseline'!$C$9:$R$257,3,FALSE))</f>
        <v/>
      </c>
      <c r="E109" s="382" t="str">
        <f>IF(D109="","",VLOOKUP($B109,'F-1 Off-Site WaterC'' Baseline'!$C$9:$R$257,4,FALSE))</f>
        <v/>
      </c>
      <c r="F109" s="382" t="str">
        <f>IF(E109="","",VLOOKUP($B109,'F-1 Off-Site WaterC'' Baseline'!$C$9:$R$257,5,FALSE))</f>
        <v/>
      </c>
      <c r="G109" s="382" t="str">
        <f>IF(F109="","",VLOOKUP($B109,'F-1 Off-Site WaterC'' Baseline'!$C$9:$R$257,6,FALSE))</f>
        <v/>
      </c>
      <c r="H109" s="382" t="str">
        <f>IF(G109="","",VLOOKUP($B109,'F-1 Off-Site WaterC'' Baseline'!$C$9:$R$257,7,FALSE))</f>
        <v/>
      </c>
      <c r="I109" s="382" t="str">
        <f>IF(H109="","",VLOOKUP($B109,'F-1 Off-Site WaterC'' Baseline'!$C$9:$R$257,8,FALSE))</f>
        <v/>
      </c>
      <c r="J109" s="382" t="str">
        <f>IF(I109="","",VLOOKUP($B109,'F-1 Off-Site WaterC'' Baseline'!$C$9:$R$257,9,FALSE))</f>
        <v/>
      </c>
      <c r="K109" s="382" t="str">
        <f>IF(J109="","",VLOOKUP($B109,'F-1 Off-Site WaterC'' Baseline'!$C$9:$R$257,10,FALSE))</f>
        <v/>
      </c>
      <c r="L109" s="382" t="str">
        <f>IF(B109="","",VLOOKUP($B109,'F-1 Off-Site WaterC'' Baseline'!$C$9:$R$257,15,FALSE))</f>
        <v/>
      </c>
      <c r="M109" s="386" t="str">
        <f>IF(L109="","",VLOOKUP($B109,'F-1 Off-Site WaterC'' Baseline'!$C$9:$R$257,16,FALSE))</f>
        <v/>
      </c>
      <c r="N109" s="316" t="str">
        <f t="shared" si="12"/>
        <v/>
      </c>
      <c r="O109" s="362" t="str">
        <f t="shared" si="13"/>
        <v/>
      </c>
      <c r="P109" s="363" t="str">
        <f>IF(C109="","",IF(AND(LEFT(C109,55)&lt;&gt;LEFT(N109,55),O109="High - High"),"Error - Not like for like ▲",IF(H109&gt;U109,"Error - Can not reduce condition ▲",IF(AND(F109=S109,H109=U109,AJ109='F-1 Off-Site WaterC'' Baseline'!N107,'F-1 Off-Site WaterC'' Baseline'!P107=AL109),"Error - No enhancement ▲",IF(AND(C109&lt;&gt;N109,F109&lt;S109),"Lower Distinctiveness Habitat"&amp;" - "&amp;T109,G109&amp;" - "&amp;T109)))))</f>
        <v/>
      </c>
      <c r="Q109" s="368" t="str">
        <f>IF(N109="","",VLOOKUP(B109,'F-1 Off-Site WaterC'' Baseline'!$C$10:$AE$257,22,FALSE))</f>
        <v/>
      </c>
      <c r="R109" s="362" t="str">
        <f>IF(N109="","",VLOOKUP(N109,'G-7 WaterC'' Data'!$B$2:$G$8,2,FALSE))</f>
        <v/>
      </c>
      <c r="S109" s="363" t="str">
        <f>IFERROR(VLOOKUP(R109,'G-7 WaterC'' Data'!$C$4:$D$8,2,FALSE),"")</f>
        <v/>
      </c>
      <c r="T109" s="114"/>
      <c r="U109" s="363" t="str">
        <f>IFERROR(INDEX('G-7 WaterC'' Data'!$H$4:$L$8,MATCH(N109,'G-7 WaterC'' Data'!$B$4:$B$8,0),MATCH(T109,'G-7 WaterC'' Data'!$H$3:$L$3,0)),"")</f>
        <v/>
      </c>
      <c r="V109" s="122"/>
      <c r="W109" s="382" t="str">
        <f>IF(V109="","",IF(VLOOKUP(V109,'G-7 WaterC'' Data'!$AK$4:$AM$6,2,FALSE)=0,"Spatial Data Missing ⚠",VLOOKUP(V109,'G-7 WaterC'' Data'!$AK$4:$AM$6,2,FALSE)))</f>
        <v/>
      </c>
      <c r="X109" s="386" t="str">
        <f>IF(V109="","",IF(VLOOKUP(V109,'G-7 WaterC'' Data'!$AK$4:$AM$6,3,FALSE)=0,"Spatial Data Missing ⚠",VLOOKUP(V109,'G-7 WaterC'' Data'!$AK$4:$AM$6,3,FALSE)))</f>
        <v/>
      </c>
      <c r="Y109" s="398" t="str">
        <f>IFERROR(IF(OR(LEFT(P109,5)="Error",LEFT(O109,5)="Error"),"Check Data ⚠",IF(F109&lt;S109,'G-7 WaterC'' Data'!$R$3,INDEX('G-7 WaterC'' Data'!$U$5:$Y$9,MATCH(G109,'G-7 WaterC'' Data'!$T$5:$T$9,0),MATCH(T109,'G-7 WaterC'' Data'!$U$4:$Y$4,0)))),"")</f>
        <v/>
      </c>
      <c r="Z109" s="165"/>
      <c r="AA109" s="165"/>
      <c r="AB109" s="395" t="str">
        <f t="shared" si="9"/>
        <v/>
      </c>
      <c r="AC109" s="383" t="str">
        <f t="shared" si="14"/>
        <v/>
      </c>
      <c r="AD109" s="422" t="str">
        <f>IFERROR(IF(AC109="Check Data ⚠","Check Data ⚠",VLOOKUP(AC109,'G-4 Temporal multipliers'!$A$4:$C$37,3,FALSE)),"")</f>
        <v/>
      </c>
      <c r="AE109" s="398" t="str">
        <f>IF(N109="","",VLOOKUP(N109,'G-7 WaterC'' Data'!$B$4:$G$8,5,FALSE))</f>
        <v/>
      </c>
      <c r="AF109" s="382" t="str">
        <f t="shared" si="10"/>
        <v/>
      </c>
      <c r="AG109" s="382" t="str">
        <f t="shared" si="15"/>
        <v/>
      </c>
      <c r="AH109" s="386" t="str">
        <f t="shared" si="11"/>
        <v/>
      </c>
      <c r="AI109" s="122"/>
      <c r="AJ109" s="363" t="str">
        <f>IF(AI109="","",IF(VLOOKUP(AI109,'G-7 WaterC'' Data'!$AA$4:$AB$7,2,FALSE)=0,"Spatial Data Missing ⚠",VLOOKUP(AI109,'G-7 WaterC'' Data'!$AA$4:$AB$7,2,FALSE)))</f>
        <v/>
      </c>
      <c r="AK109" s="123"/>
      <c r="AL109" s="397" t="str">
        <f>IF(AK109="","",IF(VLOOKUP(AK109,'G-7 WaterC'' Data'!$AD$4:$AE$14,2,FALSE)=0,"Spatial Data Missing ⚠",VLOOKUP(AK109,'G-7 WaterC'' Data'!$AD$4:$AE$14,2,FALSE)))</f>
        <v/>
      </c>
      <c r="AM109" s="122"/>
      <c r="AN109" s="363" t="str">
        <f>IF(AM109="","",IF(VLOOKUP(AM109,'G-7 WaterC'' Data'!$AO$4:$BO$7,2,FALSE)=0,"Spatial Data Missing ⚠",VLOOKUP(AM109,'G-7 WaterC'' Data'!$AO$4:$BO$7,2,FALSE)))</f>
        <v/>
      </c>
      <c r="AO109" s="405" t="str">
        <f t="shared" si="16"/>
        <v/>
      </c>
      <c r="AP109" s="405" t="str">
        <f t="shared" si="17"/>
        <v/>
      </c>
      <c r="AQ109" s="117"/>
      <c r="AR109" s="118"/>
      <c r="AS109" s="120"/>
      <c r="AT109" s="120"/>
      <c r="AY109" s="30" t="str">
        <f>IFERROR(INDEX('G-7 WaterC'' Data'!$AZ$3:$AZ$7,MATCH(N109,'G-7 WaterC'' Data'!$AY$3:$AY$7,0)),"")</f>
        <v/>
      </c>
    </row>
    <row r="110" spans="2:51" ht="15">
      <c r="B110" s="392" t="str">
        <f>'F-1 Off-Site WaterC'' Baseline'!AR108</f>
        <v/>
      </c>
      <c r="C110" s="382" t="str">
        <f>IF(B110="","",VLOOKUP($B110,'F-1 Off-Site WaterC'' Baseline'!$C$9:$R$257,2,FALSE))</f>
        <v/>
      </c>
      <c r="D110" s="382" t="str">
        <f>IF(C110="","",VLOOKUP($B110,'F-1 Off-Site WaterC'' Baseline'!$C$9:$R$257,3,FALSE))</f>
        <v/>
      </c>
      <c r="E110" s="382" t="str">
        <f>IF(D110="","",VLOOKUP($B110,'F-1 Off-Site WaterC'' Baseline'!$C$9:$R$257,4,FALSE))</f>
        <v/>
      </c>
      <c r="F110" s="382" t="str">
        <f>IF(E110="","",VLOOKUP($B110,'F-1 Off-Site WaterC'' Baseline'!$C$9:$R$257,5,FALSE))</f>
        <v/>
      </c>
      <c r="G110" s="382" t="str">
        <f>IF(F110="","",VLOOKUP($B110,'F-1 Off-Site WaterC'' Baseline'!$C$9:$R$257,6,FALSE))</f>
        <v/>
      </c>
      <c r="H110" s="382" t="str">
        <f>IF(G110="","",VLOOKUP($B110,'F-1 Off-Site WaterC'' Baseline'!$C$9:$R$257,7,FALSE))</f>
        <v/>
      </c>
      <c r="I110" s="382" t="str">
        <f>IF(H110="","",VLOOKUP($B110,'F-1 Off-Site WaterC'' Baseline'!$C$9:$R$257,8,FALSE))</f>
        <v/>
      </c>
      <c r="J110" s="382" t="str">
        <f>IF(I110="","",VLOOKUP($B110,'F-1 Off-Site WaterC'' Baseline'!$C$9:$R$257,9,FALSE))</f>
        <v/>
      </c>
      <c r="K110" s="382" t="str">
        <f>IF(J110="","",VLOOKUP($B110,'F-1 Off-Site WaterC'' Baseline'!$C$9:$R$257,10,FALSE))</f>
        <v/>
      </c>
      <c r="L110" s="382" t="str">
        <f>IF(B110="","",VLOOKUP($B110,'F-1 Off-Site WaterC'' Baseline'!$C$9:$R$257,15,FALSE))</f>
        <v/>
      </c>
      <c r="M110" s="386" t="str">
        <f>IF(L110="","",VLOOKUP($B110,'F-1 Off-Site WaterC'' Baseline'!$C$9:$R$257,16,FALSE))</f>
        <v/>
      </c>
      <c r="N110" s="316" t="str">
        <f t="shared" si="12"/>
        <v/>
      </c>
      <c r="O110" s="362" t="str">
        <f t="shared" si="13"/>
        <v/>
      </c>
      <c r="P110" s="363" t="str">
        <f>IF(C110="","",IF(AND(LEFT(C110,55)&lt;&gt;LEFT(N110,55),O110="High - High"),"Error - Not like for like ▲",IF(H110&gt;U110,"Error - Can not reduce condition ▲",IF(AND(F110=S110,H110=U110,AJ110='F-1 Off-Site WaterC'' Baseline'!N108,'F-1 Off-Site WaterC'' Baseline'!P108=AL110),"Error - No enhancement ▲",IF(AND(C110&lt;&gt;N110,F110&lt;S110),"Lower Distinctiveness Habitat"&amp;" - "&amp;T110,G110&amp;" - "&amp;T110)))))</f>
        <v/>
      </c>
      <c r="Q110" s="368" t="str">
        <f>IF(N110="","",VLOOKUP(B110,'F-1 Off-Site WaterC'' Baseline'!$C$10:$AE$257,22,FALSE))</f>
        <v/>
      </c>
      <c r="R110" s="362" t="str">
        <f>IF(N110="","",VLOOKUP(N110,'G-7 WaterC'' Data'!$B$2:$G$8,2,FALSE))</f>
        <v/>
      </c>
      <c r="S110" s="363" t="str">
        <f>IFERROR(VLOOKUP(R110,'G-7 WaterC'' Data'!$C$4:$D$8,2,FALSE),"")</f>
        <v/>
      </c>
      <c r="T110" s="114"/>
      <c r="U110" s="363" t="str">
        <f>IFERROR(INDEX('G-7 WaterC'' Data'!$H$4:$L$8,MATCH(N110,'G-7 WaterC'' Data'!$B$4:$B$8,0),MATCH(T110,'G-7 WaterC'' Data'!$H$3:$L$3,0)),"")</f>
        <v/>
      </c>
      <c r="V110" s="122"/>
      <c r="W110" s="382" t="str">
        <f>IF(V110="","",IF(VLOOKUP(V110,'G-7 WaterC'' Data'!$AK$4:$AM$6,2,FALSE)=0,"Spatial Data Missing ⚠",VLOOKUP(V110,'G-7 WaterC'' Data'!$AK$4:$AM$6,2,FALSE)))</f>
        <v/>
      </c>
      <c r="X110" s="386" t="str">
        <f>IF(V110="","",IF(VLOOKUP(V110,'G-7 WaterC'' Data'!$AK$4:$AM$6,3,FALSE)=0,"Spatial Data Missing ⚠",VLOOKUP(V110,'G-7 WaterC'' Data'!$AK$4:$AM$6,3,FALSE)))</f>
        <v/>
      </c>
      <c r="Y110" s="398" t="str">
        <f>IFERROR(IF(OR(LEFT(P110,5)="Error",LEFT(O110,5)="Error"),"Check Data ⚠",IF(F110&lt;S110,'G-7 WaterC'' Data'!$R$3,INDEX('G-7 WaterC'' Data'!$U$5:$Y$9,MATCH(G110,'G-7 WaterC'' Data'!$T$5:$T$9,0),MATCH(T110,'G-7 WaterC'' Data'!$U$4:$Y$4,0)))),"")</f>
        <v/>
      </c>
      <c r="Z110" s="165"/>
      <c r="AA110" s="165"/>
      <c r="AB110" s="395" t="str">
        <f t="shared" si="9"/>
        <v/>
      </c>
      <c r="AC110" s="383" t="str">
        <f t="shared" si="14"/>
        <v/>
      </c>
      <c r="AD110" s="422" t="str">
        <f>IFERROR(IF(AC110="Check Data ⚠","Check Data ⚠",VLOOKUP(AC110,'G-4 Temporal multipliers'!$A$4:$C$37,3,FALSE)),"")</f>
        <v/>
      </c>
      <c r="AE110" s="398" t="str">
        <f>IF(N110="","",VLOOKUP(N110,'G-7 WaterC'' Data'!$B$4:$G$8,5,FALSE))</f>
        <v/>
      </c>
      <c r="AF110" s="382" t="str">
        <f t="shared" si="10"/>
        <v/>
      </c>
      <c r="AG110" s="382" t="str">
        <f t="shared" si="15"/>
        <v/>
      </c>
      <c r="AH110" s="386" t="str">
        <f t="shared" si="11"/>
        <v/>
      </c>
      <c r="AI110" s="122"/>
      <c r="AJ110" s="363" t="str">
        <f>IF(AI110="","",IF(VLOOKUP(AI110,'G-7 WaterC'' Data'!$AA$4:$AB$7,2,FALSE)=0,"Spatial Data Missing ⚠",VLOOKUP(AI110,'G-7 WaterC'' Data'!$AA$4:$AB$7,2,FALSE)))</f>
        <v/>
      </c>
      <c r="AK110" s="123"/>
      <c r="AL110" s="397" t="str">
        <f>IF(AK110="","",IF(VLOOKUP(AK110,'G-7 WaterC'' Data'!$AD$4:$AE$14,2,FALSE)=0,"Spatial Data Missing ⚠",VLOOKUP(AK110,'G-7 WaterC'' Data'!$AD$4:$AE$14,2,FALSE)))</f>
        <v/>
      </c>
      <c r="AM110" s="122"/>
      <c r="AN110" s="363" t="str">
        <f>IF(AM110="","",IF(VLOOKUP(AM110,'G-7 WaterC'' Data'!$AO$4:$BO$7,2,FALSE)=0,"Spatial Data Missing ⚠",VLOOKUP(AM110,'G-7 WaterC'' Data'!$AO$4:$BO$7,2,FALSE)))</f>
        <v/>
      </c>
      <c r="AO110" s="405" t="str">
        <f t="shared" si="16"/>
        <v/>
      </c>
      <c r="AP110" s="405" t="str">
        <f t="shared" si="17"/>
        <v/>
      </c>
      <c r="AQ110" s="117"/>
      <c r="AR110" s="118"/>
      <c r="AS110" s="120"/>
      <c r="AT110" s="120"/>
      <c r="AY110" s="30" t="str">
        <f>IFERROR(INDEX('G-7 WaterC'' Data'!$AZ$3:$AZ$7,MATCH(N110,'G-7 WaterC'' Data'!$AY$3:$AY$7,0)),"")</f>
        <v/>
      </c>
    </row>
    <row r="111" spans="2:51" ht="15">
      <c r="B111" s="392" t="str">
        <f>'F-1 Off-Site WaterC'' Baseline'!AR109</f>
        <v/>
      </c>
      <c r="C111" s="382" t="str">
        <f>IF(B111="","",VLOOKUP($B111,'F-1 Off-Site WaterC'' Baseline'!$C$9:$R$257,2,FALSE))</f>
        <v/>
      </c>
      <c r="D111" s="382" t="str">
        <f>IF(C111="","",VLOOKUP($B111,'F-1 Off-Site WaterC'' Baseline'!$C$9:$R$257,3,FALSE))</f>
        <v/>
      </c>
      <c r="E111" s="382" t="str">
        <f>IF(D111="","",VLOOKUP($B111,'F-1 Off-Site WaterC'' Baseline'!$C$9:$R$257,4,FALSE))</f>
        <v/>
      </c>
      <c r="F111" s="382" t="str">
        <f>IF(E111="","",VLOOKUP($B111,'F-1 Off-Site WaterC'' Baseline'!$C$9:$R$257,5,FALSE))</f>
        <v/>
      </c>
      <c r="G111" s="382" t="str">
        <f>IF(F111="","",VLOOKUP($B111,'F-1 Off-Site WaterC'' Baseline'!$C$9:$R$257,6,FALSE))</f>
        <v/>
      </c>
      <c r="H111" s="382" t="str">
        <f>IF(G111="","",VLOOKUP($B111,'F-1 Off-Site WaterC'' Baseline'!$C$9:$R$257,7,FALSE))</f>
        <v/>
      </c>
      <c r="I111" s="382" t="str">
        <f>IF(H111="","",VLOOKUP($B111,'F-1 Off-Site WaterC'' Baseline'!$C$9:$R$257,8,FALSE))</f>
        <v/>
      </c>
      <c r="J111" s="382" t="str">
        <f>IF(I111="","",VLOOKUP($B111,'F-1 Off-Site WaterC'' Baseline'!$C$9:$R$257,9,FALSE))</f>
        <v/>
      </c>
      <c r="K111" s="382" t="str">
        <f>IF(J111="","",VLOOKUP($B111,'F-1 Off-Site WaterC'' Baseline'!$C$9:$R$257,10,FALSE))</f>
        <v/>
      </c>
      <c r="L111" s="382" t="str">
        <f>IF(B111="","",VLOOKUP($B111,'F-1 Off-Site WaterC'' Baseline'!$C$9:$R$257,15,FALSE))</f>
        <v/>
      </c>
      <c r="M111" s="386" t="str">
        <f>IF(L111="","",VLOOKUP($B111,'F-1 Off-Site WaterC'' Baseline'!$C$9:$R$257,16,FALSE))</f>
        <v/>
      </c>
      <c r="N111" s="316" t="str">
        <f t="shared" si="12"/>
        <v/>
      </c>
      <c r="O111" s="362" t="str">
        <f t="shared" si="13"/>
        <v/>
      </c>
      <c r="P111" s="363" t="str">
        <f>IF(C111="","",IF(AND(LEFT(C111,55)&lt;&gt;LEFT(N111,55),O111="High - High"),"Error - Not like for like ▲",IF(H111&gt;U111,"Error - Can not reduce condition ▲",IF(AND(F111=S111,H111=U111,AJ111='F-1 Off-Site WaterC'' Baseline'!N109,'F-1 Off-Site WaterC'' Baseline'!P109=AL111),"Error - No enhancement ▲",IF(AND(C111&lt;&gt;N111,F111&lt;S111),"Lower Distinctiveness Habitat"&amp;" - "&amp;T111,G111&amp;" - "&amp;T111)))))</f>
        <v/>
      </c>
      <c r="Q111" s="368" t="str">
        <f>IF(N111="","",VLOOKUP(B111,'F-1 Off-Site WaterC'' Baseline'!$C$10:$AE$257,22,FALSE))</f>
        <v/>
      </c>
      <c r="R111" s="362" t="str">
        <f>IF(N111="","",VLOOKUP(N111,'G-7 WaterC'' Data'!$B$2:$G$8,2,FALSE))</f>
        <v/>
      </c>
      <c r="S111" s="363" t="str">
        <f>IFERROR(VLOOKUP(R111,'G-7 WaterC'' Data'!$C$4:$D$8,2,FALSE),"")</f>
        <v/>
      </c>
      <c r="T111" s="114"/>
      <c r="U111" s="363" t="str">
        <f>IFERROR(INDEX('G-7 WaterC'' Data'!$H$4:$L$8,MATCH(N111,'G-7 WaterC'' Data'!$B$4:$B$8,0),MATCH(T111,'G-7 WaterC'' Data'!$H$3:$L$3,0)),"")</f>
        <v/>
      </c>
      <c r="V111" s="122"/>
      <c r="W111" s="382" t="str">
        <f>IF(V111="","",IF(VLOOKUP(V111,'G-7 WaterC'' Data'!$AK$4:$AM$6,2,FALSE)=0,"Spatial Data Missing ⚠",VLOOKUP(V111,'G-7 WaterC'' Data'!$AK$4:$AM$6,2,FALSE)))</f>
        <v/>
      </c>
      <c r="X111" s="386" t="str">
        <f>IF(V111="","",IF(VLOOKUP(V111,'G-7 WaterC'' Data'!$AK$4:$AM$6,3,FALSE)=0,"Spatial Data Missing ⚠",VLOOKUP(V111,'G-7 WaterC'' Data'!$AK$4:$AM$6,3,FALSE)))</f>
        <v/>
      </c>
      <c r="Y111" s="398" t="str">
        <f>IFERROR(IF(OR(LEFT(P111,5)="Error",LEFT(O111,5)="Error"),"Check Data ⚠",IF(F111&lt;S111,'G-7 WaterC'' Data'!$R$3,INDEX('G-7 WaterC'' Data'!$U$5:$Y$9,MATCH(G111,'G-7 WaterC'' Data'!$T$5:$T$9,0),MATCH(T111,'G-7 WaterC'' Data'!$U$4:$Y$4,0)))),"")</f>
        <v/>
      </c>
      <c r="Z111" s="165"/>
      <c r="AA111" s="165"/>
      <c r="AB111" s="395" t="str">
        <f t="shared" si="9"/>
        <v/>
      </c>
      <c r="AC111" s="383" t="str">
        <f t="shared" si="14"/>
        <v/>
      </c>
      <c r="AD111" s="422" t="str">
        <f>IFERROR(IF(AC111="Check Data ⚠","Check Data ⚠",VLOOKUP(AC111,'G-4 Temporal multipliers'!$A$4:$C$37,3,FALSE)),"")</f>
        <v/>
      </c>
      <c r="AE111" s="398" t="str">
        <f>IF(N111="","",VLOOKUP(N111,'G-7 WaterC'' Data'!$B$4:$G$8,5,FALSE))</f>
        <v/>
      </c>
      <c r="AF111" s="382" t="str">
        <f t="shared" si="10"/>
        <v/>
      </c>
      <c r="AG111" s="382" t="str">
        <f t="shared" si="15"/>
        <v/>
      </c>
      <c r="AH111" s="386" t="str">
        <f t="shared" si="11"/>
        <v/>
      </c>
      <c r="AI111" s="122"/>
      <c r="AJ111" s="363" t="str">
        <f>IF(AI111="","",IF(VLOOKUP(AI111,'G-7 WaterC'' Data'!$AA$4:$AB$7,2,FALSE)=0,"Spatial Data Missing ⚠",VLOOKUP(AI111,'G-7 WaterC'' Data'!$AA$4:$AB$7,2,FALSE)))</f>
        <v/>
      </c>
      <c r="AK111" s="123"/>
      <c r="AL111" s="397" t="str">
        <f>IF(AK111="","",IF(VLOOKUP(AK111,'G-7 WaterC'' Data'!$AD$4:$AE$14,2,FALSE)=0,"Spatial Data Missing ⚠",VLOOKUP(AK111,'G-7 WaterC'' Data'!$AD$4:$AE$14,2,FALSE)))</f>
        <v/>
      </c>
      <c r="AM111" s="122"/>
      <c r="AN111" s="363" t="str">
        <f>IF(AM111="","",IF(VLOOKUP(AM111,'G-7 WaterC'' Data'!$AO$4:$BO$7,2,FALSE)=0,"Spatial Data Missing ⚠",VLOOKUP(AM111,'G-7 WaterC'' Data'!$AO$4:$BO$7,2,FALSE)))</f>
        <v/>
      </c>
      <c r="AO111" s="405" t="str">
        <f t="shared" si="16"/>
        <v/>
      </c>
      <c r="AP111" s="405" t="str">
        <f t="shared" si="17"/>
        <v/>
      </c>
      <c r="AQ111" s="117"/>
      <c r="AR111" s="118"/>
      <c r="AS111" s="120"/>
      <c r="AT111" s="120"/>
      <c r="AY111" s="30" t="str">
        <f>IFERROR(INDEX('G-7 WaterC'' Data'!$AZ$3:$AZ$7,MATCH(N111,'G-7 WaterC'' Data'!$AY$3:$AY$7,0)),"")</f>
        <v/>
      </c>
    </row>
    <row r="112" spans="2:51" ht="15">
      <c r="B112" s="392" t="str">
        <f>'F-1 Off-Site WaterC'' Baseline'!AR110</f>
        <v/>
      </c>
      <c r="C112" s="382" t="str">
        <f>IF(B112="","",VLOOKUP($B112,'F-1 Off-Site WaterC'' Baseline'!$C$9:$R$257,2,FALSE))</f>
        <v/>
      </c>
      <c r="D112" s="382" t="str">
        <f>IF(C112="","",VLOOKUP($B112,'F-1 Off-Site WaterC'' Baseline'!$C$9:$R$257,3,FALSE))</f>
        <v/>
      </c>
      <c r="E112" s="382" t="str">
        <f>IF(D112="","",VLOOKUP($B112,'F-1 Off-Site WaterC'' Baseline'!$C$9:$R$257,4,FALSE))</f>
        <v/>
      </c>
      <c r="F112" s="382" t="str">
        <f>IF(E112="","",VLOOKUP($B112,'F-1 Off-Site WaterC'' Baseline'!$C$9:$R$257,5,FALSE))</f>
        <v/>
      </c>
      <c r="G112" s="382" t="str">
        <f>IF(F112="","",VLOOKUP($B112,'F-1 Off-Site WaterC'' Baseline'!$C$9:$R$257,6,FALSE))</f>
        <v/>
      </c>
      <c r="H112" s="382" t="str">
        <f>IF(G112="","",VLOOKUP($B112,'F-1 Off-Site WaterC'' Baseline'!$C$9:$R$257,7,FALSE))</f>
        <v/>
      </c>
      <c r="I112" s="382" t="str">
        <f>IF(H112="","",VLOOKUP($B112,'F-1 Off-Site WaterC'' Baseline'!$C$9:$R$257,8,FALSE))</f>
        <v/>
      </c>
      <c r="J112" s="382" t="str">
        <f>IF(I112="","",VLOOKUP($B112,'F-1 Off-Site WaterC'' Baseline'!$C$9:$R$257,9,FALSE))</f>
        <v/>
      </c>
      <c r="K112" s="382" t="str">
        <f>IF(J112="","",VLOOKUP($B112,'F-1 Off-Site WaterC'' Baseline'!$C$9:$R$257,10,FALSE))</f>
        <v/>
      </c>
      <c r="L112" s="382" t="str">
        <f>IF(B112="","",VLOOKUP($B112,'F-1 Off-Site WaterC'' Baseline'!$C$9:$R$257,15,FALSE))</f>
        <v/>
      </c>
      <c r="M112" s="386" t="str">
        <f>IF(L112="","",VLOOKUP($B112,'F-1 Off-Site WaterC'' Baseline'!$C$9:$R$257,16,FALSE))</f>
        <v/>
      </c>
      <c r="N112" s="316" t="str">
        <f t="shared" si="12"/>
        <v/>
      </c>
      <c r="O112" s="362" t="str">
        <f t="shared" si="13"/>
        <v/>
      </c>
      <c r="P112" s="363" t="str">
        <f>IF(C112="","",IF(AND(LEFT(C112,55)&lt;&gt;LEFT(N112,55),O112="High - High"),"Error - Not like for like ▲",IF(H112&gt;U112,"Error - Can not reduce condition ▲",IF(AND(F112=S112,H112=U112,AJ112='F-1 Off-Site WaterC'' Baseline'!N110,'F-1 Off-Site WaterC'' Baseline'!P110=AL112),"Error - No enhancement ▲",IF(AND(C112&lt;&gt;N112,F112&lt;S112),"Lower Distinctiveness Habitat"&amp;" - "&amp;T112,G112&amp;" - "&amp;T112)))))</f>
        <v/>
      </c>
      <c r="Q112" s="368" t="str">
        <f>IF(N112="","",VLOOKUP(B112,'F-1 Off-Site WaterC'' Baseline'!$C$10:$AE$257,22,FALSE))</f>
        <v/>
      </c>
      <c r="R112" s="362" t="str">
        <f>IF(N112="","",VLOOKUP(N112,'G-7 WaterC'' Data'!$B$2:$G$8,2,FALSE))</f>
        <v/>
      </c>
      <c r="S112" s="363" t="str">
        <f>IFERROR(VLOOKUP(R112,'G-7 WaterC'' Data'!$C$4:$D$8,2,FALSE),"")</f>
        <v/>
      </c>
      <c r="T112" s="114"/>
      <c r="U112" s="363" t="str">
        <f>IFERROR(INDEX('G-7 WaterC'' Data'!$H$4:$L$8,MATCH(N112,'G-7 WaterC'' Data'!$B$4:$B$8,0),MATCH(T112,'G-7 WaterC'' Data'!$H$3:$L$3,0)),"")</f>
        <v/>
      </c>
      <c r="V112" s="122"/>
      <c r="W112" s="382" t="str">
        <f>IF(V112="","",IF(VLOOKUP(V112,'G-7 WaterC'' Data'!$AK$4:$AM$6,2,FALSE)=0,"Spatial Data Missing ⚠",VLOOKUP(V112,'G-7 WaterC'' Data'!$AK$4:$AM$6,2,FALSE)))</f>
        <v/>
      </c>
      <c r="X112" s="386" t="str">
        <f>IF(V112="","",IF(VLOOKUP(V112,'G-7 WaterC'' Data'!$AK$4:$AM$6,3,FALSE)=0,"Spatial Data Missing ⚠",VLOOKUP(V112,'G-7 WaterC'' Data'!$AK$4:$AM$6,3,FALSE)))</f>
        <v/>
      </c>
      <c r="Y112" s="398" t="str">
        <f>IFERROR(IF(OR(LEFT(P112,5)="Error",LEFT(O112,5)="Error"),"Check Data ⚠",IF(F112&lt;S112,'G-7 WaterC'' Data'!$R$3,INDEX('G-7 WaterC'' Data'!$U$5:$Y$9,MATCH(G112,'G-7 WaterC'' Data'!$T$5:$T$9,0),MATCH(T112,'G-7 WaterC'' Data'!$U$4:$Y$4,0)))),"")</f>
        <v/>
      </c>
      <c r="Z112" s="165"/>
      <c r="AA112" s="165"/>
      <c r="AB112" s="395" t="str">
        <f t="shared" si="9"/>
        <v/>
      </c>
      <c r="AC112" s="383" t="str">
        <f t="shared" si="14"/>
        <v/>
      </c>
      <c r="AD112" s="422" t="str">
        <f>IFERROR(IF(AC112="Check Data ⚠","Check Data ⚠",VLOOKUP(AC112,'G-4 Temporal multipliers'!$A$4:$C$37,3,FALSE)),"")</f>
        <v/>
      </c>
      <c r="AE112" s="398" t="str">
        <f>IF(N112="","",VLOOKUP(N112,'G-7 WaterC'' Data'!$B$4:$G$8,5,FALSE))</f>
        <v/>
      </c>
      <c r="AF112" s="382" t="str">
        <f t="shared" si="10"/>
        <v/>
      </c>
      <c r="AG112" s="382" t="str">
        <f t="shared" si="15"/>
        <v/>
      </c>
      <c r="AH112" s="386" t="str">
        <f t="shared" si="11"/>
        <v/>
      </c>
      <c r="AI112" s="122"/>
      <c r="AJ112" s="363" t="str">
        <f>IF(AI112="","",IF(VLOOKUP(AI112,'G-7 WaterC'' Data'!$AA$4:$AB$7,2,FALSE)=0,"Spatial Data Missing ⚠",VLOOKUP(AI112,'G-7 WaterC'' Data'!$AA$4:$AB$7,2,FALSE)))</f>
        <v/>
      </c>
      <c r="AK112" s="123"/>
      <c r="AL112" s="397" t="str">
        <f>IF(AK112="","",IF(VLOOKUP(AK112,'G-7 WaterC'' Data'!$AD$4:$AE$14,2,FALSE)=0,"Spatial Data Missing ⚠",VLOOKUP(AK112,'G-7 WaterC'' Data'!$AD$4:$AE$14,2,FALSE)))</f>
        <v/>
      </c>
      <c r="AM112" s="122"/>
      <c r="AN112" s="363" t="str">
        <f>IF(AM112="","",IF(VLOOKUP(AM112,'G-7 WaterC'' Data'!$AO$4:$BO$7,2,FALSE)=0,"Spatial Data Missing ⚠",VLOOKUP(AM112,'G-7 WaterC'' Data'!$AO$4:$BO$7,2,FALSE)))</f>
        <v/>
      </c>
      <c r="AO112" s="405" t="str">
        <f t="shared" si="16"/>
        <v/>
      </c>
      <c r="AP112" s="405" t="str">
        <f t="shared" si="17"/>
        <v/>
      </c>
      <c r="AQ112" s="117"/>
      <c r="AR112" s="118"/>
      <c r="AS112" s="120"/>
      <c r="AT112" s="120"/>
      <c r="AY112" s="30" t="str">
        <f>IFERROR(INDEX('G-7 WaterC'' Data'!$AZ$3:$AZ$7,MATCH(N112,'G-7 WaterC'' Data'!$AY$3:$AY$7,0)),"")</f>
        <v/>
      </c>
    </row>
    <row r="113" spans="2:51" ht="15">
      <c r="B113" s="392" t="str">
        <f>'F-1 Off-Site WaterC'' Baseline'!AR111</f>
        <v/>
      </c>
      <c r="C113" s="382" t="str">
        <f>IF(B113="","",VLOOKUP($B113,'F-1 Off-Site WaterC'' Baseline'!$C$9:$R$257,2,FALSE))</f>
        <v/>
      </c>
      <c r="D113" s="382" t="str">
        <f>IF(C113="","",VLOOKUP($B113,'F-1 Off-Site WaterC'' Baseline'!$C$9:$R$257,3,FALSE))</f>
        <v/>
      </c>
      <c r="E113" s="382" t="str">
        <f>IF(D113="","",VLOOKUP($B113,'F-1 Off-Site WaterC'' Baseline'!$C$9:$R$257,4,FALSE))</f>
        <v/>
      </c>
      <c r="F113" s="382" t="str">
        <f>IF(E113="","",VLOOKUP($B113,'F-1 Off-Site WaterC'' Baseline'!$C$9:$R$257,5,FALSE))</f>
        <v/>
      </c>
      <c r="G113" s="382" t="str">
        <f>IF(F113="","",VLOOKUP($B113,'F-1 Off-Site WaterC'' Baseline'!$C$9:$R$257,6,FALSE))</f>
        <v/>
      </c>
      <c r="H113" s="382" t="str">
        <f>IF(G113="","",VLOOKUP($B113,'F-1 Off-Site WaterC'' Baseline'!$C$9:$R$257,7,FALSE))</f>
        <v/>
      </c>
      <c r="I113" s="382" t="str">
        <f>IF(H113="","",VLOOKUP($B113,'F-1 Off-Site WaterC'' Baseline'!$C$9:$R$257,8,FALSE))</f>
        <v/>
      </c>
      <c r="J113" s="382" t="str">
        <f>IF(I113="","",VLOOKUP($B113,'F-1 Off-Site WaterC'' Baseline'!$C$9:$R$257,9,FALSE))</f>
        <v/>
      </c>
      <c r="K113" s="382" t="str">
        <f>IF(J113="","",VLOOKUP($B113,'F-1 Off-Site WaterC'' Baseline'!$C$9:$R$257,10,FALSE))</f>
        <v/>
      </c>
      <c r="L113" s="382" t="str">
        <f>IF(B113="","",VLOOKUP($B113,'F-1 Off-Site WaterC'' Baseline'!$C$9:$R$257,15,FALSE))</f>
        <v/>
      </c>
      <c r="M113" s="386" t="str">
        <f>IF(L113="","",VLOOKUP($B113,'F-1 Off-Site WaterC'' Baseline'!$C$9:$R$257,16,FALSE))</f>
        <v/>
      </c>
      <c r="N113" s="316" t="str">
        <f t="shared" si="12"/>
        <v/>
      </c>
      <c r="O113" s="362" t="str">
        <f t="shared" si="13"/>
        <v/>
      </c>
      <c r="P113" s="363" t="str">
        <f>IF(C113="","",IF(AND(LEFT(C113,55)&lt;&gt;LEFT(N113,55),O113="High - High"),"Error - Not like for like ▲",IF(H113&gt;U113,"Error - Can not reduce condition ▲",IF(AND(F113=S113,H113=U113,AJ113='F-1 Off-Site WaterC'' Baseline'!N111,'F-1 Off-Site WaterC'' Baseline'!P111=AL113),"Error - No enhancement ▲",IF(AND(C113&lt;&gt;N113,F113&lt;S113),"Lower Distinctiveness Habitat"&amp;" - "&amp;T113,G113&amp;" - "&amp;T113)))))</f>
        <v/>
      </c>
      <c r="Q113" s="368" t="str">
        <f>IF(N113="","",VLOOKUP(B113,'F-1 Off-Site WaterC'' Baseline'!$C$10:$AE$257,22,FALSE))</f>
        <v/>
      </c>
      <c r="R113" s="362" t="str">
        <f>IF(N113="","",VLOOKUP(N113,'G-7 WaterC'' Data'!$B$2:$G$8,2,FALSE))</f>
        <v/>
      </c>
      <c r="S113" s="363" t="str">
        <f>IFERROR(VLOOKUP(R113,'G-7 WaterC'' Data'!$C$4:$D$8,2,FALSE),"")</f>
        <v/>
      </c>
      <c r="T113" s="114"/>
      <c r="U113" s="363" t="str">
        <f>IFERROR(INDEX('G-7 WaterC'' Data'!$H$4:$L$8,MATCH(N113,'G-7 WaterC'' Data'!$B$4:$B$8,0),MATCH(T113,'G-7 WaterC'' Data'!$H$3:$L$3,0)),"")</f>
        <v/>
      </c>
      <c r="V113" s="122"/>
      <c r="W113" s="382" t="str">
        <f>IF(V113="","",IF(VLOOKUP(V113,'G-7 WaterC'' Data'!$AK$4:$AM$6,2,FALSE)=0,"Spatial Data Missing ⚠",VLOOKUP(V113,'G-7 WaterC'' Data'!$AK$4:$AM$6,2,FALSE)))</f>
        <v/>
      </c>
      <c r="X113" s="386" t="str">
        <f>IF(V113="","",IF(VLOOKUP(V113,'G-7 WaterC'' Data'!$AK$4:$AM$6,3,FALSE)=0,"Spatial Data Missing ⚠",VLOOKUP(V113,'G-7 WaterC'' Data'!$AK$4:$AM$6,3,FALSE)))</f>
        <v/>
      </c>
      <c r="Y113" s="398" t="str">
        <f>IFERROR(IF(OR(LEFT(P113,5)="Error",LEFT(O113,5)="Error"),"Check Data ⚠",IF(F113&lt;S113,'G-7 WaterC'' Data'!$R$3,INDEX('G-7 WaterC'' Data'!$U$5:$Y$9,MATCH(G113,'G-7 WaterC'' Data'!$T$5:$T$9,0),MATCH(T113,'G-7 WaterC'' Data'!$U$4:$Y$4,0)))),"")</f>
        <v/>
      </c>
      <c r="Z113" s="165"/>
      <c r="AA113" s="165"/>
      <c r="AB113" s="395" t="str">
        <f t="shared" si="9"/>
        <v/>
      </c>
      <c r="AC113" s="383" t="str">
        <f t="shared" si="14"/>
        <v/>
      </c>
      <c r="AD113" s="422" t="str">
        <f>IFERROR(IF(AC113="Check Data ⚠","Check Data ⚠",VLOOKUP(AC113,'G-4 Temporal multipliers'!$A$4:$C$37,3,FALSE)),"")</f>
        <v/>
      </c>
      <c r="AE113" s="398" t="str">
        <f>IF(N113="","",VLOOKUP(N113,'G-7 WaterC'' Data'!$B$4:$G$8,5,FALSE))</f>
        <v/>
      </c>
      <c r="AF113" s="382" t="str">
        <f t="shared" si="10"/>
        <v/>
      </c>
      <c r="AG113" s="382" t="str">
        <f t="shared" si="15"/>
        <v/>
      </c>
      <c r="AH113" s="386" t="str">
        <f t="shared" si="11"/>
        <v/>
      </c>
      <c r="AI113" s="122"/>
      <c r="AJ113" s="363" t="str">
        <f>IF(AI113="","",IF(VLOOKUP(AI113,'G-7 WaterC'' Data'!$AA$4:$AB$7,2,FALSE)=0,"Spatial Data Missing ⚠",VLOOKUP(AI113,'G-7 WaterC'' Data'!$AA$4:$AB$7,2,FALSE)))</f>
        <v/>
      </c>
      <c r="AK113" s="123"/>
      <c r="AL113" s="397" t="str">
        <f>IF(AK113="","",IF(VLOOKUP(AK113,'G-7 WaterC'' Data'!$AD$4:$AE$14,2,FALSE)=0,"Spatial Data Missing ⚠",VLOOKUP(AK113,'G-7 WaterC'' Data'!$AD$4:$AE$14,2,FALSE)))</f>
        <v/>
      </c>
      <c r="AM113" s="122"/>
      <c r="AN113" s="363" t="str">
        <f>IF(AM113="","",IF(VLOOKUP(AM113,'G-7 WaterC'' Data'!$AO$4:$BO$7,2,FALSE)=0,"Spatial Data Missing ⚠",VLOOKUP(AM113,'G-7 WaterC'' Data'!$AO$4:$BO$7,2,FALSE)))</f>
        <v/>
      </c>
      <c r="AO113" s="405" t="str">
        <f t="shared" si="16"/>
        <v/>
      </c>
      <c r="AP113" s="405" t="str">
        <f t="shared" si="17"/>
        <v/>
      </c>
      <c r="AQ113" s="117"/>
      <c r="AR113" s="118"/>
      <c r="AS113" s="120"/>
      <c r="AT113" s="120"/>
      <c r="AY113" s="30" t="str">
        <f>IFERROR(INDEX('G-7 WaterC'' Data'!$AZ$3:$AZ$7,MATCH(N113,'G-7 WaterC'' Data'!$AY$3:$AY$7,0)),"")</f>
        <v/>
      </c>
    </row>
    <row r="114" spans="2:51" ht="15">
      <c r="B114" s="392" t="str">
        <f>'F-1 Off-Site WaterC'' Baseline'!AR112</f>
        <v/>
      </c>
      <c r="C114" s="382" t="str">
        <f>IF(B114="","",VLOOKUP($B114,'F-1 Off-Site WaterC'' Baseline'!$C$9:$R$257,2,FALSE))</f>
        <v/>
      </c>
      <c r="D114" s="382" t="str">
        <f>IF(C114="","",VLOOKUP($B114,'F-1 Off-Site WaterC'' Baseline'!$C$9:$R$257,3,FALSE))</f>
        <v/>
      </c>
      <c r="E114" s="382" t="str">
        <f>IF(D114="","",VLOOKUP($B114,'F-1 Off-Site WaterC'' Baseline'!$C$9:$R$257,4,FALSE))</f>
        <v/>
      </c>
      <c r="F114" s="382" t="str">
        <f>IF(E114="","",VLOOKUP($B114,'F-1 Off-Site WaterC'' Baseline'!$C$9:$R$257,5,FALSE))</f>
        <v/>
      </c>
      <c r="G114" s="382" t="str">
        <f>IF(F114="","",VLOOKUP($B114,'F-1 Off-Site WaterC'' Baseline'!$C$9:$R$257,6,FALSE))</f>
        <v/>
      </c>
      <c r="H114" s="382" t="str">
        <f>IF(G114="","",VLOOKUP($B114,'F-1 Off-Site WaterC'' Baseline'!$C$9:$R$257,7,FALSE))</f>
        <v/>
      </c>
      <c r="I114" s="382" t="str">
        <f>IF(H114="","",VLOOKUP($B114,'F-1 Off-Site WaterC'' Baseline'!$C$9:$R$257,8,FALSE))</f>
        <v/>
      </c>
      <c r="J114" s="382" t="str">
        <f>IF(I114="","",VLOOKUP($B114,'F-1 Off-Site WaterC'' Baseline'!$C$9:$R$257,9,FALSE))</f>
        <v/>
      </c>
      <c r="K114" s="382" t="str">
        <f>IF(J114="","",VLOOKUP($B114,'F-1 Off-Site WaterC'' Baseline'!$C$9:$R$257,10,FALSE))</f>
        <v/>
      </c>
      <c r="L114" s="382" t="str">
        <f>IF(B114="","",VLOOKUP($B114,'F-1 Off-Site WaterC'' Baseline'!$C$9:$R$257,15,FALSE))</f>
        <v/>
      </c>
      <c r="M114" s="386" t="str">
        <f>IF(L114="","",VLOOKUP($B114,'F-1 Off-Site WaterC'' Baseline'!$C$9:$R$257,16,FALSE))</f>
        <v/>
      </c>
      <c r="N114" s="316" t="str">
        <f t="shared" si="12"/>
        <v/>
      </c>
      <c r="O114" s="362" t="str">
        <f t="shared" si="13"/>
        <v/>
      </c>
      <c r="P114" s="363" t="str">
        <f>IF(C114="","",IF(AND(LEFT(C114,55)&lt;&gt;LEFT(N114,55),O114="High - High"),"Error - Not like for like ▲",IF(H114&gt;U114,"Error - Can not reduce condition ▲",IF(AND(F114=S114,H114=U114,AJ114='F-1 Off-Site WaterC'' Baseline'!N112,'F-1 Off-Site WaterC'' Baseline'!P112=AL114),"Error - No enhancement ▲",IF(AND(C114&lt;&gt;N114,F114&lt;S114),"Lower Distinctiveness Habitat"&amp;" - "&amp;T114,G114&amp;" - "&amp;T114)))))</f>
        <v/>
      </c>
      <c r="Q114" s="368" t="str">
        <f>IF(N114="","",VLOOKUP(B114,'F-1 Off-Site WaterC'' Baseline'!$C$10:$AE$257,22,FALSE))</f>
        <v/>
      </c>
      <c r="R114" s="362" t="str">
        <f>IF(N114="","",VLOOKUP(N114,'G-7 WaterC'' Data'!$B$2:$G$8,2,FALSE))</f>
        <v/>
      </c>
      <c r="S114" s="363" t="str">
        <f>IFERROR(VLOOKUP(R114,'G-7 WaterC'' Data'!$C$4:$D$8,2,FALSE),"")</f>
        <v/>
      </c>
      <c r="T114" s="114"/>
      <c r="U114" s="363" t="str">
        <f>IFERROR(INDEX('G-7 WaterC'' Data'!$H$4:$L$8,MATCH(N114,'G-7 WaterC'' Data'!$B$4:$B$8,0),MATCH(T114,'G-7 WaterC'' Data'!$H$3:$L$3,0)),"")</f>
        <v/>
      </c>
      <c r="V114" s="122"/>
      <c r="W114" s="382" t="str">
        <f>IF(V114="","",IF(VLOOKUP(V114,'G-7 WaterC'' Data'!$AK$4:$AM$6,2,FALSE)=0,"Spatial Data Missing ⚠",VLOOKUP(V114,'G-7 WaterC'' Data'!$AK$4:$AM$6,2,FALSE)))</f>
        <v/>
      </c>
      <c r="X114" s="386" t="str">
        <f>IF(V114="","",IF(VLOOKUP(V114,'G-7 WaterC'' Data'!$AK$4:$AM$6,3,FALSE)=0,"Spatial Data Missing ⚠",VLOOKUP(V114,'G-7 WaterC'' Data'!$AK$4:$AM$6,3,FALSE)))</f>
        <v/>
      </c>
      <c r="Y114" s="398" t="str">
        <f>IFERROR(IF(OR(LEFT(P114,5)="Error",LEFT(O114,5)="Error"),"Check Data ⚠",IF(F114&lt;S114,'G-7 WaterC'' Data'!$R$3,INDEX('G-7 WaterC'' Data'!$U$5:$Y$9,MATCH(G114,'G-7 WaterC'' Data'!$T$5:$T$9,0),MATCH(T114,'G-7 WaterC'' Data'!$U$4:$Y$4,0)))),"")</f>
        <v/>
      </c>
      <c r="Z114" s="165"/>
      <c r="AA114" s="165"/>
      <c r="AB114" s="395" t="str">
        <f t="shared" si="9"/>
        <v/>
      </c>
      <c r="AC114" s="383" t="str">
        <f t="shared" si="14"/>
        <v/>
      </c>
      <c r="AD114" s="422" t="str">
        <f>IFERROR(IF(AC114="Check Data ⚠","Check Data ⚠",VLOOKUP(AC114,'G-4 Temporal multipliers'!$A$4:$C$37,3,FALSE)),"")</f>
        <v/>
      </c>
      <c r="AE114" s="398" t="str">
        <f>IF(N114="","",VLOOKUP(N114,'G-7 WaterC'' Data'!$B$4:$G$8,5,FALSE))</f>
        <v/>
      </c>
      <c r="AF114" s="382" t="str">
        <f t="shared" si="10"/>
        <v/>
      </c>
      <c r="AG114" s="382" t="str">
        <f t="shared" si="15"/>
        <v/>
      </c>
      <c r="AH114" s="386" t="str">
        <f t="shared" si="11"/>
        <v/>
      </c>
      <c r="AI114" s="122"/>
      <c r="AJ114" s="363" t="str">
        <f>IF(AI114="","",IF(VLOOKUP(AI114,'G-7 WaterC'' Data'!$AA$4:$AB$7,2,FALSE)=0,"Spatial Data Missing ⚠",VLOOKUP(AI114,'G-7 WaterC'' Data'!$AA$4:$AB$7,2,FALSE)))</f>
        <v/>
      </c>
      <c r="AK114" s="123"/>
      <c r="AL114" s="397" t="str">
        <f>IF(AK114="","",IF(VLOOKUP(AK114,'G-7 WaterC'' Data'!$AD$4:$AE$14,2,FALSE)=0,"Spatial Data Missing ⚠",VLOOKUP(AK114,'G-7 WaterC'' Data'!$AD$4:$AE$14,2,FALSE)))</f>
        <v/>
      </c>
      <c r="AM114" s="122"/>
      <c r="AN114" s="363" t="str">
        <f>IF(AM114="","",IF(VLOOKUP(AM114,'G-7 WaterC'' Data'!$AO$4:$BO$7,2,FALSE)=0,"Spatial Data Missing ⚠",VLOOKUP(AM114,'G-7 WaterC'' Data'!$AO$4:$BO$7,2,FALSE)))</f>
        <v/>
      </c>
      <c r="AO114" s="405" t="str">
        <f t="shared" si="16"/>
        <v/>
      </c>
      <c r="AP114" s="405" t="str">
        <f t="shared" si="17"/>
        <v/>
      </c>
      <c r="AQ114" s="117"/>
      <c r="AR114" s="118"/>
      <c r="AS114" s="120"/>
      <c r="AT114" s="120"/>
      <c r="AY114" s="30" t="str">
        <f>IFERROR(INDEX('G-7 WaterC'' Data'!$AZ$3:$AZ$7,MATCH(N114,'G-7 WaterC'' Data'!$AY$3:$AY$7,0)),"")</f>
        <v/>
      </c>
    </row>
    <row r="115" spans="2:51" ht="15">
      <c r="B115" s="392" t="str">
        <f>'F-1 Off-Site WaterC'' Baseline'!AR113</f>
        <v/>
      </c>
      <c r="C115" s="382" t="str">
        <f>IF(B115="","",VLOOKUP($B115,'F-1 Off-Site WaterC'' Baseline'!$C$9:$R$257,2,FALSE))</f>
        <v/>
      </c>
      <c r="D115" s="382" t="str">
        <f>IF(C115="","",VLOOKUP($B115,'F-1 Off-Site WaterC'' Baseline'!$C$9:$R$257,3,FALSE))</f>
        <v/>
      </c>
      <c r="E115" s="382" t="str">
        <f>IF(D115="","",VLOOKUP($B115,'F-1 Off-Site WaterC'' Baseline'!$C$9:$R$257,4,FALSE))</f>
        <v/>
      </c>
      <c r="F115" s="382" t="str">
        <f>IF(E115="","",VLOOKUP($B115,'F-1 Off-Site WaterC'' Baseline'!$C$9:$R$257,5,FALSE))</f>
        <v/>
      </c>
      <c r="G115" s="382" t="str">
        <f>IF(F115="","",VLOOKUP($B115,'F-1 Off-Site WaterC'' Baseline'!$C$9:$R$257,6,FALSE))</f>
        <v/>
      </c>
      <c r="H115" s="382" t="str">
        <f>IF(G115="","",VLOOKUP($B115,'F-1 Off-Site WaterC'' Baseline'!$C$9:$R$257,7,FALSE))</f>
        <v/>
      </c>
      <c r="I115" s="382" t="str">
        <f>IF(H115="","",VLOOKUP($B115,'F-1 Off-Site WaterC'' Baseline'!$C$9:$R$257,8,FALSE))</f>
        <v/>
      </c>
      <c r="J115" s="382" t="str">
        <f>IF(I115="","",VLOOKUP($B115,'F-1 Off-Site WaterC'' Baseline'!$C$9:$R$257,9,FALSE))</f>
        <v/>
      </c>
      <c r="K115" s="382" t="str">
        <f>IF(J115="","",VLOOKUP($B115,'F-1 Off-Site WaterC'' Baseline'!$C$9:$R$257,10,FALSE))</f>
        <v/>
      </c>
      <c r="L115" s="382" t="str">
        <f>IF(B115="","",VLOOKUP($B115,'F-1 Off-Site WaterC'' Baseline'!$C$9:$R$257,15,FALSE))</f>
        <v/>
      </c>
      <c r="M115" s="386" t="str">
        <f>IF(L115="","",VLOOKUP($B115,'F-1 Off-Site WaterC'' Baseline'!$C$9:$R$257,16,FALSE))</f>
        <v/>
      </c>
      <c r="N115" s="316" t="str">
        <f t="shared" si="12"/>
        <v/>
      </c>
      <c r="O115" s="362" t="str">
        <f t="shared" si="13"/>
        <v/>
      </c>
      <c r="P115" s="363" t="str">
        <f>IF(C115="","",IF(AND(LEFT(C115,55)&lt;&gt;LEFT(N115,55),O115="High - High"),"Error - Not like for like ▲",IF(H115&gt;U115,"Error - Can not reduce condition ▲",IF(AND(F115=S115,H115=U115,AJ115='F-1 Off-Site WaterC'' Baseline'!N113,'F-1 Off-Site WaterC'' Baseline'!P113=AL115),"Error - No enhancement ▲",IF(AND(C115&lt;&gt;N115,F115&lt;S115),"Lower Distinctiveness Habitat"&amp;" - "&amp;T115,G115&amp;" - "&amp;T115)))))</f>
        <v/>
      </c>
      <c r="Q115" s="368" t="str">
        <f>IF(N115="","",VLOOKUP(B115,'F-1 Off-Site WaterC'' Baseline'!$C$10:$AE$257,22,FALSE))</f>
        <v/>
      </c>
      <c r="R115" s="362" t="str">
        <f>IF(N115="","",VLOOKUP(N115,'G-7 WaterC'' Data'!$B$2:$G$8,2,FALSE))</f>
        <v/>
      </c>
      <c r="S115" s="363" t="str">
        <f>IFERROR(VLOOKUP(R115,'G-7 WaterC'' Data'!$C$4:$D$8,2,FALSE),"")</f>
        <v/>
      </c>
      <c r="T115" s="114"/>
      <c r="U115" s="363" t="str">
        <f>IFERROR(INDEX('G-7 WaterC'' Data'!$H$4:$L$8,MATCH(N115,'G-7 WaterC'' Data'!$B$4:$B$8,0),MATCH(T115,'G-7 WaterC'' Data'!$H$3:$L$3,0)),"")</f>
        <v/>
      </c>
      <c r="V115" s="122"/>
      <c r="W115" s="382" t="str">
        <f>IF(V115="","",IF(VLOOKUP(V115,'G-7 WaterC'' Data'!$AK$4:$AM$6,2,FALSE)=0,"Spatial Data Missing ⚠",VLOOKUP(V115,'G-7 WaterC'' Data'!$AK$4:$AM$6,2,FALSE)))</f>
        <v/>
      </c>
      <c r="X115" s="386" t="str">
        <f>IF(V115="","",IF(VLOOKUP(V115,'G-7 WaterC'' Data'!$AK$4:$AM$6,3,FALSE)=0,"Spatial Data Missing ⚠",VLOOKUP(V115,'G-7 WaterC'' Data'!$AK$4:$AM$6,3,FALSE)))</f>
        <v/>
      </c>
      <c r="Y115" s="398" t="str">
        <f>IFERROR(IF(OR(LEFT(P115,5)="Error",LEFT(O115,5)="Error"),"Check Data ⚠",IF(F115&lt;S115,'G-7 WaterC'' Data'!$R$3,INDEX('G-7 WaterC'' Data'!$U$5:$Y$9,MATCH(G115,'G-7 WaterC'' Data'!$T$5:$T$9,0),MATCH(T115,'G-7 WaterC'' Data'!$U$4:$Y$4,0)))),"")</f>
        <v/>
      </c>
      <c r="Z115" s="165"/>
      <c r="AA115" s="165"/>
      <c r="AB115" s="395" t="str">
        <f t="shared" si="9"/>
        <v/>
      </c>
      <c r="AC115" s="383" t="str">
        <f t="shared" si="14"/>
        <v/>
      </c>
      <c r="AD115" s="422" t="str">
        <f>IFERROR(IF(AC115="Check Data ⚠","Check Data ⚠",VLOOKUP(AC115,'G-4 Temporal multipliers'!$A$4:$C$37,3,FALSE)),"")</f>
        <v/>
      </c>
      <c r="AE115" s="398" t="str">
        <f>IF(N115="","",VLOOKUP(N115,'G-7 WaterC'' Data'!$B$4:$G$8,5,FALSE))</f>
        <v/>
      </c>
      <c r="AF115" s="382" t="str">
        <f t="shared" si="10"/>
        <v/>
      </c>
      <c r="AG115" s="382" t="str">
        <f t="shared" si="15"/>
        <v/>
      </c>
      <c r="AH115" s="386" t="str">
        <f t="shared" si="11"/>
        <v/>
      </c>
      <c r="AI115" s="122"/>
      <c r="AJ115" s="363" t="str">
        <f>IF(AI115="","",IF(VLOOKUP(AI115,'G-7 WaterC'' Data'!$AA$4:$AB$7,2,FALSE)=0,"Spatial Data Missing ⚠",VLOOKUP(AI115,'G-7 WaterC'' Data'!$AA$4:$AB$7,2,FALSE)))</f>
        <v/>
      </c>
      <c r="AK115" s="123"/>
      <c r="AL115" s="397" t="str">
        <f>IF(AK115="","",IF(VLOOKUP(AK115,'G-7 WaterC'' Data'!$AD$4:$AE$14,2,FALSE)=0,"Spatial Data Missing ⚠",VLOOKUP(AK115,'G-7 WaterC'' Data'!$AD$4:$AE$14,2,FALSE)))</f>
        <v/>
      </c>
      <c r="AM115" s="122"/>
      <c r="AN115" s="363" t="str">
        <f>IF(AM115="","",IF(VLOOKUP(AM115,'G-7 WaterC'' Data'!$AO$4:$BO$7,2,FALSE)=0,"Spatial Data Missing ⚠",VLOOKUP(AM115,'G-7 WaterC'' Data'!$AO$4:$BO$7,2,FALSE)))</f>
        <v/>
      </c>
      <c r="AO115" s="405" t="str">
        <f t="shared" si="16"/>
        <v/>
      </c>
      <c r="AP115" s="405" t="str">
        <f t="shared" si="17"/>
        <v/>
      </c>
      <c r="AQ115" s="117"/>
      <c r="AR115" s="118"/>
      <c r="AS115" s="120"/>
      <c r="AT115" s="120"/>
      <c r="AY115" s="30" t="str">
        <f>IFERROR(INDEX('G-7 WaterC'' Data'!$AZ$3:$AZ$7,MATCH(N115,'G-7 WaterC'' Data'!$AY$3:$AY$7,0)),"")</f>
        <v/>
      </c>
    </row>
    <row r="116" spans="2:51" ht="15">
      <c r="B116" s="392" t="str">
        <f>'F-1 Off-Site WaterC'' Baseline'!AR114</f>
        <v/>
      </c>
      <c r="C116" s="382" t="str">
        <f>IF(B116="","",VLOOKUP($B116,'F-1 Off-Site WaterC'' Baseline'!$C$9:$R$257,2,FALSE))</f>
        <v/>
      </c>
      <c r="D116" s="382" t="str">
        <f>IF(C116="","",VLOOKUP($B116,'F-1 Off-Site WaterC'' Baseline'!$C$9:$R$257,3,FALSE))</f>
        <v/>
      </c>
      <c r="E116" s="382" t="str">
        <f>IF(D116="","",VLOOKUP($B116,'F-1 Off-Site WaterC'' Baseline'!$C$9:$R$257,4,FALSE))</f>
        <v/>
      </c>
      <c r="F116" s="382" t="str">
        <f>IF(E116="","",VLOOKUP($B116,'F-1 Off-Site WaterC'' Baseline'!$C$9:$R$257,5,FALSE))</f>
        <v/>
      </c>
      <c r="G116" s="382" t="str">
        <f>IF(F116="","",VLOOKUP($B116,'F-1 Off-Site WaterC'' Baseline'!$C$9:$R$257,6,FALSE))</f>
        <v/>
      </c>
      <c r="H116" s="382" t="str">
        <f>IF(G116="","",VLOOKUP($B116,'F-1 Off-Site WaterC'' Baseline'!$C$9:$R$257,7,FALSE))</f>
        <v/>
      </c>
      <c r="I116" s="382" t="str">
        <f>IF(H116="","",VLOOKUP($B116,'F-1 Off-Site WaterC'' Baseline'!$C$9:$R$257,8,FALSE))</f>
        <v/>
      </c>
      <c r="J116" s="382" t="str">
        <f>IF(I116="","",VLOOKUP($B116,'F-1 Off-Site WaterC'' Baseline'!$C$9:$R$257,9,FALSE))</f>
        <v/>
      </c>
      <c r="K116" s="382" t="str">
        <f>IF(J116="","",VLOOKUP($B116,'F-1 Off-Site WaterC'' Baseline'!$C$9:$R$257,10,FALSE))</f>
        <v/>
      </c>
      <c r="L116" s="382" t="str">
        <f>IF(B116="","",VLOOKUP($B116,'F-1 Off-Site WaterC'' Baseline'!$C$9:$R$257,15,FALSE))</f>
        <v/>
      </c>
      <c r="M116" s="386" t="str">
        <f>IF(L116="","",VLOOKUP($B116,'F-1 Off-Site WaterC'' Baseline'!$C$9:$R$257,16,FALSE))</f>
        <v/>
      </c>
      <c r="N116" s="316" t="str">
        <f t="shared" si="12"/>
        <v/>
      </c>
      <c r="O116" s="362" t="str">
        <f t="shared" si="13"/>
        <v/>
      </c>
      <c r="P116" s="363" t="str">
        <f>IF(C116="","",IF(AND(LEFT(C116,55)&lt;&gt;LEFT(N116,55),O116="High - High"),"Error - Not like for like ▲",IF(H116&gt;U116,"Error - Can not reduce condition ▲",IF(AND(F116=S116,H116=U116,AJ116='F-1 Off-Site WaterC'' Baseline'!N114,'F-1 Off-Site WaterC'' Baseline'!P114=AL116),"Error - No enhancement ▲",IF(AND(C116&lt;&gt;N116,F116&lt;S116),"Lower Distinctiveness Habitat"&amp;" - "&amp;T116,G116&amp;" - "&amp;T116)))))</f>
        <v/>
      </c>
      <c r="Q116" s="368" t="str">
        <f>IF(N116="","",VLOOKUP(B116,'F-1 Off-Site WaterC'' Baseline'!$C$10:$AE$257,22,FALSE))</f>
        <v/>
      </c>
      <c r="R116" s="362" t="str">
        <f>IF(N116="","",VLOOKUP(N116,'G-7 WaterC'' Data'!$B$2:$G$8,2,FALSE))</f>
        <v/>
      </c>
      <c r="S116" s="363" t="str">
        <f>IFERROR(VLOOKUP(R116,'G-7 WaterC'' Data'!$C$4:$D$8,2,FALSE),"")</f>
        <v/>
      </c>
      <c r="T116" s="114"/>
      <c r="U116" s="363" t="str">
        <f>IFERROR(INDEX('G-7 WaterC'' Data'!$H$4:$L$8,MATCH(N116,'G-7 WaterC'' Data'!$B$4:$B$8,0),MATCH(T116,'G-7 WaterC'' Data'!$H$3:$L$3,0)),"")</f>
        <v/>
      </c>
      <c r="V116" s="122"/>
      <c r="W116" s="382" t="str">
        <f>IF(V116="","",IF(VLOOKUP(V116,'G-7 WaterC'' Data'!$AK$4:$AM$6,2,FALSE)=0,"Spatial Data Missing ⚠",VLOOKUP(V116,'G-7 WaterC'' Data'!$AK$4:$AM$6,2,FALSE)))</f>
        <v/>
      </c>
      <c r="X116" s="386" t="str">
        <f>IF(V116="","",IF(VLOOKUP(V116,'G-7 WaterC'' Data'!$AK$4:$AM$6,3,FALSE)=0,"Spatial Data Missing ⚠",VLOOKUP(V116,'G-7 WaterC'' Data'!$AK$4:$AM$6,3,FALSE)))</f>
        <v/>
      </c>
      <c r="Y116" s="398" t="str">
        <f>IFERROR(IF(OR(LEFT(P116,5)="Error",LEFT(O116,5)="Error"),"Check Data ⚠",IF(F116&lt;S116,'G-7 WaterC'' Data'!$R$3,INDEX('G-7 WaterC'' Data'!$U$5:$Y$9,MATCH(G116,'G-7 WaterC'' Data'!$T$5:$T$9,0),MATCH(T116,'G-7 WaterC'' Data'!$U$4:$Y$4,0)))),"")</f>
        <v/>
      </c>
      <c r="Z116" s="165"/>
      <c r="AA116" s="165"/>
      <c r="AB116" s="395" t="str">
        <f t="shared" si="9"/>
        <v/>
      </c>
      <c r="AC116" s="383" t="str">
        <f t="shared" si="14"/>
        <v/>
      </c>
      <c r="AD116" s="422" t="str">
        <f>IFERROR(IF(AC116="Check Data ⚠","Check Data ⚠",VLOOKUP(AC116,'G-4 Temporal multipliers'!$A$4:$C$37,3,FALSE)),"")</f>
        <v/>
      </c>
      <c r="AE116" s="398" t="str">
        <f>IF(N116="","",VLOOKUP(N116,'G-7 WaterC'' Data'!$B$4:$G$8,5,FALSE))</f>
        <v/>
      </c>
      <c r="AF116" s="382" t="str">
        <f t="shared" si="10"/>
        <v/>
      </c>
      <c r="AG116" s="382" t="str">
        <f t="shared" si="15"/>
        <v/>
      </c>
      <c r="AH116" s="386" t="str">
        <f t="shared" si="11"/>
        <v/>
      </c>
      <c r="AI116" s="122"/>
      <c r="AJ116" s="363" t="str">
        <f>IF(AI116="","",IF(VLOOKUP(AI116,'G-7 WaterC'' Data'!$AA$4:$AB$7,2,FALSE)=0,"Spatial Data Missing ⚠",VLOOKUP(AI116,'G-7 WaterC'' Data'!$AA$4:$AB$7,2,FALSE)))</f>
        <v/>
      </c>
      <c r="AK116" s="123"/>
      <c r="AL116" s="397" t="str">
        <f>IF(AK116="","",IF(VLOOKUP(AK116,'G-7 WaterC'' Data'!$AD$4:$AE$14,2,FALSE)=0,"Spatial Data Missing ⚠",VLOOKUP(AK116,'G-7 WaterC'' Data'!$AD$4:$AE$14,2,FALSE)))</f>
        <v/>
      </c>
      <c r="AM116" s="122"/>
      <c r="AN116" s="363" t="str">
        <f>IF(AM116="","",IF(VLOOKUP(AM116,'G-7 WaterC'' Data'!$AO$4:$BO$7,2,FALSE)=0,"Spatial Data Missing ⚠",VLOOKUP(AM116,'G-7 WaterC'' Data'!$AO$4:$BO$7,2,FALSE)))</f>
        <v/>
      </c>
      <c r="AO116" s="405" t="str">
        <f t="shared" si="16"/>
        <v/>
      </c>
      <c r="AP116" s="405" t="str">
        <f t="shared" si="17"/>
        <v/>
      </c>
      <c r="AQ116" s="117"/>
      <c r="AR116" s="118"/>
      <c r="AS116" s="120"/>
      <c r="AT116" s="120"/>
      <c r="AY116" s="30" t="str">
        <f>IFERROR(INDEX('G-7 WaterC'' Data'!$AZ$3:$AZ$7,MATCH(N116,'G-7 WaterC'' Data'!$AY$3:$AY$7,0)),"")</f>
        <v/>
      </c>
    </row>
    <row r="117" spans="2:51" ht="15">
      <c r="B117" s="392" t="str">
        <f>'F-1 Off-Site WaterC'' Baseline'!AR115</f>
        <v/>
      </c>
      <c r="C117" s="382" t="str">
        <f>IF(B117="","",VLOOKUP($B117,'F-1 Off-Site WaterC'' Baseline'!$C$9:$R$257,2,FALSE))</f>
        <v/>
      </c>
      <c r="D117" s="382" t="str">
        <f>IF(C117="","",VLOOKUP($B117,'F-1 Off-Site WaterC'' Baseline'!$C$9:$R$257,3,FALSE))</f>
        <v/>
      </c>
      <c r="E117" s="382" t="str">
        <f>IF(D117="","",VLOOKUP($B117,'F-1 Off-Site WaterC'' Baseline'!$C$9:$R$257,4,FALSE))</f>
        <v/>
      </c>
      <c r="F117" s="382" t="str">
        <f>IF(E117="","",VLOOKUP($B117,'F-1 Off-Site WaterC'' Baseline'!$C$9:$R$257,5,FALSE))</f>
        <v/>
      </c>
      <c r="G117" s="382" t="str">
        <f>IF(F117="","",VLOOKUP($B117,'F-1 Off-Site WaterC'' Baseline'!$C$9:$R$257,6,FALSE))</f>
        <v/>
      </c>
      <c r="H117" s="382" t="str">
        <f>IF(G117="","",VLOOKUP($B117,'F-1 Off-Site WaterC'' Baseline'!$C$9:$R$257,7,FALSE))</f>
        <v/>
      </c>
      <c r="I117" s="382" t="str">
        <f>IF(H117="","",VLOOKUP($B117,'F-1 Off-Site WaterC'' Baseline'!$C$9:$R$257,8,FALSE))</f>
        <v/>
      </c>
      <c r="J117" s="382" t="str">
        <f>IF(I117="","",VLOOKUP($B117,'F-1 Off-Site WaterC'' Baseline'!$C$9:$R$257,9,FALSE))</f>
        <v/>
      </c>
      <c r="K117" s="382" t="str">
        <f>IF(J117="","",VLOOKUP($B117,'F-1 Off-Site WaterC'' Baseline'!$C$9:$R$257,10,FALSE))</f>
        <v/>
      </c>
      <c r="L117" s="382" t="str">
        <f>IF(B117="","",VLOOKUP($B117,'F-1 Off-Site WaterC'' Baseline'!$C$9:$R$257,15,FALSE))</f>
        <v/>
      </c>
      <c r="M117" s="386" t="str">
        <f>IF(L117="","",VLOOKUP($B117,'F-1 Off-Site WaterC'' Baseline'!$C$9:$R$257,16,FALSE))</f>
        <v/>
      </c>
      <c r="N117" s="316" t="str">
        <f t="shared" si="12"/>
        <v/>
      </c>
      <c r="O117" s="362" t="str">
        <f t="shared" si="13"/>
        <v/>
      </c>
      <c r="P117" s="363" t="str">
        <f>IF(C117="","",IF(AND(LEFT(C117,55)&lt;&gt;LEFT(N117,55),O117="High - High"),"Error - Not like for like ▲",IF(H117&gt;U117,"Error - Can not reduce condition ▲",IF(AND(F117=S117,H117=U117,AJ117='F-1 Off-Site WaterC'' Baseline'!N115,'F-1 Off-Site WaterC'' Baseline'!P115=AL117),"Error - No enhancement ▲",IF(AND(C117&lt;&gt;N117,F117&lt;S117),"Lower Distinctiveness Habitat"&amp;" - "&amp;T117,G117&amp;" - "&amp;T117)))))</f>
        <v/>
      </c>
      <c r="Q117" s="368" t="str">
        <f>IF(N117="","",VLOOKUP(B117,'F-1 Off-Site WaterC'' Baseline'!$C$10:$AE$257,22,FALSE))</f>
        <v/>
      </c>
      <c r="R117" s="362" t="str">
        <f>IF(N117="","",VLOOKUP(N117,'G-7 WaterC'' Data'!$B$2:$G$8,2,FALSE))</f>
        <v/>
      </c>
      <c r="S117" s="363" t="str">
        <f>IFERROR(VLOOKUP(R117,'G-7 WaterC'' Data'!$C$4:$D$8,2,FALSE),"")</f>
        <v/>
      </c>
      <c r="T117" s="114"/>
      <c r="U117" s="363" t="str">
        <f>IFERROR(INDEX('G-7 WaterC'' Data'!$H$4:$L$8,MATCH(N117,'G-7 WaterC'' Data'!$B$4:$B$8,0),MATCH(T117,'G-7 WaterC'' Data'!$H$3:$L$3,0)),"")</f>
        <v/>
      </c>
      <c r="V117" s="122"/>
      <c r="W117" s="382" t="str">
        <f>IF(V117="","",IF(VLOOKUP(V117,'G-7 WaterC'' Data'!$AK$4:$AM$6,2,FALSE)=0,"Spatial Data Missing ⚠",VLOOKUP(V117,'G-7 WaterC'' Data'!$AK$4:$AM$6,2,FALSE)))</f>
        <v/>
      </c>
      <c r="X117" s="386" t="str">
        <f>IF(V117="","",IF(VLOOKUP(V117,'G-7 WaterC'' Data'!$AK$4:$AM$6,3,FALSE)=0,"Spatial Data Missing ⚠",VLOOKUP(V117,'G-7 WaterC'' Data'!$AK$4:$AM$6,3,FALSE)))</f>
        <v/>
      </c>
      <c r="Y117" s="398" t="str">
        <f>IFERROR(IF(OR(LEFT(P117,5)="Error",LEFT(O117,5)="Error"),"Check Data ⚠",IF(F117&lt;S117,'G-7 WaterC'' Data'!$R$3,INDEX('G-7 WaterC'' Data'!$U$5:$Y$9,MATCH(G117,'G-7 WaterC'' Data'!$T$5:$T$9,0),MATCH(T117,'G-7 WaterC'' Data'!$U$4:$Y$4,0)))),"")</f>
        <v/>
      </c>
      <c r="Z117" s="165"/>
      <c r="AA117" s="165"/>
      <c r="AB117" s="395" t="str">
        <f t="shared" si="9"/>
        <v/>
      </c>
      <c r="AC117" s="383" t="str">
        <f t="shared" si="14"/>
        <v/>
      </c>
      <c r="AD117" s="422" t="str">
        <f>IFERROR(IF(AC117="Check Data ⚠","Check Data ⚠",VLOOKUP(AC117,'G-4 Temporal multipliers'!$A$4:$C$37,3,FALSE)),"")</f>
        <v/>
      </c>
      <c r="AE117" s="398" t="str">
        <f>IF(N117="","",VLOOKUP(N117,'G-7 WaterC'' Data'!$B$4:$G$8,5,FALSE))</f>
        <v/>
      </c>
      <c r="AF117" s="382" t="str">
        <f t="shared" si="10"/>
        <v/>
      </c>
      <c r="AG117" s="382" t="str">
        <f t="shared" si="15"/>
        <v/>
      </c>
      <c r="AH117" s="386" t="str">
        <f t="shared" si="11"/>
        <v/>
      </c>
      <c r="AI117" s="122"/>
      <c r="AJ117" s="363" t="str">
        <f>IF(AI117="","",IF(VLOOKUP(AI117,'G-7 WaterC'' Data'!$AA$4:$AB$7,2,FALSE)=0,"Spatial Data Missing ⚠",VLOOKUP(AI117,'G-7 WaterC'' Data'!$AA$4:$AB$7,2,FALSE)))</f>
        <v/>
      </c>
      <c r="AK117" s="123"/>
      <c r="AL117" s="397" t="str">
        <f>IF(AK117="","",IF(VLOOKUP(AK117,'G-7 WaterC'' Data'!$AD$4:$AE$14,2,FALSE)=0,"Spatial Data Missing ⚠",VLOOKUP(AK117,'G-7 WaterC'' Data'!$AD$4:$AE$14,2,FALSE)))</f>
        <v/>
      </c>
      <c r="AM117" s="122"/>
      <c r="AN117" s="363" t="str">
        <f>IF(AM117="","",IF(VLOOKUP(AM117,'G-7 WaterC'' Data'!$AO$4:$BO$7,2,FALSE)=0,"Spatial Data Missing ⚠",VLOOKUP(AM117,'G-7 WaterC'' Data'!$AO$4:$BO$7,2,FALSE)))</f>
        <v/>
      </c>
      <c r="AO117" s="405" t="str">
        <f t="shared" si="16"/>
        <v/>
      </c>
      <c r="AP117" s="405" t="str">
        <f t="shared" si="17"/>
        <v/>
      </c>
      <c r="AQ117" s="117"/>
      <c r="AR117" s="118"/>
      <c r="AS117" s="120"/>
      <c r="AT117" s="120"/>
      <c r="AY117" s="30" t="str">
        <f>IFERROR(INDEX('G-7 WaterC'' Data'!$AZ$3:$AZ$7,MATCH(N117,'G-7 WaterC'' Data'!$AY$3:$AY$7,0)),"")</f>
        <v/>
      </c>
    </row>
    <row r="118" spans="2:51" ht="15">
      <c r="B118" s="392" t="str">
        <f>'F-1 Off-Site WaterC'' Baseline'!AR116</f>
        <v/>
      </c>
      <c r="C118" s="382" t="str">
        <f>IF(B118="","",VLOOKUP($B118,'F-1 Off-Site WaterC'' Baseline'!$C$9:$R$257,2,FALSE))</f>
        <v/>
      </c>
      <c r="D118" s="382" t="str">
        <f>IF(C118="","",VLOOKUP($B118,'F-1 Off-Site WaterC'' Baseline'!$C$9:$R$257,3,FALSE))</f>
        <v/>
      </c>
      <c r="E118" s="382" t="str">
        <f>IF(D118="","",VLOOKUP($B118,'F-1 Off-Site WaterC'' Baseline'!$C$9:$R$257,4,FALSE))</f>
        <v/>
      </c>
      <c r="F118" s="382" t="str">
        <f>IF(E118="","",VLOOKUP($B118,'F-1 Off-Site WaterC'' Baseline'!$C$9:$R$257,5,FALSE))</f>
        <v/>
      </c>
      <c r="G118" s="382" t="str">
        <f>IF(F118="","",VLOOKUP($B118,'F-1 Off-Site WaterC'' Baseline'!$C$9:$R$257,6,FALSE))</f>
        <v/>
      </c>
      <c r="H118" s="382" t="str">
        <f>IF(G118="","",VLOOKUP($B118,'F-1 Off-Site WaterC'' Baseline'!$C$9:$R$257,7,FALSE))</f>
        <v/>
      </c>
      <c r="I118" s="382" t="str">
        <f>IF(H118="","",VLOOKUP($B118,'F-1 Off-Site WaterC'' Baseline'!$C$9:$R$257,8,FALSE))</f>
        <v/>
      </c>
      <c r="J118" s="382" t="str">
        <f>IF(I118="","",VLOOKUP($B118,'F-1 Off-Site WaterC'' Baseline'!$C$9:$R$257,9,FALSE))</f>
        <v/>
      </c>
      <c r="K118" s="382" t="str">
        <f>IF(J118="","",VLOOKUP($B118,'F-1 Off-Site WaterC'' Baseline'!$C$9:$R$257,10,FALSE))</f>
        <v/>
      </c>
      <c r="L118" s="382" t="str">
        <f>IF(B118="","",VLOOKUP($B118,'F-1 Off-Site WaterC'' Baseline'!$C$9:$R$257,15,FALSE))</f>
        <v/>
      </c>
      <c r="M118" s="386" t="str">
        <f>IF(L118="","",VLOOKUP($B118,'F-1 Off-Site WaterC'' Baseline'!$C$9:$R$257,16,FALSE))</f>
        <v/>
      </c>
      <c r="N118" s="316" t="str">
        <f t="shared" si="12"/>
        <v/>
      </c>
      <c r="O118" s="362" t="str">
        <f t="shared" si="13"/>
        <v/>
      </c>
      <c r="P118" s="363" t="str">
        <f>IF(C118="","",IF(AND(LEFT(C118,55)&lt;&gt;LEFT(N118,55),O118="High - High"),"Error - Not like for like ▲",IF(H118&gt;U118,"Error - Can not reduce condition ▲",IF(AND(F118=S118,H118=U118,AJ118='F-1 Off-Site WaterC'' Baseline'!N116,'F-1 Off-Site WaterC'' Baseline'!P116=AL118),"Error - No enhancement ▲",IF(AND(C118&lt;&gt;N118,F118&lt;S118),"Lower Distinctiveness Habitat"&amp;" - "&amp;T118,G118&amp;" - "&amp;T118)))))</f>
        <v/>
      </c>
      <c r="Q118" s="368" t="str">
        <f>IF(N118="","",VLOOKUP(B118,'F-1 Off-Site WaterC'' Baseline'!$C$10:$AE$257,22,FALSE))</f>
        <v/>
      </c>
      <c r="R118" s="362" t="str">
        <f>IF(N118="","",VLOOKUP(N118,'G-7 WaterC'' Data'!$B$2:$G$8,2,FALSE))</f>
        <v/>
      </c>
      <c r="S118" s="363" t="str">
        <f>IFERROR(VLOOKUP(R118,'G-7 WaterC'' Data'!$C$4:$D$8,2,FALSE),"")</f>
        <v/>
      </c>
      <c r="T118" s="114"/>
      <c r="U118" s="363" t="str">
        <f>IFERROR(INDEX('G-7 WaterC'' Data'!$H$4:$L$8,MATCH(N118,'G-7 WaterC'' Data'!$B$4:$B$8,0),MATCH(T118,'G-7 WaterC'' Data'!$H$3:$L$3,0)),"")</f>
        <v/>
      </c>
      <c r="V118" s="122"/>
      <c r="W118" s="382" t="str">
        <f>IF(V118="","",IF(VLOOKUP(V118,'G-7 WaterC'' Data'!$AK$4:$AM$6,2,FALSE)=0,"Spatial Data Missing ⚠",VLOOKUP(V118,'G-7 WaterC'' Data'!$AK$4:$AM$6,2,FALSE)))</f>
        <v/>
      </c>
      <c r="X118" s="386" t="str">
        <f>IF(V118="","",IF(VLOOKUP(V118,'G-7 WaterC'' Data'!$AK$4:$AM$6,3,FALSE)=0,"Spatial Data Missing ⚠",VLOOKUP(V118,'G-7 WaterC'' Data'!$AK$4:$AM$6,3,FALSE)))</f>
        <v/>
      </c>
      <c r="Y118" s="398" t="str">
        <f>IFERROR(IF(OR(LEFT(P118,5)="Error",LEFT(O118,5)="Error"),"Check Data ⚠",IF(F118&lt;S118,'G-7 WaterC'' Data'!$R$3,INDEX('G-7 WaterC'' Data'!$U$5:$Y$9,MATCH(G118,'G-7 WaterC'' Data'!$T$5:$T$9,0),MATCH(T118,'G-7 WaterC'' Data'!$U$4:$Y$4,0)))),"")</f>
        <v/>
      </c>
      <c r="Z118" s="165"/>
      <c r="AA118" s="165"/>
      <c r="AB118" s="395" t="str">
        <f t="shared" si="9"/>
        <v/>
      </c>
      <c r="AC118" s="383" t="str">
        <f t="shared" si="14"/>
        <v/>
      </c>
      <c r="AD118" s="422" t="str">
        <f>IFERROR(IF(AC118="Check Data ⚠","Check Data ⚠",VLOOKUP(AC118,'G-4 Temporal multipliers'!$A$4:$C$37,3,FALSE)),"")</f>
        <v/>
      </c>
      <c r="AE118" s="398" t="str">
        <f>IF(N118="","",VLOOKUP(N118,'G-7 WaterC'' Data'!$B$4:$G$8,5,FALSE))</f>
        <v/>
      </c>
      <c r="AF118" s="382" t="str">
        <f t="shared" si="10"/>
        <v/>
      </c>
      <c r="AG118" s="382" t="str">
        <f t="shared" si="15"/>
        <v/>
      </c>
      <c r="AH118" s="386" t="str">
        <f t="shared" si="11"/>
        <v/>
      </c>
      <c r="AI118" s="122"/>
      <c r="AJ118" s="363" t="str">
        <f>IF(AI118="","",IF(VLOOKUP(AI118,'G-7 WaterC'' Data'!$AA$4:$AB$7,2,FALSE)=0,"Spatial Data Missing ⚠",VLOOKUP(AI118,'G-7 WaterC'' Data'!$AA$4:$AB$7,2,FALSE)))</f>
        <v/>
      </c>
      <c r="AK118" s="123"/>
      <c r="AL118" s="397" t="str">
        <f>IF(AK118="","",IF(VLOOKUP(AK118,'G-7 WaterC'' Data'!$AD$4:$AE$14,2,FALSE)=0,"Spatial Data Missing ⚠",VLOOKUP(AK118,'G-7 WaterC'' Data'!$AD$4:$AE$14,2,FALSE)))</f>
        <v/>
      </c>
      <c r="AM118" s="122"/>
      <c r="AN118" s="363" t="str">
        <f>IF(AM118="","",IF(VLOOKUP(AM118,'G-7 WaterC'' Data'!$AO$4:$BO$7,2,FALSE)=0,"Spatial Data Missing ⚠",VLOOKUP(AM118,'G-7 WaterC'' Data'!$AO$4:$BO$7,2,FALSE)))</f>
        <v/>
      </c>
      <c r="AO118" s="405" t="str">
        <f t="shared" si="16"/>
        <v/>
      </c>
      <c r="AP118" s="405" t="str">
        <f t="shared" si="17"/>
        <v/>
      </c>
      <c r="AQ118" s="117"/>
      <c r="AR118" s="118"/>
      <c r="AS118" s="120"/>
      <c r="AT118" s="120"/>
      <c r="AY118" s="30" t="str">
        <f>IFERROR(INDEX('G-7 WaterC'' Data'!$AZ$3:$AZ$7,MATCH(N118,'G-7 WaterC'' Data'!$AY$3:$AY$7,0)),"")</f>
        <v/>
      </c>
    </row>
    <row r="119" spans="2:51" ht="15">
      <c r="B119" s="392" t="str">
        <f>'F-1 Off-Site WaterC'' Baseline'!AR117</f>
        <v/>
      </c>
      <c r="C119" s="382" t="str">
        <f>IF(B119="","",VLOOKUP($B119,'F-1 Off-Site WaterC'' Baseline'!$C$9:$R$257,2,FALSE))</f>
        <v/>
      </c>
      <c r="D119" s="382" t="str">
        <f>IF(C119="","",VLOOKUP($B119,'F-1 Off-Site WaterC'' Baseline'!$C$9:$R$257,3,FALSE))</f>
        <v/>
      </c>
      <c r="E119" s="382" t="str">
        <f>IF(D119="","",VLOOKUP($B119,'F-1 Off-Site WaterC'' Baseline'!$C$9:$R$257,4,FALSE))</f>
        <v/>
      </c>
      <c r="F119" s="382" t="str">
        <f>IF(E119="","",VLOOKUP($B119,'F-1 Off-Site WaterC'' Baseline'!$C$9:$R$257,5,FALSE))</f>
        <v/>
      </c>
      <c r="G119" s="382" t="str">
        <f>IF(F119="","",VLOOKUP($B119,'F-1 Off-Site WaterC'' Baseline'!$C$9:$R$257,6,FALSE))</f>
        <v/>
      </c>
      <c r="H119" s="382" t="str">
        <f>IF(G119="","",VLOOKUP($B119,'F-1 Off-Site WaterC'' Baseline'!$C$9:$R$257,7,FALSE))</f>
        <v/>
      </c>
      <c r="I119" s="382" t="str">
        <f>IF(H119="","",VLOOKUP($B119,'F-1 Off-Site WaterC'' Baseline'!$C$9:$R$257,8,FALSE))</f>
        <v/>
      </c>
      <c r="J119" s="382" t="str">
        <f>IF(I119="","",VLOOKUP($B119,'F-1 Off-Site WaterC'' Baseline'!$C$9:$R$257,9,FALSE))</f>
        <v/>
      </c>
      <c r="K119" s="382" t="str">
        <f>IF(J119="","",VLOOKUP($B119,'F-1 Off-Site WaterC'' Baseline'!$C$9:$R$257,10,FALSE))</f>
        <v/>
      </c>
      <c r="L119" s="382" t="str">
        <f>IF(B119="","",VLOOKUP($B119,'F-1 Off-Site WaterC'' Baseline'!$C$9:$R$257,15,FALSE))</f>
        <v/>
      </c>
      <c r="M119" s="386" t="str">
        <f>IF(L119="","",VLOOKUP($B119,'F-1 Off-Site WaterC'' Baseline'!$C$9:$R$257,16,FALSE))</f>
        <v/>
      </c>
      <c r="N119" s="316" t="str">
        <f t="shared" si="12"/>
        <v/>
      </c>
      <c r="O119" s="362" t="str">
        <f t="shared" si="13"/>
        <v/>
      </c>
      <c r="P119" s="363" t="str">
        <f>IF(C119="","",IF(AND(LEFT(C119,55)&lt;&gt;LEFT(N119,55),O119="High - High"),"Error - Not like for like ▲",IF(H119&gt;U119,"Error - Can not reduce condition ▲",IF(AND(F119=S119,H119=U119,AJ119='F-1 Off-Site WaterC'' Baseline'!N117,'F-1 Off-Site WaterC'' Baseline'!P117=AL119),"Error - No enhancement ▲",IF(AND(C119&lt;&gt;N119,F119&lt;S119),"Lower Distinctiveness Habitat"&amp;" - "&amp;T119,G119&amp;" - "&amp;T119)))))</f>
        <v/>
      </c>
      <c r="Q119" s="368" t="str">
        <f>IF(N119="","",VLOOKUP(B119,'F-1 Off-Site WaterC'' Baseline'!$C$10:$AE$257,22,FALSE))</f>
        <v/>
      </c>
      <c r="R119" s="362" t="str">
        <f>IF(N119="","",VLOOKUP(N119,'G-7 WaterC'' Data'!$B$2:$G$8,2,FALSE))</f>
        <v/>
      </c>
      <c r="S119" s="363" t="str">
        <f>IFERROR(VLOOKUP(R119,'G-7 WaterC'' Data'!$C$4:$D$8,2,FALSE),"")</f>
        <v/>
      </c>
      <c r="T119" s="114"/>
      <c r="U119" s="363" t="str">
        <f>IFERROR(INDEX('G-7 WaterC'' Data'!$H$4:$L$8,MATCH(N119,'G-7 WaterC'' Data'!$B$4:$B$8,0),MATCH(T119,'G-7 WaterC'' Data'!$H$3:$L$3,0)),"")</f>
        <v/>
      </c>
      <c r="V119" s="122"/>
      <c r="W119" s="382" t="str">
        <f>IF(V119="","",IF(VLOOKUP(V119,'G-7 WaterC'' Data'!$AK$4:$AM$6,2,FALSE)=0,"Spatial Data Missing ⚠",VLOOKUP(V119,'G-7 WaterC'' Data'!$AK$4:$AM$6,2,FALSE)))</f>
        <v/>
      </c>
      <c r="X119" s="386" t="str">
        <f>IF(V119="","",IF(VLOOKUP(V119,'G-7 WaterC'' Data'!$AK$4:$AM$6,3,FALSE)=0,"Spatial Data Missing ⚠",VLOOKUP(V119,'G-7 WaterC'' Data'!$AK$4:$AM$6,3,FALSE)))</f>
        <v/>
      </c>
      <c r="Y119" s="398" t="str">
        <f>IFERROR(IF(OR(LEFT(P119,5)="Error",LEFT(O119,5)="Error"),"Check Data ⚠",IF(F119&lt;S119,'G-7 WaterC'' Data'!$R$3,INDEX('G-7 WaterC'' Data'!$U$5:$Y$9,MATCH(G119,'G-7 WaterC'' Data'!$T$5:$T$9,0),MATCH(T119,'G-7 WaterC'' Data'!$U$4:$Y$4,0)))),"")</f>
        <v/>
      </c>
      <c r="Z119" s="165"/>
      <c r="AA119" s="165"/>
      <c r="AB119" s="395" t="str">
        <f t="shared" si="9"/>
        <v/>
      </c>
      <c r="AC119" s="383" t="str">
        <f t="shared" si="14"/>
        <v/>
      </c>
      <c r="AD119" s="422" t="str">
        <f>IFERROR(IF(AC119="Check Data ⚠","Check Data ⚠",VLOOKUP(AC119,'G-4 Temporal multipliers'!$A$4:$C$37,3,FALSE)),"")</f>
        <v/>
      </c>
      <c r="AE119" s="398" t="str">
        <f>IF(N119="","",VLOOKUP(N119,'G-7 WaterC'' Data'!$B$4:$G$8,5,FALSE))</f>
        <v/>
      </c>
      <c r="AF119" s="382" t="str">
        <f t="shared" si="10"/>
        <v/>
      </c>
      <c r="AG119" s="382" t="str">
        <f t="shared" si="15"/>
        <v/>
      </c>
      <c r="AH119" s="386" t="str">
        <f t="shared" si="11"/>
        <v/>
      </c>
      <c r="AI119" s="122"/>
      <c r="AJ119" s="363" t="str">
        <f>IF(AI119="","",IF(VLOOKUP(AI119,'G-7 WaterC'' Data'!$AA$4:$AB$7,2,FALSE)=0,"Spatial Data Missing ⚠",VLOOKUP(AI119,'G-7 WaterC'' Data'!$AA$4:$AB$7,2,FALSE)))</f>
        <v/>
      </c>
      <c r="AK119" s="123"/>
      <c r="AL119" s="397" t="str">
        <f>IF(AK119="","",IF(VLOOKUP(AK119,'G-7 WaterC'' Data'!$AD$4:$AE$14,2,FALSE)=0,"Spatial Data Missing ⚠",VLOOKUP(AK119,'G-7 WaterC'' Data'!$AD$4:$AE$14,2,FALSE)))</f>
        <v/>
      </c>
      <c r="AM119" s="122"/>
      <c r="AN119" s="363" t="str">
        <f>IF(AM119="","",IF(VLOOKUP(AM119,'G-7 WaterC'' Data'!$AO$4:$BO$7,2,FALSE)=0,"Spatial Data Missing ⚠",VLOOKUP(AM119,'G-7 WaterC'' Data'!$AO$4:$BO$7,2,FALSE)))</f>
        <v/>
      </c>
      <c r="AO119" s="405" t="str">
        <f t="shared" si="16"/>
        <v/>
      </c>
      <c r="AP119" s="405" t="str">
        <f t="shared" si="17"/>
        <v/>
      </c>
      <c r="AQ119" s="117"/>
      <c r="AR119" s="118"/>
      <c r="AS119" s="120"/>
      <c r="AT119" s="120"/>
      <c r="AY119" s="30" t="str">
        <f>IFERROR(INDEX('G-7 WaterC'' Data'!$AZ$3:$AZ$7,MATCH(N119,'G-7 WaterC'' Data'!$AY$3:$AY$7,0)),"")</f>
        <v/>
      </c>
    </row>
    <row r="120" spans="2:51" ht="15">
      <c r="B120" s="392" t="str">
        <f>'F-1 Off-Site WaterC'' Baseline'!AR118</f>
        <v/>
      </c>
      <c r="C120" s="382" t="str">
        <f>IF(B120="","",VLOOKUP($B120,'F-1 Off-Site WaterC'' Baseline'!$C$9:$R$257,2,FALSE))</f>
        <v/>
      </c>
      <c r="D120" s="382" t="str">
        <f>IF(C120="","",VLOOKUP($B120,'F-1 Off-Site WaterC'' Baseline'!$C$9:$R$257,3,FALSE))</f>
        <v/>
      </c>
      <c r="E120" s="382" t="str">
        <f>IF(D120="","",VLOOKUP($B120,'F-1 Off-Site WaterC'' Baseline'!$C$9:$R$257,4,FALSE))</f>
        <v/>
      </c>
      <c r="F120" s="382" t="str">
        <f>IF(E120="","",VLOOKUP($B120,'F-1 Off-Site WaterC'' Baseline'!$C$9:$R$257,5,FALSE))</f>
        <v/>
      </c>
      <c r="G120" s="382" t="str">
        <f>IF(F120="","",VLOOKUP($B120,'F-1 Off-Site WaterC'' Baseline'!$C$9:$R$257,6,FALSE))</f>
        <v/>
      </c>
      <c r="H120" s="382" t="str">
        <f>IF(G120="","",VLOOKUP($B120,'F-1 Off-Site WaterC'' Baseline'!$C$9:$R$257,7,FALSE))</f>
        <v/>
      </c>
      <c r="I120" s="382" t="str">
        <f>IF(H120="","",VLOOKUP($B120,'F-1 Off-Site WaterC'' Baseline'!$C$9:$R$257,8,FALSE))</f>
        <v/>
      </c>
      <c r="J120" s="382" t="str">
        <f>IF(I120="","",VLOOKUP($B120,'F-1 Off-Site WaterC'' Baseline'!$C$9:$R$257,9,FALSE))</f>
        <v/>
      </c>
      <c r="K120" s="382" t="str">
        <f>IF(J120="","",VLOOKUP($B120,'F-1 Off-Site WaterC'' Baseline'!$C$9:$R$257,10,FALSE))</f>
        <v/>
      </c>
      <c r="L120" s="382" t="str">
        <f>IF(B120="","",VLOOKUP($B120,'F-1 Off-Site WaterC'' Baseline'!$C$9:$R$257,15,FALSE))</f>
        <v/>
      </c>
      <c r="M120" s="386" t="str">
        <f>IF(L120="","",VLOOKUP($B120,'F-1 Off-Site WaterC'' Baseline'!$C$9:$R$257,16,FALSE))</f>
        <v/>
      </c>
      <c r="N120" s="316" t="str">
        <f t="shared" si="12"/>
        <v/>
      </c>
      <c r="O120" s="362" t="str">
        <f t="shared" si="13"/>
        <v/>
      </c>
      <c r="P120" s="363" t="str">
        <f>IF(C120="","",IF(AND(LEFT(C120,55)&lt;&gt;LEFT(N120,55),O120="High - High"),"Error - Not like for like ▲",IF(H120&gt;U120,"Error - Can not reduce condition ▲",IF(AND(F120=S120,H120=U120,AJ120='F-1 Off-Site WaterC'' Baseline'!N118,'F-1 Off-Site WaterC'' Baseline'!P118=AL120),"Error - No enhancement ▲",IF(AND(C120&lt;&gt;N120,F120&lt;S120),"Lower Distinctiveness Habitat"&amp;" - "&amp;T120,G120&amp;" - "&amp;T120)))))</f>
        <v/>
      </c>
      <c r="Q120" s="368" t="str">
        <f>IF(N120="","",VLOOKUP(B120,'F-1 Off-Site WaterC'' Baseline'!$C$10:$AE$257,22,FALSE))</f>
        <v/>
      </c>
      <c r="R120" s="362" t="str">
        <f>IF(N120="","",VLOOKUP(N120,'G-7 WaterC'' Data'!$B$2:$G$8,2,FALSE))</f>
        <v/>
      </c>
      <c r="S120" s="363" t="str">
        <f>IFERROR(VLOOKUP(R120,'G-7 WaterC'' Data'!$C$4:$D$8,2,FALSE),"")</f>
        <v/>
      </c>
      <c r="T120" s="114"/>
      <c r="U120" s="363" t="str">
        <f>IFERROR(INDEX('G-7 WaterC'' Data'!$H$4:$L$8,MATCH(N120,'G-7 WaterC'' Data'!$B$4:$B$8,0),MATCH(T120,'G-7 WaterC'' Data'!$H$3:$L$3,0)),"")</f>
        <v/>
      </c>
      <c r="V120" s="122"/>
      <c r="W120" s="382" t="str">
        <f>IF(V120="","",IF(VLOOKUP(V120,'G-7 WaterC'' Data'!$AK$4:$AM$6,2,FALSE)=0,"Spatial Data Missing ⚠",VLOOKUP(V120,'G-7 WaterC'' Data'!$AK$4:$AM$6,2,FALSE)))</f>
        <v/>
      </c>
      <c r="X120" s="386" t="str">
        <f>IF(V120="","",IF(VLOOKUP(V120,'G-7 WaterC'' Data'!$AK$4:$AM$6,3,FALSE)=0,"Spatial Data Missing ⚠",VLOOKUP(V120,'G-7 WaterC'' Data'!$AK$4:$AM$6,3,FALSE)))</f>
        <v/>
      </c>
      <c r="Y120" s="398" t="str">
        <f>IFERROR(IF(OR(LEFT(P120,5)="Error",LEFT(O120,5)="Error"),"Check Data ⚠",IF(F120&lt;S120,'G-7 WaterC'' Data'!$R$3,INDEX('G-7 WaterC'' Data'!$U$5:$Y$9,MATCH(G120,'G-7 WaterC'' Data'!$T$5:$T$9,0),MATCH(T120,'G-7 WaterC'' Data'!$U$4:$Y$4,0)))),"")</f>
        <v/>
      </c>
      <c r="Z120" s="165"/>
      <c r="AA120" s="165"/>
      <c r="AB120" s="395" t="str">
        <f t="shared" si="9"/>
        <v/>
      </c>
      <c r="AC120" s="383" t="str">
        <f t="shared" si="14"/>
        <v/>
      </c>
      <c r="AD120" s="422" t="str">
        <f>IFERROR(IF(AC120="Check Data ⚠","Check Data ⚠",VLOOKUP(AC120,'G-4 Temporal multipliers'!$A$4:$C$37,3,FALSE)),"")</f>
        <v/>
      </c>
      <c r="AE120" s="398" t="str">
        <f>IF(N120="","",VLOOKUP(N120,'G-7 WaterC'' Data'!$B$4:$G$8,5,FALSE))</f>
        <v/>
      </c>
      <c r="AF120" s="382" t="str">
        <f t="shared" si="10"/>
        <v/>
      </c>
      <c r="AG120" s="382" t="str">
        <f t="shared" si="15"/>
        <v/>
      </c>
      <c r="AH120" s="386" t="str">
        <f t="shared" si="11"/>
        <v/>
      </c>
      <c r="AI120" s="122"/>
      <c r="AJ120" s="363" t="str">
        <f>IF(AI120="","",IF(VLOOKUP(AI120,'G-7 WaterC'' Data'!$AA$4:$AB$7,2,FALSE)=0,"Spatial Data Missing ⚠",VLOOKUP(AI120,'G-7 WaterC'' Data'!$AA$4:$AB$7,2,FALSE)))</f>
        <v/>
      </c>
      <c r="AK120" s="123"/>
      <c r="AL120" s="397" t="str">
        <f>IF(AK120="","",IF(VLOOKUP(AK120,'G-7 WaterC'' Data'!$AD$4:$AE$14,2,FALSE)=0,"Spatial Data Missing ⚠",VLOOKUP(AK120,'G-7 WaterC'' Data'!$AD$4:$AE$14,2,FALSE)))</f>
        <v/>
      </c>
      <c r="AM120" s="122"/>
      <c r="AN120" s="363" t="str">
        <f>IF(AM120="","",IF(VLOOKUP(AM120,'G-7 WaterC'' Data'!$AO$4:$BO$7,2,FALSE)=0,"Spatial Data Missing ⚠",VLOOKUP(AM120,'G-7 WaterC'' Data'!$AO$4:$BO$7,2,FALSE)))</f>
        <v/>
      </c>
      <c r="AO120" s="405" t="str">
        <f t="shared" si="16"/>
        <v/>
      </c>
      <c r="AP120" s="405" t="str">
        <f t="shared" si="17"/>
        <v/>
      </c>
      <c r="AQ120" s="117"/>
      <c r="AR120" s="118"/>
      <c r="AS120" s="120"/>
      <c r="AT120" s="120"/>
      <c r="AY120" s="30" t="str">
        <f>IFERROR(INDEX('G-7 WaterC'' Data'!$AZ$3:$AZ$7,MATCH(N120,'G-7 WaterC'' Data'!$AY$3:$AY$7,0)),"")</f>
        <v/>
      </c>
    </row>
    <row r="121" spans="2:51" ht="15">
      <c r="B121" s="392" t="str">
        <f>'F-1 Off-Site WaterC'' Baseline'!AR119</f>
        <v/>
      </c>
      <c r="C121" s="382" t="str">
        <f>IF(B121="","",VLOOKUP($B121,'F-1 Off-Site WaterC'' Baseline'!$C$9:$R$257,2,FALSE))</f>
        <v/>
      </c>
      <c r="D121" s="382" t="str">
        <f>IF(C121="","",VLOOKUP($B121,'F-1 Off-Site WaterC'' Baseline'!$C$9:$R$257,3,FALSE))</f>
        <v/>
      </c>
      <c r="E121" s="382" t="str">
        <f>IF(D121="","",VLOOKUP($B121,'F-1 Off-Site WaterC'' Baseline'!$C$9:$R$257,4,FALSE))</f>
        <v/>
      </c>
      <c r="F121" s="382" t="str">
        <f>IF(E121="","",VLOOKUP($B121,'F-1 Off-Site WaterC'' Baseline'!$C$9:$R$257,5,FALSE))</f>
        <v/>
      </c>
      <c r="G121" s="382" t="str">
        <f>IF(F121="","",VLOOKUP($B121,'F-1 Off-Site WaterC'' Baseline'!$C$9:$R$257,6,FALSE))</f>
        <v/>
      </c>
      <c r="H121" s="382" t="str">
        <f>IF(G121="","",VLOOKUP($B121,'F-1 Off-Site WaterC'' Baseline'!$C$9:$R$257,7,FALSE))</f>
        <v/>
      </c>
      <c r="I121" s="382" t="str">
        <f>IF(H121="","",VLOOKUP($B121,'F-1 Off-Site WaterC'' Baseline'!$C$9:$R$257,8,FALSE))</f>
        <v/>
      </c>
      <c r="J121" s="382" t="str">
        <f>IF(I121="","",VLOOKUP($B121,'F-1 Off-Site WaterC'' Baseline'!$C$9:$R$257,9,FALSE))</f>
        <v/>
      </c>
      <c r="K121" s="382" t="str">
        <f>IF(J121="","",VLOOKUP($B121,'F-1 Off-Site WaterC'' Baseline'!$C$9:$R$257,10,FALSE))</f>
        <v/>
      </c>
      <c r="L121" s="382" t="str">
        <f>IF(B121="","",VLOOKUP($B121,'F-1 Off-Site WaterC'' Baseline'!$C$9:$R$257,15,FALSE))</f>
        <v/>
      </c>
      <c r="M121" s="386" t="str">
        <f>IF(L121="","",VLOOKUP($B121,'F-1 Off-Site WaterC'' Baseline'!$C$9:$R$257,16,FALSE))</f>
        <v/>
      </c>
      <c r="N121" s="316" t="str">
        <f t="shared" si="12"/>
        <v/>
      </c>
      <c r="O121" s="362" t="str">
        <f t="shared" si="13"/>
        <v/>
      </c>
      <c r="P121" s="363" t="str">
        <f>IF(C121="","",IF(AND(LEFT(C121,55)&lt;&gt;LEFT(N121,55),O121="High - High"),"Error - Not like for like ▲",IF(H121&gt;U121,"Error - Can not reduce condition ▲",IF(AND(F121=S121,H121=U121,AJ121='F-1 Off-Site WaterC'' Baseline'!N119,'F-1 Off-Site WaterC'' Baseline'!P119=AL121),"Error - No enhancement ▲",IF(AND(C121&lt;&gt;N121,F121&lt;S121),"Lower Distinctiveness Habitat"&amp;" - "&amp;T121,G121&amp;" - "&amp;T121)))))</f>
        <v/>
      </c>
      <c r="Q121" s="368" t="str">
        <f>IF(N121="","",VLOOKUP(B121,'F-1 Off-Site WaterC'' Baseline'!$C$10:$AE$257,22,FALSE))</f>
        <v/>
      </c>
      <c r="R121" s="362" t="str">
        <f>IF(N121="","",VLOOKUP(N121,'G-7 WaterC'' Data'!$B$2:$G$8,2,FALSE))</f>
        <v/>
      </c>
      <c r="S121" s="363" t="str">
        <f>IFERROR(VLOOKUP(R121,'G-7 WaterC'' Data'!$C$4:$D$8,2,FALSE),"")</f>
        <v/>
      </c>
      <c r="T121" s="114"/>
      <c r="U121" s="363" t="str">
        <f>IFERROR(INDEX('G-7 WaterC'' Data'!$H$4:$L$8,MATCH(N121,'G-7 WaterC'' Data'!$B$4:$B$8,0),MATCH(T121,'G-7 WaterC'' Data'!$H$3:$L$3,0)),"")</f>
        <v/>
      </c>
      <c r="V121" s="122"/>
      <c r="W121" s="382" t="str">
        <f>IF(V121="","",IF(VLOOKUP(V121,'G-7 WaterC'' Data'!$AK$4:$AM$6,2,FALSE)=0,"Spatial Data Missing ⚠",VLOOKUP(V121,'G-7 WaterC'' Data'!$AK$4:$AM$6,2,FALSE)))</f>
        <v/>
      </c>
      <c r="X121" s="386" t="str">
        <f>IF(V121="","",IF(VLOOKUP(V121,'G-7 WaterC'' Data'!$AK$4:$AM$6,3,FALSE)=0,"Spatial Data Missing ⚠",VLOOKUP(V121,'G-7 WaterC'' Data'!$AK$4:$AM$6,3,FALSE)))</f>
        <v/>
      </c>
      <c r="Y121" s="398" t="str">
        <f>IFERROR(IF(OR(LEFT(P121,5)="Error",LEFT(O121,5)="Error"),"Check Data ⚠",IF(F121&lt;S121,'G-7 WaterC'' Data'!$R$3,INDEX('G-7 WaterC'' Data'!$U$5:$Y$9,MATCH(G121,'G-7 WaterC'' Data'!$T$5:$T$9,0),MATCH(T121,'G-7 WaterC'' Data'!$U$4:$Y$4,0)))),"")</f>
        <v/>
      </c>
      <c r="Z121" s="165"/>
      <c r="AA121" s="165"/>
      <c r="AB121" s="395" t="str">
        <f t="shared" si="9"/>
        <v/>
      </c>
      <c r="AC121" s="383" t="str">
        <f t="shared" si="14"/>
        <v/>
      </c>
      <c r="AD121" s="422" t="str">
        <f>IFERROR(IF(AC121="Check Data ⚠","Check Data ⚠",VLOOKUP(AC121,'G-4 Temporal multipliers'!$A$4:$C$37,3,FALSE)),"")</f>
        <v/>
      </c>
      <c r="AE121" s="398" t="str">
        <f>IF(N121="","",VLOOKUP(N121,'G-7 WaterC'' Data'!$B$4:$G$8,5,FALSE))</f>
        <v/>
      </c>
      <c r="AF121" s="382" t="str">
        <f t="shared" si="10"/>
        <v/>
      </c>
      <c r="AG121" s="382" t="str">
        <f t="shared" si="15"/>
        <v/>
      </c>
      <c r="AH121" s="386" t="str">
        <f t="shared" si="11"/>
        <v/>
      </c>
      <c r="AI121" s="122"/>
      <c r="AJ121" s="363" t="str">
        <f>IF(AI121="","",IF(VLOOKUP(AI121,'G-7 WaterC'' Data'!$AA$4:$AB$7,2,FALSE)=0,"Spatial Data Missing ⚠",VLOOKUP(AI121,'G-7 WaterC'' Data'!$AA$4:$AB$7,2,FALSE)))</f>
        <v/>
      </c>
      <c r="AK121" s="123"/>
      <c r="AL121" s="397" t="str">
        <f>IF(AK121="","",IF(VLOOKUP(AK121,'G-7 WaterC'' Data'!$AD$4:$AE$14,2,FALSE)=0,"Spatial Data Missing ⚠",VLOOKUP(AK121,'G-7 WaterC'' Data'!$AD$4:$AE$14,2,FALSE)))</f>
        <v/>
      </c>
      <c r="AM121" s="122"/>
      <c r="AN121" s="363" t="str">
        <f>IF(AM121="","",IF(VLOOKUP(AM121,'G-7 WaterC'' Data'!$AO$4:$BO$7,2,FALSE)=0,"Spatial Data Missing ⚠",VLOOKUP(AM121,'G-7 WaterC'' Data'!$AO$4:$BO$7,2,FALSE)))</f>
        <v/>
      </c>
      <c r="AO121" s="405" t="str">
        <f t="shared" si="16"/>
        <v/>
      </c>
      <c r="AP121" s="405" t="str">
        <f t="shared" si="17"/>
        <v/>
      </c>
      <c r="AQ121" s="117"/>
      <c r="AR121" s="118"/>
      <c r="AS121" s="120"/>
      <c r="AT121" s="120"/>
      <c r="AY121" s="30" t="str">
        <f>IFERROR(INDEX('G-7 WaterC'' Data'!$AZ$3:$AZ$7,MATCH(N121,'G-7 WaterC'' Data'!$AY$3:$AY$7,0)),"")</f>
        <v/>
      </c>
    </row>
    <row r="122" spans="2:51" ht="15">
      <c r="B122" s="392" t="str">
        <f>'F-1 Off-Site WaterC'' Baseline'!AR120</f>
        <v/>
      </c>
      <c r="C122" s="382" t="str">
        <f>IF(B122="","",VLOOKUP($B122,'F-1 Off-Site WaterC'' Baseline'!$C$9:$R$257,2,FALSE))</f>
        <v/>
      </c>
      <c r="D122" s="382" t="str">
        <f>IF(C122="","",VLOOKUP($B122,'F-1 Off-Site WaterC'' Baseline'!$C$9:$R$257,3,FALSE))</f>
        <v/>
      </c>
      <c r="E122" s="382" t="str">
        <f>IF(D122="","",VLOOKUP($B122,'F-1 Off-Site WaterC'' Baseline'!$C$9:$R$257,4,FALSE))</f>
        <v/>
      </c>
      <c r="F122" s="382" t="str">
        <f>IF(E122="","",VLOOKUP($B122,'F-1 Off-Site WaterC'' Baseline'!$C$9:$R$257,5,FALSE))</f>
        <v/>
      </c>
      <c r="G122" s="382" t="str">
        <f>IF(F122="","",VLOOKUP($B122,'F-1 Off-Site WaterC'' Baseline'!$C$9:$R$257,6,FALSE))</f>
        <v/>
      </c>
      <c r="H122" s="382" t="str">
        <f>IF(G122="","",VLOOKUP($B122,'F-1 Off-Site WaterC'' Baseline'!$C$9:$R$257,7,FALSE))</f>
        <v/>
      </c>
      <c r="I122" s="382" t="str">
        <f>IF(H122="","",VLOOKUP($B122,'F-1 Off-Site WaterC'' Baseline'!$C$9:$R$257,8,FALSE))</f>
        <v/>
      </c>
      <c r="J122" s="382" t="str">
        <f>IF(I122="","",VLOOKUP($B122,'F-1 Off-Site WaterC'' Baseline'!$C$9:$R$257,9,FALSE))</f>
        <v/>
      </c>
      <c r="K122" s="382" t="str">
        <f>IF(J122="","",VLOOKUP($B122,'F-1 Off-Site WaterC'' Baseline'!$C$9:$R$257,10,FALSE))</f>
        <v/>
      </c>
      <c r="L122" s="382" t="str">
        <f>IF(B122="","",VLOOKUP($B122,'F-1 Off-Site WaterC'' Baseline'!$C$9:$R$257,15,FALSE))</f>
        <v/>
      </c>
      <c r="M122" s="386" t="str">
        <f>IF(L122="","",VLOOKUP($B122,'F-1 Off-Site WaterC'' Baseline'!$C$9:$R$257,16,FALSE))</f>
        <v/>
      </c>
      <c r="N122" s="316" t="str">
        <f t="shared" si="12"/>
        <v/>
      </c>
      <c r="O122" s="362" t="str">
        <f t="shared" si="13"/>
        <v/>
      </c>
      <c r="P122" s="363" t="str">
        <f>IF(C122="","",IF(AND(LEFT(C122,55)&lt;&gt;LEFT(N122,55),O122="High - High"),"Error - Not like for like ▲",IF(H122&gt;U122,"Error - Can not reduce condition ▲",IF(AND(F122=S122,H122=U122,AJ122='F-1 Off-Site WaterC'' Baseline'!N120,'F-1 Off-Site WaterC'' Baseline'!P120=AL122),"Error - No enhancement ▲",IF(AND(C122&lt;&gt;N122,F122&lt;S122),"Lower Distinctiveness Habitat"&amp;" - "&amp;T122,G122&amp;" - "&amp;T122)))))</f>
        <v/>
      </c>
      <c r="Q122" s="368" t="str">
        <f>IF(N122="","",VLOOKUP(B122,'F-1 Off-Site WaterC'' Baseline'!$C$10:$AE$257,22,FALSE))</f>
        <v/>
      </c>
      <c r="R122" s="362" t="str">
        <f>IF(N122="","",VLOOKUP(N122,'G-7 WaterC'' Data'!$B$2:$G$8,2,FALSE))</f>
        <v/>
      </c>
      <c r="S122" s="363" t="str">
        <f>IFERROR(VLOOKUP(R122,'G-7 WaterC'' Data'!$C$4:$D$8,2,FALSE),"")</f>
        <v/>
      </c>
      <c r="T122" s="114"/>
      <c r="U122" s="363" t="str">
        <f>IFERROR(INDEX('G-7 WaterC'' Data'!$H$4:$L$8,MATCH(N122,'G-7 WaterC'' Data'!$B$4:$B$8,0),MATCH(T122,'G-7 WaterC'' Data'!$H$3:$L$3,0)),"")</f>
        <v/>
      </c>
      <c r="V122" s="122"/>
      <c r="W122" s="382" t="str">
        <f>IF(V122="","",IF(VLOOKUP(V122,'G-7 WaterC'' Data'!$AK$4:$AM$6,2,FALSE)=0,"Spatial Data Missing ⚠",VLOOKUP(V122,'G-7 WaterC'' Data'!$AK$4:$AM$6,2,FALSE)))</f>
        <v/>
      </c>
      <c r="X122" s="386" t="str">
        <f>IF(V122="","",IF(VLOOKUP(V122,'G-7 WaterC'' Data'!$AK$4:$AM$6,3,FALSE)=0,"Spatial Data Missing ⚠",VLOOKUP(V122,'G-7 WaterC'' Data'!$AK$4:$AM$6,3,FALSE)))</f>
        <v/>
      </c>
      <c r="Y122" s="398" t="str">
        <f>IFERROR(IF(OR(LEFT(P122,5)="Error",LEFT(O122,5)="Error"),"Check Data ⚠",IF(F122&lt;S122,'G-7 WaterC'' Data'!$R$3,INDEX('G-7 WaterC'' Data'!$U$5:$Y$9,MATCH(G122,'G-7 WaterC'' Data'!$T$5:$T$9,0),MATCH(T122,'G-7 WaterC'' Data'!$U$4:$Y$4,0)))),"")</f>
        <v/>
      </c>
      <c r="Z122" s="165"/>
      <c r="AA122" s="165"/>
      <c r="AB122" s="395" t="str">
        <f t="shared" si="9"/>
        <v/>
      </c>
      <c r="AC122" s="383" t="str">
        <f t="shared" si="14"/>
        <v/>
      </c>
      <c r="AD122" s="422" t="str">
        <f>IFERROR(IF(AC122="Check Data ⚠","Check Data ⚠",VLOOKUP(AC122,'G-4 Temporal multipliers'!$A$4:$C$37,3,FALSE)),"")</f>
        <v/>
      </c>
      <c r="AE122" s="398" t="str">
        <f>IF(N122="","",VLOOKUP(N122,'G-7 WaterC'' Data'!$B$4:$G$8,5,FALSE))</f>
        <v/>
      </c>
      <c r="AF122" s="382" t="str">
        <f t="shared" si="10"/>
        <v/>
      </c>
      <c r="AG122" s="382" t="str">
        <f t="shared" si="15"/>
        <v/>
      </c>
      <c r="AH122" s="386" t="str">
        <f t="shared" si="11"/>
        <v/>
      </c>
      <c r="AI122" s="122"/>
      <c r="AJ122" s="363" t="str">
        <f>IF(AI122="","",IF(VLOOKUP(AI122,'G-7 WaterC'' Data'!$AA$4:$AB$7,2,FALSE)=0,"Spatial Data Missing ⚠",VLOOKUP(AI122,'G-7 WaterC'' Data'!$AA$4:$AB$7,2,FALSE)))</f>
        <v/>
      </c>
      <c r="AK122" s="123"/>
      <c r="AL122" s="397" t="str">
        <f>IF(AK122="","",IF(VLOOKUP(AK122,'G-7 WaterC'' Data'!$AD$4:$AE$14,2,FALSE)=0,"Spatial Data Missing ⚠",VLOOKUP(AK122,'G-7 WaterC'' Data'!$AD$4:$AE$14,2,FALSE)))</f>
        <v/>
      </c>
      <c r="AM122" s="122"/>
      <c r="AN122" s="363" t="str">
        <f>IF(AM122="","",IF(VLOOKUP(AM122,'G-7 WaterC'' Data'!$AO$4:$BO$7,2,FALSE)=0,"Spatial Data Missing ⚠",VLOOKUP(AM122,'G-7 WaterC'' Data'!$AO$4:$BO$7,2,FALSE)))</f>
        <v/>
      </c>
      <c r="AO122" s="405" t="str">
        <f t="shared" si="16"/>
        <v/>
      </c>
      <c r="AP122" s="405" t="str">
        <f t="shared" si="17"/>
        <v/>
      </c>
      <c r="AQ122" s="117"/>
      <c r="AR122" s="118"/>
      <c r="AS122" s="120"/>
      <c r="AT122" s="120"/>
      <c r="AY122" s="30" t="str">
        <f>IFERROR(INDEX('G-7 WaterC'' Data'!$AZ$3:$AZ$7,MATCH(N122,'G-7 WaterC'' Data'!$AY$3:$AY$7,0)),"")</f>
        <v/>
      </c>
    </row>
    <row r="123" spans="2:51" ht="15">
      <c r="B123" s="392" t="str">
        <f>'F-1 Off-Site WaterC'' Baseline'!AR121</f>
        <v/>
      </c>
      <c r="C123" s="382" t="str">
        <f>IF(B123="","",VLOOKUP($B123,'F-1 Off-Site WaterC'' Baseline'!$C$9:$R$257,2,FALSE))</f>
        <v/>
      </c>
      <c r="D123" s="382" t="str">
        <f>IF(C123="","",VLOOKUP($B123,'F-1 Off-Site WaterC'' Baseline'!$C$9:$R$257,3,FALSE))</f>
        <v/>
      </c>
      <c r="E123" s="382" t="str">
        <f>IF(D123="","",VLOOKUP($B123,'F-1 Off-Site WaterC'' Baseline'!$C$9:$R$257,4,FALSE))</f>
        <v/>
      </c>
      <c r="F123" s="382" t="str">
        <f>IF(E123="","",VLOOKUP($B123,'F-1 Off-Site WaterC'' Baseline'!$C$9:$R$257,5,FALSE))</f>
        <v/>
      </c>
      <c r="G123" s="382" t="str">
        <f>IF(F123="","",VLOOKUP($B123,'F-1 Off-Site WaterC'' Baseline'!$C$9:$R$257,6,FALSE))</f>
        <v/>
      </c>
      <c r="H123" s="382" t="str">
        <f>IF(G123="","",VLOOKUP($B123,'F-1 Off-Site WaterC'' Baseline'!$C$9:$R$257,7,FALSE))</f>
        <v/>
      </c>
      <c r="I123" s="382" t="str">
        <f>IF(H123="","",VLOOKUP($B123,'F-1 Off-Site WaterC'' Baseline'!$C$9:$R$257,8,FALSE))</f>
        <v/>
      </c>
      <c r="J123" s="382" t="str">
        <f>IF(I123="","",VLOOKUP($B123,'F-1 Off-Site WaterC'' Baseline'!$C$9:$R$257,9,FALSE))</f>
        <v/>
      </c>
      <c r="K123" s="382" t="str">
        <f>IF(J123="","",VLOOKUP($B123,'F-1 Off-Site WaterC'' Baseline'!$C$9:$R$257,10,FALSE))</f>
        <v/>
      </c>
      <c r="L123" s="382" t="str">
        <f>IF(B123="","",VLOOKUP($B123,'F-1 Off-Site WaterC'' Baseline'!$C$9:$R$257,15,FALSE))</f>
        <v/>
      </c>
      <c r="M123" s="386" t="str">
        <f>IF(L123="","",VLOOKUP($B123,'F-1 Off-Site WaterC'' Baseline'!$C$9:$R$257,16,FALSE))</f>
        <v/>
      </c>
      <c r="N123" s="316" t="str">
        <f t="shared" si="12"/>
        <v/>
      </c>
      <c r="O123" s="362" t="str">
        <f t="shared" si="13"/>
        <v/>
      </c>
      <c r="P123" s="363" t="str">
        <f>IF(C123="","",IF(AND(LEFT(C123,55)&lt;&gt;LEFT(N123,55),O123="High - High"),"Error - Not like for like ▲",IF(H123&gt;U123,"Error - Can not reduce condition ▲",IF(AND(F123=S123,H123=U123,AJ123='F-1 Off-Site WaterC'' Baseline'!N121,'F-1 Off-Site WaterC'' Baseline'!P121=AL123),"Error - No enhancement ▲",IF(AND(C123&lt;&gt;N123,F123&lt;S123),"Lower Distinctiveness Habitat"&amp;" - "&amp;T123,G123&amp;" - "&amp;T123)))))</f>
        <v/>
      </c>
      <c r="Q123" s="368" t="str">
        <f>IF(N123="","",VLOOKUP(B123,'F-1 Off-Site WaterC'' Baseline'!$C$10:$AE$257,22,FALSE))</f>
        <v/>
      </c>
      <c r="R123" s="362" t="str">
        <f>IF(N123="","",VLOOKUP(N123,'G-7 WaterC'' Data'!$B$2:$G$8,2,FALSE))</f>
        <v/>
      </c>
      <c r="S123" s="363" t="str">
        <f>IFERROR(VLOOKUP(R123,'G-7 WaterC'' Data'!$C$4:$D$8,2,FALSE),"")</f>
        <v/>
      </c>
      <c r="T123" s="114"/>
      <c r="U123" s="363" t="str">
        <f>IFERROR(INDEX('G-7 WaterC'' Data'!$H$4:$L$8,MATCH(N123,'G-7 WaterC'' Data'!$B$4:$B$8,0),MATCH(T123,'G-7 WaterC'' Data'!$H$3:$L$3,0)),"")</f>
        <v/>
      </c>
      <c r="V123" s="122"/>
      <c r="W123" s="382" t="str">
        <f>IF(V123="","",IF(VLOOKUP(V123,'G-7 WaterC'' Data'!$AK$4:$AM$6,2,FALSE)=0,"Spatial Data Missing ⚠",VLOOKUP(V123,'G-7 WaterC'' Data'!$AK$4:$AM$6,2,FALSE)))</f>
        <v/>
      </c>
      <c r="X123" s="386" t="str">
        <f>IF(V123="","",IF(VLOOKUP(V123,'G-7 WaterC'' Data'!$AK$4:$AM$6,3,FALSE)=0,"Spatial Data Missing ⚠",VLOOKUP(V123,'G-7 WaterC'' Data'!$AK$4:$AM$6,3,FALSE)))</f>
        <v/>
      </c>
      <c r="Y123" s="398" t="str">
        <f>IFERROR(IF(OR(LEFT(P123,5)="Error",LEFT(O123,5)="Error"),"Check Data ⚠",IF(F123&lt;S123,'G-7 WaterC'' Data'!$R$3,INDEX('G-7 WaterC'' Data'!$U$5:$Y$9,MATCH(G123,'G-7 WaterC'' Data'!$T$5:$T$9,0),MATCH(T123,'G-7 WaterC'' Data'!$U$4:$Y$4,0)))),"")</f>
        <v/>
      </c>
      <c r="Z123" s="165"/>
      <c r="AA123" s="165"/>
      <c r="AB123" s="395" t="str">
        <f t="shared" si="9"/>
        <v/>
      </c>
      <c r="AC123" s="383" t="str">
        <f t="shared" si="14"/>
        <v/>
      </c>
      <c r="AD123" s="422" t="str">
        <f>IFERROR(IF(AC123="Check Data ⚠","Check Data ⚠",VLOOKUP(AC123,'G-4 Temporal multipliers'!$A$4:$C$37,3,FALSE)),"")</f>
        <v/>
      </c>
      <c r="AE123" s="398" t="str">
        <f>IF(N123="","",VLOOKUP(N123,'G-7 WaterC'' Data'!$B$4:$G$8,5,FALSE))</f>
        <v/>
      </c>
      <c r="AF123" s="382" t="str">
        <f t="shared" si="10"/>
        <v/>
      </c>
      <c r="AG123" s="382" t="str">
        <f t="shared" si="15"/>
        <v/>
      </c>
      <c r="AH123" s="386" t="str">
        <f t="shared" si="11"/>
        <v/>
      </c>
      <c r="AI123" s="122"/>
      <c r="AJ123" s="363" t="str">
        <f>IF(AI123="","",IF(VLOOKUP(AI123,'G-7 WaterC'' Data'!$AA$4:$AB$7,2,FALSE)=0,"Spatial Data Missing ⚠",VLOOKUP(AI123,'G-7 WaterC'' Data'!$AA$4:$AB$7,2,FALSE)))</f>
        <v/>
      </c>
      <c r="AK123" s="123"/>
      <c r="AL123" s="397" t="str">
        <f>IF(AK123="","",IF(VLOOKUP(AK123,'G-7 WaterC'' Data'!$AD$4:$AE$14,2,FALSE)=0,"Spatial Data Missing ⚠",VLOOKUP(AK123,'G-7 WaterC'' Data'!$AD$4:$AE$14,2,FALSE)))</f>
        <v/>
      </c>
      <c r="AM123" s="122"/>
      <c r="AN123" s="363" t="str">
        <f>IF(AM123="","",IF(VLOOKUP(AM123,'G-7 WaterC'' Data'!$AO$4:$BO$7,2,FALSE)=0,"Spatial Data Missing ⚠",VLOOKUP(AM123,'G-7 WaterC'' Data'!$AO$4:$BO$7,2,FALSE)))</f>
        <v/>
      </c>
      <c r="AO123" s="405" t="str">
        <f t="shared" si="16"/>
        <v/>
      </c>
      <c r="AP123" s="405" t="str">
        <f t="shared" si="17"/>
        <v/>
      </c>
      <c r="AQ123" s="117"/>
      <c r="AR123" s="118"/>
      <c r="AS123" s="120"/>
      <c r="AT123" s="120"/>
      <c r="AY123" s="30" t="str">
        <f>IFERROR(INDEX('G-7 WaterC'' Data'!$AZ$3:$AZ$7,MATCH(N123,'G-7 WaterC'' Data'!$AY$3:$AY$7,0)),"")</f>
        <v/>
      </c>
    </row>
    <row r="124" spans="2:51" ht="15">
      <c r="B124" s="392" t="str">
        <f>'F-1 Off-Site WaterC'' Baseline'!AR122</f>
        <v/>
      </c>
      <c r="C124" s="382" t="str">
        <f>IF(B124="","",VLOOKUP($B124,'F-1 Off-Site WaterC'' Baseline'!$C$9:$R$257,2,FALSE))</f>
        <v/>
      </c>
      <c r="D124" s="382" t="str">
        <f>IF(C124="","",VLOOKUP($B124,'F-1 Off-Site WaterC'' Baseline'!$C$9:$R$257,3,FALSE))</f>
        <v/>
      </c>
      <c r="E124" s="382" t="str">
        <f>IF(D124="","",VLOOKUP($B124,'F-1 Off-Site WaterC'' Baseline'!$C$9:$R$257,4,FALSE))</f>
        <v/>
      </c>
      <c r="F124" s="382" t="str">
        <f>IF(E124="","",VLOOKUP($B124,'F-1 Off-Site WaterC'' Baseline'!$C$9:$R$257,5,FALSE))</f>
        <v/>
      </c>
      <c r="G124" s="382" t="str">
        <f>IF(F124="","",VLOOKUP($B124,'F-1 Off-Site WaterC'' Baseline'!$C$9:$R$257,6,FALSE))</f>
        <v/>
      </c>
      <c r="H124" s="382" t="str">
        <f>IF(G124="","",VLOOKUP($B124,'F-1 Off-Site WaterC'' Baseline'!$C$9:$R$257,7,FALSE))</f>
        <v/>
      </c>
      <c r="I124" s="382" t="str">
        <f>IF(H124="","",VLOOKUP($B124,'F-1 Off-Site WaterC'' Baseline'!$C$9:$R$257,8,FALSE))</f>
        <v/>
      </c>
      <c r="J124" s="382" t="str">
        <f>IF(I124="","",VLOOKUP($B124,'F-1 Off-Site WaterC'' Baseline'!$C$9:$R$257,9,FALSE))</f>
        <v/>
      </c>
      <c r="K124" s="382" t="str">
        <f>IF(J124="","",VLOOKUP($B124,'F-1 Off-Site WaterC'' Baseline'!$C$9:$R$257,10,FALSE))</f>
        <v/>
      </c>
      <c r="L124" s="382" t="str">
        <f>IF(B124="","",VLOOKUP($B124,'F-1 Off-Site WaterC'' Baseline'!$C$9:$R$257,15,FALSE))</f>
        <v/>
      </c>
      <c r="M124" s="386" t="str">
        <f>IF(L124="","",VLOOKUP($B124,'F-1 Off-Site WaterC'' Baseline'!$C$9:$R$257,16,FALSE))</f>
        <v/>
      </c>
      <c r="N124" s="316" t="str">
        <f t="shared" si="12"/>
        <v/>
      </c>
      <c r="O124" s="362" t="str">
        <f t="shared" si="13"/>
        <v/>
      </c>
      <c r="P124" s="363" t="str">
        <f>IF(C124="","",IF(AND(LEFT(C124,55)&lt;&gt;LEFT(N124,55),O124="High - High"),"Error - Not like for like ▲",IF(H124&gt;U124,"Error - Can not reduce condition ▲",IF(AND(F124=S124,H124=U124,AJ124='F-1 Off-Site WaterC'' Baseline'!N122,'F-1 Off-Site WaterC'' Baseline'!P122=AL124),"Error - No enhancement ▲",IF(AND(C124&lt;&gt;N124,F124&lt;S124),"Lower Distinctiveness Habitat"&amp;" - "&amp;T124,G124&amp;" - "&amp;T124)))))</f>
        <v/>
      </c>
      <c r="Q124" s="368" t="str">
        <f>IF(N124="","",VLOOKUP(B124,'F-1 Off-Site WaterC'' Baseline'!$C$10:$AE$257,22,FALSE))</f>
        <v/>
      </c>
      <c r="R124" s="362" t="str">
        <f>IF(N124="","",VLOOKUP(N124,'G-7 WaterC'' Data'!$B$2:$G$8,2,FALSE))</f>
        <v/>
      </c>
      <c r="S124" s="363" t="str">
        <f>IFERROR(VLOOKUP(R124,'G-7 WaterC'' Data'!$C$4:$D$8,2,FALSE),"")</f>
        <v/>
      </c>
      <c r="T124" s="114"/>
      <c r="U124" s="363" t="str">
        <f>IFERROR(INDEX('G-7 WaterC'' Data'!$H$4:$L$8,MATCH(N124,'G-7 WaterC'' Data'!$B$4:$B$8,0),MATCH(T124,'G-7 WaterC'' Data'!$H$3:$L$3,0)),"")</f>
        <v/>
      </c>
      <c r="V124" s="122"/>
      <c r="W124" s="382" t="str">
        <f>IF(V124="","",IF(VLOOKUP(V124,'G-7 WaterC'' Data'!$AK$4:$AM$6,2,FALSE)=0,"Spatial Data Missing ⚠",VLOOKUP(V124,'G-7 WaterC'' Data'!$AK$4:$AM$6,2,FALSE)))</f>
        <v/>
      </c>
      <c r="X124" s="386" t="str">
        <f>IF(V124="","",IF(VLOOKUP(V124,'G-7 WaterC'' Data'!$AK$4:$AM$6,3,FALSE)=0,"Spatial Data Missing ⚠",VLOOKUP(V124,'G-7 WaterC'' Data'!$AK$4:$AM$6,3,FALSE)))</f>
        <v/>
      </c>
      <c r="Y124" s="398" t="str">
        <f>IFERROR(IF(OR(LEFT(P124,5)="Error",LEFT(O124,5)="Error"),"Check Data ⚠",IF(F124&lt;S124,'G-7 WaterC'' Data'!$R$3,INDEX('G-7 WaterC'' Data'!$U$5:$Y$9,MATCH(G124,'G-7 WaterC'' Data'!$T$5:$T$9,0),MATCH(T124,'G-7 WaterC'' Data'!$U$4:$Y$4,0)))),"")</f>
        <v/>
      </c>
      <c r="Z124" s="165"/>
      <c r="AA124" s="165"/>
      <c r="AB124" s="395" t="str">
        <f t="shared" si="9"/>
        <v/>
      </c>
      <c r="AC124" s="383" t="str">
        <f t="shared" si="14"/>
        <v/>
      </c>
      <c r="AD124" s="422" t="str">
        <f>IFERROR(IF(AC124="Check Data ⚠","Check Data ⚠",VLOOKUP(AC124,'G-4 Temporal multipliers'!$A$4:$C$37,3,FALSE)),"")</f>
        <v/>
      </c>
      <c r="AE124" s="398" t="str">
        <f>IF(N124="","",VLOOKUP(N124,'G-7 WaterC'' Data'!$B$4:$G$8,5,FALSE))</f>
        <v/>
      </c>
      <c r="AF124" s="382" t="str">
        <f t="shared" si="10"/>
        <v/>
      </c>
      <c r="AG124" s="382" t="str">
        <f t="shared" si="15"/>
        <v/>
      </c>
      <c r="AH124" s="386" t="str">
        <f t="shared" si="11"/>
        <v/>
      </c>
      <c r="AI124" s="122"/>
      <c r="AJ124" s="363" t="str">
        <f>IF(AI124="","",IF(VLOOKUP(AI124,'G-7 WaterC'' Data'!$AA$4:$AB$7,2,FALSE)=0,"Spatial Data Missing ⚠",VLOOKUP(AI124,'G-7 WaterC'' Data'!$AA$4:$AB$7,2,FALSE)))</f>
        <v/>
      </c>
      <c r="AK124" s="123"/>
      <c r="AL124" s="397" t="str">
        <f>IF(AK124="","",IF(VLOOKUP(AK124,'G-7 WaterC'' Data'!$AD$4:$AE$14,2,FALSE)=0,"Spatial Data Missing ⚠",VLOOKUP(AK124,'G-7 WaterC'' Data'!$AD$4:$AE$14,2,FALSE)))</f>
        <v/>
      </c>
      <c r="AM124" s="122"/>
      <c r="AN124" s="363" t="str">
        <f>IF(AM124="","",IF(VLOOKUP(AM124,'G-7 WaterC'' Data'!$AO$4:$BO$7,2,FALSE)=0,"Spatial Data Missing ⚠",VLOOKUP(AM124,'G-7 WaterC'' Data'!$AO$4:$BO$7,2,FALSE)))</f>
        <v/>
      </c>
      <c r="AO124" s="405" t="str">
        <f t="shared" si="16"/>
        <v/>
      </c>
      <c r="AP124" s="405" t="str">
        <f t="shared" si="17"/>
        <v/>
      </c>
      <c r="AQ124" s="117"/>
      <c r="AR124" s="118"/>
      <c r="AS124" s="120"/>
      <c r="AT124" s="120"/>
      <c r="AY124" s="30" t="str">
        <f>IFERROR(INDEX('G-7 WaterC'' Data'!$AZ$3:$AZ$7,MATCH(N124,'G-7 WaterC'' Data'!$AY$3:$AY$7,0)),"")</f>
        <v/>
      </c>
    </row>
    <row r="125" spans="2:51" ht="15">
      <c r="B125" s="392" t="str">
        <f>'F-1 Off-Site WaterC'' Baseline'!AR123</f>
        <v/>
      </c>
      <c r="C125" s="382" t="str">
        <f>IF(B125="","",VLOOKUP($B125,'F-1 Off-Site WaterC'' Baseline'!$C$9:$R$257,2,FALSE))</f>
        <v/>
      </c>
      <c r="D125" s="382" t="str">
        <f>IF(C125="","",VLOOKUP($B125,'F-1 Off-Site WaterC'' Baseline'!$C$9:$R$257,3,FALSE))</f>
        <v/>
      </c>
      <c r="E125" s="382" t="str">
        <f>IF(D125="","",VLOOKUP($B125,'F-1 Off-Site WaterC'' Baseline'!$C$9:$R$257,4,FALSE))</f>
        <v/>
      </c>
      <c r="F125" s="382" t="str">
        <f>IF(E125="","",VLOOKUP($B125,'F-1 Off-Site WaterC'' Baseline'!$C$9:$R$257,5,FALSE))</f>
        <v/>
      </c>
      <c r="G125" s="382" t="str">
        <f>IF(F125="","",VLOOKUP($B125,'F-1 Off-Site WaterC'' Baseline'!$C$9:$R$257,6,FALSE))</f>
        <v/>
      </c>
      <c r="H125" s="382" t="str">
        <f>IF(G125="","",VLOOKUP($B125,'F-1 Off-Site WaterC'' Baseline'!$C$9:$R$257,7,FALSE))</f>
        <v/>
      </c>
      <c r="I125" s="382" t="str">
        <f>IF(H125="","",VLOOKUP($B125,'F-1 Off-Site WaterC'' Baseline'!$C$9:$R$257,8,FALSE))</f>
        <v/>
      </c>
      <c r="J125" s="382" t="str">
        <f>IF(I125="","",VLOOKUP($B125,'F-1 Off-Site WaterC'' Baseline'!$C$9:$R$257,9,FALSE))</f>
        <v/>
      </c>
      <c r="K125" s="382" t="str">
        <f>IF(J125="","",VLOOKUP($B125,'F-1 Off-Site WaterC'' Baseline'!$C$9:$R$257,10,FALSE))</f>
        <v/>
      </c>
      <c r="L125" s="382" t="str">
        <f>IF(B125="","",VLOOKUP($B125,'F-1 Off-Site WaterC'' Baseline'!$C$9:$R$257,15,FALSE))</f>
        <v/>
      </c>
      <c r="M125" s="386" t="str">
        <f>IF(L125="","",VLOOKUP($B125,'F-1 Off-Site WaterC'' Baseline'!$C$9:$R$257,16,FALSE))</f>
        <v/>
      </c>
      <c r="N125" s="316" t="str">
        <f t="shared" si="12"/>
        <v/>
      </c>
      <c r="O125" s="362" t="str">
        <f t="shared" si="13"/>
        <v/>
      </c>
      <c r="P125" s="363" t="str">
        <f>IF(C125="","",IF(AND(LEFT(C125,55)&lt;&gt;LEFT(N125,55),O125="High - High"),"Error - Not like for like ▲",IF(H125&gt;U125,"Error - Can not reduce condition ▲",IF(AND(F125=S125,H125=U125,AJ125='F-1 Off-Site WaterC'' Baseline'!N123,'F-1 Off-Site WaterC'' Baseline'!P123=AL125),"Error - No enhancement ▲",IF(AND(C125&lt;&gt;N125,F125&lt;S125),"Lower Distinctiveness Habitat"&amp;" - "&amp;T125,G125&amp;" - "&amp;T125)))))</f>
        <v/>
      </c>
      <c r="Q125" s="368" t="str">
        <f>IF(N125="","",VLOOKUP(B125,'F-1 Off-Site WaterC'' Baseline'!$C$10:$AE$257,22,FALSE))</f>
        <v/>
      </c>
      <c r="R125" s="362" t="str">
        <f>IF(N125="","",VLOOKUP(N125,'G-7 WaterC'' Data'!$B$2:$G$8,2,FALSE))</f>
        <v/>
      </c>
      <c r="S125" s="363" t="str">
        <f>IFERROR(VLOOKUP(R125,'G-7 WaterC'' Data'!$C$4:$D$8,2,FALSE),"")</f>
        <v/>
      </c>
      <c r="T125" s="114"/>
      <c r="U125" s="363" t="str">
        <f>IFERROR(INDEX('G-7 WaterC'' Data'!$H$4:$L$8,MATCH(N125,'G-7 WaterC'' Data'!$B$4:$B$8,0),MATCH(T125,'G-7 WaterC'' Data'!$H$3:$L$3,0)),"")</f>
        <v/>
      </c>
      <c r="V125" s="122"/>
      <c r="W125" s="382" t="str">
        <f>IF(V125="","",IF(VLOOKUP(V125,'G-7 WaterC'' Data'!$AK$4:$AM$6,2,FALSE)=0,"Spatial Data Missing ⚠",VLOOKUP(V125,'G-7 WaterC'' Data'!$AK$4:$AM$6,2,FALSE)))</f>
        <v/>
      </c>
      <c r="X125" s="386" t="str">
        <f>IF(V125="","",IF(VLOOKUP(V125,'G-7 WaterC'' Data'!$AK$4:$AM$6,3,FALSE)=0,"Spatial Data Missing ⚠",VLOOKUP(V125,'G-7 WaterC'' Data'!$AK$4:$AM$6,3,FALSE)))</f>
        <v/>
      </c>
      <c r="Y125" s="398" t="str">
        <f>IFERROR(IF(OR(LEFT(P125,5)="Error",LEFT(O125,5)="Error"),"Check Data ⚠",IF(F125&lt;S125,'G-7 WaterC'' Data'!$R$3,INDEX('G-7 WaterC'' Data'!$U$5:$Y$9,MATCH(G125,'G-7 WaterC'' Data'!$T$5:$T$9,0),MATCH(T125,'G-7 WaterC'' Data'!$U$4:$Y$4,0)))),"")</f>
        <v/>
      </c>
      <c r="Z125" s="165"/>
      <c r="AA125" s="165"/>
      <c r="AB125" s="395" t="str">
        <f t="shared" si="9"/>
        <v/>
      </c>
      <c r="AC125" s="383" t="str">
        <f t="shared" si="14"/>
        <v/>
      </c>
      <c r="AD125" s="422" t="str">
        <f>IFERROR(IF(AC125="Check Data ⚠","Check Data ⚠",VLOOKUP(AC125,'G-4 Temporal multipliers'!$A$4:$C$37,3,FALSE)),"")</f>
        <v/>
      </c>
      <c r="AE125" s="398" t="str">
        <f>IF(N125="","",VLOOKUP(N125,'G-7 WaterC'' Data'!$B$4:$G$8,5,FALSE))</f>
        <v/>
      </c>
      <c r="AF125" s="382" t="str">
        <f t="shared" si="10"/>
        <v/>
      </c>
      <c r="AG125" s="382" t="str">
        <f t="shared" si="15"/>
        <v/>
      </c>
      <c r="AH125" s="386" t="str">
        <f t="shared" si="11"/>
        <v/>
      </c>
      <c r="AI125" s="122"/>
      <c r="AJ125" s="363" t="str">
        <f>IF(AI125="","",IF(VLOOKUP(AI125,'G-7 WaterC'' Data'!$AA$4:$AB$7,2,FALSE)=0,"Spatial Data Missing ⚠",VLOOKUP(AI125,'G-7 WaterC'' Data'!$AA$4:$AB$7,2,FALSE)))</f>
        <v/>
      </c>
      <c r="AK125" s="123"/>
      <c r="AL125" s="397" t="str">
        <f>IF(AK125="","",IF(VLOOKUP(AK125,'G-7 WaterC'' Data'!$AD$4:$AE$14,2,FALSE)=0,"Spatial Data Missing ⚠",VLOOKUP(AK125,'G-7 WaterC'' Data'!$AD$4:$AE$14,2,FALSE)))</f>
        <v/>
      </c>
      <c r="AM125" s="122"/>
      <c r="AN125" s="363" t="str">
        <f>IF(AM125="","",IF(VLOOKUP(AM125,'G-7 WaterC'' Data'!$AO$4:$BO$7,2,FALSE)=0,"Spatial Data Missing ⚠",VLOOKUP(AM125,'G-7 WaterC'' Data'!$AO$4:$BO$7,2,FALSE)))</f>
        <v/>
      </c>
      <c r="AO125" s="405" t="str">
        <f t="shared" si="16"/>
        <v/>
      </c>
      <c r="AP125" s="405" t="str">
        <f t="shared" si="17"/>
        <v/>
      </c>
      <c r="AQ125" s="117"/>
      <c r="AR125" s="118"/>
      <c r="AS125" s="120"/>
      <c r="AT125" s="120"/>
      <c r="AY125" s="30" t="str">
        <f>IFERROR(INDEX('G-7 WaterC'' Data'!$AZ$3:$AZ$7,MATCH(N125,'G-7 WaterC'' Data'!$AY$3:$AY$7,0)),"")</f>
        <v/>
      </c>
    </row>
    <row r="126" spans="2:51" ht="15">
      <c r="B126" s="392" t="str">
        <f>'F-1 Off-Site WaterC'' Baseline'!AR124</f>
        <v/>
      </c>
      <c r="C126" s="382" t="str">
        <f>IF(B126="","",VLOOKUP($B126,'F-1 Off-Site WaterC'' Baseline'!$C$9:$R$257,2,FALSE))</f>
        <v/>
      </c>
      <c r="D126" s="382" t="str">
        <f>IF(C126="","",VLOOKUP($B126,'F-1 Off-Site WaterC'' Baseline'!$C$9:$R$257,3,FALSE))</f>
        <v/>
      </c>
      <c r="E126" s="382" t="str">
        <f>IF(D126="","",VLOOKUP($B126,'F-1 Off-Site WaterC'' Baseline'!$C$9:$R$257,4,FALSE))</f>
        <v/>
      </c>
      <c r="F126" s="382" t="str">
        <f>IF(E126="","",VLOOKUP($B126,'F-1 Off-Site WaterC'' Baseline'!$C$9:$R$257,5,FALSE))</f>
        <v/>
      </c>
      <c r="G126" s="382" t="str">
        <f>IF(F126="","",VLOOKUP($B126,'F-1 Off-Site WaterC'' Baseline'!$C$9:$R$257,6,FALSE))</f>
        <v/>
      </c>
      <c r="H126" s="382" t="str">
        <f>IF(G126="","",VLOOKUP($B126,'F-1 Off-Site WaterC'' Baseline'!$C$9:$R$257,7,FALSE))</f>
        <v/>
      </c>
      <c r="I126" s="382" t="str">
        <f>IF(H126="","",VLOOKUP($B126,'F-1 Off-Site WaterC'' Baseline'!$C$9:$R$257,8,FALSE))</f>
        <v/>
      </c>
      <c r="J126" s="382" t="str">
        <f>IF(I126="","",VLOOKUP($B126,'F-1 Off-Site WaterC'' Baseline'!$C$9:$R$257,9,FALSE))</f>
        <v/>
      </c>
      <c r="K126" s="382" t="str">
        <f>IF(J126="","",VLOOKUP($B126,'F-1 Off-Site WaterC'' Baseline'!$C$9:$R$257,10,FALSE))</f>
        <v/>
      </c>
      <c r="L126" s="382" t="str">
        <f>IF(B126="","",VLOOKUP($B126,'F-1 Off-Site WaterC'' Baseline'!$C$9:$R$257,15,FALSE))</f>
        <v/>
      </c>
      <c r="M126" s="386" t="str">
        <f>IF(L126="","",VLOOKUP($B126,'F-1 Off-Site WaterC'' Baseline'!$C$9:$R$257,16,FALSE))</f>
        <v/>
      </c>
      <c r="N126" s="316" t="str">
        <f t="shared" si="12"/>
        <v/>
      </c>
      <c r="O126" s="362" t="str">
        <f t="shared" si="13"/>
        <v/>
      </c>
      <c r="P126" s="363" t="str">
        <f>IF(C126="","",IF(AND(LEFT(C126,55)&lt;&gt;LEFT(N126,55),O126="High - High"),"Error - Not like for like ▲",IF(H126&gt;U126,"Error - Can not reduce condition ▲",IF(AND(F126=S126,H126=U126,AJ126='F-1 Off-Site WaterC'' Baseline'!N124,'F-1 Off-Site WaterC'' Baseline'!P124=AL126),"Error - No enhancement ▲",IF(AND(C126&lt;&gt;N126,F126&lt;S126),"Lower Distinctiveness Habitat"&amp;" - "&amp;T126,G126&amp;" - "&amp;T126)))))</f>
        <v/>
      </c>
      <c r="Q126" s="368" t="str">
        <f>IF(N126="","",VLOOKUP(B126,'F-1 Off-Site WaterC'' Baseline'!$C$10:$AE$257,22,FALSE))</f>
        <v/>
      </c>
      <c r="R126" s="362" t="str">
        <f>IF(N126="","",VLOOKUP(N126,'G-7 WaterC'' Data'!$B$2:$G$8,2,FALSE))</f>
        <v/>
      </c>
      <c r="S126" s="363" t="str">
        <f>IFERROR(VLOOKUP(R126,'G-7 WaterC'' Data'!$C$4:$D$8,2,FALSE),"")</f>
        <v/>
      </c>
      <c r="T126" s="114"/>
      <c r="U126" s="363" t="str">
        <f>IFERROR(INDEX('G-7 WaterC'' Data'!$H$4:$L$8,MATCH(N126,'G-7 WaterC'' Data'!$B$4:$B$8,0),MATCH(T126,'G-7 WaterC'' Data'!$H$3:$L$3,0)),"")</f>
        <v/>
      </c>
      <c r="V126" s="122"/>
      <c r="W126" s="382" t="str">
        <f>IF(V126="","",IF(VLOOKUP(V126,'G-7 WaterC'' Data'!$AK$4:$AM$6,2,FALSE)=0,"Spatial Data Missing ⚠",VLOOKUP(V126,'G-7 WaterC'' Data'!$AK$4:$AM$6,2,FALSE)))</f>
        <v/>
      </c>
      <c r="X126" s="386" t="str">
        <f>IF(V126="","",IF(VLOOKUP(V126,'G-7 WaterC'' Data'!$AK$4:$AM$6,3,FALSE)=0,"Spatial Data Missing ⚠",VLOOKUP(V126,'G-7 WaterC'' Data'!$AK$4:$AM$6,3,FALSE)))</f>
        <v/>
      </c>
      <c r="Y126" s="398" t="str">
        <f>IFERROR(IF(OR(LEFT(P126,5)="Error",LEFT(O126,5)="Error"),"Check Data ⚠",IF(F126&lt;S126,'G-7 WaterC'' Data'!$R$3,INDEX('G-7 WaterC'' Data'!$U$5:$Y$9,MATCH(G126,'G-7 WaterC'' Data'!$T$5:$T$9,0),MATCH(T126,'G-7 WaterC'' Data'!$U$4:$Y$4,0)))),"")</f>
        <v/>
      </c>
      <c r="Z126" s="165"/>
      <c r="AA126" s="165"/>
      <c r="AB126" s="395" t="str">
        <f t="shared" si="9"/>
        <v/>
      </c>
      <c r="AC126" s="383" t="str">
        <f t="shared" si="14"/>
        <v/>
      </c>
      <c r="AD126" s="422" t="str">
        <f>IFERROR(IF(AC126="Check Data ⚠","Check Data ⚠",VLOOKUP(AC126,'G-4 Temporal multipliers'!$A$4:$C$37,3,FALSE)),"")</f>
        <v/>
      </c>
      <c r="AE126" s="398" t="str">
        <f>IF(N126="","",VLOOKUP(N126,'G-7 WaterC'' Data'!$B$4:$G$8,5,FALSE))</f>
        <v/>
      </c>
      <c r="AF126" s="382" t="str">
        <f t="shared" si="10"/>
        <v/>
      </c>
      <c r="AG126" s="382" t="str">
        <f t="shared" si="15"/>
        <v/>
      </c>
      <c r="AH126" s="386" t="str">
        <f t="shared" si="11"/>
        <v/>
      </c>
      <c r="AI126" s="122"/>
      <c r="AJ126" s="363" t="str">
        <f>IF(AI126="","",IF(VLOOKUP(AI126,'G-7 WaterC'' Data'!$AA$4:$AB$7,2,FALSE)=0,"Spatial Data Missing ⚠",VLOOKUP(AI126,'G-7 WaterC'' Data'!$AA$4:$AB$7,2,FALSE)))</f>
        <v/>
      </c>
      <c r="AK126" s="123"/>
      <c r="AL126" s="397" t="str">
        <f>IF(AK126="","",IF(VLOOKUP(AK126,'G-7 WaterC'' Data'!$AD$4:$AE$14,2,FALSE)=0,"Spatial Data Missing ⚠",VLOOKUP(AK126,'G-7 WaterC'' Data'!$AD$4:$AE$14,2,FALSE)))</f>
        <v/>
      </c>
      <c r="AM126" s="122"/>
      <c r="AN126" s="363" t="str">
        <f>IF(AM126="","",IF(VLOOKUP(AM126,'G-7 WaterC'' Data'!$AO$4:$BO$7,2,FALSE)=0,"Spatial Data Missing ⚠",VLOOKUP(AM126,'G-7 WaterC'' Data'!$AO$4:$BO$7,2,FALSE)))</f>
        <v/>
      </c>
      <c r="AO126" s="405" t="str">
        <f t="shared" si="16"/>
        <v/>
      </c>
      <c r="AP126" s="405" t="str">
        <f t="shared" si="17"/>
        <v/>
      </c>
      <c r="AQ126" s="117"/>
      <c r="AR126" s="118"/>
      <c r="AS126" s="120"/>
      <c r="AT126" s="120"/>
      <c r="AY126" s="30" t="str">
        <f>IFERROR(INDEX('G-7 WaterC'' Data'!$AZ$3:$AZ$7,MATCH(N126,'G-7 WaterC'' Data'!$AY$3:$AY$7,0)),"")</f>
        <v/>
      </c>
    </row>
    <row r="127" spans="2:51" ht="15">
      <c r="B127" s="392" t="str">
        <f>'F-1 Off-Site WaterC'' Baseline'!AR125</f>
        <v/>
      </c>
      <c r="C127" s="382" t="str">
        <f>IF(B127="","",VLOOKUP($B127,'F-1 Off-Site WaterC'' Baseline'!$C$9:$R$257,2,FALSE))</f>
        <v/>
      </c>
      <c r="D127" s="382" t="str">
        <f>IF(C127="","",VLOOKUP($B127,'F-1 Off-Site WaterC'' Baseline'!$C$9:$R$257,3,FALSE))</f>
        <v/>
      </c>
      <c r="E127" s="382" t="str">
        <f>IF(D127="","",VLOOKUP($B127,'F-1 Off-Site WaterC'' Baseline'!$C$9:$R$257,4,FALSE))</f>
        <v/>
      </c>
      <c r="F127" s="382" t="str">
        <f>IF(E127="","",VLOOKUP($B127,'F-1 Off-Site WaterC'' Baseline'!$C$9:$R$257,5,FALSE))</f>
        <v/>
      </c>
      <c r="G127" s="382" t="str">
        <f>IF(F127="","",VLOOKUP($B127,'F-1 Off-Site WaterC'' Baseline'!$C$9:$R$257,6,FALSE))</f>
        <v/>
      </c>
      <c r="H127" s="382" t="str">
        <f>IF(G127="","",VLOOKUP($B127,'F-1 Off-Site WaterC'' Baseline'!$C$9:$R$257,7,FALSE))</f>
        <v/>
      </c>
      <c r="I127" s="382" t="str">
        <f>IF(H127="","",VLOOKUP($B127,'F-1 Off-Site WaterC'' Baseline'!$C$9:$R$257,8,FALSE))</f>
        <v/>
      </c>
      <c r="J127" s="382" t="str">
        <f>IF(I127="","",VLOOKUP($B127,'F-1 Off-Site WaterC'' Baseline'!$C$9:$R$257,9,FALSE))</f>
        <v/>
      </c>
      <c r="K127" s="382" t="str">
        <f>IF(J127="","",VLOOKUP($B127,'F-1 Off-Site WaterC'' Baseline'!$C$9:$R$257,10,FALSE))</f>
        <v/>
      </c>
      <c r="L127" s="382" t="str">
        <f>IF(B127="","",VLOOKUP($B127,'F-1 Off-Site WaterC'' Baseline'!$C$9:$R$257,15,FALSE))</f>
        <v/>
      </c>
      <c r="M127" s="386" t="str">
        <f>IF(L127="","",VLOOKUP($B127,'F-1 Off-Site WaterC'' Baseline'!$C$9:$R$257,16,FALSE))</f>
        <v/>
      </c>
      <c r="N127" s="316" t="str">
        <f t="shared" si="12"/>
        <v/>
      </c>
      <c r="O127" s="362" t="str">
        <f t="shared" si="13"/>
        <v/>
      </c>
      <c r="P127" s="363" t="str">
        <f>IF(C127="","",IF(AND(LEFT(C127,55)&lt;&gt;LEFT(N127,55),O127="High - High"),"Error - Not like for like ▲",IF(H127&gt;U127,"Error - Can not reduce condition ▲",IF(AND(F127=S127,H127=U127,AJ127='F-1 Off-Site WaterC'' Baseline'!N125,'F-1 Off-Site WaterC'' Baseline'!P125=AL127),"Error - No enhancement ▲",IF(AND(C127&lt;&gt;N127,F127&lt;S127),"Lower Distinctiveness Habitat"&amp;" - "&amp;T127,G127&amp;" - "&amp;T127)))))</f>
        <v/>
      </c>
      <c r="Q127" s="368" t="str">
        <f>IF(N127="","",VLOOKUP(B127,'F-1 Off-Site WaterC'' Baseline'!$C$10:$AE$257,22,FALSE))</f>
        <v/>
      </c>
      <c r="R127" s="362" t="str">
        <f>IF(N127="","",VLOOKUP(N127,'G-7 WaterC'' Data'!$B$2:$G$8,2,FALSE))</f>
        <v/>
      </c>
      <c r="S127" s="363" t="str">
        <f>IFERROR(VLOOKUP(R127,'G-7 WaterC'' Data'!$C$4:$D$8,2,FALSE),"")</f>
        <v/>
      </c>
      <c r="T127" s="114"/>
      <c r="U127" s="363" t="str">
        <f>IFERROR(INDEX('G-7 WaterC'' Data'!$H$4:$L$8,MATCH(N127,'G-7 WaterC'' Data'!$B$4:$B$8,0),MATCH(T127,'G-7 WaterC'' Data'!$H$3:$L$3,0)),"")</f>
        <v/>
      </c>
      <c r="V127" s="122"/>
      <c r="W127" s="382" t="str">
        <f>IF(V127="","",IF(VLOOKUP(V127,'G-7 WaterC'' Data'!$AK$4:$AM$6,2,FALSE)=0,"Spatial Data Missing ⚠",VLOOKUP(V127,'G-7 WaterC'' Data'!$AK$4:$AM$6,2,FALSE)))</f>
        <v/>
      </c>
      <c r="X127" s="386" t="str">
        <f>IF(V127="","",IF(VLOOKUP(V127,'G-7 WaterC'' Data'!$AK$4:$AM$6,3,FALSE)=0,"Spatial Data Missing ⚠",VLOOKUP(V127,'G-7 WaterC'' Data'!$AK$4:$AM$6,3,FALSE)))</f>
        <v/>
      </c>
      <c r="Y127" s="398" t="str">
        <f>IFERROR(IF(OR(LEFT(P127,5)="Error",LEFT(O127,5)="Error"),"Check Data ⚠",IF(F127&lt;S127,'G-7 WaterC'' Data'!$R$3,INDEX('G-7 WaterC'' Data'!$U$5:$Y$9,MATCH(G127,'G-7 WaterC'' Data'!$T$5:$T$9,0),MATCH(T127,'G-7 WaterC'' Data'!$U$4:$Y$4,0)))),"")</f>
        <v/>
      </c>
      <c r="Z127" s="165"/>
      <c r="AA127" s="165"/>
      <c r="AB127" s="395" t="str">
        <f t="shared" si="9"/>
        <v/>
      </c>
      <c r="AC127" s="383" t="str">
        <f t="shared" si="14"/>
        <v/>
      </c>
      <c r="AD127" s="422" t="str">
        <f>IFERROR(IF(AC127="Check Data ⚠","Check Data ⚠",VLOOKUP(AC127,'G-4 Temporal multipliers'!$A$4:$C$37,3,FALSE)),"")</f>
        <v/>
      </c>
      <c r="AE127" s="398" t="str">
        <f>IF(N127="","",VLOOKUP(N127,'G-7 WaterC'' Data'!$B$4:$G$8,5,FALSE))</f>
        <v/>
      </c>
      <c r="AF127" s="382" t="str">
        <f t="shared" si="10"/>
        <v/>
      </c>
      <c r="AG127" s="382" t="str">
        <f t="shared" si="15"/>
        <v/>
      </c>
      <c r="AH127" s="386" t="str">
        <f t="shared" si="11"/>
        <v/>
      </c>
      <c r="AI127" s="122"/>
      <c r="AJ127" s="363" t="str">
        <f>IF(AI127="","",IF(VLOOKUP(AI127,'G-7 WaterC'' Data'!$AA$4:$AB$7,2,FALSE)=0,"Spatial Data Missing ⚠",VLOOKUP(AI127,'G-7 WaterC'' Data'!$AA$4:$AB$7,2,FALSE)))</f>
        <v/>
      </c>
      <c r="AK127" s="123"/>
      <c r="AL127" s="397" t="str">
        <f>IF(AK127="","",IF(VLOOKUP(AK127,'G-7 WaterC'' Data'!$AD$4:$AE$14,2,FALSE)=0,"Spatial Data Missing ⚠",VLOOKUP(AK127,'G-7 WaterC'' Data'!$AD$4:$AE$14,2,FALSE)))</f>
        <v/>
      </c>
      <c r="AM127" s="122"/>
      <c r="AN127" s="363" t="str">
        <f>IF(AM127="","",IF(VLOOKUP(AM127,'G-7 WaterC'' Data'!$AO$4:$BO$7,2,FALSE)=0,"Spatial Data Missing ⚠",VLOOKUP(AM127,'G-7 WaterC'' Data'!$AO$4:$BO$7,2,FALSE)))</f>
        <v/>
      </c>
      <c r="AO127" s="405" t="str">
        <f t="shared" si="16"/>
        <v/>
      </c>
      <c r="AP127" s="405" t="str">
        <f t="shared" si="17"/>
        <v/>
      </c>
      <c r="AQ127" s="117"/>
      <c r="AR127" s="118"/>
      <c r="AS127" s="120"/>
      <c r="AT127" s="120"/>
      <c r="AY127" s="30" t="str">
        <f>IFERROR(INDEX('G-7 WaterC'' Data'!$AZ$3:$AZ$7,MATCH(N127,'G-7 WaterC'' Data'!$AY$3:$AY$7,0)),"")</f>
        <v/>
      </c>
    </row>
    <row r="128" spans="2:51" ht="15">
      <c r="B128" s="392" t="str">
        <f>'F-1 Off-Site WaterC'' Baseline'!AR126</f>
        <v/>
      </c>
      <c r="C128" s="382" t="str">
        <f>IF(B128="","",VLOOKUP($B128,'F-1 Off-Site WaterC'' Baseline'!$C$9:$R$257,2,FALSE))</f>
        <v/>
      </c>
      <c r="D128" s="382" t="str">
        <f>IF(C128="","",VLOOKUP($B128,'F-1 Off-Site WaterC'' Baseline'!$C$9:$R$257,3,FALSE))</f>
        <v/>
      </c>
      <c r="E128" s="382" t="str">
        <f>IF(D128="","",VLOOKUP($B128,'F-1 Off-Site WaterC'' Baseline'!$C$9:$R$257,4,FALSE))</f>
        <v/>
      </c>
      <c r="F128" s="382" t="str">
        <f>IF(E128="","",VLOOKUP($B128,'F-1 Off-Site WaterC'' Baseline'!$C$9:$R$257,5,FALSE))</f>
        <v/>
      </c>
      <c r="G128" s="382" t="str">
        <f>IF(F128="","",VLOOKUP($B128,'F-1 Off-Site WaterC'' Baseline'!$C$9:$R$257,6,FALSE))</f>
        <v/>
      </c>
      <c r="H128" s="382" t="str">
        <f>IF(G128="","",VLOOKUP($B128,'F-1 Off-Site WaterC'' Baseline'!$C$9:$R$257,7,FALSE))</f>
        <v/>
      </c>
      <c r="I128" s="382" t="str">
        <f>IF(H128="","",VLOOKUP($B128,'F-1 Off-Site WaterC'' Baseline'!$C$9:$R$257,8,FALSE))</f>
        <v/>
      </c>
      <c r="J128" s="382" t="str">
        <f>IF(I128="","",VLOOKUP($B128,'F-1 Off-Site WaterC'' Baseline'!$C$9:$R$257,9,FALSE))</f>
        <v/>
      </c>
      <c r="K128" s="382" t="str">
        <f>IF(J128="","",VLOOKUP($B128,'F-1 Off-Site WaterC'' Baseline'!$C$9:$R$257,10,FALSE))</f>
        <v/>
      </c>
      <c r="L128" s="382" t="str">
        <f>IF(B128="","",VLOOKUP($B128,'F-1 Off-Site WaterC'' Baseline'!$C$9:$R$257,15,FALSE))</f>
        <v/>
      </c>
      <c r="M128" s="386" t="str">
        <f>IF(L128="","",VLOOKUP($B128,'F-1 Off-Site WaterC'' Baseline'!$C$9:$R$257,16,FALSE))</f>
        <v/>
      </c>
      <c r="N128" s="316" t="str">
        <f t="shared" si="12"/>
        <v/>
      </c>
      <c r="O128" s="362" t="str">
        <f t="shared" si="13"/>
        <v/>
      </c>
      <c r="P128" s="363" t="str">
        <f>IF(C128="","",IF(AND(LEFT(C128,55)&lt;&gt;LEFT(N128,55),O128="High - High"),"Error - Not like for like ▲",IF(H128&gt;U128,"Error - Can not reduce condition ▲",IF(AND(F128=S128,H128=U128,AJ128='F-1 Off-Site WaterC'' Baseline'!N126,'F-1 Off-Site WaterC'' Baseline'!P126=AL128),"Error - No enhancement ▲",IF(AND(C128&lt;&gt;N128,F128&lt;S128),"Lower Distinctiveness Habitat"&amp;" - "&amp;T128,G128&amp;" - "&amp;T128)))))</f>
        <v/>
      </c>
      <c r="Q128" s="368" t="str">
        <f>IF(N128="","",VLOOKUP(B128,'F-1 Off-Site WaterC'' Baseline'!$C$10:$AE$257,22,FALSE))</f>
        <v/>
      </c>
      <c r="R128" s="362" t="str">
        <f>IF(N128="","",VLOOKUP(N128,'G-7 WaterC'' Data'!$B$2:$G$8,2,FALSE))</f>
        <v/>
      </c>
      <c r="S128" s="363" t="str">
        <f>IFERROR(VLOOKUP(R128,'G-7 WaterC'' Data'!$C$4:$D$8,2,FALSE),"")</f>
        <v/>
      </c>
      <c r="T128" s="114"/>
      <c r="U128" s="363" t="str">
        <f>IFERROR(INDEX('G-7 WaterC'' Data'!$H$4:$L$8,MATCH(N128,'G-7 WaterC'' Data'!$B$4:$B$8,0),MATCH(T128,'G-7 WaterC'' Data'!$H$3:$L$3,0)),"")</f>
        <v/>
      </c>
      <c r="V128" s="122"/>
      <c r="W128" s="382" t="str">
        <f>IF(V128="","",IF(VLOOKUP(V128,'G-7 WaterC'' Data'!$AK$4:$AM$6,2,FALSE)=0,"Spatial Data Missing ⚠",VLOOKUP(V128,'G-7 WaterC'' Data'!$AK$4:$AM$6,2,FALSE)))</f>
        <v/>
      </c>
      <c r="X128" s="386" t="str">
        <f>IF(V128="","",IF(VLOOKUP(V128,'G-7 WaterC'' Data'!$AK$4:$AM$6,3,FALSE)=0,"Spatial Data Missing ⚠",VLOOKUP(V128,'G-7 WaterC'' Data'!$AK$4:$AM$6,3,FALSE)))</f>
        <v/>
      </c>
      <c r="Y128" s="398" t="str">
        <f>IFERROR(IF(OR(LEFT(P128,5)="Error",LEFT(O128,5)="Error"),"Check Data ⚠",IF(F128&lt;S128,'G-7 WaterC'' Data'!$R$3,INDEX('G-7 WaterC'' Data'!$U$5:$Y$9,MATCH(G128,'G-7 WaterC'' Data'!$T$5:$T$9,0),MATCH(T128,'G-7 WaterC'' Data'!$U$4:$Y$4,0)))),"")</f>
        <v/>
      </c>
      <c r="Z128" s="165"/>
      <c r="AA128" s="165"/>
      <c r="AB128" s="395" t="str">
        <f t="shared" si="9"/>
        <v/>
      </c>
      <c r="AC128" s="383" t="str">
        <f t="shared" si="14"/>
        <v/>
      </c>
      <c r="AD128" s="422" t="str">
        <f>IFERROR(IF(AC128="Check Data ⚠","Check Data ⚠",VLOOKUP(AC128,'G-4 Temporal multipliers'!$A$4:$C$37,3,FALSE)),"")</f>
        <v/>
      </c>
      <c r="AE128" s="398" t="str">
        <f>IF(N128="","",VLOOKUP(N128,'G-7 WaterC'' Data'!$B$4:$G$8,5,FALSE))</f>
        <v/>
      </c>
      <c r="AF128" s="382" t="str">
        <f t="shared" si="10"/>
        <v/>
      </c>
      <c r="AG128" s="382" t="str">
        <f t="shared" si="15"/>
        <v/>
      </c>
      <c r="AH128" s="386" t="str">
        <f t="shared" si="11"/>
        <v/>
      </c>
      <c r="AI128" s="122"/>
      <c r="AJ128" s="363" t="str">
        <f>IF(AI128="","",IF(VLOOKUP(AI128,'G-7 WaterC'' Data'!$AA$4:$AB$7,2,FALSE)=0,"Spatial Data Missing ⚠",VLOOKUP(AI128,'G-7 WaterC'' Data'!$AA$4:$AB$7,2,FALSE)))</f>
        <v/>
      </c>
      <c r="AK128" s="123"/>
      <c r="AL128" s="397" t="str">
        <f>IF(AK128="","",IF(VLOOKUP(AK128,'G-7 WaterC'' Data'!$AD$4:$AE$14,2,FALSE)=0,"Spatial Data Missing ⚠",VLOOKUP(AK128,'G-7 WaterC'' Data'!$AD$4:$AE$14,2,FALSE)))</f>
        <v/>
      </c>
      <c r="AM128" s="122"/>
      <c r="AN128" s="363" t="str">
        <f>IF(AM128="","",IF(VLOOKUP(AM128,'G-7 WaterC'' Data'!$AO$4:$BO$7,2,FALSE)=0,"Spatial Data Missing ⚠",VLOOKUP(AM128,'G-7 WaterC'' Data'!$AO$4:$BO$7,2,FALSE)))</f>
        <v/>
      </c>
      <c r="AO128" s="405" t="str">
        <f t="shared" si="16"/>
        <v/>
      </c>
      <c r="AP128" s="405" t="str">
        <f t="shared" si="17"/>
        <v/>
      </c>
      <c r="AQ128" s="117"/>
      <c r="AR128" s="118"/>
      <c r="AS128" s="120"/>
      <c r="AT128" s="120"/>
      <c r="AY128" s="30" t="str">
        <f>IFERROR(INDEX('G-7 WaterC'' Data'!$AZ$3:$AZ$7,MATCH(N128,'G-7 WaterC'' Data'!$AY$3:$AY$7,0)),"")</f>
        <v/>
      </c>
    </row>
    <row r="129" spans="2:51" ht="15">
      <c r="B129" s="392" t="str">
        <f>'F-1 Off-Site WaterC'' Baseline'!AR127</f>
        <v/>
      </c>
      <c r="C129" s="382" t="str">
        <f>IF(B129="","",VLOOKUP($B129,'F-1 Off-Site WaterC'' Baseline'!$C$9:$R$257,2,FALSE))</f>
        <v/>
      </c>
      <c r="D129" s="382" t="str">
        <f>IF(C129="","",VLOOKUP($B129,'F-1 Off-Site WaterC'' Baseline'!$C$9:$R$257,3,FALSE))</f>
        <v/>
      </c>
      <c r="E129" s="382" t="str">
        <f>IF(D129="","",VLOOKUP($B129,'F-1 Off-Site WaterC'' Baseline'!$C$9:$R$257,4,FALSE))</f>
        <v/>
      </c>
      <c r="F129" s="382" t="str">
        <f>IF(E129="","",VLOOKUP($B129,'F-1 Off-Site WaterC'' Baseline'!$C$9:$R$257,5,FALSE))</f>
        <v/>
      </c>
      <c r="G129" s="382" t="str">
        <f>IF(F129="","",VLOOKUP($B129,'F-1 Off-Site WaterC'' Baseline'!$C$9:$R$257,6,FALSE))</f>
        <v/>
      </c>
      <c r="H129" s="382" t="str">
        <f>IF(G129="","",VLOOKUP($B129,'F-1 Off-Site WaterC'' Baseline'!$C$9:$R$257,7,FALSE))</f>
        <v/>
      </c>
      <c r="I129" s="382" t="str">
        <f>IF(H129="","",VLOOKUP($B129,'F-1 Off-Site WaterC'' Baseline'!$C$9:$R$257,8,FALSE))</f>
        <v/>
      </c>
      <c r="J129" s="382" t="str">
        <f>IF(I129="","",VLOOKUP($B129,'F-1 Off-Site WaterC'' Baseline'!$C$9:$R$257,9,FALSE))</f>
        <v/>
      </c>
      <c r="K129" s="382" t="str">
        <f>IF(J129="","",VLOOKUP($B129,'F-1 Off-Site WaterC'' Baseline'!$C$9:$R$257,10,FALSE))</f>
        <v/>
      </c>
      <c r="L129" s="382" t="str">
        <f>IF(B129="","",VLOOKUP($B129,'F-1 Off-Site WaterC'' Baseline'!$C$9:$R$257,15,FALSE))</f>
        <v/>
      </c>
      <c r="M129" s="386" t="str">
        <f>IF(L129="","",VLOOKUP($B129,'F-1 Off-Site WaterC'' Baseline'!$C$9:$R$257,16,FALSE))</f>
        <v/>
      </c>
      <c r="N129" s="316" t="str">
        <f t="shared" si="12"/>
        <v/>
      </c>
      <c r="O129" s="362" t="str">
        <f t="shared" si="13"/>
        <v/>
      </c>
      <c r="P129" s="363" t="str">
        <f>IF(C129="","",IF(AND(LEFT(C129,55)&lt;&gt;LEFT(N129,55),O129="High - High"),"Error - Not like for like ▲",IF(H129&gt;U129,"Error - Can not reduce condition ▲",IF(AND(F129=S129,H129=U129,AJ129='F-1 Off-Site WaterC'' Baseline'!N127,'F-1 Off-Site WaterC'' Baseline'!P127=AL129),"Error - No enhancement ▲",IF(AND(C129&lt;&gt;N129,F129&lt;S129),"Lower Distinctiveness Habitat"&amp;" - "&amp;T129,G129&amp;" - "&amp;T129)))))</f>
        <v/>
      </c>
      <c r="Q129" s="368" t="str">
        <f>IF(N129="","",VLOOKUP(B129,'F-1 Off-Site WaterC'' Baseline'!$C$10:$AE$257,22,FALSE))</f>
        <v/>
      </c>
      <c r="R129" s="362" t="str">
        <f>IF(N129="","",VLOOKUP(N129,'G-7 WaterC'' Data'!$B$2:$G$8,2,FALSE))</f>
        <v/>
      </c>
      <c r="S129" s="363" t="str">
        <f>IFERROR(VLOOKUP(R129,'G-7 WaterC'' Data'!$C$4:$D$8,2,FALSE),"")</f>
        <v/>
      </c>
      <c r="T129" s="114"/>
      <c r="U129" s="363" t="str">
        <f>IFERROR(INDEX('G-7 WaterC'' Data'!$H$4:$L$8,MATCH(N129,'G-7 WaterC'' Data'!$B$4:$B$8,0),MATCH(T129,'G-7 WaterC'' Data'!$H$3:$L$3,0)),"")</f>
        <v/>
      </c>
      <c r="V129" s="122"/>
      <c r="W129" s="382" t="str">
        <f>IF(V129="","",IF(VLOOKUP(V129,'G-7 WaterC'' Data'!$AK$4:$AM$6,2,FALSE)=0,"Spatial Data Missing ⚠",VLOOKUP(V129,'G-7 WaterC'' Data'!$AK$4:$AM$6,2,FALSE)))</f>
        <v/>
      </c>
      <c r="X129" s="386" t="str">
        <f>IF(V129="","",IF(VLOOKUP(V129,'G-7 WaterC'' Data'!$AK$4:$AM$6,3,FALSE)=0,"Spatial Data Missing ⚠",VLOOKUP(V129,'G-7 WaterC'' Data'!$AK$4:$AM$6,3,FALSE)))</f>
        <v/>
      </c>
      <c r="Y129" s="398" t="str">
        <f>IFERROR(IF(OR(LEFT(P129,5)="Error",LEFT(O129,5)="Error"),"Check Data ⚠",IF(F129&lt;S129,'G-7 WaterC'' Data'!$R$3,INDEX('G-7 WaterC'' Data'!$U$5:$Y$9,MATCH(G129,'G-7 WaterC'' Data'!$T$5:$T$9,0),MATCH(T129,'G-7 WaterC'' Data'!$U$4:$Y$4,0)))),"")</f>
        <v/>
      </c>
      <c r="Z129" s="165"/>
      <c r="AA129" s="165"/>
      <c r="AB129" s="395" t="str">
        <f t="shared" si="9"/>
        <v/>
      </c>
      <c r="AC129" s="383" t="str">
        <f t="shared" si="14"/>
        <v/>
      </c>
      <c r="AD129" s="422" t="str">
        <f>IFERROR(IF(AC129="Check Data ⚠","Check Data ⚠",VLOOKUP(AC129,'G-4 Temporal multipliers'!$A$4:$C$37,3,FALSE)),"")</f>
        <v/>
      </c>
      <c r="AE129" s="398" t="str">
        <f>IF(N129="","",VLOOKUP(N129,'G-7 WaterC'' Data'!$B$4:$G$8,5,FALSE))</f>
        <v/>
      </c>
      <c r="AF129" s="382" t="str">
        <f t="shared" si="10"/>
        <v/>
      </c>
      <c r="AG129" s="382" t="str">
        <f t="shared" si="15"/>
        <v/>
      </c>
      <c r="AH129" s="386" t="str">
        <f t="shared" si="11"/>
        <v/>
      </c>
      <c r="AI129" s="122"/>
      <c r="AJ129" s="363" t="str">
        <f>IF(AI129="","",IF(VLOOKUP(AI129,'G-7 WaterC'' Data'!$AA$4:$AB$7,2,FALSE)=0,"Spatial Data Missing ⚠",VLOOKUP(AI129,'G-7 WaterC'' Data'!$AA$4:$AB$7,2,FALSE)))</f>
        <v/>
      </c>
      <c r="AK129" s="123"/>
      <c r="AL129" s="397" t="str">
        <f>IF(AK129="","",IF(VLOOKUP(AK129,'G-7 WaterC'' Data'!$AD$4:$AE$14,2,FALSE)=0,"Spatial Data Missing ⚠",VLOOKUP(AK129,'G-7 WaterC'' Data'!$AD$4:$AE$14,2,FALSE)))</f>
        <v/>
      </c>
      <c r="AM129" s="122"/>
      <c r="AN129" s="363" t="str">
        <f>IF(AM129="","",IF(VLOOKUP(AM129,'G-7 WaterC'' Data'!$AO$4:$BO$7,2,FALSE)=0,"Spatial Data Missing ⚠",VLOOKUP(AM129,'G-7 WaterC'' Data'!$AO$4:$BO$7,2,FALSE)))</f>
        <v/>
      </c>
      <c r="AO129" s="405" t="str">
        <f t="shared" si="16"/>
        <v/>
      </c>
      <c r="AP129" s="405" t="str">
        <f t="shared" si="17"/>
        <v/>
      </c>
      <c r="AQ129" s="117"/>
      <c r="AR129" s="118"/>
      <c r="AS129" s="120"/>
      <c r="AT129" s="120"/>
      <c r="AY129" s="30" t="str">
        <f>IFERROR(INDEX('G-7 WaterC'' Data'!$AZ$3:$AZ$7,MATCH(N129,'G-7 WaterC'' Data'!$AY$3:$AY$7,0)),"")</f>
        <v/>
      </c>
    </row>
    <row r="130" spans="2:51" ht="15">
      <c r="B130" s="392" t="str">
        <f>'F-1 Off-Site WaterC'' Baseline'!AR128</f>
        <v/>
      </c>
      <c r="C130" s="382" t="str">
        <f>IF(B130="","",VLOOKUP($B130,'F-1 Off-Site WaterC'' Baseline'!$C$9:$R$257,2,FALSE))</f>
        <v/>
      </c>
      <c r="D130" s="382" t="str">
        <f>IF(C130="","",VLOOKUP($B130,'F-1 Off-Site WaterC'' Baseline'!$C$9:$R$257,3,FALSE))</f>
        <v/>
      </c>
      <c r="E130" s="382" t="str">
        <f>IF(D130="","",VLOOKUP($B130,'F-1 Off-Site WaterC'' Baseline'!$C$9:$R$257,4,FALSE))</f>
        <v/>
      </c>
      <c r="F130" s="382" t="str">
        <f>IF(E130="","",VLOOKUP($B130,'F-1 Off-Site WaterC'' Baseline'!$C$9:$R$257,5,FALSE))</f>
        <v/>
      </c>
      <c r="G130" s="382" t="str">
        <f>IF(F130="","",VLOOKUP($B130,'F-1 Off-Site WaterC'' Baseline'!$C$9:$R$257,6,FALSE))</f>
        <v/>
      </c>
      <c r="H130" s="382" t="str">
        <f>IF(G130="","",VLOOKUP($B130,'F-1 Off-Site WaterC'' Baseline'!$C$9:$R$257,7,FALSE))</f>
        <v/>
      </c>
      <c r="I130" s="382" t="str">
        <f>IF(H130="","",VLOOKUP($B130,'F-1 Off-Site WaterC'' Baseline'!$C$9:$R$257,8,FALSE))</f>
        <v/>
      </c>
      <c r="J130" s="382" t="str">
        <f>IF(I130="","",VLOOKUP($B130,'F-1 Off-Site WaterC'' Baseline'!$C$9:$R$257,9,FALSE))</f>
        <v/>
      </c>
      <c r="K130" s="382" t="str">
        <f>IF(J130="","",VLOOKUP($B130,'F-1 Off-Site WaterC'' Baseline'!$C$9:$R$257,10,FALSE))</f>
        <v/>
      </c>
      <c r="L130" s="382" t="str">
        <f>IF(B130="","",VLOOKUP($B130,'F-1 Off-Site WaterC'' Baseline'!$C$9:$R$257,15,FALSE))</f>
        <v/>
      </c>
      <c r="M130" s="386" t="str">
        <f>IF(L130="","",VLOOKUP($B130,'F-1 Off-Site WaterC'' Baseline'!$C$9:$R$257,16,FALSE))</f>
        <v/>
      </c>
      <c r="N130" s="316" t="str">
        <f t="shared" si="12"/>
        <v/>
      </c>
      <c r="O130" s="362" t="str">
        <f t="shared" si="13"/>
        <v/>
      </c>
      <c r="P130" s="363" t="str">
        <f>IF(C130="","",IF(AND(LEFT(C130,55)&lt;&gt;LEFT(N130,55),O130="High - High"),"Error - Not like for like ▲",IF(H130&gt;U130,"Error - Can not reduce condition ▲",IF(AND(F130=S130,H130=U130,AJ130='F-1 Off-Site WaterC'' Baseline'!N128,'F-1 Off-Site WaterC'' Baseline'!P128=AL130),"Error - No enhancement ▲",IF(AND(C130&lt;&gt;N130,F130&lt;S130),"Lower Distinctiveness Habitat"&amp;" - "&amp;T130,G130&amp;" - "&amp;T130)))))</f>
        <v/>
      </c>
      <c r="Q130" s="368" t="str">
        <f>IF(N130="","",VLOOKUP(B130,'F-1 Off-Site WaterC'' Baseline'!$C$10:$AE$257,22,FALSE))</f>
        <v/>
      </c>
      <c r="R130" s="362" t="str">
        <f>IF(N130="","",VLOOKUP(N130,'G-7 WaterC'' Data'!$B$2:$G$8,2,FALSE))</f>
        <v/>
      </c>
      <c r="S130" s="363" t="str">
        <f>IFERROR(VLOOKUP(R130,'G-7 WaterC'' Data'!$C$4:$D$8,2,FALSE),"")</f>
        <v/>
      </c>
      <c r="T130" s="114"/>
      <c r="U130" s="363" t="str">
        <f>IFERROR(INDEX('G-7 WaterC'' Data'!$H$4:$L$8,MATCH(N130,'G-7 WaterC'' Data'!$B$4:$B$8,0),MATCH(T130,'G-7 WaterC'' Data'!$H$3:$L$3,0)),"")</f>
        <v/>
      </c>
      <c r="V130" s="122"/>
      <c r="W130" s="382" t="str">
        <f>IF(V130="","",IF(VLOOKUP(V130,'G-7 WaterC'' Data'!$AK$4:$AM$6,2,FALSE)=0,"Spatial Data Missing ⚠",VLOOKUP(V130,'G-7 WaterC'' Data'!$AK$4:$AM$6,2,FALSE)))</f>
        <v/>
      </c>
      <c r="X130" s="386" t="str">
        <f>IF(V130="","",IF(VLOOKUP(V130,'G-7 WaterC'' Data'!$AK$4:$AM$6,3,FALSE)=0,"Spatial Data Missing ⚠",VLOOKUP(V130,'G-7 WaterC'' Data'!$AK$4:$AM$6,3,FALSE)))</f>
        <v/>
      </c>
      <c r="Y130" s="398" t="str">
        <f>IFERROR(IF(OR(LEFT(P130,5)="Error",LEFT(O130,5)="Error"),"Check Data ⚠",IF(F130&lt;S130,'G-7 WaterC'' Data'!$R$3,INDEX('G-7 WaterC'' Data'!$U$5:$Y$9,MATCH(G130,'G-7 WaterC'' Data'!$T$5:$T$9,0),MATCH(T130,'G-7 WaterC'' Data'!$U$4:$Y$4,0)))),"")</f>
        <v/>
      </c>
      <c r="Z130" s="165"/>
      <c r="AA130" s="165"/>
      <c r="AB130" s="395" t="str">
        <f t="shared" si="9"/>
        <v/>
      </c>
      <c r="AC130" s="383" t="str">
        <f t="shared" si="14"/>
        <v/>
      </c>
      <c r="AD130" s="422" t="str">
        <f>IFERROR(IF(AC130="Check Data ⚠","Check Data ⚠",VLOOKUP(AC130,'G-4 Temporal multipliers'!$A$4:$C$37,3,FALSE)),"")</f>
        <v/>
      </c>
      <c r="AE130" s="398" t="str">
        <f>IF(N130="","",VLOOKUP(N130,'G-7 WaterC'' Data'!$B$4:$G$8,5,FALSE))</f>
        <v/>
      </c>
      <c r="AF130" s="382" t="str">
        <f t="shared" si="10"/>
        <v/>
      </c>
      <c r="AG130" s="382" t="str">
        <f t="shared" si="15"/>
        <v/>
      </c>
      <c r="AH130" s="386" t="str">
        <f t="shared" si="11"/>
        <v/>
      </c>
      <c r="AI130" s="122"/>
      <c r="AJ130" s="363" t="str">
        <f>IF(AI130="","",IF(VLOOKUP(AI130,'G-7 WaterC'' Data'!$AA$4:$AB$7,2,FALSE)=0,"Spatial Data Missing ⚠",VLOOKUP(AI130,'G-7 WaterC'' Data'!$AA$4:$AB$7,2,FALSE)))</f>
        <v/>
      </c>
      <c r="AK130" s="123"/>
      <c r="AL130" s="397" t="str">
        <f>IF(AK130="","",IF(VLOOKUP(AK130,'G-7 WaterC'' Data'!$AD$4:$AE$14,2,FALSE)=0,"Spatial Data Missing ⚠",VLOOKUP(AK130,'G-7 WaterC'' Data'!$AD$4:$AE$14,2,FALSE)))</f>
        <v/>
      </c>
      <c r="AM130" s="122"/>
      <c r="AN130" s="363" t="str">
        <f>IF(AM130="","",IF(VLOOKUP(AM130,'G-7 WaterC'' Data'!$AO$4:$BO$7,2,FALSE)=0,"Spatial Data Missing ⚠",VLOOKUP(AM130,'G-7 WaterC'' Data'!$AO$4:$BO$7,2,FALSE)))</f>
        <v/>
      </c>
      <c r="AO130" s="405" t="str">
        <f t="shared" si="16"/>
        <v/>
      </c>
      <c r="AP130" s="405" t="str">
        <f t="shared" si="17"/>
        <v/>
      </c>
      <c r="AQ130" s="117"/>
      <c r="AR130" s="118"/>
      <c r="AS130" s="120"/>
      <c r="AT130" s="120"/>
      <c r="AY130" s="30" t="str">
        <f>IFERROR(INDEX('G-7 WaterC'' Data'!$AZ$3:$AZ$7,MATCH(N130,'G-7 WaterC'' Data'!$AY$3:$AY$7,0)),"")</f>
        <v/>
      </c>
    </row>
    <row r="131" spans="2:51" ht="15">
      <c r="B131" s="392" t="str">
        <f>'F-1 Off-Site WaterC'' Baseline'!AR129</f>
        <v/>
      </c>
      <c r="C131" s="382" t="str">
        <f>IF(B131="","",VLOOKUP($B131,'F-1 Off-Site WaterC'' Baseline'!$C$9:$R$257,2,FALSE))</f>
        <v/>
      </c>
      <c r="D131" s="382" t="str">
        <f>IF(C131="","",VLOOKUP($B131,'F-1 Off-Site WaterC'' Baseline'!$C$9:$R$257,3,FALSE))</f>
        <v/>
      </c>
      <c r="E131" s="382" t="str">
        <f>IF(D131="","",VLOOKUP($B131,'F-1 Off-Site WaterC'' Baseline'!$C$9:$R$257,4,FALSE))</f>
        <v/>
      </c>
      <c r="F131" s="382" t="str">
        <f>IF(E131="","",VLOOKUP($B131,'F-1 Off-Site WaterC'' Baseline'!$C$9:$R$257,5,FALSE))</f>
        <v/>
      </c>
      <c r="G131" s="382" t="str">
        <f>IF(F131="","",VLOOKUP($B131,'F-1 Off-Site WaterC'' Baseline'!$C$9:$R$257,6,FALSE))</f>
        <v/>
      </c>
      <c r="H131" s="382" t="str">
        <f>IF(G131="","",VLOOKUP($B131,'F-1 Off-Site WaterC'' Baseline'!$C$9:$R$257,7,FALSE))</f>
        <v/>
      </c>
      <c r="I131" s="382" t="str">
        <f>IF(H131="","",VLOOKUP($B131,'F-1 Off-Site WaterC'' Baseline'!$C$9:$R$257,8,FALSE))</f>
        <v/>
      </c>
      <c r="J131" s="382" t="str">
        <f>IF(I131="","",VLOOKUP($B131,'F-1 Off-Site WaterC'' Baseline'!$C$9:$R$257,9,FALSE))</f>
        <v/>
      </c>
      <c r="K131" s="382" t="str">
        <f>IF(J131="","",VLOOKUP($B131,'F-1 Off-Site WaterC'' Baseline'!$C$9:$R$257,10,FALSE))</f>
        <v/>
      </c>
      <c r="L131" s="382" t="str">
        <f>IF(B131="","",VLOOKUP($B131,'F-1 Off-Site WaterC'' Baseline'!$C$9:$R$257,15,FALSE))</f>
        <v/>
      </c>
      <c r="M131" s="386" t="str">
        <f>IF(L131="","",VLOOKUP($B131,'F-1 Off-Site WaterC'' Baseline'!$C$9:$R$257,16,FALSE))</f>
        <v/>
      </c>
      <c r="N131" s="316" t="str">
        <f t="shared" si="12"/>
        <v/>
      </c>
      <c r="O131" s="362" t="str">
        <f t="shared" si="13"/>
        <v/>
      </c>
      <c r="P131" s="363" t="str">
        <f>IF(C131="","",IF(AND(LEFT(C131,55)&lt;&gt;LEFT(N131,55),O131="High - High"),"Error - Not like for like ▲",IF(H131&gt;U131,"Error - Can not reduce condition ▲",IF(AND(F131=S131,H131=U131,AJ131='F-1 Off-Site WaterC'' Baseline'!N129,'F-1 Off-Site WaterC'' Baseline'!P129=AL131),"Error - No enhancement ▲",IF(AND(C131&lt;&gt;N131,F131&lt;S131),"Lower Distinctiveness Habitat"&amp;" - "&amp;T131,G131&amp;" - "&amp;T131)))))</f>
        <v/>
      </c>
      <c r="Q131" s="368" t="str">
        <f>IF(N131="","",VLOOKUP(B131,'F-1 Off-Site WaterC'' Baseline'!$C$10:$AE$257,22,FALSE))</f>
        <v/>
      </c>
      <c r="R131" s="362" t="str">
        <f>IF(N131="","",VLOOKUP(N131,'G-7 WaterC'' Data'!$B$2:$G$8,2,FALSE))</f>
        <v/>
      </c>
      <c r="S131" s="363" t="str">
        <f>IFERROR(VLOOKUP(R131,'G-7 WaterC'' Data'!$C$4:$D$8,2,FALSE),"")</f>
        <v/>
      </c>
      <c r="T131" s="114"/>
      <c r="U131" s="363" t="str">
        <f>IFERROR(INDEX('G-7 WaterC'' Data'!$H$4:$L$8,MATCH(N131,'G-7 WaterC'' Data'!$B$4:$B$8,0),MATCH(T131,'G-7 WaterC'' Data'!$H$3:$L$3,0)),"")</f>
        <v/>
      </c>
      <c r="V131" s="122"/>
      <c r="W131" s="382" t="str">
        <f>IF(V131="","",IF(VLOOKUP(V131,'G-7 WaterC'' Data'!$AK$4:$AM$6,2,FALSE)=0,"Spatial Data Missing ⚠",VLOOKUP(V131,'G-7 WaterC'' Data'!$AK$4:$AM$6,2,FALSE)))</f>
        <v/>
      </c>
      <c r="X131" s="386" t="str">
        <f>IF(V131="","",IF(VLOOKUP(V131,'G-7 WaterC'' Data'!$AK$4:$AM$6,3,FALSE)=0,"Spatial Data Missing ⚠",VLOOKUP(V131,'G-7 WaterC'' Data'!$AK$4:$AM$6,3,FALSE)))</f>
        <v/>
      </c>
      <c r="Y131" s="398" t="str">
        <f>IFERROR(IF(OR(LEFT(P131,5)="Error",LEFT(O131,5)="Error"),"Check Data ⚠",IF(F131&lt;S131,'G-7 WaterC'' Data'!$R$3,INDEX('G-7 WaterC'' Data'!$U$5:$Y$9,MATCH(G131,'G-7 WaterC'' Data'!$T$5:$T$9,0),MATCH(T131,'G-7 WaterC'' Data'!$U$4:$Y$4,0)))),"")</f>
        <v/>
      </c>
      <c r="Z131" s="165"/>
      <c r="AA131" s="165"/>
      <c r="AB131" s="395" t="str">
        <f t="shared" si="9"/>
        <v/>
      </c>
      <c r="AC131" s="383" t="str">
        <f t="shared" si="14"/>
        <v/>
      </c>
      <c r="AD131" s="422" t="str">
        <f>IFERROR(IF(AC131="Check Data ⚠","Check Data ⚠",VLOOKUP(AC131,'G-4 Temporal multipliers'!$A$4:$C$37,3,FALSE)),"")</f>
        <v/>
      </c>
      <c r="AE131" s="398" t="str">
        <f>IF(N131="","",VLOOKUP(N131,'G-7 WaterC'' Data'!$B$4:$G$8,5,FALSE))</f>
        <v/>
      </c>
      <c r="AF131" s="382" t="str">
        <f t="shared" si="10"/>
        <v/>
      </c>
      <c r="AG131" s="382" t="str">
        <f t="shared" si="15"/>
        <v/>
      </c>
      <c r="AH131" s="386" t="str">
        <f t="shared" si="11"/>
        <v/>
      </c>
      <c r="AI131" s="122"/>
      <c r="AJ131" s="363" t="str">
        <f>IF(AI131="","",IF(VLOOKUP(AI131,'G-7 WaterC'' Data'!$AA$4:$AB$7,2,FALSE)=0,"Spatial Data Missing ⚠",VLOOKUP(AI131,'G-7 WaterC'' Data'!$AA$4:$AB$7,2,FALSE)))</f>
        <v/>
      </c>
      <c r="AK131" s="123"/>
      <c r="AL131" s="397" t="str">
        <f>IF(AK131="","",IF(VLOOKUP(AK131,'G-7 WaterC'' Data'!$AD$4:$AE$14,2,FALSE)=0,"Spatial Data Missing ⚠",VLOOKUP(AK131,'G-7 WaterC'' Data'!$AD$4:$AE$14,2,FALSE)))</f>
        <v/>
      </c>
      <c r="AM131" s="122"/>
      <c r="AN131" s="363" t="str">
        <f>IF(AM131="","",IF(VLOOKUP(AM131,'G-7 WaterC'' Data'!$AO$4:$BO$7,2,FALSE)=0,"Spatial Data Missing ⚠",VLOOKUP(AM131,'G-7 WaterC'' Data'!$AO$4:$BO$7,2,FALSE)))</f>
        <v/>
      </c>
      <c r="AO131" s="405" t="str">
        <f t="shared" si="16"/>
        <v/>
      </c>
      <c r="AP131" s="405" t="str">
        <f t="shared" si="17"/>
        <v/>
      </c>
      <c r="AQ131" s="117"/>
      <c r="AR131" s="118"/>
      <c r="AS131" s="120"/>
      <c r="AT131" s="120"/>
      <c r="AY131" s="30" t="str">
        <f>IFERROR(INDEX('G-7 WaterC'' Data'!$AZ$3:$AZ$7,MATCH(N131,'G-7 WaterC'' Data'!$AY$3:$AY$7,0)),"")</f>
        <v/>
      </c>
    </row>
    <row r="132" spans="2:51" ht="15">
      <c r="B132" s="392" t="str">
        <f>'F-1 Off-Site WaterC'' Baseline'!AR130</f>
        <v/>
      </c>
      <c r="C132" s="382" t="str">
        <f>IF(B132="","",VLOOKUP($B132,'F-1 Off-Site WaterC'' Baseline'!$C$9:$R$257,2,FALSE))</f>
        <v/>
      </c>
      <c r="D132" s="382" t="str">
        <f>IF(C132="","",VLOOKUP($B132,'F-1 Off-Site WaterC'' Baseline'!$C$9:$R$257,3,FALSE))</f>
        <v/>
      </c>
      <c r="E132" s="382" t="str">
        <f>IF(D132="","",VLOOKUP($B132,'F-1 Off-Site WaterC'' Baseline'!$C$9:$R$257,4,FALSE))</f>
        <v/>
      </c>
      <c r="F132" s="382" t="str">
        <f>IF(E132="","",VLOOKUP($B132,'F-1 Off-Site WaterC'' Baseline'!$C$9:$R$257,5,FALSE))</f>
        <v/>
      </c>
      <c r="G132" s="382" t="str">
        <f>IF(F132="","",VLOOKUP($B132,'F-1 Off-Site WaterC'' Baseline'!$C$9:$R$257,6,FALSE))</f>
        <v/>
      </c>
      <c r="H132" s="382" t="str">
        <f>IF(G132="","",VLOOKUP($B132,'F-1 Off-Site WaterC'' Baseline'!$C$9:$R$257,7,FALSE))</f>
        <v/>
      </c>
      <c r="I132" s="382" t="str">
        <f>IF(H132="","",VLOOKUP($B132,'F-1 Off-Site WaterC'' Baseline'!$C$9:$R$257,8,FALSE))</f>
        <v/>
      </c>
      <c r="J132" s="382" t="str">
        <f>IF(I132="","",VLOOKUP($B132,'F-1 Off-Site WaterC'' Baseline'!$C$9:$R$257,9,FALSE))</f>
        <v/>
      </c>
      <c r="K132" s="382" t="str">
        <f>IF(J132="","",VLOOKUP($B132,'F-1 Off-Site WaterC'' Baseline'!$C$9:$R$257,10,FALSE))</f>
        <v/>
      </c>
      <c r="L132" s="382" t="str">
        <f>IF(B132="","",VLOOKUP($B132,'F-1 Off-Site WaterC'' Baseline'!$C$9:$R$257,15,FALSE))</f>
        <v/>
      </c>
      <c r="M132" s="386" t="str">
        <f>IF(L132="","",VLOOKUP($B132,'F-1 Off-Site WaterC'' Baseline'!$C$9:$R$257,16,FALSE))</f>
        <v/>
      </c>
      <c r="N132" s="316" t="str">
        <f t="shared" si="12"/>
        <v/>
      </c>
      <c r="O132" s="362" t="str">
        <f t="shared" si="13"/>
        <v/>
      </c>
      <c r="P132" s="363" t="str">
        <f>IF(C132="","",IF(AND(LEFT(C132,55)&lt;&gt;LEFT(N132,55),O132="High - High"),"Error - Not like for like ▲",IF(H132&gt;U132,"Error - Can not reduce condition ▲",IF(AND(F132=S132,H132=U132,AJ132='F-1 Off-Site WaterC'' Baseline'!N130,'F-1 Off-Site WaterC'' Baseline'!P130=AL132),"Error - No enhancement ▲",IF(AND(C132&lt;&gt;N132,F132&lt;S132),"Lower Distinctiveness Habitat"&amp;" - "&amp;T132,G132&amp;" - "&amp;T132)))))</f>
        <v/>
      </c>
      <c r="Q132" s="368" t="str">
        <f>IF(N132="","",VLOOKUP(B132,'F-1 Off-Site WaterC'' Baseline'!$C$10:$AE$257,22,FALSE))</f>
        <v/>
      </c>
      <c r="R132" s="362" t="str">
        <f>IF(N132="","",VLOOKUP(N132,'G-7 WaterC'' Data'!$B$2:$G$8,2,FALSE))</f>
        <v/>
      </c>
      <c r="S132" s="363" t="str">
        <f>IFERROR(VLOOKUP(R132,'G-7 WaterC'' Data'!$C$4:$D$8,2,FALSE),"")</f>
        <v/>
      </c>
      <c r="T132" s="114"/>
      <c r="U132" s="363" t="str">
        <f>IFERROR(INDEX('G-7 WaterC'' Data'!$H$4:$L$8,MATCH(N132,'G-7 WaterC'' Data'!$B$4:$B$8,0),MATCH(T132,'G-7 WaterC'' Data'!$H$3:$L$3,0)),"")</f>
        <v/>
      </c>
      <c r="V132" s="122"/>
      <c r="W132" s="382" t="str">
        <f>IF(V132="","",IF(VLOOKUP(V132,'G-7 WaterC'' Data'!$AK$4:$AM$6,2,FALSE)=0,"Spatial Data Missing ⚠",VLOOKUP(V132,'G-7 WaterC'' Data'!$AK$4:$AM$6,2,FALSE)))</f>
        <v/>
      </c>
      <c r="X132" s="386" t="str">
        <f>IF(V132="","",IF(VLOOKUP(V132,'G-7 WaterC'' Data'!$AK$4:$AM$6,3,FALSE)=0,"Spatial Data Missing ⚠",VLOOKUP(V132,'G-7 WaterC'' Data'!$AK$4:$AM$6,3,FALSE)))</f>
        <v/>
      </c>
      <c r="Y132" s="398" t="str">
        <f>IFERROR(IF(OR(LEFT(P132,5)="Error",LEFT(O132,5)="Error"),"Check Data ⚠",IF(F132&lt;S132,'G-7 WaterC'' Data'!$R$3,INDEX('G-7 WaterC'' Data'!$U$5:$Y$9,MATCH(G132,'G-7 WaterC'' Data'!$T$5:$T$9,0),MATCH(T132,'G-7 WaterC'' Data'!$U$4:$Y$4,0)))),"")</f>
        <v/>
      </c>
      <c r="Z132" s="165"/>
      <c r="AA132" s="165"/>
      <c r="AB132" s="395" t="str">
        <f t="shared" si="9"/>
        <v/>
      </c>
      <c r="AC132" s="383" t="str">
        <f t="shared" si="14"/>
        <v/>
      </c>
      <c r="AD132" s="422" t="str">
        <f>IFERROR(IF(AC132="Check Data ⚠","Check Data ⚠",VLOOKUP(AC132,'G-4 Temporal multipliers'!$A$4:$C$37,3,FALSE)),"")</f>
        <v/>
      </c>
      <c r="AE132" s="398" t="str">
        <f>IF(N132="","",VLOOKUP(N132,'G-7 WaterC'' Data'!$B$4:$G$8,5,FALSE))</f>
        <v/>
      </c>
      <c r="AF132" s="382" t="str">
        <f t="shared" si="10"/>
        <v/>
      </c>
      <c r="AG132" s="382" t="str">
        <f t="shared" si="15"/>
        <v/>
      </c>
      <c r="AH132" s="386" t="str">
        <f t="shared" si="11"/>
        <v/>
      </c>
      <c r="AI132" s="122"/>
      <c r="AJ132" s="363" t="str">
        <f>IF(AI132="","",IF(VLOOKUP(AI132,'G-7 WaterC'' Data'!$AA$4:$AB$7,2,FALSE)=0,"Spatial Data Missing ⚠",VLOOKUP(AI132,'G-7 WaterC'' Data'!$AA$4:$AB$7,2,FALSE)))</f>
        <v/>
      </c>
      <c r="AK132" s="123"/>
      <c r="AL132" s="397" t="str">
        <f>IF(AK132="","",IF(VLOOKUP(AK132,'G-7 WaterC'' Data'!$AD$4:$AE$14,2,FALSE)=0,"Spatial Data Missing ⚠",VLOOKUP(AK132,'G-7 WaterC'' Data'!$AD$4:$AE$14,2,FALSE)))</f>
        <v/>
      </c>
      <c r="AM132" s="122"/>
      <c r="AN132" s="363" t="str">
        <f>IF(AM132="","",IF(VLOOKUP(AM132,'G-7 WaterC'' Data'!$AO$4:$BO$7,2,FALSE)=0,"Spatial Data Missing ⚠",VLOOKUP(AM132,'G-7 WaterC'' Data'!$AO$4:$BO$7,2,FALSE)))</f>
        <v/>
      </c>
      <c r="AO132" s="405" t="str">
        <f t="shared" si="16"/>
        <v/>
      </c>
      <c r="AP132" s="405" t="str">
        <f t="shared" si="17"/>
        <v/>
      </c>
      <c r="AQ132" s="117"/>
      <c r="AR132" s="118"/>
      <c r="AS132" s="120"/>
      <c r="AT132" s="120"/>
      <c r="AY132" s="30" t="str">
        <f>IFERROR(INDEX('G-7 WaterC'' Data'!$AZ$3:$AZ$7,MATCH(N132,'G-7 WaterC'' Data'!$AY$3:$AY$7,0)),"")</f>
        <v/>
      </c>
    </row>
    <row r="133" spans="2:51" ht="15">
      <c r="B133" s="392" t="str">
        <f>'F-1 Off-Site WaterC'' Baseline'!AR131</f>
        <v/>
      </c>
      <c r="C133" s="382" t="str">
        <f>IF(B133="","",VLOOKUP($B133,'F-1 Off-Site WaterC'' Baseline'!$C$9:$R$257,2,FALSE))</f>
        <v/>
      </c>
      <c r="D133" s="382" t="str">
        <f>IF(C133="","",VLOOKUP($B133,'F-1 Off-Site WaterC'' Baseline'!$C$9:$R$257,3,FALSE))</f>
        <v/>
      </c>
      <c r="E133" s="382" t="str">
        <f>IF(D133="","",VLOOKUP($B133,'F-1 Off-Site WaterC'' Baseline'!$C$9:$R$257,4,FALSE))</f>
        <v/>
      </c>
      <c r="F133" s="382" t="str">
        <f>IF(E133="","",VLOOKUP($B133,'F-1 Off-Site WaterC'' Baseline'!$C$9:$R$257,5,FALSE))</f>
        <v/>
      </c>
      <c r="G133" s="382" t="str">
        <f>IF(F133="","",VLOOKUP($B133,'F-1 Off-Site WaterC'' Baseline'!$C$9:$R$257,6,FALSE))</f>
        <v/>
      </c>
      <c r="H133" s="382" t="str">
        <f>IF(G133="","",VLOOKUP($B133,'F-1 Off-Site WaterC'' Baseline'!$C$9:$R$257,7,FALSE))</f>
        <v/>
      </c>
      <c r="I133" s="382" t="str">
        <f>IF(H133="","",VLOOKUP($B133,'F-1 Off-Site WaterC'' Baseline'!$C$9:$R$257,8,FALSE))</f>
        <v/>
      </c>
      <c r="J133" s="382" t="str">
        <f>IF(I133="","",VLOOKUP($B133,'F-1 Off-Site WaterC'' Baseline'!$C$9:$R$257,9,FALSE))</f>
        <v/>
      </c>
      <c r="K133" s="382" t="str">
        <f>IF(J133="","",VLOOKUP($B133,'F-1 Off-Site WaterC'' Baseline'!$C$9:$R$257,10,FALSE))</f>
        <v/>
      </c>
      <c r="L133" s="382" t="str">
        <f>IF(B133="","",VLOOKUP($B133,'F-1 Off-Site WaterC'' Baseline'!$C$9:$R$257,15,FALSE))</f>
        <v/>
      </c>
      <c r="M133" s="386" t="str">
        <f>IF(L133="","",VLOOKUP($B133,'F-1 Off-Site WaterC'' Baseline'!$C$9:$R$257,16,FALSE))</f>
        <v/>
      </c>
      <c r="N133" s="316" t="str">
        <f t="shared" si="12"/>
        <v/>
      </c>
      <c r="O133" s="362" t="str">
        <f t="shared" si="13"/>
        <v/>
      </c>
      <c r="P133" s="363" t="str">
        <f>IF(C133="","",IF(AND(LEFT(C133,55)&lt;&gt;LEFT(N133,55),O133="High - High"),"Error - Not like for like ▲",IF(H133&gt;U133,"Error - Can not reduce condition ▲",IF(AND(F133=S133,H133=U133,AJ133='F-1 Off-Site WaterC'' Baseline'!N131,'F-1 Off-Site WaterC'' Baseline'!P131=AL133),"Error - No enhancement ▲",IF(AND(C133&lt;&gt;N133,F133&lt;S133),"Lower Distinctiveness Habitat"&amp;" - "&amp;T133,G133&amp;" - "&amp;T133)))))</f>
        <v/>
      </c>
      <c r="Q133" s="368" t="str">
        <f>IF(N133="","",VLOOKUP(B133,'F-1 Off-Site WaterC'' Baseline'!$C$10:$AE$257,22,FALSE))</f>
        <v/>
      </c>
      <c r="R133" s="362" t="str">
        <f>IF(N133="","",VLOOKUP(N133,'G-7 WaterC'' Data'!$B$2:$G$8,2,FALSE))</f>
        <v/>
      </c>
      <c r="S133" s="363" t="str">
        <f>IFERROR(VLOOKUP(R133,'G-7 WaterC'' Data'!$C$4:$D$8,2,FALSE),"")</f>
        <v/>
      </c>
      <c r="T133" s="114"/>
      <c r="U133" s="363" t="str">
        <f>IFERROR(INDEX('G-7 WaterC'' Data'!$H$4:$L$8,MATCH(N133,'G-7 WaterC'' Data'!$B$4:$B$8,0),MATCH(T133,'G-7 WaterC'' Data'!$H$3:$L$3,0)),"")</f>
        <v/>
      </c>
      <c r="V133" s="122"/>
      <c r="W133" s="382" t="str">
        <f>IF(V133="","",IF(VLOOKUP(V133,'G-7 WaterC'' Data'!$AK$4:$AM$6,2,FALSE)=0,"Spatial Data Missing ⚠",VLOOKUP(V133,'G-7 WaterC'' Data'!$AK$4:$AM$6,2,FALSE)))</f>
        <v/>
      </c>
      <c r="X133" s="386" t="str">
        <f>IF(V133="","",IF(VLOOKUP(V133,'G-7 WaterC'' Data'!$AK$4:$AM$6,3,FALSE)=0,"Spatial Data Missing ⚠",VLOOKUP(V133,'G-7 WaterC'' Data'!$AK$4:$AM$6,3,FALSE)))</f>
        <v/>
      </c>
      <c r="Y133" s="398" t="str">
        <f>IFERROR(IF(OR(LEFT(P133,5)="Error",LEFT(O133,5)="Error"),"Check Data ⚠",IF(F133&lt;S133,'G-7 WaterC'' Data'!$R$3,INDEX('G-7 WaterC'' Data'!$U$5:$Y$9,MATCH(G133,'G-7 WaterC'' Data'!$T$5:$T$9,0),MATCH(T133,'G-7 WaterC'' Data'!$U$4:$Y$4,0)))),"")</f>
        <v/>
      </c>
      <c r="Z133" s="165"/>
      <c r="AA133" s="165"/>
      <c r="AB133" s="395" t="str">
        <f t="shared" si="9"/>
        <v/>
      </c>
      <c r="AC133" s="383" t="str">
        <f t="shared" si="14"/>
        <v/>
      </c>
      <c r="AD133" s="422" t="str">
        <f>IFERROR(IF(AC133="Check Data ⚠","Check Data ⚠",VLOOKUP(AC133,'G-4 Temporal multipliers'!$A$4:$C$37,3,FALSE)),"")</f>
        <v/>
      </c>
      <c r="AE133" s="398" t="str">
        <f>IF(N133="","",VLOOKUP(N133,'G-7 WaterC'' Data'!$B$4:$G$8,5,FALSE))</f>
        <v/>
      </c>
      <c r="AF133" s="382" t="str">
        <f t="shared" si="10"/>
        <v/>
      </c>
      <c r="AG133" s="382" t="str">
        <f t="shared" si="15"/>
        <v/>
      </c>
      <c r="AH133" s="386" t="str">
        <f t="shared" si="11"/>
        <v/>
      </c>
      <c r="AI133" s="122"/>
      <c r="AJ133" s="363" t="str">
        <f>IF(AI133="","",IF(VLOOKUP(AI133,'G-7 WaterC'' Data'!$AA$4:$AB$7,2,FALSE)=0,"Spatial Data Missing ⚠",VLOOKUP(AI133,'G-7 WaterC'' Data'!$AA$4:$AB$7,2,FALSE)))</f>
        <v/>
      </c>
      <c r="AK133" s="123"/>
      <c r="AL133" s="397" t="str">
        <f>IF(AK133="","",IF(VLOOKUP(AK133,'G-7 WaterC'' Data'!$AD$4:$AE$14,2,FALSE)=0,"Spatial Data Missing ⚠",VLOOKUP(AK133,'G-7 WaterC'' Data'!$AD$4:$AE$14,2,FALSE)))</f>
        <v/>
      </c>
      <c r="AM133" s="122"/>
      <c r="AN133" s="363" t="str">
        <f>IF(AM133="","",IF(VLOOKUP(AM133,'G-7 WaterC'' Data'!$AO$4:$BO$7,2,FALSE)=0,"Spatial Data Missing ⚠",VLOOKUP(AM133,'G-7 WaterC'' Data'!$AO$4:$BO$7,2,FALSE)))</f>
        <v/>
      </c>
      <c r="AO133" s="405" t="str">
        <f t="shared" si="16"/>
        <v/>
      </c>
      <c r="AP133" s="405" t="str">
        <f t="shared" si="17"/>
        <v/>
      </c>
      <c r="AQ133" s="117"/>
      <c r="AR133" s="118"/>
      <c r="AS133" s="120"/>
      <c r="AT133" s="120"/>
      <c r="AY133" s="30" t="str">
        <f>IFERROR(INDEX('G-7 WaterC'' Data'!$AZ$3:$AZ$7,MATCH(N133,'G-7 WaterC'' Data'!$AY$3:$AY$7,0)),"")</f>
        <v/>
      </c>
    </row>
    <row r="134" spans="2:51" ht="15">
      <c r="B134" s="392" t="str">
        <f>'F-1 Off-Site WaterC'' Baseline'!AR132</f>
        <v/>
      </c>
      <c r="C134" s="382" t="str">
        <f>IF(B134="","",VLOOKUP($B134,'F-1 Off-Site WaterC'' Baseline'!$C$9:$R$257,2,FALSE))</f>
        <v/>
      </c>
      <c r="D134" s="382" t="str">
        <f>IF(C134="","",VLOOKUP($B134,'F-1 Off-Site WaterC'' Baseline'!$C$9:$R$257,3,FALSE))</f>
        <v/>
      </c>
      <c r="E134" s="382" t="str">
        <f>IF(D134="","",VLOOKUP($B134,'F-1 Off-Site WaterC'' Baseline'!$C$9:$R$257,4,FALSE))</f>
        <v/>
      </c>
      <c r="F134" s="382" t="str">
        <f>IF(E134="","",VLOOKUP($B134,'F-1 Off-Site WaterC'' Baseline'!$C$9:$R$257,5,FALSE))</f>
        <v/>
      </c>
      <c r="G134" s="382" t="str">
        <f>IF(F134="","",VLOOKUP($B134,'F-1 Off-Site WaterC'' Baseline'!$C$9:$R$257,6,FALSE))</f>
        <v/>
      </c>
      <c r="H134" s="382" t="str">
        <f>IF(G134="","",VLOOKUP($B134,'F-1 Off-Site WaterC'' Baseline'!$C$9:$R$257,7,FALSE))</f>
        <v/>
      </c>
      <c r="I134" s="382" t="str">
        <f>IF(H134="","",VLOOKUP($B134,'F-1 Off-Site WaterC'' Baseline'!$C$9:$R$257,8,FALSE))</f>
        <v/>
      </c>
      <c r="J134" s="382" t="str">
        <f>IF(I134="","",VLOOKUP($B134,'F-1 Off-Site WaterC'' Baseline'!$C$9:$R$257,9,FALSE))</f>
        <v/>
      </c>
      <c r="K134" s="382" t="str">
        <f>IF(J134="","",VLOOKUP($B134,'F-1 Off-Site WaterC'' Baseline'!$C$9:$R$257,10,FALSE))</f>
        <v/>
      </c>
      <c r="L134" s="382" t="str">
        <f>IF(B134="","",VLOOKUP($B134,'F-1 Off-Site WaterC'' Baseline'!$C$9:$R$257,15,FALSE))</f>
        <v/>
      </c>
      <c r="M134" s="386" t="str">
        <f>IF(L134="","",VLOOKUP($B134,'F-1 Off-Site WaterC'' Baseline'!$C$9:$R$257,16,FALSE))</f>
        <v/>
      </c>
      <c r="N134" s="316" t="str">
        <f t="shared" si="12"/>
        <v/>
      </c>
      <c r="O134" s="362" t="str">
        <f t="shared" si="13"/>
        <v/>
      </c>
      <c r="P134" s="363" t="str">
        <f>IF(C134="","",IF(AND(LEFT(C134,55)&lt;&gt;LEFT(N134,55),O134="High - High"),"Error - Not like for like ▲",IF(H134&gt;U134,"Error - Can not reduce condition ▲",IF(AND(F134=S134,H134=U134,AJ134='F-1 Off-Site WaterC'' Baseline'!N132,'F-1 Off-Site WaterC'' Baseline'!P132=AL134),"Error - No enhancement ▲",IF(AND(C134&lt;&gt;N134,F134&lt;S134),"Lower Distinctiveness Habitat"&amp;" - "&amp;T134,G134&amp;" - "&amp;T134)))))</f>
        <v/>
      </c>
      <c r="Q134" s="368" t="str">
        <f>IF(N134="","",VLOOKUP(B134,'F-1 Off-Site WaterC'' Baseline'!$C$10:$AE$257,22,FALSE))</f>
        <v/>
      </c>
      <c r="R134" s="362" t="str">
        <f>IF(N134="","",VLOOKUP(N134,'G-7 WaterC'' Data'!$B$2:$G$8,2,FALSE))</f>
        <v/>
      </c>
      <c r="S134" s="363" t="str">
        <f>IFERROR(VLOOKUP(R134,'G-7 WaterC'' Data'!$C$4:$D$8,2,FALSE),"")</f>
        <v/>
      </c>
      <c r="T134" s="114"/>
      <c r="U134" s="363" t="str">
        <f>IFERROR(INDEX('G-7 WaterC'' Data'!$H$4:$L$8,MATCH(N134,'G-7 WaterC'' Data'!$B$4:$B$8,0),MATCH(T134,'G-7 WaterC'' Data'!$H$3:$L$3,0)),"")</f>
        <v/>
      </c>
      <c r="V134" s="122"/>
      <c r="W134" s="382" t="str">
        <f>IF(V134="","",IF(VLOOKUP(V134,'G-7 WaterC'' Data'!$AK$4:$AM$6,2,FALSE)=0,"Spatial Data Missing ⚠",VLOOKUP(V134,'G-7 WaterC'' Data'!$AK$4:$AM$6,2,FALSE)))</f>
        <v/>
      </c>
      <c r="X134" s="386" t="str">
        <f>IF(V134="","",IF(VLOOKUP(V134,'G-7 WaterC'' Data'!$AK$4:$AM$6,3,FALSE)=0,"Spatial Data Missing ⚠",VLOOKUP(V134,'G-7 WaterC'' Data'!$AK$4:$AM$6,3,FALSE)))</f>
        <v/>
      </c>
      <c r="Y134" s="398" t="str">
        <f>IFERROR(IF(OR(LEFT(P134,5)="Error",LEFT(O134,5)="Error"),"Check Data ⚠",IF(F134&lt;S134,'G-7 WaterC'' Data'!$R$3,INDEX('G-7 WaterC'' Data'!$U$5:$Y$9,MATCH(G134,'G-7 WaterC'' Data'!$T$5:$T$9,0),MATCH(T134,'G-7 WaterC'' Data'!$U$4:$Y$4,0)))),"")</f>
        <v/>
      </c>
      <c r="Z134" s="165"/>
      <c r="AA134" s="165"/>
      <c r="AB134" s="395" t="str">
        <f t="shared" si="9"/>
        <v/>
      </c>
      <c r="AC134" s="383" t="str">
        <f t="shared" si="14"/>
        <v/>
      </c>
      <c r="AD134" s="422" t="str">
        <f>IFERROR(IF(AC134="Check Data ⚠","Check Data ⚠",VLOOKUP(AC134,'G-4 Temporal multipliers'!$A$4:$C$37,3,FALSE)),"")</f>
        <v/>
      </c>
      <c r="AE134" s="398" t="str">
        <f>IF(N134="","",VLOOKUP(N134,'G-7 WaterC'' Data'!$B$4:$G$8,5,FALSE))</f>
        <v/>
      </c>
      <c r="AF134" s="382" t="str">
        <f t="shared" si="10"/>
        <v/>
      </c>
      <c r="AG134" s="382" t="str">
        <f t="shared" si="15"/>
        <v/>
      </c>
      <c r="AH134" s="386" t="str">
        <f t="shared" si="11"/>
        <v/>
      </c>
      <c r="AI134" s="122"/>
      <c r="AJ134" s="363" t="str">
        <f>IF(AI134="","",IF(VLOOKUP(AI134,'G-7 WaterC'' Data'!$AA$4:$AB$7,2,FALSE)=0,"Spatial Data Missing ⚠",VLOOKUP(AI134,'G-7 WaterC'' Data'!$AA$4:$AB$7,2,FALSE)))</f>
        <v/>
      </c>
      <c r="AK134" s="123"/>
      <c r="AL134" s="397" t="str">
        <f>IF(AK134="","",IF(VLOOKUP(AK134,'G-7 WaterC'' Data'!$AD$4:$AE$14,2,FALSE)=0,"Spatial Data Missing ⚠",VLOOKUP(AK134,'G-7 WaterC'' Data'!$AD$4:$AE$14,2,FALSE)))</f>
        <v/>
      </c>
      <c r="AM134" s="122"/>
      <c r="AN134" s="363" t="str">
        <f>IF(AM134="","",IF(VLOOKUP(AM134,'G-7 WaterC'' Data'!$AO$4:$BO$7,2,FALSE)=0,"Spatial Data Missing ⚠",VLOOKUP(AM134,'G-7 WaterC'' Data'!$AO$4:$BO$7,2,FALSE)))</f>
        <v/>
      </c>
      <c r="AO134" s="405" t="str">
        <f t="shared" si="16"/>
        <v/>
      </c>
      <c r="AP134" s="405" t="str">
        <f t="shared" si="17"/>
        <v/>
      </c>
      <c r="AQ134" s="117"/>
      <c r="AR134" s="118"/>
      <c r="AS134" s="120"/>
      <c r="AT134" s="120"/>
      <c r="AY134" s="30" t="str">
        <f>IFERROR(INDEX('G-7 WaterC'' Data'!$AZ$3:$AZ$7,MATCH(N134,'G-7 WaterC'' Data'!$AY$3:$AY$7,0)),"")</f>
        <v/>
      </c>
    </row>
    <row r="135" spans="2:51" ht="15">
      <c r="B135" s="392" t="str">
        <f>'F-1 Off-Site WaterC'' Baseline'!AR133</f>
        <v/>
      </c>
      <c r="C135" s="382" t="str">
        <f>IF(B135="","",VLOOKUP($B135,'F-1 Off-Site WaterC'' Baseline'!$C$9:$R$257,2,FALSE))</f>
        <v/>
      </c>
      <c r="D135" s="382" t="str">
        <f>IF(C135="","",VLOOKUP($B135,'F-1 Off-Site WaterC'' Baseline'!$C$9:$R$257,3,FALSE))</f>
        <v/>
      </c>
      <c r="E135" s="382" t="str">
        <f>IF(D135="","",VLOOKUP($B135,'F-1 Off-Site WaterC'' Baseline'!$C$9:$R$257,4,FALSE))</f>
        <v/>
      </c>
      <c r="F135" s="382" t="str">
        <f>IF(E135="","",VLOOKUP($B135,'F-1 Off-Site WaterC'' Baseline'!$C$9:$R$257,5,FALSE))</f>
        <v/>
      </c>
      <c r="G135" s="382" t="str">
        <f>IF(F135="","",VLOOKUP($B135,'F-1 Off-Site WaterC'' Baseline'!$C$9:$R$257,6,FALSE))</f>
        <v/>
      </c>
      <c r="H135" s="382" t="str">
        <f>IF(G135="","",VLOOKUP($B135,'F-1 Off-Site WaterC'' Baseline'!$C$9:$R$257,7,FALSE))</f>
        <v/>
      </c>
      <c r="I135" s="382" t="str">
        <f>IF(H135="","",VLOOKUP($B135,'F-1 Off-Site WaterC'' Baseline'!$C$9:$R$257,8,FALSE))</f>
        <v/>
      </c>
      <c r="J135" s="382" t="str">
        <f>IF(I135="","",VLOOKUP($B135,'F-1 Off-Site WaterC'' Baseline'!$C$9:$R$257,9,FALSE))</f>
        <v/>
      </c>
      <c r="K135" s="382" t="str">
        <f>IF(J135="","",VLOOKUP($B135,'F-1 Off-Site WaterC'' Baseline'!$C$9:$R$257,10,FALSE))</f>
        <v/>
      </c>
      <c r="L135" s="382" t="str">
        <f>IF(B135="","",VLOOKUP($B135,'F-1 Off-Site WaterC'' Baseline'!$C$9:$R$257,15,FALSE))</f>
        <v/>
      </c>
      <c r="M135" s="386" t="str">
        <f>IF(L135="","",VLOOKUP($B135,'F-1 Off-Site WaterC'' Baseline'!$C$9:$R$257,16,FALSE))</f>
        <v/>
      </c>
      <c r="N135" s="316" t="str">
        <f t="shared" si="12"/>
        <v/>
      </c>
      <c r="O135" s="362" t="str">
        <f t="shared" si="13"/>
        <v/>
      </c>
      <c r="P135" s="363" t="str">
        <f>IF(C135="","",IF(AND(LEFT(C135,55)&lt;&gt;LEFT(N135,55),O135="High - High"),"Error - Not like for like ▲",IF(H135&gt;U135,"Error - Can not reduce condition ▲",IF(AND(F135=S135,H135=U135,AJ135='F-1 Off-Site WaterC'' Baseline'!N133,'F-1 Off-Site WaterC'' Baseline'!P133=AL135),"Error - No enhancement ▲",IF(AND(C135&lt;&gt;N135,F135&lt;S135),"Lower Distinctiveness Habitat"&amp;" - "&amp;T135,G135&amp;" - "&amp;T135)))))</f>
        <v/>
      </c>
      <c r="Q135" s="368" t="str">
        <f>IF(N135="","",VLOOKUP(B135,'F-1 Off-Site WaterC'' Baseline'!$C$10:$AE$257,22,FALSE))</f>
        <v/>
      </c>
      <c r="R135" s="362" t="str">
        <f>IF(N135="","",VLOOKUP(N135,'G-7 WaterC'' Data'!$B$2:$G$8,2,FALSE))</f>
        <v/>
      </c>
      <c r="S135" s="363" t="str">
        <f>IFERROR(VLOOKUP(R135,'G-7 WaterC'' Data'!$C$4:$D$8,2,FALSE),"")</f>
        <v/>
      </c>
      <c r="T135" s="114"/>
      <c r="U135" s="363" t="str">
        <f>IFERROR(INDEX('G-7 WaterC'' Data'!$H$4:$L$8,MATCH(N135,'G-7 WaterC'' Data'!$B$4:$B$8,0),MATCH(T135,'G-7 WaterC'' Data'!$H$3:$L$3,0)),"")</f>
        <v/>
      </c>
      <c r="V135" s="122"/>
      <c r="W135" s="382" t="str">
        <f>IF(V135="","",IF(VLOOKUP(V135,'G-7 WaterC'' Data'!$AK$4:$AM$6,2,FALSE)=0,"Spatial Data Missing ⚠",VLOOKUP(V135,'G-7 WaterC'' Data'!$AK$4:$AM$6,2,FALSE)))</f>
        <v/>
      </c>
      <c r="X135" s="386" t="str">
        <f>IF(V135="","",IF(VLOOKUP(V135,'G-7 WaterC'' Data'!$AK$4:$AM$6,3,FALSE)=0,"Spatial Data Missing ⚠",VLOOKUP(V135,'G-7 WaterC'' Data'!$AK$4:$AM$6,3,FALSE)))</f>
        <v/>
      </c>
      <c r="Y135" s="398" t="str">
        <f>IFERROR(IF(OR(LEFT(P135,5)="Error",LEFT(O135,5)="Error"),"Check Data ⚠",IF(F135&lt;S135,'G-7 WaterC'' Data'!$R$3,INDEX('G-7 WaterC'' Data'!$U$5:$Y$9,MATCH(G135,'G-7 WaterC'' Data'!$T$5:$T$9,0),MATCH(T135,'G-7 WaterC'' Data'!$U$4:$Y$4,0)))),"")</f>
        <v/>
      </c>
      <c r="Z135" s="165"/>
      <c r="AA135" s="165"/>
      <c r="AB135" s="395" t="str">
        <f t="shared" si="9"/>
        <v/>
      </c>
      <c r="AC135" s="383" t="str">
        <f t="shared" si="14"/>
        <v/>
      </c>
      <c r="AD135" s="422" t="str">
        <f>IFERROR(IF(AC135="Check Data ⚠","Check Data ⚠",VLOOKUP(AC135,'G-4 Temporal multipliers'!$A$4:$C$37,3,FALSE)),"")</f>
        <v/>
      </c>
      <c r="AE135" s="398" t="str">
        <f>IF(N135="","",VLOOKUP(N135,'G-7 WaterC'' Data'!$B$4:$G$8,5,FALSE))</f>
        <v/>
      </c>
      <c r="AF135" s="382" t="str">
        <f t="shared" si="10"/>
        <v/>
      </c>
      <c r="AG135" s="382" t="str">
        <f t="shared" si="15"/>
        <v/>
      </c>
      <c r="AH135" s="386" t="str">
        <f t="shared" si="11"/>
        <v/>
      </c>
      <c r="AI135" s="122"/>
      <c r="AJ135" s="363" t="str">
        <f>IF(AI135="","",IF(VLOOKUP(AI135,'G-7 WaterC'' Data'!$AA$4:$AB$7,2,FALSE)=0,"Spatial Data Missing ⚠",VLOOKUP(AI135,'G-7 WaterC'' Data'!$AA$4:$AB$7,2,FALSE)))</f>
        <v/>
      </c>
      <c r="AK135" s="123"/>
      <c r="AL135" s="397" t="str">
        <f>IF(AK135="","",IF(VLOOKUP(AK135,'G-7 WaterC'' Data'!$AD$4:$AE$14,2,FALSE)=0,"Spatial Data Missing ⚠",VLOOKUP(AK135,'G-7 WaterC'' Data'!$AD$4:$AE$14,2,FALSE)))</f>
        <v/>
      </c>
      <c r="AM135" s="122"/>
      <c r="AN135" s="363" t="str">
        <f>IF(AM135="","",IF(VLOOKUP(AM135,'G-7 WaterC'' Data'!$AO$4:$BO$7,2,FALSE)=0,"Spatial Data Missing ⚠",VLOOKUP(AM135,'G-7 WaterC'' Data'!$AO$4:$BO$7,2,FALSE)))</f>
        <v/>
      </c>
      <c r="AO135" s="405" t="str">
        <f t="shared" si="16"/>
        <v/>
      </c>
      <c r="AP135" s="405" t="str">
        <f t="shared" si="17"/>
        <v/>
      </c>
      <c r="AQ135" s="117"/>
      <c r="AR135" s="118"/>
      <c r="AS135" s="120"/>
      <c r="AT135" s="120"/>
      <c r="AY135" s="30" t="str">
        <f>IFERROR(INDEX('G-7 WaterC'' Data'!$AZ$3:$AZ$7,MATCH(N135,'G-7 WaterC'' Data'!$AY$3:$AY$7,0)),"")</f>
        <v/>
      </c>
    </row>
    <row r="136" spans="2:51" ht="15">
      <c r="B136" s="392" t="str">
        <f>'F-1 Off-Site WaterC'' Baseline'!AR134</f>
        <v/>
      </c>
      <c r="C136" s="382" t="str">
        <f>IF(B136="","",VLOOKUP($B136,'F-1 Off-Site WaterC'' Baseline'!$C$9:$R$257,2,FALSE))</f>
        <v/>
      </c>
      <c r="D136" s="382" t="str">
        <f>IF(C136="","",VLOOKUP($B136,'F-1 Off-Site WaterC'' Baseline'!$C$9:$R$257,3,FALSE))</f>
        <v/>
      </c>
      <c r="E136" s="382" t="str">
        <f>IF(D136="","",VLOOKUP($B136,'F-1 Off-Site WaterC'' Baseline'!$C$9:$R$257,4,FALSE))</f>
        <v/>
      </c>
      <c r="F136" s="382" t="str">
        <f>IF(E136="","",VLOOKUP($B136,'F-1 Off-Site WaterC'' Baseline'!$C$9:$R$257,5,FALSE))</f>
        <v/>
      </c>
      <c r="G136" s="382" t="str">
        <f>IF(F136="","",VLOOKUP($B136,'F-1 Off-Site WaterC'' Baseline'!$C$9:$R$257,6,FALSE))</f>
        <v/>
      </c>
      <c r="H136" s="382" t="str">
        <f>IF(G136="","",VLOOKUP($B136,'F-1 Off-Site WaterC'' Baseline'!$C$9:$R$257,7,FALSE))</f>
        <v/>
      </c>
      <c r="I136" s="382" t="str">
        <f>IF(H136="","",VLOOKUP($B136,'F-1 Off-Site WaterC'' Baseline'!$C$9:$R$257,8,FALSE))</f>
        <v/>
      </c>
      <c r="J136" s="382" t="str">
        <f>IF(I136="","",VLOOKUP($B136,'F-1 Off-Site WaterC'' Baseline'!$C$9:$R$257,9,FALSE))</f>
        <v/>
      </c>
      <c r="K136" s="382" t="str">
        <f>IF(J136="","",VLOOKUP($B136,'F-1 Off-Site WaterC'' Baseline'!$C$9:$R$257,10,FALSE))</f>
        <v/>
      </c>
      <c r="L136" s="382" t="str">
        <f>IF(B136="","",VLOOKUP($B136,'F-1 Off-Site WaterC'' Baseline'!$C$9:$R$257,15,FALSE))</f>
        <v/>
      </c>
      <c r="M136" s="386" t="str">
        <f>IF(L136="","",VLOOKUP($B136,'F-1 Off-Site WaterC'' Baseline'!$C$9:$R$257,16,FALSE))</f>
        <v/>
      </c>
      <c r="N136" s="316" t="str">
        <f t="shared" si="12"/>
        <v/>
      </c>
      <c r="O136" s="362" t="str">
        <f t="shared" si="13"/>
        <v/>
      </c>
      <c r="P136" s="363" t="str">
        <f>IF(C136="","",IF(AND(LEFT(C136,55)&lt;&gt;LEFT(N136,55),O136="High - High"),"Error - Not like for like ▲",IF(H136&gt;U136,"Error - Can not reduce condition ▲",IF(AND(F136=S136,H136=U136,AJ136='F-1 Off-Site WaterC'' Baseline'!N134,'F-1 Off-Site WaterC'' Baseline'!P134=AL136),"Error - No enhancement ▲",IF(AND(C136&lt;&gt;N136,F136&lt;S136),"Lower Distinctiveness Habitat"&amp;" - "&amp;T136,G136&amp;" - "&amp;T136)))))</f>
        <v/>
      </c>
      <c r="Q136" s="368" t="str">
        <f>IF(N136="","",VLOOKUP(B136,'F-1 Off-Site WaterC'' Baseline'!$C$10:$AE$257,22,FALSE))</f>
        <v/>
      </c>
      <c r="R136" s="362" t="str">
        <f>IF(N136="","",VLOOKUP(N136,'G-7 WaterC'' Data'!$B$2:$G$8,2,FALSE))</f>
        <v/>
      </c>
      <c r="S136" s="363" t="str">
        <f>IFERROR(VLOOKUP(R136,'G-7 WaterC'' Data'!$C$4:$D$8,2,FALSE),"")</f>
        <v/>
      </c>
      <c r="T136" s="114"/>
      <c r="U136" s="363" t="str">
        <f>IFERROR(INDEX('G-7 WaterC'' Data'!$H$4:$L$8,MATCH(N136,'G-7 WaterC'' Data'!$B$4:$B$8,0),MATCH(T136,'G-7 WaterC'' Data'!$H$3:$L$3,0)),"")</f>
        <v/>
      </c>
      <c r="V136" s="122"/>
      <c r="W136" s="382" t="str">
        <f>IF(V136="","",IF(VLOOKUP(V136,'G-7 WaterC'' Data'!$AK$4:$AM$6,2,FALSE)=0,"Spatial Data Missing ⚠",VLOOKUP(V136,'G-7 WaterC'' Data'!$AK$4:$AM$6,2,FALSE)))</f>
        <v/>
      </c>
      <c r="X136" s="386" t="str">
        <f>IF(V136="","",IF(VLOOKUP(V136,'G-7 WaterC'' Data'!$AK$4:$AM$6,3,FALSE)=0,"Spatial Data Missing ⚠",VLOOKUP(V136,'G-7 WaterC'' Data'!$AK$4:$AM$6,3,FALSE)))</f>
        <v/>
      </c>
      <c r="Y136" s="398" t="str">
        <f>IFERROR(IF(OR(LEFT(P136,5)="Error",LEFT(O136,5)="Error"),"Check Data ⚠",IF(F136&lt;S136,'G-7 WaterC'' Data'!$R$3,INDEX('G-7 WaterC'' Data'!$U$5:$Y$9,MATCH(G136,'G-7 WaterC'' Data'!$T$5:$T$9,0),MATCH(T136,'G-7 WaterC'' Data'!$U$4:$Y$4,0)))),"")</f>
        <v/>
      </c>
      <c r="Z136" s="165"/>
      <c r="AA136" s="165"/>
      <c r="AB136" s="395" t="str">
        <f t="shared" si="9"/>
        <v/>
      </c>
      <c r="AC136" s="383" t="str">
        <f t="shared" si="14"/>
        <v/>
      </c>
      <c r="AD136" s="422" t="str">
        <f>IFERROR(IF(AC136="Check Data ⚠","Check Data ⚠",VLOOKUP(AC136,'G-4 Temporal multipliers'!$A$4:$C$37,3,FALSE)),"")</f>
        <v/>
      </c>
      <c r="AE136" s="398" t="str">
        <f>IF(N136="","",VLOOKUP(N136,'G-7 WaterC'' Data'!$B$4:$G$8,5,FALSE))</f>
        <v/>
      </c>
      <c r="AF136" s="382" t="str">
        <f t="shared" si="10"/>
        <v/>
      </c>
      <c r="AG136" s="382" t="str">
        <f t="shared" si="15"/>
        <v/>
      </c>
      <c r="AH136" s="386" t="str">
        <f t="shared" si="11"/>
        <v/>
      </c>
      <c r="AI136" s="122"/>
      <c r="AJ136" s="363" t="str">
        <f>IF(AI136="","",IF(VLOOKUP(AI136,'G-7 WaterC'' Data'!$AA$4:$AB$7,2,FALSE)=0,"Spatial Data Missing ⚠",VLOOKUP(AI136,'G-7 WaterC'' Data'!$AA$4:$AB$7,2,FALSE)))</f>
        <v/>
      </c>
      <c r="AK136" s="123"/>
      <c r="AL136" s="397" t="str">
        <f>IF(AK136="","",IF(VLOOKUP(AK136,'G-7 WaterC'' Data'!$AD$4:$AE$14,2,FALSE)=0,"Spatial Data Missing ⚠",VLOOKUP(AK136,'G-7 WaterC'' Data'!$AD$4:$AE$14,2,FALSE)))</f>
        <v/>
      </c>
      <c r="AM136" s="122"/>
      <c r="AN136" s="363" t="str">
        <f>IF(AM136="","",IF(VLOOKUP(AM136,'G-7 WaterC'' Data'!$AO$4:$BO$7,2,FALSE)=0,"Spatial Data Missing ⚠",VLOOKUP(AM136,'G-7 WaterC'' Data'!$AO$4:$BO$7,2,FALSE)))</f>
        <v/>
      </c>
      <c r="AO136" s="405" t="str">
        <f t="shared" si="16"/>
        <v/>
      </c>
      <c r="AP136" s="405" t="str">
        <f t="shared" si="17"/>
        <v/>
      </c>
      <c r="AQ136" s="117"/>
      <c r="AR136" s="118"/>
      <c r="AS136" s="120"/>
      <c r="AT136" s="120"/>
      <c r="AY136" s="30" t="str">
        <f>IFERROR(INDEX('G-7 WaterC'' Data'!$AZ$3:$AZ$7,MATCH(N136,'G-7 WaterC'' Data'!$AY$3:$AY$7,0)),"")</f>
        <v/>
      </c>
    </row>
    <row r="137" spans="2:51" ht="15">
      <c r="B137" s="392" t="str">
        <f>'F-1 Off-Site WaterC'' Baseline'!AR135</f>
        <v/>
      </c>
      <c r="C137" s="382" t="str">
        <f>IF(B137="","",VLOOKUP($B137,'F-1 Off-Site WaterC'' Baseline'!$C$9:$R$257,2,FALSE))</f>
        <v/>
      </c>
      <c r="D137" s="382" t="str">
        <f>IF(C137="","",VLOOKUP($B137,'F-1 Off-Site WaterC'' Baseline'!$C$9:$R$257,3,FALSE))</f>
        <v/>
      </c>
      <c r="E137" s="382" t="str">
        <f>IF(D137="","",VLOOKUP($B137,'F-1 Off-Site WaterC'' Baseline'!$C$9:$R$257,4,FALSE))</f>
        <v/>
      </c>
      <c r="F137" s="382" t="str">
        <f>IF(E137="","",VLOOKUP($B137,'F-1 Off-Site WaterC'' Baseline'!$C$9:$R$257,5,FALSE))</f>
        <v/>
      </c>
      <c r="G137" s="382" t="str">
        <f>IF(F137="","",VLOOKUP($B137,'F-1 Off-Site WaterC'' Baseline'!$C$9:$R$257,6,FALSE))</f>
        <v/>
      </c>
      <c r="H137" s="382" t="str">
        <f>IF(G137="","",VLOOKUP($B137,'F-1 Off-Site WaterC'' Baseline'!$C$9:$R$257,7,FALSE))</f>
        <v/>
      </c>
      <c r="I137" s="382" t="str">
        <f>IF(H137="","",VLOOKUP($B137,'F-1 Off-Site WaterC'' Baseline'!$C$9:$R$257,8,FALSE))</f>
        <v/>
      </c>
      <c r="J137" s="382" t="str">
        <f>IF(I137="","",VLOOKUP($B137,'F-1 Off-Site WaterC'' Baseline'!$C$9:$R$257,9,FALSE))</f>
        <v/>
      </c>
      <c r="K137" s="382" t="str">
        <f>IF(J137="","",VLOOKUP($B137,'F-1 Off-Site WaterC'' Baseline'!$C$9:$R$257,10,FALSE))</f>
        <v/>
      </c>
      <c r="L137" s="382" t="str">
        <f>IF(B137="","",VLOOKUP($B137,'F-1 Off-Site WaterC'' Baseline'!$C$9:$R$257,15,FALSE))</f>
        <v/>
      </c>
      <c r="M137" s="386" t="str">
        <f>IF(L137="","",VLOOKUP($B137,'F-1 Off-Site WaterC'' Baseline'!$C$9:$R$257,16,FALSE))</f>
        <v/>
      </c>
      <c r="N137" s="316" t="str">
        <f t="shared" si="12"/>
        <v/>
      </c>
      <c r="O137" s="362" t="str">
        <f t="shared" si="13"/>
        <v/>
      </c>
      <c r="P137" s="363" t="str">
        <f>IF(C137="","",IF(AND(LEFT(C137,55)&lt;&gt;LEFT(N137,55),O137="High - High"),"Error - Not like for like ▲",IF(H137&gt;U137,"Error - Can not reduce condition ▲",IF(AND(F137=S137,H137=U137,AJ137='F-1 Off-Site WaterC'' Baseline'!N135,'F-1 Off-Site WaterC'' Baseline'!P135=AL137),"Error - No enhancement ▲",IF(AND(C137&lt;&gt;N137,F137&lt;S137),"Lower Distinctiveness Habitat"&amp;" - "&amp;T137,G137&amp;" - "&amp;T137)))))</f>
        <v/>
      </c>
      <c r="Q137" s="368" t="str">
        <f>IF(N137="","",VLOOKUP(B137,'F-1 Off-Site WaterC'' Baseline'!$C$10:$AE$257,22,FALSE))</f>
        <v/>
      </c>
      <c r="R137" s="362" t="str">
        <f>IF(N137="","",VLOOKUP(N137,'G-7 WaterC'' Data'!$B$2:$G$8,2,FALSE))</f>
        <v/>
      </c>
      <c r="S137" s="363" t="str">
        <f>IFERROR(VLOOKUP(R137,'G-7 WaterC'' Data'!$C$4:$D$8,2,FALSE),"")</f>
        <v/>
      </c>
      <c r="T137" s="114"/>
      <c r="U137" s="363" t="str">
        <f>IFERROR(INDEX('G-7 WaterC'' Data'!$H$4:$L$8,MATCH(N137,'G-7 WaterC'' Data'!$B$4:$B$8,0),MATCH(T137,'G-7 WaterC'' Data'!$H$3:$L$3,0)),"")</f>
        <v/>
      </c>
      <c r="V137" s="122"/>
      <c r="W137" s="382" t="str">
        <f>IF(V137="","",IF(VLOOKUP(V137,'G-7 WaterC'' Data'!$AK$4:$AM$6,2,FALSE)=0,"Spatial Data Missing ⚠",VLOOKUP(V137,'G-7 WaterC'' Data'!$AK$4:$AM$6,2,FALSE)))</f>
        <v/>
      </c>
      <c r="X137" s="386" t="str">
        <f>IF(V137="","",IF(VLOOKUP(V137,'G-7 WaterC'' Data'!$AK$4:$AM$6,3,FALSE)=0,"Spatial Data Missing ⚠",VLOOKUP(V137,'G-7 WaterC'' Data'!$AK$4:$AM$6,3,FALSE)))</f>
        <v/>
      </c>
      <c r="Y137" s="398" t="str">
        <f>IFERROR(IF(OR(LEFT(P137,5)="Error",LEFT(O137,5)="Error"),"Check Data ⚠",IF(F137&lt;S137,'G-7 WaterC'' Data'!$R$3,INDEX('G-7 WaterC'' Data'!$U$5:$Y$9,MATCH(G137,'G-7 WaterC'' Data'!$T$5:$T$9,0),MATCH(T137,'G-7 WaterC'' Data'!$U$4:$Y$4,0)))),"")</f>
        <v/>
      </c>
      <c r="Z137" s="165"/>
      <c r="AA137" s="165"/>
      <c r="AB137" s="395" t="str">
        <f t="shared" si="9"/>
        <v/>
      </c>
      <c r="AC137" s="383" t="str">
        <f t="shared" si="14"/>
        <v/>
      </c>
      <c r="AD137" s="422" t="str">
        <f>IFERROR(IF(AC137="Check Data ⚠","Check Data ⚠",VLOOKUP(AC137,'G-4 Temporal multipliers'!$A$4:$C$37,3,FALSE)),"")</f>
        <v/>
      </c>
      <c r="AE137" s="398" t="str">
        <f>IF(N137="","",VLOOKUP(N137,'G-7 WaterC'' Data'!$B$4:$G$8,5,FALSE))</f>
        <v/>
      </c>
      <c r="AF137" s="382" t="str">
        <f t="shared" si="10"/>
        <v/>
      </c>
      <c r="AG137" s="382" t="str">
        <f t="shared" si="15"/>
        <v/>
      </c>
      <c r="AH137" s="386" t="str">
        <f t="shared" si="11"/>
        <v/>
      </c>
      <c r="AI137" s="122"/>
      <c r="AJ137" s="363" t="str">
        <f>IF(AI137="","",IF(VLOOKUP(AI137,'G-7 WaterC'' Data'!$AA$4:$AB$7,2,FALSE)=0,"Spatial Data Missing ⚠",VLOOKUP(AI137,'G-7 WaterC'' Data'!$AA$4:$AB$7,2,FALSE)))</f>
        <v/>
      </c>
      <c r="AK137" s="123"/>
      <c r="AL137" s="397" t="str">
        <f>IF(AK137="","",IF(VLOOKUP(AK137,'G-7 WaterC'' Data'!$AD$4:$AE$14,2,FALSE)=0,"Spatial Data Missing ⚠",VLOOKUP(AK137,'G-7 WaterC'' Data'!$AD$4:$AE$14,2,FALSE)))</f>
        <v/>
      </c>
      <c r="AM137" s="122"/>
      <c r="AN137" s="363" t="str">
        <f>IF(AM137="","",IF(VLOOKUP(AM137,'G-7 WaterC'' Data'!$AO$4:$BO$7,2,FALSE)=0,"Spatial Data Missing ⚠",VLOOKUP(AM137,'G-7 WaterC'' Data'!$AO$4:$BO$7,2,FALSE)))</f>
        <v/>
      </c>
      <c r="AO137" s="405" t="str">
        <f t="shared" si="16"/>
        <v/>
      </c>
      <c r="AP137" s="405" t="str">
        <f t="shared" si="17"/>
        <v/>
      </c>
      <c r="AQ137" s="117"/>
      <c r="AR137" s="118"/>
      <c r="AS137" s="120"/>
      <c r="AT137" s="120"/>
      <c r="AY137" s="30" t="str">
        <f>IFERROR(INDEX('G-7 WaterC'' Data'!$AZ$3:$AZ$7,MATCH(N137,'G-7 WaterC'' Data'!$AY$3:$AY$7,0)),"")</f>
        <v/>
      </c>
    </row>
    <row r="138" spans="2:51" ht="15">
      <c r="B138" s="392" t="str">
        <f>'F-1 Off-Site WaterC'' Baseline'!AR136</f>
        <v/>
      </c>
      <c r="C138" s="382" t="str">
        <f>IF(B138="","",VLOOKUP($B138,'F-1 Off-Site WaterC'' Baseline'!$C$9:$R$257,2,FALSE))</f>
        <v/>
      </c>
      <c r="D138" s="382" t="str">
        <f>IF(C138="","",VLOOKUP($B138,'F-1 Off-Site WaterC'' Baseline'!$C$9:$R$257,3,FALSE))</f>
        <v/>
      </c>
      <c r="E138" s="382" t="str">
        <f>IF(D138="","",VLOOKUP($B138,'F-1 Off-Site WaterC'' Baseline'!$C$9:$R$257,4,FALSE))</f>
        <v/>
      </c>
      <c r="F138" s="382" t="str">
        <f>IF(E138="","",VLOOKUP($B138,'F-1 Off-Site WaterC'' Baseline'!$C$9:$R$257,5,FALSE))</f>
        <v/>
      </c>
      <c r="G138" s="382" t="str">
        <f>IF(F138="","",VLOOKUP($B138,'F-1 Off-Site WaterC'' Baseline'!$C$9:$R$257,6,FALSE))</f>
        <v/>
      </c>
      <c r="H138" s="382" t="str">
        <f>IF(G138="","",VLOOKUP($B138,'F-1 Off-Site WaterC'' Baseline'!$C$9:$R$257,7,FALSE))</f>
        <v/>
      </c>
      <c r="I138" s="382" t="str">
        <f>IF(H138="","",VLOOKUP($B138,'F-1 Off-Site WaterC'' Baseline'!$C$9:$R$257,8,FALSE))</f>
        <v/>
      </c>
      <c r="J138" s="382" t="str">
        <f>IF(I138="","",VLOOKUP($B138,'F-1 Off-Site WaterC'' Baseline'!$C$9:$R$257,9,FALSE))</f>
        <v/>
      </c>
      <c r="K138" s="382" t="str">
        <f>IF(J138="","",VLOOKUP($B138,'F-1 Off-Site WaterC'' Baseline'!$C$9:$R$257,10,FALSE))</f>
        <v/>
      </c>
      <c r="L138" s="382" t="str">
        <f>IF(B138="","",VLOOKUP($B138,'F-1 Off-Site WaterC'' Baseline'!$C$9:$R$257,15,FALSE))</f>
        <v/>
      </c>
      <c r="M138" s="386" t="str">
        <f>IF(L138="","",VLOOKUP($B138,'F-1 Off-Site WaterC'' Baseline'!$C$9:$R$257,16,FALSE))</f>
        <v/>
      </c>
      <c r="N138" s="316" t="str">
        <f t="shared" si="12"/>
        <v/>
      </c>
      <c r="O138" s="362" t="str">
        <f t="shared" si="13"/>
        <v/>
      </c>
      <c r="P138" s="363" t="str">
        <f>IF(C138="","",IF(AND(LEFT(C138,55)&lt;&gt;LEFT(N138,55),O138="High - High"),"Error - Not like for like ▲",IF(H138&gt;U138,"Error - Can not reduce condition ▲",IF(AND(F138=S138,H138=U138,AJ138='F-1 Off-Site WaterC'' Baseline'!N136,'F-1 Off-Site WaterC'' Baseline'!P136=AL138),"Error - No enhancement ▲",IF(AND(C138&lt;&gt;N138,F138&lt;S138),"Lower Distinctiveness Habitat"&amp;" - "&amp;T138,G138&amp;" - "&amp;T138)))))</f>
        <v/>
      </c>
      <c r="Q138" s="368" t="str">
        <f>IF(N138="","",VLOOKUP(B138,'F-1 Off-Site WaterC'' Baseline'!$C$10:$AE$257,22,FALSE))</f>
        <v/>
      </c>
      <c r="R138" s="362" t="str">
        <f>IF(N138="","",VLOOKUP(N138,'G-7 WaterC'' Data'!$B$2:$G$8,2,FALSE))</f>
        <v/>
      </c>
      <c r="S138" s="363" t="str">
        <f>IFERROR(VLOOKUP(R138,'G-7 WaterC'' Data'!$C$4:$D$8,2,FALSE),"")</f>
        <v/>
      </c>
      <c r="T138" s="114"/>
      <c r="U138" s="363" t="str">
        <f>IFERROR(INDEX('G-7 WaterC'' Data'!$H$4:$L$8,MATCH(N138,'G-7 WaterC'' Data'!$B$4:$B$8,0),MATCH(T138,'G-7 WaterC'' Data'!$H$3:$L$3,0)),"")</f>
        <v/>
      </c>
      <c r="V138" s="122"/>
      <c r="W138" s="382" t="str">
        <f>IF(V138="","",IF(VLOOKUP(V138,'G-7 WaterC'' Data'!$AK$4:$AM$6,2,FALSE)=0,"Spatial Data Missing ⚠",VLOOKUP(V138,'G-7 WaterC'' Data'!$AK$4:$AM$6,2,FALSE)))</f>
        <v/>
      </c>
      <c r="X138" s="386" t="str">
        <f>IF(V138="","",IF(VLOOKUP(V138,'G-7 WaterC'' Data'!$AK$4:$AM$6,3,FALSE)=0,"Spatial Data Missing ⚠",VLOOKUP(V138,'G-7 WaterC'' Data'!$AK$4:$AM$6,3,FALSE)))</f>
        <v/>
      </c>
      <c r="Y138" s="398" t="str">
        <f>IFERROR(IF(OR(LEFT(P138,5)="Error",LEFT(O138,5)="Error"),"Check Data ⚠",IF(F138&lt;S138,'G-7 WaterC'' Data'!$R$3,INDEX('G-7 WaterC'' Data'!$U$5:$Y$9,MATCH(G138,'G-7 WaterC'' Data'!$T$5:$T$9,0),MATCH(T138,'G-7 WaterC'' Data'!$U$4:$Y$4,0)))),"")</f>
        <v/>
      </c>
      <c r="Z138" s="165"/>
      <c r="AA138" s="165"/>
      <c r="AB138" s="395" t="str">
        <f t="shared" si="9"/>
        <v/>
      </c>
      <c r="AC138" s="383" t="str">
        <f t="shared" si="14"/>
        <v/>
      </c>
      <c r="AD138" s="422" t="str">
        <f>IFERROR(IF(AC138="Check Data ⚠","Check Data ⚠",VLOOKUP(AC138,'G-4 Temporal multipliers'!$A$4:$C$37,3,FALSE)),"")</f>
        <v/>
      </c>
      <c r="AE138" s="398" t="str">
        <f>IF(N138="","",VLOOKUP(N138,'G-7 WaterC'' Data'!$B$4:$G$8,5,FALSE))</f>
        <v/>
      </c>
      <c r="AF138" s="382" t="str">
        <f t="shared" si="10"/>
        <v/>
      </c>
      <c r="AG138" s="382" t="str">
        <f t="shared" si="15"/>
        <v/>
      </c>
      <c r="AH138" s="386" t="str">
        <f t="shared" si="11"/>
        <v/>
      </c>
      <c r="AI138" s="122"/>
      <c r="AJ138" s="363" t="str">
        <f>IF(AI138="","",IF(VLOOKUP(AI138,'G-7 WaterC'' Data'!$AA$4:$AB$7,2,FALSE)=0,"Spatial Data Missing ⚠",VLOOKUP(AI138,'G-7 WaterC'' Data'!$AA$4:$AB$7,2,FALSE)))</f>
        <v/>
      </c>
      <c r="AK138" s="123"/>
      <c r="AL138" s="397" t="str">
        <f>IF(AK138="","",IF(VLOOKUP(AK138,'G-7 WaterC'' Data'!$AD$4:$AE$14,2,FALSE)=0,"Spatial Data Missing ⚠",VLOOKUP(AK138,'G-7 WaterC'' Data'!$AD$4:$AE$14,2,FALSE)))</f>
        <v/>
      </c>
      <c r="AM138" s="122"/>
      <c r="AN138" s="363" t="str">
        <f>IF(AM138="","",IF(VLOOKUP(AM138,'G-7 WaterC'' Data'!$AO$4:$BO$7,2,FALSE)=0,"Spatial Data Missing ⚠",VLOOKUP(AM138,'G-7 WaterC'' Data'!$AO$4:$BO$7,2,FALSE)))</f>
        <v/>
      </c>
      <c r="AO138" s="405" t="str">
        <f t="shared" si="16"/>
        <v/>
      </c>
      <c r="AP138" s="405" t="str">
        <f t="shared" si="17"/>
        <v/>
      </c>
      <c r="AQ138" s="117"/>
      <c r="AR138" s="118"/>
      <c r="AS138" s="120"/>
      <c r="AT138" s="120"/>
      <c r="AY138" s="30" t="str">
        <f>IFERROR(INDEX('G-7 WaterC'' Data'!$AZ$3:$AZ$7,MATCH(N138,'G-7 WaterC'' Data'!$AY$3:$AY$7,0)),"")</f>
        <v/>
      </c>
    </row>
    <row r="139" spans="2:51" ht="15">
      <c r="B139" s="392" t="str">
        <f>'F-1 Off-Site WaterC'' Baseline'!AR137</f>
        <v/>
      </c>
      <c r="C139" s="382" t="str">
        <f>IF(B139="","",VLOOKUP($B139,'F-1 Off-Site WaterC'' Baseline'!$C$9:$R$257,2,FALSE))</f>
        <v/>
      </c>
      <c r="D139" s="382" t="str">
        <f>IF(C139="","",VLOOKUP($B139,'F-1 Off-Site WaterC'' Baseline'!$C$9:$R$257,3,FALSE))</f>
        <v/>
      </c>
      <c r="E139" s="382" t="str">
        <f>IF(D139="","",VLOOKUP($B139,'F-1 Off-Site WaterC'' Baseline'!$C$9:$R$257,4,FALSE))</f>
        <v/>
      </c>
      <c r="F139" s="382" t="str">
        <f>IF(E139="","",VLOOKUP($B139,'F-1 Off-Site WaterC'' Baseline'!$C$9:$R$257,5,FALSE))</f>
        <v/>
      </c>
      <c r="G139" s="382" t="str">
        <f>IF(F139="","",VLOOKUP($B139,'F-1 Off-Site WaterC'' Baseline'!$C$9:$R$257,6,FALSE))</f>
        <v/>
      </c>
      <c r="H139" s="382" t="str">
        <f>IF(G139="","",VLOOKUP($B139,'F-1 Off-Site WaterC'' Baseline'!$C$9:$R$257,7,FALSE))</f>
        <v/>
      </c>
      <c r="I139" s="382" t="str">
        <f>IF(H139="","",VLOOKUP($B139,'F-1 Off-Site WaterC'' Baseline'!$C$9:$R$257,8,FALSE))</f>
        <v/>
      </c>
      <c r="J139" s="382" t="str">
        <f>IF(I139="","",VLOOKUP($B139,'F-1 Off-Site WaterC'' Baseline'!$C$9:$R$257,9,FALSE))</f>
        <v/>
      </c>
      <c r="K139" s="382" t="str">
        <f>IF(J139="","",VLOOKUP($B139,'F-1 Off-Site WaterC'' Baseline'!$C$9:$R$257,10,FALSE))</f>
        <v/>
      </c>
      <c r="L139" s="382" t="str">
        <f>IF(B139="","",VLOOKUP($B139,'F-1 Off-Site WaterC'' Baseline'!$C$9:$R$257,15,FALSE))</f>
        <v/>
      </c>
      <c r="M139" s="386" t="str">
        <f>IF(L139="","",VLOOKUP($B139,'F-1 Off-Site WaterC'' Baseline'!$C$9:$R$257,16,FALSE))</f>
        <v/>
      </c>
      <c r="N139" s="316" t="str">
        <f t="shared" si="12"/>
        <v/>
      </c>
      <c r="O139" s="362" t="str">
        <f t="shared" si="13"/>
        <v/>
      </c>
      <c r="P139" s="363" t="str">
        <f>IF(C139="","",IF(AND(LEFT(C139,55)&lt;&gt;LEFT(N139,55),O139="High - High"),"Error - Not like for like ▲",IF(H139&gt;U139,"Error - Can not reduce condition ▲",IF(AND(F139=S139,H139=U139,AJ139='F-1 Off-Site WaterC'' Baseline'!N137,'F-1 Off-Site WaterC'' Baseline'!P137=AL139),"Error - No enhancement ▲",IF(AND(C139&lt;&gt;N139,F139&lt;S139),"Lower Distinctiveness Habitat"&amp;" - "&amp;T139,G139&amp;" - "&amp;T139)))))</f>
        <v/>
      </c>
      <c r="Q139" s="368" t="str">
        <f>IF(N139="","",VLOOKUP(B139,'F-1 Off-Site WaterC'' Baseline'!$C$10:$AE$257,22,FALSE))</f>
        <v/>
      </c>
      <c r="R139" s="362" t="str">
        <f>IF(N139="","",VLOOKUP(N139,'G-7 WaterC'' Data'!$B$2:$G$8,2,FALSE))</f>
        <v/>
      </c>
      <c r="S139" s="363" t="str">
        <f>IFERROR(VLOOKUP(R139,'G-7 WaterC'' Data'!$C$4:$D$8,2,FALSE),"")</f>
        <v/>
      </c>
      <c r="T139" s="114"/>
      <c r="U139" s="363" t="str">
        <f>IFERROR(INDEX('G-7 WaterC'' Data'!$H$4:$L$8,MATCH(N139,'G-7 WaterC'' Data'!$B$4:$B$8,0),MATCH(T139,'G-7 WaterC'' Data'!$H$3:$L$3,0)),"")</f>
        <v/>
      </c>
      <c r="V139" s="122"/>
      <c r="W139" s="382" t="str">
        <f>IF(V139="","",IF(VLOOKUP(V139,'G-7 WaterC'' Data'!$AK$4:$AM$6,2,FALSE)=0,"Spatial Data Missing ⚠",VLOOKUP(V139,'G-7 WaterC'' Data'!$AK$4:$AM$6,2,FALSE)))</f>
        <v/>
      </c>
      <c r="X139" s="386" t="str">
        <f>IF(V139="","",IF(VLOOKUP(V139,'G-7 WaterC'' Data'!$AK$4:$AM$6,3,FALSE)=0,"Spatial Data Missing ⚠",VLOOKUP(V139,'G-7 WaterC'' Data'!$AK$4:$AM$6,3,FALSE)))</f>
        <v/>
      </c>
      <c r="Y139" s="398" t="str">
        <f>IFERROR(IF(OR(LEFT(P139,5)="Error",LEFT(O139,5)="Error"),"Check Data ⚠",IF(F139&lt;S139,'G-7 WaterC'' Data'!$R$3,INDEX('G-7 WaterC'' Data'!$U$5:$Y$9,MATCH(G139,'G-7 WaterC'' Data'!$T$5:$T$9,0),MATCH(T139,'G-7 WaterC'' Data'!$U$4:$Y$4,0)))),"")</f>
        <v/>
      </c>
      <c r="Z139" s="165"/>
      <c r="AA139" s="165"/>
      <c r="AB139" s="395" t="str">
        <f t="shared" si="9"/>
        <v/>
      </c>
      <c r="AC139" s="383" t="str">
        <f t="shared" si="14"/>
        <v/>
      </c>
      <c r="AD139" s="422" t="str">
        <f>IFERROR(IF(AC139="Check Data ⚠","Check Data ⚠",VLOOKUP(AC139,'G-4 Temporal multipliers'!$A$4:$C$37,3,FALSE)),"")</f>
        <v/>
      </c>
      <c r="AE139" s="398" t="str">
        <f>IF(N139="","",VLOOKUP(N139,'G-7 WaterC'' Data'!$B$4:$G$8,5,FALSE))</f>
        <v/>
      </c>
      <c r="AF139" s="382" t="str">
        <f t="shared" si="10"/>
        <v/>
      </c>
      <c r="AG139" s="382" t="str">
        <f t="shared" si="15"/>
        <v/>
      </c>
      <c r="AH139" s="386" t="str">
        <f t="shared" si="11"/>
        <v/>
      </c>
      <c r="AI139" s="122"/>
      <c r="AJ139" s="363" t="str">
        <f>IF(AI139="","",IF(VLOOKUP(AI139,'G-7 WaterC'' Data'!$AA$4:$AB$7,2,FALSE)=0,"Spatial Data Missing ⚠",VLOOKUP(AI139,'G-7 WaterC'' Data'!$AA$4:$AB$7,2,FALSE)))</f>
        <v/>
      </c>
      <c r="AK139" s="123"/>
      <c r="AL139" s="397" t="str">
        <f>IF(AK139="","",IF(VLOOKUP(AK139,'G-7 WaterC'' Data'!$AD$4:$AE$14,2,FALSE)=0,"Spatial Data Missing ⚠",VLOOKUP(AK139,'G-7 WaterC'' Data'!$AD$4:$AE$14,2,FALSE)))</f>
        <v/>
      </c>
      <c r="AM139" s="122"/>
      <c r="AN139" s="363" t="str">
        <f>IF(AM139="","",IF(VLOOKUP(AM139,'G-7 WaterC'' Data'!$AO$4:$BO$7,2,FALSE)=0,"Spatial Data Missing ⚠",VLOOKUP(AM139,'G-7 WaterC'' Data'!$AO$4:$BO$7,2,FALSE)))</f>
        <v/>
      </c>
      <c r="AO139" s="405" t="str">
        <f t="shared" si="16"/>
        <v/>
      </c>
      <c r="AP139" s="405" t="str">
        <f t="shared" si="17"/>
        <v/>
      </c>
      <c r="AQ139" s="117"/>
      <c r="AR139" s="118"/>
      <c r="AS139" s="120"/>
      <c r="AT139" s="120"/>
      <c r="AY139" s="30" t="str">
        <f>IFERROR(INDEX('G-7 WaterC'' Data'!$AZ$3:$AZ$7,MATCH(N139,'G-7 WaterC'' Data'!$AY$3:$AY$7,0)),"")</f>
        <v/>
      </c>
    </row>
    <row r="140" spans="2:51" ht="15">
      <c r="B140" s="392" t="str">
        <f>'F-1 Off-Site WaterC'' Baseline'!AR138</f>
        <v/>
      </c>
      <c r="C140" s="382" t="str">
        <f>IF(B140="","",VLOOKUP($B140,'F-1 Off-Site WaterC'' Baseline'!$C$9:$R$257,2,FALSE))</f>
        <v/>
      </c>
      <c r="D140" s="382" t="str">
        <f>IF(C140="","",VLOOKUP($B140,'F-1 Off-Site WaterC'' Baseline'!$C$9:$R$257,3,FALSE))</f>
        <v/>
      </c>
      <c r="E140" s="382" t="str">
        <f>IF(D140="","",VLOOKUP($B140,'F-1 Off-Site WaterC'' Baseline'!$C$9:$R$257,4,FALSE))</f>
        <v/>
      </c>
      <c r="F140" s="382" t="str">
        <f>IF(E140="","",VLOOKUP($B140,'F-1 Off-Site WaterC'' Baseline'!$C$9:$R$257,5,FALSE))</f>
        <v/>
      </c>
      <c r="G140" s="382" t="str">
        <f>IF(F140="","",VLOOKUP($B140,'F-1 Off-Site WaterC'' Baseline'!$C$9:$R$257,6,FALSE))</f>
        <v/>
      </c>
      <c r="H140" s="382" t="str">
        <f>IF(G140="","",VLOOKUP($B140,'F-1 Off-Site WaterC'' Baseline'!$C$9:$R$257,7,FALSE))</f>
        <v/>
      </c>
      <c r="I140" s="382" t="str">
        <f>IF(H140="","",VLOOKUP($B140,'F-1 Off-Site WaterC'' Baseline'!$C$9:$R$257,8,FALSE))</f>
        <v/>
      </c>
      <c r="J140" s="382" t="str">
        <f>IF(I140="","",VLOOKUP($B140,'F-1 Off-Site WaterC'' Baseline'!$C$9:$R$257,9,FALSE))</f>
        <v/>
      </c>
      <c r="K140" s="382" t="str">
        <f>IF(J140="","",VLOOKUP($B140,'F-1 Off-Site WaterC'' Baseline'!$C$9:$R$257,10,FALSE))</f>
        <v/>
      </c>
      <c r="L140" s="382" t="str">
        <f>IF(B140="","",VLOOKUP($B140,'F-1 Off-Site WaterC'' Baseline'!$C$9:$R$257,15,FALSE))</f>
        <v/>
      </c>
      <c r="M140" s="386" t="str">
        <f>IF(L140="","",VLOOKUP($B140,'F-1 Off-Site WaterC'' Baseline'!$C$9:$R$257,16,FALSE))</f>
        <v/>
      </c>
      <c r="N140" s="316" t="str">
        <f t="shared" si="12"/>
        <v/>
      </c>
      <c r="O140" s="362" t="str">
        <f t="shared" si="13"/>
        <v/>
      </c>
      <c r="P140" s="363" t="str">
        <f>IF(C140="","",IF(AND(LEFT(C140,55)&lt;&gt;LEFT(N140,55),O140="High - High"),"Error - Not like for like ▲",IF(H140&gt;U140,"Error - Can not reduce condition ▲",IF(AND(F140=S140,H140=U140,AJ140='F-1 Off-Site WaterC'' Baseline'!N138,'F-1 Off-Site WaterC'' Baseline'!P138=AL140),"Error - No enhancement ▲",IF(AND(C140&lt;&gt;N140,F140&lt;S140),"Lower Distinctiveness Habitat"&amp;" - "&amp;T140,G140&amp;" - "&amp;T140)))))</f>
        <v/>
      </c>
      <c r="Q140" s="368" t="str">
        <f>IF(N140="","",VLOOKUP(B140,'F-1 Off-Site WaterC'' Baseline'!$C$10:$AE$257,22,FALSE))</f>
        <v/>
      </c>
      <c r="R140" s="362" t="str">
        <f>IF(N140="","",VLOOKUP(N140,'G-7 WaterC'' Data'!$B$2:$G$8,2,FALSE))</f>
        <v/>
      </c>
      <c r="S140" s="363" t="str">
        <f>IFERROR(VLOOKUP(R140,'G-7 WaterC'' Data'!$C$4:$D$8,2,FALSE),"")</f>
        <v/>
      </c>
      <c r="T140" s="114"/>
      <c r="U140" s="363" t="str">
        <f>IFERROR(INDEX('G-7 WaterC'' Data'!$H$4:$L$8,MATCH(N140,'G-7 WaterC'' Data'!$B$4:$B$8,0),MATCH(T140,'G-7 WaterC'' Data'!$H$3:$L$3,0)),"")</f>
        <v/>
      </c>
      <c r="V140" s="122"/>
      <c r="W140" s="382" t="str">
        <f>IF(V140="","",IF(VLOOKUP(V140,'G-7 WaterC'' Data'!$AK$4:$AM$6,2,FALSE)=0,"Spatial Data Missing ⚠",VLOOKUP(V140,'G-7 WaterC'' Data'!$AK$4:$AM$6,2,FALSE)))</f>
        <v/>
      </c>
      <c r="X140" s="386" t="str">
        <f>IF(V140="","",IF(VLOOKUP(V140,'G-7 WaterC'' Data'!$AK$4:$AM$6,3,FALSE)=0,"Spatial Data Missing ⚠",VLOOKUP(V140,'G-7 WaterC'' Data'!$AK$4:$AM$6,3,FALSE)))</f>
        <v/>
      </c>
      <c r="Y140" s="398" t="str">
        <f>IFERROR(IF(OR(LEFT(P140,5)="Error",LEFT(O140,5)="Error"),"Check Data ⚠",IF(F140&lt;S140,'G-7 WaterC'' Data'!$R$3,INDEX('G-7 WaterC'' Data'!$U$5:$Y$9,MATCH(G140,'G-7 WaterC'' Data'!$T$5:$T$9,0),MATCH(T140,'G-7 WaterC'' Data'!$U$4:$Y$4,0)))),"")</f>
        <v/>
      </c>
      <c r="Z140" s="165"/>
      <c r="AA140" s="165"/>
      <c r="AB140" s="395" t="str">
        <f t="shared" ref="AB140:AB203" si="18">IF(Y140="","",IF(Y140="Check Data ⚠","Check Data ⚠",IF(AND(Z140&gt;0,AA140&gt;0),"Error -both advance and delayed habitat creation ▲",IF(AND(OR(Z140="Habitat already in target condition",Y140&lt;=Z140),AA140=0),"Check details - Is there evidence that habitat has reached target condition? ⚠",IF(Z140&gt;0,"Check details - Is there evidence habitat creation started/in place? ⚠",IF(AA140&gt;0,"Check details- Delay in starting habitat in required condition? ⚠","Standard time to target condition applied"))))))</f>
        <v/>
      </c>
      <c r="AC140" s="383" t="str">
        <f t="shared" si="14"/>
        <v/>
      </c>
      <c r="AD140" s="422" t="str">
        <f>IFERROR(IF(AC140="Check Data ⚠","Check Data ⚠",VLOOKUP(AC140,'G-4 Temporal multipliers'!$A$4:$C$37,3,FALSE)),"")</f>
        <v/>
      </c>
      <c r="AE140" s="398" t="str">
        <f>IF(N140="","",VLOOKUP(N140,'G-7 WaterC'' Data'!$B$4:$G$8,5,FALSE))</f>
        <v/>
      </c>
      <c r="AF140" s="382" t="str">
        <f t="shared" ref="AF140:AF203" si="19">IF(N140="","",IF(AC140="Check Data ⚠","Check Data ⚠",IF(T140="","",IF($AB140="Check details - Is there evidence that habitat has reached target condition? ⚠","Low Difficulty - only applicable if all habitat created before losses ⚠","Standard difficulty applied"))))</f>
        <v/>
      </c>
      <c r="AG140" s="382" t="str">
        <f t="shared" si="15"/>
        <v/>
      </c>
      <c r="AH140" s="386" t="str">
        <f t="shared" ref="AH140:AH203" si="20">IF(N140="","",VLOOKUP(AE140,Difficulty,2,FALSE))</f>
        <v/>
      </c>
      <c r="AI140" s="122"/>
      <c r="AJ140" s="363" t="str">
        <f>IF(AI140="","",IF(VLOOKUP(AI140,'G-7 WaterC'' Data'!$AA$4:$AB$7,2,FALSE)=0,"Spatial Data Missing ⚠",VLOOKUP(AI140,'G-7 WaterC'' Data'!$AA$4:$AB$7,2,FALSE)))</f>
        <v/>
      </c>
      <c r="AK140" s="123"/>
      <c r="AL140" s="397" t="str">
        <f>IF(AK140="","",IF(VLOOKUP(AK140,'G-7 WaterC'' Data'!$AD$4:$AE$14,2,FALSE)=0,"Spatial Data Missing ⚠",VLOOKUP(AK140,'G-7 WaterC'' Data'!$AD$4:$AE$14,2,FALSE)))</f>
        <v/>
      </c>
      <c r="AM140" s="122"/>
      <c r="AN140" s="363" t="str">
        <f>IF(AM140="","",IF(VLOOKUP(AM140,'G-7 WaterC'' Data'!$AO$4:$BO$7,2,FALSE)=0,"Spatial Data Missing ⚠",VLOOKUP(AM140,'G-7 WaterC'' Data'!$AO$4:$BO$7,2,FALSE)))</f>
        <v/>
      </c>
      <c r="AO140" s="405" t="str">
        <f t="shared" si="16"/>
        <v/>
      </c>
      <c r="AP140" s="405" t="str">
        <f t="shared" si="17"/>
        <v/>
      </c>
      <c r="AQ140" s="117"/>
      <c r="AR140" s="118"/>
      <c r="AS140" s="120"/>
      <c r="AT140" s="120"/>
      <c r="AY140" s="30" t="str">
        <f>IFERROR(INDEX('G-7 WaterC'' Data'!$AZ$3:$AZ$7,MATCH(N140,'G-7 WaterC'' Data'!$AY$3:$AY$7,0)),"")</f>
        <v/>
      </c>
    </row>
    <row r="141" spans="2:51" ht="15">
      <c r="B141" s="392" t="str">
        <f>'F-1 Off-Site WaterC'' Baseline'!AR139</f>
        <v/>
      </c>
      <c r="C141" s="382" t="str">
        <f>IF(B141="","",VLOOKUP($B141,'F-1 Off-Site WaterC'' Baseline'!$C$9:$R$257,2,FALSE))</f>
        <v/>
      </c>
      <c r="D141" s="382" t="str">
        <f>IF(C141="","",VLOOKUP($B141,'F-1 Off-Site WaterC'' Baseline'!$C$9:$R$257,3,FALSE))</f>
        <v/>
      </c>
      <c r="E141" s="382" t="str">
        <f>IF(D141="","",VLOOKUP($B141,'F-1 Off-Site WaterC'' Baseline'!$C$9:$R$257,4,FALSE))</f>
        <v/>
      </c>
      <c r="F141" s="382" t="str">
        <f>IF(E141="","",VLOOKUP($B141,'F-1 Off-Site WaterC'' Baseline'!$C$9:$R$257,5,FALSE))</f>
        <v/>
      </c>
      <c r="G141" s="382" t="str">
        <f>IF(F141="","",VLOOKUP($B141,'F-1 Off-Site WaterC'' Baseline'!$C$9:$R$257,6,FALSE))</f>
        <v/>
      </c>
      <c r="H141" s="382" t="str">
        <f>IF(G141="","",VLOOKUP($B141,'F-1 Off-Site WaterC'' Baseline'!$C$9:$R$257,7,FALSE))</f>
        <v/>
      </c>
      <c r="I141" s="382" t="str">
        <f>IF(H141="","",VLOOKUP($B141,'F-1 Off-Site WaterC'' Baseline'!$C$9:$R$257,8,FALSE))</f>
        <v/>
      </c>
      <c r="J141" s="382" t="str">
        <f>IF(I141="","",VLOOKUP($B141,'F-1 Off-Site WaterC'' Baseline'!$C$9:$R$257,9,FALSE))</f>
        <v/>
      </c>
      <c r="K141" s="382" t="str">
        <f>IF(J141="","",VLOOKUP($B141,'F-1 Off-Site WaterC'' Baseline'!$C$9:$R$257,10,FALSE))</f>
        <v/>
      </c>
      <c r="L141" s="382" t="str">
        <f>IF(B141="","",VLOOKUP($B141,'F-1 Off-Site WaterC'' Baseline'!$C$9:$R$257,15,FALSE))</f>
        <v/>
      </c>
      <c r="M141" s="386" t="str">
        <f>IF(L141="","",VLOOKUP($B141,'F-1 Off-Site WaterC'' Baseline'!$C$9:$R$257,16,FALSE))</f>
        <v/>
      </c>
      <c r="N141" s="316" t="str">
        <f t="shared" ref="N141:N204" si="21">C141</f>
        <v/>
      </c>
      <c r="O141" s="362" t="str">
        <f t="shared" ref="O141:O204" si="22">IF(B141="","",IF(S141&lt;F141,"Error Trading Down ▲",E141&amp;" - "&amp;R141))</f>
        <v/>
      </c>
      <c r="P141" s="363" t="str">
        <f>IF(C141="","",IF(AND(LEFT(C141,55)&lt;&gt;LEFT(N141,55),O141="High - High"),"Error - Not like for like ▲",IF(H141&gt;U141,"Error - Can not reduce condition ▲",IF(AND(F141=S141,H141=U141,AJ141='F-1 Off-Site WaterC'' Baseline'!N139,'F-1 Off-Site WaterC'' Baseline'!P139=AL141),"Error - No enhancement ▲",IF(AND(C141&lt;&gt;N141,F141&lt;S141),"Lower Distinctiveness Habitat"&amp;" - "&amp;T141,G141&amp;" - "&amp;T141)))))</f>
        <v/>
      </c>
      <c r="Q141" s="368" t="str">
        <f>IF(N141="","",VLOOKUP(B141,'F-1 Off-Site WaterC'' Baseline'!$C$10:$AE$257,22,FALSE))</f>
        <v/>
      </c>
      <c r="R141" s="362" t="str">
        <f>IF(N141="","",VLOOKUP(N141,'G-7 WaterC'' Data'!$B$2:$G$8,2,FALSE))</f>
        <v/>
      </c>
      <c r="S141" s="363" t="str">
        <f>IFERROR(VLOOKUP(R141,'G-7 WaterC'' Data'!$C$4:$D$8,2,FALSE),"")</f>
        <v/>
      </c>
      <c r="T141" s="114"/>
      <c r="U141" s="363" t="str">
        <f>IFERROR(INDEX('G-7 WaterC'' Data'!$H$4:$L$8,MATCH(N141,'G-7 WaterC'' Data'!$B$4:$B$8,0),MATCH(T141,'G-7 WaterC'' Data'!$H$3:$L$3,0)),"")</f>
        <v/>
      </c>
      <c r="V141" s="122"/>
      <c r="W141" s="382" t="str">
        <f>IF(V141="","",IF(VLOOKUP(V141,'G-7 WaterC'' Data'!$AK$4:$AM$6,2,FALSE)=0,"Spatial Data Missing ⚠",VLOOKUP(V141,'G-7 WaterC'' Data'!$AK$4:$AM$6,2,FALSE)))</f>
        <v/>
      </c>
      <c r="X141" s="386" t="str">
        <f>IF(V141="","",IF(VLOOKUP(V141,'G-7 WaterC'' Data'!$AK$4:$AM$6,3,FALSE)=0,"Spatial Data Missing ⚠",VLOOKUP(V141,'G-7 WaterC'' Data'!$AK$4:$AM$6,3,FALSE)))</f>
        <v/>
      </c>
      <c r="Y141" s="398" t="str">
        <f>IFERROR(IF(OR(LEFT(P141,5)="Error",LEFT(O141,5)="Error"),"Check Data ⚠",IF(F141&lt;S141,'G-7 WaterC'' Data'!$R$3,INDEX('G-7 WaterC'' Data'!$U$5:$Y$9,MATCH(G141,'G-7 WaterC'' Data'!$T$5:$T$9,0),MATCH(T141,'G-7 WaterC'' Data'!$U$4:$Y$4,0)))),"")</f>
        <v/>
      </c>
      <c r="Z141" s="165"/>
      <c r="AA141" s="165"/>
      <c r="AB141" s="395" t="str">
        <f t="shared" si="18"/>
        <v/>
      </c>
      <c r="AC141" s="383" t="str">
        <f t="shared" ref="AC141:AC204" si="23">IF(AB141="Error -both advance and delayed habitat creation ▲","Check Data ⚠",IF(AB141="Check Data ⚠","Check Data ⚠",IF(Y141="","",IF(Z141="30+",0,IF(AA141="30+","30+",IF(Y141+AA141&gt;30,"30+",IF(Y141+AA141-Z141&gt;0,Y141+AA141-Z141,IF(Y141-Z141&lt;0,0,Y141+AA141-Z141))))))))</f>
        <v/>
      </c>
      <c r="AD141" s="422" t="str">
        <f>IFERROR(IF(AC141="Check Data ⚠","Check Data ⚠",VLOOKUP(AC141,'G-4 Temporal multipliers'!$A$4:$C$37,3,FALSE)),"")</f>
        <v/>
      </c>
      <c r="AE141" s="398" t="str">
        <f>IF(N141="","",VLOOKUP(N141,'G-7 WaterC'' Data'!$B$4:$G$8,5,FALSE))</f>
        <v/>
      </c>
      <c r="AF141" s="382" t="str">
        <f t="shared" si="19"/>
        <v/>
      </c>
      <c r="AG141" s="382" t="str">
        <f t="shared" ref="AG141:AG204" si="24">(IF(AND(AF141="Standard difficulty applied",Y141&gt;Z141),AE141,IF(AND(AF141="Low Difficulty - only applicable if all habitat created before losses ⚠",Z141&gt;=Y141),"Low",AE141)))</f>
        <v/>
      </c>
      <c r="AH141" s="386" t="str">
        <f t="shared" si="20"/>
        <v/>
      </c>
      <c r="AI141" s="122"/>
      <c r="AJ141" s="363" t="str">
        <f>IF(AI141="","",IF(VLOOKUP(AI141,'G-7 WaterC'' Data'!$AA$4:$AB$7,2,FALSE)=0,"Spatial Data Missing ⚠",VLOOKUP(AI141,'G-7 WaterC'' Data'!$AA$4:$AB$7,2,FALSE)))</f>
        <v/>
      </c>
      <c r="AK141" s="123"/>
      <c r="AL141" s="397" t="str">
        <f>IF(AK141="","",IF(VLOOKUP(AK141,'G-7 WaterC'' Data'!$AD$4:$AE$14,2,FALSE)=0,"Spatial Data Missing ⚠",VLOOKUP(AK141,'G-7 WaterC'' Data'!$AD$4:$AE$14,2,FALSE)))</f>
        <v/>
      </c>
      <c r="AM141" s="122"/>
      <c r="AN141" s="363" t="str">
        <f>IF(AM141="","",IF(VLOOKUP(AM141,'G-7 WaterC'' Data'!$AO$4:$BO$7,2,FALSE)=0,"Spatial Data Missing ⚠",VLOOKUP(AM141,'G-7 WaterC'' Data'!$AO$4:$BO$7,2,FALSE)))</f>
        <v/>
      </c>
      <c r="AO141" s="405" t="str">
        <f t="shared" ref="AO141:AO204" si="25">IFERROR(IF(C141="","",IF(Q141&gt;D141,((((Q141*S141*U141)-(D141*F141*H141))*(AH141*AD141))+(D141*F141*H141))*(AL141*X141*AJ141*AN141),((((Q141*S141*U141)-(Q141*F141*H141))*(AH141*AD141))+(Q141*F141*H141))*(AL141*X141*AJ141*AN141))),"")</f>
        <v/>
      </c>
      <c r="AP141" s="405" t="str">
        <f t="shared" ref="AP141:AP204" si="26">IFERROR(IF(C141="","",IF(AM141="","Check data ⚠", IF(Q141&gt;D141,((((Q141*S141*U141)-(D141*F141*H141))*(AH141*AD141))+(D141*F141*H141))*(AL141*X141*AJ141),((((Q141*S141*U141)-(Q141*F141*H141))*(AH141*AD141))+(Q141*F141*H141))*(AL141*X141*AJ141)))),"")</f>
        <v/>
      </c>
      <c r="AQ141" s="117"/>
      <c r="AR141" s="118"/>
      <c r="AS141" s="120"/>
      <c r="AT141" s="120"/>
      <c r="AY141" s="30" t="str">
        <f>IFERROR(INDEX('G-7 WaterC'' Data'!$AZ$3:$AZ$7,MATCH(N141,'G-7 WaterC'' Data'!$AY$3:$AY$7,0)),"")</f>
        <v/>
      </c>
    </row>
    <row r="142" spans="2:51" ht="15">
      <c r="B142" s="392" t="str">
        <f>'F-1 Off-Site WaterC'' Baseline'!AR140</f>
        <v/>
      </c>
      <c r="C142" s="382" t="str">
        <f>IF(B142="","",VLOOKUP($B142,'F-1 Off-Site WaterC'' Baseline'!$C$9:$R$257,2,FALSE))</f>
        <v/>
      </c>
      <c r="D142" s="382" t="str">
        <f>IF(C142="","",VLOOKUP($B142,'F-1 Off-Site WaterC'' Baseline'!$C$9:$R$257,3,FALSE))</f>
        <v/>
      </c>
      <c r="E142" s="382" t="str">
        <f>IF(D142="","",VLOOKUP($B142,'F-1 Off-Site WaterC'' Baseline'!$C$9:$R$257,4,FALSE))</f>
        <v/>
      </c>
      <c r="F142" s="382" t="str">
        <f>IF(E142="","",VLOOKUP($B142,'F-1 Off-Site WaterC'' Baseline'!$C$9:$R$257,5,FALSE))</f>
        <v/>
      </c>
      <c r="G142" s="382" t="str">
        <f>IF(F142="","",VLOOKUP($B142,'F-1 Off-Site WaterC'' Baseline'!$C$9:$R$257,6,FALSE))</f>
        <v/>
      </c>
      <c r="H142" s="382" t="str">
        <f>IF(G142="","",VLOOKUP($B142,'F-1 Off-Site WaterC'' Baseline'!$C$9:$R$257,7,FALSE))</f>
        <v/>
      </c>
      <c r="I142" s="382" t="str">
        <f>IF(H142="","",VLOOKUP($B142,'F-1 Off-Site WaterC'' Baseline'!$C$9:$R$257,8,FALSE))</f>
        <v/>
      </c>
      <c r="J142" s="382" t="str">
        <f>IF(I142="","",VLOOKUP($B142,'F-1 Off-Site WaterC'' Baseline'!$C$9:$R$257,9,FALSE))</f>
        <v/>
      </c>
      <c r="K142" s="382" t="str">
        <f>IF(J142="","",VLOOKUP($B142,'F-1 Off-Site WaterC'' Baseline'!$C$9:$R$257,10,FALSE))</f>
        <v/>
      </c>
      <c r="L142" s="382" t="str">
        <f>IF(B142="","",VLOOKUP($B142,'F-1 Off-Site WaterC'' Baseline'!$C$9:$R$257,15,FALSE))</f>
        <v/>
      </c>
      <c r="M142" s="386" t="str">
        <f>IF(L142="","",VLOOKUP($B142,'F-1 Off-Site WaterC'' Baseline'!$C$9:$R$257,16,FALSE))</f>
        <v/>
      </c>
      <c r="N142" s="316" t="str">
        <f t="shared" si="21"/>
        <v/>
      </c>
      <c r="O142" s="362" t="str">
        <f t="shared" si="22"/>
        <v/>
      </c>
      <c r="P142" s="363" t="str">
        <f>IF(C142="","",IF(AND(LEFT(C142,55)&lt;&gt;LEFT(N142,55),O142="High - High"),"Error - Not like for like ▲",IF(H142&gt;U142,"Error - Can not reduce condition ▲",IF(AND(F142=S142,H142=U142,AJ142='F-1 Off-Site WaterC'' Baseline'!N140,'F-1 Off-Site WaterC'' Baseline'!P140=AL142),"Error - No enhancement ▲",IF(AND(C142&lt;&gt;N142,F142&lt;S142),"Lower Distinctiveness Habitat"&amp;" - "&amp;T142,G142&amp;" - "&amp;T142)))))</f>
        <v/>
      </c>
      <c r="Q142" s="368" t="str">
        <f>IF(N142="","",VLOOKUP(B142,'F-1 Off-Site WaterC'' Baseline'!$C$10:$AE$257,22,FALSE))</f>
        <v/>
      </c>
      <c r="R142" s="362" t="str">
        <f>IF(N142="","",VLOOKUP(N142,'G-7 WaterC'' Data'!$B$2:$G$8,2,FALSE))</f>
        <v/>
      </c>
      <c r="S142" s="363" t="str">
        <f>IFERROR(VLOOKUP(R142,'G-7 WaterC'' Data'!$C$4:$D$8,2,FALSE),"")</f>
        <v/>
      </c>
      <c r="T142" s="114"/>
      <c r="U142" s="363" t="str">
        <f>IFERROR(INDEX('G-7 WaterC'' Data'!$H$4:$L$8,MATCH(N142,'G-7 WaterC'' Data'!$B$4:$B$8,0),MATCH(T142,'G-7 WaterC'' Data'!$H$3:$L$3,0)),"")</f>
        <v/>
      </c>
      <c r="V142" s="122"/>
      <c r="W142" s="382" t="str">
        <f>IF(V142="","",IF(VLOOKUP(V142,'G-7 WaterC'' Data'!$AK$4:$AM$6,2,FALSE)=0,"Spatial Data Missing ⚠",VLOOKUP(V142,'G-7 WaterC'' Data'!$AK$4:$AM$6,2,FALSE)))</f>
        <v/>
      </c>
      <c r="X142" s="386" t="str">
        <f>IF(V142="","",IF(VLOOKUP(V142,'G-7 WaterC'' Data'!$AK$4:$AM$6,3,FALSE)=0,"Spatial Data Missing ⚠",VLOOKUP(V142,'G-7 WaterC'' Data'!$AK$4:$AM$6,3,FALSE)))</f>
        <v/>
      </c>
      <c r="Y142" s="398" t="str">
        <f>IFERROR(IF(OR(LEFT(P142,5)="Error",LEFT(O142,5)="Error"),"Check Data ⚠",IF(F142&lt;S142,'G-7 WaterC'' Data'!$R$3,INDEX('G-7 WaterC'' Data'!$U$5:$Y$9,MATCH(G142,'G-7 WaterC'' Data'!$T$5:$T$9,0),MATCH(T142,'G-7 WaterC'' Data'!$U$4:$Y$4,0)))),"")</f>
        <v/>
      </c>
      <c r="Z142" s="165"/>
      <c r="AA142" s="165"/>
      <c r="AB142" s="395" t="str">
        <f t="shared" si="18"/>
        <v/>
      </c>
      <c r="AC142" s="383" t="str">
        <f t="shared" si="23"/>
        <v/>
      </c>
      <c r="AD142" s="422" t="str">
        <f>IFERROR(IF(AC142="Check Data ⚠","Check Data ⚠",VLOOKUP(AC142,'G-4 Temporal multipliers'!$A$4:$C$37,3,FALSE)),"")</f>
        <v/>
      </c>
      <c r="AE142" s="398" t="str">
        <f>IF(N142="","",VLOOKUP(N142,'G-7 WaterC'' Data'!$B$4:$G$8,5,FALSE))</f>
        <v/>
      </c>
      <c r="AF142" s="382" t="str">
        <f t="shared" si="19"/>
        <v/>
      </c>
      <c r="AG142" s="382" t="str">
        <f t="shared" si="24"/>
        <v/>
      </c>
      <c r="AH142" s="386" t="str">
        <f t="shared" si="20"/>
        <v/>
      </c>
      <c r="AI142" s="122"/>
      <c r="AJ142" s="363" t="str">
        <f>IF(AI142="","",IF(VLOOKUP(AI142,'G-7 WaterC'' Data'!$AA$4:$AB$7,2,FALSE)=0,"Spatial Data Missing ⚠",VLOOKUP(AI142,'G-7 WaterC'' Data'!$AA$4:$AB$7,2,FALSE)))</f>
        <v/>
      </c>
      <c r="AK142" s="123"/>
      <c r="AL142" s="397" t="str">
        <f>IF(AK142="","",IF(VLOOKUP(AK142,'G-7 WaterC'' Data'!$AD$4:$AE$14,2,FALSE)=0,"Spatial Data Missing ⚠",VLOOKUP(AK142,'G-7 WaterC'' Data'!$AD$4:$AE$14,2,FALSE)))</f>
        <v/>
      </c>
      <c r="AM142" s="122"/>
      <c r="AN142" s="363" t="str">
        <f>IF(AM142="","",IF(VLOOKUP(AM142,'G-7 WaterC'' Data'!$AO$4:$BO$7,2,FALSE)=0,"Spatial Data Missing ⚠",VLOOKUP(AM142,'G-7 WaterC'' Data'!$AO$4:$BO$7,2,FALSE)))</f>
        <v/>
      </c>
      <c r="AO142" s="405" t="str">
        <f t="shared" si="25"/>
        <v/>
      </c>
      <c r="AP142" s="405" t="str">
        <f t="shared" si="26"/>
        <v/>
      </c>
      <c r="AQ142" s="117"/>
      <c r="AR142" s="118"/>
      <c r="AS142" s="120"/>
      <c r="AT142" s="120"/>
      <c r="AY142" s="30" t="str">
        <f>IFERROR(INDEX('G-7 WaterC'' Data'!$AZ$3:$AZ$7,MATCH(N142,'G-7 WaterC'' Data'!$AY$3:$AY$7,0)),"")</f>
        <v/>
      </c>
    </row>
    <row r="143" spans="2:51" ht="15">
      <c r="B143" s="392" t="str">
        <f>'F-1 Off-Site WaterC'' Baseline'!AR141</f>
        <v/>
      </c>
      <c r="C143" s="382" t="str">
        <f>IF(B143="","",VLOOKUP($B143,'F-1 Off-Site WaterC'' Baseline'!$C$9:$R$257,2,FALSE))</f>
        <v/>
      </c>
      <c r="D143" s="382" t="str">
        <f>IF(C143="","",VLOOKUP($B143,'F-1 Off-Site WaterC'' Baseline'!$C$9:$R$257,3,FALSE))</f>
        <v/>
      </c>
      <c r="E143" s="382" t="str">
        <f>IF(D143="","",VLOOKUP($B143,'F-1 Off-Site WaterC'' Baseline'!$C$9:$R$257,4,FALSE))</f>
        <v/>
      </c>
      <c r="F143" s="382" t="str">
        <f>IF(E143="","",VLOOKUP($B143,'F-1 Off-Site WaterC'' Baseline'!$C$9:$R$257,5,FALSE))</f>
        <v/>
      </c>
      <c r="G143" s="382" t="str">
        <f>IF(F143="","",VLOOKUP($B143,'F-1 Off-Site WaterC'' Baseline'!$C$9:$R$257,6,FALSE))</f>
        <v/>
      </c>
      <c r="H143" s="382" t="str">
        <f>IF(G143="","",VLOOKUP($B143,'F-1 Off-Site WaterC'' Baseline'!$C$9:$R$257,7,FALSE))</f>
        <v/>
      </c>
      <c r="I143" s="382" t="str">
        <f>IF(H143="","",VLOOKUP($B143,'F-1 Off-Site WaterC'' Baseline'!$C$9:$R$257,8,FALSE))</f>
        <v/>
      </c>
      <c r="J143" s="382" t="str">
        <f>IF(I143="","",VLOOKUP($B143,'F-1 Off-Site WaterC'' Baseline'!$C$9:$R$257,9,FALSE))</f>
        <v/>
      </c>
      <c r="K143" s="382" t="str">
        <f>IF(J143="","",VLOOKUP($B143,'F-1 Off-Site WaterC'' Baseline'!$C$9:$R$257,10,FALSE))</f>
        <v/>
      </c>
      <c r="L143" s="382" t="str">
        <f>IF(B143="","",VLOOKUP($B143,'F-1 Off-Site WaterC'' Baseline'!$C$9:$R$257,15,FALSE))</f>
        <v/>
      </c>
      <c r="M143" s="386" t="str">
        <f>IF(L143="","",VLOOKUP($B143,'F-1 Off-Site WaterC'' Baseline'!$C$9:$R$257,16,FALSE))</f>
        <v/>
      </c>
      <c r="N143" s="316" t="str">
        <f t="shared" si="21"/>
        <v/>
      </c>
      <c r="O143" s="362" t="str">
        <f t="shared" si="22"/>
        <v/>
      </c>
      <c r="P143" s="363" t="str">
        <f>IF(C143="","",IF(AND(LEFT(C143,55)&lt;&gt;LEFT(N143,55),O143="High - High"),"Error - Not like for like ▲",IF(H143&gt;U143,"Error - Can not reduce condition ▲",IF(AND(F143=S143,H143=U143,AJ143='F-1 Off-Site WaterC'' Baseline'!N141,'F-1 Off-Site WaterC'' Baseline'!P141=AL143),"Error - No enhancement ▲",IF(AND(C143&lt;&gt;N143,F143&lt;S143),"Lower Distinctiveness Habitat"&amp;" - "&amp;T143,G143&amp;" - "&amp;T143)))))</f>
        <v/>
      </c>
      <c r="Q143" s="368" t="str">
        <f>IF(N143="","",VLOOKUP(B143,'F-1 Off-Site WaterC'' Baseline'!$C$10:$AE$257,22,FALSE))</f>
        <v/>
      </c>
      <c r="R143" s="362" t="str">
        <f>IF(N143="","",VLOOKUP(N143,'G-7 WaterC'' Data'!$B$2:$G$8,2,FALSE))</f>
        <v/>
      </c>
      <c r="S143" s="363" t="str">
        <f>IFERROR(VLOOKUP(R143,'G-7 WaterC'' Data'!$C$4:$D$8,2,FALSE),"")</f>
        <v/>
      </c>
      <c r="T143" s="114"/>
      <c r="U143" s="363" t="str">
        <f>IFERROR(INDEX('G-7 WaterC'' Data'!$H$4:$L$8,MATCH(N143,'G-7 WaterC'' Data'!$B$4:$B$8,0),MATCH(T143,'G-7 WaterC'' Data'!$H$3:$L$3,0)),"")</f>
        <v/>
      </c>
      <c r="V143" s="122"/>
      <c r="W143" s="382" t="str">
        <f>IF(V143="","",IF(VLOOKUP(V143,'G-7 WaterC'' Data'!$AK$4:$AM$6,2,FALSE)=0,"Spatial Data Missing ⚠",VLOOKUP(V143,'G-7 WaterC'' Data'!$AK$4:$AM$6,2,FALSE)))</f>
        <v/>
      </c>
      <c r="X143" s="386" t="str">
        <f>IF(V143="","",IF(VLOOKUP(V143,'G-7 WaterC'' Data'!$AK$4:$AM$6,3,FALSE)=0,"Spatial Data Missing ⚠",VLOOKUP(V143,'G-7 WaterC'' Data'!$AK$4:$AM$6,3,FALSE)))</f>
        <v/>
      </c>
      <c r="Y143" s="398" t="str">
        <f>IFERROR(IF(OR(LEFT(P143,5)="Error",LEFT(O143,5)="Error"),"Check Data ⚠",IF(F143&lt;S143,'G-7 WaterC'' Data'!$R$3,INDEX('G-7 WaterC'' Data'!$U$5:$Y$9,MATCH(G143,'G-7 WaterC'' Data'!$T$5:$T$9,0),MATCH(T143,'G-7 WaterC'' Data'!$U$4:$Y$4,0)))),"")</f>
        <v/>
      </c>
      <c r="Z143" s="165"/>
      <c r="AA143" s="165"/>
      <c r="AB143" s="395" t="str">
        <f t="shared" si="18"/>
        <v/>
      </c>
      <c r="AC143" s="383" t="str">
        <f t="shared" si="23"/>
        <v/>
      </c>
      <c r="AD143" s="422" t="str">
        <f>IFERROR(IF(AC143="Check Data ⚠","Check Data ⚠",VLOOKUP(AC143,'G-4 Temporal multipliers'!$A$4:$C$37,3,FALSE)),"")</f>
        <v/>
      </c>
      <c r="AE143" s="398" t="str">
        <f>IF(N143="","",VLOOKUP(N143,'G-7 WaterC'' Data'!$B$4:$G$8,5,FALSE))</f>
        <v/>
      </c>
      <c r="AF143" s="382" t="str">
        <f t="shared" si="19"/>
        <v/>
      </c>
      <c r="AG143" s="382" t="str">
        <f t="shared" si="24"/>
        <v/>
      </c>
      <c r="AH143" s="386" t="str">
        <f t="shared" si="20"/>
        <v/>
      </c>
      <c r="AI143" s="122"/>
      <c r="AJ143" s="363" t="str">
        <f>IF(AI143="","",IF(VLOOKUP(AI143,'G-7 WaterC'' Data'!$AA$4:$AB$7,2,FALSE)=0,"Spatial Data Missing ⚠",VLOOKUP(AI143,'G-7 WaterC'' Data'!$AA$4:$AB$7,2,FALSE)))</f>
        <v/>
      </c>
      <c r="AK143" s="123"/>
      <c r="AL143" s="397" t="str">
        <f>IF(AK143="","",IF(VLOOKUP(AK143,'G-7 WaterC'' Data'!$AD$4:$AE$14,2,FALSE)=0,"Spatial Data Missing ⚠",VLOOKUP(AK143,'G-7 WaterC'' Data'!$AD$4:$AE$14,2,FALSE)))</f>
        <v/>
      </c>
      <c r="AM143" s="122"/>
      <c r="AN143" s="363" t="str">
        <f>IF(AM143="","",IF(VLOOKUP(AM143,'G-7 WaterC'' Data'!$AO$4:$BO$7,2,FALSE)=0,"Spatial Data Missing ⚠",VLOOKUP(AM143,'G-7 WaterC'' Data'!$AO$4:$BO$7,2,FALSE)))</f>
        <v/>
      </c>
      <c r="AO143" s="405" t="str">
        <f t="shared" si="25"/>
        <v/>
      </c>
      <c r="AP143" s="405" t="str">
        <f t="shared" si="26"/>
        <v/>
      </c>
      <c r="AQ143" s="117"/>
      <c r="AR143" s="118"/>
      <c r="AS143" s="120"/>
      <c r="AT143" s="120"/>
      <c r="AY143" s="30" t="str">
        <f>IFERROR(INDEX('G-7 WaterC'' Data'!$AZ$3:$AZ$7,MATCH(N143,'G-7 WaterC'' Data'!$AY$3:$AY$7,0)),"")</f>
        <v/>
      </c>
    </row>
    <row r="144" spans="2:51" ht="15">
      <c r="B144" s="392" t="str">
        <f>'F-1 Off-Site WaterC'' Baseline'!AR142</f>
        <v/>
      </c>
      <c r="C144" s="382" t="str">
        <f>IF(B144="","",VLOOKUP($B144,'F-1 Off-Site WaterC'' Baseline'!$C$9:$R$257,2,FALSE))</f>
        <v/>
      </c>
      <c r="D144" s="382" t="str">
        <f>IF(C144="","",VLOOKUP($B144,'F-1 Off-Site WaterC'' Baseline'!$C$9:$R$257,3,FALSE))</f>
        <v/>
      </c>
      <c r="E144" s="382" t="str">
        <f>IF(D144="","",VLOOKUP($B144,'F-1 Off-Site WaterC'' Baseline'!$C$9:$R$257,4,FALSE))</f>
        <v/>
      </c>
      <c r="F144" s="382" t="str">
        <f>IF(E144="","",VLOOKUP($B144,'F-1 Off-Site WaterC'' Baseline'!$C$9:$R$257,5,FALSE))</f>
        <v/>
      </c>
      <c r="G144" s="382" t="str">
        <f>IF(F144="","",VLOOKUP($B144,'F-1 Off-Site WaterC'' Baseline'!$C$9:$R$257,6,FALSE))</f>
        <v/>
      </c>
      <c r="H144" s="382" t="str">
        <f>IF(G144="","",VLOOKUP($B144,'F-1 Off-Site WaterC'' Baseline'!$C$9:$R$257,7,FALSE))</f>
        <v/>
      </c>
      <c r="I144" s="382" t="str">
        <f>IF(H144="","",VLOOKUP($B144,'F-1 Off-Site WaterC'' Baseline'!$C$9:$R$257,8,FALSE))</f>
        <v/>
      </c>
      <c r="J144" s="382" t="str">
        <f>IF(I144="","",VLOOKUP($B144,'F-1 Off-Site WaterC'' Baseline'!$C$9:$R$257,9,FALSE))</f>
        <v/>
      </c>
      <c r="K144" s="382" t="str">
        <f>IF(J144="","",VLOOKUP($B144,'F-1 Off-Site WaterC'' Baseline'!$C$9:$R$257,10,FALSE))</f>
        <v/>
      </c>
      <c r="L144" s="382" t="str">
        <f>IF(B144="","",VLOOKUP($B144,'F-1 Off-Site WaterC'' Baseline'!$C$9:$R$257,15,FALSE))</f>
        <v/>
      </c>
      <c r="M144" s="386" t="str">
        <f>IF(L144="","",VLOOKUP($B144,'F-1 Off-Site WaterC'' Baseline'!$C$9:$R$257,16,FALSE))</f>
        <v/>
      </c>
      <c r="N144" s="316" t="str">
        <f t="shared" si="21"/>
        <v/>
      </c>
      <c r="O144" s="362" t="str">
        <f t="shared" si="22"/>
        <v/>
      </c>
      <c r="P144" s="363" t="str">
        <f>IF(C144="","",IF(AND(LEFT(C144,55)&lt;&gt;LEFT(N144,55),O144="High - High"),"Error - Not like for like ▲",IF(H144&gt;U144,"Error - Can not reduce condition ▲",IF(AND(F144=S144,H144=U144,AJ144='F-1 Off-Site WaterC'' Baseline'!N142,'F-1 Off-Site WaterC'' Baseline'!P142=AL144),"Error - No enhancement ▲",IF(AND(C144&lt;&gt;N144,F144&lt;S144),"Lower Distinctiveness Habitat"&amp;" - "&amp;T144,G144&amp;" - "&amp;T144)))))</f>
        <v/>
      </c>
      <c r="Q144" s="368" t="str">
        <f>IF(N144="","",VLOOKUP(B144,'F-1 Off-Site WaterC'' Baseline'!$C$10:$AE$257,22,FALSE))</f>
        <v/>
      </c>
      <c r="R144" s="362" t="str">
        <f>IF(N144="","",VLOOKUP(N144,'G-7 WaterC'' Data'!$B$2:$G$8,2,FALSE))</f>
        <v/>
      </c>
      <c r="S144" s="363" t="str">
        <f>IFERROR(VLOOKUP(R144,'G-7 WaterC'' Data'!$C$4:$D$8,2,FALSE),"")</f>
        <v/>
      </c>
      <c r="T144" s="114"/>
      <c r="U144" s="363" t="str">
        <f>IFERROR(INDEX('G-7 WaterC'' Data'!$H$4:$L$8,MATCH(N144,'G-7 WaterC'' Data'!$B$4:$B$8,0),MATCH(T144,'G-7 WaterC'' Data'!$H$3:$L$3,0)),"")</f>
        <v/>
      </c>
      <c r="V144" s="122"/>
      <c r="W144" s="382" t="str">
        <f>IF(V144="","",IF(VLOOKUP(V144,'G-7 WaterC'' Data'!$AK$4:$AM$6,2,FALSE)=0,"Spatial Data Missing ⚠",VLOOKUP(V144,'G-7 WaterC'' Data'!$AK$4:$AM$6,2,FALSE)))</f>
        <v/>
      </c>
      <c r="X144" s="386" t="str">
        <f>IF(V144="","",IF(VLOOKUP(V144,'G-7 WaterC'' Data'!$AK$4:$AM$6,3,FALSE)=0,"Spatial Data Missing ⚠",VLOOKUP(V144,'G-7 WaterC'' Data'!$AK$4:$AM$6,3,FALSE)))</f>
        <v/>
      </c>
      <c r="Y144" s="398" t="str">
        <f>IFERROR(IF(OR(LEFT(P144,5)="Error",LEFT(O144,5)="Error"),"Check Data ⚠",IF(F144&lt;S144,'G-7 WaterC'' Data'!$R$3,INDEX('G-7 WaterC'' Data'!$U$5:$Y$9,MATCH(G144,'G-7 WaterC'' Data'!$T$5:$T$9,0),MATCH(T144,'G-7 WaterC'' Data'!$U$4:$Y$4,0)))),"")</f>
        <v/>
      </c>
      <c r="Z144" s="165"/>
      <c r="AA144" s="165"/>
      <c r="AB144" s="395" t="str">
        <f t="shared" si="18"/>
        <v/>
      </c>
      <c r="AC144" s="383" t="str">
        <f t="shared" si="23"/>
        <v/>
      </c>
      <c r="AD144" s="422" t="str">
        <f>IFERROR(IF(AC144="Check Data ⚠","Check Data ⚠",VLOOKUP(AC144,'G-4 Temporal multipliers'!$A$4:$C$37,3,FALSE)),"")</f>
        <v/>
      </c>
      <c r="AE144" s="398" t="str">
        <f>IF(N144="","",VLOOKUP(N144,'G-7 WaterC'' Data'!$B$4:$G$8,5,FALSE))</f>
        <v/>
      </c>
      <c r="AF144" s="382" t="str">
        <f t="shared" si="19"/>
        <v/>
      </c>
      <c r="AG144" s="382" t="str">
        <f t="shared" si="24"/>
        <v/>
      </c>
      <c r="AH144" s="386" t="str">
        <f t="shared" si="20"/>
        <v/>
      </c>
      <c r="AI144" s="122"/>
      <c r="AJ144" s="363" t="str">
        <f>IF(AI144="","",IF(VLOOKUP(AI144,'G-7 WaterC'' Data'!$AA$4:$AB$7,2,FALSE)=0,"Spatial Data Missing ⚠",VLOOKUP(AI144,'G-7 WaterC'' Data'!$AA$4:$AB$7,2,FALSE)))</f>
        <v/>
      </c>
      <c r="AK144" s="123"/>
      <c r="AL144" s="397" t="str">
        <f>IF(AK144="","",IF(VLOOKUP(AK144,'G-7 WaterC'' Data'!$AD$4:$AE$14,2,FALSE)=0,"Spatial Data Missing ⚠",VLOOKUP(AK144,'G-7 WaterC'' Data'!$AD$4:$AE$14,2,FALSE)))</f>
        <v/>
      </c>
      <c r="AM144" s="122"/>
      <c r="AN144" s="363" t="str">
        <f>IF(AM144="","",IF(VLOOKUP(AM144,'G-7 WaterC'' Data'!$AO$4:$BO$7,2,FALSE)=0,"Spatial Data Missing ⚠",VLOOKUP(AM144,'G-7 WaterC'' Data'!$AO$4:$BO$7,2,FALSE)))</f>
        <v/>
      </c>
      <c r="AO144" s="405" t="str">
        <f t="shared" si="25"/>
        <v/>
      </c>
      <c r="AP144" s="405" t="str">
        <f t="shared" si="26"/>
        <v/>
      </c>
      <c r="AQ144" s="117"/>
      <c r="AR144" s="118"/>
      <c r="AS144" s="120"/>
      <c r="AT144" s="120"/>
      <c r="AY144" s="30" t="str">
        <f>IFERROR(INDEX('G-7 WaterC'' Data'!$AZ$3:$AZ$7,MATCH(N144,'G-7 WaterC'' Data'!$AY$3:$AY$7,0)),"")</f>
        <v/>
      </c>
    </row>
    <row r="145" spans="2:51" ht="15">
      <c r="B145" s="392" t="str">
        <f>'F-1 Off-Site WaterC'' Baseline'!AR143</f>
        <v/>
      </c>
      <c r="C145" s="382" t="str">
        <f>IF(B145="","",VLOOKUP($B145,'F-1 Off-Site WaterC'' Baseline'!$C$9:$R$257,2,FALSE))</f>
        <v/>
      </c>
      <c r="D145" s="382" t="str">
        <f>IF(C145="","",VLOOKUP($B145,'F-1 Off-Site WaterC'' Baseline'!$C$9:$R$257,3,FALSE))</f>
        <v/>
      </c>
      <c r="E145" s="382" t="str">
        <f>IF(D145="","",VLOOKUP($B145,'F-1 Off-Site WaterC'' Baseline'!$C$9:$R$257,4,FALSE))</f>
        <v/>
      </c>
      <c r="F145" s="382" t="str">
        <f>IF(E145="","",VLOOKUP($B145,'F-1 Off-Site WaterC'' Baseline'!$C$9:$R$257,5,FALSE))</f>
        <v/>
      </c>
      <c r="G145" s="382" t="str">
        <f>IF(F145="","",VLOOKUP($B145,'F-1 Off-Site WaterC'' Baseline'!$C$9:$R$257,6,FALSE))</f>
        <v/>
      </c>
      <c r="H145" s="382" t="str">
        <f>IF(G145="","",VLOOKUP($B145,'F-1 Off-Site WaterC'' Baseline'!$C$9:$R$257,7,FALSE))</f>
        <v/>
      </c>
      <c r="I145" s="382" t="str">
        <f>IF(H145="","",VLOOKUP($B145,'F-1 Off-Site WaterC'' Baseline'!$C$9:$R$257,8,FALSE))</f>
        <v/>
      </c>
      <c r="J145" s="382" t="str">
        <f>IF(I145="","",VLOOKUP($B145,'F-1 Off-Site WaterC'' Baseline'!$C$9:$R$257,9,FALSE))</f>
        <v/>
      </c>
      <c r="K145" s="382" t="str">
        <f>IF(J145="","",VLOOKUP($B145,'F-1 Off-Site WaterC'' Baseline'!$C$9:$R$257,10,FALSE))</f>
        <v/>
      </c>
      <c r="L145" s="382" t="str">
        <f>IF(B145="","",VLOOKUP($B145,'F-1 Off-Site WaterC'' Baseline'!$C$9:$R$257,15,FALSE))</f>
        <v/>
      </c>
      <c r="M145" s="386" t="str">
        <f>IF(L145="","",VLOOKUP($B145,'F-1 Off-Site WaterC'' Baseline'!$C$9:$R$257,16,FALSE))</f>
        <v/>
      </c>
      <c r="N145" s="316" t="str">
        <f t="shared" si="21"/>
        <v/>
      </c>
      <c r="O145" s="362" t="str">
        <f t="shared" si="22"/>
        <v/>
      </c>
      <c r="P145" s="363" t="str">
        <f>IF(C145="","",IF(AND(LEFT(C145,55)&lt;&gt;LEFT(N145,55),O145="High - High"),"Error - Not like for like ▲",IF(H145&gt;U145,"Error - Can not reduce condition ▲",IF(AND(F145=S145,H145=U145,AJ145='F-1 Off-Site WaterC'' Baseline'!N143,'F-1 Off-Site WaterC'' Baseline'!P143=AL145),"Error - No enhancement ▲",IF(AND(C145&lt;&gt;N145,F145&lt;S145),"Lower Distinctiveness Habitat"&amp;" - "&amp;T145,G145&amp;" - "&amp;T145)))))</f>
        <v/>
      </c>
      <c r="Q145" s="368" t="str">
        <f>IF(N145="","",VLOOKUP(B145,'F-1 Off-Site WaterC'' Baseline'!$C$10:$AE$257,22,FALSE))</f>
        <v/>
      </c>
      <c r="R145" s="362" t="str">
        <f>IF(N145="","",VLOOKUP(N145,'G-7 WaterC'' Data'!$B$2:$G$8,2,FALSE))</f>
        <v/>
      </c>
      <c r="S145" s="363" t="str">
        <f>IFERROR(VLOOKUP(R145,'G-7 WaterC'' Data'!$C$4:$D$8,2,FALSE),"")</f>
        <v/>
      </c>
      <c r="T145" s="114"/>
      <c r="U145" s="363" t="str">
        <f>IFERROR(INDEX('G-7 WaterC'' Data'!$H$4:$L$8,MATCH(N145,'G-7 WaterC'' Data'!$B$4:$B$8,0),MATCH(T145,'G-7 WaterC'' Data'!$H$3:$L$3,0)),"")</f>
        <v/>
      </c>
      <c r="V145" s="122"/>
      <c r="W145" s="382" t="str">
        <f>IF(V145="","",IF(VLOOKUP(V145,'G-7 WaterC'' Data'!$AK$4:$AM$6,2,FALSE)=0,"Spatial Data Missing ⚠",VLOOKUP(V145,'G-7 WaterC'' Data'!$AK$4:$AM$6,2,FALSE)))</f>
        <v/>
      </c>
      <c r="X145" s="386" t="str">
        <f>IF(V145="","",IF(VLOOKUP(V145,'G-7 WaterC'' Data'!$AK$4:$AM$6,3,FALSE)=0,"Spatial Data Missing ⚠",VLOOKUP(V145,'G-7 WaterC'' Data'!$AK$4:$AM$6,3,FALSE)))</f>
        <v/>
      </c>
      <c r="Y145" s="398" t="str">
        <f>IFERROR(IF(OR(LEFT(P145,5)="Error",LEFT(O145,5)="Error"),"Check Data ⚠",IF(F145&lt;S145,'G-7 WaterC'' Data'!$R$3,INDEX('G-7 WaterC'' Data'!$U$5:$Y$9,MATCH(G145,'G-7 WaterC'' Data'!$T$5:$T$9,0),MATCH(T145,'G-7 WaterC'' Data'!$U$4:$Y$4,0)))),"")</f>
        <v/>
      </c>
      <c r="Z145" s="165"/>
      <c r="AA145" s="165"/>
      <c r="AB145" s="395" t="str">
        <f t="shared" si="18"/>
        <v/>
      </c>
      <c r="AC145" s="383" t="str">
        <f t="shared" si="23"/>
        <v/>
      </c>
      <c r="AD145" s="422" t="str">
        <f>IFERROR(IF(AC145="Check Data ⚠","Check Data ⚠",VLOOKUP(AC145,'G-4 Temporal multipliers'!$A$4:$C$37,3,FALSE)),"")</f>
        <v/>
      </c>
      <c r="AE145" s="398" t="str">
        <f>IF(N145="","",VLOOKUP(N145,'G-7 WaterC'' Data'!$B$4:$G$8,5,FALSE))</f>
        <v/>
      </c>
      <c r="AF145" s="382" t="str">
        <f t="shared" si="19"/>
        <v/>
      </c>
      <c r="AG145" s="382" t="str">
        <f t="shared" si="24"/>
        <v/>
      </c>
      <c r="AH145" s="386" t="str">
        <f t="shared" si="20"/>
        <v/>
      </c>
      <c r="AI145" s="122"/>
      <c r="AJ145" s="363" t="str">
        <f>IF(AI145="","",IF(VLOOKUP(AI145,'G-7 WaterC'' Data'!$AA$4:$AB$7,2,FALSE)=0,"Spatial Data Missing ⚠",VLOOKUP(AI145,'G-7 WaterC'' Data'!$AA$4:$AB$7,2,FALSE)))</f>
        <v/>
      </c>
      <c r="AK145" s="123"/>
      <c r="AL145" s="397" t="str">
        <f>IF(AK145="","",IF(VLOOKUP(AK145,'G-7 WaterC'' Data'!$AD$4:$AE$14,2,FALSE)=0,"Spatial Data Missing ⚠",VLOOKUP(AK145,'G-7 WaterC'' Data'!$AD$4:$AE$14,2,FALSE)))</f>
        <v/>
      </c>
      <c r="AM145" s="122"/>
      <c r="AN145" s="363" t="str">
        <f>IF(AM145="","",IF(VLOOKUP(AM145,'G-7 WaterC'' Data'!$AO$4:$BO$7,2,FALSE)=0,"Spatial Data Missing ⚠",VLOOKUP(AM145,'G-7 WaterC'' Data'!$AO$4:$BO$7,2,FALSE)))</f>
        <v/>
      </c>
      <c r="AO145" s="405" t="str">
        <f t="shared" si="25"/>
        <v/>
      </c>
      <c r="AP145" s="405" t="str">
        <f t="shared" si="26"/>
        <v/>
      </c>
      <c r="AQ145" s="117"/>
      <c r="AR145" s="118"/>
      <c r="AS145" s="120"/>
      <c r="AT145" s="120"/>
      <c r="AY145" s="30" t="str">
        <f>IFERROR(INDEX('G-7 WaterC'' Data'!$AZ$3:$AZ$7,MATCH(N145,'G-7 WaterC'' Data'!$AY$3:$AY$7,0)),"")</f>
        <v/>
      </c>
    </row>
    <row r="146" spans="2:51" ht="15">
      <c r="B146" s="392" t="str">
        <f>'F-1 Off-Site WaterC'' Baseline'!AR144</f>
        <v/>
      </c>
      <c r="C146" s="382" t="str">
        <f>IF(B146="","",VLOOKUP($B146,'F-1 Off-Site WaterC'' Baseline'!$C$9:$R$257,2,FALSE))</f>
        <v/>
      </c>
      <c r="D146" s="382" t="str">
        <f>IF(C146="","",VLOOKUP($B146,'F-1 Off-Site WaterC'' Baseline'!$C$9:$R$257,3,FALSE))</f>
        <v/>
      </c>
      <c r="E146" s="382" t="str">
        <f>IF(D146="","",VLOOKUP($B146,'F-1 Off-Site WaterC'' Baseline'!$C$9:$R$257,4,FALSE))</f>
        <v/>
      </c>
      <c r="F146" s="382" t="str">
        <f>IF(E146="","",VLOOKUP($B146,'F-1 Off-Site WaterC'' Baseline'!$C$9:$R$257,5,FALSE))</f>
        <v/>
      </c>
      <c r="G146" s="382" t="str">
        <f>IF(F146="","",VLOOKUP($B146,'F-1 Off-Site WaterC'' Baseline'!$C$9:$R$257,6,FALSE))</f>
        <v/>
      </c>
      <c r="H146" s="382" t="str">
        <f>IF(G146="","",VLOOKUP($B146,'F-1 Off-Site WaterC'' Baseline'!$C$9:$R$257,7,FALSE))</f>
        <v/>
      </c>
      <c r="I146" s="382" t="str">
        <f>IF(H146="","",VLOOKUP($B146,'F-1 Off-Site WaterC'' Baseline'!$C$9:$R$257,8,FALSE))</f>
        <v/>
      </c>
      <c r="J146" s="382" t="str">
        <f>IF(I146="","",VLOOKUP($B146,'F-1 Off-Site WaterC'' Baseline'!$C$9:$R$257,9,FALSE))</f>
        <v/>
      </c>
      <c r="K146" s="382" t="str">
        <f>IF(J146="","",VLOOKUP($B146,'F-1 Off-Site WaterC'' Baseline'!$C$9:$R$257,10,FALSE))</f>
        <v/>
      </c>
      <c r="L146" s="382" t="str">
        <f>IF(B146="","",VLOOKUP($B146,'F-1 Off-Site WaterC'' Baseline'!$C$9:$R$257,15,FALSE))</f>
        <v/>
      </c>
      <c r="M146" s="386" t="str">
        <f>IF(L146="","",VLOOKUP($B146,'F-1 Off-Site WaterC'' Baseline'!$C$9:$R$257,16,FALSE))</f>
        <v/>
      </c>
      <c r="N146" s="316" t="str">
        <f t="shared" si="21"/>
        <v/>
      </c>
      <c r="O146" s="362" t="str">
        <f t="shared" si="22"/>
        <v/>
      </c>
      <c r="P146" s="363" t="str">
        <f>IF(C146="","",IF(AND(LEFT(C146,55)&lt;&gt;LEFT(N146,55),O146="High - High"),"Error - Not like for like ▲",IF(H146&gt;U146,"Error - Can not reduce condition ▲",IF(AND(F146=S146,H146=U146,AJ146='F-1 Off-Site WaterC'' Baseline'!N144,'F-1 Off-Site WaterC'' Baseline'!P144=AL146),"Error - No enhancement ▲",IF(AND(C146&lt;&gt;N146,F146&lt;S146),"Lower Distinctiveness Habitat"&amp;" - "&amp;T146,G146&amp;" - "&amp;T146)))))</f>
        <v/>
      </c>
      <c r="Q146" s="368" t="str">
        <f>IF(N146="","",VLOOKUP(B146,'F-1 Off-Site WaterC'' Baseline'!$C$10:$AE$257,22,FALSE))</f>
        <v/>
      </c>
      <c r="R146" s="362" t="str">
        <f>IF(N146="","",VLOOKUP(N146,'G-7 WaterC'' Data'!$B$2:$G$8,2,FALSE))</f>
        <v/>
      </c>
      <c r="S146" s="363" t="str">
        <f>IFERROR(VLOOKUP(R146,'G-7 WaterC'' Data'!$C$4:$D$8,2,FALSE),"")</f>
        <v/>
      </c>
      <c r="T146" s="114"/>
      <c r="U146" s="363" t="str">
        <f>IFERROR(INDEX('G-7 WaterC'' Data'!$H$4:$L$8,MATCH(N146,'G-7 WaterC'' Data'!$B$4:$B$8,0),MATCH(T146,'G-7 WaterC'' Data'!$H$3:$L$3,0)),"")</f>
        <v/>
      </c>
      <c r="V146" s="122"/>
      <c r="W146" s="382" t="str">
        <f>IF(V146="","",IF(VLOOKUP(V146,'G-7 WaterC'' Data'!$AK$4:$AM$6,2,FALSE)=0,"Spatial Data Missing ⚠",VLOOKUP(V146,'G-7 WaterC'' Data'!$AK$4:$AM$6,2,FALSE)))</f>
        <v/>
      </c>
      <c r="X146" s="386" t="str">
        <f>IF(V146="","",IF(VLOOKUP(V146,'G-7 WaterC'' Data'!$AK$4:$AM$6,3,FALSE)=0,"Spatial Data Missing ⚠",VLOOKUP(V146,'G-7 WaterC'' Data'!$AK$4:$AM$6,3,FALSE)))</f>
        <v/>
      </c>
      <c r="Y146" s="398" t="str">
        <f>IFERROR(IF(OR(LEFT(P146,5)="Error",LEFT(O146,5)="Error"),"Check Data ⚠",IF(F146&lt;S146,'G-7 WaterC'' Data'!$R$3,INDEX('G-7 WaterC'' Data'!$U$5:$Y$9,MATCH(G146,'G-7 WaterC'' Data'!$T$5:$T$9,0),MATCH(T146,'G-7 WaterC'' Data'!$U$4:$Y$4,0)))),"")</f>
        <v/>
      </c>
      <c r="Z146" s="165"/>
      <c r="AA146" s="165"/>
      <c r="AB146" s="395" t="str">
        <f t="shared" si="18"/>
        <v/>
      </c>
      <c r="AC146" s="383" t="str">
        <f t="shared" si="23"/>
        <v/>
      </c>
      <c r="AD146" s="422" t="str">
        <f>IFERROR(IF(AC146="Check Data ⚠","Check Data ⚠",VLOOKUP(AC146,'G-4 Temporal multipliers'!$A$4:$C$37,3,FALSE)),"")</f>
        <v/>
      </c>
      <c r="AE146" s="398" t="str">
        <f>IF(N146="","",VLOOKUP(N146,'G-7 WaterC'' Data'!$B$4:$G$8,5,FALSE))</f>
        <v/>
      </c>
      <c r="AF146" s="382" t="str">
        <f t="shared" si="19"/>
        <v/>
      </c>
      <c r="AG146" s="382" t="str">
        <f t="shared" si="24"/>
        <v/>
      </c>
      <c r="AH146" s="386" t="str">
        <f t="shared" si="20"/>
        <v/>
      </c>
      <c r="AI146" s="122"/>
      <c r="AJ146" s="363" t="str">
        <f>IF(AI146="","",IF(VLOOKUP(AI146,'G-7 WaterC'' Data'!$AA$4:$AB$7,2,FALSE)=0,"Spatial Data Missing ⚠",VLOOKUP(AI146,'G-7 WaterC'' Data'!$AA$4:$AB$7,2,FALSE)))</f>
        <v/>
      </c>
      <c r="AK146" s="123"/>
      <c r="AL146" s="397" t="str">
        <f>IF(AK146="","",IF(VLOOKUP(AK146,'G-7 WaterC'' Data'!$AD$4:$AE$14,2,FALSE)=0,"Spatial Data Missing ⚠",VLOOKUP(AK146,'G-7 WaterC'' Data'!$AD$4:$AE$14,2,FALSE)))</f>
        <v/>
      </c>
      <c r="AM146" s="122"/>
      <c r="AN146" s="363" t="str">
        <f>IF(AM146="","",IF(VLOOKUP(AM146,'G-7 WaterC'' Data'!$AO$4:$BO$7,2,FALSE)=0,"Spatial Data Missing ⚠",VLOOKUP(AM146,'G-7 WaterC'' Data'!$AO$4:$BO$7,2,FALSE)))</f>
        <v/>
      </c>
      <c r="AO146" s="405" t="str">
        <f t="shared" si="25"/>
        <v/>
      </c>
      <c r="AP146" s="405" t="str">
        <f t="shared" si="26"/>
        <v/>
      </c>
      <c r="AQ146" s="117"/>
      <c r="AR146" s="118"/>
      <c r="AS146" s="120"/>
      <c r="AT146" s="120"/>
      <c r="AY146" s="30" t="str">
        <f>IFERROR(INDEX('G-7 WaterC'' Data'!$AZ$3:$AZ$7,MATCH(N146,'G-7 WaterC'' Data'!$AY$3:$AY$7,0)),"")</f>
        <v/>
      </c>
    </row>
    <row r="147" spans="2:51" ht="15">
      <c r="B147" s="392" t="str">
        <f>'F-1 Off-Site WaterC'' Baseline'!AR145</f>
        <v/>
      </c>
      <c r="C147" s="382" t="str">
        <f>IF(B147="","",VLOOKUP($B147,'F-1 Off-Site WaterC'' Baseline'!$C$9:$R$257,2,FALSE))</f>
        <v/>
      </c>
      <c r="D147" s="382" t="str">
        <f>IF(C147="","",VLOOKUP($B147,'F-1 Off-Site WaterC'' Baseline'!$C$9:$R$257,3,FALSE))</f>
        <v/>
      </c>
      <c r="E147" s="382" t="str">
        <f>IF(D147="","",VLOOKUP($B147,'F-1 Off-Site WaterC'' Baseline'!$C$9:$R$257,4,FALSE))</f>
        <v/>
      </c>
      <c r="F147" s="382" t="str">
        <f>IF(E147="","",VLOOKUP($B147,'F-1 Off-Site WaterC'' Baseline'!$C$9:$R$257,5,FALSE))</f>
        <v/>
      </c>
      <c r="G147" s="382" t="str">
        <f>IF(F147="","",VLOOKUP($B147,'F-1 Off-Site WaterC'' Baseline'!$C$9:$R$257,6,FALSE))</f>
        <v/>
      </c>
      <c r="H147" s="382" t="str">
        <f>IF(G147="","",VLOOKUP($B147,'F-1 Off-Site WaterC'' Baseline'!$C$9:$R$257,7,FALSE))</f>
        <v/>
      </c>
      <c r="I147" s="382" t="str">
        <f>IF(H147="","",VLOOKUP($B147,'F-1 Off-Site WaterC'' Baseline'!$C$9:$R$257,8,FALSE))</f>
        <v/>
      </c>
      <c r="J147" s="382" t="str">
        <f>IF(I147="","",VLOOKUP($B147,'F-1 Off-Site WaterC'' Baseline'!$C$9:$R$257,9,FALSE))</f>
        <v/>
      </c>
      <c r="K147" s="382" t="str">
        <f>IF(J147="","",VLOOKUP($B147,'F-1 Off-Site WaterC'' Baseline'!$C$9:$R$257,10,FALSE))</f>
        <v/>
      </c>
      <c r="L147" s="382" t="str">
        <f>IF(B147="","",VLOOKUP($B147,'F-1 Off-Site WaterC'' Baseline'!$C$9:$R$257,15,FALSE))</f>
        <v/>
      </c>
      <c r="M147" s="386" t="str">
        <f>IF(L147="","",VLOOKUP($B147,'F-1 Off-Site WaterC'' Baseline'!$C$9:$R$257,16,FALSE))</f>
        <v/>
      </c>
      <c r="N147" s="316" t="str">
        <f t="shared" si="21"/>
        <v/>
      </c>
      <c r="O147" s="362" t="str">
        <f t="shared" si="22"/>
        <v/>
      </c>
      <c r="P147" s="363" t="str">
        <f>IF(C147="","",IF(AND(LEFT(C147,55)&lt;&gt;LEFT(N147,55),O147="High - High"),"Error - Not like for like ▲",IF(H147&gt;U147,"Error - Can not reduce condition ▲",IF(AND(F147=S147,H147=U147,AJ147='F-1 Off-Site WaterC'' Baseline'!N145,'F-1 Off-Site WaterC'' Baseline'!P145=AL147),"Error - No enhancement ▲",IF(AND(C147&lt;&gt;N147,F147&lt;S147),"Lower Distinctiveness Habitat"&amp;" - "&amp;T147,G147&amp;" - "&amp;T147)))))</f>
        <v/>
      </c>
      <c r="Q147" s="368" t="str">
        <f>IF(N147="","",VLOOKUP(B147,'F-1 Off-Site WaterC'' Baseline'!$C$10:$AE$257,22,FALSE))</f>
        <v/>
      </c>
      <c r="R147" s="362" t="str">
        <f>IF(N147="","",VLOOKUP(N147,'G-7 WaterC'' Data'!$B$2:$G$8,2,FALSE))</f>
        <v/>
      </c>
      <c r="S147" s="363" t="str">
        <f>IFERROR(VLOOKUP(R147,'G-7 WaterC'' Data'!$C$4:$D$8,2,FALSE),"")</f>
        <v/>
      </c>
      <c r="T147" s="114"/>
      <c r="U147" s="363" t="str">
        <f>IFERROR(INDEX('G-7 WaterC'' Data'!$H$4:$L$8,MATCH(N147,'G-7 WaterC'' Data'!$B$4:$B$8,0),MATCH(T147,'G-7 WaterC'' Data'!$H$3:$L$3,0)),"")</f>
        <v/>
      </c>
      <c r="V147" s="122"/>
      <c r="W147" s="382" t="str">
        <f>IF(V147="","",IF(VLOOKUP(V147,'G-7 WaterC'' Data'!$AK$4:$AM$6,2,FALSE)=0,"Spatial Data Missing ⚠",VLOOKUP(V147,'G-7 WaterC'' Data'!$AK$4:$AM$6,2,FALSE)))</f>
        <v/>
      </c>
      <c r="X147" s="386" t="str">
        <f>IF(V147="","",IF(VLOOKUP(V147,'G-7 WaterC'' Data'!$AK$4:$AM$6,3,FALSE)=0,"Spatial Data Missing ⚠",VLOOKUP(V147,'G-7 WaterC'' Data'!$AK$4:$AM$6,3,FALSE)))</f>
        <v/>
      </c>
      <c r="Y147" s="398" t="str">
        <f>IFERROR(IF(OR(LEFT(P147,5)="Error",LEFT(O147,5)="Error"),"Check Data ⚠",IF(F147&lt;S147,'G-7 WaterC'' Data'!$R$3,INDEX('G-7 WaterC'' Data'!$U$5:$Y$9,MATCH(G147,'G-7 WaterC'' Data'!$T$5:$T$9,0),MATCH(T147,'G-7 WaterC'' Data'!$U$4:$Y$4,0)))),"")</f>
        <v/>
      </c>
      <c r="Z147" s="165"/>
      <c r="AA147" s="165"/>
      <c r="AB147" s="395" t="str">
        <f t="shared" si="18"/>
        <v/>
      </c>
      <c r="AC147" s="383" t="str">
        <f t="shared" si="23"/>
        <v/>
      </c>
      <c r="AD147" s="422" t="str">
        <f>IFERROR(IF(AC147="Check Data ⚠","Check Data ⚠",VLOOKUP(AC147,'G-4 Temporal multipliers'!$A$4:$C$37,3,FALSE)),"")</f>
        <v/>
      </c>
      <c r="AE147" s="398" t="str">
        <f>IF(N147="","",VLOOKUP(N147,'G-7 WaterC'' Data'!$B$4:$G$8,5,FALSE))</f>
        <v/>
      </c>
      <c r="AF147" s="382" t="str">
        <f t="shared" si="19"/>
        <v/>
      </c>
      <c r="AG147" s="382" t="str">
        <f t="shared" si="24"/>
        <v/>
      </c>
      <c r="AH147" s="386" t="str">
        <f t="shared" si="20"/>
        <v/>
      </c>
      <c r="AI147" s="122"/>
      <c r="AJ147" s="363" t="str">
        <f>IF(AI147="","",IF(VLOOKUP(AI147,'G-7 WaterC'' Data'!$AA$4:$AB$7,2,FALSE)=0,"Spatial Data Missing ⚠",VLOOKUP(AI147,'G-7 WaterC'' Data'!$AA$4:$AB$7,2,FALSE)))</f>
        <v/>
      </c>
      <c r="AK147" s="123"/>
      <c r="AL147" s="397" t="str">
        <f>IF(AK147="","",IF(VLOOKUP(AK147,'G-7 WaterC'' Data'!$AD$4:$AE$14,2,FALSE)=0,"Spatial Data Missing ⚠",VLOOKUP(AK147,'G-7 WaterC'' Data'!$AD$4:$AE$14,2,FALSE)))</f>
        <v/>
      </c>
      <c r="AM147" s="122"/>
      <c r="AN147" s="363" t="str">
        <f>IF(AM147="","",IF(VLOOKUP(AM147,'G-7 WaterC'' Data'!$AO$4:$BO$7,2,FALSE)=0,"Spatial Data Missing ⚠",VLOOKUP(AM147,'G-7 WaterC'' Data'!$AO$4:$BO$7,2,FALSE)))</f>
        <v/>
      </c>
      <c r="AO147" s="405" t="str">
        <f t="shared" si="25"/>
        <v/>
      </c>
      <c r="AP147" s="405" t="str">
        <f t="shared" si="26"/>
        <v/>
      </c>
      <c r="AQ147" s="117"/>
      <c r="AR147" s="118"/>
      <c r="AS147" s="120"/>
      <c r="AT147" s="120"/>
      <c r="AY147" s="30" t="str">
        <f>IFERROR(INDEX('G-7 WaterC'' Data'!$AZ$3:$AZ$7,MATCH(N147,'G-7 WaterC'' Data'!$AY$3:$AY$7,0)),"")</f>
        <v/>
      </c>
    </row>
    <row r="148" spans="2:51" ht="15">
      <c r="B148" s="392" t="str">
        <f>'F-1 Off-Site WaterC'' Baseline'!AR146</f>
        <v/>
      </c>
      <c r="C148" s="382" t="str">
        <f>IF(B148="","",VLOOKUP($B148,'F-1 Off-Site WaterC'' Baseline'!$C$9:$R$257,2,FALSE))</f>
        <v/>
      </c>
      <c r="D148" s="382" t="str">
        <f>IF(C148="","",VLOOKUP($B148,'F-1 Off-Site WaterC'' Baseline'!$C$9:$R$257,3,FALSE))</f>
        <v/>
      </c>
      <c r="E148" s="382" t="str">
        <f>IF(D148="","",VLOOKUP($B148,'F-1 Off-Site WaterC'' Baseline'!$C$9:$R$257,4,FALSE))</f>
        <v/>
      </c>
      <c r="F148" s="382" t="str">
        <f>IF(E148="","",VLOOKUP($B148,'F-1 Off-Site WaterC'' Baseline'!$C$9:$R$257,5,FALSE))</f>
        <v/>
      </c>
      <c r="G148" s="382" t="str">
        <f>IF(F148="","",VLOOKUP($B148,'F-1 Off-Site WaterC'' Baseline'!$C$9:$R$257,6,FALSE))</f>
        <v/>
      </c>
      <c r="H148" s="382" t="str">
        <f>IF(G148="","",VLOOKUP($B148,'F-1 Off-Site WaterC'' Baseline'!$C$9:$R$257,7,FALSE))</f>
        <v/>
      </c>
      <c r="I148" s="382" t="str">
        <f>IF(H148="","",VLOOKUP($B148,'F-1 Off-Site WaterC'' Baseline'!$C$9:$R$257,8,FALSE))</f>
        <v/>
      </c>
      <c r="J148" s="382" t="str">
        <f>IF(I148="","",VLOOKUP($B148,'F-1 Off-Site WaterC'' Baseline'!$C$9:$R$257,9,FALSE))</f>
        <v/>
      </c>
      <c r="K148" s="382" t="str">
        <f>IF(J148="","",VLOOKUP($B148,'F-1 Off-Site WaterC'' Baseline'!$C$9:$R$257,10,FALSE))</f>
        <v/>
      </c>
      <c r="L148" s="382" t="str">
        <f>IF(B148="","",VLOOKUP($B148,'F-1 Off-Site WaterC'' Baseline'!$C$9:$R$257,15,FALSE))</f>
        <v/>
      </c>
      <c r="M148" s="386" t="str">
        <f>IF(L148="","",VLOOKUP($B148,'F-1 Off-Site WaterC'' Baseline'!$C$9:$R$257,16,FALSE))</f>
        <v/>
      </c>
      <c r="N148" s="316" t="str">
        <f t="shared" si="21"/>
        <v/>
      </c>
      <c r="O148" s="362" t="str">
        <f t="shared" si="22"/>
        <v/>
      </c>
      <c r="P148" s="363" t="str">
        <f>IF(C148="","",IF(AND(LEFT(C148,55)&lt;&gt;LEFT(N148,55),O148="High - High"),"Error - Not like for like ▲",IF(H148&gt;U148,"Error - Can not reduce condition ▲",IF(AND(F148=S148,H148=U148,AJ148='F-1 Off-Site WaterC'' Baseline'!N146,'F-1 Off-Site WaterC'' Baseline'!P146=AL148),"Error - No enhancement ▲",IF(AND(C148&lt;&gt;N148,F148&lt;S148),"Lower Distinctiveness Habitat"&amp;" - "&amp;T148,G148&amp;" - "&amp;T148)))))</f>
        <v/>
      </c>
      <c r="Q148" s="368" t="str">
        <f>IF(N148="","",VLOOKUP(B148,'F-1 Off-Site WaterC'' Baseline'!$C$10:$AE$257,22,FALSE))</f>
        <v/>
      </c>
      <c r="R148" s="362" t="str">
        <f>IF(N148="","",VLOOKUP(N148,'G-7 WaterC'' Data'!$B$2:$G$8,2,FALSE))</f>
        <v/>
      </c>
      <c r="S148" s="363" t="str">
        <f>IFERROR(VLOOKUP(R148,'G-7 WaterC'' Data'!$C$4:$D$8,2,FALSE),"")</f>
        <v/>
      </c>
      <c r="T148" s="114"/>
      <c r="U148" s="363" t="str">
        <f>IFERROR(INDEX('G-7 WaterC'' Data'!$H$4:$L$8,MATCH(N148,'G-7 WaterC'' Data'!$B$4:$B$8,0),MATCH(T148,'G-7 WaterC'' Data'!$H$3:$L$3,0)),"")</f>
        <v/>
      </c>
      <c r="V148" s="122"/>
      <c r="W148" s="382" t="str">
        <f>IF(V148="","",IF(VLOOKUP(V148,'G-7 WaterC'' Data'!$AK$4:$AM$6,2,FALSE)=0,"Spatial Data Missing ⚠",VLOOKUP(V148,'G-7 WaterC'' Data'!$AK$4:$AM$6,2,FALSE)))</f>
        <v/>
      </c>
      <c r="X148" s="386" t="str">
        <f>IF(V148="","",IF(VLOOKUP(V148,'G-7 WaterC'' Data'!$AK$4:$AM$6,3,FALSE)=0,"Spatial Data Missing ⚠",VLOOKUP(V148,'G-7 WaterC'' Data'!$AK$4:$AM$6,3,FALSE)))</f>
        <v/>
      </c>
      <c r="Y148" s="398" t="str">
        <f>IFERROR(IF(OR(LEFT(P148,5)="Error",LEFT(O148,5)="Error"),"Check Data ⚠",IF(F148&lt;S148,'G-7 WaterC'' Data'!$R$3,INDEX('G-7 WaterC'' Data'!$U$5:$Y$9,MATCH(G148,'G-7 WaterC'' Data'!$T$5:$T$9,0),MATCH(T148,'G-7 WaterC'' Data'!$U$4:$Y$4,0)))),"")</f>
        <v/>
      </c>
      <c r="Z148" s="165"/>
      <c r="AA148" s="165"/>
      <c r="AB148" s="395" t="str">
        <f t="shared" si="18"/>
        <v/>
      </c>
      <c r="AC148" s="383" t="str">
        <f t="shared" si="23"/>
        <v/>
      </c>
      <c r="AD148" s="422" t="str">
        <f>IFERROR(IF(AC148="Check Data ⚠","Check Data ⚠",VLOOKUP(AC148,'G-4 Temporal multipliers'!$A$4:$C$37,3,FALSE)),"")</f>
        <v/>
      </c>
      <c r="AE148" s="398" t="str">
        <f>IF(N148="","",VLOOKUP(N148,'G-7 WaterC'' Data'!$B$4:$G$8,5,FALSE))</f>
        <v/>
      </c>
      <c r="AF148" s="382" t="str">
        <f t="shared" si="19"/>
        <v/>
      </c>
      <c r="AG148" s="382" t="str">
        <f t="shared" si="24"/>
        <v/>
      </c>
      <c r="AH148" s="386" t="str">
        <f t="shared" si="20"/>
        <v/>
      </c>
      <c r="AI148" s="122"/>
      <c r="AJ148" s="363" t="str">
        <f>IF(AI148="","",IF(VLOOKUP(AI148,'G-7 WaterC'' Data'!$AA$4:$AB$7,2,FALSE)=0,"Spatial Data Missing ⚠",VLOOKUP(AI148,'G-7 WaterC'' Data'!$AA$4:$AB$7,2,FALSE)))</f>
        <v/>
      </c>
      <c r="AK148" s="123"/>
      <c r="AL148" s="397" t="str">
        <f>IF(AK148="","",IF(VLOOKUP(AK148,'G-7 WaterC'' Data'!$AD$4:$AE$14,2,FALSE)=0,"Spatial Data Missing ⚠",VLOOKUP(AK148,'G-7 WaterC'' Data'!$AD$4:$AE$14,2,FALSE)))</f>
        <v/>
      </c>
      <c r="AM148" s="122"/>
      <c r="AN148" s="363" t="str">
        <f>IF(AM148="","",IF(VLOOKUP(AM148,'G-7 WaterC'' Data'!$AO$4:$BO$7,2,FALSE)=0,"Spatial Data Missing ⚠",VLOOKUP(AM148,'G-7 WaterC'' Data'!$AO$4:$BO$7,2,FALSE)))</f>
        <v/>
      </c>
      <c r="AO148" s="405" t="str">
        <f t="shared" si="25"/>
        <v/>
      </c>
      <c r="AP148" s="405" t="str">
        <f t="shared" si="26"/>
        <v/>
      </c>
      <c r="AQ148" s="117"/>
      <c r="AR148" s="118"/>
      <c r="AS148" s="120"/>
      <c r="AT148" s="120"/>
      <c r="AY148" s="30" t="str">
        <f>IFERROR(INDEX('G-7 WaterC'' Data'!$AZ$3:$AZ$7,MATCH(N148,'G-7 WaterC'' Data'!$AY$3:$AY$7,0)),"")</f>
        <v/>
      </c>
    </row>
    <row r="149" spans="2:51" ht="15">
      <c r="B149" s="392" t="str">
        <f>'F-1 Off-Site WaterC'' Baseline'!AR147</f>
        <v/>
      </c>
      <c r="C149" s="382" t="str">
        <f>IF(B149="","",VLOOKUP($B149,'F-1 Off-Site WaterC'' Baseline'!$C$9:$R$257,2,FALSE))</f>
        <v/>
      </c>
      <c r="D149" s="382" t="str">
        <f>IF(C149="","",VLOOKUP($B149,'F-1 Off-Site WaterC'' Baseline'!$C$9:$R$257,3,FALSE))</f>
        <v/>
      </c>
      <c r="E149" s="382" t="str">
        <f>IF(D149="","",VLOOKUP($B149,'F-1 Off-Site WaterC'' Baseline'!$C$9:$R$257,4,FALSE))</f>
        <v/>
      </c>
      <c r="F149" s="382" t="str">
        <f>IF(E149="","",VLOOKUP($B149,'F-1 Off-Site WaterC'' Baseline'!$C$9:$R$257,5,FALSE))</f>
        <v/>
      </c>
      <c r="G149" s="382" t="str">
        <f>IF(F149="","",VLOOKUP($B149,'F-1 Off-Site WaterC'' Baseline'!$C$9:$R$257,6,FALSE))</f>
        <v/>
      </c>
      <c r="H149" s="382" t="str">
        <f>IF(G149="","",VLOOKUP($B149,'F-1 Off-Site WaterC'' Baseline'!$C$9:$R$257,7,FALSE))</f>
        <v/>
      </c>
      <c r="I149" s="382" t="str">
        <f>IF(H149="","",VLOOKUP($B149,'F-1 Off-Site WaterC'' Baseline'!$C$9:$R$257,8,FALSE))</f>
        <v/>
      </c>
      <c r="J149" s="382" t="str">
        <f>IF(I149="","",VLOOKUP($B149,'F-1 Off-Site WaterC'' Baseline'!$C$9:$R$257,9,FALSE))</f>
        <v/>
      </c>
      <c r="K149" s="382" t="str">
        <f>IF(J149="","",VLOOKUP($B149,'F-1 Off-Site WaterC'' Baseline'!$C$9:$R$257,10,FALSE))</f>
        <v/>
      </c>
      <c r="L149" s="382" t="str">
        <f>IF(B149="","",VLOOKUP($B149,'F-1 Off-Site WaterC'' Baseline'!$C$9:$R$257,15,FALSE))</f>
        <v/>
      </c>
      <c r="M149" s="386" t="str">
        <f>IF(L149="","",VLOOKUP($B149,'F-1 Off-Site WaterC'' Baseline'!$C$9:$R$257,16,FALSE))</f>
        <v/>
      </c>
      <c r="N149" s="316" t="str">
        <f t="shared" si="21"/>
        <v/>
      </c>
      <c r="O149" s="362" t="str">
        <f t="shared" si="22"/>
        <v/>
      </c>
      <c r="P149" s="363" t="str">
        <f>IF(C149="","",IF(AND(LEFT(C149,55)&lt;&gt;LEFT(N149,55),O149="High - High"),"Error - Not like for like ▲",IF(H149&gt;U149,"Error - Can not reduce condition ▲",IF(AND(F149=S149,H149=U149,AJ149='F-1 Off-Site WaterC'' Baseline'!N147,'F-1 Off-Site WaterC'' Baseline'!P147=AL149),"Error - No enhancement ▲",IF(AND(C149&lt;&gt;N149,F149&lt;S149),"Lower Distinctiveness Habitat"&amp;" - "&amp;T149,G149&amp;" - "&amp;T149)))))</f>
        <v/>
      </c>
      <c r="Q149" s="368" t="str">
        <f>IF(N149="","",VLOOKUP(B149,'F-1 Off-Site WaterC'' Baseline'!$C$10:$AE$257,22,FALSE))</f>
        <v/>
      </c>
      <c r="R149" s="362" t="str">
        <f>IF(N149="","",VLOOKUP(N149,'G-7 WaterC'' Data'!$B$2:$G$8,2,FALSE))</f>
        <v/>
      </c>
      <c r="S149" s="363" t="str">
        <f>IFERROR(VLOOKUP(R149,'G-7 WaterC'' Data'!$C$4:$D$8,2,FALSE),"")</f>
        <v/>
      </c>
      <c r="T149" s="114"/>
      <c r="U149" s="363" t="str">
        <f>IFERROR(INDEX('G-7 WaterC'' Data'!$H$4:$L$8,MATCH(N149,'G-7 WaterC'' Data'!$B$4:$B$8,0),MATCH(T149,'G-7 WaterC'' Data'!$H$3:$L$3,0)),"")</f>
        <v/>
      </c>
      <c r="V149" s="122"/>
      <c r="W149" s="382" t="str">
        <f>IF(V149="","",IF(VLOOKUP(V149,'G-7 WaterC'' Data'!$AK$4:$AM$6,2,FALSE)=0,"Spatial Data Missing ⚠",VLOOKUP(V149,'G-7 WaterC'' Data'!$AK$4:$AM$6,2,FALSE)))</f>
        <v/>
      </c>
      <c r="X149" s="386" t="str">
        <f>IF(V149="","",IF(VLOOKUP(V149,'G-7 WaterC'' Data'!$AK$4:$AM$6,3,FALSE)=0,"Spatial Data Missing ⚠",VLOOKUP(V149,'G-7 WaterC'' Data'!$AK$4:$AM$6,3,FALSE)))</f>
        <v/>
      </c>
      <c r="Y149" s="398" t="str">
        <f>IFERROR(IF(OR(LEFT(P149,5)="Error",LEFT(O149,5)="Error"),"Check Data ⚠",IF(F149&lt;S149,'G-7 WaterC'' Data'!$R$3,INDEX('G-7 WaterC'' Data'!$U$5:$Y$9,MATCH(G149,'G-7 WaterC'' Data'!$T$5:$T$9,0),MATCH(T149,'G-7 WaterC'' Data'!$U$4:$Y$4,0)))),"")</f>
        <v/>
      </c>
      <c r="Z149" s="165"/>
      <c r="AA149" s="165"/>
      <c r="AB149" s="395" t="str">
        <f t="shared" si="18"/>
        <v/>
      </c>
      <c r="AC149" s="383" t="str">
        <f t="shared" si="23"/>
        <v/>
      </c>
      <c r="AD149" s="422" t="str">
        <f>IFERROR(IF(AC149="Check Data ⚠","Check Data ⚠",VLOOKUP(AC149,'G-4 Temporal multipliers'!$A$4:$C$37,3,FALSE)),"")</f>
        <v/>
      </c>
      <c r="AE149" s="398" t="str">
        <f>IF(N149="","",VLOOKUP(N149,'G-7 WaterC'' Data'!$B$4:$G$8,5,FALSE))</f>
        <v/>
      </c>
      <c r="AF149" s="382" t="str">
        <f t="shared" si="19"/>
        <v/>
      </c>
      <c r="AG149" s="382" t="str">
        <f t="shared" si="24"/>
        <v/>
      </c>
      <c r="AH149" s="386" t="str">
        <f t="shared" si="20"/>
        <v/>
      </c>
      <c r="AI149" s="122"/>
      <c r="AJ149" s="363" t="str">
        <f>IF(AI149="","",IF(VLOOKUP(AI149,'G-7 WaterC'' Data'!$AA$4:$AB$7,2,FALSE)=0,"Spatial Data Missing ⚠",VLOOKUP(AI149,'G-7 WaterC'' Data'!$AA$4:$AB$7,2,FALSE)))</f>
        <v/>
      </c>
      <c r="AK149" s="123"/>
      <c r="AL149" s="397" t="str">
        <f>IF(AK149="","",IF(VLOOKUP(AK149,'G-7 WaterC'' Data'!$AD$4:$AE$14,2,FALSE)=0,"Spatial Data Missing ⚠",VLOOKUP(AK149,'G-7 WaterC'' Data'!$AD$4:$AE$14,2,FALSE)))</f>
        <v/>
      </c>
      <c r="AM149" s="122"/>
      <c r="AN149" s="363" t="str">
        <f>IF(AM149="","",IF(VLOOKUP(AM149,'G-7 WaterC'' Data'!$AO$4:$BO$7,2,FALSE)=0,"Spatial Data Missing ⚠",VLOOKUP(AM149,'G-7 WaterC'' Data'!$AO$4:$BO$7,2,FALSE)))</f>
        <v/>
      </c>
      <c r="AO149" s="405" t="str">
        <f t="shared" si="25"/>
        <v/>
      </c>
      <c r="AP149" s="405" t="str">
        <f t="shared" si="26"/>
        <v/>
      </c>
      <c r="AQ149" s="117"/>
      <c r="AR149" s="118"/>
      <c r="AS149" s="120"/>
      <c r="AT149" s="120"/>
      <c r="AY149" s="30" t="str">
        <f>IFERROR(INDEX('G-7 WaterC'' Data'!$AZ$3:$AZ$7,MATCH(N149,'G-7 WaterC'' Data'!$AY$3:$AY$7,0)),"")</f>
        <v/>
      </c>
    </row>
    <row r="150" spans="2:51" ht="15">
      <c r="B150" s="392" t="str">
        <f>'F-1 Off-Site WaterC'' Baseline'!AR148</f>
        <v/>
      </c>
      <c r="C150" s="382" t="str">
        <f>IF(B150="","",VLOOKUP($B150,'F-1 Off-Site WaterC'' Baseline'!$C$9:$R$257,2,FALSE))</f>
        <v/>
      </c>
      <c r="D150" s="382" t="str">
        <f>IF(C150="","",VLOOKUP($B150,'F-1 Off-Site WaterC'' Baseline'!$C$9:$R$257,3,FALSE))</f>
        <v/>
      </c>
      <c r="E150" s="382" t="str">
        <f>IF(D150="","",VLOOKUP($B150,'F-1 Off-Site WaterC'' Baseline'!$C$9:$R$257,4,FALSE))</f>
        <v/>
      </c>
      <c r="F150" s="382" t="str">
        <f>IF(E150="","",VLOOKUP($B150,'F-1 Off-Site WaterC'' Baseline'!$C$9:$R$257,5,FALSE))</f>
        <v/>
      </c>
      <c r="G150" s="382" t="str">
        <f>IF(F150="","",VLOOKUP($B150,'F-1 Off-Site WaterC'' Baseline'!$C$9:$R$257,6,FALSE))</f>
        <v/>
      </c>
      <c r="H150" s="382" t="str">
        <f>IF(G150="","",VLOOKUP($B150,'F-1 Off-Site WaterC'' Baseline'!$C$9:$R$257,7,FALSE))</f>
        <v/>
      </c>
      <c r="I150" s="382" t="str">
        <f>IF(H150="","",VLOOKUP($B150,'F-1 Off-Site WaterC'' Baseline'!$C$9:$R$257,8,FALSE))</f>
        <v/>
      </c>
      <c r="J150" s="382" t="str">
        <f>IF(I150="","",VLOOKUP($B150,'F-1 Off-Site WaterC'' Baseline'!$C$9:$R$257,9,FALSE))</f>
        <v/>
      </c>
      <c r="K150" s="382" t="str">
        <f>IF(J150="","",VLOOKUP($B150,'F-1 Off-Site WaterC'' Baseline'!$C$9:$R$257,10,FALSE))</f>
        <v/>
      </c>
      <c r="L150" s="382" t="str">
        <f>IF(B150="","",VLOOKUP($B150,'F-1 Off-Site WaterC'' Baseline'!$C$9:$R$257,15,FALSE))</f>
        <v/>
      </c>
      <c r="M150" s="386" t="str">
        <f>IF(L150="","",VLOOKUP($B150,'F-1 Off-Site WaterC'' Baseline'!$C$9:$R$257,16,FALSE))</f>
        <v/>
      </c>
      <c r="N150" s="316" t="str">
        <f t="shared" si="21"/>
        <v/>
      </c>
      <c r="O150" s="362" t="str">
        <f t="shared" si="22"/>
        <v/>
      </c>
      <c r="P150" s="363" t="str">
        <f>IF(C150="","",IF(AND(LEFT(C150,55)&lt;&gt;LEFT(N150,55),O150="High - High"),"Error - Not like for like ▲",IF(H150&gt;U150,"Error - Can not reduce condition ▲",IF(AND(F150=S150,H150=U150,AJ150='F-1 Off-Site WaterC'' Baseline'!N148,'F-1 Off-Site WaterC'' Baseline'!P148=AL150),"Error - No enhancement ▲",IF(AND(C150&lt;&gt;N150,F150&lt;S150),"Lower Distinctiveness Habitat"&amp;" - "&amp;T150,G150&amp;" - "&amp;T150)))))</f>
        <v/>
      </c>
      <c r="Q150" s="368" t="str">
        <f>IF(N150="","",VLOOKUP(B150,'F-1 Off-Site WaterC'' Baseline'!$C$10:$AE$257,22,FALSE))</f>
        <v/>
      </c>
      <c r="R150" s="362" t="str">
        <f>IF(N150="","",VLOOKUP(N150,'G-7 WaterC'' Data'!$B$2:$G$8,2,FALSE))</f>
        <v/>
      </c>
      <c r="S150" s="363" t="str">
        <f>IFERROR(VLOOKUP(R150,'G-7 WaterC'' Data'!$C$4:$D$8,2,FALSE),"")</f>
        <v/>
      </c>
      <c r="T150" s="114"/>
      <c r="U150" s="363" t="str">
        <f>IFERROR(INDEX('G-7 WaterC'' Data'!$H$4:$L$8,MATCH(N150,'G-7 WaterC'' Data'!$B$4:$B$8,0),MATCH(T150,'G-7 WaterC'' Data'!$H$3:$L$3,0)),"")</f>
        <v/>
      </c>
      <c r="V150" s="122"/>
      <c r="W150" s="382" t="str">
        <f>IF(V150="","",IF(VLOOKUP(V150,'G-7 WaterC'' Data'!$AK$4:$AM$6,2,FALSE)=0,"Spatial Data Missing ⚠",VLOOKUP(V150,'G-7 WaterC'' Data'!$AK$4:$AM$6,2,FALSE)))</f>
        <v/>
      </c>
      <c r="X150" s="386" t="str">
        <f>IF(V150="","",IF(VLOOKUP(V150,'G-7 WaterC'' Data'!$AK$4:$AM$6,3,FALSE)=0,"Spatial Data Missing ⚠",VLOOKUP(V150,'G-7 WaterC'' Data'!$AK$4:$AM$6,3,FALSE)))</f>
        <v/>
      </c>
      <c r="Y150" s="398" t="str">
        <f>IFERROR(IF(OR(LEFT(P150,5)="Error",LEFT(O150,5)="Error"),"Check Data ⚠",IF(F150&lt;S150,'G-7 WaterC'' Data'!$R$3,INDEX('G-7 WaterC'' Data'!$U$5:$Y$9,MATCH(G150,'G-7 WaterC'' Data'!$T$5:$T$9,0),MATCH(T150,'G-7 WaterC'' Data'!$U$4:$Y$4,0)))),"")</f>
        <v/>
      </c>
      <c r="Z150" s="165"/>
      <c r="AA150" s="165"/>
      <c r="AB150" s="395" t="str">
        <f t="shared" si="18"/>
        <v/>
      </c>
      <c r="AC150" s="383" t="str">
        <f t="shared" si="23"/>
        <v/>
      </c>
      <c r="AD150" s="422" t="str">
        <f>IFERROR(IF(AC150="Check Data ⚠","Check Data ⚠",VLOOKUP(AC150,'G-4 Temporal multipliers'!$A$4:$C$37,3,FALSE)),"")</f>
        <v/>
      </c>
      <c r="AE150" s="398" t="str">
        <f>IF(N150="","",VLOOKUP(N150,'G-7 WaterC'' Data'!$B$4:$G$8,5,FALSE))</f>
        <v/>
      </c>
      <c r="AF150" s="382" t="str">
        <f t="shared" si="19"/>
        <v/>
      </c>
      <c r="AG150" s="382" t="str">
        <f t="shared" si="24"/>
        <v/>
      </c>
      <c r="AH150" s="386" t="str">
        <f t="shared" si="20"/>
        <v/>
      </c>
      <c r="AI150" s="122"/>
      <c r="AJ150" s="363" t="str">
        <f>IF(AI150="","",IF(VLOOKUP(AI150,'G-7 WaterC'' Data'!$AA$4:$AB$7,2,FALSE)=0,"Spatial Data Missing ⚠",VLOOKUP(AI150,'G-7 WaterC'' Data'!$AA$4:$AB$7,2,FALSE)))</f>
        <v/>
      </c>
      <c r="AK150" s="123"/>
      <c r="AL150" s="397" t="str">
        <f>IF(AK150="","",IF(VLOOKUP(AK150,'G-7 WaterC'' Data'!$AD$4:$AE$14,2,FALSE)=0,"Spatial Data Missing ⚠",VLOOKUP(AK150,'G-7 WaterC'' Data'!$AD$4:$AE$14,2,FALSE)))</f>
        <v/>
      </c>
      <c r="AM150" s="122"/>
      <c r="AN150" s="363" t="str">
        <f>IF(AM150="","",IF(VLOOKUP(AM150,'G-7 WaterC'' Data'!$AO$4:$BO$7,2,FALSE)=0,"Spatial Data Missing ⚠",VLOOKUP(AM150,'G-7 WaterC'' Data'!$AO$4:$BO$7,2,FALSE)))</f>
        <v/>
      </c>
      <c r="AO150" s="405" t="str">
        <f t="shared" si="25"/>
        <v/>
      </c>
      <c r="AP150" s="405" t="str">
        <f t="shared" si="26"/>
        <v/>
      </c>
      <c r="AQ150" s="117"/>
      <c r="AR150" s="118"/>
      <c r="AS150" s="120"/>
      <c r="AT150" s="120"/>
      <c r="AY150" s="30" t="str">
        <f>IFERROR(INDEX('G-7 WaterC'' Data'!$AZ$3:$AZ$7,MATCH(N150,'G-7 WaterC'' Data'!$AY$3:$AY$7,0)),"")</f>
        <v/>
      </c>
    </row>
    <row r="151" spans="2:51" ht="15">
      <c r="B151" s="392" t="str">
        <f>'F-1 Off-Site WaterC'' Baseline'!AR149</f>
        <v/>
      </c>
      <c r="C151" s="382" t="str">
        <f>IF(B151="","",VLOOKUP($B151,'F-1 Off-Site WaterC'' Baseline'!$C$9:$R$257,2,FALSE))</f>
        <v/>
      </c>
      <c r="D151" s="382" t="str">
        <f>IF(C151="","",VLOOKUP($B151,'F-1 Off-Site WaterC'' Baseline'!$C$9:$R$257,3,FALSE))</f>
        <v/>
      </c>
      <c r="E151" s="382" t="str">
        <f>IF(D151="","",VLOOKUP($B151,'F-1 Off-Site WaterC'' Baseline'!$C$9:$R$257,4,FALSE))</f>
        <v/>
      </c>
      <c r="F151" s="382" t="str">
        <f>IF(E151="","",VLOOKUP($B151,'F-1 Off-Site WaterC'' Baseline'!$C$9:$R$257,5,FALSE))</f>
        <v/>
      </c>
      <c r="G151" s="382" t="str">
        <f>IF(F151="","",VLOOKUP($B151,'F-1 Off-Site WaterC'' Baseline'!$C$9:$R$257,6,FALSE))</f>
        <v/>
      </c>
      <c r="H151" s="382" t="str">
        <f>IF(G151="","",VLOOKUP($B151,'F-1 Off-Site WaterC'' Baseline'!$C$9:$R$257,7,FALSE))</f>
        <v/>
      </c>
      <c r="I151" s="382" t="str">
        <f>IF(H151="","",VLOOKUP($B151,'F-1 Off-Site WaterC'' Baseline'!$C$9:$R$257,8,FALSE))</f>
        <v/>
      </c>
      <c r="J151" s="382" t="str">
        <f>IF(I151="","",VLOOKUP($B151,'F-1 Off-Site WaterC'' Baseline'!$C$9:$R$257,9,FALSE))</f>
        <v/>
      </c>
      <c r="K151" s="382" t="str">
        <f>IF(J151="","",VLOOKUP($B151,'F-1 Off-Site WaterC'' Baseline'!$C$9:$R$257,10,FALSE))</f>
        <v/>
      </c>
      <c r="L151" s="382" t="str">
        <f>IF(B151="","",VLOOKUP($B151,'F-1 Off-Site WaterC'' Baseline'!$C$9:$R$257,15,FALSE))</f>
        <v/>
      </c>
      <c r="M151" s="386" t="str">
        <f>IF(L151="","",VLOOKUP($B151,'F-1 Off-Site WaterC'' Baseline'!$C$9:$R$257,16,FALSE))</f>
        <v/>
      </c>
      <c r="N151" s="316" t="str">
        <f t="shared" si="21"/>
        <v/>
      </c>
      <c r="O151" s="362" t="str">
        <f t="shared" si="22"/>
        <v/>
      </c>
      <c r="P151" s="363" t="str">
        <f>IF(C151="","",IF(AND(LEFT(C151,55)&lt;&gt;LEFT(N151,55),O151="High - High"),"Error - Not like for like ▲",IF(H151&gt;U151,"Error - Can not reduce condition ▲",IF(AND(F151=S151,H151=U151,AJ151='F-1 Off-Site WaterC'' Baseline'!N149,'F-1 Off-Site WaterC'' Baseline'!P149=AL151),"Error - No enhancement ▲",IF(AND(C151&lt;&gt;N151,F151&lt;S151),"Lower Distinctiveness Habitat"&amp;" - "&amp;T151,G151&amp;" - "&amp;T151)))))</f>
        <v/>
      </c>
      <c r="Q151" s="368" t="str">
        <f>IF(N151="","",VLOOKUP(B151,'F-1 Off-Site WaterC'' Baseline'!$C$10:$AE$257,22,FALSE))</f>
        <v/>
      </c>
      <c r="R151" s="362" t="str">
        <f>IF(N151="","",VLOOKUP(N151,'G-7 WaterC'' Data'!$B$2:$G$8,2,FALSE))</f>
        <v/>
      </c>
      <c r="S151" s="363" t="str">
        <f>IFERROR(VLOOKUP(R151,'G-7 WaterC'' Data'!$C$4:$D$8,2,FALSE),"")</f>
        <v/>
      </c>
      <c r="T151" s="114"/>
      <c r="U151" s="363" t="str">
        <f>IFERROR(INDEX('G-7 WaterC'' Data'!$H$4:$L$8,MATCH(N151,'G-7 WaterC'' Data'!$B$4:$B$8,0),MATCH(T151,'G-7 WaterC'' Data'!$H$3:$L$3,0)),"")</f>
        <v/>
      </c>
      <c r="V151" s="122"/>
      <c r="W151" s="382" t="str">
        <f>IF(V151="","",IF(VLOOKUP(V151,'G-7 WaterC'' Data'!$AK$4:$AM$6,2,FALSE)=0,"Spatial Data Missing ⚠",VLOOKUP(V151,'G-7 WaterC'' Data'!$AK$4:$AM$6,2,FALSE)))</f>
        <v/>
      </c>
      <c r="X151" s="386" t="str">
        <f>IF(V151="","",IF(VLOOKUP(V151,'G-7 WaterC'' Data'!$AK$4:$AM$6,3,FALSE)=0,"Spatial Data Missing ⚠",VLOOKUP(V151,'G-7 WaterC'' Data'!$AK$4:$AM$6,3,FALSE)))</f>
        <v/>
      </c>
      <c r="Y151" s="398" t="str">
        <f>IFERROR(IF(OR(LEFT(P151,5)="Error",LEFT(O151,5)="Error"),"Check Data ⚠",IF(F151&lt;S151,'G-7 WaterC'' Data'!$R$3,INDEX('G-7 WaterC'' Data'!$U$5:$Y$9,MATCH(G151,'G-7 WaterC'' Data'!$T$5:$T$9,0),MATCH(T151,'G-7 WaterC'' Data'!$U$4:$Y$4,0)))),"")</f>
        <v/>
      </c>
      <c r="Z151" s="165"/>
      <c r="AA151" s="165"/>
      <c r="AB151" s="395" t="str">
        <f t="shared" si="18"/>
        <v/>
      </c>
      <c r="AC151" s="383" t="str">
        <f t="shared" si="23"/>
        <v/>
      </c>
      <c r="AD151" s="422" t="str">
        <f>IFERROR(IF(AC151="Check Data ⚠","Check Data ⚠",VLOOKUP(AC151,'G-4 Temporal multipliers'!$A$4:$C$37,3,FALSE)),"")</f>
        <v/>
      </c>
      <c r="AE151" s="398" t="str">
        <f>IF(N151="","",VLOOKUP(N151,'G-7 WaterC'' Data'!$B$4:$G$8,5,FALSE))</f>
        <v/>
      </c>
      <c r="AF151" s="382" t="str">
        <f t="shared" si="19"/>
        <v/>
      </c>
      <c r="AG151" s="382" t="str">
        <f t="shared" si="24"/>
        <v/>
      </c>
      <c r="AH151" s="386" t="str">
        <f t="shared" si="20"/>
        <v/>
      </c>
      <c r="AI151" s="122"/>
      <c r="AJ151" s="363" t="str">
        <f>IF(AI151="","",IF(VLOOKUP(AI151,'G-7 WaterC'' Data'!$AA$4:$AB$7,2,FALSE)=0,"Spatial Data Missing ⚠",VLOOKUP(AI151,'G-7 WaterC'' Data'!$AA$4:$AB$7,2,FALSE)))</f>
        <v/>
      </c>
      <c r="AK151" s="123"/>
      <c r="AL151" s="397" t="str">
        <f>IF(AK151="","",IF(VLOOKUP(AK151,'G-7 WaterC'' Data'!$AD$4:$AE$14,2,FALSE)=0,"Spatial Data Missing ⚠",VLOOKUP(AK151,'G-7 WaterC'' Data'!$AD$4:$AE$14,2,FALSE)))</f>
        <v/>
      </c>
      <c r="AM151" s="122"/>
      <c r="AN151" s="363" t="str">
        <f>IF(AM151="","",IF(VLOOKUP(AM151,'G-7 WaterC'' Data'!$AO$4:$BO$7,2,FALSE)=0,"Spatial Data Missing ⚠",VLOOKUP(AM151,'G-7 WaterC'' Data'!$AO$4:$BO$7,2,FALSE)))</f>
        <v/>
      </c>
      <c r="AO151" s="405" t="str">
        <f t="shared" si="25"/>
        <v/>
      </c>
      <c r="AP151" s="405" t="str">
        <f t="shared" si="26"/>
        <v/>
      </c>
      <c r="AQ151" s="117"/>
      <c r="AR151" s="118"/>
      <c r="AS151" s="120"/>
      <c r="AT151" s="120"/>
      <c r="AY151" s="30" t="str">
        <f>IFERROR(INDEX('G-7 WaterC'' Data'!$AZ$3:$AZ$7,MATCH(N151,'G-7 WaterC'' Data'!$AY$3:$AY$7,0)),"")</f>
        <v/>
      </c>
    </row>
    <row r="152" spans="2:51" ht="15">
      <c r="B152" s="392" t="str">
        <f>'F-1 Off-Site WaterC'' Baseline'!AR150</f>
        <v/>
      </c>
      <c r="C152" s="382" t="str">
        <f>IF(B152="","",VLOOKUP($B152,'F-1 Off-Site WaterC'' Baseline'!$C$9:$R$257,2,FALSE))</f>
        <v/>
      </c>
      <c r="D152" s="382" t="str">
        <f>IF(C152="","",VLOOKUP($B152,'F-1 Off-Site WaterC'' Baseline'!$C$9:$R$257,3,FALSE))</f>
        <v/>
      </c>
      <c r="E152" s="382" t="str">
        <f>IF(D152="","",VLOOKUP($B152,'F-1 Off-Site WaterC'' Baseline'!$C$9:$R$257,4,FALSE))</f>
        <v/>
      </c>
      <c r="F152" s="382" t="str">
        <f>IF(E152="","",VLOOKUP($B152,'F-1 Off-Site WaterC'' Baseline'!$C$9:$R$257,5,FALSE))</f>
        <v/>
      </c>
      <c r="G152" s="382" t="str">
        <f>IF(F152="","",VLOOKUP($B152,'F-1 Off-Site WaterC'' Baseline'!$C$9:$R$257,6,FALSE))</f>
        <v/>
      </c>
      <c r="H152" s="382" t="str">
        <f>IF(G152="","",VLOOKUP($B152,'F-1 Off-Site WaterC'' Baseline'!$C$9:$R$257,7,FALSE))</f>
        <v/>
      </c>
      <c r="I152" s="382" t="str">
        <f>IF(H152="","",VLOOKUP($B152,'F-1 Off-Site WaterC'' Baseline'!$C$9:$R$257,8,FALSE))</f>
        <v/>
      </c>
      <c r="J152" s="382" t="str">
        <f>IF(I152="","",VLOOKUP($B152,'F-1 Off-Site WaterC'' Baseline'!$C$9:$R$257,9,FALSE))</f>
        <v/>
      </c>
      <c r="K152" s="382" t="str">
        <f>IF(J152="","",VLOOKUP($B152,'F-1 Off-Site WaterC'' Baseline'!$C$9:$R$257,10,FALSE))</f>
        <v/>
      </c>
      <c r="L152" s="382" t="str">
        <f>IF(B152="","",VLOOKUP($B152,'F-1 Off-Site WaterC'' Baseline'!$C$9:$R$257,15,FALSE))</f>
        <v/>
      </c>
      <c r="M152" s="386" t="str">
        <f>IF(L152="","",VLOOKUP($B152,'F-1 Off-Site WaterC'' Baseline'!$C$9:$R$257,16,FALSE))</f>
        <v/>
      </c>
      <c r="N152" s="316" t="str">
        <f t="shared" si="21"/>
        <v/>
      </c>
      <c r="O152" s="362" t="str">
        <f t="shared" si="22"/>
        <v/>
      </c>
      <c r="P152" s="363" t="str">
        <f>IF(C152="","",IF(AND(LEFT(C152,55)&lt;&gt;LEFT(N152,55),O152="High - High"),"Error - Not like for like ▲",IF(H152&gt;U152,"Error - Can not reduce condition ▲",IF(AND(F152=S152,H152=U152,AJ152='F-1 Off-Site WaterC'' Baseline'!N150,'F-1 Off-Site WaterC'' Baseline'!P150=AL152),"Error - No enhancement ▲",IF(AND(C152&lt;&gt;N152,F152&lt;S152),"Lower Distinctiveness Habitat"&amp;" - "&amp;T152,G152&amp;" - "&amp;T152)))))</f>
        <v/>
      </c>
      <c r="Q152" s="368" t="str">
        <f>IF(N152="","",VLOOKUP(B152,'F-1 Off-Site WaterC'' Baseline'!$C$10:$AE$257,22,FALSE))</f>
        <v/>
      </c>
      <c r="R152" s="362" t="str">
        <f>IF(N152="","",VLOOKUP(N152,'G-7 WaterC'' Data'!$B$2:$G$8,2,FALSE))</f>
        <v/>
      </c>
      <c r="S152" s="363" t="str">
        <f>IFERROR(VLOOKUP(R152,'G-7 WaterC'' Data'!$C$4:$D$8,2,FALSE),"")</f>
        <v/>
      </c>
      <c r="T152" s="114"/>
      <c r="U152" s="363" t="str">
        <f>IFERROR(INDEX('G-7 WaterC'' Data'!$H$4:$L$8,MATCH(N152,'G-7 WaterC'' Data'!$B$4:$B$8,0),MATCH(T152,'G-7 WaterC'' Data'!$H$3:$L$3,0)),"")</f>
        <v/>
      </c>
      <c r="V152" s="122"/>
      <c r="W152" s="382" t="str">
        <f>IF(V152="","",IF(VLOOKUP(V152,'G-7 WaterC'' Data'!$AK$4:$AM$6,2,FALSE)=0,"Spatial Data Missing ⚠",VLOOKUP(V152,'G-7 WaterC'' Data'!$AK$4:$AM$6,2,FALSE)))</f>
        <v/>
      </c>
      <c r="X152" s="386" t="str">
        <f>IF(V152="","",IF(VLOOKUP(V152,'G-7 WaterC'' Data'!$AK$4:$AM$6,3,FALSE)=0,"Spatial Data Missing ⚠",VLOOKUP(V152,'G-7 WaterC'' Data'!$AK$4:$AM$6,3,FALSE)))</f>
        <v/>
      </c>
      <c r="Y152" s="398" t="str">
        <f>IFERROR(IF(OR(LEFT(P152,5)="Error",LEFT(O152,5)="Error"),"Check Data ⚠",IF(F152&lt;S152,'G-7 WaterC'' Data'!$R$3,INDEX('G-7 WaterC'' Data'!$U$5:$Y$9,MATCH(G152,'G-7 WaterC'' Data'!$T$5:$T$9,0),MATCH(T152,'G-7 WaterC'' Data'!$U$4:$Y$4,0)))),"")</f>
        <v/>
      </c>
      <c r="Z152" s="165"/>
      <c r="AA152" s="165"/>
      <c r="AB152" s="395" t="str">
        <f t="shared" si="18"/>
        <v/>
      </c>
      <c r="AC152" s="383" t="str">
        <f t="shared" si="23"/>
        <v/>
      </c>
      <c r="AD152" s="422" t="str">
        <f>IFERROR(IF(AC152="Check Data ⚠","Check Data ⚠",VLOOKUP(AC152,'G-4 Temporal multipliers'!$A$4:$C$37,3,FALSE)),"")</f>
        <v/>
      </c>
      <c r="AE152" s="398" t="str">
        <f>IF(N152="","",VLOOKUP(N152,'G-7 WaterC'' Data'!$B$4:$G$8,5,FALSE))</f>
        <v/>
      </c>
      <c r="AF152" s="382" t="str">
        <f t="shared" si="19"/>
        <v/>
      </c>
      <c r="AG152" s="382" t="str">
        <f t="shared" si="24"/>
        <v/>
      </c>
      <c r="AH152" s="386" t="str">
        <f t="shared" si="20"/>
        <v/>
      </c>
      <c r="AI152" s="122"/>
      <c r="AJ152" s="363" t="str">
        <f>IF(AI152="","",IF(VLOOKUP(AI152,'G-7 WaterC'' Data'!$AA$4:$AB$7,2,FALSE)=0,"Spatial Data Missing ⚠",VLOOKUP(AI152,'G-7 WaterC'' Data'!$AA$4:$AB$7,2,FALSE)))</f>
        <v/>
      </c>
      <c r="AK152" s="123"/>
      <c r="AL152" s="397" t="str">
        <f>IF(AK152="","",IF(VLOOKUP(AK152,'G-7 WaterC'' Data'!$AD$4:$AE$14,2,FALSE)=0,"Spatial Data Missing ⚠",VLOOKUP(AK152,'G-7 WaterC'' Data'!$AD$4:$AE$14,2,FALSE)))</f>
        <v/>
      </c>
      <c r="AM152" s="122"/>
      <c r="AN152" s="363" t="str">
        <f>IF(AM152="","",IF(VLOOKUP(AM152,'G-7 WaterC'' Data'!$AO$4:$BO$7,2,FALSE)=0,"Spatial Data Missing ⚠",VLOOKUP(AM152,'G-7 WaterC'' Data'!$AO$4:$BO$7,2,FALSE)))</f>
        <v/>
      </c>
      <c r="AO152" s="405" t="str">
        <f t="shared" si="25"/>
        <v/>
      </c>
      <c r="AP152" s="405" t="str">
        <f t="shared" si="26"/>
        <v/>
      </c>
      <c r="AQ152" s="117"/>
      <c r="AR152" s="118"/>
      <c r="AS152" s="120"/>
      <c r="AT152" s="120"/>
      <c r="AY152" s="30" t="str">
        <f>IFERROR(INDEX('G-7 WaterC'' Data'!$AZ$3:$AZ$7,MATCH(N152,'G-7 WaterC'' Data'!$AY$3:$AY$7,0)),"")</f>
        <v/>
      </c>
    </row>
    <row r="153" spans="2:51" ht="15">
      <c r="B153" s="392" t="str">
        <f>'F-1 Off-Site WaterC'' Baseline'!AR151</f>
        <v/>
      </c>
      <c r="C153" s="382" t="str">
        <f>IF(B153="","",VLOOKUP($B153,'F-1 Off-Site WaterC'' Baseline'!$C$9:$R$257,2,FALSE))</f>
        <v/>
      </c>
      <c r="D153" s="382" t="str">
        <f>IF(C153="","",VLOOKUP($B153,'F-1 Off-Site WaterC'' Baseline'!$C$9:$R$257,3,FALSE))</f>
        <v/>
      </c>
      <c r="E153" s="382" t="str">
        <f>IF(D153="","",VLOOKUP($B153,'F-1 Off-Site WaterC'' Baseline'!$C$9:$R$257,4,FALSE))</f>
        <v/>
      </c>
      <c r="F153" s="382" t="str">
        <f>IF(E153="","",VLOOKUP($B153,'F-1 Off-Site WaterC'' Baseline'!$C$9:$R$257,5,FALSE))</f>
        <v/>
      </c>
      <c r="G153" s="382" t="str">
        <f>IF(F153="","",VLOOKUP($B153,'F-1 Off-Site WaterC'' Baseline'!$C$9:$R$257,6,FALSE))</f>
        <v/>
      </c>
      <c r="H153" s="382" t="str">
        <f>IF(G153="","",VLOOKUP($B153,'F-1 Off-Site WaterC'' Baseline'!$C$9:$R$257,7,FALSE))</f>
        <v/>
      </c>
      <c r="I153" s="382" t="str">
        <f>IF(H153="","",VLOOKUP($B153,'F-1 Off-Site WaterC'' Baseline'!$C$9:$R$257,8,FALSE))</f>
        <v/>
      </c>
      <c r="J153" s="382" t="str">
        <f>IF(I153="","",VLOOKUP($B153,'F-1 Off-Site WaterC'' Baseline'!$C$9:$R$257,9,FALSE))</f>
        <v/>
      </c>
      <c r="K153" s="382" t="str">
        <f>IF(J153="","",VLOOKUP($B153,'F-1 Off-Site WaterC'' Baseline'!$C$9:$R$257,10,FALSE))</f>
        <v/>
      </c>
      <c r="L153" s="382" t="str">
        <f>IF(B153="","",VLOOKUP($B153,'F-1 Off-Site WaterC'' Baseline'!$C$9:$R$257,15,FALSE))</f>
        <v/>
      </c>
      <c r="M153" s="386" t="str">
        <f>IF(L153="","",VLOOKUP($B153,'F-1 Off-Site WaterC'' Baseline'!$C$9:$R$257,16,FALSE))</f>
        <v/>
      </c>
      <c r="N153" s="316" t="str">
        <f t="shared" si="21"/>
        <v/>
      </c>
      <c r="O153" s="362" t="str">
        <f t="shared" si="22"/>
        <v/>
      </c>
      <c r="P153" s="363" t="str">
        <f>IF(C153="","",IF(AND(LEFT(C153,55)&lt;&gt;LEFT(N153,55),O153="High - High"),"Error - Not like for like ▲",IF(H153&gt;U153,"Error - Can not reduce condition ▲",IF(AND(F153=S153,H153=U153,AJ153='F-1 Off-Site WaterC'' Baseline'!N151,'F-1 Off-Site WaterC'' Baseline'!P151=AL153),"Error - No enhancement ▲",IF(AND(C153&lt;&gt;N153,F153&lt;S153),"Lower Distinctiveness Habitat"&amp;" - "&amp;T153,G153&amp;" - "&amp;T153)))))</f>
        <v/>
      </c>
      <c r="Q153" s="368" t="str">
        <f>IF(N153="","",VLOOKUP(B153,'F-1 Off-Site WaterC'' Baseline'!$C$10:$AE$257,22,FALSE))</f>
        <v/>
      </c>
      <c r="R153" s="362" t="str">
        <f>IF(N153="","",VLOOKUP(N153,'G-7 WaterC'' Data'!$B$2:$G$8,2,FALSE))</f>
        <v/>
      </c>
      <c r="S153" s="363" t="str">
        <f>IFERROR(VLOOKUP(R153,'G-7 WaterC'' Data'!$C$4:$D$8,2,FALSE),"")</f>
        <v/>
      </c>
      <c r="T153" s="114"/>
      <c r="U153" s="363" t="str">
        <f>IFERROR(INDEX('G-7 WaterC'' Data'!$H$4:$L$8,MATCH(N153,'G-7 WaterC'' Data'!$B$4:$B$8,0),MATCH(T153,'G-7 WaterC'' Data'!$H$3:$L$3,0)),"")</f>
        <v/>
      </c>
      <c r="V153" s="122"/>
      <c r="W153" s="382" t="str">
        <f>IF(V153="","",IF(VLOOKUP(V153,'G-7 WaterC'' Data'!$AK$4:$AM$6,2,FALSE)=0,"Spatial Data Missing ⚠",VLOOKUP(V153,'G-7 WaterC'' Data'!$AK$4:$AM$6,2,FALSE)))</f>
        <v/>
      </c>
      <c r="X153" s="386" t="str">
        <f>IF(V153="","",IF(VLOOKUP(V153,'G-7 WaterC'' Data'!$AK$4:$AM$6,3,FALSE)=0,"Spatial Data Missing ⚠",VLOOKUP(V153,'G-7 WaterC'' Data'!$AK$4:$AM$6,3,FALSE)))</f>
        <v/>
      </c>
      <c r="Y153" s="398" t="str">
        <f>IFERROR(IF(OR(LEFT(P153,5)="Error",LEFT(O153,5)="Error"),"Check Data ⚠",IF(F153&lt;S153,'G-7 WaterC'' Data'!$R$3,INDEX('G-7 WaterC'' Data'!$U$5:$Y$9,MATCH(G153,'G-7 WaterC'' Data'!$T$5:$T$9,0),MATCH(T153,'G-7 WaterC'' Data'!$U$4:$Y$4,0)))),"")</f>
        <v/>
      </c>
      <c r="Z153" s="165"/>
      <c r="AA153" s="165"/>
      <c r="AB153" s="395" t="str">
        <f t="shared" si="18"/>
        <v/>
      </c>
      <c r="AC153" s="383" t="str">
        <f t="shared" si="23"/>
        <v/>
      </c>
      <c r="AD153" s="422" t="str">
        <f>IFERROR(IF(AC153="Check Data ⚠","Check Data ⚠",VLOOKUP(AC153,'G-4 Temporal multipliers'!$A$4:$C$37,3,FALSE)),"")</f>
        <v/>
      </c>
      <c r="AE153" s="398" t="str">
        <f>IF(N153="","",VLOOKUP(N153,'G-7 WaterC'' Data'!$B$4:$G$8,5,FALSE))</f>
        <v/>
      </c>
      <c r="AF153" s="382" t="str">
        <f t="shared" si="19"/>
        <v/>
      </c>
      <c r="AG153" s="382" t="str">
        <f t="shared" si="24"/>
        <v/>
      </c>
      <c r="AH153" s="386" t="str">
        <f t="shared" si="20"/>
        <v/>
      </c>
      <c r="AI153" s="122"/>
      <c r="AJ153" s="363" t="str">
        <f>IF(AI153="","",IF(VLOOKUP(AI153,'G-7 WaterC'' Data'!$AA$4:$AB$7,2,FALSE)=0,"Spatial Data Missing ⚠",VLOOKUP(AI153,'G-7 WaterC'' Data'!$AA$4:$AB$7,2,FALSE)))</f>
        <v/>
      </c>
      <c r="AK153" s="123"/>
      <c r="AL153" s="397" t="str">
        <f>IF(AK153="","",IF(VLOOKUP(AK153,'G-7 WaterC'' Data'!$AD$4:$AE$14,2,FALSE)=0,"Spatial Data Missing ⚠",VLOOKUP(AK153,'G-7 WaterC'' Data'!$AD$4:$AE$14,2,FALSE)))</f>
        <v/>
      </c>
      <c r="AM153" s="122"/>
      <c r="AN153" s="363" t="str">
        <f>IF(AM153="","",IF(VLOOKUP(AM153,'G-7 WaterC'' Data'!$AO$4:$BO$7,2,FALSE)=0,"Spatial Data Missing ⚠",VLOOKUP(AM153,'G-7 WaterC'' Data'!$AO$4:$BO$7,2,FALSE)))</f>
        <v/>
      </c>
      <c r="AO153" s="405" t="str">
        <f t="shared" si="25"/>
        <v/>
      </c>
      <c r="AP153" s="405" t="str">
        <f t="shared" si="26"/>
        <v/>
      </c>
      <c r="AQ153" s="117"/>
      <c r="AR153" s="118"/>
      <c r="AS153" s="120"/>
      <c r="AT153" s="120"/>
      <c r="AY153" s="30" t="str">
        <f>IFERROR(INDEX('G-7 WaterC'' Data'!$AZ$3:$AZ$7,MATCH(N153,'G-7 WaterC'' Data'!$AY$3:$AY$7,0)),"")</f>
        <v/>
      </c>
    </row>
    <row r="154" spans="2:51" ht="15">
      <c r="B154" s="392" t="str">
        <f>'F-1 Off-Site WaterC'' Baseline'!AR152</f>
        <v/>
      </c>
      <c r="C154" s="382" t="str">
        <f>IF(B154="","",VLOOKUP($B154,'F-1 Off-Site WaterC'' Baseline'!$C$9:$R$257,2,FALSE))</f>
        <v/>
      </c>
      <c r="D154" s="382" t="str">
        <f>IF(C154="","",VLOOKUP($B154,'F-1 Off-Site WaterC'' Baseline'!$C$9:$R$257,3,FALSE))</f>
        <v/>
      </c>
      <c r="E154" s="382" t="str">
        <f>IF(D154="","",VLOOKUP($B154,'F-1 Off-Site WaterC'' Baseline'!$C$9:$R$257,4,FALSE))</f>
        <v/>
      </c>
      <c r="F154" s="382" t="str">
        <f>IF(E154="","",VLOOKUP($B154,'F-1 Off-Site WaterC'' Baseline'!$C$9:$R$257,5,FALSE))</f>
        <v/>
      </c>
      <c r="G154" s="382" t="str">
        <f>IF(F154="","",VLOOKUP($B154,'F-1 Off-Site WaterC'' Baseline'!$C$9:$R$257,6,FALSE))</f>
        <v/>
      </c>
      <c r="H154" s="382" t="str">
        <f>IF(G154="","",VLOOKUP($B154,'F-1 Off-Site WaterC'' Baseline'!$C$9:$R$257,7,FALSE))</f>
        <v/>
      </c>
      <c r="I154" s="382" t="str">
        <f>IF(H154="","",VLOOKUP($B154,'F-1 Off-Site WaterC'' Baseline'!$C$9:$R$257,8,FALSE))</f>
        <v/>
      </c>
      <c r="J154" s="382" t="str">
        <f>IF(I154="","",VLOOKUP($B154,'F-1 Off-Site WaterC'' Baseline'!$C$9:$R$257,9,FALSE))</f>
        <v/>
      </c>
      <c r="K154" s="382" t="str">
        <f>IF(J154="","",VLOOKUP($B154,'F-1 Off-Site WaterC'' Baseline'!$C$9:$R$257,10,FALSE))</f>
        <v/>
      </c>
      <c r="L154" s="382" t="str">
        <f>IF(B154="","",VLOOKUP($B154,'F-1 Off-Site WaterC'' Baseline'!$C$9:$R$257,15,FALSE))</f>
        <v/>
      </c>
      <c r="M154" s="386" t="str">
        <f>IF(L154="","",VLOOKUP($B154,'F-1 Off-Site WaterC'' Baseline'!$C$9:$R$257,16,FALSE))</f>
        <v/>
      </c>
      <c r="N154" s="316" t="str">
        <f t="shared" si="21"/>
        <v/>
      </c>
      <c r="O154" s="362" t="str">
        <f t="shared" si="22"/>
        <v/>
      </c>
      <c r="P154" s="363" t="str">
        <f>IF(C154="","",IF(AND(LEFT(C154,55)&lt;&gt;LEFT(N154,55),O154="High - High"),"Error - Not like for like ▲",IF(H154&gt;U154,"Error - Can not reduce condition ▲",IF(AND(F154=S154,H154=U154,AJ154='F-1 Off-Site WaterC'' Baseline'!N152,'F-1 Off-Site WaterC'' Baseline'!P152=AL154),"Error - No enhancement ▲",IF(AND(C154&lt;&gt;N154,F154&lt;S154),"Lower Distinctiveness Habitat"&amp;" - "&amp;T154,G154&amp;" - "&amp;T154)))))</f>
        <v/>
      </c>
      <c r="Q154" s="368" t="str">
        <f>IF(N154="","",VLOOKUP(B154,'F-1 Off-Site WaterC'' Baseline'!$C$10:$AE$257,22,FALSE))</f>
        <v/>
      </c>
      <c r="R154" s="362" t="str">
        <f>IF(N154="","",VLOOKUP(N154,'G-7 WaterC'' Data'!$B$2:$G$8,2,FALSE))</f>
        <v/>
      </c>
      <c r="S154" s="363" t="str">
        <f>IFERROR(VLOOKUP(R154,'G-7 WaterC'' Data'!$C$4:$D$8,2,FALSE),"")</f>
        <v/>
      </c>
      <c r="T154" s="114"/>
      <c r="U154" s="363" t="str">
        <f>IFERROR(INDEX('G-7 WaterC'' Data'!$H$4:$L$8,MATCH(N154,'G-7 WaterC'' Data'!$B$4:$B$8,0),MATCH(T154,'G-7 WaterC'' Data'!$H$3:$L$3,0)),"")</f>
        <v/>
      </c>
      <c r="V154" s="122"/>
      <c r="W154" s="382" t="str">
        <f>IF(V154="","",IF(VLOOKUP(V154,'G-7 WaterC'' Data'!$AK$4:$AM$6,2,FALSE)=0,"Spatial Data Missing ⚠",VLOOKUP(V154,'G-7 WaterC'' Data'!$AK$4:$AM$6,2,FALSE)))</f>
        <v/>
      </c>
      <c r="X154" s="386" t="str">
        <f>IF(V154="","",IF(VLOOKUP(V154,'G-7 WaterC'' Data'!$AK$4:$AM$6,3,FALSE)=0,"Spatial Data Missing ⚠",VLOOKUP(V154,'G-7 WaterC'' Data'!$AK$4:$AM$6,3,FALSE)))</f>
        <v/>
      </c>
      <c r="Y154" s="398" t="str">
        <f>IFERROR(IF(OR(LEFT(P154,5)="Error",LEFT(O154,5)="Error"),"Check Data ⚠",IF(F154&lt;S154,'G-7 WaterC'' Data'!$R$3,INDEX('G-7 WaterC'' Data'!$U$5:$Y$9,MATCH(G154,'G-7 WaterC'' Data'!$T$5:$T$9,0),MATCH(T154,'G-7 WaterC'' Data'!$U$4:$Y$4,0)))),"")</f>
        <v/>
      </c>
      <c r="Z154" s="165"/>
      <c r="AA154" s="165"/>
      <c r="AB154" s="395" t="str">
        <f t="shared" si="18"/>
        <v/>
      </c>
      <c r="AC154" s="383" t="str">
        <f t="shared" si="23"/>
        <v/>
      </c>
      <c r="AD154" s="422" t="str">
        <f>IFERROR(IF(AC154="Check Data ⚠","Check Data ⚠",VLOOKUP(AC154,'G-4 Temporal multipliers'!$A$4:$C$37,3,FALSE)),"")</f>
        <v/>
      </c>
      <c r="AE154" s="398" t="str">
        <f>IF(N154="","",VLOOKUP(N154,'G-7 WaterC'' Data'!$B$4:$G$8,5,FALSE))</f>
        <v/>
      </c>
      <c r="AF154" s="382" t="str">
        <f t="shared" si="19"/>
        <v/>
      </c>
      <c r="AG154" s="382" t="str">
        <f t="shared" si="24"/>
        <v/>
      </c>
      <c r="AH154" s="386" t="str">
        <f t="shared" si="20"/>
        <v/>
      </c>
      <c r="AI154" s="122"/>
      <c r="AJ154" s="363" t="str">
        <f>IF(AI154="","",IF(VLOOKUP(AI154,'G-7 WaterC'' Data'!$AA$4:$AB$7,2,FALSE)=0,"Spatial Data Missing ⚠",VLOOKUP(AI154,'G-7 WaterC'' Data'!$AA$4:$AB$7,2,FALSE)))</f>
        <v/>
      </c>
      <c r="AK154" s="123"/>
      <c r="AL154" s="397" t="str">
        <f>IF(AK154="","",IF(VLOOKUP(AK154,'G-7 WaterC'' Data'!$AD$4:$AE$14,2,FALSE)=0,"Spatial Data Missing ⚠",VLOOKUP(AK154,'G-7 WaterC'' Data'!$AD$4:$AE$14,2,FALSE)))</f>
        <v/>
      </c>
      <c r="AM154" s="122"/>
      <c r="AN154" s="363" t="str">
        <f>IF(AM154="","",IF(VLOOKUP(AM154,'G-7 WaterC'' Data'!$AO$4:$BO$7,2,FALSE)=0,"Spatial Data Missing ⚠",VLOOKUP(AM154,'G-7 WaterC'' Data'!$AO$4:$BO$7,2,FALSE)))</f>
        <v/>
      </c>
      <c r="AO154" s="405" t="str">
        <f t="shared" si="25"/>
        <v/>
      </c>
      <c r="AP154" s="405" t="str">
        <f t="shared" si="26"/>
        <v/>
      </c>
      <c r="AQ154" s="117"/>
      <c r="AR154" s="118"/>
      <c r="AS154" s="120"/>
      <c r="AT154" s="120"/>
      <c r="AY154" s="30" t="str">
        <f>IFERROR(INDEX('G-7 WaterC'' Data'!$AZ$3:$AZ$7,MATCH(N154,'G-7 WaterC'' Data'!$AY$3:$AY$7,0)),"")</f>
        <v/>
      </c>
    </row>
    <row r="155" spans="2:51" ht="15">
      <c r="B155" s="392" t="str">
        <f>'F-1 Off-Site WaterC'' Baseline'!AR153</f>
        <v/>
      </c>
      <c r="C155" s="382" t="str">
        <f>IF(B155="","",VLOOKUP($B155,'F-1 Off-Site WaterC'' Baseline'!$C$9:$R$257,2,FALSE))</f>
        <v/>
      </c>
      <c r="D155" s="382" t="str">
        <f>IF(C155="","",VLOOKUP($B155,'F-1 Off-Site WaterC'' Baseline'!$C$9:$R$257,3,FALSE))</f>
        <v/>
      </c>
      <c r="E155" s="382" t="str">
        <f>IF(D155="","",VLOOKUP($B155,'F-1 Off-Site WaterC'' Baseline'!$C$9:$R$257,4,FALSE))</f>
        <v/>
      </c>
      <c r="F155" s="382" t="str">
        <f>IF(E155="","",VLOOKUP($B155,'F-1 Off-Site WaterC'' Baseline'!$C$9:$R$257,5,FALSE))</f>
        <v/>
      </c>
      <c r="G155" s="382" t="str">
        <f>IF(F155="","",VLOOKUP($B155,'F-1 Off-Site WaterC'' Baseline'!$C$9:$R$257,6,FALSE))</f>
        <v/>
      </c>
      <c r="H155" s="382" t="str">
        <f>IF(G155="","",VLOOKUP($B155,'F-1 Off-Site WaterC'' Baseline'!$C$9:$R$257,7,FALSE))</f>
        <v/>
      </c>
      <c r="I155" s="382" t="str">
        <f>IF(H155="","",VLOOKUP($B155,'F-1 Off-Site WaterC'' Baseline'!$C$9:$R$257,8,FALSE))</f>
        <v/>
      </c>
      <c r="J155" s="382" t="str">
        <f>IF(I155="","",VLOOKUP($B155,'F-1 Off-Site WaterC'' Baseline'!$C$9:$R$257,9,FALSE))</f>
        <v/>
      </c>
      <c r="K155" s="382" t="str">
        <f>IF(J155="","",VLOOKUP($B155,'F-1 Off-Site WaterC'' Baseline'!$C$9:$R$257,10,FALSE))</f>
        <v/>
      </c>
      <c r="L155" s="382" t="str">
        <f>IF(B155="","",VLOOKUP($B155,'F-1 Off-Site WaterC'' Baseline'!$C$9:$R$257,15,FALSE))</f>
        <v/>
      </c>
      <c r="M155" s="386" t="str">
        <f>IF(L155="","",VLOOKUP($B155,'F-1 Off-Site WaterC'' Baseline'!$C$9:$R$257,16,FALSE))</f>
        <v/>
      </c>
      <c r="N155" s="316" t="str">
        <f t="shared" si="21"/>
        <v/>
      </c>
      <c r="O155" s="362" t="str">
        <f t="shared" si="22"/>
        <v/>
      </c>
      <c r="P155" s="363" t="str">
        <f>IF(C155="","",IF(AND(LEFT(C155,55)&lt;&gt;LEFT(N155,55),O155="High - High"),"Error - Not like for like ▲",IF(H155&gt;U155,"Error - Can not reduce condition ▲",IF(AND(F155=S155,H155=U155,AJ155='F-1 Off-Site WaterC'' Baseline'!N153,'F-1 Off-Site WaterC'' Baseline'!P153=AL155),"Error - No enhancement ▲",IF(AND(C155&lt;&gt;N155,F155&lt;S155),"Lower Distinctiveness Habitat"&amp;" - "&amp;T155,G155&amp;" - "&amp;T155)))))</f>
        <v/>
      </c>
      <c r="Q155" s="368" t="str">
        <f>IF(N155="","",VLOOKUP(B155,'F-1 Off-Site WaterC'' Baseline'!$C$10:$AE$257,22,FALSE))</f>
        <v/>
      </c>
      <c r="R155" s="362" t="str">
        <f>IF(N155="","",VLOOKUP(N155,'G-7 WaterC'' Data'!$B$2:$G$8,2,FALSE))</f>
        <v/>
      </c>
      <c r="S155" s="363" t="str">
        <f>IFERROR(VLOOKUP(R155,'G-7 WaterC'' Data'!$C$4:$D$8,2,FALSE),"")</f>
        <v/>
      </c>
      <c r="T155" s="114"/>
      <c r="U155" s="363" t="str">
        <f>IFERROR(INDEX('G-7 WaterC'' Data'!$H$4:$L$8,MATCH(N155,'G-7 WaterC'' Data'!$B$4:$B$8,0),MATCH(T155,'G-7 WaterC'' Data'!$H$3:$L$3,0)),"")</f>
        <v/>
      </c>
      <c r="V155" s="122"/>
      <c r="W155" s="382" t="str">
        <f>IF(V155="","",IF(VLOOKUP(V155,'G-7 WaterC'' Data'!$AK$4:$AM$6,2,FALSE)=0,"Spatial Data Missing ⚠",VLOOKUP(V155,'G-7 WaterC'' Data'!$AK$4:$AM$6,2,FALSE)))</f>
        <v/>
      </c>
      <c r="X155" s="386" t="str">
        <f>IF(V155="","",IF(VLOOKUP(V155,'G-7 WaterC'' Data'!$AK$4:$AM$6,3,FALSE)=0,"Spatial Data Missing ⚠",VLOOKUP(V155,'G-7 WaterC'' Data'!$AK$4:$AM$6,3,FALSE)))</f>
        <v/>
      </c>
      <c r="Y155" s="398" t="str">
        <f>IFERROR(IF(OR(LEFT(P155,5)="Error",LEFT(O155,5)="Error"),"Check Data ⚠",IF(F155&lt;S155,'G-7 WaterC'' Data'!$R$3,INDEX('G-7 WaterC'' Data'!$U$5:$Y$9,MATCH(G155,'G-7 WaterC'' Data'!$T$5:$T$9,0),MATCH(T155,'G-7 WaterC'' Data'!$U$4:$Y$4,0)))),"")</f>
        <v/>
      </c>
      <c r="Z155" s="165"/>
      <c r="AA155" s="165"/>
      <c r="AB155" s="395" t="str">
        <f t="shared" si="18"/>
        <v/>
      </c>
      <c r="AC155" s="383" t="str">
        <f t="shared" si="23"/>
        <v/>
      </c>
      <c r="AD155" s="422" t="str">
        <f>IFERROR(IF(AC155="Check Data ⚠","Check Data ⚠",VLOOKUP(AC155,'G-4 Temporal multipliers'!$A$4:$C$37,3,FALSE)),"")</f>
        <v/>
      </c>
      <c r="AE155" s="398" t="str">
        <f>IF(N155="","",VLOOKUP(N155,'G-7 WaterC'' Data'!$B$4:$G$8,5,FALSE))</f>
        <v/>
      </c>
      <c r="AF155" s="382" t="str">
        <f t="shared" si="19"/>
        <v/>
      </c>
      <c r="AG155" s="382" t="str">
        <f t="shared" si="24"/>
        <v/>
      </c>
      <c r="AH155" s="386" t="str">
        <f t="shared" si="20"/>
        <v/>
      </c>
      <c r="AI155" s="122"/>
      <c r="AJ155" s="363" t="str">
        <f>IF(AI155="","",IF(VLOOKUP(AI155,'G-7 WaterC'' Data'!$AA$4:$AB$7,2,FALSE)=0,"Spatial Data Missing ⚠",VLOOKUP(AI155,'G-7 WaterC'' Data'!$AA$4:$AB$7,2,FALSE)))</f>
        <v/>
      </c>
      <c r="AK155" s="123"/>
      <c r="AL155" s="397" t="str">
        <f>IF(AK155="","",IF(VLOOKUP(AK155,'G-7 WaterC'' Data'!$AD$4:$AE$14,2,FALSE)=0,"Spatial Data Missing ⚠",VLOOKUP(AK155,'G-7 WaterC'' Data'!$AD$4:$AE$14,2,FALSE)))</f>
        <v/>
      </c>
      <c r="AM155" s="122"/>
      <c r="AN155" s="363" t="str">
        <f>IF(AM155="","",IF(VLOOKUP(AM155,'G-7 WaterC'' Data'!$AO$4:$BO$7,2,FALSE)=0,"Spatial Data Missing ⚠",VLOOKUP(AM155,'G-7 WaterC'' Data'!$AO$4:$BO$7,2,FALSE)))</f>
        <v/>
      </c>
      <c r="AO155" s="405" t="str">
        <f t="shared" si="25"/>
        <v/>
      </c>
      <c r="AP155" s="405" t="str">
        <f t="shared" si="26"/>
        <v/>
      </c>
      <c r="AQ155" s="117"/>
      <c r="AR155" s="118"/>
      <c r="AS155" s="120"/>
      <c r="AT155" s="120"/>
      <c r="AY155" s="30" t="str">
        <f>IFERROR(INDEX('G-7 WaterC'' Data'!$AZ$3:$AZ$7,MATCH(N155,'G-7 WaterC'' Data'!$AY$3:$AY$7,0)),"")</f>
        <v/>
      </c>
    </row>
    <row r="156" spans="2:51" ht="15">
      <c r="B156" s="392" t="str">
        <f>'F-1 Off-Site WaterC'' Baseline'!AR154</f>
        <v/>
      </c>
      <c r="C156" s="382" t="str">
        <f>IF(B156="","",VLOOKUP($B156,'F-1 Off-Site WaterC'' Baseline'!$C$9:$R$257,2,FALSE))</f>
        <v/>
      </c>
      <c r="D156" s="382" t="str">
        <f>IF(C156="","",VLOOKUP($B156,'F-1 Off-Site WaterC'' Baseline'!$C$9:$R$257,3,FALSE))</f>
        <v/>
      </c>
      <c r="E156" s="382" t="str">
        <f>IF(D156="","",VLOOKUP($B156,'F-1 Off-Site WaterC'' Baseline'!$C$9:$R$257,4,FALSE))</f>
        <v/>
      </c>
      <c r="F156" s="382" t="str">
        <f>IF(E156="","",VLOOKUP($B156,'F-1 Off-Site WaterC'' Baseline'!$C$9:$R$257,5,FALSE))</f>
        <v/>
      </c>
      <c r="G156" s="382" t="str">
        <f>IF(F156="","",VLOOKUP($B156,'F-1 Off-Site WaterC'' Baseline'!$C$9:$R$257,6,FALSE))</f>
        <v/>
      </c>
      <c r="H156" s="382" t="str">
        <f>IF(G156="","",VLOOKUP($B156,'F-1 Off-Site WaterC'' Baseline'!$C$9:$R$257,7,FALSE))</f>
        <v/>
      </c>
      <c r="I156" s="382" t="str">
        <f>IF(H156="","",VLOOKUP($B156,'F-1 Off-Site WaterC'' Baseline'!$C$9:$R$257,8,FALSE))</f>
        <v/>
      </c>
      <c r="J156" s="382" t="str">
        <f>IF(I156="","",VLOOKUP($B156,'F-1 Off-Site WaterC'' Baseline'!$C$9:$R$257,9,FALSE))</f>
        <v/>
      </c>
      <c r="K156" s="382" t="str">
        <f>IF(J156="","",VLOOKUP($B156,'F-1 Off-Site WaterC'' Baseline'!$C$9:$R$257,10,FALSE))</f>
        <v/>
      </c>
      <c r="L156" s="382" t="str">
        <f>IF(B156="","",VLOOKUP($B156,'F-1 Off-Site WaterC'' Baseline'!$C$9:$R$257,15,FALSE))</f>
        <v/>
      </c>
      <c r="M156" s="386" t="str">
        <f>IF(L156="","",VLOOKUP($B156,'F-1 Off-Site WaterC'' Baseline'!$C$9:$R$257,16,FALSE))</f>
        <v/>
      </c>
      <c r="N156" s="316" t="str">
        <f t="shared" si="21"/>
        <v/>
      </c>
      <c r="O156" s="362" t="str">
        <f t="shared" si="22"/>
        <v/>
      </c>
      <c r="P156" s="363" t="str">
        <f>IF(C156="","",IF(AND(LEFT(C156,55)&lt;&gt;LEFT(N156,55),O156="High - High"),"Error - Not like for like ▲",IF(H156&gt;U156,"Error - Can not reduce condition ▲",IF(AND(F156=S156,H156=U156,AJ156='F-1 Off-Site WaterC'' Baseline'!N154,'F-1 Off-Site WaterC'' Baseline'!P154=AL156),"Error - No enhancement ▲",IF(AND(C156&lt;&gt;N156,F156&lt;S156),"Lower Distinctiveness Habitat"&amp;" - "&amp;T156,G156&amp;" - "&amp;T156)))))</f>
        <v/>
      </c>
      <c r="Q156" s="368" t="str">
        <f>IF(N156="","",VLOOKUP(B156,'F-1 Off-Site WaterC'' Baseline'!$C$10:$AE$257,22,FALSE))</f>
        <v/>
      </c>
      <c r="R156" s="362" t="str">
        <f>IF(N156="","",VLOOKUP(N156,'G-7 WaterC'' Data'!$B$2:$G$8,2,FALSE))</f>
        <v/>
      </c>
      <c r="S156" s="363" t="str">
        <f>IFERROR(VLOOKUP(R156,'G-7 WaterC'' Data'!$C$4:$D$8,2,FALSE),"")</f>
        <v/>
      </c>
      <c r="T156" s="114"/>
      <c r="U156" s="363" t="str">
        <f>IFERROR(INDEX('G-7 WaterC'' Data'!$H$4:$L$8,MATCH(N156,'G-7 WaterC'' Data'!$B$4:$B$8,0),MATCH(T156,'G-7 WaterC'' Data'!$H$3:$L$3,0)),"")</f>
        <v/>
      </c>
      <c r="V156" s="122"/>
      <c r="W156" s="382" t="str">
        <f>IF(V156="","",IF(VLOOKUP(V156,'G-7 WaterC'' Data'!$AK$4:$AM$6,2,FALSE)=0,"Spatial Data Missing ⚠",VLOOKUP(V156,'G-7 WaterC'' Data'!$AK$4:$AM$6,2,FALSE)))</f>
        <v/>
      </c>
      <c r="X156" s="386" t="str">
        <f>IF(V156="","",IF(VLOOKUP(V156,'G-7 WaterC'' Data'!$AK$4:$AM$6,3,FALSE)=0,"Spatial Data Missing ⚠",VLOOKUP(V156,'G-7 WaterC'' Data'!$AK$4:$AM$6,3,FALSE)))</f>
        <v/>
      </c>
      <c r="Y156" s="398" t="str">
        <f>IFERROR(IF(OR(LEFT(P156,5)="Error",LEFT(O156,5)="Error"),"Check Data ⚠",IF(F156&lt;S156,'G-7 WaterC'' Data'!$R$3,INDEX('G-7 WaterC'' Data'!$U$5:$Y$9,MATCH(G156,'G-7 WaterC'' Data'!$T$5:$T$9,0),MATCH(T156,'G-7 WaterC'' Data'!$U$4:$Y$4,0)))),"")</f>
        <v/>
      </c>
      <c r="Z156" s="165"/>
      <c r="AA156" s="165"/>
      <c r="AB156" s="395" t="str">
        <f t="shared" si="18"/>
        <v/>
      </c>
      <c r="AC156" s="383" t="str">
        <f t="shared" si="23"/>
        <v/>
      </c>
      <c r="AD156" s="422" t="str">
        <f>IFERROR(IF(AC156="Check Data ⚠","Check Data ⚠",VLOOKUP(AC156,'G-4 Temporal multipliers'!$A$4:$C$37,3,FALSE)),"")</f>
        <v/>
      </c>
      <c r="AE156" s="398" t="str">
        <f>IF(N156="","",VLOOKUP(N156,'G-7 WaterC'' Data'!$B$4:$G$8,5,FALSE))</f>
        <v/>
      </c>
      <c r="AF156" s="382" t="str">
        <f t="shared" si="19"/>
        <v/>
      </c>
      <c r="AG156" s="382" t="str">
        <f t="shared" si="24"/>
        <v/>
      </c>
      <c r="AH156" s="386" t="str">
        <f t="shared" si="20"/>
        <v/>
      </c>
      <c r="AI156" s="122"/>
      <c r="AJ156" s="363" t="str">
        <f>IF(AI156="","",IF(VLOOKUP(AI156,'G-7 WaterC'' Data'!$AA$4:$AB$7,2,FALSE)=0,"Spatial Data Missing ⚠",VLOOKUP(AI156,'G-7 WaterC'' Data'!$AA$4:$AB$7,2,FALSE)))</f>
        <v/>
      </c>
      <c r="AK156" s="123"/>
      <c r="AL156" s="397" t="str">
        <f>IF(AK156="","",IF(VLOOKUP(AK156,'G-7 WaterC'' Data'!$AD$4:$AE$14,2,FALSE)=0,"Spatial Data Missing ⚠",VLOOKUP(AK156,'G-7 WaterC'' Data'!$AD$4:$AE$14,2,FALSE)))</f>
        <v/>
      </c>
      <c r="AM156" s="122"/>
      <c r="AN156" s="363" t="str">
        <f>IF(AM156="","",IF(VLOOKUP(AM156,'G-7 WaterC'' Data'!$AO$4:$BO$7,2,FALSE)=0,"Spatial Data Missing ⚠",VLOOKUP(AM156,'G-7 WaterC'' Data'!$AO$4:$BO$7,2,FALSE)))</f>
        <v/>
      </c>
      <c r="AO156" s="405" t="str">
        <f t="shared" si="25"/>
        <v/>
      </c>
      <c r="AP156" s="405" t="str">
        <f t="shared" si="26"/>
        <v/>
      </c>
      <c r="AQ156" s="117"/>
      <c r="AR156" s="118"/>
      <c r="AS156" s="120"/>
      <c r="AT156" s="120"/>
      <c r="AY156" s="30" t="str">
        <f>IFERROR(INDEX('G-7 WaterC'' Data'!$AZ$3:$AZ$7,MATCH(N156,'G-7 WaterC'' Data'!$AY$3:$AY$7,0)),"")</f>
        <v/>
      </c>
    </row>
    <row r="157" spans="2:51" ht="15">
      <c r="B157" s="392" t="str">
        <f>'F-1 Off-Site WaterC'' Baseline'!AR155</f>
        <v/>
      </c>
      <c r="C157" s="382" t="str">
        <f>IF(B157="","",VLOOKUP($B157,'F-1 Off-Site WaterC'' Baseline'!$C$9:$R$257,2,FALSE))</f>
        <v/>
      </c>
      <c r="D157" s="382" t="str">
        <f>IF(C157="","",VLOOKUP($B157,'F-1 Off-Site WaterC'' Baseline'!$C$9:$R$257,3,FALSE))</f>
        <v/>
      </c>
      <c r="E157" s="382" t="str">
        <f>IF(D157="","",VLOOKUP($B157,'F-1 Off-Site WaterC'' Baseline'!$C$9:$R$257,4,FALSE))</f>
        <v/>
      </c>
      <c r="F157" s="382" t="str">
        <f>IF(E157="","",VLOOKUP($B157,'F-1 Off-Site WaterC'' Baseline'!$C$9:$R$257,5,FALSE))</f>
        <v/>
      </c>
      <c r="G157" s="382" t="str">
        <f>IF(F157="","",VLOOKUP($B157,'F-1 Off-Site WaterC'' Baseline'!$C$9:$R$257,6,FALSE))</f>
        <v/>
      </c>
      <c r="H157" s="382" t="str">
        <f>IF(G157="","",VLOOKUP($B157,'F-1 Off-Site WaterC'' Baseline'!$C$9:$R$257,7,FALSE))</f>
        <v/>
      </c>
      <c r="I157" s="382" t="str">
        <f>IF(H157="","",VLOOKUP($B157,'F-1 Off-Site WaterC'' Baseline'!$C$9:$R$257,8,FALSE))</f>
        <v/>
      </c>
      <c r="J157" s="382" t="str">
        <f>IF(I157="","",VLOOKUP($B157,'F-1 Off-Site WaterC'' Baseline'!$C$9:$R$257,9,FALSE))</f>
        <v/>
      </c>
      <c r="K157" s="382" t="str">
        <f>IF(J157="","",VLOOKUP($B157,'F-1 Off-Site WaterC'' Baseline'!$C$9:$R$257,10,FALSE))</f>
        <v/>
      </c>
      <c r="L157" s="382" t="str">
        <f>IF(B157="","",VLOOKUP($B157,'F-1 Off-Site WaterC'' Baseline'!$C$9:$R$257,15,FALSE))</f>
        <v/>
      </c>
      <c r="M157" s="386" t="str">
        <f>IF(L157="","",VLOOKUP($B157,'F-1 Off-Site WaterC'' Baseline'!$C$9:$R$257,16,FALSE))</f>
        <v/>
      </c>
      <c r="N157" s="316" t="str">
        <f t="shared" si="21"/>
        <v/>
      </c>
      <c r="O157" s="362" t="str">
        <f t="shared" si="22"/>
        <v/>
      </c>
      <c r="P157" s="363" t="str">
        <f>IF(C157="","",IF(AND(LEFT(C157,55)&lt;&gt;LEFT(N157,55),O157="High - High"),"Error - Not like for like ▲",IF(H157&gt;U157,"Error - Can not reduce condition ▲",IF(AND(F157=S157,H157=U157,AJ157='F-1 Off-Site WaterC'' Baseline'!N155,'F-1 Off-Site WaterC'' Baseline'!P155=AL157),"Error - No enhancement ▲",IF(AND(C157&lt;&gt;N157,F157&lt;S157),"Lower Distinctiveness Habitat"&amp;" - "&amp;T157,G157&amp;" - "&amp;T157)))))</f>
        <v/>
      </c>
      <c r="Q157" s="368" t="str">
        <f>IF(N157="","",VLOOKUP(B157,'F-1 Off-Site WaterC'' Baseline'!$C$10:$AE$257,22,FALSE))</f>
        <v/>
      </c>
      <c r="R157" s="362" t="str">
        <f>IF(N157="","",VLOOKUP(N157,'G-7 WaterC'' Data'!$B$2:$G$8,2,FALSE))</f>
        <v/>
      </c>
      <c r="S157" s="363" t="str">
        <f>IFERROR(VLOOKUP(R157,'G-7 WaterC'' Data'!$C$4:$D$8,2,FALSE),"")</f>
        <v/>
      </c>
      <c r="T157" s="114"/>
      <c r="U157" s="363" t="str">
        <f>IFERROR(INDEX('G-7 WaterC'' Data'!$H$4:$L$8,MATCH(N157,'G-7 WaterC'' Data'!$B$4:$B$8,0),MATCH(T157,'G-7 WaterC'' Data'!$H$3:$L$3,0)),"")</f>
        <v/>
      </c>
      <c r="V157" s="122"/>
      <c r="W157" s="382" t="str">
        <f>IF(V157="","",IF(VLOOKUP(V157,'G-7 WaterC'' Data'!$AK$4:$AM$6,2,FALSE)=0,"Spatial Data Missing ⚠",VLOOKUP(V157,'G-7 WaterC'' Data'!$AK$4:$AM$6,2,FALSE)))</f>
        <v/>
      </c>
      <c r="X157" s="386" t="str">
        <f>IF(V157="","",IF(VLOOKUP(V157,'G-7 WaterC'' Data'!$AK$4:$AM$6,3,FALSE)=0,"Spatial Data Missing ⚠",VLOOKUP(V157,'G-7 WaterC'' Data'!$AK$4:$AM$6,3,FALSE)))</f>
        <v/>
      </c>
      <c r="Y157" s="398" t="str">
        <f>IFERROR(IF(OR(LEFT(P157,5)="Error",LEFT(O157,5)="Error"),"Check Data ⚠",IF(F157&lt;S157,'G-7 WaterC'' Data'!$R$3,INDEX('G-7 WaterC'' Data'!$U$5:$Y$9,MATCH(G157,'G-7 WaterC'' Data'!$T$5:$T$9,0),MATCH(T157,'G-7 WaterC'' Data'!$U$4:$Y$4,0)))),"")</f>
        <v/>
      </c>
      <c r="Z157" s="165"/>
      <c r="AA157" s="165"/>
      <c r="AB157" s="395" t="str">
        <f t="shared" si="18"/>
        <v/>
      </c>
      <c r="AC157" s="383" t="str">
        <f t="shared" si="23"/>
        <v/>
      </c>
      <c r="AD157" s="422" t="str">
        <f>IFERROR(IF(AC157="Check Data ⚠","Check Data ⚠",VLOOKUP(AC157,'G-4 Temporal multipliers'!$A$4:$C$37,3,FALSE)),"")</f>
        <v/>
      </c>
      <c r="AE157" s="398" t="str">
        <f>IF(N157="","",VLOOKUP(N157,'G-7 WaterC'' Data'!$B$4:$G$8,5,FALSE))</f>
        <v/>
      </c>
      <c r="AF157" s="382" t="str">
        <f t="shared" si="19"/>
        <v/>
      </c>
      <c r="AG157" s="382" t="str">
        <f t="shared" si="24"/>
        <v/>
      </c>
      <c r="AH157" s="386" t="str">
        <f t="shared" si="20"/>
        <v/>
      </c>
      <c r="AI157" s="122"/>
      <c r="AJ157" s="363" t="str">
        <f>IF(AI157="","",IF(VLOOKUP(AI157,'G-7 WaterC'' Data'!$AA$4:$AB$7,2,FALSE)=0,"Spatial Data Missing ⚠",VLOOKUP(AI157,'G-7 WaterC'' Data'!$AA$4:$AB$7,2,FALSE)))</f>
        <v/>
      </c>
      <c r="AK157" s="123"/>
      <c r="AL157" s="397" t="str">
        <f>IF(AK157="","",IF(VLOOKUP(AK157,'G-7 WaterC'' Data'!$AD$4:$AE$14,2,FALSE)=0,"Spatial Data Missing ⚠",VLOOKUP(AK157,'G-7 WaterC'' Data'!$AD$4:$AE$14,2,FALSE)))</f>
        <v/>
      </c>
      <c r="AM157" s="122"/>
      <c r="AN157" s="363" t="str">
        <f>IF(AM157="","",IF(VLOOKUP(AM157,'G-7 WaterC'' Data'!$AO$4:$BO$7,2,FALSE)=0,"Spatial Data Missing ⚠",VLOOKUP(AM157,'G-7 WaterC'' Data'!$AO$4:$BO$7,2,FALSE)))</f>
        <v/>
      </c>
      <c r="AO157" s="405" t="str">
        <f t="shared" si="25"/>
        <v/>
      </c>
      <c r="AP157" s="405" t="str">
        <f t="shared" si="26"/>
        <v/>
      </c>
      <c r="AQ157" s="117"/>
      <c r="AR157" s="118"/>
      <c r="AS157" s="120"/>
      <c r="AT157" s="120"/>
      <c r="AY157" s="30" t="str">
        <f>IFERROR(INDEX('G-7 WaterC'' Data'!$AZ$3:$AZ$7,MATCH(N157,'G-7 WaterC'' Data'!$AY$3:$AY$7,0)),"")</f>
        <v/>
      </c>
    </row>
    <row r="158" spans="2:51" ht="15">
      <c r="B158" s="392" t="str">
        <f>'F-1 Off-Site WaterC'' Baseline'!AR156</f>
        <v/>
      </c>
      <c r="C158" s="382" t="str">
        <f>IF(B158="","",VLOOKUP($B158,'F-1 Off-Site WaterC'' Baseline'!$C$9:$R$257,2,FALSE))</f>
        <v/>
      </c>
      <c r="D158" s="382" t="str">
        <f>IF(C158="","",VLOOKUP($B158,'F-1 Off-Site WaterC'' Baseline'!$C$9:$R$257,3,FALSE))</f>
        <v/>
      </c>
      <c r="E158" s="382" t="str">
        <f>IF(D158="","",VLOOKUP($B158,'F-1 Off-Site WaterC'' Baseline'!$C$9:$R$257,4,FALSE))</f>
        <v/>
      </c>
      <c r="F158" s="382" t="str">
        <f>IF(E158="","",VLOOKUP($B158,'F-1 Off-Site WaterC'' Baseline'!$C$9:$R$257,5,FALSE))</f>
        <v/>
      </c>
      <c r="G158" s="382" t="str">
        <f>IF(F158="","",VLOOKUP($B158,'F-1 Off-Site WaterC'' Baseline'!$C$9:$R$257,6,FALSE))</f>
        <v/>
      </c>
      <c r="H158" s="382" t="str">
        <f>IF(G158="","",VLOOKUP($B158,'F-1 Off-Site WaterC'' Baseline'!$C$9:$R$257,7,FALSE))</f>
        <v/>
      </c>
      <c r="I158" s="382" t="str">
        <f>IF(H158="","",VLOOKUP($B158,'F-1 Off-Site WaterC'' Baseline'!$C$9:$R$257,8,FALSE))</f>
        <v/>
      </c>
      <c r="J158" s="382" t="str">
        <f>IF(I158="","",VLOOKUP($B158,'F-1 Off-Site WaterC'' Baseline'!$C$9:$R$257,9,FALSE))</f>
        <v/>
      </c>
      <c r="K158" s="382" t="str">
        <f>IF(J158="","",VLOOKUP($B158,'F-1 Off-Site WaterC'' Baseline'!$C$9:$R$257,10,FALSE))</f>
        <v/>
      </c>
      <c r="L158" s="382" t="str">
        <f>IF(B158="","",VLOOKUP($B158,'F-1 Off-Site WaterC'' Baseline'!$C$9:$R$257,15,FALSE))</f>
        <v/>
      </c>
      <c r="M158" s="386" t="str">
        <f>IF(L158="","",VLOOKUP($B158,'F-1 Off-Site WaterC'' Baseline'!$C$9:$R$257,16,FALSE))</f>
        <v/>
      </c>
      <c r="N158" s="316" t="str">
        <f t="shared" si="21"/>
        <v/>
      </c>
      <c r="O158" s="362" t="str">
        <f t="shared" si="22"/>
        <v/>
      </c>
      <c r="P158" s="363" t="str">
        <f>IF(C158="","",IF(AND(LEFT(C158,55)&lt;&gt;LEFT(N158,55),O158="High - High"),"Error - Not like for like ▲",IF(H158&gt;U158,"Error - Can not reduce condition ▲",IF(AND(F158=S158,H158=U158,AJ158='F-1 Off-Site WaterC'' Baseline'!N156,'F-1 Off-Site WaterC'' Baseline'!P156=AL158),"Error - No enhancement ▲",IF(AND(C158&lt;&gt;N158,F158&lt;S158),"Lower Distinctiveness Habitat"&amp;" - "&amp;T158,G158&amp;" - "&amp;T158)))))</f>
        <v/>
      </c>
      <c r="Q158" s="368" t="str">
        <f>IF(N158="","",VLOOKUP(B158,'F-1 Off-Site WaterC'' Baseline'!$C$10:$AE$257,22,FALSE))</f>
        <v/>
      </c>
      <c r="R158" s="362" t="str">
        <f>IF(N158="","",VLOOKUP(N158,'G-7 WaterC'' Data'!$B$2:$G$8,2,FALSE))</f>
        <v/>
      </c>
      <c r="S158" s="363" t="str">
        <f>IFERROR(VLOOKUP(R158,'G-7 WaterC'' Data'!$C$4:$D$8,2,FALSE),"")</f>
        <v/>
      </c>
      <c r="T158" s="114"/>
      <c r="U158" s="363" t="str">
        <f>IFERROR(INDEX('G-7 WaterC'' Data'!$H$4:$L$8,MATCH(N158,'G-7 WaterC'' Data'!$B$4:$B$8,0),MATCH(T158,'G-7 WaterC'' Data'!$H$3:$L$3,0)),"")</f>
        <v/>
      </c>
      <c r="V158" s="122"/>
      <c r="W158" s="382" t="str">
        <f>IF(V158="","",IF(VLOOKUP(V158,'G-7 WaterC'' Data'!$AK$4:$AM$6,2,FALSE)=0,"Spatial Data Missing ⚠",VLOOKUP(V158,'G-7 WaterC'' Data'!$AK$4:$AM$6,2,FALSE)))</f>
        <v/>
      </c>
      <c r="X158" s="386" t="str">
        <f>IF(V158="","",IF(VLOOKUP(V158,'G-7 WaterC'' Data'!$AK$4:$AM$6,3,FALSE)=0,"Spatial Data Missing ⚠",VLOOKUP(V158,'G-7 WaterC'' Data'!$AK$4:$AM$6,3,FALSE)))</f>
        <v/>
      </c>
      <c r="Y158" s="398" t="str">
        <f>IFERROR(IF(OR(LEFT(P158,5)="Error",LEFT(O158,5)="Error"),"Check Data ⚠",IF(F158&lt;S158,'G-7 WaterC'' Data'!$R$3,INDEX('G-7 WaterC'' Data'!$U$5:$Y$9,MATCH(G158,'G-7 WaterC'' Data'!$T$5:$T$9,0),MATCH(T158,'G-7 WaterC'' Data'!$U$4:$Y$4,0)))),"")</f>
        <v/>
      </c>
      <c r="Z158" s="165"/>
      <c r="AA158" s="165"/>
      <c r="AB158" s="395" t="str">
        <f t="shared" si="18"/>
        <v/>
      </c>
      <c r="AC158" s="383" t="str">
        <f t="shared" si="23"/>
        <v/>
      </c>
      <c r="AD158" s="422" t="str">
        <f>IFERROR(IF(AC158="Check Data ⚠","Check Data ⚠",VLOOKUP(AC158,'G-4 Temporal multipliers'!$A$4:$C$37,3,FALSE)),"")</f>
        <v/>
      </c>
      <c r="AE158" s="398" t="str">
        <f>IF(N158="","",VLOOKUP(N158,'G-7 WaterC'' Data'!$B$4:$G$8,5,FALSE))</f>
        <v/>
      </c>
      <c r="AF158" s="382" t="str">
        <f t="shared" si="19"/>
        <v/>
      </c>
      <c r="AG158" s="382" t="str">
        <f t="shared" si="24"/>
        <v/>
      </c>
      <c r="AH158" s="386" t="str">
        <f t="shared" si="20"/>
        <v/>
      </c>
      <c r="AI158" s="122"/>
      <c r="AJ158" s="363" t="str">
        <f>IF(AI158="","",IF(VLOOKUP(AI158,'G-7 WaterC'' Data'!$AA$4:$AB$7,2,FALSE)=0,"Spatial Data Missing ⚠",VLOOKUP(AI158,'G-7 WaterC'' Data'!$AA$4:$AB$7,2,FALSE)))</f>
        <v/>
      </c>
      <c r="AK158" s="123"/>
      <c r="AL158" s="397" t="str">
        <f>IF(AK158="","",IF(VLOOKUP(AK158,'G-7 WaterC'' Data'!$AD$4:$AE$14,2,FALSE)=0,"Spatial Data Missing ⚠",VLOOKUP(AK158,'G-7 WaterC'' Data'!$AD$4:$AE$14,2,FALSE)))</f>
        <v/>
      </c>
      <c r="AM158" s="122"/>
      <c r="AN158" s="363" t="str">
        <f>IF(AM158="","",IF(VLOOKUP(AM158,'G-7 WaterC'' Data'!$AO$4:$BO$7,2,FALSE)=0,"Spatial Data Missing ⚠",VLOOKUP(AM158,'G-7 WaterC'' Data'!$AO$4:$BO$7,2,FALSE)))</f>
        <v/>
      </c>
      <c r="AO158" s="405" t="str">
        <f t="shared" si="25"/>
        <v/>
      </c>
      <c r="AP158" s="405" t="str">
        <f t="shared" si="26"/>
        <v/>
      </c>
      <c r="AQ158" s="117"/>
      <c r="AR158" s="118"/>
      <c r="AS158" s="120"/>
      <c r="AT158" s="120"/>
      <c r="AY158" s="30" t="str">
        <f>IFERROR(INDEX('G-7 WaterC'' Data'!$AZ$3:$AZ$7,MATCH(N158,'G-7 WaterC'' Data'!$AY$3:$AY$7,0)),"")</f>
        <v/>
      </c>
    </row>
    <row r="159" spans="2:51" ht="15">
      <c r="B159" s="392" t="str">
        <f>'F-1 Off-Site WaterC'' Baseline'!AR157</f>
        <v/>
      </c>
      <c r="C159" s="382" t="str">
        <f>IF(B159="","",VLOOKUP($B159,'F-1 Off-Site WaterC'' Baseline'!$C$9:$R$257,2,FALSE))</f>
        <v/>
      </c>
      <c r="D159" s="382" t="str">
        <f>IF(C159="","",VLOOKUP($B159,'F-1 Off-Site WaterC'' Baseline'!$C$9:$R$257,3,FALSE))</f>
        <v/>
      </c>
      <c r="E159" s="382" t="str">
        <f>IF(D159="","",VLOOKUP($B159,'F-1 Off-Site WaterC'' Baseline'!$C$9:$R$257,4,FALSE))</f>
        <v/>
      </c>
      <c r="F159" s="382" t="str">
        <f>IF(E159="","",VLOOKUP($B159,'F-1 Off-Site WaterC'' Baseline'!$C$9:$R$257,5,FALSE))</f>
        <v/>
      </c>
      <c r="G159" s="382" t="str">
        <f>IF(F159="","",VLOOKUP($B159,'F-1 Off-Site WaterC'' Baseline'!$C$9:$R$257,6,FALSE))</f>
        <v/>
      </c>
      <c r="H159" s="382" t="str">
        <f>IF(G159="","",VLOOKUP($B159,'F-1 Off-Site WaterC'' Baseline'!$C$9:$R$257,7,FALSE))</f>
        <v/>
      </c>
      <c r="I159" s="382" t="str">
        <f>IF(H159="","",VLOOKUP($B159,'F-1 Off-Site WaterC'' Baseline'!$C$9:$R$257,8,FALSE))</f>
        <v/>
      </c>
      <c r="J159" s="382" t="str">
        <f>IF(I159="","",VLOOKUP($B159,'F-1 Off-Site WaterC'' Baseline'!$C$9:$R$257,9,FALSE))</f>
        <v/>
      </c>
      <c r="K159" s="382" t="str">
        <f>IF(J159="","",VLOOKUP($B159,'F-1 Off-Site WaterC'' Baseline'!$C$9:$R$257,10,FALSE))</f>
        <v/>
      </c>
      <c r="L159" s="382" t="str">
        <f>IF(B159="","",VLOOKUP($B159,'F-1 Off-Site WaterC'' Baseline'!$C$9:$R$257,15,FALSE))</f>
        <v/>
      </c>
      <c r="M159" s="386" t="str">
        <f>IF(L159="","",VLOOKUP($B159,'F-1 Off-Site WaterC'' Baseline'!$C$9:$R$257,16,FALSE))</f>
        <v/>
      </c>
      <c r="N159" s="316" t="str">
        <f t="shared" si="21"/>
        <v/>
      </c>
      <c r="O159" s="362" t="str">
        <f t="shared" si="22"/>
        <v/>
      </c>
      <c r="P159" s="363" t="str">
        <f>IF(C159="","",IF(AND(LEFT(C159,55)&lt;&gt;LEFT(N159,55),O159="High - High"),"Error - Not like for like ▲",IF(H159&gt;U159,"Error - Can not reduce condition ▲",IF(AND(F159=S159,H159=U159,AJ159='F-1 Off-Site WaterC'' Baseline'!N157,'F-1 Off-Site WaterC'' Baseline'!P157=AL159),"Error - No enhancement ▲",IF(AND(C159&lt;&gt;N159,F159&lt;S159),"Lower Distinctiveness Habitat"&amp;" - "&amp;T159,G159&amp;" - "&amp;T159)))))</f>
        <v/>
      </c>
      <c r="Q159" s="368" t="str">
        <f>IF(N159="","",VLOOKUP(B159,'F-1 Off-Site WaterC'' Baseline'!$C$10:$AE$257,22,FALSE))</f>
        <v/>
      </c>
      <c r="R159" s="362" t="str">
        <f>IF(N159="","",VLOOKUP(N159,'G-7 WaterC'' Data'!$B$2:$G$8,2,FALSE))</f>
        <v/>
      </c>
      <c r="S159" s="363" t="str">
        <f>IFERROR(VLOOKUP(R159,'G-7 WaterC'' Data'!$C$4:$D$8,2,FALSE),"")</f>
        <v/>
      </c>
      <c r="T159" s="114"/>
      <c r="U159" s="363" t="str">
        <f>IFERROR(INDEX('G-7 WaterC'' Data'!$H$4:$L$8,MATCH(N159,'G-7 WaterC'' Data'!$B$4:$B$8,0),MATCH(T159,'G-7 WaterC'' Data'!$H$3:$L$3,0)),"")</f>
        <v/>
      </c>
      <c r="V159" s="122"/>
      <c r="W159" s="382" t="str">
        <f>IF(V159="","",IF(VLOOKUP(V159,'G-7 WaterC'' Data'!$AK$4:$AM$6,2,FALSE)=0,"Spatial Data Missing ⚠",VLOOKUP(V159,'G-7 WaterC'' Data'!$AK$4:$AM$6,2,FALSE)))</f>
        <v/>
      </c>
      <c r="X159" s="386" t="str">
        <f>IF(V159="","",IF(VLOOKUP(V159,'G-7 WaterC'' Data'!$AK$4:$AM$6,3,FALSE)=0,"Spatial Data Missing ⚠",VLOOKUP(V159,'G-7 WaterC'' Data'!$AK$4:$AM$6,3,FALSE)))</f>
        <v/>
      </c>
      <c r="Y159" s="398" t="str">
        <f>IFERROR(IF(OR(LEFT(P159,5)="Error",LEFT(O159,5)="Error"),"Check Data ⚠",IF(F159&lt;S159,'G-7 WaterC'' Data'!$R$3,INDEX('G-7 WaterC'' Data'!$U$5:$Y$9,MATCH(G159,'G-7 WaterC'' Data'!$T$5:$T$9,0),MATCH(T159,'G-7 WaterC'' Data'!$U$4:$Y$4,0)))),"")</f>
        <v/>
      </c>
      <c r="Z159" s="165"/>
      <c r="AA159" s="165"/>
      <c r="AB159" s="395" t="str">
        <f t="shared" si="18"/>
        <v/>
      </c>
      <c r="AC159" s="383" t="str">
        <f t="shared" si="23"/>
        <v/>
      </c>
      <c r="AD159" s="422" t="str">
        <f>IFERROR(IF(AC159="Check Data ⚠","Check Data ⚠",VLOOKUP(AC159,'G-4 Temporal multipliers'!$A$4:$C$37,3,FALSE)),"")</f>
        <v/>
      </c>
      <c r="AE159" s="398" t="str">
        <f>IF(N159="","",VLOOKUP(N159,'G-7 WaterC'' Data'!$B$4:$G$8,5,FALSE))</f>
        <v/>
      </c>
      <c r="AF159" s="382" t="str">
        <f t="shared" si="19"/>
        <v/>
      </c>
      <c r="AG159" s="382" t="str">
        <f t="shared" si="24"/>
        <v/>
      </c>
      <c r="AH159" s="386" t="str">
        <f t="shared" si="20"/>
        <v/>
      </c>
      <c r="AI159" s="122"/>
      <c r="AJ159" s="363" t="str">
        <f>IF(AI159="","",IF(VLOOKUP(AI159,'G-7 WaterC'' Data'!$AA$4:$AB$7,2,FALSE)=0,"Spatial Data Missing ⚠",VLOOKUP(AI159,'G-7 WaterC'' Data'!$AA$4:$AB$7,2,FALSE)))</f>
        <v/>
      </c>
      <c r="AK159" s="123"/>
      <c r="AL159" s="397" t="str">
        <f>IF(AK159="","",IF(VLOOKUP(AK159,'G-7 WaterC'' Data'!$AD$4:$AE$14,2,FALSE)=0,"Spatial Data Missing ⚠",VLOOKUP(AK159,'G-7 WaterC'' Data'!$AD$4:$AE$14,2,FALSE)))</f>
        <v/>
      </c>
      <c r="AM159" s="122"/>
      <c r="AN159" s="363" t="str">
        <f>IF(AM159="","",IF(VLOOKUP(AM159,'G-7 WaterC'' Data'!$AO$4:$BO$7,2,FALSE)=0,"Spatial Data Missing ⚠",VLOOKUP(AM159,'G-7 WaterC'' Data'!$AO$4:$BO$7,2,FALSE)))</f>
        <v/>
      </c>
      <c r="AO159" s="405" t="str">
        <f t="shared" si="25"/>
        <v/>
      </c>
      <c r="AP159" s="405" t="str">
        <f t="shared" si="26"/>
        <v/>
      </c>
      <c r="AQ159" s="117"/>
      <c r="AR159" s="118"/>
      <c r="AS159" s="120"/>
      <c r="AT159" s="120"/>
      <c r="AY159" s="30" t="str">
        <f>IFERROR(INDEX('G-7 WaterC'' Data'!$AZ$3:$AZ$7,MATCH(N159,'G-7 WaterC'' Data'!$AY$3:$AY$7,0)),"")</f>
        <v/>
      </c>
    </row>
    <row r="160" spans="2:51" ht="15">
      <c r="B160" s="392" t="str">
        <f>'F-1 Off-Site WaterC'' Baseline'!AR158</f>
        <v/>
      </c>
      <c r="C160" s="382" t="str">
        <f>IF(B160="","",VLOOKUP($B160,'F-1 Off-Site WaterC'' Baseline'!$C$9:$R$257,2,FALSE))</f>
        <v/>
      </c>
      <c r="D160" s="382" t="str">
        <f>IF(C160="","",VLOOKUP($B160,'F-1 Off-Site WaterC'' Baseline'!$C$9:$R$257,3,FALSE))</f>
        <v/>
      </c>
      <c r="E160" s="382" t="str">
        <f>IF(D160="","",VLOOKUP($B160,'F-1 Off-Site WaterC'' Baseline'!$C$9:$R$257,4,FALSE))</f>
        <v/>
      </c>
      <c r="F160" s="382" t="str">
        <f>IF(E160="","",VLOOKUP($B160,'F-1 Off-Site WaterC'' Baseline'!$C$9:$R$257,5,FALSE))</f>
        <v/>
      </c>
      <c r="G160" s="382" t="str">
        <f>IF(F160="","",VLOOKUP($B160,'F-1 Off-Site WaterC'' Baseline'!$C$9:$R$257,6,FALSE))</f>
        <v/>
      </c>
      <c r="H160" s="382" t="str">
        <f>IF(G160="","",VLOOKUP($B160,'F-1 Off-Site WaterC'' Baseline'!$C$9:$R$257,7,FALSE))</f>
        <v/>
      </c>
      <c r="I160" s="382" t="str">
        <f>IF(H160="","",VLOOKUP($B160,'F-1 Off-Site WaterC'' Baseline'!$C$9:$R$257,8,FALSE))</f>
        <v/>
      </c>
      <c r="J160" s="382" t="str">
        <f>IF(I160="","",VLOOKUP($B160,'F-1 Off-Site WaterC'' Baseline'!$C$9:$R$257,9,FALSE))</f>
        <v/>
      </c>
      <c r="K160" s="382" t="str">
        <f>IF(J160="","",VLOOKUP($B160,'F-1 Off-Site WaterC'' Baseline'!$C$9:$R$257,10,FALSE))</f>
        <v/>
      </c>
      <c r="L160" s="382" t="str">
        <f>IF(B160="","",VLOOKUP($B160,'F-1 Off-Site WaterC'' Baseline'!$C$9:$R$257,15,FALSE))</f>
        <v/>
      </c>
      <c r="M160" s="386" t="str">
        <f>IF(L160="","",VLOOKUP($B160,'F-1 Off-Site WaterC'' Baseline'!$C$9:$R$257,16,FALSE))</f>
        <v/>
      </c>
      <c r="N160" s="316" t="str">
        <f t="shared" si="21"/>
        <v/>
      </c>
      <c r="O160" s="362" t="str">
        <f t="shared" si="22"/>
        <v/>
      </c>
      <c r="P160" s="363" t="str">
        <f>IF(C160="","",IF(AND(LEFT(C160,55)&lt;&gt;LEFT(N160,55),O160="High - High"),"Error - Not like for like ▲",IF(H160&gt;U160,"Error - Can not reduce condition ▲",IF(AND(F160=S160,H160=U160,AJ160='F-1 Off-Site WaterC'' Baseline'!N158,'F-1 Off-Site WaterC'' Baseline'!P158=AL160),"Error - No enhancement ▲",IF(AND(C160&lt;&gt;N160,F160&lt;S160),"Lower Distinctiveness Habitat"&amp;" - "&amp;T160,G160&amp;" - "&amp;T160)))))</f>
        <v/>
      </c>
      <c r="Q160" s="368" t="str">
        <f>IF(N160="","",VLOOKUP(B160,'F-1 Off-Site WaterC'' Baseline'!$C$10:$AE$257,22,FALSE))</f>
        <v/>
      </c>
      <c r="R160" s="362" t="str">
        <f>IF(N160="","",VLOOKUP(N160,'G-7 WaterC'' Data'!$B$2:$G$8,2,FALSE))</f>
        <v/>
      </c>
      <c r="S160" s="363" t="str">
        <f>IFERROR(VLOOKUP(R160,'G-7 WaterC'' Data'!$C$4:$D$8,2,FALSE),"")</f>
        <v/>
      </c>
      <c r="T160" s="114"/>
      <c r="U160" s="363" t="str">
        <f>IFERROR(INDEX('G-7 WaterC'' Data'!$H$4:$L$8,MATCH(N160,'G-7 WaterC'' Data'!$B$4:$B$8,0),MATCH(T160,'G-7 WaterC'' Data'!$H$3:$L$3,0)),"")</f>
        <v/>
      </c>
      <c r="V160" s="122"/>
      <c r="W160" s="382" t="str">
        <f>IF(V160="","",IF(VLOOKUP(V160,'G-7 WaterC'' Data'!$AK$4:$AM$6,2,FALSE)=0,"Spatial Data Missing ⚠",VLOOKUP(V160,'G-7 WaterC'' Data'!$AK$4:$AM$6,2,FALSE)))</f>
        <v/>
      </c>
      <c r="X160" s="386" t="str">
        <f>IF(V160="","",IF(VLOOKUP(V160,'G-7 WaterC'' Data'!$AK$4:$AM$6,3,FALSE)=0,"Spatial Data Missing ⚠",VLOOKUP(V160,'G-7 WaterC'' Data'!$AK$4:$AM$6,3,FALSE)))</f>
        <v/>
      </c>
      <c r="Y160" s="398" t="str">
        <f>IFERROR(IF(OR(LEFT(P160,5)="Error",LEFT(O160,5)="Error"),"Check Data ⚠",IF(F160&lt;S160,'G-7 WaterC'' Data'!$R$3,INDEX('G-7 WaterC'' Data'!$U$5:$Y$9,MATCH(G160,'G-7 WaterC'' Data'!$T$5:$T$9,0),MATCH(T160,'G-7 WaterC'' Data'!$U$4:$Y$4,0)))),"")</f>
        <v/>
      </c>
      <c r="Z160" s="165"/>
      <c r="AA160" s="165"/>
      <c r="AB160" s="395" t="str">
        <f t="shared" si="18"/>
        <v/>
      </c>
      <c r="AC160" s="383" t="str">
        <f t="shared" si="23"/>
        <v/>
      </c>
      <c r="AD160" s="422" t="str">
        <f>IFERROR(IF(AC160="Check Data ⚠","Check Data ⚠",VLOOKUP(AC160,'G-4 Temporal multipliers'!$A$4:$C$37,3,FALSE)),"")</f>
        <v/>
      </c>
      <c r="AE160" s="398" t="str">
        <f>IF(N160="","",VLOOKUP(N160,'G-7 WaterC'' Data'!$B$4:$G$8,5,FALSE))</f>
        <v/>
      </c>
      <c r="AF160" s="382" t="str">
        <f t="shared" si="19"/>
        <v/>
      </c>
      <c r="AG160" s="382" t="str">
        <f t="shared" si="24"/>
        <v/>
      </c>
      <c r="AH160" s="386" t="str">
        <f t="shared" si="20"/>
        <v/>
      </c>
      <c r="AI160" s="122"/>
      <c r="AJ160" s="363" t="str">
        <f>IF(AI160="","",IF(VLOOKUP(AI160,'G-7 WaterC'' Data'!$AA$4:$AB$7,2,FALSE)=0,"Spatial Data Missing ⚠",VLOOKUP(AI160,'G-7 WaterC'' Data'!$AA$4:$AB$7,2,FALSE)))</f>
        <v/>
      </c>
      <c r="AK160" s="123"/>
      <c r="AL160" s="397" t="str">
        <f>IF(AK160="","",IF(VLOOKUP(AK160,'G-7 WaterC'' Data'!$AD$4:$AE$14,2,FALSE)=0,"Spatial Data Missing ⚠",VLOOKUP(AK160,'G-7 WaterC'' Data'!$AD$4:$AE$14,2,FALSE)))</f>
        <v/>
      </c>
      <c r="AM160" s="122"/>
      <c r="AN160" s="363" t="str">
        <f>IF(AM160="","",IF(VLOOKUP(AM160,'G-7 WaterC'' Data'!$AO$4:$BO$7,2,FALSE)=0,"Spatial Data Missing ⚠",VLOOKUP(AM160,'G-7 WaterC'' Data'!$AO$4:$BO$7,2,FALSE)))</f>
        <v/>
      </c>
      <c r="AO160" s="405" t="str">
        <f t="shared" si="25"/>
        <v/>
      </c>
      <c r="AP160" s="405" t="str">
        <f t="shared" si="26"/>
        <v/>
      </c>
      <c r="AQ160" s="117"/>
      <c r="AR160" s="118"/>
      <c r="AS160" s="120"/>
      <c r="AT160" s="120"/>
      <c r="AY160" s="30" t="str">
        <f>IFERROR(INDEX('G-7 WaterC'' Data'!$AZ$3:$AZ$7,MATCH(N160,'G-7 WaterC'' Data'!$AY$3:$AY$7,0)),"")</f>
        <v/>
      </c>
    </row>
    <row r="161" spans="2:51" ht="15">
      <c r="B161" s="392" t="str">
        <f>'F-1 Off-Site WaterC'' Baseline'!AR159</f>
        <v/>
      </c>
      <c r="C161" s="382" t="str">
        <f>IF(B161="","",VLOOKUP($B161,'F-1 Off-Site WaterC'' Baseline'!$C$9:$R$257,2,FALSE))</f>
        <v/>
      </c>
      <c r="D161" s="382" t="str">
        <f>IF(C161="","",VLOOKUP($B161,'F-1 Off-Site WaterC'' Baseline'!$C$9:$R$257,3,FALSE))</f>
        <v/>
      </c>
      <c r="E161" s="382" t="str">
        <f>IF(D161="","",VLOOKUP($B161,'F-1 Off-Site WaterC'' Baseline'!$C$9:$R$257,4,FALSE))</f>
        <v/>
      </c>
      <c r="F161" s="382" t="str">
        <f>IF(E161="","",VLOOKUP($B161,'F-1 Off-Site WaterC'' Baseline'!$C$9:$R$257,5,FALSE))</f>
        <v/>
      </c>
      <c r="G161" s="382" t="str">
        <f>IF(F161="","",VLOOKUP($B161,'F-1 Off-Site WaterC'' Baseline'!$C$9:$R$257,6,FALSE))</f>
        <v/>
      </c>
      <c r="H161" s="382" t="str">
        <f>IF(G161="","",VLOOKUP($B161,'F-1 Off-Site WaterC'' Baseline'!$C$9:$R$257,7,FALSE))</f>
        <v/>
      </c>
      <c r="I161" s="382" t="str">
        <f>IF(H161="","",VLOOKUP($B161,'F-1 Off-Site WaterC'' Baseline'!$C$9:$R$257,8,FALSE))</f>
        <v/>
      </c>
      <c r="J161" s="382" t="str">
        <f>IF(I161="","",VLOOKUP($B161,'F-1 Off-Site WaterC'' Baseline'!$C$9:$R$257,9,FALSE))</f>
        <v/>
      </c>
      <c r="K161" s="382" t="str">
        <f>IF(J161="","",VLOOKUP($B161,'F-1 Off-Site WaterC'' Baseline'!$C$9:$R$257,10,FALSE))</f>
        <v/>
      </c>
      <c r="L161" s="382" t="str">
        <f>IF(B161="","",VLOOKUP($B161,'F-1 Off-Site WaterC'' Baseline'!$C$9:$R$257,15,FALSE))</f>
        <v/>
      </c>
      <c r="M161" s="386" t="str">
        <f>IF(L161="","",VLOOKUP($B161,'F-1 Off-Site WaterC'' Baseline'!$C$9:$R$257,16,FALSE))</f>
        <v/>
      </c>
      <c r="N161" s="316" t="str">
        <f t="shared" si="21"/>
        <v/>
      </c>
      <c r="O161" s="362" t="str">
        <f t="shared" si="22"/>
        <v/>
      </c>
      <c r="P161" s="363" t="str">
        <f>IF(C161="","",IF(AND(LEFT(C161,55)&lt;&gt;LEFT(N161,55),O161="High - High"),"Error - Not like for like ▲",IF(H161&gt;U161,"Error - Can not reduce condition ▲",IF(AND(F161=S161,H161=U161,AJ161='F-1 Off-Site WaterC'' Baseline'!N159,'F-1 Off-Site WaterC'' Baseline'!P159=AL161),"Error - No enhancement ▲",IF(AND(C161&lt;&gt;N161,F161&lt;S161),"Lower Distinctiveness Habitat"&amp;" - "&amp;T161,G161&amp;" - "&amp;T161)))))</f>
        <v/>
      </c>
      <c r="Q161" s="368" t="str">
        <f>IF(N161="","",VLOOKUP(B161,'F-1 Off-Site WaterC'' Baseline'!$C$10:$AE$257,22,FALSE))</f>
        <v/>
      </c>
      <c r="R161" s="362" t="str">
        <f>IF(N161="","",VLOOKUP(N161,'G-7 WaterC'' Data'!$B$2:$G$8,2,FALSE))</f>
        <v/>
      </c>
      <c r="S161" s="363" t="str">
        <f>IFERROR(VLOOKUP(R161,'G-7 WaterC'' Data'!$C$4:$D$8,2,FALSE),"")</f>
        <v/>
      </c>
      <c r="T161" s="114"/>
      <c r="U161" s="363" t="str">
        <f>IFERROR(INDEX('G-7 WaterC'' Data'!$H$4:$L$8,MATCH(N161,'G-7 WaterC'' Data'!$B$4:$B$8,0),MATCH(T161,'G-7 WaterC'' Data'!$H$3:$L$3,0)),"")</f>
        <v/>
      </c>
      <c r="V161" s="122"/>
      <c r="W161" s="382" t="str">
        <f>IF(V161="","",IF(VLOOKUP(V161,'G-7 WaterC'' Data'!$AK$4:$AM$6,2,FALSE)=0,"Spatial Data Missing ⚠",VLOOKUP(V161,'G-7 WaterC'' Data'!$AK$4:$AM$6,2,FALSE)))</f>
        <v/>
      </c>
      <c r="X161" s="386" t="str">
        <f>IF(V161="","",IF(VLOOKUP(V161,'G-7 WaterC'' Data'!$AK$4:$AM$6,3,FALSE)=0,"Spatial Data Missing ⚠",VLOOKUP(V161,'G-7 WaterC'' Data'!$AK$4:$AM$6,3,FALSE)))</f>
        <v/>
      </c>
      <c r="Y161" s="398" t="str">
        <f>IFERROR(IF(OR(LEFT(P161,5)="Error",LEFT(O161,5)="Error"),"Check Data ⚠",IF(F161&lt;S161,'G-7 WaterC'' Data'!$R$3,INDEX('G-7 WaterC'' Data'!$U$5:$Y$9,MATCH(G161,'G-7 WaterC'' Data'!$T$5:$T$9,0),MATCH(T161,'G-7 WaterC'' Data'!$U$4:$Y$4,0)))),"")</f>
        <v/>
      </c>
      <c r="Z161" s="165"/>
      <c r="AA161" s="165"/>
      <c r="AB161" s="395" t="str">
        <f t="shared" si="18"/>
        <v/>
      </c>
      <c r="AC161" s="383" t="str">
        <f t="shared" si="23"/>
        <v/>
      </c>
      <c r="AD161" s="422" t="str">
        <f>IFERROR(IF(AC161="Check Data ⚠","Check Data ⚠",VLOOKUP(AC161,'G-4 Temporal multipliers'!$A$4:$C$37,3,FALSE)),"")</f>
        <v/>
      </c>
      <c r="AE161" s="398" t="str">
        <f>IF(N161="","",VLOOKUP(N161,'G-7 WaterC'' Data'!$B$4:$G$8,5,FALSE))</f>
        <v/>
      </c>
      <c r="AF161" s="382" t="str">
        <f t="shared" si="19"/>
        <v/>
      </c>
      <c r="AG161" s="382" t="str">
        <f t="shared" si="24"/>
        <v/>
      </c>
      <c r="AH161" s="386" t="str">
        <f t="shared" si="20"/>
        <v/>
      </c>
      <c r="AI161" s="122"/>
      <c r="AJ161" s="363" t="str">
        <f>IF(AI161="","",IF(VLOOKUP(AI161,'G-7 WaterC'' Data'!$AA$4:$AB$7,2,FALSE)=0,"Spatial Data Missing ⚠",VLOOKUP(AI161,'G-7 WaterC'' Data'!$AA$4:$AB$7,2,FALSE)))</f>
        <v/>
      </c>
      <c r="AK161" s="123"/>
      <c r="AL161" s="397" t="str">
        <f>IF(AK161="","",IF(VLOOKUP(AK161,'G-7 WaterC'' Data'!$AD$4:$AE$14,2,FALSE)=0,"Spatial Data Missing ⚠",VLOOKUP(AK161,'G-7 WaterC'' Data'!$AD$4:$AE$14,2,FALSE)))</f>
        <v/>
      </c>
      <c r="AM161" s="122"/>
      <c r="AN161" s="363" t="str">
        <f>IF(AM161="","",IF(VLOOKUP(AM161,'G-7 WaterC'' Data'!$AO$4:$BO$7,2,FALSE)=0,"Spatial Data Missing ⚠",VLOOKUP(AM161,'G-7 WaterC'' Data'!$AO$4:$BO$7,2,FALSE)))</f>
        <v/>
      </c>
      <c r="AO161" s="405" t="str">
        <f t="shared" si="25"/>
        <v/>
      </c>
      <c r="AP161" s="405" t="str">
        <f t="shared" si="26"/>
        <v/>
      </c>
      <c r="AQ161" s="117"/>
      <c r="AR161" s="118"/>
      <c r="AS161" s="120"/>
      <c r="AT161" s="120"/>
      <c r="AY161" s="30" t="str">
        <f>IFERROR(INDEX('G-7 WaterC'' Data'!$AZ$3:$AZ$7,MATCH(N161,'G-7 WaterC'' Data'!$AY$3:$AY$7,0)),"")</f>
        <v/>
      </c>
    </row>
    <row r="162" spans="2:51" ht="15">
      <c r="B162" s="392" t="str">
        <f>'F-1 Off-Site WaterC'' Baseline'!AR160</f>
        <v/>
      </c>
      <c r="C162" s="382" t="str">
        <f>IF(B162="","",VLOOKUP($B162,'F-1 Off-Site WaterC'' Baseline'!$C$9:$R$257,2,FALSE))</f>
        <v/>
      </c>
      <c r="D162" s="382" t="str">
        <f>IF(C162="","",VLOOKUP($B162,'F-1 Off-Site WaterC'' Baseline'!$C$9:$R$257,3,FALSE))</f>
        <v/>
      </c>
      <c r="E162" s="382" t="str">
        <f>IF(D162="","",VLOOKUP($B162,'F-1 Off-Site WaterC'' Baseline'!$C$9:$R$257,4,FALSE))</f>
        <v/>
      </c>
      <c r="F162" s="382" t="str">
        <f>IF(E162="","",VLOOKUP($B162,'F-1 Off-Site WaterC'' Baseline'!$C$9:$R$257,5,FALSE))</f>
        <v/>
      </c>
      <c r="G162" s="382" t="str">
        <f>IF(F162="","",VLOOKUP($B162,'F-1 Off-Site WaterC'' Baseline'!$C$9:$R$257,6,FALSE))</f>
        <v/>
      </c>
      <c r="H162" s="382" t="str">
        <f>IF(G162="","",VLOOKUP($B162,'F-1 Off-Site WaterC'' Baseline'!$C$9:$R$257,7,FALSE))</f>
        <v/>
      </c>
      <c r="I162" s="382" t="str">
        <f>IF(H162="","",VLOOKUP($B162,'F-1 Off-Site WaterC'' Baseline'!$C$9:$R$257,8,FALSE))</f>
        <v/>
      </c>
      <c r="J162" s="382" t="str">
        <f>IF(I162="","",VLOOKUP($B162,'F-1 Off-Site WaterC'' Baseline'!$C$9:$R$257,9,FALSE))</f>
        <v/>
      </c>
      <c r="K162" s="382" t="str">
        <f>IF(J162="","",VLOOKUP($B162,'F-1 Off-Site WaterC'' Baseline'!$C$9:$R$257,10,FALSE))</f>
        <v/>
      </c>
      <c r="L162" s="382" t="str">
        <f>IF(B162="","",VLOOKUP($B162,'F-1 Off-Site WaterC'' Baseline'!$C$9:$R$257,15,FALSE))</f>
        <v/>
      </c>
      <c r="M162" s="386" t="str">
        <f>IF(L162="","",VLOOKUP($B162,'F-1 Off-Site WaterC'' Baseline'!$C$9:$R$257,16,FALSE))</f>
        <v/>
      </c>
      <c r="N162" s="316" t="str">
        <f t="shared" si="21"/>
        <v/>
      </c>
      <c r="O162" s="362" t="str">
        <f t="shared" si="22"/>
        <v/>
      </c>
      <c r="P162" s="363" t="str">
        <f>IF(C162="","",IF(AND(LEFT(C162,55)&lt;&gt;LEFT(N162,55),O162="High - High"),"Error - Not like for like ▲",IF(H162&gt;U162,"Error - Can not reduce condition ▲",IF(AND(F162=S162,H162=U162,AJ162='F-1 Off-Site WaterC'' Baseline'!N160,'F-1 Off-Site WaterC'' Baseline'!P160=AL162),"Error - No enhancement ▲",IF(AND(C162&lt;&gt;N162,F162&lt;S162),"Lower Distinctiveness Habitat"&amp;" - "&amp;T162,G162&amp;" - "&amp;T162)))))</f>
        <v/>
      </c>
      <c r="Q162" s="368" t="str">
        <f>IF(N162="","",VLOOKUP(B162,'F-1 Off-Site WaterC'' Baseline'!$C$10:$AE$257,22,FALSE))</f>
        <v/>
      </c>
      <c r="R162" s="362" t="str">
        <f>IF(N162="","",VLOOKUP(N162,'G-7 WaterC'' Data'!$B$2:$G$8,2,FALSE))</f>
        <v/>
      </c>
      <c r="S162" s="363" t="str">
        <f>IFERROR(VLOOKUP(R162,'G-7 WaterC'' Data'!$C$4:$D$8,2,FALSE),"")</f>
        <v/>
      </c>
      <c r="T162" s="114"/>
      <c r="U162" s="363" t="str">
        <f>IFERROR(INDEX('G-7 WaterC'' Data'!$H$4:$L$8,MATCH(N162,'G-7 WaterC'' Data'!$B$4:$B$8,0),MATCH(T162,'G-7 WaterC'' Data'!$H$3:$L$3,0)),"")</f>
        <v/>
      </c>
      <c r="V162" s="122"/>
      <c r="W162" s="382" t="str">
        <f>IF(V162="","",IF(VLOOKUP(V162,'G-7 WaterC'' Data'!$AK$4:$AM$6,2,FALSE)=0,"Spatial Data Missing ⚠",VLOOKUP(V162,'G-7 WaterC'' Data'!$AK$4:$AM$6,2,FALSE)))</f>
        <v/>
      </c>
      <c r="X162" s="386" t="str">
        <f>IF(V162="","",IF(VLOOKUP(V162,'G-7 WaterC'' Data'!$AK$4:$AM$6,3,FALSE)=0,"Spatial Data Missing ⚠",VLOOKUP(V162,'G-7 WaterC'' Data'!$AK$4:$AM$6,3,FALSE)))</f>
        <v/>
      </c>
      <c r="Y162" s="398" t="str">
        <f>IFERROR(IF(OR(LEFT(P162,5)="Error",LEFT(O162,5)="Error"),"Check Data ⚠",IF(F162&lt;S162,'G-7 WaterC'' Data'!$R$3,INDEX('G-7 WaterC'' Data'!$U$5:$Y$9,MATCH(G162,'G-7 WaterC'' Data'!$T$5:$T$9,0),MATCH(T162,'G-7 WaterC'' Data'!$U$4:$Y$4,0)))),"")</f>
        <v/>
      </c>
      <c r="Z162" s="165"/>
      <c r="AA162" s="165"/>
      <c r="AB162" s="395" t="str">
        <f t="shared" si="18"/>
        <v/>
      </c>
      <c r="AC162" s="383" t="str">
        <f t="shared" si="23"/>
        <v/>
      </c>
      <c r="AD162" s="422" t="str">
        <f>IFERROR(IF(AC162="Check Data ⚠","Check Data ⚠",VLOOKUP(AC162,'G-4 Temporal multipliers'!$A$4:$C$37,3,FALSE)),"")</f>
        <v/>
      </c>
      <c r="AE162" s="398" t="str">
        <f>IF(N162="","",VLOOKUP(N162,'G-7 WaterC'' Data'!$B$4:$G$8,5,FALSE))</f>
        <v/>
      </c>
      <c r="AF162" s="382" t="str">
        <f t="shared" si="19"/>
        <v/>
      </c>
      <c r="AG162" s="382" t="str">
        <f t="shared" si="24"/>
        <v/>
      </c>
      <c r="AH162" s="386" t="str">
        <f t="shared" si="20"/>
        <v/>
      </c>
      <c r="AI162" s="122"/>
      <c r="AJ162" s="363" t="str">
        <f>IF(AI162="","",IF(VLOOKUP(AI162,'G-7 WaterC'' Data'!$AA$4:$AB$7,2,FALSE)=0,"Spatial Data Missing ⚠",VLOOKUP(AI162,'G-7 WaterC'' Data'!$AA$4:$AB$7,2,FALSE)))</f>
        <v/>
      </c>
      <c r="AK162" s="123"/>
      <c r="AL162" s="397" t="str">
        <f>IF(AK162="","",IF(VLOOKUP(AK162,'G-7 WaterC'' Data'!$AD$4:$AE$14,2,FALSE)=0,"Spatial Data Missing ⚠",VLOOKUP(AK162,'G-7 WaterC'' Data'!$AD$4:$AE$14,2,FALSE)))</f>
        <v/>
      </c>
      <c r="AM162" s="122"/>
      <c r="AN162" s="363" t="str">
        <f>IF(AM162="","",IF(VLOOKUP(AM162,'G-7 WaterC'' Data'!$AO$4:$BO$7,2,FALSE)=0,"Spatial Data Missing ⚠",VLOOKUP(AM162,'G-7 WaterC'' Data'!$AO$4:$BO$7,2,FALSE)))</f>
        <v/>
      </c>
      <c r="AO162" s="405" t="str">
        <f t="shared" si="25"/>
        <v/>
      </c>
      <c r="AP162" s="405" t="str">
        <f t="shared" si="26"/>
        <v/>
      </c>
      <c r="AQ162" s="117"/>
      <c r="AR162" s="118"/>
      <c r="AS162" s="120"/>
      <c r="AT162" s="120"/>
      <c r="AY162" s="30" t="str">
        <f>IFERROR(INDEX('G-7 WaterC'' Data'!$AZ$3:$AZ$7,MATCH(N162,'G-7 WaterC'' Data'!$AY$3:$AY$7,0)),"")</f>
        <v/>
      </c>
    </row>
    <row r="163" spans="2:51" ht="15">
      <c r="B163" s="392" t="str">
        <f>'F-1 Off-Site WaterC'' Baseline'!AR161</f>
        <v/>
      </c>
      <c r="C163" s="382" t="str">
        <f>IF(B163="","",VLOOKUP($B163,'F-1 Off-Site WaterC'' Baseline'!$C$9:$R$257,2,FALSE))</f>
        <v/>
      </c>
      <c r="D163" s="382" t="str">
        <f>IF(C163="","",VLOOKUP($B163,'F-1 Off-Site WaterC'' Baseline'!$C$9:$R$257,3,FALSE))</f>
        <v/>
      </c>
      <c r="E163" s="382" t="str">
        <f>IF(D163="","",VLOOKUP($B163,'F-1 Off-Site WaterC'' Baseline'!$C$9:$R$257,4,FALSE))</f>
        <v/>
      </c>
      <c r="F163" s="382" t="str">
        <f>IF(E163="","",VLOOKUP($B163,'F-1 Off-Site WaterC'' Baseline'!$C$9:$R$257,5,FALSE))</f>
        <v/>
      </c>
      <c r="G163" s="382" t="str">
        <f>IF(F163="","",VLOOKUP($B163,'F-1 Off-Site WaterC'' Baseline'!$C$9:$R$257,6,FALSE))</f>
        <v/>
      </c>
      <c r="H163" s="382" t="str">
        <f>IF(G163="","",VLOOKUP($B163,'F-1 Off-Site WaterC'' Baseline'!$C$9:$R$257,7,FALSE))</f>
        <v/>
      </c>
      <c r="I163" s="382" t="str">
        <f>IF(H163="","",VLOOKUP($B163,'F-1 Off-Site WaterC'' Baseline'!$C$9:$R$257,8,FALSE))</f>
        <v/>
      </c>
      <c r="J163" s="382" t="str">
        <f>IF(I163="","",VLOOKUP($B163,'F-1 Off-Site WaterC'' Baseline'!$C$9:$R$257,9,FALSE))</f>
        <v/>
      </c>
      <c r="K163" s="382" t="str">
        <f>IF(J163="","",VLOOKUP($B163,'F-1 Off-Site WaterC'' Baseline'!$C$9:$R$257,10,FALSE))</f>
        <v/>
      </c>
      <c r="L163" s="382" t="str">
        <f>IF(B163="","",VLOOKUP($B163,'F-1 Off-Site WaterC'' Baseline'!$C$9:$R$257,15,FALSE))</f>
        <v/>
      </c>
      <c r="M163" s="386" t="str">
        <f>IF(L163="","",VLOOKUP($B163,'F-1 Off-Site WaterC'' Baseline'!$C$9:$R$257,16,FALSE))</f>
        <v/>
      </c>
      <c r="N163" s="316" t="str">
        <f t="shared" si="21"/>
        <v/>
      </c>
      <c r="O163" s="362" t="str">
        <f t="shared" si="22"/>
        <v/>
      </c>
      <c r="P163" s="363" t="str">
        <f>IF(C163="","",IF(AND(LEFT(C163,55)&lt;&gt;LEFT(N163,55),O163="High - High"),"Error - Not like for like ▲",IF(H163&gt;U163,"Error - Can not reduce condition ▲",IF(AND(F163=S163,H163=U163,AJ163='F-1 Off-Site WaterC'' Baseline'!N161,'F-1 Off-Site WaterC'' Baseline'!P161=AL163),"Error - No enhancement ▲",IF(AND(C163&lt;&gt;N163,F163&lt;S163),"Lower Distinctiveness Habitat"&amp;" - "&amp;T163,G163&amp;" - "&amp;T163)))))</f>
        <v/>
      </c>
      <c r="Q163" s="368" t="str">
        <f>IF(N163="","",VLOOKUP(B163,'F-1 Off-Site WaterC'' Baseline'!$C$10:$AE$257,22,FALSE))</f>
        <v/>
      </c>
      <c r="R163" s="362" t="str">
        <f>IF(N163="","",VLOOKUP(N163,'G-7 WaterC'' Data'!$B$2:$G$8,2,FALSE))</f>
        <v/>
      </c>
      <c r="S163" s="363" t="str">
        <f>IFERROR(VLOOKUP(R163,'G-7 WaterC'' Data'!$C$4:$D$8,2,FALSE),"")</f>
        <v/>
      </c>
      <c r="T163" s="114"/>
      <c r="U163" s="363" t="str">
        <f>IFERROR(INDEX('G-7 WaterC'' Data'!$H$4:$L$8,MATCH(N163,'G-7 WaterC'' Data'!$B$4:$B$8,0),MATCH(T163,'G-7 WaterC'' Data'!$H$3:$L$3,0)),"")</f>
        <v/>
      </c>
      <c r="V163" s="122"/>
      <c r="W163" s="382" t="str">
        <f>IF(V163="","",IF(VLOOKUP(V163,'G-7 WaterC'' Data'!$AK$4:$AM$6,2,FALSE)=0,"Spatial Data Missing ⚠",VLOOKUP(V163,'G-7 WaterC'' Data'!$AK$4:$AM$6,2,FALSE)))</f>
        <v/>
      </c>
      <c r="X163" s="386" t="str">
        <f>IF(V163="","",IF(VLOOKUP(V163,'G-7 WaterC'' Data'!$AK$4:$AM$6,3,FALSE)=0,"Spatial Data Missing ⚠",VLOOKUP(V163,'G-7 WaterC'' Data'!$AK$4:$AM$6,3,FALSE)))</f>
        <v/>
      </c>
      <c r="Y163" s="398" t="str">
        <f>IFERROR(IF(OR(LEFT(P163,5)="Error",LEFT(O163,5)="Error"),"Check Data ⚠",IF(F163&lt;S163,'G-7 WaterC'' Data'!$R$3,INDEX('G-7 WaterC'' Data'!$U$5:$Y$9,MATCH(G163,'G-7 WaterC'' Data'!$T$5:$T$9,0),MATCH(T163,'G-7 WaterC'' Data'!$U$4:$Y$4,0)))),"")</f>
        <v/>
      </c>
      <c r="Z163" s="165"/>
      <c r="AA163" s="165"/>
      <c r="AB163" s="395" t="str">
        <f t="shared" si="18"/>
        <v/>
      </c>
      <c r="AC163" s="383" t="str">
        <f t="shared" si="23"/>
        <v/>
      </c>
      <c r="AD163" s="422" t="str">
        <f>IFERROR(IF(AC163="Check Data ⚠","Check Data ⚠",VLOOKUP(AC163,'G-4 Temporal multipliers'!$A$4:$C$37,3,FALSE)),"")</f>
        <v/>
      </c>
      <c r="AE163" s="398" t="str">
        <f>IF(N163="","",VLOOKUP(N163,'G-7 WaterC'' Data'!$B$4:$G$8,5,FALSE))</f>
        <v/>
      </c>
      <c r="AF163" s="382" t="str">
        <f t="shared" si="19"/>
        <v/>
      </c>
      <c r="AG163" s="382" t="str">
        <f t="shared" si="24"/>
        <v/>
      </c>
      <c r="AH163" s="386" t="str">
        <f t="shared" si="20"/>
        <v/>
      </c>
      <c r="AI163" s="122"/>
      <c r="AJ163" s="363" t="str">
        <f>IF(AI163="","",IF(VLOOKUP(AI163,'G-7 WaterC'' Data'!$AA$4:$AB$7,2,FALSE)=0,"Spatial Data Missing ⚠",VLOOKUP(AI163,'G-7 WaterC'' Data'!$AA$4:$AB$7,2,FALSE)))</f>
        <v/>
      </c>
      <c r="AK163" s="123"/>
      <c r="AL163" s="397" t="str">
        <f>IF(AK163="","",IF(VLOOKUP(AK163,'G-7 WaterC'' Data'!$AD$4:$AE$14,2,FALSE)=0,"Spatial Data Missing ⚠",VLOOKUP(AK163,'G-7 WaterC'' Data'!$AD$4:$AE$14,2,FALSE)))</f>
        <v/>
      </c>
      <c r="AM163" s="122"/>
      <c r="AN163" s="363" t="str">
        <f>IF(AM163="","",IF(VLOOKUP(AM163,'G-7 WaterC'' Data'!$AO$4:$BO$7,2,FALSE)=0,"Spatial Data Missing ⚠",VLOOKUP(AM163,'G-7 WaterC'' Data'!$AO$4:$BO$7,2,FALSE)))</f>
        <v/>
      </c>
      <c r="AO163" s="405" t="str">
        <f t="shared" si="25"/>
        <v/>
      </c>
      <c r="AP163" s="405" t="str">
        <f t="shared" si="26"/>
        <v/>
      </c>
      <c r="AQ163" s="117"/>
      <c r="AR163" s="118"/>
      <c r="AS163" s="120"/>
      <c r="AT163" s="120"/>
      <c r="AY163" s="30" t="str">
        <f>IFERROR(INDEX('G-7 WaterC'' Data'!$AZ$3:$AZ$7,MATCH(N163,'G-7 WaterC'' Data'!$AY$3:$AY$7,0)),"")</f>
        <v/>
      </c>
    </row>
    <row r="164" spans="2:51" ht="15">
      <c r="B164" s="392" t="str">
        <f>'F-1 Off-Site WaterC'' Baseline'!AR162</f>
        <v/>
      </c>
      <c r="C164" s="382" t="str">
        <f>IF(B164="","",VLOOKUP($B164,'F-1 Off-Site WaterC'' Baseline'!$C$9:$R$257,2,FALSE))</f>
        <v/>
      </c>
      <c r="D164" s="382" t="str">
        <f>IF(C164="","",VLOOKUP($B164,'F-1 Off-Site WaterC'' Baseline'!$C$9:$R$257,3,FALSE))</f>
        <v/>
      </c>
      <c r="E164" s="382" t="str">
        <f>IF(D164="","",VLOOKUP($B164,'F-1 Off-Site WaterC'' Baseline'!$C$9:$R$257,4,FALSE))</f>
        <v/>
      </c>
      <c r="F164" s="382" t="str">
        <f>IF(E164="","",VLOOKUP($B164,'F-1 Off-Site WaterC'' Baseline'!$C$9:$R$257,5,FALSE))</f>
        <v/>
      </c>
      <c r="G164" s="382" t="str">
        <f>IF(F164="","",VLOOKUP($B164,'F-1 Off-Site WaterC'' Baseline'!$C$9:$R$257,6,FALSE))</f>
        <v/>
      </c>
      <c r="H164" s="382" t="str">
        <f>IF(G164="","",VLOOKUP($B164,'F-1 Off-Site WaterC'' Baseline'!$C$9:$R$257,7,FALSE))</f>
        <v/>
      </c>
      <c r="I164" s="382" t="str">
        <f>IF(H164="","",VLOOKUP($B164,'F-1 Off-Site WaterC'' Baseline'!$C$9:$R$257,8,FALSE))</f>
        <v/>
      </c>
      <c r="J164" s="382" t="str">
        <f>IF(I164="","",VLOOKUP($B164,'F-1 Off-Site WaterC'' Baseline'!$C$9:$R$257,9,FALSE))</f>
        <v/>
      </c>
      <c r="K164" s="382" t="str">
        <f>IF(J164="","",VLOOKUP($B164,'F-1 Off-Site WaterC'' Baseline'!$C$9:$R$257,10,FALSE))</f>
        <v/>
      </c>
      <c r="L164" s="382" t="str">
        <f>IF(B164="","",VLOOKUP($B164,'F-1 Off-Site WaterC'' Baseline'!$C$9:$R$257,15,FALSE))</f>
        <v/>
      </c>
      <c r="M164" s="386" t="str">
        <f>IF(L164="","",VLOOKUP($B164,'F-1 Off-Site WaterC'' Baseline'!$C$9:$R$257,16,FALSE))</f>
        <v/>
      </c>
      <c r="N164" s="316" t="str">
        <f t="shared" si="21"/>
        <v/>
      </c>
      <c r="O164" s="362" t="str">
        <f t="shared" si="22"/>
        <v/>
      </c>
      <c r="P164" s="363" t="str">
        <f>IF(C164="","",IF(AND(LEFT(C164,55)&lt;&gt;LEFT(N164,55),O164="High - High"),"Error - Not like for like ▲",IF(H164&gt;U164,"Error - Can not reduce condition ▲",IF(AND(F164=S164,H164=U164,AJ164='F-1 Off-Site WaterC'' Baseline'!N162,'F-1 Off-Site WaterC'' Baseline'!P162=AL164),"Error - No enhancement ▲",IF(AND(C164&lt;&gt;N164,F164&lt;S164),"Lower Distinctiveness Habitat"&amp;" - "&amp;T164,G164&amp;" - "&amp;T164)))))</f>
        <v/>
      </c>
      <c r="Q164" s="368" t="str">
        <f>IF(N164="","",VLOOKUP(B164,'F-1 Off-Site WaterC'' Baseline'!$C$10:$AE$257,22,FALSE))</f>
        <v/>
      </c>
      <c r="R164" s="362" t="str">
        <f>IF(N164="","",VLOOKUP(N164,'G-7 WaterC'' Data'!$B$2:$G$8,2,FALSE))</f>
        <v/>
      </c>
      <c r="S164" s="363" t="str">
        <f>IFERROR(VLOOKUP(R164,'G-7 WaterC'' Data'!$C$4:$D$8,2,FALSE),"")</f>
        <v/>
      </c>
      <c r="T164" s="114"/>
      <c r="U164" s="363" t="str">
        <f>IFERROR(INDEX('G-7 WaterC'' Data'!$H$4:$L$8,MATCH(N164,'G-7 WaterC'' Data'!$B$4:$B$8,0),MATCH(T164,'G-7 WaterC'' Data'!$H$3:$L$3,0)),"")</f>
        <v/>
      </c>
      <c r="V164" s="122"/>
      <c r="W164" s="382" t="str">
        <f>IF(V164="","",IF(VLOOKUP(V164,'G-7 WaterC'' Data'!$AK$4:$AM$6,2,FALSE)=0,"Spatial Data Missing ⚠",VLOOKUP(V164,'G-7 WaterC'' Data'!$AK$4:$AM$6,2,FALSE)))</f>
        <v/>
      </c>
      <c r="X164" s="386" t="str">
        <f>IF(V164="","",IF(VLOOKUP(V164,'G-7 WaterC'' Data'!$AK$4:$AM$6,3,FALSE)=0,"Spatial Data Missing ⚠",VLOOKUP(V164,'G-7 WaterC'' Data'!$AK$4:$AM$6,3,FALSE)))</f>
        <v/>
      </c>
      <c r="Y164" s="398" t="str">
        <f>IFERROR(IF(OR(LEFT(P164,5)="Error",LEFT(O164,5)="Error"),"Check Data ⚠",IF(F164&lt;S164,'G-7 WaterC'' Data'!$R$3,INDEX('G-7 WaterC'' Data'!$U$5:$Y$9,MATCH(G164,'G-7 WaterC'' Data'!$T$5:$T$9,0),MATCH(T164,'G-7 WaterC'' Data'!$U$4:$Y$4,0)))),"")</f>
        <v/>
      </c>
      <c r="Z164" s="165"/>
      <c r="AA164" s="165"/>
      <c r="AB164" s="395" t="str">
        <f t="shared" si="18"/>
        <v/>
      </c>
      <c r="AC164" s="383" t="str">
        <f t="shared" si="23"/>
        <v/>
      </c>
      <c r="AD164" s="422" t="str">
        <f>IFERROR(IF(AC164="Check Data ⚠","Check Data ⚠",VLOOKUP(AC164,'G-4 Temporal multipliers'!$A$4:$C$37,3,FALSE)),"")</f>
        <v/>
      </c>
      <c r="AE164" s="398" t="str">
        <f>IF(N164="","",VLOOKUP(N164,'G-7 WaterC'' Data'!$B$4:$G$8,5,FALSE))</f>
        <v/>
      </c>
      <c r="AF164" s="382" t="str">
        <f t="shared" si="19"/>
        <v/>
      </c>
      <c r="AG164" s="382" t="str">
        <f t="shared" si="24"/>
        <v/>
      </c>
      <c r="AH164" s="386" t="str">
        <f t="shared" si="20"/>
        <v/>
      </c>
      <c r="AI164" s="122"/>
      <c r="AJ164" s="363" t="str">
        <f>IF(AI164="","",IF(VLOOKUP(AI164,'G-7 WaterC'' Data'!$AA$4:$AB$7,2,FALSE)=0,"Spatial Data Missing ⚠",VLOOKUP(AI164,'G-7 WaterC'' Data'!$AA$4:$AB$7,2,FALSE)))</f>
        <v/>
      </c>
      <c r="AK164" s="123"/>
      <c r="AL164" s="397" t="str">
        <f>IF(AK164="","",IF(VLOOKUP(AK164,'G-7 WaterC'' Data'!$AD$4:$AE$14,2,FALSE)=0,"Spatial Data Missing ⚠",VLOOKUP(AK164,'G-7 WaterC'' Data'!$AD$4:$AE$14,2,FALSE)))</f>
        <v/>
      </c>
      <c r="AM164" s="122"/>
      <c r="AN164" s="363" t="str">
        <f>IF(AM164="","",IF(VLOOKUP(AM164,'G-7 WaterC'' Data'!$AO$4:$BO$7,2,FALSE)=0,"Spatial Data Missing ⚠",VLOOKUP(AM164,'G-7 WaterC'' Data'!$AO$4:$BO$7,2,FALSE)))</f>
        <v/>
      </c>
      <c r="AO164" s="405" t="str">
        <f t="shared" si="25"/>
        <v/>
      </c>
      <c r="AP164" s="405" t="str">
        <f t="shared" si="26"/>
        <v/>
      </c>
      <c r="AQ164" s="117"/>
      <c r="AR164" s="118"/>
      <c r="AS164" s="120"/>
      <c r="AT164" s="120"/>
      <c r="AY164" s="30" t="str">
        <f>IFERROR(INDEX('G-7 WaterC'' Data'!$AZ$3:$AZ$7,MATCH(N164,'G-7 WaterC'' Data'!$AY$3:$AY$7,0)),"")</f>
        <v/>
      </c>
    </row>
    <row r="165" spans="2:51" ht="15">
      <c r="B165" s="392" t="str">
        <f>'F-1 Off-Site WaterC'' Baseline'!AR163</f>
        <v/>
      </c>
      <c r="C165" s="382" t="str">
        <f>IF(B165="","",VLOOKUP($B165,'F-1 Off-Site WaterC'' Baseline'!$C$9:$R$257,2,FALSE))</f>
        <v/>
      </c>
      <c r="D165" s="382" t="str">
        <f>IF(C165="","",VLOOKUP($B165,'F-1 Off-Site WaterC'' Baseline'!$C$9:$R$257,3,FALSE))</f>
        <v/>
      </c>
      <c r="E165" s="382" t="str">
        <f>IF(D165="","",VLOOKUP($B165,'F-1 Off-Site WaterC'' Baseline'!$C$9:$R$257,4,FALSE))</f>
        <v/>
      </c>
      <c r="F165" s="382" t="str">
        <f>IF(E165="","",VLOOKUP($B165,'F-1 Off-Site WaterC'' Baseline'!$C$9:$R$257,5,FALSE))</f>
        <v/>
      </c>
      <c r="G165" s="382" t="str">
        <f>IF(F165="","",VLOOKUP($B165,'F-1 Off-Site WaterC'' Baseline'!$C$9:$R$257,6,FALSE))</f>
        <v/>
      </c>
      <c r="H165" s="382" t="str">
        <f>IF(G165="","",VLOOKUP($B165,'F-1 Off-Site WaterC'' Baseline'!$C$9:$R$257,7,FALSE))</f>
        <v/>
      </c>
      <c r="I165" s="382" t="str">
        <f>IF(H165="","",VLOOKUP($B165,'F-1 Off-Site WaterC'' Baseline'!$C$9:$R$257,8,FALSE))</f>
        <v/>
      </c>
      <c r="J165" s="382" t="str">
        <f>IF(I165="","",VLOOKUP($B165,'F-1 Off-Site WaterC'' Baseline'!$C$9:$R$257,9,FALSE))</f>
        <v/>
      </c>
      <c r="K165" s="382" t="str">
        <f>IF(J165="","",VLOOKUP($B165,'F-1 Off-Site WaterC'' Baseline'!$C$9:$R$257,10,FALSE))</f>
        <v/>
      </c>
      <c r="L165" s="382" t="str">
        <f>IF(B165="","",VLOOKUP($B165,'F-1 Off-Site WaterC'' Baseline'!$C$9:$R$257,15,FALSE))</f>
        <v/>
      </c>
      <c r="M165" s="386" t="str">
        <f>IF(L165="","",VLOOKUP($B165,'F-1 Off-Site WaterC'' Baseline'!$C$9:$R$257,16,FALSE))</f>
        <v/>
      </c>
      <c r="N165" s="316" t="str">
        <f t="shared" si="21"/>
        <v/>
      </c>
      <c r="O165" s="362" t="str">
        <f t="shared" si="22"/>
        <v/>
      </c>
      <c r="P165" s="363" t="str">
        <f>IF(C165="","",IF(AND(LEFT(C165,55)&lt;&gt;LEFT(N165,55),O165="High - High"),"Error - Not like for like ▲",IF(H165&gt;U165,"Error - Can not reduce condition ▲",IF(AND(F165=S165,H165=U165,AJ165='F-1 Off-Site WaterC'' Baseline'!N163,'F-1 Off-Site WaterC'' Baseline'!P163=AL165),"Error - No enhancement ▲",IF(AND(C165&lt;&gt;N165,F165&lt;S165),"Lower Distinctiveness Habitat"&amp;" - "&amp;T165,G165&amp;" - "&amp;T165)))))</f>
        <v/>
      </c>
      <c r="Q165" s="368" t="str">
        <f>IF(N165="","",VLOOKUP(B165,'F-1 Off-Site WaterC'' Baseline'!$C$10:$AE$257,22,FALSE))</f>
        <v/>
      </c>
      <c r="R165" s="362" t="str">
        <f>IF(N165="","",VLOOKUP(N165,'G-7 WaterC'' Data'!$B$2:$G$8,2,FALSE))</f>
        <v/>
      </c>
      <c r="S165" s="363" t="str">
        <f>IFERROR(VLOOKUP(R165,'G-7 WaterC'' Data'!$C$4:$D$8,2,FALSE),"")</f>
        <v/>
      </c>
      <c r="T165" s="114"/>
      <c r="U165" s="363" t="str">
        <f>IFERROR(INDEX('G-7 WaterC'' Data'!$H$4:$L$8,MATCH(N165,'G-7 WaterC'' Data'!$B$4:$B$8,0),MATCH(T165,'G-7 WaterC'' Data'!$H$3:$L$3,0)),"")</f>
        <v/>
      </c>
      <c r="V165" s="122"/>
      <c r="W165" s="382" t="str">
        <f>IF(V165="","",IF(VLOOKUP(V165,'G-7 WaterC'' Data'!$AK$4:$AM$6,2,FALSE)=0,"Spatial Data Missing ⚠",VLOOKUP(V165,'G-7 WaterC'' Data'!$AK$4:$AM$6,2,FALSE)))</f>
        <v/>
      </c>
      <c r="X165" s="386" t="str">
        <f>IF(V165="","",IF(VLOOKUP(V165,'G-7 WaterC'' Data'!$AK$4:$AM$6,3,FALSE)=0,"Spatial Data Missing ⚠",VLOOKUP(V165,'G-7 WaterC'' Data'!$AK$4:$AM$6,3,FALSE)))</f>
        <v/>
      </c>
      <c r="Y165" s="398" t="str">
        <f>IFERROR(IF(OR(LEFT(P165,5)="Error",LEFT(O165,5)="Error"),"Check Data ⚠",IF(F165&lt;S165,'G-7 WaterC'' Data'!$R$3,INDEX('G-7 WaterC'' Data'!$U$5:$Y$9,MATCH(G165,'G-7 WaterC'' Data'!$T$5:$T$9,0),MATCH(T165,'G-7 WaterC'' Data'!$U$4:$Y$4,0)))),"")</f>
        <v/>
      </c>
      <c r="Z165" s="165"/>
      <c r="AA165" s="165"/>
      <c r="AB165" s="395" t="str">
        <f t="shared" si="18"/>
        <v/>
      </c>
      <c r="AC165" s="383" t="str">
        <f t="shared" si="23"/>
        <v/>
      </c>
      <c r="AD165" s="422" t="str">
        <f>IFERROR(IF(AC165="Check Data ⚠","Check Data ⚠",VLOOKUP(AC165,'G-4 Temporal multipliers'!$A$4:$C$37,3,FALSE)),"")</f>
        <v/>
      </c>
      <c r="AE165" s="398" t="str">
        <f>IF(N165="","",VLOOKUP(N165,'G-7 WaterC'' Data'!$B$4:$G$8,5,FALSE))</f>
        <v/>
      </c>
      <c r="AF165" s="382" t="str">
        <f t="shared" si="19"/>
        <v/>
      </c>
      <c r="AG165" s="382" t="str">
        <f t="shared" si="24"/>
        <v/>
      </c>
      <c r="AH165" s="386" t="str">
        <f t="shared" si="20"/>
        <v/>
      </c>
      <c r="AI165" s="122"/>
      <c r="AJ165" s="363" t="str">
        <f>IF(AI165="","",IF(VLOOKUP(AI165,'G-7 WaterC'' Data'!$AA$4:$AB$7,2,FALSE)=0,"Spatial Data Missing ⚠",VLOOKUP(AI165,'G-7 WaterC'' Data'!$AA$4:$AB$7,2,FALSE)))</f>
        <v/>
      </c>
      <c r="AK165" s="123"/>
      <c r="AL165" s="397" t="str">
        <f>IF(AK165="","",IF(VLOOKUP(AK165,'G-7 WaterC'' Data'!$AD$4:$AE$14,2,FALSE)=0,"Spatial Data Missing ⚠",VLOOKUP(AK165,'G-7 WaterC'' Data'!$AD$4:$AE$14,2,FALSE)))</f>
        <v/>
      </c>
      <c r="AM165" s="122"/>
      <c r="AN165" s="363" t="str">
        <f>IF(AM165="","",IF(VLOOKUP(AM165,'G-7 WaterC'' Data'!$AO$4:$BO$7,2,FALSE)=0,"Spatial Data Missing ⚠",VLOOKUP(AM165,'G-7 WaterC'' Data'!$AO$4:$BO$7,2,FALSE)))</f>
        <v/>
      </c>
      <c r="AO165" s="405" t="str">
        <f t="shared" si="25"/>
        <v/>
      </c>
      <c r="AP165" s="405" t="str">
        <f t="shared" si="26"/>
        <v/>
      </c>
      <c r="AQ165" s="117"/>
      <c r="AR165" s="118"/>
      <c r="AS165" s="120"/>
      <c r="AT165" s="120"/>
      <c r="AY165" s="30" t="str">
        <f>IFERROR(INDEX('G-7 WaterC'' Data'!$AZ$3:$AZ$7,MATCH(N165,'G-7 WaterC'' Data'!$AY$3:$AY$7,0)),"")</f>
        <v/>
      </c>
    </row>
    <row r="166" spans="2:51" ht="15">
      <c r="B166" s="392" t="str">
        <f>'F-1 Off-Site WaterC'' Baseline'!AR164</f>
        <v/>
      </c>
      <c r="C166" s="382" t="str">
        <f>IF(B166="","",VLOOKUP($B166,'F-1 Off-Site WaterC'' Baseline'!$C$9:$R$257,2,FALSE))</f>
        <v/>
      </c>
      <c r="D166" s="382" t="str">
        <f>IF(C166="","",VLOOKUP($B166,'F-1 Off-Site WaterC'' Baseline'!$C$9:$R$257,3,FALSE))</f>
        <v/>
      </c>
      <c r="E166" s="382" t="str">
        <f>IF(D166="","",VLOOKUP($B166,'F-1 Off-Site WaterC'' Baseline'!$C$9:$R$257,4,FALSE))</f>
        <v/>
      </c>
      <c r="F166" s="382" t="str">
        <f>IF(E166="","",VLOOKUP($B166,'F-1 Off-Site WaterC'' Baseline'!$C$9:$R$257,5,FALSE))</f>
        <v/>
      </c>
      <c r="G166" s="382" t="str">
        <f>IF(F166="","",VLOOKUP($B166,'F-1 Off-Site WaterC'' Baseline'!$C$9:$R$257,6,FALSE))</f>
        <v/>
      </c>
      <c r="H166" s="382" t="str">
        <f>IF(G166="","",VLOOKUP($B166,'F-1 Off-Site WaterC'' Baseline'!$C$9:$R$257,7,FALSE))</f>
        <v/>
      </c>
      <c r="I166" s="382" t="str">
        <f>IF(H166="","",VLOOKUP($B166,'F-1 Off-Site WaterC'' Baseline'!$C$9:$R$257,8,FALSE))</f>
        <v/>
      </c>
      <c r="J166" s="382" t="str">
        <f>IF(I166="","",VLOOKUP($B166,'F-1 Off-Site WaterC'' Baseline'!$C$9:$R$257,9,FALSE))</f>
        <v/>
      </c>
      <c r="K166" s="382" t="str">
        <f>IF(J166="","",VLOOKUP($B166,'F-1 Off-Site WaterC'' Baseline'!$C$9:$R$257,10,FALSE))</f>
        <v/>
      </c>
      <c r="L166" s="382" t="str">
        <f>IF(B166="","",VLOOKUP($B166,'F-1 Off-Site WaterC'' Baseline'!$C$9:$R$257,15,FALSE))</f>
        <v/>
      </c>
      <c r="M166" s="386" t="str">
        <f>IF(L166="","",VLOOKUP($B166,'F-1 Off-Site WaterC'' Baseline'!$C$9:$R$257,16,FALSE))</f>
        <v/>
      </c>
      <c r="N166" s="316" t="str">
        <f t="shared" si="21"/>
        <v/>
      </c>
      <c r="O166" s="362" t="str">
        <f t="shared" si="22"/>
        <v/>
      </c>
      <c r="P166" s="363" t="str">
        <f>IF(C166="","",IF(AND(LEFT(C166,55)&lt;&gt;LEFT(N166,55),O166="High - High"),"Error - Not like for like ▲",IF(H166&gt;U166,"Error - Can not reduce condition ▲",IF(AND(F166=S166,H166=U166,AJ166='F-1 Off-Site WaterC'' Baseline'!N164,'F-1 Off-Site WaterC'' Baseline'!P164=AL166),"Error - No enhancement ▲",IF(AND(C166&lt;&gt;N166,F166&lt;S166),"Lower Distinctiveness Habitat"&amp;" - "&amp;T166,G166&amp;" - "&amp;T166)))))</f>
        <v/>
      </c>
      <c r="Q166" s="368" t="str">
        <f>IF(N166="","",VLOOKUP(B166,'F-1 Off-Site WaterC'' Baseline'!$C$10:$AE$257,22,FALSE))</f>
        <v/>
      </c>
      <c r="R166" s="362" t="str">
        <f>IF(N166="","",VLOOKUP(N166,'G-7 WaterC'' Data'!$B$2:$G$8,2,FALSE))</f>
        <v/>
      </c>
      <c r="S166" s="363" t="str">
        <f>IFERROR(VLOOKUP(R166,'G-7 WaterC'' Data'!$C$4:$D$8,2,FALSE),"")</f>
        <v/>
      </c>
      <c r="T166" s="114"/>
      <c r="U166" s="363" t="str">
        <f>IFERROR(INDEX('G-7 WaterC'' Data'!$H$4:$L$8,MATCH(N166,'G-7 WaterC'' Data'!$B$4:$B$8,0),MATCH(T166,'G-7 WaterC'' Data'!$H$3:$L$3,0)),"")</f>
        <v/>
      </c>
      <c r="V166" s="122"/>
      <c r="W166" s="382" t="str">
        <f>IF(V166="","",IF(VLOOKUP(V166,'G-7 WaterC'' Data'!$AK$4:$AM$6,2,FALSE)=0,"Spatial Data Missing ⚠",VLOOKUP(V166,'G-7 WaterC'' Data'!$AK$4:$AM$6,2,FALSE)))</f>
        <v/>
      </c>
      <c r="X166" s="386" t="str">
        <f>IF(V166="","",IF(VLOOKUP(V166,'G-7 WaterC'' Data'!$AK$4:$AM$6,3,FALSE)=0,"Spatial Data Missing ⚠",VLOOKUP(V166,'G-7 WaterC'' Data'!$AK$4:$AM$6,3,FALSE)))</f>
        <v/>
      </c>
      <c r="Y166" s="398" t="str">
        <f>IFERROR(IF(OR(LEFT(P166,5)="Error",LEFT(O166,5)="Error"),"Check Data ⚠",IF(F166&lt;S166,'G-7 WaterC'' Data'!$R$3,INDEX('G-7 WaterC'' Data'!$U$5:$Y$9,MATCH(G166,'G-7 WaterC'' Data'!$T$5:$T$9,0),MATCH(T166,'G-7 WaterC'' Data'!$U$4:$Y$4,0)))),"")</f>
        <v/>
      </c>
      <c r="Z166" s="165"/>
      <c r="AA166" s="165"/>
      <c r="AB166" s="395" t="str">
        <f t="shared" si="18"/>
        <v/>
      </c>
      <c r="AC166" s="383" t="str">
        <f t="shared" si="23"/>
        <v/>
      </c>
      <c r="AD166" s="422" t="str">
        <f>IFERROR(IF(AC166="Check Data ⚠","Check Data ⚠",VLOOKUP(AC166,'G-4 Temporal multipliers'!$A$4:$C$37,3,FALSE)),"")</f>
        <v/>
      </c>
      <c r="AE166" s="398" t="str">
        <f>IF(N166="","",VLOOKUP(N166,'G-7 WaterC'' Data'!$B$4:$G$8,5,FALSE))</f>
        <v/>
      </c>
      <c r="AF166" s="382" t="str">
        <f t="shared" si="19"/>
        <v/>
      </c>
      <c r="AG166" s="382" t="str">
        <f t="shared" si="24"/>
        <v/>
      </c>
      <c r="AH166" s="386" t="str">
        <f t="shared" si="20"/>
        <v/>
      </c>
      <c r="AI166" s="122"/>
      <c r="AJ166" s="363" t="str">
        <f>IF(AI166="","",IF(VLOOKUP(AI166,'G-7 WaterC'' Data'!$AA$4:$AB$7,2,FALSE)=0,"Spatial Data Missing ⚠",VLOOKUP(AI166,'G-7 WaterC'' Data'!$AA$4:$AB$7,2,FALSE)))</f>
        <v/>
      </c>
      <c r="AK166" s="123"/>
      <c r="AL166" s="397" t="str">
        <f>IF(AK166="","",IF(VLOOKUP(AK166,'G-7 WaterC'' Data'!$AD$4:$AE$14,2,FALSE)=0,"Spatial Data Missing ⚠",VLOOKUP(AK166,'G-7 WaterC'' Data'!$AD$4:$AE$14,2,FALSE)))</f>
        <v/>
      </c>
      <c r="AM166" s="122"/>
      <c r="AN166" s="363" t="str">
        <f>IF(AM166="","",IF(VLOOKUP(AM166,'G-7 WaterC'' Data'!$AO$4:$BO$7,2,FALSE)=0,"Spatial Data Missing ⚠",VLOOKUP(AM166,'G-7 WaterC'' Data'!$AO$4:$BO$7,2,FALSE)))</f>
        <v/>
      </c>
      <c r="AO166" s="405" t="str">
        <f t="shared" si="25"/>
        <v/>
      </c>
      <c r="AP166" s="405" t="str">
        <f t="shared" si="26"/>
        <v/>
      </c>
      <c r="AQ166" s="117"/>
      <c r="AR166" s="118"/>
      <c r="AS166" s="120"/>
      <c r="AT166" s="120"/>
      <c r="AY166" s="30" t="str">
        <f>IFERROR(INDEX('G-7 WaterC'' Data'!$AZ$3:$AZ$7,MATCH(N166,'G-7 WaterC'' Data'!$AY$3:$AY$7,0)),"")</f>
        <v/>
      </c>
    </row>
    <row r="167" spans="2:51" ht="15">
      <c r="B167" s="392" t="str">
        <f>'F-1 Off-Site WaterC'' Baseline'!AR165</f>
        <v/>
      </c>
      <c r="C167" s="382" t="str">
        <f>IF(B167="","",VLOOKUP($B167,'F-1 Off-Site WaterC'' Baseline'!$C$9:$R$257,2,FALSE))</f>
        <v/>
      </c>
      <c r="D167" s="382" t="str">
        <f>IF(C167="","",VLOOKUP($B167,'F-1 Off-Site WaterC'' Baseline'!$C$9:$R$257,3,FALSE))</f>
        <v/>
      </c>
      <c r="E167" s="382" t="str">
        <f>IF(D167="","",VLOOKUP($B167,'F-1 Off-Site WaterC'' Baseline'!$C$9:$R$257,4,FALSE))</f>
        <v/>
      </c>
      <c r="F167" s="382" t="str">
        <f>IF(E167="","",VLOOKUP($B167,'F-1 Off-Site WaterC'' Baseline'!$C$9:$R$257,5,FALSE))</f>
        <v/>
      </c>
      <c r="G167" s="382" t="str">
        <f>IF(F167="","",VLOOKUP($B167,'F-1 Off-Site WaterC'' Baseline'!$C$9:$R$257,6,FALSE))</f>
        <v/>
      </c>
      <c r="H167" s="382" t="str">
        <f>IF(G167="","",VLOOKUP($B167,'F-1 Off-Site WaterC'' Baseline'!$C$9:$R$257,7,FALSE))</f>
        <v/>
      </c>
      <c r="I167" s="382" t="str">
        <f>IF(H167="","",VLOOKUP($B167,'F-1 Off-Site WaterC'' Baseline'!$C$9:$R$257,8,FALSE))</f>
        <v/>
      </c>
      <c r="J167" s="382" t="str">
        <f>IF(I167="","",VLOOKUP($B167,'F-1 Off-Site WaterC'' Baseline'!$C$9:$R$257,9,FALSE))</f>
        <v/>
      </c>
      <c r="K167" s="382" t="str">
        <f>IF(J167="","",VLOOKUP($B167,'F-1 Off-Site WaterC'' Baseline'!$C$9:$R$257,10,FALSE))</f>
        <v/>
      </c>
      <c r="L167" s="382" t="str">
        <f>IF(B167="","",VLOOKUP($B167,'F-1 Off-Site WaterC'' Baseline'!$C$9:$R$257,15,FALSE))</f>
        <v/>
      </c>
      <c r="M167" s="386" t="str">
        <f>IF(L167="","",VLOOKUP($B167,'F-1 Off-Site WaterC'' Baseline'!$C$9:$R$257,16,FALSE))</f>
        <v/>
      </c>
      <c r="N167" s="316" t="str">
        <f t="shared" si="21"/>
        <v/>
      </c>
      <c r="O167" s="362" t="str">
        <f t="shared" si="22"/>
        <v/>
      </c>
      <c r="P167" s="363" t="str">
        <f>IF(C167="","",IF(AND(LEFT(C167,55)&lt;&gt;LEFT(N167,55),O167="High - High"),"Error - Not like for like ▲",IF(H167&gt;U167,"Error - Can not reduce condition ▲",IF(AND(F167=S167,H167=U167,AJ167='F-1 Off-Site WaterC'' Baseline'!N165,'F-1 Off-Site WaterC'' Baseline'!P165=AL167),"Error - No enhancement ▲",IF(AND(C167&lt;&gt;N167,F167&lt;S167),"Lower Distinctiveness Habitat"&amp;" - "&amp;T167,G167&amp;" - "&amp;T167)))))</f>
        <v/>
      </c>
      <c r="Q167" s="368" t="str">
        <f>IF(N167="","",VLOOKUP(B167,'F-1 Off-Site WaterC'' Baseline'!$C$10:$AE$257,22,FALSE))</f>
        <v/>
      </c>
      <c r="R167" s="362" t="str">
        <f>IF(N167="","",VLOOKUP(N167,'G-7 WaterC'' Data'!$B$2:$G$8,2,FALSE))</f>
        <v/>
      </c>
      <c r="S167" s="363" t="str">
        <f>IFERROR(VLOOKUP(R167,'G-7 WaterC'' Data'!$C$4:$D$8,2,FALSE),"")</f>
        <v/>
      </c>
      <c r="T167" s="114"/>
      <c r="U167" s="363" t="str">
        <f>IFERROR(INDEX('G-7 WaterC'' Data'!$H$4:$L$8,MATCH(N167,'G-7 WaterC'' Data'!$B$4:$B$8,0),MATCH(T167,'G-7 WaterC'' Data'!$H$3:$L$3,0)),"")</f>
        <v/>
      </c>
      <c r="V167" s="122"/>
      <c r="W167" s="382" t="str">
        <f>IF(V167="","",IF(VLOOKUP(V167,'G-7 WaterC'' Data'!$AK$4:$AM$6,2,FALSE)=0,"Spatial Data Missing ⚠",VLOOKUP(V167,'G-7 WaterC'' Data'!$AK$4:$AM$6,2,FALSE)))</f>
        <v/>
      </c>
      <c r="X167" s="386" t="str">
        <f>IF(V167="","",IF(VLOOKUP(V167,'G-7 WaterC'' Data'!$AK$4:$AM$6,3,FALSE)=0,"Spatial Data Missing ⚠",VLOOKUP(V167,'G-7 WaterC'' Data'!$AK$4:$AM$6,3,FALSE)))</f>
        <v/>
      </c>
      <c r="Y167" s="398" t="str">
        <f>IFERROR(IF(OR(LEFT(P167,5)="Error",LEFT(O167,5)="Error"),"Check Data ⚠",IF(F167&lt;S167,'G-7 WaterC'' Data'!$R$3,INDEX('G-7 WaterC'' Data'!$U$5:$Y$9,MATCH(G167,'G-7 WaterC'' Data'!$T$5:$T$9,0),MATCH(T167,'G-7 WaterC'' Data'!$U$4:$Y$4,0)))),"")</f>
        <v/>
      </c>
      <c r="Z167" s="165"/>
      <c r="AA167" s="165"/>
      <c r="AB167" s="395" t="str">
        <f t="shared" si="18"/>
        <v/>
      </c>
      <c r="AC167" s="383" t="str">
        <f t="shared" si="23"/>
        <v/>
      </c>
      <c r="AD167" s="422" t="str">
        <f>IFERROR(IF(AC167="Check Data ⚠","Check Data ⚠",VLOOKUP(AC167,'G-4 Temporal multipliers'!$A$4:$C$37,3,FALSE)),"")</f>
        <v/>
      </c>
      <c r="AE167" s="398" t="str">
        <f>IF(N167="","",VLOOKUP(N167,'G-7 WaterC'' Data'!$B$4:$G$8,5,FALSE))</f>
        <v/>
      </c>
      <c r="AF167" s="382" t="str">
        <f t="shared" si="19"/>
        <v/>
      </c>
      <c r="AG167" s="382" t="str">
        <f t="shared" si="24"/>
        <v/>
      </c>
      <c r="AH167" s="386" t="str">
        <f t="shared" si="20"/>
        <v/>
      </c>
      <c r="AI167" s="122"/>
      <c r="AJ167" s="363" t="str">
        <f>IF(AI167="","",IF(VLOOKUP(AI167,'G-7 WaterC'' Data'!$AA$4:$AB$7,2,FALSE)=0,"Spatial Data Missing ⚠",VLOOKUP(AI167,'G-7 WaterC'' Data'!$AA$4:$AB$7,2,FALSE)))</f>
        <v/>
      </c>
      <c r="AK167" s="123"/>
      <c r="AL167" s="397" t="str">
        <f>IF(AK167="","",IF(VLOOKUP(AK167,'G-7 WaterC'' Data'!$AD$4:$AE$14,2,FALSE)=0,"Spatial Data Missing ⚠",VLOOKUP(AK167,'G-7 WaterC'' Data'!$AD$4:$AE$14,2,FALSE)))</f>
        <v/>
      </c>
      <c r="AM167" s="122"/>
      <c r="AN167" s="363" t="str">
        <f>IF(AM167="","",IF(VLOOKUP(AM167,'G-7 WaterC'' Data'!$AO$4:$BO$7,2,FALSE)=0,"Spatial Data Missing ⚠",VLOOKUP(AM167,'G-7 WaterC'' Data'!$AO$4:$BO$7,2,FALSE)))</f>
        <v/>
      </c>
      <c r="AO167" s="405" t="str">
        <f t="shared" si="25"/>
        <v/>
      </c>
      <c r="AP167" s="405" t="str">
        <f t="shared" si="26"/>
        <v/>
      </c>
      <c r="AQ167" s="117"/>
      <c r="AR167" s="118"/>
      <c r="AS167" s="120"/>
      <c r="AT167" s="120"/>
      <c r="AY167" s="30" t="str">
        <f>IFERROR(INDEX('G-7 WaterC'' Data'!$AZ$3:$AZ$7,MATCH(N167,'G-7 WaterC'' Data'!$AY$3:$AY$7,0)),"")</f>
        <v/>
      </c>
    </row>
    <row r="168" spans="2:51" ht="15">
      <c r="B168" s="392" t="str">
        <f>'F-1 Off-Site WaterC'' Baseline'!AR166</f>
        <v/>
      </c>
      <c r="C168" s="382" t="str">
        <f>IF(B168="","",VLOOKUP($B168,'F-1 Off-Site WaterC'' Baseline'!$C$9:$R$257,2,FALSE))</f>
        <v/>
      </c>
      <c r="D168" s="382" t="str">
        <f>IF(C168="","",VLOOKUP($B168,'F-1 Off-Site WaterC'' Baseline'!$C$9:$R$257,3,FALSE))</f>
        <v/>
      </c>
      <c r="E168" s="382" t="str">
        <f>IF(D168="","",VLOOKUP($B168,'F-1 Off-Site WaterC'' Baseline'!$C$9:$R$257,4,FALSE))</f>
        <v/>
      </c>
      <c r="F168" s="382" t="str">
        <f>IF(E168="","",VLOOKUP($B168,'F-1 Off-Site WaterC'' Baseline'!$C$9:$R$257,5,FALSE))</f>
        <v/>
      </c>
      <c r="G168" s="382" t="str">
        <f>IF(F168="","",VLOOKUP($B168,'F-1 Off-Site WaterC'' Baseline'!$C$9:$R$257,6,FALSE))</f>
        <v/>
      </c>
      <c r="H168" s="382" t="str">
        <f>IF(G168="","",VLOOKUP($B168,'F-1 Off-Site WaterC'' Baseline'!$C$9:$R$257,7,FALSE))</f>
        <v/>
      </c>
      <c r="I168" s="382" t="str">
        <f>IF(H168="","",VLOOKUP($B168,'F-1 Off-Site WaterC'' Baseline'!$C$9:$R$257,8,FALSE))</f>
        <v/>
      </c>
      <c r="J168" s="382" t="str">
        <f>IF(I168="","",VLOOKUP($B168,'F-1 Off-Site WaterC'' Baseline'!$C$9:$R$257,9,FALSE))</f>
        <v/>
      </c>
      <c r="K168" s="382" t="str">
        <f>IF(J168="","",VLOOKUP($B168,'F-1 Off-Site WaterC'' Baseline'!$C$9:$R$257,10,FALSE))</f>
        <v/>
      </c>
      <c r="L168" s="382" t="str">
        <f>IF(B168="","",VLOOKUP($B168,'F-1 Off-Site WaterC'' Baseline'!$C$9:$R$257,15,FALSE))</f>
        <v/>
      </c>
      <c r="M168" s="386" t="str">
        <f>IF(L168="","",VLOOKUP($B168,'F-1 Off-Site WaterC'' Baseline'!$C$9:$R$257,16,FALSE))</f>
        <v/>
      </c>
      <c r="N168" s="316" t="str">
        <f t="shared" si="21"/>
        <v/>
      </c>
      <c r="O168" s="362" t="str">
        <f t="shared" si="22"/>
        <v/>
      </c>
      <c r="P168" s="363" t="str">
        <f>IF(C168="","",IF(AND(LEFT(C168,55)&lt;&gt;LEFT(N168,55),O168="High - High"),"Error - Not like for like ▲",IF(H168&gt;U168,"Error - Can not reduce condition ▲",IF(AND(F168=S168,H168=U168,AJ168='F-1 Off-Site WaterC'' Baseline'!N166,'F-1 Off-Site WaterC'' Baseline'!P166=AL168),"Error - No enhancement ▲",IF(AND(C168&lt;&gt;N168,F168&lt;S168),"Lower Distinctiveness Habitat"&amp;" - "&amp;T168,G168&amp;" - "&amp;T168)))))</f>
        <v/>
      </c>
      <c r="Q168" s="368" t="str">
        <f>IF(N168="","",VLOOKUP(B168,'F-1 Off-Site WaterC'' Baseline'!$C$10:$AE$257,22,FALSE))</f>
        <v/>
      </c>
      <c r="R168" s="362" t="str">
        <f>IF(N168="","",VLOOKUP(N168,'G-7 WaterC'' Data'!$B$2:$G$8,2,FALSE))</f>
        <v/>
      </c>
      <c r="S168" s="363" t="str">
        <f>IFERROR(VLOOKUP(R168,'G-7 WaterC'' Data'!$C$4:$D$8,2,FALSE),"")</f>
        <v/>
      </c>
      <c r="T168" s="114"/>
      <c r="U168" s="363" t="str">
        <f>IFERROR(INDEX('G-7 WaterC'' Data'!$H$4:$L$8,MATCH(N168,'G-7 WaterC'' Data'!$B$4:$B$8,0),MATCH(T168,'G-7 WaterC'' Data'!$H$3:$L$3,0)),"")</f>
        <v/>
      </c>
      <c r="V168" s="122"/>
      <c r="W168" s="382" t="str">
        <f>IF(V168="","",IF(VLOOKUP(V168,'G-7 WaterC'' Data'!$AK$4:$AM$6,2,FALSE)=0,"Spatial Data Missing ⚠",VLOOKUP(V168,'G-7 WaterC'' Data'!$AK$4:$AM$6,2,FALSE)))</f>
        <v/>
      </c>
      <c r="X168" s="386" t="str">
        <f>IF(V168="","",IF(VLOOKUP(V168,'G-7 WaterC'' Data'!$AK$4:$AM$6,3,FALSE)=0,"Spatial Data Missing ⚠",VLOOKUP(V168,'G-7 WaterC'' Data'!$AK$4:$AM$6,3,FALSE)))</f>
        <v/>
      </c>
      <c r="Y168" s="398" t="str">
        <f>IFERROR(IF(OR(LEFT(P168,5)="Error",LEFT(O168,5)="Error"),"Check Data ⚠",IF(F168&lt;S168,'G-7 WaterC'' Data'!$R$3,INDEX('G-7 WaterC'' Data'!$U$5:$Y$9,MATCH(G168,'G-7 WaterC'' Data'!$T$5:$T$9,0),MATCH(T168,'G-7 WaterC'' Data'!$U$4:$Y$4,0)))),"")</f>
        <v/>
      </c>
      <c r="Z168" s="165"/>
      <c r="AA168" s="165"/>
      <c r="AB168" s="395" t="str">
        <f t="shared" si="18"/>
        <v/>
      </c>
      <c r="AC168" s="383" t="str">
        <f t="shared" si="23"/>
        <v/>
      </c>
      <c r="AD168" s="422" t="str">
        <f>IFERROR(IF(AC168="Check Data ⚠","Check Data ⚠",VLOOKUP(AC168,'G-4 Temporal multipliers'!$A$4:$C$37,3,FALSE)),"")</f>
        <v/>
      </c>
      <c r="AE168" s="398" t="str">
        <f>IF(N168="","",VLOOKUP(N168,'G-7 WaterC'' Data'!$B$4:$G$8,5,FALSE))</f>
        <v/>
      </c>
      <c r="AF168" s="382" t="str">
        <f t="shared" si="19"/>
        <v/>
      </c>
      <c r="AG168" s="382" t="str">
        <f t="shared" si="24"/>
        <v/>
      </c>
      <c r="AH168" s="386" t="str">
        <f t="shared" si="20"/>
        <v/>
      </c>
      <c r="AI168" s="122"/>
      <c r="AJ168" s="363" t="str">
        <f>IF(AI168="","",IF(VLOOKUP(AI168,'G-7 WaterC'' Data'!$AA$4:$AB$7,2,FALSE)=0,"Spatial Data Missing ⚠",VLOOKUP(AI168,'G-7 WaterC'' Data'!$AA$4:$AB$7,2,FALSE)))</f>
        <v/>
      </c>
      <c r="AK168" s="123"/>
      <c r="AL168" s="397" t="str">
        <f>IF(AK168="","",IF(VLOOKUP(AK168,'G-7 WaterC'' Data'!$AD$4:$AE$14,2,FALSE)=0,"Spatial Data Missing ⚠",VLOOKUP(AK168,'G-7 WaterC'' Data'!$AD$4:$AE$14,2,FALSE)))</f>
        <v/>
      </c>
      <c r="AM168" s="122"/>
      <c r="AN168" s="363" t="str">
        <f>IF(AM168="","",IF(VLOOKUP(AM168,'G-7 WaterC'' Data'!$AO$4:$BO$7,2,FALSE)=0,"Spatial Data Missing ⚠",VLOOKUP(AM168,'G-7 WaterC'' Data'!$AO$4:$BO$7,2,FALSE)))</f>
        <v/>
      </c>
      <c r="AO168" s="405" t="str">
        <f t="shared" si="25"/>
        <v/>
      </c>
      <c r="AP168" s="405" t="str">
        <f t="shared" si="26"/>
        <v/>
      </c>
      <c r="AQ168" s="117"/>
      <c r="AR168" s="118"/>
      <c r="AS168" s="120"/>
      <c r="AT168" s="120"/>
      <c r="AY168" s="30" t="str">
        <f>IFERROR(INDEX('G-7 WaterC'' Data'!$AZ$3:$AZ$7,MATCH(N168,'G-7 WaterC'' Data'!$AY$3:$AY$7,0)),"")</f>
        <v/>
      </c>
    </row>
    <row r="169" spans="2:51" ht="15">
      <c r="B169" s="392" t="str">
        <f>'F-1 Off-Site WaterC'' Baseline'!AR167</f>
        <v/>
      </c>
      <c r="C169" s="382" t="str">
        <f>IF(B169="","",VLOOKUP($B169,'F-1 Off-Site WaterC'' Baseline'!$C$9:$R$257,2,FALSE))</f>
        <v/>
      </c>
      <c r="D169" s="382" t="str">
        <f>IF(C169="","",VLOOKUP($B169,'F-1 Off-Site WaterC'' Baseline'!$C$9:$R$257,3,FALSE))</f>
        <v/>
      </c>
      <c r="E169" s="382" t="str">
        <f>IF(D169="","",VLOOKUP($B169,'F-1 Off-Site WaterC'' Baseline'!$C$9:$R$257,4,FALSE))</f>
        <v/>
      </c>
      <c r="F169" s="382" t="str">
        <f>IF(E169="","",VLOOKUP($B169,'F-1 Off-Site WaterC'' Baseline'!$C$9:$R$257,5,FALSE))</f>
        <v/>
      </c>
      <c r="G169" s="382" t="str">
        <f>IF(F169="","",VLOOKUP($B169,'F-1 Off-Site WaterC'' Baseline'!$C$9:$R$257,6,FALSE))</f>
        <v/>
      </c>
      <c r="H169" s="382" t="str">
        <f>IF(G169="","",VLOOKUP($B169,'F-1 Off-Site WaterC'' Baseline'!$C$9:$R$257,7,FALSE))</f>
        <v/>
      </c>
      <c r="I169" s="382" t="str">
        <f>IF(H169="","",VLOOKUP($B169,'F-1 Off-Site WaterC'' Baseline'!$C$9:$R$257,8,FALSE))</f>
        <v/>
      </c>
      <c r="J169" s="382" t="str">
        <f>IF(I169="","",VLOOKUP($B169,'F-1 Off-Site WaterC'' Baseline'!$C$9:$R$257,9,FALSE))</f>
        <v/>
      </c>
      <c r="K169" s="382" t="str">
        <f>IF(J169="","",VLOOKUP($B169,'F-1 Off-Site WaterC'' Baseline'!$C$9:$R$257,10,FALSE))</f>
        <v/>
      </c>
      <c r="L169" s="382" t="str">
        <f>IF(B169="","",VLOOKUP($B169,'F-1 Off-Site WaterC'' Baseline'!$C$9:$R$257,15,FALSE))</f>
        <v/>
      </c>
      <c r="M169" s="386" t="str">
        <f>IF(L169="","",VLOOKUP($B169,'F-1 Off-Site WaterC'' Baseline'!$C$9:$R$257,16,FALSE))</f>
        <v/>
      </c>
      <c r="N169" s="316" t="str">
        <f t="shared" si="21"/>
        <v/>
      </c>
      <c r="O169" s="362" t="str">
        <f t="shared" si="22"/>
        <v/>
      </c>
      <c r="P169" s="363" t="str">
        <f>IF(C169="","",IF(AND(LEFT(C169,55)&lt;&gt;LEFT(N169,55),O169="High - High"),"Error - Not like for like ▲",IF(H169&gt;U169,"Error - Can not reduce condition ▲",IF(AND(F169=S169,H169=U169,AJ169='F-1 Off-Site WaterC'' Baseline'!N167,'F-1 Off-Site WaterC'' Baseline'!P167=AL169),"Error - No enhancement ▲",IF(AND(C169&lt;&gt;N169,F169&lt;S169),"Lower Distinctiveness Habitat"&amp;" - "&amp;T169,G169&amp;" - "&amp;T169)))))</f>
        <v/>
      </c>
      <c r="Q169" s="368" t="str">
        <f>IF(N169="","",VLOOKUP(B169,'F-1 Off-Site WaterC'' Baseline'!$C$10:$AE$257,22,FALSE))</f>
        <v/>
      </c>
      <c r="R169" s="362" t="str">
        <f>IF(N169="","",VLOOKUP(N169,'G-7 WaterC'' Data'!$B$2:$G$8,2,FALSE))</f>
        <v/>
      </c>
      <c r="S169" s="363" t="str">
        <f>IFERROR(VLOOKUP(R169,'G-7 WaterC'' Data'!$C$4:$D$8,2,FALSE),"")</f>
        <v/>
      </c>
      <c r="T169" s="114"/>
      <c r="U169" s="363" t="str">
        <f>IFERROR(INDEX('G-7 WaterC'' Data'!$H$4:$L$8,MATCH(N169,'G-7 WaterC'' Data'!$B$4:$B$8,0),MATCH(T169,'G-7 WaterC'' Data'!$H$3:$L$3,0)),"")</f>
        <v/>
      </c>
      <c r="V169" s="122"/>
      <c r="W169" s="382" t="str">
        <f>IF(V169="","",IF(VLOOKUP(V169,'G-7 WaterC'' Data'!$AK$4:$AM$6,2,FALSE)=0,"Spatial Data Missing ⚠",VLOOKUP(V169,'G-7 WaterC'' Data'!$AK$4:$AM$6,2,FALSE)))</f>
        <v/>
      </c>
      <c r="X169" s="386" t="str">
        <f>IF(V169="","",IF(VLOOKUP(V169,'G-7 WaterC'' Data'!$AK$4:$AM$6,3,FALSE)=0,"Spatial Data Missing ⚠",VLOOKUP(V169,'G-7 WaterC'' Data'!$AK$4:$AM$6,3,FALSE)))</f>
        <v/>
      </c>
      <c r="Y169" s="398" t="str">
        <f>IFERROR(IF(OR(LEFT(P169,5)="Error",LEFT(O169,5)="Error"),"Check Data ⚠",IF(F169&lt;S169,'G-7 WaterC'' Data'!$R$3,INDEX('G-7 WaterC'' Data'!$U$5:$Y$9,MATCH(G169,'G-7 WaterC'' Data'!$T$5:$T$9,0),MATCH(T169,'G-7 WaterC'' Data'!$U$4:$Y$4,0)))),"")</f>
        <v/>
      </c>
      <c r="Z169" s="165"/>
      <c r="AA169" s="165"/>
      <c r="AB169" s="395" t="str">
        <f t="shared" si="18"/>
        <v/>
      </c>
      <c r="AC169" s="383" t="str">
        <f t="shared" si="23"/>
        <v/>
      </c>
      <c r="AD169" s="422" t="str">
        <f>IFERROR(IF(AC169="Check Data ⚠","Check Data ⚠",VLOOKUP(AC169,'G-4 Temporal multipliers'!$A$4:$C$37,3,FALSE)),"")</f>
        <v/>
      </c>
      <c r="AE169" s="398" t="str">
        <f>IF(N169="","",VLOOKUP(N169,'G-7 WaterC'' Data'!$B$4:$G$8,5,FALSE))</f>
        <v/>
      </c>
      <c r="AF169" s="382" t="str">
        <f t="shared" si="19"/>
        <v/>
      </c>
      <c r="AG169" s="382" t="str">
        <f t="shared" si="24"/>
        <v/>
      </c>
      <c r="AH169" s="386" t="str">
        <f t="shared" si="20"/>
        <v/>
      </c>
      <c r="AI169" s="122"/>
      <c r="AJ169" s="363" t="str">
        <f>IF(AI169="","",IF(VLOOKUP(AI169,'G-7 WaterC'' Data'!$AA$4:$AB$7,2,FALSE)=0,"Spatial Data Missing ⚠",VLOOKUP(AI169,'G-7 WaterC'' Data'!$AA$4:$AB$7,2,FALSE)))</f>
        <v/>
      </c>
      <c r="AK169" s="123"/>
      <c r="AL169" s="397" t="str">
        <f>IF(AK169="","",IF(VLOOKUP(AK169,'G-7 WaterC'' Data'!$AD$4:$AE$14,2,FALSE)=0,"Spatial Data Missing ⚠",VLOOKUP(AK169,'G-7 WaterC'' Data'!$AD$4:$AE$14,2,FALSE)))</f>
        <v/>
      </c>
      <c r="AM169" s="122"/>
      <c r="AN169" s="363" t="str">
        <f>IF(AM169="","",IF(VLOOKUP(AM169,'G-7 WaterC'' Data'!$AO$4:$BO$7,2,FALSE)=0,"Spatial Data Missing ⚠",VLOOKUP(AM169,'G-7 WaterC'' Data'!$AO$4:$BO$7,2,FALSE)))</f>
        <v/>
      </c>
      <c r="AO169" s="405" t="str">
        <f t="shared" si="25"/>
        <v/>
      </c>
      <c r="AP169" s="405" t="str">
        <f t="shared" si="26"/>
        <v/>
      </c>
      <c r="AQ169" s="117"/>
      <c r="AR169" s="118"/>
      <c r="AS169" s="120"/>
      <c r="AT169" s="120"/>
      <c r="AY169" s="30" t="str">
        <f>IFERROR(INDEX('G-7 WaterC'' Data'!$AZ$3:$AZ$7,MATCH(N169,'G-7 WaterC'' Data'!$AY$3:$AY$7,0)),"")</f>
        <v/>
      </c>
    </row>
    <row r="170" spans="2:51" ht="15">
      <c r="B170" s="392" t="str">
        <f>'F-1 Off-Site WaterC'' Baseline'!AR168</f>
        <v/>
      </c>
      <c r="C170" s="382" t="str">
        <f>IF(B170="","",VLOOKUP($B170,'F-1 Off-Site WaterC'' Baseline'!$C$9:$R$257,2,FALSE))</f>
        <v/>
      </c>
      <c r="D170" s="382" t="str">
        <f>IF(C170="","",VLOOKUP($B170,'F-1 Off-Site WaterC'' Baseline'!$C$9:$R$257,3,FALSE))</f>
        <v/>
      </c>
      <c r="E170" s="382" t="str">
        <f>IF(D170="","",VLOOKUP($B170,'F-1 Off-Site WaterC'' Baseline'!$C$9:$R$257,4,FALSE))</f>
        <v/>
      </c>
      <c r="F170" s="382" t="str">
        <f>IF(E170="","",VLOOKUP($B170,'F-1 Off-Site WaterC'' Baseline'!$C$9:$R$257,5,FALSE))</f>
        <v/>
      </c>
      <c r="G170" s="382" t="str">
        <f>IF(F170="","",VLOOKUP($B170,'F-1 Off-Site WaterC'' Baseline'!$C$9:$R$257,6,FALSE))</f>
        <v/>
      </c>
      <c r="H170" s="382" t="str">
        <f>IF(G170="","",VLOOKUP($B170,'F-1 Off-Site WaterC'' Baseline'!$C$9:$R$257,7,FALSE))</f>
        <v/>
      </c>
      <c r="I170" s="382" t="str">
        <f>IF(H170="","",VLOOKUP($B170,'F-1 Off-Site WaterC'' Baseline'!$C$9:$R$257,8,FALSE))</f>
        <v/>
      </c>
      <c r="J170" s="382" t="str">
        <f>IF(I170="","",VLOOKUP($B170,'F-1 Off-Site WaterC'' Baseline'!$C$9:$R$257,9,FALSE))</f>
        <v/>
      </c>
      <c r="K170" s="382" t="str">
        <f>IF(J170="","",VLOOKUP($B170,'F-1 Off-Site WaterC'' Baseline'!$C$9:$R$257,10,FALSE))</f>
        <v/>
      </c>
      <c r="L170" s="382" t="str">
        <f>IF(B170="","",VLOOKUP($B170,'F-1 Off-Site WaterC'' Baseline'!$C$9:$R$257,15,FALSE))</f>
        <v/>
      </c>
      <c r="M170" s="386" t="str">
        <f>IF(L170="","",VLOOKUP($B170,'F-1 Off-Site WaterC'' Baseline'!$C$9:$R$257,16,FALSE))</f>
        <v/>
      </c>
      <c r="N170" s="316" t="str">
        <f t="shared" si="21"/>
        <v/>
      </c>
      <c r="O170" s="362" t="str">
        <f t="shared" si="22"/>
        <v/>
      </c>
      <c r="P170" s="363" t="str">
        <f>IF(C170="","",IF(AND(LEFT(C170,55)&lt;&gt;LEFT(N170,55),O170="High - High"),"Error - Not like for like ▲",IF(H170&gt;U170,"Error - Can not reduce condition ▲",IF(AND(F170=S170,H170=U170,AJ170='F-1 Off-Site WaterC'' Baseline'!N168,'F-1 Off-Site WaterC'' Baseline'!P168=AL170),"Error - No enhancement ▲",IF(AND(C170&lt;&gt;N170,F170&lt;S170),"Lower Distinctiveness Habitat"&amp;" - "&amp;T170,G170&amp;" - "&amp;T170)))))</f>
        <v/>
      </c>
      <c r="Q170" s="368" t="str">
        <f>IF(N170="","",VLOOKUP(B170,'F-1 Off-Site WaterC'' Baseline'!$C$10:$AE$257,22,FALSE))</f>
        <v/>
      </c>
      <c r="R170" s="362" t="str">
        <f>IF(N170="","",VLOOKUP(N170,'G-7 WaterC'' Data'!$B$2:$G$8,2,FALSE))</f>
        <v/>
      </c>
      <c r="S170" s="363" t="str">
        <f>IFERROR(VLOOKUP(R170,'G-7 WaterC'' Data'!$C$4:$D$8,2,FALSE),"")</f>
        <v/>
      </c>
      <c r="T170" s="114"/>
      <c r="U170" s="363" t="str">
        <f>IFERROR(INDEX('G-7 WaterC'' Data'!$H$4:$L$8,MATCH(N170,'G-7 WaterC'' Data'!$B$4:$B$8,0),MATCH(T170,'G-7 WaterC'' Data'!$H$3:$L$3,0)),"")</f>
        <v/>
      </c>
      <c r="V170" s="122"/>
      <c r="W170" s="382" t="str">
        <f>IF(V170="","",IF(VLOOKUP(V170,'G-7 WaterC'' Data'!$AK$4:$AM$6,2,FALSE)=0,"Spatial Data Missing ⚠",VLOOKUP(V170,'G-7 WaterC'' Data'!$AK$4:$AM$6,2,FALSE)))</f>
        <v/>
      </c>
      <c r="X170" s="386" t="str">
        <f>IF(V170="","",IF(VLOOKUP(V170,'G-7 WaterC'' Data'!$AK$4:$AM$6,3,FALSE)=0,"Spatial Data Missing ⚠",VLOOKUP(V170,'G-7 WaterC'' Data'!$AK$4:$AM$6,3,FALSE)))</f>
        <v/>
      </c>
      <c r="Y170" s="398" t="str">
        <f>IFERROR(IF(OR(LEFT(P170,5)="Error",LEFT(O170,5)="Error"),"Check Data ⚠",IF(F170&lt;S170,'G-7 WaterC'' Data'!$R$3,INDEX('G-7 WaterC'' Data'!$U$5:$Y$9,MATCH(G170,'G-7 WaterC'' Data'!$T$5:$T$9,0),MATCH(T170,'G-7 WaterC'' Data'!$U$4:$Y$4,0)))),"")</f>
        <v/>
      </c>
      <c r="Z170" s="165"/>
      <c r="AA170" s="165"/>
      <c r="AB170" s="395" t="str">
        <f t="shared" si="18"/>
        <v/>
      </c>
      <c r="AC170" s="383" t="str">
        <f t="shared" si="23"/>
        <v/>
      </c>
      <c r="AD170" s="422" t="str">
        <f>IFERROR(IF(AC170="Check Data ⚠","Check Data ⚠",VLOOKUP(AC170,'G-4 Temporal multipliers'!$A$4:$C$37,3,FALSE)),"")</f>
        <v/>
      </c>
      <c r="AE170" s="398" t="str">
        <f>IF(N170="","",VLOOKUP(N170,'G-7 WaterC'' Data'!$B$4:$G$8,5,FALSE))</f>
        <v/>
      </c>
      <c r="AF170" s="382" t="str">
        <f t="shared" si="19"/>
        <v/>
      </c>
      <c r="AG170" s="382" t="str">
        <f t="shared" si="24"/>
        <v/>
      </c>
      <c r="AH170" s="386" t="str">
        <f t="shared" si="20"/>
        <v/>
      </c>
      <c r="AI170" s="122"/>
      <c r="AJ170" s="363" t="str">
        <f>IF(AI170="","",IF(VLOOKUP(AI170,'G-7 WaterC'' Data'!$AA$4:$AB$7,2,FALSE)=0,"Spatial Data Missing ⚠",VLOOKUP(AI170,'G-7 WaterC'' Data'!$AA$4:$AB$7,2,FALSE)))</f>
        <v/>
      </c>
      <c r="AK170" s="123"/>
      <c r="AL170" s="397" t="str">
        <f>IF(AK170="","",IF(VLOOKUP(AK170,'G-7 WaterC'' Data'!$AD$4:$AE$14,2,FALSE)=0,"Spatial Data Missing ⚠",VLOOKUP(AK170,'G-7 WaterC'' Data'!$AD$4:$AE$14,2,FALSE)))</f>
        <v/>
      </c>
      <c r="AM170" s="122"/>
      <c r="AN170" s="363" t="str">
        <f>IF(AM170="","",IF(VLOOKUP(AM170,'G-7 WaterC'' Data'!$AO$4:$BO$7,2,FALSE)=0,"Spatial Data Missing ⚠",VLOOKUP(AM170,'G-7 WaterC'' Data'!$AO$4:$BO$7,2,FALSE)))</f>
        <v/>
      </c>
      <c r="AO170" s="405" t="str">
        <f t="shared" si="25"/>
        <v/>
      </c>
      <c r="AP170" s="405" t="str">
        <f t="shared" si="26"/>
        <v/>
      </c>
      <c r="AQ170" s="117"/>
      <c r="AR170" s="118"/>
      <c r="AS170" s="120"/>
      <c r="AT170" s="120"/>
      <c r="AY170" s="30" t="str">
        <f>IFERROR(INDEX('G-7 WaterC'' Data'!$AZ$3:$AZ$7,MATCH(N170,'G-7 WaterC'' Data'!$AY$3:$AY$7,0)),"")</f>
        <v/>
      </c>
    </row>
    <row r="171" spans="2:51" ht="15">
      <c r="B171" s="392" t="str">
        <f>'F-1 Off-Site WaterC'' Baseline'!AR169</f>
        <v/>
      </c>
      <c r="C171" s="382" t="str">
        <f>IF(B171="","",VLOOKUP($B171,'F-1 Off-Site WaterC'' Baseline'!$C$9:$R$257,2,FALSE))</f>
        <v/>
      </c>
      <c r="D171" s="382" t="str">
        <f>IF(C171="","",VLOOKUP($B171,'F-1 Off-Site WaterC'' Baseline'!$C$9:$R$257,3,FALSE))</f>
        <v/>
      </c>
      <c r="E171" s="382" t="str">
        <f>IF(D171="","",VLOOKUP($B171,'F-1 Off-Site WaterC'' Baseline'!$C$9:$R$257,4,FALSE))</f>
        <v/>
      </c>
      <c r="F171" s="382" t="str">
        <f>IF(E171="","",VLOOKUP($B171,'F-1 Off-Site WaterC'' Baseline'!$C$9:$R$257,5,FALSE))</f>
        <v/>
      </c>
      <c r="G171" s="382" t="str">
        <f>IF(F171="","",VLOOKUP($B171,'F-1 Off-Site WaterC'' Baseline'!$C$9:$R$257,6,FALSE))</f>
        <v/>
      </c>
      <c r="H171" s="382" t="str">
        <f>IF(G171="","",VLOOKUP($B171,'F-1 Off-Site WaterC'' Baseline'!$C$9:$R$257,7,FALSE))</f>
        <v/>
      </c>
      <c r="I171" s="382" t="str">
        <f>IF(H171="","",VLOOKUP($B171,'F-1 Off-Site WaterC'' Baseline'!$C$9:$R$257,8,FALSE))</f>
        <v/>
      </c>
      <c r="J171" s="382" t="str">
        <f>IF(I171="","",VLOOKUP($B171,'F-1 Off-Site WaterC'' Baseline'!$C$9:$R$257,9,FALSE))</f>
        <v/>
      </c>
      <c r="K171" s="382" t="str">
        <f>IF(J171="","",VLOOKUP($B171,'F-1 Off-Site WaterC'' Baseline'!$C$9:$R$257,10,FALSE))</f>
        <v/>
      </c>
      <c r="L171" s="382" t="str">
        <f>IF(B171="","",VLOOKUP($B171,'F-1 Off-Site WaterC'' Baseline'!$C$9:$R$257,15,FALSE))</f>
        <v/>
      </c>
      <c r="M171" s="386" t="str">
        <f>IF(L171="","",VLOOKUP($B171,'F-1 Off-Site WaterC'' Baseline'!$C$9:$R$257,16,FALSE))</f>
        <v/>
      </c>
      <c r="N171" s="316" t="str">
        <f t="shared" si="21"/>
        <v/>
      </c>
      <c r="O171" s="362" t="str">
        <f t="shared" si="22"/>
        <v/>
      </c>
      <c r="P171" s="363" t="str">
        <f>IF(C171="","",IF(AND(LEFT(C171,55)&lt;&gt;LEFT(N171,55),O171="High - High"),"Error - Not like for like ▲",IF(H171&gt;U171,"Error - Can not reduce condition ▲",IF(AND(F171=S171,H171=U171,AJ171='F-1 Off-Site WaterC'' Baseline'!N169,'F-1 Off-Site WaterC'' Baseline'!P169=AL171),"Error - No enhancement ▲",IF(AND(C171&lt;&gt;N171,F171&lt;S171),"Lower Distinctiveness Habitat"&amp;" - "&amp;T171,G171&amp;" - "&amp;T171)))))</f>
        <v/>
      </c>
      <c r="Q171" s="368" t="str">
        <f>IF(N171="","",VLOOKUP(B171,'F-1 Off-Site WaterC'' Baseline'!$C$10:$AE$257,22,FALSE))</f>
        <v/>
      </c>
      <c r="R171" s="362" t="str">
        <f>IF(N171="","",VLOOKUP(N171,'G-7 WaterC'' Data'!$B$2:$G$8,2,FALSE))</f>
        <v/>
      </c>
      <c r="S171" s="363" t="str">
        <f>IFERROR(VLOOKUP(R171,'G-7 WaterC'' Data'!$C$4:$D$8,2,FALSE),"")</f>
        <v/>
      </c>
      <c r="T171" s="114"/>
      <c r="U171" s="363" t="str">
        <f>IFERROR(INDEX('G-7 WaterC'' Data'!$H$4:$L$8,MATCH(N171,'G-7 WaterC'' Data'!$B$4:$B$8,0),MATCH(T171,'G-7 WaterC'' Data'!$H$3:$L$3,0)),"")</f>
        <v/>
      </c>
      <c r="V171" s="122"/>
      <c r="W171" s="382" t="str">
        <f>IF(V171="","",IF(VLOOKUP(V171,'G-7 WaterC'' Data'!$AK$4:$AM$6,2,FALSE)=0,"Spatial Data Missing ⚠",VLOOKUP(V171,'G-7 WaterC'' Data'!$AK$4:$AM$6,2,FALSE)))</f>
        <v/>
      </c>
      <c r="X171" s="386" t="str">
        <f>IF(V171="","",IF(VLOOKUP(V171,'G-7 WaterC'' Data'!$AK$4:$AM$6,3,FALSE)=0,"Spatial Data Missing ⚠",VLOOKUP(V171,'G-7 WaterC'' Data'!$AK$4:$AM$6,3,FALSE)))</f>
        <v/>
      </c>
      <c r="Y171" s="398" t="str">
        <f>IFERROR(IF(OR(LEFT(P171,5)="Error",LEFT(O171,5)="Error"),"Check Data ⚠",IF(F171&lt;S171,'G-7 WaterC'' Data'!$R$3,INDEX('G-7 WaterC'' Data'!$U$5:$Y$9,MATCH(G171,'G-7 WaterC'' Data'!$T$5:$T$9,0),MATCH(T171,'G-7 WaterC'' Data'!$U$4:$Y$4,0)))),"")</f>
        <v/>
      </c>
      <c r="Z171" s="165"/>
      <c r="AA171" s="165"/>
      <c r="AB171" s="395" t="str">
        <f t="shared" si="18"/>
        <v/>
      </c>
      <c r="AC171" s="383" t="str">
        <f t="shared" si="23"/>
        <v/>
      </c>
      <c r="AD171" s="422" t="str">
        <f>IFERROR(IF(AC171="Check Data ⚠","Check Data ⚠",VLOOKUP(AC171,'G-4 Temporal multipliers'!$A$4:$C$37,3,FALSE)),"")</f>
        <v/>
      </c>
      <c r="AE171" s="398" t="str">
        <f>IF(N171="","",VLOOKUP(N171,'G-7 WaterC'' Data'!$B$4:$G$8,5,FALSE))</f>
        <v/>
      </c>
      <c r="AF171" s="382" t="str">
        <f t="shared" si="19"/>
        <v/>
      </c>
      <c r="AG171" s="382" t="str">
        <f t="shared" si="24"/>
        <v/>
      </c>
      <c r="AH171" s="386" t="str">
        <f t="shared" si="20"/>
        <v/>
      </c>
      <c r="AI171" s="122"/>
      <c r="AJ171" s="363" t="str">
        <f>IF(AI171="","",IF(VLOOKUP(AI171,'G-7 WaterC'' Data'!$AA$4:$AB$7,2,FALSE)=0,"Spatial Data Missing ⚠",VLOOKUP(AI171,'G-7 WaterC'' Data'!$AA$4:$AB$7,2,FALSE)))</f>
        <v/>
      </c>
      <c r="AK171" s="123"/>
      <c r="AL171" s="397" t="str">
        <f>IF(AK171="","",IF(VLOOKUP(AK171,'G-7 WaterC'' Data'!$AD$4:$AE$14,2,FALSE)=0,"Spatial Data Missing ⚠",VLOOKUP(AK171,'G-7 WaterC'' Data'!$AD$4:$AE$14,2,FALSE)))</f>
        <v/>
      </c>
      <c r="AM171" s="122"/>
      <c r="AN171" s="363" t="str">
        <f>IF(AM171="","",IF(VLOOKUP(AM171,'G-7 WaterC'' Data'!$AO$4:$BO$7,2,FALSE)=0,"Spatial Data Missing ⚠",VLOOKUP(AM171,'G-7 WaterC'' Data'!$AO$4:$BO$7,2,FALSE)))</f>
        <v/>
      </c>
      <c r="AO171" s="405" t="str">
        <f t="shared" si="25"/>
        <v/>
      </c>
      <c r="AP171" s="405" t="str">
        <f t="shared" si="26"/>
        <v/>
      </c>
      <c r="AQ171" s="117"/>
      <c r="AR171" s="118"/>
      <c r="AS171" s="120"/>
      <c r="AT171" s="120"/>
      <c r="AY171" s="30" t="str">
        <f>IFERROR(INDEX('G-7 WaterC'' Data'!$AZ$3:$AZ$7,MATCH(N171,'G-7 WaterC'' Data'!$AY$3:$AY$7,0)),"")</f>
        <v/>
      </c>
    </row>
    <row r="172" spans="2:51" ht="15">
      <c r="B172" s="392" t="str">
        <f>'F-1 Off-Site WaterC'' Baseline'!AR170</f>
        <v/>
      </c>
      <c r="C172" s="382" t="str">
        <f>IF(B172="","",VLOOKUP($B172,'F-1 Off-Site WaterC'' Baseline'!$C$9:$R$257,2,FALSE))</f>
        <v/>
      </c>
      <c r="D172" s="382" t="str">
        <f>IF(C172="","",VLOOKUP($B172,'F-1 Off-Site WaterC'' Baseline'!$C$9:$R$257,3,FALSE))</f>
        <v/>
      </c>
      <c r="E172" s="382" t="str">
        <f>IF(D172="","",VLOOKUP($B172,'F-1 Off-Site WaterC'' Baseline'!$C$9:$R$257,4,FALSE))</f>
        <v/>
      </c>
      <c r="F172" s="382" t="str">
        <f>IF(E172="","",VLOOKUP($B172,'F-1 Off-Site WaterC'' Baseline'!$C$9:$R$257,5,FALSE))</f>
        <v/>
      </c>
      <c r="G172" s="382" t="str">
        <f>IF(F172="","",VLOOKUP($B172,'F-1 Off-Site WaterC'' Baseline'!$C$9:$R$257,6,FALSE))</f>
        <v/>
      </c>
      <c r="H172" s="382" t="str">
        <f>IF(G172="","",VLOOKUP($B172,'F-1 Off-Site WaterC'' Baseline'!$C$9:$R$257,7,FALSE))</f>
        <v/>
      </c>
      <c r="I172" s="382" t="str">
        <f>IF(H172="","",VLOOKUP($B172,'F-1 Off-Site WaterC'' Baseline'!$C$9:$R$257,8,FALSE))</f>
        <v/>
      </c>
      <c r="J172" s="382" t="str">
        <f>IF(I172="","",VLOOKUP($B172,'F-1 Off-Site WaterC'' Baseline'!$C$9:$R$257,9,FALSE))</f>
        <v/>
      </c>
      <c r="K172" s="382" t="str">
        <f>IF(J172="","",VLOOKUP($B172,'F-1 Off-Site WaterC'' Baseline'!$C$9:$R$257,10,FALSE))</f>
        <v/>
      </c>
      <c r="L172" s="382" t="str">
        <f>IF(B172="","",VLOOKUP($B172,'F-1 Off-Site WaterC'' Baseline'!$C$9:$R$257,15,FALSE))</f>
        <v/>
      </c>
      <c r="M172" s="386" t="str">
        <f>IF(L172="","",VLOOKUP($B172,'F-1 Off-Site WaterC'' Baseline'!$C$9:$R$257,16,FALSE))</f>
        <v/>
      </c>
      <c r="N172" s="316" t="str">
        <f t="shared" si="21"/>
        <v/>
      </c>
      <c r="O172" s="362" t="str">
        <f t="shared" si="22"/>
        <v/>
      </c>
      <c r="P172" s="363" t="str">
        <f>IF(C172="","",IF(AND(LEFT(C172,55)&lt;&gt;LEFT(N172,55),O172="High - High"),"Error - Not like for like ▲",IF(H172&gt;U172,"Error - Can not reduce condition ▲",IF(AND(F172=S172,H172=U172,AJ172='F-1 Off-Site WaterC'' Baseline'!N170,'F-1 Off-Site WaterC'' Baseline'!P170=AL172),"Error - No enhancement ▲",IF(AND(C172&lt;&gt;N172,F172&lt;S172),"Lower Distinctiveness Habitat"&amp;" - "&amp;T172,G172&amp;" - "&amp;T172)))))</f>
        <v/>
      </c>
      <c r="Q172" s="368" t="str">
        <f>IF(N172="","",VLOOKUP(B172,'F-1 Off-Site WaterC'' Baseline'!$C$10:$AE$257,22,FALSE))</f>
        <v/>
      </c>
      <c r="R172" s="362" t="str">
        <f>IF(N172="","",VLOOKUP(N172,'G-7 WaterC'' Data'!$B$2:$G$8,2,FALSE))</f>
        <v/>
      </c>
      <c r="S172" s="363" t="str">
        <f>IFERROR(VLOOKUP(R172,'G-7 WaterC'' Data'!$C$4:$D$8,2,FALSE),"")</f>
        <v/>
      </c>
      <c r="T172" s="114"/>
      <c r="U172" s="363" t="str">
        <f>IFERROR(INDEX('G-7 WaterC'' Data'!$H$4:$L$8,MATCH(N172,'G-7 WaterC'' Data'!$B$4:$B$8,0),MATCH(T172,'G-7 WaterC'' Data'!$H$3:$L$3,0)),"")</f>
        <v/>
      </c>
      <c r="V172" s="122"/>
      <c r="W172" s="382" t="str">
        <f>IF(V172="","",IF(VLOOKUP(V172,'G-7 WaterC'' Data'!$AK$4:$AM$6,2,FALSE)=0,"Spatial Data Missing ⚠",VLOOKUP(V172,'G-7 WaterC'' Data'!$AK$4:$AM$6,2,FALSE)))</f>
        <v/>
      </c>
      <c r="X172" s="386" t="str">
        <f>IF(V172="","",IF(VLOOKUP(V172,'G-7 WaterC'' Data'!$AK$4:$AM$6,3,FALSE)=0,"Spatial Data Missing ⚠",VLOOKUP(V172,'G-7 WaterC'' Data'!$AK$4:$AM$6,3,FALSE)))</f>
        <v/>
      </c>
      <c r="Y172" s="398" t="str">
        <f>IFERROR(IF(OR(LEFT(P172,5)="Error",LEFT(O172,5)="Error"),"Check Data ⚠",IF(F172&lt;S172,'G-7 WaterC'' Data'!$R$3,INDEX('G-7 WaterC'' Data'!$U$5:$Y$9,MATCH(G172,'G-7 WaterC'' Data'!$T$5:$T$9,0),MATCH(T172,'G-7 WaterC'' Data'!$U$4:$Y$4,0)))),"")</f>
        <v/>
      </c>
      <c r="Z172" s="165"/>
      <c r="AA172" s="165"/>
      <c r="AB172" s="395" t="str">
        <f t="shared" si="18"/>
        <v/>
      </c>
      <c r="AC172" s="383" t="str">
        <f t="shared" si="23"/>
        <v/>
      </c>
      <c r="AD172" s="422" t="str">
        <f>IFERROR(IF(AC172="Check Data ⚠","Check Data ⚠",VLOOKUP(AC172,'G-4 Temporal multipliers'!$A$4:$C$37,3,FALSE)),"")</f>
        <v/>
      </c>
      <c r="AE172" s="398" t="str">
        <f>IF(N172="","",VLOOKUP(N172,'G-7 WaterC'' Data'!$B$4:$G$8,5,FALSE))</f>
        <v/>
      </c>
      <c r="AF172" s="382" t="str">
        <f t="shared" si="19"/>
        <v/>
      </c>
      <c r="AG172" s="382" t="str">
        <f t="shared" si="24"/>
        <v/>
      </c>
      <c r="AH172" s="386" t="str">
        <f t="shared" si="20"/>
        <v/>
      </c>
      <c r="AI172" s="122"/>
      <c r="AJ172" s="363" t="str">
        <f>IF(AI172="","",IF(VLOOKUP(AI172,'G-7 WaterC'' Data'!$AA$4:$AB$7,2,FALSE)=0,"Spatial Data Missing ⚠",VLOOKUP(AI172,'G-7 WaterC'' Data'!$AA$4:$AB$7,2,FALSE)))</f>
        <v/>
      </c>
      <c r="AK172" s="123"/>
      <c r="AL172" s="397" t="str">
        <f>IF(AK172="","",IF(VLOOKUP(AK172,'G-7 WaterC'' Data'!$AD$4:$AE$14,2,FALSE)=0,"Spatial Data Missing ⚠",VLOOKUP(AK172,'G-7 WaterC'' Data'!$AD$4:$AE$14,2,FALSE)))</f>
        <v/>
      </c>
      <c r="AM172" s="122"/>
      <c r="AN172" s="363" t="str">
        <f>IF(AM172="","",IF(VLOOKUP(AM172,'G-7 WaterC'' Data'!$AO$4:$BO$7,2,FALSE)=0,"Spatial Data Missing ⚠",VLOOKUP(AM172,'G-7 WaterC'' Data'!$AO$4:$BO$7,2,FALSE)))</f>
        <v/>
      </c>
      <c r="AO172" s="405" t="str">
        <f t="shared" si="25"/>
        <v/>
      </c>
      <c r="AP172" s="405" t="str">
        <f t="shared" si="26"/>
        <v/>
      </c>
      <c r="AQ172" s="117"/>
      <c r="AR172" s="118"/>
      <c r="AS172" s="120"/>
      <c r="AT172" s="120"/>
      <c r="AY172" s="30" t="str">
        <f>IFERROR(INDEX('G-7 WaterC'' Data'!$AZ$3:$AZ$7,MATCH(N172,'G-7 WaterC'' Data'!$AY$3:$AY$7,0)),"")</f>
        <v/>
      </c>
    </row>
    <row r="173" spans="2:51" ht="15">
      <c r="B173" s="392" t="str">
        <f>'F-1 Off-Site WaterC'' Baseline'!AR171</f>
        <v/>
      </c>
      <c r="C173" s="382" t="str">
        <f>IF(B173="","",VLOOKUP($B173,'F-1 Off-Site WaterC'' Baseline'!$C$9:$R$257,2,FALSE))</f>
        <v/>
      </c>
      <c r="D173" s="382" t="str">
        <f>IF(C173="","",VLOOKUP($B173,'F-1 Off-Site WaterC'' Baseline'!$C$9:$R$257,3,FALSE))</f>
        <v/>
      </c>
      <c r="E173" s="382" t="str">
        <f>IF(D173="","",VLOOKUP($B173,'F-1 Off-Site WaterC'' Baseline'!$C$9:$R$257,4,FALSE))</f>
        <v/>
      </c>
      <c r="F173" s="382" t="str">
        <f>IF(E173="","",VLOOKUP($B173,'F-1 Off-Site WaterC'' Baseline'!$C$9:$R$257,5,FALSE))</f>
        <v/>
      </c>
      <c r="G173" s="382" t="str">
        <f>IF(F173="","",VLOOKUP($B173,'F-1 Off-Site WaterC'' Baseline'!$C$9:$R$257,6,FALSE))</f>
        <v/>
      </c>
      <c r="H173" s="382" t="str">
        <f>IF(G173="","",VLOOKUP($B173,'F-1 Off-Site WaterC'' Baseline'!$C$9:$R$257,7,FALSE))</f>
        <v/>
      </c>
      <c r="I173" s="382" t="str">
        <f>IF(H173="","",VLOOKUP($B173,'F-1 Off-Site WaterC'' Baseline'!$C$9:$R$257,8,FALSE))</f>
        <v/>
      </c>
      <c r="J173" s="382" t="str">
        <f>IF(I173="","",VLOOKUP($B173,'F-1 Off-Site WaterC'' Baseline'!$C$9:$R$257,9,FALSE))</f>
        <v/>
      </c>
      <c r="K173" s="382" t="str">
        <f>IF(J173="","",VLOOKUP($B173,'F-1 Off-Site WaterC'' Baseline'!$C$9:$R$257,10,FALSE))</f>
        <v/>
      </c>
      <c r="L173" s="382" t="str">
        <f>IF(B173="","",VLOOKUP($B173,'F-1 Off-Site WaterC'' Baseline'!$C$9:$R$257,15,FALSE))</f>
        <v/>
      </c>
      <c r="M173" s="386" t="str">
        <f>IF(L173="","",VLOOKUP($B173,'F-1 Off-Site WaterC'' Baseline'!$C$9:$R$257,16,FALSE))</f>
        <v/>
      </c>
      <c r="N173" s="316" t="str">
        <f t="shared" si="21"/>
        <v/>
      </c>
      <c r="O173" s="362" t="str">
        <f t="shared" si="22"/>
        <v/>
      </c>
      <c r="P173" s="363" t="str">
        <f>IF(C173="","",IF(AND(LEFT(C173,55)&lt;&gt;LEFT(N173,55),O173="High - High"),"Error - Not like for like ▲",IF(H173&gt;U173,"Error - Can not reduce condition ▲",IF(AND(F173=S173,H173=U173,AJ173='F-1 Off-Site WaterC'' Baseline'!N171,'F-1 Off-Site WaterC'' Baseline'!P171=AL173),"Error - No enhancement ▲",IF(AND(C173&lt;&gt;N173,F173&lt;S173),"Lower Distinctiveness Habitat"&amp;" - "&amp;T173,G173&amp;" - "&amp;T173)))))</f>
        <v/>
      </c>
      <c r="Q173" s="368" t="str">
        <f>IF(N173="","",VLOOKUP(B173,'F-1 Off-Site WaterC'' Baseline'!$C$10:$AE$257,22,FALSE))</f>
        <v/>
      </c>
      <c r="R173" s="362" t="str">
        <f>IF(N173="","",VLOOKUP(N173,'G-7 WaterC'' Data'!$B$2:$G$8,2,FALSE))</f>
        <v/>
      </c>
      <c r="S173" s="363" t="str">
        <f>IFERROR(VLOOKUP(R173,'G-7 WaterC'' Data'!$C$4:$D$8,2,FALSE),"")</f>
        <v/>
      </c>
      <c r="T173" s="114"/>
      <c r="U173" s="363" t="str">
        <f>IFERROR(INDEX('G-7 WaterC'' Data'!$H$4:$L$8,MATCH(N173,'G-7 WaterC'' Data'!$B$4:$B$8,0),MATCH(T173,'G-7 WaterC'' Data'!$H$3:$L$3,0)),"")</f>
        <v/>
      </c>
      <c r="V173" s="122"/>
      <c r="W173" s="382" t="str">
        <f>IF(V173="","",IF(VLOOKUP(V173,'G-7 WaterC'' Data'!$AK$4:$AM$6,2,FALSE)=0,"Spatial Data Missing ⚠",VLOOKUP(V173,'G-7 WaterC'' Data'!$AK$4:$AM$6,2,FALSE)))</f>
        <v/>
      </c>
      <c r="X173" s="386" t="str">
        <f>IF(V173="","",IF(VLOOKUP(V173,'G-7 WaterC'' Data'!$AK$4:$AM$6,3,FALSE)=0,"Spatial Data Missing ⚠",VLOOKUP(V173,'G-7 WaterC'' Data'!$AK$4:$AM$6,3,FALSE)))</f>
        <v/>
      </c>
      <c r="Y173" s="398" t="str">
        <f>IFERROR(IF(OR(LEFT(P173,5)="Error",LEFT(O173,5)="Error"),"Check Data ⚠",IF(F173&lt;S173,'G-7 WaterC'' Data'!$R$3,INDEX('G-7 WaterC'' Data'!$U$5:$Y$9,MATCH(G173,'G-7 WaterC'' Data'!$T$5:$T$9,0),MATCH(T173,'G-7 WaterC'' Data'!$U$4:$Y$4,0)))),"")</f>
        <v/>
      </c>
      <c r="Z173" s="165"/>
      <c r="AA173" s="165"/>
      <c r="AB173" s="395" t="str">
        <f t="shared" si="18"/>
        <v/>
      </c>
      <c r="AC173" s="383" t="str">
        <f t="shared" si="23"/>
        <v/>
      </c>
      <c r="AD173" s="422" t="str">
        <f>IFERROR(IF(AC173="Check Data ⚠","Check Data ⚠",VLOOKUP(AC173,'G-4 Temporal multipliers'!$A$4:$C$37,3,FALSE)),"")</f>
        <v/>
      </c>
      <c r="AE173" s="398" t="str">
        <f>IF(N173="","",VLOOKUP(N173,'G-7 WaterC'' Data'!$B$4:$G$8,5,FALSE))</f>
        <v/>
      </c>
      <c r="AF173" s="382" t="str">
        <f t="shared" si="19"/>
        <v/>
      </c>
      <c r="AG173" s="382" t="str">
        <f t="shared" si="24"/>
        <v/>
      </c>
      <c r="AH173" s="386" t="str">
        <f t="shared" si="20"/>
        <v/>
      </c>
      <c r="AI173" s="122"/>
      <c r="AJ173" s="363" t="str">
        <f>IF(AI173="","",IF(VLOOKUP(AI173,'G-7 WaterC'' Data'!$AA$4:$AB$7,2,FALSE)=0,"Spatial Data Missing ⚠",VLOOKUP(AI173,'G-7 WaterC'' Data'!$AA$4:$AB$7,2,FALSE)))</f>
        <v/>
      </c>
      <c r="AK173" s="123"/>
      <c r="AL173" s="397" t="str">
        <f>IF(AK173="","",IF(VLOOKUP(AK173,'G-7 WaterC'' Data'!$AD$4:$AE$14,2,FALSE)=0,"Spatial Data Missing ⚠",VLOOKUP(AK173,'G-7 WaterC'' Data'!$AD$4:$AE$14,2,FALSE)))</f>
        <v/>
      </c>
      <c r="AM173" s="122"/>
      <c r="AN173" s="363" t="str">
        <f>IF(AM173="","",IF(VLOOKUP(AM173,'G-7 WaterC'' Data'!$AO$4:$BO$7,2,FALSE)=0,"Spatial Data Missing ⚠",VLOOKUP(AM173,'G-7 WaterC'' Data'!$AO$4:$BO$7,2,FALSE)))</f>
        <v/>
      </c>
      <c r="AO173" s="405" t="str">
        <f t="shared" si="25"/>
        <v/>
      </c>
      <c r="AP173" s="405" t="str">
        <f t="shared" si="26"/>
        <v/>
      </c>
      <c r="AQ173" s="117"/>
      <c r="AR173" s="118"/>
      <c r="AS173" s="120"/>
      <c r="AT173" s="120"/>
      <c r="AY173" s="30" t="str">
        <f>IFERROR(INDEX('G-7 WaterC'' Data'!$AZ$3:$AZ$7,MATCH(N173,'G-7 WaterC'' Data'!$AY$3:$AY$7,0)),"")</f>
        <v/>
      </c>
    </row>
    <row r="174" spans="2:51" ht="15">
      <c r="B174" s="392" t="str">
        <f>'F-1 Off-Site WaterC'' Baseline'!AR172</f>
        <v/>
      </c>
      <c r="C174" s="382" t="str">
        <f>IF(B174="","",VLOOKUP($B174,'F-1 Off-Site WaterC'' Baseline'!$C$9:$R$257,2,FALSE))</f>
        <v/>
      </c>
      <c r="D174" s="382" t="str">
        <f>IF(C174="","",VLOOKUP($B174,'F-1 Off-Site WaterC'' Baseline'!$C$9:$R$257,3,FALSE))</f>
        <v/>
      </c>
      <c r="E174" s="382" t="str">
        <f>IF(D174="","",VLOOKUP($B174,'F-1 Off-Site WaterC'' Baseline'!$C$9:$R$257,4,FALSE))</f>
        <v/>
      </c>
      <c r="F174" s="382" t="str">
        <f>IF(E174="","",VLOOKUP($B174,'F-1 Off-Site WaterC'' Baseline'!$C$9:$R$257,5,FALSE))</f>
        <v/>
      </c>
      <c r="G174" s="382" t="str">
        <f>IF(F174="","",VLOOKUP($B174,'F-1 Off-Site WaterC'' Baseline'!$C$9:$R$257,6,FALSE))</f>
        <v/>
      </c>
      <c r="H174" s="382" t="str">
        <f>IF(G174="","",VLOOKUP($B174,'F-1 Off-Site WaterC'' Baseline'!$C$9:$R$257,7,FALSE))</f>
        <v/>
      </c>
      <c r="I174" s="382" t="str">
        <f>IF(H174="","",VLOOKUP($B174,'F-1 Off-Site WaterC'' Baseline'!$C$9:$R$257,8,FALSE))</f>
        <v/>
      </c>
      <c r="J174" s="382" t="str">
        <f>IF(I174="","",VLOOKUP($B174,'F-1 Off-Site WaterC'' Baseline'!$C$9:$R$257,9,FALSE))</f>
        <v/>
      </c>
      <c r="K174" s="382" t="str">
        <f>IF(J174="","",VLOOKUP($B174,'F-1 Off-Site WaterC'' Baseline'!$C$9:$R$257,10,FALSE))</f>
        <v/>
      </c>
      <c r="L174" s="382" t="str">
        <f>IF(B174="","",VLOOKUP($B174,'F-1 Off-Site WaterC'' Baseline'!$C$9:$R$257,15,FALSE))</f>
        <v/>
      </c>
      <c r="M174" s="386" t="str">
        <f>IF(L174="","",VLOOKUP($B174,'F-1 Off-Site WaterC'' Baseline'!$C$9:$R$257,16,FALSE))</f>
        <v/>
      </c>
      <c r="N174" s="316" t="str">
        <f t="shared" si="21"/>
        <v/>
      </c>
      <c r="O174" s="362" t="str">
        <f t="shared" si="22"/>
        <v/>
      </c>
      <c r="P174" s="363" t="str">
        <f>IF(C174="","",IF(AND(LEFT(C174,55)&lt;&gt;LEFT(N174,55),O174="High - High"),"Error - Not like for like ▲",IF(H174&gt;U174,"Error - Can not reduce condition ▲",IF(AND(F174=S174,H174=U174,AJ174='F-1 Off-Site WaterC'' Baseline'!N172,'F-1 Off-Site WaterC'' Baseline'!P172=AL174),"Error - No enhancement ▲",IF(AND(C174&lt;&gt;N174,F174&lt;S174),"Lower Distinctiveness Habitat"&amp;" - "&amp;T174,G174&amp;" - "&amp;T174)))))</f>
        <v/>
      </c>
      <c r="Q174" s="368" t="str">
        <f>IF(N174="","",VLOOKUP(B174,'F-1 Off-Site WaterC'' Baseline'!$C$10:$AE$257,22,FALSE))</f>
        <v/>
      </c>
      <c r="R174" s="362" t="str">
        <f>IF(N174="","",VLOOKUP(N174,'G-7 WaterC'' Data'!$B$2:$G$8,2,FALSE))</f>
        <v/>
      </c>
      <c r="S174" s="363" t="str">
        <f>IFERROR(VLOOKUP(R174,'G-7 WaterC'' Data'!$C$4:$D$8,2,FALSE),"")</f>
        <v/>
      </c>
      <c r="T174" s="114"/>
      <c r="U174" s="363" t="str">
        <f>IFERROR(INDEX('G-7 WaterC'' Data'!$H$4:$L$8,MATCH(N174,'G-7 WaterC'' Data'!$B$4:$B$8,0),MATCH(T174,'G-7 WaterC'' Data'!$H$3:$L$3,0)),"")</f>
        <v/>
      </c>
      <c r="V174" s="122"/>
      <c r="W174" s="382" t="str">
        <f>IF(V174="","",IF(VLOOKUP(V174,'G-7 WaterC'' Data'!$AK$4:$AM$6,2,FALSE)=0,"Spatial Data Missing ⚠",VLOOKUP(V174,'G-7 WaterC'' Data'!$AK$4:$AM$6,2,FALSE)))</f>
        <v/>
      </c>
      <c r="X174" s="386" t="str">
        <f>IF(V174="","",IF(VLOOKUP(V174,'G-7 WaterC'' Data'!$AK$4:$AM$6,3,FALSE)=0,"Spatial Data Missing ⚠",VLOOKUP(V174,'G-7 WaterC'' Data'!$AK$4:$AM$6,3,FALSE)))</f>
        <v/>
      </c>
      <c r="Y174" s="398" t="str">
        <f>IFERROR(IF(OR(LEFT(P174,5)="Error",LEFT(O174,5)="Error"),"Check Data ⚠",IF(F174&lt;S174,'G-7 WaterC'' Data'!$R$3,INDEX('G-7 WaterC'' Data'!$U$5:$Y$9,MATCH(G174,'G-7 WaterC'' Data'!$T$5:$T$9,0),MATCH(T174,'G-7 WaterC'' Data'!$U$4:$Y$4,0)))),"")</f>
        <v/>
      </c>
      <c r="Z174" s="165"/>
      <c r="AA174" s="165"/>
      <c r="AB174" s="395" t="str">
        <f t="shared" si="18"/>
        <v/>
      </c>
      <c r="AC174" s="383" t="str">
        <f t="shared" si="23"/>
        <v/>
      </c>
      <c r="AD174" s="422" t="str">
        <f>IFERROR(IF(AC174="Check Data ⚠","Check Data ⚠",VLOOKUP(AC174,'G-4 Temporal multipliers'!$A$4:$C$37,3,FALSE)),"")</f>
        <v/>
      </c>
      <c r="AE174" s="398" t="str">
        <f>IF(N174="","",VLOOKUP(N174,'G-7 WaterC'' Data'!$B$4:$G$8,5,FALSE))</f>
        <v/>
      </c>
      <c r="AF174" s="382" t="str">
        <f t="shared" si="19"/>
        <v/>
      </c>
      <c r="AG174" s="382" t="str">
        <f t="shared" si="24"/>
        <v/>
      </c>
      <c r="AH174" s="386" t="str">
        <f t="shared" si="20"/>
        <v/>
      </c>
      <c r="AI174" s="122"/>
      <c r="AJ174" s="363" t="str">
        <f>IF(AI174="","",IF(VLOOKUP(AI174,'G-7 WaterC'' Data'!$AA$4:$AB$7,2,FALSE)=0,"Spatial Data Missing ⚠",VLOOKUP(AI174,'G-7 WaterC'' Data'!$AA$4:$AB$7,2,FALSE)))</f>
        <v/>
      </c>
      <c r="AK174" s="123"/>
      <c r="AL174" s="397" t="str">
        <f>IF(AK174="","",IF(VLOOKUP(AK174,'G-7 WaterC'' Data'!$AD$4:$AE$14,2,FALSE)=0,"Spatial Data Missing ⚠",VLOOKUP(AK174,'G-7 WaterC'' Data'!$AD$4:$AE$14,2,FALSE)))</f>
        <v/>
      </c>
      <c r="AM174" s="122"/>
      <c r="AN174" s="363" t="str">
        <f>IF(AM174="","",IF(VLOOKUP(AM174,'G-7 WaterC'' Data'!$AO$4:$BO$7,2,FALSE)=0,"Spatial Data Missing ⚠",VLOOKUP(AM174,'G-7 WaterC'' Data'!$AO$4:$BO$7,2,FALSE)))</f>
        <v/>
      </c>
      <c r="AO174" s="405" t="str">
        <f t="shared" si="25"/>
        <v/>
      </c>
      <c r="AP174" s="405" t="str">
        <f t="shared" si="26"/>
        <v/>
      </c>
      <c r="AQ174" s="117"/>
      <c r="AR174" s="118"/>
      <c r="AS174" s="120"/>
      <c r="AT174" s="120"/>
      <c r="AY174" s="30" t="str">
        <f>IFERROR(INDEX('G-7 WaterC'' Data'!$AZ$3:$AZ$7,MATCH(N174,'G-7 WaterC'' Data'!$AY$3:$AY$7,0)),"")</f>
        <v/>
      </c>
    </row>
    <row r="175" spans="2:51" ht="15">
      <c r="B175" s="392" t="str">
        <f>'F-1 Off-Site WaterC'' Baseline'!AR173</f>
        <v/>
      </c>
      <c r="C175" s="382" t="str">
        <f>IF(B175="","",VLOOKUP($B175,'F-1 Off-Site WaterC'' Baseline'!$C$9:$R$257,2,FALSE))</f>
        <v/>
      </c>
      <c r="D175" s="382" t="str">
        <f>IF(C175="","",VLOOKUP($B175,'F-1 Off-Site WaterC'' Baseline'!$C$9:$R$257,3,FALSE))</f>
        <v/>
      </c>
      <c r="E175" s="382" t="str">
        <f>IF(D175="","",VLOOKUP($B175,'F-1 Off-Site WaterC'' Baseline'!$C$9:$R$257,4,FALSE))</f>
        <v/>
      </c>
      <c r="F175" s="382" t="str">
        <f>IF(E175="","",VLOOKUP($B175,'F-1 Off-Site WaterC'' Baseline'!$C$9:$R$257,5,FALSE))</f>
        <v/>
      </c>
      <c r="G175" s="382" t="str">
        <f>IF(F175="","",VLOOKUP($B175,'F-1 Off-Site WaterC'' Baseline'!$C$9:$R$257,6,FALSE))</f>
        <v/>
      </c>
      <c r="H175" s="382" t="str">
        <f>IF(G175="","",VLOOKUP($B175,'F-1 Off-Site WaterC'' Baseline'!$C$9:$R$257,7,FALSE))</f>
        <v/>
      </c>
      <c r="I175" s="382" t="str">
        <f>IF(H175="","",VLOOKUP($B175,'F-1 Off-Site WaterC'' Baseline'!$C$9:$R$257,8,FALSE))</f>
        <v/>
      </c>
      <c r="J175" s="382" t="str">
        <f>IF(I175="","",VLOOKUP($B175,'F-1 Off-Site WaterC'' Baseline'!$C$9:$R$257,9,FALSE))</f>
        <v/>
      </c>
      <c r="K175" s="382" t="str">
        <f>IF(J175="","",VLOOKUP($B175,'F-1 Off-Site WaterC'' Baseline'!$C$9:$R$257,10,FALSE))</f>
        <v/>
      </c>
      <c r="L175" s="382" t="str">
        <f>IF(B175="","",VLOOKUP($B175,'F-1 Off-Site WaterC'' Baseline'!$C$9:$R$257,15,FALSE))</f>
        <v/>
      </c>
      <c r="M175" s="386" t="str">
        <f>IF(L175="","",VLOOKUP($B175,'F-1 Off-Site WaterC'' Baseline'!$C$9:$R$257,16,FALSE))</f>
        <v/>
      </c>
      <c r="N175" s="316" t="str">
        <f t="shared" si="21"/>
        <v/>
      </c>
      <c r="O175" s="362" t="str">
        <f t="shared" si="22"/>
        <v/>
      </c>
      <c r="P175" s="363" t="str">
        <f>IF(C175="","",IF(AND(LEFT(C175,55)&lt;&gt;LEFT(N175,55),O175="High - High"),"Error - Not like for like ▲",IF(H175&gt;U175,"Error - Can not reduce condition ▲",IF(AND(F175=S175,H175=U175,AJ175='F-1 Off-Site WaterC'' Baseline'!N173,'F-1 Off-Site WaterC'' Baseline'!P173=AL175),"Error - No enhancement ▲",IF(AND(C175&lt;&gt;N175,F175&lt;S175),"Lower Distinctiveness Habitat"&amp;" - "&amp;T175,G175&amp;" - "&amp;T175)))))</f>
        <v/>
      </c>
      <c r="Q175" s="368" t="str">
        <f>IF(N175="","",VLOOKUP(B175,'F-1 Off-Site WaterC'' Baseline'!$C$10:$AE$257,22,FALSE))</f>
        <v/>
      </c>
      <c r="R175" s="362" t="str">
        <f>IF(N175="","",VLOOKUP(N175,'G-7 WaterC'' Data'!$B$2:$G$8,2,FALSE))</f>
        <v/>
      </c>
      <c r="S175" s="363" t="str">
        <f>IFERROR(VLOOKUP(R175,'G-7 WaterC'' Data'!$C$4:$D$8,2,FALSE),"")</f>
        <v/>
      </c>
      <c r="T175" s="114"/>
      <c r="U175" s="363" t="str">
        <f>IFERROR(INDEX('G-7 WaterC'' Data'!$H$4:$L$8,MATCH(N175,'G-7 WaterC'' Data'!$B$4:$B$8,0),MATCH(T175,'G-7 WaterC'' Data'!$H$3:$L$3,0)),"")</f>
        <v/>
      </c>
      <c r="V175" s="122"/>
      <c r="W175" s="382" t="str">
        <f>IF(V175="","",IF(VLOOKUP(V175,'G-7 WaterC'' Data'!$AK$4:$AM$6,2,FALSE)=0,"Spatial Data Missing ⚠",VLOOKUP(V175,'G-7 WaterC'' Data'!$AK$4:$AM$6,2,FALSE)))</f>
        <v/>
      </c>
      <c r="X175" s="386" t="str">
        <f>IF(V175="","",IF(VLOOKUP(V175,'G-7 WaterC'' Data'!$AK$4:$AM$6,3,FALSE)=0,"Spatial Data Missing ⚠",VLOOKUP(V175,'G-7 WaterC'' Data'!$AK$4:$AM$6,3,FALSE)))</f>
        <v/>
      </c>
      <c r="Y175" s="398" t="str">
        <f>IFERROR(IF(OR(LEFT(P175,5)="Error",LEFT(O175,5)="Error"),"Check Data ⚠",IF(F175&lt;S175,'G-7 WaterC'' Data'!$R$3,INDEX('G-7 WaterC'' Data'!$U$5:$Y$9,MATCH(G175,'G-7 WaterC'' Data'!$T$5:$T$9,0),MATCH(T175,'G-7 WaterC'' Data'!$U$4:$Y$4,0)))),"")</f>
        <v/>
      </c>
      <c r="Z175" s="165"/>
      <c r="AA175" s="165"/>
      <c r="AB175" s="395" t="str">
        <f t="shared" si="18"/>
        <v/>
      </c>
      <c r="AC175" s="383" t="str">
        <f t="shared" si="23"/>
        <v/>
      </c>
      <c r="AD175" s="422" t="str">
        <f>IFERROR(IF(AC175="Check Data ⚠","Check Data ⚠",VLOOKUP(AC175,'G-4 Temporal multipliers'!$A$4:$C$37,3,FALSE)),"")</f>
        <v/>
      </c>
      <c r="AE175" s="398" t="str">
        <f>IF(N175="","",VLOOKUP(N175,'G-7 WaterC'' Data'!$B$4:$G$8,5,FALSE))</f>
        <v/>
      </c>
      <c r="AF175" s="382" t="str">
        <f t="shared" si="19"/>
        <v/>
      </c>
      <c r="AG175" s="382" t="str">
        <f t="shared" si="24"/>
        <v/>
      </c>
      <c r="AH175" s="386" t="str">
        <f t="shared" si="20"/>
        <v/>
      </c>
      <c r="AI175" s="122"/>
      <c r="AJ175" s="363" t="str">
        <f>IF(AI175="","",IF(VLOOKUP(AI175,'G-7 WaterC'' Data'!$AA$4:$AB$7,2,FALSE)=0,"Spatial Data Missing ⚠",VLOOKUP(AI175,'G-7 WaterC'' Data'!$AA$4:$AB$7,2,FALSE)))</f>
        <v/>
      </c>
      <c r="AK175" s="123"/>
      <c r="AL175" s="397" t="str">
        <f>IF(AK175="","",IF(VLOOKUP(AK175,'G-7 WaterC'' Data'!$AD$4:$AE$14,2,FALSE)=0,"Spatial Data Missing ⚠",VLOOKUP(AK175,'G-7 WaterC'' Data'!$AD$4:$AE$14,2,FALSE)))</f>
        <v/>
      </c>
      <c r="AM175" s="122"/>
      <c r="AN175" s="363" t="str">
        <f>IF(AM175="","",IF(VLOOKUP(AM175,'G-7 WaterC'' Data'!$AO$4:$BO$7,2,FALSE)=0,"Spatial Data Missing ⚠",VLOOKUP(AM175,'G-7 WaterC'' Data'!$AO$4:$BO$7,2,FALSE)))</f>
        <v/>
      </c>
      <c r="AO175" s="405" t="str">
        <f t="shared" si="25"/>
        <v/>
      </c>
      <c r="AP175" s="405" t="str">
        <f t="shared" si="26"/>
        <v/>
      </c>
      <c r="AQ175" s="117"/>
      <c r="AR175" s="118"/>
      <c r="AS175" s="120"/>
      <c r="AT175" s="120"/>
      <c r="AY175" s="30" t="str">
        <f>IFERROR(INDEX('G-7 WaterC'' Data'!$AZ$3:$AZ$7,MATCH(N175,'G-7 WaterC'' Data'!$AY$3:$AY$7,0)),"")</f>
        <v/>
      </c>
    </row>
    <row r="176" spans="2:51" ht="15">
      <c r="B176" s="392" t="str">
        <f>'F-1 Off-Site WaterC'' Baseline'!AR174</f>
        <v/>
      </c>
      <c r="C176" s="382" t="str">
        <f>IF(B176="","",VLOOKUP($B176,'F-1 Off-Site WaterC'' Baseline'!$C$9:$R$257,2,FALSE))</f>
        <v/>
      </c>
      <c r="D176" s="382" t="str">
        <f>IF(C176="","",VLOOKUP($B176,'F-1 Off-Site WaterC'' Baseline'!$C$9:$R$257,3,FALSE))</f>
        <v/>
      </c>
      <c r="E176" s="382" t="str">
        <f>IF(D176="","",VLOOKUP($B176,'F-1 Off-Site WaterC'' Baseline'!$C$9:$R$257,4,FALSE))</f>
        <v/>
      </c>
      <c r="F176" s="382" t="str">
        <f>IF(E176="","",VLOOKUP($B176,'F-1 Off-Site WaterC'' Baseline'!$C$9:$R$257,5,FALSE))</f>
        <v/>
      </c>
      <c r="G176" s="382" t="str">
        <f>IF(F176="","",VLOOKUP($B176,'F-1 Off-Site WaterC'' Baseline'!$C$9:$R$257,6,FALSE))</f>
        <v/>
      </c>
      <c r="H176" s="382" t="str">
        <f>IF(G176="","",VLOOKUP($B176,'F-1 Off-Site WaterC'' Baseline'!$C$9:$R$257,7,FALSE))</f>
        <v/>
      </c>
      <c r="I176" s="382" t="str">
        <f>IF(H176="","",VLOOKUP($B176,'F-1 Off-Site WaterC'' Baseline'!$C$9:$R$257,8,FALSE))</f>
        <v/>
      </c>
      <c r="J176" s="382" t="str">
        <f>IF(I176="","",VLOOKUP($B176,'F-1 Off-Site WaterC'' Baseline'!$C$9:$R$257,9,FALSE))</f>
        <v/>
      </c>
      <c r="K176" s="382" t="str">
        <f>IF(J176="","",VLOOKUP($B176,'F-1 Off-Site WaterC'' Baseline'!$C$9:$R$257,10,FALSE))</f>
        <v/>
      </c>
      <c r="L176" s="382" t="str">
        <f>IF(B176="","",VLOOKUP($B176,'F-1 Off-Site WaterC'' Baseline'!$C$9:$R$257,15,FALSE))</f>
        <v/>
      </c>
      <c r="M176" s="386" t="str">
        <f>IF(L176="","",VLOOKUP($B176,'F-1 Off-Site WaterC'' Baseline'!$C$9:$R$257,16,FALSE))</f>
        <v/>
      </c>
      <c r="N176" s="316" t="str">
        <f t="shared" si="21"/>
        <v/>
      </c>
      <c r="O176" s="362" t="str">
        <f t="shared" si="22"/>
        <v/>
      </c>
      <c r="P176" s="363" t="str">
        <f>IF(C176="","",IF(AND(LEFT(C176,55)&lt;&gt;LEFT(N176,55),O176="High - High"),"Error - Not like for like ▲",IF(H176&gt;U176,"Error - Can not reduce condition ▲",IF(AND(F176=S176,H176=U176,AJ176='F-1 Off-Site WaterC'' Baseline'!N174,'F-1 Off-Site WaterC'' Baseline'!P174=AL176),"Error - No enhancement ▲",IF(AND(C176&lt;&gt;N176,F176&lt;S176),"Lower Distinctiveness Habitat"&amp;" - "&amp;T176,G176&amp;" - "&amp;T176)))))</f>
        <v/>
      </c>
      <c r="Q176" s="368" t="str">
        <f>IF(N176="","",VLOOKUP(B176,'F-1 Off-Site WaterC'' Baseline'!$C$10:$AE$257,22,FALSE))</f>
        <v/>
      </c>
      <c r="R176" s="362" t="str">
        <f>IF(N176="","",VLOOKUP(N176,'G-7 WaterC'' Data'!$B$2:$G$8,2,FALSE))</f>
        <v/>
      </c>
      <c r="S176" s="363" t="str">
        <f>IFERROR(VLOOKUP(R176,'G-7 WaterC'' Data'!$C$4:$D$8,2,FALSE),"")</f>
        <v/>
      </c>
      <c r="T176" s="114"/>
      <c r="U176" s="363" t="str">
        <f>IFERROR(INDEX('G-7 WaterC'' Data'!$H$4:$L$8,MATCH(N176,'G-7 WaterC'' Data'!$B$4:$B$8,0),MATCH(T176,'G-7 WaterC'' Data'!$H$3:$L$3,0)),"")</f>
        <v/>
      </c>
      <c r="V176" s="122"/>
      <c r="W176" s="382" t="str">
        <f>IF(V176="","",IF(VLOOKUP(V176,'G-7 WaterC'' Data'!$AK$4:$AM$6,2,FALSE)=0,"Spatial Data Missing ⚠",VLOOKUP(V176,'G-7 WaterC'' Data'!$AK$4:$AM$6,2,FALSE)))</f>
        <v/>
      </c>
      <c r="X176" s="386" t="str">
        <f>IF(V176="","",IF(VLOOKUP(V176,'G-7 WaterC'' Data'!$AK$4:$AM$6,3,FALSE)=0,"Spatial Data Missing ⚠",VLOOKUP(V176,'G-7 WaterC'' Data'!$AK$4:$AM$6,3,FALSE)))</f>
        <v/>
      </c>
      <c r="Y176" s="398" t="str">
        <f>IFERROR(IF(OR(LEFT(P176,5)="Error",LEFT(O176,5)="Error"),"Check Data ⚠",IF(F176&lt;S176,'G-7 WaterC'' Data'!$R$3,INDEX('G-7 WaterC'' Data'!$U$5:$Y$9,MATCH(G176,'G-7 WaterC'' Data'!$T$5:$T$9,0),MATCH(T176,'G-7 WaterC'' Data'!$U$4:$Y$4,0)))),"")</f>
        <v/>
      </c>
      <c r="Z176" s="165"/>
      <c r="AA176" s="165"/>
      <c r="AB176" s="395" t="str">
        <f t="shared" si="18"/>
        <v/>
      </c>
      <c r="AC176" s="383" t="str">
        <f t="shared" si="23"/>
        <v/>
      </c>
      <c r="AD176" s="422" t="str">
        <f>IFERROR(IF(AC176="Check Data ⚠","Check Data ⚠",VLOOKUP(AC176,'G-4 Temporal multipliers'!$A$4:$C$37,3,FALSE)),"")</f>
        <v/>
      </c>
      <c r="AE176" s="398" t="str">
        <f>IF(N176="","",VLOOKUP(N176,'G-7 WaterC'' Data'!$B$4:$G$8,5,FALSE))</f>
        <v/>
      </c>
      <c r="AF176" s="382" t="str">
        <f t="shared" si="19"/>
        <v/>
      </c>
      <c r="AG176" s="382" t="str">
        <f t="shared" si="24"/>
        <v/>
      </c>
      <c r="AH176" s="386" t="str">
        <f t="shared" si="20"/>
        <v/>
      </c>
      <c r="AI176" s="122"/>
      <c r="AJ176" s="363" t="str">
        <f>IF(AI176="","",IF(VLOOKUP(AI176,'G-7 WaterC'' Data'!$AA$4:$AB$7,2,FALSE)=0,"Spatial Data Missing ⚠",VLOOKUP(AI176,'G-7 WaterC'' Data'!$AA$4:$AB$7,2,FALSE)))</f>
        <v/>
      </c>
      <c r="AK176" s="123"/>
      <c r="AL176" s="397" t="str">
        <f>IF(AK176="","",IF(VLOOKUP(AK176,'G-7 WaterC'' Data'!$AD$4:$AE$14,2,FALSE)=0,"Spatial Data Missing ⚠",VLOOKUP(AK176,'G-7 WaterC'' Data'!$AD$4:$AE$14,2,FALSE)))</f>
        <v/>
      </c>
      <c r="AM176" s="122"/>
      <c r="AN176" s="363" t="str">
        <f>IF(AM176="","",IF(VLOOKUP(AM176,'G-7 WaterC'' Data'!$AO$4:$BO$7,2,FALSE)=0,"Spatial Data Missing ⚠",VLOOKUP(AM176,'G-7 WaterC'' Data'!$AO$4:$BO$7,2,FALSE)))</f>
        <v/>
      </c>
      <c r="AO176" s="405" t="str">
        <f t="shared" si="25"/>
        <v/>
      </c>
      <c r="AP176" s="405" t="str">
        <f t="shared" si="26"/>
        <v/>
      </c>
      <c r="AQ176" s="117"/>
      <c r="AR176" s="118"/>
      <c r="AS176" s="120"/>
      <c r="AT176" s="120"/>
      <c r="AY176" s="30" t="str">
        <f>IFERROR(INDEX('G-7 WaterC'' Data'!$AZ$3:$AZ$7,MATCH(N176,'G-7 WaterC'' Data'!$AY$3:$AY$7,0)),"")</f>
        <v/>
      </c>
    </row>
    <row r="177" spans="2:51" ht="15">
      <c r="B177" s="392" t="str">
        <f>'F-1 Off-Site WaterC'' Baseline'!AR175</f>
        <v/>
      </c>
      <c r="C177" s="382" t="str">
        <f>IF(B177="","",VLOOKUP($B177,'F-1 Off-Site WaterC'' Baseline'!$C$9:$R$257,2,FALSE))</f>
        <v/>
      </c>
      <c r="D177" s="382" t="str">
        <f>IF(C177="","",VLOOKUP($B177,'F-1 Off-Site WaterC'' Baseline'!$C$9:$R$257,3,FALSE))</f>
        <v/>
      </c>
      <c r="E177" s="382" t="str">
        <f>IF(D177="","",VLOOKUP($B177,'F-1 Off-Site WaterC'' Baseline'!$C$9:$R$257,4,FALSE))</f>
        <v/>
      </c>
      <c r="F177" s="382" t="str">
        <f>IF(E177="","",VLOOKUP($B177,'F-1 Off-Site WaterC'' Baseline'!$C$9:$R$257,5,FALSE))</f>
        <v/>
      </c>
      <c r="G177" s="382" t="str">
        <f>IF(F177="","",VLOOKUP($B177,'F-1 Off-Site WaterC'' Baseline'!$C$9:$R$257,6,FALSE))</f>
        <v/>
      </c>
      <c r="H177" s="382" t="str">
        <f>IF(G177="","",VLOOKUP($B177,'F-1 Off-Site WaterC'' Baseline'!$C$9:$R$257,7,FALSE))</f>
        <v/>
      </c>
      <c r="I177" s="382" t="str">
        <f>IF(H177="","",VLOOKUP($B177,'F-1 Off-Site WaterC'' Baseline'!$C$9:$R$257,8,FALSE))</f>
        <v/>
      </c>
      <c r="J177" s="382" t="str">
        <f>IF(I177="","",VLOOKUP($B177,'F-1 Off-Site WaterC'' Baseline'!$C$9:$R$257,9,FALSE))</f>
        <v/>
      </c>
      <c r="K177" s="382" t="str">
        <f>IF(J177="","",VLOOKUP($B177,'F-1 Off-Site WaterC'' Baseline'!$C$9:$R$257,10,FALSE))</f>
        <v/>
      </c>
      <c r="L177" s="382" t="str">
        <f>IF(B177="","",VLOOKUP($B177,'F-1 Off-Site WaterC'' Baseline'!$C$9:$R$257,15,FALSE))</f>
        <v/>
      </c>
      <c r="M177" s="386" t="str">
        <f>IF(L177="","",VLOOKUP($B177,'F-1 Off-Site WaterC'' Baseline'!$C$9:$R$257,16,FALSE))</f>
        <v/>
      </c>
      <c r="N177" s="316" t="str">
        <f t="shared" si="21"/>
        <v/>
      </c>
      <c r="O177" s="362" t="str">
        <f t="shared" si="22"/>
        <v/>
      </c>
      <c r="P177" s="363" t="str">
        <f>IF(C177="","",IF(AND(LEFT(C177,55)&lt;&gt;LEFT(N177,55),O177="High - High"),"Error - Not like for like ▲",IF(H177&gt;U177,"Error - Can not reduce condition ▲",IF(AND(F177=S177,H177=U177,AJ177='F-1 Off-Site WaterC'' Baseline'!N175,'F-1 Off-Site WaterC'' Baseline'!P175=AL177),"Error - No enhancement ▲",IF(AND(C177&lt;&gt;N177,F177&lt;S177),"Lower Distinctiveness Habitat"&amp;" - "&amp;T177,G177&amp;" - "&amp;T177)))))</f>
        <v/>
      </c>
      <c r="Q177" s="368" t="str">
        <f>IF(N177="","",VLOOKUP(B177,'F-1 Off-Site WaterC'' Baseline'!$C$10:$AE$257,22,FALSE))</f>
        <v/>
      </c>
      <c r="R177" s="362" t="str">
        <f>IF(N177="","",VLOOKUP(N177,'G-7 WaterC'' Data'!$B$2:$G$8,2,FALSE))</f>
        <v/>
      </c>
      <c r="S177" s="363" t="str">
        <f>IFERROR(VLOOKUP(R177,'G-7 WaterC'' Data'!$C$4:$D$8,2,FALSE),"")</f>
        <v/>
      </c>
      <c r="T177" s="114"/>
      <c r="U177" s="363" t="str">
        <f>IFERROR(INDEX('G-7 WaterC'' Data'!$H$4:$L$8,MATCH(N177,'G-7 WaterC'' Data'!$B$4:$B$8,0),MATCH(T177,'G-7 WaterC'' Data'!$H$3:$L$3,0)),"")</f>
        <v/>
      </c>
      <c r="V177" s="122"/>
      <c r="W177" s="382" t="str">
        <f>IF(V177="","",IF(VLOOKUP(V177,'G-7 WaterC'' Data'!$AK$4:$AM$6,2,FALSE)=0,"Spatial Data Missing ⚠",VLOOKUP(V177,'G-7 WaterC'' Data'!$AK$4:$AM$6,2,FALSE)))</f>
        <v/>
      </c>
      <c r="X177" s="386" t="str">
        <f>IF(V177="","",IF(VLOOKUP(V177,'G-7 WaterC'' Data'!$AK$4:$AM$6,3,FALSE)=0,"Spatial Data Missing ⚠",VLOOKUP(V177,'G-7 WaterC'' Data'!$AK$4:$AM$6,3,FALSE)))</f>
        <v/>
      </c>
      <c r="Y177" s="398" t="str">
        <f>IFERROR(IF(OR(LEFT(P177,5)="Error",LEFT(O177,5)="Error"),"Check Data ⚠",IF(F177&lt;S177,'G-7 WaterC'' Data'!$R$3,INDEX('G-7 WaterC'' Data'!$U$5:$Y$9,MATCH(G177,'G-7 WaterC'' Data'!$T$5:$T$9,0),MATCH(T177,'G-7 WaterC'' Data'!$U$4:$Y$4,0)))),"")</f>
        <v/>
      </c>
      <c r="Z177" s="165"/>
      <c r="AA177" s="165"/>
      <c r="AB177" s="395" t="str">
        <f t="shared" si="18"/>
        <v/>
      </c>
      <c r="AC177" s="383" t="str">
        <f t="shared" si="23"/>
        <v/>
      </c>
      <c r="AD177" s="422" t="str">
        <f>IFERROR(IF(AC177="Check Data ⚠","Check Data ⚠",VLOOKUP(AC177,'G-4 Temporal multipliers'!$A$4:$C$37,3,FALSE)),"")</f>
        <v/>
      </c>
      <c r="AE177" s="398" t="str">
        <f>IF(N177="","",VLOOKUP(N177,'G-7 WaterC'' Data'!$B$4:$G$8,5,FALSE))</f>
        <v/>
      </c>
      <c r="AF177" s="382" t="str">
        <f t="shared" si="19"/>
        <v/>
      </c>
      <c r="AG177" s="382" t="str">
        <f t="shared" si="24"/>
        <v/>
      </c>
      <c r="AH177" s="386" t="str">
        <f t="shared" si="20"/>
        <v/>
      </c>
      <c r="AI177" s="122"/>
      <c r="AJ177" s="363" t="str">
        <f>IF(AI177="","",IF(VLOOKUP(AI177,'G-7 WaterC'' Data'!$AA$4:$AB$7,2,FALSE)=0,"Spatial Data Missing ⚠",VLOOKUP(AI177,'G-7 WaterC'' Data'!$AA$4:$AB$7,2,FALSE)))</f>
        <v/>
      </c>
      <c r="AK177" s="123"/>
      <c r="AL177" s="397" t="str">
        <f>IF(AK177="","",IF(VLOOKUP(AK177,'G-7 WaterC'' Data'!$AD$4:$AE$14,2,FALSE)=0,"Spatial Data Missing ⚠",VLOOKUP(AK177,'G-7 WaterC'' Data'!$AD$4:$AE$14,2,FALSE)))</f>
        <v/>
      </c>
      <c r="AM177" s="122"/>
      <c r="AN177" s="363" t="str">
        <f>IF(AM177="","",IF(VLOOKUP(AM177,'G-7 WaterC'' Data'!$AO$4:$BO$7,2,FALSE)=0,"Spatial Data Missing ⚠",VLOOKUP(AM177,'G-7 WaterC'' Data'!$AO$4:$BO$7,2,FALSE)))</f>
        <v/>
      </c>
      <c r="AO177" s="405" t="str">
        <f t="shared" si="25"/>
        <v/>
      </c>
      <c r="AP177" s="405" t="str">
        <f t="shared" si="26"/>
        <v/>
      </c>
      <c r="AQ177" s="117"/>
      <c r="AR177" s="118"/>
      <c r="AS177" s="120"/>
      <c r="AT177" s="120"/>
      <c r="AY177" s="30" t="str">
        <f>IFERROR(INDEX('G-7 WaterC'' Data'!$AZ$3:$AZ$7,MATCH(N177,'G-7 WaterC'' Data'!$AY$3:$AY$7,0)),"")</f>
        <v/>
      </c>
    </row>
    <row r="178" spans="2:51" ht="15">
      <c r="B178" s="392" t="str">
        <f>'F-1 Off-Site WaterC'' Baseline'!AR176</f>
        <v/>
      </c>
      <c r="C178" s="382" t="str">
        <f>IF(B178="","",VLOOKUP($B178,'F-1 Off-Site WaterC'' Baseline'!$C$9:$R$257,2,FALSE))</f>
        <v/>
      </c>
      <c r="D178" s="382" t="str">
        <f>IF(C178="","",VLOOKUP($B178,'F-1 Off-Site WaterC'' Baseline'!$C$9:$R$257,3,FALSE))</f>
        <v/>
      </c>
      <c r="E178" s="382" t="str">
        <f>IF(D178="","",VLOOKUP($B178,'F-1 Off-Site WaterC'' Baseline'!$C$9:$R$257,4,FALSE))</f>
        <v/>
      </c>
      <c r="F178" s="382" t="str">
        <f>IF(E178="","",VLOOKUP($B178,'F-1 Off-Site WaterC'' Baseline'!$C$9:$R$257,5,FALSE))</f>
        <v/>
      </c>
      <c r="G178" s="382" t="str">
        <f>IF(F178="","",VLOOKUP($B178,'F-1 Off-Site WaterC'' Baseline'!$C$9:$R$257,6,FALSE))</f>
        <v/>
      </c>
      <c r="H178" s="382" t="str">
        <f>IF(G178="","",VLOOKUP($B178,'F-1 Off-Site WaterC'' Baseline'!$C$9:$R$257,7,FALSE))</f>
        <v/>
      </c>
      <c r="I178" s="382" t="str">
        <f>IF(H178="","",VLOOKUP($B178,'F-1 Off-Site WaterC'' Baseline'!$C$9:$R$257,8,FALSE))</f>
        <v/>
      </c>
      <c r="J178" s="382" t="str">
        <f>IF(I178="","",VLOOKUP($B178,'F-1 Off-Site WaterC'' Baseline'!$C$9:$R$257,9,FALSE))</f>
        <v/>
      </c>
      <c r="K178" s="382" t="str">
        <f>IF(J178="","",VLOOKUP($B178,'F-1 Off-Site WaterC'' Baseline'!$C$9:$R$257,10,FALSE))</f>
        <v/>
      </c>
      <c r="L178" s="382" t="str">
        <f>IF(B178="","",VLOOKUP($B178,'F-1 Off-Site WaterC'' Baseline'!$C$9:$R$257,15,FALSE))</f>
        <v/>
      </c>
      <c r="M178" s="386" t="str">
        <f>IF(L178="","",VLOOKUP($B178,'F-1 Off-Site WaterC'' Baseline'!$C$9:$R$257,16,FALSE))</f>
        <v/>
      </c>
      <c r="N178" s="316" t="str">
        <f t="shared" si="21"/>
        <v/>
      </c>
      <c r="O178" s="362" t="str">
        <f t="shared" si="22"/>
        <v/>
      </c>
      <c r="P178" s="363" t="str">
        <f>IF(C178="","",IF(AND(LEFT(C178,55)&lt;&gt;LEFT(N178,55),O178="High - High"),"Error - Not like for like ▲",IF(H178&gt;U178,"Error - Can not reduce condition ▲",IF(AND(F178=S178,H178=U178,AJ178='F-1 Off-Site WaterC'' Baseline'!N176,'F-1 Off-Site WaterC'' Baseline'!P176=AL178),"Error - No enhancement ▲",IF(AND(C178&lt;&gt;N178,F178&lt;S178),"Lower Distinctiveness Habitat"&amp;" - "&amp;T178,G178&amp;" - "&amp;T178)))))</f>
        <v/>
      </c>
      <c r="Q178" s="368" t="str">
        <f>IF(N178="","",VLOOKUP(B178,'F-1 Off-Site WaterC'' Baseline'!$C$10:$AE$257,22,FALSE))</f>
        <v/>
      </c>
      <c r="R178" s="362" t="str">
        <f>IF(N178="","",VLOOKUP(N178,'G-7 WaterC'' Data'!$B$2:$G$8,2,FALSE))</f>
        <v/>
      </c>
      <c r="S178" s="363" t="str">
        <f>IFERROR(VLOOKUP(R178,'G-7 WaterC'' Data'!$C$4:$D$8,2,FALSE),"")</f>
        <v/>
      </c>
      <c r="T178" s="114"/>
      <c r="U178" s="363" t="str">
        <f>IFERROR(INDEX('G-7 WaterC'' Data'!$H$4:$L$8,MATCH(N178,'G-7 WaterC'' Data'!$B$4:$B$8,0),MATCH(T178,'G-7 WaterC'' Data'!$H$3:$L$3,0)),"")</f>
        <v/>
      </c>
      <c r="V178" s="122"/>
      <c r="W178" s="382" t="str">
        <f>IF(V178="","",IF(VLOOKUP(V178,'G-7 WaterC'' Data'!$AK$4:$AM$6,2,FALSE)=0,"Spatial Data Missing ⚠",VLOOKUP(V178,'G-7 WaterC'' Data'!$AK$4:$AM$6,2,FALSE)))</f>
        <v/>
      </c>
      <c r="X178" s="386" t="str">
        <f>IF(V178="","",IF(VLOOKUP(V178,'G-7 WaterC'' Data'!$AK$4:$AM$6,3,FALSE)=0,"Spatial Data Missing ⚠",VLOOKUP(V178,'G-7 WaterC'' Data'!$AK$4:$AM$6,3,FALSE)))</f>
        <v/>
      </c>
      <c r="Y178" s="398" t="str">
        <f>IFERROR(IF(OR(LEFT(P178,5)="Error",LEFT(O178,5)="Error"),"Check Data ⚠",IF(F178&lt;S178,'G-7 WaterC'' Data'!$R$3,INDEX('G-7 WaterC'' Data'!$U$5:$Y$9,MATCH(G178,'G-7 WaterC'' Data'!$T$5:$T$9,0),MATCH(T178,'G-7 WaterC'' Data'!$U$4:$Y$4,0)))),"")</f>
        <v/>
      </c>
      <c r="Z178" s="165"/>
      <c r="AA178" s="165"/>
      <c r="AB178" s="395" t="str">
        <f t="shared" si="18"/>
        <v/>
      </c>
      <c r="AC178" s="383" t="str">
        <f t="shared" si="23"/>
        <v/>
      </c>
      <c r="AD178" s="422" t="str">
        <f>IFERROR(IF(AC178="Check Data ⚠","Check Data ⚠",VLOOKUP(AC178,'G-4 Temporal multipliers'!$A$4:$C$37,3,FALSE)),"")</f>
        <v/>
      </c>
      <c r="AE178" s="398" t="str">
        <f>IF(N178="","",VLOOKUP(N178,'G-7 WaterC'' Data'!$B$4:$G$8,5,FALSE))</f>
        <v/>
      </c>
      <c r="AF178" s="382" t="str">
        <f t="shared" si="19"/>
        <v/>
      </c>
      <c r="AG178" s="382" t="str">
        <f t="shared" si="24"/>
        <v/>
      </c>
      <c r="AH178" s="386" t="str">
        <f t="shared" si="20"/>
        <v/>
      </c>
      <c r="AI178" s="122"/>
      <c r="AJ178" s="363" t="str">
        <f>IF(AI178="","",IF(VLOOKUP(AI178,'G-7 WaterC'' Data'!$AA$4:$AB$7,2,FALSE)=0,"Spatial Data Missing ⚠",VLOOKUP(AI178,'G-7 WaterC'' Data'!$AA$4:$AB$7,2,FALSE)))</f>
        <v/>
      </c>
      <c r="AK178" s="123"/>
      <c r="AL178" s="397" t="str">
        <f>IF(AK178="","",IF(VLOOKUP(AK178,'G-7 WaterC'' Data'!$AD$4:$AE$14,2,FALSE)=0,"Spatial Data Missing ⚠",VLOOKUP(AK178,'G-7 WaterC'' Data'!$AD$4:$AE$14,2,FALSE)))</f>
        <v/>
      </c>
      <c r="AM178" s="122"/>
      <c r="AN178" s="363" t="str">
        <f>IF(AM178="","",IF(VLOOKUP(AM178,'G-7 WaterC'' Data'!$AO$4:$BO$7,2,FALSE)=0,"Spatial Data Missing ⚠",VLOOKUP(AM178,'G-7 WaterC'' Data'!$AO$4:$BO$7,2,FALSE)))</f>
        <v/>
      </c>
      <c r="AO178" s="405" t="str">
        <f t="shared" si="25"/>
        <v/>
      </c>
      <c r="AP178" s="405" t="str">
        <f t="shared" si="26"/>
        <v/>
      </c>
      <c r="AQ178" s="117"/>
      <c r="AR178" s="118"/>
      <c r="AS178" s="120"/>
      <c r="AT178" s="120"/>
      <c r="AY178" s="30" t="str">
        <f>IFERROR(INDEX('G-7 WaterC'' Data'!$AZ$3:$AZ$7,MATCH(N178,'G-7 WaterC'' Data'!$AY$3:$AY$7,0)),"")</f>
        <v/>
      </c>
    </row>
    <row r="179" spans="2:51" ht="15">
      <c r="B179" s="392" t="str">
        <f>'F-1 Off-Site WaterC'' Baseline'!AR177</f>
        <v/>
      </c>
      <c r="C179" s="382" t="str">
        <f>IF(B179="","",VLOOKUP($B179,'F-1 Off-Site WaterC'' Baseline'!$C$9:$R$257,2,FALSE))</f>
        <v/>
      </c>
      <c r="D179" s="382" t="str">
        <f>IF(C179="","",VLOOKUP($B179,'F-1 Off-Site WaterC'' Baseline'!$C$9:$R$257,3,FALSE))</f>
        <v/>
      </c>
      <c r="E179" s="382" t="str">
        <f>IF(D179="","",VLOOKUP($B179,'F-1 Off-Site WaterC'' Baseline'!$C$9:$R$257,4,FALSE))</f>
        <v/>
      </c>
      <c r="F179" s="382" t="str">
        <f>IF(E179="","",VLOOKUP($B179,'F-1 Off-Site WaterC'' Baseline'!$C$9:$R$257,5,FALSE))</f>
        <v/>
      </c>
      <c r="G179" s="382" t="str">
        <f>IF(F179="","",VLOOKUP($B179,'F-1 Off-Site WaterC'' Baseline'!$C$9:$R$257,6,FALSE))</f>
        <v/>
      </c>
      <c r="H179" s="382" t="str">
        <f>IF(G179="","",VLOOKUP($B179,'F-1 Off-Site WaterC'' Baseline'!$C$9:$R$257,7,FALSE))</f>
        <v/>
      </c>
      <c r="I179" s="382" t="str">
        <f>IF(H179="","",VLOOKUP($B179,'F-1 Off-Site WaterC'' Baseline'!$C$9:$R$257,8,FALSE))</f>
        <v/>
      </c>
      <c r="J179" s="382" t="str">
        <f>IF(I179="","",VLOOKUP($B179,'F-1 Off-Site WaterC'' Baseline'!$C$9:$R$257,9,FALSE))</f>
        <v/>
      </c>
      <c r="K179" s="382" t="str">
        <f>IF(J179="","",VLOOKUP($B179,'F-1 Off-Site WaterC'' Baseline'!$C$9:$R$257,10,FALSE))</f>
        <v/>
      </c>
      <c r="L179" s="382" t="str">
        <f>IF(B179="","",VLOOKUP($B179,'F-1 Off-Site WaterC'' Baseline'!$C$9:$R$257,15,FALSE))</f>
        <v/>
      </c>
      <c r="M179" s="386" t="str">
        <f>IF(L179="","",VLOOKUP($B179,'F-1 Off-Site WaterC'' Baseline'!$C$9:$R$257,16,FALSE))</f>
        <v/>
      </c>
      <c r="N179" s="316" t="str">
        <f t="shared" si="21"/>
        <v/>
      </c>
      <c r="O179" s="362" t="str">
        <f t="shared" si="22"/>
        <v/>
      </c>
      <c r="P179" s="363" t="str">
        <f>IF(C179="","",IF(AND(LEFT(C179,55)&lt;&gt;LEFT(N179,55),O179="High - High"),"Error - Not like for like ▲",IF(H179&gt;U179,"Error - Can not reduce condition ▲",IF(AND(F179=S179,H179=U179,AJ179='F-1 Off-Site WaterC'' Baseline'!N177,'F-1 Off-Site WaterC'' Baseline'!P177=AL179),"Error - No enhancement ▲",IF(AND(C179&lt;&gt;N179,F179&lt;S179),"Lower Distinctiveness Habitat"&amp;" - "&amp;T179,G179&amp;" - "&amp;T179)))))</f>
        <v/>
      </c>
      <c r="Q179" s="368" t="str">
        <f>IF(N179="","",VLOOKUP(B179,'F-1 Off-Site WaterC'' Baseline'!$C$10:$AE$257,22,FALSE))</f>
        <v/>
      </c>
      <c r="R179" s="362" t="str">
        <f>IF(N179="","",VLOOKUP(N179,'G-7 WaterC'' Data'!$B$2:$G$8,2,FALSE))</f>
        <v/>
      </c>
      <c r="S179" s="363" t="str">
        <f>IFERROR(VLOOKUP(R179,'G-7 WaterC'' Data'!$C$4:$D$8,2,FALSE),"")</f>
        <v/>
      </c>
      <c r="T179" s="114"/>
      <c r="U179" s="363" t="str">
        <f>IFERROR(INDEX('G-7 WaterC'' Data'!$H$4:$L$8,MATCH(N179,'G-7 WaterC'' Data'!$B$4:$B$8,0),MATCH(T179,'G-7 WaterC'' Data'!$H$3:$L$3,0)),"")</f>
        <v/>
      </c>
      <c r="V179" s="122"/>
      <c r="W179" s="382" t="str">
        <f>IF(V179="","",IF(VLOOKUP(V179,'G-7 WaterC'' Data'!$AK$4:$AM$6,2,FALSE)=0,"Spatial Data Missing ⚠",VLOOKUP(V179,'G-7 WaterC'' Data'!$AK$4:$AM$6,2,FALSE)))</f>
        <v/>
      </c>
      <c r="X179" s="386" t="str">
        <f>IF(V179="","",IF(VLOOKUP(V179,'G-7 WaterC'' Data'!$AK$4:$AM$6,3,FALSE)=0,"Spatial Data Missing ⚠",VLOOKUP(V179,'G-7 WaterC'' Data'!$AK$4:$AM$6,3,FALSE)))</f>
        <v/>
      </c>
      <c r="Y179" s="398" t="str">
        <f>IFERROR(IF(OR(LEFT(P179,5)="Error",LEFT(O179,5)="Error"),"Check Data ⚠",IF(F179&lt;S179,'G-7 WaterC'' Data'!$R$3,INDEX('G-7 WaterC'' Data'!$U$5:$Y$9,MATCH(G179,'G-7 WaterC'' Data'!$T$5:$T$9,0),MATCH(T179,'G-7 WaterC'' Data'!$U$4:$Y$4,0)))),"")</f>
        <v/>
      </c>
      <c r="Z179" s="165"/>
      <c r="AA179" s="165"/>
      <c r="AB179" s="395" t="str">
        <f t="shared" si="18"/>
        <v/>
      </c>
      <c r="AC179" s="383" t="str">
        <f t="shared" si="23"/>
        <v/>
      </c>
      <c r="AD179" s="422" t="str">
        <f>IFERROR(IF(AC179="Check Data ⚠","Check Data ⚠",VLOOKUP(AC179,'G-4 Temporal multipliers'!$A$4:$C$37,3,FALSE)),"")</f>
        <v/>
      </c>
      <c r="AE179" s="398" t="str">
        <f>IF(N179="","",VLOOKUP(N179,'G-7 WaterC'' Data'!$B$4:$G$8,5,FALSE))</f>
        <v/>
      </c>
      <c r="AF179" s="382" t="str">
        <f t="shared" si="19"/>
        <v/>
      </c>
      <c r="AG179" s="382" t="str">
        <f t="shared" si="24"/>
        <v/>
      </c>
      <c r="AH179" s="386" t="str">
        <f t="shared" si="20"/>
        <v/>
      </c>
      <c r="AI179" s="122"/>
      <c r="AJ179" s="363" t="str">
        <f>IF(AI179="","",IF(VLOOKUP(AI179,'G-7 WaterC'' Data'!$AA$4:$AB$7,2,FALSE)=0,"Spatial Data Missing ⚠",VLOOKUP(AI179,'G-7 WaterC'' Data'!$AA$4:$AB$7,2,FALSE)))</f>
        <v/>
      </c>
      <c r="AK179" s="123"/>
      <c r="AL179" s="397" t="str">
        <f>IF(AK179="","",IF(VLOOKUP(AK179,'G-7 WaterC'' Data'!$AD$4:$AE$14,2,FALSE)=0,"Spatial Data Missing ⚠",VLOOKUP(AK179,'G-7 WaterC'' Data'!$AD$4:$AE$14,2,FALSE)))</f>
        <v/>
      </c>
      <c r="AM179" s="122"/>
      <c r="AN179" s="363" t="str">
        <f>IF(AM179="","",IF(VLOOKUP(AM179,'G-7 WaterC'' Data'!$AO$4:$BO$7,2,FALSE)=0,"Spatial Data Missing ⚠",VLOOKUP(AM179,'G-7 WaterC'' Data'!$AO$4:$BO$7,2,FALSE)))</f>
        <v/>
      </c>
      <c r="AO179" s="405" t="str">
        <f t="shared" si="25"/>
        <v/>
      </c>
      <c r="AP179" s="405" t="str">
        <f t="shared" si="26"/>
        <v/>
      </c>
      <c r="AQ179" s="117"/>
      <c r="AR179" s="118"/>
      <c r="AS179" s="120"/>
      <c r="AT179" s="120"/>
      <c r="AY179" s="30" t="str">
        <f>IFERROR(INDEX('G-7 WaterC'' Data'!$AZ$3:$AZ$7,MATCH(N179,'G-7 WaterC'' Data'!$AY$3:$AY$7,0)),"")</f>
        <v/>
      </c>
    </row>
    <row r="180" spans="2:51" ht="15">
      <c r="B180" s="392" t="str">
        <f>'F-1 Off-Site WaterC'' Baseline'!AR178</f>
        <v/>
      </c>
      <c r="C180" s="382" t="str">
        <f>IF(B180="","",VLOOKUP($B180,'F-1 Off-Site WaterC'' Baseline'!$C$9:$R$257,2,FALSE))</f>
        <v/>
      </c>
      <c r="D180" s="382" t="str">
        <f>IF(C180="","",VLOOKUP($B180,'F-1 Off-Site WaterC'' Baseline'!$C$9:$R$257,3,FALSE))</f>
        <v/>
      </c>
      <c r="E180" s="382" t="str">
        <f>IF(D180="","",VLOOKUP($B180,'F-1 Off-Site WaterC'' Baseline'!$C$9:$R$257,4,FALSE))</f>
        <v/>
      </c>
      <c r="F180" s="382" t="str">
        <f>IF(E180="","",VLOOKUP($B180,'F-1 Off-Site WaterC'' Baseline'!$C$9:$R$257,5,FALSE))</f>
        <v/>
      </c>
      <c r="G180" s="382" t="str">
        <f>IF(F180="","",VLOOKUP($B180,'F-1 Off-Site WaterC'' Baseline'!$C$9:$R$257,6,FALSE))</f>
        <v/>
      </c>
      <c r="H180" s="382" t="str">
        <f>IF(G180="","",VLOOKUP($B180,'F-1 Off-Site WaterC'' Baseline'!$C$9:$R$257,7,FALSE))</f>
        <v/>
      </c>
      <c r="I180" s="382" t="str">
        <f>IF(H180="","",VLOOKUP($B180,'F-1 Off-Site WaterC'' Baseline'!$C$9:$R$257,8,FALSE))</f>
        <v/>
      </c>
      <c r="J180" s="382" t="str">
        <f>IF(I180="","",VLOOKUP($B180,'F-1 Off-Site WaterC'' Baseline'!$C$9:$R$257,9,FALSE))</f>
        <v/>
      </c>
      <c r="K180" s="382" t="str">
        <f>IF(J180="","",VLOOKUP($B180,'F-1 Off-Site WaterC'' Baseline'!$C$9:$R$257,10,FALSE))</f>
        <v/>
      </c>
      <c r="L180" s="382" t="str">
        <f>IF(B180="","",VLOOKUP($B180,'F-1 Off-Site WaterC'' Baseline'!$C$9:$R$257,15,FALSE))</f>
        <v/>
      </c>
      <c r="M180" s="386" t="str">
        <f>IF(L180="","",VLOOKUP($B180,'F-1 Off-Site WaterC'' Baseline'!$C$9:$R$257,16,FALSE))</f>
        <v/>
      </c>
      <c r="N180" s="316" t="str">
        <f t="shared" si="21"/>
        <v/>
      </c>
      <c r="O180" s="362" t="str">
        <f t="shared" si="22"/>
        <v/>
      </c>
      <c r="P180" s="363" t="str">
        <f>IF(C180="","",IF(AND(LEFT(C180,55)&lt;&gt;LEFT(N180,55),O180="High - High"),"Error - Not like for like ▲",IF(H180&gt;U180,"Error - Can not reduce condition ▲",IF(AND(F180=S180,H180=U180,AJ180='F-1 Off-Site WaterC'' Baseline'!N178,'F-1 Off-Site WaterC'' Baseline'!P178=AL180),"Error - No enhancement ▲",IF(AND(C180&lt;&gt;N180,F180&lt;S180),"Lower Distinctiveness Habitat"&amp;" - "&amp;T180,G180&amp;" - "&amp;T180)))))</f>
        <v/>
      </c>
      <c r="Q180" s="368" t="str">
        <f>IF(N180="","",VLOOKUP(B180,'F-1 Off-Site WaterC'' Baseline'!$C$10:$AE$257,22,FALSE))</f>
        <v/>
      </c>
      <c r="R180" s="362" t="str">
        <f>IF(N180="","",VLOOKUP(N180,'G-7 WaterC'' Data'!$B$2:$G$8,2,FALSE))</f>
        <v/>
      </c>
      <c r="S180" s="363" t="str">
        <f>IFERROR(VLOOKUP(R180,'G-7 WaterC'' Data'!$C$4:$D$8,2,FALSE),"")</f>
        <v/>
      </c>
      <c r="T180" s="114"/>
      <c r="U180" s="363" t="str">
        <f>IFERROR(INDEX('G-7 WaterC'' Data'!$H$4:$L$8,MATCH(N180,'G-7 WaterC'' Data'!$B$4:$B$8,0),MATCH(T180,'G-7 WaterC'' Data'!$H$3:$L$3,0)),"")</f>
        <v/>
      </c>
      <c r="V180" s="122"/>
      <c r="W180" s="382" t="str">
        <f>IF(V180="","",IF(VLOOKUP(V180,'G-7 WaterC'' Data'!$AK$4:$AM$6,2,FALSE)=0,"Spatial Data Missing ⚠",VLOOKUP(V180,'G-7 WaterC'' Data'!$AK$4:$AM$6,2,FALSE)))</f>
        <v/>
      </c>
      <c r="X180" s="386" t="str">
        <f>IF(V180="","",IF(VLOOKUP(V180,'G-7 WaterC'' Data'!$AK$4:$AM$6,3,FALSE)=0,"Spatial Data Missing ⚠",VLOOKUP(V180,'G-7 WaterC'' Data'!$AK$4:$AM$6,3,FALSE)))</f>
        <v/>
      </c>
      <c r="Y180" s="398" t="str">
        <f>IFERROR(IF(OR(LEFT(P180,5)="Error",LEFT(O180,5)="Error"),"Check Data ⚠",IF(F180&lt;S180,'G-7 WaterC'' Data'!$R$3,INDEX('G-7 WaterC'' Data'!$U$5:$Y$9,MATCH(G180,'G-7 WaterC'' Data'!$T$5:$T$9,0),MATCH(T180,'G-7 WaterC'' Data'!$U$4:$Y$4,0)))),"")</f>
        <v/>
      </c>
      <c r="Z180" s="165"/>
      <c r="AA180" s="165"/>
      <c r="AB180" s="395" t="str">
        <f t="shared" si="18"/>
        <v/>
      </c>
      <c r="AC180" s="383" t="str">
        <f t="shared" si="23"/>
        <v/>
      </c>
      <c r="AD180" s="422" t="str">
        <f>IFERROR(IF(AC180="Check Data ⚠","Check Data ⚠",VLOOKUP(AC180,'G-4 Temporal multipliers'!$A$4:$C$37,3,FALSE)),"")</f>
        <v/>
      </c>
      <c r="AE180" s="398" t="str">
        <f>IF(N180="","",VLOOKUP(N180,'G-7 WaterC'' Data'!$B$4:$G$8,5,FALSE))</f>
        <v/>
      </c>
      <c r="AF180" s="382" t="str">
        <f t="shared" si="19"/>
        <v/>
      </c>
      <c r="AG180" s="382" t="str">
        <f t="shared" si="24"/>
        <v/>
      </c>
      <c r="AH180" s="386" t="str">
        <f t="shared" si="20"/>
        <v/>
      </c>
      <c r="AI180" s="122"/>
      <c r="AJ180" s="363" t="str">
        <f>IF(AI180="","",IF(VLOOKUP(AI180,'G-7 WaterC'' Data'!$AA$4:$AB$7,2,FALSE)=0,"Spatial Data Missing ⚠",VLOOKUP(AI180,'G-7 WaterC'' Data'!$AA$4:$AB$7,2,FALSE)))</f>
        <v/>
      </c>
      <c r="AK180" s="123"/>
      <c r="AL180" s="397" t="str">
        <f>IF(AK180="","",IF(VLOOKUP(AK180,'G-7 WaterC'' Data'!$AD$4:$AE$14,2,FALSE)=0,"Spatial Data Missing ⚠",VLOOKUP(AK180,'G-7 WaterC'' Data'!$AD$4:$AE$14,2,FALSE)))</f>
        <v/>
      </c>
      <c r="AM180" s="122"/>
      <c r="AN180" s="363" t="str">
        <f>IF(AM180="","",IF(VLOOKUP(AM180,'G-7 WaterC'' Data'!$AO$4:$BO$7,2,FALSE)=0,"Spatial Data Missing ⚠",VLOOKUP(AM180,'G-7 WaterC'' Data'!$AO$4:$BO$7,2,FALSE)))</f>
        <v/>
      </c>
      <c r="AO180" s="405" t="str">
        <f t="shared" si="25"/>
        <v/>
      </c>
      <c r="AP180" s="405" t="str">
        <f t="shared" si="26"/>
        <v/>
      </c>
      <c r="AQ180" s="117"/>
      <c r="AR180" s="118"/>
      <c r="AS180" s="120"/>
      <c r="AT180" s="120"/>
      <c r="AY180" s="30" t="str">
        <f>IFERROR(INDEX('G-7 WaterC'' Data'!$AZ$3:$AZ$7,MATCH(N180,'G-7 WaterC'' Data'!$AY$3:$AY$7,0)),"")</f>
        <v/>
      </c>
    </row>
    <row r="181" spans="2:51" ht="15">
      <c r="B181" s="392" t="str">
        <f>'F-1 Off-Site WaterC'' Baseline'!AR179</f>
        <v/>
      </c>
      <c r="C181" s="382" t="str">
        <f>IF(B181="","",VLOOKUP($B181,'F-1 Off-Site WaterC'' Baseline'!$C$9:$R$257,2,FALSE))</f>
        <v/>
      </c>
      <c r="D181" s="382" t="str">
        <f>IF(C181="","",VLOOKUP($B181,'F-1 Off-Site WaterC'' Baseline'!$C$9:$R$257,3,FALSE))</f>
        <v/>
      </c>
      <c r="E181" s="382" t="str">
        <f>IF(D181="","",VLOOKUP($B181,'F-1 Off-Site WaterC'' Baseline'!$C$9:$R$257,4,FALSE))</f>
        <v/>
      </c>
      <c r="F181" s="382" t="str">
        <f>IF(E181="","",VLOOKUP($B181,'F-1 Off-Site WaterC'' Baseline'!$C$9:$R$257,5,FALSE))</f>
        <v/>
      </c>
      <c r="G181" s="382" t="str">
        <f>IF(F181="","",VLOOKUP($B181,'F-1 Off-Site WaterC'' Baseline'!$C$9:$R$257,6,FALSE))</f>
        <v/>
      </c>
      <c r="H181" s="382" t="str">
        <f>IF(G181="","",VLOOKUP($B181,'F-1 Off-Site WaterC'' Baseline'!$C$9:$R$257,7,FALSE))</f>
        <v/>
      </c>
      <c r="I181" s="382" t="str">
        <f>IF(H181="","",VLOOKUP($B181,'F-1 Off-Site WaterC'' Baseline'!$C$9:$R$257,8,FALSE))</f>
        <v/>
      </c>
      <c r="J181" s="382" t="str">
        <f>IF(I181="","",VLOOKUP($B181,'F-1 Off-Site WaterC'' Baseline'!$C$9:$R$257,9,FALSE))</f>
        <v/>
      </c>
      <c r="K181" s="382" t="str">
        <f>IF(J181="","",VLOOKUP($B181,'F-1 Off-Site WaterC'' Baseline'!$C$9:$R$257,10,FALSE))</f>
        <v/>
      </c>
      <c r="L181" s="382" t="str">
        <f>IF(B181="","",VLOOKUP($B181,'F-1 Off-Site WaterC'' Baseline'!$C$9:$R$257,15,FALSE))</f>
        <v/>
      </c>
      <c r="M181" s="386" t="str">
        <f>IF(L181="","",VLOOKUP($B181,'F-1 Off-Site WaterC'' Baseline'!$C$9:$R$257,16,FALSE))</f>
        <v/>
      </c>
      <c r="N181" s="316" t="str">
        <f t="shared" si="21"/>
        <v/>
      </c>
      <c r="O181" s="362" t="str">
        <f t="shared" si="22"/>
        <v/>
      </c>
      <c r="P181" s="363" t="str">
        <f>IF(C181="","",IF(AND(LEFT(C181,55)&lt;&gt;LEFT(N181,55),O181="High - High"),"Error - Not like for like ▲",IF(H181&gt;U181,"Error - Can not reduce condition ▲",IF(AND(F181=S181,H181=U181,AJ181='F-1 Off-Site WaterC'' Baseline'!N179,'F-1 Off-Site WaterC'' Baseline'!P179=AL181),"Error - No enhancement ▲",IF(AND(C181&lt;&gt;N181,F181&lt;S181),"Lower Distinctiveness Habitat"&amp;" - "&amp;T181,G181&amp;" - "&amp;T181)))))</f>
        <v/>
      </c>
      <c r="Q181" s="368" t="str">
        <f>IF(N181="","",VLOOKUP(B181,'F-1 Off-Site WaterC'' Baseline'!$C$10:$AE$257,22,FALSE))</f>
        <v/>
      </c>
      <c r="R181" s="362" t="str">
        <f>IF(N181="","",VLOOKUP(N181,'G-7 WaterC'' Data'!$B$2:$G$8,2,FALSE))</f>
        <v/>
      </c>
      <c r="S181" s="363" t="str">
        <f>IFERROR(VLOOKUP(R181,'G-7 WaterC'' Data'!$C$4:$D$8,2,FALSE),"")</f>
        <v/>
      </c>
      <c r="T181" s="114"/>
      <c r="U181" s="363" t="str">
        <f>IFERROR(INDEX('G-7 WaterC'' Data'!$H$4:$L$8,MATCH(N181,'G-7 WaterC'' Data'!$B$4:$B$8,0),MATCH(T181,'G-7 WaterC'' Data'!$H$3:$L$3,0)),"")</f>
        <v/>
      </c>
      <c r="V181" s="122"/>
      <c r="W181" s="382" t="str">
        <f>IF(V181="","",IF(VLOOKUP(V181,'G-7 WaterC'' Data'!$AK$4:$AM$6,2,FALSE)=0,"Spatial Data Missing ⚠",VLOOKUP(V181,'G-7 WaterC'' Data'!$AK$4:$AM$6,2,FALSE)))</f>
        <v/>
      </c>
      <c r="X181" s="386" t="str">
        <f>IF(V181="","",IF(VLOOKUP(V181,'G-7 WaterC'' Data'!$AK$4:$AM$6,3,FALSE)=0,"Spatial Data Missing ⚠",VLOOKUP(V181,'G-7 WaterC'' Data'!$AK$4:$AM$6,3,FALSE)))</f>
        <v/>
      </c>
      <c r="Y181" s="398" t="str">
        <f>IFERROR(IF(OR(LEFT(P181,5)="Error",LEFT(O181,5)="Error"),"Check Data ⚠",IF(F181&lt;S181,'G-7 WaterC'' Data'!$R$3,INDEX('G-7 WaterC'' Data'!$U$5:$Y$9,MATCH(G181,'G-7 WaterC'' Data'!$T$5:$T$9,0),MATCH(T181,'G-7 WaterC'' Data'!$U$4:$Y$4,0)))),"")</f>
        <v/>
      </c>
      <c r="Z181" s="165"/>
      <c r="AA181" s="165"/>
      <c r="AB181" s="395" t="str">
        <f t="shared" si="18"/>
        <v/>
      </c>
      <c r="AC181" s="383" t="str">
        <f t="shared" si="23"/>
        <v/>
      </c>
      <c r="AD181" s="422" t="str">
        <f>IFERROR(IF(AC181="Check Data ⚠","Check Data ⚠",VLOOKUP(AC181,'G-4 Temporal multipliers'!$A$4:$C$37,3,FALSE)),"")</f>
        <v/>
      </c>
      <c r="AE181" s="398" t="str">
        <f>IF(N181="","",VLOOKUP(N181,'G-7 WaterC'' Data'!$B$4:$G$8,5,FALSE))</f>
        <v/>
      </c>
      <c r="AF181" s="382" t="str">
        <f t="shared" si="19"/>
        <v/>
      </c>
      <c r="AG181" s="382" t="str">
        <f t="shared" si="24"/>
        <v/>
      </c>
      <c r="AH181" s="386" t="str">
        <f t="shared" si="20"/>
        <v/>
      </c>
      <c r="AI181" s="122"/>
      <c r="AJ181" s="363" t="str">
        <f>IF(AI181="","",IF(VLOOKUP(AI181,'G-7 WaterC'' Data'!$AA$4:$AB$7,2,FALSE)=0,"Spatial Data Missing ⚠",VLOOKUP(AI181,'G-7 WaterC'' Data'!$AA$4:$AB$7,2,FALSE)))</f>
        <v/>
      </c>
      <c r="AK181" s="123"/>
      <c r="AL181" s="397" t="str">
        <f>IF(AK181="","",IF(VLOOKUP(AK181,'G-7 WaterC'' Data'!$AD$4:$AE$14,2,FALSE)=0,"Spatial Data Missing ⚠",VLOOKUP(AK181,'G-7 WaterC'' Data'!$AD$4:$AE$14,2,FALSE)))</f>
        <v/>
      </c>
      <c r="AM181" s="122"/>
      <c r="AN181" s="363" t="str">
        <f>IF(AM181="","",IF(VLOOKUP(AM181,'G-7 WaterC'' Data'!$AO$4:$BO$7,2,FALSE)=0,"Spatial Data Missing ⚠",VLOOKUP(AM181,'G-7 WaterC'' Data'!$AO$4:$BO$7,2,FALSE)))</f>
        <v/>
      </c>
      <c r="AO181" s="405" t="str">
        <f t="shared" si="25"/>
        <v/>
      </c>
      <c r="AP181" s="405" t="str">
        <f t="shared" si="26"/>
        <v/>
      </c>
      <c r="AQ181" s="117"/>
      <c r="AR181" s="118"/>
      <c r="AS181" s="120"/>
      <c r="AT181" s="120"/>
      <c r="AY181" s="30" t="str">
        <f>IFERROR(INDEX('G-7 WaterC'' Data'!$AZ$3:$AZ$7,MATCH(N181,'G-7 WaterC'' Data'!$AY$3:$AY$7,0)),"")</f>
        <v/>
      </c>
    </row>
    <row r="182" spans="2:51" ht="15">
      <c r="B182" s="392" t="str">
        <f>'F-1 Off-Site WaterC'' Baseline'!AR180</f>
        <v/>
      </c>
      <c r="C182" s="382" t="str">
        <f>IF(B182="","",VLOOKUP($B182,'F-1 Off-Site WaterC'' Baseline'!$C$9:$R$257,2,FALSE))</f>
        <v/>
      </c>
      <c r="D182" s="382" t="str">
        <f>IF(C182="","",VLOOKUP($B182,'F-1 Off-Site WaterC'' Baseline'!$C$9:$R$257,3,FALSE))</f>
        <v/>
      </c>
      <c r="E182" s="382" t="str">
        <f>IF(D182="","",VLOOKUP($B182,'F-1 Off-Site WaterC'' Baseline'!$C$9:$R$257,4,FALSE))</f>
        <v/>
      </c>
      <c r="F182" s="382" t="str">
        <f>IF(E182="","",VLOOKUP($B182,'F-1 Off-Site WaterC'' Baseline'!$C$9:$R$257,5,FALSE))</f>
        <v/>
      </c>
      <c r="G182" s="382" t="str">
        <f>IF(F182="","",VLOOKUP($B182,'F-1 Off-Site WaterC'' Baseline'!$C$9:$R$257,6,FALSE))</f>
        <v/>
      </c>
      <c r="H182" s="382" t="str">
        <f>IF(G182="","",VLOOKUP($B182,'F-1 Off-Site WaterC'' Baseline'!$C$9:$R$257,7,FALSE))</f>
        <v/>
      </c>
      <c r="I182" s="382" t="str">
        <f>IF(H182="","",VLOOKUP($B182,'F-1 Off-Site WaterC'' Baseline'!$C$9:$R$257,8,FALSE))</f>
        <v/>
      </c>
      <c r="J182" s="382" t="str">
        <f>IF(I182="","",VLOOKUP($B182,'F-1 Off-Site WaterC'' Baseline'!$C$9:$R$257,9,FALSE))</f>
        <v/>
      </c>
      <c r="K182" s="382" t="str">
        <f>IF(J182="","",VLOOKUP($B182,'F-1 Off-Site WaterC'' Baseline'!$C$9:$R$257,10,FALSE))</f>
        <v/>
      </c>
      <c r="L182" s="382" t="str">
        <f>IF(B182="","",VLOOKUP($B182,'F-1 Off-Site WaterC'' Baseline'!$C$9:$R$257,15,FALSE))</f>
        <v/>
      </c>
      <c r="M182" s="386" t="str">
        <f>IF(L182="","",VLOOKUP($B182,'F-1 Off-Site WaterC'' Baseline'!$C$9:$R$257,16,FALSE))</f>
        <v/>
      </c>
      <c r="N182" s="316" t="str">
        <f t="shared" si="21"/>
        <v/>
      </c>
      <c r="O182" s="362" t="str">
        <f t="shared" si="22"/>
        <v/>
      </c>
      <c r="P182" s="363" t="str">
        <f>IF(C182="","",IF(AND(LEFT(C182,55)&lt;&gt;LEFT(N182,55),O182="High - High"),"Error - Not like for like ▲",IF(H182&gt;U182,"Error - Can not reduce condition ▲",IF(AND(F182=S182,H182=U182,AJ182='F-1 Off-Site WaterC'' Baseline'!N180,'F-1 Off-Site WaterC'' Baseline'!P180=AL182),"Error - No enhancement ▲",IF(AND(C182&lt;&gt;N182,F182&lt;S182),"Lower Distinctiveness Habitat"&amp;" - "&amp;T182,G182&amp;" - "&amp;T182)))))</f>
        <v/>
      </c>
      <c r="Q182" s="368" t="str">
        <f>IF(N182="","",VLOOKUP(B182,'F-1 Off-Site WaterC'' Baseline'!$C$10:$AE$257,22,FALSE))</f>
        <v/>
      </c>
      <c r="R182" s="362" t="str">
        <f>IF(N182="","",VLOOKUP(N182,'G-7 WaterC'' Data'!$B$2:$G$8,2,FALSE))</f>
        <v/>
      </c>
      <c r="S182" s="363" t="str">
        <f>IFERROR(VLOOKUP(R182,'G-7 WaterC'' Data'!$C$4:$D$8,2,FALSE),"")</f>
        <v/>
      </c>
      <c r="T182" s="114"/>
      <c r="U182" s="363" t="str">
        <f>IFERROR(INDEX('G-7 WaterC'' Data'!$H$4:$L$8,MATCH(N182,'G-7 WaterC'' Data'!$B$4:$B$8,0),MATCH(T182,'G-7 WaterC'' Data'!$H$3:$L$3,0)),"")</f>
        <v/>
      </c>
      <c r="V182" s="122"/>
      <c r="W182" s="382" t="str">
        <f>IF(V182="","",IF(VLOOKUP(V182,'G-7 WaterC'' Data'!$AK$4:$AM$6,2,FALSE)=0,"Spatial Data Missing ⚠",VLOOKUP(V182,'G-7 WaterC'' Data'!$AK$4:$AM$6,2,FALSE)))</f>
        <v/>
      </c>
      <c r="X182" s="386" t="str">
        <f>IF(V182="","",IF(VLOOKUP(V182,'G-7 WaterC'' Data'!$AK$4:$AM$6,3,FALSE)=0,"Spatial Data Missing ⚠",VLOOKUP(V182,'G-7 WaterC'' Data'!$AK$4:$AM$6,3,FALSE)))</f>
        <v/>
      </c>
      <c r="Y182" s="398" t="str">
        <f>IFERROR(IF(OR(LEFT(P182,5)="Error",LEFT(O182,5)="Error"),"Check Data ⚠",IF(F182&lt;S182,'G-7 WaterC'' Data'!$R$3,INDEX('G-7 WaterC'' Data'!$U$5:$Y$9,MATCH(G182,'G-7 WaterC'' Data'!$T$5:$T$9,0),MATCH(T182,'G-7 WaterC'' Data'!$U$4:$Y$4,0)))),"")</f>
        <v/>
      </c>
      <c r="Z182" s="165"/>
      <c r="AA182" s="165"/>
      <c r="AB182" s="395" t="str">
        <f t="shared" si="18"/>
        <v/>
      </c>
      <c r="AC182" s="383" t="str">
        <f t="shared" si="23"/>
        <v/>
      </c>
      <c r="AD182" s="422" t="str">
        <f>IFERROR(IF(AC182="Check Data ⚠","Check Data ⚠",VLOOKUP(AC182,'G-4 Temporal multipliers'!$A$4:$C$37,3,FALSE)),"")</f>
        <v/>
      </c>
      <c r="AE182" s="398" t="str">
        <f>IF(N182="","",VLOOKUP(N182,'G-7 WaterC'' Data'!$B$4:$G$8,5,FALSE))</f>
        <v/>
      </c>
      <c r="AF182" s="382" t="str">
        <f t="shared" si="19"/>
        <v/>
      </c>
      <c r="AG182" s="382" t="str">
        <f t="shared" si="24"/>
        <v/>
      </c>
      <c r="AH182" s="386" t="str">
        <f t="shared" si="20"/>
        <v/>
      </c>
      <c r="AI182" s="122"/>
      <c r="AJ182" s="363" t="str">
        <f>IF(AI182="","",IF(VLOOKUP(AI182,'G-7 WaterC'' Data'!$AA$4:$AB$7,2,FALSE)=0,"Spatial Data Missing ⚠",VLOOKUP(AI182,'G-7 WaterC'' Data'!$AA$4:$AB$7,2,FALSE)))</f>
        <v/>
      </c>
      <c r="AK182" s="123"/>
      <c r="AL182" s="397" t="str">
        <f>IF(AK182="","",IF(VLOOKUP(AK182,'G-7 WaterC'' Data'!$AD$4:$AE$14,2,FALSE)=0,"Spatial Data Missing ⚠",VLOOKUP(AK182,'G-7 WaterC'' Data'!$AD$4:$AE$14,2,FALSE)))</f>
        <v/>
      </c>
      <c r="AM182" s="122"/>
      <c r="AN182" s="363" t="str">
        <f>IF(AM182="","",IF(VLOOKUP(AM182,'G-7 WaterC'' Data'!$AO$4:$BO$7,2,FALSE)=0,"Spatial Data Missing ⚠",VLOOKUP(AM182,'G-7 WaterC'' Data'!$AO$4:$BO$7,2,FALSE)))</f>
        <v/>
      </c>
      <c r="AO182" s="405" t="str">
        <f t="shared" si="25"/>
        <v/>
      </c>
      <c r="AP182" s="405" t="str">
        <f t="shared" si="26"/>
        <v/>
      </c>
      <c r="AQ182" s="117"/>
      <c r="AR182" s="118"/>
      <c r="AS182" s="120"/>
      <c r="AT182" s="120"/>
      <c r="AY182" s="30" t="str">
        <f>IFERROR(INDEX('G-7 WaterC'' Data'!$AZ$3:$AZ$7,MATCH(N182,'G-7 WaterC'' Data'!$AY$3:$AY$7,0)),"")</f>
        <v/>
      </c>
    </row>
    <row r="183" spans="2:51" ht="15">
      <c r="B183" s="392" t="str">
        <f>'F-1 Off-Site WaterC'' Baseline'!AR181</f>
        <v/>
      </c>
      <c r="C183" s="382" t="str">
        <f>IF(B183="","",VLOOKUP($B183,'F-1 Off-Site WaterC'' Baseline'!$C$9:$R$257,2,FALSE))</f>
        <v/>
      </c>
      <c r="D183" s="382" t="str">
        <f>IF(C183="","",VLOOKUP($B183,'F-1 Off-Site WaterC'' Baseline'!$C$9:$R$257,3,FALSE))</f>
        <v/>
      </c>
      <c r="E183" s="382" t="str">
        <f>IF(D183="","",VLOOKUP($B183,'F-1 Off-Site WaterC'' Baseline'!$C$9:$R$257,4,FALSE))</f>
        <v/>
      </c>
      <c r="F183" s="382" t="str">
        <f>IF(E183="","",VLOOKUP($B183,'F-1 Off-Site WaterC'' Baseline'!$C$9:$R$257,5,FALSE))</f>
        <v/>
      </c>
      <c r="G183" s="382" t="str">
        <f>IF(F183="","",VLOOKUP($B183,'F-1 Off-Site WaterC'' Baseline'!$C$9:$R$257,6,FALSE))</f>
        <v/>
      </c>
      <c r="H183" s="382" t="str">
        <f>IF(G183="","",VLOOKUP($B183,'F-1 Off-Site WaterC'' Baseline'!$C$9:$R$257,7,FALSE))</f>
        <v/>
      </c>
      <c r="I183" s="382" t="str">
        <f>IF(H183="","",VLOOKUP($B183,'F-1 Off-Site WaterC'' Baseline'!$C$9:$R$257,8,FALSE))</f>
        <v/>
      </c>
      <c r="J183" s="382" t="str">
        <f>IF(I183="","",VLOOKUP($B183,'F-1 Off-Site WaterC'' Baseline'!$C$9:$R$257,9,FALSE))</f>
        <v/>
      </c>
      <c r="K183" s="382" t="str">
        <f>IF(J183="","",VLOOKUP($B183,'F-1 Off-Site WaterC'' Baseline'!$C$9:$R$257,10,FALSE))</f>
        <v/>
      </c>
      <c r="L183" s="382" t="str">
        <f>IF(B183="","",VLOOKUP($B183,'F-1 Off-Site WaterC'' Baseline'!$C$9:$R$257,15,FALSE))</f>
        <v/>
      </c>
      <c r="M183" s="386" t="str">
        <f>IF(L183="","",VLOOKUP($B183,'F-1 Off-Site WaterC'' Baseline'!$C$9:$R$257,16,FALSE))</f>
        <v/>
      </c>
      <c r="N183" s="316" t="str">
        <f t="shared" si="21"/>
        <v/>
      </c>
      <c r="O183" s="362" t="str">
        <f t="shared" si="22"/>
        <v/>
      </c>
      <c r="P183" s="363" t="str">
        <f>IF(C183="","",IF(AND(LEFT(C183,55)&lt;&gt;LEFT(N183,55),O183="High - High"),"Error - Not like for like ▲",IF(H183&gt;U183,"Error - Can not reduce condition ▲",IF(AND(F183=S183,H183=U183,AJ183='F-1 Off-Site WaterC'' Baseline'!N181,'F-1 Off-Site WaterC'' Baseline'!P181=AL183),"Error - No enhancement ▲",IF(AND(C183&lt;&gt;N183,F183&lt;S183),"Lower Distinctiveness Habitat"&amp;" - "&amp;T183,G183&amp;" - "&amp;T183)))))</f>
        <v/>
      </c>
      <c r="Q183" s="368" t="str">
        <f>IF(N183="","",VLOOKUP(B183,'F-1 Off-Site WaterC'' Baseline'!$C$10:$AE$257,22,FALSE))</f>
        <v/>
      </c>
      <c r="R183" s="362" t="str">
        <f>IF(N183="","",VLOOKUP(N183,'G-7 WaterC'' Data'!$B$2:$G$8,2,FALSE))</f>
        <v/>
      </c>
      <c r="S183" s="363" t="str">
        <f>IFERROR(VLOOKUP(R183,'G-7 WaterC'' Data'!$C$4:$D$8,2,FALSE),"")</f>
        <v/>
      </c>
      <c r="T183" s="114"/>
      <c r="U183" s="363" t="str">
        <f>IFERROR(INDEX('G-7 WaterC'' Data'!$H$4:$L$8,MATCH(N183,'G-7 WaterC'' Data'!$B$4:$B$8,0),MATCH(T183,'G-7 WaterC'' Data'!$H$3:$L$3,0)),"")</f>
        <v/>
      </c>
      <c r="V183" s="122"/>
      <c r="W183" s="382" t="str">
        <f>IF(V183="","",IF(VLOOKUP(V183,'G-7 WaterC'' Data'!$AK$4:$AM$6,2,FALSE)=0,"Spatial Data Missing ⚠",VLOOKUP(V183,'G-7 WaterC'' Data'!$AK$4:$AM$6,2,FALSE)))</f>
        <v/>
      </c>
      <c r="X183" s="386" t="str">
        <f>IF(V183="","",IF(VLOOKUP(V183,'G-7 WaterC'' Data'!$AK$4:$AM$6,3,FALSE)=0,"Spatial Data Missing ⚠",VLOOKUP(V183,'G-7 WaterC'' Data'!$AK$4:$AM$6,3,FALSE)))</f>
        <v/>
      </c>
      <c r="Y183" s="398" t="str">
        <f>IFERROR(IF(OR(LEFT(P183,5)="Error",LEFT(O183,5)="Error"),"Check Data ⚠",IF(F183&lt;S183,'G-7 WaterC'' Data'!$R$3,INDEX('G-7 WaterC'' Data'!$U$5:$Y$9,MATCH(G183,'G-7 WaterC'' Data'!$T$5:$T$9,0),MATCH(T183,'G-7 WaterC'' Data'!$U$4:$Y$4,0)))),"")</f>
        <v/>
      </c>
      <c r="Z183" s="165"/>
      <c r="AA183" s="165"/>
      <c r="AB183" s="395" t="str">
        <f t="shared" si="18"/>
        <v/>
      </c>
      <c r="AC183" s="383" t="str">
        <f t="shared" si="23"/>
        <v/>
      </c>
      <c r="AD183" s="422" t="str">
        <f>IFERROR(IF(AC183="Check Data ⚠","Check Data ⚠",VLOOKUP(AC183,'G-4 Temporal multipliers'!$A$4:$C$37,3,FALSE)),"")</f>
        <v/>
      </c>
      <c r="AE183" s="398" t="str">
        <f>IF(N183="","",VLOOKUP(N183,'G-7 WaterC'' Data'!$B$4:$G$8,5,FALSE))</f>
        <v/>
      </c>
      <c r="AF183" s="382" t="str">
        <f t="shared" si="19"/>
        <v/>
      </c>
      <c r="AG183" s="382" t="str">
        <f t="shared" si="24"/>
        <v/>
      </c>
      <c r="AH183" s="386" t="str">
        <f t="shared" si="20"/>
        <v/>
      </c>
      <c r="AI183" s="122"/>
      <c r="AJ183" s="363" t="str">
        <f>IF(AI183="","",IF(VLOOKUP(AI183,'G-7 WaterC'' Data'!$AA$4:$AB$7,2,FALSE)=0,"Spatial Data Missing ⚠",VLOOKUP(AI183,'G-7 WaterC'' Data'!$AA$4:$AB$7,2,FALSE)))</f>
        <v/>
      </c>
      <c r="AK183" s="123"/>
      <c r="AL183" s="397" t="str">
        <f>IF(AK183="","",IF(VLOOKUP(AK183,'G-7 WaterC'' Data'!$AD$4:$AE$14,2,FALSE)=0,"Spatial Data Missing ⚠",VLOOKUP(AK183,'G-7 WaterC'' Data'!$AD$4:$AE$14,2,FALSE)))</f>
        <v/>
      </c>
      <c r="AM183" s="122"/>
      <c r="AN183" s="363" t="str">
        <f>IF(AM183="","",IF(VLOOKUP(AM183,'G-7 WaterC'' Data'!$AO$4:$BO$7,2,FALSE)=0,"Spatial Data Missing ⚠",VLOOKUP(AM183,'G-7 WaterC'' Data'!$AO$4:$BO$7,2,FALSE)))</f>
        <v/>
      </c>
      <c r="AO183" s="405" t="str">
        <f t="shared" si="25"/>
        <v/>
      </c>
      <c r="AP183" s="405" t="str">
        <f t="shared" si="26"/>
        <v/>
      </c>
      <c r="AQ183" s="117"/>
      <c r="AR183" s="118"/>
      <c r="AS183" s="120"/>
      <c r="AT183" s="120"/>
      <c r="AY183" s="30" t="str">
        <f>IFERROR(INDEX('G-7 WaterC'' Data'!$AZ$3:$AZ$7,MATCH(N183,'G-7 WaterC'' Data'!$AY$3:$AY$7,0)),"")</f>
        <v/>
      </c>
    </row>
    <row r="184" spans="2:51" ht="15">
      <c r="B184" s="392" t="str">
        <f>'F-1 Off-Site WaterC'' Baseline'!AR182</f>
        <v/>
      </c>
      <c r="C184" s="382" t="str">
        <f>IF(B184="","",VLOOKUP($B184,'F-1 Off-Site WaterC'' Baseline'!$C$9:$R$257,2,FALSE))</f>
        <v/>
      </c>
      <c r="D184" s="382" t="str">
        <f>IF(C184="","",VLOOKUP($B184,'F-1 Off-Site WaterC'' Baseline'!$C$9:$R$257,3,FALSE))</f>
        <v/>
      </c>
      <c r="E184" s="382" t="str">
        <f>IF(D184="","",VLOOKUP($B184,'F-1 Off-Site WaterC'' Baseline'!$C$9:$R$257,4,FALSE))</f>
        <v/>
      </c>
      <c r="F184" s="382" t="str">
        <f>IF(E184="","",VLOOKUP($B184,'F-1 Off-Site WaterC'' Baseline'!$C$9:$R$257,5,FALSE))</f>
        <v/>
      </c>
      <c r="G184" s="382" t="str">
        <f>IF(F184="","",VLOOKUP($B184,'F-1 Off-Site WaterC'' Baseline'!$C$9:$R$257,6,FALSE))</f>
        <v/>
      </c>
      <c r="H184" s="382" t="str">
        <f>IF(G184="","",VLOOKUP($B184,'F-1 Off-Site WaterC'' Baseline'!$C$9:$R$257,7,FALSE))</f>
        <v/>
      </c>
      <c r="I184" s="382" t="str">
        <f>IF(H184="","",VLOOKUP($B184,'F-1 Off-Site WaterC'' Baseline'!$C$9:$R$257,8,FALSE))</f>
        <v/>
      </c>
      <c r="J184" s="382" t="str">
        <f>IF(I184="","",VLOOKUP($B184,'F-1 Off-Site WaterC'' Baseline'!$C$9:$R$257,9,FALSE))</f>
        <v/>
      </c>
      <c r="K184" s="382" t="str">
        <f>IF(J184="","",VLOOKUP($B184,'F-1 Off-Site WaterC'' Baseline'!$C$9:$R$257,10,FALSE))</f>
        <v/>
      </c>
      <c r="L184" s="382" t="str">
        <f>IF(B184="","",VLOOKUP($B184,'F-1 Off-Site WaterC'' Baseline'!$C$9:$R$257,15,FALSE))</f>
        <v/>
      </c>
      <c r="M184" s="386" t="str">
        <f>IF(L184="","",VLOOKUP($B184,'F-1 Off-Site WaterC'' Baseline'!$C$9:$R$257,16,FALSE))</f>
        <v/>
      </c>
      <c r="N184" s="316" t="str">
        <f t="shared" si="21"/>
        <v/>
      </c>
      <c r="O184" s="362" t="str">
        <f t="shared" si="22"/>
        <v/>
      </c>
      <c r="P184" s="363" t="str">
        <f>IF(C184="","",IF(AND(LEFT(C184,55)&lt;&gt;LEFT(N184,55),O184="High - High"),"Error - Not like for like ▲",IF(H184&gt;U184,"Error - Can not reduce condition ▲",IF(AND(F184=S184,H184=U184,AJ184='F-1 Off-Site WaterC'' Baseline'!N182,'F-1 Off-Site WaterC'' Baseline'!P182=AL184),"Error - No enhancement ▲",IF(AND(C184&lt;&gt;N184,F184&lt;S184),"Lower Distinctiveness Habitat"&amp;" - "&amp;T184,G184&amp;" - "&amp;T184)))))</f>
        <v/>
      </c>
      <c r="Q184" s="368" t="str">
        <f>IF(N184="","",VLOOKUP(B184,'F-1 Off-Site WaterC'' Baseline'!$C$10:$AE$257,22,FALSE))</f>
        <v/>
      </c>
      <c r="R184" s="362" t="str">
        <f>IF(N184="","",VLOOKUP(N184,'G-7 WaterC'' Data'!$B$2:$G$8,2,FALSE))</f>
        <v/>
      </c>
      <c r="S184" s="363" t="str">
        <f>IFERROR(VLOOKUP(R184,'G-7 WaterC'' Data'!$C$4:$D$8,2,FALSE),"")</f>
        <v/>
      </c>
      <c r="T184" s="114"/>
      <c r="U184" s="363" t="str">
        <f>IFERROR(INDEX('G-7 WaterC'' Data'!$H$4:$L$8,MATCH(N184,'G-7 WaterC'' Data'!$B$4:$B$8,0),MATCH(T184,'G-7 WaterC'' Data'!$H$3:$L$3,0)),"")</f>
        <v/>
      </c>
      <c r="V184" s="122"/>
      <c r="W184" s="382" t="str">
        <f>IF(V184="","",IF(VLOOKUP(V184,'G-7 WaterC'' Data'!$AK$4:$AM$6,2,FALSE)=0,"Spatial Data Missing ⚠",VLOOKUP(V184,'G-7 WaterC'' Data'!$AK$4:$AM$6,2,FALSE)))</f>
        <v/>
      </c>
      <c r="X184" s="386" t="str">
        <f>IF(V184="","",IF(VLOOKUP(V184,'G-7 WaterC'' Data'!$AK$4:$AM$6,3,FALSE)=0,"Spatial Data Missing ⚠",VLOOKUP(V184,'G-7 WaterC'' Data'!$AK$4:$AM$6,3,FALSE)))</f>
        <v/>
      </c>
      <c r="Y184" s="398" t="str">
        <f>IFERROR(IF(OR(LEFT(P184,5)="Error",LEFT(O184,5)="Error"),"Check Data ⚠",IF(F184&lt;S184,'G-7 WaterC'' Data'!$R$3,INDEX('G-7 WaterC'' Data'!$U$5:$Y$9,MATCH(G184,'G-7 WaterC'' Data'!$T$5:$T$9,0),MATCH(T184,'G-7 WaterC'' Data'!$U$4:$Y$4,0)))),"")</f>
        <v/>
      </c>
      <c r="Z184" s="165"/>
      <c r="AA184" s="165"/>
      <c r="AB184" s="395" t="str">
        <f t="shared" si="18"/>
        <v/>
      </c>
      <c r="AC184" s="383" t="str">
        <f t="shared" si="23"/>
        <v/>
      </c>
      <c r="AD184" s="422" t="str">
        <f>IFERROR(IF(AC184="Check Data ⚠","Check Data ⚠",VLOOKUP(AC184,'G-4 Temporal multipliers'!$A$4:$C$37,3,FALSE)),"")</f>
        <v/>
      </c>
      <c r="AE184" s="398" t="str">
        <f>IF(N184="","",VLOOKUP(N184,'G-7 WaterC'' Data'!$B$4:$G$8,5,FALSE))</f>
        <v/>
      </c>
      <c r="AF184" s="382" t="str">
        <f t="shared" si="19"/>
        <v/>
      </c>
      <c r="AG184" s="382" t="str">
        <f t="shared" si="24"/>
        <v/>
      </c>
      <c r="AH184" s="386" t="str">
        <f t="shared" si="20"/>
        <v/>
      </c>
      <c r="AI184" s="122"/>
      <c r="AJ184" s="363" t="str">
        <f>IF(AI184="","",IF(VLOOKUP(AI184,'G-7 WaterC'' Data'!$AA$4:$AB$7,2,FALSE)=0,"Spatial Data Missing ⚠",VLOOKUP(AI184,'G-7 WaterC'' Data'!$AA$4:$AB$7,2,FALSE)))</f>
        <v/>
      </c>
      <c r="AK184" s="123"/>
      <c r="AL184" s="397" t="str">
        <f>IF(AK184="","",IF(VLOOKUP(AK184,'G-7 WaterC'' Data'!$AD$4:$AE$14,2,FALSE)=0,"Spatial Data Missing ⚠",VLOOKUP(AK184,'G-7 WaterC'' Data'!$AD$4:$AE$14,2,FALSE)))</f>
        <v/>
      </c>
      <c r="AM184" s="122"/>
      <c r="AN184" s="363" t="str">
        <f>IF(AM184="","",IF(VLOOKUP(AM184,'G-7 WaterC'' Data'!$AO$4:$BO$7,2,FALSE)=0,"Spatial Data Missing ⚠",VLOOKUP(AM184,'G-7 WaterC'' Data'!$AO$4:$BO$7,2,FALSE)))</f>
        <v/>
      </c>
      <c r="AO184" s="405" t="str">
        <f t="shared" si="25"/>
        <v/>
      </c>
      <c r="AP184" s="405" t="str">
        <f t="shared" si="26"/>
        <v/>
      </c>
      <c r="AQ184" s="117"/>
      <c r="AR184" s="118"/>
      <c r="AS184" s="120"/>
      <c r="AT184" s="120"/>
      <c r="AY184" s="30" t="str">
        <f>IFERROR(INDEX('G-7 WaterC'' Data'!$AZ$3:$AZ$7,MATCH(N184,'G-7 WaterC'' Data'!$AY$3:$AY$7,0)),"")</f>
        <v/>
      </c>
    </row>
    <row r="185" spans="2:51" ht="15">
      <c r="B185" s="392" t="str">
        <f>'F-1 Off-Site WaterC'' Baseline'!AR183</f>
        <v/>
      </c>
      <c r="C185" s="382" t="str">
        <f>IF(B185="","",VLOOKUP($B185,'F-1 Off-Site WaterC'' Baseline'!$C$9:$R$257,2,FALSE))</f>
        <v/>
      </c>
      <c r="D185" s="382" t="str">
        <f>IF(C185="","",VLOOKUP($B185,'F-1 Off-Site WaterC'' Baseline'!$C$9:$R$257,3,FALSE))</f>
        <v/>
      </c>
      <c r="E185" s="382" t="str">
        <f>IF(D185="","",VLOOKUP($B185,'F-1 Off-Site WaterC'' Baseline'!$C$9:$R$257,4,FALSE))</f>
        <v/>
      </c>
      <c r="F185" s="382" t="str">
        <f>IF(E185="","",VLOOKUP($B185,'F-1 Off-Site WaterC'' Baseline'!$C$9:$R$257,5,FALSE))</f>
        <v/>
      </c>
      <c r="G185" s="382" t="str">
        <f>IF(F185="","",VLOOKUP($B185,'F-1 Off-Site WaterC'' Baseline'!$C$9:$R$257,6,FALSE))</f>
        <v/>
      </c>
      <c r="H185" s="382" t="str">
        <f>IF(G185="","",VLOOKUP($B185,'F-1 Off-Site WaterC'' Baseline'!$C$9:$R$257,7,FALSE))</f>
        <v/>
      </c>
      <c r="I185" s="382" t="str">
        <f>IF(H185="","",VLOOKUP($B185,'F-1 Off-Site WaterC'' Baseline'!$C$9:$R$257,8,FALSE))</f>
        <v/>
      </c>
      <c r="J185" s="382" t="str">
        <f>IF(I185="","",VLOOKUP($B185,'F-1 Off-Site WaterC'' Baseline'!$C$9:$R$257,9,FALSE))</f>
        <v/>
      </c>
      <c r="K185" s="382" t="str">
        <f>IF(J185="","",VLOOKUP($B185,'F-1 Off-Site WaterC'' Baseline'!$C$9:$R$257,10,FALSE))</f>
        <v/>
      </c>
      <c r="L185" s="382" t="str">
        <f>IF(B185="","",VLOOKUP($B185,'F-1 Off-Site WaterC'' Baseline'!$C$9:$R$257,15,FALSE))</f>
        <v/>
      </c>
      <c r="M185" s="386" t="str">
        <f>IF(L185="","",VLOOKUP($B185,'F-1 Off-Site WaterC'' Baseline'!$C$9:$R$257,16,FALSE))</f>
        <v/>
      </c>
      <c r="N185" s="316" t="str">
        <f t="shared" si="21"/>
        <v/>
      </c>
      <c r="O185" s="362" t="str">
        <f t="shared" si="22"/>
        <v/>
      </c>
      <c r="P185" s="363" t="str">
        <f>IF(C185="","",IF(AND(LEFT(C185,55)&lt;&gt;LEFT(N185,55),O185="High - High"),"Error - Not like for like ▲",IF(H185&gt;U185,"Error - Can not reduce condition ▲",IF(AND(F185=S185,H185=U185,AJ185='F-1 Off-Site WaterC'' Baseline'!N183,'F-1 Off-Site WaterC'' Baseline'!P183=AL185),"Error - No enhancement ▲",IF(AND(C185&lt;&gt;N185,F185&lt;S185),"Lower Distinctiveness Habitat"&amp;" - "&amp;T185,G185&amp;" - "&amp;T185)))))</f>
        <v/>
      </c>
      <c r="Q185" s="368" t="str">
        <f>IF(N185="","",VLOOKUP(B185,'F-1 Off-Site WaterC'' Baseline'!$C$10:$AE$257,22,FALSE))</f>
        <v/>
      </c>
      <c r="R185" s="362" t="str">
        <f>IF(N185="","",VLOOKUP(N185,'G-7 WaterC'' Data'!$B$2:$G$8,2,FALSE))</f>
        <v/>
      </c>
      <c r="S185" s="363" t="str">
        <f>IFERROR(VLOOKUP(R185,'G-7 WaterC'' Data'!$C$4:$D$8,2,FALSE),"")</f>
        <v/>
      </c>
      <c r="T185" s="114"/>
      <c r="U185" s="363" t="str">
        <f>IFERROR(INDEX('G-7 WaterC'' Data'!$H$4:$L$8,MATCH(N185,'G-7 WaterC'' Data'!$B$4:$B$8,0),MATCH(T185,'G-7 WaterC'' Data'!$H$3:$L$3,0)),"")</f>
        <v/>
      </c>
      <c r="V185" s="122"/>
      <c r="W185" s="382" t="str">
        <f>IF(V185="","",IF(VLOOKUP(V185,'G-7 WaterC'' Data'!$AK$4:$AM$6,2,FALSE)=0,"Spatial Data Missing ⚠",VLOOKUP(V185,'G-7 WaterC'' Data'!$AK$4:$AM$6,2,FALSE)))</f>
        <v/>
      </c>
      <c r="X185" s="386" t="str">
        <f>IF(V185="","",IF(VLOOKUP(V185,'G-7 WaterC'' Data'!$AK$4:$AM$6,3,FALSE)=0,"Spatial Data Missing ⚠",VLOOKUP(V185,'G-7 WaterC'' Data'!$AK$4:$AM$6,3,FALSE)))</f>
        <v/>
      </c>
      <c r="Y185" s="398" t="str">
        <f>IFERROR(IF(OR(LEFT(P185,5)="Error",LEFT(O185,5)="Error"),"Check Data ⚠",IF(F185&lt;S185,'G-7 WaterC'' Data'!$R$3,INDEX('G-7 WaterC'' Data'!$U$5:$Y$9,MATCH(G185,'G-7 WaterC'' Data'!$T$5:$T$9,0),MATCH(T185,'G-7 WaterC'' Data'!$U$4:$Y$4,0)))),"")</f>
        <v/>
      </c>
      <c r="Z185" s="165"/>
      <c r="AA185" s="165"/>
      <c r="AB185" s="395" t="str">
        <f t="shared" si="18"/>
        <v/>
      </c>
      <c r="AC185" s="383" t="str">
        <f t="shared" si="23"/>
        <v/>
      </c>
      <c r="AD185" s="422" t="str">
        <f>IFERROR(IF(AC185="Check Data ⚠","Check Data ⚠",VLOOKUP(AC185,'G-4 Temporal multipliers'!$A$4:$C$37,3,FALSE)),"")</f>
        <v/>
      </c>
      <c r="AE185" s="398" t="str">
        <f>IF(N185="","",VLOOKUP(N185,'G-7 WaterC'' Data'!$B$4:$G$8,5,FALSE))</f>
        <v/>
      </c>
      <c r="AF185" s="382" t="str">
        <f t="shared" si="19"/>
        <v/>
      </c>
      <c r="AG185" s="382" t="str">
        <f t="shared" si="24"/>
        <v/>
      </c>
      <c r="AH185" s="386" t="str">
        <f t="shared" si="20"/>
        <v/>
      </c>
      <c r="AI185" s="122"/>
      <c r="AJ185" s="363" t="str">
        <f>IF(AI185="","",IF(VLOOKUP(AI185,'G-7 WaterC'' Data'!$AA$4:$AB$7,2,FALSE)=0,"Spatial Data Missing ⚠",VLOOKUP(AI185,'G-7 WaterC'' Data'!$AA$4:$AB$7,2,FALSE)))</f>
        <v/>
      </c>
      <c r="AK185" s="123"/>
      <c r="AL185" s="397" t="str">
        <f>IF(AK185="","",IF(VLOOKUP(AK185,'G-7 WaterC'' Data'!$AD$4:$AE$14,2,FALSE)=0,"Spatial Data Missing ⚠",VLOOKUP(AK185,'G-7 WaterC'' Data'!$AD$4:$AE$14,2,FALSE)))</f>
        <v/>
      </c>
      <c r="AM185" s="122"/>
      <c r="AN185" s="363" t="str">
        <f>IF(AM185="","",IF(VLOOKUP(AM185,'G-7 WaterC'' Data'!$AO$4:$BO$7,2,FALSE)=0,"Spatial Data Missing ⚠",VLOOKUP(AM185,'G-7 WaterC'' Data'!$AO$4:$BO$7,2,FALSE)))</f>
        <v/>
      </c>
      <c r="AO185" s="405" t="str">
        <f t="shared" si="25"/>
        <v/>
      </c>
      <c r="AP185" s="405" t="str">
        <f t="shared" si="26"/>
        <v/>
      </c>
      <c r="AQ185" s="117"/>
      <c r="AR185" s="118"/>
      <c r="AS185" s="120"/>
      <c r="AT185" s="120"/>
      <c r="AY185" s="30" t="str">
        <f>IFERROR(INDEX('G-7 WaterC'' Data'!$AZ$3:$AZ$7,MATCH(N185,'G-7 WaterC'' Data'!$AY$3:$AY$7,0)),"")</f>
        <v/>
      </c>
    </row>
    <row r="186" spans="2:51" ht="15">
      <c r="B186" s="392" t="str">
        <f>'F-1 Off-Site WaterC'' Baseline'!AR184</f>
        <v/>
      </c>
      <c r="C186" s="382" t="str">
        <f>IF(B186="","",VLOOKUP($B186,'F-1 Off-Site WaterC'' Baseline'!$C$9:$R$257,2,FALSE))</f>
        <v/>
      </c>
      <c r="D186" s="382" t="str">
        <f>IF(C186="","",VLOOKUP($B186,'F-1 Off-Site WaterC'' Baseline'!$C$9:$R$257,3,FALSE))</f>
        <v/>
      </c>
      <c r="E186" s="382" t="str">
        <f>IF(D186="","",VLOOKUP($B186,'F-1 Off-Site WaterC'' Baseline'!$C$9:$R$257,4,FALSE))</f>
        <v/>
      </c>
      <c r="F186" s="382" t="str">
        <f>IF(E186="","",VLOOKUP($B186,'F-1 Off-Site WaterC'' Baseline'!$C$9:$R$257,5,FALSE))</f>
        <v/>
      </c>
      <c r="G186" s="382" t="str">
        <f>IF(F186="","",VLOOKUP($B186,'F-1 Off-Site WaterC'' Baseline'!$C$9:$R$257,6,FALSE))</f>
        <v/>
      </c>
      <c r="H186" s="382" t="str">
        <f>IF(G186="","",VLOOKUP($B186,'F-1 Off-Site WaterC'' Baseline'!$C$9:$R$257,7,FALSE))</f>
        <v/>
      </c>
      <c r="I186" s="382" t="str">
        <f>IF(H186="","",VLOOKUP($B186,'F-1 Off-Site WaterC'' Baseline'!$C$9:$R$257,8,FALSE))</f>
        <v/>
      </c>
      <c r="J186" s="382" t="str">
        <f>IF(I186="","",VLOOKUP($B186,'F-1 Off-Site WaterC'' Baseline'!$C$9:$R$257,9,FALSE))</f>
        <v/>
      </c>
      <c r="K186" s="382" t="str">
        <f>IF(J186="","",VLOOKUP($B186,'F-1 Off-Site WaterC'' Baseline'!$C$9:$R$257,10,FALSE))</f>
        <v/>
      </c>
      <c r="L186" s="382" t="str">
        <f>IF(B186="","",VLOOKUP($B186,'F-1 Off-Site WaterC'' Baseline'!$C$9:$R$257,15,FALSE))</f>
        <v/>
      </c>
      <c r="M186" s="386" t="str">
        <f>IF(L186="","",VLOOKUP($B186,'F-1 Off-Site WaterC'' Baseline'!$C$9:$R$257,16,FALSE))</f>
        <v/>
      </c>
      <c r="N186" s="316" t="str">
        <f t="shared" si="21"/>
        <v/>
      </c>
      <c r="O186" s="362" t="str">
        <f t="shared" si="22"/>
        <v/>
      </c>
      <c r="P186" s="363" t="str">
        <f>IF(C186="","",IF(AND(LEFT(C186,55)&lt;&gt;LEFT(N186,55),O186="High - High"),"Error - Not like for like ▲",IF(H186&gt;U186,"Error - Can not reduce condition ▲",IF(AND(F186=S186,H186=U186,AJ186='F-1 Off-Site WaterC'' Baseline'!N184,'F-1 Off-Site WaterC'' Baseline'!P184=AL186),"Error - No enhancement ▲",IF(AND(C186&lt;&gt;N186,F186&lt;S186),"Lower Distinctiveness Habitat"&amp;" - "&amp;T186,G186&amp;" - "&amp;T186)))))</f>
        <v/>
      </c>
      <c r="Q186" s="368" t="str">
        <f>IF(N186="","",VLOOKUP(B186,'F-1 Off-Site WaterC'' Baseline'!$C$10:$AE$257,22,FALSE))</f>
        <v/>
      </c>
      <c r="R186" s="362" t="str">
        <f>IF(N186="","",VLOOKUP(N186,'G-7 WaterC'' Data'!$B$2:$G$8,2,FALSE))</f>
        <v/>
      </c>
      <c r="S186" s="363" t="str">
        <f>IFERROR(VLOOKUP(R186,'G-7 WaterC'' Data'!$C$4:$D$8,2,FALSE),"")</f>
        <v/>
      </c>
      <c r="T186" s="114"/>
      <c r="U186" s="363" t="str">
        <f>IFERROR(INDEX('G-7 WaterC'' Data'!$H$4:$L$8,MATCH(N186,'G-7 WaterC'' Data'!$B$4:$B$8,0),MATCH(T186,'G-7 WaterC'' Data'!$H$3:$L$3,0)),"")</f>
        <v/>
      </c>
      <c r="V186" s="122"/>
      <c r="W186" s="382" t="str">
        <f>IF(V186="","",IF(VLOOKUP(V186,'G-7 WaterC'' Data'!$AK$4:$AM$6,2,FALSE)=0,"Spatial Data Missing ⚠",VLOOKUP(V186,'G-7 WaterC'' Data'!$AK$4:$AM$6,2,FALSE)))</f>
        <v/>
      </c>
      <c r="X186" s="386" t="str">
        <f>IF(V186="","",IF(VLOOKUP(V186,'G-7 WaterC'' Data'!$AK$4:$AM$6,3,FALSE)=0,"Spatial Data Missing ⚠",VLOOKUP(V186,'G-7 WaterC'' Data'!$AK$4:$AM$6,3,FALSE)))</f>
        <v/>
      </c>
      <c r="Y186" s="398" t="str">
        <f>IFERROR(IF(OR(LEFT(P186,5)="Error",LEFT(O186,5)="Error"),"Check Data ⚠",IF(F186&lt;S186,'G-7 WaterC'' Data'!$R$3,INDEX('G-7 WaterC'' Data'!$U$5:$Y$9,MATCH(G186,'G-7 WaterC'' Data'!$T$5:$T$9,0),MATCH(T186,'G-7 WaterC'' Data'!$U$4:$Y$4,0)))),"")</f>
        <v/>
      </c>
      <c r="Z186" s="165"/>
      <c r="AA186" s="165"/>
      <c r="AB186" s="395" t="str">
        <f t="shared" si="18"/>
        <v/>
      </c>
      <c r="AC186" s="383" t="str">
        <f t="shared" si="23"/>
        <v/>
      </c>
      <c r="AD186" s="422" t="str">
        <f>IFERROR(IF(AC186="Check Data ⚠","Check Data ⚠",VLOOKUP(AC186,'G-4 Temporal multipliers'!$A$4:$C$37,3,FALSE)),"")</f>
        <v/>
      </c>
      <c r="AE186" s="398" t="str">
        <f>IF(N186="","",VLOOKUP(N186,'G-7 WaterC'' Data'!$B$4:$G$8,5,FALSE))</f>
        <v/>
      </c>
      <c r="AF186" s="382" t="str">
        <f t="shared" si="19"/>
        <v/>
      </c>
      <c r="AG186" s="382" t="str">
        <f t="shared" si="24"/>
        <v/>
      </c>
      <c r="AH186" s="386" t="str">
        <f t="shared" si="20"/>
        <v/>
      </c>
      <c r="AI186" s="122"/>
      <c r="AJ186" s="363" t="str">
        <f>IF(AI186="","",IF(VLOOKUP(AI186,'G-7 WaterC'' Data'!$AA$4:$AB$7,2,FALSE)=0,"Spatial Data Missing ⚠",VLOOKUP(AI186,'G-7 WaterC'' Data'!$AA$4:$AB$7,2,FALSE)))</f>
        <v/>
      </c>
      <c r="AK186" s="123"/>
      <c r="AL186" s="397" t="str">
        <f>IF(AK186="","",IF(VLOOKUP(AK186,'G-7 WaterC'' Data'!$AD$4:$AE$14,2,FALSE)=0,"Spatial Data Missing ⚠",VLOOKUP(AK186,'G-7 WaterC'' Data'!$AD$4:$AE$14,2,FALSE)))</f>
        <v/>
      </c>
      <c r="AM186" s="122"/>
      <c r="AN186" s="363" t="str">
        <f>IF(AM186="","",IF(VLOOKUP(AM186,'G-7 WaterC'' Data'!$AO$4:$BO$7,2,FALSE)=0,"Spatial Data Missing ⚠",VLOOKUP(AM186,'G-7 WaterC'' Data'!$AO$4:$BO$7,2,FALSE)))</f>
        <v/>
      </c>
      <c r="AO186" s="405" t="str">
        <f t="shared" si="25"/>
        <v/>
      </c>
      <c r="AP186" s="405" t="str">
        <f t="shared" si="26"/>
        <v/>
      </c>
      <c r="AQ186" s="117"/>
      <c r="AR186" s="118"/>
      <c r="AS186" s="120"/>
      <c r="AT186" s="120"/>
      <c r="AY186" s="30" t="str">
        <f>IFERROR(INDEX('G-7 WaterC'' Data'!$AZ$3:$AZ$7,MATCH(N186,'G-7 WaterC'' Data'!$AY$3:$AY$7,0)),"")</f>
        <v/>
      </c>
    </row>
    <row r="187" spans="2:51" ht="15">
      <c r="B187" s="392" t="str">
        <f>'F-1 Off-Site WaterC'' Baseline'!AR185</f>
        <v/>
      </c>
      <c r="C187" s="382" t="str">
        <f>IF(B187="","",VLOOKUP($B187,'F-1 Off-Site WaterC'' Baseline'!$C$9:$R$257,2,FALSE))</f>
        <v/>
      </c>
      <c r="D187" s="382" t="str">
        <f>IF(C187="","",VLOOKUP($B187,'F-1 Off-Site WaterC'' Baseline'!$C$9:$R$257,3,FALSE))</f>
        <v/>
      </c>
      <c r="E187" s="382" t="str">
        <f>IF(D187="","",VLOOKUP($B187,'F-1 Off-Site WaterC'' Baseline'!$C$9:$R$257,4,FALSE))</f>
        <v/>
      </c>
      <c r="F187" s="382" t="str">
        <f>IF(E187="","",VLOOKUP($B187,'F-1 Off-Site WaterC'' Baseline'!$C$9:$R$257,5,FALSE))</f>
        <v/>
      </c>
      <c r="G187" s="382" t="str">
        <f>IF(F187="","",VLOOKUP($B187,'F-1 Off-Site WaterC'' Baseline'!$C$9:$R$257,6,FALSE))</f>
        <v/>
      </c>
      <c r="H187" s="382" t="str">
        <f>IF(G187="","",VLOOKUP($B187,'F-1 Off-Site WaterC'' Baseline'!$C$9:$R$257,7,FALSE))</f>
        <v/>
      </c>
      <c r="I187" s="382" t="str">
        <f>IF(H187="","",VLOOKUP($B187,'F-1 Off-Site WaterC'' Baseline'!$C$9:$R$257,8,FALSE))</f>
        <v/>
      </c>
      <c r="J187" s="382" t="str">
        <f>IF(I187="","",VLOOKUP($B187,'F-1 Off-Site WaterC'' Baseline'!$C$9:$R$257,9,FALSE))</f>
        <v/>
      </c>
      <c r="K187" s="382" t="str">
        <f>IF(J187="","",VLOOKUP($B187,'F-1 Off-Site WaterC'' Baseline'!$C$9:$R$257,10,FALSE))</f>
        <v/>
      </c>
      <c r="L187" s="382" t="str">
        <f>IF(B187="","",VLOOKUP($B187,'F-1 Off-Site WaterC'' Baseline'!$C$9:$R$257,15,FALSE))</f>
        <v/>
      </c>
      <c r="M187" s="386" t="str">
        <f>IF(L187="","",VLOOKUP($B187,'F-1 Off-Site WaterC'' Baseline'!$C$9:$R$257,16,FALSE))</f>
        <v/>
      </c>
      <c r="N187" s="316" t="str">
        <f t="shared" si="21"/>
        <v/>
      </c>
      <c r="O187" s="362" t="str">
        <f t="shared" si="22"/>
        <v/>
      </c>
      <c r="P187" s="363" t="str">
        <f>IF(C187="","",IF(AND(LEFT(C187,55)&lt;&gt;LEFT(N187,55),O187="High - High"),"Error - Not like for like ▲",IF(H187&gt;U187,"Error - Can not reduce condition ▲",IF(AND(F187=S187,H187=U187,AJ187='F-1 Off-Site WaterC'' Baseline'!N185,'F-1 Off-Site WaterC'' Baseline'!P185=AL187),"Error - No enhancement ▲",IF(AND(C187&lt;&gt;N187,F187&lt;S187),"Lower Distinctiveness Habitat"&amp;" - "&amp;T187,G187&amp;" - "&amp;T187)))))</f>
        <v/>
      </c>
      <c r="Q187" s="368" t="str">
        <f>IF(N187="","",VLOOKUP(B187,'F-1 Off-Site WaterC'' Baseline'!$C$10:$AE$257,22,FALSE))</f>
        <v/>
      </c>
      <c r="R187" s="362" t="str">
        <f>IF(N187="","",VLOOKUP(N187,'G-7 WaterC'' Data'!$B$2:$G$8,2,FALSE))</f>
        <v/>
      </c>
      <c r="S187" s="363" t="str">
        <f>IFERROR(VLOOKUP(R187,'G-7 WaterC'' Data'!$C$4:$D$8,2,FALSE),"")</f>
        <v/>
      </c>
      <c r="T187" s="114"/>
      <c r="U187" s="363" t="str">
        <f>IFERROR(INDEX('G-7 WaterC'' Data'!$H$4:$L$8,MATCH(N187,'G-7 WaterC'' Data'!$B$4:$B$8,0),MATCH(T187,'G-7 WaterC'' Data'!$H$3:$L$3,0)),"")</f>
        <v/>
      </c>
      <c r="V187" s="122"/>
      <c r="W187" s="382" t="str">
        <f>IF(V187="","",IF(VLOOKUP(V187,'G-7 WaterC'' Data'!$AK$4:$AM$6,2,FALSE)=0,"Spatial Data Missing ⚠",VLOOKUP(V187,'G-7 WaterC'' Data'!$AK$4:$AM$6,2,FALSE)))</f>
        <v/>
      </c>
      <c r="X187" s="386" t="str">
        <f>IF(V187="","",IF(VLOOKUP(V187,'G-7 WaterC'' Data'!$AK$4:$AM$6,3,FALSE)=0,"Spatial Data Missing ⚠",VLOOKUP(V187,'G-7 WaterC'' Data'!$AK$4:$AM$6,3,FALSE)))</f>
        <v/>
      </c>
      <c r="Y187" s="398" t="str">
        <f>IFERROR(IF(OR(LEFT(P187,5)="Error",LEFT(O187,5)="Error"),"Check Data ⚠",IF(F187&lt;S187,'G-7 WaterC'' Data'!$R$3,INDEX('G-7 WaterC'' Data'!$U$5:$Y$9,MATCH(G187,'G-7 WaterC'' Data'!$T$5:$T$9,0),MATCH(T187,'G-7 WaterC'' Data'!$U$4:$Y$4,0)))),"")</f>
        <v/>
      </c>
      <c r="Z187" s="165"/>
      <c r="AA187" s="165"/>
      <c r="AB187" s="395" t="str">
        <f t="shared" si="18"/>
        <v/>
      </c>
      <c r="AC187" s="383" t="str">
        <f t="shared" si="23"/>
        <v/>
      </c>
      <c r="AD187" s="422" t="str">
        <f>IFERROR(IF(AC187="Check Data ⚠","Check Data ⚠",VLOOKUP(AC187,'G-4 Temporal multipliers'!$A$4:$C$37,3,FALSE)),"")</f>
        <v/>
      </c>
      <c r="AE187" s="398" t="str">
        <f>IF(N187="","",VLOOKUP(N187,'G-7 WaterC'' Data'!$B$4:$G$8,5,FALSE))</f>
        <v/>
      </c>
      <c r="AF187" s="382" t="str">
        <f t="shared" si="19"/>
        <v/>
      </c>
      <c r="AG187" s="382" t="str">
        <f t="shared" si="24"/>
        <v/>
      </c>
      <c r="AH187" s="386" t="str">
        <f t="shared" si="20"/>
        <v/>
      </c>
      <c r="AI187" s="122"/>
      <c r="AJ187" s="363" t="str">
        <f>IF(AI187="","",IF(VLOOKUP(AI187,'G-7 WaterC'' Data'!$AA$4:$AB$7,2,FALSE)=0,"Spatial Data Missing ⚠",VLOOKUP(AI187,'G-7 WaterC'' Data'!$AA$4:$AB$7,2,FALSE)))</f>
        <v/>
      </c>
      <c r="AK187" s="123"/>
      <c r="AL187" s="397" t="str">
        <f>IF(AK187="","",IF(VLOOKUP(AK187,'G-7 WaterC'' Data'!$AD$4:$AE$14,2,FALSE)=0,"Spatial Data Missing ⚠",VLOOKUP(AK187,'G-7 WaterC'' Data'!$AD$4:$AE$14,2,FALSE)))</f>
        <v/>
      </c>
      <c r="AM187" s="122"/>
      <c r="AN187" s="363" t="str">
        <f>IF(AM187="","",IF(VLOOKUP(AM187,'G-7 WaterC'' Data'!$AO$4:$BO$7,2,FALSE)=0,"Spatial Data Missing ⚠",VLOOKUP(AM187,'G-7 WaterC'' Data'!$AO$4:$BO$7,2,FALSE)))</f>
        <v/>
      </c>
      <c r="AO187" s="405" t="str">
        <f t="shared" si="25"/>
        <v/>
      </c>
      <c r="AP187" s="405" t="str">
        <f t="shared" si="26"/>
        <v/>
      </c>
      <c r="AQ187" s="117"/>
      <c r="AR187" s="118"/>
      <c r="AS187" s="120"/>
      <c r="AT187" s="120"/>
      <c r="AY187" s="30" t="str">
        <f>IFERROR(INDEX('G-7 WaterC'' Data'!$AZ$3:$AZ$7,MATCH(N187,'G-7 WaterC'' Data'!$AY$3:$AY$7,0)),"")</f>
        <v/>
      </c>
    </row>
    <row r="188" spans="2:51" ht="15">
      <c r="B188" s="392" t="str">
        <f>'F-1 Off-Site WaterC'' Baseline'!AR186</f>
        <v/>
      </c>
      <c r="C188" s="382" t="str">
        <f>IF(B188="","",VLOOKUP($B188,'F-1 Off-Site WaterC'' Baseline'!$C$9:$R$257,2,FALSE))</f>
        <v/>
      </c>
      <c r="D188" s="382" t="str">
        <f>IF(C188="","",VLOOKUP($B188,'F-1 Off-Site WaterC'' Baseline'!$C$9:$R$257,3,FALSE))</f>
        <v/>
      </c>
      <c r="E188" s="382" t="str">
        <f>IF(D188="","",VLOOKUP($B188,'F-1 Off-Site WaterC'' Baseline'!$C$9:$R$257,4,FALSE))</f>
        <v/>
      </c>
      <c r="F188" s="382" t="str">
        <f>IF(E188="","",VLOOKUP($B188,'F-1 Off-Site WaterC'' Baseline'!$C$9:$R$257,5,FALSE))</f>
        <v/>
      </c>
      <c r="G188" s="382" t="str">
        <f>IF(F188="","",VLOOKUP($B188,'F-1 Off-Site WaterC'' Baseline'!$C$9:$R$257,6,FALSE))</f>
        <v/>
      </c>
      <c r="H188" s="382" t="str">
        <f>IF(G188="","",VLOOKUP($B188,'F-1 Off-Site WaterC'' Baseline'!$C$9:$R$257,7,FALSE))</f>
        <v/>
      </c>
      <c r="I188" s="382" t="str">
        <f>IF(H188="","",VLOOKUP($B188,'F-1 Off-Site WaterC'' Baseline'!$C$9:$R$257,8,FALSE))</f>
        <v/>
      </c>
      <c r="J188" s="382" t="str">
        <f>IF(I188="","",VLOOKUP($B188,'F-1 Off-Site WaterC'' Baseline'!$C$9:$R$257,9,FALSE))</f>
        <v/>
      </c>
      <c r="K188" s="382" t="str">
        <f>IF(J188="","",VLOOKUP($B188,'F-1 Off-Site WaterC'' Baseline'!$C$9:$R$257,10,FALSE))</f>
        <v/>
      </c>
      <c r="L188" s="382" t="str">
        <f>IF(B188="","",VLOOKUP($B188,'F-1 Off-Site WaterC'' Baseline'!$C$9:$R$257,15,FALSE))</f>
        <v/>
      </c>
      <c r="M188" s="386" t="str">
        <f>IF(L188="","",VLOOKUP($B188,'F-1 Off-Site WaterC'' Baseline'!$C$9:$R$257,16,FALSE))</f>
        <v/>
      </c>
      <c r="N188" s="316" t="str">
        <f t="shared" si="21"/>
        <v/>
      </c>
      <c r="O188" s="362" t="str">
        <f t="shared" si="22"/>
        <v/>
      </c>
      <c r="P188" s="363" t="str">
        <f>IF(C188="","",IF(AND(LEFT(C188,55)&lt;&gt;LEFT(N188,55),O188="High - High"),"Error - Not like for like ▲",IF(H188&gt;U188,"Error - Can not reduce condition ▲",IF(AND(F188=S188,H188=U188,AJ188='F-1 Off-Site WaterC'' Baseline'!N186,'F-1 Off-Site WaterC'' Baseline'!P186=AL188),"Error - No enhancement ▲",IF(AND(C188&lt;&gt;N188,F188&lt;S188),"Lower Distinctiveness Habitat"&amp;" - "&amp;T188,G188&amp;" - "&amp;T188)))))</f>
        <v/>
      </c>
      <c r="Q188" s="368" t="str">
        <f>IF(N188="","",VLOOKUP(B188,'F-1 Off-Site WaterC'' Baseline'!$C$10:$AE$257,22,FALSE))</f>
        <v/>
      </c>
      <c r="R188" s="362" t="str">
        <f>IF(N188="","",VLOOKUP(N188,'G-7 WaterC'' Data'!$B$2:$G$8,2,FALSE))</f>
        <v/>
      </c>
      <c r="S188" s="363" t="str">
        <f>IFERROR(VLOOKUP(R188,'G-7 WaterC'' Data'!$C$4:$D$8,2,FALSE),"")</f>
        <v/>
      </c>
      <c r="T188" s="114"/>
      <c r="U188" s="363" t="str">
        <f>IFERROR(INDEX('G-7 WaterC'' Data'!$H$4:$L$8,MATCH(N188,'G-7 WaterC'' Data'!$B$4:$B$8,0),MATCH(T188,'G-7 WaterC'' Data'!$H$3:$L$3,0)),"")</f>
        <v/>
      </c>
      <c r="V188" s="122"/>
      <c r="W188" s="382" t="str">
        <f>IF(V188="","",IF(VLOOKUP(V188,'G-7 WaterC'' Data'!$AK$4:$AM$6,2,FALSE)=0,"Spatial Data Missing ⚠",VLOOKUP(V188,'G-7 WaterC'' Data'!$AK$4:$AM$6,2,FALSE)))</f>
        <v/>
      </c>
      <c r="X188" s="386" t="str">
        <f>IF(V188="","",IF(VLOOKUP(V188,'G-7 WaterC'' Data'!$AK$4:$AM$6,3,FALSE)=0,"Spatial Data Missing ⚠",VLOOKUP(V188,'G-7 WaterC'' Data'!$AK$4:$AM$6,3,FALSE)))</f>
        <v/>
      </c>
      <c r="Y188" s="398" t="str">
        <f>IFERROR(IF(OR(LEFT(P188,5)="Error",LEFT(O188,5)="Error"),"Check Data ⚠",IF(F188&lt;S188,'G-7 WaterC'' Data'!$R$3,INDEX('G-7 WaterC'' Data'!$U$5:$Y$9,MATCH(G188,'G-7 WaterC'' Data'!$T$5:$T$9,0),MATCH(T188,'G-7 WaterC'' Data'!$U$4:$Y$4,0)))),"")</f>
        <v/>
      </c>
      <c r="Z188" s="165"/>
      <c r="AA188" s="165"/>
      <c r="AB188" s="395" t="str">
        <f t="shared" si="18"/>
        <v/>
      </c>
      <c r="AC188" s="383" t="str">
        <f t="shared" si="23"/>
        <v/>
      </c>
      <c r="AD188" s="422" t="str">
        <f>IFERROR(IF(AC188="Check Data ⚠","Check Data ⚠",VLOOKUP(AC188,'G-4 Temporal multipliers'!$A$4:$C$37,3,FALSE)),"")</f>
        <v/>
      </c>
      <c r="AE188" s="398" t="str">
        <f>IF(N188="","",VLOOKUP(N188,'G-7 WaterC'' Data'!$B$4:$G$8,5,FALSE))</f>
        <v/>
      </c>
      <c r="AF188" s="382" t="str">
        <f t="shared" si="19"/>
        <v/>
      </c>
      <c r="AG188" s="382" t="str">
        <f t="shared" si="24"/>
        <v/>
      </c>
      <c r="AH188" s="386" t="str">
        <f t="shared" si="20"/>
        <v/>
      </c>
      <c r="AI188" s="122"/>
      <c r="AJ188" s="363" t="str">
        <f>IF(AI188="","",IF(VLOOKUP(AI188,'G-7 WaterC'' Data'!$AA$4:$AB$7,2,FALSE)=0,"Spatial Data Missing ⚠",VLOOKUP(AI188,'G-7 WaterC'' Data'!$AA$4:$AB$7,2,FALSE)))</f>
        <v/>
      </c>
      <c r="AK188" s="123"/>
      <c r="AL188" s="397" t="str">
        <f>IF(AK188="","",IF(VLOOKUP(AK188,'G-7 WaterC'' Data'!$AD$4:$AE$14,2,FALSE)=0,"Spatial Data Missing ⚠",VLOOKUP(AK188,'G-7 WaterC'' Data'!$AD$4:$AE$14,2,FALSE)))</f>
        <v/>
      </c>
      <c r="AM188" s="122"/>
      <c r="AN188" s="363" t="str">
        <f>IF(AM188="","",IF(VLOOKUP(AM188,'G-7 WaterC'' Data'!$AO$4:$BO$7,2,FALSE)=0,"Spatial Data Missing ⚠",VLOOKUP(AM188,'G-7 WaterC'' Data'!$AO$4:$BO$7,2,FALSE)))</f>
        <v/>
      </c>
      <c r="AO188" s="405" t="str">
        <f t="shared" si="25"/>
        <v/>
      </c>
      <c r="AP188" s="405" t="str">
        <f t="shared" si="26"/>
        <v/>
      </c>
      <c r="AQ188" s="117"/>
      <c r="AR188" s="118"/>
      <c r="AS188" s="120"/>
      <c r="AT188" s="120"/>
      <c r="AY188" s="30" t="str">
        <f>IFERROR(INDEX('G-7 WaterC'' Data'!$AZ$3:$AZ$7,MATCH(N188,'G-7 WaterC'' Data'!$AY$3:$AY$7,0)),"")</f>
        <v/>
      </c>
    </row>
    <row r="189" spans="2:51" ht="15">
      <c r="B189" s="392" t="str">
        <f>'F-1 Off-Site WaterC'' Baseline'!AR187</f>
        <v/>
      </c>
      <c r="C189" s="382" t="str">
        <f>IF(B189="","",VLOOKUP($B189,'F-1 Off-Site WaterC'' Baseline'!$C$9:$R$257,2,FALSE))</f>
        <v/>
      </c>
      <c r="D189" s="382" t="str">
        <f>IF(C189="","",VLOOKUP($B189,'F-1 Off-Site WaterC'' Baseline'!$C$9:$R$257,3,FALSE))</f>
        <v/>
      </c>
      <c r="E189" s="382" t="str">
        <f>IF(D189="","",VLOOKUP($B189,'F-1 Off-Site WaterC'' Baseline'!$C$9:$R$257,4,FALSE))</f>
        <v/>
      </c>
      <c r="F189" s="382" t="str">
        <f>IF(E189="","",VLOOKUP($B189,'F-1 Off-Site WaterC'' Baseline'!$C$9:$R$257,5,FALSE))</f>
        <v/>
      </c>
      <c r="G189" s="382" t="str">
        <f>IF(F189="","",VLOOKUP($B189,'F-1 Off-Site WaterC'' Baseline'!$C$9:$R$257,6,FALSE))</f>
        <v/>
      </c>
      <c r="H189" s="382" t="str">
        <f>IF(G189="","",VLOOKUP($B189,'F-1 Off-Site WaterC'' Baseline'!$C$9:$R$257,7,FALSE))</f>
        <v/>
      </c>
      <c r="I189" s="382" t="str">
        <f>IF(H189="","",VLOOKUP($B189,'F-1 Off-Site WaterC'' Baseline'!$C$9:$R$257,8,FALSE))</f>
        <v/>
      </c>
      <c r="J189" s="382" t="str">
        <f>IF(I189="","",VLOOKUP($B189,'F-1 Off-Site WaterC'' Baseline'!$C$9:$R$257,9,FALSE))</f>
        <v/>
      </c>
      <c r="K189" s="382" t="str">
        <f>IF(J189="","",VLOOKUP($B189,'F-1 Off-Site WaterC'' Baseline'!$C$9:$R$257,10,FALSE))</f>
        <v/>
      </c>
      <c r="L189" s="382" t="str">
        <f>IF(B189="","",VLOOKUP($B189,'F-1 Off-Site WaterC'' Baseline'!$C$9:$R$257,15,FALSE))</f>
        <v/>
      </c>
      <c r="M189" s="386" t="str">
        <f>IF(L189="","",VLOOKUP($B189,'F-1 Off-Site WaterC'' Baseline'!$C$9:$R$257,16,FALSE))</f>
        <v/>
      </c>
      <c r="N189" s="316" t="str">
        <f t="shared" si="21"/>
        <v/>
      </c>
      <c r="O189" s="362" t="str">
        <f t="shared" si="22"/>
        <v/>
      </c>
      <c r="P189" s="363" t="str">
        <f>IF(C189="","",IF(AND(LEFT(C189,55)&lt;&gt;LEFT(N189,55),O189="High - High"),"Error - Not like for like ▲",IF(H189&gt;U189,"Error - Can not reduce condition ▲",IF(AND(F189=S189,H189=U189,AJ189='F-1 Off-Site WaterC'' Baseline'!N187,'F-1 Off-Site WaterC'' Baseline'!P187=AL189),"Error - No enhancement ▲",IF(AND(C189&lt;&gt;N189,F189&lt;S189),"Lower Distinctiveness Habitat"&amp;" - "&amp;T189,G189&amp;" - "&amp;T189)))))</f>
        <v/>
      </c>
      <c r="Q189" s="368" t="str">
        <f>IF(N189="","",VLOOKUP(B189,'F-1 Off-Site WaterC'' Baseline'!$C$10:$AE$257,22,FALSE))</f>
        <v/>
      </c>
      <c r="R189" s="362" t="str">
        <f>IF(N189="","",VLOOKUP(N189,'G-7 WaterC'' Data'!$B$2:$G$8,2,FALSE))</f>
        <v/>
      </c>
      <c r="S189" s="363" t="str">
        <f>IFERROR(VLOOKUP(R189,'G-7 WaterC'' Data'!$C$4:$D$8,2,FALSE),"")</f>
        <v/>
      </c>
      <c r="T189" s="114"/>
      <c r="U189" s="363" t="str">
        <f>IFERROR(INDEX('G-7 WaterC'' Data'!$H$4:$L$8,MATCH(N189,'G-7 WaterC'' Data'!$B$4:$B$8,0),MATCH(T189,'G-7 WaterC'' Data'!$H$3:$L$3,0)),"")</f>
        <v/>
      </c>
      <c r="V189" s="122"/>
      <c r="W189" s="382" t="str">
        <f>IF(V189="","",IF(VLOOKUP(V189,'G-7 WaterC'' Data'!$AK$4:$AM$6,2,FALSE)=0,"Spatial Data Missing ⚠",VLOOKUP(V189,'G-7 WaterC'' Data'!$AK$4:$AM$6,2,FALSE)))</f>
        <v/>
      </c>
      <c r="X189" s="386" t="str">
        <f>IF(V189="","",IF(VLOOKUP(V189,'G-7 WaterC'' Data'!$AK$4:$AM$6,3,FALSE)=0,"Spatial Data Missing ⚠",VLOOKUP(V189,'G-7 WaterC'' Data'!$AK$4:$AM$6,3,FALSE)))</f>
        <v/>
      </c>
      <c r="Y189" s="398" t="str">
        <f>IFERROR(IF(OR(LEFT(P189,5)="Error",LEFT(O189,5)="Error"),"Check Data ⚠",IF(F189&lt;S189,'G-7 WaterC'' Data'!$R$3,INDEX('G-7 WaterC'' Data'!$U$5:$Y$9,MATCH(G189,'G-7 WaterC'' Data'!$T$5:$T$9,0),MATCH(T189,'G-7 WaterC'' Data'!$U$4:$Y$4,0)))),"")</f>
        <v/>
      </c>
      <c r="Z189" s="165"/>
      <c r="AA189" s="165"/>
      <c r="AB189" s="395" t="str">
        <f t="shared" si="18"/>
        <v/>
      </c>
      <c r="AC189" s="383" t="str">
        <f t="shared" si="23"/>
        <v/>
      </c>
      <c r="AD189" s="422" t="str">
        <f>IFERROR(IF(AC189="Check Data ⚠","Check Data ⚠",VLOOKUP(AC189,'G-4 Temporal multipliers'!$A$4:$C$37,3,FALSE)),"")</f>
        <v/>
      </c>
      <c r="AE189" s="398" t="str">
        <f>IF(N189="","",VLOOKUP(N189,'G-7 WaterC'' Data'!$B$4:$G$8,5,FALSE))</f>
        <v/>
      </c>
      <c r="AF189" s="382" t="str">
        <f t="shared" si="19"/>
        <v/>
      </c>
      <c r="AG189" s="382" t="str">
        <f t="shared" si="24"/>
        <v/>
      </c>
      <c r="AH189" s="386" t="str">
        <f t="shared" si="20"/>
        <v/>
      </c>
      <c r="AI189" s="122"/>
      <c r="AJ189" s="363" t="str">
        <f>IF(AI189="","",IF(VLOOKUP(AI189,'G-7 WaterC'' Data'!$AA$4:$AB$7,2,FALSE)=0,"Spatial Data Missing ⚠",VLOOKUP(AI189,'G-7 WaterC'' Data'!$AA$4:$AB$7,2,FALSE)))</f>
        <v/>
      </c>
      <c r="AK189" s="123"/>
      <c r="AL189" s="397" t="str">
        <f>IF(AK189="","",IF(VLOOKUP(AK189,'G-7 WaterC'' Data'!$AD$4:$AE$14,2,FALSE)=0,"Spatial Data Missing ⚠",VLOOKUP(AK189,'G-7 WaterC'' Data'!$AD$4:$AE$14,2,FALSE)))</f>
        <v/>
      </c>
      <c r="AM189" s="122"/>
      <c r="AN189" s="363" t="str">
        <f>IF(AM189="","",IF(VLOOKUP(AM189,'G-7 WaterC'' Data'!$AO$4:$BO$7,2,FALSE)=0,"Spatial Data Missing ⚠",VLOOKUP(AM189,'G-7 WaterC'' Data'!$AO$4:$BO$7,2,FALSE)))</f>
        <v/>
      </c>
      <c r="AO189" s="405" t="str">
        <f t="shared" si="25"/>
        <v/>
      </c>
      <c r="AP189" s="405" t="str">
        <f t="shared" si="26"/>
        <v/>
      </c>
      <c r="AQ189" s="117"/>
      <c r="AR189" s="118"/>
      <c r="AS189" s="120"/>
      <c r="AT189" s="120"/>
      <c r="AY189" s="30" t="str">
        <f>IFERROR(INDEX('G-7 WaterC'' Data'!$AZ$3:$AZ$7,MATCH(N189,'G-7 WaterC'' Data'!$AY$3:$AY$7,0)),"")</f>
        <v/>
      </c>
    </row>
    <row r="190" spans="2:51" ht="15">
      <c r="B190" s="392" t="str">
        <f>'F-1 Off-Site WaterC'' Baseline'!AR188</f>
        <v/>
      </c>
      <c r="C190" s="382" t="str">
        <f>IF(B190="","",VLOOKUP($B190,'F-1 Off-Site WaterC'' Baseline'!$C$9:$R$257,2,FALSE))</f>
        <v/>
      </c>
      <c r="D190" s="382" t="str">
        <f>IF(C190="","",VLOOKUP($B190,'F-1 Off-Site WaterC'' Baseline'!$C$9:$R$257,3,FALSE))</f>
        <v/>
      </c>
      <c r="E190" s="382" t="str">
        <f>IF(D190="","",VLOOKUP($B190,'F-1 Off-Site WaterC'' Baseline'!$C$9:$R$257,4,FALSE))</f>
        <v/>
      </c>
      <c r="F190" s="382" t="str">
        <f>IF(E190="","",VLOOKUP($B190,'F-1 Off-Site WaterC'' Baseline'!$C$9:$R$257,5,FALSE))</f>
        <v/>
      </c>
      <c r="G190" s="382" t="str">
        <f>IF(F190="","",VLOOKUP($B190,'F-1 Off-Site WaterC'' Baseline'!$C$9:$R$257,6,FALSE))</f>
        <v/>
      </c>
      <c r="H190" s="382" t="str">
        <f>IF(G190="","",VLOOKUP($B190,'F-1 Off-Site WaterC'' Baseline'!$C$9:$R$257,7,FALSE))</f>
        <v/>
      </c>
      <c r="I190" s="382" t="str">
        <f>IF(H190="","",VLOOKUP($B190,'F-1 Off-Site WaterC'' Baseline'!$C$9:$R$257,8,FALSE))</f>
        <v/>
      </c>
      <c r="J190" s="382" t="str">
        <f>IF(I190="","",VLOOKUP($B190,'F-1 Off-Site WaterC'' Baseline'!$C$9:$R$257,9,FALSE))</f>
        <v/>
      </c>
      <c r="K190" s="382" t="str">
        <f>IF(J190="","",VLOOKUP($B190,'F-1 Off-Site WaterC'' Baseline'!$C$9:$R$257,10,FALSE))</f>
        <v/>
      </c>
      <c r="L190" s="382" t="str">
        <f>IF(B190="","",VLOOKUP($B190,'F-1 Off-Site WaterC'' Baseline'!$C$9:$R$257,15,FALSE))</f>
        <v/>
      </c>
      <c r="M190" s="386" t="str">
        <f>IF(L190="","",VLOOKUP($B190,'F-1 Off-Site WaterC'' Baseline'!$C$9:$R$257,16,FALSE))</f>
        <v/>
      </c>
      <c r="N190" s="316" t="str">
        <f t="shared" si="21"/>
        <v/>
      </c>
      <c r="O190" s="362" t="str">
        <f t="shared" si="22"/>
        <v/>
      </c>
      <c r="P190" s="363" t="str">
        <f>IF(C190="","",IF(AND(LEFT(C190,55)&lt;&gt;LEFT(N190,55),O190="High - High"),"Error - Not like for like ▲",IF(H190&gt;U190,"Error - Can not reduce condition ▲",IF(AND(F190=S190,H190=U190,AJ190='F-1 Off-Site WaterC'' Baseline'!N188,'F-1 Off-Site WaterC'' Baseline'!P188=AL190),"Error - No enhancement ▲",IF(AND(C190&lt;&gt;N190,F190&lt;S190),"Lower Distinctiveness Habitat"&amp;" - "&amp;T190,G190&amp;" - "&amp;T190)))))</f>
        <v/>
      </c>
      <c r="Q190" s="368" t="str">
        <f>IF(N190="","",VLOOKUP(B190,'F-1 Off-Site WaterC'' Baseline'!$C$10:$AE$257,22,FALSE))</f>
        <v/>
      </c>
      <c r="R190" s="362" t="str">
        <f>IF(N190="","",VLOOKUP(N190,'G-7 WaterC'' Data'!$B$2:$G$8,2,FALSE))</f>
        <v/>
      </c>
      <c r="S190" s="363" t="str">
        <f>IFERROR(VLOOKUP(R190,'G-7 WaterC'' Data'!$C$4:$D$8,2,FALSE),"")</f>
        <v/>
      </c>
      <c r="T190" s="114"/>
      <c r="U190" s="363" t="str">
        <f>IFERROR(INDEX('G-7 WaterC'' Data'!$H$4:$L$8,MATCH(N190,'G-7 WaterC'' Data'!$B$4:$B$8,0),MATCH(T190,'G-7 WaterC'' Data'!$H$3:$L$3,0)),"")</f>
        <v/>
      </c>
      <c r="V190" s="122"/>
      <c r="W190" s="382" t="str">
        <f>IF(V190="","",IF(VLOOKUP(V190,'G-7 WaterC'' Data'!$AK$4:$AM$6,2,FALSE)=0,"Spatial Data Missing ⚠",VLOOKUP(V190,'G-7 WaterC'' Data'!$AK$4:$AM$6,2,FALSE)))</f>
        <v/>
      </c>
      <c r="X190" s="386" t="str">
        <f>IF(V190="","",IF(VLOOKUP(V190,'G-7 WaterC'' Data'!$AK$4:$AM$6,3,FALSE)=0,"Spatial Data Missing ⚠",VLOOKUP(V190,'G-7 WaterC'' Data'!$AK$4:$AM$6,3,FALSE)))</f>
        <v/>
      </c>
      <c r="Y190" s="398" t="str">
        <f>IFERROR(IF(OR(LEFT(P190,5)="Error",LEFT(O190,5)="Error"),"Check Data ⚠",IF(F190&lt;S190,'G-7 WaterC'' Data'!$R$3,INDEX('G-7 WaterC'' Data'!$U$5:$Y$9,MATCH(G190,'G-7 WaterC'' Data'!$T$5:$T$9,0),MATCH(T190,'G-7 WaterC'' Data'!$U$4:$Y$4,0)))),"")</f>
        <v/>
      </c>
      <c r="Z190" s="165"/>
      <c r="AA190" s="165"/>
      <c r="AB190" s="395" t="str">
        <f t="shared" si="18"/>
        <v/>
      </c>
      <c r="AC190" s="383" t="str">
        <f t="shared" si="23"/>
        <v/>
      </c>
      <c r="AD190" s="422" t="str">
        <f>IFERROR(IF(AC190="Check Data ⚠","Check Data ⚠",VLOOKUP(AC190,'G-4 Temporal multipliers'!$A$4:$C$37,3,FALSE)),"")</f>
        <v/>
      </c>
      <c r="AE190" s="398" t="str">
        <f>IF(N190="","",VLOOKUP(N190,'G-7 WaterC'' Data'!$B$4:$G$8,5,FALSE))</f>
        <v/>
      </c>
      <c r="AF190" s="382" t="str">
        <f t="shared" si="19"/>
        <v/>
      </c>
      <c r="AG190" s="382" t="str">
        <f t="shared" si="24"/>
        <v/>
      </c>
      <c r="AH190" s="386" t="str">
        <f t="shared" si="20"/>
        <v/>
      </c>
      <c r="AI190" s="122"/>
      <c r="AJ190" s="363" t="str">
        <f>IF(AI190="","",IF(VLOOKUP(AI190,'G-7 WaterC'' Data'!$AA$4:$AB$7,2,FALSE)=0,"Spatial Data Missing ⚠",VLOOKUP(AI190,'G-7 WaterC'' Data'!$AA$4:$AB$7,2,FALSE)))</f>
        <v/>
      </c>
      <c r="AK190" s="123"/>
      <c r="AL190" s="397" t="str">
        <f>IF(AK190="","",IF(VLOOKUP(AK190,'G-7 WaterC'' Data'!$AD$4:$AE$14,2,FALSE)=0,"Spatial Data Missing ⚠",VLOOKUP(AK190,'G-7 WaterC'' Data'!$AD$4:$AE$14,2,FALSE)))</f>
        <v/>
      </c>
      <c r="AM190" s="122"/>
      <c r="AN190" s="363" t="str">
        <f>IF(AM190="","",IF(VLOOKUP(AM190,'G-7 WaterC'' Data'!$AO$4:$BO$7,2,FALSE)=0,"Spatial Data Missing ⚠",VLOOKUP(AM190,'G-7 WaterC'' Data'!$AO$4:$BO$7,2,FALSE)))</f>
        <v/>
      </c>
      <c r="AO190" s="405" t="str">
        <f t="shared" si="25"/>
        <v/>
      </c>
      <c r="AP190" s="405" t="str">
        <f t="shared" si="26"/>
        <v/>
      </c>
      <c r="AQ190" s="117"/>
      <c r="AR190" s="118"/>
      <c r="AS190" s="120"/>
      <c r="AT190" s="120"/>
      <c r="AY190" s="30" t="str">
        <f>IFERROR(INDEX('G-7 WaterC'' Data'!$AZ$3:$AZ$7,MATCH(N190,'G-7 WaterC'' Data'!$AY$3:$AY$7,0)),"")</f>
        <v/>
      </c>
    </row>
    <row r="191" spans="2:51" ht="15">
      <c r="B191" s="392" t="str">
        <f>'F-1 Off-Site WaterC'' Baseline'!AR189</f>
        <v/>
      </c>
      <c r="C191" s="382" t="str">
        <f>IF(B191="","",VLOOKUP($B191,'F-1 Off-Site WaterC'' Baseline'!$C$9:$R$257,2,FALSE))</f>
        <v/>
      </c>
      <c r="D191" s="382" t="str">
        <f>IF(C191="","",VLOOKUP($B191,'F-1 Off-Site WaterC'' Baseline'!$C$9:$R$257,3,FALSE))</f>
        <v/>
      </c>
      <c r="E191" s="382" t="str">
        <f>IF(D191="","",VLOOKUP($B191,'F-1 Off-Site WaterC'' Baseline'!$C$9:$R$257,4,FALSE))</f>
        <v/>
      </c>
      <c r="F191" s="382" t="str">
        <f>IF(E191="","",VLOOKUP($B191,'F-1 Off-Site WaterC'' Baseline'!$C$9:$R$257,5,FALSE))</f>
        <v/>
      </c>
      <c r="G191" s="382" t="str">
        <f>IF(F191="","",VLOOKUP($B191,'F-1 Off-Site WaterC'' Baseline'!$C$9:$R$257,6,FALSE))</f>
        <v/>
      </c>
      <c r="H191" s="382" t="str">
        <f>IF(G191="","",VLOOKUP($B191,'F-1 Off-Site WaterC'' Baseline'!$C$9:$R$257,7,FALSE))</f>
        <v/>
      </c>
      <c r="I191" s="382" t="str">
        <f>IF(H191="","",VLOOKUP($B191,'F-1 Off-Site WaterC'' Baseline'!$C$9:$R$257,8,FALSE))</f>
        <v/>
      </c>
      <c r="J191" s="382" t="str">
        <f>IF(I191="","",VLOOKUP($B191,'F-1 Off-Site WaterC'' Baseline'!$C$9:$R$257,9,FALSE))</f>
        <v/>
      </c>
      <c r="K191" s="382" t="str">
        <f>IF(J191="","",VLOOKUP($B191,'F-1 Off-Site WaterC'' Baseline'!$C$9:$R$257,10,FALSE))</f>
        <v/>
      </c>
      <c r="L191" s="382" t="str">
        <f>IF(B191="","",VLOOKUP($B191,'F-1 Off-Site WaterC'' Baseline'!$C$9:$R$257,15,FALSE))</f>
        <v/>
      </c>
      <c r="M191" s="386" t="str">
        <f>IF(L191="","",VLOOKUP($B191,'F-1 Off-Site WaterC'' Baseline'!$C$9:$R$257,16,FALSE))</f>
        <v/>
      </c>
      <c r="N191" s="316" t="str">
        <f t="shared" si="21"/>
        <v/>
      </c>
      <c r="O191" s="362" t="str">
        <f t="shared" si="22"/>
        <v/>
      </c>
      <c r="P191" s="363" t="str">
        <f>IF(C191="","",IF(AND(LEFT(C191,55)&lt;&gt;LEFT(N191,55),O191="High - High"),"Error - Not like for like ▲",IF(H191&gt;U191,"Error - Can not reduce condition ▲",IF(AND(F191=S191,H191=U191,AJ191='F-1 Off-Site WaterC'' Baseline'!N189,'F-1 Off-Site WaterC'' Baseline'!P189=AL191),"Error - No enhancement ▲",IF(AND(C191&lt;&gt;N191,F191&lt;S191),"Lower Distinctiveness Habitat"&amp;" - "&amp;T191,G191&amp;" - "&amp;T191)))))</f>
        <v/>
      </c>
      <c r="Q191" s="368" t="str">
        <f>IF(N191="","",VLOOKUP(B191,'F-1 Off-Site WaterC'' Baseline'!$C$10:$AE$257,22,FALSE))</f>
        <v/>
      </c>
      <c r="R191" s="362" t="str">
        <f>IF(N191="","",VLOOKUP(N191,'G-7 WaterC'' Data'!$B$2:$G$8,2,FALSE))</f>
        <v/>
      </c>
      <c r="S191" s="363" t="str">
        <f>IFERROR(VLOOKUP(R191,'G-7 WaterC'' Data'!$C$4:$D$8,2,FALSE),"")</f>
        <v/>
      </c>
      <c r="T191" s="114"/>
      <c r="U191" s="363" t="str">
        <f>IFERROR(INDEX('G-7 WaterC'' Data'!$H$4:$L$8,MATCH(N191,'G-7 WaterC'' Data'!$B$4:$B$8,0),MATCH(T191,'G-7 WaterC'' Data'!$H$3:$L$3,0)),"")</f>
        <v/>
      </c>
      <c r="V191" s="122"/>
      <c r="W191" s="382" t="str">
        <f>IF(V191="","",IF(VLOOKUP(V191,'G-7 WaterC'' Data'!$AK$4:$AM$6,2,FALSE)=0,"Spatial Data Missing ⚠",VLOOKUP(V191,'G-7 WaterC'' Data'!$AK$4:$AM$6,2,FALSE)))</f>
        <v/>
      </c>
      <c r="X191" s="386" t="str">
        <f>IF(V191="","",IF(VLOOKUP(V191,'G-7 WaterC'' Data'!$AK$4:$AM$6,3,FALSE)=0,"Spatial Data Missing ⚠",VLOOKUP(V191,'G-7 WaterC'' Data'!$AK$4:$AM$6,3,FALSE)))</f>
        <v/>
      </c>
      <c r="Y191" s="398" t="str">
        <f>IFERROR(IF(OR(LEFT(P191,5)="Error",LEFT(O191,5)="Error"),"Check Data ⚠",IF(F191&lt;S191,'G-7 WaterC'' Data'!$R$3,INDEX('G-7 WaterC'' Data'!$U$5:$Y$9,MATCH(G191,'G-7 WaterC'' Data'!$T$5:$T$9,0),MATCH(T191,'G-7 WaterC'' Data'!$U$4:$Y$4,0)))),"")</f>
        <v/>
      </c>
      <c r="Z191" s="165"/>
      <c r="AA191" s="165"/>
      <c r="AB191" s="395" t="str">
        <f t="shared" si="18"/>
        <v/>
      </c>
      <c r="AC191" s="383" t="str">
        <f t="shared" si="23"/>
        <v/>
      </c>
      <c r="AD191" s="422" t="str">
        <f>IFERROR(IF(AC191="Check Data ⚠","Check Data ⚠",VLOOKUP(AC191,'G-4 Temporal multipliers'!$A$4:$C$37,3,FALSE)),"")</f>
        <v/>
      </c>
      <c r="AE191" s="398" t="str">
        <f>IF(N191="","",VLOOKUP(N191,'G-7 WaterC'' Data'!$B$4:$G$8,5,FALSE))</f>
        <v/>
      </c>
      <c r="AF191" s="382" t="str">
        <f t="shared" si="19"/>
        <v/>
      </c>
      <c r="AG191" s="382" t="str">
        <f t="shared" si="24"/>
        <v/>
      </c>
      <c r="AH191" s="386" t="str">
        <f t="shared" si="20"/>
        <v/>
      </c>
      <c r="AI191" s="122"/>
      <c r="AJ191" s="363" t="str">
        <f>IF(AI191="","",IF(VLOOKUP(AI191,'G-7 WaterC'' Data'!$AA$4:$AB$7,2,FALSE)=0,"Spatial Data Missing ⚠",VLOOKUP(AI191,'G-7 WaterC'' Data'!$AA$4:$AB$7,2,FALSE)))</f>
        <v/>
      </c>
      <c r="AK191" s="123"/>
      <c r="AL191" s="397" t="str">
        <f>IF(AK191="","",IF(VLOOKUP(AK191,'G-7 WaterC'' Data'!$AD$4:$AE$14,2,FALSE)=0,"Spatial Data Missing ⚠",VLOOKUP(AK191,'G-7 WaterC'' Data'!$AD$4:$AE$14,2,FALSE)))</f>
        <v/>
      </c>
      <c r="AM191" s="122"/>
      <c r="AN191" s="363" t="str">
        <f>IF(AM191="","",IF(VLOOKUP(AM191,'G-7 WaterC'' Data'!$AO$4:$BO$7,2,FALSE)=0,"Spatial Data Missing ⚠",VLOOKUP(AM191,'G-7 WaterC'' Data'!$AO$4:$BO$7,2,FALSE)))</f>
        <v/>
      </c>
      <c r="AO191" s="405" t="str">
        <f t="shared" si="25"/>
        <v/>
      </c>
      <c r="AP191" s="405" t="str">
        <f t="shared" si="26"/>
        <v/>
      </c>
      <c r="AQ191" s="117"/>
      <c r="AR191" s="118"/>
      <c r="AS191" s="120"/>
      <c r="AT191" s="120"/>
      <c r="AY191" s="30" t="str">
        <f>IFERROR(INDEX('G-7 WaterC'' Data'!$AZ$3:$AZ$7,MATCH(N191,'G-7 WaterC'' Data'!$AY$3:$AY$7,0)),"")</f>
        <v/>
      </c>
    </row>
    <row r="192" spans="2:51" ht="15">
      <c r="B192" s="392" t="str">
        <f>'F-1 Off-Site WaterC'' Baseline'!AR190</f>
        <v/>
      </c>
      <c r="C192" s="382" t="str">
        <f>IF(B192="","",VLOOKUP($B192,'F-1 Off-Site WaterC'' Baseline'!$C$9:$R$257,2,FALSE))</f>
        <v/>
      </c>
      <c r="D192" s="382" t="str">
        <f>IF(C192="","",VLOOKUP($B192,'F-1 Off-Site WaterC'' Baseline'!$C$9:$R$257,3,FALSE))</f>
        <v/>
      </c>
      <c r="E192" s="382" t="str">
        <f>IF(D192="","",VLOOKUP($B192,'F-1 Off-Site WaterC'' Baseline'!$C$9:$R$257,4,FALSE))</f>
        <v/>
      </c>
      <c r="F192" s="382" t="str">
        <f>IF(E192="","",VLOOKUP($B192,'F-1 Off-Site WaterC'' Baseline'!$C$9:$R$257,5,FALSE))</f>
        <v/>
      </c>
      <c r="G192" s="382" t="str">
        <f>IF(F192="","",VLOOKUP($B192,'F-1 Off-Site WaterC'' Baseline'!$C$9:$R$257,6,FALSE))</f>
        <v/>
      </c>
      <c r="H192" s="382" t="str">
        <f>IF(G192="","",VLOOKUP($B192,'F-1 Off-Site WaterC'' Baseline'!$C$9:$R$257,7,FALSE))</f>
        <v/>
      </c>
      <c r="I192" s="382" t="str">
        <f>IF(H192="","",VLOOKUP($B192,'F-1 Off-Site WaterC'' Baseline'!$C$9:$R$257,8,FALSE))</f>
        <v/>
      </c>
      <c r="J192" s="382" t="str">
        <f>IF(I192="","",VLOOKUP($B192,'F-1 Off-Site WaterC'' Baseline'!$C$9:$R$257,9,FALSE))</f>
        <v/>
      </c>
      <c r="K192" s="382" t="str">
        <f>IF(J192="","",VLOOKUP($B192,'F-1 Off-Site WaterC'' Baseline'!$C$9:$R$257,10,FALSE))</f>
        <v/>
      </c>
      <c r="L192" s="382" t="str">
        <f>IF(B192="","",VLOOKUP($B192,'F-1 Off-Site WaterC'' Baseline'!$C$9:$R$257,15,FALSE))</f>
        <v/>
      </c>
      <c r="M192" s="386" t="str">
        <f>IF(L192="","",VLOOKUP($B192,'F-1 Off-Site WaterC'' Baseline'!$C$9:$R$257,16,FALSE))</f>
        <v/>
      </c>
      <c r="N192" s="316" t="str">
        <f t="shared" si="21"/>
        <v/>
      </c>
      <c r="O192" s="362" t="str">
        <f t="shared" si="22"/>
        <v/>
      </c>
      <c r="P192" s="363" t="str">
        <f>IF(C192="","",IF(AND(LEFT(C192,55)&lt;&gt;LEFT(N192,55),O192="High - High"),"Error - Not like for like ▲",IF(H192&gt;U192,"Error - Can not reduce condition ▲",IF(AND(F192=S192,H192=U192,AJ192='F-1 Off-Site WaterC'' Baseline'!N190,'F-1 Off-Site WaterC'' Baseline'!P190=AL192),"Error - No enhancement ▲",IF(AND(C192&lt;&gt;N192,F192&lt;S192),"Lower Distinctiveness Habitat"&amp;" - "&amp;T192,G192&amp;" - "&amp;T192)))))</f>
        <v/>
      </c>
      <c r="Q192" s="368" t="str">
        <f>IF(N192="","",VLOOKUP(B192,'F-1 Off-Site WaterC'' Baseline'!$C$10:$AE$257,22,FALSE))</f>
        <v/>
      </c>
      <c r="R192" s="362" t="str">
        <f>IF(N192="","",VLOOKUP(N192,'G-7 WaterC'' Data'!$B$2:$G$8,2,FALSE))</f>
        <v/>
      </c>
      <c r="S192" s="363" t="str">
        <f>IFERROR(VLOOKUP(R192,'G-7 WaterC'' Data'!$C$4:$D$8,2,FALSE),"")</f>
        <v/>
      </c>
      <c r="T192" s="114"/>
      <c r="U192" s="363" t="str">
        <f>IFERROR(INDEX('G-7 WaterC'' Data'!$H$4:$L$8,MATCH(N192,'G-7 WaterC'' Data'!$B$4:$B$8,0),MATCH(T192,'G-7 WaterC'' Data'!$H$3:$L$3,0)),"")</f>
        <v/>
      </c>
      <c r="V192" s="122"/>
      <c r="W192" s="382" t="str">
        <f>IF(V192="","",IF(VLOOKUP(V192,'G-7 WaterC'' Data'!$AK$4:$AM$6,2,FALSE)=0,"Spatial Data Missing ⚠",VLOOKUP(V192,'G-7 WaterC'' Data'!$AK$4:$AM$6,2,FALSE)))</f>
        <v/>
      </c>
      <c r="X192" s="386" t="str">
        <f>IF(V192="","",IF(VLOOKUP(V192,'G-7 WaterC'' Data'!$AK$4:$AM$6,3,FALSE)=0,"Spatial Data Missing ⚠",VLOOKUP(V192,'G-7 WaterC'' Data'!$AK$4:$AM$6,3,FALSE)))</f>
        <v/>
      </c>
      <c r="Y192" s="398" t="str">
        <f>IFERROR(IF(OR(LEFT(P192,5)="Error",LEFT(O192,5)="Error"),"Check Data ⚠",IF(F192&lt;S192,'G-7 WaterC'' Data'!$R$3,INDEX('G-7 WaterC'' Data'!$U$5:$Y$9,MATCH(G192,'G-7 WaterC'' Data'!$T$5:$T$9,0),MATCH(T192,'G-7 WaterC'' Data'!$U$4:$Y$4,0)))),"")</f>
        <v/>
      </c>
      <c r="Z192" s="165"/>
      <c r="AA192" s="165"/>
      <c r="AB192" s="395" t="str">
        <f t="shared" si="18"/>
        <v/>
      </c>
      <c r="AC192" s="383" t="str">
        <f t="shared" si="23"/>
        <v/>
      </c>
      <c r="AD192" s="422" t="str">
        <f>IFERROR(IF(AC192="Check Data ⚠","Check Data ⚠",VLOOKUP(AC192,'G-4 Temporal multipliers'!$A$4:$C$37,3,FALSE)),"")</f>
        <v/>
      </c>
      <c r="AE192" s="398" t="str">
        <f>IF(N192="","",VLOOKUP(N192,'G-7 WaterC'' Data'!$B$4:$G$8,5,FALSE))</f>
        <v/>
      </c>
      <c r="AF192" s="382" t="str">
        <f t="shared" si="19"/>
        <v/>
      </c>
      <c r="AG192" s="382" t="str">
        <f t="shared" si="24"/>
        <v/>
      </c>
      <c r="AH192" s="386" t="str">
        <f t="shared" si="20"/>
        <v/>
      </c>
      <c r="AI192" s="122"/>
      <c r="AJ192" s="363" t="str">
        <f>IF(AI192="","",IF(VLOOKUP(AI192,'G-7 WaterC'' Data'!$AA$4:$AB$7,2,FALSE)=0,"Spatial Data Missing ⚠",VLOOKUP(AI192,'G-7 WaterC'' Data'!$AA$4:$AB$7,2,FALSE)))</f>
        <v/>
      </c>
      <c r="AK192" s="123"/>
      <c r="AL192" s="397" t="str">
        <f>IF(AK192="","",IF(VLOOKUP(AK192,'G-7 WaterC'' Data'!$AD$4:$AE$14,2,FALSE)=0,"Spatial Data Missing ⚠",VLOOKUP(AK192,'G-7 WaterC'' Data'!$AD$4:$AE$14,2,FALSE)))</f>
        <v/>
      </c>
      <c r="AM192" s="122"/>
      <c r="AN192" s="363" t="str">
        <f>IF(AM192="","",IF(VLOOKUP(AM192,'G-7 WaterC'' Data'!$AO$4:$BO$7,2,FALSE)=0,"Spatial Data Missing ⚠",VLOOKUP(AM192,'G-7 WaterC'' Data'!$AO$4:$BO$7,2,FALSE)))</f>
        <v/>
      </c>
      <c r="AO192" s="405" t="str">
        <f t="shared" si="25"/>
        <v/>
      </c>
      <c r="AP192" s="405" t="str">
        <f t="shared" si="26"/>
        <v/>
      </c>
      <c r="AQ192" s="117"/>
      <c r="AR192" s="118"/>
      <c r="AS192" s="120"/>
      <c r="AT192" s="120"/>
      <c r="AY192" s="30" t="str">
        <f>IFERROR(INDEX('G-7 WaterC'' Data'!$AZ$3:$AZ$7,MATCH(N192,'G-7 WaterC'' Data'!$AY$3:$AY$7,0)),"")</f>
        <v/>
      </c>
    </row>
    <row r="193" spans="2:51" ht="15">
      <c r="B193" s="392" t="str">
        <f>'F-1 Off-Site WaterC'' Baseline'!AR191</f>
        <v/>
      </c>
      <c r="C193" s="382" t="str">
        <f>IF(B193="","",VLOOKUP($B193,'F-1 Off-Site WaterC'' Baseline'!$C$9:$R$257,2,FALSE))</f>
        <v/>
      </c>
      <c r="D193" s="382" t="str">
        <f>IF(C193="","",VLOOKUP($B193,'F-1 Off-Site WaterC'' Baseline'!$C$9:$R$257,3,FALSE))</f>
        <v/>
      </c>
      <c r="E193" s="382" t="str">
        <f>IF(D193="","",VLOOKUP($B193,'F-1 Off-Site WaterC'' Baseline'!$C$9:$R$257,4,FALSE))</f>
        <v/>
      </c>
      <c r="F193" s="382" t="str">
        <f>IF(E193="","",VLOOKUP($B193,'F-1 Off-Site WaterC'' Baseline'!$C$9:$R$257,5,FALSE))</f>
        <v/>
      </c>
      <c r="G193" s="382" t="str">
        <f>IF(F193="","",VLOOKUP($B193,'F-1 Off-Site WaterC'' Baseline'!$C$9:$R$257,6,FALSE))</f>
        <v/>
      </c>
      <c r="H193" s="382" t="str">
        <f>IF(G193="","",VLOOKUP($B193,'F-1 Off-Site WaterC'' Baseline'!$C$9:$R$257,7,FALSE))</f>
        <v/>
      </c>
      <c r="I193" s="382" t="str">
        <f>IF(H193="","",VLOOKUP($B193,'F-1 Off-Site WaterC'' Baseline'!$C$9:$R$257,8,FALSE))</f>
        <v/>
      </c>
      <c r="J193" s="382" t="str">
        <f>IF(I193="","",VLOOKUP($B193,'F-1 Off-Site WaterC'' Baseline'!$C$9:$R$257,9,FALSE))</f>
        <v/>
      </c>
      <c r="K193" s="382" t="str">
        <f>IF(J193="","",VLOOKUP($B193,'F-1 Off-Site WaterC'' Baseline'!$C$9:$R$257,10,FALSE))</f>
        <v/>
      </c>
      <c r="L193" s="382" t="str">
        <f>IF(B193="","",VLOOKUP($B193,'F-1 Off-Site WaterC'' Baseline'!$C$9:$R$257,15,FALSE))</f>
        <v/>
      </c>
      <c r="M193" s="386" t="str">
        <f>IF(L193="","",VLOOKUP($B193,'F-1 Off-Site WaterC'' Baseline'!$C$9:$R$257,16,FALSE))</f>
        <v/>
      </c>
      <c r="N193" s="316" t="str">
        <f t="shared" si="21"/>
        <v/>
      </c>
      <c r="O193" s="362" t="str">
        <f t="shared" si="22"/>
        <v/>
      </c>
      <c r="P193" s="363" t="str">
        <f>IF(C193="","",IF(AND(LEFT(C193,55)&lt;&gt;LEFT(N193,55),O193="High - High"),"Error - Not like for like ▲",IF(H193&gt;U193,"Error - Can not reduce condition ▲",IF(AND(F193=S193,H193=U193,AJ193='F-1 Off-Site WaterC'' Baseline'!N191,'F-1 Off-Site WaterC'' Baseline'!P191=AL193),"Error - No enhancement ▲",IF(AND(C193&lt;&gt;N193,F193&lt;S193),"Lower Distinctiveness Habitat"&amp;" - "&amp;T193,G193&amp;" - "&amp;T193)))))</f>
        <v/>
      </c>
      <c r="Q193" s="368" t="str">
        <f>IF(N193="","",VLOOKUP(B193,'F-1 Off-Site WaterC'' Baseline'!$C$10:$AE$257,22,FALSE))</f>
        <v/>
      </c>
      <c r="R193" s="362" t="str">
        <f>IF(N193="","",VLOOKUP(N193,'G-7 WaterC'' Data'!$B$2:$G$8,2,FALSE))</f>
        <v/>
      </c>
      <c r="S193" s="363" t="str">
        <f>IFERROR(VLOOKUP(R193,'G-7 WaterC'' Data'!$C$4:$D$8,2,FALSE),"")</f>
        <v/>
      </c>
      <c r="T193" s="114"/>
      <c r="U193" s="363" t="str">
        <f>IFERROR(INDEX('G-7 WaterC'' Data'!$H$4:$L$8,MATCH(N193,'G-7 WaterC'' Data'!$B$4:$B$8,0),MATCH(T193,'G-7 WaterC'' Data'!$H$3:$L$3,0)),"")</f>
        <v/>
      </c>
      <c r="V193" s="122"/>
      <c r="W193" s="382" t="str">
        <f>IF(V193="","",IF(VLOOKUP(V193,'G-7 WaterC'' Data'!$AK$4:$AM$6,2,FALSE)=0,"Spatial Data Missing ⚠",VLOOKUP(V193,'G-7 WaterC'' Data'!$AK$4:$AM$6,2,FALSE)))</f>
        <v/>
      </c>
      <c r="X193" s="386" t="str">
        <f>IF(V193="","",IF(VLOOKUP(V193,'G-7 WaterC'' Data'!$AK$4:$AM$6,3,FALSE)=0,"Spatial Data Missing ⚠",VLOOKUP(V193,'G-7 WaterC'' Data'!$AK$4:$AM$6,3,FALSE)))</f>
        <v/>
      </c>
      <c r="Y193" s="398" t="str">
        <f>IFERROR(IF(OR(LEFT(P193,5)="Error",LEFT(O193,5)="Error"),"Check Data ⚠",IF(F193&lt;S193,'G-7 WaterC'' Data'!$R$3,INDEX('G-7 WaterC'' Data'!$U$5:$Y$9,MATCH(G193,'G-7 WaterC'' Data'!$T$5:$T$9,0),MATCH(T193,'G-7 WaterC'' Data'!$U$4:$Y$4,0)))),"")</f>
        <v/>
      </c>
      <c r="Z193" s="165"/>
      <c r="AA193" s="165"/>
      <c r="AB193" s="395" t="str">
        <f t="shared" si="18"/>
        <v/>
      </c>
      <c r="AC193" s="383" t="str">
        <f t="shared" si="23"/>
        <v/>
      </c>
      <c r="AD193" s="422" t="str">
        <f>IFERROR(IF(AC193="Check Data ⚠","Check Data ⚠",VLOOKUP(AC193,'G-4 Temporal multipliers'!$A$4:$C$37,3,FALSE)),"")</f>
        <v/>
      </c>
      <c r="AE193" s="398" t="str">
        <f>IF(N193="","",VLOOKUP(N193,'G-7 WaterC'' Data'!$B$4:$G$8,5,FALSE))</f>
        <v/>
      </c>
      <c r="AF193" s="382" t="str">
        <f t="shared" si="19"/>
        <v/>
      </c>
      <c r="AG193" s="382" t="str">
        <f t="shared" si="24"/>
        <v/>
      </c>
      <c r="AH193" s="386" t="str">
        <f t="shared" si="20"/>
        <v/>
      </c>
      <c r="AI193" s="122"/>
      <c r="AJ193" s="363" t="str">
        <f>IF(AI193="","",IF(VLOOKUP(AI193,'G-7 WaterC'' Data'!$AA$4:$AB$7,2,FALSE)=0,"Spatial Data Missing ⚠",VLOOKUP(AI193,'G-7 WaterC'' Data'!$AA$4:$AB$7,2,FALSE)))</f>
        <v/>
      </c>
      <c r="AK193" s="123"/>
      <c r="AL193" s="397" t="str">
        <f>IF(AK193="","",IF(VLOOKUP(AK193,'G-7 WaterC'' Data'!$AD$4:$AE$14,2,FALSE)=0,"Spatial Data Missing ⚠",VLOOKUP(AK193,'G-7 WaterC'' Data'!$AD$4:$AE$14,2,FALSE)))</f>
        <v/>
      </c>
      <c r="AM193" s="122"/>
      <c r="AN193" s="363" t="str">
        <f>IF(AM193="","",IF(VLOOKUP(AM193,'G-7 WaterC'' Data'!$AO$4:$BO$7,2,FALSE)=0,"Spatial Data Missing ⚠",VLOOKUP(AM193,'G-7 WaterC'' Data'!$AO$4:$BO$7,2,FALSE)))</f>
        <v/>
      </c>
      <c r="AO193" s="405" t="str">
        <f t="shared" si="25"/>
        <v/>
      </c>
      <c r="AP193" s="405" t="str">
        <f t="shared" si="26"/>
        <v/>
      </c>
      <c r="AQ193" s="117"/>
      <c r="AR193" s="118"/>
      <c r="AS193" s="120"/>
      <c r="AT193" s="120"/>
      <c r="AY193" s="30" t="str">
        <f>IFERROR(INDEX('G-7 WaterC'' Data'!$AZ$3:$AZ$7,MATCH(N193,'G-7 WaterC'' Data'!$AY$3:$AY$7,0)),"")</f>
        <v/>
      </c>
    </row>
    <row r="194" spans="2:51" ht="15">
      <c r="B194" s="392" t="str">
        <f>'F-1 Off-Site WaterC'' Baseline'!AR192</f>
        <v/>
      </c>
      <c r="C194" s="382" t="str">
        <f>IF(B194="","",VLOOKUP($B194,'F-1 Off-Site WaterC'' Baseline'!$C$9:$R$257,2,FALSE))</f>
        <v/>
      </c>
      <c r="D194" s="382" t="str">
        <f>IF(C194="","",VLOOKUP($B194,'F-1 Off-Site WaterC'' Baseline'!$C$9:$R$257,3,FALSE))</f>
        <v/>
      </c>
      <c r="E194" s="382" t="str">
        <f>IF(D194="","",VLOOKUP($B194,'F-1 Off-Site WaterC'' Baseline'!$C$9:$R$257,4,FALSE))</f>
        <v/>
      </c>
      <c r="F194" s="382" t="str">
        <f>IF(E194="","",VLOOKUP($B194,'F-1 Off-Site WaterC'' Baseline'!$C$9:$R$257,5,FALSE))</f>
        <v/>
      </c>
      <c r="G194" s="382" t="str">
        <f>IF(F194="","",VLOOKUP($B194,'F-1 Off-Site WaterC'' Baseline'!$C$9:$R$257,6,FALSE))</f>
        <v/>
      </c>
      <c r="H194" s="382" t="str">
        <f>IF(G194="","",VLOOKUP($B194,'F-1 Off-Site WaterC'' Baseline'!$C$9:$R$257,7,FALSE))</f>
        <v/>
      </c>
      <c r="I194" s="382" t="str">
        <f>IF(H194="","",VLOOKUP($B194,'F-1 Off-Site WaterC'' Baseline'!$C$9:$R$257,8,FALSE))</f>
        <v/>
      </c>
      <c r="J194" s="382" t="str">
        <f>IF(I194="","",VLOOKUP($B194,'F-1 Off-Site WaterC'' Baseline'!$C$9:$R$257,9,FALSE))</f>
        <v/>
      </c>
      <c r="K194" s="382" t="str">
        <f>IF(J194="","",VLOOKUP($B194,'F-1 Off-Site WaterC'' Baseline'!$C$9:$R$257,10,FALSE))</f>
        <v/>
      </c>
      <c r="L194" s="382" t="str">
        <f>IF(B194="","",VLOOKUP($B194,'F-1 Off-Site WaterC'' Baseline'!$C$9:$R$257,15,FALSE))</f>
        <v/>
      </c>
      <c r="M194" s="386" t="str">
        <f>IF(L194="","",VLOOKUP($B194,'F-1 Off-Site WaterC'' Baseline'!$C$9:$R$257,16,FALSE))</f>
        <v/>
      </c>
      <c r="N194" s="316" t="str">
        <f t="shared" si="21"/>
        <v/>
      </c>
      <c r="O194" s="362" t="str">
        <f t="shared" si="22"/>
        <v/>
      </c>
      <c r="P194" s="363" t="str">
        <f>IF(C194="","",IF(AND(LEFT(C194,55)&lt;&gt;LEFT(N194,55),O194="High - High"),"Error - Not like for like ▲",IF(H194&gt;U194,"Error - Can not reduce condition ▲",IF(AND(F194=S194,H194=U194,AJ194='F-1 Off-Site WaterC'' Baseline'!N192,'F-1 Off-Site WaterC'' Baseline'!P192=AL194),"Error - No enhancement ▲",IF(AND(C194&lt;&gt;N194,F194&lt;S194),"Lower Distinctiveness Habitat"&amp;" - "&amp;T194,G194&amp;" - "&amp;T194)))))</f>
        <v/>
      </c>
      <c r="Q194" s="368" t="str">
        <f>IF(N194="","",VLOOKUP(B194,'F-1 Off-Site WaterC'' Baseline'!$C$10:$AE$257,22,FALSE))</f>
        <v/>
      </c>
      <c r="R194" s="362" t="str">
        <f>IF(N194="","",VLOOKUP(N194,'G-7 WaterC'' Data'!$B$2:$G$8,2,FALSE))</f>
        <v/>
      </c>
      <c r="S194" s="363" t="str">
        <f>IFERROR(VLOOKUP(R194,'G-7 WaterC'' Data'!$C$4:$D$8,2,FALSE),"")</f>
        <v/>
      </c>
      <c r="T194" s="114"/>
      <c r="U194" s="363" t="str">
        <f>IFERROR(INDEX('G-7 WaterC'' Data'!$H$4:$L$8,MATCH(N194,'G-7 WaterC'' Data'!$B$4:$B$8,0),MATCH(T194,'G-7 WaterC'' Data'!$H$3:$L$3,0)),"")</f>
        <v/>
      </c>
      <c r="V194" s="122"/>
      <c r="W194" s="382" t="str">
        <f>IF(V194="","",IF(VLOOKUP(V194,'G-7 WaterC'' Data'!$AK$4:$AM$6,2,FALSE)=0,"Spatial Data Missing ⚠",VLOOKUP(V194,'G-7 WaterC'' Data'!$AK$4:$AM$6,2,FALSE)))</f>
        <v/>
      </c>
      <c r="X194" s="386" t="str">
        <f>IF(V194="","",IF(VLOOKUP(V194,'G-7 WaterC'' Data'!$AK$4:$AM$6,3,FALSE)=0,"Spatial Data Missing ⚠",VLOOKUP(V194,'G-7 WaterC'' Data'!$AK$4:$AM$6,3,FALSE)))</f>
        <v/>
      </c>
      <c r="Y194" s="398" t="str">
        <f>IFERROR(IF(OR(LEFT(P194,5)="Error",LEFT(O194,5)="Error"),"Check Data ⚠",IF(F194&lt;S194,'G-7 WaterC'' Data'!$R$3,INDEX('G-7 WaterC'' Data'!$U$5:$Y$9,MATCH(G194,'G-7 WaterC'' Data'!$T$5:$T$9,0),MATCH(T194,'G-7 WaterC'' Data'!$U$4:$Y$4,0)))),"")</f>
        <v/>
      </c>
      <c r="Z194" s="165"/>
      <c r="AA194" s="165"/>
      <c r="AB194" s="395" t="str">
        <f t="shared" si="18"/>
        <v/>
      </c>
      <c r="AC194" s="383" t="str">
        <f t="shared" si="23"/>
        <v/>
      </c>
      <c r="AD194" s="422" t="str">
        <f>IFERROR(IF(AC194="Check Data ⚠","Check Data ⚠",VLOOKUP(AC194,'G-4 Temporal multipliers'!$A$4:$C$37,3,FALSE)),"")</f>
        <v/>
      </c>
      <c r="AE194" s="398" t="str">
        <f>IF(N194="","",VLOOKUP(N194,'G-7 WaterC'' Data'!$B$4:$G$8,5,FALSE))</f>
        <v/>
      </c>
      <c r="AF194" s="382" t="str">
        <f t="shared" si="19"/>
        <v/>
      </c>
      <c r="AG194" s="382" t="str">
        <f t="shared" si="24"/>
        <v/>
      </c>
      <c r="AH194" s="386" t="str">
        <f t="shared" si="20"/>
        <v/>
      </c>
      <c r="AI194" s="122"/>
      <c r="AJ194" s="363" t="str">
        <f>IF(AI194="","",IF(VLOOKUP(AI194,'G-7 WaterC'' Data'!$AA$4:$AB$7,2,FALSE)=0,"Spatial Data Missing ⚠",VLOOKUP(AI194,'G-7 WaterC'' Data'!$AA$4:$AB$7,2,FALSE)))</f>
        <v/>
      </c>
      <c r="AK194" s="123"/>
      <c r="AL194" s="397" t="str">
        <f>IF(AK194="","",IF(VLOOKUP(AK194,'G-7 WaterC'' Data'!$AD$4:$AE$14,2,FALSE)=0,"Spatial Data Missing ⚠",VLOOKUP(AK194,'G-7 WaterC'' Data'!$AD$4:$AE$14,2,FALSE)))</f>
        <v/>
      </c>
      <c r="AM194" s="122"/>
      <c r="AN194" s="363" t="str">
        <f>IF(AM194="","",IF(VLOOKUP(AM194,'G-7 WaterC'' Data'!$AO$4:$BO$7,2,FALSE)=0,"Spatial Data Missing ⚠",VLOOKUP(AM194,'G-7 WaterC'' Data'!$AO$4:$BO$7,2,FALSE)))</f>
        <v/>
      </c>
      <c r="AO194" s="405" t="str">
        <f t="shared" si="25"/>
        <v/>
      </c>
      <c r="AP194" s="405" t="str">
        <f t="shared" si="26"/>
        <v/>
      </c>
      <c r="AQ194" s="117"/>
      <c r="AR194" s="118"/>
      <c r="AS194" s="120"/>
      <c r="AT194" s="120"/>
      <c r="AY194" s="30" t="str">
        <f>IFERROR(INDEX('G-7 WaterC'' Data'!$AZ$3:$AZ$7,MATCH(N194,'G-7 WaterC'' Data'!$AY$3:$AY$7,0)),"")</f>
        <v/>
      </c>
    </row>
    <row r="195" spans="2:51" ht="15">
      <c r="B195" s="392" t="str">
        <f>'F-1 Off-Site WaterC'' Baseline'!AR193</f>
        <v/>
      </c>
      <c r="C195" s="382" t="str">
        <f>IF(B195="","",VLOOKUP($B195,'F-1 Off-Site WaterC'' Baseline'!$C$9:$R$257,2,FALSE))</f>
        <v/>
      </c>
      <c r="D195" s="382" t="str">
        <f>IF(C195="","",VLOOKUP($B195,'F-1 Off-Site WaterC'' Baseline'!$C$9:$R$257,3,FALSE))</f>
        <v/>
      </c>
      <c r="E195" s="382" t="str">
        <f>IF(D195="","",VLOOKUP($B195,'F-1 Off-Site WaterC'' Baseline'!$C$9:$R$257,4,FALSE))</f>
        <v/>
      </c>
      <c r="F195" s="382" t="str">
        <f>IF(E195="","",VLOOKUP($B195,'F-1 Off-Site WaterC'' Baseline'!$C$9:$R$257,5,FALSE))</f>
        <v/>
      </c>
      <c r="G195" s="382" t="str">
        <f>IF(F195="","",VLOOKUP($B195,'F-1 Off-Site WaterC'' Baseline'!$C$9:$R$257,6,FALSE))</f>
        <v/>
      </c>
      <c r="H195" s="382" t="str">
        <f>IF(G195="","",VLOOKUP($B195,'F-1 Off-Site WaterC'' Baseline'!$C$9:$R$257,7,FALSE))</f>
        <v/>
      </c>
      <c r="I195" s="382" t="str">
        <f>IF(H195="","",VLOOKUP($B195,'F-1 Off-Site WaterC'' Baseline'!$C$9:$R$257,8,FALSE))</f>
        <v/>
      </c>
      <c r="J195" s="382" t="str">
        <f>IF(I195="","",VLOOKUP($B195,'F-1 Off-Site WaterC'' Baseline'!$C$9:$R$257,9,FALSE))</f>
        <v/>
      </c>
      <c r="K195" s="382" t="str">
        <f>IF(J195="","",VLOOKUP($B195,'F-1 Off-Site WaterC'' Baseline'!$C$9:$R$257,10,FALSE))</f>
        <v/>
      </c>
      <c r="L195" s="382" t="str">
        <f>IF(B195="","",VLOOKUP($B195,'F-1 Off-Site WaterC'' Baseline'!$C$9:$R$257,15,FALSE))</f>
        <v/>
      </c>
      <c r="M195" s="386" t="str">
        <f>IF(L195="","",VLOOKUP($B195,'F-1 Off-Site WaterC'' Baseline'!$C$9:$R$257,16,FALSE))</f>
        <v/>
      </c>
      <c r="N195" s="316" t="str">
        <f t="shared" si="21"/>
        <v/>
      </c>
      <c r="O195" s="362" t="str">
        <f t="shared" si="22"/>
        <v/>
      </c>
      <c r="P195" s="363" t="str">
        <f>IF(C195="","",IF(AND(LEFT(C195,55)&lt;&gt;LEFT(N195,55),O195="High - High"),"Error - Not like for like ▲",IF(H195&gt;U195,"Error - Can not reduce condition ▲",IF(AND(F195=S195,H195=U195,AJ195='F-1 Off-Site WaterC'' Baseline'!N193,'F-1 Off-Site WaterC'' Baseline'!P193=AL195),"Error - No enhancement ▲",IF(AND(C195&lt;&gt;N195,F195&lt;S195),"Lower Distinctiveness Habitat"&amp;" - "&amp;T195,G195&amp;" - "&amp;T195)))))</f>
        <v/>
      </c>
      <c r="Q195" s="368" t="str">
        <f>IF(N195="","",VLOOKUP(B195,'F-1 Off-Site WaterC'' Baseline'!$C$10:$AE$257,22,FALSE))</f>
        <v/>
      </c>
      <c r="R195" s="362" t="str">
        <f>IF(N195="","",VLOOKUP(N195,'G-7 WaterC'' Data'!$B$2:$G$8,2,FALSE))</f>
        <v/>
      </c>
      <c r="S195" s="363" t="str">
        <f>IFERROR(VLOOKUP(R195,'G-7 WaterC'' Data'!$C$4:$D$8,2,FALSE),"")</f>
        <v/>
      </c>
      <c r="T195" s="114"/>
      <c r="U195" s="363" t="str">
        <f>IFERROR(INDEX('G-7 WaterC'' Data'!$H$4:$L$8,MATCH(N195,'G-7 WaterC'' Data'!$B$4:$B$8,0),MATCH(T195,'G-7 WaterC'' Data'!$H$3:$L$3,0)),"")</f>
        <v/>
      </c>
      <c r="V195" s="122"/>
      <c r="W195" s="382" t="str">
        <f>IF(V195="","",IF(VLOOKUP(V195,'G-7 WaterC'' Data'!$AK$4:$AM$6,2,FALSE)=0,"Spatial Data Missing ⚠",VLOOKUP(V195,'G-7 WaterC'' Data'!$AK$4:$AM$6,2,FALSE)))</f>
        <v/>
      </c>
      <c r="X195" s="386" t="str">
        <f>IF(V195="","",IF(VLOOKUP(V195,'G-7 WaterC'' Data'!$AK$4:$AM$6,3,FALSE)=0,"Spatial Data Missing ⚠",VLOOKUP(V195,'G-7 WaterC'' Data'!$AK$4:$AM$6,3,FALSE)))</f>
        <v/>
      </c>
      <c r="Y195" s="398" t="str">
        <f>IFERROR(IF(OR(LEFT(P195,5)="Error",LEFT(O195,5)="Error"),"Check Data ⚠",IF(F195&lt;S195,'G-7 WaterC'' Data'!$R$3,INDEX('G-7 WaterC'' Data'!$U$5:$Y$9,MATCH(G195,'G-7 WaterC'' Data'!$T$5:$T$9,0),MATCH(T195,'G-7 WaterC'' Data'!$U$4:$Y$4,0)))),"")</f>
        <v/>
      </c>
      <c r="Z195" s="165"/>
      <c r="AA195" s="165"/>
      <c r="AB195" s="395" t="str">
        <f t="shared" si="18"/>
        <v/>
      </c>
      <c r="AC195" s="383" t="str">
        <f t="shared" si="23"/>
        <v/>
      </c>
      <c r="AD195" s="422" t="str">
        <f>IFERROR(IF(AC195="Check Data ⚠","Check Data ⚠",VLOOKUP(AC195,'G-4 Temporal multipliers'!$A$4:$C$37,3,FALSE)),"")</f>
        <v/>
      </c>
      <c r="AE195" s="398" t="str">
        <f>IF(N195="","",VLOOKUP(N195,'G-7 WaterC'' Data'!$B$4:$G$8,5,FALSE))</f>
        <v/>
      </c>
      <c r="AF195" s="382" t="str">
        <f t="shared" si="19"/>
        <v/>
      </c>
      <c r="AG195" s="382" t="str">
        <f t="shared" si="24"/>
        <v/>
      </c>
      <c r="AH195" s="386" t="str">
        <f t="shared" si="20"/>
        <v/>
      </c>
      <c r="AI195" s="122"/>
      <c r="AJ195" s="363" t="str">
        <f>IF(AI195="","",IF(VLOOKUP(AI195,'G-7 WaterC'' Data'!$AA$4:$AB$7,2,FALSE)=0,"Spatial Data Missing ⚠",VLOOKUP(AI195,'G-7 WaterC'' Data'!$AA$4:$AB$7,2,FALSE)))</f>
        <v/>
      </c>
      <c r="AK195" s="123"/>
      <c r="AL195" s="397" t="str">
        <f>IF(AK195="","",IF(VLOOKUP(AK195,'G-7 WaterC'' Data'!$AD$4:$AE$14,2,FALSE)=0,"Spatial Data Missing ⚠",VLOOKUP(AK195,'G-7 WaterC'' Data'!$AD$4:$AE$14,2,FALSE)))</f>
        <v/>
      </c>
      <c r="AM195" s="122"/>
      <c r="AN195" s="363" t="str">
        <f>IF(AM195="","",IF(VLOOKUP(AM195,'G-7 WaterC'' Data'!$AO$4:$BO$7,2,FALSE)=0,"Spatial Data Missing ⚠",VLOOKUP(AM195,'G-7 WaterC'' Data'!$AO$4:$BO$7,2,FALSE)))</f>
        <v/>
      </c>
      <c r="AO195" s="405" t="str">
        <f t="shared" si="25"/>
        <v/>
      </c>
      <c r="AP195" s="405" t="str">
        <f t="shared" si="26"/>
        <v/>
      </c>
      <c r="AQ195" s="117"/>
      <c r="AR195" s="118"/>
      <c r="AS195" s="120"/>
      <c r="AT195" s="120"/>
      <c r="AY195" s="30" t="str">
        <f>IFERROR(INDEX('G-7 WaterC'' Data'!$AZ$3:$AZ$7,MATCH(N195,'G-7 WaterC'' Data'!$AY$3:$AY$7,0)),"")</f>
        <v/>
      </c>
    </row>
    <row r="196" spans="2:51" ht="15">
      <c r="B196" s="392" t="str">
        <f>'F-1 Off-Site WaterC'' Baseline'!AR194</f>
        <v/>
      </c>
      <c r="C196" s="382" t="str">
        <f>IF(B196="","",VLOOKUP($B196,'F-1 Off-Site WaterC'' Baseline'!$C$9:$R$257,2,FALSE))</f>
        <v/>
      </c>
      <c r="D196" s="382" t="str">
        <f>IF(C196="","",VLOOKUP($B196,'F-1 Off-Site WaterC'' Baseline'!$C$9:$R$257,3,FALSE))</f>
        <v/>
      </c>
      <c r="E196" s="382" t="str">
        <f>IF(D196="","",VLOOKUP($B196,'F-1 Off-Site WaterC'' Baseline'!$C$9:$R$257,4,FALSE))</f>
        <v/>
      </c>
      <c r="F196" s="382" t="str">
        <f>IF(E196="","",VLOOKUP($B196,'F-1 Off-Site WaterC'' Baseline'!$C$9:$R$257,5,FALSE))</f>
        <v/>
      </c>
      <c r="G196" s="382" t="str">
        <f>IF(F196="","",VLOOKUP($B196,'F-1 Off-Site WaterC'' Baseline'!$C$9:$R$257,6,FALSE))</f>
        <v/>
      </c>
      <c r="H196" s="382" t="str">
        <f>IF(G196="","",VLOOKUP($B196,'F-1 Off-Site WaterC'' Baseline'!$C$9:$R$257,7,FALSE))</f>
        <v/>
      </c>
      <c r="I196" s="382" t="str">
        <f>IF(H196="","",VLOOKUP($B196,'F-1 Off-Site WaterC'' Baseline'!$C$9:$R$257,8,FALSE))</f>
        <v/>
      </c>
      <c r="J196" s="382" t="str">
        <f>IF(I196="","",VLOOKUP($B196,'F-1 Off-Site WaterC'' Baseline'!$C$9:$R$257,9,FALSE))</f>
        <v/>
      </c>
      <c r="K196" s="382" t="str">
        <f>IF(J196="","",VLOOKUP($B196,'F-1 Off-Site WaterC'' Baseline'!$C$9:$R$257,10,FALSE))</f>
        <v/>
      </c>
      <c r="L196" s="382" t="str">
        <f>IF(B196="","",VLOOKUP($B196,'F-1 Off-Site WaterC'' Baseline'!$C$9:$R$257,15,FALSE))</f>
        <v/>
      </c>
      <c r="M196" s="386" t="str">
        <f>IF(L196="","",VLOOKUP($B196,'F-1 Off-Site WaterC'' Baseline'!$C$9:$R$257,16,FALSE))</f>
        <v/>
      </c>
      <c r="N196" s="316" t="str">
        <f t="shared" si="21"/>
        <v/>
      </c>
      <c r="O196" s="362" t="str">
        <f t="shared" si="22"/>
        <v/>
      </c>
      <c r="P196" s="363" t="str">
        <f>IF(C196="","",IF(AND(LEFT(C196,55)&lt;&gt;LEFT(N196,55),O196="High - High"),"Error - Not like for like ▲",IF(H196&gt;U196,"Error - Can not reduce condition ▲",IF(AND(F196=S196,H196=U196,AJ196='F-1 Off-Site WaterC'' Baseline'!N194,'F-1 Off-Site WaterC'' Baseline'!P194=AL196),"Error - No enhancement ▲",IF(AND(C196&lt;&gt;N196,F196&lt;S196),"Lower Distinctiveness Habitat"&amp;" - "&amp;T196,G196&amp;" - "&amp;T196)))))</f>
        <v/>
      </c>
      <c r="Q196" s="368" t="str">
        <f>IF(N196="","",VLOOKUP(B196,'F-1 Off-Site WaterC'' Baseline'!$C$10:$AE$257,22,FALSE))</f>
        <v/>
      </c>
      <c r="R196" s="362" t="str">
        <f>IF(N196="","",VLOOKUP(N196,'G-7 WaterC'' Data'!$B$2:$G$8,2,FALSE))</f>
        <v/>
      </c>
      <c r="S196" s="363" t="str">
        <f>IFERROR(VLOOKUP(R196,'G-7 WaterC'' Data'!$C$4:$D$8,2,FALSE),"")</f>
        <v/>
      </c>
      <c r="T196" s="114"/>
      <c r="U196" s="363" t="str">
        <f>IFERROR(INDEX('G-7 WaterC'' Data'!$H$4:$L$8,MATCH(N196,'G-7 WaterC'' Data'!$B$4:$B$8,0),MATCH(T196,'G-7 WaterC'' Data'!$H$3:$L$3,0)),"")</f>
        <v/>
      </c>
      <c r="V196" s="122"/>
      <c r="W196" s="382" t="str">
        <f>IF(V196="","",IF(VLOOKUP(V196,'G-7 WaterC'' Data'!$AK$4:$AM$6,2,FALSE)=0,"Spatial Data Missing ⚠",VLOOKUP(V196,'G-7 WaterC'' Data'!$AK$4:$AM$6,2,FALSE)))</f>
        <v/>
      </c>
      <c r="X196" s="386" t="str">
        <f>IF(V196="","",IF(VLOOKUP(V196,'G-7 WaterC'' Data'!$AK$4:$AM$6,3,FALSE)=0,"Spatial Data Missing ⚠",VLOOKUP(V196,'G-7 WaterC'' Data'!$AK$4:$AM$6,3,FALSE)))</f>
        <v/>
      </c>
      <c r="Y196" s="398" t="str">
        <f>IFERROR(IF(OR(LEFT(P196,5)="Error",LEFT(O196,5)="Error"),"Check Data ⚠",IF(F196&lt;S196,'G-7 WaterC'' Data'!$R$3,INDEX('G-7 WaterC'' Data'!$U$5:$Y$9,MATCH(G196,'G-7 WaterC'' Data'!$T$5:$T$9,0),MATCH(T196,'G-7 WaterC'' Data'!$U$4:$Y$4,0)))),"")</f>
        <v/>
      </c>
      <c r="Z196" s="165"/>
      <c r="AA196" s="165"/>
      <c r="AB196" s="395" t="str">
        <f t="shared" si="18"/>
        <v/>
      </c>
      <c r="AC196" s="383" t="str">
        <f t="shared" si="23"/>
        <v/>
      </c>
      <c r="AD196" s="422" t="str">
        <f>IFERROR(IF(AC196="Check Data ⚠","Check Data ⚠",VLOOKUP(AC196,'G-4 Temporal multipliers'!$A$4:$C$37,3,FALSE)),"")</f>
        <v/>
      </c>
      <c r="AE196" s="398" t="str">
        <f>IF(N196="","",VLOOKUP(N196,'G-7 WaterC'' Data'!$B$4:$G$8,5,FALSE))</f>
        <v/>
      </c>
      <c r="AF196" s="382" t="str">
        <f t="shared" si="19"/>
        <v/>
      </c>
      <c r="AG196" s="382" t="str">
        <f t="shared" si="24"/>
        <v/>
      </c>
      <c r="AH196" s="386" t="str">
        <f t="shared" si="20"/>
        <v/>
      </c>
      <c r="AI196" s="122"/>
      <c r="AJ196" s="363" t="str">
        <f>IF(AI196="","",IF(VLOOKUP(AI196,'G-7 WaterC'' Data'!$AA$4:$AB$7,2,FALSE)=0,"Spatial Data Missing ⚠",VLOOKUP(AI196,'G-7 WaterC'' Data'!$AA$4:$AB$7,2,FALSE)))</f>
        <v/>
      </c>
      <c r="AK196" s="123"/>
      <c r="AL196" s="397" t="str">
        <f>IF(AK196="","",IF(VLOOKUP(AK196,'G-7 WaterC'' Data'!$AD$4:$AE$14,2,FALSE)=0,"Spatial Data Missing ⚠",VLOOKUP(AK196,'G-7 WaterC'' Data'!$AD$4:$AE$14,2,FALSE)))</f>
        <v/>
      </c>
      <c r="AM196" s="122"/>
      <c r="AN196" s="363" t="str">
        <f>IF(AM196="","",IF(VLOOKUP(AM196,'G-7 WaterC'' Data'!$AO$4:$BO$7,2,FALSE)=0,"Spatial Data Missing ⚠",VLOOKUP(AM196,'G-7 WaterC'' Data'!$AO$4:$BO$7,2,FALSE)))</f>
        <v/>
      </c>
      <c r="AO196" s="405" t="str">
        <f t="shared" si="25"/>
        <v/>
      </c>
      <c r="AP196" s="405" t="str">
        <f t="shared" si="26"/>
        <v/>
      </c>
      <c r="AQ196" s="117"/>
      <c r="AR196" s="118"/>
      <c r="AS196" s="120"/>
      <c r="AT196" s="120"/>
      <c r="AY196" s="30" t="str">
        <f>IFERROR(INDEX('G-7 WaterC'' Data'!$AZ$3:$AZ$7,MATCH(N196,'G-7 WaterC'' Data'!$AY$3:$AY$7,0)),"")</f>
        <v/>
      </c>
    </row>
    <row r="197" spans="2:51" ht="15">
      <c r="B197" s="392" t="str">
        <f>'F-1 Off-Site WaterC'' Baseline'!AR195</f>
        <v/>
      </c>
      <c r="C197" s="382" t="str">
        <f>IF(B197="","",VLOOKUP($B197,'F-1 Off-Site WaterC'' Baseline'!$C$9:$R$257,2,FALSE))</f>
        <v/>
      </c>
      <c r="D197" s="382" t="str">
        <f>IF(C197="","",VLOOKUP($B197,'F-1 Off-Site WaterC'' Baseline'!$C$9:$R$257,3,FALSE))</f>
        <v/>
      </c>
      <c r="E197" s="382" t="str">
        <f>IF(D197="","",VLOOKUP($B197,'F-1 Off-Site WaterC'' Baseline'!$C$9:$R$257,4,FALSE))</f>
        <v/>
      </c>
      <c r="F197" s="382" t="str">
        <f>IF(E197="","",VLOOKUP($B197,'F-1 Off-Site WaterC'' Baseline'!$C$9:$R$257,5,FALSE))</f>
        <v/>
      </c>
      <c r="G197" s="382" t="str">
        <f>IF(F197="","",VLOOKUP($B197,'F-1 Off-Site WaterC'' Baseline'!$C$9:$R$257,6,FALSE))</f>
        <v/>
      </c>
      <c r="H197" s="382" t="str">
        <f>IF(G197="","",VLOOKUP($B197,'F-1 Off-Site WaterC'' Baseline'!$C$9:$R$257,7,FALSE))</f>
        <v/>
      </c>
      <c r="I197" s="382" t="str">
        <f>IF(H197="","",VLOOKUP($B197,'F-1 Off-Site WaterC'' Baseline'!$C$9:$R$257,8,FALSE))</f>
        <v/>
      </c>
      <c r="J197" s="382" t="str">
        <f>IF(I197="","",VLOOKUP($B197,'F-1 Off-Site WaterC'' Baseline'!$C$9:$R$257,9,FALSE))</f>
        <v/>
      </c>
      <c r="K197" s="382" t="str">
        <f>IF(J197="","",VLOOKUP($B197,'F-1 Off-Site WaterC'' Baseline'!$C$9:$R$257,10,FALSE))</f>
        <v/>
      </c>
      <c r="L197" s="382" t="str">
        <f>IF(B197="","",VLOOKUP($B197,'F-1 Off-Site WaterC'' Baseline'!$C$9:$R$257,15,FALSE))</f>
        <v/>
      </c>
      <c r="M197" s="386" t="str">
        <f>IF(L197="","",VLOOKUP($B197,'F-1 Off-Site WaterC'' Baseline'!$C$9:$R$257,16,FALSE))</f>
        <v/>
      </c>
      <c r="N197" s="316" t="str">
        <f t="shared" si="21"/>
        <v/>
      </c>
      <c r="O197" s="362" t="str">
        <f t="shared" si="22"/>
        <v/>
      </c>
      <c r="P197" s="363" t="str">
        <f>IF(C197="","",IF(AND(LEFT(C197,55)&lt;&gt;LEFT(N197,55),O197="High - High"),"Error - Not like for like ▲",IF(H197&gt;U197,"Error - Can not reduce condition ▲",IF(AND(F197=S197,H197=U197,AJ197='F-1 Off-Site WaterC'' Baseline'!N195,'F-1 Off-Site WaterC'' Baseline'!P195=AL197),"Error - No enhancement ▲",IF(AND(C197&lt;&gt;N197,F197&lt;S197),"Lower Distinctiveness Habitat"&amp;" - "&amp;T197,G197&amp;" - "&amp;T197)))))</f>
        <v/>
      </c>
      <c r="Q197" s="368" t="str">
        <f>IF(N197="","",VLOOKUP(B197,'F-1 Off-Site WaterC'' Baseline'!$C$10:$AE$257,22,FALSE))</f>
        <v/>
      </c>
      <c r="R197" s="362" t="str">
        <f>IF(N197="","",VLOOKUP(N197,'G-7 WaterC'' Data'!$B$2:$G$8,2,FALSE))</f>
        <v/>
      </c>
      <c r="S197" s="363" t="str">
        <f>IFERROR(VLOOKUP(R197,'G-7 WaterC'' Data'!$C$4:$D$8,2,FALSE),"")</f>
        <v/>
      </c>
      <c r="T197" s="114"/>
      <c r="U197" s="363" t="str">
        <f>IFERROR(INDEX('G-7 WaterC'' Data'!$H$4:$L$8,MATCH(N197,'G-7 WaterC'' Data'!$B$4:$B$8,0),MATCH(T197,'G-7 WaterC'' Data'!$H$3:$L$3,0)),"")</f>
        <v/>
      </c>
      <c r="V197" s="122"/>
      <c r="W197" s="382" t="str">
        <f>IF(V197="","",IF(VLOOKUP(V197,'G-7 WaterC'' Data'!$AK$4:$AM$6,2,FALSE)=0,"Spatial Data Missing ⚠",VLOOKUP(V197,'G-7 WaterC'' Data'!$AK$4:$AM$6,2,FALSE)))</f>
        <v/>
      </c>
      <c r="X197" s="386" t="str">
        <f>IF(V197="","",IF(VLOOKUP(V197,'G-7 WaterC'' Data'!$AK$4:$AM$6,3,FALSE)=0,"Spatial Data Missing ⚠",VLOOKUP(V197,'G-7 WaterC'' Data'!$AK$4:$AM$6,3,FALSE)))</f>
        <v/>
      </c>
      <c r="Y197" s="398" t="str">
        <f>IFERROR(IF(OR(LEFT(P197,5)="Error",LEFT(O197,5)="Error"),"Check Data ⚠",IF(F197&lt;S197,'G-7 WaterC'' Data'!$R$3,INDEX('G-7 WaterC'' Data'!$U$5:$Y$9,MATCH(G197,'G-7 WaterC'' Data'!$T$5:$T$9,0),MATCH(T197,'G-7 WaterC'' Data'!$U$4:$Y$4,0)))),"")</f>
        <v/>
      </c>
      <c r="Z197" s="165"/>
      <c r="AA197" s="165"/>
      <c r="AB197" s="395" t="str">
        <f t="shared" si="18"/>
        <v/>
      </c>
      <c r="AC197" s="383" t="str">
        <f t="shared" si="23"/>
        <v/>
      </c>
      <c r="AD197" s="422" t="str">
        <f>IFERROR(IF(AC197="Check Data ⚠","Check Data ⚠",VLOOKUP(AC197,'G-4 Temporal multipliers'!$A$4:$C$37,3,FALSE)),"")</f>
        <v/>
      </c>
      <c r="AE197" s="398" t="str">
        <f>IF(N197="","",VLOOKUP(N197,'G-7 WaterC'' Data'!$B$4:$G$8,5,FALSE))</f>
        <v/>
      </c>
      <c r="AF197" s="382" t="str">
        <f t="shared" si="19"/>
        <v/>
      </c>
      <c r="AG197" s="382" t="str">
        <f t="shared" si="24"/>
        <v/>
      </c>
      <c r="AH197" s="386" t="str">
        <f t="shared" si="20"/>
        <v/>
      </c>
      <c r="AI197" s="122"/>
      <c r="AJ197" s="363" t="str">
        <f>IF(AI197="","",IF(VLOOKUP(AI197,'G-7 WaterC'' Data'!$AA$4:$AB$7,2,FALSE)=0,"Spatial Data Missing ⚠",VLOOKUP(AI197,'G-7 WaterC'' Data'!$AA$4:$AB$7,2,FALSE)))</f>
        <v/>
      </c>
      <c r="AK197" s="123"/>
      <c r="AL197" s="397" t="str">
        <f>IF(AK197="","",IF(VLOOKUP(AK197,'G-7 WaterC'' Data'!$AD$4:$AE$14,2,FALSE)=0,"Spatial Data Missing ⚠",VLOOKUP(AK197,'G-7 WaterC'' Data'!$AD$4:$AE$14,2,FALSE)))</f>
        <v/>
      </c>
      <c r="AM197" s="122"/>
      <c r="AN197" s="363" t="str">
        <f>IF(AM197="","",IF(VLOOKUP(AM197,'G-7 WaterC'' Data'!$AO$4:$BO$7,2,FALSE)=0,"Spatial Data Missing ⚠",VLOOKUP(AM197,'G-7 WaterC'' Data'!$AO$4:$BO$7,2,FALSE)))</f>
        <v/>
      </c>
      <c r="AO197" s="405" t="str">
        <f t="shared" si="25"/>
        <v/>
      </c>
      <c r="AP197" s="405" t="str">
        <f t="shared" si="26"/>
        <v/>
      </c>
      <c r="AQ197" s="117"/>
      <c r="AR197" s="118"/>
      <c r="AS197" s="120"/>
      <c r="AT197" s="120"/>
      <c r="AY197" s="30" t="str">
        <f>IFERROR(INDEX('G-7 WaterC'' Data'!$AZ$3:$AZ$7,MATCH(N197,'G-7 WaterC'' Data'!$AY$3:$AY$7,0)),"")</f>
        <v/>
      </c>
    </row>
    <row r="198" spans="2:51" ht="15">
      <c r="B198" s="392" t="str">
        <f>'F-1 Off-Site WaterC'' Baseline'!AR196</f>
        <v/>
      </c>
      <c r="C198" s="382" t="str">
        <f>IF(B198="","",VLOOKUP($B198,'F-1 Off-Site WaterC'' Baseline'!$C$9:$R$257,2,FALSE))</f>
        <v/>
      </c>
      <c r="D198" s="382" t="str">
        <f>IF(C198="","",VLOOKUP($B198,'F-1 Off-Site WaterC'' Baseline'!$C$9:$R$257,3,FALSE))</f>
        <v/>
      </c>
      <c r="E198" s="382" t="str">
        <f>IF(D198="","",VLOOKUP($B198,'F-1 Off-Site WaterC'' Baseline'!$C$9:$R$257,4,FALSE))</f>
        <v/>
      </c>
      <c r="F198" s="382" t="str">
        <f>IF(E198="","",VLOOKUP($B198,'F-1 Off-Site WaterC'' Baseline'!$C$9:$R$257,5,FALSE))</f>
        <v/>
      </c>
      <c r="G198" s="382" t="str">
        <f>IF(F198="","",VLOOKUP($B198,'F-1 Off-Site WaterC'' Baseline'!$C$9:$R$257,6,FALSE))</f>
        <v/>
      </c>
      <c r="H198" s="382" t="str">
        <f>IF(G198="","",VLOOKUP($B198,'F-1 Off-Site WaterC'' Baseline'!$C$9:$R$257,7,FALSE))</f>
        <v/>
      </c>
      <c r="I198" s="382" t="str">
        <f>IF(H198="","",VLOOKUP($B198,'F-1 Off-Site WaterC'' Baseline'!$C$9:$R$257,8,FALSE))</f>
        <v/>
      </c>
      <c r="J198" s="382" t="str">
        <f>IF(I198="","",VLOOKUP($B198,'F-1 Off-Site WaterC'' Baseline'!$C$9:$R$257,9,FALSE))</f>
        <v/>
      </c>
      <c r="K198" s="382" t="str">
        <f>IF(J198="","",VLOOKUP($B198,'F-1 Off-Site WaterC'' Baseline'!$C$9:$R$257,10,FALSE))</f>
        <v/>
      </c>
      <c r="L198" s="382" t="str">
        <f>IF(B198="","",VLOOKUP($B198,'F-1 Off-Site WaterC'' Baseline'!$C$9:$R$257,15,FALSE))</f>
        <v/>
      </c>
      <c r="M198" s="386" t="str">
        <f>IF(L198="","",VLOOKUP($B198,'F-1 Off-Site WaterC'' Baseline'!$C$9:$R$257,16,FALSE))</f>
        <v/>
      </c>
      <c r="N198" s="316" t="str">
        <f t="shared" si="21"/>
        <v/>
      </c>
      <c r="O198" s="362" t="str">
        <f t="shared" si="22"/>
        <v/>
      </c>
      <c r="P198" s="363" t="str">
        <f>IF(C198="","",IF(AND(LEFT(C198,55)&lt;&gt;LEFT(N198,55),O198="High - High"),"Error - Not like for like ▲",IF(H198&gt;U198,"Error - Can not reduce condition ▲",IF(AND(F198=S198,H198=U198,AJ198='F-1 Off-Site WaterC'' Baseline'!N196,'F-1 Off-Site WaterC'' Baseline'!P196=AL198),"Error - No enhancement ▲",IF(AND(C198&lt;&gt;N198,F198&lt;S198),"Lower Distinctiveness Habitat"&amp;" - "&amp;T198,G198&amp;" - "&amp;T198)))))</f>
        <v/>
      </c>
      <c r="Q198" s="368" t="str">
        <f>IF(N198="","",VLOOKUP(B198,'F-1 Off-Site WaterC'' Baseline'!$C$10:$AE$257,22,FALSE))</f>
        <v/>
      </c>
      <c r="R198" s="362" t="str">
        <f>IF(N198="","",VLOOKUP(N198,'G-7 WaterC'' Data'!$B$2:$G$8,2,FALSE))</f>
        <v/>
      </c>
      <c r="S198" s="363" t="str">
        <f>IFERROR(VLOOKUP(R198,'G-7 WaterC'' Data'!$C$4:$D$8,2,FALSE),"")</f>
        <v/>
      </c>
      <c r="T198" s="114"/>
      <c r="U198" s="363" t="str">
        <f>IFERROR(INDEX('G-7 WaterC'' Data'!$H$4:$L$8,MATCH(N198,'G-7 WaterC'' Data'!$B$4:$B$8,0),MATCH(T198,'G-7 WaterC'' Data'!$H$3:$L$3,0)),"")</f>
        <v/>
      </c>
      <c r="V198" s="122"/>
      <c r="W198" s="382" t="str">
        <f>IF(V198="","",IF(VLOOKUP(V198,'G-7 WaterC'' Data'!$AK$4:$AM$6,2,FALSE)=0,"Spatial Data Missing ⚠",VLOOKUP(V198,'G-7 WaterC'' Data'!$AK$4:$AM$6,2,FALSE)))</f>
        <v/>
      </c>
      <c r="X198" s="386" t="str">
        <f>IF(V198="","",IF(VLOOKUP(V198,'G-7 WaterC'' Data'!$AK$4:$AM$6,3,FALSE)=0,"Spatial Data Missing ⚠",VLOOKUP(V198,'G-7 WaterC'' Data'!$AK$4:$AM$6,3,FALSE)))</f>
        <v/>
      </c>
      <c r="Y198" s="398" t="str">
        <f>IFERROR(IF(OR(LEFT(P198,5)="Error",LEFT(O198,5)="Error"),"Check Data ⚠",IF(F198&lt;S198,'G-7 WaterC'' Data'!$R$3,INDEX('G-7 WaterC'' Data'!$U$5:$Y$9,MATCH(G198,'G-7 WaterC'' Data'!$T$5:$T$9,0),MATCH(T198,'G-7 WaterC'' Data'!$U$4:$Y$4,0)))),"")</f>
        <v/>
      </c>
      <c r="Z198" s="165"/>
      <c r="AA198" s="165"/>
      <c r="AB198" s="395" t="str">
        <f t="shared" si="18"/>
        <v/>
      </c>
      <c r="AC198" s="383" t="str">
        <f t="shared" si="23"/>
        <v/>
      </c>
      <c r="AD198" s="422" t="str">
        <f>IFERROR(IF(AC198="Check Data ⚠","Check Data ⚠",VLOOKUP(AC198,'G-4 Temporal multipliers'!$A$4:$C$37,3,FALSE)),"")</f>
        <v/>
      </c>
      <c r="AE198" s="398" t="str">
        <f>IF(N198="","",VLOOKUP(N198,'G-7 WaterC'' Data'!$B$4:$G$8,5,FALSE))</f>
        <v/>
      </c>
      <c r="AF198" s="382" t="str">
        <f t="shared" si="19"/>
        <v/>
      </c>
      <c r="AG198" s="382" t="str">
        <f t="shared" si="24"/>
        <v/>
      </c>
      <c r="AH198" s="386" t="str">
        <f t="shared" si="20"/>
        <v/>
      </c>
      <c r="AI198" s="122"/>
      <c r="AJ198" s="363" t="str">
        <f>IF(AI198="","",IF(VLOOKUP(AI198,'G-7 WaterC'' Data'!$AA$4:$AB$7,2,FALSE)=0,"Spatial Data Missing ⚠",VLOOKUP(AI198,'G-7 WaterC'' Data'!$AA$4:$AB$7,2,FALSE)))</f>
        <v/>
      </c>
      <c r="AK198" s="123"/>
      <c r="AL198" s="397" t="str">
        <f>IF(AK198="","",IF(VLOOKUP(AK198,'G-7 WaterC'' Data'!$AD$4:$AE$14,2,FALSE)=0,"Spatial Data Missing ⚠",VLOOKUP(AK198,'G-7 WaterC'' Data'!$AD$4:$AE$14,2,FALSE)))</f>
        <v/>
      </c>
      <c r="AM198" s="122"/>
      <c r="AN198" s="363" t="str">
        <f>IF(AM198="","",IF(VLOOKUP(AM198,'G-7 WaterC'' Data'!$AO$4:$BO$7,2,FALSE)=0,"Spatial Data Missing ⚠",VLOOKUP(AM198,'G-7 WaterC'' Data'!$AO$4:$BO$7,2,FALSE)))</f>
        <v/>
      </c>
      <c r="AO198" s="405" t="str">
        <f t="shared" si="25"/>
        <v/>
      </c>
      <c r="AP198" s="405" t="str">
        <f t="shared" si="26"/>
        <v/>
      </c>
      <c r="AQ198" s="117"/>
      <c r="AR198" s="118"/>
      <c r="AS198" s="120"/>
      <c r="AT198" s="120"/>
      <c r="AY198" s="30" t="str">
        <f>IFERROR(INDEX('G-7 WaterC'' Data'!$AZ$3:$AZ$7,MATCH(N198,'G-7 WaterC'' Data'!$AY$3:$AY$7,0)),"")</f>
        <v/>
      </c>
    </row>
    <row r="199" spans="2:51" ht="15">
      <c r="B199" s="392" t="str">
        <f>'F-1 Off-Site WaterC'' Baseline'!AR197</f>
        <v/>
      </c>
      <c r="C199" s="382" t="str">
        <f>IF(B199="","",VLOOKUP($B199,'F-1 Off-Site WaterC'' Baseline'!$C$9:$R$257,2,FALSE))</f>
        <v/>
      </c>
      <c r="D199" s="382" t="str">
        <f>IF(C199="","",VLOOKUP($B199,'F-1 Off-Site WaterC'' Baseline'!$C$9:$R$257,3,FALSE))</f>
        <v/>
      </c>
      <c r="E199" s="382" t="str">
        <f>IF(D199="","",VLOOKUP($B199,'F-1 Off-Site WaterC'' Baseline'!$C$9:$R$257,4,FALSE))</f>
        <v/>
      </c>
      <c r="F199" s="382" t="str">
        <f>IF(E199="","",VLOOKUP($B199,'F-1 Off-Site WaterC'' Baseline'!$C$9:$R$257,5,FALSE))</f>
        <v/>
      </c>
      <c r="G199" s="382" t="str">
        <f>IF(F199="","",VLOOKUP($B199,'F-1 Off-Site WaterC'' Baseline'!$C$9:$R$257,6,FALSE))</f>
        <v/>
      </c>
      <c r="H199" s="382" t="str">
        <f>IF(G199="","",VLOOKUP($B199,'F-1 Off-Site WaterC'' Baseline'!$C$9:$R$257,7,FALSE))</f>
        <v/>
      </c>
      <c r="I199" s="382" t="str">
        <f>IF(H199="","",VLOOKUP($B199,'F-1 Off-Site WaterC'' Baseline'!$C$9:$R$257,8,FALSE))</f>
        <v/>
      </c>
      <c r="J199" s="382" t="str">
        <f>IF(I199="","",VLOOKUP($B199,'F-1 Off-Site WaterC'' Baseline'!$C$9:$R$257,9,FALSE))</f>
        <v/>
      </c>
      <c r="K199" s="382" t="str">
        <f>IF(J199="","",VLOOKUP($B199,'F-1 Off-Site WaterC'' Baseline'!$C$9:$R$257,10,FALSE))</f>
        <v/>
      </c>
      <c r="L199" s="382" t="str">
        <f>IF(B199="","",VLOOKUP($B199,'F-1 Off-Site WaterC'' Baseline'!$C$9:$R$257,15,FALSE))</f>
        <v/>
      </c>
      <c r="M199" s="386" t="str">
        <f>IF(L199="","",VLOOKUP($B199,'F-1 Off-Site WaterC'' Baseline'!$C$9:$R$257,16,FALSE))</f>
        <v/>
      </c>
      <c r="N199" s="316" t="str">
        <f t="shared" si="21"/>
        <v/>
      </c>
      <c r="O199" s="362" t="str">
        <f t="shared" si="22"/>
        <v/>
      </c>
      <c r="P199" s="363" t="str">
        <f>IF(C199="","",IF(AND(LEFT(C199,55)&lt;&gt;LEFT(N199,55),O199="High - High"),"Error - Not like for like ▲",IF(H199&gt;U199,"Error - Can not reduce condition ▲",IF(AND(F199=S199,H199=U199,AJ199='F-1 Off-Site WaterC'' Baseline'!N197,'F-1 Off-Site WaterC'' Baseline'!P197=AL199),"Error - No enhancement ▲",IF(AND(C199&lt;&gt;N199,F199&lt;S199),"Lower Distinctiveness Habitat"&amp;" - "&amp;T199,G199&amp;" - "&amp;T199)))))</f>
        <v/>
      </c>
      <c r="Q199" s="368" t="str">
        <f>IF(N199="","",VLOOKUP(B199,'F-1 Off-Site WaterC'' Baseline'!$C$10:$AE$257,22,FALSE))</f>
        <v/>
      </c>
      <c r="R199" s="362" t="str">
        <f>IF(N199="","",VLOOKUP(N199,'G-7 WaterC'' Data'!$B$2:$G$8,2,FALSE))</f>
        <v/>
      </c>
      <c r="S199" s="363" t="str">
        <f>IFERROR(VLOOKUP(R199,'G-7 WaterC'' Data'!$C$4:$D$8,2,FALSE),"")</f>
        <v/>
      </c>
      <c r="T199" s="114"/>
      <c r="U199" s="363" t="str">
        <f>IFERROR(INDEX('G-7 WaterC'' Data'!$H$4:$L$8,MATCH(N199,'G-7 WaterC'' Data'!$B$4:$B$8,0),MATCH(T199,'G-7 WaterC'' Data'!$H$3:$L$3,0)),"")</f>
        <v/>
      </c>
      <c r="V199" s="122"/>
      <c r="W199" s="382" t="str">
        <f>IF(V199="","",IF(VLOOKUP(V199,'G-7 WaterC'' Data'!$AK$4:$AM$6,2,FALSE)=0,"Spatial Data Missing ⚠",VLOOKUP(V199,'G-7 WaterC'' Data'!$AK$4:$AM$6,2,FALSE)))</f>
        <v/>
      </c>
      <c r="X199" s="386" t="str">
        <f>IF(V199="","",IF(VLOOKUP(V199,'G-7 WaterC'' Data'!$AK$4:$AM$6,3,FALSE)=0,"Spatial Data Missing ⚠",VLOOKUP(V199,'G-7 WaterC'' Data'!$AK$4:$AM$6,3,FALSE)))</f>
        <v/>
      </c>
      <c r="Y199" s="398" t="str">
        <f>IFERROR(IF(OR(LEFT(P199,5)="Error",LEFT(O199,5)="Error"),"Check Data ⚠",IF(F199&lt;S199,'G-7 WaterC'' Data'!$R$3,INDEX('G-7 WaterC'' Data'!$U$5:$Y$9,MATCH(G199,'G-7 WaterC'' Data'!$T$5:$T$9,0),MATCH(T199,'G-7 WaterC'' Data'!$U$4:$Y$4,0)))),"")</f>
        <v/>
      </c>
      <c r="Z199" s="165"/>
      <c r="AA199" s="165"/>
      <c r="AB199" s="395" t="str">
        <f t="shared" si="18"/>
        <v/>
      </c>
      <c r="AC199" s="383" t="str">
        <f t="shared" si="23"/>
        <v/>
      </c>
      <c r="AD199" s="422" t="str">
        <f>IFERROR(IF(AC199="Check Data ⚠","Check Data ⚠",VLOOKUP(AC199,'G-4 Temporal multipliers'!$A$4:$C$37,3,FALSE)),"")</f>
        <v/>
      </c>
      <c r="AE199" s="398" t="str">
        <f>IF(N199="","",VLOOKUP(N199,'G-7 WaterC'' Data'!$B$4:$G$8,5,FALSE))</f>
        <v/>
      </c>
      <c r="AF199" s="382" t="str">
        <f t="shared" si="19"/>
        <v/>
      </c>
      <c r="AG199" s="382" t="str">
        <f t="shared" si="24"/>
        <v/>
      </c>
      <c r="AH199" s="386" t="str">
        <f t="shared" si="20"/>
        <v/>
      </c>
      <c r="AI199" s="122"/>
      <c r="AJ199" s="363" t="str">
        <f>IF(AI199="","",IF(VLOOKUP(AI199,'G-7 WaterC'' Data'!$AA$4:$AB$7,2,FALSE)=0,"Spatial Data Missing ⚠",VLOOKUP(AI199,'G-7 WaterC'' Data'!$AA$4:$AB$7,2,FALSE)))</f>
        <v/>
      </c>
      <c r="AK199" s="123"/>
      <c r="AL199" s="397" t="str">
        <f>IF(AK199="","",IF(VLOOKUP(AK199,'G-7 WaterC'' Data'!$AD$4:$AE$14,2,FALSE)=0,"Spatial Data Missing ⚠",VLOOKUP(AK199,'G-7 WaterC'' Data'!$AD$4:$AE$14,2,FALSE)))</f>
        <v/>
      </c>
      <c r="AM199" s="122"/>
      <c r="AN199" s="363" t="str">
        <f>IF(AM199="","",IF(VLOOKUP(AM199,'G-7 WaterC'' Data'!$AO$4:$BO$7,2,FALSE)=0,"Spatial Data Missing ⚠",VLOOKUP(AM199,'G-7 WaterC'' Data'!$AO$4:$BO$7,2,FALSE)))</f>
        <v/>
      </c>
      <c r="AO199" s="405" t="str">
        <f t="shared" si="25"/>
        <v/>
      </c>
      <c r="AP199" s="405" t="str">
        <f t="shared" si="26"/>
        <v/>
      </c>
      <c r="AQ199" s="117"/>
      <c r="AR199" s="118"/>
      <c r="AS199" s="120"/>
      <c r="AT199" s="120"/>
      <c r="AY199" s="30" t="str">
        <f>IFERROR(INDEX('G-7 WaterC'' Data'!$AZ$3:$AZ$7,MATCH(N199,'G-7 WaterC'' Data'!$AY$3:$AY$7,0)),"")</f>
        <v/>
      </c>
    </row>
    <row r="200" spans="2:51" ht="15">
      <c r="B200" s="392" t="str">
        <f>'F-1 Off-Site WaterC'' Baseline'!AR198</f>
        <v/>
      </c>
      <c r="C200" s="382" t="str">
        <f>IF(B200="","",VLOOKUP($B200,'F-1 Off-Site WaterC'' Baseline'!$C$9:$R$257,2,FALSE))</f>
        <v/>
      </c>
      <c r="D200" s="382" t="str">
        <f>IF(C200="","",VLOOKUP($B200,'F-1 Off-Site WaterC'' Baseline'!$C$9:$R$257,3,FALSE))</f>
        <v/>
      </c>
      <c r="E200" s="382" t="str">
        <f>IF(D200="","",VLOOKUP($B200,'F-1 Off-Site WaterC'' Baseline'!$C$9:$R$257,4,FALSE))</f>
        <v/>
      </c>
      <c r="F200" s="382" t="str">
        <f>IF(E200="","",VLOOKUP($B200,'F-1 Off-Site WaterC'' Baseline'!$C$9:$R$257,5,FALSE))</f>
        <v/>
      </c>
      <c r="G200" s="382" t="str">
        <f>IF(F200="","",VLOOKUP($B200,'F-1 Off-Site WaterC'' Baseline'!$C$9:$R$257,6,FALSE))</f>
        <v/>
      </c>
      <c r="H200" s="382" t="str">
        <f>IF(G200="","",VLOOKUP($B200,'F-1 Off-Site WaterC'' Baseline'!$C$9:$R$257,7,FALSE))</f>
        <v/>
      </c>
      <c r="I200" s="382" t="str">
        <f>IF(H200="","",VLOOKUP($B200,'F-1 Off-Site WaterC'' Baseline'!$C$9:$R$257,8,FALSE))</f>
        <v/>
      </c>
      <c r="J200" s="382" t="str">
        <f>IF(I200="","",VLOOKUP($B200,'F-1 Off-Site WaterC'' Baseline'!$C$9:$R$257,9,FALSE))</f>
        <v/>
      </c>
      <c r="K200" s="382" t="str">
        <f>IF(J200="","",VLOOKUP($B200,'F-1 Off-Site WaterC'' Baseline'!$C$9:$R$257,10,FALSE))</f>
        <v/>
      </c>
      <c r="L200" s="382" t="str">
        <f>IF(B200="","",VLOOKUP($B200,'F-1 Off-Site WaterC'' Baseline'!$C$9:$R$257,15,FALSE))</f>
        <v/>
      </c>
      <c r="M200" s="386" t="str">
        <f>IF(L200="","",VLOOKUP($B200,'F-1 Off-Site WaterC'' Baseline'!$C$9:$R$257,16,FALSE))</f>
        <v/>
      </c>
      <c r="N200" s="316" t="str">
        <f t="shared" si="21"/>
        <v/>
      </c>
      <c r="O200" s="362" t="str">
        <f t="shared" si="22"/>
        <v/>
      </c>
      <c r="P200" s="363" t="str">
        <f>IF(C200="","",IF(AND(LEFT(C200,55)&lt;&gt;LEFT(N200,55),O200="High - High"),"Error - Not like for like ▲",IF(H200&gt;U200,"Error - Can not reduce condition ▲",IF(AND(F200=S200,H200=U200,AJ200='F-1 Off-Site WaterC'' Baseline'!N198,'F-1 Off-Site WaterC'' Baseline'!P198=AL200),"Error - No enhancement ▲",IF(AND(C200&lt;&gt;N200,F200&lt;S200),"Lower Distinctiveness Habitat"&amp;" - "&amp;T200,G200&amp;" - "&amp;T200)))))</f>
        <v/>
      </c>
      <c r="Q200" s="368" t="str">
        <f>IF(N200="","",VLOOKUP(B200,'F-1 Off-Site WaterC'' Baseline'!$C$10:$AE$257,22,FALSE))</f>
        <v/>
      </c>
      <c r="R200" s="362" t="str">
        <f>IF(N200="","",VLOOKUP(N200,'G-7 WaterC'' Data'!$B$2:$G$8,2,FALSE))</f>
        <v/>
      </c>
      <c r="S200" s="363" t="str">
        <f>IFERROR(VLOOKUP(R200,'G-7 WaterC'' Data'!$C$4:$D$8,2,FALSE),"")</f>
        <v/>
      </c>
      <c r="T200" s="114"/>
      <c r="U200" s="363" t="str">
        <f>IFERROR(INDEX('G-7 WaterC'' Data'!$H$4:$L$8,MATCH(N200,'G-7 WaterC'' Data'!$B$4:$B$8,0),MATCH(T200,'G-7 WaterC'' Data'!$H$3:$L$3,0)),"")</f>
        <v/>
      </c>
      <c r="V200" s="122"/>
      <c r="W200" s="382" t="str">
        <f>IF(V200="","",IF(VLOOKUP(V200,'G-7 WaterC'' Data'!$AK$4:$AM$6,2,FALSE)=0,"Spatial Data Missing ⚠",VLOOKUP(V200,'G-7 WaterC'' Data'!$AK$4:$AM$6,2,FALSE)))</f>
        <v/>
      </c>
      <c r="X200" s="386" t="str">
        <f>IF(V200="","",IF(VLOOKUP(V200,'G-7 WaterC'' Data'!$AK$4:$AM$6,3,FALSE)=0,"Spatial Data Missing ⚠",VLOOKUP(V200,'G-7 WaterC'' Data'!$AK$4:$AM$6,3,FALSE)))</f>
        <v/>
      </c>
      <c r="Y200" s="398" t="str">
        <f>IFERROR(IF(OR(LEFT(P200,5)="Error",LEFT(O200,5)="Error"),"Check Data ⚠",IF(F200&lt;S200,'G-7 WaterC'' Data'!$R$3,INDEX('G-7 WaterC'' Data'!$U$5:$Y$9,MATCH(G200,'G-7 WaterC'' Data'!$T$5:$T$9,0),MATCH(T200,'G-7 WaterC'' Data'!$U$4:$Y$4,0)))),"")</f>
        <v/>
      </c>
      <c r="Z200" s="165"/>
      <c r="AA200" s="165"/>
      <c r="AB200" s="395" t="str">
        <f t="shared" si="18"/>
        <v/>
      </c>
      <c r="AC200" s="383" t="str">
        <f t="shared" si="23"/>
        <v/>
      </c>
      <c r="AD200" s="422" t="str">
        <f>IFERROR(IF(AC200="Check Data ⚠","Check Data ⚠",VLOOKUP(AC200,'G-4 Temporal multipliers'!$A$4:$C$37,3,FALSE)),"")</f>
        <v/>
      </c>
      <c r="AE200" s="398" t="str">
        <f>IF(N200="","",VLOOKUP(N200,'G-7 WaterC'' Data'!$B$4:$G$8,5,FALSE))</f>
        <v/>
      </c>
      <c r="AF200" s="382" t="str">
        <f t="shared" si="19"/>
        <v/>
      </c>
      <c r="AG200" s="382" t="str">
        <f t="shared" si="24"/>
        <v/>
      </c>
      <c r="AH200" s="386" t="str">
        <f t="shared" si="20"/>
        <v/>
      </c>
      <c r="AI200" s="122"/>
      <c r="AJ200" s="363" t="str">
        <f>IF(AI200="","",IF(VLOOKUP(AI200,'G-7 WaterC'' Data'!$AA$4:$AB$7,2,FALSE)=0,"Spatial Data Missing ⚠",VLOOKUP(AI200,'G-7 WaterC'' Data'!$AA$4:$AB$7,2,FALSE)))</f>
        <v/>
      </c>
      <c r="AK200" s="123"/>
      <c r="AL200" s="397" t="str">
        <f>IF(AK200="","",IF(VLOOKUP(AK200,'G-7 WaterC'' Data'!$AD$4:$AE$14,2,FALSE)=0,"Spatial Data Missing ⚠",VLOOKUP(AK200,'G-7 WaterC'' Data'!$AD$4:$AE$14,2,FALSE)))</f>
        <v/>
      </c>
      <c r="AM200" s="122"/>
      <c r="AN200" s="363" t="str">
        <f>IF(AM200="","",IF(VLOOKUP(AM200,'G-7 WaterC'' Data'!$AO$4:$BO$7,2,FALSE)=0,"Spatial Data Missing ⚠",VLOOKUP(AM200,'G-7 WaterC'' Data'!$AO$4:$BO$7,2,FALSE)))</f>
        <v/>
      </c>
      <c r="AO200" s="405" t="str">
        <f t="shared" si="25"/>
        <v/>
      </c>
      <c r="AP200" s="405" t="str">
        <f t="shared" si="26"/>
        <v/>
      </c>
      <c r="AQ200" s="117"/>
      <c r="AR200" s="118"/>
      <c r="AS200" s="120"/>
      <c r="AT200" s="120"/>
      <c r="AY200" s="30" t="str">
        <f>IFERROR(INDEX('G-7 WaterC'' Data'!$AZ$3:$AZ$7,MATCH(N200,'G-7 WaterC'' Data'!$AY$3:$AY$7,0)),"")</f>
        <v/>
      </c>
    </row>
    <row r="201" spans="2:51" ht="15">
      <c r="B201" s="392" t="str">
        <f>'F-1 Off-Site WaterC'' Baseline'!AR199</f>
        <v/>
      </c>
      <c r="C201" s="382" t="str">
        <f>IF(B201="","",VLOOKUP($B201,'F-1 Off-Site WaterC'' Baseline'!$C$9:$R$257,2,FALSE))</f>
        <v/>
      </c>
      <c r="D201" s="382" t="str">
        <f>IF(C201="","",VLOOKUP($B201,'F-1 Off-Site WaterC'' Baseline'!$C$9:$R$257,3,FALSE))</f>
        <v/>
      </c>
      <c r="E201" s="382" t="str">
        <f>IF(D201="","",VLOOKUP($B201,'F-1 Off-Site WaterC'' Baseline'!$C$9:$R$257,4,FALSE))</f>
        <v/>
      </c>
      <c r="F201" s="382" t="str">
        <f>IF(E201="","",VLOOKUP($B201,'F-1 Off-Site WaterC'' Baseline'!$C$9:$R$257,5,FALSE))</f>
        <v/>
      </c>
      <c r="G201" s="382" t="str">
        <f>IF(F201="","",VLOOKUP($B201,'F-1 Off-Site WaterC'' Baseline'!$C$9:$R$257,6,FALSE))</f>
        <v/>
      </c>
      <c r="H201" s="382" t="str">
        <f>IF(G201="","",VLOOKUP($B201,'F-1 Off-Site WaterC'' Baseline'!$C$9:$R$257,7,FALSE))</f>
        <v/>
      </c>
      <c r="I201" s="382" t="str">
        <f>IF(H201="","",VLOOKUP($B201,'F-1 Off-Site WaterC'' Baseline'!$C$9:$R$257,8,FALSE))</f>
        <v/>
      </c>
      <c r="J201" s="382" t="str">
        <f>IF(I201="","",VLOOKUP($B201,'F-1 Off-Site WaterC'' Baseline'!$C$9:$R$257,9,FALSE))</f>
        <v/>
      </c>
      <c r="K201" s="382" t="str">
        <f>IF(J201="","",VLOOKUP($B201,'F-1 Off-Site WaterC'' Baseline'!$C$9:$R$257,10,FALSE))</f>
        <v/>
      </c>
      <c r="L201" s="382" t="str">
        <f>IF(B201="","",VLOOKUP($B201,'F-1 Off-Site WaterC'' Baseline'!$C$9:$R$257,15,FALSE))</f>
        <v/>
      </c>
      <c r="M201" s="386" t="str">
        <f>IF(L201="","",VLOOKUP($B201,'F-1 Off-Site WaterC'' Baseline'!$C$9:$R$257,16,FALSE))</f>
        <v/>
      </c>
      <c r="N201" s="316" t="str">
        <f t="shared" si="21"/>
        <v/>
      </c>
      <c r="O201" s="362" t="str">
        <f t="shared" si="22"/>
        <v/>
      </c>
      <c r="P201" s="363" t="str">
        <f>IF(C201="","",IF(AND(LEFT(C201,55)&lt;&gt;LEFT(N201,55),O201="High - High"),"Error - Not like for like ▲",IF(H201&gt;U201,"Error - Can not reduce condition ▲",IF(AND(F201=S201,H201=U201,AJ201='F-1 Off-Site WaterC'' Baseline'!N199,'F-1 Off-Site WaterC'' Baseline'!P199=AL201),"Error - No enhancement ▲",IF(AND(C201&lt;&gt;N201,F201&lt;S201),"Lower Distinctiveness Habitat"&amp;" - "&amp;T201,G201&amp;" - "&amp;T201)))))</f>
        <v/>
      </c>
      <c r="Q201" s="368" t="str">
        <f>IF(N201="","",VLOOKUP(B201,'F-1 Off-Site WaterC'' Baseline'!$C$10:$AE$257,22,FALSE))</f>
        <v/>
      </c>
      <c r="R201" s="362" t="str">
        <f>IF(N201="","",VLOOKUP(N201,'G-7 WaterC'' Data'!$B$2:$G$8,2,FALSE))</f>
        <v/>
      </c>
      <c r="S201" s="363" t="str">
        <f>IFERROR(VLOOKUP(R201,'G-7 WaterC'' Data'!$C$4:$D$8,2,FALSE),"")</f>
        <v/>
      </c>
      <c r="T201" s="114"/>
      <c r="U201" s="363" t="str">
        <f>IFERROR(INDEX('G-7 WaterC'' Data'!$H$4:$L$8,MATCH(N201,'G-7 WaterC'' Data'!$B$4:$B$8,0),MATCH(T201,'G-7 WaterC'' Data'!$H$3:$L$3,0)),"")</f>
        <v/>
      </c>
      <c r="V201" s="122"/>
      <c r="W201" s="382" t="str">
        <f>IF(V201="","",IF(VLOOKUP(V201,'G-7 WaterC'' Data'!$AK$4:$AM$6,2,FALSE)=0,"Spatial Data Missing ⚠",VLOOKUP(V201,'G-7 WaterC'' Data'!$AK$4:$AM$6,2,FALSE)))</f>
        <v/>
      </c>
      <c r="X201" s="386" t="str">
        <f>IF(V201="","",IF(VLOOKUP(V201,'G-7 WaterC'' Data'!$AK$4:$AM$6,3,FALSE)=0,"Spatial Data Missing ⚠",VLOOKUP(V201,'G-7 WaterC'' Data'!$AK$4:$AM$6,3,FALSE)))</f>
        <v/>
      </c>
      <c r="Y201" s="398" t="str">
        <f>IFERROR(IF(OR(LEFT(P201,5)="Error",LEFT(O201,5)="Error"),"Check Data ⚠",IF(F201&lt;S201,'G-7 WaterC'' Data'!$R$3,INDEX('G-7 WaterC'' Data'!$U$5:$Y$9,MATCH(G201,'G-7 WaterC'' Data'!$T$5:$T$9,0),MATCH(T201,'G-7 WaterC'' Data'!$U$4:$Y$4,0)))),"")</f>
        <v/>
      </c>
      <c r="Z201" s="165"/>
      <c r="AA201" s="165"/>
      <c r="AB201" s="395" t="str">
        <f t="shared" si="18"/>
        <v/>
      </c>
      <c r="AC201" s="383" t="str">
        <f t="shared" si="23"/>
        <v/>
      </c>
      <c r="AD201" s="422" t="str">
        <f>IFERROR(IF(AC201="Check Data ⚠","Check Data ⚠",VLOOKUP(AC201,'G-4 Temporal multipliers'!$A$4:$C$37,3,FALSE)),"")</f>
        <v/>
      </c>
      <c r="AE201" s="398" t="str">
        <f>IF(N201="","",VLOOKUP(N201,'G-7 WaterC'' Data'!$B$4:$G$8,5,FALSE))</f>
        <v/>
      </c>
      <c r="AF201" s="382" t="str">
        <f t="shared" si="19"/>
        <v/>
      </c>
      <c r="AG201" s="382" t="str">
        <f t="shared" si="24"/>
        <v/>
      </c>
      <c r="AH201" s="386" t="str">
        <f t="shared" si="20"/>
        <v/>
      </c>
      <c r="AI201" s="122"/>
      <c r="AJ201" s="363" t="str">
        <f>IF(AI201="","",IF(VLOOKUP(AI201,'G-7 WaterC'' Data'!$AA$4:$AB$7,2,FALSE)=0,"Spatial Data Missing ⚠",VLOOKUP(AI201,'G-7 WaterC'' Data'!$AA$4:$AB$7,2,FALSE)))</f>
        <v/>
      </c>
      <c r="AK201" s="123"/>
      <c r="AL201" s="397" t="str">
        <f>IF(AK201="","",IF(VLOOKUP(AK201,'G-7 WaterC'' Data'!$AD$4:$AE$14,2,FALSE)=0,"Spatial Data Missing ⚠",VLOOKUP(AK201,'G-7 WaterC'' Data'!$AD$4:$AE$14,2,FALSE)))</f>
        <v/>
      </c>
      <c r="AM201" s="122"/>
      <c r="AN201" s="363" t="str">
        <f>IF(AM201="","",IF(VLOOKUP(AM201,'G-7 WaterC'' Data'!$AO$4:$BO$7,2,FALSE)=0,"Spatial Data Missing ⚠",VLOOKUP(AM201,'G-7 WaterC'' Data'!$AO$4:$BO$7,2,FALSE)))</f>
        <v/>
      </c>
      <c r="AO201" s="405" t="str">
        <f t="shared" si="25"/>
        <v/>
      </c>
      <c r="AP201" s="405" t="str">
        <f t="shared" si="26"/>
        <v/>
      </c>
      <c r="AQ201" s="117"/>
      <c r="AR201" s="118"/>
      <c r="AS201" s="120"/>
      <c r="AT201" s="120"/>
      <c r="AY201" s="30" t="str">
        <f>IFERROR(INDEX('G-7 WaterC'' Data'!$AZ$3:$AZ$7,MATCH(N201,'G-7 WaterC'' Data'!$AY$3:$AY$7,0)),"")</f>
        <v/>
      </c>
    </row>
    <row r="202" spans="2:51" ht="15">
      <c r="B202" s="392" t="str">
        <f>'F-1 Off-Site WaterC'' Baseline'!AR200</f>
        <v/>
      </c>
      <c r="C202" s="382" t="str">
        <f>IF(B202="","",VLOOKUP($B202,'F-1 Off-Site WaterC'' Baseline'!$C$9:$R$257,2,FALSE))</f>
        <v/>
      </c>
      <c r="D202" s="382" t="str">
        <f>IF(C202="","",VLOOKUP($B202,'F-1 Off-Site WaterC'' Baseline'!$C$9:$R$257,3,FALSE))</f>
        <v/>
      </c>
      <c r="E202" s="382" t="str">
        <f>IF(D202="","",VLOOKUP($B202,'F-1 Off-Site WaterC'' Baseline'!$C$9:$R$257,4,FALSE))</f>
        <v/>
      </c>
      <c r="F202" s="382" t="str">
        <f>IF(E202="","",VLOOKUP($B202,'F-1 Off-Site WaterC'' Baseline'!$C$9:$R$257,5,FALSE))</f>
        <v/>
      </c>
      <c r="G202" s="382" t="str">
        <f>IF(F202="","",VLOOKUP($B202,'F-1 Off-Site WaterC'' Baseline'!$C$9:$R$257,6,FALSE))</f>
        <v/>
      </c>
      <c r="H202" s="382" t="str">
        <f>IF(G202="","",VLOOKUP($B202,'F-1 Off-Site WaterC'' Baseline'!$C$9:$R$257,7,FALSE))</f>
        <v/>
      </c>
      <c r="I202" s="382" t="str">
        <f>IF(H202="","",VLOOKUP($B202,'F-1 Off-Site WaterC'' Baseline'!$C$9:$R$257,8,FALSE))</f>
        <v/>
      </c>
      <c r="J202" s="382" t="str">
        <f>IF(I202="","",VLOOKUP($B202,'F-1 Off-Site WaterC'' Baseline'!$C$9:$R$257,9,FALSE))</f>
        <v/>
      </c>
      <c r="K202" s="382" t="str">
        <f>IF(J202="","",VLOOKUP($B202,'F-1 Off-Site WaterC'' Baseline'!$C$9:$R$257,10,FALSE))</f>
        <v/>
      </c>
      <c r="L202" s="382" t="str">
        <f>IF(B202="","",VLOOKUP($B202,'F-1 Off-Site WaterC'' Baseline'!$C$9:$R$257,15,FALSE))</f>
        <v/>
      </c>
      <c r="M202" s="386" t="str">
        <f>IF(L202="","",VLOOKUP($B202,'F-1 Off-Site WaterC'' Baseline'!$C$9:$R$257,16,FALSE))</f>
        <v/>
      </c>
      <c r="N202" s="316" t="str">
        <f t="shared" si="21"/>
        <v/>
      </c>
      <c r="O202" s="362" t="str">
        <f t="shared" si="22"/>
        <v/>
      </c>
      <c r="P202" s="363" t="str">
        <f>IF(C202="","",IF(AND(LEFT(C202,55)&lt;&gt;LEFT(N202,55),O202="High - High"),"Error - Not like for like ▲",IF(H202&gt;U202,"Error - Can not reduce condition ▲",IF(AND(F202=S202,H202=U202,AJ202='F-1 Off-Site WaterC'' Baseline'!N200,'F-1 Off-Site WaterC'' Baseline'!P200=AL202),"Error - No enhancement ▲",IF(AND(C202&lt;&gt;N202,F202&lt;S202),"Lower Distinctiveness Habitat"&amp;" - "&amp;T202,G202&amp;" - "&amp;T202)))))</f>
        <v/>
      </c>
      <c r="Q202" s="368" t="str">
        <f>IF(N202="","",VLOOKUP(B202,'F-1 Off-Site WaterC'' Baseline'!$C$10:$AE$257,22,FALSE))</f>
        <v/>
      </c>
      <c r="R202" s="362" t="str">
        <f>IF(N202="","",VLOOKUP(N202,'G-7 WaterC'' Data'!$B$2:$G$8,2,FALSE))</f>
        <v/>
      </c>
      <c r="S202" s="363" t="str">
        <f>IFERROR(VLOOKUP(R202,'G-7 WaterC'' Data'!$C$4:$D$8,2,FALSE),"")</f>
        <v/>
      </c>
      <c r="T202" s="114"/>
      <c r="U202" s="363" t="str">
        <f>IFERROR(INDEX('G-7 WaterC'' Data'!$H$4:$L$8,MATCH(N202,'G-7 WaterC'' Data'!$B$4:$B$8,0),MATCH(T202,'G-7 WaterC'' Data'!$H$3:$L$3,0)),"")</f>
        <v/>
      </c>
      <c r="V202" s="122"/>
      <c r="W202" s="382" t="str">
        <f>IF(V202="","",IF(VLOOKUP(V202,'G-7 WaterC'' Data'!$AK$4:$AM$6,2,FALSE)=0,"Spatial Data Missing ⚠",VLOOKUP(V202,'G-7 WaterC'' Data'!$AK$4:$AM$6,2,FALSE)))</f>
        <v/>
      </c>
      <c r="X202" s="386" t="str">
        <f>IF(V202="","",IF(VLOOKUP(V202,'G-7 WaterC'' Data'!$AK$4:$AM$6,3,FALSE)=0,"Spatial Data Missing ⚠",VLOOKUP(V202,'G-7 WaterC'' Data'!$AK$4:$AM$6,3,FALSE)))</f>
        <v/>
      </c>
      <c r="Y202" s="398" t="str">
        <f>IFERROR(IF(OR(LEFT(P202,5)="Error",LEFT(O202,5)="Error"),"Check Data ⚠",IF(F202&lt;S202,'G-7 WaterC'' Data'!$R$3,INDEX('G-7 WaterC'' Data'!$U$5:$Y$9,MATCH(G202,'G-7 WaterC'' Data'!$T$5:$T$9,0),MATCH(T202,'G-7 WaterC'' Data'!$U$4:$Y$4,0)))),"")</f>
        <v/>
      </c>
      <c r="Z202" s="165"/>
      <c r="AA202" s="165"/>
      <c r="AB202" s="395" t="str">
        <f t="shared" si="18"/>
        <v/>
      </c>
      <c r="AC202" s="383" t="str">
        <f t="shared" si="23"/>
        <v/>
      </c>
      <c r="AD202" s="422" t="str">
        <f>IFERROR(IF(AC202="Check Data ⚠","Check Data ⚠",VLOOKUP(AC202,'G-4 Temporal multipliers'!$A$4:$C$37,3,FALSE)),"")</f>
        <v/>
      </c>
      <c r="AE202" s="398" t="str">
        <f>IF(N202="","",VLOOKUP(N202,'G-7 WaterC'' Data'!$B$4:$G$8,5,FALSE))</f>
        <v/>
      </c>
      <c r="AF202" s="382" t="str">
        <f t="shared" si="19"/>
        <v/>
      </c>
      <c r="AG202" s="382" t="str">
        <f t="shared" si="24"/>
        <v/>
      </c>
      <c r="AH202" s="386" t="str">
        <f t="shared" si="20"/>
        <v/>
      </c>
      <c r="AI202" s="122"/>
      <c r="AJ202" s="363" t="str">
        <f>IF(AI202="","",IF(VLOOKUP(AI202,'G-7 WaterC'' Data'!$AA$4:$AB$7,2,FALSE)=0,"Spatial Data Missing ⚠",VLOOKUP(AI202,'G-7 WaterC'' Data'!$AA$4:$AB$7,2,FALSE)))</f>
        <v/>
      </c>
      <c r="AK202" s="123"/>
      <c r="AL202" s="397" t="str">
        <f>IF(AK202="","",IF(VLOOKUP(AK202,'G-7 WaterC'' Data'!$AD$4:$AE$14,2,FALSE)=0,"Spatial Data Missing ⚠",VLOOKUP(AK202,'G-7 WaterC'' Data'!$AD$4:$AE$14,2,FALSE)))</f>
        <v/>
      </c>
      <c r="AM202" s="122"/>
      <c r="AN202" s="363" t="str">
        <f>IF(AM202="","",IF(VLOOKUP(AM202,'G-7 WaterC'' Data'!$AO$4:$BO$7,2,FALSE)=0,"Spatial Data Missing ⚠",VLOOKUP(AM202,'G-7 WaterC'' Data'!$AO$4:$BO$7,2,FALSE)))</f>
        <v/>
      </c>
      <c r="AO202" s="405" t="str">
        <f t="shared" si="25"/>
        <v/>
      </c>
      <c r="AP202" s="405" t="str">
        <f t="shared" si="26"/>
        <v/>
      </c>
      <c r="AQ202" s="117"/>
      <c r="AR202" s="118"/>
      <c r="AS202" s="120"/>
      <c r="AT202" s="120"/>
      <c r="AY202" s="30" t="str">
        <f>IFERROR(INDEX('G-7 WaterC'' Data'!$AZ$3:$AZ$7,MATCH(N202,'G-7 WaterC'' Data'!$AY$3:$AY$7,0)),"")</f>
        <v/>
      </c>
    </row>
    <row r="203" spans="2:51" ht="15">
      <c r="B203" s="392" t="str">
        <f>'F-1 Off-Site WaterC'' Baseline'!AR201</f>
        <v/>
      </c>
      <c r="C203" s="382" t="str">
        <f>IF(B203="","",VLOOKUP($B203,'F-1 Off-Site WaterC'' Baseline'!$C$9:$R$257,2,FALSE))</f>
        <v/>
      </c>
      <c r="D203" s="382" t="str">
        <f>IF(C203="","",VLOOKUP($B203,'F-1 Off-Site WaterC'' Baseline'!$C$9:$R$257,3,FALSE))</f>
        <v/>
      </c>
      <c r="E203" s="382" t="str">
        <f>IF(D203="","",VLOOKUP($B203,'F-1 Off-Site WaterC'' Baseline'!$C$9:$R$257,4,FALSE))</f>
        <v/>
      </c>
      <c r="F203" s="382" t="str">
        <f>IF(E203="","",VLOOKUP($B203,'F-1 Off-Site WaterC'' Baseline'!$C$9:$R$257,5,FALSE))</f>
        <v/>
      </c>
      <c r="G203" s="382" t="str">
        <f>IF(F203="","",VLOOKUP($B203,'F-1 Off-Site WaterC'' Baseline'!$C$9:$R$257,6,FALSE))</f>
        <v/>
      </c>
      <c r="H203" s="382" t="str">
        <f>IF(G203="","",VLOOKUP($B203,'F-1 Off-Site WaterC'' Baseline'!$C$9:$R$257,7,FALSE))</f>
        <v/>
      </c>
      <c r="I203" s="382" t="str">
        <f>IF(H203="","",VLOOKUP($B203,'F-1 Off-Site WaterC'' Baseline'!$C$9:$R$257,8,FALSE))</f>
        <v/>
      </c>
      <c r="J203" s="382" t="str">
        <f>IF(I203="","",VLOOKUP($B203,'F-1 Off-Site WaterC'' Baseline'!$C$9:$R$257,9,FALSE))</f>
        <v/>
      </c>
      <c r="K203" s="382" t="str">
        <f>IF(J203="","",VLOOKUP($B203,'F-1 Off-Site WaterC'' Baseline'!$C$9:$R$257,10,FALSE))</f>
        <v/>
      </c>
      <c r="L203" s="382" t="str">
        <f>IF(B203="","",VLOOKUP($B203,'F-1 Off-Site WaterC'' Baseline'!$C$9:$R$257,15,FALSE))</f>
        <v/>
      </c>
      <c r="M203" s="386" t="str">
        <f>IF(L203="","",VLOOKUP($B203,'F-1 Off-Site WaterC'' Baseline'!$C$9:$R$257,16,FALSE))</f>
        <v/>
      </c>
      <c r="N203" s="316" t="str">
        <f t="shared" si="21"/>
        <v/>
      </c>
      <c r="O203" s="362" t="str">
        <f t="shared" si="22"/>
        <v/>
      </c>
      <c r="P203" s="363" t="str">
        <f>IF(C203="","",IF(AND(LEFT(C203,55)&lt;&gt;LEFT(N203,55),O203="High - High"),"Error - Not like for like ▲",IF(H203&gt;U203,"Error - Can not reduce condition ▲",IF(AND(F203=S203,H203=U203,AJ203='F-1 Off-Site WaterC'' Baseline'!N201,'F-1 Off-Site WaterC'' Baseline'!P201=AL203),"Error - No enhancement ▲",IF(AND(C203&lt;&gt;N203,F203&lt;S203),"Lower Distinctiveness Habitat"&amp;" - "&amp;T203,G203&amp;" - "&amp;T203)))))</f>
        <v/>
      </c>
      <c r="Q203" s="368" t="str">
        <f>IF(N203="","",VLOOKUP(B203,'F-1 Off-Site WaterC'' Baseline'!$C$10:$AE$257,22,FALSE))</f>
        <v/>
      </c>
      <c r="R203" s="362" t="str">
        <f>IF(N203="","",VLOOKUP(N203,'G-7 WaterC'' Data'!$B$2:$G$8,2,FALSE))</f>
        <v/>
      </c>
      <c r="S203" s="363" t="str">
        <f>IFERROR(VLOOKUP(R203,'G-7 WaterC'' Data'!$C$4:$D$8,2,FALSE),"")</f>
        <v/>
      </c>
      <c r="T203" s="114"/>
      <c r="U203" s="363" t="str">
        <f>IFERROR(INDEX('G-7 WaterC'' Data'!$H$4:$L$8,MATCH(N203,'G-7 WaterC'' Data'!$B$4:$B$8,0),MATCH(T203,'G-7 WaterC'' Data'!$H$3:$L$3,0)),"")</f>
        <v/>
      </c>
      <c r="V203" s="122"/>
      <c r="W203" s="382" t="str">
        <f>IF(V203="","",IF(VLOOKUP(V203,'G-7 WaterC'' Data'!$AK$4:$AM$6,2,FALSE)=0,"Spatial Data Missing ⚠",VLOOKUP(V203,'G-7 WaterC'' Data'!$AK$4:$AM$6,2,FALSE)))</f>
        <v/>
      </c>
      <c r="X203" s="386" t="str">
        <f>IF(V203="","",IF(VLOOKUP(V203,'G-7 WaterC'' Data'!$AK$4:$AM$6,3,FALSE)=0,"Spatial Data Missing ⚠",VLOOKUP(V203,'G-7 WaterC'' Data'!$AK$4:$AM$6,3,FALSE)))</f>
        <v/>
      </c>
      <c r="Y203" s="398" t="str">
        <f>IFERROR(IF(OR(LEFT(P203,5)="Error",LEFT(O203,5)="Error"),"Check Data ⚠",IF(F203&lt;S203,'G-7 WaterC'' Data'!$R$3,INDEX('G-7 WaterC'' Data'!$U$5:$Y$9,MATCH(G203,'G-7 WaterC'' Data'!$T$5:$T$9,0),MATCH(T203,'G-7 WaterC'' Data'!$U$4:$Y$4,0)))),"")</f>
        <v/>
      </c>
      <c r="Z203" s="165"/>
      <c r="AA203" s="165"/>
      <c r="AB203" s="395" t="str">
        <f t="shared" si="18"/>
        <v/>
      </c>
      <c r="AC203" s="383" t="str">
        <f t="shared" si="23"/>
        <v/>
      </c>
      <c r="AD203" s="422" t="str">
        <f>IFERROR(IF(AC203="Check Data ⚠","Check Data ⚠",VLOOKUP(AC203,'G-4 Temporal multipliers'!$A$4:$C$37,3,FALSE)),"")</f>
        <v/>
      </c>
      <c r="AE203" s="398" t="str">
        <f>IF(N203="","",VLOOKUP(N203,'G-7 WaterC'' Data'!$B$4:$G$8,5,FALSE))</f>
        <v/>
      </c>
      <c r="AF203" s="382" t="str">
        <f t="shared" si="19"/>
        <v/>
      </c>
      <c r="AG203" s="382" t="str">
        <f t="shared" si="24"/>
        <v/>
      </c>
      <c r="AH203" s="386" t="str">
        <f t="shared" si="20"/>
        <v/>
      </c>
      <c r="AI203" s="122"/>
      <c r="AJ203" s="363" t="str">
        <f>IF(AI203="","",IF(VLOOKUP(AI203,'G-7 WaterC'' Data'!$AA$4:$AB$7,2,FALSE)=0,"Spatial Data Missing ⚠",VLOOKUP(AI203,'G-7 WaterC'' Data'!$AA$4:$AB$7,2,FALSE)))</f>
        <v/>
      </c>
      <c r="AK203" s="123"/>
      <c r="AL203" s="397" t="str">
        <f>IF(AK203="","",IF(VLOOKUP(AK203,'G-7 WaterC'' Data'!$AD$4:$AE$14,2,FALSE)=0,"Spatial Data Missing ⚠",VLOOKUP(AK203,'G-7 WaterC'' Data'!$AD$4:$AE$14,2,FALSE)))</f>
        <v/>
      </c>
      <c r="AM203" s="122"/>
      <c r="AN203" s="363" t="str">
        <f>IF(AM203="","",IF(VLOOKUP(AM203,'G-7 WaterC'' Data'!$AO$4:$BO$7,2,FALSE)=0,"Spatial Data Missing ⚠",VLOOKUP(AM203,'G-7 WaterC'' Data'!$AO$4:$BO$7,2,FALSE)))</f>
        <v/>
      </c>
      <c r="AO203" s="405" t="str">
        <f t="shared" si="25"/>
        <v/>
      </c>
      <c r="AP203" s="405" t="str">
        <f t="shared" si="26"/>
        <v/>
      </c>
      <c r="AQ203" s="117"/>
      <c r="AR203" s="118"/>
      <c r="AS203" s="120"/>
      <c r="AT203" s="120"/>
      <c r="AY203" s="30" t="str">
        <f>IFERROR(INDEX('G-7 WaterC'' Data'!$AZ$3:$AZ$7,MATCH(N203,'G-7 WaterC'' Data'!$AY$3:$AY$7,0)),"")</f>
        <v/>
      </c>
    </row>
    <row r="204" spans="2:51" ht="15">
      <c r="B204" s="392" t="str">
        <f>'F-1 Off-Site WaterC'' Baseline'!AR202</f>
        <v/>
      </c>
      <c r="C204" s="382" t="str">
        <f>IF(B204="","",VLOOKUP($B204,'F-1 Off-Site WaterC'' Baseline'!$C$9:$R$257,2,FALSE))</f>
        <v/>
      </c>
      <c r="D204" s="382" t="str">
        <f>IF(C204="","",VLOOKUP($B204,'F-1 Off-Site WaterC'' Baseline'!$C$9:$R$257,3,FALSE))</f>
        <v/>
      </c>
      <c r="E204" s="382" t="str">
        <f>IF(D204="","",VLOOKUP($B204,'F-1 Off-Site WaterC'' Baseline'!$C$9:$R$257,4,FALSE))</f>
        <v/>
      </c>
      <c r="F204" s="382" t="str">
        <f>IF(E204="","",VLOOKUP($B204,'F-1 Off-Site WaterC'' Baseline'!$C$9:$R$257,5,FALSE))</f>
        <v/>
      </c>
      <c r="G204" s="382" t="str">
        <f>IF(F204="","",VLOOKUP($B204,'F-1 Off-Site WaterC'' Baseline'!$C$9:$R$257,6,FALSE))</f>
        <v/>
      </c>
      <c r="H204" s="382" t="str">
        <f>IF(G204="","",VLOOKUP($B204,'F-1 Off-Site WaterC'' Baseline'!$C$9:$R$257,7,FALSE))</f>
        <v/>
      </c>
      <c r="I204" s="382" t="str">
        <f>IF(H204="","",VLOOKUP($B204,'F-1 Off-Site WaterC'' Baseline'!$C$9:$R$257,8,FALSE))</f>
        <v/>
      </c>
      <c r="J204" s="382" t="str">
        <f>IF(I204="","",VLOOKUP($B204,'F-1 Off-Site WaterC'' Baseline'!$C$9:$R$257,9,FALSE))</f>
        <v/>
      </c>
      <c r="K204" s="382" t="str">
        <f>IF(J204="","",VLOOKUP($B204,'F-1 Off-Site WaterC'' Baseline'!$C$9:$R$257,10,FALSE))</f>
        <v/>
      </c>
      <c r="L204" s="382" t="str">
        <f>IF(B204="","",VLOOKUP($B204,'F-1 Off-Site WaterC'' Baseline'!$C$9:$R$257,15,FALSE))</f>
        <v/>
      </c>
      <c r="M204" s="386" t="str">
        <f>IF(L204="","",VLOOKUP($B204,'F-1 Off-Site WaterC'' Baseline'!$C$9:$R$257,16,FALSE))</f>
        <v/>
      </c>
      <c r="N204" s="316" t="str">
        <f t="shared" si="21"/>
        <v/>
      </c>
      <c r="O204" s="362" t="str">
        <f t="shared" si="22"/>
        <v/>
      </c>
      <c r="P204" s="363" t="str">
        <f>IF(C204="","",IF(AND(LEFT(C204,55)&lt;&gt;LEFT(N204,55),O204="High - High"),"Error - Not like for like ▲",IF(H204&gt;U204,"Error - Can not reduce condition ▲",IF(AND(F204=S204,H204=U204,AJ204='F-1 Off-Site WaterC'' Baseline'!N202,'F-1 Off-Site WaterC'' Baseline'!P202=AL204),"Error - No enhancement ▲",IF(AND(C204&lt;&gt;N204,F204&lt;S204),"Lower Distinctiveness Habitat"&amp;" - "&amp;T204,G204&amp;" - "&amp;T204)))))</f>
        <v/>
      </c>
      <c r="Q204" s="368" t="str">
        <f>IF(N204="","",VLOOKUP(B204,'F-1 Off-Site WaterC'' Baseline'!$C$10:$AE$257,22,FALSE))</f>
        <v/>
      </c>
      <c r="R204" s="362" t="str">
        <f>IF(N204="","",VLOOKUP(N204,'G-7 WaterC'' Data'!$B$2:$G$8,2,FALSE))</f>
        <v/>
      </c>
      <c r="S204" s="363" t="str">
        <f>IFERROR(VLOOKUP(R204,'G-7 WaterC'' Data'!$C$4:$D$8,2,FALSE),"")</f>
        <v/>
      </c>
      <c r="T204" s="114"/>
      <c r="U204" s="363" t="str">
        <f>IFERROR(INDEX('G-7 WaterC'' Data'!$H$4:$L$8,MATCH(N204,'G-7 WaterC'' Data'!$B$4:$B$8,0),MATCH(T204,'G-7 WaterC'' Data'!$H$3:$L$3,0)),"")</f>
        <v/>
      </c>
      <c r="V204" s="122"/>
      <c r="W204" s="382" t="str">
        <f>IF(V204="","",IF(VLOOKUP(V204,'G-7 WaterC'' Data'!$AK$4:$AM$6,2,FALSE)=0,"Spatial Data Missing ⚠",VLOOKUP(V204,'G-7 WaterC'' Data'!$AK$4:$AM$6,2,FALSE)))</f>
        <v/>
      </c>
      <c r="X204" s="386" t="str">
        <f>IF(V204="","",IF(VLOOKUP(V204,'G-7 WaterC'' Data'!$AK$4:$AM$6,3,FALSE)=0,"Spatial Data Missing ⚠",VLOOKUP(V204,'G-7 WaterC'' Data'!$AK$4:$AM$6,3,FALSE)))</f>
        <v/>
      </c>
      <c r="Y204" s="398" t="str">
        <f>IFERROR(IF(OR(LEFT(P204,5)="Error",LEFT(O204,5)="Error"),"Check Data ⚠",IF(F204&lt;S204,'G-7 WaterC'' Data'!$R$3,INDEX('G-7 WaterC'' Data'!$U$5:$Y$9,MATCH(G204,'G-7 WaterC'' Data'!$T$5:$T$9,0),MATCH(T204,'G-7 WaterC'' Data'!$U$4:$Y$4,0)))),"")</f>
        <v/>
      </c>
      <c r="Z204" s="165"/>
      <c r="AA204" s="165"/>
      <c r="AB204" s="395" t="str">
        <f t="shared" ref="AB204:AB256" si="27">IF(Y204="","",IF(Y204="Check Data ⚠","Check Data ⚠",IF(AND(Z204&gt;0,AA204&gt;0),"Error -both advance and delayed habitat creation ▲",IF(AND(OR(Z204="Habitat already in target condition",Y204&lt;=Z204),AA204=0),"Check details - Is there evidence that habitat has reached target condition? ⚠",IF(Z204&gt;0,"Check details - Is there evidence habitat creation started/in place? ⚠",IF(AA204&gt;0,"Check details- Delay in starting habitat in required condition? ⚠","Standard time to target condition applied"))))))</f>
        <v/>
      </c>
      <c r="AC204" s="383" t="str">
        <f t="shared" si="23"/>
        <v/>
      </c>
      <c r="AD204" s="422" t="str">
        <f>IFERROR(IF(AC204="Check Data ⚠","Check Data ⚠",VLOOKUP(AC204,'G-4 Temporal multipliers'!$A$4:$C$37,3,FALSE)),"")</f>
        <v/>
      </c>
      <c r="AE204" s="398" t="str">
        <f>IF(N204="","",VLOOKUP(N204,'G-7 WaterC'' Data'!$B$4:$G$8,5,FALSE))</f>
        <v/>
      </c>
      <c r="AF204" s="382" t="str">
        <f t="shared" ref="AF204:AF256" si="28">IF(N204="","",IF(AC204="Check Data ⚠","Check Data ⚠",IF(T204="","",IF($AB204="Check details - Is there evidence that habitat has reached target condition? ⚠","Low Difficulty - only applicable if all habitat created before losses ⚠","Standard difficulty applied"))))</f>
        <v/>
      </c>
      <c r="AG204" s="382" t="str">
        <f t="shared" si="24"/>
        <v/>
      </c>
      <c r="AH204" s="386" t="str">
        <f t="shared" ref="AH204:AH257" si="29">IF(N204="","",VLOOKUP(AE204,Difficulty,2,FALSE))</f>
        <v/>
      </c>
      <c r="AI204" s="122"/>
      <c r="AJ204" s="363" t="str">
        <f>IF(AI204="","",IF(VLOOKUP(AI204,'G-7 WaterC'' Data'!$AA$4:$AB$7,2,FALSE)=0,"Spatial Data Missing ⚠",VLOOKUP(AI204,'G-7 WaterC'' Data'!$AA$4:$AB$7,2,FALSE)))</f>
        <v/>
      </c>
      <c r="AK204" s="123"/>
      <c r="AL204" s="397" t="str">
        <f>IF(AK204="","",IF(VLOOKUP(AK204,'G-7 WaterC'' Data'!$AD$4:$AE$14,2,FALSE)=0,"Spatial Data Missing ⚠",VLOOKUP(AK204,'G-7 WaterC'' Data'!$AD$4:$AE$14,2,FALSE)))</f>
        <v/>
      </c>
      <c r="AM204" s="122"/>
      <c r="AN204" s="363" t="str">
        <f>IF(AM204="","",IF(VLOOKUP(AM204,'G-7 WaterC'' Data'!$AO$4:$BO$7,2,FALSE)=0,"Spatial Data Missing ⚠",VLOOKUP(AM204,'G-7 WaterC'' Data'!$AO$4:$BO$7,2,FALSE)))</f>
        <v/>
      </c>
      <c r="AO204" s="405" t="str">
        <f t="shared" si="25"/>
        <v/>
      </c>
      <c r="AP204" s="405" t="str">
        <f t="shared" si="26"/>
        <v/>
      </c>
      <c r="AQ204" s="117"/>
      <c r="AR204" s="118"/>
      <c r="AS204" s="120"/>
      <c r="AT204" s="120"/>
      <c r="AY204" s="30" t="str">
        <f>IFERROR(INDEX('G-7 WaterC'' Data'!$AZ$3:$AZ$7,MATCH(N204,'G-7 WaterC'' Data'!$AY$3:$AY$7,0)),"")</f>
        <v/>
      </c>
    </row>
    <row r="205" spans="2:51" ht="15">
      <c r="B205" s="392" t="str">
        <f>'F-1 Off-Site WaterC'' Baseline'!AR203</f>
        <v/>
      </c>
      <c r="C205" s="382" t="str">
        <f>IF(B205="","",VLOOKUP($B205,'F-1 Off-Site WaterC'' Baseline'!$C$9:$R$257,2,FALSE))</f>
        <v/>
      </c>
      <c r="D205" s="382" t="str">
        <f>IF(C205="","",VLOOKUP($B205,'F-1 Off-Site WaterC'' Baseline'!$C$9:$R$257,3,FALSE))</f>
        <v/>
      </c>
      <c r="E205" s="382" t="str">
        <f>IF(D205="","",VLOOKUP($B205,'F-1 Off-Site WaterC'' Baseline'!$C$9:$R$257,4,FALSE))</f>
        <v/>
      </c>
      <c r="F205" s="382" t="str">
        <f>IF(E205="","",VLOOKUP($B205,'F-1 Off-Site WaterC'' Baseline'!$C$9:$R$257,5,FALSE))</f>
        <v/>
      </c>
      <c r="G205" s="382" t="str">
        <f>IF(F205="","",VLOOKUP($B205,'F-1 Off-Site WaterC'' Baseline'!$C$9:$R$257,6,FALSE))</f>
        <v/>
      </c>
      <c r="H205" s="382" t="str">
        <f>IF(G205="","",VLOOKUP($B205,'F-1 Off-Site WaterC'' Baseline'!$C$9:$R$257,7,FALSE))</f>
        <v/>
      </c>
      <c r="I205" s="382" t="str">
        <f>IF(H205="","",VLOOKUP($B205,'F-1 Off-Site WaterC'' Baseline'!$C$9:$R$257,8,FALSE))</f>
        <v/>
      </c>
      <c r="J205" s="382" t="str">
        <f>IF(I205="","",VLOOKUP($B205,'F-1 Off-Site WaterC'' Baseline'!$C$9:$R$257,9,FALSE))</f>
        <v/>
      </c>
      <c r="K205" s="382" t="str">
        <f>IF(J205="","",VLOOKUP($B205,'F-1 Off-Site WaterC'' Baseline'!$C$9:$R$257,10,FALSE))</f>
        <v/>
      </c>
      <c r="L205" s="382" t="str">
        <f>IF(B205="","",VLOOKUP($B205,'F-1 Off-Site WaterC'' Baseline'!$C$9:$R$257,15,FALSE))</f>
        <v/>
      </c>
      <c r="M205" s="386" t="str">
        <f>IF(L205="","",VLOOKUP($B205,'F-1 Off-Site WaterC'' Baseline'!$C$9:$R$257,16,FALSE))</f>
        <v/>
      </c>
      <c r="N205" s="316" t="str">
        <f t="shared" ref="N205:N257" si="30">C205</f>
        <v/>
      </c>
      <c r="O205" s="362" t="str">
        <f t="shared" ref="O205:O257" si="31">IF(B205="","",IF(S205&lt;F205,"Error Trading Down ▲",E205&amp;" - "&amp;R205))</f>
        <v/>
      </c>
      <c r="P205" s="363" t="str">
        <f>IF(C205="","",IF(AND(LEFT(C205,55)&lt;&gt;LEFT(N205,55),O205="High - High"),"Error - Not like for like ▲",IF(H205&gt;U205,"Error - Can not reduce condition ▲",IF(AND(F205=S205,H205=U205,AJ205='F-1 Off-Site WaterC'' Baseline'!N203,'F-1 Off-Site WaterC'' Baseline'!P203=AL205),"Error - No enhancement ▲",IF(AND(C205&lt;&gt;N205,F205&lt;S205),"Lower Distinctiveness Habitat"&amp;" - "&amp;T205,G205&amp;" - "&amp;T205)))))</f>
        <v/>
      </c>
      <c r="Q205" s="368" t="str">
        <f>IF(N205="","",VLOOKUP(B205,'F-1 Off-Site WaterC'' Baseline'!$C$10:$AE$257,22,FALSE))</f>
        <v/>
      </c>
      <c r="R205" s="362" t="str">
        <f>IF(N205="","",VLOOKUP(N205,'G-7 WaterC'' Data'!$B$2:$G$8,2,FALSE))</f>
        <v/>
      </c>
      <c r="S205" s="363" t="str">
        <f>IFERROR(VLOOKUP(R205,'G-7 WaterC'' Data'!$C$4:$D$8,2,FALSE),"")</f>
        <v/>
      </c>
      <c r="T205" s="114"/>
      <c r="U205" s="363" t="str">
        <f>IFERROR(INDEX('G-7 WaterC'' Data'!$H$4:$L$8,MATCH(N205,'G-7 WaterC'' Data'!$B$4:$B$8,0),MATCH(T205,'G-7 WaterC'' Data'!$H$3:$L$3,0)),"")</f>
        <v/>
      </c>
      <c r="V205" s="122"/>
      <c r="W205" s="382" t="str">
        <f>IF(V205="","",IF(VLOOKUP(V205,'G-7 WaterC'' Data'!$AK$4:$AM$6,2,FALSE)=0,"Spatial Data Missing ⚠",VLOOKUP(V205,'G-7 WaterC'' Data'!$AK$4:$AM$6,2,FALSE)))</f>
        <v/>
      </c>
      <c r="X205" s="386" t="str">
        <f>IF(V205="","",IF(VLOOKUP(V205,'G-7 WaterC'' Data'!$AK$4:$AM$6,3,FALSE)=0,"Spatial Data Missing ⚠",VLOOKUP(V205,'G-7 WaterC'' Data'!$AK$4:$AM$6,3,FALSE)))</f>
        <v/>
      </c>
      <c r="Y205" s="398" t="str">
        <f>IFERROR(IF(OR(LEFT(P205,5)="Error",LEFT(O205,5)="Error"),"Check Data ⚠",IF(F205&lt;S205,'G-7 WaterC'' Data'!$R$3,INDEX('G-7 WaterC'' Data'!$U$5:$Y$9,MATCH(G205,'G-7 WaterC'' Data'!$T$5:$T$9,0),MATCH(T205,'G-7 WaterC'' Data'!$U$4:$Y$4,0)))),"")</f>
        <v/>
      </c>
      <c r="Z205" s="165"/>
      <c r="AA205" s="165"/>
      <c r="AB205" s="395" t="str">
        <f t="shared" si="27"/>
        <v/>
      </c>
      <c r="AC205" s="383" t="str">
        <f t="shared" ref="AC205:AC257" si="32">IF(AB205="Error -both advance and delayed habitat creation ▲","Check Data ⚠",IF(AB205="Check Data ⚠","Check Data ⚠",IF(Y205="","",IF(Z205="30+",0,IF(AA205="30+","30+",IF(Y205+AA205&gt;30,"30+",IF(Y205+AA205-Z205&gt;0,Y205+AA205-Z205,IF(Y205-Z205&lt;0,0,Y205+AA205-Z205))))))))</f>
        <v/>
      </c>
      <c r="AD205" s="422" t="str">
        <f>IFERROR(IF(AC205="Check Data ⚠","Check Data ⚠",VLOOKUP(AC205,'G-4 Temporal multipliers'!$A$4:$C$37,3,FALSE)),"")</f>
        <v/>
      </c>
      <c r="AE205" s="398" t="str">
        <f>IF(N205="","",VLOOKUP(N205,'G-7 WaterC'' Data'!$B$4:$G$8,5,FALSE))</f>
        <v/>
      </c>
      <c r="AF205" s="382" t="str">
        <f t="shared" si="28"/>
        <v/>
      </c>
      <c r="AG205" s="382" t="str">
        <f t="shared" ref="AG205:AG257" si="33">(IF(AND(AF205="Standard difficulty applied",Y205&gt;Z205),AE205,IF(AND(AF205="Low Difficulty - only applicable if all habitat created before losses ⚠",Z205&gt;=Y205),"Low",AE205)))</f>
        <v/>
      </c>
      <c r="AH205" s="386" t="str">
        <f t="shared" si="29"/>
        <v/>
      </c>
      <c r="AI205" s="122"/>
      <c r="AJ205" s="363" t="str">
        <f>IF(AI205="","",IF(VLOOKUP(AI205,'G-7 WaterC'' Data'!$AA$4:$AB$7,2,FALSE)=0,"Spatial Data Missing ⚠",VLOOKUP(AI205,'G-7 WaterC'' Data'!$AA$4:$AB$7,2,FALSE)))</f>
        <v/>
      </c>
      <c r="AK205" s="123"/>
      <c r="AL205" s="397" t="str">
        <f>IF(AK205="","",IF(VLOOKUP(AK205,'G-7 WaterC'' Data'!$AD$4:$AE$14,2,FALSE)=0,"Spatial Data Missing ⚠",VLOOKUP(AK205,'G-7 WaterC'' Data'!$AD$4:$AE$14,2,FALSE)))</f>
        <v/>
      </c>
      <c r="AM205" s="122"/>
      <c r="AN205" s="363" t="str">
        <f>IF(AM205="","",IF(VLOOKUP(AM205,'G-7 WaterC'' Data'!$AO$4:$BO$7,2,FALSE)=0,"Spatial Data Missing ⚠",VLOOKUP(AM205,'G-7 WaterC'' Data'!$AO$4:$BO$7,2,FALSE)))</f>
        <v/>
      </c>
      <c r="AO205" s="405" t="str">
        <f t="shared" ref="AO205:AO257" si="34">IFERROR(IF(C205="","",IF(Q205&gt;D205,((((Q205*S205*U205)-(D205*F205*H205))*(AH205*AD205))+(D205*F205*H205))*(AL205*X205*AJ205*AN205),((((Q205*S205*U205)-(Q205*F205*H205))*(AH205*AD205))+(Q205*F205*H205))*(AL205*X205*AJ205*AN205))),"")</f>
        <v/>
      </c>
      <c r="AP205" s="405" t="str">
        <f t="shared" ref="AP205:AP257" si="35">IFERROR(IF(C205="","",IF(AM205="","Check data ⚠", IF(Q205&gt;D205,((((Q205*S205*U205)-(D205*F205*H205))*(AH205*AD205))+(D205*F205*H205))*(AL205*X205*AJ205),((((Q205*S205*U205)-(Q205*F205*H205))*(AH205*AD205))+(Q205*F205*H205))*(AL205*X205*AJ205)))),"")</f>
        <v/>
      </c>
      <c r="AQ205" s="117"/>
      <c r="AR205" s="118"/>
      <c r="AS205" s="120"/>
      <c r="AT205" s="120"/>
      <c r="AY205" s="30" t="str">
        <f>IFERROR(INDEX('G-7 WaterC'' Data'!$AZ$3:$AZ$7,MATCH(N205,'G-7 WaterC'' Data'!$AY$3:$AY$7,0)),"")</f>
        <v/>
      </c>
    </row>
    <row r="206" spans="2:51" ht="15">
      <c r="B206" s="392" t="str">
        <f>'F-1 Off-Site WaterC'' Baseline'!AR204</f>
        <v/>
      </c>
      <c r="C206" s="382" t="str">
        <f>IF(B206="","",VLOOKUP($B206,'F-1 Off-Site WaterC'' Baseline'!$C$9:$R$257,2,FALSE))</f>
        <v/>
      </c>
      <c r="D206" s="382" t="str">
        <f>IF(C206="","",VLOOKUP($B206,'F-1 Off-Site WaterC'' Baseline'!$C$9:$R$257,3,FALSE))</f>
        <v/>
      </c>
      <c r="E206" s="382" t="str">
        <f>IF(D206="","",VLOOKUP($B206,'F-1 Off-Site WaterC'' Baseline'!$C$9:$R$257,4,FALSE))</f>
        <v/>
      </c>
      <c r="F206" s="382" t="str">
        <f>IF(E206="","",VLOOKUP($B206,'F-1 Off-Site WaterC'' Baseline'!$C$9:$R$257,5,FALSE))</f>
        <v/>
      </c>
      <c r="G206" s="382" t="str">
        <f>IF(F206="","",VLOOKUP($B206,'F-1 Off-Site WaterC'' Baseline'!$C$9:$R$257,6,FALSE))</f>
        <v/>
      </c>
      <c r="H206" s="382" t="str">
        <f>IF(G206="","",VLOOKUP($B206,'F-1 Off-Site WaterC'' Baseline'!$C$9:$R$257,7,FALSE))</f>
        <v/>
      </c>
      <c r="I206" s="382" t="str">
        <f>IF(H206="","",VLOOKUP($B206,'F-1 Off-Site WaterC'' Baseline'!$C$9:$R$257,8,FALSE))</f>
        <v/>
      </c>
      <c r="J206" s="382" t="str">
        <f>IF(I206="","",VLOOKUP($B206,'F-1 Off-Site WaterC'' Baseline'!$C$9:$R$257,9,FALSE))</f>
        <v/>
      </c>
      <c r="K206" s="382" t="str">
        <f>IF(J206="","",VLOOKUP($B206,'F-1 Off-Site WaterC'' Baseline'!$C$9:$R$257,10,FALSE))</f>
        <v/>
      </c>
      <c r="L206" s="382" t="str">
        <f>IF(B206="","",VLOOKUP($B206,'F-1 Off-Site WaterC'' Baseline'!$C$9:$R$257,15,FALSE))</f>
        <v/>
      </c>
      <c r="M206" s="386" t="str">
        <f>IF(L206="","",VLOOKUP($B206,'F-1 Off-Site WaterC'' Baseline'!$C$9:$R$257,16,FALSE))</f>
        <v/>
      </c>
      <c r="N206" s="316" t="str">
        <f t="shared" si="30"/>
        <v/>
      </c>
      <c r="O206" s="362" t="str">
        <f t="shared" si="31"/>
        <v/>
      </c>
      <c r="P206" s="363" t="str">
        <f>IF(C206="","",IF(AND(LEFT(C206,55)&lt;&gt;LEFT(N206,55),O206="High - High"),"Error - Not like for like ▲",IF(H206&gt;U206,"Error - Can not reduce condition ▲",IF(AND(F206=S206,H206=U206,AJ206='F-1 Off-Site WaterC'' Baseline'!N204,'F-1 Off-Site WaterC'' Baseline'!P204=AL206),"Error - No enhancement ▲",IF(AND(C206&lt;&gt;N206,F206&lt;S206),"Lower Distinctiveness Habitat"&amp;" - "&amp;T206,G206&amp;" - "&amp;T206)))))</f>
        <v/>
      </c>
      <c r="Q206" s="368" t="str">
        <f>IF(N206="","",VLOOKUP(B206,'F-1 Off-Site WaterC'' Baseline'!$C$10:$AE$257,22,FALSE))</f>
        <v/>
      </c>
      <c r="R206" s="362" t="str">
        <f>IF(N206="","",VLOOKUP(N206,'G-7 WaterC'' Data'!$B$2:$G$8,2,FALSE))</f>
        <v/>
      </c>
      <c r="S206" s="363" t="str">
        <f>IFERROR(VLOOKUP(R206,'G-7 WaterC'' Data'!$C$4:$D$8,2,FALSE),"")</f>
        <v/>
      </c>
      <c r="T206" s="114"/>
      <c r="U206" s="363" t="str">
        <f>IFERROR(INDEX('G-7 WaterC'' Data'!$H$4:$L$8,MATCH(N206,'G-7 WaterC'' Data'!$B$4:$B$8,0),MATCH(T206,'G-7 WaterC'' Data'!$H$3:$L$3,0)),"")</f>
        <v/>
      </c>
      <c r="V206" s="122"/>
      <c r="W206" s="382" t="str">
        <f>IF(V206="","",IF(VLOOKUP(V206,'G-7 WaterC'' Data'!$AK$4:$AM$6,2,FALSE)=0,"Spatial Data Missing ⚠",VLOOKUP(V206,'G-7 WaterC'' Data'!$AK$4:$AM$6,2,FALSE)))</f>
        <v/>
      </c>
      <c r="X206" s="386" t="str">
        <f>IF(V206="","",IF(VLOOKUP(V206,'G-7 WaterC'' Data'!$AK$4:$AM$6,3,FALSE)=0,"Spatial Data Missing ⚠",VLOOKUP(V206,'G-7 WaterC'' Data'!$AK$4:$AM$6,3,FALSE)))</f>
        <v/>
      </c>
      <c r="Y206" s="398" t="str">
        <f>IFERROR(IF(OR(LEFT(P206,5)="Error",LEFT(O206,5)="Error"),"Check Data ⚠",IF(F206&lt;S206,'G-7 WaterC'' Data'!$R$3,INDEX('G-7 WaterC'' Data'!$U$5:$Y$9,MATCH(G206,'G-7 WaterC'' Data'!$T$5:$T$9,0),MATCH(T206,'G-7 WaterC'' Data'!$U$4:$Y$4,0)))),"")</f>
        <v/>
      </c>
      <c r="Z206" s="165"/>
      <c r="AA206" s="165"/>
      <c r="AB206" s="395" t="str">
        <f t="shared" si="27"/>
        <v/>
      </c>
      <c r="AC206" s="383" t="str">
        <f t="shared" si="32"/>
        <v/>
      </c>
      <c r="AD206" s="422" t="str">
        <f>IFERROR(IF(AC206="Check Data ⚠","Check Data ⚠",VLOOKUP(AC206,'G-4 Temporal multipliers'!$A$4:$C$37,3,FALSE)),"")</f>
        <v/>
      </c>
      <c r="AE206" s="398" t="str">
        <f>IF(N206="","",VLOOKUP(N206,'G-7 WaterC'' Data'!$B$4:$G$8,5,FALSE))</f>
        <v/>
      </c>
      <c r="AF206" s="382" t="str">
        <f t="shared" si="28"/>
        <v/>
      </c>
      <c r="AG206" s="382" t="str">
        <f t="shared" si="33"/>
        <v/>
      </c>
      <c r="AH206" s="386" t="str">
        <f t="shared" si="29"/>
        <v/>
      </c>
      <c r="AI206" s="122"/>
      <c r="AJ206" s="363" t="str">
        <f>IF(AI206="","",IF(VLOOKUP(AI206,'G-7 WaterC'' Data'!$AA$4:$AB$7,2,FALSE)=0,"Spatial Data Missing ⚠",VLOOKUP(AI206,'G-7 WaterC'' Data'!$AA$4:$AB$7,2,FALSE)))</f>
        <v/>
      </c>
      <c r="AK206" s="123"/>
      <c r="AL206" s="397" t="str">
        <f>IF(AK206="","",IF(VLOOKUP(AK206,'G-7 WaterC'' Data'!$AD$4:$AE$14,2,FALSE)=0,"Spatial Data Missing ⚠",VLOOKUP(AK206,'G-7 WaterC'' Data'!$AD$4:$AE$14,2,FALSE)))</f>
        <v/>
      </c>
      <c r="AM206" s="122"/>
      <c r="AN206" s="363" t="str">
        <f>IF(AM206="","",IF(VLOOKUP(AM206,'G-7 WaterC'' Data'!$AO$4:$BO$7,2,FALSE)=0,"Spatial Data Missing ⚠",VLOOKUP(AM206,'G-7 WaterC'' Data'!$AO$4:$BO$7,2,FALSE)))</f>
        <v/>
      </c>
      <c r="AO206" s="405" t="str">
        <f t="shared" si="34"/>
        <v/>
      </c>
      <c r="AP206" s="405" t="str">
        <f t="shared" si="35"/>
        <v/>
      </c>
      <c r="AQ206" s="117"/>
      <c r="AR206" s="118"/>
      <c r="AS206" s="120"/>
      <c r="AT206" s="120"/>
      <c r="AY206" s="30" t="str">
        <f>IFERROR(INDEX('G-7 WaterC'' Data'!$AZ$3:$AZ$7,MATCH(N206,'G-7 WaterC'' Data'!$AY$3:$AY$7,0)),"")</f>
        <v/>
      </c>
    </row>
    <row r="207" spans="2:51" ht="15">
      <c r="B207" s="392" t="str">
        <f>'F-1 Off-Site WaterC'' Baseline'!AR205</f>
        <v/>
      </c>
      <c r="C207" s="382" t="str">
        <f>IF(B207="","",VLOOKUP($B207,'F-1 Off-Site WaterC'' Baseline'!$C$9:$R$257,2,FALSE))</f>
        <v/>
      </c>
      <c r="D207" s="382" t="str">
        <f>IF(C207="","",VLOOKUP($B207,'F-1 Off-Site WaterC'' Baseline'!$C$9:$R$257,3,FALSE))</f>
        <v/>
      </c>
      <c r="E207" s="382" t="str">
        <f>IF(D207="","",VLOOKUP($B207,'F-1 Off-Site WaterC'' Baseline'!$C$9:$R$257,4,FALSE))</f>
        <v/>
      </c>
      <c r="F207" s="382" t="str">
        <f>IF(E207="","",VLOOKUP($B207,'F-1 Off-Site WaterC'' Baseline'!$C$9:$R$257,5,FALSE))</f>
        <v/>
      </c>
      <c r="G207" s="382" t="str">
        <f>IF(F207="","",VLOOKUP($B207,'F-1 Off-Site WaterC'' Baseline'!$C$9:$R$257,6,FALSE))</f>
        <v/>
      </c>
      <c r="H207" s="382" t="str">
        <f>IF(G207="","",VLOOKUP($B207,'F-1 Off-Site WaterC'' Baseline'!$C$9:$R$257,7,FALSE))</f>
        <v/>
      </c>
      <c r="I207" s="382" t="str">
        <f>IF(H207="","",VLOOKUP($B207,'F-1 Off-Site WaterC'' Baseline'!$C$9:$R$257,8,FALSE))</f>
        <v/>
      </c>
      <c r="J207" s="382" t="str">
        <f>IF(I207="","",VLOOKUP($B207,'F-1 Off-Site WaterC'' Baseline'!$C$9:$R$257,9,FALSE))</f>
        <v/>
      </c>
      <c r="K207" s="382" t="str">
        <f>IF(J207="","",VLOOKUP($B207,'F-1 Off-Site WaterC'' Baseline'!$C$9:$R$257,10,FALSE))</f>
        <v/>
      </c>
      <c r="L207" s="382" t="str">
        <f>IF(B207="","",VLOOKUP($B207,'F-1 Off-Site WaterC'' Baseline'!$C$9:$R$257,15,FALSE))</f>
        <v/>
      </c>
      <c r="M207" s="386" t="str">
        <f>IF(L207="","",VLOOKUP($B207,'F-1 Off-Site WaterC'' Baseline'!$C$9:$R$257,16,FALSE))</f>
        <v/>
      </c>
      <c r="N207" s="316" t="str">
        <f t="shared" si="30"/>
        <v/>
      </c>
      <c r="O207" s="362" t="str">
        <f t="shared" si="31"/>
        <v/>
      </c>
      <c r="P207" s="363" t="str">
        <f>IF(C207="","",IF(AND(LEFT(C207,55)&lt;&gt;LEFT(N207,55),O207="High - High"),"Error - Not like for like ▲",IF(H207&gt;U207,"Error - Can not reduce condition ▲",IF(AND(F207=S207,H207=U207,AJ207='F-1 Off-Site WaterC'' Baseline'!N205,'F-1 Off-Site WaterC'' Baseline'!P205=AL207),"Error - No enhancement ▲",IF(AND(C207&lt;&gt;N207,F207&lt;S207),"Lower Distinctiveness Habitat"&amp;" - "&amp;T207,G207&amp;" - "&amp;T207)))))</f>
        <v/>
      </c>
      <c r="Q207" s="368" t="str">
        <f>IF(N207="","",VLOOKUP(B207,'F-1 Off-Site WaterC'' Baseline'!$C$10:$AE$257,22,FALSE))</f>
        <v/>
      </c>
      <c r="R207" s="362" t="str">
        <f>IF(N207="","",VLOOKUP(N207,'G-7 WaterC'' Data'!$B$2:$G$8,2,FALSE))</f>
        <v/>
      </c>
      <c r="S207" s="363" t="str">
        <f>IFERROR(VLOOKUP(R207,'G-7 WaterC'' Data'!$C$4:$D$8,2,FALSE),"")</f>
        <v/>
      </c>
      <c r="T207" s="114"/>
      <c r="U207" s="363" t="str">
        <f>IFERROR(INDEX('G-7 WaterC'' Data'!$H$4:$L$8,MATCH(N207,'G-7 WaterC'' Data'!$B$4:$B$8,0),MATCH(T207,'G-7 WaterC'' Data'!$H$3:$L$3,0)),"")</f>
        <v/>
      </c>
      <c r="V207" s="122"/>
      <c r="W207" s="382" t="str">
        <f>IF(V207="","",IF(VLOOKUP(V207,'G-7 WaterC'' Data'!$AK$4:$AM$6,2,FALSE)=0,"Spatial Data Missing ⚠",VLOOKUP(V207,'G-7 WaterC'' Data'!$AK$4:$AM$6,2,FALSE)))</f>
        <v/>
      </c>
      <c r="X207" s="386" t="str">
        <f>IF(V207="","",IF(VLOOKUP(V207,'G-7 WaterC'' Data'!$AK$4:$AM$6,3,FALSE)=0,"Spatial Data Missing ⚠",VLOOKUP(V207,'G-7 WaterC'' Data'!$AK$4:$AM$6,3,FALSE)))</f>
        <v/>
      </c>
      <c r="Y207" s="398" t="str">
        <f>IFERROR(IF(OR(LEFT(P207,5)="Error",LEFT(O207,5)="Error"),"Check Data ⚠",IF(F207&lt;S207,'G-7 WaterC'' Data'!$R$3,INDEX('G-7 WaterC'' Data'!$U$5:$Y$9,MATCH(G207,'G-7 WaterC'' Data'!$T$5:$T$9,0),MATCH(T207,'G-7 WaterC'' Data'!$U$4:$Y$4,0)))),"")</f>
        <v/>
      </c>
      <c r="Z207" s="165"/>
      <c r="AA207" s="165"/>
      <c r="AB207" s="395" t="str">
        <f t="shared" si="27"/>
        <v/>
      </c>
      <c r="AC207" s="383" t="str">
        <f t="shared" si="32"/>
        <v/>
      </c>
      <c r="AD207" s="422" t="str">
        <f>IFERROR(IF(AC207="Check Data ⚠","Check Data ⚠",VLOOKUP(AC207,'G-4 Temporal multipliers'!$A$4:$C$37,3,FALSE)),"")</f>
        <v/>
      </c>
      <c r="AE207" s="398" t="str">
        <f>IF(N207="","",VLOOKUP(N207,'G-7 WaterC'' Data'!$B$4:$G$8,5,FALSE))</f>
        <v/>
      </c>
      <c r="AF207" s="382" t="str">
        <f t="shared" si="28"/>
        <v/>
      </c>
      <c r="AG207" s="382" t="str">
        <f t="shared" si="33"/>
        <v/>
      </c>
      <c r="AH207" s="386" t="str">
        <f t="shared" si="29"/>
        <v/>
      </c>
      <c r="AI207" s="122"/>
      <c r="AJ207" s="363" t="str">
        <f>IF(AI207="","",IF(VLOOKUP(AI207,'G-7 WaterC'' Data'!$AA$4:$AB$7,2,FALSE)=0,"Spatial Data Missing ⚠",VLOOKUP(AI207,'G-7 WaterC'' Data'!$AA$4:$AB$7,2,FALSE)))</f>
        <v/>
      </c>
      <c r="AK207" s="123"/>
      <c r="AL207" s="397" t="str">
        <f>IF(AK207="","",IF(VLOOKUP(AK207,'G-7 WaterC'' Data'!$AD$4:$AE$14,2,FALSE)=0,"Spatial Data Missing ⚠",VLOOKUP(AK207,'G-7 WaterC'' Data'!$AD$4:$AE$14,2,FALSE)))</f>
        <v/>
      </c>
      <c r="AM207" s="122"/>
      <c r="AN207" s="363" t="str">
        <f>IF(AM207="","",IF(VLOOKUP(AM207,'G-7 WaterC'' Data'!$AO$4:$BO$7,2,FALSE)=0,"Spatial Data Missing ⚠",VLOOKUP(AM207,'G-7 WaterC'' Data'!$AO$4:$BO$7,2,FALSE)))</f>
        <v/>
      </c>
      <c r="AO207" s="405" t="str">
        <f t="shared" si="34"/>
        <v/>
      </c>
      <c r="AP207" s="405" t="str">
        <f t="shared" si="35"/>
        <v/>
      </c>
      <c r="AQ207" s="117"/>
      <c r="AR207" s="118"/>
      <c r="AS207" s="120"/>
      <c r="AT207" s="120"/>
      <c r="AY207" s="30" t="str">
        <f>IFERROR(INDEX('G-7 WaterC'' Data'!$AZ$3:$AZ$7,MATCH(N207,'G-7 WaterC'' Data'!$AY$3:$AY$7,0)),"")</f>
        <v/>
      </c>
    </row>
    <row r="208" spans="2:51" ht="15">
      <c r="B208" s="392" t="str">
        <f>'F-1 Off-Site WaterC'' Baseline'!AR206</f>
        <v/>
      </c>
      <c r="C208" s="382" t="str">
        <f>IF(B208="","",VLOOKUP($B208,'F-1 Off-Site WaterC'' Baseline'!$C$9:$R$257,2,FALSE))</f>
        <v/>
      </c>
      <c r="D208" s="382" t="str">
        <f>IF(C208="","",VLOOKUP($B208,'F-1 Off-Site WaterC'' Baseline'!$C$9:$R$257,3,FALSE))</f>
        <v/>
      </c>
      <c r="E208" s="382" t="str">
        <f>IF(D208="","",VLOOKUP($B208,'F-1 Off-Site WaterC'' Baseline'!$C$9:$R$257,4,FALSE))</f>
        <v/>
      </c>
      <c r="F208" s="382" t="str">
        <f>IF(E208="","",VLOOKUP($B208,'F-1 Off-Site WaterC'' Baseline'!$C$9:$R$257,5,FALSE))</f>
        <v/>
      </c>
      <c r="G208" s="382" t="str">
        <f>IF(F208="","",VLOOKUP($B208,'F-1 Off-Site WaterC'' Baseline'!$C$9:$R$257,6,FALSE))</f>
        <v/>
      </c>
      <c r="H208" s="382" t="str">
        <f>IF(G208="","",VLOOKUP($B208,'F-1 Off-Site WaterC'' Baseline'!$C$9:$R$257,7,FALSE))</f>
        <v/>
      </c>
      <c r="I208" s="382" t="str">
        <f>IF(H208="","",VLOOKUP($B208,'F-1 Off-Site WaterC'' Baseline'!$C$9:$R$257,8,FALSE))</f>
        <v/>
      </c>
      <c r="J208" s="382" t="str">
        <f>IF(I208="","",VLOOKUP($B208,'F-1 Off-Site WaterC'' Baseline'!$C$9:$R$257,9,FALSE))</f>
        <v/>
      </c>
      <c r="K208" s="382" t="str">
        <f>IF(J208="","",VLOOKUP($B208,'F-1 Off-Site WaterC'' Baseline'!$C$9:$R$257,10,FALSE))</f>
        <v/>
      </c>
      <c r="L208" s="382" t="str">
        <f>IF(B208="","",VLOOKUP($B208,'F-1 Off-Site WaterC'' Baseline'!$C$9:$R$257,15,FALSE))</f>
        <v/>
      </c>
      <c r="M208" s="386" t="str">
        <f>IF(L208="","",VLOOKUP($B208,'F-1 Off-Site WaterC'' Baseline'!$C$9:$R$257,16,FALSE))</f>
        <v/>
      </c>
      <c r="N208" s="316" t="str">
        <f t="shared" si="30"/>
        <v/>
      </c>
      <c r="O208" s="362" t="str">
        <f t="shared" si="31"/>
        <v/>
      </c>
      <c r="P208" s="363" t="str">
        <f>IF(C208="","",IF(AND(LEFT(C208,55)&lt;&gt;LEFT(N208,55),O208="High - High"),"Error - Not like for like ▲",IF(H208&gt;U208,"Error - Can not reduce condition ▲",IF(AND(F208=S208,H208=U208,AJ208='F-1 Off-Site WaterC'' Baseline'!N206,'F-1 Off-Site WaterC'' Baseline'!P206=AL208),"Error - No enhancement ▲",IF(AND(C208&lt;&gt;N208,F208&lt;S208),"Lower Distinctiveness Habitat"&amp;" - "&amp;T208,G208&amp;" - "&amp;T208)))))</f>
        <v/>
      </c>
      <c r="Q208" s="368" t="str">
        <f>IF(N208="","",VLOOKUP(B208,'F-1 Off-Site WaterC'' Baseline'!$C$10:$AE$257,22,FALSE))</f>
        <v/>
      </c>
      <c r="R208" s="362" t="str">
        <f>IF(N208="","",VLOOKUP(N208,'G-7 WaterC'' Data'!$B$2:$G$8,2,FALSE))</f>
        <v/>
      </c>
      <c r="S208" s="363" t="str">
        <f>IFERROR(VLOOKUP(R208,'G-7 WaterC'' Data'!$C$4:$D$8,2,FALSE),"")</f>
        <v/>
      </c>
      <c r="T208" s="114"/>
      <c r="U208" s="363" t="str">
        <f>IFERROR(INDEX('G-7 WaterC'' Data'!$H$4:$L$8,MATCH(N208,'G-7 WaterC'' Data'!$B$4:$B$8,0),MATCH(T208,'G-7 WaterC'' Data'!$H$3:$L$3,0)),"")</f>
        <v/>
      </c>
      <c r="V208" s="122"/>
      <c r="W208" s="382" t="str">
        <f>IF(V208="","",IF(VLOOKUP(V208,'G-7 WaterC'' Data'!$AK$4:$AM$6,2,FALSE)=0,"Spatial Data Missing ⚠",VLOOKUP(V208,'G-7 WaterC'' Data'!$AK$4:$AM$6,2,FALSE)))</f>
        <v/>
      </c>
      <c r="X208" s="386" t="str">
        <f>IF(V208="","",IF(VLOOKUP(V208,'G-7 WaterC'' Data'!$AK$4:$AM$6,3,FALSE)=0,"Spatial Data Missing ⚠",VLOOKUP(V208,'G-7 WaterC'' Data'!$AK$4:$AM$6,3,FALSE)))</f>
        <v/>
      </c>
      <c r="Y208" s="398" t="str">
        <f>IFERROR(IF(OR(LEFT(P208,5)="Error",LEFT(O208,5)="Error"),"Check Data ⚠",IF(F208&lt;S208,'G-7 WaterC'' Data'!$R$3,INDEX('G-7 WaterC'' Data'!$U$5:$Y$9,MATCH(G208,'G-7 WaterC'' Data'!$T$5:$T$9,0),MATCH(T208,'G-7 WaterC'' Data'!$U$4:$Y$4,0)))),"")</f>
        <v/>
      </c>
      <c r="Z208" s="165"/>
      <c r="AA208" s="165"/>
      <c r="AB208" s="395" t="str">
        <f t="shared" si="27"/>
        <v/>
      </c>
      <c r="AC208" s="383" t="str">
        <f t="shared" si="32"/>
        <v/>
      </c>
      <c r="AD208" s="422" t="str">
        <f>IFERROR(IF(AC208="Check Data ⚠","Check Data ⚠",VLOOKUP(AC208,'G-4 Temporal multipliers'!$A$4:$C$37,3,FALSE)),"")</f>
        <v/>
      </c>
      <c r="AE208" s="398" t="str">
        <f>IF(N208="","",VLOOKUP(N208,'G-7 WaterC'' Data'!$B$4:$G$8,5,FALSE))</f>
        <v/>
      </c>
      <c r="AF208" s="382" t="str">
        <f t="shared" si="28"/>
        <v/>
      </c>
      <c r="AG208" s="382" t="str">
        <f t="shared" si="33"/>
        <v/>
      </c>
      <c r="AH208" s="386" t="str">
        <f t="shared" si="29"/>
        <v/>
      </c>
      <c r="AI208" s="122"/>
      <c r="AJ208" s="363" t="str">
        <f>IF(AI208="","",IF(VLOOKUP(AI208,'G-7 WaterC'' Data'!$AA$4:$AB$7,2,FALSE)=0,"Spatial Data Missing ⚠",VLOOKUP(AI208,'G-7 WaterC'' Data'!$AA$4:$AB$7,2,FALSE)))</f>
        <v/>
      </c>
      <c r="AK208" s="123"/>
      <c r="AL208" s="397" t="str">
        <f>IF(AK208="","",IF(VLOOKUP(AK208,'G-7 WaterC'' Data'!$AD$4:$AE$14,2,FALSE)=0,"Spatial Data Missing ⚠",VLOOKUP(AK208,'G-7 WaterC'' Data'!$AD$4:$AE$14,2,FALSE)))</f>
        <v/>
      </c>
      <c r="AM208" s="122"/>
      <c r="AN208" s="363" t="str">
        <f>IF(AM208="","",IF(VLOOKUP(AM208,'G-7 WaterC'' Data'!$AO$4:$BO$7,2,FALSE)=0,"Spatial Data Missing ⚠",VLOOKUP(AM208,'G-7 WaterC'' Data'!$AO$4:$BO$7,2,FALSE)))</f>
        <v/>
      </c>
      <c r="AO208" s="405" t="str">
        <f t="shared" si="34"/>
        <v/>
      </c>
      <c r="AP208" s="405" t="str">
        <f t="shared" si="35"/>
        <v/>
      </c>
      <c r="AQ208" s="117"/>
      <c r="AR208" s="118"/>
      <c r="AS208" s="120"/>
      <c r="AT208" s="120"/>
      <c r="AY208" s="30" t="str">
        <f>IFERROR(INDEX('G-7 WaterC'' Data'!$AZ$3:$AZ$7,MATCH(N208,'G-7 WaterC'' Data'!$AY$3:$AY$7,0)),"")</f>
        <v/>
      </c>
    </row>
    <row r="209" spans="2:51" ht="15">
      <c r="B209" s="392" t="str">
        <f>'F-1 Off-Site WaterC'' Baseline'!AR207</f>
        <v/>
      </c>
      <c r="C209" s="382" t="str">
        <f>IF(B209="","",VLOOKUP($B209,'F-1 Off-Site WaterC'' Baseline'!$C$9:$R$257,2,FALSE))</f>
        <v/>
      </c>
      <c r="D209" s="382" t="str">
        <f>IF(C209="","",VLOOKUP($B209,'F-1 Off-Site WaterC'' Baseline'!$C$9:$R$257,3,FALSE))</f>
        <v/>
      </c>
      <c r="E209" s="382" t="str">
        <f>IF(D209="","",VLOOKUP($B209,'F-1 Off-Site WaterC'' Baseline'!$C$9:$R$257,4,FALSE))</f>
        <v/>
      </c>
      <c r="F209" s="382" t="str">
        <f>IF(E209="","",VLOOKUP($B209,'F-1 Off-Site WaterC'' Baseline'!$C$9:$R$257,5,FALSE))</f>
        <v/>
      </c>
      <c r="G209" s="382" t="str">
        <f>IF(F209="","",VLOOKUP($B209,'F-1 Off-Site WaterC'' Baseline'!$C$9:$R$257,6,FALSE))</f>
        <v/>
      </c>
      <c r="H209" s="382" t="str">
        <f>IF(G209="","",VLOOKUP($B209,'F-1 Off-Site WaterC'' Baseline'!$C$9:$R$257,7,FALSE))</f>
        <v/>
      </c>
      <c r="I209" s="382" t="str">
        <f>IF(H209="","",VLOOKUP($B209,'F-1 Off-Site WaterC'' Baseline'!$C$9:$R$257,8,FALSE))</f>
        <v/>
      </c>
      <c r="J209" s="382" t="str">
        <f>IF(I209="","",VLOOKUP($B209,'F-1 Off-Site WaterC'' Baseline'!$C$9:$R$257,9,FALSE))</f>
        <v/>
      </c>
      <c r="K209" s="382" t="str">
        <f>IF(J209="","",VLOOKUP($B209,'F-1 Off-Site WaterC'' Baseline'!$C$9:$R$257,10,FALSE))</f>
        <v/>
      </c>
      <c r="L209" s="382" t="str">
        <f>IF(B209="","",VLOOKUP($B209,'F-1 Off-Site WaterC'' Baseline'!$C$9:$R$257,15,FALSE))</f>
        <v/>
      </c>
      <c r="M209" s="386" t="str">
        <f>IF(L209="","",VLOOKUP($B209,'F-1 Off-Site WaterC'' Baseline'!$C$9:$R$257,16,FALSE))</f>
        <v/>
      </c>
      <c r="N209" s="316" t="str">
        <f t="shared" si="30"/>
        <v/>
      </c>
      <c r="O209" s="362" t="str">
        <f t="shared" si="31"/>
        <v/>
      </c>
      <c r="P209" s="363" t="str">
        <f>IF(C209="","",IF(AND(LEFT(C209,55)&lt;&gt;LEFT(N209,55),O209="High - High"),"Error - Not like for like ▲",IF(H209&gt;U209,"Error - Can not reduce condition ▲",IF(AND(F209=S209,H209=U209,AJ209='F-1 Off-Site WaterC'' Baseline'!N207,'F-1 Off-Site WaterC'' Baseline'!P207=AL209),"Error - No enhancement ▲",IF(AND(C209&lt;&gt;N209,F209&lt;S209),"Lower Distinctiveness Habitat"&amp;" - "&amp;T209,G209&amp;" - "&amp;T209)))))</f>
        <v/>
      </c>
      <c r="Q209" s="368" t="str">
        <f>IF(N209="","",VLOOKUP(B209,'F-1 Off-Site WaterC'' Baseline'!$C$10:$AE$257,22,FALSE))</f>
        <v/>
      </c>
      <c r="R209" s="362" t="str">
        <f>IF(N209="","",VLOOKUP(N209,'G-7 WaterC'' Data'!$B$2:$G$8,2,FALSE))</f>
        <v/>
      </c>
      <c r="S209" s="363" t="str">
        <f>IFERROR(VLOOKUP(R209,'G-7 WaterC'' Data'!$C$4:$D$8,2,FALSE),"")</f>
        <v/>
      </c>
      <c r="T209" s="114"/>
      <c r="U209" s="363" t="str">
        <f>IFERROR(INDEX('G-7 WaterC'' Data'!$H$4:$L$8,MATCH(N209,'G-7 WaterC'' Data'!$B$4:$B$8,0),MATCH(T209,'G-7 WaterC'' Data'!$H$3:$L$3,0)),"")</f>
        <v/>
      </c>
      <c r="V209" s="122"/>
      <c r="W209" s="382" t="str">
        <f>IF(V209="","",IF(VLOOKUP(V209,'G-7 WaterC'' Data'!$AK$4:$AM$6,2,FALSE)=0,"Spatial Data Missing ⚠",VLOOKUP(V209,'G-7 WaterC'' Data'!$AK$4:$AM$6,2,FALSE)))</f>
        <v/>
      </c>
      <c r="X209" s="386" t="str">
        <f>IF(V209="","",IF(VLOOKUP(V209,'G-7 WaterC'' Data'!$AK$4:$AM$6,3,FALSE)=0,"Spatial Data Missing ⚠",VLOOKUP(V209,'G-7 WaterC'' Data'!$AK$4:$AM$6,3,FALSE)))</f>
        <v/>
      </c>
      <c r="Y209" s="398" t="str">
        <f>IFERROR(IF(OR(LEFT(P209,5)="Error",LEFT(O209,5)="Error"),"Check Data ⚠",IF(F209&lt;S209,'G-7 WaterC'' Data'!$R$3,INDEX('G-7 WaterC'' Data'!$U$5:$Y$9,MATCH(G209,'G-7 WaterC'' Data'!$T$5:$T$9,0),MATCH(T209,'G-7 WaterC'' Data'!$U$4:$Y$4,0)))),"")</f>
        <v/>
      </c>
      <c r="Z209" s="165"/>
      <c r="AA209" s="165"/>
      <c r="AB209" s="395" t="str">
        <f t="shared" si="27"/>
        <v/>
      </c>
      <c r="AC209" s="383" t="str">
        <f t="shared" si="32"/>
        <v/>
      </c>
      <c r="AD209" s="422" t="str">
        <f>IFERROR(IF(AC209="Check Data ⚠","Check Data ⚠",VLOOKUP(AC209,'G-4 Temporal multipliers'!$A$4:$C$37,3,FALSE)),"")</f>
        <v/>
      </c>
      <c r="AE209" s="398" t="str">
        <f>IF(N209="","",VLOOKUP(N209,'G-7 WaterC'' Data'!$B$4:$G$8,5,FALSE))</f>
        <v/>
      </c>
      <c r="AF209" s="382" t="str">
        <f t="shared" si="28"/>
        <v/>
      </c>
      <c r="AG209" s="382" t="str">
        <f t="shared" si="33"/>
        <v/>
      </c>
      <c r="AH209" s="386" t="str">
        <f t="shared" si="29"/>
        <v/>
      </c>
      <c r="AI209" s="122"/>
      <c r="AJ209" s="363" t="str">
        <f>IF(AI209="","",IF(VLOOKUP(AI209,'G-7 WaterC'' Data'!$AA$4:$AB$7,2,FALSE)=0,"Spatial Data Missing ⚠",VLOOKUP(AI209,'G-7 WaterC'' Data'!$AA$4:$AB$7,2,FALSE)))</f>
        <v/>
      </c>
      <c r="AK209" s="123"/>
      <c r="AL209" s="397" t="str">
        <f>IF(AK209="","",IF(VLOOKUP(AK209,'G-7 WaterC'' Data'!$AD$4:$AE$14,2,FALSE)=0,"Spatial Data Missing ⚠",VLOOKUP(AK209,'G-7 WaterC'' Data'!$AD$4:$AE$14,2,FALSE)))</f>
        <v/>
      </c>
      <c r="AM209" s="122"/>
      <c r="AN209" s="363" t="str">
        <f>IF(AM209="","",IF(VLOOKUP(AM209,'G-7 WaterC'' Data'!$AO$4:$BO$7,2,FALSE)=0,"Spatial Data Missing ⚠",VLOOKUP(AM209,'G-7 WaterC'' Data'!$AO$4:$BO$7,2,FALSE)))</f>
        <v/>
      </c>
      <c r="AO209" s="405" t="str">
        <f t="shared" si="34"/>
        <v/>
      </c>
      <c r="AP209" s="405" t="str">
        <f t="shared" si="35"/>
        <v/>
      </c>
      <c r="AQ209" s="117"/>
      <c r="AR209" s="118"/>
      <c r="AS209" s="120"/>
      <c r="AT209" s="120"/>
      <c r="AY209" s="30" t="str">
        <f>IFERROR(INDEX('G-7 WaterC'' Data'!$AZ$3:$AZ$7,MATCH(N209,'G-7 WaterC'' Data'!$AY$3:$AY$7,0)),"")</f>
        <v/>
      </c>
    </row>
    <row r="210" spans="2:51" ht="15">
      <c r="B210" s="392" t="str">
        <f>'F-1 Off-Site WaterC'' Baseline'!AR208</f>
        <v/>
      </c>
      <c r="C210" s="382" t="str">
        <f>IF(B210="","",VLOOKUP($B210,'F-1 Off-Site WaterC'' Baseline'!$C$9:$R$257,2,FALSE))</f>
        <v/>
      </c>
      <c r="D210" s="382" t="str">
        <f>IF(C210="","",VLOOKUP($B210,'F-1 Off-Site WaterC'' Baseline'!$C$9:$R$257,3,FALSE))</f>
        <v/>
      </c>
      <c r="E210" s="382" t="str">
        <f>IF(D210="","",VLOOKUP($B210,'F-1 Off-Site WaterC'' Baseline'!$C$9:$R$257,4,FALSE))</f>
        <v/>
      </c>
      <c r="F210" s="382" t="str">
        <f>IF(E210="","",VLOOKUP($B210,'F-1 Off-Site WaterC'' Baseline'!$C$9:$R$257,5,FALSE))</f>
        <v/>
      </c>
      <c r="G210" s="382" t="str">
        <f>IF(F210="","",VLOOKUP($B210,'F-1 Off-Site WaterC'' Baseline'!$C$9:$R$257,6,FALSE))</f>
        <v/>
      </c>
      <c r="H210" s="382" t="str">
        <f>IF(G210="","",VLOOKUP($B210,'F-1 Off-Site WaterC'' Baseline'!$C$9:$R$257,7,FALSE))</f>
        <v/>
      </c>
      <c r="I210" s="382" t="str">
        <f>IF(H210="","",VLOOKUP($B210,'F-1 Off-Site WaterC'' Baseline'!$C$9:$R$257,8,FALSE))</f>
        <v/>
      </c>
      <c r="J210" s="382" t="str">
        <f>IF(I210="","",VLOOKUP($B210,'F-1 Off-Site WaterC'' Baseline'!$C$9:$R$257,9,FALSE))</f>
        <v/>
      </c>
      <c r="K210" s="382" t="str">
        <f>IF(J210="","",VLOOKUP($B210,'F-1 Off-Site WaterC'' Baseline'!$C$9:$R$257,10,FALSE))</f>
        <v/>
      </c>
      <c r="L210" s="382" t="str">
        <f>IF(B210="","",VLOOKUP($B210,'F-1 Off-Site WaterC'' Baseline'!$C$9:$R$257,15,FALSE))</f>
        <v/>
      </c>
      <c r="M210" s="386" t="str">
        <f>IF(L210="","",VLOOKUP($B210,'F-1 Off-Site WaterC'' Baseline'!$C$9:$R$257,16,FALSE))</f>
        <v/>
      </c>
      <c r="N210" s="316" t="str">
        <f t="shared" si="30"/>
        <v/>
      </c>
      <c r="O210" s="362" t="str">
        <f t="shared" si="31"/>
        <v/>
      </c>
      <c r="P210" s="363" t="str">
        <f>IF(C210="","",IF(AND(LEFT(C210,55)&lt;&gt;LEFT(N210,55),O210="High - High"),"Error - Not like for like ▲",IF(H210&gt;U210,"Error - Can not reduce condition ▲",IF(AND(F210=S210,H210=U210,AJ210='F-1 Off-Site WaterC'' Baseline'!N208,'F-1 Off-Site WaterC'' Baseline'!P208=AL210),"Error - No enhancement ▲",IF(AND(C210&lt;&gt;N210,F210&lt;S210),"Lower Distinctiveness Habitat"&amp;" - "&amp;T210,G210&amp;" - "&amp;T210)))))</f>
        <v/>
      </c>
      <c r="Q210" s="368" t="str">
        <f>IF(N210="","",VLOOKUP(B210,'F-1 Off-Site WaterC'' Baseline'!$C$10:$AE$257,22,FALSE))</f>
        <v/>
      </c>
      <c r="R210" s="362" t="str">
        <f>IF(N210="","",VLOOKUP(N210,'G-7 WaterC'' Data'!$B$2:$G$8,2,FALSE))</f>
        <v/>
      </c>
      <c r="S210" s="363" t="str">
        <f>IFERROR(VLOOKUP(R210,'G-7 WaterC'' Data'!$C$4:$D$8,2,FALSE),"")</f>
        <v/>
      </c>
      <c r="T210" s="114"/>
      <c r="U210" s="363" t="str">
        <f>IFERROR(INDEX('G-7 WaterC'' Data'!$H$4:$L$8,MATCH(N210,'G-7 WaterC'' Data'!$B$4:$B$8,0),MATCH(T210,'G-7 WaterC'' Data'!$H$3:$L$3,0)),"")</f>
        <v/>
      </c>
      <c r="V210" s="122"/>
      <c r="W210" s="382" t="str">
        <f>IF(V210="","",IF(VLOOKUP(V210,'G-7 WaterC'' Data'!$AK$4:$AM$6,2,FALSE)=0,"Spatial Data Missing ⚠",VLOOKUP(V210,'G-7 WaterC'' Data'!$AK$4:$AM$6,2,FALSE)))</f>
        <v/>
      </c>
      <c r="X210" s="386" t="str">
        <f>IF(V210="","",IF(VLOOKUP(V210,'G-7 WaterC'' Data'!$AK$4:$AM$6,3,FALSE)=0,"Spatial Data Missing ⚠",VLOOKUP(V210,'G-7 WaterC'' Data'!$AK$4:$AM$6,3,FALSE)))</f>
        <v/>
      </c>
      <c r="Y210" s="398" t="str">
        <f>IFERROR(IF(OR(LEFT(P210,5)="Error",LEFT(O210,5)="Error"),"Check Data ⚠",IF(F210&lt;S210,'G-7 WaterC'' Data'!$R$3,INDEX('G-7 WaterC'' Data'!$U$5:$Y$9,MATCH(G210,'G-7 WaterC'' Data'!$T$5:$T$9,0),MATCH(T210,'G-7 WaterC'' Data'!$U$4:$Y$4,0)))),"")</f>
        <v/>
      </c>
      <c r="Z210" s="165"/>
      <c r="AA210" s="165"/>
      <c r="AB210" s="395" t="str">
        <f t="shared" si="27"/>
        <v/>
      </c>
      <c r="AC210" s="383" t="str">
        <f t="shared" si="32"/>
        <v/>
      </c>
      <c r="AD210" s="422" t="str">
        <f>IFERROR(IF(AC210="Check Data ⚠","Check Data ⚠",VLOOKUP(AC210,'G-4 Temporal multipliers'!$A$4:$C$37,3,FALSE)),"")</f>
        <v/>
      </c>
      <c r="AE210" s="398" t="str">
        <f>IF(N210="","",VLOOKUP(N210,'G-7 WaterC'' Data'!$B$4:$G$8,5,FALSE))</f>
        <v/>
      </c>
      <c r="AF210" s="382" t="str">
        <f t="shared" si="28"/>
        <v/>
      </c>
      <c r="AG210" s="382" t="str">
        <f t="shared" si="33"/>
        <v/>
      </c>
      <c r="AH210" s="386" t="str">
        <f t="shared" si="29"/>
        <v/>
      </c>
      <c r="AI210" s="122"/>
      <c r="AJ210" s="363" t="str">
        <f>IF(AI210="","",IF(VLOOKUP(AI210,'G-7 WaterC'' Data'!$AA$4:$AB$7,2,FALSE)=0,"Spatial Data Missing ⚠",VLOOKUP(AI210,'G-7 WaterC'' Data'!$AA$4:$AB$7,2,FALSE)))</f>
        <v/>
      </c>
      <c r="AK210" s="123"/>
      <c r="AL210" s="397" t="str">
        <f>IF(AK210="","",IF(VLOOKUP(AK210,'G-7 WaterC'' Data'!$AD$4:$AE$14,2,FALSE)=0,"Spatial Data Missing ⚠",VLOOKUP(AK210,'G-7 WaterC'' Data'!$AD$4:$AE$14,2,FALSE)))</f>
        <v/>
      </c>
      <c r="AM210" s="122"/>
      <c r="AN210" s="363" t="str">
        <f>IF(AM210="","",IF(VLOOKUP(AM210,'G-7 WaterC'' Data'!$AO$4:$BO$7,2,FALSE)=0,"Spatial Data Missing ⚠",VLOOKUP(AM210,'G-7 WaterC'' Data'!$AO$4:$BO$7,2,FALSE)))</f>
        <v/>
      </c>
      <c r="AO210" s="405" t="str">
        <f t="shared" si="34"/>
        <v/>
      </c>
      <c r="AP210" s="405" t="str">
        <f t="shared" si="35"/>
        <v/>
      </c>
      <c r="AQ210" s="117"/>
      <c r="AR210" s="118"/>
      <c r="AS210" s="120"/>
      <c r="AT210" s="120"/>
      <c r="AY210" s="30" t="str">
        <f>IFERROR(INDEX('G-7 WaterC'' Data'!$AZ$3:$AZ$7,MATCH(N210,'G-7 WaterC'' Data'!$AY$3:$AY$7,0)),"")</f>
        <v/>
      </c>
    </row>
    <row r="211" spans="2:51" ht="15">
      <c r="B211" s="392" t="str">
        <f>'F-1 Off-Site WaterC'' Baseline'!AR209</f>
        <v/>
      </c>
      <c r="C211" s="382" t="str">
        <f>IF(B211="","",VLOOKUP($B211,'F-1 Off-Site WaterC'' Baseline'!$C$9:$R$257,2,FALSE))</f>
        <v/>
      </c>
      <c r="D211" s="382" t="str">
        <f>IF(C211="","",VLOOKUP($B211,'F-1 Off-Site WaterC'' Baseline'!$C$9:$R$257,3,FALSE))</f>
        <v/>
      </c>
      <c r="E211" s="382" t="str">
        <f>IF(D211="","",VLOOKUP($B211,'F-1 Off-Site WaterC'' Baseline'!$C$9:$R$257,4,FALSE))</f>
        <v/>
      </c>
      <c r="F211" s="382" t="str">
        <f>IF(E211="","",VLOOKUP($B211,'F-1 Off-Site WaterC'' Baseline'!$C$9:$R$257,5,FALSE))</f>
        <v/>
      </c>
      <c r="G211" s="382" t="str">
        <f>IF(F211="","",VLOOKUP($B211,'F-1 Off-Site WaterC'' Baseline'!$C$9:$R$257,6,FALSE))</f>
        <v/>
      </c>
      <c r="H211" s="382" t="str">
        <f>IF(G211="","",VLOOKUP($B211,'F-1 Off-Site WaterC'' Baseline'!$C$9:$R$257,7,FALSE))</f>
        <v/>
      </c>
      <c r="I211" s="382" t="str">
        <f>IF(H211="","",VLOOKUP($B211,'F-1 Off-Site WaterC'' Baseline'!$C$9:$R$257,8,FALSE))</f>
        <v/>
      </c>
      <c r="J211" s="382" t="str">
        <f>IF(I211="","",VLOOKUP($B211,'F-1 Off-Site WaterC'' Baseline'!$C$9:$R$257,9,FALSE))</f>
        <v/>
      </c>
      <c r="K211" s="382" t="str">
        <f>IF(J211="","",VLOOKUP($B211,'F-1 Off-Site WaterC'' Baseline'!$C$9:$R$257,10,FALSE))</f>
        <v/>
      </c>
      <c r="L211" s="382" t="str">
        <f>IF(B211="","",VLOOKUP($B211,'F-1 Off-Site WaterC'' Baseline'!$C$9:$R$257,15,FALSE))</f>
        <v/>
      </c>
      <c r="M211" s="386" t="str">
        <f>IF(L211="","",VLOOKUP($B211,'F-1 Off-Site WaterC'' Baseline'!$C$9:$R$257,16,FALSE))</f>
        <v/>
      </c>
      <c r="N211" s="316" t="str">
        <f t="shared" si="30"/>
        <v/>
      </c>
      <c r="O211" s="362" t="str">
        <f t="shared" si="31"/>
        <v/>
      </c>
      <c r="P211" s="363" t="str">
        <f>IF(C211="","",IF(AND(LEFT(C211,55)&lt;&gt;LEFT(N211,55),O211="High - High"),"Error - Not like for like ▲",IF(H211&gt;U211,"Error - Can not reduce condition ▲",IF(AND(F211=S211,H211=U211,AJ211='F-1 Off-Site WaterC'' Baseline'!N209,'F-1 Off-Site WaterC'' Baseline'!P209=AL211),"Error - No enhancement ▲",IF(AND(C211&lt;&gt;N211,F211&lt;S211),"Lower Distinctiveness Habitat"&amp;" - "&amp;T211,G211&amp;" - "&amp;T211)))))</f>
        <v/>
      </c>
      <c r="Q211" s="368" t="str">
        <f>IF(N211="","",VLOOKUP(B211,'F-1 Off-Site WaterC'' Baseline'!$C$10:$AE$257,22,FALSE))</f>
        <v/>
      </c>
      <c r="R211" s="362" t="str">
        <f>IF(N211="","",VLOOKUP(N211,'G-7 WaterC'' Data'!$B$2:$G$8,2,FALSE))</f>
        <v/>
      </c>
      <c r="S211" s="363" t="str">
        <f>IFERROR(VLOOKUP(R211,'G-7 WaterC'' Data'!$C$4:$D$8,2,FALSE),"")</f>
        <v/>
      </c>
      <c r="T211" s="114"/>
      <c r="U211" s="363" t="str">
        <f>IFERROR(INDEX('G-7 WaterC'' Data'!$H$4:$L$8,MATCH(N211,'G-7 WaterC'' Data'!$B$4:$B$8,0),MATCH(T211,'G-7 WaterC'' Data'!$H$3:$L$3,0)),"")</f>
        <v/>
      </c>
      <c r="V211" s="122"/>
      <c r="W211" s="382" t="str">
        <f>IF(V211="","",IF(VLOOKUP(V211,'G-7 WaterC'' Data'!$AK$4:$AM$6,2,FALSE)=0,"Spatial Data Missing ⚠",VLOOKUP(V211,'G-7 WaterC'' Data'!$AK$4:$AM$6,2,FALSE)))</f>
        <v/>
      </c>
      <c r="X211" s="386" t="str">
        <f>IF(V211="","",IF(VLOOKUP(V211,'G-7 WaterC'' Data'!$AK$4:$AM$6,3,FALSE)=0,"Spatial Data Missing ⚠",VLOOKUP(V211,'G-7 WaterC'' Data'!$AK$4:$AM$6,3,FALSE)))</f>
        <v/>
      </c>
      <c r="Y211" s="398" t="str">
        <f>IFERROR(IF(OR(LEFT(P211,5)="Error",LEFT(O211,5)="Error"),"Check Data ⚠",IF(F211&lt;S211,'G-7 WaterC'' Data'!$R$3,INDEX('G-7 WaterC'' Data'!$U$5:$Y$9,MATCH(G211,'G-7 WaterC'' Data'!$T$5:$T$9,0),MATCH(T211,'G-7 WaterC'' Data'!$U$4:$Y$4,0)))),"")</f>
        <v/>
      </c>
      <c r="Z211" s="165"/>
      <c r="AA211" s="165"/>
      <c r="AB211" s="395" t="str">
        <f t="shared" si="27"/>
        <v/>
      </c>
      <c r="AC211" s="383" t="str">
        <f t="shared" si="32"/>
        <v/>
      </c>
      <c r="AD211" s="422" t="str">
        <f>IFERROR(IF(AC211="Check Data ⚠","Check Data ⚠",VLOOKUP(AC211,'G-4 Temporal multipliers'!$A$4:$C$37,3,FALSE)),"")</f>
        <v/>
      </c>
      <c r="AE211" s="398" t="str">
        <f>IF(N211="","",VLOOKUP(N211,'G-7 WaterC'' Data'!$B$4:$G$8,5,FALSE))</f>
        <v/>
      </c>
      <c r="AF211" s="382" t="str">
        <f t="shared" si="28"/>
        <v/>
      </c>
      <c r="AG211" s="382" t="str">
        <f t="shared" si="33"/>
        <v/>
      </c>
      <c r="AH211" s="386" t="str">
        <f t="shared" si="29"/>
        <v/>
      </c>
      <c r="AI211" s="122"/>
      <c r="AJ211" s="363" t="str">
        <f>IF(AI211="","",IF(VLOOKUP(AI211,'G-7 WaterC'' Data'!$AA$4:$AB$7,2,FALSE)=0,"Spatial Data Missing ⚠",VLOOKUP(AI211,'G-7 WaterC'' Data'!$AA$4:$AB$7,2,FALSE)))</f>
        <v/>
      </c>
      <c r="AK211" s="123"/>
      <c r="AL211" s="397" t="str">
        <f>IF(AK211="","",IF(VLOOKUP(AK211,'G-7 WaterC'' Data'!$AD$4:$AE$14,2,FALSE)=0,"Spatial Data Missing ⚠",VLOOKUP(AK211,'G-7 WaterC'' Data'!$AD$4:$AE$14,2,FALSE)))</f>
        <v/>
      </c>
      <c r="AM211" s="122"/>
      <c r="AN211" s="363" t="str">
        <f>IF(AM211="","",IF(VLOOKUP(AM211,'G-7 WaterC'' Data'!$AO$4:$BO$7,2,FALSE)=0,"Spatial Data Missing ⚠",VLOOKUP(AM211,'G-7 WaterC'' Data'!$AO$4:$BO$7,2,FALSE)))</f>
        <v/>
      </c>
      <c r="AO211" s="405" t="str">
        <f t="shared" si="34"/>
        <v/>
      </c>
      <c r="AP211" s="405" t="str">
        <f t="shared" si="35"/>
        <v/>
      </c>
      <c r="AQ211" s="117"/>
      <c r="AR211" s="118"/>
      <c r="AS211" s="120"/>
      <c r="AT211" s="120"/>
      <c r="AY211" s="30" t="str">
        <f>IFERROR(INDEX('G-7 WaterC'' Data'!$AZ$3:$AZ$7,MATCH(N211,'G-7 WaterC'' Data'!$AY$3:$AY$7,0)),"")</f>
        <v/>
      </c>
    </row>
    <row r="212" spans="2:51" ht="15">
      <c r="B212" s="392" t="str">
        <f>'F-1 Off-Site WaterC'' Baseline'!AR210</f>
        <v/>
      </c>
      <c r="C212" s="382" t="str">
        <f>IF(B212="","",VLOOKUP($B212,'F-1 Off-Site WaterC'' Baseline'!$C$9:$R$257,2,FALSE))</f>
        <v/>
      </c>
      <c r="D212" s="382" t="str">
        <f>IF(C212="","",VLOOKUP($B212,'F-1 Off-Site WaterC'' Baseline'!$C$9:$R$257,3,FALSE))</f>
        <v/>
      </c>
      <c r="E212" s="382" t="str">
        <f>IF(D212="","",VLOOKUP($B212,'F-1 Off-Site WaterC'' Baseline'!$C$9:$R$257,4,FALSE))</f>
        <v/>
      </c>
      <c r="F212" s="382" t="str">
        <f>IF(E212="","",VLOOKUP($B212,'F-1 Off-Site WaterC'' Baseline'!$C$9:$R$257,5,FALSE))</f>
        <v/>
      </c>
      <c r="G212" s="382" t="str">
        <f>IF(F212="","",VLOOKUP($B212,'F-1 Off-Site WaterC'' Baseline'!$C$9:$R$257,6,FALSE))</f>
        <v/>
      </c>
      <c r="H212" s="382" t="str">
        <f>IF(G212="","",VLOOKUP($B212,'F-1 Off-Site WaterC'' Baseline'!$C$9:$R$257,7,FALSE))</f>
        <v/>
      </c>
      <c r="I212" s="382" t="str">
        <f>IF(H212="","",VLOOKUP($B212,'F-1 Off-Site WaterC'' Baseline'!$C$9:$R$257,8,FALSE))</f>
        <v/>
      </c>
      <c r="J212" s="382" t="str">
        <f>IF(I212="","",VLOOKUP($B212,'F-1 Off-Site WaterC'' Baseline'!$C$9:$R$257,9,FALSE))</f>
        <v/>
      </c>
      <c r="K212" s="382" t="str">
        <f>IF(J212="","",VLOOKUP($B212,'F-1 Off-Site WaterC'' Baseline'!$C$9:$R$257,10,FALSE))</f>
        <v/>
      </c>
      <c r="L212" s="382" t="str">
        <f>IF(B212="","",VLOOKUP($B212,'F-1 Off-Site WaterC'' Baseline'!$C$9:$R$257,15,FALSE))</f>
        <v/>
      </c>
      <c r="M212" s="386" t="str">
        <f>IF(L212="","",VLOOKUP($B212,'F-1 Off-Site WaterC'' Baseline'!$C$9:$R$257,16,FALSE))</f>
        <v/>
      </c>
      <c r="N212" s="316" t="str">
        <f t="shared" si="30"/>
        <v/>
      </c>
      <c r="O212" s="362" t="str">
        <f t="shared" si="31"/>
        <v/>
      </c>
      <c r="P212" s="363" t="str">
        <f>IF(C212="","",IF(AND(LEFT(C212,55)&lt;&gt;LEFT(N212,55),O212="High - High"),"Error - Not like for like ▲",IF(H212&gt;U212,"Error - Can not reduce condition ▲",IF(AND(F212=S212,H212=U212,AJ212='F-1 Off-Site WaterC'' Baseline'!N210,'F-1 Off-Site WaterC'' Baseline'!P210=AL212),"Error - No enhancement ▲",IF(AND(C212&lt;&gt;N212,F212&lt;S212),"Lower Distinctiveness Habitat"&amp;" - "&amp;T212,G212&amp;" - "&amp;T212)))))</f>
        <v/>
      </c>
      <c r="Q212" s="368" t="str">
        <f>IF(N212="","",VLOOKUP(B212,'F-1 Off-Site WaterC'' Baseline'!$C$10:$AE$257,22,FALSE))</f>
        <v/>
      </c>
      <c r="R212" s="362" t="str">
        <f>IF(N212="","",VLOOKUP(N212,'G-7 WaterC'' Data'!$B$2:$G$8,2,FALSE))</f>
        <v/>
      </c>
      <c r="S212" s="363" t="str">
        <f>IFERROR(VLOOKUP(R212,'G-7 WaterC'' Data'!$C$4:$D$8,2,FALSE),"")</f>
        <v/>
      </c>
      <c r="T212" s="114"/>
      <c r="U212" s="363" t="str">
        <f>IFERROR(INDEX('G-7 WaterC'' Data'!$H$4:$L$8,MATCH(N212,'G-7 WaterC'' Data'!$B$4:$B$8,0),MATCH(T212,'G-7 WaterC'' Data'!$H$3:$L$3,0)),"")</f>
        <v/>
      </c>
      <c r="V212" s="122"/>
      <c r="W212" s="382" t="str">
        <f>IF(V212="","",IF(VLOOKUP(V212,'G-7 WaterC'' Data'!$AK$4:$AM$6,2,FALSE)=0,"Spatial Data Missing ⚠",VLOOKUP(V212,'G-7 WaterC'' Data'!$AK$4:$AM$6,2,FALSE)))</f>
        <v/>
      </c>
      <c r="X212" s="386" t="str">
        <f>IF(V212="","",IF(VLOOKUP(V212,'G-7 WaterC'' Data'!$AK$4:$AM$6,3,FALSE)=0,"Spatial Data Missing ⚠",VLOOKUP(V212,'G-7 WaterC'' Data'!$AK$4:$AM$6,3,FALSE)))</f>
        <v/>
      </c>
      <c r="Y212" s="398" t="str">
        <f>IFERROR(IF(OR(LEFT(P212,5)="Error",LEFT(O212,5)="Error"),"Check Data ⚠",IF(F212&lt;S212,'G-7 WaterC'' Data'!$R$3,INDEX('G-7 WaterC'' Data'!$U$5:$Y$9,MATCH(G212,'G-7 WaterC'' Data'!$T$5:$T$9,0),MATCH(T212,'G-7 WaterC'' Data'!$U$4:$Y$4,0)))),"")</f>
        <v/>
      </c>
      <c r="Z212" s="165"/>
      <c r="AA212" s="165"/>
      <c r="AB212" s="395" t="str">
        <f t="shared" si="27"/>
        <v/>
      </c>
      <c r="AC212" s="383" t="str">
        <f t="shared" si="32"/>
        <v/>
      </c>
      <c r="AD212" s="422" t="str">
        <f>IFERROR(IF(AC212="Check Data ⚠","Check Data ⚠",VLOOKUP(AC212,'G-4 Temporal multipliers'!$A$4:$C$37,3,FALSE)),"")</f>
        <v/>
      </c>
      <c r="AE212" s="398" t="str">
        <f>IF(N212="","",VLOOKUP(N212,'G-7 WaterC'' Data'!$B$4:$G$8,5,FALSE))</f>
        <v/>
      </c>
      <c r="AF212" s="382" t="str">
        <f t="shared" si="28"/>
        <v/>
      </c>
      <c r="AG212" s="382" t="str">
        <f t="shared" si="33"/>
        <v/>
      </c>
      <c r="AH212" s="386" t="str">
        <f t="shared" si="29"/>
        <v/>
      </c>
      <c r="AI212" s="122"/>
      <c r="AJ212" s="363" t="str">
        <f>IF(AI212="","",IF(VLOOKUP(AI212,'G-7 WaterC'' Data'!$AA$4:$AB$7,2,FALSE)=0,"Spatial Data Missing ⚠",VLOOKUP(AI212,'G-7 WaterC'' Data'!$AA$4:$AB$7,2,FALSE)))</f>
        <v/>
      </c>
      <c r="AK212" s="123"/>
      <c r="AL212" s="397" t="str">
        <f>IF(AK212="","",IF(VLOOKUP(AK212,'G-7 WaterC'' Data'!$AD$4:$AE$14,2,FALSE)=0,"Spatial Data Missing ⚠",VLOOKUP(AK212,'G-7 WaterC'' Data'!$AD$4:$AE$14,2,FALSE)))</f>
        <v/>
      </c>
      <c r="AM212" s="122"/>
      <c r="AN212" s="363" t="str">
        <f>IF(AM212="","",IF(VLOOKUP(AM212,'G-7 WaterC'' Data'!$AO$4:$BO$7,2,FALSE)=0,"Spatial Data Missing ⚠",VLOOKUP(AM212,'G-7 WaterC'' Data'!$AO$4:$BO$7,2,FALSE)))</f>
        <v/>
      </c>
      <c r="AO212" s="405" t="str">
        <f t="shared" si="34"/>
        <v/>
      </c>
      <c r="AP212" s="405" t="str">
        <f t="shared" si="35"/>
        <v/>
      </c>
      <c r="AQ212" s="117"/>
      <c r="AR212" s="118"/>
      <c r="AS212" s="120"/>
      <c r="AT212" s="120"/>
      <c r="AY212" s="30" t="str">
        <f>IFERROR(INDEX('G-7 WaterC'' Data'!$AZ$3:$AZ$7,MATCH(N212,'G-7 WaterC'' Data'!$AY$3:$AY$7,0)),"")</f>
        <v/>
      </c>
    </row>
    <row r="213" spans="2:51" ht="15">
      <c r="B213" s="392" t="str">
        <f>'F-1 Off-Site WaterC'' Baseline'!AR211</f>
        <v/>
      </c>
      <c r="C213" s="382" t="str">
        <f>IF(B213="","",VLOOKUP($B213,'F-1 Off-Site WaterC'' Baseline'!$C$9:$R$257,2,FALSE))</f>
        <v/>
      </c>
      <c r="D213" s="382" t="str">
        <f>IF(C213="","",VLOOKUP($B213,'F-1 Off-Site WaterC'' Baseline'!$C$9:$R$257,3,FALSE))</f>
        <v/>
      </c>
      <c r="E213" s="382" t="str">
        <f>IF(D213="","",VLOOKUP($B213,'F-1 Off-Site WaterC'' Baseline'!$C$9:$R$257,4,FALSE))</f>
        <v/>
      </c>
      <c r="F213" s="382" t="str">
        <f>IF(E213="","",VLOOKUP($B213,'F-1 Off-Site WaterC'' Baseline'!$C$9:$R$257,5,FALSE))</f>
        <v/>
      </c>
      <c r="G213" s="382" t="str">
        <f>IF(F213="","",VLOOKUP($B213,'F-1 Off-Site WaterC'' Baseline'!$C$9:$R$257,6,FALSE))</f>
        <v/>
      </c>
      <c r="H213" s="382" t="str">
        <f>IF(G213="","",VLOOKUP($B213,'F-1 Off-Site WaterC'' Baseline'!$C$9:$R$257,7,FALSE))</f>
        <v/>
      </c>
      <c r="I213" s="382" t="str">
        <f>IF(H213="","",VLOOKUP($B213,'F-1 Off-Site WaterC'' Baseline'!$C$9:$R$257,8,FALSE))</f>
        <v/>
      </c>
      <c r="J213" s="382" t="str">
        <f>IF(I213="","",VLOOKUP($B213,'F-1 Off-Site WaterC'' Baseline'!$C$9:$R$257,9,FALSE))</f>
        <v/>
      </c>
      <c r="K213" s="382" t="str">
        <f>IF(J213="","",VLOOKUP($B213,'F-1 Off-Site WaterC'' Baseline'!$C$9:$R$257,10,FALSE))</f>
        <v/>
      </c>
      <c r="L213" s="382" t="str">
        <f>IF(B213="","",VLOOKUP($B213,'F-1 Off-Site WaterC'' Baseline'!$C$9:$R$257,15,FALSE))</f>
        <v/>
      </c>
      <c r="M213" s="386" t="str">
        <f>IF(L213="","",VLOOKUP($B213,'F-1 Off-Site WaterC'' Baseline'!$C$9:$R$257,16,FALSE))</f>
        <v/>
      </c>
      <c r="N213" s="316" t="str">
        <f t="shared" si="30"/>
        <v/>
      </c>
      <c r="O213" s="362" t="str">
        <f t="shared" si="31"/>
        <v/>
      </c>
      <c r="P213" s="363" t="str">
        <f>IF(C213="","",IF(AND(LEFT(C213,55)&lt;&gt;LEFT(N213,55),O213="High - High"),"Error - Not like for like ▲",IF(H213&gt;U213,"Error - Can not reduce condition ▲",IF(AND(F213=S213,H213=U213,AJ213='F-1 Off-Site WaterC'' Baseline'!N211,'F-1 Off-Site WaterC'' Baseline'!P211=AL213),"Error - No enhancement ▲",IF(AND(C213&lt;&gt;N213,F213&lt;S213),"Lower Distinctiveness Habitat"&amp;" - "&amp;T213,G213&amp;" - "&amp;T213)))))</f>
        <v/>
      </c>
      <c r="Q213" s="368" t="str">
        <f>IF(N213="","",VLOOKUP(B213,'F-1 Off-Site WaterC'' Baseline'!$C$10:$AE$257,22,FALSE))</f>
        <v/>
      </c>
      <c r="R213" s="362" t="str">
        <f>IF(N213="","",VLOOKUP(N213,'G-7 WaterC'' Data'!$B$2:$G$8,2,FALSE))</f>
        <v/>
      </c>
      <c r="S213" s="363" t="str">
        <f>IFERROR(VLOOKUP(R213,'G-7 WaterC'' Data'!$C$4:$D$8,2,FALSE),"")</f>
        <v/>
      </c>
      <c r="T213" s="114"/>
      <c r="U213" s="363" t="str">
        <f>IFERROR(INDEX('G-7 WaterC'' Data'!$H$4:$L$8,MATCH(N213,'G-7 WaterC'' Data'!$B$4:$B$8,0),MATCH(T213,'G-7 WaterC'' Data'!$H$3:$L$3,0)),"")</f>
        <v/>
      </c>
      <c r="V213" s="122"/>
      <c r="W213" s="382" t="str">
        <f>IF(V213="","",IF(VLOOKUP(V213,'G-7 WaterC'' Data'!$AK$4:$AM$6,2,FALSE)=0,"Spatial Data Missing ⚠",VLOOKUP(V213,'G-7 WaterC'' Data'!$AK$4:$AM$6,2,FALSE)))</f>
        <v/>
      </c>
      <c r="X213" s="386" t="str">
        <f>IF(V213="","",IF(VLOOKUP(V213,'G-7 WaterC'' Data'!$AK$4:$AM$6,3,FALSE)=0,"Spatial Data Missing ⚠",VLOOKUP(V213,'G-7 WaterC'' Data'!$AK$4:$AM$6,3,FALSE)))</f>
        <v/>
      </c>
      <c r="Y213" s="398" t="str">
        <f>IFERROR(IF(OR(LEFT(P213,5)="Error",LEFT(O213,5)="Error"),"Check Data ⚠",IF(F213&lt;S213,'G-7 WaterC'' Data'!$R$3,INDEX('G-7 WaterC'' Data'!$U$5:$Y$9,MATCH(G213,'G-7 WaterC'' Data'!$T$5:$T$9,0),MATCH(T213,'G-7 WaterC'' Data'!$U$4:$Y$4,0)))),"")</f>
        <v/>
      </c>
      <c r="Z213" s="165"/>
      <c r="AA213" s="165"/>
      <c r="AB213" s="395" t="str">
        <f t="shared" si="27"/>
        <v/>
      </c>
      <c r="AC213" s="383" t="str">
        <f t="shared" si="32"/>
        <v/>
      </c>
      <c r="AD213" s="422" t="str">
        <f>IFERROR(IF(AC213="Check Data ⚠","Check Data ⚠",VLOOKUP(AC213,'G-4 Temporal multipliers'!$A$4:$C$37,3,FALSE)),"")</f>
        <v/>
      </c>
      <c r="AE213" s="398" t="str">
        <f>IF(N213="","",VLOOKUP(N213,'G-7 WaterC'' Data'!$B$4:$G$8,5,FALSE))</f>
        <v/>
      </c>
      <c r="AF213" s="382" t="str">
        <f t="shared" si="28"/>
        <v/>
      </c>
      <c r="AG213" s="382" t="str">
        <f t="shared" si="33"/>
        <v/>
      </c>
      <c r="AH213" s="386" t="str">
        <f t="shared" si="29"/>
        <v/>
      </c>
      <c r="AI213" s="122"/>
      <c r="AJ213" s="363" t="str">
        <f>IF(AI213="","",IF(VLOOKUP(AI213,'G-7 WaterC'' Data'!$AA$4:$AB$7,2,FALSE)=0,"Spatial Data Missing ⚠",VLOOKUP(AI213,'G-7 WaterC'' Data'!$AA$4:$AB$7,2,FALSE)))</f>
        <v/>
      </c>
      <c r="AK213" s="123"/>
      <c r="AL213" s="397" t="str">
        <f>IF(AK213="","",IF(VLOOKUP(AK213,'G-7 WaterC'' Data'!$AD$4:$AE$14,2,FALSE)=0,"Spatial Data Missing ⚠",VLOOKUP(AK213,'G-7 WaterC'' Data'!$AD$4:$AE$14,2,FALSE)))</f>
        <v/>
      </c>
      <c r="AM213" s="122"/>
      <c r="AN213" s="363" t="str">
        <f>IF(AM213="","",IF(VLOOKUP(AM213,'G-7 WaterC'' Data'!$AO$4:$BO$7,2,FALSE)=0,"Spatial Data Missing ⚠",VLOOKUP(AM213,'G-7 WaterC'' Data'!$AO$4:$BO$7,2,FALSE)))</f>
        <v/>
      </c>
      <c r="AO213" s="405" t="str">
        <f t="shared" si="34"/>
        <v/>
      </c>
      <c r="AP213" s="405" t="str">
        <f t="shared" si="35"/>
        <v/>
      </c>
      <c r="AQ213" s="117"/>
      <c r="AR213" s="118"/>
      <c r="AS213" s="120"/>
      <c r="AT213" s="120"/>
      <c r="AY213" s="30" t="str">
        <f>IFERROR(INDEX('G-7 WaterC'' Data'!$AZ$3:$AZ$7,MATCH(N213,'G-7 WaterC'' Data'!$AY$3:$AY$7,0)),"")</f>
        <v/>
      </c>
    </row>
    <row r="214" spans="2:51" ht="15">
      <c r="B214" s="392" t="str">
        <f>'F-1 Off-Site WaterC'' Baseline'!AR212</f>
        <v/>
      </c>
      <c r="C214" s="382" t="str">
        <f>IF(B214="","",VLOOKUP($B214,'F-1 Off-Site WaterC'' Baseline'!$C$9:$R$257,2,FALSE))</f>
        <v/>
      </c>
      <c r="D214" s="382" t="str">
        <f>IF(C214="","",VLOOKUP($B214,'F-1 Off-Site WaterC'' Baseline'!$C$9:$R$257,3,FALSE))</f>
        <v/>
      </c>
      <c r="E214" s="382" t="str">
        <f>IF(D214="","",VLOOKUP($B214,'F-1 Off-Site WaterC'' Baseline'!$C$9:$R$257,4,FALSE))</f>
        <v/>
      </c>
      <c r="F214" s="382" t="str">
        <f>IF(E214="","",VLOOKUP($B214,'F-1 Off-Site WaterC'' Baseline'!$C$9:$R$257,5,FALSE))</f>
        <v/>
      </c>
      <c r="G214" s="382" t="str">
        <f>IF(F214="","",VLOOKUP($B214,'F-1 Off-Site WaterC'' Baseline'!$C$9:$R$257,6,FALSE))</f>
        <v/>
      </c>
      <c r="H214" s="382" t="str">
        <f>IF(G214="","",VLOOKUP($B214,'F-1 Off-Site WaterC'' Baseline'!$C$9:$R$257,7,FALSE))</f>
        <v/>
      </c>
      <c r="I214" s="382" t="str">
        <f>IF(H214="","",VLOOKUP($B214,'F-1 Off-Site WaterC'' Baseline'!$C$9:$R$257,8,FALSE))</f>
        <v/>
      </c>
      <c r="J214" s="382" t="str">
        <f>IF(I214="","",VLOOKUP($B214,'F-1 Off-Site WaterC'' Baseline'!$C$9:$R$257,9,FALSE))</f>
        <v/>
      </c>
      <c r="K214" s="382" t="str">
        <f>IF(J214="","",VLOOKUP($B214,'F-1 Off-Site WaterC'' Baseline'!$C$9:$R$257,10,FALSE))</f>
        <v/>
      </c>
      <c r="L214" s="382" t="str">
        <f>IF(B214="","",VLOOKUP($B214,'F-1 Off-Site WaterC'' Baseline'!$C$9:$R$257,15,FALSE))</f>
        <v/>
      </c>
      <c r="M214" s="386" t="str">
        <f>IF(L214="","",VLOOKUP($B214,'F-1 Off-Site WaterC'' Baseline'!$C$9:$R$257,16,FALSE))</f>
        <v/>
      </c>
      <c r="N214" s="316" t="str">
        <f t="shared" si="30"/>
        <v/>
      </c>
      <c r="O214" s="362" t="str">
        <f t="shared" si="31"/>
        <v/>
      </c>
      <c r="P214" s="363" t="str">
        <f>IF(C214="","",IF(AND(LEFT(C214,55)&lt;&gt;LEFT(N214,55),O214="High - High"),"Error - Not like for like ▲",IF(H214&gt;U214,"Error - Can not reduce condition ▲",IF(AND(F214=S214,H214=U214,AJ214='F-1 Off-Site WaterC'' Baseline'!N212,'F-1 Off-Site WaterC'' Baseline'!P212=AL214),"Error - No enhancement ▲",IF(AND(C214&lt;&gt;N214,F214&lt;S214),"Lower Distinctiveness Habitat"&amp;" - "&amp;T214,G214&amp;" - "&amp;T214)))))</f>
        <v/>
      </c>
      <c r="Q214" s="368" t="str">
        <f>IF(N214="","",VLOOKUP(B214,'F-1 Off-Site WaterC'' Baseline'!$C$10:$AE$257,22,FALSE))</f>
        <v/>
      </c>
      <c r="R214" s="362" t="str">
        <f>IF(N214="","",VLOOKUP(N214,'G-7 WaterC'' Data'!$B$2:$G$8,2,FALSE))</f>
        <v/>
      </c>
      <c r="S214" s="363" t="str">
        <f>IFERROR(VLOOKUP(R214,'G-7 WaterC'' Data'!$C$4:$D$8,2,FALSE),"")</f>
        <v/>
      </c>
      <c r="T214" s="114"/>
      <c r="U214" s="363" t="str">
        <f>IFERROR(INDEX('G-7 WaterC'' Data'!$H$4:$L$8,MATCH(N214,'G-7 WaterC'' Data'!$B$4:$B$8,0),MATCH(T214,'G-7 WaterC'' Data'!$H$3:$L$3,0)),"")</f>
        <v/>
      </c>
      <c r="V214" s="122"/>
      <c r="W214" s="382" t="str">
        <f>IF(V214="","",IF(VLOOKUP(V214,'G-7 WaterC'' Data'!$AK$4:$AM$6,2,FALSE)=0,"Spatial Data Missing ⚠",VLOOKUP(V214,'G-7 WaterC'' Data'!$AK$4:$AM$6,2,FALSE)))</f>
        <v/>
      </c>
      <c r="X214" s="386" t="str">
        <f>IF(V214="","",IF(VLOOKUP(V214,'G-7 WaterC'' Data'!$AK$4:$AM$6,3,FALSE)=0,"Spatial Data Missing ⚠",VLOOKUP(V214,'G-7 WaterC'' Data'!$AK$4:$AM$6,3,FALSE)))</f>
        <v/>
      </c>
      <c r="Y214" s="398" t="str">
        <f>IFERROR(IF(OR(LEFT(P214,5)="Error",LEFT(O214,5)="Error"),"Check Data ⚠",IF(F214&lt;S214,'G-7 WaterC'' Data'!$R$3,INDEX('G-7 WaterC'' Data'!$U$5:$Y$9,MATCH(G214,'G-7 WaterC'' Data'!$T$5:$T$9,0),MATCH(T214,'G-7 WaterC'' Data'!$U$4:$Y$4,0)))),"")</f>
        <v/>
      </c>
      <c r="Z214" s="165"/>
      <c r="AA214" s="165"/>
      <c r="AB214" s="395" t="str">
        <f t="shared" si="27"/>
        <v/>
      </c>
      <c r="AC214" s="383" t="str">
        <f t="shared" si="32"/>
        <v/>
      </c>
      <c r="AD214" s="422" t="str">
        <f>IFERROR(IF(AC214="Check Data ⚠","Check Data ⚠",VLOOKUP(AC214,'G-4 Temporal multipliers'!$A$4:$C$37,3,FALSE)),"")</f>
        <v/>
      </c>
      <c r="AE214" s="398" t="str">
        <f>IF(N214="","",VLOOKUP(N214,'G-7 WaterC'' Data'!$B$4:$G$8,5,FALSE))</f>
        <v/>
      </c>
      <c r="AF214" s="382" t="str">
        <f t="shared" si="28"/>
        <v/>
      </c>
      <c r="AG214" s="382" t="str">
        <f t="shared" si="33"/>
        <v/>
      </c>
      <c r="AH214" s="386" t="str">
        <f t="shared" si="29"/>
        <v/>
      </c>
      <c r="AI214" s="122"/>
      <c r="AJ214" s="363" t="str">
        <f>IF(AI214="","",IF(VLOOKUP(AI214,'G-7 WaterC'' Data'!$AA$4:$AB$7,2,FALSE)=0,"Spatial Data Missing ⚠",VLOOKUP(AI214,'G-7 WaterC'' Data'!$AA$4:$AB$7,2,FALSE)))</f>
        <v/>
      </c>
      <c r="AK214" s="123"/>
      <c r="AL214" s="397" t="str">
        <f>IF(AK214="","",IF(VLOOKUP(AK214,'G-7 WaterC'' Data'!$AD$4:$AE$14,2,FALSE)=0,"Spatial Data Missing ⚠",VLOOKUP(AK214,'G-7 WaterC'' Data'!$AD$4:$AE$14,2,FALSE)))</f>
        <v/>
      </c>
      <c r="AM214" s="122"/>
      <c r="AN214" s="363" t="str">
        <f>IF(AM214="","",IF(VLOOKUP(AM214,'G-7 WaterC'' Data'!$AO$4:$BO$7,2,FALSE)=0,"Spatial Data Missing ⚠",VLOOKUP(AM214,'G-7 WaterC'' Data'!$AO$4:$BO$7,2,FALSE)))</f>
        <v/>
      </c>
      <c r="AO214" s="405" t="str">
        <f t="shared" si="34"/>
        <v/>
      </c>
      <c r="AP214" s="405" t="str">
        <f t="shared" si="35"/>
        <v/>
      </c>
      <c r="AQ214" s="117"/>
      <c r="AR214" s="118"/>
      <c r="AS214" s="120"/>
      <c r="AT214" s="120"/>
      <c r="AY214" s="30" t="str">
        <f>IFERROR(INDEX('G-7 WaterC'' Data'!$AZ$3:$AZ$7,MATCH(N214,'G-7 WaterC'' Data'!$AY$3:$AY$7,0)),"")</f>
        <v/>
      </c>
    </row>
    <row r="215" spans="2:51" ht="15">
      <c r="B215" s="392" t="str">
        <f>'F-1 Off-Site WaterC'' Baseline'!AR213</f>
        <v/>
      </c>
      <c r="C215" s="382" t="str">
        <f>IF(B215="","",VLOOKUP($B215,'F-1 Off-Site WaterC'' Baseline'!$C$9:$R$257,2,FALSE))</f>
        <v/>
      </c>
      <c r="D215" s="382" t="str">
        <f>IF(C215="","",VLOOKUP($B215,'F-1 Off-Site WaterC'' Baseline'!$C$9:$R$257,3,FALSE))</f>
        <v/>
      </c>
      <c r="E215" s="382" t="str">
        <f>IF(D215="","",VLOOKUP($B215,'F-1 Off-Site WaterC'' Baseline'!$C$9:$R$257,4,FALSE))</f>
        <v/>
      </c>
      <c r="F215" s="382" t="str">
        <f>IF(E215="","",VLOOKUP($B215,'F-1 Off-Site WaterC'' Baseline'!$C$9:$R$257,5,FALSE))</f>
        <v/>
      </c>
      <c r="G215" s="382" t="str">
        <f>IF(F215="","",VLOOKUP($B215,'F-1 Off-Site WaterC'' Baseline'!$C$9:$R$257,6,FALSE))</f>
        <v/>
      </c>
      <c r="H215" s="382" t="str">
        <f>IF(G215="","",VLOOKUP($B215,'F-1 Off-Site WaterC'' Baseline'!$C$9:$R$257,7,FALSE))</f>
        <v/>
      </c>
      <c r="I215" s="382" t="str">
        <f>IF(H215="","",VLOOKUP($B215,'F-1 Off-Site WaterC'' Baseline'!$C$9:$R$257,8,FALSE))</f>
        <v/>
      </c>
      <c r="J215" s="382" t="str">
        <f>IF(I215="","",VLOOKUP($B215,'F-1 Off-Site WaterC'' Baseline'!$C$9:$R$257,9,FALSE))</f>
        <v/>
      </c>
      <c r="K215" s="382" t="str">
        <f>IF(J215="","",VLOOKUP($B215,'F-1 Off-Site WaterC'' Baseline'!$C$9:$R$257,10,FALSE))</f>
        <v/>
      </c>
      <c r="L215" s="382" t="str">
        <f>IF(B215="","",VLOOKUP($B215,'F-1 Off-Site WaterC'' Baseline'!$C$9:$R$257,15,FALSE))</f>
        <v/>
      </c>
      <c r="M215" s="386" t="str">
        <f>IF(L215="","",VLOOKUP($B215,'F-1 Off-Site WaterC'' Baseline'!$C$9:$R$257,16,FALSE))</f>
        <v/>
      </c>
      <c r="N215" s="316" t="str">
        <f t="shared" si="30"/>
        <v/>
      </c>
      <c r="O215" s="362" t="str">
        <f t="shared" si="31"/>
        <v/>
      </c>
      <c r="P215" s="363" t="str">
        <f>IF(C215="","",IF(AND(LEFT(C215,55)&lt;&gt;LEFT(N215,55),O215="High - High"),"Error - Not like for like ▲",IF(H215&gt;U215,"Error - Can not reduce condition ▲",IF(AND(F215=S215,H215=U215,AJ215='F-1 Off-Site WaterC'' Baseline'!N213,'F-1 Off-Site WaterC'' Baseline'!P213=AL215),"Error - No enhancement ▲",IF(AND(C215&lt;&gt;N215,F215&lt;S215),"Lower Distinctiveness Habitat"&amp;" - "&amp;T215,G215&amp;" - "&amp;T215)))))</f>
        <v/>
      </c>
      <c r="Q215" s="368" t="str">
        <f>IF(N215="","",VLOOKUP(B215,'F-1 Off-Site WaterC'' Baseline'!$C$10:$AE$257,22,FALSE))</f>
        <v/>
      </c>
      <c r="R215" s="362" t="str">
        <f>IF(N215="","",VLOOKUP(N215,'G-7 WaterC'' Data'!$B$2:$G$8,2,FALSE))</f>
        <v/>
      </c>
      <c r="S215" s="363" t="str">
        <f>IFERROR(VLOOKUP(R215,'G-7 WaterC'' Data'!$C$4:$D$8,2,FALSE),"")</f>
        <v/>
      </c>
      <c r="T215" s="114"/>
      <c r="U215" s="363" t="str">
        <f>IFERROR(INDEX('G-7 WaterC'' Data'!$H$4:$L$8,MATCH(N215,'G-7 WaterC'' Data'!$B$4:$B$8,0),MATCH(T215,'G-7 WaterC'' Data'!$H$3:$L$3,0)),"")</f>
        <v/>
      </c>
      <c r="V215" s="122"/>
      <c r="W215" s="382" t="str">
        <f>IF(V215="","",IF(VLOOKUP(V215,'G-7 WaterC'' Data'!$AK$4:$AM$6,2,FALSE)=0,"Spatial Data Missing ⚠",VLOOKUP(V215,'G-7 WaterC'' Data'!$AK$4:$AM$6,2,FALSE)))</f>
        <v/>
      </c>
      <c r="X215" s="386" t="str">
        <f>IF(V215="","",IF(VLOOKUP(V215,'G-7 WaterC'' Data'!$AK$4:$AM$6,3,FALSE)=0,"Spatial Data Missing ⚠",VLOOKUP(V215,'G-7 WaterC'' Data'!$AK$4:$AM$6,3,FALSE)))</f>
        <v/>
      </c>
      <c r="Y215" s="398" t="str">
        <f>IFERROR(IF(OR(LEFT(P215,5)="Error",LEFT(O215,5)="Error"),"Check Data ⚠",IF(F215&lt;S215,'G-7 WaterC'' Data'!$R$3,INDEX('G-7 WaterC'' Data'!$U$5:$Y$9,MATCH(G215,'G-7 WaterC'' Data'!$T$5:$T$9,0),MATCH(T215,'G-7 WaterC'' Data'!$U$4:$Y$4,0)))),"")</f>
        <v/>
      </c>
      <c r="Z215" s="165"/>
      <c r="AA215" s="165"/>
      <c r="AB215" s="395" t="str">
        <f t="shared" si="27"/>
        <v/>
      </c>
      <c r="AC215" s="383" t="str">
        <f t="shared" si="32"/>
        <v/>
      </c>
      <c r="AD215" s="422" t="str">
        <f>IFERROR(IF(AC215="Check Data ⚠","Check Data ⚠",VLOOKUP(AC215,'G-4 Temporal multipliers'!$A$4:$C$37,3,FALSE)),"")</f>
        <v/>
      </c>
      <c r="AE215" s="398" t="str">
        <f>IF(N215="","",VLOOKUP(N215,'G-7 WaterC'' Data'!$B$4:$G$8,5,FALSE))</f>
        <v/>
      </c>
      <c r="AF215" s="382" t="str">
        <f t="shared" si="28"/>
        <v/>
      </c>
      <c r="AG215" s="382" t="str">
        <f t="shared" si="33"/>
        <v/>
      </c>
      <c r="AH215" s="386" t="str">
        <f t="shared" si="29"/>
        <v/>
      </c>
      <c r="AI215" s="122"/>
      <c r="AJ215" s="363" t="str">
        <f>IF(AI215="","",IF(VLOOKUP(AI215,'G-7 WaterC'' Data'!$AA$4:$AB$7,2,FALSE)=0,"Spatial Data Missing ⚠",VLOOKUP(AI215,'G-7 WaterC'' Data'!$AA$4:$AB$7,2,FALSE)))</f>
        <v/>
      </c>
      <c r="AK215" s="123"/>
      <c r="AL215" s="397" t="str">
        <f>IF(AK215="","",IF(VLOOKUP(AK215,'G-7 WaterC'' Data'!$AD$4:$AE$14,2,FALSE)=0,"Spatial Data Missing ⚠",VLOOKUP(AK215,'G-7 WaterC'' Data'!$AD$4:$AE$14,2,FALSE)))</f>
        <v/>
      </c>
      <c r="AM215" s="122"/>
      <c r="AN215" s="363" t="str">
        <f>IF(AM215="","",IF(VLOOKUP(AM215,'G-7 WaterC'' Data'!$AO$4:$BO$7,2,FALSE)=0,"Spatial Data Missing ⚠",VLOOKUP(AM215,'G-7 WaterC'' Data'!$AO$4:$BO$7,2,FALSE)))</f>
        <v/>
      </c>
      <c r="AO215" s="405" t="str">
        <f t="shared" si="34"/>
        <v/>
      </c>
      <c r="AP215" s="405" t="str">
        <f t="shared" si="35"/>
        <v/>
      </c>
      <c r="AQ215" s="117"/>
      <c r="AR215" s="118"/>
      <c r="AS215" s="120"/>
      <c r="AT215" s="120"/>
      <c r="AY215" s="30" t="str">
        <f>IFERROR(INDEX('G-7 WaterC'' Data'!$AZ$3:$AZ$7,MATCH(N215,'G-7 WaterC'' Data'!$AY$3:$AY$7,0)),"")</f>
        <v/>
      </c>
    </row>
    <row r="216" spans="2:51" ht="15">
      <c r="B216" s="392" t="str">
        <f>'F-1 Off-Site WaterC'' Baseline'!AR214</f>
        <v/>
      </c>
      <c r="C216" s="382" t="str">
        <f>IF(B216="","",VLOOKUP($B216,'F-1 Off-Site WaterC'' Baseline'!$C$9:$R$257,2,FALSE))</f>
        <v/>
      </c>
      <c r="D216" s="382" t="str">
        <f>IF(C216="","",VLOOKUP($B216,'F-1 Off-Site WaterC'' Baseline'!$C$9:$R$257,3,FALSE))</f>
        <v/>
      </c>
      <c r="E216" s="382" t="str">
        <f>IF(D216="","",VLOOKUP($B216,'F-1 Off-Site WaterC'' Baseline'!$C$9:$R$257,4,FALSE))</f>
        <v/>
      </c>
      <c r="F216" s="382" t="str">
        <f>IF(E216="","",VLOOKUP($B216,'F-1 Off-Site WaterC'' Baseline'!$C$9:$R$257,5,FALSE))</f>
        <v/>
      </c>
      <c r="G216" s="382" t="str">
        <f>IF(F216="","",VLOOKUP($B216,'F-1 Off-Site WaterC'' Baseline'!$C$9:$R$257,6,FALSE))</f>
        <v/>
      </c>
      <c r="H216" s="382" t="str">
        <f>IF(G216="","",VLOOKUP($B216,'F-1 Off-Site WaterC'' Baseline'!$C$9:$R$257,7,FALSE))</f>
        <v/>
      </c>
      <c r="I216" s="382" t="str">
        <f>IF(H216="","",VLOOKUP($B216,'F-1 Off-Site WaterC'' Baseline'!$C$9:$R$257,8,FALSE))</f>
        <v/>
      </c>
      <c r="J216" s="382" t="str">
        <f>IF(I216="","",VLOOKUP($B216,'F-1 Off-Site WaterC'' Baseline'!$C$9:$R$257,9,FALSE))</f>
        <v/>
      </c>
      <c r="K216" s="382" t="str">
        <f>IF(J216="","",VLOOKUP($B216,'F-1 Off-Site WaterC'' Baseline'!$C$9:$R$257,10,FALSE))</f>
        <v/>
      </c>
      <c r="L216" s="382" t="str">
        <f>IF(B216="","",VLOOKUP($B216,'F-1 Off-Site WaterC'' Baseline'!$C$9:$R$257,15,FALSE))</f>
        <v/>
      </c>
      <c r="M216" s="386" t="str">
        <f>IF(L216="","",VLOOKUP($B216,'F-1 Off-Site WaterC'' Baseline'!$C$9:$R$257,16,FALSE))</f>
        <v/>
      </c>
      <c r="N216" s="316" t="str">
        <f t="shared" si="30"/>
        <v/>
      </c>
      <c r="O216" s="362" t="str">
        <f t="shared" si="31"/>
        <v/>
      </c>
      <c r="P216" s="363" t="str">
        <f>IF(C216="","",IF(AND(LEFT(C216,55)&lt;&gt;LEFT(N216,55),O216="High - High"),"Error - Not like for like ▲",IF(H216&gt;U216,"Error - Can not reduce condition ▲",IF(AND(F216=S216,H216=U216,AJ216='F-1 Off-Site WaterC'' Baseline'!N214,'F-1 Off-Site WaterC'' Baseline'!P214=AL216),"Error - No enhancement ▲",IF(AND(C216&lt;&gt;N216,F216&lt;S216),"Lower Distinctiveness Habitat"&amp;" - "&amp;T216,G216&amp;" - "&amp;T216)))))</f>
        <v/>
      </c>
      <c r="Q216" s="368" t="str">
        <f>IF(N216="","",VLOOKUP(B216,'F-1 Off-Site WaterC'' Baseline'!$C$10:$AE$257,22,FALSE))</f>
        <v/>
      </c>
      <c r="R216" s="362" t="str">
        <f>IF(N216="","",VLOOKUP(N216,'G-7 WaterC'' Data'!$B$2:$G$8,2,FALSE))</f>
        <v/>
      </c>
      <c r="S216" s="363" t="str">
        <f>IFERROR(VLOOKUP(R216,'G-7 WaterC'' Data'!$C$4:$D$8,2,FALSE),"")</f>
        <v/>
      </c>
      <c r="T216" s="114"/>
      <c r="U216" s="363" t="str">
        <f>IFERROR(INDEX('G-7 WaterC'' Data'!$H$4:$L$8,MATCH(N216,'G-7 WaterC'' Data'!$B$4:$B$8,0),MATCH(T216,'G-7 WaterC'' Data'!$H$3:$L$3,0)),"")</f>
        <v/>
      </c>
      <c r="V216" s="122"/>
      <c r="W216" s="382" t="str">
        <f>IF(V216="","",IF(VLOOKUP(V216,'G-7 WaterC'' Data'!$AK$4:$AM$6,2,FALSE)=0,"Spatial Data Missing ⚠",VLOOKUP(V216,'G-7 WaterC'' Data'!$AK$4:$AM$6,2,FALSE)))</f>
        <v/>
      </c>
      <c r="X216" s="386" t="str">
        <f>IF(V216="","",IF(VLOOKUP(V216,'G-7 WaterC'' Data'!$AK$4:$AM$6,3,FALSE)=0,"Spatial Data Missing ⚠",VLOOKUP(V216,'G-7 WaterC'' Data'!$AK$4:$AM$6,3,FALSE)))</f>
        <v/>
      </c>
      <c r="Y216" s="398" t="str">
        <f>IFERROR(IF(OR(LEFT(P216,5)="Error",LEFT(O216,5)="Error"),"Check Data ⚠",IF(F216&lt;S216,'G-7 WaterC'' Data'!$R$3,INDEX('G-7 WaterC'' Data'!$U$5:$Y$9,MATCH(G216,'G-7 WaterC'' Data'!$T$5:$T$9,0),MATCH(T216,'G-7 WaterC'' Data'!$U$4:$Y$4,0)))),"")</f>
        <v/>
      </c>
      <c r="Z216" s="165"/>
      <c r="AA216" s="165"/>
      <c r="AB216" s="395" t="str">
        <f t="shared" si="27"/>
        <v/>
      </c>
      <c r="AC216" s="383" t="str">
        <f t="shared" si="32"/>
        <v/>
      </c>
      <c r="AD216" s="422" t="str">
        <f>IFERROR(IF(AC216="Check Data ⚠","Check Data ⚠",VLOOKUP(AC216,'G-4 Temporal multipliers'!$A$4:$C$37,3,FALSE)),"")</f>
        <v/>
      </c>
      <c r="AE216" s="398" t="str">
        <f>IF(N216="","",VLOOKUP(N216,'G-7 WaterC'' Data'!$B$4:$G$8,5,FALSE))</f>
        <v/>
      </c>
      <c r="AF216" s="382" t="str">
        <f t="shared" si="28"/>
        <v/>
      </c>
      <c r="AG216" s="382" t="str">
        <f t="shared" si="33"/>
        <v/>
      </c>
      <c r="AH216" s="386" t="str">
        <f t="shared" si="29"/>
        <v/>
      </c>
      <c r="AI216" s="122"/>
      <c r="AJ216" s="363" t="str">
        <f>IF(AI216="","",IF(VLOOKUP(AI216,'G-7 WaterC'' Data'!$AA$4:$AB$7,2,FALSE)=0,"Spatial Data Missing ⚠",VLOOKUP(AI216,'G-7 WaterC'' Data'!$AA$4:$AB$7,2,FALSE)))</f>
        <v/>
      </c>
      <c r="AK216" s="123"/>
      <c r="AL216" s="397" t="str">
        <f>IF(AK216="","",IF(VLOOKUP(AK216,'G-7 WaterC'' Data'!$AD$4:$AE$14,2,FALSE)=0,"Spatial Data Missing ⚠",VLOOKUP(AK216,'G-7 WaterC'' Data'!$AD$4:$AE$14,2,FALSE)))</f>
        <v/>
      </c>
      <c r="AM216" s="122"/>
      <c r="AN216" s="363" t="str">
        <f>IF(AM216="","",IF(VLOOKUP(AM216,'G-7 WaterC'' Data'!$AO$4:$BO$7,2,FALSE)=0,"Spatial Data Missing ⚠",VLOOKUP(AM216,'G-7 WaterC'' Data'!$AO$4:$BO$7,2,FALSE)))</f>
        <v/>
      </c>
      <c r="AO216" s="405" t="str">
        <f t="shared" si="34"/>
        <v/>
      </c>
      <c r="AP216" s="405" t="str">
        <f t="shared" si="35"/>
        <v/>
      </c>
      <c r="AQ216" s="117"/>
      <c r="AR216" s="118"/>
      <c r="AS216" s="120"/>
      <c r="AT216" s="120"/>
      <c r="AY216" s="30" t="str">
        <f>IFERROR(INDEX('G-7 WaterC'' Data'!$AZ$3:$AZ$7,MATCH(N216,'G-7 WaterC'' Data'!$AY$3:$AY$7,0)),"")</f>
        <v/>
      </c>
    </row>
    <row r="217" spans="2:51" ht="15">
      <c r="B217" s="392" t="str">
        <f>'F-1 Off-Site WaterC'' Baseline'!AR215</f>
        <v/>
      </c>
      <c r="C217" s="382" t="str">
        <f>IF(B217="","",VLOOKUP($B217,'F-1 Off-Site WaterC'' Baseline'!$C$9:$R$257,2,FALSE))</f>
        <v/>
      </c>
      <c r="D217" s="382" t="str">
        <f>IF(C217="","",VLOOKUP($B217,'F-1 Off-Site WaterC'' Baseline'!$C$9:$R$257,3,FALSE))</f>
        <v/>
      </c>
      <c r="E217" s="382" t="str">
        <f>IF(D217="","",VLOOKUP($B217,'F-1 Off-Site WaterC'' Baseline'!$C$9:$R$257,4,FALSE))</f>
        <v/>
      </c>
      <c r="F217" s="382" t="str">
        <f>IF(E217="","",VLOOKUP($B217,'F-1 Off-Site WaterC'' Baseline'!$C$9:$R$257,5,FALSE))</f>
        <v/>
      </c>
      <c r="G217" s="382" t="str">
        <f>IF(F217="","",VLOOKUP($B217,'F-1 Off-Site WaterC'' Baseline'!$C$9:$R$257,6,FALSE))</f>
        <v/>
      </c>
      <c r="H217" s="382" t="str">
        <f>IF(G217="","",VLOOKUP($B217,'F-1 Off-Site WaterC'' Baseline'!$C$9:$R$257,7,FALSE))</f>
        <v/>
      </c>
      <c r="I217" s="382" t="str">
        <f>IF(H217="","",VLOOKUP($B217,'F-1 Off-Site WaterC'' Baseline'!$C$9:$R$257,8,FALSE))</f>
        <v/>
      </c>
      <c r="J217" s="382" t="str">
        <f>IF(I217="","",VLOOKUP($B217,'F-1 Off-Site WaterC'' Baseline'!$C$9:$R$257,9,FALSE))</f>
        <v/>
      </c>
      <c r="K217" s="382" t="str">
        <f>IF(J217="","",VLOOKUP($B217,'F-1 Off-Site WaterC'' Baseline'!$C$9:$R$257,10,FALSE))</f>
        <v/>
      </c>
      <c r="L217" s="382" t="str">
        <f>IF(B217="","",VLOOKUP($B217,'F-1 Off-Site WaterC'' Baseline'!$C$9:$R$257,15,FALSE))</f>
        <v/>
      </c>
      <c r="M217" s="386" t="str">
        <f>IF(L217="","",VLOOKUP($B217,'F-1 Off-Site WaterC'' Baseline'!$C$9:$R$257,16,FALSE))</f>
        <v/>
      </c>
      <c r="N217" s="316" t="str">
        <f t="shared" si="30"/>
        <v/>
      </c>
      <c r="O217" s="362" t="str">
        <f t="shared" si="31"/>
        <v/>
      </c>
      <c r="P217" s="363" t="str">
        <f>IF(C217="","",IF(AND(LEFT(C217,55)&lt;&gt;LEFT(N217,55),O217="High - High"),"Error - Not like for like ▲",IF(H217&gt;U217,"Error - Can not reduce condition ▲",IF(AND(F217=S217,H217=U217,AJ217='F-1 Off-Site WaterC'' Baseline'!N215,'F-1 Off-Site WaterC'' Baseline'!P215=AL217),"Error - No enhancement ▲",IF(AND(C217&lt;&gt;N217,F217&lt;S217),"Lower Distinctiveness Habitat"&amp;" - "&amp;T217,G217&amp;" - "&amp;T217)))))</f>
        <v/>
      </c>
      <c r="Q217" s="368" t="str">
        <f>IF(N217="","",VLOOKUP(B217,'F-1 Off-Site WaterC'' Baseline'!$C$10:$AE$257,22,FALSE))</f>
        <v/>
      </c>
      <c r="R217" s="362" t="str">
        <f>IF(N217="","",VLOOKUP(N217,'G-7 WaterC'' Data'!$B$2:$G$8,2,FALSE))</f>
        <v/>
      </c>
      <c r="S217" s="363" t="str">
        <f>IFERROR(VLOOKUP(R217,'G-7 WaterC'' Data'!$C$4:$D$8,2,FALSE),"")</f>
        <v/>
      </c>
      <c r="T217" s="114"/>
      <c r="U217" s="363" t="str">
        <f>IFERROR(INDEX('G-7 WaterC'' Data'!$H$4:$L$8,MATCH(N217,'G-7 WaterC'' Data'!$B$4:$B$8,0),MATCH(T217,'G-7 WaterC'' Data'!$H$3:$L$3,0)),"")</f>
        <v/>
      </c>
      <c r="V217" s="122"/>
      <c r="W217" s="382" t="str">
        <f>IF(V217="","",IF(VLOOKUP(V217,'G-7 WaterC'' Data'!$AK$4:$AM$6,2,FALSE)=0,"Spatial Data Missing ⚠",VLOOKUP(V217,'G-7 WaterC'' Data'!$AK$4:$AM$6,2,FALSE)))</f>
        <v/>
      </c>
      <c r="X217" s="386" t="str">
        <f>IF(V217="","",IF(VLOOKUP(V217,'G-7 WaterC'' Data'!$AK$4:$AM$6,3,FALSE)=0,"Spatial Data Missing ⚠",VLOOKUP(V217,'G-7 WaterC'' Data'!$AK$4:$AM$6,3,FALSE)))</f>
        <v/>
      </c>
      <c r="Y217" s="398" t="str">
        <f>IFERROR(IF(OR(LEFT(P217,5)="Error",LEFT(O217,5)="Error"),"Check Data ⚠",IF(F217&lt;S217,'G-7 WaterC'' Data'!$R$3,INDEX('G-7 WaterC'' Data'!$U$5:$Y$9,MATCH(G217,'G-7 WaterC'' Data'!$T$5:$T$9,0),MATCH(T217,'G-7 WaterC'' Data'!$U$4:$Y$4,0)))),"")</f>
        <v/>
      </c>
      <c r="Z217" s="165"/>
      <c r="AA217" s="165"/>
      <c r="AB217" s="395" t="str">
        <f t="shared" si="27"/>
        <v/>
      </c>
      <c r="AC217" s="383" t="str">
        <f t="shared" si="32"/>
        <v/>
      </c>
      <c r="AD217" s="422" t="str">
        <f>IFERROR(IF(AC217="Check Data ⚠","Check Data ⚠",VLOOKUP(AC217,'G-4 Temporal multipliers'!$A$4:$C$37,3,FALSE)),"")</f>
        <v/>
      </c>
      <c r="AE217" s="398" t="str">
        <f>IF(N217="","",VLOOKUP(N217,'G-7 WaterC'' Data'!$B$4:$G$8,5,FALSE))</f>
        <v/>
      </c>
      <c r="AF217" s="382" t="str">
        <f t="shared" si="28"/>
        <v/>
      </c>
      <c r="AG217" s="382" t="str">
        <f t="shared" si="33"/>
        <v/>
      </c>
      <c r="AH217" s="386" t="str">
        <f t="shared" si="29"/>
        <v/>
      </c>
      <c r="AI217" s="122"/>
      <c r="AJ217" s="363" t="str">
        <f>IF(AI217="","",IF(VLOOKUP(AI217,'G-7 WaterC'' Data'!$AA$4:$AB$7,2,FALSE)=0,"Spatial Data Missing ⚠",VLOOKUP(AI217,'G-7 WaterC'' Data'!$AA$4:$AB$7,2,FALSE)))</f>
        <v/>
      </c>
      <c r="AK217" s="123"/>
      <c r="AL217" s="397" t="str">
        <f>IF(AK217="","",IF(VLOOKUP(AK217,'G-7 WaterC'' Data'!$AD$4:$AE$14,2,FALSE)=0,"Spatial Data Missing ⚠",VLOOKUP(AK217,'G-7 WaterC'' Data'!$AD$4:$AE$14,2,FALSE)))</f>
        <v/>
      </c>
      <c r="AM217" s="122"/>
      <c r="AN217" s="363" t="str">
        <f>IF(AM217="","",IF(VLOOKUP(AM217,'G-7 WaterC'' Data'!$AO$4:$BO$7,2,FALSE)=0,"Spatial Data Missing ⚠",VLOOKUP(AM217,'G-7 WaterC'' Data'!$AO$4:$BO$7,2,FALSE)))</f>
        <v/>
      </c>
      <c r="AO217" s="405" t="str">
        <f t="shared" si="34"/>
        <v/>
      </c>
      <c r="AP217" s="405" t="str">
        <f t="shared" si="35"/>
        <v/>
      </c>
      <c r="AQ217" s="117"/>
      <c r="AR217" s="118"/>
      <c r="AS217" s="120"/>
      <c r="AT217" s="120"/>
      <c r="AY217" s="30" t="str">
        <f>IFERROR(INDEX('G-7 WaterC'' Data'!$AZ$3:$AZ$7,MATCH(N217,'G-7 WaterC'' Data'!$AY$3:$AY$7,0)),"")</f>
        <v/>
      </c>
    </row>
    <row r="218" spans="2:51" ht="15">
      <c r="B218" s="392" t="str">
        <f>'F-1 Off-Site WaterC'' Baseline'!AR216</f>
        <v/>
      </c>
      <c r="C218" s="382" t="str">
        <f>IF(B218="","",VLOOKUP($B218,'F-1 Off-Site WaterC'' Baseline'!$C$9:$R$257,2,FALSE))</f>
        <v/>
      </c>
      <c r="D218" s="382" t="str">
        <f>IF(C218="","",VLOOKUP($B218,'F-1 Off-Site WaterC'' Baseline'!$C$9:$R$257,3,FALSE))</f>
        <v/>
      </c>
      <c r="E218" s="382" t="str">
        <f>IF(D218="","",VLOOKUP($B218,'F-1 Off-Site WaterC'' Baseline'!$C$9:$R$257,4,FALSE))</f>
        <v/>
      </c>
      <c r="F218" s="382" t="str">
        <f>IF(E218="","",VLOOKUP($B218,'F-1 Off-Site WaterC'' Baseline'!$C$9:$R$257,5,FALSE))</f>
        <v/>
      </c>
      <c r="G218" s="382" t="str">
        <f>IF(F218="","",VLOOKUP($B218,'F-1 Off-Site WaterC'' Baseline'!$C$9:$R$257,6,FALSE))</f>
        <v/>
      </c>
      <c r="H218" s="382" t="str">
        <f>IF(G218="","",VLOOKUP($B218,'F-1 Off-Site WaterC'' Baseline'!$C$9:$R$257,7,FALSE))</f>
        <v/>
      </c>
      <c r="I218" s="382" t="str">
        <f>IF(H218="","",VLOOKUP($B218,'F-1 Off-Site WaterC'' Baseline'!$C$9:$R$257,8,FALSE))</f>
        <v/>
      </c>
      <c r="J218" s="382" t="str">
        <f>IF(I218="","",VLOOKUP($B218,'F-1 Off-Site WaterC'' Baseline'!$C$9:$R$257,9,FALSE))</f>
        <v/>
      </c>
      <c r="K218" s="382" t="str">
        <f>IF(J218="","",VLOOKUP($B218,'F-1 Off-Site WaterC'' Baseline'!$C$9:$R$257,10,FALSE))</f>
        <v/>
      </c>
      <c r="L218" s="382" t="str">
        <f>IF(B218="","",VLOOKUP($B218,'F-1 Off-Site WaterC'' Baseline'!$C$9:$R$257,15,FALSE))</f>
        <v/>
      </c>
      <c r="M218" s="386" t="str">
        <f>IF(L218="","",VLOOKUP($B218,'F-1 Off-Site WaterC'' Baseline'!$C$9:$R$257,16,FALSE))</f>
        <v/>
      </c>
      <c r="N218" s="316" t="str">
        <f t="shared" si="30"/>
        <v/>
      </c>
      <c r="O218" s="362" t="str">
        <f t="shared" si="31"/>
        <v/>
      </c>
      <c r="P218" s="363" t="str">
        <f>IF(C218="","",IF(AND(LEFT(C218,55)&lt;&gt;LEFT(N218,55),O218="High - High"),"Error - Not like for like ▲",IF(H218&gt;U218,"Error - Can not reduce condition ▲",IF(AND(F218=S218,H218=U218,AJ218='F-1 Off-Site WaterC'' Baseline'!N216,'F-1 Off-Site WaterC'' Baseline'!P216=AL218),"Error - No enhancement ▲",IF(AND(C218&lt;&gt;N218,F218&lt;S218),"Lower Distinctiveness Habitat"&amp;" - "&amp;T218,G218&amp;" - "&amp;T218)))))</f>
        <v/>
      </c>
      <c r="Q218" s="368" t="str">
        <f>IF(N218="","",VLOOKUP(B218,'F-1 Off-Site WaterC'' Baseline'!$C$10:$AE$257,22,FALSE))</f>
        <v/>
      </c>
      <c r="R218" s="362" t="str">
        <f>IF(N218="","",VLOOKUP(N218,'G-7 WaterC'' Data'!$B$2:$G$8,2,FALSE))</f>
        <v/>
      </c>
      <c r="S218" s="363" t="str">
        <f>IFERROR(VLOOKUP(R218,'G-7 WaterC'' Data'!$C$4:$D$8,2,FALSE),"")</f>
        <v/>
      </c>
      <c r="T218" s="114"/>
      <c r="U218" s="363" t="str">
        <f>IFERROR(INDEX('G-7 WaterC'' Data'!$H$4:$L$8,MATCH(N218,'G-7 WaterC'' Data'!$B$4:$B$8,0),MATCH(T218,'G-7 WaterC'' Data'!$H$3:$L$3,0)),"")</f>
        <v/>
      </c>
      <c r="V218" s="122"/>
      <c r="W218" s="382" t="str">
        <f>IF(V218="","",IF(VLOOKUP(V218,'G-7 WaterC'' Data'!$AK$4:$AM$6,2,FALSE)=0,"Spatial Data Missing ⚠",VLOOKUP(V218,'G-7 WaterC'' Data'!$AK$4:$AM$6,2,FALSE)))</f>
        <v/>
      </c>
      <c r="X218" s="386" t="str">
        <f>IF(V218="","",IF(VLOOKUP(V218,'G-7 WaterC'' Data'!$AK$4:$AM$6,3,FALSE)=0,"Spatial Data Missing ⚠",VLOOKUP(V218,'G-7 WaterC'' Data'!$AK$4:$AM$6,3,FALSE)))</f>
        <v/>
      </c>
      <c r="Y218" s="398" t="str">
        <f>IFERROR(IF(OR(LEFT(P218,5)="Error",LEFT(O218,5)="Error"),"Check Data ⚠",IF(F218&lt;S218,'G-7 WaterC'' Data'!$R$3,INDEX('G-7 WaterC'' Data'!$U$5:$Y$9,MATCH(G218,'G-7 WaterC'' Data'!$T$5:$T$9,0),MATCH(T218,'G-7 WaterC'' Data'!$U$4:$Y$4,0)))),"")</f>
        <v/>
      </c>
      <c r="Z218" s="165"/>
      <c r="AA218" s="165"/>
      <c r="AB218" s="395" t="str">
        <f t="shared" si="27"/>
        <v/>
      </c>
      <c r="AC218" s="383" t="str">
        <f t="shared" si="32"/>
        <v/>
      </c>
      <c r="AD218" s="422" t="str">
        <f>IFERROR(IF(AC218="Check Data ⚠","Check Data ⚠",VLOOKUP(AC218,'G-4 Temporal multipliers'!$A$4:$C$37,3,FALSE)),"")</f>
        <v/>
      </c>
      <c r="AE218" s="398" t="str">
        <f>IF(N218="","",VLOOKUP(N218,'G-7 WaterC'' Data'!$B$4:$G$8,5,FALSE))</f>
        <v/>
      </c>
      <c r="AF218" s="382" t="str">
        <f t="shared" si="28"/>
        <v/>
      </c>
      <c r="AG218" s="382" t="str">
        <f t="shared" si="33"/>
        <v/>
      </c>
      <c r="AH218" s="386" t="str">
        <f t="shared" si="29"/>
        <v/>
      </c>
      <c r="AI218" s="122"/>
      <c r="AJ218" s="363" t="str">
        <f>IF(AI218="","",IF(VLOOKUP(AI218,'G-7 WaterC'' Data'!$AA$4:$AB$7,2,FALSE)=0,"Spatial Data Missing ⚠",VLOOKUP(AI218,'G-7 WaterC'' Data'!$AA$4:$AB$7,2,FALSE)))</f>
        <v/>
      </c>
      <c r="AK218" s="123"/>
      <c r="AL218" s="397" t="str">
        <f>IF(AK218="","",IF(VLOOKUP(AK218,'G-7 WaterC'' Data'!$AD$4:$AE$14,2,FALSE)=0,"Spatial Data Missing ⚠",VLOOKUP(AK218,'G-7 WaterC'' Data'!$AD$4:$AE$14,2,FALSE)))</f>
        <v/>
      </c>
      <c r="AM218" s="122"/>
      <c r="AN218" s="363" t="str">
        <f>IF(AM218="","",IF(VLOOKUP(AM218,'G-7 WaterC'' Data'!$AO$4:$BO$7,2,FALSE)=0,"Spatial Data Missing ⚠",VLOOKUP(AM218,'G-7 WaterC'' Data'!$AO$4:$BO$7,2,FALSE)))</f>
        <v/>
      </c>
      <c r="AO218" s="405" t="str">
        <f t="shared" si="34"/>
        <v/>
      </c>
      <c r="AP218" s="405" t="str">
        <f t="shared" si="35"/>
        <v/>
      </c>
      <c r="AQ218" s="117"/>
      <c r="AR218" s="118"/>
      <c r="AS218" s="120"/>
      <c r="AT218" s="120"/>
      <c r="AY218" s="30" t="str">
        <f>IFERROR(INDEX('G-7 WaterC'' Data'!$AZ$3:$AZ$7,MATCH(N218,'G-7 WaterC'' Data'!$AY$3:$AY$7,0)),"")</f>
        <v/>
      </c>
    </row>
    <row r="219" spans="2:51" ht="15">
      <c r="B219" s="392" t="str">
        <f>'F-1 Off-Site WaterC'' Baseline'!AR217</f>
        <v/>
      </c>
      <c r="C219" s="382" t="str">
        <f>IF(B219="","",VLOOKUP($B219,'F-1 Off-Site WaterC'' Baseline'!$C$9:$R$257,2,FALSE))</f>
        <v/>
      </c>
      <c r="D219" s="382" t="str">
        <f>IF(C219="","",VLOOKUP($B219,'F-1 Off-Site WaterC'' Baseline'!$C$9:$R$257,3,FALSE))</f>
        <v/>
      </c>
      <c r="E219" s="382" t="str">
        <f>IF(D219="","",VLOOKUP($B219,'F-1 Off-Site WaterC'' Baseline'!$C$9:$R$257,4,FALSE))</f>
        <v/>
      </c>
      <c r="F219" s="382" t="str">
        <f>IF(E219="","",VLOOKUP($B219,'F-1 Off-Site WaterC'' Baseline'!$C$9:$R$257,5,FALSE))</f>
        <v/>
      </c>
      <c r="G219" s="382" t="str">
        <f>IF(F219="","",VLOOKUP($B219,'F-1 Off-Site WaterC'' Baseline'!$C$9:$R$257,6,FALSE))</f>
        <v/>
      </c>
      <c r="H219" s="382" t="str">
        <f>IF(G219="","",VLOOKUP($B219,'F-1 Off-Site WaterC'' Baseline'!$C$9:$R$257,7,FALSE))</f>
        <v/>
      </c>
      <c r="I219" s="382" t="str">
        <f>IF(H219="","",VLOOKUP($B219,'F-1 Off-Site WaterC'' Baseline'!$C$9:$R$257,8,FALSE))</f>
        <v/>
      </c>
      <c r="J219" s="382" t="str">
        <f>IF(I219="","",VLOOKUP($B219,'F-1 Off-Site WaterC'' Baseline'!$C$9:$R$257,9,FALSE))</f>
        <v/>
      </c>
      <c r="K219" s="382" t="str">
        <f>IF(J219="","",VLOOKUP($B219,'F-1 Off-Site WaterC'' Baseline'!$C$9:$R$257,10,FALSE))</f>
        <v/>
      </c>
      <c r="L219" s="382" t="str">
        <f>IF(B219="","",VLOOKUP($B219,'F-1 Off-Site WaterC'' Baseline'!$C$9:$R$257,15,FALSE))</f>
        <v/>
      </c>
      <c r="M219" s="386" t="str">
        <f>IF(L219="","",VLOOKUP($B219,'F-1 Off-Site WaterC'' Baseline'!$C$9:$R$257,16,FALSE))</f>
        <v/>
      </c>
      <c r="N219" s="316" t="str">
        <f t="shared" si="30"/>
        <v/>
      </c>
      <c r="O219" s="362" t="str">
        <f t="shared" si="31"/>
        <v/>
      </c>
      <c r="P219" s="363" t="str">
        <f>IF(C219="","",IF(AND(LEFT(C219,55)&lt;&gt;LEFT(N219,55),O219="High - High"),"Error - Not like for like ▲",IF(H219&gt;U219,"Error - Can not reduce condition ▲",IF(AND(F219=S219,H219=U219,AJ219='F-1 Off-Site WaterC'' Baseline'!N217,'F-1 Off-Site WaterC'' Baseline'!P217=AL219),"Error - No enhancement ▲",IF(AND(C219&lt;&gt;N219,F219&lt;S219),"Lower Distinctiveness Habitat"&amp;" - "&amp;T219,G219&amp;" - "&amp;T219)))))</f>
        <v/>
      </c>
      <c r="Q219" s="368" t="str">
        <f>IF(N219="","",VLOOKUP(B219,'F-1 Off-Site WaterC'' Baseline'!$C$10:$AE$257,22,FALSE))</f>
        <v/>
      </c>
      <c r="R219" s="362" t="str">
        <f>IF(N219="","",VLOOKUP(N219,'G-7 WaterC'' Data'!$B$2:$G$8,2,FALSE))</f>
        <v/>
      </c>
      <c r="S219" s="363" t="str">
        <f>IFERROR(VLOOKUP(R219,'G-7 WaterC'' Data'!$C$4:$D$8,2,FALSE),"")</f>
        <v/>
      </c>
      <c r="T219" s="114"/>
      <c r="U219" s="363" t="str">
        <f>IFERROR(INDEX('G-7 WaterC'' Data'!$H$4:$L$8,MATCH(N219,'G-7 WaterC'' Data'!$B$4:$B$8,0),MATCH(T219,'G-7 WaterC'' Data'!$H$3:$L$3,0)),"")</f>
        <v/>
      </c>
      <c r="V219" s="122"/>
      <c r="W219" s="382" t="str">
        <f>IF(V219="","",IF(VLOOKUP(V219,'G-7 WaterC'' Data'!$AK$4:$AM$6,2,FALSE)=0,"Spatial Data Missing ⚠",VLOOKUP(V219,'G-7 WaterC'' Data'!$AK$4:$AM$6,2,FALSE)))</f>
        <v/>
      </c>
      <c r="X219" s="386" t="str">
        <f>IF(V219="","",IF(VLOOKUP(V219,'G-7 WaterC'' Data'!$AK$4:$AM$6,3,FALSE)=0,"Spatial Data Missing ⚠",VLOOKUP(V219,'G-7 WaterC'' Data'!$AK$4:$AM$6,3,FALSE)))</f>
        <v/>
      </c>
      <c r="Y219" s="398" t="str">
        <f>IFERROR(IF(OR(LEFT(P219,5)="Error",LEFT(O219,5)="Error"),"Check Data ⚠",IF(F219&lt;S219,'G-7 WaterC'' Data'!$R$3,INDEX('G-7 WaterC'' Data'!$U$5:$Y$9,MATCH(G219,'G-7 WaterC'' Data'!$T$5:$T$9,0),MATCH(T219,'G-7 WaterC'' Data'!$U$4:$Y$4,0)))),"")</f>
        <v/>
      </c>
      <c r="Z219" s="165"/>
      <c r="AA219" s="165"/>
      <c r="AB219" s="395" t="str">
        <f t="shared" si="27"/>
        <v/>
      </c>
      <c r="AC219" s="383" t="str">
        <f t="shared" si="32"/>
        <v/>
      </c>
      <c r="AD219" s="422" t="str">
        <f>IFERROR(IF(AC219="Check Data ⚠","Check Data ⚠",VLOOKUP(AC219,'G-4 Temporal multipliers'!$A$4:$C$37,3,FALSE)),"")</f>
        <v/>
      </c>
      <c r="AE219" s="398" t="str">
        <f>IF(N219="","",VLOOKUP(N219,'G-7 WaterC'' Data'!$B$4:$G$8,5,FALSE))</f>
        <v/>
      </c>
      <c r="AF219" s="382" t="str">
        <f t="shared" si="28"/>
        <v/>
      </c>
      <c r="AG219" s="382" t="str">
        <f t="shared" si="33"/>
        <v/>
      </c>
      <c r="AH219" s="386" t="str">
        <f t="shared" si="29"/>
        <v/>
      </c>
      <c r="AI219" s="122"/>
      <c r="AJ219" s="363" t="str">
        <f>IF(AI219="","",IF(VLOOKUP(AI219,'G-7 WaterC'' Data'!$AA$4:$AB$7,2,FALSE)=0,"Spatial Data Missing ⚠",VLOOKUP(AI219,'G-7 WaterC'' Data'!$AA$4:$AB$7,2,FALSE)))</f>
        <v/>
      </c>
      <c r="AK219" s="123"/>
      <c r="AL219" s="397" t="str">
        <f>IF(AK219="","",IF(VLOOKUP(AK219,'G-7 WaterC'' Data'!$AD$4:$AE$14,2,FALSE)=0,"Spatial Data Missing ⚠",VLOOKUP(AK219,'G-7 WaterC'' Data'!$AD$4:$AE$14,2,FALSE)))</f>
        <v/>
      </c>
      <c r="AM219" s="122"/>
      <c r="AN219" s="363" t="str">
        <f>IF(AM219="","",IF(VLOOKUP(AM219,'G-7 WaterC'' Data'!$AO$4:$BO$7,2,FALSE)=0,"Spatial Data Missing ⚠",VLOOKUP(AM219,'G-7 WaterC'' Data'!$AO$4:$BO$7,2,FALSE)))</f>
        <v/>
      </c>
      <c r="AO219" s="405" t="str">
        <f t="shared" si="34"/>
        <v/>
      </c>
      <c r="AP219" s="405" t="str">
        <f t="shared" si="35"/>
        <v/>
      </c>
      <c r="AQ219" s="117"/>
      <c r="AR219" s="118"/>
      <c r="AS219" s="120"/>
      <c r="AT219" s="120"/>
      <c r="AY219" s="30" t="str">
        <f>IFERROR(INDEX('G-7 WaterC'' Data'!$AZ$3:$AZ$7,MATCH(N219,'G-7 WaterC'' Data'!$AY$3:$AY$7,0)),"")</f>
        <v/>
      </c>
    </row>
    <row r="220" spans="2:51" ht="15">
      <c r="B220" s="392" t="str">
        <f>'F-1 Off-Site WaterC'' Baseline'!AR218</f>
        <v/>
      </c>
      <c r="C220" s="382" t="str">
        <f>IF(B220="","",VLOOKUP($B220,'F-1 Off-Site WaterC'' Baseline'!$C$9:$R$257,2,FALSE))</f>
        <v/>
      </c>
      <c r="D220" s="382" t="str">
        <f>IF(C220="","",VLOOKUP($B220,'F-1 Off-Site WaterC'' Baseline'!$C$9:$R$257,3,FALSE))</f>
        <v/>
      </c>
      <c r="E220" s="382" t="str">
        <f>IF(D220="","",VLOOKUP($B220,'F-1 Off-Site WaterC'' Baseline'!$C$9:$R$257,4,FALSE))</f>
        <v/>
      </c>
      <c r="F220" s="382" t="str">
        <f>IF(E220="","",VLOOKUP($B220,'F-1 Off-Site WaterC'' Baseline'!$C$9:$R$257,5,FALSE))</f>
        <v/>
      </c>
      <c r="G220" s="382" t="str">
        <f>IF(F220="","",VLOOKUP($B220,'F-1 Off-Site WaterC'' Baseline'!$C$9:$R$257,6,FALSE))</f>
        <v/>
      </c>
      <c r="H220" s="382" t="str">
        <f>IF(G220="","",VLOOKUP($B220,'F-1 Off-Site WaterC'' Baseline'!$C$9:$R$257,7,FALSE))</f>
        <v/>
      </c>
      <c r="I220" s="382" t="str">
        <f>IF(H220="","",VLOOKUP($B220,'F-1 Off-Site WaterC'' Baseline'!$C$9:$R$257,8,FALSE))</f>
        <v/>
      </c>
      <c r="J220" s="382" t="str">
        <f>IF(I220="","",VLOOKUP($B220,'F-1 Off-Site WaterC'' Baseline'!$C$9:$R$257,9,FALSE))</f>
        <v/>
      </c>
      <c r="K220" s="382" t="str">
        <f>IF(J220="","",VLOOKUP($B220,'F-1 Off-Site WaterC'' Baseline'!$C$9:$R$257,10,FALSE))</f>
        <v/>
      </c>
      <c r="L220" s="382" t="str">
        <f>IF(B220="","",VLOOKUP($B220,'F-1 Off-Site WaterC'' Baseline'!$C$9:$R$257,15,FALSE))</f>
        <v/>
      </c>
      <c r="M220" s="386" t="str">
        <f>IF(L220="","",VLOOKUP($B220,'F-1 Off-Site WaterC'' Baseline'!$C$9:$R$257,16,FALSE))</f>
        <v/>
      </c>
      <c r="N220" s="316" t="str">
        <f t="shared" si="30"/>
        <v/>
      </c>
      <c r="O220" s="362" t="str">
        <f t="shared" si="31"/>
        <v/>
      </c>
      <c r="P220" s="363" t="str">
        <f>IF(C220="","",IF(AND(LEFT(C220,55)&lt;&gt;LEFT(N220,55),O220="High - High"),"Error - Not like for like ▲",IF(H220&gt;U220,"Error - Can not reduce condition ▲",IF(AND(F220=S220,H220=U220,AJ220='F-1 Off-Site WaterC'' Baseline'!N218,'F-1 Off-Site WaterC'' Baseline'!P218=AL220),"Error - No enhancement ▲",IF(AND(C220&lt;&gt;N220,F220&lt;S220),"Lower Distinctiveness Habitat"&amp;" - "&amp;T220,G220&amp;" - "&amp;T220)))))</f>
        <v/>
      </c>
      <c r="Q220" s="368" t="str">
        <f>IF(N220="","",VLOOKUP(B220,'F-1 Off-Site WaterC'' Baseline'!$C$10:$AE$257,22,FALSE))</f>
        <v/>
      </c>
      <c r="R220" s="362" t="str">
        <f>IF(N220="","",VLOOKUP(N220,'G-7 WaterC'' Data'!$B$2:$G$8,2,FALSE))</f>
        <v/>
      </c>
      <c r="S220" s="363" t="str">
        <f>IFERROR(VLOOKUP(R220,'G-7 WaterC'' Data'!$C$4:$D$8,2,FALSE),"")</f>
        <v/>
      </c>
      <c r="T220" s="114"/>
      <c r="U220" s="363" t="str">
        <f>IFERROR(INDEX('G-7 WaterC'' Data'!$H$4:$L$8,MATCH(N220,'G-7 WaterC'' Data'!$B$4:$B$8,0),MATCH(T220,'G-7 WaterC'' Data'!$H$3:$L$3,0)),"")</f>
        <v/>
      </c>
      <c r="V220" s="122"/>
      <c r="W220" s="382" t="str">
        <f>IF(V220="","",IF(VLOOKUP(V220,'G-7 WaterC'' Data'!$AK$4:$AM$6,2,FALSE)=0,"Spatial Data Missing ⚠",VLOOKUP(V220,'G-7 WaterC'' Data'!$AK$4:$AM$6,2,FALSE)))</f>
        <v/>
      </c>
      <c r="X220" s="386" t="str">
        <f>IF(V220="","",IF(VLOOKUP(V220,'G-7 WaterC'' Data'!$AK$4:$AM$6,3,FALSE)=0,"Spatial Data Missing ⚠",VLOOKUP(V220,'G-7 WaterC'' Data'!$AK$4:$AM$6,3,FALSE)))</f>
        <v/>
      </c>
      <c r="Y220" s="398" t="str">
        <f>IFERROR(IF(OR(LEFT(P220,5)="Error",LEFT(O220,5)="Error"),"Check Data ⚠",IF(F220&lt;S220,'G-7 WaterC'' Data'!$R$3,INDEX('G-7 WaterC'' Data'!$U$5:$Y$9,MATCH(G220,'G-7 WaterC'' Data'!$T$5:$T$9,0),MATCH(T220,'G-7 WaterC'' Data'!$U$4:$Y$4,0)))),"")</f>
        <v/>
      </c>
      <c r="Z220" s="165"/>
      <c r="AA220" s="165"/>
      <c r="AB220" s="395" t="str">
        <f t="shared" si="27"/>
        <v/>
      </c>
      <c r="AC220" s="383" t="str">
        <f t="shared" si="32"/>
        <v/>
      </c>
      <c r="AD220" s="422" t="str">
        <f>IFERROR(IF(AC220="Check Data ⚠","Check Data ⚠",VLOOKUP(AC220,'G-4 Temporal multipliers'!$A$4:$C$37,3,FALSE)),"")</f>
        <v/>
      </c>
      <c r="AE220" s="398" t="str">
        <f>IF(N220="","",VLOOKUP(N220,'G-7 WaterC'' Data'!$B$4:$G$8,5,FALSE))</f>
        <v/>
      </c>
      <c r="AF220" s="382" t="str">
        <f t="shared" si="28"/>
        <v/>
      </c>
      <c r="AG220" s="382" t="str">
        <f t="shared" si="33"/>
        <v/>
      </c>
      <c r="AH220" s="386" t="str">
        <f t="shared" si="29"/>
        <v/>
      </c>
      <c r="AI220" s="122"/>
      <c r="AJ220" s="363" t="str">
        <f>IF(AI220="","",IF(VLOOKUP(AI220,'G-7 WaterC'' Data'!$AA$4:$AB$7,2,FALSE)=0,"Spatial Data Missing ⚠",VLOOKUP(AI220,'G-7 WaterC'' Data'!$AA$4:$AB$7,2,FALSE)))</f>
        <v/>
      </c>
      <c r="AK220" s="123"/>
      <c r="AL220" s="397" t="str">
        <f>IF(AK220="","",IF(VLOOKUP(AK220,'G-7 WaterC'' Data'!$AD$4:$AE$14,2,FALSE)=0,"Spatial Data Missing ⚠",VLOOKUP(AK220,'G-7 WaterC'' Data'!$AD$4:$AE$14,2,FALSE)))</f>
        <v/>
      </c>
      <c r="AM220" s="122"/>
      <c r="AN220" s="363" t="str">
        <f>IF(AM220="","",IF(VLOOKUP(AM220,'G-7 WaterC'' Data'!$AO$4:$BO$7,2,FALSE)=0,"Spatial Data Missing ⚠",VLOOKUP(AM220,'G-7 WaterC'' Data'!$AO$4:$BO$7,2,FALSE)))</f>
        <v/>
      </c>
      <c r="AO220" s="405" t="str">
        <f t="shared" si="34"/>
        <v/>
      </c>
      <c r="AP220" s="405" t="str">
        <f t="shared" si="35"/>
        <v/>
      </c>
      <c r="AQ220" s="117"/>
      <c r="AR220" s="118"/>
      <c r="AS220" s="120"/>
      <c r="AT220" s="120"/>
      <c r="AY220" s="30" t="str">
        <f>IFERROR(INDEX('G-7 WaterC'' Data'!$AZ$3:$AZ$7,MATCH(N220,'G-7 WaterC'' Data'!$AY$3:$AY$7,0)),"")</f>
        <v/>
      </c>
    </row>
    <row r="221" spans="2:51" ht="15">
      <c r="B221" s="392" t="str">
        <f>'F-1 Off-Site WaterC'' Baseline'!AR219</f>
        <v/>
      </c>
      <c r="C221" s="382" t="str">
        <f>IF(B221="","",VLOOKUP($B221,'F-1 Off-Site WaterC'' Baseline'!$C$9:$R$257,2,FALSE))</f>
        <v/>
      </c>
      <c r="D221" s="382" t="str">
        <f>IF(C221="","",VLOOKUP($B221,'F-1 Off-Site WaterC'' Baseline'!$C$9:$R$257,3,FALSE))</f>
        <v/>
      </c>
      <c r="E221" s="382" t="str">
        <f>IF(D221="","",VLOOKUP($B221,'F-1 Off-Site WaterC'' Baseline'!$C$9:$R$257,4,FALSE))</f>
        <v/>
      </c>
      <c r="F221" s="382" t="str">
        <f>IF(E221="","",VLOOKUP($B221,'F-1 Off-Site WaterC'' Baseline'!$C$9:$R$257,5,FALSE))</f>
        <v/>
      </c>
      <c r="G221" s="382" t="str">
        <f>IF(F221="","",VLOOKUP($B221,'F-1 Off-Site WaterC'' Baseline'!$C$9:$R$257,6,FALSE))</f>
        <v/>
      </c>
      <c r="H221" s="382" t="str">
        <f>IF(G221="","",VLOOKUP($B221,'F-1 Off-Site WaterC'' Baseline'!$C$9:$R$257,7,FALSE))</f>
        <v/>
      </c>
      <c r="I221" s="382" t="str">
        <f>IF(H221="","",VLOOKUP($B221,'F-1 Off-Site WaterC'' Baseline'!$C$9:$R$257,8,FALSE))</f>
        <v/>
      </c>
      <c r="J221" s="382" t="str">
        <f>IF(I221="","",VLOOKUP($B221,'F-1 Off-Site WaterC'' Baseline'!$C$9:$R$257,9,FALSE))</f>
        <v/>
      </c>
      <c r="K221" s="382" t="str">
        <f>IF(J221="","",VLOOKUP($B221,'F-1 Off-Site WaterC'' Baseline'!$C$9:$R$257,10,FALSE))</f>
        <v/>
      </c>
      <c r="L221" s="382" t="str">
        <f>IF(B221="","",VLOOKUP($B221,'F-1 Off-Site WaterC'' Baseline'!$C$9:$R$257,15,FALSE))</f>
        <v/>
      </c>
      <c r="M221" s="386" t="str">
        <f>IF(L221="","",VLOOKUP($B221,'F-1 Off-Site WaterC'' Baseline'!$C$9:$R$257,16,FALSE))</f>
        <v/>
      </c>
      <c r="N221" s="316" t="str">
        <f t="shared" si="30"/>
        <v/>
      </c>
      <c r="O221" s="362" t="str">
        <f t="shared" si="31"/>
        <v/>
      </c>
      <c r="P221" s="363" t="str">
        <f>IF(C221="","",IF(AND(LEFT(C221,55)&lt;&gt;LEFT(N221,55),O221="High - High"),"Error - Not like for like ▲",IF(H221&gt;U221,"Error - Can not reduce condition ▲",IF(AND(F221=S221,H221=U221,AJ221='F-1 Off-Site WaterC'' Baseline'!N219,'F-1 Off-Site WaterC'' Baseline'!P219=AL221),"Error - No enhancement ▲",IF(AND(C221&lt;&gt;N221,F221&lt;S221),"Lower Distinctiveness Habitat"&amp;" - "&amp;T221,G221&amp;" - "&amp;T221)))))</f>
        <v/>
      </c>
      <c r="Q221" s="368" t="str">
        <f>IF(N221="","",VLOOKUP(B221,'F-1 Off-Site WaterC'' Baseline'!$C$10:$AE$257,22,FALSE))</f>
        <v/>
      </c>
      <c r="R221" s="362" t="str">
        <f>IF(N221="","",VLOOKUP(N221,'G-7 WaterC'' Data'!$B$2:$G$8,2,FALSE))</f>
        <v/>
      </c>
      <c r="S221" s="363" t="str">
        <f>IFERROR(VLOOKUP(R221,'G-7 WaterC'' Data'!$C$4:$D$8,2,FALSE),"")</f>
        <v/>
      </c>
      <c r="T221" s="114"/>
      <c r="U221" s="363" t="str">
        <f>IFERROR(INDEX('G-7 WaterC'' Data'!$H$4:$L$8,MATCH(N221,'G-7 WaterC'' Data'!$B$4:$B$8,0),MATCH(T221,'G-7 WaterC'' Data'!$H$3:$L$3,0)),"")</f>
        <v/>
      </c>
      <c r="V221" s="122"/>
      <c r="W221" s="382" t="str">
        <f>IF(V221="","",IF(VLOOKUP(V221,'G-7 WaterC'' Data'!$AK$4:$AM$6,2,FALSE)=0,"Spatial Data Missing ⚠",VLOOKUP(V221,'G-7 WaterC'' Data'!$AK$4:$AM$6,2,FALSE)))</f>
        <v/>
      </c>
      <c r="X221" s="386" t="str">
        <f>IF(V221="","",IF(VLOOKUP(V221,'G-7 WaterC'' Data'!$AK$4:$AM$6,3,FALSE)=0,"Spatial Data Missing ⚠",VLOOKUP(V221,'G-7 WaterC'' Data'!$AK$4:$AM$6,3,FALSE)))</f>
        <v/>
      </c>
      <c r="Y221" s="398" t="str">
        <f>IFERROR(IF(OR(LEFT(P221,5)="Error",LEFT(O221,5)="Error"),"Check Data ⚠",IF(F221&lt;S221,'G-7 WaterC'' Data'!$R$3,INDEX('G-7 WaterC'' Data'!$U$5:$Y$9,MATCH(G221,'G-7 WaterC'' Data'!$T$5:$T$9,0),MATCH(T221,'G-7 WaterC'' Data'!$U$4:$Y$4,0)))),"")</f>
        <v/>
      </c>
      <c r="Z221" s="165"/>
      <c r="AA221" s="165"/>
      <c r="AB221" s="395" t="str">
        <f t="shared" si="27"/>
        <v/>
      </c>
      <c r="AC221" s="383" t="str">
        <f t="shared" si="32"/>
        <v/>
      </c>
      <c r="AD221" s="422" t="str">
        <f>IFERROR(IF(AC221="Check Data ⚠","Check Data ⚠",VLOOKUP(AC221,'G-4 Temporal multipliers'!$A$4:$C$37,3,FALSE)),"")</f>
        <v/>
      </c>
      <c r="AE221" s="398" t="str">
        <f>IF(N221="","",VLOOKUP(N221,'G-7 WaterC'' Data'!$B$4:$G$8,5,FALSE))</f>
        <v/>
      </c>
      <c r="AF221" s="382" t="str">
        <f t="shared" si="28"/>
        <v/>
      </c>
      <c r="AG221" s="382" t="str">
        <f t="shared" si="33"/>
        <v/>
      </c>
      <c r="AH221" s="386" t="str">
        <f t="shared" si="29"/>
        <v/>
      </c>
      <c r="AI221" s="122"/>
      <c r="AJ221" s="363" t="str">
        <f>IF(AI221="","",IF(VLOOKUP(AI221,'G-7 WaterC'' Data'!$AA$4:$AB$7,2,FALSE)=0,"Spatial Data Missing ⚠",VLOOKUP(AI221,'G-7 WaterC'' Data'!$AA$4:$AB$7,2,FALSE)))</f>
        <v/>
      </c>
      <c r="AK221" s="123"/>
      <c r="AL221" s="397" t="str">
        <f>IF(AK221="","",IF(VLOOKUP(AK221,'G-7 WaterC'' Data'!$AD$4:$AE$14,2,FALSE)=0,"Spatial Data Missing ⚠",VLOOKUP(AK221,'G-7 WaterC'' Data'!$AD$4:$AE$14,2,FALSE)))</f>
        <v/>
      </c>
      <c r="AM221" s="122"/>
      <c r="AN221" s="363" t="str">
        <f>IF(AM221="","",IF(VLOOKUP(AM221,'G-7 WaterC'' Data'!$AO$4:$BO$7,2,FALSE)=0,"Spatial Data Missing ⚠",VLOOKUP(AM221,'G-7 WaterC'' Data'!$AO$4:$BO$7,2,FALSE)))</f>
        <v/>
      </c>
      <c r="AO221" s="405" t="str">
        <f t="shared" si="34"/>
        <v/>
      </c>
      <c r="AP221" s="405" t="str">
        <f t="shared" si="35"/>
        <v/>
      </c>
      <c r="AQ221" s="117"/>
      <c r="AR221" s="118"/>
      <c r="AS221" s="120"/>
      <c r="AT221" s="120"/>
      <c r="AY221" s="30" t="str">
        <f>IFERROR(INDEX('G-7 WaterC'' Data'!$AZ$3:$AZ$7,MATCH(N221,'G-7 WaterC'' Data'!$AY$3:$AY$7,0)),"")</f>
        <v/>
      </c>
    </row>
    <row r="222" spans="2:51" ht="15">
      <c r="B222" s="392" t="str">
        <f>'F-1 Off-Site WaterC'' Baseline'!AR220</f>
        <v/>
      </c>
      <c r="C222" s="382" t="str">
        <f>IF(B222="","",VLOOKUP($B222,'F-1 Off-Site WaterC'' Baseline'!$C$9:$R$257,2,FALSE))</f>
        <v/>
      </c>
      <c r="D222" s="382" t="str">
        <f>IF(C222="","",VLOOKUP($B222,'F-1 Off-Site WaterC'' Baseline'!$C$9:$R$257,3,FALSE))</f>
        <v/>
      </c>
      <c r="E222" s="382" t="str">
        <f>IF(D222="","",VLOOKUP($B222,'F-1 Off-Site WaterC'' Baseline'!$C$9:$R$257,4,FALSE))</f>
        <v/>
      </c>
      <c r="F222" s="382" t="str">
        <f>IF(E222="","",VLOOKUP($B222,'F-1 Off-Site WaterC'' Baseline'!$C$9:$R$257,5,FALSE))</f>
        <v/>
      </c>
      <c r="G222" s="382" t="str">
        <f>IF(F222="","",VLOOKUP($B222,'F-1 Off-Site WaterC'' Baseline'!$C$9:$R$257,6,FALSE))</f>
        <v/>
      </c>
      <c r="H222" s="382" t="str">
        <f>IF(G222="","",VLOOKUP($B222,'F-1 Off-Site WaterC'' Baseline'!$C$9:$R$257,7,FALSE))</f>
        <v/>
      </c>
      <c r="I222" s="382" t="str">
        <f>IF(H222="","",VLOOKUP($B222,'F-1 Off-Site WaterC'' Baseline'!$C$9:$R$257,8,FALSE))</f>
        <v/>
      </c>
      <c r="J222" s="382" t="str">
        <f>IF(I222="","",VLOOKUP($B222,'F-1 Off-Site WaterC'' Baseline'!$C$9:$R$257,9,FALSE))</f>
        <v/>
      </c>
      <c r="K222" s="382" t="str">
        <f>IF(J222="","",VLOOKUP($B222,'F-1 Off-Site WaterC'' Baseline'!$C$9:$R$257,10,FALSE))</f>
        <v/>
      </c>
      <c r="L222" s="382" t="str">
        <f>IF(B222="","",VLOOKUP($B222,'F-1 Off-Site WaterC'' Baseline'!$C$9:$R$257,15,FALSE))</f>
        <v/>
      </c>
      <c r="M222" s="386" t="str">
        <f>IF(L222="","",VLOOKUP($B222,'F-1 Off-Site WaterC'' Baseline'!$C$9:$R$257,16,FALSE))</f>
        <v/>
      </c>
      <c r="N222" s="316" t="str">
        <f t="shared" si="30"/>
        <v/>
      </c>
      <c r="O222" s="362" t="str">
        <f t="shared" si="31"/>
        <v/>
      </c>
      <c r="P222" s="363" t="str">
        <f>IF(C222="","",IF(AND(LEFT(C222,55)&lt;&gt;LEFT(N222,55),O222="High - High"),"Error - Not like for like ▲",IF(H222&gt;U222,"Error - Can not reduce condition ▲",IF(AND(F222=S222,H222=U222,AJ222='F-1 Off-Site WaterC'' Baseline'!N220,'F-1 Off-Site WaterC'' Baseline'!P220=AL222),"Error - No enhancement ▲",IF(AND(C222&lt;&gt;N222,F222&lt;S222),"Lower Distinctiveness Habitat"&amp;" - "&amp;T222,G222&amp;" - "&amp;T222)))))</f>
        <v/>
      </c>
      <c r="Q222" s="368" t="str">
        <f>IF(N222="","",VLOOKUP(B222,'F-1 Off-Site WaterC'' Baseline'!$C$10:$AE$257,22,FALSE))</f>
        <v/>
      </c>
      <c r="R222" s="362" t="str">
        <f>IF(N222="","",VLOOKUP(N222,'G-7 WaterC'' Data'!$B$2:$G$8,2,FALSE))</f>
        <v/>
      </c>
      <c r="S222" s="363" t="str">
        <f>IFERROR(VLOOKUP(R222,'G-7 WaterC'' Data'!$C$4:$D$8,2,FALSE),"")</f>
        <v/>
      </c>
      <c r="T222" s="114"/>
      <c r="U222" s="363" t="str">
        <f>IFERROR(INDEX('G-7 WaterC'' Data'!$H$4:$L$8,MATCH(N222,'G-7 WaterC'' Data'!$B$4:$B$8,0),MATCH(T222,'G-7 WaterC'' Data'!$H$3:$L$3,0)),"")</f>
        <v/>
      </c>
      <c r="V222" s="122"/>
      <c r="W222" s="382" t="str">
        <f>IF(V222="","",IF(VLOOKUP(V222,'G-7 WaterC'' Data'!$AK$4:$AM$6,2,FALSE)=0,"Spatial Data Missing ⚠",VLOOKUP(V222,'G-7 WaterC'' Data'!$AK$4:$AM$6,2,FALSE)))</f>
        <v/>
      </c>
      <c r="X222" s="386" t="str">
        <f>IF(V222="","",IF(VLOOKUP(V222,'G-7 WaterC'' Data'!$AK$4:$AM$6,3,FALSE)=0,"Spatial Data Missing ⚠",VLOOKUP(V222,'G-7 WaterC'' Data'!$AK$4:$AM$6,3,FALSE)))</f>
        <v/>
      </c>
      <c r="Y222" s="398" t="str">
        <f>IFERROR(IF(OR(LEFT(P222,5)="Error",LEFT(O222,5)="Error"),"Check Data ⚠",IF(F222&lt;S222,'G-7 WaterC'' Data'!$R$3,INDEX('G-7 WaterC'' Data'!$U$5:$Y$9,MATCH(G222,'G-7 WaterC'' Data'!$T$5:$T$9,0),MATCH(T222,'G-7 WaterC'' Data'!$U$4:$Y$4,0)))),"")</f>
        <v/>
      </c>
      <c r="Z222" s="165"/>
      <c r="AA222" s="165"/>
      <c r="AB222" s="395" t="str">
        <f t="shared" si="27"/>
        <v/>
      </c>
      <c r="AC222" s="383" t="str">
        <f t="shared" si="32"/>
        <v/>
      </c>
      <c r="AD222" s="422" t="str">
        <f>IFERROR(IF(AC222="Check Data ⚠","Check Data ⚠",VLOOKUP(AC222,'G-4 Temporal multipliers'!$A$4:$C$37,3,FALSE)),"")</f>
        <v/>
      </c>
      <c r="AE222" s="398" t="str">
        <f>IF(N222="","",VLOOKUP(N222,'G-7 WaterC'' Data'!$B$4:$G$8,5,FALSE))</f>
        <v/>
      </c>
      <c r="AF222" s="382" t="str">
        <f t="shared" si="28"/>
        <v/>
      </c>
      <c r="AG222" s="382" t="str">
        <f t="shared" si="33"/>
        <v/>
      </c>
      <c r="AH222" s="386" t="str">
        <f t="shared" si="29"/>
        <v/>
      </c>
      <c r="AI222" s="122"/>
      <c r="AJ222" s="363" t="str">
        <f>IF(AI222="","",IF(VLOOKUP(AI222,'G-7 WaterC'' Data'!$AA$4:$AB$7,2,FALSE)=0,"Spatial Data Missing ⚠",VLOOKUP(AI222,'G-7 WaterC'' Data'!$AA$4:$AB$7,2,FALSE)))</f>
        <v/>
      </c>
      <c r="AK222" s="123"/>
      <c r="AL222" s="397" t="str">
        <f>IF(AK222="","",IF(VLOOKUP(AK222,'G-7 WaterC'' Data'!$AD$4:$AE$14,2,FALSE)=0,"Spatial Data Missing ⚠",VLOOKUP(AK222,'G-7 WaterC'' Data'!$AD$4:$AE$14,2,FALSE)))</f>
        <v/>
      </c>
      <c r="AM222" s="122"/>
      <c r="AN222" s="363" t="str">
        <f>IF(AM222="","",IF(VLOOKUP(AM222,'G-7 WaterC'' Data'!$AO$4:$BO$7,2,FALSE)=0,"Spatial Data Missing ⚠",VLOOKUP(AM222,'G-7 WaterC'' Data'!$AO$4:$BO$7,2,FALSE)))</f>
        <v/>
      </c>
      <c r="AO222" s="405" t="str">
        <f t="shared" si="34"/>
        <v/>
      </c>
      <c r="AP222" s="405" t="str">
        <f t="shared" si="35"/>
        <v/>
      </c>
      <c r="AQ222" s="117"/>
      <c r="AR222" s="118"/>
      <c r="AS222" s="120"/>
      <c r="AT222" s="120"/>
      <c r="AY222" s="30" t="str">
        <f>IFERROR(INDEX('G-7 WaterC'' Data'!$AZ$3:$AZ$7,MATCH(N222,'G-7 WaterC'' Data'!$AY$3:$AY$7,0)),"")</f>
        <v/>
      </c>
    </row>
    <row r="223" spans="2:51" ht="15">
      <c r="B223" s="392" t="str">
        <f>'F-1 Off-Site WaterC'' Baseline'!AR221</f>
        <v/>
      </c>
      <c r="C223" s="382" t="str">
        <f>IF(B223="","",VLOOKUP($B223,'F-1 Off-Site WaterC'' Baseline'!$C$9:$R$257,2,FALSE))</f>
        <v/>
      </c>
      <c r="D223" s="382" t="str">
        <f>IF(C223="","",VLOOKUP($B223,'F-1 Off-Site WaterC'' Baseline'!$C$9:$R$257,3,FALSE))</f>
        <v/>
      </c>
      <c r="E223" s="382" t="str">
        <f>IF(D223="","",VLOOKUP($B223,'F-1 Off-Site WaterC'' Baseline'!$C$9:$R$257,4,FALSE))</f>
        <v/>
      </c>
      <c r="F223" s="382" t="str">
        <f>IF(E223="","",VLOOKUP($B223,'F-1 Off-Site WaterC'' Baseline'!$C$9:$R$257,5,FALSE))</f>
        <v/>
      </c>
      <c r="G223" s="382" t="str">
        <f>IF(F223="","",VLOOKUP($B223,'F-1 Off-Site WaterC'' Baseline'!$C$9:$R$257,6,FALSE))</f>
        <v/>
      </c>
      <c r="H223" s="382" t="str">
        <f>IF(G223="","",VLOOKUP($B223,'F-1 Off-Site WaterC'' Baseline'!$C$9:$R$257,7,FALSE))</f>
        <v/>
      </c>
      <c r="I223" s="382" t="str">
        <f>IF(H223="","",VLOOKUP($B223,'F-1 Off-Site WaterC'' Baseline'!$C$9:$R$257,8,FALSE))</f>
        <v/>
      </c>
      <c r="J223" s="382" t="str">
        <f>IF(I223="","",VLOOKUP($B223,'F-1 Off-Site WaterC'' Baseline'!$C$9:$R$257,9,FALSE))</f>
        <v/>
      </c>
      <c r="K223" s="382" t="str">
        <f>IF(J223="","",VLOOKUP($B223,'F-1 Off-Site WaterC'' Baseline'!$C$9:$R$257,10,FALSE))</f>
        <v/>
      </c>
      <c r="L223" s="382" t="str">
        <f>IF(B223="","",VLOOKUP($B223,'F-1 Off-Site WaterC'' Baseline'!$C$9:$R$257,15,FALSE))</f>
        <v/>
      </c>
      <c r="M223" s="386" t="str">
        <f>IF(L223="","",VLOOKUP($B223,'F-1 Off-Site WaterC'' Baseline'!$C$9:$R$257,16,FALSE))</f>
        <v/>
      </c>
      <c r="N223" s="316" t="str">
        <f t="shared" si="30"/>
        <v/>
      </c>
      <c r="O223" s="362" t="str">
        <f t="shared" si="31"/>
        <v/>
      </c>
      <c r="P223" s="363" t="str">
        <f>IF(C223="","",IF(AND(LEFT(C223,55)&lt;&gt;LEFT(N223,55),O223="High - High"),"Error - Not like for like ▲",IF(H223&gt;U223,"Error - Can not reduce condition ▲",IF(AND(F223=S223,H223=U223,AJ223='F-1 Off-Site WaterC'' Baseline'!N221,'F-1 Off-Site WaterC'' Baseline'!P221=AL223),"Error - No enhancement ▲",IF(AND(C223&lt;&gt;N223,F223&lt;S223),"Lower Distinctiveness Habitat"&amp;" - "&amp;T223,G223&amp;" - "&amp;T223)))))</f>
        <v/>
      </c>
      <c r="Q223" s="368" t="str">
        <f>IF(N223="","",VLOOKUP(B223,'F-1 Off-Site WaterC'' Baseline'!$C$10:$AE$257,22,FALSE))</f>
        <v/>
      </c>
      <c r="R223" s="362" t="str">
        <f>IF(N223="","",VLOOKUP(N223,'G-7 WaterC'' Data'!$B$2:$G$8,2,FALSE))</f>
        <v/>
      </c>
      <c r="S223" s="363" t="str">
        <f>IFERROR(VLOOKUP(R223,'G-7 WaterC'' Data'!$C$4:$D$8,2,FALSE),"")</f>
        <v/>
      </c>
      <c r="T223" s="114"/>
      <c r="U223" s="363" t="str">
        <f>IFERROR(INDEX('G-7 WaterC'' Data'!$H$4:$L$8,MATCH(N223,'G-7 WaterC'' Data'!$B$4:$B$8,0),MATCH(T223,'G-7 WaterC'' Data'!$H$3:$L$3,0)),"")</f>
        <v/>
      </c>
      <c r="V223" s="122"/>
      <c r="W223" s="382" t="str">
        <f>IF(V223="","",IF(VLOOKUP(V223,'G-7 WaterC'' Data'!$AK$4:$AM$6,2,FALSE)=0,"Spatial Data Missing ⚠",VLOOKUP(V223,'G-7 WaterC'' Data'!$AK$4:$AM$6,2,FALSE)))</f>
        <v/>
      </c>
      <c r="X223" s="386" t="str">
        <f>IF(V223="","",IF(VLOOKUP(V223,'G-7 WaterC'' Data'!$AK$4:$AM$6,3,FALSE)=0,"Spatial Data Missing ⚠",VLOOKUP(V223,'G-7 WaterC'' Data'!$AK$4:$AM$6,3,FALSE)))</f>
        <v/>
      </c>
      <c r="Y223" s="398" t="str">
        <f>IFERROR(IF(OR(LEFT(P223,5)="Error",LEFT(O223,5)="Error"),"Check Data ⚠",IF(F223&lt;S223,'G-7 WaterC'' Data'!$R$3,INDEX('G-7 WaterC'' Data'!$U$5:$Y$9,MATCH(G223,'G-7 WaterC'' Data'!$T$5:$T$9,0),MATCH(T223,'G-7 WaterC'' Data'!$U$4:$Y$4,0)))),"")</f>
        <v/>
      </c>
      <c r="Z223" s="165"/>
      <c r="AA223" s="165"/>
      <c r="AB223" s="395" t="str">
        <f t="shared" si="27"/>
        <v/>
      </c>
      <c r="AC223" s="383" t="str">
        <f t="shared" si="32"/>
        <v/>
      </c>
      <c r="AD223" s="422" t="str">
        <f>IFERROR(IF(AC223="Check Data ⚠","Check Data ⚠",VLOOKUP(AC223,'G-4 Temporal multipliers'!$A$4:$C$37,3,FALSE)),"")</f>
        <v/>
      </c>
      <c r="AE223" s="398" t="str">
        <f>IF(N223="","",VLOOKUP(N223,'G-7 WaterC'' Data'!$B$4:$G$8,5,FALSE))</f>
        <v/>
      </c>
      <c r="AF223" s="382" t="str">
        <f t="shared" si="28"/>
        <v/>
      </c>
      <c r="AG223" s="382" t="str">
        <f t="shared" si="33"/>
        <v/>
      </c>
      <c r="AH223" s="386" t="str">
        <f t="shared" si="29"/>
        <v/>
      </c>
      <c r="AI223" s="122"/>
      <c r="AJ223" s="363" t="str">
        <f>IF(AI223="","",IF(VLOOKUP(AI223,'G-7 WaterC'' Data'!$AA$4:$AB$7,2,FALSE)=0,"Spatial Data Missing ⚠",VLOOKUP(AI223,'G-7 WaterC'' Data'!$AA$4:$AB$7,2,FALSE)))</f>
        <v/>
      </c>
      <c r="AK223" s="123"/>
      <c r="AL223" s="397" t="str">
        <f>IF(AK223="","",IF(VLOOKUP(AK223,'G-7 WaterC'' Data'!$AD$4:$AE$14,2,FALSE)=0,"Spatial Data Missing ⚠",VLOOKUP(AK223,'G-7 WaterC'' Data'!$AD$4:$AE$14,2,FALSE)))</f>
        <v/>
      </c>
      <c r="AM223" s="122"/>
      <c r="AN223" s="363" t="str">
        <f>IF(AM223="","",IF(VLOOKUP(AM223,'G-7 WaterC'' Data'!$AO$4:$BO$7,2,FALSE)=0,"Spatial Data Missing ⚠",VLOOKUP(AM223,'G-7 WaterC'' Data'!$AO$4:$BO$7,2,FALSE)))</f>
        <v/>
      </c>
      <c r="AO223" s="405" t="str">
        <f t="shared" si="34"/>
        <v/>
      </c>
      <c r="AP223" s="405" t="str">
        <f t="shared" si="35"/>
        <v/>
      </c>
      <c r="AQ223" s="117"/>
      <c r="AR223" s="118"/>
      <c r="AS223" s="120"/>
      <c r="AT223" s="120"/>
      <c r="AY223" s="30" t="str">
        <f>IFERROR(INDEX('G-7 WaterC'' Data'!$AZ$3:$AZ$7,MATCH(N223,'G-7 WaterC'' Data'!$AY$3:$AY$7,0)),"")</f>
        <v/>
      </c>
    </row>
    <row r="224" spans="2:51" ht="15">
      <c r="B224" s="392" t="str">
        <f>'F-1 Off-Site WaterC'' Baseline'!AR222</f>
        <v/>
      </c>
      <c r="C224" s="382" t="str">
        <f>IF(B224="","",VLOOKUP($B224,'F-1 Off-Site WaterC'' Baseline'!$C$9:$R$257,2,FALSE))</f>
        <v/>
      </c>
      <c r="D224" s="382" t="str">
        <f>IF(C224="","",VLOOKUP($B224,'F-1 Off-Site WaterC'' Baseline'!$C$9:$R$257,3,FALSE))</f>
        <v/>
      </c>
      <c r="E224" s="382" t="str">
        <f>IF(D224="","",VLOOKUP($B224,'F-1 Off-Site WaterC'' Baseline'!$C$9:$R$257,4,FALSE))</f>
        <v/>
      </c>
      <c r="F224" s="382" t="str">
        <f>IF(E224="","",VLOOKUP($B224,'F-1 Off-Site WaterC'' Baseline'!$C$9:$R$257,5,FALSE))</f>
        <v/>
      </c>
      <c r="G224" s="382" t="str">
        <f>IF(F224="","",VLOOKUP($B224,'F-1 Off-Site WaterC'' Baseline'!$C$9:$R$257,6,FALSE))</f>
        <v/>
      </c>
      <c r="H224" s="382" t="str">
        <f>IF(G224="","",VLOOKUP($B224,'F-1 Off-Site WaterC'' Baseline'!$C$9:$R$257,7,FALSE))</f>
        <v/>
      </c>
      <c r="I224" s="382" t="str">
        <f>IF(H224="","",VLOOKUP($B224,'F-1 Off-Site WaterC'' Baseline'!$C$9:$R$257,8,FALSE))</f>
        <v/>
      </c>
      <c r="J224" s="382" t="str">
        <f>IF(I224="","",VLOOKUP($B224,'F-1 Off-Site WaterC'' Baseline'!$C$9:$R$257,9,FALSE))</f>
        <v/>
      </c>
      <c r="K224" s="382" t="str">
        <f>IF(J224="","",VLOOKUP($B224,'F-1 Off-Site WaterC'' Baseline'!$C$9:$R$257,10,FALSE))</f>
        <v/>
      </c>
      <c r="L224" s="382" t="str">
        <f>IF(B224="","",VLOOKUP($B224,'F-1 Off-Site WaterC'' Baseline'!$C$9:$R$257,15,FALSE))</f>
        <v/>
      </c>
      <c r="M224" s="386" t="str">
        <f>IF(L224="","",VLOOKUP($B224,'F-1 Off-Site WaterC'' Baseline'!$C$9:$R$257,16,FALSE))</f>
        <v/>
      </c>
      <c r="N224" s="316" t="str">
        <f t="shared" si="30"/>
        <v/>
      </c>
      <c r="O224" s="362" t="str">
        <f t="shared" si="31"/>
        <v/>
      </c>
      <c r="P224" s="363" t="str">
        <f>IF(C224="","",IF(AND(LEFT(C224,55)&lt;&gt;LEFT(N224,55),O224="High - High"),"Error - Not like for like ▲",IF(H224&gt;U224,"Error - Can not reduce condition ▲",IF(AND(F224=S224,H224=U224,AJ224='F-1 Off-Site WaterC'' Baseline'!N222,'F-1 Off-Site WaterC'' Baseline'!P222=AL224),"Error - No enhancement ▲",IF(AND(C224&lt;&gt;N224,F224&lt;S224),"Lower Distinctiveness Habitat"&amp;" - "&amp;T224,G224&amp;" - "&amp;T224)))))</f>
        <v/>
      </c>
      <c r="Q224" s="368" t="str">
        <f>IF(N224="","",VLOOKUP(B224,'F-1 Off-Site WaterC'' Baseline'!$C$10:$AE$257,22,FALSE))</f>
        <v/>
      </c>
      <c r="R224" s="362" t="str">
        <f>IF(N224="","",VLOOKUP(N224,'G-7 WaterC'' Data'!$B$2:$G$8,2,FALSE))</f>
        <v/>
      </c>
      <c r="S224" s="363" t="str">
        <f>IFERROR(VLOOKUP(R224,'G-7 WaterC'' Data'!$C$4:$D$8,2,FALSE),"")</f>
        <v/>
      </c>
      <c r="T224" s="114"/>
      <c r="U224" s="363" t="str">
        <f>IFERROR(INDEX('G-7 WaterC'' Data'!$H$4:$L$8,MATCH(N224,'G-7 WaterC'' Data'!$B$4:$B$8,0),MATCH(T224,'G-7 WaterC'' Data'!$H$3:$L$3,0)),"")</f>
        <v/>
      </c>
      <c r="V224" s="122"/>
      <c r="W224" s="382" t="str">
        <f>IF(V224="","",IF(VLOOKUP(V224,'G-7 WaterC'' Data'!$AK$4:$AM$6,2,FALSE)=0,"Spatial Data Missing ⚠",VLOOKUP(V224,'G-7 WaterC'' Data'!$AK$4:$AM$6,2,FALSE)))</f>
        <v/>
      </c>
      <c r="X224" s="386" t="str">
        <f>IF(V224="","",IF(VLOOKUP(V224,'G-7 WaterC'' Data'!$AK$4:$AM$6,3,FALSE)=0,"Spatial Data Missing ⚠",VLOOKUP(V224,'G-7 WaterC'' Data'!$AK$4:$AM$6,3,FALSE)))</f>
        <v/>
      </c>
      <c r="Y224" s="398" t="str">
        <f>IFERROR(IF(OR(LEFT(P224,5)="Error",LEFT(O224,5)="Error"),"Check Data ⚠",IF(F224&lt;S224,'G-7 WaterC'' Data'!$R$3,INDEX('G-7 WaterC'' Data'!$U$5:$Y$9,MATCH(G224,'G-7 WaterC'' Data'!$T$5:$T$9,0),MATCH(T224,'G-7 WaterC'' Data'!$U$4:$Y$4,0)))),"")</f>
        <v/>
      </c>
      <c r="Z224" s="165"/>
      <c r="AA224" s="165"/>
      <c r="AB224" s="395" t="str">
        <f t="shared" si="27"/>
        <v/>
      </c>
      <c r="AC224" s="383" t="str">
        <f t="shared" si="32"/>
        <v/>
      </c>
      <c r="AD224" s="422" t="str">
        <f>IFERROR(IF(AC224="Check Data ⚠","Check Data ⚠",VLOOKUP(AC224,'G-4 Temporal multipliers'!$A$4:$C$37,3,FALSE)),"")</f>
        <v/>
      </c>
      <c r="AE224" s="398" t="str">
        <f>IF(N224="","",VLOOKUP(N224,'G-7 WaterC'' Data'!$B$4:$G$8,5,FALSE))</f>
        <v/>
      </c>
      <c r="AF224" s="382" t="str">
        <f t="shared" si="28"/>
        <v/>
      </c>
      <c r="AG224" s="382" t="str">
        <f t="shared" si="33"/>
        <v/>
      </c>
      <c r="AH224" s="386" t="str">
        <f t="shared" si="29"/>
        <v/>
      </c>
      <c r="AI224" s="122"/>
      <c r="AJ224" s="363" t="str">
        <f>IF(AI224="","",IF(VLOOKUP(AI224,'G-7 WaterC'' Data'!$AA$4:$AB$7,2,FALSE)=0,"Spatial Data Missing ⚠",VLOOKUP(AI224,'G-7 WaterC'' Data'!$AA$4:$AB$7,2,FALSE)))</f>
        <v/>
      </c>
      <c r="AK224" s="123"/>
      <c r="AL224" s="397" t="str">
        <f>IF(AK224="","",IF(VLOOKUP(AK224,'G-7 WaterC'' Data'!$AD$4:$AE$14,2,FALSE)=0,"Spatial Data Missing ⚠",VLOOKUP(AK224,'G-7 WaterC'' Data'!$AD$4:$AE$14,2,FALSE)))</f>
        <v/>
      </c>
      <c r="AM224" s="122"/>
      <c r="AN224" s="363" t="str">
        <f>IF(AM224="","",IF(VLOOKUP(AM224,'G-7 WaterC'' Data'!$AO$4:$BO$7,2,FALSE)=0,"Spatial Data Missing ⚠",VLOOKUP(AM224,'G-7 WaterC'' Data'!$AO$4:$BO$7,2,FALSE)))</f>
        <v/>
      </c>
      <c r="AO224" s="405" t="str">
        <f t="shared" si="34"/>
        <v/>
      </c>
      <c r="AP224" s="405" t="str">
        <f t="shared" si="35"/>
        <v/>
      </c>
      <c r="AQ224" s="117"/>
      <c r="AR224" s="118"/>
      <c r="AS224" s="120"/>
      <c r="AT224" s="120"/>
      <c r="AY224" s="30" t="str">
        <f>IFERROR(INDEX('G-7 WaterC'' Data'!$AZ$3:$AZ$7,MATCH(N224,'G-7 WaterC'' Data'!$AY$3:$AY$7,0)),"")</f>
        <v/>
      </c>
    </row>
    <row r="225" spans="2:51" ht="15">
      <c r="B225" s="392" t="str">
        <f>'F-1 Off-Site WaterC'' Baseline'!AR223</f>
        <v/>
      </c>
      <c r="C225" s="382" t="str">
        <f>IF(B225="","",VLOOKUP($B225,'F-1 Off-Site WaterC'' Baseline'!$C$9:$R$257,2,FALSE))</f>
        <v/>
      </c>
      <c r="D225" s="382" t="str">
        <f>IF(C225="","",VLOOKUP($B225,'F-1 Off-Site WaterC'' Baseline'!$C$9:$R$257,3,FALSE))</f>
        <v/>
      </c>
      <c r="E225" s="382" t="str">
        <f>IF(D225="","",VLOOKUP($B225,'F-1 Off-Site WaterC'' Baseline'!$C$9:$R$257,4,FALSE))</f>
        <v/>
      </c>
      <c r="F225" s="382" t="str">
        <f>IF(E225="","",VLOOKUP($B225,'F-1 Off-Site WaterC'' Baseline'!$C$9:$R$257,5,FALSE))</f>
        <v/>
      </c>
      <c r="G225" s="382" t="str">
        <f>IF(F225="","",VLOOKUP($B225,'F-1 Off-Site WaterC'' Baseline'!$C$9:$R$257,6,FALSE))</f>
        <v/>
      </c>
      <c r="H225" s="382" t="str">
        <f>IF(G225="","",VLOOKUP($B225,'F-1 Off-Site WaterC'' Baseline'!$C$9:$R$257,7,FALSE))</f>
        <v/>
      </c>
      <c r="I225" s="382" t="str">
        <f>IF(H225="","",VLOOKUP($B225,'F-1 Off-Site WaterC'' Baseline'!$C$9:$R$257,8,FALSE))</f>
        <v/>
      </c>
      <c r="J225" s="382" t="str">
        <f>IF(I225="","",VLOOKUP($B225,'F-1 Off-Site WaterC'' Baseline'!$C$9:$R$257,9,FALSE))</f>
        <v/>
      </c>
      <c r="K225" s="382" t="str">
        <f>IF(J225="","",VLOOKUP($B225,'F-1 Off-Site WaterC'' Baseline'!$C$9:$R$257,10,FALSE))</f>
        <v/>
      </c>
      <c r="L225" s="382" t="str">
        <f>IF(B225="","",VLOOKUP($B225,'F-1 Off-Site WaterC'' Baseline'!$C$9:$R$257,15,FALSE))</f>
        <v/>
      </c>
      <c r="M225" s="386" t="str">
        <f>IF(L225="","",VLOOKUP($B225,'F-1 Off-Site WaterC'' Baseline'!$C$9:$R$257,16,FALSE))</f>
        <v/>
      </c>
      <c r="N225" s="316" t="str">
        <f t="shared" si="30"/>
        <v/>
      </c>
      <c r="O225" s="362" t="str">
        <f t="shared" si="31"/>
        <v/>
      </c>
      <c r="P225" s="363" t="str">
        <f>IF(C225="","",IF(AND(LEFT(C225,55)&lt;&gt;LEFT(N225,55),O225="High - High"),"Error - Not like for like ▲",IF(H225&gt;U225,"Error - Can not reduce condition ▲",IF(AND(F225=S225,H225=U225,AJ225='F-1 Off-Site WaterC'' Baseline'!N223,'F-1 Off-Site WaterC'' Baseline'!P223=AL225),"Error - No enhancement ▲",IF(AND(C225&lt;&gt;N225,F225&lt;S225),"Lower Distinctiveness Habitat"&amp;" - "&amp;T225,G225&amp;" - "&amp;T225)))))</f>
        <v/>
      </c>
      <c r="Q225" s="368" t="str">
        <f>IF(N225="","",VLOOKUP(B225,'F-1 Off-Site WaterC'' Baseline'!$C$10:$AE$257,22,FALSE))</f>
        <v/>
      </c>
      <c r="R225" s="362" t="str">
        <f>IF(N225="","",VLOOKUP(N225,'G-7 WaterC'' Data'!$B$2:$G$8,2,FALSE))</f>
        <v/>
      </c>
      <c r="S225" s="363" t="str">
        <f>IFERROR(VLOOKUP(R225,'G-7 WaterC'' Data'!$C$4:$D$8,2,FALSE),"")</f>
        <v/>
      </c>
      <c r="T225" s="114"/>
      <c r="U225" s="363" t="str">
        <f>IFERROR(INDEX('G-7 WaterC'' Data'!$H$4:$L$8,MATCH(N225,'G-7 WaterC'' Data'!$B$4:$B$8,0),MATCH(T225,'G-7 WaterC'' Data'!$H$3:$L$3,0)),"")</f>
        <v/>
      </c>
      <c r="V225" s="122"/>
      <c r="W225" s="382" t="str">
        <f>IF(V225="","",IF(VLOOKUP(V225,'G-7 WaterC'' Data'!$AK$4:$AM$6,2,FALSE)=0,"Spatial Data Missing ⚠",VLOOKUP(V225,'G-7 WaterC'' Data'!$AK$4:$AM$6,2,FALSE)))</f>
        <v/>
      </c>
      <c r="X225" s="386" t="str">
        <f>IF(V225="","",IF(VLOOKUP(V225,'G-7 WaterC'' Data'!$AK$4:$AM$6,3,FALSE)=0,"Spatial Data Missing ⚠",VLOOKUP(V225,'G-7 WaterC'' Data'!$AK$4:$AM$6,3,FALSE)))</f>
        <v/>
      </c>
      <c r="Y225" s="398" t="str">
        <f>IFERROR(IF(OR(LEFT(P225,5)="Error",LEFT(O225,5)="Error"),"Check Data ⚠",IF(F225&lt;S225,'G-7 WaterC'' Data'!$R$3,INDEX('G-7 WaterC'' Data'!$U$5:$Y$9,MATCH(G225,'G-7 WaterC'' Data'!$T$5:$T$9,0),MATCH(T225,'G-7 WaterC'' Data'!$U$4:$Y$4,0)))),"")</f>
        <v/>
      </c>
      <c r="Z225" s="165"/>
      <c r="AA225" s="165"/>
      <c r="AB225" s="395" t="str">
        <f t="shared" si="27"/>
        <v/>
      </c>
      <c r="AC225" s="383" t="str">
        <f t="shared" si="32"/>
        <v/>
      </c>
      <c r="AD225" s="422" t="str">
        <f>IFERROR(IF(AC225="Check Data ⚠","Check Data ⚠",VLOOKUP(AC225,'G-4 Temporal multipliers'!$A$4:$C$37,3,FALSE)),"")</f>
        <v/>
      </c>
      <c r="AE225" s="398" t="str">
        <f>IF(N225="","",VLOOKUP(N225,'G-7 WaterC'' Data'!$B$4:$G$8,5,FALSE))</f>
        <v/>
      </c>
      <c r="AF225" s="382" t="str">
        <f t="shared" si="28"/>
        <v/>
      </c>
      <c r="AG225" s="382" t="str">
        <f t="shared" si="33"/>
        <v/>
      </c>
      <c r="AH225" s="386" t="str">
        <f t="shared" si="29"/>
        <v/>
      </c>
      <c r="AI225" s="122"/>
      <c r="AJ225" s="363" t="str">
        <f>IF(AI225="","",IF(VLOOKUP(AI225,'G-7 WaterC'' Data'!$AA$4:$AB$7,2,FALSE)=0,"Spatial Data Missing ⚠",VLOOKUP(AI225,'G-7 WaterC'' Data'!$AA$4:$AB$7,2,FALSE)))</f>
        <v/>
      </c>
      <c r="AK225" s="123"/>
      <c r="AL225" s="397" t="str">
        <f>IF(AK225="","",IF(VLOOKUP(AK225,'G-7 WaterC'' Data'!$AD$4:$AE$14,2,FALSE)=0,"Spatial Data Missing ⚠",VLOOKUP(AK225,'G-7 WaterC'' Data'!$AD$4:$AE$14,2,FALSE)))</f>
        <v/>
      </c>
      <c r="AM225" s="122"/>
      <c r="AN225" s="363" t="str">
        <f>IF(AM225="","",IF(VLOOKUP(AM225,'G-7 WaterC'' Data'!$AO$4:$BO$7,2,FALSE)=0,"Spatial Data Missing ⚠",VLOOKUP(AM225,'G-7 WaterC'' Data'!$AO$4:$BO$7,2,FALSE)))</f>
        <v/>
      </c>
      <c r="AO225" s="405" t="str">
        <f t="shared" si="34"/>
        <v/>
      </c>
      <c r="AP225" s="405" t="str">
        <f t="shared" si="35"/>
        <v/>
      </c>
      <c r="AQ225" s="117"/>
      <c r="AR225" s="118"/>
      <c r="AS225" s="120"/>
      <c r="AT225" s="120"/>
      <c r="AY225" s="30" t="str">
        <f>IFERROR(INDEX('G-7 WaterC'' Data'!$AZ$3:$AZ$7,MATCH(N225,'G-7 WaterC'' Data'!$AY$3:$AY$7,0)),"")</f>
        <v/>
      </c>
    </row>
    <row r="226" spans="2:51" ht="15">
      <c r="B226" s="392" t="str">
        <f>'F-1 Off-Site WaterC'' Baseline'!AR224</f>
        <v/>
      </c>
      <c r="C226" s="382" t="str">
        <f>IF(B226="","",VLOOKUP($B226,'F-1 Off-Site WaterC'' Baseline'!$C$9:$R$257,2,FALSE))</f>
        <v/>
      </c>
      <c r="D226" s="382" t="str">
        <f>IF(C226="","",VLOOKUP($B226,'F-1 Off-Site WaterC'' Baseline'!$C$9:$R$257,3,FALSE))</f>
        <v/>
      </c>
      <c r="E226" s="382" t="str">
        <f>IF(D226="","",VLOOKUP($B226,'F-1 Off-Site WaterC'' Baseline'!$C$9:$R$257,4,FALSE))</f>
        <v/>
      </c>
      <c r="F226" s="382" t="str">
        <f>IF(E226="","",VLOOKUP($B226,'F-1 Off-Site WaterC'' Baseline'!$C$9:$R$257,5,FALSE))</f>
        <v/>
      </c>
      <c r="G226" s="382" t="str">
        <f>IF(F226="","",VLOOKUP($B226,'F-1 Off-Site WaterC'' Baseline'!$C$9:$R$257,6,FALSE))</f>
        <v/>
      </c>
      <c r="H226" s="382" t="str">
        <f>IF(G226="","",VLOOKUP($B226,'F-1 Off-Site WaterC'' Baseline'!$C$9:$R$257,7,FALSE))</f>
        <v/>
      </c>
      <c r="I226" s="382" t="str">
        <f>IF(H226="","",VLOOKUP($B226,'F-1 Off-Site WaterC'' Baseline'!$C$9:$R$257,8,FALSE))</f>
        <v/>
      </c>
      <c r="J226" s="382" t="str">
        <f>IF(I226="","",VLOOKUP($B226,'F-1 Off-Site WaterC'' Baseline'!$C$9:$R$257,9,FALSE))</f>
        <v/>
      </c>
      <c r="K226" s="382" t="str">
        <f>IF(J226="","",VLOOKUP($B226,'F-1 Off-Site WaterC'' Baseline'!$C$9:$R$257,10,FALSE))</f>
        <v/>
      </c>
      <c r="L226" s="382" t="str">
        <f>IF(B226="","",VLOOKUP($B226,'F-1 Off-Site WaterC'' Baseline'!$C$9:$R$257,15,FALSE))</f>
        <v/>
      </c>
      <c r="M226" s="386" t="str">
        <f>IF(L226="","",VLOOKUP($B226,'F-1 Off-Site WaterC'' Baseline'!$C$9:$R$257,16,FALSE))</f>
        <v/>
      </c>
      <c r="N226" s="316" t="str">
        <f t="shared" si="30"/>
        <v/>
      </c>
      <c r="O226" s="362" t="str">
        <f t="shared" si="31"/>
        <v/>
      </c>
      <c r="P226" s="363" t="str">
        <f>IF(C226="","",IF(AND(LEFT(C226,55)&lt;&gt;LEFT(N226,55),O226="High - High"),"Error - Not like for like ▲",IF(H226&gt;U226,"Error - Can not reduce condition ▲",IF(AND(F226=S226,H226=U226,AJ226='F-1 Off-Site WaterC'' Baseline'!N224,'F-1 Off-Site WaterC'' Baseline'!P224=AL226),"Error - No enhancement ▲",IF(AND(C226&lt;&gt;N226,F226&lt;S226),"Lower Distinctiveness Habitat"&amp;" - "&amp;T226,G226&amp;" - "&amp;T226)))))</f>
        <v/>
      </c>
      <c r="Q226" s="368" t="str">
        <f>IF(N226="","",VLOOKUP(B226,'F-1 Off-Site WaterC'' Baseline'!$C$10:$AE$257,22,FALSE))</f>
        <v/>
      </c>
      <c r="R226" s="362" t="str">
        <f>IF(N226="","",VLOOKUP(N226,'G-7 WaterC'' Data'!$B$2:$G$8,2,FALSE))</f>
        <v/>
      </c>
      <c r="S226" s="363" t="str">
        <f>IFERROR(VLOOKUP(R226,'G-7 WaterC'' Data'!$C$4:$D$8,2,FALSE),"")</f>
        <v/>
      </c>
      <c r="T226" s="114"/>
      <c r="U226" s="363" t="str">
        <f>IFERROR(INDEX('G-7 WaterC'' Data'!$H$4:$L$8,MATCH(N226,'G-7 WaterC'' Data'!$B$4:$B$8,0),MATCH(T226,'G-7 WaterC'' Data'!$H$3:$L$3,0)),"")</f>
        <v/>
      </c>
      <c r="V226" s="122"/>
      <c r="W226" s="382" t="str">
        <f>IF(V226="","",IF(VLOOKUP(V226,'G-7 WaterC'' Data'!$AK$4:$AM$6,2,FALSE)=0,"Spatial Data Missing ⚠",VLOOKUP(V226,'G-7 WaterC'' Data'!$AK$4:$AM$6,2,FALSE)))</f>
        <v/>
      </c>
      <c r="X226" s="386" t="str">
        <f>IF(V226="","",IF(VLOOKUP(V226,'G-7 WaterC'' Data'!$AK$4:$AM$6,3,FALSE)=0,"Spatial Data Missing ⚠",VLOOKUP(V226,'G-7 WaterC'' Data'!$AK$4:$AM$6,3,FALSE)))</f>
        <v/>
      </c>
      <c r="Y226" s="398" t="str">
        <f>IFERROR(IF(OR(LEFT(P226,5)="Error",LEFT(O226,5)="Error"),"Check Data ⚠",IF(F226&lt;S226,'G-7 WaterC'' Data'!$R$3,INDEX('G-7 WaterC'' Data'!$U$5:$Y$9,MATCH(G226,'G-7 WaterC'' Data'!$T$5:$T$9,0),MATCH(T226,'G-7 WaterC'' Data'!$U$4:$Y$4,0)))),"")</f>
        <v/>
      </c>
      <c r="Z226" s="165"/>
      <c r="AA226" s="165"/>
      <c r="AB226" s="395" t="str">
        <f t="shared" si="27"/>
        <v/>
      </c>
      <c r="AC226" s="383" t="str">
        <f t="shared" si="32"/>
        <v/>
      </c>
      <c r="AD226" s="422" t="str">
        <f>IFERROR(IF(AC226="Check Data ⚠","Check Data ⚠",VLOOKUP(AC226,'G-4 Temporal multipliers'!$A$4:$C$37,3,FALSE)),"")</f>
        <v/>
      </c>
      <c r="AE226" s="398" t="str">
        <f>IF(N226="","",VLOOKUP(N226,'G-7 WaterC'' Data'!$B$4:$G$8,5,FALSE))</f>
        <v/>
      </c>
      <c r="AF226" s="382" t="str">
        <f t="shared" si="28"/>
        <v/>
      </c>
      <c r="AG226" s="382" t="str">
        <f t="shared" si="33"/>
        <v/>
      </c>
      <c r="AH226" s="386" t="str">
        <f t="shared" si="29"/>
        <v/>
      </c>
      <c r="AI226" s="122"/>
      <c r="AJ226" s="363" t="str">
        <f>IF(AI226="","",IF(VLOOKUP(AI226,'G-7 WaterC'' Data'!$AA$4:$AB$7,2,FALSE)=0,"Spatial Data Missing ⚠",VLOOKUP(AI226,'G-7 WaterC'' Data'!$AA$4:$AB$7,2,FALSE)))</f>
        <v/>
      </c>
      <c r="AK226" s="123"/>
      <c r="AL226" s="397" t="str">
        <f>IF(AK226="","",IF(VLOOKUP(AK226,'G-7 WaterC'' Data'!$AD$4:$AE$14,2,FALSE)=0,"Spatial Data Missing ⚠",VLOOKUP(AK226,'G-7 WaterC'' Data'!$AD$4:$AE$14,2,FALSE)))</f>
        <v/>
      </c>
      <c r="AM226" s="122"/>
      <c r="AN226" s="363" t="str">
        <f>IF(AM226="","",IF(VLOOKUP(AM226,'G-7 WaterC'' Data'!$AO$4:$BO$7,2,FALSE)=0,"Spatial Data Missing ⚠",VLOOKUP(AM226,'G-7 WaterC'' Data'!$AO$4:$BO$7,2,FALSE)))</f>
        <v/>
      </c>
      <c r="AO226" s="405" t="str">
        <f t="shared" si="34"/>
        <v/>
      </c>
      <c r="AP226" s="405" t="str">
        <f t="shared" si="35"/>
        <v/>
      </c>
      <c r="AQ226" s="117"/>
      <c r="AR226" s="118"/>
      <c r="AS226" s="120"/>
      <c r="AT226" s="120"/>
      <c r="AY226" s="30" t="str">
        <f>IFERROR(INDEX('G-7 WaterC'' Data'!$AZ$3:$AZ$7,MATCH(N226,'G-7 WaterC'' Data'!$AY$3:$AY$7,0)),"")</f>
        <v/>
      </c>
    </row>
    <row r="227" spans="2:51" ht="15">
      <c r="B227" s="392" t="str">
        <f>'F-1 Off-Site WaterC'' Baseline'!AR225</f>
        <v/>
      </c>
      <c r="C227" s="382" t="str">
        <f>IF(B227="","",VLOOKUP($B227,'F-1 Off-Site WaterC'' Baseline'!$C$9:$R$257,2,FALSE))</f>
        <v/>
      </c>
      <c r="D227" s="382" t="str">
        <f>IF(C227="","",VLOOKUP($B227,'F-1 Off-Site WaterC'' Baseline'!$C$9:$R$257,3,FALSE))</f>
        <v/>
      </c>
      <c r="E227" s="382" t="str">
        <f>IF(D227="","",VLOOKUP($B227,'F-1 Off-Site WaterC'' Baseline'!$C$9:$R$257,4,FALSE))</f>
        <v/>
      </c>
      <c r="F227" s="382" t="str">
        <f>IF(E227="","",VLOOKUP($B227,'F-1 Off-Site WaterC'' Baseline'!$C$9:$R$257,5,FALSE))</f>
        <v/>
      </c>
      <c r="G227" s="382" t="str">
        <f>IF(F227="","",VLOOKUP($B227,'F-1 Off-Site WaterC'' Baseline'!$C$9:$R$257,6,FALSE))</f>
        <v/>
      </c>
      <c r="H227" s="382" t="str">
        <f>IF(G227="","",VLOOKUP($B227,'F-1 Off-Site WaterC'' Baseline'!$C$9:$R$257,7,FALSE))</f>
        <v/>
      </c>
      <c r="I227" s="382" t="str">
        <f>IF(H227="","",VLOOKUP($B227,'F-1 Off-Site WaterC'' Baseline'!$C$9:$R$257,8,FALSE))</f>
        <v/>
      </c>
      <c r="J227" s="382" t="str">
        <f>IF(I227="","",VLOOKUP($B227,'F-1 Off-Site WaterC'' Baseline'!$C$9:$R$257,9,FALSE))</f>
        <v/>
      </c>
      <c r="K227" s="382" t="str">
        <f>IF(J227="","",VLOOKUP($B227,'F-1 Off-Site WaterC'' Baseline'!$C$9:$R$257,10,FALSE))</f>
        <v/>
      </c>
      <c r="L227" s="382" t="str">
        <f>IF(B227="","",VLOOKUP($B227,'F-1 Off-Site WaterC'' Baseline'!$C$9:$R$257,15,FALSE))</f>
        <v/>
      </c>
      <c r="M227" s="386" t="str">
        <f>IF(L227="","",VLOOKUP($B227,'F-1 Off-Site WaterC'' Baseline'!$C$9:$R$257,16,FALSE))</f>
        <v/>
      </c>
      <c r="N227" s="316" t="str">
        <f t="shared" si="30"/>
        <v/>
      </c>
      <c r="O227" s="362" t="str">
        <f t="shared" si="31"/>
        <v/>
      </c>
      <c r="P227" s="363" t="str">
        <f>IF(C227="","",IF(AND(LEFT(C227,55)&lt;&gt;LEFT(N227,55),O227="High - High"),"Error - Not like for like ▲",IF(H227&gt;U227,"Error - Can not reduce condition ▲",IF(AND(F227=S227,H227=U227,AJ227='F-1 Off-Site WaterC'' Baseline'!N225,'F-1 Off-Site WaterC'' Baseline'!P225=AL227),"Error - No enhancement ▲",IF(AND(C227&lt;&gt;N227,F227&lt;S227),"Lower Distinctiveness Habitat"&amp;" - "&amp;T227,G227&amp;" - "&amp;T227)))))</f>
        <v/>
      </c>
      <c r="Q227" s="368" t="str">
        <f>IF(N227="","",VLOOKUP(B227,'F-1 Off-Site WaterC'' Baseline'!$C$10:$AE$257,22,FALSE))</f>
        <v/>
      </c>
      <c r="R227" s="362" t="str">
        <f>IF(N227="","",VLOOKUP(N227,'G-7 WaterC'' Data'!$B$2:$G$8,2,FALSE))</f>
        <v/>
      </c>
      <c r="S227" s="363" t="str">
        <f>IFERROR(VLOOKUP(R227,'G-7 WaterC'' Data'!$C$4:$D$8,2,FALSE),"")</f>
        <v/>
      </c>
      <c r="T227" s="114"/>
      <c r="U227" s="363" t="str">
        <f>IFERROR(INDEX('G-7 WaterC'' Data'!$H$4:$L$8,MATCH(N227,'G-7 WaterC'' Data'!$B$4:$B$8,0),MATCH(T227,'G-7 WaterC'' Data'!$H$3:$L$3,0)),"")</f>
        <v/>
      </c>
      <c r="V227" s="122"/>
      <c r="W227" s="382" t="str">
        <f>IF(V227="","",IF(VLOOKUP(V227,'G-7 WaterC'' Data'!$AK$4:$AM$6,2,FALSE)=0,"Spatial Data Missing ⚠",VLOOKUP(V227,'G-7 WaterC'' Data'!$AK$4:$AM$6,2,FALSE)))</f>
        <v/>
      </c>
      <c r="X227" s="386" t="str">
        <f>IF(V227="","",IF(VLOOKUP(V227,'G-7 WaterC'' Data'!$AK$4:$AM$6,3,FALSE)=0,"Spatial Data Missing ⚠",VLOOKUP(V227,'G-7 WaterC'' Data'!$AK$4:$AM$6,3,FALSE)))</f>
        <v/>
      </c>
      <c r="Y227" s="398" t="str">
        <f>IFERROR(IF(OR(LEFT(P227,5)="Error",LEFT(O227,5)="Error"),"Check Data ⚠",IF(F227&lt;S227,'G-7 WaterC'' Data'!$R$3,INDEX('G-7 WaterC'' Data'!$U$5:$Y$9,MATCH(G227,'G-7 WaterC'' Data'!$T$5:$T$9,0),MATCH(T227,'G-7 WaterC'' Data'!$U$4:$Y$4,0)))),"")</f>
        <v/>
      </c>
      <c r="Z227" s="165"/>
      <c r="AA227" s="165"/>
      <c r="AB227" s="395" t="str">
        <f t="shared" si="27"/>
        <v/>
      </c>
      <c r="AC227" s="383" t="str">
        <f t="shared" si="32"/>
        <v/>
      </c>
      <c r="AD227" s="422" t="str">
        <f>IFERROR(IF(AC227="Check Data ⚠","Check Data ⚠",VLOOKUP(AC227,'G-4 Temporal multipliers'!$A$4:$C$37,3,FALSE)),"")</f>
        <v/>
      </c>
      <c r="AE227" s="398" t="str">
        <f>IF(N227="","",VLOOKUP(N227,'G-7 WaterC'' Data'!$B$4:$G$8,5,FALSE))</f>
        <v/>
      </c>
      <c r="AF227" s="382" t="str">
        <f t="shared" si="28"/>
        <v/>
      </c>
      <c r="AG227" s="382" t="str">
        <f t="shared" si="33"/>
        <v/>
      </c>
      <c r="AH227" s="386" t="str">
        <f t="shared" si="29"/>
        <v/>
      </c>
      <c r="AI227" s="122"/>
      <c r="AJ227" s="363" t="str">
        <f>IF(AI227="","",IF(VLOOKUP(AI227,'G-7 WaterC'' Data'!$AA$4:$AB$7,2,FALSE)=0,"Spatial Data Missing ⚠",VLOOKUP(AI227,'G-7 WaterC'' Data'!$AA$4:$AB$7,2,FALSE)))</f>
        <v/>
      </c>
      <c r="AK227" s="123"/>
      <c r="AL227" s="397" t="str">
        <f>IF(AK227="","",IF(VLOOKUP(AK227,'G-7 WaterC'' Data'!$AD$4:$AE$14,2,FALSE)=0,"Spatial Data Missing ⚠",VLOOKUP(AK227,'G-7 WaterC'' Data'!$AD$4:$AE$14,2,FALSE)))</f>
        <v/>
      </c>
      <c r="AM227" s="122"/>
      <c r="AN227" s="363" t="str">
        <f>IF(AM227="","",IF(VLOOKUP(AM227,'G-7 WaterC'' Data'!$AO$4:$BO$7,2,FALSE)=0,"Spatial Data Missing ⚠",VLOOKUP(AM227,'G-7 WaterC'' Data'!$AO$4:$BO$7,2,FALSE)))</f>
        <v/>
      </c>
      <c r="AO227" s="405" t="str">
        <f t="shared" si="34"/>
        <v/>
      </c>
      <c r="AP227" s="405" t="str">
        <f t="shared" si="35"/>
        <v/>
      </c>
      <c r="AQ227" s="117"/>
      <c r="AR227" s="118"/>
      <c r="AS227" s="120"/>
      <c r="AT227" s="120"/>
      <c r="AY227" s="30" t="str">
        <f>IFERROR(INDEX('G-7 WaterC'' Data'!$AZ$3:$AZ$7,MATCH(N227,'G-7 WaterC'' Data'!$AY$3:$AY$7,0)),"")</f>
        <v/>
      </c>
    </row>
    <row r="228" spans="2:51" ht="15">
      <c r="B228" s="392" t="str">
        <f>'F-1 Off-Site WaterC'' Baseline'!AR226</f>
        <v/>
      </c>
      <c r="C228" s="382" t="str">
        <f>IF(B228="","",VLOOKUP($B228,'F-1 Off-Site WaterC'' Baseline'!$C$9:$R$257,2,FALSE))</f>
        <v/>
      </c>
      <c r="D228" s="382" t="str">
        <f>IF(C228="","",VLOOKUP($B228,'F-1 Off-Site WaterC'' Baseline'!$C$9:$R$257,3,FALSE))</f>
        <v/>
      </c>
      <c r="E228" s="382" t="str">
        <f>IF(D228="","",VLOOKUP($B228,'F-1 Off-Site WaterC'' Baseline'!$C$9:$R$257,4,FALSE))</f>
        <v/>
      </c>
      <c r="F228" s="382" t="str">
        <f>IF(E228="","",VLOOKUP($B228,'F-1 Off-Site WaterC'' Baseline'!$C$9:$R$257,5,FALSE))</f>
        <v/>
      </c>
      <c r="G228" s="382" t="str">
        <f>IF(F228="","",VLOOKUP($B228,'F-1 Off-Site WaterC'' Baseline'!$C$9:$R$257,6,FALSE))</f>
        <v/>
      </c>
      <c r="H228" s="382" t="str">
        <f>IF(G228="","",VLOOKUP($B228,'F-1 Off-Site WaterC'' Baseline'!$C$9:$R$257,7,FALSE))</f>
        <v/>
      </c>
      <c r="I228" s="382" t="str">
        <f>IF(H228="","",VLOOKUP($B228,'F-1 Off-Site WaterC'' Baseline'!$C$9:$R$257,8,FALSE))</f>
        <v/>
      </c>
      <c r="J228" s="382" t="str">
        <f>IF(I228="","",VLOOKUP($B228,'F-1 Off-Site WaterC'' Baseline'!$C$9:$R$257,9,FALSE))</f>
        <v/>
      </c>
      <c r="K228" s="382" t="str">
        <f>IF(J228="","",VLOOKUP($B228,'F-1 Off-Site WaterC'' Baseline'!$C$9:$R$257,10,FALSE))</f>
        <v/>
      </c>
      <c r="L228" s="382" t="str">
        <f>IF(B228="","",VLOOKUP($B228,'F-1 Off-Site WaterC'' Baseline'!$C$9:$R$257,15,FALSE))</f>
        <v/>
      </c>
      <c r="M228" s="386" t="str">
        <f>IF(L228="","",VLOOKUP($B228,'F-1 Off-Site WaterC'' Baseline'!$C$9:$R$257,16,FALSE))</f>
        <v/>
      </c>
      <c r="N228" s="316" t="str">
        <f t="shared" si="30"/>
        <v/>
      </c>
      <c r="O228" s="362" t="str">
        <f t="shared" si="31"/>
        <v/>
      </c>
      <c r="P228" s="363" t="str">
        <f>IF(C228="","",IF(AND(LEFT(C228,55)&lt;&gt;LEFT(N228,55),O228="High - High"),"Error - Not like for like ▲",IF(H228&gt;U228,"Error - Can not reduce condition ▲",IF(AND(F228=S228,H228=U228,AJ228='F-1 Off-Site WaterC'' Baseline'!N226,'F-1 Off-Site WaterC'' Baseline'!P226=AL228),"Error - No enhancement ▲",IF(AND(C228&lt;&gt;N228,F228&lt;S228),"Lower Distinctiveness Habitat"&amp;" - "&amp;T228,G228&amp;" - "&amp;T228)))))</f>
        <v/>
      </c>
      <c r="Q228" s="368" t="str">
        <f>IF(N228="","",VLOOKUP(B228,'F-1 Off-Site WaterC'' Baseline'!$C$10:$AE$257,22,FALSE))</f>
        <v/>
      </c>
      <c r="R228" s="362" t="str">
        <f>IF(N228="","",VLOOKUP(N228,'G-7 WaterC'' Data'!$B$2:$G$8,2,FALSE))</f>
        <v/>
      </c>
      <c r="S228" s="363" t="str">
        <f>IFERROR(VLOOKUP(R228,'G-7 WaterC'' Data'!$C$4:$D$8,2,FALSE),"")</f>
        <v/>
      </c>
      <c r="T228" s="114"/>
      <c r="U228" s="363" t="str">
        <f>IFERROR(INDEX('G-7 WaterC'' Data'!$H$4:$L$8,MATCH(N228,'G-7 WaterC'' Data'!$B$4:$B$8,0),MATCH(T228,'G-7 WaterC'' Data'!$H$3:$L$3,0)),"")</f>
        <v/>
      </c>
      <c r="V228" s="122"/>
      <c r="W228" s="382" t="str">
        <f>IF(V228="","",IF(VLOOKUP(V228,'G-7 WaterC'' Data'!$AK$4:$AM$6,2,FALSE)=0,"Spatial Data Missing ⚠",VLOOKUP(V228,'G-7 WaterC'' Data'!$AK$4:$AM$6,2,FALSE)))</f>
        <v/>
      </c>
      <c r="X228" s="386" t="str">
        <f>IF(V228="","",IF(VLOOKUP(V228,'G-7 WaterC'' Data'!$AK$4:$AM$6,3,FALSE)=0,"Spatial Data Missing ⚠",VLOOKUP(V228,'G-7 WaterC'' Data'!$AK$4:$AM$6,3,FALSE)))</f>
        <v/>
      </c>
      <c r="Y228" s="398" t="str">
        <f>IFERROR(IF(OR(LEFT(P228,5)="Error",LEFT(O228,5)="Error"),"Check Data ⚠",IF(F228&lt;S228,'G-7 WaterC'' Data'!$R$3,INDEX('G-7 WaterC'' Data'!$U$5:$Y$9,MATCH(G228,'G-7 WaterC'' Data'!$T$5:$T$9,0),MATCH(T228,'G-7 WaterC'' Data'!$U$4:$Y$4,0)))),"")</f>
        <v/>
      </c>
      <c r="Z228" s="165"/>
      <c r="AA228" s="165"/>
      <c r="AB228" s="395" t="str">
        <f t="shared" si="27"/>
        <v/>
      </c>
      <c r="AC228" s="383" t="str">
        <f t="shared" si="32"/>
        <v/>
      </c>
      <c r="AD228" s="422" t="str">
        <f>IFERROR(IF(AC228="Check Data ⚠","Check Data ⚠",VLOOKUP(AC228,'G-4 Temporal multipliers'!$A$4:$C$37,3,FALSE)),"")</f>
        <v/>
      </c>
      <c r="AE228" s="398" t="str">
        <f>IF(N228="","",VLOOKUP(N228,'G-7 WaterC'' Data'!$B$4:$G$8,5,FALSE))</f>
        <v/>
      </c>
      <c r="AF228" s="382" t="str">
        <f t="shared" si="28"/>
        <v/>
      </c>
      <c r="AG228" s="382" t="str">
        <f t="shared" si="33"/>
        <v/>
      </c>
      <c r="AH228" s="386" t="str">
        <f t="shared" si="29"/>
        <v/>
      </c>
      <c r="AI228" s="122"/>
      <c r="AJ228" s="363" t="str">
        <f>IF(AI228="","",IF(VLOOKUP(AI228,'G-7 WaterC'' Data'!$AA$4:$AB$7,2,FALSE)=0,"Spatial Data Missing ⚠",VLOOKUP(AI228,'G-7 WaterC'' Data'!$AA$4:$AB$7,2,FALSE)))</f>
        <v/>
      </c>
      <c r="AK228" s="123"/>
      <c r="AL228" s="397" t="str">
        <f>IF(AK228="","",IF(VLOOKUP(AK228,'G-7 WaterC'' Data'!$AD$4:$AE$14,2,FALSE)=0,"Spatial Data Missing ⚠",VLOOKUP(AK228,'G-7 WaterC'' Data'!$AD$4:$AE$14,2,FALSE)))</f>
        <v/>
      </c>
      <c r="AM228" s="122"/>
      <c r="AN228" s="363" t="str">
        <f>IF(AM228="","",IF(VLOOKUP(AM228,'G-7 WaterC'' Data'!$AO$4:$BO$7,2,FALSE)=0,"Spatial Data Missing ⚠",VLOOKUP(AM228,'G-7 WaterC'' Data'!$AO$4:$BO$7,2,FALSE)))</f>
        <v/>
      </c>
      <c r="AO228" s="405" t="str">
        <f t="shared" si="34"/>
        <v/>
      </c>
      <c r="AP228" s="405" t="str">
        <f t="shared" si="35"/>
        <v/>
      </c>
      <c r="AQ228" s="117"/>
      <c r="AR228" s="118"/>
      <c r="AS228" s="120"/>
      <c r="AT228" s="120"/>
      <c r="AY228" s="30" t="str">
        <f>IFERROR(INDEX('G-7 WaterC'' Data'!$AZ$3:$AZ$7,MATCH(N228,'G-7 WaterC'' Data'!$AY$3:$AY$7,0)),"")</f>
        <v/>
      </c>
    </row>
    <row r="229" spans="2:51" ht="15">
      <c r="B229" s="392" t="str">
        <f>'F-1 Off-Site WaterC'' Baseline'!AR227</f>
        <v/>
      </c>
      <c r="C229" s="382" t="str">
        <f>IF(B229="","",VLOOKUP($B229,'F-1 Off-Site WaterC'' Baseline'!$C$9:$R$257,2,FALSE))</f>
        <v/>
      </c>
      <c r="D229" s="382" t="str">
        <f>IF(C229="","",VLOOKUP($B229,'F-1 Off-Site WaterC'' Baseline'!$C$9:$R$257,3,FALSE))</f>
        <v/>
      </c>
      <c r="E229" s="382" t="str">
        <f>IF(D229="","",VLOOKUP($B229,'F-1 Off-Site WaterC'' Baseline'!$C$9:$R$257,4,FALSE))</f>
        <v/>
      </c>
      <c r="F229" s="382" t="str">
        <f>IF(E229="","",VLOOKUP($B229,'F-1 Off-Site WaterC'' Baseline'!$C$9:$R$257,5,FALSE))</f>
        <v/>
      </c>
      <c r="G229" s="382" t="str">
        <f>IF(F229="","",VLOOKUP($B229,'F-1 Off-Site WaterC'' Baseline'!$C$9:$R$257,6,FALSE))</f>
        <v/>
      </c>
      <c r="H229" s="382" t="str">
        <f>IF(G229="","",VLOOKUP($B229,'F-1 Off-Site WaterC'' Baseline'!$C$9:$R$257,7,FALSE))</f>
        <v/>
      </c>
      <c r="I229" s="382" t="str">
        <f>IF(H229="","",VLOOKUP($B229,'F-1 Off-Site WaterC'' Baseline'!$C$9:$R$257,8,FALSE))</f>
        <v/>
      </c>
      <c r="J229" s="382" t="str">
        <f>IF(I229="","",VLOOKUP($B229,'F-1 Off-Site WaterC'' Baseline'!$C$9:$R$257,9,FALSE))</f>
        <v/>
      </c>
      <c r="K229" s="382" t="str">
        <f>IF(J229="","",VLOOKUP($B229,'F-1 Off-Site WaterC'' Baseline'!$C$9:$R$257,10,FALSE))</f>
        <v/>
      </c>
      <c r="L229" s="382" t="str">
        <f>IF(B229="","",VLOOKUP($B229,'F-1 Off-Site WaterC'' Baseline'!$C$9:$R$257,15,FALSE))</f>
        <v/>
      </c>
      <c r="M229" s="386" t="str">
        <f>IF(L229="","",VLOOKUP($B229,'F-1 Off-Site WaterC'' Baseline'!$C$9:$R$257,16,FALSE))</f>
        <v/>
      </c>
      <c r="N229" s="316" t="str">
        <f t="shared" si="30"/>
        <v/>
      </c>
      <c r="O229" s="362" t="str">
        <f t="shared" si="31"/>
        <v/>
      </c>
      <c r="P229" s="363" t="str">
        <f>IF(C229="","",IF(AND(LEFT(C229,55)&lt;&gt;LEFT(N229,55),O229="High - High"),"Error - Not like for like ▲",IF(H229&gt;U229,"Error - Can not reduce condition ▲",IF(AND(F229=S229,H229=U229,AJ229='F-1 Off-Site WaterC'' Baseline'!N227,'F-1 Off-Site WaterC'' Baseline'!P227=AL229),"Error - No enhancement ▲",IF(AND(C229&lt;&gt;N229,F229&lt;S229),"Lower Distinctiveness Habitat"&amp;" - "&amp;T229,G229&amp;" - "&amp;T229)))))</f>
        <v/>
      </c>
      <c r="Q229" s="368" t="str">
        <f>IF(N229="","",VLOOKUP(B229,'F-1 Off-Site WaterC'' Baseline'!$C$10:$AE$257,22,FALSE))</f>
        <v/>
      </c>
      <c r="R229" s="362" t="str">
        <f>IF(N229="","",VLOOKUP(N229,'G-7 WaterC'' Data'!$B$2:$G$8,2,FALSE))</f>
        <v/>
      </c>
      <c r="S229" s="363" t="str">
        <f>IFERROR(VLOOKUP(R229,'G-7 WaterC'' Data'!$C$4:$D$8,2,FALSE),"")</f>
        <v/>
      </c>
      <c r="T229" s="114"/>
      <c r="U229" s="363" t="str">
        <f>IFERROR(INDEX('G-7 WaterC'' Data'!$H$4:$L$8,MATCH(N229,'G-7 WaterC'' Data'!$B$4:$B$8,0),MATCH(T229,'G-7 WaterC'' Data'!$H$3:$L$3,0)),"")</f>
        <v/>
      </c>
      <c r="V229" s="122"/>
      <c r="W229" s="382" t="str">
        <f>IF(V229="","",IF(VLOOKUP(V229,'G-7 WaterC'' Data'!$AK$4:$AM$6,2,FALSE)=0,"Spatial Data Missing ⚠",VLOOKUP(V229,'G-7 WaterC'' Data'!$AK$4:$AM$6,2,FALSE)))</f>
        <v/>
      </c>
      <c r="X229" s="386" t="str">
        <f>IF(V229="","",IF(VLOOKUP(V229,'G-7 WaterC'' Data'!$AK$4:$AM$6,3,FALSE)=0,"Spatial Data Missing ⚠",VLOOKUP(V229,'G-7 WaterC'' Data'!$AK$4:$AM$6,3,FALSE)))</f>
        <v/>
      </c>
      <c r="Y229" s="398" t="str">
        <f>IFERROR(IF(OR(LEFT(P229,5)="Error",LEFT(O229,5)="Error"),"Check Data ⚠",IF(F229&lt;S229,'G-7 WaterC'' Data'!$R$3,INDEX('G-7 WaterC'' Data'!$U$5:$Y$9,MATCH(G229,'G-7 WaterC'' Data'!$T$5:$T$9,0),MATCH(T229,'G-7 WaterC'' Data'!$U$4:$Y$4,0)))),"")</f>
        <v/>
      </c>
      <c r="Z229" s="165"/>
      <c r="AA229" s="165"/>
      <c r="AB229" s="395" t="str">
        <f t="shared" si="27"/>
        <v/>
      </c>
      <c r="AC229" s="383" t="str">
        <f t="shared" si="32"/>
        <v/>
      </c>
      <c r="AD229" s="422" t="str">
        <f>IFERROR(IF(AC229="Check Data ⚠","Check Data ⚠",VLOOKUP(AC229,'G-4 Temporal multipliers'!$A$4:$C$37,3,FALSE)),"")</f>
        <v/>
      </c>
      <c r="AE229" s="398" t="str">
        <f>IF(N229="","",VLOOKUP(N229,'G-7 WaterC'' Data'!$B$4:$G$8,5,FALSE))</f>
        <v/>
      </c>
      <c r="AF229" s="382" t="str">
        <f t="shared" si="28"/>
        <v/>
      </c>
      <c r="AG229" s="382" t="str">
        <f t="shared" si="33"/>
        <v/>
      </c>
      <c r="AH229" s="386" t="str">
        <f t="shared" si="29"/>
        <v/>
      </c>
      <c r="AI229" s="122"/>
      <c r="AJ229" s="363" t="str">
        <f>IF(AI229="","",IF(VLOOKUP(AI229,'G-7 WaterC'' Data'!$AA$4:$AB$7,2,FALSE)=0,"Spatial Data Missing ⚠",VLOOKUP(AI229,'G-7 WaterC'' Data'!$AA$4:$AB$7,2,FALSE)))</f>
        <v/>
      </c>
      <c r="AK229" s="123"/>
      <c r="AL229" s="397" t="str">
        <f>IF(AK229="","",IF(VLOOKUP(AK229,'G-7 WaterC'' Data'!$AD$4:$AE$14,2,FALSE)=0,"Spatial Data Missing ⚠",VLOOKUP(AK229,'G-7 WaterC'' Data'!$AD$4:$AE$14,2,FALSE)))</f>
        <v/>
      </c>
      <c r="AM229" s="122"/>
      <c r="AN229" s="363" t="str">
        <f>IF(AM229="","",IF(VLOOKUP(AM229,'G-7 WaterC'' Data'!$AO$4:$BO$7,2,FALSE)=0,"Spatial Data Missing ⚠",VLOOKUP(AM229,'G-7 WaterC'' Data'!$AO$4:$BO$7,2,FALSE)))</f>
        <v/>
      </c>
      <c r="AO229" s="405" t="str">
        <f t="shared" si="34"/>
        <v/>
      </c>
      <c r="AP229" s="405" t="str">
        <f t="shared" si="35"/>
        <v/>
      </c>
      <c r="AQ229" s="117"/>
      <c r="AR229" s="118"/>
      <c r="AS229" s="120"/>
      <c r="AT229" s="120"/>
      <c r="AY229" s="30" t="str">
        <f>IFERROR(INDEX('G-7 WaterC'' Data'!$AZ$3:$AZ$7,MATCH(N229,'G-7 WaterC'' Data'!$AY$3:$AY$7,0)),"")</f>
        <v/>
      </c>
    </row>
    <row r="230" spans="2:51" ht="15">
      <c r="B230" s="392" t="str">
        <f>'F-1 Off-Site WaterC'' Baseline'!AR228</f>
        <v/>
      </c>
      <c r="C230" s="382" t="str">
        <f>IF(B230="","",VLOOKUP($B230,'F-1 Off-Site WaterC'' Baseline'!$C$9:$R$257,2,FALSE))</f>
        <v/>
      </c>
      <c r="D230" s="382" t="str">
        <f>IF(C230="","",VLOOKUP($B230,'F-1 Off-Site WaterC'' Baseline'!$C$9:$R$257,3,FALSE))</f>
        <v/>
      </c>
      <c r="E230" s="382" t="str">
        <f>IF(D230="","",VLOOKUP($B230,'F-1 Off-Site WaterC'' Baseline'!$C$9:$R$257,4,FALSE))</f>
        <v/>
      </c>
      <c r="F230" s="382" t="str">
        <f>IF(E230="","",VLOOKUP($B230,'F-1 Off-Site WaterC'' Baseline'!$C$9:$R$257,5,FALSE))</f>
        <v/>
      </c>
      <c r="G230" s="382" t="str">
        <f>IF(F230="","",VLOOKUP($B230,'F-1 Off-Site WaterC'' Baseline'!$C$9:$R$257,6,FALSE))</f>
        <v/>
      </c>
      <c r="H230" s="382" t="str">
        <f>IF(G230="","",VLOOKUP($B230,'F-1 Off-Site WaterC'' Baseline'!$C$9:$R$257,7,FALSE))</f>
        <v/>
      </c>
      <c r="I230" s="382" t="str">
        <f>IF(H230="","",VLOOKUP($B230,'F-1 Off-Site WaterC'' Baseline'!$C$9:$R$257,8,FALSE))</f>
        <v/>
      </c>
      <c r="J230" s="382" t="str">
        <f>IF(I230="","",VLOOKUP($B230,'F-1 Off-Site WaterC'' Baseline'!$C$9:$R$257,9,FALSE))</f>
        <v/>
      </c>
      <c r="K230" s="382" t="str">
        <f>IF(J230="","",VLOOKUP($B230,'F-1 Off-Site WaterC'' Baseline'!$C$9:$R$257,10,FALSE))</f>
        <v/>
      </c>
      <c r="L230" s="382" t="str">
        <f>IF(B230="","",VLOOKUP($B230,'F-1 Off-Site WaterC'' Baseline'!$C$9:$R$257,15,FALSE))</f>
        <v/>
      </c>
      <c r="M230" s="386" t="str">
        <f>IF(L230="","",VLOOKUP($B230,'F-1 Off-Site WaterC'' Baseline'!$C$9:$R$257,16,FALSE))</f>
        <v/>
      </c>
      <c r="N230" s="316" t="str">
        <f t="shared" si="30"/>
        <v/>
      </c>
      <c r="O230" s="362" t="str">
        <f t="shared" si="31"/>
        <v/>
      </c>
      <c r="P230" s="363" t="str">
        <f>IF(C230="","",IF(AND(LEFT(C230,55)&lt;&gt;LEFT(N230,55),O230="High - High"),"Error - Not like for like ▲",IF(H230&gt;U230,"Error - Can not reduce condition ▲",IF(AND(F230=S230,H230=U230,AJ230='F-1 Off-Site WaterC'' Baseline'!N228,'F-1 Off-Site WaterC'' Baseline'!P228=AL230),"Error - No enhancement ▲",IF(AND(C230&lt;&gt;N230,F230&lt;S230),"Lower Distinctiveness Habitat"&amp;" - "&amp;T230,G230&amp;" - "&amp;T230)))))</f>
        <v/>
      </c>
      <c r="Q230" s="368" t="str">
        <f>IF(N230="","",VLOOKUP(B230,'F-1 Off-Site WaterC'' Baseline'!$C$10:$AE$257,22,FALSE))</f>
        <v/>
      </c>
      <c r="R230" s="362" t="str">
        <f>IF(N230="","",VLOOKUP(N230,'G-7 WaterC'' Data'!$B$2:$G$8,2,FALSE))</f>
        <v/>
      </c>
      <c r="S230" s="363" t="str">
        <f>IFERROR(VLOOKUP(R230,'G-7 WaterC'' Data'!$C$4:$D$8,2,FALSE),"")</f>
        <v/>
      </c>
      <c r="T230" s="114"/>
      <c r="U230" s="363" t="str">
        <f>IFERROR(INDEX('G-7 WaterC'' Data'!$H$4:$L$8,MATCH(N230,'G-7 WaterC'' Data'!$B$4:$B$8,0),MATCH(T230,'G-7 WaterC'' Data'!$H$3:$L$3,0)),"")</f>
        <v/>
      </c>
      <c r="V230" s="122"/>
      <c r="W230" s="382" t="str">
        <f>IF(V230="","",IF(VLOOKUP(V230,'G-7 WaterC'' Data'!$AK$4:$AM$6,2,FALSE)=0,"Spatial Data Missing ⚠",VLOOKUP(V230,'G-7 WaterC'' Data'!$AK$4:$AM$6,2,FALSE)))</f>
        <v/>
      </c>
      <c r="X230" s="386" t="str">
        <f>IF(V230="","",IF(VLOOKUP(V230,'G-7 WaterC'' Data'!$AK$4:$AM$6,3,FALSE)=0,"Spatial Data Missing ⚠",VLOOKUP(V230,'G-7 WaterC'' Data'!$AK$4:$AM$6,3,FALSE)))</f>
        <v/>
      </c>
      <c r="Y230" s="398" t="str">
        <f>IFERROR(IF(OR(LEFT(P230,5)="Error",LEFT(O230,5)="Error"),"Check Data ⚠",IF(F230&lt;S230,'G-7 WaterC'' Data'!$R$3,INDEX('G-7 WaterC'' Data'!$U$5:$Y$9,MATCH(G230,'G-7 WaterC'' Data'!$T$5:$T$9,0),MATCH(T230,'G-7 WaterC'' Data'!$U$4:$Y$4,0)))),"")</f>
        <v/>
      </c>
      <c r="Z230" s="165"/>
      <c r="AA230" s="165"/>
      <c r="AB230" s="395" t="str">
        <f t="shared" si="27"/>
        <v/>
      </c>
      <c r="AC230" s="383" t="str">
        <f t="shared" si="32"/>
        <v/>
      </c>
      <c r="AD230" s="422" t="str">
        <f>IFERROR(IF(AC230="Check Data ⚠","Check Data ⚠",VLOOKUP(AC230,'G-4 Temporal multipliers'!$A$4:$C$37,3,FALSE)),"")</f>
        <v/>
      </c>
      <c r="AE230" s="398" t="str">
        <f>IF(N230="","",VLOOKUP(N230,'G-7 WaterC'' Data'!$B$4:$G$8,5,FALSE))</f>
        <v/>
      </c>
      <c r="AF230" s="382" t="str">
        <f t="shared" si="28"/>
        <v/>
      </c>
      <c r="AG230" s="382" t="str">
        <f t="shared" si="33"/>
        <v/>
      </c>
      <c r="AH230" s="386" t="str">
        <f t="shared" si="29"/>
        <v/>
      </c>
      <c r="AI230" s="122"/>
      <c r="AJ230" s="363" t="str">
        <f>IF(AI230="","",IF(VLOOKUP(AI230,'G-7 WaterC'' Data'!$AA$4:$AB$7,2,FALSE)=0,"Spatial Data Missing ⚠",VLOOKUP(AI230,'G-7 WaterC'' Data'!$AA$4:$AB$7,2,FALSE)))</f>
        <v/>
      </c>
      <c r="AK230" s="123"/>
      <c r="AL230" s="397" t="str">
        <f>IF(AK230="","",IF(VLOOKUP(AK230,'G-7 WaterC'' Data'!$AD$4:$AE$14,2,FALSE)=0,"Spatial Data Missing ⚠",VLOOKUP(AK230,'G-7 WaterC'' Data'!$AD$4:$AE$14,2,FALSE)))</f>
        <v/>
      </c>
      <c r="AM230" s="122"/>
      <c r="AN230" s="363" t="str">
        <f>IF(AM230="","",IF(VLOOKUP(AM230,'G-7 WaterC'' Data'!$AO$4:$BO$7,2,FALSE)=0,"Spatial Data Missing ⚠",VLOOKUP(AM230,'G-7 WaterC'' Data'!$AO$4:$BO$7,2,FALSE)))</f>
        <v/>
      </c>
      <c r="AO230" s="405" t="str">
        <f t="shared" si="34"/>
        <v/>
      </c>
      <c r="AP230" s="405" t="str">
        <f t="shared" si="35"/>
        <v/>
      </c>
      <c r="AQ230" s="117"/>
      <c r="AR230" s="118"/>
      <c r="AS230" s="120"/>
      <c r="AT230" s="120"/>
      <c r="AY230" s="30" t="str">
        <f>IFERROR(INDEX('G-7 WaterC'' Data'!$AZ$3:$AZ$7,MATCH(N230,'G-7 WaterC'' Data'!$AY$3:$AY$7,0)),"")</f>
        <v/>
      </c>
    </row>
    <row r="231" spans="2:51" ht="15">
      <c r="B231" s="392" t="str">
        <f>'F-1 Off-Site WaterC'' Baseline'!AR229</f>
        <v/>
      </c>
      <c r="C231" s="382" t="str">
        <f>IF(B231="","",VLOOKUP($B231,'F-1 Off-Site WaterC'' Baseline'!$C$9:$R$257,2,FALSE))</f>
        <v/>
      </c>
      <c r="D231" s="382" t="str">
        <f>IF(C231="","",VLOOKUP($B231,'F-1 Off-Site WaterC'' Baseline'!$C$9:$R$257,3,FALSE))</f>
        <v/>
      </c>
      <c r="E231" s="382" t="str">
        <f>IF(D231="","",VLOOKUP($B231,'F-1 Off-Site WaterC'' Baseline'!$C$9:$R$257,4,FALSE))</f>
        <v/>
      </c>
      <c r="F231" s="382" t="str">
        <f>IF(E231="","",VLOOKUP($B231,'F-1 Off-Site WaterC'' Baseline'!$C$9:$R$257,5,FALSE))</f>
        <v/>
      </c>
      <c r="G231" s="382" t="str">
        <f>IF(F231="","",VLOOKUP($B231,'F-1 Off-Site WaterC'' Baseline'!$C$9:$R$257,6,FALSE))</f>
        <v/>
      </c>
      <c r="H231" s="382" t="str">
        <f>IF(G231="","",VLOOKUP($B231,'F-1 Off-Site WaterC'' Baseline'!$C$9:$R$257,7,FALSE))</f>
        <v/>
      </c>
      <c r="I231" s="382" t="str">
        <f>IF(H231="","",VLOOKUP($B231,'F-1 Off-Site WaterC'' Baseline'!$C$9:$R$257,8,FALSE))</f>
        <v/>
      </c>
      <c r="J231" s="382" t="str">
        <f>IF(I231="","",VLOOKUP($B231,'F-1 Off-Site WaterC'' Baseline'!$C$9:$R$257,9,FALSE))</f>
        <v/>
      </c>
      <c r="K231" s="382" t="str">
        <f>IF(J231="","",VLOOKUP($B231,'F-1 Off-Site WaterC'' Baseline'!$C$9:$R$257,10,FALSE))</f>
        <v/>
      </c>
      <c r="L231" s="382" t="str">
        <f>IF(B231="","",VLOOKUP($B231,'F-1 Off-Site WaterC'' Baseline'!$C$9:$R$257,15,FALSE))</f>
        <v/>
      </c>
      <c r="M231" s="386" t="str">
        <f>IF(L231="","",VLOOKUP($B231,'F-1 Off-Site WaterC'' Baseline'!$C$9:$R$257,16,FALSE))</f>
        <v/>
      </c>
      <c r="N231" s="316" t="str">
        <f t="shared" si="30"/>
        <v/>
      </c>
      <c r="O231" s="362" t="str">
        <f t="shared" si="31"/>
        <v/>
      </c>
      <c r="P231" s="363" t="str">
        <f>IF(C231="","",IF(AND(LEFT(C231,55)&lt;&gt;LEFT(N231,55),O231="High - High"),"Error - Not like for like ▲",IF(H231&gt;U231,"Error - Can not reduce condition ▲",IF(AND(F231=S231,H231=U231,AJ231='F-1 Off-Site WaterC'' Baseline'!N229,'F-1 Off-Site WaterC'' Baseline'!P229=AL231),"Error - No enhancement ▲",IF(AND(C231&lt;&gt;N231,F231&lt;S231),"Lower Distinctiveness Habitat"&amp;" - "&amp;T231,G231&amp;" - "&amp;T231)))))</f>
        <v/>
      </c>
      <c r="Q231" s="368" t="str">
        <f>IF(N231="","",VLOOKUP(B231,'F-1 Off-Site WaterC'' Baseline'!$C$10:$AE$257,22,FALSE))</f>
        <v/>
      </c>
      <c r="R231" s="362" t="str">
        <f>IF(N231="","",VLOOKUP(N231,'G-7 WaterC'' Data'!$B$2:$G$8,2,FALSE))</f>
        <v/>
      </c>
      <c r="S231" s="363" t="str">
        <f>IFERROR(VLOOKUP(R231,'G-7 WaterC'' Data'!$C$4:$D$8,2,FALSE),"")</f>
        <v/>
      </c>
      <c r="T231" s="114"/>
      <c r="U231" s="363" t="str">
        <f>IFERROR(INDEX('G-7 WaterC'' Data'!$H$4:$L$8,MATCH(N231,'G-7 WaterC'' Data'!$B$4:$B$8,0),MATCH(T231,'G-7 WaterC'' Data'!$H$3:$L$3,0)),"")</f>
        <v/>
      </c>
      <c r="V231" s="122"/>
      <c r="W231" s="382" t="str">
        <f>IF(V231="","",IF(VLOOKUP(V231,'G-7 WaterC'' Data'!$AK$4:$AM$6,2,FALSE)=0,"Spatial Data Missing ⚠",VLOOKUP(V231,'G-7 WaterC'' Data'!$AK$4:$AM$6,2,FALSE)))</f>
        <v/>
      </c>
      <c r="X231" s="386" t="str">
        <f>IF(V231="","",IF(VLOOKUP(V231,'G-7 WaterC'' Data'!$AK$4:$AM$6,3,FALSE)=0,"Spatial Data Missing ⚠",VLOOKUP(V231,'G-7 WaterC'' Data'!$AK$4:$AM$6,3,FALSE)))</f>
        <v/>
      </c>
      <c r="Y231" s="398" t="str">
        <f>IFERROR(IF(OR(LEFT(P231,5)="Error",LEFT(O231,5)="Error"),"Check Data ⚠",IF(F231&lt;S231,'G-7 WaterC'' Data'!$R$3,INDEX('G-7 WaterC'' Data'!$U$5:$Y$9,MATCH(G231,'G-7 WaterC'' Data'!$T$5:$T$9,0),MATCH(T231,'G-7 WaterC'' Data'!$U$4:$Y$4,0)))),"")</f>
        <v/>
      </c>
      <c r="Z231" s="165"/>
      <c r="AA231" s="165"/>
      <c r="AB231" s="395" t="str">
        <f t="shared" si="27"/>
        <v/>
      </c>
      <c r="AC231" s="383" t="str">
        <f t="shared" si="32"/>
        <v/>
      </c>
      <c r="AD231" s="422" t="str">
        <f>IFERROR(IF(AC231="Check Data ⚠","Check Data ⚠",VLOOKUP(AC231,'G-4 Temporal multipliers'!$A$4:$C$37,3,FALSE)),"")</f>
        <v/>
      </c>
      <c r="AE231" s="398" t="str">
        <f>IF(N231="","",VLOOKUP(N231,'G-7 WaterC'' Data'!$B$4:$G$8,5,FALSE))</f>
        <v/>
      </c>
      <c r="AF231" s="382" t="str">
        <f t="shared" si="28"/>
        <v/>
      </c>
      <c r="AG231" s="382" t="str">
        <f t="shared" si="33"/>
        <v/>
      </c>
      <c r="AH231" s="386" t="str">
        <f t="shared" si="29"/>
        <v/>
      </c>
      <c r="AI231" s="122"/>
      <c r="AJ231" s="363" t="str">
        <f>IF(AI231="","",IF(VLOOKUP(AI231,'G-7 WaterC'' Data'!$AA$4:$AB$7,2,FALSE)=0,"Spatial Data Missing ⚠",VLOOKUP(AI231,'G-7 WaterC'' Data'!$AA$4:$AB$7,2,FALSE)))</f>
        <v/>
      </c>
      <c r="AK231" s="123"/>
      <c r="AL231" s="397" t="str">
        <f>IF(AK231="","",IF(VLOOKUP(AK231,'G-7 WaterC'' Data'!$AD$4:$AE$14,2,FALSE)=0,"Spatial Data Missing ⚠",VLOOKUP(AK231,'G-7 WaterC'' Data'!$AD$4:$AE$14,2,FALSE)))</f>
        <v/>
      </c>
      <c r="AM231" s="122"/>
      <c r="AN231" s="363" t="str">
        <f>IF(AM231="","",IF(VLOOKUP(AM231,'G-7 WaterC'' Data'!$AO$4:$BO$7,2,FALSE)=0,"Spatial Data Missing ⚠",VLOOKUP(AM231,'G-7 WaterC'' Data'!$AO$4:$BO$7,2,FALSE)))</f>
        <v/>
      </c>
      <c r="AO231" s="405" t="str">
        <f t="shared" si="34"/>
        <v/>
      </c>
      <c r="AP231" s="405" t="str">
        <f t="shared" si="35"/>
        <v/>
      </c>
      <c r="AQ231" s="117"/>
      <c r="AR231" s="118"/>
      <c r="AS231" s="120"/>
      <c r="AT231" s="120"/>
      <c r="AY231" s="30" t="str">
        <f>IFERROR(INDEX('G-7 WaterC'' Data'!$AZ$3:$AZ$7,MATCH(N231,'G-7 WaterC'' Data'!$AY$3:$AY$7,0)),"")</f>
        <v/>
      </c>
    </row>
    <row r="232" spans="2:51" ht="15">
      <c r="B232" s="392" t="str">
        <f>'F-1 Off-Site WaterC'' Baseline'!AR230</f>
        <v/>
      </c>
      <c r="C232" s="382" t="str">
        <f>IF(B232="","",VLOOKUP($B232,'F-1 Off-Site WaterC'' Baseline'!$C$9:$R$257,2,FALSE))</f>
        <v/>
      </c>
      <c r="D232" s="382" t="str">
        <f>IF(C232="","",VLOOKUP($B232,'F-1 Off-Site WaterC'' Baseline'!$C$9:$R$257,3,FALSE))</f>
        <v/>
      </c>
      <c r="E232" s="382" t="str">
        <f>IF(D232="","",VLOOKUP($B232,'F-1 Off-Site WaterC'' Baseline'!$C$9:$R$257,4,FALSE))</f>
        <v/>
      </c>
      <c r="F232" s="382" t="str">
        <f>IF(E232="","",VLOOKUP($B232,'F-1 Off-Site WaterC'' Baseline'!$C$9:$R$257,5,FALSE))</f>
        <v/>
      </c>
      <c r="G232" s="382" t="str">
        <f>IF(F232="","",VLOOKUP($B232,'F-1 Off-Site WaterC'' Baseline'!$C$9:$R$257,6,FALSE))</f>
        <v/>
      </c>
      <c r="H232" s="382" t="str">
        <f>IF(G232="","",VLOOKUP($B232,'F-1 Off-Site WaterC'' Baseline'!$C$9:$R$257,7,FALSE))</f>
        <v/>
      </c>
      <c r="I232" s="382" t="str">
        <f>IF(H232="","",VLOOKUP($B232,'F-1 Off-Site WaterC'' Baseline'!$C$9:$R$257,8,FALSE))</f>
        <v/>
      </c>
      <c r="J232" s="382" t="str">
        <f>IF(I232="","",VLOOKUP($B232,'F-1 Off-Site WaterC'' Baseline'!$C$9:$R$257,9,FALSE))</f>
        <v/>
      </c>
      <c r="K232" s="382" t="str">
        <f>IF(J232="","",VLOOKUP($B232,'F-1 Off-Site WaterC'' Baseline'!$C$9:$R$257,10,FALSE))</f>
        <v/>
      </c>
      <c r="L232" s="382" t="str">
        <f>IF(B232="","",VLOOKUP($B232,'F-1 Off-Site WaterC'' Baseline'!$C$9:$R$257,15,FALSE))</f>
        <v/>
      </c>
      <c r="M232" s="386" t="str">
        <f>IF(L232="","",VLOOKUP($B232,'F-1 Off-Site WaterC'' Baseline'!$C$9:$R$257,16,FALSE))</f>
        <v/>
      </c>
      <c r="N232" s="316" t="str">
        <f t="shared" si="30"/>
        <v/>
      </c>
      <c r="O232" s="362" t="str">
        <f t="shared" si="31"/>
        <v/>
      </c>
      <c r="P232" s="363" t="str">
        <f>IF(C232="","",IF(AND(LEFT(C232,55)&lt;&gt;LEFT(N232,55),O232="High - High"),"Error - Not like for like ▲",IF(H232&gt;U232,"Error - Can not reduce condition ▲",IF(AND(F232=S232,H232=U232,AJ232='F-1 Off-Site WaterC'' Baseline'!N230,'F-1 Off-Site WaterC'' Baseline'!P230=AL232),"Error - No enhancement ▲",IF(AND(C232&lt;&gt;N232,F232&lt;S232),"Lower Distinctiveness Habitat"&amp;" - "&amp;T232,G232&amp;" - "&amp;T232)))))</f>
        <v/>
      </c>
      <c r="Q232" s="368" t="str">
        <f>IF(N232="","",VLOOKUP(B232,'F-1 Off-Site WaterC'' Baseline'!$C$10:$AE$257,22,FALSE))</f>
        <v/>
      </c>
      <c r="R232" s="362" t="str">
        <f>IF(N232="","",VLOOKUP(N232,'G-7 WaterC'' Data'!$B$2:$G$8,2,FALSE))</f>
        <v/>
      </c>
      <c r="S232" s="363" t="str">
        <f>IFERROR(VLOOKUP(R232,'G-7 WaterC'' Data'!$C$4:$D$8,2,FALSE),"")</f>
        <v/>
      </c>
      <c r="T232" s="114"/>
      <c r="U232" s="363" t="str">
        <f>IFERROR(INDEX('G-7 WaterC'' Data'!$H$4:$L$8,MATCH(N232,'G-7 WaterC'' Data'!$B$4:$B$8,0),MATCH(T232,'G-7 WaterC'' Data'!$H$3:$L$3,0)),"")</f>
        <v/>
      </c>
      <c r="V232" s="122"/>
      <c r="W232" s="382" t="str">
        <f>IF(V232="","",IF(VLOOKUP(V232,'G-7 WaterC'' Data'!$AK$4:$AM$6,2,FALSE)=0,"Spatial Data Missing ⚠",VLOOKUP(V232,'G-7 WaterC'' Data'!$AK$4:$AM$6,2,FALSE)))</f>
        <v/>
      </c>
      <c r="X232" s="386" t="str">
        <f>IF(V232="","",IF(VLOOKUP(V232,'G-7 WaterC'' Data'!$AK$4:$AM$6,3,FALSE)=0,"Spatial Data Missing ⚠",VLOOKUP(V232,'G-7 WaterC'' Data'!$AK$4:$AM$6,3,FALSE)))</f>
        <v/>
      </c>
      <c r="Y232" s="398" t="str">
        <f>IFERROR(IF(OR(LEFT(P232,5)="Error",LEFT(O232,5)="Error"),"Check Data ⚠",IF(F232&lt;S232,'G-7 WaterC'' Data'!$R$3,INDEX('G-7 WaterC'' Data'!$U$5:$Y$9,MATCH(G232,'G-7 WaterC'' Data'!$T$5:$T$9,0),MATCH(T232,'G-7 WaterC'' Data'!$U$4:$Y$4,0)))),"")</f>
        <v/>
      </c>
      <c r="Z232" s="165"/>
      <c r="AA232" s="165"/>
      <c r="AB232" s="395" t="str">
        <f t="shared" si="27"/>
        <v/>
      </c>
      <c r="AC232" s="383" t="str">
        <f t="shared" si="32"/>
        <v/>
      </c>
      <c r="AD232" s="422" t="str">
        <f>IFERROR(IF(AC232="Check Data ⚠","Check Data ⚠",VLOOKUP(AC232,'G-4 Temporal multipliers'!$A$4:$C$37,3,FALSE)),"")</f>
        <v/>
      </c>
      <c r="AE232" s="398" t="str">
        <f>IF(N232="","",VLOOKUP(N232,'G-7 WaterC'' Data'!$B$4:$G$8,5,FALSE))</f>
        <v/>
      </c>
      <c r="AF232" s="382" t="str">
        <f t="shared" si="28"/>
        <v/>
      </c>
      <c r="AG232" s="382" t="str">
        <f t="shared" si="33"/>
        <v/>
      </c>
      <c r="AH232" s="386" t="str">
        <f t="shared" si="29"/>
        <v/>
      </c>
      <c r="AI232" s="122"/>
      <c r="AJ232" s="363" t="str">
        <f>IF(AI232="","",IF(VLOOKUP(AI232,'G-7 WaterC'' Data'!$AA$4:$AB$7,2,FALSE)=0,"Spatial Data Missing ⚠",VLOOKUP(AI232,'G-7 WaterC'' Data'!$AA$4:$AB$7,2,FALSE)))</f>
        <v/>
      </c>
      <c r="AK232" s="123"/>
      <c r="AL232" s="397" t="str">
        <f>IF(AK232="","",IF(VLOOKUP(AK232,'G-7 WaterC'' Data'!$AD$4:$AE$14,2,FALSE)=0,"Spatial Data Missing ⚠",VLOOKUP(AK232,'G-7 WaterC'' Data'!$AD$4:$AE$14,2,FALSE)))</f>
        <v/>
      </c>
      <c r="AM232" s="122"/>
      <c r="AN232" s="363" t="str">
        <f>IF(AM232="","",IF(VLOOKUP(AM232,'G-7 WaterC'' Data'!$AO$4:$BO$7,2,FALSE)=0,"Spatial Data Missing ⚠",VLOOKUP(AM232,'G-7 WaterC'' Data'!$AO$4:$BO$7,2,FALSE)))</f>
        <v/>
      </c>
      <c r="AO232" s="405" t="str">
        <f t="shared" si="34"/>
        <v/>
      </c>
      <c r="AP232" s="405" t="str">
        <f t="shared" si="35"/>
        <v/>
      </c>
      <c r="AQ232" s="117"/>
      <c r="AR232" s="118"/>
      <c r="AS232" s="120"/>
      <c r="AT232" s="120"/>
      <c r="AY232" s="30" t="str">
        <f>IFERROR(INDEX('G-7 WaterC'' Data'!$AZ$3:$AZ$7,MATCH(N232,'G-7 WaterC'' Data'!$AY$3:$AY$7,0)),"")</f>
        <v/>
      </c>
    </row>
    <row r="233" spans="2:51" ht="15">
      <c r="B233" s="392" t="str">
        <f>'F-1 Off-Site WaterC'' Baseline'!AR231</f>
        <v/>
      </c>
      <c r="C233" s="382" t="str">
        <f>IF(B233="","",VLOOKUP($B233,'F-1 Off-Site WaterC'' Baseline'!$C$9:$R$257,2,FALSE))</f>
        <v/>
      </c>
      <c r="D233" s="382" t="str">
        <f>IF(C233="","",VLOOKUP($B233,'F-1 Off-Site WaterC'' Baseline'!$C$9:$R$257,3,FALSE))</f>
        <v/>
      </c>
      <c r="E233" s="382" t="str">
        <f>IF(D233="","",VLOOKUP($B233,'F-1 Off-Site WaterC'' Baseline'!$C$9:$R$257,4,FALSE))</f>
        <v/>
      </c>
      <c r="F233" s="382" t="str">
        <f>IF(E233="","",VLOOKUP($B233,'F-1 Off-Site WaterC'' Baseline'!$C$9:$R$257,5,FALSE))</f>
        <v/>
      </c>
      <c r="G233" s="382" t="str">
        <f>IF(F233="","",VLOOKUP($B233,'F-1 Off-Site WaterC'' Baseline'!$C$9:$R$257,6,FALSE))</f>
        <v/>
      </c>
      <c r="H233" s="382" t="str">
        <f>IF(G233="","",VLOOKUP($B233,'F-1 Off-Site WaterC'' Baseline'!$C$9:$R$257,7,FALSE))</f>
        <v/>
      </c>
      <c r="I233" s="382" t="str">
        <f>IF(H233="","",VLOOKUP($B233,'F-1 Off-Site WaterC'' Baseline'!$C$9:$R$257,8,FALSE))</f>
        <v/>
      </c>
      <c r="J233" s="382" t="str">
        <f>IF(I233="","",VLOOKUP($B233,'F-1 Off-Site WaterC'' Baseline'!$C$9:$R$257,9,FALSE))</f>
        <v/>
      </c>
      <c r="K233" s="382" t="str">
        <f>IF(J233="","",VLOOKUP($B233,'F-1 Off-Site WaterC'' Baseline'!$C$9:$R$257,10,FALSE))</f>
        <v/>
      </c>
      <c r="L233" s="382" t="str">
        <f>IF(B233="","",VLOOKUP($B233,'F-1 Off-Site WaterC'' Baseline'!$C$9:$R$257,15,FALSE))</f>
        <v/>
      </c>
      <c r="M233" s="386" t="str">
        <f>IF(L233="","",VLOOKUP($B233,'F-1 Off-Site WaterC'' Baseline'!$C$9:$R$257,16,FALSE))</f>
        <v/>
      </c>
      <c r="N233" s="316" t="str">
        <f t="shared" si="30"/>
        <v/>
      </c>
      <c r="O233" s="362" t="str">
        <f t="shared" si="31"/>
        <v/>
      </c>
      <c r="P233" s="363" t="str">
        <f>IF(C233="","",IF(AND(LEFT(C233,55)&lt;&gt;LEFT(N233,55),O233="High - High"),"Error - Not like for like ▲",IF(H233&gt;U233,"Error - Can not reduce condition ▲",IF(AND(F233=S233,H233=U233,AJ233='F-1 Off-Site WaterC'' Baseline'!N231,'F-1 Off-Site WaterC'' Baseline'!P231=AL233),"Error - No enhancement ▲",IF(AND(C233&lt;&gt;N233,F233&lt;S233),"Lower Distinctiveness Habitat"&amp;" - "&amp;T233,G233&amp;" - "&amp;T233)))))</f>
        <v/>
      </c>
      <c r="Q233" s="368" t="str">
        <f>IF(N233="","",VLOOKUP(B233,'F-1 Off-Site WaterC'' Baseline'!$C$10:$AE$257,22,FALSE))</f>
        <v/>
      </c>
      <c r="R233" s="362" t="str">
        <f>IF(N233="","",VLOOKUP(N233,'G-7 WaterC'' Data'!$B$2:$G$8,2,FALSE))</f>
        <v/>
      </c>
      <c r="S233" s="363" t="str">
        <f>IFERROR(VLOOKUP(R233,'G-7 WaterC'' Data'!$C$4:$D$8,2,FALSE),"")</f>
        <v/>
      </c>
      <c r="T233" s="114"/>
      <c r="U233" s="363" t="str">
        <f>IFERROR(INDEX('G-7 WaterC'' Data'!$H$4:$L$8,MATCH(N233,'G-7 WaterC'' Data'!$B$4:$B$8,0),MATCH(T233,'G-7 WaterC'' Data'!$H$3:$L$3,0)),"")</f>
        <v/>
      </c>
      <c r="V233" s="122"/>
      <c r="W233" s="382" t="str">
        <f>IF(V233="","",IF(VLOOKUP(V233,'G-7 WaterC'' Data'!$AK$4:$AM$6,2,FALSE)=0,"Spatial Data Missing ⚠",VLOOKUP(V233,'G-7 WaterC'' Data'!$AK$4:$AM$6,2,FALSE)))</f>
        <v/>
      </c>
      <c r="X233" s="386" t="str">
        <f>IF(V233="","",IF(VLOOKUP(V233,'G-7 WaterC'' Data'!$AK$4:$AM$6,3,FALSE)=0,"Spatial Data Missing ⚠",VLOOKUP(V233,'G-7 WaterC'' Data'!$AK$4:$AM$6,3,FALSE)))</f>
        <v/>
      </c>
      <c r="Y233" s="398" t="str">
        <f>IFERROR(IF(OR(LEFT(P233,5)="Error",LEFT(O233,5)="Error"),"Check Data ⚠",IF(F233&lt;S233,'G-7 WaterC'' Data'!$R$3,INDEX('G-7 WaterC'' Data'!$U$5:$Y$9,MATCH(G233,'G-7 WaterC'' Data'!$T$5:$T$9,0),MATCH(T233,'G-7 WaterC'' Data'!$U$4:$Y$4,0)))),"")</f>
        <v/>
      </c>
      <c r="Z233" s="165"/>
      <c r="AA233" s="165"/>
      <c r="AB233" s="395" t="str">
        <f t="shared" si="27"/>
        <v/>
      </c>
      <c r="AC233" s="383" t="str">
        <f t="shared" si="32"/>
        <v/>
      </c>
      <c r="AD233" s="422" t="str">
        <f>IFERROR(IF(AC233="Check Data ⚠","Check Data ⚠",VLOOKUP(AC233,'G-4 Temporal multipliers'!$A$4:$C$37,3,FALSE)),"")</f>
        <v/>
      </c>
      <c r="AE233" s="398" t="str">
        <f>IF(N233="","",VLOOKUP(N233,'G-7 WaterC'' Data'!$B$4:$G$8,5,FALSE))</f>
        <v/>
      </c>
      <c r="AF233" s="382" t="str">
        <f t="shared" si="28"/>
        <v/>
      </c>
      <c r="AG233" s="382" t="str">
        <f t="shared" si="33"/>
        <v/>
      </c>
      <c r="AH233" s="386" t="str">
        <f t="shared" si="29"/>
        <v/>
      </c>
      <c r="AI233" s="122"/>
      <c r="AJ233" s="363" t="str">
        <f>IF(AI233="","",IF(VLOOKUP(AI233,'G-7 WaterC'' Data'!$AA$4:$AB$7,2,FALSE)=0,"Spatial Data Missing ⚠",VLOOKUP(AI233,'G-7 WaterC'' Data'!$AA$4:$AB$7,2,FALSE)))</f>
        <v/>
      </c>
      <c r="AK233" s="123"/>
      <c r="AL233" s="397" t="str">
        <f>IF(AK233="","",IF(VLOOKUP(AK233,'G-7 WaterC'' Data'!$AD$4:$AE$14,2,FALSE)=0,"Spatial Data Missing ⚠",VLOOKUP(AK233,'G-7 WaterC'' Data'!$AD$4:$AE$14,2,FALSE)))</f>
        <v/>
      </c>
      <c r="AM233" s="122"/>
      <c r="AN233" s="363" t="str">
        <f>IF(AM233="","",IF(VLOOKUP(AM233,'G-7 WaterC'' Data'!$AO$4:$BO$7,2,FALSE)=0,"Spatial Data Missing ⚠",VLOOKUP(AM233,'G-7 WaterC'' Data'!$AO$4:$BO$7,2,FALSE)))</f>
        <v/>
      </c>
      <c r="AO233" s="405" t="str">
        <f t="shared" si="34"/>
        <v/>
      </c>
      <c r="AP233" s="405" t="str">
        <f t="shared" si="35"/>
        <v/>
      </c>
      <c r="AQ233" s="117"/>
      <c r="AR233" s="118"/>
      <c r="AS233" s="120"/>
      <c r="AT233" s="120"/>
      <c r="AY233" s="30" t="str">
        <f>IFERROR(INDEX('G-7 WaterC'' Data'!$AZ$3:$AZ$7,MATCH(N233,'G-7 WaterC'' Data'!$AY$3:$AY$7,0)),"")</f>
        <v/>
      </c>
    </row>
    <row r="234" spans="2:51" ht="15">
      <c r="B234" s="392" t="str">
        <f>'F-1 Off-Site WaterC'' Baseline'!AR232</f>
        <v/>
      </c>
      <c r="C234" s="382" t="str">
        <f>IF(B234="","",VLOOKUP($B234,'F-1 Off-Site WaterC'' Baseline'!$C$9:$R$257,2,FALSE))</f>
        <v/>
      </c>
      <c r="D234" s="382" t="str">
        <f>IF(C234="","",VLOOKUP($B234,'F-1 Off-Site WaterC'' Baseline'!$C$9:$R$257,3,FALSE))</f>
        <v/>
      </c>
      <c r="E234" s="382" t="str">
        <f>IF(D234="","",VLOOKUP($B234,'F-1 Off-Site WaterC'' Baseline'!$C$9:$R$257,4,FALSE))</f>
        <v/>
      </c>
      <c r="F234" s="382" t="str">
        <f>IF(E234="","",VLOOKUP($B234,'F-1 Off-Site WaterC'' Baseline'!$C$9:$R$257,5,FALSE))</f>
        <v/>
      </c>
      <c r="G234" s="382" t="str">
        <f>IF(F234="","",VLOOKUP($B234,'F-1 Off-Site WaterC'' Baseline'!$C$9:$R$257,6,FALSE))</f>
        <v/>
      </c>
      <c r="H234" s="382" t="str">
        <f>IF(G234="","",VLOOKUP($B234,'F-1 Off-Site WaterC'' Baseline'!$C$9:$R$257,7,FALSE))</f>
        <v/>
      </c>
      <c r="I234" s="382" t="str">
        <f>IF(H234="","",VLOOKUP($B234,'F-1 Off-Site WaterC'' Baseline'!$C$9:$R$257,8,FALSE))</f>
        <v/>
      </c>
      <c r="J234" s="382" t="str">
        <f>IF(I234="","",VLOOKUP($B234,'F-1 Off-Site WaterC'' Baseline'!$C$9:$R$257,9,FALSE))</f>
        <v/>
      </c>
      <c r="K234" s="382" t="str">
        <f>IF(J234="","",VLOOKUP($B234,'F-1 Off-Site WaterC'' Baseline'!$C$9:$R$257,10,FALSE))</f>
        <v/>
      </c>
      <c r="L234" s="382" t="str">
        <f>IF(B234="","",VLOOKUP($B234,'F-1 Off-Site WaterC'' Baseline'!$C$9:$R$257,15,FALSE))</f>
        <v/>
      </c>
      <c r="M234" s="386" t="str">
        <f>IF(L234="","",VLOOKUP($B234,'F-1 Off-Site WaterC'' Baseline'!$C$9:$R$257,16,FALSE))</f>
        <v/>
      </c>
      <c r="N234" s="316" t="str">
        <f t="shared" si="30"/>
        <v/>
      </c>
      <c r="O234" s="362" t="str">
        <f t="shared" si="31"/>
        <v/>
      </c>
      <c r="P234" s="363" t="str">
        <f>IF(C234="","",IF(AND(LEFT(C234,55)&lt;&gt;LEFT(N234,55),O234="High - High"),"Error - Not like for like ▲",IF(H234&gt;U234,"Error - Can not reduce condition ▲",IF(AND(F234=S234,H234=U234,AJ234='F-1 Off-Site WaterC'' Baseline'!N232,'F-1 Off-Site WaterC'' Baseline'!P232=AL234),"Error - No enhancement ▲",IF(AND(C234&lt;&gt;N234,F234&lt;S234),"Lower Distinctiveness Habitat"&amp;" - "&amp;T234,G234&amp;" - "&amp;T234)))))</f>
        <v/>
      </c>
      <c r="Q234" s="368" t="str">
        <f>IF(N234="","",VLOOKUP(B234,'F-1 Off-Site WaterC'' Baseline'!$C$10:$AE$257,22,FALSE))</f>
        <v/>
      </c>
      <c r="R234" s="362" t="str">
        <f>IF(N234="","",VLOOKUP(N234,'G-7 WaterC'' Data'!$B$2:$G$8,2,FALSE))</f>
        <v/>
      </c>
      <c r="S234" s="363" t="str">
        <f>IFERROR(VLOOKUP(R234,'G-7 WaterC'' Data'!$C$4:$D$8,2,FALSE),"")</f>
        <v/>
      </c>
      <c r="T234" s="114"/>
      <c r="U234" s="363" t="str">
        <f>IFERROR(INDEX('G-7 WaterC'' Data'!$H$4:$L$8,MATCH(N234,'G-7 WaterC'' Data'!$B$4:$B$8,0),MATCH(T234,'G-7 WaterC'' Data'!$H$3:$L$3,0)),"")</f>
        <v/>
      </c>
      <c r="V234" s="122"/>
      <c r="W234" s="382" t="str">
        <f>IF(V234="","",IF(VLOOKUP(V234,'G-7 WaterC'' Data'!$AK$4:$AM$6,2,FALSE)=0,"Spatial Data Missing ⚠",VLOOKUP(V234,'G-7 WaterC'' Data'!$AK$4:$AM$6,2,FALSE)))</f>
        <v/>
      </c>
      <c r="X234" s="386" t="str">
        <f>IF(V234="","",IF(VLOOKUP(V234,'G-7 WaterC'' Data'!$AK$4:$AM$6,3,FALSE)=0,"Spatial Data Missing ⚠",VLOOKUP(V234,'G-7 WaterC'' Data'!$AK$4:$AM$6,3,FALSE)))</f>
        <v/>
      </c>
      <c r="Y234" s="398" t="str">
        <f>IFERROR(IF(OR(LEFT(P234,5)="Error",LEFT(O234,5)="Error"),"Check Data ⚠",IF(F234&lt;S234,'G-7 WaterC'' Data'!$R$3,INDEX('G-7 WaterC'' Data'!$U$5:$Y$9,MATCH(G234,'G-7 WaterC'' Data'!$T$5:$T$9,0),MATCH(T234,'G-7 WaterC'' Data'!$U$4:$Y$4,0)))),"")</f>
        <v/>
      </c>
      <c r="Z234" s="165"/>
      <c r="AA234" s="165"/>
      <c r="AB234" s="395" t="str">
        <f t="shared" si="27"/>
        <v/>
      </c>
      <c r="AC234" s="383" t="str">
        <f t="shared" si="32"/>
        <v/>
      </c>
      <c r="AD234" s="422" t="str">
        <f>IFERROR(IF(AC234="Check Data ⚠","Check Data ⚠",VLOOKUP(AC234,'G-4 Temporal multipliers'!$A$4:$C$37,3,FALSE)),"")</f>
        <v/>
      </c>
      <c r="AE234" s="398" t="str">
        <f>IF(N234="","",VLOOKUP(N234,'G-7 WaterC'' Data'!$B$4:$G$8,5,FALSE))</f>
        <v/>
      </c>
      <c r="AF234" s="382" t="str">
        <f t="shared" si="28"/>
        <v/>
      </c>
      <c r="AG234" s="382" t="str">
        <f t="shared" si="33"/>
        <v/>
      </c>
      <c r="AH234" s="386" t="str">
        <f t="shared" si="29"/>
        <v/>
      </c>
      <c r="AI234" s="122"/>
      <c r="AJ234" s="363" t="str">
        <f>IF(AI234="","",IF(VLOOKUP(AI234,'G-7 WaterC'' Data'!$AA$4:$AB$7,2,FALSE)=0,"Spatial Data Missing ⚠",VLOOKUP(AI234,'G-7 WaterC'' Data'!$AA$4:$AB$7,2,FALSE)))</f>
        <v/>
      </c>
      <c r="AK234" s="123"/>
      <c r="AL234" s="397" t="str">
        <f>IF(AK234="","",IF(VLOOKUP(AK234,'G-7 WaterC'' Data'!$AD$4:$AE$14,2,FALSE)=0,"Spatial Data Missing ⚠",VLOOKUP(AK234,'G-7 WaterC'' Data'!$AD$4:$AE$14,2,FALSE)))</f>
        <v/>
      </c>
      <c r="AM234" s="122"/>
      <c r="AN234" s="363" t="str">
        <f>IF(AM234="","",IF(VLOOKUP(AM234,'G-7 WaterC'' Data'!$AO$4:$BO$7,2,FALSE)=0,"Spatial Data Missing ⚠",VLOOKUP(AM234,'G-7 WaterC'' Data'!$AO$4:$BO$7,2,FALSE)))</f>
        <v/>
      </c>
      <c r="AO234" s="405" t="str">
        <f t="shared" si="34"/>
        <v/>
      </c>
      <c r="AP234" s="405" t="str">
        <f t="shared" si="35"/>
        <v/>
      </c>
      <c r="AQ234" s="117"/>
      <c r="AR234" s="118"/>
      <c r="AS234" s="120"/>
      <c r="AT234" s="120"/>
      <c r="AY234" s="30" t="str">
        <f>IFERROR(INDEX('G-7 WaterC'' Data'!$AZ$3:$AZ$7,MATCH(N234,'G-7 WaterC'' Data'!$AY$3:$AY$7,0)),"")</f>
        <v/>
      </c>
    </row>
    <row r="235" spans="2:51" ht="15">
      <c r="B235" s="392" t="str">
        <f>'F-1 Off-Site WaterC'' Baseline'!AR233</f>
        <v/>
      </c>
      <c r="C235" s="382" t="str">
        <f>IF(B235="","",VLOOKUP($B235,'F-1 Off-Site WaterC'' Baseline'!$C$9:$R$257,2,FALSE))</f>
        <v/>
      </c>
      <c r="D235" s="382" t="str">
        <f>IF(C235="","",VLOOKUP($B235,'F-1 Off-Site WaterC'' Baseline'!$C$9:$R$257,3,FALSE))</f>
        <v/>
      </c>
      <c r="E235" s="382" t="str">
        <f>IF(D235="","",VLOOKUP($B235,'F-1 Off-Site WaterC'' Baseline'!$C$9:$R$257,4,FALSE))</f>
        <v/>
      </c>
      <c r="F235" s="382" t="str">
        <f>IF(E235="","",VLOOKUP($B235,'F-1 Off-Site WaterC'' Baseline'!$C$9:$R$257,5,FALSE))</f>
        <v/>
      </c>
      <c r="G235" s="382" t="str">
        <f>IF(F235="","",VLOOKUP($B235,'F-1 Off-Site WaterC'' Baseline'!$C$9:$R$257,6,FALSE))</f>
        <v/>
      </c>
      <c r="H235" s="382" t="str">
        <f>IF(G235="","",VLOOKUP($B235,'F-1 Off-Site WaterC'' Baseline'!$C$9:$R$257,7,FALSE))</f>
        <v/>
      </c>
      <c r="I235" s="382" t="str">
        <f>IF(H235="","",VLOOKUP($B235,'F-1 Off-Site WaterC'' Baseline'!$C$9:$R$257,8,FALSE))</f>
        <v/>
      </c>
      <c r="J235" s="382" t="str">
        <f>IF(I235="","",VLOOKUP($B235,'F-1 Off-Site WaterC'' Baseline'!$C$9:$R$257,9,FALSE))</f>
        <v/>
      </c>
      <c r="K235" s="382" t="str">
        <f>IF(J235="","",VLOOKUP($B235,'F-1 Off-Site WaterC'' Baseline'!$C$9:$R$257,10,FALSE))</f>
        <v/>
      </c>
      <c r="L235" s="382" t="str">
        <f>IF(B235="","",VLOOKUP($B235,'F-1 Off-Site WaterC'' Baseline'!$C$9:$R$257,15,FALSE))</f>
        <v/>
      </c>
      <c r="M235" s="386" t="str">
        <f>IF(L235="","",VLOOKUP($B235,'F-1 Off-Site WaterC'' Baseline'!$C$9:$R$257,16,FALSE))</f>
        <v/>
      </c>
      <c r="N235" s="316" t="str">
        <f t="shared" si="30"/>
        <v/>
      </c>
      <c r="O235" s="362" t="str">
        <f t="shared" si="31"/>
        <v/>
      </c>
      <c r="P235" s="363" t="str">
        <f>IF(C235="","",IF(AND(LEFT(C235,55)&lt;&gt;LEFT(N235,55),O235="High - High"),"Error - Not like for like ▲",IF(H235&gt;U235,"Error - Can not reduce condition ▲",IF(AND(F235=S235,H235=U235,AJ235='F-1 Off-Site WaterC'' Baseline'!N233,'F-1 Off-Site WaterC'' Baseline'!P233=AL235),"Error - No enhancement ▲",IF(AND(C235&lt;&gt;N235,F235&lt;S235),"Lower Distinctiveness Habitat"&amp;" - "&amp;T235,G235&amp;" - "&amp;T235)))))</f>
        <v/>
      </c>
      <c r="Q235" s="368" t="str">
        <f>IF(N235="","",VLOOKUP(B235,'F-1 Off-Site WaterC'' Baseline'!$C$10:$AE$257,22,FALSE))</f>
        <v/>
      </c>
      <c r="R235" s="362" t="str">
        <f>IF(N235="","",VLOOKUP(N235,'G-7 WaterC'' Data'!$B$2:$G$8,2,FALSE))</f>
        <v/>
      </c>
      <c r="S235" s="363" t="str">
        <f>IFERROR(VLOOKUP(R235,'G-7 WaterC'' Data'!$C$4:$D$8,2,FALSE),"")</f>
        <v/>
      </c>
      <c r="T235" s="114"/>
      <c r="U235" s="363" t="str">
        <f>IFERROR(INDEX('G-7 WaterC'' Data'!$H$4:$L$8,MATCH(N235,'G-7 WaterC'' Data'!$B$4:$B$8,0),MATCH(T235,'G-7 WaterC'' Data'!$H$3:$L$3,0)),"")</f>
        <v/>
      </c>
      <c r="V235" s="122"/>
      <c r="W235" s="382" t="str">
        <f>IF(V235="","",IF(VLOOKUP(V235,'G-7 WaterC'' Data'!$AK$4:$AM$6,2,FALSE)=0,"Spatial Data Missing ⚠",VLOOKUP(V235,'G-7 WaterC'' Data'!$AK$4:$AM$6,2,FALSE)))</f>
        <v/>
      </c>
      <c r="X235" s="386" t="str">
        <f>IF(V235="","",IF(VLOOKUP(V235,'G-7 WaterC'' Data'!$AK$4:$AM$6,3,FALSE)=0,"Spatial Data Missing ⚠",VLOOKUP(V235,'G-7 WaterC'' Data'!$AK$4:$AM$6,3,FALSE)))</f>
        <v/>
      </c>
      <c r="Y235" s="398" t="str">
        <f>IFERROR(IF(OR(LEFT(P235,5)="Error",LEFT(O235,5)="Error"),"Check Data ⚠",IF(F235&lt;S235,'G-7 WaterC'' Data'!$R$3,INDEX('G-7 WaterC'' Data'!$U$5:$Y$9,MATCH(G235,'G-7 WaterC'' Data'!$T$5:$T$9,0),MATCH(T235,'G-7 WaterC'' Data'!$U$4:$Y$4,0)))),"")</f>
        <v/>
      </c>
      <c r="Z235" s="165"/>
      <c r="AA235" s="165"/>
      <c r="AB235" s="395" t="str">
        <f t="shared" si="27"/>
        <v/>
      </c>
      <c r="AC235" s="383" t="str">
        <f t="shared" si="32"/>
        <v/>
      </c>
      <c r="AD235" s="422" t="str">
        <f>IFERROR(IF(AC235="Check Data ⚠","Check Data ⚠",VLOOKUP(AC235,'G-4 Temporal multipliers'!$A$4:$C$37,3,FALSE)),"")</f>
        <v/>
      </c>
      <c r="AE235" s="398" t="str">
        <f>IF(N235="","",VLOOKUP(N235,'G-7 WaterC'' Data'!$B$4:$G$8,5,FALSE))</f>
        <v/>
      </c>
      <c r="AF235" s="382" t="str">
        <f t="shared" si="28"/>
        <v/>
      </c>
      <c r="AG235" s="382" t="str">
        <f t="shared" si="33"/>
        <v/>
      </c>
      <c r="AH235" s="386" t="str">
        <f t="shared" si="29"/>
        <v/>
      </c>
      <c r="AI235" s="122"/>
      <c r="AJ235" s="363" t="str">
        <f>IF(AI235="","",IF(VLOOKUP(AI235,'G-7 WaterC'' Data'!$AA$4:$AB$7,2,FALSE)=0,"Spatial Data Missing ⚠",VLOOKUP(AI235,'G-7 WaterC'' Data'!$AA$4:$AB$7,2,FALSE)))</f>
        <v/>
      </c>
      <c r="AK235" s="123"/>
      <c r="AL235" s="397" t="str">
        <f>IF(AK235="","",IF(VLOOKUP(AK235,'G-7 WaterC'' Data'!$AD$4:$AE$14,2,FALSE)=0,"Spatial Data Missing ⚠",VLOOKUP(AK235,'G-7 WaterC'' Data'!$AD$4:$AE$14,2,FALSE)))</f>
        <v/>
      </c>
      <c r="AM235" s="122"/>
      <c r="AN235" s="363" t="str">
        <f>IF(AM235="","",IF(VLOOKUP(AM235,'G-7 WaterC'' Data'!$AO$4:$BO$7,2,FALSE)=0,"Spatial Data Missing ⚠",VLOOKUP(AM235,'G-7 WaterC'' Data'!$AO$4:$BO$7,2,FALSE)))</f>
        <v/>
      </c>
      <c r="AO235" s="405" t="str">
        <f t="shared" si="34"/>
        <v/>
      </c>
      <c r="AP235" s="405" t="str">
        <f t="shared" si="35"/>
        <v/>
      </c>
      <c r="AQ235" s="117"/>
      <c r="AR235" s="118"/>
      <c r="AS235" s="120"/>
      <c r="AT235" s="120"/>
      <c r="AY235" s="30" t="str">
        <f>IFERROR(INDEX('G-7 WaterC'' Data'!$AZ$3:$AZ$7,MATCH(N235,'G-7 WaterC'' Data'!$AY$3:$AY$7,0)),"")</f>
        <v/>
      </c>
    </row>
    <row r="236" spans="2:51" ht="15">
      <c r="B236" s="392" t="str">
        <f>'F-1 Off-Site WaterC'' Baseline'!AR234</f>
        <v/>
      </c>
      <c r="C236" s="382" t="str">
        <f>IF(B236="","",VLOOKUP($B236,'F-1 Off-Site WaterC'' Baseline'!$C$9:$R$257,2,FALSE))</f>
        <v/>
      </c>
      <c r="D236" s="382" t="str">
        <f>IF(C236="","",VLOOKUP($B236,'F-1 Off-Site WaterC'' Baseline'!$C$9:$R$257,3,FALSE))</f>
        <v/>
      </c>
      <c r="E236" s="382" t="str">
        <f>IF(D236="","",VLOOKUP($B236,'F-1 Off-Site WaterC'' Baseline'!$C$9:$R$257,4,FALSE))</f>
        <v/>
      </c>
      <c r="F236" s="382" t="str">
        <f>IF(E236="","",VLOOKUP($B236,'F-1 Off-Site WaterC'' Baseline'!$C$9:$R$257,5,FALSE))</f>
        <v/>
      </c>
      <c r="G236" s="382" t="str">
        <f>IF(F236="","",VLOOKUP($B236,'F-1 Off-Site WaterC'' Baseline'!$C$9:$R$257,6,FALSE))</f>
        <v/>
      </c>
      <c r="H236" s="382" t="str">
        <f>IF(G236="","",VLOOKUP($B236,'F-1 Off-Site WaterC'' Baseline'!$C$9:$R$257,7,FALSE))</f>
        <v/>
      </c>
      <c r="I236" s="382" t="str">
        <f>IF(H236="","",VLOOKUP($B236,'F-1 Off-Site WaterC'' Baseline'!$C$9:$R$257,8,FALSE))</f>
        <v/>
      </c>
      <c r="J236" s="382" t="str">
        <f>IF(I236="","",VLOOKUP($B236,'F-1 Off-Site WaterC'' Baseline'!$C$9:$R$257,9,FALSE))</f>
        <v/>
      </c>
      <c r="K236" s="382" t="str">
        <f>IF(J236="","",VLOOKUP($B236,'F-1 Off-Site WaterC'' Baseline'!$C$9:$R$257,10,FALSE))</f>
        <v/>
      </c>
      <c r="L236" s="382" t="str">
        <f>IF(B236="","",VLOOKUP($B236,'F-1 Off-Site WaterC'' Baseline'!$C$9:$R$257,15,FALSE))</f>
        <v/>
      </c>
      <c r="M236" s="386" t="str">
        <f>IF(L236="","",VLOOKUP($B236,'F-1 Off-Site WaterC'' Baseline'!$C$9:$R$257,16,FALSE))</f>
        <v/>
      </c>
      <c r="N236" s="316" t="str">
        <f t="shared" si="30"/>
        <v/>
      </c>
      <c r="O236" s="362" t="str">
        <f t="shared" si="31"/>
        <v/>
      </c>
      <c r="P236" s="363" t="str">
        <f>IF(C236="","",IF(AND(LEFT(C236,55)&lt;&gt;LEFT(N236,55),O236="High - High"),"Error - Not like for like ▲",IF(H236&gt;U236,"Error - Can not reduce condition ▲",IF(AND(F236=S236,H236=U236,AJ236='F-1 Off-Site WaterC'' Baseline'!N234,'F-1 Off-Site WaterC'' Baseline'!P234=AL236),"Error - No enhancement ▲",IF(AND(C236&lt;&gt;N236,F236&lt;S236),"Lower Distinctiveness Habitat"&amp;" - "&amp;T236,G236&amp;" - "&amp;T236)))))</f>
        <v/>
      </c>
      <c r="Q236" s="368" t="str">
        <f>IF(N236="","",VLOOKUP(B236,'F-1 Off-Site WaterC'' Baseline'!$C$10:$AE$257,22,FALSE))</f>
        <v/>
      </c>
      <c r="R236" s="362" t="str">
        <f>IF(N236="","",VLOOKUP(N236,'G-7 WaterC'' Data'!$B$2:$G$8,2,FALSE))</f>
        <v/>
      </c>
      <c r="S236" s="363" t="str">
        <f>IFERROR(VLOOKUP(R236,'G-7 WaterC'' Data'!$C$4:$D$8,2,FALSE),"")</f>
        <v/>
      </c>
      <c r="T236" s="114"/>
      <c r="U236" s="363" t="str">
        <f>IFERROR(INDEX('G-7 WaterC'' Data'!$H$4:$L$8,MATCH(N236,'G-7 WaterC'' Data'!$B$4:$B$8,0),MATCH(T236,'G-7 WaterC'' Data'!$H$3:$L$3,0)),"")</f>
        <v/>
      </c>
      <c r="V236" s="122"/>
      <c r="W236" s="382" t="str">
        <f>IF(V236="","",IF(VLOOKUP(V236,'G-7 WaterC'' Data'!$AK$4:$AM$6,2,FALSE)=0,"Spatial Data Missing ⚠",VLOOKUP(V236,'G-7 WaterC'' Data'!$AK$4:$AM$6,2,FALSE)))</f>
        <v/>
      </c>
      <c r="X236" s="386" t="str">
        <f>IF(V236="","",IF(VLOOKUP(V236,'G-7 WaterC'' Data'!$AK$4:$AM$6,3,FALSE)=0,"Spatial Data Missing ⚠",VLOOKUP(V236,'G-7 WaterC'' Data'!$AK$4:$AM$6,3,FALSE)))</f>
        <v/>
      </c>
      <c r="Y236" s="398" t="str">
        <f>IFERROR(IF(OR(LEFT(P236,5)="Error",LEFT(O236,5)="Error"),"Check Data ⚠",IF(F236&lt;S236,'G-7 WaterC'' Data'!$R$3,INDEX('G-7 WaterC'' Data'!$U$5:$Y$9,MATCH(G236,'G-7 WaterC'' Data'!$T$5:$T$9,0),MATCH(T236,'G-7 WaterC'' Data'!$U$4:$Y$4,0)))),"")</f>
        <v/>
      </c>
      <c r="Z236" s="165"/>
      <c r="AA236" s="165"/>
      <c r="AB236" s="395" t="str">
        <f t="shared" si="27"/>
        <v/>
      </c>
      <c r="AC236" s="383" t="str">
        <f t="shared" si="32"/>
        <v/>
      </c>
      <c r="AD236" s="422" t="str">
        <f>IFERROR(IF(AC236="Check Data ⚠","Check Data ⚠",VLOOKUP(AC236,'G-4 Temporal multipliers'!$A$4:$C$37,3,FALSE)),"")</f>
        <v/>
      </c>
      <c r="AE236" s="398" t="str">
        <f>IF(N236="","",VLOOKUP(N236,'G-7 WaterC'' Data'!$B$4:$G$8,5,FALSE))</f>
        <v/>
      </c>
      <c r="AF236" s="382" t="str">
        <f t="shared" si="28"/>
        <v/>
      </c>
      <c r="AG236" s="382" t="str">
        <f t="shared" si="33"/>
        <v/>
      </c>
      <c r="AH236" s="386" t="str">
        <f t="shared" si="29"/>
        <v/>
      </c>
      <c r="AI236" s="122"/>
      <c r="AJ236" s="363" t="str">
        <f>IF(AI236="","",IF(VLOOKUP(AI236,'G-7 WaterC'' Data'!$AA$4:$AB$7,2,FALSE)=0,"Spatial Data Missing ⚠",VLOOKUP(AI236,'G-7 WaterC'' Data'!$AA$4:$AB$7,2,FALSE)))</f>
        <v/>
      </c>
      <c r="AK236" s="123"/>
      <c r="AL236" s="397" t="str">
        <f>IF(AK236="","",IF(VLOOKUP(AK236,'G-7 WaterC'' Data'!$AD$4:$AE$14,2,FALSE)=0,"Spatial Data Missing ⚠",VLOOKUP(AK236,'G-7 WaterC'' Data'!$AD$4:$AE$14,2,FALSE)))</f>
        <v/>
      </c>
      <c r="AM236" s="122"/>
      <c r="AN236" s="363" t="str">
        <f>IF(AM236="","",IF(VLOOKUP(AM236,'G-7 WaterC'' Data'!$AO$4:$BO$7,2,FALSE)=0,"Spatial Data Missing ⚠",VLOOKUP(AM236,'G-7 WaterC'' Data'!$AO$4:$BO$7,2,FALSE)))</f>
        <v/>
      </c>
      <c r="AO236" s="405" t="str">
        <f t="shared" si="34"/>
        <v/>
      </c>
      <c r="AP236" s="405" t="str">
        <f t="shared" si="35"/>
        <v/>
      </c>
      <c r="AQ236" s="117"/>
      <c r="AR236" s="118"/>
      <c r="AS236" s="120"/>
      <c r="AT236" s="120"/>
      <c r="AY236" s="30" t="str">
        <f>IFERROR(INDEX('G-7 WaterC'' Data'!$AZ$3:$AZ$7,MATCH(N236,'G-7 WaterC'' Data'!$AY$3:$AY$7,0)),"")</f>
        <v/>
      </c>
    </row>
    <row r="237" spans="2:51" ht="15">
      <c r="B237" s="392" t="str">
        <f>'F-1 Off-Site WaterC'' Baseline'!AR235</f>
        <v/>
      </c>
      <c r="C237" s="382" t="str">
        <f>IF(B237="","",VLOOKUP($B237,'F-1 Off-Site WaterC'' Baseline'!$C$9:$R$257,2,FALSE))</f>
        <v/>
      </c>
      <c r="D237" s="382" t="str">
        <f>IF(C237="","",VLOOKUP($B237,'F-1 Off-Site WaterC'' Baseline'!$C$9:$R$257,3,FALSE))</f>
        <v/>
      </c>
      <c r="E237" s="382" t="str">
        <f>IF(D237="","",VLOOKUP($B237,'F-1 Off-Site WaterC'' Baseline'!$C$9:$R$257,4,FALSE))</f>
        <v/>
      </c>
      <c r="F237" s="382" t="str">
        <f>IF(E237="","",VLOOKUP($B237,'F-1 Off-Site WaterC'' Baseline'!$C$9:$R$257,5,FALSE))</f>
        <v/>
      </c>
      <c r="G237" s="382" t="str">
        <f>IF(F237="","",VLOOKUP($B237,'F-1 Off-Site WaterC'' Baseline'!$C$9:$R$257,6,FALSE))</f>
        <v/>
      </c>
      <c r="H237" s="382" t="str">
        <f>IF(G237="","",VLOOKUP($B237,'F-1 Off-Site WaterC'' Baseline'!$C$9:$R$257,7,FALSE))</f>
        <v/>
      </c>
      <c r="I237" s="382" t="str">
        <f>IF(H237="","",VLOOKUP($B237,'F-1 Off-Site WaterC'' Baseline'!$C$9:$R$257,8,FALSE))</f>
        <v/>
      </c>
      <c r="J237" s="382" t="str">
        <f>IF(I237="","",VLOOKUP($B237,'F-1 Off-Site WaterC'' Baseline'!$C$9:$R$257,9,FALSE))</f>
        <v/>
      </c>
      <c r="K237" s="382" t="str">
        <f>IF(J237="","",VLOOKUP($B237,'F-1 Off-Site WaterC'' Baseline'!$C$9:$R$257,10,FALSE))</f>
        <v/>
      </c>
      <c r="L237" s="382" t="str">
        <f>IF(B237="","",VLOOKUP($B237,'F-1 Off-Site WaterC'' Baseline'!$C$9:$R$257,15,FALSE))</f>
        <v/>
      </c>
      <c r="M237" s="386" t="str">
        <f>IF(L237="","",VLOOKUP($B237,'F-1 Off-Site WaterC'' Baseline'!$C$9:$R$257,16,FALSE))</f>
        <v/>
      </c>
      <c r="N237" s="316" t="str">
        <f t="shared" si="30"/>
        <v/>
      </c>
      <c r="O237" s="362" t="str">
        <f t="shared" si="31"/>
        <v/>
      </c>
      <c r="P237" s="363" t="str">
        <f>IF(C237="","",IF(AND(LEFT(C237,55)&lt;&gt;LEFT(N237,55),O237="High - High"),"Error - Not like for like ▲",IF(H237&gt;U237,"Error - Can not reduce condition ▲",IF(AND(F237=S237,H237=U237,AJ237='F-1 Off-Site WaterC'' Baseline'!N235,'F-1 Off-Site WaterC'' Baseline'!P235=AL237),"Error - No enhancement ▲",IF(AND(C237&lt;&gt;N237,F237&lt;S237),"Lower Distinctiveness Habitat"&amp;" - "&amp;T237,G237&amp;" - "&amp;T237)))))</f>
        <v/>
      </c>
      <c r="Q237" s="368" t="str">
        <f>IF(N237="","",VLOOKUP(B237,'F-1 Off-Site WaterC'' Baseline'!$C$10:$AE$257,22,FALSE))</f>
        <v/>
      </c>
      <c r="R237" s="362" t="str">
        <f>IF(N237="","",VLOOKUP(N237,'G-7 WaterC'' Data'!$B$2:$G$8,2,FALSE))</f>
        <v/>
      </c>
      <c r="S237" s="363" t="str">
        <f>IFERROR(VLOOKUP(R237,'G-7 WaterC'' Data'!$C$4:$D$8,2,FALSE),"")</f>
        <v/>
      </c>
      <c r="T237" s="114"/>
      <c r="U237" s="363" t="str">
        <f>IFERROR(INDEX('G-7 WaterC'' Data'!$H$4:$L$8,MATCH(N237,'G-7 WaterC'' Data'!$B$4:$B$8,0),MATCH(T237,'G-7 WaterC'' Data'!$H$3:$L$3,0)),"")</f>
        <v/>
      </c>
      <c r="V237" s="122"/>
      <c r="W237" s="382" t="str">
        <f>IF(V237="","",IF(VLOOKUP(V237,'G-7 WaterC'' Data'!$AK$4:$AM$6,2,FALSE)=0,"Spatial Data Missing ⚠",VLOOKUP(V237,'G-7 WaterC'' Data'!$AK$4:$AM$6,2,FALSE)))</f>
        <v/>
      </c>
      <c r="X237" s="386" t="str">
        <f>IF(V237="","",IF(VLOOKUP(V237,'G-7 WaterC'' Data'!$AK$4:$AM$6,3,FALSE)=0,"Spatial Data Missing ⚠",VLOOKUP(V237,'G-7 WaterC'' Data'!$AK$4:$AM$6,3,FALSE)))</f>
        <v/>
      </c>
      <c r="Y237" s="398" t="str">
        <f>IFERROR(IF(OR(LEFT(P237,5)="Error",LEFT(O237,5)="Error"),"Check Data ⚠",IF(F237&lt;S237,'G-7 WaterC'' Data'!$R$3,INDEX('G-7 WaterC'' Data'!$U$5:$Y$9,MATCH(G237,'G-7 WaterC'' Data'!$T$5:$T$9,0),MATCH(T237,'G-7 WaterC'' Data'!$U$4:$Y$4,0)))),"")</f>
        <v/>
      </c>
      <c r="Z237" s="165"/>
      <c r="AA237" s="165"/>
      <c r="AB237" s="395" t="str">
        <f t="shared" si="27"/>
        <v/>
      </c>
      <c r="AC237" s="383" t="str">
        <f t="shared" si="32"/>
        <v/>
      </c>
      <c r="AD237" s="422" t="str">
        <f>IFERROR(IF(AC237="Check Data ⚠","Check Data ⚠",VLOOKUP(AC237,'G-4 Temporal multipliers'!$A$4:$C$37,3,FALSE)),"")</f>
        <v/>
      </c>
      <c r="AE237" s="398" t="str">
        <f>IF(N237="","",VLOOKUP(N237,'G-7 WaterC'' Data'!$B$4:$G$8,5,FALSE))</f>
        <v/>
      </c>
      <c r="AF237" s="382" t="str">
        <f t="shared" si="28"/>
        <v/>
      </c>
      <c r="AG237" s="382" t="str">
        <f t="shared" si="33"/>
        <v/>
      </c>
      <c r="AH237" s="386" t="str">
        <f t="shared" si="29"/>
        <v/>
      </c>
      <c r="AI237" s="122"/>
      <c r="AJ237" s="363" t="str">
        <f>IF(AI237="","",IF(VLOOKUP(AI237,'G-7 WaterC'' Data'!$AA$4:$AB$7,2,FALSE)=0,"Spatial Data Missing ⚠",VLOOKUP(AI237,'G-7 WaterC'' Data'!$AA$4:$AB$7,2,FALSE)))</f>
        <v/>
      </c>
      <c r="AK237" s="123"/>
      <c r="AL237" s="397" t="str">
        <f>IF(AK237="","",IF(VLOOKUP(AK237,'G-7 WaterC'' Data'!$AD$4:$AE$14,2,FALSE)=0,"Spatial Data Missing ⚠",VLOOKUP(AK237,'G-7 WaterC'' Data'!$AD$4:$AE$14,2,FALSE)))</f>
        <v/>
      </c>
      <c r="AM237" s="122"/>
      <c r="AN237" s="363" t="str">
        <f>IF(AM237="","",IF(VLOOKUP(AM237,'G-7 WaterC'' Data'!$AO$4:$BO$7,2,FALSE)=0,"Spatial Data Missing ⚠",VLOOKUP(AM237,'G-7 WaterC'' Data'!$AO$4:$BO$7,2,FALSE)))</f>
        <v/>
      </c>
      <c r="AO237" s="405" t="str">
        <f t="shared" si="34"/>
        <v/>
      </c>
      <c r="AP237" s="405" t="str">
        <f t="shared" si="35"/>
        <v/>
      </c>
      <c r="AQ237" s="117"/>
      <c r="AR237" s="118"/>
      <c r="AS237" s="120"/>
      <c r="AT237" s="120"/>
      <c r="AY237" s="30" t="str">
        <f>IFERROR(INDEX('G-7 WaterC'' Data'!$AZ$3:$AZ$7,MATCH(N237,'G-7 WaterC'' Data'!$AY$3:$AY$7,0)),"")</f>
        <v/>
      </c>
    </row>
    <row r="238" spans="2:51" ht="15">
      <c r="B238" s="392" t="str">
        <f>'F-1 Off-Site WaterC'' Baseline'!AR236</f>
        <v/>
      </c>
      <c r="C238" s="382" t="str">
        <f>IF(B238="","",VLOOKUP($B238,'F-1 Off-Site WaterC'' Baseline'!$C$9:$R$257,2,FALSE))</f>
        <v/>
      </c>
      <c r="D238" s="382" t="str">
        <f>IF(C238="","",VLOOKUP($B238,'F-1 Off-Site WaterC'' Baseline'!$C$9:$R$257,3,FALSE))</f>
        <v/>
      </c>
      <c r="E238" s="382" t="str">
        <f>IF(D238="","",VLOOKUP($B238,'F-1 Off-Site WaterC'' Baseline'!$C$9:$R$257,4,FALSE))</f>
        <v/>
      </c>
      <c r="F238" s="382" t="str">
        <f>IF(E238="","",VLOOKUP($B238,'F-1 Off-Site WaterC'' Baseline'!$C$9:$R$257,5,FALSE))</f>
        <v/>
      </c>
      <c r="G238" s="382" t="str">
        <f>IF(F238="","",VLOOKUP($B238,'F-1 Off-Site WaterC'' Baseline'!$C$9:$R$257,6,FALSE))</f>
        <v/>
      </c>
      <c r="H238" s="382" t="str">
        <f>IF(G238="","",VLOOKUP($B238,'F-1 Off-Site WaterC'' Baseline'!$C$9:$R$257,7,FALSE))</f>
        <v/>
      </c>
      <c r="I238" s="382" t="str">
        <f>IF(H238="","",VLOOKUP($B238,'F-1 Off-Site WaterC'' Baseline'!$C$9:$R$257,8,FALSE))</f>
        <v/>
      </c>
      <c r="J238" s="382" t="str">
        <f>IF(I238="","",VLOOKUP($B238,'F-1 Off-Site WaterC'' Baseline'!$C$9:$R$257,9,FALSE))</f>
        <v/>
      </c>
      <c r="K238" s="382" t="str">
        <f>IF(J238="","",VLOOKUP($B238,'F-1 Off-Site WaterC'' Baseline'!$C$9:$R$257,10,FALSE))</f>
        <v/>
      </c>
      <c r="L238" s="382" t="str">
        <f>IF(B238="","",VLOOKUP($B238,'F-1 Off-Site WaterC'' Baseline'!$C$9:$R$257,15,FALSE))</f>
        <v/>
      </c>
      <c r="M238" s="386" t="str">
        <f>IF(L238="","",VLOOKUP($B238,'F-1 Off-Site WaterC'' Baseline'!$C$9:$R$257,16,FALSE))</f>
        <v/>
      </c>
      <c r="N238" s="316" t="str">
        <f t="shared" si="30"/>
        <v/>
      </c>
      <c r="O238" s="362" t="str">
        <f t="shared" si="31"/>
        <v/>
      </c>
      <c r="P238" s="363" t="str">
        <f>IF(C238="","",IF(AND(LEFT(C238,55)&lt;&gt;LEFT(N238,55),O238="High - High"),"Error - Not like for like ▲",IF(H238&gt;U238,"Error - Can not reduce condition ▲",IF(AND(F238=S238,H238=U238,AJ238='F-1 Off-Site WaterC'' Baseline'!N236,'F-1 Off-Site WaterC'' Baseline'!P236=AL238),"Error - No enhancement ▲",IF(AND(C238&lt;&gt;N238,F238&lt;S238),"Lower Distinctiveness Habitat"&amp;" - "&amp;T238,G238&amp;" - "&amp;T238)))))</f>
        <v/>
      </c>
      <c r="Q238" s="368" t="str">
        <f>IF(N238="","",VLOOKUP(B238,'F-1 Off-Site WaterC'' Baseline'!$C$10:$AE$257,22,FALSE))</f>
        <v/>
      </c>
      <c r="R238" s="362" t="str">
        <f>IF(N238="","",VLOOKUP(N238,'G-7 WaterC'' Data'!$B$2:$G$8,2,FALSE))</f>
        <v/>
      </c>
      <c r="S238" s="363" t="str">
        <f>IFERROR(VLOOKUP(R238,'G-7 WaterC'' Data'!$C$4:$D$8,2,FALSE),"")</f>
        <v/>
      </c>
      <c r="T238" s="114"/>
      <c r="U238" s="363" t="str">
        <f>IFERROR(INDEX('G-7 WaterC'' Data'!$H$4:$L$8,MATCH(N238,'G-7 WaterC'' Data'!$B$4:$B$8,0),MATCH(T238,'G-7 WaterC'' Data'!$H$3:$L$3,0)),"")</f>
        <v/>
      </c>
      <c r="V238" s="122"/>
      <c r="W238" s="382" t="str">
        <f>IF(V238="","",IF(VLOOKUP(V238,'G-7 WaterC'' Data'!$AK$4:$AM$6,2,FALSE)=0,"Spatial Data Missing ⚠",VLOOKUP(V238,'G-7 WaterC'' Data'!$AK$4:$AM$6,2,FALSE)))</f>
        <v/>
      </c>
      <c r="X238" s="386" t="str">
        <f>IF(V238="","",IF(VLOOKUP(V238,'G-7 WaterC'' Data'!$AK$4:$AM$6,3,FALSE)=0,"Spatial Data Missing ⚠",VLOOKUP(V238,'G-7 WaterC'' Data'!$AK$4:$AM$6,3,FALSE)))</f>
        <v/>
      </c>
      <c r="Y238" s="398" t="str">
        <f>IFERROR(IF(OR(LEFT(P238,5)="Error",LEFT(O238,5)="Error"),"Check Data ⚠",IF(F238&lt;S238,'G-7 WaterC'' Data'!$R$3,INDEX('G-7 WaterC'' Data'!$U$5:$Y$9,MATCH(G238,'G-7 WaterC'' Data'!$T$5:$T$9,0),MATCH(T238,'G-7 WaterC'' Data'!$U$4:$Y$4,0)))),"")</f>
        <v/>
      </c>
      <c r="Z238" s="165"/>
      <c r="AA238" s="165"/>
      <c r="AB238" s="395" t="str">
        <f t="shared" si="27"/>
        <v/>
      </c>
      <c r="AC238" s="383" t="str">
        <f t="shared" si="32"/>
        <v/>
      </c>
      <c r="AD238" s="422" t="str">
        <f>IFERROR(IF(AC238="Check Data ⚠","Check Data ⚠",VLOOKUP(AC238,'G-4 Temporal multipliers'!$A$4:$C$37,3,FALSE)),"")</f>
        <v/>
      </c>
      <c r="AE238" s="398" t="str">
        <f>IF(N238="","",VLOOKUP(N238,'G-7 WaterC'' Data'!$B$4:$G$8,5,FALSE))</f>
        <v/>
      </c>
      <c r="AF238" s="382" t="str">
        <f t="shared" si="28"/>
        <v/>
      </c>
      <c r="AG238" s="382" t="str">
        <f t="shared" si="33"/>
        <v/>
      </c>
      <c r="AH238" s="386" t="str">
        <f t="shared" si="29"/>
        <v/>
      </c>
      <c r="AI238" s="122"/>
      <c r="AJ238" s="363" t="str">
        <f>IF(AI238="","",IF(VLOOKUP(AI238,'G-7 WaterC'' Data'!$AA$4:$AB$7,2,FALSE)=0,"Spatial Data Missing ⚠",VLOOKUP(AI238,'G-7 WaterC'' Data'!$AA$4:$AB$7,2,FALSE)))</f>
        <v/>
      </c>
      <c r="AK238" s="123"/>
      <c r="AL238" s="397" t="str">
        <f>IF(AK238="","",IF(VLOOKUP(AK238,'G-7 WaterC'' Data'!$AD$4:$AE$14,2,FALSE)=0,"Spatial Data Missing ⚠",VLOOKUP(AK238,'G-7 WaterC'' Data'!$AD$4:$AE$14,2,FALSE)))</f>
        <v/>
      </c>
      <c r="AM238" s="122"/>
      <c r="AN238" s="363" t="str">
        <f>IF(AM238="","",IF(VLOOKUP(AM238,'G-7 WaterC'' Data'!$AO$4:$BO$7,2,FALSE)=0,"Spatial Data Missing ⚠",VLOOKUP(AM238,'G-7 WaterC'' Data'!$AO$4:$BO$7,2,FALSE)))</f>
        <v/>
      </c>
      <c r="AO238" s="405" t="str">
        <f t="shared" si="34"/>
        <v/>
      </c>
      <c r="AP238" s="405" t="str">
        <f t="shared" si="35"/>
        <v/>
      </c>
      <c r="AQ238" s="117"/>
      <c r="AR238" s="118"/>
      <c r="AS238" s="120"/>
      <c r="AT238" s="120"/>
      <c r="AY238" s="30" t="str">
        <f>IFERROR(INDEX('G-7 WaterC'' Data'!$AZ$3:$AZ$7,MATCH(N238,'G-7 WaterC'' Data'!$AY$3:$AY$7,0)),"")</f>
        <v/>
      </c>
    </row>
    <row r="239" spans="2:51" ht="15">
      <c r="B239" s="392" t="str">
        <f>'F-1 Off-Site WaterC'' Baseline'!AR237</f>
        <v/>
      </c>
      <c r="C239" s="382" t="str">
        <f>IF(B239="","",VLOOKUP($B239,'F-1 Off-Site WaterC'' Baseline'!$C$9:$R$257,2,FALSE))</f>
        <v/>
      </c>
      <c r="D239" s="382" t="str">
        <f>IF(C239="","",VLOOKUP($B239,'F-1 Off-Site WaterC'' Baseline'!$C$9:$R$257,3,FALSE))</f>
        <v/>
      </c>
      <c r="E239" s="382" t="str">
        <f>IF(D239="","",VLOOKUP($B239,'F-1 Off-Site WaterC'' Baseline'!$C$9:$R$257,4,FALSE))</f>
        <v/>
      </c>
      <c r="F239" s="382" t="str">
        <f>IF(E239="","",VLOOKUP($B239,'F-1 Off-Site WaterC'' Baseline'!$C$9:$R$257,5,FALSE))</f>
        <v/>
      </c>
      <c r="G239" s="382" t="str">
        <f>IF(F239="","",VLOOKUP($B239,'F-1 Off-Site WaterC'' Baseline'!$C$9:$R$257,6,FALSE))</f>
        <v/>
      </c>
      <c r="H239" s="382" t="str">
        <f>IF(G239="","",VLOOKUP($B239,'F-1 Off-Site WaterC'' Baseline'!$C$9:$R$257,7,FALSE))</f>
        <v/>
      </c>
      <c r="I239" s="382" t="str">
        <f>IF(H239="","",VLOOKUP($B239,'F-1 Off-Site WaterC'' Baseline'!$C$9:$R$257,8,FALSE))</f>
        <v/>
      </c>
      <c r="J239" s="382" t="str">
        <f>IF(I239="","",VLOOKUP($B239,'F-1 Off-Site WaterC'' Baseline'!$C$9:$R$257,9,FALSE))</f>
        <v/>
      </c>
      <c r="K239" s="382" t="str">
        <f>IF(J239="","",VLOOKUP($B239,'F-1 Off-Site WaterC'' Baseline'!$C$9:$R$257,10,FALSE))</f>
        <v/>
      </c>
      <c r="L239" s="382" t="str">
        <f>IF(B239="","",VLOOKUP($B239,'F-1 Off-Site WaterC'' Baseline'!$C$9:$R$257,15,FALSE))</f>
        <v/>
      </c>
      <c r="M239" s="386" t="str">
        <f>IF(L239="","",VLOOKUP($B239,'F-1 Off-Site WaterC'' Baseline'!$C$9:$R$257,16,FALSE))</f>
        <v/>
      </c>
      <c r="N239" s="316" t="str">
        <f t="shared" si="30"/>
        <v/>
      </c>
      <c r="O239" s="362" t="str">
        <f t="shared" si="31"/>
        <v/>
      </c>
      <c r="P239" s="363" t="str">
        <f>IF(C239="","",IF(AND(LEFT(C239,55)&lt;&gt;LEFT(N239,55),O239="High - High"),"Error - Not like for like ▲",IF(H239&gt;U239,"Error - Can not reduce condition ▲",IF(AND(F239=S239,H239=U239,AJ239='F-1 Off-Site WaterC'' Baseline'!N237,'F-1 Off-Site WaterC'' Baseline'!P237=AL239),"Error - No enhancement ▲",IF(AND(C239&lt;&gt;N239,F239&lt;S239),"Lower Distinctiveness Habitat"&amp;" - "&amp;T239,G239&amp;" - "&amp;T239)))))</f>
        <v/>
      </c>
      <c r="Q239" s="368" t="str">
        <f>IF(N239="","",VLOOKUP(B239,'F-1 Off-Site WaterC'' Baseline'!$C$10:$AE$257,22,FALSE))</f>
        <v/>
      </c>
      <c r="R239" s="362" t="str">
        <f>IF(N239="","",VLOOKUP(N239,'G-7 WaterC'' Data'!$B$2:$G$8,2,FALSE))</f>
        <v/>
      </c>
      <c r="S239" s="363" t="str">
        <f>IFERROR(VLOOKUP(R239,'G-7 WaterC'' Data'!$C$4:$D$8,2,FALSE),"")</f>
        <v/>
      </c>
      <c r="T239" s="114"/>
      <c r="U239" s="363" t="str">
        <f>IFERROR(INDEX('G-7 WaterC'' Data'!$H$4:$L$8,MATCH(N239,'G-7 WaterC'' Data'!$B$4:$B$8,0),MATCH(T239,'G-7 WaterC'' Data'!$H$3:$L$3,0)),"")</f>
        <v/>
      </c>
      <c r="V239" s="122"/>
      <c r="W239" s="382" t="str">
        <f>IF(V239="","",IF(VLOOKUP(V239,'G-7 WaterC'' Data'!$AK$4:$AM$6,2,FALSE)=0,"Spatial Data Missing ⚠",VLOOKUP(V239,'G-7 WaterC'' Data'!$AK$4:$AM$6,2,FALSE)))</f>
        <v/>
      </c>
      <c r="X239" s="386" t="str">
        <f>IF(V239="","",IF(VLOOKUP(V239,'G-7 WaterC'' Data'!$AK$4:$AM$6,3,FALSE)=0,"Spatial Data Missing ⚠",VLOOKUP(V239,'G-7 WaterC'' Data'!$AK$4:$AM$6,3,FALSE)))</f>
        <v/>
      </c>
      <c r="Y239" s="398" t="str">
        <f>IFERROR(IF(OR(LEFT(P239,5)="Error",LEFT(O239,5)="Error"),"Check Data ⚠",IF(F239&lt;S239,'G-7 WaterC'' Data'!$R$3,INDEX('G-7 WaterC'' Data'!$U$5:$Y$9,MATCH(G239,'G-7 WaterC'' Data'!$T$5:$T$9,0),MATCH(T239,'G-7 WaterC'' Data'!$U$4:$Y$4,0)))),"")</f>
        <v/>
      </c>
      <c r="Z239" s="165"/>
      <c r="AA239" s="165"/>
      <c r="AB239" s="395" t="str">
        <f t="shared" si="27"/>
        <v/>
      </c>
      <c r="AC239" s="383" t="str">
        <f t="shared" si="32"/>
        <v/>
      </c>
      <c r="AD239" s="422" t="str">
        <f>IFERROR(IF(AC239="Check Data ⚠","Check Data ⚠",VLOOKUP(AC239,'G-4 Temporal multipliers'!$A$4:$C$37,3,FALSE)),"")</f>
        <v/>
      </c>
      <c r="AE239" s="398" t="str">
        <f>IF(N239="","",VLOOKUP(N239,'G-7 WaterC'' Data'!$B$4:$G$8,5,FALSE))</f>
        <v/>
      </c>
      <c r="AF239" s="382" t="str">
        <f t="shared" si="28"/>
        <v/>
      </c>
      <c r="AG239" s="382" t="str">
        <f t="shared" si="33"/>
        <v/>
      </c>
      <c r="AH239" s="386" t="str">
        <f t="shared" si="29"/>
        <v/>
      </c>
      <c r="AI239" s="122"/>
      <c r="AJ239" s="363" t="str">
        <f>IF(AI239="","",IF(VLOOKUP(AI239,'G-7 WaterC'' Data'!$AA$4:$AB$7,2,FALSE)=0,"Spatial Data Missing ⚠",VLOOKUP(AI239,'G-7 WaterC'' Data'!$AA$4:$AB$7,2,FALSE)))</f>
        <v/>
      </c>
      <c r="AK239" s="123"/>
      <c r="AL239" s="397" t="str">
        <f>IF(AK239="","",IF(VLOOKUP(AK239,'G-7 WaterC'' Data'!$AD$4:$AE$14,2,FALSE)=0,"Spatial Data Missing ⚠",VLOOKUP(AK239,'G-7 WaterC'' Data'!$AD$4:$AE$14,2,FALSE)))</f>
        <v/>
      </c>
      <c r="AM239" s="122"/>
      <c r="AN239" s="363" t="str">
        <f>IF(AM239="","",IF(VLOOKUP(AM239,'G-7 WaterC'' Data'!$AO$4:$BO$7,2,FALSE)=0,"Spatial Data Missing ⚠",VLOOKUP(AM239,'G-7 WaterC'' Data'!$AO$4:$BO$7,2,FALSE)))</f>
        <v/>
      </c>
      <c r="AO239" s="405" t="str">
        <f t="shared" si="34"/>
        <v/>
      </c>
      <c r="AP239" s="405" t="str">
        <f t="shared" si="35"/>
        <v/>
      </c>
      <c r="AQ239" s="117"/>
      <c r="AR239" s="118"/>
      <c r="AS239" s="120"/>
      <c r="AT239" s="120"/>
      <c r="AY239" s="30" t="str">
        <f>IFERROR(INDEX('G-7 WaterC'' Data'!$AZ$3:$AZ$7,MATCH(N239,'G-7 WaterC'' Data'!$AY$3:$AY$7,0)),"")</f>
        <v/>
      </c>
    </row>
    <row r="240" spans="2:51" ht="15">
      <c r="B240" s="392" t="str">
        <f>'F-1 Off-Site WaterC'' Baseline'!AR238</f>
        <v/>
      </c>
      <c r="C240" s="382" t="str">
        <f>IF(B240="","",VLOOKUP($B240,'F-1 Off-Site WaterC'' Baseline'!$C$9:$R$257,2,FALSE))</f>
        <v/>
      </c>
      <c r="D240" s="382" t="str">
        <f>IF(C240="","",VLOOKUP($B240,'F-1 Off-Site WaterC'' Baseline'!$C$9:$R$257,3,FALSE))</f>
        <v/>
      </c>
      <c r="E240" s="382" t="str">
        <f>IF(D240="","",VLOOKUP($B240,'F-1 Off-Site WaterC'' Baseline'!$C$9:$R$257,4,FALSE))</f>
        <v/>
      </c>
      <c r="F240" s="382" t="str">
        <f>IF(E240="","",VLOOKUP($B240,'F-1 Off-Site WaterC'' Baseline'!$C$9:$R$257,5,FALSE))</f>
        <v/>
      </c>
      <c r="G240" s="382" t="str">
        <f>IF(F240="","",VLOOKUP($B240,'F-1 Off-Site WaterC'' Baseline'!$C$9:$R$257,6,FALSE))</f>
        <v/>
      </c>
      <c r="H240" s="382" t="str">
        <f>IF(G240="","",VLOOKUP($B240,'F-1 Off-Site WaterC'' Baseline'!$C$9:$R$257,7,FALSE))</f>
        <v/>
      </c>
      <c r="I240" s="382" t="str">
        <f>IF(H240="","",VLOOKUP($B240,'F-1 Off-Site WaterC'' Baseline'!$C$9:$R$257,8,FALSE))</f>
        <v/>
      </c>
      <c r="J240" s="382" t="str">
        <f>IF(I240="","",VLOOKUP($B240,'F-1 Off-Site WaterC'' Baseline'!$C$9:$R$257,9,FALSE))</f>
        <v/>
      </c>
      <c r="K240" s="382" t="str">
        <f>IF(J240="","",VLOOKUP($B240,'F-1 Off-Site WaterC'' Baseline'!$C$9:$R$257,10,FALSE))</f>
        <v/>
      </c>
      <c r="L240" s="382" t="str">
        <f>IF(B240="","",VLOOKUP($B240,'F-1 Off-Site WaterC'' Baseline'!$C$9:$R$257,15,FALSE))</f>
        <v/>
      </c>
      <c r="M240" s="386" t="str">
        <f>IF(L240="","",VLOOKUP($B240,'F-1 Off-Site WaterC'' Baseline'!$C$9:$R$257,16,FALSE))</f>
        <v/>
      </c>
      <c r="N240" s="316" t="str">
        <f t="shared" si="30"/>
        <v/>
      </c>
      <c r="O240" s="362" t="str">
        <f t="shared" si="31"/>
        <v/>
      </c>
      <c r="P240" s="363" t="str">
        <f>IF(C240="","",IF(AND(LEFT(C240,55)&lt;&gt;LEFT(N240,55),O240="High - High"),"Error - Not like for like ▲",IF(H240&gt;U240,"Error - Can not reduce condition ▲",IF(AND(F240=S240,H240=U240,AJ240='F-1 Off-Site WaterC'' Baseline'!N238,'F-1 Off-Site WaterC'' Baseline'!P238=AL240),"Error - No enhancement ▲",IF(AND(C240&lt;&gt;N240,F240&lt;S240),"Lower Distinctiveness Habitat"&amp;" - "&amp;T240,G240&amp;" - "&amp;T240)))))</f>
        <v/>
      </c>
      <c r="Q240" s="368" t="str">
        <f>IF(N240="","",VLOOKUP(B240,'F-1 Off-Site WaterC'' Baseline'!$C$10:$AE$257,22,FALSE))</f>
        <v/>
      </c>
      <c r="R240" s="362" t="str">
        <f>IF(N240="","",VLOOKUP(N240,'G-7 WaterC'' Data'!$B$2:$G$8,2,FALSE))</f>
        <v/>
      </c>
      <c r="S240" s="363" t="str">
        <f>IFERROR(VLOOKUP(R240,'G-7 WaterC'' Data'!$C$4:$D$8,2,FALSE),"")</f>
        <v/>
      </c>
      <c r="T240" s="114"/>
      <c r="U240" s="363" t="str">
        <f>IFERROR(INDEX('G-7 WaterC'' Data'!$H$4:$L$8,MATCH(N240,'G-7 WaterC'' Data'!$B$4:$B$8,0),MATCH(T240,'G-7 WaterC'' Data'!$H$3:$L$3,0)),"")</f>
        <v/>
      </c>
      <c r="V240" s="122"/>
      <c r="W240" s="382" t="str">
        <f>IF(V240="","",IF(VLOOKUP(V240,'G-7 WaterC'' Data'!$AK$4:$AM$6,2,FALSE)=0,"Spatial Data Missing ⚠",VLOOKUP(V240,'G-7 WaterC'' Data'!$AK$4:$AM$6,2,FALSE)))</f>
        <v/>
      </c>
      <c r="X240" s="386" t="str">
        <f>IF(V240="","",IF(VLOOKUP(V240,'G-7 WaterC'' Data'!$AK$4:$AM$6,3,FALSE)=0,"Spatial Data Missing ⚠",VLOOKUP(V240,'G-7 WaterC'' Data'!$AK$4:$AM$6,3,FALSE)))</f>
        <v/>
      </c>
      <c r="Y240" s="398" t="str">
        <f>IFERROR(IF(OR(LEFT(P240,5)="Error",LEFT(O240,5)="Error"),"Check Data ⚠",IF(F240&lt;S240,'G-7 WaterC'' Data'!$R$3,INDEX('G-7 WaterC'' Data'!$U$5:$Y$9,MATCH(G240,'G-7 WaterC'' Data'!$T$5:$T$9,0),MATCH(T240,'G-7 WaterC'' Data'!$U$4:$Y$4,0)))),"")</f>
        <v/>
      </c>
      <c r="Z240" s="165"/>
      <c r="AA240" s="165"/>
      <c r="AB240" s="395" t="str">
        <f t="shared" si="27"/>
        <v/>
      </c>
      <c r="AC240" s="383" t="str">
        <f t="shared" si="32"/>
        <v/>
      </c>
      <c r="AD240" s="422" t="str">
        <f>IFERROR(IF(AC240="Check Data ⚠","Check Data ⚠",VLOOKUP(AC240,'G-4 Temporal multipliers'!$A$4:$C$37,3,FALSE)),"")</f>
        <v/>
      </c>
      <c r="AE240" s="398" t="str">
        <f>IF(N240="","",VLOOKUP(N240,'G-7 WaterC'' Data'!$B$4:$G$8,5,FALSE))</f>
        <v/>
      </c>
      <c r="AF240" s="382" t="str">
        <f t="shared" si="28"/>
        <v/>
      </c>
      <c r="AG240" s="382" t="str">
        <f t="shared" si="33"/>
        <v/>
      </c>
      <c r="AH240" s="386" t="str">
        <f t="shared" si="29"/>
        <v/>
      </c>
      <c r="AI240" s="122"/>
      <c r="AJ240" s="363" t="str">
        <f>IF(AI240="","",IF(VLOOKUP(AI240,'G-7 WaterC'' Data'!$AA$4:$AB$7,2,FALSE)=0,"Spatial Data Missing ⚠",VLOOKUP(AI240,'G-7 WaterC'' Data'!$AA$4:$AB$7,2,FALSE)))</f>
        <v/>
      </c>
      <c r="AK240" s="123"/>
      <c r="AL240" s="397" t="str">
        <f>IF(AK240="","",IF(VLOOKUP(AK240,'G-7 WaterC'' Data'!$AD$4:$AE$14,2,FALSE)=0,"Spatial Data Missing ⚠",VLOOKUP(AK240,'G-7 WaterC'' Data'!$AD$4:$AE$14,2,FALSE)))</f>
        <v/>
      </c>
      <c r="AM240" s="122"/>
      <c r="AN240" s="363" t="str">
        <f>IF(AM240="","",IF(VLOOKUP(AM240,'G-7 WaterC'' Data'!$AO$4:$BO$7,2,FALSE)=0,"Spatial Data Missing ⚠",VLOOKUP(AM240,'G-7 WaterC'' Data'!$AO$4:$BO$7,2,FALSE)))</f>
        <v/>
      </c>
      <c r="AO240" s="405" t="str">
        <f t="shared" si="34"/>
        <v/>
      </c>
      <c r="AP240" s="405" t="str">
        <f t="shared" si="35"/>
        <v/>
      </c>
      <c r="AQ240" s="117"/>
      <c r="AR240" s="118"/>
      <c r="AS240" s="120"/>
      <c r="AT240" s="120"/>
      <c r="AY240" s="30" t="str">
        <f>IFERROR(INDEX('G-7 WaterC'' Data'!$AZ$3:$AZ$7,MATCH(N240,'G-7 WaterC'' Data'!$AY$3:$AY$7,0)),"")</f>
        <v/>
      </c>
    </row>
    <row r="241" spans="2:51" ht="15">
      <c r="B241" s="392" t="str">
        <f>'F-1 Off-Site WaterC'' Baseline'!AR239</f>
        <v/>
      </c>
      <c r="C241" s="382" t="str">
        <f>IF(B241="","",VLOOKUP($B241,'F-1 Off-Site WaterC'' Baseline'!$C$9:$R$257,2,FALSE))</f>
        <v/>
      </c>
      <c r="D241" s="382" t="str">
        <f>IF(C241="","",VLOOKUP($B241,'F-1 Off-Site WaterC'' Baseline'!$C$9:$R$257,3,FALSE))</f>
        <v/>
      </c>
      <c r="E241" s="382" t="str">
        <f>IF(D241="","",VLOOKUP($B241,'F-1 Off-Site WaterC'' Baseline'!$C$9:$R$257,4,FALSE))</f>
        <v/>
      </c>
      <c r="F241" s="382" t="str">
        <f>IF(E241="","",VLOOKUP($B241,'F-1 Off-Site WaterC'' Baseline'!$C$9:$R$257,5,FALSE))</f>
        <v/>
      </c>
      <c r="G241" s="382" t="str">
        <f>IF(F241="","",VLOOKUP($B241,'F-1 Off-Site WaterC'' Baseline'!$C$9:$R$257,6,FALSE))</f>
        <v/>
      </c>
      <c r="H241" s="382" t="str">
        <f>IF(G241="","",VLOOKUP($B241,'F-1 Off-Site WaterC'' Baseline'!$C$9:$R$257,7,FALSE))</f>
        <v/>
      </c>
      <c r="I241" s="382" t="str">
        <f>IF(H241="","",VLOOKUP($B241,'F-1 Off-Site WaterC'' Baseline'!$C$9:$R$257,8,FALSE))</f>
        <v/>
      </c>
      <c r="J241" s="382" t="str">
        <f>IF(I241="","",VLOOKUP($B241,'F-1 Off-Site WaterC'' Baseline'!$C$9:$R$257,9,FALSE))</f>
        <v/>
      </c>
      <c r="K241" s="382" t="str">
        <f>IF(J241="","",VLOOKUP($B241,'F-1 Off-Site WaterC'' Baseline'!$C$9:$R$257,10,FALSE))</f>
        <v/>
      </c>
      <c r="L241" s="382" t="str">
        <f>IF(B241="","",VLOOKUP($B241,'F-1 Off-Site WaterC'' Baseline'!$C$9:$R$257,15,FALSE))</f>
        <v/>
      </c>
      <c r="M241" s="386" t="str">
        <f>IF(L241="","",VLOOKUP($B241,'F-1 Off-Site WaterC'' Baseline'!$C$9:$R$257,16,FALSE))</f>
        <v/>
      </c>
      <c r="N241" s="316" t="str">
        <f t="shared" si="30"/>
        <v/>
      </c>
      <c r="O241" s="362" t="str">
        <f t="shared" si="31"/>
        <v/>
      </c>
      <c r="P241" s="363" t="str">
        <f>IF(C241="","",IF(AND(LEFT(C241,55)&lt;&gt;LEFT(N241,55),O241="High - High"),"Error - Not like for like ▲",IF(H241&gt;U241,"Error - Can not reduce condition ▲",IF(AND(F241=S241,H241=U241,AJ241='F-1 Off-Site WaterC'' Baseline'!N239,'F-1 Off-Site WaterC'' Baseline'!P239=AL241),"Error - No enhancement ▲",IF(AND(C241&lt;&gt;N241,F241&lt;S241),"Lower Distinctiveness Habitat"&amp;" - "&amp;T241,G241&amp;" - "&amp;T241)))))</f>
        <v/>
      </c>
      <c r="Q241" s="368" t="str">
        <f>IF(N241="","",VLOOKUP(B241,'F-1 Off-Site WaterC'' Baseline'!$C$10:$AE$257,22,FALSE))</f>
        <v/>
      </c>
      <c r="R241" s="362" t="str">
        <f>IF(N241="","",VLOOKUP(N241,'G-7 WaterC'' Data'!$B$2:$G$8,2,FALSE))</f>
        <v/>
      </c>
      <c r="S241" s="363" t="str">
        <f>IFERROR(VLOOKUP(R241,'G-7 WaterC'' Data'!$C$4:$D$8,2,FALSE),"")</f>
        <v/>
      </c>
      <c r="T241" s="114"/>
      <c r="U241" s="363" t="str">
        <f>IFERROR(INDEX('G-7 WaterC'' Data'!$H$4:$L$8,MATCH(N241,'G-7 WaterC'' Data'!$B$4:$B$8,0),MATCH(T241,'G-7 WaterC'' Data'!$H$3:$L$3,0)),"")</f>
        <v/>
      </c>
      <c r="V241" s="122"/>
      <c r="W241" s="382" t="str">
        <f>IF(V241="","",IF(VLOOKUP(V241,'G-7 WaterC'' Data'!$AK$4:$AM$6,2,FALSE)=0,"Spatial Data Missing ⚠",VLOOKUP(V241,'G-7 WaterC'' Data'!$AK$4:$AM$6,2,FALSE)))</f>
        <v/>
      </c>
      <c r="X241" s="386" t="str">
        <f>IF(V241="","",IF(VLOOKUP(V241,'G-7 WaterC'' Data'!$AK$4:$AM$6,3,FALSE)=0,"Spatial Data Missing ⚠",VLOOKUP(V241,'G-7 WaterC'' Data'!$AK$4:$AM$6,3,FALSE)))</f>
        <v/>
      </c>
      <c r="Y241" s="398" t="str">
        <f>IFERROR(IF(OR(LEFT(P241,5)="Error",LEFT(O241,5)="Error"),"Check Data ⚠",IF(F241&lt;S241,'G-7 WaterC'' Data'!$R$3,INDEX('G-7 WaterC'' Data'!$U$5:$Y$9,MATCH(G241,'G-7 WaterC'' Data'!$T$5:$T$9,0),MATCH(T241,'G-7 WaterC'' Data'!$U$4:$Y$4,0)))),"")</f>
        <v/>
      </c>
      <c r="Z241" s="165"/>
      <c r="AA241" s="165"/>
      <c r="AB241" s="395" t="str">
        <f t="shared" si="27"/>
        <v/>
      </c>
      <c r="AC241" s="383" t="str">
        <f t="shared" si="32"/>
        <v/>
      </c>
      <c r="AD241" s="422" t="str">
        <f>IFERROR(IF(AC241="Check Data ⚠","Check Data ⚠",VLOOKUP(AC241,'G-4 Temporal multipliers'!$A$4:$C$37,3,FALSE)),"")</f>
        <v/>
      </c>
      <c r="AE241" s="398" t="str">
        <f>IF(N241="","",VLOOKUP(N241,'G-7 WaterC'' Data'!$B$4:$G$8,5,FALSE))</f>
        <v/>
      </c>
      <c r="AF241" s="382" t="str">
        <f t="shared" si="28"/>
        <v/>
      </c>
      <c r="AG241" s="382" t="str">
        <f t="shared" si="33"/>
        <v/>
      </c>
      <c r="AH241" s="386" t="str">
        <f t="shared" si="29"/>
        <v/>
      </c>
      <c r="AI241" s="122"/>
      <c r="AJ241" s="363" t="str">
        <f>IF(AI241="","",IF(VLOOKUP(AI241,'G-7 WaterC'' Data'!$AA$4:$AB$7,2,FALSE)=0,"Spatial Data Missing ⚠",VLOOKUP(AI241,'G-7 WaterC'' Data'!$AA$4:$AB$7,2,FALSE)))</f>
        <v/>
      </c>
      <c r="AK241" s="123"/>
      <c r="AL241" s="397" t="str">
        <f>IF(AK241="","",IF(VLOOKUP(AK241,'G-7 WaterC'' Data'!$AD$4:$AE$14,2,FALSE)=0,"Spatial Data Missing ⚠",VLOOKUP(AK241,'G-7 WaterC'' Data'!$AD$4:$AE$14,2,FALSE)))</f>
        <v/>
      </c>
      <c r="AM241" s="122"/>
      <c r="AN241" s="363" t="str">
        <f>IF(AM241="","",IF(VLOOKUP(AM241,'G-7 WaterC'' Data'!$AO$4:$BO$7,2,FALSE)=0,"Spatial Data Missing ⚠",VLOOKUP(AM241,'G-7 WaterC'' Data'!$AO$4:$BO$7,2,FALSE)))</f>
        <v/>
      </c>
      <c r="AO241" s="405" t="str">
        <f t="shared" si="34"/>
        <v/>
      </c>
      <c r="AP241" s="405" t="str">
        <f t="shared" si="35"/>
        <v/>
      </c>
      <c r="AQ241" s="117"/>
      <c r="AR241" s="118"/>
      <c r="AS241" s="120"/>
      <c r="AT241" s="120"/>
      <c r="AY241" s="30" t="str">
        <f>IFERROR(INDEX('G-7 WaterC'' Data'!$AZ$3:$AZ$7,MATCH(N241,'G-7 WaterC'' Data'!$AY$3:$AY$7,0)),"")</f>
        <v/>
      </c>
    </row>
    <row r="242" spans="2:51" ht="15">
      <c r="B242" s="392" t="str">
        <f>'F-1 Off-Site WaterC'' Baseline'!AR240</f>
        <v/>
      </c>
      <c r="C242" s="382" t="str">
        <f>IF(B242="","",VLOOKUP($B242,'F-1 Off-Site WaterC'' Baseline'!$C$9:$R$257,2,FALSE))</f>
        <v/>
      </c>
      <c r="D242" s="382" t="str">
        <f>IF(C242="","",VLOOKUP($B242,'F-1 Off-Site WaterC'' Baseline'!$C$9:$R$257,3,FALSE))</f>
        <v/>
      </c>
      <c r="E242" s="382" t="str">
        <f>IF(D242="","",VLOOKUP($B242,'F-1 Off-Site WaterC'' Baseline'!$C$9:$R$257,4,FALSE))</f>
        <v/>
      </c>
      <c r="F242" s="382" t="str">
        <f>IF(E242="","",VLOOKUP($B242,'F-1 Off-Site WaterC'' Baseline'!$C$9:$R$257,5,FALSE))</f>
        <v/>
      </c>
      <c r="G242" s="382" t="str">
        <f>IF(F242="","",VLOOKUP($B242,'F-1 Off-Site WaterC'' Baseline'!$C$9:$R$257,6,FALSE))</f>
        <v/>
      </c>
      <c r="H242" s="382" t="str">
        <f>IF(G242="","",VLOOKUP($B242,'F-1 Off-Site WaterC'' Baseline'!$C$9:$R$257,7,FALSE))</f>
        <v/>
      </c>
      <c r="I242" s="382" t="str">
        <f>IF(H242="","",VLOOKUP($B242,'F-1 Off-Site WaterC'' Baseline'!$C$9:$R$257,8,FALSE))</f>
        <v/>
      </c>
      <c r="J242" s="382" t="str">
        <f>IF(I242="","",VLOOKUP($B242,'F-1 Off-Site WaterC'' Baseline'!$C$9:$R$257,9,FALSE))</f>
        <v/>
      </c>
      <c r="K242" s="382" t="str">
        <f>IF(J242="","",VLOOKUP($B242,'F-1 Off-Site WaterC'' Baseline'!$C$9:$R$257,10,FALSE))</f>
        <v/>
      </c>
      <c r="L242" s="382" t="str">
        <f>IF(B242="","",VLOOKUP($B242,'F-1 Off-Site WaterC'' Baseline'!$C$9:$R$257,15,FALSE))</f>
        <v/>
      </c>
      <c r="M242" s="386" t="str">
        <f>IF(L242="","",VLOOKUP($B242,'F-1 Off-Site WaterC'' Baseline'!$C$9:$R$257,16,FALSE))</f>
        <v/>
      </c>
      <c r="N242" s="316" t="str">
        <f t="shared" si="30"/>
        <v/>
      </c>
      <c r="O242" s="362" t="str">
        <f t="shared" si="31"/>
        <v/>
      </c>
      <c r="P242" s="363" t="str">
        <f>IF(C242="","",IF(AND(LEFT(C242,55)&lt;&gt;LEFT(N242,55),O242="High - High"),"Error - Not like for like ▲",IF(H242&gt;U242,"Error - Can not reduce condition ▲",IF(AND(F242=S242,H242=U242,AJ242='F-1 Off-Site WaterC'' Baseline'!N240,'F-1 Off-Site WaterC'' Baseline'!P240=AL242),"Error - No enhancement ▲",IF(AND(C242&lt;&gt;N242,F242&lt;S242),"Lower Distinctiveness Habitat"&amp;" - "&amp;T242,G242&amp;" - "&amp;T242)))))</f>
        <v/>
      </c>
      <c r="Q242" s="368" t="str">
        <f>IF(N242="","",VLOOKUP(B242,'F-1 Off-Site WaterC'' Baseline'!$C$10:$AE$257,22,FALSE))</f>
        <v/>
      </c>
      <c r="R242" s="362" t="str">
        <f>IF(N242="","",VLOOKUP(N242,'G-7 WaterC'' Data'!$B$2:$G$8,2,FALSE))</f>
        <v/>
      </c>
      <c r="S242" s="363" t="str">
        <f>IFERROR(VLOOKUP(R242,'G-7 WaterC'' Data'!$C$4:$D$8,2,FALSE),"")</f>
        <v/>
      </c>
      <c r="T242" s="114"/>
      <c r="U242" s="363" t="str">
        <f>IFERROR(INDEX('G-7 WaterC'' Data'!$H$4:$L$8,MATCH(N242,'G-7 WaterC'' Data'!$B$4:$B$8,0),MATCH(T242,'G-7 WaterC'' Data'!$H$3:$L$3,0)),"")</f>
        <v/>
      </c>
      <c r="V242" s="122"/>
      <c r="W242" s="382" t="str">
        <f>IF(V242="","",IF(VLOOKUP(V242,'G-7 WaterC'' Data'!$AK$4:$AM$6,2,FALSE)=0,"Spatial Data Missing ⚠",VLOOKUP(V242,'G-7 WaterC'' Data'!$AK$4:$AM$6,2,FALSE)))</f>
        <v/>
      </c>
      <c r="X242" s="386" t="str">
        <f>IF(V242="","",IF(VLOOKUP(V242,'G-7 WaterC'' Data'!$AK$4:$AM$6,3,FALSE)=0,"Spatial Data Missing ⚠",VLOOKUP(V242,'G-7 WaterC'' Data'!$AK$4:$AM$6,3,FALSE)))</f>
        <v/>
      </c>
      <c r="Y242" s="398" t="str">
        <f>IFERROR(IF(OR(LEFT(P242,5)="Error",LEFT(O242,5)="Error"),"Check Data ⚠",IF(F242&lt;S242,'G-7 WaterC'' Data'!$R$3,INDEX('G-7 WaterC'' Data'!$U$5:$Y$9,MATCH(G242,'G-7 WaterC'' Data'!$T$5:$T$9,0),MATCH(T242,'G-7 WaterC'' Data'!$U$4:$Y$4,0)))),"")</f>
        <v/>
      </c>
      <c r="Z242" s="165"/>
      <c r="AA242" s="165"/>
      <c r="AB242" s="395" t="str">
        <f t="shared" si="27"/>
        <v/>
      </c>
      <c r="AC242" s="383" t="str">
        <f t="shared" si="32"/>
        <v/>
      </c>
      <c r="AD242" s="422" t="str">
        <f>IFERROR(IF(AC242="Check Data ⚠","Check Data ⚠",VLOOKUP(AC242,'G-4 Temporal multipliers'!$A$4:$C$37,3,FALSE)),"")</f>
        <v/>
      </c>
      <c r="AE242" s="398" t="str">
        <f>IF(N242="","",VLOOKUP(N242,'G-7 WaterC'' Data'!$B$4:$G$8,5,FALSE))</f>
        <v/>
      </c>
      <c r="AF242" s="382" t="str">
        <f t="shared" si="28"/>
        <v/>
      </c>
      <c r="AG242" s="382" t="str">
        <f t="shared" si="33"/>
        <v/>
      </c>
      <c r="AH242" s="386" t="str">
        <f t="shared" si="29"/>
        <v/>
      </c>
      <c r="AI242" s="122"/>
      <c r="AJ242" s="363" t="str">
        <f>IF(AI242="","",IF(VLOOKUP(AI242,'G-7 WaterC'' Data'!$AA$4:$AB$7,2,FALSE)=0,"Spatial Data Missing ⚠",VLOOKUP(AI242,'G-7 WaterC'' Data'!$AA$4:$AB$7,2,FALSE)))</f>
        <v/>
      </c>
      <c r="AK242" s="123"/>
      <c r="AL242" s="397" t="str">
        <f>IF(AK242="","",IF(VLOOKUP(AK242,'G-7 WaterC'' Data'!$AD$4:$AE$14,2,FALSE)=0,"Spatial Data Missing ⚠",VLOOKUP(AK242,'G-7 WaterC'' Data'!$AD$4:$AE$14,2,FALSE)))</f>
        <v/>
      </c>
      <c r="AM242" s="122"/>
      <c r="AN242" s="363" t="str">
        <f>IF(AM242="","",IF(VLOOKUP(AM242,'G-7 WaterC'' Data'!$AO$4:$BO$7,2,FALSE)=0,"Spatial Data Missing ⚠",VLOOKUP(AM242,'G-7 WaterC'' Data'!$AO$4:$BO$7,2,FALSE)))</f>
        <v/>
      </c>
      <c r="AO242" s="405" t="str">
        <f t="shared" si="34"/>
        <v/>
      </c>
      <c r="AP242" s="405" t="str">
        <f t="shared" si="35"/>
        <v/>
      </c>
      <c r="AQ242" s="117"/>
      <c r="AR242" s="118"/>
      <c r="AS242" s="120"/>
      <c r="AT242" s="120"/>
      <c r="AY242" s="30" t="str">
        <f>IFERROR(INDEX('G-7 WaterC'' Data'!$AZ$3:$AZ$7,MATCH(N242,'G-7 WaterC'' Data'!$AY$3:$AY$7,0)),"")</f>
        <v/>
      </c>
    </row>
    <row r="243" spans="2:51" ht="15">
      <c r="B243" s="392" t="str">
        <f>'F-1 Off-Site WaterC'' Baseline'!AR241</f>
        <v/>
      </c>
      <c r="C243" s="382" t="str">
        <f>IF(B243="","",VLOOKUP($B243,'F-1 Off-Site WaterC'' Baseline'!$C$9:$R$257,2,FALSE))</f>
        <v/>
      </c>
      <c r="D243" s="382" t="str">
        <f>IF(C243="","",VLOOKUP($B243,'F-1 Off-Site WaterC'' Baseline'!$C$9:$R$257,3,FALSE))</f>
        <v/>
      </c>
      <c r="E243" s="382" t="str">
        <f>IF(D243="","",VLOOKUP($B243,'F-1 Off-Site WaterC'' Baseline'!$C$9:$R$257,4,FALSE))</f>
        <v/>
      </c>
      <c r="F243" s="382" t="str">
        <f>IF(E243="","",VLOOKUP($B243,'F-1 Off-Site WaterC'' Baseline'!$C$9:$R$257,5,FALSE))</f>
        <v/>
      </c>
      <c r="G243" s="382" t="str">
        <f>IF(F243="","",VLOOKUP($B243,'F-1 Off-Site WaterC'' Baseline'!$C$9:$R$257,6,FALSE))</f>
        <v/>
      </c>
      <c r="H243" s="382" t="str">
        <f>IF(G243="","",VLOOKUP($B243,'F-1 Off-Site WaterC'' Baseline'!$C$9:$R$257,7,FALSE))</f>
        <v/>
      </c>
      <c r="I243" s="382" t="str">
        <f>IF(H243="","",VLOOKUP($B243,'F-1 Off-Site WaterC'' Baseline'!$C$9:$R$257,8,FALSE))</f>
        <v/>
      </c>
      <c r="J243" s="382" t="str">
        <f>IF(I243="","",VLOOKUP($B243,'F-1 Off-Site WaterC'' Baseline'!$C$9:$R$257,9,FALSE))</f>
        <v/>
      </c>
      <c r="K243" s="382" t="str">
        <f>IF(J243="","",VLOOKUP($B243,'F-1 Off-Site WaterC'' Baseline'!$C$9:$R$257,10,FALSE))</f>
        <v/>
      </c>
      <c r="L243" s="382" t="str">
        <f>IF(B243="","",VLOOKUP($B243,'F-1 Off-Site WaterC'' Baseline'!$C$9:$R$257,15,FALSE))</f>
        <v/>
      </c>
      <c r="M243" s="386" t="str">
        <f>IF(L243="","",VLOOKUP($B243,'F-1 Off-Site WaterC'' Baseline'!$C$9:$R$257,16,FALSE))</f>
        <v/>
      </c>
      <c r="N243" s="316" t="str">
        <f t="shared" si="30"/>
        <v/>
      </c>
      <c r="O243" s="362" t="str">
        <f t="shared" si="31"/>
        <v/>
      </c>
      <c r="P243" s="363" t="str">
        <f>IF(C243="","",IF(AND(LEFT(C243,55)&lt;&gt;LEFT(N243,55),O243="High - High"),"Error - Not like for like ▲",IF(H243&gt;U243,"Error - Can not reduce condition ▲",IF(AND(F243=S243,H243=U243,AJ243='F-1 Off-Site WaterC'' Baseline'!N241,'F-1 Off-Site WaterC'' Baseline'!P241=AL243),"Error - No enhancement ▲",IF(AND(C243&lt;&gt;N243,F243&lt;S243),"Lower Distinctiveness Habitat"&amp;" - "&amp;T243,G243&amp;" - "&amp;T243)))))</f>
        <v/>
      </c>
      <c r="Q243" s="368" t="str">
        <f>IF(N243="","",VLOOKUP(B243,'F-1 Off-Site WaterC'' Baseline'!$C$10:$AE$257,22,FALSE))</f>
        <v/>
      </c>
      <c r="R243" s="362" t="str">
        <f>IF(N243="","",VLOOKUP(N243,'G-7 WaterC'' Data'!$B$2:$G$8,2,FALSE))</f>
        <v/>
      </c>
      <c r="S243" s="363" t="str">
        <f>IFERROR(VLOOKUP(R243,'G-7 WaterC'' Data'!$C$4:$D$8,2,FALSE),"")</f>
        <v/>
      </c>
      <c r="T243" s="114"/>
      <c r="U243" s="363" t="str">
        <f>IFERROR(INDEX('G-7 WaterC'' Data'!$H$4:$L$8,MATCH(N243,'G-7 WaterC'' Data'!$B$4:$B$8,0),MATCH(T243,'G-7 WaterC'' Data'!$H$3:$L$3,0)),"")</f>
        <v/>
      </c>
      <c r="V243" s="122"/>
      <c r="W243" s="382" t="str">
        <f>IF(V243="","",IF(VLOOKUP(V243,'G-7 WaterC'' Data'!$AK$4:$AM$6,2,FALSE)=0,"Spatial Data Missing ⚠",VLOOKUP(V243,'G-7 WaterC'' Data'!$AK$4:$AM$6,2,FALSE)))</f>
        <v/>
      </c>
      <c r="X243" s="386" t="str">
        <f>IF(V243="","",IF(VLOOKUP(V243,'G-7 WaterC'' Data'!$AK$4:$AM$6,3,FALSE)=0,"Spatial Data Missing ⚠",VLOOKUP(V243,'G-7 WaterC'' Data'!$AK$4:$AM$6,3,FALSE)))</f>
        <v/>
      </c>
      <c r="Y243" s="398" t="str">
        <f>IFERROR(IF(OR(LEFT(P243,5)="Error",LEFT(O243,5)="Error"),"Check Data ⚠",IF(F243&lt;S243,'G-7 WaterC'' Data'!$R$3,INDEX('G-7 WaterC'' Data'!$U$5:$Y$9,MATCH(G243,'G-7 WaterC'' Data'!$T$5:$T$9,0),MATCH(T243,'G-7 WaterC'' Data'!$U$4:$Y$4,0)))),"")</f>
        <v/>
      </c>
      <c r="Z243" s="165"/>
      <c r="AA243" s="165"/>
      <c r="AB243" s="395" t="str">
        <f t="shared" si="27"/>
        <v/>
      </c>
      <c r="AC243" s="383" t="str">
        <f t="shared" si="32"/>
        <v/>
      </c>
      <c r="AD243" s="422" t="str">
        <f>IFERROR(IF(AC243="Check Data ⚠","Check Data ⚠",VLOOKUP(AC243,'G-4 Temporal multipliers'!$A$4:$C$37,3,FALSE)),"")</f>
        <v/>
      </c>
      <c r="AE243" s="398" t="str">
        <f>IF(N243="","",VLOOKUP(N243,'G-7 WaterC'' Data'!$B$4:$G$8,5,FALSE))</f>
        <v/>
      </c>
      <c r="AF243" s="382" t="str">
        <f t="shared" si="28"/>
        <v/>
      </c>
      <c r="AG243" s="382" t="str">
        <f t="shared" si="33"/>
        <v/>
      </c>
      <c r="AH243" s="386" t="str">
        <f t="shared" si="29"/>
        <v/>
      </c>
      <c r="AI243" s="122"/>
      <c r="AJ243" s="363" t="str">
        <f>IF(AI243="","",IF(VLOOKUP(AI243,'G-7 WaterC'' Data'!$AA$4:$AB$7,2,FALSE)=0,"Spatial Data Missing ⚠",VLOOKUP(AI243,'G-7 WaterC'' Data'!$AA$4:$AB$7,2,FALSE)))</f>
        <v/>
      </c>
      <c r="AK243" s="123"/>
      <c r="AL243" s="397" t="str">
        <f>IF(AK243="","",IF(VLOOKUP(AK243,'G-7 WaterC'' Data'!$AD$4:$AE$14,2,FALSE)=0,"Spatial Data Missing ⚠",VLOOKUP(AK243,'G-7 WaterC'' Data'!$AD$4:$AE$14,2,FALSE)))</f>
        <v/>
      </c>
      <c r="AM243" s="122"/>
      <c r="AN243" s="363" t="str">
        <f>IF(AM243="","",IF(VLOOKUP(AM243,'G-7 WaterC'' Data'!$AO$4:$BO$7,2,FALSE)=0,"Spatial Data Missing ⚠",VLOOKUP(AM243,'G-7 WaterC'' Data'!$AO$4:$BO$7,2,FALSE)))</f>
        <v/>
      </c>
      <c r="AO243" s="405" t="str">
        <f t="shared" si="34"/>
        <v/>
      </c>
      <c r="AP243" s="405" t="str">
        <f t="shared" si="35"/>
        <v/>
      </c>
      <c r="AQ243" s="194"/>
      <c r="AR243" s="195"/>
      <c r="AS243" s="120"/>
      <c r="AT243" s="120"/>
      <c r="AY243" s="30" t="str">
        <f>IFERROR(INDEX('G-7 WaterC'' Data'!$AZ$3:$AZ$7,MATCH(N243,'G-7 WaterC'' Data'!$AY$3:$AY$7,0)),"")</f>
        <v/>
      </c>
    </row>
    <row r="244" spans="2:51" ht="15">
      <c r="B244" s="392" t="str">
        <f>'F-1 Off-Site WaterC'' Baseline'!AR242</f>
        <v/>
      </c>
      <c r="C244" s="382" t="str">
        <f>IF(B244="","",VLOOKUP($B244,'F-1 Off-Site WaterC'' Baseline'!$C$9:$R$257,2,FALSE))</f>
        <v/>
      </c>
      <c r="D244" s="382" t="str">
        <f>IF(C244="","",VLOOKUP($B244,'F-1 Off-Site WaterC'' Baseline'!$C$9:$R$257,3,FALSE))</f>
        <v/>
      </c>
      <c r="E244" s="382" t="str">
        <f>IF(D244="","",VLOOKUP($B244,'F-1 Off-Site WaterC'' Baseline'!$C$9:$R$257,4,FALSE))</f>
        <v/>
      </c>
      <c r="F244" s="382" t="str">
        <f>IF(E244="","",VLOOKUP($B244,'F-1 Off-Site WaterC'' Baseline'!$C$9:$R$257,5,FALSE))</f>
        <v/>
      </c>
      <c r="G244" s="382" t="str">
        <f>IF(F244="","",VLOOKUP($B244,'F-1 Off-Site WaterC'' Baseline'!$C$9:$R$257,6,FALSE))</f>
        <v/>
      </c>
      <c r="H244" s="382" t="str">
        <f>IF(G244="","",VLOOKUP($B244,'F-1 Off-Site WaterC'' Baseline'!$C$9:$R$257,7,FALSE))</f>
        <v/>
      </c>
      <c r="I244" s="382" t="str">
        <f>IF(H244="","",VLOOKUP($B244,'F-1 Off-Site WaterC'' Baseline'!$C$9:$R$257,8,FALSE))</f>
        <v/>
      </c>
      <c r="J244" s="382" t="str">
        <f>IF(I244="","",VLOOKUP($B244,'F-1 Off-Site WaterC'' Baseline'!$C$9:$R$257,9,FALSE))</f>
        <v/>
      </c>
      <c r="K244" s="382" t="str">
        <f>IF(J244="","",VLOOKUP($B244,'F-1 Off-Site WaterC'' Baseline'!$C$9:$R$257,10,FALSE))</f>
        <v/>
      </c>
      <c r="L244" s="382" t="str">
        <f>IF(B244="","",VLOOKUP($B244,'F-1 Off-Site WaterC'' Baseline'!$C$9:$R$257,15,FALSE))</f>
        <v/>
      </c>
      <c r="M244" s="386" t="str">
        <f>IF(L244="","",VLOOKUP($B244,'F-1 Off-Site WaterC'' Baseline'!$C$9:$R$257,16,FALSE))</f>
        <v/>
      </c>
      <c r="N244" s="316" t="str">
        <f t="shared" si="30"/>
        <v/>
      </c>
      <c r="O244" s="362" t="str">
        <f t="shared" si="31"/>
        <v/>
      </c>
      <c r="P244" s="363" t="str">
        <f>IF(C244="","",IF(AND(LEFT(C244,55)&lt;&gt;LEFT(N244,55),O244="High - High"),"Error - Not like for like ▲",IF(H244&gt;U244,"Error - Can not reduce condition ▲",IF(AND(F244=S244,H244=U244,AJ244='F-1 Off-Site WaterC'' Baseline'!N242,'F-1 Off-Site WaterC'' Baseline'!P242=AL244),"Error - No enhancement ▲",IF(AND(C244&lt;&gt;N244,F244&lt;S244),"Lower Distinctiveness Habitat"&amp;" - "&amp;T244,G244&amp;" - "&amp;T244)))))</f>
        <v/>
      </c>
      <c r="Q244" s="368" t="str">
        <f>IF(N244="","",VLOOKUP(B244,'F-1 Off-Site WaterC'' Baseline'!$C$10:$AE$257,22,FALSE))</f>
        <v/>
      </c>
      <c r="R244" s="362" t="str">
        <f>IF(N244="","",VLOOKUP(N244,'G-7 WaterC'' Data'!$B$2:$G$8,2,FALSE))</f>
        <v/>
      </c>
      <c r="S244" s="363" t="str">
        <f>IFERROR(VLOOKUP(R244,'G-7 WaterC'' Data'!$C$4:$D$8,2,FALSE),"")</f>
        <v/>
      </c>
      <c r="T244" s="114"/>
      <c r="U244" s="363" t="str">
        <f>IFERROR(INDEX('G-7 WaterC'' Data'!$H$4:$L$8,MATCH(N244,'G-7 WaterC'' Data'!$B$4:$B$8,0),MATCH(T244,'G-7 WaterC'' Data'!$H$3:$L$3,0)),"")</f>
        <v/>
      </c>
      <c r="V244" s="122"/>
      <c r="W244" s="382" t="str">
        <f>IF(V244="","",IF(VLOOKUP(V244,'G-7 WaterC'' Data'!$AK$4:$AM$6,2,FALSE)=0,"Spatial Data Missing ⚠",VLOOKUP(V244,'G-7 WaterC'' Data'!$AK$4:$AM$6,2,FALSE)))</f>
        <v/>
      </c>
      <c r="X244" s="386" t="str">
        <f>IF(V244="","",IF(VLOOKUP(V244,'G-7 WaterC'' Data'!$AK$4:$AM$6,3,FALSE)=0,"Spatial Data Missing ⚠",VLOOKUP(V244,'G-7 WaterC'' Data'!$AK$4:$AM$6,3,FALSE)))</f>
        <v/>
      </c>
      <c r="Y244" s="398" t="str">
        <f>IFERROR(IF(OR(LEFT(P244,5)="Error",LEFT(O244,5)="Error"),"Check Data ⚠",IF(F244&lt;S244,'G-7 WaterC'' Data'!$R$3,INDEX('G-7 WaterC'' Data'!$U$5:$Y$9,MATCH(G244,'G-7 WaterC'' Data'!$T$5:$T$9,0),MATCH(T244,'G-7 WaterC'' Data'!$U$4:$Y$4,0)))),"")</f>
        <v/>
      </c>
      <c r="Z244" s="165"/>
      <c r="AA244" s="165"/>
      <c r="AB244" s="395" t="str">
        <f t="shared" si="27"/>
        <v/>
      </c>
      <c r="AC244" s="383" t="str">
        <f t="shared" si="32"/>
        <v/>
      </c>
      <c r="AD244" s="422" t="str">
        <f>IFERROR(IF(AC244="Check Data ⚠","Check Data ⚠",VLOOKUP(AC244,'G-4 Temporal multipliers'!$A$4:$C$37,3,FALSE)),"")</f>
        <v/>
      </c>
      <c r="AE244" s="398" t="str">
        <f>IF(N244="","",VLOOKUP(N244,'G-7 WaterC'' Data'!$B$4:$G$8,5,FALSE))</f>
        <v/>
      </c>
      <c r="AF244" s="382" t="str">
        <f t="shared" si="28"/>
        <v/>
      </c>
      <c r="AG244" s="382" t="str">
        <f t="shared" si="33"/>
        <v/>
      </c>
      <c r="AH244" s="386" t="str">
        <f t="shared" si="29"/>
        <v/>
      </c>
      <c r="AI244" s="122"/>
      <c r="AJ244" s="363" t="str">
        <f>IF(AI244="","",IF(VLOOKUP(AI244,'G-7 WaterC'' Data'!$AA$4:$AB$7,2,FALSE)=0,"Spatial Data Missing ⚠",VLOOKUP(AI244,'G-7 WaterC'' Data'!$AA$4:$AB$7,2,FALSE)))</f>
        <v/>
      </c>
      <c r="AK244" s="123"/>
      <c r="AL244" s="397" t="str">
        <f>IF(AK244="","",IF(VLOOKUP(AK244,'G-7 WaterC'' Data'!$AD$4:$AE$14,2,FALSE)=0,"Spatial Data Missing ⚠",VLOOKUP(AK244,'G-7 WaterC'' Data'!$AD$4:$AE$14,2,FALSE)))</f>
        <v/>
      </c>
      <c r="AM244" s="122"/>
      <c r="AN244" s="363" t="str">
        <f>IF(AM244="","",IF(VLOOKUP(AM244,'G-7 WaterC'' Data'!$AO$4:$BO$7,2,FALSE)=0,"Spatial Data Missing ⚠",VLOOKUP(AM244,'G-7 WaterC'' Data'!$AO$4:$BO$7,2,FALSE)))</f>
        <v/>
      </c>
      <c r="AO244" s="405" t="str">
        <f t="shared" si="34"/>
        <v/>
      </c>
      <c r="AP244" s="405" t="str">
        <f t="shared" si="35"/>
        <v/>
      </c>
      <c r="AQ244" s="194"/>
      <c r="AR244" s="195"/>
      <c r="AS244" s="120"/>
      <c r="AT244" s="120"/>
      <c r="AY244" s="30" t="str">
        <f>IFERROR(INDEX('G-7 WaterC'' Data'!$AZ$3:$AZ$7,MATCH(N244,'G-7 WaterC'' Data'!$AY$3:$AY$7,0)),"")</f>
        <v/>
      </c>
    </row>
    <row r="245" spans="2:51" ht="15">
      <c r="B245" s="392" t="str">
        <f>'F-1 Off-Site WaterC'' Baseline'!AR243</f>
        <v/>
      </c>
      <c r="C245" s="382" t="str">
        <f>IF(B245="","",VLOOKUP($B245,'F-1 Off-Site WaterC'' Baseline'!$C$9:$R$257,2,FALSE))</f>
        <v/>
      </c>
      <c r="D245" s="382" t="str">
        <f>IF(C245="","",VLOOKUP($B245,'F-1 Off-Site WaterC'' Baseline'!$C$9:$R$257,3,FALSE))</f>
        <v/>
      </c>
      <c r="E245" s="382" t="str">
        <f>IF(D245="","",VLOOKUP($B245,'F-1 Off-Site WaterC'' Baseline'!$C$9:$R$257,4,FALSE))</f>
        <v/>
      </c>
      <c r="F245" s="382" t="str">
        <f>IF(E245="","",VLOOKUP($B245,'F-1 Off-Site WaterC'' Baseline'!$C$9:$R$257,5,FALSE))</f>
        <v/>
      </c>
      <c r="G245" s="382" t="str">
        <f>IF(F245="","",VLOOKUP($B245,'F-1 Off-Site WaterC'' Baseline'!$C$9:$R$257,6,FALSE))</f>
        <v/>
      </c>
      <c r="H245" s="382" t="str">
        <f>IF(G245="","",VLOOKUP($B245,'F-1 Off-Site WaterC'' Baseline'!$C$9:$R$257,7,FALSE))</f>
        <v/>
      </c>
      <c r="I245" s="382" t="str">
        <f>IF(H245="","",VLOOKUP($B245,'F-1 Off-Site WaterC'' Baseline'!$C$9:$R$257,8,FALSE))</f>
        <v/>
      </c>
      <c r="J245" s="382" t="str">
        <f>IF(I245="","",VLOOKUP($B245,'F-1 Off-Site WaterC'' Baseline'!$C$9:$R$257,9,FALSE))</f>
        <v/>
      </c>
      <c r="K245" s="382" t="str">
        <f>IF(J245="","",VLOOKUP($B245,'F-1 Off-Site WaterC'' Baseline'!$C$9:$R$257,10,FALSE))</f>
        <v/>
      </c>
      <c r="L245" s="382" t="str">
        <f>IF(B245="","",VLOOKUP($B245,'F-1 Off-Site WaterC'' Baseline'!$C$9:$R$257,15,FALSE))</f>
        <v/>
      </c>
      <c r="M245" s="386" t="str">
        <f>IF(L245="","",VLOOKUP($B245,'F-1 Off-Site WaterC'' Baseline'!$C$9:$R$257,16,FALSE))</f>
        <v/>
      </c>
      <c r="N245" s="316" t="str">
        <f t="shared" si="30"/>
        <v/>
      </c>
      <c r="O245" s="362" t="str">
        <f t="shared" si="31"/>
        <v/>
      </c>
      <c r="P245" s="363" t="str">
        <f>IF(C245="","",IF(AND(LEFT(C245,55)&lt;&gt;LEFT(N245,55),O245="High - High"),"Error - Not like for like ▲",IF(H245&gt;U245,"Error - Can not reduce condition ▲",IF(AND(F245=S245,H245=U245,AJ245='F-1 Off-Site WaterC'' Baseline'!N243,'F-1 Off-Site WaterC'' Baseline'!P243=AL245),"Error - No enhancement ▲",IF(AND(C245&lt;&gt;N245,F245&lt;S245),"Lower Distinctiveness Habitat"&amp;" - "&amp;T245,G245&amp;" - "&amp;T245)))))</f>
        <v/>
      </c>
      <c r="Q245" s="368" t="str">
        <f>IF(N245="","",VLOOKUP(B245,'F-1 Off-Site WaterC'' Baseline'!$C$10:$AE$257,22,FALSE))</f>
        <v/>
      </c>
      <c r="R245" s="362" t="str">
        <f>IF(N245="","",VLOOKUP(N245,'G-7 WaterC'' Data'!$B$2:$G$8,2,FALSE))</f>
        <v/>
      </c>
      <c r="S245" s="363" t="str">
        <f>IFERROR(VLOOKUP(R245,'G-7 WaterC'' Data'!$C$4:$D$8,2,FALSE),"")</f>
        <v/>
      </c>
      <c r="T245" s="114"/>
      <c r="U245" s="363" t="str">
        <f>IFERROR(INDEX('G-7 WaterC'' Data'!$H$4:$L$8,MATCH(N245,'G-7 WaterC'' Data'!$B$4:$B$8,0),MATCH(T245,'G-7 WaterC'' Data'!$H$3:$L$3,0)),"")</f>
        <v/>
      </c>
      <c r="V245" s="122"/>
      <c r="W245" s="382" t="str">
        <f>IF(V245="","",IF(VLOOKUP(V245,'G-7 WaterC'' Data'!$AK$4:$AM$6,2,FALSE)=0,"Spatial Data Missing ⚠",VLOOKUP(V245,'G-7 WaterC'' Data'!$AK$4:$AM$6,2,FALSE)))</f>
        <v/>
      </c>
      <c r="X245" s="386" t="str">
        <f>IF(V245="","",IF(VLOOKUP(V245,'G-7 WaterC'' Data'!$AK$4:$AM$6,3,FALSE)=0,"Spatial Data Missing ⚠",VLOOKUP(V245,'G-7 WaterC'' Data'!$AK$4:$AM$6,3,FALSE)))</f>
        <v/>
      </c>
      <c r="Y245" s="398" t="str">
        <f>IFERROR(IF(OR(LEFT(P245,5)="Error",LEFT(O245,5)="Error"),"Check Data ⚠",IF(F245&lt;S245,'G-7 WaterC'' Data'!$R$3,INDEX('G-7 WaterC'' Data'!$U$5:$Y$9,MATCH(G245,'G-7 WaterC'' Data'!$T$5:$T$9,0),MATCH(T245,'G-7 WaterC'' Data'!$U$4:$Y$4,0)))),"")</f>
        <v/>
      </c>
      <c r="Z245" s="165"/>
      <c r="AA245" s="165"/>
      <c r="AB245" s="395" t="str">
        <f t="shared" si="27"/>
        <v/>
      </c>
      <c r="AC245" s="383" t="str">
        <f t="shared" si="32"/>
        <v/>
      </c>
      <c r="AD245" s="422" t="str">
        <f>IFERROR(IF(AC245="Check Data ⚠","Check Data ⚠",VLOOKUP(AC245,'G-4 Temporal multipliers'!$A$4:$C$37,3,FALSE)),"")</f>
        <v/>
      </c>
      <c r="AE245" s="398" t="str">
        <f>IF(N245="","",VLOOKUP(N245,'G-7 WaterC'' Data'!$B$4:$G$8,5,FALSE))</f>
        <v/>
      </c>
      <c r="AF245" s="382" t="str">
        <f t="shared" si="28"/>
        <v/>
      </c>
      <c r="AG245" s="382" t="str">
        <f t="shared" si="33"/>
        <v/>
      </c>
      <c r="AH245" s="386" t="str">
        <f t="shared" si="29"/>
        <v/>
      </c>
      <c r="AI245" s="122"/>
      <c r="AJ245" s="363" t="str">
        <f>IF(AI245="","",IF(VLOOKUP(AI245,'G-7 WaterC'' Data'!$AA$4:$AB$7,2,FALSE)=0,"Spatial Data Missing ⚠",VLOOKUP(AI245,'G-7 WaterC'' Data'!$AA$4:$AB$7,2,FALSE)))</f>
        <v/>
      </c>
      <c r="AK245" s="123"/>
      <c r="AL245" s="397" t="str">
        <f>IF(AK245="","",IF(VLOOKUP(AK245,'G-7 WaterC'' Data'!$AD$4:$AE$14,2,FALSE)=0,"Spatial Data Missing ⚠",VLOOKUP(AK245,'G-7 WaterC'' Data'!$AD$4:$AE$14,2,FALSE)))</f>
        <v/>
      </c>
      <c r="AM245" s="122"/>
      <c r="AN245" s="363" t="str">
        <f>IF(AM245="","",IF(VLOOKUP(AM245,'G-7 WaterC'' Data'!$AO$4:$BO$7,2,FALSE)=0,"Spatial Data Missing ⚠",VLOOKUP(AM245,'G-7 WaterC'' Data'!$AO$4:$BO$7,2,FALSE)))</f>
        <v/>
      </c>
      <c r="AO245" s="405" t="str">
        <f t="shared" si="34"/>
        <v/>
      </c>
      <c r="AP245" s="405" t="str">
        <f t="shared" si="35"/>
        <v/>
      </c>
      <c r="AQ245" s="194"/>
      <c r="AR245" s="195"/>
      <c r="AS245" s="120"/>
      <c r="AT245" s="120"/>
      <c r="AY245" s="30" t="str">
        <f>IFERROR(INDEX('G-7 WaterC'' Data'!$AZ$3:$AZ$7,MATCH(N245,'G-7 WaterC'' Data'!$AY$3:$AY$7,0)),"")</f>
        <v/>
      </c>
    </row>
    <row r="246" spans="2:51" ht="15">
      <c r="B246" s="392" t="str">
        <f>'F-1 Off-Site WaterC'' Baseline'!AR244</f>
        <v/>
      </c>
      <c r="C246" s="382" t="str">
        <f>IF(B246="","",VLOOKUP($B246,'F-1 Off-Site WaterC'' Baseline'!$C$9:$R$257,2,FALSE))</f>
        <v/>
      </c>
      <c r="D246" s="382" t="str">
        <f>IF(C246="","",VLOOKUP($B246,'F-1 Off-Site WaterC'' Baseline'!$C$9:$R$257,3,FALSE))</f>
        <v/>
      </c>
      <c r="E246" s="382" t="str">
        <f>IF(D246="","",VLOOKUP($B246,'F-1 Off-Site WaterC'' Baseline'!$C$9:$R$257,4,FALSE))</f>
        <v/>
      </c>
      <c r="F246" s="382" t="str">
        <f>IF(E246="","",VLOOKUP($B246,'F-1 Off-Site WaterC'' Baseline'!$C$9:$R$257,5,FALSE))</f>
        <v/>
      </c>
      <c r="G246" s="382" t="str">
        <f>IF(F246="","",VLOOKUP($B246,'F-1 Off-Site WaterC'' Baseline'!$C$9:$R$257,6,FALSE))</f>
        <v/>
      </c>
      <c r="H246" s="382" t="str">
        <f>IF(G246="","",VLOOKUP($B246,'F-1 Off-Site WaterC'' Baseline'!$C$9:$R$257,7,FALSE))</f>
        <v/>
      </c>
      <c r="I246" s="382" t="str">
        <f>IF(H246="","",VLOOKUP($B246,'F-1 Off-Site WaterC'' Baseline'!$C$9:$R$257,8,FALSE))</f>
        <v/>
      </c>
      <c r="J246" s="382" t="str">
        <f>IF(I246="","",VLOOKUP($B246,'F-1 Off-Site WaterC'' Baseline'!$C$9:$R$257,9,FALSE))</f>
        <v/>
      </c>
      <c r="K246" s="382" t="str">
        <f>IF(J246="","",VLOOKUP($B246,'F-1 Off-Site WaterC'' Baseline'!$C$9:$R$257,10,FALSE))</f>
        <v/>
      </c>
      <c r="L246" s="382" t="str">
        <f>IF(B246="","",VLOOKUP($B246,'F-1 Off-Site WaterC'' Baseline'!$C$9:$R$257,15,FALSE))</f>
        <v/>
      </c>
      <c r="M246" s="386" t="str">
        <f>IF(L246="","",VLOOKUP($B246,'F-1 Off-Site WaterC'' Baseline'!$C$9:$R$257,16,FALSE))</f>
        <v/>
      </c>
      <c r="N246" s="316" t="str">
        <f t="shared" si="30"/>
        <v/>
      </c>
      <c r="O246" s="362" t="str">
        <f t="shared" si="31"/>
        <v/>
      </c>
      <c r="P246" s="363" t="str">
        <f>IF(C246="","",IF(AND(LEFT(C246,55)&lt;&gt;LEFT(N246,55),O246="High - High"),"Error - Not like for like ▲",IF(H246&gt;U246,"Error - Can not reduce condition ▲",IF(AND(F246=S246,H246=U246,AJ246='F-1 Off-Site WaterC'' Baseline'!N244,'F-1 Off-Site WaterC'' Baseline'!P244=AL246),"Error - No enhancement ▲",IF(AND(C246&lt;&gt;N246,F246&lt;S246),"Lower Distinctiveness Habitat"&amp;" - "&amp;T246,G246&amp;" - "&amp;T246)))))</f>
        <v/>
      </c>
      <c r="Q246" s="368" t="str">
        <f>IF(N246="","",VLOOKUP(B246,'F-1 Off-Site WaterC'' Baseline'!$C$10:$AE$257,22,FALSE))</f>
        <v/>
      </c>
      <c r="R246" s="362" t="str">
        <f>IF(N246="","",VLOOKUP(N246,'G-7 WaterC'' Data'!$B$2:$G$8,2,FALSE))</f>
        <v/>
      </c>
      <c r="S246" s="363" t="str">
        <f>IFERROR(VLOOKUP(R246,'G-7 WaterC'' Data'!$C$4:$D$8,2,FALSE),"")</f>
        <v/>
      </c>
      <c r="T246" s="114"/>
      <c r="U246" s="363" t="str">
        <f>IFERROR(INDEX('G-7 WaterC'' Data'!$H$4:$L$8,MATCH(N246,'G-7 WaterC'' Data'!$B$4:$B$8,0),MATCH(T246,'G-7 WaterC'' Data'!$H$3:$L$3,0)),"")</f>
        <v/>
      </c>
      <c r="V246" s="122"/>
      <c r="W246" s="382" t="str">
        <f>IF(V246="","",IF(VLOOKUP(V246,'G-7 WaterC'' Data'!$AK$4:$AM$6,2,FALSE)=0,"Spatial Data Missing ⚠",VLOOKUP(V246,'G-7 WaterC'' Data'!$AK$4:$AM$6,2,FALSE)))</f>
        <v/>
      </c>
      <c r="X246" s="386" t="str">
        <f>IF(V246="","",IF(VLOOKUP(V246,'G-7 WaterC'' Data'!$AK$4:$AM$6,3,FALSE)=0,"Spatial Data Missing ⚠",VLOOKUP(V246,'G-7 WaterC'' Data'!$AK$4:$AM$6,3,FALSE)))</f>
        <v/>
      </c>
      <c r="Y246" s="398" t="str">
        <f>IFERROR(IF(OR(LEFT(P246,5)="Error",LEFT(O246,5)="Error"),"Check Data ⚠",IF(F246&lt;S246,'G-7 WaterC'' Data'!$R$3,INDEX('G-7 WaterC'' Data'!$U$5:$Y$9,MATCH(G246,'G-7 WaterC'' Data'!$T$5:$T$9,0),MATCH(T246,'G-7 WaterC'' Data'!$U$4:$Y$4,0)))),"")</f>
        <v/>
      </c>
      <c r="Z246" s="165"/>
      <c r="AA246" s="165"/>
      <c r="AB246" s="395" t="str">
        <f t="shared" si="27"/>
        <v/>
      </c>
      <c r="AC246" s="383" t="str">
        <f t="shared" si="32"/>
        <v/>
      </c>
      <c r="AD246" s="422" t="str">
        <f>IFERROR(IF(AC246="Check Data ⚠","Check Data ⚠",VLOOKUP(AC246,'G-4 Temporal multipliers'!$A$4:$C$37,3,FALSE)),"")</f>
        <v/>
      </c>
      <c r="AE246" s="398" t="str">
        <f>IF(N246="","",VLOOKUP(N246,'G-7 WaterC'' Data'!$B$4:$G$8,5,FALSE))</f>
        <v/>
      </c>
      <c r="AF246" s="382" t="str">
        <f t="shared" si="28"/>
        <v/>
      </c>
      <c r="AG246" s="382" t="str">
        <f t="shared" si="33"/>
        <v/>
      </c>
      <c r="AH246" s="386" t="str">
        <f t="shared" si="29"/>
        <v/>
      </c>
      <c r="AI246" s="122"/>
      <c r="AJ246" s="363" t="str">
        <f>IF(AI246="","",IF(VLOOKUP(AI246,'G-7 WaterC'' Data'!$AA$4:$AB$7,2,FALSE)=0,"Spatial Data Missing ⚠",VLOOKUP(AI246,'G-7 WaterC'' Data'!$AA$4:$AB$7,2,FALSE)))</f>
        <v/>
      </c>
      <c r="AK246" s="123"/>
      <c r="AL246" s="397" t="str">
        <f>IF(AK246="","",IF(VLOOKUP(AK246,'G-7 WaterC'' Data'!$AD$4:$AE$14,2,FALSE)=0,"Spatial Data Missing ⚠",VLOOKUP(AK246,'G-7 WaterC'' Data'!$AD$4:$AE$14,2,FALSE)))</f>
        <v/>
      </c>
      <c r="AM246" s="122"/>
      <c r="AN246" s="363" t="str">
        <f>IF(AM246="","",IF(VLOOKUP(AM246,'G-7 WaterC'' Data'!$AO$4:$BO$7,2,FALSE)=0,"Spatial Data Missing ⚠",VLOOKUP(AM246,'G-7 WaterC'' Data'!$AO$4:$BO$7,2,FALSE)))</f>
        <v/>
      </c>
      <c r="AO246" s="405" t="str">
        <f t="shared" si="34"/>
        <v/>
      </c>
      <c r="AP246" s="405" t="str">
        <f t="shared" si="35"/>
        <v/>
      </c>
      <c r="AQ246" s="194"/>
      <c r="AR246" s="195"/>
      <c r="AS246" s="120"/>
      <c r="AT246" s="120"/>
      <c r="AY246" s="30" t="str">
        <f>IFERROR(INDEX('G-7 WaterC'' Data'!$AZ$3:$AZ$7,MATCH(N246,'G-7 WaterC'' Data'!$AY$3:$AY$7,0)),"")</f>
        <v/>
      </c>
    </row>
    <row r="247" spans="2:51" ht="15">
      <c r="B247" s="392" t="str">
        <f>'F-1 Off-Site WaterC'' Baseline'!AR245</f>
        <v/>
      </c>
      <c r="C247" s="382" t="str">
        <f>IF(B247="","",VLOOKUP($B247,'F-1 Off-Site WaterC'' Baseline'!$C$9:$R$257,2,FALSE))</f>
        <v/>
      </c>
      <c r="D247" s="382" t="str">
        <f>IF(C247="","",VLOOKUP($B247,'F-1 Off-Site WaterC'' Baseline'!$C$9:$R$257,3,FALSE))</f>
        <v/>
      </c>
      <c r="E247" s="382" t="str">
        <f>IF(D247="","",VLOOKUP($B247,'F-1 Off-Site WaterC'' Baseline'!$C$9:$R$257,4,FALSE))</f>
        <v/>
      </c>
      <c r="F247" s="382" t="str">
        <f>IF(E247="","",VLOOKUP($B247,'F-1 Off-Site WaterC'' Baseline'!$C$9:$R$257,5,FALSE))</f>
        <v/>
      </c>
      <c r="G247" s="382" t="str">
        <f>IF(F247="","",VLOOKUP($B247,'F-1 Off-Site WaterC'' Baseline'!$C$9:$R$257,6,FALSE))</f>
        <v/>
      </c>
      <c r="H247" s="382" t="str">
        <f>IF(G247="","",VLOOKUP($B247,'F-1 Off-Site WaterC'' Baseline'!$C$9:$R$257,7,FALSE))</f>
        <v/>
      </c>
      <c r="I247" s="382" t="str">
        <f>IF(H247="","",VLOOKUP($B247,'F-1 Off-Site WaterC'' Baseline'!$C$9:$R$257,8,FALSE))</f>
        <v/>
      </c>
      <c r="J247" s="382" t="str">
        <f>IF(I247="","",VLOOKUP($B247,'F-1 Off-Site WaterC'' Baseline'!$C$9:$R$257,9,FALSE))</f>
        <v/>
      </c>
      <c r="K247" s="382" t="str">
        <f>IF(J247="","",VLOOKUP($B247,'F-1 Off-Site WaterC'' Baseline'!$C$9:$R$257,10,FALSE))</f>
        <v/>
      </c>
      <c r="L247" s="382" t="str">
        <f>IF(B247="","",VLOOKUP($B247,'F-1 Off-Site WaterC'' Baseline'!$C$9:$R$257,15,FALSE))</f>
        <v/>
      </c>
      <c r="M247" s="386" t="str">
        <f>IF(L247="","",VLOOKUP($B247,'F-1 Off-Site WaterC'' Baseline'!$C$9:$R$257,16,FALSE))</f>
        <v/>
      </c>
      <c r="N247" s="316" t="str">
        <f t="shared" si="30"/>
        <v/>
      </c>
      <c r="O247" s="362" t="str">
        <f t="shared" si="31"/>
        <v/>
      </c>
      <c r="P247" s="363" t="str">
        <f>IF(C247="","",IF(AND(LEFT(C247,55)&lt;&gt;LEFT(N247,55),O247="High - High"),"Error - Not like for like ▲",IF(H247&gt;U247,"Error - Can not reduce condition ▲",IF(AND(F247=S247,H247=U247,AJ247='F-1 Off-Site WaterC'' Baseline'!N245,'F-1 Off-Site WaterC'' Baseline'!P245=AL247),"Error - No enhancement ▲",IF(AND(C247&lt;&gt;N247,F247&lt;S247),"Lower Distinctiveness Habitat"&amp;" - "&amp;T247,G247&amp;" - "&amp;T247)))))</f>
        <v/>
      </c>
      <c r="Q247" s="368" t="str">
        <f>IF(N247="","",VLOOKUP(B247,'F-1 Off-Site WaterC'' Baseline'!$C$10:$AE$257,22,FALSE))</f>
        <v/>
      </c>
      <c r="R247" s="362" t="str">
        <f>IF(N247="","",VLOOKUP(N247,'G-7 WaterC'' Data'!$B$2:$G$8,2,FALSE))</f>
        <v/>
      </c>
      <c r="S247" s="363" t="str">
        <f>IFERROR(VLOOKUP(R247,'G-7 WaterC'' Data'!$C$4:$D$8,2,FALSE),"")</f>
        <v/>
      </c>
      <c r="T247" s="114"/>
      <c r="U247" s="363" t="str">
        <f>IFERROR(INDEX('G-7 WaterC'' Data'!$H$4:$L$8,MATCH(N247,'G-7 WaterC'' Data'!$B$4:$B$8,0),MATCH(T247,'G-7 WaterC'' Data'!$H$3:$L$3,0)),"")</f>
        <v/>
      </c>
      <c r="V247" s="122"/>
      <c r="W247" s="382" t="str">
        <f>IF(V247="","",IF(VLOOKUP(V247,'G-7 WaterC'' Data'!$AK$4:$AM$6,2,FALSE)=0,"Spatial Data Missing ⚠",VLOOKUP(V247,'G-7 WaterC'' Data'!$AK$4:$AM$6,2,FALSE)))</f>
        <v/>
      </c>
      <c r="X247" s="386" t="str">
        <f>IF(V247="","",IF(VLOOKUP(V247,'G-7 WaterC'' Data'!$AK$4:$AM$6,3,FALSE)=0,"Spatial Data Missing ⚠",VLOOKUP(V247,'G-7 WaterC'' Data'!$AK$4:$AM$6,3,FALSE)))</f>
        <v/>
      </c>
      <c r="Y247" s="398" t="str">
        <f>IFERROR(IF(OR(LEFT(P247,5)="Error",LEFT(O247,5)="Error"),"Check Data ⚠",IF(F247&lt;S247,'G-7 WaterC'' Data'!$R$3,INDEX('G-7 WaterC'' Data'!$U$5:$Y$9,MATCH(G247,'G-7 WaterC'' Data'!$T$5:$T$9,0),MATCH(T247,'G-7 WaterC'' Data'!$U$4:$Y$4,0)))),"")</f>
        <v/>
      </c>
      <c r="Z247" s="165"/>
      <c r="AA247" s="165"/>
      <c r="AB247" s="395" t="str">
        <f t="shared" si="27"/>
        <v/>
      </c>
      <c r="AC247" s="383" t="str">
        <f t="shared" si="32"/>
        <v/>
      </c>
      <c r="AD247" s="422" t="str">
        <f>IFERROR(IF(AC247="Check Data ⚠","Check Data ⚠",VLOOKUP(AC247,'G-4 Temporal multipliers'!$A$4:$C$37,3,FALSE)),"")</f>
        <v/>
      </c>
      <c r="AE247" s="398" t="str">
        <f>IF(N247="","",VLOOKUP(N247,'G-7 WaterC'' Data'!$B$4:$G$8,5,FALSE))</f>
        <v/>
      </c>
      <c r="AF247" s="382" t="str">
        <f t="shared" si="28"/>
        <v/>
      </c>
      <c r="AG247" s="382" t="str">
        <f t="shared" si="33"/>
        <v/>
      </c>
      <c r="AH247" s="386" t="str">
        <f t="shared" si="29"/>
        <v/>
      </c>
      <c r="AI247" s="122"/>
      <c r="AJ247" s="363" t="str">
        <f>IF(AI247="","",IF(VLOOKUP(AI247,'G-7 WaterC'' Data'!$AA$4:$AB$7,2,FALSE)=0,"Spatial Data Missing ⚠",VLOOKUP(AI247,'G-7 WaterC'' Data'!$AA$4:$AB$7,2,FALSE)))</f>
        <v/>
      </c>
      <c r="AK247" s="123"/>
      <c r="AL247" s="397" t="str">
        <f>IF(AK247="","",IF(VLOOKUP(AK247,'G-7 WaterC'' Data'!$AD$4:$AE$14,2,FALSE)=0,"Spatial Data Missing ⚠",VLOOKUP(AK247,'G-7 WaterC'' Data'!$AD$4:$AE$14,2,FALSE)))</f>
        <v/>
      </c>
      <c r="AM247" s="122"/>
      <c r="AN247" s="363" t="str">
        <f>IF(AM247="","",IF(VLOOKUP(AM247,'G-7 WaterC'' Data'!$AO$4:$BO$7,2,FALSE)=0,"Spatial Data Missing ⚠",VLOOKUP(AM247,'G-7 WaterC'' Data'!$AO$4:$BO$7,2,FALSE)))</f>
        <v/>
      </c>
      <c r="AO247" s="405" t="str">
        <f t="shared" si="34"/>
        <v/>
      </c>
      <c r="AP247" s="405" t="str">
        <f t="shared" si="35"/>
        <v/>
      </c>
      <c r="AQ247" s="194"/>
      <c r="AR247" s="195"/>
      <c r="AS247" s="120"/>
      <c r="AT247" s="120"/>
      <c r="AY247" s="30" t="str">
        <f>IFERROR(INDEX('G-7 WaterC'' Data'!$AZ$3:$AZ$7,MATCH(N247,'G-7 WaterC'' Data'!$AY$3:$AY$7,0)),"")</f>
        <v/>
      </c>
    </row>
    <row r="248" spans="2:51" ht="15">
      <c r="B248" s="392" t="str">
        <f>'F-1 Off-Site WaterC'' Baseline'!AR246</f>
        <v/>
      </c>
      <c r="C248" s="382" t="str">
        <f>IF(B248="","",VLOOKUP($B248,'F-1 Off-Site WaterC'' Baseline'!$C$9:$R$257,2,FALSE))</f>
        <v/>
      </c>
      <c r="D248" s="382" t="str">
        <f>IF(C248="","",VLOOKUP($B248,'F-1 Off-Site WaterC'' Baseline'!$C$9:$R$257,3,FALSE))</f>
        <v/>
      </c>
      <c r="E248" s="382" t="str">
        <f>IF(D248="","",VLOOKUP($B248,'F-1 Off-Site WaterC'' Baseline'!$C$9:$R$257,4,FALSE))</f>
        <v/>
      </c>
      <c r="F248" s="382" t="str">
        <f>IF(E248="","",VLOOKUP($B248,'F-1 Off-Site WaterC'' Baseline'!$C$9:$R$257,5,FALSE))</f>
        <v/>
      </c>
      <c r="G248" s="382" t="str">
        <f>IF(F248="","",VLOOKUP($B248,'F-1 Off-Site WaterC'' Baseline'!$C$9:$R$257,6,FALSE))</f>
        <v/>
      </c>
      <c r="H248" s="382" t="str">
        <f>IF(G248="","",VLOOKUP($B248,'F-1 Off-Site WaterC'' Baseline'!$C$9:$R$257,7,FALSE))</f>
        <v/>
      </c>
      <c r="I248" s="382" t="str">
        <f>IF(H248="","",VLOOKUP($B248,'F-1 Off-Site WaterC'' Baseline'!$C$9:$R$257,8,FALSE))</f>
        <v/>
      </c>
      <c r="J248" s="382" t="str">
        <f>IF(I248="","",VLOOKUP($B248,'F-1 Off-Site WaterC'' Baseline'!$C$9:$R$257,9,FALSE))</f>
        <v/>
      </c>
      <c r="K248" s="382" t="str">
        <f>IF(J248="","",VLOOKUP($B248,'F-1 Off-Site WaterC'' Baseline'!$C$9:$R$257,10,FALSE))</f>
        <v/>
      </c>
      <c r="L248" s="382" t="str">
        <f>IF(B248="","",VLOOKUP($B248,'F-1 Off-Site WaterC'' Baseline'!$C$9:$R$257,15,FALSE))</f>
        <v/>
      </c>
      <c r="M248" s="386" t="str">
        <f>IF(L248="","",VLOOKUP($B248,'F-1 Off-Site WaterC'' Baseline'!$C$9:$R$257,16,FALSE))</f>
        <v/>
      </c>
      <c r="N248" s="316" t="str">
        <f t="shared" si="30"/>
        <v/>
      </c>
      <c r="O248" s="362" t="str">
        <f t="shared" si="31"/>
        <v/>
      </c>
      <c r="P248" s="363" t="str">
        <f>IF(C248="","",IF(AND(LEFT(C248,55)&lt;&gt;LEFT(N248,55),O248="High - High"),"Error - Not like for like ▲",IF(H248&gt;U248,"Error - Can not reduce condition ▲",IF(AND(F248=S248,H248=U248,AJ248='F-1 Off-Site WaterC'' Baseline'!N246,'F-1 Off-Site WaterC'' Baseline'!P246=AL248),"Error - No enhancement ▲",IF(AND(C248&lt;&gt;N248,F248&lt;S248),"Lower Distinctiveness Habitat"&amp;" - "&amp;T248,G248&amp;" - "&amp;T248)))))</f>
        <v/>
      </c>
      <c r="Q248" s="368" t="str">
        <f>IF(N248="","",VLOOKUP(B248,'F-1 Off-Site WaterC'' Baseline'!$C$10:$AE$257,22,FALSE))</f>
        <v/>
      </c>
      <c r="R248" s="362" t="str">
        <f>IF(N248="","",VLOOKUP(N248,'G-7 WaterC'' Data'!$B$2:$G$8,2,FALSE))</f>
        <v/>
      </c>
      <c r="S248" s="363" t="str">
        <f>IFERROR(VLOOKUP(R248,'G-7 WaterC'' Data'!$C$4:$D$8,2,FALSE),"")</f>
        <v/>
      </c>
      <c r="T248" s="114"/>
      <c r="U248" s="363" t="str">
        <f>IFERROR(INDEX('G-7 WaterC'' Data'!$H$4:$L$8,MATCH(N248,'G-7 WaterC'' Data'!$B$4:$B$8,0),MATCH(T248,'G-7 WaterC'' Data'!$H$3:$L$3,0)),"")</f>
        <v/>
      </c>
      <c r="V248" s="122"/>
      <c r="W248" s="382" t="str">
        <f>IF(V248="","",IF(VLOOKUP(V248,'G-7 WaterC'' Data'!$AK$4:$AM$6,2,FALSE)=0,"Spatial Data Missing ⚠",VLOOKUP(V248,'G-7 WaterC'' Data'!$AK$4:$AM$6,2,FALSE)))</f>
        <v/>
      </c>
      <c r="X248" s="386" t="str">
        <f>IF(V248="","",IF(VLOOKUP(V248,'G-7 WaterC'' Data'!$AK$4:$AM$6,3,FALSE)=0,"Spatial Data Missing ⚠",VLOOKUP(V248,'G-7 WaterC'' Data'!$AK$4:$AM$6,3,FALSE)))</f>
        <v/>
      </c>
      <c r="Y248" s="398" t="str">
        <f>IFERROR(IF(OR(LEFT(P248,5)="Error",LEFT(O248,5)="Error"),"Check Data ⚠",IF(F248&lt;S248,'G-7 WaterC'' Data'!$R$3,INDEX('G-7 WaterC'' Data'!$U$5:$Y$9,MATCH(G248,'G-7 WaterC'' Data'!$T$5:$T$9,0),MATCH(T248,'G-7 WaterC'' Data'!$U$4:$Y$4,0)))),"")</f>
        <v/>
      </c>
      <c r="Z248" s="165"/>
      <c r="AA248" s="165"/>
      <c r="AB248" s="395" t="str">
        <f t="shared" si="27"/>
        <v/>
      </c>
      <c r="AC248" s="383" t="str">
        <f t="shared" si="32"/>
        <v/>
      </c>
      <c r="AD248" s="422" t="str">
        <f>IFERROR(IF(AC248="Check Data ⚠","Check Data ⚠",VLOOKUP(AC248,'G-4 Temporal multipliers'!$A$4:$C$37,3,FALSE)),"")</f>
        <v/>
      </c>
      <c r="AE248" s="398" t="str">
        <f>IF(N248="","",VLOOKUP(N248,'G-7 WaterC'' Data'!$B$4:$G$8,5,FALSE))</f>
        <v/>
      </c>
      <c r="AF248" s="382" t="str">
        <f t="shared" si="28"/>
        <v/>
      </c>
      <c r="AG248" s="382" t="str">
        <f t="shared" si="33"/>
        <v/>
      </c>
      <c r="AH248" s="386" t="str">
        <f t="shared" si="29"/>
        <v/>
      </c>
      <c r="AI248" s="122"/>
      <c r="AJ248" s="363" t="str">
        <f>IF(AI248="","",IF(VLOOKUP(AI248,'G-7 WaterC'' Data'!$AA$4:$AB$7,2,FALSE)=0,"Spatial Data Missing ⚠",VLOOKUP(AI248,'G-7 WaterC'' Data'!$AA$4:$AB$7,2,FALSE)))</f>
        <v/>
      </c>
      <c r="AK248" s="123"/>
      <c r="AL248" s="397" t="str">
        <f>IF(AK248="","",IF(VLOOKUP(AK248,'G-7 WaterC'' Data'!$AD$4:$AE$14,2,FALSE)=0,"Spatial Data Missing ⚠",VLOOKUP(AK248,'G-7 WaterC'' Data'!$AD$4:$AE$14,2,FALSE)))</f>
        <v/>
      </c>
      <c r="AM248" s="122"/>
      <c r="AN248" s="363" t="str">
        <f>IF(AM248="","",IF(VLOOKUP(AM248,'G-7 WaterC'' Data'!$AO$4:$BO$7,2,FALSE)=0,"Spatial Data Missing ⚠",VLOOKUP(AM248,'G-7 WaterC'' Data'!$AO$4:$BO$7,2,FALSE)))</f>
        <v/>
      </c>
      <c r="AO248" s="405" t="str">
        <f t="shared" si="34"/>
        <v/>
      </c>
      <c r="AP248" s="405" t="str">
        <f t="shared" si="35"/>
        <v/>
      </c>
      <c r="AQ248" s="194"/>
      <c r="AR248" s="195"/>
      <c r="AS248" s="120"/>
      <c r="AT248" s="120"/>
      <c r="AY248" s="30" t="str">
        <f>IFERROR(INDEX('G-7 WaterC'' Data'!$AZ$3:$AZ$7,MATCH(N248,'G-7 WaterC'' Data'!$AY$3:$AY$7,0)),"")</f>
        <v/>
      </c>
    </row>
    <row r="249" spans="2:51" ht="15">
      <c r="B249" s="392" t="str">
        <f>'F-1 Off-Site WaterC'' Baseline'!AR247</f>
        <v/>
      </c>
      <c r="C249" s="382" t="str">
        <f>IF(B249="","",VLOOKUP($B249,'F-1 Off-Site WaterC'' Baseline'!$C$9:$R$257,2,FALSE))</f>
        <v/>
      </c>
      <c r="D249" s="382" t="str">
        <f>IF(C249="","",VLOOKUP($B249,'F-1 Off-Site WaterC'' Baseline'!$C$9:$R$257,3,FALSE))</f>
        <v/>
      </c>
      <c r="E249" s="382" t="str">
        <f>IF(D249="","",VLOOKUP($B249,'F-1 Off-Site WaterC'' Baseline'!$C$9:$R$257,4,FALSE))</f>
        <v/>
      </c>
      <c r="F249" s="382" t="str">
        <f>IF(E249="","",VLOOKUP($B249,'F-1 Off-Site WaterC'' Baseline'!$C$9:$R$257,5,FALSE))</f>
        <v/>
      </c>
      <c r="G249" s="382" t="str">
        <f>IF(F249="","",VLOOKUP($B249,'F-1 Off-Site WaterC'' Baseline'!$C$9:$R$257,6,FALSE))</f>
        <v/>
      </c>
      <c r="H249" s="382" t="str">
        <f>IF(G249="","",VLOOKUP($B249,'F-1 Off-Site WaterC'' Baseline'!$C$9:$R$257,7,FALSE))</f>
        <v/>
      </c>
      <c r="I249" s="382" t="str">
        <f>IF(H249="","",VLOOKUP($B249,'F-1 Off-Site WaterC'' Baseline'!$C$9:$R$257,8,FALSE))</f>
        <v/>
      </c>
      <c r="J249" s="382" t="str">
        <f>IF(I249="","",VLOOKUP($B249,'F-1 Off-Site WaterC'' Baseline'!$C$9:$R$257,9,FALSE))</f>
        <v/>
      </c>
      <c r="K249" s="382" t="str">
        <f>IF(J249="","",VLOOKUP($B249,'F-1 Off-Site WaterC'' Baseline'!$C$9:$R$257,10,FALSE))</f>
        <v/>
      </c>
      <c r="L249" s="382" t="str">
        <f>IF(B249="","",VLOOKUP($B249,'F-1 Off-Site WaterC'' Baseline'!$C$9:$R$257,15,FALSE))</f>
        <v/>
      </c>
      <c r="M249" s="386" t="str">
        <f>IF(L249="","",VLOOKUP($B249,'F-1 Off-Site WaterC'' Baseline'!$C$9:$R$257,16,FALSE))</f>
        <v/>
      </c>
      <c r="N249" s="316" t="str">
        <f t="shared" si="30"/>
        <v/>
      </c>
      <c r="O249" s="362" t="str">
        <f t="shared" si="31"/>
        <v/>
      </c>
      <c r="P249" s="363" t="str">
        <f>IF(C249="","",IF(AND(LEFT(C249,55)&lt;&gt;LEFT(N249,55),O249="High - High"),"Error - Not like for like ▲",IF(H249&gt;U249,"Error - Can not reduce condition ▲",IF(AND(F249=S249,H249=U249,AJ249='F-1 Off-Site WaterC'' Baseline'!N247,'F-1 Off-Site WaterC'' Baseline'!P247=AL249),"Error - No enhancement ▲",IF(AND(C249&lt;&gt;N249,F249&lt;S249),"Lower Distinctiveness Habitat"&amp;" - "&amp;T249,G249&amp;" - "&amp;T249)))))</f>
        <v/>
      </c>
      <c r="Q249" s="368" t="str">
        <f>IF(N249="","",VLOOKUP(B249,'F-1 Off-Site WaterC'' Baseline'!$C$10:$AE$257,22,FALSE))</f>
        <v/>
      </c>
      <c r="R249" s="362" t="str">
        <f>IF(N249="","",VLOOKUP(N249,'G-7 WaterC'' Data'!$B$2:$G$8,2,FALSE))</f>
        <v/>
      </c>
      <c r="S249" s="363" t="str">
        <f>IFERROR(VLOOKUP(R249,'G-7 WaterC'' Data'!$C$4:$D$8,2,FALSE),"")</f>
        <v/>
      </c>
      <c r="T249" s="114"/>
      <c r="U249" s="363" t="str">
        <f>IFERROR(INDEX('G-7 WaterC'' Data'!$H$4:$L$8,MATCH(N249,'G-7 WaterC'' Data'!$B$4:$B$8,0),MATCH(T249,'G-7 WaterC'' Data'!$H$3:$L$3,0)),"")</f>
        <v/>
      </c>
      <c r="V249" s="122"/>
      <c r="W249" s="382" t="str">
        <f>IF(V249="","",IF(VLOOKUP(V249,'G-7 WaterC'' Data'!$AK$4:$AM$6,2,FALSE)=0,"Spatial Data Missing ⚠",VLOOKUP(V249,'G-7 WaterC'' Data'!$AK$4:$AM$6,2,FALSE)))</f>
        <v/>
      </c>
      <c r="X249" s="386" t="str">
        <f>IF(V249="","",IF(VLOOKUP(V249,'G-7 WaterC'' Data'!$AK$4:$AM$6,3,FALSE)=0,"Spatial Data Missing ⚠",VLOOKUP(V249,'G-7 WaterC'' Data'!$AK$4:$AM$6,3,FALSE)))</f>
        <v/>
      </c>
      <c r="Y249" s="398" t="str">
        <f>IFERROR(IF(OR(LEFT(P249,5)="Error",LEFT(O249,5)="Error"),"Check Data ⚠",IF(F249&lt;S249,'G-7 WaterC'' Data'!$R$3,INDEX('G-7 WaterC'' Data'!$U$5:$Y$9,MATCH(G249,'G-7 WaterC'' Data'!$T$5:$T$9,0),MATCH(T249,'G-7 WaterC'' Data'!$U$4:$Y$4,0)))),"")</f>
        <v/>
      </c>
      <c r="Z249" s="165"/>
      <c r="AA249" s="165"/>
      <c r="AB249" s="395" t="str">
        <f t="shared" si="27"/>
        <v/>
      </c>
      <c r="AC249" s="383" t="str">
        <f t="shared" si="32"/>
        <v/>
      </c>
      <c r="AD249" s="422" t="str">
        <f>IFERROR(IF(AC249="Check Data ⚠","Check Data ⚠",VLOOKUP(AC249,'G-4 Temporal multipliers'!$A$4:$C$37,3,FALSE)),"")</f>
        <v/>
      </c>
      <c r="AE249" s="398" t="str">
        <f>IF(N249="","",VLOOKUP(N249,'G-7 WaterC'' Data'!$B$4:$G$8,5,FALSE))</f>
        <v/>
      </c>
      <c r="AF249" s="382" t="str">
        <f t="shared" si="28"/>
        <v/>
      </c>
      <c r="AG249" s="382" t="str">
        <f t="shared" si="33"/>
        <v/>
      </c>
      <c r="AH249" s="386" t="str">
        <f t="shared" si="29"/>
        <v/>
      </c>
      <c r="AI249" s="122"/>
      <c r="AJ249" s="363" t="str">
        <f>IF(AI249="","",IF(VLOOKUP(AI249,'G-7 WaterC'' Data'!$AA$4:$AB$7,2,FALSE)=0,"Spatial Data Missing ⚠",VLOOKUP(AI249,'G-7 WaterC'' Data'!$AA$4:$AB$7,2,FALSE)))</f>
        <v/>
      </c>
      <c r="AK249" s="123"/>
      <c r="AL249" s="397" t="str">
        <f>IF(AK249="","",IF(VLOOKUP(AK249,'G-7 WaterC'' Data'!$AD$4:$AE$14,2,FALSE)=0,"Spatial Data Missing ⚠",VLOOKUP(AK249,'G-7 WaterC'' Data'!$AD$4:$AE$14,2,FALSE)))</f>
        <v/>
      </c>
      <c r="AM249" s="122"/>
      <c r="AN249" s="363" t="str">
        <f>IF(AM249="","",IF(VLOOKUP(AM249,'G-7 WaterC'' Data'!$AO$4:$BO$7,2,FALSE)=0,"Spatial Data Missing ⚠",VLOOKUP(AM249,'G-7 WaterC'' Data'!$AO$4:$BO$7,2,FALSE)))</f>
        <v/>
      </c>
      <c r="AO249" s="405" t="str">
        <f t="shared" si="34"/>
        <v/>
      </c>
      <c r="AP249" s="405" t="str">
        <f t="shared" si="35"/>
        <v/>
      </c>
      <c r="AQ249" s="194"/>
      <c r="AR249" s="195"/>
      <c r="AS249" s="120"/>
      <c r="AT249" s="120"/>
      <c r="AY249" s="30" t="str">
        <f>IFERROR(INDEX('G-7 WaterC'' Data'!$AZ$3:$AZ$7,MATCH(N249,'G-7 WaterC'' Data'!$AY$3:$AY$7,0)),"")</f>
        <v/>
      </c>
    </row>
    <row r="250" spans="2:51" ht="15">
      <c r="B250" s="392" t="str">
        <f>'F-1 Off-Site WaterC'' Baseline'!AR248</f>
        <v/>
      </c>
      <c r="C250" s="382" t="str">
        <f>IF(B250="","",VLOOKUP($B250,'F-1 Off-Site WaterC'' Baseline'!$C$9:$R$257,2,FALSE))</f>
        <v/>
      </c>
      <c r="D250" s="382" t="str">
        <f>IF(C250="","",VLOOKUP($B250,'F-1 Off-Site WaterC'' Baseline'!$C$9:$R$257,3,FALSE))</f>
        <v/>
      </c>
      <c r="E250" s="382" t="str">
        <f>IF(D250="","",VLOOKUP($B250,'F-1 Off-Site WaterC'' Baseline'!$C$9:$R$257,4,FALSE))</f>
        <v/>
      </c>
      <c r="F250" s="382" t="str">
        <f>IF(E250="","",VLOOKUP($B250,'F-1 Off-Site WaterC'' Baseline'!$C$9:$R$257,5,FALSE))</f>
        <v/>
      </c>
      <c r="G250" s="382" t="str">
        <f>IF(F250="","",VLOOKUP($B250,'F-1 Off-Site WaterC'' Baseline'!$C$9:$R$257,6,FALSE))</f>
        <v/>
      </c>
      <c r="H250" s="382" t="str">
        <f>IF(G250="","",VLOOKUP($B250,'F-1 Off-Site WaterC'' Baseline'!$C$9:$R$257,7,FALSE))</f>
        <v/>
      </c>
      <c r="I250" s="382" t="str">
        <f>IF(H250="","",VLOOKUP($B250,'F-1 Off-Site WaterC'' Baseline'!$C$9:$R$257,8,FALSE))</f>
        <v/>
      </c>
      <c r="J250" s="382" t="str">
        <f>IF(I250="","",VLOOKUP($B250,'F-1 Off-Site WaterC'' Baseline'!$C$9:$R$257,9,FALSE))</f>
        <v/>
      </c>
      <c r="K250" s="382" t="str">
        <f>IF(J250="","",VLOOKUP($B250,'F-1 Off-Site WaterC'' Baseline'!$C$9:$R$257,10,FALSE))</f>
        <v/>
      </c>
      <c r="L250" s="382" t="str">
        <f>IF(B250="","",VLOOKUP($B250,'F-1 Off-Site WaterC'' Baseline'!$C$9:$R$257,15,FALSE))</f>
        <v/>
      </c>
      <c r="M250" s="386" t="str">
        <f>IF(L250="","",VLOOKUP($B250,'F-1 Off-Site WaterC'' Baseline'!$C$9:$R$257,16,FALSE))</f>
        <v/>
      </c>
      <c r="N250" s="316" t="str">
        <f t="shared" si="30"/>
        <v/>
      </c>
      <c r="O250" s="362" t="str">
        <f t="shared" si="31"/>
        <v/>
      </c>
      <c r="P250" s="363" t="str">
        <f>IF(C250="","",IF(AND(LEFT(C250,55)&lt;&gt;LEFT(N250,55),O250="High - High"),"Error - Not like for like ▲",IF(H250&gt;U250,"Error - Can not reduce condition ▲",IF(AND(F250=S250,H250=U250,AJ250='F-1 Off-Site WaterC'' Baseline'!N248,'F-1 Off-Site WaterC'' Baseline'!P248=AL250),"Error - No enhancement ▲",IF(AND(C250&lt;&gt;N250,F250&lt;S250),"Lower Distinctiveness Habitat"&amp;" - "&amp;T250,G250&amp;" - "&amp;T250)))))</f>
        <v/>
      </c>
      <c r="Q250" s="368" t="str">
        <f>IF(N250="","",VLOOKUP(B250,'F-1 Off-Site WaterC'' Baseline'!$C$10:$AE$257,22,FALSE))</f>
        <v/>
      </c>
      <c r="R250" s="362" t="str">
        <f>IF(N250="","",VLOOKUP(N250,'G-7 WaterC'' Data'!$B$2:$G$8,2,FALSE))</f>
        <v/>
      </c>
      <c r="S250" s="363" t="str">
        <f>IFERROR(VLOOKUP(R250,'G-7 WaterC'' Data'!$C$4:$D$8,2,FALSE),"")</f>
        <v/>
      </c>
      <c r="T250" s="114"/>
      <c r="U250" s="363" t="str">
        <f>IFERROR(INDEX('G-7 WaterC'' Data'!$H$4:$L$8,MATCH(N250,'G-7 WaterC'' Data'!$B$4:$B$8,0),MATCH(T250,'G-7 WaterC'' Data'!$H$3:$L$3,0)),"")</f>
        <v/>
      </c>
      <c r="V250" s="122"/>
      <c r="W250" s="382" t="str">
        <f>IF(V250="","",IF(VLOOKUP(V250,'G-7 WaterC'' Data'!$AK$4:$AM$6,2,FALSE)=0,"Spatial Data Missing ⚠",VLOOKUP(V250,'G-7 WaterC'' Data'!$AK$4:$AM$6,2,FALSE)))</f>
        <v/>
      </c>
      <c r="X250" s="386" t="str">
        <f>IF(V250="","",IF(VLOOKUP(V250,'G-7 WaterC'' Data'!$AK$4:$AM$6,3,FALSE)=0,"Spatial Data Missing ⚠",VLOOKUP(V250,'G-7 WaterC'' Data'!$AK$4:$AM$6,3,FALSE)))</f>
        <v/>
      </c>
      <c r="Y250" s="398" t="str">
        <f>IFERROR(IF(OR(LEFT(P250,5)="Error",LEFT(O250,5)="Error"),"Check Data ⚠",IF(F250&lt;S250,'G-7 WaterC'' Data'!$R$3,INDEX('G-7 WaterC'' Data'!$U$5:$Y$9,MATCH(G250,'G-7 WaterC'' Data'!$T$5:$T$9,0),MATCH(T250,'G-7 WaterC'' Data'!$U$4:$Y$4,0)))),"")</f>
        <v/>
      </c>
      <c r="Z250" s="165"/>
      <c r="AA250" s="165"/>
      <c r="AB250" s="395" t="str">
        <f t="shared" si="27"/>
        <v/>
      </c>
      <c r="AC250" s="383" t="str">
        <f t="shared" si="32"/>
        <v/>
      </c>
      <c r="AD250" s="422" t="str">
        <f>IFERROR(IF(AC250="Check Data ⚠","Check Data ⚠",VLOOKUP(AC250,'G-4 Temporal multipliers'!$A$4:$C$37,3,FALSE)),"")</f>
        <v/>
      </c>
      <c r="AE250" s="398" t="str">
        <f>IF(N250="","",VLOOKUP(N250,'G-7 WaterC'' Data'!$B$4:$G$8,5,FALSE))</f>
        <v/>
      </c>
      <c r="AF250" s="382" t="str">
        <f t="shared" si="28"/>
        <v/>
      </c>
      <c r="AG250" s="382" t="str">
        <f t="shared" si="33"/>
        <v/>
      </c>
      <c r="AH250" s="386" t="str">
        <f t="shared" si="29"/>
        <v/>
      </c>
      <c r="AI250" s="122"/>
      <c r="AJ250" s="363" t="str">
        <f>IF(AI250="","",IF(VLOOKUP(AI250,'G-7 WaterC'' Data'!$AA$4:$AB$7,2,FALSE)=0,"Spatial Data Missing ⚠",VLOOKUP(AI250,'G-7 WaterC'' Data'!$AA$4:$AB$7,2,FALSE)))</f>
        <v/>
      </c>
      <c r="AK250" s="123"/>
      <c r="AL250" s="397" t="str">
        <f>IF(AK250="","",IF(VLOOKUP(AK250,'G-7 WaterC'' Data'!$AD$4:$AE$14,2,FALSE)=0,"Spatial Data Missing ⚠",VLOOKUP(AK250,'G-7 WaterC'' Data'!$AD$4:$AE$14,2,FALSE)))</f>
        <v/>
      </c>
      <c r="AM250" s="122"/>
      <c r="AN250" s="363" t="str">
        <f>IF(AM250="","",IF(VLOOKUP(AM250,'G-7 WaterC'' Data'!$AO$4:$BO$7,2,FALSE)=0,"Spatial Data Missing ⚠",VLOOKUP(AM250,'G-7 WaterC'' Data'!$AO$4:$BO$7,2,FALSE)))</f>
        <v/>
      </c>
      <c r="AO250" s="405" t="str">
        <f t="shared" si="34"/>
        <v/>
      </c>
      <c r="AP250" s="405" t="str">
        <f t="shared" si="35"/>
        <v/>
      </c>
      <c r="AQ250" s="194"/>
      <c r="AR250" s="195"/>
      <c r="AS250" s="120"/>
      <c r="AT250" s="120"/>
      <c r="AY250" s="30" t="str">
        <f>IFERROR(INDEX('G-7 WaterC'' Data'!$AZ$3:$AZ$7,MATCH(N250,'G-7 WaterC'' Data'!$AY$3:$AY$7,0)),"")</f>
        <v/>
      </c>
    </row>
    <row r="251" spans="2:51" ht="15">
      <c r="B251" s="392" t="str">
        <f>'F-1 Off-Site WaterC'' Baseline'!AR249</f>
        <v/>
      </c>
      <c r="C251" s="382" t="str">
        <f>IF(B251="","",VLOOKUP($B251,'F-1 Off-Site WaterC'' Baseline'!$C$9:$R$257,2,FALSE))</f>
        <v/>
      </c>
      <c r="D251" s="382" t="str">
        <f>IF(C251="","",VLOOKUP($B251,'F-1 Off-Site WaterC'' Baseline'!$C$9:$R$257,3,FALSE))</f>
        <v/>
      </c>
      <c r="E251" s="382" t="str">
        <f>IF(D251="","",VLOOKUP($B251,'F-1 Off-Site WaterC'' Baseline'!$C$9:$R$257,4,FALSE))</f>
        <v/>
      </c>
      <c r="F251" s="382" t="str">
        <f>IF(E251="","",VLOOKUP($B251,'F-1 Off-Site WaterC'' Baseline'!$C$9:$R$257,5,FALSE))</f>
        <v/>
      </c>
      <c r="G251" s="382" t="str">
        <f>IF(F251="","",VLOOKUP($B251,'F-1 Off-Site WaterC'' Baseline'!$C$9:$R$257,6,FALSE))</f>
        <v/>
      </c>
      <c r="H251" s="382" t="str">
        <f>IF(G251="","",VLOOKUP($B251,'F-1 Off-Site WaterC'' Baseline'!$C$9:$R$257,7,FALSE))</f>
        <v/>
      </c>
      <c r="I251" s="382" t="str">
        <f>IF(H251="","",VLOOKUP($B251,'F-1 Off-Site WaterC'' Baseline'!$C$9:$R$257,8,FALSE))</f>
        <v/>
      </c>
      <c r="J251" s="382" t="str">
        <f>IF(I251="","",VLOOKUP($B251,'F-1 Off-Site WaterC'' Baseline'!$C$9:$R$257,9,FALSE))</f>
        <v/>
      </c>
      <c r="K251" s="382" t="str">
        <f>IF(J251="","",VLOOKUP($B251,'F-1 Off-Site WaterC'' Baseline'!$C$9:$R$257,10,FALSE))</f>
        <v/>
      </c>
      <c r="L251" s="382" t="str">
        <f>IF(B251="","",VLOOKUP($B251,'F-1 Off-Site WaterC'' Baseline'!$C$9:$R$257,15,FALSE))</f>
        <v/>
      </c>
      <c r="M251" s="386" t="str">
        <f>IF(L251="","",VLOOKUP($B251,'F-1 Off-Site WaterC'' Baseline'!$C$9:$R$257,16,FALSE))</f>
        <v/>
      </c>
      <c r="N251" s="316" t="str">
        <f t="shared" si="30"/>
        <v/>
      </c>
      <c r="O251" s="362" t="str">
        <f t="shared" si="31"/>
        <v/>
      </c>
      <c r="P251" s="363" t="str">
        <f>IF(C251="","",IF(AND(LEFT(C251,55)&lt;&gt;LEFT(N251,55),O251="High - High"),"Error - Not like for like ▲",IF(H251&gt;U251,"Error - Can not reduce condition ▲",IF(AND(F251=S251,H251=U251,AJ251='F-1 Off-Site WaterC'' Baseline'!N249,'F-1 Off-Site WaterC'' Baseline'!P249=AL251),"Error - No enhancement ▲",IF(AND(C251&lt;&gt;N251,F251&lt;S251),"Lower Distinctiveness Habitat"&amp;" - "&amp;T251,G251&amp;" - "&amp;T251)))))</f>
        <v/>
      </c>
      <c r="Q251" s="368" t="str">
        <f>IF(N251="","",VLOOKUP(B251,'F-1 Off-Site WaterC'' Baseline'!$C$10:$AE$257,22,FALSE))</f>
        <v/>
      </c>
      <c r="R251" s="362" t="str">
        <f>IF(N251="","",VLOOKUP(N251,'G-7 WaterC'' Data'!$B$2:$G$8,2,FALSE))</f>
        <v/>
      </c>
      <c r="S251" s="363" t="str">
        <f>IFERROR(VLOOKUP(R251,'G-7 WaterC'' Data'!$C$4:$D$8,2,FALSE),"")</f>
        <v/>
      </c>
      <c r="T251" s="114"/>
      <c r="U251" s="363" t="str">
        <f>IFERROR(INDEX('G-7 WaterC'' Data'!$H$4:$L$8,MATCH(N251,'G-7 WaterC'' Data'!$B$4:$B$8,0),MATCH(T251,'G-7 WaterC'' Data'!$H$3:$L$3,0)),"")</f>
        <v/>
      </c>
      <c r="V251" s="122"/>
      <c r="W251" s="382" t="str">
        <f>IF(V251="","",IF(VLOOKUP(V251,'G-7 WaterC'' Data'!$AK$4:$AM$6,2,FALSE)=0,"Spatial Data Missing ⚠",VLOOKUP(V251,'G-7 WaterC'' Data'!$AK$4:$AM$6,2,FALSE)))</f>
        <v/>
      </c>
      <c r="X251" s="386" t="str">
        <f>IF(V251="","",IF(VLOOKUP(V251,'G-7 WaterC'' Data'!$AK$4:$AM$6,3,FALSE)=0,"Spatial Data Missing ⚠",VLOOKUP(V251,'G-7 WaterC'' Data'!$AK$4:$AM$6,3,FALSE)))</f>
        <v/>
      </c>
      <c r="Y251" s="398" t="str">
        <f>IFERROR(IF(OR(LEFT(P251,5)="Error",LEFT(O251,5)="Error"),"Check Data ⚠",IF(F251&lt;S251,'G-7 WaterC'' Data'!$R$3,INDEX('G-7 WaterC'' Data'!$U$5:$Y$9,MATCH(G251,'G-7 WaterC'' Data'!$T$5:$T$9,0),MATCH(T251,'G-7 WaterC'' Data'!$U$4:$Y$4,0)))),"")</f>
        <v/>
      </c>
      <c r="Z251" s="165"/>
      <c r="AA251" s="165"/>
      <c r="AB251" s="395" t="str">
        <f t="shared" si="27"/>
        <v/>
      </c>
      <c r="AC251" s="383" t="str">
        <f t="shared" si="32"/>
        <v/>
      </c>
      <c r="AD251" s="422" t="str">
        <f>IFERROR(IF(AC251="Check Data ⚠","Check Data ⚠",VLOOKUP(AC251,'G-4 Temporal multipliers'!$A$4:$C$37,3,FALSE)),"")</f>
        <v/>
      </c>
      <c r="AE251" s="398" t="str">
        <f>IF(N251="","",VLOOKUP(N251,'G-7 WaterC'' Data'!$B$4:$G$8,5,FALSE))</f>
        <v/>
      </c>
      <c r="AF251" s="382" t="str">
        <f t="shared" si="28"/>
        <v/>
      </c>
      <c r="AG251" s="382" t="str">
        <f t="shared" si="33"/>
        <v/>
      </c>
      <c r="AH251" s="386" t="str">
        <f t="shared" si="29"/>
        <v/>
      </c>
      <c r="AI251" s="122"/>
      <c r="AJ251" s="363" t="str">
        <f>IF(AI251="","",IF(VLOOKUP(AI251,'G-7 WaterC'' Data'!$AA$4:$AB$7,2,FALSE)=0,"Spatial Data Missing ⚠",VLOOKUP(AI251,'G-7 WaterC'' Data'!$AA$4:$AB$7,2,FALSE)))</f>
        <v/>
      </c>
      <c r="AK251" s="123"/>
      <c r="AL251" s="397" t="str">
        <f>IF(AK251="","",IF(VLOOKUP(AK251,'G-7 WaterC'' Data'!$AD$4:$AE$14,2,FALSE)=0,"Spatial Data Missing ⚠",VLOOKUP(AK251,'G-7 WaterC'' Data'!$AD$4:$AE$14,2,FALSE)))</f>
        <v/>
      </c>
      <c r="AM251" s="122"/>
      <c r="AN251" s="363" t="str">
        <f>IF(AM251="","",IF(VLOOKUP(AM251,'G-7 WaterC'' Data'!$AO$4:$BO$7,2,FALSE)=0,"Spatial Data Missing ⚠",VLOOKUP(AM251,'G-7 WaterC'' Data'!$AO$4:$BO$7,2,FALSE)))</f>
        <v/>
      </c>
      <c r="AO251" s="405" t="str">
        <f t="shared" si="34"/>
        <v/>
      </c>
      <c r="AP251" s="405" t="str">
        <f t="shared" si="35"/>
        <v/>
      </c>
      <c r="AQ251" s="194"/>
      <c r="AR251" s="195"/>
      <c r="AS251" s="120"/>
      <c r="AT251" s="120"/>
      <c r="AY251" s="30" t="str">
        <f>IFERROR(INDEX('G-7 WaterC'' Data'!$AZ$3:$AZ$7,MATCH(N251,'G-7 WaterC'' Data'!$AY$3:$AY$7,0)),"")</f>
        <v/>
      </c>
    </row>
    <row r="252" spans="2:51" ht="15">
      <c r="B252" s="392" t="str">
        <f>'F-1 Off-Site WaterC'' Baseline'!AR250</f>
        <v/>
      </c>
      <c r="C252" s="382" t="str">
        <f>IF(B252="","",VLOOKUP($B252,'F-1 Off-Site WaterC'' Baseline'!$C$9:$R$257,2,FALSE))</f>
        <v/>
      </c>
      <c r="D252" s="382" t="str">
        <f>IF(C252="","",VLOOKUP($B252,'F-1 Off-Site WaterC'' Baseline'!$C$9:$R$257,3,FALSE))</f>
        <v/>
      </c>
      <c r="E252" s="382" t="str">
        <f>IF(D252="","",VLOOKUP($B252,'F-1 Off-Site WaterC'' Baseline'!$C$9:$R$257,4,FALSE))</f>
        <v/>
      </c>
      <c r="F252" s="382" t="str">
        <f>IF(E252="","",VLOOKUP($B252,'F-1 Off-Site WaterC'' Baseline'!$C$9:$R$257,5,FALSE))</f>
        <v/>
      </c>
      <c r="G252" s="382" t="str">
        <f>IF(F252="","",VLOOKUP($B252,'F-1 Off-Site WaterC'' Baseline'!$C$9:$R$257,6,FALSE))</f>
        <v/>
      </c>
      <c r="H252" s="382" t="str">
        <f>IF(G252="","",VLOOKUP($B252,'F-1 Off-Site WaterC'' Baseline'!$C$9:$R$257,7,FALSE))</f>
        <v/>
      </c>
      <c r="I252" s="382" t="str">
        <f>IF(H252="","",VLOOKUP($B252,'F-1 Off-Site WaterC'' Baseline'!$C$9:$R$257,8,FALSE))</f>
        <v/>
      </c>
      <c r="J252" s="382" t="str">
        <f>IF(I252="","",VLOOKUP($B252,'F-1 Off-Site WaterC'' Baseline'!$C$9:$R$257,9,FALSE))</f>
        <v/>
      </c>
      <c r="K252" s="382" t="str">
        <f>IF(J252="","",VLOOKUP($B252,'F-1 Off-Site WaterC'' Baseline'!$C$9:$R$257,10,FALSE))</f>
        <v/>
      </c>
      <c r="L252" s="382" t="str">
        <f>IF(B252="","",VLOOKUP($B252,'F-1 Off-Site WaterC'' Baseline'!$C$9:$R$257,15,FALSE))</f>
        <v/>
      </c>
      <c r="M252" s="386" t="str">
        <f>IF(L252="","",VLOOKUP($B252,'F-1 Off-Site WaterC'' Baseline'!$C$9:$R$257,16,FALSE))</f>
        <v/>
      </c>
      <c r="N252" s="316" t="str">
        <f t="shared" si="30"/>
        <v/>
      </c>
      <c r="O252" s="362" t="str">
        <f t="shared" si="31"/>
        <v/>
      </c>
      <c r="P252" s="363" t="str">
        <f>IF(C252="","",IF(AND(LEFT(C252,55)&lt;&gt;LEFT(N252,55),O252="High - High"),"Error - Not like for like ▲",IF(H252&gt;U252,"Error - Can not reduce condition ▲",IF(AND(F252=S252,H252=U252,AJ252='F-1 Off-Site WaterC'' Baseline'!N250,'F-1 Off-Site WaterC'' Baseline'!P250=AL252),"Error - No enhancement ▲",IF(AND(C252&lt;&gt;N252,F252&lt;S252),"Lower Distinctiveness Habitat"&amp;" - "&amp;T252,G252&amp;" - "&amp;T252)))))</f>
        <v/>
      </c>
      <c r="Q252" s="368" t="str">
        <f>IF(N252="","",VLOOKUP(B252,'F-1 Off-Site WaterC'' Baseline'!$C$10:$AE$257,22,FALSE))</f>
        <v/>
      </c>
      <c r="R252" s="362" t="str">
        <f>IF(N252="","",VLOOKUP(N252,'G-7 WaterC'' Data'!$B$2:$G$8,2,FALSE))</f>
        <v/>
      </c>
      <c r="S252" s="363" t="str">
        <f>IFERROR(VLOOKUP(R252,'G-7 WaterC'' Data'!$C$4:$D$8,2,FALSE),"")</f>
        <v/>
      </c>
      <c r="T252" s="114"/>
      <c r="U252" s="363" t="str">
        <f>IFERROR(INDEX('G-7 WaterC'' Data'!$H$4:$L$8,MATCH(N252,'G-7 WaterC'' Data'!$B$4:$B$8,0),MATCH(T252,'G-7 WaterC'' Data'!$H$3:$L$3,0)),"")</f>
        <v/>
      </c>
      <c r="V252" s="122"/>
      <c r="W252" s="382" t="str">
        <f>IF(V252="","",IF(VLOOKUP(V252,'G-7 WaterC'' Data'!$AK$4:$AM$6,2,FALSE)=0,"Spatial Data Missing ⚠",VLOOKUP(V252,'G-7 WaterC'' Data'!$AK$4:$AM$6,2,FALSE)))</f>
        <v/>
      </c>
      <c r="X252" s="386" t="str">
        <f>IF(V252="","",IF(VLOOKUP(V252,'G-7 WaterC'' Data'!$AK$4:$AM$6,3,FALSE)=0,"Spatial Data Missing ⚠",VLOOKUP(V252,'G-7 WaterC'' Data'!$AK$4:$AM$6,3,FALSE)))</f>
        <v/>
      </c>
      <c r="Y252" s="398" t="str">
        <f>IFERROR(IF(OR(LEFT(P252,5)="Error",LEFT(O252,5)="Error"),"Check Data ⚠",IF(F252&lt;S252,'G-7 WaterC'' Data'!$R$3,INDEX('G-7 WaterC'' Data'!$U$5:$Y$9,MATCH(G252,'G-7 WaterC'' Data'!$T$5:$T$9,0),MATCH(T252,'G-7 WaterC'' Data'!$U$4:$Y$4,0)))),"")</f>
        <v/>
      </c>
      <c r="Z252" s="165"/>
      <c r="AA252" s="165"/>
      <c r="AB252" s="395" t="str">
        <f t="shared" si="27"/>
        <v/>
      </c>
      <c r="AC252" s="383" t="str">
        <f t="shared" si="32"/>
        <v/>
      </c>
      <c r="AD252" s="422" t="str">
        <f>IFERROR(IF(AC252="Check Data ⚠","Check Data ⚠",VLOOKUP(AC252,'G-4 Temporal multipliers'!$A$4:$C$37,3,FALSE)),"")</f>
        <v/>
      </c>
      <c r="AE252" s="398" t="str">
        <f>IF(N252="","",VLOOKUP(N252,'G-7 WaterC'' Data'!$B$4:$G$8,5,FALSE))</f>
        <v/>
      </c>
      <c r="AF252" s="382" t="str">
        <f t="shared" si="28"/>
        <v/>
      </c>
      <c r="AG252" s="382" t="str">
        <f t="shared" si="33"/>
        <v/>
      </c>
      <c r="AH252" s="386" t="str">
        <f t="shared" si="29"/>
        <v/>
      </c>
      <c r="AI252" s="122"/>
      <c r="AJ252" s="363" t="str">
        <f>IF(AI252="","",IF(VLOOKUP(AI252,'G-7 WaterC'' Data'!$AA$4:$AB$7,2,FALSE)=0,"Spatial Data Missing ⚠",VLOOKUP(AI252,'G-7 WaterC'' Data'!$AA$4:$AB$7,2,FALSE)))</f>
        <v/>
      </c>
      <c r="AK252" s="123"/>
      <c r="AL252" s="397" t="str">
        <f>IF(AK252="","",IF(VLOOKUP(AK252,'G-7 WaterC'' Data'!$AD$4:$AE$14,2,FALSE)=0,"Spatial Data Missing ⚠",VLOOKUP(AK252,'G-7 WaterC'' Data'!$AD$4:$AE$14,2,FALSE)))</f>
        <v/>
      </c>
      <c r="AM252" s="122"/>
      <c r="AN252" s="363" t="str">
        <f>IF(AM252="","",IF(VLOOKUP(AM252,'G-7 WaterC'' Data'!$AO$4:$BO$7,2,FALSE)=0,"Spatial Data Missing ⚠",VLOOKUP(AM252,'G-7 WaterC'' Data'!$AO$4:$BO$7,2,FALSE)))</f>
        <v/>
      </c>
      <c r="AO252" s="405" t="str">
        <f t="shared" si="34"/>
        <v/>
      </c>
      <c r="AP252" s="405" t="str">
        <f t="shared" si="35"/>
        <v/>
      </c>
      <c r="AQ252" s="194"/>
      <c r="AR252" s="195"/>
      <c r="AS252" s="120"/>
      <c r="AT252" s="120"/>
      <c r="AY252" s="30" t="str">
        <f>IFERROR(INDEX('G-7 WaterC'' Data'!$AZ$3:$AZ$7,MATCH(N252,'G-7 WaterC'' Data'!$AY$3:$AY$7,0)),"")</f>
        <v/>
      </c>
    </row>
    <row r="253" spans="2:51" ht="15">
      <c r="B253" s="392" t="str">
        <f>'F-1 Off-Site WaterC'' Baseline'!AR251</f>
        <v/>
      </c>
      <c r="C253" s="382" t="str">
        <f>IF(B253="","",VLOOKUP($B253,'F-1 Off-Site WaterC'' Baseline'!$C$9:$R$257,2,FALSE))</f>
        <v/>
      </c>
      <c r="D253" s="382" t="str">
        <f>IF(C253="","",VLOOKUP($B253,'F-1 Off-Site WaterC'' Baseline'!$C$9:$R$257,3,FALSE))</f>
        <v/>
      </c>
      <c r="E253" s="382" t="str">
        <f>IF(D253="","",VLOOKUP($B253,'F-1 Off-Site WaterC'' Baseline'!$C$9:$R$257,4,FALSE))</f>
        <v/>
      </c>
      <c r="F253" s="382" t="str">
        <f>IF(E253="","",VLOOKUP($B253,'F-1 Off-Site WaterC'' Baseline'!$C$9:$R$257,5,FALSE))</f>
        <v/>
      </c>
      <c r="G253" s="382" t="str">
        <f>IF(F253="","",VLOOKUP($B253,'F-1 Off-Site WaterC'' Baseline'!$C$9:$R$257,6,FALSE))</f>
        <v/>
      </c>
      <c r="H253" s="382" t="str">
        <f>IF(G253="","",VLOOKUP($B253,'F-1 Off-Site WaterC'' Baseline'!$C$9:$R$257,7,FALSE))</f>
        <v/>
      </c>
      <c r="I253" s="382" t="str">
        <f>IF(H253="","",VLOOKUP($B253,'F-1 Off-Site WaterC'' Baseline'!$C$9:$R$257,8,FALSE))</f>
        <v/>
      </c>
      <c r="J253" s="382" t="str">
        <f>IF(I253="","",VLOOKUP($B253,'F-1 Off-Site WaterC'' Baseline'!$C$9:$R$257,9,FALSE))</f>
        <v/>
      </c>
      <c r="K253" s="382" t="str">
        <f>IF(J253="","",VLOOKUP($B253,'F-1 Off-Site WaterC'' Baseline'!$C$9:$R$257,10,FALSE))</f>
        <v/>
      </c>
      <c r="L253" s="382" t="str">
        <f>IF(B253="","",VLOOKUP($B253,'F-1 Off-Site WaterC'' Baseline'!$C$9:$R$257,15,FALSE))</f>
        <v/>
      </c>
      <c r="M253" s="386" t="str">
        <f>IF(L253="","",VLOOKUP($B253,'F-1 Off-Site WaterC'' Baseline'!$C$9:$R$257,16,FALSE))</f>
        <v/>
      </c>
      <c r="N253" s="316" t="str">
        <f t="shared" si="30"/>
        <v/>
      </c>
      <c r="O253" s="362" t="str">
        <f t="shared" si="31"/>
        <v/>
      </c>
      <c r="P253" s="363" t="str">
        <f>IF(C253="","",IF(AND(LEFT(C253,55)&lt;&gt;LEFT(N253,55),O253="High - High"),"Error - Not like for like ▲",IF(H253&gt;U253,"Error - Can not reduce condition ▲",IF(AND(F253=S253,H253=U253,AJ253='F-1 Off-Site WaterC'' Baseline'!N251,'F-1 Off-Site WaterC'' Baseline'!P251=AL253),"Error - No enhancement ▲",IF(AND(C253&lt;&gt;N253,F253&lt;S253),"Lower Distinctiveness Habitat"&amp;" - "&amp;T253,G253&amp;" - "&amp;T253)))))</f>
        <v/>
      </c>
      <c r="Q253" s="368" t="str">
        <f>IF(N253="","",VLOOKUP(B253,'F-1 Off-Site WaterC'' Baseline'!$C$10:$AE$257,22,FALSE))</f>
        <v/>
      </c>
      <c r="R253" s="362" t="str">
        <f>IF(N253="","",VLOOKUP(N253,'G-7 WaterC'' Data'!$B$2:$G$8,2,FALSE))</f>
        <v/>
      </c>
      <c r="S253" s="363" t="str">
        <f>IFERROR(VLOOKUP(R253,'G-7 WaterC'' Data'!$C$4:$D$8,2,FALSE),"")</f>
        <v/>
      </c>
      <c r="T253" s="114"/>
      <c r="U253" s="363" t="str">
        <f>IFERROR(INDEX('G-7 WaterC'' Data'!$H$4:$L$8,MATCH(N253,'G-7 WaterC'' Data'!$B$4:$B$8,0),MATCH(T253,'G-7 WaterC'' Data'!$H$3:$L$3,0)),"")</f>
        <v/>
      </c>
      <c r="V253" s="122"/>
      <c r="W253" s="382" t="str">
        <f>IF(V253="","",IF(VLOOKUP(V253,'G-7 WaterC'' Data'!$AK$4:$AM$6,2,FALSE)=0,"Spatial Data Missing ⚠",VLOOKUP(V253,'G-7 WaterC'' Data'!$AK$4:$AM$6,2,FALSE)))</f>
        <v/>
      </c>
      <c r="X253" s="386" t="str">
        <f>IF(V253="","",IF(VLOOKUP(V253,'G-7 WaterC'' Data'!$AK$4:$AM$6,3,FALSE)=0,"Spatial Data Missing ⚠",VLOOKUP(V253,'G-7 WaterC'' Data'!$AK$4:$AM$6,3,FALSE)))</f>
        <v/>
      </c>
      <c r="Y253" s="398" t="str">
        <f>IFERROR(IF(OR(LEFT(P253,5)="Error",LEFT(O253,5)="Error"),"Check Data ⚠",IF(F253&lt;S253,'G-7 WaterC'' Data'!$R$3,INDEX('G-7 WaterC'' Data'!$U$5:$Y$9,MATCH(G253,'G-7 WaterC'' Data'!$T$5:$T$9,0),MATCH(T253,'G-7 WaterC'' Data'!$U$4:$Y$4,0)))),"")</f>
        <v/>
      </c>
      <c r="Z253" s="165"/>
      <c r="AA253" s="165"/>
      <c r="AB253" s="395" t="str">
        <f t="shared" si="27"/>
        <v/>
      </c>
      <c r="AC253" s="383" t="str">
        <f t="shared" si="32"/>
        <v/>
      </c>
      <c r="AD253" s="422" t="str">
        <f>IFERROR(IF(AC253="Check Data ⚠","Check Data ⚠",VLOOKUP(AC253,'G-4 Temporal multipliers'!$A$4:$C$37,3,FALSE)),"")</f>
        <v/>
      </c>
      <c r="AE253" s="398" t="str">
        <f>IF(N253="","",VLOOKUP(N253,'G-7 WaterC'' Data'!$B$4:$G$8,5,FALSE))</f>
        <v/>
      </c>
      <c r="AF253" s="382" t="str">
        <f t="shared" si="28"/>
        <v/>
      </c>
      <c r="AG253" s="382" t="str">
        <f t="shared" si="33"/>
        <v/>
      </c>
      <c r="AH253" s="386" t="str">
        <f t="shared" si="29"/>
        <v/>
      </c>
      <c r="AI253" s="122"/>
      <c r="AJ253" s="363" t="str">
        <f>IF(AI253="","",IF(VLOOKUP(AI253,'G-7 WaterC'' Data'!$AA$4:$AB$7,2,FALSE)=0,"Spatial Data Missing ⚠",VLOOKUP(AI253,'G-7 WaterC'' Data'!$AA$4:$AB$7,2,FALSE)))</f>
        <v/>
      </c>
      <c r="AK253" s="123"/>
      <c r="AL253" s="397" t="str">
        <f>IF(AK253="","",IF(VLOOKUP(AK253,'G-7 WaterC'' Data'!$AD$4:$AE$14,2,FALSE)=0,"Spatial Data Missing ⚠",VLOOKUP(AK253,'G-7 WaterC'' Data'!$AD$4:$AE$14,2,FALSE)))</f>
        <v/>
      </c>
      <c r="AM253" s="122"/>
      <c r="AN253" s="363" t="str">
        <f>IF(AM253="","",IF(VLOOKUP(AM253,'G-7 WaterC'' Data'!$AO$4:$BO$7,2,FALSE)=0,"Spatial Data Missing ⚠",VLOOKUP(AM253,'G-7 WaterC'' Data'!$AO$4:$BO$7,2,FALSE)))</f>
        <v/>
      </c>
      <c r="AO253" s="405" t="str">
        <f t="shared" si="34"/>
        <v/>
      </c>
      <c r="AP253" s="405" t="str">
        <f t="shared" si="35"/>
        <v/>
      </c>
      <c r="AQ253" s="194"/>
      <c r="AR253" s="195"/>
      <c r="AS253" s="120"/>
      <c r="AT253" s="120"/>
      <c r="AY253" s="30" t="str">
        <f>IFERROR(INDEX('G-7 WaterC'' Data'!$AZ$3:$AZ$7,MATCH(N253,'G-7 WaterC'' Data'!$AY$3:$AY$7,0)),"")</f>
        <v/>
      </c>
    </row>
    <row r="254" spans="2:51" ht="15">
      <c r="B254" s="392" t="str">
        <f>'F-1 Off-Site WaterC'' Baseline'!AR252</f>
        <v/>
      </c>
      <c r="C254" s="382" t="str">
        <f>IF(B254="","",VLOOKUP($B254,'F-1 Off-Site WaterC'' Baseline'!$C$9:$R$257,2,FALSE))</f>
        <v/>
      </c>
      <c r="D254" s="382" t="str">
        <f>IF(C254="","",VLOOKUP($B254,'F-1 Off-Site WaterC'' Baseline'!$C$9:$R$257,3,FALSE))</f>
        <v/>
      </c>
      <c r="E254" s="382" t="str">
        <f>IF(D254="","",VLOOKUP($B254,'F-1 Off-Site WaterC'' Baseline'!$C$9:$R$257,4,FALSE))</f>
        <v/>
      </c>
      <c r="F254" s="382" t="str">
        <f>IF(E254="","",VLOOKUP($B254,'F-1 Off-Site WaterC'' Baseline'!$C$9:$R$257,5,FALSE))</f>
        <v/>
      </c>
      <c r="G254" s="382" t="str">
        <f>IF(F254="","",VLOOKUP($B254,'F-1 Off-Site WaterC'' Baseline'!$C$9:$R$257,6,FALSE))</f>
        <v/>
      </c>
      <c r="H254" s="382" t="str">
        <f>IF(G254="","",VLOOKUP($B254,'F-1 Off-Site WaterC'' Baseline'!$C$9:$R$257,7,FALSE))</f>
        <v/>
      </c>
      <c r="I254" s="382" t="str">
        <f>IF(H254="","",VLOOKUP($B254,'F-1 Off-Site WaterC'' Baseline'!$C$9:$R$257,8,FALSE))</f>
        <v/>
      </c>
      <c r="J254" s="382" t="str">
        <f>IF(I254="","",VLOOKUP($B254,'F-1 Off-Site WaterC'' Baseline'!$C$9:$R$257,9,FALSE))</f>
        <v/>
      </c>
      <c r="K254" s="382" t="str">
        <f>IF(J254="","",VLOOKUP($B254,'F-1 Off-Site WaterC'' Baseline'!$C$9:$R$257,10,FALSE))</f>
        <v/>
      </c>
      <c r="L254" s="382" t="str">
        <f>IF(B254="","",VLOOKUP($B254,'F-1 Off-Site WaterC'' Baseline'!$C$9:$R$257,15,FALSE))</f>
        <v/>
      </c>
      <c r="M254" s="386" t="str">
        <f>IF(L254="","",VLOOKUP($B254,'F-1 Off-Site WaterC'' Baseline'!$C$9:$R$257,16,FALSE))</f>
        <v/>
      </c>
      <c r="N254" s="316" t="str">
        <f t="shared" si="30"/>
        <v/>
      </c>
      <c r="O254" s="362" t="str">
        <f t="shared" si="31"/>
        <v/>
      </c>
      <c r="P254" s="363" t="str">
        <f>IF(C254="","",IF(AND(LEFT(C254,55)&lt;&gt;LEFT(N254,55),O254="High - High"),"Error - Not like for like ▲",IF(H254&gt;U254,"Error - Can not reduce condition ▲",IF(AND(F254=S254,H254=U254,AJ254='F-1 Off-Site WaterC'' Baseline'!N252,'F-1 Off-Site WaterC'' Baseline'!P252=AL254),"Error - No enhancement ▲",IF(AND(C254&lt;&gt;N254,F254&lt;S254),"Lower Distinctiveness Habitat"&amp;" - "&amp;T254,G254&amp;" - "&amp;T254)))))</f>
        <v/>
      </c>
      <c r="Q254" s="368" t="str">
        <f>IF(N254="","",VLOOKUP(B254,'F-1 Off-Site WaterC'' Baseline'!$C$10:$AE$257,22,FALSE))</f>
        <v/>
      </c>
      <c r="R254" s="362" t="str">
        <f>IF(N254="","",VLOOKUP(N254,'G-7 WaterC'' Data'!$B$2:$G$8,2,FALSE))</f>
        <v/>
      </c>
      <c r="S254" s="363" t="str">
        <f>IFERROR(VLOOKUP(R254,'G-7 WaterC'' Data'!$C$4:$D$8,2,FALSE),"")</f>
        <v/>
      </c>
      <c r="T254" s="114"/>
      <c r="U254" s="363" t="str">
        <f>IFERROR(INDEX('G-7 WaterC'' Data'!$H$4:$L$8,MATCH(N254,'G-7 WaterC'' Data'!$B$4:$B$8,0),MATCH(T254,'G-7 WaterC'' Data'!$H$3:$L$3,0)),"")</f>
        <v/>
      </c>
      <c r="V254" s="122"/>
      <c r="W254" s="382" t="str">
        <f>IF(V254="","",IF(VLOOKUP(V254,'G-7 WaterC'' Data'!$AK$4:$AM$6,2,FALSE)=0,"Spatial Data Missing ⚠",VLOOKUP(V254,'G-7 WaterC'' Data'!$AK$4:$AM$6,2,FALSE)))</f>
        <v/>
      </c>
      <c r="X254" s="386" t="str">
        <f>IF(V254="","",IF(VLOOKUP(V254,'G-7 WaterC'' Data'!$AK$4:$AM$6,3,FALSE)=0,"Spatial Data Missing ⚠",VLOOKUP(V254,'G-7 WaterC'' Data'!$AK$4:$AM$6,3,FALSE)))</f>
        <v/>
      </c>
      <c r="Y254" s="398" t="str">
        <f>IFERROR(IF(OR(LEFT(P254,5)="Error",LEFT(O254,5)="Error"),"Check Data ⚠",IF(F254&lt;S254,'G-7 WaterC'' Data'!$R$3,INDEX('G-7 WaterC'' Data'!$U$5:$Y$9,MATCH(G254,'G-7 WaterC'' Data'!$T$5:$T$9,0),MATCH(T254,'G-7 WaterC'' Data'!$U$4:$Y$4,0)))),"")</f>
        <v/>
      </c>
      <c r="Z254" s="165"/>
      <c r="AA254" s="165"/>
      <c r="AB254" s="395" t="str">
        <f t="shared" si="27"/>
        <v/>
      </c>
      <c r="AC254" s="383" t="str">
        <f t="shared" si="32"/>
        <v/>
      </c>
      <c r="AD254" s="422" t="str">
        <f>IFERROR(IF(AC254="Check Data ⚠","Check Data ⚠",VLOOKUP(AC254,'G-4 Temporal multipliers'!$A$4:$C$37,3,FALSE)),"")</f>
        <v/>
      </c>
      <c r="AE254" s="398" t="str">
        <f>IF(N254="","",VLOOKUP(N254,'G-7 WaterC'' Data'!$B$4:$G$8,5,FALSE))</f>
        <v/>
      </c>
      <c r="AF254" s="382" t="str">
        <f t="shared" si="28"/>
        <v/>
      </c>
      <c r="AG254" s="382" t="str">
        <f t="shared" si="33"/>
        <v/>
      </c>
      <c r="AH254" s="386" t="str">
        <f t="shared" si="29"/>
        <v/>
      </c>
      <c r="AI254" s="122"/>
      <c r="AJ254" s="363" t="str">
        <f>IF(AI254="","",IF(VLOOKUP(AI254,'G-7 WaterC'' Data'!$AA$4:$AB$7,2,FALSE)=0,"Spatial Data Missing ⚠",VLOOKUP(AI254,'G-7 WaterC'' Data'!$AA$4:$AB$7,2,FALSE)))</f>
        <v/>
      </c>
      <c r="AK254" s="123"/>
      <c r="AL254" s="397" t="str">
        <f>IF(AK254="","",IF(VLOOKUP(AK254,'G-7 WaterC'' Data'!$AD$4:$AE$14,2,FALSE)=0,"Spatial Data Missing ⚠",VLOOKUP(AK254,'G-7 WaterC'' Data'!$AD$4:$AE$14,2,FALSE)))</f>
        <v/>
      </c>
      <c r="AM254" s="122"/>
      <c r="AN254" s="363" t="str">
        <f>IF(AM254="","",IF(VLOOKUP(AM254,'G-7 WaterC'' Data'!$AO$4:$BO$7,2,FALSE)=0,"Spatial Data Missing ⚠",VLOOKUP(AM254,'G-7 WaterC'' Data'!$AO$4:$BO$7,2,FALSE)))</f>
        <v/>
      </c>
      <c r="AO254" s="405" t="str">
        <f t="shared" si="34"/>
        <v/>
      </c>
      <c r="AP254" s="405" t="str">
        <f t="shared" si="35"/>
        <v/>
      </c>
      <c r="AQ254" s="194"/>
      <c r="AR254" s="195"/>
      <c r="AS254" s="120"/>
      <c r="AT254" s="120"/>
      <c r="AY254" s="30" t="str">
        <f>IFERROR(INDEX('G-7 WaterC'' Data'!$AZ$3:$AZ$7,MATCH(N254,'G-7 WaterC'' Data'!$AY$3:$AY$7,0)),"")</f>
        <v/>
      </c>
    </row>
    <row r="255" spans="2:51" ht="15">
      <c r="B255" s="392" t="str">
        <f>'F-1 Off-Site WaterC'' Baseline'!AR253</f>
        <v/>
      </c>
      <c r="C255" s="382" t="str">
        <f>IF(B255="","",VLOOKUP($B255,'F-1 Off-Site WaterC'' Baseline'!$C$9:$R$257,2,FALSE))</f>
        <v/>
      </c>
      <c r="D255" s="382" t="str">
        <f>IF(C255="","",VLOOKUP($B255,'F-1 Off-Site WaterC'' Baseline'!$C$9:$R$257,3,FALSE))</f>
        <v/>
      </c>
      <c r="E255" s="382" t="str">
        <f>IF(D255="","",VLOOKUP($B255,'F-1 Off-Site WaterC'' Baseline'!$C$9:$R$257,4,FALSE))</f>
        <v/>
      </c>
      <c r="F255" s="382" t="str">
        <f>IF(E255="","",VLOOKUP($B255,'F-1 Off-Site WaterC'' Baseline'!$C$9:$R$257,5,FALSE))</f>
        <v/>
      </c>
      <c r="G255" s="382" t="str">
        <f>IF(F255="","",VLOOKUP($B255,'F-1 Off-Site WaterC'' Baseline'!$C$9:$R$257,6,FALSE))</f>
        <v/>
      </c>
      <c r="H255" s="382" t="str">
        <f>IF(G255="","",VLOOKUP($B255,'F-1 Off-Site WaterC'' Baseline'!$C$9:$R$257,7,FALSE))</f>
        <v/>
      </c>
      <c r="I255" s="382" t="str">
        <f>IF(H255="","",VLOOKUP($B255,'F-1 Off-Site WaterC'' Baseline'!$C$9:$R$257,8,FALSE))</f>
        <v/>
      </c>
      <c r="J255" s="382" t="str">
        <f>IF(I255="","",VLOOKUP($B255,'F-1 Off-Site WaterC'' Baseline'!$C$9:$R$257,9,FALSE))</f>
        <v/>
      </c>
      <c r="K255" s="382" t="str">
        <f>IF(J255="","",VLOOKUP($B255,'F-1 Off-Site WaterC'' Baseline'!$C$9:$R$257,10,FALSE))</f>
        <v/>
      </c>
      <c r="L255" s="382" t="str">
        <f>IF(B255="","",VLOOKUP($B255,'F-1 Off-Site WaterC'' Baseline'!$C$9:$R$257,15,FALSE))</f>
        <v/>
      </c>
      <c r="M255" s="386" t="str">
        <f>IF(L255="","",VLOOKUP($B255,'F-1 Off-Site WaterC'' Baseline'!$C$9:$R$257,16,FALSE))</f>
        <v/>
      </c>
      <c r="N255" s="316" t="str">
        <f t="shared" si="30"/>
        <v/>
      </c>
      <c r="O255" s="362" t="str">
        <f t="shared" si="31"/>
        <v/>
      </c>
      <c r="P255" s="363" t="str">
        <f>IF(C255="","",IF(AND(LEFT(C255,55)&lt;&gt;LEFT(N255,55),O255="High - High"),"Error - Not like for like ▲",IF(H255&gt;U255,"Error - Can not reduce condition ▲",IF(AND(F255=S255,H255=U255,AJ255='F-1 Off-Site WaterC'' Baseline'!N253,'F-1 Off-Site WaterC'' Baseline'!P253=AL255),"Error - No enhancement ▲",IF(AND(C255&lt;&gt;N255,F255&lt;S255),"Lower Distinctiveness Habitat"&amp;" - "&amp;T255,G255&amp;" - "&amp;T255)))))</f>
        <v/>
      </c>
      <c r="Q255" s="368" t="str">
        <f>IF(N255="","",VLOOKUP(B255,'F-1 Off-Site WaterC'' Baseline'!$C$10:$AE$257,22,FALSE))</f>
        <v/>
      </c>
      <c r="R255" s="362" t="str">
        <f>IF(N255="","",VLOOKUP(N255,'G-7 WaterC'' Data'!$B$2:$G$8,2,FALSE))</f>
        <v/>
      </c>
      <c r="S255" s="363" t="str">
        <f>IFERROR(VLOOKUP(R255,'G-7 WaterC'' Data'!$C$4:$D$8,2,FALSE),"")</f>
        <v/>
      </c>
      <c r="T255" s="114"/>
      <c r="U255" s="363" t="str">
        <f>IFERROR(INDEX('G-7 WaterC'' Data'!$H$4:$L$8,MATCH(N255,'G-7 WaterC'' Data'!$B$4:$B$8,0),MATCH(T255,'G-7 WaterC'' Data'!$H$3:$L$3,0)),"")</f>
        <v/>
      </c>
      <c r="V255" s="122"/>
      <c r="W255" s="382" t="str">
        <f>IF(V255="","",IF(VLOOKUP(V255,'G-7 WaterC'' Data'!$AK$4:$AM$6,2,FALSE)=0,"Spatial Data Missing ⚠",VLOOKUP(V255,'G-7 WaterC'' Data'!$AK$4:$AM$6,2,FALSE)))</f>
        <v/>
      </c>
      <c r="X255" s="386" t="str">
        <f>IF(V255="","",IF(VLOOKUP(V255,'G-7 WaterC'' Data'!$AK$4:$AM$6,3,FALSE)=0,"Spatial Data Missing ⚠",VLOOKUP(V255,'G-7 WaterC'' Data'!$AK$4:$AM$6,3,FALSE)))</f>
        <v/>
      </c>
      <c r="Y255" s="398" t="str">
        <f>IFERROR(IF(OR(LEFT(P255,5)="Error",LEFT(O255,5)="Error"),"Check Data ⚠",IF(F255&lt;S255,'G-7 WaterC'' Data'!$R$3,INDEX('G-7 WaterC'' Data'!$U$5:$Y$9,MATCH(G255,'G-7 WaterC'' Data'!$T$5:$T$9,0),MATCH(T255,'G-7 WaterC'' Data'!$U$4:$Y$4,0)))),"")</f>
        <v/>
      </c>
      <c r="Z255" s="165"/>
      <c r="AA255" s="165"/>
      <c r="AB255" s="395" t="str">
        <f t="shared" si="27"/>
        <v/>
      </c>
      <c r="AC255" s="383" t="str">
        <f t="shared" si="32"/>
        <v/>
      </c>
      <c r="AD255" s="422" t="str">
        <f>IFERROR(IF(AC255="Check Data ⚠","Check Data ⚠",VLOOKUP(AC255,'G-4 Temporal multipliers'!$A$4:$C$37,3,FALSE)),"")</f>
        <v/>
      </c>
      <c r="AE255" s="398" t="str">
        <f>IF(N255="","",VLOOKUP(N255,'G-7 WaterC'' Data'!$B$4:$G$8,5,FALSE))</f>
        <v/>
      </c>
      <c r="AF255" s="382" t="str">
        <f t="shared" si="28"/>
        <v/>
      </c>
      <c r="AG255" s="382" t="str">
        <f t="shared" si="33"/>
        <v/>
      </c>
      <c r="AH255" s="386" t="str">
        <f t="shared" si="29"/>
        <v/>
      </c>
      <c r="AI255" s="122"/>
      <c r="AJ255" s="363" t="str">
        <f>IF(AI255="","",IF(VLOOKUP(AI255,'G-7 WaterC'' Data'!$AA$4:$AB$7,2,FALSE)=0,"Spatial Data Missing ⚠",VLOOKUP(AI255,'G-7 WaterC'' Data'!$AA$4:$AB$7,2,FALSE)))</f>
        <v/>
      </c>
      <c r="AK255" s="123"/>
      <c r="AL255" s="397" t="str">
        <f>IF(AK255="","",IF(VLOOKUP(AK255,'G-7 WaterC'' Data'!$AD$4:$AE$14,2,FALSE)=0,"Spatial Data Missing ⚠",VLOOKUP(AK255,'G-7 WaterC'' Data'!$AD$4:$AE$14,2,FALSE)))</f>
        <v/>
      </c>
      <c r="AM255" s="122"/>
      <c r="AN255" s="363" t="str">
        <f>IF(AM255="","",IF(VLOOKUP(AM255,'G-7 WaterC'' Data'!$AO$4:$BO$7,2,FALSE)=0,"Spatial Data Missing ⚠",VLOOKUP(AM255,'G-7 WaterC'' Data'!$AO$4:$BO$7,2,FALSE)))</f>
        <v/>
      </c>
      <c r="AO255" s="405" t="str">
        <f t="shared" si="34"/>
        <v/>
      </c>
      <c r="AP255" s="405" t="str">
        <f t="shared" si="35"/>
        <v/>
      </c>
      <c r="AQ255" s="194"/>
      <c r="AR255" s="195"/>
      <c r="AS255" s="120"/>
      <c r="AT255" s="120"/>
      <c r="AY255" s="30" t="str">
        <f>IFERROR(INDEX('G-7 WaterC'' Data'!$AZ$3:$AZ$7,MATCH(N255,'G-7 WaterC'' Data'!$AY$3:$AY$7,0)),"")</f>
        <v/>
      </c>
    </row>
    <row r="256" spans="2:51" ht="15">
      <c r="B256" s="392" t="str">
        <f>'F-1 Off-Site WaterC'' Baseline'!AR254</f>
        <v/>
      </c>
      <c r="C256" s="382" t="str">
        <f>IF(B256="","",VLOOKUP($B256,'F-1 Off-Site WaterC'' Baseline'!$C$9:$R$257,2,FALSE))</f>
        <v/>
      </c>
      <c r="D256" s="382" t="str">
        <f>IF(C256="","",VLOOKUP($B256,'F-1 Off-Site WaterC'' Baseline'!$C$9:$R$257,3,FALSE))</f>
        <v/>
      </c>
      <c r="E256" s="382" t="str">
        <f>IF(D256="","",VLOOKUP($B256,'F-1 Off-Site WaterC'' Baseline'!$C$9:$R$257,4,FALSE))</f>
        <v/>
      </c>
      <c r="F256" s="382" t="str">
        <f>IF(E256="","",VLOOKUP($B256,'F-1 Off-Site WaterC'' Baseline'!$C$9:$R$257,5,FALSE))</f>
        <v/>
      </c>
      <c r="G256" s="382" t="str">
        <f>IF(F256="","",VLOOKUP($B256,'F-1 Off-Site WaterC'' Baseline'!$C$9:$R$257,6,FALSE))</f>
        <v/>
      </c>
      <c r="H256" s="382" t="str">
        <f>IF(G256="","",VLOOKUP($B256,'F-1 Off-Site WaterC'' Baseline'!$C$9:$R$257,7,FALSE))</f>
        <v/>
      </c>
      <c r="I256" s="382" t="str">
        <f>IF(H256="","",VLOOKUP($B256,'F-1 Off-Site WaterC'' Baseline'!$C$9:$R$257,8,FALSE))</f>
        <v/>
      </c>
      <c r="J256" s="382" t="str">
        <f>IF(I256="","",VLOOKUP($B256,'F-1 Off-Site WaterC'' Baseline'!$C$9:$R$257,9,FALSE))</f>
        <v/>
      </c>
      <c r="K256" s="382" t="str">
        <f>IF(J256="","",VLOOKUP($B256,'F-1 Off-Site WaterC'' Baseline'!$C$9:$R$257,10,FALSE))</f>
        <v/>
      </c>
      <c r="L256" s="382" t="str">
        <f>IF(B256="","",VLOOKUP($B256,'F-1 Off-Site WaterC'' Baseline'!$C$9:$R$257,15,FALSE))</f>
        <v/>
      </c>
      <c r="M256" s="386" t="str">
        <f>IF(L256="","",VLOOKUP($B256,'F-1 Off-Site WaterC'' Baseline'!$C$9:$R$257,16,FALSE))</f>
        <v/>
      </c>
      <c r="N256" s="316" t="str">
        <f t="shared" si="30"/>
        <v/>
      </c>
      <c r="O256" s="362" t="str">
        <f t="shared" si="31"/>
        <v/>
      </c>
      <c r="P256" s="363" t="str">
        <f>IF(C256="","",IF(AND(LEFT(C256,55)&lt;&gt;LEFT(N256,55),O256="High - High"),"Error - Not like for like ▲",IF(H256&gt;U256,"Error - Can not reduce condition ▲",IF(AND(F256=S256,H256=U256,AJ256='F-1 Off-Site WaterC'' Baseline'!N254,'F-1 Off-Site WaterC'' Baseline'!P254=AL256),"Error - No enhancement ▲",IF(AND(C256&lt;&gt;N256,F256&lt;S256),"Lower Distinctiveness Habitat"&amp;" - "&amp;T256,G256&amp;" - "&amp;T256)))))</f>
        <v/>
      </c>
      <c r="Q256" s="368" t="str">
        <f>IF(N256="","",VLOOKUP(B256,'F-1 Off-Site WaterC'' Baseline'!$C$10:$AE$257,22,FALSE))</f>
        <v/>
      </c>
      <c r="R256" s="362" t="str">
        <f>IF(N256="","",VLOOKUP(N256,'G-7 WaterC'' Data'!$B$2:$G$8,2,FALSE))</f>
        <v/>
      </c>
      <c r="S256" s="363" t="str">
        <f>IFERROR(VLOOKUP(R256,'G-7 WaterC'' Data'!$C$4:$D$8,2,FALSE),"")</f>
        <v/>
      </c>
      <c r="T256" s="114"/>
      <c r="U256" s="363" t="str">
        <f>IFERROR(INDEX('G-7 WaterC'' Data'!$H$4:$L$8,MATCH(N256,'G-7 WaterC'' Data'!$B$4:$B$8,0),MATCH(T256,'G-7 WaterC'' Data'!$H$3:$L$3,0)),"")</f>
        <v/>
      </c>
      <c r="V256" s="122"/>
      <c r="W256" s="382" t="str">
        <f>IF(V256="","",IF(VLOOKUP(V256,'G-7 WaterC'' Data'!$AK$4:$AM$6,2,FALSE)=0,"Spatial Data Missing ⚠",VLOOKUP(V256,'G-7 WaterC'' Data'!$AK$4:$AM$6,2,FALSE)))</f>
        <v/>
      </c>
      <c r="X256" s="386" t="str">
        <f>IF(V256="","",IF(VLOOKUP(V256,'G-7 WaterC'' Data'!$AK$4:$AM$6,3,FALSE)=0,"Spatial Data Missing ⚠",VLOOKUP(V256,'G-7 WaterC'' Data'!$AK$4:$AM$6,3,FALSE)))</f>
        <v/>
      </c>
      <c r="Y256" s="398" t="str">
        <f>IFERROR(IF(OR(LEFT(P256,5)="Error",LEFT(O256,5)="Error"),"Check Data ⚠",IF(F256&lt;S256,'G-7 WaterC'' Data'!$R$3,INDEX('G-7 WaterC'' Data'!$U$5:$Y$9,MATCH(G256,'G-7 WaterC'' Data'!$T$5:$T$9,0),MATCH(T256,'G-7 WaterC'' Data'!$U$4:$Y$4,0)))),"")</f>
        <v/>
      </c>
      <c r="Z256" s="165"/>
      <c r="AA256" s="165"/>
      <c r="AB256" s="395" t="str">
        <f t="shared" si="27"/>
        <v/>
      </c>
      <c r="AC256" s="383" t="str">
        <f t="shared" si="32"/>
        <v/>
      </c>
      <c r="AD256" s="422" t="str">
        <f>IFERROR(IF(AC256="Check Data ⚠","Check Data ⚠",VLOOKUP(AC256,'G-4 Temporal multipliers'!$A$4:$C$37,3,FALSE)),"")</f>
        <v/>
      </c>
      <c r="AE256" s="398" t="str">
        <f>IF(N256="","",VLOOKUP(N256,'G-7 WaterC'' Data'!$B$4:$G$8,5,FALSE))</f>
        <v/>
      </c>
      <c r="AF256" s="382" t="str">
        <f t="shared" si="28"/>
        <v/>
      </c>
      <c r="AG256" s="382" t="str">
        <f t="shared" si="33"/>
        <v/>
      </c>
      <c r="AH256" s="386" t="str">
        <f t="shared" si="29"/>
        <v/>
      </c>
      <c r="AI256" s="122"/>
      <c r="AJ256" s="363" t="str">
        <f>IF(AI256="","",IF(VLOOKUP(AI256,'G-7 WaterC'' Data'!$AA$4:$AB$7,2,FALSE)=0,"Spatial Data Missing ⚠",VLOOKUP(AI256,'G-7 WaterC'' Data'!$AA$4:$AB$7,2,FALSE)))</f>
        <v/>
      </c>
      <c r="AK256" s="123"/>
      <c r="AL256" s="397" t="str">
        <f>IF(AK256="","",IF(VLOOKUP(AK256,'G-7 WaterC'' Data'!$AD$4:$AE$14,2,FALSE)=0,"Spatial Data Missing ⚠",VLOOKUP(AK256,'G-7 WaterC'' Data'!$AD$4:$AE$14,2,FALSE)))</f>
        <v/>
      </c>
      <c r="AM256" s="122"/>
      <c r="AN256" s="363" t="str">
        <f>IF(AM256="","",IF(VLOOKUP(AM256,'G-7 WaterC'' Data'!$AO$4:$BO$7,2,FALSE)=0,"Spatial Data Missing ⚠",VLOOKUP(AM256,'G-7 WaterC'' Data'!$AO$4:$BO$7,2,FALSE)))</f>
        <v/>
      </c>
      <c r="AO256" s="405" t="str">
        <f t="shared" si="34"/>
        <v/>
      </c>
      <c r="AP256" s="405" t="str">
        <f t="shared" si="35"/>
        <v/>
      </c>
      <c r="AQ256" s="194"/>
      <c r="AR256" s="195"/>
      <c r="AS256" s="120"/>
      <c r="AT256" s="120"/>
      <c r="AY256" s="30" t="str">
        <f>IFERROR(INDEX('G-7 WaterC'' Data'!$AZ$3:$AZ$7,MATCH(N256,'G-7 WaterC'' Data'!$AY$3:$AY$7,0)),"")</f>
        <v/>
      </c>
    </row>
    <row r="257" spans="2:51" ht="15.75" thickBot="1">
      <c r="B257" s="394" t="str">
        <f>'F-1 Off-Site WaterC'' Baseline'!AR255</f>
        <v/>
      </c>
      <c r="C257" s="395" t="str">
        <f>IF(B257="","",VLOOKUP($B257,'F-1 Off-Site WaterC'' Baseline'!$C$9:$R$257,2,FALSE))</f>
        <v/>
      </c>
      <c r="D257" s="395" t="str">
        <f>IF(C257="","",VLOOKUP($B257,'F-1 Off-Site WaterC'' Baseline'!$C$9:$R$257,3,FALSE))</f>
        <v/>
      </c>
      <c r="E257" s="395" t="str">
        <f>IF(D257="","",VLOOKUP($B257,'F-1 Off-Site WaterC'' Baseline'!$C$9:$R$257,4,FALSE))</f>
        <v/>
      </c>
      <c r="F257" s="395" t="str">
        <f>IF(E257="","",VLOOKUP($B257,'F-1 Off-Site WaterC'' Baseline'!$C$9:$R$257,5,FALSE))</f>
        <v/>
      </c>
      <c r="G257" s="395" t="str">
        <f>IF(F257="","",VLOOKUP($B257,'F-1 Off-Site WaterC'' Baseline'!$C$9:$R$257,6,FALSE))</f>
        <v/>
      </c>
      <c r="H257" s="395" t="str">
        <f>IF(G257="","",VLOOKUP($B257,'F-1 Off-Site WaterC'' Baseline'!$C$9:$R$257,7,FALSE))</f>
        <v/>
      </c>
      <c r="I257" s="395" t="str">
        <f>IF(H257="","",VLOOKUP($B257,'F-1 Off-Site WaterC'' Baseline'!$C$9:$R$257,8,FALSE))</f>
        <v/>
      </c>
      <c r="J257" s="395" t="str">
        <f>IF(I257="","",VLOOKUP($B257,'F-1 Off-Site WaterC'' Baseline'!$C$9:$R$257,9,FALSE))</f>
        <v/>
      </c>
      <c r="K257" s="395" t="str">
        <f>IF(J257="","",VLOOKUP($B257,'F-1 Off-Site WaterC'' Baseline'!$C$9:$R$257,10,FALSE))</f>
        <v/>
      </c>
      <c r="L257" s="382" t="str">
        <f>IF(B257="","",VLOOKUP($B257,'F-1 Off-Site WaterC'' Baseline'!$C$9:$R$257,15,FALSE))</f>
        <v/>
      </c>
      <c r="M257" s="397" t="str">
        <f>IF(L257="","",VLOOKUP($B257,'F-1 Off-Site WaterC'' Baseline'!$C$9:$R$257,16,FALSE))</f>
        <v/>
      </c>
      <c r="N257" s="316" t="str">
        <f t="shared" si="30"/>
        <v/>
      </c>
      <c r="O257" s="362" t="str">
        <f t="shared" si="31"/>
        <v/>
      </c>
      <c r="P257" s="363" t="str">
        <f>IF(C257="","",IF(AND(LEFT(C257,55)&lt;&gt;LEFT(N257,55),O257="High - High"),"Error - Not like for like ▲",IF(H257&gt;U257,"Error - Can not reduce condition ▲",IF(AND(F257=S257,H257=U257,AJ257='F-1 Off-Site WaterC'' Baseline'!N255,'F-1 Off-Site WaterC'' Baseline'!P255=AL257),"Error - No enhancement ▲",IF(AND(C257&lt;&gt;N257,F257&lt;S257),"Lower Distinctiveness Habitat"&amp;" - "&amp;T257,G257&amp;" - "&amp;T257)))))</f>
        <v/>
      </c>
      <c r="Q257" s="368" t="str">
        <f>IF(N257="","",VLOOKUP(B257,'F-1 Off-Site WaterC'' Baseline'!$C$10:$AE$257,22,FALSE))</f>
        <v/>
      </c>
      <c r="R257" s="399" t="str">
        <f>IF(N257="","",VLOOKUP(N257,'G-7 WaterC'' Data'!$B$2:$G$8,2,FALSE))</f>
        <v/>
      </c>
      <c r="S257" s="397" t="str">
        <f>IFERROR(VLOOKUP(R257,'G-7 WaterC'' Data'!$C$4:$D$8,2,FALSE),"")</f>
        <v/>
      </c>
      <c r="T257" s="172"/>
      <c r="U257" s="363" t="str">
        <f>IFERROR(INDEX('G-7 WaterC'' Data'!$H$4:$L$8,MATCH(N257,'G-7 WaterC'' Data'!$B$4:$B$8,0),MATCH(T257,'G-7 WaterC'' Data'!$H$3:$L$3,0)),"")</f>
        <v/>
      </c>
      <c r="V257" s="122"/>
      <c r="W257" s="382" t="str">
        <f>IF(V257="","",IF(VLOOKUP(V257,'G-7 WaterC'' Data'!$AK$4:$AM$6,2,FALSE)=0,"Spatial Data Missing ⚠",VLOOKUP(V257,'G-7 WaterC'' Data'!$AK$4:$AM$6,2,FALSE)))</f>
        <v/>
      </c>
      <c r="X257" s="386" t="str">
        <f>IF(V257="","",IF(VLOOKUP(V257,'G-7 WaterC'' Data'!$AK$4:$AM$6,3,FALSE)=0,"Spatial Data Missing ⚠",VLOOKUP(V257,'G-7 WaterC'' Data'!$AK$4:$AM$6,3,FALSE)))</f>
        <v/>
      </c>
      <c r="Y257" s="398" t="str">
        <f>IFERROR(IF(OR(LEFT(P257,5)="Error",LEFT(O257,5)="Error"),"Check Data ⚠",IF(F257&lt;S257,'G-7 WaterC'' Data'!$R$3,INDEX('G-7 WaterC'' Data'!$U$5:$Y$9,MATCH(G257,'G-7 WaterC'' Data'!$T$5:$T$9,0),MATCH(T257,'G-7 WaterC'' Data'!$U$4:$Y$4,0)))),"")</f>
        <v/>
      </c>
      <c r="Z257" s="165"/>
      <c r="AA257" s="173"/>
      <c r="AB257" s="395" t="str">
        <f>IF(Y257="","",IF(Y257="Check Data ⚠","Check Data ⚠",IF(AND(Z257&gt;0,AA257&gt;0),"Error -both advance and delayed habitat creation ▲",IF(AND(OR(Z257="Habitat already in target condition",Y257&lt;=Z257),AA257=0),"Check details - Is there evidence that habitat has reached target condition? ⚠",IF(Z257&gt;0,"Check details - Is there evidence habitat creation started/in place? ⚠",IF(AA257&gt;0,"Check details- Delay in starting habitat in required condition? ⚠","Standard time to target condition applied"))))))</f>
        <v/>
      </c>
      <c r="AC257" s="383" t="str">
        <f t="shared" si="32"/>
        <v/>
      </c>
      <c r="AD257" s="422" t="str">
        <f>IFERROR(IF(AC257="Check Data ⚠","Check Data ⚠",VLOOKUP(AC257,'G-4 Temporal multipliers'!$A$4:$C$37,3,FALSE)),"")</f>
        <v/>
      </c>
      <c r="AE257" s="399" t="str">
        <f>IF(N257="","",VLOOKUP(N257,'G-7 WaterC'' Data'!$B$4:$G$8,5,FALSE))</f>
        <v/>
      </c>
      <c r="AF257" s="382" t="str">
        <f>IF(N257="","",IF(AC257="Check Data ⚠","Check Data ⚠",IF(T257="","",IF($AB257="Check details - Is there evidence that habitat has reached target condition? ⚠","Low Difficulty - only applicable if all habitat created before losses ⚠","Standard difficulty applied"))))</f>
        <v/>
      </c>
      <c r="AG257" s="382" t="str">
        <f t="shared" si="33"/>
        <v/>
      </c>
      <c r="AH257" s="397" t="str">
        <f t="shared" si="29"/>
        <v/>
      </c>
      <c r="AI257" s="122"/>
      <c r="AJ257" s="363" t="str">
        <f>IF(AI257="","",IF(VLOOKUP(AI257,'G-7 WaterC'' Data'!$AA$4:$AB$7,2,FALSE)=0,"Spatial Data Missing ⚠",VLOOKUP(AI257,'G-7 WaterC'' Data'!$AA$4:$AB$7,2,FALSE)))</f>
        <v/>
      </c>
      <c r="AK257" s="123"/>
      <c r="AL257" s="397" t="str">
        <f>IF(AK257="","",IF(VLOOKUP(AK257,'G-7 WaterC'' Data'!$AD$4:$AE$14,2,FALSE)=0,"Spatial Data Missing ⚠",VLOOKUP(AK257,'G-7 WaterC'' Data'!$AD$4:$AE$14,2,FALSE)))</f>
        <v/>
      </c>
      <c r="AM257" s="172"/>
      <c r="AN257" s="363" t="str">
        <f>IF(AM257="","",IF(VLOOKUP(AM257,'G-7 WaterC'' Data'!$AO$4:$BO$7,2,FALSE)=0,"Spatial Data Missing ⚠",VLOOKUP(AM257,'G-7 WaterC'' Data'!$AO$4:$BO$7,2,FALSE)))</f>
        <v/>
      </c>
      <c r="AO257" s="405" t="str">
        <f t="shared" si="34"/>
        <v/>
      </c>
      <c r="AP257" s="405" t="str">
        <f t="shared" si="35"/>
        <v/>
      </c>
      <c r="AQ257" s="318"/>
      <c r="AR257" s="319"/>
      <c r="AS257" s="683"/>
      <c r="AT257" s="131"/>
      <c r="AY257" s="30" t="str">
        <f>IFERROR(INDEX('G-7 WaterC'' Data'!$AZ$3:$AZ$7,MATCH(N257,'G-7 WaterC'' Data'!$AY$3:$AY$7,0)),"")</f>
        <v/>
      </c>
    </row>
    <row r="258" spans="2:51" ht="15.75" thickBot="1">
      <c r="B258" s="34"/>
      <c r="C258" s="223"/>
      <c r="D258" s="366">
        <f>SUM(D12:D257)</f>
        <v>0</v>
      </c>
      <c r="E258" s="223"/>
      <c r="F258" s="223"/>
      <c r="G258" s="223"/>
      <c r="H258" s="223"/>
      <c r="I258" s="223"/>
      <c r="J258" s="223"/>
      <c r="K258" s="223"/>
      <c r="L258" s="223"/>
      <c r="M258" s="223"/>
      <c r="N258" s="223"/>
      <c r="O258" s="223"/>
      <c r="P258" s="223"/>
      <c r="Q258" s="366">
        <f>SUM(Q12:Q257)</f>
        <v>0</v>
      </c>
      <c r="R258" s="34"/>
      <c r="S258" s="34"/>
      <c r="T258" s="34"/>
      <c r="U258" s="34"/>
      <c r="V258" s="34"/>
      <c r="W258" s="34"/>
      <c r="X258" s="34"/>
      <c r="Y258" s="34"/>
      <c r="Z258" s="34"/>
      <c r="AA258" s="34"/>
      <c r="AB258" s="34"/>
      <c r="AC258" s="34"/>
      <c r="AD258" s="34"/>
      <c r="AE258" s="34"/>
      <c r="AF258" s="34"/>
      <c r="AG258" s="34"/>
      <c r="AH258" s="34"/>
      <c r="AI258" s="34"/>
      <c r="AJ258" s="34" t="str">
        <f>IF(AI258="","",IF(VLOOKUP(AI258,'[2]G-7 Rivers Data'!$AA$4:$AB$6,2,FALSE)=0,"Spatial Data Missing",VLOOKUP(AI258,'[2]G-7 Rivers Data'!$AA$4:$AB$6,2,FALSE)))</f>
        <v/>
      </c>
      <c r="AK258" s="34"/>
      <c r="AL258" s="34"/>
      <c r="AM258" s="1529"/>
      <c r="AN258" s="1529"/>
      <c r="AO258" s="427">
        <f>SUM(AO12:AO257)</f>
        <v>0</v>
      </c>
      <c r="AP258" s="427">
        <f>SUM(AP12:AP257)</f>
        <v>0</v>
      </c>
      <c r="AQ258" s="34"/>
      <c r="AR258" s="34"/>
    </row>
    <row r="259" spans="2:51" ht="15">
      <c r="AJ259" s="30" t="str">
        <f>IF(AI259="","",IF(VLOOKUP(AI259,'[2]G-7 Rivers Data'!$AA$4:$AB$6,2,FALSE)=0,"Spatial Data Missing",VLOOKUP(AI259,'[2]G-7 Rivers Data'!$AA$4:$AB$6,2,FALSE)))</f>
        <v/>
      </c>
      <c r="AM259" s="32"/>
    </row>
    <row r="260" spans="2:51" ht="15"/>
    <row r="261" spans="2:51" ht="15"/>
    <row r="262" spans="2:51" ht="15"/>
    <row r="263" spans="2:51" ht="15"/>
    <row r="264" spans="2:51" ht="15"/>
    <row r="265" spans="2:51" ht="15"/>
    <row r="266" spans="2:51" ht="15"/>
  </sheetData>
  <sheetProtection algorithmName="SHA-512" hashValue="Voqn0Ed/DxXbom1UwnwFGaVtjtqxnWmrQRBU9cJ9MZZa+g/3YiAqxud/pzMUjU+7gttQFwUIAjhkQPwwVyhwcw==" saltValue="cyZXojb9GVRRBo0cWWFCEw==" spinCount="100000" sheet="1" objects="1" scenarios="1"/>
  <customSheetViews>
    <customSheetView guid="{8BDA793C-C9C5-4FC6-A0A5-F1109F6D4F22}" state="hidden">
      <pane ySplit="11" topLeftCell="A12" activePane="bottomLeft" state="frozen"/>
      <selection pane="bottomLeft" activeCell="D14" sqref="D14"/>
    </customSheetView>
  </customSheetViews>
  <mergeCells count="22">
    <mergeCell ref="AM258:AN258"/>
    <mergeCell ref="N9:AN9"/>
    <mergeCell ref="AQ10:AR10"/>
    <mergeCell ref="AO10:AO11"/>
    <mergeCell ref="AM10:AN10"/>
    <mergeCell ref="AE10:AH10"/>
    <mergeCell ref="AI10:AJ10"/>
    <mergeCell ref="AK10:AL10"/>
    <mergeCell ref="AP10:AP11"/>
    <mergeCell ref="Y2:AD4"/>
    <mergeCell ref="B2:C2"/>
    <mergeCell ref="C10:M10"/>
    <mergeCell ref="V10:X10"/>
    <mergeCell ref="Y10:AD10"/>
    <mergeCell ref="N10:N11"/>
    <mergeCell ref="Q10:Q11"/>
    <mergeCell ref="R10:S10"/>
    <mergeCell ref="T10:U10"/>
    <mergeCell ref="O3:P3"/>
    <mergeCell ref="B3:C4"/>
    <mergeCell ref="O10:P10"/>
    <mergeCell ref="R3:X5"/>
  </mergeCells>
  <conditionalFormatting sqref="L12:L257">
    <cfRule type="containsText" dxfId="33" priority="30" operator="containsText" text="Restore">
      <formula>NOT(ISERROR(SEARCH("Restore",L12)))</formula>
    </cfRule>
  </conditionalFormatting>
  <conditionalFormatting sqref="AO258:AP258 O12:AB257 AE12:AO257">
    <cfRule type="beginsWith" dxfId="32" priority="25" operator="beginsWith" text="No - Low">
      <formula>LEFT(O12,LEN("No - Low"))="No - Low"</formula>
    </cfRule>
    <cfRule type="containsText" dxfId="31" priority="26" operator="containsText" text="30+">
      <formula>NOT(ISERROR(SEARCH("30+",O12)))</formula>
    </cfRule>
    <cfRule type="containsText" dxfId="30" priority="27" operator="containsText" text="Spatial">
      <formula>NOT(ISERROR(SEARCH("Spatial",O12)))</formula>
    </cfRule>
    <cfRule type="containsText" dxfId="29" priority="28" operator="containsText" text="Check">
      <formula>NOT(ISERROR(SEARCH("Check",O12)))</formula>
    </cfRule>
    <cfRule type="containsText" dxfId="28" priority="29" operator="containsText" text="Error">
      <formula>NOT(ISERROR(SEARCH("Error",O12)))</formula>
    </cfRule>
  </conditionalFormatting>
  <conditionalFormatting sqref="AC12:AD257">
    <cfRule type="containsText" dxfId="27" priority="23" operator="containsText" text="Check">
      <formula>NOT(ISERROR(SEARCH("Check",AC12)))</formula>
    </cfRule>
    <cfRule type="beginsWith" dxfId="26" priority="24" operator="beginsWith" text="Error">
      <formula>LEFT(AC12,LEN("Error"))="Error"</formula>
    </cfRule>
  </conditionalFormatting>
  <conditionalFormatting sqref="Y2">
    <cfRule type="containsText" dxfId="25" priority="21" operator="containsText" text="Note">
      <formula>NOT(ISERROR(SEARCH("Note",Y2)))</formula>
    </cfRule>
  </conditionalFormatting>
  <conditionalFormatting sqref="P4">
    <cfRule type="containsText" dxfId="24" priority="19" operator="containsText" text="Error">
      <formula>NOT(ISERROR(SEARCH("Error",P4)))</formula>
    </cfRule>
    <cfRule type="containsText" dxfId="23" priority="20" operator="containsText" text="Check">
      <formula>NOT(ISERROR(SEARCH("Check",P4)))</formula>
    </cfRule>
  </conditionalFormatting>
  <conditionalFormatting sqref="P5">
    <cfRule type="cellIs" dxfId="22" priority="2" operator="equal">
      <formula>0</formula>
    </cfRule>
    <cfRule type="containsText" dxfId="21" priority="3" operator="containsText" text="Error">
      <formula>NOT(ISERROR(SEARCH("Error",P5)))</formula>
    </cfRule>
    <cfRule type="containsText" dxfId="20" priority="4" operator="containsText" text="Check">
      <formula>NOT(ISERROR(SEARCH("Check",P5)))</formula>
    </cfRule>
    <cfRule type="cellIs" dxfId="19" priority="5" operator="lessThan">
      <formula>0</formula>
    </cfRule>
  </conditionalFormatting>
  <conditionalFormatting sqref="R3:X5">
    <cfRule type="containsText" dxfId="18" priority="14" operator="containsText" text="Check">
      <formula>NOT(ISERROR(SEARCH("Check",R3)))</formula>
    </cfRule>
  </conditionalFormatting>
  <conditionalFormatting sqref="P6">
    <cfRule type="containsText" dxfId="17" priority="12" operator="containsText" text="No">
      <formula>NOT(ISERROR(SEARCH("No",P6)))</formula>
    </cfRule>
    <cfRule type="containsText" dxfId="16" priority="13" operator="containsText" text="Yes">
      <formula>NOT(ISERROR(SEARCH("Yes",P6)))</formula>
    </cfRule>
  </conditionalFormatting>
  <conditionalFormatting sqref="U12:U257">
    <cfRule type="containsText" dxfId="15" priority="11" operator="containsText" text="Not possible">
      <formula>NOT(ISERROR(SEARCH("Not possible",U12)))</formula>
    </cfRule>
  </conditionalFormatting>
  <conditionalFormatting sqref="AP12:AP257">
    <cfRule type="beginsWith" dxfId="14" priority="6" operator="beginsWith" text="No - Low">
      <formula>LEFT(AP12,LEN("No - Low"))="No - Low"</formula>
    </cfRule>
    <cfRule type="containsText" dxfId="13" priority="7" operator="containsText" text="30+">
      <formula>NOT(ISERROR(SEARCH("30+",AP12)))</formula>
    </cfRule>
    <cfRule type="containsText" dxfId="12" priority="8" operator="containsText" text="Spatial">
      <formula>NOT(ISERROR(SEARCH("Spatial",AP12)))</formula>
    </cfRule>
    <cfRule type="containsText" dxfId="11" priority="9" operator="containsText" text="Check">
      <formula>NOT(ISERROR(SEARCH("Check",AP12)))</formula>
    </cfRule>
    <cfRule type="containsText" dxfId="10" priority="10" operator="containsText" text="Error">
      <formula>NOT(ISERROR(SEARCH("Error",AP12)))</formula>
    </cfRule>
  </conditionalFormatting>
  <conditionalFormatting sqref="P4:P6">
    <cfRule type="containsText" dxfId="9" priority="1" operator="containsText" text="N/A">
      <formula>NOT(ISERROR(SEARCH("N/A",P4)))</formula>
    </cfRule>
  </conditionalFormatting>
  <dataValidations count="3">
    <dataValidation type="list" allowBlank="1" showInputMessage="1" showErrorMessage="1" sqref="T12:T257" xr:uid="{00000000-0002-0000-1C00-000000000000}">
      <formula1>INDIRECT(AY12)</formula1>
    </dataValidation>
    <dataValidation type="list" allowBlank="1" showInputMessage="1" showErrorMessage="1" sqref="AI12:AI257" xr:uid="{62E6A2D0-33F2-44F4-8F93-20E463A954F5}">
      <formula1>IF(N12="Culvert",riparianencroachment2,riparianencroachment1)</formula1>
    </dataValidation>
    <dataValidation type="list" allowBlank="1" showInputMessage="1" showErrorMessage="1" sqref="AK12:AK257" xr:uid="{A33BBA18-A900-46F0-BD94-DC9351A3071C}">
      <formula1>IF(N12="Culvert",Encroachment2,Encroachment1)</formula1>
    </dataValidation>
  </dataValidations>
  <pageMargins left="0.7" right="0.7" top="0.75" bottom="0.75" header="0.3" footer="0.3"/>
  <pageSetup paperSize="9" orientation="portrait" horizontalDpi="90" verticalDpi="90" r:id="rId1"/>
  <drawing r:id="rId2"/>
  <extLst>
    <ext xmlns:x14="http://schemas.microsoft.com/office/spreadsheetml/2009/9/main" uri="{78C0D931-6437-407d-A8EE-F0AAD7539E65}">
      <x14:conditionalFormattings>
        <x14:conditionalFormatting xmlns:xm="http://schemas.microsoft.com/office/excel/2006/main">
          <x14:cfRule type="cellIs" priority="454" operator="lessThan" id="{81F228A8-0E99-4272-9DDD-FBE759F32105}">
            <xm:f>Start!$F$22</xm:f>
            <x14:dxf>
              <font>
                <color rgb="FF383745"/>
              </font>
              <fill>
                <patternFill>
                  <bgColor rgb="FFFFC000"/>
                </patternFill>
              </fill>
            </x14:dxf>
          </x14:cfRule>
          <x14:cfRule type="cellIs" priority="455" operator="greaterThan" id="{00ADCA06-FCDF-461D-82E7-12A1FF4B778A}">
            <xm:f>Start!$F$22</xm:f>
            <x14:dxf>
              <font>
                <color rgb="FF383745"/>
              </font>
              <fill>
                <patternFill>
                  <bgColor rgb="FF92D050"/>
                </patternFill>
              </fill>
            </x14:dxf>
          </x14:cfRule>
          <xm:sqref>P5</xm:sqref>
        </x14:conditionalFormatting>
      </x14:conditionalFormattings>
    </ext>
    <ext xmlns:x14="http://schemas.microsoft.com/office/spreadsheetml/2009/9/main" uri="{CCE6A557-97BC-4b89-ADB6-D9C93CAAB3DF}">
      <x14:dataValidations xmlns:xm="http://schemas.microsoft.com/office/excel/2006/main" count="5">
        <x14:dataValidation type="list" allowBlank="1" showInputMessage="1" showErrorMessage="1" xr:uid="{00000000-0002-0000-1C00-000001000000}">
          <x14:formula1>
            <xm:f>'\\LYN264DF\m312897$\Net Gain\Rivers and Streams\[Master metric with RS amendments with new G7 layout.xlsm]G-7 Rivers Data'!#REF!</xm:f>
          </x14:formula1>
          <xm:sqref>AI258:AI259</xm:sqref>
        </x14:dataValidation>
        <x14:dataValidation type="list" allowBlank="1" showInputMessage="1" showErrorMessage="1" xr:uid="{00000000-0002-0000-1C00-000006000000}">
          <x14:formula1>
            <xm:f>'G-7 WaterC'' Data'!$B$4:$B$8</xm:f>
          </x14:formula1>
          <xm:sqref>N12:N257</xm:sqref>
        </x14:dataValidation>
        <x14:dataValidation type="list" allowBlank="1" showInputMessage="1" showErrorMessage="1" xr:uid="{639AACBA-0C5C-441A-8CCE-C65A692C2DD3}">
          <x14:formula1>
            <xm:f>IF(N12="Culvert",'G-7 WaterC'' Data'!$AK$6,'G-7 WaterC'' Data'!$AK$4:$AK$6)</xm:f>
          </x14:formula1>
          <xm:sqref>V12:V257</xm:sqref>
        </x14:dataValidation>
        <x14:dataValidation type="list" allowBlank="1" showInputMessage="1" showErrorMessage="1" xr:uid="{00000000-0002-0000-1C00-000007000000}">
          <x14:formula1>
            <xm:f>'G-4 Temporal multipliers'!$A$42:$A$73</xm:f>
          </x14:formula1>
          <xm:sqref>Z12:AA257</xm:sqref>
        </x14:dataValidation>
        <x14:dataValidation type="list" allowBlank="1" showInputMessage="1" showErrorMessage="1" xr:uid="{6D20956B-FBF4-47A5-9E96-4747C5C37D28}">
          <x14:formula1>
            <xm:f>'G-7 WaterC'' Data'!$AO$4:$AO$7</xm:f>
          </x14:formula1>
          <xm:sqref>AM12:AM257</xm:sqref>
        </x14:dataValidation>
      </x14:dataValidations>
    </ext>
  </extLst>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0">
    <tabColor rgb="FFFFC000"/>
  </sheetPr>
  <dimension ref="A1:XFC162"/>
  <sheetViews>
    <sheetView showGridLines="0" zoomScale="80" zoomScaleNormal="80" workbookViewId="0">
      <pane xSplit="2" ySplit="2" topLeftCell="C3" activePane="bottomRight" state="frozen"/>
      <selection pane="topRight"/>
      <selection pane="bottomLeft"/>
      <selection pane="bottomRight"/>
    </sheetView>
  </sheetViews>
  <sheetFormatPr defaultColWidth="4.28515625" defaultRowHeight="15" zeroHeight="1"/>
  <cols>
    <col min="1" max="1" width="30.42578125" style="33" customWidth="1"/>
    <col min="2" max="2" width="77" style="30" bestFit="1" customWidth="1"/>
    <col min="3" max="3" width="26.28515625" style="30" bestFit="1" customWidth="1"/>
    <col min="4" max="4" width="13.7109375" style="30" bestFit="1" customWidth="1"/>
    <col min="5" max="5" width="19.7109375" style="30" bestFit="1" customWidth="1"/>
    <col min="6" max="6" width="25.28515625" style="30" bestFit="1" customWidth="1"/>
    <col min="7" max="7" width="19.7109375" style="30" bestFit="1" customWidth="1"/>
    <col min="8" max="8" width="82.28515625" style="30" bestFit="1" customWidth="1"/>
    <col min="9" max="9" width="26.28515625" style="30" customWidth="1"/>
    <col min="10" max="10" width="60.5703125" style="30" bestFit="1" customWidth="1"/>
    <col min="11" max="11" width="21.28515625" style="30" bestFit="1" customWidth="1"/>
    <col min="12" max="12" width="28.28515625" style="30" bestFit="1" customWidth="1"/>
    <col min="13" max="13" width="66" style="30" customWidth="1"/>
    <col min="14" max="14" width="27.42578125" style="30" bestFit="1" customWidth="1"/>
    <col min="15" max="15" width="16.42578125" style="30" bestFit="1" customWidth="1"/>
    <col min="16" max="16" width="27.42578125" style="30" bestFit="1" customWidth="1"/>
    <col min="17" max="17" width="16.42578125" style="30" bestFit="1" customWidth="1"/>
    <col min="18" max="18" width="28.42578125" style="33" bestFit="1" customWidth="1"/>
    <col min="19" max="19" width="30.28515625" style="30" bestFit="1" customWidth="1"/>
    <col min="20" max="23" width="26.28515625" style="30" customWidth="1"/>
    <col min="24" max="24" width="30.28515625" style="30" customWidth="1"/>
    <col min="25" max="27" width="26.28515625" style="30" customWidth="1"/>
    <col min="28" max="33" width="31.28515625" style="30" customWidth="1"/>
    <col min="34" max="35" width="4.28515625" style="30"/>
    <col min="36" max="16383" width="0" style="30" hidden="1" customWidth="1"/>
    <col min="16384" max="16384" width="2.28515625" style="30" hidden="1" customWidth="1"/>
  </cols>
  <sheetData>
    <row r="1" spans="1:35" ht="57.6" customHeight="1">
      <c r="D1" s="1632" t="s">
        <v>434</v>
      </c>
      <c r="E1" s="1632"/>
      <c r="F1" s="1632"/>
      <c r="G1" s="174"/>
      <c r="H1" s="595"/>
      <c r="I1" s="174"/>
      <c r="J1" s="174"/>
      <c r="V1" s="1627" t="s">
        <v>435</v>
      </c>
      <c r="W1" s="1629"/>
      <c r="X1" s="1628"/>
      <c r="Z1" s="1627" t="s">
        <v>436</v>
      </c>
      <c r="AA1" s="1628"/>
      <c r="AF1" s="1630" t="s">
        <v>437</v>
      </c>
      <c r="AG1" s="1630" t="s">
        <v>438</v>
      </c>
    </row>
    <row r="2" spans="1:35" s="90" customFormat="1" ht="41.65" customHeight="1">
      <c r="A2" s="230"/>
      <c r="B2" s="78" t="s">
        <v>439</v>
      </c>
      <c r="C2" s="175" t="s">
        <v>440</v>
      </c>
      <c r="D2" s="175" t="s">
        <v>441</v>
      </c>
      <c r="E2" s="175" t="s">
        <v>442</v>
      </c>
      <c r="F2" s="175" t="s">
        <v>443</v>
      </c>
      <c r="G2" s="175" t="s">
        <v>444</v>
      </c>
      <c r="H2" s="596" t="s">
        <v>445</v>
      </c>
      <c r="I2" s="175" t="s">
        <v>446</v>
      </c>
      <c r="J2" s="175" t="s">
        <v>447</v>
      </c>
      <c r="K2" s="175" t="s">
        <v>448</v>
      </c>
      <c r="L2" s="175" t="s">
        <v>449</v>
      </c>
      <c r="M2" s="175" t="s">
        <v>450</v>
      </c>
      <c r="N2" s="176" t="s">
        <v>451</v>
      </c>
      <c r="O2" s="176" t="s">
        <v>410</v>
      </c>
      <c r="P2" s="176" t="s">
        <v>452</v>
      </c>
      <c r="Q2" s="176" t="s">
        <v>410</v>
      </c>
      <c r="R2" s="176" t="s">
        <v>453</v>
      </c>
      <c r="S2" s="176" t="s">
        <v>454</v>
      </c>
      <c r="T2" s="30"/>
      <c r="U2" s="30"/>
      <c r="V2" s="78" t="s">
        <v>455</v>
      </c>
      <c r="W2" s="78" t="s">
        <v>456</v>
      </c>
      <c r="X2" s="78" t="s">
        <v>457</v>
      </c>
      <c r="Y2" s="30"/>
      <c r="Z2" s="78" t="s">
        <v>458</v>
      </c>
      <c r="AA2" s="78" t="s">
        <v>459</v>
      </c>
      <c r="AB2" s="30"/>
      <c r="AC2" s="30"/>
      <c r="AD2" s="78" t="s">
        <v>460</v>
      </c>
      <c r="AE2" s="30"/>
      <c r="AF2" s="1631"/>
      <c r="AG2" s="1631"/>
      <c r="AH2" s="30"/>
      <c r="AI2" s="30"/>
    </row>
    <row r="3" spans="1:35" ht="30">
      <c r="A3" s="698" t="s">
        <v>461</v>
      </c>
      <c r="B3" s="91" t="s">
        <v>462</v>
      </c>
      <c r="C3" s="404" t="s">
        <v>463</v>
      </c>
      <c r="D3" s="404" t="s">
        <v>464</v>
      </c>
      <c r="E3" s="404"/>
      <c r="F3" s="382" t="s">
        <v>124</v>
      </c>
      <c r="G3" s="404"/>
      <c r="H3" s="521" t="s">
        <v>465</v>
      </c>
      <c r="I3" s="404"/>
      <c r="J3" s="404" t="s">
        <v>466</v>
      </c>
      <c r="K3" s="404" t="s">
        <v>70</v>
      </c>
      <c r="L3" s="404">
        <f t="shared" ref="L3:L8" si="0">IF($K3=$V$3,$W$3,IF($K3=$V$3,$W$3,IF($K3=$V$4,$W$4,IF($K3=$V$5,$W$5,IF($K3=$V$6,$W$6,IF($K3=$V$7,$W$7))))))</f>
        <v>4</v>
      </c>
      <c r="M3" s="517" t="str">
        <f>IF($K3=$V$3,$X$3,IF($K3=$V$4,$X$4,IF($K3=$V$5,$X$5,IF($K3=$V$6,$X$6,IF($K3=$V$7,$X$7)))))</f>
        <v>Same broad habitat or a higher distinctiveness habitat required (≥)</v>
      </c>
      <c r="N3" s="404" t="s">
        <v>216</v>
      </c>
      <c r="O3" s="404">
        <f t="shared" ref="O3:O33" si="1">VLOOKUP(N3,Difficulty,2,FALSE)</f>
        <v>1</v>
      </c>
      <c r="P3" s="404" t="s">
        <v>216</v>
      </c>
      <c r="Q3" s="404">
        <f t="shared" ref="Q3:Q33" si="2">VLOOKUP(P3,Difficulty,2,FALSE)</f>
        <v>1</v>
      </c>
      <c r="R3" s="382"/>
      <c r="S3" s="404"/>
      <c r="V3" s="382" t="s">
        <v>467</v>
      </c>
      <c r="W3" s="404">
        <v>8</v>
      </c>
      <c r="X3" s="467" t="s">
        <v>468</v>
      </c>
      <c r="Z3" s="404" t="s">
        <v>68</v>
      </c>
      <c r="AA3" s="404">
        <v>3</v>
      </c>
      <c r="AD3" s="430" t="s">
        <v>52</v>
      </c>
      <c r="AF3" s="404" t="s">
        <v>124</v>
      </c>
      <c r="AG3" s="404" t="s">
        <v>124</v>
      </c>
    </row>
    <row r="4" spans="1:35" ht="30">
      <c r="A4" s="698" t="s">
        <v>469</v>
      </c>
      <c r="B4" s="91" t="s">
        <v>470</v>
      </c>
      <c r="C4" s="404" t="s">
        <v>471</v>
      </c>
      <c r="D4" s="404" t="s">
        <v>464</v>
      </c>
      <c r="E4" s="404"/>
      <c r="F4" s="382" t="s">
        <v>124</v>
      </c>
      <c r="G4" s="404"/>
      <c r="H4" s="521" t="s">
        <v>465</v>
      </c>
      <c r="I4" s="404"/>
      <c r="J4" s="404" t="s">
        <v>466</v>
      </c>
      <c r="K4" s="404" t="s">
        <v>70</v>
      </c>
      <c r="L4" s="404">
        <f t="shared" si="0"/>
        <v>4</v>
      </c>
      <c r="M4" s="517" t="str">
        <f t="shared" ref="M4:M73" si="3">IF($K4=$V$3,$X$3,IF($K4=$V$4,$X$4,IF($K4=$V$5,$X$5,IF($K4=$V$6,$X$6,IF($K4=$V$7,$X$7)))))</f>
        <v>Same broad habitat or a higher distinctiveness habitat required (≥)</v>
      </c>
      <c r="N4" s="404" t="s">
        <v>216</v>
      </c>
      <c r="O4" s="404">
        <f t="shared" si="1"/>
        <v>1</v>
      </c>
      <c r="P4" s="404" t="s">
        <v>216</v>
      </c>
      <c r="Q4" s="404">
        <f t="shared" si="2"/>
        <v>1</v>
      </c>
      <c r="R4" s="382"/>
      <c r="S4" s="404"/>
      <c r="V4" s="404" t="s">
        <v>213</v>
      </c>
      <c r="W4" s="404">
        <v>6</v>
      </c>
      <c r="X4" s="468" t="s">
        <v>240</v>
      </c>
      <c r="Z4" s="404" t="s">
        <v>472</v>
      </c>
      <c r="AA4" s="404">
        <v>2.5</v>
      </c>
      <c r="AD4" s="430" t="s">
        <v>54</v>
      </c>
      <c r="AF4" s="404" t="s">
        <v>125</v>
      </c>
      <c r="AG4" s="404" t="s">
        <v>125</v>
      </c>
    </row>
    <row r="5" spans="1:35" ht="42.75">
      <c r="A5" s="698" t="s">
        <v>473</v>
      </c>
      <c r="B5" s="91" t="s">
        <v>474</v>
      </c>
      <c r="C5" s="404" t="s">
        <v>475</v>
      </c>
      <c r="D5" s="404" t="s">
        <v>464</v>
      </c>
      <c r="E5" s="404"/>
      <c r="F5" s="382" t="s">
        <v>124</v>
      </c>
      <c r="G5" s="404"/>
      <c r="H5" s="521" t="s">
        <v>465</v>
      </c>
      <c r="I5" s="404"/>
      <c r="J5" s="404" t="s">
        <v>466</v>
      </c>
      <c r="K5" s="404" t="s">
        <v>70</v>
      </c>
      <c r="L5" s="404">
        <f t="shared" si="0"/>
        <v>4</v>
      </c>
      <c r="M5" s="517" t="str">
        <f t="shared" si="3"/>
        <v>Same broad habitat or a higher distinctiveness habitat required (≥)</v>
      </c>
      <c r="N5" s="404" t="s">
        <v>216</v>
      </c>
      <c r="O5" s="404">
        <f t="shared" si="1"/>
        <v>1</v>
      </c>
      <c r="P5" s="404" t="s">
        <v>216</v>
      </c>
      <c r="Q5" s="404">
        <f t="shared" si="2"/>
        <v>1</v>
      </c>
      <c r="R5" s="382"/>
      <c r="S5" s="404"/>
      <c r="V5" s="404" t="s">
        <v>70</v>
      </c>
      <c r="W5" s="404">
        <v>4</v>
      </c>
      <c r="X5" s="469" t="s">
        <v>215</v>
      </c>
      <c r="Z5" s="404" t="s">
        <v>67</v>
      </c>
      <c r="AA5" s="404">
        <v>2</v>
      </c>
      <c r="AF5" s="404" t="s">
        <v>126</v>
      </c>
      <c r="AG5" s="404" t="s">
        <v>476</v>
      </c>
    </row>
    <row r="6" spans="1:35" ht="28.5">
      <c r="A6" s="698" t="s">
        <v>477</v>
      </c>
      <c r="B6" s="91" t="s">
        <v>478</v>
      </c>
      <c r="C6" s="404" t="s">
        <v>479</v>
      </c>
      <c r="D6" s="404" t="s">
        <v>464</v>
      </c>
      <c r="E6" s="404" t="s">
        <v>480</v>
      </c>
      <c r="F6" s="382" t="s">
        <v>124</v>
      </c>
      <c r="G6" s="404" t="s">
        <v>481</v>
      </c>
      <c r="H6" s="521" t="s">
        <v>465</v>
      </c>
      <c r="I6" s="404" t="s">
        <v>479</v>
      </c>
      <c r="J6" s="404" t="s">
        <v>466</v>
      </c>
      <c r="K6" s="404" t="s">
        <v>70</v>
      </c>
      <c r="L6" s="404">
        <f t="shared" si="0"/>
        <v>4</v>
      </c>
      <c r="M6" s="517" t="str">
        <f t="shared" si="3"/>
        <v>Same broad habitat or a higher distinctiveness habitat required (≥)</v>
      </c>
      <c r="N6" s="404" t="s">
        <v>216</v>
      </c>
      <c r="O6" s="404">
        <f t="shared" si="1"/>
        <v>1</v>
      </c>
      <c r="P6" s="404" t="s">
        <v>216</v>
      </c>
      <c r="Q6" s="404">
        <f t="shared" si="2"/>
        <v>1</v>
      </c>
      <c r="R6" s="382"/>
      <c r="S6" s="404"/>
      <c r="V6" s="404" t="s">
        <v>216</v>
      </c>
      <c r="W6" s="404">
        <v>2</v>
      </c>
      <c r="X6" s="470" t="s">
        <v>217</v>
      </c>
      <c r="Z6" s="404" t="s">
        <v>482</v>
      </c>
      <c r="AA6" s="404">
        <v>1.5</v>
      </c>
      <c r="AF6" s="404" t="s">
        <v>127</v>
      </c>
      <c r="AG6" s="404" t="s">
        <v>127</v>
      </c>
    </row>
    <row r="7" spans="1:35">
      <c r="A7" s="698" t="s">
        <v>483</v>
      </c>
      <c r="B7" s="91" t="s">
        <v>484</v>
      </c>
      <c r="C7" s="404" t="s">
        <v>485</v>
      </c>
      <c r="D7" s="404" t="s">
        <v>464</v>
      </c>
      <c r="E7" s="404"/>
      <c r="F7" s="382" t="s">
        <v>124</v>
      </c>
      <c r="G7" s="404"/>
      <c r="H7" s="521" t="s">
        <v>465</v>
      </c>
      <c r="I7" s="404" t="s">
        <v>485</v>
      </c>
      <c r="J7" s="404" t="s">
        <v>483</v>
      </c>
      <c r="K7" s="404" t="s">
        <v>216</v>
      </c>
      <c r="L7" s="404">
        <f t="shared" si="0"/>
        <v>2</v>
      </c>
      <c r="M7" s="517" t="str">
        <f t="shared" si="3"/>
        <v>Same distinctiveness or better habitat required ≥</v>
      </c>
      <c r="N7" s="404" t="s">
        <v>216</v>
      </c>
      <c r="O7" s="404">
        <f t="shared" si="1"/>
        <v>1</v>
      </c>
      <c r="P7" s="404" t="s">
        <v>216</v>
      </c>
      <c r="Q7" s="404">
        <f t="shared" si="2"/>
        <v>1</v>
      </c>
      <c r="R7" s="382"/>
      <c r="S7" s="404"/>
      <c r="V7" s="404" t="s">
        <v>486</v>
      </c>
      <c r="W7" s="404">
        <v>0</v>
      </c>
      <c r="X7" s="471" t="s">
        <v>487</v>
      </c>
      <c r="Z7" s="404" t="s">
        <v>328</v>
      </c>
      <c r="AA7" s="404">
        <v>1</v>
      </c>
      <c r="AF7" s="404" t="s">
        <v>128</v>
      </c>
      <c r="AG7" s="404" t="s">
        <v>488</v>
      </c>
    </row>
    <row r="8" spans="1:35">
      <c r="A8" s="698" t="s">
        <v>489</v>
      </c>
      <c r="B8" s="91" t="s">
        <v>490</v>
      </c>
      <c r="C8" s="404" t="s">
        <v>491</v>
      </c>
      <c r="D8" s="404" t="s">
        <v>464</v>
      </c>
      <c r="E8" s="404"/>
      <c r="F8" s="382" t="s">
        <v>124</v>
      </c>
      <c r="G8" s="404"/>
      <c r="H8" s="521" t="s">
        <v>465</v>
      </c>
      <c r="I8" s="404"/>
      <c r="J8" s="404" t="s">
        <v>483</v>
      </c>
      <c r="K8" s="404" t="s">
        <v>216</v>
      </c>
      <c r="L8" s="404">
        <f t="shared" si="0"/>
        <v>2</v>
      </c>
      <c r="M8" s="517" t="str">
        <f t="shared" si="3"/>
        <v>Same distinctiveness or better habitat required ≥</v>
      </c>
      <c r="N8" s="404" t="s">
        <v>216</v>
      </c>
      <c r="O8" s="404">
        <f t="shared" si="1"/>
        <v>1</v>
      </c>
      <c r="P8" s="404" t="s">
        <v>216</v>
      </c>
      <c r="Q8" s="404">
        <f t="shared" si="2"/>
        <v>1</v>
      </c>
      <c r="R8" s="382"/>
      <c r="S8" s="404"/>
      <c r="Z8" s="404" t="s">
        <v>492</v>
      </c>
      <c r="AA8" s="404">
        <v>1</v>
      </c>
      <c r="AF8" s="428" t="s">
        <v>129</v>
      </c>
      <c r="AG8" s="428" t="s">
        <v>129</v>
      </c>
    </row>
    <row r="9" spans="1:35">
      <c r="A9" s="698" t="s">
        <v>493</v>
      </c>
      <c r="B9" s="91" t="s">
        <v>494</v>
      </c>
      <c r="C9" s="404" t="s">
        <v>495</v>
      </c>
      <c r="D9" s="404" t="s">
        <v>464</v>
      </c>
      <c r="E9" s="404"/>
      <c r="F9" s="382" t="s">
        <v>124</v>
      </c>
      <c r="G9" s="404"/>
      <c r="H9" s="521" t="s">
        <v>465</v>
      </c>
      <c r="I9" s="404" t="s">
        <v>495</v>
      </c>
      <c r="J9" s="404" t="s">
        <v>493</v>
      </c>
      <c r="K9" s="404" t="s">
        <v>216</v>
      </c>
      <c r="L9" s="404">
        <f t="shared" ref="L9:L49" si="4">IF(K9=$V$3,$W$3,IF(K9=$V$3,$W$3,IF(K9=$V$4,$W$4,IF(K9=$V$5,$W$5,IF(K9=$V$6,$W$6,IF(K9=$V$7,$W$7))))))</f>
        <v>2</v>
      </c>
      <c r="M9" s="517" t="str">
        <f t="shared" si="3"/>
        <v>Same distinctiveness or better habitat required ≥</v>
      </c>
      <c r="N9" s="404" t="s">
        <v>216</v>
      </c>
      <c r="O9" s="404">
        <f t="shared" si="1"/>
        <v>1</v>
      </c>
      <c r="P9" s="404" t="s">
        <v>216</v>
      </c>
      <c r="Q9" s="404">
        <f t="shared" si="2"/>
        <v>1</v>
      </c>
      <c r="R9" s="382"/>
      <c r="S9" s="404"/>
      <c r="Z9" s="404" t="s">
        <v>496</v>
      </c>
      <c r="AA9" s="404">
        <v>0</v>
      </c>
      <c r="AF9" s="404" t="s">
        <v>130</v>
      </c>
      <c r="AG9" s="404" t="s">
        <v>130</v>
      </c>
    </row>
    <row r="10" spans="1:35">
      <c r="A10" s="698" t="s">
        <v>497</v>
      </c>
      <c r="B10" s="91" t="s">
        <v>498</v>
      </c>
      <c r="C10" s="404" t="s">
        <v>499</v>
      </c>
      <c r="D10" s="404" t="s">
        <v>464</v>
      </c>
      <c r="E10" s="404"/>
      <c r="F10" s="382" t="s">
        <v>124</v>
      </c>
      <c r="G10" s="404"/>
      <c r="H10" s="521" t="s">
        <v>465</v>
      </c>
      <c r="I10" s="404" t="s">
        <v>499</v>
      </c>
      <c r="J10" s="404" t="s">
        <v>497</v>
      </c>
      <c r="K10" s="404" t="s">
        <v>216</v>
      </c>
      <c r="L10" s="404">
        <f t="shared" si="4"/>
        <v>2</v>
      </c>
      <c r="M10" s="517" t="str">
        <f t="shared" si="3"/>
        <v>Same distinctiveness or better habitat required ≥</v>
      </c>
      <c r="N10" s="404" t="s">
        <v>216</v>
      </c>
      <c r="O10" s="404">
        <f t="shared" si="1"/>
        <v>1</v>
      </c>
      <c r="P10" s="404" t="s">
        <v>216</v>
      </c>
      <c r="Q10" s="404">
        <f t="shared" si="2"/>
        <v>1</v>
      </c>
      <c r="R10" s="382"/>
      <c r="S10" s="404"/>
      <c r="AF10" s="404" t="s">
        <v>131</v>
      </c>
      <c r="AG10" s="404" t="s">
        <v>500</v>
      </c>
    </row>
    <row r="11" spans="1:35">
      <c r="A11" s="698" t="s">
        <v>501</v>
      </c>
      <c r="B11" s="91" t="s">
        <v>502</v>
      </c>
      <c r="C11" s="404" t="s">
        <v>503</v>
      </c>
      <c r="D11" s="404" t="s">
        <v>464</v>
      </c>
      <c r="E11" s="404"/>
      <c r="F11" s="382" t="s">
        <v>124</v>
      </c>
      <c r="G11" s="404"/>
      <c r="H11" s="521" t="s">
        <v>465</v>
      </c>
      <c r="I11" s="404" t="s">
        <v>503</v>
      </c>
      <c r="J11" s="404" t="s">
        <v>501</v>
      </c>
      <c r="K11" s="404" t="s">
        <v>216</v>
      </c>
      <c r="L11" s="404">
        <f t="shared" si="4"/>
        <v>2</v>
      </c>
      <c r="M11" s="517" t="str">
        <f t="shared" si="3"/>
        <v>Same distinctiveness or better habitat required ≥</v>
      </c>
      <c r="N11" s="404" t="s">
        <v>216</v>
      </c>
      <c r="O11" s="404">
        <f t="shared" si="1"/>
        <v>1</v>
      </c>
      <c r="P11" s="404" t="s">
        <v>216</v>
      </c>
      <c r="Q11" s="404">
        <f t="shared" si="2"/>
        <v>1</v>
      </c>
      <c r="R11" s="382"/>
      <c r="S11" s="404"/>
      <c r="AF11" s="404" t="s">
        <v>135</v>
      </c>
      <c r="AG11" s="404" t="s">
        <v>504</v>
      </c>
    </row>
    <row r="12" spans="1:35" ht="15.75" thickBot="1">
      <c r="A12" s="698" t="s">
        <v>505</v>
      </c>
      <c r="B12" s="178" t="s">
        <v>506</v>
      </c>
      <c r="C12" s="388" t="s">
        <v>507</v>
      </c>
      <c r="D12" s="388" t="s">
        <v>464</v>
      </c>
      <c r="E12" s="388"/>
      <c r="F12" s="371" t="s">
        <v>124</v>
      </c>
      <c r="G12" s="388"/>
      <c r="H12" s="522" t="s">
        <v>465</v>
      </c>
      <c r="I12" s="388" t="s">
        <v>507</v>
      </c>
      <c r="J12" s="388" t="s">
        <v>505</v>
      </c>
      <c r="K12" s="388" t="s">
        <v>216</v>
      </c>
      <c r="L12" s="388">
        <f t="shared" si="4"/>
        <v>2</v>
      </c>
      <c r="M12" s="518" t="str">
        <f t="shared" si="3"/>
        <v>Same distinctiveness or better habitat required ≥</v>
      </c>
      <c r="N12" s="388" t="s">
        <v>216</v>
      </c>
      <c r="O12" s="388">
        <f t="shared" si="1"/>
        <v>1</v>
      </c>
      <c r="P12" s="388" t="s">
        <v>216</v>
      </c>
      <c r="Q12" s="388">
        <f t="shared" si="2"/>
        <v>1</v>
      </c>
      <c r="R12" s="371"/>
      <c r="S12" s="388"/>
      <c r="AF12" s="404" t="s">
        <v>984</v>
      </c>
      <c r="AG12" s="404" t="s">
        <v>1683</v>
      </c>
    </row>
    <row r="13" spans="1:35">
      <c r="A13" s="698" t="s">
        <v>508</v>
      </c>
      <c r="B13" s="179" t="s">
        <v>509</v>
      </c>
      <c r="C13" s="383">
        <v>21</v>
      </c>
      <c r="D13" s="383" t="s">
        <v>464</v>
      </c>
      <c r="E13" s="383"/>
      <c r="F13" s="382" t="s">
        <v>125</v>
      </c>
      <c r="G13" s="383"/>
      <c r="H13" s="523" t="s">
        <v>508</v>
      </c>
      <c r="I13" s="383"/>
      <c r="J13" s="383" t="s">
        <v>508</v>
      </c>
      <c r="K13" s="383" t="s">
        <v>213</v>
      </c>
      <c r="L13" s="383">
        <f t="shared" si="4"/>
        <v>6</v>
      </c>
      <c r="M13" s="519" t="str">
        <f t="shared" si="3"/>
        <v>Same habitat required =</v>
      </c>
      <c r="N13" s="383" t="s">
        <v>216</v>
      </c>
      <c r="O13" s="383">
        <f t="shared" si="1"/>
        <v>1</v>
      </c>
      <c r="P13" s="383" t="s">
        <v>70</v>
      </c>
      <c r="Q13" s="383">
        <f t="shared" si="2"/>
        <v>0.67</v>
      </c>
      <c r="R13" s="370"/>
      <c r="S13" s="383"/>
      <c r="AF13" s="404" t="s">
        <v>987</v>
      </c>
      <c r="AG13" s="404" t="s">
        <v>1684</v>
      </c>
    </row>
    <row r="14" spans="1:35">
      <c r="A14" s="698" t="s">
        <v>510</v>
      </c>
      <c r="B14" s="91" t="s">
        <v>511</v>
      </c>
      <c r="C14" s="404" t="s">
        <v>512</v>
      </c>
      <c r="D14" s="404" t="s">
        <v>464</v>
      </c>
      <c r="E14" s="404"/>
      <c r="F14" s="382" t="s">
        <v>125</v>
      </c>
      <c r="G14" s="404"/>
      <c r="H14" s="521" t="s">
        <v>513</v>
      </c>
      <c r="I14" s="404" t="s">
        <v>512</v>
      </c>
      <c r="J14" s="404" t="s">
        <v>510</v>
      </c>
      <c r="K14" s="404" t="s">
        <v>216</v>
      </c>
      <c r="L14" s="404">
        <f t="shared" si="4"/>
        <v>2</v>
      </c>
      <c r="M14" s="517" t="str">
        <f t="shared" si="3"/>
        <v>Same distinctiveness or better habitat required ≥</v>
      </c>
      <c r="N14" s="404" t="s">
        <v>216</v>
      </c>
      <c r="O14" s="404">
        <f t="shared" si="1"/>
        <v>1</v>
      </c>
      <c r="P14" s="404" t="s">
        <v>216</v>
      </c>
      <c r="Q14" s="404">
        <f t="shared" si="2"/>
        <v>1</v>
      </c>
      <c r="R14" s="382"/>
      <c r="S14" s="404"/>
      <c r="AF14" s="404" t="s">
        <v>132</v>
      </c>
      <c r="AG14" s="404" t="s">
        <v>514</v>
      </c>
    </row>
    <row r="15" spans="1:35" ht="30">
      <c r="A15" s="698" t="s">
        <v>515</v>
      </c>
      <c r="B15" s="91" t="s">
        <v>516</v>
      </c>
      <c r="C15" s="404" t="s">
        <v>517</v>
      </c>
      <c r="D15" s="404" t="s">
        <v>464</v>
      </c>
      <c r="E15" s="404"/>
      <c r="F15" s="382" t="s">
        <v>125</v>
      </c>
      <c r="G15" s="404"/>
      <c r="H15" s="521" t="s">
        <v>518</v>
      </c>
      <c r="I15" s="404"/>
      <c r="J15" s="404" t="s">
        <v>518</v>
      </c>
      <c r="K15" s="404" t="s">
        <v>213</v>
      </c>
      <c r="L15" s="404">
        <f t="shared" si="4"/>
        <v>6</v>
      </c>
      <c r="M15" s="517" t="str">
        <f t="shared" si="3"/>
        <v>Same habitat required =</v>
      </c>
      <c r="N15" s="404" t="s">
        <v>213</v>
      </c>
      <c r="O15" s="404">
        <f t="shared" si="1"/>
        <v>0.33</v>
      </c>
      <c r="P15" s="404" t="s">
        <v>70</v>
      </c>
      <c r="Q15" s="404">
        <f t="shared" si="2"/>
        <v>0.67</v>
      </c>
      <c r="R15" s="382"/>
      <c r="S15" s="404"/>
      <c r="AF15" s="404" t="s">
        <v>136</v>
      </c>
      <c r="AG15" s="404" t="s">
        <v>519</v>
      </c>
    </row>
    <row r="16" spans="1:35">
      <c r="A16" s="698" t="s">
        <v>520</v>
      </c>
      <c r="B16" s="91" t="s">
        <v>521</v>
      </c>
      <c r="C16" s="404" t="s">
        <v>522</v>
      </c>
      <c r="D16" s="404" t="s">
        <v>464</v>
      </c>
      <c r="E16" s="404"/>
      <c r="F16" s="382" t="s">
        <v>125</v>
      </c>
      <c r="G16" s="404" t="s">
        <v>523</v>
      </c>
      <c r="H16" s="521" t="s">
        <v>524</v>
      </c>
      <c r="I16" s="404" t="s">
        <v>522</v>
      </c>
      <c r="J16" s="429" t="s">
        <v>520</v>
      </c>
      <c r="K16" s="404" t="s">
        <v>213</v>
      </c>
      <c r="L16" s="404">
        <f t="shared" si="4"/>
        <v>6</v>
      </c>
      <c r="M16" s="517" t="str">
        <f t="shared" si="3"/>
        <v>Same habitat required =</v>
      </c>
      <c r="N16" s="404" t="s">
        <v>213</v>
      </c>
      <c r="O16" s="404">
        <f t="shared" si="1"/>
        <v>0.33</v>
      </c>
      <c r="P16" s="404" t="s">
        <v>213</v>
      </c>
      <c r="Q16" s="404">
        <f t="shared" si="2"/>
        <v>0.33</v>
      </c>
      <c r="R16" s="382"/>
      <c r="S16" s="404"/>
      <c r="AF16" s="404" t="s">
        <v>137</v>
      </c>
      <c r="AG16" s="404" t="s">
        <v>525</v>
      </c>
    </row>
    <row r="17" spans="1:33">
      <c r="A17" s="698" t="s">
        <v>526</v>
      </c>
      <c r="B17" s="91" t="s">
        <v>527</v>
      </c>
      <c r="C17" s="404" t="s">
        <v>528</v>
      </c>
      <c r="D17" s="404" t="s">
        <v>464</v>
      </c>
      <c r="E17" s="404" t="s">
        <v>529</v>
      </c>
      <c r="F17" s="382" t="s">
        <v>125</v>
      </c>
      <c r="G17" s="404" t="s">
        <v>530</v>
      </c>
      <c r="H17" s="521" t="s">
        <v>513</v>
      </c>
      <c r="I17" s="404" t="s">
        <v>528</v>
      </c>
      <c r="J17" s="429" t="s">
        <v>526</v>
      </c>
      <c r="K17" s="404" t="s">
        <v>467</v>
      </c>
      <c r="L17" s="404">
        <f t="shared" si="4"/>
        <v>8</v>
      </c>
      <c r="M17" s="517" t="str">
        <f t="shared" si="3"/>
        <v>Bespoke compensation likely to be required 🛠</v>
      </c>
      <c r="N17" s="404" t="s">
        <v>213</v>
      </c>
      <c r="O17" s="404">
        <f t="shared" si="1"/>
        <v>0.33</v>
      </c>
      <c r="P17" s="404" t="s">
        <v>213</v>
      </c>
      <c r="Q17" s="404">
        <f t="shared" si="2"/>
        <v>0.33</v>
      </c>
      <c r="R17" s="382"/>
      <c r="S17" s="404"/>
      <c r="AF17" s="404" t="s">
        <v>138</v>
      </c>
      <c r="AG17" s="404" t="s">
        <v>531</v>
      </c>
    </row>
    <row r="18" spans="1:33">
      <c r="A18" s="698" t="s">
        <v>532</v>
      </c>
      <c r="B18" s="91" t="s">
        <v>533</v>
      </c>
      <c r="C18" s="404" t="s">
        <v>534</v>
      </c>
      <c r="D18" s="404" t="s">
        <v>464</v>
      </c>
      <c r="E18" s="404"/>
      <c r="F18" s="382" t="s">
        <v>125</v>
      </c>
      <c r="G18" s="404" t="s">
        <v>535</v>
      </c>
      <c r="H18" s="521" t="s">
        <v>536</v>
      </c>
      <c r="I18" s="404" t="s">
        <v>534</v>
      </c>
      <c r="J18" s="429" t="s">
        <v>532</v>
      </c>
      <c r="K18" s="404" t="s">
        <v>467</v>
      </c>
      <c r="L18" s="404">
        <f t="shared" si="4"/>
        <v>8</v>
      </c>
      <c r="M18" s="517" t="str">
        <f t="shared" si="3"/>
        <v>Bespoke compensation likely to be required 🛠</v>
      </c>
      <c r="N18" s="404" t="s">
        <v>213</v>
      </c>
      <c r="O18" s="404">
        <f t="shared" si="1"/>
        <v>0.33</v>
      </c>
      <c r="P18" s="404" t="s">
        <v>70</v>
      </c>
      <c r="Q18" s="404">
        <f t="shared" si="2"/>
        <v>0.67</v>
      </c>
      <c r="R18" s="382"/>
      <c r="S18" s="404"/>
    </row>
    <row r="19" spans="1:33">
      <c r="A19" s="698" t="s">
        <v>537</v>
      </c>
      <c r="B19" s="91" t="s">
        <v>538</v>
      </c>
      <c r="C19" s="404" t="s">
        <v>539</v>
      </c>
      <c r="D19" s="404" t="s">
        <v>464</v>
      </c>
      <c r="E19" s="404"/>
      <c r="F19" s="382" t="s">
        <v>125</v>
      </c>
      <c r="G19" s="404" t="s">
        <v>539</v>
      </c>
      <c r="H19" s="521" t="s">
        <v>537</v>
      </c>
      <c r="I19" s="382" t="s">
        <v>540</v>
      </c>
      <c r="J19" s="382" t="s">
        <v>537</v>
      </c>
      <c r="K19" s="404" t="s">
        <v>216</v>
      </c>
      <c r="L19" s="404">
        <f t="shared" si="4"/>
        <v>2</v>
      </c>
      <c r="M19" s="517" t="str">
        <f t="shared" si="3"/>
        <v>Same distinctiveness or better habitat required ≥</v>
      </c>
      <c r="N19" s="404" t="s">
        <v>216</v>
      </c>
      <c r="O19" s="404">
        <f t="shared" si="1"/>
        <v>1</v>
      </c>
      <c r="P19" s="404" t="s">
        <v>216</v>
      </c>
      <c r="Q19" s="404">
        <f t="shared" si="2"/>
        <v>1</v>
      </c>
      <c r="R19" s="382"/>
      <c r="S19" s="404"/>
    </row>
    <row r="20" spans="1:33">
      <c r="A20" s="698" t="s">
        <v>541</v>
      </c>
      <c r="B20" s="91" t="s">
        <v>542</v>
      </c>
      <c r="C20" s="404" t="s">
        <v>543</v>
      </c>
      <c r="D20" s="404" t="s">
        <v>464</v>
      </c>
      <c r="E20" s="404"/>
      <c r="F20" s="382" t="s">
        <v>125</v>
      </c>
      <c r="G20" s="404"/>
      <c r="H20" s="521" t="s">
        <v>513</v>
      </c>
      <c r="I20" s="404" t="s">
        <v>543</v>
      </c>
      <c r="J20" s="404" t="s">
        <v>541</v>
      </c>
      <c r="K20" s="404" t="s">
        <v>70</v>
      </c>
      <c r="L20" s="404">
        <f t="shared" si="4"/>
        <v>4</v>
      </c>
      <c r="M20" s="517" t="str">
        <f t="shared" si="3"/>
        <v>Same broad habitat or a higher distinctiveness habitat required (≥)</v>
      </c>
      <c r="N20" s="404" t="s">
        <v>216</v>
      </c>
      <c r="O20" s="404">
        <f t="shared" si="1"/>
        <v>1</v>
      </c>
      <c r="P20" s="404" t="s">
        <v>216</v>
      </c>
      <c r="Q20" s="404">
        <f t="shared" si="2"/>
        <v>1</v>
      </c>
      <c r="R20" s="382"/>
      <c r="S20" s="404"/>
    </row>
    <row r="21" spans="1:33">
      <c r="A21" s="698" t="s">
        <v>544</v>
      </c>
      <c r="B21" s="91" t="s">
        <v>545</v>
      </c>
      <c r="C21" s="404" t="s">
        <v>546</v>
      </c>
      <c r="D21" s="404" t="s">
        <v>464</v>
      </c>
      <c r="E21" s="404"/>
      <c r="F21" s="382" t="s">
        <v>125</v>
      </c>
      <c r="G21" s="404"/>
      <c r="H21" s="521" t="s">
        <v>536</v>
      </c>
      <c r="I21" s="404" t="s">
        <v>546</v>
      </c>
      <c r="J21" s="404" t="s">
        <v>544</v>
      </c>
      <c r="K21" s="404" t="s">
        <v>70</v>
      </c>
      <c r="L21" s="404">
        <f t="shared" si="4"/>
        <v>4</v>
      </c>
      <c r="M21" s="517" t="str">
        <f t="shared" si="3"/>
        <v>Same broad habitat or a higher distinctiveness habitat required (≥)</v>
      </c>
      <c r="N21" s="404" t="s">
        <v>216</v>
      </c>
      <c r="O21" s="404">
        <f t="shared" si="1"/>
        <v>1</v>
      </c>
      <c r="P21" s="404" t="s">
        <v>216</v>
      </c>
      <c r="Q21" s="404">
        <f t="shared" si="2"/>
        <v>1</v>
      </c>
      <c r="R21" s="382"/>
      <c r="S21" s="404"/>
    </row>
    <row r="22" spans="1:33">
      <c r="A22" s="698" t="s">
        <v>547</v>
      </c>
      <c r="B22" s="91" t="s">
        <v>548</v>
      </c>
      <c r="C22" s="404" t="s">
        <v>549</v>
      </c>
      <c r="D22" s="404" t="s">
        <v>464</v>
      </c>
      <c r="E22" s="404"/>
      <c r="F22" s="382" t="s">
        <v>125</v>
      </c>
      <c r="G22" s="404" t="s">
        <v>550</v>
      </c>
      <c r="H22" s="521" t="s">
        <v>551</v>
      </c>
      <c r="I22" s="382"/>
      <c r="J22" s="404" t="s">
        <v>552</v>
      </c>
      <c r="K22" s="404" t="s">
        <v>213</v>
      </c>
      <c r="L22" s="404">
        <f t="shared" si="4"/>
        <v>6</v>
      </c>
      <c r="M22" s="517" t="str">
        <f t="shared" si="3"/>
        <v>Same habitat required =</v>
      </c>
      <c r="N22" s="404" t="s">
        <v>213</v>
      </c>
      <c r="O22" s="404">
        <f t="shared" si="1"/>
        <v>0.33</v>
      </c>
      <c r="P22" s="404" t="s">
        <v>213</v>
      </c>
      <c r="Q22" s="404">
        <f t="shared" si="2"/>
        <v>0.33</v>
      </c>
      <c r="R22" s="382"/>
      <c r="S22" s="404"/>
    </row>
    <row r="23" spans="1:33">
      <c r="A23" s="698" t="s">
        <v>553</v>
      </c>
      <c r="B23" s="91" t="s">
        <v>554</v>
      </c>
      <c r="C23" s="404" t="s">
        <v>555</v>
      </c>
      <c r="D23" s="404" t="s">
        <v>464</v>
      </c>
      <c r="E23" s="404"/>
      <c r="F23" s="382" t="s">
        <v>125</v>
      </c>
      <c r="G23" s="404"/>
      <c r="H23" s="521" t="s">
        <v>513</v>
      </c>
      <c r="I23" s="404" t="s">
        <v>555</v>
      </c>
      <c r="J23" s="429" t="s">
        <v>553</v>
      </c>
      <c r="K23" s="404" t="s">
        <v>70</v>
      </c>
      <c r="L23" s="404">
        <f t="shared" si="4"/>
        <v>4</v>
      </c>
      <c r="M23" s="517" t="str">
        <f t="shared" si="3"/>
        <v>Same broad habitat or a higher distinctiveness habitat required (≥)</v>
      </c>
      <c r="N23" s="404" t="s">
        <v>216</v>
      </c>
      <c r="O23" s="404">
        <f t="shared" si="1"/>
        <v>1</v>
      </c>
      <c r="P23" s="404" t="s">
        <v>216</v>
      </c>
      <c r="Q23" s="404">
        <f t="shared" si="2"/>
        <v>1</v>
      </c>
      <c r="R23" s="382"/>
      <c r="S23" s="404"/>
    </row>
    <row r="24" spans="1:33">
      <c r="A24" s="698" t="s">
        <v>556</v>
      </c>
      <c r="B24" s="91" t="s">
        <v>557</v>
      </c>
      <c r="C24" s="404" t="s">
        <v>558</v>
      </c>
      <c r="D24" s="404" t="s">
        <v>464</v>
      </c>
      <c r="E24" s="404"/>
      <c r="F24" s="382" t="s">
        <v>125</v>
      </c>
      <c r="G24" s="404"/>
      <c r="H24" s="521" t="s">
        <v>524</v>
      </c>
      <c r="I24" s="404" t="s">
        <v>558</v>
      </c>
      <c r="J24" s="429" t="s">
        <v>556</v>
      </c>
      <c r="K24" s="404" t="s">
        <v>213</v>
      </c>
      <c r="L24" s="404">
        <f t="shared" si="4"/>
        <v>6</v>
      </c>
      <c r="M24" s="517" t="str">
        <f t="shared" si="3"/>
        <v>Same habitat required =</v>
      </c>
      <c r="N24" s="404" t="s">
        <v>213</v>
      </c>
      <c r="O24" s="404">
        <f t="shared" si="1"/>
        <v>0.33</v>
      </c>
      <c r="P24" s="404" t="s">
        <v>213</v>
      </c>
      <c r="Q24" s="404">
        <f t="shared" si="2"/>
        <v>0.33</v>
      </c>
      <c r="R24" s="382"/>
      <c r="S24" s="404"/>
    </row>
    <row r="25" spans="1:33" ht="15.75" thickBot="1">
      <c r="A25" s="698" t="s">
        <v>559</v>
      </c>
      <c r="B25" s="178" t="s">
        <v>560</v>
      </c>
      <c r="C25" s="388" t="s">
        <v>561</v>
      </c>
      <c r="D25" s="388" t="s">
        <v>464</v>
      </c>
      <c r="E25" s="388"/>
      <c r="F25" s="371" t="s">
        <v>125</v>
      </c>
      <c r="G25" s="388"/>
      <c r="H25" s="522" t="s">
        <v>536</v>
      </c>
      <c r="I25" s="388" t="s">
        <v>561</v>
      </c>
      <c r="J25" s="431" t="s">
        <v>559</v>
      </c>
      <c r="K25" s="388" t="s">
        <v>467</v>
      </c>
      <c r="L25" s="388">
        <f t="shared" si="4"/>
        <v>8</v>
      </c>
      <c r="M25" s="518" t="str">
        <f t="shared" si="3"/>
        <v>Bespoke compensation likely to be required 🛠</v>
      </c>
      <c r="N25" s="388" t="s">
        <v>213</v>
      </c>
      <c r="O25" s="388">
        <f t="shared" si="1"/>
        <v>0.33</v>
      </c>
      <c r="P25" s="388" t="s">
        <v>70</v>
      </c>
      <c r="Q25" s="388">
        <f t="shared" si="2"/>
        <v>0.67</v>
      </c>
      <c r="R25" s="371"/>
      <c r="S25" s="388"/>
    </row>
    <row r="26" spans="1:33">
      <c r="A26" s="698" t="s">
        <v>562</v>
      </c>
      <c r="B26" s="179" t="s">
        <v>563</v>
      </c>
      <c r="C26" s="383" t="s">
        <v>564</v>
      </c>
      <c r="D26" s="383" t="s">
        <v>464</v>
      </c>
      <c r="E26" s="383"/>
      <c r="F26" s="370" t="s">
        <v>126</v>
      </c>
      <c r="G26" s="383" t="s">
        <v>565</v>
      </c>
      <c r="H26" s="523" t="s">
        <v>566</v>
      </c>
      <c r="I26" s="383" t="s">
        <v>564</v>
      </c>
      <c r="J26" s="383" t="s">
        <v>562</v>
      </c>
      <c r="K26" s="383" t="s">
        <v>70</v>
      </c>
      <c r="L26" s="383">
        <f t="shared" si="4"/>
        <v>4</v>
      </c>
      <c r="M26" s="519" t="str">
        <f t="shared" si="3"/>
        <v>Same broad habitat or a higher distinctiveness habitat required (≥)</v>
      </c>
      <c r="N26" s="383" t="s">
        <v>216</v>
      </c>
      <c r="O26" s="383">
        <f t="shared" si="1"/>
        <v>1</v>
      </c>
      <c r="P26" s="383" t="s">
        <v>216</v>
      </c>
      <c r="Q26" s="383">
        <f t="shared" si="2"/>
        <v>1</v>
      </c>
      <c r="R26" s="370"/>
      <c r="S26" s="383"/>
    </row>
    <row r="27" spans="1:33">
      <c r="A27" s="698" t="s">
        <v>567</v>
      </c>
      <c r="B27" s="91" t="s">
        <v>568</v>
      </c>
      <c r="C27" s="404" t="s">
        <v>569</v>
      </c>
      <c r="D27" s="404" t="s">
        <v>464</v>
      </c>
      <c r="E27" s="404"/>
      <c r="F27" s="382" t="s">
        <v>126</v>
      </c>
      <c r="G27" s="404"/>
      <c r="H27" s="521" t="s">
        <v>566</v>
      </c>
      <c r="I27" s="404" t="s">
        <v>569</v>
      </c>
      <c r="J27" s="404" t="s">
        <v>567</v>
      </c>
      <c r="K27" s="404" t="s">
        <v>70</v>
      </c>
      <c r="L27" s="404">
        <f t="shared" si="4"/>
        <v>4</v>
      </c>
      <c r="M27" s="517" t="str">
        <f t="shared" si="3"/>
        <v>Same broad habitat or a higher distinctiveness habitat required (≥)</v>
      </c>
      <c r="N27" s="404" t="s">
        <v>216</v>
      </c>
      <c r="O27" s="404">
        <f t="shared" si="1"/>
        <v>1</v>
      </c>
      <c r="P27" s="404" t="s">
        <v>216</v>
      </c>
      <c r="Q27" s="404">
        <f t="shared" si="2"/>
        <v>1</v>
      </c>
      <c r="R27" s="382"/>
      <c r="S27" s="404"/>
    </row>
    <row r="28" spans="1:33">
      <c r="A28" s="698" t="s">
        <v>570</v>
      </c>
      <c r="B28" s="91" t="s">
        <v>571</v>
      </c>
      <c r="C28" s="404" t="s">
        <v>572</v>
      </c>
      <c r="D28" s="404" t="s">
        <v>464</v>
      </c>
      <c r="E28" s="404"/>
      <c r="F28" s="382" t="s">
        <v>126</v>
      </c>
      <c r="G28" s="404"/>
      <c r="H28" s="521" t="s">
        <v>566</v>
      </c>
      <c r="I28" s="404" t="s">
        <v>572</v>
      </c>
      <c r="J28" s="404" t="s">
        <v>570</v>
      </c>
      <c r="K28" s="404" t="s">
        <v>70</v>
      </c>
      <c r="L28" s="404">
        <f t="shared" si="4"/>
        <v>4</v>
      </c>
      <c r="M28" s="517" t="str">
        <f t="shared" si="3"/>
        <v>Same broad habitat or a higher distinctiveness habitat required (≥)</v>
      </c>
      <c r="N28" s="404" t="s">
        <v>216</v>
      </c>
      <c r="O28" s="404">
        <f t="shared" si="1"/>
        <v>1</v>
      </c>
      <c r="P28" s="404" t="s">
        <v>216</v>
      </c>
      <c r="Q28" s="404">
        <f t="shared" si="2"/>
        <v>1</v>
      </c>
      <c r="R28" s="382"/>
      <c r="S28" s="404"/>
    </row>
    <row r="29" spans="1:33">
      <c r="A29" s="698" t="s">
        <v>573</v>
      </c>
      <c r="B29" s="91" t="s">
        <v>574</v>
      </c>
      <c r="C29" s="404" t="s">
        <v>575</v>
      </c>
      <c r="D29" s="404" t="s">
        <v>464</v>
      </c>
      <c r="E29" s="404"/>
      <c r="F29" s="382" t="s">
        <v>126</v>
      </c>
      <c r="G29" s="404"/>
      <c r="H29" s="521" t="s">
        <v>566</v>
      </c>
      <c r="I29" s="404" t="s">
        <v>575</v>
      </c>
      <c r="J29" s="404" t="s">
        <v>573</v>
      </c>
      <c r="K29" s="404" t="s">
        <v>70</v>
      </c>
      <c r="L29" s="404">
        <f t="shared" si="4"/>
        <v>4</v>
      </c>
      <c r="M29" s="517" t="str">
        <f t="shared" si="3"/>
        <v>Same broad habitat or a higher distinctiveness habitat required (≥)</v>
      </c>
      <c r="N29" s="404" t="s">
        <v>216</v>
      </c>
      <c r="O29" s="404">
        <f t="shared" si="1"/>
        <v>1</v>
      </c>
      <c r="P29" s="404" t="s">
        <v>216</v>
      </c>
      <c r="Q29" s="404">
        <f t="shared" si="2"/>
        <v>1</v>
      </c>
      <c r="R29" s="382"/>
      <c r="S29" s="404"/>
    </row>
    <row r="30" spans="1:33">
      <c r="A30" s="698" t="s">
        <v>576</v>
      </c>
      <c r="B30" s="91" t="s">
        <v>577</v>
      </c>
      <c r="C30" s="404" t="s">
        <v>578</v>
      </c>
      <c r="D30" s="404" t="s">
        <v>464</v>
      </c>
      <c r="E30" s="404"/>
      <c r="F30" s="382" t="s">
        <v>126</v>
      </c>
      <c r="G30" s="404"/>
      <c r="H30" s="521" t="s">
        <v>566</v>
      </c>
      <c r="I30" s="404" t="s">
        <v>578</v>
      </c>
      <c r="J30" s="404" t="s">
        <v>576</v>
      </c>
      <c r="K30" s="404" t="s">
        <v>70</v>
      </c>
      <c r="L30" s="404">
        <f t="shared" si="4"/>
        <v>4</v>
      </c>
      <c r="M30" s="517" t="str">
        <f t="shared" si="3"/>
        <v>Same broad habitat or a higher distinctiveness habitat required (≥)</v>
      </c>
      <c r="N30" s="404" t="s">
        <v>70</v>
      </c>
      <c r="O30" s="404">
        <f t="shared" si="1"/>
        <v>0.67</v>
      </c>
      <c r="P30" s="404" t="s">
        <v>216</v>
      </c>
      <c r="Q30" s="404">
        <f t="shared" si="2"/>
        <v>1</v>
      </c>
      <c r="R30" s="382"/>
      <c r="S30" s="404"/>
    </row>
    <row r="31" spans="1:33">
      <c r="A31" s="698" t="s">
        <v>579</v>
      </c>
      <c r="B31" s="91" t="s">
        <v>580</v>
      </c>
      <c r="C31" s="404" t="s">
        <v>581</v>
      </c>
      <c r="D31" s="404" t="s">
        <v>464</v>
      </c>
      <c r="E31" s="404" t="s">
        <v>582</v>
      </c>
      <c r="F31" s="382" t="s">
        <v>126</v>
      </c>
      <c r="G31" s="404" t="s">
        <v>583</v>
      </c>
      <c r="H31" s="521" t="s">
        <v>584</v>
      </c>
      <c r="I31" s="404" t="s">
        <v>581</v>
      </c>
      <c r="J31" s="429" t="s">
        <v>585</v>
      </c>
      <c r="K31" s="404" t="s">
        <v>213</v>
      </c>
      <c r="L31" s="404">
        <f t="shared" si="4"/>
        <v>6</v>
      </c>
      <c r="M31" s="517" t="str">
        <f t="shared" si="3"/>
        <v>Same habitat required =</v>
      </c>
      <c r="N31" s="404" t="s">
        <v>213</v>
      </c>
      <c r="O31" s="404">
        <f t="shared" si="1"/>
        <v>0.33</v>
      </c>
      <c r="P31" s="404" t="s">
        <v>70</v>
      </c>
      <c r="Q31" s="404">
        <f t="shared" si="2"/>
        <v>0.67</v>
      </c>
      <c r="R31" s="382"/>
      <c r="S31" s="404"/>
    </row>
    <row r="32" spans="1:33" ht="30">
      <c r="A32" s="698" t="s">
        <v>586</v>
      </c>
      <c r="B32" s="91" t="s">
        <v>587</v>
      </c>
      <c r="C32" s="404" t="s">
        <v>588</v>
      </c>
      <c r="D32" s="404" t="s">
        <v>464</v>
      </c>
      <c r="E32" s="404"/>
      <c r="F32" s="382" t="s">
        <v>126</v>
      </c>
      <c r="G32" s="404"/>
      <c r="H32" s="521" t="s">
        <v>566</v>
      </c>
      <c r="I32" s="404" t="s">
        <v>588</v>
      </c>
      <c r="J32" s="404" t="s">
        <v>586</v>
      </c>
      <c r="K32" s="404" t="s">
        <v>70</v>
      </c>
      <c r="L32" s="404">
        <f t="shared" si="4"/>
        <v>4</v>
      </c>
      <c r="M32" s="517" t="str">
        <f t="shared" si="3"/>
        <v>Same broad habitat or a higher distinctiveness habitat required (≥)</v>
      </c>
      <c r="N32" s="404" t="s">
        <v>216</v>
      </c>
      <c r="O32" s="404">
        <f t="shared" si="1"/>
        <v>1</v>
      </c>
      <c r="P32" s="404" t="s">
        <v>216</v>
      </c>
      <c r="Q32" s="404">
        <f t="shared" si="2"/>
        <v>1</v>
      </c>
      <c r="R32" s="382" t="s">
        <v>589</v>
      </c>
      <c r="S32" s="404"/>
    </row>
    <row r="33" spans="1:19">
      <c r="A33" s="698" t="s">
        <v>590</v>
      </c>
      <c r="B33" s="91" t="s">
        <v>591</v>
      </c>
      <c r="C33" s="404" t="s">
        <v>592</v>
      </c>
      <c r="D33" s="404" t="s">
        <v>464</v>
      </c>
      <c r="E33" s="404"/>
      <c r="F33" s="382" t="s">
        <v>126</v>
      </c>
      <c r="G33" s="404"/>
      <c r="H33" s="521" t="s">
        <v>584</v>
      </c>
      <c r="I33" s="404" t="s">
        <v>592</v>
      </c>
      <c r="J33" s="429" t="s">
        <v>590</v>
      </c>
      <c r="K33" s="404" t="s">
        <v>467</v>
      </c>
      <c r="L33" s="404">
        <f t="shared" si="4"/>
        <v>8</v>
      </c>
      <c r="M33" s="517" t="str">
        <f t="shared" si="3"/>
        <v>Bespoke compensation likely to be required 🛠</v>
      </c>
      <c r="N33" s="404" t="s">
        <v>213</v>
      </c>
      <c r="O33" s="404">
        <f t="shared" si="1"/>
        <v>0.33</v>
      </c>
      <c r="P33" s="404" t="s">
        <v>213</v>
      </c>
      <c r="Q33" s="404">
        <f t="shared" si="2"/>
        <v>0.33</v>
      </c>
      <c r="R33" s="382"/>
      <c r="S33" s="404"/>
    </row>
    <row r="34" spans="1:19">
      <c r="A34" s="698" t="s">
        <v>593</v>
      </c>
      <c r="B34" s="91" t="s">
        <v>594</v>
      </c>
      <c r="C34" s="404" t="s">
        <v>595</v>
      </c>
      <c r="D34" s="404" t="s">
        <v>464</v>
      </c>
      <c r="E34" s="404"/>
      <c r="F34" s="382" t="s">
        <v>126</v>
      </c>
      <c r="G34" s="404"/>
      <c r="H34" s="521" t="s">
        <v>566</v>
      </c>
      <c r="I34" s="404" t="s">
        <v>595</v>
      </c>
      <c r="J34" s="404" t="s">
        <v>593</v>
      </c>
      <c r="K34" s="404" t="s">
        <v>216</v>
      </c>
      <c r="L34" s="404">
        <f t="shared" si="4"/>
        <v>2</v>
      </c>
      <c r="M34" s="517" t="str">
        <f t="shared" si="3"/>
        <v>Same distinctiveness or better habitat required ≥</v>
      </c>
      <c r="N34" s="404" t="s">
        <v>216</v>
      </c>
      <c r="O34" s="404">
        <f t="shared" ref="O34:O66" si="5">VLOOKUP(N34,Difficulty,2,FALSE)</f>
        <v>1</v>
      </c>
      <c r="P34" s="404" t="s">
        <v>216</v>
      </c>
      <c r="Q34" s="404">
        <f t="shared" ref="Q34:Q66" si="6">VLOOKUP(P34,Difficulty,2,FALSE)</f>
        <v>1</v>
      </c>
      <c r="R34" s="382"/>
      <c r="S34" s="404"/>
    </row>
    <row r="35" spans="1:19" ht="30">
      <c r="A35" s="698" t="s">
        <v>596</v>
      </c>
      <c r="B35" s="91" t="s">
        <v>597</v>
      </c>
      <c r="C35" s="404" t="s">
        <v>598</v>
      </c>
      <c r="D35" s="404" t="s">
        <v>464</v>
      </c>
      <c r="E35" s="404"/>
      <c r="F35" s="382" t="s">
        <v>126</v>
      </c>
      <c r="G35" s="404"/>
      <c r="H35" s="521" t="s">
        <v>566</v>
      </c>
      <c r="I35" s="404" t="s">
        <v>599</v>
      </c>
      <c r="J35" s="404" t="s">
        <v>600</v>
      </c>
      <c r="K35" s="404" t="s">
        <v>213</v>
      </c>
      <c r="L35" s="404">
        <f t="shared" si="4"/>
        <v>6</v>
      </c>
      <c r="M35" s="517" t="str">
        <f t="shared" si="3"/>
        <v>Same habitat required =</v>
      </c>
      <c r="N35" s="404" t="s">
        <v>70</v>
      </c>
      <c r="O35" s="404">
        <f t="shared" si="5"/>
        <v>0.67</v>
      </c>
      <c r="P35" s="404" t="s">
        <v>216</v>
      </c>
      <c r="Q35" s="404">
        <f t="shared" si="6"/>
        <v>1</v>
      </c>
      <c r="R35" s="382"/>
      <c r="S35" s="404"/>
    </row>
    <row r="36" spans="1:19">
      <c r="A36" s="698" t="s">
        <v>601</v>
      </c>
      <c r="B36" s="91" t="s">
        <v>602</v>
      </c>
      <c r="C36" s="404" t="s">
        <v>603</v>
      </c>
      <c r="D36" s="404" t="s">
        <v>464</v>
      </c>
      <c r="E36" s="404"/>
      <c r="F36" s="382" t="s">
        <v>126</v>
      </c>
      <c r="G36" s="404"/>
      <c r="H36" s="521" t="s">
        <v>566</v>
      </c>
      <c r="I36" s="404" t="s">
        <v>599</v>
      </c>
      <c r="J36" s="404" t="s">
        <v>604</v>
      </c>
      <c r="K36" s="404" t="s">
        <v>216</v>
      </c>
      <c r="L36" s="404">
        <f>IF(K36=$V$3,$W$3,IF(K36=$V$3,$W$3,IF(K36=$V$4,$W$4,IF(K36=$V$5,$W$5,IF(K36=$V$6,$W$6,IF(K36=$V$7,$W$7))))))</f>
        <v>2</v>
      </c>
      <c r="M36" s="517" t="str">
        <f t="shared" si="3"/>
        <v>Same distinctiveness or better habitat required ≥</v>
      </c>
      <c r="N36" s="404" t="s">
        <v>216</v>
      </c>
      <c r="O36" s="404">
        <f t="shared" si="5"/>
        <v>1</v>
      </c>
      <c r="P36" s="404" t="s">
        <v>216</v>
      </c>
      <c r="Q36" s="404">
        <f t="shared" si="6"/>
        <v>1</v>
      </c>
      <c r="R36" s="382"/>
      <c r="S36" s="404"/>
    </row>
    <row r="37" spans="1:19">
      <c r="A37" s="698" t="s">
        <v>605</v>
      </c>
      <c r="B37" s="558" t="s">
        <v>606</v>
      </c>
      <c r="C37" s="559" t="s">
        <v>607</v>
      </c>
      <c r="D37" s="559" t="s">
        <v>464</v>
      </c>
      <c r="E37" s="559"/>
      <c r="F37" s="395" t="s">
        <v>126</v>
      </c>
      <c r="G37" s="559"/>
      <c r="H37" s="560" t="s">
        <v>566</v>
      </c>
      <c r="I37" s="559" t="s">
        <v>607</v>
      </c>
      <c r="J37" s="559" t="s">
        <v>605</v>
      </c>
      <c r="K37" s="559" t="s">
        <v>70</v>
      </c>
      <c r="L37" s="559">
        <v>4</v>
      </c>
      <c r="M37" s="561" t="s">
        <v>215</v>
      </c>
      <c r="N37" s="559" t="s">
        <v>70</v>
      </c>
      <c r="O37" s="559">
        <v>0.67</v>
      </c>
      <c r="P37" s="559" t="s">
        <v>216</v>
      </c>
      <c r="Q37" s="559">
        <v>1</v>
      </c>
      <c r="R37" s="395"/>
      <c r="S37" s="559"/>
    </row>
    <row r="38" spans="1:19" ht="15.75" thickBot="1">
      <c r="A38" s="698" t="s">
        <v>608</v>
      </c>
      <c r="B38" s="178" t="s">
        <v>609</v>
      </c>
      <c r="C38" s="388" t="s">
        <v>610</v>
      </c>
      <c r="D38" s="388" t="s">
        <v>464</v>
      </c>
      <c r="E38" s="388"/>
      <c r="F38" s="371" t="s">
        <v>126</v>
      </c>
      <c r="G38" s="388"/>
      <c r="H38" s="522" t="s">
        <v>584</v>
      </c>
      <c r="I38" s="388" t="s">
        <v>610</v>
      </c>
      <c r="J38" s="431" t="s">
        <v>611</v>
      </c>
      <c r="K38" s="388" t="s">
        <v>213</v>
      </c>
      <c r="L38" s="388">
        <f t="shared" si="4"/>
        <v>6</v>
      </c>
      <c r="M38" s="518" t="str">
        <f t="shared" si="3"/>
        <v>Same habitat required =</v>
      </c>
      <c r="N38" s="388" t="s">
        <v>70</v>
      </c>
      <c r="O38" s="388">
        <f t="shared" si="5"/>
        <v>0.67</v>
      </c>
      <c r="P38" s="388" t="s">
        <v>70</v>
      </c>
      <c r="Q38" s="388">
        <f t="shared" si="6"/>
        <v>0.67</v>
      </c>
      <c r="R38" s="371"/>
      <c r="S38" s="388"/>
    </row>
    <row r="39" spans="1:19" ht="30">
      <c r="A39" s="698" t="s">
        <v>612</v>
      </c>
      <c r="B39" s="179" t="s">
        <v>613</v>
      </c>
      <c r="C39" s="383" t="s">
        <v>614</v>
      </c>
      <c r="D39" s="383" t="s">
        <v>615</v>
      </c>
      <c r="E39" s="383"/>
      <c r="F39" s="370" t="s">
        <v>127</v>
      </c>
      <c r="G39" s="383"/>
      <c r="H39" s="523" t="s">
        <v>616</v>
      </c>
      <c r="I39" s="383" t="s">
        <v>614</v>
      </c>
      <c r="J39" s="432" t="s">
        <v>612</v>
      </c>
      <c r="K39" s="383" t="s">
        <v>467</v>
      </c>
      <c r="L39" s="383">
        <f t="shared" si="4"/>
        <v>8</v>
      </c>
      <c r="M39" s="519" t="str">
        <f t="shared" si="3"/>
        <v>Bespoke compensation likely to be required 🛠</v>
      </c>
      <c r="N39" s="383" t="s">
        <v>211</v>
      </c>
      <c r="O39" s="383">
        <f t="shared" si="5"/>
        <v>0.1</v>
      </c>
      <c r="P39" s="383" t="s">
        <v>213</v>
      </c>
      <c r="Q39" s="383">
        <f t="shared" si="6"/>
        <v>0.33</v>
      </c>
      <c r="R39" s="370"/>
      <c r="S39" s="383"/>
    </row>
    <row r="40" spans="1:19">
      <c r="A40" s="698" t="s">
        <v>617</v>
      </c>
      <c r="B40" s="91" t="s">
        <v>618</v>
      </c>
      <c r="C40" s="404">
        <v>362</v>
      </c>
      <c r="D40" s="404" t="s">
        <v>464</v>
      </c>
      <c r="E40" s="404"/>
      <c r="F40" s="370" t="s">
        <v>127</v>
      </c>
      <c r="G40" s="404"/>
      <c r="H40" s="521" t="s">
        <v>619</v>
      </c>
      <c r="I40" s="404"/>
      <c r="J40" s="404" t="s">
        <v>617</v>
      </c>
      <c r="K40" s="404" t="s">
        <v>216</v>
      </c>
      <c r="L40" s="404">
        <f>IF(K40=$V$3,$W$3,IF(K40=$V$3,$W$3,IF(K40=$V$4,$W$4,IF(K40=$V$5,$W$5,IF(K40=$V$6,$W$6,IF(K40=$V$7,$W$7))))))</f>
        <v>2</v>
      </c>
      <c r="M40" s="517" t="str">
        <f>IF($K40=$V$3,$X$3,IF($K40=$V$4,$X$4,IF($K40=$V$5,$X$5,IF($K40=$V$6,$X$6,IF($K40=$V$7,$X$7)))))</f>
        <v>Same distinctiveness or better habitat required ≥</v>
      </c>
      <c r="N40" s="404" t="s">
        <v>216</v>
      </c>
      <c r="O40" s="404">
        <f>VLOOKUP(N40,Difficulty,2,FALSE)</f>
        <v>1</v>
      </c>
      <c r="P40" s="404" t="s">
        <v>213</v>
      </c>
      <c r="Q40" s="404">
        <f>VLOOKUP(P40,Difficulty,2,FALSE)</f>
        <v>0.33</v>
      </c>
      <c r="R40" s="382"/>
      <c r="S40" s="404"/>
    </row>
    <row r="41" spans="1:19">
      <c r="A41" s="698" t="s">
        <v>620</v>
      </c>
      <c r="B41" s="91" t="s">
        <v>621</v>
      </c>
      <c r="C41" s="404" t="s">
        <v>622</v>
      </c>
      <c r="D41" s="404" t="s">
        <v>615</v>
      </c>
      <c r="E41" s="404"/>
      <c r="F41" s="382" t="s">
        <v>127</v>
      </c>
      <c r="G41" s="404"/>
      <c r="H41" s="521" t="s">
        <v>616</v>
      </c>
      <c r="I41" s="404"/>
      <c r="J41" s="429"/>
      <c r="K41" s="404" t="s">
        <v>213</v>
      </c>
      <c r="L41" s="404">
        <f t="shared" ref="L41:L46" si="7">IF(K41=$V$3,$W$3,IF(K41=$V$3,$W$3,IF(K41=$V$4,$W$4,IF(K41=$V$5,$W$5,IF(K41=$V$6,$W$6,IF(K41=$V$7,$W$7))))))</f>
        <v>6</v>
      </c>
      <c r="M41" s="517" t="str">
        <f t="shared" si="3"/>
        <v>Same habitat required =</v>
      </c>
      <c r="N41" s="404" t="s">
        <v>213</v>
      </c>
      <c r="O41" s="404">
        <f t="shared" si="5"/>
        <v>0.33</v>
      </c>
      <c r="P41" s="404" t="s">
        <v>213</v>
      </c>
      <c r="Q41" s="404">
        <f t="shared" si="6"/>
        <v>0.33</v>
      </c>
      <c r="R41" s="382"/>
      <c r="S41" s="404"/>
    </row>
    <row r="42" spans="1:19">
      <c r="A42" s="698" t="s">
        <v>623</v>
      </c>
      <c r="B42" s="91" t="s">
        <v>624</v>
      </c>
      <c r="C42" s="404" t="s">
        <v>625</v>
      </c>
      <c r="D42" s="404" t="s">
        <v>615</v>
      </c>
      <c r="E42" s="404"/>
      <c r="F42" s="382" t="s">
        <v>127</v>
      </c>
      <c r="G42" s="404"/>
      <c r="H42" s="521" t="s">
        <v>616</v>
      </c>
      <c r="I42" s="404"/>
      <c r="J42" s="429"/>
      <c r="K42" s="404" t="s">
        <v>213</v>
      </c>
      <c r="L42" s="404">
        <f t="shared" si="7"/>
        <v>6</v>
      </c>
      <c r="M42" s="517" t="str">
        <f t="shared" si="3"/>
        <v>Same habitat required =</v>
      </c>
      <c r="N42" s="404" t="s">
        <v>213</v>
      </c>
      <c r="O42" s="404">
        <f t="shared" si="5"/>
        <v>0.33</v>
      </c>
      <c r="P42" s="404" t="s">
        <v>70</v>
      </c>
      <c r="Q42" s="404">
        <f t="shared" si="6"/>
        <v>0.67</v>
      </c>
      <c r="R42" s="382"/>
      <c r="S42" s="404"/>
    </row>
    <row r="43" spans="1:19">
      <c r="A43" s="698" t="s">
        <v>626</v>
      </c>
      <c r="B43" s="91" t="s">
        <v>627</v>
      </c>
      <c r="C43" s="404" t="s">
        <v>628</v>
      </c>
      <c r="D43" s="404" t="s">
        <v>615</v>
      </c>
      <c r="E43" s="404"/>
      <c r="F43" s="382" t="s">
        <v>127</v>
      </c>
      <c r="G43" s="404"/>
      <c r="H43" s="521" t="s">
        <v>616</v>
      </c>
      <c r="I43" s="404"/>
      <c r="J43" s="429"/>
      <c r="K43" s="404" t="s">
        <v>213</v>
      </c>
      <c r="L43" s="404">
        <f t="shared" si="7"/>
        <v>6</v>
      </c>
      <c r="M43" s="517" t="str">
        <f t="shared" si="3"/>
        <v>Same habitat required =</v>
      </c>
      <c r="N43" s="404" t="s">
        <v>213</v>
      </c>
      <c r="O43" s="404">
        <f t="shared" si="5"/>
        <v>0.33</v>
      </c>
      <c r="P43" s="404" t="s">
        <v>213</v>
      </c>
      <c r="Q43" s="404">
        <f t="shared" si="6"/>
        <v>0.33</v>
      </c>
      <c r="R43" s="382"/>
      <c r="S43" s="404"/>
    </row>
    <row r="44" spans="1:19">
      <c r="A44" s="698" t="s">
        <v>629</v>
      </c>
      <c r="B44" s="91" t="s">
        <v>630</v>
      </c>
      <c r="C44" s="404" t="s">
        <v>631</v>
      </c>
      <c r="D44" s="404" t="s">
        <v>615</v>
      </c>
      <c r="E44" s="404"/>
      <c r="F44" s="382" t="s">
        <v>127</v>
      </c>
      <c r="G44" s="404"/>
      <c r="H44" s="521" t="s">
        <v>616</v>
      </c>
      <c r="I44" s="404"/>
      <c r="J44" s="429"/>
      <c r="K44" s="404" t="s">
        <v>213</v>
      </c>
      <c r="L44" s="404">
        <f t="shared" si="7"/>
        <v>6</v>
      </c>
      <c r="M44" s="517" t="str">
        <f t="shared" si="3"/>
        <v>Same habitat required =</v>
      </c>
      <c r="N44" s="404" t="s">
        <v>213</v>
      </c>
      <c r="O44" s="404">
        <f t="shared" si="5"/>
        <v>0.33</v>
      </c>
      <c r="P44" s="404" t="s">
        <v>213</v>
      </c>
      <c r="Q44" s="404">
        <f t="shared" si="6"/>
        <v>0.33</v>
      </c>
      <c r="R44" s="382"/>
      <c r="S44" s="404"/>
    </row>
    <row r="45" spans="1:19">
      <c r="A45" s="698" t="s">
        <v>632</v>
      </c>
      <c r="B45" s="91" t="s">
        <v>633</v>
      </c>
      <c r="C45" s="404" t="s">
        <v>634</v>
      </c>
      <c r="D45" s="404" t="s">
        <v>615</v>
      </c>
      <c r="E45" s="404"/>
      <c r="F45" s="382" t="s">
        <v>127</v>
      </c>
      <c r="G45" s="404"/>
      <c r="H45" s="521" t="s">
        <v>616</v>
      </c>
      <c r="I45" s="404"/>
      <c r="J45" s="429"/>
      <c r="K45" s="404" t="s">
        <v>213</v>
      </c>
      <c r="L45" s="404">
        <f t="shared" si="7"/>
        <v>6</v>
      </c>
      <c r="M45" s="517" t="str">
        <f t="shared" si="3"/>
        <v>Same habitat required =</v>
      </c>
      <c r="N45" s="404" t="s">
        <v>213</v>
      </c>
      <c r="O45" s="404">
        <f t="shared" si="5"/>
        <v>0.33</v>
      </c>
      <c r="P45" s="404" t="s">
        <v>213</v>
      </c>
      <c r="Q45" s="404">
        <f t="shared" si="6"/>
        <v>0.33</v>
      </c>
      <c r="R45" s="382"/>
      <c r="S45" s="404"/>
    </row>
    <row r="46" spans="1:19">
      <c r="A46" s="698" t="s">
        <v>635</v>
      </c>
      <c r="B46" s="91" t="s">
        <v>636</v>
      </c>
      <c r="C46" s="404" t="s">
        <v>637</v>
      </c>
      <c r="D46" s="404" t="s">
        <v>615</v>
      </c>
      <c r="E46" s="404"/>
      <c r="F46" s="382" t="s">
        <v>127</v>
      </c>
      <c r="G46" s="404"/>
      <c r="H46" s="521" t="s">
        <v>616</v>
      </c>
      <c r="I46" s="404"/>
      <c r="J46" s="429"/>
      <c r="K46" s="404" t="s">
        <v>213</v>
      </c>
      <c r="L46" s="404">
        <f t="shared" si="7"/>
        <v>6</v>
      </c>
      <c r="M46" s="517" t="str">
        <f t="shared" si="3"/>
        <v>Same habitat required =</v>
      </c>
      <c r="N46" s="404" t="s">
        <v>70</v>
      </c>
      <c r="O46" s="404">
        <f t="shared" si="5"/>
        <v>0.67</v>
      </c>
      <c r="P46" s="404" t="s">
        <v>70</v>
      </c>
      <c r="Q46" s="404">
        <f t="shared" si="6"/>
        <v>0.67</v>
      </c>
      <c r="R46" s="382"/>
      <c r="S46" s="404"/>
    </row>
    <row r="47" spans="1:19">
      <c r="A47" s="698" t="s">
        <v>638</v>
      </c>
      <c r="B47" s="91" t="s">
        <v>639</v>
      </c>
      <c r="C47" s="404" t="s">
        <v>640</v>
      </c>
      <c r="D47" s="404" t="s">
        <v>615</v>
      </c>
      <c r="E47" s="404"/>
      <c r="F47" s="382" t="s">
        <v>127</v>
      </c>
      <c r="G47" s="404"/>
      <c r="H47" s="521" t="s">
        <v>616</v>
      </c>
      <c r="I47" s="404" t="s">
        <v>641</v>
      </c>
      <c r="J47" s="429"/>
      <c r="K47" s="404" t="s">
        <v>70</v>
      </c>
      <c r="L47" s="404">
        <f t="shared" si="4"/>
        <v>4</v>
      </c>
      <c r="M47" s="517" t="str">
        <f t="shared" si="3"/>
        <v>Same broad habitat or a higher distinctiveness habitat required (≥)</v>
      </c>
      <c r="N47" s="404" t="s">
        <v>216</v>
      </c>
      <c r="O47" s="404">
        <f t="shared" si="5"/>
        <v>1</v>
      </c>
      <c r="P47" s="404" t="s">
        <v>70</v>
      </c>
      <c r="Q47" s="404">
        <f t="shared" si="6"/>
        <v>0.67</v>
      </c>
      <c r="R47" s="382"/>
      <c r="S47" s="404"/>
    </row>
    <row r="48" spans="1:19">
      <c r="A48" s="698" t="s">
        <v>642</v>
      </c>
      <c r="B48" s="91" t="s">
        <v>643</v>
      </c>
      <c r="C48" s="404">
        <v>108</v>
      </c>
      <c r="D48" s="404" t="s">
        <v>615</v>
      </c>
      <c r="E48" s="404"/>
      <c r="F48" s="382" t="s">
        <v>127</v>
      </c>
      <c r="G48" s="404"/>
      <c r="H48" s="521" t="s">
        <v>616</v>
      </c>
      <c r="I48" s="404"/>
      <c r="J48" s="404"/>
      <c r="K48" s="404" t="s">
        <v>70</v>
      </c>
      <c r="L48" s="404">
        <f t="shared" si="4"/>
        <v>4</v>
      </c>
      <c r="M48" s="517" t="str">
        <f t="shared" si="3"/>
        <v>Same broad habitat or a higher distinctiveness habitat required (≥)</v>
      </c>
      <c r="N48" s="404" t="s">
        <v>70</v>
      </c>
      <c r="O48" s="404">
        <f t="shared" si="5"/>
        <v>0.67</v>
      </c>
      <c r="P48" s="404" t="s">
        <v>70</v>
      </c>
      <c r="Q48" s="404">
        <f t="shared" si="6"/>
        <v>0.67</v>
      </c>
      <c r="R48" s="382"/>
      <c r="S48" s="404"/>
    </row>
    <row r="49" spans="1:19" ht="30.75" thickBot="1">
      <c r="A49" s="698" t="s">
        <v>644</v>
      </c>
      <c r="B49" s="178" t="s">
        <v>645</v>
      </c>
      <c r="C49" s="404" t="s">
        <v>646</v>
      </c>
      <c r="D49" s="388" t="s">
        <v>615</v>
      </c>
      <c r="E49" s="388"/>
      <c r="F49" s="371" t="s">
        <v>127</v>
      </c>
      <c r="G49" s="388"/>
      <c r="H49" s="522" t="s">
        <v>616</v>
      </c>
      <c r="I49" s="388" t="s">
        <v>647</v>
      </c>
      <c r="J49" s="431"/>
      <c r="K49" s="388" t="s">
        <v>213</v>
      </c>
      <c r="L49" s="388">
        <f t="shared" si="4"/>
        <v>6</v>
      </c>
      <c r="M49" s="518" t="str">
        <f t="shared" si="3"/>
        <v>Same habitat required =</v>
      </c>
      <c r="N49" s="388" t="s">
        <v>70</v>
      </c>
      <c r="O49" s="388">
        <f t="shared" si="5"/>
        <v>0.67</v>
      </c>
      <c r="P49" s="388" t="s">
        <v>70</v>
      </c>
      <c r="Q49" s="388">
        <f t="shared" si="6"/>
        <v>0.67</v>
      </c>
      <c r="R49" s="371"/>
      <c r="S49" s="388"/>
    </row>
    <row r="50" spans="1:19">
      <c r="A50" s="698" t="s">
        <v>648</v>
      </c>
      <c r="B50" s="179" t="s">
        <v>649</v>
      </c>
      <c r="C50" s="383" t="s">
        <v>650</v>
      </c>
      <c r="D50" s="383" t="s">
        <v>615</v>
      </c>
      <c r="E50" s="383"/>
      <c r="F50" s="370" t="s">
        <v>128</v>
      </c>
      <c r="G50" s="383"/>
      <c r="H50" s="523" t="s">
        <v>651</v>
      </c>
      <c r="I50" s="383"/>
      <c r="J50" s="432" t="s">
        <v>648</v>
      </c>
      <c r="K50" s="383" t="s">
        <v>467</v>
      </c>
      <c r="L50" s="383">
        <f t="shared" ref="L50:L78" si="8">IF(K50=$V$3,$W$3,IF(K50=$V$3,$W$3,IF(K50=$V$4,$W$4,IF(K50=$V$5,$W$5,IF(K50=$V$6,$W$6,IF(K50=$V$7,$W$7))))))</f>
        <v>8</v>
      </c>
      <c r="M50" s="519" t="str">
        <f t="shared" si="3"/>
        <v>Bespoke compensation likely to be required 🛠</v>
      </c>
      <c r="N50" s="383" t="s">
        <v>211</v>
      </c>
      <c r="O50" s="383">
        <f t="shared" si="5"/>
        <v>0.1</v>
      </c>
      <c r="P50" s="383" t="s">
        <v>70</v>
      </c>
      <c r="Q50" s="383">
        <f t="shared" si="6"/>
        <v>0.67</v>
      </c>
      <c r="R50" s="370"/>
      <c r="S50" s="383"/>
    </row>
    <row r="51" spans="1:19">
      <c r="A51" s="698" t="s">
        <v>652</v>
      </c>
      <c r="B51" s="91" t="s">
        <v>653</v>
      </c>
      <c r="C51" s="404" t="s">
        <v>654</v>
      </c>
      <c r="D51" s="404" t="s">
        <v>615</v>
      </c>
      <c r="E51" s="404"/>
      <c r="F51" s="382" t="s">
        <v>128</v>
      </c>
      <c r="G51" s="404"/>
      <c r="H51" s="521" t="s">
        <v>655</v>
      </c>
      <c r="I51" s="404"/>
      <c r="J51" s="404"/>
      <c r="K51" s="404" t="s">
        <v>213</v>
      </c>
      <c r="L51" s="404">
        <f t="shared" si="8"/>
        <v>6</v>
      </c>
      <c r="M51" s="517" t="str">
        <f t="shared" si="3"/>
        <v>Same habitat required =</v>
      </c>
      <c r="N51" s="404" t="s">
        <v>211</v>
      </c>
      <c r="O51" s="404">
        <f t="shared" si="5"/>
        <v>0.1</v>
      </c>
      <c r="P51" s="404" t="s">
        <v>70</v>
      </c>
      <c r="Q51" s="404">
        <f t="shared" si="6"/>
        <v>0.67</v>
      </c>
      <c r="R51" s="382"/>
      <c r="S51" s="404"/>
    </row>
    <row r="52" spans="1:19">
      <c r="A52" s="698" t="s">
        <v>656</v>
      </c>
      <c r="B52" s="91" t="s">
        <v>657</v>
      </c>
      <c r="C52" s="404" t="s">
        <v>658</v>
      </c>
      <c r="D52" s="404" t="s">
        <v>464</v>
      </c>
      <c r="E52" s="404"/>
      <c r="F52" s="382" t="s">
        <v>128</v>
      </c>
      <c r="G52" s="404"/>
      <c r="H52" s="521" t="s">
        <v>655</v>
      </c>
      <c r="I52" s="404" t="s">
        <v>650</v>
      </c>
      <c r="J52" s="429"/>
      <c r="K52" s="404" t="s">
        <v>213</v>
      </c>
      <c r="L52" s="404">
        <f t="shared" si="8"/>
        <v>6</v>
      </c>
      <c r="M52" s="517" t="str">
        <f t="shared" si="3"/>
        <v>Same habitat required =</v>
      </c>
      <c r="N52" s="404" t="s">
        <v>211</v>
      </c>
      <c r="O52" s="404">
        <f t="shared" si="5"/>
        <v>0.1</v>
      </c>
      <c r="P52" s="404" t="s">
        <v>70</v>
      </c>
      <c r="Q52" s="404">
        <f t="shared" si="6"/>
        <v>0.67</v>
      </c>
      <c r="R52" s="382"/>
      <c r="S52" s="404"/>
    </row>
    <row r="53" spans="1:19">
      <c r="A53" s="698" t="s">
        <v>659</v>
      </c>
      <c r="B53" s="91" t="s">
        <v>660</v>
      </c>
      <c r="C53" s="404">
        <v>17</v>
      </c>
      <c r="D53" s="404" t="s">
        <v>464</v>
      </c>
      <c r="E53" s="404"/>
      <c r="F53" s="382" t="s">
        <v>128</v>
      </c>
      <c r="G53" s="404"/>
      <c r="H53" s="521"/>
      <c r="I53" s="404"/>
      <c r="J53" s="404" t="s">
        <v>661</v>
      </c>
      <c r="K53" s="404" t="s">
        <v>216</v>
      </c>
      <c r="L53" s="404">
        <f t="shared" si="8"/>
        <v>2</v>
      </c>
      <c r="M53" s="517" t="str">
        <f t="shared" si="3"/>
        <v>Same distinctiveness or better habitat required ≥</v>
      </c>
      <c r="N53" s="404" t="s">
        <v>216</v>
      </c>
      <c r="O53" s="404">
        <f t="shared" si="5"/>
        <v>1</v>
      </c>
      <c r="P53" s="404" t="s">
        <v>70</v>
      </c>
      <c r="Q53" s="404">
        <f t="shared" si="6"/>
        <v>0.67</v>
      </c>
      <c r="R53" s="382" t="s">
        <v>662</v>
      </c>
      <c r="S53" s="404"/>
    </row>
    <row r="54" spans="1:19">
      <c r="A54" s="698" t="s">
        <v>663</v>
      </c>
      <c r="B54" s="91" t="s">
        <v>664</v>
      </c>
      <c r="C54" s="404">
        <v>16</v>
      </c>
      <c r="D54" s="404" t="s">
        <v>464</v>
      </c>
      <c r="E54" s="404"/>
      <c r="F54" s="382" t="s">
        <v>128</v>
      </c>
      <c r="G54" s="404"/>
      <c r="H54" s="521"/>
      <c r="I54" s="404"/>
      <c r="J54" s="404" t="s">
        <v>661</v>
      </c>
      <c r="K54" s="404" t="s">
        <v>216</v>
      </c>
      <c r="L54" s="404">
        <v>2</v>
      </c>
      <c r="M54" s="517" t="str">
        <f t="shared" si="3"/>
        <v>Same distinctiveness or better habitat required ≥</v>
      </c>
      <c r="N54" s="404" t="s">
        <v>216</v>
      </c>
      <c r="O54" s="404">
        <v>1</v>
      </c>
      <c r="P54" s="404" t="s">
        <v>70</v>
      </c>
      <c r="Q54" s="404">
        <v>0.67</v>
      </c>
      <c r="R54" s="382"/>
      <c r="S54" s="404"/>
    </row>
    <row r="55" spans="1:19" ht="30">
      <c r="A55" s="698" t="s">
        <v>665</v>
      </c>
      <c r="B55" s="91" t="s">
        <v>666</v>
      </c>
      <c r="C55" s="404" t="s">
        <v>667</v>
      </c>
      <c r="D55" s="404" t="s">
        <v>464</v>
      </c>
      <c r="E55" s="404" t="s">
        <v>668</v>
      </c>
      <c r="F55" s="382" t="s">
        <v>128</v>
      </c>
      <c r="G55" s="404" t="s">
        <v>669</v>
      </c>
      <c r="H55" s="521" t="s">
        <v>651</v>
      </c>
      <c r="I55" s="404" t="s">
        <v>667</v>
      </c>
      <c r="J55" s="429" t="s">
        <v>665</v>
      </c>
      <c r="K55" s="404" t="s">
        <v>213</v>
      </c>
      <c r="L55" s="404">
        <f t="shared" si="8"/>
        <v>6</v>
      </c>
      <c r="M55" s="517" t="str">
        <f t="shared" si="3"/>
        <v>Same habitat required =</v>
      </c>
      <c r="N55" s="404" t="s">
        <v>213</v>
      </c>
      <c r="O55" s="404">
        <f t="shared" si="5"/>
        <v>0.33</v>
      </c>
      <c r="P55" s="404" t="s">
        <v>216</v>
      </c>
      <c r="Q55" s="404">
        <f t="shared" si="6"/>
        <v>1</v>
      </c>
      <c r="R55" s="382"/>
      <c r="S55" s="404"/>
    </row>
    <row r="56" spans="1:19">
      <c r="A56" s="698" t="s">
        <v>670</v>
      </c>
      <c r="B56" s="91" t="s">
        <v>671</v>
      </c>
      <c r="C56" s="404" t="s">
        <v>672</v>
      </c>
      <c r="D56" s="404" t="s">
        <v>464</v>
      </c>
      <c r="E56" s="404"/>
      <c r="F56" s="382" t="s">
        <v>128</v>
      </c>
      <c r="G56" s="404"/>
      <c r="H56" s="521" t="s">
        <v>651</v>
      </c>
      <c r="I56" s="404" t="s">
        <v>672</v>
      </c>
      <c r="J56" s="429" t="s">
        <v>670</v>
      </c>
      <c r="K56" s="404" t="s">
        <v>467</v>
      </c>
      <c r="L56" s="404">
        <f t="shared" si="8"/>
        <v>8</v>
      </c>
      <c r="M56" s="517" t="str">
        <f t="shared" si="3"/>
        <v>Bespoke compensation likely to be required 🛠</v>
      </c>
      <c r="N56" s="404" t="s">
        <v>211</v>
      </c>
      <c r="O56" s="404">
        <f t="shared" si="5"/>
        <v>0.1</v>
      </c>
      <c r="P56" s="404" t="s">
        <v>70</v>
      </c>
      <c r="Q56" s="404">
        <f t="shared" si="6"/>
        <v>0.67</v>
      </c>
      <c r="R56" s="382"/>
      <c r="S56" s="404"/>
    </row>
    <row r="57" spans="1:19">
      <c r="A57" s="698" t="s">
        <v>673</v>
      </c>
      <c r="B57" s="91" t="s">
        <v>674</v>
      </c>
      <c r="C57" s="404" t="s">
        <v>675</v>
      </c>
      <c r="D57" s="404" t="s">
        <v>464</v>
      </c>
      <c r="E57" s="404"/>
      <c r="F57" s="382" t="s">
        <v>128</v>
      </c>
      <c r="G57" s="404" t="s">
        <v>676</v>
      </c>
      <c r="H57" s="521" t="s">
        <v>677</v>
      </c>
      <c r="I57" s="404" t="s">
        <v>675</v>
      </c>
      <c r="J57" s="429" t="s">
        <v>673</v>
      </c>
      <c r="K57" s="404" t="s">
        <v>213</v>
      </c>
      <c r="L57" s="404">
        <f t="shared" si="8"/>
        <v>6</v>
      </c>
      <c r="M57" s="517" t="str">
        <f t="shared" si="3"/>
        <v>Same habitat required =</v>
      </c>
      <c r="N57" s="404" t="s">
        <v>213</v>
      </c>
      <c r="O57" s="404">
        <f t="shared" si="5"/>
        <v>0.33</v>
      </c>
      <c r="P57" s="404" t="s">
        <v>70</v>
      </c>
      <c r="Q57" s="404">
        <f t="shared" si="6"/>
        <v>0.67</v>
      </c>
      <c r="R57" s="382"/>
      <c r="S57" s="404"/>
    </row>
    <row r="58" spans="1:19" ht="15.75" thickBot="1">
      <c r="A58" s="698" t="s">
        <v>678</v>
      </c>
      <c r="B58" s="178" t="s">
        <v>679</v>
      </c>
      <c r="C58" s="388" t="s">
        <v>680</v>
      </c>
      <c r="D58" s="388" t="s">
        <v>464</v>
      </c>
      <c r="E58" s="388"/>
      <c r="F58" s="371" t="s">
        <v>128</v>
      </c>
      <c r="G58" s="388"/>
      <c r="H58" s="522" t="s">
        <v>651</v>
      </c>
      <c r="I58" s="388" t="s">
        <v>680</v>
      </c>
      <c r="J58" s="388" t="s">
        <v>678</v>
      </c>
      <c r="K58" s="388" t="s">
        <v>70</v>
      </c>
      <c r="L58" s="388">
        <f t="shared" si="8"/>
        <v>4</v>
      </c>
      <c r="M58" s="518" t="str">
        <f t="shared" si="3"/>
        <v>Same broad habitat or a higher distinctiveness habitat required (≥)</v>
      </c>
      <c r="N58" s="388" t="s">
        <v>70</v>
      </c>
      <c r="O58" s="388">
        <f t="shared" si="5"/>
        <v>0.67</v>
      </c>
      <c r="P58" s="388" t="s">
        <v>70</v>
      </c>
      <c r="Q58" s="388">
        <f t="shared" si="6"/>
        <v>0.67</v>
      </c>
      <c r="R58" s="371"/>
      <c r="S58" s="388"/>
    </row>
    <row r="59" spans="1:19">
      <c r="A59" s="698" t="s">
        <v>681</v>
      </c>
      <c r="B59" s="179" t="s">
        <v>682</v>
      </c>
      <c r="C59" s="383">
        <v>910</v>
      </c>
      <c r="D59" s="383" t="s">
        <v>464</v>
      </c>
      <c r="E59" s="383"/>
      <c r="F59" s="370" t="s">
        <v>129</v>
      </c>
      <c r="G59" s="383"/>
      <c r="H59" s="523" t="s">
        <v>619</v>
      </c>
      <c r="I59" s="383"/>
      <c r="J59" s="383" t="s">
        <v>681</v>
      </c>
      <c r="K59" s="383" t="s">
        <v>216</v>
      </c>
      <c r="L59" s="383">
        <f t="shared" si="8"/>
        <v>2</v>
      </c>
      <c r="M59" s="519" t="str">
        <f t="shared" si="3"/>
        <v>Same distinctiveness or better habitat required ≥</v>
      </c>
      <c r="N59" s="383" t="s">
        <v>216</v>
      </c>
      <c r="O59" s="383">
        <f t="shared" si="5"/>
        <v>1</v>
      </c>
      <c r="P59" s="383" t="s">
        <v>216</v>
      </c>
      <c r="Q59" s="383">
        <f t="shared" si="6"/>
        <v>1</v>
      </c>
      <c r="R59" s="370"/>
      <c r="S59" s="383"/>
    </row>
    <row r="60" spans="1:19" ht="30">
      <c r="A60" s="698" t="s">
        <v>683</v>
      </c>
      <c r="B60" s="91" t="s">
        <v>684</v>
      </c>
      <c r="C60" s="404" t="s">
        <v>685</v>
      </c>
      <c r="D60" s="404" t="s">
        <v>464</v>
      </c>
      <c r="E60" s="404"/>
      <c r="F60" s="382" t="s">
        <v>129</v>
      </c>
      <c r="G60" s="404"/>
      <c r="H60" s="521" t="s">
        <v>619</v>
      </c>
      <c r="I60" s="404" t="s">
        <v>685</v>
      </c>
      <c r="J60" s="404" t="s">
        <v>683</v>
      </c>
      <c r="K60" s="404" t="s">
        <v>486</v>
      </c>
      <c r="L60" s="404">
        <f t="shared" si="8"/>
        <v>0</v>
      </c>
      <c r="M60" s="517" t="str">
        <f t="shared" si="3"/>
        <v>Compensation Not Required</v>
      </c>
      <c r="N60" s="404" t="s">
        <v>216</v>
      </c>
      <c r="O60" s="404">
        <f t="shared" si="5"/>
        <v>1</v>
      </c>
      <c r="P60" s="404" t="s">
        <v>216</v>
      </c>
      <c r="Q60" s="404">
        <f t="shared" si="6"/>
        <v>1</v>
      </c>
      <c r="R60" s="382"/>
      <c r="S60" s="404"/>
    </row>
    <row r="61" spans="1:19">
      <c r="A61" s="698" t="s">
        <v>686</v>
      </c>
      <c r="B61" s="91" t="s">
        <v>687</v>
      </c>
      <c r="C61" s="404">
        <v>1191</v>
      </c>
      <c r="D61" s="404" t="s">
        <v>464</v>
      </c>
      <c r="E61" s="404"/>
      <c r="F61" s="382" t="s">
        <v>129</v>
      </c>
      <c r="G61" s="404"/>
      <c r="H61" s="521" t="s">
        <v>619</v>
      </c>
      <c r="I61" s="404"/>
      <c r="J61" s="404" t="s">
        <v>686</v>
      </c>
      <c r="K61" s="404" t="s">
        <v>216</v>
      </c>
      <c r="L61" s="404">
        <f t="shared" si="8"/>
        <v>2</v>
      </c>
      <c r="M61" s="517" t="str">
        <f t="shared" si="3"/>
        <v>Same distinctiveness or better habitat required ≥</v>
      </c>
      <c r="N61" s="404" t="s">
        <v>70</v>
      </c>
      <c r="O61" s="404">
        <f t="shared" si="5"/>
        <v>0.67</v>
      </c>
      <c r="P61" s="404" t="s">
        <v>216</v>
      </c>
      <c r="Q61" s="404">
        <f t="shared" si="6"/>
        <v>1</v>
      </c>
      <c r="R61" s="382"/>
      <c r="S61" s="404"/>
    </row>
    <row r="62" spans="1:19">
      <c r="A62" s="698" t="s">
        <v>688</v>
      </c>
      <c r="B62" s="91" t="s">
        <v>689</v>
      </c>
      <c r="C62" s="404" t="s">
        <v>690</v>
      </c>
      <c r="D62" s="404" t="s">
        <v>464</v>
      </c>
      <c r="E62" s="404"/>
      <c r="F62" s="382" t="s">
        <v>129</v>
      </c>
      <c r="G62" s="404"/>
      <c r="H62" s="521" t="s">
        <v>619</v>
      </c>
      <c r="I62" s="404"/>
      <c r="J62" s="404"/>
      <c r="K62" s="404" t="s">
        <v>216</v>
      </c>
      <c r="L62" s="404">
        <f t="shared" si="8"/>
        <v>2</v>
      </c>
      <c r="M62" s="517" t="str">
        <f t="shared" si="3"/>
        <v>Same distinctiveness or better habitat required ≥</v>
      </c>
      <c r="N62" s="404" t="s">
        <v>216</v>
      </c>
      <c r="O62" s="404">
        <f t="shared" si="5"/>
        <v>1</v>
      </c>
      <c r="P62" s="404" t="s">
        <v>216</v>
      </c>
      <c r="Q62" s="404">
        <f t="shared" si="6"/>
        <v>1</v>
      </c>
      <c r="R62" s="382"/>
      <c r="S62" s="404"/>
    </row>
    <row r="63" spans="1:19">
      <c r="A63" s="698" t="s">
        <v>691</v>
      </c>
      <c r="B63" s="91" t="s">
        <v>692</v>
      </c>
      <c r="C63" s="404" t="s">
        <v>693</v>
      </c>
      <c r="D63" s="404" t="s">
        <v>464</v>
      </c>
      <c r="E63" s="404"/>
      <c r="F63" s="382" t="s">
        <v>129</v>
      </c>
      <c r="G63" s="404"/>
      <c r="H63" s="521" t="s">
        <v>619</v>
      </c>
      <c r="I63" s="404" t="s">
        <v>693</v>
      </c>
      <c r="J63" s="404" t="s">
        <v>691</v>
      </c>
      <c r="K63" s="404" t="s">
        <v>486</v>
      </c>
      <c r="L63" s="404">
        <f t="shared" si="8"/>
        <v>0</v>
      </c>
      <c r="M63" s="517" t="str">
        <f t="shared" si="3"/>
        <v>Compensation Not Required</v>
      </c>
      <c r="N63" s="404" t="s">
        <v>216</v>
      </c>
      <c r="O63" s="404">
        <f t="shared" si="5"/>
        <v>1</v>
      </c>
      <c r="P63" s="404" t="s">
        <v>216</v>
      </c>
      <c r="Q63" s="404">
        <f t="shared" si="6"/>
        <v>1</v>
      </c>
      <c r="R63" s="382"/>
      <c r="S63" s="404"/>
    </row>
    <row r="64" spans="1:19">
      <c r="A64" s="698" t="s">
        <v>694</v>
      </c>
      <c r="B64" s="91" t="s">
        <v>695</v>
      </c>
      <c r="C64" s="404">
        <v>800</v>
      </c>
      <c r="D64" s="404" t="s">
        <v>464</v>
      </c>
      <c r="E64" s="404"/>
      <c r="F64" s="382" t="s">
        <v>129</v>
      </c>
      <c r="G64" s="404"/>
      <c r="H64" s="521" t="s">
        <v>619</v>
      </c>
      <c r="I64" s="404"/>
      <c r="J64" s="404" t="s">
        <v>694</v>
      </c>
      <c r="K64" s="404" t="s">
        <v>70</v>
      </c>
      <c r="L64" s="404">
        <f t="shared" si="8"/>
        <v>4</v>
      </c>
      <c r="M64" s="517" t="str">
        <f t="shared" si="3"/>
        <v>Same broad habitat or a higher distinctiveness habitat required (≥)</v>
      </c>
      <c r="N64" s="404" t="s">
        <v>70</v>
      </c>
      <c r="O64" s="404">
        <f t="shared" si="5"/>
        <v>0.67</v>
      </c>
      <c r="P64" s="404" t="s">
        <v>216</v>
      </c>
      <c r="Q64" s="404">
        <f t="shared" si="6"/>
        <v>1</v>
      </c>
      <c r="R64" s="382"/>
      <c r="S64" s="404"/>
    </row>
    <row r="65" spans="1:36">
      <c r="A65" s="698" t="s">
        <v>696</v>
      </c>
      <c r="B65" s="91" t="s">
        <v>697</v>
      </c>
      <c r="C65" s="404" t="s">
        <v>698</v>
      </c>
      <c r="D65" s="404" t="s">
        <v>464</v>
      </c>
      <c r="E65" s="404"/>
      <c r="F65" s="382" t="s">
        <v>129</v>
      </c>
      <c r="G65" s="404"/>
      <c r="H65" s="521" t="s">
        <v>619</v>
      </c>
      <c r="I65" s="404" t="s">
        <v>698</v>
      </c>
      <c r="J65" s="404" t="s">
        <v>696</v>
      </c>
      <c r="K65" s="404" t="s">
        <v>486</v>
      </c>
      <c r="L65" s="404">
        <f t="shared" si="8"/>
        <v>0</v>
      </c>
      <c r="M65" s="517" t="str">
        <f t="shared" si="3"/>
        <v>Compensation Not Required</v>
      </c>
      <c r="N65" s="404" t="s">
        <v>216</v>
      </c>
      <c r="O65" s="404">
        <f t="shared" si="5"/>
        <v>1</v>
      </c>
      <c r="P65" s="404" t="s">
        <v>70</v>
      </c>
      <c r="Q65" s="404">
        <f t="shared" si="6"/>
        <v>0.67</v>
      </c>
      <c r="R65" s="382"/>
      <c r="S65" s="404"/>
    </row>
    <row r="66" spans="1:36">
      <c r="A66" s="698" t="s">
        <v>699</v>
      </c>
      <c r="B66" s="91" t="s">
        <v>700</v>
      </c>
      <c r="C66" s="404" t="s">
        <v>701</v>
      </c>
      <c r="D66" s="404" t="s">
        <v>464</v>
      </c>
      <c r="E66" s="404"/>
      <c r="F66" s="382" t="s">
        <v>129</v>
      </c>
      <c r="G66" s="404"/>
      <c r="H66" s="521" t="s">
        <v>619</v>
      </c>
      <c r="I66" s="404"/>
      <c r="J66" s="404"/>
      <c r="K66" s="404" t="s">
        <v>216</v>
      </c>
      <c r="L66" s="404">
        <f t="shared" si="8"/>
        <v>2</v>
      </c>
      <c r="M66" s="517" t="str">
        <f t="shared" si="3"/>
        <v>Same distinctiveness or better habitat required ≥</v>
      </c>
      <c r="N66" s="404" t="s">
        <v>216</v>
      </c>
      <c r="O66" s="404">
        <f t="shared" si="5"/>
        <v>1</v>
      </c>
      <c r="P66" s="404" t="s">
        <v>216</v>
      </c>
      <c r="Q66" s="404">
        <f t="shared" si="6"/>
        <v>1</v>
      </c>
      <c r="R66" s="382"/>
      <c r="S66" s="404"/>
    </row>
    <row r="67" spans="1:36">
      <c r="A67" s="698" t="s">
        <v>702</v>
      </c>
      <c r="B67" s="91" t="s">
        <v>703</v>
      </c>
      <c r="C67" s="404">
        <v>1122</v>
      </c>
      <c r="D67" s="404" t="s">
        <v>464</v>
      </c>
      <c r="E67" s="404"/>
      <c r="F67" s="382" t="s">
        <v>129</v>
      </c>
      <c r="G67" s="404"/>
      <c r="H67" s="521" t="s">
        <v>619</v>
      </c>
      <c r="I67" s="404"/>
      <c r="J67" s="404" t="s">
        <v>704</v>
      </c>
      <c r="K67" s="404" t="s">
        <v>216</v>
      </c>
      <c r="L67" s="404">
        <f t="shared" si="8"/>
        <v>2</v>
      </c>
      <c r="M67" s="517" t="str">
        <f t="shared" si="3"/>
        <v>Same distinctiveness or better habitat required ≥</v>
      </c>
      <c r="N67" s="404" t="s">
        <v>70</v>
      </c>
      <c r="O67" s="404">
        <f t="shared" ref="O67:O96" si="9">VLOOKUP(N67,Difficulty,2,FALSE)</f>
        <v>0.67</v>
      </c>
      <c r="P67" s="404" t="s">
        <v>70</v>
      </c>
      <c r="Q67" s="404">
        <f t="shared" ref="Q67:Q96" si="10">VLOOKUP(P67,Difficulty,2,FALSE)</f>
        <v>0.67</v>
      </c>
      <c r="R67" s="382"/>
      <c r="S67" s="404"/>
    </row>
    <row r="68" spans="1:36">
      <c r="A68" s="698" t="s">
        <v>705</v>
      </c>
      <c r="B68" s="91" t="s">
        <v>706</v>
      </c>
      <c r="C68" s="404">
        <v>1121</v>
      </c>
      <c r="D68" s="404" t="s">
        <v>464</v>
      </c>
      <c r="E68" s="404"/>
      <c r="F68" s="382" t="s">
        <v>129</v>
      </c>
      <c r="G68" s="404"/>
      <c r="H68" s="521" t="s">
        <v>619</v>
      </c>
      <c r="I68" s="404"/>
      <c r="J68" s="404" t="s">
        <v>705</v>
      </c>
      <c r="K68" s="404" t="s">
        <v>216</v>
      </c>
      <c r="L68" s="404">
        <f t="shared" si="8"/>
        <v>2</v>
      </c>
      <c r="M68" s="517" t="str">
        <f t="shared" si="3"/>
        <v>Same distinctiveness or better habitat required ≥</v>
      </c>
      <c r="N68" s="404" t="s">
        <v>70</v>
      </c>
      <c r="O68" s="404">
        <f t="shared" si="9"/>
        <v>0.67</v>
      </c>
      <c r="P68" s="404" t="s">
        <v>70</v>
      </c>
      <c r="Q68" s="404">
        <f t="shared" si="10"/>
        <v>0.67</v>
      </c>
      <c r="R68" s="382"/>
      <c r="S68" s="404"/>
    </row>
    <row r="69" spans="1:36">
      <c r="A69" s="698" t="s">
        <v>707</v>
      </c>
      <c r="B69" s="91" t="s">
        <v>708</v>
      </c>
      <c r="C69" s="404">
        <v>1140</v>
      </c>
      <c r="D69" s="404" t="s">
        <v>464</v>
      </c>
      <c r="E69" s="404"/>
      <c r="F69" s="382" t="s">
        <v>129</v>
      </c>
      <c r="G69" s="404"/>
      <c r="H69" s="521" t="s">
        <v>619</v>
      </c>
      <c r="I69" s="404"/>
      <c r="J69" s="404" t="s">
        <v>707</v>
      </c>
      <c r="K69" s="404" t="s">
        <v>216</v>
      </c>
      <c r="L69" s="404">
        <f t="shared" si="8"/>
        <v>2</v>
      </c>
      <c r="M69" s="517" t="str">
        <f t="shared" si="3"/>
        <v>Same distinctiveness or better habitat required ≥</v>
      </c>
      <c r="N69" s="404" t="s">
        <v>216</v>
      </c>
      <c r="O69" s="404">
        <f t="shared" si="9"/>
        <v>1</v>
      </c>
      <c r="P69" s="404" t="s">
        <v>216</v>
      </c>
      <c r="Q69" s="404">
        <f t="shared" si="10"/>
        <v>1</v>
      </c>
      <c r="R69" s="382"/>
      <c r="S69" s="404"/>
    </row>
    <row r="70" spans="1:36">
      <c r="A70" s="698" t="s">
        <v>709</v>
      </c>
      <c r="B70" s="91" t="s">
        <v>710</v>
      </c>
      <c r="C70" s="404" t="s">
        <v>711</v>
      </c>
      <c r="D70" s="404" t="s">
        <v>464</v>
      </c>
      <c r="E70" s="404"/>
      <c r="F70" s="382" t="s">
        <v>129</v>
      </c>
      <c r="G70" s="404"/>
      <c r="H70" s="521" t="s">
        <v>619</v>
      </c>
      <c r="I70" s="404"/>
      <c r="J70" s="404" t="s">
        <v>688</v>
      </c>
      <c r="K70" s="404" t="s">
        <v>70</v>
      </c>
      <c r="L70" s="404">
        <f t="shared" si="8"/>
        <v>4</v>
      </c>
      <c r="M70" s="517" t="str">
        <f t="shared" si="3"/>
        <v>Same broad habitat or a higher distinctiveness habitat required (≥)</v>
      </c>
      <c r="N70" s="404" t="s">
        <v>70</v>
      </c>
      <c r="O70" s="404">
        <f t="shared" si="9"/>
        <v>0.67</v>
      </c>
      <c r="P70" s="404" t="s">
        <v>70</v>
      </c>
      <c r="Q70" s="404">
        <f t="shared" si="10"/>
        <v>0.67</v>
      </c>
      <c r="R70" s="382"/>
      <c r="S70" s="404"/>
    </row>
    <row r="71" spans="1:36">
      <c r="A71" s="698" t="s">
        <v>712</v>
      </c>
      <c r="B71" s="91" t="s">
        <v>713</v>
      </c>
      <c r="C71" s="404">
        <v>1160</v>
      </c>
      <c r="D71" s="404" t="s">
        <v>464</v>
      </c>
      <c r="E71" s="404"/>
      <c r="F71" s="382" t="s">
        <v>129</v>
      </c>
      <c r="G71" s="404"/>
      <c r="H71" s="521" t="s">
        <v>619</v>
      </c>
      <c r="I71" s="404"/>
      <c r="J71" s="404" t="s">
        <v>712</v>
      </c>
      <c r="K71" s="404" t="s">
        <v>216</v>
      </c>
      <c r="L71" s="404">
        <f t="shared" si="8"/>
        <v>2</v>
      </c>
      <c r="M71" s="517" t="str">
        <f t="shared" si="3"/>
        <v>Same distinctiveness or better habitat required ≥</v>
      </c>
      <c r="N71" s="404" t="s">
        <v>216</v>
      </c>
      <c r="O71" s="404">
        <f t="shared" si="9"/>
        <v>1</v>
      </c>
      <c r="P71" s="404" t="s">
        <v>216</v>
      </c>
      <c r="Q71" s="404">
        <f t="shared" si="10"/>
        <v>1</v>
      </c>
      <c r="R71" s="382"/>
      <c r="S71" s="404"/>
    </row>
    <row r="72" spans="1:36" ht="30">
      <c r="A72" s="698" t="s">
        <v>714</v>
      </c>
      <c r="B72" s="91" t="s">
        <v>715</v>
      </c>
      <c r="C72" s="404" t="s">
        <v>716</v>
      </c>
      <c r="D72" s="404" t="s">
        <v>464</v>
      </c>
      <c r="E72" s="404" t="s">
        <v>717</v>
      </c>
      <c r="F72" s="382" t="s">
        <v>129</v>
      </c>
      <c r="G72" s="404" t="s">
        <v>718</v>
      </c>
      <c r="H72" s="521" t="s">
        <v>619</v>
      </c>
      <c r="I72" s="404" t="s">
        <v>716</v>
      </c>
      <c r="J72" s="429" t="s">
        <v>719</v>
      </c>
      <c r="K72" s="404" t="s">
        <v>213</v>
      </c>
      <c r="L72" s="404">
        <f t="shared" si="8"/>
        <v>6</v>
      </c>
      <c r="M72" s="517" t="str">
        <f t="shared" si="3"/>
        <v>Same habitat required =</v>
      </c>
      <c r="N72" s="404" t="s">
        <v>70</v>
      </c>
      <c r="O72" s="404">
        <f t="shared" si="9"/>
        <v>0.67</v>
      </c>
      <c r="P72" s="404" t="s">
        <v>70</v>
      </c>
      <c r="Q72" s="404">
        <f t="shared" si="10"/>
        <v>0.67</v>
      </c>
      <c r="R72" s="382"/>
      <c r="S72" s="404"/>
    </row>
    <row r="73" spans="1:36">
      <c r="A73" s="698" t="s">
        <v>720</v>
      </c>
      <c r="B73" s="91" t="s">
        <v>721</v>
      </c>
      <c r="C73" s="404">
        <v>1192</v>
      </c>
      <c r="D73" s="404" t="s">
        <v>464</v>
      </c>
      <c r="E73" s="404"/>
      <c r="F73" s="382" t="s">
        <v>129</v>
      </c>
      <c r="G73" s="404"/>
      <c r="H73" s="521" t="s">
        <v>619</v>
      </c>
      <c r="I73" s="404"/>
      <c r="J73" s="404" t="s">
        <v>720</v>
      </c>
      <c r="K73" s="404" t="s">
        <v>216</v>
      </c>
      <c r="L73" s="404">
        <f t="shared" si="8"/>
        <v>2</v>
      </c>
      <c r="M73" s="517" t="str">
        <f t="shared" si="3"/>
        <v>Same distinctiveness or better habitat required ≥</v>
      </c>
      <c r="N73" s="404" t="s">
        <v>216</v>
      </c>
      <c r="O73" s="404">
        <f t="shared" si="9"/>
        <v>1</v>
      </c>
      <c r="P73" s="404" t="s">
        <v>216</v>
      </c>
      <c r="Q73" s="404">
        <f t="shared" si="10"/>
        <v>1</v>
      </c>
      <c r="R73" s="382"/>
      <c r="S73" s="404"/>
    </row>
    <row r="74" spans="1:36" ht="30">
      <c r="A74" s="698" t="s">
        <v>722</v>
      </c>
      <c r="B74" s="91" t="s">
        <v>723</v>
      </c>
      <c r="C74" s="404">
        <v>1030</v>
      </c>
      <c r="D74" s="404" t="s">
        <v>464</v>
      </c>
      <c r="E74" s="404"/>
      <c r="F74" s="382" t="s">
        <v>129</v>
      </c>
      <c r="G74" s="404"/>
      <c r="H74" s="521" t="s">
        <v>619</v>
      </c>
      <c r="I74" s="404"/>
      <c r="J74" s="404" t="s">
        <v>724</v>
      </c>
      <c r="K74" s="404" t="s">
        <v>216</v>
      </c>
      <c r="L74" s="404">
        <f t="shared" si="8"/>
        <v>2</v>
      </c>
      <c r="M74" s="517" t="str">
        <f t="shared" ref="M74:M130" si="11">IF($K74=$V$3,$X$3,IF($K74=$V$4,$X$4,IF($K74=$V$5,$X$5,IF($K74=$V$6,$X$6,IF($K74=$V$7,$X$7)))))</f>
        <v>Same distinctiveness or better habitat required ≥</v>
      </c>
      <c r="N74" s="404" t="s">
        <v>70</v>
      </c>
      <c r="O74" s="404">
        <f t="shared" si="9"/>
        <v>0.67</v>
      </c>
      <c r="P74" s="404" t="s">
        <v>70</v>
      </c>
      <c r="Q74" s="404">
        <f t="shared" si="10"/>
        <v>0.67</v>
      </c>
      <c r="R74" s="382"/>
      <c r="S74" s="404"/>
    </row>
    <row r="75" spans="1:36">
      <c r="A75" s="698" t="s">
        <v>725</v>
      </c>
      <c r="B75" s="91" t="s">
        <v>726</v>
      </c>
      <c r="C75" s="404">
        <v>1190</v>
      </c>
      <c r="D75" s="404" t="s">
        <v>464</v>
      </c>
      <c r="E75" s="404"/>
      <c r="F75" s="382" t="s">
        <v>129</v>
      </c>
      <c r="G75" s="404"/>
      <c r="H75" s="521" t="s">
        <v>619</v>
      </c>
      <c r="I75" s="404"/>
      <c r="J75" s="404" t="s">
        <v>727</v>
      </c>
      <c r="K75" s="404" t="s">
        <v>216</v>
      </c>
      <c r="L75" s="404">
        <f t="shared" si="8"/>
        <v>2</v>
      </c>
      <c r="M75" s="517" t="str">
        <f t="shared" si="11"/>
        <v>Same distinctiveness or better habitat required ≥</v>
      </c>
      <c r="N75" s="404" t="s">
        <v>70</v>
      </c>
      <c r="O75" s="404">
        <f t="shared" si="9"/>
        <v>0.67</v>
      </c>
      <c r="P75" s="404" t="s">
        <v>70</v>
      </c>
      <c r="Q75" s="404">
        <f t="shared" si="10"/>
        <v>0.67</v>
      </c>
      <c r="R75" s="382"/>
      <c r="S75" s="404"/>
    </row>
    <row r="76" spans="1:36">
      <c r="A76" s="698" t="s">
        <v>728</v>
      </c>
      <c r="B76" s="91" t="s">
        <v>729</v>
      </c>
      <c r="C76" s="404">
        <v>232</v>
      </c>
      <c r="D76" s="404" t="s">
        <v>464</v>
      </c>
      <c r="E76" s="404"/>
      <c r="F76" s="382" t="s">
        <v>129</v>
      </c>
      <c r="G76" s="404"/>
      <c r="H76" s="521" t="s">
        <v>619</v>
      </c>
      <c r="I76" s="404"/>
      <c r="J76" s="404" t="s">
        <v>730</v>
      </c>
      <c r="K76" s="404" t="s">
        <v>486</v>
      </c>
      <c r="L76" s="404">
        <f t="shared" si="8"/>
        <v>0</v>
      </c>
      <c r="M76" s="517" t="str">
        <f t="shared" si="11"/>
        <v>Compensation Not Required</v>
      </c>
      <c r="N76" s="404" t="s">
        <v>216</v>
      </c>
      <c r="O76" s="404">
        <f t="shared" si="9"/>
        <v>1</v>
      </c>
      <c r="P76" s="404" t="s">
        <v>216</v>
      </c>
      <c r="Q76" s="404">
        <f t="shared" si="10"/>
        <v>1</v>
      </c>
      <c r="R76" s="382"/>
      <c r="S76" s="404"/>
    </row>
    <row r="77" spans="1:36" ht="30">
      <c r="A77" s="698" t="s">
        <v>731</v>
      </c>
      <c r="B77" s="91" t="s">
        <v>732</v>
      </c>
      <c r="C77" s="404">
        <v>350</v>
      </c>
      <c r="D77" s="404" t="s">
        <v>464</v>
      </c>
      <c r="E77" s="404"/>
      <c r="F77" s="382" t="s">
        <v>129</v>
      </c>
      <c r="G77" s="404"/>
      <c r="H77" s="521" t="s">
        <v>619</v>
      </c>
      <c r="I77" s="404"/>
      <c r="J77" s="404" t="s">
        <v>731</v>
      </c>
      <c r="K77" s="404" t="s">
        <v>216</v>
      </c>
      <c r="L77" s="404">
        <f t="shared" si="8"/>
        <v>2</v>
      </c>
      <c r="M77" s="517" t="str">
        <f t="shared" si="11"/>
        <v>Same distinctiveness or better habitat required ≥</v>
      </c>
      <c r="N77" s="404" t="s">
        <v>216</v>
      </c>
      <c r="O77" s="404">
        <f t="shared" si="9"/>
        <v>1</v>
      </c>
      <c r="P77" s="404" t="s">
        <v>216</v>
      </c>
      <c r="Q77" s="404">
        <f t="shared" si="10"/>
        <v>1</v>
      </c>
      <c r="R77" s="382" t="s">
        <v>733</v>
      </c>
      <c r="S77" s="404"/>
    </row>
    <row r="78" spans="1:36" ht="30">
      <c r="A78" s="698" t="s">
        <v>734</v>
      </c>
      <c r="B78" s="558" t="s">
        <v>735</v>
      </c>
      <c r="C78" s="559" t="s">
        <v>736</v>
      </c>
      <c r="D78" s="559" t="s">
        <v>464</v>
      </c>
      <c r="E78" s="559"/>
      <c r="F78" s="395" t="s">
        <v>129</v>
      </c>
      <c r="G78" s="559"/>
      <c r="H78" s="560" t="s">
        <v>619</v>
      </c>
      <c r="I78" s="559"/>
      <c r="J78" s="559" t="s">
        <v>734</v>
      </c>
      <c r="K78" s="559" t="s">
        <v>216</v>
      </c>
      <c r="L78" s="559">
        <f t="shared" si="8"/>
        <v>2</v>
      </c>
      <c r="M78" s="561" t="str">
        <f t="shared" si="11"/>
        <v>Same distinctiveness or better habitat required ≥</v>
      </c>
      <c r="N78" s="559" t="s">
        <v>216</v>
      </c>
      <c r="O78" s="559">
        <v>1</v>
      </c>
      <c r="P78" s="559" t="s">
        <v>216</v>
      </c>
      <c r="Q78" s="559">
        <v>1</v>
      </c>
      <c r="R78" s="382" t="s">
        <v>733</v>
      </c>
      <c r="S78" s="559"/>
    </row>
    <row r="79" spans="1:36" ht="15.75" thickBot="1">
      <c r="A79" s="699" t="s">
        <v>737</v>
      </c>
      <c r="B79" s="558" t="s">
        <v>738</v>
      </c>
      <c r="C79" s="559">
        <v>231</v>
      </c>
      <c r="D79" s="559" t="s">
        <v>464</v>
      </c>
      <c r="E79" s="559"/>
      <c r="F79" s="395" t="s">
        <v>129</v>
      </c>
      <c r="G79" s="559"/>
      <c r="H79" s="560" t="s">
        <v>619</v>
      </c>
      <c r="I79" s="559"/>
      <c r="J79" s="559" t="s">
        <v>737</v>
      </c>
      <c r="K79" s="559" t="s">
        <v>216</v>
      </c>
      <c r="L79" s="559">
        <f t="shared" ref="L79:L102" si="12">IF(K79=$V$3,$W$3,IF(K79=$V$3,$W$3,IF(K79=$V$4,$W$4,IF(K79=$V$5,$W$5,IF(K79=$V$6,$W$6,IF(K79=$V$7,$W$7))))))</f>
        <v>2</v>
      </c>
      <c r="M79" s="561" t="str">
        <f t="shared" si="11"/>
        <v>Same distinctiveness or better habitat required ≥</v>
      </c>
      <c r="N79" s="559" t="s">
        <v>216</v>
      </c>
      <c r="O79" s="559">
        <f t="shared" si="9"/>
        <v>1</v>
      </c>
      <c r="P79" s="559" t="s">
        <v>216</v>
      </c>
      <c r="Q79" s="559">
        <f t="shared" si="10"/>
        <v>1</v>
      </c>
      <c r="R79" s="395"/>
      <c r="S79" s="559"/>
    </row>
    <row r="80" spans="1:36" s="124" customFormat="1">
      <c r="A80" s="698" t="s">
        <v>739</v>
      </c>
      <c r="B80" s="590" t="s">
        <v>740</v>
      </c>
      <c r="C80" s="404" t="s">
        <v>741</v>
      </c>
      <c r="D80" s="404" t="s">
        <v>464</v>
      </c>
      <c r="E80" s="404"/>
      <c r="F80" s="382" t="s">
        <v>138</v>
      </c>
      <c r="G80" s="404"/>
      <c r="H80" s="521" t="s">
        <v>619</v>
      </c>
      <c r="I80" s="404"/>
      <c r="J80" s="404" t="s">
        <v>742</v>
      </c>
      <c r="K80" s="404" t="s">
        <v>70</v>
      </c>
      <c r="L80" s="404">
        <f>IF(K80=$V$3,$W$3,IF(K80=$V$3,$W$3,IF(K80=$V$4,$W$4,IF(K80=$V$5,$W$5,IF(K80=$V$6,$W$6,IF(K80=$V$7,$W$7))))))</f>
        <v>4</v>
      </c>
      <c r="M80" s="517" t="str">
        <f>IF($K80=$V$3,$X$3,IF($K80=$V$4,$X$4,IF($K80=$V$5,$X$5,IF($K80=$V$6,$X$6,IF($K80=$V$7,$X$7)))))</f>
        <v>Same broad habitat or a higher distinctiveness habitat required (≥)</v>
      </c>
      <c r="N80" s="404" t="s">
        <v>216</v>
      </c>
      <c r="O80" s="404">
        <f>VLOOKUP(N80,Difficulty,2,FALSE)</f>
        <v>1</v>
      </c>
      <c r="P80" s="404" t="s">
        <v>216</v>
      </c>
      <c r="Q80" s="404">
        <f>VLOOKUP(P80,Difficulty,2,FALSE)</f>
        <v>1</v>
      </c>
      <c r="R80" s="382"/>
      <c r="S80" s="404"/>
      <c r="T80" s="30"/>
      <c r="U80" s="30"/>
      <c r="V80" s="30"/>
      <c r="W80" s="30"/>
      <c r="X80" s="30"/>
      <c r="Y80" s="30"/>
      <c r="Z80" s="30"/>
      <c r="AA80" s="30"/>
      <c r="AB80" s="30"/>
      <c r="AC80" s="30"/>
      <c r="AD80" s="30"/>
      <c r="AE80" s="30"/>
      <c r="AF80" s="30"/>
      <c r="AG80" s="30"/>
      <c r="AH80" s="30"/>
      <c r="AI80" s="30"/>
      <c r="AJ80" s="888"/>
    </row>
    <row r="81" spans="1:36" s="124" customFormat="1" ht="15.75" thickBot="1">
      <c r="A81" s="201" t="s">
        <v>743</v>
      </c>
      <c r="B81" s="181" t="s">
        <v>744</v>
      </c>
      <c r="C81" s="404" t="s">
        <v>745</v>
      </c>
      <c r="D81" s="404" t="s">
        <v>464</v>
      </c>
      <c r="E81" s="404"/>
      <c r="F81" s="382" t="s">
        <v>138</v>
      </c>
      <c r="G81" s="404"/>
      <c r="H81" s="404"/>
      <c r="I81" s="404"/>
      <c r="J81" s="404"/>
      <c r="K81" s="404" t="s">
        <v>70</v>
      </c>
      <c r="L81" s="404">
        <f>IF(K81=$V$3,$W$3,IF(K81=$V$3,$W$3,IF(K81=$V$4,$W$4,IF(K81=$V$5,$W$5,IF(K81=$V$6,$W$6,IF(K81=$V$7,$W$7))))))</f>
        <v>4</v>
      </c>
      <c r="M81" s="517" t="str">
        <f>IF($K81=$V$3,$X$3,IF($K81=$V$4,$X$4,IF($K81=$V$5,$X$5,IF($K81=$V$6,$X$6,IF($K81=$V$7,$X$7)))))</f>
        <v>Same broad habitat or a higher distinctiveness habitat required (≥)</v>
      </c>
      <c r="N81" s="404" t="s">
        <v>216</v>
      </c>
      <c r="O81" s="404">
        <f>VLOOKUP(N81,Difficulty,2,FALSE)</f>
        <v>1</v>
      </c>
      <c r="P81" s="404" t="s">
        <v>216</v>
      </c>
      <c r="Q81" s="404">
        <f>VLOOKUP(P81,Difficulty,2,FALSE)</f>
        <v>1</v>
      </c>
      <c r="R81" s="382"/>
      <c r="S81" s="404"/>
      <c r="T81" s="30"/>
      <c r="U81" s="30"/>
      <c r="V81" s="30"/>
      <c r="W81" s="30"/>
      <c r="X81" s="30"/>
      <c r="Y81" s="30"/>
      <c r="Z81" s="30"/>
      <c r="AA81" s="30"/>
      <c r="AB81" s="30"/>
      <c r="AC81" s="30"/>
      <c r="AD81" s="30"/>
      <c r="AE81" s="30"/>
      <c r="AF81" s="30"/>
      <c r="AG81" s="30"/>
      <c r="AH81" s="30"/>
      <c r="AI81" s="30"/>
      <c r="AJ81" s="888"/>
    </row>
    <row r="82" spans="1:36">
      <c r="A82" s="700" t="s">
        <v>746</v>
      </c>
      <c r="B82" s="179" t="s">
        <v>747</v>
      </c>
      <c r="C82" s="383" t="s">
        <v>748</v>
      </c>
      <c r="D82" s="383" t="s">
        <v>464</v>
      </c>
      <c r="E82" s="383"/>
      <c r="F82" s="370" t="s">
        <v>130</v>
      </c>
      <c r="G82" s="383"/>
      <c r="H82" s="523" t="s">
        <v>749</v>
      </c>
      <c r="I82" s="383" t="s">
        <v>748</v>
      </c>
      <c r="J82" s="432" t="s">
        <v>746</v>
      </c>
      <c r="K82" s="383" t="s">
        <v>467</v>
      </c>
      <c r="L82" s="383">
        <f t="shared" si="12"/>
        <v>8</v>
      </c>
      <c r="M82" s="519" t="str">
        <f t="shared" si="11"/>
        <v>Bespoke compensation likely to be required 🛠</v>
      </c>
      <c r="N82" s="383" t="s">
        <v>211</v>
      </c>
      <c r="O82" s="383">
        <f t="shared" si="9"/>
        <v>0.1</v>
      </c>
      <c r="P82" s="383" t="s">
        <v>213</v>
      </c>
      <c r="Q82" s="383">
        <f t="shared" si="10"/>
        <v>0.33</v>
      </c>
      <c r="R82" s="370"/>
      <c r="S82" s="383"/>
    </row>
    <row r="83" spans="1:36" ht="30">
      <c r="A83" s="698" t="s">
        <v>750</v>
      </c>
      <c r="B83" s="91" t="s">
        <v>751</v>
      </c>
      <c r="C83" s="404">
        <v>24</v>
      </c>
      <c r="D83" s="404" t="s">
        <v>464</v>
      </c>
      <c r="E83" s="404" t="s">
        <v>752</v>
      </c>
      <c r="F83" s="382" t="s">
        <v>130</v>
      </c>
      <c r="G83" s="404" t="s">
        <v>753</v>
      </c>
      <c r="H83" s="521" t="s">
        <v>749</v>
      </c>
      <c r="I83" s="404"/>
      <c r="J83" s="433" t="s">
        <v>754</v>
      </c>
      <c r="K83" s="404" t="s">
        <v>467</v>
      </c>
      <c r="L83" s="404">
        <f t="shared" si="12"/>
        <v>8</v>
      </c>
      <c r="M83" s="517" t="str">
        <f t="shared" si="11"/>
        <v>Bespoke compensation likely to be required 🛠</v>
      </c>
      <c r="N83" s="404" t="s">
        <v>211</v>
      </c>
      <c r="O83" s="404">
        <f t="shared" si="9"/>
        <v>0.1</v>
      </c>
      <c r="P83" s="404" t="s">
        <v>213</v>
      </c>
      <c r="Q83" s="404">
        <f t="shared" si="10"/>
        <v>0.33</v>
      </c>
      <c r="R83" s="382"/>
      <c r="S83" s="404"/>
    </row>
    <row r="84" spans="1:36">
      <c r="A84" s="698" t="s">
        <v>755</v>
      </c>
      <c r="B84" s="91" t="s">
        <v>756</v>
      </c>
      <c r="C84" s="404" t="s">
        <v>757</v>
      </c>
      <c r="D84" s="404" t="s">
        <v>464</v>
      </c>
      <c r="E84" s="404"/>
      <c r="F84" s="382" t="s">
        <v>130</v>
      </c>
      <c r="G84" s="404" t="s">
        <v>758</v>
      </c>
      <c r="H84" s="521" t="s">
        <v>759</v>
      </c>
      <c r="I84" s="404" t="s">
        <v>757</v>
      </c>
      <c r="J84" s="429" t="s">
        <v>760</v>
      </c>
      <c r="K84" s="404" t="s">
        <v>467</v>
      </c>
      <c r="L84" s="404">
        <f t="shared" si="12"/>
        <v>8</v>
      </c>
      <c r="M84" s="517" t="str">
        <f t="shared" si="11"/>
        <v>Bespoke compensation likely to be required 🛠</v>
      </c>
      <c r="N84" s="404" t="s">
        <v>213</v>
      </c>
      <c r="O84" s="404">
        <f t="shared" si="9"/>
        <v>0.33</v>
      </c>
      <c r="P84" s="404" t="s">
        <v>213</v>
      </c>
      <c r="Q84" s="404">
        <f t="shared" si="10"/>
        <v>0.33</v>
      </c>
      <c r="R84" s="382"/>
      <c r="S84" s="404"/>
    </row>
    <row r="85" spans="1:36">
      <c r="A85" s="698" t="s">
        <v>761</v>
      </c>
      <c r="B85" s="91" t="s">
        <v>762</v>
      </c>
      <c r="C85" s="404" t="s">
        <v>763</v>
      </c>
      <c r="D85" s="404" t="s">
        <v>464</v>
      </c>
      <c r="E85" s="404"/>
      <c r="F85" s="382" t="s">
        <v>130</v>
      </c>
      <c r="G85" s="404"/>
      <c r="H85" s="521" t="s">
        <v>749</v>
      </c>
      <c r="I85" s="404" t="s">
        <v>763</v>
      </c>
      <c r="J85" s="429" t="s">
        <v>761</v>
      </c>
      <c r="K85" s="404" t="s">
        <v>467</v>
      </c>
      <c r="L85" s="404">
        <f t="shared" si="12"/>
        <v>8</v>
      </c>
      <c r="M85" s="517" t="str">
        <f t="shared" si="11"/>
        <v>Bespoke compensation likely to be required 🛠</v>
      </c>
      <c r="N85" s="404" t="s">
        <v>211</v>
      </c>
      <c r="O85" s="404">
        <f t="shared" si="9"/>
        <v>0.1</v>
      </c>
      <c r="P85" s="404" t="s">
        <v>213</v>
      </c>
      <c r="Q85" s="404">
        <f t="shared" si="10"/>
        <v>0.33</v>
      </c>
      <c r="R85" s="382"/>
      <c r="S85" s="404"/>
    </row>
    <row r="86" spans="1:36">
      <c r="A86" s="698" t="s">
        <v>764</v>
      </c>
      <c r="B86" s="91" t="s">
        <v>765</v>
      </c>
      <c r="C86" s="404" t="s">
        <v>766</v>
      </c>
      <c r="D86" s="404" t="s">
        <v>464</v>
      </c>
      <c r="E86" s="404"/>
      <c r="F86" s="382" t="s">
        <v>130</v>
      </c>
      <c r="G86" s="404"/>
      <c r="H86" s="521" t="s">
        <v>759</v>
      </c>
      <c r="I86" s="404" t="s">
        <v>767</v>
      </c>
      <c r="J86" s="404" t="s">
        <v>768</v>
      </c>
      <c r="K86" s="404" t="s">
        <v>467</v>
      </c>
      <c r="L86" s="404">
        <f t="shared" si="12"/>
        <v>8</v>
      </c>
      <c r="M86" s="517" t="str">
        <f t="shared" si="11"/>
        <v>Bespoke compensation likely to be required 🛠</v>
      </c>
      <c r="N86" s="404" t="s">
        <v>211</v>
      </c>
      <c r="O86" s="404">
        <f t="shared" si="9"/>
        <v>0.1</v>
      </c>
      <c r="P86" s="404" t="s">
        <v>213</v>
      </c>
      <c r="Q86" s="404">
        <f t="shared" si="10"/>
        <v>0.33</v>
      </c>
      <c r="R86" s="382"/>
      <c r="S86" s="404"/>
    </row>
    <row r="87" spans="1:36" ht="30">
      <c r="A87" s="698" t="s">
        <v>769</v>
      </c>
      <c r="B87" s="91" t="s">
        <v>770</v>
      </c>
      <c r="C87" s="404" t="s">
        <v>771</v>
      </c>
      <c r="D87" s="404" t="s">
        <v>464</v>
      </c>
      <c r="E87" s="404"/>
      <c r="F87" s="382" t="s">
        <v>130</v>
      </c>
      <c r="G87" s="404"/>
      <c r="H87" s="521" t="s">
        <v>759</v>
      </c>
      <c r="I87" s="404" t="s">
        <v>771</v>
      </c>
      <c r="J87" s="429" t="s">
        <v>769</v>
      </c>
      <c r="K87" s="404" t="s">
        <v>467</v>
      </c>
      <c r="L87" s="404">
        <f t="shared" si="12"/>
        <v>8</v>
      </c>
      <c r="M87" s="517" t="str">
        <f t="shared" si="11"/>
        <v>Bespoke compensation likely to be required 🛠</v>
      </c>
      <c r="N87" s="404" t="s">
        <v>213</v>
      </c>
      <c r="O87" s="404">
        <f t="shared" si="9"/>
        <v>0.33</v>
      </c>
      <c r="P87" s="404" t="s">
        <v>213</v>
      </c>
      <c r="Q87" s="404">
        <f t="shared" si="10"/>
        <v>0.33</v>
      </c>
      <c r="R87" s="382"/>
      <c r="S87" s="404"/>
    </row>
    <row r="88" spans="1:36">
      <c r="A88" s="698" t="s">
        <v>772</v>
      </c>
      <c r="B88" s="91" t="s">
        <v>773</v>
      </c>
      <c r="C88" s="404" t="s">
        <v>774</v>
      </c>
      <c r="D88" s="404" t="s">
        <v>464</v>
      </c>
      <c r="E88" s="404"/>
      <c r="F88" s="382" t="s">
        <v>130</v>
      </c>
      <c r="G88" s="404"/>
      <c r="H88" s="521" t="s">
        <v>759</v>
      </c>
      <c r="I88" s="404" t="s">
        <v>774</v>
      </c>
      <c r="J88" s="429" t="s">
        <v>772</v>
      </c>
      <c r="K88" s="404" t="s">
        <v>213</v>
      </c>
      <c r="L88" s="404">
        <f t="shared" si="12"/>
        <v>6</v>
      </c>
      <c r="M88" s="517" t="str">
        <f t="shared" si="11"/>
        <v>Same habitat required =</v>
      </c>
      <c r="N88" s="404" t="s">
        <v>70</v>
      </c>
      <c r="O88" s="404">
        <f t="shared" si="9"/>
        <v>0.67</v>
      </c>
      <c r="P88" s="404" t="s">
        <v>70</v>
      </c>
      <c r="Q88" s="404">
        <f t="shared" si="10"/>
        <v>0.67</v>
      </c>
      <c r="R88" s="382"/>
      <c r="S88" s="404"/>
    </row>
    <row r="89" spans="1:36" ht="30.75" thickBot="1">
      <c r="A89" s="698" t="s">
        <v>775</v>
      </c>
      <c r="B89" s="178" t="s">
        <v>776</v>
      </c>
      <c r="C89" s="388" t="s">
        <v>777</v>
      </c>
      <c r="D89" s="388" t="s">
        <v>464</v>
      </c>
      <c r="E89" s="388"/>
      <c r="F89" s="371" t="s">
        <v>130</v>
      </c>
      <c r="G89" s="388"/>
      <c r="H89" s="522" t="s">
        <v>759</v>
      </c>
      <c r="I89" s="388"/>
      <c r="J89" s="434" t="s">
        <v>776</v>
      </c>
      <c r="K89" s="388" t="s">
        <v>467</v>
      </c>
      <c r="L89" s="388">
        <f t="shared" si="12"/>
        <v>8</v>
      </c>
      <c r="M89" s="518" t="str">
        <f t="shared" si="11"/>
        <v>Bespoke compensation likely to be required 🛠</v>
      </c>
      <c r="N89" s="388" t="s">
        <v>211</v>
      </c>
      <c r="O89" s="388">
        <f t="shared" si="9"/>
        <v>0.1</v>
      </c>
      <c r="P89" s="388" t="s">
        <v>213</v>
      </c>
      <c r="Q89" s="388">
        <f t="shared" si="10"/>
        <v>0.33</v>
      </c>
      <c r="R89" s="371"/>
      <c r="S89" s="388"/>
    </row>
    <row r="90" spans="1:36">
      <c r="A90" s="698" t="s">
        <v>778</v>
      </c>
      <c r="B90" s="179" t="s">
        <v>779</v>
      </c>
      <c r="C90" s="383">
        <v>53</v>
      </c>
      <c r="D90" s="383" t="s">
        <v>464</v>
      </c>
      <c r="E90" s="383"/>
      <c r="F90" s="370" t="s">
        <v>131</v>
      </c>
      <c r="G90" s="383"/>
      <c r="H90" s="523" t="s">
        <v>780</v>
      </c>
      <c r="I90" s="383"/>
      <c r="J90" s="383" t="s">
        <v>778</v>
      </c>
      <c r="K90" s="383" t="s">
        <v>213</v>
      </c>
      <c r="L90" s="383">
        <f t="shared" si="12"/>
        <v>6</v>
      </c>
      <c r="M90" s="519" t="str">
        <f t="shared" si="11"/>
        <v>Same habitat required =</v>
      </c>
      <c r="N90" s="383" t="s">
        <v>213</v>
      </c>
      <c r="O90" s="383">
        <f t="shared" si="9"/>
        <v>0.33</v>
      </c>
      <c r="P90" s="383" t="s">
        <v>216</v>
      </c>
      <c r="Q90" s="383">
        <f t="shared" si="10"/>
        <v>1</v>
      </c>
      <c r="R90" s="370"/>
      <c r="S90" s="383"/>
    </row>
    <row r="91" spans="1:36" ht="30">
      <c r="A91" s="698" t="s">
        <v>781</v>
      </c>
      <c r="B91" s="91" t="s">
        <v>782</v>
      </c>
      <c r="C91" s="404" t="s">
        <v>783</v>
      </c>
      <c r="D91" s="404" t="s">
        <v>464</v>
      </c>
      <c r="E91" s="404"/>
      <c r="F91" s="382" t="s">
        <v>131</v>
      </c>
      <c r="G91" s="404"/>
      <c r="H91" s="521" t="s">
        <v>784</v>
      </c>
      <c r="I91" s="404" t="s">
        <v>783</v>
      </c>
      <c r="J91" s="429" t="s">
        <v>781</v>
      </c>
      <c r="K91" s="404" t="s">
        <v>213</v>
      </c>
      <c r="L91" s="404">
        <f t="shared" si="12"/>
        <v>6</v>
      </c>
      <c r="M91" s="517" t="str">
        <f t="shared" si="11"/>
        <v>Same habitat required =</v>
      </c>
      <c r="N91" s="404" t="s">
        <v>213</v>
      </c>
      <c r="O91" s="404">
        <f t="shared" si="9"/>
        <v>0.33</v>
      </c>
      <c r="P91" s="404" t="s">
        <v>213</v>
      </c>
      <c r="Q91" s="404">
        <f t="shared" si="10"/>
        <v>0.33</v>
      </c>
      <c r="R91" s="382"/>
      <c r="S91" s="404"/>
    </row>
    <row r="92" spans="1:36" ht="30">
      <c r="A92" s="698" t="s">
        <v>785</v>
      </c>
      <c r="B92" s="91" t="s">
        <v>786</v>
      </c>
      <c r="C92" s="404" t="s">
        <v>787</v>
      </c>
      <c r="D92" s="404" t="s">
        <v>464</v>
      </c>
      <c r="E92" s="404"/>
      <c r="F92" s="382" t="s">
        <v>131</v>
      </c>
      <c r="G92" s="404"/>
      <c r="H92" s="521" t="s">
        <v>784</v>
      </c>
      <c r="I92" s="404" t="s">
        <v>787</v>
      </c>
      <c r="J92" s="429" t="s">
        <v>785</v>
      </c>
      <c r="K92" s="404" t="s">
        <v>213</v>
      </c>
      <c r="L92" s="404">
        <f t="shared" si="12"/>
        <v>6</v>
      </c>
      <c r="M92" s="517" t="str">
        <f t="shared" si="11"/>
        <v>Same habitat required =</v>
      </c>
      <c r="N92" s="404" t="s">
        <v>213</v>
      </c>
      <c r="O92" s="404">
        <f t="shared" si="9"/>
        <v>0.33</v>
      </c>
      <c r="P92" s="404" t="s">
        <v>213</v>
      </c>
      <c r="Q92" s="404">
        <f t="shared" si="10"/>
        <v>0.33</v>
      </c>
      <c r="R92" s="382"/>
      <c r="S92" s="404"/>
    </row>
    <row r="93" spans="1:36">
      <c r="A93" s="698" t="s">
        <v>788</v>
      </c>
      <c r="B93" s="91" t="s">
        <v>789</v>
      </c>
      <c r="C93" s="404" t="s">
        <v>790</v>
      </c>
      <c r="D93" s="404" t="s">
        <v>464</v>
      </c>
      <c r="E93" s="404"/>
      <c r="F93" s="382" t="s">
        <v>131</v>
      </c>
      <c r="G93" s="404" t="s">
        <v>791</v>
      </c>
      <c r="H93" s="521" t="s">
        <v>792</v>
      </c>
      <c r="I93" s="404" t="s">
        <v>790</v>
      </c>
      <c r="J93" s="429" t="s">
        <v>788</v>
      </c>
      <c r="K93" s="404" t="s">
        <v>213</v>
      </c>
      <c r="L93" s="404">
        <f t="shared" si="12"/>
        <v>6</v>
      </c>
      <c r="M93" s="517" t="str">
        <f t="shared" si="11"/>
        <v>Same habitat required =</v>
      </c>
      <c r="N93" s="404" t="s">
        <v>213</v>
      </c>
      <c r="O93" s="404">
        <f t="shared" si="9"/>
        <v>0.33</v>
      </c>
      <c r="P93" s="404" t="s">
        <v>213</v>
      </c>
      <c r="Q93" s="404">
        <f t="shared" si="10"/>
        <v>0.33</v>
      </c>
      <c r="R93" s="382"/>
      <c r="S93" s="404"/>
    </row>
    <row r="94" spans="1:36">
      <c r="A94" s="698" t="s">
        <v>793</v>
      </c>
      <c r="B94" s="91" t="s">
        <v>794</v>
      </c>
      <c r="C94" s="404" t="s">
        <v>795</v>
      </c>
      <c r="D94" s="404" t="s">
        <v>464</v>
      </c>
      <c r="E94" s="404"/>
      <c r="F94" s="382" t="s">
        <v>131</v>
      </c>
      <c r="G94" s="404"/>
      <c r="H94" s="521" t="s">
        <v>792</v>
      </c>
      <c r="I94" s="404" t="s">
        <v>795</v>
      </c>
      <c r="J94" s="404" t="s">
        <v>793</v>
      </c>
      <c r="K94" s="404" t="s">
        <v>216</v>
      </c>
      <c r="L94" s="404">
        <f t="shared" si="12"/>
        <v>2</v>
      </c>
      <c r="M94" s="517" t="str">
        <f t="shared" si="11"/>
        <v>Same distinctiveness or better habitat required ≥</v>
      </c>
      <c r="N94" s="404" t="s">
        <v>216</v>
      </c>
      <c r="O94" s="404">
        <f t="shared" si="9"/>
        <v>1</v>
      </c>
      <c r="P94" s="404" t="s">
        <v>216</v>
      </c>
      <c r="Q94" s="404">
        <f t="shared" si="10"/>
        <v>1</v>
      </c>
      <c r="R94" s="382"/>
      <c r="S94" s="404"/>
    </row>
    <row r="95" spans="1:36">
      <c r="A95" s="698" t="s">
        <v>796</v>
      </c>
      <c r="B95" s="91" t="s">
        <v>797</v>
      </c>
      <c r="C95" s="404" t="s">
        <v>798</v>
      </c>
      <c r="D95" s="404" t="s">
        <v>464</v>
      </c>
      <c r="E95" s="404"/>
      <c r="F95" s="382" t="s">
        <v>131</v>
      </c>
      <c r="G95" s="404"/>
      <c r="H95" s="521" t="s">
        <v>792</v>
      </c>
      <c r="I95" s="404" t="s">
        <v>798</v>
      </c>
      <c r="J95" s="404" t="s">
        <v>799</v>
      </c>
      <c r="K95" s="404" t="s">
        <v>70</v>
      </c>
      <c r="L95" s="404">
        <f t="shared" si="12"/>
        <v>4</v>
      </c>
      <c r="M95" s="517" t="str">
        <f t="shared" si="11"/>
        <v>Same broad habitat or a higher distinctiveness habitat required (≥)</v>
      </c>
      <c r="N95" s="404" t="s">
        <v>70</v>
      </c>
      <c r="O95" s="404">
        <f t="shared" si="9"/>
        <v>0.67</v>
      </c>
      <c r="P95" s="404" t="s">
        <v>70</v>
      </c>
      <c r="Q95" s="404">
        <f t="shared" si="10"/>
        <v>0.67</v>
      </c>
      <c r="R95" s="382"/>
      <c r="S95" s="404"/>
    </row>
    <row r="96" spans="1:36">
      <c r="A96" s="698" t="s">
        <v>800</v>
      </c>
      <c r="B96" s="91" t="s">
        <v>801</v>
      </c>
      <c r="C96" s="404" t="s">
        <v>802</v>
      </c>
      <c r="D96" s="404" t="s">
        <v>464</v>
      </c>
      <c r="E96" s="404"/>
      <c r="F96" s="382" t="s">
        <v>131</v>
      </c>
      <c r="G96" s="404"/>
      <c r="H96" s="521" t="s">
        <v>784</v>
      </c>
      <c r="I96" s="404" t="s">
        <v>802</v>
      </c>
      <c r="J96" s="404" t="s">
        <v>800</v>
      </c>
      <c r="K96" s="404" t="s">
        <v>70</v>
      </c>
      <c r="L96" s="404">
        <f t="shared" si="12"/>
        <v>4</v>
      </c>
      <c r="M96" s="517" t="str">
        <f t="shared" si="11"/>
        <v>Same broad habitat or a higher distinctiveness habitat required (≥)</v>
      </c>
      <c r="N96" s="404" t="s">
        <v>216</v>
      </c>
      <c r="O96" s="404">
        <f t="shared" si="9"/>
        <v>1</v>
      </c>
      <c r="P96" s="404" t="s">
        <v>216</v>
      </c>
      <c r="Q96" s="404">
        <f t="shared" si="10"/>
        <v>1</v>
      </c>
      <c r="R96" s="382"/>
      <c r="S96" s="404"/>
    </row>
    <row r="97" spans="1:19">
      <c r="A97" s="698" t="s">
        <v>803</v>
      </c>
      <c r="B97" s="91" t="s">
        <v>804</v>
      </c>
      <c r="C97" s="404" t="s">
        <v>805</v>
      </c>
      <c r="D97" s="404" t="s">
        <v>464</v>
      </c>
      <c r="E97" s="404"/>
      <c r="F97" s="382" t="s">
        <v>131</v>
      </c>
      <c r="G97" s="404"/>
      <c r="H97" s="521" t="s">
        <v>784</v>
      </c>
      <c r="I97" s="404" t="s">
        <v>805</v>
      </c>
      <c r="J97" s="404" t="s">
        <v>803</v>
      </c>
      <c r="K97" s="404" t="s">
        <v>70</v>
      </c>
      <c r="L97" s="404">
        <f t="shared" si="12"/>
        <v>4</v>
      </c>
      <c r="M97" s="517" t="str">
        <f t="shared" si="11"/>
        <v>Same broad habitat or a higher distinctiveness habitat required (≥)</v>
      </c>
      <c r="N97" s="404" t="s">
        <v>216</v>
      </c>
      <c r="O97" s="404">
        <f t="shared" ref="O97:O102" si="13">VLOOKUP(N97,Difficulty,2,FALSE)</f>
        <v>1</v>
      </c>
      <c r="P97" s="404" t="s">
        <v>216</v>
      </c>
      <c r="Q97" s="404">
        <f t="shared" ref="Q97:Q102" si="14">VLOOKUP(P97,Difficulty,2,FALSE)</f>
        <v>1</v>
      </c>
      <c r="R97" s="382"/>
      <c r="S97" s="404"/>
    </row>
    <row r="98" spans="1:19">
      <c r="A98" s="698" t="s">
        <v>806</v>
      </c>
      <c r="B98" s="91" t="s">
        <v>807</v>
      </c>
      <c r="C98" s="404" t="s">
        <v>808</v>
      </c>
      <c r="D98" s="404" t="s">
        <v>464</v>
      </c>
      <c r="E98" s="404"/>
      <c r="F98" s="382" t="s">
        <v>131</v>
      </c>
      <c r="G98" s="404"/>
      <c r="H98" s="521" t="s">
        <v>784</v>
      </c>
      <c r="I98" s="404" t="s">
        <v>808</v>
      </c>
      <c r="J98" s="429" t="s">
        <v>806</v>
      </c>
      <c r="K98" s="404" t="s">
        <v>213</v>
      </c>
      <c r="L98" s="404">
        <f t="shared" si="12"/>
        <v>6</v>
      </c>
      <c r="M98" s="517" t="str">
        <f t="shared" si="11"/>
        <v>Same habitat required =</v>
      </c>
      <c r="N98" s="404" t="s">
        <v>70</v>
      </c>
      <c r="O98" s="404">
        <f t="shared" si="13"/>
        <v>0.67</v>
      </c>
      <c r="P98" s="404" t="s">
        <v>70</v>
      </c>
      <c r="Q98" s="404">
        <f t="shared" si="14"/>
        <v>0.67</v>
      </c>
      <c r="R98" s="382"/>
      <c r="S98" s="404"/>
    </row>
    <row r="99" spans="1:19">
      <c r="A99" s="698" t="s">
        <v>809</v>
      </c>
      <c r="B99" s="91" t="s">
        <v>810</v>
      </c>
      <c r="C99" s="404" t="s">
        <v>811</v>
      </c>
      <c r="D99" s="404" t="s">
        <v>464</v>
      </c>
      <c r="E99" s="404"/>
      <c r="F99" s="382" t="s">
        <v>131</v>
      </c>
      <c r="G99" s="404"/>
      <c r="H99" s="521" t="s">
        <v>784</v>
      </c>
      <c r="I99" s="404" t="s">
        <v>811</v>
      </c>
      <c r="J99" s="429" t="s">
        <v>809</v>
      </c>
      <c r="K99" s="404" t="s">
        <v>213</v>
      </c>
      <c r="L99" s="404">
        <f t="shared" si="12"/>
        <v>6</v>
      </c>
      <c r="M99" s="517" t="str">
        <f t="shared" si="11"/>
        <v>Same habitat required =</v>
      </c>
      <c r="N99" s="404" t="s">
        <v>213</v>
      </c>
      <c r="O99" s="404">
        <f t="shared" si="13"/>
        <v>0.33</v>
      </c>
      <c r="P99" s="404" t="s">
        <v>213</v>
      </c>
      <c r="Q99" s="404">
        <f t="shared" si="14"/>
        <v>0.33</v>
      </c>
      <c r="R99" s="382"/>
      <c r="S99" s="404"/>
    </row>
    <row r="100" spans="1:19">
      <c r="A100" s="698" t="s">
        <v>812</v>
      </c>
      <c r="B100" s="91" t="s">
        <v>813</v>
      </c>
      <c r="C100" s="404" t="s">
        <v>814</v>
      </c>
      <c r="D100" s="404" t="s">
        <v>464</v>
      </c>
      <c r="E100" s="404" t="s">
        <v>815</v>
      </c>
      <c r="F100" s="382" t="s">
        <v>131</v>
      </c>
      <c r="G100" s="404" t="s">
        <v>816</v>
      </c>
      <c r="H100" s="521" t="s">
        <v>784</v>
      </c>
      <c r="I100" s="404" t="s">
        <v>814</v>
      </c>
      <c r="J100" s="429" t="s">
        <v>812</v>
      </c>
      <c r="K100" s="404" t="s">
        <v>213</v>
      </c>
      <c r="L100" s="404">
        <f t="shared" si="12"/>
        <v>6</v>
      </c>
      <c r="M100" s="517" t="str">
        <f t="shared" si="11"/>
        <v>Same habitat required =</v>
      </c>
      <c r="N100" s="404" t="s">
        <v>213</v>
      </c>
      <c r="O100" s="404">
        <f t="shared" si="13"/>
        <v>0.33</v>
      </c>
      <c r="P100" s="404" t="s">
        <v>213</v>
      </c>
      <c r="Q100" s="404">
        <f t="shared" si="14"/>
        <v>0.33</v>
      </c>
      <c r="R100" s="382"/>
      <c r="S100" s="404"/>
    </row>
    <row r="101" spans="1:19">
      <c r="A101" s="698" t="s">
        <v>817</v>
      </c>
      <c r="B101" s="91" t="s">
        <v>818</v>
      </c>
      <c r="C101" s="404" t="s">
        <v>819</v>
      </c>
      <c r="D101" s="404" t="s">
        <v>464</v>
      </c>
      <c r="E101" s="404"/>
      <c r="F101" s="382" t="s">
        <v>131</v>
      </c>
      <c r="G101" s="404"/>
      <c r="H101" s="521" t="s">
        <v>784</v>
      </c>
      <c r="I101" s="404" t="s">
        <v>819</v>
      </c>
      <c r="J101" s="429" t="s">
        <v>817</v>
      </c>
      <c r="K101" s="404" t="s">
        <v>213</v>
      </c>
      <c r="L101" s="404">
        <f t="shared" si="12"/>
        <v>6</v>
      </c>
      <c r="M101" s="517" t="str">
        <f t="shared" si="11"/>
        <v>Same habitat required =</v>
      </c>
      <c r="N101" s="404" t="s">
        <v>70</v>
      </c>
      <c r="O101" s="404">
        <f t="shared" si="13"/>
        <v>0.67</v>
      </c>
      <c r="P101" s="404" t="s">
        <v>70</v>
      </c>
      <c r="Q101" s="404">
        <f t="shared" si="14"/>
        <v>0.67</v>
      </c>
      <c r="R101" s="382"/>
      <c r="S101" s="404"/>
    </row>
    <row r="102" spans="1:19" ht="15.75" thickBot="1">
      <c r="A102" s="698" t="s">
        <v>820</v>
      </c>
      <c r="B102" s="178" t="s">
        <v>821</v>
      </c>
      <c r="C102" s="388">
        <v>20</v>
      </c>
      <c r="D102" s="388" t="s">
        <v>464</v>
      </c>
      <c r="E102" s="388"/>
      <c r="F102" s="371" t="s">
        <v>131</v>
      </c>
      <c r="G102" s="388"/>
      <c r="H102" s="522" t="s">
        <v>780</v>
      </c>
      <c r="I102" s="388"/>
      <c r="J102" s="388" t="s">
        <v>820</v>
      </c>
      <c r="K102" s="388" t="s">
        <v>467</v>
      </c>
      <c r="L102" s="388">
        <f t="shared" si="12"/>
        <v>8</v>
      </c>
      <c r="M102" s="518" t="str">
        <f t="shared" si="11"/>
        <v>Bespoke compensation likely to be required 🛠</v>
      </c>
      <c r="N102" s="388" t="s">
        <v>211</v>
      </c>
      <c r="O102" s="388">
        <f t="shared" si="13"/>
        <v>0.1</v>
      </c>
      <c r="P102" s="388" t="s">
        <v>213</v>
      </c>
      <c r="Q102" s="388">
        <f t="shared" si="14"/>
        <v>0.33</v>
      </c>
      <c r="R102" s="371"/>
      <c r="S102" s="388"/>
    </row>
    <row r="103" spans="1:19" ht="15.75" thickBot="1">
      <c r="A103" s="698" t="s">
        <v>135</v>
      </c>
      <c r="B103" s="180" t="s">
        <v>822</v>
      </c>
      <c r="C103" s="435" t="s">
        <v>823</v>
      </c>
      <c r="D103" s="435" t="s">
        <v>824</v>
      </c>
      <c r="E103" s="435" t="s">
        <v>825</v>
      </c>
      <c r="F103" s="435" t="s">
        <v>135</v>
      </c>
      <c r="G103" s="435"/>
      <c r="H103" s="520" t="s">
        <v>135</v>
      </c>
      <c r="I103" s="435"/>
      <c r="J103" s="435"/>
      <c r="K103" s="435" t="s">
        <v>213</v>
      </c>
      <c r="L103" s="435">
        <f>IF(K103=$V$3,$W$3,IF(K103=$V$3,$W$3,IF(K103=$V$4,$W$4,IF(K103=$V$5,$W$5,IF(K103=$V$6,$W$6,IF(K103=$V$7,$W$7))))))</f>
        <v>6</v>
      </c>
      <c r="M103" s="520" t="str">
        <f t="shared" si="11"/>
        <v>Same habitat required =</v>
      </c>
      <c r="N103" s="435" t="s">
        <v>70</v>
      </c>
      <c r="O103" s="435">
        <f>VLOOKUP(N103,Difficulty,2,FALSE)</f>
        <v>0.67</v>
      </c>
      <c r="P103" s="435" t="s">
        <v>70</v>
      </c>
      <c r="Q103" s="435">
        <f>VLOOKUP(P103,Difficulty,2,FALSE)</f>
        <v>0.67</v>
      </c>
      <c r="R103" s="436"/>
      <c r="S103" s="435"/>
    </row>
    <row r="104" spans="1:19">
      <c r="A104" s="698" t="s">
        <v>826</v>
      </c>
      <c r="B104" s="179" t="s">
        <v>827</v>
      </c>
      <c r="C104" s="383" t="s">
        <v>828</v>
      </c>
      <c r="D104" s="383" t="s">
        <v>824</v>
      </c>
      <c r="E104" s="383" t="s">
        <v>829</v>
      </c>
      <c r="F104" s="383" t="s">
        <v>984</v>
      </c>
      <c r="G104" s="383"/>
      <c r="H104" s="519" t="s">
        <v>826</v>
      </c>
      <c r="I104" s="383"/>
      <c r="J104" s="383"/>
      <c r="K104" s="383" t="s">
        <v>213</v>
      </c>
      <c r="L104" s="383">
        <f t="shared" ref="L104:L128" si="15">IF(K104=$V$3,$W$3,IF(K104=$V$3,$W$3,IF(K104=$V$4,$W$4,IF(K104=$V$5,$W$5,IF(K104=$V$6,$W$6,IF(K104=$V$7,$W$7))))))</f>
        <v>6</v>
      </c>
      <c r="M104" s="519" t="str">
        <f t="shared" si="11"/>
        <v>Same habitat required =</v>
      </c>
      <c r="N104" s="383" t="s">
        <v>213</v>
      </c>
      <c r="O104" s="383">
        <f t="shared" ref="O104:O128" si="16">VLOOKUP(N104,Difficulty,2,FALSE)</f>
        <v>0.33</v>
      </c>
      <c r="P104" s="383" t="s">
        <v>70</v>
      </c>
      <c r="Q104" s="383">
        <f t="shared" ref="Q104:Q128" si="17">VLOOKUP(P104,Difficulty,2,FALSE)</f>
        <v>0.67</v>
      </c>
      <c r="R104" s="370"/>
      <c r="S104" s="383"/>
    </row>
    <row r="105" spans="1:19" ht="30">
      <c r="A105" s="698" t="s">
        <v>830</v>
      </c>
      <c r="B105" s="91" t="s">
        <v>831</v>
      </c>
      <c r="C105" s="383" t="s">
        <v>832</v>
      </c>
      <c r="D105" s="404" t="s">
        <v>824</v>
      </c>
      <c r="E105" s="404" t="s">
        <v>829</v>
      </c>
      <c r="F105" s="404" t="s">
        <v>984</v>
      </c>
      <c r="G105" s="404"/>
      <c r="H105" s="517" t="s">
        <v>833</v>
      </c>
      <c r="I105" s="404"/>
      <c r="J105" s="404"/>
      <c r="K105" s="404" t="s">
        <v>467</v>
      </c>
      <c r="L105" s="404">
        <f t="shared" si="15"/>
        <v>8</v>
      </c>
      <c r="M105" s="517" t="str">
        <f t="shared" si="11"/>
        <v>Bespoke compensation likely to be required 🛠</v>
      </c>
      <c r="N105" s="404" t="s">
        <v>211</v>
      </c>
      <c r="O105" s="404">
        <f t="shared" si="16"/>
        <v>0.1</v>
      </c>
      <c r="P105" s="404" t="s">
        <v>70</v>
      </c>
      <c r="Q105" s="404">
        <f t="shared" si="17"/>
        <v>0.67</v>
      </c>
      <c r="R105" s="382"/>
      <c r="S105" s="404"/>
    </row>
    <row r="106" spans="1:19">
      <c r="A106" s="698" t="s">
        <v>834</v>
      </c>
      <c r="B106" s="91" t="s">
        <v>835</v>
      </c>
      <c r="C106" s="404" t="s">
        <v>836</v>
      </c>
      <c r="D106" s="404" t="s">
        <v>824</v>
      </c>
      <c r="E106" s="404" t="s">
        <v>829</v>
      </c>
      <c r="F106" s="404" t="s">
        <v>984</v>
      </c>
      <c r="G106" s="404"/>
      <c r="H106" s="517" t="s">
        <v>834</v>
      </c>
      <c r="I106" s="404"/>
      <c r="J106" s="404"/>
      <c r="K106" s="404" t="s">
        <v>213</v>
      </c>
      <c r="L106" s="404">
        <f t="shared" si="15"/>
        <v>6</v>
      </c>
      <c r="M106" s="517" t="str">
        <f t="shared" si="11"/>
        <v>Same habitat required =</v>
      </c>
      <c r="N106" s="404" t="s">
        <v>213</v>
      </c>
      <c r="O106" s="404">
        <f t="shared" si="16"/>
        <v>0.33</v>
      </c>
      <c r="P106" s="404" t="s">
        <v>70</v>
      </c>
      <c r="Q106" s="404">
        <f t="shared" si="17"/>
        <v>0.67</v>
      </c>
      <c r="R106" s="382"/>
      <c r="S106" s="404"/>
    </row>
    <row r="107" spans="1:19" ht="30">
      <c r="A107" s="698" t="s">
        <v>837</v>
      </c>
      <c r="B107" s="91" t="s">
        <v>838</v>
      </c>
      <c r="C107" s="404" t="s">
        <v>839</v>
      </c>
      <c r="D107" s="404" t="s">
        <v>824</v>
      </c>
      <c r="E107" s="404" t="s">
        <v>829</v>
      </c>
      <c r="F107" s="404" t="s">
        <v>984</v>
      </c>
      <c r="G107" s="404"/>
      <c r="H107" s="517" t="s">
        <v>840</v>
      </c>
      <c r="I107" s="404"/>
      <c r="J107" s="404"/>
      <c r="K107" s="404" t="s">
        <v>467</v>
      </c>
      <c r="L107" s="404">
        <f t="shared" si="15"/>
        <v>8</v>
      </c>
      <c r="M107" s="517" t="str">
        <f t="shared" si="11"/>
        <v>Bespoke compensation likely to be required 🛠</v>
      </c>
      <c r="N107" s="404" t="s">
        <v>211</v>
      </c>
      <c r="O107" s="404">
        <f t="shared" si="16"/>
        <v>0.1</v>
      </c>
      <c r="P107" s="404" t="s">
        <v>70</v>
      </c>
      <c r="Q107" s="404">
        <f t="shared" si="17"/>
        <v>0.67</v>
      </c>
      <c r="R107" s="382"/>
      <c r="S107" s="404"/>
    </row>
    <row r="108" spans="1:19">
      <c r="A108" s="698" t="s">
        <v>841</v>
      </c>
      <c r="B108" s="91" t="s">
        <v>842</v>
      </c>
      <c r="C108" s="404" t="s">
        <v>843</v>
      </c>
      <c r="D108" s="404" t="s">
        <v>824</v>
      </c>
      <c r="E108" s="404" t="s">
        <v>829</v>
      </c>
      <c r="F108" s="404" t="s">
        <v>984</v>
      </c>
      <c r="G108" s="404"/>
      <c r="H108" s="517" t="s">
        <v>841</v>
      </c>
      <c r="I108" s="404"/>
      <c r="J108" s="404"/>
      <c r="K108" s="404" t="s">
        <v>213</v>
      </c>
      <c r="L108" s="404">
        <f t="shared" si="15"/>
        <v>6</v>
      </c>
      <c r="M108" s="517" t="str">
        <f t="shared" si="11"/>
        <v>Same habitat required =</v>
      </c>
      <c r="N108" s="404" t="s">
        <v>213</v>
      </c>
      <c r="O108" s="404">
        <f t="shared" si="16"/>
        <v>0.33</v>
      </c>
      <c r="P108" s="404" t="s">
        <v>70</v>
      </c>
      <c r="Q108" s="404">
        <f t="shared" si="17"/>
        <v>0.67</v>
      </c>
      <c r="R108" s="382"/>
      <c r="S108" s="404"/>
    </row>
    <row r="109" spans="1:19" ht="30">
      <c r="A109" s="698" t="s">
        <v>844</v>
      </c>
      <c r="B109" s="91" t="s">
        <v>845</v>
      </c>
      <c r="C109" s="404" t="s">
        <v>846</v>
      </c>
      <c r="D109" s="404" t="s">
        <v>824</v>
      </c>
      <c r="E109" s="404" t="s">
        <v>829</v>
      </c>
      <c r="F109" s="404" t="s">
        <v>984</v>
      </c>
      <c r="G109" s="404"/>
      <c r="H109" s="517" t="s">
        <v>847</v>
      </c>
      <c r="I109" s="404"/>
      <c r="J109" s="404"/>
      <c r="K109" s="404" t="s">
        <v>467</v>
      </c>
      <c r="L109" s="404">
        <f t="shared" si="15"/>
        <v>8</v>
      </c>
      <c r="M109" s="517" t="str">
        <f t="shared" si="11"/>
        <v>Bespoke compensation likely to be required 🛠</v>
      </c>
      <c r="N109" s="404" t="s">
        <v>211</v>
      </c>
      <c r="O109" s="404">
        <f t="shared" si="16"/>
        <v>0.1</v>
      </c>
      <c r="P109" s="404" t="s">
        <v>70</v>
      </c>
      <c r="Q109" s="404">
        <f t="shared" si="17"/>
        <v>0.67</v>
      </c>
      <c r="R109" s="382"/>
      <c r="S109" s="404"/>
    </row>
    <row r="110" spans="1:19">
      <c r="A110" s="698" t="s">
        <v>848</v>
      </c>
      <c r="B110" s="91" t="s">
        <v>849</v>
      </c>
      <c r="C110" s="404" t="s">
        <v>850</v>
      </c>
      <c r="D110" s="404" t="s">
        <v>824</v>
      </c>
      <c r="E110" s="404" t="s">
        <v>829</v>
      </c>
      <c r="F110" s="404" t="s">
        <v>984</v>
      </c>
      <c r="G110" s="404"/>
      <c r="H110" s="517" t="s">
        <v>848</v>
      </c>
      <c r="I110" s="404"/>
      <c r="J110" s="404"/>
      <c r="K110" s="404" t="s">
        <v>213</v>
      </c>
      <c r="L110" s="404">
        <f t="shared" si="15"/>
        <v>6</v>
      </c>
      <c r="M110" s="517" t="str">
        <f t="shared" si="11"/>
        <v>Same habitat required =</v>
      </c>
      <c r="N110" s="404" t="s">
        <v>213</v>
      </c>
      <c r="O110" s="404">
        <f t="shared" si="16"/>
        <v>0.33</v>
      </c>
      <c r="P110" s="404" t="s">
        <v>70</v>
      </c>
      <c r="Q110" s="404">
        <f t="shared" si="17"/>
        <v>0.67</v>
      </c>
      <c r="R110" s="382"/>
      <c r="S110" s="404"/>
    </row>
    <row r="111" spans="1:19" ht="30.75" thickBot="1">
      <c r="A111" s="698" t="s">
        <v>851</v>
      </c>
      <c r="B111" s="178" t="s">
        <v>852</v>
      </c>
      <c r="C111" s="388" t="s">
        <v>853</v>
      </c>
      <c r="D111" s="388" t="s">
        <v>824</v>
      </c>
      <c r="E111" s="388" t="s">
        <v>829</v>
      </c>
      <c r="F111" s="388" t="s">
        <v>984</v>
      </c>
      <c r="G111" s="388"/>
      <c r="H111" s="518" t="s">
        <v>854</v>
      </c>
      <c r="I111" s="388"/>
      <c r="J111" s="388"/>
      <c r="K111" s="388" t="s">
        <v>467</v>
      </c>
      <c r="L111" s="388">
        <f t="shared" si="15"/>
        <v>8</v>
      </c>
      <c r="M111" s="518" t="str">
        <f t="shared" si="11"/>
        <v>Bespoke compensation likely to be required 🛠</v>
      </c>
      <c r="N111" s="388" t="s">
        <v>211</v>
      </c>
      <c r="O111" s="388">
        <f t="shared" si="16"/>
        <v>0.1</v>
      </c>
      <c r="P111" s="388" t="s">
        <v>70</v>
      </c>
      <c r="Q111" s="388">
        <f t="shared" si="17"/>
        <v>0.67</v>
      </c>
      <c r="R111" s="371"/>
      <c r="S111" s="388"/>
    </row>
    <row r="112" spans="1:19">
      <c r="A112" s="698" t="s">
        <v>855</v>
      </c>
      <c r="B112" s="179" t="s">
        <v>856</v>
      </c>
      <c r="C112" s="383" t="s">
        <v>857</v>
      </c>
      <c r="D112" s="383" t="s">
        <v>824</v>
      </c>
      <c r="E112" s="383" t="s">
        <v>858</v>
      </c>
      <c r="F112" s="383" t="s">
        <v>987</v>
      </c>
      <c r="G112" s="383"/>
      <c r="H112" s="519" t="s">
        <v>859</v>
      </c>
      <c r="I112" s="383"/>
      <c r="J112" s="383"/>
      <c r="K112" s="383" t="s">
        <v>213</v>
      </c>
      <c r="L112" s="383">
        <f>IF(K112=$V$3,$W$3,IF(K112=$V$3,$W$3,IF(K112=$V$4,$W$4,IF(K112=$V$5,$W$5,IF(K112=$V$6,$W$6,IF(K112=$V$7,$W$7))))))</f>
        <v>6</v>
      </c>
      <c r="M112" s="519" t="str">
        <f>IF($K112=$V$3,$X$3,IF($K112=$V$4,$X$4,IF($K112=$V$5,$X$5,IF($K112=$V$6,$X$6,IF($K112=$V$7,$X$7)))))</f>
        <v>Same habitat required =</v>
      </c>
      <c r="N112" s="383" t="s">
        <v>213</v>
      </c>
      <c r="O112" s="383">
        <f>VLOOKUP(N112,Difficulty,2,FALSE)</f>
        <v>0.33</v>
      </c>
      <c r="P112" s="383" t="s">
        <v>70</v>
      </c>
      <c r="Q112" s="383">
        <f>VLOOKUP(P112,Difficulty,2,FALSE)</f>
        <v>0.67</v>
      </c>
      <c r="R112" s="370"/>
      <c r="S112" s="383"/>
    </row>
    <row r="113" spans="1:19" ht="30.75" thickBot="1">
      <c r="A113" s="698" t="s">
        <v>860</v>
      </c>
      <c r="B113" s="178" t="s">
        <v>861</v>
      </c>
      <c r="C113" s="388" t="s">
        <v>862</v>
      </c>
      <c r="D113" s="388"/>
      <c r="E113" s="388"/>
      <c r="F113" s="388" t="s">
        <v>987</v>
      </c>
      <c r="G113" s="388"/>
      <c r="H113" s="518" t="s">
        <v>860</v>
      </c>
      <c r="I113" s="388"/>
      <c r="J113" s="388"/>
      <c r="K113" s="388" t="s">
        <v>216</v>
      </c>
      <c r="L113" s="388">
        <f>IF(K113=$V$3,$W$3,IF(K113=$V$3,$W$3,IF(K113=$V$4,$W$4,IF(K113=$V$5,$W$5,IF(K113=$V$6,$W$6,IF(K113=$V$7,$W$7))))))</f>
        <v>2</v>
      </c>
      <c r="M113" s="518" t="str">
        <f>IF($K113=$V$3,$X$3,IF($K113=$V$4,$X$4,IF($K113=$V$5,$X$5,IF($K113=$V$6,$X$6,IF($K113=$V$7,$X$7)))))</f>
        <v>Same distinctiveness or better habitat required ≥</v>
      </c>
      <c r="N113" s="388" t="s">
        <v>213</v>
      </c>
      <c r="O113" s="388">
        <f>VLOOKUP(N113,Difficulty,2,FALSE)</f>
        <v>0.33</v>
      </c>
      <c r="P113" s="388" t="s">
        <v>70</v>
      </c>
      <c r="Q113" s="388">
        <f>VLOOKUP(P113,Difficulty,2,FALSE)</f>
        <v>0.67</v>
      </c>
      <c r="R113" s="371"/>
      <c r="S113" s="388"/>
    </row>
    <row r="114" spans="1:19">
      <c r="A114" s="698" t="s">
        <v>863</v>
      </c>
      <c r="B114" s="179" t="s">
        <v>864</v>
      </c>
      <c r="C114" s="383" t="s">
        <v>865</v>
      </c>
      <c r="D114" s="383" t="s">
        <v>824</v>
      </c>
      <c r="E114" s="383" t="s">
        <v>858</v>
      </c>
      <c r="F114" s="383" t="s">
        <v>132</v>
      </c>
      <c r="G114" s="383"/>
      <c r="H114" s="519" t="s">
        <v>863</v>
      </c>
      <c r="I114" s="383"/>
      <c r="J114" s="383"/>
      <c r="K114" s="383" t="s">
        <v>70</v>
      </c>
      <c r="L114" s="383">
        <f t="shared" si="15"/>
        <v>4</v>
      </c>
      <c r="M114" s="519" t="str">
        <f t="shared" si="11"/>
        <v>Same broad habitat or a higher distinctiveness habitat required (≥)</v>
      </c>
      <c r="N114" s="383" t="s">
        <v>70</v>
      </c>
      <c r="O114" s="383">
        <f t="shared" si="16"/>
        <v>0.67</v>
      </c>
      <c r="P114" s="383" t="s">
        <v>70</v>
      </c>
      <c r="Q114" s="383">
        <f t="shared" si="17"/>
        <v>0.67</v>
      </c>
      <c r="R114" s="370"/>
      <c r="S114" s="383"/>
    </row>
    <row r="115" spans="1:19">
      <c r="A115" s="698" t="s">
        <v>866</v>
      </c>
      <c r="B115" s="91" t="s">
        <v>867</v>
      </c>
      <c r="C115" s="404" t="s">
        <v>868</v>
      </c>
      <c r="D115" s="404" t="s">
        <v>824</v>
      </c>
      <c r="E115" s="404" t="s">
        <v>858</v>
      </c>
      <c r="F115" s="404" t="s">
        <v>132</v>
      </c>
      <c r="G115" s="404"/>
      <c r="H115" s="517" t="s">
        <v>866</v>
      </c>
      <c r="I115" s="404"/>
      <c r="J115" s="404"/>
      <c r="K115" s="404" t="s">
        <v>213</v>
      </c>
      <c r="L115" s="404">
        <f t="shared" si="15"/>
        <v>6</v>
      </c>
      <c r="M115" s="517" t="str">
        <f t="shared" si="11"/>
        <v>Same habitat required =</v>
      </c>
      <c r="N115" s="404" t="s">
        <v>213</v>
      </c>
      <c r="O115" s="404">
        <f t="shared" si="16"/>
        <v>0.33</v>
      </c>
      <c r="P115" s="404" t="s">
        <v>70</v>
      </c>
      <c r="Q115" s="404">
        <f t="shared" si="17"/>
        <v>0.67</v>
      </c>
      <c r="R115" s="382"/>
      <c r="S115" s="404"/>
    </row>
    <row r="116" spans="1:19">
      <c r="A116" s="698" t="s">
        <v>869</v>
      </c>
      <c r="B116" s="91" t="s">
        <v>870</v>
      </c>
      <c r="C116" s="404" t="s">
        <v>871</v>
      </c>
      <c r="D116" s="404" t="s">
        <v>824</v>
      </c>
      <c r="E116" s="404" t="s">
        <v>858</v>
      </c>
      <c r="F116" s="404" t="s">
        <v>132</v>
      </c>
      <c r="G116" s="404"/>
      <c r="H116" s="517" t="s">
        <v>869</v>
      </c>
      <c r="I116" s="404"/>
      <c r="J116" s="404"/>
      <c r="K116" s="404" t="s">
        <v>213</v>
      </c>
      <c r="L116" s="404">
        <f t="shared" si="15"/>
        <v>6</v>
      </c>
      <c r="M116" s="517" t="str">
        <f t="shared" si="11"/>
        <v>Same habitat required =</v>
      </c>
      <c r="N116" s="404" t="s">
        <v>213</v>
      </c>
      <c r="O116" s="404">
        <f t="shared" si="16"/>
        <v>0.33</v>
      </c>
      <c r="P116" s="404" t="s">
        <v>70</v>
      </c>
      <c r="Q116" s="404">
        <f t="shared" si="17"/>
        <v>0.67</v>
      </c>
      <c r="R116" s="382"/>
      <c r="S116" s="404"/>
    </row>
    <row r="117" spans="1:19">
      <c r="A117" s="698" t="s">
        <v>872</v>
      </c>
      <c r="B117" s="91" t="s">
        <v>230</v>
      </c>
      <c r="C117" s="404" t="s">
        <v>873</v>
      </c>
      <c r="D117" s="404" t="s">
        <v>824</v>
      </c>
      <c r="E117" s="404" t="s">
        <v>858</v>
      </c>
      <c r="F117" s="404" t="s">
        <v>132</v>
      </c>
      <c r="G117" s="404"/>
      <c r="H117" s="517" t="s">
        <v>874</v>
      </c>
      <c r="I117" s="404"/>
      <c r="J117" s="404"/>
      <c r="K117" s="404" t="s">
        <v>213</v>
      </c>
      <c r="L117" s="404">
        <f t="shared" si="15"/>
        <v>6</v>
      </c>
      <c r="M117" s="517" t="str">
        <f t="shared" si="11"/>
        <v>Same habitat required =</v>
      </c>
      <c r="N117" s="404" t="s">
        <v>213</v>
      </c>
      <c r="O117" s="404">
        <f t="shared" si="16"/>
        <v>0.33</v>
      </c>
      <c r="P117" s="404" t="s">
        <v>213</v>
      </c>
      <c r="Q117" s="404">
        <f t="shared" si="17"/>
        <v>0.33</v>
      </c>
      <c r="R117" s="382"/>
      <c r="S117" s="404"/>
    </row>
    <row r="118" spans="1:19" ht="30">
      <c r="A118" s="698" t="s">
        <v>875</v>
      </c>
      <c r="B118" s="91" t="s">
        <v>876</v>
      </c>
      <c r="C118" s="404" t="s">
        <v>877</v>
      </c>
      <c r="D118" s="404" t="s">
        <v>824</v>
      </c>
      <c r="E118" s="404" t="s">
        <v>858</v>
      </c>
      <c r="F118" s="404" t="s">
        <v>132</v>
      </c>
      <c r="G118" s="404"/>
      <c r="H118" s="517" t="s">
        <v>878</v>
      </c>
      <c r="I118" s="404"/>
      <c r="J118" s="404"/>
      <c r="K118" s="404" t="s">
        <v>467</v>
      </c>
      <c r="L118" s="404">
        <f t="shared" si="15"/>
        <v>8</v>
      </c>
      <c r="M118" s="517" t="str">
        <f t="shared" si="11"/>
        <v>Bespoke compensation likely to be required 🛠</v>
      </c>
      <c r="N118" s="404" t="s">
        <v>211</v>
      </c>
      <c r="O118" s="404">
        <f t="shared" si="16"/>
        <v>0.1</v>
      </c>
      <c r="P118" s="404" t="s">
        <v>213</v>
      </c>
      <c r="Q118" s="404">
        <f t="shared" si="17"/>
        <v>0.33</v>
      </c>
      <c r="R118" s="382"/>
      <c r="S118" s="404"/>
    </row>
    <row r="119" spans="1:19">
      <c r="A119" s="698" t="s">
        <v>879</v>
      </c>
      <c r="B119" s="91" t="s">
        <v>880</v>
      </c>
      <c r="C119" s="404" t="s">
        <v>881</v>
      </c>
      <c r="D119" s="404"/>
      <c r="E119" s="404"/>
      <c r="F119" s="404" t="s">
        <v>132</v>
      </c>
      <c r="G119" s="404"/>
      <c r="H119" s="517" t="s">
        <v>882</v>
      </c>
      <c r="I119" s="404"/>
      <c r="J119" s="404"/>
      <c r="K119" s="404" t="s">
        <v>213</v>
      </c>
      <c r="L119" s="404">
        <f t="shared" si="15"/>
        <v>6</v>
      </c>
      <c r="M119" s="517" t="str">
        <f t="shared" si="11"/>
        <v>Same habitat required =</v>
      </c>
      <c r="N119" s="404" t="s">
        <v>213</v>
      </c>
      <c r="O119" s="404">
        <f t="shared" si="16"/>
        <v>0.33</v>
      </c>
      <c r="P119" s="404" t="s">
        <v>70</v>
      </c>
      <c r="Q119" s="404">
        <f t="shared" si="17"/>
        <v>0.67</v>
      </c>
      <c r="R119" s="382"/>
      <c r="S119" s="404"/>
    </row>
    <row r="120" spans="1:19">
      <c r="A120" s="698" t="s">
        <v>883</v>
      </c>
      <c r="B120" s="91" t="s">
        <v>884</v>
      </c>
      <c r="C120" s="404" t="s">
        <v>885</v>
      </c>
      <c r="D120" s="404" t="s">
        <v>824</v>
      </c>
      <c r="E120" s="404" t="s">
        <v>858</v>
      </c>
      <c r="F120" s="404" t="s">
        <v>132</v>
      </c>
      <c r="G120" s="404"/>
      <c r="H120" s="517" t="s">
        <v>883</v>
      </c>
      <c r="I120" s="404"/>
      <c r="J120" s="404"/>
      <c r="K120" s="404" t="s">
        <v>213</v>
      </c>
      <c r="L120" s="404">
        <f t="shared" si="15"/>
        <v>6</v>
      </c>
      <c r="M120" s="517" t="str">
        <f t="shared" si="11"/>
        <v>Same habitat required =</v>
      </c>
      <c r="N120" s="404" t="s">
        <v>213</v>
      </c>
      <c r="O120" s="404">
        <f t="shared" si="16"/>
        <v>0.33</v>
      </c>
      <c r="P120" s="404" t="s">
        <v>70</v>
      </c>
      <c r="Q120" s="404">
        <f t="shared" si="17"/>
        <v>0.67</v>
      </c>
      <c r="R120" s="382"/>
      <c r="S120" s="404"/>
    </row>
    <row r="121" spans="1:19">
      <c r="A121" s="698" t="s">
        <v>886</v>
      </c>
      <c r="B121" s="91" t="s">
        <v>887</v>
      </c>
      <c r="C121" s="404" t="s">
        <v>888</v>
      </c>
      <c r="D121" s="404" t="s">
        <v>824</v>
      </c>
      <c r="E121" s="404" t="s">
        <v>858</v>
      </c>
      <c r="F121" s="404" t="s">
        <v>132</v>
      </c>
      <c r="G121" s="404"/>
      <c r="H121" s="517" t="s">
        <v>886</v>
      </c>
      <c r="I121" s="404"/>
      <c r="J121" s="404"/>
      <c r="K121" s="404" t="s">
        <v>213</v>
      </c>
      <c r="L121" s="404">
        <f t="shared" si="15"/>
        <v>6</v>
      </c>
      <c r="M121" s="517" t="str">
        <f t="shared" si="11"/>
        <v>Same habitat required =</v>
      </c>
      <c r="N121" s="404" t="s">
        <v>213</v>
      </c>
      <c r="O121" s="404">
        <f t="shared" si="16"/>
        <v>0.33</v>
      </c>
      <c r="P121" s="404" t="s">
        <v>70</v>
      </c>
      <c r="Q121" s="404">
        <f t="shared" si="17"/>
        <v>0.67</v>
      </c>
      <c r="R121" s="382"/>
      <c r="S121" s="404"/>
    </row>
    <row r="122" spans="1:19">
      <c r="A122" s="698" t="s">
        <v>889</v>
      </c>
      <c r="B122" s="91" t="s">
        <v>890</v>
      </c>
      <c r="C122" s="404" t="s">
        <v>891</v>
      </c>
      <c r="D122" s="404" t="s">
        <v>824</v>
      </c>
      <c r="E122" s="404" t="s">
        <v>858</v>
      </c>
      <c r="F122" s="404" t="s">
        <v>132</v>
      </c>
      <c r="G122" s="404"/>
      <c r="H122" s="517" t="s">
        <v>889</v>
      </c>
      <c r="I122" s="404"/>
      <c r="J122" s="404"/>
      <c r="K122" s="404" t="s">
        <v>216</v>
      </c>
      <c r="L122" s="404">
        <f t="shared" si="15"/>
        <v>2</v>
      </c>
      <c r="M122" s="517" t="str">
        <f t="shared" si="11"/>
        <v>Same distinctiveness or better habitat required ≥</v>
      </c>
      <c r="N122" s="404" t="s">
        <v>70</v>
      </c>
      <c r="O122" s="404">
        <f t="shared" si="16"/>
        <v>0.67</v>
      </c>
      <c r="P122" s="404" t="s">
        <v>70</v>
      </c>
      <c r="Q122" s="404">
        <f t="shared" si="17"/>
        <v>0.67</v>
      </c>
      <c r="R122" s="382"/>
      <c r="S122" s="404"/>
    </row>
    <row r="123" spans="1:19">
      <c r="A123" s="698" t="s">
        <v>892</v>
      </c>
      <c r="B123" s="91" t="s">
        <v>893</v>
      </c>
      <c r="C123" s="404" t="s">
        <v>894</v>
      </c>
      <c r="D123" s="404"/>
      <c r="E123" s="404"/>
      <c r="F123" s="404" t="s">
        <v>132</v>
      </c>
      <c r="G123" s="404"/>
      <c r="H123" s="517" t="s">
        <v>892</v>
      </c>
      <c r="I123" s="404"/>
      <c r="J123" s="404"/>
      <c r="K123" s="404" t="s">
        <v>216</v>
      </c>
      <c r="L123" s="404">
        <f t="shared" si="15"/>
        <v>2</v>
      </c>
      <c r="M123" s="517" t="str">
        <f t="shared" si="11"/>
        <v>Same distinctiveness or better habitat required ≥</v>
      </c>
      <c r="N123" s="404" t="s">
        <v>213</v>
      </c>
      <c r="O123" s="404">
        <f t="shared" si="16"/>
        <v>0.33</v>
      </c>
      <c r="P123" s="404" t="s">
        <v>70</v>
      </c>
      <c r="Q123" s="404">
        <f t="shared" si="17"/>
        <v>0.67</v>
      </c>
      <c r="R123" s="382"/>
      <c r="S123" s="404"/>
    </row>
    <row r="124" spans="1:19">
      <c r="A124" s="698" t="s">
        <v>895</v>
      </c>
      <c r="B124" s="91" t="s">
        <v>896</v>
      </c>
      <c r="C124" s="404" t="s">
        <v>897</v>
      </c>
      <c r="D124" s="404"/>
      <c r="E124" s="404"/>
      <c r="F124" s="404" t="s">
        <v>132</v>
      </c>
      <c r="G124" s="404"/>
      <c r="H124" s="517" t="s">
        <v>895</v>
      </c>
      <c r="I124" s="404"/>
      <c r="J124" s="404"/>
      <c r="K124" s="404" t="s">
        <v>216</v>
      </c>
      <c r="L124" s="404">
        <f t="shared" si="15"/>
        <v>2</v>
      </c>
      <c r="M124" s="517" t="str">
        <f t="shared" si="11"/>
        <v>Same distinctiveness or better habitat required ≥</v>
      </c>
      <c r="N124" s="404" t="s">
        <v>70</v>
      </c>
      <c r="O124" s="404">
        <f t="shared" si="16"/>
        <v>0.67</v>
      </c>
      <c r="P124" s="404" t="s">
        <v>70</v>
      </c>
      <c r="Q124" s="404">
        <f t="shared" si="17"/>
        <v>0.67</v>
      </c>
      <c r="R124" s="382"/>
      <c r="S124" s="404"/>
    </row>
    <row r="125" spans="1:19">
      <c r="A125" s="698" t="s">
        <v>898</v>
      </c>
      <c r="B125" s="91" t="s">
        <v>899</v>
      </c>
      <c r="C125" s="404" t="s">
        <v>900</v>
      </c>
      <c r="D125" s="404" t="s">
        <v>824</v>
      </c>
      <c r="E125" s="404" t="s">
        <v>858</v>
      </c>
      <c r="F125" s="404" t="s">
        <v>132</v>
      </c>
      <c r="G125" s="404"/>
      <c r="H125" s="517" t="s">
        <v>892</v>
      </c>
      <c r="I125" s="404"/>
      <c r="J125" s="404"/>
      <c r="K125" s="404" t="s">
        <v>216</v>
      </c>
      <c r="L125" s="404">
        <f t="shared" si="15"/>
        <v>2</v>
      </c>
      <c r="M125" s="517" t="str">
        <f t="shared" si="11"/>
        <v>Same distinctiveness or better habitat required ≥</v>
      </c>
      <c r="N125" s="404" t="s">
        <v>213</v>
      </c>
      <c r="O125" s="404">
        <f t="shared" si="16"/>
        <v>0.33</v>
      </c>
      <c r="P125" s="404" t="s">
        <v>70</v>
      </c>
      <c r="Q125" s="404">
        <f t="shared" si="17"/>
        <v>0.67</v>
      </c>
      <c r="R125" s="382"/>
      <c r="S125" s="404"/>
    </row>
    <row r="126" spans="1:19">
      <c r="A126" s="698" t="s">
        <v>901</v>
      </c>
      <c r="B126" s="91" t="s">
        <v>902</v>
      </c>
      <c r="C126" s="404" t="s">
        <v>903</v>
      </c>
      <c r="D126" s="404" t="s">
        <v>824</v>
      </c>
      <c r="E126" s="404" t="s">
        <v>858</v>
      </c>
      <c r="F126" s="404" t="s">
        <v>132</v>
      </c>
      <c r="G126" s="404"/>
      <c r="H126" s="517" t="s">
        <v>901</v>
      </c>
      <c r="I126" s="404"/>
      <c r="J126" s="404"/>
      <c r="K126" s="404" t="s">
        <v>216</v>
      </c>
      <c r="L126" s="404">
        <f t="shared" si="15"/>
        <v>2</v>
      </c>
      <c r="M126" s="517" t="str">
        <f t="shared" si="11"/>
        <v>Same distinctiveness or better habitat required ≥</v>
      </c>
      <c r="N126" s="404" t="s">
        <v>213</v>
      </c>
      <c r="O126" s="404">
        <f t="shared" si="16"/>
        <v>0.33</v>
      </c>
      <c r="P126" s="404" t="s">
        <v>70</v>
      </c>
      <c r="Q126" s="404">
        <f t="shared" si="17"/>
        <v>0.67</v>
      </c>
      <c r="R126" s="382"/>
      <c r="S126" s="404"/>
    </row>
    <row r="127" spans="1:19">
      <c r="A127" s="698" t="s">
        <v>904</v>
      </c>
      <c r="B127" s="91" t="s">
        <v>905</v>
      </c>
      <c r="C127" s="404" t="s">
        <v>906</v>
      </c>
      <c r="D127" s="404" t="s">
        <v>824</v>
      </c>
      <c r="E127" s="404" t="s">
        <v>858</v>
      </c>
      <c r="F127" s="404" t="s">
        <v>132</v>
      </c>
      <c r="G127" s="404"/>
      <c r="H127" s="517" t="s">
        <v>904</v>
      </c>
      <c r="I127" s="404"/>
      <c r="J127" s="404"/>
      <c r="K127" s="404" t="s">
        <v>216</v>
      </c>
      <c r="L127" s="404">
        <f t="shared" si="15"/>
        <v>2</v>
      </c>
      <c r="M127" s="517" t="str">
        <f t="shared" si="11"/>
        <v>Same distinctiveness or better habitat required ≥</v>
      </c>
      <c r="N127" s="404" t="s">
        <v>213</v>
      </c>
      <c r="O127" s="404">
        <f t="shared" si="16"/>
        <v>0.33</v>
      </c>
      <c r="P127" s="404" t="s">
        <v>213</v>
      </c>
      <c r="Q127" s="404">
        <f t="shared" si="17"/>
        <v>0.33</v>
      </c>
      <c r="R127" s="382"/>
      <c r="S127" s="404"/>
    </row>
    <row r="128" spans="1:19">
      <c r="A128" s="698" t="s">
        <v>907</v>
      </c>
      <c r="B128" s="91" t="s">
        <v>908</v>
      </c>
      <c r="C128" s="404" t="s">
        <v>909</v>
      </c>
      <c r="D128" s="404" t="s">
        <v>824</v>
      </c>
      <c r="E128" s="404" t="s">
        <v>858</v>
      </c>
      <c r="F128" s="404" t="s">
        <v>132</v>
      </c>
      <c r="G128" s="404"/>
      <c r="H128" s="517" t="s">
        <v>907</v>
      </c>
      <c r="I128" s="404"/>
      <c r="J128" s="404"/>
      <c r="K128" s="404" t="s">
        <v>216</v>
      </c>
      <c r="L128" s="404">
        <f t="shared" si="15"/>
        <v>2</v>
      </c>
      <c r="M128" s="517" t="str">
        <f t="shared" si="11"/>
        <v>Same distinctiveness or better habitat required ≥</v>
      </c>
      <c r="N128" s="404" t="s">
        <v>213</v>
      </c>
      <c r="O128" s="404">
        <f t="shared" si="16"/>
        <v>0.33</v>
      </c>
      <c r="P128" s="404" t="s">
        <v>70</v>
      </c>
      <c r="Q128" s="404">
        <f t="shared" si="17"/>
        <v>0.67</v>
      </c>
      <c r="R128" s="382"/>
      <c r="S128" s="404"/>
    </row>
    <row r="129" spans="1:20">
      <c r="A129" s="201" t="s">
        <v>910</v>
      </c>
      <c r="B129" s="80" t="s">
        <v>911</v>
      </c>
      <c r="C129" s="404" t="s">
        <v>912</v>
      </c>
      <c r="D129" s="404" t="s">
        <v>824</v>
      </c>
      <c r="E129" s="404"/>
      <c r="F129" s="404" t="s">
        <v>132</v>
      </c>
      <c r="G129" s="404"/>
      <c r="H129" s="521" t="s">
        <v>910</v>
      </c>
      <c r="I129" s="404"/>
      <c r="J129" s="404"/>
      <c r="K129" s="404" t="s">
        <v>70</v>
      </c>
      <c r="L129" s="404">
        <f t="shared" ref="L129:L134" si="18">IF(K129=$V$3,$W$3,IF(K129=$V$3,$W$3,IF(K129=$V$4,$W$4,IF(K129=$V$5,$W$5,IF(K129=$V$6,$W$6,IF(K129=$V$7,$W$7))))))</f>
        <v>4</v>
      </c>
      <c r="M129" s="517" t="str">
        <f t="shared" si="11"/>
        <v>Same broad habitat or a higher distinctiveness habitat required (≥)</v>
      </c>
      <c r="N129" s="404" t="s">
        <v>70</v>
      </c>
      <c r="O129" s="404">
        <f t="shared" ref="O129:O134" si="19">VLOOKUP(N129,Difficulty,2,FALSE)</f>
        <v>0.67</v>
      </c>
      <c r="P129" s="404" t="s">
        <v>70</v>
      </c>
      <c r="Q129" s="404">
        <f t="shared" ref="Q129:Q134" si="20">VLOOKUP(P129,Difficulty,2,FALSE)</f>
        <v>0.67</v>
      </c>
      <c r="R129" s="382"/>
      <c r="S129" s="404"/>
    </row>
    <row r="130" spans="1:20" ht="15.75" thickBot="1">
      <c r="A130" s="201" t="s">
        <v>913</v>
      </c>
      <c r="B130" s="181" t="s">
        <v>914</v>
      </c>
      <c r="C130" s="388" t="s">
        <v>915</v>
      </c>
      <c r="D130" s="388" t="s">
        <v>824</v>
      </c>
      <c r="E130" s="388"/>
      <c r="F130" s="388" t="s">
        <v>132</v>
      </c>
      <c r="G130" s="388"/>
      <c r="H130" s="522" t="s">
        <v>913</v>
      </c>
      <c r="I130" s="388"/>
      <c r="J130" s="388"/>
      <c r="K130" s="388" t="s">
        <v>213</v>
      </c>
      <c r="L130" s="388">
        <f t="shared" si="18"/>
        <v>6</v>
      </c>
      <c r="M130" s="518" t="str">
        <f t="shared" si="11"/>
        <v>Same habitat required =</v>
      </c>
      <c r="N130" s="388" t="s">
        <v>213</v>
      </c>
      <c r="O130" s="388">
        <f t="shared" si="19"/>
        <v>0.33</v>
      </c>
      <c r="P130" s="388" t="s">
        <v>70</v>
      </c>
      <c r="Q130" s="388">
        <f t="shared" si="20"/>
        <v>0.67</v>
      </c>
      <c r="R130" s="371"/>
      <c r="S130" s="388"/>
    </row>
    <row r="131" spans="1:20" ht="14.25" customHeight="1">
      <c r="A131" s="201" t="s">
        <v>916</v>
      </c>
      <c r="B131" s="182" t="s">
        <v>917</v>
      </c>
      <c r="C131" s="383" t="s">
        <v>918</v>
      </c>
      <c r="D131" s="383" t="s">
        <v>824</v>
      </c>
      <c r="E131" s="383"/>
      <c r="F131" s="383" t="s">
        <v>136</v>
      </c>
      <c r="G131" s="383"/>
      <c r="H131" s="523" t="s">
        <v>916</v>
      </c>
      <c r="I131" s="383"/>
      <c r="J131" s="383"/>
      <c r="K131" s="383" t="s">
        <v>216</v>
      </c>
      <c r="L131" s="383">
        <f t="shared" si="18"/>
        <v>2</v>
      </c>
      <c r="M131" s="519" t="str">
        <f>IF($K131=$V$3,$X$3,IF($K131=$V$4,$X$4,IF($K131=$V$5,$X$5,IF($K131=$V$6,$X$6,IF($K131=$V$7,$X$7)))))</f>
        <v>Same distinctiveness or better habitat required ≥</v>
      </c>
      <c r="N131" s="383" t="s">
        <v>70</v>
      </c>
      <c r="O131" s="383">
        <f t="shared" si="19"/>
        <v>0.67</v>
      </c>
      <c r="P131" s="383" t="s">
        <v>70</v>
      </c>
      <c r="Q131" s="383">
        <f t="shared" si="20"/>
        <v>0.67</v>
      </c>
      <c r="R131" s="370"/>
      <c r="S131" s="383"/>
    </row>
    <row r="132" spans="1:20" ht="30">
      <c r="A132" s="201" t="s">
        <v>919</v>
      </c>
      <c r="B132" s="80" t="s">
        <v>920</v>
      </c>
      <c r="C132" s="404" t="s">
        <v>921</v>
      </c>
      <c r="D132" s="404" t="s">
        <v>824</v>
      </c>
      <c r="E132" s="404"/>
      <c r="F132" s="383" t="s">
        <v>136</v>
      </c>
      <c r="G132" s="404"/>
      <c r="H132" s="521" t="s">
        <v>919</v>
      </c>
      <c r="I132" s="404"/>
      <c r="J132" s="404"/>
      <c r="K132" s="383" t="s">
        <v>216</v>
      </c>
      <c r="L132" s="404">
        <f t="shared" si="18"/>
        <v>2</v>
      </c>
      <c r="M132" s="517" t="str">
        <f>IF($K132=$V$3,$X$3,IF($K132=$V$4,$X$4,IF($K132=$V$5,$X$5,IF($K132=$V$6,$X$6,IF($K132=$V$7,$X$7)))))</f>
        <v>Same distinctiveness or better habitat required ≥</v>
      </c>
      <c r="N132" s="404" t="s">
        <v>70</v>
      </c>
      <c r="O132" s="404">
        <f t="shared" si="19"/>
        <v>0.67</v>
      </c>
      <c r="P132" s="404" t="s">
        <v>70</v>
      </c>
      <c r="Q132" s="404">
        <f t="shared" si="20"/>
        <v>0.67</v>
      </c>
      <c r="R132" s="382"/>
      <c r="S132" s="404"/>
    </row>
    <row r="133" spans="1:20" ht="45.75" thickBot="1">
      <c r="A133" s="701" t="s">
        <v>922</v>
      </c>
      <c r="B133" s="565" t="s">
        <v>923</v>
      </c>
      <c r="C133" s="559" t="s">
        <v>924</v>
      </c>
      <c r="D133" s="559" t="s">
        <v>824</v>
      </c>
      <c r="E133" s="559"/>
      <c r="F133" s="566" t="s">
        <v>136</v>
      </c>
      <c r="G133" s="559"/>
      <c r="H133" s="560" t="s">
        <v>925</v>
      </c>
      <c r="I133" s="559"/>
      <c r="J133" s="559"/>
      <c r="K133" s="559" t="s">
        <v>70</v>
      </c>
      <c r="L133" s="559">
        <f t="shared" si="18"/>
        <v>4</v>
      </c>
      <c r="M133" s="561" t="str">
        <f>IF($K133=$V$3,$X$3,IF($K133=$V$4,$X$4,IF($K133=$V$5,$X$5,IF($K133=$V$6,$X$6,IF($K133=$V$7,$X$7)))))</f>
        <v>Same broad habitat or a higher distinctiveness habitat required (≥)</v>
      </c>
      <c r="N133" s="559" t="s">
        <v>70</v>
      </c>
      <c r="O133" s="559">
        <f t="shared" si="19"/>
        <v>0.67</v>
      </c>
      <c r="P133" s="559" t="s">
        <v>70</v>
      </c>
      <c r="Q133" s="559">
        <f t="shared" si="20"/>
        <v>0.67</v>
      </c>
      <c r="R133" s="395"/>
      <c r="S133" s="559"/>
    </row>
    <row r="134" spans="1:20" ht="30.75" thickBot="1">
      <c r="A134" s="201" t="s">
        <v>137</v>
      </c>
      <c r="B134" s="567" t="s">
        <v>926</v>
      </c>
      <c r="C134" s="435" t="s">
        <v>927</v>
      </c>
      <c r="D134" s="436" t="s">
        <v>137</v>
      </c>
      <c r="E134" s="435"/>
      <c r="F134" s="435" t="s">
        <v>137</v>
      </c>
      <c r="G134" s="435"/>
      <c r="H134" s="520" t="s">
        <v>137</v>
      </c>
      <c r="I134" s="435"/>
      <c r="J134" s="435"/>
      <c r="K134" s="435" t="s">
        <v>928</v>
      </c>
      <c r="L134" s="435">
        <f t="shared" si="18"/>
        <v>0</v>
      </c>
      <c r="M134" s="435" t="str">
        <f>IF($K134=$V$3,$X$3,IF($K134=$V$4,$X$4,IF($K134=$V$5,$X$5,IF($K134=$V$6,$X$6,IF($K134=$V$7,$X$7)))))</f>
        <v>Compensation Not Required</v>
      </c>
      <c r="N134" s="435" t="s">
        <v>70</v>
      </c>
      <c r="O134" s="435">
        <f t="shared" si="19"/>
        <v>0.67</v>
      </c>
      <c r="P134" s="435" t="s">
        <v>211</v>
      </c>
      <c r="Q134" s="435">
        <f t="shared" si="20"/>
        <v>0.1</v>
      </c>
      <c r="R134" s="436" t="s">
        <v>929</v>
      </c>
      <c r="S134" s="435"/>
      <c r="T134" s="93"/>
    </row>
    <row r="135" spans="1:20"/>
    <row r="136" spans="1:20"/>
    <row r="137" spans="1:20"/>
    <row r="138" spans="1:20"/>
    <row r="139" spans="1:20"/>
    <row r="140" spans="1:20"/>
    <row r="141" spans="1:20"/>
    <row r="142" spans="1:20"/>
    <row r="143" spans="1:20"/>
    <row r="144" spans="1:20"/>
    <row r="145"/>
    <row r="146"/>
    <row r="147"/>
    <row r="148"/>
    <row r="152"/>
    <row r="153"/>
    <row r="154"/>
    <row r="155"/>
    <row r="156"/>
    <row r="157"/>
    <row r="158"/>
    <row r="159"/>
    <row r="160"/>
    <row r="161"/>
    <row r="162"/>
  </sheetData>
  <sheetProtection algorithmName="SHA-512" hashValue="QQWdrQnldhhN4lmEGCLUolmrEo9NZtOHj2gZbSRTFIzmWpCnpPP5IQGX4qWI6dngQhfx4UkHpkadKH825t6xOA==" saltValue="Y1tHDy+mmAtdUvJDzdnZKw==" spinCount="100000" sheet="1" objects="1" scenarios="1"/>
  <autoFilter ref="B2:S133" xr:uid="{00000000-0009-0000-0000-00000F000000}"/>
  <customSheetViews>
    <customSheetView guid="{8BDA793C-C9C5-4FC6-A0A5-F1109F6D4F22}" scale="80" state="hidden">
      <pane xSplit="2" ySplit="2" topLeftCell="C3" activePane="bottomRight" state="frozen"/>
      <selection pane="bottomRight" activeCell="D14" sqref="D14"/>
    </customSheetView>
  </customSheetViews>
  <mergeCells count="5">
    <mergeCell ref="Z1:AA1"/>
    <mergeCell ref="V1:X1"/>
    <mergeCell ref="AF1:AF2"/>
    <mergeCell ref="AG1:AG2"/>
    <mergeCell ref="D1:F1"/>
  </mergeCells>
  <phoneticPr fontId="9" type="noConversion"/>
  <dataValidations count="1">
    <dataValidation type="list" allowBlank="1" showInputMessage="1" showErrorMessage="1" sqref="K3:K134" xr:uid="{00000000-0002-0000-0F00-000000000000}">
      <formula1>$V$3:$V$7</formula1>
    </dataValidation>
  </dataValidations>
  <pageMargins left="0.7" right="0.7" top="0.75" bottom="0.75" header="0.3" footer="0.3"/>
  <pageSetup paperSize="9"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F00-000001000000}">
          <x14:formula1>
            <xm:f>'G-3 Multipliers'!$P$3:$P$6</xm:f>
          </x14:formula1>
          <xm:sqref>N3:N134 P3:P134</xm:sqref>
        </x14:dataValidation>
      </x14:dataValidations>
    </ext>
  </extLst>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6">
    <tabColor rgb="FFFFC000"/>
  </sheetPr>
  <dimension ref="A1:BG176"/>
  <sheetViews>
    <sheetView showGridLines="0" topLeftCell="C1" zoomScale="80" zoomScaleNormal="80" workbookViewId="0">
      <selection sqref="A1:AF1"/>
    </sheetView>
  </sheetViews>
  <sheetFormatPr defaultColWidth="16.42578125" defaultRowHeight="15"/>
  <cols>
    <col min="1" max="1" width="88.7109375" style="30" bestFit="1" customWidth="1"/>
    <col min="2" max="2" width="27.7109375" style="30" customWidth="1"/>
    <col min="3" max="3" width="18.5703125" style="30" customWidth="1"/>
    <col min="4" max="4" width="62.7109375" style="30" bestFit="1" customWidth="1"/>
    <col min="5" max="35" width="16.42578125" style="30"/>
    <col min="36" max="36" width="23.7109375" style="30" customWidth="1"/>
    <col min="37" max="38" width="16.42578125" style="30"/>
    <col min="39" max="39" width="24.7109375" style="30" customWidth="1"/>
    <col min="40" max="40" width="25.7109375" style="30" customWidth="1"/>
    <col min="41" max="41" width="23.28515625" style="30" customWidth="1"/>
    <col min="42" max="42" width="23.5703125" style="30" customWidth="1"/>
    <col min="43" max="46" width="16.42578125" style="30"/>
    <col min="47" max="47" width="78.42578125" style="30" customWidth="1"/>
    <col min="48" max="48" width="24.42578125" style="30" bestFit="1" customWidth="1"/>
    <col min="49" max="49" width="16.7109375" style="30" bestFit="1" customWidth="1"/>
    <col min="50" max="50" width="23.5703125" style="30" bestFit="1" customWidth="1"/>
    <col min="51" max="51" width="28.28515625" style="30" customWidth="1"/>
    <col min="52" max="52" width="29.28515625" style="30" bestFit="1" customWidth="1"/>
    <col min="53" max="53" width="26.28515625" style="30" bestFit="1" customWidth="1"/>
    <col min="54" max="54" width="25.7109375" style="30" bestFit="1" customWidth="1"/>
    <col min="55" max="55" width="28.28515625" style="30" bestFit="1" customWidth="1"/>
    <col min="56" max="57" width="34.7109375" style="30" bestFit="1" customWidth="1"/>
    <col min="58" max="58" width="27.28515625" style="30" bestFit="1" customWidth="1"/>
    <col min="59" max="59" width="9.28515625" style="30" bestFit="1" customWidth="1"/>
    <col min="60" max="16384" width="16.42578125" style="30"/>
  </cols>
  <sheetData>
    <row r="1" spans="1:59" ht="51.6" customHeight="1">
      <c r="A1" s="1640" t="s">
        <v>930</v>
      </c>
      <c r="B1" s="1640"/>
      <c r="C1" s="1640"/>
      <c r="D1" s="1640"/>
      <c r="E1" s="1640"/>
      <c r="F1" s="1640"/>
      <c r="G1" s="1640"/>
      <c r="H1" s="1640"/>
      <c r="I1" s="1640"/>
      <c r="J1" s="1640"/>
      <c r="K1" s="1640"/>
      <c r="L1" s="1640"/>
      <c r="M1" s="1640"/>
      <c r="N1" s="1640"/>
      <c r="O1" s="1640"/>
      <c r="P1" s="1640"/>
      <c r="Q1" s="1640"/>
      <c r="R1" s="1640"/>
      <c r="S1" s="1640"/>
      <c r="T1" s="1640"/>
      <c r="U1" s="1640"/>
      <c r="V1" s="1640"/>
      <c r="W1" s="1640"/>
      <c r="X1" s="1640"/>
      <c r="Y1" s="1640"/>
      <c r="Z1" s="1640"/>
      <c r="AA1" s="1640"/>
      <c r="AB1" s="1640"/>
      <c r="AC1" s="1640"/>
      <c r="AD1" s="1640"/>
      <c r="AE1" s="1640"/>
      <c r="AF1" s="1640"/>
      <c r="AG1" s="96"/>
      <c r="AJ1" s="1634" t="s">
        <v>931</v>
      </c>
      <c r="AK1" s="1635"/>
      <c r="AL1" s="1635"/>
      <c r="AM1" s="1635"/>
      <c r="AN1" s="1635"/>
      <c r="AO1" s="1635"/>
      <c r="AP1" s="1636"/>
      <c r="AU1" s="1637" t="s">
        <v>932</v>
      </c>
      <c r="AV1" s="1638"/>
      <c r="AW1" s="1638"/>
      <c r="AX1" s="1638"/>
      <c r="AY1" s="1638"/>
      <c r="AZ1" s="1638"/>
      <c r="BA1" s="1638"/>
      <c r="BB1" s="1638"/>
      <c r="BC1" s="1638"/>
      <c r="BD1" s="1638"/>
      <c r="BE1" s="1638"/>
      <c r="BF1" s="1638"/>
      <c r="BG1" s="1639"/>
    </row>
    <row r="2" spans="1:59" ht="23.25">
      <c r="A2" s="77">
        <v>1</v>
      </c>
      <c r="B2" s="77">
        <v>2</v>
      </c>
      <c r="C2" s="77">
        <v>3</v>
      </c>
      <c r="D2" s="77">
        <v>4</v>
      </c>
      <c r="E2" s="77">
        <v>5</v>
      </c>
      <c r="F2" s="77">
        <v>6</v>
      </c>
      <c r="G2" s="77">
        <v>7</v>
      </c>
      <c r="H2" s="77">
        <v>8</v>
      </c>
      <c r="I2" s="77">
        <v>9</v>
      </c>
      <c r="J2" s="77">
        <v>10</v>
      </c>
      <c r="K2" s="77">
        <v>11</v>
      </c>
      <c r="L2" s="77">
        <v>12</v>
      </c>
      <c r="M2" s="77">
        <v>13</v>
      </c>
      <c r="N2" s="77">
        <v>14</v>
      </c>
      <c r="O2" s="77">
        <v>15</v>
      </c>
      <c r="P2" s="77">
        <v>16</v>
      </c>
      <c r="Q2" s="77">
        <v>17</v>
      </c>
      <c r="R2" s="77">
        <v>18</v>
      </c>
      <c r="S2" s="77">
        <v>19</v>
      </c>
      <c r="T2" s="77">
        <v>20</v>
      </c>
      <c r="U2" s="77">
        <v>21</v>
      </c>
      <c r="V2" s="77">
        <v>22</v>
      </c>
      <c r="W2" s="77">
        <v>23</v>
      </c>
      <c r="X2" s="77">
        <v>24</v>
      </c>
      <c r="Y2" s="77">
        <v>25</v>
      </c>
      <c r="Z2" s="77">
        <v>26</v>
      </c>
      <c r="AA2" s="77">
        <v>27</v>
      </c>
      <c r="AB2" s="77">
        <v>28</v>
      </c>
      <c r="AC2" s="77">
        <v>29</v>
      </c>
      <c r="AD2" s="77">
        <v>30</v>
      </c>
      <c r="AE2" s="77">
        <v>31</v>
      </c>
      <c r="AF2" s="77">
        <v>32</v>
      </c>
    </row>
    <row r="3" spans="1:59" ht="107.65" customHeight="1">
      <c r="A3" s="78" t="s">
        <v>933</v>
      </c>
      <c r="B3" s="78" t="s">
        <v>220</v>
      </c>
      <c r="C3" s="78" t="s">
        <v>269</v>
      </c>
      <c r="D3" s="78" t="s">
        <v>934</v>
      </c>
      <c r="E3" s="78" t="s">
        <v>935</v>
      </c>
      <c r="F3" s="78" t="s">
        <v>936</v>
      </c>
      <c r="G3" s="78" t="s">
        <v>937</v>
      </c>
      <c r="H3" s="78" t="s">
        <v>938</v>
      </c>
      <c r="I3" s="78" t="s">
        <v>939</v>
      </c>
      <c r="J3" s="78" t="s">
        <v>940</v>
      </c>
      <c r="K3" s="78" t="s">
        <v>941</v>
      </c>
      <c r="L3" s="78" t="s">
        <v>942</v>
      </c>
      <c r="M3" s="78" t="s">
        <v>943</v>
      </c>
      <c r="N3" s="78" t="s">
        <v>944</v>
      </c>
      <c r="O3" s="78" t="s">
        <v>945</v>
      </c>
      <c r="P3" s="78" t="s">
        <v>946</v>
      </c>
      <c r="Q3" s="78" t="s">
        <v>947</v>
      </c>
      <c r="R3" s="78" t="s">
        <v>948</v>
      </c>
      <c r="S3" s="78" t="s">
        <v>949</v>
      </c>
      <c r="T3" s="78" t="s">
        <v>950</v>
      </c>
      <c r="U3" s="78" t="s">
        <v>951</v>
      </c>
      <c r="V3" s="78" t="s">
        <v>952</v>
      </c>
      <c r="W3" s="78" t="s">
        <v>953</v>
      </c>
      <c r="X3" s="78" t="s">
        <v>954</v>
      </c>
      <c r="Y3" s="78" t="s">
        <v>955</v>
      </c>
      <c r="Z3" s="78" t="s">
        <v>956</v>
      </c>
      <c r="AA3" s="78" t="s">
        <v>957</v>
      </c>
      <c r="AB3" s="78" t="s">
        <v>958</v>
      </c>
      <c r="AC3" s="78" t="s">
        <v>959</v>
      </c>
      <c r="AD3" s="78" t="s">
        <v>960</v>
      </c>
      <c r="AE3" s="78" t="s">
        <v>961</v>
      </c>
      <c r="AF3" s="78" t="s">
        <v>962</v>
      </c>
      <c r="AJ3" s="537" t="s">
        <v>963</v>
      </c>
      <c r="AK3" s="538" t="s">
        <v>964</v>
      </c>
      <c r="AL3" s="538" t="s">
        <v>965</v>
      </c>
      <c r="AM3" s="538" t="s">
        <v>966</v>
      </c>
      <c r="AN3" s="538" t="s">
        <v>967</v>
      </c>
      <c r="AO3" s="538" t="s">
        <v>119</v>
      </c>
      <c r="AP3" s="538" t="s">
        <v>120</v>
      </c>
      <c r="AU3" s="87" t="s">
        <v>211</v>
      </c>
      <c r="AV3" s="88"/>
      <c r="AW3" s="89"/>
      <c r="AX3" s="89"/>
      <c r="AY3" s="89"/>
      <c r="AZ3" s="89"/>
      <c r="BA3" s="89"/>
      <c r="BB3" s="89"/>
      <c r="BC3" s="89"/>
      <c r="BD3" s="89"/>
      <c r="BE3" s="89"/>
      <c r="BF3" s="89"/>
      <c r="BG3" s="89"/>
    </row>
    <row r="4" spans="1:59" ht="31.5">
      <c r="A4" s="79" t="str">
        <f>'G-1 All Habitats'!B3</f>
        <v>Cropland - Arable field margins cultivated annually</v>
      </c>
      <c r="B4" s="68" t="str">
        <f>'G-1 All Habitats'!F3</f>
        <v>Cropland</v>
      </c>
      <c r="C4" s="68" t="str">
        <f>'G-1 All Habitats'!K3</f>
        <v>Medium</v>
      </c>
      <c r="D4" s="68" t="str">
        <f>'G-1 All Habitats'!M3</f>
        <v>Same broad habitat or a higher distinctiveness habitat required (≥)</v>
      </c>
      <c r="E4" s="346">
        <f>IF(C4="V.High",SUMIF('A-1 On-Site Habitat Baseline'!$G$11:$G$258,'G-2 Habitat groups'!A4,'A-1 On-Site Habitat Baseline'!$S$11:$S$258)+SUMIF('A-1 On-Site Habitat Baseline'!$G$11:$G$258,'G-2 Habitat groups'!A4,'A-1 On-Site Habitat Baseline'!$T$11:$T$258),SUMIF('A-1 On-Site Habitat Baseline'!$G$11:$G$258,'G-2 Habitat groups'!A4,'A-1 On-Site Habitat Baseline'!$H$11:$H$258))</f>
        <v>0</v>
      </c>
      <c r="F4" s="346">
        <f>SUMIF('A-1 On-Site Habitat Baseline'!$G$11:$G$258,'G-2 Habitat groups'!A4,'A-1 On-Site Habitat Baseline'!$Q$11:$Q$258)</f>
        <v>0</v>
      </c>
      <c r="G4" s="346">
        <f>SUMIF('A-1 On-Site Habitat Baseline'!$G$11:$G$258,'G-2 Habitat groups'!A4,'A-1 On-Site Habitat Baseline'!$S$11:$S$258)</f>
        <v>0</v>
      </c>
      <c r="H4" s="346">
        <f>SUMIF('A-1 On-Site Habitat Baseline'!$G$11:$G$258,'G-2 Habitat groups'!A4,'A-1 On-Site Habitat Baseline'!$U$11:$U$258)</f>
        <v>0</v>
      </c>
      <c r="I4" s="346">
        <f>SUMIF('A-1 On-Site Habitat Baseline'!$G$11:$G$258,'G-2 Habitat groups'!A4,'A-1 On-Site Habitat Baseline'!$W$11:$W$258)</f>
        <v>0</v>
      </c>
      <c r="J4" s="346">
        <f>SUMIF('A-1 On-Site Habitat Baseline'!$G$11:$G$258,'G-2 Habitat groups'!A4,'A-1 On-Site Habitat Baseline'!$X$11:$X$258)</f>
        <v>0</v>
      </c>
      <c r="K4" s="346">
        <f>SUMIF('A-2 On-Site Habitat Creation'!$F$11:$F$256,'G-2 Habitat groups'!A4,'A-2 On-Site Habitat Creation'!$G$11:$G$256)</f>
        <v>0</v>
      </c>
      <c r="L4" s="346">
        <f>SUMIF('A-2 On-Site Habitat Creation'!$F$11:$F$256,'G-2 Habitat groups'!A4,'A-2 On-Site Habitat Creation'!$Y$11:$Y$256)</f>
        <v>0</v>
      </c>
      <c r="M4" s="346">
        <f>SUMIF('A-3 On-Site Habitat Enhancement'!$S$12:$S$257,'G-2 Habitat groups'!A4,'A-3 On-Site Habitat Enhancement'!$V$12:$V$257)</f>
        <v>0</v>
      </c>
      <c r="N4" s="346">
        <f>SUMIF('A-3 On-Site Habitat Enhancement'!$S$12:$S$257,'G-2 Habitat groups'!A4,'A-3 On-Site Habitat Enhancement'!$AN$12:$AN$257)</f>
        <v>0</v>
      </c>
      <c r="O4" s="346">
        <f t="shared" ref="O4:O34" si="0">G4+K4+M4</f>
        <v>0</v>
      </c>
      <c r="P4" s="346">
        <f t="shared" ref="P4:P34" si="1">H4+L4+N4</f>
        <v>0</v>
      </c>
      <c r="Q4" s="346">
        <f t="shared" ref="Q4:Q34" si="2">O4-E4</f>
        <v>0</v>
      </c>
      <c r="R4" s="346">
        <f t="shared" ref="R4:R34" si="3">P4-F4</f>
        <v>0</v>
      </c>
      <c r="S4" s="346">
        <f>IF(C4="V.High",SUMIF('D-1 Off-Site Habitat Baseline'!$G$11:$G$258,'G-2 Habitat groups'!A4,'D-1 Off-Site Habitat Baseline'!$V$11:$V$258)+SUMIF('D-1 Off-Site Habitat Baseline'!$G$11:$G$258,'G-2 Habitat groups'!A4,'D-1 Off-Site Habitat Baseline'!$W$11:$W$258),SUMIF('D-1 Off-Site Habitat Baseline'!$G$11:$G$258,'G-2 Habitat groups'!A4,'D-1 Off-Site Habitat Baseline'!$H$11:$H$258))</f>
        <v>0</v>
      </c>
      <c r="T4" s="346">
        <f>SUMIF('D-1 Off-Site Habitat Baseline'!$G$11:$G$258,'G-2 Habitat groups'!A4,'D-1 Off-Site Habitat Baseline'!$T$11:$T$258)</f>
        <v>0</v>
      </c>
      <c r="U4" s="346">
        <f>SUMIF('D-1 Off-Site Habitat Baseline'!$G$11:$G$258,'G-2 Habitat groups'!A4,'D-1 Off-Site Habitat Baseline'!$V$11:$V$258)</f>
        <v>0</v>
      </c>
      <c r="V4" s="346">
        <f>SUMIF('D-1 Off-Site Habitat Baseline'!$G$11:$G$258,'G-2 Habitat groups'!A4,'D-1 Off-Site Habitat Baseline'!$X$11:$X$258)</f>
        <v>0</v>
      </c>
      <c r="W4" s="346">
        <f>SUMIF('D-2 Off-Site Habitat Creation'!$F$9:$F$255,'G-2 Habitat groups'!A4,'D-2 Off-Site Habitat Creation'!$G$9:$G$255)</f>
        <v>0</v>
      </c>
      <c r="X4" s="346">
        <f>SUMIF('D-2 Off-Site Habitat Creation'!$F$9:$F$255,'G-2 Habitat groups'!A4,'D-2 Off-Site Habitat Creation'!$AB$9:$AB$255)</f>
        <v>0</v>
      </c>
      <c r="Y4" s="346">
        <f>SUMIF('D-3 Off-Site Habitat Enhancment'!$S$12:$S$491,'G-2 Habitat groups'!A4,'D-3 Off-Site Habitat Enhancment'!$V$12:$V$491)</f>
        <v>0</v>
      </c>
      <c r="Z4" s="346">
        <f>SUMIF('D-3 Off-Site Habitat Enhancment'!$S$12:$S$491,'G-2 Habitat groups'!A4,'D-3 Off-Site Habitat Enhancment'!$AQ$12:$AQ$491)</f>
        <v>0</v>
      </c>
      <c r="AA4" s="346">
        <f t="shared" ref="AA4:AA34" si="4">U4+W4+Y4</f>
        <v>0</v>
      </c>
      <c r="AB4" s="346">
        <f>V4+X4+Z4</f>
        <v>0</v>
      </c>
      <c r="AC4" s="346">
        <f t="shared" ref="AC4:AC34" si="5">AA4-S4</f>
        <v>0</v>
      </c>
      <c r="AD4" s="346">
        <f>AB4-T4</f>
        <v>0</v>
      </c>
      <c r="AE4" s="346">
        <f t="shared" ref="AE4:AE34" si="6">Q4+AC4</f>
        <v>0</v>
      </c>
      <c r="AF4" s="346">
        <f>R4+AD4</f>
        <v>0</v>
      </c>
      <c r="AJ4" s="81" t="s">
        <v>124</v>
      </c>
      <c r="AK4" s="548">
        <f t="shared" ref="AK4:AK16" si="7">SUMIF($B:$B,$AJ4,E:E)</f>
        <v>16.273</v>
      </c>
      <c r="AL4" s="548">
        <f t="shared" ref="AL4:AL18" si="8">SUMIF($B:$B,$AJ4,F:F)</f>
        <v>32.545999999999999</v>
      </c>
      <c r="AM4" s="548">
        <f t="shared" ref="AM4:AM18" si="9">SUMIF($B:$B,$AJ4,O:O)</f>
        <v>0.17499999999999999</v>
      </c>
      <c r="AN4" s="548">
        <f t="shared" ref="AN4:AN18" si="10">SUMIF($B:$B,$AJ4,P:P)</f>
        <v>0.34187999999999996</v>
      </c>
      <c r="AO4" s="651">
        <f t="shared" ref="AO4:AO18" si="11">SUMIF($B:$B,$AJ4,Q:Q)</f>
        <v>-16.098000000000003</v>
      </c>
      <c r="AP4" s="651">
        <f t="shared" ref="AP4:AP18" si="12">SUMIF($B:$B,$AJ4,R:R)</f>
        <v>-32.204120000000003</v>
      </c>
      <c r="AU4" s="94" t="s">
        <v>968</v>
      </c>
      <c r="AV4" s="97" t="s">
        <v>220</v>
      </c>
      <c r="AW4" s="97" t="s">
        <v>969</v>
      </c>
      <c r="AX4" s="97" t="s">
        <v>970</v>
      </c>
      <c r="AY4" s="97" t="s">
        <v>971</v>
      </c>
      <c r="AZ4" s="97" t="s">
        <v>972</v>
      </c>
      <c r="BA4" s="97" t="s">
        <v>973</v>
      </c>
      <c r="BB4" s="97" t="s">
        <v>974</v>
      </c>
      <c r="BC4" s="97" t="s">
        <v>975</v>
      </c>
      <c r="BD4" s="97" t="s">
        <v>976</v>
      </c>
      <c r="BE4" s="97" t="s">
        <v>977</v>
      </c>
      <c r="BF4" s="97" t="s">
        <v>978</v>
      </c>
      <c r="BG4" s="97" t="s">
        <v>979</v>
      </c>
    </row>
    <row r="5" spans="1:59" ht="14.65" customHeight="1">
      <c r="A5" s="79" t="str">
        <f>'G-1 All Habitats'!B4</f>
        <v>Cropland - Arable field margins game bird mix</v>
      </c>
      <c r="B5" s="68" t="str">
        <f>'G-1 All Habitats'!F4</f>
        <v>Cropland</v>
      </c>
      <c r="C5" s="68" t="str">
        <f>'G-1 All Habitats'!K4</f>
        <v>Medium</v>
      </c>
      <c r="D5" s="68" t="str">
        <f>'G-1 All Habitats'!M4</f>
        <v>Same broad habitat or a higher distinctiveness habitat required (≥)</v>
      </c>
      <c r="E5" s="346">
        <f>IF(C5="V.High",SUMIF('A-1 On-Site Habitat Baseline'!$G$11:$G$258,'G-2 Habitat groups'!A5,'A-1 On-Site Habitat Baseline'!$S$11:$S$258)+SUMIF('A-1 On-Site Habitat Baseline'!$G$11:$G$258,'G-2 Habitat groups'!A5,'A-1 On-Site Habitat Baseline'!$T$11:$T$258),SUMIF('A-1 On-Site Habitat Baseline'!$G$11:$G$258,'G-2 Habitat groups'!A5,'A-1 On-Site Habitat Baseline'!$H$11:$H$258))</f>
        <v>0</v>
      </c>
      <c r="F5" s="346">
        <f>SUMIF('A-1 On-Site Habitat Baseline'!$G$11:$G$258,'G-2 Habitat groups'!A5,'A-1 On-Site Habitat Baseline'!$Q$11:$Q$258)</f>
        <v>0</v>
      </c>
      <c r="G5" s="346">
        <f>SUMIF('A-1 On-Site Habitat Baseline'!$G$11:$G$258,'G-2 Habitat groups'!A5,'A-1 On-Site Habitat Baseline'!$S$11:$S$258)</f>
        <v>0</v>
      </c>
      <c r="H5" s="346">
        <f>SUMIF('A-1 On-Site Habitat Baseline'!$G$11:$G$258,'G-2 Habitat groups'!A5,'A-1 On-Site Habitat Baseline'!$U$11:$U$258)</f>
        <v>0</v>
      </c>
      <c r="I5" s="346">
        <f>SUMIF('A-1 On-Site Habitat Baseline'!$G$11:$G$258,'G-2 Habitat groups'!A5,'A-1 On-Site Habitat Baseline'!$W$11:$W$258)</f>
        <v>0</v>
      </c>
      <c r="J5" s="346">
        <f>SUMIF('A-1 On-Site Habitat Baseline'!$G$11:$G$258,'G-2 Habitat groups'!A5,'A-1 On-Site Habitat Baseline'!$X$11:$X$258)</f>
        <v>0</v>
      </c>
      <c r="K5" s="346">
        <f>SUMIF('A-2 On-Site Habitat Creation'!$F$11:$F$256,'G-2 Habitat groups'!A5,'A-2 On-Site Habitat Creation'!$G$11:$G$256)</f>
        <v>0</v>
      </c>
      <c r="L5" s="346">
        <f>SUMIF('A-2 On-Site Habitat Creation'!$F$11:$F$256,'G-2 Habitat groups'!A5,'A-2 On-Site Habitat Creation'!$Y$11:$Y$256)</f>
        <v>0</v>
      </c>
      <c r="M5" s="346">
        <f>SUMIF('A-3 On-Site Habitat Enhancement'!$S$12:$S$257,'G-2 Habitat groups'!A5,'A-3 On-Site Habitat Enhancement'!$V$12:$V$257)</f>
        <v>0</v>
      </c>
      <c r="N5" s="346">
        <f>SUMIF('A-3 On-Site Habitat Enhancement'!$S$12:$S$257,'G-2 Habitat groups'!A5,'A-3 On-Site Habitat Enhancement'!$AN$12:$AN$257)</f>
        <v>0</v>
      </c>
      <c r="O5" s="346">
        <f t="shared" si="0"/>
        <v>0</v>
      </c>
      <c r="P5" s="346">
        <f t="shared" si="1"/>
        <v>0</v>
      </c>
      <c r="Q5" s="346">
        <f t="shared" si="2"/>
        <v>0</v>
      </c>
      <c r="R5" s="346">
        <f t="shared" si="3"/>
        <v>0</v>
      </c>
      <c r="S5" s="346">
        <f>IF(C5="V.High",SUMIF('D-1 Off-Site Habitat Baseline'!$G$11:$G$258,'G-2 Habitat groups'!A5,'D-1 Off-Site Habitat Baseline'!$V$11:$V$258)+SUMIF('D-1 Off-Site Habitat Baseline'!$G$11:$G$258,'G-2 Habitat groups'!A5,'D-1 Off-Site Habitat Baseline'!$W$11:$W$258),SUMIF('D-1 Off-Site Habitat Baseline'!$G$11:$G$258,'G-2 Habitat groups'!A5,'D-1 Off-Site Habitat Baseline'!$H$11:$H$258))</f>
        <v>0</v>
      </c>
      <c r="T5" s="346">
        <f>SUMIF('D-1 Off-Site Habitat Baseline'!$G$11:$G$258,'G-2 Habitat groups'!A5,'D-1 Off-Site Habitat Baseline'!$T$11:$T$258)</f>
        <v>0</v>
      </c>
      <c r="U5" s="346">
        <f>SUMIF('D-1 Off-Site Habitat Baseline'!$G$11:$G$258,'G-2 Habitat groups'!A5,'D-1 Off-Site Habitat Baseline'!$V$11:$V$258)</f>
        <v>0</v>
      </c>
      <c r="V5" s="346">
        <f>SUMIF('D-1 Off-Site Habitat Baseline'!$G$11:$G$258,'G-2 Habitat groups'!A5,'D-1 Off-Site Habitat Baseline'!$X$11:$X$258)</f>
        <v>0</v>
      </c>
      <c r="W5" s="346">
        <f>SUMIF('D-2 Off-Site Habitat Creation'!$F$9:$F$255,'G-2 Habitat groups'!A5,'D-2 Off-Site Habitat Creation'!$G$9:$G$255)</f>
        <v>0</v>
      </c>
      <c r="X5" s="346">
        <f>SUMIF('D-2 Off-Site Habitat Creation'!$F$9:$F$255,'G-2 Habitat groups'!A5,'D-2 Off-Site Habitat Creation'!$AB$9:$AB$255)</f>
        <v>0</v>
      </c>
      <c r="Y5" s="346">
        <f>SUMIF('D-3 Off-Site Habitat Enhancment'!$S$12:$S$491,'G-2 Habitat groups'!A5,'D-3 Off-Site Habitat Enhancment'!$V$12:$V$491)</f>
        <v>0</v>
      </c>
      <c r="Z5" s="346">
        <f>SUMIF('D-3 Off-Site Habitat Enhancment'!$S$12:$S$491,'G-2 Habitat groups'!A5,'D-3 Off-Site Habitat Enhancment'!$AQ$12:$AQ$491)</f>
        <v>0</v>
      </c>
      <c r="AA5" s="346">
        <f t="shared" si="4"/>
        <v>0</v>
      </c>
      <c r="AB5" s="346">
        <f t="shared" ref="AB5:AB34" si="13">V5+X5+Z5</f>
        <v>0</v>
      </c>
      <c r="AC5" s="346">
        <f t="shared" si="5"/>
        <v>0</v>
      </c>
      <c r="AD5" s="346">
        <f t="shared" ref="AD5:AD34" si="14">AB5-T5</f>
        <v>0</v>
      </c>
      <c r="AE5" s="346">
        <f t="shared" si="6"/>
        <v>0</v>
      </c>
      <c r="AF5" s="346">
        <f t="shared" ref="AF5:AF34" si="15">R5+AD5</f>
        <v>0</v>
      </c>
      <c r="AJ5" s="82" t="s">
        <v>125</v>
      </c>
      <c r="AK5" s="549">
        <f t="shared" si="7"/>
        <v>29.661000000000001</v>
      </c>
      <c r="AL5" s="549">
        <f t="shared" si="8"/>
        <v>61.362000000000002</v>
      </c>
      <c r="AM5" s="549">
        <f t="shared" si="9"/>
        <v>42.995000000000005</v>
      </c>
      <c r="AN5" s="549">
        <f t="shared" si="10"/>
        <v>181.31072774346643</v>
      </c>
      <c r="AO5" s="651">
        <f t="shared" si="11"/>
        <v>13.334000000000005</v>
      </c>
      <c r="AP5" s="651">
        <f t="shared" si="12"/>
        <v>119.94872774346641</v>
      </c>
      <c r="AU5" s="91" t="s">
        <v>527</v>
      </c>
      <c r="AV5" s="68" t="s">
        <v>125</v>
      </c>
      <c r="AW5" s="358">
        <f>VLOOKUP($AU5,AllHabsSummaryData,5,FALSE)</f>
        <v>0</v>
      </c>
      <c r="AX5" s="358">
        <f>VLOOKUP($AU5,AllHabsSummaryData,10,FALSE)</f>
        <v>0</v>
      </c>
      <c r="AY5" s="358">
        <f>VLOOKUP($AU5,AllHabsSummaryData,15,FALSE)</f>
        <v>0</v>
      </c>
      <c r="AZ5" s="358">
        <f>VLOOKUP($AU5,AllHabsSummaryData,16,FALSE)</f>
        <v>0</v>
      </c>
      <c r="BA5" s="358">
        <f>VLOOKUP($AU5,AllHabsSummaryData,17,FALSE)</f>
        <v>0</v>
      </c>
      <c r="BB5" s="358">
        <f>VLOOKUP($AU5,AllHabsSummaryData,18,FALSE)</f>
        <v>0</v>
      </c>
      <c r="BC5" s="358">
        <f>VLOOKUP($AU5,AllHabsSummaryData,27,FALSE)</f>
        <v>0</v>
      </c>
      <c r="BD5" s="358">
        <f>VLOOKUP($AU5,AllHabsSummaryData,30,FALSE)</f>
        <v>0</v>
      </c>
      <c r="BE5" s="358">
        <f>BB5+BD5</f>
        <v>0</v>
      </c>
      <c r="BF5" s="358" t="str">
        <f>IF(BE5&lt;0,BE5,"")</f>
        <v/>
      </c>
      <c r="BG5" s="358">
        <f>VLOOKUP($AU5,AllHabsSummaryData,9,FALSE)</f>
        <v>0</v>
      </c>
    </row>
    <row r="6" spans="1:59" ht="14.65" customHeight="1">
      <c r="A6" s="79" t="str">
        <f>'G-1 All Habitats'!B5</f>
        <v>Cropland - Arable field margins pollen and nectar</v>
      </c>
      <c r="B6" s="68" t="str">
        <f>'G-1 All Habitats'!F5</f>
        <v>Cropland</v>
      </c>
      <c r="C6" s="68" t="str">
        <f>'G-1 All Habitats'!K5</f>
        <v>Medium</v>
      </c>
      <c r="D6" s="68" t="str">
        <f>'G-1 All Habitats'!M5</f>
        <v>Same broad habitat or a higher distinctiveness habitat required (≥)</v>
      </c>
      <c r="E6" s="346">
        <f>IF(C6="V.High",SUMIF('A-1 On-Site Habitat Baseline'!$G$11:$G$258,'G-2 Habitat groups'!A6,'A-1 On-Site Habitat Baseline'!$S$11:$S$258)+SUMIF('A-1 On-Site Habitat Baseline'!$G$11:$G$258,'G-2 Habitat groups'!A6,'A-1 On-Site Habitat Baseline'!$T$11:$T$258),SUMIF('A-1 On-Site Habitat Baseline'!$G$11:$G$258,'G-2 Habitat groups'!A6,'A-1 On-Site Habitat Baseline'!$H$11:$H$258))</f>
        <v>0</v>
      </c>
      <c r="F6" s="346">
        <f>SUMIF('A-1 On-Site Habitat Baseline'!$G$11:$G$258,'G-2 Habitat groups'!A6,'A-1 On-Site Habitat Baseline'!$Q$11:$Q$258)</f>
        <v>0</v>
      </c>
      <c r="G6" s="346">
        <f>SUMIF('A-1 On-Site Habitat Baseline'!$G$11:$G$258,'G-2 Habitat groups'!A6,'A-1 On-Site Habitat Baseline'!$S$11:$S$258)</f>
        <v>0</v>
      </c>
      <c r="H6" s="346">
        <f>SUMIF('A-1 On-Site Habitat Baseline'!$G$11:$G$258,'G-2 Habitat groups'!A6,'A-1 On-Site Habitat Baseline'!$U$11:$U$258)</f>
        <v>0</v>
      </c>
      <c r="I6" s="346">
        <f>SUMIF('A-1 On-Site Habitat Baseline'!$G$11:$G$258,'G-2 Habitat groups'!A6,'A-1 On-Site Habitat Baseline'!$W$11:$W$258)</f>
        <v>0</v>
      </c>
      <c r="J6" s="346">
        <f>SUMIF('A-1 On-Site Habitat Baseline'!$G$11:$G$258,'G-2 Habitat groups'!A6,'A-1 On-Site Habitat Baseline'!$X$11:$X$258)</f>
        <v>0</v>
      </c>
      <c r="K6" s="346">
        <f>SUMIF('A-2 On-Site Habitat Creation'!$F$11:$F$256,'G-2 Habitat groups'!A6,'A-2 On-Site Habitat Creation'!$G$11:$G$256)</f>
        <v>0</v>
      </c>
      <c r="L6" s="346">
        <f>SUMIF('A-2 On-Site Habitat Creation'!$F$11:$F$256,'G-2 Habitat groups'!A6,'A-2 On-Site Habitat Creation'!$Y$11:$Y$256)</f>
        <v>0</v>
      </c>
      <c r="M6" s="346">
        <f>SUMIF('A-3 On-Site Habitat Enhancement'!$S$12:$S$257,'G-2 Habitat groups'!A6,'A-3 On-Site Habitat Enhancement'!$V$12:$V$257)</f>
        <v>0</v>
      </c>
      <c r="N6" s="346">
        <f>SUMIF('A-3 On-Site Habitat Enhancement'!$S$12:$S$257,'G-2 Habitat groups'!A6,'A-3 On-Site Habitat Enhancement'!$AN$12:$AN$257)</f>
        <v>0</v>
      </c>
      <c r="O6" s="346">
        <f t="shared" si="0"/>
        <v>0</v>
      </c>
      <c r="P6" s="346">
        <f t="shared" si="1"/>
        <v>0</v>
      </c>
      <c r="Q6" s="346">
        <f t="shared" si="2"/>
        <v>0</v>
      </c>
      <c r="R6" s="346">
        <f t="shared" si="3"/>
        <v>0</v>
      </c>
      <c r="S6" s="346">
        <f>IF(C6="V.High",SUMIF('D-1 Off-Site Habitat Baseline'!$G$11:$G$258,'G-2 Habitat groups'!A6,'D-1 Off-Site Habitat Baseline'!$V$11:$V$258)+SUMIF('D-1 Off-Site Habitat Baseline'!$G$11:$G$258,'G-2 Habitat groups'!A6,'D-1 Off-Site Habitat Baseline'!$W$11:$W$258),SUMIF('D-1 Off-Site Habitat Baseline'!$G$11:$G$258,'G-2 Habitat groups'!A6,'D-1 Off-Site Habitat Baseline'!$H$11:$H$258))</f>
        <v>0</v>
      </c>
      <c r="T6" s="346">
        <f>SUMIF('D-1 Off-Site Habitat Baseline'!$G$11:$G$258,'G-2 Habitat groups'!A6,'D-1 Off-Site Habitat Baseline'!$T$11:$T$258)</f>
        <v>0</v>
      </c>
      <c r="U6" s="346">
        <f>SUMIF('D-1 Off-Site Habitat Baseline'!$G$11:$G$258,'G-2 Habitat groups'!A6,'D-1 Off-Site Habitat Baseline'!$V$11:$V$258)</f>
        <v>0</v>
      </c>
      <c r="V6" s="346">
        <f>SUMIF('D-1 Off-Site Habitat Baseline'!$G$11:$G$258,'G-2 Habitat groups'!A6,'D-1 Off-Site Habitat Baseline'!$X$11:$X$258)</f>
        <v>0</v>
      </c>
      <c r="W6" s="346">
        <f>SUMIF('D-2 Off-Site Habitat Creation'!$F$9:$F$255,'G-2 Habitat groups'!A6,'D-2 Off-Site Habitat Creation'!$G$9:$G$255)</f>
        <v>0</v>
      </c>
      <c r="X6" s="346">
        <f>SUMIF('D-2 Off-Site Habitat Creation'!$F$9:$F$255,'G-2 Habitat groups'!A6,'D-2 Off-Site Habitat Creation'!$AB$9:$AB$255)</f>
        <v>0</v>
      </c>
      <c r="Y6" s="346">
        <f>SUMIF('D-3 Off-Site Habitat Enhancment'!$S$12:$S$491,'G-2 Habitat groups'!A6,'D-3 Off-Site Habitat Enhancment'!$V$12:$V$491)</f>
        <v>0</v>
      </c>
      <c r="Z6" s="346">
        <f>SUMIF('D-3 Off-Site Habitat Enhancment'!$S$12:$S$491,'G-2 Habitat groups'!A6,'D-3 Off-Site Habitat Enhancment'!$AQ$12:$AQ$491)</f>
        <v>0</v>
      </c>
      <c r="AA6" s="346">
        <f t="shared" si="4"/>
        <v>0</v>
      </c>
      <c r="AB6" s="346">
        <f t="shared" si="13"/>
        <v>0</v>
      </c>
      <c r="AC6" s="346">
        <f t="shared" si="5"/>
        <v>0</v>
      </c>
      <c r="AD6" s="346">
        <f t="shared" si="14"/>
        <v>0</v>
      </c>
      <c r="AE6" s="346">
        <f t="shared" si="6"/>
        <v>0</v>
      </c>
      <c r="AF6" s="346">
        <f t="shared" si="15"/>
        <v>0</v>
      </c>
      <c r="AJ6" s="82" t="s">
        <v>126</v>
      </c>
      <c r="AK6" s="549">
        <f t="shared" si="7"/>
        <v>2.3E-2</v>
      </c>
      <c r="AL6" s="549">
        <f t="shared" si="8"/>
        <v>0.184</v>
      </c>
      <c r="AM6" s="549">
        <f t="shared" si="9"/>
        <v>0.66100000000000003</v>
      </c>
      <c r="AN6" s="549">
        <f t="shared" si="10"/>
        <v>4.4251501687728005</v>
      </c>
      <c r="AO6" s="651">
        <f t="shared" si="11"/>
        <v>0.63800000000000001</v>
      </c>
      <c r="AP6" s="651">
        <f t="shared" si="12"/>
        <v>4.2411501687728004</v>
      </c>
      <c r="AU6" s="91" t="s">
        <v>533</v>
      </c>
      <c r="AV6" s="68" t="s">
        <v>125</v>
      </c>
      <c r="AW6" s="358">
        <f>VLOOKUP($AU6,AllHabsSummaryData,5,FALSE)</f>
        <v>0</v>
      </c>
      <c r="AX6" s="358">
        <f>VLOOKUP($AU6,AllHabsSummaryData,10,FALSE)</f>
        <v>0</v>
      </c>
      <c r="AY6" s="358">
        <f>VLOOKUP($AU6,AllHabsSummaryData,15,FALSE)</f>
        <v>0</v>
      </c>
      <c r="AZ6" s="358">
        <f>VLOOKUP($AU6,AllHabsSummaryData,16,FALSE)</f>
        <v>0</v>
      </c>
      <c r="BA6" s="358">
        <f>VLOOKUP($AU6,AllHabsSummaryData,17,FALSE)</f>
        <v>0</v>
      </c>
      <c r="BB6" s="358">
        <f>VLOOKUP($AU6,AllHabsSummaryData,18,FALSE)</f>
        <v>0</v>
      </c>
      <c r="BC6" s="358">
        <f>VLOOKUP($AU6,AllHabsSummaryData,27,FALSE)</f>
        <v>0</v>
      </c>
      <c r="BD6" s="358">
        <f>VLOOKUP($AU6,AllHabsSummaryData,30,FALSE)</f>
        <v>0</v>
      </c>
      <c r="BE6" s="358">
        <f>BB6+BD6</f>
        <v>0</v>
      </c>
      <c r="BF6" s="358" t="str">
        <f>IF(BE6&lt;0,BE6,"")</f>
        <v/>
      </c>
      <c r="BG6" s="438">
        <f t="shared" ref="BG6:BG24" si="16">SUMIF($A$4:$A$106,AU6,$I$4:$I$106)</f>
        <v>0</v>
      </c>
    </row>
    <row r="7" spans="1:59" ht="14.65" customHeight="1">
      <c r="A7" s="79" t="str">
        <f>'G-1 All Habitats'!B6</f>
        <v>Cropland - Arable field margins tussocky</v>
      </c>
      <c r="B7" s="68" t="str">
        <f>'G-1 All Habitats'!F6</f>
        <v>Cropland</v>
      </c>
      <c r="C7" s="68" t="str">
        <f>'G-1 All Habitats'!K6</f>
        <v>Medium</v>
      </c>
      <c r="D7" s="68" t="str">
        <f>'G-1 All Habitats'!M6</f>
        <v>Same broad habitat or a higher distinctiveness habitat required (≥)</v>
      </c>
      <c r="E7" s="346">
        <f>IF(C7="V.High",SUMIF('A-1 On-Site Habitat Baseline'!$G$11:$G$258,'G-2 Habitat groups'!A7,'A-1 On-Site Habitat Baseline'!$S$11:$S$258)+SUMIF('A-1 On-Site Habitat Baseline'!$G$11:$G$258,'G-2 Habitat groups'!A7,'A-1 On-Site Habitat Baseline'!$T$11:$T$258),SUMIF('A-1 On-Site Habitat Baseline'!$G$11:$G$258,'G-2 Habitat groups'!A7,'A-1 On-Site Habitat Baseline'!$H$11:$H$258))</f>
        <v>0</v>
      </c>
      <c r="F7" s="346">
        <f>SUMIF('A-1 On-Site Habitat Baseline'!$G$11:$G$258,'G-2 Habitat groups'!A7,'A-1 On-Site Habitat Baseline'!$Q$11:$Q$258)</f>
        <v>0</v>
      </c>
      <c r="G7" s="346">
        <f>SUMIF('A-1 On-Site Habitat Baseline'!$G$11:$G$258,'G-2 Habitat groups'!A7,'A-1 On-Site Habitat Baseline'!$S$11:$S$258)</f>
        <v>0</v>
      </c>
      <c r="H7" s="346">
        <f>SUMIF('A-1 On-Site Habitat Baseline'!$G$11:$G$258,'G-2 Habitat groups'!A7,'A-1 On-Site Habitat Baseline'!$U$11:$U$258)</f>
        <v>0</v>
      </c>
      <c r="I7" s="346">
        <f>SUMIF('A-1 On-Site Habitat Baseline'!$G$11:$G$258,'G-2 Habitat groups'!A7,'A-1 On-Site Habitat Baseline'!$W$11:$W$258)</f>
        <v>0</v>
      </c>
      <c r="J7" s="346">
        <f>SUMIF('A-1 On-Site Habitat Baseline'!$G$11:$G$258,'G-2 Habitat groups'!A7,'A-1 On-Site Habitat Baseline'!$X$11:$X$258)</f>
        <v>0</v>
      </c>
      <c r="K7" s="346">
        <f>SUMIF('A-2 On-Site Habitat Creation'!$F$11:$F$256,'G-2 Habitat groups'!A7,'A-2 On-Site Habitat Creation'!$G$11:$G$256)</f>
        <v>0</v>
      </c>
      <c r="L7" s="346">
        <f>SUMIF('A-2 On-Site Habitat Creation'!$F$11:$F$256,'G-2 Habitat groups'!A7,'A-2 On-Site Habitat Creation'!$Y$11:$Y$256)</f>
        <v>0</v>
      </c>
      <c r="M7" s="346">
        <f>SUMIF('A-3 On-Site Habitat Enhancement'!$S$12:$S$257,'G-2 Habitat groups'!A7,'A-3 On-Site Habitat Enhancement'!$V$12:$V$257)</f>
        <v>0</v>
      </c>
      <c r="N7" s="346">
        <f>SUMIF('A-3 On-Site Habitat Enhancement'!$S$12:$S$257,'G-2 Habitat groups'!A7,'A-3 On-Site Habitat Enhancement'!$AN$12:$AN$257)</f>
        <v>0</v>
      </c>
      <c r="O7" s="346">
        <f t="shared" si="0"/>
        <v>0</v>
      </c>
      <c r="P7" s="346">
        <f t="shared" si="1"/>
        <v>0</v>
      </c>
      <c r="Q7" s="346">
        <f t="shared" si="2"/>
        <v>0</v>
      </c>
      <c r="R7" s="346">
        <f t="shared" si="3"/>
        <v>0</v>
      </c>
      <c r="S7" s="346">
        <f>IF(C7="V.High",SUMIF('D-1 Off-Site Habitat Baseline'!$G$11:$G$258,'G-2 Habitat groups'!A7,'D-1 Off-Site Habitat Baseline'!$V$11:$V$258)+SUMIF('D-1 Off-Site Habitat Baseline'!$G$11:$G$258,'G-2 Habitat groups'!A7,'D-1 Off-Site Habitat Baseline'!$W$11:$W$258),SUMIF('D-1 Off-Site Habitat Baseline'!$G$11:$G$258,'G-2 Habitat groups'!A7,'D-1 Off-Site Habitat Baseline'!$H$11:$H$258))</f>
        <v>0</v>
      </c>
      <c r="T7" s="346">
        <f>SUMIF('D-1 Off-Site Habitat Baseline'!$G$11:$G$258,'G-2 Habitat groups'!A7,'D-1 Off-Site Habitat Baseline'!$T$11:$T$258)</f>
        <v>0</v>
      </c>
      <c r="U7" s="346">
        <f>SUMIF('D-1 Off-Site Habitat Baseline'!$G$11:$G$258,'G-2 Habitat groups'!A7,'D-1 Off-Site Habitat Baseline'!$V$11:$V$258)</f>
        <v>0</v>
      </c>
      <c r="V7" s="346">
        <f>SUMIF('D-1 Off-Site Habitat Baseline'!$G$11:$G$258,'G-2 Habitat groups'!A7,'D-1 Off-Site Habitat Baseline'!$X$11:$X$258)</f>
        <v>0</v>
      </c>
      <c r="W7" s="346">
        <f>SUMIF('D-2 Off-Site Habitat Creation'!$F$9:$F$255,'G-2 Habitat groups'!A7,'D-2 Off-Site Habitat Creation'!$G$9:$G$255)</f>
        <v>0</v>
      </c>
      <c r="X7" s="346">
        <f>SUMIF('D-2 Off-Site Habitat Creation'!$F$9:$F$255,'G-2 Habitat groups'!A7,'D-2 Off-Site Habitat Creation'!$AB$9:$AB$255)</f>
        <v>0</v>
      </c>
      <c r="Y7" s="346">
        <f>SUMIF('D-3 Off-Site Habitat Enhancment'!$S$12:$S$491,'G-2 Habitat groups'!A7,'D-3 Off-Site Habitat Enhancment'!$V$12:$V$491)</f>
        <v>0</v>
      </c>
      <c r="Z7" s="346">
        <f>SUMIF('D-3 Off-Site Habitat Enhancment'!$S$12:$S$491,'G-2 Habitat groups'!A7,'D-3 Off-Site Habitat Enhancment'!$AQ$12:$AQ$491)</f>
        <v>0</v>
      </c>
      <c r="AA7" s="346">
        <f t="shared" si="4"/>
        <v>0</v>
      </c>
      <c r="AB7" s="346">
        <f t="shared" si="13"/>
        <v>0</v>
      </c>
      <c r="AC7" s="346">
        <f t="shared" si="5"/>
        <v>0</v>
      </c>
      <c r="AD7" s="346">
        <f t="shared" si="14"/>
        <v>0</v>
      </c>
      <c r="AE7" s="346">
        <f t="shared" si="6"/>
        <v>0</v>
      </c>
      <c r="AF7" s="346">
        <f t="shared" si="15"/>
        <v>0</v>
      </c>
      <c r="AJ7" s="82" t="s">
        <v>127</v>
      </c>
      <c r="AK7" s="549">
        <f t="shared" si="7"/>
        <v>0</v>
      </c>
      <c r="AL7" s="549">
        <f t="shared" si="8"/>
        <v>0</v>
      </c>
      <c r="AM7" s="549">
        <f t="shared" si="9"/>
        <v>0</v>
      </c>
      <c r="AN7" s="549">
        <f t="shared" si="10"/>
        <v>0</v>
      </c>
      <c r="AO7" s="651">
        <f t="shared" si="11"/>
        <v>0</v>
      </c>
      <c r="AP7" s="651">
        <f t="shared" si="12"/>
        <v>0</v>
      </c>
      <c r="AU7" s="91" t="s">
        <v>560</v>
      </c>
      <c r="AV7" s="68" t="s">
        <v>125</v>
      </c>
      <c r="AW7" s="358">
        <f>VLOOKUP($AU7,AllHabsSummaryData,5,FALSE)</f>
        <v>0</v>
      </c>
      <c r="AX7" s="358">
        <f>VLOOKUP($AU7,AllHabsSummaryData,10,FALSE)</f>
        <v>0</v>
      </c>
      <c r="AY7" s="358">
        <f>VLOOKUP($AU7,AllHabsSummaryData,15,FALSE)</f>
        <v>0</v>
      </c>
      <c r="AZ7" s="358">
        <f>VLOOKUP($AU7,AllHabsSummaryData,16,FALSE)</f>
        <v>0</v>
      </c>
      <c r="BA7" s="358">
        <f>VLOOKUP($AU7,AllHabsSummaryData,17,FALSE)</f>
        <v>0</v>
      </c>
      <c r="BB7" s="358">
        <f>VLOOKUP($AU7,AllHabsSummaryData,18,FALSE)</f>
        <v>0</v>
      </c>
      <c r="BC7" s="358">
        <f>VLOOKUP($AU7,AllHabsSummaryData,27,FALSE)</f>
        <v>0</v>
      </c>
      <c r="BD7" s="358">
        <f>VLOOKUP($AU7,AllHabsSummaryData,30,FALSE)</f>
        <v>0</v>
      </c>
      <c r="BE7" s="358">
        <f>BB7+BD7</f>
        <v>0</v>
      </c>
      <c r="BF7" s="358" t="str">
        <f>IF(BE7&lt;0,BE7,"")</f>
        <v/>
      </c>
      <c r="BG7" s="438">
        <f t="shared" si="16"/>
        <v>0</v>
      </c>
    </row>
    <row r="8" spans="1:59" ht="14.65" customHeight="1">
      <c r="A8" s="79" t="str">
        <f>'G-1 All Habitats'!B7</f>
        <v>Cropland - Cereal crops</v>
      </c>
      <c r="B8" s="68" t="str">
        <f>'G-1 All Habitats'!F7</f>
        <v>Cropland</v>
      </c>
      <c r="C8" s="68" t="str">
        <f>'G-1 All Habitats'!K7</f>
        <v>Low</v>
      </c>
      <c r="D8" s="68" t="str">
        <f>'G-1 All Habitats'!M7</f>
        <v>Same distinctiveness or better habitat required ≥</v>
      </c>
      <c r="E8" s="346">
        <f>IF(C8="V.High",SUMIF('A-1 On-Site Habitat Baseline'!$G$11:$G$258,'G-2 Habitat groups'!A8,'A-1 On-Site Habitat Baseline'!$S$11:$S$258)+SUMIF('A-1 On-Site Habitat Baseline'!$G$11:$G$258,'G-2 Habitat groups'!A8,'A-1 On-Site Habitat Baseline'!$T$11:$T$258),SUMIF('A-1 On-Site Habitat Baseline'!$G$11:$G$258,'G-2 Habitat groups'!A8,'A-1 On-Site Habitat Baseline'!$H$11:$H$258))</f>
        <v>0.58299999999999996</v>
      </c>
      <c r="F8" s="346">
        <f>SUMIF('A-1 On-Site Habitat Baseline'!$G$11:$G$258,'G-2 Habitat groups'!A8,'A-1 On-Site Habitat Baseline'!$Q$11:$Q$258)</f>
        <v>1.1659999999999999</v>
      </c>
      <c r="G8" s="346">
        <f>SUMIF('A-1 On-Site Habitat Baseline'!$G$11:$G$258,'G-2 Habitat groups'!A8,'A-1 On-Site Habitat Baseline'!$S$11:$S$258)</f>
        <v>5.8999999999999997E-2</v>
      </c>
      <c r="H8" s="346">
        <f>SUMIF('A-1 On-Site Habitat Baseline'!$G$11:$G$258,'G-2 Habitat groups'!A8,'A-1 On-Site Habitat Baseline'!$U$11:$U$258)</f>
        <v>0.11799999999999999</v>
      </c>
      <c r="I8" s="346">
        <f>SUMIF('A-1 On-Site Habitat Baseline'!$G$11:$G$258,'G-2 Habitat groups'!A8,'A-1 On-Site Habitat Baseline'!$W$11:$W$258)</f>
        <v>0.52400000000000002</v>
      </c>
      <c r="J8" s="346">
        <f>SUMIF('A-1 On-Site Habitat Baseline'!$G$11:$G$258,'G-2 Habitat groups'!A8,'A-1 On-Site Habitat Baseline'!$X$11:$X$258)</f>
        <v>1.048</v>
      </c>
      <c r="K8" s="346">
        <f>SUMIF('A-2 On-Site Habitat Creation'!$F$11:$F$256,'G-2 Habitat groups'!A8,'A-2 On-Site Habitat Creation'!$G$11:$G$256)</f>
        <v>0.11599999999999999</v>
      </c>
      <c r="L8" s="346">
        <f>SUMIF('A-2 On-Site Habitat Creation'!$F$11:$F$256,'G-2 Habitat groups'!A8,'A-2 On-Site Habitat Creation'!$Y$11:$Y$256)</f>
        <v>0.22387999999999997</v>
      </c>
      <c r="M8" s="346">
        <f>SUMIF('A-3 On-Site Habitat Enhancement'!$S$12:$S$257,'G-2 Habitat groups'!A8,'A-3 On-Site Habitat Enhancement'!$V$12:$V$257)</f>
        <v>0</v>
      </c>
      <c r="N8" s="346">
        <f>SUMIF('A-3 On-Site Habitat Enhancement'!$S$12:$S$257,'G-2 Habitat groups'!A8,'A-3 On-Site Habitat Enhancement'!$AN$12:$AN$257)</f>
        <v>0</v>
      </c>
      <c r="O8" s="346">
        <f t="shared" si="0"/>
        <v>0.17499999999999999</v>
      </c>
      <c r="P8" s="346">
        <f t="shared" si="1"/>
        <v>0.34187999999999996</v>
      </c>
      <c r="Q8" s="346">
        <f t="shared" si="2"/>
        <v>-0.40799999999999997</v>
      </c>
      <c r="R8" s="346">
        <f t="shared" si="3"/>
        <v>-0.82411999999999996</v>
      </c>
      <c r="S8" s="346">
        <f>IF(C8="V.High",SUMIF('D-1 Off-Site Habitat Baseline'!$G$11:$G$258,'G-2 Habitat groups'!A8,'D-1 Off-Site Habitat Baseline'!$V$11:$V$258)+SUMIF('D-1 Off-Site Habitat Baseline'!$G$11:$G$258,'G-2 Habitat groups'!A8,'D-1 Off-Site Habitat Baseline'!$W$11:$W$258),SUMIF('D-1 Off-Site Habitat Baseline'!$G$11:$G$258,'G-2 Habitat groups'!A8,'D-1 Off-Site Habitat Baseline'!$H$11:$H$258))</f>
        <v>0</v>
      </c>
      <c r="T8" s="346">
        <f>SUMIF('D-1 Off-Site Habitat Baseline'!$G$11:$G$258,'G-2 Habitat groups'!A8,'D-1 Off-Site Habitat Baseline'!$T$11:$T$258)</f>
        <v>0</v>
      </c>
      <c r="U8" s="346">
        <f>SUMIF('D-1 Off-Site Habitat Baseline'!$G$11:$G$258,'G-2 Habitat groups'!A8,'D-1 Off-Site Habitat Baseline'!$V$11:$V$258)</f>
        <v>0</v>
      </c>
      <c r="V8" s="346">
        <f>SUMIF('D-1 Off-Site Habitat Baseline'!$G$11:$G$258,'G-2 Habitat groups'!A8,'D-1 Off-Site Habitat Baseline'!$X$11:$X$258)</f>
        <v>0</v>
      </c>
      <c r="W8" s="346">
        <f>SUMIF('D-2 Off-Site Habitat Creation'!$F$9:$F$255,'G-2 Habitat groups'!A8,'D-2 Off-Site Habitat Creation'!$G$9:$G$255)</f>
        <v>0</v>
      </c>
      <c r="X8" s="346">
        <f>SUMIF('D-2 Off-Site Habitat Creation'!$F$9:$F$255,'G-2 Habitat groups'!A8,'D-2 Off-Site Habitat Creation'!$AB$9:$AB$255)</f>
        <v>0</v>
      </c>
      <c r="Y8" s="346">
        <f>SUMIF('D-3 Off-Site Habitat Enhancment'!$S$12:$S$491,'G-2 Habitat groups'!A8,'D-3 Off-Site Habitat Enhancment'!$V$12:$V$491)</f>
        <v>0</v>
      </c>
      <c r="Z8" s="346">
        <f>SUMIF('D-3 Off-Site Habitat Enhancment'!$S$12:$S$491,'G-2 Habitat groups'!A8,'D-3 Off-Site Habitat Enhancment'!$AQ$12:$AQ$491)</f>
        <v>0</v>
      </c>
      <c r="AA8" s="346">
        <f t="shared" si="4"/>
        <v>0</v>
      </c>
      <c r="AB8" s="346">
        <f t="shared" si="13"/>
        <v>0</v>
      </c>
      <c r="AC8" s="346">
        <f t="shared" si="5"/>
        <v>0</v>
      </c>
      <c r="AD8" s="346">
        <f t="shared" si="14"/>
        <v>0</v>
      </c>
      <c r="AE8" s="346">
        <f t="shared" si="6"/>
        <v>-0.40799999999999997</v>
      </c>
      <c r="AF8" s="346">
        <f t="shared" si="15"/>
        <v>-0.82411999999999996</v>
      </c>
      <c r="AJ8" s="83" t="s">
        <v>128</v>
      </c>
      <c r="AK8" s="549">
        <f t="shared" si="7"/>
        <v>0</v>
      </c>
      <c r="AL8" s="549">
        <f t="shared" si="8"/>
        <v>0</v>
      </c>
      <c r="AM8" s="549">
        <f t="shared" si="9"/>
        <v>0</v>
      </c>
      <c r="AN8" s="549">
        <f t="shared" si="10"/>
        <v>0</v>
      </c>
      <c r="AO8" s="651">
        <f t="shared" si="11"/>
        <v>0</v>
      </c>
      <c r="AP8" s="651">
        <f t="shared" si="12"/>
        <v>0</v>
      </c>
      <c r="AU8" s="91" t="s">
        <v>591</v>
      </c>
      <c r="AV8" s="68" t="s">
        <v>126</v>
      </c>
      <c r="AW8" s="358">
        <f>VLOOKUP($AU8,AllHabsSummaryData,5,FALSE)</f>
        <v>0</v>
      </c>
      <c r="AX8" s="358">
        <f>VLOOKUP($AU8,AllHabsSummaryData,10,FALSE)</f>
        <v>0</v>
      </c>
      <c r="AY8" s="358">
        <f>VLOOKUP($AU8,AllHabsSummaryData,15,FALSE)</f>
        <v>0</v>
      </c>
      <c r="AZ8" s="358">
        <f>VLOOKUP($AU8,AllHabsSummaryData,16,FALSE)</f>
        <v>0</v>
      </c>
      <c r="BA8" s="358">
        <f>VLOOKUP($AU8,AllHabsSummaryData,17,FALSE)</f>
        <v>0</v>
      </c>
      <c r="BB8" s="358">
        <f>VLOOKUP($AU8,AllHabsSummaryData,18,FALSE)</f>
        <v>0</v>
      </c>
      <c r="BC8" s="358">
        <f>VLOOKUP($AU8,AllHabsSummaryData,27,FALSE)</f>
        <v>0</v>
      </c>
      <c r="BD8" s="358">
        <f>VLOOKUP($AU8,AllHabsSummaryData,30,FALSE)</f>
        <v>0</v>
      </c>
      <c r="BE8" s="358">
        <f>BB8+BD8</f>
        <v>0</v>
      </c>
      <c r="BF8" s="358" t="str">
        <f>IF(BE8&lt;0,BE8,"")</f>
        <v/>
      </c>
      <c r="BG8" s="438">
        <f t="shared" si="16"/>
        <v>0</v>
      </c>
    </row>
    <row r="9" spans="1:59" ht="14.65" customHeight="1">
      <c r="A9" s="79" t="str">
        <f>'G-1 All Habitats'!B8</f>
        <v>Cropland - Winter stubble</v>
      </c>
      <c r="B9" s="68" t="str">
        <f>'G-1 All Habitats'!F8</f>
        <v>Cropland</v>
      </c>
      <c r="C9" s="68" t="str">
        <f>'G-1 All Habitats'!K8</f>
        <v>Low</v>
      </c>
      <c r="D9" s="68" t="str">
        <f>'G-1 All Habitats'!M8</f>
        <v>Same distinctiveness or better habitat required ≥</v>
      </c>
      <c r="E9" s="346">
        <f>IF(C9="V.High",SUMIF('A-1 On-Site Habitat Baseline'!$G$11:$G$258,'G-2 Habitat groups'!A9,'A-1 On-Site Habitat Baseline'!$S$11:$S$258)+SUMIF('A-1 On-Site Habitat Baseline'!$G$11:$G$258,'G-2 Habitat groups'!A9,'A-1 On-Site Habitat Baseline'!$T$11:$T$258),SUMIF('A-1 On-Site Habitat Baseline'!$G$11:$G$258,'G-2 Habitat groups'!A9,'A-1 On-Site Habitat Baseline'!$H$11:$H$258))</f>
        <v>0</v>
      </c>
      <c r="F9" s="346">
        <f>SUMIF('A-1 On-Site Habitat Baseline'!$G$11:$G$258,'G-2 Habitat groups'!A9,'A-1 On-Site Habitat Baseline'!$Q$11:$Q$258)</f>
        <v>0</v>
      </c>
      <c r="G9" s="346">
        <f>SUMIF('A-1 On-Site Habitat Baseline'!$G$11:$G$258,'G-2 Habitat groups'!A9,'A-1 On-Site Habitat Baseline'!$S$11:$S$258)</f>
        <v>0</v>
      </c>
      <c r="H9" s="346">
        <f>SUMIF('A-1 On-Site Habitat Baseline'!$G$11:$G$258,'G-2 Habitat groups'!A9,'A-1 On-Site Habitat Baseline'!$U$11:$U$258)</f>
        <v>0</v>
      </c>
      <c r="I9" s="346">
        <f>SUMIF('A-1 On-Site Habitat Baseline'!$G$11:$G$258,'G-2 Habitat groups'!A9,'A-1 On-Site Habitat Baseline'!$W$11:$W$258)</f>
        <v>0</v>
      </c>
      <c r="J9" s="346">
        <f>SUMIF('A-1 On-Site Habitat Baseline'!$G$11:$G$258,'G-2 Habitat groups'!A9,'A-1 On-Site Habitat Baseline'!$X$11:$X$258)</f>
        <v>0</v>
      </c>
      <c r="K9" s="346">
        <f>SUMIF('A-2 On-Site Habitat Creation'!$F$11:$F$256,'G-2 Habitat groups'!A9,'A-2 On-Site Habitat Creation'!$G$11:$G$256)</f>
        <v>0</v>
      </c>
      <c r="L9" s="346">
        <f>SUMIF('A-2 On-Site Habitat Creation'!$F$11:$F$256,'G-2 Habitat groups'!A9,'A-2 On-Site Habitat Creation'!$Y$11:$Y$256)</f>
        <v>0</v>
      </c>
      <c r="M9" s="346">
        <f>SUMIF('A-3 On-Site Habitat Enhancement'!$S$12:$S$257,'G-2 Habitat groups'!A9,'A-3 On-Site Habitat Enhancement'!$V$12:$V$257)</f>
        <v>0</v>
      </c>
      <c r="N9" s="346">
        <f>SUMIF('A-3 On-Site Habitat Enhancement'!$S$12:$S$257,'G-2 Habitat groups'!A9,'A-3 On-Site Habitat Enhancement'!$AN$12:$AN$257)</f>
        <v>0</v>
      </c>
      <c r="O9" s="346">
        <f t="shared" si="0"/>
        <v>0</v>
      </c>
      <c r="P9" s="346">
        <f t="shared" si="1"/>
        <v>0</v>
      </c>
      <c r="Q9" s="346">
        <f t="shared" si="2"/>
        <v>0</v>
      </c>
      <c r="R9" s="346">
        <f t="shared" si="3"/>
        <v>0</v>
      </c>
      <c r="S9" s="346">
        <f>IF(C9="V.High",SUMIF('D-1 Off-Site Habitat Baseline'!$G$11:$G$258,'G-2 Habitat groups'!A9,'D-1 Off-Site Habitat Baseline'!$V$11:$V$258)+SUMIF('D-1 Off-Site Habitat Baseline'!$G$11:$G$258,'G-2 Habitat groups'!A9,'D-1 Off-Site Habitat Baseline'!$W$11:$W$258),SUMIF('D-1 Off-Site Habitat Baseline'!$G$11:$G$258,'G-2 Habitat groups'!A9,'D-1 Off-Site Habitat Baseline'!$H$11:$H$258))</f>
        <v>0</v>
      </c>
      <c r="T9" s="346">
        <f>SUMIF('D-1 Off-Site Habitat Baseline'!$G$11:$G$258,'G-2 Habitat groups'!A9,'D-1 Off-Site Habitat Baseline'!$T$11:$T$258)</f>
        <v>0</v>
      </c>
      <c r="U9" s="346">
        <f>SUMIF('D-1 Off-Site Habitat Baseline'!$G$11:$G$258,'G-2 Habitat groups'!A9,'D-1 Off-Site Habitat Baseline'!$V$11:$V$258)</f>
        <v>0</v>
      </c>
      <c r="V9" s="346">
        <f>SUMIF('D-1 Off-Site Habitat Baseline'!$G$11:$G$258,'G-2 Habitat groups'!A9,'D-1 Off-Site Habitat Baseline'!$X$11:$X$258)</f>
        <v>0</v>
      </c>
      <c r="W9" s="346">
        <f>SUMIF('D-2 Off-Site Habitat Creation'!$F$9:$F$255,'G-2 Habitat groups'!A9,'D-2 Off-Site Habitat Creation'!$G$9:$G$255)</f>
        <v>0</v>
      </c>
      <c r="X9" s="346">
        <f>SUMIF('D-2 Off-Site Habitat Creation'!$F$9:$F$255,'G-2 Habitat groups'!A9,'D-2 Off-Site Habitat Creation'!$AB$9:$AB$255)</f>
        <v>0</v>
      </c>
      <c r="Y9" s="346">
        <f>SUMIF('D-3 Off-Site Habitat Enhancment'!$S$12:$S$491,'G-2 Habitat groups'!A9,'D-3 Off-Site Habitat Enhancment'!$V$12:$V$491)</f>
        <v>0</v>
      </c>
      <c r="Z9" s="346">
        <f>SUMIF('D-3 Off-Site Habitat Enhancment'!$S$12:$S$491,'G-2 Habitat groups'!A9,'D-3 Off-Site Habitat Enhancment'!$AQ$12:$AQ$491)</f>
        <v>0</v>
      </c>
      <c r="AA9" s="346">
        <f t="shared" si="4"/>
        <v>0</v>
      </c>
      <c r="AB9" s="346">
        <f t="shared" si="13"/>
        <v>0</v>
      </c>
      <c r="AC9" s="346">
        <f t="shared" si="5"/>
        <v>0</v>
      </c>
      <c r="AD9" s="346">
        <f t="shared" si="14"/>
        <v>0</v>
      </c>
      <c r="AE9" s="346">
        <f t="shared" si="6"/>
        <v>0</v>
      </c>
      <c r="AF9" s="346">
        <f t="shared" si="15"/>
        <v>0</v>
      </c>
      <c r="AJ9" s="82" t="s">
        <v>129</v>
      </c>
      <c r="AK9" s="549">
        <f>SUMIF($B:$B,$AJ9,E:E)</f>
        <v>0.51300000000000001</v>
      </c>
      <c r="AL9" s="549">
        <f t="shared" si="8"/>
        <v>0</v>
      </c>
      <c r="AM9" s="549">
        <f t="shared" si="9"/>
        <v>1.3779999999999999</v>
      </c>
      <c r="AN9" s="549">
        <f t="shared" si="10"/>
        <v>0</v>
      </c>
      <c r="AO9" s="651">
        <f t="shared" si="11"/>
        <v>0.86499999999999988</v>
      </c>
      <c r="AP9" s="651">
        <f t="shared" si="12"/>
        <v>0</v>
      </c>
      <c r="AU9" s="91" t="s">
        <v>613</v>
      </c>
      <c r="AV9" s="68" t="s">
        <v>127</v>
      </c>
      <c r="AW9" s="358">
        <f t="shared" ref="AW9:AW24" si="17">VLOOKUP($AU9,AllHabsSummaryData,5,FALSE)</f>
        <v>0</v>
      </c>
      <c r="AX9" s="358">
        <f t="shared" ref="AX9:AX24" si="18">VLOOKUP($AU9,AllHabsSummaryData,10,FALSE)</f>
        <v>0</v>
      </c>
      <c r="AY9" s="358">
        <f t="shared" ref="AY9:AY24" si="19">VLOOKUP($AU9,AllHabsSummaryData,15,FALSE)</f>
        <v>0</v>
      </c>
      <c r="AZ9" s="358">
        <f t="shared" ref="AZ9:AZ24" si="20">VLOOKUP($AU9,AllHabsSummaryData,16,FALSE)</f>
        <v>0</v>
      </c>
      <c r="BA9" s="358">
        <f t="shared" ref="BA9:BA24" si="21">VLOOKUP($AU9,AllHabsSummaryData,17,FALSE)</f>
        <v>0</v>
      </c>
      <c r="BB9" s="358">
        <f t="shared" ref="BB9:BB24" si="22">VLOOKUP($AU9,AllHabsSummaryData,18,FALSE)</f>
        <v>0</v>
      </c>
      <c r="BC9" s="358">
        <f t="shared" ref="BC9:BC24" si="23">VLOOKUP($AU9,AllHabsSummaryData,27,FALSE)</f>
        <v>0</v>
      </c>
      <c r="BD9" s="358">
        <f t="shared" ref="BD9:BD24" si="24">VLOOKUP($AU9,AllHabsSummaryData,30,FALSE)</f>
        <v>0</v>
      </c>
      <c r="BE9" s="358">
        <f t="shared" ref="BE9:BE24" si="25">BB9+BD9</f>
        <v>0</v>
      </c>
      <c r="BF9" s="358" t="str">
        <f t="shared" ref="BF9:BF24" si="26">IF(BE9&lt;0,BE9,"")</f>
        <v/>
      </c>
      <c r="BG9" s="438">
        <f t="shared" si="16"/>
        <v>0</v>
      </c>
    </row>
    <row r="10" spans="1:59" ht="15" customHeight="1">
      <c r="A10" s="79" t="str">
        <f>'G-1 All Habitats'!B9</f>
        <v>Cropland - Horticulture</v>
      </c>
      <c r="B10" s="68" t="str">
        <f>'G-1 All Habitats'!F9</f>
        <v>Cropland</v>
      </c>
      <c r="C10" s="68" t="str">
        <f>'G-1 All Habitats'!K9</f>
        <v>Low</v>
      </c>
      <c r="D10" s="68" t="str">
        <f>'G-1 All Habitats'!M9</f>
        <v>Same distinctiveness or better habitat required ≥</v>
      </c>
      <c r="E10" s="346">
        <f>IF(C10="V.High",SUMIF('A-1 On-Site Habitat Baseline'!$G$11:$G$258,'G-2 Habitat groups'!A10,'A-1 On-Site Habitat Baseline'!$S$11:$S$258)+SUMIF('A-1 On-Site Habitat Baseline'!$G$11:$G$258,'G-2 Habitat groups'!A10,'A-1 On-Site Habitat Baseline'!$T$11:$T$258),SUMIF('A-1 On-Site Habitat Baseline'!$G$11:$G$258,'G-2 Habitat groups'!A10,'A-1 On-Site Habitat Baseline'!$H$11:$H$258))</f>
        <v>0</v>
      </c>
      <c r="F10" s="346">
        <f>SUMIF('A-1 On-Site Habitat Baseline'!$G$11:$G$258,'G-2 Habitat groups'!A10,'A-1 On-Site Habitat Baseline'!$Q$11:$Q$258)</f>
        <v>0</v>
      </c>
      <c r="G10" s="346">
        <f>SUMIF('A-1 On-Site Habitat Baseline'!$G$11:$G$258,'G-2 Habitat groups'!A10,'A-1 On-Site Habitat Baseline'!$S$11:$S$258)</f>
        <v>0</v>
      </c>
      <c r="H10" s="346">
        <f>SUMIF('A-1 On-Site Habitat Baseline'!$G$11:$G$258,'G-2 Habitat groups'!A10,'A-1 On-Site Habitat Baseline'!$U$11:$U$258)</f>
        <v>0</v>
      </c>
      <c r="I10" s="346">
        <f>SUMIF('A-1 On-Site Habitat Baseline'!$G$11:$G$258,'G-2 Habitat groups'!A10,'A-1 On-Site Habitat Baseline'!$W$11:$W$258)</f>
        <v>0</v>
      </c>
      <c r="J10" s="346">
        <f>SUMIF('A-1 On-Site Habitat Baseline'!$G$11:$G$258,'G-2 Habitat groups'!A10,'A-1 On-Site Habitat Baseline'!$X$11:$X$258)</f>
        <v>0</v>
      </c>
      <c r="K10" s="346">
        <f>SUMIF('A-2 On-Site Habitat Creation'!$F$11:$F$256,'G-2 Habitat groups'!A10,'A-2 On-Site Habitat Creation'!$G$11:$G$256)</f>
        <v>0</v>
      </c>
      <c r="L10" s="346">
        <f>SUMIF('A-2 On-Site Habitat Creation'!$F$11:$F$256,'G-2 Habitat groups'!A10,'A-2 On-Site Habitat Creation'!$Y$11:$Y$256)</f>
        <v>0</v>
      </c>
      <c r="M10" s="346">
        <f>SUMIF('A-3 On-Site Habitat Enhancement'!$S$12:$S$257,'G-2 Habitat groups'!A10,'A-3 On-Site Habitat Enhancement'!$V$12:$V$257)</f>
        <v>0</v>
      </c>
      <c r="N10" s="346">
        <f>SUMIF('A-3 On-Site Habitat Enhancement'!$S$12:$S$257,'G-2 Habitat groups'!A10,'A-3 On-Site Habitat Enhancement'!$AN$12:$AN$257)</f>
        <v>0</v>
      </c>
      <c r="O10" s="346">
        <f t="shared" si="0"/>
        <v>0</v>
      </c>
      <c r="P10" s="346">
        <f t="shared" si="1"/>
        <v>0</v>
      </c>
      <c r="Q10" s="346">
        <f t="shared" si="2"/>
        <v>0</v>
      </c>
      <c r="R10" s="346">
        <f t="shared" si="3"/>
        <v>0</v>
      </c>
      <c r="S10" s="346">
        <f>IF(C10="V.High",SUMIF('D-1 Off-Site Habitat Baseline'!$G$11:$G$258,'G-2 Habitat groups'!A10,'D-1 Off-Site Habitat Baseline'!$V$11:$V$258)+SUMIF('D-1 Off-Site Habitat Baseline'!$G$11:$G$258,'G-2 Habitat groups'!A10,'D-1 Off-Site Habitat Baseline'!$W$11:$W$258),SUMIF('D-1 Off-Site Habitat Baseline'!$G$11:$G$258,'G-2 Habitat groups'!A10,'D-1 Off-Site Habitat Baseline'!$H$11:$H$258))</f>
        <v>0</v>
      </c>
      <c r="T10" s="346">
        <f>SUMIF('D-1 Off-Site Habitat Baseline'!$G$11:$G$258,'G-2 Habitat groups'!A10,'D-1 Off-Site Habitat Baseline'!$T$11:$T$258)</f>
        <v>0</v>
      </c>
      <c r="U10" s="346">
        <f>SUMIF('D-1 Off-Site Habitat Baseline'!$G$11:$G$258,'G-2 Habitat groups'!A10,'D-1 Off-Site Habitat Baseline'!$V$11:$V$258)</f>
        <v>0</v>
      </c>
      <c r="V10" s="346">
        <f>SUMIF('D-1 Off-Site Habitat Baseline'!$G$11:$G$258,'G-2 Habitat groups'!A10,'D-1 Off-Site Habitat Baseline'!$X$11:$X$258)</f>
        <v>0</v>
      </c>
      <c r="W10" s="346">
        <f>SUMIF('D-2 Off-Site Habitat Creation'!$F$9:$F$255,'G-2 Habitat groups'!A10,'D-2 Off-Site Habitat Creation'!$G$9:$G$255)</f>
        <v>0</v>
      </c>
      <c r="X10" s="346">
        <f>SUMIF('D-2 Off-Site Habitat Creation'!$F$9:$F$255,'G-2 Habitat groups'!A10,'D-2 Off-Site Habitat Creation'!$AB$9:$AB$255)</f>
        <v>0</v>
      </c>
      <c r="Y10" s="346">
        <f>SUMIF('D-3 Off-Site Habitat Enhancment'!$S$12:$S$491,'G-2 Habitat groups'!A10,'D-3 Off-Site Habitat Enhancment'!$V$12:$V$491)</f>
        <v>0</v>
      </c>
      <c r="Z10" s="346">
        <f>SUMIF('D-3 Off-Site Habitat Enhancment'!$S$12:$S$491,'G-2 Habitat groups'!A10,'D-3 Off-Site Habitat Enhancment'!$AQ$12:$AQ$491)</f>
        <v>0</v>
      </c>
      <c r="AA10" s="346">
        <f t="shared" si="4"/>
        <v>0</v>
      </c>
      <c r="AB10" s="346">
        <f t="shared" si="13"/>
        <v>0</v>
      </c>
      <c r="AC10" s="346">
        <f t="shared" si="5"/>
        <v>0</v>
      </c>
      <c r="AD10" s="346">
        <f t="shared" si="14"/>
        <v>0</v>
      </c>
      <c r="AE10" s="346">
        <f t="shared" si="6"/>
        <v>0</v>
      </c>
      <c r="AF10" s="346">
        <f t="shared" si="15"/>
        <v>0</v>
      </c>
      <c r="AJ10" s="82" t="s">
        <v>130</v>
      </c>
      <c r="AK10" s="549">
        <f t="shared" si="7"/>
        <v>0</v>
      </c>
      <c r="AL10" s="549">
        <f t="shared" si="8"/>
        <v>0</v>
      </c>
      <c r="AM10" s="549">
        <f t="shared" si="9"/>
        <v>0</v>
      </c>
      <c r="AN10" s="549">
        <f t="shared" si="10"/>
        <v>0</v>
      </c>
      <c r="AO10" s="651">
        <f t="shared" si="11"/>
        <v>0</v>
      </c>
      <c r="AP10" s="651">
        <f t="shared" si="12"/>
        <v>0</v>
      </c>
      <c r="AU10" s="91" t="s">
        <v>649</v>
      </c>
      <c r="AV10" s="68" t="s">
        <v>128</v>
      </c>
      <c r="AW10" s="358">
        <f t="shared" si="17"/>
        <v>0</v>
      </c>
      <c r="AX10" s="358">
        <f t="shared" si="18"/>
        <v>0</v>
      </c>
      <c r="AY10" s="358">
        <f t="shared" si="19"/>
        <v>0</v>
      </c>
      <c r="AZ10" s="358">
        <f t="shared" si="20"/>
        <v>0</v>
      </c>
      <c r="BA10" s="358">
        <f t="shared" si="21"/>
        <v>0</v>
      </c>
      <c r="BB10" s="358">
        <f t="shared" si="22"/>
        <v>0</v>
      </c>
      <c r="BC10" s="358">
        <f t="shared" si="23"/>
        <v>0</v>
      </c>
      <c r="BD10" s="358">
        <f t="shared" si="24"/>
        <v>0</v>
      </c>
      <c r="BE10" s="358">
        <f t="shared" si="25"/>
        <v>0</v>
      </c>
      <c r="BF10" s="358" t="str">
        <f t="shared" si="26"/>
        <v/>
      </c>
      <c r="BG10" s="438">
        <f t="shared" si="16"/>
        <v>0</v>
      </c>
    </row>
    <row r="11" spans="1:59" ht="14.65" customHeight="1">
      <c r="A11" s="79" t="str">
        <f>'G-1 All Habitats'!B10</f>
        <v>Cropland - Intensive orchards</v>
      </c>
      <c r="B11" s="68" t="str">
        <f>'G-1 All Habitats'!F10</f>
        <v>Cropland</v>
      </c>
      <c r="C11" s="68" t="str">
        <f>'G-1 All Habitats'!K10</f>
        <v>Low</v>
      </c>
      <c r="D11" s="68" t="str">
        <f>'G-1 All Habitats'!M10</f>
        <v>Same distinctiveness or better habitat required ≥</v>
      </c>
      <c r="E11" s="346">
        <f>IF(C11="V.High",SUMIF('A-1 On-Site Habitat Baseline'!$G$11:$G$258,'G-2 Habitat groups'!A11,'A-1 On-Site Habitat Baseline'!$S$11:$S$258)+SUMIF('A-1 On-Site Habitat Baseline'!$G$11:$G$258,'G-2 Habitat groups'!A11,'A-1 On-Site Habitat Baseline'!$T$11:$T$258),SUMIF('A-1 On-Site Habitat Baseline'!$G$11:$G$258,'G-2 Habitat groups'!A11,'A-1 On-Site Habitat Baseline'!$H$11:$H$258))</f>
        <v>0</v>
      </c>
      <c r="F11" s="346">
        <f>SUMIF('A-1 On-Site Habitat Baseline'!$G$11:$G$258,'G-2 Habitat groups'!A11,'A-1 On-Site Habitat Baseline'!$Q$11:$Q$258)</f>
        <v>0</v>
      </c>
      <c r="G11" s="346">
        <f>SUMIF('A-1 On-Site Habitat Baseline'!$G$11:$G$258,'G-2 Habitat groups'!A11,'A-1 On-Site Habitat Baseline'!$S$11:$S$258)</f>
        <v>0</v>
      </c>
      <c r="H11" s="346">
        <f>SUMIF('A-1 On-Site Habitat Baseline'!$G$11:$G$258,'G-2 Habitat groups'!A11,'A-1 On-Site Habitat Baseline'!$U$11:$U$258)</f>
        <v>0</v>
      </c>
      <c r="I11" s="346">
        <f>SUMIF('A-1 On-Site Habitat Baseline'!$G$11:$G$258,'G-2 Habitat groups'!A11,'A-1 On-Site Habitat Baseline'!$W$11:$W$258)</f>
        <v>0</v>
      </c>
      <c r="J11" s="346">
        <f>SUMIF('A-1 On-Site Habitat Baseline'!$G$11:$G$258,'G-2 Habitat groups'!A11,'A-1 On-Site Habitat Baseline'!$X$11:$X$258)</f>
        <v>0</v>
      </c>
      <c r="K11" s="346">
        <f>SUMIF('A-2 On-Site Habitat Creation'!$F$11:$F$256,'G-2 Habitat groups'!A11,'A-2 On-Site Habitat Creation'!$G$11:$G$256)</f>
        <v>0</v>
      </c>
      <c r="L11" s="346">
        <f>SUMIF('A-2 On-Site Habitat Creation'!$F$11:$F$256,'G-2 Habitat groups'!A11,'A-2 On-Site Habitat Creation'!$Y$11:$Y$256)</f>
        <v>0</v>
      </c>
      <c r="M11" s="346">
        <f>SUMIF('A-3 On-Site Habitat Enhancement'!$S$12:$S$257,'G-2 Habitat groups'!A11,'A-3 On-Site Habitat Enhancement'!$V$12:$V$257)</f>
        <v>0</v>
      </c>
      <c r="N11" s="346">
        <f>SUMIF('A-3 On-Site Habitat Enhancement'!$S$12:$S$257,'G-2 Habitat groups'!A11,'A-3 On-Site Habitat Enhancement'!$AN$12:$AN$257)</f>
        <v>0</v>
      </c>
      <c r="O11" s="346">
        <f t="shared" si="0"/>
        <v>0</v>
      </c>
      <c r="P11" s="346">
        <f t="shared" si="1"/>
        <v>0</v>
      </c>
      <c r="Q11" s="346">
        <f t="shared" si="2"/>
        <v>0</v>
      </c>
      <c r="R11" s="346">
        <f t="shared" si="3"/>
        <v>0</v>
      </c>
      <c r="S11" s="346">
        <f>IF(C11="V.High",SUMIF('D-1 Off-Site Habitat Baseline'!$G$11:$G$258,'G-2 Habitat groups'!A11,'D-1 Off-Site Habitat Baseline'!$V$11:$V$258)+SUMIF('D-1 Off-Site Habitat Baseline'!$G$11:$G$258,'G-2 Habitat groups'!A11,'D-1 Off-Site Habitat Baseline'!$W$11:$W$258),SUMIF('D-1 Off-Site Habitat Baseline'!$G$11:$G$258,'G-2 Habitat groups'!A11,'D-1 Off-Site Habitat Baseline'!$H$11:$H$258))</f>
        <v>0</v>
      </c>
      <c r="T11" s="346">
        <f>SUMIF('D-1 Off-Site Habitat Baseline'!$G$11:$G$258,'G-2 Habitat groups'!A11,'D-1 Off-Site Habitat Baseline'!$T$11:$T$258)</f>
        <v>0</v>
      </c>
      <c r="U11" s="346">
        <f>SUMIF('D-1 Off-Site Habitat Baseline'!$G$11:$G$258,'G-2 Habitat groups'!A11,'D-1 Off-Site Habitat Baseline'!$V$11:$V$258)</f>
        <v>0</v>
      </c>
      <c r="V11" s="346">
        <f>SUMIF('D-1 Off-Site Habitat Baseline'!$G$11:$G$258,'G-2 Habitat groups'!A11,'D-1 Off-Site Habitat Baseline'!$X$11:$X$258)</f>
        <v>0</v>
      </c>
      <c r="W11" s="346">
        <f>SUMIF('D-2 Off-Site Habitat Creation'!$F$9:$F$255,'G-2 Habitat groups'!A11,'D-2 Off-Site Habitat Creation'!$G$9:$G$255)</f>
        <v>0</v>
      </c>
      <c r="X11" s="346">
        <f>SUMIF('D-2 Off-Site Habitat Creation'!$F$9:$F$255,'G-2 Habitat groups'!A11,'D-2 Off-Site Habitat Creation'!$AB$9:$AB$255)</f>
        <v>0</v>
      </c>
      <c r="Y11" s="346">
        <f>SUMIF('D-3 Off-Site Habitat Enhancment'!$S$12:$S$491,'G-2 Habitat groups'!A11,'D-3 Off-Site Habitat Enhancment'!$V$12:$V$491)</f>
        <v>0</v>
      </c>
      <c r="Z11" s="346">
        <f>SUMIF('D-3 Off-Site Habitat Enhancment'!$S$12:$S$491,'G-2 Habitat groups'!A11,'D-3 Off-Site Habitat Enhancment'!$AQ$12:$AQ$491)</f>
        <v>0</v>
      </c>
      <c r="AA11" s="346">
        <f t="shared" si="4"/>
        <v>0</v>
      </c>
      <c r="AB11" s="346">
        <f t="shared" si="13"/>
        <v>0</v>
      </c>
      <c r="AC11" s="346">
        <f t="shared" si="5"/>
        <v>0</v>
      </c>
      <c r="AD11" s="346">
        <f t="shared" si="14"/>
        <v>0</v>
      </c>
      <c r="AE11" s="346">
        <f t="shared" si="6"/>
        <v>0</v>
      </c>
      <c r="AF11" s="346">
        <f t="shared" si="15"/>
        <v>0</v>
      </c>
      <c r="AJ11" s="84" t="s">
        <v>131</v>
      </c>
      <c r="AK11" s="549">
        <f t="shared" si="7"/>
        <v>0.32500000000000001</v>
      </c>
      <c r="AL11" s="549">
        <f t="shared" si="8"/>
        <v>2.6</v>
      </c>
      <c r="AM11" s="549">
        <f t="shared" si="9"/>
        <v>1.5860000000000001</v>
      </c>
      <c r="AN11" s="549">
        <f t="shared" si="10"/>
        <v>8.5117324898840021</v>
      </c>
      <c r="AO11" s="651">
        <f t="shared" si="11"/>
        <v>1.2610000000000001</v>
      </c>
      <c r="AP11" s="651">
        <f t="shared" si="12"/>
        <v>5.9117324898840025</v>
      </c>
      <c r="AU11" s="91" t="s">
        <v>671</v>
      </c>
      <c r="AV11" s="68" t="s">
        <v>128</v>
      </c>
      <c r="AW11" s="358">
        <f t="shared" si="17"/>
        <v>0</v>
      </c>
      <c r="AX11" s="358">
        <f t="shared" si="18"/>
        <v>0</v>
      </c>
      <c r="AY11" s="358">
        <f t="shared" si="19"/>
        <v>0</v>
      </c>
      <c r="AZ11" s="358">
        <f t="shared" si="20"/>
        <v>0</v>
      </c>
      <c r="BA11" s="358">
        <f t="shared" si="21"/>
        <v>0</v>
      </c>
      <c r="BB11" s="358">
        <f t="shared" si="22"/>
        <v>0</v>
      </c>
      <c r="BC11" s="358">
        <f t="shared" si="23"/>
        <v>0</v>
      </c>
      <c r="BD11" s="358">
        <f t="shared" si="24"/>
        <v>0</v>
      </c>
      <c r="BE11" s="358">
        <f t="shared" si="25"/>
        <v>0</v>
      </c>
      <c r="BF11" s="358" t="str">
        <f t="shared" si="26"/>
        <v/>
      </c>
      <c r="BG11" s="438">
        <f t="shared" si="16"/>
        <v>0</v>
      </c>
    </row>
    <row r="12" spans="1:59" ht="14.65" customHeight="1">
      <c r="A12" s="79" t="str">
        <f>'G-1 All Habitats'!B11</f>
        <v>Cropland - Non-cereal crops</v>
      </c>
      <c r="B12" s="68" t="str">
        <f>'G-1 All Habitats'!F11</f>
        <v>Cropland</v>
      </c>
      <c r="C12" s="68" t="str">
        <f>'G-1 All Habitats'!K11</f>
        <v>Low</v>
      </c>
      <c r="D12" s="68" t="str">
        <f>'G-1 All Habitats'!M11</f>
        <v>Same distinctiveness or better habitat required ≥</v>
      </c>
      <c r="E12" s="346">
        <f>IF(C12="V.High",SUMIF('A-1 On-Site Habitat Baseline'!$G$11:$G$258,'G-2 Habitat groups'!A12,'A-1 On-Site Habitat Baseline'!$S$11:$S$258)+SUMIF('A-1 On-Site Habitat Baseline'!$G$11:$G$258,'G-2 Habitat groups'!A12,'A-1 On-Site Habitat Baseline'!$T$11:$T$258),SUMIF('A-1 On-Site Habitat Baseline'!$G$11:$G$258,'G-2 Habitat groups'!A12,'A-1 On-Site Habitat Baseline'!$H$11:$H$258))</f>
        <v>15.690000000000001</v>
      </c>
      <c r="F12" s="346">
        <f>SUMIF('A-1 On-Site Habitat Baseline'!$G$11:$G$258,'G-2 Habitat groups'!A12,'A-1 On-Site Habitat Baseline'!$Q$11:$Q$258)</f>
        <v>31.380000000000003</v>
      </c>
      <c r="G12" s="346">
        <f>SUMIF('A-1 On-Site Habitat Baseline'!$G$11:$G$258,'G-2 Habitat groups'!A12,'A-1 On-Site Habitat Baseline'!$S$11:$S$258)</f>
        <v>0</v>
      </c>
      <c r="H12" s="346">
        <f>SUMIF('A-1 On-Site Habitat Baseline'!$G$11:$G$258,'G-2 Habitat groups'!A12,'A-1 On-Site Habitat Baseline'!$U$11:$U$258)</f>
        <v>0</v>
      </c>
      <c r="I12" s="346">
        <f>SUMIF('A-1 On-Site Habitat Baseline'!$G$11:$G$258,'G-2 Habitat groups'!A12,'A-1 On-Site Habitat Baseline'!$W$11:$W$258)</f>
        <v>15.690000000000001</v>
      </c>
      <c r="J12" s="346">
        <f>SUMIF('A-1 On-Site Habitat Baseline'!$G$11:$G$258,'G-2 Habitat groups'!A12,'A-1 On-Site Habitat Baseline'!$X$11:$X$258)</f>
        <v>31.380000000000003</v>
      </c>
      <c r="K12" s="346">
        <f>SUMIF('A-2 On-Site Habitat Creation'!$F$11:$F$256,'G-2 Habitat groups'!A12,'A-2 On-Site Habitat Creation'!$G$11:$G$256)</f>
        <v>0</v>
      </c>
      <c r="L12" s="346">
        <f>SUMIF('A-2 On-Site Habitat Creation'!$F$11:$F$256,'G-2 Habitat groups'!A12,'A-2 On-Site Habitat Creation'!$Y$11:$Y$256)</f>
        <v>0</v>
      </c>
      <c r="M12" s="346">
        <f>SUMIF('A-3 On-Site Habitat Enhancement'!$S$12:$S$257,'G-2 Habitat groups'!A12,'A-3 On-Site Habitat Enhancement'!$V$12:$V$257)</f>
        <v>0</v>
      </c>
      <c r="N12" s="346">
        <f>SUMIF('A-3 On-Site Habitat Enhancement'!$S$12:$S$257,'G-2 Habitat groups'!A12,'A-3 On-Site Habitat Enhancement'!$AN$12:$AN$257)</f>
        <v>0</v>
      </c>
      <c r="O12" s="346">
        <f t="shared" si="0"/>
        <v>0</v>
      </c>
      <c r="P12" s="346">
        <f t="shared" si="1"/>
        <v>0</v>
      </c>
      <c r="Q12" s="346">
        <f t="shared" si="2"/>
        <v>-15.690000000000001</v>
      </c>
      <c r="R12" s="346">
        <f t="shared" si="3"/>
        <v>-31.380000000000003</v>
      </c>
      <c r="S12" s="346">
        <f>IF(C12="V.High",SUMIF('D-1 Off-Site Habitat Baseline'!$G$11:$G$258,'G-2 Habitat groups'!A12,'D-1 Off-Site Habitat Baseline'!$V$11:$V$258)+SUMIF('D-1 Off-Site Habitat Baseline'!$G$11:$G$258,'G-2 Habitat groups'!A12,'D-1 Off-Site Habitat Baseline'!$W$11:$W$258),SUMIF('D-1 Off-Site Habitat Baseline'!$G$11:$G$258,'G-2 Habitat groups'!A12,'D-1 Off-Site Habitat Baseline'!$H$11:$H$258))</f>
        <v>0</v>
      </c>
      <c r="T12" s="346">
        <f>SUMIF('D-1 Off-Site Habitat Baseline'!$G$11:$G$258,'G-2 Habitat groups'!A12,'D-1 Off-Site Habitat Baseline'!$T$11:$T$258)</f>
        <v>0</v>
      </c>
      <c r="U12" s="346">
        <f>SUMIF('D-1 Off-Site Habitat Baseline'!$G$11:$G$258,'G-2 Habitat groups'!A12,'D-1 Off-Site Habitat Baseline'!$V$11:$V$258)</f>
        <v>0</v>
      </c>
      <c r="V12" s="346">
        <f>SUMIF('D-1 Off-Site Habitat Baseline'!$G$11:$G$258,'G-2 Habitat groups'!A12,'D-1 Off-Site Habitat Baseline'!$X$11:$X$258)</f>
        <v>0</v>
      </c>
      <c r="W12" s="346">
        <f>SUMIF('D-2 Off-Site Habitat Creation'!$F$9:$F$255,'G-2 Habitat groups'!A12,'D-2 Off-Site Habitat Creation'!$G$9:$G$255)</f>
        <v>0</v>
      </c>
      <c r="X12" s="346">
        <f>SUMIF('D-2 Off-Site Habitat Creation'!$F$9:$F$255,'G-2 Habitat groups'!A12,'D-2 Off-Site Habitat Creation'!$AB$9:$AB$255)</f>
        <v>0</v>
      </c>
      <c r="Y12" s="346">
        <f>SUMIF('D-3 Off-Site Habitat Enhancment'!$S$12:$S$491,'G-2 Habitat groups'!A12,'D-3 Off-Site Habitat Enhancment'!$V$12:$V$491)</f>
        <v>0</v>
      </c>
      <c r="Z12" s="346">
        <f>SUMIF('D-3 Off-Site Habitat Enhancment'!$S$12:$S$491,'G-2 Habitat groups'!A12,'D-3 Off-Site Habitat Enhancment'!$AQ$12:$AQ$491)</f>
        <v>0</v>
      </c>
      <c r="AA12" s="346">
        <f t="shared" si="4"/>
        <v>0</v>
      </c>
      <c r="AB12" s="346">
        <f t="shared" si="13"/>
        <v>0</v>
      </c>
      <c r="AC12" s="346">
        <f t="shared" si="5"/>
        <v>0</v>
      </c>
      <c r="AD12" s="346">
        <f t="shared" si="14"/>
        <v>0</v>
      </c>
      <c r="AE12" s="346">
        <f t="shared" si="6"/>
        <v>-15.690000000000001</v>
      </c>
      <c r="AF12" s="346">
        <f t="shared" si="15"/>
        <v>-31.380000000000003</v>
      </c>
      <c r="AJ12" s="84" t="s">
        <v>132</v>
      </c>
      <c r="AK12" s="549">
        <f t="shared" si="7"/>
        <v>0</v>
      </c>
      <c r="AL12" s="549">
        <f t="shared" si="8"/>
        <v>0</v>
      </c>
      <c r="AM12" s="549">
        <f t="shared" si="9"/>
        <v>0</v>
      </c>
      <c r="AN12" s="549">
        <f t="shared" si="10"/>
        <v>0</v>
      </c>
      <c r="AO12" s="651">
        <f t="shared" si="11"/>
        <v>0</v>
      </c>
      <c r="AP12" s="651">
        <f t="shared" si="12"/>
        <v>0</v>
      </c>
      <c r="AU12" s="91" t="s">
        <v>747</v>
      </c>
      <c r="AV12" s="68" t="s">
        <v>130</v>
      </c>
      <c r="AW12" s="358">
        <f t="shared" si="17"/>
        <v>0</v>
      </c>
      <c r="AX12" s="358">
        <f t="shared" si="18"/>
        <v>0</v>
      </c>
      <c r="AY12" s="358">
        <f t="shared" si="19"/>
        <v>0</v>
      </c>
      <c r="AZ12" s="358">
        <f t="shared" si="20"/>
        <v>0</v>
      </c>
      <c r="BA12" s="358">
        <f t="shared" si="21"/>
        <v>0</v>
      </c>
      <c r="BB12" s="358">
        <f t="shared" si="22"/>
        <v>0</v>
      </c>
      <c r="BC12" s="358">
        <f t="shared" si="23"/>
        <v>0</v>
      </c>
      <c r="BD12" s="358">
        <f t="shared" si="24"/>
        <v>0</v>
      </c>
      <c r="BE12" s="358">
        <f t="shared" si="25"/>
        <v>0</v>
      </c>
      <c r="BF12" s="358" t="str">
        <f t="shared" si="26"/>
        <v/>
      </c>
      <c r="BG12" s="438">
        <f t="shared" si="16"/>
        <v>0</v>
      </c>
    </row>
    <row r="13" spans="1:59" ht="14.65" customHeight="1">
      <c r="A13" s="79" t="str">
        <f>'G-1 All Habitats'!B12</f>
        <v>Cropland - Temporary grass and clover leys</v>
      </c>
      <c r="B13" s="68" t="str">
        <f>'G-1 All Habitats'!F12</f>
        <v>Cropland</v>
      </c>
      <c r="C13" s="68" t="str">
        <f>'G-1 All Habitats'!K12</f>
        <v>Low</v>
      </c>
      <c r="D13" s="68" t="str">
        <f>'G-1 All Habitats'!M12</f>
        <v>Same distinctiveness or better habitat required ≥</v>
      </c>
      <c r="E13" s="346">
        <f>IF(C13="V.High",SUMIF('A-1 On-Site Habitat Baseline'!$G$11:$G$258,'G-2 Habitat groups'!A13,'A-1 On-Site Habitat Baseline'!$S$11:$S$258)+SUMIF('A-1 On-Site Habitat Baseline'!$G$11:$G$258,'G-2 Habitat groups'!A13,'A-1 On-Site Habitat Baseline'!$T$11:$T$258),SUMIF('A-1 On-Site Habitat Baseline'!$G$11:$G$258,'G-2 Habitat groups'!A13,'A-1 On-Site Habitat Baseline'!$H$11:$H$258))</f>
        <v>0</v>
      </c>
      <c r="F13" s="346">
        <f>SUMIF('A-1 On-Site Habitat Baseline'!$G$11:$G$258,'G-2 Habitat groups'!A13,'A-1 On-Site Habitat Baseline'!$Q$11:$Q$258)</f>
        <v>0</v>
      </c>
      <c r="G13" s="346">
        <f>SUMIF('A-1 On-Site Habitat Baseline'!$G$11:$G$258,'G-2 Habitat groups'!A13,'A-1 On-Site Habitat Baseline'!$S$11:$S$258)</f>
        <v>0</v>
      </c>
      <c r="H13" s="346">
        <f>SUMIF('A-1 On-Site Habitat Baseline'!$G$11:$G$258,'G-2 Habitat groups'!A13,'A-1 On-Site Habitat Baseline'!$U$11:$U$258)</f>
        <v>0</v>
      </c>
      <c r="I13" s="346">
        <f>SUMIF('A-1 On-Site Habitat Baseline'!$G$11:$G$258,'G-2 Habitat groups'!A13,'A-1 On-Site Habitat Baseline'!$W$11:$W$258)</f>
        <v>0</v>
      </c>
      <c r="J13" s="346">
        <f>SUMIF('A-1 On-Site Habitat Baseline'!$G$11:$G$258,'G-2 Habitat groups'!A13,'A-1 On-Site Habitat Baseline'!$X$11:$X$258)</f>
        <v>0</v>
      </c>
      <c r="K13" s="346">
        <f>SUMIF('A-2 On-Site Habitat Creation'!$F$11:$F$256,'G-2 Habitat groups'!A13,'A-2 On-Site Habitat Creation'!$G$11:$G$256)</f>
        <v>0</v>
      </c>
      <c r="L13" s="346">
        <f>SUMIF('A-2 On-Site Habitat Creation'!$F$11:$F$256,'G-2 Habitat groups'!A13,'A-2 On-Site Habitat Creation'!$Y$11:$Y$256)</f>
        <v>0</v>
      </c>
      <c r="M13" s="346">
        <f>SUMIF('A-3 On-Site Habitat Enhancement'!$S$12:$S$257,'G-2 Habitat groups'!A13,'A-3 On-Site Habitat Enhancement'!$V$12:$V$257)</f>
        <v>0</v>
      </c>
      <c r="N13" s="346">
        <f>SUMIF('A-3 On-Site Habitat Enhancement'!$S$12:$S$257,'G-2 Habitat groups'!A13,'A-3 On-Site Habitat Enhancement'!$AN$12:$AN$257)</f>
        <v>0</v>
      </c>
      <c r="O13" s="346">
        <f t="shared" si="0"/>
        <v>0</v>
      </c>
      <c r="P13" s="346">
        <f t="shared" si="1"/>
        <v>0</v>
      </c>
      <c r="Q13" s="346">
        <f t="shared" si="2"/>
        <v>0</v>
      </c>
      <c r="R13" s="346">
        <f t="shared" si="3"/>
        <v>0</v>
      </c>
      <c r="S13" s="346">
        <f>IF(C13="V.High",SUMIF('D-1 Off-Site Habitat Baseline'!$G$11:$G$258,'G-2 Habitat groups'!A13,'D-1 Off-Site Habitat Baseline'!$V$11:$V$258)+SUMIF('D-1 Off-Site Habitat Baseline'!$G$11:$G$258,'G-2 Habitat groups'!A13,'D-1 Off-Site Habitat Baseline'!$W$11:$W$258),SUMIF('D-1 Off-Site Habitat Baseline'!$G$11:$G$258,'G-2 Habitat groups'!A13,'D-1 Off-Site Habitat Baseline'!$H$11:$H$258))</f>
        <v>0</v>
      </c>
      <c r="T13" s="346">
        <f>SUMIF('D-1 Off-Site Habitat Baseline'!$G$11:$G$258,'G-2 Habitat groups'!A13,'D-1 Off-Site Habitat Baseline'!$T$11:$T$258)</f>
        <v>0</v>
      </c>
      <c r="U13" s="346">
        <f>SUMIF('D-1 Off-Site Habitat Baseline'!$G$11:$G$258,'G-2 Habitat groups'!A13,'D-1 Off-Site Habitat Baseline'!$V$11:$V$258)</f>
        <v>0</v>
      </c>
      <c r="V13" s="346">
        <f>SUMIF('D-1 Off-Site Habitat Baseline'!$G$11:$G$258,'G-2 Habitat groups'!A13,'D-1 Off-Site Habitat Baseline'!$X$11:$X$258)</f>
        <v>0</v>
      </c>
      <c r="W13" s="346">
        <f>SUMIF('D-2 Off-Site Habitat Creation'!$F$9:$F$255,'G-2 Habitat groups'!A13,'D-2 Off-Site Habitat Creation'!$G$9:$G$255)</f>
        <v>0</v>
      </c>
      <c r="X13" s="346">
        <f>SUMIF('D-2 Off-Site Habitat Creation'!$F$9:$F$255,'G-2 Habitat groups'!A13,'D-2 Off-Site Habitat Creation'!$AB$9:$AB$255)</f>
        <v>0</v>
      </c>
      <c r="Y13" s="346">
        <f>SUMIF('D-3 Off-Site Habitat Enhancment'!$S$12:$S$491,'G-2 Habitat groups'!A13,'D-3 Off-Site Habitat Enhancment'!$V$12:$V$491)</f>
        <v>0</v>
      </c>
      <c r="Z13" s="346">
        <f>SUMIF('D-3 Off-Site Habitat Enhancment'!$S$12:$S$491,'G-2 Habitat groups'!A13,'D-3 Off-Site Habitat Enhancment'!$AQ$12:$AQ$491)</f>
        <v>0</v>
      </c>
      <c r="AA13" s="346">
        <f t="shared" si="4"/>
        <v>0</v>
      </c>
      <c r="AB13" s="346">
        <f t="shared" si="13"/>
        <v>0</v>
      </c>
      <c r="AC13" s="346">
        <f t="shared" si="5"/>
        <v>0</v>
      </c>
      <c r="AD13" s="346">
        <f t="shared" si="14"/>
        <v>0</v>
      </c>
      <c r="AE13" s="346">
        <f t="shared" si="6"/>
        <v>0</v>
      </c>
      <c r="AF13" s="346">
        <f t="shared" si="15"/>
        <v>0</v>
      </c>
      <c r="AJ13" s="85" t="s">
        <v>133</v>
      </c>
      <c r="AK13" s="549">
        <f t="shared" si="7"/>
        <v>0</v>
      </c>
      <c r="AL13" s="549">
        <f t="shared" si="8"/>
        <v>0</v>
      </c>
      <c r="AM13" s="549">
        <f t="shared" si="9"/>
        <v>0</v>
      </c>
      <c r="AN13" s="549">
        <f t="shared" si="10"/>
        <v>0</v>
      </c>
      <c r="AO13" s="651">
        <f t="shared" si="11"/>
        <v>0</v>
      </c>
      <c r="AP13" s="651">
        <f t="shared" si="12"/>
        <v>0</v>
      </c>
      <c r="AU13" s="91" t="s">
        <v>751</v>
      </c>
      <c r="AV13" s="68" t="s">
        <v>130</v>
      </c>
      <c r="AW13" s="358">
        <f t="shared" si="17"/>
        <v>0</v>
      </c>
      <c r="AX13" s="358">
        <f t="shared" si="18"/>
        <v>0</v>
      </c>
      <c r="AY13" s="358">
        <f t="shared" si="19"/>
        <v>0</v>
      </c>
      <c r="AZ13" s="358">
        <f t="shared" si="20"/>
        <v>0</v>
      </c>
      <c r="BA13" s="358">
        <f t="shared" si="21"/>
        <v>0</v>
      </c>
      <c r="BB13" s="358">
        <f t="shared" si="22"/>
        <v>0</v>
      </c>
      <c r="BC13" s="358">
        <f t="shared" si="23"/>
        <v>0</v>
      </c>
      <c r="BD13" s="358">
        <f t="shared" si="24"/>
        <v>0</v>
      </c>
      <c r="BE13" s="358">
        <f t="shared" si="25"/>
        <v>0</v>
      </c>
      <c r="BF13" s="358" t="str">
        <f t="shared" si="26"/>
        <v/>
      </c>
      <c r="BG13" s="438">
        <f t="shared" si="16"/>
        <v>0</v>
      </c>
    </row>
    <row r="14" spans="1:59" ht="14.65" customHeight="1">
      <c r="A14" s="79" t="str">
        <f>'G-1 All Habitats'!B13</f>
        <v>Grassland - Traditional orchards</v>
      </c>
      <c r="B14" s="68" t="str">
        <f>'G-1 All Habitats'!F13</f>
        <v>Grassland</v>
      </c>
      <c r="C14" s="68" t="str">
        <f>'G-1 All Habitats'!K13</f>
        <v>High</v>
      </c>
      <c r="D14" s="68" t="str">
        <f>'G-1 All Habitats'!M13</f>
        <v>Same habitat required =</v>
      </c>
      <c r="E14" s="346">
        <f>IF(C14="V.High",SUMIF('A-1 On-Site Habitat Baseline'!$G$11:$G$258,'G-2 Habitat groups'!A14,'A-1 On-Site Habitat Baseline'!$S$11:$S$258)+SUMIF('A-1 On-Site Habitat Baseline'!$G$11:$G$258,'G-2 Habitat groups'!A14,'A-1 On-Site Habitat Baseline'!$T$11:$T$258),SUMIF('A-1 On-Site Habitat Baseline'!$G$11:$G$258,'G-2 Habitat groups'!A14,'A-1 On-Site Habitat Baseline'!$H$11:$H$258))</f>
        <v>0</v>
      </c>
      <c r="F14" s="346">
        <f>SUMIF('A-1 On-Site Habitat Baseline'!$G$11:$G$258,'G-2 Habitat groups'!A14,'A-1 On-Site Habitat Baseline'!$Q$11:$Q$258)</f>
        <v>0</v>
      </c>
      <c r="G14" s="346">
        <f>SUMIF('A-1 On-Site Habitat Baseline'!$G$11:$G$258,'G-2 Habitat groups'!A14,'A-1 On-Site Habitat Baseline'!$S$11:$S$258)</f>
        <v>0</v>
      </c>
      <c r="H14" s="346">
        <f>SUMIF('A-1 On-Site Habitat Baseline'!$G$11:$G$258,'G-2 Habitat groups'!A14,'A-1 On-Site Habitat Baseline'!$U$11:$U$258)</f>
        <v>0</v>
      </c>
      <c r="I14" s="346">
        <f>SUMIF('A-1 On-Site Habitat Baseline'!$G$11:$G$258,'G-2 Habitat groups'!A14,'A-1 On-Site Habitat Baseline'!$W$11:$W$258)</f>
        <v>0</v>
      </c>
      <c r="J14" s="346">
        <f>SUMIF('A-1 On-Site Habitat Baseline'!$G$11:$G$258,'G-2 Habitat groups'!A14,'A-1 On-Site Habitat Baseline'!$X$11:$X$258)</f>
        <v>0</v>
      </c>
      <c r="K14" s="346">
        <f>SUMIF('A-2 On-Site Habitat Creation'!$F$11:$F$256,'G-2 Habitat groups'!A14,'A-2 On-Site Habitat Creation'!$G$11:$G$256)</f>
        <v>0</v>
      </c>
      <c r="L14" s="346">
        <f>SUMIF('A-2 On-Site Habitat Creation'!$F$11:$F$256,'G-2 Habitat groups'!A14,'A-2 On-Site Habitat Creation'!$Y$11:$Y$256)</f>
        <v>0</v>
      </c>
      <c r="M14" s="346">
        <f>SUMIF('A-3 On-Site Habitat Enhancement'!$S$12:$S$257,'G-2 Habitat groups'!A14,'A-3 On-Site Habitat Enhancement'!$V$12:$V$257)</f>
        <v>0</v>
      </c>
      <c r="N14" s="346">
        <f>SUMIF('A-3 On-Site Habitat Enhancement'!$S$12:$S$257,'G-2 Habitat groups'!A14,'A-3 On-Site Habitat Enhancement'!$AN$12:$AN$257)</f>
        <v>0</v>
      </c>
      <c r="O14" s="346">
        <f t="shared" si="0"/>
        <v>0</v>
      </c>
      <c r="P14" s="346">
        <f t="shared" si="1"/>
        <v>0</v>
      </c>
      <c r="Q14" s="346">
        <f t="shared" si="2"/>
        <v>0</v>
      </c>
      <c r="R14" s="346">
        <f t="shared" si="3"/>
        <v>0</v>
      </c>
      <c r="S14" s="346">
        <f>IF(C14="V.High",SUMIF('D-1 Off-Site Habitat Baseline'!$G$11:$G$258,'G-2 Habitat groups'!A14,'D-1 Off-Site Habitat Baseline'!$V$11:$V$258)+SUMIF('D-1 Off-Site Habitat Baseline'!$G$11:$G$258,'G-2 Habitat groups'!A14,'D-1 Off-Site Habitat Baseline'!$W$11:$W$258),SUMIF('D-1 Off-Site Habitat Baseline'!$G$11:$G$258,'G-2 Habitat groups'!A14,'D-1 Off-Site Habitat Baseline'!$H$11:$H$258))</f>
        <v>0</v>
      </c>
      <c r="T14" s="346">
        <f>SUMIF('D-1 Off-Site Habitat Baseline'!$G$11:$G$258,'G-2 Habitat groups'!A14,'D-1 Off-Site Habitat Baseline'!$T$11:$T$258)</f>
        <v>0</v>
      </c>
      <c r="U14" s="346">
        <f>SUMIF('D-1 Off-Site Habitat Baseline'!$G$11:$G$258,'G-2 Habitat groups'!A14,'D-1 Off-Site Habitat Baseline'!$V$11:$V$258)</f>
        <v>0</v>
      </c>
      <c r="V14" s="346">
        <f>SUMIF('D-1 Off-Site Habitat Baseline'!$G$11:$G$258,'G-2 Habitat groups'!A14,'D-1 Off-Site Habitat Baseline'!$X$11:$X$258)</f>
        <v>0</v>
      </c>
      <c r="W14" s="346">
        <f>SUMIF('D-2 Off-Site Habitat Creation'!$F$9:$F$255,'G-2 Habitat groups'!A14,'D-2 Off-Site Habitat Creation'!$G$9:$G$255)</f>
        <v>0</v>
      </c>
      <c r="X14" s="346">
        <f>SUMIF('D-2 Off-Site Habitat Creation'!$F$9:$F$255,'G-2 Habitat groups'!A14,'D-2 Off-Site Habitat Creation'!$AB$9:$AB$255)</f>
        <v>0</v>
      </c>
      <c r="Y14" s="346">
        <f>SUMIF('D-3 Off-Site Habitat Enhancment'!$S$12:$S$491,'G-2 Habitat groups'!A14,'D-3 Off-Site Habitat Enhancment'!$V$12:$V$491)</f>
        <v>0</v>
      </c>
      <c r="Z14" s="346">
        <f>SUMIF('D-3 Off-Site Habitat Enhancment'!$S$12:$S$491,'G-2 Habitat groups'!A14,'D-3 Off-Site Habitat Enhancment'!$AQ$12:$AQ$491)</f>
        <v>0</v>
      </c>
      <c r="AA14" s="346">
        <f t="shared" si="4"/>
        <v>0</v>
      </c>
      <c r="AB14" s="346">
        <f t="shared" si="13"/>
        <v>0</v>
      </c>
      <c r="AC14" s="346">
        <f t="shared" si="5"/>
        <v>0</v>
      </c>
      <c r="AD14" s="346">
        <f t="shared" si="14"/>
        <v>0</v>
      </c>
      <c r="AE14" s="346">
        <f t="shared" si="6"/>
        <v>0</v>
      </c>
      <c r="AF14" s="346">
        <f t="shared" si="15"/>
        <v>0</v>
      </c>
      <c r="AJ14" s="85" t="s">
        <v>134</v>
      </c>
      <c r="AK14" s="549">
        <f t="shared" si="7"/>
        <v>0</v>
      </c>
      <c r="AL14" s="549">
        <f t="shared" si="8"/>
        <v>0</v>
      </c>
      <c r="AM14" s="549">
        <f t="shared" si="9"/>
        <v>0</v>
      </c>
      <c r="AN14" s="549">
        <f t="shared" si="10"/>
        <v>0</v>
      </c>
      <c r="AO14" s="651">
        <f t="shared" si="11"/>
        <v>0</v>
      </c>
      <c r="AP14" s="651">
        <f t="shared" si="12"/>
        <v>0</v>
      </c>
      <c r="AU14" s="91" t="s">
        <v>756</v>
      </c>
      <c r="AV14" s="68" t="s">
        <v>130</v>
      </c>
      <c r="AW14" s="358">
        <f t="shared" si="17"/>
        <v>0</v>
      </c>
      <c r="AX14" s="358">
        <f t="shared" si="18"/>
        <v>0</v>
      </c>
      <c r="AY14" s="358">
        <f t="shared" si="19"/>
        <v>0</v>
      </c>
      <c r="AZ14" s="358">
        <f t="shared" si="20"/>
        <v>0</v>
      </c>
      <c r="BA14" s="358">
        <f t="shared" si="21"/>
        <v>0</v>
      </c>
      <c r="BB14" s="358">
        <f t="shared" si="22"/>
        <v>0</v>
      </c>
      <c r="BC14" s="358">
        <f t="shared" si="23"/>
        <v>0</v>
      </c>
      <c r="BD14" s="358">
        <f t="shared" si="24"/>
        <v>0</v>
      </c>
      <c r="BE14" s="358">
        <f t="shared" si="25"/>
        <v>0</v>
      </c>
      <c r="BF14" s="358" t="str">
        <f t="shared" si="26"/>
        <v/>
      </c>
      <c r="BG14" s="438">
        <f t="shared" si="16"/>
        <v>0</v>
      </c>
    </row>
    <row r="15" spans="1:59">
      <c r="A15" s="79" t="str">
        <f>'G-1 All Habitats'!B14</f>
        <v>Grassland - Bracken</v>
      </c>
      <c r="B15" s="68" t="str">
        <f>'G-1 All Habitats'!F14</f>
        <v>Grassland</v>
      </c>
      <c r="C15" s="68" t="str">
        <f>'G-1 All Habitats'!K14</f>
        <v>Low</v>
      </c>
      <c r="D15" s="68" t="str">
        <f>'G-1 All Habitats'!M14</f>
        <v>Same distinctiveness or better habitat required ≥</v>
      </c>
      <c r="E15" s="346">
        <f>IF(C15="V.High",SUMIF('A-1 On-Site Habitat Baseline'!$G$11:$G$258,'G-2 Habitat groups'!A15,'A-1 On-Site Habitat Baseline'!$S$11:$S$258)+SUMIF('A-1 On-Site Habitat Baseline'!$G$11:$G$258,'G-2 Habitat groups'!A15,'A-1 On-Site Habitat Baseline'!$T$11:$T$258),SUMIF('A-1 On-Site Habitat Baseline'!$G$11:$G$258,'G-2 Habitat groups'!A15,'A-1 On-Site Habitat Baseline'!$H$11:$H$258))</f>
        <v>7.2999999999999995E-2</v>
      </c>
      <c r="F15" s="346">
        <f>SUMIF('A-1 On-Site Habitat Baseline'!$G$11:$G$258,'G-2 Habitat groups'!A15,'A-1 On-Site Habitat Baseline'!$Q$11:$Q$258)</f>
        <v>0.14599999999999999</v>
      </c>
      <c r="G15" s="346">
        <f>SUMIF('A-1 On-Site Habitat Baseline'!$G$11:$G$258,'G-2 Habitat groups'!A15,'A-1 On-Site Habitat Baseline'!$S$11:$S$258)</f>
        <v>7.2999999999999995E-2</v>
      </c>
      <c r="H15" s="346">
        <f>SUMIF('A-1 On-Site Habitat Baseline'!$G$11:$G$258,'G-2 Habitat groups'!A15,'A-1 On-Site Habitat Baseline'!$U$11:$U$258)</f>
        <v>0.14599999999999999</v>
      </c>
      <c r="I15" s="346">
        <f>SUMIF('A-1 On-Site Habitat Baseline'!$G$11:$G$258,'G-2 Habitat groups'!A15,'A-1 On-Site Habitat Baseline'!$W$11:$W$258)</f>
        <v>0</v>
      </c>
      <c r="J15" s="346">
        <f>SUMIF('A-1 On-Site Habitat Baseline'!$G$11:$G$258,'G-2 Habitat groups'!A15,'A-1 On-Site Habitat Baseline'!$X$11:$X$258)</f>
        <v>0</v>
      </c>
      <c r="K15" s="346">
        <f>SUMIF('A-2 On-Site Habitat Creation'!$F$11:$F$256,'G-2 Habitat groups'!A15,'A-2 On-Site Habitat Creation'!$G$11:$G$256)</f>
        <v>0</v>
      </c>
      <c r="L15" s="346">
        <f>SUMIF('A-2 On-Site Habitat Creation'!$F$11:$F$256,'G-2 Habitat groups'!A15,'A-2 On-Site Habitat Creation'!$Y$11:$Y$256)</f>
        <v>0</v>
      </c>
      <c r="M15" s="346">
        <f>SUMIF('A-3 On-Site Habitat Enhancement'!$S$12:$S$257,'G-2 Habitat groups'!A15,'A-3 On-Site Habitat Enhancement'!$V$12:$V$257)</f>
        <v>0</v>
      </c>
      <c r="N15" s="346">
        <f>SUMIF('A-3 On-Site Habitat Enhancement'!$S$12:$S$257,'G-2 Habitat groups'!A15,'A-3 On-Site Habitat Enhancement'!$AN$12:$AN$257)</f>
        <v>0</v>
      </c>
      <c r="O15" s="346">
        <f t="shared" si="0"/>
        <v>7.2999999999999995E-2</v>
      </c>
      <c r="P15" s="346">
        <f t="shared" si="1"/>
        <v>0.14599999999999999</v>
      </c>
      <c r="Q15" s="346">
        <f t="shared" si="2"/>
        <v>0</v>
      </c>
      <c r="R15" s="346">
        <f t="shared" si="3"/>
        <v>0</v>
      </c>
      <c r="S15" s="346">
        <f>IF(C15="V.High",SUMIF('D-1 Off-Site Habitat Baseline'!$G$11:$G$258,'G-2 Habitat groups'!A15,'D-1 Off-Site Habitat Baseline'!$V$11:$V$258)+SUMIF('D-1 Off-Site Habitat Baseline'!$G$11:$G$258,'G-2 Habitat groups'!A15,'D-1 Off-Site Habitat Baseline'!$W$11:$W$258),SUMIF('D-1 Off-Site Habitat Baseline'!$G$11:$G$258,'G-2 Habitat groups'!A15,'D-1 Off-Site Habitat Baseline'!$H$11:$H$258))</f>
        <v>0</v>
      </c>
      <c r="T15" s="346">
        <f>SUMIF('D-1 Off-Site Habitat Baseline'!$G$11:$G$258,'G-2 Habitat groups'!A15,'D-1 Off-Site Habitat Baseline'!$T$11:$T$258)</f>
        <v>0</v>
      </c>
      <c r="U15" s="346">
        <f>SUMIF('D-1 Off-Site Habitat Baseline'!$G$11:$G$258,'G-2 Habitat groups'!A15,'D-1 Off-Site Habitat Baseline'!$V$11:$V$258)</f>
        <v>0</v>
      </c>
      <c r="V15" s="346">
        <f>SUMIF('D-1 Off-Site Habitat Baseline'!$G$11:$G$258,'G-2 Habitat groups'!A15,'D-1 Off-Site Habitat Baseline'!$X$11:$X$258)</f>
        <v>0</v>
      </c>
      <c r="W15" s="346">
        <f>SUMIF('D-2 Off-Site Habitat Creation'!$F$9:$F$255,'G-2 Habitat groups'!A15,'D-2 Off-Site Habitat Creation'!$G$9:$G$255)</f>
        <v>0</v>
      </c>
      <c r="X15" s="346">
        <f>SUMIF('D-2 Off-Site Habitat Creation'!$F$9:$F$255,'G-2 Habitat groups'!A15,'D-2 Off-Site Habitat Creation'!$AB$9:$AB$255)</f>
        <v>0</v>
      </c>
      <c r="Y15" s="346">
        <f>SUMIF('D-3 Off-Site Habitat Enhancment'!$S$12:$S$491,'G-2 Habitat groups'!A15,'D-3 Off-Site Habitat Enhancment'!$V$12:$V$491)</f>
        <v>0</v>
      </c>
      <c r="Z15" s="346">
        <f>SUMIF('D-3 Off-Site Habitat Enhancment'!$S$12:$S$491,'G-2 Habitat groups'!A15,'D-3 Off-Site Habitat Enhancment'!$AQ$12:$AQ$491)</f>
        <v>0</v>
      </c>
      <c r="AA15" s="346">
        <f t="shared" si="4"/>
        <v>0</v>
      </c>
      <c r="AB15" s="346">
        <f t="shared" si="13"/>
        <v>0</v>
      </c>
      <c r="AC15" s="346">
        <f t="shared" si="5"/>
        <v>0</v>
      </c>
      <c r="AD15" s="346">
        <f t="shared" si="14"/>
        <v>0</v>
      </c>
      <c r="AE15" s="346">
        <f t="shared" si="6"/>
        <v>0</v>
      </c>
      <c r="AF15" s="346">
        <f t="shared" si="15"/>
        <v>0</v>
      </c>
      <c r="AJ15" s="84" t="s">
        <v>135</v>
      </c>
      <c r="AK15" s="549">
        <f t="shared" si="7"/>
        <v>0</v>
      </c>
      <c r="AL15" s="549">
        <f t="shared" si="8"/>
        <v>0</v>
      </c>
      <c r="AM15" s="549">
        <f t="shared" si="9"/>
        <v>0</v>
      </c>
      <c r="AN15" s="549">
        <f t="shared" si="10"/>
        <v>0</v>
      </c>
      <c r="AO15" s="651">
        <f t="shared" si="11"/>
        <v>0</v>
      </c>
      <c r="AP15" s="651">
        <f t="shared" si="12"/>
        <v>0</v>
      </c>
      <c r="AU15" s="91" t="s">
        <v>762</v>
      </c>
      <c r="AV15" s="68" t="s">
        <v>130</v>
      </c>
      <c r="AW15" s="358">
        <f t="shared" si="17"/>
        <v>0</v>
      </c>
      <c r="AX15" s="358">
        <f t="shared" si="18"/>
        <v>0</v>
      </c>
      <c r="AY15" s="358">
        <f t="shared" si="19"/>
        <v>0</v>
      </c>
      <c r="AZ15" s="358">
        <f t="shared" si="20"/>
        <v>0</v>
      </c>
      <c r="BA15" s="358">
        <f t="shared" si="21"/>
        <v>0</v>
      </c>
      <c r="BB15" s="358">
        <f t="shared" si="22"/>
        <v>0</v>
      </c>
      <c r="BC15" s="358">
        <f t="shared" si="23"/>
        <v>0</v>
      </c>
      <c r="BD15" s="358">
        <f t="shared" si="24"/>
        <v>0</v>
      </c>
      <c r="BE15" s="358">
        <f t="shared" si="25"/>
        <v>0</v>
      </c>
      <c r="BF15" s="358" t="str">
        <f t="shared" si="26"/>
        <v/>
      </c>
      <c r="BG15" s="438">
        <f t="shared" si="16"/>
        <v>0</v>
      </c>
    </row>
    <row r="16" spans="1:59">
      <c r="A16" s="79" t="str">
        <f>'G-1 All Habitats'!B15</f>
        <v>Grassland - Floodplain wetland mosaic and CFGM</v>
      </c>
      <c r="B16" s="68" t="str">
        <f>'G-1 All Habitats'!F15</f>
        <v>Grassland</v>
      </c>
      <c r="C16" s="68" t="str">
        <f>'G-1 All Habitats'!K15</f>
        <v>High</v>
      </c>
      <c r="D16" s="68" t="str">
        <f>'G-1 All Habitats'!M15</f>
        <v>Same habitat required =</v>
      </c>
      <c r="E16" s="346">
        <f>IF(C16="V.High",SUMIF('A-1 On-Site Habitat Baseline'!$G$11:$G$258,'G-2 Habitat groups'!A16,'A-1 On-Site Habitat Baseline'!$S$11:$S$258)+SUMIF('A-1 On-Site Habitat Baseline'!$G$11:$G$258,'G-2 Habitat groups'!A16,'A-1 On-Site Habitat Baseline'!$T$11:$T$258),SUMIF('A-1 On-Site Habitat Baseline'!$G$11:$G$258,'G-2 Habitat groups'!A16,'A-1 On-Site Habitat Baseline'!$H$11:$H$258))</f>
        <v>0</v>
      </c>
      <c r="F16" s="346">
        <f>SUMIF('A-1 On-Site Habitat Baseline'!$G$11:$G$258,'G-2 Habitat groups'!A16,'A-1 On-Site Habitat Baseline'!$Q$11:$Q$258)</f>
        <v>0</v>
      </c>
      <c r="G16" s="346">
        <f>SUMIF('A-1 On-Site Habitat Baseline'!$G$11:$G$258,'G-2 Habitat groups'!A16,'A-1 On-Site Habitat Baseline'!$S$11:$S$258)</f>
        <v>0</v>
      </c>
      <c r="H16" s="346">
        <f>SUMIF('A-1 On-Site Habitat Baseline'!$G$11:$G$258,'G-2 Habitat groups'!A16,'A-1 On-Site Habitat Baseline'!$U$11:$U$258)</f>
        <v>0</v>
      </c>
      <c r="I16" s="346">
        <f>SUMIF('A-1 On-Site Habitat Baseline'!$G$11:$G$258,'G-2 Habitat groups'!A16,'A-1 On-Site Habitat Baseline'!$W$11:$W$258)</f>
        <v>0</v>
      </c>
      <c r="J16" s="346">
        <f>SUMIF('A-1 On-Site Habitat Baseline'!$G$11:$G$258,'G-2 Habitat groups'!A16,'A-1 On-Site Habitat Baseline'!$X$11:$X$258)</f>
        <v>0</v>
      </c>
      <c r="K16" s="346">
        <f>SUMIF('A-2 On-Site Habitat Creation'!$F$11:$F$256,'G-2 Habitat groups'!A16,'A-2 On-Site Habitat Creation'!$G$11:$G$256)</f>
        <v>0</v>
      </c>
      <c r="L16" s="346">
        <f>SUMIF('A-2 On-Site Habitat Creation'!$F$11:$F$256,'G-2 Habitat groups'!A16,'A-2 On-Site Habitat Creation'!$Y$11:$Y$256)</f>
        <v>0</v>
      </c>
      <c r="M16" s="346">
        <f>SUMIF('A-3 On-Site Habitat Enhancement'!$S$12:$S$257,'G-2 Habitat groups'!A16,'A-3 On-Site Habitat Enhancement'!$V$12:$V$257)</f>
        <v>0</v>
      </c>
      <c r="N16" s="346">
        <f>SUMIF('A-3 On-Site Habitat Enhancement'!$S$12:$S$257,'G-2 Habitat groups'!A16,'A-3 On-Site Habitat Enhancement'!$AN$12:$AN$257)</f>
        <v>0</v>
      </c>
      <c r="O16" s="346">
        <f t="shared" si="0"/>
        <v>0</v>
      </c>
      <c r="P16" s="346">
        <f t="shared" si="1"/>
        <v>0</v>
      </c>
      <c r="Q16" s="346">
        <f t="shared" si="2"/>
        <v>0</v>
      </c>
      <c r="R16" s="346">
        <f t="shared" si="3"/>
        <v>0</v>
      </c>
      <c r="S16" s="346">
        <f>IF(C16="V.High",SUMIF('D-1 Off-Site Habitat Baseline'!$G$11:$G$258,'G-2 Habitat groups'!A16,'D-1 Off-Site Habitat Baseline'!$V$11:$V$258)+SUMIF('D-1 Off-Site Habitat Baseline'!$G$11:$G$258,'G-2 Habitat groups'!A16,'D-1 Off-Site Habitat Baseline'!$W$11:$W$258),SUMIF('D-1 Off-Site Habitat Baseline'!$G$11:$G$258,'G-2 Habitat groups'!A16,'D-1 Off-Site Habitat Baseline'!$H$11:$H$258))</f>
        <v>0</v>
      </c>
      <c r="T16" s="346">
        <f>SUMIF('D-1 Off-Site Habitat Baseline'!$G$11:$G$258,'G-2 Habitat groups'!A16,'D-1 Off-Site Habitat Baseline'!$T$11:$T$258)</f>
        <v>0</v>
      </c>
      <c r="U16" s="346">
        <f>SUMIF('D-1 Off-Site Habitat Baseline'!$G$11:$G$258,'G-2 Habitat groups'!A16,'D-1 Off-Site Habitat Baseline'!$V$11:$V$258)</f>
        <v>0</v>
      </c>
      <c r="V16" s="346">
        <f>SUMIF('D-1 Off-Site Habitat Baseline'!$G$11:$G$258,'G-2 Habitat groups'!A16,'D-1 Off-Site Habitat Baseline'!$X$11:$X$258)</f>
        <v>0</v>
      </c>
      <c r="W16" s="346">
        <f>SUMIF('D-2 Off-Site Habitat Creation'!$F$9:$F$255,'G-2 Habitat groups'!A16,'D-2 Off-Site Habitat Creation'!$G$9:$G$255)</f>
        <v>0</v>
      </c>
      <c r="X16" s="346">
        <f>SUMIF('D-2 Off-Site Habitat Creation'!$F$9:$F$255,'G-2 Habitat groups'!A16,'D-2 Off-Site Habitat Creation'!$AB$9:$AB$255)</f>
        <v>0</v>
      </c>
      <c r="Y16" s="346">
        <f>SUMIF('D-3 Off-Site Habitat Enhancment'!$S$12:$S$491,'G-2 Habitat groups'!A16,'D-3 Off-Site Habitat Enhancment'!$V$12:$V$491)</f>
        <v>0</v>
      </c>
      <c r="Z16" s="346">
        <f>SUMIF('D-3 Off-Site Habitat Enhancment'!$S$12:$S$491,'G-2 Habitat groups'!A16,'D-3 Off-Site Habitat Enhancment'!$AQ$12:$AQ$491)</f>
        <v>0</v>
      </c>
      <c r="AA16" s="346">
        <f t="shared" si="4"/>
        <v>0</v>
      </c>
      <c r="AB16" s="346">
        <f t="shared" si="13"/>
        <v>0</v>
      </c>
      <c r="AC16" s="346">
        <f t="shared" si="5"/>
        <v>0</v>
      </c>
      <c r="AD16" s="346">
        <f t="shared" si="14"/>
        <v>0</v>
      </c>
      <c r="AE16" s="346">
        <f t="shared" si="6"/>
        <v>0</v>
      </c>
      <c r="AF16" s="346">
        <f t="shared" si="15"/>
        <v>0</v>
      </c>
      <c r="AJ16" s="84" t="s">
        <v>136</v>
      </c>
      <c r="AK16" s="549">
        <f t="shared" si="7"/>
        <v>0</v>
      </c>
      <c r="AL16" s="549">
        <f t="shared" si="8"/>
        <v>0</v>
      </c>
      <c r="AM16" s="549">
        <f t="shared" si="9"/>
        <v>0</v>
      </c>
      <c r="AN16" s="549">
        <f t="shared" si="10"/>
        <v>0</v>
      </c>
      <c r="AO16" s="651">
        <f t="shared" si="11"/>
        <v>0</v>
      </c>
      <c r="AP16" s="651">
        <f t="shared" si="12"/>
        <v>0</v>
      </c>
      <c r="AU16" s="91" t="s">
        <v>765</v>
      </c>
      <c r="AV16" s="68" t="s">
        <v>130</v>
      </c>
      <c r="AW16" s="358">
        <f t="shared" si="17"/>
        <v>0</v>
      </c>
      <c r="AX16" s="358">
        <f t="shared" si="18"/>
        <v>0</v>
      </c>
      <c r="AY16" s="358">
        <f t="shared" si="19"/>
        <v>0</v>
      </c>
      <c r="AZ16" s="358">
        <f t="shared" si="20"/>
        <v>0</v>
      </c>
      <c r="BA16" s="358">
        <f t="shared" si="21"/>
        <v>0</v>
      </c>
      <c r="BB16" s="358">
        <f t="shared" si="22"/>
        <v>0</v>
      </c>
      <c r="BC16" s="358">
        <f t="shared" si="23"/>
        <v>0</v>
      </c>
      <c r="BD16" s="358">
        <f t="shared" si="24"/>
        <v>0</v>
      </c>
      <c r="BE16" s="358">
        <f t="shared" si="25"/>
        <v>0</v>
      </c>
      <c r="BF16" s="358" t="str">
        <f t="shared" si="26"/>
        <v/>
      </c>
      <c r="BG16" s="438">
        <f t="shared" si="16"/>
        <v>0</v>
      </c>
    </row>
    <row r="17" spans="1:59">
      <c r="A17" s="79" t="str">
        <f>'G-1 All Habitats'!B16</f>
        <v>Grassland - Lowland calcareous grassland</v>
      </c>
      <c r="B17" s="68" t="str">
        <f>'G-1 All Habitats'!F16</f>
        <v>Grassland</v>
      </c>
      <c r="C17" s="68" t="str">
        <f>'G-1 All Habitats'!K16</f>
        <v>High</v>
      </c>
      <c r="D17" s="68" t="str">
        <f>'G-1 All Habitats'!M16</f>
        <v>Same habitat required =</v>
      </c>
      <c r="E17" s="346">
        <f>IF(C17="V.High",SUMIF('A-1 On-Site Habitat Baseline'!$G$11:$G$258,'G-2 Habitat groups'!A17,'A-1 On-Site Habitat Baseline'!$S$11:$S$258)+SUMIF('A-1 On-Site Habitat Baseline'!$G$11:$G$258,'G-2 Habitat groups'!A17,'A-1 On-Site Habitat Baseline'!$T$11:$T$258),SUMIF('A-1 On-Site Habitat Baseline'!$G$11:$G$258,'G-2 Habitat groups'!A17,'A-1 On-Site Habitat Baseline'!$H$11:$H$258))</f>
        <v>0</v>
      </c>
      <c r="F17" s="346">
        <f>SUMIF('A-1 On-Site Habitat Baseline'!$G$11:$G$258,'G-2 Habitat groups'!A17,'A-1 On-Site Habitat Baseline'!$Q$11:$Q$258)</f>
        <v>0</v>
      </c>
      <c r="G17" s="346">
        <f>SUMIF('A-1 On-Site Habitat Baseline'!$G$11:$G$258,'G-2 Habitat groups'!A17,'A-1 On-Site Habitat Baseline'!$S$11:$S$258)</f>
        <v>0</v>
      </c>
      <c r="H17" s="346">
        <f>SUMIF('A-1 On-Site Habitat Baseline'!$G$11:$G$258,'G-2 Habitat groups'!A17,'A-1 On-Site Habitat Baseline'!$U$11:$U$258)</f>
        <v>0</v>
      </c>
      <c r="I17" s="346">
        <f>SUMIF('A-1 On-Site Habitat Baseline'!$G$11:$G$258,'G-2 Habitat groups'!A17,'A-1 On-Site Habitat Baseline'!$W$11:$W$258)</f>
        <v>0</v>
      </c>
      <c r="J17" s="346">
        <f>SUMIF('A-1 On-Site Habitat Baseline'!$G$11:$G$258,'G-2 Habitat groups'!A17,'A-1 On-Site Habitat Baseline'!$X$11:$X$258)</f>
        <v>0</v>
      </c>
      <c r="K17" s="346">
        <f>SUMIF('A-2 On-Site Habitat Creation'!$F$11:$F$256,'G-2 Habitat groups'!A17,'A-2 On-Site Habitat Creation'!$G$11:$G$256)</f>
        <v>0</v>
      </c>
      <c r="L17" s="346">
        <f>SUMIF('A-2 On-Site Habitat Creation'!$F$11:$F$256,'G-2 Habitat groups'!A17,'A-2 On-Site Habitat Creation'!$Y$11:$Y$256)</f>
        <v>0</v>
      </c>
      <c r="M17" s="346">
        <f>SUMIF('A-3 On-Site Habitat Enhancement'!$S$12:$S$257,'G-2 Habitat groups'!A17,'A-3 On-Site Habitat Enhancement'!$V$12:$V$257)</f>
        <v>0</v>
      </c>
      <c r="N17" s="346">
        <f>SUMIF('A-3 On-Site Habitat Enhancement'!$S$12:$S$257,'G-2 Habitat groups'!A17,'A-3 On-Site Habitat Enhancement'!$AN$12:$AN$257)</f>
        <v>0</v>
      </c>
      <c r="O17" s="346">
        <f t="shared" si="0"/>
        <v>0</v>
      </c>
      <c r="P17" s="346">
        <f t="shared" si="1"/>
        <v>0</v>
      </c>
      <c r="Q17" s="346">
        <f t="shared" si="2"/>
        <v>0</v>
      </c>
      <c r="R17" s="346">
        <f t="shared" si="3"/>
        <v>0</v>
      </c>
      <c r="S17" s="346">
        <f>IF(C17="V.High",SUMIF('D-1 Off-Site Habitat Baseline'!$G$11:$G$258,'G-2 Habitat groups'!A17,'D-1 Off-Site Habitat Baseline'!$V$11:$V$258)+SUMIF('D-1 Off-Site Habitat Baseline'!$G$11:$G$258,'G-2 Habitat groups'!A17,'D-1 Off-Site Habitat Baseline'!$W$11:$W$258),SUMIF('D-1 Off-Site Habitat Baseline'!$G$11:$G$258,'G-2 Habitat groups'!A17,'D-1 Off-Site Habitat Baseline'!$H$11:$H$258))</f>
        <v>0</v>
      </c>
      <c r="T17" s="346">
        <f>SUMIF('D-1 Off-Site Habitat Baseline'!$G$11:$G$258,'G-2 Habitat groups'!A17,'D-1 Off-Site Habitat Baseline'!$T$11:$T$258)</f>
        <v>0</v>
      </c>
      <c r="U17" s="346">
        <f>SUMIF('D-1 Off-Site Habitat Baseline'!$G$11:$G$258,'G-2 Habitat groups'!A17,'D-1 Off-Site Habitat Baseline'!$V$11:$V$258)</f>
        <v>0</v>
      </c>
      <c r="V17" s="346">
        <f>SUMIF('D-1 Off-Site Habitat Baseline'!$G$11:$G$258,'G-2 Habitat groups'!A17,'D-1 Off-Site Habitat Baseline'!$X$11:$X$258)</f>
        <v>0</v>
      </c>
      <c r="W17" s="346">
        <f>SUMIF('D-2 Off-Site Habitat Creation'!$F$9:$F$255,'G-2 Habitat groups'!A17,'D-2 Off-Site Habitat Creation'!$G$9:$G$255)</f>
        <v>0</v>
      </c>
      <c r="X17" s="346">
        <f>SUMIF('D-2 Off-Site Habitat Creation'!$F$9:$F$255,'G-2 Habitat groups'!A17,'D-2 Off-Site Habitat Creation'!$AB$9:$AB$255)</f>
        <v>0</v>
      </c>
      <c r="Y17" s="346">
        <f>SUMIF('D-3 Off-Site Habitat Enhancment'!$S$12:$S$491,'G-2 Habitat groups'!A17,'D-3 Off-Site Habitat Enhancment'!$V$12:$V$491)</f>
        <v>0</v>
      </c>
      <c r="Z17" s="346">
        <f>SUMIF('D-3 Off-Site Habitat Enhancment'!$S$12:$S$491,'G-2 Habitat groups'!A17,'D-3 Off-Site Habitat Enhancment'!$AQ$12:$AQ$491)</f>
        <v>0</v>
      </c>
      <c r="AA17" s="346">
        <f t="shared" si="4"/>
        <v>0</v>
      </c>
      <c r="AB17" s="346">
        <f t="shared" si="13"/>
        <v>0</v>
      </c>
      <c r="AC17" s="346">
        <f t="shared" si="5"/>
        <v>0</v>
      </c>
      <c r="AD17" s="346">
        <f t="shared" si="14"/>
        <v>0</v>
      </c>
      <c r="AE17" s="346">
        <f t="shared" si="6"/>
        <v>0</v>
      </c>
      <c r="AF17" s="346">
        <f t="shared" si="15"/>
        <v>0</v>
      </c>
      <c r="AJ17" s="650" t="s">
        <v>138</v>
      </c>
      <c r="AK17" s="549">
        <f>SUMIF($B:$B,$AJ17,E:E)</f>
        <v>0</v>
      </c>
      <c r="AL17" s="549">
        <f t="shared" si="8"/>
        <v>0</v>
      </c>
      <c r="AM17" s="549">
        <f t="shared" si="9"/>
        <v>0</v>
      </c>
      <c r="AN17" s="549">
        <f t="shared" si="10"/>
        <v>0</v>
      </c>
      <c r="AO17" s="549">
        <f t="shared" si="11"/>
        <v>0</v>
      </c>
      <c r="AP17" s="549">
        <f t="shared" si="12"/>
        <v>0</v>
      </c>
      <c r="AU17" s="91" t="s">
        <v>770</v>
      </c>
      <c r="AV17" s="68" t="s">
        <v>130</v>
      </c>
      <c r="AW17" s="358">
        <f t="shared" si="17"/>
        <v>0</v>
      </c>
      <c r="AX17" s="358">
        <f t="shared" si="18"/>
        <v>0</v>
      </c>
      <c r="AY17" s="358">
        <f t="shared" si="19"/>
        <v>0</v>
      </c>
      <c r="AZ17" s="358">
        <f t="shared" si="20"/>
        <v>0</v>
      </c>
      <c r="BA17" s="358">
        <f t="shared" si="21"/>
        <v>0</v>
      </c>
      <c r="BB17" s="358">
        <f t="shared" si="22"/>
        <v>0</v>
      </c>
      <c r="BC17" s="358">
        <f t="shared" si="23"/>
        <v>0</v>
      </c>
      <c r="BD17" s="358">
        <f t="shared" si="24"/>
        <v>0</v>
      </c>
      <c r="BE17" s="358">
        <f t="shared" si="25"/>
        <v>0</v>
      </c>
      <c r="BF17" s="358" t="str">
        <f t="shared" si="26"/>
        <v/>
      </c>
      <c r="BG17" s="438">
        <f t="shared" si="16"/>
        <v>0</v>
      </c>
    </row>
    <row r="18" spans="1:59">
      <c r="A18" s="79" t="str">
        <f>'G-1 All Habitats'!B17</f>
        <v>Grassland - Lowland dry acid grassland</v>
      </c>
      <c r="B18" s="68" t="str">
        <f>'G-1 All Habitats'!F17</f>
        <v>Grassland</v>
      </c>
      <c r="C18" s="68" t="str">
        <f>'G-1 All Habitats'!K17</f>
        <v>V.High</v>
      </c>
      <c r="D18" s="68" t="str">
        <f>'G-1 All Habitats'!M17</f>
        <v>Bespoke compensation likely to be required 🛠</v>
      </c>
      <c r="E18" s="346">
        <f>IF(C18="V.High",SUMIF('A-1 On-Site Habitat Baseline'!$G$11:$G$258,'G-2 Habitat groups'!A18,'A-1 On-Site Habitat Baseline'!$S$11:$S$258)+SUMIF('A-1 On-Site Habitat Baseline'!$G$11:$G$258,'G-2 Habitat groups'!A18,'A-1 On-Site Habitat Baseline'!$T$11:$T$258),SUMIF('A-1 On-Site Habitat Baseline'!$G$11:$G$258,'G-2 Habitat groups'!A18,'A-1 On-Site Habitat Baseline'!$H$11:$H$258))</f>
        <v>0</v>
      </c>
      <c r="F18" s="346">
        <f>SUMIF('A-1 On-Site Habitat Baseline'!$G$11:$G$258,'G-2 Habitat groups'!A18,'A-1 On-Site Habitat Baseline'!$Q$11:$Q$258)</f>
        <v>0</v>
      </c>
      <c r="G18" s="346">
        <f>SUMIF('A-1 On-Site Habitat Baseline'!$G$11:$G$258,'G-2 Habitat groups'!A18,'A-1 On-Site Habitat Baseline'!$S$11:$S$258)</f>
        <v>0</v>
      </c>
      <c r="H18" s="346">
        <f>SUMIF('A-1 On-Site Habitat Baseline'!$G$11:$G$258,'G-2 Habitat groups'!A18,'A-1 On-Site Habitat Baseline'!$U$11:$U$258)</f>
        <v>0</v>
      </c>
      <c r="I18" s="346">
        <f>SUMIF('A-1 On-Site Habitat Baseline'!$G$11:$G$258,'G-2 Habitat groups'!A18,'A-1 On-Site Habitat Baseline'!$W$11:$W$258)</f>
        <v>0</v>
      </c>
      <c r="J18" s="346">
        <f>SUMIF('A-1 On-Site Habitat Baseline'!$G$11:$G$258,'G-2 Habitat groups'!A18,'A-1 On-Site Habitat Baseline'!$X$11:$X$258)</f>
        <v>0</v>
      </c>
      <c r="K18" s="346">
        <f>SUMIF('A-2 On-Site Habitat Creation'!$F$11:$F$256,'G-2 Habitat groups'!A18,'A-2 On-Site Habitat Creation'!$G$11:$G$256)</f>
        <v>0</v>
      </c>
      <c r="L18" s="346">
        <f>SUMIF('A-2 On-Site Habitat Creation'!$F$11:$F$256,'G-2 Habitat groups'!A18,'A-2 On-Site Habitat Creation'!$Y$11:$Y$256)</f>
        <v>0</v>
      </c>
      <c r="M18" s="346">
        <f>SUMIF('A-3 On-Site Habitat Enhancement'!$S$12:$S$257,'G-2 Habitat groups'!A18,'A-3 On-Site Habitat Enhancement'!$V$12:$V$257)</f>
        <v>0</v>
      </c>
      <c r="N18" s="346">
        <f>SUMIF('A-3 On-Site Habitat Enhancement'!$S$12:$S$257,'G-2 Habitat groups'!A18,'A-3 On-Site Habitat Enhancement'!$AN$12:$AN$257)</f>
        <v>0</v>
      </c>
      <c r="O18" s="346">
        <f t="shared" si="0"/>
        <v>0</v>
      </c>
      <c r="P18" s="346">
        <f t="shared" si="1"/>
        <v>0</v>
      </c>
      <c r="Q18" s="346">
        <f t="shared" si="2"/>
        <v>0</v>
      </c>
      <c r="R18" s="346">
        <f t="shared" si="3"/>
        <v>0</v>
      </c>
      <c r="S18" s="346">
        <f>IF(C18="V.High",SUMIF('D-1 Off-Site Habitat Baseline'!$G$11:$G$258,'G-2 Habitat groups'!A18,'D-1 Off-Site Habitat Baseline'!$V$11:$V$258)+SUMIF('D-1 Off-Site Habitat Baseline'!$G$11:$G$258,'G-2 Habitat groups'!A18,'D-1 Off-Site Habitat Baseline'!$W$11:$W$258),SUMIF('D-1 Off-Site Habitat Baseline'!$G$11:$G$258,'G-2 Habitat groups'!A18,'D-1 Off-Site Habitat Baseline'!$H$11:$H$258))</f>
        <v>0</v>
      </c>
      <c r="T18" s="346">
        <f>SUMIF('D-1 Off-Site Habitat Baseline'!$G$11:$G$258,'G-2 Habitat groups'!A18,'D-1 Off-Site Habitat Baseline'!$T$11:$T$258)</f>
        <v>0</v>
      </c>
      <c r="U18" s="346">
        <f>SUMIF('D-1 Off-Site Habitat Baseline'!$G$11:$G$258,'G-2 Habitat groups'!A18,'D-1 Off-Site Habitat Baseline'!$V$11:$V$258)</f>
        <v>0</v>
      </c>
      <c r="V18" s="346">
        <f>SUMIF('D-1 Off-Site Habitat Baseline'!$G$11:$G$258,'G-2 Habitat groups'!A18,'D-1 Off-Site Habitat Baseline'!$X$11:$X$258)</f>
        <v>0</v>
      </c>
      <c r="W18" s="346">
        <f>SUMIF('D-2 Off-Site Habitat Creation'!$F$9:$F$255,'G-2 Habitat groups'!A18,'D-2 Off-Site Habitat Creation'!$G$9:$G$255)</f>
        <v>0</v>
      </c>
      <c r="X18" s="346">
        <f>SUMIF('D-2 Off-Site Habitat Creation'!$F$9:$F$255,'G-2 Habitat groups'!A18,'D-2 Off-Site Habitat Creation'!$AB$9:$AB$255)</f>
        <v>0</v>
      </c>
      <c r="Y18" s="346">
        <f>SUMIF('D-3 Off-Site Habitat Enhancment'!$S$12:$S$491,'G-2 Habitat groups'!A18,'D-3 Off-Site Habitat Enhancment'!$V$12:$V$491)</f>
        <v>0</v>
      </c>
      <c r="Z18" s="346">
        <f>SUMIF('D-3 Off-Site Habitat Enhancment'!$S$12:$S$491,'G-2 Habitat groups'!A18,'D-3 Off-Site Habitat Enhancment'!$AQ$12:$AQ$491)</f>
        <v>0</v>
      </c>
      <c r="AA18" s="346">
        <f t="shared" si="4"/>
        <v>0</v>
      </c>
      <c r="AB18" s="346">
        <f t="shared" si="13"/>
        <v>0</v>
      </c>
      <c r="AC18" s="346">
        <f t="shared" si="5"/>
        <v>0</v>
      </c>
      <c r="AD18" s="346">
        <f t="shared" si="14"/>
        <v>0</v>
      </c>
      <c r="AE18" s="346">
        <f t="shared" si="6"/>
        <v>0</v>
      </c>
      <c r="AF18" s="346">
        <f t="shared" si="15"/>
        <v>0</v>
      </c>
      <c r="AJ18" s="650" t="s">
        <v>137</v>
      </c>
      <c r="AK18" s="549">
        <f>SUMIF($B:$B,$AJ18,E:E)</f>
        <v>0</v>
      </c>
      <c r="AL18" s="549">
        <f t="shared" si="8"/>
        <v>0</v>
      </c>
      <c r="AM18" s="549">
        <f t="shared" si="9"/>
        <v>0</v>
      </c>
      <c r="AN18" s="549">
        <f t="shared" si="10"/>
        <v>0</v>
      </c>
      <c r="AO18" s="549">
        <f t="shared" si="11"/>
        <v>0</v>
      </c>
      <c r="AP18" s="549">
        <f t="shared" si="12"/>
        <v>0</v>
      </c>
      <c r="AU18" s="91" t="s">
        <v>776</v>
      </c>
      <c r="AV18" s="68" t="s">
        <v>130</v>
      </c>
      <c r="AW18" s="358">
        <f t="shared" si="17"/>
        <v>0</v>
      </c>
      <c r="AX18" s="358">
        <f t="shared" si="18"/>
        <v>0</v>
      </c>
      <c r="AY18" s="358">
        <f t="shared" si="19"/>
        <v>0</v>
      </c>
      <c r="AZ18" s="358">
        <f t="shared" si="20"/>
        <v>0</v>
      </c>
      <c r="BA18" s="358">
        <f t="shared" si="21"/>
        <v>0</v>
      </c>
      <c r="BB18" s="358">
        <f t="shared" si="22"/>
        <v>0</v>
      </c>
      <c r="BC18" s="358">
        <f t="shared" si="23"/>
        <v>0</v>
      </c>
      <c r="BD18" s="358">
        <f t="shared" si="24"/>
        <v>0</v>
      </c>
      <c r="BE18" s="358">
        <f t="shared" si="25"/>
        <v>0</v>
      </c>
      <c r="BF18" s="358" t="str">
        <f t="shared" si="26"/>
        <v/>
      </c>
      <c r="BG18" s="438">
        <f t="shared" si="16"/>
        <v>0</v>
      </c>
    </row>
    <row r="19" spans="1:59">
      <c r="A19" s="79" t="str">
        <f>'G-1 All Habitats'!B18</f>
        <v>Grassland - Lowland meadows</v>
      </c>
      <c r="B19" s="68" t="str">
        <f>'G-1 All Habitats'!F18</f>
        <v>Grassland</v>
      </c>
      <c r="C19" s="68" t="str">
        <f>'G-1 All Habitats'!K18</f>
        <v>V.High</v>
      </c>
      <c r="D19" s="68" t="str">
        <f>'G-1 All Habitats'!M18</f>
        <v>Bespoke compensation likely to be required 🛠</v>
      </c>
      <c r="E19" s="346">
        <f>IF(C19="V.High",SUMIF('A-1 On-Site Habitat Baseline'!$G$11:$G$258,'G-2 Habitat groups'!A19,'A-1 On-Site Habitat Baseline'!$S$11:$S$258)+SUMIF('A-1 On-Site Habitat Baseline'!$G$11:$G$258,'G-2 Habitat groups'!A19,'A-1 On-Site Habitat Baseline'!$T$11:$T$258),SUMIF('A-1 On-Site Habitat Baseline'!$G$11:$G$258,'G-2 Habitat groups'!A19,'A-1 On-Site Habitat Baseline'!$H$11:$H$258))</f>
        <v>0</v>
      </c>
      <c r="F19" s="346">
        <f>SUMIF('A-1 On-Site Habitat Baseline'!$G$11:$G$258,'G-2 Habitat groups'!A19,'A-1 On-Site Habitat Baseline'!$Q$11:$Q$258)</f>
        <v>0</v>
      </c>
      <c r="G19" s="346">
        <f>SUMIF('A-1 On-Site Habitat Baseline'!$G$11:$G$258,'G-2 Habitat groups'!A19,'A-1 On-Site Habitat Baseline'!$S$11:$S$258)</f>
        <v>0</v>
      </c>
      <c r="H19" s="346">
        <f>SUMIF('A-1 On-Site Habitat Baseline'!$G$11:$G$258,'G-2 Habitat groups'!A19,'A-1 On-Site Habitat Baseline'!$U$11:$U$258)</f>
        <v>0</v>
      </c>
      <c r="I19" s="346">
        <f>SUMIF('A-1 On-Site Habitat Baseline'!$G$11:$G$258,'G-2 Habitat groups'!A19,'A-1 On-Site Habitat Baseline'!$W$11:$W$258)</f>
        <v>0</v>
      </c>
      <c r="J19" s="346">
        <f>SUMIF('A-1 On-Site Habitat Baseline'!$G$11:$G$258,'G-2 Habitat groups'!A19,'A-1 On-Site Habitat Baseline'!$X$11:$X$258)</f>
        <v>0</v>
      </c>
      <c r="K19" s="346">
        <f>SUMIF('A-2 On-Site Habitat Creation'!$F$11:$F$256,'G-2 Habitat groups'!A19,'A-2 On-Site Habitat Creation'!$G$11:$G$256)</f>
        <v>0</v>
      </c>
      <c r="L19" s="346">
        <f>SUMIF('A-2 On-Site Habitat Creation'!$F$11:$F$256,'G-2 Habitat groups'!A19,'A-2 On-Site Habitat Creation'!$Y$11:$Y$256)</f>
        <v>0</v>
      </c>
      <c r="M19" s="346">
        <f>SUMIF('A-3 On-Site Habitat Enhancement'!$S$12:$S$257,'G-2 Habitat groups'!A19,'A-3 On-Site Habitat Enhancement'!$V$12:$V$257)</f>
        <v>0</v>
      </c>
      <c r="N19" s="346">
        <f>SUMIF('A-3 On-Site Habitat Enhancement'!$S$12:$S$257,'G-2 Habitat groups'!A19,'A-3 On-Site Habitat Enhancement'!$AN$12:$AN$257)</f>
        <v>0</v>
      </c>
      <c r="O19" s="346">
        <f t="shared" si="0"/>
        <v>0</v>
      </c>
      <c r="P19" s="346">
        <f t="shared" si="1"/>
        <v>0</v>
      </c>
      <c r="Q19" s="346">
        <f t="shared" si="2"/>
        <v>0</v>
      </c>
      <c r="R19" s="346">
        <f t="shared" si="3"/>
        <v>0</v>
      </c>
      <c r="S19" s="346">
        <f>IF(C19="V.High",SUMIF('D-1 Off-Site Habitat Baseline'!$G$11:$G$258,'G-2 Habitat groups'!A19,'D-1 Off-Site Habitat Baseline'!$V$11:$V$258)+SUMIF('D-1 Off-Site Habitat Baseline'!$G$11:$G$258,'G-2 Habitat groups'!A19,'D-1 Off-Site Habitat Baseline'!$W$11:$W$258),SUMIF('D-1 Off-Site Habitat Baseline'!$G$11:$G$258,'G-2 Habitat groups'!A19,'D-1 Off-Site Habitat Baseline'!$H$11:$H$258))</f>
        <v>0</v>
      </c>
      <c r="T19" s="346">
        <f>SUMIF('D-1 Off-Site Habitat Baseline'!$G$11:$G$258,'G-2 Habitat groups'!A19,'D-1 Off-Site Habitat Baseline'!$T$11:$T$258)</f>
        <v>0</v>
      </c>
      <c r="U19" s="346">
        <f>SUMIF('D-1 Off-Site Habitat Baseline'!$G$11:$G$258,'G-2 Habitat groups'!A19,'D-1 Off-Site Habitat Baseline'!$V$11:$V$258)</f>
        <v>0</v>
      </c>
      <c r="V19" s="346">
        <f>SUMIF('D-1 Off-Site Habitat Baseline'!$G$11:$G$258,'G-2 Habitat groups'!A19,'D-1 Off-Site Habitat Baseline'!$X$11:$X$258)</f>
        <v>0</v>
      </c>
      <c r="W19" s="346">
        <f>SUMIF('D-2 Off-Site Habitat Creation'!$F$9:$F$255,'G-2 Habitat groups'!A19,'D-2 Off-Site Habitat Creation'!$G$9:$G$255)</f>
        <v>0</v>
      </c>
      <c r="X19" s="346">
        <f>SUMIF('D-2 Off-Site Habitat Creation'!$F$9:$F$255,'G-2 Habitat groups'!A19,'D-2 Off-Site Habitat Creation'!$AB$9:$AB$255)</f>
        <v>0</v>
      </c>
      <c r="Y19" s="346">
        <f>SUMIF('D-3 Off-Site Habitat Enhancment'!$S$12:$S$491,'G-2 Habitat groups'!A19,'D-3 Off-Site Habitat Enhancment'!$V$12:$V$491)</f>
        <v>0</v>
      </c>
      <c r="Z19" s="346">
        <f>SUMIF('D-3 Off-Site Habitat Enhancment'!$S$12:$S$491,'G-2 Habitat groups'!A19,'D-3 Off-Site Habitat Enhancment'!$AQ$12:$AQ$491)</f>
        <v>0</v>
      </c>
      <c r="AA19" s="346">
        <f t="shared" si="4"/>
        <v>0</v>
      </c>
      <c r="AB19" s="346">
        <f t="shared" si="13"/>
        <v>0</v>
      </c>
      <c r="AC19" s="346">
        <f t="shared" si="5"/>
        <v>0</v>
      </c>
      <c r="AD19" s="346">
        <f t="shared" si="14"/>
        <v>0</v>
      </c>
      <c r="AE19" s="346">
        <f t="shared" si="6"/>
        <v>0</v>
      </c>
      <c r="AF19" s="346">
        <f t="shared" si="15"/>
        <v>0</v>
      </c>
      <c r="AU19" s="91" t="s">
        <v>821</v>
      </c>
      <c r="AV19" s="91" t="s">
        <v>131</v>
      </c>
      <c r="AW19" s="439">
        <f t="shared" si="17"/>
        <v>0</v>
      </c>
      <c r="AX19" s="439">
        <f t="shared" si="18"/>
        <v>0</v>
      </c>
      <c r="AY19" s="439">
        <f t="shared" si="19"/>
        <v>0</v>
      </c>
      <c r="AZ19" s="439">
        <f t="shared" si="20"/>
        <v>0</v>
      </c>
      <c r="BA19" s="439">
        <f t="shared" si="21"/>
        <v>0</v>
      </c>
      <c r="BB19" s="439">
        <f t="shared" si="22"/>
        <v>0</v>
      </c>
      <c r="BC19" s="439">
        <f t="shared" si="23"/>
        <v>0</v>
      </c>
      <c r="BD19" s="439">
        <f t="shared" si="24"/>
        <v>0</v>
      </c>
      <c r="BE19" s="439">
        <f t="shared" si="25"/>
        <v>0</v>
      </c>
      <c r="BF19" s="439" t="str">
        <f t="shared" si="26"/>
        <v/>
      </c>
      <c r="BG19" s="494">
        <f t="shared" si="16"/>
        <v>0</v>
      </c>
    </row>
    <row r="20" spans="1:59" ht="15.75">
      <c r="A20" s="79" t="str">
        <f>'G-1 All Habitats'!B19</f>
        <v>Grassland - Modified grassland</v>
      </c>
      <c r="B20" s="68" t="str">
        <f>'G-1 All Habitats'!F19</f>
        <v>Grassland</v>
      </c>
      <c r="C20" s="68" t="str">
        <f>'G-1 All Habitats'!K19</f>
        <v>Low</v>
      </c>
      <c r="D20" s="68" t="str">
        <f>'G-1 All Habitats'!M19</f>
        <v>Same distinctiveness or better habitat required ≥</v>
      </c>
      <c r="E20" s="346">
        <f>IF(C20="V.High",SUMIF('A-1 On-Site Habitat Baseline'!$G$11:$G$258,'G-2 Habitat groups'!A20,'A-1 On-Site Habitat Baseline'!$S$11:$S$258)+SUMIF('A-1 On-Site Habitat Baseline'!$G$11:$G$258,'G-2 Habitat groups'!A20,'A-1 On-Site Habitat Baseline'!$T$11:$T$258),SUMIF('A-1 On-Site Habitat Baseline'!$G$11:$G$258,'G-2 Habitat groups'!A20,'A-1 On-Site Habitat Baseline'!$H$11:$H$258))</f>
        <v>29.248000000000001</v>
      </c>
      <c r="F20" s="346">
        <f>SUMIF('A-1 On-Site Habitat Baseline'!$G$11:$G$258,'G-2 Habitat groups'!A20,'A-1 On-Site Habitat Baseline'!$Q$11:$Q$258)</f>
        <v>58.496000000000002</v>
      </c>
      <c r="G20" s="346">
        <f>SUMIF('A-1 On-Site Habitat Baseline'!$G$11:$G$258,'G-2 Habitat groups'!A20,'A-1 On-Site Habitat Baseline'!$S$11:$S$258)</f>
        <v>0</v>
      </c>
      <c r="H20" s="346">
        <f>SUMIF('A-1 On-Site Habitat Baseline'!$G$11:$G$258,'G-2 Habitat groups'!A20,'A-1 On-Site Habitat Baseline'!$U$11:$U$258)</f>
        <v>0</v>
      </c>
      <c r="I20" s="346">
        <f>SUMIF('A-1 On-Site Habitat Baseline'!$G$11:$G$258,'G-2 Habitat groups'!A20,'A-1 On-Site Habitat Baseline'!$W$11:$W$258)</f>
        <v>29.248000000000001</v>
      </c>
      <c r="J20" s="346">
        <f>SUMIF('A-1 On-Site Habitat Baseline'!$G$11:$G$258,'G-2 Habitat groups'!A20,'A-1 On-Site Habitat Baseline'!$X$11:$X$258)</f>
        <v>58.496000000000002</v>
      </c>
      <c r="K20" s="346">
        <f>SUMIF('A-2 On-Site Habitat Creation'!$F$11:$F$256,'G-2 Habitat groups'!A20,'A-2 On-Site Habitat Creation'!$G$11:$G$256)</f>
        <v>33.053000000000004</v>
      </c>
      <c r="L20" s="346">
        <f>SUMIF('A-2 On-Site Habitat Creation'!$F$11:$F$256,'G-2 Habitat groups'!A20,'A-2 On-Site Habitat Creation'!$Y$11:$Y$256)</f>
        <v>114.6516022393272</v>
      </c>
      <c r="M20" s="346">
        <f>SUMIF('A-3 On-Site Habitat Enhancement'!$S$12:$S$257,'G-2 Habitat groups'!A20,'A-3 On-Site Habitat Enhancement'!$V$12:$V$257)</f>
        <v>0</v>
      </c>
      <c r="N20" s="346">
        <f>SUMIF('A-3 On-Site Habitat Enhancement'!$S$12:$S$257,'G-2 Habitat groups'!A20,'A-3 On-Site Habitat Enhancement'!$AN$12:$AN$257)</f>
        <v>0</v>
      </c>
      <c r="O20" s="346">
        <f t="shared" si="0"/>
        <v>33.053000000000004</v>
      </c>
      <c r="P20" s="346">
        <f t="shared" si="1"/>
        <v>114.6516022393272</v>
      </c>
      <c r="Q20" s="346">
        <f t="shared" si="2"/>
        <v>3.8050000000000033</v>
      </c>
      <c r="R20" s="346">
        <f t="shared" si="3"/>
        <v>56.155602239327202</v>
      </c>
      <c r="S20" s="346">
        <f>IF(C20="V.High",SUMIF('D-1 Off-Site Habitat Baseline'!$G$11:$G$258,'G-2 Habitat groups'!A20,'D-1 Off-Site Habitat Baseline'!$V$11:$V$258)+SUMIF('D-1 Off-Site Habitat Baseline'!$G$11:$G$258,'G-2 Habitat groups'!A20,'D-1 Off-Site Habitat Baseline'!$W$11:$W$258),SUMIF('D-1 Off-Site Habitat Baseline'!$G$11:$G$258,'G-2 Habitat groups'!A20,'D-1 Off-Site Habitat Baseline'!$H$11:$H$258))</f>
        <v>0</v>
      </c>
      <c r="T20" s="346">
        <f>SUMIF('D-1 Off-Site Habitat Baseline'!$G$11:$G$258,'G-2 Habitat groups'!A20,'D-1 Off-Site Habitat Baseline'!$T$11:$T$258)</f>
        <v>0</v>
      </c>
      <c r="U20" s="346">
        <f>SUMIF('D-1 Off-Site Habitat Baseline'!$G$11:$G$258,'G-2 Habitat groups'!A20,'D-1 Off-Site Habitat Baseline'!$V$11:$V$258)</f>
        <v>0</v>
      </c>
      <c r="V20" s="346">
        <f>SUMIF('D-1 Off-Site Habitat Baseline'!$G$11:$G$258,'G-2 Habitat groups'!A20,'D-1 Off-Site Habitat Baseline'!$X$11:$X$258)</f>
        <v>0</v>
      </c>
      <c r="W20" s="346">
        <f>SUMIF('D-2 Off-Site Habitat Creation'!$F$9:$F$255,'G-2 Habitat groups'!A20,'D-2 Off-Site Habitat Creation'!$G$9:$G$255)</f>
        <v>0</v>
      </c>
      <c r="X20" s="346">
        <f>SUMIF('D-2 Off-Site Habitat Creation'!$F$9:$F$255,'G-2 Habitat groups'!A20,'D-2 Off-Site Habitat Creation'!$AB$9:$AB$255)</f>
        <v>0</v>
      </c>
      <c r="Y20" s="346">
        <f>SUMIF('D-3 Off-Site Habitat Enhancment'!$S$12:$S$491,'G-2 Habitat groups'!A20,'D-3 Off-Site Habitat Enhancment'!$V$12:$V$491)</f>
        <v>0</v>
      </c>
      <c r="Z20" s="346">
        <f>SUMIF('D-3 Off-Site Habitat Enhancment'!$S$12:$S$491,'G-2 Habitat groups'!A20,'D-3 Off-Site Habitat Enhancment'!$AQ$12:$AQ$491)</f>
        <v>0</v>
      </c>
      <c r="AA20" s="346">
        <f t="shared" si="4"/>
        <v>0</v>
      </c>
      <c r="AB20" s="346">
        <f t="shared" si="13"/>
        <v>0</v>
      </c>
      <c r="AC20" s="346">
        <f t="shared" si="5"/>
        <v>0</v>
      </c>
      <c r="AD20" s="346">
        <f t="shared" si="14"/>
        <v>0</v>
      </c>
      <c r="AE20" s="346">
        <f t="shared" si="6"/>
        <v>3.8050000000000033</v>
      </c>
      <c r="AF20" s="346">
        <f t="shared" si="15"/>
        <v>56.155602239327202</v>
      </c>
      <c r="AJ20" s="539" t="s">
        <v>980</v>
      </c>
      <c r="AK20" s="539" t="s">
        <v>964</v>
      </c>
      <c r="AL20" s="539" t="s">
        <v>965</v>
      </c>
      <c r="AM20" s="539" t="s">
        <v>981</v>
      </c>
      <c r="AN20" s="539" t="s">
        <v>982</v>
      </c>
      <c r="AO20" s="539" t="s">
        <v>146</v>
      </c>
      <c r="AP20" s="539" t="s">
        <v>983</v>
      </c>
      <c r="AU20" s="91" t="s">
        <v>831</v>
      </c>
      <c r="AV20" s="68" t="s">
        <v>984</v>
      </c>
      <c r="AW20" s="358">
        <f t="shared" si="17"/>
        <v>0</v>
      </c>
      <c r="AX20" s="358">
        <f t="shared" si="18"/>
        <v>0</v>
      </c>
      <c r="AY20" s="358">
        <f t="shared" si="19"/>
        <v>0</v>
      </c>
      <c r="AZ20" s="358">
        <f t="shared" si="20"/>
        <v>0</v>
      </c>
      <c r="BA20" s="358">
        <f t="shared" si="21"/>
        <v>0</v>
      </c>
      <c r="BB20" s="358">
        <f t="shared" si="22"/>
        <v>0</v>
      </c>
      <c r="BC20" s="358">
        <f t="shared" si="23"/>
        <v>0</v>
      </c>
      <c r="BD20" s="358">
        <f t="shared" si="24"/>
        <v>0</v>
      </c>
      <c r="BE20" s="358">
        <f t="shared" si="25"/>
        <v>0</v>
      </c>
      <c r="BF20" s="358" t="str">
        <f t="shared" si="26"/>
        <v/>
      </c>
      <c r="BG20" s="438">
        <f t="shared" si="16"/>
        <v>0</v>
      </c>
    </row>
    <row r="21" spans="1:59">
      <c r="A21" s="79" t="str">
        <f>'G-1 All Habitats'!B20</f>
        <v>Grassland - Other lowland acid grassland</v>
      </c>
      <c r="B21" s="68" t="str">
        <f>'G-1 All Habitats'!F20</f>
        <v>Grassland</v>
      </c>
      <c r="C21" s="68" t="str">
        <f>'G-1 All Habitats'!K20</f>
        <v>Medium</v>
      </c>
      <c r="D21" s="68" t="str">
        <f>'G-1 All Habitats'!M20</f>
        <v>Same broad habitat or a higher distinctiveness habitat required (≥)</v>
      </c>
      <c r="E21" s="346">
        <f>IF(C21="V.High",SUMIF('A-1 On-Site Habitat Baseline'!$G$11:$G$258,'G-2 Habitat groups'!A21,'A-1 On-Site Habitat Baseline'!$S$11:$S$258)+SUMIF('A-1 On-Site Habitat Baseline'!$G$11:$G$258,'G-2 Habitat groups'!A21,'A-1 On-Site Habitat Baseline'!$T$11:$T$258),SUMIF('A-1 On-Site Habitat Baseline'!$G$11:$G$258,'G-2 Habitat groups'!A21,'A-1 On-Site Habitat Baseline'!$H$11:$H$258))</f>
        <v>0</v>
      </c>
      <c r="F21" s="346">
        <f>SUMIF('A-1 On-Site Habitat Baseline'!$G$11:$G$258,'G-2 Habitat groups'!A21,'A-1 On-Site Habitat Baseline'!$Q$11:$Q$258)</f>
        <v>0</v>
      </c>
      <c r="G21" s="346">
        <f>SUMIF('A-1 On-Site Habitat Baseline'!$G$11:$G$258,'G-2 Habitat groups'!A21,'A-1 On-Site Habitat Baseline'!$S$11:$S$258)</f>
        <v>0</v>
      </c>
      <c r="H21" s="346">
        <f>SUMIF('A-1 On-Site Habitat Baseline'!$G$11:$G$258,'G-2 Habitat groups'!A21,'A-1 On-Site Habitat Baseline'!$U$11:$U$258)</f>
        <v>0</v>
      </c>
      <c r="I21" s="346">
        <f>SUMIF('A-1 On-Site Habitat Baseline'!$G$11:$G$258,'G-2 Habitat groups'!A21,'A-1 On-Site Habitat Baseline'!$W$11:$W$258)</f>
        <v>0</v>
      </c>
      <c r="J21" s="346">
        <f>SUMIF('A-1 On-Site Habitat Baseline'!$G$11:$G$258,'G-2 Habitat groups'!A21,'A-1 On-Site Habitat Baseline'!$X$11:$X$258)</f>
        <v>0</v>
      </c>
      <c r="K21" s="346">
        <f>SUMIF('A-2 On-Site Habitat Creation'!$F$11:$F$256,'G-2 Habitat groups'!A21,'A-2 On-Site Habitat Creation'!$G$11:$G$256)</f>
        <v>0</v>
      </c>
      <c r="L21" s="346">
        <f>SUMIF('A-2 On-Site Habitat Creation'!$F$11:$F$256,'G-2 Habitat groups'!A21,'A-2 On-Site Habitat Creation'!$Y$11:$Y$256)</f>
        <v>0</v>
      </c>
      <c r="M21" s="346">
        <f>SUMIF('A-3 On-Site Habitat Enhancement'!$S$12:$S$257,'G-2 Habitat groups'!A21,'A-3 On-Site Habitat Enhancement'!$V$12:$V$257)</f>
        <v>0</v>
      </c>
      <c r="N21" s="346">
        <f>SUMIF('A-3 On-Site Habitat Enhancement'!$S$12:$S$257,'G-2 Habitat groups'!A21,'A-3 On-Site Habitat Enhancement'!$AN$12:$AN$257)</f>
        <v>0</v>
      </c>
      <c r="O21" s="346">
        <f t="shared" si="0"/>
        <v>0</v>
      </c>
      <c r="P21" s="346">
        <f t="shared" si="1"/>
        <v>0</v>
      </c>
      <c r="Q21" s="346">
        <f t="shared" si="2"/>
        <v>0</v>
      </c>
      <c r="R21" s="346">
        <f t="shared" si="3"/>
        <v>0</v>
      </c>
      <c r="S21" s="346">
        <f>IF(C21="V.High",SUMIF('D-1 Off-Site Habitat Baseline'!$G$11:$G$258,'G-2 Habitat groups'!A21,'D-1 Off-Site Habitat Baseline'!$V$11:$V$258)+SUMIF('D-1 Off-Site Habitat Baseline'!$G$11:$G$258,'G-2 Habitat groups'!A21,'D-1 Off-Site Habitat Baseline'!$W$11:$W$258),SUMIF('D-1 Off-Site Habitat Baseline'!$G$11:$G$258,'G-2 Habitat groups'!A21,'D-1 Off-Site Habitat Baseline'!$H$11:$H$258))</f>
        <v>0</v>
      </c>
      <c r="T21" s="346">
        <f>SUMIF('D-1 Off-Site Habitat Baseline'!$G$11:$G$258,'G-2 Habitat groups'!A21,'D-1 Off-Site Habitat Baseline'!$T$11:$T$258)</f>
        <v>0</v>
      </c>
      <c r="U21" s="346">
        <f>SUMIF('D-1 Off-Site Habitat Baseline'!$G$11:$G$258,'G-2 Habitat groups'!A21,'D-1 Off-Site Habitat Baseline'!$V$11:$V$258)</f>
        <v>0</v>
      </c>
      <c r="V21" s="346">
        <f>SUMIF('D-1 Off-Site Habitat Baseline'!$G$11:$G$258,'G-2 Habitat groups'!A21,'D-1 Off-Site Habitat Baseline'!$X$11:$X$258)</f>
        <v>0</v>
      </c>
      <c r="W21" s="346">
        <f>SUMIF('D-2 Off-Site Habitat Creation'!$F$9:$F$255,'G-2 Habitat groups'!A21,'D-2 Off-Site Habitat Creation'!$G$9:$G$255)</f>
        <v>0</v>
      </c>
      <c r="X21" s="346">
        <f>SUMIF('D-2 Off-Site Habitat Creation'!$F$9:$F$255,'G-2 Habitat groups'!A21,'D-2 Off-Site Habitat Creation'!$AB$9:$AB$255)</f>
        <v>0</v>
      </c>
      <c r="Y21" s="346">
        <f>SUMIF('D-3 Off-Site Habitat Enhancment'!$S$12:$S$491,'G-2 Habitat groups'!A21,'D-3 Off-Site Habitat Enhancment'!$V$12:$V$491)</f>
        <v>0</v>
      </c>
      <c r="Z21" s="346">
        <f>SUMIF('D-3 Off-Site Habitat Enhancment'!$S$12:$S$491,'G-2 Habitat groups'!A21,'D-3 Off-Site Habitat Enhancment'!$AQ$12:$AQ$491)</f>
        <v>0</v>
      </c>
      <c r="AA21" s="346">
        <f t="shared" si="4"/>
        <v>0</v>
      </c>
      <c r="AB21" s="346">
        <f t="shared" si="13"/>
        <v>0</v>
      </c>
      <c r="AC21" s="346">
        <f t="shared" si="5"/>
        <v>0</v>
      </c>
      <c r="AD21" s="346">
        <f t="shared" si="14"/>
        <v>0</v>
      </c>
      <c r="AE21" s="346">
        <f t="shared" si="6"/>
        <v>0</v>
      </c>
      <c r="AF21" s="346">
        <f t="shared" si="15"/>
        <v>0</v>
      </c>
      <c r="AJ21" s="81" t="s">
        <v>124</v>
      </c>
      <c r="AK21" s="549">
        <f t="shared" ref="AK21:AK35" si="27">SUMIF($B:$B,$AJ21,S:S)</f>
        <v>0</v>
      </c>
      <c r="AL21" s="549">
        <f t="shared" ref="AL21:AL35" si="28">SUMIF($B:$B,$AJ21,T:T)</f>
        <v>0</v>
      </c>
      <c r="AM21" s="549">
        <f t="shared" ref="AM21:AM35" si="29">SUMIF($B:$B,$AJ21,AA:AA)</f>
        <v>0</v>
      </c>
      <c r="AN21" s="549">
        <f t="shared" ref="AN21:AN35" si="30">SUMIF($B:$B,$AJ21,AB:AB)</f>
        <v>0</v>
      </c>
      <c r="AO21" s="651">
        <f t="shared" ref="AO21:AO35" si="31">SUMIF($B:$B,$AJ21,AC:AC)</f>
        <v>0</v>
      </c>
      <c r="AP21" s="651">
        <f t="shared" ref="AP21:AP35" si="32">SUMIF($B:$B,$AJ21,AD:AD)</f>
        <v>0</v>
      </c>
      <c r="AU21" s="91" t="s">
        <v>838</v>
      </c>
      <c r="AV21" s="68" t="s">
        <v>984</v>
      </c>
      <c r="AW21" s="358">
        <f t="shared" si="17"/>
        <v>0</v>
      </c>
      <c r="AX21" s="358">
        <f t="shared" si="18"/>
        <v>0</v>
      </c>
      <c r="AY21" s="358">
        <f t="shared" si="19"/>
        <v>0</v>
      </c>
      <c r="AZ21" s="358">
        <f t="shared" si="20"/>
        <v>0</v>
      </c>
      <c r="BA21" s="358">
        <f t="shared" si="21"/>
        <v>0</v>
      </c>
      <c r="BB21" s="358">
        <f t="shared" si="22"/>
        <v>0</v>
      </c>
      <c r="BC21" s="358">
        <f t="shared" si="23"/>
        <v>0</v>
      </c>
      <c r="BD21" s="358">
        <f t="shared" si="24"/>
        <v>0</v>
      </c>
      <c r="BE21" s="358">
        <f t="shared" si="25"/>
        <v>0</v>
      </c>
      <c r="BF21" s="358" t="str">
        <f t="shared" si="26"/>
        <v/>
      </c>
      <c r="BG21" s="438">
        <f t="shared" si="16"/>
        <v>0</v>
      </c>
    </row>
    <row r="22" spans="1:59">
      <c r="A22" s="79" t="str">
        <f>'G-1 All Habitats'!B21</f>
        <v>Grassland - Other neutral grassland</v>
      </c>
      <c r="B22" s="68" t="str">
        <f>'G-1 All Habitats'!F21</f>
        <v>Grassland</v>
      </c>
      <c r="C22" s="68" t="str">
        <f>'G-1 All Habitats'!K21</f>
        <v>Medium</v>
      </c>
      <c r="D22" s="68" t="str">
        <f>'G-1 All Habitats'!M21</f>
        <v>Same broad habitat or a higher distinctiveness habitat required (≥)</v>
      </c>
      <c r="E22" s="346">
        <f>IF(C22="V.High",SUMIF('A-1 On-Site Habitat Baseline'!$G$11:$G$258,'G-2 Habitat groups'!A22,'A-1 On-Site Habitat Baseline'!$S$11:$S$258)+SUMIF('A-1 On-Site Habitat Baseline'!$G$11:$G$258,'G-2 Habitat groups'!A22,'A-1 On-Site Habitat Baseline'!$T$11:$T$258),SUMIF('A-1 On-Site Habitat Baseline'!$G$11:$G$258,'G-2 Habitat groups'!A22,'A-1 On-Site Habitat Baseline'!$H$11:$H$258))</f>
        <v>0.34</v>
      </c>
      <c r="F22" s="346">
        <f>SUMIF('A-1 On-Site Habitat Baseline'!$G$11:$G$258,'G-2 Habitat groups'!A22,'A-1 On-Site Habitat Baseline'!$Q$11:$Q$258)</f>
        <v>2.72</v>
      </c>
      <c r="G22" s="346">
        <f>SUMIF('A-1 On-Site Habitat Baseline'!$G$11:$G$258,'G-2 Habitat groups'!A22,'A-1 On-Site Habitat Baseline'!$S$11:$S$258)</f>
        <v>0.34</v>
      </c>
      <c r="H22" s="346">
        <f>SUMIF('A-1 On-Site Habitat Baseline'!$G$11:$G$258,'G-2 Habitat groups'!A22,'A-1 On-Site Habitat Baseline'!$U$11:$U$258)</f>
        <v>2.72</v>
      </c>
      <c r="I22" s="346">
        <f>SUMIF('A-1 On-Site Habitat Baseline'!$G$11:$G$258,'G-2 Habitat groups'!A22,'A-1 On-Site Habitat Baseline'!$W$11:$W$258)</f>
        <v>0</v>
      </c>
      <c r="J22" s="346">
        <f>SUMIF('A-1 On-Site Habitat Baseline'!$G$11:$G$258,'G-2 Habitat groups'!A22,'A-1 On-Site Habitat Baseline'!$X$11:$X$258)</f>
        <v>0</v>
      </c>
      <c r="K22" s="346">
        <f>SUMIF('A-2 On-Site Habitat Creation'!$F$11:$F$256,'G-2 Habitat groups'!A22,'A-2 On-Site Habitat Creation'!$G$11:$G$256)</f>
        <v>9.5290000000000017</v>
      </c>
      <c r="L22" s="346">
        <f>SUMIF('A-2 On-Site Habitat Creation'!$F$11:$F$256,'G-2 Habitat groups'!A22,'A-2 On-Site Habitat Creation'!$Y$11:$Y$256)</f>
        <v>63.793125504139212</v>
      </c>
      <c r="M22" s="346">
        <f>SUMIF('A-3 On-Site Habitat Enhancement'!$S$12:$S$257,'G-2 Habitat groups'!A22,'A-3 On-Site Habitat Enhancement'!$V$12:$V$257)</f>
        <v>0</v>
      </c>
      <c r="N22" s="346">
        <f>SUMIF('A-3 On-Site Habitat Enhancement'!$S$12:$S$257,'G-2 Habitat groups'!A22,'A-3 On-Site Habitat Enhancement'!$AN$12:$AN$257)</f>
        <v>0</v>
      </c>
      <c r="O22" s="346">
        <f t="shared" si="0"/>
        <v>9.8690000000000015</v>
      </c>
      <c r="P22" s="346">
        <f t="shared" si="1"/>
        <v>66.513125504139211</v>
      </c>
      <c r="Q22" s="346">
        <f t="shared" si="2"/>
        <v>9.5290000000000017</v>
      </c>
      <c r="R22" s="346">
        <f t="shared" si="3"/>
        <v>63.793125504139212</v>
      </c>
      <c r="S22" s="346">
        <f>IF(C22="V.High",SUMIF('D-1 Off-Site Habitat Baseline'!$G$11:$G$258,'G-2 Habitat groups'!A22,'D-1 Off-Site Habitat Baseline'!$V$11:$V$258)+SUMIF('D-1 Off-Site Habitat Baseline'!$G$11:$G$258,'G-2 Habitat groups'!A22,'D-1 Off-Site Habitat Baseline'!$W$11:$W$258),SUMIF('D-1 Off-Site Habitat Baseline'!$G$11:$G$258,'G-2 Habitat groups'!A22,'D-1 Off-Site Habitat Baseline'!$H$11:$H$258))</f>
        <v>0</v>
      </c>
      <c r="T22" s="346">
        <f>SUMIF('D-1 Off-Site Habitat Baseline'!$G$11:$G$258,'G-2 Habitat groups'!A22,'D-1 Off-Site Habitat Baseline'!$T$11:$T$258)</f>
        <v>0</v>
      </c>
      <c r="U22" s="346">
        <f>SUMIF('D-1 Off-Site Habitat Baseline'!$G$11:$G$258,'G-2 Habitat groups'!A22,'D-1 Off-Site Habitat Baseline'!$V$11:$V$258)</f>
        <v>0</v>
      </c>
      <c r="V22" s="346">
        <f>SUMIF('D-1 Off-Site Habitat Baseline'!$G$11:$G$258,'G-2 Habitat groups'!A22,'D-1 Off-Site Habitat Baseline'!$X$11:$X$258)</f>
        <v>0</v>
      </c>
      <c r="W22" s="346">
        <f>SUMIF('D-2 Off-Site Habitat Creation'!$F$9:$F$255,'G-2 Habitat groups'!A22,'D-2 Off-Site Habitat Creation'!$G$9:$G$255)</f>
        <v>0</v>
      </c>
      <c r="X22" s="346">
        <f>SUMIF('D-2 Off-Site Habitat Creation'!$F$9:$F$255,'G-2 Habitat groups'!A22,'D-2 Off-Site Habitat Creation'!$AB$9:$AB$255)</f>
        <v>0</v>
      </c>
      <c r="Y22" s="346">
        <f>SUMIF('D-3 Off-Site Habitat Enhancment'!$S$12:$S$491,'G-2 Habitat groups'!A22,'D-3 Off-Site Habitat Enhancment'!$V$12:$V$491)</f>
        <v>0</v>
      </c>
      <c r="Z22" s="346">
        <f>SUMIF('D-3 Off-Site Habitat Enhancment'!$S$12:$S$491,'G-2 Habitat groups'!A22,'D-3 Off-Site Habitat Enhancment'!$AQ$12:$AQ$491)</f>
        <v>0</v>
      </c>
      <c r="AA22" s="346">
        <f t="shared" si="4"/>
        <v>0</v>
      </c>
      <c r="AB22" s="346">
        <f t="shared" si="13"/>
        <v>0</v>
      </c>
      <c r="AC22" s="346">
        <f t="shared" si="5"/>
        <v>0</v>
      </c>
      <c r="AD22" s="346">
        <f t="shared" si="14"/>
        <v>0</v>
      </c>
      <c r="AE22" s="346">
        <f t="shared" si="6"/>
        <v>9.5290000000000017</v>
      </c>
      <c r="AF22" s="346">
        <f t="shared" si="15"/>
        <v>63.793125504139212</v>
      </c>
      <c r="AJ22" s="82" t="s">
        <v>125</v>
      </c>
      <c r="AK22" s="549">
        <f t="shared" si="27"/>
        <v>0</v>
      </c>
      <c r="AL22" s="549">
        <f t="shared" si="28"/>
        <v>0</v>
      </c>
      <c r="AM22" s="549">
        <f t="shared" si="29"/>
        <v>0</v>
      </c>
      <c r="AN22" s="549">
        <f t="shared" si="30"/>
        <v>0</v>
      </c>
      <c r="AO22" s="651">
        <f t="shared" si="31"/>
        <v>0</v>
      </c>
      <c r="AP22" s="651">
        <f t="shared" si="32"/>
        <v>0</v>
      </c>
      <c r="AU22" s="91" t="s">
        <v>845</v>
      </c>
      <c r="AV22" s="68" t="s">
        <v>984</v>
      </c>
      <c r="AW22" s="358">
        <f t="shared" si="17"/>
        <v>0</v>
      </c>
      <c r="AX22" s="358">
        <f t="shared" si="18"/>
        <v>0</v>
      </c>
      <c r="AY22" s="358">
        <f t="shared" si="19"/>
        <v>0</v>
      </c>
      <c r="AZ22" s="358">
        <f t="shared" si="20"/>
        <v>0</v>
      </c>
      <c r="BA22" s="358">
        <f t="shared" si="21"/>
        <v>0</v>
      </c>
      <c r="BB22" s="358">
        <f t="shared" si="22"/>
        <v>0</v>
      </c>
      <c r="BC22" s="358">
        <f t="shared" si="23"/>
        <v>0</v>
      </c>
      <c r="BD22" s="358">
        <f t="shared" si="24"/>
        <v>0</v>
      </c>
      <c r="BE22" s="358">
        <f t="shared" si="25"/>
        <v>0</v>
      </c>
      <c r="BF22" s="358" t="str">
        <f t="shared" si="26"/>
        <v/>
      </c>
      <c r="BG22" s="438">
        <f t="shared" si="16"/>
        <v>0</v>
      </c>
    </row>
    <row r="23" spans="1:59" ht="18.600000000000001" customHeight="1">
      <c r="A23" s="79" t="str">
        <f>'G-1 All Habitats'!B22</f>
        <v>Grassland - Tall herb communities (H6430)</v>
      </c>
      <c r="B23" s="68" t="str">
        <f>'G-1 All Habitats'!F22</f>
        <v>Grassland</v>
      </c>
      <c r="C23" s="68" t="str">
        <f>'G-1 All Habitats'!K22</f>
        <v>High</v>
      </c>
      <c r="D23" s="68" t="str">
        <f>'G-1 All Habitats'!M22</f>
        <v>Same habitat required =</v>
      </c>
      <c r="E23" s="346">
        <f>IF(C23="V.High",SUMIF('A-1 On-Site Habitat Baseline'!$G$11:$G$258,'G-2 Habitat groups'!A23,'A-1 On-Site Habitat Baseline'!$S$11:$S$258)+SUMIF('A-1 On-Site Habitat Baseline'!$G$11:$G$258,'G-2 Habitat groups'!A23,'A-1 On-Site Habitat Baseline'!$T$11:$T$258),SUMIF('A-1 On-Site Habitat Baseline'!$G$11:$G$258,'G-2 Habitat groups'!A23,'A-1 On-Site Habitat Baseline'!$H$11:$H$258))</f>
        <v>0</v>
      </c>
      <c r="F23" s="346">
        <f>SUMIF('A-1 On-Site Habitat Baseline'!$G$11:$G$258,'G-2 Habitat groups'!A23,'A-1 On-Site Habitat Baseline'!$Q$11:$Q$258)</f>
        <v>0</v>
      </c>
      <c r="G23" s="346">
        <f>SUMIF('A-1 On-Site Habitat Baseline'!$G$11:$G$258,'G-2 Habitat groups'!A23,'A-1 On-Site Habitat Baseline'!$S$11:$S$258)</f>
        <v>0</v>
      </c>
      <c r="H23" s="346">
        <f>SUMIF('A-1 On-Site Habitat Baseline'!$G$11:$G$258,'G-2 Habitat groups'!A23,'A-1 On-Site Habitat Baseline'!$U$11:$U$258)</f>
        <v>0</v>
      </c>
      <c r="I23" s="346">
        <f>SUMIF('A-1 On-Site Habitat Baseline'!$G$11:$G$258,'G-2 Habitat groups'!A23,'A-1 On-Site Habitat Baseline'!$W$11:$W$258)</f>
        <v>0</v>
      </c>
      <c r="J23" s="346">
        <f>SUMIF('A-1 On-Site Habitat Baseline'!$G$11:$G$258,'G-2 Habitat groups'!A23,'A-1 On-Site Habitat Baseline'!$X$11:$X$258)</f>
        <v>0</v>
      </c>
      <c r="K23" s="346">
        <f>SUMIF('A-2 On-Site Habitat Creation'!$F$11:$F$256,'G-2 Habitat groups'!A23,'A-2 On-Site Habitat Creation'!$G$11:$G$256)</f>
        <v>0</v>
      </c>
      <c r="L23" s="346">
        <f>SUMIF('A-2 On-Site Habitat Creation'!$F$11:$F$256,'G-2 Habitat groups'!A23,'A-2 On-Site Habitat Creation'!$Y$11:$Y$256)</f>
        <v>0</v>
      </c>
      <c r="M23" s="346">
        <f>SUMIF('A-3 On-Site Habitat Enhancement'!$S$12:$S$257,'G-2 Habitat groups'!A23,'A-3 On-Site Habitat Enhancement'!$V$12:$V$257)</f>
        <v>0</v>
      </c>
      <c r="N23" s="346">
        <f>SUMIF('A-3 On-Site Habitat Enhancement'!$S$12:$S$257,'G-2 Habitat groups'!A23,'A-3 On-Site Habitat Enhancement'!$AN$12:$AN$257)</f>
        <v>0</v>
      </c>
      <c r="O23" s="346">
        <f t="shared" si="0"/>
        <v>0</v>
      </c>
      <c r="P23" s="346">
        <f t="shared" si="1"/>
        <v>0</v>
      </c>
      <c r="Q23" s="346">
        <f t="shared" si="2"/>
        <v>0</v>
      </c>
      <c r="R23" s="346">
        <f t="shared" si="3"/>
        <v>0</v>
      </c>
      <c r="S23" s="346">
        <f>IF(C23="V.High",SUMIF('D-1 Off-Site Habitat Baseline'!$G$11:$G$258,'G-2 Habitat groups'!A23,'D-1 Off-Site Habitat Baseline'!$V$11:$V$258)+SUMIF('D-1 Off-Site Habitat Baseline'!$G$11:$G$258,'G-2 Habitat groups'!A23,'D-1 Off-Site Habitat Baseline'!$W$11:$W$258),SUMIF('D-1 Off-Site Habitat Baseline'!$G$11:$G$258,'G-2 Habitat groups'!A23,'D-1 Off-Site Habitat Baseline'!$H$11:$H$258))</f>
        <v>0</v>
      </c>
      <c r="T23" s="346">
        <f>SUMIF('D-1 Off-Site Habitat Baseline'!$G$11:$G$258,'G-2 Habitat groups'!A23,'D-1 Off-Site Habitat Baseline'!$T$11:$T$258)</f>
        <v>0</v>
      </c>
      <c r="U23" s="346">
        <f>SUMIF('D-1 Off-Site Habitat Baseline'!$G$11:$G$258,'G-2 Habitat groups'!A23,'D-1 Off-Site Habitat Baseline'!$V$11:$V$258)</f>
        <v>0</v>
      </c>
      <c r="V23" s="346">
        <f>SUMIF('D-1 Off-Site Habitat Baseline'!$G$11:$G$258,'G-2 Habitat groups'!A23,'D-1 Off-Site Habitat Baseline'!$X$11:$X$258)</f>
        <v>0</v>
      </c>
      <c r="W23" s="346">
        <f>SUMIF('D-2 Off-Site Habitat Creation'!$F$9:$F$255,'G-2 Habitat groups'!A23,'D-2 Off-Site Habitat Creation'!$G$9:$G$255)</f>
        <v>0</v>
      </c>
      <c r="X23" s="346">
        <f>SUMIF('D-2 Off-Site Habitat Creation'!$F$9:$F$255,'G-2 Habitat groups'!A23,'D-2 Off-Site Habitat Creation'!$AB$9:$AB$255)</f>
        <v>0</v>
      </c>
      <c r="Y23" s="346">
        <f>SUMIF('D-3 Off-Site Habitat Enhancment'!$S$12:$S$491,'G-2 Habitat groups'!A23,'D-3 Off-Site Habitat Enhancment'!$V$12:$V$491)</f>
        <v>0</v>
      </c>
      <c r="Z23" s="346">
        <f>SUMIF('D-3 Off-Site Habitat Enhancment'!$S$12:$S$491,'G-2 Habitat groups'!A23,'D-3 Off-Site Habitat Enhancment'!$AQ$12:$AQ$491)</f>
        <v>0</v>
      </c>
      <c r="AA23" s="346">
        <f t="shared" si="4"/>
        <v>0</v>
      </c>
      <c r="AB23" s="346">
        <f t="shared" si="13"/>
        <v>0</v>
      </c>
      <c r="AC23" s="346">
        <f t="shared" si="5"/>
        <v>0</v>
      </c>
      <c r="AD23" s="346">
        <f t="shared" si="14"/>
        <v>0</v>
      </c>
      <c r="AE23" s="346">
        <f t="shared" si="6"/>
        <v>0</v>
      </c>
      <c r="AF23" s="346">
        <f t="shared" si="15"/>
        <v>0</v>
      </c>
      <c r="AJ23" s="82" t="s">
        <v>126</v>
      </c>
      <c r="AK23" s="549">
        <f t="shared" si="27"/>
        <v>0</v>
      </c>
      <c r="AL23" s="549">
        <f t="shared" si="28"/>
        <v>0</v>
      </c>
      <c r="AM23" s="549">
        <f t="shared" si="29"/>
        <v>0</v>
      </c>
      <c r="AN23" s="549">
        <f t="shared" si="30"/>
        <v>0</v>
      </c>
      <c r="AO23" s="651">
        <f t="shared" si="31"/>
        <v>0</v>
      </c>
      <c r="AP23" s="651">
        <f t="shared" si="32"/>
        <v>0</v>
      </c>
      <c r="AU23" s="91" t="s">
        <v>852</v>
      </c>
      <c r="AV23" s="68" t="s">
        <v>984</v>
      </c>
      <c r="AW23" s="358">
        <f t="shared" si="17"/>
        <v>0</v>
      </c>
      <c r="AX23" s="358">
        <f t="shared" si="18"/>
        <v>0</v>
      </c>
      <c r="AY23" s="358">
        <f t="shared" si="19"/>
        <v>0</v>
      </c>
      <c r="AZ23" s="358">
        <f t="shared" si="20"/>
        <v>0</v>
      </c>
      <c r="BA23" s="358">
        <f t="shared" si="21"/>
        <v>0</v>
      </c>
      <c r="BB23" s="358">
        <f t="shared" si="22"/>
        <v>0</v>
      </c>
      <c r="BC23" s="358">
        <f t="shared" si="23"/>
        <v>0</v>
      </c>
      <c r="BD23" s="358">
        <f t="shared" si="24"/>
        <v>0</v>
      </c>
      <c r="BE23" s="358">
        <f t="shared" si="25"/>
        <v>0</v>
      </c>
      <c r="BF23" s="358" t="str">
        <f t="shared" si="26"/>
        <v/>
      </c>
      <c r="BG23" s="438">
        <f t="shared" si="16"/>
        <v>0</v>
      </c>
    </row>
    <row r="24" spans="1:59" ht="18" customHeight="1">
      <c r="A24" s="79" t="str">
        <f>'G-1 All Habitats'!B23</f>
        <v>Grassland - Upland acid grassland</v>
      </c>
      <c r="B24" s="68" t="str">
        <f>'G-1 All Habitats'!F23</f>
        <v>Grassland</v>
      </c>
      <c r="C24" s="68" t="str">
        <f>'G-1 All Habitats'!K23</f>
        <v>Medium</v>
      </c>
      <c r="D24" s="68" t="str">
        <f>'G-1 All Habitats'!M23</f>
        <v>Same broad habitat or a higher distinctiveness habitat required (≥)</v>
      </c>
      <c r="E24" s="346">
        <f>IF(C24="V.High",SUMIF('A-1 On-Site Habitat Baseline'!$G$11:$G$258,'G-2 Habitat groups'!A24,'A-1 On-Site Habitat Baseline'!$S$11:$S$258)+SUMIF('A-1 On-Site Habitat Baseline'!$G$11:$G$258,'G-2 Habitat groups'!A24,'A-1 On-Site Habitat Baseline'!$T$11:$T$258),SUMIF('A-1 On-Site Habitat Baseline'!$G$11:$G$258,'G-2 Habitat groups'!A24,'A-1 On-Site Habitat Baseline'!$H$11:$H$258))</f>
        <v>0</v>
      </c>
      <c r="F24" s="346">
        <f>SUMIF('A-1 On-Site Habitat Baseline'!$G$11:$G$258,'G-2 Habitat groups'!A24,'A-1 On-Site Habitat Baseline'!$Q$11:$Q$258)</f>
        <v>0</v>
      </c>
      <c r="G24" s="346">
        <f>SUMIF('A-1 On-Site Habitat Baseline'!$G$11:$G$258,'G-2 Habitat groups'!A24,'A-1 On-Site Habitat Baseline'!$S$11:$S$258)</f>
        <v>0</v>
      </c>
      <c r="H24" s="346">
        <f>SUMIF('A-1 On-Site Habitat Baseline'!$G$11:$G$258,'G-2 Habitat groups'!A24,'A-1 On-Site Habitat Baseline'!$U$11:$U$258)</f>
        <v>0</v>
      </c>
      <c r="I24" s="346">
        <f>SUMIF('A-1 On-Site Habitat Baseline'!$G$11:$G$258,'G-2 Habitat groups'!A24,'A-1 On-Site Habitat Baseline'!$W$11:$W$258)</f>
        <v>0</v>
      </c>
      <c r="J24" s="346">
        <f>SUMIF('A-1 On-Site Habitat Baseline'!$G$11:$G$258,'G-2 Habitat groups'!A24,'A-1 On-Site Habitat Baseline'!$X$11:$X$258)</f>
        <v>0</v>
      </c>
      <c r="K24" s="346">
        <f>SUMIF('A-2 On-Site Habitat Creation'!$F$11:$F$256,'G-2 Habitat groups'!A24,'A-2 On-Site Habitat Creation'!$G$11:$G$256)</f>
        <v>0</v>
      </c>
      <c r="L24" s="346">
        <f>SUMIF('A-2 On-Site Habitat Creation'!$F$11:$F$256,'G-2 Habitat groups'!A24,'A-2 On-Site Habitat Creation'!$Y$11:$Y$256)</f>
        <v>0</v>
      </c>
      <c r="M24" s="346">
        <f>SUMIF('A-3 On-Site Habitat Enhancement'!$S$12:$S$257,'G-2 Habitat groups'!A24,'A-3 On-Site Habitat Enhancement'!$V$12:$V$257)</f>
        <v>0</v>
      </c>
      <c r="N24" s="346">
        <f>SUMIF('A-3 On-Site Habitat Enhancement'!$S$12:$S$257,'G-2 Habitat groups'!A24,'A-3 On-Site Habitat Enhancement'!$AN$12:$AN$257)</f>
        <v>0</v>
      </c>
      <c r="O24" s="346">
        <f t="shared" si="0"/>
        <v>0</v>
      </c>
      <c r="P24" s="346">
        <f t="shared" si="1"/>
        <v>0</v>
      </c>
      <c r="Q24" s="346">
        <f t="shared" si="2"/>
        <v>0</v>
      </c>
      <c r="R24" s="346">
        <f t="shared" si="3"/>
        <v>0</v>
      </c>
      <c r="S24" s="346">
        <f>IF(C24="V.High",SUMIF('D-1 Off-Site Habitat Baseline'!$G$11:$G$258,'G-2 Habitat groups'!A24,'D-1 Off-Site Habitat Baseline'!$V$11:$V$258)+SUMIF('D-1 Off-Site Habitat Baseline'!$G$11:$G$258,'G-2 Habitat groups'!A24,'D-1 Off-Site Habitat Baseline'!$W$11:$W$258),SUMIF('D-1 Off-Site Habitat Baseline'!$G$11:$G$258,'G-2 Habitat groups'!A24,'D-1 Off-Site Habitat Baseline'!$H$11:$H$258))</f>
        <v>0</v>
      </c>
      <c r="T24" s="346">
        <f>SUMIF('D-1 Off-Site Habitat Baseline'!$G$11:$G$258,'G-2 Habitat groups'!A24,'D-1 Off-Site Habitat Baseline'!$T$11:$T$258)</f>
        <v>0</v>
      </c>
      <c r="U24" s="346">
        <f>SUMIF('D-1 Off-Site Habitat Baseline'!$G$11:$G$258,'G-2 Habitat groups'!A24,'D-1 Off-Site Habitat Baseline'!$V$11:$V$258)</f>
        <v>0</v>
      </c>
      <c r="V24" s="346">
        <f>SUMIF('D-1 Off-Site Habitat Baseline'!$G$11:$G$258,'G-2 Habitat groups'!A24,'D-1 Off-Site Habitat Baseline'!$X$11:$X$258)</f>
        <v>0</v>
      </c>
      <c r="W24" s="346">
        <f>SUMIF('D-2 Off-Site Habitat Creation'!$F$9:$F$255,'G-2 Habitat groups'!A24,'D-2 Off-Site Habitat Creation'!$G$9:$G$255)</f>
        <v>0</v>
      </c>
      <c r="X24" s="346">
        <f>SUMIF('D-2 Off-Site Habitat Creation'!$F$9:$F$255,'G-2 Habitat groups'!A24,'D-2 Off-Site Habitat Creation'!$AB$9:$AB$255)</f>
        <v>0</v>
      </c>
      <c r="Y24" s="346">
        <f>SUMIF('D-3 Off-Site Habitat Enhancment'!$S$12:$S$491,'G-2 Habitat groups'!A24,'D-3 Off-Site Habitat Enhancment'!$V$12:$V$491)</f>
        <v>0</v>
      </c>
      <c r="Z24" s="346">
        <f>SUMIF('D-3 Off-Site Habitat Enhancment'!$S$12:$S$491,'G-2 Habitat groups'!A24,'D-3 Off-Site Habitat Enhancment'!$AQ$12:$AQ$491)</f>
        <v>0</v>
      </c>
      <c r="AA24" s="346">
        <f t="shared" si="4"/>
        <v>0</v>
      </c>
      <c r="AB24" s="346">
        <f t="shared" si="13"/>
        <v>0</v>
      </c>
      <c r="AC24" s="346">
        <f t="shared" si="5"/>
        <v>0</v>
      </c>
      <c r="AD24" s="346">
        <f t="shared" si="14"/>
        <v>0</v>
      </c>
      <c r="AE24" s="346">
        <f t="shared" si="6"/>
        <v>0</v>
      </c>
      <c r="AF24" s="346">
        <f t="shared" si="15"/>
        <v>0</v>
      </c>
      <c r="AJ24" s="82" t="s">
        <v>127</v>
      </c>
      <c r="AK24" s="549">
        <f t="shared" si="27"/>
        <v>0</v>
      </c>
      <c r="AL24" s="549">
        <f t="shared" si="28"/>
        <v>0</v>
      </c>
      <c r="AM24" s="549">
        <f t="shared" si="29"/>
        <v>0</v>
      </c>
      <c r="AN24" s="549">
        <f t="shared" si="30"/>
        <v>0</v>
      </c>
      <c r="AO24" s="651">
        <f t="shared" si="31"/>
        <v>0</v>
      </c>
      <c r="AP24" s="651">
        <f t="shared" si="32"/>
        <v>0</v>
      </c>
      <c r="AU24" s="91" t="s">
        <v>876</v>
      </c>
      <c r="AV24" s="68" t="s">
        <v>132</v>
      </c>
      <c r="AW24" s="358">
        <f t="shared" si="17"/>
        <v>0</v>
      </c>
      <c r="AX24" s="358">
        <f t="shared" si="18"/>
        <v>0</v>
      </c>
      <c r="AY24" s="358">
        <f t="shared" si="19"/>
        <v>0</v>
      </c>
      <c r="AZ24" s="358">
        <f t="shared" si="20"/>
        <v>0</v>
      </c>
      <c r="BA24" s="358">
        <f t="shared" si="21"/>
        <v>0</v>
      </c>
      <c r="BB24" s="358">
        <f t="shared" si="22"/>
        <v>0</v>
      </c>
      <c r="BC24" s="358">
        <f t="shared" si="23"/>
        <v>0</v>
      </c>
      <c r="BD24" s="358">
        <f t="shared" si="24"/>
        <v>0</v>
      </c>
      <c r="BE24" s="358">
        <f t="shared" si="25"/>
        <v>0</v>
      </c>
      <c r="BF24" s="358" t="str">
        <f t="shared" si="26"/>
        <v/>
      </c>
      <c r="BG24" s="438">
        <f t="shared" si="16"/>
        <v>0</v>
      </c>
    </row>
    <row r="25" spans="1:59">
      <c r="A25" s="79" t="str">
        <f>'G-1 All Habitats'!B24</f>
        <v>Grassland - Upland calcareous grassland</v>
      </c>
      <c r="B25" s="68" t="str">
        <f>'G-1 All Habitats'!F24</f>
        <v>Grassland</v>
      </c>
      <c r="C25" s="68" t="str">
        <f>'G-1 All Habitats'!K24</f>
        <v>High</v>
      </c>
      <c r="D25" s="68" t="str">
        <f>'G-1 All Habitats'!M24</f>
        <v>Same habitat required =</v>
      </c>
      <c r="E25" s="346">
        <f>IF(C25="V.High",SUMIF('A-1 On-Site Habitat Baseline'!$G$11:$G$258,'G-2 Habitat groups'!A25,'A-1 On-Site Habitat Baseline'!$S$11:$S$258)+SUMIF('A-1 On-Site Habitat Baseline'!$G$11:$G$258,'G-2 Habitat groups'!A25,'A-1 On-Site Habitat Baseline'!$T$11:$T$258),SUMIF('A-1 On-Site Habitat Baseline'!$G$11:$G$258,'G-2 Habitat groups'!A25,'A-1 On-Site Habitat Baseline'!$H$11:$H$258))</f>
        <v>0</v>
      </c>
      <c r="F25" s="346">
        <f>SUMIF('A-1 On-Site Habitat Baseline'!$G$11:$G$258,'G-2 Habitat groups'!A25,'A-1 On-Site Habitat Baseline'!$Q$11:$Q$258)</f>
        <v>0</v>
      </c>
      <c r="G25" s="346">
        <f>SUMIF('A-1 On-Site Habitat Baseline'!$G$11:$G$258,'G-2 Habitat groups'!A25,'A-1 On-Site Habitat Baseline'!$S$11:$S$258)</f>
        <v>0</v>
      </c>
      <c r="H25" s="346">
        <f>SUMIF('A-1 On-Site Habitat Baseline'!$G$11:$G$258,'G-2 Habitat groups'!A25,'A-1 On-Site Habitat Baseline'!$U$11:$U$258)</f>
        <v>0</v>
      </c>
      <c r="I25" s="346">
        <f>SUMIF('A-1 On-Site Habitat Baseline'!$G$11:$G$258,'G-2 Habitat groups'!A25,'A-1 On-Site Habitat Baseline'!$W$11:$W$258)</f>
        <v>0</v>
      </c>
      <c r="J25" s="346">
        <f>SUMIF('A-1 On-Site Habitat Baseline'!$G$11:$G$258,'G-2 Habitat groups'!A25,'A-1 On-Site Habitat Baseline'!$X$11:$X$258)</f>
        <v>0</v>
      </c>
      <c r="K25" s="346">
        <f>SUMIF('A-2 On-Site Habitat Creation'!$F$11:$F$256,'G-2 Habitat groups'!A25,'A-2 On-Site Habitat Creation'!$G$11:$G$256)</f>
        <v>0</v>
      </c>
      <c r="L25" s="346">
        <f>SUMIF('A-2 On-Site Habitat Creation'!$F$11:$F$256,'G-2 Habitat groups'!A25,'A-2 On-Site Habitat Creation'!$Y$11:$Y$256)</f>
        <v>0</v>
      </c>
      <c r="M25" s="346">
        <f>SUMIF('A-3 On-Site Habitat Enhancement'!$S$12:$S$257,'G-2 Habitat groups'!A25,'A-3 On-Site Habitat Enhancement'!$V$12:$V$257)</f>
        <v>0</v>
      </c>
      <c r="N25" s="346">
        <f>SUMIF('A-3 On-Site Habitat Enhancement'!$S$12:$S$257,'G-2 Habitat groups'!A25,'A-3 On-Site Habitat Enhancement'!$AN$12:$AN$257)</f>
        <v>0</v>
      </c>
      <c r="O25" s="346">
        <f t="shared" si="0"/>
        <v>0</v>
      </c>
      <c r="P25" s="346">
        <f t="shared" si="1"/>
        <v>0</v>
      </c>
      <c r="Q25" s="346">
        <f t="shared" si="2"/>
        <v>0</v>
      </c>
      <c r="R25" s="346">
        <f t="shared" si="3"/>
        <v>0</v>
      </c>
      <c r="S25" s="346">
        <f>IF(C25="V.High",SUMIF('D-1 Off-Site Habitat Baseline'!$G$11:$G$258,'G-2 Habitat groups'!A25,'D-1 Off-Site Habitat Baseline'!$V$11:$V$258)+SUMIF('D-1 Off-Site Habitat Baseline'!$G$11:$G$258,'G-2 Habitat groups'!A25,'D-1 Off-Site Habitat Baseline'!$W$11:$W$258),SUMIF('D-1 Off-Site Habitat Baseline'!$G$11:$G$258,'G-2 Habitat groups'!A25,'D-1 Off-Site Habitat Baseline'!$H$11:$H$258))</f>
        <v>0</v>
      </c>
      <c r="T25" s="346">
        <f>SUMIF('D-1 Off-Site Habitat Baseline'!$G$11:$G$258,'G-2 Habitat groups'!A25,'D-1 Off-Site Habitat Baseline'!$T$11:$T$258)</f>
        <v>0</v>
      </c>
      <c r="U25" s="346">
        <f>SUMIF('D-1 Off-Site Habitat Baseline'!$G$11:$G$258,'G-2 Habitat groups'!A25,'D-1 Off-Site Habitat Baseline'!$V$11:$V$258)</f>
        <v>0</v>
      </c>
      <c r="V25" s="346">
        <f>SUMIF('D-1 Off-Site Habitat Baseline'!$G$11:$G$258,'G-2 Habitat groups'!A25,'D-1 Off-Site Habitat Baseline'!$X$11:$X$258)</f>
        <v>0</v>
      </c>
      <c r="W25" s="346">
        <f>SUMIF('D-2 Off-Site Habitat Creation'!$F$9:$F$255,'G-2 Habitat groups'!A25,'D-2 Off-Site Habitat Creation'!$G$9:$G$255)</f>
        <v>0</v>
      </c>
      <c r="X25" s="346">
        <f>SUMIF('D-2 Off-Site Habitat Creation'!$F$9:$F$255,'G-2 Habitat groups'!A25,'D-2 Off-Site Habitat Creation'!$AB$9:$AB$255)</f>
        <v>0</v>
      </c>
      <c r="Y25" s="346">
        <f>SUMIF('D-3 Off-Site Habitat Enhancment'!$S$12:$S$491,'G-2 Habitat groups'!A25,'D-3 Off-Site Habitat Enhancment'!$V$12:$V$491)</f>
        <v>0</v>
      </c>
      <c r="Z25" s="346">
        <f>SUMIF('D-3 Off-Site Habitat Enhancment'!$S$12:$S$491,'G-2 Habitat groups'!A25,'D-3 Off-Site Habitat Enhancment'!$AQ$12:$AQ$491)</f>
        <v>0</v>
      </c>
      <c r="AA25" s="346">
        <f t="shared" si="4"/>
        <v>0</v>
      </c>
      <c r="AB25" s="346">
        <f t="shared" si="13"/>
        <v>0</v>
      </c>
      <c r="AC25" s="346">
        <f t="shared" si="5"/>
        <v>0</v>
      </c>
      <c r="AD25" s="346">
        <f t="shared" si="14"/>
        <v>0</v>
      </c>
      <c r="AE25" s="346">
        <f t="shared" si="6"/>
        <v>0</v>
      </c>
      <c r="AF25" s="346">
        <f t="shared" si="15"/>
        <v>0</v>
      </c>
      <c r="AJ25" s="83" t="s">
        <v>128</v>
      </c>
      <c r="AK25" s="549">
        <f t="shared" si="27"/>
        <v>0</v>
      </c>
      <c r="AL25" s="549">
        <f t="shared" si="28"/>
        <v>0</v>
      </c>
      <c r="AM25" s="549">
        <f t="shared" si="29"/>
        <v>0</v>
      </c>
      <c r="AN25" s="549">
        <f t="shared" si="30"/>
        <v>0</v>
      </c>
      <c r="AO25" s="651">
        <f t="shared" si="31"/>
        <v>0</v>
      </c>
      <c r="AP25" s="651">
        <f t="shared" si="32"/>
        <v>0</v>
      </c>
    </row>
    <row r="26" spans="1:59">
      <c r="A26" s="79" t="str">
        <f>'G-1 All Habitats'!B25</f>
        <v>Grassland - Upland hay meadows</v>
      </c>
      <c r="B26" s="68" t="str">
        <f>'G-1 All Habitats'!F25</f>
        <v>Grassland</v>
      </c>
      <c r="C26" s="68" t="str">
        <f>'G-1 All Habitats'!K25</f>
        <v>V.High</v>
      </c>
      <c r="D26" s="68" t="str">
        <f>'G-1 All Habitats'!M25</f>
        <v>Bespoke compensation likely to be required 🛠</v>
      </c>
      <c r="E26" s="346">
        <f>IF(C26="V.High",SUMIF('A-1 On-Site Habitat Baseline'!$G$11:$G$258,'G-2 Habitat groups'!A26,'A-1 On-Site Habitat Baseline'!$S$11:$S$258)+SUMIF('A-1 On-Site Habitat Baseline'!$G$11:$G$258,'G-2 Habitat groups'!A26,'A-1 On-Site Habitat Baseline'!$T$11:$T$258),SUMIF('A-1 On-Site Habitat Baseline'!$G$11:$G$258,'G-2 Habitat groups'!A26,'A-1 On-Site Habitat Baseline'!$H$11:$H$258))</f>
        <v>0</v>
      </c>
      <c r="F26" s="346">
        <f>SUMIF('A-1 On-Site Habitat Baseline'!$G$11:$G$258,'G-2 Habitat groups'!A26,'A-1 On-Site Habitat Baseline'!$Q$11:$Q$258)</f>
        <v>0</v>
      </c>
      <c r="G26" s="346">
        <f>SUMIF('A-1 On-Site Habitat Baseline'!$G$11:$G$258,'G-2 Habitat groups'!A26,'A-1 On-Site Habitat Baseline'!$S$11:$S$258)</f>
        <v>0</v>
      </c>
      <c r="H26" s="346">
        <f>SUMIF('A-1 On-Site Habitat Baseline'!$G$11:$G$258,'G-2 Habitat groups'!A26,'A-1 On-Site Habitat Baseline'!$U$11:$U$258)</f>
        <v>0</v>
      </c>
      <c r="I26" s="346">
        <f>SUMIF('A-1 On-Site Habitat Baseline'!$G$11:$G$258,'G-2 Habitat groups'!A26,'A-1 On-Site Habitat Baseline'!$W$11:$W$258)</f>
        <v>0</v>
      </c>
      <c r="J26" s="346">
        <f>SUMIF('A-1 On-Site Habitat Baseline'!$G$11:$G$258,'G-2 Habitat groups'!A26,'A-1 On-Site Habitat Baseline'!$X$11:$X$258)</f>
        <v>0</v>
      </c>
      <c r="K26" s="346">
        <f>SUMIF('A-2 On-Site Habitat Creation'!$F$11:$F$256,'G-2 Habitat groups'!A26,'A-2 On-Site Habitat Creation'!$G$11:$G$256)</f>
        <v>0</v>
      </c>
      <c r="L26" s="346">
        <f>SUMIF('A-2 On-Site Habitat Creation'!$F$11:$F$256,'G-2 Habitat groups'!A26,'A-2 On-Site Habitat Creation'!$Y$11:$Y$256)</f>
        <v>0</v>
      </c>
      <c r="M26" s="346">
        <f>SUMIF('A-3 On-Site Habitat Enhancement'!$S$12:$S$257,'G-2 Habitat groups'!A26,'A-3 On-Site Habitat Enhancement'!$V$12:$V$257)</f>
        <v>0</v>
      </c>
      <c r="N26" s="346">
        <f>SUMIF('A-3 On-Site Habitat Enhancement'!$S$12:$S$257,'G-2 Habitat groups'!A26,'A-3 On-Site Habitat Enhancement'!$AN$12:$AN$257)</f>
        <v>0</v>
      </c>
      <c r="O26" s="346">
        <f t="shared" si="0"/>
        <v>0</v>
      </c>
      <c r="P26" s="346">
        <f t="shared" si="1"/>
        <v>0</v>
      </c>
      <c r="Q26" s="346">
        <f t="shared" si="2"/>
        <v>0</v>
      </c>
      <c r="R26" s="346">
        <f t="shared" si="3"/>
        <v>0</v>
      </c>
      <c r="S26" s="346">
        <f>IF(C26="V.High",SUMIF('D-1 Off-Site Habitat Baseline'!$G$11:$G$258,'G-2 Habitat groups'!A26,'D-1 Off-Site Habitat Baseline'!$V$11:$V$258)+SUMIF('D-1 Off-Site Habitat Baseline'!$G$11:$G$258,'G-2 Habitat groups'!A26,'D-1 Off-Site Habitat Baseline'!$W$11:$W$258),SUMIF('D-1 Off-Site Habitat Baseline'!$G$11:$G$258,'G-2 Habitat groups'!A26,'D-1 Off-Site Habitat Baseline'!$H$11:$H$258))</f>
        <v>0</v>
      </c>
      <c r="T26" s="346">
        <f>SUMIF('D-1 Off-Site Habitat Baseline'!$G$11:$G$258,'G-2 Habitat groups'!A26,'D-1 Off-Site Habitat Baseline'!$T$11:$T$258)</f>
        <v>0</v>
      </c>
      <c r="U26" s="346">
        <f>SUMIF('D-1 Off-Site Habitat Baseline'!$G$11:$G$258,'G-2 Habitat groups'!A26,'D-1 Off-Site Habitat Baseline'!$V$11:$V$258)</f>
        <v>0</v>
      </c>
      <c r="V26" s="346">
        <f>SUMIF('D-1 Off-Site Habitat Baseline'!$G$11:$G$258,'G-2 Habitat groups'!A26,'D-1 Off-Site Habitat Baseline'!$X$11:$X$258)</f>
        <v>0</v>
      </c>
      <c r="W26" s="346">
        <f>SUMIF('D-2 Off-Site Habitat Creation'!$F$9:$F$255,'G-2 Habitat groups'!A26,'D-2 Off-Site Habitat Creation'!$G$9:$G$255)</f>
        <v>0</v>
      </c>
      <c r="X26" s="346">
        <f>SUMIF('D-2 Off-Site Habitat Creation'!$F$9:$F$255,'G-2 Habitat groups'!A26,'D-2 Off-Site Habitat Creation'!$AB$9:$AB$255)</f>
        <v>0</v>
      </c>
      <c r="Y26" s="346">
        <f>SUMIF('D-3 Off-Site Habitat Enhancment'!$S$12:$S$491,'G-2 Habitat groups'!A26,'D-3 Off-Site Habitat Enhancment'!$V$12:$V$491)</f>
        <v>0</v>
      </c>
      <c r="Z26" s="346">
        <f>SUMIF('D-3 Off-Site Habitat Enhancment'!$S$12:$S$491,'G-2 Habitat groups'!A26,'D-3 Off-Site Habitat Enhancment'!$AQ$12:$AQ$491)</f>
        <v>0</v>
      </c>
      <c r="AA26" s="346">
        <f t="shared" si="4"/>
        <v>0</v>
      </c>
      <c r="AB26" s="346">
        <f t="shared" si="13"/>
        <v>0</v>
      </c>
      <c r="AC26" s="346">
        <f t="shared" si="5"/>
        <v>0</v>
      </c>
      <c r="AD26" s="346">
        <f t="shared" si="14"/>
        <v>0</v>
      </c>
      <c r="AE26" s="346">
        <f t="shared" si="6"/>
        <v>0</v>
      </c>
      <c r="AF26" s="346">
        <f t="shared" si="15"/>
        <v>0</v>
      </c>
      <c r="AJ26" s="82" t="s">
        <v>129</v>
      </c>
      <c r="AK26" s="549">
        <f>SUMIF($B:$B,$AJ26,S:S)</f>
        <v>0</v>
      </c>
      <c r="AL26" s="549">
        <f t="shared" si="28"/>
        <v>0</v>
      </c>
      <c r="AM26" s="549">
        <f t="shared" si="29"/>
        <v>0</v>
      </c>
      <c r="AN26" s="549">
        <f t="shared" si="30"/>
        <v>0</v>
      </c>
      <c r="AO26" s="651">
        <f t="shared" si="31"/>
        <v>0</v>
      </c>
      <c r="AP26" s="651">
        <f t="shared" si="32"/>
        <v>0</v>
      </c>
    </row>
    <row r="27" spans="1:59" ht="15.6" customHeight="1">
      <c r="A27" s="79" t="str">
        <f>'G-1 All Habitats'!B26</f>
        <v>Heathland and shrub - Blackthorn scrub</v>
      </c>
      <c r="B27" s="68" t="str">
        <f>'G-1 All Habitats'!F26</f>
        <v>Heathland and shrub</v>
      </c>
      <c r="C27" s="68" t="str">
        <f>'G-1 All Habitats'!K26</f>
        <v>Medium</v>
      </c>
      <c r="D27" s="68" t="str">
        <f>'G-1 All Habitats'!M26</f>
        <v>Same broad habitat or a higher distinctiveness habitat required (≥)</v>
      </c>
      <c r="E27" s="346">
        <f>IF(C27="V.High",SUMIF('A-1 On-Site Habitat Baseline'!$G$11:$G$258,'G-2 Habitat groups'!A27,'A-1 On-Site Habitat Baseline'!$S$11:$S$258)+SUMIF('A-1 On-Site Habitat Baseline'!$G$11:$G$258,'G-2 Habitat groups'!A27,'A-1 On-Site Habitat Baseline'!$T$11:$T$258),SUMIF('A-1 On-Site Habitat Baseline'!$G$11:$G$258,'G-2 Habitat groups'!A27,'A-1 On-Site Habitat Baseline'!$H$11:$H$258))</f>
        <v>0</v>
      </c>
      <c r="F27" s="346">
        <f>SUMIF('A-1 On-Site Habitat Baseline'!$G$11:$G$258,'G-2 Habitat groups'!A27,'A-1 On-Site Habitat Baseline'!$Q$11:$Q$258)</f>
        <v>0</v>
      </c>
      <c r="G27" s="346">
        <f>SUMIF('A-1 On-Site Habitat Baseline'!$G$11:$G$258,'G-2 Habitat groups'!A27,'A-1 On-Site Habitat Baseline'!$S$11:$S$258)</f>
        <v>0</v>
      </c>
      <c r="H27" s="346">
        <f>SUMIF('A-1 On-Site Habitat Baseline'!$G$11:$G$258,'G-2 Habitat groups'!A27,'A-1 On-Site Habitat Baseline'!$U$11:$U$258)</f>
        <v>0</v>
      </c>
      <c r="I27" s="346">
        <f>SUMIF('A-1 On-Site Habitat Baseline'!$G$11:$G$258,'G-2 Habitat groups'!A27,'A-1 On-Site Habitat Baseline'!$W$11:$W$258)</f>
        <v>0</v>
      </c>
      <c r="J27" s="346">
        <f>SUMIF('A-1 On-Site Habitat Baseline'!$G$11:$G$258,'G-2 Habitat groups'!A27,'A-1 On-Site Habitat Baseline'!$X$11:$X$258)</f>
        <v>0</v>
      </c>
      <c r="K27" s="346">
        <f>SUMIF('A-2 On-Site Habitat Creation'!$F$11:$F$256,'G-2 Habitat groups'!A27,'A-2 On-Site Habitat Creation'!$G$11:$G$256)</f>
        <v>0</v>
      </c>
      <c r="L27" s="346">
        <f>SUMIF('A-2 On-Site Habitat Creation'!$F$11:$F$256,'G-2 Habitat groups'!A27,'A-2 On-Site Habitat Creation'!$Y$11:$Y$256)</f>
        <v>0</v>
      </c>
      <c r="M27" s="346">
        <f>SUMIF('A-3 On-Site Habitat Enhancement'!$S$12:$S$257,'G-2 Habitat groups'!A27,'A-3 On-Site Habitat Enhancement'!$V$12:$V$257)</f>
        <v>0</v>
      </c>
      <c r="N27" s="346">
        <f>SUMIF('A-3 On-Site Habitat Enhancement'!$S$12:$S$257,'G-2 Habitat groups'!A27,'A-3 On-Site Habitat Enhancement'!$AN$12:$AN$257)</f>
        <v>0</v>
      </c>
      <c r="O27" s="346">
        <f t="shared" si="0"/>
        <v>0</v>
      </c>
      <c r="P27" s="346">
        <f t="shared" si="1"/>
        <v>0</v>
      </c>
      <c r="Q27" s="346">
        <f t="shared" si="2"/>
        <v>0</v>
      </c>
      <c r="R27" s="346">
        <f t="shared" si="3"/>
        <v>0</v>
      </c>
      <c r="S27" s="346">
        <f>IF(C27="V.High",SUMIF('D-1 Off-Site Habitat Baseline'!$G$11:$G$258,'G-2 Habitat groups'!A27,'D-1 Off-Site Habitat Baseline'!$V$11:$V$258)+SUMIF('D-1 Off-Site Habitat Baseline'!$G$11:$G$258,'G-2 Habitat groups'!A27,'D-1 Off-Site Habitat Baseline'!$W$11:$W$258),SUMIF('D-1 Off-Site Habitat Baseline'!$G$11:$G$258,'G-2 Habitat groups'!A27,'D-1 Off-Site Habitat Baseline'!$H$11:$H$258))</f>
        <v>0</v>
      </c>
      <c r="T27" s="346">
        <f>SUMIF('D-1 Off-Site Habitat Baseline'!$G$11:$G$258,'G-2 Habitat groups'!A27,'D-1 Off-Site Habitat Baseline'!$T$11:$T$258)</f>
        <v>0</v>
      </c>
      <c r="U27" s="346">
        <f>SUMIF('D-1 Off-Site Habitat Baseline'!$G$11:$G$258,'G-2 Habitat groups'!A27,'D-1 Off-Site Habitat Baseline'!$V$11:$V$258)</f>
        <v>0</v>
      </c>
      <c r="V27" s="346">
        <f>SUMIF('D-1 Off-Site Habitat Baseline'!$G$11:$G$258,'G-2 Habitat groups'!A27,'D-1 Off-Site Habitat Baseline'!$X$11:$X$258)</f>
        <v>0</v>
      </c>
      <c r="W27" s="346">
        <f>SUMIF('D-2 Off-Site Habitat Creation'!$F$9:$F$255,'G-2 Habitat groups'!A27,'D-2 Off-Site Habitat Creation'!$G$9:$G$255)</f>
        <v>0</v>
      </c>
      <c r="X27" s="346">
        <f>SUMIF('D-2 Off-Site Habitat Creation'!$F$9:$F$255,'G-2 Habitat groups'!A27,'D-2 Off-Site Habitat Creation'!$AB$9:$AB$255)</f>
        <v>0</v>
      </c>
      <c r="Y27" s="346">
        <f>SUMIF('D-3 Off-Site Habitat Enhancment'!$S$12:$S$491,'G-2 Habitat groups'!A27,'D-3 Off-Site Habitat Enhancment'!$V$12:$V$491)</f>
        <v>0</v>
      </c>
      <c r="Z27" s="346">
        <f>SUMIF('D-3 Off-Site Habitat Enhancment'!$S$12:$S$491,'G-2 Habitat groups'!A27,'D-3 Off-Site Habitat Enhancment'!$AQ$12:$AQ$491)</f>
        <v>0</v>
      </c>
      <c r="AA27" s="346">
        <f t="shared" si="4"/>
        <v>0</v>
      </c>
      <c r="AB27" s="346">
        <f t="shared" si="13"/>
        <v>0</v>
      </c>
      <c r="AC27" s="346">
        <f t="shared" si="5"/>
        <v>0</v>
      </c>
      <c r="AD27" s="346">
        <f t="shared" si="14"/>
        <v>0</v>
      </c>
      <c r="AE27" s="346">
        <f t="shared" si="6"/>
        <v>0</v>
      </c>
      <c r="AF27" s="346">
        <f t="shared" si="15"/>
        <v>0</v>
      </c>
      <c r="AJ27" s="82" t="s">
        <v>130</v>
      </c>
      <c r="AK27" s="549">
        <f t="shared" si="27"/>
        <v>0</v>
      </c>
      <c r="AL27" s="549">
        <f t="shared" si="28"/>
        <v>0</v>
      </c>
      <c r="AM27" s="549">
        <f t="shared" si="29"/>
        <v>0</v>
      </c>
      <c r="AN27" s="549">
        <f t="shared" si="30"/>
        <v>0</v>
      </c>
      <c r="AO27" s="651">
        <f t="shared" si="31"/>
        <v>0</v>
      </c>
      <c r="AP27" s="651">
        <f t="shared" si="32"/>
        <v>0</v>
      </c>
      <c r="AU27" s="1633" t="s">
        <v>213</v>
      </c>
    </row>
    <row r="28" spans="1:59" ht="15.6" customHeight="1">
      <c r="A28" s="79" t="str">
        <f>'G-1 All Habitats'!B27</f>
        <v>Heathland and shrub - Bramble scrub</v>
      </c>
      <c r="B28" s="68" t="str">
        <f>'G-1 All Habitats'!F27</f>
        <v>Heathland and shrub</v>
      </c>
      <c r="C28" s="68" t="str">
        <f>'G-1 All Habitats'!K27</f>
        <v>Medium</v>
      </c>
      <c r="D28" s="68" t="str">
        <f>'G-1 All Habitats'!M27</f>
        <v>Same broad habitat or a higher distinctiveness habitat required (≥)</v>
      </c>
      <c r="E28" s="346">
        <f>IF(C28="V.High",SUMIF('A-1 On-Site Habitat Baseline'!$G$11:$G$258,'G-2 Habitat groups'!A28,'A-1 On-Site Habitat Baseline'!$S$11:$S$258)+SUMIF('A-1 On-Site Habitat Baseline'!$G$11:$G$258,'G-2 Habitat groups'!A28,'A-1 On-Site Habitat Baseline'!$T$11:$T$258),SUMIF('A-1 On-Site Habitat Baseline'!$G$11:$G$258,'G-2 Habitat groups'!A28,'A-1 On-Site Habitat Baseline'!$H$11:$H$258))</f>
        <v>0</v>
      </c>
      <c r="F28" s="346">
        <f>SUMIF('A-1 On-Site Habitat Baseline'!$G$11:$G$258,'G-2 Habitat groups'!A28,'A-1 On-Site Habitat Baseline'!$Q$11:$Q$258)</f>
        <v>0</v>
      </c>
      <c r="G28" s="346">
        <f>SUMIF('A-1 On-Site Habitat Baseline'!$G$11:$G$258,'G-2 Habitat groups'!A28,'A-1 On-Site Habitat Baseline'!$S$11:$S$258)</f>
        <v>0</v>
      </c>
      <c r="H28" s="346">
        <f>SUMIF('A-1 On-Site Habitat Baseline'!$G$11:$G$258,'G-2 Habitat groups'!A28,'A-1 On-Site Habitat Baseline'!$U$11:$U$258)</f>
        <v>0</v>
      </c>
      <c r="I28" s="346">
        <f>SUMIF('A-1 On-Site Habitat Baseline'!$G$11:$G$258,'G-2 Habitat groups'!A28,'A-1 On-Site Habitat Baseline'!$W$11:$W$258)</f>
        <v>0</v>
      </c>
      <c r="J28" s="346">
        <f>SUMIF('A-1 On-Site Habitat Baseline'!$G$11:$G$258,'G-2 Habitat groups'!A28,'A-1 On-Site Habitat Baseline'!$X$11:$X$258)</f>
        <v>0</v>
      </c>
      <c r="K28" s="346">
        <f>SUMIF('A-2 On-Site Habitat Creation'!$F$11:$F$256,'G-2 Habitat groups'!A28,'A-2 On-Site Habitat Creation'!$G$11:$G$256)</f>
        <v>0</v>
      </c>
      <c r="L28" s="346">
        <f>SUMIF('A-2 On-Site Habitat Creation'!$F$11:$F$256,'G-2 Habitat groups'!A28,'A-2 On-Site Habitat Creation'!$Y$11:$Y$256)</f>
        <v>0</v>
      </c>
      <c r="M28" s="346">
        <f>SUMIF('A-3 On-Site Habitat Enhancement'!$S$12:$S$257,'G-2 Habitat groups'!A28,'A-3 On-Site Habitat Enhancement'!$V$12:$V$257)</f>
        <v>0</v>
      </c>
      <c r="N28" s="346">
        <f>SUMIF('A-3 On-Site Habitat Enhancement'!$S$12:$S$257,'G-2 Habitat groups'!A28,'A-3 On-Site Habitat Enhancement'!$AN$12:$AN$257)</f>
        <v>0</v>
      </c>
      <c r="O28" s="346">
        <f t="shared" si="0"/>
        <v>0</v>
      </c>
      <c r="P28" s="346">
        <f t="shared" si="1"/>
        <v>0</v>
      </c>
      <c r="Q28" s="346">
        <f t="shared" si="2"/>
        <v>0</v>
      </c>
      <c r="R28" s="346">
        <f t="shared" si="3"/>
        <v>0</v>
      </c>
      <c r="S28" s="346">
        <f>IF(C28="V.High",SUMIF('D-1 Off-Site Habitat Baseline'!$G$11:$G$258,'G-2 Habitat groups'!A28,'D-1 Off-Site Habitat Baseline'!$V$11:$V$258)+SUMIF('D-1 Off-Site Habitat Baseline'!$G$11:$G$258,'G-2 Habitat groups'!A28,'D-1 Off-Site Habitat Baseline'!$W$11:$W$258),SUMIF('D-1 Off-Site Habitat Baseline'!$G$11:$G$258,'G-2 Habitat groups'!A28,'D-1 Off-Site Habitat Baseline'!$H$11:$H$258))</f>
        <v>0</v>
      </c>
      <c r="T28" s="346">
        <f>SUMIF('D-1 Off-Site Habitat Baseline'!$G$11:$G$258,'G-2 Habitat groups'!A28,'D-1 Off-Site Habitat Baseline'!$T$11:$T$258)</f>
        <v>0</v>
      </c>
      <c r="U28" s="346">
        <f>SUMIF('D-1 Off-Site Habitat Baseline'!$G$11:$G$258,'G-2 Habitat groups'!A28,'D-1 Off-Site Habitat Baseline'!$V$11:$V$258)</f>
        <v>0</v>
      </c>
      <c r="V28" s="346">
        <f>SUMIF('D-1 Off-Site Habitat Baseline'!$G$11:$G$258,'G-2 Habitat groups'!A28,'D-1 Off-Site Habitat Baseline'!$X$11:$X$258)</f>
        <v>0</v>
      </c>
      <c r="W28" s="346">
        <f>SUMIF('D-2 Off-Site Habitat Creation'!$F$9:$F$255,'G-2 Habitat groups'!A28,'D-2 Off-Site Habitat Creation'!$G$9:$G$255)</f>
        <v>0</v>
      </c>
      <c r="X28" s="346">
        <f>SUMIF('D-2 Off-Site Habitat Creation'!$F$9:$F$255,'G-2 Habitat groups'!A28,'D-2 Off-Site Habitat Creation'!$AB$9:$AB$255)</f>
        <v>0</v>
      </c>
      <c r="Y28" s="346">
        <f>SUMIF('D-3 Off-Site Habitat Enhancment'!$S$12:$S$491,'G-2 Habitat groups'!A28,'D-3 Off-Site Habitat Enhancment'!$V$12:$V$491)</f>
        <v>0</v>
      </c>
      <c r="Z28" s="346">
        <f>SUMIF('D-3 Off-Site Habitat Enhancment'!$S$12:$S$491,'G-2 Habitat groups'!A28,'D-3 Off-Site Habitat Enhancment'!$AQ$12:$AQ$491)</f>
        <v>0</v>
      </c>
      <c r="AA28" s="346">
        <f t="shared" si="4"/>
        <v>0</v>
      </c>
      <c r="AB28" s="346">
        <f t="shared" si="13"/>
        <v>0</v>
      </c>
      <c r="AC28" s="346">
        <f t="shared" si="5"/>
        <v>0</v>
      </c>
      <c r="AD28" s="346">
        <f t="shared" si="14"/>
        <v>0</v>
      </c>
      <c r="AE28" s="346">
        <f t="shared" si="6"/>
        <v>0</v>
      </c>
      <c r="AF28" s="346">
        <f t="shared" si="15"/>
        <v>0</v>
      </c>
      <c r="AJ28" s="84" t="s">
        <v>131</v>
      </c>
      <c r="AK28" s="549">
        <f t="shared" si="27"/>
        <v>0</v>
      </c>
      <c r="AL28" s="549">
        <f t="shared" si="28"/>
        <v>0</v>
      </c>
      <c r="AM28" s="549">
        <f t="shared" si="29"/>
        <v>0</v>
      </c>
      <c r="AN28" s="549">
        <f t="shared" si="30"/>
        <v>0</v>
      </c>
      <c r="AO28" s="651">
        <f t="shared" si="31"/>
        <v>0</v>
      </c>
      <c r="AP28" s="651">
        <f t="shared" si="32"/>
        <v>0</v>
      </c>
      <c r="AU28" s="1633"/>
      <c r="AV28" s="75"/>
      <c r="AW28" s="75"/>
      <c r="AX28" s="75"/>
      <c r="AY28" s="75"/>
      <c r="AZ28" s="75"/>
      <c r="BA28" s="75"/>
      <c r="BB28" s="75"/>
      <c r="BC28" s="75"/>
      <c r="BD28" s="75"/>
      <c r="BE28" s="75"/>
      <c r="BF28" s="75"/>
    </row>
    <row r="29" spans="1:59" ht="32.25" customHeight="1">
      <c r="A29" s="79" t="str">
        <f>'G-1 All Habitats'!B28</f>
        <v>Heathland and shrub - Gorse scrub</v>
      </c>
      <c r="B29" s="68" t="str">
        <f>'G-1 All Habitats'!F28</f>
        <v>Heathland and shrub</v>
      </c>
      <c r="C29" s="68" t="str">
        <f>'G-1 All Habitats'!K28</f>
        <v>Medium</v>
      </c>
      <c r="D29" s="68" t="str">
        <f>'G-1 All Habitats'!M28</f>
        <v>Same broad habitat or a higher distinctiveness habitat required (≥)</v>
      </c>
      <c r="E29" s="346">
        <f>IF(C29="V.High",SUMIF('A-1 On-Site Habitat Baseline'!$G$11:$G$258,'G-2 Habitat groups'!A29,'A-1 On-Site Habitat Baseline'!$S$11:$S$258)+SUMIF('A-1 On-Site Habitat Baseline'!$G$11:$G$258,'G-2 Habitat groups'!A29,'A-1 On-Site Habitat Baseline'!$T$11:$T$258),SUMIF('A-1 On-Site Habitat Baseline'!$G$11:$G$258,'G-2 Habitat groups'!A29,'A-1 On-Site Habitat Baseline'!$H$11:$H$258))</f>
        <v>0</v>
      </c>
      <c r="F29" s="346">
        <f>SUMIF('A-1 On-Site Habitat Baseline'!$G$11:$G$258,'G-2 Habitat groups'!A29,'A-1 On-Site Habitat Baseline'!$Q$11:$Q$258)</f>
        <v>0</v>
      </c>
      <c r="G29" s="346">
        <f>SUMIF('A-1 On-Site Habitat Baseline'!$G$11:$G$258,'G-2 Habitat groups'!A29,'A-1 On-Site Habitat Baseline'!$S$11:$S$258)</f>
        <v>0</v>
      </c>
      <c r="H29" s="346">
        <f>SUMIF('A-1 On-Site Habitat Baseline'!$G$11:$G$258,'G-2 Habitat groups'!A29,'A-1 On-Site Habitat Baseline'!$U$11:$U$258)</f>
        <v>0</v>
      </c>
      <c r="I29" s="346">
        <f>SUMIF('A-1 On-Site Habitat Baseline'!$G$11:$G$258,'G-2 Habitat groups'!A29,'A-1 On-Site Habitat Baseline'!$W$11:$W$258)</f>
        <v>0</v>
      </c>
      <c r="J29" s="346">
        <f>SUMIF('A-1 On-Site Habitat Baseline'!$G$11:$G$258,'G-2 Habitat groups'!A29,'A-1 On-Site Habitat Baseline'!$X$11:$X$258)</f>
        <v>0</v>
      </c>
      <c r="K29" s="346">
        <f>SUMIF('A-2 On-Site Habitat Creation'!$F$11:$F$256,'G-2 Habitat groups'!A29,'A-2 On-Site Habitat Creation'!$G$11:$G$256)</f>
        <v>0</v>
      </c>
      <c r="L29" s="346">
        <f>SUMIF('A-2 On-Site Habitat Creation'!$F$11:$F$256,'G-2 Habitat groups'!A29,'A-2 On-Site Habitat Creation'!$Y$11:$Y$256)</f>
        <v>0</v>
      </c>
      <c r="M29" s="346">
        <f>SUMIF('A-3 On-Site Habitat Enhancement'!$S$12:$S$257,'G-2 Habitat groups'!A29,'A-3 On-Site Habitat Enhancement'!$V$12:$V$257)</f>
        <v>0</v>
      </c>
      <c r="N29" s="346">
        <f>SUMIF('A-3 On-Site Habitat Enhancement'!$S$12:$S$257,'G-2 Habitat groups'!A29,'A-3 On-Site Habitat Enhancement'!$AN$12:$AN$257)</f>
        <v>0</v>
      </c>
      <c r="O29" s="346">
        <f t="shared" si="0"/>
        <v>0</v>
      </c>
      <c r="P29" s="346">
        <f t="shared" si="1"/>
        <v>0</v>
      </c>
      <c r="Q29" s="346">
        <f t="shared" si="2"/>
        <v>0</v>
      </c>
      <c r="R29" s="346">
        <f t="shared" si="3"/>
        <v>0</v>
      </c>
      <c r="S29" s="346">
        <f>IF(C29="V.High",SUMIF('D-1 Off-Site Habitat Baseline'!$G$11:$G$258,'G-2 Habitat groups'!A29,'D-1 Off-Site Habitat Baseline'!$V$11:$V$258)+SUMIF('D-1 Off-Site Habitat Baseline'!$G$11:$G$258,'G-2 Habitat groups'!A29,'D-1 Off-Site Habitat Baseline'!$W$11:$W$258),SUMIF('D-1 Off-Site Habitat Baseline'!$G$11:$G$258,'G-2 Habitat groups'!A29,'D-1 Off-Site Habitat Baseline'!$H$11:$H$258))</f>
        <v>0</v>
      </c>
      <c r="T29" s="346">
        <f>SUMIF('D-1 Off-Site Habitat Baseline'!$G$11:$G$258,'G-2 Habitat groups'!A29,'D-1 Off-Site Habitat Baseline'!$T$11:$T$258)</f>
        <v>0</v>
      </c>
      <c r="U29" s="346">
        <f>SUMIF('D-1 Off-Site Habitat Baseline'!$G$11:$G$258,'G-2 Habitat groups'!A29,'D-1 Off-Site Habitat Baseline'!$V$11:$V$258)</f>
        <v>0</v>
      </c>
      <c r="V29" s="346">
        <f>SUMIF('D-1 Off-Site Habitat Baseline'!$G$11:$G$258,'G-2 Habitat groups'!A29,'D-1 Off-Site Habitat Baseline'!$X$11:$X$258)</f>
        <v>0</v>
      </c>
      <c r="W29" s="346">
        <f>SUMIF('D-2 Off-Site Habitat Creation'!$F$9:$F$255,'G-2 Habitat groups'!A29,'D-2 Off-Site Habitat Creation'!$G$9:$G$255)</f>
        <v>0</v>
      </c>
      <c r="X29" s="346">
        <f>SUMIF('D-2 Off-Site Habitat Creation'!$F$9:$F$255,'G-2 Habitat groups'!A29,'D-2 Off-Site Habitat Creation'!$AB$9:$AB$255)</f>
        <v>0</v>
      </c>
      <c r="Y29" s="346">
        <f>SUMIF('D-3 Off-Site Habitat Enhancment'!$S$12:$S$491,'G-2 Habitat groups'!A29,'D-3 Off-Site Habitat Enhancment'!$V$12:$V$491)</f>
        <v>0</v>
      </c>
      <c r="Z29" s="346">
        <f>SUMIF('D-3 Off-Site Habitat Enhancment'!$S$12:$S$491,'G-2 Habitat groups'!A29,'D-3 Off-Site Habitat Enhancment'!$AQ$12:$AQ$491)</f>
        <v>0</v>
      </c>
      <c r="AA29" s="346">
        <f t="shared" si="4"/>
        <v>0</v>
      </c>
      <c r="AB29" s="346">
        <f t="shared" si="13"/>
        <v>0</v>
      </c>
      <c r="AC29" s="346">
        <f t="shared" si="5"/>
        <v>0</v>
      </c>
      <c r="AD29" s="346">
        <f t="shared" si="14"/>
        <v>0</v>
      </c>
      <c r="AE29" s="346">
        <f t="shared" si="6"/>
        <v>0</v>
      </c>
      <c r="AF29" s="346">
        <f t="shared" si="15"/>
        <v>0</v>
      </c>
      <c r="AJ29" s="84" t="s">
        <v>132</v>
      </c>
      <c r="AK29" s="549">
        <f t="shared" si="27"/>
        <v>0</v>
      </c>
      <c r="AL29" s="549">
        <f t="shared" si="28"/>
        <v>0</v>
      </c>
      <c r="AM29" s="549">
        <f t="shared" si="29"/>
        <v>0</v>
      </c>
      <c r="AN29" s="549">
        <f t="shared" si="30"/>
        <v>0</v>
      </c>
      <c r="AO29" s="651">
        <f t="shared" si="31"/>
        <v>0</v>
      </c>
      <c r="AP29" s="651">
        <f t="shared" si="32"/>
        <v>0</v>
      </c>
      <c r="AU29" s="94" t="s">
        <v>968</v>
      </c>
      <c r="AV29" s="97" t="s">
        <v>220</v>
      </c>
      <c r="AW29" s="97" t="s">
        <v>969</v>
      </c>
      <c r="AX29" s="97" t="s">
        <v>970</v>
      </c>
      <c r="AY29" s="97" t="s">
        <v>971</v>
      </c>
      <c r="AZ29" s="97" t="s">
        <v>972</v>
      </c>
      <c r="BA29" s="97" t="s">
        <v>973</v>
      </c>
      <c r="BB29" s="97" t="s">
        <v>985</v>
      </c>
      <c r="BC29" s="97" t="s">
        <v>975</v>
      </c>
      <c r="BD29" s="97" t="s">
        <v>976</v>
      </c>
      <c r="BE29" s="97" t="s">
        <v>977</v>
      </c>
      <c r="BF29" s="97" t="s">
        <v>978</v>
      </c>
    </row>
    <row r="30" spans="1:59">
      <c r="A30" s="79" t="str">
        <f>'G-1 All Habitats'!B29</f>
        <v>Heathland and shrub - Hawthorn scrub</v>
      </c>
      <c r="B30" s="68" t="str">
        <f>'G-1 All Habitats'!F29</f>
        <v>Heathland and shrub</v>
      </c>
      <c r="C30" s="68" t="str">
        <f>'G-1 All Habitats'!K29</f>
        <v>Medium</v>
      </c>
      <c r="D30" s="68" t="str">
        <f>'G-1 All Habitats'!M29</f>
        <v>Same broad habitat or a higher distinctiveness habitat required (≥)</v>
      </c>
      <c r="E30" s="346">
        <f>IF(C30="V.High",SUMIF('A-1 On-Site Habitat Baseline'!$G$11:$G$258,'G-2 Habitat groups'!A30,'A-1 On-Site Habitat Baseline'!$S$11:$S$258)+SUMIF('A-1 On-Site Habitat Baseline'!$G$11:$G$258,'G-2 Habitat groups'!A30,'A-1 On-Site Habitat Baseline'!$T$11:$T$258),SUMIF('A-1 On-Site Habitat Baseline'!$G$11:$G$258,'G-2 Habitat groups'!A30,'A-1 On-Site Habitat Baseline'!$H$11:$H$258))</f>
        <v>0</v>
      </c>
      <c r="F30" s="346">
        <f>SUMIF('A-1 On-Site Habitat Baseline'!$G$11:$G$258,'G-2 Habitat groups'!A30,'A-1 On-Site Habitat Baseline'!$Q$11:$Q$258)</f>
        <v>0</v>
      </c>
      <c r="G30" s="346">
        <f>SUMIF('A-1 On-Site Habitat Baseline'!$G$11:$G$258,'G-2 Habitat groups'!A30,'A-1 On-Site Habitat Baseline'!$S$11:$S$258)</f>
        <v>0</v>
      </c>
      <c r="H30" s="346">
        <f>SUMIF('A-1 On-Site Habitat Baseline'!$G$11:$G$258,'G-2 Habitat groups'!A30,'A-1 On-Site Habitat Baseline'!$U$11:$U$258)</f>
        <v>0</v>
      </c>
      <c r="I30" s="346">
        <f>SUMIF('A-1 On-Site Habitat Baseline'!$G$11:$G$258,'G-2 Habitat groups'!A30,'A-1 On-Site Habitat Baseline'!$W$11:$W$258)</f>
        <v>0</v>
      </c>
      <c r="J30" s="346">
        <f>SUMIF('A-1 On-Site Habitat Baseline'!$G$11:$G$258,'G-2 Habitat groups'!A30,'A-1 On-Site Habitat Baseline'!$X$11:$X$258)</f>
        <v>0</v>
      </c>
      <c r="K30" s="346">
        <f>SUMIF('A-2 On-Site Habitat Creation'!$F$11:$F$256,'G-2 Habitat groups'!A30,'A-2 On-Site Habitat Creation'!$G$11:$G$256)</f>
        <v>0</v>
      </c>
      <c r="L30" s="346">
        <f>SUMIF('A-2 On-Site Habitat Creation'!$F$11:$F$256,'G-2 Habitat groups'!A30,'A-2 On-Site Habitat Creation'!$Y$11:$Y$256)</f>
        <v>0</v>
      </c>
      <c r="M30" s="346">
        <f>SUMIF('A-3 On-Site Habitat Enhancement'!$S$12:$S$257,'G-2 Habitat groups'!A30,'A-3 On-Site Habitat Enhancement'!$V$12:$V$257)</f>
        <v>0</v>
      </c>
      <c r="N30" s="346">
        <f>SUMIF('A-3 On-Site Habitat Enhancement'!$S$12:$S$257,'G-2 Habitat groups'!A30,'A-3 On-Site Habitat Enhancement'!$AN$12:$AN$257)</f>
        <v>0</v>
      </c>
      <c r="O30" s="346">
        <f t="shared" si="0"/>
        <v>0</v>
      </c>
      <c r="P30" s="346">
        <f t="shared" si="1"/>
        <v>0</v>
      </c>
      <c r="Q30" s="346">
        <f t="shared" si="2"/>
        <v>0</v>
      </c>
      <c r="R30" s="346">
        <f t="shared" si="3"/>
        <v>0</v>
      </c>
      <c r="S30" s="346">
        <f>IF(C30="V.High",SUMIF('D-1 Off-Site Habitat Baseline'!$G$11:$G$258,'G-2 Habitat groups'!A30,'D-1 Off-Site Habitat Baseline'!$V$11:$V$258)+SUMIF('D-1 Off-Site Habitat Baseline'!$G$11:$G$258,'G-2 Habitat groups'!A30,'D-1 Off-Site Habitat Baseline'!$W$11:$W$258),SUMIF('D-1 Off-Site Habitat Baseline'!$G$11:$G$258,'G-2 Habitat groups'!A30,'D-1 Off-Site Habitat Baseline'!$H$11:$H$258))</f>
        <v>0</v>
      </c>
      <c r="T30" s="346">
        <f>SUMIF('D-1 Off-Site Habitat Baseline'!$G$11:$G$258,'G-2 Habitat groups'!A30,'D-1 Off-Site Habitat Baseline'!$T$11:$T$258)</f>
        <v>0</v>
      </c>
      <c r="U30" s="346">
        <f>SUMIF('D-1 Off-Site Habitat Baseline'!$G$11:$G$258,'G-2 Habitat groups'!A30,'D-1 Off-Site Habitat Baseline'!$V$11:$V$258)</f>
        <v>0</v>
      </c>
      <c r="V30" s="346">
        <f>SUMIF('D-1 Off-Site Habitat Baseline'!$G$11:$G$258,'G-2 Habitat groups'!A30,'D-1 Off-Site Habitat Baseline'!$X$11:$X$258)</f>
        <v>0</v>
      </c>
      <c r="W30" s="346">
        <f>SUMIF('D-2 Off-Site Habitat Creation'!$F$9:$F$255,'G-2 Habitat groups'!A30,'D-2 Off-Site Habitat Creation'!$G$9:$G$255)</f>
        <v>0</v>
      </c>
      <c r="X30" s="346">
        <f>SUMIF('D-2 Off-Site Habitat Creation'!$F$9:$F$255,'G-2 Habitat groups'!A30,'D-2 Off-Site Habitat Creation'!$AB$9:$AB$255)</f>
        <v>0</v>
      </c>
      <c r="Y30" s="346">
        <f>SUMIF('D-3 Off-Site Habitat Enhancment'!$S$12:$S$491,'G-2 Habitat groups'!A30,'D-3 Off-Site Habitat Enhancment'!$V$12:$V$491)</f>
        <v>0</v>
      </c>
      <c r="Z30" s="346">
        <f>SUMIF('D-3 Off-Site Habitat Enhancment'!$S$12:$S$491,'G-2 Habitat groups'!A30,'D-3 Off-Site Habitat Enhancment'!$AQ$12:$AQ$491)</f>
        <v>0</v>
      </c>
      <c r="AA30" s="346">
        <f t="shared" si="4"/>
        <v>0</v>
      </c>
      <c r="AB30" s="346">
        <f t="shared" si="13"/>
        <v>0</v>
      </c>
      <c r="AC30" s="346">
        <f t="shared" si="5"/>
        <v>0</v>
      </c>
      <c r="AD30" s="346">
        <f t="shared" si="14"/>
        <v>0</v>
      </c>
      <c r="AE30" s="346">
        <f t="shared" si="6"/>
        <v>0</v>
      </c>
      <c r="AF30" s="346">
        <f t="shared" si="15"/>
        <v>0</v>
      </c>
      <c r="AJ30" s="84" t="s">
        <v>133</v>
      </c>
      <c r="AK30" s="548">
        <f t="shared" si="27"/>
        <v>0</v>
      </c>
      <c r="AL30" s="548">
        <f t="shared" si="28"/>
        <v>0</v>
      </c>
      <c r="AM30" s="548">
        <f t="shared" si="29"/>
        <v>0</v>
      </c>
      <c r="AN30" s="548">
        <f t="shared" si="30"/>
        <v>0</v>
      </c>
      <c r="AO30" s="651">
        <f t="shared" si="31"/>
        <v>0</v>
      </c>
      <c r="AP30" s="651">
        <f t="shared" si="32"/>
        <v>0</v>
      </c>
      <c r="AU30" s="86" t="s">
        <v>509</v>
      </c>
      <c r="AV30" s="68" t="s">
        <v>125</v>
      </c>
      <c r="AW30" s="358">
        <f t="shared" ref="AW30:AW73" si="33">VLOOKUP($AU30,AllHabsSummaryData,5,FALSE)</f>
        <v>0</v>
      </c>
      <c r="AX30" s="358">
        <f t="shared" ref="AX30:AX73" si="34">VLOOKUP($AU30,AllHabsSummaryData,10,FALSE)</f>
        <v>0</v>
      </c>
      <c r="AY30" s="358">
        <f t="shared" ref="AY30:AY73" si="35">VLOOKUP($AU30,AllHabsSummaryData,15,FALSE)</f>
        <v>0</v>
      </c>
      <c r="AZ30" s="358">
        <f t="shared" ref="AZ30:AZ73" si="36">VLOOKUP($AU30,AllHabsSummaryData,16,FALSE)</f>
        <v>0</v>
      </c>
      <c r="BA30" s="358">
        <f t="shared" ref="BA30:BA73" si="37">VLOOKUP($AU30,AllHabsSummaryData,17,FALSE)</f>
        <v>0</v>
      </c>
      <c r="BB30" s="358">
        <f t="shared" ref="BB30:BB73" si="38">VLOOKUP($AU30,AllHabsSummaryData,18,FALSE)</f>
        <v>0</v>
      </c>
      <c r="BC30" s="358">
        <f t="shared" ref="BC30:BC73" si="39">VLOOKUP($AU30,AllHabsSummaryData,27,FALSE)</f>
        <v>0</v>
      </c>
      <c r="BD30" s="358">
        <f t="shared" ref="BD30:BD73" si="40">VLOOKUP($AU30,AllHabsSummaryData,30,FALSE)</f>
        <v>0</v>
      </c>
      <c r="BE30" s="358">
        <f t="shared" ref="BE30:BE73" si="41">BB30+BD30</f>
        <v>0</v>
      </c>
      <c r="BF30" s="358" t="str">
        <f t="shared" ref="BF30:BF73" si="42">IF(BE30&lt;0,BE30,"")</f>
        <v/>
      </c>
    </row>
    <row r="31" spans="1:59">
      <c r="A31" s="79" t="str">
        <f>'G-1 All Habitats'!B30</f>
        <v>Heathland and shrub - Hazel scrub</v>
      </c>
      <c r="B31" s="68" t="str">
        <f>'G-1 All Habitats'!F30</f>
        <v>Heathland and shrub</v>
      </c>
      <c r="C31" s="68" t="str">
        <f>'G-1 All Habitats'!K30</f>
        <v>Medium</v>
      </c>
      <c r="D31" s="68" t="str">
        <f>'G-1 All Habitats'!M30</f>
        <v>Same broad habitat or a higher distinctiveness habitat required (≥)</v>
      </c>
      <c r="E31" s="346">
        <f>IF(C31="V.High",SUMIF('A-1 On-Site Habitat Baseline'!$G$11:$G$258,'G-2 Habitat groups'!A31,'A-1 On-Site Habitat Baseline'!$S$11:$S$258)+SUMIF('A-1 On-Site Habitat Baseline'!$G$11:$G$258,'G-2 Habitat groups'!A31,'A-1 On-Site Habitat Baseline'!$T$11:$T$258),SUMIF('A-1 On-Site Habitat Baseline'!$G$11:$G$258,'G-2 Habitat groups'!A31,'A-1 On-Site Habitat Baseline'!$H$11:$H$258))</f>
        <v>0</v>
      </c>
      <c r="F31" s="346">
        <f>SUMIF('A-1 On-Site Habitat Baseline'!$G$11:$G$258,'G-2 Habitat groups'!A31,'A-1 On-Site Habitat Baseline'!$Q$11:$Q$258)</f>
        <v>0</v>
      </c>
      <c r="G31" s="346">
        <f>SUMIF('A-1 On-Site Habitat Baseline'!$G$11:$G$258,'G-2 Habitat groups'!A31,'A-1 On-Site Habitat Baseline'!$S$11:$S$258)</f>
        <v>0</v>
      </c>
      <c r="H31" s="346">
        <f>SUMIF('A-1 On-Site Habitat Baseline'!$G$11:$G$258,'G-2 Habitat groups'!A31,'A-1 On-Site Habitat Baseline'!$U$11:$U$258)</f>
        <v>0</v>
      </c>
      <c r="I31" s="346">
        <f>SUMIF('A-1 On-Site Habitat Baseline'!$G$11:$G$258,'G-2 Habitat groups'!A31,'A-1 On-Site Habitat Baseline'!$W$11:$W$258)</f>
        <v>0</v>
      </c>
      <c r="J31" s="346">
        <f>SUMIF('A-1 On-Site Habitat Baseline'!$G$11:$G$258,'G-2 Habitat groups'!A31,'A-1 On-Site Habitat Baseline'!$X$11:$X$258)</f>
        <v>0</v>
      </c>
      <c r="K31" s="346">
        <f>SUMIF('A-2 On-Site Habitat Creation'!$F$11:$F$256,'G-2 Habitat groups'!A31,'A-2 On-Site Habitat Creation'!$G$11:$G$256)</f>
        <v>0</v>
      </c>
      <c r="L31" s="346">
        <f>SUMIF('A-2 On-Site Habitat Creation'!$F$11:$F$256,'G-2 Habitat groups'!A31,'A-2 On-Site Habitat Creation'!$Y$11:$Y$256)</f>
        <v>0</v>
      </c>
      <c r="M31" s="346">
        <f>SUMIF('A-3 On-Site Habitat Enhancement'!$S$12:$S$257,'G-2 Habitat groups'!A31,'A-3 On-Site Habitat Enhancement'!$V$12:$V$257)</f>
        <v>0</v>
      </c>
      <c r="N31" s="346">
        <f>SUMIF('A-3 On-Site Habitat Enhancement'!$S$12:$S$257,'G-2 Habitat groups'!A31,'A-3 On-Site Habitat Enhancement'!$AN$12:$AN$257)</f>
        <v>0</v>
      </c>
      <c r="O31" s="346">
        <f t="shared" si="0"/>
        <v>0</v>
      </c>
      <c r="P31" s="346">
        <f t="shared" si="1"/>
        <v>0</v>
      </c>
      <c r="Q31" s="346">
        <f t="shared" si="2"/>
        <v>0</v>
      </c>
      <c r="R31" s="346">
        <f t="shared" si="3"/>
        <v>0</v>
      </c>
      <c r="S31" s="346">
        <f>IF(C31="V.High",SUMIF('D-1 Off-Site Habitat Baseline'!$G$11:$G$258,'G-2 Habitat groups'!A31,'D-1 Off-Site Habitat Baseline'!$V$11:$V$258)+SUMIF('D-1 Off-Site Habitat Baseline'!$G$11:$G$258,'G-2 Habitat groups'!A31,'D-1 Off-Site Habitat Baseline'!$W$11:$W$258),SUMIF('D-1 Off-Site Habitat Baseline'!$G$11:$G$258,'G-2 Habitat groups'!A31,'D-1 Off-Site Habitat Baseline'!$H$11:$H$258))</f>
        <v>0</v>
      </c>
      <c r="T31" s="346">
        <f>SUMIF('D-1 Off-Site Habitat Baseline'!$G$11:$G$258,'G-2 Habitat groups'!A31,'D-1 Off-Site Habitat Baseline'!$T$11:$T$258)</f>
        <v>0</v>
      </c>
      <c r="U31" s="346">
        <f>SUMIF('D-1 Off-Site Habitat Baseline'!$G$11:$G$258,'G-2 Habitat groups'!A31,'D-1 Off-Site Habitat Baseline'!$V$11:$V$258)</f>
        <v>0</v>
      </c>
      <c r="V31" s="346">
        <f>SUMIF('D-1 Off-Site Habitat Baseline'!$G$11:$G$258,'G-2 Habitat groups'!A31,'D-1 Off-Site Habitat Baseline'!$X$11:$X$258)</f>
        <v>0</v>
      </c>
      <c r="W31" s="346">
        <f>SUMIF('D-2 Off-Site Habitat Creation'!$F$9:$F$255,'G-2 Habitat groups'!A31,'D-2 Off-Site Habitat Creation'!$G$9:$G$255)</f>
        <v>0</v>
      </c>
      <c r="X31" s="346">
        <f>SUMIF('D-2 Off-Site Habitat Creation'!$F$9:$F$255,'G-2 Habitat groups'!A31,'D-2 Off-Site Habitat Creation'!$AB$9:$AB$255)</f>
        <v>0</v>
      </c>
      <c r="Y31" s="346">
        <f>SUMIF('D-3 Off-Site Habitat Enhancment'!$S$12:$S$491,'G-2 Habitat groups'!A31,'D-3 Off-Site Habitat Enhancment'!$V$12:$V$491)</f>
        <v>0</v>
      </c>
      <c r="Z31" s="346">
        <f>SUMIF('D-3 Off-Site Habitat Enhancment'!$S$12:$S$491,'G-2 Habitat groups'!A31,'D-3 Off-Site Habitat Enhancment'!$AQ$12:$AQ$491)</f>
        <v>0</v>
      </c>
      <c r="AA31" s="346">
        <f t="shared" si="4"/>
        <v>0</v>
      </c>
      <c r="AB31" s="346">
        <f t="shared" si="13"/>
        <v>0</v>
      </c>
      <c r="AC31" s="346">
        <f t="shared" si="5"/>
        <v>0</v>
      </c>
      <c r="AD31" s="346">
        <f t="shared" si="14"/>
        <v>0</v>
      </c>
      <c r="AE31" s="346">
        <f t="shared" si="6"/>
        <v>0</v>
      </c>
      <c r="AF31" s="346">
        <f t="shared" si="15"/>
        <v>0</v>
      </c>
      <c r="AJ31" s="84" t="s">
        <v>134</v>
      </c>
      <c r="AK31" s="548">
        <f t="shared" si="27"/>
        <v>0</v>
      </c>
      <c r="AL31" s="548">
        <f t="shared" si="28"/>
        <v>0</v>
      </c>
      <c r="AM31" s="548">
        <f t="shared" si="29"/>
        <v>0</v>
      </c>
      <c r="AN31" s="548">
        <f t="shared" si="30"/>
        <v>0</v>
      </c>
      <c r="AO31" s="651">
        <f t="shared" si="31"/>
        <v>0</v>
      </c>
      <c r="AP31" s="651">
        <f t="shared" si="32"/>
        <v>0</v>
      </c>
      <c r="AU31" s="86" t="s">
        <v>516</v>
      </c>
      <c r="AV31" s="68" t="s">
        <v>125</v>
      </c>
      <c r="AW31" s="358">
        <f t="shared" si="33"/>
        <v>0</v>
      </c>
      <c r="AX31" s="358">
        <f t="shared" si="34"/>
        <v>0</v>
      </c>
      <c r="AY31" s="358">
        <f t="shared" si="35"/>
        <v>0</v>
      </c>
      <c r="AZ31" s="358">
        <f t="shared" si="36"/>
        <v>0</v>
      </c>
      <c r="BA31" s="358">
        <f t="shared" si="37"/>
        <v>0</v>
      </c>
      <c r="BB31" s="358">
        <f t="shared" si="38"/>
        <v>0</v>
      </c>
      <c r="BC31" s="358">
        <f t="shared" si="39"/>
        <v>0</v>
      </c>
      <c r="BD31" s="358">
        <f t="shared" si="40"/>
        <v>0</v>
      </c>
      <c r="BE31" s="358">
        <f t="shared" si="41"/>
        <v>0</v>
      </c>
      <c r="BF31" s="358" t="str">
        <f t="shared" si="42"/>
        <v/>
      </c>
    </row>
    <row r="32" spans="1:59">
      <c r="A32" s="79" t="str">
        <f>'G-1 All Habitats'!B31</f>
        <v>Heathland and shrub - Lowland heathland</v>
      </c>
      <c r="B32" s="68" t="str">
        <f>'G-1 All Habitats'!F31</f>
        <v>Heathland and shrub</v>
      </c>
      <c r="C32" s="68" t="str">
        <f>'G-1 All Habitats'!K31</f>
        <v>High</v>
      </c>
      <c r="D32" s="68" t="str">
        <f>'G-1 All Habitats'!M31</f>
        <v>Same habitat required =</v>
      </c>
      <c r="E32" s="346">
        <f>IF(C32="V.High",SUMIF('A-1 On-Site Habitat Baseline'!$G$11:$G$258,'G-2 Habitat groups'!A32,'A-1 On-Site Habitat Baseline'!$S$11:$S$258)+SUMIF('A-1 On-Site Habitat Baseline'!$G$11:$G$258,'G-2 Habitat groups'!A32,'A-1 On-Site Habitat Baseline'!$T$11:$T$258),SUMIF('A-1 On-Site Habitat Baseline'!$G$11:$G$258,'G-2 Habitat groups'!A32,'A-1 On-Site Habitat Baseline'!$H$11:$H$258))</f>
        <v>0</v>
      </c>
      <c r="F32" s="346">
        <f>SUMIF('A-1 On-Site Habitat Baseline'!$G$11:$G$258,'G-2 Habitat groups'!A32,'A-1 On-Site Habitat Baseline'!$Q$11:$Q$258)</f>
        <v>0</v>
      </c>
      <c r="G32" s="346">
        <f>SUMIF('A-1 On-Site Habitat Baseline'!$G$11:$G$258,'G-2 Habitat groups'!A32,'A-1 On-Site Habitat Baseline'!$S$11:$S$258)</f>
        <v>0</v>
      </c>
      <c r="H32" s="346">
        <f>SUMIF('A-1 On-Site Habitat Baseline'!$G$11:$G$258,'G-2 Habitat groups'!A32,'A-1 On-Site Habitat Baseline'!$U$11:$U$258)</f>
        <v>0</v>
      </c>
      <c r="I32" s="346">
        <f>SUMIF('A-1 On-Site Habitat Baseline'!$G$11:$G$258,'G-2 Habitat groups'!A32,'A-1 On-Site Habitat Baseline'!$W$11:$W$258)</f>
        <v>0</v>
      </c>
      <c r="J32" s="346">
        <f>SUMIF('A-1 On-Site Habitat Baseline'!$G$11:$G$258,'G-2 Habitat groups'!A32,'A-1 On-Site Habitat Baseline'!$X$11:$X$258)</f>
        <v>0</v>
      </c>
      <c r="K32" s="346">
        <f>SUMIF('A-2 On-Site Habitat Creation'!$F$11:$F$256,'G-2 Habitat groups'!A32,'A-2 On-Site Habitat Creation'!$G$11:$G$256)</f>
        <v>0</v>
      </c>
      <c r="L32" s="346">
        <f>SUMIF('A-2 On-Site Habitat Creation'!$F$11:$F$256,'G-2 Habitat groups'!A32,'A-2 On-Site Habitat Creation'!$Y$11:$Y$256)</f>
        <v>0</v>
      </c>
      <c r="M32" s="346">
        <f>SUMIF('A-3 On-Site Habitat Enhancement'!$S$12:$S$257,'G-2 Habitat groups'!A32,'A-3 On-Site Habitat Enhancement'!$V$12:$V$257)</f>
        <v>0</v>
      </c>
      <c r="N32" s="346">
        <f>SUMIF('A-3 On-Site Habitat Enhancement'!$S$12:$S$257,'G-2 Habitat groups'!A32,'A-3 On-Site Habitat Enhancement'!$AN$12:$AN$257)</f>
        <v>0</v>
      </c>
      <c r="O32" s="346">
        <f t="shared" si="0"/>
        <v>0</v>
      </c>
      <c r="P32" s="346">
        <f t="shared" si="1"/>
        <v>0</v>
      </c>
      <c r="Q32" s="346">
        <f t="shared" si="2"/>
        <v>0</v>
      </c>
      <c r="R32" s="346">
        <f t="shared" si="3"/>
        <v>0</v>
      </c>
      <c r="S32" s="346">
        <f>IF(C32="V.High",SUMIF('D-1 Off-Site Habitat Baseline'!$G$11:$G$258,'G-2 Habitat groups'!A32,'D-1 Off-Site Habitat Baseline'!$V$11:$V$258)+SUMIF('D-1 Off-Site Habitat Baseline'!$G$11:$G$258,'G-2 Habitat groups'!A32,'D-1 Off-Site Habitat Baseline'!$W$11:$W$258),SUMIF('D-1 Off-Site Habitat Baseline'!$G$11:$G$258,'G-2 Habitat groups'!A32,'D-1 Off-Site Habitat Baseline'!$H$11:$H$258))</f>
        <v>0</v>
      </c>
      <c r="T32" s="346">
        <f>SUMIF('D-1 Off-Site Habitat Baseline'!$G$11:$G$258,'G-2 Habitat groups'!A32,'D-1 Off-Site Habitat Baseline'!$T$11:$T$258)</f>
        <v>0</v>
      </c>
      <c r="U32" s="346">
        <f>SUMIF('D-1 Off-Site Habitat Baseline'!$G$11:$G$258,'G-2 Habitat groups'!A32,'D-1 Off-Site Habitat Baseline'!$V$11:$V$258)</f>
        <v>0</v>
      </c>
      <c r="V32" s="346">
        <f>SUMIF('D-1 Off-Site Habitat Baseline'!$G$11:$G$258,'G-2 Habitat groups'!A32,'D-1 Off-Site Habitat Baseline'!$X$11:$X$258)</f>
        <v>0</v>
      </c>
      <c r="W32" s="346">
        <f>SUMIF('D-2 Off-Site Habitat Creation'!$F$9:$F$255,'G-2 Habitat groups'!A32,'D-2 Off-Site Habitat Creation'!$G$9:$G$255)</f>
        <v>0</v>
      </c>
      <c r="X32" s="346">
        <f>SUMIF('D-2 Off-Site Habitat Creation'!$F$9:$F$255,'G-2 Habitat groups'!A32,'D-2 Off-Site Habitat Creation'!$AB$9:$AB$255)</f>
        <v>0</v>
      </c>
      <c r="Y32" s="346">
        <f>SUMIF('D-3 Off-Site Habitat Enhancment'!$S$12:$S$491,'G-2 Habitat groups'!A32,'D-3 Off-Site Habitat Enhancment'!$V$12:$V$491)</f>
        <v>0</v>
      </c>
      <c r="Z32" s="346">
        <f>SUMIF('D-3 Off-Site Habitat Enhancment'!$S$12:$S$491,'G-2 Habitat groups'!A32,'D-3 Off-Site Habitat Enhancment'!$AQ$12:$AQ$491)</f>
        <v>0</v>
      </c>
      <c r="AA32" s="346">
        <f t="shared" si="4"/>
        <v>0</v>
      </c>
      <c r="AB32" s="346">
        <f t="shared" si="13"/>
        <v>0</v>
      </c>
      <c r="AC32" s="346">
        <f t="shared" si="5"/>
        <v>0</v>
      </c>
      <c r="AD32" s="346">
        <f t="shared" si="14"/>
        <v>0</v>
      </c>
      <c r="AE32" s="346">
        <f t="shared" si="6"/>
        <v>0</v>
      </c>
      <c r="AF32" s="346">
        <f t="shared" si="15"/>
        <v>0</v>
      </c>
      <c r="AJ32" s="84" t="s">
        <v>135</v>
      </c>
      <c r="AK32" s="549">
        <f t="shared" si="27"/>
        <v>0</v>
      </c>
      <c r="AL32" s="549">
        <f t="shared" si="28"/>
        <v>0</v>
      </c>
      <c r="AM32" s="549">
        <f t="shared" si="29"/>
        <v>0</v>
      </c>
      <c r="AN32" s="549">
        <f t="shared" si="30"/>
        <v>0</v>
      </c>
      <c r="AO32" s="651">
        <f t="shared" si="31"/>
        <v>0</v>
      </c>
      <c r="AP32" s="651">
        <f t="shared" si="32"/>
        <v>0</v>
      </c>
      <c r="AU32" s="86" t="s">
        <v>521</v>
      </c>
      <c r="AV32" s="68" t="s">
        <v>125</v>
      </c>
      <c r="AW32" s="358">
        <f t="shared" si="33"/>
        <v>0</v>
      </c>
      <c r="AX32" s="358">
        <f t="shared" si="34"/>
        <v>0</v>
      </c>
      <c r="AY32" s="358">
        <f t="shared" si="35"/>
        <v>0</v>
      </c>
      <c r="AZ32" s="358">
        <f t="shared" si="36"/>
        <v>0</v>
      </c>
      <c r="BA32" s="358">
        <f t="shared" si="37"/>
        <v>0</v>
      </c>
      <c r="BB32" s="358">
        <f t="shared" si="38"/>
        <v>0</v>
      </c>
      <c r="BC32" s="358">
        <f t="shared" si="39"/>
        <v>0</v>
      </c>
      <c r="BD32" s="358">
        <f t="shared" si="40"/>
        <v>0</v>
      </c>
      <c r="BE32" s="358">
        <f t="shared" si="41"/>
        <v>0</v>
      </c>
      <c r="BF32" s="358" t="str">
        <f t="shared" si="42"/>
        <v/>
      </c>
    </row>
    <row r="33" spans="1:58">
      <c r="A33" s="79" t="str">
        <f>'G-1 All Habitats'!B32</f>
        <v>Heathland and shrub - Mixed scrub</v>
      </c>
      <c r="B33" s="68" t="str">
        <f>'G-1 All Habitats'!F32</f>
        <v>Heathland and shrub</v>
      </c>
      <c r="C33" s="68" t="str">
        <f>'G-1 All Habitats'!K32</f>
        <v>Medium</v>
      </c>
      <c r="D33" s="68" t="str">
        <f>'G-1 All Habitats'!M32</f>
        <v>Same broad habitat or a higher distinctiveness habitat required (≥)</v>
      </c>
      <c r="E33" s="346">
        <f>IF(C33="V.High",SUMIF('A-1 On-Site Habitat Baseline'!$G$11:$G$258,'G-2 Habitat groups'!A33,'A-1 On-Site Habitat Baseline'!$S$11:$S$258)+SUMIF('A-1 On-Site Habitat Baseline'!$G$11:$G$258,'G-2 Habitat groups'!A33,'A-1 On-Site Habitat Baseline'!$T$11:$T$258),SUMIF('A-1 On-Site Habitat Baseline'!$G$11:$G$258,'G-2 Habitat groups'!A33,'A-1 On-Site Habitat Baseline'!$H$11:$H$258))</f>
        <v>2.3E-2</v>
      </c>
      <c r="F33" s="346">
        <f>SUMIF('A-1 On-Site Habitat Baseline'!$G$11:$G$258,'G-2 Habitat groups'!A33,'A-1 On-Site Habitat Baseline'!$Q$11:$Q$258)</f>
        <v>0.184</v>
      </c>
      <c r="G33" s="346">
        <f>SUMIF('A-1 On-Site Habitat Baseline'!$G$11:$G$258,'G-2 Habitat groups'!A33,'A-1 On-Site Habitat Baseline'!$S$11:$S$258)</f>
        <v>0</v>
      </c>
      <c r="H33" s="346">
        <f>SUMIF('A-1 On-Site Habitat Baseline'!$G$11:$G$258,'G-2 Habitat groups'!A33,'A-1 On-Site Habitat Baseline'!$U$11:$U$258)</f>
        <v>0</v>
      </c>
      <c r="I33" s="346">
        <f>SUMIF('A-1 On-Site Habitat Baseline'!$G$11:$G$258,'G-2 Habitat groups'!A33,'A-1 On-Site Habitat Baseline'!$W$11:$W$258)</f>
        <v>2.3E-2</v>
      </c>
      <c r="J33" s="346">
        <f>SUMIF('A-1 On-Site Habitat Baseline'!$G$11:$G$258,'G-2 Habitat groups'!A33,'A-1 On-Site Habitat Baseline'!$X$11:$X$258)</f>
        <v>0.184</v>
      </c>
      <c r="K33" s="346">
        <f>SUMIF('A-2 On-Site Habitat Creation'!$F$11:$F$256,'G-2 Habitat groups'!A33,'A-2 On-Site Habitat Creation'!$G$11:$G$256)</f>
        <v>0.66100000000000003</v>
      </c>
      <c r="L33" s="346">
        <f>SUMIF('A-2 On-Site Habitat Creation'!$F$11:$F$256,'G-2 Habitat groups'!A33,'A-2 On-Site Habitat Creation'!$Y$11:$Y$256)</f>
        <v>4.4251501687728005</v>
      </c>
      <c r="M33" s="346">
        <f>SUMIF('A-3 On-Site Habitat Enhancement'!$S$12:$S$257,'G-2 Habitat groups'!A33,'A-3 On-Site Habitat Enhancement'!$V$12:$V$257)</f>
        <v>0</v>
      </c>
      <c r="N33" s="346">
        <f>SUMIF('A-3 On-Site Habitat Enhancement'!$S$12:$S$257,'G-2 Habitat groups'!A33,'A-3 On-Site Habitat Enhancement'!$AN$12:$AN$257)</f>
        <v>0</v>
      </c>
      <c r="O33" s="346">
        <f t="shared" si="0"/>
        <v>0.66100000000000003</v>
      </c>
      <c r="P33" s="346">
        <f t="shared" si="1"/>
        <v>4.4251501687728005</v>
      </c>
      <c r="Q33" s="346">
        <f t="shared" si="2"/>
        <v>0.63800000000000001</v>
      </c>
      <c r="R33" s="346">
        <f t="shared" si="3"/>
        <v>4.2411501687728004</v>
      </c>
      <c r="S33" s="346">
        <f>IF(C33="V.High",SUMIF('D-1 Off-Site Habitat Baseline'!$G$11:$G$258,'G-2 Habitat groups'!A33,'D-1 Off-Site Habitat Baseline'!$V$11:$V$258)+SUMIF('D-1 Off-Site Habitat Baseline'!$G$11:$G$258,'G-2 Habitat groups'!A33,'D-1 Off-Site Habitat Baseline'!$W$11:$W$258),SUMIF('D-1 Off-Site Habitat Baseline'!$G$11:$G$258,'G-2 Habitat groups'!A33,'D-1 Off-Site Habitat Baseline'!$H$11:$H$258))</f>
        <v>0</v>
      </c>
      <c r="T33" s="346">
        <f>SUMIF('D-1 Off-Site Habitat Baseline'!$G$11:$G$258,'G-2 Habitat groups'!A33,'D-1 Off-Site Habitat Baseline'!$T$11:$T$258)</f>
        <v>0</v>
      </c>
      <c r="U33" s="346">
        <f>SUMIF('D-1 Off-Site Habitat Baseline'!$G$11:$G$258,'G-2 Habitat groups'!A33,'D-1 Off-Site Habitat Baseline'!$V$11:$V$258)</f>
        <v>0</v>
      </c>
      <c r="V33" s="346">
        <f>SUMIF('D-1 Off-Site Habitat Baseline'!$G$11:$G$258,'G-2 Habitat groups'!A33,'D-1 Off-Site Habitat Baseline'!$X$11:$X$258)</f>
        <v>0</v>
      </c>
      <c r="W33" s="346">
        <f>SUMIF('D-2 Off-Site Habitat Creation'!$F$9:$F$255,'G-2 Habitat groups'!A33,'D-2 Off-Site Habitat Creation'!$G$9:$G$255)</f>
        <v>0</v>
      </c>
      <c r="X33" s="346">
        <f>SUMIF('D-2 Off-Site Habitat Creation'!$F$9:$F$255,'G-2 Habitat groups'!A33,'D-2 Off-Site Habitat Creation'!$AB$9:$AB$255)</f>
        <v>0</v>
      </c>
      <c r="Y33" s="346">
        <f>SUMIF('D-3 Off-Site Habitat Enhancment'!$S$12:$S$491,'G-2 Habitat groups'!A33,'D-3 Off-Site Habitat Enhancment'!$V$12:$V$491)</f>
        <v>0</v>
      </c>
      <c r="Z33" s="346">
        <f>SUMIF('D-3 Off-Site Habitat Enhancment'!$S$12:$S$491,'G-2 Habitat groups'!A33,'D-3 Off-Site Habitat Enhancment'!$AQ$12:$AQ$491)</f>
        <v>0</v>
      </c>
      <c r="AA33" s="346">
        <f t="shared" si="4"/>
        <v>0</v>
      </c>
      <c r="AB33" s="346">
        <f t="shared" si="13"/>
        <v>0</v>
      </c>
      <c r="AC33" s="346">
        <f t="shared" si="5"/>
        <v>0</v>
      </c>
      <c r="AD33" s="346">
        <f t="shared" si="14"/>
        <v>0</v>
      </c>
      <c r="AE33" s="346">
        <f t="shared" si="6"/>
        <v>0.63800000000000001</v>
      </c>
      <c r="AF33" s="346">
        <f t="shared" si="15"/>
        <v>4.2411501687728004</v>
      </c>
      <c r="AJ33" s="84" t="s">
        <v>136</v>
      </c>
      <c r="AK33" s="549">
        <f t="shared" si="27"/>
        <v>0</v>
      </c>
      <c r="AL33" s="549">
        <f t="shared" si="28"/>
        <v>0</v>
      </c>
      <c r="AM33" s="549">
        <f t="shared" si="29"/>
        <v>0</v>
      </c>
      <c r="AN33" s="549">
        <f t="shared" si="30"/>
        <v>0</v>
      </c>
      <c r="AO33" s="651">
        <f t="shared" si="31"/>
        <v>0</v>
      </c>
      <c r="AP33" s="651">
        <f t="shared" si="32"/>
        <v>0</v>
      </c>
      <c r="AU33" s="86" t="s">
        <v>548</v>
      </c>
      <c r="AV33" s="68" t="s">
        <v>125</v>
      </c>
      <c r="AW33" s="358">
        <f t="shared" si="33"/>
        <v>0</v>
      </c>
      <c r="AX33" s="358">
        <f t="shared" si="34"/>
        <v>0</v>
      </c>
      <c r="AY33" s="358">
        <f t="shared" si="35"/>
        <v>0</v>
      </c>
      <c r="AZ33" s="358">
        <f t="shared" si="36"/>
        <v>0</v>
      </c>
      <c r="BA33" s="358">
        <f t="shared" si="37"/>
        <v>0</v>
      </c>
      <c r="BB33" s="358">
        <f t="shared" si="38"/>
        <v>0</v>
      </c>
      <c r="BC33" s="358">
        <f t="shared" si="39"/>
        <v>0</v>
      </c>
      <c r="BD33" s="358">
        <f t="shared" si="40"/>
        <v>0</v>
      </c>
      <c r="BE33" s="358">
        <f t="shared" si="41"/>
        <v>0</v>
      </c>
      <c r="BF33" s="358" t="str">
        <f t="shared" si="42"/>
        <v/>
      </c>
    </row>
    <row r="34" spans="1:58">
      <c r="A34" s="79" t="str">
        <f>'G-1 All Habitats'!B33</f>
        <v>Heathland and shrub - Mountain heaths and willow scrub</v>
      </c>
      <c r="B34" s="68" t="str">
        <f>'G-1 All Habitats'!F33</f>
        <v>Heathland and shrub</v>
      </c>
      <c r="C34" s="68" t="str">
        <f>'G-1 All Habitats'!K33</f>
        <v>V.High</v>
      </c>
      <c r="D34" s="68" t="str">
        <f>'G-1 All Habitats'!M33</f>
        <v>Bespoke compensation likely to be required 🛠</v>
      </c>
      <c r="E34" s="346">
        <f>IF(C34="V.High",SUMIF('A-1 On-Site Habitat Baseline'!$G$11:$G$258,'G-2 Habitat groups'!A34,'A-1 On-Site Habitat Baseline'!$S$11:$S$258)+SUMIF('A-1 On-Site Habitat Baseline'!$G$11:$G$258,'G-2 Habitat groups'!A34,'A-1 On-Site Habitat Baseline'!$T$11:$T$258),SUMIF('A-1 On-Site Habitat Baseline'!$G$11:$G$258,'G-2 Habitat groups'!A34,'A-1 On-Site Habitat Baseline'!$H$11:$H$258))</f>
        <v>0</v>
      </c>
      <c r="F34" s="346">
        <f>SUMIF('A-1 On-Site Habitat Baseline'!$G$11:$G$258,'G-2 Habitat groups'!A34,'A-1 On-Site Habitat Baseline'!$Q$11:$Q$258)</f>
        <v>0</v>
      </c>
      <c r="G34" s="346">
        <f>SUMIF('A-1 On-Site Habitat Baseline'!$G$11:$G$258,'G-2 Habitat groups'!A34,'A-1 On-Site Habitat Baseline'!$S$11:$S$258)</f>
        <v>0</v>
      </c>
      <c r="H34" s="346">
        <f>SUMIF('A-1 On-Site Habitat Baseline'!$G$11:$G$258,'G-2 Habitat groups'!A34,'A-1 On-Site Habitat Baseline'!$U$11:$U$258)</f>
        <v>0</v>
      </c>
      <c r="I34" s="346">
        <f>SUMIF('A-1 On-Site Habitat Baseline'!$G$11:$G$258,'G-2 Habitat groups'!A34,'A-1 On-Site Habitat Baseline'!$W$11:$W$258)</f>
        <v>0</v>
      </c>
      <c r="J34" s="346">
        <f>SUMIF('A-1 On-Site Habitat Baseline'!$G$11:$G$258,'G-2 Habitat groups'!A34,'A-1 On-Site Habitat Baseline'!$X$11:$X$258)</f>
        <v>0</v>
      </c>
      <c r="K34" s="346">
        <f>SUMIF('A-2 On-Site Habitat Creation'!$F$11:$F$256,'G-2 Habitat groups'!A34,'A-2 On-Site Habitat Creation'!$G$11:$G$256)</f>
        <v>0</v>
      </c>
      <c r="L34" s="346">
        <f>SUMIF('A-2 On-Site Habitat Creation'!$F$11:$F$256,'G-2 Habitat groups'!A34,'A-2 On-Site Habitat Creation'!$Y$11:$Y$256)</f>
        <v>0</v>
      </c>
      <c r="M34" s="346">
        <f>SUMIF('A-3 On-Site Habitat Enhancement'!$S$12:$S$257,'G-2 Habitat groups'!A34,'A-3 On-Site Habitat Enhancement'!$V$12:$V$257)</f>
        <v>0</v>
      </c>
      <c r="N34" s="346">
        <f>SUMIF('A-3 On-Site Habitat Enhancement'!$S$12:$S$257,'G-2 Habitat groups'!A34,'A-3 On-Site Habitat Enhancement'!$AN$12:$AN$257)</f>
        <v>0</v>
      </c>
      <c r="O34" s="346">
        <f t="shared" si="0"/>
        <v>0</v>
      </c>
      <c r="P34" s="346">
        <f t="shared" si="1"/>
        <v>0</v>
      </c>
      <c r="Q34" s="346">
        <f t="shared" si="2"/>
        <v>0</v>
      </c>
      <c r="R34" s="346">
        <f t="shared" si="3"/>
        <v>0</v>
      </c>
      <c r="S34" s="346">
        <f>IF(C34="V.High",SUMIF('D-1 Off-Site Habitat Baseline'!$G$11:$G$258,'G-2 Habitat groups'!A34,'D-1 Off-Site Habitat Baseline'!$V$11:$V$258)+SUMIF('D-1 Off-Site Habitat Baseline'!$G$11:$G$258,'G-2 Habitat groups'!A34,'D-1 Off-Site Habitat Baseline'!$W$11:$W$258),SUMIF('D-1 Off-Site Habitat Baseline'!$G$11:$G$258,'G-2 Habitat groups'!A34,'D-1 Off-Site Habitat Baseline'!$H$11:$H$258))</f>
        <v>0</v>
      </c>
      <c r="T34" s="346">
        <f>SUMIF('D-1 Off-Site Habitat Baseline'!$G$11:$G$258,'G-2 Habitat groups'!A34,'D-1 Off-Site Habitat Baseline'!$T$11:$T$258)</f>
        <v>0</v>
      </c>
      <c r="U34" s="346">
        <f>SUMIF('D-1 Off-Site Habitat Baseline'!$G$11:$G$258,'G-2 Habitat groups'!A34,'D-1 Off-Site Habitat Baseline'!$V$11:$V$258)</f>
        <v>0</v>
      </c>
      <c r="V34" s="346">
        <f>SUMIF('D-1 Off-Site Habitat Baseline'!$G$11:$G$258,'G-2 Habitat groups'!A34,'D-1 Off-Site Habitat Baseline'!$X$11:$X$258)</f>
        <v>0</v>
      </c>
      <c r="W34" s="346">
        <f>SUMIF('D-2 Off-Site Habitat Creation'!$F$9:$F$255,'G-2 Habitat groups'!A34,'D-2 Off-Site Habitat Creation'!$G$9:$G$255)</f>
        <v>0</v>
      </c>
      <c r="X34" s="346">
        <f>SUMIF('D-2 Off-Site Habitat Creation'!$F$9:$F$255,'G-2 Habitat groups'!A34,'D-2 Off-Site Habitat Creation'!$AB$9:$AB$255)</f>
        <v>0</v>
      </c>
      <c r="Y34" s="346">
        <f>SUMIF('D-3 Off-Site Habitat Enhancment'!$S$12:$S$491,'G-2 Habitat groups'!A34,'D-3 Off-Site Habitat Enhancment'!$V$12:$V$491)</f>
        <v>0</v>
      </c>
      <c r="Z34" s="346">
        <f>SUMIF('D-3 Off-Site Habitat Enhancment'!$S$12:$S$491,'G-2 Habitat groups'!A34,'D-3 Off-Site Habitat Enhancment'!$AQ$12:$AQ$491)</f>
        <v>0</v>
      </c>
      <c r="AA34" s="346">
        <f t="shared" si="4"/>
        <v>0</v>
      </c>
      <c r="AB34" s="346">
        <f t="shared" si="13"/>
        <v>0</v>
      </c>
      <c r="AC34" s="346">
        <f t="shared" si="5"/>
        <v>0</v>
      </c>
      <c r="AD34" s="346">
        <f t="shared" si="14"/>
        <v>0</v>
      </c>
      <c r="AE34" s="346">
        <f t="shared" si="6"/>
        <v>0</v>
      </c>
      <c r="AF34" s="346">
        <f t="shared" si="15"/>
        <v>0</v>
      </c>
      <c r="AJ34" s="650" t="s">
        <v>138</v>
      </c>
      <c r="AK34" s="549">
        <f>SUMIF($B:$B,$AJ34,S:S)</f>
        <v>0</v>
      </c>
      <c r="AL34" s="549">
        <f t="shared" si="28"/>
        <v>0</v>
      </c>
      <c r="AM34" s="549">
        <f t="shared" si="29"/>
        <v>0</v>
      </c>
      <c r="AN34" s="549">
        <f t="shared" si="30"/>
        <v>0</v>
      </c>
      <c r="AO34" s="549">
        <f t="shared" si="31"/>
        <v>0</v>
      </c>
      <c r="AP34" s="549">
        <f t="shared" si="32"/>
        <v>0</v>
      </c>
      <c r="AU34" s="86" t="s">
        <v>557</v>
      </c>
      <c r="AV34" s="68" t="s">
        <v>125</v>
      </c>
      <c r="AW34" s="358">
        <f t="shared" si="33"/>
        <v>0</v>
      </c>
      <c r="AX34" s="358">
        <f t="shared" si="34"/>
        <v>0</v>
      </c>
      <c r="AY34" s="358">
        <f t="shared" si="35"/>
        <v>0</v>
      </c>
      <c r="AZ34" s="358">
        <f t="shared" si="36"/>
        <v>0</v>
      </c>
      <c r="BA34" s="358">
        <f t="shared" si="37"/>
        <v>0</v>
      </c>
      <c r="BB34" s="358">
        <f t="shared" si="38"/>
        <v>0</v>
      </c>
      <c r="BC34" s="358">
        <f t="shared" si="39"/>
        <v>0</v>
      </c>
      <c r="BD34" s="358">
        <f t="shared" si="40"/>
        <v>0</v>
      </c>
      <c r="BE34" s="358">
        <f t="shared" si="41"/>
        <v>0</v>
      </c>
      <c r="BF34" s="358" t="str">
        <f t="shared" si="42"/>
        <v/>
      </c>
    </row>
    <row r="35" spans="1:58">
      <c r="A35" s="79" t="str">
        <f>'G-1 All Habitats'!B34</f>
        <v>Heathland and shrub - Rhododendron scrub</v>
      </c>
      <c r="B35" s="68" t="str">
        <f>'G-1 All Habitats'!F34</f>
        <v>Heathland and shrub</v>
      </c>
      <c r="C35" s="68" t="str">
        <f>'G-1 All Habitats'!K34</f>
        <v>Low</v>
      </c>
      <c r="D35" s="68" t="str">
        <f>'G-1 All Habitats'!M34</f>
        <v>Same distinctiveness or better habitat required ≥</v>
      </c>
      <c r="E35" s="346">
        <f>IF(C35="V.High",SUMIF('A-1 On-Site Habitat Baseline'!$G$11:$G$258,'G-2 Habitat groups'!A35,'A-1 On-Site Habitat Baseline'!$S$11:$S$258)+SUMIF('A-1 On-Site Habitat Baseline'!$G$11:$G$258,'G-2 Habitat groups'!A35,'A-1 On-Site Habitat Baseline'!$T$11:$T$258),SUMIF('A-1 On-Site Habitat Baseline'!$G$11:$G$258,'G-2 Habitat groups'!A35,'A-1 On-Site Habitat Baseline'!$H$11:$H$258))</f>
        <v>0</v>
      </c>
      <c r="F35" s="346">
        <f>SUMIF('A-1 On-Site Habitat Baseline'!$G$11:$G$258,'G-2 Habitat groups'!A35,'A-1 On-Site Habitat Baseline'!$Q$11:$Q$258)</f>
        <v>0</v>
      </c>
      <c r="G35" s="346">
        <f>SUMIF('A-1 On-Site Habitat Baseline'!$G$11:$G$258,'G-2 Habitat groups'!A35,'A-1 On-Site Habitat Baseline'!$S$11:$S$258)</f>
        <v>0</v>
      </c>
      <c r="H35" s="346">
        <f>SUMIF('A-1 On-Site Habitat Baseline'!$G$11:$G$258,'G-2 Habitat groups'!A35,'A-1 On-Site Habitat Baseline'!$U$11:$U$258)</f>
        <v>0</v>
      </c>
      <c r="I35" s="346">
        <f>SUMIF('A-1 On-Site Habitat Baseline'!$G$11:$G$258,'G-2 Habitat groups'!A35,'A-1 On-Site Habitat Baseline'!$W$11:$W$258)</f>
        <v>0</v>
      </c>
      <c r="J35" s="346">
        <f>SUMIF('A-1 On-Site Habitat Baseline'!$G$11:$G$258,'G-2 Habitat groups'!A35,'A-1 On-Site Habitat Baseline'!$X$11:$X$258)</f>
        <v>0</v>
      </c>
      <c r="K35" s="346">
        <f>SUMIF('A-2 On-Site Habitat Creation'!$F$11:$F$256,'G-2 Habitat groups'!A35,'A-2 On-Site Habitat Creation'!$G$11:$G$256)</f>
        <v>0</v>
      </c>
      <c r="L35" s="346">
        <f>SUMIF('A-2 On-Site Habitat Creation'!$F$11:$F$256,'G-2 Habitat groups'!A35,'A-2 On-Site Habitat Creation'!$Y$11:$Y$256)</f>
        <v>0</v>
      </c>
      <c r="M35" s="346">
        <f>SUMIF('A-3 On-Site Habitat Enhancement'!$S$12:$S$257,'G-2 Habitat groups'!A35,'A-3 On-Site Habitat Enhancement'!$V$12:$V$257)</f>
        <v>0</v>
      </c>
      <c r="N35" s="346">
        <f>SUMIF('A-3 On-Site Habitat Enhancement'!$S$12:$S$257,'G-2 Habitat groups'!A35,'A-3 On-Site Habitat Enhancement'!$AN$12:$AN$257)</f>
        <v>0</v>
      </c>
      <c r="O35" s="346">
        <f t="shared" ref="O35:O68" si="43">G35+K35+M35</f>
        <v>0</v>
      </c>
      <c r="P35" s="346">
        <f t="shared" ref="P35:P68" si="44">H35+L35+N35</f>
        <v>0</v>
      </c>
      <c r="Q35" s="346">
        <f t="shared" ref="Q35:Q68" si="45">O35-E35</f>
        <v>0</v>
      </c>
      <c r="R35" s="346">
        <f t="shared" ref="R35:R68" si="46">P35-F35</f>
        <v>0</v>
      </c>
      <c r="S35" s="346">
        <f>IF(C35="V.High",SUMIF('D-1 Off-Site Habitat Baseline'!$G$11:$G$258,'G-2 Habitat groups'!A35,'D-1 Off-Site Habitat Baseline'!$V$11:$V$258)+SUMIF('D-1 Off-Site Habitat Baseline'!$G$11:$G$258,'G-2 Habitat groups'!A35,'D-1 Off-Site Habitat Baseline'!$W$11:$W$258),SUMIF('D-1 Off-Site Habitat Baseline'!$G$11:$G$258,'G-2 Habitat groups'!A35,'D-1 Off-Site Habitat Baseline'!$H$11:$H$258))</f>
        <v>0</v>
      </c>
      <c r="T35" s="346">
        <f>SUMIF('D-1 Off-Site Habitat Baseline'!$G$11:$G$258,'G-2 Habitat groups'!A35,'D-1 Off-Site Habitat Baseline'!$T$11:$T$258)</f>
        <v>0</v>
      </c>
      <c r="U35" s="346">
        <f>SUMIF('D-1 Off-Site Habitat Baseline'!$G$11:$G$258,'G-2 Habitat groups'!A35,'D-1 Off-Site Habitat Baseline'!$V$11:$V$258)</f>
        <v>0</v>
      </c>
      <c r="V35" s="346">
        <f>SUMIF('D-1 Off-Site Habitat Baseline'!$G$11:$G$258,'G-2 Habitat groups'!A35,'D-1 Off-Site Habitat Baseline'!$X$11:$X$258)</f>
        <v>0</v>
      </c>
      <c r="W35" s="346">
        <f>SUMIF('D-2 Off-Site Habitat Creation'!$F$9:$F$255,'G-2 Habitat groups'!A35,'D-2 Off-Site Habitat Creation'!$G$9:$G$255)</f>
        <v>0</v>
      </c>
      <c r="X35" s="346">
        <f>SUMIF('D-2 Off-Site Habitat Creation'!$F$9:$F$255,'G-2 Habitat groups'!A35,'D-2 Off-Site Habitat Creation'!$AB$9:$AB$255)</f>
        <v>0</v>
      </c>
      <c r="Y35" s="346">
        <f>SUMIF('D-3 Off-Site Habitat Enhancment'!$S$12:$S$491,'G-2 Habitat groups'!A35,'D-3 Off-Site Habitat Enhancment'!$V$12:$V$491)</f>
        <v>0</v>
      </c>
      <c r="Z35" s="346">
        <f>SUMIF('D-3 Off-Site Habitat Enhancment'!$S$12:$S$491,'G-2 Habitat groups'!A35,'D-3 Off-Site Habitat Enhancment'!$AQ$12:$AQ$491)</f>
        <v>0</v>
      </c>
      <c r="AA35" s="346">
        <f t="shared" ref="AA35:AA68" si="47">U35+W35+Y35</f>
        <v>0</v>
      </c>
      <c r="AB35" s="346">
        <f t="shared" ref="AB35:AB68" si="48">V35+X35+Z35</f>
        <v>0</v>
      </c>
      <c r="AC35" s="346">
        <f t="shared" ref="AC35:AC68" si="49">AA35-S35</f>
        <v>0</v>
      </c>
      <c r="AD35" s="346">
        <f t="shared" ref="AD35:AD68" si="50">AB35-T35</f>
        <v>0</v>
      </c>
      <c r="AE35" s="346">
        <f t="shared" ref="AE35:AE68" si="51">Q35+AC35</f>
        <v>0</v>
      </c>
      <c r="AF35" s="346">
        <f t="shared" ref="AF35:AF68" si="52">R35+AD35</f>
        <v>0</v>
      </c>
      <c r="AJ35" s="650" t="s">
        <v>137</v>
      </c>
      <c r="AK35" s="549">
        <f t="shared" si="27"/>
        <v>0</v>
      </c>
      <c r="AL35" s="549">
        <f t="shared" si="28"/>
        <v>0</v>
      </c>
      <c r="AM35" s="549">
        <f t="shared" si="29"/>
        <v>0</v>
      </c>
      <c r="AN35" s="549">
        <f t="shared" si="30"/>
        <v>0</v>
      </c>
      <c r="AO35" s="549">
        <f t="shared" si="31"/>
        <v>0</v>
      </c>
      <c r="AP35" s="549">
        <f t="shared" si="32"/>
        <v>0</v>
      </c>
      <c r="AU35" s="86" t="s">
        <v>986</v>
      </c>
      <c r="AV35" s="68" t="s">
        <v>126</v>
      </c>
      <c r="AW35" s="358">
        <f t="shared" si="33"/>
        <v>0</v>
      </c>
      <c r="AX35" s="358">
        <f t="shared" si="34"/>
        <v>0</v>
      </c>
      <c r="AY35" s="358">
        <f t="shared" si="35"/>
        <v>0</v>
      </c>
      <c r="AZ35" s="358">
        <f t="shared" si="36"/>
        <v>0</v>
      </c>
      <c r="BA35" s="358">
        <f t="shared" si="37"/>
        <v>0</v>
      </c>
      <c r="BB35" s="358">
        <f t="shared" si="38"/>
        <v>0</v>
      </c>
      <c r="BC35" s="358">
        <f t="shared" si="39"/>
        <v>0</v>
      </c>
      <c r="BD35" s="358">
        <f t="shared" si="40"/>
        <v>0</v>
      </c>
      <c r="BE35" s="358">
        <f t="shared" si="41"/>
        <v>0</v>
      </c>
      <c r="BF35" s="358" t="str">
        <f t="shared" si="42"/>
        <v/>
      </c>
    </row>
    <row r="36" spans="1:58">
      <c r="A36" s="79" t="str">
        <f>'G-1 All Habitats'!B35</f>
        <v>Heathland and shrub - Dunes with sea buckthorn (H2160)</v>
      </c>
      <c r="B36" s="68" t="str">
        <f>'G-1 All Habitats'!F35</f>
        <v>Heathland and shrub</v>
      </c>
      <c r="C36" s="68" t="str">
        <f>'G-1 All Habitats'!K35</f>
        <v>High</v>
      </c>
      <c r="D36" s="68" t="str">
        <f>'G-1 All Habitats'!M35</f>
        <v>Same habitat required =</v>
      </c>
      <c r="E36" s="346">
        <f>IF(C36="V.High",SUMIF('A-1 On-Site Habitat Baseline'!$G$11:$G$258,'G-2 Habitat groups'!A36,'A-1 On-Site Habitat Baseline'!$S$11:$S$258)+SUMIF('A-1 On-Site Habitat Baseline'!$G$11:$G$258,'G-2 Habitat groups'!A36,'A-1 On-Site Habitat Baseline'!$T$11:$T$258),SUMIF('A-1 On-Site Habitat Baseline'!$G$11:$G$258,'G-2 Habitat groups'!A36,'A-1 On-Site Habitat Baseline'!$H$11:$H$258))</f>
        <v>0</v>
      </c>
      <c r="F36" s="346">
        <f>SUMIF('A-1 On-Site Habitat Baseline'!$G$11:$G$258,'G-2 Habitat groups'!A36,'A-1 On-Site Habitat Baseline'!$Q$11:$Q$258)</f>
        <v>0</v>
      </c>
      <c r="G36" s="346">
        <f>SUMIF('A-1 On-Site Habitat Baseline'!$G$11:$G$258,'G-2 Habitat groups'!A36,'A-1 On-Site Habitat Baseline'!$S$11:$S$258)</f>
        <v>0</v>
      </c>
      <c r="H36" s="346">
        <f>SUMIF('A-1 On-Site Habitat Baseline'!$G$11:$G$258,'G-2 Habitat groups'!A36,'A-1 On-Site Habitat Baseline'!$U$11:$U$258)</f>
        <v>0</v>
      </c>
      <c r="I36" s="346">
        <f>SUMIF('A-1 On-Site Habitat Baseline'!$G$11:$G$258,'G-2 Habitat groups'!A36,'A-1 On-Site Habitat Baseline'!$W$11:$W$258)</f>
        <v>0</v>
      </c>
      <c r="J36" s="346">
        <f>SUMIF('A-1 On-Site Habitat Baseline'!$G$11:$G$258,'G-2 Habitat groups'!A36,'A-1 On-Site Habitat Baseline'!$X$11:$X$258)</f>
        <v>0</v>
      </c>
      <c r="K36" s="346">
        <f>SUMIF('A-2 On-Site Habitat Creation'!$F$11:$F$256,'G-2 Habitat groups'!A36,'A-2 On-Site Habitat Creation'!$G$11:$G$256)</f>
        <v>0</v>
      </c>
      <c r="L36" s="346">
        <f>SUMIF('A-2 On-Site Habitat Creation'!$F$11:$F$256,'G-2 Habitat groups'!A36,'A-2 On-Site Habitat Creation'!$Y$11:$Y$256)</f>
        <v>0</v>
      </c>
      <c r="M36" s="346">
        <f>SUMIF('A-3 On-Site Habitat Enhancement'!$S$12:$S$257,'G-2 Habitat groups'!A36,'A-3 On-Site Habitat Enhancement'!$V$12:$V$257)</f>
        <v>0</v>
      </c>
      <c r="N36" s="346">
        <f>SUMIF('A-3 On-Site Habitat Enhancement'!$S$12:$S$257,'G-2 Habitat groups'!A36,'A-3 On-Site Habitat Enhancement'!$AN$12:$AN$257)</f>
        <v>0</v>
      </c>
      <c r="O36" s="346">
        <f t="shared" si="43"/>
        <v>0</v>
      </c>
      <c r="P36" s="346">
        <f t="shared" si="44"/>
        <v>0</v>
      </c>
      <c r="Q36" s="346">
        <f t="shared" si="45"/>
        <v>0</v>
      </c>
      <c r="R36" s="346">
        <f t="shared" si="46"/>
        <v>0</v>
      </c>
      <c r="S36" s="346">
        <f>IF(C36="V.High",SUMIF('D-1 Off-Site Habitat Baseline'!$G$11:$G$258,'G-2 Habitat groups'!A36,'D-1 Off-Site Habitat Baseline'!$V$11:$V$258)+SUMIF('D-1 Off-Site Habitat Baseline'!$G$11:$G$258,'G-2 Habitat groups'!A36,'D-1 Off-Site Habitat Baseline'!$W$11:$W$258),SUMIF('D-1 Off-Site Habitat Baseline'!$G$11:$G$258,'G-2 Habitat groups'!A36,'D-1 Off-Site Habitat Baseline'!$H$11:$H$258))</f>
        <v>0</v>
      </c>
      <c r="T36" s="346">
        <f>SUMIF('D-1 Off-Site Habitat Baseline'!$G$11:$G$258,'G-2 Habitat groups'!A36,'D-1 Off-Site Habitat Baseline'!$T$11:$T$258)</f>
        <v>0</v>
      </c>
      <c r="U36" s="346">
        <f>SUMIF('D-1 Off-Site Habitat Baseline'!$G$11:$G$258,'G-2 Habitat groups'!A36,'D-1 Off-Site Habitat Baseline'!$V$11:$V$258)</f>
        <v>0</v>
      </c>
      <c r="V36" s="346">
        <f>SUMIF('D-1 Off-Site Habitat Baseline'!$G$11:$G$258,'G-2 Habitat groups'!A36,'D-1 Off-Site Habitat Baseline'!$X$11:$X$258)</f>
        <v>0</v>
      </c>
      <c r="W36" s="346">
        <f>SUMIF('D-2 Off-Site Habitat Creation'!$F$9:$F$255,'G-2 Habitat groups'!A36,'D-2 Off-Site Habitat Creation'!$G$9:$G$255)</f>
        <v>0</v>
      </c>
      <c r="X36" s="346">
        <f>SUMIF('D-2 Off-Site Habitat Creation'!$F$9:$F$255,'G-2 Habitat groups'!A36,'D-2 Off-Site Habitat Creation'!$AB$9:$AB$255)</f>
        <v>0</v>
      </c>
      <c r="Y36" s="346">
        <f>SUMIF('D-3 Off-Site Habitat Enhancment'!$S$12:$S$491,'G-2 Habitat groups'!A36,'D-3 Off-Site Habitat Enhancment'!$V$12:$V$491)</f>
        <v>0</v>
      </c>
      <c r="Z36" s="346">
        <f>SUMIF('D-3 Off-Site Habitat Enhancment'!$S$12:$S$491,'G-2 Habitat groups'!A36,'D-3 Off-Site Habitat Enhancment'!$AQ$12:$AQ$491)</f>
        <v>0</v>
      </c>
      <c r="AA36" s="346">
        <f t="shared" si="47"/>
        <v>0</v>
      </c>
      <c r="AB36" s="346">
        <f t="shared" si="48"/>
        <v>0</v>
      </c>
      <c r="AC36" s="346">
        <f t="shared" si="49"/>
        <v>0</v>
      </c>
      <c r="AD36" s="346">
        <f t="shared" si="50"/>
        <v>0</v>
      </c>
      <c r="AE36" s="346">
        <f t="shared" si="51"/>
        <v>0</v>
      </c>
      <c r="AF36" s="346">
        <f t="shared" si="52"/>
        <v>0</v>
      </c>
      <c r="AU36" s="86" t="s">
        <v>597</v>
      </c>
      <c r="AV36" s="68" t="s">
        <v>126</v>
      </c>
      <c r="AW36" s="358">
        <f t="shared" si="33"/>
        <v>0</v>
      </c>
      <c r="AX36" s="358">
        <f t="shared" si="34"/>
        <v>0</v>
      </c>
      <c r="AY36" s="358">
        <f t="shared" si="35"/>
        <v>0</v>
      </c>
      <c r="AZ36" s="358">
        <f t="shared" si="36"/>
        <v>0</v>
      </c>
      <c r="BA36" s="358">
        <f t="shared" si="37"/>
        <v>0</v>
      </c>
      <c r="BB36" s="358">
        <f t="shared" si="38"/>
        <v>0</v>
      </c>
      <c r="BC36" s="358">
        <f t="shared" si="39"/>
        <v>0</v>
      </c>
      <c r="BD36" s="358">
        <f t="shared" si="40"/>
        <v>0</v>
      </c>
      <c r="BE36" s="358">
        <f t="shared" si="41"/>
        <v>0</v>
      </c>
      <c r="BF36" s="358" t="str">
        <f t="shared" si="42"/>
        <v/>
      </c>
    </row>
    <row r="37" spans="1:58">
      <c r="A37" s="79" t="str">
        <f>'G-1 All Habitats'!B36</f>
        <v>Heathland and shrub - Other sea buckthorn scrub</v>
      </c>
      <c r="B37" s="68" t="str">
        <f>'G-1 All Habitats'!F36</f>
        <v>Heathland and shrub</v>
      </c>
      <c r="C37" s="68" t="str">
        <f>'G-1 All Habitats'!K36</f>
        <v>Low</v>
      </c>
      <c r="D37" s="68" t="str">
        <f>'G-1 All Habitats'!M36</f>
        <v>Same distinctiveness or better habitat required ≥</v>
      </c>
      <c r="E37" s="346">
        <f>IF(C37="V.High",SUMIF('A-1 On-Site Habitat Baseline'!$G$11:$G$258,'G-2 Habitat groups'!A37,'A-1 On-Site Habitat Baseline'!$S$11:$S$258)+SUMIF('A-1 On-Site Habitat Baseline'!$G$11:$G$258,'G-2 Habitat groups'!A37,'A-1 On-Site Habitat Baseline'!$T$11:$T$258),SUMIF('A-1 On-Site Habitat Baseline'!$G$11:$G$258,'G-2 Habitat groups'!A37,'A-1 On-Site Habitat Baseline'!$H$11:$H$258))</f>
        <v>0</v>
      </c>
      <c r="F37" s="346">
        <f>SUMIF('A-1 On-Site Habitat Baseline'!$G$11:$G$258,'G-2 Habitat groups'!A37,'A-1 On-Site Habitat Baseline'!$Q$11:$Q$258)</f>
        <v>0</v>
      </c>
      <c r="G37" s="346">
        <f>SUMIF('A-1 On-Site Habitat Baseline'!$G$11:$G$258,'G-2 Habitat groups'!A37,'A-1 On-Site Habitat Baseline'!$S$11:$S$258)</f>
        <v>0</v>
      </c>
      <c r="H37" s="346">
        <f>SUMIF('A-1 On-Site Habitat Baseline'!$G$11:$G$258,'G-2 Habitat groups'!A37,'A-1 On-Site Habitat Baseline'!$U$11:$U$258)</f>
        <v>0</v>
      </c>
      <c r="I37" s="346">
        <f>SUMIF('A-1 On-Site Habitat Baseline'!$G$11:$G$258,'G-2 Habitat groups'!A37,'A-1 On-Site Habitat Baseline'!$W$11:$W$258)</f>
        <v>0</v>
      </c>
      <c r="J37" s="346">
        <f>SUMIF('A-1 On-Site Habitat Baseline'!$G$11:$G$258,'G-2 Habitat groups'!A37,'A-1 On-Site Habitat Baseline'!$X$11:$X$258)</f>
        <v>0</v>
      </c>
      <c r="K37" s="346">
        <f>SUMIF('A-2 On-Site Habitat Creation'!$F$11:$F$256,'G-2 Habitat groups'!A37,'A-2 On-Site Habitat Creation'!$G$11:$G$256)</f>
        <v>0</v>
      </c>
      <c r="L37" s="346">
        <f>SUMIF('A-2 On-Site Habitat Creation'!$F$11:$F$256,'G-2 Habitat groups'!A37,'A-2 On-Site Habitat Creation'!$Y$11:$Y$256)</f>
        <v>0</v>
      </c>
      <c r="M37" s="346">
        <f>SUMIF('A-3 On-Site Habitat Enhancement'!$S$12:$S$257,'G-2 Habitat groups'!A37,'A-3 On-Site Habitat Enhancement'!$V$12:$V$257)</f>
        <v>0</v>
      </c>
      <c r="N37" s="346">
        <f>SUMIF('A-3 On-Site Habitat Enhancement'!$S$12:$S$257,'G-2 Habitat groups'!A37,'A-3 On-Site Habitat Enhancement'!$AN$12:$AN$257)</f>
        <v>0</v>
      </c>
      <c r="O37" s="346">
        <f t="shared" si="43"/>
        <v>0</v>
      </c>
      <c r="P37" s="346">
        <f t="shared" si="44"/>
        <v>0</v>
      </c>
      <c r="Q37" s="346">
        <f t="shared" si="45"/>
        <v>0</v>
      </c>
      <c r="R37" s="346">
        <f t="shared" si="46"/>
        <v>0</v>
      </c>
      <c r="S37" s="346">
        <f>IF(C37="V.High",SUMIF('D-1 Off-Site Habitat Baseline'!$G$11:$G$258,'G-2 Habitat groups'!A37,'D-1 Off-Site Habitat Baseline'!$V$11:$V$258)+SUMIF('D-1 Off-Site Habitat Baseline'!$G$11:$G$258,'G-2 Habitat groups'!A37,'D-1 Off-Site Habitat Baseline'!$W$11:$W$258),SUMIF('D-1 Off-Site Habitat Baseline'!$G$11:$G$258,'G-2 Habitat groups'!A37,'D-1 Off-Site Habitat Baseline'!$H$11:$H$258))</f>
        <v>0</v>
      </c>
      <c r="T37" s="346">
        <f>SUMIF('D-1 Off-Site Habitat Baseline'!$G$11:$G$258,'G-2 Habitat groups'!A37,'D-1 Off-Site Habitat Baseline'!$T$11:$T$258)</f>
        <v>0</v>
      </c>
      <c r="U37" s="346">
        <f>SUMIF('D-1 Off-Site Habitat Baseline'!$G$11:$G$258,'G-2 Habitat groups'!A37,'D-1 Off-Site Habitat Baseline'!$V$11:$V$258)</f>
        <v>0</v>
      </c>
      <c r="V37" s="346">
        <f>SUMIF('D-1 Off-Site Habitat Baseline'!$G$11:$G$258,'G-2 Habitat groups'!A37,'D-1 Off-Site Habitat Baseline'!$X$11:$X$258)</f>
        <v>0</v>
      </c>
      <c r="W37" s="346">
        <f>SUMIF('D-2 Off-Site Habitat Creation'!$F$9:$F$255,'G-2 Habitat groups'!A37,'D-2 Off-Site Habitat Creation'!$G$9:$G$255)</f>
        <v>0</v>
      </c>
      <c r="X37" s="346">
        <f>SUMIF('D-2 Off-Site Habitat Creation'!$F$9:$F$255,'G-2 Habitat groups'!A37,'D-2 Off-Site Habitat Creation'!$AB$9:$AB$255)</f>
        <v>0</v>
      </c>
      <c r="Y37" s="346">
        <f>SUMIF('D-3 Off-Site Habitat Enhancment'!$S$12:$S$491,'G-2 Habitat groups'!A37,'D-3 Off-Site Habitat Enhancment'!$V$12:$V$491)</f>
        <v>0</v>
      </c>
      <c r="Z37" s="346">
        <f>SUMIF('D-3 Off-Site Habitat Enhancment'!$S$12:$S$491,'G-2 Habitat groups'!A37,'D-3 Off-Site Habitat Enhancment'!$AQ$12:$AQ$491)</f>
        <v>0</v>
      </c>
      <c r="AA37" s="346">
        <f t="shared" si="47"/>
        <v>0</v>
      </c>
      <c r="AB37" s="346">
        <f t="shared" si="48"/>
        <v>0</v>
      </c>
      <c r="AC37" s="346">
        <f t="shared" si="49"/>
        <v>0</v>
      </c>
      <c r="AD37" s="346">
        <f t="shared" si="50"/>
        <v>0</v>
      </c>
      <c r="AE37" s="346">
        <f t="shared" si="51"/>
        <v>0</v>
      </c>
      <c r="AF37" s="346">
        <f t="shared" si="52"/>
        <v>0</v>
      </c>
      <c r="AU37" s="86" t="s">
        <v>609</v>
      </c>
      <c r="AV37" s="68" t="s">
        <v>126</v>
      </c>
      <c r="AW37" s="358">
        <f t="shared" si="33"/>
        <v>0</v>
      </c>
      <c r="AX37" s="358">
        <f t="shared" si="34"/>
        <v>0</v>
      </c>
      <c r="AY37" s="358">
        <f t="shared" si="35"/>
        <v>0</v>
      </c>
      <c r="AZ37" s="358">
        <f t="shared" si="36"/>
        <v>0</v>
      </c>
      <c r="BA37" s="358">
        <f t="shared" si="37"/>
        <v>0</v>
      </c>
      <c r="BB37" s="358">
        <f t="shared" si="38"/>
        <v>0</v>
      </c>
      <c r="BC37" s="358">
        <f t="shared" si="39"/>
        <v>0</v>
      </c>
      <c r="BD37" s="358">
        <f t="shared" si="40"/>
        <v>0</v>
      </c>
      <c r="BE37" s="358">
        <f t="shared" si="41"/>
        <v>0</v>
      </c>
      <c r="BF37" s="358" t="str">
        <f t="shared" si="42"/>
        <v/>
      </c>
    </row>
    <row r="38" spans="1:58">
      <c r="A38" s="79" t="s">
        <v>606</v>
      </c>
      <c r="B38" s="68" t="s">
        <v>126</v>
      </c>
      <c r="C38" s="68" t="s">
        <v>70</v>
      </c>
      <c r="D38" s="68" t="s">
        <v>215</v>
      </c>
      <c r="E38" s="346">
        <f>IF(C38="V.High",SUMIF('A-1 On-Site Habitat Baseline'!$G$11:$G$258,'G-2 Habitat groups'!A38,'A-1 On-Site Habitat Baseline'!$S$11:$S$258)+SUMIF('A-1 On-Site Habitat Baseline'!$G$11:$G$258,'G-2 Habitat groups'!A38,'A-1 On-Site Habitat Baseline'!$T$11:$T$258),SUMIF('A-1 On-Site Habitat Baseline'!$G$11:$G$258,'G-2 Habitat groups'!A38,'A-1 On-Site Habitat Baseline'!$H$11:$H$258))</f>
        <v>0</v>
      </c>
      <c r="F38" s="346">
        <f>SUMIF('A-1 On-Site Habitat Baseline'!$G$11:$G$258,'G-2 Habitat groups'!A38,'A-1 On-Site Habitat Baseline'!$Q$11:$Q$258)</f>
        <v>0</v>
      </c>
      <c r="G38" s="346">
        <f>SUMIF('A-1 On-Site Habitat Baseline'!$G$11:$G$258,'G-2 Habitat groups'!A38,'A-1 On-Site Habitat Baseline'!$S$11:$S$258)</f>
        <v>0</v>
      </c>
      <c r="H38" s="346">
        <f>SUMIF('A-1 On-Site Habitat Baseline'!$G$11:$G$258,'G-2 Habitat groups'!A38,'A-1 On-Site Habitat Baseline'!$U$11:$U$258)</f>
        <v>0</v>
      </c>
      <c r="I38" s="346">
        <f>SUMIF('A-1 On-Site Habitat Baseline'!$G$11:$G$258,'G-2 Habitat groups'!A38,'A-1 On-Site Habitat Baseline'!$W$11:$W$258)</f>
        <v>0</v>
      </c>
      <c r="J38" s="346">
        <f>SUMIF('A-1 On-Site Habitat Baseline'!$G$11:$G$258,'G-2 Habitat groups'!A38,'A-1 On-Site Habitat Baseline'!$X$11:$X$258)</f>
        <v>0</v>
      </c>
      <c r="K38" s="346">
        <f>SUMIF('A-2 On-Site Habitat Creation'!$F$11:$F$256,'G-2 Habitat groups'!A38,'A-2 On-Site Habitat Creation'!$G$11:$G$256)</f>
        <v>0</v>
      </c>
      <c r="L38" s="346">
        <f>SUMIF('A-2 On-Site Habitat Creation'!$F$11:$F$256,'G-2 Habitat groups'!A38,'A-2 On-Site Habitat Creation'!$Y$11:$Y$256)</f>
        <v>0</v>
      </c>
      <c r="M38" s="346">
        <f>SUMIF('A-3 On-Site Habitat Enhancement'!$S$12:$S$257,'G-2 Habitat groups'!A38,'A-3 On-Site Habitat Enhancement'!$V$12:$V$257)</f>
        <v>0</v>
      </c>
      <c r="N38" s="346">
        <f>SUMIF('A-3 On-Site Habitat Enhancement'!$S$12:$S$257,'G-2 Habitat groups'!A38,'A-3 On-Site Habitat Enhancement'!$AN$12:$AN$257)</f>
        <v>0</v>
      </c>
      <c r="O38" s="346">
        <f t="shared" si="43"/>
        <v>0</v>
      </c>
      <c r="P38" s="346">
        <f t="shared" si="44"/>
        <v>0</v>
      </c>
      <c r="Q38" s="346">
        <f t="shared" si="45"/>
        <v>0</v>
      </c>
      <c r="R38" s="346">
        <f t="shared" si="46"/>
        <v>0</v>
      </c>
      <c r="S38" s="346">
        <f>IF(C38="V.High",SUMIF('D-1 Off-Site Habitat Baseline'!$G$11:$G$258,'G-2 Habitat groups'!A38,'D-1 Off-Site Habitat Baseline'!$V$11:$V$258)+SUMIF('D-1 Off-Site Habitat Baseline'!$G$11:$G$258,'G-2 Habitat groups'!A38,'D-1 Off-Site Habitat Baseline'!$W$11:$W$258),SUMIF('D-1 Off-Site Habitat Baseline'!$G$11:$G$258,'G-2 Habitat groups'!A38,'D-1 Off-Site Habitat Baseline'!$H$11:$H$258))</f>
        <v>0</v>
      </c>
      <c r="T38" s="346">
        <f>SUMIF('D-1 Off-Site Habitat Baseline'!$G$11:$G$258,'G-2 Habitat groups'!A38,'D-1 Off-Site Habitat Baseline'!$T$11:$T$258)</f>
        <v>0</v>
      </c>
      <c r="U38" s="346">
        <f>SUMIF('D-1 Off-Site Habitat Baseline'!$G$11:$G$258,'G-2 Habitat groups'!A38,'D-1 Off-Site Habitat Baseline'!$V$11:$V$258)</f>
        <v>0</v>
      </c>
      <c r="V38" s="346">
        <f>SUMIF('D-1 Off-Site Habitat Baseline'!$G$11:$G$258,'G-2 Habitat groups'!A38,'D-1 Off-Site Habitat Baseline'!$X$11:$X$258)</f>
        <v>0</v>
      </c>
      <c r="W38" s="346">
        <f>SUMIF('D-2 Off-Site Habitat Creation'!$F$9:$F$255,'G-2 Habitat groups'!A38,'D-2 Off-Site Habitat Creation'!$G$9:$G$255)</f>
        <v>0</v>
      </c>
      <c r="X38" s="346">
        <f>SUMIF('D-2 Off-Site Habitat Creation'!$F$9:$F$255,'G-2 Habitat groups'!A38,'D-2 Off-Site Habitat Creation'!$AB$9:$AB$255)</f>
        <v>0</v>
      </c>
      <c r="Y38" s="346">
        <f>SUMIF('D-3 Off-Site Habitat Enhancment'!$S$12:$S$491,'G-2 Habitat groups'!A38,'D-3 Off-Site Habitat Enhancment'!$V$12:$V$491)</f>
        <v>0</v>
      </c>
      <c r="Z38" s="346">
        <f>SUMIF('D-3 Off-Site Habitat Enhancment'!$S$12:$S$491,'G-2 Habitat groups'!A38,'D-3 Off-Site Habitat Enhancment'!$AQ$12:$AQ$491)</f>
        <v>0</v>
      </c>
      <c r="AA38" s="346">
        <f t="shared" si="47"/>
        <v>0</v>
      </c>
      <c r="AB38" s="346">
        <f t="shared" si="48"/>
        <v>0</v>
      </c>
      <c r="AC38" s="346">
        <f t="shared" si="49"/>
        <v>0</v>
      </c>
      <c r="AD38" s="346">
        <f t="shared" si="50"/>
        <v>0</v>
      </c>
      <c r="AE38" s="346">
        <f t="shared" si="51"/>
        <v>0</v>
      </c>
      <c r="AF38" s="346">
        <f t="shared" si="52"/>
        <v>0</v>
      </c>
      <c r="AU38" s="86"/>
      <c r="AV38" s="68"/>
      <c r="AW38" s="358"/>
      <c r="AX38" s="358"/>
      <c r="AY38" s="358"/>
      <c r="AZ38" s="358"/>
      <c r="BA38" s="358"/>
      <c r="BB38" s="358"/>
      <c r="BC38" s="358"/>
      <c r="BD38" s="358"/>
      <c r="BE38" s="358"/>
      <c r="BF38" s="358"/>
    </row>
    <row r="39" spans="1:58">
      <c r="A39" s="79" t="str">
        <f>'G-1 All Habitats'!B38</f>
        <v>Heathland and shrub - Upland heathland</v>
      </c>
      <c r="B39" s="68" t="str">
        <f>'G-1 All Habitats'!F38</f>
        <v>Heathland and shrub</v>
      </c>
      <c r="C39" s="68" t="str">
        <f>'G-1 All Habitats'!K38</f>
        <v>High</v>
      </c>
      <c r="D39" s="68" t="str">
        <f>'G-1 All Habitats'!M38</f>
        <v>Same habitat required =</v>
      </c>
      <c r="E39" s="346">
        <f>IF(C39="V.High",SUMIF('A-1 On-Site Habitat Baseline'!$G$11:$G$258,'G-2 Habitat groups'!A39,'A-1 On-Site Habitat Baseline'!$S$11:$S$258)+SUMIF('A-1 On-Site Habitat Baseline'!$G$11:$G$258,'G-2 Habitat groups'!A39,'A-1 On-Site Habitat Baseline'!$T$11:$T$258),SUMIF('A-1 On-Site Habitat Baseline'!$G$11:$G$258,'G-2 Habitat groups'!A39,'A-1 On-Site Habitat Baseline'!$H$11:$H$258))</f>
        <v>0</v>
      </c>
      <c r="F39" s="346">
        <f>SUMIF('A-1 On-Site Habitat Baseline'!$G$11:$G$258,'G-2 Habitat groups'!A39,'A-1 On-Site Habitat Baseline'!$Q$11:$Q$258)</f>
        <v>0</v>
      </c>
      <c r="G39" s="346">
        <f>SUMIF('A-1 On-Site Habitat Baseline'!$G$11:$G$258,'G-2 Habitat groups'!A39,'A-1 On-Site Habitat Baseline'!$S$11:$S$258)</f>
        <v>0</v>
      </c>
      <c r="H39" s="346">
        <f>SUMIF('A-1 On-Site Habitat Baseline'!$G$11:$G$258,'G-2 Habitat groups'!A39,'A-1 On-Site Habitat Baseline'!$U$11:$U$258)</f>
        <v>0</v>
      </c>
      <c r="I39" s="346">
        <f>SUMIF('A-1 On-Site Habitat Baseline'!$G$11:$G$258,'G-2 Habitat groups'!A39,'A-1 On-Site Habitat Baseline'!$W$11:$W$258)</f>
        <v>0</v>
      </c>
      <c r="J39" s="346">
        <f>SUMIF('A-1 On-Site Habitat Baseline'!$G$11:$G$258,'G-2 Habitat groups'!A39,'A-1 On-Site Habitat Baseline'!$X$11:$X$258)</f>
        <v>0</v>
      </c>
      <c r="K39" s="346">
        <f>SUMIF('A-2 On-Site Habitat Creation'!$F$11:$F$256,'G-2 Habitat groups'!A39,'A-2 On-Site Habitat Creation'!$G$11:$G$256)</f>
        <v>0</v>
      </c>
      <c r="L39" s="346">
        <f>SUMIF('A-2 On-Site Habitat Creation'!$F$11:$F$256,'G-2 Habitat groups'!A39,'A-2 On-Site Habitat Creation'!$Y$11:$Y$256)</f>
        <v>0</v>
      </c>
      <c r="M39" s="346">
        <f>SUMIF('A-3 On-Site Habitat Enhancement'!$S$12:$S$257,'G-2 Habitat groups'!A39,'A-3 On-Site Habitat Enhancement'!$V$12:$V$257)</f>
        <v>0</v>
      </c>
      <c r="N39" s="346">
        <f>SUMIF('A-3 On-Site Habitat Enhancement'!$S$12:$S$257,'G-2 Habitat groups'!A39,'A-3 On-Site Habitat Enhancement'!$AN$12:$AN$257)</f>
        <v>0</v>
      </c>
      <c r="O39" s="346">
        <f t="shared" si="43"/>
        <v>0</v>
      </c>
      <c r="P39" s="346">
        <f t="shared" si="44"/>
        <v>0</v>
      </c>
      <c r="Q39" s="346">
        <f t="shared" si="45"/>
        <v>0</v>
      </c>
      <c r="R39" s="346">
        <f t="shared" si="46"/>
        <v>0</v>
      </c>
      <c r="S39" s="346">
        <f>IF(C39="V.High",SUMIF('D-1 Off-Site Habitat Baseline'!$G$11:$G$258,'G-2 Habitat groups'!A39,'D-1 Off-Site Habitat Baseline'!$V$11:$V$258)+SUMIF('D-1 Off-Site Habitat Baseline'!$G$11:$G$258,'G-2 Habitat groups'!A39,'D-1 Off-Site Habitat Baseline'!$W$11:$W$258),SUMIF('D-1 Off-Site Habitat Baseline'!$G$11:$G$258,'G-2 Habitat groups'!A39,'D-1 Off-Site Habitat Baseline'!$H$11:$H$258))</f>
        <v>0</v>
      </c>
      <c r="T39" s="346">
        <f>SUMIF('D-1 Off-Site Habitat Baseline'!$G$11:$G$258,'G-2 Habitat groups'!A39,'D-1 Off-Site Habitat Baseline'!$T$11:$T$258)</f>
        <v>0</v>
      </c>
      <c r="U39" s="346">
        <f>SUMIF('D-1 Off-Site Habitat Baseline'!$G$11:$G$258,'G-2 Habitat groups'!A39,'D-1 Off-Site Habitat Baseline'!$V$11:$V$258)</f>
        <v>0</v>
      </c>
      <c r="V39" s="346">
        <f>SUMIF('D-1 Off-Site Habitat Baseline'!$G$11:$G$258,'G-2 Habitat groups'!A39,'D-1 Off-Site Habitat Baseline'!$X$11:$X$258)</f>
        <v>0</v>
      </c>
      <c r="W39" s="346">
        <f>SUMIF('D-2 Off-Site Habitat Creation'!$F$9:$F$255,'G-2 Habitat groups'!A39,'D-2 Off-Site Habitat Creation'!$G$9:$G$255)</f>
        <v>0</v>
      </c>
      <c r="X39" s="346">
        <f>SUMIF('D-2 Off-Site Habitat Creation'!$F$9:$F$255,'G-2 Habitat groups'!A39,'D-2 Off-Site Habitat Creation'!$AB$9:$AB$255)</f>
        <v>0</v>
      </c>
      <c r="Y39" s="346">
        <f>SUMIF('D-3 Off-Site Habitat Enhancment'!$S$12:$S$491,'G-2 Habitat groups'!A39,'D-3 Off-Site Habitat Enhancment'!$V$12:$V$491)</f>
        <v>0</v>
      </c>
      <c r="Z39" s="346">
        <f>SUMIF('D-3 Off-Site Habitat Enhancment'!$S$12:$S$491,'G-2 Habitat groups'!A39,'D-3 Off-Site Habitat Enhancment'!$AQ$12:$AQ$491)</f>
        <v>0</v>
      </c>
      <c r="AA39" s="346">
        <f t="shared" si="47"/>
        <v>0</v>
      </c>
      <c r="AB39" s="346">
        <f t="shared" si="48"/>
        <v>0</v>
      </c>
      <c r="AC39" s="346">
        <f t="shared" si="49"/>
        <v>0</v>
      </c>
      <c r="AD39" s="346">
        <f t="shared" si="50"/>
        <v>0</v>
      </c>
      <c r="AE39" s="346">
        <f t="shared" si="51"/>
        <v>0</v>
      </c>
      <c r="AF39" s="346">
        <f t="shared" si="52"/>
        <v>0</v>
      </c>
      <c r="AU39" s="86" t="s">
        <v>621</v>
      </c>
      <c r="AV39" s="68" t="s">
        <v>127</v>
      </c>
      <c r="AW39" s="358">
        <f t="shared" si="33"/>
        <v>0</v>
      </c>
      <c r="AX39" s="358">
        <f t="shared" si="34"/>
        <v>0</v>
      </c>
      <c r="AY39" s="358">
        <f t="shared" si="35"/>
        <v>0</v>
      </c>
      <c r="AZ39" s="358">
        <f t="shared" si="36"/>
        <v>0</v>
      </c>
      <c r="BA39" s="358">
        <f t="shared" si="37"/>
        <v>0</v>
      </c>
      <c r="BB39" s="358">
        <f t="shared" si="38"/>
        <v>0</v>
      </c>
      <c r="BC39" s="358">
        <f t="shared" si="39"/>
        <v>0</v>
      </c>
      <c r="BD39" s="358">
        <f t="shared" si="40"/>
        <v>0</v>
      </c>
      <c r="BE39" s="358">
        <f t="shared" si="41"/>
        <v>0</v>
      </c>
      <c r="BF39" s="358" t="str">
        <f t="shared" si="42"/>
        <v/>
      </c>
    </row>
    <row r="40" spans="1:58">
      <c r="A40" s="79" t="str">
        <f>'G-1 All Habitats'!B39</f>
        <v>Lakes - Aquifer fed naturally fluctuating water bodies</v>
      </c>
      <c r="B40" s="68" t="str">
        <f>'G-1 All Habitats'!F39</f>
        <v>Lakes</v>
      </c>
      <c r="C40" s="68" t="str">
        <f>'G-1 All Habitats'!K39</f>
        <v>V.High</v>
      </c>
      <c r="D40" s="68" t="str">
        <f>'G-1 All Habitats'!M39</f>
        <v>Bespoke compensation likely to be required 🛠</v>
      </c>
      <c r="E40" s="346">
        <f>IF(C40="V.High",SUMIF('A-1 On-Site Habitat Baseline'!$G$11:$G$258,'G-2 Habitat groups'!A40,'A-1 On-Site Habitat Baseline'!$S$11:$S$258)+SUMIF('A-1 On-Site Habitat Baseline'!$G$11:$G$258,'G-2 Habitat groups'!A40,'A-1 On-Site Habitat Baseline'!$T$11:$T$258),SUMIF('A-1 On-Site Habitat Baseline'!$G$11:$G$258,'G-2 Habitat groups'!A40,'A-1 On-Site Habitat Baseline'!$H$11:$H$258))</f>
        <v>0</v>
      </c>
      <c r="F40" s="346">
        <f>SUMIF('A-1 On-Site Habitat Baseline'!$G$11:$G$258,'G-2 Habitat groups'!A40,'A-1 On-Site Habitat Baseline'!$Q$11:$Q$258)</f>
        <v>0</v>
      </c>
      <c r="G40" s="346">
        <f>SUMIF('A-1 On-Site Habitat Baseline'!$G$11:$G$258,'G-2 Habitat groups'!A40,'A-1 On-Site Habitat Baseline'!$S$11:$S$258)</f>
        <v>0</v>
      </c>
      <c r="H40" s="346">
        <f>SUMIF('A-1 On-Site Habitat Baseline'!$G$11:$G$258,'G-2 Habitat groups'!A40,'A-1 On-Site Habitat Baseline'!$U$11:$U$258)</f>
        <v>0</v>
      </c>
      <c r="I40" s="346">
        <f>SUMIF('A-1 On-Site Habitat Baseline'!$G$11:$G$258,'G-2 Habitat groups'!A40,'A-1 On-Site Habitat Baseline'!$W$11:$W$258)</f>
        <v>0</v>
      </c>
      <c r="J40" s="346">
        <f>SUMIF('A-1 On-Site Habitat Baseline'!$G$11:$G$258,'G-2 Habitat groups'!A40,'A-1 On-Site Habitat Baseline'!$X$11:$X$258)</f>
        <v>0</v>
      </c>
      <c r="K40" s="346">
        <f>SUMIF('A-2 On-Site Habitat Creation'!$F$11:$F$256,'G-2 Habitat groups'!A40,'A-2 On-Site Habitat Creation'!$G$11:$G$256)</f>
        <v>0</v>
      </c>
      <c r="L40" s="346">
        <f>SUMIF('A-2 On-Site Habitat Creation'!$F$11:$F$256,'G-2 Habitat groups'!A40,'A-2 On-Site Habitat Creation'!$Y$11:$Y$256)</f>
        <v>0</v>
      </c>
      <c r="M40" s="346">
        <f>SUMIF('A-3 On-Site Habitat Enhancement'!$S$12:$S$257,'G-2 Habitat groups'!A40,'A-3 On-Site Habitat Enhancement'!$V$12:$V$257)</f>
        <v>0</v>
      </c>
      <c r="N40" s="346">
        <f>SUMIF('A-3 On-Site Habitat Enhancement'!$S$12:$S$257,'G-2 Habitat groups'!A40,'A-3 On-Site Habitat Enhancement'!$AN$12:$AN$257)</f>
        <v>0</v>
      </c>
      <c r="O40" s="346">
        <f t="shared" si="43"/>
        <v>0</v>
      </c>
      <c r="P40" s="346">
        <f t="shared" si="44"/>
        <v>0</v>
      </c>
      <c r="Q40" s="346">
        <f t="shared" si="45"/>
        <v>0</v>
      </c>
      <c r="R40" s="346">
        <f t="shared" si="46"/>
        <v>0</v>
      </c>
      <c r="S40" s="346">
        <f>IF(C40="V.High",SUMIF('D-1 Off-Site Habitat Baseline'!$G$11:$G$258,'G-2 Habitat groups'!A40,'D-1 Off-Site Habitat Baseline'!$V$11:$V$258)+SUMIF('D-1 Off-Site Habitat Baseline'!$G$11:$G$258,'G-2 Habitat groups'!A40,'D-1 Off-Site Habitat Baseline'!$W$11:$W$258),SUMIF('D-1 Off-Site Habitat Baseline'!$G$11:$G$258,'G-2 Habitat groups'!A40,'D-1 Off-Site Habitat Baseline'!$H$11:$H$258))</f>
        <v>0</v>
      </c>
      <c r="T40" s="346">
        <f>SUMIF('D-1 Off-Site Habitat Baseline'!$G$11:$G$258,'G-2 Habitat groups'!A40,'D-1 Off-Site Habitat Baseline'!$T$11:$T$258)</f>
        <v>0</v>
      </c>
      <c r="U40" s="346">
        <f>SUMIF('D-1 Off-Site Habitat Baseline'!$G$11:$G$258,'G-2 Habitat groups'!A40,'D-1 Off-Site Habitat Baseline'!$V$11:$V$258)</f>
        <v>0</v>
      </c>
      <c r="V40" s="346">
        <f>SUMIF('D-1 Off-Site Habitat Baseline'!$G$11:$G$258,'G-2 Habitat groups'!A40,'D-1 Off-Site Habitat Baseline'!$X$11:$X$258)</f>
        <v>0</v>
      </c>
      <c r="W40" s="346">
        <f>SUMIF('D-2 Off-Site Habitat Creation'!$F$9:$F$255,'G-2 Habitat groups'!A40,'D-2 Off-Site Habitat Creation'!$G$9:$G$255)</f>
        <v>0</v>
      </c>
      <c r="X40" s="346">
        <f>SUMIF('D-2 Off-Site Habitat Creation'!$F$9:$F$255,'G-2 Habitat groups'!A40,'D-2 Off-Site Habitat Creation'!$AB$9:$AB$255)</f>
        <v>0</v>
      </c>
      <c r="Y40" s="346">
        <f>SUMIF('D-3 Off-Site Habitat Enhancment'!$S$12:$S$491,'G-2 Habitat groups'!A40,'D-3 Off-Site Habitat Enhancment'!$V$12:$V$491)</f>
        <v>0</v>
      </c>
      <c r="Z40" s="346">
        <f>SUMIF('D-3 Off-Site Habitat Enhancment'!$S$12:$S$491,'G-2 Habitat groups'!A40,'D-3 Off-Site Habitat Enhancment'!$AQ$12:$AQ$491)</f>
        <v>0</v>
      </c>
      <c r="AA40" s="346">
        <f t="shared" si="47"/>
        <v>0</v>
      </c>
      <c r="AB40" s="346">
        <f t="shared" si="48"/>
        <v>0</v>
      </c>
      <c r="AC40" s="346">
        <f t="shared" si="49"/>
        <v>0</v>
      </c>
      <c r="AD40" s="346">
        <f t="shared" si="50"/>
        <v>0</v>
      </c>
      <c r="AE40" s="346">
        <f t="shared" si="51"/>
        <v>0</v>
      </c>
      <c r="AF40" s="346">
        <f t="shared" si="52"/>
        <v>0</v>
      </c>
      <c r="AU40" s="86" t="s">
        <v>624</v>
      </c>
      <c r="AV40" s="68" t="s">
        <v>127</v>
      </c>
      <c r="AW40" s="358">
        <f t="shared" si="33"/>
        <v>0</v>
      </c>
      <c r="AX40" s="358">
        <f t="shared" si="34"/>
        <v>0</v>
      </c>
      <c r="AY40" s="358">
        <f t="shared" si="35"/>
        <v>0</v>
      </c>
      <c r="AZ40" s="358">
        <f t="shared" si="36"/>
        <v>0</v>
      </c>
      <c r="BA40" s="358">
        <f t="shared" si="37"/>
        <v>0</v>
      </c>
      <c r="BB40" s="358">
        <f t="shared" si="38"/>
        <v>0</v>
      </c>
      <c r="BC40" s="358">
        <f t="shared" si="39"/>
        <v>0</v>
      </c>
      <c r="BD40" s="358">
        <f t="shared" si="40"/>
        <v>0</v>
      </c>
      <c r="BE40" s="358">
        <f t="shared" si="41"/>
        <v>0</v>
      </c>
      <c r="BF40" s="358" t="str">
        <f t="shared" si="42"/>
        <v/>
      </c>
    </row>
    <row r="41" spans="1:58">
      <c r="A41" s="79" t="str">
        <f>'G-1 All Habitats'!B40</f>
        <v>Lakes - Ornamental lake or pond</v>
      </c>
      <c r="B41" s="68" t="str">
        <f>'G-1 All Habitats'!F40</f>
        <v>Lakes</v>
      </c>
      <c r="C41" s="68" t="str">
        <f>'G-1 All Habitats'!K40</f>
        <v>Low</v>
      </c>
      <c r="D41" s="68" t="str">
        <f>'G-1 All Habitats'!M40</f>
        <v>Same distinctiveness or better habitat required ≥</v>
      </c>
      <c r="E41" s="346">
        <f>IF(C41="V.High",SUMIF('A-1 On-Site Habitat Baseline'!$G$11:$G$258,'G-2 Habitat groups'!A41,'A-1 On-Site Habitat Baseline'!$S$11:$S$258)+SUMIF('A-1 On-Site Habitat Baseline'!$G$11:$G$258,'G-2 Habitat groups'!A41,'A-1 On-Site Habitat Baseline'!$T$11:$T$258),SUMIF('A-1 On-Site Habitat Baseline'!$G$11:$G$258,'G-2 Habitat groups'!A41,'A-1 On-Site Habitat Baseline'!$H$11:$H$258))</f>
        <v>0</v>
      </c>
      <c r="F41" s="346">
        <f>SUMIF('A-1 On-Site Habitat Baseline'!$G$11:$G$258,'G-2 Habitat groups'!A41,'A-1 On-Site Habitat Baseline'!$Q$11:$Q$258)</f>
        <v>0</v>
      </c>
      <c r="G41" s="346">
        <f>SUMIF('A-1 On-Site Habitat Baseline'!$G$11:$G$258,'G-2 Habitat groups'!A41,'A-1 On-Site Habitat Baseline'!$S$11:$S$258)</f>
        <v>0</v>
      </c>
      <c r="H41" s="346">
        <f>SUMIF('A-1 On-Site Habitat Baseline'!$G$11:$G$258,'G-2 Habitat groups'!A41,'A-1 On-Site Habitat Baseline'!$U$11:$U$258)</f>
        <v>0</v>
      </c>
      <c r="I41" s="346">
        <f>SUMIF('A-1 On-Site Habitat Baseline'!$G$11:$G$258,'G-2 Habitat groups'!A41,'A-1 On-Site Habitat Baseline'!$W$11:$W$258)</f>
        <v>0</v>
      </c>
      <c r="J41" s="346">
        <f>SUMIF('A-1 On-Site Habitat Baseline'!$G$11:$G$258,'G-2 Habitat groups'!A41,'A-1 On-Site Habitat Baseline'!$X$11:$X$258)</f>
        <v>0</v>
      </c>
      <c r="K41" s="346">
        <f>SUMIF('A-2 On-Site Habitat Creation'!$F$11:$F$256,'G-2 Habitat groups'!A41,'A-2 On-Site Habitat Creation'!$G$11:$G$256)</f>
        <v>0</v>
      </c>
      <c r="L41" s="346">
        <f>SUMIF('A-2 On-Site Habitat Creation'!$F$11:$F$256,'G-2 Habitat groups'!A41,'A-2 On-Site Habitat Creation'!$Y$11:$Y$256)</f>
        <v>0</v>
      </c>
      <c r="M41" s="346">
        <f>SUMIF('A-3 On-Site Habitat Enhancement'!$S$12:$S$257,'G-2 Habitat groups'!A41,'A-3 On-Site Habitat Enhancement'!$V$12:$V$257)</f>
        <v>0</v>
      </c>
      <c r="N41" s="346">
        <f>SUMIF('A-3 On-Site Habitat Enhancement'!$S$12:$S$257,'G-2 Habitat groups'!A41,'A-3 On-Site Habitat Enhancement'!$AN$12:$AN$257)</f>
        <v>0</v>
      </c>
      <c r="O41" s="346">
        <f t="shared" si="43"/>
        <v>0</v>
      </c>
      <c r="P41" s="346">
        <f t="shared" si="44"/>
        <v>0</v>
      </c>
      <c r="Q41" s="346">
        <f t="shared" si="45"/>
        <v>0</v>
      </c>
      <c r="R41" s="346">
        <f t="shared" si="46"/>
        <v>0</v>
      </c>
      <c r="S41" s="346">
        <f>IF(C41="V.High",SUMIF('D-1 Off-Site Habitat Baseline'!$G$11:$G$258,'G-2 Habitat groups'!A41,'D-1 Off-Site Habitat Baseline'!$V$11:$V$258)+SUMIF('D-1 Off-Site Habitat Baseline'!$G$11:$G$258,'G-2 Habitat groups'!A41,'D-1 Off-Site Habitat Baseline'!$W$11:$W$258),SUMIF('D-1 Off-Site Habitat Baseline'!$G$11:$G$258,'G-2 Habitat groups'!A41,'D-1 Off-Site Habitat Baseline'!$H$11:$H$258))</f>
        <v>0</v>
      </c>
      <c r="T41" s="346">
        <f>SUMIF('D-1 Off-Site Habitat Baseline'!$G$11:$G$258,'G-2 Habitat groups'!A41,'D-1 Off-Site Habitat Baseline'!$T$11:$T$258)</f>
        <v>0</v>
      </c>
      <c r="U41" s="346">
        <f>SUMIF('D-1 Off-Site Habitat Baseline'!$G$11:$G$258,'G-2 Habitat groups'!A41,'D-1 Off-Site Habitat Baseline'!$V$11:$V$258)</f>
        <v>0</v>
      </c>
      <c r="V41" s="346">
        <f>SUMIF('D-1 Off-Site Habitat Baseline'!$G$11:$G$258,'G-2 Habitat groups'!A41,'D-1 Off-Site Habitat Baseline'!$X$11:$X$258)</f>
        <v>0</v>
      </c>
      <c r="W41" s="346">
        <f>SUMIF('D-2 Off-Site Habitat Creation'!$F$9:$F$255,'G-2 Habitat groups'!A41,'D-2 Off-Site Habitat Creation'!$G$9:$G$255)</f>
        <v>0</v>
      </c>
      <c r="X41" s="346">
        <f>SUMIF('D-2 Off-Site Habitat Creation'!$F$9:$F$255,'G-2 Habitat groups'!A41,'D-2 Off-Site Habitat Creation'!$AB$9:$AB$255)</f>
        <v>0</v>
      </c>
      <c r="Y41" s="346">
        <f>SUMIF('D-3 Off-Site Habitat Enhancment'!$S$12:$S$491,'G-2 Habitat groups'!A41,'D-3 Off-Site Habitat Enhancment'!$V$12:$V$491)</f>
        <v>0</v>
      </c>
      <c r="Z41" s="346">
        <f>SUMIF('D-3 Off-Site Habitat Enhancment'!$S$12:$S$491,'G-2 Habitat groups'!A41,'D-3 Off-Site Habitat Enhancment'!$AQ$12:$AQ$491)</f>
        <v>0</v>
      </c>
      <c r="AA41" s="346">
        <f t="shared" si="47"/>
        <v>0</v>
      </c>
      <c r="AB41" s="346">
        <f t="shared" si="48"/>
        <v>0</v>
      </c>
      <c r="AC41" s="346">
        <f t="shared" si="49"/>
        <v>0</v>
      </c>
      <c r="AD41" s="346">
        <f t="shared" si="50"/>
        <v>0</v>
      </c>
      <c r="AE41" s="346">
        <f t="shared" si="51"/>
        <v>0</v>
      </c>
      <c r="AF41" s="346">
        <f t="shared" si="52"/>
        <v>0</v>
      </c>
      <c r="AU41" s="86" t="s">
        <v>627</v>
      </c>
      <c r="AV41" s="68" t="s">
        <v>127</v>
      </c>
      <c r="AW41" s="358">
        <f t="shared" si="33"/>
        <v>0</v>
      </c>
      <c r="AX41" s="358">
        <f t="shared" si="34"/>
        <v>0</v>
      </c>
      <c r="AY41" s="358">
        <f t="shared" si="35"/>
        <v>0</v>
      </c>
      <c r="AZ41" s="358">
        <f t="shared" si="36"/>
        <v>0</v>
      </c>
      <c r="BA41" s="358">
        <f t="shared" si="37"/>
        <v>0</v>
      </c>
      <c r="BB41" s="358">
        <f t="shared" si="38"/>
        <v>0</v>
      </c>
      <c r="BC41" s="358">
        <f t="shared" si="39"/>
        <v>0</v>
      </c>
      <c r="BD41" s="358">
        <f t="shared" si="40"/>
        <v>0</v>
      </c>
      <c r="BE41" s="358">
        <f t="shared" si="41"/>
        <v>0</v>
      </c>
      <c r="BF41" s="358" t="str">
        <f t="shared" si="42"/>
        <v/>
      </c>
    </row>
    <row r="42" spans="1:58">
      <c r="A42" s="79" t="str">
        <f>'G-1 All Habitats'!B41</f>
        <v>Lakes - High alkalinity lakes</v>
      </c>
      <c r="B42" s="68" t="str">
        <f>'G-1 All Habitats'!F41</f>
        <v>Lakes</v>
      </c>
      <c r="C42" s="68" t="str">
        <f>'G-1 All Habitats'!K41</f>
        <v>High</v>
      </c>
      <c r="D42" s="68" t="str">
        <f>'G-1 All Habitats'!M41</f>
        <v>Same habitat required =</v>
      </c>
      <c r="E42" s="346">
        <f>IF(C42="V.High",SUMIF('A-1 On-Site Habitat Baseline'!$G$11:$G$258,'G-2 Habitat groups'!A42,'A-1 On-Site Habitat Baseline'!$S$11:$S$258)+SUMIF('A-1 On-Site Habitat Baseline'!$G$11:$G$258,'G-2 Habitat groups'!A42,'A-1 On-Site Habitat Baseline'!$T$11:$T$258),SUMIF('A-1 On-Site Habitat Baseline'!$G$11:$G$258,'G-2 Habitat groups'!A42,'A-1 On-Site Habitat Baseline'!$H$11:$H$258))</f>
        <v>0</v>
      </c>
      <c r="F42" s="346">
        <f>SUMIF('A-1 On-Site Habitat Baseline'!$G$11:$G$258,'G-2 Habitat groups'!A42,'A-1 On-Site Habitat Baseline'!$Q$11:$Q$258)</f>
        <v>0</v>
      </c>
      <c r="G42" s="346">
        <f>SUMIF('A-1 On-Site Habitat Baseline'!$G$11:$G$258,'G-2 Habitat groups'!A42,'A-1 On-Site Habitat Baseline'!$S$11:$S$258)</f>
        <v>0</v>
      </c>
      <c r="H42" s="346">
        <f>SUMIF('A-1 On-Site Habitat Baseline'!$G$11:$G$258,'G-2 Habitat groups'!A42,'A-1 On-Site Habitat Baseline'!$U$11:$U$258)</f>
        <v>0</v>
      </c>
      <c r="I42" s="346">
        <f>SUMIF('A-1 On-Site Habitat Baseline'!$G$11:$G$258,'G-2 Habitat groups'!A42,'A-1 On-Site Habitat Baseline'!$W$11:$W$258)</f>
        <v>0</v>
      </c>
      <c r="J42" s="346">
        <f>SUMIF('A-1 On-Site Habitat Baseline'!$G$11:$G$258,'G-2 Habitat groups'!A42,'A-1 On-Site Habitat Baseline'!$X$11:$X$258)</f>
        <v>0</v>
      </c>
      <c r="K42" s="346">
        <f>SUMIF('A-2 On-Site Habitat Creation'!$F$11:$F$256,'G-2 Habitat groups'!A42,'A-2 On-Site Habitat Creation'!$G$11:$G$256)</f>
        <v>0</v>
      </c>
      <c r="L42" s="346">
        <f>SUMIF('A-2 On-Site Habitat Creation'!$F$11:$F$256,'G-2 Habitat groups'!A42,'A-2 On-Site Habitat Creation'!$Y$11:$Y$256)</f>
        <v>0</v>
      </c>
      <c r="M42" s="346">
        <f>SUMIF('A-3 On-Site Habitat Enhancement'!$S$12:$S$257,'G-2 Habitat groups'!A42,'A-3 On-Site Habitat Enhancement'!$V$12:$V$257)</f>
        <v>0</v>
      </c>
      <c r="N42" s="346">
        <f>SUMIF('A-3 On-Site Habitat Enhancement'!$S$12:$S$257,'G-2 Habitat groups'!A42,'A-3 On-Site Habitat Enhancement'!$AN$12:$AN$257)</f>
        <v>0</v>
      </c>
      <c r="O42" s="346">
        <f t="shared" si="43"/>
        <v>0</v>
      </c>
      <c r="P42" s="346">
        <f t="shared" si="44"/>
        <v>0</v>
      </c>
      <c r="Q42" s="346">
        <f t="shared" si="45"/>
        <v>0</v>
      </c>
      <c r="R42" s="346">
        <f t="shared" si="46"/>
        <v>0</v>
      </c>
      <c r="S42" s="346">
        <f>IF(C42="V.High",SUMIF('D-1 Off-Site Habitat Baseline'!$G$11:$G$258,'G-2 Habitat groups'!A42,'D-1 Off-Site Habitat Baseline'!$V$11:$V$258)+SUMIF('D-1 Off-Site Habitat Baseline'!$G$11:$G$258,'G-2 Habitat groups'!A42,'D-1 Off-Site Habitat Baseline'!$W$11:$W$258),SUMIF('D-1 Off-Site Habitat Baseline'!$G$11:$G$258,'G-2 Habitat groups'!A42,'D-1 Off-Site Habitat Baseline'!$H$11:$H$258))</f>
        <v>0</v>
      </c>
      <c r="T42" s="346">
        <f>SUMIF('D-1 Off-Site Habitat Baseline'!$G$11:$G$258,'G-2 Habitat groups'!A42,'D-1 Off-Site Habitat Baseline'!$T$11:$T$258)</f>
        <v>0</v>
      </c>
      <c r="U42" s="346">
        <f>SUMIF('D-1 Off-Site Habitat Baseline'!$G$11:$G$258,'G-2 Habitat groups'!A42,'D-1 Off-Site Habitat Baseline'!$V$11:$V$258)</f>
        <v>0</v>
      </c>
      <c r="V42" s="346">
        <f>SUMIF('D-1 Off-Site Habitat Baseline'!$G$11:$G$258,'G-2 Habitat groups'!A42,'D-1 Off-Site Habitat Baseline'!$X$11:$X$258)</f>
        <v>0</v>
      </c>
      <c r="W42" s="346">
        <f>SUMIF('D-2 Off-Site Habitat Creation'!$F$9:$F$255,'G-2 Habitat groups'!A42,'D-2 Off-Site Habitat Creation'!$G$9:$G$255)</f>
        <v>0</v>
      </c>
      <c r="X42" s="346">
        <f>SUMIF('D-2 Off-Site Habitat Creation'!$F$9:$F$255,'G-2 Habitat groups'!A42,'D-2 Off-Site Habitat Creation'!$AB$9:$AB$255)</f>
        <v>0</v>
      </c>
      <c r="Y42" s="346">
        <f>SUMIF('D-3 Off-Site Habitat Enhancment'!$S$12:$S$491,'G-2 Habitat groups'!A42,'D-3 Off-Site Habitat Enhancment'!$V$12:$V$491)</f>
        <v>0</v>
      </c>
      <c r="Z42" s="346">
        <f>SUMIF('D-3 Off-Site Habitat Enhancment'!$S$12:$S$491,'G-2 Habitat groups'!A42,'D-3 Off-Site Habitat Enhancment'!$AQ$12:$AQ$491)</f>
        <v>0</v>
      </c>
      <c r="AA42" s="346">
        <f t="shared" si="47"/>
        <v>0</v>
      </c>
      <c r="AB42" s="346">
        <f t="shared" si="48"/>
        <v>0</v>
      </c>
      <c r="AC42" s="346">
        <f t="shared" si="49"/>
        <v>0</v>
      </c>
      <c r="AD42" s="346">
        <f t="shared" si="50"/>
        <v>0</v>
      </c>
      <c r="AE42" s="346">
        <f t="shared" si="51"/>
        <v>0</v>
      </c>
      <c r="AF42" s="346">
        <f t="shared" si="52"/>
        <v>0</v>
      </c>
      <c r="AU42" s="86" t="s">
        <v>630</v>
      </c>
      <c r="AV42" s="68" t="s">
        <v>127</v>
      </c>
      <c r="AW42" s="358">
        <f t="shared" si="33"/>
        <v>0</v>
      </c>
      <c r="AX42" s="358">
        <f t="shared" si="34"/>
        <v>0</v>
      </c>
      <c r="AY42" s="358">
        <f t="shared" si="35"/>
        <v>0</v>
      </c>
      <c r="AZ42" s="358">
        <f t="shared" si="36"/>
        <v>0</v>
      </c>
      <c r="BA42" s="358">
        <f t="shared" si="37"/>
        <v>0</v>
      </c>
      <c r="BB42" s="358">
        <f t="shared" si="38"/>
        <v>0</v>
      </c>
      <c r="BC42" s="358">
        <f t="shared" si="39"/>
        <v>0</v>
      </c>
      <c r="BD42" s="358">
        <f t="shared" si="40"/>
        <v>0</v>
      </c>
      <c r="BE42" s="358">
        <f t="shared" si="41"/>
        <v>0</v>
      </c>
      <c r="BF42" s="358" t="str">
        <f t="shared" si="42"/>
        <v/>
      </c>
    </row>
    <row r="43" spans="1:58">
      <c r="A43" s="79" t="str">
        <f>'G-1 All Habitats'!B42</f>
        <v>Lakes - Low alkalinity lakes</v>
      </c>
      <c r="B43" s="68" t="str">
        <f>'G-1 All Habitats'!F42</f>
        <v>Lakes</v>
      </c>
      <c r="C43" s="68" t="str">
        <f>'G-1 All Habitats'!K42</f>
        <v>High</v>
      </c>
      <c r="D43" s="68" t="str">
        <f>'G-1 All Habitats'!M42</f>
        <v>Same habitat required =</v>
      </c>
      <c r="E43" s="346">
        <f>IF(C43="V.High",SUMIF('A-1 On-Site Habitat Baseline'!$G$11:$G$258,'G-2 Habitat groups'!A43,'A-1 On-Site Habitat Baseline'!$S$11:$S$258)+SUMIF('A-1 On-Site Habitat Baseline'!$G$11:$G$258,'G-2 Habitat groups'!A43,'A-1 On-Site Habitat Baseline'!$T$11:$T$258),SUMIF('A-1 On-Site Habitat Baseline'!$G$11:$G$258,'G-2 Habitat groups'!A43,'A-1 On-Site Habitat Baseline'!$H$11:$H$258))</f>
        <v>0</v>
      </c>
      <c r="F43" s="346">
        <f>SUMIF('A-1 On-Site Habitat Baseline'!$G$11:$G$258,'G-2 Habitat groups'!A43,'A-1 On-Site Habitat Baseline'!$Q$11:$Q$258)</f>
        <v>0</v>
      </c>
      <c r="G43" s="346">
        <f>SUMIF('A-1 On-Site Habitat Baseline'!$G$11:$G$258,'G-2 Habitat groups'!A43,'A-1 On-Site Habitat Baseline'!$S$11:$S$258)</f>
        <v>0</v>
      </c>
      <c r="H43" s="346">
        <f>SUMIF('A-1 On-Site Habitat Baseline'!$G$11:$G$258,'G-2 Habitat groups'!A43,'A-1 On-Site Habitat Baseline'!$U$11:$U$258)</f>
        <v>0</v>
      </c>
      <c r="I43" s="346">
        <f>SUMIF('A-1 On-Site Habitat Baseline'!$G$11:$G$258,'G-2 Habitat groups'!A43,'A-1 On-Site Habitat Baseline'!$W$11:$W$258)</f>
        <v>0</v>
      </c>
      <c r="J43" s="346">
        <f>SUMIF('A-1 On-Site Habitat Baseline'!$G$11:$G$258,'G-2 Habitat groups'!A43,'A-1 On-Site Habitat Baseline'!$X$11:$X$258)</f>
        <v>0</v>
      </c>
      <c r="K43" s="346">
        <f>SUMIF('A-2 On-Site Habitat Creation'!$F$11:$F$256,'G-2 Habitat groups'!A43,'A-2 On-Site Habitat Creation'!$G$11:$G$256)</f>
        <v>0</v>
      </c>
      <c r="L43" s="346">
        <f>SUMIF('A-2 On-Site Habitat Creation'!$F$11:$F$256,'G-2 Habitat groups'!A43,'A-2 On-Site Habitat Creation'!$Y$11:$Y$256)</f>
        <v>0</v>
      </c>
      <c r="M43" s="346">
        <f>SUMIF('A-3 On-Site Habitat Enhancement'!$S$12:$S$257,'G-2 Habitat groups'!A43,'A-3 On-Site Habitat Enhancement'!$V$12:$V$257)</f>
        <v>0</v>
      </c>
      <c r="N43" s="346">
        <f>SUMIF('A-3 On-Site Habitat Enhancement'!$S$12:$S$257,'G-2 Habitat groups'!A43,'A-3 On-Site Habitat Enhancement'!$AN$12:$AN$257)</f>
        <v>0</v>
      </c>
      <c r="O43" s="346">
        <f t="shared" si="43"/>
        <v>0</v>
      </c>
      <c r="P43" s="346">
        <f t="shared" si="44"/>
        <v>0</v>
      </c>
      <c r="Q43" s="346">
        <f t="shared" si="45"/>
        <v>0</v>
      </c>
      <c r="R43" s="346">
        <f t="shared" si="46"/>
        <v>0</v>
      </c>
      <c r="S43" s="346">
        <f>IF(C43="V.High",SUMIF('D-1 Off-Site Habitat Baseline'!$G$11:$G$258,'G-2 Habitat groups'!A43,'D-1 Off-Site Habitat Baseline'!$V$11:$V$258)+SUMIF('D-1 Off-Site Habitat Baseline'!$G$11:$G$258,'G-2 Habitat groups'!A43,'D-1 Off-Site Habitat Baseline'!$W$11:$W$258),SUMIF('D-1 Off-Site Habitat Baseline'!$G$11:$G$258,'G-2 Habitat groups'!A43,'D-1 Off-Site Habitat Baseline'!$H$11:$H$258))</f>
        <v>0</v>
      </c>
      <c r="T43" s="346">
        <f>SUMIF('D-1 Off-Site Habitat Baseline'!$G$11:$G$258,'G-2 Habitat groups'!A43,'D-1 Off-Site Habitat Baseline'!$T$11:$T$258)</f>
        <v>0</v>
      </c>
      <c r="U43" s="346">
        <f>SUMIF('D-1 Off-Site Habitat Baseline'!$G$11:$G$258,'G-2 Habitat groups'!A43,'D-1 Off-Site Habitat Baseline'!$V$11:$V$258)</f>
        <v>0</v>
      </c>
      <c r="V43" s="346">
        <f>SUMIF('D-1 Off-Site Habitat Baseline'!$G$11:$G$258,'G-2 Habitat groups'!A43,'D-1 Off-Site Habitat Baseline'!$X$11:$X$258)</f>
        <v>0</v>
      </c>
      <c r="W43" s="346">
        <f>SUMIF('D-2 Off-Site Habitat Creation'!$F$9:$F$255,'G-2 Habitat groups'!A43,'D-2 Off-Site Habitat Creation'!$G$9:$G$255)</f>
        <v>0</v>
      </c>
      <c r="X43" s="346">
        <f>SUMIF('D-2 Off-Site Habitat Creation'!$F$9:$F$255,'G-2 Habitat groups'!A43,'D-2 Off-Site Habitat Creation'!$AB$9:$AB$255)</f>
        <v>0</v>
      </c>
      <c r="Y43" s="346">
        <f>SUMIF('D-3 Off-Site Habitat Enhancment'!$S$12:$S$491,'G-2 Habitat groups'!A43,'D-3 Off-Site Habitat Enhancment'!$V$12:$V$491)</f>
        <v>0</v>
      </c>
      <c r="Z43" s="346">
        <f>SUMIF('D-3 Off-Site Habitat Enhancment'!$S$12:$S$491,'G-2 Habitat groups'!A43,'D-3 Off-Site Habitat Enhancment'!$AQ$12:$AQ$491)</f>
        <v>0</v>
      </c>
      <c r="AA43" s="346">
        <f t="shared" si="47"/>
        <v>0</v>
      </c>
      <c r="AB43" s="346">
        <f t="shared" si="48"/>
        <v>0</v>
      </c>
      <c r="AC43" s="346">
        <f t="shared" si="49"/>
        <v>0</v>
      </c>
      <c r="AD43" s="346">
        <f t="shared" si="50"/>
        <v>0</v>
      </c>
      <c r="AE43" s="346">
        <f t="shared" si="51"/>
        <v>0</v>
      </c>
      <c r="AF43" s="346">
        <f t="shared" si="52"/>
        <v>0</v>
      </c>
      <c r="AU43" s="86" t="s">
        <v>633</v>
      </c>
      <c r="AV43" s="68" t="s">
        <v>127</v>
      </c>
      <c r="AW43" s="358">
        <f t="shared" si="33"/>
        <v>0</v>
      </c>
      <c r="AX43" s="358">
        <f t="shared" si="34"/>
        <v>0</v>
      </c>
      <c r="AY43" s="358">
        <f t="shared" si="35"/>
        <v>0</v>
      </c>
      <c r="AZ43" s="358">
        <f t="shared" si="36"/>
        <v>0</v>
      </c>
      <c r="BA43" s="358">
        <f t="shared" si="37"/>
        <v>0</v>
      </c>
      <c r="BB43" s="358">
        <f t="shared" si="38"/>
        <v>0</v>
      </c>
      <c r="BC43" s="358">
        <f t="shared" si="39"/>
        <v>0</v>
      </c>
      <c r="BD43" s="358">
        <f t="shared" si="40"/>
        <v>0</v>
      </c>
      <c r="BE43" s="358">
        <f t="shared" si="41"/>
        <v>0</v>
      </c>
      <c r="BF43" s="358" t="str">
        <f t="shared" si="42"/>
        <v/>
      </c>
    </row>
    <row r="44" spans="1:58">
      <c r="A44" s="79" t="str">
        <f>'G-1 All Habitats'!B43</f>
        <v>Lakes - Marl lakes</v>
      </c>
      <c r="B44" s="68" t="str">
        <f>'G-1 All Habitats'!F43</f>
        <v>Lakes</v>
      </c>
      <c r="C44" s="68" t="str">
        <f>'G-1 All Habitats'!K43</f>
        <v>High</v>
      </c>
      <c r="D44" s="68" t="str">
        <f>'G-1 All Habitats'!M43</f>
        <v>Same habitat required =</v>
      </c>
      <c r="E44" s="346">
        <f>IF(C44="V.High",SUMIF('A-1 On-Site Habitat Baseline'!$G$11:$G$258,'G-2 Habitat groups'!A44,'A-1 On-Site Habitat Baseline'!$S$11:$S$258)+SUMIF('A-1 On-Site Habitat Baseline'!$G$11:$G$258,'G-2 Habitat groups'!A44,'A-1 On-Site Habitat Baseline'!$T$11:$T$258),SUMIF('A-1 On-Site Habitat Baseline'!$G$11:$G$258,'G-2 Habitat groups'!A44,'A-1 On-Site Habitat Baseline'!$H$11:$H$258))</f>
        <v>0</v>
      </c>
      <c r="F44" s="346">
        <f>SUMIF('A-1 On-Site Habitat Baseline'!$G$11:$G$258,'G-2 Habitat groups'!A44,'A-1 On-Site Habitat Baseline'!$Q$11:$Q$258)</f>
        <v>0</v>
      </c>
      <c r="G44" s="346">
        <f>SUMIF('A-1 On-Site Habitat Baseline'!$G$11:$G$258,'G-2 Habitat groups'!A44,'A-1 On-Site Habitat Baseline'!$S$11:$S$258)</f>
        <v>0</v>
      </c>
      <c r="H44" s="346">
        <f>SUMIF('A-1 On-Site Habitat Baseline'!$G$11:$G$258,'G-2 Habitat groups'!A44,'A-1 On-Site Habitat Baseline'!$U$11:$U$258)</f>
        <v>0</v>
      </c>
      <c r="I44" s="346">
        <f>SUMIF('A-1 On-Site Habitat Baseline'!$G$11:$G$258,'G-2 Habitat groups'!A44,'A-1 On-Site Habitat Baseline'!$W$11:$W$258)</f>
        <v>0</v>
      </c>
      <c r="J44" s="346">
        <f>SUMIF('A-1 On-Site Habitat Baseline'!$G$11:$G$258,'G-2 Habitat groups'!A44,'A-1 On-Site Habitat Baseline'!$X$11:$X$258)</f>
        <v>0</v>
      </c>
      <c r="K44" s="346">
        <f>SUMIF('A-2 On-Site Habitat Creation'!$F$11:$F$256,'G-2 Habitat groups'!A44,'A-2 On-Site Habitat Creation'!$G$11:$G$256)</f>
        <v>0</v>
      </c>
      <c r="L44" s="346">
        <f>SUMIF('A-2 On-Site Habitat Creation'!$F$11:$F$256,'G-2 Habitat groups'!A44,'A-2 On-Site Habitat Creation'!$Y$11:$Y$256)</f>
        <v>0</v>
      </c>
      <c r="M44" s="346">
        <f>SUMIF('A-3 On-Site Habitat Enhancement'!$S$12:$S$257,'G-2 Habitat groups'!A44,'A-3 On-Site Habitat Enhancement'!$V$12:$V$257)</f>
        <v>0</v>
      </c>
      <c r="N44" s="346">
        <f>SUMIF('A-3 On-Site Habitat Enhancement'!$S$12:$S$257,'G-2 Habitat groups'!A44,'A-3 On-Site Habitat Enhancement'!$AN$12:$AN$257)</f>
        <v>0</v>
      </c>
      <c r="O44" s="346">
        <f t="shared" si="43"/>
        <v>0</v>
      </c>
      <c r="P44" s="346">
        <f t="shared" si="44"/>
        <v>0</v>
      </c>
      <c r="Q44" s="346">
        <f t="shared" si="45"/>
        <v>0</v>
      </c>
      <c r="R44" s="346">
        <f t="shared" si="46"/>
        <v>0</v>
      </c>
      <c r="S44" s="346">
        <f>IF(C44="V.High",SUMIF('D-1 Off-Site Habitat Baseline'!$G$11:$G$258,'G-2 Habitat groups'!A44,'D-1 Off-Site Habitat Baseline'!$V$11:$V$258)+SUMIF('D-1 Off-Site Habitat Baseline'!$G$11:$G$258,'G-2 Habitat groups'!A44,'D-1 Off-Site Habitat Baseline'!$W$11:$W$258),SUMIF('D-1 Off-Site Habitat Baseline'!$G$11:$G$258,'G-2 Habitat groups'!A44,'D-1 Off-Site Habitat Baseline'!$H$11:$H$258))</f>
        <v>0</v>
      </c>
      <c r="T44" s="346">
        <f>SUMIF('D-1 Off-Site Habitat Baseline'!$G$11:$G$258,'G-2 Habitat groups'!A44,'D-1 Off-Site Habitat Baseline'!$T$11:$T$258)</f>
        <v>0</v>
      </c>
      <c r="U44" s="346">
        <f>SUMIF('D-1 Off-Site Habitat Baseline'!$G$11:$G$258,'G-2 Habitat groups'!A44,'D-1 Off-Site Habitat Baseline'!$V$11:$V$258)</f>
        <v>0</v>
      </c>
      <c r="V44" s="346">
        <f>SUMIF('D-1 Off-Site Habitat Baseline'!$G$11:$G$258,'G-2 Habitat groups'!A44,'D-1 Off-Site Habitat Baseline'!$X$11:$X$258)</f>
        <v>0</v>
      </c>
      <c r="W44" s="346">
        <f>SUMIF('D-2 Off-Site Habitat Creation'!$F$9:$F$255,'G-2 Habitat groups'!A44,'D-2 Off-Site Habitat Creation'!$G$9:$G$255)</f>
        <v>0</v>
      </c>
      <c r="X44" s="346">
        <f>SUMIF('D-2 Off-Site Habitat Creation'!$F$9:$F$255,'G-2 Habitat groups'!A44,'D-2 Off-Site Habitat Creation'!$AB$9:$AB$255)</f>
        <v>0</v>
      </c>
      <c r="Y44" s="346">
        <f>SUMIF('D-3 Off-Site Habitat Enhancment'!$S$12:$S$491,'G-2 Habitat groups'!A44,'D-3 Off-Site Habitat Enhancment'!$V$12:$V$491)</f>
        <v>0</v>
      </c>
      <c r="Z44" s="346">
        <f>SUMIF('D-3 Off-Site Habitat Enhancment'!$S$12:$S$491,'G-2 Habitat groups'!A44,'D-3 Off-Site Habitat Enhancment'!$AQ$12:$AQ$491)</f>
        <v>0</v>
      </c>
      <c r="AA44" s="346">
        <f t="shared" si="47"/>
        <v>0</v>
      </c>
      <c r="AB44" s="346">
        <f t="shared" si="48"/>
        <v>0</v>
      </c>
      <c r="AC44" s="346">
        <f t="shared" si="49"/>
        <v>0</v>
      </c>
      <c r="AD44" s="346">
        <f t="shared" si="50"/>
        <v>0</v>
      </c>
      <c r="AE44" s="346">
        <f t="shared" si="51"/>
        <v>0</v>
      </c>
      <c r="AF44" s="346">
        <f t="shared" si="52"/>
        <v>0</v>
      </c>
      <c r="AU44" s="85" t="s">
        <v>636</v>
      </c>
      <c r="AV44" s="68" t="s">
        <v>127</v>
      </c>
      <c r="AW44" s="358">
        <f t="shared" si="33"/>
        <v>0</v>
      </c>
      <c r="AX44" s="358">
        <f t="shared" si="34"/>
        <v>0</v>
      </c>
      <c r="AY44" s="358">
        <f t="shared" si="35"/>
        <v>0</v>
      </c>
      <c r="AZ44" s="358">
        <f t="shared" si="36"/>
        <v>0</v>
      </c>
      <c r="BA44" s="358">
        <f t="shared" si="37"/>
        <v>0</v>
      </c>
      <c r="BB44" s="358">
        <f t="shared" si="38"/>
        <v>0</v>
      </c>
      <c r="BC44" s="358">
        <f t="shared" si="39"/>
        <v>0</v>
      </c>
      <c r="BD44" s="358">
        <f t="shared" si="40"/>
        <v>0</v>
      </c>
      <c r="BE44" s="358">
        <f t="shared" si="41"/>
        <v>0</v>
      </c>
      <c r="BF44" s="358" t="str">
        <f t="shared" si="42"/>
        <v/>
      </c>
    </row>
    <row r="45" spans="1:58">
      <c r="A45" s="79" t="str">
        <f>'G-1 All Habitats'!B44</f>
        <v>Lakes - Moderate alkalinity lakes</v>
      </c>
      <c r="B45" s="68" t="str">
        <f>'G-1 All Habitats'!F44</f>
        <v>Lakes</v>
      </c>
      <c r="C45" s="68" t="str">
        <f>'G-1 All Habitats'!K44</f>
        <v>High</v>
      </c>
      <c r="D45" s="68" t="str">
        <f>'G-1 All Habitats'!M44</f>
        <v>Same habitat required =</v>
      </c>
      <c r="E45" s="346">
        <f>IF(C45="V.High",SUMIF('A-1 On-Site Habitat Baseline'!$G$11:$G$258,'G-2 Habitat groups'!A45,'A-1 On-Site Habitat Baseline'!$S$11:$S$258)+SUMIF('A-1 On-Site Habitat Baseline'!$G$11:$G$258,'G-2 Habitat groups'!A45,'A-1 On-Site Habitat Baseline'!$T$11:$T$258),SUMIF('A-1 On-Site Habitat Baseline'!$G$11:$G$258,'G-2 Habitat groups'!A45,'A-1 On-Site Habitat Baseline'!$H$11:$H$258))</f>
        <v>0</v>
      </c>
      <c r="F45" s="346">
        <f>SUMIF('A-1 On-Site Habitat Baseline'!$G$11:$G$258,'G-2 Habitat groups'!A45,'A-1 On-Site Habitat Baseline'!$Q$11:$Q$258)</f>
        <v>0</v>
      </c>
      <c r="G45" s="346">
        <f>SUMIF('A-1 On-Site Habitat Baseline'!$G$11:$G$258,'G-2 Habitat groups'!A45,'A-1 On-Site Habitat Baseline'!$S$11:$S$258)</f>
        <v>0</v>
      </c>
      <c r="H45" s="346">
        <f>SUMIF('A-1 On-Site Habitat Baseline'!$G$11:$G$258,'G-2 Habitat groups'!A45,'A-1 On-Site Habitat Baseline'!$U$11:$U$258)</f>
        <v>0</v>
      </c>
      <c r="I45" s="346">
        <f>SUMIF('A-1 On-Site Habitat Baseline'!$G$11:$G$258,'G-2 Habitat groups'!A45,'A-1 On-Site Habitat Baseline'!$W$11:$W$258)</f>
        <v>0</v>
      </c>
      <c r="J45" s="346">
        <f>SUMIF('A-1 On-Site Habitat Baseline'!$G$11:$G$258,'G-2 Habitat groups'!A45,'A-1 On-Site Habitat Baseline'!$X$11:$X$258)</f>
        <v>0</v>
      </c>
      <c r="K45" s="346">
        <f>SUMIF('A-2 On-Site Habitat Creation'!$F$11:$F$256,'G-2 Habitat groups'!A45,'A-2 On-Site Habitat Creation'!$G$11:$G$256)</f>
        <v>0</v>
      </c>
      <c r="L45" s="346">
        <f>SUMIF('A-2 On-Site Habitat Creation'!$F$11:$F$256,'G-2 Habitat groups'!A45,'A-2 On-Site Habitat Creation'!$Y$11:$Y$256)</f>
        <v>0</v>
      </c>
      <c r="M45" s="346">
        <f>SUMIF('A-3 On-Site Habitat Enhancement'!$S$12:$S$257,'G-2 Habitat groups'!A45,'A-3 On-Site Habitat Enhancement'!$V$12:$V$257)</f>
        <v>0</v>
      </c>
      <c r="N45" s="346">
        <f>SUMIF('A-3 On-Site Habitat Enhancement'!$S$12:$S$257,'G-2 Habitat groups'!A45,'A-3 On-Site Habitat Enhancement'!$AN$12:$AN$257)</f>
        <v>0</v>
      </c>
      <c r="O45" s="346">
        <f t="shared" si="43"/>
        <v>0</v>
      </c>
      <c r="P45" s="346">
        <f t="shared" si="44"/>
        <v>0</v>
      </c>
      <c r="Q45" s="346">
        <f t="shared" si="45"/>
        <v>0</v>
      </c>
      <c r="R45" s="346">
        <f t="shared" si="46"/>
        <v>0</v>
      </c>
      <c r="S45" s="346">
        <f>IF(C45="V.High",SUMIF('D-1 Off-Site Habitat Baseline'!$G$11:$G$258,'G-2 Habitat groups'!A45,'D-1 Off-Site Habitat Baseline'!$V$11:$V$258)+SUMIF('D-1 Off-Site Habitat Baseline'!$G$11:$G$258,'G-2 Habitat groups'!A45,'D-1 Off-Site Habitat Baseline'!$W$11:$W$258),SUMIF('D-1 Off-Site Habitat Baseline'!$G$11:$G$258,'G-2 Habitat groups'!A45,'D-1 Off-Site Habitat Baseline'!$H$11:$H$258))</f>
        <v>0</v>
      </c>
      <c r="T45" s="346">
        <f>SUMIF('D-1 Off-Site Habitat Baseline'!$G$11:$G$258,'G-2 Habitat groups'!A45,'D-1 Off-Site Habitat Baseline'!$T$11:$T$258)</f>
        <v>0</v>
      </c>
      <c r="U45" s="346">
        <f>SUMIF('D-1 Off-Site Habitat Baseline'!$G$11:$G$258,'G-2 Habitat groups'!A45,'D-1 Off-Site Habitat Baseline'!$V$11:$V$258)</f>
        <v>0</v>
      </c>
      <c r="V45" s="346">
        <f>SUMIF('D-1 Off-Site Habitat Baseline'!$G$11:$G$258,'G-2 Habitat groups'!A45,'D-1 Off-Site Habitat Baseline'!$X$11:$X$258)</f>
        <v>0</v>
      </c>
      <c r="W45" s="346">
        <f>SUMIF('D-2 Off-Site Habitat Creation'!$F$9:$F$255,'G-2 Habitat groups'!A45,'D-2 Off-Site Habitat Creation'!$G$9:$G$255)</f>
        <v>0</v>
      </c>
      <c r="X45" s="346">
        <f>SUMIF('D-2 Off-Site Habitat Creation'!$F$9:$F$255,'G-2 Habitat groups'!A45,'D-2 Off-Site Habitat Creation'!$AB$9:$AB$255)</f>
        <v>0</v>
      </c>
      <c r="Y45" s="346">
        <f>SUMIF('D-3 Off-Site Habitat Enhancment'!$S$12:$S$491,'G-2 Habitat groups'!A45,'D-3 Off-Site Habitat Enhancment'!$V$12:$V$491)</f>
        <v>0</v>
      </c>
      <c r="Z45" s="346">
        <f>SUMIF('D-3 Off-Site Habitat Enhancment'!$S$12:$S$491,'G-2 Habitat groups'!A45,'D-3 Off-Site Habitat Enhancment'!$AQ$12:$AQ$491)</f>
        <v>0</v>
      </c>
      <c r="AA45" s="346">
        <f t="shared" si="47"/>
        <v>0</v>
      </c>
      <c r="AB45" s="346">
        <f t="shared" si="48"/>
        <v>0</v>
      </c>
      <c r="AC45" s="346">
        <f t="shared" si="49"/>
        <v>0</v>
      </c>
      <c r="AD45" s="346">
        <f t="shared" si="50"/>
        <v>0</v>
      </c>
      <c r="AE45" s="346">
        <f t="shared" si="51"/>
        <v>0</v>
      </c>
      <c r="AF45" s="346">
        <f t="shared" si="52"/>
        <v>0</v>
      </c>
      <c r="AU45" s="86" t="s">
        <v>645</v>
      </c>
      <c r="AV45" s="68" t="s">
        <v>127</v>
      </c>
      <c r="AW45" s="358">
        <f t="shared" si="33"/>
        <v>0</v>
      </c>
      <c r="AX45" s="358">
        <f t="shared" si="34"/>
        <v>0</v>
      </c>
      <c r="AY45" s="358">
        <f t="shared" si="35"/>
        <v>0</v>
      </c>
      <c r="AZ45" s="358">
        <f t="shared" si="36"/>
        <v>0</v>
      </c>
      <c r="BA45" s="358">
        <f t="shared" si="37"/>
        <v>0</v>
      </c>
      <c r="BB45" s="358">
        <f t="shared" si="38"/>
        <v>0</v>
      </c>
      <c r="BC45" s="358">
        <f t="shared" si="39"/>
        <v>0</v>
      </c>
      <c r="BD45" s="358">
        <f t="shared" si="40"/>
        <v>0</v>
      </c>
      <c r="BE45" s="358">
        <f t="shared" si="41"/>
        <v>0</v>
      </c>
      <c r="BF45" s="358" t="str">
        <f t="shared" si="42"/>
        <v/>
      </c>
    </row>
    <row r="46" spans="1:58">
      <c r="A46" s="79" t="str">
        <f>'G-1 All Habitats'!B45</f>
        <v>Lakes - Peat lakes</v>
      </c>
      <c r="B46" s="68" t="str">
        <f>'G-1 All Habitats'!F45</f>
        <v>Lakes</v>
      </c>
      <c r="C46" s="68" t="str">
        <f>'G-1 All Habitats'!K45</f>
        <v>High</v>
      </c>
      <c r="D46" s="68" t="str">
        <f>'G-1 All Habitats'!M45</f>
        <v>Same habitat required =</v>
      </c>
      <c r="E46" s="346">
        <f>IF(C46="V.High",SUMIF('A-1 On-Site Habitat Baseline'!$G$11:$G$258,'G-2 Habitat groups'!A46,'A-1 On-Site Habitat Baseline'!$S$11:$S$258)+SUMIF('A-1 On-Site Habitat Baseline'!$G$11:$G$258,'G-2 Habitat groups'!A46,'A-1 On-Site Habitat Baseline'!$T$11:$T$258),SUMIF('A-1 On-Site Habitat Baseline'!$G$11:$G$258,'G-2 Habitat groups'!A46,'A-1 On-Site Habitat Baseline'!$H$11:$H$258))</f>
        <v>0</v>
      </c>
      <c r="F46" s="346">
        <f>SUMIF('A-1 On-Site Habitat Baseline'!$G$11:$G$258,'G-2 Habitat groups'!A46,'A-1 On-Site Habitat Baseline'!$Q$11:$Q$258)</f>
        <v>0</v>
      </c>
      <c r="G46" s="346">
        <f>SUMIF('A-1 On-Site Habitat Baseline'!$G$11:$G$258,'G-2 Habitat groups'!A46,'A-1 On-Site Habitat Baseline'!$S$11:$S$258)</f>
        <v>0</v>
      </c>
      <c r="H46" s="346">
        <f>SUMIF('A-1 On-Site Habitat Baseline'!$G$11:$G$258,'G-2 Habitat groups'!A46,'A-1 On-Site Habitat Baseline'!$U$11:$U$258)</f>
        <v>0</v>
      </c>
      <c r="I46" s="346">
        <f>SUMIF('A-1 On-Site Habitat Baseline'!$G$11:$G$258,'G-2 Habitat groups'!A46,'A-1 On-Site Habitat Baseline'!$W$11:$W$258)</f>
        <v>0</v>
      </c>
      <c r="J46" s="346">
        <f>SUMIF('A-1 On-Site Habitat Baseline'!$G$11:$G$258,'G-2 Habitat groups'!A46,'A-1 On-Site Habitat Baseline'!$X$11:$X$258)</f>
        <v>0</v>
      </c>
      <c r="K46" s="346">
        <f>SUMIF('A-2 On-Site Habitat Creation'!$F$11:$F$256,'G-2 Habitat groups'!A46,'A-2 On-Site Habitat Creation'!$G$11:$G$256)</f>
        <v>0</v>
      </c>
      <c r="L46" s="346">
        <f>SUMIF('A-2 On-Site Habitat Creation'!$F$11:$F$256,'G-2 Habitat groups'!A46,'A-2 On-Site Habitat Creation'!$Y$11:$Y$256)</f>
        <v>0</v>
      </c>
      <c r="M46" s="346">
        <f>SUMIF('A-3 On-Site Habitat Enhancement'!$S$12:$S$257,'G-2 Habitat groups'!A46,'A-3 On-Site Habitat Enhancement'!$V$12:$V$257)</f>
        <v>0</v>
      </c>
      <c r="N46" s="346">
        <f>SUMIF('A-3 On-Site Habitat Enhancement'!$S$12:$S$257,'G-2 Habitat groups'!A46,'A-3 On-Site Habitat Enhancement'!$AN$12:$AN$257)</f>
        <v>0</v>
      </c>
      <c r="O46" s="346">
        <f t="shared" si="43"/>
        <v>0</v>
      </c>
      <c r="P46" s="346">
        <f t="shared" si="44"/>
        <v>0</v>
      </c>
      <c r="Q46" s="346">
        <f t="shared" si="45"/>
        <v>0</v>
      </c>
      <c r="R46" s="346">
        <f t="shared" si="46"/>
        <v>0</v>
      </c>
      <c r="S46" s="346">
        <f>IF(C46="V.High",SUMIF('D-1 Off-Site Habitat Baseline'!$G$11:$G$258,'G-2 Habitat groups'!A46,'D-1 Off-Site Habitat Baseline'!$V$11:$V$258)+SUMIF('D-1 Off-Site Habitat Baseline'!$G$11:$G$258,'G-2 Habitat groups'!A46,'D-1 Off-Site Habitat Baseline'!$W$11:$W$258),SUMIF('D-1 Off-Site Habitat Baseline'!$G$11:$G$258,'G-2 Habitat groups'!A46,'D-1 Off-Site Habitat Baseline'!$H$11:$H$258))</f>
        <v>0</v>
      </c>
      <c r="T46" s="346">
        <f>SUMIF('D-1 Off-Site Habitat Baseline'!$G$11:$G$258,'G-2 Habitat groups'!A46,'D-1 Off-Site Habitat Baseline'!$T$11:$T$258)</f>
        <v>0</v>
      </c>
      <c r="U46" s="346">
        <f>SUMIF('D-1 Off-Site Habitat Baseline'!$G$11:$G$258,'G-2 Habitat groups'!A46,'D-1 Off-Site Habitat Baseline'!$V$11:$V$258)</f>
        <v>0</v>
      </c>
      <c r="V46" s="346">
        <f>SUMIF('D-1 Off-Site Habitat Baseline'!$G$11:$G$258,'G-2 Habitat groups'!A46,'D-1 Off-Site Habitat Baseline'!$X$11:$X$258)</f>
        <v>0</v>
      </c>
      <c r="W46" s="346">
        <f>SUMIF('D-2 Off-Site Habitat Creation'!$F$9:$F$255,'G-2 Habitat groups'!A46,'D-2 Off-Site Habitat Creation'!$G$9:$G$255)</f>
        <v>0</v>
      </c>
      <c r="X46" s="346">
        <f>SUMIF('D-2 Off-Site Habitat Creation'!$F$9:$F$255,'G-2 Habitat groups'!A46,'D-2 Off-Site Habitat Creation'!$AB$9:$AB$255)</f>
        <v>0</v>
      </c>
      <c r="Y46" s="346">
        <f>SUMIF('D-3 Off-Site Habitat Enhancment'!$S$12:$S$491,'G-2 Habitat groups'!A46,'D-3 Off-Site Habitat Enhancment'!$V$12:$V$491)</f>
        <v>0</v>
      </c>
      <c r="Z46" s="346">
        <f>SUMIF('D-3 Off-Site Habitat Enhancment'!$S$12:$S$491,'G-2 Habitat groups'!A46,'D-3 Off-Site Habitat Enhancment'!$AQ$12:$AQ$491)</f>
        <v>0</v>
      </c>
      <c r="AA46" s="346">
        <f t="shared" si="47"/>
        <v>0</v>
      </c>
      <c r="AB46" s="346">
        <f t="shared" si="48"/>
        <v>0</v>
      </c>
      <c r="AC46" s="346">
        <f t="shared" si="49"/>
        <v>0</v>
      </c>
      <c r="AD46" s="346">
        <f t="shared" si="50"/>
        <v>0</v>
      </c>
      <c r="AE46" s="346">
        <f t="shared" si="51"/>
        <v>0</v>
      </c>
      <c r="AF46" s="346">
        <f t="shared" si="52"/>
        <v>0</v>
      </c>
      <c r="AU46" s="86" t="s">
        <v>653</v>
      </c>
      <c r="AV46" s="68" t="s">
        <v>128</v>
      </c>
      <c r="AW46" s="358">
        <f t="shared" si="33"/>
        <v>0</v>
      </c>
      <c r="AX46" s="358">
        <f t="shared" si="34"/>
        <v>0</v>
      </c>
      <c r="AY46" s="358">
        <f t="shared" si="35"/>
        <v>0</v>
      </c>
      <c r="AZ46" s="358">
        <f t="shared" si="36"/>
        <v>0</v>
      </c>
      <c r="BA46" s="358">
        <f t="shared" si="37"/>
        <v>0</v>
      </c>
      <c r="BB46" s="358">
        <f t="shared" si="38"/>
        <v>0</v>
      </c>
      <c r="BC46" s="358">
        <f t="shared" si="39"/>
        <v>0</v>
      </c>
      <c r="BD46" s="358">
        <f t="shared" si="40"/>
        <v>0</v>
      </c>
      <c r="BE46" s="358">
        <f t="shared" si="41"/>
        <v>0</v>
      </c>
      <c r="BF46" s="358" t="str">
        <f t="shared" si="42"/>
        <v/>
      </c>
    </row>
    <row r="47" spans="1:58">
      <c r="A47" s="79" t="str">
        <f>'G-1 All Habitats'!B46</f>
        <v>Lakes - Ponds (priority habitat)</v>
      </c>
      <c r="B47" s="68" t="str">
        <f>'G-1 All Habitats'!F46</f>
        <v>Lakes</v>
      </c>
      <c r="C47" s="68" t="str">
        <f>'G-1 All Habitats'!K46</f>
        <v>High</v>
      </c>
      <c r="D47" s="68" t="str">
        <f>'G-1 All Habitats'!M46</f>
        <v>Same habitat required =</v>
      </c>
      <c r="E47" s="346">
        <f>IF(C47="V.High",SUMIF('A-1 On-Site Habitat Baseline'!$G$11:$G$258,'G-2 Habitat groups'!A47,'A-1 On-Site Habitat Baseline'!$S$11:$S$258)+SUMIF('A-1 On-Site Habitat Baseline'!$G$11:$G$258,'G-2 Habitat groups'!A47,'A-1 On-Site Habitat Baseline'!$T$11:$T$258),SUMIF('A-1 On-Site Habitat Baseline'!$G$11:$G$258,'G-2 Habitat groups'!A47,'A-1 On-Site Habitat Baseline'!$H$11:$H$258))</f>
        <v>0</v>
      </c>
      <c r="F47" s="346">
        <f>SUMIF('A-1 On-Site Habitat Baseline'!$G$11:$G$258,'G-2 Habitat groups'!A47,'A-1 On-Site Habitat Baseline'!$Q$11:$Q$258)</f>
        <v>0</v>
      </c>
      <c r="G47" s="346">
        <f>SUMIF('A-1 On-Site Habitat Baseline'!$G$11:$G$258,'G-2 Habitat groups'!A47,'A-1 On-Site Habitat Baseline'!$S$11:$S$258)</f>
        <v>0</v>
      </c>
      <c r="H47" s="346">
        <f>SUMIF('A-1 On-Site Habitat Baseline'!$G$11:$G$258,'G-2 Habitat groups'!A47,'A-1 On-Site Habitat Baseline'!$U$11:$U$258)</f>
        <v>0</v>
      </c>
      <c r="I47" s="346">
        <f>SUMIF('A-1 On-Site Habitat Baseline'!$G$11:$G$258,'G-2 Habitat groups'!A47,'A-1 On-Site Habitat Baseline'!$W$11:$W$258)</f>
        <v>0</v>
      </c>
      <c r="J47" s="346">
        <f>SUMIF('A-1 On-Site Habitat Baseline'!$G$11:$G$258,'G-2 Habitat groups'!A47,'A-1 On-Site Habitat Baseline'!$X$11:$X$258)</f>
        <v>0</v>
      </c>
      <c r="K47" s="346">
        <f>SUMIF('A-2 On-Site Habitat Creation'!$F$11:$F$256,'G-2 Habitat groups'!A47,'A-2 On-Site Habitat Creation'!$G$11:$G$256)</f>
        <v>0</v>
      </c>
      <c r="L47" s="346">
        <f>SUMIF('A-2 On-Site Habitat Creation'!$F$11:$F$256,'G-2 Habitat groups'!A47,'A-2 On-Site Habitat Creation'!$Y$11:$Y$256)</f>
        <v>0</v>
      </c>
      <c r="M47" s="346">
        <f>SUMIF('A-3 On-Site Habitat Enhancement'!$S$12:$S$257,'G-2 Habitat groups'!A47,'A-3 On-Site Habitat Enhancement'!$V$12:$V$257)</f>
        <v>0</v>
      </c>
      <c r="N47" s="346">
        <f>SUMIF('A-3 On-Site Habitat Enhancement'!$S$12:$S$257,'G-2 Habitat groups'!A47,'A-3 On-Site Habitat Enhancement'!$AN$12:$AN$257)</f>
        <v>0</v>
      </c>
      <c r="O47" s="346">
        <f t="shared" si="43"/>
        <v>0</v>
      </c>
      <c r="P47" s="346">
        <f t="shared" si="44"/>
        <v>0</v>
      </c>
      <c r="Q47" s="346">
        <f t="shared" si="45"/>
        <v>0</v>
      </c>
      <c r="R47" s="346">
        <f t="shared" si="46"/>
        <v>0</v>
      </c>
      <c r="S47" s="346">
        <f>IF(C47="V.High",SUMIF('D-1 Off-Site Habitat Baseline'!$G$11:$G$258,'G-2 Habitat groups'!A47,'D-1 Off-Site Habitat Baseline'!$V$11:$V$258)+SUMIF('D-1 Off-Site Habitat Baseline'!$G$11:$G$258,'G-2 Habitat groups'!A47,'D-1 Off-Site Habitat Baseline'!$W$11:$W$258),SUMIF('D-1 Off-Site Habitat Baseline'!$G$11:$G$258,'G-2 Habitat groups'!A47,'D-1 Off-Site Habitat Baseline'!$H$11:$H$258))</f>
        <v>0</v>
      </c>
      <c r="T47" s="346">
        <f>SUMIF('D-1 Off-Site Habitat Baseline'!$G$11:$G$258,'G-2 Habitat groups'!A47,'D-1 Off-Site Habitat Baseline'!$T$11:$T$258)</f>
        <v>0</v>
      </c>
      <c r="U47" s="346">
        <f>SUMIF('D-1 Off-Site Habitat Baseline'!$G$11:$G$258,'G-2 Habitat groups'!A47,'D-1 Off-Site Habitat Baseline'!$V$11:$V$258)</f>
        <v>0</v>
      </c>
      <c r="V47" s="346">
        <f>SUMIF('D-1 Off-Site Habitat Baseline'!$G$11:$G$258,'G-2 Habitat groups'!A47,'D-1 Off-Site Habitat Baseline'!$X$11:$X$258)</f>
        <v>0</v>
      </c>
      <c r="W47" s="346">
        <f>SUMIF('D-2 Off-Site Habitat Creation'!$F$9:$F$255,'G-2 Habitat groups'!A47,'D-2 Off-Site Habitat Creation'!$G$9:$G$255)</f>
        <v>0</v>
      </c>
      <c r="X47" s="346">
        <f>SUMIF('D-2 Off-Site Habitat Creation'!$F$9:$F$255,'G-2 Habitat groups'!A47,'D-2 Off-Site Habitat Creation'!$AB$9:$AB$255)</f>
        <v>0</v>
      </c>
      <c r="Y47" s="346">
        <f>SUMIF('D-3 Off-Site Habitat Enhancment'!$S$12:$S$491,'G-2 Habitat groups'!A47,'D-3 Off-Site Habitat Enhancment'!$V$12:$V$491)</f>
        <v>0</v>
      </c>
      <c r="Z47" s="346">
        <f>SUMIF('D-3 Off-Site Habitat Enhancment'!$S$12:$S$491,'G-2 Habitat groups'!A47,'D-3 Off-Site Habitat Enhancment'!$AQ$12:$AQ$491)</f>
        <v>0</v>
      </c>
      <c r="AA47" s="346">
        <f t="shared" si="47"/>
        <v>0</v>
      </c>
      <c r="AB47" s="346">
        <f t="shared" si="48"/>
        <v>0</v>
      </c>
      <c r="AC47" s="346">
        <f t="shared" si="49"/>
        <v>0</v>
      </c>
      <c r="AD47" s="346">
        <f t="shared" si="50"/>
        <v>0</v>
      </c>
      <c r="AE47" s="346">
        <f t="shared" si="51"/>
        <v>0</v>
      </c>
      <c r="AF47" s="346">
        <f t="shared" si="52"/>
        <v>0</v>
      </c>
      <c r="AU47" s="86" t="s">
        <v>657</v>
      </c>
      <c r="AV47" s="68" t="s">
        <v>128</v>
      </c>
      <c r="AW47" s="358">
        <f t="shared" si="33"/>
        <v>0</v>
      </c>
      <c r="AX47" s="358">
        <f t="shared" si="34"/>
        <v>0</v>
      </c>
      <c r="AY47" s="358">
        <f t="shared" si="35"/>
        <v>0</v>
      </c>
      <c r="AZ47" s="358">
        <f t="shared" si="36"/>
        <v>0</v>
      </c>
      <c r="BA47" s="358">
        <f t="shared" si="37"/>
        <v>0</v>
      </c>
      <c r="BB47" s="358">
        <f t="shared" si="38"/>
        <v>0</v>
      </c>
      <c r="BC47" s="358">
        <f t="shared" si="39"/>
        <v>0</v>
      </c>
      <c r="BD47" s="358">
        <f t="shared" si="40"/>
        <v>0</v>
      </c>
      <c r="BE47" s="358">
        <f t="shared" si="41"/>
        <v>0</v>
      </c>
      <c r="BF47" s="358" t="str">
        <f t="shared" si="42"/>
        <v/>
      </c>
    </row>
    <row r="48" spans="1:58">
      <c r="A48" s="79" t="str">
        <f>'G-1 All Habitats'!B47</f>
        <v>Lakes - Ponds (non-priority habitat)</v>
      </c>
      <c r="B48" s="68" t="str">
        <f>'G-1 All Habitats'!F47</f>
        <v>Lakes</v>
      </c>
      <c r="C48" s="68" t="str">
        <f>'G-1 All Habitats'!K47</f>
        <v>Medium</v>
      </c>
      <c r="D48" s="68" t="str">
        <f>'G-1 All Habitats'!M47</f>
        <v>Same broad habitat or a higher distinctiveness habitat required (≥)</v>
      </c>
      <c r="E48" s="346">
        <f>IF(C48="V.High",SUMIF('A-1 On-Site Habitat Baseline'!$G$11:$G$258,'G-2 Habitat groups'!A48,'A-1 On-Site Habitat Baseline'!$S$11:$S$258)+SUMIF('A-1 On-Site Habitat Baseline'!$G$11:$G$258,'G-2 Habitat groups'!A48,'A-1 On-Site Habitat Baseline'!$T$11:$T$258),SUMIF('A-1 On-Site Habitat Baseline'!$G$11:$G$258,'G-2 Habitat groups'!A48,'A-1 On-Site Habitat Baseline'!$H$11:$H$258))</f>
        <v>0</v>
      </c>
      <c r="F48" s="346">
        <f>SUMIF('A-1 On-Site Habitat Baseline'!$G$11:$G$258,'G-2 Habitat groups'!A48,'A-1 On-Site Habitat Baseline'!$Q$11:$Q$258)</f>
        <v>0</v>
      </c>
      <c r="G48" s="346">
        <f>SUMIF('A-1 On-Site Habitat Baseline'!$G$11:$G$258,'G-2 Habitat groups'!A48,'A-1 On-Site Habitat Baseline'!$S$11:$S$258)</f>
        <v>0</v>
      </c>
      <c r="H48" s="346">
        <f>SUMIF('A-1 On-Site Habitat Baseline'!$G$11:$G$258,'G-2 Habitat groups'!A48,'A-1 On-Site Habitat Baseline'!$U$11:$U$258)</f>
        <v>0</v>
      </c>
      <c r="I48" s="346">
        <f>SUMIF('A-1 On-Site Habitat Baseline'!$G$11:$G$258,'G-2 Habitat groups'!A48,'A-1 On-Site Habitat Baseline'!$W$11:$W$258)</f>
        <v>0</v>
      </c>
      <c r="J48" s="346">
        <f>SUMIF('A-1 On-Site Habitat Baseline'!$G$11:$G$258,'G-2 Habitat groups'!A48,'A-1 On-Site Habitat Baseline'!$X$11:$X$258)</f>
        <v>0</v>
      </c>
      <c r="K48" s="346">
        <f>SUMIF('A-2 On-Site Habitat Creation'!$F$11:$F$256,'G-2 Habitat groups'!A48,'A-2 On-Site Habitat Creation'!$G$11:$G$256)</f>
        <v>0</v>
      </c>
      <c r="L48" s="346">
        <f>SUMIF('A-2 On-Site Habitat Creation'!$F$11:$F$256,'G-2 Habitat groups'!A48,'A-2 On-Site Habitat Creation'!$Y$11:$Y$256)</f>
        <v>0</v>
      </c>
      <c r="M48" s="346">
        <f>SUMIF('A-3 On-Site Habitat Enhancement'!$S$12:$S$257,'G-2 Habitat groups'!A48,'A-3 On-Site Habitat Enhancement'!$V$12:$V$257)</f>
        <v>0</v>
      </c>
      <c r="N48" s="346">
        <f>SUMIF('A-3 On-Site Habitat Enhancement'!$S$12:$S$257,'G-2 Habitat groups'!A48,'A-3 On-Site Habitat Enhancement'!$AN$12:$AN$257)</f>
        <v>0</v>
      </c>
      <c r="O48" s="346">
        <f t="shared" si="43"/>
        <v>0</v>
      </c>
      <c r="P48" s="346">
        <f t="shared" si="44"/>
        <v>0</v>
      </c>
      <c r="Q48" s="346">
        <f t="shared" si="45"/>
        <v>0</v>
      </c>
      <c r="R48" s="346">
        <f t="shared" si="46"/>
        <v>0</v>
      </c>
      <c r="S48" s="346">
        <f>IF(C48="V.High",SUMIF('D-1 Off-Site Habitat Baseline'!$G$11:$G$258,'G-2 Habitat groups'!A48,'D-1 Off-Site Habitat Baseline'!$V$11:$V$258)+SUMIF('D-1 Off-Site Habitat Baseline'!$G$11:$G$258,'G-2 Habitat groups'!A48,'D-1 Off-Site Habitat Baseline'!$W$11:$W$258),SUMIF('D-1 Off-Site Habitat Baseline'!$G$11:$G$258,'G-2 Habitat groups'!A48,'D-1 Off-Site Habitat Baseline'!$H$11:$H$258))</f>
        <v>0</v>
      </c>
      <c r="T48" s="346">
        <f>SUMIF('D-1 Off-Site Habitat Baseline'!$G$11:$G$258,'G-2 Habitat groups'!A48,'D-1 Off-Site Habitat Baseline'!$T$11:$T$258)</f>
        <v>0</v>
      </c>
      <c r="U48" s="346">
        <f>SUMIF('D-1 Off-Site Habitat Baseline'!$G$11:$G$258,'G-2 Habitat groups'!A48,'D-1 Off-Site Habitat Baseline'!$V$11:$V$258)</f>
        <v>0</v>
      </c>
      <c r="V48" s="346">
        <f>SUMIF('D-1 Off-Site Habitat Baseline'!$G$11:$G$258,'G-2 Habitat groups'!A48,'D-1 Off-Site Habitat Baseline'!$X$11:$X$258)</f>
        <v>0</v>
      </c>
      <c r="W48" s="346">
        <f>SUMIF('D-2 Off-Site Habitat Creation'!$F$9:$F$255,'G-2 Habitat groups'!A48,'D-2 Off-Site Habitat Creation'!$G$9:$G$255)</f>
        <v>0</v>
      </c>
      <c r="X48" s="346">
        <f>SUMIF('D-2 Off-Site Habitat Creation'!$F$9:$F$255,'G-2 Habitat groups'!A48,'D-2 Off-Site Habitat Creation'!$AB$9:$AB$255)</f>
        <v>0</v>
      </c>
      <c r="Y48" s="346">
        <f>SUMIF('D-3 Off-Site Habitat Enhancment'!$S$12:$S$491,'G-2 Habitat groups'!A48,'D-3 Off-Site Habitat Enhancment'!$V$12:$V$491)</f>
        <v>0</v>
      </c>
      <c r="Z48" s="346">
        <f>SUMIF('D-3 Off-Site Habitat Enhancment'!$S$12:$S$491,'G-2 Habitat groups'!A48,'D-3 Off-Site Habitat Enhancment'!$AQ$12:$AQ$491)</f>
        <v>0</v>
      </c>
      <c r="AA48" s="346">
        <f t="shared" si="47"/>
        <v>0</v>
      </c>
      <c r="AB48" s="346">
        <f t="shared" si="48"/>
        <v>0</v>
      </c>
      <c r="AC48" s="346">
        <f t="shared" si="49"/>
        <v>0</v>
      </c>
      <c r="AD48" s="346">
        <f t="shared" si="50"/>
        <v>0</v>
      </c>
      <c r="AE48" s="346">
        <f t="shared" si="51"/>
        <v>0</v>
      </c>
      <c r="AF48" s="346">
        <f t="shared" si="52"/>
        <v>0</v>
      </c>
      <c r="AU48" s="86" t="s">
        <v>666</v>
      </c>
      <c r="AV48" s="68" t="s">
        <v>128</v>
      </c>
      <c r="AW48" s="358">
        <f t="shared" si="33"/>
        <v>0</v>
      </c>
      <c r="AX48" s="358">
        <f t="shared" si="34"/>
        <v>0</v>
      </c>
      <c r="AY48" s="358">
        <f t="shared" si="35"/>
        <v>0</v>
      </c>
      <c r="AZ48" s="358">
        <f t="shared" si="36"/>
        <v>0</v>
      </c>
      <c r="BA48" s="358">
        <f t="shared" si="37"/>
        <v>0</v>
      </c>
      <c r="BB48" s="358">
        <f t="shared" si="38"/>
        <v>0</v>
      </c>
      <c r="BC48" s="358">
        <f t="shared" si="39"/>
        <v>0</v>
      </c>
      <c r="BD48" s="358">
        <f t="shared" si="40"/>
        <v>0</v>
      </c>
      <c r="BE48" s="358">
        <f t="shared" si="41"/>
        <v>0</v>
      </c>
      <c r="BF48" s="358" t="str">
        <f t="shared" si="42"/>
        <v/>
      </c>
    </row>
    <row r="49" spans="1:58">
      <c r="A49" s="79" t="str">
        <f>'G-1 All Habitats'!B48</f>
        <v>Lakes - Reservoirs</v>
      </c>
      <c r="B49" s="68" t="str">
        <f>'G-1 All Habitats'!F48</f>
        <v>Lakes</v>
      </c>
      <c r="C49" s="68" t="str">
        <f>'G-1 All Habitats'!K48</f>
        <v>Medium</v>
      </c>
      <c r="D49" s="68" t="str">
        <f>'G-1 All Habitats'!M48</f>
        <v>Same broad habitat or a higher distinctiveness habitat required (≥)</v>
      </c>
      <c r="E49" s="346">
        <f>IF(C49="V.High",SUMIF('A-1 On-Site Habitat Baseline'!$G$11:$G$258,'G-2 Habitat groups'!A49,'A-1 On-Site Habitat Baseline'!$S$11:$S$258)+SUMIF('A-1 On-Site Habitat Baseline'!$G$11:$G$258,'G-2 Habitat groups'!A49,'A-1 On-Site Habitat Baseline'!$T$11:$T$258),SUMIF('A-1 On-Site Habitat Baseline'!$G$11:$G$258,'G-2 Habitat groups'!A49,'A-1 On-Site Habitat Baseline'!$H$11:$H$258))</f>
        <v>0</v>
      </c>
      <c r="F49" s="346">
        <f>SUMIF('A-1 On-Site Habitat Baseline'!$G$11:$G$258,'G-2 Habitat groups'!A49,'A-1 On-Site Habitat Baseline'!$Q$11:$Q$258)</f>
        <v>0</v>
      </c>
      <c r="G49" s="346">
        <f>SUMIF('A-1 On-Site Habitat Baseline'!$G$11:$G$258,'G-2 Habitat groups'!A49,'A-1 On-Site Habitat Baseline'!$S$11:$S$258)</f>
        <v>0</v>
      </c>
      <c r="H49" s="346">
        <f>SUMIF('A-1 On-Site Habitat Baseline'!$G$11:$G$258,'G-2 Habitat groups'!A49,'A-1 On-Site Habitat Baseline'!$U$11:$U$258)</f>
        <v>0</v>
      </c>
      <c r="I49" s="346">
        <f>SUMIF('A-1 On-Site Habitat Baseline'!$G$11:$G$258,'G-2 Habitat groups'!A49,'A-1 On-Site Habitat Baseline'!$W$11:$W$258)</f>
        <v>0</v>
      </c>
      <c r="J49" s="346">
        <f>SUMIF('A-1 On-Site Habitat Baseline'!$G$11:$G$258,'G-2 Habitat groups'!A49,'A-1 On-Site Habitat Baseline'!$X$11:$X$258)</f>
        <v>0</v>
      </c>
      <c r="K49" s="346">
        <f>SUMIF('A-2 On-Site Habitat Creation'!$F$11:$F$256,'G-2 Habitat groups'!A49,'A-2 On-Site Habitat Creation'!$G$11:$G$256)</f>
        <v>0</v>
      </c>
      <c r="L49" s="346">
        <f>SUMIF('A-2 On-Site Habitat Creation'!$F$11:$F$256,'G-2 Habitat groups'!A49,'A-2 On-Site Habitat Creation'!$Y$11:$Y$256)</f>
        <v>0</v>
      </c>
      <c r="M49" s="346">
        <f>SUMIF('A-3 On-Site Habitat Enhancement'!$S$12:$S$257,'G-2 Habitat groups'!A49,'A-3 On-Site Habitat Enhancement'!$V$12:$V$257)</f>
        <v>0</v>
      </c>
      <c r="N49" s="346">
        <f>SUMIF('A-3 On-Site Habitat Enhancement'!$S$12:$S$257,'G-2 Habitat groups'!A49,'A-3 On-Site Habitat Enhancement'!$AN$12:$AN$257)</f>
        <v>0</v>
      </c>
      <c r="O49" s="346">
        <f t="shared" si="43"/>
        <v>0</v>
      </c>
      <c r="P49" s="346">
        <f t="shared" si="44"/>
        <v>0</v>
      </c>
      <c r="Q49" s="346">
        <f t="shared" si="45"/>
        <v>0</v>
      </c>
      <c r="R49" s="346">
        <f t="shared" si="46"/>
        <v>0</v>
      </c>
      <c r="S49" s="346">
        <f>IF(C49="V.High",SUMIF('D-1 Off-Site Habitat Baseline'!$G$11:$G$258,'G-2 Habitat groups'!A49,'D-1 Off-Site Habitat Baseline'!$V$11:$V$258)+SUMIF('D-1 Off-Site Habitat Baseline'!$G$11:$G$258,'G-2 Habitat groups'!A49,'D-1 Off-Site Habitat Baseline'!$W$11:$W$258),SUMIF('D-1 Off-Site Habitat Baseline'!$G$11:$G$258,'G-2 Habitat groups'!A49,'D-1 Off-Site Habitat Baseline'!$H$11:$H$258))</f>
        <v>0</v>
      </c>
      <c r="T49" s="346">
        <f>SUMIF('D-1 Off-Site Habitat Baseline'!$G$11:$G$258,'G-2 Habitat groups'!A49,'D-1 Off-Site Habitat Baseline'!$T$11:$T$258)</f>
        <v>0</v>
      </c>
      <c r="U49" s="346">
        <f>SUMIF('D-1 Off-Site Habitat Baseline'!$G$11:$G$258,'G-2 Habitat groups'!A49,'D-1 Off-Site Habitat Baseline'!$V$11:$V$258)</f>
        <v>0</v>
      </c>
      <c r="V49" s="346">
        <f>SUMIF('D-1 Off-Site Habitat Baseline'!$G$11:$G$258,'G-2 Habitat groups'!A49,'D-1 Off-Site Habitat Baseline'!$X$11:$X$258)</f>
        <v>0</v>
      </c>
      <c r="W49" s="346">
        <f>SUMIF('D-2 Off-Site Habitat Creation'!$F$9:$F$255,'G-2 Habitat groups'!A49,'D-2 Off-Site Habitat Creation'!$G$9:$G$255)</f>
        <v>0</v>
      </c>
      <c r="X49" s="346">
        <f>SUMIF('D-2 Off-Site Habitat Creation'!$F$9:$F$255,'G-2 Habitat groups'!A49,'D-2 Off-Site Habitat Creation'!$AB$9:$AB$255)</f>
        <v>0</v>
      </c>
      <c r="Y49" s="346">
        <f>SUMIF('D-3 Off-Site Habitat Enhancment'!$S$12:$S$491,'G-2 Habitat groups'!A49,'D-3 Off-Site Habitat Enhancment'!$V$12:$V$491)</f>
        <v>0</v>
      </c>
      <c r="Z49" s="346">
        <f>SUMIF('D-3 Off-Site Habitat Enhancment'!$S$12:$S$491,'G-2 Habitat groups'!A49,'D-3 Off-Site Habitat Enhancment'!$AQ$12:$AQ$491)</f>
        <v>0</v>
      </c>
      <c r="AA49" s="346">
        <f t="shared" si="47"/>
        <v>0</v>
      </c>
      <c r="AB49" s="346">
        <f t="shared" si="48"/>
        <v>0</v>
      </c>
      <c r="AC49" s="346">
        <f t="shared" si="49"/>
        <v>0</v>
      </c>
      <c r="AD49" s="346">
        <f t="shared" si="50"/>
        <v>0</v>
      </c>
      <c r="AE49" s="346">
        <f t="shared" si="51"/>
        <v>0</v>
      </c>
      <c r="AF49" s="346">
        <f t="shared" si="52"/>
        <v>0</v>
      </c>
      <c r="AU49" s="86" t="s">
        <v>674</v>
      </c>
      <c r="AV49" s="68" t="s">
        <v>128</v>
      </c>
      <c r="AW49" s="358">
        <f t="shared" si="33"/>
        <v>0</v>
      </c>
      <c r="AX49" s="358">
        <f t="shared" si="34"/>
        <v>0</v>
      </c>
      <c r="AY49" s="358">
        <f t="shared" si="35"/>
        <v>0</v>
      </c>
      <c r="AZ49" s="358">
        <f t="shared" si="36"/>
        <v>0</v>
      </c>
      <c r="BA49" s="358">
        <f t="shared" si="37"/>
        <v>0</v>
      </c>
      <c r="BB49" s="358">
        <f t="shared" si="38"/>
        <v>0</v>
      </c>
      <c r="BC49" s="358">
        <f t="shared" si="39"/>
        <v>0</v>
      </c>
      <c r="BD49" s="358">
        <f t="shared" si="40"/>
        <v>0</v>
      </c>
      <c r="BE49" s="358">
        <f t="shared" si="41"/>
        <v>0</v>
      </c>
      <c r="BF49" s="358" t="str">
        <f t="shared" si="42"/>
        <v/>
      </c>
    </row>
    <row r="50" spans="1:58">
      <c r="A50" s="79" t="str">
        <f>'G-1 All Habitats'!B49</f>
        <v>Lakes - Temporary lakes ponds and pools (H3170)</v>
      </c>
      <c r="B50" s="68" t="str">
        <f>'G-1 All Habitats'!F49</f>
        <v>Lakes</v>
      </c>
      <c r="C50" s="68" t="str">
        <f>'G-1 All Habitats'!K49</f>
        <v>High</v>
      </c>
      <c r="D50" s="68" t="str">
        <f>'G-1 All Habitats'!M49</f>
        <v>Same habitat required =</v>
      </c>
      <c r="E50" s="346">
        <f>IF(C50="V.High",SUMIF('A-1 On-Site Habitat Baseline'!$G$11:$G$258,'G-2 Habitat groups'!A50,'A-1 On-Site Habitat Baseline'!$S$11:$S$258)+SUMIF('A-1 On-Site Habitat Baseline'!$G$11:$G$258,'G-2 Habitat groups'!A50,'A-1 On-Site Habitat Baseline'!$T$11:$T$258),SUMIF('A-1 On-Site Habitat Baseline'!$G$11:$G$258,'G-2 Habitat groups'!A50,'A-1 On-Site Habitat Baseline'!$H$11:$H$258))</f>
        <v>0</v>
      </c>
      <c r="F50" s="346">
        <f>SUMIF('A-1 On-Site Habitat Baseline'!$G$11:$G$258,'G-2 Habitat groups'!A50,'A-1 On-Site Habitat Baseline'!$Q$11:$Q$258)</f>
        <v>0</v>
      </c>
      <c r="G50" s="346">
        <f>SUMIF('A-1 On-Site Habitat Baseline'!$G$11:$G$258,'G-2 Habitat groups'!A50,'A-1 On-Site Habitat Baseline'!$S$11:$S$258)</f>
        <v>0</v>
      </c>
      <c r="H50" s="346">
        <f>SUMIF('A-1 On-Site Habitat Baseline'!$G$11:$G$258,'G-2 Habitat groups'!A50,'A-1 On-Site Habitat Baseline'!$U$11:$U$258)</f>
        <v>0</v>
      </c>
      <c r="I50" s="346">
        <f>SUMIF('A-1 On-Site Habitat Baseline'!$G$11:$G$258,'G-2 Habitat groups'!A50,'A-1 On-Site Habitat Baseline'!$W$11:$W$258)</f>
        <v>0</v>
      </c>
      <c r="J50" s="346">
        <f>SUMIF('A-1 On-Site Habitat Baseline'!$G$11:$G$258,'G-2 Habitat groups'!A50,'A-1 On-Site Habitat Baseline'!$X$11:$X$258)</f>
        <v>0</v>
      </c>
      <c r="K50" s="346">
        <f>SUMIF('A-2 On-Site Habitat Creation'!$F$11:$F$256,'G-2 Habitat groups'!A50,'A-2 On-Site Habitat Creation'!$G$11:$G$256)</f>
        <v>0</v>
      </c>
      <c r="L50" s="346">
        <f>SUMIF('A-2 On-Site Habitat Creation'!$F$11:$F$256,'G-2 Habitat groups'!A50,'A-2 On-Site Habitat Creation'!$Y$11:$Y$256)</f>
        <v>0</v>
      </c>
      <c r="M50" s="346">
        <f>SUMIF('A-3 On-Site Habitat Enhancement'!$S$12:$S$257,'G-2 Habitat groups'!A50,'A-3 On-Site Habitat Enhancement'!$V$12:$V$257)</f>
        <v>0</v>
      </c>
      <c r="N50" s="346">
        <f>SUMIF('A-3 On-Site Habitat Enhancement'!$S$12:$S$257,'G-2 Habitat groups'!A50,'A-3 On-Site Habitat Enhancement'!$AN$12:$AN$257)</f>
        <v>0</v>
      </c>
      <c r="O50" s="346">
        <f t="shared" si="43"/>
        <v>0</v>
      </c>
      <c r="P50" s="346">
        <f t="shared" si="44"/>
        <v>0</v>
      </c>
      <c r="Q50" s="346">
        <f t="shared" si="45"/>
        <v>0</v>
      </c>
      <c r="R50" s="346">
        <f t="shared" si="46"/>
        <v>0</v>
      </c>
      <c r="S50" s="346">
        <f>IF(C50="V.High",SUMIF('D-1 Off-Site Habitat Baseline'!$G$11:$G$258,'G-2 Habitat groups'!A50,'D-1 Off-Site Habitat Baseline'!$V$11:$V$258)+SUMIF('D-1 Off-Site Habitat Baseline'!$G$11:$G$258,'G-2 Habitat groups'!A50,'D-1 Off-Site Habitat Baseline'!$W$11:$W$258),SUMIF('D-1 Off-Site Habitat Baseline'!$G$11:$G$258,'G-2 Habitat groups'!A50,'D-1 Off-Site Habitat Baseline'!$H$11:$H$258))</f>
        <v>0</v>
      </c>
      <c r="T50" s="346">
        <f>SUMIF('D-1 Off-Site Habitat Baseline'!$G$11:$G$258,'G-2 Habitat groups'!A50,'D-1 Off-Site Habitat Baseline'!$T$11:$T$258)</f>
        <v>0</v>
      </c>
      <c r="U50" s="346">
        <f>SUMIF('D-1 Off-Site Habitat Baseline'!$G$11:$G$258,'G-2 Habitat groups'!A50,'D-1 Off-Site Habitat Baseline'!$V$11:$V$258)</f>
        <v>0</v>
      </c>
      <c r="V50" s="346">
        <f>SUMIF('D-1 Off-Site Habitat Baseline'!$G$11:$G$258,'G-2 Habitat groups'!A50,'D-1 Off-Site Habitat Baseline'!$X$11:$X$258)</f>
        <v>0</v>
      </c>
      <c r="W50" s="346">
        <f>SUMIF('D-2 Off-Site Habitat Creation'!$F$9:$F$255,'G-2 Habitat groups'!A50,'D-2 Off-Site Habitat Creation'!$G$9:$G$255)</f>
        <v>0</v>
      </c>
      <c r="X50" s="346">
        <f>SUMIF('D-2 Off-Site Habitat Creation'!$F$9:$F$255,'G-2 Habitat groups'!A50,'D-2 Off-Site Habitat Creation'!$AB$9:$AB$255)</f>
        <v>0</v>
      </c>
      <c r="Y50" s="346">
        <f>SUMIF('D-3 Off-Site Habitat Enhancment'!$S$12:$S$491,'G-2 Habitat groups'!A50,'D-3 Off-Site Habitat Enhancment'!$V$12:$V$491)</f>
        <v>0</v>
      </c>
      <c r="Z50" s="346">
        <f>SUMIF('D-3 Off-Site Habitat Enhancment'!$S$12:$S$491,'G-2 Habitat groups'!A50,'D-3 Off-Site Habitat Enhancment'!$AQ$12:$AQ$491)</f>
        <v>0</v>
      </c>
      <c r="AA50" s="346">
        <f t="shared" si="47"/>
        <v>0</v>
      </c>
      <c r="AB50" s="346">
        <f t="shared" si="48"/>
        <v>0</v>
      </c>
      <c r="AC50" s="346">
        <f t="shared" si="49"/>
        <v>0</v>
      </c>
      <c r="AD50" s="346">
        <f t="shared" si="50"/>
        <v>0</v>
      </c>
      <c r="AE50" s="346">
        <f t="shared" si="51"/>
        <v>0</v>
      </c>
      <c r="AF50" s="346">
        <f t="shared" si="52"/>
        <v>0</v>
      </c>
      <c r="AU50" s="86" t="s">
        <v>715</v>
      </c>
      <c r="AV50" s="68" t="s">
        <v>129</v>
      </c>
      <c r="AW50" s="358">
        <f t="shared" si="33"/>
        <v>0</v>
      </c>
      <c r="AX50" s="358">
        <f t="shared" si="34"/>
        <v>0</v>
      </c>
      <c r="AY50" s="358">
        <f t="shared" si="35"/>
        <v>0</v>
      </c>
      <c r="AZ50" s="358">
        <f t="shared" si="36"/>
        <v>0</v>
      </c>
      <c r="BA50" s="358">
        <f t="shared" si="37"/>
        <v>0</v>
      </c>
      <c r="BB50" s="358">
        <f t="shared" si="38"/>
        <v>0</v>
      </c>
      <c r="BC50" s="358">
        <f t="shared" si="39"/>
        <v>0</v>
      </c>
      <c r="BD50" s="358">
        <f t="shared" si="40"/>
        <v>0</v>
      </c>
      <c r="BE50" s="358">
        <f t="shared" si="41"/>
        <v>0</v>
      </c>
      <c r="BF50" s="358" t="str">
        <f t="shared" si="42"/>
        <v/>
      </c>
    </row>
    <row r="51" spans="1:58">
      <c r="A51" s="79" t="str">
        <f>'G-1 All Habitats'!B50</f>
        <v>Sparsely vegetated land - Calaminarian grasslands</v>
      </c>
      <c r="B51" s="68" t="str">
        <f>'G-1 All Habitats'!F50</f>
        <v>Sparsely vegetated land</v>
      </c>
      <c r="C51" s="68" t="str">
        <f>'G-1 All Habitats'!K50</f>
        <v>V.High</v>
      </c>
      <c r="D51" s="68" t="str">
        <f>'G-1 All Habitats'!M50</f>
        <v>Bespoke compensation likely to be required 🛠</v>
      </c>
      <c r="E51" s="346">
        <f>IF(C51="V.High",SUMIF('A-1 On-Site Habitat Baseline'!$G$11:$G$258,'G-2 Habitat groups'!A51,'A-1 On-Site Habitat Baseline'!$S$11:$S$258)+SUMIF('A-1 On-Site Habitat Baseline'!$G$11:$G$258,'G-2 Habitat groups'!A51,'A-1 On-Site Habitat Baseline'!$T$11:$T$258),SUMIF('A-1 On-Site Habitat Baseline'!$G$11:$G$258,'G-2 Habitat groups'!A51,'A-1 On-Site Habitat Baseline'!$H$11:$H$258))</f>
        <v>0</v>
      </c>
      <c r="F51" s="346">
        <f>SUMIF('A-1 On-Site Habitat Baseline'!$G$11:$G$258,'G-2 Habitat groups'!A51,'A-1 On-Site Habitat Baseline'!$Q$11:$Q$258)</f>
        <v>0</v>
      </c>
      <c r="G51" s="346">
        <f>SUMIF('A-1 On-Site Habitat Baseline'!$G$11:$G$258,'G-2 Habitat groups'!A51,'A-1 On-Site Habitat Baseline'!$S$11:$S$258)</f>
        <v>0</v>
      </c>
      <c r="H51" s="346">
        <f>SUMIF('A-1 On-Site Habitat Baseline'!$G$11:$G$258,'G-2 Habitat groups'!A51,'A-1 On-Site Habitat Baseline'!$U$11:$U$258)</f>
        <v>0</v>
      </c>
      <c r="I51" s="346">
        <f>SUMIF('A-1 On-Site Habitat Baseline'!$G$11:$G$258,'G-2 Habitat groups'!A51,'A-1 On-Site Habitat Baseline'!$W$11:$W$258)</f>
        <v>0</v>
      </c>
      <c r="J51" s="346">
        <f>SUMIF('A-1 On-Site Habitat Baseline'!$G$11:$G$258,'G-2 Habitat groups'!A51,'A-1 On-Site Habitat Baseline'!$X$11:$X$258)</f>
        <v>0</v>
      </c>
      <c r="K51" s="346">
        <f>SUMIF('A-2 On-Site Habitat Creation'!$F$11:$F$256,'G-2 Habitat groups'!A51,'A-2 On-Site Habitat Creation'!$G$11:$G$256)</f>
        <v>0</v>
      </c>
      <c r="L51" s="346">
        <f>SUMIF('A-2 On-Site Habitat Creation'!$F$11:$F$256,'G-2 Habitat groups'!A51,'A-2 On-Site Habitat Creation'!$Y$11:$Y$256)</f>
        <v>0</v>
      </c>
      <c r="M51" s="346">
        <f>SUMIF('A-3 On-Site Habitat Enhancement'!$S$12:$S$257,'G-2 Habitat groups'!A51,'A-3 On-Site Habitat Enhancement'!$V$12:$V$257)</f>
        <v>0</v>
      </c>
      <c r="N51" s="346">
        <f>SUMIF('A-3 On-Site Habitat Enhancement'!$S$12:$S$257,'G-2 Habitat groups'!A51,'A-3 On-Site Habitat Enhancement'!$AN$12:$AN$257)</f>
        <v>0</v>
      </c>
      <c r="O51" s="346">
        <f t="shared" si="43"/>
        <v>0</v>
      </c>
      <c r="P51" s="346">
        <f t="shared" si="44"/>
        <v>0</v>
      </c>
      <c r="Q51" s="346">
        <f t="shared" si="45"/>
        <v>0</v>
      </c>
      <c r="R51" s="346">
        <f t="shared" si="46"/>
        <v>0</v>
      </c>
      <c r="S51" s="346">
        <f>IF(C51="V.High",SUMIF('D-1 Off-Site Habitat Baseline'!$G$11:$G$258,'G-2 Habitat groups'!A51,'D-1 Off-Site Habitat Baseline'!$V$11:$V$258)+SUMIF('D-1 Off-Site Habitat Baseline'!$G$11:$G$258,'G-2 Habitat groups'!A51,'D-1 Off-Site Habitat Baseline'!$W$11:$W$258),SUMIF('D-1 Off-Site Habitat Baseline'!$G$11:$G$258,'G-2 Habitat groups'!A51,'D-1 Off-Site Habitat Baseline'!$H$11:$H$258))</f>
        <v>0</v>
      </c>
      <c r="T51" s="346">
        <f>SUMIF('D-1 Off-Site Habitat Baseline'!$G$11:$G$258,'G-2 Habitat groups'!A51,'D-1 Off-Site Habitat Baseline'!$T$11:$T$258)</f>
        <v>0</v>
      </c>
      <c r="U51" s="346">
        <f>SUMIF('D-1 Off-Site Habitat Baseline'!$G$11:$G$258,'G-2 Habitat groups'!A51,'D-1 Off-Site Habitat Baseline'!$V$11:$V$258)</f>
        <v>0</v>
      </c>
      <c r="V51" s="346">
        <f>SUMIF('D-1 Off-Site Habitat Baseline'!$G$11:$G$258,'G-2 Habitat groups'!A51,'D-1 Off-Site Habitat Baseline'!$X$11:$X$258)</f>
        <v>0</v>
      </c>
      <c r="W51" s="346">
        <f>SUMIF('D-2 Off-Site Habitat Creation'!$F$9:$F$255,'G-2 Habitat groups'!A51,'D-2 Off-Site Habitat Creation'!$G$9:$G$255)</f>
        <v>0</v>
      </c>
      <c r="X51" s="346">
        <f>SUMIF('D-2 Off-Site Habitat Creation'!$F$9:$F$255,'G-2 Habitat groups'!A51,'D-2 Off-Site Habitat Creation'!$AB$9:$AB$255)</f>
        <v>0</v>
      </c>
      <c r="Y51" s="346">
        <f>SUMIF('D-3 Off-Site Habitat Enhancment'!$S$12:$S$491,'G-2 Habitat groups'!A51,'D-3 Off-Site Habitat Enhancment'!$V$12:$V$491)</f>
        <v>0</v>
      </c>
      <c r="Z51" s="346">
        <f>SUMIF('D-3 Off-Site Habitat Enhancment'!$S$12:$S$491,'G-2 Habitat groups'!A51,'D-3 Off-Site Habitat Enhancment'!$AQ$12:$AQ$491)</f>
        <v>0</v>
      </c>
      <c r="AA51" s="346">
        <f t="shared" si="47"/>
        <v>0</v>
      </c>
      <c r="AB51" s="346">
        <f t="shared" si="48"/>
        <v>0</v>
      </c>
      <c r="AC51" s="346">
        <f t="shared" si="49"/>
        <v>0</v>
      </c>
      <c r="AD51" s="346">
        <f t="shared" si="50"/>
        <v>0</v>
      </c>
      <c r="AE51" s="346">
        <f t="shared" si="51"/>
        <v>0</v>
      </c>
      <c r="AF51" s="346">
        <f t="shared" si="52"/>
        <v>0</v>
      </c>
      <c r="AU51" s="86" t="s">
        <v>773</v>
      </c>
      <c r="AV51" s="68" t="s">
        <v>130</v>
      </c>
      <c r="AW51" s="358">
        <f t="shared" si="33"/>
        <v>0</v>
      </c>
      <c r="AX51" s="358">
        <f t="shared" si="34"/>
        <v>0</v>
      </c>
      <c r="AY51" s="358">
        <f t="shared" si="35"/>
        <v>0</v>
      </c>
      <c r="AZ51" s="358">
        <f t="shared" si="36"/>
        <v>0</v>
      </c>
      <c r="BA51" s="358">
        <f t="shared" si="37"/>
        <v>0</v>
      </c>
      <c r="BB51" s="358">
        <f t="shared" si="38"/>
        <v>0</v>
      </c>
      <c r="BC51" s="358">
        <f t="shared" si="39"/>
        <v>0</v>
      </c>
      <c r="BD51" s="358">
        <f t="shared" si="40"/>
        <v>0</v>
      </c>
      <c r="BE51" s="358">
        <f t="shared" si="41"/>
        <v>0</v>
      </c>
      <c r="BF51" s="358" t="str">
        <f t="shared" si="42"/>
        <v/>
      </c>
    </row>
    <row r="52" spans="1:58">
      <c r="A52" s="79" t="str">
        <f>'G-1 All Habitats'!B51</f>
        <v>Sparsely vegetated land - Coastal sand dunes</v>
      </c>
      <c r="B52" s="68" t="str">
        <f>'G-1 All Habitats'!F51</f>
        <v>Sparsely vegetated land</v>
      </c>
      <c r="C52" s="68" t="str">
        <f>'G-1 All Habitats'!K51</f>
        <v>High</v>
      </c>
      <c r="D52" s="68" t="str">
        <f>'G-1 All Habitats'!M51</f>
        <v>Same habitat required =</v>
      </c>
      <c r="E52" s="346">
        <f>IF(C52="V.High",SUMIF('A-1 On-Site Habitat Baseline'!$G$11:$G$258,'G-2 Habitat groups'!A52,'A-1 On-Site Habitat Baseline'!$S$11:$S$258)+SUMIF('A-1 On-Site Habitat Baseline'!$G$11:$G$258,'G-2 Habitat groups'!A52,'A-1 On-Site Habitat Baseline'!$T$11:$T$258),SUMIF('A-1 On-Site Habitat Baseline'!$G$11:$G$258,'G-2 Habitat groups'!A52,'A-1 On-Site Habitat Baseline'!$H$11:$H$258))</f>
        <v>0</v>
      </c>
      <c r="F52" s="346">
        <f>SUMIF('A-1 On-Site Habitat Baseline'!$G$11:$G$258,'G-2 Habitat groups'!A52,'A-1 On-Site Habitat Baseline'!$Q$11:$Q$258)</f>
        <v>0</v>
      </c>
      <c r="G52" s="346">
        <f>SUMIF('A-1 On-Site Habitat Baseline'!$G$11:$G$258,'G-2 Habitat groups'!A52,'A-1 On-Site Habitat Baseline'!$S$11:$S$258)</f>
        <v>0</v>
      </c>
      <c r="H52" s="346">
        <f>SUMIF('A-1 On-Site Habitat Baseline'!$G$11:$G$258,'G-2 Habitat groups'!A52,'A-1 On-Site Habitat Baseline'!$U$11:$U$258)</f>
        <v>0</v>
      </c>
      <c r="I52" s="346">
        <f>SUMIF('A-1 On-Site Habitat Baseline'!$G$11:$G$258,'G-2 Habitat groups'!A52,'A-1 On-Site Habitat Baseline'!$W$11:$W$258)</f>
        <v>0</v>
      </c>
      <c r="J52" s="346">
        <f>SUMIF('A-1 On-Site Habitat Baseline'!$G$11:$G$258,'G-2 Habitat groups'!A52,'A-1 On-Site Habitat Baseline'!$X$11:$X$258)</f>
        <v>0</v>
      </c>
      <c r="K52" s="346">
        <f>SUMIF('A-2 On-Site Habitat Creation'!$F$11:$F$256,'G-2 Habitat groups'!A52,'A-2 On-Site Habitat Creation'!$G$11:$G$256)</f>
        <v>0</v>
      </c>
      <c r="L52" s="346">
        <f>SUMIF('A-2 On-Site Habitat Creation'!$F$11:$F$256,'G-2 Habitat groups'!A52,'A-2 On-Site Habitat Creation'!$Y$11:$Y$256)</f>
        <v>0</v>
      </c>
      <c r="M52" s="346">
        <f>SUMIF('A-3 On-Site Habitat Enhancement'!$S$12:$S$257,'G-2 Habitat groups'!A52,'A-3 On-Site Habitat Enhancement'!$V$12:$V$257)</f>
        <v>0</v>
      </c>
      <c r="N52" s="346">
        <f>SUMIF('A-3 On-Site Habitat Enhancement'!$S$12:$S$257,'G-2 Habitat groups'!A52,'A-3 On-Site Habitat Enhancement'!$AN$12:$AN$257)</f>
        <v>0</v>
      </c>
      <c r="O52" s="346">
        <f t="shared" si="43"/>
        <v>0</v>
      </c>
      <c r="P52" s="346">
        <f t="shared" si="44"/>
        <v>0</v>
      </c>
      <c r="Q52" s="346">
        <f t="shared" si="45"/>
        <v>0</v>
      </c>
      <c r="R52" s="346">
        <f t="shared" si="46"/>
        <v>0</v>
      </c>
      <c r="S52" s="346">
        <f>IF(C52="V.High",SUMIF('D-1 Off-Site Habitat Baseline'!$G$11:$G$258,'G-2 Habitat groups'!A52,'D-1 Off-Site Habitat Baseline'!$V$11:$V$258)+SUMIF('D-1 Off-Site Habitat Baseline'!$G$11:$G$258,'G-2 Habitat groups'!A52,'D-1 Off-Site Habitat Baseline'!$W$11:$W$258),SUMIF('D-1 Off-Site Habitat Baseline'!$G$11:$G$258,'G-2 Habitat groups'!A52,'D-1 Off-Site Habitat Baseline'!$H$11:$H$258))</f>
        <v>0</v>
      </c>
      <c r="T52" s="346">
        <f>SUMIF('D-1 Off-Site Habitat Baseline'!$G$11:$G$258,'G-2 Habitat groups'!A52,'D-1 Off-Site Habitat Baseline'!$T$11:$T$258)</f>
        <v>0</v>
      </c>
      <c r="U52" s="346">
        <f>SUMIF('D-1 Off-Site Habitat Baseline'!$G$11:$G$258,'G-2 Habitat groups'!A52,'D-1 Off-Site Habitat Baseline'!$V$11:$V$258)</f>
        <v>0</v>
      </c>
      <c r="V52" s="346">
        <f>SUMIF('D-1 Off-Site Habitat Baseline'!$G$11:$G$258,'G-2 Habitat groups'!A52,'D-1 Off-Site Habitat Baseline'!$X$11:$X$258)</f>
        <v>0</v>
      </c>
      <c r="W52" s="346">
        <f>SUMIF('D-2 Off-Site Habitat Creation'!$F$9:$F$255,'G-2 Habitat groups'!A52,'D-2 Off-Site Habitat Creation'!$G$9:$G$255)</f>
        <v>0</v>
      </c>
      <c r="X52" s="346">
        <f>SUMIF('D-2 Off-Site Habitat Creation'!$F$9:$F$255,'G-2 Habitat groups'!A52,'D-2 Off-Site Habitat Creation'!$AB$9:$AB$255)</f>
        <v>0</v>
      </c>
      <c r="Y52" s="346">
        <f>SUMIF('D-3 Off-Site Habitat Enhancment'!$S$12:$S$491,'G-2 Habitat groups'!A52,'D-3 Off-Site Habitat Enhancment'!$V$12:$V$491)</f>
        <v>0</v>
      </c>
      <c r="Z52" s="346">
        <f>SUMIF('D-3 Off-Site Habitat Enhancment'!$S$12:$S$491,'G-2 Habitat groups'!A52,'D-3 Off-Site Habitat Enhancment'!$AQ$12:$AQ$491)</f>
        <v>0</v>
      </c>
      <c r="AA52" s="346">
        <f t="shared" si="47"/>
        <v>0</v>
      </c>
      <c r="AB52" s="346">
        <f t="shared" si="48"/>
        <v>0</v>
      </c>
      <c r="AC52" s="346">
        <f t="shared" si="49"/>
        <v>0</v>
      </c>
      <c r="AD52" s="346">
        <f t="shared" si="50"/>
        <v>0</v>
      </c>
      <c r="AE52" s="346">
        <f t="shared" si="51"/>
        <v>0</v>
      </c>
      <c r="AF52" s="346">
        <f t="shared" si="52"/>
        <v>0</v>
      </c>
      <c r="AU52" s="68" t="s">
        <v>779</v>
      </c>
      <c r="AV52" s="68" t="s">
        <v>131</v>
      </c>
      <c r="AW52" s="358">
        <f t="shared" si="33"/>
        <v>0</v>
      </c>
      <c r="AX52" s="358">
        <f t="shared" si="34"/>
        <v>0</v>
      </c>
      <c r="AY52" s="358">
        <f t="shared" si="35"/>
        <v>0</v>
      </c>
      <c r="AZ52" s="358">
        <f t="shared" si="36"/>
        <v>0</v>
      </c>
      <c r="BA52" s="358">
        <f t="shared" si="37"/>
        <v>0</v>
      </c>
      <c r="BB52" s="358">
        <f t="shared" si="38"/>
        <v>0</v>
      </c>
      <c r="BC52" s="358">
        <f t="shared" si="39"/>
        <v>0</v>
      </c>
      <c r="BD52" s="358">
        <f t="shared" si="40"/>
        <v>0</v>
      </c>
      <c r="BE52" s="358">
        <f t="shared" si="41"/>
        <v>0</v>
      </c>
      <c r="BF52" s="358" t="str">
        <f t="shared" si="42"/>
        <v/>
      </c>
    </row>
    <row r="53" spans="1:58">
      <c r="A53" s="79" t="str">
        <f>'G-1 All Habitats'!B52</f>
        <v>Sparsely vegetated land - Coastal vegetated shingle</v>
      </c>
      <c r="B53" s="68" t="str">
        <f>'G-1 All Habitats'!F52</f>
        <v>Sparsely vegetated land</v>
      </c>
      <c r="C53" s="68" t="str">
        <f>'G-1 All Habitats'!K52</f>
        <v>High</v>
      </c>
      <c r="D53" s="68" t="str">
        <f>'G-1 All Habitats'!M52</f>
        <v>Same habitat required =</v>
      </c>
      <c r="E53" s="346">
        <f>IF(C53="V.High",SUMIF('A-1 On-Site Habitat Baseline'!$G$11:$G$258,'G-2 Habitat groups'!A53,'A-1 On-Site Habitat Baseline'!$S$11:$S$258)+SUMIF('A-1 On-Site Habitat Baseline'!$G$11:$G$258,'G-2 Habitat groups'!A53,'A-1 On-Site Habitat Baseline'!$T$11:$T$258),SUMIF('A-1 On-Site Habitat Baseline'!$G$11:$G$258,'G-2 Habitat groups'!A53,'A-1 On-Site Habitat Baseline'!$H$11:$H$258))</f>
        <v>0</v>
      </c>
      <c r="F53" s="346">
        <f>SUMIF('A-1 On-Site Habitat Baseline'!$G$11:$G$258,'G-2 Habitat groups'!A53,'A-1 On-Site Habitat Baseline'!$Q$11:$Q$258)</f>
        <v>0</v>
      </c>
      <c r="G53" s="346">
        <f>SUMIF('A-1 On-Site Habitat Baseline'!$G$11:$G$258,'G-2 Habitat groups'!A53,'A-1 On-Site Habitat Baseline'!$S$11:$S$258)</f>
        <v>0</v>
      </c>
      <c r="H53" s="346">
        <f>SUMIF('A-1 On-Site Habitat Baseline'!$G$11:$G$258,'G-2 Habitat groups'!A53,'A-1 On-Site Habitat Baseline'!$U$11:$U$258)</f>
        <v>0</v>
      </c>
      <c r="I53" s="346">
        <f>SUMIF('A-1 On-Site Habitat Baseline'!$G$11:$G$258,'G-2 Habitat groups'!A53,'A-1 On-Site Habitat Baseline'!$W$11:$W$258)</f>
        <v>0</v>
      </c>
      <c r="J53" s="346">
        <f>SUMIF('A-1 On-Site Habitat Baseline'!$G$11:$G$258,'G-2 Habitat groups'!A53,'A-1 On-Site Habitat Baseline'!$X$11:$X$258)</f>
        <v>0</v>
      </c>
      <c r="K53" s="346">
        <f>SUMIF('A-2 On-Site Habitat Creation'!$F$11:$F$256,'G-2 Habitat groups'!A53,'A-2 On-Site Habitat Creation'!$G$11:$G$256)</f>
        <v>0</v>
      </c>
      <c r="L53" s="346">
        <f>SUMIF('A-2 On-Site Habitat Creation'!$F$11:$F$256,'G-2 Habitat groups'!A53,'A-2 On-Site Habitat Creation'!$Y$11:$Y$256)</f>
        <v>0</v>
      </c>
      <c r="M53" s="346">
        <f>SUMIF('A-3 On-Site Habitat Enhancement'!$S$12:$S$257,'G-2 Habitat groups'!A53,'A-3 On-Site Habitat Enhancement'!$V$12:$V$257)</f>
        <v>0</v>
      </c>
      <c r="N53" s="346">
        <f>SUMIF('A-3 On-Site Habitat Enhancement'!$S$12:$S$257,'G-2 Habitat groups'!A53,'A-3 On-Site Habitat Enhancement'!$AN$12:$AN$257)</f>
        <v>0</v>
      </c>
      <c r="O53" s="346">
        <f t="shared" si="43"/>
        <v>0</v>
      </c>
      <c r="P53" s="346">
        <f t="shared" si="44"/>
        <v>0</v>
      </c>
      <c r="Q53" s="346">
        <f t="shared" si="45"/>
        <v>0</v>
      </c>
      <c r="R53" s="346">
        <f t="shared" si="46"/>
        <v>0</v>
      </c>
      <c r="S53" s="346">
        <f>IF(C53="V.High",SUMIF('D-1 Off-Site Habitat Baseline'!$G$11:$G$258,'G-2 Habitat groups'!A53,'D-1 Off-Site Habitat Baseline'!$V$11:$V$258)+SUMIF('D-1 Off-Site Habitat Baseline'!$G$11:$G$258,'G-2 Habitat groups'!A53,'D-1 Off-Site Habitat Baseline'!$W$11:$W$258),SUMIF('D-1 Off-Site Habitat Baseline'!$G$11:$G$258,'G-2 Habitat groups'!A53,'D-1 Off-Site Habitat Baseline'!$H$11:$H$258))</f>
        <v>0</v>
      </c>
      <c r="T53" s="346">
        <f>SUMIF('D-1 Off-Site Habitat Baseline'!$G$11:$G$258,'G-2 Habitat groups'!A53,'D-1 Off-Site Habitat Baseline'!$T$11:$T$258)</f>
        <v>0</v>
      </c>
      <c r="U53" s="346">
        <f>SUMIF('D-1 Off-Site Habitat Baseline'!$G$11:$G$258,'G-2 Habitat groups'!A53,'D-1 Off-Site Habitat Baseline'!$V$11:$V$258)</f>
        <v>0</v>
      </c>
      <c r="V53" s="346">
        <f>SUMIF('D-1 Off-Site Habitat Baseline'!$G$11:$G$258,'G-2 Habitat groups'!A53,'D-1 Off-Site Habitat Baseline'!$X$11:$X$258)</f>
        <v>0</v>
      </c>
      <c r="W53" s="346">
        <f>SUMIF('D-2 Off-Site Habitat Creation'!$F$9:$F$255,'G-2 Habitat groups'!A53,'D-2 Off-Site Habitat Creation'!$G$9:$G$255)</f>
        <v>0</v>
      </c>
      <c r="X53" s="346">
        <f>SUMIF('D-2 Off-Site Habitat Creation'!$F$9:$F$255,'G-2 Habitat groups'!A53,'D-2 Off-Site Habitat Creation'!$AB$9:$AB$255)</f>
        <v>0</v>
      </c>
      <c r="Y53" s="346">
        <f>SUMIF('D-3 Off-Site Habitat Enhancment'!$S$12:$S$491,'G-2 Habitat groups'!A53,'D-3 Off-Site Habitat Enhancment'!$V$12:$V$491)</f>
        <v>0</v>
      </c>
      <c r="Z53" s="346">
        <f>SUMIF('D-3 Off-Site Habitat Enhancment'!$S$12:$S$491,'G-2 Habitat groups'!A53,'D-3 Off-Site Habitat Enhancment'!$AQ$12:$AQ$491)</f>
        <v>0</v>
      </c>
      <c r="AA53" s="346">
        <f t="shared" si="47"/>
        <v>0</v>
      </c>
      <c r="AB53" s="346">
        <f t="shared" si="48"/>
        <v>0</v>
      </c>
      <c r="AC53" s="346">
        <f t="shared" si="49"/>
        <v>0</v>
      </c>
      <c r="AD53" s="346">
        <f t="shared" si="50"/>
        <v>0</v>
      </c>
      <c r="AE53" s="346">
        <f t="shared" si="51"/>
        <v>0</v>
      </c>
      <c r="AF53" s="346">
        <f t="shared" si="52"/>
        <v>0</v>
      </c>
      <c r="AU53" s="86" t="s">
        <v>782</v>
      </c>
      <c r="AV53" s="68" t="s">
        <v>131</v>
      </c>
      <c r="AW53" s="358">
        <f t="shared" si="33"/>
        <v>0</v>
      </c>
      <c r="AX53" s="358">
        <f t="shared" si="34"/>
        <v>0</v>
      </c>
      <c r="AY53" s="358">
        <f t="shared" si="35"/>
        <v>0</v>
      </c>
      <c r="AZ53" s="358">
        <f t="shared" si="36"/>
        <v>0</v>
      </c>
      <c r="BA53" s="358">
        <f t="shared" si="37"/>
        <v>0</v>
      </c>
      <c r="BB53" s="358">
        <f t="shared" si="38"/>
        <v>0</v>
      </c>
      <c r="BC53" s="358">
        <f t="shared" si="39"/>
        <v>0</v>
      </c>
      <c r="BD53" s="358">
        <f t="shared" si="40"/>
        <v>0</v>
      </c>
      <c r="BE53" s="358">
        <f t="shared" si="41"/>
        <v>0</v>
      </c>
      <c r="BF53" s="358" t="str">
        <f t="shared" si="42"/>
        <v/>
      </c>
    </row>
    <row r="54" spans="1:58">
      <c r="A54" s="79" t="str">
        <f>'G-1 All Habitats'!B53</f>
        <v>Sparsely vegetated land - Ruderal/Ephemeral</v>
      </c>
      <c r="B54" s="68" t="str">
        <f>'G-1 All Habitats'!F53</f>
        <v>Sparsely vegetated land</v>
      </c>
      <c r="C54" s="68" t="str">
        <f>'G-1 All Habitats'!K53</f>
        <v>Low</v>
      </c>
      <c r="D54" s="68" t="str">
        <f>'G-1 All Habitats'!M53</f>
        <v>Same distinctiveness or better habitat required ≥</v>
      </c>
      <c r="E54" s="346">
        <f>IF(C54="V.High",SUMIF('A-1 On-Site Habitat Baseline'!$G$11:$G$258,'G-2 Habitat groups'!A54,'A-1 On-Site Habitat Baseline'!$S$11:$S$258)+SUMIF('A-1 On-Site Habitat Baseline'!$G$11:$G$258,'G-2 Habitat groups'!A54,'A-1 On-Site Habitat Baseline'!$T$11:$T$258),SUMIF('A-1 On-Site Habitat Baseline'!$G$11:$G$258,'G-2 Habitat groups'!A54,'A-1 On-Site Habitat Baseline'!$H$11:$H$258))</f>
        <v>0</v>
      </c>
      <c r="F54" s="346">
        <f>SUMIF('A-1 On-Site Habitat Baseline'!$G$11:$G$258,'G-2 Habitat groups'!A54,'A-1 On-Site Habitat Baseline'!$Q$11:$Q$258)</f>
        <v>0</v>
      </c>
      <c r="G54" s="346">
        <f>SUMIF('A-1 On-Site Habitat Baseline'!$G$11:$G$258,'G-2 Habitat groups'!A54,'A-1 On-Site Habitat Baseline'!$S$11:$S$258)</f>
        <v>0</v>
      </c>
      <c r="H54" s="346">
        <f>SUMIF('A-1 On-Site Habitat Baseline'!$G$11:$G$258,'G-2 Habitat groups'!A54,'A-1 On-Site Habitat Baseline'!$U$11:$U$258)</f>
        <v>0</v>
      </c>
      <c r="I54" s="346">
        <f>SUMIF('A-1 On-Site Habitat Baseline'!$G$11:$G$258,'G-2 Habitat groups'!A54,'A-1 On-Site Habitat Baseline'!$W$11:$W$258)</f>
        <v>0</v>
      </c>
      <c r="J54" s="346">
        <f>SUMIF('A-1 On-Site Habitat Baseline'!$G$11:$G$258,'G-2 Habitat groups'!A54,'A-1 On-Site Habitat Baseline'!$X$11:$X$258)</f>
        <v>0</v>
      </c>
      <c r="K54" s="346">
        <f>SUMIF('A-2 On-Site Habitat Creation'!$F$11:$F$256,'G-2 Habitat groups'!A54,'A-2 On-Site Habitat Creation'!$G$11:$G$256)</f>
        <v>0</v>
      </c>
      <c r="L54" s="346">
        <f>SUMIF('A-2 On-Site Habitat Creation'!$F$11:$F$256,'G-2 Habitat groups'!A54,'A-2 On-Site Habitat Creation'!$Y$11:$Y$256)</f>
        <v>0</v>
      </c>
      <c r="M54" s="346">
        <f>SUMIF('A-3 On-Site Habitat Enhancement'!$S$12:$S$257,'G-2 Habitat groups'!A54,'A-3 On-Site Habitat Enhancement'!$V$12:$V$257)</f>
        <v>0</v>
      </c>
      <c r="N54" s="346">
        <f>SUMIF('A-3 On-Site Habitat Enhancement'!$S$12:$S$257,'G-2 Habitat groups'!A54,'A-3 On-Site Habitat Enhancement'!$AN$12:$AN$257)</f>
        <v>0</v>
      </c>
      <c r="O54" s="346">
        <f t="shared" si="43"/>
        <v>0</v>
      </c>
      <c r="P54" s="346">
        <f t="shared" si="44"/>
        <v>0</v>
      </c>
      <c r="Q54" s="346">
        <f t="shared" si="45"/>
        <v>0</v>
      </c>
      <c r="R54" s="346">
        <f t="shared" si="46"/>
        <v>0</v>
      </c>
      <c r="S54" s="346">
        <f>IF(C54="V.High",SUMIF('D-1 Off-Site Habitat Baseline'!$G$11:$G$258,'G-2 Habitat groups'!A54,'D-1 Off-Site Habitat Baseline'!$V$11:$V$258)+SUMIF('D-1 Off-Site Habitat Baseline'!$G$11:$G$258,'G-2 Habitat groups'!A54,'D-1 Off-Site Habitat Baseline'!$W$11:$W$258),SUMIF('D-1 Off-Site Habitat Baseline'!$G$11:$G$258,'G-2 Habitat groups'!A54,'D-1 Off-Site Habitat Baseline'!$H$11:$H$258))</f>
        <v>0</v>
      </c>
      <c r="T54" s="346">
        <f>SUMIF('D-1 Off-Site Habitat Baseline'!$G$11:$G$258,'G-2 Habitat groups'!A54,'D-1 Off-Site Habitat Baseline'!$T$11:$T$258)</f>
        <v>0</v>
      </c>
      <c r="U54" s="346">
        <f>SUMIF('D-1 Off-Site Habitat Baseline'!$G$11:$G$258,'G-2 Habitat groups'!A54,'D-1 Off-Site Habitat Baseline'!$V$11:$V$258)</f>
        <v>0</v>
      </c>
      <c r="V54" s="346">
        <f>SUMIF('D-1 Off-Site Habitat Baseline'!$G$11:$G$258,'G-2 Habitat groups'!A54,'D-1 Off-Site Habitat Baseline'!$X$11:$X$258)</f>
        <v>0</v>
      </c>
      <c r="W54" s="346">
        <f>SUMIF('D-2 Off-Site Habitat Creation'!$F$9:$F$255,'G-2 Habitat groups'!A54,'D-2 Off-Site Habitat Creation'!$G$9:$G$255)</f>
        <v>0</v>
      </c>
      <c r="X54" s="346">
        <f>SUMIF('D-2 Off-Site Habitat Creation'!$F$9:$F$255,'G-2 Habitat groups'!A54,'D-2 Off-Site Habitat Creation'!$AB$9:$AB$255)</f>
        <v>0</v>
      </c>
      <c r="Y54" s="346">
        <f>SUMIF('D-3 Off-Site Habitat Enhancment'!$S$12:$S$491,'G-2 Habitat groups'!A54,'D-3 Off-Site Habitat Enhancment'!$V$12:$V$491)</f>
        <v>0</v>
      </c>
      <c r="Z54" s="346">
        <f>SUMIF('D-3 Off-Site Habitat Enhancment'!$S$12:$S$491,'G-2 Habitat groups'!A54,'D-3 Off-Site Habitat Enhancment'!$AQ$12:$AQ$491)</f>
        <v>0</v>
      </c>
      <c r="AA54" s="346">
        <f t="shared" si="47"/>
        <v>0</v>
      </c>
      <c r="AB54" s="346">
        <f t="shared" si="48"/>
        <v>0</v>
      </c>
      <c r="AC54" s="346">
        <f t="shared" si="49"/>
        <v>0</v>
      </c>
      <c r="AD54" s="346">
        <f t="shared" si="50"/>
        <v>0</v>
      </c>
      <c r="AE54" s="346">
        <f t="shared" si="51"/>
        <v>0</v>
      </c>
      <c r="AF54" s="346">
        <f t="shared" si="52"/>
        <v>0</v>
      </c>
      <c r="AU54" s="86" t="s">
        <v>786</v>
      </c>
      <c r="AV54" s="68" t="s">
        <v>131</v>
      </c>
      <c r="AW54" s="358">
        <f t="shared" si="33"/>
        <v>0</v>
      </c>
      <c r="AX54" s="358">
        <f t="shared" si="34"/>
        <v>0</v>
      </c>
      <c r="AY54" s="358">
        <f t="shared" si="35"/>
        <v>0</v>
      </c>
      <c r="AZ54" s="358">
        <f t="shared" si="36"/>
        <v>0</v>
      </c>
      <c r="BA54" s="358">
        <f t="shared" si="37"/>
        <v>0</v>
      </c>
      <c r="BB54" s="358">
        <f t="shared" si="38"/>
        <v>0</v>
      </c>
      <c r="BC54" s="358">
        <f t="shared" si="39"/>
        <v>0</v>
      </c>
      <c r="BD54" s="358">
        <f t="shared" si="40"/>
        <v>0</v>
      </c>
      <c r="BE54" s="358">
        <f t="shared" si="41"/>
        <v>0</v>
      </c>
      <c r="BF54" s="358" t="str">
        <f t="shared" si="42"/>
        <v/>
      </c>
    </row>
    <row r="55" spans="1:58">
      <c r="A55" s="79" t="s">
        <v>664</v>
      </c>
      <c r="B55" s="68" t="str">
        <f>'G-1 All Habitats'!F54</f>
        <v>Sparsely vegetated land</v>
      </c>
      <c r="C55" s="68" t="s">
        <v>216</v>
      </c>
      <c r="D55" s="68" t="s">
        <v>217</v>
      </c>
      <c r="E55" s="346">
        <f>IF(C55="V.High",SUMIF('A-1 On-Site Habitat Baseline'!$G$11:$G$258,'G-2 Habitat groups'!A55,'A-1 On-Site Habitat Baseline'!$S$11:$S$258)+SUMIF('A-1 On-Site Habitat Baseline'!$G$11:$G$258,'G-2 Habitat groups'!A55,'A-1 On-Site Habitat Baseline'!$T$11:$T$258),SUMIF('A-1 On-Site Habitat Baseline'!$G$11:$G$258,'G-2 Habitat groups'!A55,'A-1 On-Site Habitat Baseline'!$H$11:$H$258))</f>
        <v>0</v>
      </c>
      <c r="F55" s="346">
        <f>SUMIF('A-1 On-Site Habitat Baseline'!$G$11:$G$258,'G-2 Habitat groups'!A55,'A-1 On-Site Habitat Baseline'!$Q$11:$Q$258)</f>
        <v>0</v>
      </c>
      <c r="G55" s="346">
        <f>SUMIF('A-1 On-Site Habitat Baseline'!$G$11:$G$258,'G-2 Habitat groups'!A55,'A-1 On-Site Habitat Baseline'!$S$11:$S$258)</f>
        <v>0</v>
      </c>
      <c r="H55" s="346">
        <f>SUMIF('A-1 On-Site Habitat Baseline'!$G$11:$G$258,'G-2 Habitat groups'!A55,'A-1 On-Site Habitat Baseline'!$U$11:$U$258)</f>
        <v>0</v>
      </c>
      <c r="I55" s="346">
        <f>SUMIF('A-1 On-Site Habitat Baseline'!$G$11:$G$258,'G-2 Habitat groups'!A55,'A-1 On-Site Habitat Baseline'!$W$11:$W$258)</f>
        <v>0</v>
      </c>
      <c r="J55" s="346">
        <f>SUMIF('A-1 On-Site Habitat Baseline'!$G$11:$G$258,'G-2 Habitat groups'!A55,'A-1 On-Site Habitat Baseline'!$X$11:$X$258)</f>
        <v>0</v>
      </c>
      <c r="K55" s="346">
        <f>SUMIF('A-2 On-Site Habitat Creation'!$F$11:$F$256,'G-2 Habitat groups'!A55,'A-2 On-Site Habitat Creation'!$G$11:$G$256)</f>
        <v>0</v>
      </c>
      <c r="L55" s="346">
        <f>SUMIF('A-2 On-Site Habitat Creation'!$F$11:$F$256,'G-2 Habitat groups'!A55,'A-2 On-Site Habitat Creation'!$Y$11:$Y$256)</f>
        <v>0</v>
      </c>
      <c r="M55" s="346">
        <f>SUMIF('A-3 On-Site Habitat Enhancement'!$S$12:$S$257,'G-2 Habitat groups'!A55,'A-3 On-Site Habitat Enhancement'!$V$12:$V$257)</f>
        <v>0</v>
      </c>
      <c r="N55" s="346">
        <f>SUMIF('A-3 On-Site Habitat Enhancement'!$S$12:$S$257,'G-2 Habitat groups'!A55,'A-3 On-Site Habitat Enhancement'!$AN$12:$AN$257)</f>
        <v>0</v>
      </c>
      <c r="O55" s="346">
        <f t="shared" si="43"/>
        <v>0</v>
      </c>
      <c r="P55" s="346">
        <f t="shared" si="44"/>
        <v>0</v>
      </c>
      <c r="Q55" s="346">
        <f t="shared" si="45"/>
        <v>0</v>
      </c>
      <c r="R55" s="346">
        <f t="shared" si="46"/>
        <v>0</v>
      </c>
      <c r="S55" s="346">
        <f>IF(C55="V.High",SUMIF('D-1 Off-Site Habitat Baseline'!$G$11:$G$258,'G-2 Habitat groups'!A55,'D-1 Off-Site Habitat Baseline'!$V$11:$V$258)+SUMIF('D-1 Off-Site Habitat Baseline'!$G$11:$G$258,'G-2 Habitat groups'!A55,'D-1 Off-Site Habitat Baseline'!$W$11:$W$258),SUMIF('D-1 Off-Site Habitat Baseline'!$G$11:$G$258,'G-2 Habitat groups'!A55,'D-1 Off-Site Habitat Baseline'!$H$11:$H$258))</f>
        <v>0</v>
      </c>
      <c r="T55" s="346">
        <f>SUMIF('D-1 Off-Site Habitat Baseline'!$G$11:$G$258,'G-2 Habitat groups'!A55,'D-1 Off-Site Habitat Baseline'!$T$11:$T$258)</f>
        <v>0</v>
      </c>
      <c r="U55" s="346">
        <f>SUMIF('D-1 Off-Site Habitat Baseline'!$G$11:$G$258,'G-2 Habitat groups'!A55,'D-1 Off-Site Habitat Baseline'!$V$11:$V$258)</f>
        <v>0</v>
      </c>
      <c r="V55" s="346">
        <f>SUMIF('D-1 Off-Site Habitat Baseline'!$G$11:$G$258,'G-2 Habitat groups'!A55,'D-1 Off-Site Habitat Baseline'!$X$11:$X$258)</f>
        <v>0</v>
      </c>
      <c r="W55" s="346">
        <f>SUMIF('D-2 Off-Site Habitat Creation'!$F$9:$F$255,'G-2 Habitat groups'!A55,'D-2 Off-Site Habitat Creation'!$G$9:$G$255)</f>
        <v>0</v>
      </c>
      <c r="X55" s="346">
        <f>SUMIF('D-2 Off-Site Habitat Creation'!$F$9:$F$255,'G-2 Habitat groups'!A55,'D-2 Off-Site Habitat Creation'!$AB$9:$AB$255)</f>
        <v>0</v>
      </c>
      <c r="Y55" s="346">
        <f>SUMIF('D-3 Off-Site Habitat Enhancment'!$S$12:$S$491,'G-2 Habitat groups'!A55,'D-3 Off-Site Habitat Enhancment'!$V$12:$V$491)</f>
        <v>0</v>
      </c>
      <c r="Z55" s="346">
        <f>SUMIF('D-3 Off-Site Habitat Enhancment'!$S$12:$S$491,'G-2 Habitat groups'!A55,'D-3 Off-Site Habitat Enhancment'!$AQ$12:$AQ$491)</f>
        <v>0</v>
      </c>
      <c r="AA55" s="346">
        <f t="shared" si="47"/>
        <v>0</v>
      </c>
      <c r="AB55" s="346">
        <f t="shared" si="48"/>
        <v>0</v>
      </c>
      <c r="AC55" s="346">
        <f t="shared" si="49"/>
        <v>0</v>
      </c>
      <c r="AD55" s="346">
        <f t="shared" si="50"/>
        <v>0</v>
      </c>
      <c r="AE55" s="346">
        <f t="shared" si="51"/>
        <v>0</v>
      </c>
      <c r="AF55" s="346">
        <f t="shared" si="52"/>
        <v>0</v>
      </c>
      <c r="AU55" s="86"/>
      <c r="AV55" s="68"/>
      <c r="AW55" s="358"/>
      <c r="AX55" s="358"/>
      <c r="AY55" s="358"/>
      <c r="AZ55" s="358"/>
      <c r="BA55" s="358"/>
      <c r="BB55" s="358"/>
      <c r="BC55" s="358"/>
      <c r="BD55" s="358"/>
      <c r="BE55" s="358"/>
      <c r="BF55" s="358"/>
    </row>
    <row r="56" spans="1:58">
      <c r="A56" s="79" t="str">
        <f>'G-1 All Habitats'!B55</f>
        <v>Sparsely vegetated land - Inland rock outcrop and scree habitats</v>
      </c>
      <c r="B56" s="68" t="str">
        <f>'G-1 All Habitats'!F55</f>
        <v>Sparsely vegetated land</v>
      </c>
      <c r="C56" s="68" t="str">
        <f>'G-1 All Habitats'!K55</f>
        <v>High</v>
      </c>
      <c r="D56" s="68" t="str">
        <f>'G-1 All Habitats'!M55</f>
        <v>Same habitat required =</v>
      </c>
      <c r="E56" s="346">
        <f>IF(C56="V.High",SUMIF('A-1 On-Site Habitat Baseline'!$G$11:$G$258,'G-2 Habitat groups'!A56,'A-1 On-Site Habitat Baseline'!$S$11:$S$258)+SUMIF('A-1 On-Site Habitat Baseline'!$G$11:$G$258,'G-2 Habitat groups'!A56,'A-1 On-Site Habitat Baseline'!$T$11:$T$258),SUMIF('A-1 On-Site Habitat Baseline'!$G$11:$G$258,'G-2 Habitat groups'!A56,'A-1 On-Site Habitat Baseline'!$H$11:$H$258))</f>
        <v>0</v>
      </c>
      <c r="F56" s="346">
        <f>SUMIF('A-1 On-Site Habitat Baseline'!$G$11:$G$258,'G-2 Habitat groups'!A56,'A-1 On-Site Habitat Baseline'!$Q$11:$Q$258)</f>
        <v>0</v>
      </c>
      <c r="G56" s="346">
        <f>SUMIF('A-1 On-Site Habitat Baseline'!$G$11:$G$258,'G-2 Habitat groups'!A56,'A-1 On-Site Habitat Baseline'!$S$11:$S$258)</f>
        <v>0</v>
      </c>
      <c r="H56" s="346">
        <f>SUMIF('A-1 On-Site Habitat Baseline'!$G$11:$G$258,'G-2 Habitat groups'!A56,'A-1 On-Site Habitat Baseline'!$U$11:$U$258)</f>
        <v>0</v>
      </c>
      <c r="I56" s="346">
        <f>SUMIF('A-1 On-Site Habitat Baseline'!$G$11:$G$258,'G-2 Habitat groups'!A56,'A-1 On-Site Habitat Baseline'!$W$11:$W$258)</f>
        <v>0</v>
      </c>
      <c r="J56" s="346">
        <f>SUMIF('A-1 On-Site Habitat Baseline'!$G$11:$G$258,'G-2 Habitat groups'!A56,'A-1 On-Site Habitat Baseline'!$X$11:$X$258)</f>
        <v>0</v>
      </c>
      <c r="K56" s="346">
        <f>SUMIF('A-2 On-Site Habitat Creation'!$F$11:$F$256,'G-2 Habitat groups'!A56,'A-2 On-Site Habitat Creation'!$G$11:$G$256)</f>
        <v>0</v>
      </c>
      <c r="L56" s="346">
        <f>SUMIF('A-2 On-Site Habitat Creation'!$F$11:$F$256,'G-2 Habitat groups'!A56,'A-2 On-Site Habitat Creation'!$Y$11:$Y$256)</f>
        <v>0</v>
      </c>
      <c r="M56" s="346">
        <f>SUMIF('A-3 On-Site Habitat Enhancement'!$S$12:$S$257,'G-2 Habitat groups'!A56,'A-3 On-Site Habitat Enhancement'!$V$12:$V$257)</f>
        <v>0</v>
      </c>
      <c r="N56" s="346">
        <f>SUMIF('A-3 On-Site Habitat Enhancement'!$S$12:$S$257,'G-2 Habitat groups'!A56,'A-3 On-Site Habitat Enhancement'!$AN$12:$AN$257)</f>
        <v>0</v>
      </c>
      <c r="O56" s="346">
        <f t="shared" si="43"/>
        <v>0</v>
      </c>
      <c r="P56" s="346">
        <f t="shared" si="44"/>
        <v>0</v>
      </c>
      <c r="Q56" s="346">
        <f t="shared" si="45"/>
        <v>0</v>
      </c>
      <c r="R56" s="346">
        <f t="shared" si="46"/>
        <v>0</v>
      </c>
      <c r="S56" s="346">
        <f>IF(C56="V.High",SUMIF('D-1 Off-Site Habitat Baseline'!$G$11:$G$258,'G-2 Habitat groups'!A56,'D-1 Off-Site Habitat Baseline'!$V$11:$V$258)+SUMIF('D-1 Off-Site Habitat Baseline'!$G$11:$G$258,'G-2 Habitat groups'!A56,'D-1 Off-Site Habitat Baseline'!$W$11:$W$258),SUMIF('D-1 Off-Site Habitat Baseline'!$G$11:$G$258,'G-2 Habitat groups'!A56,'D-1 Off-Site Habitat Baseline'!$H$11:$H$258))</f>
        <v>0</v>
      </c>
      <c r="T56" s="346">
        <f>SUMIF('D-1 Off-Site Habitat Baseline'!$G$11:$G$258,'G-2 Habitat groups'!A56,'D-1 Off-Site Habitat Baseline'!$T$11:$T$258)</f>
        <v>0</v>
      </c>
      <c r="U56" s="346">
        <f>SUMIF('D-1 Off-Site Habitat Baseline'!$G$11:$G$258,'G-2 Habitat groups'!A56,'D-1 Off-Site Habitat Baseline'!$V$11:$V$258)</f>
        <v>0</v>
      </c>
      <c r="V56" s="346">
        <f>SUMIF('D-1 Off-Site Habitat Baseline'!$G$11:$G$258,'G-2 Habitat groups'!A56,'D-1 Off-Site Habitat Baseline'!$X$11:$X$258)</f>
        <v>0</v>
      </c>
      <c r="W56" s="346">
        <f>SUMIF('D-2 Off-Site Habitat Creation'!$F$9:$F$255,'G-2 Habitat groups'!A56,'D-2 Off-Site Habitat Creation'!$G$9:$G$255)</f>
        <v>0</v>
      </c>
      <c r="X56" s="346">
        <f>SUMIF('D-2 Off-Site Habitat Creation'!$F$9:$F$255,'G-2 Habitat groups'!A56,'D-2 Off-Site Habitat Creation'!$AB$9:$AB$255)</f>
        <v>0</v>
      </c>
      <c r="Y56" s="346">
        <f>SUMIF('D-3 Off-Site Habitat Enhancment'!$S$12:$S$491,'G-2 Habitat groups'!A56,'D-3 Off-Site Habitat Enhancment'!$V$12:$V$491)</f>
        <v>0</v>
      </c>
      <c r="Z56" s="346">
        <f>SUMIF('D-3 Off-Site Habitat Enhancment'!$S$12:$S$491,'G-2 Habitat groups'!A56,'D-3 Off-Site Habitat Enhancment'!$AQ$12:$AQ$491)</f>
        <v>0</v>
      </c>
      <c r="AA56" s="346">
        <f t="shared" si="47"/>
        <v>0</v>
      </c>
      <c r="AB56" s="346">
        <f t="shared" si="48"/>
        <v>0</v>
      </c>
      <c r="AC56" s="346">
        <f t="shared" si="49"/>
        <v>0</v>
      </c>
      <c r="AD56" s="346">
        <f t="shared" si="50"/>
        <v>0</v>
      </c>
      <c r="AE56" s="346">
        <f t="shared" si="51"/>
        <v>0</v>
      </c>
      <c r="AF56" s="346">
        <f t="shared" si="52"/>
        <v>0</v>
      </c>
      <c r="AU56" s="86" t="s">
        <v>789</v>
      </c>
      <c r="AV56" s="68" t="s">
        <v>131</v>
      </c>
      <c r="AW56" s="358">
        <f t="shared" si="33"/>
        <v>0</v>
      </c>
      <c r="AX56" s="358">
        <f t="shared" si="34"/>
        <v>0</v>
      </c>
      <c r="AY56" s="358">
        <f t="shared" si="35"/>
        <v>0</v>
      </c>
      <c r="AZ56" s="358">
        <f t="shared" si="36"/>
        <v>0</v>
      </c>
      <c r="BA56" s="358">
        <f t="shared" si="37"/>
        <v>0</v>
      </c>
      <c r="BB56" s="358">
        <f t="shared" si="38"/>
        <v>0</v>
      </c>
      <c r="BC56" s="358">
        <f t="shared" si="39"/>
        <v>0</v>
      </c>
      <c r="BD56" s="358">
        <f t="shared" si="40"/>
        <v>0</v>
      </c>
      <c r="BE56" s="358">
        <f t="shared" si="41"/>
        <v>0</v>
      </c>
      <c r="BF56" s="358" t="str">
        <f t="shared" si="42"/>
        <v/>
      </c>
    </row>
    <row r="57" spans="1:58">
      <c r="A57" s="79" t="str">
        <f>'G-1 All Habitats'!B56</f>
        <v>Sparsely vegetated land - Limestone pavement</v>
      </c>
      <c r="B57" s="68" t="str">
        <f>'G-1 All Habitats'!F56</f>
        <v>Sparsely vegetated land</v>
      </c>
      <c r="C57" s="68" t="str">
        <f>'G-1 All Habitats'!K56</f>
        <v>V.High</v>
      </c>
      <c r="D57" s="68" t="str">
        <f>'G-1 All Habitats'!M56</f>
        <v>Bespoke compensation likely to be required 🛠</v>
      </c>
      <c r="E57" s="346">
        <f>IF(C57="V.High",SUMIF('A-1 On-Site Habitat Baseline'!$G$11:$G$258,'G-2 Habitat groups'!A57,'A-1 On-Site Habitat Baseline'!$S$11:$S$258)+SUMIF('A-1 On-Site Habitat Baseline'!$G$11:$G$258,'G-2 Habitat groups'!A57,'A-1 On-Site Habitat Baseline'!$T$11:$T$258),SUMIF('A-1 On-Site Habitat Baseline'!$G$11:$G$258,'G-2 Habitat groups'!A57,'A-1 On-Site Habitat Baseline'!$H$11:$H$258))</f>
        <v>0</v>
      </c>
      <c r="F57" s="346">
        <f>SUMIF('A-1 On-Site Habitat Baseline'!$G$11:$G$258,'G-2 Habitat groups'!A57,'A-1 On-Site Habitat Baseline'!$Q$11:$Q$258)</f>
        <v>0</v>
      </c>
      <c r="G57" s="346">
        <f>SUMIF('A-1 On-Site Habitat Baseline'!$G$11:$G$258,'G-2 Habitat groups'!A57,'A-1 On-Site Habitat Baseline'!$S$11:$S$258)</f>
        <v>0</v>
      </c>
      <c r="H57" s="346">
        <f>SUMIF('A-1 On-Site Habitat Baseline'!$G$11:$G$258,'G-2 Habitat groups'!A57,'A-1 On-Site Habitat Baseline'!$U$11:$U$258)</f>
        <v>0</v>
      </c>
      <c r="I57" s="346">
        <f>SUMIF('A-1 On-Site Habitat Baseline'!$G$11:$G$258,'G-2 Habitat groups'!A57,'A-1 On-Site Habitat Baseline'!$W$11:$W$258)</f>
        <v>0</v>
      </c>
      <c r="J57" s="346">
        <f>SUMIF('A-1 On-Site Habitat Baseline'!$G$11:$G$258,'G-2 Habitat groups'!A57,'A-1 On-Site Habitat Baseline'!$X$11:$X$258)</f>
        <v>0</v>
      </c>
      <c r="K57" s="346">
        <f>SUMIF('A-2 On-Site Habitat Creation'!$F$11:$F$256,'G-2 Habitat groups'!A57,'A-2 On-Site Habitat Creation'!$G$11:$G$256)</f>
        <v>0</v>
      </c>
      <c r="L57" s="346">
        <f>SUMIF('A-2 On-Site Habitat Creation'!$F$11:$F$256,'G-2 Habitat groups'!A57,'A-2 On-Site Habitat Creation'!$Y$11:$Y$256)</f>
        <v>0</v>
      </c>
      <c r="M57" s="346">
        <f>SUMIF('A-3 On-Site Habitat Enhancement'!$S$12:$S$257,'G-2 Habitat groups'!A57,'A-3 On-Site Habitat Enhancement'!$V$12:$V$257)</f>
        <v>0</v>
      </c>
      <c r="N57" s="346">
        <f>SUMIF('A-3 On-Site Habitat Enhancement'!$S$12:$S$257,'G-2 Habitat groups'!A57,'A-3 On-Site Habitat Enhancement'!$AN$12:$AN$257)</f>
        <v>0</v>
      </c>
      <c r="O57" s="346">
        <f t="shared" si="43"/>
        <v>0</v>
      </c>
      <c r="P57" s="346">
        <f t="shared" si="44"/>
        <v>0</v>
      </c>
      <c r="Q57" s="346">
        <f t="shared" si="45"/>
        <v>0</v>
      </c>
      <c r="R57" s="346">
        <f t="shared" si="46"/>
        <v>0</v>
      </c>
      <c r="S57" s="346">
        <f>IF(C57="V.High",SUMIF('D-1 Off-Site Habitat Baseline'!$G$11:$G$258,'G-2 Habitat groups'!A57,'D-1 Off-Site Habitat Baseline'!$V$11:$V$258)+SUMIF('D-1 Off-Site Habitat Baseline'!$G$11:$G$258,'G-2 Habitat groups'!A57,'D-1 Off-Site Habitat Baseline'!$W$11:$W$258),SUMIF('D-1 Off-Site Habitat Baseline'!$G$11:$G$258,'G-2 Habitat groups'!A57,'D-1 Off-Site Habitat Baseline'!$H$11:$H$258))</f>
        <v>0</v>
      </c>
      <c r="T57" s="346">
        <f>SUMIF('D-1 Off-Site Habitat Baseline'!$G$11:$G$258,'G-2 Habitat groups'!A57,'D-1 Off-Site Habitat Baseline'!$T$11:$T$258)</f>
        <v>0</v>
      </c>
      <c r="U57" s="346">
        <f>SUMIF('D-1 Off-Site Habitat Baseline'!$G$11:$G$258,'G-2 Habitat groups'!A57,'D-1 Off-Site Habitat Baseline'!$V$11:$V$258)</f>
        <v>0</v>
      </c>
      <c r="V57" s="346">
        <f>SUMIF('D-1 Off-Site Habitat Baseline'!$G$11:$G$258,'G-2 Habitat groups'!A57,'D-1 Off-Site Habitat Baseline'!$X$11:$X$258)</f>
        <v>0</v>
      </c>
      <c r="W57" s="346">
        <f>SUMIF('D-2 Off-Site Habitat Creation'!$F$9:$F$255,'G-2 Habitat groups'!A57,'D-2 Off-Site Habitat Creation'!$G$9:$G$255)</f>
        <v>0</v>
      </c>
      <c r="X57" s="346">
        <f>SUMIF('D-2 Off-Site Habitat Creation'!$F$9:$F$255,'G-2 Habitat groups'!A57,'D-2 Off-Site Habitat Creation'!$AB$9:$AB$255)</f>
        <v>0</v>
      </c>
      <c r="Y57" s="346">
        <f>SUMIF('D-3 Off-Site Habitat Enhancment'!$S$12:$S$491,'G-2 Habitat groups'!A57,'D-3 Off-Site Habitat Enhancment'!$V$12:$V$491)</f>
        <v>0</v>
      </c>
      <c r="Z57" s="346">
        <f>SUMIF('D-3 Off-Site Habitat Enhancment'!$S$12:$S$491,'G-2 Habitat groups'!A57,'D-3 Off-Site Habitat Enhancment'!$AQ$12:$AQ$491)</f>
        <v>0</v>
      </c>
      <c r="AA57" s="346">
        <f t="shared" si="47"/>
        <v>0</v>
      </c>
      <c r="AB57" s="346">
        <f t="shared" si="48"/>
        <v>0</v>
      </c>
      <c r="AC57" s="346">
        <f t="shared" si="49"/>
        <v>0</v>
      </c>
      <c r="AD57" s="346">
        <f t="shared" si="50"/>
        <v>0</v>
      </c>
      <c r="AE57" s="346">
        <f t="shared" si="51"/>
        <v>0</v>
      </c>
      <c r="AF57" s="346">
        <f t="shared" si="52"/>
        <v>0</v>
      </c>
      <c r="AU57" s="86" t="s">
        <v>807</v>
      </c>
      <c r="AV57" s="68" t="s">
        <v>131</v>
      </c>
      <c r="AW57" s="358">
        <f t="shared" si="33"/>
        <v>0</v>
      </c>
      <c r="AX57" s="358">
        <f t="shared" si="34"/>
        <v>0</v>
      </c>
      <c r="AY57" s="358">
        <f t="shared" si="35"/>
        <v>0</v>
      </c>
      <c r="AZ57" s="358">
        <f t="shared" si="36"/>
        <v>0</v>
      </c>
      <c r="BA57" s="358">
        <f t="shared" si="37"/>
        <v>0</v>
      </c>
      <c r="BB57" s="358">
        <f t="shared" si="38"/>
        <v>0</v>
      </c>
      <c r="BC57" s="358">
        <f t="shared" si="39"/>
        <v>0</v>
      </c>
      <c r="BD57" s="358">
        <f t="shared" si="40"/>
        <v>0</v>
      </c>
      <c r="BE57" s="358">
        <f t="shared" si="41"/>
        <v>0</v>
      </c>
      <c r="BF57" s="358" t="str">
        <f t="shared" si="42"/>
        <v/>
      </c>
    </row>
    <row r="58" spans="1:58">
      <c r="A58" s="79" t="str">
        <f>'G-1 All Habitats'!B57</f>
        <v>Sparsely vegetated land - Maritime cliff and slopes</v>
      </c>
      <c r="B58" s="68" t="str">
        <f>'G-1 All Habitats'!F57</f>
        <v>Sparsely vegetated land</v>
      </c>
      <c r="C58" s="68" t="str">
        <f>'G-1 All Habitats'!K57</f>
        <v>High</v>
      </c>
      <c r="D58" s="68" t="str">
        <f>'G-1 All Habitats'!M57</f>
        <v>Same habitat required =</v>
      </c>
      <c r="E58" s="346">
        <f>IF(C58="V.High",SUMIF('A-1 On-Site Habitat Baseline'!$G$11:$G$258,'G-2 Habitat groups'!A58,'A-1 On-Site Habitat Baseline'!$S$11:$S$258)+SUMIF('A-1 On-Site Habitat Baseline'!$G$11:$G$258,'G-2 Habitat groups'!A58,'A-1 On-Site Habitat Baseline'!$T$11:$T$258),SUMIF('A-1 On-Site Habitat Baseline'!$G$11:$G$258,'G-2 Habitat groups'!A58,'A-1 On-Site Habitat Baseline'!$H$11:$H$258))</f>
        <v>0</v>
      </c>
      <c r="F58" s="346">
        <f>SUMIF('A-1 On-Site Habitat Baseline'!$G$11:$G$258,'G-2 Habitat groups'!A58,'A-1 On-Site Habitat Baseline'!$Q$11:$Q$258)</f>
        <v>0</v>
      </c>
      <c r="G58" s="346">
        <f>SUMIF('A-1 On-Site Habitat Baseline'!$G$11:$G$258,'G-2 Habitat groups'!A58,'A-1 On-Site Habitat Baseline'!$S$11:$S$258)</f>
        <v>0</v>
      </c>
      <c r="H58" s="346">
        <f>SUMIF('A-1 On-Site Habitat Baseline'!$G$11:$G$258,'G-2 Habitat groups'!A58,'A-1 On-Site Habitat Baseline'!$U$11:$U$258)</f>
        <v>0</v>
      </c>
      <c r="I58" s="346">
        <f>SUMIF('A-1 On-Site Habitat Baseline'!$G$11:$G$258,'G-2 Habitat groups'!A58,'A-1 On-Site Habitat Baseline'!$W$11:$W$258)</f>
        <v>0</v>
      </c>
      <c r="J58" s="346">
        <f>SUMIF('A-1 On-Site Habitat Baseline'!$G$11:$G$258,'G-2 Habitat groups'!A58,'A-1 On-Site Habitat Baseline'!$X$11:$X$258)</f>
        <v>0</v>
      </c>
      <c r="K58" s="346">
        <f>SUMIF('A-2 On-Site Habitat Creation'!$F$11:$F$256,'G-2 Habitat groups'!A58,'A-2 On-Site Habitat Creation'!$G$11:$G$256)</f>
        <v>0</v>
      </c>
      <c r="L58" s="346">
        <f>SUMIF('A-2 On-Site Habitat Creation'!$F$11:$F$256,'G-2 Habitat groups'!A58,'A-2 On-Site Habitat Creation'!$Y$11:$Y$256)</f>
        <v>0</v>
      </c>
      <c r="M58" s="346">
        <f>SUMIF('A-3 On-Site Habitat Enhancement'!$S$12:$S$257,'G-2 Habitat groups'!A58,'A-3 On-Site Habitat Enhancement'!$V$12:$V$257)</f>
        <v>0</v>
      </c>
      <c r="N58" s="346">
        <f>SUMIF('A-3 On-Site Habitat Enhancement'!$S$12:$S$257,'G-2 Habitat groups'!A58,'A-3 On-Site Habitat Enhancement'!$AN$12:$AN$257)</f>
        <v>0</v>
      </c>
      <c r="O58" s="346">
        <f t="shared" si="43"/>
        <v>0</v>
      </c>
      <c r="P58" s="346">
        <f t="shared" si="44"/>
        <v>0</v>
      </c>
      <c r="Q58" s="346">
        <f t="shared" si="45"/>
        <v>0</v>
      </c>
      <c r="R58" s="346">
        <f t="shared" si="46"/>
        <v>0</v>
      </c>
      <c r="S58" s="346">
        <f>IF(C58="V.High",SUMIF('D-1 Off-Site Habitat Baseline'!$G$11:$G$258,'G-2 Habitat groups'!A58,'D-1 Off-Site Habitat Baseline'!$V$11:$V$258)+SUMIF('D-1 Off-Site Habitat Baseline'!$G$11:$G$258,'G-2 Habitat groups'!A58,'D-1 Off-Site Habitat Baseline'!$W$11:$W$258),SUMIF('D-1 Off-Site Habitat Baseline'!$G$11:$G$258,'G-2 Habitat groups'!A58,'D-1 Off-Site Habitat Baseline'!$H$11:$H$258))</f>
        <v>0</v>
      </c>
      <c r="T58" s="346">
        <f>SUMIF('D-1 Off-Site Habitat Baseline'!$G$11:$G$258,'G-2 Habitat groups'!A58,'D-1 Off-Site Habitat Baseline'!$T$11:$T$258)</f>
        <v>0</v>
      </c>
      <c r="U58" s="346">
        <f>SUMIF('D-1 Off-Site Habitat Baseline'!$G$11:$G$258,'G-2 Habitat groups'!A58,'D-1 Off-Site Habitat Baseline'!$V$11:$V$258)</f>
        <v>0</v>
      </c>
      <c r="V58" s="346">
        <f>SUMIF('D-1 Off-Site Habitat Baseline'!$G$11:$G$258,'G-2 Habitat groups'!A58,'D-1 Off-Site Habitat Baseline'!$X$11:$X$258)</f>
        <v>0</v>
      </c>
      <c r="W58" s="346">
        <f>SUMIF('D-2 Off-Site Habitat Creation'!$F$9:$F$255,'G-2 Habitat groups'!A58,'D-2 Off-Site Habitat Creation'!$G$9:$G$255)</f>
        <v>0</v>
      </c>
      <c r="X58" s="346">
        <f>SUMIF('D-2 Off-Site Habitat Creation'!$F$9:$F$255,'G-2 Habitat groups'!A58,'D-2 Off-Site Habitat Creation'!$AB$9:$AB$255)</f>
        <v>0</v>
      </c>
      <c r="Y58" s="346">
        <f>SUMIF('D-3 Off-Site Habitat Enhancment'!$S$12:$S$491,'G-2 Habitat groups'!A58,'D-3 Off-Site Habitat Enhancment'!$V$12:$V$491)</f>
        <v>0</v>
      </c>
      <c r="Z58" s="346">
        <f>SUMIF('D-3 Off-Site Habitat Enhancment'!$S$12:$S$491,'G-2 Habitat groups'!A58,'D-3 Off-Site Habitat Enhancment'!$AQ$12:$AQ$491)</f>
        <v>0</v>
      </c>
      <c r="AA58" s="346">
        <f t="shared" si="47"/>
        <v>0</v>
      </c>
      <c r="AB58" s="346">
        <f t="shared" si="48"/>
        <v>0</v>
      </c>
      <c r="AC58" s="346">
        <f t="shared" si="49"/>
        <v>0</v>
      </c>
      <c r="AD58" s="346">
        <f t="shared" si="50"/>
        <v>0</v>
      </c>
      <c r="AE58" s="346">
        <f t="shared" si="51"/>
        <v>0</v>
      </c>
      <c r="AF58" s="346">
        <f t="shared" si="52"/>
        <v>0</v>
      </c>
      <c r="AU58" s="86" t="s">
        <v>810</v>
      </c>
      <c r="AV58" s="68" t="s">
        <v>131</v>
      </c>
      <c r="AW58" s="358">
        <f t="shared" si="33"/>
        <v>0</v>
      </c>
      <c r="AX58" s="358">
        <f t="shared" si="34"/>
        <v>0</v>
      </c>
      <c r="AY58" s="358">
        <f t="shared" si="35"/>
        <v>0</v>
      </c>
      <c r="AZ58" s="358">
        <f t="shared" si="36"/>
        <v>0</v>
      </c>
      <c r="BA58" s="358">
        <f t="shared" si="37"/>
        <v>0</v>
      </c>
      <c r="BB58" s="358">
        <f t="shared" si="38"/>
        <v>0</v>
      </c>
      <c r="BC58" s="358">
        <f t="shared" si="39"/>
        <v>0</v>
      </c>
      <c r="BD58" s="358">
        <f t="shared" si="40"/>
        <v>0</v>
      </c>
      <c r="BE58" s="358">
        <f t="shared" si="41"/>
        <v>0</v>
      </c>
      <c r="BF58" s="358" t="str">
        <f t="shared" si="42"/>
        <v/>
      </c>
    </row>
    <row r="59" spans="1:58">
      <c r="A59" s="79" t="str">
        <f>'G-1 All Habitats'!B58</f>
        <v>Sparsely vegetated land - Other inland rock and scree</v>
      </c>
      <c r="B59" s="68" t="str">
        <f>'G-1 All Habitats'!F58</f>
        <v>Sparsely vegetated land</v>
      </c>
      <c r="C59" s="68" t="str">
        <f>'G-1 All Habitats'!K58</f>
        <v>Medium</v>
      </c>
      <c r="D59" s="68" t="str">
        <f>'G-1 All Habitats'!M58</f>
        <v>Same broad habitat or a higher distinctiveness habitat required (≥)</v>
      </c>
      <c r="E59" s="346">
        <f>IF(C59="V.High",SUMIF('A-1 On-Site Habitat Baseline'!$G$11:$G$258,'G-2 Habitat groups'!A59,'A-1 On-Site Habitat Baseline'!$S$11:$S$258)+SUMIF('A-1 On-Site Habitat Baseline'!$G$11:$G$258,'G-2 Habitat groups'!A59,'A-1 On-Site Habitat Baseline'!$T$11:$T$258),SUMIF('A-1 On-Site Habitat Baseline'!$G$11:$G$258,'G-2 Habitat groups'!A59,'A-1 On-Site Habitat Baseline'!$H$11:$H$258))</f>
        <v>0</v>
      </c>
      <c r="F59" s="346">
        <f>SUMIF('A-1 On-Site Habitat Baseline'!$G$11:$G$258,'G-2 Habitat groups'!A59,'A-1 On-Site Habitat Baseline'!$Q$11:$Q$258)</f>
        <v>0</v>
      </c>
      <c r="G59" s="346">
        <f>SUMIF('A-1 On-Site Habitat Baseline'!$G$11:$G$258,'G-2 Habitat groups'!A59,'A-1 On-Site Habitat Baseline'!$S$11:$S$258)</f>
        <v>0</v>
      </c>
      <c r="H59" s="346">
        <f>SUMIF('A-1 On-Site Habitat Baseline'!$G$11:$G$258,'G-2 Habitat groups'!A59,'A-1 On-Site Habitat Baseline'!$U$11:$U$258)</f>
        <v>0</v>
      </c>
      <c r="I59" s="346">
        <f>SUMIF('A-1 On-Site Habitat Baseline'!$G$11:$G$258,'G-2 Habitat groups'!A59,'A-1 On-Site Habitat Baseline'!$W$11:$W$258)</f>
        <v>0</v>
      </c>
      <c r="J59" s="346">
        <f>SUMIF('A-1 On-Site Habitat Baseline'!$G$11:$G$258,'G-2 Habitat groups'!A59,'A-1 On-Site Habitat Baseline'!$X$11:$X$258)</f>
        <v>0</v>
      </c>
      <c r="K59" s="346">
        <f>SUMIF('A-2 On-Site Habitat Creation'!$F$11:$F$256,'G-2 Habitat groups'!A59,'A-2 On-Site Habitat Creation'!$G$11:$G$256)</f>
        <v>0</v>
      </c>
      <c r="L59" s="346">
        <f>SUMIF('A-2 On-Site Habitat Creation'!$F$11:$F$256,'G-2 Habitat groups'!A59,'A-2 On-Site Habitat Creation'!$Y$11:$Y$256)</f>
        <v>0</v>
      </c>
      <c r="M59" s="346">
        <f>SUMIF('A-3 On-Site Habitat Enhancement'!$S$12:$S$257,'G-2 Habitat groups'!A59,'A-3 On-Site Habitat Enhancement'!$V$12:$V$257)</f>
        <v>0</v>
      </c>
      <c r="N59" s="346">
        <f>SUMIF('A-3 On-Site Habitat Enhancement'!$S$12:$S$257,'G-2 Habitat groups'!A59,'A-3 On-Site Habitat Enhancement'!$AN$12:$AN$257)</f>
        <v>0</v>
      </c>
      <c r="O59" s="346">
        <f t="shared" si="43"/>
        <v>0</v>
      </c>
      <c r="P59" s="346">
        <f t="shared" si="44"/>
        <v>0</v>
      </c>
      <c r="Q59" s="346">
        <f t="shared" si="45"/>
        <v>0</v>
      </c>
      <c r="R59" s="346">
        <f t="shared" si="46"/>
        <v>0</v>
      </c>
      <c r="S59" s="346">
        <f>IF(C59="V.High",SUMIF('D-1 Off-Site Habitat Baseline'!$G$11:$G$258,'G-2 Habitat groups'!A59,'D-1 Off-Site Habitat Baseline'!$V$11:$V$258)+SUMIF('D-1 Off-Site Habitat Baseline'!$G$11:$G$258,'G-2 Habitat groups'!A59,'D-1 Off-Site Habitat Baseline'!$W$11:$W$258),SUMIF('D-1 Off-Site Habitat Baseline'!$G$11:$G$258,'G-2 Habitat groups'!A59,'D-1 Off-Site Habitat Baseline'!$H$11:$H$258))</f>
        <v>0</v>
      </c>
      <c r="T59" s="346">
        <f>SUMIF('D-1 Off-Site Habitat Baseline'!$G$11:$G$258,'G-2 Habitat groups'!A59,'D-1 Off-Site Habitat Baseline'!$T$11:$T$258)</f>
        <v>0</v>
      </c>
      <c r="U59" s="346">
        <f>SUMIF('D-1 Off-Site Habitat Baseline'!$G$11:$G$258,'G-2 Habitat groups'!A59,'D-1 Off-Site Habitat Baseline'!$V$11:$V$258)</f>
        <v>0</v>
      </c>
      <c r="V59" s="346">
        <f>SUMIF('D-1 Off-Site Habitat Baseline'!$G$11:$G$258,'G-2 Habitat groups'!A59,'D-1 Off-Site Habitat Baseline'!$X$11:$X$258)</f>
        <v>0</v>
      </c>
      <c r="W59" s="346">
        <f>SUMIF('D-2 Off-Site Habitat Creation'!$F$9:$F$255,'G-2 Habitat groups'!A59,'D-2 Off-Site Habitat Creation'!$G$9:$G$255)</f>
        <v>0</v>
      </c>
      <c r="X59" s="346">
        <f>SUMIF('D-2 Off-Site Habitat Creation'!$F$9:$F$255,'G-2 Habitat groups'!A59,'D-2 Off-Site Habitat Creation'!$AB$9:$AB$255)</f>
        <v>0</v>
      </c>
      <c r="Y59" s="346">
        <f>SUMIF('D-3 Off-Site Habitat Enhancment'!$S$12:$S$491,'G-2 Habitat groups'!A59,'D-3 Off-Site Habitat Enhancment'!$V$12:$V$491)</f>
        <v>0</v>
      </c>
      <c r="Z59" s="346">
        <f>SUMIF('D-3 Off-Site Habitat Enhancment'!$S$12:$S$491,'G-2 Habitat groups'!A59,'D-3 Off-Site Habitat Enhancment'!$AQ$12:$AQ$491)</f>
        <v>0</v>
      </c>
      <c r="AA59" s="346">
        <f t="shared" si="47"/>
        <v>0</v>
      </c>
      <c r="AB59" s="346">
        <f t="shared" si="48"/>
        <v>0</v>
      </c>
      <c r="AC59" s="346">
        <f t="shared" si="49"/>
        <v>0</v>
      </c>
      <c r="AD59" s="346">
        <f t="shared" si="50"/>
        <v>0</v>
      </c>
      <c r="AE59" s="346">
        <f t="shared" si="51"/>
        <v>0</v>
      </c>
      <c r="AF59" s="346">
        <f t="shared" si="52"/>
        <v>0</v>
      </c>
      <c r="AU59" s="86" t="s">
        <v>813</v>
      </c>
      <c r="AV59" s="68" t="s">
        <v>131</v>
      </c>
      <c r="AW59" s="358">
        <f t="shared" si="33"/>
        <v>0</v>
      </c>
      <c r="AX59" s="358">
        <f t="shared" si="34"/>
        <v>0</v>
      </c>
      <c r="AY59" s="358">
        <f t="shared" si="35"/>
        <v>0</v>
      </c>
      <c r="AZ59" s="358">
        <f t="shared" si="36"/>
        <v>0</v>
      </c>
      <c r="BA59" s="358">
        <f t="shared" si="37"/>
        <v>0</v>
      </c>
      <c r="BB59" s="358">
        <f t="shared" si="38"/>
        <v>0</v>
      </c>
      <c r="BC59" s="358">
        <f t="shared" si="39"/>
        <v>0</v>
      </c>
      <c r="BD59" s="358">
        <f t="shared" si="40"/>
        <v>0</v>
      </c>
      <c r="BE59" s="358">
        <f t="shared" si="41"/>
        <v>0</v>
      </c>
      <c r="BF59" s="358" t="str">
        <f t="shared" si="42"/>
        <v/>
      </c>
    </row>
    <row r="60" spans="1:58">
      <c r="A60" s="79" t="str">
        <f>'G-1 All Habitats'!B59</f>
        <v>Urban - Allotments</v>
      </c>
      <c r="B60" s="68" t="str">
        <f>'G-1 All Habitats'!F59</f>
        <v>Urban</v>
      </c>
      <c r="C60" s="68" t="str">
        <f>'G-1 All Habitats'!K59</f>
        <v>Low</v>
      </c>
      <c r="D60" s="68" t="str">
        <f>'G-1 All Habitats'!M59</f>
        <v>Same distinctiveness or better habitat required ≥</v>
      </c>
      <c r="E60" s="346">
        <f>IF(C60="V.High",SUMIF('A-1 On-Site Habitat Baseline'!$G$11:$G$258,'G-2 Habitat groups'!A60,'A-1 On-Site Habitat Baseline'!$S$11:$S$258)+SUMIF('A-1 On-Site Habitat Baseline'!$G$11:$G$258,'G-2 Habitat groups'!A60,'A-1 On-Site Habitat Baseline'!$T$11:$T$258),SUMIF('A-1 On-Site Habitat Baseline'!$G$11:$G$258,'G-2 Habitat groups'!A60,'A-1 On-Site Habitat Baseline'!$H$11:$H$258))</f>
        <v>0</v>
      </c>
      <c r="F60" s="346">
        <f>SUMIF('A-1 On-Site Habitat Baseline'!$G$11:$G$258,'G-2 Habitat groups'!A60,'A-1 On-Site Habitat Baseline'!$Q$11:$Q$258)</f>
        <v>0</v>
      </c>
      <c r="G60" s="346">
        <f>SUMIF('A-1 On-Site Habitat Baseline'!$G$11:$G$258,'G-2 Habitat groups'!A60,'A-1 On-Site Habitat Baseline'!$S$11:$S$258)</f>
        <v>0</v>
      </c>
      <c r="H60" s="346">
        <f>SUMIF('A-1 On-Site Habitat Baseline'!$G$11:$G$258,'G-2 Habitat groups'!A60,'A-1 On-Site Habitat Baseline'!$U$11:$U$258)</f>
        <v>0</v>
      </c>
      <c r="I60" s="346">
        <f>SUMIF('A-1 On-Site Habitat Baseline'!$G$11:$G$258,'G-2 Habitat groups'!A60,'A-1 On-Site Habitat Baseline'!$W$11:$W$258)</f>
        <v>0</v>
      </c>
      <c r="J60" s="346">
        <f>SUMIF('A-1 On-Site Habitat Baseline'!$G$11:$G$258,'G-2 Habitat groups'!A60,'A-1 On-Site Habitat Baseline'!$X$11:$X$258)</f>
        <v>0</v>
      </c>
      <c r="K60" s="346">
        <f>SUMIF('A-2 On-Site Habitat Creation'!$F$11:$F$256,'G-2 Habitat groups'!A60,'A-2 On-Site Habitat Creation'!$G$11:$G$256)</f>
        <v>0</v>
      </c>
      <c r="L60" s="346">
        <f>SUMIF('A-2 On-Site Habitat Creation'!$F$11:$F$256,'G-2 Habitat groups'!A60,'A-2 On-Site Habitat Creation'!$Y$11:$Y$256)</f>
        <v>0</v>
      </c>
      <c r="M60" s="346">
        <f>SUMIF('A-3 On-Site Habitat Enhancement'!$S$12:$S$257,'G-2 Habitat groups'!A60,'A-3 On-Site Habitat Enhancement'!$V$12:$V$257)</f>
        <v>0</v>
      </c>
      <c r="N60" s="346">
        <f>SUMIF('A-3 On-Site Habitat Enhancement'!$S$12:$S$257,'G-2 Habitat groups'!A60,'A-3 On-Site Habitat Enhancement'!$AN$12:$AN$257)</f>
        <v>0</v>
      </c>
      <c r="O60" s="346">
        <f t="shared" si="43"/>
        <v>0</v>
      </c>
      <c r="P60" s="346">
        <f t="shared" si="44"/>
        <v>0</v>
      </c>
      <c r="Q60" s="346">
        <f t="shared" si="45"/>
        <v>0</v>
      </c>
      <c r="R60" s="346">
        <f t="shared" si="46"/>
        <v>0</v>
      </c>
      <c r="S60" s="346">
        <f>IF(C60="V.High",SUMIF('D-1 Off-Site Habitat Baseline'!$G$11:$G$258,'G-2 Habitat groups'!A60,'D-1 Off-Site Habitat Baseline'!$V$11:$V$258)+SUMIF('D-1 Off-Site Habitat Baseline'!$G$11:$G$258,'G-2 Habitat groups'!A60,'D-1 Off-Site Habitat Baseline'!$W$11:$W$258),SUMIF('D-1 Off-Site Habitat Baseline'!$G$11:$G$258,'G-2 Habitat groups'!A60,'D-1 Off-Site Habitat Baseline'!$H$11:$H$258))</f>
        <v>0</v>
      </c>
      <c r="T60" s="346">
        <f>SUMIF('D-1 Off-Site Habitat Baseline'!$G$11:$G$258,'G-2 Habitat groups'!A60,'D-1 Off-Site Habitat Baseline'!$T$11:$T$258)</f>
        <v>0</v>
      </c>
      <c r="U60" s="346">
        <f>SUMIF('D-1 Off-Site Habitat Baseline'!$G$11:$G$258,'G-2 Habitat groups'!A60,'D-1 Off-Site Habitat Baseline'!$V$11:$V$258)</f>
        <v>0</v>
      </c>
      <c r="V60" s="346">
        <f>SUMIF('D-1 Off-Site Habitat Baseline'!$G$11:$G$258,'G-2 Habitat groups'!A60,'D-1 Off-Site Habitat Baseline'!$X$11:$X$258)</f>
        <v>0</v>
      </c>
      <c r="W60" s="346">
        <f>SUMIF('D-2 Off-Site Habitat Creation'!$F$9:$F$255,'G-2 Habitat groups'!A60,'D-2 Off-Site Habitat Creation'!$G$9:$G$255)</f>
        <v>0</v>
      </c>
      <c r="X60" s="346">
        <f>SUMIF('D-2 Off-Site Habitat Creation'!$F$9:$F$255,'G-2 Habitat groups'!A60,'D-2 Off-Site Habitat Creation'!$AB$9:$AB$255)</f>
        <v>0</v>
      </c>
      <c r="Y60" s="346">
        <f>SUMIF('D-3 Off-Site Habitat Enhancment'!$S$12:$S$491,'G-2 Habitat groups'!A60,'D-3 Off-Site Habitat Enhancment'!$V$12:$V$491)</f>
        <v>0</v>
      </c>
      <c r="Z60" s="346">
        <f>SUMIF('D-3 Off-Site Habitat Enhancment'!$S$12:$S$491,'G-2 Habitat groups'!A60,'D-3 Off-Site Habitat Enhancment'!$AQ$12:$AQ$491)</f>
        <v>0</v>
      </c>
      <c r="AA60" s="346">
        <f t="shared" si="47"/>
        <v>0</v>
      </c>
      <c r="AB60" s="346">
        <f t="shared" si="48"/>
        <v>0</v>
      </c>
      <c r="AC60" s="346">
        <f t="shared" si="49"/>
        <v>0</v>
      </c>
      <c r="AD60" s="346">
        <f t="shared" si="50"/>
        <v>0</v>
      </c>
      <c r="AE60" s="346">
        <f t="shared" si="51"/>
        <v>0</v>
      </c>
      <c r="AF60" s="346">
        <f t="shared" si="52"/>
        <v>0</v>
      </c>
      <c r="AU60" s="86" t="s">
        <v>818</v>
      </c>
      <c r="AV60" s="68" t="s">
        <v>131</v>
      </c>
      <c r="AW60" s="358">
        <f t="shared" si="33"/>
        <v>0</v>
      </c>
      <c r="AX60" s="358">
        <f t="shared" si="34"/>
        <v>0</v>
      </c>
      <c r="AY60" s="358">
        <f t="shared" si="35"/>
        <v>0</v>
      </c>
      <c r="AZ60" s="358">
        <f t="shared" si="36"/>
        <v>0</v>
      </c>
      <c r="BA60" s="358">
        <f t="shared" si="37"/>
        <v>0</v>
      </c>
      <c r="BB60" s="358">
        <f t="shared" si="38"/>
        <v>0</v>
      </c>
      <c r="BC60" s="358">
        <f t="shared" si="39"/>
        <v>0</v>
      </c>
      <c r="BD60" s="358">
        <f t="shared" si="40"/>
        <v>0</v>
      </c>
      <c r="BE60" s="358">
        <f t="shared" si="41"/>
        <v>0</v>
      </c>
      <c r="BF60" s="358" t="str">
        <f t="shared" si="42"/>
        <v/>
      </c>
    </row>
    <row r="61" spans="1:58">
      <c r="A61" s="79" t="str">
        <f>'G-1 All Habitats'!B60</f>
        <v>Urban - Artificial unvegetated, unsealed surface</v>
      </c>
      <c r="B61" s="68" t="str">
        <f>'G-1 All Habitats'!F60</f>
        <v>Urban</v>
      </c>
      <c r="C61" s="68" t="str">
        <f>'G-1 All Habitats'!K60</f>
        <v>V.Low</v>
      </c>
      <c r="D61" s="68" t="str">
        <f>'G-1 All Habitats'!M60</f>
        <v>Compensation Not Required</v>
      </c>
      <c r="E61" s="346">
        <f>IF(C61="V.High",SUMIF('A-1 On-Site Habitat Baseline'!$G$11:$G$258,'G-2 Habitat groups'!A61,'A-1 On-Site Habitat Baseline'!$S$11:$S$258)+SUMIF('A-1 On-Site Habitat Baseline'!$G$11:$G$258,'G-2 Habitat groups'!A61,'A-1 On-Site Habitat Baseline'!$T$11:$T$258),SUMIF('A-1 On-Site Habitat Baseline'!$G$11:$G$258,'G-2 Habitat groups'!A61,'A-1 On-Site Habitat Baseline'!$H$11:$H$258))</f>
        <v>0.14799999999999999</v>
      </c>
      <c r="F61" s="346">
        <f>SUMIF('A-1 On-Site Habitat Baseline'!$G$11:$G$258,'G-2 Habitat groups'!A61,'A-1 On-Site Habitat Baseline'!$Q$11:$Q$258)</f>
        <v>0</v>
      </c>
      <c r="G61" s="346">
        <f>SUMIF('A-1 On-Site Habitat Baseline'!$G$11:$G$258,'G-2 Habitat groups'!A61,'A-1 On-Site Habitat Baseline'!$S$11:$S$258)</f>
        <v>0</v>
      </c>
      <c r="H61" s="346">
        <f>SUMIF('A-1 On-Site Habitat Baseline'!$G$11:$G$258,'G-2 Habitat groups'!A61,'A-1 On-Site Habitat Baseline'!$U$11:$U$258)</f>
        <v>0</v>
      </c>
      <c r="I61" s="346">
        <f>SUMIF('A-1 On-Site Habitat Baseline'!$G$11:$G$258,'G-2 Habitat groups'!A61,'A-1 On-Site Habitat Baseline'!$W$11:$W$258)</f>
        <v>0.14799999999999999</v>
      </c>
      <c r="J61" s="346">
        <f>SUMIF('A-1 On-Site Habitat Baseline'!$G$11:$G$258,'G-2 Habitat groups'!A61,'A-1 On-Site Habitat Baseline'!$X$11:$X$258)</f>
        <v>0</v>
      </c>
      <c r="K61" s="346">
        <f>SUMIF('A-2 On-Site Habitat Creation'!$F$11:$F$256,'G-2 Habitat groups'!A61,'A-2 On-Site Habitat Creation'!$G$11:$G$256)</f>
        <v>0</v>
      </c>
      <c r="L61" s="346">
        <f>SUMIF('A-2 On-Site Habitat Creation'!$F$11:$F$256,'G-2 Habitat groups'!A61,'A-2 On-Site Habitat Creation'!$Y$11:$Y$256)</f>
        <v>0</v>
      </c>
      <c r="M61" s="346">
        <f>SUMIF('A-3 On-Site Habitat Enhancement'!$S$12:$S$257,'G-2 Habitat groups'!A61,'A-3 On-Site Habitat Enhancement'!$V$12:$V$257)</f>
        <v>0</v>
      </c>
      <c r="N61" s="346">
        <f>SUMIF('A-3 On-Site Habitat Enhancement'!$S$12:$S$257,'G-2 Habitat groups'!A61,'A-3 On-Site Habitat Enhancement'!$AN$12:$AN$257)</f>
        <v>0</v>
      </c>
      <c r="O61" s="346">
        <f t="shared" si="43"/>
        <v>0</v>
      </c>
      <c r="P61" s="346">
        <f t="shared" si="44"/>
        <v>0</v>
      </c>
      <c r="Q61" s="346">
        <f t="shared" si="45"/>
        <v>-0.14799999999999999</v>
      </c>
      <c r="R61" s="346">
        <f t="shared" si="46"/>
        <v>0</v>
      </c>
      <c r="S61" s="346">
        <f>IF(C61="V.High",SUMIF('D-1 Off-Site Habitat Baseline'!$G$11:$G$258,'G-2 Habitat groups'!A61,'D-1 Off-Site Habitat Baseline'!$V$11:$V$258)+SUMIF('D-1 Off-Site Habitat Baseline'!$G$11:$G$258,'G-2 Habitat groups'!A61,'D-1 Off-Site Habitat Baseline'!$W$11:$W$258),SUMIF('D-1 Off-Site Habitat Baseline'!$G$11:$G$258,'G-2 Habitat groups'!A61,'D-1 Off-Site Habitat Baseline'!$H$11:$H$258))</f>
        <v>0</v>
      </c>
      <c r="T61" s="346">
        <f>SUMIF('D-1 Off-Site Habitat Baseline'!$G$11:$G$258,'G-2 Habitat groups'!A61,'D-1 Off-Site Habitat Baseline'!$T$11:$T$258)</f>
        <v>0</v>
      </c>
      <c r="U61" s="346">
        <f>SUMIF('D-1 Off-Site Habitat Baseline'!$G$11:$G$258,'G-2 Habitat groups'!A61,'D-1 Off-Site Habitat Baseline'!$V$11:$V$258)</f>
        <v>0</v>
      </c>
      <c r="V61" s="346">
        <f>SUMIF('D-1 Off-Site Habitat Baseline'!$G$11:$G$258,'G-2 Habitat groups'!A61,'D-1 Off-Site Habitat Baseline'!$X$11:$X$258)</f>
        <v>0</v>
      </c>
      <c r="W61" s="346">
        <f>SUMIF('D-2 Off-Site Habitat Creation'!$F$9:$F$255,'G-2 Habitat groups'!A61,'D-2 Off-Site Habitat Creation'!$G$9:$G$255)</f>
        <v>0</v>
      </c>
      <c r="X61" s="346">
        <f>SUMIF('D-2 Off-Site Habitat Creation'!$F$9:$F$255,'G-2 Habitat groups'!A61,'D-2 Off-Site Habitat Creation'!$AB$9:$AB$255)</f>
        <v>0</v>
      </c>
      <c r="Y61" s="346">
        <f>SUMIF('D-3 Off-Site Habitat Enhancment'!$S$12:$S$491,'G-2 Habitat groups'!A61,'D-3 Off-Site Habitat Enhancment'!$V$12:$V$491)</f>
        <v>0</v>
      </c>
      <c r="Z61" s="346">
        <f>SUMIF('D-3 Off-Site Habitat Enhancment'!$S$12:$S$491,'G-2 Habitat groups'!A61,'D-3 Off-Site Habitat Enhancment'!$AQ$12:$AQ$491)</f>
        <v>0</v>
      </c>
      <c r="AA61" s="346">
        <f t="shared" si="47"/>
        <v>0</v>
      </c>
      <c r="AB61" s="346">
        <f t="shared" si="48"/>
        <v>0</v>
      </c>
      <c r="AC61" s="346">
        <f t="shared" si="49"/>
        <v>0</v>
      </c>
      <c r="AD61" s="346">
        <f t="shared" si="50"/>
        <v>0</v>
      </c>
      <c r="AE61" s="346">
        <f t="shared" si="51"/>
        <v>-0.14799999999999999</v>
      </c>
      <c r="AF61" s="346">
        <f t="shared" si="52"/>
        <v>0</v>
      </c>
      <c r="AU61" s="86" t="s">
        <v>822</v>
      </c>
      <c r="AV61" s="68" t="s">
        <v>135</v>
      </c>
      <c r="AW61" s="358">
        <f t="shared" si="33"/>
        <v>0</v>
      </c>
      <c r="AX61" s="358">
        <f t="shared" si="34"/>
        <v>0</v>
      </c>
      <c r="AY61" s="358">
        <f t="shared" si="35"/>
        <v>0</v>
      </c>
      <c r="AZ61" s="358">
        <f t="shared" si="36"/>
        <v>0</v>
      </c>
      <c r="BA61" s="358">
        <f t="shared" si="37"/>
        <v>0</v>
      </c>
      <c r="BB61" s="358">
        <f t="shared" si="38"/>
        <v>0</v>
      </c>
      <c r="BC61" s="358">
        <f t="shared" si="39"/>
        <v>0</v>
      </c>
      <c r="BD61" s="358">
        <f t="shared" si="40"/>
        <v>0</v>
      </c>
      <c r="BE61" s="358">
        <f t="shared" si="41"/>
        <v>0</v>
      </c>
      <c r="BF61" s="358" t="str">
        <f t="shared" si="42"/>
        <v/>
      </c>
    </row>
    <row r="62" spans="1:58">
      <c r="A62" s="79" t="str">
        <f>'G-1 All Habitats'!B61</f>
        <v>Urban - Bioswale</v>
      </c>
      <c r="B62" s="68" t="str">
        <f>'G-1 All Habitats'!F61</f>
        <v>Urban</v>
      </c>
      <c r="C62" s="68" t="str">
        <f>'G-1 All Habitats'!K61</f>
        <v>Low</v>
      </c>
      <c r="D62" s="68" t="str">
        <f>'G-1 All Habitats'!M61</f>
        <v>Same distinctiveness or better habitat required ≥</v>
      </c>
      <c r="E62" s="346">
        <f>IF(C62="V.High",SUMIF('A-1 On-Site Habitat Baseline'!$G$11:$G$258,'G-2 Habitat groups'!A62,'A-1 On-Site Habitat Baseline'!$S$11:$S$258)+SUMIF('A-1 On-Site Habitat Baseline'!$G$11:$G$258,'G-2 Habitat groups'!A62,'A-1 On-Site Habitat Baseline'!$T$11:$T$258),SUMIF('A-1 On-Site Habitat Baseline'!$G$11:$G$258,'G-2 Habitat groups'!A62,'A-1 On-Site Habitat Baseline'!$H$11:$H$258))</f>
        <v>0</v>
      </c>
      <c r="F62" s="346">
        <f>SUMIF('A-1 On-Site Habitat Baseline'!$G$11:$G$258,'G-2 Habitat groups'!A62,'A-1 On-Site Habitat Baseline'!$Q$11:$Q$258)</f>
        <v>0</v>
      </c>
      <c r="G62" s="346">
        <f>SUMIF('A-1 On-Site Habitat Baseline'!$G$11:$G$258,'G-2 Habitat groups'!A62,'A-1 On-Site Habitat Baseline'!$S$11:$S$258)</f>
        <v>0</v>
      </c>
      <c r="H62" s="346">
        <f>SUMIF('A-1 On-Site Habitat Baseline'!$G$11:$G$258,'G-2 Habitat groups'!A62,'A-1 On-Site Habitat Baseline'!$U$11:$U$258)</f>
        <v>0</v>
      </c>
      <c r="I62" s="346">
        <f>SUMIF('A-1 On-Site Habitat Baseline'!$G$11:$G$258,'G-2 Habitat groups'!A62,'A-1 On-Site Habitat Baseline'!$W$11:$W$258)</f>
        <v>0</v>
      </c>
      <c r="J62" s="346">
        <f>SUMIF('A-1 On-Site Habitat Baseline'!$G$11:$G$258,'G-2 Habitat groups'!A62,'A-1 On-Site Habitat Baseline'!$X$11:$X$258)</f>
        <v>0</v>
      </c>
      <c r="K62" s="346">
        <f>SUMIF('A-2 On-Site Habitat Creation'!$F$11:$F$256,'G-2 Habitat groups'!A62,'A-2 On-Site Habitat Creation'!$G$11:$G$256)</f>
        <v>0</v>
      </c>
      <c r="L62" s="346">
        <f>SUMIF('A-2 On-Site Habitat Creation'!$F$11:$F$256,'G-2 Habitat groups'!A62,'A-2 On-Site Habitat Creation'!$Y$11:$Y$256)</f>
        <v>0</v>
      </c>
      <c r="M62" s="346">
        <f>SUMIF('A-3 On-Site Habitat Enhancement'!$S$12:$S$257,'G-2 Habitat groups'!A62,'A-3 On-Site Habitat Enhancement'!$V$12:$V$257)</f>
        <v>0</v>
      </c>
      <c r="N62" s="346">
        <f>SUMIF('A-3 On-Site Habitat Enhancement'!$S$12:$S$257,'G-2 Habitat groups'!A62,'A-3 On-Site Habitat Enhancement'!$AN$12:$AN$257)</f>
        <v>0</v>
      </c>
      <c r="O62" s="346">
        <f t="shared" si="43"/>
        <v>0</v>
      </c>
      <c r="P62" s="346">
        <f t="shared" si="44"/>
        <v>0</v>
      </c>
      <c r="Q62" s="346">
        <f t="shared" si="45"/>
        <v>0</v>
      </c>
      <c r="R62" s="346">
        <f t="shared" si="46"/>
        <v>0</v>
      </c>
      <c r="S62" s="346">
        <f>IF(C62="V.High",SUMIF('D-1 Off-Site Habitat Baseline'!$G$11:$G$258,'G-2 Habitat groups'!A62,'D-1 Off-Site Habitat Baseline'!$V$11:$V$258)+SUMIF('D-1 Off-Site Habitat Baseline'!$G$11:$G$258,'G-2 Habitat groups'!A62,'D-1 Off-Site Habitat Baseline'!$W$11:$W$258),SUMIF('D-1 Off-Site Habitat Baseline'!$G$11:$G$258,'G-2 Habitat groups'!A62,'D-1 Off-Site Habitat Baseline'!$H$11:$H$258))</f>
        <v>0</v>
      </c>
      <c r="T62" s="346">
        <f>SUMIF('D-1 Off-Site Habitat Baseline'!$G$11:$G$258,'G-2 Habitat groups'!A62,'D-1 Off-Site Habitat Baseline'!$T$11:$T$258)</f>
        <v>0</v>
      </c>
      <c r="U62" s="346">
        <f>SUMIF('D-1 Off-Site Habitat Baseline'!$G$11:$G$258,'G-2 Habitat groups'!A62,'D-1 Off-Site Habitat Baseline'!$V$11:$V$258)</f>
        <v>0</v>
      </c>
      <c r="V62" s="346">
        <f>SUMIF('D-1 Off-Site Habitat Baseline'!$G$11:$G$258,'G-2 Habitat groups'!A62,'D-1 Off-Site Habitat Baseline'!$X$11:$X$258)</f>
        <v>0</v>
      </c>
      <c r="W62" s="346">
        <f>SUMIF('D-2 Off-Site Habitat Creation'!$F$9:$F$255,'G-2 Habitat groups'!A62,'D-2 Off-Site Habitat Creation'!$G$9:$G$255)</f>
        <v>0</v>
      </c>
      <c r="X62" s="346">
        <f>SUMIF('D-2 Off-Site Habitat Creation'!$F$9:$F$255,'G-2 Habitat groups'!A62,'D-2 Off-Site Habitat Creation'!$AB$9:$AB$255)</f>
        <v>0</v>
      </c>
      <c r="Y62" s="346">
        <f>SUMIF('D-3 Off-Site Habitat Enhancment'!$S$12:$S$491,'G-2 Habitat groups'!A62,'D-3 Off-Site Habitat Enhancment'!$V$12:$V$491)</f>
        <v>0</v>
      </c>
      <c r="Z62" s="346">
        <f>SUMIF('D-3 Off-Site Habitat Enhancment'!$S$12:$S$491,'G-2 Habitat groups'!A62,'D-3 Off-Site Habitat Enhancment'!$AQ$12:$AQ$491)</f>
        <v>0</v>
      </c>
      <c r="AA62" s="346">
        <f t="shared" si="47"/>
        <v>0</v>
      </c>
      <c r="AB62" s="346">
        <f t="shared" si="48"/>
        <v>0</v>
      </c>
      <c r="AC62" s="346">
        <f t="shared" si="49"/>
        <v>0</v>
      </c>
      <c r="AD62" s="346">
        <f t="shared" si="50"/>
        <v>0</v>
      </c>
      <c r="AE62" s="346">
        <f t="shared" si="51"/>
        <v>0</v>
      </c>
      <c r="AF62" s="346">
        <f t="shared" si="52"/>
        <v>0</v>
      </c>
      <c r="AU62" s="68" t="s">
        <v>827</v>
      </c>
      <c r="AV62" s="68" t="s">
        <v>984</v>
      </c>
      <c r="AW62" s="358">
        <f t="shared" si="33"/>
        <v>0</v>
      </c>
      <c r="AX62" s="358">
        <f t="shared" si="34"/>
        <v>0</v>
      </c>
      <c r="AY62" s="358">
        <f t="shared" si="35"/>
        <v>0</v>
      </c>
      <c r="AZ62" s="358">
        <f t="shared" si="36"/>
        <v>0</v>
      </c>
      <c r="BA62" s="358">
        <f t="shared" si="37"/>
        <v>0</v>
      </c>
      <c r="BB62" s="358">
        <f t="shared" si="38"/>
        <v>0</v>
      </c>
      <c r="BC62" s="358">
        <f t="shared" si="39"/>
        <v>0</v>
      </c>
      <c r="BD62" s="358">
        <f t="shared" si="40"/>
        <v>0</v>
      </c>
      <c r="BE62" s="358">
        <f t="shared" si="41"/>
        <v>0</v>
      </c>
      <c r="BF62" s="358" t="str">
        <f t="shared" si="42"/>
        <v/>
      </c>
    </row>
    <row r="63" spans="1:58">
      <c r="A63" s="79" t="str">
        <f>'G-1 All Habitats'!B62</f>
        <v>Urban - Intensive green roof</v>
      </c>
      <c r="B63" s="68" t="str">
        <f>'G-1 All Habitats'!F62</f>
        <v>Urban</v>
      </c>
      <c r="C63" s="68" t="str">
        <f>'G-1 All Habitats'!K62</f>
        <v>Low</v>
      </c>
      <c r="D63" s="68" t="str">
        <f>'G-1 All Habitats'!M62</f>
        <v>Same distinctiveness or better habitat required ≥</v>
      </c>
      <c r="E63" s="346">
        <f>IF(C63="V.High",SUMIF('A-1 On-Site Habitat Baseline'!$G$11:$G$258,'G-2 Habitat groups'!A63,'A-1 On-Site Habitat Baseline'!$S$11:$S$258)+SUMIF('A-1 On-Site Habitat Baseline'!$G$11:$G$258,'G-2 Habitat groups'!A63,'A-1 On-Site Habitat Baseline'!$T$11:$T$258),SUMIF('A-1 On-Site Habitat Baseline'!$G$11:$G$258,'G-2 Habitat groups'!A63,'A-1 On-Site Habitat Baseline'!$H$11:$H$258))</f>
        <v>0</v>
      </c>
      <c r="F63" s="346">
        <f>SUMIF('A-1 On-Site Habitat Baseline'!$G$11:$G$258,'G-2 Habitat groups'!A63,'A-1 On-Site Habitat Baseline'!$Q$11:$Q$258)</f>
        <v>0</v>
      </c>
      <c r="G63" s="346">
        <f>SUMIF('A-1 On-Site Habitat Baseline'!$G$11:$G$258,'G-2 Habitat groups'!A63,'A-1 On-Site Habitat Baseline'!$S$11:$S$258)</f>
        <v>0</v>
      </c>
      <c r="H63" s="346">
        <f>SUMIF('A-1 On-Site Habitat Baseline'!$G$11:$G$258,'G-2 Habitat groups'!A63,'A-1 On-Site Habitat Baseline'!$U$11:$U$258)</f>
        <v>0</v>
      </c>
      <c r="I63" s="346">
        <f>SUMIF('A-1 On-Site Habitat Baseline'!$G$11:$G$258,'G-2 Habitat groups'!A63,'A-1 On-Site Habitat Baseline'!$W$11:$W$258)</f>
        <v>0</v>
      </c>
      <c r="J63" s="346">
        <f>SUMIF('A-1 On-Site Habitat Baseline'!$G$11:$G$258,'G-2 Habitat groups'!A63,'A-1 On-Site Habitat Baseline'!$X$11:$X$258)</f>
        <v>0</v>
      </c>
      <c r="K63" s="346">
        <f>SUMIF('A-2 On-Site Habitat Creation'!$F$11:$F$256,'G-2 Habitat groups'!A63,'A-2 On-Site Habitat Creation'!$G$11:$G$256)</f>
        <v>0</v>
      </c>
      <c r="L63" s="346">
        <f>SUMIF('A-2 On-Site Habitat Creation'!$F$11:$F$256,'G-2 Habitat groups'!A63,'A-2 On-Site Habitat Creation'!$Y$11:$Y$256)</f>
        <v>0</v>
      </c>
      <c r="M63" s="346">
        <f>SUMIF('A-3 On-Site Habitat Enhancement'!$S$12:$S$257,'G-2 Habitat groups'!A63,'A-3 On-Site Habitat Enhancement'!$V$12:$V$257)</f>
        <v>0</v>
      </c>
      <c r="N63" s="346">
        <f>SUMIF('A-3 On-Site Habitat Enhancement'!$S$12:$S$257,'G-2 Habitat groups'!A63,'A-3 On-Site Habitat Enhancement'!$AN$12:$AN$257)</f>
        <v>0</v>
      </c>
      <c r="O63" s="346">
        <f t="shared" si="43"/>
        <v>0</v>
      </c>
      <c r="P63" s="346">
        <f t="shared" si="44"/>
        <v>0</v>
      </c>
      <c r="Q63" s="346">
        <f t="shared" si="45"/>
        <v>0</v>
      </c>
      <c r="R63" s="346">
        <f t="shared" si="46"/>
        <v>0</v>
      </c>
      <c r="S63" s="346">
        <f>IF(C63="V.High",SUMIF('D-1 Off-Site Habitat Baseline'!$G$11:$G$258,'G-2 Habitat groups'!A63,'D-1 Off-Site Habitat Baseline'!$V$11:$V$258)+SUMIF('D-1 Off-Site Habitat Baseline'!$G$11:$G$258,'G-2 Habitat groups'!A63,'D-1 Off-Site Habitat Baseline'!$W$11:$W$258),SUMIF('D-1 Off-Site Habitat Baseline'!$G$11:$G$258,'G-2 Habitat groups'!A63,'D-1 Off-Site Habitat Baseline'!$H$11:$H$258))</f>
        <v>0</v>
      </c>
      <c r="T63" s="346">
        <f>SUMIF('D-1 Off-Site Habitat Baseline'!$G$11:$G$258,'G-2 Habitat groups'!A63,'D-1 Off-Site Habitat Baseline'!$T$11:$T$258)</f>
        <v>0</v>
      </c>
      <c r="U63" s="346">
        <f>SUMIF('D-1 Off-Site Habitat Baseline'!$G$11:$G$258,'G-2 Habitat groups'!A63,'D-1 Off-Site Habitat Baseline'!$V$11:$V$258)</f>
        <v>0</v>
      </c>
      <c r="V63" s="346">
        <f>SUMIF('D-1 Off-Site Habitat Baseline'!$G$11:$G$258,'G-2 Habitat groups'!A63,'D-1 Off-Site Habitat Baseline'!$X$11:$X$258)</f>
        <v>0</v>
      </c>
      <c r="W63" s="346">
        <f>SUMIF('D-2 Off-Site Habitat Creation'!$F$9:$F$255,'G-2 Habitat groups'!A63,'D-2 Off-Site Habitat Creation'!$G$9:$G$255)</f>
        <v>0</v>
      </c>
      <c r="X63" s="346">
        <f>SUMIF('D-2 Off-Site Habitat Creation'!$F$9:$F$255,'G-2 Habitat groups'!A63,'D-2 Off-Site Habitat Creation'!$AB$9:$AB$255)</f>
        <v>0</v>
      </c>
      <c r="Y63" s="346">
        <f>SUMIF('D-3 Off-Site Habitat Enhancment'!$S$12:$S$491,'G-2 Habitat groups'!A63,'D-3 Off-Site Habitat Enhancment'!$V$12:$V$491)</f>
        <v>0</v>
      </c>
      <c r="Z63" s="346">
        <f>SUMIF('D-3 Off-Site Habitat Enhancment'!$S$12:$S$491,'G-2 Habitat groups'!A63,'D-3 Off-Site Habitat Enhancment'!$AQ$12:$AQ$491)</f>
        <v>0</v>
      </c>
      <c r="AA63" s="346">
        <f t="shared" si="47"/>
        <v>0</v>
      </c>
      <c r="AB63" s="346">
        <f t="shared" si="48"/>
        <v>0</v>
      </c>
      <c r="AC63" s="346">
        <f t="shared" si="49"/>
        <v>0</v>
      </c>
      <c r="AD63" s="346">
        <f t="shared" si="50"/>
        <v>0</v>
      </c>
      <c r="AE63" s="346">
        <f t="shared" si="51"/>
        <v>0</v>
      </c>
      <c r="AF63" s="346">
        <f t="shared" si="52"/>
        <v>0</v>
      </c>
      <c r="AU63" s="68" t="s">
        <v>835</v>
      </c>
      <c r="AV63" s="68" t="s">
        <v>984</v>
      </c>
      <c r="AW63" s="358">
        <f t="shared" si="33"/>
        <v>0</v>
      </c>
      <c r="AX63" s="358">
        <f t="shared" si="34"/>
        <v>0</v>
      </c>
      <c r="AY63" s="358">
        <f t="shared" si="35"/>
        <v>0</v>
      </c>
      <c r="AZ63" s="358">
        <f t="shared" si="36"/>
        <v>0</v>
      </c>
      <c r="BA63" s="358">
        <f t="shared" si="37"/>
        <v>0</v>
      </c>
      <c r="BB63" s="358">
        <f t="shared" si="38"/>
        <v>0</v>
      </c>
      <c r="BC63" s="358">
        <f t="shared" si="39"/>
        <v>0</v>
      </c>
      <c r="BD63" s="358">
        <f t="shared" si="40"/>
        <v>0</v>
      </c>
      <c r="BE63" s="358">
        <f t="shared" si="41"/>
        <v>0</v>
      </c>
      <c r="BF63" s="358" t="str">
        <f t="shared" si="42"/>
        <v/>
      </c>
    </row>
    <row r="64" spans="1:58">
      <c r="A64" s="79" t="str">
        <f>'G-1 All Habitats'!B63</f>
        <v>Urban - Built linear features</v>
      </c>
      <c r="B64" s="68" t="str">
        <f>'G-1 All Habitats'!F63</f>
        <v>Urban</v>
      </c>
      <c r="C64" s="68" t="str">
        <f>'G-1 All Habitats'!K63</f>
        <v>V.Low</v>
      </c>
      <c r="D64" s="68" t="str">
        <f>'G-1 All Habitats'!M63</f>
        <v>Compensation Not Required</v>
      </c>
      <c r="E64" s="346">
        <f>IF(C64="V.High",SUMIF('A-1 On-Site Habitat Baseline'!$G$11:$G$258,'G-2 Habitat groups'!A64,'A-1 On-Site Habitat Baseline'!$S$11:$S$258)+SUMIF('A-1 On-Site Habitat Baseline'!$G$11:$G$258,'G-2 Habitat groups'!A64,'A-1 On-Site Habitat Baseline'!$T$11:$T$258),SUMIF('A-1 On-Site Habitat Baseline'!$G$11:$G$258,'G-2 Habitat groups'!A64,'A-1 On-Site Habitat Baseline'!$H$11:$H$258))</f>
        <v>0.06</v>
      </c>
      <c r="F64" s="346">
        <f>SUMIF('A-1 On-Site Habitat Baseline'!$G$11:$G$258,'G-2 Habitat groups'!A64,'A-1 On-Site Habitat Baseline'!$Q$11:$Q$258)</f>
        <v>0</v>
      </c>
      <c r="G64" s="346">
        <f>SUMIF('A-1 On-Site Habitat Baseline'!$G$11:$G$258,'G-2 Habitat groups'!A64,'A-1 On-Site Habitat Baseline'!$S$11:$S$258)</f>
        <v>0.06</v>
      </c>
      <c r="H64" s="346">
        <f>SUMIF('A-1 On-Site Habitat Baseline'!$G$11:$G$258,'G-2 Habitat groups'!A64,'A-1 On-Site Habitat Baseline'!$U$11:$U$258)</f>
        <v>0</v>
      </c>
      <c r="I64" s="346">
        <f>SUMIF('A-1 On-Site Habitat Baseline'!$G$11:$G$258,'G-2 Habitat groups'!A64,'A-1 On-Site Habitat Baseline'!$W$11:$W$258)</f>
        <v>0</v>
      </c>
      <c r="J64" s="346">
        <f>SUMIF('A-1 On-Site Habitat Baseline'!$G$11:$G$258,'G-2 Habitat groups'!A64,'A-1 On-Site Habitat Baseline'!$X$11:$X$258)</f>
        <v>0</v>
      </c>
      <c r="K64" s="346">
        <f>SUMIF('A-2 On-Site Habitat Creation'!$F$11:$F$256,'G-2 Habitat groups'!A64,'A-2 On-Site Habitat Creation'!$G$11:$G$256)</f>
        <v>0</v>
      </c>
      <c r="L64" s="346">
        <f>SUMIF('A-2 On-Site Habitat Creation'!$F$11:$F$256,'G-2 Habitat groups'!A64,'A-2 On-Site Habitat Creation'!$Y$11:$Y$256)</f>
        <v>0</v>
      </c>
      <c r="M64" s="346">
        <f>SUMIF('A-3 On-Site Habitat Enhancement'!$S$12:$S$257,'G-2 Habitat groups'!A64,'A-3 On-Site Habitat Enhancement'!$V$12:$V$257)</f>
        <v>0</v>
      </c>
      <c r="N64" s="346">
        <f>SUMIF('A-3 On-Site Habitat Enhancement'!$S$12:$S$257,'G-2 Habitat groups'!A64,'A-3 On-Site Habitat Enhancement'!$AN$12:$AN$257)</f>
        <v>0</v>
      </c>
      <c r="O64" s="346">
        <f t="shared" si="43"/>
        <v>0.06</v>
      </c>
      <c r="P64" s="346">
        <f t="shared" si="44"/>
        <v>0</v>
      </c>
      <c r="Q64" s="346">
        <f t="shared" si="45"/>
        <v>0</v>
      </c>
      <c r="R64" s="346">
        <f t="shared" si="46"/>
        <v>0</v>
      </c>
      <c r="S64" s="346">
        <f>IF(C64="V.High",SUMIF('D-1 Off-Site Habitat Baseline'!$G$11:$G$258,'G-2 Habitat groups'!A64,'D-1 Off-Site Habitat Baseline'!$V$11:$V$258)+SUMIF('D-1 Off-Site Habitat Baseline'!$G$11:$G$258,'G-2 Habitat groups'!A64,'D-1 Off-Site Habitat Baseline'!$W$11:$W$258),SUMIF('D-1 Off-Site Habitat Baseline'!$G$11:$G$258,'G-2 Habitat groups'!A64,'D-1 Off-Site Habitat Baseline'!$H$11:$H$258))</f>
        <v>0</v>
      </c>
      <c r="T64" s="346">
        <f>SUMIF('D-1 Off-Site Habitat Baseline'!$G$11:$G$258,'G-2 Habitat groups'!A64,'D-1 Off-Site Habitat Baseline'!$T$11:$T$258)</f>
        <v>0</v>
      </c>
      <c r="U64" s="346">
        <f>SUMIF('D-1 Off-Site Habitat Baseline'!$G$11:$G$258,'G-2 Habitat groups'!A64,'D-1 Off-Site Habitat Baseline'!$V$11:$V$258)</f>
        <v>0</v>
      </c>
      <c r="V64" s="346">
        <f>SUMIF('D-1 Off-Site Habitat Baseline'!$G$11:$G$258,'G-2 Habitat groups'!A64,'D-1 Off-Site Habitat Baseline'!$X$11:$X$258)</f>
        <v>0</v>
      </c>
      <c r="W64" s="346">
        <f>SUMIF('D-2 Off-Site Habitat Creation'!$F$9:$F$255,'G-2 Habitat groups'!A64,'D-2 Off-Site Habitat Creation'!$G$9:$G$255)</f>
        <v>0</v>
      </c>
      <c r="X64" s="346">
        <f>SUMIF('D-2 Off-Site Habitat Creation'!$F$9:$F$255,'G-2 Habitat groups'!A64,'D-2 Off-Site Habitat Creation'!$AB$9:$AB$255)</f>
        <v>0</v>
      </c>
      <c r="Y64" s="346">
        <f>SUMIF('D-3 Off-Site Habitat Enhancment'!$S$12:$S$491,'G-2 Habitat groups'!A64,'D-3 Off-Site Habitat Enhancment'!$V$12:$V$491)</f>
        <v>0</v>
      </c>
      <c r="Z64" s="346">
        <f>SUMIF('D-3 Off-Site Habitat Enhancment'!$S$12:$S$491,'G-2 Habitat groups'!A64,'D-3 Off-Site Habitat Enhancment'!$AQ$12:$AQ$491)</f>
        <v>0</v>
      </c>
      <c r="AA64" s="346">
        <f t="shared" si="47"/>
        <v>0</v>
      </c>
      <c r="AB64" s="346">
        <f t="shared" si="48"/>
        <v>0</v>
      </c>
      <c r="AC64" s="346">
        <f t="shared" si="49"/>
        <v>0</v>
      </c>
      <c r="AD64" s="346">
        <f t="shared" si="50"/>
        <v>0</v>
      </c>
      <c r="AE64" s="346">
        <f t="shared" si="51"/>
        <v>0</v>
      </c>
      <c r="AF64" s="346">
        <f t="shared" si="52"/>
        <v>0</v>
      </c>
      <c r="AU64" s="68" t="s">
        <v>842</v>
      </c>
      <c r="AV64" s="68" t="s">
        <v>984</v>
      </c>
      <c r="AW64" s="358">
        <f t="shared" si="33"/>
        <v>0</v>
      </c>
      <c r="AX64" s="358">
        <f t="shared" si="34"/>
        <v>0</v>
      </c>
      <c r="AY64" s="358">
        <f t="shared" si="35"/>
        <v>0</v>
      </c>
      <c r="AZ64" s="358">
        <f t="shared" si="36"/>
        <v>0</v>
      </c>
      <c r="BA64" s="358">
        <f t="shared" si="37"/>
        <v>0</v>
      </c>
      <c r="BB64" s="358">
        <f t="shared" si="38"/>
        <v>0</v>
      </c>
      <c r="BC64" s="358">
        <f t="shared" si="39"/>
        <v>0</v>
      </c>
      <c r="BD64" s="358">
        <f t="shared" si="40"/>
        <v>0</v>
      </c>
      <c r="BE64" s="358">
        <f t="shared" si="41"/>
        <v>0</v>
      </c>
      <c r="BF64" s="358" t="str">
        <f t="shared" si="42"/>
        <v/>
      </c>
    </row>
    <row r="65" spans="1:59">
      <c r="A65" s="79" t="str">
        <f>'G-1 All Habitats'!B64</f>
        <v>Urban - Cemeteries and churchyards</v>
      </c>
      <c r="B65" s="68" t="str">
        <f>'G-1 All Habitats'!F64</f>
        <v>Urban</v>
      </c>
      <c r="C65" s="68" t="str">
        <f>'G-1 All Habitats'!K64</f>
        <v>Medium</v>
      </c>
      <c r="D65" s="68" t="str">
        <f>'G-1 All Habitats'!M64</f>
        <v>Same broad habitat or a higher distinctiveness habitat required (≥)</v>
      </c>
      <c r="E65" s="346">
        <f>IF(C65="V.High",SUMIF('A-1 On-Site Habitat Baseline'!$G$11:$G$258,'G-2 Habitat groups'!A65,'A-1 On-Site Habitat Baseline'!$S$11:$S$258)+SUMIF('A-1 On-Site Habitat Baseline'!$G$11:$G$258,'G-2 Habitat groups'!A65,'A-1 On-Site Habitat Baseline'!$T$11:$T$258),SUMIF('A-1 On-Site Habitat Baseline'!$G$11:$G$258,'G-2 Habitat groups'!A65,'A-1 On-Site Habitat Baseline'!$H$11:$H$258))</f>
        <v>0</v>
      </c>
      <c r="F65" s="346">
        <f>SUMIF('A-1 On-Site Habitat Baseline'!$G$11:$G$258,'G-2 Habitat groups'!A65,'A-1 On-Site Habitat Baseline'!$Q$11:$Q$258)</f>
        <v>0</v>
      </c>
      <c r="G65" s="346">
        <f>SUMIF('A-1 On-Site Habitat Baseline'!$G$11:$G$258,'G-2 Habitat groups'!A65,'A-1 On-Site Habitat Baseline'!$S$11:$S$258)</f>
        <v>0</v>
      </c>
      <c r="H65" s="346">
        <f>SUMIF('A-1 On-Site Habitat Baseline'!$G$11:$G$258,'G-2 Habitat groups'!A65,'A-1 On-Site Habitat Baseline'!$U$11:$U$258)</f>
        <v>0</v>
      </c>
      <c r="I65" s="346">
        <f>SUMIF('A-1 On-Site Habitat Baseline'!$G$11:$G$258,'G-2 Habitat groups'!A65,'A-1 On-Site Habitat Baseline'!$W$11:$W$258)</f>
        <v>0</v>
      </c>
      <c r="J65" s="346">
        <f>SUMIF('A-1 On-Site Habitat Baseline'!$G$11:$G$258,'G-2 Habitat groups'!A65,'A-1 On-Site Habitat Baseline'!$X$11:$X$258)</f>
        <v>0</v>
      </c>
      <c r="K65" s="346">
        <f>SUMIF('A-2 On-Site Habitat Creation'!$F$11:$F$256,'G-2 Habitat groups'!A65,'A-2 On-Site Habitat Creation'!$G$11:$G$256)</f>
        <v>0</v>
      </c>
      <c r="L65" s="346">
        <f>SUMIF('A-2 On-Site Habitat Creation'!$F$11:$F$256,'G-2 Habitat groups'!A65,'A-2 On-Site Habitat Creation'!$Y$11:$Y$256)</f>
        <v>0</v>
      </c>
      <c r="M65" s="346">
        <f>SUMIF('A-3 On-Site Habitat Enhancement'!$S$12:$S$257,'G-2 Habitat groups'!A65,'A-3 On-Site Habitat Enhancement'!$V$12:$V$257)</f>
        <v>0</v>
      </c>
      <c r="N65" s="346">
        <f>SUMIF('A-3 On-Site Habitat Enhancement'!$S$12:$S$257,'G-2 Habitat groups'!A65,'A-3 On-Site Habitat Enhancement'!$AN$12:$AN$257)</f>
        <v>0</v>
      </c>
      <c r="O65" s="346">
        <f t="shared" si="43"/>
        <v>0</v>
      </c>
      <c r="P65" s="346">
        <f t="shared" si="44"/>
        <v>0</v>
      </c>
      <c r="Q65" s="346">
        <f t="shared" si="45"/>
        <v>0</v>
      </c>
      <c r="R65" s="346">
        <f t="shared" si="46"/>
        <v>0</v>
      </c>
      <c r="S65" s="346">
        <f>IF(C65="V.High",SUMIF('D-1 Off-Site Habitat Baseline'!$G$11:$G$258,'G-2 Habitat groups'!A65,'D-1 Off-Site Habitat Baseline'!$V$11:$V$258)+SUMIF('D-1 Off-Site Habitat Baseline'!$G$11:$G$258,'G-2 Habitat groups'!A65,'D-1 Off-Site Habitat Baseline'!$W$11:$W$258),SUMIF('D-1 Off-Site Habitat Baseline'!$G$11:$G$258,'G-2 Habitat groups'!A65,'D-1 Off-Site Habitat Baseline'!$H$11:$H$258))</f>
        <v>0</v>
      </c>
      <c r="T65" s="346">
        <f>SUMIF('D-1 Off-Site Habitat Baseline'!$G$11:$G$258,'G-2 Habitat groups'!A65,'D-1 Off-Site Habitat Baseline'!$T$11:$T$258)</f>
        <v>0</v>
      </c>
      <c r="U65" s="346">
        <f>SUMIF('D-1 Off-Site Habitat Baseline'!$G$11:$G$258,'G-2 Habitat groups'!A65,'D-1 Off-Site Habitat Baseline'!$V$11:$V$258)</f>
        <v>0</v>
      </c>
      <c r="V65" s="346">
        <f>SUMIF('D-1 Off-Site Habitat Baseline'!$G$11:$G$258,'G-2 Habitat groups'!A65,'D-1 Off-Site Habitat Baseline'!$X$11:$X$258)</f>
        <v>0</v>
      </c>
      <c r="W65" s="346">
        <f>SUMIF('D-2 Off-Site Habitat Creation'!$F$9:$F$255,'G-2 Habitat groups'!A65,'D-2 Off-Site Habitat Creation'!$G$9:$G$255)</f>
        <v>0</v>
      </c>
      <c r="X65" s="346">
        <f>SUMIF('D-2 Off-Site Habitat Creation'!$F$9:$F$255,'G-2 Habitat groups'!A65,'D-2 Off-Site Habitat Creation'!$AB$9:$AB$255)</f>
        <v>0</v>
      </c>
      <c r="Y65" s="346">
        <f>SUMIF('D-3 Off-Site Habitat Enhancment'!$S$12:$S$491,'G-2 Habitat groups'!A65,'D-3 Off-Site Habitat Enhancment'!$V$12:$V$491)</f>
        <v>0</v>
      </c>
      <c r="Z65" s="346">
        <f>SUMIF('D-3 Off-Site Habitat Enhancment'!$S$12:$S$491,'G-2 Habitat groups'!A65,'D-3 Off-Site Habitat Enhancment'!$AQ$12:$AQ$491)</f>
        <v>0</v>
      </c>
      <c r="AA65" s="346">
        <f t="shared" si="47"/>
        <v>0</v>
      </c>
      <c r="AB65" s="346">
        <f t="shared" si="48"/>
        <v>0</v>
      </c>
      <c r="AC65" s="346">
        <f t="shared" si="49"/>
        <v>0</v>
      </c>
      <c r="AD65" s="346">
        <f t="shared" si="50"/>
        <v>0</v>
      </c>
      <c r="AE65" s="346">
        <f t="shared" si="51"/>
        <v>0</v>
      </c>
      <c r="AF65" s="346">
        <f t="shared" si="52"/>
        <v>0</v>
      </c>
      <c r="AU65" s="68" t="s">
        <v>849</v>
      </c>
      <c r="AV65" s="68" t="s">
        <v>984</v>
      </c>
      <c r="AW65" s="358">
        <f t="shared" si="33"/>
        <v>0</v>
      </c>
      <c r="AX65" s="358">
        <f t="shared" si="34"/>
        <v>0</v>
      </c>
      <c r="AY65" s="358">
        <f t="shared" si="35"/>
        <v>0</v>
      </c>
      <c r="AZ65" s="358">
        <f t="shared" si="36"/>
        <v>0</v>
      </c>
      <c r="BA65" s="358">
        <f t="shared" si="37"/>
        <v>0</v>
      </c>
      <c r="BB65" s="358">
        <f t="shared" si="38"/>
        <v>0</v>
      </c>
      <c r="BC65" s="358">
        <f t="shared" si="39"/>
        <v>0</v>
      </c>
      <c r="BD65" s="358">
        <f t="shared" si="40"/>
        <v>0</v>
      </c>
      <c r="BE65" s="358">
        <f t="shared" si="41"/>
        <v>0</v>
      </c>
      <c r="BF65" s="358" t="str">
        <f t="shared" si="42"/>
        <v/>
      </c>
    </row>
    <row r="66" spans="1:59">
      <c r="A66" s="79" t="str">
        <f>'G-1 All Habitats'!B65</f>
        <v>Urban - Developed land; sealed surface</v>
      </c>
      <c r="B66" s="68" t="str">
        <f>'G-1 All Habitats'!F65</f>
        <v>Urban</v>
      </c>
      <c r="C66" s="68" t="str">
        <f>'G-1 All Habitats'!K65</f>
        <v>V.Low</v>
      </c>
      <c r="D66" s="68" t="str">
        <f>'G-1 All Habitats'!M65</f>
        <v>Compensation Not Required</v>
      </c>
      <c r="E66" s="346">
        <f>IF(C66="V.High",SUMIF('A-1 On-Site Habitat Baseline'!$G$11:$G$258,'G-2 Habitat groups'!A66,'A-1 On-Site Habitat Baseline'!$S$11:$S$258)+SUMIF('A-1 On-Site Habitat Baseline'!$G$11:$G$258,'G-2 Habitat groups'!A66,'A-1 On-Site Habitat Baseline'!$T$11:$T$258),SUMIF('A-1 On-Site Habitat Baseline'!$G$11:$G$258,'G-2 Habitat groups'!A66,'A-1 On-Site Habitat Baseline'!$H$11:$H$258))</f>
        <v>0.30500000000000005</v>
      </c>
      <c r="F66" s="346">
        <f>SUMIF('A-1 On-Site Habitat Baseline'!$G$11:$G$258,'G-2 Habitat groups'!A66,'A-1 On-Site Habitat Baseline'!$Q$11:$Q$258)</f>
        <v>0</v>
      </c>
      <c r="G66" s="346">
        <f>SUMIF('A-1 On-Site Habitat Baseline'!$G$11:$G$258,'G-2 Habitat groups'!A66,'A-1 On-Site Habitat Baseline'!$S$11:$S$258)</f>
        <v>0</v>
      </c>
      <c r="H66" s="346">
        <f>SUMIF('A-1 On-Site Habitat Baseline'!$G$11:$G$258,'G-2 Habitat groups'!A66,'A-1 On-Site Habitat Baseline'!$U$11:$U$258)</f>
        <v>0</v>
      </c>
      <c r="I66" s="346">
        <f>SUMIF('A-1 On-Site Habitat Baseline'!$G$11:$G$258,'G-2 Habitat groups'!A66,'A-1 On-Site Habitat Baseline'!$W$11:$W$258)</f>
        <v>0.30500000000000005</v>
      </c>
      <c r="J66" s="346">
        <f>SUMIF('A-1 On-Site Habitat Baseline'!$G$11:$G$258,'G-2 Habitat groups'!A66,'A-1 On-Site Habitat Baseline'!$X$11:$X$258)</f>
        <v>0</v>
      </c>
      <c r="K66" s="346">
        <f>SUMIF('A-2 On-Site Habitat Creation'!$F$11:$F$256,'G-2 Habitat groups'!A66,'A-2 On-Site Habitat Creation'!$G$11:$G$256)</f>
        <v>1.3179999999999998</v>
      </c>
      <c r="L66" s="346">
        <f>SUMIF('A-2 On-Site Habitat Creation'!$F$11:$F$256,'G-2 Habitat groups'!A66,'A-2 On-Site Habitat Creation'!$Y$11:$Y$256)</f>
        <v>0</v>
      </c>
      <c r="M66" s="346">
        <f>SUMIF('A-3 On-Site Habitat Enhancement'!$S$12:$S$257,'G-2 Habitat groups'!A66,'A-3 On-Site Habitat Enhancement'!$V$12:$V$257)</f>
        <v>0</v>
      </c>
      <c r="N66" s="346">
        <f>SUMIF('A-3 On-Site Habitat Enhancement'!$S$12:$S$257,'G-2 Habitat groups'!A66,'A-3 On-Site Habitat Enhancement'!$AN$12:$AN$257)</f>
        <v>0</v>
      </c>
      <c r="O66" s="346">
        <f t="shared" si="43"/>
        <v>1.3179999999999998</v>
      </c>
      <c r="P66" s="346">
        <f t="shared" si="44"/>
        <v>0</v>
      </c>
      <c r="Q66" s="346">
        <f t="shared" si="45"/>
        <v>1.0129999999999999</v>
      </c>
      <c r="R66" s="346">
        <f t="shared" si="46"/>
        <v>0</v>
      </c>
      <c r="S66" s="346">
        <f>IF(C66="V.High",SUMIF('D-1 Off-Site Habitat Baseline'!$G$11:$G$258,'G-2 Habitat groups'!A66,'D-1 Off-Site Habitat Baseline'!$V$11:$V$258)+SUMIF('D-1 Off-Site Habitat Baseline'!$G$11:$G$258,'G-2 Habitat groups'!A66,'D-1 Off-Site Habitat Baseline'!$W$11:$W$258),SUMIF('D-1 Off-Site Habitat Baseline'!$G$11:$G$258,'G-2 Habitat groups'!A66,'D-1 Off-Site Habitat Baseline'!$H$11:$H$258))</f>
        <v>0</v>
      </c>
      <c r="T66" s="346">
        <f>SUMIF('D-1 Off-Site Habitat Baseline'!$G$11:$G$258,'G-2 Habitat groups'!A66,'D-1 Off-Site Habitat Baseline'!$T$11:$T$258)</f>
        <v>0</v>
      </c>
      <c r="U66" s="346">
        <f>SUMIF('D-1 Off-Site Habitat Baseline'!$G$11:$G$258,'G-2 Habitat groups'!A66,'D-1 Off-Site Habitat Baseline'!$V$11:$V$258)</f>
        <v>0</v>
      </c>
      <c r="V66" s="346">
        <f>SUMIF('D-1 Off-Site Habitat Baseline'!$G$11:$G$258,'G-2 Habitat groups'!A66,'D-1 Off-Site Habitat Baseline'!$X$11:$X$258)</f>
        <v>0</v>
      </c>
      <c r="W66" s="346">
        <f>SUMIF('D-2 Off-Site Habitat Creation'!$F$9:$F$255,'G-2 Habitat groups'!A66,'D-2 Off-Site Habitat Creation'!$G$9:$G$255)</f>
        <v>0</v>
      </c>
      <c r="X66" s="346">
        <f>SUMIF('D-2 Off-Site Habitat Creation'!$F$9:$F$255,'G-2 Habitat groups'!A66,'D-2 Off-Site Habitat Creation'!$AB$9:$AB$255)</f>
        <v>0</v>
      </c>
      <c r="Y66" s="346">
        <f>SUMIF('D-3 Off-Site Habitat Enhancment'!$S$12:$S$491,'G-2 Habitat groups'!A66,'D-3 Off-Site Habitat Enhancment'!$V$12:$V$491)</f>
        <v>0</v>
      </c>
      <c r="Z66" s="346">
        <f>SUMIF('D-3 Off-Site Habitat Enhancment'!$S$12:$S$491,'G-2 Habitat groups'!A66,'D-3 Off-Site Habitat Enhancment'!$AQ$12:$AQ$491)</f>
        <v>0</v>
      </c>
      <c r="AA66" s="346">
        <f t="shared" si="47"/>
        <v>0</v>
      </c>
      <c r="AB66" s="346">
        <f t="shared" si="48"/>
        <v>0</v>
      </c>
      <c r="AC66" s="346">
        <f t="shared" si="49"/>
        <v>0</v>
      </c>
      <c r="AD66" s="346">
        <f t="shared" si="50"/>
        <v>0</v>
      </c>
      <c r="AE66" s="346">
        <f t="shared" si="51"/>
        <v>1.0129999999999999</v>
      </c>
      <c r="AF66" s="346">
        <f t="shared" si="52"/>
        <v>0</v>
      </c>
      <c r="AU66" s="68" t="s">
        <v>867</v>
      </c>
      <c r="AV66" s="68" t="s">
        <v>132</v>
      </c>
      <c r="AW66" s="358">
        <f t="shared" si="33"/>
        <v>0</v>
      </c>
      <c r="AX66" s="358">
        <f t="shared" si="34"/>
        <v>0</v>
      </c>
      <c r="AY66" s="358">
        <f t="shared" si="35"/>
        <v>0</v>
      </c>
      <c r="AZ66" s="358">
        <f t="shared" si="36"/>
        <v>0</v>
      </c>
      <c r="BA66" s="358">
        <f t="shared" si="37"/>
        <v>0</v>
      </c>
      <c r="BB66" s="358">
        <f t="shared" si="38"/>
        <v>0</v>
      </c>
      <c r="BC66" s="358">
        <f t="shared" si="39"/>
        <v>0</v>
      </c>
      <c r="BD66" s="358">
        <f t="shared" si="40"/>
        <v>0</v>
      </c>
      <c r="BE66" s="358">
        <f t="shared" si="41"/>
        <v>0</v>
      </c>
      <c r="BF66" s="358" t="str">
        <f t="shared" si="42"/>
        <v/>
      </c>
    </row>
    <row r="67" spans="1:59">
      <c r="A67" s="79" t="str">
        <f>'G-1 All Habitats'!B66</f>
        <v>Urban - Other green roof</v>
      </c>
      <c r="B67" s="68" t="str">
        <f>'G-1 All Habitats'!F66</f>
        <v>Urban</v>
      </c>
      <c r="C67" s="68" t="str">
        <f>'G-1 All Habitats'!K66</f>
        <v>Low</v>
      </c>
      <c r="D67" s="68" t="str">
        <f>'G-1 All Habitats'!M66</f>
        <v>Same distinctiveness or better habitat required ≥</v>
      </c>
      <c r="E67" s="346">
        <f>IF(C67="V.High",SUMIF('A-1 On-Site Habitat Baseline'!$G$11:$G$258,'G-2 Habitat groups'!A67,'A-1 On-Site Habitat Baseline'!$S$11:$S$258)+SUMIF('A-1 On-Site Habitat Baseline'!$G$11:$G$258,'G-2 Habitat groups'!A67,'A-1 On-Site Habitat Baseline'!$T$11:$T$258),SUMIF('A-1 On-Site Habitat Baseline'!$G$11:$G$258,'G-2 Habitat groups'!A67,'A-1 On-Site Habitat Baseline'!$H$11:$H$258))</f>
        <v>0</v>
      </c>
      <c r="F67" s="346">
        <f>SUMIF('A-1 On-Site Habitat Baseline'!$G$11:$G$258,'G-2 Habitat groups'!A67,'A-1 On-Site Habitat Baseline'!$Q$11:$Q$258)</f>
        <v>0</v>
      </c>
      <c r="G67" s="346">
        <f>SUMIF('A-1 On-Site Habitat Baseline'!$G$11:$G$258,'G-2 Habitat groups'!A67,'A-1 On-Site Habitat Baseline'!$S$11:$S$258)</f>
        <v>0</v>
      </c>
      <c r="H67" s="346">
        <f>SUMIF('A-1 On-Site Habitat Baseline'!$G$11:$G$258,'G-2 Habitat groups'!A67,'A-1 On-Site Habitat Baseline'!$U$11:$U$258)</f>
        <v>0</v>
      </c>
      <c r="I67" s="346">
        <f>SUMIF('A-1 On-Site Habitat Baseline'!$G$11:$G$258,'G-2 Habitat groups'!A67,'A-1 On-Site Habitat Baseline'!$W$11:$W$258)</f>
        <v>0</v>
      </c>
      <c r="J67" s="346">
        <f>SUMIF('A-1 On-Site Habitat Baseline'!$G$11:$G$258,'G-2 Habitat groups'!A67,'A-1 On-Site Habitat Baseline'!$X$11:$X$258)</f>
        <v>0</v>
      </c>
      <c r="K67" s="346">
        <f>SUMIF('A-2 On-Site Habitat Creation'!$F$11:$F$256,'G-2 Habitat groups'!A67,'A-2 On-Site Habitat Creation'!$G$11:$G$256)</f>
        <v>0</v>
      </c>
      <c r="L67" s="346">
        <f>SUMIF('A-2 On-Site Habitat Creation'!$F$11:$F$256,'G-2 Habitat groups'!A67,'A-2 On-Site Habitat Creation'!$Y$11:$Y$256)</f>
        <v>0</v>
      </c>
      <c r="M67" s="346">
        <f>SUMIF('A-3 On-Site Habitat Enhancement'!$S$12:$S$257,'G-2 Habitat groups'!A67,'A-3 On-Site Habitat Enhancement'!$V$12:$V$257)</f>
        <v>0</v>
      </c>
      <c r="N67" s="346">
        <f>SUMIF('A-3 On-Site Habitat Enhancement'!$S$12:$S$257,'G-2 Habitat groups'!A67,'A-3 On-Site Habitat Enhancement'!$AN$12:$AN$257)</f>
        <v>0</v>
      </c>
      <c r="O67" s="346">
        <f t="shared" si="43"/>
        <v>0</v>
      </c>
      <c r="P67" s="346">
        <f t="shared" si="44"/>
        <v>0</v>
      </c>
      <c r="Q67" s="346">
        <f t="shared" si="45"/>
        <v>0</v>
      </c>
      <c r="R67" s="346">
        <f t="shared" si="46"/>
        <v>0</v>
      </c>
      <c r="S67" s="346">
        <f>IF(C67="V.High",SUMIF('D-1 Off-Site Habitat Baseline'!$G$11:$G$258,'G-2 Habitat groups'!A67,'D-1 Off-Site Habitat Baseline'!$V$11:$V$258)+SUMIF('D-1 Off-Site Habitat Baseline'!$G$11:$G$258,'G-2 Habitat groups'!A67,'D-1 Off-Site Habitat Baseline'!$W$11:$W$258),SUMIF('D-1 Off-Site Habitat Baseline'!$G$11:$G$258,'G-2 Habitat groups'!A67,'D-1 Off-Site Habitat Baseline'!$H$11:$H$258))</f>
        <v>0</v>
      </c>
      <c r="T67" s="346">
        <f>SUMIF('D-1 Off-Site Habitat Baseline'!$G$11:$G$258,'G-2 Habitat groups'!A67,'D-1 Off-Site Habitat Baseline'!$T$11:$T$258)</f>
        <v>0</v>
      </c>
      <c r="U67" s="346">
        <f>SUMIF('D-1 Off-Site Habitat Baseline'!$G$11:$G$258,'G-2 Habitat groups'!A67,'D-1 Off-Site Habitat Baseline'!$V$11:$V$258)</f>
        <v>0</v>
      </c>
      <c r="V67" s="346">
        <f>SUMIF('D-1 Off-Site Habitat Baseline'!$G$11:$G$258,'G-2 Habitat groups'!A67,'D-1 Off-Site Habitat Baseline'!$X$11:$X$258)</f>
        <v>0</v>
      </c>
      <c r="W67" s="346">
        <f>SUMIF('D-2 Off-Site Habitat Creation'!$F$9:$F$255,'G-2 Habitat groups'!A67,'D-2 Off-Site Habitat Creation'!$G$9:$G$255)</f>
        <v>0</v>
      </c>
      <c r="X67" s="346">
        <f>SUMIF('D-2 Off-Site Habitat Creation'!$F$9:$F$255,'G-2 Habitat groups'!A67,'D-2 Off-Site Habitat Creation'!$AB$9:$AB$255)</f>
        <v>0</v>
      </c>
      <c r="Y67" s="346">
        <f>SUMIF('D-3 Off-Site Habitat Enhancment'!$S$12:$S$491,'G-2 Habitat groups'!A67,'D-3 Off-Site Habitat Enhancment'!$V$12:$V$491)</f>
        <v>0</v>
      </c>
      <c r="Z67" s="346">
        <f>SUMIF('D-3 Off-Site Habitat Enhancment'!$S$12:$S$491,'G-2 Habitat groups'!A67,'D-3 Off-Site Habitat Enhancment'!$AQ$12:$AQ$491)</f>
        <v>0</v>
      </c>
      <c r="AA67" s="346">
        <f t="shared" si="47"/>
        <v>0</v>
      </c>
      <c r="AB67" s="346">
        <f t="shared" si="48"/>
        <v>0</v>
      </c>
      <c r="AC67" s="346">
        <f t="shared" si="49"/>
        <v>0</v>
      </c>
      <c r="AD67" s="346">
        <f t="shared" si="50"/>
        <v>0</v>
      </c>
      <c r="AE67" s="346">
        <f t="shared" si="51"/>
        <v>0</v>
      </c>
      <c r="AF67" s="346">
        <f t="shared" si="52"/>
        <v>0</v>
      </c>
      <c r="AU67" s="68" t="s">
        <v>870</v>
      </c>
      <c r="AV67" s="68" t="s">
        <v>132</v>
      </c>
      <c r="AW67" s="358">
        <f t="shared" si="33"/>
        <v>0</v>
      </c>
      <c r="AX67" s="358">
        <f t="shared" si="34"/>
        <v>0</v>
      </c>
      <c r="AY67" s="358">
        <f t="shared" si="35"/>
        <v>0</v>
      </c>
      <c r="AZ67" s="358">
        <f t="shared" si="36"/>
        <v>0</v>
      </c>
      <c r="BA67" s="358">
        <f t="shared" si="37"/>
        <v>0</v>
      </c>
      <c r="BB67" s="358">
        <f t="shared" si="38"/>
        <v>0</v>
      </c>
      <c r="BC67" s="358">
        <f t="shared" si="39"/>
        <v>0</v>
      </c>
      <c r="BD67" s="358">
        <f t="shared" si="40"/>
        <v>0</v>
      </c>
      <c r="BE67" s="358">
        <f t="shared" si="41"/>
        <v>0</v>
      </c>
      <c r="BF67" s="358" t="str">
        <f t="shared" si="42"/>
        <v/>
      </c>
    </row>
    <row r="68" spans="1:59">
      <c r="A68" s="79" t="str">
        <f>'G-1 All Habitats'!B67</f>
        <v>Urban - Facade-bound green wall</v>
      </c>
      <c r="B68" s="68" t="str">
        <f>'G-1 All Habitats'!F67</f>
        <v>Urban</v>
      </c>
      <c r="C68" s="68" t="str">
        <f>'G-1 All Habitats'!K67</f>
        <v>Low</v>
      </c>
      <c r="D68" s="68" t="str">
        <f>'G-1 All Habitats'!M67</f>
        <v>Same distinctiveness or better habitat required ≥</v>
      </c>
      <c r="E68" s="346">
        <f>IF(C68="V.High",SUMIF('A-1 On-Site Habitat Baseline'!$G$11:$G$258,'G-2 Habitat groups'!A68,'A-1 On-Site Habitat Baseline'!$S$11:$S$258)+SUMIF('A-1 On-Site Habitat Baseline'!$G$11:$G$258,'G-2 Habitat groups'!A68,'A-1 On-Site Habitat Baseline'!$T$11:$T$258),SUMIF('A-1 On-Site Habitat Baseline'!$G$11:$G$258,'G-2 Habitat groups'!A68,'A-1 On-Site Habitat Baseline'!$H$11:$H$258))</f>
        <v>0</v>
      </c>
      <c r="F68" s="346">
        <f>SUMIF('A-1 On-Site Habitat Baseline'!$G$11:$G$258,'G-2 Habitat groups'!A68,'A-1 On-Site Habitat Baseline'!$Q$11:$Q$258)</f>
        <v>0</v>
      </c>
      <c r="G68" s="346">
        <f>SUMIF('A-1 On-Site Habitat Baseline'!$G$11:$G$258,'G-2 Habitat groups'!A68,'A-1 On-Site Habitat Baseline'!$S$11:$S$258)</f>
        <v>0</v>
      </c>
      <c r="H68" s="346">
        <f>SUMIF('A-1 On-Site Habitat Baseline'!$G$11:$G$258,'G-2 Habitat groups'!A68,'A-1 On-Site Habitat Baseline'!$U$11:$U$258)</f>
        <v>0</v>
      </c>
      <c r="I68" s="346">
        <f>SUMIF('A-1 On-Site Habitat Baseline'!$G$11:$G$258,'G-2 Habitat groups'!A68,'A-1 On-Site Habitat Baseline'!$W$11:$W$258)</f>
        <v>0</v>
      </c>
      <c r="J68" s="346">
        <f>SUMIF('A-1 On-Site Habitat Baseline'!$G$11:$G$258,'G-2 Habitat groups'!A68,'A-1 On-Site Habitat Baseline'!$X$11:$X$258)</f>
        <v>0</v>
      </c>
      <c r="K68" s="346">
        <f>SUMIF('A-2 On-Site Habitat Creation'!$F$11:$F$256,'G-2 Habitat groups'!A68,'A-2 On-Site Habitat Creation'!$G$11:$G$256)</f>
        <v>0</v>
      </c>
      <c r="L68" s="346">
        <f>SUMIF('A-2 On-Site Habitat Creation'!$F$11:$F$256,'G-2 Habitat groups'!A68,'A-2 On-Site Habitat Creation'!$Y$11:$Y$256)</f>
        <v>0</v>
      </c>
      <c r="M68" s="346">
        <f>SUMIF('A-3 On-Site Habitat Enhancement'!$S$12:$S$257,'G-2 Habitat groups'!A68,'A-3 On-Site Habitat Enhancement'!$V$12:$V$257)</f>
        <v>0</v>
      </c>
      <c r="N68" s="346">
        <f>SUMIF('A-3 On-Site Habitat Enhancement'!$S$12:$S$257,'G-2 Habitat groups'!A68,'A-3 On-Site Habitat Enhancement'!$AN$12:$AN$257)</f>
        <v>0</v>
      </c>
      <c r="O68" s="346">
        <f t="shared" si="43"/>
        <v>0</v>
      </c>
      <c r="P68" s="346">
        <f t="shared" si="44"/>
        <v>0</v>
      </c>
      <c r="Q68" s="346">
        <f t="shared" si="45"/>
        <v>0</v>
      </c>
      <c r="R68" s="346">
        <f t="shared" si="46"/>
        <v>0</v>
      </c>
      <c r="S68" s="346">
        <f>IF(C68="V.High",SUMIF('D-1 Off-Site Habitat Baseline'!$G$11:$G$258,'G-2 Habitat groups'!A68,'D-1 Off-Site Habitat Baseline'!$V$11:$V$258)+SUMIF('D-1 Off-Site Habitat Baseline'!$G$11:$G$258,'G-2 Habitat groups'!A68,'D-1 Off-Site Habitat Baseline'!$W$11:$W$258),SUMIF('D-1 Off-Site Habitat Baseline'!$G$11:$G$258,'G-2 Habitat groups'!A68,'D-1 Off-Site Habitat Baseline'!$H$11:$H$258))</f>
        <v>0</v>
      </c>
      <c r="T68" s="346">
        <f>SUMIF('D-1 Off-Site Habitat Baseline'!$G$11:$G$258,'G-2 Habitat groups'!A68,'D-1 Off-Site Habitat Baseline'!$T$11:$T$258)</f>
        <v>0</v>
      </c>
      <c r="U68" s="346">
        <f>SUMIF('D-1 Off-Site Habitat Baseline'!$G$11:$G$258,'G-2 Habitat groups'!A68,'D-1 Off-Site Habitat Baseline'!$V$11:$V$258)</f>
        <v>0</v>
      </c>
      <c r="V68" s="346">
        <f>SUMIF('D-1 Off-Site Habitat Baseline'!$G$11:$G$258,'G-2 Habitat groups'!A68,'D-1 Off-Site Habitat Baseline'!$X$11:$X$258)</f>
        <v>0</v>
      </c>
      <c r="W68" s="346">
        <f>SUMIF('D-2 Off-Site Habitat Creation'!$F$9:$F$255,'G-2 Habitat groups'!A68,'D-2 Off-Site Habitat Creation'!$G$9:$G$255)</f>
        <v>0</v>
      </c>
      <c r="X68" s="346">
        <f>SUMIF('D-2 Off-Site Habitat Creation'!$F$9:$F$255,'G-2 Habitat groups'!A68,'D-2 Off-Site Habitat Creation'!$AB$9:$AB$255)</f>
        <v>0</v>
      </c>
      <c r="Y68" s="346">
        <f>SUMIF('D-3 Off-Site Habitat Enhancment'!$S$12:$S$491,'G-2 Habitat groups'!A68,'D-3 Off-Site Habitat Enhancment'!$V$12:$V$491)</f>
        <v>0</v>
      </c>
      <c r="Z68" s="346">
        <f>SUMIF('D-3 Off-Site Habitat Enhancment'!$S$12:$S$491,'G-2 Habitat groups'!A68,'D-3 Off-Site Habitat Enhancment'!$AQ$12:$AQ$491)</f>
        <v>0</v>
      </c>
      <c r="AA68" s="346">
        <f t="shared" si="47"/>
        <v>0</v>
      </c>
      <c r="AB68" s="346">
        <f t="shared" si="48"/>
        <v>0</v>
      </c>
      <c r="AC68" s="346">
        <f t="shared" si="49"/>
        <v>0</v>
      </c>
      <c r="AD68" s="346">
        <f t="shared" si="50"/>
        <v>0</v>
      </c>
      <c r="AE68" s="346">
        <f t="shared" si="51"/>
        <v>0</v>
      </c>
      <c r="AF68" s="346">
        <f t="shared" si="52"/>
        <v>0</v>
      </c>
      <c r="AU68" s="68" t="s">
        <v>856</v>
      </c>
      <c r="AV68" s="68" t="s">
        <v>987</v>
      </c>
      <c r="AW68" s="358">
        <f t="shared" si="33"/>
        <v>0</v>
      </c>
      <c r="AX68" s="358">
        <f t="shared" si="34"/>
        <v>0</v>
      </c>
      <c r="AY68" s="358">
        <f t="shared" si="35"/>
        <v>0</v>
      </c>
      <c r="AZ68" s="358">
        <f t="shared" si="36"/>
        <v>0</v>
      </c>
      <c r="BA68" s="358">
        <f t="shared" si="37"/>
        <v>0</v>
      </c>
      <c r="BB68" s="358">
        <f t="shared" si="38"/>
        <v>0</v>
      </c>
      <c r="BC68" s="358">
        <f t="shared" si="39"/>
        <v>0</v>
      </c>
      <c r="BD68" s="358">
        <f t="shared" si="40"/>
        <v>0</v>
      </c>
      <c r="BE68" s="358">
        <f t="shared" si="41"/>
        <v>0</v>
      </c>
      <c r="BF68" s="358" t="str">
        <f t="shared" si="42"/>
        <v/>
      </c>
    </row>
    <row r="69" spans="1:59">
      <c r="A69" s="79" t="str">
        <f>'G-1 All Habitats'!B68</f>
        <v>Urban - Ground based green wall</v>
      </c>
      <c r="B69" s="68" t="str">
        <f>'G-1 All Habitats'!F68</f>
        <v>Urban</v>
      </c>
      <c r="C69" s="68" t="str">
        <f>'G-1 All Habitats'!K68</f>
        <v>Low</v>
      </c>
      <c r="D69" s="68" t="str">
        <f>'G-1 All Habitats'!M68</f>
        <v>Same distinctiveness or better habitat required ≥</v>
      </c>
      <c r="E69" s="346">
        <f>IF(C69="V.High",SUMIF('A-1 On-Site Habitat Baseline'!$G$11:$G$258,'G-2 Habitat groups'!A69,'A-1 On-Site Habitat Baseline'!$S$11:$S$258)+SUMIF('A-1 On-Site Habitat Baseline'!$G$11:$G$258,'G-2 Habitat groups'!A69,'A-1 On-Site Habitat Baseline'!$T$11:$T$258),SUMIF('A-1 On-Site Habitat Baseline'!$G$11:$G$258,'G-2 Habitat groups'!A69,'A-1 On-Site Habitat Baseline'!$H$11:$H$258))</f>
        <v>0</v>
      </c>
      <c r="F69" s="346">
        <f>SUMIF('A-1 On-Site Habitat Baseline'!$G$11:$G$258,'G-2 Habitat groups'!A69,'A-1 On-Site Habitat Baseline'!$Q$11:$Q$258)</f>
        <v>0</v>
      </c>
      <c r="G69" s="346">
        <f>SUMIF('A-1 On-Site Habitat Baseline'!$G$11:$G$258,'G-2 Habitat groups'!A69,'A-1 On-Site Habitat Baseline'!$S$11:$S$258)</f>
        <v>0</v>
      </c>
      <c r="H69" s="346">
        <f>SUMIF('A-1 On-Site Habitat Baseline'!$G$11:$G$258,'G-2 Habitat groups'!A69,'A-1 On-Site Habitat Baseline'!$U$11:$U$258)</f>
        <v>0</v>
      </c>
      <c r="I69" s="346">
        <f>SUMIF('A-1 On-Site Habitat Baseline'!$G$11:$G$258,'G-2 Habitat groups'!A69,'A-1 On-Site Habitat Baseline'!$W$11:$W$258)</f>
        <v>0</v>
      </c>
      <c r="J69" s="346">
        <f>SUMIF('A-1 On-Site Habitat Baseline'!$G$11:$G$258,'G-2 Habitat groups'!A69,'A-1 On-Site Habitat Baseline'!$X$11:$X$258)</f>
        <v>0</v>
      </c>
      <c r="K69" s="346">
        <f>SUMIF('A-2 On-Site Habitat Creation'!$F$11:$F$256,'G-2 Habitat groups'!A69,'A-2 On-Site Habitat Creation'!$G$11:$G$256)</f>
        <v>0</v>
      </c>
      <c r="L69" s="346">
        <f>SUMIF('A-2 On-Site Habitat Creation'!$F$11:$F$256,'G-2 Habitat groups'!A69,'A-2 On-Site Habitat Creation'!$Y$11:$Y$256)</f>
        <v>0</v>
      </c>
      <c r="M69" s="346">
        <f>SUMIF('A-3 On-Site Habitat Enhancement'!$S$12:$S$257,'G-2 Habitat groups'!A69,'A-3 On-Site Habitat Enhancement'!$V$12:$V$257)</f>
        <v>0</v>
      </c>
      <c r="N69" s="346">
        <f>SUMIF('A-3 On-Site Habitat Enhancement'!$S$12:$S$257,'G-2 Habitat groups'!A69,'A-3 On-Site Habitat Enhancement'!$AN$12:$AN$257)</f>
        <v>0</v>
      </c>
      <c r="O69" s="346">
        <f t="shared" ref="O69:O101" si="53">G69+K69+M69</f>
        <v>0</v>
      </c>
      <c r="P69" s="346">
        <f t="shared" ref="P69:P101" si="54">H69+L69+N69</f>
        <v>0</v>
      </c>
      <c r="Q69" s="346">
        <f t="shared" ref="Q69:Q101" si="55">O69-E69</f>
        <v>0</v>
      </c>
      <c r="R69" s="346">
        <f t="shared" ref="R69:R101" si="56">P69-F69</f>
        <v>0</v>
      </c>
      <c r="S69" s="346">
        <f>IF(C69="V.High",SUMIF('D-1 Off-Site Habitat Baseline'!$G$11:$G$258,'G-2 Habitat groups'!A69,'D-1 Off-Site Habitat Baseline'!$V$11:$V$258)+SUMIF('D-1 Off-Site Habitat Baseline'!$G$11:$G$258,'G-2 Habitat groups'!A69,'D-1 Off-Site Habitat Baseline'!$W$11:$W$258),SUMIF('D-1 Off-Site Habitat Baseline'!$G$11:$G$258,'G-2 Habitat groups'!A69,'D-1 Off-Site Habitat Baseline'!$H$11:$H$258))</f>
        <v>0</v>
      </c>
      <c r="T69" s="346">
        <f>SUMIF('D-1 Off-Site Habitat Baseline'!$G$11:$G$258,'G-2 Habitat groups'!A69,'D-1 Off-Site Habitat Baseline'!$T$11:$T$258)</f>
        <v>0</v>
      </c>
      <c r="U69" s="346">
        <f>SUMIF('D-1 Off-Site Habitat Baseline'!$G$11:$G$258,'G-2 Habitat groups'!A69,'D-1 Off-Site Habitat Baseline'!$V$11:$V$258)</f>
        <v>0</v>
      </c>
      <c r="V69" s="346">
        <f>SUMIF('D-1 Off-Site Habitat Baseline'!$G$11:$G$258,'G-2 Habitat groups'!A69,'D-1 Off-Site Habitat Baseline'!$X$11:$X$258)</f>
        <v>0</v>
      </c>
      <c r="W69" s="346">
        <f>SUMIF('D-2 Off-Site Habitat Creation'!$F$9:$F$255,'G-2 Habitat groups'!A69,'D-2 Off-Site Habitat Creation'!$G$9:$G$255)</f>
        <v>0</v>
      </c>
      <c r="X69" s="346">
        <f>SUMIF('D-2 Off-Site Habitat Creation'!$F$9:$F$255,'G-2 Habitat groups'!A69,'D-2 Off-Site Habitat Creation'!$AB$9:$AB$255)</f>
        <v>0</v>
      </c>
      <c r="Y69" s="346">
        <f>SUMIF('D-3 Off-Site Habitat Enhancment'!$S$12:$S$491,'G-2 Habitat groups'!A69,'D-3 Off-Site Habitat Enhancment'!$V$12:$V$491)</f>
        <v>0</v>
      </c>
      <c r="Z69" s="346">
        <f>SUMIF('D-3 Off-Site Habitat Enhancment'!$S$12:$S$491,'G-2 Habitat groups'!A69,'D-3 Off-Site Habitat Enhancment'!$AQ$12:$AQ$491)</f>
        <v>0</v>
      </c>
      <c r="AA69" s="346">
        <f t="shared" ref="AA69:AA101" si="57">U69+W69+Y69</f>
        <v>0</v>
      </c>
      <c r="AB69" s="346">
        <f t="shared" ref="AB69:AB101" si="58">V69+X69+Z69</f>
        <v>0</v>
      </c>
      <c r="AC69" s="346">
        <f t="shared" ref="AC69:AC101" si="59">AA69-S69</f>
        <v>0</v>
      </c>
      <c r="AD69" s="346">
        <f t="shared" ref="AD69:AD101" si="60">AB69-T69</f>
        <v>0</v>
      </c>
      <c r="AE69" s="346">
        <f t="shared" ref="AE69:AE101" si="61">Q69+AC69</f>
        <v>0</v>
      </c>
      <c r="AF69" s="346">
        <f t="shared" ref="AF69:AF101" si="62">R69+AD69</f>
        <v>0</v>
      </c>
      <c r="AU69" s="91" t="s">
        <v>880</v>
      </c>
      <c r="AV69" s="68" t="s">
        <v>132</v>
      </c>
      <c r="AW69" s="358">
        <f t="shared" si="33"/>
        <v>0</v>
      </c>
      <c r="AX69" s="358">
        <f t="shared" si="34"/>
        <v>0</v>
      </c>
      <c r="AY69" s="358">
        <f t="shared" si="35"/>
        <v>0</v>
      </c>
      <c r="AZ69" s="358">
        <f t="shared" si="36"/>
        <v>0</v>
      </c>
      <c r="BA69" s="358">
        <f t="shared" si="37"/>
        <v>0</v>
      </c>
      <c r="BB69" s="358">
        <f t="shared" si="38"/>
        <v>0</v>
      </c>
      <c r="BC69" s="358">
        <f t="shared" si="39"/>
        <v>0</v>
      </c>
      <c r="BD69" s="358">
        <f t="shared" si="40"/>
        <v>0</v>
      </c>
      <c r="BE69" s="358">
        <f t="shared" si="41"/>
        <v>0</v>
      </c>
      <c r="BF69" s="358" t="str">
        <f t="shared" si="42"/>
        <v/>
      </c>
    </row>
    <row r="70" spans="1:59">
      <c r="A70" s="79" t="str">
        <f>'G-1 All Habitats'!B69</f>
        <v>Urban - Ground level planters</v>
      </c>
      <c r="B70" s="68" t="str">
        <f>'G-1 All Habitats'!F69</f>
        <v>Urban</v>
      </c>
      <c r="C70" s="68" t="str">
        <f>'G-1 All Habitats'!K69</f>
        <v>Low</v>
      </c>
      <c r="D70" s="68" t="str">
        <f>'G-1 All Habitats'!M69</f>
        <v>Same distinctiveness or better habitat required ≥</v>
      </c>
      <c r="E70" s="346">
        <f>IF(C70="V.High",SUMIF('A-1 On-Site Habitat Baseline'!$G$11:$G$258,'G-2 Habitat groups'!A70,'A-1 On-Site Habitat Baseline'!$S$11:$S$258)+SUMIF('A-1 On-Site Habitat Baseline'!$G$11:$G$258,'G-2 Habitat groups'!A70,'A-1 On-Site Habitat Baseline'!$T$11:$T$258),SUMIF('A-1 On-Site Habitat Baseline'!$G$11:$G$258,'G-2 Habitat groups'!A70,'A-1 On-Site Habitat Baseline'!$H$11:$H$258))</f>
        <v>0</v>
      </c>
      <c r="F70" s="346">
        <f>SUMIF('A-1 On-Site Habitat Baseline'!$G$11:$G$258,'G-2 Habitat groups'!A70,'A-1 On-Site Habitat Baseline'!$Q$11:$Q$258)</f>
        <v>0</v>
      </c>
      <c r="G70" s="346">
        <f>SUMIF('A-1 On-Site Habitat Baseline'!$G$11:$G$258,'G-2 Habitat groups'!A70,'A-1 On-Site Habitat Baseline'!$S$11:$S$258)</f>
        <v>0</v>
      </c>
      <c r="H70" s="346">
        <f>SUMIF('A-1 On-Site Habitat Baseline'!$G$11:$G$258,'G-2 Habitat groups'!A70,'A-1 On-Site Habitat Baseline'!$U$11:$U$258)</f>
        <v>0</v>
      </c>
      <c r="I70" s="346">
        <f>SUMIF('A-1 On-Site Habitat Baseline'!$G$11:$G$258,'G-2 Habitat groups'!A70,'A-1 On-Site Habitat Baseline'!$W$11:$W$258)</f>
        <v>0</v>
      </c>
      <c r="J70" s="346">
        <f>SUMIF('A-1 On-Site Habitat Baseline'!$G$11:$G$258,'G-2 Habitat groups'!A70,'A-1 On-Site Habitat Baseline'!$X$11:$X$258)</f>
        <v>0</v>
      </c>
      <c r="K70" s="346">
        <f>SUMIF('A-2 On-Site Habitat Creation'!$F$11:$F$256,'G-2 Habitat groups'!A70,'A-2 On-Site Habitat Creation'!$G$11:$G$256)</f>
        <v>0</v>
      </c>
      <c r="L70" s="346">
        <f>SUMIF('A-2 On-Site Habitat Creation'!$F$11:$F$256,'G-2 Habitat groups'!A70,'A-2 On-Site Habitat Creation'!$Y$11:$Y$256)</f>
        <v>0</v>
      </c>
      <c r="M70" s="346">
        <f>SUMIF('A-3 On-Site Habitat Enhancement'!$S$12:$S$257,'G-2 Habitat groups'!A70,'A-3 On-Site Habitat Enhancement'!$V$12:$V$257)</f>
        <v>0</v>
      </c>
      <c r="N70" s="346">
        <f>SUMIF('A-3 On-Site Habitat Enhancement'!$S$12:$S$257,'G-2 Habitat groups'!A70,'A-3 On-Site Habitat Enhancement'!$AN$12:$AN$257)</f>
        <v>0</v>
      </c>
      <c r="O70" s="346">
        <f t="shared" si="53"/>
        <v>0</v>
      </c>
      <c r="P70" s="346">
        <f t="shared" si="54"/>
        <v>0</v>
      </c>
      <c r="Q70" s="346">
        <f t="shared" si="55"/>
        <v>0</v>
      </c>
      <c r="R70" s="346">
        <f t="shared" si="56"/>
        <v>0</v>
      </c>
      <c r="S70" s="346">
        <f>IF(C70="V.High",SUMIF('D-1 Off-Site Habitat Baseline'!$G$11:$G$258,'G-2 Habitat groups'!A70,'D-1 Off-Site Habitat Baseline'!$V$11:$V$258)+SUMIF('D-1 Off-Site Habitat Baseline'!$G$11:$G$258,'G-2 Habitat groups'!A70,'D-1 Off-Site Habitat Baseline'!$W$11:$W$258),SUMIF('D-1 Off-Site Habitat Baseline'!$G$11:$G$258,'G-2 Habitat groups'!A70,'D-1 Off-Site Habitat Baseline'!$H$11:$H$258))</f>
        <v>0</v>
      </c>
      <c r="T70" s="346">
        <f>SUMIF('D-1 Off-Site Habitat Baseline'!$G$11:$G$258,'G-2 Habitat groups'!A70,'D-1 Off-Site Habitat Baseline'!$T$11:$T$258)</f>
        <v>0</v>
      </c>
      <c r="U70" s="346">
        <f>SUMIF('D-1 Off-Site Habitat Baseline'!$G$11:$G$258,'G-2 Habitat groups'!A70,'D-1 Off-Site Habitat Baseline'!$V$11:$V$258)</f>
        <v>0</v>
      </c>
      <c r="V70" s="346">
        <f>SUMIF('D-1 Off-Site Habitat Baseline'!$G$11:$G$258,'G-2 Habitat groups'!A70,'D-1 Off-Site Habitat Baseline'!$X$11:$X$258)</f>
        <v>0</v>
      </c>
      <c r="W70" s="346">
        <f>SUMIF('D-2 Off-Site Habitat Creation'!$F$9:$F$255,'G-2 Habitat groups'!A70,'D-2 Off-Site Habitat Creation'!$G$9:$G$255)</f>
        <v>0</v>
      </c>
      <c r="X70" s="346">
        <f>SUMIF('D-2 Off-Site Habitat Creation'!$F$9:$F$255,'G-2 Habitat groups'!A70,'D-2 Off-Site Habitat Creation'!$AB$9:$AB$255)</f>
        <v>0</v>
      </c>
      <c r="Y70" s="346">
        <f>SUMIF('D-3 Off-Site Habitat Enhancment'!$S$12:$S$491,'G-2 Habitat groups'!A70,'D-3 Off-Site Habitat Enhancment'!$V$12:$V$491)</f>
        <v>0</v>
      </c>
      <c r="Z70" s="346">
        <f>SUMIF('D-3 Off-Site Habitat Enhancment'!$S$12:$S$491,'G-2 Habitat groups'!A70,'D-3 Off-Site Habitat Enhancment'!$AQ$12:$AQ$491)</f>
        <v>0</v>
      </c>
      <c r="AA70" s="346">
        <f t="shared" si="57"/>
        <v>0</v>
      </c>
      <c r="AB70" s="346">
        <f t="shared" si="58"/>
        <v>0</v>
      </c>
      <c r="AC70" s="346">
        <f t="shared" si="59"/>
        <v>0</v>
      </c>
      <c r="AD70" s="346">
        <f t="shared" si="60"/>
        <v>0</v>
      </c>
      <c r="AE70" s="346">
        <f t="shared" si="61"/>
        <v>0</v>
      </c>
      <c r="AF70" s="346">
        <f t="shared" si="62"/>
        <v>0</v>
      </c>
      <c r="AU70" s="91" t="s">
        <v>884</v>
      </c>
      <c r="AV70" s="68" t="s">
        <v>132</v>
      </c>
      <c r="AW70" s="358">
        <f t="shared" si="33"/>
        <v>0</v>
      </c>
      <c r="AX70" s="358">
        <f t="shared" si="34"/>
        <v>0</v>
      </c>
      <c r="AY70" s="358">
        <f t="shared" si="35"/>
        <v>0</v>
      </c>
      <c r="AZ70" s="358">
        <f t="shared" si="36"/>
        <v>0</v>
      </c>
      <c r="BA70" s="358">
        <f t="shared" si="37"/>
        <v>0</v>
      </c>
      <c r="BB70" s="358">
        <f t="shared" si="38"/>
        <v>0</v>
      </c>
      <c r="BC70" s="358">
        <f t="shared" si="39"/>
        <v>0</v>
      </c>
      <c r="BD70" s="358">
        <f t="shared" si="40"/>
        <v>0</v>
      </c>
      <c r="BE70" s="358">
        <f t="shared" si="41"/>
        <v>0</v>
      </c>
      <c r="BF70" s="358" t="str">
        <f t="shared" si="42"/>
        <v/>
      </c>
    </row>
    <row r="71" spans="1:59">
      <c r="A71" s="79" t="str">
        <f>'G-1 All Habitats'!B70</f>
        <v>Urban - Biodiverse green roof</v>
      </c>
      <c r="B71" s="68" t="str">
        <f>'G-1 All Habitats'!F70</f>
        <v>Urban</v>
      </c>
      <c r="C71" s="68" t="str">
        <f>'G-1 All Habitats'!K70</f>
        <v>Medium</v>
      </c>
      <c r="D71" s="68" t="str">
        <f>'G-1 All Habitats'!M70</f>
        <v>Same broad habitat or a higher distinctiveness habitat required (≥)</v>
      </c>
      <c r="E71" s="346">
        <f>IF(C71="V.High",SUMIF('A-1 On-Site Habitat Baseline'!$G$11:$G$258,'G-2 Habitat groups'!A71,'A-1 On-Site Habitat Baseline'!$S$11:$S$258)+SUMIF('A-1 On-Site Habitat Baseline'!$G$11:$G$258,'G-2 Habitat groups'!A71,'A-1 On-Site Habitat Baseline'!$T$11:$T$258),SUMIF('A-1 On-Site Habitat Baseline'!$G$11:$G$258,'G-2 Habitat groups'!A71,'A-1 On-Site Habitat Baseline'!$H$11:$H$258))</f>
        <v>0</v>
      </c>
      <c r="F71" s="346">
        <f>SUMIF('A-1 On-Site Habitat Baseline'!$G$11:$G$258,'G-2 Habitat groups'!A71,'A-1 On-Site Habitat Baseline'!$Q$11:$Q$258)</f>
        <v>0</v>
      </c>
      <c r="G71" s="346">
        <f>SUMIF('A-1 On-Site Habitat Baseline'!$G$11:$G$258,'G-2 Habitat groups'!A71,'A-1 On-Site Habitat Baseline'!$S$11:$S$258)</f>
        <v>0</v>
      </c>
      <c r="H71" s="346">
        <f>SUMIF('A-1 On-Site Habitat Baseline'!$G$11:$G$258,'G-2 Habitat groups'!A71,'A-1 On-Site Habitat Baseline'!$U$11:$U$258)</f>
        <v>0</v>
      </c>
      <c r="I71" s="346">
        <f>SUMIF('A-1 On-Site Habitat Baseline'!$G$11:$G$258,'G-2 Habitat groups'!A71,'A-1 On-Site Habitat Baseline'!$W$11:$W$258)</f>
        <v>0</v>
      </c>
      <c r="J71" s="346">
        <f>SUMIF('A-1 On-Site Habitat Baseline'!$G$11:$G$258,'G-2 Habitat groups'!A71,'A-1 On-Site Habitat Baseline'!$X$11:$X$258)</f>
        <v>0</v>
      </c>
      <c r="K71" s="346">
        <f>SUMIF('A-2 On-Site Habitat Creation'!$F$11:$F$256,'G-2 Habitat groups'!A71,'A-2 On-Site Habitat Creation'!$G$11:$G$256)</f>
        <v>0</v>
      </c>
      <c r="L71" s="346">
        <f>SUMIF('A-2 On-Site Habitat Creation'!$F$11:$F$256,'G-2 Habitat groups'!A71,'A-2 On-Site Habitat Creation'!$Y$11:$Y$256)</f>
        <v>0</v>
      </c>
      <c r="M71" s="346">
        <f>SUMIF('A-3 On-Site Habitat Enhancement'!$S$12:$S$257,'G-2 Habitat groups'!A71,'A-3 On-Site Habitat Enhancement'!$V$12:$V$257)</f>
        <v>0</v>
      </c>
      <c r="N71" s="346">
        <f>SUMIF('A-3 On-Site Habitat Enhancement'!$S$12:$S$257,'G-2 Habitat groups'!A71,'A-3 On-Site Habitat Enhancement'!$AN$12:$AN$257)</f>
        <v>0</v>
      </c>
      <c r="O71" s="346">
        <f t="shared" si="53"/>
        <v>0</v>
      </c>
      <c r="P71" s="346">
        <f t="shared" si="54"/>
        <v>0</v>
      </c>
      <c r="Q71" s="346">
        <f t="shared" si="55"/>
        <v>0</v>
      </c>
      <c r="R71" s="346">
        <f t="shared" si="56"/>
        <v>0</v>
      </c>
      <c r="S71" s="346">
        <f>IF(C71="V.High",SUMIF('D-1 Off-Site Habitat Baseline'!$G$11:$G$258,'G-2 Habitat groups'!A71,'D-1 Off-Site Habitat Baseline'!$V$11:$V$258)+SUMIF('D-1 Off-Site Habitat Baseline'!$G$11:$G$258,'G-2 Habitat groups'!A71,'D-1 Off-Site Habitat Baseline'!$W$11:$W$258),SUMIF('D-1 Off-Site Habitat Baseline'!$G$11:$G$258,'G-2 Habitat groups'!A71,'D-1 Off-Site Habitat Baseline'!$H$11:$H$258))</f>
        <v>0</v>
      </c>
      <c r="T71" s="346">
        <f>SUMIF('D-1 Off-Site Habitat Baseline'!$G$11:$G$258,'G-2 Habitat groups'!A71,'D-1 Off-Site Habitat Baseline'!$T$11:$T$258)</f>
        <v>0</v>
      </c>
      <c r="U71" s="346">
        <f>SUMIF('D-1 Off-Site Habitat Baseline'!$G$11:$G$258,'G-2 Habitat groups'!A71,'D-1 Off-Site Habitat Baseline'!$V$11:$V$258)</f>
        <v>0</v>
      </c>
      <c r="V71" s="346">
        <f>SUMIF('D-1 Off-Site Habitat Baseline'!$G$11:$G$258,'G-2 Habitat groups'!A71,'D-1 Off-Site Habitat Baseline'!$X$11:$X$258)</f>
        <v>0</v>
      </c>
      <c r="W71" s="346">
        <f>SUMIF('D-2 Off-Site Habitat Creation'!$F$9:$F$255,'G-2 Habitat groups'!A71,'D-2 Off-Site Habitat Creation'!$G$9:$G$255)</f>
        <v>0</v>
      </c>
      <c r="X71" s="346">
        <f>SUMIF('D-2 Off-Site Habitat Creation'!$F$9:$F$255,'G-2 Habitat groups'!A71,'D-2 Off-Site Habitat Creation'!$AB$9:$AB$255)</f>
        <v>0</v>
      </c>
      <c r="Y71" s="346">
        <f>SUMIF('D-3 Off-Site Habitat Enhancment'!$S$12:$S$491,'G-2 Habitat groups'!A71,'D-3 Off-Site Habitat Enhancment'!$V$12:$V$491)</f>
        <v>0</v>
      </c>
      <c r="Z71" s="346">
        <f>SUMIF('D-3 Off-Site Habitat Enhancment'!$S$12:$S$491,'G-2 Habitat groups'!A71,'D-3 Off-Site Habitat Enhancment'!$AQ$12:$AQ$491)</f>
        <v>0</v>
      </c>
      <c r="AA71" s="346">
        <f t="shared" si="57"/>
        <v>0</v>
      </c>
      <c r="AB71" s="346">
        <f t="shared" si="58"/>
        <v>0</v>
      </c>
      <c r="AC71" s="346">
        <f t="shared" si="59"/>
        <v>0</v>
      </c>
      <c r="AD71" s="346">
        <f t="shared" si="60"/>
        <v>0</v>
      </c>
      <c r="AE71" s="346">
        <f t="shared" si="61"/>
        <v>0</v>
      </c>
      <c r="AF71" s="346">
        <f t="shared" si="62"/>
        <v>0</v>
      </c>
      <c r="AU71" s="68" t="s">
        <v>887</v>
      </c>
      <c r="AV71" s="68" t="s">
        <v>132</v>
      </c>
      <c r="AW71" s="358">
        <f t="shared" si="33"/>
        <v>0</v>
      </c>
      <c r="AX71" s="358">
        <f t="shared" si="34"/>
        <v>0</v>
      </c>
      <c r="AY71" s="358">
        <f t="shared" si="35"/>
        <v>0</v>
      </c>
      <c r="AZ71" s="358">
        <f t="shared" si="36"/>
        <v>0</v>
      </c>
      <c r="BA71" s="358">
        <f t="shared" si="37"/>
        <v>0</v>
      </c>
      <c r="BB71" s="358">
        <f t="shared" si="38"/>
        <v>0</v>
      </c>
      <c r="BC71" s="358">
        <f t="shared" si="39"/>
        <v>0</v>
      </c>
      <c r="BD71" s="358">
        <f t="shared" si="40"/>
        <v>0</v>
      </c>
      <c r="BE71" s="358">
        <f t="shared" si="41"/>
        <v>0</v>
      </c>
      <c r="BF71" s="358" t="str">
        <f t="shared" si="42"/>
        <v/>
      </c>
    </row>
    <row r="72" spans="1:59">
      <c r="A72" s="79" t="str">
        <f>'G-1 All Habitats'!B71</f>
        <v>Urban - Introduced shrub</v>
      </c>
      <c r="B72" s="68" t="str">
        <f>'G-1 All Habitats'!F71</f>
        <v>Urban</v>
      </c>
      <c r="C72" s="68" t="str">
        <f>'G-1 All Habitats'!K71</f>
        <v>Low</v>
      </c>
      <c r="D72" s="68" t="str">
        <f>'G-1 All Habitats'!M71</f>
        <v>Same distinctiveness or better habitat required ≥</v>
      </c>
      <c r="E72" s="346">
        <f>IF(C72="V.High",SUMIF('A-1 On-Site Habitat Baseline'!$G$11:$G$258,'G-2 Habitat groups'!A72,'A-1 On-Site Habitat Baseline'!$S$11:$S$258)+SUMIF('A-1 On-Site Habitat Baseline'!$G$11:$G$258,'G-2 Habitat groups'!A72,'A-1 On-Site Habitat Baseline'!$T$11:$T$258),SUMIF('A-1 On-Site Habitat Baseline'!$G$11:$G$258,'G-2 Habitat groups'!A72,'A-1 On-Site Habitat Baseline'!$H$11:$H$258))</f>
        <v>0</v>
      </c>
      <c r="F72" s="346">
        <f>SUMIF('A-1 On-Site Habitat Baseline'!$G$11:$G$258,'G-2 Habitat groups'!A72,'A-1 On-Site Habitat Baseline'!$Q$11:$Q$258)</f>
        <v>0</v>
      </c>
      <c r="G72" s="346">
        <f>SUMIF('A-1 On-Site Habitat Baseline'!$G$11:$G$258,'G-2 Habitat groups'!A72,'A-1 On-Site Habitat Baseline'!$S$11:$S$258)</f>
        <v>0</v>
      </c>
      <c r="H72" s="346">
        <f>SUMIF('A-1 On-Site Habitat Baseline'!$G$11:$G$258,'G-2 Habitat groups'!A72,'A-1 On-Site Habitat Baseline'!$U$11:$U$258)</f>
        <v>0</v>
      </c>
      <c r="I72" s="346">
        <f>SUMIF('A-1 On-Site Habitat Baseline'!$G$11:$G$258,'G-2 Habitat groups'!A72,'A-1 On-Site Habitat Baseline'!$W$11:$W$258)</f>
        <v>0</v>
      </c>
      <c r="J72" s="346">
        <f>SUMIF('A-1 On-Site Habitat Baseline'!$G$11:$G$258,'G-2 Habitat groups'!A72,'A-1 On-Site Habitat Baseline'!$X$11:$X$258)</f>
        <v>0</v>
      </c>
      <c r="K72" s="346">
        <f>SUMIF('A-2 On-Site Habitat Creation'!$F$11:$F$256,'G-2 Habitat groups'!A72,'A-2 On-Site Habitat Creation'!$G$11:$G$256)</f>
        <v>0</v>
      </c>
      <c r="L72" s="346">
        <f>SUMIF('A-2 On-Site Habitat Creation'!$F$11:$F$256,'G-2 Habitat groups'!A72,'A-2 On-Site Habitat Creation'!$Y$11:$Y$256)</f>
        <v>0</v>
      </c>
      <c r="M72" s="346">
        <f>SUMIF('A-3 On-Site Habitat Enhancement'!$S$12:$S$257,'G-2 Habitat groups'!A72,'A-3 On-Site Habitat Enhancement'!$V$12:$V$257)</f>
        <v>0</v>
      </c>
      <c r="N72" s="346">
        <f>SUMIF('A-3 On-Site Habitat Enhancement'!$S$12:$S$257,'G-2 Habitat groups'!A72,'A-3 On-Site Habitat Enhancement'!$AN$12:$AN$257)</f>
        <v>0</v>
      </c>
      <c r="O72" s="346">
        <f t="shared" si="53"/>
        <v>0</v>
      </c>
      <c r="P72" s="346">
        <f t="shared" si="54"/>
        <v>0</v>
      </c>
      <c r="Q72" s="346">
        <f t="shared" si="55"/>
        <v>0</v>
      </c>
      <c r="R72" s="346">
        <f t="shared" si="56"/>
        <v>0</v>
      </c>
      <c r="S72" s="346">
        <f>IF(C72="V.High",SUMIF('D-1 Off-Site Habitat Baseline'!$G$11:$G$258,'G-2 Habitat groups'!A72,'D-1 Off-Site Habitat Baseline'!$V$11:$V$258)+SUMIF('D-1 Off-Site Habitat Baseline'!$G$11:$G$258,'G-2 Habitat groups'!A72,'D-1 Off-Site Habitat Baseline'!$W$11:$W$258),SUMIF('D-1 Off-Site Habitat Baseline'!$G$11:$G$258,'G-2 Habitat groups'!A72,'D-1 Off-Site Habitat Baseline'!$H$11:$H$258))</f>
        <v>0</v>
      </c>
      <c r="T72" s="346">
        <f>SUMIF('D-1 Off-Site Habitat Baseline'!$G$11:$G$258,'G-2 Habitat groups'!A72,'D-1 Off-Site Habitat Baseline'!$T$11:$T$258)</f>
        <v>0</v>
      </c>
      <c r="U72" s="346">
        <f>SUMIF('D-1 Off-Site Habitat Baseline'!$G$11:$G$258,'G-2 Habitat groups'!A72,'D-1 Off-Site Habitat Baseline'!$V$11:$V$258)</f>
        <v>0</v>
      </c>
      <c r="V72" s="346">
        <f>SUMIF('D-1 Off-Site Habitat Baseline'!$G$11:$G$258,'G-2 Habitat groups'!A72,'D-1 Off-Site Habitat Baseline'!$X$11:$X$258)</f>
        <v>0</v>
      </c>
      <c r="W72" s="346">
        <f>SUMIF('D-2 Off-Site Habitat Creation'!$F$9:$F$255,'G-2 Habitat groups'!A72,'D-2 Off-Site Habitat Creation'!$G$9:$G$255)</f>
        <v>0</v>
      </c>
      <c r="X72" s="346">
        <f>SUMIF('D-2 Off-Site Habitat Creation'!$F$9:$F$255,'G-2 Habitat groups'!A72,'D-2 Off-Site Habitat Creation'!$AB$9:$AB$255)</f>
        <v>0</v>
      </c>
      <c r="Y72" s="346">
        <f>SUMIF('D-3 Off-Site Habitat Enhancment'!$S$12:$S$491,'G-2 Habitat groups'!A72,'D-3 Off-Site Habitat Enhancment'!$V$12:$V$491)</f>
        <v>0</v>
      </c>
      <c r="Z72" s="346">
        <f>SUMIF('D-3 Off-Site Habitat Enhancment'!$S$12:$S$491,'G-2 Habitat groups'!A72,'D-3 Off-Site Habitat Enhancment'!$AQ$12:$AQ$491)</f>
        <v>0</v>
      </c>
      <c r="AA72" s="346">
        <f t="shared" si="57"/>
        <v>0</v>
      </c>
      <c r="AB72" s="346">
        <f t="shared" si="58"/>
        <v>0</v>
      </c>
      <c r="AC72" s="346">
        <f t="shared" si="59"/>
        <v>0</v>
      </c>
      <c r="AD72" s="346">
        <f t="shared" si="60"/>
        <v>0</v>
      </c>
      <c r="AE72" s="346">
        <f t="shared" si="61"/>
        <v>0</v>
      </c>
      <c r="AF72" s="346">
        <f t="shared" si="62"/>
        <v>0</v>
      </c>
      <c r="AU72" s="80" t="s">
        <v>914</v>
      </c>
      <c r="AV72" s="68" t="s">
        <v>132</v>
      </c>
      <c r="AW72" s="358">
        <f t="shared" si="33"/>
        <v>0</v>
      </c>
      <c r="AX72" s="358">
        <f t="shared" si="34"/>
        <v>0</v>
      </c>
      <c r="AY72" s="358">
        <f t="shared" si="35"/>
        <v>0</v>
      </c>
      <c r="AZ72" s="358">
        <f t="shared" si="36"/>
        <v>0</v>
      </c>
      <c r="BA72" s="358">
        <f t="shared" si="37"/>
        <v>0</v>
      </c>
      <c r="BB72" s="358">
        <f t="shared" si="38"/>
        <v>0</v>
      </c>
      <c r="BC72" s="358">
        <f t="shared" si="39"/>
        <v>0</v>
      </c>
      <c r="BD72" s="358">
        <f t="shared" si="40"/>
        <v>0</v>
      </c>
      <c r="BE72" s="358">
        <f t="shared" si="41"/>
        <v>0</v>
      </c>
      <c r="BF72" s="358" t="str">
        <f t="shared" si="42"/>
        <v/>
      </c>
    </row>
    <row r="73" spans="1:59">
      <c r="A73" s="79" t="str">
        <f>'G-1 All Habitats'!B72</f>
        <v>Urban - Open mosaic habitats on previously developed land</v>
      </c>
      <c r="B73" s="68" t="str">
        <f>'G-1 All Habitats'!F72</f>
        <v>Urban</v>
      </c>
      <c r="C73" s="68" t="str">
        <f>'G-1 All Habitats'!K72</f>
        <v>High</v>
      </c>
      <c r="D73" s="68" t="str">
        <f>'G-1 All Habitats'!M72</f>
        <v>Same habitat required =</v>
      </c>
      <c r="E73" s="346">
        <f>IF(C73="V.High",SUMIF('A-1 On-Site Habitat Baseline'!$G$11:$G$258,'G-2 Habitat groups'!A73,'A-1 On-Site Habitat Baseline'!$S$11:$S$258)+SUMIF('A-1 On-Site Habitat Baseline'!$G$11:$G$258,'G-2 Habitat groups'!A73,'A-1 On-Site Habitat Baseline'!$T$11:$T$258),SUMIF('A-1 On-Site Habitat Baseline'!$G$11:$G$258,'G-2 Habitat groups'!A73,'A-1 On-Site Habitat Baseline'!$H$11:$H$258))</f>
        <v>0</v>
      </c>
      <c r="F73" s="346">
        <f>SUMIF('A-1 On-Site Habitat Baseline'!$G$11:$G$258,'G-2 Habitat groups'!A73,'A-1 On-Site Habitat Baseline'!$Q$11:$Q$258)</f>
        <v>0</v>
      </c>
      <c r="G73" s="346">
        <f>SUMIF('A-1 On-Site Habitat Baseline'!$G$11:$G$258,'G-2 Habitat groups'!A73,'A-1 On-Site Habitat Baseline'!$S$11:$S$258)</f>
        <v>0</v>
      </c>
      <c r="H73" s="346">
        <f>SUMIF('A-1 On-Site Habitat Baseline'!$G$11:$G$258,'G-2 Habitat groups'!A73,'A-1 On-Site Habitat Baseline'!$U$11:$U$258)</f>
        <v>0</v>
      </c>
      <c r="I73" s="346">
        <f>SUMIF('A-1 On-Site Habitat Baseline'!$G$11:$G$258,'G-2 Habitat groups'!A73,'A-1 On-Site Habitat Baseline'!$W$11:$W$258)</f>
        <v>0</v>
      </c>
      <c r="J73" s="346">
        <f>SUMIF('A-1 On-Site Habitat Baseline'!$G$11:$G$258,'G-2 Habitat groups'!A73,'A-1 On-Site Habitat Baseline'!$X$11:$X$258)</f>
        <v>0</v>
      </c>
      <c r="K73" s="346">
        <f>SUMIF('A-2 On-Site Habitat Creation'!$F$11:$F$256,'G-2 Habitat groups'!A73,'A-2 On-Site Habitat Creation'!$G$11:$G$256)</f>
        <v>0</v>
      </c>
      <c r="L73" s="346">
        <f>SUMIF('A-2 On-Site Habitat Creation'!$F$11:$F$256,'G-2 Habitat groups'!A73,'A-2 On-Site Habitat Creation'!$Y$11:$Y$256)</f>
        <v>0</v>
      </c>
      <c r="M73" s="346">
        <f>SUMIF('A-3 On-Site Habitat Enhancement'!$S$12:$S$257,'G-2 Habitat groups'!A73,'A-3 On-Site Habitat Enhancement'!$V$12:$V$257)</f>
        <v>0</v>
      </c>
      <c r="N73" s="346">
        <f>SUMIF('A-3 On-Site Habitat Enhancement'!$S$12:$S$257,'G-2 Habitat groups'!A73,'A-3 On-Site Habitat Enhancement'!$AN$12:$AN$257)</f>
        <v>0</v>
      </c>
      <c r="O73" s="346">
        <f t="shared" si="53"/>
        <v>0</v>
      </c>
      <c r="P73" s="346">
        <f t="shared" si="54"/>
        <v>0</v>
      </c>
      <c r="Q73" s="346">
        <f t="shared" si="55"/>
        <v>0</v>
      </c>
      <c r="R73" s="346">
        <f t="shared" si="56"/>
        <v>0</v>
      </c>
      <c r="S73" s="346">
        <f>IF(C73="V.High",SUMIF('D-1 Off-Site Habitat Baseline'!$G$11:$G$258,'G-2 Habitat groups'!A73,'D-1 Off-Site Habitat Baseline'!$V$11:$V$258)+SUMIF('D-1 Off-Site Habitat Baseline'!$G$11:$G$258,'G-2 Habitat groups'!A73,'D-1 Off-Site Habitat Baseline'!$W$11:$W$258),SUMIF('D-1 Off-Site Habitat Baseline'!$G$11:$G$258,'G-2 Habitat groups'!A73,'D-1 Off-Site Habitat Baseline'!$H$11:$H$258))</f>
        <v>0</v>
      </c>
      <c r="T73" s="346">
        <f>SUMIF('D-1 Off-Site Habitat Baseline'!$G$11:$G$258,'G-2 Habitat groups'!A73,'D-1 Off-Site Habitat Baseline'!$T$11:$T$258)</f>
        <v>0</v>
      </c>
      <c r="U73" s="346">
        <f>SUMIF('D-1 Off-Site Habitat Baseline'!$G$11:$G$258,'G-2 Habitat groups'!A73,'D-1 Off-Site Habitat Baseline'!$V$11:$V$258)</f>
        <v>0</v>
      </c>
      <c r="V73" s="346">
        <f>SUMIF('D-1 Off-Site Habitat Baseline'!$G$11:$G$258,'G-2 Habitat groups'!A73,'D-1 Off-Site Habitat Baseline'!$X$11:$X$258)</f>
        <v>0</v>
      </c>
      <c r="W73" s="346">
        <f>SUMIF('D-2 Off-Site Habitat Creation'!$F$9:$F$255,'G-2 Habitat groups'!A73,'D-2 Off-Site Habitat Creation'!$G$9:$G$255)</f>
        <v>0</v>
      </c>
      <c r="X73" s="346">
        <f>SUMIF('D-2 Off-Site Habitat Creation'!$F$9:$F$255,'G-2 Habitat groups'!A73,'D-2 Off-Site Habitat Creation'!$AB$9:$AB$255)</f>
        <v>0</v>
      </c>
      <c r="Y73" s="346">
        <f>SUMIF('D-3 Off-Site Habitat Enhancment'!$S$12:$S$491,'G-2 Habitat groups'!A73,'D-3 Off-Site Habitat Enhancment'!$V$12:$V$491)</f>
        <v>0</v>
      </c>
      <c r="Z73" s="346">
        <f>SUMIF('D-3 Off-Site Habitat Enhancment'!$S$12:$S$491,'G-2 Habitat groups'!A73,'D-3 Off-Site Habitat Enhancment'!$AQ$12:$AQ$491)</f>
        <v>0</v>
      </c>
      <c r="AA73" s="346">
        <f t="shared" si="57"/>
        <v>0</v>
      </c>
      <c r="AB73" s="346">
        <f t="shared" si="58"/>
        <v>0</v>
      </c>
      <c r="AC73" s="346">
        <f t="shared" si="59"/>
        <v>0</v>
      </c>
      <c r="AD73" s="346">
        <f t="shared" si="60"/>
        <v>0</v>
      </c>
      <c r="AE73" s="346">
        <f t="shared" si="61"/>
        <v>0</v>
      </c>
      <c r="AF73" s="346">
        <f t="shared" si="62"/>
        <v>0</v>
      </c>
      <c r="AU73" s="650" t="s">
        <v>230</v>
      </c>
      <c r="AV73" s="650" t="s">
        <v>132</v>
      </c>
      <c r="AW73" s="358">
        <f t="shared" si="33"/>
        <v>0</v>
      </c>
      <c r="AX73" s="358">
        <f t="shared" si="34"/>
        <v>0</v>
      </c>
      <c r="AY73" s="358">
        <f t="shared" si="35"/>
        <v>0</v>
      </c>
      <c r="AZ73" s="358">
        <f t="shared" si="36"/>
        <v>0</v>
      </c>
      <c r="BA73" s="358">
        <f t="shared" si="37"/>
        <v>0</v>
      </c>
      <c r="BB73" s="358">
        <f t="shared" si="38"/>
        <v>0</v>
      </c>
      <c r="BC73" s="358">
        <f t="shared" si="39"/>
        <v>0</v>
      </c>
      <c r="BD73" s="358">
        <f t="shared" si="40"/>
        <v>0</v>
      </c>
      <c r="BE73" s="358">
        <f t="shared" si="41"/>
        <v>0</v>
      </c>
      <c r="BF73" s="358" t="str">
        <f t="shared" si="42"/>
        <v/>
      </c>
    </row>
    <row r="74" spans="1:59">
      <c r="A74" s="79" t="str">
        <f>'G-1 All Habitats'!B73</f>
        <v>Urban - Rain garden</v>
      </c>
      <c r="B74" s="68" t="str">
        <f>'G-1 All Habitats'!F73</f>
        <v>Urban</v>
      </c>
      <c r="C74" s="68" t="str">
        <f>'G-1 All Habitats'!K73</f>
        <v>Low</v>
      </c>
      <c r="D74" s="68" t="str">
        <f>'G-1 All Habitats'!M73</f>
        <v>Same distinctiveness or better habitat required ≥</v>
      </c>
      <c r="E74" s="346">
        <f>IF(C74="V.High",SUMIF('A-1 On-Site Habitat Baseline'!$G$11:$G$258,'G-2 Habitat groups'!A74,'A-1 On-Site Habitat Baseline'!$S$11:$S$258)+SUMIF('A-1 On-Site Habitat Baseline'!$G$11:$G$258,'G-2 Habitat groups'!A74,'A-1 On-Site Habitat Baseline'!$T$11:$T$258),SUMIF('A-1 On-Site Habitat Baseline'!$G$11:$G$258,'G-2 Habitat groups'!A74,'A-1 On-Site Habitat Baseline'!$H$11:$H$258))</f>
        <v>0</v>
      </c>
      <c r="F74" s="346">
        <f>SUMIF('A-1 On-Site Habitat Baseline'!$G$11:$G$258,'G-2 Habitat groups'!A74,'A-1 On-Site Habitat Baseline'!$Q$11:$Q$258)</f>
        <v>0</v>
      </c>
      <c r="G74" s="346">
        <f>SUMIF('A-1 On-Site Habitat Baseline'!$G$11:$G$258,'G-2 Habitat groups'!A74,'A-1 On-Site Habitat Baseline'!$S$11:$S$258)</f>
        <v>0</v>
      </c>
      <c r="H74" s="346">
        <f>SUMIF('A-1 On-Site Habitat Baseline'!$G$11:$G$258,'G-2 Habitat groups'!A74,'A-1 On-Site Habitat Baseline'!$U$11:$U$258)</f>
        <v>0</v>
      </c>
      <c r="I74" s="346">
        <f>SUMIF('A-1 On-Site Habitat Baseline'!$G$11:$G$258,'G-2 Habitat groups'!A74,'A-1 On-Site Habitat Baseline'!$W$11:$W$258)</f>
        <v>0</v>
      </c>
      <c r="J74" s="346">
        <f>SUMIF('A-1 On-Site Habitat Baseline'!$G$11:$G$258,'G-2 Habitat groups'!A74,'A-1 On-Site Habitat Baseline'!$X$11:$X$258)</f>
        <v>0</v>
      </c>
      <c r="K74" s="346">
        <f>SUMIF('A-2 On-Site Habitat Creation'!$F$11:$F$256,'G-2 Habitat groups'!A74,'A-2 On-Site Habitat Creation'!$G$11:$G$256)</f>
        <v>0</v>
      </c>
      <c r="L74" s="346">
        <f>SUMIF('A-2 On-Site Habitat Creation'!$F$11:$F$256,'G-2 Habitat groups'!A74,'A-2 On-Site Habitat Creation'!$Y$11:$Y$256)</f>
        <v>0</v>
      </c>
      <c r="M74" s="346">
        <f>SUMIF('A-3 On-Site Habitat Enhancement'!$S$12:$S$257,'G-2 Habitat groups'!A74,'A-3 On-Site Habitat Enhancement'!$V$12:$V$257)</f>
        <v>0</v>
      </c>
      <c r="N74" s="346">
        <f>SUMIF('A-3 On-Site Habitat Enhancement'!$S$12:$S$257,'G-2 Habitat groups'!A74,'A-3 On-Site Habitat Enhancement'!$AN$12:$AN$257)</f>
        <v>0</v>
      </c>
      <c r="O74" s="346">
        <f t="shared" si="53"/>
        <v>0</v>
      </c>
      <c r="P74" s="346">
        <f t="shared" si="54"/>
        <v>0</v>
      </c>
      <c r="Q74" s="346">
        <f t="shared" si="55"/>
        <v>0</v>
      </c>
      <c r="R74" s="346">
        <f t="shared" si="56"/>
        <v>0</v>
      </c>
      <c r="S74" s="346">
        <f>IF(C74="V.High",SUMIF('D-1 Off-Site Habitat Baseline'!$G$11:$G$258,'G-2 Habitat groups'!A74,'D-1 Off-Site Habitat Baseline'!$V$11:$V$258)+SUMIF('D-1 Off-Site Habitat Baseline'!$G$11:$G$258,'G-2 Habitat groups'!A74,'D-1 Off-Site Habitat Baseline'!$W$11:$W$258),SUMIF('D-1 Off-Site Habitat Baseline'!$G$11:$G$258,'G-2 Habitat groups'!A74,'D-1 Off-Site Habitat Baseline'!$H$11:$H$258))</f>
        <v>0</v>
      </c>
      <c r="T74" s="346">
        <f>SUMIF('D-1 Off-Site Habitat Baseline'!$G$11:$G$258,'G-2 Habitat groups'!A74,'D-1 Off-Site Habitat Baseline'!$T$11:$T$258)</f>
        <v>0</v>
      </c>
      <c r="U74" s="346">
        <f>SUMIF('D-1 Off-Site Habitat Baseline'!$G$11:$G$258,'G-2 Habitat groups'!A74,'D-1 Off-Site Habitat Baseline'!$V$11:$V$258)</f>
        <v>0</v>
      </c>
      <c r="V74" s="346">
        <f>SUMIF('D-1 Off-Site Habitat Baseline'!$G$11:$G$258,'G-2 Habitat groups'!A74,'D-1 Off-Site Habitat Baseline'!$X$11:$X$258)</f>
        <v>0</v>
      </c>
      <c r="W74" s="346">
        <f>SUMIF('D-2 Off-Site Habitat Creation'!$F$9:$F$255,'G-2 Habitat groups'!A74,'D-2 Off-Site Habitat Creation'!$G$9:$G$255)</f>
        <v>0</v>
      </c>
      <c r="X74" s="346">
        <f>SUMIF('D-2 Off-Site Habitat Creation'!$F$9:$F$255,'G-2 Habitat groups'!A74,'D-2 Off-Site Habitat Creation'!$AB$9:$AB$255)</f>
        <v>0</v>
      </c>
      <c r="Y74" s="346">
        <f>SUMIF('D-3 Off-Site Habitat Enhancment'!$S$12:$S$491,'G-2 Habitat groups'!A74,'D-3 Off-Site Habitat Enhancment'!$V$12:$V$491)</f>
        <v>0</v>
      </c>
      <c r="Z74" s="346">
        <f>SUMIF('D-3 Off-Site Habitat Enhancment'!$S$12:$S$491,'G-2 Habitat groups'!A74,'D-3 Off-Site Habitat Enhancment'!$AQ$12:$AQ$491)</f>
        <v>0</v>
      </c>
      <c r="AA74" s="346">
        <f t="shared" si="57"/>
        <v>0</v>
      </c>
      <c r="AB74" s="346">
        <f t="shared" si="58"/>
        <v>0</v>
      </c>
      <c r="AC74" s="346">
        <f t="shared" si="59"/>
        <v>0</v>
      </c>
      <c r="AD74" s="346">
        <f t="shared" si="60"/>
        <v>0</v>
      </c>
      <c r="AE74" s="346">
        <f t="shared" si="61"/>
        <v>0</v>
      </c>
      <c r="AF74" s="346">
        <f t="shared" si="62"/>
        <v>0</v>
      </c>
    </row>
    <row r="75" spans="1:59">
      <c r="A75" s="79" t="str">
        <f>'G-1 All Habitats'!B74</f>
        <v>Urban - Actively worked sand pit quarry or open cast mine</v>
      </c>
      <c r="B75" s="68" t="str">
        <f>'G-1 All Habitats'!F74</f>
        <v>Urban</v>
      </c>
      <c r="C75" s="68" t="str">
        <f>'G-1 All Habitats'!K74</f>
        <v>Low</v>
      </c>
      <c r="D75" s="68" t="str">
        <f>'G-1 All Habitats'!M74</f>
        <v>Same distinctiveness or better habitat required ≥</v>
      </c>
      <c r="E75" s="346">
        <f>IF(C75="V.High",SUMIF('A-1 On-Site Habitat Baseline'!$G$11:$G$258,'G-2 Habitat groups'!A75,'A-1 On-Site Habitat Baseline'!$S$11:$S$258)+SUMIF('A-1 On-Site Habitat Baseline'!$G$11:$G$258,'G-2 Habitat groups'!A75,'A-1 On-Site Habitat Baseline'!$T$11:$T$258),SUMIF('A-1 On-Site Habitat Baseline'!$G$11:$G$258,'G-2 Habitat groups'!A75,'A-1 On-Site Habitat Baseline'!$H$11:$H$258))</f>
        <v>0</v>
      </c>
      <c r="F75" s="346">
        <f>SUMIF('A-1 On-Site Habitat Baseline'!$G$11:$G$258,'G-2 Habitat groups'!A75,'A-1 On-Site Habitat Baseline'!$Q$11:$Q$258)</f>
        <v>0</v>
      </c>
      <c r="G75" s="346">
        <f>SUMIF('A-1 On-Site Habitat Baseline'!$G$11:$G$258,'G-2 Habitat groups'!A75,'A-1 On-Site Habitat Baseline'!$S$11:$S$258)</f>
        <v>0</v>
      </c>
      <c r="H75" s="346">
        <f>SUMIF('A-1 On-Site Habitat Baseline'!$G$11:$G$258,'G-2 Habitat groups'!A75,'A-1 On-Site Habitat Baseline'!$U$11:$U$258)</f>
        <v>0</v>
      </c>
      <c r="I75" s="346">
        <f>SUMIF('A-1 On-Site Habitat Baseline'!$G$11:$G$258,'G-2 Habitat groups'!A75,'A-1 On-Site Habitat Baseline'!$W$11:$W$258)</f>
        <v>0</v>
      </c>
      <c r="J75" s="346">
        <f>SUMIF('A-1 On-Site Habitat Baseline'!$G$11:$G$258,'G-2 Habitat groups'!A75,'A-1 On-Site Habitat Baseline'!$X$11:$X$258)</f>
        <v>0</v>
      </c>
      <c r="K75" s="346">
        <f>SUMIF('A-2 On-Site Habitat Creation'!$F$11:$F$256,'G-2 Habitat groups'!A75,'A-2 On-Site Habitat Creation'!$G$11:$G$256)</f>
        <v>0</v>
      </c>
      <c r="L75" s="346">
        <f>SUMIF('A-2 On-Site Habitat Creation'!$F$11:$F$256,'G-2 Habitat groups'!A75,'A-2 On-Site Habitat Creation'!$Y$11:$Y$256)</f>
        <v>0</v>
      </c>
      <c r="M75" s="346">
        <f>SUMIF('A-3 On-Site Habitat Enhancement'!$S$12:$S$257,'G-2 Habitat groups'!A75,'A-3 On-Site Habitat Enhancement'!$V$12:$V$257)</f>
        <v>0</v>
      </c>
      <c r="N75" s="346">
        <f>SUMIF('A-3 On-Site Habitat Enhancement'!$S$12:$S$257,'G-2 Habitat groups'!A75,'A-3 On-Site Habitat Enhancement'!$AN$12:$AN$257)</f>
        <v>0</v>
      </c>
      <c r="O75" s="346">
        <f t="shared" si="53"/>
        <v>0</v>
      </c>
      <c r="P75" s="346">
        <f t="shared" si="54"/>
        <v>0</v>
      </c>
      <c r="Q75" s="346">
        <f t="shared" si="55"/>
        <v>0</v>
      </c>
      <c r="R75" s="346">
        <f t="shared" si="56"/>
        <v>0</v>
      </c>
      <c r="S75" s="346">
        <f>IF(C75="V.High",SUMIF('D-1 Off-Site Habitat Baseline'!$G$11:$G$258,'G-2 Habitat groups'!A75,'D-1 Off-Site Habitat Baseline'!$V$11:$V$258)+SUMIF('D-1 Off-Site Habitat Baseline'!$G$11:$G$258,'G-2 Habitat groups'!A75,'D-1 Off-Site Habitat Baseline'!$W$11:$W$258),SUMIF('D-1 Off-Site Habitat Baseline'!$G$11:$G$258,'G-2 Habitat groups'!A75,'D-1 Off-Site Habitat Baseline'!$H$11:$H$258))</f>
        <v>0</v>
      </c>
      <c r="T75" s="346">
        <f>SUMIF('D-1 Off-Site Habitat Baseline'!$G$11:$G$258,'G-2 Habitat groups'!A75,'D-1 Off-Site Habitat Baseline'!$T$11:$T$258)</f>
        <v>0</v>
      </c>
      <c r="U75" s="346">
        <f>SUMIF('D-1 Off-Site Habitat Baseline'!$G$11:$G$258,'G-2 Habitat groups'!A75,'D-1 Off-Site Habitat Baseline'!$V$11:$V$258)</f>
        <v>0</v>
      </c>
      <c r="V75" s="346">
        <f>SUMIF('D-1 Off-Site Habitat Baseline'!$G$11:$G$258,'G-2 Habitat groups'!A75,'D-1 Off-Site Habitat Baseline'!$X$11:$X$258)</f>
        <v>0</v>
      </c>
      <c r="W75" s="346">
        <f>SUMIF('D-2 Off-Site Habitat Creation'!$F$9:$F$255,'G-2 Habitat groups'!A75,'D-2 Off-Site Habitat Creation'!$G$9:$G$255)</f>
        <v>0</v>
      </c>
      <c r="X75" s="346">
        <f>SUMIF('D-2 Off-Site Habitat Creation'!$F$9:$F$255,'G-2 Habitat groups'!A75,'D-2 Off-Site Habitat Creation'!$AB$9:$AB$255)</f>
        <v>0</v>
      </c>
      <c r="Y75" s="346">
        <f>SUMIF('D-3 Off-Site Habitat Enhancment'!$S$12:$S$491,'G-2 Habitat groups'!A75,'D-3 Off-Site Habitat Enhancment'!$V$12:$V$491)</f>
        <v>0</v>
      </c>
      <c r="Z75" s="346">
        <f>SUMIF('D-3 Off-Site Habitat Enhancment'!$S$12:$S$491,'G-2 Habitat groups'!A75,'D-3 Off-Site Habitat Enhancment'!$AQ$12:$AQ$491)</f>
        <v>0</v>
      </c>
      <c r="AA75" s="346">
        <f t="shared" si="57"/>
        <v>0</v>
      </c>
      <c r="AB75" s="346">
        <f t="shared" si="58"/>
        <v>0</v>
      </c>
      <c r="AC75" s="346">
        <f t="shared" si="59"/>
        <v>0</v>
      </c>
      <c r="AD75" s="346">
        <f t="shared" si="60"/>
        <v>0</v>
      </c>
      <c r="AE75" s="346">
        <f t="shared" si="61"/>
        <v>0</v>
      </c>
      <c r="AF75" s="346">
        <f t="shared" si="62"/>
        <v>0</v>
      </c>
    </row>
    <row r="76" spans="1:59">
      <c r="A76" s="79" t="str">
        <f>'G-1 All Habitats'!B80</f>
        <v>Individual trees - Urban tree</v>
      </c>
      <c r="B76" s="68" t="str">
        <f>'G-1 All Habitats'!F80</f>
        <v>Individual trees</v>
      </c>
      <c r="C76" s="68" t="str">
        <f>'G-1 All Habitats'!K80</f>
        <v>Medium</v>
      </c>
      <c r="D76" s="68" t="str">
        <f>'G-1 All Habitats'!M80</f>
        <v>Same broad habitat or a higher distinctiveness habitat required (≥)</v>
      </c>
      <c r="E76" s="346">
        <f>IF(C76="V.High",SUMIF('A-1 On-Site Habitat Baseline'!$G$11:$G$258,'G-2 Habitat groups'!A76,'A-1 On-Site Habitat Baseline'!$S$11:$S$258)+SUMIF('A-1 On-Site Habitat Baseline'!$G$11:$G$258,'G-2 Habitat groups'!A76,'A-1 On-Site Habitat Baseline'!$T$11:$T$258),SUMIF('A-1 On-Site Habitat Baseline'!$G$11:$G$258,'G-2 Habitat groups'!A76,'A-1 On-Site Habitat Baseline'!$H$11:$H$258))</f>
        <v>0</v>
      </c>
      <c r="F76" s="346">
        <f>SUMIF('A-1 On-Site Habitat Baseline'!$G$11:$G$258,'G-2 Habitat groups'!A76,'A-1 On-Site Habitat Baseline'!$Q$11:$Q$258)</f>
        <v>0</v>
      </c>
      <c r="G76" s="346">
        <f>SUMIF('A-1 On-Site Habitat Baseline'!$G$11:$G$258,'G-2 Habitat groups'!A76,'A-1 On-Site Habitat Baseline'!$S$11:$S$258)</f>
        <v>0</v>
      </c>
      <c r="H76" s="346">
        <f>SUMIF('A-1 On-Site Habitat Baseline'!$G$11:$G$258,'G-2 Habitat groups'!A76,'A-1 On-Site Habitat Baseline'!$U$11:$U$258)</f>
        <v>0</v>
      </c>
      <c r="I76" s="346">
        <f>SUMIF('A-1 On-Site Habitat Baseline'!$G$11:$G$258,'G-2 Habitat groups'!A76,'A-1 On-Site Habitat Baseline'!$W$11:$W$258)</f>
        <v>0</v>
      </c>
      <c r="J76" s="346">
        <f>SUMIF('A-1 On-Site Habitat Baseline'!$G$11:$G$258,'G-2 Habitat groups'!A76,'A-1 On-Site Habitat Baseline'!$X$11:$X$258)</f>
        <v>0</v>
      </c>
      <c r="K76" s="346">
        <f>SUMIF('A-2 On-Site Habitat Creation'!$F$11:$F$256,'G-2 Habitat groups'!A76,'A-2 On-Site Habitat Creation'!$G$11:$G$256)</f>
        <v>0</v>
      </c>
      <c r="L76" s="346">
        <f>SUMIF('A-2 On-Site Habitat Creation'!$F$11:$F$256,'G-2 Habitat groups'!A76,'A-2 On-Site Habitat Creation'!$Y$11:$Y$256)</f>
        <v>0</v>
      </c>
      <c r="M76" s="346">
        <f>SUMIF('A-3 On-Site Habitat Enhancement'!$S$12:$S$257,'G-2 Habitat groups'!A76,'A-3 On-Site Habitat Enhancement'!$V$12:$V$257)</f>
        <v>0</v>
      </c>
      <c r="N76" s="346">
        <f>SUMIF('A-3 On-Site Habitat Enhancement'!$S$12:$S$257,'G-2 Habitat groups'!A76,'A-3 On-Site Habitat Enhancement'!$AN$12:$AN$257)</f>
        <v>0</v>
      </c>
      <c r="O76" s="346">
        <f t="shared" si="53"/>
        <v>0</v>
      </c>
      <c r="P76" s="346">
        <f t="shared" si="54"/>
        <v>0</v>
      </c>
      <c r="Q76" s="346">
        <f t="shared" si="55"/>
        <v>0</v>
      </c>
      <c r="R76" s="346">
        <f t="shared" si="56"/>
        <v>0</v>
      </c>
      <c r="S76" s="346">
        <f>IF(C76="V.High",SUMIF('D-1 Off-Site Habitat Baseline'!$G$11:$G$258,'G-2 Habitat groups'!A76,'D-1 Off-Site Habitat Baseline'!$V$11:$V$258)+SUMIF('D-1 Off-Site Habitat Baseline'!$G$11:$G$258,'G-2 Habitat groups'!A76,'D-1 Off-Site Habitat Baseline'!$W$11:$W$258),SUMIF('D-1 Off-Site Habitat Baseline'!$G$11:$G$258,'G-2 Habitat groups'!A76,'D-1 Off-Site Habitat Baseline'!$H$11:$H$258))</f>
        <v>0</v>
      </c>
      <c r="T76" s="346">
        <f>SUMIF('D-1 Off-Site Habitat Baseline'!$G$11:$G$258,'G-2 Habitat groups'!A76,'D-1 Off-Site Habitat Baseline'!$T$11:$T$258)</f>
        <v>0</v>
      </c>
      <c r="U76" s="346">
        <f>SUMIF('D-1 Off-Site Habitat Baseline'!$G$11:$G$258,'G-2 Habitat groups'!A76,'D-1 Off-Site Habitat Baseline'!$V$11:$V$258)</f>
        <v>0</v>
      </c>
      <c r="V76" s="346">
        <f>SUMIF('D-1 Off-Site Habitat Baseline'!$G$11:$G$258,'G-2 Habitat groups'!A76,'D-1 Off-Site Habitat Baseline'!$X$11:$X$258)</f>
        <v>0</v>
      </c>
      <c r="W76" s="346">
        <f>SUMIF('D-2 Off-Site Habitat Creation'!$F$9:$F$255,'G-2 Habitat groups'!A76,'D-2 Off-Site Habitat Creation'!$G$9:$G$255)</f>
        <v>0</v>
      </c>
      <c r="X76" s="346">
        <f>SUMIF('D-2 Off-Site Habitat Creation'!$F$9:$F$255,'G-2 Habitat groups'!A76,'D-2 Off-Site Habitat Creation'!$AB$9:$AB$255)</f>
        <v>0</v>
      </c>
      <c r="Y76" s="346">
        <f>SUMIF('D-3 Off-Site Habitat Enhancment'!$S$12:$S$491,'G-2 Habitat groups'!A76,'D-3 Off-Site Habitat Enhancment'!$V$12:$V$491)</f>
        <v>0</v>
      </c>
      <c r="Z76" s="346">
        <f>SUMIF('D-3 Off-Site Habitat Enhancment'!$S$12:$S$491,'G-2 Habitat groups'!A76,'D-3 Off-Site Habitat Enhancment'!$AQ$12:$AQ$491)</f>
        <v>0</v>
      </c>
      <c r="AA76" s="346">
        <f t="shared" si="57"/>
        <v>0</v>
      </c>
      <c r="AB76" s="346">
        <f t="shared" si="58"/>
        <v>0</v>
      </c>
      <c r="AC76" s="346">
        <f t="shared" si="59"/>
        <v>0</v>
      </c>
      <c r="AD76" s="346">
        <f t="shared" si="60"/>
        <v>0</v>
      </c>
      <c r="AE76" s="346">
        <f t="shared" si="61"/>
        <v>0</v>
      </c>
      <c r="AF76" s="346">
        <f t="shared" si="62"/>
        <v>0</v>
      </c>
    </row>
    <row r="77" spans="1:59" ht="34.5">
      <c r="A77" s="79" t="str">
        <f>'G-1 All Habitats'!B75</f>
        <v>Urban - Sustainable drainage system</v>
      </c>
      <c r="B77" s="68" t="str">
        <f>'G-1 All Habitats'!F75</f>
        <v>Urban</v>
      </c>
      <c r="C77" s="68" t="str">
        <f>'G-1 All Habitats'!K75</f>
        <v>Low</v>
      </c>
      <c r="D77" s="68" t="str">
        <f>'G-1 All Habitats'!M75</f>
        <v>Same distinctiveness or better habitat required ≥</v>
      </c>
      <c r="E77" s="346">
        <f>IF(C77="V.High",SUMIF('A-1 On-Site Habitat Baseline'!$G$11:$G$258,'G-2 Habitat groups'!A77,'A-1 On-Site Habitat Baseline'!$S$11:$S$258)+SUMIF('A-1 On-Site Habitat Baseline'!$G$11:$G$258,'G-2 Habitat groups'!A77,'A-1 On-Site Habitat Baseline'!$T$11:$T$258),SUMIF('A-1 On-Site Habitat Baseline'!$G$11:$G$258,'G-2 Habitat groups'!A77,'A-1 On-Site Habitat Baseline'!$H$11:$H$258))</f>
        <v>0</v>
      </c>
      <c r="F77" s="346">
        <f>SUMIF('A-1 On-Site Habitat Baseline'!$G$11:$G$258,'G-2 Habitat groups'!A77,'A-1 On-Site Habitat Baseline'!$Q$11:$Q$258)</f>
        <v>0</v>
      </c>
      <c r="G77" s="346">
        <f>SUMIF('A-1 On-Site Habitat Baseline'!$G$11:$G$258,'G-2 Habitat groups'!A77,'A-1 On-Site Habitat Baseline'!$S$11:$S$258)</f>
        <v>0</v>
      </c>
      <c r="H77" s="346">
        <f>SUMIF('A-1 On-Site Habitat Baseline'!$G$11:$G$258,'G-2 Habitat groups'!A77,'A-1 On-Site Habitat Baseline'!$U$11:$U$258)</f>
        <v>0</v>
      </c>
      <c r="I77" s="346">
        <f>SUMIF('A-1 On-Site Habitat Baseline'!$G$11:$G$258,'G-2 Habitat groups'!A77,'A-1 On-Site Habitat Baseline'!$W$11:$W$258)</f>
        <v>0</v>
      </c>
      <c r="J77" s="346">
        <f>SUMIF('A-1 On-Site Habitat Baseline'!$G$11:$G$258,'G-2 Habitat groups'!A77,'A-1 On-Site Habitat Baseline'!$X$11:$X$258)</f>
        <v>0</v>
      </c>
      <c r="K77" s="346">
        <f>SUMIF('A-2 On-Site Habitat Creation'!$F$11:$F$256,'G-2 Habitat groups'!A77,'A-2 On-Site Habitat Creation'!$G$11:$G$256)</f>
        <v>0</v>
      </c>
      <c r="L77" s="346">
        <f>SUMIF('A-2 On-Site Habitat Creation'!$F$11:$F$256,'G-2 Habitat groups'!A77,'A-2 On-Site Habitat Creation'!$Y$11:$Y$256)</f>
        <v>0</v>
      </c>
      <c r="M77" s="346">
        <f>SUMIF('A-3 On-Site Habitat Enhancement'!$S$12:$S$257,'G-2 Habitat groups'!A77,'A-3 On-Site Habitat Enhancement'!$V$12:$V$257)</f>
        <v>0</v>
      </c>
      <c r="N77" s="346">
        <f>SUMIF('A-3 On-Site Habitat Enhancement'!$S$12:$S$257,'G-2 Habitat groups'!A77,'A-3 On-Site Habitat Enhancement'!$AN$12:$AN$257)</f>
        <v>0</v>
      </c>
      <c r="O77" s="346">
        <f t="shared" si="53"/>
        <v>0</v>
      </c>
      <c r="P77" s="346">
        <f t="shared" si="54"/>
        <v>0</v>
      </c>
      <c r="Q77" s="346">
        <f t="shared" si="55"/>
        <v>0</v>
      </c>
      <c r="R77" s="346">
        <f t="shared" si="56"/>
        <v>0</v>
      </c>
      <c r="S77" s="346">
        <f>IF(C77="V.High",SUMIF('D-1 Off-Site Habitat Baseline'!$G$11:$G$258,'G-2 Habitat groups'!A77,'D-1 Off-Site Habitat Baseline'!$V$11:$V$258)+SUMIF('D-1 Off-Site Habitat Baseline'!$G$11:$G$258,'G-2 Habitat groups'!A77,'D-1 Off-Site Habitat Baseline'!$W$11:$W$258),SUMIF('D-1 Off-Site Habitat Baseline'!$G$11:$G$258,'G-2 Habitat groups'!A77,'D-1 Off-Site Habitat Baseline'!$H$11:$H$258))</f>
        <v>0</v>
      </c>
      <c r="T77" s="346">
        <f>SUMIF('D-1 Off-Site Habitat Baseline'!$G$11:$G$258,'G-2 Habitat groups'!A77,'D-1 Off-Site Habitat Baseline'!$T$11:$T$258)</f>
        <v>0</v>
      </c>
      <c r="U77" s="346">
        <f>SUMIF('D-1 Off-Site Habitat Baseline'!$G$11:$G$258,'G-2 Habitat groups'!A77,'D-1 Off-Site Habitat Baseline'!$V$11:$V$258)</f>
        <v>0</v>
      </c>
      <c r="V77" s="346">
        <f>SUMIF('D-1 Off-Site Habitat Baseline'!$G$11:$G$258,'G-2 Habitat groups'!A77,'D-1 Off-Site Habitat Baseline'!$X$11:$X$258)</f>
        <v>0</v>
      </c>
      <c r="W77" s="346">
        <f>SUMIF('D-2 Off-Site Habitat Creation'!$F$9:$F$255,'G-2 Habitat groups'!A77,'D-2 Off-Site Habitat Creation'!$G$9:$G$255)</f>
        <v>0</v>
      </c>
      <c r="X77" s="346">
        <f>SUMIF('D-2 Off-Site Habitat Creation'!$F$9:$F$255,'G-2 Habitat groups'!A77,'D-2 Off-Site Habitat Creation'!$AB$9:$AB$255)</f>
        <v>0</v>
      </c>
      <c r="Y77" s="346">
        <f>SUMIF('D-3 Off-Site Habitat Enhancment'!$S$12:$S$491,'G-2 Habitat groups'!A77,'D-3 Off-Site Habitat Enhancment'!$V$12:$V$491)</f>
        <v>0</v>
      </c>
      <c r="Z77" s="346">
        <f>SUMIF('D-3 Off-Site Habitat Enhancment'!$S$12:$S$491,'G-2 Habitat groups'!A77,'D-3 Off-Site Habitat Enhancment'!$AQ$12:$AQ$491)</f>
        <v>0</v>
      </c>
      <c r="AA77" s="346">
        <f t="shared" si="57"/>
        <v>0</v>
      </c>
      <c r="AB77" s="346">
        <f t="shared" si="58"/>
        <v>0</v>
      </c>
      <c r="AC77" s="346">
        <f t="shared" si="59"/>
        <v>0</v>
      </c>
      <c r="AD77" s="346">
        <f t="shared" si="60"/>
        <v>0</v>
      </c>
      <c r="AE77" s="346">
        <f t="shared" si="61"/>
        <v>0</v>
      </c>
      <c r="AF77" s="346">
        <f t="shared" si="62"/>
        <v>0</v>
      </c>
      <c r="AU77" s="283" t="s">
        <v>70</v>
      </c>
      <c r="AV77" s="76"/>
      <c r="AW77" s="76"/>
      <c r="AX77" s="76"/>
      <c r="AY77" s="76"/>
      <c r="AZ77" s="76"/>
      <c r="BA77" s="76"/>
      <c r="BB77" s="76"/>
      <c r="BC77" s="76"/>
      <c r="BD77" s="76"/>
      <c r="BE77" s="76"/>
      <c r="BF77" s="76"/>
      <c r="BG77" s="92"/>
    </row>
    <row r="78" spans="1:59" ht="33.75" customHeight="1">
      <c r="A78" s="79" t="str">
        <f>'G-1 All Habitats'!B76</f>
        <v>Urban - Unvegetated garden</v>
      </c>
      <c r="B78" s="68" t="str">
        <f>'G-1 All Habitats'!F76</f>
        <v>Urban</v>
      </c>
      <c r="C78" s="68" t="str">
        <f>'G-1 All Habitats'!K76</f>
        <v>V.Low</v>
      </c>
      <c r="D78" s="68" t="str">
        <f>'G-1 All Habitats'!M76</f>
        <v>Compensation Not Required</v>
      </c>
      <c r="E78" s="346">
        <f>IF(C78="V.High",SUMIF('A-1 On-Site Habitat Baseline'!$G$11:$G$258,'G-2 Habitat groups'!A78,'A-1 On-Site Habitat Baseline'!$S$11:$S$258)+SUMIF('A-1 On-Site Habitat Baseline'!$G$11:$G$258,'G-2 Habitat groups'!A78,'A-1 On-Site Habitat Baseline'!$T$11:$T$258),SUMIF('A-1 On-Site Habitat Baseline'!$G$11:$G$258,'G-2 Habitat groups'!A78,'A-1 On-Site Habitat Baseline'!$H$11:$H$258))</f>
        <v>0</v>
      </c>
      <c r="F78" s="346">
        <f>SUMIF('A-1 On-Site Habitat Baseline'!$G$11:$G$258,'G-2 Habitat groups'!A78,'A-1 On-Site Habitat Baseline'!$Q$11:$Q$258)</f>
        <v>0</v>
      </c>
      <c r="G78" s="346">
        <f>SUMIF('A-1 On-Site Habitat Baseline'!$G$11:$G$258,'G-2 Habitat groups'!A78,'A-1 On-Site Habitat Baseline'!$S$11:$S$258)</f>
        <v>0</v>
      </c>
      <c r="H78" s="346">
        <f>SUMIF('A-1 On-Site Habitat Baseline'!$G$11:$G$258,'G-2 Habitat groups'!A78,'A-1 On-Site Habitat Baseline'!$U$11:$U$258)</f>
        <v>0</v>
      </c>
      <c r="I78" s="346">
        <f>SUMIF('A-1 On-Site Habitat Baseline'!$G$11:$G$258,'G-2 Habitat groups'!A78,'A-1 On-Site Habitat Baseline'!$W$11:$W$258)</f>
        <v>0</v>
      </c>
      <c r="J78" s="346">
        <f>SUMIF('A-1 On-Site Habitat Baseline'!$G$11:$G$258,'G-2 Habitat groups'!A78,'A-1 On-Site Habitat Baseline'!$X$11:$X$258)</f>
        <v>0</v>
      </c>
      <c r="K78" s="346">
        <f>SUMIF('A-2 On-Site Habitat Creation'!$F$11:$F$256,'G-2 Habitat groups'!A78,'A-2 On-Site Habitat Creation'!$G$11:$G$256)</f>
        <v>0</v>
      </c>
      <c r="L78" s="346">
        <f>SUMIF('A-2 On-Site Habitat Creation'!$F$11:$F$256,'G-2 Habitat groups'!A78,'A-2 On-Site Habitat Creation'!$Y$11:$Y$256)</f>
        <v>0</v>
      </c>
      <c r="M78" s="346">
        <f>SUMIF('A-3 On-Site Habitat Enhancement'!$S$12:$S$257,'G-2 Habitat groups'!A78,'A-3 On-Site Habitat Enhancement'!$V$12:$V$257)</f>
        <v>0</v>
      </c>
      <c r="N78" s="346">
        <f>SUMIF('A-3 On-Site Habitat Enhancement'!$S$12:$S$257,'G-2 Habitat groups'!A78,'A-3 On-Site Habitat Enhancement'!$AN$12:$AN$257)</f>
        <v>0</v>
      </c>
      <c r="O78" s="346">
        <f t="shared" si="53"/>
        <v>0</v>
      </c>
      <c r="P78" s="346">
        <f t="shared" si="54"/>
        <v>0</v>
      </c>
      <c r="Q78" s="346">
        <f t="shared" si="55"/>
        <v>0</v>
      </c>
      <c r="R78" s="346">
        <f t="shared" si="56"/>
        <v>0</v>
      </c>
      <c r="S78" s="346">
        <f>IF(C78="V.High",SUMIF('D-1 Off-Site Habitat Baseline'!$G$11:$G$258,'G-2 Habitat groups'!A78,'D-1 Off-Site Habitat Baseline'!$V$11:$V$258)+SUMIF('D-1 Off-Site Habitat Baseline'!$G$11:$G$258,'G-2 Habitat groups'!A78,'D-1 Off-Site Habitat Baseline'!$W$11:$W$258),SUMIF('D-1 Off-Site Habitat Baseline'!$G$11:$G$258,'G-2 Habitat groups'!A78,'D-1 Off-Site Habitat Baseline'!$H$11:$H$258))</f>
        <v>0</v>
      </c>
      <c r="T78" s="346">
        <f>SUMIF('D-1 Off-Site Habitat Baseline'!$G$11:$G$258,'G-2 Habitat groups'!A78,'D-1 Off-Site Habitat Baseline'!$T$11:$T$258)</f>
        <v>0</v>
      </c>
      <c r="U78" s="346">
        <f>SUMIF('D-1 Off-Site Habitat Baseline'!$G$11:$G$258,'G-2 Habitat groups'!A78,'D-1 Off-Site Habitat Baseline'!$V$11:$V$258)</f>
        <v>0</v>
      </c>
      <c r="V78" s="346">
        <f>SUMIF('D-1 Off-Site Habitat Baseline'!$G$11:$G$258,'G-2 Habitat groups'!A78,'D-1 Off-Site Habitat Baseline'!$X$11:$X$258)</f>
        <v>0</v>
      </c>
      <c r="W78" s="346">
        <f>SUMIF('D-2 Off-Site Habitat Creation'!$F$9:$F$255,'G-2 Habitat groups'!A78,'D-2 Off-Site Habitat Creation'!$G$9:$G$255)</f>
        <v>0</v>
      </c>
      <c r="X78" s="346">
        <f>SUMIF('D-2 Off-Site Habitat Creation'!$F$9:$F$255,'G-2 Habitat groups'!A78,'D-2 Off-Site Habitat Creation'!$AB$9:$AB$255)</f>
        <v>0</v>
      </c>
      <c r="Y78" s="346">
        <f>SUMIF('D-3 Off-Site Habitat Enhancment'!$S$12:$S$491,'G-2 Habitat groups'!A78,'D-3 Off-Site Habitat Enhancment'!$V$12:$V$491)</f>
        <v>0</v>
      </c>
      <c r="Z78" s="346">
        <f>SUMIF('D-3 Off-Site Habitat Enhancment'!$S$12:$S$491,'G-2 Habitat groups'!A78,'D-3 Off-Site Habitat Enhancment'!$AQ$12:$AQ$491)</f>
        <v>0</v>
      </c>
      <c r="AA78" s="346">
        <f t="shared" si="57"/>
        <v>0</v>
      </c>
      <c r="AB78" s="346">
        <f t="shared" si="58"/>
        <v>0</v>
      </c>
      <c r="AC78" s="346">
        <f t="shared" si="59"/>
        <v>0</v>
      </c>
      <c r="AD78" s="346">
        <f t="shared" si="60"/>
        <v>0</v>
      </c>
      <c r="AE78" s="346">
        <f t="shared" si="61"/>
        <v>0</v>
      </c>
      <c r="AF78" s="346">
        <f t="shared" si="62"/>
        <v>0</v>
      </c>
      <c r="AU78" s="94" t="s">
        <v>968</v>
      </c>
      <c r="AV78" s="97" t="s">
        <v>220</v>
      </c>
      <c r="AW78" s="98" t="s">
        <v>969</v>
      </c>
      <c r="AX78" s="98" t="s">
        <v>970</v>
      </c>
      <c r="AY78" s="98" t="s">
        <v>971</v>
      </c>
      <c r="AZ78" s="98" t="s">
        <v>972</v>
      </c>
      <c r="BA78" s="98" t="s">
        <v>973</v>
      </c>
      <c r="BB78" s="98" t="s">
        <v>974</v>
      </c>
      <c r="BC78" s="98" t="s">
        <v>975</v>
      </c>
      <c r="BD78" s="97" t="s">
        <v>976</v>
      </c>
      <c r="BE78" s="98" t="s">
        <v>977</v>
      </c>
      <c r="BF78" s="98" t="s">
        <v>988</v>
      </c>
      <c r="BG78" s="93"/>
    </row>
    <row r="79" spans="1:59">
      <c r="A79" s="79" t="str">
        <f>'G-1 All Habitats'!B77</f>
        <v>Urban - Vacant or derelict land</v>
      </c>
      <c r="B79" s="68" t="str">
        <f>'G-1 All Habitats'!F77</f>
        <v>Urban</v>
      </c>
      <c r="C79" s="68" t="str">
        <f>'G-1 All Habitats'!K77</f>
        <v>Low</v>
      </c>
      <c r="D79" s="68" t="str">
        <f>'G-1 All Habitats'!M77</f>
        <v>Same distinctiveness or better habitat required ≥</v>
      </c>
      <c r="E79" s="346">
        <f>IF(C79="V.High",SUMIF('A-1 On-Site Habitat Baseline'!$G$11:$G$258,'G-2 Habitat groups'!A79,'A-1 On-Site Habitat Baseline'!$S$11:$S$258)+SUMIF('A-1 On-Site Habitat Baseline'!$G$11:$G$258,'G-2 Habitat groups'!A79,'A-1 On-Site Habitat Baseline'!$T$11:$T$258),SUMIF('A-1 On-Site Habitat Baseline'!$G$11:$G$258,'G-2 Habitat groups'!A79,'A-1 On-Site Habitat Baseline'!$H$11:$H$258))</f>
        <v>0</v>
      </c>
      <c r="F79" s="346">
        <f>SUMIF('A-1 On-Site Habitat Baseline'!$G$11:$G$258,'G-2 Habitat groups'!A79,'A-1 On-Site Habitat Baseline'!$Q$11:$Q$258)</f>
        <v>0</v>
      </c>
      <c r="G79" s="346">
        <f>SUMIF('A-1 On-Site Habitat Baseline'!$G$11:$G$258,'G-2 Habitat groups'!A79,'A-1 On-Site Habitat Baseline'!$S$11:$S$258)</f>
        <v>0</v>
      </c>
      <c r="H79" s="346">
        <f>SUMIF('A-1 On-Site Habitat Baseline'!$G$11:$G$258,'G-2 Habitat groups'!A79,'A-1 On-Site Habitat Baseline'!$U$11:$U$258)</f>
        <v>0</v>
      </c>
      <c r="I79" s="346">
        <f>SUMIF('A-1 On-Site Habitat Baseline'!$G$11:$G$258,'G-2 Habitat groups'!A79,'A-1 On-Site Habitat Baseline'!$W$11:$W$258)</f>
        <v>0</v>
      </c>
      <c r="J79" s="346">
        <f>SUMIF('A-1 On-Site Habitat Baseline'!$G$11:$G$258,'G-2 Habitat groups'!A79,'A-1 On-Site Habitat Baseline'!$X$11:$X$258)</f>
        <v>0</v>
      </c>
      <c r="K79" s="346">
        <f>SUMIF('A-2 On-Site Habitat Creation'!$F$11:$F$256,'G-2 Habitat groups'!A79,'A-2 On-Site Habitat Creation'!$G$11:$G$256)</f>
        <v>0</v>
      </c>
      <c r="L79" s="346">
        <f>SUMIF('A-2 On-Site Habitat Creation'!$F$11:$F$256,'G-2 Habitat groups'!A79,'A-2 On-Site Habitat Creation'!$Y$11:$Y$256)</f>
        <v>0</v>
      </c>
      <c r="M79" s="346">
        <f>SUMIF('A-3 On-Site Habitat Enhancement'!$S$12:$S$257,'G-2 Habitat groups'!A79,'A-3 On-Site Habitat Enhancement'!$V$12:$V$257)</f>
        <v>0</v>
      </c>
      <c r="N79" s="346">
        <f>SUMIF('A-3 On-Site Habitat Enhancement'!$S$12:$S$257,'G-2 Habitat groups'!A79,'A-3 On-Site Habitat Enhancement'!$AN$12:$AN$257)</f>
        <v>0</v>
      </c>
      <c r="O79" s="346">
        <f t="shared" si="53"/>
        <v>0</v>
      </c>
      <c r="P79" s="346">
        <f t="shared" si="54"/>
        <v>0</v>
      </c>
      <c r="Q79" s="346">
        <f t="shared" si="55"/>
        <v>0</v>
      </c>
      <c r="R79" s="346">
        <f t="shared" si="56"/>
        <v>0</v>
      </c>
      <c r="S79" s="346">
        <f>IF(C79="V.High",SUMIF('D-1 Off-Site Habitat Baseline'!$G$11:$G$258,'G-2 Habitat groups'!A79,'D-1 Off-Site Habitat Baseline'!$V$11:$V$258)+SUMIF('D-1 Off-Site Habitat Baseline'!$G$11:$G$258,'G-2 Habitat groups'!A79,'D-1 Off-Site Habitat Baseline'!$W$11:$W$258),SUMIF('D-1 Off-Site Habitat Baseline'!$G$11:$G$258,'G-2 Habitat groups'!A79,'D-1 Off-Site Habitat Baseline'!$H$11:$H$258))</f>
        <v>0</v>
      </c>
      <c r="T79" s="346">
        <f>SUMIF('D-1 Off-Site Habitat Baseline'!$G$11:$G$258,'G-2 Habitat groups'!A79,'D-1 Off-Site Habitat Baseline'!$T$11:$T$258)</f>
        <v>0</v>
      </c>
      <c r="U79" s="346">
        <f>SUMIF('D-1 Off-Site Habitat Baseline'!$G$11:$G$258,'G-2 Habitat groups'!A79,'D-1 Off-Site Habitat Baseline'!$V$11:$V$258)</f>
        <v>0</v>
      </c>
      <c r="V79" s="346">
        <f>SUMIF('D-1 Off-Site Habitat Baseline'!$G$11:$G$258,'G-2 Habitat groups'!A79,'D-1 Off-Site Habitat Baseline'!$X$11:$X$258)</f>
        <v>0</v>
      </c>
      <c r="W79" s="346">
        <f>SUMIF('D-2 Off-Site Habitat Creation'!$F$9:$F$255,'G-2 Habitat groups'!A79,'D-2 Off-Site Habitat Creation'!$G$9:$G$255)</f>
        <v>0</v>
      </c>
      <c r="X79" s="346">
        <f>SUMIF('D-2 Off-Site Habitat Creation'!$F$9:$F$255,'G-2 Habitat groups'!A79,'D-2 Off-Site Habitat Creation'!$AB$9:$AB$255)</f>
        <v>0</v>
      </c>
      <c r="Y79" s="346">
        <f>SUMIF('D-3 Off-Site Habitat Enhancment'!$S$12:$S$491,'G-2 Habitat groups'!A79,'D-3 Off-Site Habitat Enhancment'!$V$12:$V$491)</f>
        <v>0</v>
      </c>
      <c r="Z79" s="346">
        <f>SUMIF('D-3 Off-Site Habitat Enhancment'!$S$12:$S$491,'G-2 Habitat groups'!A79,'D-3 Off-Site Habitat Enhancment'!$AQ$12:$AQ$491)</f>
        <v>0</v>
      </c>
      <c r="AA79" s="346">
        <f t="shared" si="57"/>
        <v>0</v>
      </c>
      <c r="AB79" s="346">
        <f t="shared" si="58"/>
        <v>0</v>
      </c>
      <c r="AC79" s="346">
        <f t="shared" si="59"/>
        <v>0</v>
      </c>
      <c r="AD79" s="346">
        <f t="shared" si="60"/>
        <v>0</v>
      </c>
      <c r="AE79" s="346">
        <f t="shared" si="61"/>
        <v>0</v>
      </c>
      <c r="AF79" s="346">
        <f t="shared" si="62"/>
        <v>0</v>
      </c>
      <c r="AU79" s="79" t="s">
        <v>462</v>
      </c>
      <c r="AV79" s="68" t="s">
        <v>124</v>
      </c>
      <c r="AW79" s="358">
        <f>VLOOKUP($AU79,AllHabsSummaryData,5,FALSE)</f>
        <v>0</v>
      </c>
      <c r="AX79" s="358">
        <f>VLOOKUP($AU79,AllHabsSummaryData,10,FALSE)</f>
        <v>0</v>
      </c>
      <c r="AY79" s="358">
        <f>VLOOKUP($AU79,AllHabsSummaryData,15,FALSE)</f>
        <v>0</v>
      </c>
      <c r="AZ79" s="358">
        <f>VLOOKUP($AU79,AllHabsSummaryData,16,FALSE)</f>
        <v>0</v>
      </c>
      <c r="BA79" s="358">
        <f>VLOOKUP($AU79,AllHabsSummaryData,17,FALSE)</f>
        <v>0</v>
      </c>
      <c r="BB79" s="358">
        <f>VLOOKUP($AU79,AllHabsSummaryData,18,FALSE)</f>
        <v>0</v>
      </c>
      <c r="BC79" s="358">
        <f>VLOOKUP($AU79,AllHabsSummaryData,27,FALSE)</f>
        <v>0</v>
      </c>
      <c r="BD79" s="358">
        <f>VLOOKUP($AU79,AllHabsSummaryData,30,FALSE)</f>
        <v>0</v>
      </c>
      <c r="BE79" s="358">
        <f>BB79+BD79</f>
        <v>0</v>
      </c>
      <c r="BF79" s="358" t="str">
        <f>IF(BE79&lt;0,BE79,"")</f>
        <v/>
      </c>
    </row>
    <row r="80" spans="1:59">
      <c r="A80" s="79" t="s">
        <v>735</v>
      </c>
      <c r="B80" s="68" t="s">
        <v>129</v>
      </c>
      <c r="C80" s="68" t="s">
        <v>216</v>
      </c>
      <c r="D80" s="68" t="s">
        <v>217</v>
      </c>
      <c r="E80" s="346">
        <f>IF(C80="V.High",SUMIF('A-1 On-Site Habitat Baseline'!$G$11:$G$258,'G-2 Habitat groups'!A80,'A-1 On-Site Habitat Baseline'!$S$11:$S$258)+SUMIF('A-1 On-Site Habitat Baseline'!$G$11:$G$258,'G-2 Habitat groups'!A80,'A-1 On-Site Habitat Baseline'!$T$11:$T$258),SUMIF('A-1 On-Site Habitat Baseline'!$G$11:$G$258,'G-2 Habitat groups'!A80,'A-1 On-Site Habitat Baseline'!$H$11:$H$258))</f>
        <v>0</v>
      </c>
      <c r="F80" s="346">
        <f>SUMIF('A-1 On-Site Habitat Baseline'!$G$11:$G$258,'G-2 Habitat groups'!A80,'A-1 On-Site Habitat Baseline'!$Q$11:$Q$258)</f>
        <v>0</v>
      </c>
      <c r="G80" s="346">
        <f>SUMIF('A-1 On-Site Habitat Baseline'!$G$11:$G$258,'G-2 Habitat groups'!A80,'A-1 On-Site Habitat Baseline'!$S$11:$S$258)</f>
        <v>0</v>
      </c>
      <c r="H80" s="346">
        <f>SUMIF('A-1 On-Site Habitat Baseline'!$G$11:$G$258,'G-2 Habitat groups'!A80,'A-1 On-Site Habitat Baseline'!$U$11:$U$258)</f>
        <v>0</v>
      </c>
      <c r="I80" s="346">
        <f>SUMIF('A-1 On-Site Habitat Baseline'!$G$11:$G$258,'G-2 Habitat groups'!A80,'A-1 On-Site Habitat Baseline'!$W$11:$W$258)</f>
        <v>0</v>
      </c>
      <c r="J80" s="346">
        <f>SUMIF('A-1 On-Site Habitat Baseline'!$G$11:$G$258,'G-2 Habitat groups'!A80,'A-1 On-Site Habitat Baseline'!$X$11:$X$258)</f>
        <v>0</v>
      </c>
      <c r="K80" s="346">
        <f>SUMIF('A-2 On-Site Habitat Creation'!$F$11:$F$256,'G-2 Habitat groups'!A80,'A-2 On-Site Habitat Creation'!$G$11:$G$256)</f>
        <v>0</v>
      </c>
      <c r="L80" s="346">
        <f>SUMIF('A-2 On-Site Habitat Creation'!$F$11:$F$256,'G-2 Habitat groups'!A80,'A-2 On-Site Habitat Creation'!$Y$11:$Y$256)</f>
        <v>0</v>
      </c>
      <c r="M80" s="346">
        <f>SUMIF('A-3 On-Site Habitat Enhancement'!$S$12:$S$257,'G-2 Habitat groups'!A80,'A-3 On-Site Habitat Enhancement'!$V$12:$V$257)</f>
        <v>0</v>
      </c>
      <c r="N80" s="346">
        <f>SUMIF('A-3 On-Site Habitat Enhancement'!$S$12:$S$257,'G-2 Habitat groups'!A80,'A-3 On-Site Habitat Enhancement'!$AN$12:$AN$257)</f>
        <v>0</v>
      </c>
      <c r="O80" s="346">
        <f t="shared" si="53"/>
        <v>0</v>
      </c>
      <c r="P80" s="346">
        <f t="shared" si="54"/>
        <v>0</v>
      </c>
      <c r="Q80" s="346">
        <f t="shared" si="55"/>
        <v>0</v>
      </c>
      <c r="R80" s="346">
        <f t="shared" si="56"/>
        <v>0</v>
      </c>
      <c r="S80" s="346">
        <f>IF(C80="V.High",SUMIF('D-1 Off-Site Habitat Baseline'!$G$11:$G$258,'G-2 Habitat groups'!A80,'D-1 Off-Site Habitat Baseline'!$V$11:$V$258)+SUMIF('D-1 Off-Site Habitat Baseline'!$G$11:$G$258,'G-2 Habitat groups'!A80,'D-1 Off-Site Habitat Baseline'!$W$11:$W$258),SUMIF('D-1 Off-Site Habitat Baseline'!$G$11:$G$258,'G-2 Habitat groups'!A80,'D-1 Off-Site Habitat Baseline'!$H$11:$H$258))</f>
        <v>0</v>
      </c>
      <c r="T80" s="346">
        <f>SUMIF('D-1 Off-Site Habitat Baseline'!$G$11:$G$258,'G-2 Habitat groups'!A80,'D-1 Off-Site Habitat Baseline'!$T$11:$T$258)</f>
        <v>0</v>
      </c>
      <c r="U80" s="346">
        <f>SUMIF('D-1 Off-Site Habitat Baseline'!$G$11:$G$258,'G-2 Habitat groups'!A80,'D-1 Off-Site Habitat Baseline'!$V$11:$V$258)</f>
        <v>0</v>
      </c>
      <c r="V80" s="346">
        <f>SUMIF('D-1 Off-Site Habitat Baseline'!$G$11:$G$258,'G-2 Habitat groups'!A80,'D-1 Off-Site Habitat Baseline'!$X$11:$X$258)</f>
        <v>0</v>
      </c>
      <c r="W80" s="346">
        <f>SUMIF('D-2 Off-Site Habitat Creation'!$F$9:$F$255,'G-2 Habitat groups'!A80,'D-2 Off-Site Habitat Creation'!$G$9:$G$255)</f>
        <v>0</v>
      </c>
      <c r="X80" s="346">
        <f>SUMIF('D-2 Off-Site Habitat Creation'!$F$9:$F$255,'G-2 Habitat groups'!A80,'D-2 Off-Site Habitat Creation'!$AB$9:$AB$255)</f>
        <v>0</v>
      </c>
      <c r="Y80" s="346">
        <f>SUMIF('D-3 Off-Site Habitat Enhancment'!$S$12:$S$491,'G-2 Habitat groups'!A80,'D-3 Off-Site Habitat Enhancment'!$V$12:$V$491)</f>
        <v>0</v>
      </c>
      <c r="Z80" s="346">
        <f>SUMIF('D-3 Off-Site Habitat Enhancment'!$S$12:$S$491,'G-2 Habitat groups'!A80,'D-3 Off-Site Habitat Enhancment'!$AQ$12:$AQ$491)</f>
        <v>0</v>
      </c>
      <c r="AA80" s="346">
        <f t="shared" si="57"/>
        <v>0</v>
      </c>
      <c r="AB80" s="346">
        <f t="shared" si="58"/>
        <v>0</v>
      </c>
      <c r="AC80" s="346">
        <f t="shared" si="59"/>
        <v>0</v>
      </c>
      <c r="AD80" s="346">
        <f t="shared" si="60"/>
        <v>0</v>
      </c>
      <c r="AE80" s="346">
        <f t="shared" si="61"/>
        <v>0</v>
      </c>
      <c r="AF80" s="346">
        <f t="shared" si="62"/>
        <v>0</v>
      </c>
      <c r="AU80" s="79" t="s">
        <v>744</v>
      </c>
      <c r="AV80" s="68" t="s">
        <v>138</v>
      </c>
      <c r="AW80" s="358">
        <f>VLOOKUP($AU80,AllHabsSummaryData,5,FALSE)</f>
        <v>0</v>
      </c>
      <c r="AX80" s="358">
        <f>VLOOKUP($AU80,AllHabsSummaryData,10,FALSE)</f>
        <v>0</v>
      </c>
      <c r="AY80" s="358">
        <f>VLOOKUP($AU80,AllHabsSummaryData,15,FALSE)</f>
        <v>0</v>
      </c>
      <c r="AZ80" s="358">
        <f>VLOOKUP($AU80,AllHabsSummaryData,16,FALSE)</f>
        <v>0</v>
      </c>
      <c r="BA80" s="358">
        <f>VLOOKUP($AU80,AllHabsSummaryData,17,FALSE)</f>
        <v>0</v>
      </c>
      <c r="BB80" s="358">
        <f>VLOOKUP($AU80,AllHabsSummaryData,18,FALSE)</f>
        <v>0</v>
      </c>
      <c r="BC80" s="358">
        <f>VLOOKUP($AU80,AllHabsSummaryData,27,FALSE)</f>
        <v>0</v>
      </c>
      <c r="BD80" s="358">
        <f>VLOOKUP($AU80,AllHabsSummaryData,30,FALSE)</f>
        <v>0</v>
      </c>
      <c r="BE80" s="358">
        <f>BB80+BD80</f>
        <v>0</v>
      </c>
      <c r="BF80" s="358" t="str">
        <f>IF(BE80&lt;0,BE80,"")</f>
        <v/>
      </c>
    </row>
    <row r="81" spans="1:58">
      <c r="A81" s="79" t="str">
        <f>'G-1 All Habitats'!B79</f>
        <v>Urban - Vegetated garden</v>
      </c>
      <c r="B81" s="68" t="str">
        <f>'G-1 All Habitats'!F79</f>
        <v>Urban</v>
      </c>
      <c r="C81" s="68" t="str">
        <f>'G-1 All Habitats'!K79</f>
        <v>Low</v>
      </c>
      <c r="D81" s="68" t="str">
        <f>'G-1 All Habitats'!M79</f>
        <v>Same distinctiveness or better habitat required ≥</v>
      </c>
      <c r="E81" s="346">
        <f>IF(C81="V.High",SUMIF('A-1 On-Site Habitat Baseline'!$G$11:$G$258,'G-2 Habitat groups'!A81,'A-1 On-Site Habitat Baseline'!$S$11:$S$258)+SUMIF('A-1 On-Site Habitat Baseline'!$G$11:$G$258,'G-2 Habitat groups'!A81,'A-1 On-Site Habitat Baseline'!$T$11:$T$258),SUMIF('A-1 On-Site Habitat Baseline'!$G$11:$G$258,'G-2 Habitat groups'!A81,'A-1 On-Site Habitat Baseline'!$H$11:$H$258))</f>
        <v>0</v>
      </c>
      <c r="F81" s="346">
        <f>SUMIF('A-1 On-Site Habitat Baseline'!$G$11:$G$258,'G-2 Habitat groups'!A81,'A-1 On-Site Habitat Baseline'!$Q$11:$Q$258)</f>
        <v>0</v>
      </c>
      <c r="G81" s="346">
        <f>SUMIF('A-1 On-Site Habitat Baseline'!$G$11:$G$258,'G-2 Habitat groups'!A81,'A-1 On-Site Habitat Baseline'!$S$11:$S$258)</f>
        <v>0</v>
      </c>
      <c r="H81" s="346">
        <f>SUMIF('A-1 On-Site Habitat Baseline'!$G$11:$G$258,'G-2 Habitat groups'!A81,'A-1 On-Site Habitat Baseline'!$U$11:$U$258)</f>
        <v>0</v>
      </c>
      <c r="I81" s="346">
        <f>SUMIF('A-1 On-Site Habitat Baseline'!$G$11:$G$258,'G-2 Habitat groups'!A81,'A-1 On-Site Habitat Baseline'!$W$11:$W$258)</f>
        <v>0</v>
      </c>
      <c r="J81" s="346">
        <f>SUMIF('A-1 On-Site Habitat Baseline'!$G$11:$G$258,'G-2 Habitat groups'!A81,'A-1 On-Site Habitat Baseline'!$X$11:$X$258)</f>
        <v>0</v>
      </c>
      <c r="K81" s="346">
        <f>SUMIF('A-2 On-Site Habitat Creation'!$F$11:$F$256,'G-2 Habitat groups'!A81,'A-2 On-Site Habitat Creation'!$G$11:$G$256)</f>
        <v>0</v>
      </c>
      <c r="L81" s="346">
        <f>SUMIF('A-2 On-Site Habitat Creation'!$F$11:$F$256,'G-2 Habitat groups'!A81,'A-2 On-Site Habitat Creation'!$Y$11:$Y$256)</f>
        <v>0</v>
      </c>
      <c r="M81" s="346">
        <f>SUMIF('A-3 On-Site Habitat Enhancement'!$S$12:$S$257,'G-2 Habitat groups'!A81,'A-3 On-Site Habitat Enhancement'!$V$12:$V$257)</f>
        <v>0</v>
      </c>
      <c r="N81" s="346">
        <f>SUMIF('A-3 On-Site Habitat Enhancement'!$S$12:$S$257,'G-2 Habitat groups'!A81,'A-3 On-Site Habitat Enhancement'!$AN$12:$AN$257)</f>
        <v>0</v>
      </c>
      <c r="O81" s="346">
        <f t="shared" si="53"/>
        <v>0</v>
      </c>
      <c r="P81" s="346">
        <f t="shared" si="54"/>
        <v>0</v>
      </c>
      <c r="Q81" s="346">
        <f t="shared" si="55"/>
        <v>0</v>
      </c>
      <c r="R81" s="346">
        <f t="shared" si="56"/>
        <v>0</v>
      </c>
      <c r="S81" s="346">
        <f>IF(C81="V.High",SUMIF('D-1 Off-Site Habitat Baseline'!$G$11:$G$258,'G-2 Habitat groups'!A81,'D-1 Off-Site Habitat Baseline'!$V$11:$V$258)+SUMIF('D-1 Off-Site Habitat Baseline'!$G$11:$G$258,'G-2 Habitat groups'!A81,'D-1 Off-Site Habitat Baseline'!$W$11:$W$258),SUMIF('D-1 Off-Site Habitat Baseline'!$G$11:$G$258,'G-2 Habitat groups'!A81,'D-1 Off-Site Habitat Baseline'!$H$11:$H$258))</f>
        <v>0</v>
      </c>
      <c r="T81" s="346">
        <f>SUMIF('D-1 Off-Site Habitat Baseline'!$G$11:$G$258,'G-2 Habitat groups'!A81,'D-1 Off-Site Habitat Baseline'!$T$11:$T$258)</f>
        <v>0</v>
      </c>
      <c r="U81" s="346">
        <f>SUMIF('D-1 Off-Site Habitat Baseline'!$G$11:$G$258,'G-2 Habitat groups'!A81,'D-1 Off-Site Habitat Baseline'!$V$11:$V$258)</f>
        <v>0</v>
      </c>
      <c r="V81" s="346">
        <f>SUMIF('D-1 Off-Site Habitat Baseline'!$G$11:$G$258,'G-2 Habitat groups'!A81,'D-1 Off-Site Habitat Baseline'!$X$11:$X$258)</f>
        <v>0</v>
      </c>
      <c r="W81" s="346">
        <f>SUMIF('D-2 Off-Site Habitat Creation'!$F$9:$F$255,'G-2 Habitat groups'!A81,'D-2 Off-Site Habitat Creation'!$G$9:$G$255)</f>
        <v>0</v>
      </c>
      <c r="X81" s="346">
        <f>SUMIF('D-2 Off-Site Habitat Creation'!$F$9:$F$255,'G-2 Habitat groups'!A81,'D-2 Off-Site Habitat Creation'!$AB$9:$AB$255)</f>
        <v>0</v>
      </c>
      <c r="Y81" s="346">
        <f>SUMIF('D-3 Off-Site Habitat Enhancment'!$S$12:$S$491,'G-2 Habitat groups'!A81,'D-3 Off-Site Habitat Enhancment'!$V$12:$V$491)</f>
        <v>0</v>
      </c>
      <c r="Z81" s="346">
        <f>SUMIF('D-3 Off-Site Habitat Enhancment'!$S$12:$S$491,'G-2 Habitat groups'!A81,'D-3 Off-Site Habitat Enhancment'!$AQ$12:$AQ$491)</f>
        <v>0</v>
      </c>
      <c r="AA81" s="346">
        <f t="shared" si="57"/>
        <v>0</v>
      </c>
      <c r="AB81" s="346">
        <f t="shared" si="58"/>
        <v>0</v>
      </c>
      <c r="AC81" s="346">
        <f t="shared" si="59"/>
        <v>0</v>
      </c>
      <c r="AD81" s="346">
        <f t="shared" si="60"/>
        <v>0</v>
      </c>
      <c r="AE81" s="346">
        <f t="shared" si="61"/>
        <v>0</v>
      </c>
      <c r="AF81" s="346">
        <f t="shared" si="62"/>
        <v>0</v>
      </c>
      <c r="AU81" s="79" t="s">
        <v>470</v>
      </c>
      <c r="AV81" s="68" t="s">
        <v>124</v>
      </c>
      <c r="AW81" s="358">
        <f>VLOOKUP($AU81,AllHabsSummaryData,5,FALSE)</f>
        <v>0</v>
      </c>
      <c r="AX81" s="358">
        <f>VLOOKUP($AU81,AllHabsSummaryData,10,FALSE)</f>
        <v>0</v>
      </c>
      <c r="AY81" s="358">
        <f>VLOOKUP($AU81,AllHabsSummaryData,15,FALSE)</f>
        <v>0</v>
      </c>
      <c r="AZ81" s="358">
        <f>VLOOKUP($AU81,AllHabsSummaryData,16,FALSE)</f>
        <v>0</v>
      </c>
      <c r="BA81" s="358">
        <f>VLOOKUP($AU81,AllHabsSummaryData,17,FALSE)</f>
        <v>0</v>
      </c>
      <c r="BB81" s="358">
        <f>VLOOKUP($AU81,AllHabsSummaryData,18,FALSE)</f>
        <v>0</v>
      </c>
      <c r="BC81" s="358">
        <f>VLOOKUP($AU81,AllHabsSummaryData,27,FALSE)</f>
        <v>0</v>
      </c>
      <c r="BD81" s="358">
        <f>VLOOKUP($AU81,AllHabsSummaryData,30,FALSE)</f>
        <v>0</v>
      </c>
      <c r="BE81" s="358">
        <f>BB81+BD81</f>
        <v>0</v>
      </c>
      <c r="BF81" s="358" t="str">
        <f>IF(BE81&lt;0,BE81,"")</f>
        <v/>
      </c>
    </row>
    <row r="82" spans="1:58">
      <c r="A82" s="79" t="str">
        <f>'G-1 All Habitats'!B82</f>
        <v>Wetland - Blanket bog</v>
      </c>
      <c r="B82" s="68" t="str">
        <f>'G-1 All Habitats'!F82</f>
        <v>Wetland</v>
      </c>
      <c r="C82" s="68" t="str">
        <f>'G-1 All Habitats'!K82</f>
        <v>V.High</v>
      </c>
      <c r="D82" s="68" t="str">
        <f>'G-1 All Habitats'!M82</f>
        <v>Bespoke compensation likely to be required 🛠</v>
      </c>
      <c r="E82" s="346">
        <f>IF(C82="V.High",SUMIF('A-1 On-Site Habitat Baseline'!$G$11:$G$258,'G-2 Habitat groups'!A82,'A-1 On-Site Habitat Baseline'!$S$11:$S$258)+SUMIF('A-1 On-Site Habitat Baseline'!$G$11:$G$258,'G-2 Habitat groups'!A82,'A-1 On-Site Habitat Baseline'!$T$11:$T$258),SUMIF('A-1 On-Site Habitat Baseline'!$G$11:$G$258,'G-2 Habitat groups'!A82,'A-1 On-Site Habitat Baseline'!$H$11:$H$258))</f>
        <v>0</v>
      </c>
      <c r="F82" s="346">
        <f>SUMIF('A-1 On-Site Habitat Baseline'!$G$11:$G$258,'G-2 Habitat groups'!A82,'A-1 On-Site Habitat Baseline'!$Q$11:$Q$258)</f>
        <v>0</v>
      </c>
      <c r="G82" s="346">
        <f>SUMIF('A-1 On-Site Habitat Baseline'!$G$11:$G$258,'G-2 Habitat groups'!A82,'A-1 On-Site Habitat Baseline'!$S$11:$S$258)</f>
        <v>0</v>
      </c>
      <c r="H82" s="346">
        <f>SUMIF('A-1 On-Site Habitat Baseline'!$G$11:$G$258,'G-2 Habitat groups'!A82,'A-1 On-Site Habitat Baseline'!$U$11:$U$258)</f>
        <v>0</v>
      </c>
      <c r="I82" s="346">
        <f>SUMIF('A-1 On-Site Habitat Baseline'!$G$11:$G$258,'G-2 Habitat groups'!A82,'A-1 On-Site Habitat Baseline'!$W$11:$W$258)</f>
        <v>0</v>
      </c>
      <c r="J82" s="346">
        <f>SUMIF('A-1 On-Site Habitat Baseline'!$G$11:$G$258,'G-2 Habitat groups'!A82,'A-1 On-Site Habitat Baseline'!$X$11:$X$258)</f>
        <v>0</v>
      </c>
      <c r="K82" s="346">
        <f>SUMIF('A-2 On-Site Habitat Creation'!$F$11:$F$256,'G-2 Habitat groups'!A82,'A-2 On-Site Habitat Creation'!$G$11:$G$256)</f>
        <v>0</v>
      </c>
      <c r="L82" s="346">
        <f>SUMIF('A-2 On-Site Habitat Creation'!$F$11:$F$256,'G-2 Habitat groups'!A82,'A-2 On-Site Habitat Creation'!$Y$11:$Y$256)</f>
        <v>0</v>
      </c>
      <c r="M82" s="346">
        <f>SUMIF('A-3 On-Site Habitat Enhancement'!$S$12:$S$257,'G-2 Habitat groups'!A82,'A-3 On-Site Habitat Enhancement'!$V$12:$V$257)</f>
        <v>0</v>
      </c>
      <c r="N82" s="346">
        <f>SUMIF('A-3 On-Site Habitat Enhancement'!$S$12:$S$257,'G-2 Habitat groups'!A82,'A-3 On-Site Habitat Enhancement'!$AN$12:$AN$257)</f>
        <v>0</v>
      </c>
      <c r="O82" s="346">
        <f t="shared" si="53"/>
        <v>0</v>
      </c>
      <c r="P82" s="346">
        <f t="shared" si="54"/>
        <v>0</v>
      </c>
      <c r="Q82" s="346">
        <f t="shared" si="55"/>
        <v>0</v>
      </c>
      <c r="R82" s="346">
        <f t="shared" si="56"/>
        <v>0</v>
      </c>
      <c r="S82" s="346">
        <f>IF(C82="V.High",SUMIF('D-1 Off-Site Habitat Baseline'!$G$11:$G$258,'G-2 Habitat groups'!A82,'D-1 Off-Site Habitat Baseline'!$V$11:$V$258)+SUMIF('D-1 Off-Site Habitat Baseline'!$G$11:$G$258,'G-2 Habitat groups'!A82,'D-1 Off-Site Habitat Baseline'!$W$11:$W$258),SUMIF('D-1 Off-Site Habitat Baseline'!$G$11:$G$258,'G-2 Habitat groups'!A82,'D-1 Off-Site Habitat Baseline'!$H$11:$H$258))</f>
        <v>0</v>
      </c>
      <c r="T82" s="346">
        <f>SUMIF('D-1 Off-Site Habitat Baseline'!$G$11:$G$258,'G-2 Habitat groups'!A82,'D-1 Off-Site Habitat Baseline'!$T$11:$T$258)</f>
        <v>0</v>
      </c>
      <c r="U82" s="346">
        <f>SUMIF('D-1 Off-Site Habitat Baseline'!$G$11:$G$258,'G-2 Habitat groups'!A82,'D-1 Off-Site Habitat Baseline'!$V$11:$V$258)</f>
        <v>0</v>
      </c>
      <c r="V82" s="346">
        <f>SUMIF('D-1 Off-Site Habitat Baseline'!$G$11:$G$258,'G-2 Habitat groups'!A82,'D-1 Off-Site Habitat Baseline'!$X$11:$X$258)</f>
        <v>0</v>
      </c>
      <c r="W82" s="346">
        <f>SUMIF('D-2 Off-Site Habitat Creation'!$F$9:$F$255,'G-2 Habitat groups'!A82,'D-2 Off-Site Habitat Creation'!$G$9:$G$255)</f>
        <v>0</v>
      </c>
      <c r="X82" s="346">
        <f>SUMIF('D-2 Off-Site Habitat Creation'!$F$9:$F$255,'G-2 Habitat groups'!A82,'D-2 Off-Site Habitat Creation'!$AB$9:$AB$255)</f>
        <v>0</v>
      </c>
      <c r="Y82" s="346">
        <f>SUMIF('D-3 Off-Site Habitat Enhancment'!$S$12:$S$491,'G-2 Habitat groups'!A82,'D-3 Off-Site Habitat Enhancment'!$V$12:$V$491)</f>
        <v>0</v>
      </c>
      <c r="Z82" s="346">
        <f>SUMIF('D-3 Off-Site Habitat Enhancment'!$S$12:$S$491,'G-2 Habitat groups'!A82,'D-3 Off-Site Habitat Enhancment'!$AQ$12:$AQ$491)</f>
        <v>0</v>
      </c>
      <c r="AA82" s="346">
        <f t="shared" si="57"/>
        <v>0</v>
      </c>
      <c r="AB82" s="346">
        <f t="shared" si="58"/>
        <v>0</v>
      </c>
      <c r="AC82" s="346">
        <f t="shared" si="59"/>
        <v>0</v>
      </c>
      <c r="AD82" s="346">
        <f t="shared" si="60"/>
        <v>0</v>
      </c>
      <c r="AE82" s="346">
        <f t="shared" si="61"/>
        <v>0</v>
      </c>
      <c r="AF82" s="346">
        <f t="shared" si="62"/>
        <v>0</v>
      </c>
      <c r="AU82" s="268" t="s">
        <v>474</v>
      </c>
      <c r="AV82" s="68" t="s">
        <v>124</v>
      </c>
      <c r="AW82" s="358">
        <f>VLOOKUP($AU82,AllHabsSummaryData,5,FALSE)</f>
        <v>0</v>
      </c>
      <c r="AX82" s="358">
        <f>VLOOKUP($AU82,AllHabsSummaryData,10,FALSE)</f>
        <v>0</v>
      </c>
      <c r="AY82" s="358">
        <f>VLOOKUP($AU82,AllHabsSummaryData,15,FALSE)</f>
        <v>0</v>
      </c>
      <c r="AZ82" s="358">
        <f>VLOOKUP($AU82,AllHabsSummaryData,16,FALSE)</f>
        <v>0</v>
      </c>
      <c r="BA82" s="358">
        <f>VLOOKUP($AU82,AllHabsSummaryData,17,FALSE)</f>
        <v>0</v>
      </c>
      <c r="BB82" s="358">
        <f>VLOOKUP($AU82,AllHabsSummaryData,18,FALSE)</f>
        <v>0</v>
      </c>
      <c r="BC82" s="358">
        <f>VLOOKUP($AU82,AllHabsSummaryData,27,FALSE)</f>
        <v>0</v>
      </c>
      <c r="BD82" s="358">
        <f>VLOOKUP($AU82,AllHabsSummaryData,30,FALSE)</f>
        <v>0</v>
      </c>
      <c r="BE82" s="358">
        <f>BB82+BD82</f>
        <v>0</v>
      </c>
      <c r="BF82" s="358" t="str">
        <f>IF(BE82&lt;0,BE82,"")</f>
        <v/>
      </c>
    </row>
    <row r="83" spans="1:58">
      <c r="A83" s="79" t="str">
        <f>'G-1 All Habitats'!B83</f>
        <v>Wetland - Depressions on peat substrates (H7150)</v>
      </c>
      <c r="B83" s="68" t="str">
        <f>'G-1 All Habitats'!F83</f>
        <v>Wetland</v>
      </c>
      <c r="C83" s="68" t="str">
        <f>'G-1 All Habitats'!K83</f>
        <v>V.High</v>
      </c>
      <c r="D83" s="68" t="str">
        <f>'G-1 All Habitats'!M83</f>
        <v>Bespoke compensation likely to be required 🛠</v>
      </c>
      <c r="E83" s="346">
        <f>IF(C83="V.High",SUMIF('A-1 On-Site Habitat Baseline'!$G$11:$G$258,'G-2 Habitat groups'!A83,'A-1 On-Site Habitat Baseline'!$S$11:$S$258)+SUMIF('A-1 On-Site Habitat Baseline'!$G$11:$G$258,'G-2 Habitat groups'!A83,'A-1 On-Site Habitat Baseline'!$T$11:$T$258),SUMIF('A-1 On-Site Habitat Baseline'!$G$11:$G$258,'G-2 Habitat groups'!A83,'A-1 On-Site Habitat Baseline'!$H$11:$H$258))</f>
        <v>0</v>
      </c>
      <c r="F83" s="346">
        <f>SUMIF('A-1 On-Site Habitat Baseline'!$G$11:$G$258,'G-2 Habitat groups'!A83,'A-1 On-Site Habitat Baseline'!$Q$11:$Q$258)</f>
        <v>0</v>
      </c>
      <c r="G83" s="346">
        <f>SUMIF('A-1 On-Site Habitat Baseline'!$G$11:$G$258,'G-2 Habitat groups'!A83,'A-1 On-Site Habitat Baseline'!$S$11:$S$258)</f>
        <v>0</v>
      </c>
      <c r="H83" s="346">
        <f>SUMIF('A-1 On-Site Habitat Baseline'!$G$11:$G$258,'G-2 Habitat groups'!A83,'A-1 On-Site Habitat Baseline'!$U$11:$U$258)</f>
        <v>0</v>
      </c>
      <c r="I83" s="346">
        <f>SUMIF('A-1 On-Site Habitat Baseline'!$G$11:$G$258,'G-2 Habitat groups'!A83,'A-1 On-Site Habitat Baseline'!$W$11:$W$258)</f>
        <v>0</v>
      </c>
      <c r="J83" s="346">
        <f>SUMIF('A-1 On-Site Habitat Baseline'!$G$11:$G$258,'G-2 Habitat groups'!A83,'A-1 On-Site Habitat Baseline'!$X$11:$X$258)</f>
        <v>0</v>
      </c>
      <c r="K83" s="346">
        <f>SUMIF('A-2 On-Site Habitat Creation'!$F$11:$F$256,'G-2 Habitat groups'!A83,'A-2 On-Site Habitat Creation'!$G$11:$G$256)</f>
        <v>0</v>
      </c>
      <c r="L83" s="346">
        <f>SUMIF('A-2 On-Site Habitat Creation'!$F$11:$F$256,'G-2 Habitat groups'!A83,'A-2 On-Site Habitat Creation'!$Y$11:$Y$256)</f>
        <v>0</v>
      </c>
      <c r="M83" s="346">
        <f>SUMIF('A-3 On-Site Habitat Enhancement'!$S$12:$S$257,'G-2 Habitat groups'!A83,'A-3 On-Site Habitat Enhancement'!$V$12:$V$257)</f>
        <v>0</v>
      </c>
      <c r="N83" s="346">
        <f>SUMIF('A-3 On-Site Habitat Enhancement'!$S$12:$S$257,'G-2 Habitat groups'!A83,'A-3 On-Site Habitat Enhancement'!$AN$12:$AN$257)</f>
        <v>0</v>
      </c>
      <c r="O83" s="346">
        <f t="shared" si="53"/>
        <v>0</v>
      </c>
      <c r="P83" s="346">
        <f t="shared" si="54"/>
        <v>0</v>
      </c>
      <c r="Q83" s="346">
        <f t="shared" si="55"/>
        <v>0</v>
      </c>
      <c r="R83" s="346">
        <f t="shared" si="56"/>
        <v>0</v>
      </c>
      <c r="S83" s="346">
        <f>IF(C83="V.High",SUMIF('D-1 Off-Site Habitat Baseline'!$G$11:$G$258,'G-2 Habitat groups'!A83,'D-1 Off-Site Habitat Baseline'!$V$11:$V$258)+SUMIF('D-1 Off-Site Habitat Baseline'!$G$11:$G$258,'G-2 Habitat groups'!A83,'D-1 Off-Site Habitat Baseline'!$W$11:$W$258),SUMIF('D-1 Off-Site Habitat Baseline'!$G$11:$G$258,'G-2 Habitat groups'!A83,'D-1 Off-Site Habitat Baseline'!$H$11:$H$258))</f>
        <v>0</v>
      </c>
      <c r="T83" s="346">
        <f>SUMIF('D-1 Off-Site Habitat Baseline'!$G$11:$G$258,'G-2 Habitat groups'!A83,'D-1 Off-Site Habitat Baseline'!$T$11:$T$258)</f>
        <v>0</v>
      </c>
      <c r="U83" s="346">
        <f>SUMIF('D-1 Off-Site Habitat Baseline'!$G$11:$G$258,'G-2 Habitat groups'!A83,'D-1 Off-Site Habitat Baseline'!$V$11:$V$258)</f>
        <v>0</v>
      </c>
      <c r="V83" s="346">
        <f>SUMIF('D-1 Off-Site Habitat Baseline'!$G$11:$G$258,'G-2 Habitat groups'!A83,'D-1 Off-Site Habitat Baseline'!$X$11:$X$258)</f>
        <v>0</v>
      </c>
      <c r="W83" s="346">
        <f>SUMIF('D-2 Off-Site Habitat Creation'!$F$9:$F$255,'G-2 Habitat groups'!A83,'D-2 Off-Site Habitat Creation'!$G$9:$G$255)</f>
        <v>0</v>
      </c>
      <c r="X83" s="346">
        <f>SUMIF('D-2 Off-Site Habitat Creation'!$F$9:$F$255,'G-2 Habitat groups'!A83,'D-2 Off-Site Habitat Creation'!$AB$9:$AB$255)</f>
        <v>0</v>
      </c>
      <c r="Y83" s="346">
        <f>SUMIF('D-3 Off-Site Habitat Enhancment'!$S$12:$S$491,'G-2 Habitat groups'!A83,'D-3 Off-Site Habitat Enhancment'!$V$12:$V$491)</f>
        <v>0</v>
      </c>
      <c r="Z83" s="346">
        <f>SUMIF('D-3 Off-Site Habitat Enhancment'!$S$12:$S$491,'G-2 Habitat groups'!A83,'D-3 Off-Site Habitat Enhancment'!$AQ$12:$AQ$491)</f>
        <v>0</v>
      </c>
      <c r="AA83" s="346">
        <f t="shared" si="57"/>
        <v>0</v>
      </c>
      <c r="AB83" s="346">
        <f t="shared" si="58"/>
        <v>0</v>
      </c>
      <c r="AC83" s="346">
        <f t="shared" si="59"/>
        <v>0</v>
      </c>
      <c r="AD83" s="346">
        <f t="shared" si="60"/>
        <v>0</v>
      </c>
      <c r="AE83" s="346">
        <f t="shared" si="61"/>
        <v>0</v>
      </c>
      <c r="AF83" s="346">
        <f t="shared" si="62"/>
        <v>0</v>
      </c>
      <c r="AU83" s="79" t="s">
        <v>478</v>
      </c>
      <c r="AV83" s="68" t="s">
        <v>124</v>
      </c>
      <c r="AW83" s="358">
        <f>VLOOKUP($AU83,AllHabsSummaryData,5,FALSE)</f>
        <v>0</v>
      </c>
      <c r="AX83" s="358">
        <f>VLOOKUP($AU83,AllHabsSummaryData,10,FALSE)</f>
        <v>0</v>
      </c>
      <c r="AY83" s="358">
        <f>VLOOKUP($AU83,AllHabsSummaryData,15,FALSE)</f>
        <v>0</v>
      </c>
      <c r="AZ83" s="358">
        <f>VLOOKUP($AU83,AllHabsSummaryData,16,FALSE)</f>
        <v>0</v>
      </c>
      <c r="BA83" s="358">
        <f>VLOOKUP($AU83,AllHabsSummaryData,17,FALSE)</f>
        <v>0</v>
      </c>
      <c r="BB83" s="358">
        <f>VLOOKUP($AU83,AllHabsSummaryData,18,FALSE)</f>
        <v>0</v>
      </c>
      <c r="BC83" s="358">
        <f>VLOOKUP($AU83,AllHabsSummaryData,27,FALSE)</f>
        <v>0</v>
      </c>
      <c r="BD83" s="358">
        <f>VLOOKUP($AU83,AllHabsSummaryData,30,FALSE)</f>
        <v>0</v>
      </c>
      <c r="BE83" s="358">
        <f>BB83+BD83</f>
        <v>0</v>
      </c>
      <c r="BF83" s="358" t="str">
        <f>IF(BE83&lt;0,BE83,"")</f>
        <v/>
      </c>
    </row>
    <row r="84" spans="1:58">
      <c r="A84" s="79" t="str">
        <f>'G-1 All Habitats'!B84</f>
        <v>Wetland - Fens (upland and lowland)</v>
      </c>
      <c r="B84" s="68" t="str">
        <f>'G-1 All Habitats'!F84</f>
        <v>Wetland</v>
      </c>
      <c r="C84" s="68" t="str">
        <f>'G-1 All Habitats'!K84</f>
        <v>V.High</v>
      </c>
      <c r="D84" s="68" t="str">
        <f>'G-1 All Habitats'!M84</f>
        <v>Bespoke compensation likely to be required 🛠</v>
      </c>
      <c r="E84" s="346">
        <f>IF(C84="V.High",SUMIF('A-1 On-Site Habitat Baseline'!$G$11:$G$258,'G-2 Habitat groups'!A84,'A-1 On-Site Habitat Baseline'!$S$11:$S$258)+SUMIF('A-1 On-Site Habitat Baseline'!$G$11:$G$258,'G-2 Habitat groups'!A84,'A-1 On-Site Habitat Baseline'!$T$11:$T$258),SUMIF('A-1 On-Site Habitat Baseline'!$G$11:$G$258,'G-2 Habitat groups'!A84,'A-1 On-Site Habitat Baseline'!$H$11:$H$258))</f>
        <v>0</v>
      </c>
      <c r="F84" s="346">
        <f>SUMIF('A-1 On-Site Habitat Baseline'!$G$11:$G$258,'G-2 Habitat groups'!A84,'A-1 On-Site Habitat Baseline'!$Q$11:$Q$258)</f>
        <v>0</v>
      </c>
      <c r="G84" s="346">
        <f>SUMIF('A-1 On-Site Habitat Baseline'!$G$11:$G$258,'G-2 Habitat groups'!A84,'A-1 On-Site Habitat Baseline'!$S$11:$S$258)</f>
        <v>0</v>
      </c>
      <c r="H84" s="346">
        <f>SUMIF('A-1 On-Site Habitat Baseline'!$G$11:$G$258,'G-2 Habitat groups'!A84,'A-1 On-Site Habitat Baseline'!$U$11:$U$258)</f>
        <v>0</v>
      </c>
      <c r="I84" s="346">
        <f>SUMIF('A-1 On-Site Habitat Baseline'!$G$11:$G$258,'G-2 Habitat groups'!A84,'A-1 On-Site Habitat Baseline'!$W$11:$W$258)</f>
        <v>0</v>
      </c>
      <c r="J84" s="346">
        <f>SUMIF('A-1 On-Site Habitat Baseline'!$G$11:$G$258,'G-2 Habitat groups'!A84,'A-1 On-Site Habitat Baseline'!$X$11:$X$258)</f>
        <v>0</v>
      </c>
      <c r="K84" s="346">
        <f>SUMIF('A-2 On-Site Habitat Creation'!$F$11:$F$256,'G-2 Habitat groups'!A84,'A-2 On-Site Habitat Creation'!$G$11:$G$256)</f>
        <v>0</v>
      </c>
      <c r="L84" s="346">
        <f>SUMIF('A-2 On-Site Habitat Creation'!$F$11:$F$256,'G-2 Habitat groups'!A84,'A-2 On-Site Habitat Creation'!$Y$11:$Y$256)</f>
        <v>0</v>
      </c>
      <c r="M84" s="346">
        <f>SUMIF('A-3 On-Site Habitat Enhancement'!$S$12:$S$257,'G-2 Habitat groups'!A84,'A-3 On-Site Habitat Enhancement'!$V$12:$V$257)</f>
        <v>0</v>
      </c>
      <c r="N84" s="346">
        <f>SUMIF('A-3 On-Site Habitat Enhancement'!$S$12:$S$257,'G-2 Habitat groups'!A84,'A-3 On-Site Habitat Enhancement'!$AN$12:$AN$257)</f>
        <v>0</v>
      </c>
      <c r="O84" s="346">
        <f t="shared" si="53"/>
        <v>0</v>
      </c>
      <c r="P84" s="346">
        <f t="shared" si="54"/>
        <v>0</v>
      </c>
      <c r="Q84" s="346">
        <f t="shared" si="55"/>
        <v>0</v>
      </c>
      <c r="R84" s="346">
        <f t="shared" si="56"/>
        <v>0</v>
      </c>
      <c r="S84" s="346">
        <f>IF(C84="V.High",SUMIF('D-1 Off-Site Habitat Baseline'!$G$11:$G$258,'G-2 Habitat groups'!A84,'D-1 Off-Site Habitat Baseline'!$V$11:$V$258)+SUMIF('D-1 Off-Site Habitat Baseline'!$G$11:$G$258,'G-2 Habitat groups'!A84,'D-1 Off-Site Habitat Baseline'!$W$11:$W$258),SUMIF('D-1 Off-Site Habitat Baseline'!$G$11:$G$258,'G-2 Habitat groups'!A84,'D-1 Off-Site Habitat Baseline'!$H$11:$H$258))</f>
        <v>0</v>
      </c>
      <c r="T84" s="346">
        <f>SUMIF('D-1 Off-Site Habitat Baseline'!$G$11:$G$258,'G-2 Habitat groups'!A84,'D-1 Off-Site Habitat Baseline'!$T$11:$T$258)</f>
        <v>0</v>
      </c>
      <c r="U84" s="346">
        <f>SUMIF('D-1 Off-Site Habitat Baseline'!$G$11:$G$258,'G-2 Habitat groups'!A84,'D-1 Off-Site Habitat Baseline'!$V$11:$V$258)</f>
        <v>0</v>
      </c>
      <c r="V84" s="346">
        <f>SUMIF('D-1 Off-Site Habitat Baseline'!$G$11:$G$258,'G-2 Habitat groups'!A84,'D-1 Off-Site Habitat Baseline'!$X$11:$X$258)</f>
        <v>0</v>
      </c>
      <c r="W84" s="346">
        <f>SUMIF('D-2 Off-Site Habitat Creation'!$F$9:$F$255,'G-2 Habitat groups'!A84,'D-2 Off-Site Habitat Creation'!$G$9:$G$255)</f>
        <v>0</v>
      </c>
      <c r="X84" s="346">
        <f>SUMIF('D-2 Off-Site Habitat Creation'!$F$9:$F$255,'G-2 Habitat groups'!A84,'D-2 Off-Site Habitat Creation'!$AB$9:$AB$255)</f>
        <v>0</v>
      </c>
      <c r="Y84" s="346">
        <f>SUMIF('D-3 Off-Site Habitat Enhancment'!$S$12:$S$491,'G-2 Habitat groups'!A84,'D-3 Off-Site Habitat Enhancment'!$V$12:$V$491)</f>
        <v>0</v>
      </c>
      <c r="Z84" s="346">
        <f>SUMIF('D-3 Off-Site Habitat Enhancment'!$S$12:$S$491,'G-2 Habitat groups'!A84,'D-3 Off-Site Habitat Enhancment'!$AQ$12:$AQ$491)</f>
        <v>0</v>
      </c>
      <c r="AA84" s="346">
        <f t="shared" si="57"/>
        <v>0</v>
      </c>
      <c r="AB84" s="346">
        <f t="shared" si="58"/>
        <v>0</v>
      </c>
      <c r="AC84" s="346">
        <f t="shared" si="59"/>
        <v>0</v>
      </c>
      <c r="AD84" s="346">
        <f t="shared" si="60"/>
        <v>0</v>
      </c>
      <c r="AE84" s="346">
        <f t="shared" si="61"/>
        <v>0</v>
      </c>
      <c r="AF84" s="346">
        <f t="shared" si="62"/>
        <v>0</v>
      </c>
      <c r="AU84" s="79" t="s">
        <v>542</v>
      </c>
      <c r="AV84" s="68" t="s">
        <v>125</v>
      </c>
      <c r="AW84" s="358">
        <f t="shared" ref="AW84:AW103" si="63">VLOOKUP($AU84,AllHabsSummaryData,5,FALSE)</f>
        <v>0</v>
      </c>
      <c r="AX84" s="358">
        <f t="shared" ref="AX84:AX104" si="64">VLOOKUP($AU84,AllHabsSummaryData,10,FALSE)</f>
        <v>0</v>
      </c>
      <c r="AY84" s="358">
        <f t="shared" ref="AY84:AY104" si="65">VLOOKUP($AU84,AllHabsSummaryData,15,FALSE)</f>
        <v>0</v>
      </c>
      <c r="AZ84" s="358">
        <f t="shared" ref="AZ84:AZ104" si="66">VLOOKUP($AU84,AllHabsSummaryData,16,FALSE)</f>
        <v>0</v>
      </c>
      <c r="BA84" s="358">
        <f t="shared" ref="BA84:BA104" si="67">VLOOKUP($AU84,AllHabsSummaryData,17,FALSE)</f>
        <v>0</v>
      </c>
      <c r="BB84" s="358">
        <f t="shared" ref="BB84:BB104" si="68">VLOOKUP($AU84,AllHabsSummaryData,18,FALSE)</f>
        <v>0</v>
      </c>
      <c r="BC84" s="358">
        <f t="shared" ref="BC84:BC104" si="69">VLOOKUP($AU84,AllHabsSummaryData,27,FALSE)</f>
        <v>0</v>
      </c>
      <c r="BD84" s="358">
        <f t="shared" ref="BD84:BD104" si="70">VLOOKUP($AU84,AllHabsSummaryData,30,FALSE)</f>
        <v>0</v>
      </c>
      <c r="BE84" s="358">
        <f t="shared" ref="BE84:BE92" si="71">BB84+BD84</f>
        <v>0</v>
      </c>
      <c r="BF84" s="358" t="str">
        <f t="shared" ref="BF84:BF92" si="72">IF(BE84&lt;0,BE84,"")</f>
        <v/>
      </c>
    </row>
    <row r="85" spans="1:58">
      <c r="A85" s="79" t="str">
        <f>'G-1 All Habitats'!B85</f>
        <v>Wetland - Lowland raised bog</v>
      </c>
      <c r="B85" s="68" t="str">
        <f>'G-1 All Habitats'!F85</f>
        <v>Wetland</v>
      </c>
      <c r="C85" s="68" t="str">
        <f>'G-1 All Habitats'!K85</f>
        <v>V.High</v>
      </c>
      <c r="D85" s="68" t="str">
        <f>'G-1 All Habitats'!M85</f>
        <v>Bespoke compensation likely to be required 🛠</v>
      </c>
      <c r="E85" s="346">
        <f>IF(C85="V.High",SUMIF('A-1 On-Site Habitat Baseline'!$G$11:$G$258,'G-2 Habitat groups'!A85,'A-1 On-Site Habitat Baseline'!$S$11:$S$258)+SUMIF('A-1 On-Site Habitat Baseline'!$G$11:$G$258,'G-2 Habitat groups'!A85,'A-1 On-Site Habitat Baseline'!$T$11:$T$258),SUMIF('A-1 On-Site Habitat Baseline'!$G$11:$G$258,'G-2 Habitat groups'!A85,'A-1 On-Site Habitat Baseline'!$H$11:$H$258))</f>
        <v>0</v>
      </c>
      <c r="F85" s="346">
        <f>SUMIF('A-1 On-Site Habitat Baseline'!$G$11:$G$258,'G-2 Habitat groups'!A85,'A-1 On-Site Habitat Baseline'!$Q$11:$Q$258)</f>
        <v>0</v>
      </c>
      <c r="G85" s="346">
        <f>SUMIF('A-1 On-Site Habitat Baseline'!$G$11:$G$258,'G-2 Habitat groups'!A85,'A-1 On-Site Habitat Baseline'!$S$11:$S$258)</f>
        <v>0</v>
      </c>
      <c r="H85" s="346">
        <f>SUMIF('A-1 On-Site Habitat Baseline'!$G$11:$G$258,'G-2 Habitat groups'!A85,'A-1 On-Site Habitat Baseline'!$U$11:$U$258)</f>
        <v>0</v>
      </c>
      <c r="I85" s="346">
        <f>SUMIF('A-1 On-Site Habitat Baseline'!$G$11:$G$258,'G-2 Habitat groups'!A85,'A-1 On-Site Habitat Baseline'!$W$11:$W$258)</f>
        <v>0</v>
      </c>
      <c r="J85" s="346">
        <f>SUMIF('A-1 On-Site Habitat Baseline'!$G$11:$G$258,'G-2 Habitat groups'!A85,'A-1 On-Site Habitat Baseline'!$X$11:$X$258)</f>
        <v>0</v>
      </c>
      <c r="K85" s="346">
        <f>SUMIF('A-2 On-Site Habitat Creation'!$F$11:$F$256,'G-2 Habitat groups'!A85,'A-2 On-Site Habitat Creation'!$G$11:$G$256)</f>
        <v>0</v>
      </c>
      <c r="L85" s="346">
        <f>SUMIF('A-2 On-Site Habitat Creation'!$F$11:$F$256,'G-2 Habitat groups'!A85,'A-2 On-Site Habitat Creation'!$Y$11:$Y$256)</f>
        <v>0</v>
      </c>
      <c r="M85" s="346">
        <f>SUMIF('A-3 On-Site Habitat Enhancement'!$S$12:$S$257,'G-2 Habitat groups'!A85,'A-3 On-Site Habitat Enhancement'!$V$12:$V$257)</f>
        <v>0</v>
      </c>
      <c r="N85" s="346">
        <f>SUMIF('A-3 On-Site Habitat Enhancement'!$S$12:$S$257,'G-2 Habitat groups'!A85,'A-3 On-Site Habitat Enhancement'!$AN$12:$AN$257)</f>
        <v>0</v>
      </c>
      <c r="O85" s="346">
        <f t="shared" si="53"/>
        <v>0</v>
      </c>
      <c r="P85" s="346">
        <f t="shared" si="54"/>
        <v>0</v>
      </c>
      <c r="Q85" s="346">
        <f t="shared" si="55"/>
        <v>0</v>
      </c>
      <c r="R85" s="346">
        <f t="shared" si="56"/>
        <v>0</v>
      </c>
      <c r="S85" s="346">
        <f>IF(C85="V.High",SUMIF('D-1 Off-Site Habitat Baseline'!$G$11:$G$258,'G-2 Habitat groups'!A85,'D-1 Off-Site Habitat Baseline'!$V$11:$V$258)+SUMIF('D-1 Off-Site Habitat Baseline'!$G$11:$G$258,'G-2 Habitat groups'!A85,'D-1 Off-Site Habitat Baseline'!$W$11:$W$258),SUMIF('D-1 Off-Site Habitat Baseline'!$G$11:$G$258,'G-2 Habitat groups'!A85,'D-1 Off-Site Habitat Baseline'!$H$11:$H$258))</f>
        <v>0</v>
      </c>
      <c r="T85" s="346">
        <f>SUMIF('D-1 Off-Site Habitat Baseline'!$G$11:$G$258,'G-2 Habitat groups'!A85,'D-1 Off-Site Habitat Baseline'!$T$11:$T$258)</f>
        <v>0</v>
      </c>
      <c r="U85" s="346">
        <f>SUMIF('D-1 Off-Site Habitat Baseline'!$G$11:$G$258,'G-2 Habitat groups'!A85,'D-1 Off-Site Habitat Baseline'!$V$11:$V$258)</f>
        <v>0</v>
      </c>
      <c r="V85" s="346">
        <f>SUMIF('D-1 Off-Site Habitat Baseline'!$G$11:$G$258,'G-2 Habitat groups'!A85,'D-1 Off-Site Habitat Baseline'!$X$11:$X$258)</f>
        <v>0</v>
      </c>
      <c r="W85" s="346">
        <f>SUMIF('D-2 Off-Site Habitat Creation'!$F$9:$F$255,'G-2 Habitat groups'!A85,'D-2 Off-Site Habitat Creation'!$G$9:$G$255)</f>
        <v>0</v>
      </c>
      <c r="X85" s="346">
        <f>SUMIF('D-2 Off-Site Habitat Creation'!$F$9:$F$255,'G-2 Habitat groups'!A85,'D-2 Off-Site Habitat Creation'!$AB$9:$AB$255)</f>
        <v>0</v>
      </c>
      <c r="Y85" s="346">
        <f>SUMIF('D-3 Off-Site Habitat Enhancment'!$S$12:$S$491,'G-2 Habitat groups'!A85,'D-3 Off-Site Habitat Enhancment'!$V$12:$V$491)</f>
        <v>0</v>
      </c>
      <c r="Z85" s="346">
        <f>SUMIF('D-3 Off-Site Habitat Enhancment'!$S$12:$S$491,'G-2 Habitat groups'!A85,'D-3 Off-Site Habitat Enhancment'!$AQ$12:$AQ$491)</f>
        <v>0</v>
      </c>
      <c r="AA85" s="346">
        <f t="shared" si="57"/>
        <v>0</v>
      </c>
      <c r="AB85" s="346">
        <f t="shared" si="58"/>
        <v>0</v>
      </c>
      <c r="AC85" s="346">
        <f t="shared" si="59"/>
        <v>0</v>
      </c>
      <c r="AD85" s="346">
        <f t="shared" si="60"/>
        <v>0</v>
      </c>
      <c r="AE85" s="346">
        <f t="shared" si="61"/>
        <v>0</v>
      </c>
      <c r="AF85" s="346">
        <f t="shared" si="62"/>
        <v>0</v>
      </c>
      <c r="AU85" s="79" t="s">
        <v>545</v>
      </c>
      <c r="AV85" s="68" t="s">
        <v>125</v>
      </c>
      <c r="AW85" s="358">
        <f t="shared" si="63"/>
        <v>0.34</v>
      </c>
      <c r="AX85" s="358">
        <f t="shared" si="64"/>
        <v>0</v>
      </c>
      <c r="AY85" s="358">
        <f t="shared" si="65"/>
        <v>9.8690000000000015</v>
      </c>
      <c r="AZ85" s="358">
        <f t="shared" si="66"/>
        <v>66.513125504139211</v>
      </c>
      <c r="BA85" s="358">
        <f t="shared" si="67"/>
        <v>9.5290000000000017</v>
      </c>
      <c r="BB85" s="358">
        <f t="shared" si="68"/>
        <v>63.793125504139212</v>
      </c>
      <c r="BC85" s="358">
        <f t="shared" si="69"/>
        <v>0</v>
      </c>
      <c r="BD85" s="358">
        <f t="shared" si="70"/>
        <v>0</v>
      </c>
      <c r="BE85" s="358">
        <f t="shared" si="71"/>
        <v>63.793125504139212</v>
      </c>
      <c r="BF85" s="358" t="str">
        <f t="shared" si="72"/>
        <v/>
      </c>
    </row>
    <row r="86" spans="1:58">
      <c r="A86" s="79" t="str">
        <f>'G-1 All Habitats'!B86</f>
        <v>Wetland - Oceanic valley mire[1] (D2.1)</v>
      </c>
      <c r="B86" s="68" t="str">
        <f>'G-1 All Habitats'!F86</f>
        <v>Wetland</v>
      </c>
      <c r="C86" s="68" t="str">
        <f>'G-1 All Habitats'!K86</f>
        <v>V.High</v>
      </c>
      <c r="D86" s="68" t="str">
        <f>'G-1 All Habitats'!M86</f>
        <v>Bespoke compensation likely to be required 🛠</v>
      </c>
      <c r="E86" s="346">
        <f>IF(C86="V.High",SUMIF('A-1 On-Site Habitat Baseline'!$G$11:$G$258,'G-2 Habitat groups'!A86,'A-1 On-Site Habitat Baseline'!$S$11:$S$258)+SUMIF('A-1 On-Site Habitat Baseline'!$G$11:$G$258,'G-2 Habitat groups'!A86,'A-1 On-Site Habitat Baseline'!$T$11:$T$258),SUMIF('A-1 On-Site Habitat Baseline'!$G$11:$G$258,'G-2 Habitat groups'!A86,'A-1 On-Site Habitat Baseline'!$H$11:$H$258))</f>
        <v>0</v>
      </c>
      <c r="F86" s="346">
        <f>SUMIF('A-1 On-Site Habitat Baseline'!$G$11:$G$258,'G-2 Habitat groups'!A86,'A-1 On-Site Habitat Baseline'!$Q$11:$Q$258)</f>
        <v>0</v>
      </c>
      <c r="G86" s="346">
        <f>SUMIF('A-1 On-Site Habitat Baseline'!$G$11:$G$258,'G-2 Habitat groups'!A86,'A-1 On-Site Habitat Baseline'!$S$11:$S$258)</f>
        <v>0</v>
      </c>
      <c r="H86" s="346">
        <f>SUMIF('A-1 On-Site Habitat Baseline'!$G$11:$G$258,'G-2 Habitat groups'!A86,'A-1 On-Site Habitat Baseline'!$U$11:$U$258)</f>
        <v>0</v>
      </c>
      <c r="I86" s="346">
        <f>SUMIF('A-1 On-Site Habitat Baseline'!$G$11:$G$258,'G-2 Habitat groups'!A86,'A-1 On-Site Habitat Baseline'!$W$11:$W$258)</f>
        <v>0</v>
      </c>
      <c r="J86" s="346">
        <f>SUMIF('A-1 On-Site Habitat Baseline'!$G$11:$G$258,'G-2 Habitat groups'!A86,'A-1 On-Site Habitat Baseline'!$X$11:$X$258)</f>
        <v>0</v>
      </c>
      <c r="K86" s="346">
        <f>SUMIF('A-2 On-Site Habitat Creation'!$F$11:$F$256,'G-2 Habitat groups'!A86,'A-2 On-Site Habitat Creation'!$G$11:$G$256)</f>
        <v>0</v>
      </c>
      <c r="L86" s="346">
        <f>SUMIF('A-2 On-Site Habitat Creation'!$F$11:$F$256,'G-2 Habitat groups'!A86,'A-2 On-Site Habitat Creation'!$Y$11:$Y$256)</f>
        <v>0</v>
      </c>
      <c r="M86" s="346">
        <f>SUMIF('A-3 On-Site Habitat Enhancement'!$S$12:$S$257,'G-2 Habitat groups'!A86,'A-3 On-Site Habitat Enhancement'!$V$12:$V$257)</f>
        <v>0</v>
      </c>
      <c r="N86" s="346">
        <f>SUMIF('A-3 On-Site Habitat Enhancement'!$S$12:$S$257,'G-2 Habitat groups'!A86,'A-3 On-Site Habitat Enhancement'!$AN$12:$AN$257)</f>
        <v>0</v>
      </c>
      <c r="O86" s="346">
        <f t="shared" si="53"/>
        <v>0</v>
      </c>
      <c r="P86" s="346">
        <f t="shared" si="54"/>
        <v>0</v>
      </c>
      <c r="Q86" s="346">
        <f t="shared" si="55"/>
        <v>0</v>
      </c>
      <c r="R86" s="346">
        <f t="shared" si="56"/>
        <v>0</v>
      </c>
      <c r="S86" s="346">
        <f>IF(C86="V.High",SUMIF('D-1 Off-Site Habitat Baseline'!$G$11:$G$258,'G-2 Habitat groups'!A86,'D-1 Off-Site Habitat Baseline'!$V$11:$V$258)+SUMIF('D-1 Off-Site Habitat Baseline'!$G$11:$G$258,'G-2 Habitat groups'!A86,'D-1 Off-Site Habitat Baseline'!$W$11:$W$258),SUMIF('D-1 Off-Site Habitat Baseline'!$G$11:$G$258,'G-2 Habitat groups'!A86,'D-1 Off-Site Habitat Baseline'!$H$11:$H$258))</f>
        <v>0</v>
      </c>
      <c r="T86" s="346">
        <f>SUMIF('D-1 Off-Site Habitat Baseline'!$G$11:$G$258,'G-2 Habitat groups'!A86,'D-1 Off-Site Habitat Baseline'!$T$11:$T$258)</f>
        <v>0</v>
      </c>
      <c r="U86" s="346">
        <f>SUMIF('D-1 Off-Site Habitat Baseline'!$G$11:$G$258,'G-2 Habitat groups'!A86,'D-1 Off-Site Habitat Baseline'!$V$11:$V$258)</f>
        <v>0</v>
      </c>
      <c r="V86" s="346">
        <f>SUMIF('D-1 Off-Site Habitat Baseline'!$G$11:$G$258,'G-2 Habitat groups'!A86,'D-1 Off-Site Habitat Baseline'!$X$11:$X$258)</f>
        <v>0</v>
      </c>
      <c r="W86" s="346">
        <f>SUMIF('D-2 Off-Site Habitat Creation'!$F$9:$F$255,'G-2 Habitat groups'!A86,'D-2 Off-Site Habitat Creation'!$G$9:$G$255)</f>
        <v>0</v>
      </c>
      <c r="X86" s="346">
        <f>SUMIF('D-2 Off-Site Habitat Creation'!$F$9:$F$255,'G-2 Habitat groups'!A86,'D-2 Off-Site Habitat Creation'!$AB$9:$AB$255)</f>
        <v>0</v>
      </c>
      <c r="Y86" s="346">
        <f>SUMIF('D-3 Off-Site Habitat Enhancment'!$S$12:$S$491,'G-2 Habitat groups'!A86,'D-3 Off-Site Habitat Enhancment'!$V$12:$V$491)</f>
        <v>0</v>
      </c>
      <c r="Z86" s="346">
        <f>SUMIF('D-3 Off-Site Habitat Enhancment'!$S$12:$S$491,'G-2 Habitat groups'!A86,'D-3 Off-Site Habitat Enhancment'!$AQ$12:$AQ$491)</f>
        <v>0</v>
      </c>
      <c r="AA86" s="346">
        <f t="shared" si="57"/>
        <v>0</v>
      </c>
      <c r="AB86" s="346">
        <f t="shared" si="58"/>
        <v>0</v>
      </c>
      <c r="AC86" s="346">
        <f t="shared" si="59"/>
        <v>0</v>
      </c>
      <c r="AD86" s="346">
        <f t="shared" si="60"/>
        <v>0</v>
      </c>
      <c r="AE86" s="346">
        <f t="shared" si="61"/>
        <v>0</v>
      </c>
      <c r="AF86" s="346">
        <f t="shared" si="62"/>
        <v>0</v>
      </c>
      <c r="AU86" s="79" t="s">
        <v>554</v>
      </c>
      <c r="AV86" s="68" t="s">
        <v>125</v>
      </c>
      <c r="AW86" s="358">
        <f t="shared" si="63"/>
        <v>0</v>
      </c>
      <c r="AX86" s="358">
        <f t="shared" si="64"/>
        <v>0</v>
      </c>
      <c r="AY86" s="358">
        <f t="shared" si="65"/>
        <v>0</v>
      </c>
      <c r="AZ86" s="358">
        <f t="shared" si="66"/>
        <v>0</v>
      </c>
      <c r="BA86" s="358">
        <f t="shared" si="67"/>
        <v>0</v>
      </c>
      <c r="BB86" s="358">
        <f t="shared" si="68"/>
        <v>0</v>
      </c>
      <c r="BC86" s="358">
        <f t="shared" si="69"/>
        <v>0</v>
      </c>
      <c r="BD86" s="358">
        <f t="shared" si="70"/>
        <v>0</v>
      </c>
      <c r="BE86" s="358">
        <f t="shared" si="71"/>
        <v>0</v>
      </c>
      <c r="BF86" s="358" t="str">
        <f t="shared" si="72"/>
        <v/>
      </c>
    </row>
    <row r="87" spans="1:58">
      <c r="A87" s="79" t="str">
        <f>'G-1 All Habitats'!B87</f>
        <v>Wetland - Purple moor grass and rush pastures</v>
      </c>
      <c r="B87" s="68" t="str">
        <f>'G-1 All Habitats'!F87</f>
        <v>Wetland</v>
      </c>
      <c r="C87" s="68" t="str">
        <f>'G-1 All Habitats'!K87</f>
        <v>V.High</v>
      </c>
      <c r="D87" s="68" t="str">
        <f>'G-1 All Habitats'!M87</f>
        <v>Bespoke compensation likely to be required 🛠</v>
      </c>
      <c r="E87" s="346">
        <f>IF(C87="V.High",SUMIF('A-1 On-Site Habitat Baseline'!$G$11:$G$258,'G-2 Habitat groups'!A87,'A-1 On-Site Habitat Baseline'!$S$11:$S$258)+SUMIF('A-1 On-Site Habitat Baseline'!$G$11:$G$258,'G-2 Habitat groups'!A87,'A-1 On-Site Habitat Baseline'!$T$11:$T$258),SUMIF('A-1 On-Site Habitat Baseline'!$G$11:$G$258,'G-2 Habitat groups'!A87,'A-1 On-Site Habitat Baseline'!$H$11:$H$258))</f>
        <v>0</v>
      </c>
      <c r="F87" s="346">
        <f>SUMIF('A-1 On-Site Habitat Baseline'!$G$11:$G$258,'G-2 Habitat groups'!A87,'A-1 On-Site Habitat Baseline'!$Q$11:$Q$258)</f>
        <v>0</v>
      </c>
      <c r="G87" s="346">
        <f>SUMIF('A-1 On-Site Habitat Baseline'!$G$11:$G$258,'G-2 Habitat groups'!A87,'A-1 On-Site Habitat Baseline'!$S$11:$S$258)</f>
        <v>0</v>
      </c>
      <c r="H87" s="346">
        <f>SUMIF('A-1 On-Site Habitat Baseline'!$G$11:$G$258,'G-2 Habitat groups'!A87,'A-1 On-Site Habitat Baseline'!$U$11:$U$258)</f>
        <v>0</v>
      </c>
      <c r="I87" s="346">
        <f>SUMIF('A-1 On-Site Habitat Baseline'!$G$11:$G$258,'G-2 Habitat groups'!A87,'A-1 On-Site Habitat Baseline'!$W$11:$W$258)</f>
        <v>0</v>
      </c>
      <c r="J87" s="346">
        <f>SUMIF('A-1 On-Site Habitat Baseline'!$G$11:$G$258,'G-2 Habitat groups'!A87,'A-1 On-Site Habitat Baseline'!$X$11:$X$258)</f>
        <v>0</v>
      </c>
      <c r="K87" s="346">
        <f>SUMIF('A-2 On-Site Habitat Creation'!$F$11:$F$256,'G-2 Habitat groups'!A87,'A-2 On-Site Habitat Creation'!$G$11:$G$256)</f>
        <v>0</v>
      </c>
      <c r="L87" s="346">
        <f>SUMIF('A-2 On-Site Habitat Creation'!$F$11:$F$256,'G-2 Habitat groups'!A87,'A-2 On-Site Habitat Creation'!$Y$11:$Y$256)</f>
        <v>0</v>
      </c>
      <c r="M87" s="346">
        <f>SUMIF('A-3 On-Site Habitat Enhancement'!$S$12:$S$257,'G-2 Habitat groups'!A87,'A-3 On-Site Habitat Enhancement'!$V$12:$V$257)</f>
        <v>0</v>
      </c>
      <c r="N87" s="346">
        <f>SUMIF('A-3 On-Site Habitat Enhancement'!$S$12:$S$257,'G-2 Habitat groups'!A87,'A-3 On-Site Habitat Enhancement'!$AN$12:$AN$257)</f>
        <v>0</v>
      </c>
      <c r="O87" s="346">
        <f t="shared" si="53"/>
        <v>0</v>
      </c>
      <c r="P87" s="346">
        <f t="shared" si="54"/>
        <v>0</v>
      </c>
      <c r="Q87" s="346">
        <f t="shared" si="55"/>
        <v>0</v>
      </c>
      <c r="R87" s="346">
        <f t="shared" si="56"/>
        <v>0</v>
      </c>
      <c r="S87" s="346">
        <f>IF(C87="V.High",SUMIF('D-1 Off-Site Habitat Baseline'!$G$11:$G$258,'G-2 Habitat groups'!A87,'D-1 Off-Site Habitat Baseline'!$V$11:$V$258)+SUMIF('D-1 Off-Site Habitat Baseline'!$G$11:$G$258,'G-2 Habitat groups'!A87,'D-1 Off-Site Habitat Baseline'!$W$11:$W$258),SUMIF('D-1 Off-Site Habitat Baseline'!$G$11:$G$258,'G-2 Habitat groups'!A87,'D-1 Off-Site Habitat Baseline'!$H$11:$H$258))</f>
        <v>0</v>
      </c>
      <c r="T87" s="346">
        <f>SUMIF('D-1 Off-Site Habitat Baseline'!$G$11:$G$258,'G-2 Habitat groups'!A87,'D-1 Off-Site Habitat Baseline'!$T$11:$T$258)</f>
        <v>0</v>
      </c>
      <c r="U87" s="346">
        <f>SUMIF('D-1 Off-Site Habitat Baseline'!$G$11:$G$258,'G-2 Habitat groups'!A87,'D-1 Off-Site Habitat Baseline'!$V$11:$V$258)</f>
        <v>0</v>
      </c>
      <c r="V87" s="346">
        <f>SUMIF('D-1 Off-Site Habitat Baseline'!$G$11:$G$258,'G-2 Habitat groups'!A87,'D-1 Off-Site Habitat Baseline'!$X$11:$X$258)</f>
        <v>0</v>
      </c>
      <c r="W87" s="346">
        <f>SUMIF('D-2 Off-Site Habitat Creation'!$F$9:$F$255,'G-2 Habitat groups'!A87,'D-2 Off-Site Habitat Creation'!$G$9:$G$255)</f>
        <v>0</v>
      </c>
      <c r="X87" s="346">
        <f>SUMIF('D-2 Off-Site Habitat Creation'!$F$9:$F$255,'G-2 Habitat groups'!A87,'D-2 Off-Site Habitat Creation'!$AB$9:$AB$255)</f>
        <v>0</v>
      </c>
      <c r="Y87" s="346">
        <f>SUMIF('D-3 Off-Site Habitat Enhancment'!$S$12:$S$491,'G-2 Habitat groups'!A87,'D-3 Off-Site Habitat Enhancment'!$V$12:$V$491)</f>
        <v>0</v>
      </c>
      <c r="Z87" s="346">
        <f>SUMIF('D-3 Off-Site Habitat Enhancment'!$S$12:$S$491,'G-2 Habitat groups'!A87,'D-3 Off-Site Habitat Enhancment'!$AQ$12:$AQ$491)</f>
        <v>0</v>
      </c>
      <c r="AA87" s="346">
        <f t="shared" si="57"/>
        <v>0</v>
      </c>
      <c r="AB87" s="346">
        <f t="shared" si="58"/>
        <v>0</v>
      </c>
      <c r="AC87" s="346">
        <f t="shared" si="59"/>
        <v>0</v>
      </c>
      <c r="AD87" s="346">
        <f t="shared" si="60"/>
        <v>0</v>
      </c>
      <c r="AE87" s="346">
        <f t="shared" si="61"/>
        <v>0</v>
      </c>
      <c r="AF87" s="346">
        <f t="shared" si="62"/>
        <v>0</v>
      </c>
      <c r="AU87" s="79" t="s">
        <v>563</v>
      </c>
      <c r="AV87" s="68" t="s">
        <v>126</v>
      </c>
      <c r="AW87" s="358">
        <f t="shared" si="63"/>
        <v>0</v>
      </c>
      <c r="AX87" s="358">
        <f t="shared" si="64"/>
        <v>0</v>
      </c>
      <c r="AY87" s="358">
        <f t="shared" si="65"/>
        <v>0</v>
      </c>
      <c r="AZ87" s="358">
        <f t="shared" si="66"/>
        <v>0</v>
      </c>
      <c r="BA87" s="358">
        <f t="shared" si="67"/>
        <v>0</v>
      </c>
      <c r="BB87" s="358">
        <f t="shared" si="68"/>
        <v>0</v>
      </c>
      <c r="BC87" s="358">
        <f t="shared" si="69"/>
        <v>0</v>
      </c>
      <c r="BD87" s="358">
        <f t="shared" si="70"/>
        <v>0</v>
      </c>
      <c r="BE87" s="358">
        <f t="shared" si="71"/>
        <v>0</v>
      </c>
      <c r="BF87" s="358" t="str">
        <f t="shared" si="72"/>
        <v/>
      </c>
    </row>
    <row r="88" spans="1:58">
      <c r="A88" s="79" t="str">
        <f>'G-1 All Habitats'!B88</f>
        <v>Wetland - Reedbeds</v>
      </c>
      <c r="B88" s="68" t="str">
        <f>'G-1 All Habitats'!F88</f>
        <v>Wetland</v>
      </c>
      <c r="C88" s="68" t="str">
        <f>'G-1 All Habitats'!K88</f>
        <v>High</v>
      </c>
      <c r="D88" s="68" t="str">
        <f>'G-1 All Habitats'!M88</f>
        <v>Same habitat required =</v>
      </c>
      <c r="E88" s="346">
        <f>IF(C88="V.High",SUMIF('A-1 On-Site Habitat Baseline'!$G$11:$G$258,'G-2 Habitat groups'!A88,'A-1 On-Site Habitat Baseline'!$S$11:$S$258)+SUMIF('A-1 On-Site Habitat Baseline'!$G$11:$G$258,'G-2 Habitat groups'!A88,'A-1 On-Site Habitat Baseline'!$T$11:$T$258),SUMIF('A-1 On-Site Habitat Baseline'!$G$11:$G$258,'G-2 Habitat groups'!A88,'A-1 On-Site Habitat Baseline'!$H$11:$H$258))</f>
        <v>0</v>
      </c>
      <c r="F88" s="346">
        <f>SUMIF('A-1 On-Site Habitat Baseline'!$G$11:$G$258,'G-2 Habitat groups'!A88,'A-1 On-Site Habitat Baseline'!$Q$11:$Q$258)</f>
        <v>0</v>
      </c>
      <c r="G88" s="346">
        <f>SUMIF('A-1 On-Site Habitat Baseline'!$G$11:$G$258,'G-2 Habitat groups'!A88,'A-1 On-Site Habitat Baseline'!$S$11:$S$258)</f>
        <v>0</v>
      </c>
      <c r="H88" s="346">
        <f>SUMIF('A-1 On-Site Habitat Baseline'!$G$11:$G$258,'G-2 Habitat groups'!A88,'A-1 On-Site Habitat Baseline'!$U$11:$U$258)</f>
        <v>0</v>
      </c>
      <c r="I88" s="346">
        <f>SUMIF('A-1 On-Site Habitat Baseline'!$G$11:$G$258,'G-2 Habitat groups'!A88,'A-1 On-Site Habitat Baseline'!$W$11:$W$258)</f>
        <v>0</v>
      </c>
      <c r="J88" s="346">
        <f>SUMIF('A-1 On-Site Habitat Baseline'!$G$11:$G$258,'G-2 Habitat groups'!A88,'A-1 On-Site Habitat Baseline'!$X$11:$X$258)</f>
        <v>0</v>
      </c>
      <c r="K88" s="346">
        <f>SUMIF('A-2 On-Site Habitat Creation'!$F$11:$F$256,'G-2 Habitat groups'!A88,'A-2 On-Site Habitat Creation'!$G$11:$G$256)</f>
        <v>0</v>
      </c>
      <c r="L88" s="346">
        <f>SUMIF('A-2 On-Site Habitat Creation'!$F$11:$F$256,'G-2 Habitat groups'!A88,'A-2 On-Site Habitat Creation'!$Y$11:$Y$256)</f>
        <v>0</v>
      </c>
      <c r="M88" s="346">
        <f>SUMIF('A-3 On-Site Habitat Enhancement'!$S$12:$S$257,'G-2 Habitat groups'!A88,'A-3 On-Site Habitat Enhancement'!$V$12:$V$257)</f>
        <v>0</v>
      </c>
      <c r="N88" s="346">
        <f>SUMIF('A-3 On-Site Habitat Enhancement'!$S$12:$S$257,'G-2 Habitat groups'!A88,'A-3 On-Site Habitat Enhancement'!$AN$12:$AN$257)</f>
        <v>0</v>
      </c>
      <c r="O88" s="346">
        <f t="shared" si="53"/>
        <v>0</v>
      </c>
      <c r="P88" s="346">
        <f t="shared" si="54"/>
        <v>0</v>
      </c>
      <c r="Q88" s="346">
        <f t="shared" si="55"/>
        <v>0</v>
      </c>
      <c r="R88" s="346">
        <f t="shared" si="56"/>
        <v>0</v>
      </c>
      <c r="S88" s="346">
        <f>IF(C88="V.High",SUMIF('D-1 Off-Site Habitat Baseline'!$G$11:$G$258,'G-2 Habitat groups'!A88,'D-1 Off-Site Habitat Baseline'!$V$11:$V$258)+SUMIF('D-1 Off-Site Habitat Baseline'!$G$11:$G$258,'G-2 Habitat groups'!A88,'D-1 Off-Site Habitat Baseline'!$W$11:$W$258),SUMIF('D-1 Off-Site Habitat Baseline'!$G$11:$G$258,'G-2 Habitat groups'!A88,'D-1 Off-Site Habitat Baseline'!$H$11:$H$258))</f>
        <v>0</v>
      </c>
      <c r="T88" s="346">
        <f>SUMIF('D-1 Off-Site Habitat Baseline'!$G$11:$G$258,'G-2 Habitat groups'!A88,'D-1 Off-Site Habitat Baseline'!$T$11:$T$258)</f>
        <v>0</v>
      </c>
      <c r="U88" s="346">
        <f>SUMIF('D-1 Off-Site Habitat Baseline'!$G$11:$G$258,'G-2 Habitat groups'!A88,'D-1 Off-Site Habitat Baseline'!$V$11:$V$258)</f>
        <v>0</v>
      </c>
      <c r="V88" s="346">
        <f>SUMIF('D-1 Off-Site Habitat Baseline'!$G$11:$G$258,'G-2 Habitat groups'!A88,'D-1 Off-Site Habitat Baseline'!$X$11:$X$258)</f>
        <v>0</v>
      </c>
      <c r="W88" s="346">
        <f>SUMIF('D-2 Off-Site Habitat Creation'!$F$9:$F$255,'G-2 Habitat groups'!A88,'D-2 Off-Site Habitat Creation'!$G$9:$G$255)</f>
        <v>0</v>
      </c>
      <c r="X88" s="346">
        <f>SUMIF('D-2 Off-Site Habitat Creation'!$F$9:$F$255,'G-2 Habitat groups'!A88,'D-2 Off-Site Habitat Creation'!$AB$9:$AB$255)</f>
        <v>0</v>
      </c>
      <c r="Y88" s="346">
        <f>SUMIF('D-3 Off-Site Habitat Enhancment'!$S$12:$S$491,'G-2 Habitat groups'!A88,'D-3 Off-Site Habitat Enhancment'!$V$12:$V$491)</f>
        <v>0</v>
      </c>
      <c r="Z88" s="346">
        <f>SUMIF('D-3 Off-Site Habitat Enhancment'!$S$12:$S$491,'G-2 Habitat groups'!A88,'D-3 Off-Site Habitat Enhancment'!$AQ$12:$AQ$491)</f>
        <v>0</v>
      </c>
      <c r="AA88" s="346">
        <f t="shared" si="57"/>
        <v>0</v>
      </c>
      <c r="AB88" s="346">
        <f t="shared" si="58"/>
        <v>0</v>
      </c>
      <c r="AC88" s="346">
        <f t="shared" si="59"/>
        <v>0</v>
      </c>
      <c r="AD88" s="346">
        <f t="shared" si="60"/>
        <v>0</v>
      </c>
      <c r="AE88" s="346">
        <f t="shared" si="61"/>
        <v>0</v>
      </c>
      <c r="AF88" s="346">
        <f t="shared" si="62"/>
        <v>0</v>
      </c>
      <c r="AU88" s="79" t="s">
        <v>568</v>
      </c>
      <c r="AV88" s="68" t="s">
        <v>126</v>
      </c>
      <c r="AW88" s="358">
        <f t="shared" si="63"/>
        <v>0</v>
      </c>
      <c r="AX88" s="358">
        <f t="shared" si="64"/>
        <v>0</v>
      </c>
      <c r="AY88" s="358">
        <f t="shared" si="65"/>
        <v>0</v>
      </c>
      <c r="AZ88" s="358">
        <f t="shared" si="66"/>
        <v>0</v>
      </c>
      <c r="BA88" s="358">
        <f t="shared" si="67"/>
        <v>0</v>
      </c>
      <c r="BB88" s="358">
        <f t="shared" si="68"/>
        <v>0</v>
      </c>
      <c r="BC88" s="358">
        <f t="shared" si="69"/>
        <v>0</v>
      </c>
      <c r="BD88" s="358">
        <f t="shared" si="70"/>
        <v>0</v>
      </c>
      <c r="BE88" s="358">
        <f t="shared" si="71"/>
        <v>0</v>
      </c>
      <c r="BF88" s="358" t="str">
        <f t="shared" si="72"/>
        <v/>
      </c>
    </row>
    <row r="89" spans="1:58">
      <c r="A89" s="79" t="str">
        <f>'G-1 All Habitats'!B89</f>
        <v>Wetland - Transition mires and quaking bogs (H7140)</v>
      </c>
      <c r="B89" s="68" t="str">
        <f>'G-1 All Habitats'!F89</f>
        <v>Wetland</v>
      </c>
      <c r="C89" s="68" t="str">
        <f>'G-1 All Habitats'!K89</f>
        <v>V.High</v>
      </c>
      <c r="D89" s="68" t="str">
        <f>'G-1 All Habitats'!M89</f>
        <v>Bespoke compensation likely to be required 🛠</v>
      </c>
      <c r="E89" s="346">
        <f>IF(C89="V.High",SUMIF('A-1 On-Site Habitat Baseline'!$G$11:$G$258,'G-2 Habitat groups'!A89,'A-1 On-Site Habitat Baseline'!$S$11:$S$258)+SUMIF('A-1 On-Site Habitat Baseline'!$G$11:$G$258,'G-2 Habitat groups'!A89,'A-1 On-Site Habitat Baseline'!$T$11:$T$258),SUMIF('A-1 On-Site Habitat Baseline'!$G$11:$G$258,'G-2 Habitat groups'!A89,'A-1 On-Site Habitat Baseline'!$H$11:$H$258))</f>
        <v>0</v>
      </c>
      <c r="F89" s="346">
        <f>SUMIF('A-1 On-Site Habitat Baseline'!$G$11:$G$258,'G-2 Habitat groups'!A89,'A-1 On-Site Habitat Baseline'!$Q$11:$Q$258)</f>
        <v>0</v>
      </c>
      <c r="G89" s="346">
        <f>SUMIF('A-1 On-Site Habitat Baseline'!$G$11:$G$258,'G-2 Habitat groups'!A89,'A-1 On-Site Habitat Baseline'!$S$11:$S$258)</f>
        <v>0</v>
      </c>
      <c r="H89" s="346">
        <f>SUMIF('A-1 On-Site Habitat Baseline'!$G$11:$G$258,'G-2 Habitat groups'!A89,'A-1 On-Site Habitat Baseline'!$U$11:$U$258)</f>
        <v>0</v>
      </c>
      <c r="I89" s="346">
        <f>SUMIF('A-1 On-Site Habitat Baseline'!$G$11:$G$258,'G-2 Habitat groups'!A89,'A-1 On-Site Habitat Baseline'!$W$11:$W$258)</f>
        <v>0</v>
      </c>
      <c r="J89" s="346">
        <f>SUMIF('A-1 On-Site Habitat Baseline'!$G$11:$G$258,'G-2 Habitat groups'!A89,'A-1 On-Site Habitat Baseline'!$X$11:$X$258)</f>
        <v>0</v>
      </c>
      <c r="K89" s="346">
        <f>SUMIF('A-2 On-Site Habitat Creation'!$F$11:$F$256,'G-2 Habitat groups'!A89,'A-2 On-Site Habitat Creation'!$G$11:$G$256)</f>
        <v>0</v>
      </c>
      <c r="L89" s="346">
        <f>SUMIF('A-2 On-Site Habitat Creation'!$F$11:$F$256,'G-2 Habitat groups'!A89,'A-2 On-Site Habitat Creation'!$Y$11:$Y$256)</f>
        <v>0</v>
      </c>
      <c r="M89" s="346">
        <f>SUMIF('A-3 On-Site Habitat Enhancement'!$S$12:$S$257,'G-2 Habitat groups'!A89,'A-3 On-Site Habitat Enhancement'!$V$12:$V$257)</f>
        <v>0</v>
      </c>
      <c r="N89" s="346">
        <f>SUMIF('A-3 On-Site Habitat Enhancement'!$S$12:$S$257,'G-2 Habitat groups'!A89,'A-3 On-Site Habitat Enhancement'!$AN$12:$AN$257)</f>
        <v>0</v>
      </c>
      <c r="O89" s="346">
        <f t="shared" si="53"/>
        <v>0</v>
      </c>
      <c r="P89" s="346">
        <f t="shared" si="54"/>
        <v>0</v>
      </c>
      <c r="Q89" s="346">
        <f t="shared" si="55"/>
        <v>0</v>
      </c>
      <c r="R89" s="346">
        <f t="shared" si="56"/>
        <v>0</v>
      </c>
      <c r="S89" s="346">
        <f>IF(C89="V.High",SUMIF('D-1 Off-Site Habitat Baseline'!$G$11:$G$258,'G-2 Habitat groups'!A89,'D-1 Off-Site Habitat Baseline'!$V$11:$V$258)+SUMIF('D-1 Off-Site Habitat Baseline'!$G$11:$G$258,'G-2 Habitat groups'!A89,'D-1 Off-Site Habitat Baseline'!$W$11:$W$258),SUMIF('D-1 Off-Site Habitat Baseline'!$G$11:$G$258,'G-2 Habitat groups'!A89,'D-1 Off-Site Habitat Baseline'!$H$11:$H$258))</f>
        <v>0</v>
      </c>
      <c r="T89" s="346">
        <f>SUMIF('D-1 Off-Site Habitat Baseline'!$G$11:$G$258,'G-2 Habitat groups'!A89,'D-1 Off-Site Habitat Baseline'!$T$11:$T$258)</f>
        <v>0</v>
      </c>
      <c r="U89" s="346">
        <f>SUMIF('D-1 Off-Site Habitat Baseline'!$G$11:$G$258,'G-2 Habitat groups'!A89,'D-1 Off-Site Habitat Baseline'!$V$11:$V$258)</f>
        <v>0</v>
      </c>
      <c r="V89" s="346">
        <f>SUMIF('D-1 Off-Site Habitat Baseline'!$G$11:$G$258,'G-2 Habitat groups'!A89,'D-1 Off-Site Habitat Baseline'!$X$11:$X$258)</f>
        <v>0</v>
      </c>
      <c r="W89" s="346">
        <f>SUMIF('D-2 Off-Site Habitat Creation'!$F$9:$F$255,'G-2 Habitat groups'!A89,'D-2 Off-Site Habitat Creation'!$G$9:$G$255)</f>
        <v>0</v>
      </c>
      <c r="X89" s="346">
        <f>SUMIF('D-2 Off-Site Habitat Creation'!$F$9:$F$255,'G-2 Habitat groups'!A89,'D-2 Off-Site Habitat Creation'!$AB$9:$AB$255)</f>
        <v>0</v>
      </c>
      <c r="Y89" s="346">
        <f>SUMIF('D-3 Off-Site Habitat Enhancment'!$S$12:$S$491,'G-2 Habitat groups'!A89,'D-3 Off-Site Habitat Enhancment'!$V$12:$V$491)</f>
        <v>0</v>
      </c>
      <c r="Z89" s="346">
        <f>SUMIF('D-3 Off-Site Habitat Enhancment'!$S$12:$S$491,'G-2 Habitat groups'!A89,'D-3 Off-Site Habitat Enhancment'!$AQ$12:$AQ$491)</f>
        <v>0</v>
      </c>
      <c r="AA89" s="346">
        <f t="shared" si="57"/>
        <v>0</v>
      </c>
      <c r="AB89" s="346">
        <f t="shared" si="58"/>
        <v>0</v>
      </c>
      <c r="AC89" s="346">
        <f t="shared" si="59"/>
        <v>0</v>
      </c>
      <c r="AD89" s="346">
        <f t="shared" si="60"/>
        <v>0</v>
      </c>
      <c r="AE89" s="346">
        <f t="shared" si="61"/>
        <v>0</v>
      </c>
      <c r="AF89" s="346">
        <f t="shared" si="62"/>
        <v>0</v>
      </c>
      <c r="AU89" s="79" t="s">
        <v>571</v>
      </c>
      <c r="AV89" s="68" t="s">
        <v>126</v>
      </c>
      <c r="AW89" s="358">
        <f t="shared" si="63"/>
        <v>0</v>
      </c>
      <c r="AX89" s="358">
        <f t="shared" si="64"/>
        <v>0</v>
      </c>
      <c r="AY89" s="358">
        <f t="shared" si="65"/>
        <v>0</v>
      </c>
      <c r="AZ89" s="358">
        <f t="shared" si="66"/>
        <v>0</v>
      </c>
      <c r="BA89" s="358">
        <f t="shared" si="67"/>
        <v>0</v>
      </c>
      <c r="BB89" s="358">
        <f t="shared" si="68"/>
        <v>0</v>
      </c>
      <c r="BC89" s="358">
        <f t="shared" si="69"/>
        <v>0</v>
      </c>
      <c r="BD89" s="358">
        <f t="shared" si="70"/>
        <v>0</v>
      </c>
      <c r="BE89" s="358">
        <f t="shared" si="71"/>
        <v>0</v>
      </c>
      <c r="BF89" s="358" t="str">
        <f t="shared" si="72"/>
        <v/>
      </c>
    </row>
    <row r="90" spans="1:58">
      <c r="A90" s="79" t="str">
        <f>'G-1 All Habitats'!B90</f>
        <v>Woodland and forest - Felled</v>
      </c>
      <c r="B90" s="68" t="str">
        <f>'G-1 All Habitats'!F90</f>
        <v>Woodland and forest</v>
      </c>
      <c r="C90" s="68" t="str">
        <f>'G-1 All Habitats'!K90</f>
        <v>High</v>
      </c>
      <c r="D90" s="68" t="str">
        <f>'G-1 All Habitats'!M90</f>
        <v>Same habitat required =</v>
      </c>
      <c r="E90" s="346">
        <f>IF(C90="V.High",SUMIF('A-1 On-Site Habitat Baseline'!$G$11:$G$258,'G-2 Habitat groups'!A90,'A-1 On-Site Habitat Baseline'!$S$11:$S$258)+SUMIF('A-1 On-Site Habitat Baseline'!$G$11:$G$258,'G-2 Habitat groups'!A90,'A-1 On-Site Habitat Baseline'!$T$11:$T$258),SUMIF('A-1 On-Site Habitat Baseline'!$G$11:$G$258,'G-2 Habitat groups'!A90,'A-1 On-Site Habitat Baseline'!$H$11:$H$258))</f>
        <v>0</v>
      </c>
      <c r="F90" s="346">
        <f>SUMIF('A-1 On-Site Habitat Baseline'!$G$11:$G$258,'G-2 Habitat groups'!A90,'A-1 On-Site Habitat Baseline'!$Q$11:$Q$258)</f>
        <v>0</v>
      </c>
      <c r="G90" s="346">
        <f>SUMIF('A-1 On-Site Habitat Baseline'!$G$11:$G$258,'G-2 Habitat groups'!A90,'A-1 On-Site Habitat Baseline'!$S$11:$S$258)</f>
        <v>0</v>
      </c>
      <c r="H90" s="346">
        <f>SUMIF('A-1 On-Site Habitat Baseline'!$G$11:$G$258,'G-2 Habitat groups'!A90,'A-1 On-Site Habitat Baseline'!$U$11:$U$258)</f>
        <v>0</v>
      </c>
      <c r="I90" s="346">
        <f>SUMIF('A-1 On-Site Habitat Baseline'!$G$11:$G$258,'G-2 Habitat groups'!A90,'A-1 On-Site Habitat Baseline'!$W$11:$W$258)</f>
        <v>0</v>
      </c>
      <c r="J90" s="346">
        <f>SUMIF('A-1 On-Site Habitat Baseline'!$G$11:$G$258,'G-2 Habitat groups'!A90,'A-1 On-Site Habitat Baseline'!$X$11:$X$258)</f>
        <v>0</v>
      </c>
      <c r="K90" s="346">
        <f>SUMIF('A-2 On-Site Habitat Creation'!$F$11:$F$256,'G-2 Habitat groups'!A90,'A-2 On-Site Habitat Creation'!$G$11:$G$256)</f>
        <v>0</v>
      </c>
      <c r="L90" s="346">
        <f>SUMIF('A-2 On-Site Habitat Creation'!$F$11:$F$256,'G-2 Habitat groups'!A90,'A-2 On-Site Habitat Creation'!$Y$11:$Y$256)</f>
        <v>0</v>
      </c>
      <c r="M90" s="346">
        <f>SUMIF('A-3 On-Site Habitat Enhancement'!$S$12:$S$257,'G-2 Habitat groups'!A90,'A-3 On-Site Habitat Enhancement'!$V$12:$V$257)</f>
        <v>0</v>
      </c>
      <c r="N90" s="346">
        <f>SUMIF('A-3 On-Site Habitat Enhancement'!$S$12:$S$257,'G-2 Habitat groups'!A90,'A-3 On-Site Habitat Enhancement'!$AN$12:$AN$257)</f>
        <v>0</v>
      </c>
      <c r="O90" s="346">
        <f t="shared" si="53"/>
        <v>0</v>
      </c>
      <c r="P90" s="346">
        <f t="shared" si="54"/>
        <v>0</v>
      </c>
      <c r="Q90" s="346">
        <f t="shared" si="55"/>
        <v>0</v>
      </c>
      <c r="R90" s="346">
        <f t="shared" si="56"/>
        <v>0</v>
      </c>
      <c r="S90" s="346">
        <f>IF(C90="V.High",SUMIF('D-1 Off-Site Habitat Baseline'!$G$11:$G$258,'G-2 Habitat groups'!A90,'D-1 Off-Site Habitat Baseline'!$V$11:$V$258)+SUMIF('D-1 Off-Site Habitat Baseline'!$G$11:$G$258,'G-2 Habitat groups'!A90,'D-1 Off-Site Habitat Baseline'!$W$11:$W$258),SUMIF('D-1 Off-Site Habitat Baseline'!$G$11:$G$258,'G-2 Habitat groups'!A90,'D-1 Off-Site Habitat Baseline'!$H$11:$H$258))</f>
        <v>0</v>
      </c>
      <c r="T90" s="346">
        <f>SUMIF('D-1 Off-Site Habitat Baseline'!$G$11:$G$258,'G-2 Habitat groups'!A90,'D-1 Off-Site Habitat Baseline'!$T$11:$T$258)</f>
        <v>0</v>
      </c>
      <c r="U90" s="346">
        <f>SUMIF('D-1 Off-Site Habitat Baseline'!$G$11:$G$258,'G-2 Habitat groups'!A90,'D-1 Off-Site Habitat Baseline'!$V$11:$V$258)</f>
        <v>0</v>
      </c>
      <c r="V90" s="346">
        <f>SUMIF('D-1 Off-Site Habitat Baseline'!$G$11:$G$258,'G-2 Habitat groups'!A90,'D-1 Off-Site Habitat Baseline'!$X$11:$X$258)</f>
        <v>0</v>
      </c>
      <c r="W90" s="346">
        <f>SUMIF('D-2 Off-Site Habitat Creation'!$F$9:$F$255,'G-2 Habitat groups'!A90,'D-2 Off-Site Habitat Creation'!$G$9:$G$255)</f>
        <v>0</v>
      </c>
      <c r="X90" s="346">
        <f>SUMIF('D-2 Off-Site Habitat Creation'!$F$9:$F$255,'G-2 Habitat groups'!A90,'D-2 Off-Site Habitat Creation'!$AB$9:$AB$255)</f>
        <v>0</v>
      </c>
      <c r="Y90" s="346">
        <f>SUMIF('D-3 Off-Site Habitat Enhancment'!$S$12:$S$491,'G-2 Habitat groups'!A90,'D-3 Off-Site Habitat Enhancment'!$V$12:$V$491)</f>
        <v>0</v>
      </c>
      <c r="Z90" s="346">
        <f>SUMIF('D-3 Off-Site Habitat Enhancment'!$S$12:$S$491,'G-2 Habitat groups'!A90,'D-3 Off-Site Habitat Enhancment'!$AQ$12:$AQ$491)</f>
        <v>0</v>
      </c>
      <c r="AA90" s="346">
        <f t="shared" si="57"/>
        <v>0</v>
      </c>
      <c r="AB90" s="346">
        <f t="shared" si="58"/>
        <v>0</v>
      </c>
      <c r="AC90" s="346">
        <f t="shared" si="59"/>
        <v>0</v>
      </c>
      <c r="AD90" s="346">
        <f t="shared" si="60"/>
        <v>0</v>
      </c>
      <c r="AE90" s="346">
        <f t="shared" si="61"/>
        <v>0</v>
      </c>
      <c r="AF90" s="346">
        <f t="shared" si="62"/>
        <v>0</v>
      </c>
      <c r="AU90" s="79" t="s">
        <v>574</v>
      </c>
      <c r="AV90" s="68" t="s">
        <v>126</v>
      </c>
      <c r="AW90" s="358">
        <f t="shared" si="63"/>
        <v>0</v>
      </c>
      <c r="AX90" s="358">
        <f t="shared" si="64"/>
        <v>0</v>
      </c>
      <c r="AY90" s="358">
        <f t="shared" si="65"/>
        <v>0</v>
      </c>
      <c r="AZ90" s="358">
        <f t="shared" si="66"/>
        <v>0</v>
      </c>
      <c r="BA90" s="358">
        <f t="shared" si="67"/>
        <v>0</v>
      </c>
      <c r="BB90" s="358">
        <f t="shared" si="68"/>
        <v>0</v>
      </c>
      <c r="BC90" s="358">
        <f t="shared" si="69"/>
        <v>0</v>
      </c>
      <c r="BD90" s="358">
        <f t="shared" si="70"/>
        <v>0</v>
      </c>
      <c r="BE90" s="358">
        <f t="shared" si="71"/>
        <v>0</v>
      </c>
      <c r="BF90" s="358" t="str">
        <f t="shared" si="72"/>
        <v/>
      </c>
    </row>
    <row r="91" spans="1:58">
      <c r="A91" s="79" t="str">
        <f>'G-1 All Habitats'!B91</f>
        <v>Woodland and forest - Lowland beech and yew woodland</v>
      </c>
      <c r="B91" s="68" t="str">
        <f>'G-1 All Habitats'!F91</f>
        <v>Woodland and forest</v>
      </c>
      <c r="C91" s="68" t="str">
        <f>'G-1 All Habitats'!K91</f>
        <v>High</v>
      </c>
      <c r="D91" s="68" t="str">
        <f>'G-1 All Habitats'!M91</f>
        <v>Same habitat required =</v>
      </c>
      <c r="E91" s="346">
        <f>IF(C91="V.High",SUMIF('A-1 On-Site Habitat Baseline'!$G$11:$G$258,'G-2 Habitat groups'!A91,'A-1 On-Site Habitat Baseline'!$S$11:$S$258)+SUMIF('A-1 On-Site Habitat Baseline'!$G$11:$G$258,'G-2 Habitat groups'!A91,'A-1 On-Site Habitat Baseline'!$T$11:$T$258),SUMIF('A-1 On-Site Habitat Baseline'!$G$11:$G$258,'G-2 Habitat groups'!A91,'A-1 On-Site Habitat Baseline'!$H$11:$H$258))</f>
        <v>0</v>
      </c>
      <c r="F91" s="346">
        <f>SUMIF('A-1 On-Site Habitat Baseline'!$G$11:$G$258,'G-2 Habitat groups'!A91,'A-1 On-Site Habitat Baseline'!$Q$11:$Q$258)</f>
        <v>0</v>
      </c>
      <c r="G91" s="346">
        <f>SUMIF('A-1 On-Site Habitat Baseline'!$G$11:$G$258,'G-2 Habitat groups'!A91,'A-1 On-Site Habitat Baseline'!$S$11:$S$258)</f>
        <v>0</v>
      </c>
      <c r="H91" s="346">
        <f>SUMIF('A-1 On-Site Habitat Baseline'!$G$11:$G$258,'G-2 Habitat groups'!A91,'A-1 On-Site Habitat Baseline'!$U$11:$U$258)</f>
        <v>0</v>
      </c>
      <c r="I91" s="346">
        <f>SUMIF('A-1 On-Site Habitat Baseline'!$G$11:$G$258,'G-2 Habitat groups'!A91,'A-1 On-Site Habitat Baseline'!$W$11:$W$258)</f>
        <v>0</v>
      </c>
      <c r="J91" s="346">
        <f>SUMIF('A-1 On-Site Habitat Baseline'!$G$11:$G$258,'G-2 Habitat groups'!A91,'A-1 On-Site Habitat Baseline'!$X$11:$X$258)</f>
        <v>0</v>
      </c>
      <c r="K91" s="346">
        <f>SUMIF('A-2 On-Site Habitat Creation'!$F$11:$F$256,'G-2 Habitat groups'!A91,'A-2 On-Site Habitat Creation'!$G$11:$G$256)</f>
        <v>0</v>
      </c>
      <c r="L91" s="346">
        <f>SUMIF('A-2 On-Site Habitat Creation'!$F$11:$F$256,'G-2 Habitat groups'!A91,'A-2 On-Site Habitat Creation'!$Y$11:$Y$256)</f>
        <v>0</v>
      </c>
      <c r="M91" s="346">
        <f>SUMIF('A-3 On-Site Habitat Enhancement'!$S$12:$S$257,'G-2 Habitat groups'!A91,'A-3 On-Site Habitat Enhancement'!$V$12:$V$257)</f>
        <v>0</v>
      </c>
      <c r="N91" s="346">
        <f>SUMIF('A-3 On-Site Habitat Enhancement'!$S$12:$S$257,'G-2 Habitat groups'!A91,'A-3 On-Site Habitat Enhancement'!$AN$12:$AN$257)</f>
        <v>0</v>
      </c>
      <c r="O91" s="346">
        <f t="shared" si="53"/>
        <v>0</v>
      </c>
      <c r="P91" s="346">
        <f t="shared" si="54"/>
        <v>0</v>
      </c>
      <c r="Q91" s="346">
        <f t="shared" si="55"/>
        <v>0</v>
      </c>
      <c r="R91" s="346">
        <f t="shared" si="56"/>
        <v>0</v>
      </c>
      <c r="S91" s="346">
        <f>IF(C91="V.High",SUMIF('D-1 Off-Site Habitat Baseline'!$G$11:$G$258,'G-2 Habitat groups'!A91,'D-1 Off-Site Habitat Baseline'!$V$11:$V$258)+SUMIF('D-1 Off-Site Habitat Baseline'!$G$11:$G$258,'G-2 Habitat groups'!A91,'D-1 Off-Site Habitat Baseline'!$W$11:$W$258),SUMIF('D-1 Off-Site Habitat Baseline'!$G$11:$G$258,'G-2 Habitat groups'!A91,'D-1 Off-Site Habitat Baseline'!$H$11:$H$258))</f>
        <v>0</v>
      </c>
      <c r="T91" s="346">
        <f>SUMIF('D-1 Off-Site Habitat Baseline'!$G$11:$G$258,'G-2 Habitat groups'!A91,'D-1 Off-Site Habitat Baseline'!$T$11:$T$258)</f>
        <v>0</v>
      </c>
      <c r="U91" s="346">
        <f>SUMIF('D-1 Off-Site Habitat Baseline'!$G$11:$G$258,'G-2 Habitat groups'!A91,'D-1 Off-Site Habitat Baseline'!$V$11:$V$258)</f>
        <v>0</v>
      </c>
      <c r="V91" s="346">
        <f>SUMIF('D-1 Off-Site Habitat Baseline'!$G$11:$G$258,'G-2 Habitat groups'!A91,'D-1 Off-Site Habitat Baseline'!$X$11:$X$258)</f>
        <v>0</v>
      </c>
      <c r="W91" s="346">
        <f>SUMIF('D-2 Off-Site Habitat Creation'!$F$9:$F$255,'G-2 Habitat groups'!A91,'D-2 Off-Site Habitat Creation'!$G$9:$G$255)</f>
        <v>0</v>
      </c>
      <c r="X91" s="346">
        <f>SUMIF('D-2 Off-Site Habitat Creation'!$F$9:$F$255,'G-2 Habitat groups'!A91,'D-2 Off-Site Habitat Creation'!$AB$9:$AB$255)</f>
        <v>0</v>
      </c>
      <c r="Y91" s="346">
        <f>SUMIF('D-3 Off-Site Habitat Enhancment'!$S$12:$S$491,'G-2 Habitat groups'!A91,'D-3 Off-Site Habitat Enhancment'!$V$12:$V$491)</f>
        <v>0</v>
      </c>
      <c r="Z91" s="346">
        <f>SUMIF('D-3 Off-Site Habitat Enhancment'!$S$12:$S$491,'G-2 Habitat groups'!A91,'D-3 Off-Site Habitat Enhancment'!$AQ$12:$AQ$491)</f>
        <v>0</v>
      </c>
      <c r="AA91" s="346">
        <f t="shared" si="57"/>
        <v>0</v>
      </c>
      <c r="AB91" s="346">
        <f t="shared" si="58"/>
        <v>0</v>
      </c>
      <c r="AC91" s="346">
        <f t="shared" si="59"/>
        <v>0</v>
      </c>
      <c r="AD91" s="346">
        <f t="shared" si="60"/>
        <v>0</v>
      </c>
      <c r="AE91" s="346">
        <f t="shared" si="61"/>
        <v>0</v>
      </c>
      <c r="AF91" s="346">
        <f t="shared" si="62"/>
        <v>0</v>
      </c>
      <c r="AU91" s="79" t="s">
        <v>577</v>
      </c>
      <c r="AV91" s="68" t="s">
        <v>126</v>
      </c>
      <c r="AW91" s="358">
        <f t="shared" si="63"/>
        <v>0</v>
      </c>
      <c r="AX91" s="358">
        <f t="shared" si="64"/>
        <v>0</v>
      </c>
      <c r="AY91" s="358">
        <f t="shared" si="65"/>
        <v>0</v>
      </c>
      <c r="AZ91" s="358">
        <f t="shared" si="66"/>
        <v>0</v>
      </c>
      <c r="BA91" s="358">
        <f t="shared" si="67"/>
        <v>0</v>
      </c>
      <c r="BB91" s="358">
        <f t="shared" si="68"/>
        <v>0</v>
      </c>
      <c r="BC91" s="358">
        <f t="shared" si="69"/>
        <v>0</v>
      </c>
      <c r="BD91" s="358">
        <f t="shared" si="70"/>
        <v>0</v>
      </c>
      <c r="BE91" s="358">
        <f t="shared" si="71"/>
        <v>0</v>
      </c>
      <c r="BF91" s="358" t="str">
        <f t="shared" si="72"/>
        <v/>
      </c>
    </row>
    <row r="92" spans="1:58">
      <c r="A92" s="79" t="str">
        <f>'G-1 All Habitats'!B92</f>
        <v>Woodland and forest - Lowland mixed deciduous woodland</v>
      </c>
      <c r="B92" s="68" t="str">
        <f>'G-1 All Habitats'!F92</f>
        <v>Woodland and forest</v>
      </c>
      <c r="C92" s="68" t="str">
        <f>'G-1 All Habitats'!K92</f>
        <v>High</v>
      </c>
      <c r="D92" s="68" t="str">
        <f>'G-1 All Habitats'!M92</f>
        <v>Same habitat required =</v>
      </c>
      <c r="E92" s="346">
        <f>IF(C92="V.High",SUMIF('A-1 On-Site Habitat Baseline'!$G$11:$G$258,'G-2 Habitat groups'!A92,'A-1 On-Site Habitat Baseline'!$S$11:$S$258)+SUMIF('A-1 On-Site Habitat Baseline'!$G$11:$G$258,'G-2 Habitat groups'!A92,'A-1 On-Site Habitat Baseline'!$T$11:$T$258),SUMIF('A-1 On-Site Habitat Baseline'!$G$11:$G$258,'G-2 Habitat groups'!A92,'A-1 On-Site Habitat Baseline'!$H$11:$H$258))</f>
        <v>0</v>
      </c>
      <c r="F92" s="346">
        <f>SUMIF('A-1 On-Site Habitat Baseline'!$G$11:$G$258,'G-2 Habitat groups'!A92,'A-1 On-Site Habitat Baseline'!$Q$11:$Q$258)</f>
        <v>0</v>
      </c>
      <c r="G92" s="346">
        <f>SUMIF('A-1 On-Site Habitat Baseline'!$G$11:$G$258,'G-2 Habitat groups'!A92,'A-1 On-Site Habitat Baseline'!$S$11:$S$258)</f>
        <v>0</v>
      </c>
      <c r="H92" s="346">
        <f>SUMIF('A-1 On-Site Habitat Baseline'!$G$11:$G$258,'G-2 Habitat groups'!A92,'A-1 On-Site Habitat Baseline'!$U$11:$U$258)</f>
        <v>0</v>
      </c>
      <c r="I92" s="346">
        <f>SUMIF('A-1 On-Site Habitat Baseline'!$G$11:$G$258,'G-2 Habitat groups'!A92,'A-1 On-Site Habitat Baseline'!$W$11:$W$258)</f>
        <v>0</v>
      </c>
      <c r="J92" s="346">
        <f>SUMIF('A-1 On-Site Habitat Baseline'!$G$11:$G$258,'G-2 Habitat groups'!A92,'A-1 On-Site Habitat Baseline'!$X$11:$X$258)</f>
        <v>0</v>
      </c>
      <c r="K92" s="346">
        <f>SUMIF('A-2 On-Site Habitat Creation'!$F$11:$F$256,'G-2 Habitat groups'!A92,'A-2 On-Site Habitat Creation'!$G$11:$G$256)</f>
        <v>0</v>
      </c>
      <c r="L92" s="346">
        <f>SUMIF('A-2 On-Site Habitat Creation'!$F$11:$F$256,'G-2 Habitat groups'!A92,'A-2 On-Site Habitat Creation'!$Y$11:$Y$256)</f>
        <v>0</v>
      </c>
      <c r="M92" s="346">
        <f>SUMIF('A-3 On-Site Habitat Enhancement'!$S$12:$S$257,'G-2 Habitat groups'!A92,'A-3 On-Site Habitat Enhancement'!$V$12:$V$257)</f>
        <v>0</v>
      </c>
      <c r="N92" s="346">
        <f>SUMIF('A-3 On-Site Habitat Enhancement'!$S$12:$S$257,'G-2 Habitat groups'!A92,'A-3 On-Site Habitat Enhancement'!$AN$12:$AN$257)</f>
        <v>0</v>
      </c>
      <c r="O92" s="346">
        <f t="shared" si="53"/>
        <v>0</v>
      </c>
      <c r="P92" s="346">
        <f t="shared" si="54"/>
        <v>0</v>
      </c>
      <c r="Q92" s="346">
        <f t="shared" si="55"/>
        <v>0</v>
      </c>
      <c r="R92" s="346">
        <f t="shared" si="56"/>
        <v>0</v>
      </c>
      <c r="S92" s="346">
        <f>IF(C92="V.High",SUMIF('D-1 Off-Site Habitat Baseline'!$G$11:$G$258,'G-2 Habitat groups'!A92,'D-1 Off-Site Habitat Baseline'!$V$11:$V$258)+SUMIF('D-1 Off-Site Habitat Baseline'!$G$11:$G$258,'G-2 Habitat groups'!A92,'D-1 Off-Site Habitat Baseline'!$W$11:$W$258),SUMIF('D-1 Off-Site Habitat Baseline'!$G$11:$G$258,'G-2 Habitat groups'!A92,'D-1 Off-Site Habitat Baseline'!$H$11:$H$258))</f>
        <v>0</v>
      </c>
      <c r="T92" s="346">
        <f>SUMIF('D-1 Off-Site Habitat Baseline'!$G$11:$G$258,'G-2 Habitat groups'!A92,'D-1 Off-Site Habitat Baseline'!$T$11:$T$258)</f>
        <v>0</v>
      </c>
      <c r="U92" s="346">
        <f>SUMIF('D-1 Off-Site Habitat Baseline'!$G$11:$G$258,'G-2 Habitat groups'!A92,'D-1 Off-Site Habitat Baseline'!$V$11:$V$258)</f>
        <v>0</v>
      </c>
      <c r="V92" s="346">
        <f>SUMIF('D-1 Off-Site Habitat Baseline'!$G$11:$G$258,'G-2 Habitat groups'!A92,'D-1 Off-Site Habitat Baseline'!$X$11:$X$258)</f>
        <v>0</v>
      </c>
      <c r="W92" s="346">
        <f>SUMIF('D-2 Off-Site Habitat Creation'!$F$9:$F$255,'G-2 Habitat groups'!A92,'D-2 Off-Site Habitat Creation'!$G$9:$G$255)</f>
        <v>0</v>
      </c>
      <c r="X92" s="346">
        <f>SUMIF('D-2 Off-Site Habitat Creation'!$F$9:$F$255,'G-2 Habitat groups'!A92,'D-2 Off-Site Habitat Creation'!$AB$9:$AB$255)</f>
        <v>0</v>
      </c>
      <c r="Y92" s="346">
        <f>SUMIF('D-3 Off-Site Habitat Enhancment'!$S$12:$S$491,'G-2 Habitat groups'!A92,'D-3 Off-Site Habitat Enhancment'!$V$12:$V$491)</f>
        <v>0</v>
      </c>
      <c r="Z92" s="346">
        <f>SUMIF('D-3 Off-Site Habitat Enhancment'!$S$12:$S$491,'G-2 Habitat groups'!A92,'D-3 Off-Site Habitat Enhancment'!$AQ$12:$AQ$491)</f>
        <v>0</v>
      </c>
      <c r="AA92" s="346">
        <f t="shared" si="57"/>
        <v>0</v>
      </c>
      <c r="AB92" s="346">
        <f t="shared" si="58"/>
        <v>0</v>
      </c>
      <c r="AC92" s="346">
        <f t="shared" si="59"/>
        <v>0</v>
      </c>
      <c r="AD92" s="346">
        <f t="shared" si="60"/>
        <v>0</v>
      </c>
      <c r="AE92" s="346">
        <f t="shared" si="61"/>
        <v>0</v>
      </c>
      <c r="AF92" s="346">
        <f t="shared" si="62"/>
        <v>0</v>
      </c>
      <c r="AU92" s="79" t="s">
        <v>587</v>
      </c>
      <c r="AV92" s="68" t="s">
        <v>126</v>
      </c>
      <c r="AW92" s="358">
        <f t="shared" si="63"/>
        <v>2.3E-2</v>
      </c>
      <c r="AX92" s="358">
        <f t="shared" si="64"/>
        <v>0.184</v>
      </c>
      <c r="AY92" s="358">
        <f t="shared" si="65"/>
        <v>0.66100000000000003</v>
      </c>
      <c r="AZ92" s="358">
        <f t="shared" si="66"/>
        <v>4.4251501687728005</v>
      </c>
      <c r="BA92" s="358">
        <f t="shared" si="67"/>
        <v>0.63800000000000001</v>
      </c>
      <c r="BB92" s="358">
        <f t="shared" si="68"/>
        <v>4.2411501687728004</v>
      </c>
      <c r="BC92" s="358">
        <f t="shared" si="69"/>
        <v>0</v>
      </c>
      <c r="BD92" s="358">
        <f t="shared" si="70"/>
        <v>0</v>
      </c>
      <c r="BE92" s="358">
        <f t="shared" si="71"/>
        <v>4.2411501687728004</v>
      </c>
      <c r="BF92" s="358" t="str">
        <f t="shared" si="72"/>
        <v/>
      </c>
    </row>
    <row r="93" spans="1:58">
      <c r="A93" s="79" t="str">
        <f>'G-1 All Habitats'!B93</f>
        <v>Woodland and forest - Native pine woodlands</v>
      </c>
      <c r="B93" s="68" t="str">
        <f>'G-1 All Habitats'!F93</f>
        <v>Woodland and forest</v>
      </c>
      <c r="C93" s="68" t="str">
        <f>'G-1 All Habitats'!K93</f>
        <v>High</v>
      </c>
      <c r="D93" s="68" t="str">
        <f>'G-1 All Habitats'!M93</f>
        <v>Same habitat required =</v>
      </c>
      <c r="E93" s="346">
        <f>IF(C93="V.High",SUMIF('A-1 On-Site Habitat Baseline'!$G$11:$G$258,'G-2 Habitat groups'!A93,'A-1 On-Site Habitat Baseline'!$S$11:$S$258)+SUMIF('A-1 On-Site Habitat Baseline'!$G$11:$G$258,'G-2 Habitat groups'!A93,'A-1 On-Site Habitat Baseline'!$T$11:$T$258),SUMIF('A-1 On-Site Habitat Baseline'!$G$11:$G$258,'G-2 Habitat groups'!A93,'A-1 On-Site Habitat Baseline'!$H$11:$H$258))</f>
        <v>0</v>
      </c>
      <c r="F93" s="346">
        <f>SUMIF('A-1 On-Site Habitat Baseline'!$G$11:$G$258,'G-2 Habitat groups'!A93,'A-1 On-Site Habitat Baseline'!$Q$11:$Q$258)</f>
        <v>0</v>
      </c>
      <c r="G93" s="346">
        <f>SUMIF('A-1 On-Site Habitat Baseline'!$G$11:$G$258,'G-2 Habitat groups'!A93,'A-1 On-Site Habitat Baseline'!$S$11:$S$258)</f>
        <v>0</v>
      </c>
      <c r="H93" s="346">
        <f>SUMIF('A-1 On-Site Habitat Baseline'!$G$11:$G$258,'G-2 Habitat groups'!A93,'A-1 On-Site Habitat Baseline'!$U$11:$U$258)</f>
        <v>0</v>
      </c>
      <c r="I93" s="346">
        <f>SUMIF('A-1 On-Site Habitat Baseline'!$G$11:$G$258,'G-2 Habitat groups'!A93,'A-1 On-Site Habitat Baseline'!$W$11:$W$258)</f>
        <v>0</v>
      </c>
      <c r="J93" s="346">
        <f>SUMIF('A-1 On-Site Habitat Baseline'!$G$11:$G$258,'G-2 Habitat groups'!A93,'A-1 On-Site Habitat Baseline'!$X$11:$X$258)</f>
        <v>0</v>
      </c>
      <c r="K93" s="346">
        <f>SUMIF('A-2 On-Site Habitat Creation'!$F$11:$F$256,'G-2 Habitat groups'!A93,'A-2 On-Site Habitat Creation'!$G$11:$G$256)</f>
        <v>0</v>
      </c>
      <c r="L93" s="346">
        <f>SUMIF('A-2 On-Site Habitat Creation'!$F$11:$F$256,'G-2 Habitat groups'!A93,'A-2 On-Site Habitat Creation'!$Y$11:$Y$256)</f>
        <v>0</v>
      </c>
      <c r="M93" s="346">
        <f>SUMIF('A-3 On-Site Habitat Enhancement'!$S$12:$S$257,'G-2 Habitat groups'!A93,'A-3 On-Site Habitat Enhancement'!$V$12:$V$257)</f>
        <v>0</v>
      </c>
      <c r="N93" s="346">
        <f>SUMIF('A-3 On-Site Habitat Enhancement'!$S$12:$S$257,'G-2 Habitat groups'!A93,'A-3 On-Site Habitat Enhancement'!$AN$12:$AN$257)</f>
        <v>0</v>
      </c>
      <c r="O93" s="346">
        <f t="shared" si="53"/>
        <v>0</v>
      </c>
      <c r="P93" s="346">
        <f t="shared" si="54"/>
        <v>0</v>
      </c>
      <c r="Q93" s="346">
        <f t="shared" si="55"/>
        <v>0</v>
      </c>
      <c r="R93" s="346">
        <f t="shared" si="56"/>
        <v>0</v>
      </c>
      <c r="S93" s="346">
        <f>IF(C93="V.High",SUMIF('D-1 Off-Site Habitat Baseline'!$G$11:$G$258,'G-2 Habitat groups'!A93,'D-1 Off-Site Habitat Baseline'!$V$11:$V$258)+SUMIF('D-1 Off-Site Habitat Baseline'!$G$11:$G$258,'G-2 Habitat groups'!A93,'D-1 Off-Site Habitat Baseline'!$W$11:$W$258),SUMIF('D-1 Off-Site Habitat Baseline'!$G$11:$G$258,'G-2 Habitat groups'!A93,'D-1 Off-Site Habitat Baseline'!$H$11:$H$258))</f>
        <v>0</v>
      </c>
      <c r="T93" s="346">
        <f>SUMIF('D-1 Off-Site Habitat Baseline'!$G$11:$G$258,'G-2 Habitat groups'!A93,'D-1 Off-Site Habitat Baseline'!$T$11:$T$258)</f>
        <v>0</v>
      </c>
      <c r="U93" s="346">
        <f>SUMIF('D-1 Off-Site Habitat Baseline'!$G$11:$G$258,'G-2 Habitat groups'!A93,'D-1 Off-Site Habitat Baseline'!$V$11:$V$258)</f>
        <v>0</v>
      </c>
      <c r="V93" s="346">
        <f>SUMIF('D-1 Off-Site Habitat Baseline'!$G$11:$G$258,'G-2 Habitat groups'!A93,'D-1 Off-Site Habitat Baseline'!$X$11:$X$258)</f>
        <v>0</v>
      </c>
      <c r="W93" s="346">
        <f>SUMIF('D-2 Off-Site Habitat Creation'!$F$9:$F$255,'G-2 Habitat groups'!A93,'D-2 Off-Site Habitat Creation'!$G$9:$G$255)</f>
        <v>0</v>
      </c>
      <c r="X93" s="346">
        <f>SUMIF('D-2 Off-Site Habitat Creation'!$F$9:$F$255,'G-2 Habitat groups'!A93,'D-2 Off-Site Habitat Creation'!$AB$9:$AB$255)</f>
        <v>0</v>
      </c>
      <c r="Y93" s="346">
        <f>SUMIF('D-3 Off-Site Habitat Enhancment'!$S$12:$S$491,'G-2 Habitat groups'!A93,'D-3 Off-Site Habitat Enhancment'!$V$12:$V$491)</f>
        <v>0</v>
      </c>
      <c r="Z93" s="346">
        <f>SUMIF('D-3 Off-Site Habitat Enhancment'!$S$12:$S$491,'G-2 Habitat groups'!A93,'D-3 Off-Site Habitat Enhancment'!$AQ$12:$AQ$491)</f>
        <v>0</v>
      </c>
      <c r="AA93" s="346">
        <f t="shared" si="57"/>
        <v>0</v>
      </c>
      <c r="AB93" s="346">
        <f t="shared" si="58"/>
        <v>0</v>
      </c>
      <c r="AC93" s="346">
        <f t="shared" si="59"/>
        <v>0</v>
      </c>
      <c r="AD93" s="346">
        <f t="shared" si="60"/>
        <v>0</v>
      </c>
      <c r="AE93" s="346">
        <f t="shared" si="61"/>
        <v>0</v>
      </c>
      <c r="AF93" s="346">
        <f t="shared" si="62"/>
        <v>0</v>
      </c>
      <c r="AU93" s="268" t="s">
        <v>639</v>
      </c>
      <c r="AV93" s="68" t="s">
        <v>127</v>
      </c>
      <c r="AW93" s="358">
        <f t="shared" si="63"/>
        <v>0</v>
      </c>
      <c r="AX93" s="358">
        <f t="shared" si="64"/>
        <v>0</v>
      </c>
      <c r="AY93" s="358">
        <f t="shared" si="65"/>
        <v>0</v>
      </c>
      <c r="AZ93" s="358">
        <f t="shared" si="66"/>
        <v>0</v>
      </c>
      <c r="BA93" s="358">
        <f t="shared" si="67"/>
        <v>0</v>
      </c>
      <c r="BB93" s="358">
        <f t="shared" si="68"/>
        <v>0</v>
      </c>
      <c r="BC93" s="358">
        <f t="shared" si="69"/>
        <v>0</v>
      </c>
      <c r="BD93" s="358">
        <f t="shared" si="70"/>
        <v>0</v>
      </c>
      <c r="BE93" s="358">
        <f t="shared" ref="BE93:BE104" si="73">BB93+BD93</f>
        <v>0</v>
      </c>
      <c r="BF93" s="358" t="str">
        <f t="shared" ref="BF93:BF104" si="74">IF(BE93&lt;0,BE93,"")</f>
        <v/>
      </c>
    </row>
    <row r="94" spans="1:58">
      <c r="A94" s="79" t="str">
        <f>'G-1 All Habitats'!B94</f>
        <v>Woodland and forest - Other coniferous woodland</v>
      </c>
      <c r="B94" s="68" t="str">
        <f>'G-1 All Habitats'!F94</f>
        <v>Woodland and forest</v>
      </c>
      <c r="C94" s="68" t="str">
        <f>'G-1 All Habitats'!K94</f>
        <v>Low</v>
      </c>
      <c r="D94" s="68" t="str">
        <f>'G-1 All Habitats'!M94</f>
        <v>Same distinctiveness or better habitat required ≥</v>
      </c>
      <c r="E94" s="346">
        <f>IF(C94="V.High",SUMIF('A-1 On-Site Habitat Baseline'!$G$11:$G$258,'G-2 Habitat groups'!A94,'A-1 On-Site Habitat Baseline'!$S$11:$S$258)+SUMIF('A-1 On-Site Habitat Baseline'!$G$11:$G$258,'G-2 Habitat groups'!A94,'A-1 On-Site Habitat Baseline'!$T$11:$T$258),SUMIF('A-1 On-Site Habitat Baseline'!$G$11:$G$258,'G-2 Habitat groups'!A94,'A-1 On-Site Habitat Baseline'!$H$11:$H$258))</f>
        <v>0</v>
      </c>
      <c r="F94" s="346">
        <f>SUMIF('A-1 On-Site Habitat Baseline'!$G$11:$G$258,'G-2 Habitat groups'!A94,'A-1 On-Site Habitat Baseline'!$Q$11:$Q$258)</f>
        <v>0</v>
      </c>
      <c r="G94" s="346">
        <f>SUMIF('A-1 On-Site Habitat Baseline'!$G$11:$G$258,'G-2 Habitat groups'!A94,'A-1 On-Site Habitat Baseline'!$S$11:$S$258)</f>
        <v>0</v>
      </c>
      <c r="H94" s="346">
        <f>SUMIF('A-1 On-Site Habitat Baseline'!$G$11:$G$258,'G-2 Habitat groups'!A94,'A-1 On-Site Habitat Baseline'!$U$11:$U$258)</f>
        <v>0</v>
      </c>
      <c r="I94" s="346">
        <f>SUMIF('A-1 On-Site Habitat Baseline'!$G$11:$G$258,'G-2 Habitat groups'!A94,'A-1 On-Site Habitat Baseline'!$W$11:$W$258)</f>
        <v>0</v>
      </c>
      <c r="J94" s="346">
        <f>SUMIF('A-1 On-Site Habitat Baseline'!$G$11:$G$258,'G-2 Habitat groups'!A94,'A-1 On-Site Habitat Baseline'!$X$11:$X$258)</f>
        <v>0</v>
      </c>
      <c r="K94" s="346">
        <f>SUMIF('A-2 On-Site Habitat Creation'!$F$11:$F$256,'G-2 Habitat groups'!A94,'A-2 On-Site Habitat Creation'!$G$11:$G$256)</f>
        <v>0</v>
      </c>
      <c r="L94" s="346">
        <f>SUMIF('A-2 On-Site Habitat Creation'!$F$11:$F$256,'G-2 Habitat groups'!A94,'A-2 On-Site Habitat Creation'!$Y$11:$Y$256)</f>
        <v>0</v>
      </c>
      <c r="M94" s="346">
        <f>SUMIF('A-3 On-Site Habitat Enhancement'!$S$12:$S$257,'G-2 Habitat groups'!A94,'A-3 On-Site Habitat Enhancement'!$V$12:$V$257)</f>
        <v>0</v>
      </c>
      <c r="N94" s="346">
        <f>SUMIF('A-3 On-Site Habitat Enhancement'!$S$12:$S$257,'G-2 Habitat groups'!A94,'A-3 On-Site Habitat Enhancement'!$AN$12:$AN$257)</f>
        <v>0</v>
      </c>
      <c r="O94" s="346">
        <f t="shared" si="53"/>
        <v>0</v>
      </c>
      <c r="P94" s="346">
        <f t="shared" si="54"/>
        <v>0</v>
      </c>
      <c r="Q94" s="346">
        <f t="shared" si="55"/>
        <v>0</v>
      </c>
      <c r="R94" s="346">
        <f t="shared" si="56"/>
        <v>0</v>
      </c>
      <c r="S94" s="346">
        <f>IF(C94="V.High",SUMIF('D-1 Off-Site Habitat Baseline'!$G$11:$G$258,'G-2 Habitat groups'!A94,'D-1 Off-Site Habitat Baseline'!$V$11:$V$258)+SUMIF('D-1 Off-Site Habitat Baseline'!$G$11:$G$258,'G-2 Habitat groups'!A94,'D-1 Off-Site Habitat Baseline'!$W$11:$W$258),SUMIF('D-1 Off-Site Habitat Baseline'!$G$11:$G$258,'G-2 Habitat groups'!A94,'D-1 Off-Site Habitat Baseline'!$H$11:$H$258))</f>
        <v>0</v>
      </c>
      <c r="T94" s="346">
        <f>SUMIF('D-1 Off-Site Habitat Baseline'!$G$11:$G$258,'G-2 Habitat groups'!A94,'D-1 Off-Site Habitat Baseline'!$T$11:$T$258)</f>
        <v>0</v>
      </c>
      <c r="U94" s="346">
        <f>SUMIF('D-1 Off-Site Habitat Baseline'!$G$11:$G$258,'G-2 Habitat groups'!A94,'D-1 Off-Site Habitat Baseline'!$V$11:$V$258)</f>
        <v>0</v>
      </c>
      <c r="V94" s="346">
        <f>SUMIF('D-1 Off-Site Habitat Baseline'!$G$11:$G$258,'G-2 Habitat groups'!A94,'D-1 Off-Site Habitat Baseline'!$X$11:$X$258)</f>
        <v>0</v>
      </c>
      <c r="W94" s="346">
        <f>SUMIF('D-2 Off-Site Habitat Creation'!$F$9:$F$255,'G-2 Habitat groups'!A94,'D-2 Off-Site Habitat Creation'!$G$9:$G$255)</f>
        <v>0</v>
      </c>
      <c r="X94" s="346">
        <f>SUMIF('D-2 Off-Site Habitat Creation'!$F$9:$F$255,'G-2 Habitat groups'!A94,'D-2 Off-Site Habitat Creation'!$AB$9:$AB$255)</f>
        <v>0</v>
      </c>
      <c r="Y94" s="346">
        <f>SUMIF('D-3 Off-Site Habitat Enhancment'!$S$12:$S$491,'G-2 Habitat groups'!A94,'D-3 Off-Site Habitat Enhancment'!$V$12:$V$491)</f>
        <v>0</v>
      </c>
      <c r="Z94" s="346">
        <f>SUMIF('D-3 Off-Site Habitat Enhancment'!$S$12:$S$491,'G-2 Habitat groups'!A94,'D-3 Off-Site Habitat Enhancment'!$AQ$12:$AQ$491)</f>
        <v>0</v>
      </c>
      <c r="AA94" s="346">
        <f t="shared" si="57"/>
        <v>0</v>
      </c>
      <c r="AB94" s="346">
        <f t="shared" si="58"/>
        <v>0</v>
      </c>
      <c r="AC94" s="346">
        <f t="shared" si="59"/>
        <v>0</v>
      </c>
      <c r="AD94" s="346">
        <f t="shared" si="60"/>
        <v>0</v>
      </c>
      <c r="AE94" s="346">
        <f t="shared" si="61"/>
        <v>0</v>
      </c>
      <c r="AF94" s="346">
        <f t="shared" si="62"/>
        <v>0</v>
      </c>
      <c r="AU94" s="79" t="s">
        <v>643</v>
      </c>
      <c r="AV94" s="68" t="s">
        <v>127</v>
      </c>
      <c r="AW94" s="358">
        <f t="shared" si="63"/>
        <v>0</v>
      </c>
      <c r="AX94" s="358">
        <f t="shared" si="64"/>
        <v>0</v>
      </c>
      <c r="AY94" s="358">
        <f t="shared" si="65"/>
        <v>0</v>
      </c>
      <c r="AZ94" s="358">
        <f t="shared" si="66"/>
        <v>0</v>
      </c>
      <c r="BA94" s="358">
        <f t="shared" si="67"/>
        <v>0</v>
      </c>
      <c r="BB94" s="358">
        <f t="shared" si="68"/>
        <v>0</v>
      </c>
      <c r="BC94" s="358">
        <f t="shared" si="69"/>
        <v>0</v>
      </c>
      <c r="BD94" s="358">
        <f t="shared" si="70"/>
        <v>0</v>
      </c>
      <c r="BE94" s="358">
        <f t="shared" si="73"/>
        <v>0</v>
      </c>
      <c r="BF94" s="358" t="str">
        <f t="shared" si="74"/>
        <v/>
      </c>
    </row>
    <row r="95" spans="1:58">
      <c r="A95" s="79" t="str">
        <f>'G-1 All Habitats'!B95</f>
        <v>Woodland and forest - Other Scot's pine woodland</v>
      </c>
      <c r="B95" s="68" t="str">
        <f>'G-1 All Habitats'!F95</f>
        <v>Woodland and forest</v>
      </c>
      <c r="C95" s="68" t="str">
        <f>'G-1 All Habitats'!K95</f>
        <v>Medium</v>
      </c>
      <c r="D95" s="68" t="str">
        <f>'G-1 All Habitats'!M95</f>
        <v>Same broad habitat or a higher distinctiveness habitat required (≥)</v>
      </c>
      <c r="E95" s="346">
        <f>IF(C95="V.High",SUMIF('A-1 On-Site Habitat Baseline'!$G$11:$G$258,'G-2 Habitat groups'!A95,'A-1 On-Site Habitat Baseline'!$S$11:$S$258)+SUMIF('A-1 On-Site Habitat Baseline'!$G$11:$G$258,'G-2 Habitat groups'!A95,'A-1 On-Site Habitat Baseline'!$T$11:$T$258),SUMIF('A-1 On-Site Habitat Baseline'!$G$11:$G$258,'G-2 Habitat groups'!A95,'A-1 On-Site Habitat Baseline'!$H$11:$H$258))</f>
        <v>0</v>
      </c>
      <c r="F95" s="346">
        <f>SUMIF('A-1 On-Site Habitat Baseline'!$G$11:$G$258,'G-2 Habitat groups'!A95,'A-1 On-Site Habitat Baseline'!$Q$11:$Q$258)</f>
        <v>0</v>
      </c>
      <c r="G95" s="346">
        <f>SUMIF('A-1 On-Site Habitat Baseline'!$G$11:$G$258,'G-2 Habitat groups'!A95,'A-1 On-Site Habitat Baseline'!$S$11:$S$258)</f>
        <v>0</v>
      </c>
      <c r="H95" s="346">
        <f>SUMIF('A-1 On-Site Habitat Baseline'!$G$11:$G$258,'G-2 Habitat groups'!A95,'A-1 On-Site Habitat Baseline'!$U$11:$U$258)</f>
        <v>0</v>
      </c>
      <c r="I95" s="346">
        <f>SUMIF('A-1 On-Site Habitat Baseline'!$G$11:$G$258,'G-2 Habitat groups'!A95,'A-1 On-Site Habitat Baseline'!$W$11:$W$258)</f>
        <v>0</v>
      </c>
      <c r="J95" s="346">
        <f>SUMIF('A-1 On-Site Habitat Baseline'!$G$11:$G$258,'G-2 Habitat groups'!A95,'A-1 On-Site Habitat Baseline'!$X$11:$X$258)</f>
        <v>0</v>
      </c>
      <c r="K95" s="346">
        <f>SUMIF('A-2 On-Site Habitat Creation'!$F$11:$F$256,'G-2 Habitat groups'!A95,'A-2 On-Site Habitat Creation'!$G$11:$G$256)</f>
        <v>0</v>
      </c>
      <c r="L95" s="346">
        <f>SUMIF('A-2 On-Site Habitat Creation'!$F$11:$F$256,'G-2 Habitat groups'!A95,'A-2 On-Site Habitat Creation'!$Y$11:$Y$256)</f>
        <v>0</v>
      </c>
      <c r="M95" s="346">
        <f>SUMIF('A-3 On-Site Habitat Enhancement'!$S$12:$S$257,'G-2 Habitat groups'!A95,'A-3 On-Site Habitat Enhancement'!$V$12:$V$257)</f>
        <v>0</v>
      </c>
      <c r="N95" s="346">
        <f>SUMIF('A-3 On-Site Habitat Enhancement'!$S$12:$S$257,'G-2 Habitat groups'!A95,'A-3 On-Site Habitat Enhancement'!$AN$12:$AN$257)</f>
        <v>0</v>
      </c>
      <c r="O95" s="346">
        <f t="shared" si="53"/>
        <v>0</v>
      </c>
      <c r="P95" s="346">
        <f t="shared" si="54"/>
        <v>0</v>
      </c>
      <c r="Q95" s="346">
        <f t="shared" si="55"/>
        <v>0</v>
      </c>
      <c r="R95" s="346">
        <f t="shared" si="56"/>
        <v>0</v>
      </c>
      <c r="S95" s="346">
        <f>IF(C95="V.High",SUMIF('D-1 Off-Site Habitat Baseline'!$G$11:$G$258,'G-2 Habitat groups'!A95,'D-1 Off-Site Habitat Baseline'!$V$11:$V$258)+SUMIF('D-1 Off-Site Habitat Baseline'!$G$11:$G$258,'G-2 Habitat groups'!A95,'D-1 Off-Site Habitat Baseline'!$W$11:$W$258),SUMIF('D-1 Off-Site Habitat Baseline'!$G$11:$G$258,'G-2 Habitat groups'!A95,'D-1 Off-Site Habitat Baseline'!$H$11:$H$258))</f>
        <v>0</v>
      </c>
      <c r="T95" s="346">
        <f>SUMIF('D-1 Off-Site Habitat Baseline'!$G$11:$G$258,'G-2 Habitat groups'!A95,'D-1 Off-Site Habitat Baseline'!$T$11:$T$258)</f>
        <v>0</v>
      </c>
      <c r="U95" s="346">
        <f>SUMIF('D-1 Off-Site Habitat Baseline'!$G$11:$G$258,'G-2 Habitat groups'!A95,'D-1 Off-Site Habitat Baseline'!$V$11:$V$258)</f>
        <v>0</v>
      </c>
      <c r="V95" s="346">
        <f>SUMIF('D-1 Off-Site Habitat Baseline'!$G$11:$G$258,'G-2 Habitat groups'!A95,'D-1 Off-Site Habitat Baseline'!$X$11:$X$258)</f>
        <v>0</v>
      </c>
      <c r="W95" s="346">
        <f>SUMIF('D-2 Off-Site Habitat Creation'!$F$9:$F$255,'G-2 Habitat groups'!A95,'D-2 Off-Site Habitat Creation'!$G$9:$G$255)</f>
        <v>0</v>
      </c>
      <c r="X95" s="346">
        <f>SUMIF('D-2 Off-Site Habitat Creation'!$F$9:$F$255,'G-2 Habitat groups'!A95,'D-2 Off-Site Habitat Creation'!$AB$9:$AB$255)</f>
        <v>0</v>
      </c>
      <c r="Y95" s="346">
        <f>SUMIF('D-3 Off-Site Habitat Enhancment'!$S$12:$S$491,'G-2 Habitat groups'!A95,'D-3 Off-Site Habitat Enhancment'!$V$12:$V$491)</f>
        <v>0</v>
      </c>
      <c r="Z95" s="346">
        <f>SUMIF('D-3 Off-Site Habitat Enhancment'!$S$12:$S$491,'G-2 Habitat groups'!A95,'D-3 Off-Site Habitat Enhancment'!$AQ$12:$AQ$491)</f>
        <v>0</v>
      </c>
      <c r="AA95" s="346">
        <f t="shared" si="57"/>
        <v>0</v>
      </c>
      <c r="AB95" s="346">
        <f t="shared" si="58"/>
        <v>0</v>
      </c>
      <c r="AC95" s="346">
        <f t="shared" si="59"/>
        <v>0</v>
      </c>
      <c r="AD95" s="346">
        <f t="shared" si="60"/>
        <v>0</v>
      </c>
      <c r="AE95" s="346">
        <f t="shared" si="61"/>
        <v>0</v>
      </c>
      <c r="AF95" s="346">
        <f t="shared" si="62"/>
        <v>0</v>
      </c>
      <c r="AU95" s="79" t="s">
        <v>679</v>
      </c>
      <c r="AV95" s="68" t="s">
        <v>128</v>
      </c>
      <c r="AW95" s="358">
        <f t="shared" si="63"/>
        <v>0</v>
      </c>
      <c r="AX95" s="358">
        <f t="shared" si="64"/>
        <v>0</v>
      </c>
      <c r="AY95" s="358">
        <f t="shared" si="65"/>
        <v>0</v>
      </c>
      <c r="AZ95" s="358">
        <f t="shared" si="66"/>
        <v>0</v>
      </c>
      <c r="BA95" s="358">
        <f t="shared" si="67"/>
        <v>0</v>
      </c>
      <c r="BB95" s="358">
        <f t="shared" si="68"/>
        <v>0</v>
      </c>
      <c r="BC95" s="358">
        <f t="shared" si="69"/>
        <v>0</v>
      </c>
      <c r="BD95" s="358">
        <f t="shared" si="70"/>
        <v>0</v>
      </c>
      <c r="BE95" s="358">
        <f t="shared" si="73"/>
        <v>0</v>
      </c>
      <c r="BF95" s="358" t="str">
        <f t="shared" si="74"/>
        <v/>
      </c>
    </row>
    <row r="96" spans="1:58">
      <c r="A96" s="79" t="str">
        <f>'G-1 All Habitats'!B96</f>
        <v>Woodland and forest - Other woodland; broadleaved</v>
      </c>
      <c r="B96" s="68" t="str">
        <f>'G-1 All Habitats'!F96</f>
        <v>Woodland and forest</v>
      </c>
      <c r="C96" s="68" t="str">
        <f>'G-1 All Habitats'!K96</f>
        <v>Medium</v>
      </c>
      <c r="D96" s="68" t="str">
        <f>'G-1 All Habitats'!M96</f>
        <v>Same broad habitat or a higher distinctiveness habitat required (≥)</v>
      </c>
      <c r="E96" s="346">
        <f>IF(C96="V.High",SUMIF('A-1 On-Site Habitat Baseline'!$G$11:$G$258,'G-2 Habitat groups'!A96,'A-1 On-Site Habitat Baseline'!$S$11:$S$258)+SUMIF('A-1 On-Site Habitat Baseline'!$G$11:$G$258,'G-2 Habitat groups'!A96,'A-1 On-Site Habitat Baseline'!$T$11:$T$258),SUMIF('A-1 On-Site Habitat Baseline'!$G$11:$G$258,'G-2 Habitat groups'!A96,'A-1 On-Site Habitat Baseline'!$H$11:$H$258))</f>
        <v>0.32500000000000001</v>
      </c>
      <c r="F96" s="346">
        <f>SUMIF('A-1 On-Site Habitat Baseline'!$G$11:$G$258,'G-2 Habitat groups'!A96,'A-1 On-Site Habitat Baseline'!$Q$11:$Q$258)</f>
        <v>2.6</v>
      </c>
      <c r="G96" s="346">
        <f>SUMIF('A-1 On-Site Habitat Baseline'!$G$11:$G$258,'G-2 Habitat groups'!A96,'A-1 On-Site Habitat Baseline'!$S$11:$S$258)</f>
        <v>0.32500000000000001</v>
      </c>
      <c r="H96" s="346">
        <f>SUMIF('A-1 On-Site Habitat Baseline'!$G$11:$G$258,'G-2 Habitat groups'!A96,'A-1 On-Site Habitat Baseline'!$U$11:$U$258)</f>
        <v>2.6</v>
      </c>
      <c r="I96" s="346">
        <f>SUMIF('A-1 On-Site Habitat Baseline'!$G$11:$G$258,'G-2 Habitat groups'!A96,'A-1 On-Site Habitat Baseline'!$W$11:$W$258)</f>
        <v>0</v>
      </c>
      <c r="J96" s="346">
        <f>SUMIF('A-1 On-Site Habitat Baseline'!$G$11:$G$258,'G-2 Habitat groups'!A96,'A-1 On-Site Habitat Baseline'!$X$11:$X$258)</f>
        <v>0</v>
      </c>
      <c r="K96" s="346">
        <f>SUMIF('A-2 On-Site Habitat Creation'!$F$11:$F$256,'G-2 Habitat groups'!A96,'A-2 On-Site Habitat Creation'!$G$11:$G$256)</f>
        <v>1.2610000000000001</v>
      </c>
      <c r="L96" s="346">
        <f>SUMIF('A-2 On-Site Habitat Creation'!$F$11:$F$256,'G-2 Habitat groups'!A96,'A-2 On-Site Habitat Creation'!$Y$11:$Y$256)</f>
        <v>5.9117324898840016</v>
      </c>
      <c r="M96" s="346">
        <f>SUMIF('A-3 On-Site Habitat Enhancement'!$S$12:$S$257,'G-2 Habitat groups'!A96,'A-3 On-Site Habitat Enhancement'!$V$12:$V$257)</f>
        <v>0</v>
      </c>
      <c r="N96" s="346">
        <f>SUMIF('A-3 On-Site Habitat Enhancement'!$S$12:$S$257,'G-2 Habitat groups'!A96,'A-3 On-Site Habitat Enhancement'!$AN$12:$AN$257)</f>
        <v>0</v>
      </c>
      <c r="O96" s="346">
        <f t="shared" si="53"/>
        <v>1.5860000000000001</v>
      </c>
      <c r="P96" s="346">
        <f t="shared" si="54"/>
        <v>8.5117324898840021</v>
      </c>
      <c r="Q96" s="346">
        <f t="shared" si="55"/>
        <v>1.2610000000000001</v>
      </c>
      <c r="R96" s="346">
        <f t="shared" si="56"/>
        <v>5.9117324898840025</v>
      </c>
      <c r="S96" s="346">
        <f>IF(C96="V.High",SUMIF('D-1 Off-Site Habitat Baseline'!$G$11:$G$258,'G-2 Habitat groups'!A96,'D-1 Off-Site Habitat Baseline'!$V$11:$V$258)+SUMIF('D-1 Off-Site Habitat Baseline'!$G$11:$G$258,'G-2 Habitat groups'!A96,'D-1 Off-Site Habitat Baseline'!$W$11:$W$258),SUMIF('D-1 Off-Site Habitat Baseline'!$G$11:$G$258,'G-2 Habitat groups'!A96,'D-1 Off-Site Habitat Baseline'!$H$11:$H$258))</f>
        <v>0</v>
      </c>
      <c r="T96" s="346">
        <f>SUMIF('D-1 Off-Site Habitat Baseline'!$G$11:$G$258,'G-2 Habitat groups'!A96,'D-1 Off-Site Habitat Baseline'!$T$11:$T$258)</f>
        <v>0</v>
      </c>
      <c r="U96" s="346">
        <f>SUMIF('D-1 Off-Site Habitat Baseline'!$G$11:$G$258,'G-2 Habitat groups'!A96,'D-1 Off-Site Habitat Baseline'!$V$11:$V$258)</f>
        <v>0</v>
      </c>
      <c r="V96" s="346">
        <f>SUMIF('D-1 Off-Site Habitat Baseline'!$G$11:$G$258,'G-2 Habitat groups'!A96,'D-1 Off-Site Habitat Baseline'!$X$11:$X$258)</f>
        <v>0</v>
      </c>
      <c r="W96" s="346">
        <f>SUMIF('D-2 Off-Site Habitat Creation'!$F$9:$F$255,'G-2 Habitat groups'!A96,'D-2 Off-Site Habitat Creation'!$G$9:$G$255)</f>
        <v>0</v>
      </c>
      <c r="X96" s="346">
        <f>SUMIF('D-2 Off-Site Habitat Creation'!$F$9:$F$255,'G-2 Habitat groups'!A96,'D-2 Off-Site Habitat Creation'!$AB$9:$AB$255)</f>
        <v>0</v>
      </c>
      <c r="Y96" s="346">
        <f>SUMIF('D-3 Off-Site Habitat Enhancment'!$S$12:$S$491,'G-2 Habitat groups'!A96,'D-3 Off-Site Habitat Enhancment'!$V$12:$V$491)</f>
        <v>0</v>
      </c>
      <c r="Z96" s="346">
        <f>SUMIF('D-3 Off-Site Habitat Enhancment'!$S$12:$S$491,'G-2 Habitat groups'!A96,'D-3 Off-Site Habitat Enhancment'!$AQ$12:$AQ$491)</f>
        <v>0</v>
      </c>
      <c r="AA96" s="346">
        <f t="shared" si="57"/>
        <v>0</v>
      </c>
      <c r="AB96" s="346">
        <f t="shared" si="58"/>
        <v>0</v>
      </c>
      <c r="AC96" s="346">
        <f t="shared" si="59"/>
        <v>0</v>
      </c>
      <c r="AD96" s="346">
        <f t="shared" si="60"/>
        <v>0</v>
      </c>
      <c r="AE96" s="346">
        <f t="shared" si="61"/>
        <v>1.2610000000000001</v>
      </c>
      <c r="AF96" s="346">
        <f t="shared" si="62"/>
        <v>5.9117324898840025</v>
      </c>
      <c r="AU96" s="79" t="s">
        <v>695</v>
      </c>
      <c r="AV96" s="68" t="s">
        <v>129</v>
      </c>
      <c r="AW96" s="358">
        <f t="shared" si="63"/>
        <v>0</v>
      </c>
      <c r="AX96" s="358">
        <f t="shared" si="64"/>
        <v>0</v>
      </c>
      <c r="AY96" s="358">
        <f t="shared" si="65"/>
        <v>0</v>
      </c>
      <c r="AZ96" s="358">
        <f t="shared" si="66"/>
        <v>0</v>
      </c>
      <c r="BA96" s="358">
        <f t="shared" si="67"/>
        <v>0</v>
      </c>
      <c r="BB96" s="358">
        <f t="shared" si="68"/>
        <v>0</v>
      </c>
      <c r="BC96" s="358">
        <f t="shared" si="69"/>
        <v>0</v>
      </c>
      <c r="BD96" s="358">
        <f t="shared" si="70"/>
        <v>0</v>
      </c>
      <c r="BE96" s="358">
        <f t="shared" si="73"/>
        <v>0</v>
      </c>
      <c r="BF96" s="358" t="str">
        <f t="shared" si="74"/>
        <v/>
      </c>
    </row>
    <row r="97" spans="1:59">
      <c r="A97" s="79" t="str">
        <f>'G-1 All Habitats'!B97</f>
        <v>Woodland and forest - Other woodland; mixed</v>
      </c>
      <c r="B97" s="68" t="str">
        <f>'G-1 All Habitats'!F97</f>
        <v>Woodland and forest</v>
      </c>
      <c r="C97" s="68" t="str">
        <f>'G-1 All Habitats'!K97</f>
        <v>Medium</v>
      </c>
      <c r="D97" s="68" t="str">
        <f>'G-1 All Habitats'!M97</f>
        <v>Same broad habitat or a higher distinctiveness habitat required (≥)</v>
      </c>
      <c r="E97" s="346">
        <f>IF(C97="V.High",SUMIF('A-1 On-Site Habitat Baseline'!$G$11:$G$258,'G-2 Habitat groups'!A97,'A-1 On-Site Habitat Baseline'!$S$11:$S$258)+SUMIF('A-1 On-Site Habitat Baseline'!$G$11:$G$258,'G-2 Habitat groups'!A97,'A-1 On-Site Habitat Baseline'!$T$11:$T$258),SUMIF('A-1 On-Site Habitat Baseline'!$G$11:$G$258,'G-2 Habitat groups'!A97,'A-1 On-Site Habitat Baseline'!$H$11:$H$258))</f>
        <v>0</v>
      </c>
      <c r="F97" s="346">
        <f>SUMIF('A-1 On-Site Habitat Baseline'!$G$11:$G$258,'G-2 Habitat groups'!A97,'A-1 On-Site Habitat Baseline'!$Q$11:$Q$258)</f>
        <v>0</v>
      </c>
      <c r="G97" s="346">
        <f>SUMIF('A-1 On-Site Habitat Baseline'!$G$11:$G$258,'G-2 Habitat groups'!A97,'A-1 On-Site Habitat Baseline'!$S$11:$S$258)</f>
        <v>0</v>
      </c>
      <c r="H97" s="346">
        <f>SUMIF('A-1 On-Site Habitat Baseline'!$G$11:$G$258,'G-2 Habitat groups'!A97,'A-1 On-Site Habitat Baseline'!$U$11:$U$258)</f>
        <v>0</v>
      </c>
      <c r="I97" s="346">
        <f>SUMIF('A-1 On-Site Habitat Baseline'!$G$11:$G$258,'G-2 Habitat groups'!A97,'A-1 On-Site Habitat Baseline'!$W$11:$W$258)</f>
        <v>0</v>
      </c>
      <c r="J97" s="346">
        <f>SUMIF('A-1 On-Site Habitat Baseline'!$G$11:$G$258,'G-2 Habitat groups'!A97,'A-1 On-Site Habitat Baseline'!$X$11:$X$258)</f>
        <v>0</v>
      </c>
      <c r="K97" s="346">
        <f>SUMIF('A-2 On-Site Habitat Creation'!$F$11:$F$256,'G-2 Habitat groups'!A97,'A-2 On-Site Habitat Creation'!$G$11:$G$256)</f>
        <v>0</v>
      </c>
      <c r="L97" s="346">
        <f>SUMIF('A-2 On-Site Habitat Creation'!$F$11:$F$256,'G-2 Habitat groups'!A97,'A-2 On-Site Habitat Creation'!$Y$11:$Y$256)</f>
        <v>0</v>
      </c>
      <c r="M97" s="346">
        <f>SUMIF('A-3 On-Site Habitat Enhancement'!$S$12:$S$257,'G-2 Habitat groups'!A97,'A-3 On-Site Habitat Enhancement'!$V$12:$V$257)</f>
        <v>0</v>
      </c>
      <c r="N97" s="346">
        <f>SUMIF('A-3 On-Site Habitat Enhancement'!$S$12:$S$257,'G-2 Habitat groups'!A97,'A-3 On-Site Habitat Enhancement'!$AN$12:$AN$257)</f>
        <v>0</v>
      </c>
      <c r="O97" s="346">
        <f t="shared" si="53"/>
        <v>0</v>
      </c>
      <c r="P97" s="346">
        <f t="shared" si="54"/>
        <v>0</v>
      </c>
      <c r="Q97" s="346">
        <f t="shared" si="55"/>
        <v>0</v>
      </c>
      <c r="R97" s="346">
        <f t="shared" si="56"/>
        <v>0</v>
      </c>
      <c r="S97" s="346">
        <f>IF(C97="V.High",SUMIF('D-1 Off-Site Habitat Baseline'!$G$11:$G$258,'G-2 Habitat groups'!A97,'D-1 Off-Site Habitat Baseline'!$V$11:$V$258)+SUMIF('D-1 Off-Site Habitat Baseline'!$G$11:$G$258,'G-2 Habitat groups'!A97,'D-1 Off-Site Habitat Baseline'!$W$11:$W$258),SUMIF('D-1 Off-Site Habitat Baseline'!$G$11:$G$258,'G-2 Habitat groups'!A97,'D-1 Off-Site Habitat Baseline'!$H$11:$H$258))</f>
        <v>0</v>
      </c>
      <c r="T97" s="346">
        <f>SUMIF('D-1 Off-Site Habitat Baseline'!$G$11:$G$258,'G-2 Habitat groups'!A97,'D-1 Off-Site Habitat Baseline'!$T$11:$T$258)</f>
        <v>0</v>
      </c>
      <c r="U97" s="346">
        <f>SUMIF('D-1 Off-Site Habitat Baseline'!$G$11:$G$258,'G-2 Habitat groups'!A97,'D-1 Off-Site Habitat Baseline'!$V$11:$V$258)</f>
        <v>0</v>
      </c>
      <c r="V97" s="346">
        <f>SUMIF('D-1 Off-Site Habitat Baseline'!$G$11:$G$258,'G-2 Habitat groups'!A97,'D-1 Off-Site Habitat Baseline'!$X$11:$X$258)</f>
        <v>0</v>
      </c>
      <c r="W97" s="346">
        <f>SUMIF('D-2 Off-Site Habitat Creation'!$F$9:$F$255,'G-2 Habitat groups'!A97,'D-2 Off-Site Habitat Creation'!$G$9:$G$255)</f>
        <v>0</v>
      </c>
      <c r="X97" s="346">
        <f>SUMIF('D-2 Off-Site Habitat Creation'!$F$9:$F$255,'G-2 Habitat groups'!A97,'D-2 Off-Site Habitat Creation'!$AB$9:$AB$255)</f>
        <v>0</v>
      </c>
      <c r="Y97" s="346">
        <f>SUMIF('D-3 Off-Site Habitat Enhancment'!$S$12:$S$491,'G-2 Habitat groups'!A97,'D-3 Off-Site Habitat Enhancment'!$V$12:$V$491)</f>
        <v>0</v>
      </c>
      <c r="Z97" s="346">
        <f>SUMIF('D-3 Off-Site Habitat Enhancment'!$S$12:$S$491,'G-2 Habitat groups'!A97,'D-3 Off-Site Habitat Enhancment'!$AQ$12:$AQ$491)</f>
        <v>0</v>
      </c>
      <c r="AA97" s="346">
        <f t="shared" si="57"/>
        <v>0</v>
      </c>
      <c r="AB97" s="346">
        <f t="shared" si="58"/>
        <v>0</v>
      </c>
      <c r="AC97" s="346">
        <f t="shared" si="59"/>
        <v>0</v>
      </c>
      <c r="AD97" s="346">
        <f t="shared" si="60"/>
        <v>0</v>
      </c>
      <c r="AE97" s="346">
        <f t="shared" si="61"/>
        <v>0</v>
      </c>
      <c r="AF97" s="346">
        <f t="shared" si="62"/>
        <v>0</v>
      </c>
      <c r="AU97" s="79" t="s">
        <v>710</v>
      </c>
      <c r="AV97" s="68" t="s">
        <v>129</v>
      </c>
      <c r="AW97" s="358">
        <f t="shared" si="63"/>
        <v>0</v>
      </c>
      <c r="AX97" s="358">
        <f t="shared" si="64"/>
        <v>0</v>
      </c>
      <c r="AY97" s="358">
        <f t="shared" si="65"/>
        <v>0</v>
      </c>
      <c r="AZ97" s="358">
        <f t="shared" si="66"/>
        <v>0</v>
      </c>
      <c r="BA97" s="358">
        <f t="shared" si="67"/>
        <v>0</v>
      </c>
      <c r="BB97" s="358">
        <f t="shared" si="68"/>
        <v>0</v>
      </c>
      <c r="BC97" s="358">
        <f t="shared" si="69"/>
        <v>0</v>
      </c>
      <c r="BD97" s="358">
        <f t="shared" si="70"/>
        <v>0</v>
      </c>
      <c r="BE97" s="358">
        <f t="shared" si="73"/>
        <v>0</v>
      </c>
      <c r="BF97" s="358" t="str">
        <f t="shared" si="74"/>
        <v/>
      </c>
    </row>
    <row r="98" spans="1:59">
      <c r="A98" s="79" t="str">
        <f>'G-1 All Habitats'!B98</f>
        <v>Woodland and forest - Upland birchwoods</v>
      </c>
      <c r="B98" s="68" t="str">
        <f>'G-1 All Habitats'!F98</f>
        <v>Woodland and forest</v>
      </c>
      <c r="C98" s="68" t="str">
        <f>'G-1 All Habitats'!K98</f>
        <v>High</v>
      </c>
      <c r="D98" s="68" t="str">
        <f>'G-1 All Habitats'!M98</f>
        <v>Same habitat required =</v>
      </c>
      <c r="E98" s="346">
        <f>IF(C98="V.High",SUMIF('A-1 On-Site Habitat Baseline'!$G$11:$G$258,'G-2 Habitat groups'!A98,'A-1 On-Site Habitat Baseline'!$S$11:$S$258)+SUMIF('A-1 On-Site Habitat Baseline'!$G$11:$G$258,'G-2 Habitat groups'!A98,'A-1 On-Site Habitat Baseline'!$T$11:$T$258),SUMIF('A-1 On-Site Habitat Baseline'!$G$11:$G$258,'G-2 Habitat groups'!A98,'A-1 On-Site Habitat Baseline'!$H$11:$H$258))</f>
        <v>0</v>
      </c>
      <c r="F98" s="346">
        <f>SUMIF('A-1 On-Site Habitat Baseline'!$G$11:$G$258,'G-2 Habitat groups'!A98,'A-1 On-Site Habitat Baseline'!$Q$11:$Q$258)</f>
        <v>0</v>
      </c>
      <c r="G98" s="346">
        <f>SUMIF('A-1 On-Site Habitat Baseline'!$G$11:$G$258,'G-2 Habitat groups'!A98,'A-1 On-Site Habitat Baseline'!$S$11:$S$258)</f>
        <v>0</v>
      </c>
      <c r="H98" s="346">
        <f>SUMIF('A-1 On-Site Habitat Baseline'!$G$11:$G$258,'G-2 Habitat groups'!A98,'A-1 On-Site Habitat Baseline'!$U$11:$U$258)</f>
        <v>0</v>
      </c>
      <c r="I98" s="346">
        <f>SUMIF('A-1 On-Site Habitat Baseline'!$G$11:$G$258,'G-2 Habitat groups'!A98,'A-1 On-Site Habitat Baseline'!$W$11:$W$258)</f>
        <v>0</v>
      </c>
      <c r="J98" s="346">
        <f>SUMIF('A-1 On-Site Habitat Baseline'!$G$11:$G$258,'G-2 Habitat groups'!A98,'A-1 On-Site Habitat Baseline'!$X$11:$X$258)</f>
        <v>0</v>
      </c>
      <c r="K98" s="346">
        <f>SUMIF('A-2 On-Site Habitat Creation'!$F$11:$F$256,'G-2 Habitat groups'!A98,'A-2 On-Site Habitat Creation'!$G$11:$G$256)</f>
        <v>0</v>
      </c>
      <c r="L98" s="346">
        <f>SUMIF('A-2 On-Site Habitat Creation'!$F$11:$F$256,'G-2 Habitat groups'!A98,'A-2 On-Site Habitat Creation'!$Y$11:$Y$256)</f>
        <v>0</v>
      </c>
      <c r="M98" s="346">
        <f>SUMIF('A-3 On-Site Habitat Enhancement'!$S$12:$S$257,'G-2 Habitat groups'!A98,'A-3 On-Site Habitat Enhancement'!$V$12:$V$257)</f>
        <v>0</v>
      </c>
      <c r="N98" s="346">
        <f>SUMIF('A-3 On-Site Habitat Enhancement'!$S$12:$S$257,'G-2 Habitat groups'!A98,'A-3 On-Site Habitat Enhancement'!$AN$12:$AN$257)</f>
        <v>0</v>
      </c>
      <c r="O98" s="346">
        <f t="shared" si="53"/>
        <v>0</v>
      </c>
      <c r="P98" s="346">
        <f t="shared" si="54"/>
        <v>0</v>
      </c>
      <c r="Q98" s="346">
        <f t="shared" si="55"/>
        <v>0</v>
      </c>
      <c r="R98" s="346">
        <f t="shared" si="56"/>
        <v>0</v>
      </c>
      <c r="S98" s="346">
        <f>IF(C98="V.High",SUMIF('D-1 Off-Site Habitat Baseline'!$G$11:$G$258,'G-2 Habitat groups'!A98,'D-1 Off-Site Habitat Baseline'!$V$11:$V$258)+SUMIF('D-1 Off-Site Habitat Baseline'!$G$11:$G$258,'G-2 Habitat groups'!A98,'D-1 Off-Site Habitat Baseline'!$W$11:$W$258),SUMIF('D-1 Off-Site Habitat Baseline'!$G$11:$G$258,'G-2 Habitat groups'!A98,'D-1 Off-Site Habitat Baseline'!$H$11:$H$258))</f>
        <v>0</v>
      </c>
      <c r="T98" s="346">
        <f>SUMIF('D-1 Off-Site Habitat Baseline'!$G$11:$G$258,'G-2 Habitat groups'!A98,'D-1 Off-Site Habitat Baseline'!$T$11:$T$258)</f>
        <v>0</v>
      </c>
      <c r="U98" s="346">
        <f>SUMIF('D-1 Off-Site Habitat Baseline'!$G$11:$G$258,'G-2 Habitat groups'!A98,'D-1 Off-Site Habitat Baseline'!$V$11:$V$258)</f>
        <v>0</v>
      </c>
      <c r="V98" s="346">
        <f>SUMIF('D-1 Off-Site Habitat Baseline'!$G$11:$G$258,'G-2 Habitat groups'!A98,'D-1 Off-Site Habitat Baseline'!$X$11:$X$258)</f>
        <v>0</v>
      </c>
      <c r="W98" s="346">
        <f>SUMIF('D-2 Off-Site Habitat Creation'!$F$9:$F$255,'G-2 Habitat groups'!A98,'D-2 Off-Site Habitat Creation'!$G$9:$G$255)</f>
        <v>0</v>
      </c>
      <c r="X98" s="346">
        <f>SUMIF('D-2 Off-Site Habitat Creation'!$F$9:$F$255,'G-2 Habitat groups'!A98,'D-2 Off-Site Habitat Creation'!$AB$9:$AB$255)</f>
        <v>0</v>
      </c>
      <c r="Y98" s="346">
        <f>SUMIF('D-3 Off-Site Habitat Enhancment'!$S$12:$S$491,'G-2 Habitat groups'!A98,'D-3 Off-Site Habitat Enhancment'!$V$12:$V$491)</f>
        <v>0</v>
      </c>
      <c r="Z98" s="346">
        <f>SUMIF('D-3 Off-Site Habitat Enhancment'!$S$12:$S$491,'G-2 Habitat groups'!A98,'D-3 Off-Site Habitat Enhancment'!$AQ$12:$AQ$491)</f>
        <v>0</v>
      </c>
      <c r="AA98" s="346">
        <f t="shared" si="57"/>
        <v>0</v>
      </c>
      <c r="AB98" s="346">
        <f t="shared" si="58"/>
        <v>0</v>
      </c>
      <c r="AC98" s="346">
        <f t="shared" si="59"/>
        <v>0</v>
      </c>
      <c r="AD98" s="346">
        <f t="shared" si="60"/>
        <v>0</v>
      </c>
      <c r="AE98" s="346">
        <f t="shared" si="61"/>
        <v>0</v>
      </c>
      <c r="AF98" s="346">
        <f t="shared" si="62"/>
        <v>0</v>
      </c>
      <c r="AU98" s="79" t="s">
        <v>797</v>
      </c>
      <c r="AV98" s="68" t="s">
        <v>131</v>
      </c>
      <c r="AW98" s="358">
        <f t="shared" si="63"/>
        <v>0</v>
      </c>
      <c r="AX98" s="358">
        <f t="shared" si="64"/>
        <v>0</v>
      </c>
      <c r="AY98" s="358">
        <f t="shared" si="65"/>
        <v>0</v>
      </c>
      <c r="AZ98" s="358">
        <f t="shared" si="66"/>
        <v>0</v>
      </c>
      <c r="BA98" s="358">
        <f t="shared" si="67"/>
        <v>0</v>
      </c>
      <c r="BB98" s="358">
        <f t="shared" si="68"/>
        <v>0</v>
      </c>
      <c r="BC98" s="358">
        <f t="shared" si="69"/>
        <v>0</v>
      </c>
      <c r="BD98" s="358">
        <f t="shared" si="70"/>
        <v>0</v>
      </c>
      <c r="BE98" s="358">
        <f t="shared" si="73"/>
        <v>0</v>
      </c>
      <c r="BF98" s="358" t="str">
        <f t="shared" si="74"/>
        <v/>
      </c>
    </row>
    <row r="99" spans="1:59">
      <c r="A99" s="79" t="str">
        <f>'G-1 All Habitats'!B99</f>
        <v>Woodland and forest - Upland mixed ashwoods</v>
      </c>
      <c r="B99" s="68" t="str">
        <f>'G-1 All Habitats'!F99</f>
        <v>Woodland and forest</v>
      </c>
      <c r="C99" s="68" t="str">
        <f>'G-1 All Habitats'!K99</f>
        <v>High</v>
      </c>
      <c r="D99" s="68" t="str">
        <f>'G-1 All Habitats'!M99</f>
        <v>Same habitat required =</v>
      </c>
      <c r="E99" s="346">
        <f>IF(C99="V.High",SUMIF('A-1 On-Site Habitat Baseline'!$G$11:$G$258,'G-2 Habitat groups'!A99,'A-1 On-Site Habitat Baseline'!$S$11:$S$258)+SUMIF('A-1 On-Site Habitat Baseline'!$G$11:$G$258,'G-2 Habitat groups'!A99,'A-1 On-Site Habitat Baseline'!$T$11:$T$258),SUMIF('A-1 On-Site Habitat Baseline'!$G$11:$G$258,'G-2 Habitat groups'!A99,'A-1 On-Site Habitat Baseline'!$H$11:$H$258))</f>
        <v>0</v>
      </c>
      <c r="F99" s="346">
        <f>SUMIF('A-1 On-Site Habitat Baseline'!$G$11:$G$258,'G-2 Habitat groups'!A99,'A-1 On-Site Habitat Baseline'!$Q$11:$Q$258)</f>
        <v>0</v>
      </c>
      <c r="G99" s="346">
        <f>SUMIF('A-1 On-Site Habitat Baseline'!$G$11:$G$258,'G-2 Habitat groups'!A99,'A-1 On-Site Habitat Baseline'!$S$11:$S$258)</f>
        <v>0</v>
      </c>
      <c r="H99" s="346">
        <f>SUMIF('A-1 On-Site Habitat Baseline'!$G$11:$G$258,'G-2 Habitat groups'!A99,'A-1 On-Site Habitat Baseline'!$U$11:$U$258)</f>
        <v>0</v>
      </c>
      <c r="I99" s="346">
        <f>SUMIF('A-1 On-Site Habitat Baseline'!$G$11:$G$258,'G-2 Habitat groups'!A99,'A-1 On-Site Habitat Baseline'!$W$11:$W$258)</f>
        <v>0</v>
      </c>
      <c r="J99" s="346">
        <f>SUMIF('A-1 On-Site Habitat Baseline'!$G$11:$G$258,'G-2 Habitat groups'!A99,'A-1 On-Site Habitat Baseline'!$X$11:$X$258)</f>
        <v>0</v>
      </c>
      <c r="K99" s="346">
        <f>SUMIF('A-2 On-Site Habitat Creation'!$F$11:$F$256,'G-2 Habitat groups'!A99,'A-2 On-Site Habitat Creation'!$G$11:$G$256)</f>
        <v>0</v>
      </c>
      <c r="L99" s="346">
        <f>SUMIF('A-2 On-Site Habitat Creation'!$F$11:$F$256,'G-2 Habitat groups'!A99,'A-2 On-Site Habitat Creation'!$Y$11:$Y$256)</f>
        <v>0</v>
      </c>
      <c r="M99" s="346">
        <f>SUMIF('A-3 On-Site Habitat Enhancement'!$S$12:$S$257,'G-2 Habitat groups'!A99,'A-3 On-Site Habitat Enhancement'!$V$12:$V$257)</f>
        <v>0</v>
      </c>
      <c r="N99" s="346">
        <f>SUMIF('A-3 On-Site Habitat Enhancement'!$S$12:$S$257,'G-2 Habitat groups'!A99,'A-3 On-Site Habitat Enhancement'!$AN$12:$AN$257)</f>
        <v>0</v>
      </c>
      <c r="O99" s="346">
        <f t="shared" si="53"/>
        <v>0</v>
      </c>
      <c r="P99" s="346">
        <f t="shared" si="54"/>
        <v>0</v>
      </c>
      <c r="Q99" s="346">
        <f t="shared" si="55"/>
        <v>0</v>
      </c>
      <c r="R99" s="346">
        <f t="shared" si="56"/>
        <v>0</v>
      </c>
      <c r="S99" s="346">
        <f>IF(C99="V.High",SUMIF('D-1 Off-Site Habitat Baseline'!$G$11:$G$258,'G-2 Habitat groups'!A99,'D-1 Off-Site Habitat Baseline'!$V$11:$V$258)+SUMIF('D-1 Off-Site Habitat Baseline'!$G$11:$G$258,'G-2 Habitat groups'!A99,'D-1 Off-Site Habitat Baseline'!$W$11:$W$258),SUMIF('D-1 Off-Site Habitat Baseline'!$G$11:$G$258,'G-2 Habitat groups'!A99,'D-1 Off-Site Habitat Baseline'!$H$11:$H$258))</f>
        <v>0</v>
      </c>
      <c r="T99" s="346">
        <f>SUMIF('D-1 Off-Site Habitat Baseline'!$G$11:$G$258,'G-2 Habitat groups'!A99,'D-1 Off-Site Habitat Baseline'!$T$11:$T$258)</f>
        <v>0</v>
      </c>
      <c r="U99" s="346">
        <f>SUMIF('D-1 Off-Site Habitat Baseline'!$G$11:$G$258,'G-2 Habitat groups'!A99,'D-1 Off-Site Habitat Baseline'!$V$11:$V$258)</f>
        <v>0</v>
      </c>
      <c r="V99" s="346">
        <f>SUMIF('D-1 Off-Site Habitat Baseline'!$G$11:$G$258,'G-2 Habitat groups'!A99,'D-1 Off-Site Habitat Baseline'!$X$11:$X$258)</f>
        <v>0</v>
      </c>
      <c r="W99" s="346">
        <f>SUMIF('D-2 Off-Site Habitat Creation'!$F$9:$F$255,'G-2 Habitat groups'!A99,'D-2 Off-Site Habitat Creation'!$G$9:$G$255)</f>
        <v>0</v>
      </c>
      <c r="X99" s="346">
        <f>SUMIF('D-2 Off-Site Habitat Creation'!$F$9:$F$255,'G-2 Habitat groups'!A99,'D-2 Off-Site Habitat Creation'!$AB$9:$AB$255)</f>
        <v>0</v>
      </c>
      <c r="Y99" s="346">
        <f>SUMIF('D-3 Off-Site Habitat Enhancment'!$S$12:$S$491,'G-2 Habitat groups'!A99,'D-3 Off-Site Habitat Enhancment'!$V$12:$V$491)</f>
        <v>0</v>
      </c>
      <c r="Z99" s="346">
        <f>SUMIF('D-3 Off-Site Habitat Enhancment'!$S$12:$S$491,'G-2 Habitat groups'!A99,'D-3 Off-Site Habitat Enhancment'!$AQ$12:$AQ$491)</f>
        <v>0</v>
      </c>
      <c r="AA99" s="346">
        <f t="shared" si="57"/>
        <v>0</v>
      </c>
      <c r="AB99" s="346">
        <f t="shared" si="58"/>
        <v>0</v>
      </c>
      <c r="AC99" s="346">
        <f t="shared" si="59"/>
        <v>0</v>
      </c>
      <c r="AD99" s="346">
        <f t="shared" si="60"/>
        <v>0</v>
      </c>
      <c r="AE99" s="346">
        <f t="shared" si="61"/>
        <v>0</v>
      </c>
      <c r="AF99" s="346">
        <f t="shared" si="62"/>
        <v>0</v>
      </c>
      <c r="AU99" s="79" t="s">
        <v>801</v>
      </c>
      <c r="AV99" s="68" t="s">
        <v>131</v>
      </c>
      <c r="AW99" s="358">
        <f t="shared" si="63"/>
        <v>0.32500000000000001</v>
      </c>
      <c r="AX99" s="358">
        <f t="shared" si="64"/>
        <v>0</v>
      </c>
      <c r="AY99" s="358">
        <f t="shared" si="65"/>
        <v>1.5860000000000001</v>
      </c>
      <c r="AZ99" s="358">
        <f t="shared" si="66"/>
        <v>8.5117324898840021</v>
      </c>
      <c r="BA99" s="358">
        <f t="shared" si="67"/>
        <v>1.2610000000000001</v>
      </c>
      <c r="BB99" s="358">
        <f t="shared" si="68"/>
        <v>5.9117324898840025</v>
      </c>
      <c r="BC99" s="358">
        <f t="shared" si="69"/>
        <v>0</v>
      </c>
      <c r="BD99" s="358">
        <f t="shared" si="70"/>
        <v>0</v>
      </c>
      <c r="BE99" s="358">
        <f t="shared" si="73"/>
        <v>5.9117324898840025</v>
      </c>
      <c r="BF99" s="358" t="str">
        <f t="shared" si="74"/>
        <v/>
      </c>
    </row>
    <row r="100" spans="1:59">
      <c r="A100" s="79" t="str">
        <f>'G-1 All Habitats'!B100</f>
        <v>Woodland and forest - Upland oakwood</v>
      </c>
      <c r="B100" s="68" t="str">
        <f>'G-1 All Habitats'!F100</f>
        <v>Woodland and forest</v>
      </c>
      <c r="C100" s="68" t="str">
        <f>'G-1 All Habitats'!K100</f>
        <v>High</v>
      </c>
      <c r="D100" s="68" t="str">
        <f>'G-1 All Habitats'!M100</f>
        <v>Same habitat required =</v>
      </c>
      <c r="E100" s="346">
        <f>IF(C100="V.High",SUMIF('A-1 On-Site Habitat Baseline'!$G$11:$G$258,'G-2 Habitat groups'!A100,'A-1 On-Site Habitat Baseline'!$S$11:$S$258)+SUMIF('A-1 On-Site Habitat Baseline'!$G$11:$G$258,'G-2 Habitat groups'!A100,'A-1 On-Site Habitat Baseline'!$T$11:$T$258),SUMIF('A-1 On-Site Habitat Baseline'!$G$11:$G$258,'G-2 Habitat groups'!A100,'A-1 On-Site Habitat Baseline'!$H$11:$H$258))</f>
        <v>0</v>
      </c>
      <c r="F100" s="346">
        <f>SUMIF('A-1 On-Site Habitat Baseline'!$G$11:$G$258,'G-2 Habitat groups'!A100,'A-1 On-Site Habitat Baseline'!$Q$11:$Q$258)</f>
        <v>0</v>
      </c>
      <c r="G100" s="346">
        <f>SUMIF('A-1 On-Site Habitat Baseline'!$G$11:$G$258,'G-2 Habitat groups'!A100,'A-1 On-Site Habitat Baseline'!$S$11:$S$258)</f>
        <v>0</v>
      </c>
      <c r="H100" s="346">
        <f>SUMIF('A-1 On-Site Habitat Baseline'!$G$11:$G$258,'G-2 Habitat groups'!A100,'A-1 On-Site Habitat Baseline'!$U$11:$U$258)</f>
        <v>0</v>
      </c>
      <c r="I100" s="346">
        <f>SUMIF('A-1 On-Site Habitat Baseline'!$G$11:$G$258,'G-2 Habitat groups'!A100,'A-1 On-Site Habitat Baseline'!$W$11:$W$258)</f>
        <v>0</v>
      </c>
      <c r="J100" s="346">
        <f>SUMIF('A-1 On-Site Habitat Baseline'!$G$11:$G$258,'G-2 Habitat groups'!A100,'A-1 On-Site Habitat Baseline'!$X$11:$X$258)</f>
        <v>0</v>
      </c>
      <c r="K100" s="346">
        <f>SUMIF('A-2 On-Site Habitat Creation'!$F$11:$F$256,'G-2 Habitat groups'!A100,'A-2 On-Site Habitat Creation'!$G$11:$G$256)</f>
        <v>0</v>
      </c>
      <c r="L100" s="346">
        <f>SUMIF('A-2 On-Site Habitat Creation'!$F$11:$F$256,'G-2 Habitat groups'!A100,'A-2 On-Site Habitat Creation'!$Y$11:$Y$256)</f>
        <v>0</v>
      </c>
      <c r="M100" s="346">
        <f>SUMIF('A-3 On-Site Habitat Enhancement'!$S$12:$S$257,'G-2 Habitat groups'!A100,'A-3 On-Site Habitat Enhancement'!$V$12:$V$257)</f>
        <v>0</v>
      </c>
      <c r="N100" s="346">
        <f>SUMIF('A-3 On-Site Habitat Enhancement'!$S$12:$S$257,'G-2 Habitat groups'!A100,'A-3 On-Site Habitat Enhancement'!$AN$12:$AN$257)</f>
        <v>0</v>
      </c>
      <c r="O100" s="346">
        <f t="shared" si="53"/>
        <v>0</v>
      </c>
      <c r="P100" s="346">
        <f t="shared" si="54"/>
        <v>0</v>
      </c>
      <c r="Q100" s="346">
        <f t="shared" si="55"/>
        <v>0</v>
      </c>
      <c r="R100" s="346">
        <f t="shared" si="56"/>
        <v>0</v>
      </c>
      <c r="S100" s="346">
        <f>IF(C100="V.High",SUMIF('D-1 Off-Site Habitat Baseline'!$G$11:$G$258,'G-2 Habitat groups'!A100,'D-1 Off-Site Habitat Baseline'!$V$11:$V$258)+SUMIF('D-1 Off-Site Habitat Baseline'!$G$11:$G$258,'G-2 Habitat groups'!A100,'D-1 Off-Site Habitat Baseline'!$W$11:$W$258),SUMIF('D-1 Off-Site Habitat Baseline'!$G$11:$G$258,'G-2 Habitat groups'!A100,'D-1 Off-Site Habitat Baseline'!$H$11:$H$258))</f>
        <v>0</v>
      </c>
      <c r="T100" s="346">
        <f>SUMIF('D-1 Off-Site Habitat Baseline'!$G$11:$G$258,'G-2 Habitat groups'!A100,'D-1 Off-Site Habitat Baseline'!$T$11:$T$258)</f>
        <v>0</v>
      </c>
      <c r="U100" s="346">
        <f>SUMIF('D-1 Off-Site Habitat Baseline'!$G$11:$G$258,'G-2 Habitat groups'!A100,'D-1 Off-Site Habitat Baseline'!$V$11:$V$258)</f>
        <v>0</v>
      </c>
      <c r="V100" s="346">
        <f>SUMIF('D-1 Off-Site Habitat Baseline'!$G$11:$G$258,'G-2 Habitat groups'!A100,'D-1 Off-Site Habitat Baseline'!$X$11:$X$258)</f>
        <v>0</v>
      </c>
      <c r="W100" s="346">
        <f>SUMIF('D-2 Off-Site Habitat Creation'!$F$9:$F$255,'G-2 Habitat groups'!A100,'D-2 Off-Site Habitat Creation'!$G$9:$G$255)</f>
        <v>0</v>
      </c>
      <c r="X100" s="346">
        <f>SUMIF('D-2 Off-Site Habitat Creation'!$F$9:$F$255,'G-2 Habitat groups'!A100,'D-2 Off-Site Habitat Creation'!$AB$9:$AB$255)</f>
        <v>0</v>
      </c>
      <c r="Y100" s="346">
        <f>SUMIF('D-3 Off-Site Habitat Enhancment'!$S$12:$S$491,'G-2 Habitat groups'!A100,'D-3 Off-Site Habitat Enhancment'!$V$12:$V$491)</f>
        <v>0</v>
      </c>
      <c r="Z100" s="346">
        <f>SUMIF('D-3 Off-Site Habitat Enhancment'!$S$12:$S$491,'G-2 Habitat groups'!A100,'D-3 Off-Site Habitat Enhancment'!$AQ$12:$AQ$491)</f>
        <v>0</v>
      </c>
      <c r="AA100" s="346">
        <f t="shared" si="57"/>
        <v>0</v>
      </c>
      <c r="AB100" s="346">
        <f t="shared" si="58"/>
        <v>0</v>
      </c>
      <c r="AC100" s="346">
        <f t="shared" si="59"/>
        <v>0</v>
      </c>
      <c r="AD100" s="346">
        <f t="shared" si="60"/>
        <v>0</v>
      </c>
      <c r="AE100" s="346">
        <f t="shared" si="61"/>
        <v>0</v>
      </c>
      <c r="AF100" s="346">
        <f t="shared" si="62"/>
        <v>0</v>
      </c>
      <c r="AU100" s="79" t="s">
        <v>804</v>
      </c>
      <c r="AV100" s="68" t="s">
        <v>131</v>
      </c>
      <c r="AW100" s="358">
        <f t="shared" si="63"/>
        <v>0</v>
      </c>
      <c r="AX100" s="358">
        <f t="shared" si="64"/>
        <v>0</v>
      </c>
      <c r="AY100" s="358">
        <f t="shared" si="65"/>
        <v>0</v>
      </c>
      <c r="AZ100" s="358">
        <f t="shared" si="66"/>
        <v>0</v>
      </c>
      <c r="BA100" s="358">
        <f t="shared" si="67"/>
        <v>0</v>
      </c>
      <c r="BB100" s="358">
        <f t="shared" si="68"/>
        <v>0</v>
      </c>
      <c r="BC100" s="358">
        <f t="shared" si="69"/>
        <v>0</v>
      </c>
      <c r="BD100" s="358">
        <f t="shared" si="70"/>
        <v>0</v>
      </c>
      <c r="BE100" s="358">
        <f t="shared" si="73"/>
        <v>0</v>
      </c>
      <c r="BF100" s="358" t="str">
        <f t="shared" si="74"/>
        <v/>
      </c>
    </row>
    <row r="101" spans="1:59">
      <c r="A101" s="79" t="str">
        <f>'G-1 All Habitats'!B101</f>
        <v>Woodland and forest - Wet woodland</v>
      </c>
      <c r="B101" s="68" t="str">
        <f>'G-1 All Habitats'!F101</f>
        <v>Woodland and forest</v>
      </c>
      <c r="C101" s="68" t="str">
        <f>'G-1 All Habitats'!K101</f>
        <v>High</v>
      </c>
      <c r="D101" s="68" t="str">
        <f>'G-1 All Habitats'!M101</f>
        <v>Same habitat required =</v>
      </c>
      <c r="E101" s="346">
        <f>IF(C101="V.High",SUMIF('A-1 On-Site Habitat Baseline'!$G$11:$G$258,'G-2 Habitat groups'!A101,'A-1 On-Site Habitat Baseline'!$S$11:$S$258)+SUMIF('A-1 On-Site Habitat Baseline'!$G$11:$G$258,'G-2 Habitat groups'!A101,'A-1 On-Site Habitat Baseline'!$T$11:$T$258),SUMIF('A-1 On-Site Habitat Baseline'!$G$11:$G$258,'G-2 Habitat groups'!A101,'A-1 On-Site Habitat Baseline'!$H$11:$H$258))</f>
        <v>0</v>
      </c>
      <c r="F101" s="346">
        <f>SUMIF('A-1 On-Site Habitat Baseline'!$G$11:$G$258,'G-2 Habitat groups'!A101,'A-1 On-Site Habitat Baseline'!$Q$11:$Q$258)</f>
        <v>0</v>
      </c>
      <c r="G101" s="346">
        <f>SUMIF('A-1 On-Site Habitat Baseline'!$G$11:$G$258,'G-2 Habitat groups'!A101,'A-1 On-Site Habitat Baseline'!$S$11:$S$258)</f>
        <v>0</v>
      </c>
      <c r="H101" s="346">
        <f>SUMIF('A-1 On-Site Habitat Baseline'!$G$11:$G$258,'G-2 Habitat groups'!A101,'A-1 On-Site Habitat Baseline'!$U$11:$U$258)</f>
        <v>0</v>
      </c>
      <c r="I101" s="346">
        <f>SUMIF('A-1 On-Site Habitat Baseline'!$G$11:$G$258,'G-2 Habitat groups'!A101,'A-1 On-Site Habitat Baseline'!$W$11:$W$258)</f>
        <v>0</v>
      </c>
      <c r="J101" s="346">
        <f>SUMIF('A-1 On-Site Habitat Baseline'!$G$11:$G$258,'G-2 Habitat groups'!A101,'A-1 On-Site Habitat Baseline'!$X$11:$X$258)</f>
        <v>0</v>
      </c>
      <c r="K101" s="346">
        <f>SUMIF('A-2 On-Site Habitat Creation'!$F$11:$F$256,'G-2 Habitat groups'!A101,'A-2 On-Site Habitat Creation'!$G$11:$G$256)</f>
        <v>0</v>
      </c>
      <c r="L101" s="346">
        <f>SUMIF('A-2 On-Site Habitat Creation'!$F$11:$F$256,'G-2 Habitat groups'!A101,'A-2 On-Site Habitat Creation'!$Y$11:$Y$256)</f>
        <v>0</v>
      </c>
      <c r="M101" s="346">
        <f>SUMIF('A-3 On-Site Habitat Enhancement'!$S$12:$S$257,'G-2 Habitat groups'!A101,'A-3 On-Site Habitat Enhancement'!$V$12:$V$257)</f>
        <v>0</v>
      </c>
      <c r="N101" s="346">
        <f>SUMIF('A-3 On-Site Habitat Enhancement'!$S$12:$S$257,'G-2 Habitat groups'!A101,'A-3 On-Site Habitat Enhancement'!$AN$12:$AN$257)</f>
        <v>0</v>
      </c>
      <c r="O101" s="346">
        <f t="shared" si="53"/>
        <v>0</v>
      </c>
      <c r="P101" s="346">
        <f t="shared" si="54"/>
        <v>0</v>
      </c>
      <c r="Q101" s="346">
        <f t="shared" si="55"/>
        <v>0</v>
      </c>
      <c r="R101" s="346">
        <f t="shared" si="56"/>
        <v>0</v>
      </c>
      <c r="S101" s="346">
        <f>IF(C101="V.High",SUMIF('D-1 Off-Site Habitat Baseline'!$G$11:$G$258,'G-2 Habitat groups'!A101,'D-1 Off-Site Habitat Baseline'!$V$11:$V$258)+SUMIF('D-1 Off-Site Habitat Baseline'!$G$11:$G$258,'G-2 Habitat groups'!A101,'D-1 Off-Site Habitat Baseline'!$W$11:$W$258),SUMIF('D-1 Off-Site Habitat Baseline'!$G$11:$G$258,'G-2 Habitat groups'!A101,'D-1 Off-Site Habitat Baseline'!$H$11:$H$258))</f>
        <v>0</v>
      </c>
      <c r="T101" s="346">
        <f>SUMIF('D-1 Off-Site Habitat Baseline'!$G$11:$G$258,'G-2 Habitat groups'!A101,'D-1 Off-Site Habitat Baseline'!$T$11:$T$258)</f>
        <v>0</v>
      </c>
      <c r="U101" s="346">
        <f>SUMIF('D-1 Off-Site Habitat Baseline'!$G$11:$G$258,'G-2 Habitat groups'!A101,'D-1 Off-Site Habitat Baseline'!$V$11:$V$258)</f>
        <v>0</v>
      </c>
      <c r="V101" s="346">
        <f>SUMIF('D-1 Off-Site Habitat Baseline'!$G$11:$G$258,'G-2 Habitat groups'!A101,'D-1 Off-Site Habitat Baseline'!$X$11:$X$258)</f>
        <v>0</v>
      </c>
      <c r="W101" s="346">
        <f>SUMIF('D-2 Off-Site Habitat Creation'!$F$9:$F$255,'G-2 Habitat groups'!A101,'D-2 Off-Site Habitat Creation'!$G$9:$G$255)</f>
        <v>0</v>
      </c>
      <c r="X101" s="346">
        <f>SUMIF('D-2 Off-Site Habitat Creation'!$F$9:$F$255,'G-2 Habitat groups'!A101,'D-2 Off-Site Habitat Creation'!$AB$9:$AB$255)</f>
        <v>0</v>
      </c>
      <c r="Y101" s="346">
        <f>SUMIF('D-3 Off-Site Habitat Enhancment'!$S$12:$S$491,'G-2 Habitat groups'!A101,'D-3 Off-Site Habitat Enhancment'!$V$12:$V$491)</f>
        <v>0</v>
      </c>
      <c r="Z101" s="346">
        <f>SUMIF('D-3 Off-Site Habitat Enhancment'!$S$12:$S$491,'G-2 Habitat groups'!A101,'D-3 Off-Site Habitat Enhancment'!$AQ$12:$AQ$491)</f>
        <v>0</v>
      </c>
      <c r="AA101" s="346">
        <f t="shared" si="57"/>
        <v>0</v>
      </c>
      <c r="AB101" s="346">
        <f t="shared" si="58"/>
        <v>0</v>
      </c>
      <c r="AC101" s="346">
        <f t="shared" si="59"/>
        <v>0</v>
      </c>
      <c r="AD101" s="346">
        <f t="shared" si="60"/>
        <v>0</v>
      </c>
      <c r="AE101" s="346">
        <f t="shared" si="61"/>
        <v>0</v>
      </c>
      <c r="AF101" s="346">
        <f t="shared" si="62"/>
        <v>0</v>
      </c>
      <c r="AU101" s="79" t="s">
        <v>864</v>
      </c>
      <c r="AV101" s="68" t="s">
        <v>132</v>
      </c>
      <c r="AW101" s="358">
        <f t="shared" si="63"/>
        <v>0</v>
      </c>
      <c r="AX101" s="358">
        <f t="shared" si="64"/>
        <v>0</v>
      </c>
      <c r="AY101" s="358">
        <f t="shared" si="65"/>
        <v>0</v>
      </c>
      <c r="AZ101" s="358">
        <f t="shared" si="66"/>
        <v>0</v>
      </c>
      <c r="BA101" s="358">
        <f t="shared" si="67"/>
        <v>0</v>
      </c>
      <c r="BB101" s="358">
        <f t="shared" si="68"/>
        <v>0</v>
      </c>
      <c r="BC101" s="358">
        <f t="shared" si="69"/>
        <v>0</v>
      </c>
      <c r="BD101" s="358">
        <f t="shared" si="70"/>
        <v>0</v>
      </c>
      <c r="BE101" s="358">
        <f t="shared" si="73"/>
        <v>0</v>
      </c>
      <c r="BF101" s="358" t="str">
        <f t="shared" si="74"/>
        <v/>
      </c>
    </row>
    <row r="102" spans="1:59">
      <c r="A102" s="79" t="str">
        <f>'G-1 All Habitats'!B102</f>
        <v>Woodland and forest - Wood-pasture and parkland</v>
      </c>
      <c r="B102" s="68" t="str">
        <f>'G-1 All Habitats'!F102</f>
        <v>Woodland and forest</v>
      </c>
      <c r="C102" s="68" t="str">
        <f>'G-1 All Habitats'!K102</f>
        <v>V.High</v>
      </c>
      <c r="D102" s="68" t="str">
        <f>'G-1 All Habitats'!M102</f>
        <v>Bespoke compensation likely to be required 🛠</v>
      </c>
      <c r="E102" s="346">
        <f>IF(C102="V.High",SUMIF('A-1 On-Site Habitat Baseline'!$G$11:$G$258,'G-2 Habitat groups'!A102,'A-1 On-Site Habitat Baseline'!$S$11:$S$258)+SUMIF('A-1 On-Site Habitat Baseline'!$G$11:$G$258,'G-2 Habitat groups'!A102,'A-1 On-Site Habitat Baseline'!$T$11:$T$258),SUMIF('A-1 On-Site Habitat Baseline'!$G$11:$G$258,'G-2 Habitat groups'!A102,'A-1 On-Site Habitat Baseline'!$H$11:$H$258))</f>
        <v>0</v>
      </c>
      <c r="F102" s="346">
        <f>SUMIF('A-1 On-Site Habitat Baseline'!$G$11:$G$258,'G-2 Habitat groups'!A102,'A-1 On-Site Habitat Baseline'!$Q$11:$Q$258)</f>
        <v>0</v>
      </c>
      <c r="G102" s="346">
        <f>SUMIF('A-1 On-Site Habitat Baseline'!$G$11:$G$258,'G-2 Habitat groups'!A102,'A-1 On-Site Habitat Baseline'!$S$11:$S$258)</f>
        <v>0</v>
      </c>
      <c r="H102" s="346">
        <f>SUMIF('A-1 On-Site Habitat Baseline'!$G$11:$G$258,'G-2 Habitat groups'!A102,'A-1 On-Site Habitat Baseline'!$U$11:$U$258)</f>
        <v>0</v>
      </c>
      <c r="I102" s="346">
        <f>SUMIF('A-1 On-Site Habitat Baseline'!$G$11:$G$258,'G-2 Habitat groups'!A102,'A-1 On-Site Habitat Baseline'!$W$11:$W$258)</f>
        <v>0</v>
      </c>
      <c r="J102" s="346">
        <f>SUMIF('A-1 On-Site Habitat Baseline'!$G$11:$G$258,'G-2 Habitat groups'!A102,'A-1 On-Site Habitat Baseline'!$X$11:$X$258)</f>
        <v>0</v>
      </c>
      <c r="K102" s="346">
        <f>SUMIF('A-2 On-Site Habitat Creation'!$F$11:$F$256,'G-2 Habitat groups'!A102,'A-2 On-Site Habitat Creation'!$G$11:$G$256)</f>
        <v>0</v>
      </c>
      <c r="L102" s="346">
        <f>SUMIF('A-2 On-Site Habitat Creation'!$F$11:$F$256,'G-2 Habitat groups'!A102,'A-2 On-Site Habitat Creation'!$Y$11:$Y$256)</f>
        <v>0</v>
      </c>
      <c r="M102" s="346">
        <f>SUMIF('A-3 On-Site Habitat Enhancement'!$S$12:$S$257,'G-2 Habitat groups'!A102,'A-3 On-Site Habitat Enhancement'!$V$12:$V$257)</f>
        <v>0</v>
      </c>
      <c r="N102" s="346">
        <f>SUMIF('A-3 On-Site Habitat Enhancement'!$S$12:$S$257,'G-2 Habitat groups'!A102,'A-3 On-Site Habitat Enhancement'!$AN$12:$AN$257)</f>
        <v>0</v>
      </c>
      <c r="O102" s="346">
        <f t="shared" ref="O102:O134" si="75">G102+K102+M102</f>
        <v>0</v>
      </c>
      <c r="P102" s="346">
        <f t="shared" ref="P102:P134" si="76">H102+L102+N102</f>
        <v>0</v>
      </c>
      <c r="Q102" s="346">
        <f t="shared" ref="Q102:Q134" si="77">O102-E102</f>
        <v>0</v>
      </c>
      <c r="R102" s="346">
        <f t="shared" ref="R102:R134" si="78">P102-F102</f>
        <v>0</v>
      </c>
      <c r="S102" s="346">
        <f>IF(C102="V.High",SUMIF('D-1 Off-Site Habitat Baseline'!$G$11:$G$258,'G-2 Habitat groups'!A102,'D-1 Off-Site Habitat Baseline'!$V$11:$V$258)+SUMIF('D-1 Off-Site Habitat Baseline'!$G$11:$G$258,'G-2 Habitat groups'!A102,'D-1 Off-Site Habitat Baseline'!$W$11:$W$258),SUMIF('D-1 Off-Site Habitat Baseline'!$G$11:$G$258,'G-2 Habitat groups'!A102,'D-1 Off-Site Habitat Baseline'!$H$11:$H$258))</f>
        <v>0</v>
      </c>
      <c r="T102" s="346">
        <f>SUMIF('D-1 Off-Site Habitat Baseline'!$G$11:$G$258,'G-2 Habitat groups'!A102,'D-1 Off-Site Habitat Baseline'!$T$11:$T$258)</f>
        <v>0</v>
      </c>
      <c r="U102" s="346">
        <f>SUMIF('D-1 Off-Site Habitat Baseline'!$G$11:$G$258,'G-2 Habitat groups'!A102,'D-1 Off-Site Habitat Baseline'!$V$11:$V$258)</f>
        <v>0</v>
      </c>
      <c r="V102" s="346">
        <f>SUMIF('D-1 Off-Site Habitat Baseline'!$G$11:$G$258,'G-2 Habitat groups'!A102,'D-1 Off-Site Habitat Baseline'!$X$11:$X$258)</f>
        <v>0</v>
      </c>
      <c r="W102" s="346">
        <f>SUMIF('D-2 Off-Site Habitat Creation'!$F$9:$F$255,'G-2 Habitat groups'!A102,'D-2 Off-Site Habitat Creation'!$G$9:$G$255)</f>
        <v>0</v>
      </c>
      <c r="X102" s="346">
        <f>SUMIF('D-2 Off-Site Habitat Creation'!$F$9:$F$255,'G-2 Habitat groups'!A102,'D-2 Off-Site Habitat Creation'!$AB$9:$AB$255)</f>
        <v>0</v>
      </c>
      <c r="Y102" s="346">
        <f>SUMIF('D-3 Off-Site Habitat Enhancment'!$S$12:$S$491,'G-2 Habitat groups'!A102,'D-3 Off-Site Habitat Enhancment'!$V$12:$V$491)</f>
        <v>0</v>
      </c>
      <c r="Z102" s="346">
        <f>SUMIF('D-3 Off-Site Habitat Enhancment'!$S$12:$S$491,'G-2 Habitat groups'!A102,'D-3 Off-Site Habitat Enhancment'!$AQ$12:$AQ$491)</f>
        <v>0</v>
      </c>
      <c r="AA102" s="346">
        <f t="shared" ref="AA102:AA135" si="79">U102+W102+Y102</f>
        <v>0</v>
      </c>
      <c r="AB102" s="346">
        <f t="shared" ref="AB102:AB135" si="80">V102+X102+Z102</f>
        <v>0</v>
      </c>
      <c r="AC102" s="346">
        <f t="shared" ref="AC102:AC134" si="81">AA102-S102</f>
        <v>0</v>
      </c>
      <c r="AD102" s="346">
        <f t="shared" ref="AD102:AD134" si="82">AB102-T102</f>
        <v>0</v>
      </c>
      <c r="AE102" s="346">
        <f t="shared" ref="AE102:AE134" si="83">Q102+AC102</f>
        <v>0</v>
      </c>
      <c r="AF102" s="346">
        <f t="shared" ref="AF102:AF134" si="84">R102+AD102</f>
        <v>0</v>
      </c>
      <c r="AU102" s="100" t="s">
        <v>911</v>
      </c>
      <c r="AV102" s="68" t="s">
        <v>132</v>
      </c>
      <c r="AW102" s="358">
        <f t="shared" si="63"/>
        <v>0</v>
      </c>
      <c r="AX102" s="358">
        <f t="shared" si="64"/>
        <v>0</v>
      </c>
      <c r="AY102" s="358">
        <f t="shared" si="65"/>
        <v>0</v>
      </c>
      <c r="AZ102" s="358">
        <f t="shared" si="66"/>
        <v>0</v>
      </c>
      <c r="BA102" s="358">
        <f t="shared" si="67"/>
        <v>0</v>
      </c>
      <c r="BB102" s="358">
        <f t="shared" si="68"/>
        <v>0</v>
      </c>
      <c r="BC102" s="358">
        <f t="shared" si="69"/>
        <v>0</v>
      </c>
      <c r="BD102" s="358">
        <f t="shared" si="70"/>
        <v>0</v>
      </c>
      <c r="BE102" s="358">
        <f t="shared" si="73"/>
        <v>0</v>
      </c>
      <c r="BF102" s="358" t="str">
        <f t="shared" si="74"/>
        <v/>
      </c>
    </row>
    <row r="103" spans="1:59" ht="30">
      <c r="A103" s="79" t="str">
        <f>'G-1 All Habitats'!B103</f>
        <v>Coastal lagoons - Coastal lagoons</v>
      </c>
      <c r="B103" s="68" t="str">
        <f>'G-1 All Habitats'!F103</f>
        <v>Coastal lagoons</v>
      </c>
      <c r="C103" s="68" t="str">
        <f>'G-1 All Habitats'!K103</f>
        <v>High</v>
      </c>
      <c r="D103" s="68" t="str">
        <f>'G-1 All Habitats'!M103</f>
        <v>Same habitat required =</v>
      </c>
      <c r="E103" s="346">
        <f>IF(C103="V.High",SUMIF('A-1 On-Site Habitat Baseline'!$G$11:$G$258,'G-2 Habitat groups'!A103,'A-1 On-Site Habitat Baseline'!$S$11:$S$258)+SUMIF('A-1 On-Site Habitat Baseline'!$G$11:$G$258,'G-2 Habitat groups'!A103,'A-1 On-Site Habitat Baseline'!$T$11:$T$258),SUMIF('A-1 On-Site Habitat Baseline'!$G$11:$G$258,'G-2 Habitat groups'!A103,'A-1 On-Site Habitat Baseline'!$H$11:$H$258))</f>
        <v>0</v>
      </c>
      <c r="F103" s="346">
        <f>SUMIF('A-1 On-Site Habitat Baseline'!$G$11:$G$258,'G-2 Habitat groups'!A103,'A-1 On-Site Habitat Baseline'!$Q$11:$Q$258)</f>
        <v>0</v>
      </c>
      <c r="G103" s="346">
        <f>SUMIF('A-1 On-Site Habitat Baseline'!$G$11:$G$258,'G-2 Habitat groups'!A103,'A-1 On-Site Habitat Baseline'!$S$11:$S$258)</f>
        <v>0</v>
      </c>
      <c r="H103" s="346">
        <f>SUMIF('A-1 On-Site Habitat Baseline'!$G$11:$G$258,'G-2 Habitat groups'!A103,'A-1 On-Site Habitat Baseline'!$U$11:$U$258)</f>
        <v>0</v>
      </c>
      <c r="I103" s="346">
        <f>SUMIF('A-1 On-Site Habitat Baseline'!$G$11:$G$258,'G-2 Habitat groups'!A103,'A-1 On-Site Habitat Baseline'!$W$11:$W$258)</f>
        <v>0</v>
      </c>
      <c r="J103" s="346">
        <f>SUMIF('A-1 On-Site Habitat Baseline'!$G$11:$G$258,'G-2 Habitat groups'!A103,'A-1 On-Site Habitat Baseline'!$X$11:$X$258)</f>
        <v>0</v>
      </c>
      <c r="K103" s="346">
        <f>SUMIF('A-2 On-Site Habitat Creation'!$F$11:$F$256,'G-2 Habitat groups'!A103,'A-2 On-Site Habitat Creation'!$G$11:$G$256)</f>
        <v>0</v>
      </c>
      <c r="L103" s="346">
        <f>SUMIF('A-2 On-Site Habitat Creation'!$F$11:$F$256,'G-2 Habitat groups'!A103,'A-2 On-Site Habitat Creation'!$Y$11:$Y$256)</f>
        <v>0</v>
      </c>
      <c r="M103" s="346">
        <f>SUMIF('A-3 On-Site Habitat Enhancement'!$S$12:$S$257,'G-2 Habitat groups'!A103,'A-3 On-Site Habitat Enhancement'!$V$12:$V$257)</f>
        <v>0</v>
      </c>
      <c r="N103" s="346">
        <f>SUMIF('A-3 On-Site Habitat Enhancement'!$S$12:$S$257,'G-2 Habitat groups'!A103,'A-3 On-Site Habitat Enhancement'!$AN$12:$AN$257)</f>
        <v>0</v>
      </c>
      <c r="O103" s="346">
        <f t="shared" si="75"/>
        <v>0</v>
      </c>
      <c r="P103" s="346">
        <f t="shared" si="76"/>
        <v>0</v>
      </c>
      <c r="Q103" s="346">
        <f t="shared" si="77"/>
        <v>0</v>
      </c>
      <c r="R103" s="346">
        <f t="shared" si="78"/>
        <v>0</v>
      </c>
      <c r="S103" s="346">
        <f>IF(C103="V.High",SUMIF('D-1 Off-Site Habitat Baseline'!$G$11:$G$258,'G-2 Habitat groups'!A103,'D-1 Off-Site Habitat Baseline'!$V$11:$V$258)+SUMIF('D-1 Off-Site Habitat Baseline'!$G$11:$G$258,'G-2 Habitat groups'!A103,'D-1 Off-Site Habitat Baseline'!$W$11:$W$258),SUMIF('D-1 Off-Site Habitat Baseline'!$G$11:$G$258,'G-2 Habitat groups'!A103,'D-1 Off-Site Habitat Baseline'!$H$11:$H$258))</f>
        <v>0</v>
      </c>
      <c r="T103" s="346">
        <f>SUMIF('D-1 Off-Site Habitat Baseline'!$G$11:$G$258,'G-2 Habitat groups'!A103,'D-1 Off-Site Habitat Baseline'!$T$11:$T$258)</f>
        <v>0</v>
      </c>
      <c r="U103" s="346">
        <f>SUMIF('D-1 Off-Site Habitat Baseline'!$G$11:$G$258,'G-2 Habitat groups'!A103,'D-1 Off-Site Habitat Baseline'!$V$11:$V$258)</f>
        <v>0</v>
      </c>
      <c r="V103" s="346">
        <f>SUMIF('D-1 Off-Site Habitat Baseline'!$G$11:$G$258,'G-2 Habitat groups'!A103,'D-1 Off-Site Habitat Baseline'!$X$11:$X$258)</f>
        <v>0</v>
      </c>
      <c r="W103" s="346">
        <f>SUMIF('D-2 Off-Site Habitat Creation'!$F$9:$F$255,'G-2 Habitat groups'!A103,'D-2 Off-Site Habitat Creation'!$G$9:$G$255)</f>
        <v>0</v>
      </c>
      <c r="X103" s="346">
        <f>SUMIF('D-2 Off-Site Habitat Creation'!$F$9:$F$255,'G-2 Habitat groups'!A103,'D-2 Off-Site Habitat Creation'!$AB$9:$AB$255)</f>
        <v>0</v>
      </c>
      <c r="Y103" s="346">
        <f>SUMIF('D-3 Off-Site Habitat Enhancment'!$S$12:$S$491,'G-2 Habitat groups'!A103,'D-3 Off-Site Habitat Enhancment'!$V$12:$V$491)</f>
        <v>0</v>
      </c>
      <c r="Z103" s="346">
        <f>SUMIF('D-3 Off-Site Habitat Enhancment'!$S$12:$S$491,'G-2 Habitat groups'!A103,'D-3 Off-Site Habitat Enhancment'!$AQ$12:$AQ$491)</f>
        <v>0</v>
      </c>
      <c r="AA103" s="346">
        <f t="shared" si="79"/>
        <v>0</v>
      </c>
      <c r="AB103" s="346">
        <f t="shared" si="80"/>
        <v>0</v>
      </c>
      <c r="AC103" s="346">
        <f t="shared" si="81"/>
        <v>0</v>
      </c>
      <c r="AD103" s="346">
        <f t="shared" si="82"/>
        <v>0</v>
      </c>
      <c r="AE103" s="346">
        <f t="shared" si="83"/>
        <v>0</v>
      </c>
      <c r="AF103" s="346">
        <f t="shared" si="84"/>
        <v>0</v>
      </c>
      <c r="AU103" s="100" t="s">
        <v>923</v>
      </c>
      <c r="AV103" s="264" t="s">
        <v>136</v>
      </c>
      <c r="AW103" s="439">
        <f t="shared" si="63"/>
        <v>0</v>
      </c>
      <c r="AX103" s="439">
        <f t="shared" si="64"/>
        <v>0</v>
      </c>
      <c r="AY103" s="439">
        <f t="shared" si="65"/>
        <v>0</v>
      </c>
      <c r="AZ103" s="439">
        <f t="shared" si="66"/>
        <v>0</v>
      </c>
      <c r="BA103" s="439">
        <f t="shared" si="67"/>
        <v>0</v>
      </c>
      <c r="BB103" s="439">
        <f t="shared" si="68"/>
        <v>0</v>
      </c>
      <c r="BC103" s="439">
        <f t="shared" si="69"/>
        <v>0</v>
      </c>
      <c r="BD103" s="439">
        <f t="shared" si="70"/>
        <v>0</v>
      </c>
      <c r="BE103" s="439">
        <f t="shared" si="73"/>
        <v>0</v>
      </c>
      <c r="BF103" s="439" t="str">
        <f t="shared" si="74"/>
        <v/>
      </c>
    </row>
    <row r="104" spans="1:59">
      <c r="A104" s="79" t="str">
        <f>'G-1 All Habitats'!B104</f>
        <v>Rocky shore - High energy littoral rock</v>
      </c>
      <c r="B104" s="68" t="str">
        <f>'G-1 All Habitats'!F104</f>
        <v>Rocky shore</v>
      </c>
      <c r="C104" s="68" t="str">
        <f>'G-1 All Habitats'!K104</f>
        <v>High</v>
      </c>
      <c r="D104" s="68" t="str">
        <f>'G-1 All Habitats'!M104</f>
        <v>Same habitat required =</v>
      </c>
      <c r="E104" s="346">
        <f>IF(C104="V.High",SUMIF('A-1 On-Site Habitat Baseline'!$G$11:$G$258,'G-2 Habitat groups'!A104,'A-1 On-Site Habitat Baseline'!$S$11:$S$258)+SUMIF('A-1 On-Site Habitat Baseline'!$G$11:$G$258,'G-2 Habitat groups'!A104,'A-1 On-Site Habitat Baseline'!$T$11:$T$258),SUMIF('A-1 On-Site Habitat Baseline'!$G$11:$G$258,'G-2 Habitat groups'!A104,'A-1 On-Site Habitat Baseline'!$H$11:$H$258))</f>
        <v>0</v>
      </c>
      <c r="F104" s="346">
        <f>SUMIF('A-1 On-Site Habitat Baseline'!$G$11:$G$258,'G-2 Habitat groups'!A104,'A-1 On-Site Habitat Baseline'!$Q$11:$Q$258)</f>
        <v>0</v>
      </c>
      <c r="G104" s="346">
        <f>SUMIF('A-1 On-Site Habitat Baseline'!$G$11:$G$258,'G-2 Habitat groups'!A104,'A-1 On-Site Habitat Baseline'!$S$11:$S$258)</f>
        <v>0</v>
      </c>
      <c r="H104" s="346">
        <f>SUMIF('A-1 On-Site Habitat Baseline'!$G$11:$G$258,'G-2 Habitat groups'!A104,'A-1 On-Site Habitat Baseline'!$U$11:$U$258)</f>
        <v>0</v>
      </c>
      <c r="I104" s="346">
        <f>SUMIF('A-1 On-Site Habitat Baseline'!$G$11:$G$258,'G-2 Habitat groups'!A104,'A-1 On-Site Habitat Baseline'!$W$11:$W$258)</f>
        <v>0</v>
      </c>
      <c r="J104" s="346">
        <f>SUMIF('A-1 On-Site Habitat Baseline'!$G$11:$G$258,'G-2 Habitat groups'!A104,'A-1 On-Site Habitat Baseline'!$X$11:$X$258)</f>
        <v>0</v>
      </c>
      <c r="K104" s="346">
        <f>SUMIF('A-2 On-Site Habitat Creation'!$F$11:$F$256,'G-2 Habitat groups'!A104,'A-2 On-Site Habitat Creation'!$G$11:$G$256)</f>
        <v>0</v>
      </c>
      <c r="L104" s="346">
        <f>SUMIF('A-2 On-Site Habitat Creation'!$F$11:$F$256,'G-2 Habitat groups'!A104,'A-2 On-Site Habitat Creation'!$Y$11:$Y$256)</f>
        <v>0</v>
      </c>
      <c r="M104" s="346">
        <f>SUMIF('A-3 On-Site Habitat Enhancement'!$S$12:$S$257,'G-2 Habitat groups'!A104,'A-3 On-Site Habitat Enhancement'!$V$12:$V$257)</f>
        <v>0</v>
      </c>
      <c r="N104" s="346">
        <f>SUMIF('A-3 On-Site Habitat Enhancement'!$S$12:$S$257,'G-2 Habitat groups'!A104,'A-3 On-Site Habitat Enhancement'!$AN$12:$AN$257)</f>
        <v>0</v>
      </c>
      <c r="O104" s="346">
        <f t="shared" si="75"/>
        <v>0</v>
      </c>
      <c r="P104" s="346">
        <f t="shared" si="76"/>
        <v>0</v>
      </c>
      <c r="Q104" s="346">
        <f t="shared" si="77"/>
        <v>0</v>
      </c>
      <c r="R104" s="346">
        <f t="shared" si="78"/>
        <v>0</v>
      </c>
      <c r="S104" s="346">
        <f>IF(C104="V.High",SUMIF('D-1 Off-Site Habitat Baseline'!$G$11:$G$258,'G-2 Habitat groups'!A104,'D-1 Off-Site Habitat Baseline'!$V$11:$V$258)+SUMIF('D-1 Off-Site Habitat Baseline'!$G$11:$G$258,'G-2 Habitat groups'!A104,'D-1 Off-Site Habitat Baseline'!$W$11:$W$258),SUMIF('D-1 Off-Site Habitat Baseline'!$G$11:$G$258,'G-2 Habitat groups'!A104,'D-1 Off-Site Habitat Baseline'!$H$11:$H$258))</f>
        <v>0</v>
      </c>
      <c r="T104" s="346">
        <f>SUMIF('D-1 Off-Site Habitat Baseline'!$G$11:$G$258,'G-2 Habitat groups'!A104,'D-1 Off-Site Habitat Baseline'!$T$11:$T$258)</f>
        <v>0</v>
      </c>
      <c r="U104" s="346">
        <f>SUMIF('D-1 Off-Site Habitat Baseline'!$G$11:$G$258,'G-2 Habitat groups'!A104,'D-1 Off-Site Habitat Baseline'!$V$11:$V$258)</f>
        <v>0</v>
      </c>
      <c r="V104" s="346">
        <f>SUMIF('D-1 Off-Site Habitat Baseline'!$G$11:$G$258,'G-2 Habitat groups'!A104,'D-1 Off-Site Habitat Baseline'!$X$11:$X$258)</f>
        <v>0</v>
      </c>
      <c r="W104" s="346">
        <f>SUMIF('D-2 Off-Site Habitat Creation'!$F$9:$F$255,'G-2 Habitat groups'!A104,'D-2 Off-Site Habitat Creation'!$G$9:$G$255)</f>
        <v>0</v>
      </c>
      <c r="X104" s="346">
        <f>SUMIF('D-2 Off-Site Habitat Creation'!$F$9:$F$255,'G-2 Habitat groups'!A104,'D-2 Off-Site Habitat Creation'!$AB$9:$AB$255)</f>
        <v>0</v>
      </c>
      <c r="Y104" s="346">
        <f>SUMIF('D-3 Off-Site Habitat Enhancment'!$S$12:$S$491,'G-2 Habitat groups'!A104,'D-3 Off-Site Habitat Enhancment'!$V$12:$V$491)</f>
        <v>0</v>
      </c>
      <c r="Z104" s="346">
        <f>SUMIF('D-3 Off-Site Habitat Enhancment'!$S$12:$S$491,'G-2 Habitat groups'!A104,'D-3 Off-Site Habitat Enhancment'!$AQ$12:$AQ$491)</f>
        <v>0</v>
      </c>
      <c r="AA104" s="346">
        <f t="shared" si="79"/>
        <v>0</v>
      </c>
      <c r="AB104" s="346">
        <f t="shared" si="80"/>
        <v>0</v>
      </c>
      <c r="AC104" s="346">
        <f t="shared" si="81"/>
        <v>0</v>
      </c>
      <c r="AD104" s="346">
        <f t="shared" si="82"/>
        <v>0</v>
      </c>
      <c r="AE104" s="346">
        <f t="shared" si="83"/>
        <v>0</v>
      </c>
      <c r="AF104" s="346">
        <f t="shared" si="84"/>
        <v>0</v>
      </c>
      <c r="AU104" s="79" t="s">
        <v>606</v>
      </c>
      <c r="AV104" s="68" t="s">
        <v>126</v>
      </c>
      <c r="AW104" s="439">
        <f>VLOOKUP($AU104,AllHabsSummaryData,5,FALSE)</f>
        <v>0</v>
      </c>
      <c r="AX104" s="439">
        <f t="shared" si="64"/>
        <v>0</v>
      </c>
      <c r="AY104" s="439">
        <f t="shared" si="65"/>
        <v>0</v>
      </c>
      <c r="AZ104" s="439">
        <f t="shared" si="66"/>
        <v>0</v>
      </c>
      <c r="BA104" s="439">
        <f t="shared" si="67"/>
        <v>0</v>
      </c>
      <c r="BB104" s="439">
        <f t="shared" si="68"/>
        <v>0</v>
      </c>
      <c r="BC104" s="439">
        <f t="shared" si="69"/>
        <v>0</v>
      </c>
      <c r="BD104" s="439">
        <f t="shared" si="70"/>
        <v>0</v>
      </c>
      <c r="BE104" s="439">
        <f t="shared" si="73"/>
        <v>0</v>
      </c>
      <c r="BF104" s="439" t="str">
        <f t="shared" si="74"/>
        <v/>
      </c>
    </row>
    <row r="105" spans="1:59">
      <c r="A105" s="79" t="str">
        <f>'G-1 All Habitats'!B105</f>
        <v>Rocky shore - High energy littoral rock - on peat, clay or chalk</v>
      </c>
      <c r="B105" s="68" t="str">
        <f>'G-1 All Habitats'!F105</f>
        <v>Rocky shore</v>
      </c>
      <c r="C105" s="68" t="str">
        <f>'G-1 All Habitats'!K105</f>
        <v>V.High</v>
      </c>
      <c r="D105" s="68" t="str">
        <f>'G-1 All Habitats'!M105</f>
        <v>Bespoke compensation likely to be required 🛠</v>
      </c>
      <c r="E105" s="346">
        <f>IF(C105="V.High",SUMIF('A-1 On-Site Habitat Baseline'!$G$11:$G$258,'G-2 Habitat groups'!A105,'A-1 On-Site Habitat Baseline'!$S$11:$S$258)+SUMIF('A-1 On-Site Habitat Baseline'!$G$11:$G$258,'G-2 Habitat groups'!A105,'A-1 On-Site Habitat Baseline'!$T$11:$T$258),SUMIF('A-1 On-Site Habitat Baseline'!$G$11:$G$258,'G-2 Habitat groups'!A105,'A-1 On-Site Habitat Baseline'!$H$11:$H$258))</f>
        <v>0</v>
      </c>
      <c r="F105" s="346">
        <f>SUMIF('A-1 On-Site Habitat Baseline'!$G$11:$G$258,'G-2 Habitat groups'!A105,'A-1 On-Site Habitat Baseline'!$Q$11:$Q$258)</f>
        <v>0</v>
      </c>
      <c r="G105" s="346">
        <f>SUMIF('A-1 On-Site Habitat Baseline'!$G$11:$G$258,'G-2 Habitat groups'!A105,'A-1 On-Site Habitat Baseline'!$S$11:$S$258)</f>
        <v>0</v>
      </c>
      <c r="H105" s="346">
        <f>SUMIF('A-1 On-Site Habitat Baseline'!$G$11:$G$258,'G-2 Habitat groups'!A105,'A-1 On-Site Habitat Baseline'!$U$11:$U$258)</f>
        <v>0</v>
      </c>
      <c r="I105" s="346">
        <f>SUMIF('A-1 On-Site Habitat Baseline'!$G$11:$G$258,'G-2 Habitat groups'!A105,'A-1 On-Site Habitat Baseline'!$W$11:$W$258)</f>
        <v>0</v>
      </c>
      <c r="J105" s="346">
        <f>SUMIF('A-1 On-Site Habitat Baseline'!$G$11:$G$258,'G-2 Habitat groups'!A105,'A-1 On-Site Habitat Baseline'!$X$11:$X$258)</f>
        <v>0</v>
      </c>
      <c r="K105" s="346">
        <f>SUMIF('A-2 On-Site Habitat Creation'!$F$11:$F$256,'G-2 Habitat groups'!A105,'A-2 On-Site Habitat Creation'!$G$11:$G$256)</f>
        <v>0</v>
      </c>
      <c r="L105" s="346">
        <f>SUMIF('A-2 On-Site Habitat Creation'!$F$11:$F$256,'G-2 Habitat groups'!A105,'A-2 On-Site Habitat Creation'!$Y$11:$Y$256)</f>
        <v>0</v>
      </c>
      <c r="M105" s="346">
        <f>SUMIF('A-3 On-Site Habitat Enhancement'!$S$12:$S$257,'G-2 Habitat groups'!A105,'A-3 On-Site Habitat Enhancement'!$V$12:$V$257)</f>
        <v>0</v>
      </c>
      <c r="N105" s="346">
        <f>SUMIF('A-3 On-Site Habitat Enhancement'!$S$12:$S$257,'G-2 Habitat groups'!A105,'A-3 On-Site Habitat Enhancement'!$AN$12:$AN$257)</f>
        <v>0</v>
      </c>
      <c r="O105" s="346">
        <f t="shared" si="75"/>
        <v>0</v>
      </c>
      <c r="P105" s="346">
        <f t="shared" si="76"/>
        <v>0</v>
      </c>
      <c r="Q105" s="346">
        <f t="shared" si="77"/>
        <v>0</v>
      </c>
      <c r="R105" s="346">
        <f t="shared" si="78"/>
        <v>0</v>
      </c>
      <c r="S105" s="346">
        <f>IF(C105="V.High",SUMIF('D-1 Off-Site Habitat Baseline'!$G$11:$G$258,'G-2 Habitat groups'!A105,'D-1 Off-Site Habitat Baseline'!$V$11:$V$258)+SUMIF('D-1 Off-Site Habitat Baseline'!$G$11:$G$258,'G-2 Habitat groups'!A105,'D-1 Off-Site Habitat Baseline'!$W$11:$W$258),SUMIF('D-1 Off-Site Habitat Baseline'!$G$11:$G$258,'G-2 Habitat groups'!A105,'D-1 Off-Site Habitat Baseline'!$H$11:$H$258))</f>
        <v>0</v>
      </c>
      <c r="T105" s="346">
        <f>SUMIF('D-1 Off-Site Habitat Baseline'!$G$11:$G$258,'G-2 Habitat groups'!A105,'D-1 Off-Site Habitat Baseline'!$T$11:$T$258)</f>
        <v>0</v>
      </c>
      <c r="U105" s="346">
        <f>SUMIF('D-1 Off-Site Habitat Baseline'!$G$11:$G$258,'G-2 Habitat groups'!A105,'D-1 Off-Site Habitat Baseline'!$V$11:$V$258)</f>
        <v>0</v>
      </c>
      <c r="V105" s="346">
        <f>SUMIF('D-1 Off-Site Habitat Baseline'!$G$11:$G$258,'G-2 Habitat groups'!A105,'D-1 Off-Site Habitat Baseline'!$X$11:$X$258)</f>
        <v>0</v>
      </c>
      <c r="W105" s="346">
        <f>SUMIF('D-2 Off-Site Habitat Creation'!$F$9:$F$255,'G-2 Habitat groups'!A105,'D-2 Off-Site Habitat Creation'!$G$9:$G$255)</f>
        <v>0</v>
      </c>
      <c r="X105" s="346">
        <f>SUMIF('D-2 Off-Site Habitat Creation'!$F$9:$F$255,'G-2 Habitat groups'!A105,'D-2 Off-Site Habitat Creation'!$AB$9:$AB$255)</f>
        <v>0</v>
      </c>
      <c r="Y105" s="346">
        <f>SUMIF('D-3 Off-Site Habitat Enhancment'!$S$12:$S$491,'G-2 Habitat groups'!A105,'D-3 Off-Site Habitat Enhancment'!$V$12:$V$491)</f>
        <v>0</v>
      </c>
      <c r="Z105" s="346">
        <f>SUMIF('D-3 Off-Site Habitat Enhancment'!$S$12:$S$491,'G-2 Habitat groups'!A105,'D-3 Off-Site Habitat Enhancment'!$AQ$12:$AQ$491)</f>
        <v>0</v>
      </c>
      <c r="AA105" s="346">
        <f t="shared" si="79"/>
        <v>0</v>
      </c>
      <c r="AB105" s="346">
        <f t="shared" si="80"/>
        <v>0</v>
      </c>
      <c r="AC105" s="346">
        <f t="shared" si="81"/>
        <v>0</v>
      </c>
      <c r="AD105" s="346">
        <f t="shared" si="82"/>
        <v>0</v>
      </c>
      <c r="AE105" s="346">
        <f t="shared" si="83"/>
        <v>0</v>
      </c>
      <c r="AF105" s="346">
        <f t="shared" si="84"/>
        <v>0</v>
      </c>
      <c r="AU105" s="79" t="s">
        <v>740</v>
      </c>
      <c r="AV105" s="68" t="s">
        <v>138</v>
      </c>
      <c r="AW105" s="439">
        <f>VLOOKUP($AU105,AllHabsSummaryData,5,FALSE)</f>
        <v>0</v>
      </c>
      <c r="AX105" s="439">
        <f>VLOOKUP($AU105,AllHabsSummaryData,10,FALSE)</f>
        <v>0</v>
      </c>
      <c r="AY105" s="439">
        <f>VLOOKUP($AU105,AllHabsSummaryData,15,FALSE)</f>
        <v>0</v>
      </c>
      <c r="AZ105" s="439">
        <f>VLOOKUP($AU105,AllHabsSummaryData,16,FALSE)</f>
        <v>0</v>
      </c>
      <c r="BA105" s="439">
        <f>VLOOKUP($AU105,AllHabsSummaryData,17,FALSE)</f>
        <v>0</v>
      </c>
      <c r="BB105" s="439">
        <f>VLOOKUP($AU105,AllHabsSummaryData,18,FALSE)</f>
        <v>0</v>
      </c>
      <c r="BC105" s="439">
        <f>VLOOKUP($AU105,AllHabsSummaryData,27,FALSE)</f>
        <v>0</v>
      </c>
      <c r="BD105" s="439">
        <f>VLOOKUP($AU105,AllHabsSummaryData,30,FALSE)</f>
        <v>0</v>
      </c>
      <c r="BE105" s="439">
        <f t="shared" ref="BE105" si="85">BB105+BD105</f>
        <v>0</v>
      </c>
      <c r="BF105" s="439" t="str">
        <f t="shared" ref="BF105" si="86">IF(BE105&lt;0,BE105,"")</f>
        <v/>
      </c>
    </row>
    <row r="106" spans="1:59">
      <c r="A106" s="79" t="str">
        <f>'G-1 All Habitats'!B106</f>
        <v>Rocky shore - Moderate energy littoral rock</v>
      </c>
      <c r="B106" s="68" t="str">
        <f>'G-1 All Habitats'!F106</f>
        <v>Rocky shore</v>
      </c>
      <c r="C106" s="68" t="str">
        <f>'G-1 All Habitats'!K106</f>
        <v>High</v>
      </c>
      <c r="D106" s="68" t="str">
        <f>'G-1 All Habitats'!M106</f>
        <v>Same habitat required =</v>
      </c>
      <c r="E106" s="346">
        <f>IF(C106="V.High",SUMIF('A-1 On-Site Habitat Baseline'!$G$11:$G$258,'G-2 Habitat groups'!A106,'A-1 On-Site Habitat Baseline'!$S$11:$S$258)+SUMIF('A-1 On-Site Habitat Baseline'!$G$11:$G$258,'G-2 Habitat groups'!A106,'A-1 On-Site Habitat Baseline'!$T$11:$T$258),SUMIF('A-1 On-Site Habitat Baseline'!$G$11:$G$258,'G-2 Habitat groups'!A106,'A-1 On-Site Habitat Baseline'!$H$11:$H$258))</f>
        <v>0</v>
      </c>
      <c r="F106" s="346">
        <f>SUMIF('A-1 On-Site Habitat Baseline'!$G$11:$G$258,'G-2 Habitat groups'!A106,'A-1 On-Site Habitat Baseline'!$Q$11:$Q$258)</f>
        <v>0</v>
      </c>
      <c r="G106" s="346">
        <f>SUMIF('A-1 On-Site Habitat Baseline'!$G$11:$G$258,'G-2 Habitat groups'!A106,'A-1 On-Site Habitat Baseline'!$S$11:$S$258)</f>
        <v>0</v>
      </c>
      <c r="H106" s="346">
        <f>SUMIF('A-1 On-Site Habitat Baseline'!$G$11:$G$258,'G-2 Habitat groups'!A106,'A-1 On-Site Habitat Baseline'!$U$11:$U$258)</f>
        <v>0</v>
      </c>
      <c r="I106" s="346">
        <f>SUMIF('A-1 On-Site Habitat Baseline'!$G$11:$G$258,'G-2 Habitat groups'!A106,'A-1 On-Site Habitat Baseline'!$W$11:$W$258)</f>
        <v>0</v>
      </c>
      <c r="J106" s="346">
        <f>SUMIF('A-1 On-Site Habitat Baseline'!$G$11:$G$258,'G-2 Habitat groups'!A106,'A-1 On-Site Habitat Baseline'!$X$11:$X$258)</f>
        <v>0</v>
      </c>
      <c r="K106" s="346">
        <f>SUMIF('A-2 On-Site Habitat Creation'!$F$11:$F$256,'G-2 Habitat groups'!A106,'A-2 On-Site Habitat Creation'!$G$11:$G$256)</f>
        <v>0</v>
      </c>
      <c r="L106" s="346">
        <f>SUMIF('A-2 On-Site Habitat Creation'!$F$11:$F$256,'G-2 Habitat groups'!A106,'A-2 On-Site Habitat Creation'!$Y$11:$Y$256)</f>
        <v>0</v>
      </c>
      <c r="M106" s="346">
        <f>SUMIF('A-3 On-Site Habitat Enhancement'!$S$12:$S$257,'G-2 Habitat groups'!A106,'A-3 On-Site Habitat Enhancement'!$V$12:$V$257)</f>
        <v>0</v>
      </c>
      <c r="N106" s="346">
        <f>SUMIF('A-3 On-Site Habitat Enhancement'!$S$12:$S$257,'G-2 Habitat groups'!A106,'A-3 On-Site Habitat Enhancement'!$AN$12:$AN$257)</f>
        <v>0</v>
      </c>
      <c r="O106" s="346">
        <f t="shared" si="75"/>
        <v>0</v>
      </c>
      <c r="P106" s="346">
        <f t="shared" si="76"/>
        <v>0</v>
      </c>
      <c r="Q106" s="346">
        <f t="shared" si="77"/>
        <v>0</v>
      </c>
      <c r="R106" s="346">
        <f t="shared" si="78"/>
        <v>0</v>
      </c>
      <c r="S106" s="346">
        <f>IF(C106="V.High",SUMIF('D-1 Off-Site Habitat Baseline'!$G$11:$G$258,'G-2 Habitat groups'!A106,'D-1 Off-Site Habitat Baseline'!$V$11:$V$258)+SUMIF('D-1 Off-Site Habitat Baseline'!$G$11:$G$258,'G-2 Habitat groups'!A106,'D-1 Off-Site Habitat Baseline'!$W$11:$W$258),SUMIF('D-1 Off-Site Habitat Baseline'!$G$11:$G$258,'G-2 Habitat groups'!A106,'D-1 Off-Site Habitat Baseline'!$H$11:$H$258))</f>
        <v>0</v>
      </c>
      <c r="T106" s="346">
        <f>SUMIF('D-1 Off-Site Habitat Baseline'!$G$11:$G$258,'G-2 Habitat groups'!A106,'D-1 Off-Site Habitat Baseline'!$T$11:$T$258)</f>
        <v>0</v>
      </c>
      <c r="U106" s="346">
        <f>SUMIF('D-1 Off-Site Habitat Baseline'!$G$11:$G$258,'G-2 Habitat groups'!A106,'D-1 Off-Site Habitat Baseline'!$V$11:$V$258)</f>
        <v>0</v>
      </c>
      <c r="V106" s="346">
        <f>SUMIF('D-1 Off-Site Habitat Baseline'!$G$11:$G$258,'G-2 Habitat groups'!A106,'D-1 Off-Site Habitat Baseline'!$X$11:$X$258)</f>
        <v>0</v>
      </c>
      <c r="W106" s="346">
        <f>SUMIF('D-2 Off-Site Habitat Creation'!$F$9:$F$255,'G-2 Habitat groups'!A106,'D-2 Off-Site Habitat Creation'!$G$9:$G$255)</f>
        <v>0</v>
      </c>
      <c r="X106" s="346">
        <f>SUMIF('D-2 Off-Site Habitat Creation'!$F$9:$F$255,'G-2 Habitat groups'!A106,'D-2 Off-Site Habitat Creation'!$AB$9:$AB$255)</f>
        <v>0</v>
      </c>
      <c r="Y106" s="346">
        <f>SUMIF('D-3 Off-Site Habitat Enhancment'!$S$12:$S$491,'G-2 Habitat groups'!A106,'D-3 Off-Site Habitat Enhancment'!$V$12:$V$491)</f>
        <v>0</v>
      </c>
      <c r="Z106" s="346">
        <f>SUMIF('D-3 Off-Site Habitat Enhancment'!$S$12:$S$491,'G-2 Habitat groups'!A106,'D-3 Off-Site Habitat Enhancment'!$AQ$12:$AQ$491)</f>
        <v>0</v>
      </c>
      <c r="AA106" s="346">
        <f t="shared" si="79"/>
        <v>0</v>
      </c>
      <c r="AB106" s="346">
        <f t="shared" si="80"/>
        <v>0</v>
      </c>
      <c r="AC106" s="346">
        <f t="shared" si="81"/>
        <v>0</v>
      </c>
      <c r="AD106" s="346">
        <f t="shared" si="82"/>
        <v>0</v>
      </c>
      <c r="AE106" s="346">
        <f t="shared" si="83"/>
        <v>0</v>
      </c>
      <c r="AF106" s="346">
        <f t="shared" si="84"/>
        <v>0</v>
      </c>
    </row>
    <row r="107" spans="1:59">
      <c r="A107" s="79" t="str">
        <f>'G-1 All Habitats'!B107</f>
        <v>Rocky shore - Moderate energy littoral rock - on peat, clay or chalk</v>
      </c>
      <c r="B107" s="68" t="str">
        <f>'G-1 All Habitats'!F107</f>
        <v>Rocky shore</v>
      </c>
      <c r="C107" s="68" t="str">
        <f>'G-1 All Habitats'!K107</f>
        <v>V.High</v>
      </c>
      <c r="D107" s="68" t="str">
        <f>'G-1 All Habitats'!M107</f>
        <v>Bespoke compensation likely to be required 🛠</v>
      </c>
      <c r="E107" s="346">
        <f>IF(C107="V.High",SUMIF('A-1 On-Site Habitat Baseline'!$G$11:$G$258,'G-2 Habitat groups'!A107,'A-1 On-Site Habitat Baseline'!$S$11:$S$258)+SUMIF('A-1 On-Site Habitat Baseline'!$G$11:$G$258,'G-2 Habitat groups'!A107,'A-1 On-Site Habitat Baseline'!$T$11:$T$258),SUMIF('A-1 On-Site Habitat Baseline'!$G$11:$G$258,'G-2 Habitat groups'!A107,'A-1 On-Site Habitat Baseline'!$H$11:$H$258))</f>
        <v>0</v>
      </c>
      <c r="F107" s="346">
        <f>SUMIF('A-1 On-Site Habitat Baseline'!$G$11:$G$258,'G-2 Habitat groups'!A107,'A-1 On-Site Habitat Baseline'!$Q$11:$Q$258)</f>
        <v>0</v>
      </c>
      <c r="G107" s="346">
        <f>SUMIF('A-1 On-Site Habitat Baseline'!$G$11:$G$258,'G-2 Habitat groups'!A107,'A-1 On-Site Habitat Baseline'!$S$11:$S$258)</f>
        <v>0</v>
      </c>
      <c r="H107" s="346">
        <f>SUMIF('A-1 On-Site Habitat Baseline'!$G$11:$G$258,'G-2 Habitat groups'!A107,'A-1 On-Site Habitat Baseline'!$U$11:$U$258)</f>
        <v>0</v>
      </c>
      <c r="I107" s="346">
        <f>SUMIF('A-1 On-Site Habitat Baseline'!$G$11:$G$258,'G-2 Habitat groups'!A107,'A-1 On-Site Habitat Baseline'!$W$11:$W$258)</f>
        <v>0</v>
      </c>
      <c r="J107" s="346">
        <f>SUMIF('A-1 On-Site Habitat Baseline'!$G$11:$G$258,'G-2 Habitat groups'!A107,'A-1 On-Site Habitat Baseline'!$X$11:$X$258)</f>
        <v>0</v>
      </c>
      <c r="K107" s="346">
        <f>SUMIF('A-2 On-Site Habitat Creation'!$F$11:$F$256,'G-2 Habitat groups'!A107,'A-2 On-Site Habitat Creation'!$G$11:$G$256)</f>
        <v>0</v>
      </c>
      <c r="L107" s="346">
        <f>SUMIF('A-2 On-Site Habitat Creation'!$F$11:$F$256,'G-2 Habitat groups'!A107,'A-2 On-Site Habitat Creation'!$Y$11:$Y$256)</f>
        <v>0</v>
      </c>
      <c r="M107" s="346">
        <f>SUMIF('A-3 On-Site Habitat Enhancement'!$S$12:$S$257,'G-2 Habitat groups'!A107,'A-3 On-Site Habitat Enhancement'!$V$12:$V$257)</f>
        <v>0</v>
      </c>
      <c r="N107" s="346">
        <f>SUMIF('A-3 On-Site Habitat Enhancement'!$S$12:$S$257,'G-2 Habitat groups'!A107,'A-3 On-Site Habitat Enhancement'!$AN$12:$AN$257)</f>
        <v>0</v>
      </c>
      <c r="O107" s="346">
        <f t="shared" si="75"/>
        <v>0</v>
      </c>
      <c r="P107" s="346">
        <f t="shared" si="76"/>
        <v>0</v>
      </c>
      <c r="Q107" s="346">
        <f t="shared" si="77"/>
        <v>0</v>
      </c>
      <c r="R107" s="346">
        <f t="shared" si="78"/>
        <v>0</v>
      </c>
      <c r="S107" s="346">
        <f>IF(C107="V.High",SUMIF('D-1 Off-Site Habitat Baseline'!$G$11:$G$258,'G-2 Habitat groups'!A107,'D-1 Off-Site Habitat Baseline'!$V$11:$V$258)+SUMIF('D-1 Off-Site Habitat Baseline'!$G$11:$G$258,'G-2 Habitat groups'!A107,'D-1 Off-Site Habitat Baseline'!$W$11:$W$258),SUMIF('D-1 Off-Site Habitat Baseline'!$G$11:$G$258,'G-2 Habitat groups'!A107,'D-1 Off-Site Habitat Baseline'!$H$11:$H$258))</f>
        <v>0</v>
      </c>
      <c r="T107" s="346">
        <f>SUMIF('D-1 Off-Site Habitat Baseline'!$G$11:$G$258,'G-2 Habitat groups'!A107,'D-1 Off-Site Habitat Baseline'!$T$11:$T$258)</f>
        <v>0</v>
      </c>
      <c r="U107" s="346">
        <f>SUMIF('D-1 Off-Site Habitat Baseline'!$G$11:$G$258,'G-2 Habitat groups'!A107,'D-1 Off-Site Habitat Baseline'!$V$11:$V$258)</f>
        <v>0</v>
      </c>
      <c r="V107" s="346">
        <f>SUMIF('D-1 Off-Site Habitat Baseline'!$G$11:$G$258,'G-2 Habitat groups'!A107,'D-1 Off-Site Habitat Baseline'!$X$11:$X$258)</f>
        <v>0</v>
      </c>
      <c r="W107" s="346">
        <f>SUMIF('D-2 Off-Site Habitat Creation'!$F$9:$F$255,'G-2 Habitat groups'!A107,'D-2 Off-Site Habitat Creation'!$G$9:$G$255)</f>
        <v>0</v>
      </c>
      <c r="X107" s="346">
        <f>SUMIF('D-2 Off-Site Habitat Creation'!$F$9:$F$255,'G-2 Habitat groups'!A107,'D-2 Off-Site Habitat Creation'!$AB$9:$AB$255)</f>
        <v>0</v>
      </c>
      <c r="Y107" s="346">
        <f>SUMIF('D-3 Off-Site Habitat Enhancment'!$S$12:$S$491,'G-2 Habitat groups'!A107,'D-3 Off-Site Habitat Enhancment'!$V$12:$V$491)</f>
        <v>0</v>
      </c>
      <c r="Z107" s="346">
        <f>SUMIF('D-3 Off-Site Habitat Enhancment'!$S$12:$S$491,'G-2 Habitat groups'!A107,'D-3 Off-Site Habitat Enhancment'!$AQ$12:$AQ$491)</f>
        <v>0</v>
      </c>
      <c r="AA107" s="346">
        <f t="shared" si="79"/>
        <v>0</v>
      </c>
      <c r="AB107" s="346">
        <f t="shared" si="80"/>
        <v>0</v>
      </c>
      <c r="AC107" s="346">
        <f t="shared" si="81"/>
        <v>0</v>
      </c>
      <c r="AD107" s="346">
        <f t="shared" si="82"/>
        <v>0</v>
      </c>
      <c r="AE107" s="346">
        <f t="shared" si="83"/>
        <v>0</v>
      </c>
      <c r="AF107" s="346">
        <f t="shared" si="84"/>
        <v>0</v>
      </c>
    </row>
    <row r="108" spans="1:59">
      <c r="A108" s="79" t="str">
        <f>'G-1 All Habitats'!B108</f>
        <v>Rocky shore - Low energy littoral rock</v>
      </c>
      <c r="B108" s="68" t="str">
        <f>'G-1 All Habitats'!F108</f>
        <v>Rocky shore</v>
      </c>
      <c r="C108" s="68" t="str">
        <f>'G-1 All Habitats'!K108</f>
        <v>High</v>
      </c>
      <c r="D108" s="68" t="str">
        <f>'G-1 All Habitats'!M108</f>
        <v>Same habitat required =</v>
      </c>
      <c r="E108" s="346">
        <f>IF(C108="V.High",SUMIF('A-1 On-Site Habitat Baseline'!$G$11:$G$258,'G-2 Habitat groups'!A108,'A-1 On-Site Habitat Baseline'!$S$11:$S$258)+SUMIF('A-1 On-Site Habitat Baseline'!$G$11:$G$258,'G-2 Habitat groups'!A108,'A-1 On-Site Habitat Baseline'!$T$11:$T$258),SUMIF('A-1 On-Site Habitat Baseline'!$G$11:$G$258,'G-2 Habitat groups'!A108,'A-1 On-Site Habitat Baseline'!$H$11:$H$258))</f>
        <v>0</v>
      </c>
      <c r="F108" s="346">
        <f>SUMIF('A-1 On-Site Habitat Baseline'!$G$11:$G$258,'G-2 Habitat groups'!A108,'A-1 On-Site Habitat Baseline'!$Q$11:$Q$258)</f>
        <v>0</v>
      </c>
      <c r="G108" s="346">
        <f>SUMIF('A-1 On-Site Habitat Baseline'!$G$11:$G$258,'G-2 Habitat groups'!A108,'A-1 On-Site Habitat Baseline'!$S$11:$S$258)</f>
        <v>0</v>
      </c>
      <c r="H108" s="346">
        <f>SUMIF('A-1 On-Site Habitat Baseline'!$G$11:$G$258,'G-2 Habitat groups'!A108,'A-1 On-Site Habitat Baseline'!$U$11:$U$258)</f>
        <v>0</v>
      </c>
      <c r="I108" s="346">
        <f>SUMIF('A-1 On-Site Habitat Baseline'!$G$11:$G$258,'G-2 Habitat groups'!A108,'A-1 On-Site Habitat Baseline'!$W$11:$W$258)</f>
        <v>0</v>
      </c>
      <c r="J108" s="346">
        <f>SUMIF('A-1 On-Site Habitat Baseline'!$G$11:$G$258,'G-2 Habitat groups'!A108,'A-1 On-Site Habitat Baseline'!$X$11:$X$258)</f>
        <v>0</v>
      </c>
      <c r="K108" s="346">
        <f>SUMIF('A-2 On-Site Habitat Creation'!$F$11:$F$256,'G-2 Habitat groups'!A108,'A-2 On-Site Habitat Creation'!$G$11:$G$256)</f>
        <v>0</v>
      </c>
      <c r="L108" s="346">
        <f>SUMIF('A-2 On-Site Habitat Creation'!$F$11:$F$256,'G-2 Habitat groups'!A108,'A-2 On-Site Habitat Creation'!$Y$11:$Y$256)</f>
        <v>0</v>
      </c>
      <c r="M108" s="346">
        <f>SUMIF('A-3 On-Site Habitat Enhancement'!$S$12:$S$257,'G-2 Habitat groups'!A108,'A-3 On-Site Habitat Enhancement'!$V$12:$V$257)</f>
        <v>0</v>
      </c>
      <c r="N108" s="346">
        <f>SUMIF('A-3 On-Site Habitat Enhancement'!$S$12:$S$257,'G-2 Habitat groups'!A108,'A-3 On-Site Habitat Enhancement'!$AN$12:$AN$257)</f>
        <v>0</v>
      </c>
      <c r="O108" s="346">
        <f t="shared" si="75"/>
        <v>0</v>
      </c>
      <c r="P108" s="346">
        <f t="shared" si="76"/>
        <v>0</v>
      </c>
      <c r="Q108" s="346">
        <f t="shared" si="77"/>
        <v>0</v>
      </c>
      <c r="R108" s="346">
        <f t="shared" si="78"/>
        <v>0</v>
      </c>
      <c r="S108" s="346">
        <f>IF(C108="V.High",SUMIF('D-1 Off-Site Habitat Baseline'!$G$11:$G$258,'G-2 Habitat groups'!A108,'D-1 Off-Site Habitat Baseline'!$V$11:$V$258)+SUMIF('D-1 Off-Site Habitat Baseline'!$G$11:$G$258,'G-2 Habitat groups'!A108,'D-1 Off-Site Habitat Baseline'!$W$11:$W$258),SUMIF('D-1 Off-Site Habitat Baseline'!$G$11:$G$258,'G-2 Habitat groups'!A108,'D-1 Off-Site Habitat Baseline'!$H$11:$H$258))</f>
        <v>0</v>
      </c>
      <c r="T108" s="346">
        <f>SUMIF('D-1 Off-Site Habitat Baseline'!$G$11:$G$258,'G-2 Habitat groups'!A108,'D-1 Off-Site Habitat Baseline'!$T$11:$T$258)</f>
        <v>0</v>
      </c>
      <c r="U108" s="346">
        <f>SUMIF('D-1 Off-Site Habitat Baseline'!$G$11:$G$258,'G-2 Habitat groups'!A108,'D-1 Off-Site Habitat Baseline'!$V$11:$V$258)</f>
        <v>0</v>
      </c>
      <c r="V108" s="346">
        <f>SUMIF('D-1 Off-Site Habitat Baseline'!$G$11:$G$258,'G-2 Habitat groups'!A108,'D-1 Off-Site Habitat Baseline'!$X$11:$X$258)</f>
        <v>0</v>
      </c>
      <c r="W108" s="346">
        <f>SUMIF('D-2 Off-Site Habitat Creation'!$F$9:$F$255,'G-2 Habitat groups'!A108,'D-2 Off-Site Habitat Creation'!$G$9:$G$255)</f>
        <v>0</v>
      </c>
      <c r="X108" s="346">
        <f>SUMIF('D-2 Off-Site Habitat Creation'!$F$9:$F$255,'G-2 Habitat groups'!A108,'D-2 Off-Site Habitat Creation'!$AB$9:$AB$255)</f>
        <v>0</v>
      </c>
      <c r="Y108" s="346">
        <f>SUMIF('D-3 Off-Site Habitat Enhancment'!$S$12:$S$491,'G-2 Habitat groups'!A108,'D-3 Off-Site Habitat Enhancment'!$V$12:$V$491)</f>
        <v>0</v>
      </c>
      <c r="Z108" s="346">
        <f>SUMIF('D-3 Off-Site Habitat Enhancment'!$S$12:$S$491,'G-2 Habitat groups'!A108,'D-3 Off-Site Habitat Enhancment'!$AQ$12:$AQ$491)</f>
        <v>0</v>
      </c>
      <c r="AA108" s="346">
        <f t="shared" si="79"/>
        <v>0</v>
      </c>
      <c r="AB108" s="346">
        <f t="shared" si="80"/>
        <v>0</v>
      </c>
      <c r="AC108" s="346">
        <f t="shared" si="81"/>
        <v>0</v>
      </c>
      <c r="AD108" s="346">
        <f t="shared" si="82"/>
        <v>0</v>
      </c>
      <c r="AE108" s="346">
        <f t="shared" si="83"/>
        <v>0</v>
      </c>
      <c r="AF108" s="346">
        <f t="shared" si="84"/>
        <v>0</v>
      </c>
    </row>
    <row r="109" spans="1:59">
      <c r="A109" s="79" t="str">
        <f>'G-1 All Habitats'!B109</f>
        <v>Rocky shore - Low energy littoral rock - on peat, clay or chalk</v>
      </c>
      <c r="B109" s="68" t="str">
        <f>'G-1 All Habitats'!F109</f>
        <v>Rocky shore</v>
      </c>
      <c r="C109" s="68" t="str">
        <f>'G-1 All Habitats'!K109</f>
        <v>V.High</v>
      </c>
      <c r="D109" s="68" t="str">
        <f>'G-1 All Habitats'!M109</f>
        <v>Bespoke compensation likely to be required 🛠</v>
      </c>
      <c r="E109" s="346">
        <f>IF(C109="V.High",SUMIF('A-1 On-Site Habitat Baseline'!$G$11:$G$258,'G-2 Habitat groups'!A109,'A-1 On-Site Habitat Baseline'!$S$11:$S$258)+SUMIF('A-1 On-Site Habitat Baseline'!$G$11:$G$258,'G-2 Habitat groups'!A109,'A-1 On-Site Habitat Baseline'!$T$11:$T$258),SUMIF('A-1 On-Site Habitat Baseline'!$G$11:$G$258,'G-2 Habitat groups'!A109,'A-1 On-Site Habitat Baseline'!$H$11:$H$258))</f>
        <v>0</v>
      </c>
      <c r="F109" s="346">
        <f>SUMIF('A-1 On-Site Habitat Baseline'!$G$11:$G$258,'G-2 Habitat groups'!A109,'A-1 On-Site Habitat Baseline'!$Q$11:$Q$258)</f>
        <v>0</v>
      </c>
      <c r="G109" s="346">
        <f>SUMIF('A-1 On-Site Habitat Baseline'!$G$11:$G$258,'G-2 Habitat groups'!A109,'A-1 On-Site Habitat Baseline'!$S$11:$S$258)</f>
        <v>0</v>
      </c>
      <c r="H109" s="346">
        <f>SUMIF('A-1 On-Site Habitat Baseline'!$G$11:$G$258,'G-2 Habitat groups'!A109,'A-1 On-Site Habitat Baseline'!$U$11:$U$258)</f>
        <v>0</v>
      </c>
      <c r="I109" s="346">
        <f>SUMIF('A-1 On-Site Habitat Baseline'!$G$11:$G$258,'G-2 Habitat groups'!A109,'A-1 On-Site Habitat Baseline'!$W$11:$W$258)</f>
        <v>0</v>
      </c>
      <c r="J109" s="346">
        <f>SUMIF('A-1 On-Site Habitat Baseline'!$G$11:$G$258,'G-2 Habitat groups'!A109,'A-1 On-Site Habitat Baseline'!$X$11:$X$258)</f>
        <v>0</v>
      </c>
      <c r="K109" s="346">
        <f>SUMIF('A-2 On-Site Habitat Creation'!$F$11:$F$256,'G-2 Habitat groups'!A109,'A-2 On-Site Habitat Creation'!$G$11:$G$256)</f>
        <v>0</v>
      </c>
      <c r="L109" s="346">
        <f>SUMIF('A-2 On-Site Habitat Creation'!$F$11:$F$256,'G-2 Habitat groups'!A109,'A-2 On-Site Habitat Creation'!$Y$11:$Y$256)</f>
        <v>0</v>
      </c>
      <c r="M109" s="346">
        <f>SUMIF('A-3 On-Site Habitat Enhancement'!$S$12:$S$257,'G-2 Habitat groups'!A109,'A-3 On-Site Habitat Enhancement'!$V$12:$V$257)</f>
        <v>0</v>
      </c>
      <c r="N109" s="346">
        <f>SUMIF('A-3 On-Site Habitat Enhancement'!$S$12:$S$257,'G-2 Habitat groups'!A109,'A-3 On-Site Habitat Enhancement'!$AN$12:$AN$257)</f>
        <v>0</v>
      </c>
      <c r="O109" s="346">
        <f t="shared" si="75"/>
        <v>0</v>
      </c>
      <c r="P109" s="346">
        <f t="shared" si="76"/>
        <v>0</v>
      </c>
      <c r="Q109" s="346">
        <f t="shared" si="77"/>
        <v>0</v>
      </c>
      <c r="R109" s="346">
        <f t="shared" si="78"/>
        <v>0</v>
      </c>
      <c r="S109" s="346">
        <f>IF(C109="V.High",SUMIF('D-1 Off-Site Habitat Baseline'!$G$11:$G$258,'G-2 Habitat groups'!A109,'D-1 Off-Site Habitat Baseline'!$V$11:$V$258)+SUMIF('D-1 Off-Site Habitat Baseline'!$G$11:$G$258,'G-2 Habitat groups'!A109,'D-1 Off-Site Habitat Baseline'!$W$11:$W$258),SUMIF('D-1 Off-Site Habitat Baseline'!$G$11:$G$258,'G-2 Habitat groups'!A109,'D-1 Off-Site Habitat Baseline'!$H$11:$H$258))</f>
        <v>0</v>
      </c>
      <c r="T109" s="346">
        <f>SUMIF('D-1 Off-Site Habitat Baseline'!$G$11:$G$258,'G-2 Habitat groups'!A109,'D-1 Off-Site Habitat Baseline'!$T$11:$T$258)</f>
        <v>0</v>
      </c>
      <c r="U109" s="346">
        <f>SUMIF('D-1 Off-Site Habitat Baseline'!$G$11:$G$258,'G-2 Habitat groups'!A109,'D-1 Off-Site Habitat Baseline'!$V$11:$V$258)</f>
        <v>0</v>
      </c>
      <c r="V109" s="346">
        <f>SUMIF('D-1 Off-Site Habitat Baseline'!$G$11:$G$258,'G-2 Habitat groups'!A109,'D-1 Off-Site Habitat Baseline'!$X$11:$X$258)</f>
        <v>0</v>
      </c>
      <c r="W109" s="346">
        <f>SUMIF('D-2 Off-Site Habitat Creation'!$F$9:$F$255,'G-2 Habitat groups'!A109,'D-2 Off-Site Habitat Creation'!$G$9:$G$255)</f>
        <v>0</v>
      </c>
      <c r="X109" s="346">
        <f>SUMIF('D-2 Off-Site Habitat Creation'!$F$9:$F$255,'G-2 Habitat groups'!A109,'D-2 Off-Site Habitat Creation'!$AB$9:$AB$255)</f>
        <v>0</v>
      </c>
      <c r="Y109" s="346">
        <f>SUMIF('D-3 Off-Site Habitat Enhancment'!$S$12:$S$491,'G-2 Habitat groups'!A109,'D-3 Off-Site Habitat Enhancment'!$V$12:$V$491)</f>
        <v>0</v>
      </c>
      <c r="Z109" s="346">
        <f>SUMIF('D-3 Off-Site Habitat Enhancment'!$S$12:$S$491,'G-2 Habitat groups'!A109,'D-3 Off-Site Habitat Enhancment'!$AQ$12:$AQ$491)</f>
        <v>0</v>
      </c>
      <c r="AA109" s="346">
        <f t="shared" si="79"/>
        <v>0</v>
      </c>
      <c r="AB109" s="346">
        <f t="shared" si="80"/>
        <v>0</v>
      </c>
      <c r="AC109" s="346">
        <f t="shared" si="81"/>
        <v>0</v>
      </c>
      <c r="AD109" s="346">
        <f t="shared" si="82"/>
        <v>0</v>
      </c>
      <c r="AE109" s="346">
        <f t="shared" si="83"/>
        <v>0</v>
      </c>
      <c r="AF109" s="346">
        <f t="shared" si="84"/>
        <v>0</v>
      </c>
    </row>
    <row r="110" spans="1:59">
      <c r="A110" s="79" t="str">
        <f>'G-1 All Habitats'!B110</f>
        <v>Rocky shore - Features of littoral rock</v>
      </c>
      <c r="B110" s="68" t="str">
        <f>'G-1 All Habitats'!F110</f>
        <v>Rocky shore</v>
      </c>
      <c r="C110" s="68" t="str">
        <f>'G-1 All Habitats'!K110</f>
        <v>High</v>
      </c>
      <c r="D110" s="68" t="str">
        <f>'G-1 All Habitats'!M110</f>
        <v>Same habitat required =</v>
      </c>
      <c r="E110" s="346">
        <f>IF(C110="V.High",SUMIF('A-1 On-Site Habitat Baseline'!$G$11:$G$258,'G-2 Habitat groups'!A110,'A-1 On-Site Habitat Baseline'!$S$11:$S$258)+SUMIF('A-1 On-Site Habitat Baseline'!$G$11:$G$258,'G-2 Habitat groups'!A110,'A-1 On-Site Habitat Baseline'!$T$11:$T$258),SUMIF('A-1 On-Site Habitat Baseline'!$G$11:$G$258,'G-2 Habitat groups'!A110,'A-1 On-Site Habitat Baseline'!$H$11:$H$258))</f>
        <v>0</v>
      </c>
      <c r="F110" s="346">
        <f>SUMIF('A-1 On-Site Habitat Baseline'!$G$11:$G$258,'G-2 Habitat groups'!A110,'A-1 On-Site Habitat Baseline'!$Q$11:$Q$258)</f>
        <v>0</v>
      </c>
      <c r="G110" s="346">
        <f>SUMIF('A-1 On-Site Habitat Baseline'!$G$11:$G$258,'G-2 Habitat groups'!A110,'A-1 On-Site Habitat Baseline'!$S$11:$S$258)</f>
        <v>0</v>
      </c>
      <c r="H110" s="346">
        <f>SUMIF('A-1 On-Site Habitat Baseline'!$G$11:$G$258,'G-2 Habitat groups'!A110,'A-1 On-Site Habitat Baseline'!$U$11:$U$258)</f>
        <v>0</v>
      </c>
      <c r="I110" s="346">
        <f>SUMIF('A-1 On-Site Habitat Baseline'!$G$11:$G$258,'G-2 Habitat groups'!A110,'A-1 On-Site Habitat Baseline'!$W$11:$W$258)</f>
        <v>0</v>
      </c>
      <c r="J110" s="346">
        <f>SUMIF('A-1 On-Site Habitat Baseline'!$G$11:$G$258,'G-2 Habitat groups'!A110,'A-1 On-Site Habitat Baseline'!$X$11:$X$258)</f>
        <v>0</v>
      </c>
      <c r="K110" s="346">
        <f>SUMIF('A-2 On-Site Habitat Creation'!$F$11:$F$256,'G-2 Habitat groups'!A110,'A-2 On-Site Habitat Creation'!$G$11:$G$256)</f>
        <v>0</v>
      </c>
      <c r="L110" s="346">
        <f>SUMIF('A-2 On-Site Habitat Creation'!$F$11:$F$256,'G-2 Habitat groups'!A110,'A-2 On-Site Habitat Creation'!$Y$11:$Y$256)</f>
        <v>0</v>
      </c>
      <c r="M110" s="346">
        <f>SUMIF('A-3 On-Site Habitat Enhancement'!$S$12:$S$257,'G-2 Habitat groups'!A110,'A-3 On-Site Habitat Enhancement'!$V$12:$V$257)</f>
        <v>0</v>
      </c>
      <c r="N110" s="346">
        <f>SUMIF('A-3 On-Site Habitat Enhancement'!$S$12:$S$257,'G-2 Habitat groups'!A110,'A-3 On-Site Habitat Enhancement'!$AN$12:$AN$257)</f>
        <v>0</v>
      </c>
      <c r="O110" s="346">
        <f t="shared" si="75"/>
        <v>0</v>
      </c>
      <c r="P110" s="346">
        <f t="shared" si="76"/>
        <v>0</v>
      </c>
      <c r="Q110" s="346">
        <f t="shared" si="77"/>
        <v>0</v>
      </c>
      <c r="R110" s="346">
        <f t="shared" si="78"/>
        <v>0</v>
      </c>
      <c r="S110" s="346">
        <f>IF(C110="V.High",SUMIF('D-1 Off-Site Habitat Baseline'!$G$11:$G$258,'G-2 Habitat groups'!A110,'D-1 Off-Site Habitat Baseline'!$V$11:$V$258)+SUMIF('D-1 Off-Site Habitat Baseline'!$G$11:$G$258,'G-2 Habitat groups'!A110,'D-1 Off-Site Habitat Baseline'!$W$11:$W$258),SUMIF('D-1 Off-Site Habitat Baseline'!$G$11:$G$258,'G-2 Habitat groups'!A110,'D-1 Off-Site Habitat Baseline'!$H$11:$H$258))</f>
        <v>0</v>
      </c>
      <c r="T110" s="346">
        <f>SUMIF('D-1 Off-Site Habitat Baseline'!$G$11:$G$258,'G-2 Habitat groups'!A110,'D-1 Off-Site Habitat Baseline'!$T$11:$T$258)</f>
        <v>0</v>
      </c>
      <c r="U110" s="346">
        <f>SUMIF('D-1 Off-Site Habitat Baseline'!$G$11:$G$258,'G-2 Habitat groups'!A110,'D-1 Off-Site Habitat Baseline'!$V$11:$V$258)</f>
        <v>0</v>
      </c>
      <c r="V110" s="346">
        <f>SUMIF('D-1 Off-Site Habitat Baseline'!$G$11:$G$258,'G-2 Habitat groups'!A110,'D-1 Off-Site Habitat Baseline'!$X$11:$X$258)</f>
        <v>0</v>
      </c>
      <c r="W110" s="346">
        <f>SUMIF('D-2 Off-Site Habitat Creation'!$F$9:$F$255,'G-2 Habitat groups'!A110,'D-2 Off-Site Habitat Creation'!$G$9:$G$255)</f>
        <v>0</v>
      </c>
      <c r="X110" s="346">
        <f>SUMIF('D-2 Off-Site Habitat Creation'!$F$9:$F$255,'G-2 Habitat groups'!A110,'D-2 Off-Site Habitat Creation'!$AB$9:$AB$255)</f>
        <v>0</v>
      </c>
      <c r="Y110" s="346">
        <f>SUMIF('D-3 Off-Site Habitat Enhancment'!$S$12:$S$491,'G-2 Habitat groups'!A110,'D-3 Off-Site Habitat Enhancment'!$V$12:$V$491)</f>
        <v>0</v>
      </c>
      <c r="Z110" s="346">
        <f>SUMIF('D-3 Off-Site Habitat Enhancment'!$S$12:$S$491,'G-2 Habitat groups'!A110,'D-3 Off-Site Habitat Enhancment'!$AQ$12:$AQ$491)</f>
        <v>0</v>
      </c>
      <c r="AA110" s="346">
        <f t="shared" si="79"/>
        <v>0</v>
      </c>
      <c r="AB110" s="346">
        <f t="shared" si="80"/>
        <v>0</v>
      </c>
      <c r="AC110" s="346">
        <f t="shared" si="81"/>
        <v>0</v>
      </c>
      <c r="AD110" s="346">
        <f t="shared" si="82"/>
        <v>0</v>
      </c>
      <c r="AE110" s="346">
        <f t="shared" si="83"/>
        <v>0</v>
      </c>
      <c r="AF110" s="346">
        <f t="shared" si="84"/>
        <v>0</v>
      </c>
    </row>
    <row r="111" spans="1:59" ht="34.5">
      <c r="A111" s="79" t="str">
        <f>'G-1 All Habitats'!B111</f>
        <v>Rocky shore - Features of littoral rock - on peat, clay or chalk</v>
      </c>
      <c r="B111" s="68" t="str">
        <f>'G-1 All Habitats'!F111</f>
        <v>Rocky shore</v>
      </c>
      <c r="C111" s="68" t="str">
        <f>'G-1 All Habitats'!K111</f>
        <v>V.High</v>
      </c>
      <c r="D111" s="68" t="str">
        <f>'G-1 All Habitats'!M111</f>
        <v>Bespoke compensation likely to be required 🛠</v>
      </c>
      <c r="E111" s="346">
        <f>IF(C111="V.High",SUMIF('A-1 On-Site Habitat Baseline'!$G$11:$G$258,'G-2 Habitat groups'!A111,'A-1 On-Site Habitat Baseline'!$S$11:$S$258)+SUMIF('A-1 On-Site Habitat Baseline'!$G$11:$G$258,'G-2 Habitat groups'!A111,'A-1 On-Site Habitat Baseline'!$T$11:$T$258),SUMIF('A-1 On-Site Habitat Baseline'!$G$11:$G$258,'G-2 Habitat groups'!A111,'A-1 On-Site Habitat Baseline'!$H$11:$H$258))</f>
        <v>0</v>
      </c>
      <c r="F111" s="346">
        <f>SUMIF('A-1 On-Site Habitat Baseline'!$G$11:$G$258,'G-2 Habitat groups'!A111,'A-1 On-Site Habitat Baseline'!$Q$11:$Q$258)</f>
        <v>0</v>
      </c>
      <c r="G111" s="346">
        <f>SUMIF('A-1 On-Site Habitat Baseline'!$G$11:$G$258,'G-2 Habitat groups'!A111,'A-1 On-Site Habitat Baseline'!$S$11:$S$258)</f>
        <v>0</v>
      </c>
      <c r="H111" s="346">
        <f>SUMIF('A-1 On-Site Habitat Baseline'!$G$11:$G$258,'G-2 Habitat groups'!A111,'A-1 On-Site Habitat Baseline'!$U$11:$U$258)</f>
        <v>0</v>
      </c>
      <c r="I111" s="346">
        <f>SUMIF('A-1 On-Site Habitat Baseline'!$G$11:$G$258,'G-2 Habitat groups'!A111,'A-1 On-Site Habitat Baseline'!$W$11:$W$258)</f>
        <v>0</v>
      </c>
      <c r="J111" s="346">
        <f>SUMIF('A-1 On-Site Habitat Baseline'!$G$11:$G$258,'G-2 Habitat groups'!A111,'A-1 On-Site Habitat Baseline'!$X$11:$X$258)</f>
        <v>0</v>
      </c>
      <c r="K111" s="346">
        <f>SUMIF('A-2 On-Site Habitat Creation'!$F$11:$F$256,'G-2 Habitat groups'!A111,'A-2 On-Site Habitat Creation'!$G$11:$G$256)</f>
        <v>0</v>
      </c>
      <c r="L111" s="346">
        <f>SUMIF('A-2 On-Site Habitat Creation'!$F$11:$F$256,'G-2 Habitat groups'!A111,'A-2 On-Site Habitat Creation'!$Y$11:$Y$256)</f>
        <v>0</v>
      </c>
      <c r="M111" s="346">
        <f>SUMIF('A-3 On-Site Habitat Enhancement'!$S$12:$S$257,'G-2 Habitat groups'!A111,'A-3 On-Site Habitat Enhancement'!$V$12:$V$257)</f>
        <v>0</v>
      </c>
      <c r="N111" s="346">
        <f>SUMIF('A-3 On-Site Habitat Enhancement'!$S$12:$S$257,'G-2 Habitat groups'!A111,'A-3 On-Site Habitat Enhancement'!$AN$12:$AN$257)</f>
        <v>0</v>
      </c>
      <c r="O111" s="346">
        <f t="shared" si="75"/>
        <v>0</v>
      </c>
      <c r="P111" s="346">
        <f t="shared" si="76"/>
        <v>0</v>
      </c>
      <c r="Q111" s="346">
        <f t="shared" si="77"/>
        <v>0</v>
      </c>
      <c r="R111" s="346">
        <f t="shared" si="78"/>
        <v>0</v>
      </c>
      <c r="S111" s="346">
        <f>IF(C111="V.High",SUMIF('D-1 Off-Site Habitat Baseline'!$G$11:$G$258,'G-2 Habitat groups'!A111,'D-1 Off-Site Habitat Baseline'!$V$11:$V$258)+SUMIF('D-1 Off-Site Habitat Baseline'!$G$11:$G$258,'G-2 Habitat groups'!A111,'D-1 Off-Site Habitat Baseline'!$W$11:$W$258),SUMIF('D-1 Off-Site Habitat Baseline'!$G$11:$G$258,'G-2 Habitat groups'!A111,'D-1 Off-Site Habitat Baseline'!$H$11:$H$258))</f>
        <v>0</v>
      </c>
      <c r="T111" s="346">
        <f>SUMIF('D-1 Off-Site Habitat Baseline'!$G$11:$G$258,'G-2 Habitat groups'!A111,'D-1 Off-Site Habitat Baseline'!$T$11:$T$258)</f>
        <v>0</v>
      </c>
      <c r="U111" s="346">
        <f>SUMIF('D-1 Off-Site Habitat Baseline'!$G$11:$G$258,'G-2 Habitat groups'!A111,'D-1 Off-Site Habitat Baseline'!$V$11:$V$258)</f>
        <v>0</v>
      </c>
      <c r="V111" s="346">
        <f>SUMIF('D-1 Off-Site Habitat Baseline'!$G$11:$G$258,'G-2 Habitat groups'!A111,'D-1 Off-Site Habitat Baseline'!$X$11:$X$258)</f>
        <v>0</v>
      </c>
      <c r="W111" s="346">
        <f>SUMIF('D-2 Off-Site Habitat Creation'!$F$9:$F$255,'G-2 Habitat groups'!A111,'D-2 Off-Site Habitat Creation'!$G$9:$G$255)</f>
        <v>0</v>
      </c>
      <c r="X111" s="346">
        <f>SUMIF('D-2 Off-Site Habitat Creation'!$F$9:$F$255,'G-2 Habitat groups'!A111,'D-2 Off-Site Habitat Creation'!$AB$9:$AB$255)</f>
        <v>0</v>
      </c>
      <c r="Y111" s="346">
        <f>SUMIF('D-3 Off-Site Habitat Enhancment'!$S$12:$S$491,'G-2 Habitat groups'!A111,'D-3 Off-Site Habitat Enhancment'!$V$12:$V$491)</f>
        <v>0</v>
      </c>
      <c r="Z111" s="346">
        <f>SUMIF('D-3 Off-Site Habitat Enhancment'!$S$12:$S$491,'G-2 Habitat groups'!A111,'D-3 Off-Site Habitat Enhancment'!$AQ$12:$AQ$491)</f>
        <v>0</v>
      </c>
      <c r="AA111" s="346">
        <f t="shared" si="79"/>
        <v>0</v>
      </c>
      <c r="AB111" s="346">
        <f t="shared" si="80"/>
        <v>0</v>
      </c>
      <c r="AC111" s="346">
        <f t="shared" si="81"/>
        <v>0</v>
      </c>
      <c r="AD111" s="346">
        <f t="shared" si="82"/>
        <v>0</v>
      </c>
      <c r="AE111" s="346">
        <f t="shared" si="83"/>
        <v>0</v>
      </c>
      <c r="AF111" s="346">
        <f t="shared" si="84"/>
        <v>0</v>
      </c>
      <c r="AU111" s="283" t="s">
        <v>216</v>
      </c>
    </row>
    <row r="112" spans="1:59" ht="33" customHeight="1">
      <c r="A112" s="79" t="str">
        <f>'G-1 All Habitats'!B114</f>
        <v>Intertidal sediment - Littoral coarse sediment</v>
      </c>
      <c r="B112" s="68" t="str">
        <f>'G-1 All Habitats'!F114</f>
        <v>Intertidal sediment</v>
      </c>
      <c r="C112" s="68" t="str">
        <f>'G-1 All Habitats'!K114</f>
        <v>Medium</v>
      </c>
      <c r="D112" s="68" t="str">
        <f>'G-1 All Habitats'!M114</f>
        <v>Same broad habitat or a higher distinctiveness habitat required (≥)</v>
      </c>
      <c r="E112" s="346">
        <f>IF(C112="V.High",SUMIF('A-1 On-Site Habitat Baseline'!$G$11:$G$258,'G-2 Habitat groups'!A112,'A-1 On-Site Habitat Baseline'!$S$11:$S$258)+SUMIF('A-1 On-Site Habitat Baseline'!$G$11:$G$258,'G-2 Habitat groups'!A112,'A-1 On-Site Habitat Baseline'!$T$11:$T$258),SUMIF('A-1 On-Site Habitat Baseline'!$G$11:$G$258,'G-2 Habitat groups'!A112,'A-1 On-Site Habitat Baseline'!$H$11:$H$258))</f>
        <v>0</v>
      </c>
      <c r="F112" s="346">
        <f>SUMIF('A-1 On-Site Habitat Baseline'!$G$11:$G$258,'G-2 Habitat groups'!A112,'A-1 On-Site Habitat Baseline'!$Q$11:$Q$258)</f>
        <v>0</v>
      </c>
      <c r="G112" s="346">
        <f>SUMIF('A-1 On-Site Habitat Baseline'!$G$11:$G$258,'G-2 Habitat groups'!A112,'A-1 On-Site Habitat Baseline'!$S$11:$S$258)</f>
        <v>0</v>
      </c>
      <c r="H112" s="346">
        <f>SUMIF('A-1 On-Site Habitat Baseline'!$G$11:$G$258,'G-2 Habitat groups'!A112,'A-1 On-Site Habitat Baseline'!$U$11:$U$258)</f>
        <v>0</v>
      </c>
      <c r="I112" s="346">
        <f>SUMIF('A-1 On-Site Habitat Baseline'!$G$11:$G$258,'G-2 Habitat groups'!A112,'A-1 On-Site Habitat Baseline'!$W$11:$W$258)</f>
        <v>0</v>
      </c>
      <c r="J112" s="346">
        <f>SUMIF('A-1 On-Site Habitat Baseline'!$G$11:$G$258,'G-2 Habitat groups'!A112,'A-1 On-Site Habitat Baseline'!$X$11:$X$258)</f>
        <v>0</v>
      </c>
      <c r="K112" s="346">
        <f>SUMIF('A-2 On-Site Habitat Creation'!$F$11:$F$256,'G-2 Habitat groups'!A112,'A-2 On-Site Habitat Creation'!$G$11:$G$256)</f>
        <v>0</v>
      </c>
      <c r="L112" s="346">
        <f>SUMIF('A-2 On-Site Habitat Creation'!$F$11:$F$256,'G-2 Habitat groups'!A112,'A-2 On-Site Habitat Creation'!$Y$11:$Y$256)</f>
        <v>0</v>
      </c>
      <c r="M112" s="346">
        <f>SUMIF('A-3 On-Site Habitat Enhancement'!$S$12:$S$257,'G-2 Habitat groups'!A112,'A-3 On-Site Habitat Enhancement'!$V$12:$V$257)</f>
        <v>0</v>
      </c>
      <c r="N112" s="346">
        <f>SUMIF('A-3 On-Site Habitat Enhancement'!$S$12:$S$257,'G-2 Habitat groups'!A112,'A-3 On-Site Habitat Enhancement'!$AN$12:$AN$257)</f>
        <v>0</v>
      </c>
      <c r="O112" s="346">
        <f t="shared" si="75"/>
        <v>0</v>
      </c>
      <c r="P112" s="346">
        <f t="shared" si="76"/>
        <v>0</v>
      </c>
      <c r="Q112" s="346">
        <f t="shared" si="77"/>
        <v>0</v>
      </c>
      <c r="R112" s="346">
        <f t="shared" si="78"/>
        <v>0</v>
      </c>
      <c r="S112" s="346">
        <f>IF(C112="V.High",SUMIF('D-1 Off-Site Habitat Baseline'!$G$11:$G$258,'G-2 Habitat groups'!A112,'D-1 Off-Site Habitat Baseline'!$V$11:$V$258)+SUMIF('D-1 Off-Site Habitat Baseline'!$G$11:$G$258,'G-2 Habitat groups'!A112,'D-1 Off-Site Habitat Baseline'!$W$11:$W$258),SUMIF('D-1 Off-Site Habitat Baseline'!$G$11:$G$258,'G-2 Habitat groups'!A112,'D-1 Off-Site Habitat Baseline'!$H$11:$H$258))</f>
        <v>0</v>
      </c>
      <c r="T112" s="346">
        <f>SUMIF('D-1 Off-Site Habitat Baseline'!$G$11:$G$258,'G-2 Habitat groups'!A112,'D-1 Off-Site Habitat Baseline'!$T$11:$T$258)</f>
        <v>0</v>
      </c>
      <c r="U112" s="346">
        <f>SUMIF('D-1 Off-Site Habitat Baseline'!$G$11:$G$258,'G-2 Habitat groups'!A112,'D-1 Off-Site Habitat Baseline'!$V$11:$V$258)</f>
        <v>0</v>
      </c>
      <c r="V112" s="346">
        <f>SUMIF('D-1 Off-Site Habitat Baseline'!$G$11:$G$258,'G-2 Habitat groups'!A112,'D-1 Off-Site Habitat Baseline'!$X$11:$X$258)</f>
        <v>0</v>
      </c>
      <c r="W112" s="346">
        <f>SUMIF('D-2 Off-Site Habitat Creation'!$F$9:$F$255,'G-2 Habitat groups'!A112,'D-2 Off-Site Habitat Creation'!$G$9:$G$255)</f>
        <v>0</v>
      </c>
      <c r="X112" s="346">
        <f>SUMIF('D-2 Off-Site Habitat Creation'!$F$9:$F$255,'G-2 Habitat groups'!A112,'D-2 Off-Site Habitat Creation'!$AB$9:$AB$255)</f>
        <v>0</v>
      </c>
      <c r="Y112" s="346">
        <f>SUMIF('D-3 Off-Site Habitat Enhancment'!$S$12:$S$491,'G-2 Habitat groups'!A112,'D-3 Off-Site Habitat Enhancment'!$V$12:$V$491)</f>
        <v>0</v>
      </c>
      <c r="Z112" s="346">
        <f>SUMIF('D-3 Off-Site Habitat Enhancment'!$S$12:$S$491,'G-2 Habitat groups'!A112,'D-3 Off-Site Habitat Enhancment'!$AQ$12:$AQ$491)</f>
        <v>0</v>
      </c>
      <c r="AA112" s="346">
        <f t="shared" si="79"/>
        <v>0</v>
      </c>
      <c r="AB112" s="346">
        <f t="shared" si="80"/>
        <v>0</v>
      </c>
      <c r="AC112" s="346">
        <f t="shared" si="81"/>
        <v>0</v>
      </c>
      <c r="AD112" s="346">
        <f t="shared" si="82"/>
        <v>0</v>
      </c>
      <c r="AE112" s="346">
        <f t="shared" si="83"/>
        <v>0</v>
      </c>
      <c r="AF112" s="346">
        <f t="shared" si="84"/>
        <v>0</v>
      </c>
      <c r="AU112" s="94" t="s">
        <v>968</v>
      </c>
      <c r="AV112" s="97" t="s">
        <v>220</v>
      </c>
      <c r="AW112" s="98" t="s">
        <v>969</v>
      </c>
      <c r="AX112" s="98" t="s">
        <v>970</v>
      </c>
      <c r="AY112" s="98" t="s">
        <v>971</v>
      </c>
      <c r="AZ112" s="98" t="s">
        <v>972</v>
      </c>
      <c r="BA112" s="98" t="s">
        <v>973</v>
      </c>
      <c r="BB112" s="98" t="s">
        <v>974</v>
      </c>
      <c r="BC112" s="98" t="s">
        <v>975</v>
      </c>
      <c r="BD112" s="98" t="s">
        <v>976</v>
      </c>
      <c r="BE112" s="98" t="s">
        <v>977</v>
      </c>
      <c r="BF112" s="98" t="s">
        <v>988</v>
      </c>
      <c r="BG112" s="31"/>
    </row>
    <row r="113" spans="1:58">
      <c r="A113" s="79" t="str">
        <f>'G-1 All Habitats'!B115</f>
        <v>Intertidal sediment - Littoral mud</v>
      </c>
      <c r="B113" s="68" t="str">
        <f>'G-1 All Habitats'!F115</f>
        <v>Intertidal sediment</v>
      </c>
      <c r="C113" s="68" t="str">
        <f>'G-1 All Habitats'!K115</f>
        <v>High</v>
      </c>
      <c r="D113" s="68" t="str">
        <f>'G-1 All Habitats'!M115</f>
        <v>Same habitat required =</v>
      </c>
      <c r="E113" s="346">
        <f>IF(C113="V.High",SUMIF('A-1 On-Site Habitat Baseline'!$G$11:$G$258,'G-2 Habitat groups'!A113,'A-1 On-Site Habitat Baseline'!$S$11:$S$258)+SUMIF('A-1 On-Site Habitat Baseline'!$G$11:$G$258,'G-2 Habitat groups'!A113,'A-1 On-Site Habitat Baseline'!$T$11:$T$258),SUMIF('A-1 On-Site Habitat Baseline'!$G$11:$G$258,'G-2 Habitat groups'!A113,'A-1 On-Site Habitat Baseline'!$H$11:$H$258))</f>
        <v>0</v>
      </c>
      <c r="F113" s="346">
        <f>SUMIF('A-1 On-Site Habitat Baseline'!$G$11:$G$258,'G-2 Habitat groups'!A113,'A-1 On-Site Habitat Baseline'!$Q$11:$Q$258)</f>
        <v>0</v>
      </c>
      <c r="G113" s="346">
        <f>SUMIF('A-1 On-Site Habitat Baseline'!$G$11:$G$258,'G-2 Habitat groups'!A113,'A-1 On-Site Habitat Baseline'!$S$11:$S$258)</f>
        <v>0</v>
      </c>
      <c r="H113" s="346">
        <f>SUMIF('A-1 On-Site Habitat Baseline'!$G$11:$G$258,'G-2 Habitat groups'!A113,'A-1 On-Site Habitat Baseline'!$U$11:$U$258)</f>
        <v>0</v>
      </c>
      <c r="I113" s="346">
        <f>SUMIF('A-1 On-Site Habitat Baseline'!$G$11:$G$258,'G-2 Habitat groups'!A113,'A-1 On-Site Habitat Baseline'!$W$11:$W$258)</f>
        <v>0</v>
      </c>
      <c r="J113" s="346">
        <f>SUMIF('A-1 On-Site Habitat Baseline'!$G$11:$G$258,'G-2 Habitat groups'!A113,'A-1 On-Site Habitat Baseline'!$X$11:$X$258)</f>
        <v>0</v>
      </c>
      <c r="K113" s="346">
        <f>SUMIF('A-2 On-Site Habitat Creation'!$F$11:$F$256,'G-2 Habitat groups'!A113,'A-2 On-Site Habitat Creation'!$G$11:$G$256)</f>
        <v>0</v>
      </c>
      <c r="L113" s="346">
        <f>SUMIF('A-2 On-Site Habitat Creation'!$F$11:$F$256,'G-2 Habitat groups'!A113,'A-2 On-Site Habitat Creation'!$Y$11:$Y$256)</f>
        <v>0</v>
      </c>
      <c r="M113" s="346">
        <f>SUMIF('A-3 On-Site Habitat Enhancement'!$S$12:$S$257,'G-2 Habitat groups'!A113,'A-3 On-Site Habitat Enhancement'!$V$12:$V$257)</f>
        <v>0</v>
      </c>
      <c r="N113" s="346">
        <f>SUMIF('A-3 On-Site Habitat Enhancement'!$S$12:$S$257,'G-2 Habitat groups'!A113,'A-3 On-Site Habitat Enhancement'!$AN$12:$AN$257)</f>
        <v>0</v>
      </c>
      <c r="O113" s="346">
        <f t="shared" si="75"/>
        <v>0</v>
      </c>
      <c r="P113" s="346">
        <f t="shared" si="76"/>
        <v>0</v>
      </c>
      <c r="Q113" s="346">
        <f t="shared" si="77"/>
        <v>0</v>
      </c>
      <c r="R113" s="346">
        <f t="shared" si="78"/>
        <v>0</v>
      </c>
      <c r="S113" s="346">
        <f>IF(C113="V.High",SUMIF('D-1 Off-Site Habitat Baseline'!$G$11:$G$258,'G-2 Habitat groups'!A113,'D-1 Off-Site Habitat Baseline'!$V$11:$V$258)+SUMIF('D-1 Off-Site Habitat Baseline'!$G$11:$G$258,'G-2 Habitat groups'!A113,'D-1 Off-Site Habitat Baseline'!$W$11:$W$258),SUMIF('D-1 Off-Site Habitat Baseline'!$G$11:$G$258,'G-2 Habitat groups'!A113,'D-1 Off-Site Habitat Baseline'!$H$11:$H$258))</f>
        <v>0</v>
      </c>
      <c r="T113" s="346">
        <f>SUMIF('D-1 Off-Site Habitat Baseline'!$G$11:$G$258,'G-2 Habitat groups'!A113,'D-1 Off-Site Habitat Baseline'!$T$11:$T$258)</f>
        <v>0</v>
      </c>
      <c r="U113" s="346">
        <f>SUMIF('D-1 Off-Site Habitat Baseline'!$G$11:$G$258,'G-2 Habitat groups'!A113,'D-1 Off-Site Habitat Baseline'!$V$11:$V$258)</f>
        <v>0</v>
      </c>
      <c r="V113" s="346">
        <f>SUMIF('D-1 Off-Site Habitat Baseline'!$G$11:$G$258,'G-2 Habitat groups'!A113,'D-1 Off-Site Habitat Baseline'!$X$11:$X$258)</f>
        <v>0</v>
      </c>
      <c r="W113" s="346">
        <f>SUMIF('D-2 Off-Site Habitat Creation'!$F$9:$F$255,'G-2 Habitat groups'!A113,'D-2 Off-Site Habitat Creation'!$G$9:$G$255)</f>
        <v>0</v>
      </c>
      <c r="X113" s="346">
        <f>SUMIF('D-2 Off-Site Habitat Creation'!$F$9:$F$255,'G-2 Habitat groups'!A113,'D-2 Off-Site Habitat Creation'!$AB$9:$AB$255)</f>
        <v>0</v>
      </c>
      <c r="Y113" s="346">
        <f>SUMIF('D-3 Off-Site Habitat Enhancment'!$S$12:$S$491,'G-2 Habitat groups'!A113,'D-3 Off-Site Habitat Enhancment'!$V$12:$V$491)</f>
        <v>0</v>
      </c>
      <c r="Z113" s="346">
        <f>SUMIF('D-3 Off-Site Habitat Enhancment'!$S$12:$S$491,'G-2 Habitat groups'!A113,'D-3 Off-Site Habitat Enhancment'!$AQ$12:$AQ$491)</f>
        <v>0</v>
      </c>
      <c r="AA113" s="346">
        <f t="shared" si="79"/>
        <v>0</v>
      </c>
      <c r="AB113" s="346">
        <f t="shared" si="80"/>
        <v>0</v>
      </c>
      <c r="AC113" s="346">
        <f t="shared" si="81"/>
        <v>0</v>
      </c>
      <c r="AD113" s="346">
        <f t="shared" si="82"/>
        <v>0</v>
      </c>
      <c r="AE113" s="346">
        <f t="shared" si="83"/>
        <v>0</v>
      </c>
      <c r="AF113" s="346">
        <f t="shared" si="84"/>
        <v>0</v>
      </c>
      <c r="AU113" s="79" t="s">
        <v>484</v>
      </c>
      <c r="AV113" s="68" t="s">
        <v>124</v>
      </c>
      <c r="AW113" s="358">
        <f t="shared" ref="AW113:AW121" si="87">VLOOKUP($AU113,AllHabsSummaryData,5,FALSE)</f>
        <v>0.58299999999999996</v>
      </c>
      <c r="AX113" s="358">
        <f>VLOOKUP($AU113,AllHabsSummaryData,10,FALSE)</f>
        <v>1.048</v>
      </c>
      <c r="AY113" s="358">
        <f>VLOOKUP($AU113,AllHabsSummaryData,15,FALSE)</f>
        <v>0.17499999999999999</v>
      </c>
      <c r="AZ113" s="358">
        <f>VLOOKUP($AU113,AllHabsSummaryData,16,FALSE)</f>
        <v>0.34187999999999996</v>
      </c>
      <c r="BA113" s="358">
        <f>VLOOKUP($AU113,AllHabsSummaryData,17,FALSE)</f>
        <v>-0.40799999999999997</v>
      </c>
      <c r="BB113" s="358">
        <f>VLOOKUP($AU113,AllHabsSummaryData,18,FALSE)</f>
        <v>-0.82411999999999996</v>
      </c>
      <c r="BC113" s="358">
        <f>VLOOKUP($AU113,AllHabsSummaryData,27,FALSE)</f>
        <v>0</v>
      </c>
      <c r="BD113" s="358">
        <f>VLOOKUP($AU113,AllHabsSummaryData,30,FALSE)</f>
        <v>0</v>
      </c>
      <c r="BE113" s="358">
        <f t="shared" ref="BE113:BE151" si="88">BB113+BD113</f>
        <v>-0.82411999999999996</v>
      </c>
      <c r="BF113" s="358">
        <f t="shared" ref="BF113:BF151" si="89">IF(BE113&lt;0,BE113,"")</f>
        <v>-0.82411999999999996</v>
      </c>
    </row>
    <row r="114" spans="1:58">
      <c r="A114" s="79" t="str">
        <f>'G-1 All Habitats'!B116</f>
        <v>Intertidal sediment - Littoral mixed sediments</v>
      </c>
      <c r="B114" s="68" t="str">
        <f>'G-1 All Habitats'!F116</f>
        <v>Intertidal sediment</v>
      </c>
      <c r="C114" s="68" t="str">
        <f>'G-1 All Habitats'!K116</f>
        <v>High</v>
      </c>
      <c r="D114" s="68" t="str">
        <f>'G-1 All Habitats'!M116</f>
        <v>Same habitat required =</v>
      </c>
      <c r="E114" s="346">
        <f>IF(C114="V.High",SUMIF('A-1 On-Site Habitat Baseline'!$G$11:$G$258,'G-2 Habitat groups'!A114,'A-1 On-Site Habitat Baseline'!$S$11:$S$258)+SUMIF('A-1 On-Site Habitat Baseline'!$G$11:$G$258,'G-2 Habitat groups'!A114,'A-1 On-Site Habitat Baseline'!$T$11:$T$258),SUMIF('A-1 On-Site Habitat Baseline'!$G$11:$G$258,'G-2 Habitat groups'!A114,'A-1 On-Site Habitat Baseline'!$H$11:$H$258))</f>
        <v>0</v>
      </c>
      <c r="F114" s="346">
        <f>SUMIF('A-1 On-Site Habitat Baseline'!$G$11:$G$258,'G-2 Habitat groups'!A114,'A-1 On-Site Habitat Baseline'!$Q$11:$Q$258)</f>
        <v>0</v>
      </c>
      <c r="G114" s="346">
        <f>SUMIF('A-1 On-Site Habitat Baseline'!$G$11:$G$258,'G-2 Habitat groups'!A114,'A-1 On-Site Habitat Baseline'!$S$11:$S$258)</f>
        <v>0</v>
      </c>
      <c r="H114" s="346">
        <f>SUMIF('A-1 On-Site Habitat Baseline'!$G$11:$G$258,'G-2 Habitat groups'!A114,'A-1 On-Site Habitat Baseline'!$U$11:$U$258)</f>
        <v>0</v>
      </c>
      <c r="I114" s="346">
        <f>SUMIF('A-1 On-Site Habitat Baseline'!$G$11:$G$258,'G-2 Habitat groups'!A114,'A-1 On-Site Habitat Baseline'!$W$11:$W$258)</f>
        <v>0</v>
      </c>
      <c r="J114" s="346">
        <f>SUMIF('A-1 On-Site Habitat Baseline'!$G$11:$G$258,'G-2 Habitat groups'!A114,'A-1 On-Site Habitat Baseline'!$X$11:$X$258)</f>
        <v>0</v>
      </c>
      <c r="K114" s="346">
        <f>SUMIF('A-2 On-Site Habitat Creation'!$F$11:$F$256,'G-2 Habitat groups'!A114,'A-2 On-Site Habitat Creation'!$G$11:$G$256)</f>
        <v>0</v>
      </c>
      <c r="L114" s="346">
        <f>SUMIF('A-2 On-Site Habitat Creation'!$F$11:$F$256,'G-2 Habitat groups'!A114,'A-2 On-Site Habitat Creation'!$Y$11:$Y$256)</f>
        <v>0</v>
      </c>
      <c r="M114" s="346">
        <f>SUMIF('A-3 On-Site Habitat Enhancement'!$S$12:$S$257,'G-2 Habitat groups'!A114,'A-3 On-Site Habitat Enhancement'!$V$12:$V$257)</f>
        <v>0</v>
      </c>
      <c r="N114" s="346">
        <f>SUMIF('A-3 On-Site Habitat Enhancement'!$S$12:$S$257,'G-2 Habitat groups'!A114,'A-3 On-Site Habitat Enhancement'!$AN$12:$AN$257)</f>
        <v>0</v>
      </c>
      <c r="O114" s="346">
        <f t="shared" si="75"/>
        <v>0</v>
      </c>
      <c r="P114" s="346">
        <f t="shared" si="76"/>
        <v>0</v>
      </c>
      <c r="Q114" s="346">
        <f t="shared" si="77"/>
        <v>0</v>
      </c>
      <c r="R114" s="346">
        <f t="shared" si="78"/>
        <v>0</v>
      </c>
      <c r="S114" s="346">
        <f>IF(C114="V.High",SUMIF('D-1 Off-Site Habitat Baseline'!$G$11:$G$258,'G-2 Habitat groups'!A114,'D-1 Off-Site Habitat Baseline'!$V$11:$V$258)+SUMIF('D-1 Off-Site Habitat Baseline'!$G$11:$G$258,'G-2 Habitat groups'!A114,'D-1 Off-Site Habitat Baseline'!$W$11:$W$258),SUMIF('D-1 Off-Site Habitat Baseline'!$G$11:$G$258,'G-2 Habitat groups'!A114,'D-1 Off-Site Habitat Baseline'!$H$11:$H$258))</f>
        <v>0</v>
      </c>
      <c r="T114" s="346">
        <f>SUMIF('D-1 Off-Site Habitat Baseline'!$G$11:$G$258,'G-2 Habitat groups'!A114,'D-1 Off-Site Habitat Baseline'!$T$11:$T$258)</f>
        <v>0</v>
      </c>
      <c r="U114" s="346">
        <f>SUMIF('D-1 Off-Site Habitat Baseline'!$G$11:$G$258,'G-2 Habitat groups'!A114,'D-1 Off-Site Habitat Baseline'!$V$11:$V$258)</f>
        <v>0</v>
      </c>
      <c r="V114" s="346">
        <f>SUMIF('D-1 Off-Site Habitat Baseline'!$G$11:$G$258,'G-2 Habitat groups'!A114,'D-1 Off-Site Habitat Baseline'!$X$11:$X$258)</f>
        <v>0</v>
      </c>
      <c r="W114" s="346">
        <f>SUMIF('D-2 Off-Site Habitat Creation'!$F$9:$F$255,'G-2 Habitat groups'!A114,'D-2 Off-Site Habitat Creation'!$G$9:$G$255)</f>
        <v>0</v>
      </c>
      <c r="X114" s="346">
        <f>SUMIF('D-2 Off-Site Habitat Creation'!$F$9:$F$255,'G-2 Habitat groups'!A114,'D-2 Off-Site Habitat Creation'!$AB$9:$AB$255)</f>
        <v>0</v>
      </c>
      <c r="Y114" s="346">
        <f>SUMIF('D-3 Off-Site Habitat Enhancment'!$S$12:$S$491,'G-2 Habitat groups'!A114,'D-3 Off-Site Habitat Enhancment'!$V$12:$V$491)</f>
        <v>0</v>
      </c>
      <c r="Z114" s="346">
        <f>SUMIF('D-3 Off-Site Habitat Enhancment'!$S$12:$S$491,'G-2 Habitat groups'!A114,'D-3 Off-Site Habitat Enhancment'!$AQ$12:$AQ$491)</f>
        <v>0</v>
      </c>
      <c r="AA114" s="346">
        <f t="shared" si="79"/>
        <v>0</v>
      </c>
      <c r="AB114" s="346">
        <f t="shared" si="80"/>
        <v>0</v>
      </c>
      <c r="AC114" s="346">
        <f t="shared" si="81"/>
        <v>0</v>
      </c>
      <c r="AD114" s="346">
        <f t="shared" si="82"/>
        <v>0</v>
      </c>
      <c r="AE114" s="346">
        <f t="shared" si="83"/>
        <v>0</v>
      </c>
      <c r="AF114" s="346">
        <f t="shared" si="84"/>
        <v>0</v>
      </c>
      <c r="AU114" s="79" t="s">
        <v>494</v>
      </c>
      <c r="AV114" s="68" t="s">
        <v>124</v>
      </c>
      <c r="AW114" s="358">
        <f t="shared" si="87"/>
        <v>0</v>
      </c>
      <c r="AX114" s="358">
        <f t="shared" ref="AX114:AX151" si="90">VLOOKUP($AU114,AllHabsSummaryData,10,FALSE)</f>
        <v>0</v>
      </c>
      <c r="AY114" s="358">
        <f t="shared" ref="AY114:AY151" si="91">VLOOKUP($AU114,AllHabsSummaryData,15,FALSE)</f>
        <v>0</v>
      </c>
      <c r="AZ114" s="358">
        <f t="shared" ref="AZ114:AZ151" si="92">VLOOKUP($AU114,AllHabsSummaryData,16,FALSE)</f>
        <v>0</v>
      </c>
      <c r="BA114" s="358">
        <f t="shared" ref="BA114:BA151" si="93">VLOOKUP($AU114,AllHabsSummaryData,17,FALSE)</f>
        <v>0</v>
      </c>
      <c r="BB114" s="358">
        <f t="shared" ref="BB114:BB151" si="94">VLOOKUP($AU114,AllHabsSummaryData,18,FALSE)</f>
        <v>0</v>
      </c>
      <c r="BC114" s="358">
        <f t="shared" ref="BC114:BC151" si="95">VLOOKUP($AU114,AllHabsSummaryData,27,FALSE)</f>
        <v>0</v>
      </c>
      <c r="BD114" s="358">
        <f t="shared" ref="BD114:BD151" si="96">VLOOKUP($AU114,AllHabsSummaryData,30,FALSE)</f>
        <v>0</v>
      </c>
      <c r="BE114" s="358">
        <f t="shared" si="88"/>
        <v>0</v>
      </c>
      <c r="BF114" s="358" t="str">
        <f t="shared" si="89"/>
        <v/>
      </c>
    </row>
    <row r="115" spans="1:58">
      <c r="A115" s="79" t="str">
        <f>'G-1 All Habitats'!B112</f>
        <v>Coastal saltmarsh - Saltmarshes and saline reedbeds</v>
      </c>
      <c r="B115" s="68" t="str">
        <f>'G-1 All Habitats'!F112</f>
        <v>Coastal saltmarsh</v>
      </c>
      <c r="C115" s="68" t="str">
        <f>'G-1 All Habitats'!K112</f>
        <v>High</v>
      </c>
      <c r="D115" s="68" t="str">
        <f>'G-1 All Habitats'!M112</f>
        <v>Same habitat required =</v>
      </c>
      <c r="E115" s="346">
        <f>IF(C115="V.High",SUMIF('A-1 On-Site Habitat Baseline'!$G$11:$G$258,'G-2 Habitat groups'!A115,'A-1 On-Site Habitat Baseline'!$S$11:$S$258)+SUMIF('A-1 On-Site Habitat Baseline'!$G$11:$G$258,'G-2 Habitat groups'!A115,'A-1 On-Site Habitat Baseline'!$T$11:$T$258),SUMIF('A-1 On-Site Habitat Baseline'!$G$11:$G$258,'G-2 Habitat groups'!A115,'A-1 On-Site Habitat Baseline'!$H$11:$H$258))</f>
        <v>0</v>
      </c>
      <c r="F115" s="346">
        <f>SUMIF('A-1 On-Site Habitat Baseline'!$G$11:$G$258,'G-2 Habitat groups'!A115,'A-1 On-Site Habitat Baseline'!$Q$11:$Q$258)</f>
        <v>0</v>
      </c>
      <c r="G115" s="346">
        <f>SUMIF('A-1 On-Site Habitat Baseline'!$G$11:$G$258,'G-2 Habitat groups'!A115,'A-1 On-Site Habitat Baseline'!$S$11:$S$258)</f>
        <v>0</v>
      </c>
      <c r="H115" s="346">
        <f>SUMIF('A-1 On-Site Habitat Baseline'!$G$11:$G$258,'G-2 Habitat groups'!A115,'A-1 On-Site Habitat Baseline'!$U$11:$U$258)</f>
        <v>0</v>
      </c>
      <c r="I115" s="346">
        <f>SUMIF('A-1 On-Site Habitat Baseline'!$G$11:$G$258,'G-2 Habitat groups'!A115,'A-1 On-Site Habitat Baseline'!$W$11:$W$258)</f>
        <v>0</v>
      </c>
      <c r="J115" s="346">
        <f>SUMIF('A-1 On-Site Habitat Baseline'!$G$11:$G$258,'G-2 Habitat groups'!A115,'A-1 On-Site Habitat Baseline'!$X$11:$X$258)</f>
        <v>0</v>
      </c>
      <c r="K115" s="346">
        <f>SUMIF('A-2 On-Site Habitat Creation'!$F$11:$F$256,'G-2 Habitat groups'!A115,'A-2 On-Site Habitat Creation'!$G$11:$G$256)</f>
        <v>0</v>
      </c>
      <c r="L115" s="346">
        <f>SUMIF('A-2 On-Site Habitat Creation'!$F$11:$F$256,'G-2 Habitat groups'!A115,'A-2 On-Site Habitat Creation'!$Y$11:$Y$256)</f>
        <v>0</v>
      </c>
      <c r="M115" s="346">
        <f>SUMIF('A-3 On-Site Habitat Enhancement'!$S$12:$S$257,'G-2 Habitat groups'!A115,'A-3 On-Site Habitat Enhancement'!$V$12:$V$257)</f>
        <v>0</v>
      </c>
      <c r="N115" s="346">
        <f>SUMIF('A-3 On-Site Habitat Enhancement'!$S$12:$S$257,'G-2 Habitat groups'!A115,'A-3 On-Site Habitat Enhancement'!$AN$12:$AN$257)</f>
        <v>0</v>
      </c>
      <c r="O115" s="346">
        <f t="shared" si="75"/>
        <v>0</v>
      </c>
      <c r="P115" s="346">
        <f t="shared" si="76"/>
        <v>0</v>
      </c>
      <c r="Q115" s="346">
        <f t="shared" si="77"/>
        <v>0</v>
      </c>
      <c r="R115" s="346">
        <f t="shared" si="78"/>
        <v>0</v>
      </c>
      <c r="S115" s="346">
        <f>IF(C115="V.High",SUMIF('D-1 Off-Site Habitat Baseline'!$G$11:$G$258,'G-2 Habitat groups'!A115,'D-1 Off-Site Habitat Baseline'!$V$11:$V$258)+SUMIF('D-1 Off-Site Habitat Baseline'!$G$11:$G$258,'G-2 Habitat groups'!A115,'D-1 Off-Site Habitat Baseline'!$W$11:$W$258),SUMIF('D-1 Off-Site Habitat Baseline'!$G$11:$G$258,'G-2 Habitat groups'!A115,'D-1 Off-Site Habitat Baseline'!$H$11:$H$258))</f>
        <v>0</v>
      </c>
      <c r="T115" s="346">
        <f>SUMIF('D-1 Off-Site Habitat Baseline'!$G$11:$G$258,'G-2 Habitat groups'!A115,'D-1 Off-Site Habitat Baseline'!$T$11:$T$258)</f>
        <v>0</v>
      </c>
      <c r="U115" s="346">
        <f>SUMIF('D-1 Off-Site Habitat Baseline'!$G$11:$G$258,'G-2 Habitat groups'!A115,'D-1 Off-Site Habitat Baseline'!$V$11:$V$258)</f>
        <v>0</v>
      </c>
      <c r="V115" s="346">
        <f>SUMIF('D-1 Off-Site Habitat Baseline'!$G$11:$G$258,'G-2 Habitat groups'!A115,'D-1 Off-Site Habitat Baseline'!$X$11:$X$258)</f>
        <v>0</v>
      </c>
      <c r="W115" s="346">
        <f>SUMIF('D-2 Off-Site Habitat Creation'!$F$9:$F$255,'G-2 Habitat groups'!A115,'D-2 Off-Site Habitat Creation'!$G$9:$G$255)</f>
        <v>0</v>
      </c>
      <c r="X115" s="346">
        <f>SUMIF('D-2 Off-Site Habitat Creation'!$F$9:$F$255,'G-2 Habitat groups'!A115,'D-2 Off-Site Habitat Creation'!$AB$9:$AB$255)</f>
        <v>0</v>
      </c>
      <c r="Y115" s="346">
        <f>SUMIF('D-3 Off-Site Habitat Enhancment'!$S$12:$S$491,'G-2 Habitat groups'!A115,'D-3 Off-Site Habitat Enhancment'!$V$12:$V$491)</f>
        <v>0</v>
      </c>
      <c r="Z115" s="346">
        <f>SUMIF('D-3 Off-Site Habitat Enhancment'!$S$12:$S$491,'G-2 Habitat groups'!A115,'D-3 Off-Site Habitat Enhancment'!$AQ$12:$AQ$491)</f>
        <v>0</v>
      </c>
      <c r="AA115" s="346">
        <f t="shared" si="79"/>
        <v>0</v>
      </c>
      <c r="AB115" s="346">
        <f t="shared" si="80"/>
        <v>0</v>
      </c>
      <c r="AC115" s="346">
        <f t="shared" si="81"/>
        <v>0</v>
      </c>
      <c r="AD115" s="346">
        <f t="shared" si="82"/>
        <v>0</v>
      </c>
      <c r="AE115" s="346">
        <f t="shared" si="83"/>
        <v>0</v>
      </c>
      <c r="AF115" s="346">
        <f t="shared" si="84"/>
        <v>0</v>
      </c>
      <c r="AU115" s="79" t="s">
        <v>498</v>
      </c>
      <c r="AV115" s="68" t="s">
        <v>124</v>
      </c>
      <c r="AW115" s="358">
        <f t="shared" si="87"/>
        <v>0</v>
      </c>
      <c r="AX115" s="358">
        <f t="shared" si="90"/>
        <v>0</v>
      </c>
      <c r="AY115" s="358">
        <f t="shared" si="91"/>
        <v>0</v>
      </c>
      <c r="AZ115" s="358">
        <f t="shared" si="92"/>
        <v>0</v>
      </c>
      <c r="BA115" s="358">
        <f t="shared" si="93"/>
        <v>0</v>
      </c>
      <c r="BB115" s="358">
        <f t="shared" si="94"/>
        <v>0</v>
      </c>
      <c r="BC115" s="358">
        <f t="shared" si="95"/>
        <v>0</v>
      </c>
      <c r="BD115" s="358">
        <f t="shared" si="96"/>
        <v>0</v>
      </c>
      <c r="BE115" s="358">
        <f t="shared" si="88"/>
        <v>0</v>
      </c>
      <c r="BF115" s="358" t="str">
        <f t="shared" si="89"/>
        <v/>
      </c>
    </row>
    <row r="116" spans="1:58">
      <c r="A116" s="79" t="str">
        <f>'G-1 All Habitats'!B113</f>
        <v>Coastal saltmarsh - Artificial saltmarshes and saline reedbeds</v>
      </c>
      <c r="B116" s="68" t="str">
        <f>'G-1 All Habitats'!F113</f>
        <v>Coastal saltmarsh</v>
      </c>
      <c r="C116" s="68" t="str">
        <f>'G-1 All Habitats'!K113</f>
        <v>Low</v>
      </c>
      <c r="D116" s="68" t="str">
        <f>'G-1 All Habitats'!M113</f>
        <v>Same distinctiveness or better habitat required ≥</v>
      </c>
      <c r="E116" s="346">
        <f>IF(C116="V.High",SUMIF('A-1 On-Site Habitat Baseline'!$G$11:$G$258,'G-2 Habitat groups'!A116,'A-1 On-Site Habitat Baseline'!$S$11:$S$258)+SUMIF('A-1 On-Site Habitat Baseline'!$G$11:$G$258,'G-2 Habitat groups'!A116,'A-1 On-Site Habitat Baseline'!$T$11:$T$258),SUMIF('A-1 On-Site Habitat Baseline'!$G$11:$G$258,'G-2 Habitat groups'!A116,'A-1 On-Site Habitat Baseline'!$H$11:$H$258))</f>
        <v>0</v>
      </c>
      <c r="F116" s="346">
        <f>SUMIF('A-1 On-Site Habitat Baseline'!$G$11:$G$258,'G-2 Habitat groups'!A116,'A-1 On-Site Habitat Baseline'!$Q$11:$Q$258)</f>
        <v>0</v>
      </c>
      <c r="G116" s="346">
        <f>SUMIF('A-1 On-Site Habitat Baseline'!$G$11:$G$258,'G-2 Habitat groups'!A116,'A-1 On-Site Habitat Baseline'!$S$11:$S$258)</f>
        <v>0</v>
      </c>
      <c r="H116" s="346">
        <f>SUMIF('A-1 On-Site Habitat Baseline'!$G$11:$G$258,'G-2 Habitat groups'!A116,'A-1 On-Site Habitat Baseline'!$U$11:$U$258)</f>
        <v>0</v>
      </c>
      <c r="I116" s="346">
        <f>SUMIF('A-1 On-Site Habitat Baseline'!$G$11:$G$258,'G-2 Habitat groups'!A116,'A-1 On-Site Habitat Baseline'!$W$11:$W$258)</f>
        <v>0</v>
      </c>
      <c r="J116" s="346">
        <f>SUMIF('A-1 On-Site Habitat Baseline'!$G$11:$G$258,'G-2 Habitat groups'!A116,'A-1 On-Site Habitat Baseline'!$X$11:$X$258)</f>
        <v>0</v>
      </c>
      <c r="K116" s="346">
        <f>SUMIF('A-2 On-Site Habitat Creation'!$F$11:$F$256,'G-2 Habitat groups'!A116,'A-2 On-Site Habitat Creation'!$G$11:$G$256)</f>
        <v>0</v>
      </c>
      <c r="L116" s="346">
        <f>SUMIF('A-2 On-Site Habitat Creation'!$F$11:$F$256,'G-2 Habitat groups'!A116,'A-2 On-Site Habitat Creation'!$Y$11:$Y$256)</f>
        <v>0</v>
      </c>
      <c r="M116" s="346">
        <f>SUMIF('A-3 On-Site Habitat Enhancement'!$S$12:$S$257,'G-2 Habitat groups'!A116,'A-3 On-Site Habitat Enhancement'!$V$12:$V$257)</f>
        <v>0</v>
      </c>
      <c r="N116" s="346">
        <f>SUMIF('A-3 On-Site Habitat Enhancement'!$S$12:$S$257,'G-2 Habitat groups'!A116,'A-3 On-Site Habitat Enhancement'!$AN$12:$AN$257)</f>
        <v>0</v>
      </c>
      <c r="O116" s="346">
        <f t="shared" si="75"/>
        <v>0</v>
      </c>
      <c r="P116" s="346">
        <f t="shared" si="76"/>
        <v>0</v>
      </c>
      <c r="Q116" s="346">
        <f t="shared" si="77"/>
        <v>0</v>
      </c>
      <c r="R116" s="346">
        <f t="shared" si="78"/>
        <v>0</v>
      </c>
      <c r="S116" s="346">
        <f>IF(C116="V.High",SUMIF('D-1 Off-Site Habitat Baseline'!$G$11:$G$258,'G-2 Habitat groups'!A116,'D-1 Off-Site Habitat Baseline'!$V$11:$V$258)+SUMIF('D-1 Off-Site Habitat Baseline'!$G$11:$G$258,'G-2 Habitat groups'!A116,'D-1 Off-Site Habitat Baseline'!$W$11:$W$258),SUMIF('D-1 Off-Site Habitat Baseline'!$G$11:$G$258,'G-2 Habitat groups'!A116,'D-1 Off-Site Habitat Baseline'!$H$11:$H$258))</f>
        <v>0</v>
      </c>
      <c r="T116" s="346">
        <f>SUMIF('D-1 Off-Site Habitat Baseline'!$G$11:$G$258,'G-2 Habitat groups'!A116,'D-1 Off-Site Habitat Baseline'!$T$11:$T$258)</f>
        <v>0</v>
      </c>
      <c r="U116" s="346">
        <f>SUMIF('D-1 Off-Site Habitat Baseline'!$G$11:$G$258,'G-2 Habitat groups'!A116,'D-1 Off-Site Habitat Baseline'!$V$11:$V$258)</f>
        <v>0</v>
      </c>
      <c r="V116" s="346">
        <f>SUMIF('D-1 Off-Site Habitat Baseline'!$G$11:$G$258,'G-2 Habitat groups'!A116,'D-1 Off-Site Habitat Baseline'!$X$11:$X$258)</f>
        <v>0</v>
      </c>
      <c r="W116" s="346">
        <f>SUMIF('D-2 Off-Site Habitat Creation'!$F$9:$F$255,'G-2 Habitat groups'!A116,'D-2 Off-Site Habitat Creation'!$G$9:$G$255)</f>
        <v>0</v>
      </c>
      <c r="X116" s="346">
        <f>SUMIF('D-2 Off-Site Habitat Creation'!$F$9:$F$255,'G-2 Habitat groups'!A116,'D-2 Off-Site Habitat Creation'!$AB$9:$AB$255)</f>
        <v>0</v>
      </c>
      <c r="Y116" s="346">
        <f>SUMIF('D-3 Off-Site Habitat Enhancment'!$S$12:$S$491,'G-2 Habitat groups'!A116,'D-3 Off-Site Habitat Enhancment'!$V$12:$V$491)</f>
        <v>0</v>
      </c>
      <c r="Z116" s="346">
        <f>SUMIF('D-3 Off-Site Habitat Enhancment'!$S$12:$S$491,'G-2 Habitat groups'!A116,'D-3 Off-Site Habitat Enhancment'!$AQ$12:$AQ$491)</f>
        <v>0</v>
      </c>
      <c r="AA116" s="346">
        <f t="shared" si="79"/>
        <v>0</v>
      </c>
      <c r="AB116" s="346">
        <f t="shared" si="80"/>
        <v>0</v>
      </c>
      <c r="AC116" s="346">
        <f t="shared" si="81"/>
        <v>0</v>
      </c>
      <c r="AD116" s="346">
        <f t="shared" si="82"/>
        <v>0</v>
      </c>
      <c r="AE116" s="346">
        <f t="shared" si="83"/>
        <v>0</v>
      </c>
      <c r="AF116" s="346">
        <f t="shared" si="84"/>
        <v>0</v>
      </c>
      <c r="AU116" s="79" t="s">
        <v>502</v>
      </c>
      <c r="AV116" s="68" t="s">
        <v>124</v>
      </c>
      <c r="AW116" s="358">
        <f t="shared" si="87"/>
        <v>15.690000000000001</v>
      </c>
      <c r="AX116" s="358">
        <f t="shared" si="90"/>
        <v>31.380000000000003</v>
      </c>
      <c r="AY116" s="358">
        <f t="shared" si="91"/>
        <v>0</v>
      </c>
      <c r="AZ116" s="358">
        <f t="shared" si="92"/>
        <v>0</v>
      </c>
      <c r="BA116" s="358">
        <f t="shared" si="93"/>
        <v>-15.690000000000001</v>
      </c>
      <c r="BB116" s="358">
        <f t="shared" si="94"/>
        <v>-31.380000000000003</v>
      </c>
      <c r="BC116" s="358">
        <f t="shared" si="95"/>
        <v>0</v>
      </c>
      <c r="BD116" s="358">
        <f t="shared" si="96"/>
        <v>0</v>
      </c>
      <c r="BE116" s="358">
        <f t="shared" si="88"/>
        <v>-31.380000000000003</v>
      </c>
      <c r="BF116" s="358">
        <f t="shared" si="89"/>
        <v>-31.380000000000003</v>
      </c>
    </row>
    <row r="117" spans="1:58">
      <c r="A117" s="79" t="str">
        <f>'G-1 All Habitats'!B117</f>
        <v>Intertidal sediment - Littoral seagrass</v>
      </c>
      <c r="B117" s="68" t="str">
        <f>'G-1 All Habitats'!F117</f>
        <v>Intertidal sediment</v>
      </c>
      <c r="C117" s="68" t="str">
        <f>'G-1 All Habitats'!K117</f>
        <v>High</v>
      </c>
      <c r="D117" s="68" t="str">
        <f>'G-1 All Habitats'!M117</f>
        <v>Same habitat required =</v>
      </c>
      <c r="E117" s="346">
        <f>IF(C117="V.High",SUMIF('A-1 On-Site Habitat Baseline'!$G$11:$G$258,'G-2 Habitat groups'!A117,'A-1 On-Site Habitat Baseline'!$S$11:$S$258)+SUMIF('A-1 On-Site Habitat Baseline'!$G$11:$G$258,'G-2 Habitat groups'!A117,'A-1 On-Site Habitat Baseline'!$T$11:$T$258),SUMIF('A-1 On-Site Habitat Baseline'!$G$11:$G$258,'G-2 Habitat groups'!A117,'A-1 On-Site Habitat Baseline'!$H$11:$H$258))</f>
        <v>0</v>
      </c>
      <c r="F117" s="346">
        <f>SUMIF('A-1 On-Site Habitat Baseline'!$G$11:$G$258,'G-2 Habitat groups'!A117,'A-1 On-Site Habitat Baseline'!$Q$11:$Q$258)</f>
        <v>0</v>
      </c>
      <c r="G117" s="346">
        <f>SUMIF('A-1 On-Site Habitat Baseline'!$G$11:$G$258,'G-2 Habitat groups'!A117,'A-1 On-Site Habitat Baseline'!$S$11:$S$258)</f>
        <v>0</v>
      </c>
      <c r="H117" s="346">
        <f>SUMIF('A-1 On-Site Habitat Baseline'!$G$11:$G$258,'G-2 Habitat groups'!A117,'A-1 On-Site Habitat Baseline'!$U$11:$U$258)</f>
        <v>0</v>
      </c>
      <c r="I117" s="346">
        <f>SUMIF('A-1 On-Site Habitat Baseline'!$G$11:$G$258,'G-2 Habitat groups'!A117,'A-1 On-Site Habitat Baseline'!$W$11:$W$258)</f>
        <v>0</v>
      </c>
      <c r="J117" s="346">
        <f>SUMIF('A-1 On-Site Habitat Baseline'!$G$11:$G$258,'G-2 Habitat groups'!A117,'A-1 On-Site Habitat Baseline'!$X$11:$X$258)</f>
        <v>0</v>
      </c>
      <c r="K117" s="346">
        <f>SUMIF('A-2 On-Site Habitat Creation'!$F$11:$F$256,'G-2 Habitat groups'!A117,'A-2 On-Site Habitat Creation'!$G$11:$G$256)</f>
        <v>0</v>
      </c>
      <c r="L117" s="346">
        <f>SUMIF('A-2 On-Site Habitat Creation'!$F$11:$F$256,'G-2 Habitat groups'!A117,'A-2 On-Site Habitat Creation'!$Y$11:$Y$256)</f>
        <v>0</v>
      </c>
      <c r="M117" s="346">
        <f>SUMIF('A-3 On-Site Habitat Enhancement'!$S$12:$S$257,'G-2 Habitat groups'!A117,'A-3 On-Site Habitat Enhancement'!$V$12:$V$257)</f>
        <v>0</v>
      </c>
      <c r="N117" s="346">
        <f>SUMIF('A-3 On-Site Habitat Enhancement'!$S$12:$S$257,'G-2 Habitat groups'!A117,'A-3 On-Site Habitat Enhancement'!$AN$12:$AN$257)</f>
        <v>0</v>
      </c>
      <c r="O117" s="346">
        <f t="shared" si="75"/>
        <v>0</v>
      </c>
      <c r="P117" s="346">
        <f t="shared" si="76"/>
        <v>0</v>
      </c>
      <c r="Q117" s="346">
        <f t="shared" si="77"/>
        <v>0</v>
      </c>
      <c r="R117" s="346">
        <f t="shared" si="78"/>
        <v>0</v>
      </c>
      <c r="S117" s="346">
        <f>IF(C117="V.High",SUMIF('D-1 Off-Site Habitat Baseline'!$G$11:$G$258,'G-2 Habitat groups'!A117,'D-1 Off-Site Habitat Baseline'!$V$11:$V$258)+SUMIF('D-1 Off-Site Habitat Baseline'!$G$11:$G$258,'G-2 Habitat groups'!A117,'D-1 Off-Site Habitat Baseline'!$W$11:$W$258),SUMIF('D-1 Off-Site Habitat Baseline'!$G$11:$G$258,'G-2 Habitat groups'!A117,'D-1 Off-Site Habitat Baseline'!$H$11:$H$258))</f>
        <v>0</v>
      </c>
      <c r="T117" s="346">
        <f>SUMIF('D-1 Off-Site Habitat Baseline'!$G$11:$G$258,'G-2 Habitat groups'!A117,'D-1 Off-Site Habitat Baseline'!$T$11:$T$258)</f>
        <v>0</v>
      </c>
      <c r="U117" s="346">
        <f>SUMIF('D-1 Off-Site Habitat Baseline'!$G$11:$G$258,'G-2 Habitat groups'!A117,'D-1 Off-Site Habitat Baseline'!$V$11:$V$258)</f>
        <v>0</v>
      </c>
      <c r="V117" s="346">
        <f>SUMIF('D-1 Off-Site Habitat Baseline'!$G$11:$G$258,'G-2 Habitat groups'!A117,'D-1 Off-Site Habitat Baseline'!$X$11:$X$258)</f>
        <v>0</v>
      </c>
      <c r="W117" s="346">
        <f>SUMIF('D-2 Off-Site Habitat Creation'!$F$9:$F$255,'G-2 Habitat groups'!A117,'D-2 Off-Site Habitat Creation'!$G$9:$G$255)</f>
        <v>0</v>
      </c>
      <c r="X117" s="346">
        <f>SUMIF('D-2 Off-Site Habitat Creation'!$F$9:$F$255,'G-2 Habitat groups'!A117,'D-2 Off-Site Habitat Creation'!$AB$9:$AB$255)</f>
        <v>0</v>
      </c>
      <c r="Y117" s="346">
        <f>SUMIF('D-3 Off-Site Habitat Enhancment'!$S$12:$S$491,'G-2 Habitat groups'!A117,'D-3 Off-Site Habitat Enhancment'!$V$12:$V$491)</f>
        <v>0</v>
      </c>
      <c r="Z117" s="346">
        <f>SUMIF('D-3 Off-Site Habitat Enhancment'!$S$12:$S$491,'G-2 Habitat groups'!A117,'D-3 Off-Site Habitat Enhancment'!$AQ$12:$AQ$491)</f>
        <v>0</v>
      </c>
      <c r="AA117" s="346">
        <f t="shared" si="79"/>
        <v>0</v>
      </c>
      <c r="AB117" s="346">
        <f t="shared" si="80"/>
        <v>0</v>
      </c>
      <c r="AC117" s="346">
        <f t="shared" si="81"/>
        <v>0</v>
      </c>
      <c r="AD117" s="346">
        <f t="shared" si="82"/>
        <v>0</v>
      </c>
      <c r="AE117" s="346">
        <f t="shared" si="83"/>
        <v>0</v>
      </c>
      <c r="AF117" s="346">
        <f t="shared" si="84"/>
        <v>0</v>
      </c>
      <c r="AU117" s="79" t="s">
        <v>506</v>
      </c>
      <c r="AV117" s="68" t="s">
        <v>124</v>
      </c>
      <c r="AW117" s="358">
        <f t="shared" si="87"/>
        <v>0</v>
      </c>
      <c r="AX117" s="358">
        <f t="shared" si="90"/>
        <v>0</v>
      </c>
      <c r="AY117" s="358">
        <f t="shared" si="91"/>
        <v>0</v>
      </c>
      <c r="AZ117" s="358">
        <f t="shared" si="92"/>
        <v>0</v>
      </c>
      <c r="BA117" s="358">
        <f t="shared" si="93"/>
        <v>0</v>
      </c>
      <c r="BB117" s="358">
        <f t="shared" si="94"/>
        <v>0</v>
      </c>
      <c r="BC117" s="358">
        <f t="shared" si="95"/>
        <v>0</v>
      </c>
      <c r="BD117" s="358">
        <f t="shared" si="96"/>
        <v>0</v>
      </c>
      <c r="BE117" s="358">
        <f t="shared" si="88"/>
        <v>0</v>
      </c>
      <c r="BF117" s="358" t="str">
        <f t="shared" si="89"/>
        <v/>
      </c>
    </row>
    <row r="118" spans="1:58">
      <c r="A118" s="79" t="str">
        <f>'G-1 All Habitats'!B118</f>
        <v>Intertidal sediment - Littoral seagrass on peat, clay or chalk</v>
      </c>
      <c r="B118" s="68" t="str">
        <f>'G-1 All Habitats'!F118</f>
        <v>Intertidal sediment</v>
      </c>
      <c r="C118" s="68" t="str">
        <f>'G-1 All Habitats'!K118</f>
        <v>V.High</v>
      </c>
      <c r="D118" s="68" t="str">
        <f>'G-1 All Habitats'!M118</f>
        <v>Bespoke compensation likely to be required 🛠</v>
      </c>
      <c r="E118" s="346">
        <f>IF(C118="V.High",SUMIF('A-1 On-Site Habitat Baseline'!$G$11:$G$258,'G-2 Habitat groups'!A118,'A-1 On-Site Habitat Baseline'!$S$11:$S$258)+SUMIF('A-1 On-Site Habitat Baseline'!$G$11:$G$258,'G-2 Habitat groups'!A118,'A-1 On-Site Habitat Baseline'!$T$11:$T$258),SUMIF('A-1 On-Site Habitat Baseline'!$G$11:$G$258,'G-2 Habitat groups'!A118,'A-1 On-Site Habitat Baseline'!$H$11:$H$258))</f>
        <v>0</v>
      </c>
      <c r="F118" s="346">
        <f>SUMIF('A-1 On-Site Habitat Baseline'!$G$11:$G$258,'G-2 Habitat groups'!A118,'A-1 On-Site Habitat Baseline'!$Q$11:$Q$258)</f>
        <v>0</v>
      </c>
      <c r="G118" s="346">
        <f>SUMIF('A-1 On-Site Habitat Baseline'!$G$11:$G$258,'G-2 Habitat groups'!A118,'A-1 On-Site Habitat Baseline'!$S$11:$S$258)</f>
        <v>0</v>
      </c>
      <c r="H118" s="346">
        <f>SUMIF('A-1 On-Site Habitat Baseline'!$G$11:$G$258,'G-2 Habitat groups'!A118,'A-1 On-Site Habitat Baseline'!$U$11:$U$258)</f>
        <v>0</v>
      </c>
      <c r="I118" s="346">
        <f>SUMIF('A-1 On-Site Habitat Baseline'!$G$11:$G$258,'G-2 Habitat groups'!A118,'A-1 On-Site Habitat Baseline'!$W$11:$W$258)</f>
        <v>0</v>
      </c>
      <c r="J118" s="346">
        <f>SUMIF('A-1 On-Site Habitat Baseline'!$G$11:$G$258,'G-2 Habitat groups'!A118,'A-1 On-Site Habitat Baseline'!$X$11:$X$258)</f>
        <v>0</v>
      </c>
      <c r="K118" s="346">
        <f>SUMIF('A-2 On-Site Habitat Creation'!$F$11:$F$256,'G-2 Habitat groups'!A118,'A-2 On-Site Habitat Creation'!$G$11:$G$256)</f>
        <v>0</v>
      </c>
      <c r="L118" s="346">
        <f>SUMIF('A-2 On-Site Habitat Creation'!$F$11:$F$256,'G-2 Habitat groups'!A118,'A-2 On-Site Habitat Creation'!$Y$11:$Y$256)</f>
        <v>0</v>
      </c>
      <c r="M118" s="346">
        <f>SUMIF('A-3 On-Site Habitat Enhancement'!$S$12:$S$257,'G-2 Habitat groups'!A118,'A-3 On-Site Habitat Enhancement'!$V$12:$V$257)</f>
        <v>0</v>
      </c>
      <c r="N118" s="346">
        <f>SUMIF('A-3 On-Site Habitat Enhancement'!$S$12:$S$257,'G-2 Habitat groups'!A118,'A-3 On-Site Habitat Enhancement'!$AN$12:$AN$257)</f>
        <v>0</v>
      </c>
      <c r="O118" s="346">
        <f t="shared" si="75"/>
        <v>0</v>
      </c>
      <c r="P118" s="346">
        <f t="shared" si="76"/>
        <v>0</v>
      </c>
      <c r="Q118" s="346">
        <f t="shared" si="77"/>
        <v>0</v>
      </c>
      <c r="R118" s="346">
        <f t="shared" si="78"/>
        <v>0</v>
      </c>
      <c r="S118" s="346">
        <f>IF(C118="V.High",SUMIF('D-1 Off-Site Habitat Baseline'!$G$11:$G$258,'G-2 Habitat groups'!A118,'D-1 Off-Site Habitat Baseline'!$V$11:$V$258)+SUMIF('D-1 Off-Site Habitat Baseline'!$G$11:$G$258,'G-2 Habitat groups'!A118,'D-1 Off-Site Habitat Baseline'!$W$11:$W$258),SUMIF('D-1 Off-Site Habitat Baseline'!$G$11:$G$258,'G-2 Habitat groups'!A118,'D-1 Off-Site Habitat Baseline'!$H$11:$H$258))</f>
        <v>0</v>
      </c>
      <c r="T118" s="346">
        <f>SUMIF('D-1 Off-Site Habitat Baseline'!$G$11:$G$258,'G-2 Habitat groups'!A118,'D-1 Off-Site Habitat Baseline'!$T$11:$T$258)</f>
        <v>0</v>
      </c>
      <c r="U118" s="346">
        <f>SUMIF('D-1 Off-Site Habitat Baseline'!$G$11:$G$258,'G-2 Habitat groups'!A118,'D-1 Off-Site Habitat Baseline'!$V$11:$V$258)</f>
        <v>0</v>
      </c>
      <c r="V118" s="346">
        <f>SUMIF('D-1 Off-Site Habitat Baseline'!$G$11:$G$258,'G-2 Habitat groups'!A118,'D-1 Off-Site Habitat Baseline'!$X$11:$X$258)</f>
        <v>0</v>
      </c>
      <c r="W118" s="346">
        <f>SUMIF('D-2 Off-Site Habitat Creation'!$F$9:$F$255,'G-2 Habitat groups'!A118,'D-2 Off-Site Habitat Creation'!$G$9:$G$255)</f>
        <v>0</v>
      </c>
      <c r="X118" s="346">
        <f>SUMIF('D-2 Off-Site Habitat Creation'!$F$9:$F$255,'G-2 Habitat groups'!A118,'D-2 Off-Site Habitat Creation'!$AB$9:$AB$255)</f>
        <v>0</v>
      </c>
      <c r="Y118" s="346">
        <f>SUMIF('D-3 Off-Site Habitat Enhancment'!$S$12:$S$491,'G-2 Habitat groups'!A118,'D-3 Off-Site Habitat Enhancment'!$V$12:$V$491)</f>
        <v>0</v>
      </c>
      <c r="Z118" s="346">
        <f>SUMIF('D-3 Off-Site Habitat Enhancment'!$S$12:$S$491,'G-2 Habitat groups'!A118,'D-3 Off-Site Habitat Enhancment'!$AQ$12:$AQ$491)</f>
        <v>0</v>
      </c>
      <c r="AA118" s="346">
        <f t="shared" si="79"/>
        <v>0</v>
      </c>
      <c r="AB118" s="346">
        <f t="shared" si="80"/>
        <v>0</v>
      </c>
      <c r="AC118" s="346">
        <f t="shared" si="81"/>
        <v>0</v>
      </c>
      <c r="AD118" s="346">
        <f t="shared" si="82"/>
        <v>0</v>
      </c>
      <c r="AE118" s="346">
        <f t="shared" si="83"/>
        <v>0</v>
      </c>
      <c r="AF118" s="346">
        <f t="shared" si="84"/>
        <v>0</v>
      </c>
      <c r="AU118" s="79" t="s">
        <v>490</v>
      </c>
      <c r="AV118" s="68" t="s">
        <v>124</v>
      </c>
      <c r="AW118" s="358">
        <f t="shared" si="87"/>
        <v>0</v>
      </c>
      <c r="AX118" s="358">
        <f t="shared" si="90"/>
        <v>0</v>
      </c>
      <c r="AY118" s="358">
        <f t="shared" si="91"/>
        <v>0</v>
      </c>
      <c r="AZ118" s="358">
        <f t="shared" si="92"/>
        <v>0</v>
      </c>
      <c r="BA118" s="358">
        <f t="shared" si="93"/>
        <v>0</v>
      </c>
      <c r="BB118" s="358">
        <f t="shared" si="94"/>
        <v>0</v>
      </c>
      <c r="BC118" s="358">
        <f t="shared" si="95"/>
        <v>0</v>
      </c>
      <c r="BD118" s="358">
        <f t="shared" si="96"/>
        <v>0</v>
      </c>
      <c r="BE118" s="358">
        <f t="shared" si="88"/>
        <v>0</v>
      </c>
      <c r="BF118" s="358" t="str">
        <f t="shared" si="89"/>
        <v/>
      </c>
    </row>
    <row r="119" spans="1:58">
      <c r="A119" s="79" t="str">
        <f>'G-1 All Habitats'!B119</f>
        <v>Intertidal sediment - Littoral biogenic reefs - Mussels</v>
      </c>
      <c r="B119" s="68" t="str">
        <f>'G-1 All Habitats'!F119</f>
        <v>Intertidal sediment</v>
      </c>
      <c r="C119" s="68" t="str">
        <f>'G-1 All Habitats'!K119</f>
        <v>High</v>
      </c>
      <c r="D119" s="68" t="str">
        <f>'G-1 All Habitats'!M119</f>
        <v>Same habitat required =</v>
      </c>
      <c r="E119" s="346">
        <f>IF(C119="V.High",SUMIF('A-1 On-Site Habitat Baseline'!$G$11:$G$258,'G-2 Habitat groups'!A119,'A-1 On-Site Habitat Baseline'!$S$11:$S$258)+SUMIF('A-1 On-Site Habitat Baseline'!$G$11:$G$258,'G-2 Habitat groups'!A119,'A-1 On-Site Habitat Baseline'!$T$11:$T$258),SUMIF('A-1 On-Site Habitat Baseline'!$G$11:$G$258,'G-2 Habitat groups'!A119,'A-1 On-Site Habitat Baseline'!$H$11:$H$258))</f>
        <v>0</v>
      </c>
      <c r="F119" s="346">
        <f>SUMIF('A-1 On-Site Habitat Baseline'!$G$11:$G$258,'G-2 Habitat groups'!A119,'A-1 On-Site Habitat Baseline'!$Q$11:$Q$258)</f>
        <v>0</v>
      </c>
      <c r="G119" s="346">
        <f>SUMIF('A-1 On-Site Habitat Baseline'!$G$11:$G$258,'G-2 Habitat groups'!A119,'A-1 On-Site Habitat Baseline'!$S$11:$S$258)</f>
        <v>0</v>
      </c>
      <c r="H119" s="346">
        <f>SUMIF('A-1 On-Site Habitat Baseline'!$G$11:$G$258,'G-2 Habitat groups'!A119,'A-1 On-Site Habitat Baseline'!$U$11:$U$258)</f>
        <v>0</v>
      </c>
      <c r="I119" s="346">
        <f>SUMIF('A-1 On-Site Habitat Baseline'!$G$11:$G$258,'G-2 Habitat groups'!A119,'A-1 On-Site Habitat Baseline'!$W$11:$W$258)</f>
        <v>0</v>
      </c>
      <c r="J119" s="346">
        <f>SUMIF('A-1 On-Site Habitat Baseline'!$G$11:$G$258,'G-2 Habitat groups'!A119,'A-1 On-Site Habitat Baseline'!$X$11:$X$258)</f>
        <v>0</v>
      </c>
      <c r="K119" s="346">
        <f>SUMIF('A-2 On-Site Habitat Creation'!$F$11:$F$256,'G-2 Habitat groups'!A119,'A-2 On-Site Habitat Creation'!$G$11:$G$256)</f>
        <v>0</v>
      </c>
      <c r="L119" s="346">
        <f>SUMIF('A-2 On-Site Habitat Creation'!$F$11:$F$256,'G-2 Habitat groups'!A119,'A-2 On-Site Habitat Creation'!$Y$11:$Y$256)</f>
        <v>0</v>
      </c>
      <c r="M119" s="346">
        <f>SUMIF('A-3 On-Site Habitat Enhancement'!$S$12:$S$257,'G-2 Habitat groups'!A119,'A-3 On-Site Habitat Enhancement'!$V$12:$V$257)</f>
        <v>0</v>
      </c>
      <c r="N119" s="346">
        <f>SUMIF('A-3 On-Site Habitat Enhancement'!$S$12:$S$257,'G-2 Habitat groups'!A119,'A-3 On-Site Habitat Enhancement'!$AN$12:$AN$257)</f>
        <v>0</v>
      </c>
      <c r="O119" s="346">
        <f t="shared" si="75"/>
        <v>0</v>
      </c>
      <c r="P119" s="346">
        <f t="shared" si="76"/>
        <v>0</v>
      </c>
      <c r="Q119" s="346">
        <f t="shared" si="77"/>
        <v>0</v>
      </c>
      <c r="R119" s="346">
        <f t="shared" si="78"/>
        <v>0</v>
      </c>
      <c r="S119" s="346">
        <f>IF(C119="V.High",SUMIF('D-1 Off-Site Habitat Baseline'!$G$11:$G$258,'G-2 Habitat groups'!A119,'D-1 Off-Site Habitat Baseline'!$V$11:$V$258)+SUMIF('D-1 Off-Site Habitat Baseline'!$G$11:$G$258,'G-2 Habitat groups'!A119,'D-1 Off-Site Habitat Baseline'!$W$11:$W$258),SUMIF('D-1 Off-Site Habitat Baseline'!$G$11:$G$258,'G-2 Habitat groups'!A119,'D-1 Off-Site Habitat Baseline'!$H$11:$H$258))</f>
        <v>0</v>
      </c>
      <c r="T119" s="346">
        <f>SUMIF('D-1 Off-Site Habitat Baseline'!$G$11:$G$258,'G-2 Habitat groups'!A119,'D-1 Off-Site Habitat Baseline'!$T$11:$T$258)</f>
        <v>0</v>
      </c>
      <c r="U119" s="346">
        <f>SUMIF('D-1 Off-Site Habitat Baseline'!$G$11:$G$258,'G-2 Habitat groups'!A119,'D-1 Off-Site Habitat Baseline'!$V$11:$V$258)</f>
        <v>0</v>
      </c>
      <c r="V119" s="346">
        <f>SUMIF('D-1 Off-Site Habitat Baseline'!$G$11:$G$258,'G-2 Habitat groups'!A119,'D-1 Off-Site Habitat Baseline'!$X$11:$X$258)</f>
        <v>0</v>
      </c>
      <c r="W119" s="346">
        <f>SUMIF('D-2 Off-Site Habitat Creation'!$F$9:$F$255,'G-2 Habitat groups'!A119,'D-2 Off-Site Habitat Creation'!$G$9:$G$255)</f>
        <v>0</v>
      </c>
      <c r="X119" s="346">
        <f>SUMIF('D-2 Off-Site Habitat Creation'!$F$9:$F$255,'G-2 Habitat groups'!A119,'D-2 Off-Site Habitat Creation'!$AB$9:$AB$255)</f>
        <v>0</v>
      </c>
      <c r="Y119" s="346">
        <f>SUMIF('D-3 Off-Site Habitat Enhancment'!$S$12:$S$491,'G-2 Habitat groups'!A119,'D-3 Off-Site Habitat Enhancment'!$V$12:$V$491)</f>
        <v>0</v>
      </c>
      <c r="Z119" s="346">
        <f>SUMIF('D-3 Off-Site Habitat Enhancment'!$S$12:$S$491,'G-2 Habitat groups'!A119,'D-3 Off-Site Habitat Enhancment'!$AQ$12:$AQ$491)</f>
        <v>0</v>
      </c>
      <c r="AA119" s="346">
        <f t="shared" si="79"/>
        <v>0</v>
      </c>
      <c r="AB119" s="346">
        <f t="shared" si="80"/>
        <v>0</v>
      </c>
      <c r="AC119" s="346">
        <f t="shared" si="81"/>
        <v>0</v>
      </c>
      <c r="AD119" s="346">
        <f t="shared" si="82"/>
        <v>0</v>
      </c>
      <c r="AE119" s="346">
        <f t="shared" si="83"/>
        <v>0</v>
      </c>
      <c r="AF119" s="346">
        <f t="shared" si="84"/>
        <v>0</v>
      </c>
      <c r="AU119" s="79" t="s">
        <v>538</v>
      </c>
      <c r="AV119" s="68" t="s">
        <v>125</v>
      </c>
      <c r="AW119" s="358">
        <f t="shared" si="87"/>
        <v>29.248000000000001</v>
      </c>
      <c r="AX119" s="358">
        <f t="shared" si="90"/>
        <v>58.496000000000002</v>
      </c>
      <c r="AY119" s="358">
        <f t="shared" si="91"/>
        <v>33.053000000000004</v>
      </c>
      <c r="AZ119" s="358">
        <f t="shared" si="92"/>
        <v>114.6516022393272</v>
      </c>
      <c r="BA119" s="358">
        <f t="shared" si="93"/>
        <v>3.8050000000000033</v>
      </c>
      <c r="BB119" s="358">
        <f t="shared" si="94"/>
        <v>56.155602239327202</v>
      </c>
      <c r="BC119" s="358">
        <f t="shared" si="95"/>
        <v>0</v>
      </c>
      <c r="BD119" s="358">
        <f t="shared" si="96"/>
        <v>0</v>
      </c>
      <c r="BE119" s="358">
        <f t="shared" si="88"/>
        <v>56.155602239327202</v>
      </c>
      <c r="BF119" s="358" t="str">
        <f t="shared" si="89"/>
        <v/>
      </c>
    </row>
    <row r="120" spans="1:58">
      <c r="A120" s="79" t="str">
        <f>'G-1 All Habitats'!B120</f>
        <v>Intertidal sediment - Littoral biogenic reefs - Sabellaria</v>
      </c>
      <c r="B120" s="68" t="str">
        <f>'G-1 All Habitats'!F120</f>
        <v>Intertidal sediment</v>
      </c>
      <c r="C120" s="68" t="str">
        <f>'G-1 All Habitats'!K120</f>
        <v>High</v>
      </c>
      <c r="D120" s="68" t="str">
        <f>'G-1 All Habitats'!M120</f>
        <v>Same habitat required =</v>
      </c>
      <c r="E120" s="346">
        <f>IF(C120="V.High",SUMIF('A-1 On-Site Habitat Baseline'!$G$11:$G$258,'G-2 Habitat groups'!A120,'A-1 On-Site Habitat Baseline'!$S$11:$S$258)+SUMIF('A-1 On-Site Habitat Baseline'!$G$11:$G$258,'G-2 Habitat groups'!A120,'A-1 On-Site Habitat Baseline'!$T$11:$T$258),SUMIF('A-1 On-Site Habitat Baseline'!$G$11:$G$258,'G-2 Habitat groups'!A120,'A-1 On-Site Habitat Baseline'!$H$11:$H$258))</f>
        <v>0</v>
      </c>
      <c r="F120" s="346">
        <f>SUMIF('A-1 On-Site Habitat Baseline'!$G$11:$G$258,'G-2 Habitat groups'!A120,'A-1 On-Site Habitat Baseline'!$Q$11:$Q$258)</f>
        <v>0</v>
      </c>
      <c r="G120" s="346">
        <f>SUMIF('A-1 On-Site Habitat Baseline'!$G$11:$G$258,'G-2 Habitat groups'!A120,'A-1 On-Site Habitat Baseline'!$S$11:$S$258)</f>
        <v>0</v>
      </c>
      <c r="H120" s="346">
        <f>SUMIF('A-1 On-Site Habitat Baseline'!$G$11:$G$258,'G-2 Habitat groups'!A120,'A-1 On-Site Habitat Baseline'!$U$11:$U$258)</f>
        <v>0</v>
      </c>
      <c r="I120" s="346">
        <f>SUMIF('A-1 On-Site Habitat Baseline'!$G$11:$G$258,'G-2 Habitat groups'!A120,'A-1 On-Site Habitat Baseline'!$W$11:$W$258)</f>
        <v>0</v>
      </c>
      <c r="J120" s="346">
        <f>SUMIF('A-1 On-Site Habitat Baseline'!$G$11:$G$258,'G-2 Habitat groups'!A120,'A-1 On-Site Habitat Baseline'!$X$11:$X$258)</f>
        <v>0</v>
      </c>
      <c r="K120" s="346">
        <f>SUMIF('A-2 On-Site Habitat Creation'!$F$11:$F$256,'G-2 Habitat groups'!A120,'A-2 On-Site Habitat Creation'!$G$11:$G$256)</f>
        <v>0</v>
      </c>
      <c r="L120" s="346">
        <f>SUMIF('A-2 On-Site Habitat Creation'!$F$11:$F$256,'G-2 Habitat groups'!A120,'A-2 On-Site Habitat Creation'!$Y$11:$Y$256)</f>
        <v>0</v>
      </c>
      <c r="M120" s="346">
        <f>SUMIF('A-3 On-Site Habitat Enhancement'!$S$12:$S$257,'G-2 Habitat groups'!A120,'A-3 On-Site Habitat Enhancement'!$V$12:$V$257)</f>
        <v>0</v>
      </c>
      <c r="N120" s="346">
        <f>SUMIF('A-3 On-Site Habitat Enhancement'!$S$12:$S$257,'G-2 Habitat groups'!A120,'A-3 On-Site Habitat Enhancement'!$AN$12:$AN$257)</f>
        <v>0</v>
      </c>
      <c r="O120" s="346">
        <f t="shared" si="75"/>
        <v>0</v>
      </c>
      <c r="P120" s="346">
        <f t="shared" si="76"/>
        <v>0</v>
      </c>
      <c r="Q120" s="346">
        <f t="shared" si="77"/>
        <v>0</v>
      </c>
      <c r="R120" s="346">
        <f t="shared" si="78"/>
        <v>0</v>
      </c>
      <c r="S120" s="346">
        <f>IF(C120="V.High",SUMIF('D-1 Off-Site Habitat Baseline'!$G$11:$G$258,'G-2 Habitat groups'!A120,'D-1 Off-Site Habitat Baseline'!$V$11:$V$258)+SUMIF('D-1 Off-Site Habitat Baseline'!$G$11:$G$258,'G-2 Habitat groups'!A120,'D-1 Off-Site Habitat Baseline'!$W$11:$W$258),SUMIF('D-1 Off-Site Habitat Baseline'!$G$11:$G$258,'G-2 Habitat groups'!A120,'D-1 Off-Site Habitat Baseline'!$H$11:$H$258))</f>
        <v>0</v>
      </c>
      <c r="T120" s="346">
        <f>SUMIF('D-1 Off-Site Habitat Baseline'!$G$11:$G$258,'G-2 Habitat groups'!A120,'D-1 Off-Site Habitat Baseline'!$T$11:$T$258)</f>
        <v>0</v>
      </c>
      <c r="U120" s="346">
        <f>SUMIF('D-1 Off-Site Habitat Baseline'!$G$11:$G$258,'G-2 Habitat groups'!A120,'D-1 Off-Site Habitat Baseline'!$V$11:$V$258)</f>
        <v>0</v>
      </c>
      <c r="V120" s="346">
        <f>SUMIF('D-1 Off-Site Habitat Baseline'!$G$11:$G$258,'G-2 Habitat groups'!A120,'D-1 Off-Site Habitat Baseline'!$X$11:$X$258)</f>
        <v>0</v>
      </c>
      <c r="W120" s="346">
        <f>SUMIF('D-2 Off-Site Habitat Creation'!$F$9:$F$255,'G-2 Habitat groups'!A120,'D-2 Off-Site Habitat Creation'!$G$9:$G$255)</f>
        <v>0</v>
      </c>
      <c r="X120" s="346">
        <f>SUMIF('D-2 Off-Site Habitat Creation'!$F$9:$F$255,'G-2 Habitat groups'!A120,'D-2 Off-Site Habitat Creation'!$AB$9:$AB$255)</f>
        <v>0</v>
      </c>
      <c r="Y120" s="346">
        <f>SUMIF('D-3 Off-Site Habitat Enhancment'!$S$12:$S$491,'G-2 Habitat groups'!A120,'D-3 Off-Site Habitat Enhancment'!$V$12:$V$491)</f>
        <v>0</v>
      </c>
      <c r="Z120" s="346">
        <f>SUMIF('D-3 Off-Site Habitat Enhancment'!$S$12:$S$491,'G-2 Habitat groups'!A120,'D-3 Off-Site Habitat Enhancment'!$AQ$12:$AQ$491)</f>
        <v>0</v>
      </c>
      <c r="AA120" s="346">
        <f t="shared" si="79"/>
        <v>0</v>
      </c>
      <c r="AB120" s="346">
        <f t="shared" si="80"/>
        <v>0</v>
      </c>
      <c r="AC120" s="346">
        <f t="shared" si="81"/>
        <v>0</v>
      </c>
      <c r="AD120" s="346">
        <f t="shared" si="82"/>
        <v>0</v>
      </c>
      <c r="AE120" s="346">
        <f t="shared" si="83"/>
        <v>0</v>
      </c>
      <c r="AF120" s="346">
        <f t="shared" si="84"/>
        <v>0</v>
      </c>
      <c r="AU120" s="79" t="s">
        <v>511</v>
      </c>
      <c r="AV120" s="68" t="s">
        <v>125</v>
      </c>
      <c r="AW120" s="358">
        <f t="shared" si="87"/>
        <v>7.2999999999999995E-2</v>
      </c>
      <c r="AX120" s="358">
        <f t="shared" si="90"/>
        <v>0</v>
      </c>
      <c r="AY120" s="358">
        <f t="shared" si="91"/>
        <v>7.2999999999999995E-2</v>
      </c>
      <c r="AZ120" s="358">
        <f t="shared" si="92"/>
        <v>0.14599999999999999</v>
      </c>
      <c r="BA120" s="358">
        <f t="shared" si="93"/>
        <v>0</v>
      </c>
      <c r="BB120" s="358">
        <f t="shared" si="94"/>
        <v>0</v>
      </c>
      <c r="BC120" s="358">
        <f t="shared" si="95"/>
        <v>0</v>
      </c>
      <c r="BD120" s="358">
        <f t="shared" si="96"/>
        <v>0</v>
      </c>
      <c r="BE120" s="358">
        <f t="shared" si="88"/>
        <v>0</v>
      </c>
      <c r="BF120" s="358" t="str">
        <f t="shared" si="89"/>
        <v/>
      </c>
    </row>
    <row r="121" spans="1:58">
      <c r="A121" s="79" t="str">
        <f>'G-1 All Habitats'!B121</f>
        <v>Intertidal sediment - Features of littoral sediment</v>
      </c>
      <c r="B121" s="68" t="str">
        <f>'G-1 All Habitats'!F121</f>
        <v>Intertidal sediment</v>
      </c>
      <c r="C121" s="68" t="str">
        <f>'G-1 All Habitats'!K121</f>
        <v>High</v>
      </c>
      <c r="D121" s="68" t="str">
        <f>'G-1 All Habitats'!M121</f>
        <v>Same habitat required =</v>
      </c>
      <c r="E121" s="346">
        <f>IF(C121="V.High",SUMIF('A-1 On-Site Habitat Baseline'!$G$11:$G$258,'G-2 Habitat groups'!A121,'A-1 On-Site Habitat Baseline'!$S$11:$S$258)+SUMIF('A-1 On-Site Habitat Baseline'!$G$11:$G$258,'G-2 Habitat groups'!A121,'A-1 On-Site Habitat Baseline'!$T$11:$T$258),SUMIF('A-1 On-Site Habitat Baseline'!$G$11:$G$258,'G-2 Habitat groups'!A121,'A-1 On-Site Habitat Baseline'!$H$11:$H$258))</f>
        <v>0</v>
      </c>
      <c r="F121" s="346">
        <f>SUMIF('A-1 On-Site Habitat Baseline'!$G$11:$G$258,'G-2 Habitat groups'!A121,'A-1 On-Site Habitat Baseline'!$Q$11:$Q$258)</f>
        <v>0</v>
      </c>
      <c r="G121" s="346">
        <f>SUMIF('A-1 On-Site Habitat Baseline'!$G$11:$G$258,'G-2 Habitat groups'!A121,'A-1 On-Site Habitat Baseline'!$S$11:$S$258)</f>
        <v>0</v>
      </c>
      <c r="H121" s="346">
        <f>SUMIF('A-1 On-Site Habitat Baseline'!$G$11:$G$258,'G-2 Habitat groups'!A121,'A-1 On-Site Habitat Baseline'!$U$11:$U$258)</f>
        <v>0</v>
      </c>
      <c r="I121" s="346">
        <f>SUMIF('A-1 On-Site Habitat Baseline'!$G$11:$G$258,'G-2 Habitat groups'!A121,'A-1 On-Site Habitat Baseline'!$W$11:$W$258)</f>
        <v>0</v>
      </c>
      <c r="J121" s="346">
        <f>SUMIF('A-1 On-Site Habitat Baseline'!$G$11:$G$258,'G-2 Habitat groups'!A121,'A-1 On-Site Habitat Baseline'!$X$11:$X$258)</f>
        <v>0</v>
      </c>
      <c r="K121" s="346">
        <f>SUMIF('A-2 On-Site Habitat Creation'!$F$11:$F$256,'G-2 Habitat groups'!A121,'A-2 On-Site Habitat Creation'!$G$11:$G$256)</f>
        <v>0</v>
      </c>
      <c r="L121" s="346">
        <f>SUMIF('A-2 On-Site Habitat Creation'!$F$11:$F$256,'G-2 Habitat groups'!A121,'A-2 On-Site Habitat Creation'!$Y$11:$Y$256)</f>
        <v>0</v>
      </c>
      <c r="M121" s="346">
        <f>SUMIF('A-3 On-Site Habitat Enhancement'!$S$12:$S$257,'G-2 Habitat groups'!A121,'A-3 On-Site Habitat Enhancement'!$V$12:$V$257)</f>
        <v>0</v>
      </c>
      <c r="N121" s="346">
        <f>SUMIF('A-3 On-Site Habitat Enhancement'!$S$12:$S$257,'G-2 Habitat groups'!A121,'A-3 On-Site Habitat Enhancement'!$AN$12:$AN$257)</f>
        <v>0</v>
      </c>
      <c r="O121" s="346">
        <f t="shared" si="75"/>
        <v>0</v>
      </c>
      <c r="P121" s="346">
        <f t="shared" si="76"/>
        <v>0</v>
      </c>
      <c r="Q121" s="346">
        <f t="shared" si="77"/>
        <v>0</v>
      </c>
      <c r="R121" s="346">
        <f t="shared" si="78"/>
        <v>0</v>
      </c>
      <c r="S121" s="346">
        <f>IF(C121="V.High",SUMIF('D-1 Off-Site Habitat Baseline'!$G$11:$G$258,'G-2 Habitat groups'!A121,'D-1 Off-Site Habitat Baseline'!$V$11:$V$258)+SUMIF('D-1 Off-Site Habitat Baseline'!$G$11:$G$258,'G-2 Habitat groups'!A121,'D-1 Off-Site Habitat Baseline'!$W$11:$W$258),SUMIF('D-1 Off-Site Habitat Baseline'!$G$11:$G$258,'G-2 Habitat groups'!A121,'D-1 Off-Site Habitat Baseline'!$H$11:$H$258))</f>
        <v>0</v>
      </c>
      <c r="T121" s="346">
        <f>SUMIF('D-1 Off-Site Habitat Baseline'!$G$11:$G$258,'G-2 Habitat groups'!A121,'D-1 Off-Site Habitat Baseline'!$T$11:$T$258)</f>
        <v>0</v>
      </c>
      <c r="U121" s="346">
        <f>SUMIF('D-1 Off-Site Habitat Baseline'!$G$11:$G$258,'G-2 Habitat groups'!A121,'D-1 Off-Site Habitat Baseline'!$V$11:$V$258)</f>
        <v>0</v>
      </c>
      <c r="V121" s="346">
        <f>SUMIF('D-1 Off-Site Habitat Baseline'!$G$11:$G$258,'G-2 Habitat groups'!A121,'D-1 Off-Site Habitat Baseline'!$X$11:$X$258)</f>
        <v>0</v>
      </c>
      <c r="W121" s="346">
        <f>SUMIF('D-2 Off-Site Habitat Creation'!$F$9:$F$255,'G-2 Habitat groups'!A121,'D-2 Off-Site Habitat Creation'!$G$9:$G$255)</f>
        <v>0</v>
      </c>
      <c r="X121" s="346">
        <f>SUMIF('D-2 Off-Site Habitat Creation'!$F$9:$F$255,'G-2 Habitat groups'!A121,'D-2 Off-Site Habitat Creation'!$AB$9:$AB$255)</f>
        <v>0</v>
      </c>
      <c r="Y121" s="346">
        <f>SUMIF('D-3 Off-Site Habitat Enhancment'!$S$12:$S$491,'G-2 Habitat groups'!A121,'D-3 Off-Site Habitat Enhancment'!$V$12:$V$491)</f>
        <v>0</v>
      </c>
      <c r="Z121" s="346">
        <f>SUMIF('D-3 Off-Site Habitat Enhancment'!$S$12:$S$491,'G-2 Habitat groups'!A121,'D-3 Off-Site Habitat Enhancment'!$AQ$12:$AQ$491)</f>
        <v>0</v>
      </c>
      <c r="AA121" s="346">
        <f t="shared" si="79"/>
        <v>0</v>
      </c>
      <c r="AB121" s="346">
        <f t="shared" si="80"/>
        <v>0</v>
      </c>
      <c r="AC121" s="346">
        <f t="shared" si="81"/>
        <v>0</v>
      </c>
      <c r="AD121" s="346">
        <f t="shared" si="82"/>
        <v>0</v>
      </c>
      <c r="AE121" s="346">
        <f t="shared" si="83"/>
        <v>0</v>
      </c>
      <c r="AF121" s="346">
        <f t="shared" si="84"/>
        <v>0</v>
      </c>
      <c r="AU121" s="79" t="s">
        <v>594</v>
      </c>
      <c r="AV121" s="68" t="s">
        <v>126</v>
      </c>
      <c r="AW121" s="358">
        <f t="shared" si="87"/>
        <v>0</v>
      </c>
      <c r="AX121" s="358">
        <f t="shared" si="90"/>
        <v>0</v>
      </c>
      <c r="AY121" s="358">
        <f t="shared" si="91"/>
        <v>0</v>
      </c>
      <c r="AZ121" s="358">
        <f t="shared" si="92"/>
        <v>0</v>
      </c>
      <c r="BA121" s="358">
        <f t="shared" si="93"/>
        <v>0</v>
      </c>
      <c r="BB121" s="358">
        <f t="shared" si="94"/>
        <v>0</v>
      </c>
      <c r="BC121" s="358">
        <f t="shared" si="95"/>
        <v>0</v>
      </c>
      <c r="BD121" s="358">
        <f t="shared" si="96"/>
        <v>0</v>
      </c>
      <c r="BE121" s="358">
        <f t="shared" si="88"/>
        <v>0</v>
      </c>
      <c r="BF121" s="358" t="str">
        <f t="shared" si="89"/>
        <v/>
      </c>
    </row>
    <row r="122" spans="1:58">
      <c r="A122" s="79" t="str">
        <f>'G-1 All Habitats'!B122</f>
        <v>Intertidal sediment - Artificial littoral coarse sediment</v>
      </c>
      <c r="B122" s="68" t="str">
        <f>'G-1 All Habitats'!F122</f>
        <v>Intertidal sediment</v>
      </c>
      <c r="C122" s="68" t="str">
        <f>'G-1 All Habitats'!K122</f>
        <v>Low</v>
      </c>
      <c r="D122" s="68" t="str">
        <f>'G-1 All Habitats'!M122</f>
        <v>Same distinctiveness or better habitat required ≥</v>
      </c>
      <c r="E122" s="346">
        <f>IF(C122="V.High",SUMIF('A-1 On-Site Habitat Baseline'!$G$11:$G$258,'G-2 Habitat groups'!A122,'A-1 On-Site Habitat Baseline'!$S$11:$S$258)+SUMIF('A-1 On-Site Habitat Baseline'!$G$11:$G$258,'G-2 Habitat groups'!A122,'A-1 On-Site Habitat Baseline'!$T$11:$T$258),SUMIF('A-1 On-Site Habitat Baseline'!$G$11:$G$258,'G-2 Habitat groups'!A122,'A-1 On-Site Habitat Baseline'!$H$11:$H$258))</f>
        <v>0</v>
      </c>
      <c r="F122" s="346">
        <f>SUMIF('A-1 On-Site Habitat Baseline'!$G$11:$G$258,'G-2 Habitat groups'!A122,'A-1 On-Site Habitat Baseline'!$Q$11:$Q$258)</f>
        <v>0</v>
      </c>
      <c r="G122" s="346">
        <f>SUMIF('A-1 On-Site Habitat Baseline'!$G$11:$G$258,'G-2 Habitat groups'!A122,'A-1 On-Site Habitat Baseline'!$S$11:$S$258)</f>
        <v>0</v>
      </c>
      <c r="H122" s="346">
        <f>SUMIF('A-1 On-Site Habitat Baseline'!$G$11:$G$258,'G-2 Habitat groups'!A122,'A-1 On-Site Habitat Baseline'!$U$11:$U$258)</f>
        <v>0</v>
      </c>
      <c r="I122" s="346">
        <f>SUMIF('A-1 On-Site Habitat Baseline'!$G$11:$G$258,'G-2 Habitat groups'!A122,'A-1 On-Site Habitat Baseline'!$W$11:$W$258)</f>
        <v>0</v>
      </c>
      <c r="J122" s="346">
        <f>SUMIF('A-1 On-Site Habitat Baseline'!$G$11:$G$258,'G-2 Habitat groups'!A122,'A-1 On-Site Habitat Baseline'!$X$11:$X$258)</f>
        <v>0</v>
      </c>
      <c r="K122" s="346">
        <f>SUMIF('A-2 On-Site Habitat Creation'!$F$11:$F$256,'G-2 Habitat groups'!A122,'A-2 On-Site Habitat Creation'!$G$11:$G$256)</f>
        <v>0</v>
      </c>
      <c r="L122" s="346">
        <f>SUMIF('A-2 On-Site Habitat Creation'!$F$11:$F$256,'G-2 Habitat groups'!A122,'A-2 On-Site Habitat Creation'!$Y$11:$Y$256)</f>
        <v>0</v>
      </c>
      <c r="M122" s="346">
        <f>SUMIF('A-3 On-Site Habitat Enhancement'!$S$12:$S$257,'G-2 Habitat groups'!A122,'A-3 On-Site Habitat Enhancement'!$V$12:$V$257)</f>
        <v>0</v>
      </c>
      <c r="N122" s="346">
        <f>SUMIF('A-3 On-Site Habitat Enhancement'!$S$12:$S$257,'G-2 Habitat groups'!A122,'A-3 On-Site Habitat Enhancement'!$AN$12:$AN$257)</f>
        <v>0</v>
      </c>
      <c r="O122" s="346">
        <f t="shared" si="75"/>
        <v>0</v>
      </c>
      <c r="P122" s="346">
        <f t="shared" si="76"/>
        <v>0</v>
      </c>
      <c r="Q122" s="346">
        <f t="shared" si="77"/>
        <v>0</v>
      </c>
      <c r="R122" s="346">
        <f t="shared" si="78"/>
        <v>0</v>
      </c>
      <c r="S122" s="346">
        <f>IF(C122="V.High",SUMIF('D-1 Off-Site Habitat Baseline'!$G$11:$G$258,'G-2 Habitat groups'!A122,'D-1 Off-Site Habitat Baseline'!$V$11:$V$258)+SUMIF('D-1 Off-Site Habitat Baseline'!$G$11:$G$258,'G-2 Habitat groups'!A122,'D-1 Off-Site Habitat Baseline'!$W$11:$W$258),SUMIF('D-1 Off-Site Habitat Baseline'!$G$11:$G$258,'G-2 Habitat groups'!A122,'D-1 Off-Site Habitat Baseline'!$H$11:$H$258))</f>
        <v>0</v>
      </c>
      <c r="T122" s="346">
        <f>SUMIF('D-1 Off-Site Habitat Baseline'!$G$11:$G$258,'G-2 Habitat groups'!A122,'D-1 Off-Site Habitat Baseline'!$T$11:$T$258)</f>
        <v>0</v>
      </c>
      <c r="U122" s="346">
        <f>SUMIF('D-1 Off-Site Habitat Baseline'!$G$11:$G$258,'G-2 Habitat groups'!A122,'D-1 Off-Site Habitat Baseline'!$V$11:$V$258)</f>
        <v>0</v>
      </c>
      <c r="V122" s="346">
        <f>SUMIF('D-1 Off-Site Habitat Baseline'!$G$11:$G$258,'G-2 Habitat groups'!A122,'D-1 Off-Site Habitat Baseline'!$X$11:$X$258)</f>
        <v>0</v>
      </c>
      <c r="W122" s="346">
        <f>SUMIF('D-2 Off-Site Habitat Creation'!$F$9:$F$255,'G-2 Habitat groups'!A122,'D-2 Off-Site Habitat Creation'!$G$9:$G$255)</f>
        <v>0</v>
      </c>
      <c r="X122" s="346">
        <f>SUMIF('D-2 Off-Site Habitat Creation'!$F$9:$F$255,'G-2 Habitat groups'!A122,'D-2 Off-Site Habitat Creation'!$AB$9:$AB$255)</f>
        <v>0</v>
      </c>
      <c r="Y122" s="346">
        <f>SUMIF('D-3 Off-Site Habitat Enhancment'!$S$12:$S$491,'G-2 Habitat groups'!A122,'D-3 Off-Site Habitat Enhancment'!$V$12:$V$491)</f>
        <v>0</v>
      </c>
      <c r="Z122" s="346">
        <f>SUMIF('D-3 Off-Site Habitat Enhancment'!$S$12:$S$491,'G-2 Habitat groups'!A122,'D-3 Off-Site Habitat Enhancment'!$AQ$12:$AQ$491)</f>
        <v>0</v>
      </c>
      <c r="AA122" s="346">
        <f t="shared" si="79"/>
        <v>0</v>
      </c>
      <c r="AB122" s="346">
        <f t="shared" si="80"/>
        <v>0</v>
      </c>
      <c r="AC122" s="346">
        <f t="shared" si="81"/>
        <v>0</v>
      </c>
      <c r="AD122" s="346">
        <f t="shared" si="82"/>
        <v>0</v>
      </c>
      <c r="AE122" s="346">
        <f t="shared" si="83"/>
        <v>0</v>
      </c>
      <c r="AF122" s="346">
        <f t="shared" si="84"/>
        <v>0</v>
      </c>
      <c r="AU122" s="79" t="s">
        <v>618</v>
      </c>
      <c r="AV122" s="68" t="s">
        <v>127</v>
      </c>
      <c r="AW122" s="358">
        <f>VLOOKUP($AU123,AllHabsSummaryData,5,FALSE)</f>
        <v>0</v>
      </c>
      <c r="AX122" s="358">
        <f t="shared" si="90"/>
        <v>0</v>
      </c>
      <c r="AY122" s="358">
        <f t="shared" si="91"/>
        <v>0</v>
      </c>
      <c r="AZ122" s="358">
        <f t="shared" si="92"/>
        <v>0</v>
      </c>
      <c r="BA122" s="358">
        <f t="shared" si="93"/>
        <v>0</v>
      </c>
      <c r="BB122" s="358">
        <f t="shared" si="94"/>
        <v>0</v>
      </c>
      <c r="BC122" s="358">
        <f t="shared" si="95"/>
        <v>0</v>
      </c>
      <c r="BD122" s="358">
        <f t="shared" si="96"/>
        <v>0</v>
      </c>
      <c r="BE122" s="358">
        <f t="shared" si="88"/>
        <v>0</v>
      </c>
      <c r="BF122" s="358" t="str">
        <f t="shared" si="89"/>
        <v/>
      </c>
    </row>
    <row r="123" spans="1:58">
      <c r="A123" s="79" t="str">
        <f>'G-1 All Habitats'!B123</f>
        <v>Intertidal sediment - Artificial littoral mud</v>
      </c>
      <c r="B123" s="68" t="str">
        <f>'G-1 All Habitats'!F123</f>
        <v>Intertidal sediment</v>
      </c>
      <c r="C123" s="68" t="str">
        <f>'G-1 All Habitats'!K123</f>
        <v>Low</v>
      </c>
      <c r="D123" s="68" t="str">
        <f>'G-1 All Habitats'!M123</f>
        <v>Same distinctiveness or better habitat required ≥</v>
      </c>
      <c r="E123" s="346">
        <f>IF(C123="V.High",SUMIF('A-1 On-Site Habitat Baseline'!$G$11:$G$258,'G-2 Habitat groups'!A123,'A-1 On-Site Habitat Baseline'!$S$11:$S$258)+SUMIF('A-1 On-Site Habitat Baseline'!$G$11:$G$258,'G-2 Habitat groups'!A123,'A-1 On-Site Habitat Baseline'!$T$11:$T$258),SUMIF('A-1 On-Site Habitat Baseline'!$G$11:$G$258,'G-2 Habitat groups'!A123,'A-1 On-Site Habitat Baseline'!$H$11:$H$258))</f>
        <v>0</v>
      </c>
      <c r="F123" s="346">
        <f>SUMIF('A-1 On-Site Habitat Baseline'!$G$11:$G$258,'G-2 Habitat groups'!A123,'A-1 On-Site Habitat Baseline'!$Q$11:$Q$258)</f>
        <v>0</v>
      </c>
      <c r="G123" s="346">
        <f>SUMIF('A-1 On-Site Habitat Baseline'!$G$11:$G$258,'G-2 Habitat groups'!A123,'A-1 On-Site Habitat Baseline'!$S$11:$S$258)</f>
        <v>0</v>
      </c>
      <c r="H123" s="346">
        <f>SUMIF('A-1 On-Site Habitat Baseline'!$G$11:$G$258,'G-2 Habitat groups'!A123,'A-1 On-Site Habitat Baseline'!$U$11:$U$258)</f>
        <v>0</v>
      </c>
      <c r="I123" s="346">
        <f>SUMIF('A-1 On-Site Habitat Baseline'!$G$11:$G$258,'G-2 Habitat groups'!A123,'A-1 On-Site Habitat Baseline'!$W$11:$W$258)</f>
        <v>0</v>
      </c>
      <c r="J123" s="346">
        <f>SUMIF('A-1 On-Site Habitat Baseline'!$G$11:$G$258,'G-2 Habitat groups'!A123,'A-1 On-Site Habitat Baseline'!$X$11:$X$258)</f>
        <v>0</v>
      </c>
      <c r="K123" s="346">
        <f>SUMIF('A-2 On-Site Habitat Creation'!$F$11:$F$256,'G-2 Habitat groups'!A123,'A-2 On-Site Habitat Creation'!$G$11:$G$256)</f>
        <v>0</v>
      </c>
      <c r="L123" s="346">
        <f>SUMIF('A-2 On-Site Habitat Creation'!$F$11:$F$256,'G-2 Habitat groups'!A123,'A-2 On-Site Habitat Creation'!$Y$11:$Y$256)</f>
        <v>0</v>
      </c>
      <c r="M123" s="346">
        <f>SUMIF('A-3 On-Site Habitat Enhancement'!$S$12:$S$257,'G-2 Habitat groups'!A123,'A-3 On-Site Habitat Enhancement'!$V$12:$V$257)</f>
        <v>0</v>
      </c>
      <c r="N123" s="346">
        <f>SUMIF('A-3 On-Site Habitat Enhancement'!$S$12:$S$257,'G-2 Habitat groups'!A123,'A-3 On-Site Habitat Enhancement'!$AN$12:$AN$257)</f>
        <v>0</v>
      </c>
      <c r="O123" s="346">
        <f t="shared" si="75"/>
        <v>0</v>
      </c>
      <c r="P123" s="346">
        <f t="shared" si="76"/>
        <v>0</v>
      </c>
      <c r="Q123" s="346">
        <f t="shared" si="77"/>
        <v>0</v>
      </c>
      <c r="R123" s="346">
        <f t="shared" si="78"/>
        <v>0</v>
      </c>
      <c r="S123" s="346">
        <f>IF(C123="V.High",SUMIF('D-1 Off-Site Habitat Baseline'!$G$11:$G$258,'G-2 Habitat groups'!A123,'D-1 Off-Site Habitat Baseline'!$V$11:$V$258)+SUMIF('D-1 Off-Site Habitat Baseline'!$G$11:$G$258,'G-2 Habitat groups'!A123,'D-1 Off-Site Habitat Baseline'!$W$11:$W$258),SUMIF('D-1 Off-Site Habitat Baseline'!$G$11:$G$258,'G-2 Habitat groups'!A123,'D-1 Off-Site Habitat Baseline'!$H$11:$H$258))</f>
        <v>0</v>
      </c>
      <c r="T123" s="346">
        <f>SUMIF('D-1 Off-Site Habitat Baseline'!$G$11:$G$258,'G-2 Habitat groups'!A123,'D-1 Off-Site Habitat Baseline'!$T$11:$T$258)</f>
        <v>0</v>
      </c>
      <c r="U123" s="346">
        <f>SUMIF('D-1 Off-Site Habitat Baseline'!$G$11:$G$258,'G-2 Habitat groups'!A123,'D-1 Off-Site Habitat Baseline'!$V$11:$V$258)</f>
        <v>0</v>
      </c>
      <c r="V123" s="346">
        <f>SUMIF('D-1 Off-Site Habitat Baseline'!$G$11:$G$258,'G-2 Habitat groups'!A123,'D-1 Off-Site Habitat Baseline'!$X$11:$X$258)</f>
        <v>0</v>
      </c>
      <c r="W123" s="346">
        <f>SUMIF('D-2 Off-Site Habitat Creation'!$F$9:$F$255,'G-2 Habitat groups'!A123,'D-2 Off-Site Habitat Creation'!$G$9:$G$255)</f>
        <v>0</v>
      </c>
      <c r="X123" s="346">
        <f>SUMIF('D-2 Off-Site Habitat Creation'!$F$9:$F$255,'G-2 Habitat groups'!A123,'D-2 Off-Site Habitat Creation'!$AB$9:$AB$255)</f>
        <v>0</v>
      </c>
      <c r="Y123" s="346">
        <f>SUMIF('D-3 Off-Site Habitat Enhancment'!$S$12:$S$491,'G-2 Habitat groups'!A123,'D-3 Off-Site Habitat Enhancment'!$V$12:$V$491)</f>
        <v>0</v>
      </c>
      <c r="Z123" s="346">
        <f>SUMIF('D-3 Off-Site Habitat Enhancment'!$S$12:$S$491,'G-2 Habitat groups'!A123,'D-3 Off-Site Habitat Enhancment'!$AQ$12:$AQ$491)</f>
        <v>0</v>
      </c>
      <c r="AA123" s="346">
        <f t="shared" si="79"/>
        <v>0</v>
      </c>
      <c r="AB123" s="346">
        <f t="shared" si="80"/>
        <v>0</v>
      </c>
      <c r="AC123" s="346">
        <f t="shared" si="81"/>
        <v>0</v>
      </c>
      <c r="AD123" s="346">
        <f t="shared" si="82"/>
        <v>0</v>
      </c>
      <c r="AE123" s="346">
        <f t="shared" si="83"/>
        <v>0</v>
      </c>
      <c r="AF123" s="346">
        <f t="shared" si="84"/>
        <v>0</v>
      </c>
      <c r="AU123" s="79" t="s">
        <v>989</v>
      </c>
      <c r="AV123" s="68" t="s">
        <v>128</v>
      </c>
      <c r="AW123" s="358">
        <f>VLOOKUP($AU124,AllHabsSummaryData,5,FALSE)</f>
        <v>0</v>
      </c>
      <c r="AX123" s="358">
        <f t="shared" si="90"/>
        <v>0</v>
      </c>
      <c r="AY123" s="358">
        <f t="shared" si="91"/>
        <v>0</v>
      </c>
      <c r="AZ123" s="358">
        <f t="shared" si="92"/>
        <v>0</v>
      </c>
      <c r="BA123" s="358">
        <f t="shared" si="93"/>
        <v>0</v>
      </c>
      <c r="BB123" s="358">
        <f t="shared" si="94"/>
        <v>0</v>
      </c>
      <c r="BC123" s="358">
        <f t="shared" si="95"/>
        <v>0</v>
      </c>
      <c r="BD123" s="358">
        <f t="shared" si="96"/>
        <v>0</v>
      </c>
      <c r="BE123" s="358">
        <f t="shared" si="88"/>
        <v>0</v>
      </c>
      <c r="BF123" s="358" t="str">
        <f t="shared" si="89"/>
        <v/>
      </c>
    </row>
    <row r="124" spans="1:58">
      <c r="A124" s="79" t="str">
        <f>'G-1 All Habitats'!B124</f>
        <v>Intertidal sediment - Artificial littoral sand</v>
      </c>
      <c r="B124" s="68" t="str">
        <f>'G-1 All Habitats'!F124</f>
        <v>Intertidal sediment</v>
      </c>
      <c r="C124" s="68" t="str">
        <f>'G-1 All Habitats'!K124</f>
        <v>Low</v>
      </c>
      <c r="D124" s="68" t="str">
        <f>'G-1 All Habitats'!M124</f>
        <v>Same distinctiveness or better habitat required ≥</v>
      </c>
      <c r="E124" s="346">
        <f>IF(C124="V.High",SUMIF('A-1 On-Site Habitat Baseline'!$G$11:$G$258,'G-2 Habitat groups'!A124,'A-1 On-Site Habitat Baseline'!$S$11:$S$258)+SUMIF('A-1 On-Site Habitat Baseline'!$G$11:$G$258,'G-2 Habitat groups'!A124,'A-1 On-Site Habitat Baseline'!$T$11:$T$258),SUMIF('A-1 On-Site Habitat Baseline'!$G$11:$G$258,'G-2 Habitat groups'!A124,'A-1 On-Site Habitat Baseline'!$H$11:$H$258))</f>
        <v>0</v>
      </c>
      <c r="F124" s="346">
        <f>SUMIF('A-1 On-Site Habitat Baseline'!$G$11:$G$258,'G-2 Habitat groups'!A124,'A-1 On-Site Habitat Baseline'!$Q$11:$Q$258)</f>
        <v>0</v>
      </c>
      <c r="G124" s="346">
        <f>SUMIF('A-1 On-Site Habitat Baseline'!$G$11:$G$258,'G-2 Habitat groups'!A124,'A-1 On-Site Habitat Baseline'!$S$11:$S$258)</f>
        <v>0</v>
      </c>
      <c r="H124" s="346">
        <f>SUMIF('A-1 On-Site Habitat Baseline'!$G$11:$G$258,'G-2 Habitat groups'!A124,'A-1 On-Site Habitat Baseline'!$U$11:$U$258)</f>
        <v>0</v>
      </c>
      <c r="I124" s="346">
        <f>SUMIF('A-1 On-Site Habitat Baseline'!$G$11:$G$258,'G-2 Habitat groups'!A124,'A-1 On-Site Habitat Baseline'!$W$11:$W$258)</f>
        <v>0</v>
      </c>
      <c r="J124" s="346">
        <f>SUMIF('A-1 On-Site Habitat Baseline'!$G$11:$G$258,'G-2 Habitat groups'!A124,'A-1 On-Site Habitat Baseline'!$X$11:$X$258)</f>
        <v>0</v>
      </c>
      <c r="K124" s="346">
        <f>SUMIF('A-2 On-Site Habitat Creation'!$F$11:$F$256,'G-2 Habitat groups'!A124,'A-2 On-Site Habitat Creation'!$G$11:$G$256)</f>
        <v>0</v>
      </c>
      <c r="L124" s="346">
        <f>SUMIF('A-2 On-Site Habitat Creation'!$F$11:$F$256,'G-2 Habitat groups'!A124,'A-2 On-Site Habitat Creation'!$Y$11:$Y$256)</f>
        <v>0</v>
      </c>
      <c r="M124" s="346">
        <f>SUMIF('A-3 On-Site Habitat Enhancement'!$S$12:$S$257,'G-2 Habitat groups'!A124,'A-3 On-Site Habitat Enhancement'!$V$12:$V$257)</f>
        <v>0</v>
      </c>
      <c r="N124" s="346">
        <f>SUMIF('A-3 On-Site Habitat Enhancement'!$S$12:$S$257,'G-2 Habitat groups'!A124,'A-3 On-Site Habitat Enhancement'!$AN$12:$AN$257)</f>
        <v>0</v>
      </c>
      <c r="O124" s="346">
        <f t="shared" si="75"/>
        <v>0</v>
      </c>
      <c r="P124" s="346">
        <f t="shared" si="76"/>
        <v>0</v>
      </c>
      <c r="Q124" s="346">
        <f t="shared" si="77"/>
        <v>0</v>
      </c>
      <c r="R124" s="346">
        <f t="shared" si="78"/>
        <v>0</v>
      </c>
      <c r="S124" s="346">
        <f>IF(C124="V.High",SUMIF('D-1 Off-Site Habitat Baseline'!$G$11:$G$258,'G-2 Habitat groups'!A124,'D-1 Off-Site Habitat Baseline'!$V$11:$V$258)+SUMIF('D-1 Off-Site Habitat Baseline'!$G$11:$G$258,'G-2 Habitat groups'!A124,'D-1 Off-Site Habitat Baseline'!$W$11:$W$258),SUMIF('D-1 Off-Site Habitat Baseline'!$G$11:$G$258,'G-2 Habitat groups'!A124,'D-1 Off-Site Habitat Baseline'!$H$11:$H$258))</f>
        <v>0</v>
      </c>
      <c r="T124" s="346">
        <f>SUMIF('D-1 Off-Site Habitat Baseline'!$G$11:$G$258,'G-2 Habitat groups'!A124,'D-1 Off-Site Habitat Baseline'!$T$11:$T$258)</f>
        <v>0</v>
      </c>
      <c r="U124" s="346">
        <f>SUMIF('D-1 Off-Site Habitat Baseline'!$G$11:$G$258,'G-2 Habitat groups'!A124,'D-1 Off-Site Habitat Baseline'!$V$11:$V$258)</f>
        <v>0</v>
      </c>
      <c r="V124" s="346">
        <f>SUMIF('D-1 Off-Site Habitat Baseline'!$G$11:$G$258,'G-2 Habitat groups'!A124,'D-1 Off-Site Habitat Baseline'!$X$11:$X$258)</f>
        <v>0</v>
      </c>
      <c r="W124" s="346">
        <f>SUMIF('D-2 Off-Site Habitat Creation'!$F$9:$F$255,'G-2 Habitat groups'!A124,'D-2 Off-Site Habitat Creation'!$G$9:$G$255)</f>
        <v>0</v>
      </c>
      <c r="X124" s="346">
        <f>SUMIF('D-2 Off-Site Habitat Creation'!$F$9:$F$255,'G-2 Habitat groups'!A124,'D-2 Off-Site Habitat Creation'!$AB$9:$AB$255)</f>
        <v>0</v>
      </c>
      <c r="Y124" s="346">
        <f>SUMIF('D-3 Off-Site Habitat Enhancment'!$S$12:$S$491,'G-2 Habitat groups'!A124,'D-3 Off-Site Habitat Enhancment'!$V$12:$V$491)</f>
        <v>0</v>
      </c>
      <c r="Z124" s="346">
        <f>SUMIF('D-3 Off-Site Habitat Enhancment'!$S$12:$S$491,'G-2 Habitat groups'!A124,'D-3 Off-Site Habitat Enhancment'!$AQ$12:$AQ$491)</f>
        <v>0</v>
      </c>
      <c r="AA124" s="346">
        <f t="shared" si="79"/>
        <v>0</v>
      </c>
      <c r="AB124" s="346">
        <f t="shared" si="80"/>
        <v>0</v>
      </c>
      <c r="AC124" s="346">
        <f t="shared" si="81"/>
        <v>0</v>
      </c>
      <c r="AD124" s="346">
        <f t="shared" si="82"/>
        <v>0</v>
      </c>
      <c r="AE124" s="346">
        <f t="shared" si="83"/>
        <v>0</v>
      </c>
      <c r="AF124" s="346">
        <f t="shared" si="84"/>
        <v>0</v>
      </c>
      <c r="AU124" s="79" t="s">
        <v>687</v>
      </c>
      <c r="AV124" s="68" t="s">
        <v>129</v>
      </c>
      <c r="AW124" s="358">
        <f t="shared" ref="AW124:AW151" si="97">VLOOKUP($AU124,AllHabsSummaryData,5,FALSE)</f>
        <v>0</v>
      </c>
      <c r="AX124" s="358">
        <f t="shared" si="90"/>
        <v>0</v>
      </c>
      <c r="AY124" s="358">
        <f t="shared" si="91"/>
        <v>0</v>
      </c>
      <c r="AZ124" s="358">
        <f t="shared" si="92"/>
        <v>0</v>
      </c>
      <c r="BA124" s="358">
        <f t="shared" si="93"/>
        <v>0</v>
      </c>
      <c r="BB124" s="358">
        <f t="shared" si="94"/>
        <v>0</v>
      </c>
      <c r="BC124" s="358">
        <f t="shared" si="95"/>
        <v>0</v>
      </c>
      <c r="BD124" s="358">
        <f t="shared" si="96"/>
        <v>0</v>
      </c>
      <c r="BE124" s="358">
        <f t="shared" si="88"/>
        <v>0</v>
      </c>
      <c r="BF124" s="358" t="str">
        <f t="shared" si="89"/>
        <v/>
      </c>
    </row>
    <row r="125" spans="1:58">
      <c r="A125" s="79" t="str">
        <f>'G-1 All Habitats'!B125</f>
        <v>Intertidal sediment - Artificial littoral muddy sand</v>
      </c>
      <c r="B125" s="68" t="str">
        <f>'G-1 All Habitats'!F125</f>
        <v>Intertidal sediment</v>
      </c>
      <c r="C125" s="68" t="str">
        <f>'G-1 All Habitats'!K125</f>
        <v>Low</v>
      </c>
      <c r="D125" s="68" t="str">
        <f>'G-1 All Habitats'!M125</f>
        <v>Same distinctiveness or better habitat required ≥</v>
      </c>
      <c r="E125" s="346">
        <f>IF(C125="V.High",SUMIF('A-1 On-Site Habitat Baseline'!$G$11:$G$258,'G-2 Habitat groups'!A125,'A-1 On-Site Habitat Baseline'!$S$11:$S$258)+SUMIF('A-1 On-Site Habitat Baseline'!$G$11:$G$258,'G-2 Habitat groups'!A125,'A-1 On-Site Habitat Baseline'!$T$11:$T$258),SUMIF('A-1 On-Site Habitat Baseline'!$G$11:$G$258,'G-2 Habitat groups'!A125,'A-1 On-Site Habitat Baseline'!$H$11:$H$258))</f>
        <v>0</v>
      </c>
      <c r="F125" s="346">
        <f>SUMIF('A-1 On-Site Habitat Baseline'!$G$11:$G$258,'G-2 Habitat groups'!A125,'A-1 On-Site Habitat Baseline'!$Q$11:$Q$258)</f>
        <v>0</v>
      </c>
      <c r="G125" s="346">
        <f>SUMIF('A-1 On-Site Habitat Baseline'!$G$11:$G$258,'G-2 Habitat groups'!A125,'A-1 On-Site Habitat Baseline'!$S$11:$S$258)</f>
        <v>0</v>
      </c>
      <c r="H125" s="346">
        <f>SUMIF('A-1 On-Site Habitat Baseline'!$G$11:$G$258,'G-2 Habitat groups'!A125,'A-1 On-Site Habitat Baseline'!$U$11:$U$258)</f>
        <v>0</v>
      </c>
      <c r="I125" s="346">
        <f>SUMIF('A-1 On-Site Habitat Baseline'!$G$11:$G$258,'G-2 Habitat groups'!A125,'A-1 On-Site Habitat Baseline'!$W$11:$W$258)</f>
        <v>0</v>
      </c>
      <c r="J125" s="346">
        <f>SUMIF('A-1 On-Site Habitat Baseline'!$G$11:$G$258,'G-2 Habitat groups'!A125,'A-1 On-Site Habitat Baseline'!$X$11:$X$258)</f>
        <v>0</v>
      </c>
      <c r="K125" s="346">
        <f>SUMIF('A-2 On-Site Habitat Creation'!$F$11:$F$256,'G-2 Habitat groups'!A125,'A-2 On-Site Habitat Creation'!$G$11:$G$256)</f>
        <v>0</v>
      </c>
      <c r="L125" s="346">
        <f>SUMIF('A-2 On-Site Habitat Creation'!$F$11:$F$256,'G-2 Habitat groups'!A125,'A-2 On-Site Habitat Creation'!$Y$11:$Y$256)</f>
        <v>0</v>
      </c>
      <c r="M125" s="346">
        <f>SUMIF('A-3 On-Site Habitat Enhancement'!$S$12:$S$257,'G-2 Habitat groups'!A125,'A-3 On-Site Habitat Enhancement'!$V$12:$V$257)</f>
        <v>0</v>
      </c>
      <c r="N125" s="346">
        <f>SUMIF('A-3 On-Site Habitat Enhancement'!$S$12:$S$257,'G-2 Habitat groups'!A125,'A-3 On-Site Habitat Enhancement'!$AN$12:$AN$257)</f>
        <v>0</v>
      </c>
      <c r="O125" s="346">
        <f t="shared" si="75"/>
        <v>0</v>
      </c>
      <c r="P125" s="346">
        <f t="shared" si="76"/>
        <v>0</v>
      </c>
      <c r="Q125" s="346">
        <f t="shared" si="77"/>
        <v>0</v>
      </c>
      <c r="R125" s="346">
        <f t="shared" si="78"/>
        <v>0</v>
      </c>
      <c r="S125" s="346">
        <f>IF(C125="V.High",SUMIF('D-1 Off-Site Habitat Baseline'!$G$11:$G$258,'G-2 Habitat groups'!A125,'D-1 Off-Site Habitat Baseline'!$V$11:$V$258)+SUMIF('D-1 Off-Site Habitat Baseline'!$G$11:$G$258,'G-2 Habitat groups'!A125,'D-1 Off-Site Habitat Baseline'!$W$11:$W$258),SUMIF('D-1 Off-Site Habitat Baseline'!$G$11:$G$258,'G-2 Habitat groups'!A125,'D-1 Off-Site Habitat Baseline'!$H$11:$H$258))</f>
        <v>0</v>
      </c>
      <c r="T125" s="346">
        <f>SUMIF('D-1 Off-Site Habitat Baseline'!$G$11:$G$258,'G-2 Habitat groups'!A125,'D-1 Off-Site Habitat Baseline'!$T$11:$T$258)</f>
        <v>0</v>
      </c>
      <c r="U125" s="346">
        <f>SUMIF('D-1 Off-Site Habitat Baseline'!$G$11:$G$258,'G-2 Habitat groups'!A125,'D-1 Off-Site Habitat Baseline'!$V$11:$V$258)</f>
        <v>0</v>
      </c>
      <c r="V125" s="346">
        <f>SUMIF('D-1 Off-Site Habitat Baseline'!$G$11:$G$258,'G-2 Habitat groups'!A125,'D-1 Off-Site Habitat Baseline'!$X$11:$X$258)</f>
        <v>0</v>
      </c>
      <c r="W125" s="346">
        <f>SUMIF('D-2 Off-Site Habitat Creation'!$F$9:$F$255,'G-2 Habitat groups'!A125,'D-2 Off-Site Habitat Creation'!$G$9:$G$255)</f>
        <v>0</v>
      </c>
      <c r="X125" s="346">
        <f>SUMIF('D-2 Off-Site Habitat Creation'!$F$9:$F$255,'G-2 Habitat groups'!A125,'D-2 Off-Site Habitat Creation'!$AB$9:$AB$255)</f>
        <v>0</v>
      </c>
      <c r="Y125" s="346">
        <f>SUMIF('D-3 Off-Site Habitat Enhancment'!$S$12:$S$491,'G-2 Habitat groups'!A125,'D-3 Off-Site Habitat Enhancment'!$V$12:$V$491)</f>
        <v>0</v>
      </c>
      <c r="Z125" s="346">
        <f>SUMIF('D-3 Off-Site Habitat Enhancment'!$S$12:$S$491,'G-2 Habitat groups'!A125,'D-3 Off-Site Habitat Enhancment'!$AQ$12:$AQ$491)</f>
        <v>0</v>
      </c>
      <c r="AA125" s="346">
        <f t="shared" si="79"/>
        <v>0</v>
      </c>
      <c r="AB125" s="346">
        <f t="shared" si="80"/>
        <v>0</v>
      </c>
      <c r="AC125" s="346">
        <f t="shared" si="81"/>
        <v>0</v>
      </c>
      <c r="AD125" s="346">
        <f t="shared" si="82"/>
        <v>0</v>
      </c>
      <c r="AE125" s="346">
        <f t="shared" si="83"/>
        <v>0</v>
      </c>
      <c r="AF125" s="346">
        <f t="shared" si="84"/>
        <v>0</v>
      </c>
      <c r="AU125" s="79" t="s">
        <v>682</v>
      </c>
      <c r="AV125" s="68" t="s">
        <v>129</v>
      </c>
      <c r="AW125" s="358">
        <f t="shared" si="97"/>
        <v>0</v>
      </c>
      <c r="AX125" s="358">
        <f t="shared" si="90"/>
        <v>0</v>
      </c>
      <c r="AY125" s="358">
        <f t="shared" si="91"/>
        <v>0</v>
      </c>
      <c r="AZ125" s="358">
        <f t="shared" si="92"/>
        <v>0</v>
      </c>
      <c r="BA125" s="358">
        <f t="shared" si="93"/>
        <v>0</v>
      </c>
      <c r="BB125" s="358">
        <f t="shared" si="94"/>
        <v>0</v>
      </c>
      <c r="BC125" s="358">
        <f t="shared" si="95"/>
        <v>0</v>
      </c>
      <c r="BD125" s="358">
        <f t="shared" si="96"/>
        <v>0</v>
      </c>
      <c r="BE125" s="358">
        <f t="shared" si="88"/>
        <v>0</v>
      </c>
      <c r="BF125" s="358" t="str">
        <f t="shared" si="89"/>
        <v/>
      </c>
    </row>
    <row r="126" spans="1:58">
      <c r="A126" s="79" t="str">
        <f>'G-1 All Habitats'!B126</f>
        <v>Intertidal sediment - Artificial littoral mixed sediments</v>
      </c>
      <c r="B126" s="68" t="str">
        <f>'G-1 All Habitats'!F126</f>
        <v>Intertidal sediment</v>
      </c>
      <c r="C126" s="68" t="str">
        <f>'G-1 All Habitats'!K126</f>
        <v>Low</v>
      </c>
      <c r="D126" s="68" t="str">
        <f>'G-1 All Habitats'!M126</f>
        <v>Same distinctiveness or better habitat required ≥</v>
      </c>
      <c r="E126" s="346">
        <f>IF(C126="V.High",SUMIF('A-1 On-Site Habitat Baseline'!$G$11:$G$258,'G-2 Habitat groups'!A126,'A-1 On-Site Habitat Baseline'!$S$11:$S$258)+SUMIF('A-1 On-Site Habitat Baseline'!$G$11:$G$258,'G-2 Habitat groups'!A126,'A-1 On-Site Habitat Baseline'!$T$11:$T$258),SUMIF('A-1 On-Site Habitat Baseline'!$G$11:$G$258,'G-2 Habitat groups'!A126,'A-1 On-Site Habitat Baseline'!$H$11:$H$258))</f>
        <v>0</v>
      </c>
      <c r="F126" s="346">
        <f>SUMIF('A-1 On-Site Habitat Baseline'!$G$11:$G$258,'G-2 Habitat groups'!A126,'A-1 On-Site Habitat Baseline'!$Q$11:$Q$258)</f>
        <v>0</v>
      </c>
      <c r="G126" s="346">
        <f>SUMIF('A-1 On-Site Habitat Baseline'!$G$11:$G$258,'G-2 Habitat groups'!A126,'A-1 On-Site Habitat Baseline'!$S$11:$S$258)</f>
        <v>0</v>
      </c>
      <c r="H126" s="346">
        <f>SUMIF('A-1 On-Site Habitat Baseline'!$G$11:$G$258,'G-2 Habitat groups'!A126,'A-1 On-Site Habitat Baseline'!$U$11:$U$258)</f>
        <v>0</v>
      </c>
      <c r="I126" s="346">
        <f>SUMIF('A-1 On-Site Habitat Baseline'!$G$11:$G$258,'G-2 Habitat groups'!A126,'A-1 On-Site Habitat Baseline'!$W$11:$W$258)</f>
        <v>0</v>
      </c>
      <c r="J126" s="346">
        <f>SUMIF('A-1 On-Site Habitat Baseline'!$G$11:$G$258,'G-2 Habitat groups'!A126,'A-1 On-Site Habitat Baseline'!$X$11:$X$258)</f>
        <v>0</v>
      </c>
      <c r="K126" s="346">
        <f>SUMIF('A-2 On-Site Habitat Creation'!$F$11:$F$256,'G-2 Habitat groups'!A126,'A-2 On-Site Habitat Creation'!$G$11:$G$256)</f>
        <v>0</v>
      </c>
      <c r="L126" s="346">
        <f>SUMIF('A-2 On-Site Habitat Creation'!$F$11:$F$256,'G-2 Habitat groups'!A126,'A-2 On-Site Habitat Creation'!$Y$11:$Y$256)</f>
        <v>0</v>
      </c>
      <c r="M126" s="346">
        <f>SUMIF('A-3 On-Site Habitat Enhancement'!$S$12:$S$257,'G-2 Habitat groups'!A126,'A-3 On-Site Habitat Enhancement'!$V$12:$V$257)</f>
        <v>0</v>
      </c>
      <c r="N126" s="346">
        <f>SUMIF('A-3 On-Site Habitat Enhancement'!$S$12:$S$257,'G-2 Habitat groups'!A126,'A-3 On-Site Habitat Enhancement'!$AN$12:$AN$257)</f>
        <v>0</v>
      </c>
      <c r="O126" s="346">
        <f t="shared" si="75"/>
        <v>0</v>
      </c>
      <c r="P126" s="346">
        <f t="shared" si="76"/>
        <v>0</v>
      </c>
      <c r="Q126" s="346">
        <f t="shared" si="77"/>
        <v>0</v>
      </c>
      <c r="R126" s="346">
        <f t="shared" si="78"/>
        <v>0</v>
      </c>
      <c r="S126" s="346">
        <f>IF(C126="V.High",SUMIF('D-1 Off-Site Habitat Baseline'!$G$11:$G$258,'G-2 Habitat groups'!A126,'D-1 Off-Site Habitat Baseline'!$V$11:$V$258)+SUMIF('D-1 Off-Site Habitat Baseline'!$G$11:$G$258,'G-2 Habitat groups'!A126,'D-1 Off-Site Habitat Baseline'!$W$11:$W$258),SUMIF('D-1 Off-Site Habitat Baseline'!$G$11:$G$258,'G-2 Habitat groups'!A126,'D-1 Off-Site Habitat Baseline'!$H$11:$H$258))</f>
        <v>0</v>
      </c>
      <c r="T126" s="346">
        <f>SUMIF('D-1 Off-Site Habitat Baseline'!$G$11:$G$258,'G-2 Habitat groups'!A126,'D-1 Off-Site Habitat Baseline'!$T$11:$T$258)</f>
        <v>0</v>
      </c>
      <c r="U126" s="346">
        <f>SUMIF('D-1 Off-Site Habitat Baseline'!$G$11:$G$258,'G-2 Habitat groups'!A126,'D-1 Off-Site Habitat Baseline'!$V$11:$V$258)</f>
        <v>0</v>
      </c>
      <c r="V126" s="346">
        <f>SUMIF('D-1 Off-Site Habitat Baseline'!$G$11:$G$258,'G-2 Habitat groups'!A126,'D-1 Off-Site Habitat Baseline'!$X$11:$X$258)</f>
        <v>0</v>
      </c>
      <c r="W126" s="346">
        <f>SUMIF('D-2 Off-Site Habitat Creation'!$F$9:$F$255,'G-2 Habitat groups'!A126,'D-2 Off-Site Habitat Creation'!$G$9:$G$255)</f>
        <v>0</v>
      </c>
      <c r="X126" s="346">
        <f>SUMIF('D-2 Off-Site Habitat Creation'!$F$9:$F$255,'G-2 Habitat groups'!A126,'D-2 Off-Site Habitat Creation'!$AB$9:$AB$255)</f>
        <v>0</v>
      </c>
      <c r="Y126" s="346">
        <f>SUMIF('D-3 Off-Site Habitat Enhancment'!$S$12:$S$491,'G-2 Habitat groups'!A126,'D-3 Off-Site Habitat Enhancment'!$V$12:$V$491)</f>
        <v>0</v>
      </c>
      <c r="Z126" s="346">
        <f>SUMIF('D-3 Off-Site Habitat Enhancment'!$S$12:$S$491,'G-2 Habitat groups'!A126,'D-3 Off-Site Habitat Enhancment'!$AQ$12:$AQ$491)</f>
        <v>0</v>
      </c>
      <c r="AA126" s="346">
        <f t="shared" si="79"/>
        <v>0</v>
      </c>
      <c r="AB126" s="346">
        <f t="shared" si="80"/>
        <v>0</v>
      </c>
      <c r="AC126" s="346">
        <f t="shared" si="81"/>
        <v>0</v>
      </c>
      <c r="AD126" s="346">
        <f t="shared" si="82"/>
        <v>0</v>
      </c>
      <c r="AE126" s="346">
        <f t="shared" si="83"/>
        <v>0</v>
      </c>
      <c r="AF126" s="346">
        <f t="shared" si="84"/>
        <v>0</v>
      </c>
      <c r="AU126" s="79" t="s">
        <v>703</v>
      </c>
      <c r="AV126" s="68" t="s">
        <v>129</v>
      </c>
      <c r="AW126" s="358">
        <f t="shared" si="97"/>
        <v>0</v>
      </c>
      <c r="AX126" s="358">
        <f t="shared" si="90"/>
        <v>0</v>
      </c>
      <c r="AY126" s="358">
        <f t="shared" si="91"/>
        <v>0</v>
      </c>
      <c r="AZ126" s="358">
        <f t="shared" si="92"/>
        <v>0</v>
      </c>
      <c r="BA126" s="358">
        <f t="shared" si="93"/>
        <v>0</v>
      </c>
      <c r="BB126" s="358">
        <f t="shared" si="94"/>
        <v>0</v>
      </c>
      <c r="BC126" s="358">
        <f t="shared" si="95"/>
        <v>0</v>
      </c>
      <c r="BD126" s="358">
        <f t="shared" si="96"/>
        <v>0</v>
      </c>
      <c r="BE126" s="358">
        <f t="shared" si="88"/>
        <v>0</v>
      </c>
      <c r="BF126" s="358" t="str">
        <f t="shared" si="89"/>
        <v/>
      </c>
    </row>
    <row r="127" spans="1:58">
      <c r="A127" s="79" t="str">
        <f>'G-1 All Habitats'!B127</f>
        <v>Intertidal sediment - Artificial littoral seagrass</v>
      </c>
      <c r="B127" s="68" t="str">
        <f>'G-1 All Habitats'!F127</f>
        <v>Intertidal sediment</v>
      </c>
      <c r="C127" s="68" t="str">
        <f>'G-1 All Habitats'!K127</f>
        <v>Low</v>
      </c>
      <c r="D127" s="68" t="str">
        <f>'G-1 All Habitats'!M127</f>
        <v>Same distinctiveness or better habitat required ≥</v>
      </c>
      <c r="E127" s="346">
        <f>IF(C127="V.High",SUMIF('A-1 On-Site Habitat Baseline'!$G$11:$G$258,'G-2 Habitat groups'!A127,'A-1 On-Site Habitat Baseline'!$S$11:$S$258)+SUMIF('A-1 On-Site Habitat Baseline'!$G$11:$G$258,'G-2 Habitat groups'!A127,'A-1 On-Site Habitat Baseline'!$T$11:$T$258),SUMIF('A-1 On-Site Habitat Baseline'!$G$11:$G$258,'G-2 Habitat groups'!A127,'A-1 On-Site Habitat Baseline'!$H$11:$H$258))</f>
        <v>0</v>
      </c>
      <c r="F127" s="346">
        <f>SUMIF('A-1 On-Site Habitat Baseline'!$G$11:$G$258,'G-2 Habitat groups'!A127,'A-1 On-Site Habitat Baseline'!$Q$11:$Q$258)</f>
        <v>0</v>
      </c>
      <c r="G127" s="346">
        <f>SUMIF('A-1 On-Site Habitat Baseline'!$G$11:$G$258,'G-2 Habitat groups'!A127,'A-1 On-Site Habitat Baseline'!$S$11:$S$258)</f>
        <v>0</v>
      </c>
      <c r="H127" s="346">
        <f>SUMIF('A-1 On-Site Habitat Baseline'!$G$11:$G$258,'G-2 Habitat groups'!A127,'A-1 On-Site Habitat Baseline'!$U$11:$U$258)</f>
        <v>0</v>
      </c>
      <c r="I127" s="346">
        <f>SUMIF('A-1 On-Site Habitat Baseline'!$G$11:$G$258,'G-2 Habitat groups'!A127,'A-1 On-Site Habitat Baseline'!$W$11:$W$258)</f>
        <v>0</v>
      </c>
      <c r="J127" s="346">
        <f>SUMIF('A-1 On-Site Habitat Baseline'!$G$11:$G$258,'G-2 Habitat groups'!A127,'A-1 On-Site Habitat Baseline'!$X$11:$X$258)</f>
        <v>0</v>
      </c>
      <c r="K127" s="346">
        <f>SUMIF('A-2 On-Site Habitat Creation'!$F$11:$F$256,'G-2 Habitat groups'!A127,'A-2 On-Site Habitat Creation'!$G$11:$G$256)</f>
        <v>0</v>
      </c>
      <c r="L127" s="346">
        <f>SUMIF('A-2 On-Site Habitat Creation'!$F$11:$F$256,'G-2 Habitat groups'!A127,'A-2 On-Site Habitat Creation'!$Y$11:$Y$256)</f>
        <v>0</v>
      </c>
      <c r="M127" s="346">
        <f>SUMIF('A-3 On-Site Habitat Enhancement'!$S$12:$S$257,'G-2 Habitat groups'!A127,'A-3 On-Site Habitat Enhancement'!$V$12:$V$257)</f>
        <v>0</v>
      </c>
      <c r="N127" s="346">
        <f>SUMIF('A-3 On-Site Habitat Enhancement'!$S$12:$S$257,'G-2 Habitat groups'!A127,'A-3 On-Site Habitat Enhancement'!$AN$12:$AN$257)</f>
        <v>0</v>
      </c>
      <c r="O127" s="346">
        <f t="shared" si="75"/>
        <v>0</v>
      </c>
      <c r="P127" s="346">
        <f t="shared" si="76"/>
        <v>0</v>
      </c>
      <c r="Q127" s="346">
        <f t="shared" si="77"/>
        <v>0</v>
      </c>
      <c r="R127" s="346">
        <f t="shared" si="78"/>
        <v>0</v>
      </c>
      <c r="S127" s="346">
        <f>IF(C127="V.High",SUMIF('D-1 Off-Site Habitat Baseline'!$G$11:$G$258,'G-2 Habitat groups'!A127,'D-1 Off-Site Habitat Baseline'!$V$11:$V$258)+SUMIF('D-1 Off-Site Habitat Baseline'!$G$11:$G$258,'G-2 Habitat groups'!A127,'D-1 Off-Site Habitat Baseline'!$W$11:$W$258),SUMIF('D-1 Off-Site Habitat Baseline'!$G$11:$G$258,'G-2 Habitat groups'!A127,'D-1 Off-Site Habitat Baseline'!$H$11:$H$258))</f>
        <v>0</v>
      </c>
      <c r="T127" s="346">
        <f>SUMIF('D-1 Off-Site Habitat Baseline'!$G$11:$G$258,'G-2 Habitat groups'!A127,'D-1 Off-Site Habitat Baseline'!$T$11:$T$258)</f>
        <v>0</v>
      </c>
      <c r="U127" s="346">
        <f>SUMIF('D-1 Off-Site Habitat Baseline'!$G$11:$G$258,'G-2 Habitat groups'!A127,'D-1 Off-Site Habitat Baseline'!$V$11:$V$258)</f>
        <v>0</v>
      </c>
      <c r="V127" s="346">
        <f>SUMIF('D-1 Off-Site Habitat Baseline'!$G$11:$G$258,'G-2 Habitat groups'!A127,'D-1 Off-Site Habitat Baseline'!$X$11:$X$258)</f>
        <v>0</v>
      </c>
      <c r="W127" s="346">
        <f>SUMIF('D-2 Off-Site Habitat Creation'!$F$9:$F$255,'G-2 Habitat groups'!A127,'D-2 Off-Site Habitat Creation'!$G$9:$G$255)</f>
        <v>0</v>
      </c>
      <c r="X127" s="346">
        <f>SUMIF('D-2 Off-Site Habitat Creation'!$F$9:$F$255,'G-2 Habitat groups'!A127,'D-2 Off-Site Habitat Creation'!$AB$9:$AB$255)</f>
        <v>0</v>
      </c>
      <c r="Y127" s="346">
        <f>SUMIF('D-3 Off-Site Habitat Enhancment'!$S$12:$S$491,'G-2 Habitat groups'!A127,'D-3 Off-Site Habitat Enhancment'!$V$12:$V$491)</f>
        <v>0</v>
      </c>
      <c r="Z127" s="346">
        <f>SUMIF('D-3 Off-Site Habitat Enhancment'!$S$12:$S$491,'G-2 Habitat groups'!A127,'D-3 Off-Site Habitat Enhancment'!$AQ$12:$AQ$491)</f>
        <v>0</v>
      </c>
      <c r="AA127" s="346">
        <f t="shared" si="79"/>
        <v>0</v>
      </c>
      <c r="AB127" s="346">
        <f t="shared" si="80"/>
        <v>0</v>
      </c>
      <c r="AC127" s="346">
        <f t="shared" si="81"/>
        <v>0</v>
      </c>
      <c r="AD127" s="346">
        <f t="shared" si="82"/>
        <v>0</v>
      </c>
      <c r="AE127" s="346">
        <f t="shared" si="83"/>
        <v>0</v>
      </c>
      <c r="AF127" s="346">
        <f t="shared" si="84"/>
        <v>0</v>
      </c>
      <c r="AU127" s="79" t="s">
        <v>706</v>
      </c>
      <c r="AV127" s="68" t="s">
        <v>129</v>
      </c>
      <c r="AW127" s="358">
        <f t="shared" si="97"/>
        <v>0</v>
      </c>
      <c r="AX127" s="358">
        <f t="shared" si="90"/>
        <v>0</v>
      </c>
      <c r="AY127" s="358">
        <f t="shared" si="91"/>
        <v>0</v>
      </c>
      <c r="AZ127" s="358">
        <f t="shared" si="92"/>
        <v>0</v>
      </c>
      <c r="BA127" s="358">
        <f t="shared" si="93"/>
        <v>0</v>
      </c>
      <c r="BB127" s="358">
        <f t="shared" si="94"/>
        <v>0</v>
      </c>
      <c r="BC127" s="358">
        <f t="shared" si="95"/>
        <v>0</v>
      </c>
      <c r="BD127" s="358">
        <f t="shared" si="96"/>
        <v>0</v>
      </c>
      <c r="BE127" s="358">
        <f t="shared" si="88"/>
        <v>0</v>
      </c>
      <c r="BF127" s="358" t="str">
        <f t="shared" si="89"/>
        <v/>
      </c>
    </row>
    <row r="128" spans="1:58">
      <c r="A128" s="79" t="str">
        <f>'G-1 All Habitats'!B128</f>
        <v>Intertidal sediment - Artificial littoral biogenic reefs</v>
      </c>
      <c r="B128" s="68" t="str">
        <f>'G-1 All Habitats'!F128</f>
        <v>Intertidal sediment</v>
      </c>
      <c r="C128" s="68" t="str">
        <f>'G-1 All Habitats'!K128</f>
        <v>Low</v>
      </c>
      <c r="D128" s="68" t="str">
        <f>'G-1 All Habitats'!M128</f>
        <v>Same distinctiveness or better habitat required ≥</v>
      </c>
      <c r="E128" s="346">
        <f>IF(C128="V.High",SUMIF('A-1 On-Site Habitat Baseline'!$G$11:$G$258,'G-2 Habitat groups'!A128,'A-1 On-Site Habitat Baseline'!$S$11:$S$258)+SUMIF('A-1 On-Site Habitat Baseline'!$G$11:$G$258,'G-2 Habitat groups'!A128,'A-1 On-Site Habitat Baseline'!$T$11:$T$258),SUMIF('A-1 On-Site Habitat Baseline'!$G$11:$G$258,'G-2 Habitat groups'!A128,'A-1 On-Site Habitat Baseline'!$H$11:$H$258))</f>
        <v>0</v>
      </c>
      <c r="F128" s="346">
        <f>SUMIF('A-1 On-Site Habitat Baseline'!$G$11:$G$258,'G-2 Habitat groups'!A128,'A-1 On-Site Habitat Baseline'!$Q$11:$Q$258)</f>
        <v>0</v>
      </c>
      <c r="G128" s="346">
        <f>SUMIF('A-1 On-Site Habitat Baseline'!$G$11:$G$258,'G-2 Habitat groups'!A128,'A-1 On-Site Habitat Baseline'!$S$11:$S$258)</f>
        <v>0</v>
      </c>
      <c r="H128" s="346">
        <f>SUMIF('A-1 On-Site Habitat Baseline'!$G$11:$G$258,'G-2 Habitat groups'!A128,'A-1 On-Site Habitat Baseline'!$U$11:$U$258)</f>
        <v>0</v>
      </c>
      <c r="I128" s="346">
        <f>SUMIF('A-1 On-Site Habitat Baseline'!$G$11:$G$258,'G-2 Habitat groups'!A128,'A-1 On-Site Habitat Baseline'!$W$11:$W$258)</f>
        <v>0</v>
      </c>
      <c r="J128" s="346">
        <f>SUMIF('A-1 On-Site Habitat Baseline'!$G$11:$G$258,'G-2 Habitat groups'!A128,'A-1 On-Site Habitat Baseline'!$X$11:$X$258)</f>
        <v>0</v>
      </c>
      <c r="K128" s="346">
        <f>SUMIF('A-2 On-Site Habitat Creation'!$F$11:$F$256,'G-2 Habitat groups'!A128,'A-2 On-Site Habitat Creation'!$G$11:$G$256)</f>
        <v>0</v>
      </c>
      <c r="L128" s="346">
        <f>SUMIF('A-2 On-Site Habitat Creation'!$F$11:$F$256,'G-2 Habitat groups'!A128,'A-2 On-Site Habitat Creation'!$Y$11:$Y$256)</f>
        <v>0</v>
      </c>
      <c r="M128" s="346">
        <f>SUMIF('A-3 On-Site Habitat Enhancement'!$S$12:$S$257,'G-2 Habitat groups'!A128,'A-3 On-Site Habitat Enhancement'!$V$12:$V$257)</f>
        <v>0</v>
      </c>
      <c r="N128" s="346">
        <f>SUMIF('A-3 On-Site Habitat Enhancement'!$S$12:$S$257,'G-2 Habitat groups'!A128,'A-3 On-Site Habitat Enhancement'!$AN$12:$AN$257)</f>
        <v>0</v>
      </c>
      <c r="O128" s="346">
        <f t="shared" si="75"/>
        <v>0</v>
      </c>
      <c r="P128" s="346">
        <f t="shared" si="76"/>
        <v>0</v>
      </c>
      <c r="Q128" s="346">
        <f t="shared" si="77"/>
        <v>0</v>
      </c>
      <c r="R128" s="346">
        <f t="shared" si="78"/>
        <v>0</v>
      </c>
      <c r="S128" s="346">
        <f>IF(C128="V.High",SUMIF('D-1 Off-Site Habitat Baseline'!$G$11:$G$258,'G-2 Habitat groups'!A128,'D-1 Off-Site Habitat Baseline'!$V$11:$V$258)+SUMIF('D-1 Off-Site Habitat Baseline'!$G$11:$G$258,'G-2 Habitat groups'!A128,'D-1 Off-Site Habitat Baseline'!$W$11:$W$258),SUMIF('D-1 Off-Site Habitat Baseline'!$G$11:$G$258,'G-2 Habitat groups'!A128,'D-1 Off-Site Habitat Baseline'!$H$11:$H$258))</f>
        <v>0</v>
      </c>
      <c r="T128" s="346">
        <f>SUMIF('D-1 Off-Site Habitat Baseline'!$G$11:$G$258,'G-2 Habitat groups'!A128,'D-1 Off-Site Habitat Baseline'!$T$11:$T$258)</f>
        <v>0</v>
      </c>
      <c r="U128" s="346">
        <f>SUMIF('D-1 Off-Site Habitat Baseline'!$G$11:$G$258,'G-2 Habitat groups'!A128,'D-1 Off-Site Habitat Baseline'!$V$11:$V$258)</f>
        <v>0</v>
      </c>
      <c r="V128" s="346">
        <f>SUMIF('D-1 Off-Site Habitat Baseline'!$G$11:$G$258,'G-2 Habitat groups'!A128,'D-1 Off-Site Habitat Baseline'!$X$11:$X$258)</f>
        <v>0</v>
      </c>
      <c r="W128" s="346">
        <f>SUMIF('D-2 Off-Site Habitat Creation'!$F$9:$F$255,'G-2 Habitat groups'!A128,'D-2 Off-Site Habitat Creation'!$G$9:$G$255)</f>
        <v>0</v>
      </c>
      <c r="X128" s="346">
        <f>SUMIF('D-2 Off-Site Habitat Creation'!$F$9:$F$255,'G-2 Habitat groups'!A128,'D-2 Off-Site Habitat Creation'!$AB$9:$AB$255)</f>
        <v>0</v>
      </c>
      <c r="Y128" s="346">
        <f>SUMIF('D-3 Off-Site Habitat Enhancment'!$S$12:$S$491,'G-2 Habitat groups'!A128,'D-3 Off-Site Habitat Enhancment'!$V$12:$V$491)</f>
        <v>0</v>
      </c>
      <c r="Z128" s="346">
        <f>SUMIF('D-3 Off-Site Habitat Enhancment'!$S$12:$S$491,'G-2 Habitat groups'!A128,'D-3 Off-Site Habitat Enhancment'!$AQ$12:$AQ$491)</f>
        <v>0</v>
      </c>
      <c r="AA128" s="346">
        <f t="shared" si="79"/>
        <v>0</v>
      </c>
      <c r="AB128" s="346">
        <f t="shared" si="80"/>
        <v>0</v>
      </c>
      <c r="AC128" s="346">
        <f t="shared" si="81"/>
        <v>0</v>
      </c>
      <c r="AD128" s="346">
        <f t="shared" si="82"/>
        <v>0</v>
      </c>
      <c r="AE128" s="346">
        <f t="shared" si="83"/>
        <v>0</v>
      </c>
      <c r="AF128" s="346">
        <f t="shared" si="84"/>
        <v>0</v>
      </c>
      <c r="AU128" s="79" t="s">
        <v>708</v>
      </c>
      <c r="AV128" s="68" t="s">
        <v>129</v>
      </c>
      <c r="AW128" s="358">
        <f t="shared" si="97"/>
        <v>0</v>
      </c>
      <c r="AX128" s="358">
        <f t="shared" si="90"/>
        <v>0</v>
      </c>
      <c r="AY128" s="358">
        <f t="shared" si="91"/>
        <v>0</v>
      </c>
      <c r="AZ128" s="358">
        <f t="shared" si="92"/>
        <v>0</v>
      </c>
      <c r="BA128" s="358">
        <f t="shared" si="93"/>
        <v>0</v>
      </c>
      <c r="BB128" s="358">
        <f t="shared" si="94"/>
        <v>0</v>
      </c>
      <c r="BC128" s="358">
        <f t="shared" si="95"/>
        <v>0</v>
      </c>
      <c r="BD128" s="358">
        <f t="shared" si="96"/>
        <v>0</v>
      </c>
      <c r="BE128" s="358">
        <f t="shared" si="88"/>
        <v>0</v>
      </c>
      <c r="BF128" s="358" t="str">
        <f t="shared" si="89"/>
        <v/>
      </c>
    </row>
    <row r="129" spans="1:58">
      <c r="A129" s="79" t="str">
        <f>'G-1 All Habitats'!B129</f>
        <v>Intertidal sediment - Littoral sand</v>
      </c>
      <c r="B129" s="68" t="str">
        <f>'G-1 All Habitats'!F129</f>
        <v>Intertidal sediment</v>
      </c>
      <c r="C129" s="68" t="str">
        <f>'G-1 All Habitats'!K129</f>
        <v>Medium</v>
      </c>
      <c r="D129" s="68" t="str">
        <f>'G-1 All Habitats'!M129</f>
        <v>Same broad habitat or a higher distinctiveness habitat required (≥)</v>
      </c>
      <c r="E129" s="346">
        <f>IF(C129="V.High",SUMIF('A-1 On-Site Habitat Baseline'!$G$11:$G$258,'G-2 Habitat groups'!A129,'A-1 On-Site Habitat Baseline'!$S$11:$S$258)+SUMIF('A-1 On-Site Habitat Baseline'!$G$11:$G$258,'G-2 Habitat groups'!A129,'A-1 On-Site Habitat Baseline'!$T$11:$T$258),SUMIF('A-1 On-Site Habitat Baseline'!$G$11:$G$258,'G-2 Habitat groups'!A129,'A-1 On-Site Habitat Baseline'!$H$11:$H$258))</f>
        <v>0</v>
      </c>
      <c r="F129" s="346">
        <f>SUMIF('A-1 On-Site Habitat Baseline'!$G$11:$G$258,'G-2 Habitat groups'!A129,'A-1 On-Site Habitat Baseline'!$Q$11:$Q$258)</f>
        <v>0</v>
      </c>
      <c r="G129" s="346">
        <f>SUMIF('A-1 On-Site Habitat Baseline'!$G$11:$G$258,'G-2 Habitat groups'!A129,'A-1 On-Site Habitat Baseline'!$S$11:$S$258)</f>
        <v>0</v>
      </c>
      <c r="H129" s="346">
        <f>SUMIF('A-1 On-Site Habitat Baseline'!$G$11:$G$258,'G-2 Habitat groups'!A129,'A-1 On-Site Habitat Baseline'!$U$11:$U$258)</f>
        <v>0</v>
      </c>
      <c r="I129" s="346">
        <f>SUMIF('A-1 On-Site Habitat Baseline'!$G$11:$G$258,'G-2 Habitat groups'!A129,'A-1 On-Site Habitat Baseline'!$W$11:$W$258)</f>
        <v>0</v>
      </c>
      <c r="J129" s="346">
        <f>SUMIF('A-1 On-Site Habitat Baseline'!$G$11:$G$258,'G-2 Habitat groups'!A129,'A-1 On-Site Habitat Baseline'!$X$11:$X$258)</f>
        <v>0</v>
      </c>
      <c r="K129" s="346">
        <f>SUMIF('A-2 On-Site Habitat Creation'!$F$11:$F$256,'G-2 Habitat groups'!A129,'A-2 On-Site Habitat Creation'!$G$11:$G$256)</f>
        <v>0</v>
      </c>
      <c r="L129" s="346">
        <f>SUMIF('A-2 On-Site Habitat Creation'!$F$11:$F$256,'G-2 Habitat groups'!A129,'A-2 On-Site Habitat Creation'!$Y$11:$Y$256)</f>
        <v>0</v>
      </c>
      <c r="M129" s="346">
        <f>SUMIF('A-3 On-Site Habitat Enhancement'!$S$12:$S$257,'G-2 Habitat groups'!A129,'A-3 On-Site Habitat Enhancement'!$V$12:$V$257)</f>
        <v>0</v>
      </c>
      <c r="N129" s="346">
        <f>SUMIF('A-3 On-Site Habitat Enhancement'!$S$12:$S$257,'G-2 Habitat groups'!A129,'A-3 On-Site Habitat Enhancement'!$AN$12:$AN$257)</f>
        <v>0</v>
      </c>
      <c r="O129" s="346">
        <f t="shared" si="75"/>
        <v>0</v>
      </c>
      <c r="P129" s="346">
        <f t="shared" si="76"/>
        <v>0</v>
      </c>
      <c r="Q129" s="346">
        <f t="shared" si="77"/>
        <v>0</v>
      </c>
      <c r="R129" s="346">
        <f t="shared" si="78"/>
        <v>0</v>
      </c>
      <c r="S129" s="346">
        <f>IF(C129="V.High",SUMIF('D-1 Off-Site Habitat Baseline'!$G$11:$G$258,'G-2 Habitat groups'!A129,'D-1 Off-Site Habitat Baseline'!$V$11:$V$258)+SUMIF('D-1 Off-Site Habitat Baseline'!$G$11:$G$258,'G-2 Habitat groups'!A129,'D-1 Off-Site Habitat Baseline'!$W$11:$W$258),SUMIF('D-1 Off-Site Habitat Baseline'!$G$11:$G$258,'G-2 Habitat groups'!A129,'D-1 Off-Site Habitat Baseline'!$H$11:$H$258))</f>
        <v>0</v>
      </c>
      <c r="T129" s="346">
        <f>SUMIF('D-1 Off-Site Habitat Baseline'!$G$11:$G$258,'G-2 Habitat groups'!A129,'D-1 Off-Site Habitat Baseline'!$T$11:$T$258)</f>
        <v>0</v>
      </c>
      <c r="U129" s="346">
        <f>SUMIF('D-1 Off-Site Habitat Baseline'!$G$11:$G$258,'G-2 Habitat groups'!A129,'D-1 Off-Site Habitat Baseline'!$V$11:$V$258)</f>
        <v>0</v>
      </c>
      <c r="V129" s="346">
        <f>SUMIF('D-1 Off-Site Habitat Baseline'!$G$11:$G$258,'G-2 Habitat groups'!A129,'D-1 Off-Site Habitat Baseline'!$X$11:$X$258)</f>
        <v>0</v>
      </c>
      <c r="W129" s="346">
        <f>SUMIF('D-2 Off-Site Habitat Creation'!$F$9:$F$255,'G-2 Habitat groups'!A129,'D-2 Off-Site Habitat Creation'!$G$9:$G$255)</f>
        <v>0</v>
      </c>
      <c r="X129" s="346">
        <f>SUMIF('D-2 Off-Site Habitat Creation'!$F$9:$F$255,'G-2 Habitat groups'!A129,'D-2 Off-Site Habitat Creation'!$AB$9:$AB$255)</f>
        <v>0</v>
      </c>
      <c r="Y129" s="346">
        <f>SUMIF('D-3 Off-Site Habitat Enhancment'!$S$12:$S$491,'G-2 Habitat groups'!A129,'D-3 Off-Site Habitat Enhancment'!$V$12:$V$491)</f>
        <v>0</v>
      </c>
      <c r="Z129" s="346">
        <f>SUMIF('D-3 Off-Site Habitat Enhancment'!$S$12:$S$491,'G-2 Habitat groups'!A129,'D-3 Off-Site Habitat Enhancment'!$AQ$12:$AQ$491)</f>
        <v>0</v>
      </c>
      <c r="AA129" s="346">
        <f t="shared" si="79"/>
        <v>0</v>
      </c>
      <c r="AB129" s="346">
        <f t="shared" si="80"/>
        <v>0</v>
      </c>
      <c r="AC129" s="346">
        <f t="shared" si="81"/>
        <v>0</v>
      </c>
      <c r="AD129" s="346">
        <f t="shared" si="82"/>
        <v>0</v>
      </c>
      <c r="AE129" s="346">
        <f t="shared" si="83"/>
        <v>0</v>
      </c>
      <c r="AF129" s="346">
        <f t="shared" si="84"/>
        <v>0</v>
      </c>
      <c r="AU129" s="79" t="s">
        <v>700</v>
      </c>
      <c r="AV129" s="68" t="s">
        <v>129</v>
      </c>
      <c r="AW129" s="358">
        <f t="shared" si="97"/>
        <v>0</v>
      </c>
      <c r="AX129" s="358">
        <f t="shared" si="90"/>
        <v>0</v>
      </c>
      <c r="AY129" s="358">
        <f t="shared" si="91"/>
        <v>0</v>
      </c>
      <c r="AZ129" s="358">
        <f t="shared" si="92"/>
        <v>0</v>
      </c>
      <c r="BA129" s="358">
        <f t="shared" si="93"/>
        <v>0</v>
      </c>
      <c r="BB129" s="358">
        <f t="shared" si="94"/>
        <v>0</v>
      </c>
      <c r="BC129" s="358">
        <f t="shared" si="95"/>
        <v>0</v>
      </c>
      <c r="BD129" s="358">
        <f t="shared" si="96"/>
        <v>0</v>
      </c>
      <c r="BE129" s="358">
        <f t="shared" si="88"/>
        <v>0</v>
      </c>
      <c r="BF129" s="358" t="str">
        <f t="shared" si="89"/>
        <v/>
      </c>
    </row>
    <row r="130" spans="1:58">
      <c r="A130" s="79" t="str">
        <f>'G-1 All Habitats'!B130</f>
        <v>Intertidal sediment - Littoral muddy sand</v>
      </c>
      <c r="B130" s="68" t="str">
        <f>'G-1 All Habitats'!F130</f>
        <v>Intertidal sediment</v>
      </c>
      <c r="C130" s="68" t="str">
        <f>'G-1 All Habitats'!K130</f>
        <v>High</v>
      </c>
      <c r="D130" s="68" t="str">
        <f>'G-1 All Habitats'!M130</f>
        <v>Same habitat required =</v>
      </c>
      <c r="E130" s="346">
        <f>IF(C130="V.High",SUMIF('A-1 On-Site Habitat Baseline'!$G$11:$G$258,'G-2 Habitat groups'!A130,'A-1 On-Site Habitat Baseline'!$S$11:$S$258)+SUMIF('A-1 On-Site Habitat Baseline'!$G$11:$G$258,'G-2 Habitat groups'!A130,'A-1 On-Site Habitat Baseline'!$T$11:$T$258),SUMIF('A-1 On-Site Habitat Baseline'!$G$11:$G$258,'G-2 Habitat groups'!A130,'A-1 On-Site Habitat Baseline'!$H$11:$H$258))</f>
        <v>0</v>
      </c>
      <c r="F130" s="346">
        <f>SUMIF('A-1 On-Site Habitat Baseline'!$G$11:$G$258,'G-2 Habitat groups'!A130,'A-1 On-Site Habitat Baseline'!$Q$11:$Q$258)</f>
        <v>0</v>
      </c>
      <c r="G130" s="346">
        <f>SUMIF('A-1 On-Site Habitat Baseline'!$G$11:$G$258,'G-2 Habitat groups'!A130,'A-1 On-Site Habitat Baseline'!$S$11:$S$258)</f>
        <v>0</v>
      </c>
      <c r="H130" s="346">
        <f>SUMIF('A-1 On-Site Habitat Baseline'!$G$11:$G$258,'G-2 Habitat groups'!A130,'A-1 On-Site Habitat Baseline'!$U$11:$U$258)</f>
        <v>0</v>
      </c>
      <c r="I130" s="346">
        <f>SUMIF('A-1 On-Site Habitat Baseline'!$G$11:$G$258,'G-2 Habitat groups'!A130,'A-1 On-Site Habitat Baseline'!$W$11:$W$258)</f>
        <v>0</v>
      </c>
      <c r="J130" s="346">
        <f>SUMIF('A-1 On-Site Habitat Baseline'!$G$11:$G$258,'G-2 Habitat groups'!A130,'A-1 On-Site Habitat Baseline'!$X$11:$X$258)</f>
        <v>0</v>
      </c>
      <c r="K130" s="346">
        <f>SUMIF('A-2 On-Site Habitat Creation'!$F$11:$F$256,'G-2 Habitat groups'!A130,'A-2 On-Site Habitat Creation'!$G$11:$G$256)</f>
        <v>0</v>
      </c>
      <c r="L130" s="346">
        <f>SUMIF('A-2 On-Site Habitat Creation'!$F$11:$F$256,'G-2 Habitat groups'!A130,'A-2 On-Site Habitat Creation'!$Y$11:$Y$256)</f>
        <v>0</v>
      </c>
      <c r="M130" s="346">
        <f>SUMIF('A-3 On-Site Habitat Enhancement'!$S$12:$S$257,'G-2 Habitat groups'!A130,'A-3 On-Site Habitat Enhancement'!$V$12:$V$257)</f>
        <v>0</v>
      </c>
      <c r="N130" s="346">
        <f>SUMIF('A-3 On-Site Habitat Enhancement'!$S$12:$S$257,'G-2 Habitat groups'!A130,'A-3 On-Site Habitat Enhancement'!$AN$12:$AN$257)</f>
        <v>0</v>
      </c>
      <c r="O130" s="346">
        <f t="shared" si="75"/>
        <v>0</v>
      </c>
      <c r="P130" s="346">
        <f t="shared" si="76"/>
        <v>0</v>
      </c>
      <c r="Q130" s="346">
        <f t="shared" si="77"/>
        <v>0</v>
      </c>
      <c r="R130" s="346">
        <f t="shared" si="78"/>
        <v>0</v>
      </c>
      <c r="S130" s="346">
        <f>IF(C130="V.High",SUMIF('D-1 Off-Site Habitat Baseline'!$G$11:$G$258,'G-2 Habitat groups'!A130,'D-1 Off-Site Habitat Baseline'!$V$11:$V$258)+SUMIF('D-1 Off-Site Habitat Baseline'!$G$11:$G$258,'G-2 Habitat groups'!A130,'D-1 Off-Site Habitat Baseline'!$W$11:$W$258),SUMIF('D-1 Off-Site Habitat Baseline'!$G$11:$G$258,'G-2 Habitat groups'!A130,'D-1 Off-Site Habitat Baseline'!$H$11:$H$258))</f>
        <v>0</v>
      </c>
      <c r="T130" s="346">
        <f>SUMIF('D-1 Off-Site Habitat Baseline'!$G$11:$G$258,'G-2 Habitat groups'!A130,'D-1 Off-Site Habitat Baseline'!$T$11:$T$258)</f>
        <v>0</v>
      </c>
      <c r="U130" s="346">
        <f>SUMIF('D-1 Off-Site Habitat Baseline'!$G$11:$G$258,'G-2 Habitat groups'!A130,'D-1 Off-Site Habitat Baseline'!$V$11:$V$258)</f>
        <v>0</v>
      </c>
      <c r="V130" s="346">
        <f>SUMIF('D-1 Off-Site Habitat Baseline'!$G$11:$G$258,'G-2 Habitat groups'!A130,'D-1 Off-Site Habitat Baseline'!$X$11:$X$258)</f>
        <v>0</v>
      </c>
      <c r="W130" s="346">
        <f>SUMIF('D-2 Off-Site Habitat Creation'!$F$9:$F$255,'G-2 Habitat groups'!A130,'D-2 Off-Site Habitat Creation'!$G$9:$G$255)</f>
        <v>0</v>
      </c>
      <c r="X130" s="346">
        <f>SUMIF('D-2 Off-Site Habitat Creation'!$F$9:$F$255,'G-2 Habitat groups'!A130,'D-2 Off-Site Habitat Creation'!$AB$9:$AB$255)</f>
        <v>0</v>
      </c>
      <c r="Y130" s="346">
        <f>SUMIF('D-3 Off-Site Habitat Enhancment'!$S$12:$S$491,'G-2 Habitat groups'!A130,'D-3 Off-Site Habitat Enhancment'!$V$12:$V$491)</f>
        <v>0</v>
      </c>
      <c r="Z130" s="346">
        <f>SUMIF('D-3 Off-Site Habitat Enhancment'!$S$12:$S$491,'G-2 Habitat groups'!A130,'D-3 Off-Site Habitat Enhancment'!$AQ$12:$AQ$491)</f>
        <v>0</v>
      </c>
      <c r="AA130" s="346">
        <f t="shared" si="79"/>
        <v>0</v>
      </c>
      <c r="AB130" s="346">
        <f t="shared" si="80"/>
        <v>0</v>
      </c>
      <c r="AC130" s="346">
        <f t="shared" si="81"/>
        <v>0</v>
      </c>
      <c r="AD130" s="346">
        <f t="shared" si="82"/>
        <v>0</v>
      </c>
      <c r="AE130" s="346">
        <f t="shared" si="83"/>
        <v>0</v>
      </c>
      <c r="AF130" s="346">
        <f t="shared" si="84"/>
        <v>0</v>
      </c>
      <c r="AU130" s="79" t="s">
        <v>713</v>
      </c>
      <c r="AV130" s="68" t="s">
        <v>129</v>
      </c>
      <c r="AW130" s="358">
        <f t="shared" si="97"/>
        <v>0</v>
      </c>
      <c r="AX130" s="358">
        <f t="shared" si="90"/>
        <v>0</v>
      </c>
      <c r="AY130" s="358">
        <f t="shared" si="91"/>
        <v>0</v>
      </c>
      <c r="AZ130" s="358">
        <f t="shared" si="92"/>
        <v>0</v>
      </c>
      <c r="BA130" s="358">
        <f t="shared" si="93"/>
        <v>0</v>
      </c>
      <c r="BB130" s="358">
        <f t="shared" si="94"/>
        <v>0</v>
      </c>
      <c r="BC130" s="358">
        <f t="shared" si="95"/>
        <v>0</v>
      </c>
      <c r="BD130" s="358">
        <f t="shared" si="96"/>
        <v>0</v>
      </c>
      <c r="BE130" s="358">
        <f t="shared" si="88"/>
        <v>0</v>
      </c>
      <c r="BF130" s="358" t="str">
        <f t="shared" si="89"/>
        <v/>
      </c>
    </row>
    <row r="131" spans="1:58">
      <c r="A131" s="79" t="str">
        <f>'G-1 All Habitats'!B131</f>
        <v>Intertidal hard structures - Artificial hard structures</v>
      </c>
      <c r="B131" s="68" t="str">
        <f>'G-1 All Habitats'!F131</f>
        <v>Intertidal hard structures</v>
      </c>
      <c r="C131" s="68" t="str">
        <f>'G-1 All Habitats'!K131</f>
        <v>Low</v>
      </c>
      <c r="D131" s="68" t="str">
        <f>'G-1 All Habitats'!M131</f>
        <v>Same distinctiveness or better habitat required ≥</v>
      </c>
      <c r="E131" s="346">
        <f>IF(C131="V.High",SUMIF('A-1 On-Site Habitat Baseline'!$G$11:$G$258,'G-2 Habitat groups'!A131,'A-1 On-Site Habitat Baseline'!$S$11:$S$258)+SUMIF('A-1 On-Site Habitat Baseline'!$G$11:$G$258,'G-2 Habitat groups'!A131,'A-1 On-Site Habitat Baseline'!$T$11:$T$258),SUMIF('A-1 On-Site Habitat Baseline'!$G$11:$G$258,'G-2 Habitat groups'!A131,'A-1 On-Site Habitat Baseline'!$H$11:$H$258))</f>
        <v>0</v>
      </c>
      <c r="F131" s="346">
        <f>SUMIF('A-1 On-Site Habitat Baseline'!$G$11:$G$258,'G-2 Habitat groups'!A131,'A-1 On-Site Habitat Baseline'!$Q$11:$Q$258)</f>
        <v>0</v>
      </c>
      <c r="G131" s="346">
        <f>SUMIF('A-1 On-Site Habitat Baseline'!$G$11:$G$258,'G-2 Habitat groups'!A131,'A-1 On-Site Habitat Baseline'!$S$11:$S$258)</f>
        <v>0</v>
      </c>
      <c r="H131" s="346">
        <f>SUMIF('A-1 On-Site Habitat Baseline'!$G$11:$G$258,'G-2 Habitat groups'!A131,'A-1 On-Site Habitat Baseline'!$U$11:$U$258)</f>
        <v>0</v>
      </c>
      <c r="I131" s="346">
        <f>SUMIF('A-1 On-Site Habitat Baseline'!$G$11:$G$258,'G-2 Habitat groups'!A131,'A-1 On-Site Habitat Baseline'!$W$11:$W$258)</f>
        <v>0</v>
      </c>
      <c r="J131" s="346">
        <f>SUMIF('A-1 On-Site Habitat Baseline'!$G$11:$G$258,'G-2 Habitat groups'!A131,'A-1 On-Site Habitat Baseline'!$X$11:$X$258)</f>
        <v>0</v>
      </c>
      <c r="K131" s="346">
        <f>SUMIF('A-2 On-Site Habitat Creation'!$F$11:$F$256,'G-2 Habitat groups'!A131,'A-2 On-Site Habitat Creation'!$G$11:$G$256)</f>
        <v>0</v>
      </c>
      <c r="L131" s="346">
        <f>SUMIF('A-2 On-Site Habitat Creation'!$F$11:$F$256,'G-2 Habitat groups'!A131,'A-2 On-Site Habitat Creation'!$Y$11:$Y$256)</f>
        <v>0</v>
      </c>
      <c r="M131" s="346">
        <f>SUMIF('A-3 On-Site Habitat Enhancement'!$S$12:$S$257,'G-2 Habitat groups'!A131,'A-3 On-Site Habitat Enhancement'!$V$12:$V$257)</f>
        <v>0</v>
      </c>
      <c r="N131" s="346">
        <f>SUMIF('A-3 On-Site Habitat Enhancement'!$S$12:$S$257,'G-2 Habitat groups'!A131,'A-3 On-Site Habitat Enhancement'!$AN$12:$AN$257)</f>
        <v>0</v>
      </c>
      <c r="O131" s="346">
        <f t="shared" si="75"/>
        <v>0</v>
      </c>
      <c r="P131" s="346">
        <f t="shared" si="76"/>
        <v>0</v>
      </c>
      <c r="Q131" s="346">
        <f t="shared" si="77"/>
        <v>0</v>
      </c>
      <c r="R131" s="346">
        <f t="shared" si="78"/>
        <v>0</v>
      </c>
      <c r="S131" s="346">
        <f>IF(C131="V.High",SUMIF('D-1 Off-Site Habitat Baseline'!$G$11:$G$258,'G-2 Habitat groups'!A131,'D-1 Off-Site Habitat Baseline'!$V$11:$V$258)+SUMIF('D-1 Off-Site Habitat Baseline'!$G$11:$G$258,'G-2 Habitat groups'!A131,'D-1 Off-Site Habitat Baseline'!$W$11:$W$258),SUMIF('D-1 Off-Site Habitat Baseline'!$G$11:$G$258,'G-2 Habitat groups'!A131,'D-1 Off-Site Habitat Baseline'!$H$11:$H$258))</f>
        <v>0</v>
      </c>
      <c r="T131" s="346">
        <f>SUMIF('D-1 Off-Site Habitat Baseline'!$G$11:$G$258,'G-2 Habitat groups'!A131,'D-1 Off-Site Habitat Baseline'!$T$11:$T$258)</f>
        <v>0</v>
      </c>
      <c r="U131" s="346">
        <f>SUMIF('D-1 Off-Site Habitat Baseline'!$G$11:$G$258,'G-2 Habitat groups'!A131,'D-1 Off-Site Habitat Baseline'!$V$11:$V$258)</f>
        <v>0</v>
      </c>
      <c r="V131" s="346">
        <f>SUMIF('D-1 Off-Site Habitat Baseline'!$G$11:$G$258,'G-2 Habitat groups'!A131,'D-1 Off-Site Habitat Baseline'!$X$11:$X$258)</f>
        <v>0</v>
      </c>
      <c r="W131" s="346">
        <f>SUMIF('D-2 Off-Site Habitat Creation'!$F$9:$F$255,'G-2 Habitat groups'!A131,'D-2 Off-Site Habitat Creation'!$G$9:$G$255)</f>
        <v>0</v>
      </c>
      <c r="X131" s="346">
        <f>SUMIF('D-2 Off-Site Habitat Creation'!$F$9:$F$255,'G-2 Habitat groups'!A131,'D-2 Off-Site Habitat Creation'!$AB$9:$AB$255)</f>
        <v>0</v>
      </c>
      <c r="Y131" s="346">
        <f>SUMIF('D-3 Off-Site Habitat Enhancment'!$S$12:$S$491,'G-2 Habitat groups'!A131,'D-3 Off-Site Habitat Enhancment'!$V$12:$V$491)</f>
        <v>0</v>
      </c>
      <c r="Z131" s="346">
        <f>SUMIF('D-3 Off-Site Habitat Enhancment'!$S$12:$S$491,'G-2 Habitat groups'!A131,'D-3 Off-Site Habitat Enhancment'!$AQ$12:$AQ$491)</f>
        <v>0</v>
      </c>
      <c r="AA131" s="346">
        <f t="shared" si="79"/>
        <v>0</v>
      </c>
      <c r="AB131" s="346">
        <f t="shared" si="80"/>
        <v>0</v>
      </c>
      <c r="AC131" s="346">
        <f t="shared" si="81"/>
        <v>0</v>
      </c>
      <c r="AD131" s="346">
        <f t="shared" si="82"/>
        <v>0</v>
      </c>
      <c r="AE131" s="346">
        <f t="shared" si="83"/>
        <v>0</v>
      </c>
      <c r="AF131" s="346">
        <f t="shared" si="84"/>
        <v>0</v>
      </c>
      <c r="AU131" s="79" t="s">
        <v>721</v>
      </c>
      <c r="AV131" s="68" t="s">
        <v>129</v>
      </c>
      <c r="AW131" s="358">
        <f t="shared" si="97"/>
        <v>0</v>
      </c>
      <c r="AX131" s="358">
        <f t="shared" si="90"/>
        <v>0</v>
      </c>
      <c r="AY131" s="358">
        <f t="shared" si="91"/>
        <v>0</v>
      </c>
      <c r="AZ131" s="358">
        <f t="shared" si="92"/>
        <v>0</v>
      </c>
      <c r="BA131" s="358">
        <f t="shared" si="93"/>
        <v>0</v>
      </c>
      <c r="BB131" s="358">
        <f t="shared" si="94"/>
        <v>0</v>
      </c>
      <c r="BC131" s="358">
        <f t="shared" si="95"/>
        <v>0</v>
      </c>
      <c r="BD131" s="358">
        <f t="shared" si="96"/>
        <v>0</v>
      </c>
      <c r="BE131" s="358">
        <f t="shared" si="88"/>
        <v>0</v>
      </c>
      <c r="BF131" s="358" t="str">
        <f t="shared" si="89"/>
        <v/>
      </c>
    </row>
    <row r="132" spans="1:58">
      <c r="A132" s="79" t="str">
        <f>'G-1 All Habitats'!B132</f>
        <v>Intertidal hard structures - Artificial features of hard structures</v>
      </c>
      <c r="B132" s="68" t="str">
        <f>'G-1 All Habitats'!F132</f>
        <v>Intertidal hard structures</v>
      </c>
      <c r="C132" s="68" t="str">
        <f>'G-1 All Habitats'!K132</f>
        <v>Low</v>
      </c>
      <c r="D132" s="68" t="str">
        <f>'G-1 All Habitats'!M132</f>
        <v>Same distinctiveness or better habitat required ≥</v>
      </c>
      <c r="E132" s="346">
        <f>IF(C132="V.High",SUMIF('A-1 On-Site Habitat Baseline'!$G$11:$G$258,'G-2 Habitat groups'!A132,'A-1 On-Site Habitat Baseline'!$S$11:$S$258)+SUMIF('A-1 On-Site Habitat Baseline'!$G$11:$G$258,'G-2 Habitat groups'!A132,'A-1 On-Site Habitat Baseline'!$T$11:$T$258),SUMIF('A-1 On-Site Habitat Baseline'!$G$11:$G$258,'G-2 Habitat groups'!A132,'A-1 On-Site Habitat Baseline'!$H$11:$H$258))</f>
        <v>0</v>
      </c>
      <c r="F132" s="346">
        <f>SUMIF('A-1 On-Site Habitat Baseline'!$G$11:$G$258,'G-2 Habitat groups'!A132,'A-1 On-Site Habitat Baseline'!$Q$11:$Q$258)</f>
        <v>0</v>
      </c>
      <c r="G132" s="346">
        <f>SUMIF('A-1 On-Site Habitat Baseline'!$G$11:$G$258,'G-2 Habitat groups'!A132,'A-1 On-Site Habitat Baseline'!$S$11:$S$258)</f>
        <v>0</v>
      </c>
      <c r="H132" s="346">
        <f>SUMIF('A-1 On-Site Habitat Baseline'!$G$11:$G$258,'G-2 Habitat groups'!A132,'A-1 On-Site Habitat Baseline'!$U$11:$U$258)</f>
        <v>0</v>
      </c>
      <c r="I132" s="346">
        <f>SUMIF('A-1 On-Site Habitat Baseline'!$G$11:$G$258,'G-2 Habitat groups'!A132,'A-1 On-Site Habitat Baseline'!$W$11:$W$258)</f>
        <v>0</v>
      </c>
      <c r="J132" s="346">
        <f>SUMIF('A-1 On-Site Habitat Baseline'!$G$11:$G$258,'G-2 Habitat groups'!A132,'A-1 On-Site Habitat Baseline'!$X$11:$X$258)</f>
        <v>0</v>
      </c>
      <c r="K132" s="346">
        <f>SUMIF('A-2 On-Site Habitat Creation'!$F$11:$F$256,'G-2 Habitat groups'!A132,'A-2 On-Site Habitat Creation'!$G$11:$G$256)</f>
        <v>0</v>
      </c>
      <c r="L132" s="346">
        <f>SUMIF('A-2 On-Site Habitat Creation'!$F$11:$F$256,'G-2 Habitat groups'!A132,'A-2 On-Site Habitat Creation'!$Y$11:$Y$256)</f>
        <v>0</v>
      </c>
      <c r="M132" s="346">
        <f>SUMIF('A-3 On-Site Habitat Enhancement'!$S$12:$S$257,'G-2 Habitat groups'!A132,'A-3 On-Site Habitat Enhancement'!$V$12:$V$257)</f>
        <v>0</v>
      </c>
      <c r="N132" s="346">
        <f>SUMIF('A-3 On-Site Habitat Enhancement'!$S$12:$S$257,'G-2 Habitat groups'!A132,'A-3 On-Site Habitat Enhancement'!$AN$12:$AN$257)</f>
        <v>0</v>
      </c>
      <c r="O132" s="346">
        <f t="shared" si="75"/>
        <v>0</v>
      </c>
      <c r="P132" s="346">
        <f t="shared" si="76"/>
        <v>0</v>
      </c>
      <c r="Q132" s="346">
        <f t="shared" si="77"/>
        <v>0</v>
      </c>
      <c r="R132" s="346">
        <f t="shared" si="78"/>
        <v>0</v>
      </c>
      <c r="S132" s="346">
        <f>IF(C132="V.High",SUMIF('D-1 Off-Site Habitat Baseline'!$G$11:$G$258,'G-2 Habitat groups'!A132,'D-1 Off-Site Habitat Baseline'!$V$11:$V$258)+SUMIF('D-1 Off-Site Habitat Baseline'!$G$11:$G$258,'G-2 Habitat groups'!A132,'D-1 Off-Site Habitat Baseline'!$W$11:$W$258),SUMIF('D-1 Off-Site Habitat Baseline'!$G$11:$G$258,'G-2 Habitat groups'!A132,'D-1 Off-Site Habitat Baseline'!$H$11:$H$258))</f>
        <v>0</v>
      </c>
      <c r="T132" s="346">
        <f>SUMIF('D-1 Off-Site Habitat Baseline'!$G$11:$G$258,'G-2 Habitat groups'!A132,'D-1 Off-Site Habitat Baseline'!$T$11:$T$258)</f>
        <v>0</v>
      </c>
      <c r="U132" s="346">
        <f>SUMIF('D-1 Off-Site Habitat Baseline'!$G$11:$G$258,'G-2 Habitat groups'!A132,'D-1 Off-Site Habitat Baseline'!$V$11:$V$258)</f>
        <v>0</v>
      </c>
      <c r="V132" s="346">
        <f>SUMIF('D-1 Off-Site Habitat Baseline'!$G$11:$G$258,'G-2 Habitat groups'!A132,'D-1 Off-Site Habitat Baseline'!$X$11:$X$258)</f>
        <v>0</v>
      </c>
      <c r="W132" s="346">
        <f>SUMIF('D-2 Off-Site Habitat Creation'!$F$9:$F$255,'G-2 Habitat groups'!A132,'D-2 Off-Site Habitat Creation'!$G$9:$G$255)</f>
        <v>0</v>
      </c>
      <c r="X132" s="346">
        <f>SUMIF('D-2 Off-Site Habitat Creation'!$F$9:$F$255,'G-2 Habitat groups'!A132,'D-2 Off-Site Habitat Creation'!$AB$9:$AB$255)</f>
        <v>0</v>
      </c>
      <c r="Y132" s="346">
        <f>SUMIF('D-3 Off-Site Habitat Enhancment'!$S$12:$S$491,'G-2 Habitat groups'!A132,'D-3 Off-Site Habitat Enhancment'!$V$12:$V$491)</f>
        <v>0</v>
      </c>
      <c r="Z132" s="346">
        <f>SUMIF('D-3 Off-Site Habitat Enhancment'!$S$12:$S$491,'G-2 Habitat groups'!A132,'D-3 Off-Site Habitat Enhancment'!$AQ$12:$AQ$491)</f>
        <v>0</v>
      </c>
      <c r="AA132" s="346">
        <f t="shared" si="79"/>
        <v>0</v>
      </c>
      <c r="AB132" s="346">
        <f t="shared" si="80"/>
        <v>0</v>
      </c>
      <c r="AC132" s="346">
        <f t="shared" si="81"/>
        <v>0</v>
      </c>
      <c r="AD132" s="346">
        <f t="shared" si="82"/>
        <v>0</v>
      </c>
      <c r="AE132" s="346">
        <f t="shared" si="83"/>
        <v>0</v>
      </c>
      <c r="AF132" s="346">
        <f t="shared" si="84"/>
        <v>0</v>
      </c>
      <c r="AU132" s="79" t="s">
        <v>723</v>
      </c>
      <c r="AV132" s="68" t="s">
        <v>129</v>
      </c>
      <c r="AW132" s="358">
        <f t="shared" si="97"/>
        <v>0</v>
      </c>
      <c r="AX132" s="358">
        <f t="shared" si="90"/>
        <v>0</v>
      </c>
      <c r="AY132" s="358">
        <f t="shared" si="91"/>
        <v>0</v>
      </c>
      <c r="AZ132" s="358">
        <f t="shared" si="92"/>
        <v>0</v>
      </c>
      <c r="BA132" s="358">
        <f t="shared" si="93"/>
        <v>0</v>
      </c>
      <c r="BB132" s="358">
        <f t="shared" si="94"/>
        <v>0</v>
      </c>
      <c r="BC132" s="358">
        <f t="shared" si="95"/>
        <v>0</v>
      </c>
      <c r="BD132" s="358">
        <f t="shared" si="96"/>
        <v>0</v>
      </c>
      <c r="BE132" s="358">
        <f t="shared" si="88"/>
        <v>0</v>
      </c>
      <c r="BF132" s="358" t="str">
        <f t="shared" si="89"/>
        <v/>
      </c>
    </row>
    <row r="133" spans="1:58">
      <c r="A133" s="79" t="str">
        <f>'G-1 All Habitats'!B133</f>
        <v>Intertidal hard structures - Artificial hard structures with integrated greening of grey infrastructure (IGGI)</v>
      </c>
      <c r="B133" s="68" t="str">
        <f>'G-1 All Habitats'!F133</f>
        <v>Intertidal hard structures</v>
      </c>
      <c r="C133" s="68" t="str">
        <f>'G-1 All Habitats'!K133</f>
        <v>Medium</v>
      </c>
      <c r="D133" s="68" t="str">
        <f>'G-1 All Habitats'!M133</f>
        <v>Same broad habitat or a higher distinctiveness habitat required (≥)</v>
      </c>
      <c r="E133" s="346">
        <f>IF(C133="V.High",SUMIF('A-1 On-Site Habitat Baseline'!$G$11:$G$258,'G-2 Habitat groups'!A133,'A-1 On-Site Habitat Baseline'!$S$11:$S$258)+SUMIF('A-1 On-Site Habitat Baseline'!$G$11:$G$258,'G-2 Habitat groups'!A133,'A-1 On-Site Habitat Baseline'!$T$11:$T$258),SUMIF('A-1 On-Site Habitat Baseline'!$G$11:$G$258,'G-2 Habitat groups'!A133,'A-1 On-Site Habitat Baseline'!$H$11:$H$258))</f>
        <v>0</v>
      </c>
      <c r="F133" s="346">
        <f>SUMIF('A-1 On-Site Habitat Baseline'!$G$11:$G$258,'G-2 Habitat groups'!A133,'A-1 On-Site Habitat Baseline'!$Q$11:$Q$258)</f>
        <v>0</v>
      </c>
      <c r="G133" s="346">
        <f>SUMIF('A-1 On-Site Habitat Baseline'!$G$11:$G$258,'G-2 Habitat groups'!A133,'A-1 On-Site Habitat Baseline'!$S$11:$S$258)</f>
        <v>0</v>
      </c>
      <c r="H133" s="346">
        <f>SUMIF('A-1 On-Site Habitat Baseline'!$G$11:$G$258,'G-2 Habitat groups'!A133,'A-1 On-Site Habitat Baseline'!$U$11:$U$258)</f>
        <v>0</v>
      </c>
      <c r="I133" s="346">
        <f>SUMIF('A-1 On-Site Habitat Baseline'!$G$11:$G$258,'G-2 Habitat groups'!A133,'A-1 On-Site Habitat Baseline'!$W$11:$W$258)</f>
        <v>0</v>
      </c>
      <c r="J133" s="346">
        <f>SUMIF('A-1 On-Site Habitat Baseline'!$G$11:$G$258,'G-2 Habitat groups'!A133,'A-1 On-Site Habitat Baseline'!$X$11:$X$258)</f>
        <v>0</v>
      </c>
      <c r="K133" s="346">
        <f>SUMIF('A-2 On-Site Habitat Creation'!$F$11:$F$256,'G-2 Habitat groups'!A133,'A-2 On-Site Habitat Creation'!$G$11:$G$256)</f>
        <v>0</v>
      </c>
      <c r="L133" s="346">
        <f>SUMIF('A-2 On-Site Habitat Creation'!$F$11:$F$256,'G-2 Habitat groups'!A133,'A-2 On-Site Habitat Creation'!$Y$11:$Y$256)</f>
        <v>0</v>
      </c>
      <c r="M133" s="346">
        <f>SUMIF('A-3 On-Site Habitat Enhancement'!$S$12:$S$257,'G-2 Habitat groups'!A133,'A-3 On-Site Habitat Enhancement'!$V$12:$V$257)</f>
        <v>0</v>
      </c>
      <c r="N133" s="346">
        <f>SUMIF('A-3 On-Site Habitat Enhancement'!$S$12:$S$257,'G-2 Habitat groups'!A133,'A-3 On-Site Habitat Enhancement'!$AN$12:$AN$257)</f>
        <v>0</v>
      </c>
      <c r="O133" s="346">
        <f t="shared" si="75"/>
        <v>0</v>
      </c>
      <c r="P133" s="346">
        <f t="shared" si="76"/>
        <v>0</v>
      </c>
      <c r="Q133" s="346">
        <f t="shared" si="77"/>
        <v>0</v>
      </c>
      <c r="R133" s="346">
        <f t="shared" si="78"/>
        <v>0</v>
      </c>
      <c r="S133" s="346">
        <f>IF(C133="V.High",SUMIF('D-1 Off-Site Habitat Baseline'!$G$11:$G$258,'G-2 Habitat groups'!A133,'D-1 Off-Site Habitat Baseline'!$V$11:$V$258)+SUMIF('D-1 Off-Site Habitat Baseline'!$G$11:$G$258,'G-2 Habitat groups'!A133,'D-1 Off-Site Habitat Baseline'!$W$11:$W$258),SUMIF('D-1 Off-Site Habitat Baseline'!$G$11:$G$258,'G-2 Habitat groups'!A133,'D-1 Off-Site Habitat Baseline'!$H$11:$H$258))</f>
        <v>0</v>
      </c>
      <c r="T133" s="346">
        <f>SUMIF('D-1 Off-Site Habitat Baseline'!$G$11:$G$258,'G-2 Habitat groups'!A133,'D-1 Off-Site Habitat Baseline'!$T$11:$T$258)</f>
        <v>0</v>
      </c>
      <c r="U133" s="346">
        <f>SUMIF('D-1 Off-Site Habitat Baseline'!$G$11:$G$258,'G-2 Habitat groups'!A133,'D-1 Off-Site Habitat Baseline'!$V$11:$V$258)</f>
        <v>0</v>
      </c>
      <c r="V133" s="346">
        <f>SUMIF('D-1 Off-Site Habitat Baseline'!$G$11:$G$258,'G-2 Habitat groups'!A133,'D-1 Off-Site Habitat Baseline'!$X$11:$X$258)</f>
        <v>0</v>
      </c>
      <c r="W133" s="346">
        <f>SUMIF('D-2 Off-Site Habitat Creation'!$F$9:$F$255,'G-2 Habitat groups'!A133,'D-2 Off-Site Habitat Creation'!$G$9:$G$255)</f>
        <v>0</v>
      </c>
      <c r="X133" s="346">
        <f>SUMIF('D-2 Off-Site Habitat Creation'!$F$9:$F$255,'G-2 Habitat groups'!A133,'D-2 Off-Site Habitat Creation'!$AB$9:$AB$255)</f>
        <v>0</v>
      </c>
      <c r="Y133" s="346">
        <f>SUMIF('D-3 Off-Site Habitat Enhancment'!$S$12:$S$491,'G-2 Habitat groups'!A133,'D-3 Off-Site Habitat Enhancment'!$V$12:$V$491)</f>
        <v>0</v>
      </c>
      <c r="Z133" s="346">
        <f>SUMIF('D-3 Off-Site Habitat Enhancment'!$S$12:$S$491,'G-2 Habitat groups'!A133,'D-3 Off-Site Habitat Enhancment'!$AQ$12:$AQ$491)</f>
        <v>0</v>
      </c>
      <c r="AA133" s="346">
        <f t="shared" si="79"/>
        <v>0</v>
      </c>
      <c r="AB133" s="346">
        <f t="shared" si="80"/>
        <v>0</v>
      </c>
      <c r="AC133" s="346">
        <f t="shared" si="81"/>
        <v>0</v>
      </c>
      <c r="AD133" s="346">
        <f t="shared" si="82"/>
        <v>0</v>
      </c>
      <c r="AE133" s="346">
        <f t="shared" si="83"/>
        <v>0</v>
      </c>
      <c r="AF133" s="346">
        <f t="shared" si="84"/>
        <v>0</v>
      </c>
      <c r="AU133" s="79"/>
      <c r="AV133" s="68"/>
      <c r="AW133" s="358"/>
      <c r="AX133" s="358"/>
      <c r="AY133" s="358"/>
      <c r="AZ133" s="358"/>
      <c r="BA133" s="358"/>
      <c r="BB133" s="358"/>
      <c r="BC133" s="358"/>
      <c r="BD133" s="358"/>
      <c r="BE133" s="358"/>
      <c r="BF133" s="358"/>
    </row>
    <row r="134" spans="1:58">
      <c r="A134" s="79" t="s">
        <v>926</v>
      </c>
      <c r="B134" s="68" t="str">
        <f>'G-1 All Habitats'!F134</f>
        <v>Watercourse footprint</v>
      </c>
      <c r="C134" s="68" t="s">
        <v>486</v>
      </c>
      <c r="D134" s="68"/>
      <c r="E134" s="346">
        <f>IF(C134="V.High",SUMIF('A-1 On-Site Habitat Baseline'!$G$11:$G$258,'G-2 Habitat groups'!A134,'A-1 On-Site Habitat Baseline'!$S$11:$S$258)+SUMIF('A-1 On-Site Habitat Baseline'!$G$11:$G$258,'G-2 Habitat groups'!A134,'A-1 On-Site Habitat Baseline'!$T$11:$T$258),SUMIF('A-1 On-Site Habitat Baseline'!$G$11:$G$258,'G-2 Habitat groups'!A134,'A-1 On-Site Habitat Baseline'!$H$11:$H$258))</f>
        <v>0</v>
      </c>
      <c r="F134" s="346">
        <f>SUMIF('A-1 On-Site Habitat Baseline'!$G$11:$G$258,'G-2 Habitat groups'!A134,'A-1 On-Site Habitat Baseline'!$Q$11:$Q$258)</f>
        <v>0</v>
      </c>
      <c r="G134" s="346">
        <f>SUMIF('A-1 On-Site Habitat Baseline'!$G$11:$G$258,'G-2 Habitat groups'!A134,'A-1 On-Site Habitat Baseline'!$S$11:$S$258)</f>
        <v>0</v>
      </c>
      <c r="H134" s="346">
        <f>SUMIF('A-1 On-Site Habitat Baseline'!$G$11:$G$258,'G-2 Habitat groups'!A134,'A-1 On-Site Habitat Baseline'!$U$11:$U$258)</f>
        <v>0</v>
      </c>
      <c r="I134" s="346">
        <f>SUMIF('A-1 On-Site Habitat Baseline'!$G$11:$G$258,'G-2 Habitat groups'!A134,'A-1 On-Site Habitat Baseline'!$W$11:$W$258)</f>
        <v>0</v>
      </c>
      <c r="J134" s="346">
        <f>SUMIF('A-1 On-Site Habitat Baseline'!$G$11:$G$258,'G-2 Habitat groups'!A134,'A-1 On-Site Habitat Baseline'!$X$11:$X$258)</f>
        <v>0</v>
      </c>
      <c r="K134" s="346">
        <f>SUMIF('A-2 On-Site Habitat Creation'!$F$11:$F$256,'G-2 Habitat groups'!A134,'A-2 On-Site Habitat Creation'!$G$11:$G$256)</f>
        <v>0</v>
      </c>
      <c r="L134" s="346">
        <f>SUMIF('A-2 On-Site Habitat Creation'!$F$11:$F$256,'G-2 Habitat groups'!A134,'A-2 On-Site Habitat Creation'!$Y$11:$Y$256)</f>
        <v>0</v>
      </c>
      <c r="M134" s="346">
        <f>SUMIF('A-3 On-Site Habitat Enhancement'!$S$12:$S$257,'G-2 Habitat groups'!A134,'A-3 On-Site Habitat Enhancement'!$V$12:$V$257)</f>
        <v>0</v>
      </c>
      <c r="N134" s="346">
        <f>SUMIF('A-3 On-Site Habitat Enhancement'!$S$12:$S$257,'G-2 Habitat groups'!A134,'A-3 On-Site Habitat Enhancement'!$AN$12:$AN$257)</f>
        <v>0</v>
      </c>
      <c r="O134" s="346">
        <f t="shared" si="75"/>
        <v>0</v>
      </c>
      <c r="P134" s="346">
        <f t="shared" si="76"/>
        <v>0</v>
      </c>
      <c r="Q134" s="346">
        <f t="shared" si="77"/>
        <v>0</v>
      </c>
      <c r="R134" s="346">
        <f t="shared" si="78"/>
        <v>0</v>
      </c>
      <c r="S134" s="346">
        <f>IF(C134="V.High",SUMIF('D-1 Off-Site Habitat Baseline'!$G$11:$G$258,'G-2 Habitat groups'!A134,'D-1 Off-Site Habitat Baseline'!$V$11:$V$258)+SUMIF('D-1 Off-Site Habitat Baseline'!$G$11:$G$258,'G-2 Habitat groups'!A134,'D-1 Off-Site Habitat Baseline'!$W$11:$W$258),SUMIF('D-1 Off-Site Habitat Baseline'!$G$11:$G$258,'G-2 Habitat groups'!A134,'D-1 Off-Site Habitat Baseline'!$H$11:$H$258))</f>
        <v>0</v>
      </c>
      <c r="T134" s="346">
        <f>SUMIF('D-1 Off-Site Habitat Baseline'!$G$11:$G$258,'G-2 Habitat groups'!A134,'D-1 Off-Site Habitat Baseline'!$T$11:$T$258)</f>
        <v>0</v>
      </c>
      <c r="U134" s="346">
        <f>SUMIF('D-1 Off-Site Habitat Baseline'!$G$11:$G$258,'G-2 Habitat groups'!A134,'D-1 Off-Site Habitat Baseline'!$V$11:$V$258)</f>
        <v>0</v>
      </c>
      <c r="V134" s="346">
        <f>SUMIF('D-1 Off-Site Habitat Baseline'!$G$11:$G$258,'G-2 Habitat groups'!A134,'D-1 Off-Site Habitat Baseline'!$X$11:$X$258)</f>
        <v>0</v>
      </c>
      <c r="W134" s="346">
        <f>SUMIF('D-2 Off-Site Habitat Creation'!$F$9:$F$255,'G-2 Habitat groups'!A134,'D-2 Off-Site Habitat Creation'!$G$9:$G$255)</f>
        <v>0</v>
      </c>
      <c r="X134" s="346">
        <f>SUMIF('D-2 Off-Site Habitat Creation'!$F$9:$F$255,'G-2 Habitat groups'!A134,'D-2 Off-Site Habitat Creation'!$AB$9:$AB$255)</f>
        <v>0</v>
      </c>
      <c r="Y134" s="346">
        <f>SUMIF('D-3 Off-Site Habitat Enhancment'!$S$12:$S$491,'G-2 Habitat groups'!A134,'D-3 Off-Site Habitat Enhancment'!$V$12:$V$491)</f>
        <v>0</v>
      </c>
      <c r="Z134" s="346">
        <f>SUMIF('D-3 Off-Site Habitat Enhancment'!$S$12:$S$491,'G-2 Habitat groups'!A134,'D-3 Off-Site Habitat Enhancment'!$AQ$12:$AQ$491)</f>
        <v>0</v>
      </c>
      <c r="AA134" s="346">
        <f t="shared" si="79"/>
        <v>0</v>
      </c>
      <c r="AB134" s="346">
        <f t="shared" si="80"/>
        <v>0</v>
      </c>
      <c r="AC134" s="346">
        <f t="shared" si="81"/>
        <v>0</v>
      </c>
      <c r="AD134" s="346">
        <f t="shared" si="82"/>
        <v>0</v>
      </c>
      <c r="AE134" s="346">
        <f t="shared" si="83"/>
        <v>0</v>
      </c>
      <c r="AF134" s="346">
        <f t="shared" si="84"/>
        <v>0</v>
      </c>
      <c r="AU134" s="79" t="s">
        <v>735</v>
      </c>
      <c r="AV134" s="68" t="s">
        <v>129</v>
      </c>
      <c r="AW134" s="358">
        <f t="shared" si="97"/>
        <v>0</v>
      </c>
      <c r="AX134" s="358">
        <f t="shared" si="90"/>
        <v>0</v>
      </c>
      <c r="AY134" s="358">
        <f t="shared" si="91"/>
        <v>0</v>
      </c>
      <c r="AZ134" s="358">
        <f t="shared" si="92"/>
        <v>0</v>
      </c>
      <c r="BA134" s="358">
        <f t="shared" si="93"/>
        <v>0</v>
      </c>
      <c r="BB134" s="358">
        <f t="shared" si="94"/>
        <v>0</v>
      </c>
      <c r="BC134" s="358">
        <f t="shared" si="95"/>
        <v>0</v>
      </c>
      <c r="BD134" s="358">
        <f t="shared" si="96"/>
        <v>0</v>
      </c>
      <c r="BE134" s="358">
        <f t="shared" si="88"/>
        <v>0</v>
      </c>
      <c r="BF134" s="358" t="str">
        <f t="shared" si="89"/>
        <v/>
      </c>
    </row>
    <row r="135" spans="1:58">
      <c r="A135" s="79" t="s">
        <v>744</v>
      </c>
      <c r="B135" s="68" t="str">
        <f>'G-1 All Habitats'!F81</f>
        <v>Individual trees</v>
      </c>
      <c r="C135" s="68" t="str">
        <f>'G-1 All Habitats'!K81</f>
        <v>Medium</v>
      </c>
      <c r="D135" s="68" t="str">
        <f>'G-1 All Habitats'!M81</f>
        <v>Same broad habitat or a higher distinctiveness habitat required (≥)</v>
      </c>
      <c r="E135" s="346">
        <f>IF(C135="V.High",SUMIF('A-1 On-Site Habitat Baseline'!$G$11:$G$258,'G-2 Habitat groups'!A135,'A-1 On-Site Habitat Baseline'!$S$11:$S$258)+SUMIF('A-1 On-Site Habitat Baseline'!$G$11:$G$258,'G-2 Habitat groups'!A135,'A-1 On-Site Habitat Baseline'!$T$11:$T$258),SUMIF('A-1 On-Site Habitat Baseline'!$G$11:$G$258,'G-2 Habitat groups'!A135,'A-1 On-Site Habitat Baseline'!$H$11:$H$258))</f>
        <v>0</v>
      </c>
      <c r="F135" s="346">
        <f>SUMIF('A-1 On-Site Habitat Baseline'!$G$11:$G$258,'G-2 Habitat groups'!A135,'A-1 On-Site Habitat Baseline'!$Q$11:$Q$258)</f>
        <v>0</v>
      </c>
      <c r="G135" s="346">
        <f>SUMIF('A-1 On-Site Habitat Baseline'!$G$11:$G$258,'G-2 Habitat groups'!A135,'A-1 On-Site Habitat Baseline'!$S$11:$S$258)</f>
        <v>0</v>
      </c>
      <c r="H135" s="346">
        <f>SUMIF('A-1 On-Site Habitat Baseline'!$G$11:$G$258,'G-2 Habitat groups'!A135,'A-1 On-Site Habitat Baseline'!$U$11:$U$258)</f>
        <v>0</v>
      </c>
      <c r="I135" s="346">
        <f>SUMIF('A-1 On-Site Habitat Baseline'!$G$11:$G$258,'G-2 Habitat groups'!A135,'A-1 On-Site Habitat Baseline'!$W$11:$W$258)</f>
        <v>0</v>
      </c>
      <c r="J135" s="346">
        <f>SUMIF('A-1 On-Site Habitat Baseline'!$G$11:$G$258,'G-2 Habitat groups'!A135,'A-1 On-Site Habitat Baseline'!$X$11:$X$258)</f>
        <v>0</v>
      </c>
      <c r="K135" s="346">
        <f>SUMIF('A-2 On-Site Habitat Creation'!$F$11:$F$256,'G-2 Habitat groups'!A135,'A-2 On-Site Habitat Creation'!$G$11:$G$256)</f>
        <v>0</v>
      </c>
      <c r="L135" s="346">
        <f>SUMIF('A-2 On-Site Habitat Creation'!$F$11:$F$256,'G-2 Habitat groups'!A135,'A-2 On-Site Habitat Creation'!$Y$11:$Y$256)</f>
        <v>0</v>
      </c>
      <c r="M135" s="346">
        <f>SUMIF('A-3 On-Site Habitat Enhancement'!$S$12:$S$257,'G-2 Habitat groups'!A135,'A-3 On-Site Habitat Enhancement'!$V$12:$V$257)</f>
        <v>0</v>
      </c>
      <c r="N135" s="346">
        <f>SUMIF('A-3 On-Site Habitat Enhancement'!$S$12:$S$257,'G-2 Habitat groups'!A135,'A-3 On-Site Habitat Enhancement'!$AN$12:$AN$257)</f>
        <v>0</v>
      </c>
      <c r="O135" s="346">
        <f t="shared" ref="O135:O140" si="98">G135+K135+M135</f>
        <v>0</v>
      </c>
      <c r="P135" s="346">
        <f t="shared" ref="P135:P140" si="99">H135+L135+N135</f>
        <v>0</v>
      </c>
      <c r="Q135" s="346">
        <f t="shared" ref="Q135:Q140" si="100">O135-E135</f>
        <v>0</v>
      </c>
      <c r="R135" s="346">
        <f t="shared" ref="R135:R140" si="101">P135-F135</f>
        <v>0</v>
      </c>
      <c r="S135" s="346">
        <f>IF(C135="V.High",SUMIF('D-1 Off-Site Habitat Baseline'!$G$11:$G$258,'G-2 Habitat groups'!A135,'D-1 Off-Site Habitat Baseline'!$V$11:$V$258)+SUMIF('D-1 Off-Site Habitat Baseline'!$G$11:$G$258,'G-2 Habitat groups'!A135,'D-1 Off-Site Habitat Baseline'!$W$11:$W$258),SUMIF('D-1 Off-Site Habitat Baseline'!$G$11:$G$258,'G-2 Habitat groups'!A135,'D-1 Off-Site Habitat Baseline'!$H$11:$H$258))</f>
        <v>0</v>
      </c>
      <c r="T135" s="346">
        <f>SUMIF('D-1 Off-Site Habitat Baseline'!$G$11:$G$258,'G-2 Habitat groups'!A135,'D-1 Off-Site Habitat Baseline'!$T$11:$T$258)</f>
        <v>0</v>
      </c>
      <c r="U135" s="346">
        <f>SUMIF('D-1 Off-Site Habitat Baseline'!$G$11:$G$258,'G-2 Habitat groups'!A135,'D-1 Off-Site Habitat Baseline'!$V$11:$V$258)</f>
        <v>0</v>
      </c>
      <c r="V135" s="346">
        <f>SUMIF('D-1 Off-Site Habitat Baseline'!$G$11:$G$258,'G-2 Habitat groups'!A135,'D-1 Off-Site Habitat Baseline'!$X$11:$X$258)</f>
        <v>0</v>
      </c>
      <c r="W135" s="346">
        <f>SUMIF('D-2 Off-Site Habitat Creation'!$F$9:$F$255,'G-2 Habitat groups'!A135,'D-2 Off-Site Habitat Creation'!$G$9:$G$255)</f>
        <v>0</v>
      </c>
      <c r="X135" s="346">
        <f>SUMIF('D-2 Off-Site Habitat Creation'!$F$9:$F$255,'G-2 Habitat groups'!A135,'D-2 Off-Site Habitat Creation'!$AB$9:$AB$255)</f>
        <v>0</v>
      </c>
      <c r="Y135" s="346">
        <f>SUMIF('D-3 Off-Site Habitat Enhancment'!$S$12:$S$491,'G-2 Habitat groups'!A135,'D-3 Off-Site Habitat Enhancment'!$V$12:$V$491)</f>
        <v>0</v>
      </c>
      <c r="Z135" s="346">
        <f>SUMIF('D-3 Off-Site Habitat Enhancment'!$S$12:$S$491,'G-2 Habitat groups'!A135,'D-3 Off-Site Habitat Enhancment'!$AQ$12:$AQ$491)</f>
        <v>0</v>
      </c>
      <c r="AA135" s="346">
        <f t="shared" si="79"/>
        <v>0</v>
      </c>
      <c r="AB135" s="346">
        <f t="shared" si="80"/>
        <v>0</v>
      </c>
      <c r="AC135" s="346">
        <f t="shared" ref="AC135:AC140" si="102">AA135-S135</f>
        <v>0</v>
      </c>
      <c r="AD135" s="346">
        <f t="shared" ref="AD135:AD140" si="103">AB135-T135</f>
        <v>0</v>
      </c>
      <c r="AE135" s="346">
        <f t="shared" ref="AE135:AE140" si="104">Q135+AC135</f>
        <v>0</v>
      </c>
      <c r="AF135" s="346">
        <f t="shared" ref="AF135:AF140" si="105">R135+AD135</f>
        <v>0</v>
      </c>
      <c r="AU135" s="79" t="s">
        <v>726</v>
      </c>
      <c r="AV135" s="68" t="s">
        <v>129</v>
      </c>
      <c r="AW135" s="358">
        <f t="shared" si="97"/>
        <v>0</v>
      </c>
      <c r="AX135" s="358">
        <f t="shared" si="90"/>
        <v>0</v>
      </c>
      <c r="AY135" s="358">
        <f t="shared" si="91"/>
        <v>0</v>
      </c>
      <c r="AZ135" s="358">
        <f t="shared" si="92"/>
        <v>0</v>
      </c>
      <c r="BA135" s="358">
        <f t="shared" si="93"/>
        <v>0</v>
      </c>
      <c r="BB135" s="358">
        <f t="shared" si="94"/>
        <v>0</v>
      </c>
      <c r="BC135" s="358">
        <f t="shared" si="95"/>
        <v>0</v>
      </c>
      <c r="BD135" s="358">
        <f t="shared" si="96"/>
        <v>0</v>
      </c>
      <c r="BE135" s="358">
        <f t="shared" si="88"/>
        <v>0</v>
      </c>
      <c r="BF135" s="358" t="str">
        <f t="shared" si="89"/>
        <v/>
      </c>
    </row>
    <row r="136" spans="1:58">
      <c r="A136" s="79">
        <f>'G-1 All Habitats'!B141</f>
        <v>0</v>
      </c>
      <c r="B136" s="68">
        <f>'G-1 All Habitats'!F135</f>
        <v>0</v>
      </c>
      <c r="C136" s="68">
        <f>'G-1 All Habitats'!K135</f>
        <v>0</v>
      </c>
      <c r="D136" s="68">
        <f>'G-1 All Habitats'!M135</f>
        <v>0</v>
      </c>
      <c r="E136" s="346">
        <f>IF(C136="V.High",SUMIF('A-1 On-Site Habitat Baseline'!$G$11:$G$258,'G-2 Habitat groups'!A136,'A-1 On-Site Habitat Baseline'!$S$11:$S$258)+SUMIF('A-1 On-Site Habitat Baseline'!$G$11:$G$258,'G-2 Habitat groups'!A136,'A-1 On-Site Habitat Baseline'!$T$11:$T$258),SUMIF('A-1 On-Site Habitat Baseline'!$G$11:$G$258,'G-2 Habitat groups'!A136,'A-1 On-Site Habitat Baseline'!$H$11:$H$258))</f>
        <v>0</v>
      </c>
      <c r="F136" s="346">
        <f>SUMIF('A-1 On-Site Habitat Baseline'!$G$11:$G$258,'G-2 Habitat groups'!A136,'A-1 On-Site Habitat Baseline'!$Q$11:$Q$258)</f>
        <v>0</v>
      </c>
      <c r="G136" s="346">
        <f>SUMIF('A-1 On-Site Habitat Baseline'!$G$11:$G$258,'G-2 Habitat groups'!A136,'A-1 On-Site Habitat Baseline'!$S$11:$S$258)</f>
        <v>0</v>
      </c>
      <c r="H136" s="346">
        <f>SUMIF('A-1 On-Site Habitat Baseline'!$G$11:$G$258,'G-2 Habitat groups'!A136,'A-1 On-Site Habitat Baseline'!$U$11:$U$258)</f>
        <v>0</v>
      </c>
      <c r="I136" s="346">
        <f>SUMIF('A-1 On-Site Habitat Baseline'!$G$11:$G$258,'G-2 Habitat groups'!A136,'A-1 On-Site Habitat Baseline'!$W$11:$W$258)</f>
        <v>0</v>
      </c>
      <c r="J136" s="346">
        <f>SUMIF('A-1 On-Site Habitat Baseline'!$G$11:$G$258,'G-2 Habitat groups'!A136,'A-1 On-Site Habitat Baseline'!$X$11:$X$258)</f>
        <v>0</v>
      </c>
      <c r="K136" s="346">
        <f>SUMIF('A-2 On-Site Habitat Creation'!$F$11:$F$256,'G-2 Habitat groups'!A136,'A-2 On-Site Habitat Creation'!$G$11:$G$256)</f>
        <v>0</v>
      </c>
      <c r="L136" s="346">
        <f>SUMIF('A-2 On-Site Habitat Creation'!$F$11:$F$256,'G-2 Habitat groups'!A136,'A-2 On-Site Habitat Creation'!$Y$11:$Y$256)</f>
        <v>0</v>
      </c>
      <c r="M136" s="346">
        <f>SUMIF('A-3 On-Site Habitat Enhancement'!$S$12:$S$257,'G-2 Habitat groups'!A136,'A-3 On-Site Habitat Enhancement'!$V$12:$V$257)</f>
        <v>0</v>
      </c>
      <c r="N136" s="346">
        <f>SUMIF('A-3 On-Site Habitat Enhancement'!$S$12:$S$257,'G-2 Habitat groups'!A136,'A-3 On-Site Habitat Enhancement'!$AN$12:$AN$257)</f>
        <v>0</v>
      </c>
      <c r="O136" s="346">
        <f t="shared" si="98"/>
        <v>0</v>
      </c>
      <c r="P136" s="346">
        <f t="shared" si="99"/>
        <v>0</v>
      </c>
      <c r="Q136" s="346">
        <f t="shared" si="100"/>
        <v>0</v>
      </c>
      <c r="R136" s="346">
        <f t="shared" si="101"/>
        <v>0</v>
      </c>
      <c r="S136" s="346">
        <f>IF(C136="V.High",SUMIF('D-1 Off-Site Habitat Baseline'!$G$11:$G$258,'G-2 Habitat groups'!A136,'D-1 Off-Site Habitat Baseline'!$V$11:$V$258)+SUMIF('D-1 Off-Site Habitat Baseline'!$G$11:$G$258,'G-2 Habitat groups'!A136,'D-1 Off-Site Habitat Baseline'!$W$11:$W$258),SUMIF('D-1 Off-Site Habitat Baseline'!$G$11:$G$258,'G-2 Habitat groups'!A136,'D-1 Off-Site Habitat Baseline'!$H$11:$H$258))</f>
        <v>0</v>
      </c>
      <c r="T136" s="346">
        <f>SUMIF('D-1 Off-Site Habitat Baseline'!$G$11:$G$258,'G-2 Habitat groups'!A136,'D-1 Off-Site Habitat Baseline'!$T$11:$T$258)</f>
        <v>0</v>
      </c>
      <c r="U136" s="346">
        <f>SUMIF('D-1 Off-Site Habitat Baseline'!$G$11:$G$258,'G-2 Habitat groups'!A136,'D-1 Off-Site Habitat Baseline'!$V$11:$V$258)</f>
        <v>0</v>
      </c>
      <c r="V136" s="346">
        <f>SUMIF('D-1 Off-Site Habitat Baseline'!$G$11:$G$258,'G-2 Habitat groups'!A136,'D-1 Off-Site Habitat Baseline'!$X$11:$X$258)</f>
        <v>0</v>
      </c>
      <c r="W136" s="346">
        <f>SUMIF('D-2 Off-Site Habitat Creation'!$F$9:$F$255,'G-2 Habitat groups'!A136,'D-2 Off-Site Habitat Creation'!$G$9:$G$255)</f>
        <v>0</v>
      </c>
      <c r="X136" s="346">
        <f>SUMIF('D-2 Off-Site Habitat Creation'!$F$9:$F$255,'G-2 Habitat groups'!A136,'D-2 Off-Site Habitat Creation'!$AB$9:$AB$255)</f>
        <v>0</v>
      </c>
      <c r="Y136" s="346">
        <f>SUMIF('D-3 Off-Site Habitat Enhancment'!$S$12:$S$491,'G-2 Habitat groups'!A136,'D-3 Off-Site Habitat Enhancment'!$V$12:$V$491)</f>
        <v>0</v>
      </c>
      <c r="Z136" s="346">
        <f>SUMIF('D-3 Off-Site Habitat Enhancment'!$S$12:$S$491,'G-2 Habitat groups'!A136,'D-3 Off-Site Habitat Enhancment'!$AQ$12:$AQ$491)</f>
        <v>0</v>
      </c>
      <c r="AA136" s="346">
        <f t="shared" ref="AA136:AB140" si="106">U136+W136+Y136</f>
        <v>0</v>
      </c>
      <c r="AB136" s="346">
        <f t="shared" si="106"/>
        <v>0</v>
      </c>
      <c r="AC136" s="346">
        <f t="shared" si="102"/>
        <v>0</v>
      </c>
      <c r="AD136" s="346">
        <f t="shared" si="103"/>
        <v>0</v>
      </c>
      <c r="AE136" s="346">
        <f t="shared" si="104"/>
        <v>0</v>
      </c>
      <c r="AF136" s="346">
        <f t="shared" si="105"/>
        <v>0</v>
      </c>
      <c r="AU136" s="79" t="s">
        <v>732</v>
      </c>
      <c r="AV136" s="68" t="s">
        <v>129</v>
      </c>
      <c r="AW136" s="358">
        <f t="shared" si="97"/>
        <v>0</v>
      </c>
      <c r="AX136" s="358">
        <f t="shared" si="90"/>
        <v>0</v>
      </c>
      <c r="AY136" s="358">
        <f t="shared" si="91"/>
        <v>0</v>
      </c>
      <c r="AZ136" s="358">
        <f t="shared" si="92"/>
        <v>0</v>
      </c>
      <c r="BA136" s="358">
        <f t="shared" si="93"/>
        <v>0</v>
      </c>
      <c r="BB136" s="358">
        <f t="shared" si="94"/>
        <v>0</v>
      </c>
      <c r="BC136" s="358">
        <f t="shared" si="95"/>
        <v>0</v>
      </c>
      <c r="BD136" s="358">
        <f t="shared" si="96"/>
        <v>0</v>
      </c>
      <c r="BE136" s="358">
        <f t="shared" si="88"/>
        <v>0</v>
      </c>
      <c r="BF136" s="358" t="str">
        <f t="shared" si="89"/>
        <v/>
      </c>
    </row>
    <row r="137" spans="1:58">
      <c r="A137" s="79">
        <f>'G-1 All Habitats'!B142</f>
        <v>0</v>
      </c>
      <c r="B137" s="68">
        <f>'G-1 All Habitats'!F136</f>
        <v>0</v>
      </c>
      <c r="C137" s="68">
        <f>'G-1 All Habitats'!K136</f>
        <v>0</v>
      </c>
      <c r="D137" s="68">
        <f>'G-1 All Habitats'!M136</f>
        <v>0</v>
      </c>
      <c r="E137" s="346">
        <f>IF(C137="V.High",SUMIF('A-1 On-Site Habitat Baseline'!$G$11:$G$258,'G-2 Habitat groups'!A137,'A-1 On-Site Habitat Baseline'!$S$11:$S$258)+SUMIF('A-1 On-Site Habitat Baseline'!$G$11:$G$258,'G-2 Habitat groups'!A137,'A-1 On-Site Habitat Baseline'!$T$11:$T$258),SUMIF('A-1 On-Site Habitat Baseline'!$G$11:$G$258,'G-2 Habitat groups'!A137,'A-1 On-Site Habitat Baseline'!$H$11:$H$258))</f>
        <v>0</v>
      </c>
      <c r="F137" s="346">
        <f>SUMIF('A-1 On-Site Habitat Baseline'!$G$11:$G$258,'G-2 Habitat groups'!A137,'A-1 On-Site Habitat Baseline'!$Q$11:$Q$258)</f>
        <v>0</v>
      </c>
      <c r="G137" s="346">
        <f>SUMIF('A-1 On-Site Habitat Baseline'!$G$11:$G$258,'G-2 Habitat groups'!A137,'A-1 On-Site Habitat Baseline'!$S$11:$S$258)</f>
        <v>0</v>
      </c>
      <c r="H137" s="346">
        <f>SUMIF('A-1 On-Site Habitat Baseline'!$G$11:$G$258,'G-2 Habitat groups'!A137,'A-1 On-Site Habitat Baseline'!$U$11:$U$258)</f>
        <v>0</v>
      </c>
      <c r="I137" s="346">
        <f>SUMIF('A-1 On-Site Habitat Baseline'!$G$11:$G$258,'G-2 Habitat groups'!A137,'A-1 On-Site Habitat Baseline'!$W$11:$W$258)</f>
        <v>0</v>
      </c>
      <c r="J137" s="346">
        <f>SUMIF('A-1 On-Site Habitat Baseline'!$G$11:$G$258,'G-2 Habitat groups'!A137,'A-1 On-Site Habitat Baseline'!$X$11:$X$258)</f>
        <v>0</v>
      </c>
      <c r="K137" s="346">
        <f>SUMIF('A-2 On-Site Habitat Creation'!$F$11:$F$256,'G-2 Habitat groups'!A137,'A-2 On-Site Habitat Creation'!$G$11:$G$256)</f>
        <v>0</v>
      </c>
      <c r="L137" s="346">
        <f>SUMIF('A-2 On-Site Habitat Creation'!$F$11:$F$256,'G-2 Habitat groups'!A137,'A-2 On-Site Habitat Creation'!$Y$11:$Y$256)</f>
        <v>0</v>
      </c>
      <c r="M137" s="346">
        <f>SUMIF('A-3 On-Site Habitat Enhancement'!$S$12:$S$257,'G-2 Habitat groups'!A137,'A-3 On-Site Habitat Enhancement'!$V$12:$V$257)</f>
        <v>0</v>
      </c>
      <c r="N137" s="346">
        <f>SUMIF('A-3 On-Site Habitat Enhancement'!$S$12:$S$257,'G-2 Habitat groups'!A137,'A-3 On-Site Habitat Enhancement'!$AN$12:$AN$257)</f>
        <v>0</v>
      </c>
      <c r="O137" s="346">
        <f t="shared" si="98"/>
        <v>0</v>
      </c>
      <c r="P137" s="346">
        <f t="shared" si="99"/>
        <v>0</v>
      </c>
      <c r="Q137" s="346">
        <f t="shared" si="100"/>
        <v>0</v>
      </c>
      <c r="R137" s="346">
        <f t="shared" si="101"/>
        <v>0</v>
      </c>
      <c r="S137" s="346">
        <f>IF(C137="V.High",SUMIF('D-1 Off-Site Habitat Baseline'!$G$11:$G$258,'G-2 Habitat groups'!A137,'D-1 Off-Site Habitat Baseline'!$V$11:$V$258)+SUMIF('D-1 Off-Site Habitat Baseline'!$G$11:$G$258,'G-2 Habitat groups'!A137,'D-1 Off-Site Habitat Baseline'!$W$11:$W$258),SUMIF('D-1 Off-Site Habitat Baseline'!$G$11:$G$258,'G-2 Habitat groups'!A137,'D-1 Off-Site Habitat Baseline'!$H$11:$H$258))</f>
        <v>0</v>
      </c>
      <c r="T137" s="346">
        <f>SUMIF('D-1 Off-Site Habitat Baseline'!$G$11:$G$258,'G-2 Habitat groups'!A137,'D-1 Off-Site Habitat Baseline'!$T$11:$T$258)</f>
        <v>0</v>
      </c>
      <c r="U137" s="346">
        <f>SUMIF('D-1 Off-Site Habitat Baseline'!$G$11:$G$258,'G-2 Habitat groups'!A137,'D-1 Off-Site Habitat Baseline'!$V$11:$V$258)</f>
        <v>0</v>
      </c>
      <c r="V137" s="346">
        <f>SUMIF('D-1 Off-Site Habitat Baseline'!$G$11:$G$258,'G-2 Habitat groups'!A137,'D-1 Off-Site Habitat Baseline'!$X$11:$X$258)</f>
        <v>0</v>
      </c>
      <c r="W137" s="346">
        <f>SUMIF('D-2 Off-Site Habitat Creation'!$F$9:$F$255,'G-2 Habitat groups'!A137,'D-2 Off-Site Habitat Creation'!$G$9:$G$255)</f>
        <v>0</v>
      </c>
      <c r="X137" s="346">
        <f>SUMIF('D-2 Off-Site Habitat Creation'!$F$9:$F$255,'G-2 Habitat groups'!A137,'D-2 Off-Site Habitat Creation'!$AB$9:$AB$255)</f>
        <v>0</v>
      </c>
      <c r="Y137" s="346">
        <f>SUMIF('D-3 Off-Site Habitat Enhancment'!$S$12:$S$491,'G-2 Habitat groups'!A137,'D-3 Off-Site Habitat Enhancment'!$V$12:$V$491)</f>
        <v>0</v>
      </c>
      <c r="Z137" s="346">
        <f>SUMIF('D-3 Off-Site Habitat Enhancment'!$S$12:$S$491,'G-2 Habitat groups'!A137,'D-3 Off-Site Habitat Enhancment'!$AQ$12:$AQ$491)</f>
        <v>0</v>
      </c>
      <c r="AA137" s="346">
        <f t="shared" si="106"/>
        <v>0</v>
      </c>
      <c r="AB137" s="346">
        <f t="shared" si="106"/>
        <v>0</v>
      </c>
      <c r="AC137" s="346">
        <f t="shared" si="102"/>
        <v>0</v>
      </c>
      <c r="AD137" s="346">
        <f t="shared" si="103"/>
        <v>0</v>
      </c>
      <c r="AE137" s="346">
        <f t="shared" si="104"/>
        <v>0</v>
      </c>
      <c r="AF137" s="346">
        <f t="shared" si="105"/>
        <v>0</v>
      </c>
      <c r="AU137" s="79" t="s">
        <v>738</v>
      </c>
      <c r="AV137" s="68" t="s">
        <v>129</v>
      </c>
      <c r="AW137" s="358">
        <f t="shared" si="97"/>
        <v>0</v>
      </c>
      <c r="AX137" s="358">
        <f t="shared" si="90"/>
        <v>0</v>
      </c>
      <c r="AY137" s="358">
        <f t="shared" si="91"/>
        <v>0</v>
      </c>
      <c r="AZ137" s="358">
        <f t="shared" si="92"/>
        <v>0</v>
      </c>
      <c r="BA137" s="358">
        <f t="shared" si="93"/>
        <v>0</v>
      </c>
      <c r="BB137" s="358">
        <f t="shared" si="94"/>
        <v>0</v>
      </c>
      <c r="BC137" s="358">
        <f t="shared" si="95"/>
        <v>0</v>
      </c>
      <c r="BD137" s="358">
        <f t="shared" si="96"/>
        <v>0</v>
      </c>
      <c r="BE137" s="358">
        <f t="shared" si="88"/>
        <v>0</v>
      </c>
      <c r="BF137" s="358" t="str">
        <f t="shared" si="89"/>
        <v/>
      </c>
    </row>
    <row r="138" spans="1:58">
      <c r="A138" s="79">
        <f>'G-1 All Habitats'!B143</f>
        <v>0</v>
      </c>
      <c r="B138" s="68">
        <f>'G-1 All Habitats'!F137</f>
        <v>0</v>
      </c>
      <c r="C138" s="68">
        <f>'G-1 All Habitats'!K137</f>
        <v>0</v>
      </c>
      <c r="D138" s="68">
        <f>'G-1 All Habitats'!M137</f>
        <v>0</v>
      </c>
      <c r="E138" s="346">
        <f>IF(C138="V.High",SUMIF('A-1 On-Site Habitat Baseline'!$G$11:$G$258,'G-2 Habitat groups'!A138,'A-1 On-Site Habitat Baseline'!$S$11:$S$258)+SUMIF('A-1 On-Site Habitat Baseline'!$G$11:$G$258,'G-2 Habitat groups'!A138,'A-1 On-Site Habitat Baseline'!$T$11:$T$258),SUMIF('A-1 On-Site Habitat Baseline'!$G$11:$G$258,'G-2 Habitat groups'!A138,'A-1 On-Site Habitat Baseline'!$H$11:$H$258))</f>
        <v>0</v>
      </c>
      <c r="F138" s="346">
        <f>SUMIF('A-1 On-Site Habitat Baseline'!$G$11:$G$258,'G-2 Habitat groups'!A138,'A-1 On-Site Habitat Baseline'!$Q$11:$Q$258)</f>
        <v>0</v>
      </c>
      <c r="G138" s="346">
        <f>SUMIF('A-1 On-Site Habitat Baseline'!$G$11:$G$258,'G-2 Habitat groups'!A138,'A-1 On-Site Habitat Baseline'!$S$11:$S$258)</f>
        <v>0</v>
      </c>
      <c r="H138" s="346">
        <f>SUMIF('A-1 On-Site Habitat Baseline'!$G$11:$G$258,'G-2 Habitat groups'!A138,'A-1 On-Site Habitat Baseline'!$U$11:$U$258)</f>
        <v>0</v>
      </c>
      <c r="I138" s="346">
        <f>SUMIF('A-1 On-Site Habitat Baseline'!$G$11:$G$258,'G-2 Habitat groups'!A138,'A-1 On-Site Habitat Baseline'!$W$11:$W$258)</f>
        <v>0</v>
      </c>
      <c r="J138" s="346">
        <f>SUMIF('A-1 On-Site Habitat Baseline'!$G$11:$G$258,'G-2 Habitat groups'!A138,'A-1 On-Site Habitat Baseline'!$X$11:$X$258)</f>
        <v>0</v>
      </c>
      <c r="K138" s="346">
        <f>SUMIF('A-2 On-Site Habitat Creation'!$F$11:$F$256,'G-2 Habitat groups'!A138,'A-2 On-Site Habitat Creation'!$G$11:$G$256)</f>
        <v>0</v>
      </c>
      <c r="L138" s="346">
        <f>SUMIF('A-2 On-Site Habitat Creation'!$F$11:$F$256,'G-2 Habitat groups'!A138,'A-2 On-Site Habitat Creation'!$Y$11:$Y$256)</f>
        <v>0</v>
      </c>
      <c r="M138" s="346">
        <f>SUMIF('A-3 On-Site Habitat Enhancement'!$S$12:$S$257,'G-2 Habitat groups'!A138,'A-3 On-Site Habitat Enhancement'!$V$12:$V$257)</f>
        <v>0</v>
      </c>
      <c r="N138" s="346">
        <f>SUMIF('A-3 On-Site Habitat Enhancement'!$S$12:$S$257,'G-2 Habitat groups'!A138,'A-3 On-Site Habitat Enhancement'!$AN$12:$AN$257)</f>
        <v>0</v>
      </c>
      <c r="O138" s="346">
        <f t="shared" si="98"/>
        <v>0</v>
      </c>
      <c r="P138" s="346">
        <f t="shared" si="99"/>
        <v>0</v>
      </c>
      <c r="Q138" s="346">
        <f t="shared" si="100"/>
        <v>0</v>
      </c>
      <c r="R138" s="346">
        <f t="shared" si="101"/>
        <v>0</v>
      </c>
      <c r="S138" s="346">
        <f>IF(C138="V.High",SUMIF('D-1 Off-Site Habitat Baseline'!$G$11:$G$258,'G-2 Habitat groups'!A138,'D-1 Off-Site Habitat Baseline'!$V$11:$V$258)+SUMIF('D-1 Off-Site Habitat Baseline'!$G$11:$G$258,'G-2 Habitat groups'!A138,'D-1 Off-Site Habitat Baseline'!$W$11:$W$258),SUMIF('D-1 Off-Site Habitat Baseline'!$G$11:$G$258,'G-2 Habitat groups'!A138,'D-1 Off-Site Habitat Baseline'!$H$11:$H$258))</f>
        <v>0</v>
      </c>
      <c r="T138" s="346">
        <f>SUMIF('D-1 Off-Site Habitat Baseline'!$G$11:$G$258,'G-2 Habitat groups'!A138,'D-1 Off-Site Habitat Baseline'!$T$11:$T$258)</f>
        <v>0</v>
      </c>
      <c r="U138" s="346">
        <f>SUMIF('D-1 Off-Site Habitat Baseline'!$G$11:$G$258,'G-2 Habitat groups'!A138,'D-1 Off-Site Habitat Baseline'!$V$11:$V$258)</f>
        <v>0</v>
      </c>
      <c r="V138" s="346">
        <f>SUMIF('D-1 Off-Site Habitat Baseline'!$G$11:$G$258,'G-2 Habitat groups'!A138,'D-1 Off-Site Habitat Baseline'!$X$11:$X$258)</f>
        <v>0</v>
      </c>
      <c r="W138" s="346">
        <f>SUMIF('D-2 Off-Site Habitat Creation'!$F$9:$F$255,'G-2 Habitat groups'!A138,'D-2 Off-Site Habitat Creation'!$G$9:$G$255)</f>
        <v>0</v>
      </c>
      <c r="X138" s="346">
        <f>SUMIF('D-2 Off-Site Habitat Creation'!$F$9:$F$255,'G-2 Habitat groups'!A138,'D-2 Off-Site Habitat Creation'!$AB$9:$AB$255)</f>
        <v>0</v>
      </c>
      <c r="Y138" s="346">
        <f>SUMIF('D-3 Off-Site Habitat Enhancment'!$S$12:$S$491,'G-2 Habitat groups'!A138,'D-3 Off-Site Habitat Enhancment'!$V$12:$V$491)</f>
        <v>0</v>
      </c>
      <c r="Z138" s="346">
        <f>SUMIF('D-3 Off-Site Habitat Enhancment'!$S$12:$S$491,'G-2 Habitat groups'!A138,'D-3 Off-Site Habitat Enhancment'!$AQ$12:$AQ$491)</f>
        <v>0</v>
      </c>
      <c r="AA138" s="346">
        <f t="shared" si="106"/>
        <v>0</v>
      </c>
      <c r="AB138" s="346">
        <f t="shared" si="106"/>
        <v>0</v>
      </c>
      <c r="AC138" s="346">
        <f t="shared" si="102"/>
        <v>0</v>
      </c>
      <c r="AD138" s="346">
        <f t="shared" si="103"/>
        <v>0</v>
      </c>
      <c r="AE138" s="346">
        <f t="shared" si="104"/>
        <v>0</v>
      </c>
      <c r="AF138" s="346">
        <f t="shared" si="105"/>
        <v>0</v>
      </c>
      <c r="AU138" s="95" t="s">
        <v>794</v>
      </c>
      <c r="AV138" s="68" t="s">
        <v>131</v>
      </c>
      <c r="AW138" s="358">
        <f t="shared" si="97"/>
        <v>0</v>
      </c>
      <c r="AX138" s="358">
        <f t="shared" si="90"/>
        <v>0</v>
      </c>
      <c r="AY138" s="358">
        <f t="shared" si="91"/>
        <v>0</v>
      </c>
      <c r="AZ138" s="358">
        <f t="shared" si="92"/>
        <v>0</v>
      </c>
      <c r="BA138" s="358">
        <f t="shared" si="93"/>
        <v>0</v>
      </c>
      <c r="BB138" s="358">
        <f t="shared" si="94"/>
        <v>0</v>
      </c>
      <c r="BC138" s="358">
        <f t="shared" si="95"/>
        <v>0</v>
      </c>
      <c r="BD138" s="358">
        <f t="shared" si="96"/>
        <v>0</v>
      </c>
      <c r="BE138" s="358">
        <f t="shared" si="88"/>
        <v>0</v>
      </c>
      <c r="BF138" s="358" t="str">
        <f t="shared" si="89"/>
        <v/>
      </c>
    </row>
    <row r="139" spans="1:58">
      <c r="A139" s="79">
        <f>'G-1 All Habitats'!B144</f>
        <v>0</v>
      </c>
      <c r="B139" s="68">
        <f>'G-1 All Habitats'!F138</f>
        <v>0</v>
      </c>
      <c r="C139" s="68">
        <f>'G-1 All Habitats'!K138</f>
        <v>0</v>
      </c>
      <c r="D139" s="68">
        <f>'G-1 All Habitats'!M138</f>
        <v>0</v>
      </c>
      <c r="E139" s="346">
        <f>IF(C139="V.High",SUMIF('A-1 On-Site Habitat Baseline'!$G$11:$G$258,'G-2 Habitat groups'!A139,'A-1 On-Site Habitat Baseline'!$S$11:$S$258)+SUMIF('A-1 On-Site Habitat Baseline'!$G$11:$G$258,'G-2 Habitat groups'!A139,'A-1 On-Site Habitat Baseline'!$T$11:$T$258),SUMIF('A-1 On-Site Habitat Baseline'!$G$11:$G$258,'G-2 Habitat groups'!A139,'A-1 On-Site Habitat Baseline'!$H$11:$H$258))</f>
        <v>0</v>
      </c>
      <c r="F139" s="346">
        <f>SUMIF('A-1 On-Site Habitat Baseline'!$G$11:$G$258,'G-2 Habitat groups'!A139,'A-1 On-Site Habitat Baseline'!$Q$11:$Q$258)</f>
        <v>0</v>
      </c>
      <c r="G139" s="346">
        <f>SUMIF('A-1 On-Site Habitat Baseline'!$G$11:$G$258,'G-2 Habitat groups'!A139,'A-1 On-Site Habitat Baseline'!$S$11:$S$258)</f>
        <v>0</v>
      </c>
      <c r="H139" s="346">
        <f>SUMIF('A-1 On-Site Habitat Baseline'!$G$11:$G$258,'G-2 Habitat groups'!A139,'A-1 On-Site Habitat Baseline'!$U$11:$U$258)</f>
        <v>0</v>
      </c>
      <c r="I139" s="346">
        <f>SUMIF('A-1 On-Site Habitat Baseline'!$G$11:$G$258,'G-2 Habitat groups'!A139,'A-1 On-Site Habitat Baseline'!$W$11:$W$258)</f>
        <v>0</v>
      </c>
      <c r="J139" s="346">
        <f>SUMIF('A-1 On-Site Habitat Baseline'!$G$11:$G$258,'G-2 Habitat groups'!A139,'A-1 On-Site Habitat Baseline'!$X$11:$X$258)</f>
        <v>0</v>
      </c>
      <c r="K139" s="346">
        <f>SUMIF('A-2 On-Site Habitat Creation'!$F$11:$F$256,'G-2 Habitat groups'!A139,'A-2 On-Site Habitat Creation'!$G$11:$G$256)</f>
        <v>0</v>
      </c>
      <c r="L139" s="346">
        <f>SUMIF('A-2 On-Site Habitat Creation'!$F$11:$F$256,'G-2 Habitat groups'!A139,'A-2 On-Site Habitat Creation'!$Y$11:$Y$256)</f>
        <v>0</v>
      </c>
      <c r="M139" s="346">
        <f>SUMIF('A-3 On-Site Habitat Enhancement'!$S$12:$S$257,'G-2 Habitat groups'!A139,'A-3 On-Site Habitat Enhancement'!$V$12:$V$257)</f>
        <v>0</v>
      </c>
      <c r="N139" s="346">
        <f>SUMIF('A-3 On-Site Habitat Enhancement'!$S$12:$S$257,'G-2 Habitat groups'!A139,'A-3 On-Site Habitat Enhancement'!$AN$12:$AN$257)</f>
        <v>0</v>
      </c>
      <c r="O139" s="346">
        <f t="shared" si="98"/>
        <v>0</v>
      </c>
      <c r="P139" s="346">
        <f t="shared" si="99"/>
        <v>0</v>
      </c>
      <c r="Q139" s="346">
        <f t="shared" si="100"/>
        <v>0</v>
      </c>
      <c r="R139" s="346">
        <f t="shared" si="101"/>
        <v>0</v>
      </c>
      <c r="S139" s="346">
        <f>IF(C139="V.High",SUMIF('D-1 Off-Site Habitat Baseline'!$G$11:$G$258,'G-2 Habitat groups'!A139,'D-1 Off-Site Habitat Baseline'!$V$11:$V$258)+SUMIF('D-1 Off-Site Habitat Baseline'!$G$11:$G$258,'G-2 Habitat groups'!A139,'D-1 Off-Site Habitat Baseline'!$W$11:$W$258),SUMIF('D-1 Off-Site Habitat Baseline'!$G$11:$G$258,'G-2 Habitat groups'!A139,'D-1 Off-Site Habitat Baseline'!$H$11:$H$258))</f>
        <v>0</v>
      </c>
      <c r="T139" s="346">
        <f>SUMIF('D-1 Off-Site Habitat Baseline'!$G$11:$G$258,'G-2 Habitat groups'!A139,'D-1 Off-Site Habitat Baseline'!$T$11:$T$258)</f>
        <v>0</v>
      </c>
      <c r="U139" s="346">
        <f>SUMIF('D-1 Off-Site Habitat Baseline'!$G$11:$G$258,'G-2 Habitat groups'!A139,'D-1 Off-Site Habitat Baseline'!$V$11:$V$258)</f>
        <v>0</v>
      </c>
      <c r="V139" s="346">
        <f>SUMIF('D-1 Off-Site Habitat Baseline'!$G$11:$G$258,'G-2 Habitat groups'!A139,'D-1 Off-Site Habitat Baseline'!$X$11:$X$258)</f>
        <v>0</v>
      </c>
      <c r="W139" s="346">
        <f>SUMIF('D-2 Off-Site Habitat Creation'!$F$9:$F$255,'G-2 Habitat groups'!A139,'D-2 Off-Site Habitat Creation'!$G$9:$G$255)</f>
        <v>0</v>
      </c>
      <c r="X139" s="346">
        <f>SUMIF('D-2 Off-Site Habitat Creation'!$F$9:$F$255,'G-2 Habitat groups'!A139,'D-2 Off-Site Habitat Creation'!$AB$9:$AB$255)</f>
        <v>0</v>
      </c>
      <c r="Y139" s="346">
        <f>SUMIF('D-3 Off-Site Habitat Enhancment'!$S$12:$S$491,'G-2 Habitat groups'!A139,'D-3 Off-Site Habitat Enhancment'!$V$12:$V$491)</f>
        <v>0</v>
      </c>
      <c r="Z139" s="346">
        <f>SUMIF('D-3 Off-Site Habitat Enhancment'!$S$12:$S$491,'G-2 Habitat groups'!A139,'D-3 Off-Site Habitat Enhancment'!$AQ$12:$AQ$491)</f>
        <v>0</v>
      </c>
      <c r="AA139" s="346">
        <f t="shared" si="106"/>
        <v>0</v>
      </c>
      <c r="AB139" s="346">
        <f t="shared" si="106"/>
        <v>0</v>
      </c>
      <c r="AC139" s="346">
        <f t="shared" si="102"/>
        <v>0</v>
      </c>
      <c r="AD139" s="346">
        <f t="shared" si="103"/>
        <v>0</v>
      </c>
      <c r="AE139" s="346">
        <f t="shared" si="104"/>
        <v>0</v>
      </c>
      <c r="AF139" s="346">
        <f t="shared" si="105"/>
        <v>0</v>
      </c>
      <c r="AU139" s="79" t="s">
        <v>861</v>
      </c>
      <c r="AV139" s="91" t="s">
        <v>133</v>
      </c>
      <c r="AW139" s="358">
        <f t="shared" si="97"/>
        <v>0</v>
      </c>
      <c r="AX139" s="358">
        <f t="shared" si="90"/>
        <v>0</v>
      </c>
      <c r="AY139" s="358">
        <f t="shared" si="91"/>
        <v>0</v>
      </c>
      <c r="AZ139" s="358">
        <f t="shared" si="92"/>
        <v>0</v>
      </c>
      <c r="BA139" s="358">
        <f t="shared" si="93"/>
        <v>0</v>
      </c>
      <c r="BB139" s="358">
        <f t="shared" si="94"/>
        <v>0</v>
      </c>
      <c r="BC139" s="358">
        <f t="shared" si="95"/>
        <v>0</v>
      </c>
      <c r="BD139" s="358">
        <f t="shared" si="96"/>
        <v>0</v>
      </c>
      <c r="BE139" s="358">
        <f t="shared" si="88"/>
        <v>0</v>
      </c>
      <c r="BF139" s="358" t="str">
        <f t="shared" si="89"/>
        <v/>
      </c>
    </row>
    <row r="140" spans="1:58">
      <c r="A140" s="79">
        <f>'G-1 All Habitats'!B145</f>
        <v>0</v>
      </c>
      <c r="B140" s="68">
        <f>'G-1 All Habitats'!F139</f>
        <v>0</v>
      </c>
      <c r="C140" s="68">
        <f>'G-1 All Habitats'!K139</f>
        <v>0</v>
      </c>
      <c r="D140" s="68">
        <f>'G-1 All Habitats'!M139</f>
        <v>0</v>
      </c>
      <c r="E140" s="346">
        <f>IF(C140="V.High",SUMIF('A-1 On-Site Habitat Baseline'!$G$11:$G$258,'G-2 Habitat groups'!A140,'A-1 On-Site Habitat Baseline'!$S$11:$S$258)+SUMIF('A-1 On-Site Habitat Baseline'!$G$11:$G$258,'G-2 Habitat groups'!A140,'A-1 On-Site Habitat Baseline'!$T$11:$T$258),SUMIF('A-1 On-Site Habitat Baseline'!$G$11:$G$258,'G-2 Habitat groups'!A140,'A-1 On-Site Habitat Baseline'!$H$11:$H$258))</f>
        <v>0</v>
      </c>
      <c r="F140" s="346">
        <f>SUMIF('A-1 On-Site Habitat Baseline'!$G$11:$G$258,'G-2 Habitat groups'!A140,'A-1 On-Site Habitat Baseline'!$Q$11:$Q$258)</f>
        <v>0</v>
      </c>
      <c r="G140" s="346">
        <f>SUMIF('A-1 On-Site Habitat Baseline'!$G$11:$G$258,'G-2 Habitat groups'!A140,'A-1 On-Site Habitat Baseline'!$S$11:$S$258)</f>
        <v>0</v>
      </c>
      <c r="H140" s="346">
        <f>SUMIF('A-1 On-Site Habitat Baseline'!$G$11:$G$258,'G-2 Habitat groups'!A140,'A-1 On-Site Habitat Baseline'!$U$11:$U$258)</f>
        <v>0</v>
      </c>
      <c r="I140" s="346">
        <f>SUMIF('A-1 On-Site Habitat Baseline'!$G$11:$G$258,'G-2 Habitat groups'!A140,'A-1 On-Site Habitat Baseline'!$W$11:$W$258)</f>
        <v>0</v>
      </c>
      <c r="J140" s="346">
        <f>SUMIF('A-1 On-Site Habitat Baseline'!$G$11:$G$258,'G-2 Habitat groups'!A140,'A-1 On-Site Habitat Baseline'!$X$11:$X$258)</f>
        <v>0</v>
      </c>
      <c r="K140" s="346">
        <f>SUMIF('A-2 On-Site Habitat Creation'!$F$11:$F$256,'G-2 Habitat groups'!A140,'A-2 On-Site Habitat Creation'!$G$11:$G$256)</f>
        <v>0</v>
      </c>
      <c r="L140" s="346">
        <f>SUMIF('A-2 On-Site Habitat Creation'!$F$11:$F$256,'G-2 Habitat groups'!A140,'A-2 On-Site Habitat Creation'!$Y$11:$Y$256)</f>
        <v>0</v>
      </c>
      <c r="M140" s="346">
        <f>SUMIF('A-3 On-Site Habitat Enhancement'!$S$12:$S$257,'G-2 Habitat groups'!A140,'A-3 On-Site Habitat Enhancement'!$V$12:$V$257)</f>
        <v>0</v>
      </c>
      <c r="N140" s="346">
        <f>SUMIF('A-3 On-Site Habitat Enhancement'!$S$12:$S$257,'G-2 Habitat groups'!A140,'A-3 On-Site Habitat Enhancement'!$AN$12:$AN$257)</f>
        <v>0</v>
      </c>
      <c r="O140" s="346">
        <f t="shared" si="98"/>
        <v>0</v>
      </c>
      <c r="P140" s="346">
        <f t="shared" si="99"/>
        <v>0</v>
      </c>
      <c r="Q140" s="346">
        <f t="shared" si="100"/>
        <v>0</v>
      </c>
      <c r="R140" s="346">
        <f t="shared" si="101"/>
        <v>0</v>
      </c>
      <c r="S140" s="346">
        <f>IF(C140="V.High",SUMIF('D-1 Off-Site Habitat Baseline'!$G$11:$G$258,'G-2 Habitat groups'!A140,'D-1 Off-Site Habitat Baseline'!$V$11:$V$258)+SUMIF('D-1 Off-Site Habitat Baseline'!$G$11:$G$258,'G-2 Habitat groups'!A140,'D-1 Off-Site Habitat Baseline'!$W$11:$W$258),SUMIF('D-1 Off-Site Habitat Baseline'!$G$11:$G$258,'G-2 Habitat groups'!A140,'D-1 Off-Site Habitat Baseline'!$H$11:$H$258))</f>
        <v>0</v>
      </c>
      <c r="T140" s="346">
        <f>SUMIF('D-1 Off-Site Habitat Baseline'!$G$11:$G$258,'G-2 Habitat groups'!A140,'D-1 Off-Site Habitat Baseline'!$T$11:$T$258)</f>
        <v>0</v>
      </c>
      <c r="U140" s="346">
        <f>SUMIF('D-1 Off-Site Habitat Baseline'!$G$11:$G$258,'G-2 Habitat groups'!A140,'D-1 Off-Site Habitat Baseline'!$V$11:$V$258)</f>
        <v>0</v>
      </c>
      <c r="V140" s="346">
        <f>SUMIF('D-1 Off-Site Habitat Baseline'!$G$11:$G$258,'G-2 Habitat groups'!A140,'D-1 Off-Site Habitat Baseline'!$X$11:$X$258)</f>
        <v>0</v>
      </c>
      <c r="W140" s="346">
        <f>SUMIF('D-2 Off-Site Habitat Creation'!$F$9:$F$255,'G-2 Habitat groups'!A140,'D-2 Off-Site Habitat Creation'!$G$9:$G$255)</f>
        <v>0</v>
      </c>
      <c r="X140" s="346">
        <f>SUMIF('D-2 Off-Site Habitat Creation'!$F$9:$F$255,'G-2 Habitat groups'!A140,'D-2 Off-Site Habitat Creation'!$AB$9:$AB$255)</f>
        <v>0</v>
      </c>
      <c r="Y140" s="346">
        <f>SUMIF('D-3 Off-Site Habitat Enhancment'!$S$12:$S$491,'G-2 Habitat groups'!A140,'D-3 Off-Site Habitat Enhancment'!$V$12:$V$491)</f>
        <v>0</v>
      </c>
      <c r="Z140" s="346">
        <f>SUMIF('D-3 Off-Site Habitat Enhancment'!$S$12:$S$491,'G-2 Habitat groups'!A140,'D-3 Off-Site Habitat Enhancment'!$AQ$12:$AQ$491)</f>
        <v>0</v>
      </c>
      <c r="AA140" s="346">
        <f t="shared" si="106"/>
        <v>0</v>
      </c>
      <c r="AB140" s="346">
        <f t="shared" si="106"/>
        <v>0</v>
      </c>
      <c r="AC140" s="346">
        <f t="shared" si="102"/>
        <v>0</v>
      </c>
      <c r="AD140" s="346">
        <f t="shared" si="103"/>
        <v>0</v>
      </c>
      <c r="AE140" s="346">
        <f t="shared" si="104"/>
        <v>0</v>
      </c>
      <c r="AF140" s="346">
        <f t="shared" si="105"/>
        <v>0</v>
      </c>
      <c r="AU140" s="79" t="s">
        <v>890</v>
      </c>
      <c r="AV140" s="68" t="s">
        <v>132</v>
      </c>
      <c r="AW140" s="358">
        <f t="shared" si="97"/>
        <v>0</v>
      </c>
      <c r="AX140" s="358">
        <f t="shared" si="90"/>
        <v>0</v>
      </c>
      <c r="AY140" s="358">
        <f t="shared" si="91"/>
        <v>0</v>
      </c>
      <c r="AZ140" s="358">
        <f t="shared" si="92"/>
        <v>0</v>
      </c>
      <c r="BA140" s="358">
        <f t="shared" si="93"/>
        <v>0</v>
      </c>
      <c r="BB140" s="358">
        <f t="shared" si="94"/>
        <v>0</v>
      </c>
      <c r="BC140" s="358">
        <f t="shared" si="95"/>
        <v>0</v>
      </c>
      <c r="BD140" s="358">
        <f t="shared" si="96"/>
        <v>0</v>
      </c>
      <c r="BE140" s="358">
        <f t="shared" si="88"/>
        <v>0</v>
      </c>
      <c r="BF140" s="358" t="str">
        <f t="shared" si="89"/>
        <v/>
      </c>
    </row>
    <row r="141" spans="1:58">
      <c r="AU141" s="79" t="s">
        <v>893</v>
      </c>
      <c r="AV141" s="68" t="s">
        <v>132</v>
      </c>
      <c r="AW141" s="358">
        <f t="shared" si="97"/>
        <v>0</v>
      </c>
      <c r="AX141" s="358">
        <f t="shared" si="90"/>
        <v>0</v>
      </c>
      <c r="AY141" s="358">
        <f t="shared" si="91"/>
        <v>0</v>
      </c>
      <c r="AZ141" s="358">
        <f t="shared" si="92"/>
        <v>0</v>
      </c>
      <c r="BA141" s="358">
        <f t="shared" si="93"/>
        <v>0</v>
      </c>
      <c r="BB141" s="358">
        <f t="shared" si="94"/>
        <v>0</v>
      </c>
      <c r="BC141" s="358">
        <f t="shared" si="95"/>
        <v>0</v>
      </c>
      <c r="BD141" s="358">
        <f t="shared" si="96"/>
        <v>0</v>
      </c>
      <c r="BE141" s="358">
        <f t="shared" si="88"/>
        <v>0</v>
      </c>
      <c r="BF141" s="358" t="str">
        <f t="shared" si="89"/>
        <v/>
      </c>
    </row>
    <row r="142" spans="1:58">
      <c r="AU142" s="79" t="s">
        <v>896</v>
      </c>
      <c r="AV142" s="68" t="s">
        <v>132</v>
      </c>
      <c r="AW142" s="358">
        <f t="shared" si="97"/>
        <v>0</v>
      </c>
      <c r="AX142" s="358">
        <f t="shared" si="90"/>
        <v>0</v>
      </c>
      <c r="AY142" s="358">
        <f t="shared" si="91"/>
        <v>0</v>
      </c>
      <c r="AZ142" s="358">
        <f t="shared" si="92"/>
        <v>0</v>
      </c>
      <c r="BA142" s="358">
        <f t="shared" si="93"/>
        <v>0</v>
      </c>
      <c r="BB142" s="358">
        <f t="shared" si="94"/>
        <v>0</v>
      </c>
      <c r="BC142" s="358">
        <f t="shared" si="95"/>
        <v>0</v>
      </c>
      <c r="BD142" s="358">
        <f t="shared" si="96"/>
        <v>0</v>
      </c>
      <c r="BE142" s="358">
        <f t="shared" si="88"/>
        <v>0</v>
      </c>
      <c r="BF142" s="358" t="str">
        <f t="shared" si="89"/>
        <v/>
      </c>
    </row>
    <row r="143" spans="1:58">
      <c r="AU143" s="79" t="s">
        <v>899</v>
      </c>
      <c r="AV143" s="68" t="s">
        <v>132</v>
      </c>
      <c r="AW143" s="358">
        <f t="shared" si="97"/>
        <v>0</v>
      </c>
      <c r="AX143" s="358">
        <f t="shared" si="90"/>
        <v>0</v>
      </c>
      <c r="AY143" s="358">
        <f t="shared" si="91"/>
        <v>0</v>
      </c>
      <c r="AZ143" s="358">
        <f t="shared" si="92"/>
        <v>0</v>
      </c>
      <c r="BA143" s="358">
        <f t="shared" si="93"/>
        <v>0</v>
      </c>
      <c r="BB143" s="358">
        <f t="shared" si="94"/>
        <v>0</v>
      </c>
      <c r="BC143" s="358">
        <f t="shared" si="95"/>
        <v>0</v>
      </c>
      <c r="BD143" s="358">
        <f t="shared" si="96"/>
        <v>0</v>
      </c>
      <c r="BE143" s="358">
        <f t="shared" si="88"/>
        <v>0</v>
      </c>
      <c r="BF143" s="358" t="str">
        <f t="shared" si="89"/>
        <v/>
      </c>
    </row>
    <row r="144" spans="1:58">
      <c r="AU144" s="79" t="s">
        <v>902</v>
      </c>
      <c r="AV144" s="68" t="s">
        <v>132</v>
      </c>
      <c r="AW144" s="358">
        <f t="shared" si="97"/>
        <v>0</v>
      </c>
      <c r="AX144" s="358">
        <f t="shared" si="90"/>
        <v>0</v>
      </c>
      <c r="AY144" s="358">
        <f t="shared" si="91"/>
        <v>0</v>
      </c>
      <c r="AZ144" s="358">
        <f t="shared" si="92"/>
        <v>0</v>
      </c>
      <c r="BA144" s="358">
        <f t="shared" si="93"/>
        <v>0</v>
      </c>
      <c r="BB144" s="358">
        <f t="shared" si="94"/>
        <v>0</v>
      </c>
      <c r="BC144" s="358">
        <f t="shared" si="95"/>
        <v>0</v>
      </c>
      <c r="BD144" s="358">
        <f t="shared" si="96"/>
        <v>0</v>
      </c>
      <c r="BE144" s="358">
        <f t="shared" si="88"/>
        <v>0</v>
      </c>
      <c r="BF144" s="358" t="str">
        <f t="shared" si="89"/>
        <v/>
      </c>
    </row>
    <row r="145" spans="1:59" ht="27.75">
      <c r="A145" s="262" t="s">
        <v>158</v>
      </c>
      <c r="AU145" s="79" t="s">
        <v>905</v>
      </c>
      <c r="AV145" s="68" t="s">
        <v>132</v>
      </c>
      <c r="AW145" s="358">
        <f t="shared" si="97"/>
        <v>0</v>
      </c>
      <c r="AX145" s="358">
        <f t="shared" si="90"/>
        <v>0</v>
      </c>
      <c r="AY145" s="358">
        <f t="shared" si="91"/>
        <v>0</v>
      </c>
      <c r="AZ145" s="358">
        <f t="shared" si="92"/>
        <v>0</v>
      </c>
      <c r="BA145" s="358">
        <f t="shared" si="93"/>
        <v>0</v>
      </c>
      <c r="BB145" s="358">
        <f t="shared" si="94"/>
        <v>0</v>
      </c>
      <c r="BC145" s="358">
        <f t="shared" si="95"/>
        <v>0</v>
      </c>
      <c r="BD145" s="358">
        <f t="shared" si="96"/>
        <v>0</v>
      </c>
      <c r="BE145" s="358">
        <f t="shared" si="88"/>
        <v>0</v>
      </c>
      <c r="BF145" s="358" t="str">
        <f t="shared" si="89"/>
        <v/>
      </c>
    </row>
    <row r="146" spans="1:59">
      <c r="AU146" s="79" t="s">
        <v>908</v>
      </c>
      <c r="AV146" s="68" t="s">
        <v>132</v>
      </c>
      <c r="AW146" s="358">
        <f t="shared" si="97"/>
        <v>0</v>
      </c>
      <c r="AX146" s="358">
        <f t="shared" si="90"/>
        <v>0</v>
      </c>
      <c r="AY146" s="358">
        <f t="shared" si="91"/>
        <v>0</v>
      </c>
      <c r="AZ146" s="358">
        <f t="shared" si="92"/>
        <v>0</v>
      </c>
      <c r="BA146" s="358">
        <f t="shared" si="93"/>
        <v>0</v>
      </c>
      <c r="BB146" s="358">
        <f t="shared" si="94"/>
        <v>0</v>
      </c>
      <c r="BC146" s="358">
        <f t="shared" si="95"/>
        <v>0</v>
      </c>
      <c r="BD146" s="358">
        <f t="shared" si="96"/>
        <v>0</v>
      </c>
      <c r="BE146" s="358">
        <f t="shared" si="88"/>
        <v>0</v>
      </c>
      <c r="BF146" s="358" t="str">
        <f t="shared" si="89"/>
        <v/>
      </c>
    </row>
    <row r="147" spans="1:59">
      <c r="AU147" s="100" t="s">
        <v>917</v>
      </c>
      <c r="AV147" s="91" t="s">
        <v>136</v>
      </c>
      <c r="AW147" s="358">
        <f t="shared" si="97"/>
        <v>0</v>
      </c>
      <c r="AX147" s="358">
        <f t="shared" si="90"/>
        <v>0</v>
      </c>
      <c r="AY147" s="358">
        <f t="shared" si="91"/>
        <v>0</v>
      </c>
      <c r="AZ147" s="358">
        <f t="shared" si="92"/>
        <v>0</v>
      </c>
      <c r="BA147" s="358">
        <f t="shared" si="93"/>
        <v>0</v>
      </c>
      <c r="BB147" s="358">
        <f t="shared" si="94"/>
        <v>0</v>
      </c>
      <c r="BC147" s="358">
        <f t="shared" si="95"/>
        <v>0</v>
      </c>
      <c r="BD147" s="358">
        <f t="shared" si="96"/>
        <v>0</v>
      </c>
      <c r="BE147" s="358">
        <f t="shared" si="88"/>
        <v>0</v>
      </c>
      <c r="BF147" s="358" t="str">
        <f t="shared" si="89"/>
        <v/>
      </c>
    </row>
    <row r="148" spans="1:59" ht="23.25">
      <c r="A148" s="77">
        <v>1</v>
      </c>
      <c r="B148" s="77">
        <v>2</v>
      </c>
      <c r="C148" s="77">
        <v>3</v>
      </c>
      <c r="D148" s="77">
        <v>4</v>
      </c>
      <c r="E148" s="77">
        <v>5</v>
      </c>
      <c r="F148" s="77">
        <v>6</v>
      </c>
      <c r="G148" s="77">
        <v>7</v>
      </c>
      <c r="H148" s="77">
        <v>8</v>
      </c>
      <c r="I148" s="77">
        <v>9</v>
      </c>
      <c r="J148" s="77">
        <v>10</v>
      </c>
      <c r="K148" s="77">
        <v>11</v>
      </c>
      <c r="L148" s="77">
        <v>12</v>
      </c>
      <c r="M148" s="77">
        <v>13</v>
      </c>
      <c r="N148" s="77">
        <v>14</v>
      </c>
      <c r="O148" s="77">
        <v>15</v>
      </c>
      <c r="P148" s="77">
        <v>16</v>
      </c>
      <c r="Q148" s="77">
        <v>17</v>
      </c>
      <c r="R148" s="77">
        <v>18</v>
      </c>
      <c r="S148" s="77">
        <v>19</v>
      </c>
      <c r="T148" s="77">
        <v>20</v>
      </c>
      <c r="U148" s="77">
        <v>21</v>
      </c>
      <c r="V148" s="77">
        <v>22</v>
      </c>
      <c r="W148" s="77">
        <v>23</v>
      </c>
      <c r="X148" s="77">
        <v>24</v>
      </c>
      <c r="Y148" s="77">
        <v>25</v>
      </c>
      <c r="Z148" s="77">
        <v>26</v>
      </c>
      <c r="AA148" s="77">
        <v>27</v>
      </c>
      <c r="AB148" s="77">
        <v>28</v>
      </c>
      <c r="AC148" s="77">
        <v>29</v>
      </c>
      <c r="AD148" s="77">
        <v>30</v>
      </c>
      <c r="AE148" s="77">
        <v>31</v>
      </c>
      <c r="AF148" s="77">
        <v>32</v>
      </c>
      <c r="AU148" s="100" t="s">
        <v>920</v>
      </c>
      <c r="AV148" s="91" t="s">
        <v>136</v>
      </c>
      <c r="AW148" s="358">
        <f t="shared" si="97"/>
        <v>0</v>
      </c>
      <c r="AX148" s="358">
        <f t="shared" si="90"/>
        <v>0</v>
      </c>
      <c r="AY148" s="358">
        <f t="shared" si="91"/>
        <v>0</v>
      </c>
      <c r="AZ148" s="358">
        <f t="shared" si="92"/>
        <v>0</v>
      </c>
      <c r="BA148" s="358">
        <f t="shared" si="93"/>
        <v>0</v>
      </c>
      <c r="BB148" s="358">
        <f t="shared" si="94"/>
        <v>0</v>
      </c>
      <c r="BC148" s="358">
        <f t="shared" si="95"/>
        <v>0</v>
      </c>
      <c r="BD148" s="358">
        <f t="shared" si="96"/>
        <v>0</v>
      </c>
      <c r="BE148" s="358">
        <f t="shared" si="88"/>
        <v>0</v>
      </c>
      <c r="BF148" s="358" t="str">
        <f t="shared" si="89"/>
        <v/>
      </c>
    </row>
    <row r="149" spans="1:59" ht="71.25">
      <c r="A149" s="78" t="s">
        <v>990</v>
      </c>
      <c r="B149" s="78" t="s">
        <v>220</v>
      </c>
      <c r="C149" s="78" t="s">
        <v>991</v>
      </c>
      <c r="D149" s="78" t="s">
        <v>934</v>
      </c>
      <c r="E149" s="78" t="s">
        <v>992</v>
      </c>
      <c r="F149" s="78" t="s">
        <v>936</v>
      </c>
      <c r="G149" s="78" t="s">
        <v>993</v>
      </c>
      <c r="H149" s="78" t="s">
        <v>994</v>
      </c>
      <c r="I149" s="78" t="s">
        <v>995</v>
      </c>
      <c r="J149" s="78" t="s">
        <v>940</v>
      </c>
      <c r="K149" s="78" t="s">
        <v>996</v>
      </c>
      <c r="L149" s="78" t="s">
        <v>942</v>
      </c>
      <c r="M149" s="78" t="s">
        <v>997</v>
      </c>
      <c r="N149" s="78" t="s">
        <v>944</v>
      </c>
      <c r="O149" s="78" t="s">
        <v>998</v>
      </c>
      <c r="P149" s="78" t="s">
        <v>946</v>
      </c>
      <c r="Q149" s="78" t="s">
        <v>999</v>
      </c>
      <c r="R149" s="78" t="s">
        <v>948</v>
      </c>
      <c r="S149" s="78" t="s">
        <v>1000</v>
      </c>
      <c r="T149" s="78" t="s">
        <v>950</v>
      </c>
      <c r="U149" s="78" t="s">
        <v>1001</v>
      </c>
      <c r="V149" s="78" t="s">
        <v>952</v>
      </c>
      <c r="W149" s="78" t="s">
        <v>1002</v>
      </c>
      <c r="X149" s="78" t="s">
        <v>954</v>
      </c>
      <c r="Y149" s="78" t="s">
        <v>1003</v>
      </c>
      <c r="Z149" s="78" t="s">
        <v>1004</v>
      </c>
      <c r="AA149" s="78" t="s">
        <v>1005</v>
      </c>
      <c r="AB149" s="78" t="s">
        <v>958</v>
      </c>
      <c r="AC149" s="78" t="s">
        <v>1006</v>
      </c>
      <c r="AD149" s="78" t="s">
        <v>960</v>
      </c>
      <c r="AE149" s="78" t="s">
        <v>1007</v>
      </c>
      <c r="AF149" s="78" t="s">
        <v>962</v>
      </c>
      <c r="AU149" s="263" t="s">
        <v>602</v>
      </c>
      <c r="AV149" s="264" t="s">
        <v>126</v>
      </c>
      <c r="AW149" s="439">
        <f t="shared" si="97"/>
        <v>0</v>
      </c>
      <c r="AX149" s="439">
        <f t="shared" si="90"/>
        <v>0</v>
      </c>
      <c r="AY149" s="439">
        <f t="shared" si="91"/>
        <v>0</v>
      </c>
      <c r="AZ149" s="439">
        <f t="shared" si="92"/>
        <v>0</v>
      </c>
      <c r="BA149" s="439">
        <f t="shared" si="93"/>
        <v>0</v>
      </c>
      <c r="BB149" s="439">
        <f t="shared" si="94"/>
        <v>0</v>
      </c>
      <c r="BC149" s="439">
        <f t="shared" si="95"/>
        <v>0</v>
      </c>
      <c r="BD149" s="439">
        <f t="shared" si="96"/>
        <v>0</v>
      </c>
      <c r="BE149" s="439">
        <f t="shared" si="88"/>
        <v>0</v>
      </c>
      <c r="BF149" s="439" t="str">
        <f t="shared" si="89"/>
        <v/>
      </c>
    </row>
    <row r="150" spans="1:59">
      <c r="A150" s="79" t="str">
        <f>'G-6 Hedgerow Data'!B3</f>
        <v>Species-rich native hedgerow with trees - associated with bank or ditch</v>
      </c>
      <c r="B150" s="68" t="s">
        <v>1008</v>
      </c>
      <c r="C150" s="68" t="str">
        <f>'G-6 Hedgerow Data'!C3</f>
        <v>V.High</v>
      </c>
      <c r="D150" s="68" t="str">
        <f>'G-6 Hedgerow Data'!AH3</f>
        <v>Like for like</v>
      </c>
      <c r="E150" s="358">
        <f>SUMIF('B-1 On-Site Hedge Baseline'!$D$10:$D$257,'G-2 Habitat groups'!A150,'B-1 On-Site Hedge Baseline'!$E$10:$E$257)</f>
        <v>0</v>
      </c>
      <c r="F150" s="358">
        <f>SUMIF('B-1 On-Site Hedge Baseline'!$D$10:$D$257,'G-2 Habitat groups'!A150,'B-1 On-Site Hedge Baseline'!$N$10:$N$257)</f>
        <v>0</v>
      </c>
      <c r="G150" s="358">
        <f>SUMIF('B-1 On-Site Hedge Baseline'!$D$10:$D$257,'G-2 Habitat groups'!A150,'B-1 On-Site Hedge Baseline'!$P$10:$P$257)</f>
        <v>0</v>
      </c>
      <c r="H150" s="358">
        <f>SUMIF('B-1 On-Site Hedge Baseline'!$D$10:$D$257,'G-2 Habitat groups'!A150,'B-1 On-Site Hedge Baseline'!$R$10:$R$257)</f>
        <v>0</v>
      </c>
      <c r="I150" s="358">
        <f>SUMIF('B-1 On-Site Hedge Baseline'!$D$10:$D$257,'G-2 Habitat groups'!A150,'B-1 On-Site Hedge Baseline'!$T$10:$T$257)</f>
        <v>0</v>
      </c>
      <c r="J150" s="439">
        <f>SUMIF('B-1 On-Site Hedge Baseline'!$D$10:$D$257,'G-2 Habitat groups'!A150,'B-1 On-Site Hedge Baseline'!$U$10:$U$257)</f>
        <v>0</v>
      </c>
      <c r="K150" s="358">
        <f>SUMIF('B-2 On-Site Hedge Creation'!$D$12:$D$259,'G-2 Habitat groups'!A150,'B-2 On-Site Hedge Creation'!$E$12:$E$259)</f>
        <v>0</v>
      </c>
      <c r="L150" s="358">
        <f>SUMIF('B-2 On-Site Hedge Creation'!$D$12:$D$259,'G-2 Habitat groups'!A150,'B-2 On-Site Hedge Creation'!$W$12:$W$259)</f>
        <v>0</v>
      </c>
      <c r="M150" s="358">
        <f>SUMIF('B-3 On-Site Hedge Enhancement'!$M$12:$M$257,'G-2 Habitat groups'!A150,'B-3 On-Site Hedge Enhancement'!$P$12:$P$257)</f>
        <v>0</v>
      </c>
      <c r="N150" s="358">
        <f>SUMIF('B-3 On-Site Hedge Enhancement'!$M$12:$M$257,'G-2 Habitat groups'!A150,'B-3 On-Site Hedge Enhancement'!$AH$12:$AH$257)</f>
        <v>0</v>
      </c>
      <c r="O150" s="358">
        <f t="shared" ref="O150:O162" si="107">G150+K150+M150</f>
        <v>0</v>
      </c>
      <c r="P150" s="358">
        <f t="shared" ref="P150:P162" si="108">H150+L150+N150</f>
        <v>0</v>
      </c>
      <c r="Q150" s="358">
        <f t="shared" ref="Q150:Q162" si="109">O150-E150</f>
        <v>0</v>
      </c>
      <c r="R150" s="358">
        <f t="shared" ref="R150:R162" si="110">P150-F150</f>
        <v>0</v>
      </c>
      <c r="S150" s="358">
        <f>SUMIF('E-1 Off-Site Hedge Baseline'!$D$10:$D$257,'G-2 Habitat groups'!A150,'E-1 Off-Site Hedge Baseline'!$E$10:$E$257)</f>
        <v>0</v>
      </c>
      <c r="T150" s="358">
        <f>SUMIF('E-1 Off-Site Hedge Baseline'!$D$10:$D$257,'G-2 Habitat groups'!A150,'E-1 Off-Site Hedge Baseline'!$Q$10:$Q$257)</f>
        <v>0</v>
      </c>
      <c r="U150" s="358">
        <f>SUMIF('E-1 Off-Site Hedge Baseline'!$D$10:$D$257,'G-2 Habitat groups'!A150,'E-1 Off-Site Hedge Baseline'!$S$10:$S$257)</f>
        <v>0</v>
      </c>
      <c r="V150" s="358">
        <f>SUMIF('E-1 Off-Site Hedge Baseline'!$D$10:$D$257,'G-2 Habitat groups'!A150,'E-1 Off-Site Hedge Baseline'!$U$10:$U$257)</f>
        <v>0</v>
      </c>
      <c r="W150" s="358">
        <f>SUMIF('E-2 Off-Site Hedge Creation'!$D$12:$D$259,'G-2 Habitat groups'!A150,'E-2 Off-Site Hedge Creation'!$E$12:$E$259)</f>
        <v>0</v>
      </c>
      <c r="X150" s="358">
        <f>SUMIF('E-2 Off-Site Hedge Creation'!$D$12:$D$259,'G-2 Habitat groups'!A150,'E-2 Off-Site Hedge Creation'!$Z$12:$Z$259)</f>
        <v>0</v>
      </c>
      <c r="Y150" s="358">
        <f>SUMIF('E-3 Off-Site Hedge Enhancement'!$M$12:$M$259,'G-2 Habitat groups'!A150,'E-3 Off-Site Hedge Enhancement'!$P$12:$P$259)</f>
        <v>0</v>
      </c>
      <c r="Z150" s="358">
        <f>SUMIF('E-3 Off-Site Hedge Enhancement'!$M$12:$M$259,'G-2 Habitat groups'!A150,'E-3 Off-Site Hedge Enhancement'!$AK$12:$AK$259)</f>
        <v>0</v>
      </c>
      <c r="AA150" s="358">
        <f>U150+W150+Y150</f>
        <v>0</v>
      </c>
      <c r="AB150" s="358">
        <f>V150+X150+Z150</f>
        <v>0</v>
      </c>
      <c r="AC150" s="358">
        <f t="shared" ref="AC150:AC162" si="111">AA150-S150</f>
        <v>0</v>
      </c>
      <c r="AD150" s="358">
        <f t="shared" ref="AD150:AD162" si="112">AB150-T150</f>
        <v>0</v>
      </c>
      <c r="AE150" s="358">
        <f t="shared" ref="AE150:AE162" si="113">Q150+AC150</f>
        <v>0</v>
      </c>
      <c r="AF150" s="358">
        <f t="shared" ref="AF150:AF162" si="114">R150+AD150</f>
        <v>0</v>
      </c>
      <c r="AU150" s="263" t="s">
        <v>689</v>
      </c>
      <c r="AV150" s="264" t="s">
        <v>129</v>
      </c>
      <c r="AW150" s="439">
        <f t="shared" si="97"/>
        <v>0</v>
      </c>
      <c r="AX150" s="439">
        <f t="shared" si="90"/>
        <v>0</v>
      </c>
      <c r="AY150" s="439">
        <f t="shared" si="91"/>
        <v>0</v>
      </c>
      <c r="AZ150" s="439">
        <f t="shared" si="92"/>
        <v>0</v>
      </c>
      <c r="BA150" s="439">
        <f t="shared" si="93"/>
        <v>0</v>
      </c>
      <c r="BB150" s="439">
        <f t="shared" si="94"/>
        <v>0</v>
      </c>
      <c r="BC150" s="439">
        <f t="shared" si="95"/>
        <v>0</v>
      </c>
      <c r="BD150" s="439">
        <f t="shared" si="96"/>
        <v>0</v>
      </c>
      <c r="BE150" s="439">
        <f t="shared" si="88"/>
        <v>0</v>
      </c>
      <c r="BF150" s="439" t="str">
        <f t="shared" si="89"/>
        <v/>
      </c>
    </row>
    <row r="151" spans="1:59">
      <c r="A151" s="79" t="str">
        <f>'G-6 Hedgerow Data'!B4</f>
        <v>Species-rich native hedgerow with trees</v>
      </c>
      <c r="B151" s="68" t="s">
        <v>1008</v>
      </c>
      <c r="C151" s="68" t="str">
        <f>'G-6 Hedgerow Data'!C4</f>
        <v>High</v>
      </c>
      <c r="D151" s="68" t="str">
        <f>'G-6 Hedgerow Data'!AH4</f>
        <v>Like for like or better</v>
      </c>
      <c r="E151" s="358">
        <f>SUMIF('B-1 On-Site Hedge Baseline'!$D$10:$D$257,'G-2 Habitat groups'!A151,'B-1 On-Site Hedge Baseline'!$E$10:$E$257)</f>
        <v>0</v>
      </c>
      <c r="F151" s="358">
        <f>SUMIF('B-1 On-Site Hedge Baseline'!$D$10:$D$257,'G-2 Habitat groups'!A151,'B-1 On-Site Hedge Baseline'!$N$10:$N$257)</f>
        <v>0</v>
      </c>
      <c r="G151" s="358">
        <f>SUMIF('B-1 On-Site Hedge Baseline'!$D$10:$D$257,'G-2 Habitat groups'!A151,'B-1 On-Site Hedge Baseline'!$P$10:$P$257)</f>
        <v>0</v>
      </c>
      <c r="H151" s="358">
        <f>SUMIF('B-1 On-Site Hedge Baseline'!$D$10:$D$257,'G-2 Habitat groups'!A151,'B-1 On-Site Hedge Baseline'!$R$10:$R$257)</f>
        <v>0</v>
      </c>
      <c r="I151" s="358">
        <f>SUMIF('B-1 On-Site Hedge Baseline'!$D$10:$D$257,'G-2 Habitat groups'!A151,'B-1 On-Site Hedge Baseline'!$T$10:$T$257)</f>
        <v>0</v>
      </c>
      <c r="J151" s="439">
        <f>SUMIF('B-1 On-Site Hedge Baseline'!$D$10:$D$257,'G-2 Habitat groups'!A151,'B-1 On-Site Hedge Baseline'!$U$10:$U$257)</f>
        <v>0</v>
      </c>
      <c r="K151" s="358">
        <f>SUMIF('B-2 On-Site Hedge Creation'!$D$12:$D$259,'G-2 Habitat groups'!A151,'B-2 On-Site Hedge Creation'!$E$12:$E$259)</f>
        <v>0</v>
      </c>
      <c r="L151" s="358">
        <f>SUMIF('B-2 On-Site Hedge Creation'!$D$12:$D$259,'G-2 Habitat groups'!A151,'B-2 On-Site Hedge Creation'!$W$12:$W$259)</f>
        <v>0</v>
      </c>
      <c r="M151" s="358">
        <f>SUMIF('B-3 On-Site Hedge Enhancement'!$M$12:$M$257,'G-2 Habitat groups'!A151,'B-3 On-Site Hedge Enhancement'!$P$12:$P$257)</f>
        <v>0</v>
      </c>
      <c r="N151" s="358">
        <f>SUMIF('B-3 On-Site Hedge Enhancement'!$M$12:$M$257,'G-2 Habitat groups'!A151,'B-3 On-Site Hedge Enhancement'!$AH$12:$AH$257)</f>
        <v>0</v>
      </c>
      <c r="O151" s="358">
        <f t="shared" si="107"/>
        <v>0</v>
      </c>
      <c r="P151" s="358">
        <f t="shared" si="108"/>
        <v>0</v>
      </c>
      <c r="Q151" s="358">
        <f t="shared" si="109"/>
        <v>0</v>
      </c>
      <c r="R151" s="358">
        <f t="shared" si="110"/>
        <v>0</v>
      </c>
      <c r="S151" s="358">
        <f>SUMIF('E-1 Off-Site Hedge Baseline'!$D$10:$D$257,'G-2 Habitat groups'!A151,'E-1 Off-Site Hedge Baseline'!$E$10:$E$257)</f>
        <v>0</v>
      </c>
      <c r="T151" s="358">
        <f>SUMIF('E-1 Off-Site Hedge Baseline'!$D$10:$D$257,'G-2 Habitat groups'!A151,'E-1 Off-Site Hedge Baseline'!$Q$10:$Q$257)</f>
        <v>0</v>
      </c>
      <c r="U151" s="358">
        <f>SUMIF('E-1 Off-Site Hedge Baseline'!$D$10:$D$257,'G-2 Habitat groups'!A151,'E-1 Off-Site Hedge Baseline'!$S$10:$S$257)</f>
        <v>0</v>
      </c>
      <c r="V151" s="358">
        <f>SUMIF('E-1 Off-Site Hedge Baseline'!$D$10:$D$257,'G-2 Habitat groups'!A151,'E-1 Off-Site Hedge Baseline'!$U$10:$U$257)</f>
        <v>0</v>
      </c>
      <c r="W151" s="358">
        <f>SUMIF('E-2 Off-Site Hedge Creation'!$D$12:$D$259,'G-2 Habitat groups'!A151,'E-2 Off-Site Hedge Creation'!$E$12:$E$259)</f>
        <v>0</v>
      </c>
      <c r="X151" s="358">
        <f>SUMIF('E-2 Off-Site Hedge Creation'!$D$12:$D$259,'G-2 Habitat groups'!A151,'E-2 Off-Site Hedge Creation'!$Z$12:$Z$259)</f>
        <v>0</v>
      </c>
      <c r="Y151" s="358">
        <f>SUMIF('E-3 Off-Site Hedge Enhancement'!$M$12:$M$259,'G-2 Habitat groups'!A151,'E-3 Off-Site Hedge Enhancement'!$P$12:$P$259)</f>
        <v>0</v>
      </c>
      <c r="Z151" s="358">
        <f>SUMIF('E-3 Off-Site Hedge Enhancement'!$M$12:$M$259,'G-2 Habitat groups'!A151,'E-3 Off-Site Hedge Enhancement'!$AK$12:$AK$259)</f>
        <v>0</v>
      </c>
      <c r="AA151" s="358">
        <f t="shared" ref="AA151:AA162" si="115">U151+W151+Y151</f>
        <v>0</v>
      </c>
      <c r="AB151" s="358">
        <f t="shared" ref="AB151:AB162" si="116">V151+X151+Z151</f>
        <v>0</v>
      </c>
      <c r="AC151" s="358">
        <f t="shared" si="111"/>
        <v>0</v>
      </c>
      <c r="AD151" s="358">
        <f t="shared" si="112"/>
        <v>0</v>
      </c>
      <c r="AE151" s="358">
        <f t="shared" si="113"/>
        <v>0</v>
      </c>
      <c r="AF151" s="358">
        <f t="shared" si="114"/>
        <v>0</v>
      </c>
      <c r="AU151" s="79" t="s">
        <v>664</v>
      </c>
      <c r="AV151" s="68" t="s">
        <v>128</v>
      </c>
      <c r="AW151" s="439">
        <f t="shared" si="97"/>
        <v>0</v>
      </c>
      <c r="AX151" s="439">
        <f t="shared" si="90"/>
        <v>0</v>
      </c>
      <c r="AY151" s="439">
        <f t="shared" si="91"/>
        <v>0</v>
      </c>
      <c r="AZ151" s="439">
        <f t="shared" si="92"/>
        <v>0</v>
      </c>
      <c r="BA151" s="439">
        <f t="shared" si="93"/>
        <v>0</v>
      </c>
      <c r="BB151" s="439">
        <f t="shared" si="94"/>
        <v>0</v>
      </c>
      <c r="BC151" s="439">
        <f t="shared" si="95"/>
        <v>0</v>
      </c>
      <c r="BD151" s="439">
        <f t="shared" si="96"/>
        <v>0</v>
      </c>
      <c r="BE151" s="439">
        <f t="shared" si="88"/>
        <v>0</v>
      </c>
      <c r="BF151" s="439" t="str">
        <f t="shared" si="89"/>
        <v/>
      </c>
    </row>
    <row r="152" spans="1:59">
      <c r="A152" s="79" t="str">
        <f>'G-6 Hedgerow Data'!B5</f>
        <v>Species-rich native hedgerow - associated with bank or ditch</v>
      </c>
      <c r="B152" s="68" t="s">
        <v>1008</v>
      </c>
      <c r="C152" s="68" t="str">
        <f>'G-6 Hedgerow Data'!C5</f>
        <v>High</v>
      </c>
      <c r="D152" s="68" t="str">
        <f>'G-6 Hedgerow Data'!AH5</f>
        <v>Like for like or better</v>
      </c>
      <c r="E152" s="358">
        <f>SUMIF('B-1 On-Site Hedge Baseline'!$D$10:$D$257,'G-2 Habitat groups'!A152,'B-1 On-Site Hedge Baseline'!$E$10:$E$257)</f>
        <v>0</v>
      </c>
      <c r="F152" s="358">
        <f>SUMIF('B-1 On-Site Hedge Baseline'!$D$10:$D$257,'G-2 Habitat groups'!A152,'B-1 On-Site Hedge Baseline'!$N$10:$N$257)</f>
        <v>0</v>
      </c>
      <c r="G152" s="358">
        <f>SUMIF('B-1 On-Site Hedge Baseline'!$D$10:$D$257,'G-2 Habitat groups'!A152,'B-1 On-Site Hedge Baseline'!$P$10:$P$257)</f>
        <v>0</v>
      </c>
      <c r="H152" s="358">
        <f>SUMIF('B-1 On-Site Hedge Baseline'!$D$10:$D$257,'G-2 Habitat groups'!A152,'B-1 On-Site Hedge Baseline'!$R$10:$R$257)</f>
        <v>0</v>
      </c>
      <c r="I152" s="358">
        <f>SUMIF('B-1 On-Site Hedge Baseline'!$D$10:$D$257,'G-2 Habitat groups'!A152,'B-1 On-Site Hedge Baseline'!$T$10:$T$257)</f>
        <v>0</v>
      </c>
      <c r="J152" s="439">
        <f>SUMIF('B-1 On-Site Hedge Baseline'!$D$10:$D$257,'G-2 Habitat groups'!A152,'B-1 On-Site Hedge Baseline'!$U$10:$U$257)</f>
        <v>0</v>
      </c>
      <c r="K152" s="358">
        <f>SUMIF('B-2 On-Site Hedge Creation'!$D$12:$D$259,'G-2 Habitat groups'!A152,'B-2 On-Site Hedge Creation'!$E$12:$E$259)</f>
        <v>0</v>
      </c>
      <c r="L152" s="358">
        <f>SUMIF('B-2 On-Site Hedge Creation'!$D$12:$D$259,'G-2 Habitat groups'!A152,'B-2 On-Site Hedge Creation'!$W$12:$W$259)</f>
        <v>0</v>
      </c>
      <c r="M152" s="358">
        <f>SUMIF('B-3 On-Site Hedge Enhancement'!$M$12:$M$257,'G-2 Habitat groups'!A152,'B-3 On-Site Hedge Enhancement'!$P$12:$P$257)</f>
        <v>0</v>
      </c>
      <c r="N152" s="358">
        <f>SUMIF('B-3 On-Site Hedge Enhancement'!$M$12:$M$257,'G-2 Habitat groups'!A152,'B-3 On-Site Hedge Enhancement'!$AH$12:$AH$257)</f>
        <v>0</v>
      </c>
      <c r="O152" s="358">
        <f t="shared" si="107"/>
        <v>0</v>
      </c>
      <c r="P152" s="358">
        <f t="shared" si="108"/>
        <v>0</v>
      </c>
      <c r="Q152" s="358">
        <f t="shared" si="109"/>
        <v>0</v>
      </c>
      <c r="R152" s="358">
        <f t="shared" si="110"/>
        <v>0</v>
      </c>
      <c r="S152" s="358">
        <f>SUMIF('E-1 Off-Site Hedge Baseline'!$D$10:$D$257,'G-2 Habitat groups'!A152,'E-1 Off-Site Hedge Baseline'!$E$10:$E$257)</f>
        <v>0</v>
      </c>
      <c r="T152" s="358">
        <f>SUMIF('E-1 Off-Site Hedge Baseline'!$D$10:$D$257,'G-2 Habitat groups'!A152,'E-1 Off-Site Hedge Baseline'!$Q$10:$Q$257)</f>
        <v>0</v>
      </c>
      <c r="U152" s="358">
        <f>SUMIF('E-1 Off-Site Hedge Baseline'!$D$10:$D$257,'G-2 Habitat groups'!A152,'E-1 Off-Site Hedge Baseline'!$S$10:$S$257)</f>
        <v>0</v>
      </c>
      <c r="V152" s="358">
        <f>SUMIF('E-1 Off-Site Hedge Baseline'!$D$10:$D$257,'G-2 Habitat groups'!A152,'E-1 Off-Site Hedge Baseline'!$U$10:$U$257)</f>
        <v>0</v>
      </c>
      <c r="W152" s="358">
        <f>SUMIF('E-2 Off-Site Hedge Creation'!$D$12:$D$259,'G-2 Habitat groups'!A152,'E-2 Off-Site Hedge Creation'!$E$12:$E$259)</f>
        <v>0</v>
      </c>
      <c r="X152" s="358">
        <f>SUMIF('E-2 Off-Site Hedge Creation'!$D$12:$D$259,'G-2 Habitat groups'!A152,'E-2 Off-Site Hedge Creation'!$Z$12:$Z$259)</f>
        <v>0</v>
      </c>
      <c r="Y152" s="358">
        <f>SUMIF('E-3 Off-Site Hedge Enhancement'!$M$12:$M$259,'G-2 Habitat groups'!A152,'E-3 Off-Site Hedge Enhancement'!$P$12:$P$259)</f>
        <v>0</v>
      </c>
      <c r="Z152" s="358">
        <f>SUMIF('E-3 Off-Site Hedge Enhancement'!$M$12:$M$259,'G-2 Habitat groups'!A152,'E-3 Off-Site Hedge Enhancement'!$AK$12:$AK$259)</f>
        <v>0</v>
      </c>
      <c r="AA152" s="358">
        <f t="shared" si="115"/>
        <v>0</v>
      </c>
      <c r="AB152" s="358">
        <f t="shared" si="116"/>
        <v>0</v>
      </c>
      <c r="AC152" s="358">
        <f t="shared" si="111"/>
        <v>0</v>
      </c>
      <c r="AD152" s="358">
        <f t="shared" si="112"/>
        <v>0</v>
      </c>
      <c r="AE152" s="358">
        <f t="shared" si="113"/>
        <v>0</v>
      </c>
      <c r="AF152" s="358">
        <f t="shared" si="114"/>
        <v>0</v>
      </c>
    </row>
    <row r="153" spans="1:59">
      <c r="A153" s="79" t="str">
        <f>'G-6 Hedgerow Data'!B6</f>
        <v>Native hedgerow with trees - associated with bank or ditch</v>
      </c>
      <c r="B153" s="68" t="s">
        <v>1008</v>
      </c>
      <c r="C153" s="68" t="str">
        <f>'G-6 Hedgerow Data'!C6</f>
        <v>High</v>
      </c>
      <c r="D153" s="68" t="str">
        <f>'G-6 Hedgerow Data'!AH6</f>
        <v>Like for like or better</v>
      </c>
      <c r="E153" s="358">
        <f>SUMIF('B-1 On-Site Hedge Baseline'!$D$10:$D$257,'G-2 Habitat groups'!A153,'B-1 On-Site Hedge Baseline'!$E$10:$E$257)</f>
        <v>0</v>
      </c>
      <c r="F153" s="358">
        <f>SUMIF('B-1 On-Site Hedge Baseline'!$D$10:$D$257,'G-2 Habitat groups'!A153,'B-1 On-Site Hedge Baseline'!$N$10:$N$257)</f>
        <v>0</v>
      </c>
      <c r="G153" s="358">
        <f>SUMIF('B-1 On-Site Hedge Baseline'!$D$10:$D$257,'G-2 Habitat groups'!A153,'B-1 On-Site Hedge Baseline'!$P$10:$P$257)</f>
        <v>0</v>
      </c>
      <c r="H153" s="358">
        <f>SUMIF('B-1 On-Site Hedge Baseline'!$D$10:$D$257,'G-2 Habitat groups'!A153,'B-1 On-Site Hedge Baseline'!$R$10:$R$257)</f>
        <v>0</v>
      </c>
      <c r="I153" s="358">
        <f>SUMIF('B-1 On-Site Hedge Baseline'!$D$10:$D$257,'G-2 Habitat groups'!A153,'B-1 On-Site Hedge Baseline'!$T$10:$T$257)</f>
        <v>0</v>
      </c>
      <c r="J153" s="439">
        <f>SUMIF('B-1 On-Site Hedge Baseline'!$D$10:$D$257,'G-2 Habitat groups'!A153,'B-1 On-Site Hedge Baseline'!$U$10:$U$257)</f>
        <v>0</v>
      </c>
      <c r="K153" s="358">
        <f>SUMIF('B-2 On-Site Hedge Creation'!$D$12:$D$259,'G-2 Habitat groups'!A153,'B-2 On-Site Hedge Creation'!$E$12:$E$259)</f>
        <v>0</v>
      </c>
      <c r="L153" s="358">
        <f>SUMIF('B-2 On-Site Hedge Creation'!$D$12:$D$259,'G-2 Habitat groups'!A153,'B-2 On-Site Hedge Creation'!$W$12:$W$259)</f>
        <v>0</v>
      </c>
      <c r="M153" s="358">
        <f>SUMIF('B-3 On-Site Hedge Enhancement'!$M$12:$M$257,'G-2 Habitat groups'!A153,'B-3 On-Site Hedge Enhancement'!$P$12:$P$257)</f>
        <v>0</v>
      </c>
      <c r="N153" s="358">
        <f>SUMIF('B-3 On-Site Hedge Enhancement'!$M$12:$M$257,'G-2 Habitat groups'!A153,'B-3 On-Site Hedge Enhancement'!$AH$12:$AH$257)</f>
        <v>0</v>
      </c>
      <c r="O153" s="358">
        <f t="shared" si="107"/>
        <v>0</v>
      </c>
      <c r="P153" s="358">
        <f t="shared" si="108"/>
        <v>0</v>
      </c>
      <c r="Q153" s="358">
        <f t="shared" si="109"/>
        <v>0</v>
      </c>
      <c r="R153" s="358">
        <f t="shared" si="110"/>
        <v>0</v>
      </c>
      <c r="S153" s="358">
        <f>SUMIF('E-1 Off-Site Hedge Baseline'!$D$10:$D$257,'G-2 Habitat groups'!A153,'E-1 Off-Site Hedge Baseline'!$E$10:$E$257)</f>
        <v>0</v>
      </c>
      <c r="T153" s="358">
        <f>SUMIF('E-1 Off-Site Hedge Baseline'!$D$10:$D$257,'G-2 Habitat groups'!A153,'E-1 Off-Site Hedge Baseline'!$Q$10:$Q$257)</f>
        <v>0</v>
      </c>
      <c r="U153" s="358">
        <f>SUMIF('E-1 Off-Site Hedge Baseline'!$D$10:$D$257,'G-2 Habitat groups'!A153,'E-1 Off-Site Hedge Baseline'!$S$10:$S$257)</f>
        <v>0</v>
      </c>
      <c r="V153" s="358">
        <f>SUMIF('E-1 Off-Site Hedge Baseline'!$D$10:$D$257,'G-2 Habitat groups'!A153,'E-1 Off-Site Hedge Baseline'!$U$10:$U$257)</f>
        <v>0</v>
      </c>
      <c r="W153" s="358">
        <f>SUMIF('E-2 Off-Site Hedge Creation'!$D$12:$D$259,'G-2 Habitat groups'!A153,'E-2 Off-Site Hedge Creation'!$E$12:$E$259)</f>
        <v>0</v>
      </c>
      <c r="X153" s="358">
        <f>SUMIF('E-2 Off-Site Hedge Creation'!$D$12:$D$259,'G-2 Habitat groups'!A153,'E-2 Off-Site Hedge Creation'!$Z$12:$Z$259)</f>
        <v>0</v>
      </c>
      <c r="Y153" s="358">
        <f>SUMIF('E-3 Off-Site Hedge Enhancement'!$M$12:$M$259,'G-2 Habitat groups'!A153,'E-3 Off-Site Hedge Enhancement'!$P$12:$P$259)</f>
        <v>0</v>
      </c>
      <c r="Z153" s="358">
        <f>SUMIF('E-3 Off-Site Hedge Enhancement'!$M$12:$M$259,'G-2 Habitat groups'!A153,'E-3 Off-Site Hedge Enhancement'!$AK$12:$AK$259)</f>
        <v>0</v>
      </c>
      <c r="AA153" s="358">
        <f t="shared" si="115"/>
        <v>0</v>
      </c>
      <c r="AB153" s="358">
        <f t="shared" si="116"/>
        <v>0</v>
      </c>
      <c r="AC153" s="358">
        <f t="shared" si="111"/>
        <v>0</v>
      </c>
      <c r="AD153" s="358">
        <f t="shared" si="112"/>
        <v>0</v>
      </c>
      <c r="AE153" s="358">
        <f t="shared" si="113"/>
        <v>0</v>
      </c>
      <c r="AF153" s="358">
        <f t="shared" si="114"/>
        <v>0</v>
      </c>
    </row>
    <row r="154" spans="1:59" ht="34.5">
      <c r="A154" s="263" t="str">
        <f>'G-6 Hedgerow Data'!B7</f>
        <v>Species-rich native hedgerow</v>
      </c>
      <c r="B154" s="264" t="s">
        <v>1008</v>
      </c>
      <c r="C154" s="264" t="str">
        <f>'G-6 Hedgerow Data'!C7</f>
        <v>Medium</v>
      </c>
      <c r="D154" s="264" t="str">
        <f>'G-6 Hedgerow Data'!AH7</f>
        <v>Same distinctiveness band or better</v>
      </c>
      <c r="E154" s="439">
        <f>SUMIF('B-1 On-Site Hedge Baseline'!$D$10:$D$257,'G-2 Habitat groups'!A154,'B-1 On-Site Hedge Baseline'!$E$10:$E$257)</f>
        <v>0</v>
      </c>
      <c r="F154" s="439">
        <f>SUMIF('B-1 On-Site Hedge Baseline'!$D$10:$D$257,'G-2 Habitat groups'!A154,'B-1 On-Site Hedge Baseline'!$N$10:$N$257)</f>
        <v>0</v>
      </c>
      <c r="G154" s="439">
        <f>SUMIF('B-1 On-Site Hedge Baseline'!$D$10:$D$257,'G-2 Habitat groups'!A154,'B-1 On-Site Hedge Baseline'!$P$10:$P$257)</f>
        <v>0</v>
      </c>
      <c r="H154" s="439">
        <f>SUMIF('B-1 On-Site Hedge Baseline'!$D$10:$D$257,'G-2 Habitat groups'!A154,'B-1 On-Site Hedge Baseline'!$R$10:$R$257)</f>
        <v>0</v>
      </c>
      <c r="I154" s="439">
        <f>SUMIF('B-1 On-Site Hedge Baseline'!$D$10:$D$257,'G-2 Habitat groups'!A154,'B-1 On-Site Hedge Baseline'!$T$10:$T$257)</f>
        <v>0</v>
      </c>
      <c r="J154" s="439">
        <f>SUMIF('B-1 On-Site Hedge Baseline'!$D$10:$D$257,'G-2 Habitat groups'!A154,'B-1 On-Site Hedge Baseline'!$U$10:$U$257)</f>
        <v>0</v>
      </c>
      <c r="K154" s="439">
        <f>SUMIF('B-2 On-Site Hedge Creation'!$D$12:$D$259,'G-2 Habitat groups'!A154,'B-2 On-Site Hedge Creation'!$E$12:$E$259)</f>
        <v>2.4900000000000002</v>
      </c>
      <c r="L154" s="439">
        <f>SUMIF('B-2 On-Site Hedge Creation'!$D$12:$D$259,'G-2 Habitat groups'!A154,'B-2 On-Site Hedge Creation'!$W$12:$W$259)</f>
        <v>16.669627715952004</v>
      </c>
      <c r="M154" s="439">
        <f>SUMIF('B-3 On-Site Hedge Enhancement'!$M$12:$M$257,'G-2 Habitat groups'!A154,'B-3 On-Site Hedge Enhancement'!$P$12:$P$257)</f>
        <v>0</v>
      </c>
      <c r="N154" s="439">
        <f>SUMIF('B-3 On-Site Hedge Enhancement'!$M$12:$M$257,'G-2 Habitat groups'!A154,'B-3 On-Site Hedge Enhancement'!$AH$12:$AH$257)</f>
        <v>0</v>
      </c>
      <c r="O154" s="439">
        <f t="shared" si="107"/>
        <v>2.4900000000000002</v>
      </c>
      <c r="P154" s="439">
        <f t="shared" si="108"/>
        <v>16.669627715952004</v>
      </c>
      <c r="Q154" s="439">
        <f t="shared" si="109"/>
        <v>2.4900000000000002</v>
      </c>
      <c r="R154" s="439">
        <f t="shared" si="110"/>
        <v>16.669627715952004</v>
      </c>
      <c r="S154" s="439">
        <f>SUMIF('E-1 Off-Site Hedge Baseline'!$D$10:$D$257,'G-2 Habitat groups'!A154,'E-1 Off-Site Hedge Baseline'!$E$10:$E$257)</f>
        <v>0</v>
      </c>
      <c r="T154" s="358">
        <f>SUMIF('E-1 Off-Site Hedge Baseline'!$D$10:$D$257,'G-2 Habitat groups'!A154,'E-1 Off-Site Hedge Baseline'!$Q$10:$Q$257)</f>
        <v>0</v>
      </c>
      <c r="U154" s="358">
        <f>SUMIF('E-1 Off-Site Hedge Baseline'!$D$10:$D$257,'G-2 Habitat groups'!A154,'E-1 Off-Site Hedge Baseline'!$S$10:$S$257)</f>
        <v>0</v>
      </c>
      <c r="V154" s="358">
        <f>SUMIF('E-1 Off-Site Hedge Baseline'!$D$10:$D$257,'G-2 Habitat groups'!A154,'E-1 Off-Site Hedge Baseline'!$U$10:$U$257)</f>
        <v>0</v>
      </c>
      <c r="W154" s="358">
        <f>SUMIF('E-2 Off-Site Hedge Creation'!$D$12:$D$259,'G-2 Habitat groups'!A154,'E-2 Off-Site Hedge Creation'!$E$12:$E$259)</f>
        <v>0</v>
      </c>
      <c r="X154" s="358">
        <f>SUMIF('E-2 Off-Site Hedge Creation'!$D$12:$D$259,'G-2 Habitat groups'!A154,'E-2 Off-Site Hedge Creation'!$Z$12:$Z$259)</f>
        <v>0</v>
      </c>
      <c r="Y154" s="358">
        <f>SUMIF('E-3 Off-Site Hedge Enhancement'!$M$12:$M$259,'G-2 Habitat groups'!A154,'E-3 Off-Site Hedge Enhancement'!$P$12:$P$259)</f>
        <v>0</v>
      </c>
      <c r="Z154" s="358">
        <f>SUMIF('E-3 Off-Site Hedge Enhancement'!$M$12:$M$259,'G-2 Habitat groups'!A154,'E-3 Off-Site Hedge Enhancement'!$AK$12:$AK$259)</f>
        <v>0</v>
      </c>
      <c r="AA154" s="439">
        <f t="shared" si="115"/>
        <v>0</v>
      </c>
      <c r="AB154" s="439">
        <f t="shared" si="116"/>
        <v>0</v>
      </c>
      <c r="AC154" s="439">
        <f t="shared" si="111"/>
        <v>0</v>
      </c>
      <c r="AD154" s="439">
        <f t="shared" si="112"/>
        <v>0</v>
      </c>
      <c r="AE154" s="439">
        <f t="shared" si="113"/>
        <v>2.4900000000000002</v>
      </c>
      <c r="AF154" s="439">
        <f t="shared" si="114"/>
        <v>16.669627715952004</v>
      </c>
      <c r="AU154" s="283" t="s">
        <v>1009</v>
      </c>
      <c r="AV154" s="76"/>
      <c r="AW154" s="76"/>
      <c r="AX154" s="76"/>
      <c r="AY154" s="76"/>
      <c r="AZ154" s="76"/>
      <c r="BA154" s="76"/>
      <c r="BB154" s="76"/>
      <c r="BC154" s="76"/>
      <c r="BD154" s="76"/>
      <c r="BE154" s="76"/>
      <c r="BF154" s="76"/>
      <c r="BG154" s="92"/>
    </row>
    <row r="155" spans="1:59" ht="31.5">
      <c r="A155" s="263" t="str">
        <f>'G-6 Hedgerow Data'!B8</f>
        <v>Native hedgerow - associated with bank or ditch</v>
      </c>
      <c r="B155" s="264" t="s">
        <v>1008</v>
      </c>
      <c r="C155" s="264" t="str">
        <f>'G-6 Hedgerow Data'!C8</f>
        <v>Medium</v>
      </c>
      <c r="D155" s="264" t="str">
        <f>'G-6 Hedgerow Data'!AH8</f>
        <v>Same distinctiveness band or better</v>
      </c>
      <c r="E155" s="439">
        <f>SUMIF('B-1 On-Site Hedge Baseline'!$D$10:$D$257,'G-2 Habitat groups'!A155,'B-1 On-Site Hedge Baseline'!$E$10:$E$257)</f>
        <v>0</v>
      </c>
      <c r="F155" s="439">
        <f>SUMIF('B-1 On-Site Hedge Baseline'!$D$10:$D$257,'G-2 Habitat groups'!A155,'B-1 On-Site Hedge Baseline'!$N$10:$N$257)</f>
        <v>0</v>
      </c>
      <c r="G155" s="439">
        <f>SUMIF('B-1 On-Site Hedge Baseline'!$D$10:$D$257,'G-2 Habitat groups'!A155,'B-1 On-Site Hedge Baseline'!$P$10:$P$257)</f>
        <v>0</v>
      </c>
      <c r="H155" s="439">
        <f>SUMIF('B-1 On-Site Hedge Baseline'!$D$10:$D$257,'G-2 Habitat groups'!A155,'B-1 On-Site Hedge Baseline'!$R$10:$R$257)</f>
        <v>0</v>
      </c>
      <c r="I155" s="439">
        <f>SUMIF('B-1 On-Site Hedge Baseline'!$D$10:$D$257,'G-2 Habitat groups'!A155,'B-1 On-Site Hedge Baseline'!$T$10:$T$257)</f>
        <v>0</v>
      </c>
      <c r="J155" s="439">
        <f>SUMIF('B-1 On-Site Hedge Baseline'!$D$10:$D$257,'G-2 Habitat groups'!A155,'B-1 On-Site Hedge Baseline'!$U$10:$U$257)</f>
        <v>0</v>
      </c>
      <c r="K155" s="439">
        <f>SUMIF('B-2 On-Site Hedge Creation'!$D$12:$D$259,'G-2 Habitat groups'!A155,'B-2 On-Site Hedge Creation'!$E$12:$E$259)</f>
        <v>0</v>
      </c>
      <c r="L155" s="439">
        <f>SUMIF('B-2 On-Site Hedge Creation'!$D$12:$D$259,'G-2 Habitat groups'!A155,'B-2 On-Site Hedge Creation'!$W$12:$W$259)</f>
        <v>0</v>
      </c>
      <c r="M155" s="439">
        <f>SUMIF('B-3 On-Site Hedge Enhancement'!$M$12:$M$257,'G-2 Habitat groups'!A155,'B-3 On-Site Hedge Enhancement'!$P$12:$P$257)</f>
        <v>0</v>
      </c>
      <c r="N155" s="439">
        <f>SUMIF('B-3 On-Site Hedge Enhancement'!$M$12:$M$257,'G-2 Habitat groups'!A155,'B-3 On-Site Hedge Enhancement'!$AH$12:$AH$257)</f>
        <v>0</v>
      </c>
      <c r="O155" s="439">
        <f t="shared" si="107"/>
        <v>0</v>
      </c>
      <c r="P155" s="439">
        <f t="shared" si="108"/>
        <v>0</v>
      </c>
      <c r="Q155" s="439">
        <f t="shared" si="109"/>
        <v>0</v>
      </c>
      <c r="R155" s="439">
        <f t="shared" si="110"/>
        <v>0</v>
      </c>
      <c r="S155" s="439">
        <f>SUMIF('E-1 Off-Site Hedge Baseline'!$D$10:$D$257,'G-2 Habitat groups'!A155,'E-1 Off-Site Hedge Baseline'!$E$10:$E$257)</f>
        <v>0</v>
      </c>
      <c r="T155" s="358">
        <f>SUMIF('E-1 Off-Site Hedge Baseline'!$D$10:$D$257,'G-2 Habitat groups'!A155,'E-1 Off-Site Hedge Baseline'!$Q$10:$Q$257)</f>
        <v>0</v>
      </c>
      <c r="U155" s="358">
        <f>SUMIF('E-1 Off-Site Hedge Baseline'!$D$10:$D$257,'G-2 Habitat groups'!A155,'E-1 Off-Site Hedge Baseline'!$S$10:$S$257)</f>
        <v>0</v>
      </c>
      <c r="V155" s="358">
        <f>SUMIF('E-1 Off-Site Hedge Baseline'!$D$10:$D$257,'G-2 Habitat groups'!A155,'E-1 Off-Site Hedge Baseline'!$U$10:$U$257)</f>
        <v>0</v>
      </c>
      <c r="W155" s="358">
        <f>SUMIF('E-2 Off-Site Hedge Creation'!$D$12:$D$259,'G-2 Habitat groups'!A155,'E-2 Off-Site Hedge Creation'!$E$12:$E$259)</f>
        <v>0</v>
      </c>
      <c r="X155" s="358">
        <f>SUMIF('E-2 Off-Site Hedge Creation'!$D$12:$D$259,'G-2 Habitat groups'!A155,'E-2 Off-Site Hedge Creation'!$Z$12:$Z$259)</f>
        <v>0</v>
      </c>
      <c r="Y155" s="358">
        <f>SUMIF('E-3 Off-Site Hedge Enhancement'!$M$12:$M$259,'G-2 Habitat groups'!A155,'E-3 Off-Site Hedge Enhancement'!$P$12:$P$259)</f>
        <v>0</v>
      </c>
      <c r="Z155" s="358">
        <f>SUMIF('E-3 Off-Site Hedge Enhancement'!$M$12:$M$259,'G-2 Habitat groups'!A155,'E-3 Off-Site Hedge Enhancement'!$AK$12:$AK$259)</f>
        <v>0</v>
      </c>
      <c r="AA155" s="439">
        <f t="shared" si="115"/>
        <v>0</v>
      </c>
      <c r="AB155" s="439">
        <f t="shared" si="116"/>
        <v>0</v>
      </c>
      <c r="AC155" s="439">
        <f t="shared" si="111"/>
        <v>0</v>
      </c>
      <c r="AD155" s="439">
        <f t="shared" si="112"/>
        <v>0</v>
      </c>
      <c r="AE155" s="439">
        <f t="shared" si="113"/>
        <v>0</v>
      </c>
      <c r="AF155" s="439">
        <f t="shared" si="114"/>
        <v>0</v>
      </c>
      <c r="AU155" s="229" t="s">
        <v>968</v>
      </c>
      <c r="AV155" s="229" t="s">
        <v>220</v>
      </c>
      <c r="AW155" s="540" t="s">
        <v>969</v>
      </c>
      <c r="AX155" s="540" t="s">
        <v>970</v>
      </c>
      <c r="AY155" s="540" t="s">
        <v>971</v>
      </c>
      <c r="AZ155" s="540" t="s">
        <v>972</v>
      </c>
      <c r="BA155" s="540" t="s">
        <v>973</v>
      </c>
      <c r="BB155" s="540" t="s">
        <v>974</v>
      </c>
      <c r="BC155" s="540" t="s">
        <v>975</v>
      </c>
      <c r="BD155" s="98" t="s">
        <v>976</v>
      </c>
      <c r="BE155" s="540" t="s">
        <v>977</v>
      </c>
      <c r="BF155" s="98" t="s">
        <v>988</v>
      </c>
    </row>
    <row r="156" spans="1:59">
      <c r="A156" s="79" t="str">
        <f>'G-6 Hedgerow Data'!B9</f>
        <v>Native hedgerow with trees</v>
      </c>
      <c r="B156" s="68" t="s">
        <v>1008</v>
      </c>
      <c r="C156" s="68" t="str">
        <f>'G-6 Hedgerow Data'!C9</f>
        <v>Medium</v>
      </c>
      <c r="D156" s="68" t="str">
        <f>'G-6 Hedgerow Data'!AH9</f>
        <v>Same distinctiveness band or better</v>
      </c>
      <c r="E156" s="358">
        <f>SUMIF('B-1 On-Site Hedge Baseline'!$D$10:$D$257,'G-2 Habitat groups'!A156,'B-1 On-Site Hedge Baseline'!$E$10:$E$257)</f>
        <v>1.54</v>
      </c>
      <c r="F156" s="358">
        <f>SUMIF('B-1 On-Site Hedge Baseline'!$D$10:$D$257,'G-2 Habitat groups'!A156,'B-1 On-Site Hedge Baseline'!$N$10:$N$257)</f>
        <v>14.24</v>
      </c>
      <c r="G156" s="358">
        <f>SUMIF('B-1 On-Site Hedge Baseline'!$D$10:$D$257,'G-2 Habitat groups'!A156,'B-1 On-Site Hedge Baseline'!$P$10:$P$257)</f>
        <v>1.54</v>
      </c>
      <c r="H156" s="358">
        <f>SUMIF('B-1 On-Site Hedge Baseline'!$D$10:$D$257,'G-2 Habitat groups'!A156,'B-1 On-Site Hedge Baseline'!$R$10:$R$257)</f>
        <v>14.24</v>
      </c>
      <c r="I156" s="358">
        <f>SUMIF('B-1 On-Site Hedge Baseline'!$D$10:$D$257,'G-2 Habitat groups'!A156,'B-1 On-Site Hedge Baseline'!$T$10:$T$257)</f>
        <v>0</v>
      </c>
      <c r="J156" s="439">
        <f>SUMIF('B-1 On-Site Hedge Baseline'!$D$10:$D$257,'G-2 Habitat groups'!A156,'B-1 On-Site Hedge Baseline'!$U$10:$U$257)</f>
        <v>0</v>
      </c>
      <c r="K156" s="358">
        <f>SUMIF('B-2 On-Site Hedge Creation'!$D$12:$D$259,'G-2 Habitat groups'!A156,'B-2 On-Site Hedge Creation'!$E$12:$E$259)</f>
        <v>0</v>
      </c>
      <c r="L156" s="358">
        <f>SUMIF('B-2 On-Site Hedge Creation'!$D$12:$D$259,'G-2 Habitat groups'!A156,'B-2 On-Site Hedge Creation'!$W$12:$W$259)</f>
        <v>0</v>
      </c>
      <c r="M156" s="358">
        <f>SUMIF('B-3 On-Site Hedge Enhancement'!$M$12:$M$257,'G-2 Habitat groups'!A156,'B-3 On-Site Hedge Enhancement'!$P$12:$P$257)</f>
        <v>0</v>
      </c>
      <c r="N156" s="358">
        <f>SUMIF('B-3 On-Site Hedge Enhancement'!$M$12:$M$257,'G-2 Habitat groups'!A156,'B-3 On-Site Hedge Enhancement'!$AH$12:$AH$257)</f>
        <v>0</v>
      </c>
      <c r="O156" s="358">
        <f t="shared" si="107"/>
        <v>1.54</v>
      </c>
      <c r="P156" s="358">
        <f t="shared" si="108"/>
        <v>14.24</v>
      </c>
      <c r="Q156" s="358">
        <f t="shared" si="109"/>
        <v>0</v>
      </c>
      <c r="R156" s="358">
        <f t="shared" si="110"/>
        <v>0</v>
      </c>
      <c r="S156" s="358">
        <f>SUMIF('E-1 Off-Site Hedge Baseline'!$D$10:$D$257,'G-2 Habitat groups'!A156,'E-1 Off-Site Hedge Baseline'!$E$10:$E$257)</f>
        <v>0</v>
      </c>
      <c r="T156" s="358">
        <f>SUMIF('E-1 Off-Site Hedge Baseline'!$D$10:$D$257,'G-2 Habitat groups'!A156,'E-1 Off-Site Hedge Baseline'!$Q$10:$Q$257)</f>
        <v>0</v>
      </c>
      <c r="U156" s="358">
        <f>SUMIF('E-1 Off-Site Hedge Baseline'!$D$10:$D$257,'G-2 Habitat groups'!A156,'E-1 Off-Site Hedge Baseline'!$S$10:$S$257)</f>
        <v>0</v>
      </c>
      <c r="V156" s="358">
        <f>SUMIF('E-1 Off-Site Hedge Baseline'!$D$10:$D$257,'G-2 Habitat groups'!A156,'E-1 Off-Site Hedge Baseline'!$U$10:$U$257)</f>
        <v>0</v>
      </c>
      <c r="W156" s="358">
        <f>SUMIF('E-2 Off-Site Hedge Creation'!$D$12:$D$259,'G-2 Habitat groups'!A156,'E-2 Off-Site Hedge Creation'!$E$12:$E$259)</f>
        <v>0</v>
      </c>
      <c r="X156" s="358">
        <f>SUMIF('E-2 Off-Site Hedge Creation'!$D$12:$D$259,'G-2 Habitat groups'!A156,'E-2 Off-Site Hedge Creation'!$Z$12:$Z$259)</f>
        <v>0</v>
      </c>
      <c r="Y156" s="358">
        <f>SUMIF('E-3 Off-Site Hedge Enhancement'!$M$12:$M$259,'G-2 Habitat groups'!A156,'E-3 Off-Site Hedge Enhancement'!$P$12:$P$259)</f>
        <v>0</v>
      </c>
      <c r="Z156" s="358">
        <f>SUMIF('E-3 Off-Site Hedge Enhancement'!$M$12:$M$259,'G-2 Habitat groups'!A156,'E-3 Off-Site Hedge Enhancement'!$AK$12:$AK$259)</f>
        <v>0</v>
      </c>
      <c r="AA156" s="358">
        <f t="shared" si="115"/>
        <v>0</v>
      </c>
      <c r="AB156" s="358">
        <f t="shared" si="116"/>
        <v>0</v>
      </c>
      <c r="AC156" s="358">
        <f t="shared" si="111"/>
        <v>0</v>
      </c>
      <c r="AD156" s="358">
        <f t="shared" si="112"/>
        <v>0</v>
      </c>
      <c r="AE156" s="358">
        <f t="shared" si="113"/>
        <v>0</v>
      </c>
      <c r="AF156" s="358">
        <f t="shared" si="114"/>
        <v>0</v>
      </c>
      <c r="AU156" s="79" t="s">
        <v>684</v>
      </c>
      <c r="AV156" s="68" t="s">
        <v>129</v>
      </c>
      <c r="AW156" s="358">
        <f>VLOOKUP($AU156,AllHabsSummaryData,5,FALSE)</f>
        <v>0.14799999999999999</v>
      </c>
      <c r="AX156" s="358">
        <f>VLOOKUP($AU156,AllHabsSummaryData,10,FALSE)</f>
        <v>0</v>
      </c>
      <c r="AY156" s="358">
        <f>VLOOKUP($AU156,AllHabsSummaryData,15,FALSE)</f>
        <v>0</v>
      </c>
      <c r="AZ156" s="358">
        <f>VLOOKUP($AU156,AllHabsSummaryData,16,FALSE)</f>
        <v>0</v>
      </c>
      <c r="BA156" s="358">
        <f>VLOOKUP($AU156,AllHabsSummaryData,17,FALSE)</f>
        <v>-0.14799999999999999</v>
      </c>
      <c r="BB156" s="358">
        <f>VLOOKUP($AU156,AllHabsSummaryData,18,FALSE)</f>
        <v>0</v>
      </c>
      <c r="BC156" s="358">
        <f>VLOOKUP($AU156,AllHabsSummaryData,27,FALSE)</f>
        <v>0</v>
      </c>
      <c r="BD156" s="358">
        <f>VLOOKUP($AU156,AllHabsSummaryData,30,FALSE)</f>
        <v>0</v>
      </c>
      <c r="BE156" s="358">
        <f>BB156+BD156</f>
        <v>0</v>
      </c>
      <c r="BF156" s="358" t="str">
        <f>IF(BE156&lt;0,BE156,"")</f>
        <v/>
      </c>
    </row>
    <row r="157" spans="1:59">
      <c r="A157" s="79" t="str">
        <f>'G-6 Hedgerow Data'!B10</f>
        <v>Ecologically valuable line of trees</v>
      </c>
      <c r="B157" s="68" t="s">
        <v>1008</v>
      </c>
      <c r="C157" s="68" t="str">
        <f>'G-6 Hedgerow Data'!C10</f>
        <v>Medium</v>
      </c>
      <c r="D157" s="68" t="str">
        <f>'G-6 Hedgerow Data'!AH10</f>
        <v>Same distinctiveness band or better</v>
      </c>
      <c r="E157" s="358">
        <f>SUMIF('B-1 On-Site Hedge Baseline'!$D$10:$D$257,'G-2 Habitat groups'!A157,'B-1 On-Site Hedge Baseline'!$E$10:$E$257)</f>
        <v>0</v>
      </c>
      <c r="F157" s="358">
        <f>SUMIF('B-1 On-Site Hedge Baseline'!$D$10:$D$257,'G-2 Habitat groups'!A157,'B-1 On-Site Hedge Baseline'!$N$10:$N$257)</f>
        <v>0</v>
      </c>
      <c r="G157" s="358">
        <f>SUMIF('B-1 On-Site Hedge Baseline'!$D$10:$D$257,'G-2 Habitat groups'!A157,'B-1 On-Site Hedge Baseline'!$P$10:$P$257)</f>
        <v>0</v>
      </c>
      <c r="H157" s="358">
        <f>SUMIF('B-1 On-Site Hedge Baseline'!$D$10:$D$257,'G-2 Habitat groups'!A157,'B-1 On-Site Hedge Baseline'!$R$10:$R$257)</f>
        <v>0</v>
      </c>
      <c r="I157" s="358">
        <f>SUMIF('B-1 On-Site Hedge Baseline'!$D$10:$D$257,'G-2 Habitat groups'!A157,'B-1 On-Site Hedge Baseline'!$T$10:$T$257)</f>
        <v>0</v>
      </c>
      <c r="J157" s="439">
        <f>SUMIF('B-1 On-Site Hedge Baseline'!$D$10:$D$257,'G-2 Habitat groups'!A157,'B-1 On-Site Hedge Baseline'!$U$10:$U$257)</f>
        <v>0</v>
      </c>
      <c r="K157" s="358">
        <f>SUMIF('B-2 On-Site Hedge Creation'!$D$12:$D$259,'G-2 Habitat groups'!A157,'B-2 On-Site Hedge Creation'!$E$12:$E$259)</f>
        <v>0</v>
      </c>
      <c r="L157" s="358">
        <f>SUMIF('B-2 On-Site Hedge Creation'!$D$12:$D$259,'G-2 Habitat groups'!A157,'B-2 On-Site Hedge Creation'!$W$12:$W$259)</f>
        <v>0</v>
      </c>
      <c r="M157" s="358">
        <f>SUMIF('B-3 On-Site Hedge Enhancement'!$M$12:$M$257,'G-2 Habitat groups'!A157,'B-3 On-Site Hedge Enhancement'!$P$12:$P$257)</f>
        <v>0</v>
      </c>
      <c r="N157" s="358">
        <f>SUMIF('B-3 On-Site Hedge Enhancement'!$M$12:$M$257,'G-2 Habitat groups'!A157,'B-3 On-Site Hedge Enhancement'!$AH$12:$AH$257)</f>
        <v>0</v>
      </c>
      <c r="O157" s="358">
        <f t="shared" si="107"/>
        <v>0</v>
      </c>
      <c r="P157" s="358">
        <f t="shared" si="108"/>
        <v>0</v>
      </c>
      <c r="Q157" s="358">
        <f t="shared" si="109"/>
        <v>0</v>
      </c>
      <c r="R157" s="358">
        <f t="shared" si="110"/>
        <v>0</v>
      </c>
      <c r="S157" s="358">
        <f>SUMIF('E-1 Off-Site Hedge Baseline'!$D$10:$D$257,'G-2 Habitat groups'!A157,'E-1 Off-Site Hedge Baseline'!$E$10:$E$257)</f>
        <v>0</v>
      </c>
      <c r="T157" s="358">
        <f>SUMIF('E-1 Off-Site Hedge Baseline'!$D$10:$D$257,'G-2 Habitat groups'!A157,'E-1 Off-Site Hedge Baseline'!$Q$10:$Q$257)</f>
        <v>0</v>
      </c>
      <c r="U157" s="358">
        <f>SUMIF('E-1 Off-Site Hedge Baseline'!$D$10:$D$257,'G-2 Habitat groups'!A157,'E-1 Off-Site Hedge Baseline'!$S$10:$S$257)</f>
        <v>0</v>
      </c>
      <c r="V157" s="358">
        <f>SUMIF('E-1 Off-Site Hedge Baseline'!$D$10:$D$257,'G-2 Habitat groups'!A157,'E-1 Off-Site Hedge Baseline'!$U$10:$U$257)</f>
        <v>0</v>
      </c>
      <c r="W157" s="358">
        <f>SUMIF('E-2 Off-Site Hedge Creation'!$D$12:$D$259,'G-2 Habitat groups'!A157,'E-2 Off-Site Hedge Creation'!$E$12:$E$259)</f>
        <v>0</v>
      </c>
      <c r="X157" s="358">
        <f>SUMIF('E-2 Off-Site Hedge Creation'!$D$12:$D$259,'G-2 Habitat groups'!A157,'E-2 Off-Site Hedge Creation'!$Z$12:$Z$259)</f>
        <v>0</v>
      </c>
      <c r="Y157" s="358">
        <f>SUMIF('E-3 Off-Site Hedge Enhancement'!$M$12:$M$259,'G-2 Habitat groups'!A157,'E-3 Off-Site Hedge Enhancement'!$P$12:$P$259)</f>
        <v>0</v>
      </c>
      <c r="Z157" s="358">
        <f>SUMIF('E-3 Off-Site Hedge Enhancement'!$M$12:$M$259,'G-2 Habitat groups'!A157,'E-3 Off-Site Hedge Enhancement'!$AK$12:$AK$259)</f>
        <v>0</v>
      </c>
      <c r="AA157" s="358">
        <f t="shared" si="115"/>
        <v>0</v>
      </c>
      <c r="AB157" s="358">
        <f t="shared" si="116"/>
        <v>0</v>
      </c>
      <c r="AC157" s="358">
        <f t="shared" si="111"/>
        <v>0</v>
      </c>
      <c r="AD157" s="358">
        <f t="shared" si="112"/>
        <v>0</v>
      </c>
      <c r="AE157" s="358">
        <f t="shared" si="113"/>
        <v>0</v>
      </c>
      <c r="AF157" s="358">
        <f t="shared" si="114"/>
        <v>0</v>
      </c>
      <c r="AU157" s="79" t="s">
        <v>692</v>
      </c>
      <c r="AV157" s="68" t="s">
        <v>129</v>
      </c>
      <c r="AW157" s="358">
        <f>VLOOKUP($AU157,AllHabsSummaryData,5,FALSE)</f>
        <v>0.06</v>
      </c>
      <c r="AX157" s="358">
        <f>VLOOKUP($AU157,AllHabsSummaryData,10,FALSE)</f>
        <v>0</v>
      </c>
      <c r="AY157" s="358">
        <f>VLOOKUP($AU157,AllHabsSummaryData,15,FALSE)</f>
        <v>0.06</v>
      </c>
      <c r="AZ157" s="358">
        <f>VLOOKUP($AU157,AllHabsSummaryData,16,FALSE)</f>
        <v>0</v>
      </c>
      <c r="BA157" s="358">
        <f>VLOOKUP($AU157,AllHabsSummaryData,17,FALSE)</f>
        <v>0</v>
      </c>
      <c r="BB157" s="358">
        <f>VLOOKUP($AU157,AllHabsSummaryData,18,FALSE)</f>
        <v>0</v>
      </c>
      <c r="BC157" s="358">
        <f>VLOOKUP($AU157,AllHabsSummaryData,27,FALSE)</f>
        <v>0</v>
      </c>
      <c r="BD157" s="358">
        <f>VLOOKUP($AU157,AllHabsSummaryData,30,FALSE)</f>
        <v>0</v>
      </c>
      <c r="BE157" s="358">
        <f>BB157+BD157</f>
        <v>0</v>
      </c>
      <c r="BF157" s="358" t="str">
        <f>IF(BE157&lt;0,BE157,"")</f>
        <v/>
      </c>
    </row>
    <row r="158" spans="1:59">
      <c r="A158" s="79" t="str">
        <f>'G-6 Hedgerow Data'!B11</f>
        <v>Ecologically valuable line of trees - associated with bank or ditch</v>
      </c>
      <c r="B158" s="68" t="s">
        <v>1008</v>
      </c>
      <c r="C158" s="68" t="str">
        <f>'G-6 Hedgerow Data'!C11</f>
        <v>Medium</v>
      </c>
      <c r="D158" s="68" t="str">
        <f>'G-6 Hedgerow Data'!AH11</f>
        <v>Same distinctiveness band or better</v>
      </c>
      <c r="E158" s="358">
        <f>SUMIF('B-1 On-Site Hedge Baseline'!$D$10:$D$257,'G-2 Habitat groups'!A158,'B-1 On-Site Hedge Baseline'!$E$10:$E$257)</f>
        <v>0</v>
      </c>
      <c r="F158" s="358">
        <f>SUMIF('B-1 On-Site Hedge Baseline'!$D$10:$D$257,'G-2 Habitat groups'!A158,'B-1 On-Site Hedge Baseline'!$N$10:$N$257)</f>
        <v>0</v>
      </c>
      <c r="G158" s="358">
        <f>SUMIF('B-1 On-Site Hedge Baseline'!$D$10:$D$257,'G-2 Habitat groups'!A158,'B-1 On-Site Hedge Baseline'!$P$10:$P$257)</f>
        <v>0</v>
      </c>
      <c r="H158" s="358">
        <f>SUMIF('B-1 On-Site Hedge Baseline'!$D$10:$D$257,'G-2 Habitat groups'!A158,'B-1 On-Site Hedge Baseline'!$R$10:$R$257)</f>
        <v>0</v>
      </c>
      <c r="I158" s="358">
        <f>SUMIF('B-1 On-Site Hedge Baseline'!$D$10:$D$257,'G-2 Habitat groups'!A158,'B-1 On-Site Hedge Baseline'!$T$10:$T$257)</f>
        <v>0</v>
      </c>
      <c r="J158" s="439">
        <f>SUMIF('B-1 On-Site Hedge Baseline'!$D$10:$D$257,'G-2 Habitat groups'!A158,'B-1 On-Site Hedge Baseline'!$U$10:$U$257)</f>
        <v>0</v>
      </c>
      <c r="K158" s="358">
        <f>SUMIF('B-2 On-Site Hedge Creation'!$D$12:$D$259,'G-2 Habitat groups'!A158,'B-2 On-Site Hedge Creation'!$E$12:$E$259)</f>
        <v>0</v>
      </c>
      <c r="L158" s="358">
        <f>SUMIF('B-2 On-Site Hedge Creation'!$D$12:$D$259,'G-2 Habitat groups'!A158,'B-2 On-Site Hedge Creation'!$W$12:$W$259)</f>
        <v>0</v>
      </c>
      <c r="M158" s="358">
        <f>SUMIF('B-3 On-Site Hedge Enhancement'!$M$12:$M$257,'G-2 Habitat groups'!A158,'B-3 On-Site Hedge Enhancement'!$P$12:$P$257)</f>
        <v>0</v>
      </c>
      <c r="N158" s="358">
        <f>SUMIF('B-3 On-Site Hedge Enhancement'!$M$12:$M$257,'G-2 Habitat groups'!A158,'B-3 On-Site Hedge Enhancement'!$AH$12:$AH$257)</f>
        <v>0</v>
      </c>
      <c r="O158" s="358">
        <f t="shared" si="107"/>
        <v>0</v>
      </c>
      <c r="P158" s="358">
        <f t="shared" si="108"/>
        <v>0</v>
      </c>
      <c r="Q158" s="358">
        <f t="shared" si="109"/>
        <v>0</v>
      </c>
      <c r="R158" s="358">
        <f t="shared" si="110"/>
        <v>0</v>
      </c>
      <c r="S158" s="358">
        <f>SUMIF('E-1 Off-Site Hedge Baseline'!$D$10:$D$257,'G-2 Habitat groups'!A158,'E-1 Off-Site Hedge Baseline'!$E$10:$E$257)</f>
        <v>0</v>
      </c>
      <c r="T158" s="358">
        <f>SUMIF('E-1 Off-Site Hedge Baseline'!$D$10:$D$257,'G-2 Habitat groups'!A158,'E-1 Off-Site Hedge Baseline'!$Q$10:$Q$257)</f>
        <v>0</v>
      </c>
      <c r="U158" s="358">
        <f>SUMIF('E-1 Off-Site Hedge Baseline'!$D$10:$D$257,'G-2 Habitat groups'!A158,'E-1 Off-Site Hedge Baseline'!$S$10:$S$257)</f>
        <v>0</v>
      </c>
      <c r="V158" s="358">
        <f>SUMIF('E-1 Off-Site Hedge Baseline'!$D$10:$D$257,'G-2 Habitat groups'!A158,'E-1 Off-Site Hedge Baseline'!$U$10:$U$257)</f>
        <v>0</v>
      </c>
      <c r="W158" s="358">
        <f>SUMIF('E-2 Off-Site Hedge Creation'!$D$12:$D$259,'G-2 Habitat groups'!A158,'E-2 Off-Site Hedge Creation'!$E$12:$E$259)</f>
        <v>0</v>
      </c>
      <c r="X158" s="358">
        <f>SUMIF('E-2 Off-Site Hedge Creation'!$D$12:$D$259,'G-2 Habitat groups'!A158,'E-2 Off-Site Hedge Creation'!$Z$12:$Z$259)</f>
        <v>0</v>
      </c>
      <c r="Y158" s="358">
        <f>SUMIF('E-3 Off-Site Hedge Enhancement'!$M$12:$M$259,'G-2 Habitat groups'!A158,'E-3 Off-Site Hedge Enhancement'!$P$12:$P$259)</f>
        <v>0</v>
      </c>
      <c r="Z158" s="358">
        <f>SUMIF('E-3 Off-Site Hedge Enhancement'!$M$12:$M$259,'G-2 Habitat groups'!A158,'E-3 Off-Site Hedge Enhancement'!$AK$12:$AK$259)</f>
        <v>0</v>
      </c>
      <c r="AA158" s="358">
        <f t="shared" si="115"/>
        <v>0</v>
      </c>
      <c r="AB158" s="358">
        <f t="shared" si="116"/>
        <v>0</v>
      </c>
      <c r="AC158" s="358">
        <f t="shared" si="111"/>
        <v>0</v>
      </c>
      <c r="AD158" s="358">
        <f t="shared" si="112"/>
        <v>0</v>
      </c>
      <c r="AE158" s="358">
        <f t="shared" si="113"/>
        <v>0</v>
      </c>
      <c r="AF158" s="358">
        <f t="shared" si="114"/>
        <v>0</v>
      </c>
      <c r="AU158" s="79" t="s">
        <v>697</v>
      </c>
      <c r="AV158" s="68" t="s">
        <v>129</v>
      </c>
      <c r="AW158" s="358">
        <f>VLOOKUP($AU158,AllHabsSummaryData,5,FALSE)</f>
        <v>0.30500000000000005</v>
      </c>
      <c r="AX158" s="358">
        <f>VLOOKUP($AU158,AllHabsSummaryData,10,FALSE)</f>
        <v>0</v>
      </c>
      <c r="AY158" s="358">
        <f>VLOOKUP($AU158,AllHabsSummaryData,15,FALSE)</f>
        <v>1.3179999999999998</v>
      </c>
      <c r="AZ158" s="358">
        <f>VLOOKUP($AU158,AllHabsSummaryData,16,FALSE)</f>
        <v>0</v>
      </c>
      <c r="BA158" s="358">
        <f>VLOOKUP($AU158,AllHabsSummaryData,17,FALSE)</f>
        <v>1.0129999999999999</v>
      </c>
      <c r="BB158" s="358">
        <f>VLOOKUP($AU158,AllHabsSummaryData,18,FALSE)</f>
        <v>0</v>
      </c>
      <c r="BC158" s="358">
        <f>VLOOKUP($AU158,AllHabsSummaryData,27,FALSE)</f>
        <v>0</v>
      </c>
      <c r="BD158" s="358">
        <f>VLOOKUP($AU158,AllHabsSummaryData,30,FALSE)</f>
        <v>0</v>
      </c>
      <c r="BE158" s="358">
        <f>BB158+BD158</f>
        <v>0</v>
      </c>
      <c r="BF158" s="358" t="str">
        <f>IF(BE158&lt;0,BE158,"")</f>
        <v/>
      </c>
    </row>
    <row r="159" spans="1:59">
      <c r="A159" s="79" t="str">
        <f>'G-6 Hedgerow Data'!B12</f>
        <v>Native hedgerow</v>
      </c>
      <c r="B159" s="68" t="s">
        <v>1008</v>
      </c>
      <c r="C159" s="68" t="str">
        <f>'G-6 Hedgerow Data'!C12</f>
        <v>Low</v>
      </c>
      <c r="D159" s="68" t="str">
        <f>'G-6 Hedgerow Data'!AH12</f>
        <v>Same distinctiveness band or better</v>
      </c>
      <c r="E159" s="358">
        <f>SUMIF('B-1 On-Site Hedge Baseline'!$D$10:$D$257,'G-2 Habitat groups'!A159,'B-1 On-Site Hedge Baseline'!$E$10:$E$257)</f>
        <v>0.2</v>
      </c>
      <c r="F159" s="358">
        <f>SUMIF('B-1 On-Site Hedge Baseline'!$D$10:$D$257,'G-2 Habitat groups'!A159,'B-1 On-Site Hedge Baseline'!$N$10:$N$257)</f>
        <v>0.8</v>
      </c>
      <c r="G159" s="358">
        <f>SUMIF('B-1 On-Site Hedge Baseline'!$D$10:$D$257,'G-2 Habitat groups'!A159,'B-1 On-Site Hedge Baseline'!$P$10:$P$257)</f>
        <v>0.2</v>
      </c>
      <c r="H159" s="358">
        <f>SUMIF('B-1 On-Site Hedge Baseline'!$D$10:$D$257,'G-2 Habitat groups'!A159,'B-1 On-Site Hedge Baseline'!$R$10:$R$257)</f>
        <v>0.8</v>
      </c>
      <c r="I159" s="358">
        <f>SUMIF('B-1 On-Site Hedge Baseline'!$D$10:$D$257,'G-2 Habitat groups'!A159,'B-1 On-Site Hedge Baseline'!$T$10:$T$257)</f>
        <v>0</v>
      </c>
      <c r="J159" s="439">
        <f>SUMIF('B-1 On-Site Hedge Baseline'!$D$10:$D$257,'G-2 Habitat groups'!A159,'B-1 On-Site Hedge Baseline'!$U$10:$U$257)</f>
        <v>0</v>
      </c>
      <c r="K159" s="358">
        <f>SUMIF('B-2 On-Site Hedge Creation'!$D$12:$D$259,'G-2 Habitat groups'!A159,'B-2 On-Site Hedge Creation'!$E$12:$E$259)</f>
        <v>0</v>
      </c>
      <c r="L159" s="358">
        <f>SUMIF('B-2 On-Site Hedge Creation'!$D$12:$D$259,'G-2 Habitat groups'!A159,'B-2 On-Site Hedge Creation'!$W$12:$W$259)</f>
        <v>0</v>
      </c>
      <c r="M159" s="358">
        <f>SUMIF('B-3 On-Site Hedge Enhancement'!$M$12:$M$257,'G-2 Habitat groups'!A159,'B-3 On-Site Hedge Enhancement'!$P$12:$P$257)</f>
        <v>0</v>
      </c>
      <c r="N159" s="358">
        <f>SUMIF('B-3 On-Site Hedge Enhancement'!$M$12:$M$257,'G-2 Habitat groups'!A159,'B-3 On-Site Hedge Enhancement'!$AH$12:$AH$257)</f>
        <v>0</v>
      </c>
      <c r="O159" s="358">
        <f t="shared" si="107"/>
        <v>0.2</v>
      </c>
      <c r="P159" s="358">
        <f t="shared" si="108"/>
        <v>0.8</v>
      </c>
      <c r="Q159" s="358">
        <f t="shared" si="109"/>
        <v>0</v>
      </c>
      <c r="R159" s="358">
        <f t="shared" si="110"/>
        <v>0</v>
      </c>
      <c r="S159" s="358">
        <f>SUMIF('E-1 Off-Site Hedge Baseline'!$D$10:$D$257,'G-2 Habitat groups'!A159,'E-1 Off-Site Hedge Baseline'!$E$10:$E$257)</f>
        <v>0</v>
      </c>
      <c r="T159" s="358">
        <f>SUMIF('E-1 Off-Site Hedge Baseline'!$D$10:$D$257,'G-2 Habitat groups'!A159,'E-1 Off-Site Hedge Baseline'!$Q$10:$Q$257)</f>
        <v>0</v>
      </c>
      <c r="U159" s="358">
        <f>SUMIF('E-1 Off-Site Hedge Baseline'!$D$10:$D$257,'G-2 Habitat groups'!A159,'E-1 Off-Site Hedge Baseline'!$S$10:$S$257)</f>
        <v>0</v>
      </c>
      <c r="V159" s="358">
        <f>SUMIF('E-1 Off-Site Hedge Baseline'!$D$10:$D$257,'G-2 Habitat groups'!A159,'E-1 Off-Site Hedge Baseline'!$U$10:$U$257)</f>
        <v>0</v>
      </c>
      <c r="W159" s="358">
        <f>SUMIF('E-2 Off-Site Hedge Creation'!$D$12:$D$259,'G-2 Habitat groups'!A159,'E-2 Off-Site Hedge Creation'!$E$12:$E$259)</f>
        <v>0</v>
      </c>
      <c r="X159" s="358">
        <f>SUMIF('E-2 Off-Site Hedge Creation'!$D$12:$D$259,'G-2 Habitat groups'!A159,'E-2 Off-Site Hedge Creation'!$Z$12:$Z$259)</f>
        <v>0</v>
      </c>
      <c r="Y159" s="358">
        <f>SUMIF('E-3 Off-Site Hedge Enhancement'!$M$12:$M$259,'G-2 Habitat groups'!A159,'E-3 Off-Site Hedge Enhancement'!$P$12:$P$259)</f>
        <v>0</v>
      </c>
      <c r="Z159" s="358">
        <f>SUMIF('E-3 Off-Site Hedge Enhancement'!$M$12:$M$259,'G-2 Habitat groups'!A159,'E-3 Off-Site Hedge Enhancement'!$AK$12:$AK$259)</f>
        <v>0</v>
      </c>
      <c r="AA159" s="358">
        <f t="shared" si="115"/>
        <v>0</v>
      </c>
      <c r="AB159" s="358">
        <f t="shared" si="116"/>
        <v>0</v>
      </c>
      <c r="AC159" s="358">
        <f t="shared" si="111"/>
        <v>0</v>
      </c>
      <c r="AD159" s="358">
        <f t="shared" si="112"/>
        <v>0</v>
      </c>
      <c r="AE159" s="358">
        <f t="shared" si="113"/>
        <v>0</v>
      </c>
      <c r="AF159" s="358">
        <f t="shared" si="114"/>
        <v>0</v>
      </c>
      <c r="AU159" s="79" t="s">
        <v>729</v>
      </c>
      <c r="AV159" s="68" t="s">
        <v>129</v>
      </c>
      <c r="AW159" s="358">
        <f>VLOOKUP($AU159,AllHabsSummaryData,5,FALSE)</f>
        <v>0</v>
      </c>
      <c r="AX159" s="358">
        <f>VLOOKUP($AU159,AllHabsSummaryData,10,FALSE)</f>
        <v>0</v>
      </c>
      <c r="AY159" s="358">
        <f>VLOOKUP($AU159,AllHabsSummaryData,15,FALSE)</f>
        <v>0</v>
      </c>
      <c r="AZ159" s="358">
        <f>VLOOKUP($AU159,AllHabsSummaryData,16,FALSE)</f>
        <v>0</v>
      </c>
      <c r="BA159" s="358">
        <f>VLOOKUP($AU159,AllHabsSummaryData,17,FALSE)</f>
        <v>0</v>
      </c>
      <c r="BB159" s="358">
        <f>VLOOKUP($AU159,AllHabsSummaryData,18,FALSE)</f>
        <v>0</v>
      </c>
      <c r="BC159" s="358">
        <f>VLOOKUP($AU159,AllHabsSummaryData,27,FALSE)</f>
        <v>0</v>
      </c>
      <c r="BD159" s="358">
        <f>VLOOKUP($AU159,AllHabsSummaryData,30,FALSE)</f>
        <v>0</v>
      </c>
      <c r="BE159" s="358">
        <f>BB159+BD159</f>
        <v>0</v>
      </c>
      <c r="BF159" s="358" t="str">
        <f>IF(BE159&lt;0,BE159,"")</f>
        <v/>
      </c>
    </row>
    <row r="160" spans="1:59">
      <c r="A160" s="79" t="str">
        <f>'G-6 Hedgerow Data'!B13</f>
        <v>Line of trees</v>
      </c>
      <c r="B160" s="68" t="s">
        <v>1008</v>
      </c>
      <c r="C160" s="68" t="str">
        <f>'G-6 Hedgerow Data'!C13</f>
        <v>Low</v>
      </c>
      <c r="D160" s="68" t="str">
        <f>'G-6 Hedgerow Data'!AH13</f>
        <v>Same distinctiveness band or better</v>
      </c>
      <c r="E160" s="358">
        <f>SUMIF('B-1 On-Site Hedge Baseline'!$D$10:$D$257,'G-2 Habitat groups'!A160,'B-1 On-Site Hedge Baseline'!$E$10:$E$257)</f>
        <v>0.2</v>
      </c>
      <c r="F160" s="358">
        <f>SUMIF('B-1 On-Site Hedge Baseline'!$D$10:$D$257,'G-2 Habitat groups'!A160,'B-1 On-Site Hedge Baseline'!$N$10:$N$257)</f>
        <v>0.60000000000000009</v>
      </c>
      <c r="G160" s="358">
        <f>SUMIF('B-1 On-Site Hedge Baseline'!$D$10:$D$257,'G-2 Habitat groups'!A160,'B-1 On-Site Hedge Baseline'!$P$10:$P$257)</f>
        <v>0.2</v>
      </c>
      <c r="H160" s="358">
        <f>SUMIF('B-1 On-Site Hedge Baseline'!$D$10:$D$257,'G-2 Habitat groups'!A160,'B-1 On-Site Hedge Baseline'!$R$10:$R$257)</f>
        <v>0.60000000000000009</v>
      </c>
      <c r="I160" s="358">
        <f>SUMIF('B-1 On-Site Hedge Baseline'!$D$10:$D$257,'G-2 Habitat groups'!A160,'B-1 On-Site Hedge Baseline'!$T$10:$T$257)</f>
        <v>0</v>
      </c>
      <c r="J160" s="439">
        <f>SUMIF('B-1 On-Site Hedge Baseline'!$D$10:$D$257,'G-2 Habitat groups'!A160,'B-1 On-Site Hedge Baseline'!$U$10:$U$257)</f>
        <v>0</v>
      </c>
      <c r="K160" s="358">
        <f>SUMIF('B-2 On-Site Hedge Creation'!$D$12:$D$259,'G-2 Habitat groups'!A160,'B-2 On-Site Hedge Creation'!$E$12:$E$259)</f>
        <v>0</v>
      </c>
      <c r="L160" s="358">
        <f>SUMIF('B-2 On-Site Hedge Creation'!$D$12:$D$259,'G-2 Habitat groups'!A160,'B-2 On-Site Hedge Creation'!$W$12:$W$259)</f>
        <v>0</v>
      </c>
      <c r="M160" s="358">
        <f>SUMIF('B-3 On-Site Hedge Enhancement'!$M$12:$M$257,'G-2 Habitat groups'!A160,'B-3 On-Site Hedge Enhancement'!$P$12:$P$257)</f>
        <v>0</v>
      </c>
      <c r="N160" s="358">
        <f>SUMIF('B-3 On-Site Hedge Enhancement'!$M$12:$M$257,'G-2 Habitat groups'!A160,'B-3 On-Site Hedge Enhancement'!$AH$12:$AH$257)</f>
        <v>0</v>
      </c>
      <c r="O160" s="358">
        <f t="shared" si="107"/>
        <v>0.2</v>
      </c>
      <c r="P160" s="358">
        <f t="shared" si="108"/>
        <v>0.60000000000000009</v>
      </c>
      <c r="Q160" s="358">
        <f t="shared" si="109"/>
        <v>0</v>
      </c>
      <c r="R160" s="358">
        <f t="shared" si="110"/>
        <v>0</v>
      </c>
      <c r="S160" s="358">
        <f>SUMIF('E-1 Off-Site Hedge Baseline'!$D$10:$D$257,'G-2 Habitat groups'!A160,'E-1 Off-Site Hedge Baseline'!$E$10:$E$257)</f>
        <v>0</v>
      </c>
      <c r="T160" s="358">
        <f>SUMIF('E-1 Off-Site Hedge Baseline'!$D$10:$D$257,'G-2 Habitat groups'!A160,'E-1 Off-Site Hedge Baseline'!$Q$10:$Q$257)</f>
        <v>0</v>
      </c>
      <c r="U160" s="358">
        <f>SUMIF('E-1 Off-Site Hedge Baseline'!$D$10:$D$257,'G-2 Habitat groups'!A160,'E-1 Off-Site Hedge Baseline'!$S$10:$S$257)</f>
        <v>0</v>
      </c>
      <c r="V160" s="358">
        <f>SUMIF('E-1 Off-Site Hedge Baseline'!$D$10:$D$257,'G-2 Habitat groups'!A160,'E-1 Off-Site Hedge Baseline'!$U$10:$U$257)</f>
        <v>0</v>
      </c>
      <c r="W160" s="358">
        <f>SUMIF('E-2 Off-Site Hedge Creation'!$D$12:$D$259,'G-2 Habitat groups'!A160,'E-2 Off-Site Hedge Creation'!$E$12:$E$259)</f>
        <v>0</v>
      </c>
      <c r="X160" s="358">
        <f>SUMIF('E-2 Off-Site Hedge Creation'!$D$12:$D$259,'G-2 Habitat groups'!A160,'E-2 Off-Site Hedge Creation'!$Z$12:$Z$259)</f>
        <v>0</v>
      </c>
      <c r="Y160" s="358">
        <f>SUMIF('E-3 Off-Site Hedge Enhancement'!$M$12:$M$259,'G-2 Habitat groups'!A160,'E-3 Off-Site Hedge Enhancement'!$P$12:$P$259)</f>
        <v>0</v>
      </c>
      <c r="Z160" s="358">
        <f>SUMIF('E-3 Off-Site Hedge Enhancement'!$M$12:$M$259,'G-2 Habitat groups'!A160,'E-3 Off-Site Hedge Enhancement'!$AK$12:$AK$259)</f>
        <v>0</v>
      </c>
      <c r="AA160" s="358">
        <f t="shared" si="115"/>
        <v>0</v>
      </c>
      <c r="AB160" s="358">
        <f t="shared" si="116"/>
        <v>0</v>
      </c>
      <c r="AC160" s="358">
        <f t="shared" si="111"/>
        <v>0</v>
      </c>
      <c r="AD160" s="358">
        <f t="shared" si="112"/>
        <v>0</v>
      </c>
      <c r="AE160" s="358">
        <f t="shared" si="113"/>
        <v>0</v>
      </c>
      <c r="AF160" s="358">
        <f t="shared" si="114"/>
        <v>0</v>
      </c>
    </row>
    <row r="161" spans="1:32">
      <c r="A161" s="79" t="str">
        <f>'G-6 Hedgerow Data'!B14</f>
        <v>Line of trees - associated with bank or ditch</v>
      </c>
      <c r="B161" s="68" t="s">
        <v>1008</v>
      </c>
      <c r="C161" s="68" t="str">
        <f>'G-6 Hedgerow Data'!C14</f>
        <v>Low</v>
      </c>
      <c r="D161" s="68" t="str">
        <f>'G-6 Hedgerow Data'!AH14</f>
        <v>Same distinctiveness band or better</v>
      </c>
      <c r="E161" s="358">
        <f>SUMIF('B-1 On-Site Hedge Baseline'!$D$10:$D$257,'G-2 Habitat groups'!A161,'B-1 On-Site Hedge Baseline'!$E$10:$E$257)</f>
        <v>0</v>
      </c>
      <c r="F161" s="358">
        <f>SUMIF('B-1 On-Site Hedge Baseline'!$D$10:$D$257,'G-2 Habitat groups'!A161,'B-1 On-Site Hedge Baseline'!$N$10:$N$257)</f>
        <v>0</v>
      </c>
      <c r="G161" s="358">
        <f>SUMIF('B-1 On-Site Hedge Baseline'!$D$10:$D$257,'G-2 Habitat groups'!A161,'B-1 On-Site Hedge Baseline'!$P$10:$P$257)</f>
        <v>0</v>
      </c>
      <c r="H161" s="358">
        <f>SUMIF('B-1 On-Site Hedge Baseline'!$D$10:$D$257,'G-2 Habitat groups'!A161,'B-1 On-Site Hedge Baseline'!$R$10:$R$257)</f>
        <v>0</v>
      </c>
      <c r="I161" s="358">
        <f>SUMIF('B-1 On-Site Hedge Baseline'!$D$10:$D$257,'G-2 Habitat groups'!A161,'B-1 On-Site Hedge Baseline'!$T$10:$T$257)</f>
        <v>0</v>
      </c>
      <c r="J161" s="439">
        <f>SUMIF('B-1 On-Site Hedge Baseline'!$D$10:$D$257,'G-2 Habitat groups'!A161,'B-1 On-Site Hedge Baseline'!$U$10:$U$257)</f>
        <v>0</v>
      </c>
      <c r="K161" s="358">
        <f>SUMIF('B-2 On-Site Hedge Creation'!$D$12:$D$259,'G-2 Habitat groups'!A161,'B-2 On-Site Hedge Creation'!$E$12:$E$259)</f>
        <v>0</v>
      </c>
      <c r="L161" s="358">
        <f>SUMIF('B-2 On-Site Hedge Creation'!$D$12:$D$259,'G-2 Habitat groups'!A161,'B-2 On-Site Hedge Creation'!$W$12:$W$259)</f>
        <v>0</v>
      </c>
      <c r="M161" s="358">
        <f>SUMIF('B-3 On-Site Hedge Enhancement'!$M$12:$M$257,'G-2 Habitat groups'!A161,'B-3 On-Site Hedge Enhancement'!$P$12:$P$257)</f>
        <v>0</v>
      </c>
      <c r="N161" s="358">
        <f>SUMIF('B-3 On-Site Hedge Enhancement'!$M$12:$M$257,'G-2 Habitat groups'!A161,'B-3 On-Site Hedge Enhancement'!$AH$12:$AH$257)</f>
        <v>0</v>
      </c>
      <c r="O161" s="358">
        <f t="shared" si="107"/>
        <v>0</v>
      </c>
      <c r="P161" s="358">
        <f t="shared" si="108"/>
        <v>0</v>
      </c>
      <c r="Q161" s="358">
        <f t="shared" si="109"/>
        <v>0</v>
      </c>
      <c r="R161" s="358">
        <f t="shared" si="110"/>
        <v>0</v>
      </c>
      <c r="S161" s="358">
        <f>SUMIF('E-1 Off-Site Hedge Baseline'!$D$10:$D$257,'G-2 Habitat groups'!A161,'E-1 Off-Site Hedge Baseline'!$E$10:$E$257)</f>
        <v>0</v>
      </c>
      <c r="T161" s="358">
        <f>SUMIF('E-1 Off-Site Hedge Baseline'!$D$10:$D$257,'G-2 Habitat groups'!A161,'E-1 Off-Site Hedge Baseline'!$Q$10:$Q$257)</f>
        <v>0</v>
      </c>
      <c r="U161" s="358">
        <f>SUMIF('E-1 Off-Site Hedge Baseline'!$D$10:$D$257,'G-2 Habitat groups'!A161,'E-1 Off-Site Hedge Baseline'!$S$10:$S$257)</f>
        <v>0</v>
      </c>
      <c r="V161" s="358">
        <f>SUMIF('E-1 Off-Site Hedge Baseline'!$D$10:$D$257,'G-2 Habitat groups'!A161,'E-1 Off-Site Hedge Baseline'!$U$10:$U$257)</f>
        <v>0</v>
      </c>
      <c r="W161" s="358">
        <f>SUMIF('E-2 Off-Site Hedge Creation'!$D$12:$D$259,'G-2 Habitat groups'!A161,'E-2 Off-Site Hedge Creation'!$E$12:$E$259)</f>
        <v>0</v>
      </c>
      <c r="X161" s="358">
        <f>SUMIF('E-2 Off-Site Hedge Creation'!$D$12:$D$259,'G-2 Habitat groups'!A161,'E-2 Off-Site Hedge Creation'!$Z$12:$Z$259)</f>
        <v>0</v>
      </c>
      <c r="Y161" s="358">
        <f>SUMIF('E-3 Off-Site Hedge Enhancement'!$M$12:$M$259,'G-2 Habitat groups'!A161,'E-3 Off-Site Hedge Enhancement'!$P$12:$P$259)</f>
        <v>0</v>
      </c>
      <c r="Z161" s="358">
        <f>SUMIF('E-3 Off-Site Hedge Enhancement'!$M$12:$M$259,'G-2 Habitat groups'!A161,'E-3 Off-Site Hedge Enhancement'!$AK$12:$AK$259)</f>
        <v>0</v>
      </c>
      <c r="AA161" s="358">
        <f t="shared" si="115"/>
        <v>0</v>
      </c>
      <c r="AB161" s="358">
        <f t="shared" si="116"/>
        <v>0</v>
      </c>
      <c r="AC161" s="358">
        <f t="shared" si="111"/>
        <v>0</v>
      </c>
      <c r="AD161" s="358">
        <f t="shared" si="112"/>
        <v>0</v>
      </c>
      <c r="AE161" s="358">
        <f t="shared" si="113"/>
        <v>0</v>
      </c>
      <c r="AF161" s="358">
        <f t="shared" si="114"/>
        <v>0</v>
      </c>
    </row>
    <row r="162" spans="1:32">
      <c r="A162" s="79" t="str">
        <f>'G-6 Hedgerow Data'!B15</f>
        <v>Non-native and ornamental hedgerow</v>
      </c>
      <c r="B162" s="68" t="s">
        <v>1008</v>
      </c>
      <c r="C162" s="68" t="str">
        <f>'G-6 Hedgerow Data'!C15</f>
        <v>V.Low</v>
      </c>
      <c r="D162" s="68" t="str">
        <f>'G-6 Hedgerow Data'!AH15</f>
        <v>Same distinctiveness band or better</v>
      </c>
      <c r="E162" s="358">
        <f>SUMIF('B-1 On-Site Hedge Baseline'!$D$10:$D$257,'G-2 Habitat groups'!A162,'B-1 On-Site Hedge Baseline'!$E$10:$E$257)</f>
        <v>0.6</v>
      </c>
      <c r="F162" s="358">
        <f>SUMIF('B-1 On-Site Hedge Baseline'!$D$10:$D$257,'G-2 Habitat groups'!A162,'B-1 On-Site Hedge Baseline'!$N$10:$N$257)</f>
        <v>0.6</v>
      </c>
      <c r="G162" s="358">
        <f>SUMIF('B-1 On-Site Hedge Baseline'!$D$10:$D$257,'G-2 Habitat groups'!A162,'B-1 On-Site Hedge Baseline'!$P$10:$P$257)</f>
        <v>0.6</v>
      </c>
      <c r="H162" s="358">
        <f>SUMIF('B-1 On-Site Hedge Baseline'!$D$10:$D$257,'G-2 Habitat groups'!A162,'B-1 On-Site Hedge Baseline'!$R$10:$R$257)</f>
        <v>0.6</v>
      </c>
      <c r="I162" s="358">
        <f>SUMIF('B-1 On-Site Hedge Baseline'!$D$10:$D$257,'G-2 Habitat groups'!A162,'B-1 On-Site Hedge Baseline'!$T$10:$T$257)</f>
        <v>0</v>
      </c>
      <c r="J162" s="439">
        <f>SUMIF('B-1 On-Site Hedge Baseline'!$D$10:$D$257,'G-2 Habitat groups'!A162,'B-1 On-Site Hedge Baseline'!$U$10:$U$257)</f>
        <v>0</v>
      </c>
      <c r="K162" s="358">
        <f>SUMIF('B-2 On-Site Hedge Creation'!$D$12:$D$259,'G-2 Habitat groups'!A162,'B-2 On-Site Hedge Creation'!$E$12:$E$259)</f>
        <v>0</v>
      </c>
      <c r="L162" s="358">
        <f>SUMIF('B-2 On-Site Hedge Creation'!$D$12:$D$259,'G-2 Habitat groups'!A162,'B-2 On-Site Hedge Creation'!$W$12:$W$259)</f>
        <v>0</v>
      </c>
      <c r="M162" s="358">
        <f>SUMIF('B-3 On-Site Hedge Enhancement'!$M$12:$M$257,'G-2 Habitat groups'!A162,'B-3 On-Site Hedge Enhancement'!$P$12:$P$257)</f>
        <v>0</v>
      </c>
      <c r="N162" s="358">
        <f>SUMIF('B-3 On-Site Hedge Enhancement'!$M$12:$M$257,'G-2 Habitat groups'!A162,'B-3 On-Site Hedge Enhancement'!$AH$12:$AH$257)</f>
        <v>0</v>
      </c>
      <c r="O162" s="358">
        <f t="shared" si="107"/>
        <v>0.6</v>
      </c>
      <c r="P162" s="358">
        <f t="shared" si="108"/>
        <v>0.6</v>
      </c>
      <c r="Q162" s="358">
        <f t="shared" si="109"/>
        <v>0</v>
      </c>
      <c r="R162" s="358">
        <f t="shared" si="110"/>
        <v>0</v>
      </c>
      <c r="S162" s="358">
        <f>SUMIF('E-1 Off-Site Hedge Baseline'!$D$10:$D$257,'G-2 Habitat groups'!A162,'E-1 Off-Site Hedge Baseline'!$E$10:$E$257)</f>
        <v>0</v>
      </c>
      <c r="T162" s="358">
        <f>SUMIF('E-1 Off-Site Hedge Baseline'!$D$10:$D$257,'G-2 Habitat groups'!A162,'E-1 Off-Site Hedge Baseline'!$Q$10:$Q$257)</f>
        <v>0</v>
      </c>
      <c r="U162" s="358">
        <f>SUMIF('E-1 Off-Site Hedge Baseline'!$D$10:$D$257,'G-2 Habitat groups'!A162,'E-1 Off-Site Hedge Baseline'!$S$10:$S$257)</f>
        <v>0</v>
      </c>
      <c r="V162" s="358">
        <f>SUMIF('E-1 Off-Site Hedge Baseline'!$D$10:$D$257,'G-2 Habitat groups'!A162,'E-1 Off-Site Hedge Baseline'!$U$10:$U$257)</f>
        <v>0</v>
      </c>
      <c r="W162" s="358">
        <f>SUMIF('E-2 Off-Site Hedge Creation'!$D$12:$D$259,'G-2 Habitat groups'!A162,'E-2 Off-Site Hedge Creation'!$E$12:$E$259)</f>
        <v>0</v>
      </c>
      <c r="X162" s="358">
        <f>SUMIF('E-2 Off-Site Hedge Creation'!$D$12:$D$259,'G-2 Habitat groups'!A162,'E-2 Off-Site Hedge Creation'!$Z$12:$Z$259)</f>
        <v>0</v>
      </c>
      <c r="Y162" s="358">
        <f>SUMIF('E-3 Off-Site Hedge Enhancement'!$M$12:$M$259,'G-2 Habitat groups'!A162,'E-3 Off-Site Hedge Enhancement'!$P$12:$P$259)</f>
        <v>0</v>
      </c>
      <c r="Z162" s="358">
        <f>SUMIF('E-3 Off-Site Hedge Enhancement'!$M$12:$M$259,'G-2 Habitat groups'!A162,'E-3 Off-Site Hedge Enhancement'!$AK$12:$AK$259)</f>
        <v>0</v>
      </c>
      <c r="AA162" s="358">
        <f t="shared" si="115"/>
        <v>0</v>
      </c>
      <c r="AB162" s="358">
        <f t="shared" si="116"/>
        <v>0</v>
      </c>
      <c r="AC162" s="358">
        <f t="shared" si="111"/>
        <v>0</v>
      </c>
      <c r="AD162" s="358">
        <f t="shared" si="112"/>
        <v>0</v>
      </c>
      <c r="AE162" s="358">
        <f t="shared" si="113"/>
        <v>0</v>
      </c>
      <c r="AF162" s="358">
        <f t="shared" si="114"/>
        <v>0</v>
      </c>
    </row>
    <row r="167" spans="1:32" ht="27.75">
      <c r="A167" s="262" t="s">
        <v>59</v>
      </c>
    </row>
    <row r="170" spans="1:32" ht="23.25">
      <c r="A170" s="77">
        <v>1</v>
      </c>
      <c r="B170" s="77">
        <v>2</v>
      </c>
      <c r="C170" s="77">
        <v>3</v>
      </c>
      <c r="D170" s="77">
        <v>4</v>
      </c>
      <c r="E170" s="77">
        <v>5</v>
      </c>
      <c r="F170" s="77">
        <v>6</v>
      </c>
      <c r="G170" s="77">
        <v>7</v>
      </c>
      <c r="H170" s="77">
        <v>8</v>
      </c>
      <c r="I170" s="77">
        <v>9</v>
      </c>
      <c r="J170" s="77">
        <v>10</v>
      </c>
      <c r="K170" s="77">
        <v>11</v>
      </c>
      <c r="L170" s="77">
        <v>12</v>
      </c>
      <c r="M170" s="77">
        <v>13</v>
      </c>
      <c r="N170" s="77">
        <v>14</v>
      </c>
      <c r="O170" s="77">
        <v>15</v>
      </c>
      <c r="P170" s="77">
        <v>16</v>
      </c>
      <c r="Q170" s="77">
        <v>17</v>
      </c>
      <c r="R170" s="77">
        <v>18</v>
      </c>
      <c r="S170" s="77">
        <v>19</v>
      </c>
      <c r="T170" s="77">
        <v>20</v>
      </c>
      <c r="U170" s="77">
        <v>21</v>
      </c>
      <c r="V170" s="77">
        <v>22</v>
      </c>
      <c r="W170" s="77">
        <v>23</v>
      </c>
      <c r="X170" s="77">
        <v>24</v>
      </c>
      <c r="Y170" s="77">
        <v>25</v>
      </c>
      <c r="Z170" s="77">
        <v>26</v>
      </c>
      <c r="AA170" s="77">
        <v>27</v>
      </c>
      <c r="AB170" s="77">
        <v>28</v>
      </c>
      <c r="AC170" s="77">
        <v>29</v>
      </c>
      <c r="AD170" s="77">
        <v>30</v>
      </c>
      <c r="AE170" s="77">
        <v>31</v>
      </c>
      <c r="AF170" s="77">
        <v>32</v>
      </c>
    </row>
    <row r="171" spans="1:32" ht="71.25">
      <c r="A171" s="78" t="s">
        <v>1010</v>
      </c>
      <c r="B171" s="78" t="s">
        <v>220</v>
      </c>
      <c r="C171" s="78" t="s">
        <v>991</v>
      </c>
      <c r="D171" s="78" t="s">
        <v>934</v>
      </c>
      <c r="E171" s="78" t="s">
        <v>992</v>
      </c>
      <c r="F171" s="78" t="s">
        <v>936</v>
      </c>
      <c r="G171" s="78" t="s">
        <v>993</v>
      </c>
      <c r="H171" s="78" t="s">
        <v>994</v>
      </c>
      <c r="I171" s="78" t="s">
        <v>1011</v>
      </c>
      <c r="J171" s="78" t="s">
        <v>1012</v>
      </c>
      <c r="K171" s="78" t="s">
        <v>996</v>
      </c>
      <c r="L171" s="78" t="s">
        <v>942</v>
      </c>
      <c r="M171" s="78" t="s">
        <v>997</v>
      </c>
      <c r="N171" s="78" t="s">
        <v>944</v>
      </c>
      <c r="O171" s="78" t="s">
        <v>998</v>
      </c>
      <c r="P171" s="78" t="s">
        <v>946</v>
      </c>
      <c r="Q171" s="78" t="s">
        <v>999</v>
      </c>
      <c r="R171" s="78" t="s">
        <v>948</v>
      </c>
      <c r="S171" s="78" t="s">
        <v>1000</v>
      </c>
      <c r="T171" s="78" t="s">
        <v>950</v>
      </c>
      <c r="U171" s="78" t="s">
        <v>1001</v>
      </c>
      <c r="V171" s="78" t="s">
        <v>952</v>
      </c>
      <c r="W171" s="78" t="s">
        <v>1002</v>
      </c>
      <c r="X171" s="78" t="s">
        <v>954</v>
      </c>
      <c r="Y171" s="78" t="s">
        <v>1003</v>
      </c>
      <c r="Z171" s="78" t="s">
        <v>1004</v>
      </c>
      <c r="AA171" s="78" t="s">
        <v>1005</v>
      </c>
      <c r="AB171" s="78" t="s">
        <v>958</v>
      </c>
      <c r="AC171" s="78" t="s">
        <v>1006</v>
      </c>
      <c r="AD171" s="78" t="s">
        <v>960</v>
      </c>
      <c r="AE171" s="78" t="s">
        <v>1007</v>
      </c>
      <c r="AF171" s="78" t="s">
        <v>962</v>
      </c>
    </row>
    <row r="172" spans="1:32">
      <c r="A172" s="79" t="str">
        <f>'G-7 WaterC'' Data'!B4</f>
        <v>Priority habitat</v>
      </c>
      <c r="B172" s="68" t="s">
        <v>59</v>
      </c>
      <c r="C172" s="68" t="str">
        <f>'G-7 WaterC'' Data'!C4</f>
        <v>V.High</v>
      </c>
      <c r="D172" s="68" t="str">
        <f>'G-7 WaterC'' Data'!AU4</f>
        <v>Loss Unacceptable</v>
      </c>
      <c r="E172" s="358">
        <f>SUMIF('C-1 On-Site WaterC'' Baseline'!$D$10:$D$257,'G-2 Habitat groups'!A172,'C-1 On-Site WaterC'' Baseline'!$E$10:$E$257)</f>
        <v>0</v>
      </c>
      <c r="F172" s="358">
        <f>SUMIF('C-1 On-Site WaterC'' Baseline'!$D$10:$D$257,'G-2 Habitat groups'!A172,'C-1 On-Site WaterC'' Baseline'!$R$10:$R$257)</f>
        <v>0</v>
      </c>
      <c r="G172" s="358">
        <f>SUMIF('C-1 On-Site WaterC'' Baseline'!$D$10:$D$257,'G-2 Habitat groups'!A172,'C-1 On-Site WaterC'' Baseline'!$T$10:$T$257)</f>
        <v>0</v>
      </c>
      <c r="H172" s="358">
        <f>SUMIF('C-1 On-Site WaterC'' Baseline'!$D$10:$D$257,'G-2 Habitat groups'!A172,'C-1 On-Site WaterC'' Baseline'!$V$10:$V$257)</f>
        <v>0</v>
      </c>
      <c r="I172" s="358">
        <f>SUMIF('C-1 On-Site WaterC'' Baseline'!$D$10:$D$257,'G-2 Habitat groups'!A172,'C-1 On-Site WaterC'' Baseline'!$X$10:$X$257)</f>
        <v>0</v>
      </c>
      <c r="J172" s="358">
        <f>SUMIF('C-1 On-Site WaterC'' Baseline'!$D$10:$D$257,'G-2 Habitat groups'!A172,'C-1 On-Site WaterC'' Baseline'!$Y$10:$Y$257)</f>
        <v>0</v>
      </c>
      <c r="K172" s="358">
        <f>SUMIF('C-2 On-Site WaterC'' Creation'!$C$10:$C$257,'G-2 Habitat groups'!A172,'C-2 On-Site WaterC'' Creation'!$D$10:$D$257)</f>
        <v>0</v>
      </c>
      <c r="L172" s="358">
        <f>SUMIF('C-2 On-Site WaterC'' Creation'!$C$10:$C$257,'G-2 Habitat groups'!A172,'C-2 On-Site WaterC'' Creation'!$Z$10:$Z$257)</f>
        <v>0</v>
      </c>
      <c r="M172" s="358">
        <f>SUMIF('C-3 On-Site WaterC'' Enhancement'!$N$12:$N$257,'G-2 Habitat groups'!A172,'C-3 On-Site WaterC'' Enhancement'!$Q$12:$Q$257)</f>
        <v>0</v>
      </c>
      <c r="N172" s="358">
        <f>SUMIF('C-3 On-Site WaterC'' Enhancement'!$N$12:$N$257,'G-2 Habitat groups'!A172,'C-3 On-Site WaterC'' Enhancement'!$AM$12:$AM$257)</f>
        <v>0</v>
      </c>
      <c r="O172" s="358">
        <f t="shared" ref="O172:P176" si="117">G172+K172+M172</f>
        <v>0</v>
      </c>
      <c r="P172" s="358">
        <f t="shared" si="117"/>
        <v>0</v>
      </c>
      <c r="Q172" s="358">
        <f t="shared" ref="Q172:R176" si="118">O172-E172</f>
        <v>0</v>
      </c>
      <c r="R172" s="358">
        <f t="shared" si="118"/>
        <v>0</v>
      </c>
      <c r="S172" s="358">
        <f>SUMIF('F-1 Off-Site WaterC'' Baseline'!$D$10:$D$257,'G-2 Habitat groups'!A172,'F-1 Off-Site WaterC'' Baseline'!$E$10:$E$257)</f>
        <v>0</v>
      </c>
      <c r="T172" s="358">
        <f>SUMIF('F-1 Off-Site WaterC'' Baseline'!$D$10:$D$257,'G-2 Habitat groups'!A172,'F-1 Off-Site WaterC'' Baseline'!$U$10:$U$257)</f>
        <v>0</v>
      </c>
      <c r="U172" s="358">
        <f>SUMIF('F-1 Off-Site WaterC'' Baseline'!$D$10:$D$257,'G-2 Habitat groups'!A172,'F-1 Off-Site WaterC'' Baseline'!$W$10:$W$257)</f>
        <v>0</v>
      </c>
      <c r="V172" s="358">
        <f>SUMIF('F-1 Off-Site WaterC'' Baseline'!$D$10:$D$257,'G-2 Habitat groups'!A172,'F-1 Off-Site WaterC'' Baseline'!$Y$10:$Y$257)</f>
        <v>0</v>
      </c>
      <c r="W172" s="358">
        <f>SUMIF('F-2 Off-Site WaterC'' Creation'!$C$12:$C$259,'G-2 Habitat groups'!A172,'F-2 Off-Site WaterC'' Creation'!$D$12:$D$259)</f>
        <v>0</v>
      </c>
      <c r="X172" s="358">
        <f>SUMIF('F-2 Off-Site WaterC'' Creation'!$C$12:$C$259,'G-2 Habitat groups'!A172,'F-2 Off-Site WaterC'' Creation'!$AC$12:$AC$259)</f>
        <v>0</v>
      </c>
      <c r="Y172" s="358">
        <f>SUMIF('F-3 Off-Site WaterC Enhancement'!$N$12:$N$259,'G-2 Habitat groups'!A172,'F-3 Off-Site WaterC Enhancement'!$Q$12:$Q$259)</f>
        <v>0</v>
      </c>
      <c r="Z172" s="358">
        <f>SUMIF('F-3 Off-Site WaterC Enhancement'!$N$12:$N$259,'G-2 Habitat groups'!A172,'F-3 Off-Site WaterC Enhancement'!$AP$12:$AP$259)</f>
        <v>0</v>
      </c>
      <c r="AA172" s="358">
        <f t="shared" ref="AA172:AB176" si="119">U172+W172+Y172</f>
        <v>0</v>
      </c>
      <c r="AB172" s="358">
        <f t="shared" si="119"/>
        <v>0</v>
      </c>
      <c r="AC172" s="358">
        <f t="shared" ref="AC172:AD176" si="120">AA172-S172</f>
        <v>0</v>
      </c>
      <c r="AD172" s="358">
        <f t="shared" si="120"/>
        <v>0</v>
      </c>
      <c r="AE172" s="358">
        <f t="shared" ref="AE172:AF176" si="121">Q172+AC172</f>
        <v>0</v>
      </c>
      <c r="AF172" s="358">
        <f t="shared" si="121"/>
        <v>0</v>
      </c>
    </row>
    <row r="173" spans="1:32">
      <c r="A173" s="79" t="str">
        <f>'G-7 WaterC'' Data'!B5</f>
        <v>Other rivers and streams</v>
      </c>
      <c r="B173" s="68" t="s">
        <v>59</v>
      </c>
      <c r="C173" s="68" t="str">
        <f>'G-7 WaterC'' Data'!C5</f>
        <v>High</v>
      </c>
      <c r="D173" s="68" t="str">
        <f>'G-7 WaterC'' Data'!AU5</f>
        <v>Avoid</v>
      </c>
      <c r="E173" s="358">
        <f>SUMIF('C-1 On-Site WaterC'' Baseline'!$D$10:$D$257,'G-2 Habitat groups'!A173,'C-1 On-Site WaterC'' Baseline'!$E$10:$E$257)</f>
        <v>0</v>
      </c>
      <c r="F173" s="358">
        <f>SUMIF('C-1 On-Site WaterC'' Baseline'!$D$10:$D$257,'G-2 Habitat groups'!A173,'C-1 On-Site WaterC'' Baseline'!$R$10:$R$257)</f>
        <v>0</v>
      </c>
      <c r="G173" s="358">
        <f>SUMIF('C-1 On-Site WaterC'' Baseline'!$D$10:$D$257,'G-2 Habitat groups'!A173,'C-1 On-Site WaterC'' Baseline'!$T$10:$T$257)</f>
        <v>0</v>
      </c>
      <c r="H173" s="358">
        <f>SUMIF('C-1 On-Site WaterC'' Baseline'!$D$10:$D$257,'G-2 Habitat groups'!A173,'C-1 On-Site WaterC'' Baseline'!$V$10:$V$257)</f>
        <v>0</v>
      </c>
      <c r="I173" s="358">
        <f>SUMIF('C-1 On-Site WaterC'' Baseline'!$D$10:$D$257,'G-2 Habitat groups'!A173,'C-1 On-Site WaterC'' Baseline'!$X$10:$X$257)</f>
        <v>0</v>
      </c>
      <c r="J173" s="358">
        <f>SUMIF('C-1 On-Site WaterC'' Baseline'!$D$10:$D$257,'G-2 Habitat groups'!A173,'C-1 On-Site WaterC'' Baseline'!$Y$10:$Y$257)</f>
        <v>0</v>
      </c>
      <c r="K173" s="358">
        <f>SUMIF('C-2 On-Site WaterC'' Creation'!$C$10:$C$257,'G-2 Habitat groups'!A173,'C-2 On-Site WaterC'' Creation'!$D$10:$D$257)</f>
        <v>0</v>
      </c>
      <c r="L173" s="358">
        <f>SUMIF('C-2 On-Site WaterC'' Creation'!$C$10:$C$257,'G-2 Habitat groups'!A173,'C-2 On-Site WaterC'' Creation'!$Z$10:$Z$257)</f>
        <v>0</v>
      </c>
      <c r="M173" s="358">
        <f>SUMIF('C-3 On-Site WaterC'' Enhancement'!$N$12:$N$257,'G-2 Habitat groups'!A173,'C-3 On-Site WaterC'' Enhancement'!$Q$12:$Q$257)</f>
        <v>0</v>
      </c>
      <c r="N173" s="358">
        <f>SUMIF('C-3 On-Site WaterC'' Enhancement'!$N$12:$N$257,'G-2 Habitat groups'!A173,'C-3 On-Site WaterC'' Enhancement'!$AM$12:$AM$257)</f>
        <v>0</v>
      </c>
      <c r="O173" s="358">
        <f t="shared" si="117"/>
        <v>0</v>
      </c>
      <c r="P173" s="358">
        <f t="shared" si="117"/>
        <v>0</v>
      </c>
      <c r="Q173" s="358">
        <f t="shared" si="118"/>
        <v>0</v>
      </c>
      <c r="R173" s="358">
        <f t="shared" si="118"/>
        <v>0</v>
      </c>
      <c r="S173" s="358">
        <f>SUMIF('F-1 Off-Site WaterC'' Baseline'!$D$10:$D$257,'G-2 Habitat groups'!A173,'F-1 Off-Site WaterC'' Baseline'!$E$10:$E$257)</f>
        <v>0</v>
      </c>
      <c r="T173" s="358">
        <f>SUMIF('F-1 Off-Site WaterC'' Baseline'!$D$10:$D$257,'G-2 Habitat groups'!A173,'F-1 Off-Site WaterC'' Baseline'!$U$10:$U$257)</f>
        <v>0</v>
      </c>
      <c r="U173" s="358">
        <f>SUMIF('F-1 Off-Site WaterC'' Baseline'!$D$10:$D$257,'G-2 Habitat groups'!A173,'F-1 Off-Site WaterC'' Baseline'!$W$10:$W$257)</f>
        <v>0</v>
      </c>
      <c r="V173" s="358">
        <f>SUMIF('F-1 Off-Site WaterC'' Baseline'!$D$10:$D$257,'G-2 Habitat groups'!A173,'F-1 Off-Site WaterC'' Baseline'!$Y$10:$Y$257)</f>
        <v>0</v>
      </c>
      <c r="W173" s="358">
        <f>SUMIF('F-2 Off-Site WaterC'' Creation'!$C$12:$C$259,'G-2 Habitat groups'!A173,'F-2 Off-Site WaterC'' Creation'!$D$12:$D$259)</f>
        <v>0</v>
      </c>
      <c r="X173" s="358">
        <f>SUMIF('F-2 Off-Site WaterC'' Creation'!$C$12:$C$259,'G-2 Habitat groups'!A173,'F-2 Off-Site WaterC'' Creation'!$AC$12:$AC$259)</f>
        <v>0</v>
      </c>
      <c r="Y173" s="358">
        <f>SUMIF('F-3 Off-Site WaterC Enhancement'!$N$12:$N$259,'G-2 Habitat groups'!A173,'F-3 Off-Site WaterC Enhancement'!$Q$12:$Q$259)</f>
        <v>0</v>
      </c>
      <c r="Z173" s="358">
        <f>SUMIF('F-3 Off-Site WaterC Enhancement'!$N$12:$N$259,'G-2 Habitat groups'!A173,'F-3 Off-Site WaterC Enhancement'!$AP$12:$AP$259)</f>
        <v>0</v>
      </c>
      <c r="AA173" s="358">
        <f t="shared" si="119"/>
        <v>0</v>
      </c>
      <c r="AB173" s="358">
        <f t="shared" si="119"/>
        <v>0</v>
      </c>
      <c r="AC173" s="358">
        <f t="shared" si="120"/>
        <v>0</v>
      </c>
      <c r="AD173" s="358">
        <f t="shared" si="120"/>
        <v>0</v>
      </c>
      <c r="AE173" s="358">
        <f t="shared" si="121"/>
        <v>0</v>
      </c>
      <c r="AF173" s="358">
        <f t="shared" si="121"/>
        <v>0</v>
      </c>
    </row>
    <row r="174" spans="1:32">
      <c r="A174" s="79" t="str">
        <f>'G-7 WaterC'' Data'!B6</f>
        <v>Ditches</v>
      </c>
      <c r="B174" s="68" t="s">
        <v>59</v>
      </c>
      <c r="C174" s="68" t="str">
        <f>'G-7 WaterC'' Data'!C6</f>
        <v>Medium</v>
      </c>
      <c r="D174" s="68" t="str">
        <f>'G-7 WaterC'' Data'!AU6</f>
        <v>Avoid, Mitigate or Compensate</v>
      </c>
      <c r="E174" s="358">
        <f>SUMIF('C-1 On-Site WaterC'' Baseline'!$D$10:$D$257,'G-2 Habitat groups'!A174,'C-1 On-Site WaterC'' Baseline'!$E$10:$E$257)</f>
        <v>0</v>
      </c>
      <c r="F174" s="358">
        <f>SUMIF('C-1 On-Site WaterC'' Baseline'!$D$10:$D$257,'G-2 Habitat groups'!A174,'C-1 On-Site WaterC'' Baseline'!$R$10:$R$257)</f>
        <v>0</v>
      </c>
      <c r="G174" s="358">
        <f>SUMIF('C-1 On-Site WaterC'' Baseline'!$D$10:$D$257,'G-2 Habitat groups'!A174,'C-1 On-Site WaterC'' Baseline'!$T$10:$T$257)</f>
        <v>0</v>
      </c>
      <c r="H174" s="358">
        <f>SUMIF('C-1 On-Site WaterC'' Baseline'!$D$10:$D$257,'G-2 Habitat groups'!A174,'C-1 On-Site WaterC'' Baseline'!$V$10:$V$257)</f>
        <v>0</v>
      </c>
      <c r="I174" s="358">
        <f>SUMIF('C-1 On-Site WaterC'' Baseline'!$D$10:$D$257,'G-2 Habitat groups'!A174,'C-1 On-Site WaterC'' Baseline'!$X$10:$X$257)</f>
        <v>0</v>
      </c>
      <c r="J174" s="358">
        <f>SUMIF('C-1 On-Site WaterC'' Baseline'!$D$10:$D$257,'G-2 Habitat groups'!A174,'C-1 On-Site WaterC'' Baseline'!$Y$10:$Y$257)</f>
        <v>0</v>
      </c>
      <c r="K174" s="358">
        <f>SUMIF('C-2 On-Site WaterC'' Creation'!$C$10:$C$257,'G-2 Habitat groups'!A174,'C-2 On-Site WaterC'' Creation'!$D$10:$D$257)</f>
        <v>0</v>
      </c>
      <c r="L174" s="358">
        <f>SUMIF('C-2 On-Site WaterC'' Creation'!$C$10:$C$257,'G-2 Habitat groups'!A174,'C-2 On-Site WaterC'' Creation'!$Z$10:$Z$257)</f>
        <v>0</v>
      </c>
      <c r="M174" s="358">
        <f>SUMIF('C-3 On-Site WaterC'' Enhancement'!$N$12:$N$257,'G-2 Habitat groups'!A174,'C-3 On-Site WaterC'' Enhancement'!$Q$12:$Q$257)</f>
        <v>0</v>
      </c>
      <c r="N174" s="358">
        <f>SUMIF('C-3 On-Site WaterC'' Enhancement'!$N$12:$N$257,'G-2 Habitat groups'!A174,'C-3 On-Site WaterC'' Enhancement'!$AM$12:$AM$257)</f>
        <v>0</v>
      </c>
      <c r="O174" s="358">
        <f t="shared" si="117"/>
        <v>0</v>
      </c>
      <c r="P174" s="358">
        <f t="shared" si="117"/>
        <v>0</v>
      </c>
      <c r="Q174" s="358">
        <f t="shared" si="118"/>
        <v>0</v>
      </c>
      <c r="R174" s="358">
        <f t="shared" si="118"/>
        <v>0</v>
      </c>
      <c r="S174" s="358">
        <f>SUMIF('F-1 Off-Site WaterC'' Baseline'!$D$10:$D$257,'G-2 Habitat groups'!A174,'F-1 Off-Site WaterC'' Baseline'!$E$10:$E$257)</f>
        <v>0</v>
      </c>
      <c r="T174" s="358">
        <f>SUMIF('F-1 Off-Site WaterC'' Baseline'!$D$10:$D$257,'G-2 Habitat groups'!A174,'F-1 Off-Site WaterC'' Baseline'!$U$10:$U$257)</f>
        <v>0</v>
      </c>
      <c r="U174" s="358">
        <f>SUMIF('F-1 Off-Site WaterC'' Baseline'!$D$10:$D$257,'G-2 Habitat groups'!A174,'F-1 Off-Site WaterC'' Baseline'!$W$10:$W$257)</f>
        <v>0</v>
      </c>
      <c r="V174" s="358">
        <f>SUMIF('F-1 Off-Site WaterC'' Baseline'!$D$10:$D$257,'G-2 Habitat groups'!A174,'F-1 Off-Site WaterC'' Baseline'!$Y$10:$Y$257)</f>
        <v>0</v>
      </c>
      <c r="W174" s="358">
        <f>SUMIF('F-2 Off-Site WaterC'' Creation'!$C$12:$C$259,'G-2 Habitat groups'!A174,'F-2 Off-Site WaterC'' Creation'!$D$12:$D$259)</f>
        <v>0</v>
      </c>
      <c r="X174" s="358">
        <f>SUMIF('F-2 Off-Site WaterC'' Creation'!$C$12:$C$259,'G-2 Habitat groups'!A174,'F-2 Off-Site WaterC'' Creation'!$AC$12:$AC$259)</f>
        <v>0</v>
      </c>
      <c r="Y174" s="358">
        <f>SUMIF('F-3 Off-Site WaterC Enhancement'!$N$12:$N$259,'G-2 Habitat groups'!A174,'F-3 Off-Site WaterC Enhancement'!$Q$12:$Q$259)</f>
        <v>0</v>
      </c>
      <c r="Z174" s="358">
        <f>SUMIF('F-3 Off-Site WaterC Enhancement'!$N$12:$N$259,'G-2 Habitat groups'!A174,'F-3 Off-Site WaterC Enhancement'!$AP$12:$AP$259)</f>
        <v>0</v>
      </c>
      <c r="AA174" s="358">
        <f t="shared" si="119"/>
        <v>0</v>
      </c>
      <c r="AB174" s="358">
        <f t="shared" si="119"/>
        <v>0</v>
      </c>
      <c r="AC174" s="358">
        <f t="shared" si="120"/>
        <v>0</v>
      </c>
      <c r="AD174" s="358">
        <f t="shared" si="120"/>
        <v>0</v>
      </c>
      <c r="AE174" s="358">
        <f t="shared" si="121"/>
        <v>0</v>
      </c>
      <c r="AF174" s="358">
        <f t="shared" si="121"/>
        <v>0</v>
      </c>
    </row>
    <row r="175" spans="1:32">
      <c r="A175" s="79" t="str">
        <f>'G-7 WaterC'' Data'!B7</f>
        <v>Canals</v>
      </c>
      <c r="B175" s="68" t="s">
        <v>59</v>
      </c>
      <c r="C175" s="68" t="str">
        <f>'G-7 WaterC'' Data'!C7</f>
        <v>Medium</v>
      </c>
      <c r="D175" s="68" t="str">
        <f>'G-7 WaterC'' Data'!AU6</f>
        <v>Avoid, Mitigate or Compensate</v>
      </c>
      <c r="E175" s="358">
        <f>SUMIF('C-1 On-Site WaterC'' Baseline'!$D$10:$D$257,'G-2 Habitat groups'!A175,'C-1 On-Site WaterC'' Baseline'!$E$10:$E$257)</f>
        <v>0</v>
      </c>
      <c r="F175" s="358">
        <f>SUMIF('C-1 On-Site WaterC'' Baseline'!$D$10:$D$257,'G-2 Habitat groups'!A175,'C-1 On-Site WaterC'' Baseline'!$R$10:$R$257)</f>
        <v>0</v>
      </c>
      <c r="G175" s="358">
        <f>SUMIF('C-1 On-Site WaterC'' Baseline'!$D$10:$D$257,'G-2 Habitat groups'!A175,'C-1 On-Site WaterC'' Baseline'!$T$10:$T$257)</f>
        <v>0</v>
      </c>
      <c r="H175" s="358">
        <f>SUMIF('C-1 On-Site WaterC'' Baseline'!$D$10:$D$257,'G-2 Habitat groups'!A175,'C-1 On-Site WaterC'' Baseline'!$V$10:$V$257)</f>
        <v>0</v>
      </c>
      <c r="I175" s="358">
        <f>SUMIF('C-1 On-Site WaterC'' Baseline'!$D$10:$D$257,'G-2 Habitat groups'!A175,'C-1 On-Site WaterC'' Baseline'!$X$10:$X$257)</f>
        <v>0</v>
      </c>
      <c r="J175" s="358">
        <f>SUMIF('C-1 On-Site WaterC'' Baseline'!$D$10:$D$257,'G-2 Habitat groups'!A175,'C-1 On-Site WaterC'' Baseline'!$Y$10:$Y$257)</f>
        <v>0</v>
      </c>
      <c r="K175" s="358">
        <f>SUMIF('C-2 On-Site WaterC'' Creation'!$C$10:$C$257,'G-2 Habitat groups'!A175,'C-2 On-Site WaterC'' Creation'!$D$10:$D$257)</f>
        <v>0</v>
      </c>
      <c r="L175" s="358">
        <f>SUMIF('C-2 On-Site WaterC'' Creation'!$C$10:$C$257,'G-2 Habitat groups'!A175,'C-2 On-Site WaterC'' Creation'!$Z$10:$Z$257)</f>
        <v>0</v>
      </c>
      <c r="M175" s="358">
        <f>SUMIF('C-3 On-Site WaterC'' Enhancement'!$N$12:$N$257,'G-2 Habitat groups'!A175,'C-3 On-Site WaterC'' Enhancement'!$Q$12:$Q$257)</f>
        <v>0</v>
      </c>
      <c r="N175" s="358">
        <f>SUMIF('C-3 On-Site WaterC'' Enhancement'!$N$12:$N$257,'G-2 Habitat groups'!A175,'C-3 On-Site WaterC'' Enhancement'!$AM$12:$AM$257)</f>
        <v>0</v>
      </c>
      <c r="O175" s="358">
        <f t="shared" si="117"/>
        <v>0</v>
      </c>
      <c r="P175" s="358">
        <f t="shared" si="117"/>
        <v>0</v>
      </c>
      <c r="Q175" s="358">
        <f t="shared" si="118"/>
        <v>0</v>
      </c>
      <c r="R175" s="358">
        <f t="shared" si="118"/>
        <v>0</v>
      </c>
      <c r="S175" s="358">
        <f>SUMIF('F-1 Off-Site WaterC'' Baseline'!$D$10:$D$257,'G-2 Habitat groups'!A175,'F-1 Off-Site WaterC'' Baseline'!$E$10:$E$257)</f>
        <v>0</v>
      </c>
      <c r="T175" s="358">
        <f>SUMIF('F-1 Off-Site WaterC'' Baseline'!$D$10:$D$257,'G-2 Habitat groups'!A175,'F-1 Off-Site WaterC'' Baseline'!$U$10:$U$257)</f>
        <v>0</v>
      </c>
      <c r="U175" s="358">
        <f>SUMIF('F-1 Off-Site WaterC'' Baseline'!$D$10:$D$257,'G-2 Habitat groups'!A175,'F-1 Off-Site WaterC'' Baseline'!$W$10:$W$257)</f>
        <v>0</v>
      </c>
      <c r="V175" s="358">
        <f>SUMIF('F-1 Off-Site WaterC'' Baseline'!$D$10:$D$257,'G-2 Habitat groups'!A175,'F-1 Off-Site WaterC'' Baseline'!$Y$10:$Y$257)</f>
        <v>0</v>
      </c>
      <c r="W175" s="358">
        <f>SUMIF('F-2 Off-Site WaterC'' Creation'!$C$12:$C$259,'G-2 Habitat groups'!A175,'F-2 Off-Site WaterC'' Creation'!$D$12:$D$259)</f>
        <v>0</v>
      </c>
      <c r="X175" s="358">
        <f>SUMIF('F-2 Off-Site WaterC'' Creation'!$C$12:$C$259,'G-2 Habitat groups'!A175,'F-2 Off-Site WaterC'' Creation'!$AC$12:$AC$259)</f>
        <v>0</v>
      </c>
      <c r="Y175" s="358">
        <f>SUMIF('F-3 Off-Site WaterC Enhancement'!$N$12:$N$259,'G-2 Habitat groups'!A175,'F-3 Off-Site WaterC Enhancement'!$Q$12:$Q$259)</f>
        <v>0</v>
      </c>
      <c r="Z175" s="358">
        <f>SUMIF('F-3 Off-Site WaterC Enhancement'!$N$12:$N$259,'G-2 Habitat groups'!A175,'F-3 Off-Site WaterC Enhancement'!$AP$12:$AP$259)</f>
        <v>0</v>
      </c>
      <c r="AA175" s="358">
        <f t="shared" si="119"/>
        <v>0</v>
      </c>
      <c r="AB175" s="358">
        <f t="shared" si="119"/>
        <v>0</v>
      </c>
      <c r="AC175" s="358">
        <f t="shared" si="120"/>
        <v>0</v>
      </c>
      <c r="AD175" s="358">
        <f t="shared" si="120"/>
        <v>0</v>
      </c>
      <c r="AE175" s="358">
        <f t="shared" si="121"/>
        <v>0</v>
      </c>
      <c r="AF175" s="358">
        <f t="shared" si="121"/>
        <v>0</v>
      </c>
    </row>
    <row r="176" spans="1:32">
      <c r="A176" s="79" t="str">
        <f>'G-7 WaterC'' Data'!B8</f>
        <v>Culvert</v>
      </c>
      <c r="B176" s="68" t="s">
        <v>59</v>
      </c>
      <c r="C176" s="68" t="str">
        <f>'G-7 WaterC'' Data'!C8</f>
        <v>Low</v>
      </c>
      <c r="D176" s="68" t="str">
        <f>'G-7 WaterC'' Data'!AU7</f>
        <v>Mitigate or Compensate</v>
      </c>
      <c r="E176" s="358">
        <f>SUMIF('C-1 On-Site WaterC'' Baseline'!$D$10:$D$257,'G-2 Habitat groups'!A176,'C-1 On-Site WaterC'' Baseline'!$E$10:$E$257)</f>
        <v>0</v>
      </c>
      <c r="F176" s="358">
        <f>SUMIF('C-1 On-Site WaterC'' Baseline'!$D$10:$D$257,'G-2 Habitat groups'!A176,'C-1 On-Site WaterC'' Baseline'!$R$10:$R$257)</f>
        <v>0</v>
      </c>
      <c r="G176" s="358">
        <f>SUMIF('C-1 On-Site WaterC'' Baseline'!$D$10:$D$257,'G-2 Habitat groups'!A176,'C-1 On-Site WaterC'' Baseline'!$T$10:$T$257)</f>
        <v>0</v>
      </c>
      <c r="H176" s="358">
        <f>SUMIF('C-1 On-Site WaterC'' Baseline'!$D$10:$D$257,'G-2 Habitat groups'!A176,'C-1 On-Site WaterC'' Baseline'!$V$10:$V$257)</f>
        <v>0</v>
      </c>
      <c r="I176" s="358">
        <f>SUMIF('C-1 On-Site WaterC'' Baseline'!$D$10:$D$257,'G-2 Habitat groups'!A176,'C-1 On-Site WaterC'' Baseline'!$X$10:$X$257)</f>
        <v>0</v>
      </c>
      <c r="J176" s="358">
        <f>SUMIF('C-1 On-Site WaterC'' Baseline'!$D$10:$D$257,'G-2 Habitat groups'!A176,'C-1 On-Site WaterC'' Baseline'!$Y$10:$Y$257)</f>
        <v>0</v>
      </c>
      <c r="K176" s="358">
        <f>SUMIF('C-2 On-Site WaterC'' Creation'!$C$10:$C$257,'G-2 Habitat groups'!A176,'C-2 On-Site WaterC'' Creation'!$D$10:$D$257)</f>
        <v>0</v>
      </c>
      <c r="L176" s="358">
        <f>SUMIF('C-2 On-Site WaterC'' Creation'!$C$10:$C$257,'G-2 Habitat groups'!A176,'C-2 On-Site WaterC'' Creation'!$Z$10:$Z$257)</f>
        <v>0</v>
      </c>
      <c r="M176" s="358">
        <f>SUMIF('C-3 On-Site WaterC'' Enhancement'!$N$12:$N$257,'G-2 Habitat groups'!A176,'C-3 On-Site WaterC'' Enhancement'!$Q$12:$Q$257)</f>
        <v>0</v>
      </c>
      <c r="N176" s="358">
        <f>SUMIF('C-3 On-Site WaterC'' Enhancement'!$N$12:$N$257,'G-2 Habitat groups'!A176,'C-3 On-Site WaterC'' Enhancement'!$AM$12:$AM$257)</f>
        <v>0</v>
      </c>
      <c r="O176" s="439">
        <f t="shared" si="117"/>
        <v>0</v>
      </c>
      <c r="P176" s="439">
        <f t="shared" si="117"/>
        <v>0</v>
      </c>
      <c r="Q176" s="439">
        <f t="shared" si="118"/>
        <v>0</v>
      </c>
      <c r="R176" s="439">
        <f t="shared" si="118"/>
        <v>0</v>
      </c>
      <c r="S176" s="358">
        <f>SUMIF('F-1 Off-Site WaterC'' Baseline'!$D$10:$D$257,'G-2 Habitat groups'!A176,'F-1 Off-Site WaterC'' Baseline'!$E$10:$E$257)</f>
        <v>0</v>
      </c>
      <c r="T176" s="358">
        <f>SUMIF('F-1 Off-Site WaterC'' Baseline'!$D$10:$D$257,'G-2 Habitat groups'!A176,'F-1 Off-Site WaterC'' Baseline'!$U$10:$U$257)</f>
        <v>0</v>
      </c>
      <c r="U176" s="358">
        <f>SUMIF('F-1 Off-Site WaterC'' Baseline'!$D$10:$D$257,'G-2 Habitat groups'!A176,'F-1 Off-Site WaterC'' Baseline'!$W$10:$W$257)</f>
        <v>0</v>
      </c>
      <c r="V176" s="358">
        <f>SUMIF('F-1 Off-Site WaterC'' Baseline'!$D$10:$D$257,'G-2 Habitat groups'!A176,'F-1 Off-Site WaterC'' Baseline'!$Y$10:$Y$257)</f>
        <v>0</v>
      </c>
      <c r="W176" s="358">
        <f>SUMIF('F-2 Off-Site WaterC'' Creation'!$C$12:$C$259,'G-2 Habitat groups'!A176,'F-2 Off-Site WaterC'' Creation'!$D$12:$D$259)</f>
        <v>0</v>
      </c>
      <c r="X176" s="358">
        <f>SUMIF('F-2 Off-Site WaterC'' Creation'!$C$12:$C$259,'G-2 Habitat groups'!A176,'F-2 Off-Site WaterC'' Creation'!$AC$12:$AC$259)</f>
        <v>0</v>
      </c>
      <c r="Y176" s="358">
        <f>SUMIF('F-3 Off-Site WaterC Enhancement'!$N$12:$N$259,'G-2 Habitat groups'!A176,'F-3 Off-Site WaterC Enhancement'!$Q$12:$Q$259)</f>
        <v>0</v>
      </c>
      <c r="Z176" s="358">
        <f>SUMIF('F-3 Off-Site WaterC Enhancement'!$N$12:$N$259,'G-2 Habitat groups'!A176,'F-3 Off-Site WaterC Enhancement'!$AP$12:$AP$259)</f>
        <v>0</v>
      </c>
      <c r="AA176" s="439">
        <f t="shared" si="119"/>
        <v>0</v>
      </c>
      <c r="AB176" s="439">
        <f t="shared" si="119"/>
        <v>0</v>
      </c>
      <c r="AC176" s="439">
        <f t="shared" si="120"/>
        <v>0</v>
      </c>
      <c r="AD176" s="439">
        <f t="shared" si="120"/>
        <v>0</v>
      </c>
      <c r="AE176" s="439">
        <f t="shared" si="121"/>
        <v>0</v>
      </c>
      <c r="AF176" s="439">
        <f t="shared" si="121"/>
        <v>0</v>
      </c>
    </row>
  </sheetData>
  <sheetProtection algorithmName="SHA-512" hashValue="dHrQz6fCp793VNrSHihwBu0OUErnK2z2svwxPIvYf8sgFn5KnpOLHvcYEHIL2hgByzTAdjeI7S8KsdabzMgC+Q==" saltValue="GWpH7PfQ1ZiQUh4HywfnWg==" spinCount="100000" sheet="1" objects="1" scenarios="1"/>
  <customSheetViews>
    <customSheetView guid="{8BDA793C-C9C5-4FC6-A0A5-F1109F6D4F22}" state="hidden" topLeftCell="AS84">
      <selection activeCell="D14" sqref="D14"/>
    </customSheetView>
  </customSheetViews>
  <mergeCells count="4">
    <mergeCell ref="AU27:AU28"/>
    <mergeCell ref="AJ1:AP1"/>
    <mergeCell ref="AU1:BG1"/>
    <mergeCell ref="A1:AF1"/>
  </mergeCells>
  <conditionalFormatting sqref="R4:R140 AD4:AF140">
    <cfRule type="cellIs" dxfId="6" priority="16" operator="lessThan">
      <formula>0</formula>
    </cfRule>
  </conditionalFormatting>
  <conditionalFormatting sqref="R150:R162">
    <cfRule type="cellIs" dxfId="5" priority="6" operator="lessThan">
      <formula>0</formula>
    </cfRule>
  </conditionalFormatting>
  <conditionalFormatting sqref="AD150:AD162">
    <cfRule type="cellIs" dxfId="4" priority="5" operator="lessThan">
      <formula>0</formula>
    </cfRule>
  </conditionalFormatting>
  <conditionalFormatting sqref="AE150:AF162">
    <cfRule type="cellIs" dxfId="3" priority="4" operator="lessThan">
      <formula>0</formula>
    </cfRule>
  </conditionalFormatting>
  <conditionalFormatting sqref="AE172:AF176">
    <cfRule type="cellIs" dxfId="2" priority="1" operator="lessThan">
      <formula>0</formula>
    </cfRule>
  </conditionalFormatting>
  <conditionalFormatting sqref="R172:R176">
    <cfRule type="cellIs" dxfId="1" priority="3" operator="lessThan">
      <formula>0</formula>
    </cfRule>
  </conditionalFormatting>
  <conditionalFormatting sqref="AD172:AD176">
    <cfRule type="cellIs" dxfId="0" priority="2" operator="lessThan">
      <formula>0</formula>
    </cfRule>
  </conditionalFormatting>
  <pageMargins left="0.7" right="0.7" top="0.75" bottom="0.75" header="0.3" footer="0.3"/>
  <pageSetup paperSize="9" orientation="portrait" r:id="rId1"/>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Sheet18">
    <tabColor rgb="FFFFC000"/>
  </sheetPr>
  <dimension ref="A1:AH146"/>
  <sheetViews>
    <sheetView showGridLines="0" zoomScale="80" zoomScaleNormal="80" workbookViewId="0">
      <selection sqref="A1:E1"/>
    </sheetView>
  </sheetViews>
  <sheetFormatPr defaultColWidth="0" defaultRowHeight="15" zeroHeight="1"/>
  <cols>
    <col min="1" max="1" width="76.42578125" style="30" customWidth="1"/>
    <col min="2" max="2" width="28.7109375" style="30" bestFit="1" customWidth="1"/>
    <col min="3" max="3" width="18.5703125" style="30" bestFit="1" customWidth="1"/>
    <col min="4" max="4" width="30.5703125" style="30" bestFit="1" customWidth="1"/>
    <col min="5" max="5" width="18.5703125" style="30" bestFit="1" customWidth="1"/>
    <col min="6" max="7" width="9.28515625" style="30" customWidth="1"/>
    <col min="8" max="8" width="16.28515625" style="30" hidden="1" customWidth="1"/>
    <col min="9" max="9" width="32.7109375" style="30" hidden="1" customWidth="1"/>
    <col min="10" max="10" width="8.28515625" style="30" hidden="1" customWidth="1"/>
    <col min="11" max="11" width="9.28515625" style="30" customWidth="1"/>
    <col min="12" max="12" width="38.5703125" style="30" customWidth="1"/>
    <col min="13" max="13" width="26.28515625" style="30" customWidth="1"/>
    <col min="14" max="14" width="12" style="30" bestFit="1" customWidth="1"/>
    <col min="15" max="15" width="9.28515625" style="30" customWidth="1"/>
    <col min="16" max="16" width="11.7109375" style="30" bestFit="1" customWidth="1"/>
    <col min="17" max="17" width="9.28515625" style="30" customWidth="1"/>
    <col min="18" max="18" width="18.7109375" style="30" customWidth="1"/>
    <col min="19" max="19" width="40" style="30" customWidth="1"/>
    <col min="20" max="20" width="19.42578125" style="30" customWidth="1"/>
    <col min="21" max="21" width="9.28515625" style="30" customWidth="1"/>
    <col min="22" max="22" width="11.28515625" style="30" customWidth="1"/>
    <col min="23" max="23" width="12" style="30" bestFit="1" customWidth="1"/>
    <col min="24" max="24" width="14.28515625" style="30" bestFit="1" customWidth="1"/>
    <col min="25" max="25" width="17.7109375" style="30" bestFit="1" customWidth="1"/>
    <col min="26" max="26" width="10.28515625" style="30" bestFit="1" customWidth="1"/>
    <col min="27" max="28" width="9.28515625" style="30" customWidth="1"/>
    <col min="29" max="34" width="0" style="30" hidden="1" customWidth="1"/>
    <col min="35" max="16384" width="9.28515625" style="30" hidden="1"/>
  </cols>
  <sheetData>
    <row r="1" spans="1:26" ht="36.6" customHeight="1" thickBot="1">
      <c r="A1" s="1641" t="s">
        <v>1013</v>
      </c>
      <c r="B1" s="1642"/>
      <c r="C1" s="1642"/>
      <c r="D1" s="1642"/>
      <c r="E1" s="1643"/>
      <c r="J1" s="232"/>
      <c r="L1" s="1641" t="s">
        <v>1014</v>
      </c>
      <c r="M1" s="1642"/>
      <c r="N1" s="1643"/>
      <c r="P1" s="1641" t="s">
        <v>379</v>
      </c>
      <c r="Q1" s="1643"/>
    </row>
    <row r="2" spans="1:26" ht="42" customHeight="1" thickBot="1">
      <c r="A2" s="233" t="s">
        <v>933</v>
      </c>
      <c r="B2" s="164" t="s">
        <v>451</v>
      </c>
      <c r="C2" s="164" t="s">
        <v>410</v>
      </c>
      <c r="D2" s="164" t="s">
        <v>452</v>
      </c>
      <c r="E2" s="233" t="s">
        <v>410</v>
      </c>
      <c r="H2" s="1647" t="s">
        <v>1015</v>
      </c>
      <c r="I2" s="1648"/>
      <c r="J2" s="1649"/>
      <c r="L2" s="1644" t="s">
        <v>1016</v>
      </c>
      <c r="M2" s="1645"/>
      <c r="N2" s="1646"/>
      <c r="P2" s="233" t="s">
        <v>121</v>
      </c>
      <c r="Q2" s="233" t="s">
        <v>1017</v>
      </c>
      <c r="S2" s="1325" t="s">
        <v>1018</v>
      </c>
      <c r="T2" s="1327"/>
      <c r="W2" s="1641" t="s">
        <v>1019</v>
      </c>
      <c r="X2" s="1642"/>
      <c r="Y2" s="1642"/>
      <c r="Z2" s="1643"/>
    </row>
    <row r="3" spans="1:26">
      <c r="A3" s="85" t="str">
        <f>'G-1 All Habitats'!B103</f>
        <v>Coastal lagoons - Coastal lagoons</v>
      </c>
      <c r="B3" s="404" t="str">
        <f>'G-1 All Habitats'!N103</f>
        <v>Medium</v>
      </c>
      <c r="C3" s="404">
        <f>'G-1 All Habitats'!O103</f>
        <v>0.67</v>
      </c>
      <c r="D3" s="404" t="str">
        <f>'G-1 All Habitats'!P103</f>
        <v>Medium</v>
      </c>
      <c r="E3" s="404">
        <f>'G-1 All Habitats'!Q103</f>
        <v>0.67</v>
      </c>
      <c r="H3" s="78" t="s">
        <v>286</v>
      </c>
      <c r="I3" s="226" t="s">
        <v>1020</v>
      </c>
      <c r="J3" s="226" t="s">
        <v>1021</v>
      </c>
      <c r="L3" s="226" t="s">
        <v>1020</v>
      </c>
      <c r="M3" s="78" t="s">
        <v>271</v>
      </c>
      <c r="N3" s="226" t="s">
        <v>410</v>
      </c>
      <c r="P3" s="100" t="s">
        <v>216</v>
      </c>
      <c r="Q3" s="404">
        <v>1</v>
      </c>
      <c r="S3" s="226" t="s">
        <v>121</v>
      </c>
      <c r="T3" s="226" t="s">
        <v>410</v>
      </c>
      <c r="W3" s="233" t="s">
        <v>63</v>
      </c>
      <c r="X3" s="233" t="s">
        <v>1022</v>
      </c>
      <c r="Y3" s="233" t="s">
        <v>1023</v>
      </c>
      <c r="Z3" s="233" t="s">
        <v>1024</v>
      </c>
    </row>
    <row r="4" spans="1:26" ht="30">
      <c r="A4" s="85" t="str">
        <f>'G-1 All Habitats'!B112</f>
        <v>Coastal saltmarsh - Saltmarshes and saline reedbeds</v>
      </c>
      <c r="B4" s="404" t="str">
        <f>'G-1 All Habitats'!N112</f>
        <v>High</v>
      </c>
      <c r="C4" s="404">
        <f>'G-1 All Habitats'!O112</f>
        <v>0.33</v>
      </c>
      <c r="D4" s="404" t="str">
        <f>'G-1 All Habitats'!P112</f>
        <v>Medium</v>
      </c>
      <c r="E4" s="404">
        <f>'G-1 All Habitats'!Q112</f>
        <v>0.67</v>
      </c>
      <c r="H4" s="100" t="s">
        <v>213</v>
      </c>
      <c r="I4" s="116" t="s">
        <v>1025</v>
      </c>
      <c r="J4" s="155">
        <v>1.1499999999999999</v>
      </c>
      <c r="L4" s="100" t="s">
        <v>1026</v>
      </c>
      <c r="M4" s="382" t="s">
        <v>1027</v>
      </c>
      <c r="N4" s="404">
        <v>1.1499999999999999</v>
      </c>
      <c r="P4" s="100" t="s">
        <v>70</v>
      </c>
      <c r="Q4" s="404">
        <v>0.67</v>
      </c>
      <c r="S4" s="100" t="s">
        <v>1028</v>
      </c>
      <c r="T4" s="382">
        <v>1</v>
      </c>
      <c r="W4" s="79" t="s">
        <v>69</v>
      </c>
      <c r="X4" s="404">
        <v>0.3</v>
      </c>
      <c r="Y4" s="404">
        <f>X4*12</f>
        <v>3.5999999999999996</v>
      </c>
      <c r="Z4" s="495">
        <f>3.14159265358979*(Y4*Y4)/10000</f>
        <v>4.0715040790523672E-3</v>
      </c>
    </row>
    <row r="5" spans="1:26" ht="30">
      <c r="A5" s="85" t="str">
        <f>'G-1 All Habitats'!B3</f>
        <v>Cropland - Arable field margins cultivated annually</v>
      </c>
      <c r="B5" s="404" t="str">
        <f>'G-1 All Habitats'!N3</f>
        <v>Low</v>
      </c>
      <c r="C5" s="404">
        <f>'G-1 All Habitats'!O3</f>
        <v>1</v>
      </c>
      <c r="D5" s="404" t="str">
        <f>'G-1 All Habitats'!P3</f>
        <v>Low</v>
      </c>
      <c r="E5" s="404">
        <f>'G-1 All Habitats'!Q3</f>
        <v>1</v>
      </c>
      <c r="H5" s="100" t="s">
        <v>70</v>
      </c>
      <c r="I5" s="116" t="s">
        <v>1029</v>
      </c>
      <c r="J5" s="155">
        <v>1.1000000000000001</v>
      </c>
      <c r="L5" s="100" t="s">
        <v>1030</v>
      </c>
      <c r="M5" s="382" t="s">
        <v>1031</v>
      </c>
      <c r="N5" s="404">
        <v>1.1000000000000001</v>
      </c>
      <c r="P5" s="100" t="s">
        <v>213</v>
      </c>
      <c r="Q5" s="404">
        <v>0.33</v>
      </c>
      <c r="S5" s="100" t="s">
        <v>1032</v>
      </c>
      <c r="T5" s="382">
        <v>0.75</v>
      </c>
      <c r="W5" s="79" t="s">
        <v>70</v>
      </c>
      <c r="X5" s="404">
        <v>0.9</v>
      </c>
      <c r="Y5" s="404">
        <f>X5*12</f>
        <v>10.8</v>
      </c>
      <c r="Z5" s="495">
        <f>3.14159265358979*(Y5*Y5)/10000</f>
        <v>3.664353671147131E-2</v>
      </c>
    </row>
    <row r="6" spans="1:26" ht="30">
      <c r="A6" s="85" t="str">
        <f>'G-1 All Habitats'!B4</f>
        <v>Cropland - Arable field margins game bird mix</v>
      </c>
      <c r="B6" s="404" t="str">
        <f>'G-1 All Habitats'!N4</f>
        <v>Low</v>
      </c>
      <c r="C6" s="404">
        <f>'G-1 All Habitats'!O4</f>
        <v>1</v>
      </c>
      <c r="D6" s="404" t="str">
        <f>'G-1 All Habitats'!P4</f>
        <v>Low</v>
      </c>
      <c r="E6" s="404">
        <f>'G-1 All Habitats'!Q4</f>
        <v>1</v>
      </c>
      <c r="H6" s="234" t="s">
        <v>216</v>
      </c>
      <c r="I6" s="116" t="s">
        <v>1033</v>
      </c>
      <c r="J6" s="155">
        <v>1</v>
      </c>
      <c r="L6" s="100" t="s">
        <v>1034</v>
      </c>
      <c r="M6" s="382" t="s">
        <v>1035</v>
      </c>
      <c r="N6" s="404">
        <v>1</v>
      </c>
      <c r="P6" s="100" t="s">
        <v>211</v>
      </c>
      <c r="Q6" s="404">
        <v>0.1</v>
      </c>
      <c r="S6" s="265" t="s">
        <v>1036</v>
      </c>
      <c r="T6" s="382">
        <v>0.5</v>
      </c>
      <c r="W6" s="79" t="s">
        <v>71</v>
      </c>
      <c r="X6" s="404">
        <v>1.3</v>
      </c>
      <c r="Y6" s="404">
        <f>X6*12</f>
        <v>15.600000000000001</v>
      </c>
      <c r="Z6" s="495">
        <f>3.14159265358979*(Y6*Y6)/10000</f>
        <v>7.645379881776114E-2</v>
      </c>
    </row>
    <row r="7" spans="1:26" ht="49.9" customHeight="1">
      <c r="A7" s="85" t="str">
        <f>'G-1 All Habitats'!B5</f>
        <v>Cropland - Arable field margins pollen and nectar</v>
      </c>
      <c r="B7" s="404" t="str">
        <f>'G-1 All Habitats'!N5</f>
        <v>Low</v>
      </c>
      <c r="C7" s="404">
        <f>'G-1 All Habitats'!O5</f>
        <v>1</v>
      </c>
      <c r="D7" s="404" t="str">
        <f>'G-1 All Habitats'!P5</f>
        <v>Low</v>
      </c>
      <c r="E7" s="404">
        <f>'G-1 All Habitats'!Q5</f>
        <v>1</v>
      </c>
      <c r="H7" s="234" t="s">
        <v>1037</v>
      </c>
      <c r="I7" s="116" t="s">
        <v>1038</v>
      </c>
      <c r="J7" s="155">
        <v>1</v>
      </c>
      <c r="S7" s="265" t="s">
        <v>1039</v>
      </c>
      <c r="T7" s="404">
        <v>1</v>
      </c>
    </row>
    <row r="8" spans="1:26" ht="49.9" customHeight="1">
      <c r="A8" s="85" t="str">
        <f>'G-1 All Habitats'!B6</f>
        <v>Cropland - Arable field margins tussocky</v>
      </c>
      <c r="B8" s="404" t="str">
        <f>'G-1 All Habitats'!N6</f>
        <v>Low</v>
      </c>
      <c r="C8" s="404">
        <f>'G-1 All Habitats'!O6</f>
        <v>1</v>
      </c>
      <c r="D8" s="404" t="str">
        <f>'G-1 All Habitats'!P6</f>
        <v>Low</v>
      </c>
      <c r="E8" s="404">
        <f>'G-1 All Habitats'!Q6</f>
        <v>1</v>
      </c>
      <c r="S8" s="265" t="s">
        <v>1040</v>
      </c>
      <c r="T8" s="382">
        <v>1</v>
      </c>
    </row>
    <row r="9" spans="1:26" ht="49.9" customHeight="1">
      <c r="A9" s="85" t="str">
        <f>'G-1 All Habitats'!B7</f>
        <v>Cropland - Cereal crops</v>
      </c>
      <c r="B9" s="404" t="str">
        <f>'G-1 All Habitats'!N7</f>
        <v>Low</v>
      </c>
      <c r="C9" s="404">
        <f>'G-1 All Habitats'!O7</f>
        <v>1</v>
      </c>
      <c r="D9" s="404" t="str">
        <f>'G-1 All Habitats'!P7</f>
        <v>Low</v>
      </c>
      <c r="E9" s="404">
        <f>'G-1 All Habitats'!Q7</f>
        <v>1</v>
      </c>
      <c r="S9" s="265" t="s">
        <v>1041</v>
      </c>
      <c r="T9" s="382">
        <v>0.75</v>
      </c>
    </row>
    <row r="10" spans="1:26" ht="45">
      <c r="A10" s="85" t="str">
        <f>'G-1 All Habitats'!B8</f>
        <v>Cropland - Winter stubble</v>
      </c>
      <c r="B10" s="404" t="str">
        <f>'G-1 All Habitats'!N8</f>
        <v>Low</v>
      </c>
      <c r="C10" s="404">
        <f>'G-1 All Habitats'!O8</f>
        <v>1</v>
      </c>
      <c r="D10" s="404" t="str">
        <f>'G-1 All Habitats'!P8</f>
        <v>Low</v>
      </c>
      <c r="E10" s="404">
        <f>'G-1 All Habitats'!Q8</f>
        <v>1</v>
      </c>
      <c r="S10" s="265" t="s">
        <v>1042</v>
      </c>
      <c r="T10" s="382">
        <v>0.5</v>
      </c>
    </row>
    <row r="11" spans="1:26">
      <c r="A11" s="85" t="str">
        <f>'G-1 All Habitats'!B9</f>
        <v>Cropland - Horticulture</v>
      </c>
      <c r="B11" s="404" t="str">
        <f>'G-1 All Habitats'!N9</f>
        <v>Low</v>
      </c>
      <c r="C11" s="404">
        <f>'G-1 All Habitats'!O9</f>
        <v>1</v>
      </c>
      <c r="D11" s="404" t="str">
        <f>'G-1 All Habitats'!P9</f>
        <v>Low</v>
      </c>
      <c r="E11" s="404">
        <f>'G-1 All Habitats'!Q9</f>
        <v>1</v>
      </c>
    </row>
    <row r="12" spans="1:26">
      <c r="A12" s="85" t="str">
        <f>'G-1 All Habitats'!B10</f>
        <v>Cropland - Intensive orchards</v>
      </c>
      <c r="B12" s="404" t="str">
        <f>'G-1 All Habitats'!N10</f>
        <v>Low</v>
      </c>
      <c r="C12" s="404">
        <f>'G-1 All Habitats'!O10</f>
        <v>1</v>
      </c>
      <c r="D12" s="404" t="str">
        <f>'G-1 All Habitats'!P10</f>
        <v>Low</v>
      </c>
      <c r="E12" s="404">
        <f>'G-1 All Habitats'!Q10</f>
        <v>1</v>
      </c>
    </row>
    <row r="13" spans="1:26">
      <c r="A13" s="85" t="str">
        <f>'G-1 All Habitats'!B11</f>
        <v>Cropland - Non-cereal crops</v>
      </c>
      <c r="B13" s="404" t="str">
        <f>'G-1 All Habitats'!N11</f>
        <v>Low</v>
      </c>
      <c r="C13" s="404">
        <f>'G-1 All Habitats'!O11</f>
        <v>1</v>
      </c>
      <c r="D13" s="404" t="str">
        <f>'G-1 All Habitats'!P11</f>
        <v>Low</v>
      </c>
      <c r="E13" s="404">
        <f>'G-1 All Habitats'!Q11</f>
        <v>1</v>
      </c>
    </row>
    <row r="14" spans="1:26">
      <c r="A14" s="85" t="str">
        <f>'G-1 All Habitats'!B12</f>
        <v>Cropland - Temporary grass and clover leys</v>
      </c>
      <c r="B14" s="404" t="str">
        <f>'G-1 All Habitats'!N12</f>
        <v>Low</v>
      </c>
      <c r="C14" s="404">
        <f>'G-1 All Habitats'!O12</f>
        <v>1</v>
      </c>
      <c r="D14" s="404" t="str">
        <f>'G-1 All Habitats'!P12</f>
        <v>Low</v>
      </c>
      <c r="E14" s="404">
        <f>'G-1 All Habitats'!Q12</f>
        <v>1</v>
      </c>
    </row>
    <row r="15" spans="1:26">
      <c r="A15" s="85" t="str">
        <f>'G-1 All Habitats'!B13</f>
        <v>Grassland - Traditional orchards</v>
      </c>
      <c r="B15" s="404" t="str">
        <f>'G-1 All Habitats'!N13</f>
        <v>Low</v>
      </c>
      <c r="C15" s="404">
        <f>'G-1 All Habitats'!O13</f>
        <v>1</v>
      </c>
      <c r="D15" s="404" t="str">
        <f>'G-1 All Habitats'!P13</f>
        <v>Medium</v>
      </c>
      <c r="E15" s="404">
        <f>'G-1 All Habitats'!Q13</f>
        <v>0.67</v>
      </c>
    </row>
    <row r="16" spans="1:26">
      <c r="A16" s="85" t="str">
        <f>'G-1 All Habitats'!B14</f>
        <v>Grassland - Bracken</v>
      </c>
      <c r="B16" s="404" t="str">
        <f>'G-1 All Habitats'!N14</f>
        <v>Low</v>
      </c>
      <c r="C16" s="404">
        <f>'G-1 All Habitats'!O14</f>
        <v>1</v>
      </c>
      <c r="D16" s="404" t="str">
        <f>'G-1 All Habitats'!P14</f>
        <v>Low</v>
      </c>
      <c r="E16" s="404">
        <f>'G-1 All Habitats'!Q14</f>
        <v>1</v>
      </c>
    </row>
    <row r="17" spans="1:5">
      <c r="A17" s="85" t="str">
        <f>'G-1 All Habitats'!B15</f>
        <v>Grassland - Floodplain wetland mosaic and CFGM</v>
      </c>
      <c r="B17" s="404" t="str">
        <f>'G-1 All Habitats'!N15</f>
        <v>High</v>
      </c>
      <c r="C17" s="404">
        <f>'G-1 All Habitats'!O15</f>
        <v>0.33</v>
      </c>
      <c r="D17" s="404" t="str">
        <f>'G-1 All Habitats'!P15</f>
        <v>Medium</v>
      </c>
      <c r="E17" s="404">
        <f>'G-1 All Habitats'!Q15</f>
        <v>0.67</v>
      </c>
    </row>
    <row r="18" spans="1:5">
      <c r="A18" s="85" t="str">
        <f>'G-1 All Habitats'!B16</f>
        <v>Grassland - Lowland calcareous grassland</v>
      </c>
      <c r="B18" s="404" t="str">
        <f>'G-1 All Habitats'!N16</f>
        <v>High</v>
      </c>
      <c r="C18" s="404">
        <f>'G-1 All Habitats'!O16</f>
        <v>0.33</v>
      </c>
      <c r="D18" s="404" t="str">
        <f>'G-1 All Habitats'!P16</f>
        <v>High</v>
      </c>
      <c r="E18" s="404">
        <f>'G-1 All Habitats'!Q16</f>
        <v>0.33</v>
      </c>
    </row>
    <row r="19" spans="1:5">
      <c r="A19" s="85" t="str">
        <f>'G-1 All Habitats'!B17</f>
        <v>Grassland - Lowland dry acid grassland</v>
      </c>
      <c r="B19" s="404" t="str">
        <f>'G-1 All Habitats'!N17</f>
        <v>High</v>
      </c>
      <c r="C19" s="404">
        <f>'G-1 All Habitats'!O17</f>
        <v>0.33</v>
      </c>
      <c r="D19" s="404" t="str">
        <f>'G-1 All Habitats'!P17</f>
        <v>High</v>
      </c>
      <c r="E19" s="404">
        <f>'G-1 All Habitats'!Q17</f>
        <v>0.33</v>
      </c>
    </row>
    <row r="20" spans="1:5">
      <c r="A20" s="85" t="str">
        <f>'G-1 All Habitats'!B18</f>
        <v>Grassland - Lowland meadows</v>
      </c>
      <c r="B20" s="404" t="str">
        <f>'G-1 All Habitats'!N18</f>
        <v>High</v>
      </c>
      <c r="C20" s="404">
        <f>'G-1 All Habitats'!O18</f>
        <v>0.33</v>
      </c>
      <c r="D20" s="404" t="str">
        <f>'G-1 All Habitats'!P18</f>
        <v>Medium</v>
      </c>
      <c r="E20" s="404">
        <f>'G-1 All Habitats'!Q18</f>
        <v>0.67</v>
      </c>
    </row>
    <row r="21" spans="1:5">
      <c r="A21" s="85" t="str">
        <f>'G-1 All Habitats'!B19</f>
        <v>Grassland - Modified grassland</v>
      </c>
      <c r="B21" s="404" t="str">
        <f>'G-1 All Habitats'!N19</f>
        <v>Low</v>
      </c>
      <c r="C21" s="404">
        <f>'G-1 All Habitats'!O19</f>
        <v>1</v>
      </c>
      <c r="D21" s="404" t="str">
        <f>'G-1 All Habitats'!P19</f>
        <v>Low</v>
      </c>
      <c r="E21" s="404">
        <f>'G-1 All Habitats'!Q19</f>
        <v>1</v>
      </c>
    </row>
    <row r="22" spans="1:5">
      <c r="A22" s="85" t="str">
        <f>'G-1 All Habitats'!B20</f>
        <v>Grassland - Other lowland acid grassland</v>
      </c>
      <c r="B22" s="404" t="str">
        <f>'G-1 All Habitats'!N20</f>
        <v>Low</v>
      </c>
      <c r="C22" s="404">
        <f>'G-1 All Habitats'!O20</f>
        <v>1</v>
      </c>
      <c r="D22" s="404" t="str">
        <f>'G-1 All Habitats'!P20</f>
        <v>Low</v>
      </c>
      <c r="E22" s="404">
        <f>'G-1 All Habitats'!Q20</f>
        <v>1</v>
      </c>
    </row>
    <row r="23" spans="1:5">
      <c r="A23" s="85" t="str">
        <f>'G-1 All Habitats'!B21</f>
        <v>Grassland - Other neutral grassland</v>
      </c>
      <c r="B23" s="404" t="str">
        <f>'G-1 All Habitats'!N21</f>
        <v>Low</v>
      </c>
      <c r="C23" s="404">
        <f>'G-1 All Habitats'!O21</f>
        <v>1</v>
      </c>
      <c r="D23" s="404" t="str">
        <f>'G-1 All Habitats'!P21</f>
        <v>Low</v>
      </c>
      <c r="E23" s="404">
        <f>'G-1 All Habitats'!Q21</f>
        <v>1</v>
      </c>
    </row>
    <row r="24" spans="1:5">
      <c r="A24" s="85" t="str">
        <f>'G-1 All Habitats'!B22</f>
        <v>Grassland - Tall herb communities (H6430)</v>
      </c>
      <c r="B24" s="404" t="str">
        <f>'G-1 All Habitats'!N22</f>
        <v>High</v>
      </c>
      <c r="C24" s="404">
        <f>'G-1 All Habitats'!O22</f>
        <v>0.33</v>
      </c>
      <c r="D24" s="404" t="str">
        <f>'G-1 All Habitats'!P22</f>
        <v>High</v>
      </c>
      <c r="E24" s="404">
        <f>'G-1 All Habitats'!Q22</f>
        <v>0.33</v>
      </c>
    </row>
    <row r="25" spans="1:5">
      <c r="A25" s="85" t="str">
        <f>'G-1 All Habitats'!B23</f>
        <v>Grassland - Upland acid grassland</v>
      </c>
      <c r="B25" s="404" t="str">
        <f>'G-1 All Habitats'!N23</f>
        <v>Low</v>
      </c>
      <c r="C25" s="404">
        <f>'G-1 All Habitats'!O23</f>
        <v>1</v>
      </c>
      <c r="D25" s="404" t="str">
        <f>'G-1 All Habitats'!P23</f>
        <v>Low</v>
      </c>
      <c r="E25" s="404">
        <f>'G-1 All Habitats'!Q23</f>
        <v>1</v>
      </c>
    </row>
    <row r="26" spans="1:5">
      <c r="A26" s="85" t="str">
        <f>'G-1 All Habitats'!B24</f>
        <v>Grassland - Upland calcareous grassland</v>
      </c>
      <c r="B26" s="404" t="str">
        <f>'G-1 All Habitats'!N24</f>
        <v>High</v>
      </c>
      <c r="C26" s="404">
        <f>'G-1 All Habitats'!O24</f>
        <v>0.33</v>
      </c>
      <c r="D26" s="404" t="str">
        <f>'G-1 All Habitats'!P24</f>
        <v>High</v>
      </c>
      <c r="E26" s="404">
        <f>'G-1 All Habitats'!Q24</f>
        <v>0.33</v>
      </c>
    </row>
    <row r="27" spans="1:5">
      <c r="A27" s="85" t="str">
        <f>'G-1 All Habitats'!B25</f>
        <v>Grassland - Upland hay meadows</v>
      </c>
      <c r="B27" s="404" t="str">
        <f>'G-1 All Habitats'!N25</f>
        <v>High</v>
      </c>
      <c r="C27" s="404">
        <f>'G-1 All Habitats'!O25</f>
        <v>0.33</v>
      </c>
      <c r="D27" s="404" t="str">
        <f>'G-1 All Habitats'!P25</f>
        <v>Medium</v>
      </c>
      <c r="E27" s="404">
        <f>'G-1 All Habitats'!Q25</f>
        <v>0.67</v>
      </c>
    </row>
    <row r="28" spans="1:5">
      <c r="A28" s="85" t="str">
        <f>'G-1 All Habitats'!B26</f>
        <v>Heathland and shrub - Blackthorn scrub</v>
      </c>
      <c r="B28" s="404" t="str">
        <f>'G-1 All Habitats'!N26</f>
        <v>Low</v>
      </c>
      <c r="C28" s="404">
        <f>'G-1 All Habitats'!O26</f>
        <v>1</v>
      </c>
      <c r="D28" s="404" t="str">
        <f>'G-1 All Habitats'!P26</f>
        <v>Low</v>
      </c>
      <c r="E28" s="404">
        <f>'G-1 All Habitats'!Q26</f>
        <v>1</v>
      </c>
    </row>
    <row r="29" spans="1:5">
      <c r="A29" s="85" t="str">
        <f>'G-1 All Habitats'!B27</f>
        <v>Heathland and shrub - Bramble scrub</v>
      </c>
      <c r="B29" s="404" t="str">
        <f>'G-1 All Habitats'!N27</f>
        <v>Low</v>
      </c>
      <c r="C29" s="404">
        <f>'G-1 All Habitats'!O27</f>
        <v>1</v>
      </c>
      <c r="D29" s="404" t="str">
        <f>'G-1 All Habitats'!P27</f>
        <v>Low</v>
      </c>
      <c r="E29" s="404">
        <f>'G-1 All Habitats'!Q27</f>
        <v>1</v>
      </c>
    </row>
    <row r="30" spans="1:5">
      <c r="A30" s="85" t="str">
        <f>'G-1 All Habitats'!B28</f>
        <v>Heathland and shrub - Gorse scrub</v>
      </c>
      <c r="B30" s="404" t="str">
        <f>'G-1 All Habitats'!N28</f>
        <v>Low</v>
      </c>
      <c r="C30" s="404">
        <f>'G-1 All Habitats'!O28</f>
        <v>1</v>
      </c>
      <c r="D30" s="404" t="str">
        <f>'G-1 All Habitats'!P28</f>
        <v>Low</v>
      </c>
      <c r="E30" s="404">
        <f>'G-1 All Habitats'!Q28</f>
        <v>1</v>
      </c>
    </row>
    <row r="31" spans="1:5">
      <c r="A31" s="85" t="str">
        <f>'G-1 All Habitats'!B29</f>
        <v>Heathland and shrub - Hawthorn scrub</v>
      </c>
      <c r="B31" s="404" t="str">
        <f>'G-1 All Habitats'!N29</f>
        <v>Low</v>
      </c>
      <c r="C31" s="404">
        <f>'G-1 All Habitats'!O29</f>
        <v>1</v>
      </c>
      <c r="D31" s="404" t="str">
        <f>'G-1 All Habitats'!P29</f>
        <v>Low</v>
      </c>
      <c r="E31" s="404">
        <f>'G-1 All Habitats'!Q29</f>
        <v>1</v>
      </c>
    </row>
    <row r="32" spans="1:5">
      <c r="A32" s="85" t="str">
        <f>'G-1 All Habitats'!B30</f>
        <v>Heathland and shrub - Hazel scrub</v>
      </c>
      <c r="B32" s="404" t="s">
        <v>70</v>
      </c>
      <c r="C32" s="404">
        <f>'G-1 All Habitats'!O30</f>
        <v>0.67</v>
      </c>
      <c r="D32" s="404" t="s">
        <v>216</v>
      </c>
      <c r="E32" s="404">
        <f>'G-1 All Habitats'!Q30</f>
        <v>1</v>
      </c>
    </row>
    <row r="33" spans="1:5">
      <c r="A33" s="85" t="s">
        <v>606</v>
      </c>
      <c r="B33" s="404" t="s">
        <v>70</v>
      </c>
      <c r="C33" s="404">
        <v>0.67</v>
      </c>
      <c r="D33" s="404" t="s">
        <v>216</v>
      </c>
      <c r="E33" s="404">
        <v>1</v>
      </c>
    </row>
    <row r="34" spans="1:5">
      <c r="A34" s="85" t="str">
        <f>'G-1 All Habitats'!B31</f>
        <v>Heathland and shrub - Lowland heathland</v>
      </c>
      <c r="B34" s="404" t="str">
        <f>'G-1 All Habitats'!N31</f>
        <v>High</v>
      </c>
      <c r="C34" s="404">
        <f>'G-1 All Habitats'!O31</f>
        <v>0.33</v>
      </c>
      <c r="D34" s="404" t="str">
        <f>'G-1 All Habitats'!P31</f>
        <v>Medium</v>
      </c>
      <c r="E34" s="404">
        <f>'G-1 All Habitats'!Q31</f>
        <v>0.67</v>
      </c>
    </row>
    <row r="35" spans="1:5">
      <c r="A35" s="85" t="str">
        <f>'G-1 All Habitats'!B32</f>
        <v>Heathland and shrub - Mixed scrub</v>
      </c>
      <c r="B35" s="404" t="str">
        <f>'G-1 All Habitats'!N32</f>
        <v>Low</v>
      </c>
      <c r="C35" s="404">
        <f>'G-1 All Habitats'!O32</f>
        <v>1</v>
      </c>
      <c r="D35" s="404" t="str">
        <f>'G-1 All Habitats'!P32</f>
        <v>Low</v>
      </c>
      <c r="E35" s="404">
        <f>'G-1 All Habitats'!Q32</f>
        <v>1</v>
      </c>
    </row>
    <row r="36" spans="1:5">
      <c r="A36" s="85" t="str">
        <f>'G-1 All Habitats'!B33</f>
        <v>Heathland and shrub - Mountain heaths and willow scrub</v>
      </c>
      <c r="B36" s="404" t="str">
        <f>'G-1 All Habitats'!N33</f>
        <v>High</v>
      </c>
      <c r="C36" s="404">
        <f>'G-1 All Habitats'!O33</f>
        <v>0.33</v>
      </c>
      <c r="D36" s="404" t="str">
        <f>'G-1 All Habitats'!P33</f>
        <v>High</v>
      </c>
      <c r="E36" s="404">
        <f>'G-1 All Habitats'!Q33</f>
        <v>0.33</v>
      </c>
    </row>
    <row r="37" spans="1:5">
      <c r="A37" s="85" t="str">
        <f>'G-1 All Habitats'!B34</f>
        <v>Heathland and shrub - Rhododendron scrub</v>
      </c>
      <c r="B37" s="404" t="str">
        <f>'G-1 All Habitats'!N34</f>
        <v>Low</v>
      </c>
      <c r="C37" s="404">
        <f>'G-1 All Habitats'!O34</f>
        <v>1</v>
      </c>
      <c r="D37" s="404" t="str">
        <f>'G-1 All Habitats'!P34</f>
        <v>Low</v>
      </c>
      <c r="E37" s="404">
        <f>'G-1 All Habitats'!Q34</f>
        <v>1</v>
      </c>
    </row>
    <row r="38" spans="1:5">
      <c r="A38" s="85" t="str">
        <f>'G-1 All Habitats'!B35</f>
        <v>Heathland and shrub - Dunes with sea buckthorn (H2160)</v>
      </c>
      <c r="B38" s="404" t="str">
        <f>'G-1 All Habitats'!N35</f>
        <v>Medium</v>
      </c>
      <c r="C38" s="404">
        <f>'G-1 All Habitats'!O35</f>
        <v>0.67</v>
      </c>
      <c r="D38" s="404" t="str">
        <f>'G-1 All Habitats'!P35</f>
        <v>Low</v>
      </c>
      <c r="E38" s="404">
        <f>'G-1 All Habitats'!Q35</f>
        <v>1</v>
      </c>
    </row>
    <row r="39" spans="1:5">
      <c r="A39" s="85" t="str">
        <f>'G-1 All Habitats'!B36</f>
        <v>Heathland and shrub - Other sea buckthorn scrub</v>
      </c>
      <c r="B39" s="404" t="str">
        <f>'G-1 All Habitats'!N36</f>
        <v>Low</v>
      </c>
      <c r="C39" s="404">
        <f>'G-1 All Habitats'!O36</f>
        <v>1</v>
      </c>
      <c r="D39" s="404" t="str">
        <f>'G-1 All Habitats'!P36</f>
        <v>Low</v>
      </c>
      <c r="E39" s="404">
        <f>'G-1 All Habitats'!Q36</f>
        <v>1</v>
      </c>
    </row>
    <row r="40" spans="1:5">
      <c r="A40" s="85" t="str">
        <f>'G-1 All Habitats'!B38</f>
        <v>Heathland and shrub - Upland heathland</v>
      </c>
      <c r="B40" s="404" t="str">
        <f>'G-1 All Habitats'!N38</f>
        <v>Medium</v>
      </c>
      <c r="C40" s="404">
        <f>'G-1 All Habitats'!O38</f>
        <v>0.67</v>
      </c>
      <c r="D40" s="404" t="str">
        <f>'G-1 All Habitats'!P38</f>
        <v>Medium</v>
      </c>
      <c r="E40" s="404">
        <f>'G-1 All Habitats'!Q38</f>
        <v>0.67</v>
      </c>
    </row>
    <row r="41" spans="1:5">
      <c r="A41" s="85" t="str">
        <f>'G-1 All Habitats'!B128</f>
        <v>Intertidal sediment - Artificial littoral biogenic reefs</v>
      </c>
      <c r="B41" s="404" t="str">
        <f>'G-1 All Habitats'!N128</f>
        <v>High</v>
      </c>
      <c r="C41" s="404">
        <f>'G-1 All Habitats'!O128</f>
        <v>0.33</v>
      </c>
      <c r="D41" s="404" t="str">
        <f>'G-1 All Habitats'!P128</f>
        <v>Medium</v>
      </c>
      <c r="E41" s="404">
        <f>'G-1 All Habitats'!Q128</f>
        <v>0.67</v>
      </c>
    </row>
    <row r="42" spans="1:5">
      <c r="A42" s="85" t="str">
        <f>'G-1 All Habitats'!B122</f>
        <v>Intertidal sediment - Artificial littoral coarse sediment</v>
      </c>
      <c r="B42" s="404" t="str">
        <f>'G-1 All Habitats'!N122</f>
        <v>Medium</v>
      </c>
      <c r="C42" s="404">
        <f>'G-1 All Habitats'!O122</f>
        <v>0.67</v>
      </c>
      <c r="D42" s="404" t="str">
        <f>'G-1 All Habitats'!P122</f>
        <v>Medium</v>
      </c>
      <c r="E42" s="404">
        <f>'G-1 All Habitats'!Q122</f>
        <v>0.67</v>
      </c>
    </row>
    <row r="43" spans="1:5">
      <c r="A43" s="85" t="str">
        <f>'G-1 All Habitats'!B126</f>
        <v>Intertidal sediment - Artificial littoral mixed sediments</v>
      </c>
      <c r="B43" s="404" t="str">
        <f>'G-1 All Habitats'!N126</f>
        <v>High</v>
      </c>
      <c r="C43" s="404">
        <f>'G-1 All Habitats'!O126</f>
        <v>0.33</v>
      </c>
      <c r="D43" s="404" t="str">
        <f>'G-1 All Habitats'!P126</f>
        <v>Medium</v>
      </c>
      <c r="E43" s="404">
        <f>'G-1 All Habitats'!Q126</f>
        <v>0.67</v>
      </c>
    </row>
    <row r="44" spans="1:5">
      <c r="A44" s="85" t="str">
        <f>'G-1 All Habitats'!B125</f>
        <v>Intertidal sediment - Artificial littoral muddy sand</v>
      </c>
      <c r="B44" s="404" t="str">
        <f>'G-1 All Habitats'!N125</f>
        <v>High</v>
      </c>
      <c r="C44" s="404">
        <f>'G-1 All Habitats'!O125</f>
        <v>0.33</v>
      </c>
      <c r="D44" s="404" t="str">
        <f>'G-1 All Habitats'!P125</f>
        <v>Medium</v>
      </c>
      <c r="E44" s="404">
        <f>'G-1 All Habitats'!Q125</f>
        <v>0.67</v>
      </c>
    </row>
    <row r="45" spans="1:5">
      <c r="A45" s="85" t="str">
        <f>'G-1 All Habitats'!B127</f>
        <v>Intertidal sediment - Artificial littoral seagrass</v>
      </c>
      <c r="B45" s="404" t="str">
        <f>'G-1 All Habitats'!N127</f>
        <v>High</v>
      </c>
      <c r="C45" s="404">
        <f>'G-1 All Habitats'!O127</f>
        <v>0.33</v>
      </c>
      <c r="D45" s="404" t="str">
        <f>'G-1 All Habitats'!P127</f>
        <v>High</v>
      </c>
      <c r="E45" s="404">
        <f>'G-1 All Habitats'!Q127</f>
        <v>0.33</v>
      </c>
    </row>
    <row r="46" spans="1:5">
      <c r="A46" s="85" t="str">
        <f>'G-1 All Habitats'!B121</f>
        <v>Intertidal sediment - Features of littoral sediment</v>
      </c>
      <c r="B46" s="404" t="str">
        <f>'G-1 All Habitats'!N121</f>
        <v>High</v>
      </c>
      <c r="C46" s="404">
        <f>'G-1 All Habitats'!O121</f>
        <v>0.33</v>
      </c>
      <c r="D46" s="404" t="str">
        <f>'G-1 All Habitats'!P121</f>
        <v>Medium</v>
      </c>
      <c r="E46" s="404">
        <f>'G-1 All Habitats'!Q121</f>
        <v>0.67</v>
      </c>
    </row>
    <row r="47" spans="1:5">
      <c r="A47" s="85" t="str">
        <f>'G-1 All Habitats'!B120</f>
        <v>Intertidal sediment - Littoral biogenic reefs - Sabellaria</v>
      </c>
      <c r="B47" s="404" t="str">
        <f>'G-1 All Habitats'!N120</f>
        <v>High</v>
      </c>
      <c r="C47" s="404">
        <f>'G-1 All Habitats'!O120</f>
        <v>0.33</v>
      </c>
      <c r="D47" s="404" t="str">
        <f>'G-1 All Habitats'!P120</f>
        <v>Medium</v>
      </c>
      <c r="E47" s="404">
        <f>'G-1 All Habitats'!Q120</f>
        <v>0.67</v>
      </c>
    </row>
    <row r="48" spans="1:5">
      <c r="A48" s="85" t="str">
        <f>'G-1 All Habitats'!B114</f>
        <v>Intertidal sediment - Littoral coarse sediment</v>
      </c>
      <c r="B48" s="404" t="str">
        <f>'G-1 All Habitats'!N114</f>
        <v>Medium</v>
      </c>
      <c r="C48" s="404">
        <f>'G-1 All Habitats'!O114</f>
        <v>0.67</v>
      </c>
      <c r="D48" s="404" t="str">
        <f>'G-1 All Habitats'!P114</f>
        <v>Medium</v>
      </c>
      <c r="E48" s="404">
        <f>'G-1 All Habitats'!Q114</f>
        <v>0.67</v>
      </c>
    </row>
    <row r="49" spans="1:5">
      <c r="A49" s="85" t="str">
        <f>'G-1 All Habitats'!B116</f>
        <v>Intertidal sediment - Littoral mixed sediments</v>
      </c>
      <c r="B49" s="404" t="str">
        <f>'G-1 All Habitats'!N116</f>
        <v>High</v>
      </c>
      <c r="C49" s="404">
        <f>'G-1 All Habitats'!O116</f>
        <v>0.33</v>
      </c>
      <c r="D49" s="404" t="str">
        <f>'G-1 All Habitats'!P116</f>
        <v>Medium</v>
      </c>
      <c r="E49" s="404">
        <f>'G-1 All Habitats'!Q116</f>
        <v>0.67</v>
      </c>
    </row>
    <row r="50" spans="1:5">
      <c r="A50" s="85" t="str">
        <f>'G-1 All Habitats'!B115</f>
        <v>Intertidal sediment - Littoral mud</v>
      </c>
      <c r="B50" s="404" t="str">
        <f>'G-1 All Habitats'!N115</f>
        <v>High</v>
      </c>
      <c r="C50" s="404">
        <f>'G-1 All Habitats'!O115</f>
        <v>0.33</v>
      </c>
      <c r="D50" s="404" t="str">
        <f>'G-1 All Habitats'!P115</f>
        <v>Medium</v>
      </c>
      <c r="E50" s="404">
        <f>'G-1 All Habitats'!Q115</f>
        <v>0.67</v>
      </c>
    </row>
    <row r="51" spans="1:5">
      <c r="A51" s="85" t="str">
        <f>'G-1 All Habitats'!B117</f>
        <v>Intertidal sediment - Littoral seagrass</v>
      </c>
      <c r="B51" s="404" t="str">
        <f>'G-1 All Habitats'!N117</f>
        <v>High</v>
      </c>
      <c r="C51" s="404">
        <f>'G-1 All Habitats'!O117</f>
        <v>0.33</v>
      </c>
      <c r="D51" s="404" t="str">
        <f>'G-1 All Habitats'!P117</f>
        <v>High</v>
      </c>
      <c r="E51" s="404">
        <f>'G-1 All Habitats'!Q117</f>
        <v>0.33</v>
      </c>
    </row>
    <row r="52" spans="1:5">
      <c r="A52" s="85" t="str">
        <f>'G-1 All Habitats'!B118</f>
        <v>Intertidal sediment - Littoral seagrass on peat, clay or chalk</v>
      </c>
      <c r="B52" s="404" t="str">
        <f>'G-1 All Habitats'!N118</f>
        <v>Very High</v>
      </c>
      <c r="C52" s="404">
        <f>'G-1 All Habitats'!O118</f>
        <v>0.1</v>
      </c>
      <c r="D52" s="404" t="str">
        <f>'G-1 All Habitats'!P118</f>
        <v>High</v>
      </c>
      <c r="E52" s="404">
        <f>'G-1 All Habitats'!Q118</f>
        <v>0.33</v>
      </c>
    </row>
    <row r="53" spans="1:5">
      <c r="A53" s="85" t="str">
        <f>'G-1 All Habitats'!B39</f>
        <v>Lakes - Aquifer fed naturally fluctuating water bodies</v>
      </c>
      <c r="B53" s="404" t="str">
        <f>'G-1 All Habitats'!N39</f>
        <v>Very High</v>
      </c>
      <c r="C53" s="404">
        <f>'G-1 All Habitats'!O39</f>
        <v>0.1</v>
      </c>
      <c r="D53" s="404" t="str">
        <f>'G-1 All Habitats'!P39</f>
        <v>High</v>
      </c>
      <c r="E53" s="404">
        <f>'G-1 All Habitats'!Q39</f>
        <v>0.33</v>
      </c>
    </row>
    <row r="54" spans="1:5">
      <c r="A54" s="85" t="str">
        <f>'G-1 All Habitats'!B40</f>
        <v>Lakes - Ornamental lake or pond</v>
      </c>
      <c r="B54" s="404" t="str">
        <f>'G-1 All Habitats'!N40</f>
        <v>Low</v>
      </c>
      <c r="C54" s="404">
        <f>'G-1 All Habitats'!O40</f>
        <v>1</v>
      </c>
      <c r="D54" s="404" t="str">
        <f>'G-1 All Habitats'!P40</f>
        <v>High</v>
      </c>
      <c r="E54" s="404">
        <f>'G-1 All Habitats'!Q40</f>
        <v>0.33</v>
      </c>
    </row>
    <row r="55" spans="1:5">
      <c r="A55" s="85" t="str">
        <f>'G-1 All Habitats'!B41</f>
        <v>Lakes - High alkalinity lakes</v>
      </c>
      <c r="B55" s="404" t="str">
        <f>'G-1 All Habitats'!N41</f>
        <v>High</v>
      </c>
      <c r="C55" s="404">
        <f>'G-1 All Habitats'!O41</f>
        <v>0.33</v>
      </c>
      <c r="D55" s="404" t="str">
        <f>'G-1 All Habitats'!P41</f>
        <v>High</v>
      </c>
      <c r="E55" s="404">
        <f>'G-1 All Habitats'!Q41</f>
        <v>0.33</v>
      </c>
    </row>
    <row r="56" spans="1:5">
      <c r="A56" s="85" t="str">
        <f>'G-1 All Habitats'!B42</f>
        <v>Lakes - Low alkalinity lakes</v>
      </c>
      <c r="B56" s="404" t="str">
        <f>'G-1 All Habitats'!N42</f>
        <v>High</v>
      </c>
      <c r="C56" s="404">
        <f>'G-1 All Habitats'!O42</f>
        <v>0.33</v>
      </c>
      <c r="D56" s="404" t="str">
        <f>'G-1 All Habitats'!P42</f>
        <v>Medium</v>
      </c>
      <c r="E56" s="404">
        <f>'G-1 All Habitats'!Q42</f>
        <v>0.67</v>
      </c>
    </row>
    <row r="57" spans="1:5">
      <c r="A57" s="85" t="str">
        <f>'G-1 All Habitats'!B43</f>
        <v>Lakes - Marl lakes</v>
      </c>
      <c r="B57" s="404" t="str">
        <f>'G-1 All Habitats'!N43</f>
        <v>High</v>
      </c>
      <c r="C57" s="404">
        <f>'G-1 All Habitats'!O43</f>
        <v>0.33</v>
      </c>
      <c r="D57" s="404" t="str">
        <f>'G-1 All Habitats'!P43</f>
        <v>High</v>
      </c>
      <c r="E57" s="404">
        <f>'G-1 All Habitats'!Q43</f>
        <v>0.33</v>
      </c>
    </row>
    <row r="58" spans="1:5">
      <c r="A58" s="85" t="str">
        <f>'G-1 All Habitats'!B44</f>
        <v>Lakes - Moderate alkalinity lakes</v>
      </c>
      <c r="B58" s="404" t="str">
        <f>'G-1 All Habitats'!N44</f>
        <v>High</v>
      </c>
      <c r="C58" s="404">
        <f>'G-1 All Habitats'!O44</f>
        <v>0.33</v>
      </c>
      <c r="D58" s="404" t="str">
        <f>'G-1 All Habitats'!P44</f>
        <v>High</v>
      </c>
      <c r="E58" s="404">
        <f>'G-1 All Habitats'!Q44</f>
        <v>0.33</v>
      </c>
    </row>
    <row r="59" spans="1:5">
      <c r="A59" s="85" t="str">
        <f>'G-1 All Habitats'!B45</f>
        <v>Lakes - Peat lakes</v>
      </c>
      <c r="B59" s="404" t="str">
        <f>'G-1 All Habitats'!N45</f>
        <v>High</v>
      </c>
      <c r="C59" s="404">
        <f>'G-1 All Habitats'!O45</f>
        <v>0.33</v>
      </c>
      <c r="D59" s="404" t="str">
        <f>'G-1 All Habitats'!P45</f>
        <v>High</v>
      </c>
      <c r="E59" s="404">
        <f>'G-1 All Habitats'!Q45</f>
        <v>0.33</v>
      </c>
    </row>
    <row r="60" spans="1:5">
      <c r="A60" s="85" t="str">
        <f>'G-1 All Habitats'!B47</f>
        <v>Lakes - Ponds (non-priority habitat)</v>
      </c>
      <c r="B60" s="404" t="str">
        <f>'G-1 All Habitats'!N47</f>
        <v>Low</v>
      </c>
      <c r="C60" s="404">
        <f>'G-1 All Habitats'!O47</f>
        <v>1</v>
      </c>
      <c r="D60" s="404" t="str">
        <f>'G-1 All Habitats'!P47</f>
        <v>Medium</v>
      </c>
      <c r="E60" s="404">
        <f>'G-1 All Habitats'!Q47</f>
        <v>0.67</v>
      </c>
    </row>
    <row r="61" spans="1:5">
      <c r="A61" s="85" t="str">
        <f>'G-1 All Habitats'!B46</f>
        <v>Lakes - Ponds (priority habitat)</v>
      </c>
      <c r="B61" s="404" t="str">
        <f>'G-1 All Habitats'!N46</f>
        <v>Medium</v>
      </c>
      <c r="C61" s="404">
        <f>'G-1 All Habitats'!O46</f>
        <v>0.67</v>
      </c>
      <c r="D61" s="404" t="str">
        <f>'G-1 All Habitats'!P46</f>
        <v>Medium</v>
      </c>
      <c r="E61" s="404">
        <f>'G-1 All Habitats'!Q46</f>
        <v>0.67</v>
      </c>
    </row>
    <row r="62" spans="1:5">
      <c r="A62" s="85" t="str">
        <f>'G-1 All Habitats'!B48</f>
        <v>Lakes - Reservoirs</v>
      </c>
      <c r="B62" s="404" t="str">
        <f>'G-1 All Habitats'!N48</f>
        <v>Medium</v>
      </c>
      <c r="C62" s="404">
        <f>'G-1 All Habitats'!O48</f>
        <v>0.67</v>
      </c>
      <c r="D62" s="404" t="str">
        <f>'G-1 All Habitats'!P48</f>
        <v>Medium</v>
      </c>
      <c r="E62" s="404">
        <f>'G-1 All Habitats'!Q48</f>
        <v>0.67</v>
      </c>
    </row>
    <row r="63" spans="1:5">
      <c r="A63" s="85" t="str">
        <f>'G-1 All Habitats'!B49</f>
        <v>Lakes - Temporary lakes ponds and pools (H3170)</v>
      </c>
      <c r="B63" s="404" t="str">
        <f>'G-1 All Habitats'!N49</f>
        <v>Medium</v>
      </c>
      <c r="C63" s="404">
        <f>'G-1 All Habitats'!O49</f>
        <v>0.67</v>
      </c>
      <c r="D63" s="404" t="str">
        <f>'G-1 All Habitats'!P49</f>
        <v>Medium</v>
      </c>
      <c r="E63" s="404">
        <f>'G-1 All Habitats'!Q49</f>
        <v>0.67</v>
      </c>
    </row>
    <row r="64" spans="1:5">
      <c r="A64" s="85" t="str">
        <f>'G-1 All Habitats'!B110</f>
        <v>Rocky shore - Features of littoral rock</v>
      </c>
      <c r="B64" s="404" t="str">
        <f>'G-1 All Habitats'!N110</f>
        <v>High</v>
      </c>
      <c r="C64" s="404">
        <f>'G-1 All Habitats'!O110</f>
        <v>0.33</v>
      </c>
      <c r="D64" s="404" t="str">
        <f>'G-1 All Habitats'!P110</f>
        <v>Medium</v>
      </c>
      <c r="E64" s="404">
        <f>'G-1 All Habitats'!Q110</f>
        <v>0.67</v>
      </c>
    </row>
    <row r="65" spans="1:5">
      <c r="A65" s="85" t="str">
        <f>'G-1 All Habitats'!B111</f>
        <v>Rocky shore - Features of littoral rock - on peat, clay or chalk</v>
      </c>
      <c r="B65" s="404" t="str">
        <f>'G-1 All Habitats'!N111</f>
        <v>Very High</v>
      </c>
      <c r="C65" s="404">
        <f>'G-1 All Habitats'!O111</f>
        <v>0.1</v>
      </c>
      <c r="D65" s="404" t="str">
        <f>'G-1 All Habitats'!P111</f>
        <v>Medium</v>
      </c>
      <c r="E65" s="404">
        <f>'G-1 All Habitats'!Q111</f>
        <v>0.67</v>
      </c>
    </row>
    <row r="66" spans="1:5">
      <c r="A66" s="85" t="str">
        <f>'G-1 All Habitats'!B104</f>
        <v>Rocky shore - High energy littoral rock</v>
      </c>
      <c r="B66" s="404" t="str">
        <f>'G-1 All Habitats'!N104</f>
        <v>High</v>
      </c>
      <c r="C66" s="404">
        <f>'G-1 All Habitats'!O104</f>
        <v>0.33</v>
      </c>
      <c r="D66" s="404" t="str">
        <f>'G-1 All Habitats'!P104</f>
        <v>Medium</v>
      </c>
      <c r="E66" s="404">
        <f>'G-1 All Habitats'!Q104</f>
        <v>0.67</v>
      </c>
    </row>
    <row r="67" spans="1:5">
      <c r="A67" s="85" t="str">
        <f>'G-1 All Habitats'!B105</f>
        <v>Rocky shore - High energy littoral rock - on peat, clay or chalk</v>
      </c>
      <c r="B67" s="404" t="str">
        <f>'G-1 All Habitats'!N105</f>
        <v>Very High</v>
      </c>
      <c r="C67" s="404">
        <f>'G-1 All Habitats'!O105</f>
        <v>0.1</v>
      </c>
      <c r="D67" s="404" t="str">
        <f>'G-1 All Habitats'!P105</f>
        <v>Medium</v>
      </c>
      <c r="E67" s="404">
        <f>'G-1 All Habitats'!Q105</f>
        <v>0.67</v>
      </c>
    </row>
    <row r="68" spans="1:5">
      <c r="A68" s="85" t="str">
        <f>'G-1 All Habitats'!B108</f>
        <v>Rocky shore - Low energy littoral rock</v>
      </c>
      <c r="B68" s="404" t="str">
        <f>'G-1 All Habitats'!N108</f>
        <v>High</v>
      </c>
      <c r="C68" s="404">
        <f>'G-1 All Habitats'!O108</f>
        <v>0.33</v>
      </c>
      <c r="D68" s="404" t="str">
        <f>'G-1 All Habitats'!P108</f>
        <v>Medium</v>
      </c>
      <c r="E68" s="404">
        <f>'G-1 All Habitats'!Q108</f>
        <v>0.67</v>
      </c>
    </row>
    <row r="69" spans="1:5">
      <c r="A69" s="85" t="str">
        <f>'G-1 All Habitats'!B109</f>
        <v>Rocky shore - Low energy littoral rock - on peat, clay or chalk</v>
      </c>
      <c r="B69" s="404" t="str">
        <f>'G-1 All Habitats'!N109</f>
        <v>Very High</v>
      </c>
      <c r="C69" s="404">
        <f>'G-1 All Habitats'!O109</f>
        <v>0.1</v>
      </c>
      <c r="D69" s="404" t="str">
        <f>'G-1 All Habitats'!P109</f>
        <v>Medium</v>
      </c>
      <c r="E69" s="404">
        <f>'G-1 All Habitats'!Q109</f>
        <v>0.67</v>
      </c>
    </row>
    <row r="70" spans="1:5">
      <c r="A70" s="85" t="str">
        <f>'G-1 All Habitats'!B106</f>
        <v>Rocky shore - Moderate energy littoral rock</v>
      </c>
      <c r="B70" s="404" t="str">
        <f>'G-1 All Habitats'!N106</f>
        <v>High</v>
      </c>
      <c r="C70" s="404">
        <f>'G-1 All Habitats'!O106</f>
        <v>0.33</v>
      </c>
      <c r="D70" s="404" t="str">
        <f>'G-1 All Habitats'!P106</f>
        <v>Medium</v>
      </c>
      <c r="E70" s="404">
        <f>'G-1 All Habitats'!Q106</f>
        <v>0.67</v>
      </c>
    </row>
    <row r="71" spans="1:5">
      <c r="A71" s="85" t="str">
        <f>'G-1 All Habitats'!B107</f>
        <v>Rocky shore - Moderate energy littoral rock - on peat, clay or chalk</v>
      </c>
      <c r="B71" s="404" t="str">
        <f>'G-1 All Habitats'!N107</f>
        <v>Very High</v>
      </c>
      <c r="C71" s="404">
        <f>'G-1 All Habitats'!O107</f>
        <v>0.1</v>
      </c>
      <c r="D71" s="404" t="str">
        <f>'G-1 All Habitats'!P107</f>
        <v>Medium</v>
      </c>
      <c r="E71" s="404">
        <f>'G-1 All Habitats'!Q107</f>
        <v>0.67</v>
      </c>
    </row>
    <row r="72" spans="1:5">
      <c r="A72" s="85" t="str">
        <f>'G-1 All Habitats'!B50</f>
        <v>Sparsely vegetated land - Calaminarian grasslands</v>
      </c>
      <c r="B72" s="404" t="str">
        <f>'G-1 All Habitats'!N50</f>
        <v>Very High</v>
      </c>
      <c r="C72" s="404">
        <f>'G-1 All Habitats'!O50</f>
        <v>0.1</v>
      </c>
      <c r="D72" s="404" t="str">
        <f>'G-1 All Habitats'!P50</f>
        <v>Medium</v>
      </c>
      <c r="E72" s="404">
        <f>'G-1 All Habitats'!Q50</f>
        <v>0.67</v>
      </c>
    </row>
    <row r="73" spans="1:5">
      <c r="A73" s="85" t="str">
        <f>'G-1 All Habitats'!B51</f>
        <v>Sparsely vegetated land - Coastal sand dunes</v>
      </c>
      <c r="B73" s="404" t="str">
        <f>'G-1 All Habitats'!N51</f>
        <v>Very High</v>
      </c>
      <c r="C73" s="404">
        <f>'G-1 All Habitats'!O51</f>
        <v>0.1</v>
      </c>
      <c r="D73" s="404" t="str">
        <f>'G-1 All Habitats'!P51</f>
        <v>Medium</v>
      </c>
      <c r="E73" s="404">
        <f>'G-1 All Habitats'!Q51</f>
        <v>0.67</v>
      </c>
    </row>
    <row r="74" spans="1:5">
      <c r="A74" s="85" t="str">
        <f>'G-1 All Habitats'!B52</f>
        <v>Sparsely vegetated land - Coastal vegetated shingle</v>
      </c>
      <c r="B74" s="404" t="str">
        <f>'G-1 All Habitats'!N52</f>
        <v>Very High</v>
      </c>
      <c r="C74" s="404">
        <f>'G-1 All Habitats'!O52</f>
        <v>0.1</v>
      </c>
      <c r="D74" s="404" t="str">
        <f>'G-1 All Habitats'!P52</f>
        <v>Medium</v>
      </c>
      <c r="E74" s="404">
        <f>'G-1 All Habitats'!Q52</f>
        <v>0.67</v>
      </c>
    </row>
    <row r="75" spans="1:5">
      <c r="A75" s="85" t="str">
        <f>'G-1 All Habitats'!B55</f>
        <v>Sparsely vegetated land - Inland rock outcrop and scree habitats</v>
      </c>
      <c r="B75" s="404" t="str">
        <f>'G-1 All Habitats'!N55</f>
        <v>High</v>
      </c>
      <c r="C75" s="404">
        <f>'G-1 All Habitats'!O55</f>
        <v>0.33</v>
      </c>
      <c r="D75" s="404" t="str">
        <f>'G-1 All Habitats'!P55</f>
        <v>Low</v>
      </c>
      <c r="E75" s="404">
        <f>'G-1 All Habitats'!Q55</f>
        <v>1</v>
      </c>
    </row>
    <row r="76" spans="1:5">
      <c r="A76" s="85" t="str">
        <f>'G-1 All Habitats'!B56</f>
        <v>Sparsely vegetated land - Limestone pavement</v>
      </c>
      <c r="B76" s="404" t="str">
        <f>'G-1 All Habitats'!N56</f>
        <v>Very High</v>
      </c>
      <c r="C76" s="404">
        <f>'G-1 All Habitats'!O56</f>
        <v>0.1</v>
      </c>
      <c r="D76" s="404" t="str">
        <f>'G-1 All Habitats'!P56</f>
        <v>Medium</v>
      </c>
      <c r="E76" s="404">
        <f>'G-1 All Habitats'!Q56</f>
        <v>0.67</v>
      </c>
    </row>
    <row r="77" spans="1:5">
      <c r="A77" s="85" t="str">
        <f>'G-1 All Habitats'!B57</f>
        <v>Sparsely vegetated land - Maritime cliff and slopes</v>
      </c>
      <c r="B77" s="404" t="str">
        <f>'G-1 All Habitats'!N57</f>
        <v>High</v>
      </c>
      <c r="C77" s="404">
        <f>'G-1 All Habitats'!O57</f>
        <v>0.33</v>
      </c>
      <c r="D77" s="404" t="str">
        <f>'G-1 All Habitats'!P57</f>
        <v>Medium</v>
      </c>
      <c r="E77" s="404">
        <f>'G-1 All Habitats'!Q57</f>
        <v>0.67</v>
      </c>
    </row>
    <row r="78" spans="1:5">
      <c r="A78" s="85" t="str">
        <f>'G-1 All Habitats'!B58</f>
        <v>Sparsely vegetated land - Other inland rock and scree</v>
      </c>
      <c r="B78" s="404" t="str">
        <f>'G-1 All Habitats'!N58</f>
        <v>Medium</v>
      </c>
      <c r="C78" s="404">
        <f>'G-1 All Habitats'!O58</f>
        <v>0.67</v>
      </c>
      <c r="D78" s="404" t="str">
        <f>'G-1 All Habitats'!P58</f>
        <v>Medium</v>
      </c>
      <c r="E78" s="404">
        <f>'G-1 All Habitats'!Q58</f>
        <v>0.67</v>
      </c>
    </row>
    <row r="79" spans="1:5">
      <c r="A79" s="85" t="str">
        <f>'G-1 All Habitats'!B53</f>
        <v>Sparsely vegetated land - Ruderal/Ephemeral</v>
      </c>
      <c r="B79" s="404" t="str">
        <f>'G-1 All Habitats'!N53</f>
        <v>Low</v>
      </c>
      <c r="C79" s="404">
        <f>'G-1 All Habitats'!O53</f>
        <v>1</v>
      </c>
      <c r="D79" s="404" t="str">
        <f>'G-1 All Habitats'!P53</f>
        <v>Medium</v>
      </c>
      <c r="E79" s="404">
        <f>'G-1 All Habitats'!Q53</f>
        <v>0.67</v>
      </c>
    </row>
    <row r="80" spans="1:5">
      <c r="A80" s="85" t="str">
        <f>'G-1 All Habitats'!B54</f>
        <v>Sparsely vegetated land - Tall forbs</v>
      </c>
      <c r="B80" s="404" t="str">
        <f>'G-1 All Habitats'!N54</f>
        <v>Low</v>
      </c>
      <c r="C80" s="404">
        <f>'G-1 All Habitats'!O54</f>
        <v>1</v>
      </c>
      <c r="D80" s="404" t="str">
        <f>'G-1 All Habitats'!P54</f>
        <v>Medium</v>
      </c>
      <c r="E80" s="404">
        <f>'G-1 All Habitats'!Q54</f>
        <v>0.67</v>
      </c>
    </row>
    <row r="81" spans="1:5">
      <c r="A81" s="85" t="str">
        <f>'G-1 All Habitats'!B77</f>
        <v>Urban - Vacant or derelict land</v>
      </c>
      <c r="B81" s="404" t="str">
        <f>'G-1 All Habitats'!N77</f>
        <v>Low</v>
      </c>
      <c r="C81" s="404">
        <f>'G-1 All Habitats'!O77</f>
        <v>1</v>
      </c>
      <c r="D81" s="404" t="str">
        <f>'G-1 All Habitats'!P77</f>
        <v>Low</v>
      </c>
      <c r="E81" s="404">
        <f>'G-1 All Habitats'!Q77</f>
        <v>1</v>
      </c>
    </row>
    <row r="82" spans="1:5">
      <c r="A82" s="85" t="s">
        <v>735</v>
      </c>
      <c r="B82" s="404" t="s">
        <v>216</v>
      </c>
      <c r="C82" s="404">
        <v>1</v>
      </c>
      <c r="D82" s="404" t="s">
        <v>216</v>
      </c>
      <c r="E82" s="404">
        <v>1</v>
      </c>
    </row>
    <row r="83" spans="1:5">
      <c r="A83" s="85" t="str">
        <f>'G-1 All Habitats'!B59</f>
        <v>Urban - Allotments</v>
      </c>
      <c r="B83" s="404" t="str">
        <f>'G-1 All Habitats'!N59</f>
        <v>Low</v>
      </c>
      <c r="C83" s="404">
        <f>'G-1 All Habitats'!O59</f>
        <v>1</v>
      </c>
      <c r="D83" s="404" t="str">
        <f>'G-1 All Habitats'!P59</f>
        <v>Low</v>
      </c>
      <c r="E83" s="404">
        <f>'G-1 All Habitats'!Q59</f>
        <v>1</v>
      </c>
    </row>
    <row r="84" spans="1:5">
      <c r="A84" s="85" t="str">
        <f>'G-1 All Habitats'!B60</f>
        <v>Urban - Artificial unvegetated, unsealed surface</v>
      </c>
      <c r="B84" s="404" t="str">
        <f>'G-1 All Habitats'!N60</f>
        <v>Low</v>
      </c>
      <c r="C84" s="404">
        <f>'G-1 All Habitats'!O60</f>
        <v>1</v>
      </c>
      <c r="D84" s="404" t="str">
        <f>'G-1 All Habitats'!P60</f>
        <v>Low</v>
      </c>
      <c r="E84" s="404">
        <f>'G-1 All Habitats'!Q60</f>
        <v>1</v>
      </c>
    </row>
    <row r="85" spans="1:5">
      <c r="A85" s="85" t="str">
        <f>'G-1 All Habitats'!B61</f>
        <v>Urban - Bioswale</v>
      </c>
      <c r="B85" s="404" t="str">
        <f>'G-1 All Habitats'!N61</f>
        <v>Medium</v>
      </c>
      <c r="C85" s="404">
        <f>'G-1 All Habitats'!O61</f>
        <v>0.67</v>
      </c>
      <c r="D85" s="404" t="str">
        <f>'G-1 All Habitats'!P61</f>
        <v>Low</v>
      </c>
      <c r="E85" s="404">
        <f>'G-1 All Habitats'!Q61</f>
        <v>1</v>
      </c>
    </row>
    <row r="86" spans="1:5">
      <c r="A86" s="85" t="str">
        <f>'G-1 All Habitats'!B62</f>
        <v>Urban - Intensive green roof</v>
      </c>
      <c r="B86" s="404" t="str">
        <f>'G-1 All Habitats'!N62</f>
        <v>Low</v>
      </c>
      <c r="C86" s="404">
        <f>'G-1 All Habitats'!O62</f>
        <v>1</v>
      </c>
      <c r="D86" s="404" t="str">
        <f>'G-1 All Habitats'!P62</f>
        <v>Low</v>
      </c>
      <c r="E86" s="404">
        <f>'G-1 All Habitats'!Q62</f>
        <v>1</v>
      </c>
    </row>
    <row r="87" spans="1:5">
      <c r="A87" s="85" t="str">
        <f>'G-1 All Habitats'!B63</f>
        <v>Urban - Built linear features</v>
      </c>
      <c r="B87" s="404" t="str">
        <f>'G-1 All Habitats'!N63</f>
        <v>Low</v>
      </c>
      <c r="C87" s="404">
        <f>'G-1 All Habitats'!O63</f>
        <v>1</v>
      </c>
      <c r="D87" s="404" t="str">
        <f>'G-1 All Habitats'!P63</f>
        <v>Low</v>
      </c>
      <c r="E87" s="404">
        <f>'G-1 All Habitats'!Q63</f>
        <v>1</v>
      </c>
    </row>
    <row r="88" spans="1:5">
      <c r="A88" s="85" t="str">
        <f>'G-1 All Habitats'!B64</f>
        <v>Urban - Cemeteries and churchyards</v>
      </c>
      <c r="B88" s="404" t="str">
        <f>'G-1 All Habitats'!N64</f>
        <v>Medium</v>
      </c>
      <c r="C88" s="404">
        <f>'G-1 All Habitats'!O64</f>
        <v>0.67</v>
      </c>
      <c r="D88" s="404" t="str">
        <f>'G-1 All Habitats'!P64</f>
        <v>Low</v>
      </c>
      <c r="E88" s="404">
        <f>'G-1 All Habitats'!Q64</f>
        <v>1</v>
      </c>
    </row>
    <row r="89" spans="1:5">
      <c r="A89" s="85" t="str">
        <f>'G-1 All Habitats'!B65</f>
        <v>Urban - Developed land; sealed surface</v>
      </c>
      <c r="B89" s="404" t="str">
        <f>'G-1 All Habitats'!N65</f>
        <v>Low</v>
      </c>
      <c r="C89" s="404">
        <f>'G-1 All Habitats'!O65</f>
        <v>1</v>
      </c>
      <c r="D89" s="404" t="str">
        <f>'G-1 All Habitats'!P65</f>
        <v>Medium</v>
      </c>
      <c r="E89" s="404">
        <f>'G-1 All Habitats'!Q65</f>
        <v>0.67</v>
      </c>
    </row>
    <row r="90" spans="1:5">
      <c r="A90" s="85" t="str">
        <f>'G-1 All Habitats'!B66</f>
        <v>Urban - Other green roof</v>
      </c>
      <c r="B90" s="404" t="str">
        <f>'G-1 All Habitats'!N66</f>
        <v>Low</v>
      </c>
      <c r="C90" s="404">
        <f>'G-1 All Habitats'!O66</f>
        <v>1</v>
      </c>
      <c r="D90" s="404" t="str">
        <f>'G-1 All Habitats'!P66</f>
        <v>Low</v>
      </c>
      <c r="E90" s="404">
        <f>'G-1 All Habitats'!Q66</f>
        <v>1</v>
      </c>
    </row>
    <row r="91" spans="1:5">
      <c r="A91" s="85" t="str">
        <f>'G-1 All Habitats'!B67</f>
        <v>Urban - Facade-bound green wall</v>
      </c>
      <c r="B91" s="404" t="str">
        <f>'G-1 All Habitats'!N67</f>
        <v>Medium</v>
      </c>
      <c r="C91" s="404">
        <f>'G-1 All Habitats'!O67</f>
        <v>0.67</v>
      </c>
      <c r="D91" s="404" t="str">
        <f>'G-1 All Habitats'!P67</f>
        <v>Medium</v>
      </c>
      <c r="E91" s="404">
        <f>'G-1 All Habitats'!Q67</f>
        <v>0.67</v>
      </c>
    </row>
    <row r="92" spans="1:5">
      <c r="A92" s="85" t="str">
        <f>'G-1 All Habitats'!B68</f>
        <v>Urban - Ground based green wall</v>
      </c>
      <c r="B92" s="404" t="str">
        <f>'G-1 All Habitats'!N68</f>
        <v>Medium</v>
      </c>
      <c r="C92" s="404">
        <f>'G-1 All Habitats'!O68</f>
        <v>0.67</v>
      </c>
      <c r="D92" s="404" t="str">
        <f>'G-1 All Habitats'!P68</f>
        <v>Medium</v>
      </c>
      <c r="E92" s="404">
        <f>'G-1 All Habitats'!Q68</f>
        <v>0.67</v>
      </c>
    </row>
    <row r="93" spans="1:5">
      <c r="A93" s="85" t="str">
        <f>'G-1 All Habitats'!B69</f>
        <v>Urban - Ground level planters</v>
      </c>
      <c r="B93" s="404" t="str">
        <f>'G-1 All Habitats'!N69</f>
        <v>Low</v>
      </c>
      <c r="C93" s="404">
        <f>'G-1 All Habitats'!O69</f>
        <v>1</v>
      </c>
      <c r="D93" s="404" t="str">
        <f>'G-1 All Habitats'!P69</f>
        <v>Low</v>
      </c>
      <c r="E93" s="404">
        <f>'G-1 All Habitats'!Q69</f>
        <v>1</v>
      </c>
    </row>
    <row r="94" spans="1:5">
      <c r="A94" s="85" t="str">
        <f>'G-1 All Habitats'!B70</f>
        <v>Urban - Biodiverse green roof</v>
      </c>
      <c r="B94" s="404" t="str">
        <f>'G-1 All Habitats'!N70</f>
        <v>Medium</v>
      </c>
      <c r="C94" s="404">
        <f>'G-1 All Habitats'!O70</f>
        <v>0.67</v>
      </c>
      <c r="D94" s="404" t="str">
        <f>'G-1 All Habitats'!P70</f>
        <v>Medium</v>
      </c>
      <c r="E94" s="404">
        <f>'G-1 All Habitats'!Q70</f>
        <v>0.67</v>
      </c>
    </row>
    <row r="95" spans="1:5">
      <c r="A95" s="85" t="str">
        <f>'G-1 All Habitats'!B71</f>
        <v>Urban - Introduced shrub</v>
      </c>
      <c r="B95" s="404" t="str">
        <f>'G-1 All Habitats'!N71</f>
        <v>Low</v>
      </c>
      <c r="C95" s="404">
        <f>'G-1 All Habitats'!O71</f>
        <v>1</v>
      </c>
      <c r="D95" s="404" t="str">
        <f>'G-1 All Habitats'!P71</f>
        <v>Low</v>
      </c>
      <c r="E95" s="404">
        <f>'G-1 All Habitats'!Q71</f>
        <v>1</v>
      </c>
    </row>
    <row r="96" spans="1:5">
      <c r="A96" s="85" t="str">
        <f>'G-1 All Habitats'!B72</f>
        <v>Urban - Open mosaic habitats on previously developed land</v>
      </c>
      <c r="B96" s="404" t="str">
        <f>'G-1 All Habitats'!N72</f>
        <v>Medium</v>
      </c>
      <c r="C96" s="404">
        <f>'G-1 All Habitats'!O72</f>
        <v>0.67</v>
      </c>
      <c r="D96" s="404" t="str">
        <f>'G-1 All Habitats'!P72</f>
        <v>Medium</v>
      </c>
      <c r="E96" s="404">
        <f>'G-1 All Habitats'!Q72</f>
        <v>0.67</v>
      </c>
    </row>
    <row r="97" spans="1:5">
      <c r="A97" s="85" t="str">
        <f>'G-1 All Habitats'!B73</f>
        <v>Urban - Rain garden</v>
      </c>
      <c r="B97" s="404" t="str">
        <f>'G-1 All Habitats'!N73</f>
        <v>Low</v>
      </c>
      <c r="C97" s="404">
        <f>'G-1 All Habitats'!O73</f>
        <v>1</v>
      </c>
      <c r="D97" s="404" t="str">
        <f>'G-1 All Habitats'!P73</f>
        <v>Low</v>
      </c>
      <c r="E97" s="404">
        <f>'G-1 All Habitats'!Q73</f>
        <v>1</v>
      </c>
    </row>
    <row r="98" spans="1:5">
      <c r="A98" s="85" t="str">
        <f>'G-1 All Habitats'!B74</f>
        <v>Urban - Actively worked sand pit quarry or open cast mine</v>
      </c>
      <c r="B98" s="404" t="str">
        <f>'G-1 All Habitats'!N74</f>
        <v>Medium</v>
      </c>
      <c r="C98" s="404">
        <f>'G-1 All Habitats'!O74</f>
        <v>0.67</v>
      </c>
      <c r="D98" s="404" t="str">
        <f>'G-1 All Habitats'!P74</f>
        <v>Medium</v>
      </c>
      <c r="E98" s="404">
        <f>'G-1 All Habitats'!Q74</f>
        <v>0.67</v>
      </c>
    </row>
    <row r="99" spans="1:5">
      <c r="A99" s="85" t="str">
        <f>'G-1 All Habitats'!B80</f>
        <v>Individual trees - Urban tree</v>
      </c>
      <c r="B99" s="404" t="str">
        <f>'G-1 All Habitats'!N80</f>
        <v>Low</v>
      </c>
      <c r="C99" s="404">
        <f>'G-1 All Habitats'!O80</f>
        <v>1</v>
      </c>
      <c r="D99" s="404" t="str">
        <f>'G-1 All Habitats'!P80</f>
        <v>Low</v>
      </c>
      <c r="E99" s="404">
        <f>'G-1 All Habitats'!Q80</f>
        <v>1</v>
      </c>
    </row>
    <row r="100" spans="1:5">
      <c r="A100" s="85" t="str">
        <f>'G-1 All Habitats'!B75</f>
        <v>Urban - Sustainable drainage system</v>
      </c>
      <c r="B100" s="404" t="str">
        <f>'G-1 All Habitats'!N75</f>
        <v>Medium</v>
      </c>
      <c r="C100" s="404">
        <f>'G-1 All Habitats'!O75</f>
        <v>0.67</v>
      </c>
      <c r="D100" s="404" t="str">
        <f>'G-1 All Habitats'!P75</f>
        <v>Medium</v>
      </c>
      <c r="E100" s="404">
        <f>'G-1 All Habitats'!Q75</f>
        <v>0.67</v>
      </c>
    </row>
    <row r="101" spans="1:5">
      <c r="A101" s="85" t="str">
        <f>'G-1 All Habitats'!B76</f>
        <v>Urban - Unvegetated garden</v>
      </c>
      <c r="B101" s="404" t="str">
        <f>'G-1 All Habitats'!N76</f>
        <v>Low</v>
      </c>
      <c r="C101" s="404">
        <f>'G-1 All Habitats'!O76</f>
        <v>1</v>
      </c>
      <c r="D101" s="404" t="str">
        <f>'G-1 All Habitats'!P76</f>
        <v>Low</v>
      </c>
      <c r="E101" s="404">
        <f>'G-1 All Habitats'!Q76</f>
        <v>1</v>
      </c>
    </row>
    <row r="102" spans="1:5">
      <c r="A102" s="85" t="str">
        <f>'G-1 All Habitats'!B79</f>
        <v>Urban - Vegetated garden</v>
      </c>
      <c r="B102" s="404" t="str">
        <f>'G-1 All Habitats'!N79</f>
        <v>Low</v>
      </c>
      <c r="C102" s="404">
        <f>'G-1 All Habitats'!O79</f>
        <v>1</v>
      </c>
      <c r="D102" s="404" t="str">
        <f>'G-1 All Habitats'!P79</f>
        <v>Low</v>
      </c>
      <c r="E102" s="404">
        <f>'G-1 All Habitats'!Q79</f>
        <v>1</v>
      </c>
    </row>
    <row r="103" spans="1:5">
      <c r="A103" s="85" t="str">
        <f>'G-1 All Habitats'!B82</f>
        <v>Wetland - Blanket bog</v>
      </c>
      <c r="B103" s="404" t="str">
        <f>'G-1 All Habitats'!N82</f>
        <v>Very High</v>
      </c>
      <c r="C103" s="404">
        <f>'G-1 All Habitats'!O82</f>
        <v>0.1</v>
      </c>
      <c r="D103" s="404" t="str">
        <f>'G-1 All Habitats'!P82</f>
        <v>High</v>
      </c>
      <c r="E103" s="404">
        <f>'G-1 All Habitats'!Q82</f>
        <v>0.33</v>
      </c>
    </row>
    <row r="104" spans="1:5">
      <c r="A104" s="85" t="str">
        <f>'G-1 All Habitats'!B83</f>
        <v>Wetland - Depressions on peat substrates (H7150)</v>
      </c>
      <c r="B104" s="404" t="str">
        <f>'G-1 All Habitats'!N83</f>
        <v>Very High</v>
      </c>
      <c r="C104" s="404">
        <f>'G-1 All Habitats'!O83</f>
        <v>0.1</v>
      </c>
      <c r="D104" s="404" t="str">
        <f>'G-1 All Habitats'!P83</f>
        <v>High</v>
      </c>
      <c r="E104" s="404">
        <f>'G-1 All Habitats'!Q83</f>
        <v>0.33</v>
      </c>
    </row>
    <row r="105" spans="1:5">
      <c r="A105" s="85" t="str">
        <f>'G-1 All Habitats'!B84</f>
        <v>Wetland - Fens (upland and lowland)</v>
      </c>
      <c r="B105" s="404" t="str">
        <f>'G-1 All Habitats'!N84</f>
        <v>High</v>
      </c>
      <c r="C105" s="404">
        <f>'G-1 All Habitats'!O84</f>
        <v>0.33</v>
      </c>
      <c r="D105" s="404" t="str">
        <f>'G-1 All Habitats'!P84</f>
        <v>High</v>
      </c>
      <c r="E105" s="404">
        <f>'G-1 All Habitats'!Q84</f>
        <v>0.33</v>
      </c>
    </row>
    <row r="106" spans="1:5">
      <c r="A106" s="85" t="str">
        <f>'G-1 All Habitats'!B85</f>
        <v>Wetland - Lowland raised bog</v>
      </c>
      <c r="B106" s="404" t="str">
        <f>'G-1 All Habitats'!N85</f>
        <v>Very High</v>
      </c>
      <c r="C106" s="404">
        <f>'G-1 All Habitats'!O85</f>
        <v>0.1</v>
      </c>
      <c r="D106" s="404" t="str">
        <f>'G-1 All Habitats'!P85</f>
        <v>High</v>
      </c>
      <c r="E106" s="404">
        <f>'G-1 All Habitats'!Q85</f>
        <v>0.33</v>
      </c>
    </row>
    <row r="107" spans="1:5">
      <c r="A107" s="85" t="str">
        <f>'G-1 All Habitats'!B86</f>
        <v>Wetland - Oceanic valley mire[1] (D2.1)</v>
      </c>
      <c r="B107" s="404" t="str">
        <f>'G-1 All Habitats'!N86</f>
        <v>Very High</v>
      </c>
      <c r="C107" s="404">
        <f>'G-1 All Habitats'!O86</f>
        <v>0.1</v>
      </c>
      <c r="D107" s="404" t="str">
        <f>'G-1 All Habitats'!P86</f>
        <v>High</v>
      </c>
      <c r="E107" s="404">
        <f>'G-1 All Habitats'!Q86</f>
        <v>0.33</v>
      </c>
    </row>
    <row r="108" spans="1:5">
      <c r="A108" s="85" t="str">
        <f>'G-1 All Habitats'!B87</f>
        <v>Wetland - Purple moor grass and rush pastures</v>
      </c>
      <c r="B108" s="404" t="str">
        <f>'G-1 All Habitats'!N87</f>
        <v>High</v>
      </c>
      <c r="C108" s="404">
        <f>'G-1 All Habitats'!O87</f>
        <v>0.33</v>
      </c>
      <c r="D108" s="404" t="str">
        <f>'G-1 All Habitats'!P87</f>
        <v>High</v>
      </c>
      <c r="E108" s="404">
        <f>'G-1 All Habitats'!Q87</f>
        <v>0.33</v>
      </c>
    </row>
    <row r="109" spans="1:5">
      <c r="A109" s="85" t="str">
        <f>'G-1 All Habitats'!B88</f>
        <v>Wetland - Reedbeds</v>
      </c>
      <c r="B109" s="404" t="str">
        <f>'G-1 All Habitats'!N88</f>
        <v>Medium</v>
      </c>
      <c r="C109" s="404">
        <f>'G-1 All Habitats'!O88</f>
        <v>0.67</v>
      </c>
      <c r="D109" s="404" t="str">
        <f>'G-1 All Habitats'!P88</f>
        <v>Medium</v>
      </c>
      <c r="E109" s="404">
        <f>'G-1 All Habitats'!Q88</f>
        <v>0.67</v>
      </c>
    </row>
    <row r="110" spans="1:5">
      <c r="A110" s="85" t="str">
        <f>'G-1 All Habitats'!B89</f>
        <v>Wetland - Transition mires and quaking bogs (H7140)</v>
      </c>
      <c r="B110" s="404" t="str">
        <f>'G-1 All Habitats'!N89</f>
        <v>Very High</v>
      </c>
      <c r="C110" s="404">
        <f>'G-1 All Habitats'!O89</f>
        <v>0.1</v>
      </c>
      <c r="D110" s="404" t="str">
        <f>'G-1 All Habitats'!P89</f>
        <v>High</v>
      </c>
      <c r="E110" s="404">
        <f>'G-1 All Habitats'!Q89</f>
        <v>0.33</v>
      </c>
    </row>
    <row r="111" spans="1:5">
      <c r="A111" s="85" t="str">
        <f>'G-1 All Habitats'!B90</f>
        <v>Woodland and forest - Felled</v>
      </c>
      <c r="B111" s="404" t="s">
        <v>213</v>
      </c>
      <c r="C111" s="404">
        <f>'G-1 All Habitats'!O90</f>
        <v>0.33</v>
      </c>
      <c r="D111" s="404" t="str">
        <f>'G-1 All Habitats'!P90</f>
        <v>Low</v>
      </c>
      <c r="E111" s="404">
        <f>'G-1 All Habitats'!Q90</f>
        <v>1</v>
      </c>
    </row>
    <row r="112" spans="1:5">
      <c r="A112" s="85" t="str">
        <f>'G-1 All Habitats'!B91</f>
        <v>Woodland and forest - Lowland beech and yew woodland</v>
      </c>
      <c r="B112" s="404" t="str">
        <f>'G-1 All Habitats'!N91</f>
        <v>High</v>
      </c>
      <c r="C112" s="404">
        <f>'G-1 All Habitats'!O91</f>
        <v>0.33</v>
      </c>
      <c r="D112" s="404" t="str">
        <f>'G-1 All Habitats'!P91</f>
        <v>High</v>
      </c>
      <c r="E112" s="404">
        <f>'G-1 All Habitats'!Q91</f>
        <v>0.33</v>
      </c>
    </row>
    <row r="113" spans="1:5">
      <c r="A113" s="85" t="str">
        <f>'G-1 All Habitats'!B92</f>
        <v>Woodland and forest - Lowland mixed deciduous woodland</v>
      </c>
      <c r="B113" s="404" t="str">
        <f>'G-1 All Habitats'!N92</f>
        <v>High</v>
      </c>
      <c r="C113" s="404">
        <f>'G-1 All Habitats'!O92</f>
        <v>0.33</v>
      </c>
      <c r="D113" s="404" t="str">
        <f>'G-1 All Habitats'!P92</f>
        <v>High</v>
      </c>
      <c r="E113" s="404">
        <f>'G-1 All Habitats'!Q92</f>
        <v>0.33</v>
      </c>
    </row>
    <row r="114" spans="1:5">
      <c r="A114" s="85" t="str">
        <f>'G-1 All Habitats'!B93</f>
        <v>Woodland and forest - Native pine woodlands</v>
      </c>
      <c r="B114" s="404" t="str">
        <f>'G-1 All Habitats'!N93</f>
        <v>High</v>
      </c>
      <c r="C114" s="404">
        <f>'G-1 All Habitats'!O93</f>
        <v>0.33</v>
      </c>
      <c r="D114" s="404" t="str">
        <f>'G-1 All Habitats'!P93</f>
        <v>High</v>
      </c>
      <c r="E114" s="404">
        <f>'G-1 All Habitats'!Q93</f>
        <v>0.33</v>
      </c>
    </row>
    <row r="115" spans="1:5">
      <c r="A115" s="85" t="str">
        <f>'G-1 All Habitats'!B94</f>
        <v>Woodland and forest - Other coniferous woodland</v>
      </c>
      <c r="B115" s="404" t="str">
        <f>'G-1 All Habitats'!N94</f>
        <v>Low</v>
      </c>
      <c r="C115" s="404">
        <f>'G-1 All Habitats'!O94</f>
        <v>1</v>
      </c>
      <c r="D115" s="404" t="str">
        <f>'G-1 All Habitats'!P94</f>
        <v>Low</v>
      </c>
      <c r="E115" s="404">
        <f>'G-1 All Habitats'!Q94</f>
        <v>1</v>
      </c>
    </row>
    <row r="116" spans="1:5">
      <c r="A116" s="85" t="str">
        <f>'G-1 All Habitats'!B95</f>
        <v>Woodland and forest - Other Scot's pine woodland</v>
      </c>
      <c r="B116" s="404" t="str">
        <f>'G-1 All Habitats'!N95</f>
        <v>Medium</v>
      </c>
      <c r="C116" s="404">
        <f>'G-1 All Habitats'!O95</f>
        <v>0.67</v>
      </c>
      <c r="D116" s="404" t="str">
        <f>'G-1 All Habitats'!P95</f>
        <v>Medium</v>
      </c>
      <c r="E116" s="404">
        <f>'G-1 All Habitats'!Q95</f>
        <v>0.67</v>
      </c>
    </row>
    <row r="117" spans="1:5">
      <c r="A117" s="85" t="str">
        <f>'G-1 All Habitats'!B96</f>
        <v>Woodland and forest - Other woodland; broadleaved</v>
      </c>
      <c r="B117" s="404" t="str">
        <f>'G-1 All Habitats'!N96</f>
        <v>Low</v>
      </c>
      <c r="C117" s="404">
        <f>'G-1 All Habitats'!O96</f>
        <v>1</v>
      </c>
      <c r="D117" s="404" t="str">
        <f>'G-1 All Habitats'!P96</f>
        <v>Low</v>
      </c>
      <c r="E117" s="404">
        <f>'G-1 All Habitats'!Q96</f>
        <v>1</v>
      </c>
    </row>
    <row r="118" spans="1:5">
      <c r="A118" s="85" t="str">
        <f>'G-1 All Habitats'!B97</f>
        <v>Woodland and forest - Other woodland; mixed</v>
      </c>
      <c r="B118" s="404" t="str">
        <f>'G-1 All Habitats'!N97</f>
        <v>Low</v>
      </c>
      <c r="C118" s="404">
        <f>'G-1 All Habitats'!O97</f>
        <v>1</v>
      </c>
      <c r="D118" s="404" t="str">
        <f>'G-1 All Habitats'!P97</f>
        <v>Low</v>
      </c>
      <c r="E118" s="404">
        <f>'G-1 All Habitats'!Q97</f>
        <v>1</v>
      </c>
    </row>
    <row r="119" spans="1:5">
      <c r="A119" s="85" t="str">
        <f>'G-1 All Habitats'!B98</f>
        <v>Woodland and forest - Upland birchwoods</v>
      </c>
      <c r="B119" s="404" t="str">
        <f>'G-1 All Habitats'!N98</f>
        <v>Medium</v>
      </c>
      <c r="C119" s="404">
        <f>'G-1 All Habitats'!O98</f>
        <v>0.67</v>
      </c>
      <c r="D119" s="404" t="str">
        <f>'G-1 All Habitats'!P98</f>
        <v>Medium</v>
      </c>
      <c r="E119" s="404">
        <f>'G-1 All Habitats'!Q98</f>
        <v>0.67</v>
      </c>
    </row>
    <row r="120" spans="1:5">
      <c r="A120" s="85" t="str">
        <f>'G-1 All Habitats'!B99</f>
        <v>Woodland and forest - Upland mixed ashwoods</v>
      </c>
      <c r="B120" s="404" t="str">
        <f>'G-1 All Habitats'!N99</f>
        <v>High</v>
      </c>
      <c r="C120" s="404">
        <f>'G-1 All Habitats'!O99</f>
        <v>0.33</v>
      </c>
      <c r="D120" s="404" t="str">
        <f>'G-1 All Habitats'!P99</f>
        <v>High</v>
      </c>
      <c r="E120" s="404">
        <f>'G-1 All Habitats'!Q99</f>
        <v>0.33</v>
      </c>
    </row>
    <row r="121" spans="1:5">
      <c r="A121" s="85" t="str">
        <f>'G-1 All Habitats'!B100</f>
        <v>Woodland and forest - Upland oakwood</v>
      </c>
      <c r="B121" s="404" t="str">
        <f>'G-1 All Habitats'!N100</f>
        <v>High</v>
      </c>
      <c r="C121" s="404">
        <f>'G-1 All Habitats'!O100</f>
        <v>0.33</v>
      </c>
      <c r="D121" s="404" t="str">
        <f>'G-1 All Habitats'!P100</f>
        <v>High</v>
      </c>
      <c r="E121" s="404">
        <f>'G-1 All Habitats'!Q100</f>
        <v>0.33</v>
      </c>
    </row>
    <row r="122" spans="1:5">
      <c r="A122" s="85" t="str">
        <f>'G-1 All Habitats'!B101</f>
        <v>Woodland and forest - Wet woodland</v>
      </c>
      <c r="B122" s="404" t="str">
        <f>'G-1 All Habitats'!N101</f>
        <v>Medium</v>
      </c>
      <c r="C122" s="404">
        <f>'G-1 All Habitats'!O101</f>
        <v>0.67</v>
      </c>
      <c r="D122" s="404" t="str">
        <f>'G-1 All Habitats'!P101</f>
        <v>Medium</v>
      </c>
      <c r="E122" s="404">
        <f>'G-1 All Habitats'!Q101</f>
        <v>0.67</v>
      </c>
    </row>
    <row r="123" spans="1:5">
      <c r="A123" s="85" t="str">
        <f>'G-1 All Habitats'!B102</f>
        <v>Woodland and forest - Wood-pasture and parkland</v>
      </c>
      <c r="B123" s="404" t="str">
        <f>'G-1 All Habitats'!N102</f>
        <v>Very High</v>
      </c>
      <c r="C123" s="404">
        <f>'G-1 All Habitats'!O102</f>
        <v>0.1</v>
      </c>
      <c r="D123" s="404" t="str">
        <f>'G-1 All Habitats'!P102</f>
        <v>High</v>
      </c>
      <c r="E123" s="404">
        <f>'G-1 All Habitats'!Q102</f>
        <v>0.33</v>
      </c>
    </row>
    <row r="124" spans="1:5">
      <c r="A124" s="85" t="str">
        <f>'G-1 All Habitats'!B129</f>
        <v>Intertidal sediment - Littoral sand</v>
      </c>
      <c r="B124" s="404" t="str">
        <f>'G-1 All Habitats'!N129</f>
        <v>Medium</v>
      </c>
      <c r="C124" s="404">
        <f>'G-1 All Habitats'!O129</f>
        <v>0.67</v>
      </c>
      <c r="D124" s="404" t="str">
        <f>'G-1 All Habitats'!P129</f>
        <v>Medium</v>
      </c>
      <c r="E124" s="404">
        <f>'G-1 All Habitats'!Q129</f>
        <v>0.67</v>
      </c>
    </row>
    <row r="125" spans="1:5">
      <c r="A125" s="85" t="str">
        <f>'G-1 All Habitats'!B130</f>
        <v>Intertidal sediment - Littoral muddy sand</v>
      </c>
      <c r="B125" s="404" t="str">
        <f>'G-1 All Habitats'!N130</f>
        <v>High</v>
      </c>
      <c r="C125" s="404">
        <f>'G-1 All Habitats'!O130</f>
        <v>0.33</v>
      </c>
      <c r="D125" s="404" t="str">
        <f>'G-1 All Habitats'!P130</f>
        <v>Medium</v>
      </c>
      <c r="E125" s="404">
        <f>'G-1 All Habitats'!Q130</f>
        <v>0.67</v>
      </c>
    </row>
    <row r="126" spans="1:5">
      <c r="A126" s="85" t="str">
        <f>'G-1 All Habitats'!B131</f>
        <v>Intertidal hard structures - Artificial hard structures</v>
      </c>
      <c r="B126" s="404" t="str">
        <f>'G-1 All Habitats'!N131</f>
        <v>Medium</v>
      </c>
      <c r="C126" s="404">
        <f>'G-1 All Habitats'!O131</f>
        <v>0.67</v>
      </c>
      <c r="D126" s="404" t="str">
        <f>'G-1 All Habitats'!P131</f>
        <v>Medium</v>
      </c>
      <c r="E126" s="404">
        <f>'G-1 All Habitats'!Q131</f>
        <v>0.67</v>
      </c>
    </row>
    <row r="127" spans="1:5">
      <c r="A127" s="85" t="str">
        <f>'G-1 All Habitats'!B132</f>
        <v>Intertidal hard structures - Artificial features of hard structures</v>
      </c>
      <c r="B127" s="404" t="str">
        <f>'G-1 All Habitats'!N132</f>
        <v>Medium</v>
      </c>
      <c r="C127" s="404">
        <f>'G-1 All Habitats'!O132</f>
        <v>0.67</v>
      </c>
      <c r="D127" s="404" t="str">
        <f>'G-1 All Habitats'!P132</f>
        <v>Medium</v>
      </c>
      <c r="E127" s="404">
        <f>'G-1 All Habitats'!Q132</f>
        <v>0.67</v>
      </c>
    </row>
    <row r="128" spans="1:5">
      <c r="A128" s="85" t="str">
        <f>'G-1 All Habitats'!B133</f>
        <v>Intertidal hard structures - Artificial hard structures with integrated greening of grey infrastructure (IGGI)</v>
      </c>
      <c r="B128" s="404" t="str">
        <f>'G-1 All Habitats'!N133</f>
        <v>Medium</v>
      </c>
      <c r="C128" s="404">
        <f>'G-1 All Habitats'!O133</f>
        <v>0.67</v>
      </c>
      <c r="D128" s="404" t="str">
        <f>'G-1 All Habitats'!P133</f>
        <v>Medium</v>
      </c>
      <c r="E128" s="404">
        <f>'G-1 All Habitats'!Q133</f>
        <v>0.67</v>
      </c>
    </row>
    <row r="129" spans="1:5">
      <c r="A129" s="85" t="str">
        <f>'G-1 All Habitats'!B113</f>
        <v>Coastal saltmarsh - Artificial saltmarshes and saline reedbeds</v>
      </c>
      <c r="B129" s="404" t="str">
        <f>'G-1 All Habitats'!N113</f>
        <v>High</v>
      </c>
      <c r="C129" s="404">
        <f>'G-1 All Habitats'!O113</f>
        <v>0.33</v>
      </c>
      <c r="D129" s="404" t="str">
        <f>'G-1 All Habitats'!P113</f>
        <v>Medium</v>
      </c>
      <c r="E129" s="404">
        <f>'G-1 All Habitats'!Q113</f>
        <v>0.67</v>
      </c>
    </row>
    <row r="130" spans="1:5">
      <c r="A130" s="85" t="str">
        <f>'G-1 All Habitats'!B119</f>
        <v>Intertidal sediment - Littoral biogenic reefs - Mussels</v>
      </c>
      <c r="B130" s="404" t="str">
        <f>'G-1 All Habitats'!N119</f>
        <v>High</v>
      </c>
      <c r="C130" s="404">
        <f>'G-1 All Habitats'!O119</f>
        <v>0.33</v>
      </c>
      <c r="D130" s="404" t="str">
        <f>'G-1 All Habitats'!P119</f>
        <v>Medium</v>
      </c>
      <c r="E130" s="404">
        <f>'G-1 All Habitats'!Q119</f>
        <v>0.67</v>
      </c>
    </row>
    <row r="131" spans="1:5">
      <c r="A131" s="85" t="str">
        <f>'G-1 All Habitats'!B123</f>
        <v>Intertidal sediment - Artificial littoral mud</v>
      </c>
      <c r="B131" s="404" t="str">
        <f>'G-1 All Habitats'!N123</f>
        <v>High</v>
      </c>
      <c r="C131" s="404">
        <f>'G-1 All Habitats'!O123</f>
        <v>0.33</v>
      </c>
      <c r="D131" s="404" t="str">
        <f>'G-1 All Habitats'!P123</f>
        <v>Medium</v>
      </c>
      <c r="E131" s="404">
        <f>'G-1 All Habitats'!Q123</f>
        <v>0.67</v>
      </c>
    </row>
    <row r="132" spans="1:5">
      <c r="A132" s="85" t="str">
        <f>'G-1 All Habitats'!B124</f>
        <v>Intertidal sediment - Artificial littoral sand</v>
      </c>
      <c r="B132" s="404" t="str">
        <f>'G-1 All Habitats'!N124</f>
        <v>Medium</v>
      </c>
      <c r="C132" s="404">
        <f>'G-1 All Habitats'!O124</f>
        <v>0.67</v>
      </c>
      <c r="D132" s="404" t="str">
        <f>'G-1 All Habitats'!P124</f>
        <v>Medium</v>
      </c>
      <c r="E132" s="404">
        <f>'G-1 All Habitats'!Q124</f>
        <v>0.67</v>
      </c>
    </row>
    <row r="133" spans="1:5">
      <c r="A133" s="85" t="s">
        <v>926</v>
      </c>
      <c r="B133" s="404" t="s">
        <v>216</v>
      </c>
      <c r="C133" s="404">
        <v>1</v>
      </c>
      <c r="D133" s="404" t="s">
        <v>216</v>
      </c>
      <c r="E133" s="404">
        <v>1</v>
      </c>
    </row>
    <row r="134" spans="1:5">
      <c r="A134" s="85" t="str">
        <f>'G-1 All Habitats'!B81</f>
        <v>Individual trees - Rural tree</v>
      </c>
      <c r="B134" s="404" t="str">
        <f>'G-1 All Habitats'!N81</f>
        <v>Low</v>
      </c>
      <c r="C134" s="404">
        <f>'G-1 All Habitats'!O81</f>
        <v>1</v>
      </c>
      <c r="D134" s="404" t="str">
        <f>'G-1 All Habitats'!P81</f>
        <v>Low</v>
      </c>
      <c r="E134" s="404">
        <f>'G-1 All Habitats'!Q81</f>
        <v>1</v>
      </c>
    </row>
    <row r="135" spans="1:5"/>
    <row r="136" spans="1:5"/>
    <row r="137" spans="1:5"/>
    <row r="138" spans="1:5"/>
    <row r="139" spans="1:5"/>
    <row r="140" spans="1:5"/>
    <row r="141" spans="1:5"/>
    <row r="142" spans="1:5"/>
    <row r="143" spans="1:5"/>
    <row r="144" spans="1:5"/>
    <row r="145"/>
    <row r="146"/>
  </sheetData>
  <sheetProtection algorithmName="SHA-512" hashValue="LX37gJl8cKRLdrJt3rLfCPzhSiJkYJBmr5kZ0OGhpPseuhqQ5FtnIMlwap/PQlYMO1r1UVWN12N1noRPFG86vQ==" saltValue="BV2kjpD7Kr636uyF8gnB7w==" spinCount="100000" sheet="1" objects="1" scenarios="1"/>
  <autoFilter ref="A2:E124" xr:uid="{00000000-0009-0000-0000-00001E000000}">
    <sortState ref="A9:E143">
      <sortCondition ref="A2:A143"/>
    </sortState>
  </autoFilter>
  <customSheetViews>
    <customSheetView guid="{8BDA793C-C9C5-4FC6-A0A5-F1109F6D4F22}" state="hidden">
      <selection activeCell="D14" sqref="D14"/>
    </customSheetView>
  </customSheetViews>
  <mergeCells count="7">
    <mergeCell ref="W2:Z2"/>
    <mergeCell ref="S2:T2"/>
    <mergeCell ref="A1:E1"/>
    <mergeCell ref="L2:N2"/>
    <mergeCell ref="H2:J2"/>
    <mergeCell ref="L1:N1"/>
    <mergeCell ref="P1:Q1"/>
  </mergeCells>
  <dataValidations count="2">
    <dataValidation type="list" allowBlank="1" showInputMessage="1" showErrorMessage="1" sqref="B3:B134 D3:D134" xr:uid="{00000000-0002-0000-1E00-000000000000}">
      <formula1>$P$3:$P$6</formula1>
    </dataValidation>
    <dataValidation type="list" allowBlank="1" showInputMessage="1" showErrorMessage="1" sqref="C3:C134" xr:uid="{00000000-0002-0000-1E00-000001000000}">
      <formula1>$Q$3:$Q$6</formula1>
    </dataValidation>
  </dataValidations>
  <pageMargins left="0.7" right="0.7" top="0.75" bottom="0.75" header="0.3" footer="0.3"/>
  <pageSetup paperSize="9" orientation="portrait" r:id="rId1"/>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Sheet17">
    <tabColor rgb="FFFFC000"/>
    <pageSetUpPr fitToPage="1"/>
  </sheetPr>
  <dimension ref="A1:AH153"/>
  <sheetViews>
    <sheetView showGridLines="0" zoomScale="80" zoomScaleNormal="80" workbookViewId="0">
      <pane xSplit="6" ySplit="3" topLeftCell="G4" activePane="bottomRight" state="frozen"/>
      <selection pane="topRight"/>
      <selection pane="bottomLeft"/>
      <selection pane="bottomRight" sqref="A1:C1"/>
    </sheetView>
  </sheetViews>
  <sheetFormatPr defaultColWidth="0" defaultRowHeight="15" zeroHeight="1"/>
  <cols>
    <col min="1" max="1" width="14.5703125" style="30" customWidth="1"/>
    <col min="2" max="2" width="16.5703125" style="30" customWidth="1"/>
    <col min="3" max="3" width="16.42578125" style="30" customWidth="1"/>
    <col min="4" max="4" width="3" style="30" customWidth="1"/>
    <col min="5" max="5" width="4.28515625" style="30" customWidth="1"/>
    <col min="6" max="6" width="88.7109375" style="30" bestFit="1" customWidth="1"/>
    <col min="7" max="7" width="13.28515625" style="30" bestFit="1" customWidth="1"/>
    <col min="8" max="8" width="18.5703125" style="30" bestFit="1" customWidth="1"/>
    <col min="9" max="9" width="16.7109375" style="30" bestFit="1" customWidth="1"/>
    <col min="10" max="10" width="17.7109375" style="30" bestFit="1" customWidth="1"/>
    <col min="11" max="11" width="13" style="30" bestFit="1" customWidth="1"/>
    <col min="12" max="12" width="23.5703125" style="30" bestFit="1" customWidth="1"/>
    <col min="13" max="13" width="18.5703125" style="30" bestFit="1" customWidth="1"/>
    <col min="14" max="14" width="9.28515625" style="30" customWidth="1"/>
    <col min="15" max="16" width="12.28515625" style="30" customWidth="1"/>
    <col min="17" max="17" width="12.7109375" style="30" customWidth="1"/>
    <col min="18" max="18" width="11.42578125" style="30" customWidth="1"/>
    <col min="19" max="33" width="9.28515625" style="30" customWidth="1"/>
    <col min="34" max="34" width="8.28515625" style="30" hidden="1" customWidth="1"/>
    <col min="35" max="16384" width="9.28515625" style="30" hidden="1"/>
  </cols>
  <sheetData>
    <row r="1" spans="1:13" ht="55.15" customHeight="1">
      <c r="A1" s="1651"/>
      <c r="B1" s="1651"/>
      <c r="C1" s="1651"/>
      <c r="F1" s="227"/>
      <c r="G1" s="227"/>
      <c r="H1" s="227"/>
      <c r="I1" s="227"/>
      <c r="J1" s="227"/>
      <c r="K1" s="227"/>
      <c r="L1" s="227"/>
      <c r="M1" s="227"/>
    </row>
    <row r="2" spans="1:13" ht="29.65" customHeight="1">
      <c r="A2" s="1650" t="s">
        <v>1043</v>
      </c>
      <c r="B2" s="1650"/>
      <c r="C2" s="1650"/>
      <c r="F2" s="228"/>
      <c r="G2" s="1652" t="s">
        <v>1044</v>
      </c>
      <c r="H2" s="1652"/>
      <c r="I2" s="1652"/>
      <c r="J2" s="1652"/>
      <c r="K2" s="1652"/>
      <c r="L2" s="1652"/>
      <c r="M2" s="1653"/>
    </row>
    <row r="3" spans="1:13" ht="30">
      <c r="A3" s="78" t="s">
        <v>1045</v>
      </c>
      <c r="B3" s="78" t="s">
        <v>1046</v>
      </c>
      <c r="C3" s="78" t="s">
        <v>1047</v>
      </c>
      <c r="F3" s="229" t="s">
        <v>933</v>
      </c>
      <c r="G3" s="79" t="s">
        <v>68</v>
      </c>
      <c r="H3" s="79" t="s">
        <v>472</v>
      </c>
      <c r="I3" s="79" t="s">
        <v>67</v>
      </c>
      <c r="J3" s="79" t="s">
        <v>482</v>
      </c>
      <c r="K3" s="100" t="s">
        <v>328</v>
      </c>
      <c r="L3" s="100" t="s">
        <v>492</v>
      </c>
      <c r="M3" s="79" t="s">
        <v>496</v>
      </c>
    </row>
    <row r="4" spans="1:13">
      <c r="A4" s="79">
        <v>0</v>
      </c>
      <c r="B4" s="404">
        <v>100</v>
      </c>
      <c r="C4" s="492">
        <v>1</v>
      </c>
      <c r="F4" s="68" t="str">
        <f>'G-1 All Habitats'!B3</f>
        <v>Cropland - Arable field margins cultivated annually</v>
      </c>
      <c r="G4" s="404" t="s">
        <v>1048</v>
      </c>
      <c r="H4" s="404" t="s">
        <v>1048</v>
      </c>
      <c r="I4" s="404" t="s">
        <v>1048</v>
      </c>
      <c r="J4" s="404" t="s">
        <v>1048</v>
      </c>
      <c r="K4" s="404" t="s">
        <v>1048</v>
      </c>
      <c r="L4" s="404">
        <v>1</v>
      </c>
      <c r="M4" s="404" t="s">
        <v>1048</v>
      </c>
    </row>
    <row r="5" spans="1:13">
      <c r="A5" s="79">
        <v>1</v>
      </c>
      <c r="B5" s="404">
        <v>96.5</v>
      </c>
      <c r="C5" s="492">
        <v>0.96499999999999997</v>
      </c>
      <c r="F5" s="68" t="str">
        <f>'G-1 All Habitats'!B4</f>
        <v>Cropland - Arable field margins game bird mix</v>
      </c>
      <c r="G5" s="404" t="s">
        <v>1048</v>
      </c>
      <c r="H5" s="404" t="s">
        <v>1048</v>
      </c>
      <c r="I5" s="404" t="s">
        <v>1048</v>
      </c>
      <c r="J5" s="404" t="s">
        <v>1048</v>
      </c>
      <c r="K5" s="404" t="s">
        <v>1048</v>
      </c>
      <c r="L5" s="404">
        <v>1</v>
      </c>
      <c r="M5" s="404" t="s">
        <v>1048</v>
      </c>
    </row>
    <row r="6" spans="1:13">
      <c r="A6" s="79">
        <v>2</v>
      </c>
      <c r="B6" s="404">
        <v>93.122500000000002</v>
      </c>
      <c r="C6" s="492">
        <v>0.93122499999999997</v>
      </c>
      <c r="F6" s="68" t="str">
        <f>'G-1 All Habitats'!B5</f>
        <v>Cropland - Arable field margins pollen and nectar</v>
      </c>
      <c r="G6" s="404" t="s">
        <v>1048</v>
      </c>
      <c r="H6" s="404" t="s">
        <v>1048</v>
      </c>
      <c r="I6" s="404" t="s">
        <v>1048</v>
      </c>
      <c r="J6" s="404" t="s">
        <v>1048</v>
      </c>
      <c r="K6" s="404" t="s">
        <v>1048</v>
      </c>
      <c r="L6" s="404">
        <v>1</v>
      </c>
      <c r="M6" s="404" t="s">
        <v>1048</v>
      </c>
    </row>
    <row r="7" spans="1:13">
      <c r="A7" s="79">
        <v>3</v>
      </c>
      <c r="B7" s="404">
        <v>89.863212500000003</v>
      </c>
      <c r="C7" s="492">
        <v>0.898632125</v>
      </c>
      <c r="F7" s="68" t="str">
        <f>'G-1 All Habitats'!B6</f>
        <v>Cropland - Arable field margins tussocky</v>
      </c>
      <c r="G7" s="404" t="s">
        <v>1048</v>
      </c>
      <c r="H7" s="404" t="s">
        <v>1048</v>
      </c>
      <c r="I7" s="404" t="s">
        <v>1048</v>
      </c>
      <c r="J7" s="404" t="s">
        <v>1048</v>
      </c>
      <c r="K7" s="404" t="s">
        <v>1048</v>
      </c>
      <c r="L7" s="404">
        <v>1</v>
      </c>
      <c r="M7" s="404" t="s">
        <v>1048</v>
      </c>
    </row>
    <row r="8" spans="1:13">
      <c r="A8" s="79">
        <v>4</v>
      </c>
      <c r="B8" s="404">
        <v>86.718000059999994</v>
      </c>
      <c r="C8" s="492">
        <v>0.86718000059999989</v>
      </c>
      <c r="F8" s="68" t="str">
        <f>'G-1 All Habitats'!B7</f>
        <v>Cropland - Cereal crops</v>
      </c>
      <c r="G8" s="404" t="s">
        <v>1048</v>
      </c>
      <c r="H8" s="404" t="s">
        <v>1048</v>
      </c>
      <c r="I8" s="404" t="s">
        <v>1048</v>
      </c>
      <c r="J8" s="404" t="s">
        <v>1048</v>
      </c>
      <c r="K8" s="404" t="s">
        <v>1048</v>
      </c>
      <c r="L8" s="404">
        <v>1</v>
      </c>
      <c r="M8" s="404" t="s">
        <v>1048</v>
      </c>
    </row>
    <row r="9" spans="1:13">
      <c r="A9" s="79">
        <v>5</v>
      </c>
      <c r="B9" s="404">
        <v>83.682870059999999</v>
      </c>
      <c r="C9" s="492">
        <v>0.83682870060000003</v>
      </c>
      <c r="F9" s="68" t="str">
        <f>'G-1 All Habitats'!B8</f>
        <v>Cropland - Winter stubble</v>
      </c>
      <c r="G9" s="404" t="s">
        <v>1048</v>
      </c>
      <c r="H9" s="404" t="s">
        <v>1048</v>
      </c>
      <c r="I9" s="404" t="s">
        <v>1048</v>
      </c>
      <c r="J9" s="404" t="s">
        <v>1048</v>
      </c>
      <c r="K9" s="404" t="s">
        <v>1048</v>
      </c>
      <c r="L9" s="404">
        <v>1</v>
      </c>
      <c r="M9" s="404" t="s">
        <v>1048</v>
      </c>
    </row>
    <row r="10" spans="1:13">
      <c r="A10" s="79">
        <v>6</v>
      </c>
      <c r="B10" s="404">
        <v>80.753969609999999</v>
      </c>
      <c r="C10" s="492">
        <v>0.80753969609999998</v>
      </c>
      <c r="F10" s="68" t="str">
        <f>'G-1 All Habitats'!B9</f>
        <v>Cropland - Horticulture</v>
      </c>
      <c r="G10" s="404" t="s">
        <v>1048</v>
      </c>
      <c r="H10" s="404" t="s">
        <v>1048</v>
      </c>
      <c r="I10" s="404" t="s">
        <v>1048</v>
      </c>
      <c r="J10" s="404" t="s">
        <v>1048</v>
      </c>
      <c r="K10" s="404" t="s">
        <v>1048</v>
      </c>
      <c r="L10" s="404">
        <v>1</v>
      </c>
      <c r="M10" s="404" t="s">
        <v>1048</v>
      </c>
    </row>
    <row r="11" spans="1:13">
      <c r="A11" s="79">
        <v>7</v>
      </c>
      <c r="B11" s="404">
        <v>77.927580669999998</v>
      </c>
      <c r="C11" s="492">
        <v>0.77927580669999996</v>
      </c>
      <c r="F11" s="68" t="str">
        <f>'G-1 All Habitats'!B10</f>
        <v>Cropland - Intensive orchards</v>
      </c>
      <c r="G11" s="404" t="s">
        <v>1048</v>
      </c>
      <c r="H11" s="404" t="s">
        <v>1048</v>
      </c>
      <c r="I11" s="404" t="s">
        <v>1048</v>
      </c>
      <c r="J11" s="404" t="s">
        <v>1048</v>
      </c>
      <c r="K11" s="404" t="s">
        <v>1048</v>
      </c>
      <c r="L11" s="404">
        <v>1</v>
      </c>
      <c r="M11" s="404" t="s">
        <v>1048</v>
      </c>
    </row>
    <row r="12" spans="1:13">
      <c r="A12" s="79">
        <v>8</v>
      </c>
      <c r="B12" s="404">
        <v>75.200115350000004</v>
      </c>
      <c r="C12" s="492">
        <v>0.75200115350000007</v>
      </c>
      <c r="F12" s="68" t="str">
        <f>'G-1 All Habitats'!B11</f>
        <v>Cropland - Non-cereal crops</v>
      </c>
      <c r="G12" s="404" t="s">
        <v>1048</v>
      </c>
      <c r="H12" s="404" t="s">
        <v>1048</v>
      </c>
      <c r="I12" s="404" t="s">
        <v>1048</v>
      </c>
      <c r="J12" s="404" t="s">
        <v>1048</v>
      </c>
      <c r="K12" s="404" t="s">
        <v>1048</v>
      </c>
      <c r="L12" s="404">
        <v>1</v>
      </c>
      <c r="M12" s="404" t="s">
        <v>1048</v>
      </c>
    </row>
    <row r="13" spans="1:13">
      <c r="A13" s="79">
        <v>9</v>
      </c>
      <c r="B13" s="404">
        <v>72.568111310000006</v>
      </c>
      <c r="C13" s="492">
        <v>0.72568111310000005</v>
      </c>
      <c r="F13" s="68" t="str">
        <f>'G-1 All Habitats'!B12</f>
        <v>Cropland - Temporary grass and clover leys</v>
      </c>
      <c r="G13" s="404" t="s">
        <v>1048</v>
      </c>
      <c r="H13" s="404" t="s">
        <v>1048</v>
      </c>
      <c r="I13" s="404" t="s">
        <v>1048</v>
      </c>
      <c r="J13" s="404" t="s">
        <v>1048</v>
      </c>
      <c r="K13" s="404" t="s">
        <v>1048</v>
      </c>
      <c r="L13" s="404">
        <v>1</v>
      </c>
      <c r="M13" s="404" t="s">
        <v>1048</v>
      </c>
    </row>
    <row r="14" spans="1:13">
      <c r="A14" s="79">
        <v>10</v>
      </c>
      <c r="B14" s="404">
        <v>70.028227419999993</v>
      </c>
      <c r="C14" s="492">
        <v>0.70028227419999989</v>
      </c>
      <c r="F14" s="68" t="str">
        <f>'G-1 All Habitats'!B13</f>
        <v>Grassland - Traditional orchards</v>
      </c>
      <c r="G14" s="404">
        <v>30</v>
      </c>
      <c r="H14" s="404">
        <v>25</v>
      </c>
      <c r="I14" s="404">
        <v>20</v>
      </c>
      <c r="J14" s="404">
        <v>10</v>
      </c>
      <c r="K14" s="404">
        <v>5</v>
      </c>
      <c r="L14" s="404" t="s">
        <v>1048</v>
      </c>
      <c r="M14" s="404" t="s">
        <v>1048</v>
      </c>
    </row>
    <row r="15" spans="1:13">
      <c r="A15" s="79">
        <v>11</v>
      </c>
      <c r="B15" s="404">
        <v>67.577239460000001</v>
      </c>
      <c r="C15" s="492">
        <v>0.67577239460000005</v>
      </c>
      <c r="F15" s="68" t="str">
        <f>'G-1 All Habitats'!B14</f>
        <v>Grassland - Bracken</v>
      </c>
      <c r="G15" s="404" t="s">
        <v>1048</v>
      </c>
      <c r="H15" s="404" t="s">
        <v>1048</v>
      </c>
      <c r="I15" s="404" t="s">
        <v>1048</v>
      </c>
      <c r="J15" s="404" t="s">
        <v>1048</v>
      </c>
      <c r="K15" s="404" t="s">
        <v>1048</v>
      </c>
      <c r="L15" s="404">
        <v>1</v>
      </c>
      <c r="M15" s="404" t="s">
        <v>1048</v>
      </c>
    </row>
    <row r="16" spans="1:13">
      <c r="A16" s="79">
        <v>12</v>
      </c>
      <c r="B16" s="404">
        <v>65.212036069999996</v>
      </c>
      <c r="C16" s="492">
        <v>0.65212036070000001</v>
      </c>
      <c r="F16" s="68" t="str">
        <f>'G-1 All Habitats'!B15</f>
        <v>Grassland - Floodplain wetland mosaic and CFGM</v>
      </c>
      <c r="G16" s="404">
        <v>20</v>
      </c>
      <c r="H16" s="404">
        <v>15</v>
      </c>
      <c r="I16" s="404">
        <v>10</v>
      </c>
      <c r="J16" s="404">
        <v>8</v>
      </c>
      <c r="K16" s="404">
        <v>5</v>
      </c>
      <c r="L16" s="404" t="s">
        <v>1048</v>
      </c>
      <c r="M16" s="404" t="s">
        <v>1048</v>
      </c>
    </row>
    <row r="17" spans="1:13">
      <c r="A17" s="79">
        <v>13</v>
      </c>
      <c r="B17" s="404">
        <v>62.929614809999997</v>
      </c>
      <c r="C17" s="492">
        <v>0.62929614810000001</v>
      </c>
      <c r="F17" s="68" t="str">
        <f>'G-1 All Habitats'!B16</f>
        <v>Grassland - Lowland calcareous grassland</v>
      </c>
      <c r="G17" s="404">
        <v>20</v>
      </c>
      <c r="H17" s="404">
        <v>15</v>
      </c>
      <c r="I17" s="404">
        <v>10</v>
      </c>
      <c r="J17" s="404">
        <v>8</v>
      </c>
      <c r="K17" s="404">
        <v>5</v>
      </c>
      <c r="L17" s="404" t="s">
        <v>1048</v>
      </c>
      <c r="M17" s="404" t="s">
        <v>1048</v>
      </c>
    </row>
    <row r="18" spans="1:13">
      <c r="A18" s="79">
        <v>14</v>
      </c>
      <c r="B18" s="404">
        <v>60.727078290000001</v>
      </c>
      <c r="C18" s="492">
        <v>0.60727078290000003</v>
      </c>
      <c r="F18" s="68" t="str">
        <f>'G-1 All Habitats'!B17</f>
        <v>Grassland - Lowland dry acid grassland</v>
      </c>
      <c r="G18" s="404" t="s">
        <v>1049</v>
      </c>
      <c r="H18" s="404">
        <v>25</v>
      </c>
      <c r="I18" s="404">
        <v>20</v>
      </c>
      <c r="J18" s="404">
        <v>15</v>
      </c>
      <c r="K18" s="404">
        <v>10</v>
      </c>
      <c r="L18" s="404" t="s">
        <v>1048</v>
      </c>
      <c r="M18" s="404" t="s">
        <v>1048</v>
      </c>
    </row>
    <row r="19" spans="1:13">
      <c r="A19" s="79">
        <v>15</v>
      </c>
      <c r="B19" s="404">
        <v>58.601630550000003</v>
      </c>
      <c r="C19" s="492">
        <v>0.58601630550000006</v>
      </c>
      <c r="F19" s="68" t="str">
        <f>'G-1 All Habitats'!B18</f>
        <v>Grassland - Lowland meadows</v>
      </c>
      <c r="G19" s="404">
        <v>15</v>
      </c>
      <c r="H19" s="404">
        <v>12</v>
      </c>
      <c r="I19" s="404">
        <v>10</v>
      </c>
      <c r="J19" s="404">
        <v>8</v>
      </c>
      <c r="K19" s="404">
        <v>5</v>
      </c>
      <c r="L19" s="404" t="s">
        <v>1048</v>
      </c>
      <c r="M19" s="404" t="s">
        <v>1048</v>
      </c>
    </row>
    <row r="20" spans="1:13">
      <c r="A20" s="79">
        <v>16</v>
      </c>
      <c r="B20" s="404">
        <v>56.550573479999997</v>
      </c>
      <c r="C20" s="492">
        <v>0.56550573479999999</v>
      </c>
      <c r="F20" s="68" t="str">
        <f>'G-1 All Habitats'!B19</f>
        <v>Grassland - Modified grassland</v>
      </c>
      <c r="G20" s="404">
        <v>7</v>
      </c>
      <c r="H20" s="404">
        <v>5</v>
      </c>
      <c r="I20" s="404">
        <v>4</v>
      </c>
      <c r="J20" s="404">
        <v>2</v>
      </c>
      <c r="K20" s="404">
        <v>1</v>
      </c>
      <c r="L20" s="404" t="s">
        <v>1048</v>
      </c>
      <c r="M20" s="404" t="s">
        <v>1048</v>
      </c>
    </row>
    <row r="21" spans="1:13" ht="15" customHeight="1">
      <c r="A21" s="79">
        <v>17</v>
      </c>
      <c r="B21" s="404">
        <v>54.571303409999999</v>
      </c>
      <c r="C21" s="492">
        <v>0.54571303409999994</v>
      </c>
      <c r="F21" s="68" t="str">
        <f>'G-1 All Habitats'!B20</f>
        <v>Grassland - Other lowland acid grassland</v>
      </c>
      <c r="G21" s="404">
        <v>15</v>
      </c>
      <c r="H21" s="404">
        <v>12</v>
      </c>
      <c r="I21" s="404">
        <v>10</v>
      </c>
      <c r="J21" s="404">
        <v>5</v>
      </c>
      <c r="K21" s="404">
        <v>1</v>
      </c>
      <c r="L21" s="404" t="s">
        <v>1048</v>
      </c>
      <c r="M21" s="404" t="s">
        <v>1048</v>
      </c>
    </row>
    <row r="22" spans="1:13" ht="15" customHeight="1">
      <c r="A22" s="79">
        <v>18</v>
      </c>
      <c r="B22" s="404">
        <v>52.661307790000002</v>
      </c>
      <c r="C22" s="492">
        <v>0.5266130779</v>
      </c>
      <c r="F22" s="68" t="str">
        <f>'G-1 All Habitats'!B21</f>
        <v>Grassland - Other neutral grassland</v>
      </c>
      <c r="G22" s="404">
        <v>10</v>
      </c>
      <c r="H22" s="404">
        <v>7</v>
      </c>
      <c r="I22" s="404">
        <v>5</v>
      </c>
      <c r="J22" s="404">
        <v>3</v>
      </c>
      <c r="K22" s="404">
        <v>2</v>
      </c>
      <c r="L22" s="404" t="s">
        <v>1048</v>
      </c>
      <c r="M22" s="404" t="s">
        <v>1048</v>
      </c>
    </row>
    <row r="23" spans="1:13" ht="15" customHeight="1">
      <c r="A23" s="79">
        <v>19</v>
      </c>
      <c r="B23" s="404">
        <v>50.818162020000003</v>
      </c>
      <c r="C23" s="492">
        <v>0.50818162020000002</v>
      </c>
      <c r="F23" s="68" t="str">
        <f>'G-1 All Habitats'!B22</f>
        <v>Grassland - Tall herb communities (H6430)</v>
      </c>
      <c r="G23" s="404">
        <v>30</v>
      </c>
      <c r="H23" s="404">
        <v>25</v>
      </c>
      <c r="I23" s="404">
        <v>20</v>
      </c>
      <c r="J23" s="404">
        <v>15</v>
      </c>
      <c r="K23" s="404">
        <v>10</v>
      </c>
      <c r="L23" s="404" t="s">
        <v>1048</v>
      </c>
      <c r="M23" s="404" t="s">
        <v>1048</v>
      </c>
    </row>
    <row r="24" spans="1:13" ht="15" customHeight="1">
      <c r="A24" s="79">
        <v>20</v>
      </c>
      <c r="B24" s="404">
        <v>49.039526350000003</v>
      </c>
      <c r="C24" s="492">
        <v>0.49039526350000001</v>
      </c>
      <c r="F24" s="68" t="str">
        <f>'G-1 All Habitats'!B23</f>
        <v>Grassland - Upland acid grassland</v>
      </c>
      <c r="G24" s="404">
        <v>15</v>
      </c>
      <c r="H24" s="404">
        <v>12</v>
      </c>
      <c r="I24" s="404">
        <v>10</v>
      </c>
      <c r="J24" s="404">
        <v>5</v>
      </c>
      <c r="K24" s="404">
        <v>1</v>
      </c>
      <c r="L24" s="404" t="s">
        <v>1048</v>
      </c>
      <c r="M24" s="404" t="s">
        <v>1048</v>
      </c>
    </row>
    <row r="25" spans="1:13" ht="15" customHeight="1">
      <c r="A25" s="79">
        <v>21</v>
      </c>
      <c r="B25" s="404">
        <v>47.323142930000003</v>
      </c>
      <c r="C25" s="492">
        <v>0.47323142930000001</v>
      </c>
      <c r="F25" s="68" t="str">
        <f>'G-1 All Habitats'!B24</f>
        <v>Grassland - Upland calcareous grassland</v>
      </c>
      <c r="G25" s="404">
        <v>25</v>
      </c>
      <c r="H25" s="404">
        <v>20</v>
      </c>
      <c r="I25" s="404">
        <v>15</v>
      </c>
      <c r="J25" s="404">
        <v>12</v>
      </c>
      <c r="K25" s="404">
        <v>10</v>
      </c>
      <c r="L25" s="404" t="s">
        <v>1048</v>
      </c>
      <c r="M25" s="404" t="s">
        <v>1048</v>
      </c>
    </row>
    <row r="26" spans="1:13" ht="15" customHeight="1">
      <c r="A26" s="79">
        <v>22</v>
      </c>
      <c r="B26" s="404">
        <v>45.666832919999997</v>
      </c>
      <c r="C26" s="492">
        <v>0.4566683292</v>
      </c>
      <c r="F26" s="68" t="str">
        <f>'G-1 All Habitats'!B25</f>
        <v>Grassland - Upland hay meadows</v>
      </c>
      <c r="G26" s="404">
        <v>20</v>
      </c>
      <c r="H26" s="404">
        <v>18</v>
      </c>
      <c r="I26" s="404">
        <v>15</v>
      </c>
      <c r="J26" s="404">
        <v>12</v>
      </c>
      <c r="K26" s="404">
        <v>10</v>
      </c>
      <c r="L26" s="404" t="s">
        <v>1048</v>
      </c>
      <c r="M26" s="404" t="s">
        <v>1048</v>
      </c>
    </row>
    <row r="27" spans="1:13">
      <c r="A27" s="79">
        <v>23</v>
      </c>
      <c r="B27" s="404">
        <v>44.068493770000003</v>
      </c>
      <c r="C27" s="492">
        <v>0.44068493770000006</v>
      </c>
      <c r="F27" s="68" t="str">
        <f>'G-1 All Habitats'!B26</f>
        <v>Heathland and shrub - Blackthorn scrub</v>
      </c>
      <c r="G27" s="404">
        <v>10</v>
      </c>
      <c r="H27" s="404">
        <v>7</v>
      </c>
      <c r="I27" s="404">
        <v>5</v>
      </c>
      <c r="J27" s="404">
        <v>3</v>
      </c>
      <c r="K27" s="404">
        <v>1</v>
      </c>
      <c r="L27" s="404" t="s">
        <v>1048</v>
      </c>
      <c r="M27" s="404" t="s">
        <v>1048</v>
      </c>
    </row>
    <row r="28" spans="1:13">
      <c r="A28" s="79">
        <v>24</v>
      </c>
      <c r="B28" s="404">
        <v>42.52609649</v>
      </c>
      <c r="C28" s="492">
        <v>0.42526096489999998</v>
      </c>
      <c r="F28" s="68" t="str">
        <f>'G-1 All Habitats'!B27</f>
        <v>Heathland and shrub - Bramble scrub</v>
      </c>
      <c r="G28" s="404" t="s">
        <v>1048</v>
      </c>
      <c r="H28" s="404" t="s">
        <v>1048</v>
      </c>
      <c r="I28" s="404" t="s">
        <v>1048</v>
      </c>
      <c r="J28" s="404" t="s">
        <v>1048</v>
      </c>
      <c r="K28" s="404" t="s">
        <v>1048</v>
      </c>
      <c r="L28" s="404">
        <v>1</v>
      </c>
      <c r="M28" s="404" t="s">
        <v>1048</v>
      </c>
    </row>
    <row r="29" spans="1:13">
      <c r="A29" s="79">
        <v>25</v>
      </c>
      <c r="B29" s="404">
        <v>41.037683110000003</v>
      </c>
      <c r="C29" s="492">
        <v>0.41037683110000001</v>
      </c>
      <c r="F29" s="68" t="str">
        <f>'G-1 All Habitats'!B28</f>
        <v>Heathland and shrub - Gorse scrub</v>
      </c>
      <c r="G29" s="404">
        <v>10</v>
      </c>
      <c r="H29" s="404">
        <v>7</v>
      </c>
      <c r="I29" s="404">
        <v>5</v>
      </c>
      <c r="J29" s="404">
        <v>3</v>
      </c>
      <c r="K29" s="404">
        <v>1</v>
      </c>
      <c r="L29" s="404" t="s">
        <v>1048</v>
      </c>
      <c r="M29" s="404" t="s">
        <v>1048</v>
      </c>
    </row>
    <row r="30" spans="1:13">
      <c r="A30" s="79">
        <v>26</v>
      </c>
      <c r="B30" s="404">
        <v>39.601364199999999</v>
      </c>
      <c r="C30" s="492">
        <v>0.396013642</v>
      </c>
      <c r="F30" s="68" t="str">
        <f>'G-1 All Habitats'!B29</f>
        <v>Heathland and shrub - Hawthorn scrub</v>
      </c>
      <c r="G30" s="404">
        <v>10</v>
      </c>
      <c r="H30" s="404">
        <v>7</v>
      </c>
      <c r="I30" s="404">
        <v>5</v>
      </c>
      <c r="J30" s="404">
        <v>3</v>
      </c>
      <c r="K30" s="404">
        <v>1</v>
      </c>
      <c r="L30" s="404" t="s">
        <v>1048</v>
      </c>
      <c r="M30" s="404" t="s">
        <v>1048</v>
      </c>
    </row>
    <row r="31" spans="1:13">
      <c r="A31" s="79">
        <v>27</v>
      </c>
      <c r="B31" s="404">
        <v>38.215316459999997</v>
      </c>
      <c r="C31" s="492">
        <v>0.38215316459999998</v>
      </c>
      <c r="F31" s="68" t="str">
        <f>'G-1 All Habitats'!B30</f>
        <v>Heathland and shrub - Hazel scrub</v>
      </c>
      <c r="G31" s="404">
        <v>15</v>
      </c>
      <c r="H31" s="404">
        <v>12</v>
      </c>
      <c r="I31" s="404">
        <v>10</v>
      </c>
      <c r="J31" s="404">
        <v>7</v>
      </c>
      <c r="K31" s="404">
        <v>5</v>
      </c>
      <c r="L31" s="404" t="s">
        <v>1048</v>
      </c>
      <c r="M31" s="404" t="s">
        <v>1048</v>
      </c>
    </row>
    <row r="32" spans="1:13">
      <c r="A32" s="79">
        <v>28</v>
      </c>
      <c r="B32" s="404">
        <v>36.877780379999997</v>
      </c>
      <c r="C32" s="492">
        <v>0.36877780379999997</v>
      </c>
      <c r="F32" s="68" t="s">
        <v>606</v>
      </c>
      <c r="G32" s="404">
        <v>15</v>
      </c>
      <c r="H32" s="404">
        <v>12</v>
      </c>
      <c r="I32" s="404">
        <v>10</v>
      </c>
      <c r="J32" s="404">
        <v>7</v>
      </c>
      <c r="K32" s="404">
        <v>5</v>
      </c>
      <c r="L32" s="404" t="s">
        <v>1048</v>
      </c>
      <c r="M32" s="404" t="s">
        <v>1048</v>
      </c>
    </row>
    <row r="33" spans="1:13">
      <c r="A33" s="79">
        <v>29</v>
      </c>
      <c r="B33" s="404">
        <v>35.587058069999998</v>
      </c>
      <c r="C33" s="492">
        <v>0.35587058069999999</v>
      </c>
      <c r="F33" s="68" t="str">
        <f>'G-1 All Habitats'!B31</f>
        <v>Heathland and shrub - Lowland heathland</v>
      </c>
      <c r="G33" s="404" t="s">
        <v>1049</v>
      </c>
      <c r="H33" s="404">
        <v>25</v>
      </c>
      <c r="I33" s="404">
        <v>20</v>
      </c>
      <c r="J33" s="404">
        <v>15</v>
      </c>
      <c r="K33" s="404">
        <v>10</v>
      </c>
      <c r="L33" s="404" t="s">
        <v>1048</v>
      </c>
      <c r="M33" s="404" t="s">
        <v>1048</v>
      </c>
    </row>
    <row r="34" spans="1:13">
      <c r="A34" s="79">
        <v>30</v>
      </c>
      <c r="B34" s="404">
        <v>34.34151104</v>
      </c>
      <c r="C34" s="492">
        <v>0.3434151104</v>
      </c>
      <c r="F34" s="68" t="str">
        <f>'G-1 All Habitats'!B32</f>
        <v>Heathland and shrub - Mixed scrub</v>
      </c>
      <c r="G34" s="404">
        <v>10</v>
      </c>
      <c r="H34" s="404">
        <v>7</v>
      </c>
      <c r="I34" s="404">
        <v>5</v>
      </c>
      <c r="J34" s="404">
        <v>3</v>
      </c>
      <c r="K34" s="404">
        <v>1</v>
      </c>
      <c r="L34" s="404" t="s">
        <v>1048</v>
      </c>
      <c r="M34" s="404" t="s">
        <v>1048</v>
      </c>
    </row>
    <row r="35" spans="1:13">
      <c r="A35" s="79">
        <v>31</v>
      </c>
      <c r="B35" s="404">
        <v>33.139558149999999</v>
      </c>
      <c r="C35" s="492">
        <v>0.33139558149999998</v>
      </c>
      <c r="F35" s="68" t="str">
        <f>'G-1 All Habitats'!B33</f>
        <v>Heathland and shrub - Mountain heaths and willow scrub</v>
      </c>
      <c r="G35" s="404" t="s">
        <v>1049</v>
      </c>
      <c r="H35" s="404" t="s">
        <v>1049</v>
      </c>
      <c r="I35" s="404">
        <v>25</v>
      </c>
      <c r="J35" s="404">
        <v>23</v>
      </c>
      <c r="K35" s="404">
        <v>15</v>
      </c>
      <c r="L35" s="404" t="s">
        <v>1048</v>
      </c>
      <c r="M35" s="404" t="s">
        <v>1048</v>
      </c>
    </row>
    <row r="36" spans="1:13">
      <c r="A36" s="79" t="s">
        <v>1049</v>
      </c>
      <c r="B36" s="441">
        <v>31.979673609999999</v>
      </c>
      <c r="C36" s="492">
        <v>0.31979673609999998</v>
      </c>
      <c r="F36" s="68" t="str">
        <f>'G-1 All Habitats'!B34</f>
        <v>Heathland and shrub - Rhododendron scrub</v>
      </c>
      <c r="G36" s="404" t="s">
        <v>1048</v>
      </c>
      <c r="H36" s="404" t="s">
        <v>1048</v>
      </c>
      <c r="I36" s="404" t="s">
        <v>1048</v>
      </c>
      <c r="J36" s="404" t="s">
        <v>1048</v>
      </c>
      <c r="K36" s="404" t="s">
        <v>1048</v>
      </c>
      <c r="L36" s="404">
        <v>1</v>
      </c>
      <c r="M36" s="404" t="s">
        <v>1048</v>
      </c>
    </row>
    <row r="37" spans="1:13">
      <c r="A37" s="230" t="s">
        <v>1048</v>
      </c>
      <c r="B37" s="493" t="s">
        <v>1037</v>
      </c>
      <c r="C37" s="493" t="s">
        <v>1037</v>
      </c>
      <c r="F37" s="68" t="str">
        <f>'G-1 All Habitats'!B35</f>
        <v>Heathland and shrub - Dunes with sea buckthorn (H2160)</v>
      </c>
      <c r="G37" s="404">
        <v>10</v>
      </c>
      <c r="H37" s="404">
        <v>7</v>
      </c>
      <c r="I37" s="404">
        <v>5</v>
      </c>
      <c r="J37" s="404">
        <v>3</v>
      </c>
      <c r="K37" s="404">
        <v>1</v>
      </c>
      <c r="L37" s="404" t="s">
        <v>1048</v>
      </c>
      <c r="M37" s="404" t="s">
        <v>1048</v>
      </c>
    </row>
    <row r="38" spans="1:13">
      <c r="F38" s="68" t="str">
        <f>'G-1 All Habitats'!B36</f>
        <v>Heathland and shrub - Other sea buckthorn scrub</v>
      </c>
      <c r="G38" s="404" t="s">
        <v>1048</v>
      </c>
      <c r="H38" s="404" t="s">
        <v>1048</v>
      </c>
      <c r="I38" s="404" t="s">
        <v>1048</v>
      </c>
      <c r="J38" s="404" t="s">
        <v>1048</v>
      </c>
      <c r="K38" s="404" t="s">
        <v>1048</v>
      </c>
      <c r="L38" s="404">
        <v>1</v>
      </c>
      <c r="M38" s="404" t="s">
        <v>1048</v>
      </c>
    </row>
    <row r="39" spans="1:13">
      <c r="A39" s="33"/>
      <c r="B39" s="33"/>
      <c r="C39" s="33"/>
      <c r="F39" s="68" t="str">
        <f>'G-1 All Habitats'!B38</f>
        <v>Heathland and shrub - Upland heathland</v>
      </c>
      <c r="G39" s="404">
        <v>30</v>
      </c>
      <c r="H39" s="404">
        <v>25</v>
      </c>
      <c r="I39" s="404">
        <v>20</v>
      </c>
      <c r="J39" s="404">
        <v>15</v>
      </c>
      <c r="K39" s="404">
        <v>10</v>
      </c>
      <c r="L39" s="404" t="s">
        <v>1048</v>
      </c>
      <c r="M39" s="404" t="s">
        <v>1048</v>
      </c>
    </row>
    <row r="40" spans="1:13" ht="43.5">
      <c r="A40" s="231" t="s">
        <v>1050</v>
      </c>
      <c r="B40" s="33"/>
      <c r="C40" s="33"/>
      <c r="F40" s="68" t="str">
        <f>'G-1 All Habitats'!B39</f>
        <v>Lakes - Aquifer fed naturally fluctuating water bodies</v>
      </c>
      <c r="G40" s="404">
        <v>30</v>
      </c>
      <c r="H40" s="404">
        <v>20</v>
      </c>
      <c r="I40" s="404">
        <v>15</v>
      </c>
      <c r="J40" s="404">
        <v>10</v>
      </c>
      <c r="K40" s="404">
        <v>1</v>
      </c>
      <c r="L40" s="404" t="s">
        <v>1048</v>
      </c>
      <c r="M40" s="404" t="s">
        <v>1048</v>
      </c>
    </row>
    <row r="41" spans="1:13">
      <c r="A41" s="78" t="s">
        <v>1045</v>
      </c>
      <c r="B41" s="33"/>
      <c r="C41" s="33"/>
      <c r="F41" s="68" t="str">
        <f>'G-1 All Habitats'!B41</f>
        <v>Lakes - High alkalinity lakes</v>
      </c>
      <c r="G41" s="404">
        <v>30</v>
      </c>
      <c r="H41" s="404">
        <v>20</v>
      </c>
      <c r="I41" s="404">
        <v>10</v>
      </c>
      <c r="J41" s="404">
        <v>7</v>
      </c>
      <c r="K41" s="404">
        <v>5</v>
      </c>
      <c r="L41" s="404" t="s">
        <v>1048</v>
      </c>
      <c r="M41" s="404" t="s">
        <v>1048</v>
      </c>
    </row>
    <row r="42" spans="1:13">
      <c r="A42" s="404">
        <v>0</v>
      </c>
      <c r="B42" s="33"/>
      <c r="C42" s="33"/>
      <c r="F42" s="68" t="str">
        <f>'G-1 All Habitats'!B42</f>
        <v>Lakes - Low alkalinity lakes</v>
      </c>
      <c r="G42" s="404">
        <v>30</v>
      </c>
      <c r="H42" s="404">
        <v>20</v>
      </c>
      <c r="I42" s="404">
        <v>10</v>
      </c>
      <c r="J42" s="404">
        <v>7</v>
      </c>
      <c r="K42" s="404">
        <v>5</v>
      </c>
      <c r="L42" s="404" t="s">
        <v>1048</v>
      </c>
      <c r="M42" s="404" t="s">
        <v>1048</v>
      </c>
    </row>
    <row r="43" spans="1:13">
      <c r="A43" s="404">
        <v>1</v>
      </c>
      <c r="B43" s="33"/>
      <c r="C43" s="33"/>
      <c r="F43" s="68" t="str">
        <f>'G-1 All Habitats'!B43</f>
        <v>Lakes - Marl lakes</v>
      </c>
      <c r="G43" s="404">
        <v>30</v>
      </c>
      <c r="H43" s="404">
        <v>20</v>
      </c>
      <c r="I43" s="404">
        <v>10</v>
      </c>
      <c r="J43" s="404">
        <v>7</v>
      </c>
      <c r="K43" s="404">
        <v>5</v>
      </c>
      <c r="L43" s="404" t="s">
        <v>1048</v>
      </c>
      <c r="M43" s="404" t="s">
        <v>1048</v>
      </c>
    </row>
    <row r="44" spans="1:13">
      <c r="A44" s="404">
        <v>2</v>
      </c>
      <c r="B44" s="33"/>
      <c r="C44" s="33"/>
      <c r="F44" s="68" t="str">
        <f>'G-1 All Habitats'!B44</f>
        <v>Lakes - Moderate alkalinity lakes</v>
      </c>
      <c r="G44" s="404">
        <v>30</v>
      </c>
      <c r="H44" s="404">
        <v>20</v>
      </c>
      <c r="I44" s="404">
        <v>10</v>
      </c>
      <c r="J44" s="404">
        <v>7</v>
      </c>
      <c r="K44" s="404">
        <v>5</v>
      </c>
      <c r="L44" s="404" t="s">
        <v>1048</v>
      </c>
      <c r="M44" s="404" t="s">
        <v>1048</v>
      </c>
    </row>
    <row r="45" spans="1:13">
      <c r="A45" s="404">
        <v>3</v>
      </c>
      <c r="B45" s="33"/>
      <c r="C45" s="33"/>
      <c r="F45" s="68" t="str">
        <f>'G-1 All Habitats'!B45</f>
        <v>Lakes - Peat lakes</v>
      </c>
      <c r="G45" s="404">
        <v>30</v>
      </c>
      <c r="H45" s="404">
        <v>20</v>
      </c>
      <c r="I45" s="404">
        <v>10</v>
      </c>
      <c r="J45" s="404">
        <v>7</v>
      </c>
      <c r="K45" s="404">
        <v>5</v>
      </c>
      <c r="L45" s="404" t="s">
        <v>1048</v>
      </c>
      <c r="M45" s="404" t="s">
        <v>1048</v>
      </c>
    </row>
    <row r="46" spans="1:13">
      <c r="A46" s="404">
        <v>4</v>
      </c>
      <c r="B46" s="33"/>
      <c r="C46" s="33"/>
      <c r="F46" s="68" t="str">
        <f>'G-1 All Habitats'!B46</f>
        <v>Lakes - Ponds (priority habitat)</v>
      </c>
      <c r="G46" s="404">
        <v>5</v>
      </c>
      <c r="H46" s="404">
        <v>4</v>
      </c>
      <c r="I46" s="404">
        <v>3</v>
      </c>
      <c r="J46" s="404">
        <v>2</v>
      </c>
      <c r="K46" s="404">
        <v>1</v>
      </c>
      <c r="L46" s="404" t="s">
        <v>1048</v>
      </c>
      <c r="M46" s="404" t="s">
        <v>1048</v>
      </c>
    </row>
    <row r="47" spans="1:13">
      <c r="A47" s="404">
        <v>5</v>
      </c>
      <c r="B47" s="33"/>
      <c r="C47" s="33"/>
      <c r="F47" s="68" t="str">
        <f>'G-1 All Habitats'!B47</f>
        <v>Lakes - Ponds (non-priority habitat)</v>
      </c>
      <c r="G47" s="404">
        <v>5</v>
      </c>
      <c r="H47" s="404">
        <v>4</v>
      </c>
      <c r="I47" s="404">
        <v>3</v>
      </c>
      <c r="J47" s="404">
        <v>2</v>
      </c>
      <c r="K47" s="404">
        <v>1</v>
      </c>
      <c r="L47" s="404" t="s">
        <v>1048</v>
      </c>
      <c r="M47" s="404" t="s">
        <v>1048</v>
      </c>
    </row>
    <row r="48" spans="1:13">
      <c r="A48" s="404">
        <v>6</v>
      </c>
      <c r="B48" s="33"/>
      <c r="C48" s="33"/>
      <c r="F48" s="68" t="str">
        <f>'G-1 All Habitats'!B48</f>
        <v>Lakes - Reservoirs</v>
      </c>
      <c r="G48" s="404">
        <v>10</v>
      </c>
      <c r="H48" s="404">
        <v>7</v>
      </c>
      <c r="I48" s="404">
        <v>5</v>
      </c>
      <c r="J48" s="404">
        <v>3</v>
      </c>
      <c r="K48" s="404">
        <v>1</v>
      </c>
      <c r="L48" s="404" t="s">
        <v>1048</v>
      </c>
      <c r="M48" s="404" t="s">
        <v>1048</v>
      </c>
    </row>
    <row r="49" spans="1:13">
      <c r="A49" s="404">
        <v>7</v>
      </c>
      <c r="B49" s="33"/>
      <c r="C49" s="33"/>
      <c r="F49" s="68" t="str">
        <f>'G-1 All Habitats'!B49</f>
        <v>Lakes - Temporary lakes ponds and pools (H3170)</v>
      </c>
      <c r="G49" s="404">
        <v>5</v>
      </c>
      <c r="H49" s="404">
        <v>4</v>
      </c>
      <c r="I49" s="404">
        <v>3</v>
      </c>
      <c r="J49" s="404">
        <v>2</v>
      </c>
      <c r="K49" s="404">
        <v>1</v>
      </c>
      <c r="L49" s="404" t="s">
        <v>1048</v>
      </c>
      <c r="M49" s="404" t="s">
        <v>1048</v>
      </c>
    </row>
    <row r="50" spans="1:13">
      <c r="A50" s="404">
        <v>8</v>
      </c>
      <c r="B50" s="33"/>
      <c r="C50" s="33"/>
      <c r="F50" s="68" t="str">
        <f>'G-1 All Habitats'!B50</f>
        <v>Sparsely vegetated land - Calaminarian grasslands</v>
      </c>
      <c r="G50" s="404">
        <v>10</v>
      </c>
      <c r="H50" s="404">
        <v>7</v>
      </c>
      <c r="I50" s="404">
        <v>5</v>
      </c>
      <c r="J50" s="404">
        <v>3</v>
      </c>
      <c r="K50" s="404">
        <v>2</v>
      </c>
      <c r="L50" s="404" t="s">
        <v>1048</v>
      </c>
      <c r="M50" s="404" t="s">
        <v>1048</v>
      </c>
    </row>
    <row r="51" spans="1:13">
      <c r="A51" s="404">
        <v>9</v>
      </c>
      <c r="B51" s="33"/>
      <c r="C51" s="33"/>
      <c r="F51" s="68" t="str">
        <f>'G-1 All Habitats'!B51</f>
        <v>Sparsely vegetated land - Coastal sand dunes</v>
      </c>
      <c r="G51" s="404">
        <v>20</v>
      </c>
      <c r="H51" s="404">
        <v>15</v>
      </c>
      <c r="I51" s="404">
        <v>10</v>
      </c>
      <c r="J51" s="404">
        <v>7</v>
      </c>
      <c r="K51" s="404">
        <v>5</v>
      </c>
      <c r="L51" s="404" t="s">
        <v>1048</v>
      </c>
      <c r="M51" s="404" t="s">
        <v>1048</v>
      </c>
    </row>
    <row r="52" spans="1:13">
      <c r="A52" s="404">
        <v>10</v>
      </c>
      <c r="B52" s="33"/>
      <c r="C52" s="33"/>
      <c r="F52" s="68" t="str">
        <f>'G-1 All Habitats'!B52</f>
        <v>Sparsely vegetated land - Coastal vegetated shingle</v>
      </c>
      <c r="G52" s="404">
        <v>20</v>
      </c>
      <c r="H52" s="404">
        <v>15</v>
      </c>
      <c r="I52" s="404">
        <v>10</v>
      </c>
      <c r="J52" s="404">
        <v>7</v>
      </c>
      <c r="K52" s="404">
        <v>5</v>
      </c>
      <c r="L52" s="404" t="s">
        <v>1048</v>
      </c>
      <c r="M52" s="404" t="s">
        <v>1048</v>
      </c>
    </row>
    <row r="53" spans="1:13">
      <c r="A53" s="404">
        <v>11</v>
      </c>
      <c r="B53" s="33"/>
      <c r="C53" s="33"/>
      <c r="F53" s="68" t="str">
        <f>'G-1 All Habitats'!B53</f>
        <v>Sparsely vegetated land - Ruderal/Ephemeral</v>
      </c>
      <c r="G53" s="404">
        <v>5</v>
      </c>
      <c r="H53" s="404">
        <v>4</v>
      </c>
      <c r="I53" s="404">
        <v>3</v>
      </c>
      <c r="J53" s="404">
        <v>2</v>
      </c>
      <c r="K53" s="404">
        <v>1</v>
      </c>
      <c r="L53" s="404" t="s">
        <v>1048</v>
      </c>
      <c r="M53" s="404" t="s">
        <v>1048</v>
      </c>
    </row>
    <row r="54" spans="1:13">
      <c r="A54" s="404">
        <v>12</v>
      </c>
      <c r="B54" s="33"/>
      <c r="C54" s="33"/>
      <c r="F54" s="68" t="s">
        <v>664</v>
      </c>
      <c r="G54" s="404">
        <v>5</v>
      </c>
      <c r="H54" s="404">
        <v>4</v>
      </c>
      <c r="I54" s="404">
        <v>3</v>
      </c>
      <c r="J54" s="404">
        <v>2</v>
      </c>
      <c r="K54" s="404">
        <v>1</v>
      </c>
      <c r="L54" s="404" t="s">
        <v>1048</v>
      </c>
      <c r="M54" s="404" t="s">
        <v>1048</v>
      </c>
    </row>
    <row r="55" spans="1:13">
      <c r="A55" s="404">
        <v>13</v>
      </c>
      <c r="B55" s="33"/>
      <c r="C55" s="33"/>
      <c r="F55" s="68" t="str">
        <f>'G-1 All Habitats'!B55</f>
        <v>Sparsely vegetated land - Inland rock outcrop and scree habitats</v>
      </c>
      <c r="G55" s="404" t="s">
        <v>1049</v>
      </c>
      <c r="H55" s="404">
        <v>25</v>
      </c>
      <c r="I55" s="404">
        <v>20</v>
      </c>
      <c r="J55" s="404">
        <v>15</v>
      </c>
      <c r="K55" s="404">
        <v>10</v>
      </c>
      <c r="L55" s="404" t="s">
        <v>1048</v>
      </c>
      <c r="M55" s="404" t="s">
        <v>1048</v>
      </c>
    </row>
    <row r="56" spans="1:13">
      <c r="A56" s="404">
        <v>14</v>
      </c>
      <c r="B56" s="33"/>
      <c r="C56" s="33"/>
      <c r="F56" s="68" t="str">
        <f>'G-1 All Habitats'!B56</f>
        <v>Sparsely vegetated land - Limestone pavement</v>
      </c>
      <c r="G56" s="404" t="s">
        <v>1049</v>
      </c>
      <c r="H56" s="404" t="s">
        <v>1049</v>
      </c>
      <c r="I56" s="404" t="s">
        <v>1049</v>
      </c>
      <c r="J56" s="404" t="s">
        <v>1049</v>
      </c>
      <c r="K56" s="404" t="s">
        <v>1049</v>
      </c>
      <c r="L56" s="404" t="s">
        <v>1048</v>
      </c>
      <c r="M56" s="404" t="s">
        <v>1048</v>
      </c>
    </row>
    <row r="57" spans="1:13">
      <c r="A57" s="404">
        <v>15</v>
      </c>
      <c r="B57" s="33"/>
      <c r="C57" s="33"/>
      <c r="F57" s="68" t="str">
        <f>'G-1 All Habitats'!B57</f>
        <v>Sparsely vegetated land - Maritime cliff and slopes</v>
      </c>
      <c r="G57" s="404">
        <v>20</v>
      </c>
      <c r="H57" s="404">
        <v>15</v>
      </c>
      <c r="I57" s="404">
        <v>10</v>
      </c>
      <c r="J57" s="404">
        <v>7</v>
      </c>
      <c r="K57" s="404">
        <v>5</v>
      </c>
      <c r="L57" s="404" t="s">
        <v>1048</v>
      </c>
      <c r="M57" s="404" t="s">
        <v>1048</v>
      </c>
    </row>
    <row r="58" spans="1:13">
      <c r="A58" s="404">
        <v>16</v>
      </c>
      <c r="B58" s="33"/>
      <c r="C58" s="33"/>
      <c r="F58" s="68" t="str">
        <f>'G-1 All Habitats'!B58</f>
        <v>Sparsely vegetated land - Other inland rock and scree</v>
      </c>
      <c r="G58" s="404">
        <v>20</v>
      </c>
      <c r="H58" s="404">
        <v>15</v>
      </c>
      <c r="I58" s="404">
        <v>10</v>
      </c>
      <c r="J58" s="404">
        <v>7</v>
      </c>
      <c r="K58" s="404">
        <v>5</v>
      </c>
      <c r="L58" s="404" t="s">
        <v>1048</v>
      </c>
      <c r="M58" s="404" t="s">
        <v>1048</v>
      </c>
    </row>
    <row r="59" spans="1:13">
      <c r="A59" s="404">
        <v>17</v>
      </c>
      <c r="B59" s="33"/>
      <c r="C59" s="33"/>
      <c r="F59" s="68" t="str">
        <f>'G-1 All Habitats'!B59</f>
        <v>Urban - Allotments</v>
      </c>
      <c r="G59" s="404">
        <v>1</v>
      </c>
      <c r="H59" s="404">
        <v>1</v>
      </c>
      <c r="I59" s="404">
        <v>1</v>
      </c>
      <c r="J59" s="404">
        <v>1</v>
      </c>
      <c r="K59" s="404">
        <v>1</v>
      </c>
      <c r="L59" s="404" t="s">
        <v>1048</v>
      </c>
      <c r="M59" s="404" t="s">
        <v>1048</v>
      </c>
    </row>
    <row r="60" spans="1:13">
      <c r="A60" s="404">
        <v>18</v>
      </c>
      <c r="B60" s="33"/>
      <c r="C60" s="33"/>
      <c r="F60" s="68" t="str">
        <f>'G-1 All Habitats'!B40</f>
        <v>Lakes - Ornamental lake or pond</v>
      </c>
      <c r="G60" s="404">
        <v>5</v>
      </c>
      <c r="H60" s="404">
        <v>4</v>
      </c>
      <c r="I60" s="404">
        <v>3</v>
      </c>
      <c r="J60" s="404">
        <v>2</v>
      </c>
      <c r="K60" s="404">
        <v>1</v>
      </c>
      <c r="L60" s="404" t="s">
        <v>1048</v>
      </c>
      <c r="M60" s="404" t="s">
        <v>1048</v>
      </c>
    </row>
    <row r="61" spans="1:13">
      <c r="A61" s="404">
        <v>19</v>
      </c>
      <c r="B61" s="33"/>
      <c r="C61" s="33"/>
      <c r="F61" s="68" t="str">
        <f>'G-1 All Habitats'!B60</f>
        <v>Urban - Artificial unvegetated, unsealed surface</v>
      </c>
      <c r="G61" s="404" t="s">
        <v>1048</v>
      </c>
      <c r="H61" s="404" t="s">
        <v>1048</v>
      </c>
      <c r="I61" s="404" t="s">
        <v>1048</v>
      </c>
      <c r="J61" s="404" t="s">
        <v>1048</v>
      </c>
      <c r="K61" s="404" t="s">
        <v>1048</v>
      </c>
      <c r="L61" s="404" t="s">
        <v>1048</v>
      </c>
      <c r="M61" s="404">
        <v>0</v>
      </c>
    </row>
    <row r="62" spans="1:13">
      <c r="A62" s="404">
        <v>20</v>
      </c>
      <c r="B62" s="33"/>
      <c r="C62" s="33"/>
      <c r="F62" s="68" t="str">
        <f>'G-1 All Habitats'!B61</f>
        <v>Urban - Bioswale</v>
      </c>
      <c r="G62" s="404">
        <v>3</v>
      </c>
      <c r="H62" s="404">
        <v>2</v>
      </c>
      <c r="I62" s="404">
        <v>1</v>
      </c>
      <c r="J62" s="404">
        <v>1</v>
      </c>
      <c r="K62" s="404">
        <v>1</v>
      </c>
      <c r="L62" s="404" t="s">
        <v>1048</v>
      </c>
      <c r="M62" s="404" t="s">
        <v>1048</v>
      </c>
    </row>
    <row r="63" spans="1:13">
      <c r="A63" s="404">
        <v>21</v>
      </c>
      <c r="B63" s="33"/>
      <c r="C63" s="33"/>
      <c r="F63" s="68" t="str">
        <f>'G-1 All Habitats'!B62</f>
        <v>Urban - Intensive green roof</v>
      </c>
      <c r="G63" s="404">
        <v>5</v>
      </c>
      <c r="H63" s="404">
        <v>4</v>
      </c>
      <c r="I63" s="404">
        <v>3</v>
      </c>
      <c r="J63" s="404">
        <v>2</v>
      </c>
      <c r="K63" s="404">
        <v>1</v>
      </c>
      <c r="L63" s="404" t="s">
        <v>1048</v>
      </c>
      <c r="M63" s="404" t="s">
        <v>1048</v>
      </c>
    </row>
    <row r="64" spans="1:13">
      <c r="A64" s="404">
        <v>22</v>
      </c>
      <c r="B64" s="33"/>
      <c r="C64" s="33"/>
      <c r="F64" s="68" t="str">
        <f>'G-1 All Habitats'!B63</f>
        <v>Urban - Built linear features</v>
      </c>
      <c r="G64" s="404" t="s">
        <v>1048</v>
      </c>
      <c r="H64" s="404" t="s">
        <v>1048</v>
      </c>
      <c r="I64" s="404" t="s">
        <v>1048</v>
      </c>
      <c r="J64" s="404" t="s">
        <v>1048</v>
      </c>
      <c r="K64" s="404" t="s">
        <v>1048</v>
      </c>
      <c r="L64" s="404" t="s">
        <v>1048</v>
      </c>
      <c r="M64" s="404">
        <v>0</v>
      </c>
    </row>
    <row r="65" spans="1:13">
      <c r="A65" s="404">
        <v>23</v>
      </c>
      <c r="B65" s="33"/>
      <c r="C65" s="33"/>
      <c r="F65" s="68" t="str">
        <f>'G-1 All Habitats'!B64</f>
        <v>Urban - Cemeteries and churchyards</v>
      </c>
      <c r="G65" s="404">
        <v>20</v>
      </c>
      <c r="H65" s="404">
        <v>17</v>
      </c>
      <c r="I65" s="404">
        <v>15</v>
      </c>
      <c r="J65" s="404">
        <v>12</v>
      </c>
      <c r="K65" s="404">
        <v>10</v>
      </c>
      <c r="L65" s="404" t="s">
        <v>1048</v>
      </c>
      <c r="M65" s="404" t="s">
        <v>1048</v>
      </c>
    </row>
    <row r="66" spans="1:13">
      <c r="A66" s="404">
        <v>24</v>
      </c>
      <c r="B66" s="33"/>
      <c r="C66" s="33"/>
      <c r="F66" s="68" t="str">
        <f>'G-1 All Habitats'!B65</f>
        <v>Urban - Developed land; sealed surface</v>
      </c>
      <c r="G66" s="404" t="s">
        <v>1048</v>
      </c>
      <c r="H66" s="404" t="s">
        <v>1048</v>
      </c>
      <c r="I66" s="404" t="s">
        <v>1048</v>
      </c>
      <c r="J66" s="404" t="s">
        <v>1048</v>
      </c>
      <c r="K66" s="404" t="s">
        <v>1048</v>
      </c>
      <c r="L66" s="404" t="s">
        <v>1048</v>
      </c>
      <c r="M66" s="404">
        <v>0</v>
      </c>
    </row>
    <row r="67" spans="1:13">
      <c r="A67" s="404">
        <v>25</v>
      </c>
      <c r="B67" s="33"/>
      <c r="C67" s="33"/>
      <c r="F67" s="68" t="str">
        <f>'G-1 All Habitats'!B66</f>
        <v>Urban - Other green roof</v>
      </c>
      <c r="G67" s="404" t="s">
        <v>1048</v>
      </c>
      <c r="H67" s="404" t="s">
        <v>1048</v>
      </c>
      <c r="I67" s="404" t="s">
        <v>1048</v>
      </c>
      <c r="J67" s="404" t="s">
        <v>1048</v>
      </c>
      <c r="K67" s="404" t="s">
        <v>1048</v>
      </c>
      <c r="L67" s="404">
        <v>1</v>
      </c>
      <c r="M67" s="404" t="s">
        <v>1048</v>
      </c>
    </row>
    <row r="68" spans="1:13">
      <c r="A68" s="404">
        <v>26</v>
      </c>
      <c r="B68" s="33"/>
      <c r="C68" s="33"/>
      <c r="F68" s="68" t="str">
        <f>'G-1 All Habitats'!B67</f>
        <v>Urban - Facade-bound green wall</v>
      </c>
      <c r="G68" s="404">
        <v>5</v>
      </c>
      <c r="H68" s="404">
        <v>4</v>
      </c>
      <c r="I68" s="404">
        <v>3</v>
      </c>
      <c r="J68" s="404">
        <v>2</v>
      </c>
      <c r="K68" s="404">
        <v>1</v>
      </c>
      <c r="L68" s="404" t="s">
        <v>1048</v>
      </c>
      <c r="M68" s="404" t="s">
        <v>1048</v>
      </c>
    </row>
    <row r="69" spans="1:13">
      <c r="A69" s="404">
        <v>27</v>
      </c>
      <c r="B69" s="33"/>
      <c r="C69" s="33"/>
      <c r="F69" s="68" t="str">
        <f>'G-1 All Habitats'!B68</f>
        <v>Urban - Ground based green wall</v>
      </c>
      <c r="G69" s="404">
        <v>5</v>
      </c>
      <c r="H69" s="404">
        <v>4</v>
      </c>
      <c r="I69" s="404">
        <v>3</v>
      </c>
      <c r="J69" s="404">
        <v>2</v>
      </c>
      <c r="K69" s="404">
        <v>1</v>
      </c>
      <c r="L69" s="404" t="s">
        <v>1048</v>
      </c>
      <c r="M69" s="404" t="s">
        <v>1048</v>
      </c>
    </row>
    <row r="70" spans="1:13">
      <c r="A70" s="404">
        <v>28</v>
      </c>
      <c r="B70" s="33"/>
      <c r="C70" s="33"/>
      <c r="F70" s="68" t="str">
        <f>'G-1 All Habitats'!B69</f>
        <v>Urban - Ground level planters</v>
      </c>
      <c r="G70" s="404" t="s">
        <v>1048</v>
      </c>
      <c r="H70" s="404" t="s">
        <v>1048</v>
      </c>
      <c r="I70" s="404" t="s">
        <v>1048</v>
      </c>
      <c r="J70" s="404" t="s">
        <v>1048</v>
      </c>
      <c r="K70" s="404" t="s">
        <v>1048</v>
      </c>
      <c r="L70" s="404">
        <v>1</v>
      </c>
      <c r="M70" s="404" t="s">
        <v>1048</v>
      </c>
    </row>
    <row r="71" spans="1:13">
      <c r="A71" s="404">
        <v>29</v>
      </c>
      <c r="B71" s="33"/>
      <c r="C71" s="33"/>
      <c r="F71" s="68" t="str">
        <f>'G-1 All Habitats'!B70</f>
        <v>Urban - Biodiverse green roof</v>
      </c>
      <c r="G71" s="404">
        <v>10</v>
      </c>
      <c r="H71" s="404">
        <v>8</v>
      </c>
      <c r="I71" s="404">
        <v>5</v>
      </c>
      <c r="J71" s="404">
        <v>3</v>
      </c>
      <c r="K71" s="404">
        <v>1</v>
      </c>
      <c r="L71" s="404" t="s">
        <v>1048</v>
      </c>
      <c r="M71" s="404" t="s">
        <v>1048</v>
      </c>
    </row>
    <row r="72" spans="1:13">
      <c r="A72" s="404">
        <v>30</v>
      </c>
      <c r="B72" s="33"/>
      <c r="C72" s="33"/>
      <c r="F72" s="68" t="str">
        <f>'G-1 All Habitats'!B71</f>
        <v>Urban - Introduced shrub</v>
      </c>
      <c r="G72" s="404" t="s">
        <v>1048</v>
      </c>
      <c r="H72" s="404" t="s">
        <v>1048</v>
      </c>
      <c r="I72" s="404" t="s">
        <v>1048</v>
      </c>
      <c r="J72" s="404" t="s">
        <v>1048</v>
      </c>
      <c r="K72" s="404" t="s">
        <v>1048</v>
      </c>
      <c r="L72" s="404">
        <v>1</v>
      </c>
      <c r="M72" s="404" t="s">
        <v>1048</v>
      </c>
    </row>
    <row r="73" spans="1:13">
      <c r="A73" s="404" t="s">
        <v>1049</v>
      </c>
      <c r="B73" s="33"/>
      <c r="C73" s="33"/>
      <c r="F73" s="68" t="str">
        <f>'G-1 All Habitats'!B72</f>
        <v>Urban - Open mosaic habitats on previously developed land</v>
      </c>
      <c r="G73" s="404">
        <v>10</v>
      </c>
      <c r="H73" s="404">
        <v>7</v>
      </c>
      <c r="I73" s="404">
        <v>4</v>
      </c>
      <c r="J73" s="404">
        <v>2</v>
      </c>
      <c r="K73" s="404">
        <v>0</v>
      </c>
      <c r="L73" s="404" t="s">
        <v>1048</v>
      </c>
      <c r="M73" s="404" t="s">
        <v>1048</v>
      </c>
    </row>
    <row r="74" spans="1:13">
      <c r="B74" s="33"/>
      <c r="C74" s="33"/>
      <c r="F74" s="68" t="str">
        <f>'G-1 All Habitats'!B73</f>
        <v>Urban - Rain garden</v>
      </c>
      <c r="G74" s="404">
        <v>5</v>
      </c>
      <c r="H74" s="404">
        <v>4</v>
      </c>
      <c r="I74" s="404">
        <v>3</v>
      </c>
      <c r="J74" s="404">
        <v>2</v>
      </c>
      <c r="K74" s="404">
        <v>1</v>
      </c>
      <c r="L74" s="404" t="s">
        <v>1048</v>
      </c>
      <c r="M74" s="404" t="s">
        <v>1048</v>
      </c>
    </row>
    <row r="75" spans="1:13">
      <c r="A75" s="33"/>
      <c r="B75" s="33"/>
      <c r="C75" s="33"/>
      <c r="F75" s="68" t="str">
        <f>'G-1 All Habitats'!B74</f>
        <v>Urban - Actively worked sand pit quarry or open cast mine</v>
      </c>
      <c r="G75" s="404" t="s">
        <v>1048</v>
      </c>
      <c r="H75" s="404" t="s">
        <v>1048</v>
      </c>
      <c r="I75" s="404" t="s">
        <v>1048</v>
      </c>
      <c r="J75" s="404" t="s">
        <v>1048</v>
      </c>
      <c r="K75" s="404" t="s">
        <v>1048</v>
      </c>
      <c r="L75" s="404">
        <v>1</v>
      </c>
      <c r="M75" s="404" t="s">
        <v>1048</v>
      </c>
    </row>
    <row r="76" spans="1:13">
      <c r="A76" s="33"/>
      <c r="B76" s="33"/>
      <c r="C76" s="33"/>
      <c r="F76" s="68" t="str">
        <f>'G-1 All Habitats'!B80</f>
        <v>Individual trees - Urban tree</v>
      </c>
      <c r="G76" s="404" t="s">
        <v>1049</v>
      </c>
      <c r="H76" s="404" t="s">
        <v>1049</v>
      </c>
      <c r="I76" s="404">
        <v>27</v>
      </c>
      <c r="J76" s="404">
        <v>19</v>
      </c>
      <c r="K76" s="404">
        <v>10</v>
      </c>
      <c r="L76" s="404" t="s">
        <v>1048</v>
      </c>
      <c r="M76" s="404" t="s">
        <v>1048</v>
      </c>
    </row>
    <row r="77" spans="1:13">
      <c r="A77" s="33"/>
      <c r="B77" s="33"/>
      <c r="C77" s="33"/>
      <c r="F77" s="68" t="str">
        <f>'G-1 All Habitats'!B75</f>
        <v>Urban - Sustainable drainage system</v>
      </c>
      <c r="G77" s="404">
        <v>5</v>
      </c>
      <c r="H77" s="404">
        <v>4</v>
      </c>
      <c r="I77" s="404">
        <v>3</v>
      </c>
      <c r="J77" s="404">
        <v>2</v>
      </c>
      <c r="K77" s="404">
        <v>1</v>
      </c>
      <c r="L77" s="404" t="s">
        <v>1048</v>
      </c>
      <c r="M77" s="404" t="s">
        <v>1048</v>
      </c>
    </row>
    <row r="78" spans="1:13">
      <c r="A78" s="33"/>
      <c r="B78" s="33"/>
      <c r="C78" s="33"/>
      <c r="F78" s="68" t="str">
        <f>'G-1 All Habitats'!B76</f>
        <v>Urban - Unvegetated garden</v>
      </c>
      <c r="G78" s="404" t="s">
        <v>1048</v>
      </c>
      <c r="H78" s="404" t="s">
        <v>1048</v>
      </c>
      <c r="I78" s="404" t="s">
        <v>1048</v>
      </c>
      <c r="J78" s="404" t="s">
        <v>1048</v>
      </c>
      <c r="K78" s="404" t="s">
        <v>1048</v>
      </c>
      <c r="L78" s="404" t="s">
        <v>1048</v>
      </c>
      <c r="M78" s="404">
        <v>0</v>
      </c>
    </row>
    <row r="79" spans="1:13">
      <c r="A79" s="33"/>
      <c r="B79" s="33"/>
      <c r="C79" s="33"/>
      <c r="F79" s="68" t="str">
        <f>'G-1 All Habitats'!B77</f>
        <v>Urban - Vacant or derelict land</v>
      </c>
      <c r="G79" s="404">
        <v>5</v>
      </c>
      <c r="H79" s="404">
        <v>4</v>
      </c>
      <c r="I79" s="404">
        <v>3</v>
      </c>
      <c r="J79" s="404">
        <v>2</v>
      </c>
      <c r="K79" s="404">
        <v>1</v>
      </c>
      <c r="L79" s="404" t="s">
        <v>1048</v>
      </c>
      <c r="M79" s="404" t="s">
        <v>1048</v>
      </c>
    </row>
    <row r="80" spans="1:13">
      <c r="A80" s="33"/>
      <c r="B80" s="33"/>
      <c r="C80" s="33"/>
      <c r="F80" s="68" t="s">
        <v>735</v>
      </c>
      <c r="G80" s="404">
        <v>5</v>
      </c>
      <c r="H80" s="404">
        <v>4</v>
      </c>
      <c r="I80" s="404">
        <v>3</v>
      </c>
      <c r="J80" s="404">
        <v>2</v>
      </c>
      <c r="K80" s="404">
        <v>1</v>
      </c>
      <c r="L80" s="404" t="s">
        <v>1048</v>
      </c>
      <c r="M80" s="404" t="s">
        <v>1048</v>
      </c>
    </row>
    <row r="81" spans="1:13">
      <c r="A81" s="33"/>
      <c r="B81" s="33"/>
      <c r="C81" s="33"/>
      <c r="F81" s="68" t="str">
        <f>'G-1 All Habitats'!B79</f>
        <v>Urban - Vegetated garden</v>
      </c>
      <c r="G81" s="404" t="s">
        <v>1048</v>
      </c>
      <c r="H81" s="404" t="s">
        <v>1048</v>
      </c>
      <c r="I81" s="404" t="s">
        <v>1048</v>
      </c>
      <c r="J81" s="404" t="s">
        <v>1048</v>
      </c>
      <c r="K81" s="404" t="s">
        <v>1048</v>
      </c>
      <c r="L81" s="404">
        <v>1</v>
      </c>
      <c r="M81" s="404" t="s">
        <v>1048</v>
      </c>
    </row>
    <row r="82" spans="1:13">
      <c r="A82" s="33"/>
      <c r="B82" s="33"/>
      <c r="C82" s="33"/>
      <c r="F82" s="68" t="str">
        <f>'G-1 All Habitats'!B82</f>
        <v>Wetland - Blanket bog</v>
      </c>
      <c r="G82" s="404" t="s">
        <v>1049</v>
      </c>
      <c r="H82" s="404" t="s">
        <v>1049</v>
      </c>
      <c r="I82" s="404" t="s">
        <v>1049</v>
      </c>
      <c r="J82" s="404" t="s">
        <v>1049</v>
      </c>
      <c r="K82" s="404" t="s">
        <v>1049</v>
      </c>
      <c r="L82" s="404" t="s">
        <v>1048</v>
      </c>
      <c r="M82" s="404" t="s">
        <v>1048</v>
      </c>
    </row>
    <row r="83" spans="1:13">
      <c r="A83" s="33"/>
      <c r="B83" s="33"/>
      <c r="C83" s="33"/>
      <c r="F83" s="68" t="str">
        <f>'G-1 All Habitats'!B83</f>
        <v>Wetland - Depressions on peat substrates (H7150)</v>
      </c>
      <c r="G83" s="404" t="s">
        <v>1049</v>
      </c>
      <c r="H83" s="404" t="s">
        <v>1049</v>
      </c>
      <c r="I83" s="404">
        <v>30</v>
      </c>
      <c r="J83" s="404">
        <v>25</v>
      </c>
      <c r="K83" s="404">
        <v>15</v>
      </c>
      <c r="L83" s="404" t="s">
        <v>1048</v>
      </c>
      <c r="M83" s="404" t="s">
        <v>1048</v>
      </c>
    </row>
    <row r="84" spans="1:13">
      <c r="A84" s="33"/>
      <c r="B84" s="33"/>
      <c r="C84" s="33"/>
      <c r="F84" s="68" t="str">
        <f>'G-1 All Habitats'!B84</f>
        <v>Wetland - Fens (upland and lowland)</v>
      </c>
      <c r="G84" s="404">
        <v>30</v>
      </c>
      <c r="H84" s="404">
        <v>25</v>
      </c>
      <c r="I84" s="404">
        <v>20</v>
      </c>
      <c r="J84" s="404">
        <v>15</v>
      </c>
      <c r="K84" s="404">
        <v>10</v>
      </c>
      <c r="L84" s="404" t="s">
        <v>1048</v>
      </c>
      <c r="M84" s="404" t="s">
        <v>1048</v>
      </c>
    </row>
    <row r="85" spans="1:13">
      <c r="A85" s="33"/>
      <c r="B85" s="33"/>
      <c r="C85" s="33"/>
      <c r="F85" s="68" t="str">
        <f>'G-1 All Habitats'!B85</f>
        <v>Wetland - Lowland raised bog</v>
      </c>
      <c r="G85" s="404" t="s">
        <v>1049</v>
      </c>
      <c r="H85" s="404" t="s">
        <v>1049</v>
      </c>
      <c r="I85" s="404">
        <v>30</v>
      </c>
      <c r="J85" s="404">
        <v>20</v>
      </c>
      <c r="K85" s="404">
        <v>15</v>
      </c>
      <c r="L85" s="404" t="s">
        <v>1048</v>
      </c>
      <c r="M85" s="404" t="s">
        <v>1048</v>
      </c>
    </row>
    <row r="86" spans="1:13">
      <c r="A86" s="33"/>
      <c r="B86" s="33"/>
      <c r="C86" s="33"/>
      <c r="F86" s="68" t="str">
        <f>'G-1 All Habitats'!B86</f>
        <v>Wetland - Oceanic valley mire[1] (D2.1)</v>
      </c>
      <c r="G86" s="404" t="s">
        <v>1049</v>
      </c>
      <c r="H86" s="404" t="s">
        <v>1049</v>
      </c>
      <c r="I86" s="404">
        <v>30</v>
      </c>
      <c r="J86" s="404">
        <v>20</v>
      </c>
      <c r="K86" s="404">
        <v>15</v>
      </c>
      <c r="L86" s="404" t="s">
        <v>1048</v>
      </c>
      <c r="M86" s="404" t="s">
        <v>1048</v>
      </c>
    </row>
    <row r="87" spans="1:13">
      <c r="A87" s="33"/>
      <c r="B87" s="33"/>
      <c r="C87" s="33"/>
      <c r="F87" s="68" t="str">
        <f>'G-1 All Habitats'!B87</f>
        <v>Wetland - Purple moor grass and rush pastures</v>
      </c>
      <c r="G87" s="404">
        <v>30</v>
      </c>
      <c r="H87" s="404">
        <v>25</v>
      </c>
      <c r="I87" s="404">
        <v>20</v>
      </c>
      <c r="J87" s="404">
        <v>15</v>
      </c>
      <c r="K87" s="404">
        <v>10</v>
      </c>
      <c r="L87" s="404" t="s">
        <v>1048</v>
      </c>
      <c r="M87" s="404" t="s">
        <v>1048</v>
      </c>
    </row>
    <row r="88" spans="1:13">
      <c r="A88" s="33"/>
      <c r="B88" s="33"/>
      <c r="C88" s="33"/>
      <c r="F88" s="68" t="str">
        <f>'G-1 All Habitats'!B88</f>
        <v>Wetland - Reedbeds</v>
      </c>
      <c r="G88" s="404">
        <v>12</v>
      </c>
      <c r="H88" s="404">
        <v>10</v>
      </c>
      <c r="I88" s="404">
        <v>7</v>
      </c>
      <c r="J88" s="404">
        <v>5</v>
      </c>
      <c r="K88" s="404">
        <v>3</v>
      </c>
      <c r="L88" s="404" t="s">
        <v>1048</v>
      </c>
      <c r="M88" s="404" t="s">
        <v>1048</v>
      </c>
    </row>
    <row r="89" spans="1:13">
      <c r="A89" s="33"/>
      <c r="B89" s="33"/>
      <c r="C89" s="33"/>
      <c r="F89" s="68" t="str">
        <f>'G-1 All Habitats'!B89</f>
        <v>Wetland - Transition mires and quaking bogs (H7140)</v>
      </c>
      <c r="G89" s="404" t="s">
        <v>1049</v>
      </c>
      <c r="H89" s="404" t="s">
        <v>1049</v>
      </c>
      <c r="I89" s="404">
        <v>30</v>
      </c>
      <c r="J89" s="404">
        <v>25</v>
      </c>
      <c r="K89" s="404">
        <v>15</v>
      </c>
      <c r="L89" s="404" t="s">
        <v>1048</v>
      </c>
      <c r="M89" s="404" t="s">
        <v>1048</v>
      </c>
    </row>
    <row r="90" spans="1:13">
      <c r="A90" s="33"/>
      <c r="B90" s="33"/>
      <c r="C90" s="33"/>
      <c r="F90" s="68" t="str">
        <f>'G-1 All Habitats'!B90</f>
        <v>Woodland and forest - Felled</v>
      </c>
      <c r="G90" s="404" t="s">
        <v>1049</v>
      </c>
      <c r="H90" s="404" t="s">
        <v>1048</v>
      </c>
      <c r="I90" s="404" t="s">
        <v>1048</v>
      </c>
      <c r="J90" s="404" t="s">
        <v>1048</v>
      </c>
      <c r="K90" s="404" t="s">
        <v>1048</v>
      </c>
      <c r="L90" s="404" t="s">
        <v>1048</v>
      </c>
      <c r="M90" s="404" t="s">
        <v>1048</v>
      </c>
    </row>
    <row r="91" spans="1:13">
      <c r="A91" s="33"/>
      <c r="B91" s="33"/>
      <c r="C91" s="33"/>
      <c r="F91" s="68" t="str">
        <f>'G-1 All Habitats'!B91</f>
        <v>Woodland and forest - Lowland beech and yew woodland</v>
      </c>
      <c r="G91" s="404" t="s">
        <v>1049</v>
      </c>
      <c r="H91" s="404" t="s">
        <v>1049</v>
      </c>
      <c r="I91" s="404" t="s">
        <v>1049</v>
      </c>
      <c r="J91" s="404">
        <v>25</v>
      </c>
      <c r="K91" s="404">
        <v>10</v>
      </c>
      <c r="L91" s="404" t="s">
        <v>1048</v>
      </c>
      <c r="M91" s="404" t="s">
        <v>1048</v>
      </c>
    </row>
    <row r="92" spans="1:13">
      <c r="A92" s="33"/>
      <c r="B92" s="33"/>
      <c r="C92" s="33"/>
      <c r="F92" s="68" t="str">
        <f>'G-1 All Habitats'!B92</f>
        <v>Woodland and forest - Lowland mixed deciduous woodland</v>
      </c>
      <c r="G92" s="404" t="s">
        <v>1049</v>
      </c>
      <c r="H92" s="404" t="s">
        <v>1049</v>
      </c>
      <c r="I92" s="404" t="s">
        <v>1049</v>
      </c>
      <c r="J92" s="404">
        <v>25</v>
      </c>
      <c r="K92" s="404">
        <v>10</v>
      </c>
      <c r="L92" s="404" t="s">
        <v>1048</v>
      </c>
      <c r="M92" s="404" t="s">
        <v>1048</v>
      </c>
    </row>
    <row r="93" spans="1:13">
      <c r="A93" s="33"/>
      <c r="B93" s="33"/>
      <c r="C93" s="33"/>
      <c r="F93" s="68" t="str">
        <f>'G-1 All Habitats'!B93</f>
        <v>Woodland and forest - Native pine woodlands</v>
      </c>
      <c r="G93" s="404" t="s">
        <v>1049</v>
      </c>
      <c r="H93" s="404" t="s">
        <v>1049</v>
      </c>
      <c r="I93" s="404" t="s">
        <v>1049</v>
      </c>
      <c r="J93" s="404">
        <v>25</v>
      </c>
      <c r="K93" s="404">
        <v>10</v>
      </c>
      <c r="L93" s="404" t="s">
        <v>1048</v>
      </c>
      <c r="M93" s="404" t="s">
        <v>1048</v>
      </c>
    </row>
    <row r="94" spans="1:13">
      <c r="A94" s="33"/>
      <c r="B94" s="33"/>
      <c r="C94" s="33"/>
      <c r="F94" s="68" t="str">
        <f>'G-1 All Habitats'!B94</f>
        <v>Woodland and forest - Other coniferous woodland</v>
      </c>
      <c r="G94" s="404" t="s">
        <v>1049</v>
      </c>
      <c r="H94" s="404" t="s">
        <v>1049</v>
      </c>
      <c r="I94" s="404">
        <v>30</v>
      </c>
      <c r="J94" s="404">
        <v>10</v>
      </c>
      <c r="K94" s="404">
        <v>5</v>
      </c>
      <c r="L94" s="404" t="s">
        <v>1048</v>
      </c>
      <c r="M94" s="404" t="s">
        <v>1048</v>
      </c>
    </row>
    <row r="95" spans="1:13">
      <c r="A95" s="33"/>
      <c r="B95" s="33"/>
      <c r="C95" s="33"/>
      <c r="F95" s="68" t="str">
        <f>'G-1 All Habitats'!B95</f>
        <v>Woodland and forest - Other Scot's pine woodland</v>
      </c>
      <c r="G95" s="404" t="s">
        <v>1049</v>
      </c>
      <c r="H95" s="404" t="s">
        <v>1049</v>
      </c>
      <c r="I95" s="404" t="s">
        <v>1049</v>
      </c>
      <c r="J95" s="404">
        <v>25</v>
      </c>
      <c r="K95" s="404">
        <v>10</v>
      </c>
      <c r="L95" s="404" t="s">
        <v>1048</v>
      </c>
      <c r="M95" s="404" t="s">
        <v>1048</v>
      </c>
    </row>
    <row r="96" spans="1:13">
      <c r="A96" s="33"/>
      <c r="B96" s="33"/>
      <c r="C96" s="33"/>
      <c r="F96" s="68" t="str">
        <f>'G-1 All Habitats'!B96</f>
        <v>Woodland and forest - Other woodland; broadleaved</v>
      </c>
      <c r="G96" s="404" t="s">
        <v>1049</v>
      </c>
      <c r="H96" s="404">
        <v>25</v>
      </c>
      <c r="I96" s="404">
        <v>15</v>
      </c>
      <c r="J96" s="404">
        <v>7</v>
      </c>
      <c r="K96" s="404">
        <v>5</v>
      </c>
      <c r="L96" s="404" t="s">
        <v>1048</v>
      </c>
      <c r="M96" s="404" t="s">
        <v>1048</v>
      </c>
    </row>
    <row r="97" spans="1:13">
      <c r="A97" s="33"/>
      <c r="B97" s="33"/>
      <c r="C97" s="33"/>
      <c r="F97" s="68" t="str">
        <f>'G-1 All Habitats'!B97</f>
        <v>Woodland and forest - Other woodland; mixed</v>
      </c>
      <c r="G97" s="404" t="s">
        <v>1049</v>
      </c>
      <c r="H97" s="404" t="s">
        <v>1049</v>
      </c>
      <c r="I97" s="404">
        <v>30</v>
      </c>
      <c r="J97" s="404">
        <v>10</v>
      </c>
      <c r="K97" s="404">
        <v>5</v>
      </c>
      <c r="L97" s="404" t="s">
        <v>1048</v>
      </c>
      <c r="M97" s="404" t="s">
        <v>1048</v>
      </c>
    </row>
    <row r="98" spans="1:13">
      <c r="A98" s="33"/>
      <c r="B98" s="33"/>
      <c r="C98" s="33"/>
      <c r="F98" s="68" t="str">
        <f>'G-1 All Habitats'!B98</f>
        <v>Woodland and forest - Upland birchwoods</v>
      </c>
      <c r="G98" s="404" t="s">
        <v>1049</v>
      </c>
      <c r="H98" s="404">
        <v>30</v>
      </c>
      <c r="I98" s="404">
        <v>25</v>
      </c>
      <c r="J98" s="404">
        <v>20</v>
      </c>
      <c r="K98" s="404">
        <v>10</v>
      </c>
      <c r="L98" s="404" t="s">
        <v>1048</v>
      </c>
      <c r="M98" s="404" t="s">
        <v>1048</v>
      </c>
    </row>
    <row r="99" spans="1:13">
      <c r="A99" s="33"/>
      <c r="B99" s="33"/>
      <c r="C99" s="33"/>
      <c r="F99" s="68" t="str">
        <f>'G-1 All Habitats'!B99</f>
        <v>Woodland and forest - Upland mixed ashwoods</v>
      </c>
      <c r="G99" s="404" t="s">
        <v>1049</v>
      </c>
      <c r="H99" s="404" t="s">
        <v>1049</v>
      </c>
      <c r="I99" s="404" t="s">
        <v>1049</v>
      </c>
      <c r="J99" s="404">
        <v>25</v>
      </c>
      <c r="K99" s="404">
        <v>10</v>
      </c>
      <c r="L99" s="404" t="s">
        <v>1048</v>
      </c>
      <c r="M99" s="404" t="s">
        <v>1048</v>
      </c>
    </row>
    <row r="100" spans="1:13">
      <c r="A100" s="33"/>
      <c r="B100" s="33"/>
      <c r="C100" s="33"/>
      <c r="F100" s="68" t="str">
        <f>'G-1 All Habitats'!B100</f>
        <v>Woodland and forest - Upland oakwood</v>
      </c>
      <c r="G100" s="404" t="s">
        <v>1049</v>
      </c>
      <c r="H100" s="404" t="s">
        <v>1049</v>
      </c>
      <c r="I100" s="404" t="s">
        <v>1049</v>
      </c>
      <c r="J100" s="404">
        <v>25</v>
      </c>
      <c r="K100" s="404">
        <v>10</v>
      </c>
      <c r="L100" s="404" t="s">
        <v>1048</v>
      </c>
      <c r="M100" s="404" t="s">
        <v>1048</v>
      </c>
    </row>
    <row r="101" spans="1:13">
      <c r="A101" s="33"/>
      <c r="B101" s="33"/>
      <c r="C101" s="33"/>
      <c r="F101" s="68" t="str">
        <f>'G-1 All Habitats'!B101</f>
        <v>Woodland and forest - Wet woodland</v>
      </c>
      <c r="G101" s="404" t="s">
        <v>1049</v>
      </c>
      <c r="H101" s="404">
        <v>30</v>
      </c>
      <c r="I101" s="404">
        <v>15</v>
      </c>
      <c r="J101" s="404">
        <v>10</v>
      </c>
      <c r="K101" s="404">
        <v>5</v>
      </c>
      <c r="L101" s="404" t="s">
        <v>1048</v>
      </c>
      <c r="M101" s="404" t="s">
        <v>1048</v>
      </c>
    </row>
    <row r="102" spans="1:13">
      <c r="F102" s="68" t="str">
        <f>'G-1 All Habitats'!B102</f>
        <v>Woodland and forest - Wood-pasture and parkland</v>
      </c>
      <c r="G102" s="404" t="s">
        <v>1049</v>
      </c>
      <c r="H102" s="404" t="s">
        <v>1049</v>
      </c>
      <c r="I102" s="404" t="s">
        <v>1049</v>
      </c>
      <c r="J102" s="404">
        <v>25</v>
      </c>
      <c r="K102" s="404">
        <v>10</v>
      </c>
      <c r="L102" s="404" t="s">
        <v>1048</v>
      </c>
      <c r="M102" s="404" t="s">
        <v>1048</v>
      </c>
    </row>
    <row r="103" spans="1:13">
      <c r="F103" s="68" t="str">
        <f>'G-1 All Habitats'!B103</f>
        <v>Coastal lagoons - Coastal lagoons</v>
      </c>
      <c r="G103" s="404">
        <v>10</v>
      </c>
      <c r="H103" s="404">
        <v>8</v>
      </c>
      <c r="I103" s="404">
        <v>5</v>
      </c>
      <c r="J103" s="404">
        <v>3</v>
      </c>
      <c r="K103" s="404">
        <v>1</v>
      </c>
      <c r="L103" s="404" t="s">
        <v>1048</v>
      </c>
      <c r="M103" s="404" t="s">
        <v>1048</v>
      </c>
    </row>
    <row r="104" spans="1:13">
      <c r="F104" s="68" t="str">
        <f>'G-1 All Habitats'!B104</f>
        <v>Rocky shore - High energy littoral rock</v>
      </c>
      <c r="G104" s="404">
        <v>10</v>
      </c>
      <c r="H104" s="404">
        <v>7</v>
      </c>
      <c r="I104" s="404">
        <v>4</v>
      </c>
      <c r="J104" s="404">
        <v>2</v>
      </c>
      <c r="K104" s="404">
        <v>1</v>
      </c>
      <c r="L104" s="404" t="s">
        <v>1048</v>
      </c>
      <c r="M104" s="404" t="s">
        <v>1048</v>
      </c>
    </row>
    <row r="105" spans="1:13">
      <c r="F105" s="68" t="str">
        <f>'G-1 All Habitats'!B105</f>
        <v>Rocky shore - High energy littoral rock - on peat, clay or chalk</v>
      </c>
      <c r="G105" s="404" t="s">
        <v>1049</v>
      </c>
      <c r="H105" s="404" t="s">
        <v>1049</v>
      </c>
      <c r="I105" s="404" t="s">
        <v>1049</v>
      </c>
      <c r="J105" s="404" t="s">
        <v>1049</v>
      </c>
      <c r="K105" s="404" t="s">
        <v>1049</v>
      </c>
      <c r="L105" s="404" t="s">
        <v>1048</v>
      </c>
      <c r="M105" s="404" t="s">
        <v>1048</v>
      </c>
    </row>
    <row r="106" spans="1:13">
      <c r="F106" s="68" t="str">
        <f>'G-1 All Habitats'!B106</f>
        <v>Rocky shore - Moderate energy littoral rock</v>
      </c>
      <c r="G106" s="404">
        <v>13</v>
      </c>
      <c r="H106" s="404">
        <v>8</v>
      </c>
      <c r="I106" s="404">
        <v>4</v>
      </c>
      <c r="J106" s="404">
        <v>2</v>
      </c>
      <c r="K106" s="404">
        <v>1</v>
      </c>
      <c r="L106" s="404" t="s">
        <v>1048</v>
      </c>
      <c r="M106" s="404" t="s">
        <v>1048</v>
      </c>
    </row>
    <row r="107" spans="1:13">
      <c r="F107" s="68" t="str">
        <f>'G-1 All Habitats'!B107</f>
        <v>Rocky shore - Moderate energy littoral rock - on peat, clay or chalk</v>
      </c>
      <c r="G107" s="404" t="s">
        <v>1049</v>
      </c>
      <c r="H107" s="404" t="s">
        <v>1049</v>
      </c>
      <c r="I107" s="404" t="s">
        <v>1049</v>
      </c>
      <c r="J107" s="404" t="s">
        <v>1049</v>
      </c>
      <c r="K107" s="404" t="s">
        <v>1049</v>
      </c>
      <c r="L107" s="404" t="s">
        <v>1048</v>
      </c>
      <c r="M107" s="404" t="s">
        <v>1048</v>
      </c>
    </row>
    <row r="108" spans="1:13">
      <c r="F108" s="68" t="str">
        <f>'G-1 All Habitats'!B108</f>
        <v>Rocky shore - Low energy littoral rock</v>
      </c>
      <c r="G108" s="404">
        <v>15</v>
      </c>
      <c r="H108" s="404">
        <v>10</v>
      </c>
      <c r="I108" s="404">
        <v>5</v>
      </c>
      <c r="J108" s="404">
        <v>1</v>
      </c>
      <c r="K108" s="404">
        <v>1</v>
      </c>
      <c r="L108" s="404" t="s">
        <v>1048</v>
      </c>
      <c r="M108" s="404" t="s">
        <v>1048</v>
      </c>
    </row>
    <row r="109" spans="1:13">
      <c r="F109" s="68" t="str">
        <f>'G-1 All Habitats'!B109</f>
        <v>Rocky shore - Low energy littoral rock - on peat, clay or chalk</v>
      </c>
      <c r="G109" s="404" t="s">
        <v>1049</v>
      </c>
      <c r="H109" s="404" t="s">
        <v>1049</v>
      </c>
      <c r="I109" s="404" t="s">
        <v>1049</v>
      </c>
      <c r="J109" s="404" t="s">
        <v>1049</v>
      </c>
      <c r="K109" s="404" t="s">
        <v>1049</v>
      </c>
      <c r="L109" s="404" t="s">
        <v>1048</v>
      </c>
      <c r="M109" s="404" t="s">
        <v>1048</v>
      </c>
    </row>
    <row r="110" spans="1:13">
      <c r="F110" s="68" t="str">
        <f>'G-1 All Habitats'!B110</f>
        <v>Rocky shore - Features of littoral rock</v>
      </c>
      <c r="G110" s="404">
        <v>13</v>
      </c>
      <c r="H110" s="404">
        <v>8</v>
      </c>
      <c r="I110" s="404">
        <v>4</v>
      </c>
      <c r="J110" s="404">
        <v>2</v>
      </c>
      <c r="K110" s="404">
        <v>1</v>
      </c>
      <c r="L110" s="404" t="s">
        <v>1048</v>
      </c>
      <c r="M110" s="404" t="s">
        <v>1048</v>
      </c>
    </row>
    <row r="111" spans="1:13">
      <c r="F111" s="68" t="str">
        <f>'G-1 All Habitats'!B111</f>
        <v>Rocky shore - Features of littoral rock - on peat, clay or chalk</v>
      </c>
      <c r="G111" s="404" t="s">
        <v>1049</v>
      </c>
      <c r="H111" s="404" t="s">
        <v>1049</v>
      </c>
      <c r="I111" s="404" t="s">
        <v>1049</v>
      </c>
      <c r="J111" s="404" t="s">
        <v>1049</v>
      </c>
      <c r="K111" s="404" t="s">
        <v>1049</v>
      </c>
      <c r="L111" s="404" t="s">
        <v>1048</v>
      </c>
      <c r="M111" s="404" t="s">
        <v>1048</v>
      </c>
    </row>
    <row r="112" spans="1:13">
      <c r="F112" s="68" t="str">
        <f>'G-1 All Habitats'!B114</f>
        <v>Intertidal sediment - Littoral coarse sediment</v>
      </c>
      <c r="G112" s="404">
        <v>3</v>
      </c>
      <c r="H112" s="404">
        <v>2</v>
      </c>
      <c r="I112" s="404">
        <v>1</v>
      </c>
      <c r="J112" s="404">
        <v>1</v>
      </c>
      <c r="K112" s="404">
        <v>1</v>
      </c>
      <c r="L112" s="404" t="s">
        <v>1048</v>
      </c>
      <c r="M112" s="404" t="s">
        <v>1048</v>
      </c>
    </row>
    <row r="113" spans="6:13">
      <c r="F113" s="68" t="str">
        <f>'G-1 All Habitats'!B115</f>
        <v>Intertidal sediment - Littoral mud</v>
      </c>
      <c r="G113" s="404">
        <v>6</v>
      </c>
      <c r="H113" s="404">
        <v>4</v>
      </c>
      <c r="I113" s="404">
        <v>3</v>
      </c>
      <c r="J113" s="404">
        <v>2</v>
      </c>
      <c r="K113" s="404">
        <v>1</v>
      </c>
      <c r="L113" s="404" t="s">
        <v>1048</v>
      </c>
      <c r="M113" s="404" t="s">
        <v>1048</v>
      </c>
    </row>
    <row r="114" spans="6:13">
      <c r="F114" s="68" t="str">
        <f>'G-1 All Habitats'!B116</f>
        <v>Intertidal sediment - Littoral mixed sediments</v>
      </c>
      <c r="G114" s="404">
        <v>5</v>
      </c>
      <c r="H114" s="404">
        <v>4</v>
      </c>
      <c r="I114" s="404">
        <v>3</v>
      </c>
      <c r="J114" s="404">
        <v>2</v>
      </c>
      <c r="K114" s="404">
        <v>1</v>
      </c>
      <c r="L114" s="404" t="s">
        <v>1048</v>
      </c>
      <c r="M114" s="404" t="s">
        <v>1048</v>
      </c>
    </row>
    <row r="115" spans="6:13">
      <c r="F115" s="68" t="str">
        <f>'G-1 All Habitats'!B112</f>
        <v>Coastal saltmarsh - Saltmarshes and saline reedbeds</v>
      </c>
      <c r="G115" s="404">
        <v>15</v>
      </c>
      <c r="H115" s="404">
        <v>10</v>
      </c>
      <c r="I115" s="404">
        <v>7</v>
      </c>
      <c r="J115" s="404">
        <v>3</v>
      </c>
      <c r="K115" s="404">
        <v>1</v>
      </c>
      <c r="L115" s="404" t="s">
        <v>1048</v>
      </c>
      <c r="M115" s="404" t="s">
        <v>1048</v>
      </c>
    </row>
    <row r="116" spans="6:13">
      <c r="F116" s="68" t="str">
        <f>'G-1 All Habitats'!B113</f>
        <v>Coastal saltmarsh - Artificial saltmarshes and saline reedbeds</v>
      </c>
      <c r="G116" s="404">
        <v>15</v>
      </c>
      <c r="H116" s="404">
        <v>10</v>
      </c>
      <c r="I116" s="404">
        <v>7</v>
      </c>
      <c r="J116" s="404">
        <v>3</v>
      </c>
      <c r="K116" s="404">
        <v>1</v>
      </c>
      <c r="L116" s="404" t="s">
        <v>1048</v>
      </c>
      <c r="M116" s="404" t="s">
        <v>1048</v>
      </c>
    </row>
    <row r="117" spans="6:13">
      <c r="F117" s="68" t="str">
        <f>'G-1 All Habitats'!B117</f>
        <v>Intertidal sediment - Littoral seagrass</v>
      </c>
      <c r="G117" s="404">
        <v>20</v>
      </c>
      <c r="H117" s="404">
        <v>15</v>
      </c>
      <c r="I117" s="404">
        <v>10</v>
      </c>
      <c r="J117" s="404">
        <v>5</v>
      </c>
      <c r="K117" s="404">
        <v>2</v>
      </c>
      <c r="L117" s="404" t="s">
        <v>1048</v>
      </c>
      <c r="M117" s="404" t="s">
        <v>1048</v>
      </c>
    </row>
    <row r="118" spans="6:13">
      <c r="F118" s="68" t="str">
        <f>'G-1 All Habitats'!B118</f>
        <v>Intertidal sediment - Littoral seagrass on peat, clay or chalk</v>
      </c>
      <c r="G118" s="404" t="s">
        <v>1049</v>
      </c>
      <c r="H118" s="404" t="s">
        <v>1049</v>
      </c>
      <c r="I118" s="404" t="s">
        <v>1049</v>
      </c>
      <c r="J118" s="404" t="s">
        <v>1049</v>
      </c>
      <c r="K118" s="404" t="s">
        <v>1049</v>
      </c>
      <c r="L118" s="404" t="s">
        <v>1048</v>
      </c>
      <c r="M118" s="404" t="s">
        <v>1048</v>
      </c>
    </row>
    <row r="119" spans="6:13">
      <c r="F119" s="68" t="str">
        <f>'G-1 All Habitats'!B119</f>
        <v>Intertidal sediment - Littoral biogenic reefs - Mussels</v>
      </c>
      <c r="G119" s="404">
        <v>15</v>
      </c>
      <c r="H119" s="404">
        <v>10</v>
      </c>
      <c r="I119" s="404">
        <v>5</v>
      </c>
      <c r="J119" s="404">
        <v>3</v>
      </c>
      <c r="K119" s="404">
        <v>3</v>
      </c>
      <c r="L119" s="404" t="s">
        <v>1048</v>
      </c>
      <c r="M119" s="404" t="s">
        <v>1048</v>
      </c>
    </row>
    <row r="120" spans="6:13">
      <c r="F120" s="68" t="str">
        <f>'G-1 All Habitats'!B120</f>
        <v>Intertidal sediment - Littoral biogenic reefs - Sabellaria</v>
      </c>
      <c r="G120" s="404">
        <v>15</v>
      </c>
      <c r="H120" s="404">
        <v>10</v>
      </c>
      <c r="I120" s="404">
        <v>5</v>
      </c>
      <c r="J120" s="404">
        <v>3</v>
      </c>
      <c r="K120" s="404">
        <v>3</v>
      </c>
      <c r="L120" s="404" t="s">
        <v>1048</v>
      </c>
      <c r="M120" s="404" t="s">
        <v>1048</v>
      </c>
    </row>
    <row r="121" spans="6:13">
      <c r="F121" s="68" t="str">
        <f>'G-1 All Habitats'!B121</f>
        <v>Intertidal sediment - Features of littoral sediment</v>
      </c>
      <c r="G121" s="404">
        <v>10</v>
      </c>
      <c r="H121" s="404">
        <v>7</v>
      </c>
      <c r="I121" s="404">
        <v>5</v>
      </c>
      <c r="J121" s="404">
        <v>3</v>
      </c>
      <c r="K121" s="404">
        <v>3</v>
      </c>
      <c r="L121" s="404" t="s">
        <v>1048</v>
      </c>
      <c r="M121" s="404" t="s">
        <v>1048</v>
      </c>
    </row>
    <row r="122" spans="6:13">
      <c r="F122" s="68" t="str">
        <f>'G-1 All Habitats'!B122</f>
        <v>Intertidal sediment - Artificial littoral coarse sediment</v>
      </c>
      <c r="G122" s="404">
        <v>3</v>
      </c>
      <c r="H122" s="404">
        <v>2</v>
      </c>
      <c r="I122" s="404">
        <v>1</v>
      </c>
      <c r="J122" s="404">
        <v>1</v>
      </c>
      <c r="K122" s="404">
        <v>1</v>
      </c>
      <c r="L122" s="404" t="s">
        <v>1048</v>
      </c>
      <c r="M122" s="404" t="s">
        <v>1048</v>
      </c>
    </row>
    <row r="123" spans="6:13">
      <c r="F123" s="68" t="str">
        <f>'G-1 All Habitats'!B123</f>
        <v>Intertidal sediment - Artificial littoral mud</v>
      </c>
      <c r="G123" s="404">
        <v>6</v>
      </c>
      <c r="H123" s="404">
        <v>4</v>
      </c>
      <c r="I123" s="404">
        <v>3</v>
      </c>
      <c r="J123" s="404">
        <v>2</v>
      </c>
      <c r="K123" s="404">
        <v>1</v>
      </c>
      <c r="L123" s="404" t="s">
        <v>1048</v>
      </c>
      <c r="M123" s="404" t="s">
        <v>1048</v>
      </c>
    </row>
    <row r="124" spans="6:13">
      <c r="F124" s="68" t="str">
        <f>'G-1 All Habitats'!B124</f>
        <v>Intertidal sediment - Artificial littoral sand</v>
      </c>
      <c r="G124" s="404">
        <v>4</v>
      </c>
      <c r="H124" s="404">
        <v>2</v>
      </c>
      <c r="I124" s="404">
        <v>1</v>
      </c>
      <c r="J124" s="404">
        <v>1</v>
      </c>
      <c r="K124" s="404">
        <v>1</v>
      </c>
      <c r="L124" s="404" t="s">
        <v>1048</v>
      </c>
      <c r="M124" s="404" t="s">
        <v>1048</v>
      </c>
    </row>
    <row r="125" spans="6:13">
      <c r="F125" s="68" t="str">
        <f>'G-1 All Habitats'!B125</f>
        <v>Intertidal sediment - Artificial littoral muddy sand</v>
      </c>
      <c r="G125" s="404">
        <v>5</v>
      </c>
      <c r="H125" s="404">
        <v>4</v>
      </c>
      <c r="I125" s="404">
        <v>3</v>
      </c>
      <c r="J125" s="404">
        <v>2</v>
      </c>
      <c r="K125" s="404">
        <v>1</v>
      </c>
      <c r="L125" s="404" t="s">
        <v>1048</v>
      </c>
      <c r="M125" s="404" t="s">
        <v>1048</v>
      </c>
    </row>
    <row r="126" spans="6:13">
      <c r="F126" s="68" t="str">
        <f>'G-1 All Habitats'!B126</f>
        <v>Intertidal sediment - Artificial littoral mixed sediments</v>
      </c>
      <c r="G126" s="404">
        <v>5</v>
      </c>
      <c r="H126" s="404">
        <v>4</v>
      </c>
      <c r="I126" s="404">
        <v>3</v>
      </c>
      <c r="J126" s="404">
        <v>2</v>
      </c>
      <c r="K126" s="404">
        <v>1</v>
      </c>
      <c r="L126" s="404" t="s">
        <v>1048</v>
      </c>
      <c r="M126" s="404" t="s">
        <v>1048</v>
      </c>
    </row>
    <row r="127" spans="6:13">
      <c r="F127" s="68" t="str">
        <f>'G-1 All Habitats'!B127</f>
        <v>Intertidal sediment - Artificial littoral seagrass</v>
      </c>
      <c r="G127" s="404">
        <v>20</v>
      </c>
      <c r="H127" s="404">
        <v>15</v>
      </c>
      <c r="I127" s="404">
        <v>10</v>
      </c>
      <c r="J127" s="404">
        <v>5</v>
      </c>
      <c r="K127" s="404">
        <v>2</v>
      </c>
      <c r="L127" s="404" t="s">
        <v>1048</v>
      </c>
      <c r="M127" s="404" t="s">
        <v>1048</v>
      </c>
    </row>
    <row r="128" spans="6:13">
      <c r="F128" s="68" t="str">
        <f>'G-1 All Habitats'!B128</f>
        <v>Intertidal sediment - Artificial littoral biogenic reefs</v>
      </c>
      <c r="G128" s="404">
        <v>15</v>
      </c>
      <c r="H128" s="404">
        <v>10</v>
      </c>
      <c r="I128" s="404">
        <v>5</v>
      </c>
      <c r="J128" s="404">
        <v>3</v>
      </c>
      <c r="K128" s="404">
        <v>3</v>
      </c>
      <c r="L128" s="404" t="s">
        <v>1048</v>
      </c>
      <c r="M128" s="404" t="s">
        <v>1048</v>
      </c>
    </row>
    <row r="129" spans="6:13">
      <c r="F129" s="68" t="str">
        <f>'G-1 All Habitats'!B129</f>
        <v>Intertidal sediment - Littoral sand</v>
      </c>
      <c r="G129" s="404">
        <v>4</v>
      </c>
      <c r="H129" s="404">
        <v>2</v>
      </c>
      <c r="I129" s="404">
        <v>1</v>
      </c>
      <c r="J129" s="404">
        <v>1</v>
      </c>
      <c r="K129" s="404">
        <v>1</v>
      </c>
      <c r="L129" s="404" t="s">
        <v>1048</v>
      </c>
      <c r="M129" s="404" t="s">
        <v>1048</v>
      </c>
    </row>
    <row r="130" spans="6:13">
      <c r="F130" s="68" t="str">
        <f>'G-1 All Habitats'!B130</f>
        <v>Intertidal sediment - Littoral muddy sand</v>
      </c>
      <c r="G130" s="404">
        <v>5</v>
      </c>
      <c r="H130" s="404">
        <v>4</v>
      </c>
      <c r="I130" s="404">
        <v>3</v>
      </c>
      <c r="J130" s="404">
        <v>2</v>
      </c>
      <c r="K130" s="404">
        <v>1</v>
      </c>
      <c r="L130" s="404" t="s">
        <v>1048</v>
      </c>
      <c r="M130" s="404" t="s">
        <v>1048</v>
      </c>
    </row>
    <row r="131" spans="6:13">
      <c r="F131" s="68" t="str">
        <f>'G-1 All Habitats'!B131</f>
        <v>Intertidal hard structures - Artificial hard structures</v>
      </c>
      <c r="G131" s="404">
        <v>15</v>
      </c>
      <c r="H131" s="404">
        <v>10</v>
      </c>
      <c r="I131" s="404">
        <v>5</v>
      </c>
      <c r="J131" s="404">
        <v>2</v>
      </c>
      <c r="K131" s="404">
        <v>1</v>
      </c>
      <c r="L131" s="404" t="s">
        <v>1048</v>
      </c>
      <c r="M131" s="404" t="s">
        <v>1048</v>
      </c>
    </row>
    <row r="132" spans="6:13">
      <c r="F132" s="68" t="str">
        <f>'G-1 All Habitats'!B132</f>
        <v>Intertidal hard structures - Artificial features of hard structures</v>
      </c>
      <c r="G132" s="404">
        <v>13</v>
      </c>
      <c r="H132" s="404">
        <v>8</v>
      </c>
      <c r="I132" s="404">
        <v>4</v>
      </c>
      <c r="J132" s="404">
        <v>2</v>
      </c>
      <c r="K132" s="404">
        <v>1</v>
      </c>
      <c r="L132" s="404" t="s">
        <v>1048</v>
      </c>
      <c r="M132" s="404" t="s">
        <v>1048</v>
      </c>
    </row>
    <row r="133" spans="6:13">
      <c r="F133" s="68" t="str">
        <f>'G-1 All Habitats'!B133</f>
        <v>Intertidal hard structures - Artificial hard structures with integrated greening of grey infrastructure (IGGI)</v>
      </c>
      <c r="G133" s="404">
        <v>13</v>
      </c>
      <c r="H133" s="404">
        <v>8</v>
      </c>
      <c r="I133" s="404">
        <v>4</v>
      </c>
      <c r="J133" s="404">
        <v>2</v>
      </c>
      <c r="K133" s="404">
        <v>1</v>
      </c>
      <c r="L133" s="404" t="s">
        <v>1048</v>
      </c>
      <c r="M133" s="404" t="s">
        <v>1048</v>
      </c>
    </row>
    <row r="134" spans="6:13">
      <c r="F134" s="68" t="str">
        <f>'G-1 All Habitats'!B134</f>
        <v>Watercourse footprint - Watercourse footprint</v>
      </c>
      <c r="G134" s="404" t="s">
        <v>1048</v>
      </c>
      <c r="H134" s="404" t="s">
        <v>1048</v>
      </c>
      <c r="I134" s="404" t="s">
        <v>1048</v>
      </c>
      <c r="J134" s="404" t="s">
        <v>1048</v>
      </c>
      <c r="K134" s="404" t="s">
        <v>1048</v>
      </c>
      <c r="L134" s="404" t="s">
        <v>1048</v>
      </c>
      <c r="M134" s="404">
        <v>0</v>
      </c>
    </row>
    <row r="135" spans="6:13">
      <c r="F135" s="68" t="str">
        <f>'G-1 All Habitats'!B81</f>
        <v>Individual trees - Rural tree</v>
      </c>
      <c r="G135" s="404" t="s">
        <v>1049</v>
      </c>
      <c r="H135" s="404" t="s">
        <v>1049</v>
      </c>
      <c r="I135" s="404">
        <v>27</v>
      </c>
      <c r="J135" s="404">
        <v>19</v>
      </c>
      <c r="K135" s="404">
        <v>10</v>
      </c>
      <c r="L135" s="404" t="s">
        <v>1048</v>
      </c>
      <c r="M135" s="404" t="s">
        <v>1048</v>
      </c>
    </row>
    <row r="136" spans="6:13"/>
    <row r="137" spans="6:13"/>
    <row r="138" spans="6:13"/>
    <row r="139" spans="6:13"/>
    <row r="140" spans="6:13"/>
    <row r="141" spans="6:13"/>
    <row r="142" spans="6:13"/>
    <row r="143" spans="6:13"/>
    <row r="144" spans="6:13"/>
    <row r="145"/>
    <row r="146"/>
    <row r="147"/>
    <row r="148"/>
    <row r="149"/>
    <row r="150"/>
    <row r="151"/>
    <row r="152"/>
    <row r="153"/>
  </sheetData>
  <sheetProtection algorithmName="SHA-512" hashValue="jSeENm+oGhL6qlZuHky/PqurNmQ+MIHcIaF284lKZ7DVT+VjJvlMCQKEhxlXsIWGhvsd68ugWk/LmbYAAzws4A==" saltValue="TCT7J0PjSDZ9lZJDa8k3RQ==" spinCount="100000" sheet="1" objects="1" scenarios="1"/>
  <autoFilter ref="F3:M131" xr:uid="{00000000-0009-0000-0000-00001F000000}"/>
  <customSheetViews>
    <customSheetView guid="{8BDA793C-C9C5-4FC6-A0A5-F1109F6D4F22}" scale="90" state="hidden">
      <pane xSplit="6" ySplit="3" topLeftCell="G45" activePane="bottomRight" state="frozen"/>
      <selection pane="bottomRight" activeCell="D14" sqref="D14"/>
    </customSheetView>
  </customSheetViews>
  <mergeCells count="3">
    <mergeCell ref="A2:C2"/>
    <mergeCell ref="A1:C1"/>
    <mergeCell ref="G2:M2"/>
  </mergeCells>
  <dataValidations count="1">
    <dataValidation type="list" allowBlank="1" showInputMessage="1" showErrorMessage="1" sqref="G4:M135" xr:uid="{00000000-0002-0000-1F00-000000000000}">
      <formula1>$A$4:$A$37</formula1>
    </dataValidation>
  </dataValidations>
  <pageMargins left="0.7" right="0.7" top="0.75" bottom="0.75" header="0.3" footer="0.3"/>
  <pageSetup paperSize="9" scale="26" fitToHeight="0" orientation="portrait" r:id="rId1"/>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Sheet22">
    <tabColor rgb="FFFFC000"/>
  </sheetPr>
  <dimension ref="A1:AN295"/>
  <sheetViews>
    <sheetView showGridLines="0" zoomScale="80" zoomScaleNormal="80" workbookViewId="0">
      <pane xSplit="3" ySplit="4" topLeftCell="D5" activePane="bottomRight" state="frozen"/>
      <selection pane="topRight"/>
      <selection pane="bottomLeft"/>
      <selection pane="bottomRight"/>
    </sheetView>
  </sheetViews>
  <sheetFormatPr defaultColWidth="0" defaultRowHeight="15" zeroHeight="1"/>
  <cols>
    <col min="1" max="1" width="3.5703125" style="30" customWidth="1"/>
    <col min="2" max="2" width="3.28515625" style="30" customWidth="1"/>
    <col min="3" max="3" width="88.7109375" style="30" bestFit="1" customWidth="1"/>
    <col min="4" max="4" width="18" style="33" customWidth="1"/>
    <col min="5" max="5" width="21.5703125" style="33" customWidth="1"/>
    <col min="6" max="6" width="17.7109375" style="33" customWidth="1"/>
    <col min="7" max="8" width="18.7109375" style="33" customWidth="1"/>
    <col min="9" max="9" width="17.7109375" style="33" customWidth="1"/>
    <col min="10" max="14" width="17.42578125" style="33" customWidth="1"/>
    <col min="15" max="15" width="14.42578125" style="33" bestFit="1" customWidth="1"/>
    <col min="16" max="16" width="12.7109375" style="33" bestFit="1" customWidth="1"/>
    <col min="17" max="21" width="14.42578125" style="33" bestFit="1" customWidth="1"/>
    <col min="22" max="22" width="14.28515625" style="33" bestFit="1" customWidth="1"/>
    <col min="23" max="23" width="13.28515625" style="33" bestFit="1" customWidth="1"/>
    <col min="24" max="24" width="14.42578125" style="33" bestFit="1" customWidth="1"/>
    <col min="25" max="25" width="12.7109375" style="33" bestFit="1" customWidth="1"/>
    <col min="26" max="26" width="11.7109375" style="33" customWidth="1"/>
    <col min="27" max="30" width="11.7109375" style="30" customWidth="1"/>
    <col min="31" max="40" width="11.7109375" style="30" hidden="1" customWidth="1"/>
    <col min="41" max="16384" width="9.28515625" style="30" hidden="1"/>
  </cols>
  <sheetData>
    <row r="1" spans="3:25" ht="33.6" customHeight="1">
      <c r="D1" s="30"/>
      <c r="E1" s="30"/>
      <c r="F1" s="30"/>
      <c r="G1" s="30"/>
      <c r="H1" s="30"/>
      <c r="I1" s="30"/>
      <c r="J1" s="30"/>
      <c r="K1" s="30"/>
      <c r="L1" s="30"/>
      <c r="M1" s="30"/>
      <c r="N1" s="30"/>
      <c r="O1" s="30"/>
      <c r="P1" s="30"/>
      <c r="Q1" s="30"/>
      <c r="R1" s="30"/>
      <c r="S1" s="30"/>
      <c r="T1" s="30"/>
      <c r="U1" s="30"/>
      <c r="V1" s="30"/>
      <c r="W1" s="30"/>
      <c r="X1" s="30"/>
      <c r="Y1" s="30"/>
    </row>
    <row r="2" spans="3:25" ht="45">
      <c r="C2" s="226" t="s">
        <v>1051</v>
      </c>
      <c r="D2" s="80" t="s">
        <v>1052</v>
      </c>
      <c r="E2" s="80" t="s">
        <v>1052</v>
      </c>
      <c r="F2" s="80" t="s">
        <v>1052</v>
      </c>
      <c r="G2" s="80" t="s">
        <v>1052</v>
      </c>
      <c r="H2" s="80" t="s">
        <v>1052</v>
      </c>
      <c r="I2" s="80" t="s">
        <v>1052</v>
      </c>
      <c r="J2" s="80" t="s">
        <v>1052</v>
      </c>
      <c r="K2" s="80" t="s">
        <v>492</v>
      </c>
      <c r="L2" s="80" t="s">
        <v>492</v>
      </c>
      <c r="M2" s="80" t="s">
        <v>492</v>
      </c>
      <c r="N2" s="80" t="s">
        <v>492</v>
      </c>
      <c r="O2" s="80" t="s">
        <v>328</v>
      </c>
      <c r="P2" s="80" t="s">
        <v>328</v>
      </c>
      <c r="Q2" s="80" t="s">
        <v>328</v>
      </c>
      <c r="R2" s="80" t="s">
        <v>328</v>
      </c>
      <c r="S2" s="80" t="s">
        <v>482</v>
      </c>
      <c r="T2" s="80" t="s">
        <v>482</v>
      </c>
      <c r="U2" s="80" t="s">
        <v>482</v>
      </c>
      <c r="V2" s="80" t="s">
        <v>67</v>
      </c>
      <c r="W2" s="80" t="s">
        <v>67</v>
      </c>
      <c r="X2" s="80" t="s">
        <v>472</v>
      </c>
      <c r="Y2" s="80" t="s">
        <v>68</v>
      </c>
    </row>
    <row r="3" spans="3:25" ht="29.65" customHeight="1">
      <c r="C3" s="226" t="s">
        <v>1053</v>
      </c>
      <c r="D3" s="80" t="s">
        <v>496</v>
      </c>
      <c r="E3" s="80" t="s">
        <v>492</v>
      </c>
      <c r="F3" s="80" t="s">
        <v>328</v>
      </c>
      <c r="G3" s="80" t="s">
        <v>482</v>
      </c>
      <c r="H3" s="80" t="s">
        <v>67</v>
      </c>
      <c r="I3" s="80" t="s">
        <v>472</v>
      </c>
      <c r="J3" s="80" t="s">
        <v>68</v>
      </c>
      <c r="K3" s="80" t="s">
        <v>482</v>
      </c>
      <c r="L3" s="80" t="s">
        <v>67</v>
      </c>
      <c r="M3" s="80" t="s">
        <v>472</v>
      </c>
      <c r="N3" s="80" t="s">
        <v>68</v>
      </c>
      <c r="O3" s="80" t="s">
        <v>482</v>
      </c>
      <c r="P3" s="80" t="s">
        <v>67</v>
      </c>
      <c r="Q3" s="80" t="s">
        <v>472</v>
      </c>
      <c r="R3" s="80" t="s">
        <v>68</v>
      </c>
      <c r="S3" s="80" t="s">
        <v>67</v>
      </c>
      <c r="T3" s="80" t="s">
        <v>472</v>
      </c>
      <c r="U3" s="80" t="s">
        <v>68</v>
      </c>
      <c r="V3" s="80" t="s">
        <v>472</v>
      </c>
      <c r="W3" s="80" t="s">
        <v>68</v>
      </c>
      <c r="X3" s="80" t="s">
        <v>68</v>
      </c>
      <c r="Y3" s="80" t="s">
        <v>68</v>
      </c>
    </row>
    <row r="4" spans="3:25" ht="72" customHeight="1">
      <c r="C4" s="226" t="s">
        <v>338</v>
      </c>
      <c r="D4" s="78" t="s">
        <v>1054</v>
      </c>
      <c r="E4" s="78" t="s">
        <v>1055</v>
      </c>
      <c r="F4" s="78" t="s">
        <v>1056</v>
      </c>
      <c r="G4" s="78" t="s">
        <v>1057</v>
      </c>
      <c r="H4" s="78" t="s">
        <v>1058</v>
      </c>
      <c r="I4" s="78" t="s">
        <v>1059</v>
      </c>
      <c r="J4" s="78" t="s">
        <v>1060</v>
      </c>
      <c r="K4" s="78" t="s">
        <v>1061</v>
      </c>
      <c r="L4" s="78" t="s">
        <v>1062</v>
      </c>
      <c r="M4" s="78" t="s">
        <v>1063</v>
      </c>
      <c r="N4" s="78" t="s">
        <v>1064</v>
      </c>
      <c r="O4" s="78" t="s">
        <v>1065</v>
      </c>
      <c r="P4" s="78" t="s">
        <v>1066</v>
      </c>
      <c r="Q4" s="78" t="s">
        <v>1067</v>
      </c>
      <c r="R4" s="78" t="s">
        <v>1068</v>
      </c>
      <c r="S4" s="78" t="s">
        <v>1069</v>
      </c>
      <c r="T4" s="78" t="s">
        <v>1070</v>
      </c>
      <c r="U4" s="78" t="s">
        <v>1071</v>
      </c>
      <c r="V4" s="78" t="s">
        <v>1072</v>
      </c>
      <c r="W4" s="78" t="s">
        <v>1073</v>
      </c>
      <c r="X4" s="78" t="s">
        <v>1074</v>
      </c>
      <c r="Y4" s="78" t="s">
        <v>1075</v>
      </c>
    </row>
    <row r="5" spans="3:25">
      <c r="C5" s="68" t="str">
        <f>'G-1 All Habitats'!B3</f>
        <v>Cropland - Arable field margins cultivated annually</v>
      </c>
      <c r="D5" s="404" t="s">
        <v>1048</v>
      </c>
      <c r="E5" s="404">
        <v>1</v>
      </c>
      <c r="F5" s="404" t="s">
        <v>1048</v>
      </c>
      <c r="G5" s="404" t="s">
        <v>1048</v>
      </c>
      <c r="H5" s="404" t="s">
        <v>1048</v>
      </c>
      <c r="I5" s="404" t="s">
        <v>1048</v>
      </c>
      <c r="J5" s="404" t="s">
        <v>1048</v>
      </c>
      <c r="K5" s="404" t="s">
        <v>1048</v>
      </c>
      <c r="L5" s="404" t="s">
        <v>1048</v>
      </c>
      <c r="M5" s="404" t="s">
        <v>1048</v>
      </c>
      <c r="N5" s="404" t="s">
        <v>1048</v>
      </c>
      <c r="O5" s="404" t="s">
        <v>1048</v>
      </c>
      <c r="P5" s="404" t="s">
        <v>1048</v>
      </c>
      <c r="Q5" s="404" t="s">
        <v>1048</v>
      </c>
      <c r="R5" s="404" t="s">
        <v>1048</v>
      </c>
      <c r="S5" s="404" t="s">
        <v>1048</v>
      </c>
      <c r="T5" s="404" t="s">
        <v>1048</v>
      </c>
      <c r="U5" s="404" t="s">
        <v>1048</v>
      </c>
      <c r="V5" s="404" t="s">
        <v>1048</v>
      </c>
      <c r="W5" s="404" t="s">
        <v>1048</v>
      </c>
      <c r="X5" s="404" t="s">
        <v>1048</v>
      </c>
      <c r="Y5" s="404" t="s">
        <v>1048</v>
      </c>
    </row>
    <row r="6" spans="3:25">
      <c r="C6" s="68" t="str">
        <f>'G-1 All Habitats'!B4</f>
        <v>Cropland - Arable field margins game bird mix</v>
      </c>
      <c r="D6" s="404" t="s">
        <v>1048</v>
      </c>
      <c r="E6" s="404">
        <v>1</v>
      </c>
      <c r="F6" s="404" t="s">
        <v>1048</v>
      </c>
      <c r="G6" s="404" t="s">
        <v>1048</v>
      </c>
      <c r="H6" s="404" t="s">
        <v>1048</v>
      </c>
      <c r="I6" s="404" t="s">
        <v>1048</v>
      </c>
      <c r="J6" s="404" t="s">
        <v>1048</v>
      </c>
      <c r="K6" s="404" t="s">
        <v>1048</v>
      </c>
      <c r="L6" s="404" t="s">
        <v>1048</v>
      </c>
      <c r="M6" s="404" t="s">
        <v>1048</v>
      </c>
      <c r="N6" s="404" t="s">
        <v>1048</v>
      </c>
      <c r="O6" s="404" t="s">
        <v>1048</v>
      </c>
      <c r="P6" s="404" t="s">
        <v>1048</v>
      </c>
      <c r="Q6" s="404" t="s">
        <v>1048</v>
      </c>
      <c r="R6" s="404" t="s">
        <v>1048</v>
      </c>
      <c r="S6" s="404" t="s">
        <v>1048</v>
      </c>
      <c r="T6" s="404" t="s">
        <v>1048</v>
      </c>
      <c r="U6" s="404" t="s">
        <v>1048</v>
      </c>
      <c r="V6" s="404" t="s">
        <v>1048</v>
      </c>
      <c r="W6" s="404" t="s">
        <v>1048</v>
      </c>
      <c r="X6" s="404" t="s">
        <v>1048</v>
      </c>
      <c r="Y6" s="404" t="s">
        <v>1048</v>
      </c>
    </row>
    <row r="7" spans="3:25">
      <c r="C7" s="68" t="str">
        <f>'G-1 All Habitats'!B5</f>
        <v>Cropland - Arable field margins pollen and nectar</v>
      </c>
      <c r="D7" s="404" t="s">
        <v>1048</v>
      </c>
      <c r="E7" s="404">
        <v>1</v>
      </c>
      <c r="F7" s="404" t="s">
        <v>1048</v>
      </c>
      <c r="G7" s="404" t="s">
        <v>1048</v>
      </c>
      <c r="H7" s="404" t="s">
        <v>1048</v>
      </c>
      <c r="I7" s="404" t="s">
        <v>1048</v>
      </c>
      <c r="J7" s="404" t="s">
        <v>1048</v>
      </c>
      <c r="K7" s="404" t="s">
        <v>1048</v>
      </c>
      <c r="L7" s="404" t="s">
        <v>1048</v>
      </c>
      <c r="M7" s="404" t="s">
        <v>1048</v>
      </c>
      <c r="N7" s="404" t="s">
        <v>1048</v>
      </c>
      <c r="O7" s="404" t="s">
        <v>1048</v>
      </c>
      <c r="P7" s="404" t="s">
        <v>1048</v>
      </c>
      <c r="Q7" s="404" t="s">
        <v>1048</v>
      </c>
      <c r="R7" s="404" t="s">
        <v>1048</v>
      </c>
      <c r="S7" s="404" t="s">
        <v>1048</v>
      </c>
      <c r="T7" s="404" t="s">
        <v>1048</v>
      </c>
      <c r="U7" s="404" t="s">
        <v>1048</v>
      </c>
      <c r="V7" s="404" t="s">
        <v>1048</v>
      </c>
      <c r="W7" s="404" t="s">
        <v>1048</v>
      </c>
      <c r="X7" s="404" t="s">
        <v>1048</v>
      </c>
      <c r="Y7" s="404" t="s">
        <v>1048</v>
      </c>
    </row>
    <row r="8" spans="3:25">
      <c r="C8" s="68" t="str">
        <f>'G-1 All Habitats'!B6</f>
        <v>Cropland - Arable field margins tussocky</v>
      </c>
      <c r="D8" s="404" t="s">
        <v>1048</v>
      </c>
      <c r="E8" s="404">
        <v>1</v>
      </c>
      <c r="F8" s="404" t="s">
        <v>1048</v>
      </c>
      <c r="G8" s="404" t="s">
        <v>1048</v>
      </c>
      <c r="H8" s="404" t="s">
        <v>1048</v>
      </c>
      <c r="I8" s="404" t="s">
        <v>1048</v>
      </c>
      <c r="J8" s="404" t="s">
        <v>1048</v>
      </c>
      <c r="K8" s="404" t="s">
        <v>1048</v>
      </c>
      <c r="L8" s="404" t="s">
        <v>1048</v>
      </c>
      <c r="M8" s="404" t="s">
        <v>1048</v>
      </c>
      <c r="N8" s="404" t="s">
        <v>1048</v>
      </c>
      <c r="O8" s="404" t="s">
        <v>1048</v>
      </c>
      <c r="P8" s="404" t="s">
        <v>1048</v>
      </c>
      <c r="Q8" s="404" t="s">
        <v>1048</v>
      </c>
      <c r="R8" s="404" t="s">
        <v>1048</v>
      </c>
      <c r="S8" s="404" t="s">
        <v>1048</v>
      </c>
      <c r="T8" s="404" t="s">
        <v>1048</v>
      </c>
      <c r="U8" s="404" t="s">
        <v>1048</v>
      </c>
      <c r="V8" s="404" t="s">
        <v>1048</v>
      </c>
      <c r="W8" s="404" t="s">
        <v>1048</v>
      </c>
      <c r="X8" s="404" t="s">
        <v>1048</v>
      </c>
      <c r="Y8" s="404" t="s">
        <v>1048</v>
      </c>
    </row>
    <row r="9" spans="3:25">
      <c r="C9" s="68" t="str">
        <f>'G-1 All Habitats'!B7</f>
        <v>Cropland - Cereal crops</v>
      </c>
      <c r="D9" s="404" t="s">
        <v>1048</v>
      </c>
      <c r="E9" s="404" t="s">
        <v>1048</v>
      </c>
      <c r="F9" s="404" t="s">
        <v>1048</v>
      </c>
      <c r="G9" s="404" t="s">
        <v>1048</v>
      </c>
      <c r="H9" s="404" t="s">
        <v>1048</v>
      </c>
      <c r="I9" s="404" t="s">
        <v>1048</v>
      </c>
      <c r="J9" s="404" t="s">
        <v>1048</v>
      </c>
      <c r="K9" s="404" t="s">
        <v>1048</v>
      </c>
      <c r="L9" s="404" t="s">
        <v>1048</v>
      </c>
      <c r="M9" s="404" t="s">
        <v>1048</v>
      </c>
      <c r="N9" s="404" t="s">
        <v>1048</v>
      </c>
      <c r="O9" s="404" t="s">
        <v>1048</v>
      </c>
      <c r="P9" s="404" t="s">
        <v>1048</v>
      </c>
      <c r="Q9" s="404" t="s">
        <v>1048</v>
      </c>
      <c r="R9" s="404" t="s">
        <v>1048</v>
      </c>
      <c r="S9" s="404" t="s">
        <v>1048</v>
      </c>
      <c r="T9" s="404" t="s">
        <v>1048</v>
      </c>
      <c r="U9" s="404" t="s">
        <v>1048</v>
      </c>
      <c r="V9" s="404" t="s">
        <v>1048</v>
      </c>
      <c r="W9" s="404" t="s">
        <v>1048</v>
      </c>
      <c r="X9" s="404" t="s">
        <v>1048</v>
      </c>
      <c r="Y9" s="404" t="s">
        <v>1048</v>
      </c>
    </row>
    <row r="10" spans="3:25">
      <c r="C10" s="68" t="str">
        <f>'G-1 All Habitats'!B8</f>
        <v>Cropland - Winter stubble</v>
      </c>
      <c r="D10" s="404" t="s">
        <v>1048</v>
      </c>
      <c r="E10" s="404" t="s">
        <v>1048</v>
      </c>
      <c r="F10" s="404" t="s">
        <v>1048</v>
      </c>
      <c r="G10" s="404" t="s">
        <v>1048</v>
      </c>
      <c r="H10" s="404" t="s">
        <v>1048</v>
      </c>
      <c r="I10" s="404" t="s">
        <v>1048</v>
      </c>
      <c r="J10" s="404" t="s">
        <v>1048</v>
      </c>
      <c r="K10" s="404" t="s">
        <v>1048</v>
      </c>
      <c r="L10" s="404" t="s">
        <v>1048</v>
      </c>
      <c r="M10" s="404" t="s">
        <v>1048</v>
      </c>
      <c r="N10" s="404" t="s">
        <v>1048</v>
      </c>
      <c r="O10" s="404" t="s">
        <v>1048</v>
      </c>
      <c r="P10" s="404" t="s">
        <v>1048</v>
      </c>
      <c r="Q10" s="404" t="s">
        <v>1048</v>
      </c>
      <c r="R10" s="404" t="s">
        <v>1048</v>
      </c>
      <c r="S10" s="404" t="s">
        <v>1048</v>
      </c>
      <c r="T10" s="404" t="s">
        <v>1048</v>
      </c>
      <c r="U10" s="404" t="s">
        <v>1048</v>
      </c>
      <c r="V10" s="404" t="s">
        <v>1048</v>
      </c>
      <c r="W10" s="404" t="s">
        <v>1048</v>
      </c>
      <c r="X10" s="404" t="s">
        <v>1048</v>
      </c>
      <c r="Y10" s="404" t="s">
        <v>1048</v>
      </c>
    </row>
    <row r="11" spans="3:25">
      <c r="C11" s="68" t="str">
        <f>'G-1 All Habitats'!B9</f>
        <v>Cropland - Horticulture</v>
      </c>
      <c r="D11" s="404" t="s">
        <v>1048</v>
      </c>
      <c r="E11" s="404" t="s">
        <v>1048</v>
      </c>
      <c r="F11" s="404" t="s">
        <v>1048</v>
      </c>
      <c r="G11" s="404" t="s">
        <v>1048</v>
      </c>
      <c r="H11" s="404" t="s">
        <v>1048</v>
      </c>
      <c r="I11" s="404" t="s">
        <v>1048</v>
      </c>
      <c r="J11" s="404" t="s">
        <v>1048</v>
      </c>
      <c r="K11" s="404" t="s">
        <v>1048</v>
      </c>
      <c r="L11" s="404" t="s">
        <v>1048</v>
      </c>
      <c r="M11" s="404" t="s">
        <v>1048</v>
      </c>
      <c r="N11" s="404" t="s">
        <v>1048</v>
      </c>
      <c r="O11" s="404" t="s">
        <v>1048</v>
      </c>
      <c r="P11" s="404" t="s">
        <v>1048</v>
      </c>
      <c r="Q11" s="404" t="s">
        <v>1048</v>
      </c>
      <c r="R11" s="404" t="s">
        <v>1048</v>
      </c>
      <c r="S11" s="404" t="s">
        <v>1048</v>
      </c>
      <c r="T11" s="404" t="s">
        <v>1048</v>
      </c>
      <c r="U11" s="404" t="s">
        <v>1048</v>
      </c>
      <c r="V11" s="404" t="s">
        <v>1048</v>
      </c>
      <c r="W11" s="404" t="s">
        <v>1048</v>
      </c>
      <c r="X11" s="404" t="s">
        <v>1048</v>
      </c>
      <c r="Y11" s="404" t="s">
        <v>1048</v>
      </c>
    </row>
    <row r="12" spans="3:25">
      <c r="C12" s="68" t="str">
        <f>'G-1 All Habitats'!B10</f>
        <v>Cropland - Intensive orchards</v>
      </c>
      <c r="D12" s="404" t="s">
        <v>1048</v>
      </c>
      <c r="E12" s="404" t="s">
        <v>1048</v>
      </c>
      <c r="F12" s="404" t="s">
        <v>1048</v>
      </c>
      <c r="G12" s="404" t="s">
        <v>1048</v>
      </c>
      <c r="H12" s="404" t="s">
        <v>1048</v>
      </c>
      <c r="I12" s="404" t="s">
        <v>1048</v>
      </c>
      <c r="J12" s="404" t="s">
        <v>1048</v>
      </c>
      <c r="K12" s="404" t="s">
        <v>1048</v>
      </c>
      <c r="L12" s="404" t="s">
        <v>1048</v>
      </c>
      <c r="M12" s="404" t="s">
        <v>1048</v>
      </c>
      <c r="N12" s="404" t="s">
        <v>1048</v>
      </c>
      <c r="O12" s="404" t="s">
        <v>1048</v>
      </c>
      <c r="P12" s="404" t="s">
        <v>1048</v>
      </c>
      <c r="Q12" s="404" t="s">
        <v>1048</v>
      </c>
      <c r="R12" s="404" t="s">
        <v>1048</v>
      </c>
      <c r="S12" s="404" t="s">
        <v>1048</v>
      </c>
      <c r="T12" s="404" t="s">
        <v>1048</v>
      </c>
      <c r="U12" s="404" t="s">
        <v>1048</v>
      </c>
      <c r="V12" s="404" t="s">
        <v>1048</v>
      </c>
      <c r="W12" s="404" t="s">
        <v>1048</v>
      </c>
      <c r="X12" s="404" t="s">
        <v>1048</v>
      </c>
      <c r="Y12" s="404" t="s">
        <v>1048</v>
      </c>
    </row>
    <row r="13" spans="3:25">
      <c r="C13" s="68" t="str">
        <f>'G-1 All Habitats'!B11</f>
        <v>Cropland - Non-cereal crops</v>
      </c>
      <c r="D13" s="404" t="s">
        <v>1048</v>
      </c>
      <c r="E13" s="404" t="s">
        <v>1048</v>
      </c>
      <c r="F13" s="404" t="s">
        <v>1048</v>
      </c>
      <c r="G13" s="404" t="s">
        <v>1048</v>
      </c>
      <c r="H13" s="404" t="s">
        <v>1048</v>
      </c>
      <c r="I13" s="404" t="s">
        <v>1048</v>
      </c>
      <c r="J13" s="404" t="s">
        <v>1048</v>
      </c>
      <c r="K13" s="404" t="s">
        <v>1048</v>
      </c>
      <c r="L13" s="404" t="s">
        <v>1048</v>
      </c>
      <c r="M13" s="404" t="s">
        <v>1048</v>
      </c>
      <c r="N13" s="404" t="s">
        <v>1048</v>
      </c>
      <c r="O13" s="404" t="s">
        <v>1048</v>
      </c>
      <c r="P13" s="404" t="s">
        <v>1048</v>
      </c>
      <c r="Q13" s="404" t="s">
        <v>1048</v>
      </c>
      <c r="R13" s="404" t="s">
        <v>1048</v>
      </c>
      <c r="S13" s="404" t="s">
        <v>1048</v>
      </c>
      <c r="T13" s="404" t="s">
        <v>1048</v>
      </c>
      <c r="U13" s="404" t="s">
        <v>1048</v>
      </c>
      <c r="V13" s="404" t="s">
        <v>1048</v>
      </c>
      <c r="W13" s="404" t="s">
        <v>1048</v>
      </c>
      <c r="X13" s="404" t="s">
        <v>1048</v>
      </c>
      <c r="Y13" s="404" t="s">
        <v>1048</v>
      </c>
    </row>
    <row r="14" spans="3:25">
      <c r="C14" s="68" t="str">
        <f>'G-1 All Habitats'!B12</f>
        <v>Cropland - Temporary grass and clover leys</v>
      </c>
      <c r="D14" s="404" t="s">
        <v>1048</v>
      </c>
      <c r="E14" s="404" t="s">
        <v>1048</v>
      </c>
      <c r="F14" s="404" t="s">
        <v>1048</v>
      </c>
      <c r="G14" s="404" t="s">
        <v>1048</v>
      </c>
      <c r="H14" s="404" t="s">
        <v>1048</v>
      </c>
      <c r="I14" s="404" t="s">
        <v>1048</v>
      </c>
      <c r="J14" s="404" t="s">
        <v>1048</v>
      </c>
      <c r="K14" s="404" t="s">
        <v>1048</v>
      </c>
      <c r="L14" s="404" t="s">
        <v>1048</v>
      </c>
      <c r="M14" s="404" t="s">
        <v>1048</v>
      </c>
      <c r="N14" s="404" t="s">
        <v>1048</v>
      </c>
      <c r="O14" s="404" t="s">
        <v>1048</v>
      </c>
      <c r="P14" s="404" t="s">
        <v>1048</v>
      </c>
      <c r="Q14" s="404" t="s">
        <v>1048</v>
      </c>
      <c r="R14" s="404" t="s">
        <v>1048</v>
      </c>
      <c r="S14" s="404" t="s">
        <v>1048</v>
      </c>
      <c r="T14" s="404" t="s">
        <v>1048</v>
      </c>
      <c r="U14" s="404" t="s">
        <v>1048</v>
      </c>
      <c r="V14" s="404" t="s">
        <v>1048</v>
      </c>
      <c r="W14" s="404" t="s">
        <v>1048</v>
      </c>
      <c r="X14" s="404" t="s">
        <v>1048</v>
      </c>
      <c r="Y14" s="404" t="s">
        <v>1048</v>
      </c>
    </row>
    <row r="15" spans="3:25">
      <c r="C15" s="68" t="str">
        <f>'G-1 All Habitats'!B13</f>
        <v>Grassland - Traditional orchards</v>
      </c>
      <c r="D15" s="404" t="s">
        <v>1048</v>
      </c>
      <c r="E15" s="404" t="s">
        <v>1048</v>
      </c>
      <c r="F15" s="404">
        <v>5</v>
      </c>
      <c r="G15" s="404">
        <v>10</v>
      </c>
      <c r="H15" s="404">
        <v>20</v>
      </c>
      <c r="I15" s="404">
        <v>25</v>
      </c>
      <c r="J15" s="404">
        <v>30</v>
      </c>
      <c r="K15" s="404" t="s">
        <v>1048</v>
      </c>
      <c r="L15" s="404" t="s">
        <v>1048</v>
      </c>
      <c r="M15" s="404" t="s">
        <v>1048</v>
      </c>
      <c r="N15" s="404" t="s">
        <v>1048</v>
      </c>
      <c r="O15" s="404">
        <v>5</v>
      </c>
      <c r="P15" s="404">
        <v>15</v>
      </c>
      <c r="Q15" s="404">
        <v>20</v>
      </c>
      <c r="R15" s="404">
        <v>25</v>
      </c>
      <c r="S15" s="404">
        <v>10</v>
      </c>
      <c r="T15" s="404">
        <v>15</v>
      </c>
      <c r="U15" s="404">
        <v>20</v>
      </c>
      <c r="V15" s="404">
        <v>5</v>
      </c>
      <c r="W15" s="404">
        <v>10</v>
      </c>
      <c r="X15" s="404">
        <v>5</v>
      </c>
      <c r="Y15" s="404" t="s">
        <v>1048</v>
      </c>
    </row>
    <row r="16" spans="3:25">
      <c r="C16" s="68" t="str">
        <f>'G-1 All Habitats'!B14</f>
        <v>Grassland - Bracken</v>
      </c>
      <c r="D16" s="404" t="s">
        <v>1048</v>
      </c>
      <c r="E16" s="404" t="s">
        <v>1048</v>
      </c>
      <c r="F16" s="404">
        <v>1</v>
      </c>
      <c r="G16" s="404" t="s">
        <v>1048</v>
      </c>
      <c r="H16" s="404" t="s">
        <v>1048</v>
      </c>
      <c r="I16" s="404" t="s">
        <v>1048</v>
      </c>
      <c r="J16" s="404" t="s">
        <v>1048</v>
      </c>
      <c r="K16" s="404" t="s">
        <v>1048</v>
      </c>
      <c r="L16" s="404" t="s">
        <v>1048</v>
      </c>
      <c r="M16" s="404" t="s">
        <v>1048</v>
      </c>
      <c r="N16" s="404" t="s">
        <v>1048</v>
      </c>
      <c r="O16" s="404" t="s">
        <v>1048</v>
      </c>
      <c r="P16" s="404" t="s">
        <v>1048</v>
      </c>
      <c r="Q16" s="404" t="s">
        <v>1048</v>
      </c>
      <c r="R16" s="404" t="s">
        <v>1048</v>
      </c>
      <c r="S16" s="404" t="s">
        <v>1048</v>
      </c>
      <c r="T16" s="404" t="s">
        <v>1048</v>
      </c>
      <c r="U16" s="404" t="s">
        <v>1048</v>
      </c>
      <c r="V16" s="404" t="s">
        <v>1048</v>
      </c>
      <c r="W16" s="404" t="s">
        <v>1048</v>
      </c>
      <c r="X16" s="404" t="s">
        <v>1048</v>
      </c>
      <c r="Y16" s="404" t="s">
        <v>1048</v>
      </c>
    </row>
    <row r="17" spans="3:25">
      <c r="C17" s="68" t="str">
        <f>'G-1 All Habitats'!B15</f>
        <v>Grassland - Floodplain wetland mosaic and CFGM</v>
      </c>
      <c r="D17" s="404" t="s">
        <v>1048</v>
      </c>
      <c r="E17" s="404" t="s">
        <v>1048</v>
      </c>
      <c r="F17" s="404">
        <v>5</v>
      </c>
      <c r="G17" s="404">
        <v>8</v>
      </c>
      <c r="H17" s="404">
        <v>10</v>
      </c>
      <c r="I17" s="404">
        <v>12</v>
      </c>
      <c r="J17" s="404">
        <v>15</v>
      </c>
      <c r="K17" s="404" t="s">
        <v>1048</v>
      </c>
      <c r="L17" s="404" t="s">
        <v>1048</v>
      </c>
      <c r="M17" s="404" t="s">
        <v>1048</v>
      </c>
      <c r="N17" s="404" t="s">
        <v>1048</v>
      </c>
      <c r="O17" s="404">
        <v>8</v>
      </c>
      <c r="P17" s="404">
        <v>10</v>
      </c>
      <c r="Q17" s="404">
        <v>12</v>
      </c>
      <c r="R17" s="404">
        <v>15</v>
      </c>
      <c r="S17" s="404">
        <v>2</v>
      </c>
      <c r="T17" s="404">
        <v>4</v>
      </c>
      <c r="U17" s="404">
        <v>7</v>
      </c>
      <c r="V17" s="404">
        <v>2</v>
      </c>
      <c r="W17" s="404">
        <v>4</v>
      </c>
      <c r="X17" s="404">
        <v>3</v>
      </c>
      <c r="Y17" s="404" t="s">
        <v>1048</v>
      </c>
    </row>
    <row r="18" spans="3:25">
      <c r="C18" s="68" t="str">
        <f>'G-1 All Habitats'!B16</f>
        <v>Grassland - Lowland calcareous grassland</v>
      </c>
      <c r="D18" s="404" t="s">
        <v>1048</v>
      </c>
      <c r="E18" s="404" t="s">
        <v>1048</v>
      </c>
      <c r="F18" s="404">
        <v>10</v>
      </c>
      <c r="G18" s="404">
        <v>15</v>
      </c>
      <c r="H18" s="404">
        <v>20</v>
      </c>
      <c r="I18" s="404">
        <v>25</v>
      </c>
      <c r="J18" s="404">
        <v>30</v>
      </c>
      <c r="K18" s="404" t="s">
        <v>1048</v>
      </c>
      <c r="L18" s="404" t="s">
        <v>1048</v>
      </c>
      <c r="M18" s="404" t="s">
        <v>1048</v>
      </c>
      <c r="N18" s="404" t="s">
        <v>1048</v>
      </c>
      <c r="O18" s="404">
        <v>5</v>
      </c>
      <c r="P18" s="404">
        <v>10</v>
      </c>
      <c r="Q18" s="404">
        <v>15</v>
      </c>
      <c r="R18" s="404">
        <v>20</v>
      </c>
      <c r="S18" s="404">
        <v>5</v>
      </c>
      <c r="T18" s="404">
        <v>10</v>
      </c>
      <c r="U18" s="404">
        <v>15</v>
      </c>
      <c r="V18" s="404">
        <v>5</v>
      </c>
      <c r="W18" s="404">
        <v>10</v>
      </c>
      <c r="X18" s="404">
        <v>5</v>
      </c>
      <c r="Y18" s="404" t="s">
        <v>1048</v>
      </c>
    </row>
    <row r="19" spans="3:25">
      <c r="C19" s="68" t="str">
        <f>'G-1 All Habitats'!B17</f>
        <v>Grassland - Lowland dry acid grassland</v>
      </c>
      <c r="D19" s="404" t="s">
        <v>1048</v>
      </c>
      <c r="E19" s="404" t="s">
        <v>1048</v>
      </c>
      <c r="F19" s="404">
        <v>10</v>
      </c>
      <c r="G19" s="404">
        <v>15</v>
      </c>
      <c r="H19" s="404">
        <v>20</v>
      </c>
      <c r="I19" s="404">
        <v>25</v>
      </c>
      <c r="J19" s="404" t="s">
        <v>1049</v>
      </c>
      <c r="K19" s="404" t="s">
        <v>1048</v>
      </c>
      <c r="L19" s="404" t="s">
        <v>1048</v>
      </c>
      <c r="M19" s="404" t="s">
        <v>1048</v>
      </c>
      <c r="N19" s="404" t="s">
        <v>1048</v>
      </c>
      <c r="O19" s="404">
        <v>5</v>
      </c>
      <c r="P19" s="404">
        <v>15</v>
      </c>
      <c r="Q19" s="404">
        <v>20</v>
      </c>
      <c r="R19" s="404" t="s">
        <v>1049</v>
      </c>
      <c r="S19" s="404">
        <v>8</v>
      </c>
      <c r="T19" s="404">
        <v>15</v>
      </c>
      <c r="U19" s="404">
        <v>25</v>
      </c>
      <c r="V19" s="404">
        <v>10</v>
      </c>
      <c r="W19" s="404">
        <v>20</v>
      </c>
      <c r="X19" s="404">
        <v>10</v>
      </c>
      <c r="Y19" s="404" t="s">
        <v>1048</v>
      </c>
    </row>
    <row r="20" spans="3:25">
      <c r="C20" s="68" t="str">
        <f>'G-1 All Habitats'!B18</f>
        <v>Grassland - Lowland meadows</v>
      </c>
      <c r="D20" s="404" t="s">
        <v>1048</v>
      </c>
      <c r="E20" s="404" t="s">
        <v>1048</v>
      </c>
      <c r="F20" s="404">
        <v>5</v>
      </c>
      <c r="G20" s="404">
        <v>8</v>
      </c>
      <c r="H20" s="404">
        <v>10</v>
      </c>
      <c r="I20" s="404">
        <v>12</v>
      </c>
      <c r="J20" s="404">
        <v>15</v>
      </c>
      <c r="K20" s="404" t="s">
        <v>1048</v>
      </c>
      <c r="L20" s="404" t="s">
        <v>1048</v>
      </c>
      <c r="M20" s="404" t="s">
        <v>1048</v>
      </c>
      <c r="N20" s="404" t="s">
        <v>1048</v>
      </c>
      <c r="O20" s="404">
        <v>4</v>
      </c>
      <c r="P20" s="404">
        <v>8</v>
      </c>
      <c r="Q20" s="404">
        <v>11</v>
      </c>
      <c r="R20" s="404">
        <v>15</v>
      </c>
      <c r="S20" s="404">
        <v>4</v>
      </c>
      <c r="T20" s="404">
        <v>8</v>
      </c>
      <c r="U20" s="404">
        <v>11</v>
      </c>
      <c r="V20" s="404">
        <v>4</v>
      </c>
      <c r="W20" s="404">
        <v>8</v>
      </c>
      <c r="X20" s="404">
        <v>4</v>
      </c>
      <c r="Y20" s="404" t="s">
        <v>1048</v>
      </c>
    </row>
    <row r="21" spans="3:25">
      <c r="C21" s="68" t="str">
        <f>'G-1 All Habitats'!B19</f>
        <v>Grassland - Modified grassland</v>
      </c>
      <c r="D21" s="404" t="s">
        <v>1048</v>
      </c>
      <c r="E21" s="404">
        <v>1</v>
      </c>
      <c r="F21" s="404">
        <v>1</v>
      </c>
      <c r="G21" s="404">
        <v>5</v>
      </c>
      <c r="H21" s="404">
        <v>10</v>
      </c>
      <c r="I21" s="404">
        <v>12</v>
      </c>
      <c r="J21" s="404">
        <v>15</v>
      </c>
      <c r="K21" s="404" t="s">
        <v>1048</v>
      </c>
      <c r="L21" s="404" t="s">
        <v>1048</v>
      </c>
      <c r="M21" s="404" t="s">
        <v>1048</v>
      </c>
      <c r="N21" s="404" t="s">
        <v>1048</v>
      </c>
      <c r="O21" s="404">
        <v>5</v>
      </c>
      <c r="P21" s="404">
        <v>10</v>
      </c>
      <c r="Q21" s="404">
        <v>12</v>
      </c>
      <c r="R21" s="404">
        <v>15</v>
      </c>
      <c r="S21" s="404">
        <v>8</v>
      </c>
      <c r="T21" s="404">
        <v>10</v>
      </c>
      <c r="U21" s="404">
        <v>12</v>
      </c>
      <c r="V21" s="404">
        <v>8</v>
      </c>
      <c r="W21" s="404">
        <v>10</v>
      </c>
      <c r="X21" s="404">
        <v>8</v>
      </c>
      <c r="Y21" s="404" t="s">
        <v>1048</v>
      </c>
    </row>
    <row r="22" spans="3:25">
      <c r="C22" s="68" t="str">
        <f>'G-1 All Habitats'!B20</f>
        <v>Grassland - Other lowland acid grassland</v>
      </c>
      <c r="D22" s="404" t="s">
        <v>1048</v>
      </c>
      <c r="E22" s="404" t="s">
        <v>1048</v>
      </c>
      <c r="F22" s="404">
        <v>1</v>
      </c>
      <c r="G22" s="404">
        <v>5</v>
      </c>
      <c r="H22" s="404">
        <v>10</v>
      </c>
      <c r="I22" s="404">
        <v>12</v>
      </c>
      <c r="J22" s="404">
        <v>15</v>
      </c>
      <c r="K22" s="404" t="s">
        <v>1048</v>
      </c>
      <c r="L22" s="404" t="s">
        <v>1048</v>
      </c>
      <c r="M22" s="404" t="s">
        <v>1048</v>
      </c>
      <c r="N22" s="404" t="s">
        <v>1048</v>
      </c>
      <c r="O22" s="404">
        <v>5</v>
      </c>
      <c r="P22" s="404">
        <v>10</v>
      </c>
      <c r="Q22" s="404">
        <v>12</v>
      </c>
      <c r="R22" s="404">
        <v>15</v>
      </c>
      <c r="S22" s="404">
        <v>8</v>
      </c>
      <c r="T22" s="404">
        <v>10</v>
      </c>
      <c r="U22" s="404">
        <v>12</v>
      </c>
      <c r="V22" s="404">
        <v>8</v>
      </c>
      <c r="W22" s="404">
        <v>10</v>
      </c>
      <c r="X22" s="404">
        <v>8</v>
      </c>
      <c r="Y22" s="404" t="s">
        <v>1048</v>
      </c>
    </row>
    <row r="23" spans="3:25">
      <c r="C23" s="68" t="str">
        <f>'G-1 All Habitats'!B21</f>
        <v>Grassland - Other neutral grassland</v>
      </c>
      <c r="D23" s="404" t="s">
        <v>1048</v>
      </c>
      <c r="E23" s="404" t="s">
        <v>1048</v>
      </c>
      <c r="F23" s="404">
        <v>1</v>
      </c>
      <c r="G23" s="404">
        <v>5</v>
      </c>
      <c r="H23" s="404">
        <v>10</v>
      </c>
      <c r="I23" s="404">
        <v>12</v>
      </c>
      <c r="J23" s="404">
        <v>15</v>
      </c>
      <c r="K23" s="404" t="s">
        <v>1048</v>
      </c>
      <c r="L23" s="404" t="s">
        <v>1048</v>
      </c>
      <c r="M23" s="404" t="s">
        <v>1048</v>
      </c>
      <c r="N23" s="404" t="s">
        <v>1048</v>
      </c>
      <c r="O23" s="404">
        <v>5</v>
      </c>
      <c r="P23" s="404">
        <v>10</v>
      </c>
      <c r="Q23" s="404">
        <v>12</v>
      </c>
      <c r="R23" s="404">
        <v>15</v>
      </c>
      <c r="S23" s="404">
        <v>8</v>
      </c>
      <c r="T23" s="404">
        <v>10</v>
      </c>
      <c r="U23" s="404">
        <v>12</v>
      </c>
      <c r="V23" s="404">
        <v>8</v>
      </c>
      <c r="W23" s="404">
        <v>10</v>
      </c>
      <c r="X23" s="404">
        <v>8</v>
      </c>
      <c r="Y23" s="404" t="s">
        <v>1048</v>
      </c>
    </row>
    <row r="24" spans="3:25">
      <c r="C24" s="68" t="str">
        <f>'G-1 All Habitats'!B22</f>
        <v>Grassland - Tall herb communities (H6430)</v>
      </c>
      <c r="D24" s="404" t="s">
        <v>1048</v>
      </c>
      <c r="E24" s="404" t="s">
        <v>1048</v>
      </c>
      <c r="F24" s="404">
        <v>10</v>
      </c>
      <c r="G24" s="404">
        <v>15</v>
      </c>
      <c r="H24" s="404">
        <v>20</v>
      </c>
      <c r="I24" s="404">
        <v>25</v>
      </c>
      <c r="J24" s="404">
        <v>30</v>
      </c>
      <c r="K24" s="404" t="s">
        <v>1048</v>
      </c>
      <c r="L24" s="404" t="s">
        <v>1048</v>
      </c>
      <c r="M24" s="404" t="s">
        <v>1048</v>
      </c>
      <c r="N24" s="404" t="s">
        <v>1048</v>
      </c>
      <c r="O24" s="404">
        <v>10</v>
      </c>
      <c r="P24" s="404">
        <v>20</v>
      </c>
      <c r="Q24" s="404">
        <v>25</v>
      </c>
      <c r="R24" s="404">
        <v>30</v>
      </c>
      <c r="S24" s="404">
        <v>10</v>
      </c>
      <c r="T24" s="404">
        <v>10</v>
      </c>
      <c r="U24" s="404">
        <v>15</v>
      </c>
      <c r="V24" s="404">
        <v>5</v>
      </c>
      <c r="W24" s="404">
        <v>10</v>
      </c>
      <c r="X24" s="404">
        <v>5</v>
      </c>
      <c r="Y24" s="404" t="s">
        <v>1048</v>
      </c>
    </row>
    <row r="25" spans="3:25">
      <c r="C25" s="68" t="str">
        <f>'G-1 All Habitats'!B23</f>
        <v>Grassland - Upland acid grassland</v>
      </c>
      <c r="D25" s="404" t="s">
        <v>1048</v>
      </c>
      <c r="E25" s="404" t="s">
        <v>1048</v>
      </c>
      <c r="F25" s="404">
        <v>1</v>
      </c>
      <c r="G25" s="404">
        <v>5</v>
      </c>
      <c r="H25" s="404">
        <v>10</v>
      </c>
      <c r="I25" s="404">
        <v>12</v>
      </c>
      <c r="J25" s="404">
        <v>15</v>
      </c>
      <c r="K25" s="404" t="s">
        <v>1048</v>
      </c>
      <c r="L25" s="404" t="s">
        <v>1048</v>
      </c>
      <c r="M25" s="404" t="s">
        <v>1048</v>
      </c>
      <c r="N25" s="404" t="s">
        <v>1048</v>
      </c>
      <c r="O25" s="404">
        <v>5</v>
      </c>
      <c r="P25" s="404">
        <v>10</v>
      </c>
      <c r="Q25" s="404">
        <v>12</v>
      </c>
      <c r="R25" s="404">
        <v>15</v>
      </c>
      <c r="S25" s="404">
        <v>8</v>
      </c>
      <c r="T25" s="404">
        <v>10</v>
      </c>
      <c r="U25" s="404">
        <v>12</v>
      </c>
      <c r="V25" s="404">
        <v>8</v>
      </c>
      <c r="W25" s="404">
        <v>10</v>
      </c>
      <c r="X25" s="404">
        <v>8</v>
      </c>
      <c r="Y25" s="404" t="s">
        <v>1048</v>
      </c>
    </row>
    <row r="26" spans="3:25">
      <c r="C26" s="68" t="str">
        <f>'G-1 All Habitats'!B24</f>
        <v>Grassland - Upland calcareous grassland</v>
      </c>
      <c r="D26" s="404" t="s">
        <v>1048</v>
      </c>
      <c r="E26" s="404" t="s">
        <v>1048</v>
      </c>
      <c r="F26" s="404">
        <v>10</v>
      </c>
      <c r="G26" s="404">
        <v>12</v>
      </c>
      <c r="H26" s="404">
        <v>15</v>
      </c>
      <c r="I26" s="404">
        <v>20</v>
      </c>
      <c r="J26" s="404">
        <v>25</v>
      </c>
      <c r="K26" s="404" t="s">
        <v>1048</v>
      </c>
      <c r="L26" s="404" t="s">
        <v>1048</v>
      </c>
      <c r="M26" s="404" t="s">
        <v>1048</v>
      </c>
      <c r="N26" s="404" t="s">
        <v>1048</v>
      </c>
      <c r="O26" s="404">
        <v>10</v>
      </c>
      <c r="P26" s="404">
        <v>15</v>
      </c>
      <c r="Q26" s="404">
        <v>18</v>
      </c>
      <c r="R26" s="404">
        <v>20</v>
      </c>
      <c r="S26" s="404">
        <v>10</v>
      </c>
      <c r="T26" s="404">
        <v>15</v>
      </c>
      <c r="U26" s="404">
        <v>18</v>
      </c>
      <c r="V26" s="404">
        <v>10</v>
      </c>
      <c r="W26" s="404">
        <v>10</v>
      </c>
      <c r="X26" s="404">
        <v>10</v>
      </c>
      <c r="Y26" s="404" t="s">
        <v>1048</v>
      </c>
    </row>
    <row r="27" spans="3:25">
      <c r="C27" s="68" t="str">
        <f>'G-1 All Habitats'!B25</f>
        <v>Grassland - Upland hay meadows</v>
      </c>
      <c r="D27" s="404" t="s">
        <v>1048</v>
      </c>
      <c r="E27" s="404" t="s">
        <v>1048</v>
      </c>
      <c r="F27" s="404">
        <v>10</v>
      </c>
      <c r="G27" s="404">
        <v>12</v>
      </c>
      <c r="H27" s="404">
        <v>15</v>
      </c>
      <c r="I27" s="404">
        <v>18</v>
      </c>
      <c r="J27" s="404">
        <v>20</v>
      </c>
      <c r="K27" s="404" t="s">
        <v>1048</v>
      </c>
      <c r="L27" s="404" t="s">
        <v>1048</v>
      </c>
      <c r="M27" s="404" t="s">
        <v>1048</v>
      </c>
      <c r="N27" s="404" t="s">
        <v>1048</v>
      </c>
      <c r="O27" s="404">
        <v>10</v>
      </c>
      <c r="P27" s="404">
        <v>15</v>
      </c>
      <c r="Q27" s="404">
        <v>18</v>
      </c>
      <c r="R27" s="404">
        <v>20</v>
      </c>
      <c r="S27" s="404">
        <v>10</v>
      </c>
      <c r="T27" s="404">
        <v>15</v>
      </c>
      <c r="U27" s="404">
        <v>18</v>
      </c>
      <c r="V27" s="404">
        <v>10</v>
      </c>
      <c r="W27" s="404">
        <v>15</v>
      </c>
      <c r="X27" s="404">
        <v>10</v>
      </c>
      <c r="Y27" s="404" t="s">
        <v>1048</v>
      </c>
    </row>
    <row r="28" spans="3:25">
      <c r="C28" s="68" t="str">
        <f>'G-1 All Habitats'!B26</f>
        <v>Heathland and shrub - Blackthorn scrub</v>
      </c>
      <c r="D28" s="404" t="s">
        <v>1048</v>
      </c>
      <c r="E28" s="404" t="s">
        <v>1048</v>
      </c>
      <c r="F28" s="404">
        <v>1</v>
      </c>
      <c r="G28" s="404">
        <v>3</v>
      </c>
      <c r="H28" s="404">
        <v>5</v>
      </c>
      <c r="I28" s="404">
        <v>7</v>
      </c>
      <c r="J28" s="404">
        <v>10</v>
      </c>
      <c r="K28" s="404">
        <v>1</v>
      </c>
      <c r="L28" s="404">
        <v>5</v>
      </c>
      <c r="M28" s="404">
        <v>7</v>
      </c>
      <c r="N28" s="404">
        <v>10</v>
      </c>
      <c r="O28" s="404">
        <v>1</v>
      </c>
      <c r="P28" s="404">
        <v>5</v>
      </c>
      <c r="Q28" s="404">
        <v>7</v>
      </c>
      <c r="R28" s="404">
        <v>10</v>
      </c>
      <c r="S28" s="404">
        <v>3</v>
      </c>
      <c r="T28" s="404">
        <v>5</v>
      </c>
      <c r="U28" s="404">
        <v>3</v>
      </c>
      <c r="V28" s="404">
        <v>2</v>
      </c>
      <c r="W28" s="404">
        <v>3</v>
      </c>
      <c r="X28" s="404">
        <v>2</v>
      </c>
      <c r="Y28" s="404" t="s">
        <v>1048</v>
      </c>
    </row>
    <row r="29" spans="3:25">
      <c r="C29" s="68" t="str">
        <f>'G-1 All Habitats'!B27</f>
        <v>Heathland and shrub - Bramble scrub</v>
      </c>
      <c r="D29" s="404" t="s">
        <v>1048</v>
      </c>
      <c r="E29" s="404" t="s">
        <v>1048</v>
      </c>
      <c r="F29" s="404">
        <v>1</v>
      </c>
      <c r="G29" s="404" t="s">
        <v>1048</v>
      </c>
      <c r="H29" s="404" t="s">
        <v>1048</v>
      </c>
      <c r="I29" s="404" t="s">
        <v>1048</v>
      </c>
      <c r="J29" s="404" t="s">
        <v>1048</v>
      </c>
      <c r="K29" s="404" t="s">
        <v>1048</v>
      </c>
      <c r="L29" s="404" t="s">
        <v>1048</v>
      </c>
      <c r="M29" s="404" t="s">
        <v>1048</v>
      </c>
      <c r="N29" s="404" t="s">
        <v>1048</v>
      </c>
      <c r="O29" s="404" t="s">
        <v>1048</v>
      </c>
      <c r="P29" s="404" t="s">
        <v>1048</v>
      </c>
      <c r="Q29" s="404" t="s">
        <v>1048</v>
      </c>
      <c r="R29" s="404" t="s">
        <v>1048</v>
      </c>
      <c r="S29" s="404" t="s">
        <v>1048</v>
      </c>
      <c r="T29" s="404" t="s">
        <v>1048</v>
      </c>
      <c r="U29" s="404" t="s">
        <v>1048</v>
      </c>
      <c r="V29" s="404" t="s">
        <v>1048</v>
      </c>
      <c r="W29" s="404" t="s">
        <v>1048</v>
      </c>
      <c r="X29" s="404" t="s">
        <v>1048</v>
      </c>
      <c r="Y29" s="404" t="s">
        <v>1048</v>
      </c>
    </row>
    <row r="30" spans="3:25">
      <c r="C30" s="68" t="str">
        <f>'G-1 All Habitats'!B28</f>
        <v>Heathland and shrub - Gorse scrub</v>
      </c>
      <c r="D30" s="404" t="s">
        <v>1048</v>
      </c>
      <c r="E30" s="404" t="s">
        <v>1048</v>
      </c>
      <c r="F30" s="404">
        <v>1</v>
      </c>
      <c r="G30" s="404">
        <v>3</v>
      </c>
      <c r="H30" s="404">
        <v>5</v>
      </c>
      <c r="I30" s="404">
        <v>7</v>
      </c>
      <c r="J30" s="404">
        <v>10</v>
      </c>
      <c r="K30" s="404">
        <v>1</v>
      </c>
      <c r="L30" s="404">
        <v>5</v>
      </c>
      <c r="M30" s="404">
        <v>7</v>
      </c>
      <c r="N30" s="404">
        <v>10</v>
      </c>
      <c r="O30" s="404">
        <v>1</v>
      </c>
      <c r="P30" s="404">
        <v>5</v>
      </c>
      <c r="Q30" s="404">
        <v>7</v>
      </c>
      <c r="R30" s="404">
        <v>10</v>
      </c>
      <c r="S30" s="404">
        <v>3</v>
      </c>
      <c r="T30" s="404">
        <v>5</v>
      </c>
      <c r="U30" s="404">
        <v>7</v>
      </c>
      <c r="V30" s="404">
        <v>2</v>
      </c>
      <c r="W30" s="404">
        <v>3</v>
      </c>
      <c r="X30" s="404">
        <v>2</v>
      </c>
      <c r="Y30" s="404" t="s">
        <v>1048</v>
      </c>
    </row>
    <row r="31" spans="3:25">
      <c r="C31" s="68" t="str">
        <f>'G-1 All Habitats'!B29</f>
        <v>Heathland and shrub - Hawthorn scrub</v>
      </c>
      <c r="D31" s="404" t="s">
        <v>1048</v>
      </c>
      <c r="E31" s="404" t="s">
        <v>1048</v>
      </c>
      <c r="F31" s="404">
        <v>1</v>
      </c>
      <c r="G31" s="404">
        <v>3</v>
      </c>
      <c r="H31" s="404">
        <v>5</v>
      </c>
      <c r="I31" s="404">
        <v>7</v>
      </c>
      <c r="J31" s="404">
        <v>10</v>
      </c>
      <c r="K31" s="404">
        <v>1</v>
      </c>
      <c r="L31" s="404">
        <v>5</v>
      </c>
      <c r="M31" s="404">
        <v>7</v>
      </c>
      <c r="N31" s="404">
        <v>10</v>
      </c>
      <c r="O31" s="404">
        <v>1</v>
      </c>
      <c r="P31" s="404">
        <v>5</v>
      </c>
      <c r="Q31" s="404">
        <v>7</v>
      </c>
      <c r="R31" s="404">
        <v>10</v>
      </c>
      <c r="S31" s="404">
        <v>3</v>
      </c>
      <c r="T31" s="404">
        <v>5</v>
      </c>
      <c r="U31" s="404">
        <v>7</v>
      </c>
      <c r="V31" s="404">
        <v>2</v>
      </c>
      <c r="W31" s="404">
        <v>3</v>
      </c>
      <c r="X31" s="404">
        <v>2</v>
      </c>
      <c r="Y31" s="404" t="s">
        <v>1048</v>
      </c>
    </row>
    <row r="32" spans="3:25">
      <c r="C32" s="68" t="str">
        <f>'G-1 All Habitats'!B30</f>
        <v>Heathland and shrub - Hazel scrub</v>
      </c>
      <c r="D32" s="404" t="s">
        <v>1048</v>
      </c>
      <c r="E32" s="404" t="s">
        <v>1048</v>
      </c>
      <c r="F32" s="404">
        <v>5</v>
      </c>
      <c r="G32" s="404">
        <v>7</v>
      </c>
      <c r="H32" s="404">
        <v>10</v>
      </c>
      <c r="I32" s="404">
        <v>12</v>
      </c>
      <c r="J32" s="404">
        <v>15</v>
      </c>
      <c r="K32" s="404">
        <v>5</v>
      </c>
      <c r="L32" s="404">
        <v>7</v>
      </c>
      <c r="M32" s="404">
        <v>12</v>
      </c>
      <c r="N32" s="404">
        <v>15</v>
      </c>
      <c r="O32" s="404">
        <v>5</v>
      </c>
      <c r="P32" s="404">
        <v>7</v>
      </c>
      <c r="Q32" s="404">
        <v>12</v>
      </c>
      <c r="R32" s="404">
        <v>15</v>
      </c>
      <c r="S32" s="404">
        <v>5</v>
      </c>
      <c r="T32" s="404">
        <v>8</v>
      </c>
      <c r="U32" s="404">
        <v>12</v>
      </c>
      <c r="V32" s="404">
        <v>5</v>
      </c>
      <c r="W32" s="404">
        <v>7</v>
      </c>
      <c r="X32" s="404">
        <v>5</v>
      </c>
      <c r="Y32" s="404" t="s">
        <v>1048</v>
      </c>
    </row>
    <row r="33" spans="3:25">
      <c r="C33" s="68" t="s">
        <v>606</v>
      </c>
      <c r="D33" s="404" t="s">
        <v>1048</v>
      </c>
      <c r="E33" s="404" t="s">
        <v>1048</v>
      </c>
      <c r="F33" s="404">
        <v>5</v>
      </c>
      <c r="G33" s="404">
        <v>7</v>
      </c>
      <c r="H33" s="404">
        <v>10</v>
      </c>
      <c r="I33" s="404">
        <v>12</v>
      </c>
      <c r="J33" s="404">
        <v>15</v>
      </c>
      <c r="K33" s="404">
        <v>5</v>
      </c>
      <c r="L33" s="404">
        <v>7</v>
      </c>
      <c r="M33" s="404">
        <v>12</v>
      </c>
      <c r="N33" s="404">
        <v>15</v>
      </c>
      <c r="O33" s="404">
        <v>5</v>
      </c>
      <c r="P33" s="404">
        <v>7</v>
      </c>
      <c r="Q33" s="404">
        <v>12</v>
      </c>
      <c r="R33" s="404">
        <v>15</v>
      </c>
      <c r="S33" s="404">
        <v>5</v>
      </c>
      <c r="T33" s="404">
        <v>8</v>
      </c>
      <c r="U33" s="404">
        <v>12</v>
      </c>
      <c r="V33" s="404">
        <v>5</v>
      </c>
      <c r="W33" s="404">
        <v>7</v>
      </c>
      <c r="X33" s="404">
        <v>5</v>
      </c>
      <c r="Y33" s="404" t="s">
        <v>1048</v>
      </c>
    </row>
    <row r="34" spans="3:25">
      <c r="C34" s="68" t="str">
        <f>'G-1 All Habitats'!B31</f>
        <v>Heathland and shrub - Lowland heathland</v>
      </c>
      <c r="D34" s="404" t="s">
        <v>1048</v>
      </c>
      <c r="E34" s="404" t="s">
        <v>1048</v>
      </c>
      <c r="F34" s="404">
        <v>10</v>
      </c>
      <c r="G34" s="404">
        <v>15</v>
      </c>
      <c r="H34" s="404">
        <v>20</v>
      </c>
      <c r="I34" s="404">
        <v>25</v>
      </c>
      <c r="J34" s="404" t="s">
        <v>1049</v>
      </c>
      <c r="K34" s="404">
        <v>5</v>
      </c>
      <c r="L34" s="404">
        <v>10</v>
      </c>
      <c r="M34" s="404">
        <v>15</v>
      </c>
      <c r="N34" s="404">
        <v>25</v>
      </c>
      <c r="O34" s="404">
        <v>5</v>
      </c>
      <c r="P34" s="404">
        <v>10</v>
      </c>
      <c r="Q34" s="404">
        <v>15</v>
      </c>
      <c r="R34" s="404">
        <v>25</v>
      </c>
      <c r="S34" s="404">
        <v>5</v>
      </c>
      <c r="T34" s="404">
        <v>10</v>
      </c>
      <c r="U34" s="404">
        <v>20</v>
      </c>
      <c r="V34" s="404">
        <v>5</v>
      </c>
      <c r="W34" s="404">
        <v>15</v>
      </c>
      <c r="X34" s="404">
        <v>10</v>
      </c>
      <c r="Y34" s="404" t="s">
        <v>1048</v>
      </c>
    </row>
    <row r="35" spans="3:25">
      <c r="C35" s="68" t="str">
        <f>'G-1 All Habitats'!B32</f>
        <v>Heathland and shrub - Mixed scrub</v>
      </c>
      <c r="D35" s="404" t="s">
        <v>1048</v>
      </c>
      <c r="E35" s="404" t="s">
        <v>1048</v>
      </c>
      <c r="F35" s="404">
        <v>1</v>
      </c>
      <c r="G35" s="404">
        <v>3</v>
      </c>
      <c r="H35" s="404">
        <v>5</v>
      </c>
      <c r="I35" s="404">
        <v>7</v>
      </c>
      <c r="J35" s="404">
        <v>10</v>
      </c>
      <c r="K35" s="404">
        <v>1</v>
      </c>
      <c r="L35" s="404">
        <v>5</v>
      </c>
      <c r="M35" s="404">
        <v>7</v>
      </c>
      <c r="N35" s="404">
        <v>10</v>
      </c>
      <c r="O35" s="404">
        <v>1</v>
      </c>
      <c r="P35" s="404">
        <v>5</v>
      </c>
      <c r="Q35" s="404">
        <v>7</v>
      </c>
      <c r="R35" s="404">
        <v>10</v>
      </c>
      <c r="S35" s="404">
        <v>3</v>
      </c>
      <c r="T35" s="404">
        <v>5</v>
      </c>
      <c r="U35" s="404">
        <v>7</v>
      </c>
      <c r="V35" s="404">
        <v>2</v>
      </c>
      <c r="W35" s="404">
        <v>3</v>
      </c>
      <c r="X35" s="404">
        <v>2</v>
      </c>
      <c r="Y35" s="404" t="s">
        <v>1048</v>
      </c>
    </row>
    <row r="36" spans="3:25">
      <c r="C36" s="68" t="str">
        <f>'G-1 All Habitats'!B33</f>
        <v>Heathland and shrub - Mountain heaths and willow scrub</v>
      </c>
      <c r="D36" s="404" t="s">
        <v>1048</v>
      </c>
      <c r="E36" s="404" t="s">
        <v>1048</v>
      </c>
      <c r="F36" s="404">
        <v>15</v>
      </c>
      <c r="G36" s="404">
        <v>23</v>
      </c>
      <c r="H36" s="404">
        <v>25</v>
      </c>
      <c r="I36" s="404" t="s">
        <v>1049</v>
      </c>
      <c r="J36" s="404" t="s">
        <v>1049</v>
      </c>
      <c r="K36" s="404">
        <v>20</v>
      </c>
      <c r="L36" s="404" t="s">
        <v>1049</v>
      </c>
      <c r="M36" s="404" t="s">
        <v>1049</v>
      </c>
      <c r="N36" s="404" t="s">
        <v>1049</v>
      </c>
      <c r="O36" s="404">
        <v>20</v>
      </c>
      <c r="P36" s="404" t="s">
        <v>1049</v>
      </c>
      <c r="Q36" s="404" t="s">
        <v>1049</v>
      </c>
      <c r="R36" s="404" t="s">
        <v>1049</v>
      </c>
      <c r="S36" s="404">
        <v>20</v>
      </c>
      <c r="T36" s="404" t="s">
        <v>1049</v>
      </c>
      <c r="U36" s="404" t="s">
        <v>1049</v>
      </c>
      <c r="V36" s="404">
        <v>20</v>
      </c>
      <c r="W36" s="404" t="s">
        <v>1049</v>
      </c>
      <c r="X36" s="404">
        <v>20</v>
      </c>
      <c r="Y36" s="404" t="s">
        <v>1048</v>
      </c>
    </row>
    <row r="37" spans="3:25">
      <c r="C37" s="68" t="str">
        <f>'G-1 All Habitats'!B34</f>
        <v>Heathland and shrub - Rhododendron scrub</v>
      </c>
      <c r="D37" s="404" t="s">
        <v>1048</v>
      </c>
      <c r="E37" s="404" t="s">
        <v>1048</v>
      </c>
      <c r="F37" s="404">
        <v>1</v>
      </c>
      <c r="G37" s="404" t="s">
        <v>1048</v>
      </c>
      <c r="H37" s="404" t="s">
        <v>1048</v>
      </c>
      <c r="I37" s="404" t="s">
        <v>1048</v>
      </c>
      <c r="J37" s="404" t="s">
        <v>1048</v>
      </c>
      <c r="K37" s="404" t="s">
        <v>1048</v>
      </c>
      <c r="L37" s="404" t="s">
        <v>1048</v>
      </c>
      <c r="M37" s="404" t="s">
        <v>1048</v>
      </c>
      <c r="N37" s="404" t="s">
        <v>1048</v>
      </c>
      <c r="O37" s="404" t="s">
        <v>1048</v>
      </c>
      <c r="P37" s="404" t="s">
        <v>1048</v>
      </c>
      <c r="Q37" s="404" t="s">
        <v>1048</v>
      </c>
      <c r="R37" s="404" t="s">
        <v>1048</v>
      </c>
      <c r="S37" s="404" t="s">
        <v>1048</v>
      </c>
      <c r="T37" s="404" t="s">
        <v>1048</v>
      </c>
      <c r="U37" s="404" t="s">
        <v>1048</v>
      </c>
      <c r="V37" s="404" t="s">
        <v>1048</v>
      </c>
      <c r="W37" s="404" t="s">
        <v>1048</v>
      </c>
      <c r="X37" s="404" t="s">
        <v>1048</v>
      </c>
      <c r="Y37" s="404" t="s">
        <v>1048</v>
      </c>
    </row>
    <row r="38" spans="3:25">
      <c r="C38" s="68" t="str">
        <f>'G-1 All Habitats'!B35</f>
        <v>Heathland and shrub - Dunes with sea buckthorn (H2160)</v>
      </c>
      <c r="D38" s="404" t="s">
        <v>1048</v>
      </c>
      <c r="E38" s="404" t="s">
        <v>1048</v>
      </c>
      <c r="F38" s="404">
        <v>5</v>
      </c>
      <c r="G38" s="404">
        <v>7</v>
      </c>
      <c r="H38" s="404">
        <v>10</v>
      </c>
      <c r="I38" s="404">
        <v>12</v>
      </c>
      <c r="J38" s="404">
        <v>15</v>
      </c>
      <c r="K38" s="404">
        <v>5</v>
      </c>
      <c r="L38" s="404">
        <v>7</v>
      </c>
      <c r="M38" s="404">
        <v>10</v>
      </c>
      <c r="N38" s="404">
        <v>12</v>
      </c>
      <c r="O38" s="404">
        <v>5</v>
      </c>
      <c r="P38" s="404">
        <v>7</v>
      </c>
      <c r="Q38" s="404">
        <v>10</v>
      </c>
      <c r="R38" s="404">
        <v>12</v>
      </c>
      <c r="S38" s="404">
        <v>5</v>
      </c>
      <c r="T38" s="404">
        <v>7</v>
      </c>
      <c r="U38" s="404">
        <v>10</v>
      </c>
      <c r="V38" s="404">
        <v>5</v>
      </c>
      <c r="W38" s="404">
        <v>7</v>
      </c>
      <c r="X38" s="404">
        <v>5</v>
      </c>
      <c r="Y38" s="404" t="s">
        <v>1048</v>
      </c>
    </row>
    <row r="39" spans="3:25">
      <c r="C39" s="68" t="str">
        <f>'G-1 All Habitats'!B36</f>
        <v>Heathland and shrub - Other sea buckthorn scrub</v>
      </c>
      <c r="D39" s="404" t="s">
        <v>1048</v>
      </c>
      <c r="E39" s="404" t="s">
        <v>1048</v>
      </c>
      <c r="F39" s="404" t="s">
        <v>1048</v>
      </c>
      <c r="G39" s="404" t="s">
        <v>1048</v>
      </c>
      <c r="H39" s="404" t="s">
        <v>1048</v>
      </c>
      <c r="I39" s="404" t="s">
        <v>1048</v>
      </c>
      <c r="J39" s="404" t="s">
        <v>1048</v>
      </c>
      <c r="K39" s="404" t="s">
        <v>1048</v>
      </c>
      <c r="L39" s="404" t="s">
        <v>1048</v>
      </c>
      <c r="M39" s="404" t="s">
        <v>1048</v>
      </c>
      <c r="N39" s="404" t="s">
        <v>1048</v>
      </c>
      <c r="O39" s="404" t="s">
        <v>1048</v>
      </c>
      <c r="P39" s="404" t="s">
        <v>1048</v>
      </c>
      <c r="Q39" s="404" t="s">
        <v>1048</v>
      </c>
      <c r="R39" s="404" t="s">
        <v>1048</v>
      </c>
      <c r="S39" s="404" t="s">
        <v>1048</v>
      </c>
      <c r="T39" s="404" t="s">
        <v>1048</v>
      </c>
      <c r="U39" s="404" t="s">
        <v>1048</v>
      </c>
      <c r="V39" s="404" t="s">
        <v>1048</v>
      </c>
      <c r="W39" s="404" t="s">
        <v>1048</v>
      </c>
      <c r="X39" s="404" t="s">
        <v>1048</v>
      </c>
      <c r="Y39" s="404" t="s">
        <v>1048</v>
      </c>
    </row>
    <row r="40" spans="3:25">
      <c r="C40" s="68" t="str">
        <f>'G-1 All Habitats'!B38</f>
        <v>Heathland and shrub - Upland heathland</v>
      </c>
      <c r="D40" s="404" t="s">
        <v>1048</v>
      </c>
      <c r="E40" s="404" t="s">
        <v>1048</v>
      </c>
      <c r="F40" s="404">
        <v>10</v>
      </c>
      <c r="G40" s="404">
        <v>15</v>
      </c>
      <c r="H40" s="404">
        <v>20</v>
      </c>
      <c r="I40" s="404">
        <v>25</v>
      </c>
      <c r="J40" s="404">
        <v>30</v>
      </c>
      <c r="K40" s="404" t="s">
        <v>1048</v>
      </c>
      <c r="L40" s="404" t="s">
        <v>1048</v>
      </c>
      <c r="M40" s="404" t="s">
        <v>1048</v>
      </c>
      <c r="N40" s="404" t="s">
        <v>1048</v>
      </c>
      <c r="O40" s="404">
        <v>10</v>
      </c>
      <c r="P40" s="404">
        <v>20</v>
      </c>
      <c r="Q40" s="404">
        <v>30</v>
      </c>
      <c r="R40" s="404" t="s">
        <v>1049</v>
      </c>
      <c r="S40" s="404">
        <v>10</v>
      </c>
      <c r="T40" s="404">
        <v>20</v>
      </c>
      <c r="U40" s="404">
        <v>30</v>
      </c>
      <c r="V40" s="404">
        <v>10</v>
      </c>
      <c r="W40" s="404">
        <v>20</v>
      </c>
      <c r="X40" s="404">
        <v>10</v>
      </c>
      <c r="Y40" s="404" t="s">
        <v>1048</v>
      </c>
    </row>
    <row r="41" spans="3:25">
      <c r="C41" s="68" t="str">
        <f>'G-1 All Habitats'!B39</f>
        <v>Lakes - Aquifer fed naturally fluctuating water bodies</v>
      </c>
      <c r="D41" s="404" t="s">
        <v>1048</v>
      </c>
      <c r="E41" s="404" t="s">
        <v>1048</v>
      </c>
      <c r="F41" s="404">
        <v>1</v>
      </c>
      <c r="G41" s="404">
        <v>10</v>
      </c>
      <c r="H41" s="404">
        <v>15</v>
      </c>
      <c r="I41" s="404">
        <v>20</v>
      </c>
      <c r="J41" s="404">
        <v>30</v>
      </c>
      <c r="K41" s="404" t="s">
        <v>1048</v>
      </c>
      <c r="L41" s="404" t="s">
        <v>1048</v>
      </c>
      <c r="M41" s="404" t="s">
        <v>1048</v>
      </c>
      <c r="N41" s="404" t="s">
        <v>1048</v>
      </c>
      <c r="O41" s="404">
        <v>5</v>
      </c>
      <c r="P41" s="404">
        <v>10</v>
      </c>
      <c r="Q41" s="404">
        <v>15</v>
      </c>
      <c r="R41" s="404">
        <v>30</v>
      </c>
      <c r="S41" s="404">
        <v>5</v>
      </c>
      <c r="T41" s="404">
        <v>15</v>
      </c>
      <c r="U41" s="404">
        <v>25</v>
      </c>
      <c r="V41" s="404">
        <v>5</v>
      </c>
      <c r="W41" s="404">
        <v>20</v>
      </c>
      <c r="X41" s="404">
        <v>5</v>
      </c>
      <c r="Y41" s="404" t="s">
        <v>1048</v>
      </c>
    </row>
    <row r="42" spans="3:25">
      <c r="C42" s="68" t="str">
        <f>'G-1 All Habitats'!B41</f>
        <v>Lakes - High alkalinity lakes</v>
      </c>
      <c r="D42" s="404" t="s">
        <v>1048</v>
      </c>
      <c r="E42" s="404" t="s">
        <v>1048</v>
      </c>
      <c r="F42" s="404">
        <v>2</v>
      </c>
      <c r="G42" s="404">
        <v>3</v>
      </c>
      <c r="H42" s="404">
        <v>5</v>
      </c>
      <c r="I42" s="404">
        <v>7</v>
      </c>
      <c r="J42" s="404">
        <v>10</v>
      </c>
      <c r="K42" s="404" t="s">
        <v>1048</v>
      </c>
      <c r="L42" s="404" t="s">
        <v>1048</v>
      </c>
      <c r="M42" s="404" t="s">
        <v>1048</v>
      </c>
      <c r="N42" s="404" t="s">
        <v>1048</v>
      </c>
      <c r="O42" s="404">
        <v>5</v>
      </c>
      <c r="P42" s="404">
        <v>10</v>
      </c>
      <c r="Q42" s="404">
        <v>15</v>
      </c>
      <c r="R42" s="404">
        <v>30</v>
      </c>
      <c r="S42" s="404">
        <v>5</v>
      </c>
      <c r="T42" s="404">
        <v>15</v>
      </c>
      <c r="U42" s="404">
        <v>25</v>
      </c>
      <c r="V42" s="404">
        <v>10</v>
      </c>
      <c r="W42" s="404">
        <v>20</v>
      </c>
      <c r="X42" s="404">
        <v>10</v>
      </c>
      <c r="Y42" s="404" t="s">
        <v>1048</v>
      </c>
    </row>
    <row r="43" spans="3:25">
      <c r="C43" s="68" t="str">
        <f>'G-1 All Habitats'!B42</f>
        <v>Lakes - Low alkalinity lakes</v>
      </c>
      <c r="D43" s="404" t="s">
        <v>1048</v>
      </c>
      <c r="E43" s="404" t="s">
        <v>1048</v>
      </c>
      <c r="F43" s="404">
        <v>5</v>
      </c>
      <c r="G43" s="404">
        <v>10</v>
      </c>
      <c r="H43" s="404">
        <v>15</v>
      </c>
      <c r="I43" s="404">
        <v>20</v>
      </c>
      <c r="J43" s="404">
        <v>30</v>
      </c>
      <c r="K43" s="404" t="s">
        <v>1048</v>
      </c>
      <c r="L43" s="404" t="s">
        <v>1048</v>
      </c>
      <c r="M43" s="404" t="s">
        <v>1048</v>
      </c>
      <c r="N43" s="404" t="s">
        <v>1048</v>
      </c>
      <c r="O43" s="404">
        <v>5</v>
      </c>
      <c r="P43" s="404">
        <v>10</v>
      </c>
      <c r="Q43" s="404">
        <v>15</v>
      </c>
      <c r="R43" s="404">
        <v>20</v>
      </c>
      <c r="S43" s="404">
        <v>5</v>
      </c>
      <c r="T43" s="404">
        <v>10</v>
      </c>
      <c r="U43" s="404">
        <v>15</v>
      </c>
      <c r="V43" s="404">
        <v>5</v>
      </c>
      <c r="W43" s="404">
        <v>10</v>
      </c>
      <c r="X43" s="404">
        <v>5</v>
      </c>
      <c r="Y43" s="404" t="s">
        <v>1048</v>
      </c>
    </row>
    <row r="44" spans="3:25">
      <c r="C44" s="68" t="str">
        <f>'G-1 All Habitats'!B43</f>
        <v>Lakes - Marl lakes</v>
      </c>
      <c r="D44" s="404" t="s">
        <v>1048</v>
      </c>
      <c r="E44" s="404" t="s">
        <v>1048</v>
      </c>
      <c r="F44" s="404">
        <v>5</v>
      </c>
      <c r="G44" s="404">
        <v>7</v>
      </c>
      <c r="H44" s="404">
        <v>10</v>
      </c>
      <c r="I44" s="404">
        <v>15</v>
      </c>
      <c r="J44" s="404">
        <v>20</v>
      </c>
      <c r="K44" s="404" t="s">
        <v>1048</v>
      </c>
      <c r="L44" s="404" t="s">
        <v>1048</v>
      </c>
      <c r="M44" s="404" t="s">
        <v>1048</v>
      </c>
      <c r="N44" s="404" t="s">
        <v>1048</v>
      </c>
      <c r="O44" s="404">
        <v>5</v>
      </c>
      <c r="P44" s="404">
        <v>10</v>
      </c>
      <c r="Q44" s="404">
        <v>15</v>
      </c>
      <c r="R44" s="404">
        <v>30</v>
      </c>
      <c r="S44" s="404">
        <v>5</v>
      </c>
      <c r="T44" s="404">
        <v>15</v>
      </c>
      <c r="U44" s="404">
        <v>25</v>
      </c>
      <c r="V44" s="404">
        <v>10</v>
      </c>
      <c r="W44" s="404">
        <v>20</v>
      </c>
      <c r="X44" s="404">
        <v>10</v>
      </c>
      <c r="Y44" s="404" t="s">
        <v>1048</v>
      </c>
    </row>
    <row r="45" spans="3:25">
      <c r="C45" s="68" t="str">
        <f>'G-1 All Habitats'!B44</f>
        <v>Lakes - Moderate alkalinity lakes</v>
      </c>
      <c r="D45" s="404" t="s">
        <v>1048</v>
      </c>
      <c r="E45" s="404" t="s">
        <v>1048</v>
      </c>
      <c r="F45" s="404">
        <v>5</v>
      </c>
      <c r="G45" s="404">
        <v>7</v>
      </c>
      <c r="H45" s="404">
        <v>10</v>
      </c>
      <c r="I45" s="404">
        <v>15</v>
      </c>
      <c r="J45" s="404">
        <v>20</v>
      </c>
      <c r="K45" s="404" t="s">
        <v>1048</v>
      </c>
      <c r="L45" s="404" t="s">
        <v>1048</v>
      </c>
      <c r="M45" s="404" t="s">
        <v>1048</v>
      </c>
      <c r="N45" s="404" t="s">
        <v>1048</v>
      </c>
      <c r="O45" s="404">
        <v>5</v>
      </c>
      <c r="P45" s="404">
        <v>10</v>
      </c>
      <c r="Q45" s="404">
        <v>15</v>
      </c>
      <c r="R45" s="404">
        <v>30</v>
      </c>
      <c r="S45" s="404">
        <v>5</v>
      </c>
      <c r="T45" s="404">
        <v>15</v>
      </c>
      <c r="U45" s="404">
        <v>25</v>
      </c>
      <c r="V45" s="404">
        <v>10</v>
      </c>
      <c r="W45" s="404">
        <v>20</v>
      </c>
      <c r="X45" s="404">
        <v>10</v>
      </c>
      <c r="Y45" s="404" t="s">
        <v>1048</v>
      </c>
    </row>
    <row r="46" spans="3:25">
      <c r="C46" s="68" t="str">
        <f>'G-1 All Habitats'!B45</f>
        <v>Lakes - Peat lakes</v>
      </c>
      <c r="D46" s="404" t="s">
        <v>1048</v>
      </c>
      <c r="E46" s="404" t="s">
        <v>1048</v>
      </c>
      <c r="F46" s="404">
        <v>5</v>
      </c>
      <c r="G46" s="404">
        <v>10</v>
      </c>
      <c r="H46" s="404">
        <v>15</v>
      </c>
      <c r="I46" s="404">
        <v>20</v>
      </c>
      <c r="J46" s="404">
        <v>30</v>
      </c>
      <c r="K46" s="404" t="s">
        <v>1048</v>
      </c>
      <c r="L46" s="404" t="s">
        <v>1048</v>
      </c>
      <c r="M46" s="404" t="s">
        <v>1048</v>
      </c>
      <c r="N46" s="404" t="s">
        <v>1048</v>
      </c>
      <c r="O46" s="404">
        <v>5</v>
      </c>
      <c r="P46" s="404">
        <v>10</v>
      </c>
      <c r="Q46" s="404">
        <v>15</v>
      </c>
      <c r="R46" s="404">
        <v>30</v>
      </c>
      <c r="S46" s="404">
        <v>5</v>
      </c>
      <c r="T46" s="404">
        <v>15</v>
      </c>
      <c r="U46" s="404">
        <v>25</v>
      </c>
      <c r="V46" s="404">
        <v>10</v>
      </c>
      <c r="W46" s="404">
        <v>20</v>
      </c>
      <c r="X46" s="404">
        <v>10</v>
      </c>
      <c r="Y46" s="404" t="s">
        <v>1048</v>
      </c>
    </row>
    <row r="47" spans="3:25">
      <c r="C47" s="68" t="str">
        <f>'G-1 All Habitats'!B46</f>
        <v>Lakes - Ponds (priority habitat)</v>
      </c>
      <c r="D47" s="404" t="s">
        <v>1048</v>
      </c>
      <c r="E47" s="404" t="s">
        <v>1048</v>
      </c>
      <c r="F47" s="404">
        <v>2</v>
      </c>
      <c r="G47" s="404">
        <v>3</v>
      </c>
      <c r="H47" s="404">
        <v>5</v>
      </c>
      <c r="I47" s="404">
        <v>7</v>
      </c>
      <c r="J47" s="404">
        <v>10</v>
      </c>
      <c r="K47" s="404" t="s">
        <v>1048</v>
      </c>
      <c r="L47" s="404" t="s">
        <v>1048</v>
      </c>
      <c r="M47" s="404" t="s">
        <v>1048</v>
      </c>
      <c r="N47" s="404" t="s">
        <v>1048</v>
      </c>
      <c r="O47" s="404">
        <v>2</v>
      </c>
      <c r="P47" s="404">
        <v>4</v>
      </c>
      <c r="Q47" s="404">
        <v>6</v>
      </c>
      <c r="R47" s="404">
        <v>8</v>
      </c>
      <c r="S47" s="404">
        <v>2</v>
      </c>
      <c r="T47" s="404">
        <v>4</v>
      </c>
      <c r="U47" s="404">
        <v>6</v>
      </c>
      <c r="V47" s="404">
        <v>2</v>
      </c>
      <c r="W47" s="404">
        <v>4</v>
      </c>
      <c r="X47" s="404">
        <v>2</v>
      </c>
      <c r="Y47" s="404" t="s">
        <v>1048</v>
      </c>
    </row>
    <row r="48" spans="3:25">
      <c r="C48" s="68" t="str">
        <f>'G-1 All Habitats'!B47</f>
        <v>Lakes - Ponds (non-priority habitat)</v>
      </c>
      <c r="D48" s="404" t="s">
        <v>1048</v>
      </c>
      <c r="E48" s="404" t="s">
        <v>1048</v>
      </c>
      <c r="F48" s="404">
        <v>1</v>
      </c>
      <c r="G48" s="404">
        <v>2</v>
      </c>
      <c r="H48" s="404">
        <v>3</v>
      </c>
      <c r="I48" s="404">
        <v>4</v>
      </c>
      <c r="J48" s="404">
        <v>5</v>
      </c>
      <c r="K48" s="404" t="s">
        <v>1048</v>
      </c>
      <c r="L48" s="404" t="s">
        <v>1048</v>
      </c>
      <c r="M48" s="404" t="s">
        <v>1048</v>
      </c>
      <c r="N48" s="404" t="s">
        <v>1048</v>
      </c>
      <c r="O48" s="404">
        <v>2</v>
      </c>
      <c r="P48" s="404">
        <v>4</v>
      </c>
      <c r="Q48" s="404">
        <v>6</v>
      </c>
      <c r="R48" s="404">
        <v>8</v>
      </c>
      <c r="S48" s="404">
        <v>2</v>
      </c>
      <c r="T48" s="404">
        <v>4</v>
      </c>
      <c r="U48" s="404">
        <v>6</v>
      </c>
      <c r="V48" s="404">
        <v>2</v>
      </c>
      <c r="W48" s="404">
        <v>4</v>
      </c>
      <c r="X48" s="404">
        <v>2</v>
      </c>
      <c r="Y48" s="404" t="s">
        <v>1048</v>
      </c>
    </row>
    <row r="49" spans="3:25">
      <c r="C49" s="68" t="str">
        <f>'G-1 All Habitats'!B48</f>
        <v>Lakes - Reservoirs</v>
      </c>
      <c r="D49" s="404" t="s">
        <v>1048</v>
      </c>
      <c r="E49" s="404" t="s">
        <v>1048</v>
      </c>
      <c r="F49" s="404">
        <v>1</v>
      </c>
      <c r="G49" s="404">
        <v>3</v>
      </c>
      <c r="H49" s="404">
        <v>5</v>
      </c>
      <c r="I49" s="404">
        <v>7</v>
      </c>
      <c r="J49" s="404">
        <v>10</v>
      </c>
      <c r="K49" s="404" t="s">
        <v>1048</v>
      </c>
      <c r="L49" s="404" t="s">
        <v>1048</v>
      </c>
      <c r="M49" s="404" t="s">
        <v>1048</v>
      </c>
      <c r="N49" s="404" t="s">
        <v>1048</v>
      </c>
      <c r="O49" s="404">
        <v>5</v>
      </c>
      <c r="P49" s="404">
        <v>10</v>
      </c>
      <c r="Q49" s="404">
        <v>15</v>
      </c>
      <c r="R49" s="404">
        <v>30</v>
      </c>
      <c r="S49" s="404">
        <v>5</v>
      </c>
      <c r="T49" s="404">
        <v>15</v>
      </c>
      <c r="U49" s="404">
        <v>25</v>
      </c>
      <c r="V49" s="404">
        <v>10</v>
      </c>
      <c r="W49" s="404">
        <v>20</v>
      </c>
      <c r="X49" s="404">
        <v>10</v>
      </c>
      <c r="Y49" s="404" t="s">
        <v>1048</v>
      </c>
    </row>
    <row r="50" spans="3:25">
      <c r="C50" s="68" t="str">
        <f>'G-1 All Habitats'!B49</f>
        <v>Lakes - Temporary lakes ponds and pools (H3170)</v>
      </c>
      <c r="D50" s="404" t="s">
        <v>1048</v>
      </c>
      <c r="E50" s="404" t="s">
        <v>1048</v>
      </c>
      <c r="F50" s="404">
        <v>2</v>
      </c>
      <c r="G50" s="404">
        <v>3</v>
      </c>
      <c r="H50" s="404">
        <v>5</v>
      </c>
      <c r="I50" s="404">
        <v>7</v>
      </c>
      <c r="J50" s="404">
        <v>10</v>
      </c>
      <c r="K50" s="404" t="s">
        <v>1048</v>
      </c>
      <c r="L50" s="404" t="s">
        <v>1048</v>
      </c>
      <c r="M50" s="404" t="s">
        <v>1048</v>
      </c>
      <c r="N50" s="404" t="s">
        <v>1048</v>
      </c>
      <c r="O50" s="404">
        <v>2</v>
      </c>
      <c r="P50" s="404">
        <v>4</v>
      </c>
      <c r="Q50" s="404">
        <v>6</v>
      </c>
      <c r="R50" s="404">
        <v>8</v>
      </c>
      <c r="S50" s="404">
        <v>2</v>
      </c>
      <c r="T50" s="404">
        <v>4</v>
      </c>
      <c r="U50" s="404">
        <v>6</v>
      </c>
      <c r="V50" s="404">
        <v>2</v>
      </c>
      <c r="W50" s="404">
        <v>4</v>
      </c>
      <c r="X50" s="404">
        <v>2</v>
      </c>
      <c r="Y50" s="404" t="s">
        <v>1048</v>
      </c>
    </row>
    <row r="51" spans="3:25">
      <c r="C51" s="68" t="str">
        <f>'G-1 All Habitats'!B50</f>
        <v>Sparsely vegetated land - Calaminarian grasslands</v>
      </c>
      <c r="D51" s="404" t="s">
        <v>1048</v>
      </c>
      <c r="E51" s="404" t="s">
        <v>1048</v>
      </c>
      <c r="F51" s="404">
        <v>2</v>
      </c>
      <c r="G51" s="404">
        <v>3</v>
      </c>
      <c r="H51" s="404">
        <v>5</v>
      </c>
      <c r="I51" s="404">
        <v>7</v>
      </c>
      <c r="J51" s="404">
        <v>10</v>
      </c>
      <c r="K51" s="404" t="s">
        <v>1048</v>
      </c>
      <c r="L51" s="404" t="s">
        <v>1048</v>
      </c>
      <c r="M51" s="404" t="s">
        <v>1048</v>
      </c>
      <c r="N51" s="404" t="s">
        <v>1048</v>
      </c>
      <c r="O51" s="404">
        <v>1</v>
      </c>
      <c r="P51" s="404">
        <v>3</v>
      </c>
      <c r="Q51" s="404">
        <v>5</v>
      </c>
      <c r="R51" s="404">
        <v>8</v>
      </c>
      <c r="S51" s="404">
        <v>1</v>
      </c>
      <c r="T51" s="404">
        <v>4</v>
      </c>
      <c r="U51" s="404">
        <v>7</v>
      </c>
      <c r="V51" s="404">
        <v>2</v>
      </c>
      <c r="W51" s="404">
        <v>5</v>
      </c>
      <c r="X51" s="404">
        <v>3</v>
      </c>
      <c r="Y51" s="404" t="s">
        <v>1048</v>
      </c>
    </row>
    <row r="52" spans="3:25">
      <c r="C52" s="68" t="str">
        <f>'G-1 All Habitats'!B51</f>
        <v>Sparsely vegetated land - Coastal sand dunes</v>
      </c>
      <c r="D52" s="404" t="s">
        <v>1048</v>
      </c>
      <c r="E52" s="404" t="s">
        <v>1048</v>
      </c>
      <c r="F52" s="404">
        <v>5</v>
      </c>
      <c r="G52" s="404">
        <v>7</v>
      </c>
      <c r="H52" s="404">
        <v>10</v>
      </c>
      <c r="I52" s="404">
        <v>15</v>
      </c>
      <c r="J52" s="404">
        <v>20</v>
      </c>
      <c r="K52" s="404" t="s">
        <v>1048</v>
      </c>
      <c r="L52" s="404" t="s">
        <v>1048</v>
      </c>
      <c r="M52" s="404" t="s">
        <v>1048</v>
      </c>
      <c r="N52" s="404" t="s">
        <v>1048</v>
      </c>
      <c r="O52" s="404">
        <v>5</v>
      </c>
      <c r="P52" s="404">
        <v>8</v>
      </c>
      <c r="Q52" s="404">
        <v>15</v>
      </c>
      <c r="R52" s="404">
        <v>20</v>
      </c>
      <c r="S52" s="404">
        <v>5</v>
      </c>
      <c r="T52" s="404">
        <v>10</v>
      </c>
      <c r="U52" s="404">
        <v>18</v>
      </c>
      <c r="V52" s="404">
        <v>7</v>
      </c>
      <c r="W52" s="404">
        <v>12</v>
      </c>
      <c r="X52" s="404">
        <v>8</v>
      </c>
      <c r="Y52" s="404" t="s">
        <v>1048</v>
      </c>
    </row>
    <row r="53" spans="3:25">
      <c r="C53" s="68" t="str">
        <f>'G-1 All Habitats'!B52</f>
        <v>Sparsely vegetated land - Coastal vegetated shingle</v>
      </c>
      <c r="D53" s="404" t="s">
        <v>1048</v>
      </c>
      <c r="E53" s="404" t="s">
        <v>1048</v>
      </c>
      <c r="F53" s="404">
        <v>5</v>
      </c>
      <c r="G53" s="404">
        <v>7</v>
      </c>
      <c r="H53" s="404">
        <v>10</v>
      </c>
      <c r="I53" s="404">
        <v>15</v>
      </c>
      <c r="J53" s="404">
        <v>20</v>
      </c>
      <c r="K53" s="404" t="s">
        <v>1048</v>
      </c>
      <c r="L53" s="404" t="s">
        <v>1048</v>
      </c>
      <c r="M53" s="404" t="s">
        <v>1048</v>
      </c>
      <c r="N53" s="404" t="s">
        <v>1048</v>
      </c>
      <c r="O53" s="404">
        <v>5</v>
      </c>
      <c r="P53" s="404">
        <v>8</v>
      </c>
      <c r="Q53" s="404">
        <v>15</v>
      </c>
      <c r="R53" s="404">
        <v>20</v>
      </c>
      <c r="S53" s="404">
        <v>5</v>
      </c>
      <c r="T53" s="404">
        <v>10</v>
      </c>
      <c r="U53" s="404">
        <v>18</v>
      </c>
      <c r="V53" s="404">
        <v>7</v>
      </c>
      <c r="W53" s="404">
        <v>12</v>
      </c>
      <c r="X53" s="404">
        <v>8</v>
      </c>
      <c r="Y53" s="404" t="s">
        <v>1048</v>
      </c>
    </row>
    <row r="54" spans="3:25">
      <c r="C54" s="68" t="str">
        <f>'G-1 All Habitats'!B53</f>
        <v>Sparsely vegetated land - Ruderal/Ephemeral</v>
      </c>
      <c r="D54" s="404" t="s">
        <v>1048</v>
      </c>
      <c r="E54" s="404" t="s">
        <v>1048</v>
      </c>
      <c r="F54" s="404" t="s">
        <v>1048</v>
      </c>
      <c r="G54" s="404" t="s">
        <v>1048</v>
      </c>
      <c r="H54" s="404" t="s">
        <v>1048</v>
      </c>
      <c r="I54" s="404" t="s">
        <v>1048</v>
      </c>
      <c r="J54" s="404" t="s">
        <v>1048</v>
      </c>
      <c r="K54" s="404" t="s">
        <v>1048</v>
      </c>
      <c r="L54" s="404" t="s">
        <v>1048</v>
      </c>
      <c r="M54" s="404" t="s">
        <v>1048</v>
      </c>
      <c r="N54" s="404" t="s">
        <v>1048</v>
      </c>
      <c r="O54" s="404">
        <v>1</v>
      </c>
      <c r="P54" s="404">
        <v>2</v>
      </c>
      <c r="Q54" s="404">
        <v>3</v>
      </c>
      <c r="R54" s="404">
        <v>5</v>
      </c>
      <c r="S54" s="404">
        <v>1</v>
      </c>
      <c r="T54" s="404">
        <v>2</v>
      </c>
      <c r="U54" s="404">
        <v>3</v>
      </c>
      <c r="V54" s="404">
        <v>1</v>
      </c>
      <c r="W54" s="404">
        <v>2</v>
      </c>
      <c r="X54" s="404">
        <v>1</v>
      </c>
      <c r="Y54" s="404" t="s">
        <v>1048</v>
      </c>
    </row>
    <row r="55" spans="3:25">
      <c r="C55" s="68" t="s">
        <v>664</v>
      </c>
      <c r="D55" s="404" t="s">
        <v>1048</v>
      </c>
      <c r="E55" s="404" t="s">
        <v>1048</v>
      </c>
      <c r="F55" s="404" t="s">
        <v>1048</v>
      </c>
      <c r="G55" s="404" t="s">
        <v>1048</v>
      </c>
      <c r="H55" s="404" t="s">
        <v>1048</v>
      </c>
      <c r="I55" s="404" t="s">
        <v>1048</v>
      </c>
      <c r="J55" s="404" t="s">
        <v>1048</v>
      </c>
      <c r="K55" s="404" t="s">
        <v>1048</v>
      </c>
      <c r="L55" s="404" t="s">
        <v>1048</v>
      </c>
      <c r="M55" s="404" t="s">
        <v>1048</v>
      </c>
      <c r="N55" s="404" t="s">
        <v>1048</v>
      </c>
      <c r="O55" s="404">
        <v>1</v>
      </c>
      <c r="P55" s="404">
        <v>2</v>
      </c>
      <c r="Q55" s="404">
        <v>3</v>
      </c>
      <c r="R55" s="404">
        <v>5</v>
      </c>
      <c r="S55" s="404">
        <v>1</v>
      </c>
      <c r="T55" s="404">
        <v>2</v>
      </c>
      <c r="U55" s="404">
        <v>3</v>
      </c>
      <c r="V55" s="404">
        <v>1</v>
      </c>
      <c r="W55" s="404">
        <v>2</v>
      </c>
      <c r="X55" s="404">
        <v>1</v>
      </c>
      <c r="Y55" s="404" t="s">
        <v>1048</v>
      </c>
    </row>
    <row r="56" spans="3:25">
      <c r="C56" s="68" t="str">
        <f>'G-1 All Habitats'!B55</f>
        <v>Sparsely vegetated land - Inland rock outcrop and scree habitats</v>
      </c>
      <c r="D56" s="404" t="s">
        <v>1048</v>
      </c>
      <c r="E56" s="404" t="s">
        <v>1048</v>
      </c>
      <c r="F56" s="404">
        <v>10</v>
      </c>
      <c r="G56" s="404">
        <v>15</v>
      </c>
      <c r="H56" s="404">
        <v>20</v>
      </c>
      <c r="I56" s="404">
        <v>25</v>
      </c>
      <c r="J56" s="404" t="s">
        <v>1049</v>
      </c>
      <c r="K56" s="404" t="s">
        <v>1048</v>
      </c>
      <c r="L56" s="404" t="s">
        <v>1048</v>
      </c>
      <c r="M56" s="404" t="s">
        <v>1048</v>
      </c>
      <c r="N56" s="404" t="s">
        <v>1048</v>
      </c>
      <c r="O56" s="404">
        <v>10</v>
      </c>
      <c r="P56" s="404">
        <v>15</v>
      </c>
      <c r="Q56" s="404">
        <v>25</v>
      </c>
      <c r="R56" s="404" t="s">
        <v>1049</v>
      </c>
      <c r="S56" s="404">
        <v>20</v>
      </c>
      <c r="T56" s="404">
        <v>25</v>
      </c>
      <c r="U56" s="404">
        <v>27</v>
      </c>
      <c r="V56" s="404">
        <v>15</v>
      </c>
      <c r="W56" s="404">
        <v>20</v>
      </c>
      <c r="X56" s="404">
        <v>15</v>
      </c>
      <c r="Y56" s="404" t="s">
        <v>1048</v>
      </c>
    </row>
    <row r="57" spans="3:25">
      <c r="C57" s="68" t="str">
        <f>'G-1 All Habitats'!B56</f>
        <v>Sparsely vegetated land - Limestone pavement</v>
      </c>
      <c r="D57" s="404" t="s">
        <v>1048</v>
      </c>
      <c r="E57" s="404" t="s">
        <v>1048</v>
      </c>
      <c r="F57" s="404" t="s">
        <v>1049</v>
      </c>
      <c r="G57" s="404" t="s">
        <v>1049</v>
      </c>
      <c r="H57" s="404" t="s">
        <v>1049</v>
      </c>
      <c r="I57" s="404" t="s">
        <v>1049</v>
      </c>
      <c r="J57" s="404" t="s">
        <v>1049</v>
      </c>
      <c r="K57" s="404" t="s">
        <v>1048</v>
      </c>
      <c r="L57" s="404" t="s">
        <v>1048</v>
      </c>
      <c r="M57" s="404" t="s">
        <v>1048</v>
      </c>
      <c r="N57" s="404" t="s">
        <v>1048</v>
      </c>
      <c r="O57" s="404">
        <v>5</v>
      </c>
      <c r="P57" s="404">
        <v>10</v>
      </c>
      <c r="Q57" s="404">
        <v>15</v>
      </c>
      <c r="R57" s="404">
        <v>20</v>
      </c>
      <c r="S57" s="404">
        <v>5</v>
      </c>
      <c r="T57" s="404">
        <v>10</v>
      </c>
      <c r="U57" s="404">
        <v>15</v>
      </c>
      <c r="V57" s="404">
        <v>5</v>
      </c>
      <c r="W57" s="404">
        <v>10</v>
      </c>
      <c r="X57" s="404">
        <v>5</v>
      </c>
      <c r="Y57" s="404" t="s">
        <v>1048</v>
      </c>
    </row>
    <row r="58" spans="3:25">
      <c r="C58" s="68" t="str">
        <f>'G-1 All Habitats'!B57</f>
        <v>Sparsely vegetated land - Maritime cliff and slopes</v>
      </c>
      <c r="D58" s="404" t="s">
        <v>1048</v>
      </c>
      <c r="E58" s="404" t="s">
        <v>1048</v>
      </c>
      <c r="F58" s="404">
        <v>10</v>
      </c>
      <c r="G58" s="404">
        <v>15</v>
      </c>
      <c r="H58" s="404">
        <v>20</v>
      </c>
      <c r="I58" s="404">
        <v>25</v>
      </c>
      <c r="J58" s="404" t="s">
        <v>1049</v>
      </c>
      <c r="K58" s="404" t="s">
        <v>1048</v>
      </c>
      <c r="L58" s="404" t="s">
        <v>1048</v>
      </c>
      <c r="M58" s="404" t="s">
        <v>1048</v>
      </c>
      <c r="N58" s="404" t="s">
        <v>1048</v>
      </c>
      <c r="O58" s="404">
        <v>5</v>
      </c>
      <c r="P58" s="404">
        <v>8</v>
      </c>
      <c r="Q58" s="404">
        <v>15</v>
      </c>
      <c r="R58" s="404">
        <v>20</v>
      </c>
      <c r="S58" s="404">
        <v>5</v>
      </c>
      <c r="T58" s="404">
        <v>10</v>
      </c>
      <c r="U58" s="404">
        <v>18</v>
      </c>
      <c r="V58" s="404">
        <v>7</v>
      </c>
      <c r="W58" s="404">
        <v>12</v>
      </c>
      <c r="X58" s="404">
        <v>8</v>
      </c>
      <c r="Y58" s="404" t="s">
        <v>1048</v>
      </c>
    </row>
    <row r="59" spans="3:25">
      <c r="C59" s="68" t="str">
        <f>'G-1 All Habitats'!B58</f>
        <v>Sparsely vegetated land - Other inland rock and scree</v>
      </c>
      <c r="D59" s="404" t="s">
        <v>1048</v>
      </c>
      <c r="E59" s="404" t="s">
        <v>1048</v>
      </c>
      <c r="F59" s="404">
        <v>3</v>
      </c>
      <c r="G59" s="404">
        <v>5</v>
      </c>
      <c r="H59" s="404">
        <v>10</v>
      </c>
      <c r="I59" s="404">
        <v>15</v>
      </c>
      <c r="J59" s="404">
        <v>20</v>
      </c>
      <c r="K59" s="404" t="s">
        <v>1048</v>
      </c>
      <c r="L59" s="404" t="s">
        <v>1048</v>
      </c>
      <c r="M59" s="404" t="s">
        <v>1048</v>
      </c>
      <c r="N59" s="404" t="s">
        <v>1048</v>
      </c>
      <c r="O59" s="404">
        <v>5</v>
      </c>
      <c r="P59" s="404">
        <v>10</v>
      </c>
      <c r="Q59" s="404">
        <v>15</v>
      </c>
      <c r="R59" s="404">
        <v>20</v>
      </c>
      <c r="S59" s="404">
        <v>5</v>
      </c>
      <c r="T59" s="404">
        <v>10</v>
      </c>
      <c r="U59" s="404">
        <v>15</v>
      </c>
      <c r="V59" s="404">
        <v>5</v>
      </c>
      <c r="W59" s="404">
        <v>10</v>
      </c>
      <c r="X59" s="404">
        <v>5</v>
      </c>
      <c r="Y59" s="404" t="s">
        <v>1048</v>
      </c>
    </row>
    <row r="60" spans="3:25">
      <c r="C60" s="68" t="str">
        <f>'G-1 All Habitats'!B59</f>
        <v>Urban - Allotments</v>
      </c>
      <c r="D60" s="404" t="s">
        <v>1048</v>
      </c>
      <c r="E60" s="404" t="s">
        <v>1048</v>
      </c>
      <c r="F60" s="404">
        <v>1</v>
      </c>
      <c r="G60" s="404">
        <v>1</v>
      </c>
      <c r="H60" s="404">
        <v>1</v>
      </c>
      <c r="I60" s="404">
        <v>1</v>
      </c>
      <c r="J60" s="404">
        <v>1</v>
      </c>
      <c r="K60" s="404" t="s">
        <v>1048</v>
      </c>
      <c r="L60" s="404" t="s">
        <v>1048</v>
      </c>
      <c r="M60" s="404" t="s">
        <v>1048</v>
      </c>
      <c r="N60" s="404" t="s">
        <v>1048</v>
      </c>
      <c r="O60" s="404">
        <v>1</v>
      </c>
      <c r="P60" s="404">
        <v>1</v>
      </c>
      <c r="Q60" s="404">
        <v>1</v>
      </c>
      <c r="R60" s="404">
        <v>1</v>
      </c>
      <c r="S60" s="404">
        <v>1</v>
      </c>
      <c r="T60" s="404">
        <v>1</v>
      </c>
      <c r="U60" s="404">
        <v>1</v>
      </c>
      <c r="V60" s="404">
        <v>1</v>
      </c>
      <c r="W60" s="404">
        <v>1</v>
      </c>
      <c r="X60" s="404">
        <v>1</v>
      </c>
      <c r="Y60" s="404" t="s">
        <v>1048</v>
      </c>
    </row>
    <row r="61" spans="3:25">
      <c r="C61" s="68" t="str">
        <f>'G-1 All Habitats'!B40</f>
        <v>Lakes - Ornamental lake or pond</v>
      </c>
      <c r="D61" s="404" t="s">
        <v>1048</v>
      </c>
      <c r="E61" s="404" t="s">
        <v>1048</v>
      </c>
      <c r="F61" s="404">
        <v>1</v>
      </c>
      <c r="G61" s="404">
        <v>2</v>
      </c>
      <c r="H61" s="404">
        <v>3</v>
      </c>
      <c r="I61" s="404">
        <v>4</v>
      </c>
      <c r="J61" s="404">
        <v>5</v>
      </c>
      <c r="K61" s="404" t="s">
        <v>1048</v>
      </c>
      <c r="L61" s="404" t="s">
        <v>1048</v>
      </c>
      <c r="M61" s="404" t="s">
        <v>1048</v>
      </c>
      <c r="N61" s="404" t="s">
        <v>1048</v>
      </c>
      <c r="O61" s="404">
        <v>2</v>
      </c>
      <c r="P61" s="404">
        <v>4</v>
      </c>
      <c r="Q61" s="404">
        <v>6</v>
      </c>
      <c r="R61" s="404">
        <v>8</v>
      </c>
      <c r="S61" s="404">
        <v>2</v>
      </c>
      <c r="T61" s="404">
        <v>4</v>
      </c>
      <c r="U61" s="404">
        <v>6</v>
      </c>
      <c r="V61" s="404">
        <v>2</v>
      </c>
      <c r="W61" s="404">
        <v>4</v>
      </c>
      <c r="X61" s="404">
        <v>2</v>
      </c>
      <c r="Y61" s="404" t="s">
        <v>1048</v>
      </c>
    </row>
    <row r="62" spans="3:25">
      <c r="C62" s="68" t="str">
        <f>'G-1 All Habitats'!B60</f>
        <v>Urban - Artificial unvegetated, unsealed surface</v>
      </c>
      <c r="D62" s="404" t="s">
        <v>1048</v>
      </c>
      <c r="E62" s="404" t="s">
        <v>1048</v>
      </c>
      <c r="F62" s="404" t="s">
        <v>1048</v>
      </c>
      <c r="G62" s="404" t="s">
        <v>1048</v>
      </c>
      <c r="H62" s="404" t="s">
        <v>1048</v>
      </c>
      <c r="I62" s="404" t="s">
        <v>1048</v>
      </c>
      <c r="J62" s="404" t="s">
        <v>1048</v>
      </c>
      <c r="K62" s="404" t="s">
        <v>1048</v>
      </c>
      <c r="L62" s="404" t="s">
        <v>1048</v>
      </c>
      <c r="M62" s="404" t="s">
        <v>1048</v>
      </c>
      <c r="N62" s="404" t="s">
        <v>1048</v>
      </c>
      <c r="O62" s="404" t="s">
        <v>1048</v>
      </c>
      <c r="P62" s="404" t="s">
        <v>1048</v>
      </c>
      <c r="Q62" s="404" t="s">
        <v>1048</v>
      </c>
      <c r="R62" s="404" t="s">
        <v>1048</v>
      </c>
      <c r="S62" s="404" t="s">
        <v>1048</v>
      </c>
      <c r="T62" s="404" t="s">
        <v>1048</v>
      </c>
      <c r="U62" s="404" t="s">
        <v>1048</v>
      </c>
      <c r="V62" s="404" t="s">
        <v>1048</v>
      </c>
      <c r="W62" s="404" t="s">
        <v>1048</v>
      </c>
      <c r="X62" s="404" t="s">
        <v>1048</v>
      </c>
      <c r="Y62" s="404" t="s">
        <v>1048</v>
      </c>
    </row>
    <row r="63" spans="3:25">
      <c r="C63" s="68" t="str">
        <f>'G-1 All Habitats'!B61</f>
        <v>Urban - Bioswale</v>
      </c>
      <c r="D63" s="404" t="s">
        <v>1048</v>
      </c>
      <c r="E63" s="404" t="s">
        <v>1048</v>
      </c>
      <c r="F63" s="404">
        <v>1</v>
      </c>
      <c r="G63" s="404">
        <v>1</v>
      </c>
      <c r="H63" s="404">
        <v>1</v>
      </c>
      <c r="I63" s="404">
        <v>2</v>
      </c>
      <c r="J63" s="404">
        <v>3</v>
      </c>
      <c r="K63" s="404" t="s">
        <v>1048</v>
      </c>
      <c r="L63" s="404" t="s">
        <v>1048</v>
      </c>
      <c r="M63" s="404" t="s">
        <v>1048</v>
      </c>
      <c r="N63" s="404" t="s">
        <v>1048</v>
      </c>
      <c r="O63" s="404">
        <v>1</v>
      </c>
      <c r="P63" s="404">
        <v>2</v>
      </c>
      <c r="Q63" s="404">
        <v>2</v>
      </c>
      <c r="R63" s="404">
        <v>3</v>
      </c>
      <c r="S63" s="404">
        <v>1</v>
      </c>
      <c r="T63" s="404">
        <v>3</v>
      </c>
      <c r="U63" s="404">
        <v>3</v>
      </c>
      <c r="V63" s="404">
        <v>2</v>
      </c>
      <c r="W63" s="404">
        <v>2</v>
      </c>
      <c r="X63" s="404">
        <v>2</v>
      </c>
      <c r="Y63" s="404" t="s">
        <v>1048</v>
      </c>
    </row>
    <row r="64" spans="3:25">
      <c r="C64" s="68" t="str">
        <f>'G-1 All Habitats'!B62</f>
        <v>Urban - Intensive green roof</v>
      </c>
      <c r="D64" s="404" t="s">
        <v>1048</v>
      </c>
      <c r="E64" s="404" t="s">
        <v>1048</v>
      </c>
      <c r="F64" s="404">
        <v>1</v>
      </c>
      <c r="G64" s="404">
        <v>2</v>
      </c>
      <c r="H64" s="404">
        <v>3</v>
      </c>
      <c r="I64" s="404">
        <v>4</v>
      </c>
      <c r="J64" s="404">
        <v>5</v>
      </c>
      <c r="K64" s="404" t="s">
        <v>1048</v>
      </c>
      <c r="L64" s="404" t="s">
        <v>1048</v>
      </c>
      <c r="M64" s="404" t="s">
        <v>1048</v>
      </c>
      <c r="N64" s="404" t="s">
        <v>1048</v>
      </c>
      <c r="O64" s="404">
        <v>1</v>
      </c>
      <c r="P64" s="404">
        <v>2</v>
      </c>
      <c r="Q64" s="404">
        <v>3</v>
      </c>
      <c r="R64" s="404">
        <v>5</v>
      </c>
      <c r="S64" s="404">
        <v>1</v>
      </c>
      <c r="T64" s="404">
        <v>2</v>
      </c>
      <c r="U64" s="404">
        <v>3</v>
      </c>
      <c r="V64" s="404">
        <v>1</v>
      </c>
      <c r="W64" s="404">
        <v>2</v>
      </c>
      <c r="X64" s="404">
        <v>1</v>
      </c>
      <c r="Y64" s="404" t="s">
        <v>1048</v>
      </c>
    </row>
    <row r="65" spans="3:25">
      <c r="C65" s="68" t="str">
        <f>'G-1 All Habitats'!B63</f>
        <v>Urban - Built linear features</v>
      </c>
      <c r="D65" s="404" t="s">
        <v>1048</v>
      </c>
      <c r="E65" s="404" t="s">
        <v>1048</v>
      </c>
      <c r="F65" s="404" t="s">
        <v>1048</v>
      </c>
      <c r="G65" s="404" t="s">
        <v>1048</v>
      </c>
      <c r="H65" s="404" t="s">
        <v>1048</v>
      </c>
      <c r="I65" s="404" t="s">
        <v>1048</v>
      </c>
      <c r="J65" s="404" t="s">
        <v>1048</v>
      </c>
      <c r="K65" s="404" t="s">
        <v>1048</v>
      </c>
      <c r="L65" s="404" t="s">
        <v>1048</v>
      </c>
      <c r="M65" s="404" t="s">
        <v>1048</v>
      </c>
      <c r="N65" s="404" t="s">
        <v>1048</v>
      </c>
      <c r="O65" s="404" t="s">
        <v>1048</v>
      </c>
      <c r="P65" s="404" t="s">
        <v>1048</v>
      </c>
      <c r="Q65" s="404" t="s">
        <v>1048</v>
      </c>
      <c r="R65" s="404" t="s">
        <v>1048</v>
      </c>
      <c r="S65" s="404" t="s">
        <v>1048</v>
      </c>
      <c r="T65" s="404" t="s">
        <v>1048</v>
      </c>
      <c r="U65" s="404" t="s">
        <v>1048</v>
      </c>
      <c r="V65" s="404" t="s">
        <v>1048</v>
      </c>
      <c r="W65" s="404" t="s">
        <v>1048</v>
      </c>
      <c r="X65" s="404" t="s">
        <v>1048</v>
      </c>
      <c r="Y65" s="404" t="s">
        <v>1048</v>
      </c>
    </row>
    <row r="66" spans="3:25">
      <c r="C66" s="68" t="str">
        <f>'G-1 All Habitats'!B64</f>
        <v>Urban - Cemeteries and churchyards</v>
      </c>
      <c r="D66" s="404" t="s">
        <v>1048</v>
      </c>
      <c r="E66" s="404" t="s">
        <v>1048</v>
      </c>
      <c r="F66" s="404">
        <v>10</v>
      </c>
      <c r="G66" s="404">
        <v>12</v>
      </c>
      <c r="H66" s="404">
        <v>15</v>
      </c>
      <c r="I66" s="404">
        <v>17</v>
      </c>
      <c r="J66" s="404">
        <v>20</v>
      </c>
      <c r="K66" s="404" t="s">
        <v>1048</v>
      </c>
      <c r="L66" s="404" t="s">
        <v>1048</v>
      </c>
      <c r="M66" s="404" t="s">
        <v>1048</v>
      </c>
      <c r="N66" s="404" t="s">
        <v>1048</v>
      </c>
      <c r="O66" s="404">
        <v>5</v>
      </c>
      <c r="P66" s="404">
        <v>10</v>
      </c>
      <c r="Q66" s="404">
        <v>15</v>
      </c>
      <c r="R66" s="404">
        <v>20</v>
      </c>
      <c r="S66" s="404">
        <v>10</v>
      </c>
      <c r="T66" s="404">
        <v>15</v>
      </c>
      <c r="U66" s="404">
        <v>20</v>
      </c>
      <c r="V66" s="404">
        <v>10</v>
      </c>
      <c r="W66" s="404">
        <v>15</v>
      </c>
      <c r="X66" s="404">
        <v>5</v>
      </c>
      <c r="Y66" s="404" t="s">
        <v>1048</v>
      </c>
    </row>
    <row r="67" spans="3:25">
      <c r="C67" s="68" t="str">
        <f>'G-1 All Habitats'!B65</f>
        <v>Urban - Developed land; sealed surface</v>
      </c>
      <c r="D67" s="404" t="s">
        <v>1048</v>
      </c>
      <c r="E67" s="404" t="s">
        <v>1048</v>
      </c>
      <c r="F67" s="404" t="s">
        <v>1048</v>
      </c>
      <c r="G67" s="404" t="s">
        <v>1048</v>
      </c>
      <c r="H67" s="404" t="s">
        <v>1048</v>
      </c>
      <c r="I67" s="404" t="s">
        <v>1048</v>
      </c>
      <c r="J67" s="404" t="s">
        <v>1048</v>
      </c>
      <c r="K67" s="404" t="s">
        <v>1048</v>
      </c>
      <c r="L67" s="404" t="s">
        <v>1048</v>
      </c>
      <c r="M67" s="404" t="s">
        <v>1048</v>
      </c>
      <c r="N67" s="404" t="s">
        <v>1048</v>
      </c>
      <c r="O67" s="404" t="s">
        <v>1048</v>
      </c>
      <c r="P67" s="404" t="s">
        <v>1048</v>
      </c>
      <c r="Q67" s="404" t="s">
        <v>1048</v>
      </c>
      <c r="R67" s="404" t="s">
        <v>1048</v>
      </c>
      <c r="S67" s="404" t="s">
        <v>1048</v>
      </c>
      <c r="T67" s="404" t="s">
        <v>1048</v>
      </c>
      <c r="U67" s="404" t="s">
        <v>1048</v>
      </c>
      <c r="V67" s="404" t="s">
        <v>1048</v>
      </c>
      <c r="W67" s="404" t="s">
        <v>1048</v>
      </c>
      <c r="X67" s="404" t="s">
        <v>1048</v>
      </c>
      <c r="Y67" s="404" t="s">
        <v>1048</v>
      </c>
    </row>
    <row r="68" spans="3:25">
      <c r="C68" s="68" t="str">
        <f>'G-1 All Habitats'!B66</f>
        <v>Urban - Other green roof</v>
      </c>
      <c r="D68" s="404" t="s">
        <v>1048</v>
      </c>
      <c r="E68" s="404" t="s">
        <v>1048</v>
      </c>
      <c r="F68" s="404" t="s">
        <v>1048</v>
      </c>
      <c r="G68" s="404" t="s">
        <v>1048</v>
      </c>
      <c r="H68" s="404" t="s">
        <v>1048</v>
      </c>
      <c r="I68" s="404" t="s">
        <v>1048</v>
      </c>
      <c r="J68" s="404" t="s">
        <v>1048</v>
      </c>
      <c r="K68" s="404" t="s">
        <v>1048</v>
      </c>
      <c r="L68" s="404" t="s">
        <v>1048</v>
      </c>
      <c r="M68" s="404" t="s">
        <v>1048</v>
      </c>
      <c r="N68" s="404" t="s">
        <v>1048</v>
      </c>
      <c r="O68" s="404" t="s">
        <v>1048</v>
      </c>
      <c r="P68" s="404" t="s">
        <v>1048</v>
      </c>
      <c r="Q68" s="404" t="s">
        <v>1048</v>
      </c>
      <c r="R68" s="404" t="s">
        <v>1048</v>
      </c>
      <c r="S68" s="404" t="s">
        <v>1048</v>
      </c>
      <c r="T68" s="404" t="s">
        <v>1048</v>
      </c>
      <c r="U68" s="404" t="s">
        <v>1048</v>
      </c>
      <c r="V68" s="404" t="s">
        <v>1048</v>
      </c>
      <c r="W68" s="404" t="s">
        <v>1048</v>
      </c>
      <c r="X68" s="404" t="s">
        <v>1048</v>
      </c>
      <c r="Y68" s="404" t="s">
        <v>1048</v>
      </c>
    </row>
    <row r="69" spans="3:25">
      <c r="C69" s="68" t="str">
        <f>'G-1 All Habitats'!B67</f>
        <v>Urban - Facade-bound green wall</v>
      </c>
      <c r="D69" s="404" t="s">
        <v>1048</v>
      </c>
      <c r="E69" s="404" t="s">
        <v>1048</v>
      </c>
      <c r="F69" s="404">
        <v>1</v>
      </c>
      <c r="G69" s="404">
        <v>2</v>
      </c>
      <c r="H69" s="404">
        <v>3</v>
      </c>
      <c r="I69" s="404">
        <v>4</v>
      </c>
      <c r="J69" s="404">
        <v>5</v>
      </c>
      <c r="K69" s="404" t="s">
        <v>1048</v>
      </c>
      <c r="L69" s="404" t="s">
        <v>1048</v>
      </c>
      <c r="M69" s="404" t="s">
        <v>1048</v>
      </c>
      <c r="N69" s="404" t="s">
        <v>1048</v>
      </c>
      <c r="O69" s="404">
        <v>1</v>
      </c>
      <c r="P69" s="404">
        <v>2</v>
      </c>
      <c r="Q69" s="404">
        <v>3</v>
      </c>
      <c r="R69" s="404">
        <v>5</v>
      </c>
      <c r="S69" s="404">
        <v>1</v>
      </c>
      <c r="T69" s="404">
        <v>2</v>
      </c>
      <c r="U69" s="404">
        <v>3</v>
      </c>
      <c r="V69" s="404">
        <v>1</v>
      </c>
      <c r="W69" s="404">
        <v>2</v>
      </c>
      <c r="X69" s="404">
        <v>1</v>
      </c>
      <c r="Y69" s="404" t="s">
        <v>1048</v>
      </c>
    </row>
    <row r="70" spans="3:25">
      <c r="C70" s="68" t="str">
        <f>'G-1 All Habitats'!B68</f>
        <v>Urban - Ground based green wall</v>
      </c>
      <c r="D70" s="404" t="s">
        <v>1048</v>
      </c>
      <c r="E70" s="404" t="s">
        <v>1048</v>
      </c>
      <c r="F70" s="404">
        <v>1</v>
      </c>
      <c r="G70" s="404">
        <v>2</v>
      </c>
      <c r="H70" s="404">
        <v>3</v>
      </c>
      <c r="I70" s="404">
        <v>4</v>
      </c>
      <c r="J70" s="404">
        <v>5</v>
      </c>
      <c r="K70" s="404" t="s">
        <v>1048</v>
      </c>
      <c r="L70" s="404" t="s">
        <v>1048</v>
      </c>
      <c r="M70" s="404" t="s">
        <v>1048</v>
      </c>
      <c r="N70" s="404" t="s">
        <v>1048</v>
      </c>
      <c r="O70" s="404">
        <v>1</v>
      </c>
      <c r="P70" s="404">
        <v>2</v>
      </c>
      <c r="Q70" s="404">
        <v>3</v>
      </c>
      <c r="R70" s="404">
        <v>5</v>
      </c>
      <c r="S70" s="404">
        <v>1</v>
      </c>
      <c r="T70" s="404">
        <v>2</v>
      </c>
      <c r="U70" s="404">
        <v>3</v>
      </c>
      <c r="V70" s="404">
        <v>1</v>
      </c>
      <c r="W70" s="404">
        <v>2</v>
      </c>
      <c r="X70" s="404">
        <v>1</v>
      </c>
      <c r="Y70" s="404" t="s">
        <v>1048</v>
      </c>
    </row>
    <row r="71" spans="3:25">
      <c r="C71" s="68" t="str">
        <f>'G-1 All Habitats'!B69</f>
        <v>Urban - Ground level planters</v>
      </c>
      <c r="D71" s="404" t="s">
        <v>1048</v>
      </c>
      <c r="E71" s="404" t="s">
        <v>1048</v>
      </c>
      <c r="F71" s="404" t="s">
        <v>1048</v>
      </c>
      <c r="G71" s="404" t="s">
        <v>1048</v>
      </c>
      <c r="H71" s="404" t="s">
        <v>1048</v>
      </c>
      <c r="I71" s="404" t="s">
        <v>1048</v>
      </c>
      <c r="J71" s="404" t="s">
        <v>1048</v>
      </c>
      <c r="K71" s="404" t="s">
        <v>1048</v>
      </c>
      <c r="L71" s="404" t="s">
        <v>1048</v>
      </c>
      <c r="M71" s="404" t="s">
        <v>1048</v>
      </c>
      <c r="N71" s="404" t="s">
        <v>1048</v>
      </c>
      <c r="O71" s="404" t="s">
        <v>1048</v>
      </c>
      <c r="P71" s="404" t="s">
        <v>1048</v>
      </c>
      <c r="Q71" s="404" t="s">
        <v>1048</v>
      </c>
      <c r="R71" s="404" t="s">
        <v>1048</v>
      </c>
      <c r="S71" s="404" t="s">
        <v>1048</v>
      </c>
      <c r="T71" s="404" t="s">
        <v>1048</v>
      </c>
      <c r="U71" s="404" t="s">
        <v>1048</v>
      </c>
      <c r="V71" s="404" t="s">
        <v>1048</v>
      </c>
      <c r="W71" s="404" t="s">
        <v>1048</v>
      </c>
      <c r="X71" s="404" t="s">
        <v>1048</v>
      </c>
      <c r="Y71" s="404" t="s">
        <v>1048</v>
      </c>
    </row>
    <row r="72" spans="3:25">
      <c r="C72" s="68" t="str">
        <f>'G-1 All Habitats'!B70</f>
        <v>Urban - Biodiverse green roof</v>
      </c>
      <c r="D72" s="404" t="s">
        <v>1048</v>
      </c>
      <c r="E72" s="404" t="s">
        <v>1048</v>
      </c>
      <c r="F72" s="404">
        <v>1</v>
      </c>
      <c r="G72" s="404">
        <v>3</v>
      </c>
      <c r="H72" s="404">
        <v>5</v>
      </c>
      <c r="I72" s="404">
        <v>8</v>
      </c>
      <c r="J72" s="404">
        <v>10</v>
      </c>
      <c r="K72" s="404" t="s">
        <v>1048</v>
      </c>
      <c r="L72" s="404" t="s">
        <v>1048</v>
      </c>
      <c r="M72" s="404" t="s">
        <v>1048</v>
      </c>
      <c r="N72" s="404" t="s">
        <v>1048</v>
      </c>
      <c r="O72" s="404">
        <v>3</v>
      </c>
      <c r="P72" s="404">
        <v>5</v>
      </c>
      <c r="Q72" s="404">
        <v>8</v>
      </c>
      <c r="R72" s="404">
        <v>10</v>
      </c>
      <c r="S72" s="404">
        <v>3</v>
      </c>
      <c r="T72" s="404">
        <v>8</v>
      </c>
      <c r="U72" s="404">
        <v>8</v>
      </c>
      <c r="V72" s="404">
        <v>3</v>
      </c>
      <c r="W72" s="404">
        <v>5</v>
      </c>
      <c r="X72" s="404">
        <v>2</v>
      </c>
      <c r="Y72" s="404" t="s">
        <v>1048</v>
      </c>
    </row>
    <row r="73" spans="3:25">
      <c r="C73" s="68" t="str">
        <f>'G-1 All Habitats'!B71</f>
        <v>Urban - Introduced shrub</v>
      </c>
      <c r="D73" s="404" t="s">
        <v>1048</v>
      </c>
      <c r="E73" s="404" t="s">
        <v>1048</v>
      </c>
      <c r="F73" s="404" t="s">
        <v>1048</v>
      </c>
      <c r="G73" s="404" t="s">
        <v>1048</v>
      </c>
      <c r="H73" s="404" t="s">
        <v>1048</v>
      </c>
      <c r="I73" s="404" t="s">
        <v>1048</v>
      </c>
      <c r="J73" s="404" t="s">
        <v>1048</v>
      </c>
      <c r="K73" s="404" t="s">
        <v>1048</v>
      </c>
      <c r="L73" s="404" t="s">
        <v>1048</v>
      </c>
      <c r="M73" s="404" t="s">
        <v>1048</v>
      </c>
      <c r="N73" s="404" t="s">
        <v>1048</v>
      </c>
      <c r="O73" s="404" t="s">
        <v>1048</v>
      </c>
      <c r="P73" s="404" t="s">
        <v>1048</v>
      </c>
      <c r="Q73" s="404" t="s">
        <v>1048</v>
      </c>
      <c r="R73" s="404" t="s">
        <v>1048</v>
      </c>
      <c r="S73" s="404" t="s">
        <v>1048</v>
      </c>
      <c r="T73" s="404" t="s">
        <v>1048</v>
      </c>
      <c r="U73" s="404" t="s">
        <v>1048</v>
      </c>
      <c r="V73" s="404" t="s">
        <v>1048</v>
      </c>
      <c r="W73" s="404" t="s">
        <v>1048</v>
      </c>
      <c r="X73" s="404" t="s">
        <v>1048</v>
      </c>
      <c r="Y73" s="404" t="s">
        <v>1048</v>
      </c>
    </row>
    <row r="74" spans="3:25">
      <c r="C74" s="68" t="str">
        <f>'G-1 All Habitats'!B72</f>
        <v>Urban - Open mosaic habitats on previously developed land</v>
      </c>
      <c r="D74" s="404" t="s">
        <v>1048</v>
      </c>
      <c r="E74" s="404" t="s">
        <v>1048</v>
      </c>
      <c r="F74" s="404">
        <v>0</v>
      </c>
      <c r="G74" s="404">
        <v>2</v>
      </c>
      <c r="H74" s="404">
        <v>4</v>
      </c>
      <c r="I74" s="404">
        <v>7</v>
      </c>
      <c r="J74" s="404">
        <v>10</v>
      </c>
      <c r="K74" s="404" t="s">
        <v>1048</v>
      </c>
      <c r="L74" s="404" t="s">
        <v>1048</v>
      </c>
      <c r="M74" s="404" t="s">
        <v>1048</v>
      </c>
      <c r="N74" s="404" t="s">
        <v>1048</v>
      </c>
      <c r="O74" s="404">
        <v>2</v>
      </c>
      <c r="P74" s="404">
        <v>4</v>
      </c>
      <c r="Q74" s="404">
        <v>7</v>
      </c>
      <c r="R74" s="404">
        <v>10</v>
      </c>
      <c r="S74" s="404">
        <v>2</v>
      </c>
      <c r="T74" s="404">
        <v>5</v>
      </c>
      <c r="U74" s="404">
        <v>8</v>
      </c>
      <c r="V74" s="404">
        <v>3</v>
      </c>
      <c r="W74" s="404">
        <v>4</v>
      </c>
      <c r="X74" s="404">
        <v>3</v>
      </c>
      <c r="Y74" s="404" t="s">
        <v>1048</v>
      </c>
    </row>
    <row r="75" spans="3:25">
      <c r="C75" s="68" t="str">
        <f>'G-1 All Habitats'!B73</f>
        <v>Urban - Rain garden</v>
      </c>
      <c r="D75" s="404" t="s">
        <v>1048</v>
      </c>
      <c r="E75" s="404" t="s">
        <v>1048</v>
      </c>
      <c r="F75" s="404">
        <v>1</v>
      </c>
      <c r="G75" s="404">
        <v>1</v>
      </c>
      <c r="H75" s="404">
        <v>1</v>
      </c>
      <c r="I75" s="404">
        <v>1</v>
      </c>
      <c r="J75" s="404">
        <v>1</v>
      </c>
      <c r="K75" s="404" t="s">
        <v>1048</v>
      </c>
      <c r="L75" s="404" t="s">
        <v>1048</v>
      </c>
      <c r="M75" s="404" t="s">
        <v>1048</v>
      </c>
      <c r="N75" s="404" t="s">
        <v>1048</v>
      </c>
      <c r="O75" s="404">
        <v>1</v>
      </c>
      <c r="P75" s="404">
        <v>1</v>
      </c>
      <c r="Q75" s="404">
        <v>1</v>
      </c>
      <c r="R75" s="404">
        <v>1</v>
      </c>
      <c r="S75" s="404">
        <v>1</v>
      </c>
      <c r="T75" s="404">
        <v>1</v>
      </c>
      <c r="U75" s="404">
        <v>1</v>
      </c>
      <c r="V75" s="404">
        <v>1</v>
      </c>
      <c r="W75" s="404">
        <v>1</v>
      </c>
      <c r="X75" s="404">
        <v>1</v>
      </c>
      <c r="Y75" s="404" t="s">
        <v>1048</v>
      </c>
    </row>
    <row r="76" spans="3:25">
      <c r="C76" s="68" t="str">
        <f>'G-1 All Habitats'!B74</f>
        <v>Urban - Actively worked sand pit quarry or open cast mine</v>
      </c>
      <c r="D76" s="404" t="s">
        <v>1048</v>
      </c>
      <c r="E76" s="404" t="s">
        <v>1048</v>
      </c>
      <c r="F76" s="404">
        <v>1</v>
      </c>
      <c r="G76" s="404" t="s">
        <v>1048</v>
      </c>
      <c r="H76" s="404" t="s">
        <v>1048</v>
      </c>
      <c r="I76" s="404" t="s">
        <v>1048</v>
      </c>
      <c r="J76" s="404" t="s">
        <v>1048</v>
      </c>
      <c r="K76" s="404" t="s">
        <v>1048</v>
      </c>
      <c r="L76" s="404" t="s">
        <v>1048</v>
      </c>
      <c r="M76" s="404" t="s">
        <v>1048</v>
      </c>
      <c r="N76" s="404" t="s">
        <v>1048</v>
      </c>
      <c r="O76" s="404" t="s">
        <v>1048</v>
      </c>
      <c r="P76" s="404" t="s">
        <v>1048</v>
      </c>
      <c r="Q76" s="404" t="s">
        <v>1048</v>
      </c>
      <c r="R76" s="404" t="s">
        <v>1048</v>
      </c>
      <c r="S76" s="404" t="s">
        <v>1048</v>
      </c>
      <c r="T76" s="404" t="s">
        <v>1048</v>
      </c>
      <c r="U76" s="404" t="s">
        <v>1048</v>
      </c>
      <c r="V76" s="404" t="s">
        <v>1048</v>
      </c>
      <c r="W76" s="404" t="s">
        <v>1048</v>
      </c>
      <c r="X76" s="404" t="s">
        <v>1048</v>
      </c>
      <c r="Y76" s="404" t="s">
        <v>1048</v>
      </c>
    </row>
    <row r="77" spans="3:25">
      <c r="C77" s="68" t="str">
        <f>'G-1 All Habitats'!B80</f>
        <v>Individual trees - Urban tree</v>
      </c>
      <c r="D77" s="404" t="s">
        <v>1048</v>
      </c>
      <c r="E77" s="404" t="s">
        <v>1048</v>
      </c>
      <c r="F77" s="404" t="s">
        <v>1048</v>
      </c>
      <c r="G77" s="404" t="s">
        <v>1048</v>
      </c>
      <c r="H77" s="404" t="s">
        <v>1048</v>
      </c>
      <c r="I77" s="404" t="s">
        <v>1048</v>
      </c>
      <c r="J77" s="404" t="s">
        <v>1048</v>
      </c>
      <c r="K77" s="404" t="s">
        <v>1048</v>
      </c>
      <c r="L77" s="404" t="s">
        <v>1048</v>
      </c>
      <c r="M77" s="404" t="s">
        <v>1048</v>
      </c>
      <c r="N77" s="404" t="s">
        <v>1048</v>
      </c>
      <c r="O77" s="404">
        <v>8</v>
      </c>
      <c r="P77" s="404">
        <v>16</v>
      </c>
      <c r="Q77" s="404">
        <v>24</v>
      </c>
      <c r="R77" s="404" t="s">
        <v>1049</v>
      </c>
      <c r="S77" s="404">
        <v>8</v>
      </c>
      <c r="T77" s="404">
        <v>16</v>
      </c>
      <c r="U77" s="404">
        <v>24</v>
      </c>
      <c r="V77" s="404">
        <v>8</v>
      </c>
      <c r="W77" s="404">
        <v>16</v>
      </c>
      <c r="X77" s="404">
        <v>8</v>
      </c>
      <c r="Y77" s="404" t="s">
        <v>1048</v>
      </c>
    </row>
    <row r="78" spans="3:25">
      <c r="C78" s="68" t="str">
        <f>'G-1 All Habitats'!B75</f>
        <v>Urban - Sustainable drainage system</v>
      </c>
      <c r="D78" s="404" t="s">
        <v>1048</v>
      </c>
      <c r="E78" s="404" t="s">
        <v>1048</v>
      </c>
      <c r="F78" s="404">
        <v>1</v>
      </c>
      <c r="G78" s="404">
        <v>2</v>
      </c>
      <c r="H78" s="404">
        <v>3</v>
      </c>
      <c r="I78" s="404">
        <v>4</v>
      </c>
      <c r="J78" s="404">
        <v>5</v>
      </c>
      <c r="K78" s="404" t="s">
        <v>1048</v>
      </c>
      <c r="L78" s="404" t="s">
        <v>1048</v>
      </c>
      <c r="M78" s="404" t="s">
        <v>1048</v>
      </c>
      <c r="N78" s="404" t="s">
        <v>1048</v>
      </c>
      <c r="O78" s="404">
        <v>1</v>
      </c>
      <c r="P78" s="404">
        <v>2</v>
      </c>
      <c r="Q78" s="404">
        <v>3</v>
      </c>
      <c r="R78" s="404">
        <v>5</v>
      </c>
      <c r="S78" s="404">
        <v>1</v>
      </c>
      <c r="T78" s="404">
        <v>2</v>
      </c>
      <c r="U78" s="404">
        <v>3</v>
      </c>
      <c r="V78" s="404">
        <v>1</v>
      </c>
      <c r="W78" s="404">
        <v>2</v>
      </c>
      <c r="X78" s="404">
        <v>1</v>
      </c>
      <c r="Y78" s="404" t="s">
        <v>1048</v>
      </c>
    </row>
    <row r="79" spans="3:25">
      <c r="C79" s="68" t="str">
        <f>'G-1 All Habitats'!B76</f>
        <v>Urban - Unvegetated garden</v>
      </c>
      <c r="D79" s="404" t="s">
        <v>1048</v>
      </c>
      <c r="E79" s="404" t="s">
        <v>1048</v>
      </c>
      <c r="F79" s="404" t="s">
        <v>1048</v>
      </c>
      <c r="G79" s="404" t="s">
        <v>1048</v>
      </c>
      <c r="H79" s="404" t="s">
        <v>1048</v>
      </c>
      <c r="I79" s="404" t="s">
        <v>1048</v>
      </c>
      <c r="J79" s="404" t="s">
        <v>1048</v>
      </c>
      <c r="K79" s="404" t="s">
        <v>1048</v>
      </c>
      <c r="L79" s="404" t="s">
        <v>1048</v>
      </c>
      <c r="M79" s="404" t="s">
        <v>1048</v>
      </c>
      <c r="N79" s="404" t="s">
        <v>1048</v>
      </c>
      <c r="O79" s="404" t="s">
        <v>1048</v>
      </c>
      <c r="P79" s="404" t="s">
        <v>1048</v>
      </c>
      <c r="Q79" s="404" t="s">
        <v>1048</v>
      </c>
      <c r="R79" s="404" t="s">
        <v>1048</v>
      </c>
      <c r="S79" s="404" t="s">
        <v>1048</v>
      </c>
      <c r="T79" s="404" t="s">
        <v>1048</v>
      </c>
      <c r="U79" s="404" t="s">
        <v>1048</v>
      </c>
      <c r="V79" s="404" t="s">
        <v>1048</v>
      </c>
      <c r="W79" s="404" t="s">
        <v>1048</v>
      </c>
      <c r="X79" s="404" t="s">
        <v>1048</v>
      </c>
      <c r="Y79" s="404" t="s">
        <v>1048</v>
      </c>
    </row>
    <row r="80" spans="3:25">
      <c r="C80" s="68" t="str">
        <f>'G-1 All Habitats'!B77</f>
        <v>Urban - Vacant or derelict land</v>
      </c>
      <c r="D80" s="404" t="s">
        <v>1048</v>
      </c>
      <c r="E80" s="404" t="s">
        <v>1048</v>
      </c>
      <c r="F80" s="404">
        <v>1</v>
      </c>
      <c r="G80" s="404">
        <v>1</v>
      </c>
      <c r="H80" s="404">
        <v>1</v>
      </c>
      <c r="I80" s="404">
        <v>1</v>
      </c>
      <c r="J80" s="404">
        <v>1</v>
      </c>
      <c r="K80" s="404" t="s">
        <v>1048</v>
      </c>
      <c r="L80" s="404" t="s">
        <v>1048</v>
      </c>
      <c r="M80" s="404" t="s">
        <v>1048</v>
      </c>
      <c r="N80" s="404" t="s">
        <v>1048</v>
      </c>
      <c r="O80" s="404">
        <v>1</v>
      </c>
      <c r="P80" s="404">
        <v>1</v>
      </c>
      <c r="Q80" s="404">
        <v>1</v>
      </c>
      <c r="R80" s="404">
        <v>1</v>
      </c>
      <c r="S80" s="404">
        <v>1</v>
      </c>
      <c r="T80" s="404">
        <v>1</v>
      </c>
      <c r="U80" s="404">
        <v>1</v>
      </c>
      <c r="V80" s="404">
        <v>1</v>
      </c>
      <c r="W80" s="404">
        <v>1</v>
      </c>
      <c r="X80" s="404">
        <v>1</v>
      </c>
      <c r="Y80" s="404" t="s">
        <v>1048</v>
      </c>
    </row>
    <row r="81" spans="3:25">
      <c r="C81" s="68" t="s">
        <v>735</v>
      </c>
      <c r="D81" s="404" t="s">
        <v>1048</v>
      </c>
      <c r="E81" s="404" t="s">
        <v>1048</v>
      </c>
      <c r="F81" s="404">
        <v>1</v>
      </c>
      <c r="G81" s="404">
        <v>1</v>
      </c>
      <c r="H81" s="404">
        <v>1</v>
      </c>
      <c r="I81" s="404">
        <v>1</v>
      </c>
      <c r="J81" s="404">
        <v>1</v>
      </c>
      <c r="K81" s="404" t="s">
        <v>1048</v>
      </c>
      <c r="L81" s="404" t="s">
        <v>1048</v>
      </c>
      <c r="M81" s="404" t="s">
        <v>1048</v>
      </c>
      <c r="N81" s="404" t="s">
        <v>1048</v>
      </c>
      <c r="O81" s="404">
        <v>1</v>
      </c>
      <c r="P81" s="404">
        <v>1</v>
      </c>
      <c r="Q81" s="404">
        <v>1</v>
      </c>
      <c r="R81" s="404">
        <v>1</v>
      </c>
      <c r="S81" s="404">
        <v>1</v>
      </c>
      <c r="T81" s="404">
        <v>1</v>
      </c>
      <c r="U81" s="404">
        <v>1</v>
      </c>
      <c r="V81" s="404">
        <v>1</v>
      </c>
      <c r="W81" s="404">
        <v>1</v>
      </c>
      <c r="X81" s="404">
        <v>1</v>
      </c>
      <c r="Y81" s="404" t="s">
        <v>1048</v>
      </c>
    </row>
    <row r="82" spans="3:25">
      <c r="C82" s="68" t="str">
        <f>'G-1 All Habitats'!B79</f>
        <v>Urban - Vegetated garden</v>
      </c>
      <c r="D82" s="404" t="s">
        <v>1048</v>
      </c>
      <c r="E82" s="404" t="s">
        <v>1048</v>
      </c>
      <c r="F82" s="404">
        <v>1</v>
      </c>
      <c r="G82" s="404">
        <v>2</v>
      </c>
      <c r="H82" s="404">
        <v>3</v>
      </c>
      <c r="I82" s="404">
        <v>4</v>
      </c>
      <c r="J82" s="404">
        <v>5</v>
      </c>
      <c r="K82" s="404" t="s">
        <v>1048</v>
      </c>
      <c r="L82" s="404" t="s">
        <v>1048</v>
      </c>
      <c r="M82" s="404" t="s">
        <v>1048</v>
      </c>
      <c r="N82" s="404" t="s">
        <v>1048</v>
      </c>
      <c r="O82" s="404">
        <v>1</v>
      </c>
      <c r="P82" s="404">
        <v>2</v>
      </c>
      <c r="Q82" s="404">
        <v>3</v>
      </c>
      <c r="R82" s="404">
        <v>5</v>
      </c>
      <c r="S82" s="404">
        <v>1</v>
      </c>
      <c r="T82" s="404">
        <v>2</v>
      </c>
      <c r="U82" s="404">
        <v>3</v>
      </c>
      <c r="V82" s="404">
        <v>1</v>
      </c>
      <c r="W82" s="404">
        <v>2</v>
      </c>
      <c r="X82" s="404">
        <v>1</v>
      </c>
      <c r="Y82" s="404" t="s">
        <v>1048</v>
      </c>
    </row>
    <row r="83" spans="3:25">
      <c r="C83" s="68" t="str">
        <f>'G-1 All Habitats'!B82</f>
        <v>Wetland - Blanket bog</v>
      </c>
      <c r="D83" s="404" t="s">
        <v>1048</v>
      </c>
      <c r="E83" s="404" t="s">
        <v>1048</v>
      </c>
      <c r="F83" s="404">
        <v>15</v>
      </c>
      <c r="G83" s="404">
        <v>25</v>
      </c>
      <c r="H83" s="404">
        <v>30</v>
      </c>
      <c r="I83" s="404" t="s">
        <v>1049</v>
      </c>
      <c r="J83" s="404" t="s">
        <v>1049</v>
      </c>
      <c r="K83" s="404" t="s">
        <v>1048</v>
      </c>
      <c r="L83" s="404" t="s">
        <v>1048</v>
      </c>
      <c r="M83" s="404" t="s">
        <v>1048</v>
      </c>
      <c r="N83" s="404" t="s">
        <v>1048</v>
      </c>
      <c r="O83" s="404">
        <v>10</v>
      </c>
      <c r="P83" s="404">
        <v>20</v>
      </c>
      <c r="Q83" s="404" t="s">
        <v>1049</v>
      </c>
      <c r="R83" s="404">
        <v>30</v>
      </c>
      <c r="S83" s="404">
        <v>10</v>
      </c>
      <c r="T83" s="404" t="s">
        <v>1049</v>
      </c>
      <c r="U83" s="404" t="s">
        <v>1049</v>
      </c>
      <c r="V83" s="404">
        <v>30</v>
      </c>
      <c r="W83" s="404" t="s">
        <v>1049</v>
      </c>
      <c r="X83" s="404">
        <v>30</v>
      </c>
      <c r="Y83" s="404" t="s">
        <v>1048</v>
      </c>
    </row>
    <row r="84" spans="3:25">
      <c r="C84" s="68" t="str">
        <f>'G-1 All Habitats'!B83</f>
        <v>Wetland - Depressions on peat substrates (H7150)</v>
      </c>
      <c r="D84" s="404" t="s">
        <v>1048</v>
      </c>
      <c r="E84" s="404" t="s">
        <v>1048</v>
      </c>
      <c r="F84" s="404">
        <v>15</v>
      </c>
      <c r="G84" s="404">
        <v>25</v>
      </c>
      <c r="H84" s="404">
        <v>30</v>
      </c>
      <c r="I84" s="404" t="s">
        <v>1049</v>
      </c>
      <c r="J84" s="404" t="s">
        <v>1049</v>
      </c>
      <c r="K84" s="404" t="s">
        <v>1048</v>
      </c>
      <c r="L84" s="404" t="s">
        <v>1048</v>
      </c>
      <c r="M84" s="404" t="s">
        <v>1048</v>
      </c>
      <c r="N84" s="404" t="s">
        <v>1048</v>
      </c>
      <c r="O84" s="404">
        <v>10</v>
      </c>
      <c r="P84" s="404">
        <v>20</v>
      </c>
      <c r="Q84" s="404">
        <v>25</v>
      </c>
      <c r="R84" s="404">
        <v>30</v>
      </c>
      <c r="S84" s="404">
        <v>10</v>
      </c>
      <c r="T84" s="404">
        <v>20</v>
      </c>
      <c r="U84" s="404">
        <v>25</v>
      </c>
      <c r="V84" s="404">
        <v>10</v>
      </c>
      <c r="W84" s="404">
        <v>20</v>
      </c>
      <c r="X84" s="404">
        <v>10</v>
      </c>
      <c r="Y84" s="404" t="s">
        <v>1048</v>
      </c>
    </row>
    <row r="85" spans="3:25">
      <c r="C85" s="68" t="str">
        <f>'G-1 All Habitats'!B84</f>
        <v>Wetland - Fens (upland and lowland)</v>
      </c>
      <c r="D85" s="404" t="s">
        <v>1048</v>
      </c>
      <c r="E85" s="404" t="s">
        <v>1048</v>
      </c>
      <c r="F85" s="404">
        <v>10</v>
      </c>
      <c r="G85" s="404">
        <v>12</v>
      </c>
      <c r="H85" s="404">
        <v>15</v>
      </c>
      <c r="I85" s="404">
        <v>25</v>
      </c>
      <c r="J85" s="404">
        <v>30</v>
      </c>
      <c r="K85" s="404" t="s">
        <v>1048</v>
      </c>
      <c r="L85" s="404" t="s">
        <v>1048</v>
      </c>
      <c r="M85" s="404" t="s">
        <v>1048</v>
      </c>
      <c r="N85" s="404" t="s">
        <v>1048</v>
      </c>
      <c r="O85" s="404">
        <v>10</v>
      </c>
      <c r="P85" s="404">
        <v>12</v>
      </c>
      <c r="Q85" s="404">
        <v>15</v>
      </c>
      <c r="R85" s="404">
        <v>18</v>
      </c>
      <c r="S85" s="404">
        <v>10</v>
      </c>
      <c r="T85" s="404">
        <v>12</v>
      </c>
      <c r="U85" s="404">
        <v>15</v>
      </c>
      <c r="V85" s="404">
        <v>10</v>
      </c>
      <c r="W85" s="404">
        <v>12</v>
      </c>
      <c r="X85" s="404">
        <v>10</v>
      </c>
      <c r="Y85" s="404" t="s">
        <v>1048</v>
      </c>
    </row>
    <row r="86" spans="3:25">
      <c r="C86" s="68" t="str">
        <f>'G-1 All Habitats'!B85</f>
        <v>Wetland - Lowland raised bog</v>
      </c>
      <c r="D86" s="404" t="s">
        <v>1048</v>
      </c>
      <c r="E86" s="404" t="s">
        <v>1048</v>
      </c>
      <c r="F86" s="404">
        <v>15</v>
      </c>
      <c r="G86" s="404">
        <v>20</v>
      </c>
      <c r="H86" s="404">
        <v>30</v>
      </c>
      <c r="I86" s="404" t="s">
        <v>1049</v>
      </c>
      <c r="J86" s="404" t="s">
        <v>1049</v>
      </c>
      <c r="K86" s="404" t="s">
        <v>1048</v>
      </c>
      <c r="L86" s="404" t="s">
        <v>1048</v>
      </c>
      <c r="M86" s="404" t="s">
        <v>1048</v>
      </c>
      <c r="N86" s="404" t="s">
        <v>1048</v>
      </c>
      <c r="O86" s="404">
        <v>10</v>
      </c>
      <c r="P86" s="404">
        <v>20</v>
      </c>
      <c r="Q86" s="404">
        <v>25</v>
      </c>
      <c r="R86" s="404">
        <v>30</v>
      </c>
      <c r="S86" s="404">
        <v>10</v>
      </c>
      <c r="T86" s="404">
        <v>20</v>
      </c>
      <c r="U86" s="404">
        <v>20</v>
      </c>
      <c r="V86" s="404">
        <v>10</v>
      </c>
      <c r="W86" s="404">
        <v>15</v>
      </c>
      <c r="X86" s="404">
        <v>10</v>
      </c>
      <c r="Y86" s="404" t="s">
        <v>1048</v>
      </c>
    </row>
    <row r="87" spans="3:25">
      <c r="C87" s="68" t="str">
        <f>'G-1 All Habitats'!B86</f>
        <v>Wetland - Oceanic valley mire[1] (D2.1)</v>
      </c>
      <c r="D87" s="404" t="s">
        <v>1048</v>
      </c>
      <c r="E87" s="404" t="s">
        <v>1048</v>
      </c>
      <c r="F87" s="404">
        <v>15</v>
      </c>
      <c r="G87" s="404">
        <v>20</v>
      </c>
      <c r="H87" s="404">
        <v>30</v>
      </c>
      <c r="I87" s="404" t="s">
        <v>1049</v>
      </c>
      <c r="J87" s="404" t="s">
        <v>1049</v>
      </c>
      <c r="K87" s="404" t="s">
        <v>1048</v>
      </c>
      <c r="L87" s="404" t="s">
        <v>1048</v>
      </c>
      <c r="M87" s="404" t="s">
        <v>1048</v>
      </c>
      <c r="N87" s="404" t="s">
        <v>1048</v>
      </c>
      <c r="O87" s="404">
        <v>10</v>
      </c>
      <c r="P87" s="404">
        <v>20</v>
      </c>
      <c r="Q87" s="404">
        <v>25</v>
      </c>
      <c r="R87" s="404">
        <v>30</v>
      </c>
      <c r="S87" s="404">
        <v>10</v>
      </c>
      <c r="T87" s="404">
        <v>20</v>
      </c>
      <c r="U87" s="404">
        <v>20</v>
      </c>
      <c r="V87" s="404">
        <v>10</v>
      </c>
      <c r="W87" s="404">
        <v>15</v>
      </c>
      <c r="X87" s="404">
        <v>10</v>
      </c>
      <c r="Y87" s="404" t="s">
        <v>1048</v>
      </c>
    </row>
    <row r="88" spans="3:25">
      <c r="C88" s="68" t="str">
        <f>'G-1 All Habitats'!B87</f>
        <v>Wetland - Purple moor grass and rush pastures</v>
      </c>
      <c r="D88" s="404" t="s">
        <v>1048</v>
      </c>
      <c r="E88" s="404" t="s">
        <v>1048</v>
      </c>
      <c r="F88" s="404">
        <v>10</v>
      </c>
      <c r="G88" s="404">
        <v>12</v>
      </c>
      <c r="H88" s="404">
        <v>15</v>
      </c>
      <c r="I88" s="404">
        <v>17</v>
      </c>
      <c r="J88" s="404">
        <v>20</v>
      </c>
      <c r="K88" s="404" t="s">
        <v>1048</v>
      </c>
      <c r="L88" s="404" t="s">
        <v>1048</v>
      </c>
      <c r="M88" s="404" t="s">
        <v>1048</v>
      </c>
      <c r="N88" s="404" t="s">
        <v>1048</v>
      </c>
      <c r="O88" s="404">
        <v>10</v>
      </c>
      <c r="P88" s="404">
        <v>10</v>
      </c>
      <c r="Q88" s="404">
        <v>15</v>
      </c>
      <c r="R88" s="404">
        <v>20</v>
      </c>
      <c r="S88" s="404">
        <v>10</v>
      </c>
      <c r="T88" s="404">
        <v>15</v>
      </c>
      <c r="U88" s="404">
        <v>20</v>
      </c>
      <c r="V88" s="404">
        <v>10</v>
      </c>
      <c r="W88" s="404">
        <v>15</v>
      </c>
      <c r="X88" s="404">
        <v>10</v>
      </c>
      <c r="Y88" s="404" t="s">
        <v>1048</v>
      </c>
    </row>
    <row r="89" spans="3:25">
      <c r="C89" s="68" t="str">
        <f>'G-1 All Habitats'!B88</f>
        <v>Wetland - Reedbeds</v>
      </c>
      <c r="D89" s="404" t="s">
        <v>1048</v>
      </c>
      <c r="E89" s="404" t="s">
        <v>1048</v>
      </c>
      <c r="F89" s="404">
        <v>5</v>
      </c>
      <c r="G89" s="404">
        <v>7</v>
      </c>
      <c r="H89" s="404">
        <v>10</v>
      </c>
      <c r="I89" s="404">
        <v>12</v>
      </c>
      <c r="J89" s="404">
        <v>15</v>
      </c>
      <c r="K89" s="404" t="s">
        <v>1048</v>
      </c>
      <c r="L89" s="404" t="s">
        <v>1048</v>
      </c>
      <c r="M89" s="404" t="s">
        <v>1048</v>
      </c>
      <c r="N89" s="404" t="s">
        <v>1048</v>
      </c>
      <c r="O89" s="404">
        <v>5</v>
      </c>
      <c r="P89" s="404">
        <v>7</v>
      </c>
      <c r="Q89" s="404">
        <v>10</v>
      </c>
      <c r="R89" s="404">
        <v>12</v>
      </c>
      <c r="S89" s="404">
        <v>5</v>
      </c>
      <c r="T89" s="404">
        <v>7</v>
      </c>
      <c r="U89" s="404">
        <v>10</v>
      </c>
      <c r="V89" s="404">
        <v>5</v>
      </c>
      <c r="W89" s="404">
        <v>7</v>
      </c>
      <c r="X89" s="404">
        <v>5</v>
      </c>
      <c r="Y89" s="404" t="s">
        <v>1048</v>
      </c>
    </row>
    <row r="90" spans="3:25">
      <c r="C90" s="68" t="str">
        <f>'G-1 All Habitats'!B89</f>
        <v>Wetland - Transition mires and quaking bogs (H7140)</v>
      </c>
      <c r="D90" s="404" t="s">
        <v>1048</v>
      </c>
      <c r="E90" s="404" t="s">
        <v>1048</v>
      </c>
      <c r="F90" s="404">
        <v>15</v>
      </c>
      <c r="G90" s="404">
        <v>25</v>
      </c>
      <c r="H90" s="404">
        <v>30</v>
      </c>
      <c r="I90" s="404" t="s">
        <v>1049</v>
      </c>
      <c r="J90" s="404" t="s">
        <v>1049</v>
      </c>
      <c r="K90" s="404" t="s">
        <v>1048</v>
      </c>
      <c r="L90" s="404" t="s">
        <v>1048</v>
      </c>
      <c r="M90" s="404" t="s">
        <v>1048</v>
      </c>
      <c r="N90" s="404" t="s">
        <v>1048</v>
      </c>
      <c r="O90" s="404">
        <v>10</v>
      </c>
      <c r="P90" s="404">
        <v>20</v>
      </c>
      <c r="Q90" s="404">
        <v>25</v>
      </c>
      <c r="R90" s="404">
        <v>30</v>
      </c>
      <c r="S90" s="404">
        <v>10</v>
      </c>
      <c r="T90" s="404">
        <v>20</v>
      </c>
      <c r="U90" s="404">
        <v>20</v>
      </c>
      <c r="V90" s="404">
        <v>10</v>
      </c>
      <c r="W90" s="404">
        <v>15</v>
      </c>
      <c r="X90" s="404">
        <v>10</v>
      </c>
      <c r="Y90" s="404" t="s">
        <v>1048</v>
      </c>
    </row>
    <row r="91" spans="3:25">
      <c r="C91" s="68" t="str">
        <f>'G-1 All Habitats'!B90</f>
        <v>Woodland and forest - Felled</v>
      </c>
      <c r="D91" s="404" t="s">
        <v>1048</v>
      </c>
      <c r="E91" s="404" t="s">
        <v>1048</v>
      </c>
      <c r="F91" s="404" t="s">
        <v>1048</v>
      </c>
      <c r="G91" s="404" t="s">
        <v>1048</v>
      </c>
      <c r="H91" s="404" t="s">
        <v>1048</v>
      </c>
      <c r="I91" s="404" t="s">
        <v>1048</v>
      </c>
      <c r="J91" s="404" t="s">
        <v>1048</v>
      </c>
      <c r="K91" s="404" t="s">
        <v>1048</v>
      </c>
      <c r="L91" s="404" t="s">
        <v>1048</v>
      </c>
      <c r="M91" s="404" t="s">
        <v>1048</v>
      </c>
      <c r="N91" s="404" t="s">
        <v>1048</v>
      </c>
      <c r="O91" s="404" t="s">
        <v>1048</v>
      </c>
      <c r="P91" s="404" t="s">
        <v>1048</v>
      </c>
      <c r="Q91" s="404" t="s">
        <v>1048</v>
      </c>
      <c r="R91" s="404" t="s">
        <v>1048</v>
      </c>
      <c r="S91" s="404" t="s">
        <v>1048</v>
      </c>
      <c r="T91" s="404" t="s">
        <v>1048</v>
      </c>
      <c r="U91" s="404" t="s">
        <v>1048</v>
      </c>
      <c r="V91" s="404" t="s">
        <v>1048</v>
      </c>
      <c r="W91" s="404" t="s">
        <v>1048</v>
      </c>
      <c r="X91" s="404" t="s">
        <v>1048</v>
      </c>
      <c r="Y91" s="404" t="s">
        <v>1048</v>
      </c>
    </row>
    <row r="92" spans="3:25">
      <c r="C92" s="68" t="str">
        <f>'G-1 All Habitats'!B91</f>
        <v>Woodland and forest - Lowland beech and yew woodland</v>
      </c>
      <c r="D92" s="404" t="s">
        <v>1048</v>
      </c>
      <c r="E92" s="404" t="s">
        <v>1048</v>
      </c>
      <c r="F92" s="404">
        <v>10</v>
      </c>
      <c r="G92" s="404">
        <v>25</v>
      </c>
      <c r="H92" s="404" t="s">
        <v>1049</v>
      </c>
      <c r="I92" s="404" t="s">
        <v>1049</v>
      </c>
      <c r="J92" s="404" t="s">
        <v>1049</v>
      </c>
      <c r="K92" s="404" t="s">
        <v>1048</v>
      </c>
      <c r="L92" s="404" t="s">
        <v>1048</v>
      </c>
      <c r="M92" s="404" t="s">
        <v>1048</v>
      </c>
      <c r="N92" s="404" t="s">
        <v>1048</v>
      </c>
      <c r="O92" s="404">
        <v>25</v>
      </c>
      <c r="P92" s="404" t="s">
        <v>1049</v>
      </c>
      <c r="Q92" s="404" t="s">
        <v>1049</v>
      </c>
      <c r="R92" s="404" t="s">
        <v>1049</v>
      </c>
      <c r="S92" s="404" t="s">
        <v>1049</v>
      </c>
      <c r="T92" s="404" t="s">
        <v>1049</v>
      </c>
      <c r="U92" s="404" t="s">
        <v>1049</v>
      </c>
      <c r="V92" s="404" t="s">
        <v>1049</v>
      </c>
      <c r="W92" s="404" t="s">
        <v>1049</v>
      </c>
      <c r="X92" s="404" t="s">
        <v>1049</v>
      </c>
      <c r="Y92" s="404" t="s">
        <v>1048</v>
      </c>
    </row>
    <row r="93" spans="3:25">
      <c r="C93" s="68" t="str">
        <f>'G-1 All Habitats'!B92</f>
        <v>Woodland and forest - Lowland mixed deciduous woodland</v>
      </c>
      <c r="D93" s="404" t="s">
        <v>1048</v>
      </c>
      <c r="E93" s="404" t="s">
        <v>1048</v>
      </c>
      <c r="F93" s="404">
        <v>10</v>
      </c>
      <c r="G93" s="404">
        <v>25</v>
      </c>
      <c r="H93" s="404" t="s">
        <v>1049</v>
      </c>
      <c r="I93" s="404" t="s">
        <v>1049</v>
      </c>
      <c r="J93" s="404" t="s">
        <v>1049</v>
      </c>
      <c r="K93" s="404" t="s">
        <v>1048</v>
      </c>
      <c r="L93" s="404" t="s">
        <v>1048</v>
      </c>
      <c r="M93" s="404" t="s">
        <v>1048</v>
      </c>
      <c r="N93" s="404" t="s">
        <v>1048</v>
      </c>
      <c r="O93" s="404">
        <v>10</v>
      </c>
      <c r="P93" s="404">
        <v>20</v>
      </c>
      <c r="Q93" s="404">
        <v>25</v>
      </c>
      <c r="R93" s="404" t="s">
        <v>1049</v>
      </c>
      <c r="S93" s="404">
        <v>10</v>
      </c>
      <c r="T93" s="404">
        <v>20</v>
      </c>
      <c r="U93" s="404">
        <v>25</v>
      </c>
      <c r="V93" s="404">
        <v>10</v>
      </c>
      <c r="W93" s="404">
        <v>20</v>
      </c>
      <c r="X93" s="404">
        <v>10</v>
      </c>
      <c r="Y93" s="404" t="s">
        <v>1048</v>
      </c>
    </row>
    <row r="94" spans="3:25">
      <c r="C94" s="68" t="str">
        <f>'G-1 All Habitats'!B93</f>
        <v>Woodland and forest - Native pine woodlands</v>
      </c>
      <c r="D94" s="404" t="s">
        <v>1048</v>
      </c>
      <c r="E94" s="404" t="s">
        <v>1048</v>
      </c>
      <c r="F94" s="404">
        <v>25</v>
      </c>
      <c r="G94" s="404">
        <v>30</v>
      </c>
      <c r="H94" s="404" t="s">
        <v>1049</v>
      </c>
      <c r="I94" s="404" t="s">
        <v>1049</v>
      </c>
      <c r="J94" s="404" t="s">
        <v>1049</v>
      </c>
      <c r="K94" s="404" t="s">
        <v>1048</v>
      </c>
      <c r="L94" s="404" t="s">
        <v>1048</v>
      </c>
      <c r="M94" s="404" t="s">
        <v>1048</v>
      </c>
      <c r="N94" s="404" t="s">
        <v>1048</v>
      </c>
      <c r="O94" s="404">
        <v>10</v>
      </c>
      <c r="P94" s="404">
        <v>15</v>
      </c>
      <c r="Q94" s="404">
        <v>20</v>
      </c>
      <c r="R94" s="404" t="s">
        <v>1049</v>
      </c>
      <c r="S94" s="404">
        <v>15</v>
      </c>
      <c r="T94" s="404">
        <v>20</v>
      </c>
      <c r="U94" s="404">
        <v>25</v>
      </c>
      <c r="V94" s="404">
        <v>10</v>
      </c>
      <c r="W94" s="404">
        <v>15</v>
      </c>
      <c r="X94" s="404">
        <v>10</v>
      </c>
      <c r="Y94" s="404" t="s">
        <v>1048</v>
      </c>
    </row>
    <row r="95" spans="3:25">
      <c r="C95" s="68" t="str">
        <f>'G-1 All Habitats'!B94</f>
        <v>Woodland and forest - Other coniferous woodland</v>
      </c>
      <c r="D95" s="404" t="s">
        <v>1048</v>
      </c>
      <c r="E95" s="404" t="s">
        <v>1048</v>
      </c>
      <c r="F95" s="404" t="s">
        <v>1048</v>
      </c>
      <c r="G95" s="404" t="s">
        <v>1048</v>
      </c>
      <c r="H95" s="404" t="s">
        <v>1048</v>
      </c>
      <c r="I95" s="404" t="s">
        <v>1048</v>
      </c>
      <c r="J95" s="404" t="s">
        <v>1048</v>
      </c>
      <c r="K95" s="404" t="s">
        <v>1048</v>
      </c>
      <c r="L95" s="404" t="s">
        <v>1048</v>
      </c>
      <c r="M95" s="404" t="s">
        <v>1048</v>
      </c>
      <c r="N95" s="404" t="s">
        <v>1048</v>
      </c>
      <c r="O95" s="404">
        <v>5</v>
      </c>
      <c r="P95" s="404">
        <v>25</v>
      </c>
      <c r="Q95" s="404" t="s">
        <v>1049</v>
      </c>
      <c r="R95" s="404" t="s">
        <v>1049</v>
      </c>
      <c r="S95" s="404">
        <v>20</v>
      </c>
      <c r="T95" s="404">
        <v>15</v>
      </c>
      <c r="U95" s="404">
        <v>25</v>
      </c>
      <c r="V95" s="404">
        <v>5</v>
      </c>
      <c r="W95" s="404">
        <v>7</v>
      </c>
      <c r="X95" s="404">
        <v>10</v>
      </c>
      <c r="Y95" s="404" t="s">
        <v>1048</v>
      </c>
    </row>
    <row r="96" spans="3:25">
      <c r="C96" s="68" t="str">
        <f>'G-1 All Habitats'!B95</f>
        <v>Woodland and forest - Other Scot's pine woodland</v>
      </c>
      <c r="D96" s="404" t="s">
        <v>1048</v>
      </c>
      <c r="E96" s="404" t="s">
        <v>1048</v>
      </c>
      <c r="F96" s="404">
        <v>20</v>
      </c>
      <c r="G96" s="404">
        <v>25</v>
      </c>
      <c r="H96" s="404" t="s">
        <v>1049</v>
      </c>
      <c r="I96" s="404" t="s">
        <v>1049</v>
      </c>
      <c r="J96" s="404" t="s">
        <v>1049</v>
      </c>
      <c r="K96" s="404" t="s">
        <v>1048</v>
      </c>
      <c r="L96" s="404" t="s">
        <v>1048</v>
      </c>
      <c r="M96" s="404" t="s">
        <v>1048</v>
      </c>
      <c r="N96" s="404" t="s">
        <v>1048</v>
      </c>
      <c r="O96" s="404">
        <v>10</v>
      </c>
      <c r="P96" s="404">
        <v>15</v>
      </c>
      <c r="Q96" s="404">
        <v>20</v>
      </c>
      <c r="R96" s="404" t="s">
        <v>1049</v>
      </c>
      <c r="S96" s="404">
        <v>15</v>
      </c>
      <c r="T96" s="404">
        <v>20</v>
      </c>
      <c r="U96" s="404">
        <v>25</v>
      </c>
      <c r="V96" s="404">
        <v>10</v>
      </c>
      <c r="W96" s="404">
        <v>15</v>
      </c>
      <c r="X96" s="404">
        <v>10</v>
      </c>
      <c r="Y96" s="404" t="s">
        <v>1048</v>
      </c>
    </row>
    <row r="97" spans="3:25">
      <c r="C97" s="68" t="str">
        <f>'G-1 All Habitats'!B96</f>
        <v>Woodland and forest - Other woodland; broadleaved</v>
      </c>
      <c r="D97" s="404" t="s">
        <v>1048</v>
      </c>
      <c r="E97" s="404" t="s">
        <v>1048</v>
      </c>
      <c r="F97" s="404">
        <v>5</v>
      </c>
      <c r="G97" s="404">
        <v>10</v>
      </c>
      <c r="H97" s="404">
        <v>15</v>
      </c>
      <c r="I97" s="404">
        <v>20</v>
      </c>
      <c r="J97" s="404">
        <v>25</v>
      </c>
      <c r="K97" s="404" t="s">
        <v>1048</v>
      </c>
      <c r="L97" s="404" t="s">
        <v>1048</v>
      </c>
      <c r="M97" s="404" t="s">
        <v>1048</v>
      </c>
      <c r="N97" s="404" t="s">
        <v>1048</v>
      </c>
      <c r="O97" s="404">
        <v>5</v>
      </c>
      <c r="P97" s="404">
        <v>10</v>
      </c>
      <c r="Q97" s="404">
        <v>15</v>
      </c>
      <c r="R97" s="404">
        <v>20</v>
      </c>
      <c r="S97" s="404">
        <v>5</v>
      </c>
      <c r="T97" s="404">
        <v>10</v>
      </c>
      <c r="U97" s="404">
        <v>15</v>
      </c>
      <c r="V97" s="404">
        <v>5</v>
      </c>
      <c r="W97" s="404">
        <v>10</v>
      </c>
      <c r="X97" s="404">
        <v>5</v>
      </c>
      <c r="Y97" s="404" t="s">
        <v>1048</v>
      </c>
    </row>
    <row r="98" spans="3:25">
      <c r="C98" s="68" t="str">
        <f>'G-1 All Habitats'!B97</f>
        <v>Woodland and forest - Other woodland; mixed</v>
      </c>
      <c r="D98" s="404" t="s">
        <v>1048</v>
      </c>
      <c r="E98" s="404" t="s">
        <v>1048</v>
      </c>
      <c r="F98" s="404">
        <v>5</v>
      </c>
      <c r="G98" s="404">
        <v>10</v>
      </c>
      <c r="H98" s="404">
        <v>15</v>
      </c>
      <c r="I98" s="404">
        <v>20</v>
      </c>
      <c r="J98" s="404">
        <v>25</v>
      </c>
      <c r="K98" s="404" t="s">
        <v>1048</v>
      </c>
      <c r="L98" s="404" t="s">
        <v>1048</v>
      </c>
      <c r="M98" s="404" t="s">
        <v>1048</v>
      </c>
      <c r="N98" s="404" t="s">
        <v>1048</v>
      </c>
      <c r="O98" s="404">
        <v>5</v>
      </c>
      <c r="P98" s="404">
        <v>10</v>
      </c>
      <c r="Q98" s="404">
        <v>15</v>
      </c>
      <c r="R98" s="404">
        <v>20</v>
      </c>
      <c r="S98" s="404">
        <v>5</v>
      </c>
      <c r="T98" s="404">
        <v>10</v>
      </c>
      <c r="U98" s="404">
        <v>15</v>
      </c>
      <c r="V98" s="404">
        <v>5</v>
      </c>
      <c r="W98" s="404">
        <v>10</v>
      </c>
      <c r="X98" s="404">
        <v>5</v>
      </c>
      <c r="Y98" s="404" t="s">
        <v>1048</v>
      </c>
    </row>
    <row r="99" spans="3:25">
      <c r="C99" s="68" t="str">
        <f>'G-1 All Habitats'!B98</f>
        <v>Woodland and forest - Upland birchwoods</v>
      </c>
      <c r="D99" s="404" t="s">
        <v>1048</v>
      </c>
      <c r="E99" s="404" t="s">
        <v>1048</v>
      </c>
      <c r="F99" s="404">
        <v>10</v>
      </c>
      <c r="G99" s="404">
        <v>20</v>
      </c>
      <c r="H99" s="404">
        <v>25</v>
      </c>
      <c r="I99" s="404">
        <v>30</v>
      </c>
      <c r="J99" s="404" t="s">
        <v>1049</v>
      </c>
      <c r="K99" s="404" t="s">
        <v>1048</v>
      </c>
      <c r="L99" s="404" t="s">
        <v>1048</v>
      </c>
      <c r="M99" s="404" t="s">
        <v>1048</v>
      </c>
      <c r="N99" s="404" t="s">
        <v>1048</v>
      </c>
      <c r="O99" s="404">
        <v>10</v>
      </c>
      <c r="P99" s="404">
        <v>15</v>
      </c>
      <c r="Q99" s="404">
        <v>20</v>
      </c>
      <c r="R99" s="404" t="s">
        <v>1049</v>
      </c>
      <c r="S99" s="404">
        <v>15</v>
      </c>
      <c r="T99" s="404">
        <v>20</v>
      </c>
      <c r="U99" s="404">
        <v>25</v>
      </c>
      <c r="V99" s="404">
        <v>10</v>
      </c>
      <c r="W99" s="404">
        <v>15</v>
      </c>
      <c r="X99" s="404">
        <v>10</v>
      </c>
      <c r="Y99" s="404" t="s">
        <v>1048</v>
      </c>
    </row>
    <row r="100" spans="3:25">
      <c r="C100" s="68" t="str">
        <f>'G-1 All Habitats'!B99</f>
        <v>Woodland and forest - Upland mixed ashwoods</v>
      </c>
      <c r="D100" s="404" t="s">
        <v>1048</v>
      </c>
      <c r="E100" s="404" t="s">
        <v>1048</v>
      </c>
      <c r="F100" s="404">
        <v>10</v>
      </c>
      <c r="G100" s="404">
        <v>25</v>
      </c>
      <c r="H100" s="404" t="s">
        <v>1049</v>
      </c>
      <c r="I100" s="404" t="s">
        <v>1049</v>
      </c>
      <c r="J100" s="404" t="s">
        <v>1049</v>
      </c>
      <c r="K100" s="404" t="s">
        <v>1048</v>
      </c>
      <c r="L100" s="404" t="s">
        <v>1048</v>
      </c>
      <c r="M100" s="404" t="s">
        <v>1048</v>
      </c>
      <c r="N100" s="404" t="s">
        <v>1048</v>
      </c>
      <c r="O100" s="404">
        <v>10</v>
      </c>
      <c r="P100" s="404">
        <v>15</v>
      </c>
      <c r="Q100" s="404">
        <v>20</v>
      </c>
      <c r="R100" s="404" t="s">
        <v>1049</v>
      </c>
      <c r="S100" s="404">
        <v>15</v>
      </c>
      <c r="T100" s="404">
        <v>20</v>
      </c>
      <c r="U100" s="404">
        <v>25</v>
      </c>
      <c r="V100" s="404">
        <v>10</v>
      </c>
      <c r="W100" s="404">
        <v>15</v>
      </c>
      <c r="X100" s="404">
        <v>10</v>
      </c>
      <c r="Y100" s="404" t="s">
        <v>1048</v>
      </c>
    </row>
    <row r="101" spans="3:25">
      <c r="C101" s="68" t="str">
        <f>'G-1 All Habitats'!B100</f>
        <v>Woodland and forest - Upland oakwood</v>
      </c>
      <c r="D101" s="404" t="s">
        <v>1048</v>
      </c>
      <c r="E101" s="404" t="s">
        <v>1048</v>
      </c>
      <c r="F101" s="404">
        <v>10</v>
      </c>
      <c r="G101" s="404">
        <v>25</v>
      </c>
      <c r="H101" s="404" t="s">
        <v>1049</v>
      </c>
      <c r="I101" s="404" t="s">
        <v>1049</v>
      </c>
      <c r="J101" s="404" t="s">
        <v>1049</v>
      </c>
      <c r="K101" s="404" t="s">
        <v>1048</v>
      </c>
      <c r="L101" s="404" t="s">
        <v>1048</v>
      </c>
      <c r="M101" s="404" t="s">
        <v>1048</v>
      </c>
      <c r="N101" s="404" t="s">
        <v>1048</v>
      </c>
      <c r="O101" s="404">
        <v>25</v>
      </c>
      <c r="P101" s="404" t="s">
        <v>1049</v>
      </c>
      <c r="Q101" s="404" t="s">
        <v>1049</v>
      </c>
      <c r="R101" s="404" t="s">
        <v>1049</v>
      </c>
      <c r="S101" s="404" t="s">
        <v>1049</v>
      </c>
      <c r="T101" s="404" t="s">
        <v>1049</v>
      </c>
      <c r="U101" s="404" t="s">
        <v>1049</v>
      </c>
      <c r="V101" s="404" t="s">
        <v>1049</v>
      </c>
      <c r="W101" s="404" t="s">
        <v>1049</v>
      </c>
      <c r="X101" s="404" t="s">
        <v>1049</v>
      </c>
      <c r="Y101" s="404" t="s">
        <v>1048</v>
      </c>
    </row>
    <row r="102" spans="3:25">
      <c r="C102" s="68" t="str">
        <f>'G-1 All Habitats'!B101</f>
        <v>Woodland and forest - Wet woodland</v>
      </c>
      <c r="D102" s="404" t="s">
        <v>1048</v>
      </c>
      <c r="E102" s="404" t="s">
        <v>1048</v>
      </c>
      <c r="F102" s="404">
        <v>10</v>
      </c>
      <c r="G102" s="404">
        <v>20</v>
      </c>
      <c r="H102" s="404">
        <v>25</v>
      </c>
      <c r="I102" s="404">
        <v>30</v>
      </c>
      <c r="J102" s="404" t="s">
        <v>1049</v>
      </c>
      <c r="K102" s="404" t="s">
        <v>1048</v>
      </c>
      <c r="L102" s="404" t="s">
        <v>1048</v>
      </c>
      <c r="M102" s="404" t="s">
        <v>1048</v>
      </c>
      <c r="N102" s="404" t="s">
        <v>1048</v>
      </c>
      <c r="O102" s="404">
        <v>10</v>
      </c>
      <c r="P102" s="404">
        <v>10</v>
      </c>
      <c r="Q102" s="404">
        <v>15</v>
      </c>
      <c r="R102" s="404" t="s">
        <v>1049</v>
      </c>
      <c r="S102" s="404">
        <v>15</v>
      </c>
      <c r="T102" s="404">
        <v>20</v>
      </c>
      <c r="U102" s="404">
        <v>25</v>
      </c>
      <c r="V102" s="404">
        <v>10</v>
      </c>
      <c r="W102" s="404">
        <v>15</v>
      </c>
      <c r="X102" s="404">
        <v>10</v>
      </c>
      <c r="Y102" s="404" t="s">
        <v>1048</v>
      </c>
    </row>
    <row r="103" spans="3:25">
      <c r="C103" s="68" t="str">
        <f>'G-1 All Habitats'!B102</f>
        <v>Woodland and forest - Wood-pasture and parkland</v>
      </c>
      <c r="D103" s="404" t="s">
        <v>1048</v>
      </c>
      <c r="E103" s="404" t="s">
        <v>1048</v>
      </c>
      <c r="F103" s="404">
        <v>10</v>
      </c>
      <c r="G103" s="404">
        <v>25</v>
      </c>
      <c r="H103" s="404" t="s">
        <v>1049</v>
      </c>
      <c r="I103" s="404" t="s">
        <v>1049</v>
      </c>
      <c r="J103" s="404" t="s">
        <v>1049</v>
      </c>
      <c r="K103" s="404" t="s">
        <v>1048</v>
      </c>
      <c r="L103" s="404" t="s">
        <v>1048</v>
      </c>
      <c r="M103" s="404" t="s">
        <v>1048</v>
      </c>
      <c r="N103" s="404" t="s">
        <v>1048</v>
      </c>
      <c r="O103" s="404">
        <v>25</v>
      </c>
      <c r="P103" s="404" t="s">
        <v>1049</v>
      </c>
      <c r="Q103" s="404" t="s">
        <v>1049</v>
      </c>
      <c r="R103" s="404" t="s">
        <v>1049</v>
      </c>
      <c r="S103" s="404" t="s">
        <v>1049</v>
      </c>
      <c r="T103" s="404" t="s">
        <v>1049</v>
      </c>
      <c r="U103" s="404" t="s">
        <v>1049</v>
      </c>
      <c r="V103" s="404" t="s">
        <v>1049</v>
      </c>
      <c r="W103" s="404" t="s">
        <v>1049</v>
      </c>
      <c r="X103" s="404" t="s">
        <v>1049</v>
      </c>
      <c r="Y103" s="404" t="s">
        <v>1048</v>
      </c>
    </row>
    <row r="104" spans="3:25">
      <c r="C104" s="68" t="str">
        <f>'G-1 All Habitats'!B103</f>
        <v>Coastal lagoons - Coastal lagoons</v>
      </c>
      <c r="D104" s="404" t="s">
        <v>1048</v>
      </c>
      <c r="E104" s="404" t="s">
        <v>1048</v>
      </c>
      <c r="F104" s="404" t="s">
        <v>1048</v>
      </c>
      <c r="G104" s="404" t="s">
        <v>1048</v>
      </c>
      <c r="H104" s="404" t="s">
        <v>1048</v>
      </c>
      <c r="I104" s="404" t="s">
        <v>1048</v>
      </c>
      <c r="J104" s="404" t="s">
        <v>1048</v>
      </c>
      <c r="K104" s="404" t="s">
        <v>1048</v>
      </c>
      <c r="L104" s="404" t="s">
        <v>1048</v>
      </c>
      <c r="M104" s="404" t="s">
        <v>1048</v>
      </c>
      <c r="N104" s="404" t="s">
        <v>1048</v>
      </c>
      <c r="O104" s="404">
        <v>1</v>
      </c>
      <c r="P104" s="404">
        <v>4</v>
      </c>
      <c r="Q104" s="404">
        <v>8</v>
      </c>
      <c r="R104" s="404">
        <v>12</v>
      </c>
      <c r="S104" s="404">
        <v>3</v>
      </c>
      <c r="T104" s="404">
        <v>7</v>
      </c>
      <c r="U104" s="404">
        <v>11</v>
      </c>
      <c r="V104" s="404">
        <v>4</v>
      </c>
      <c r="W104" s="404">
        <v>8</v>
      </c>
      <c r="X104" s="404">
        <v>4</v>
      </c>
      <c r="Y104" s="404" t="s">
        <v>1048</v>
      </c>
    </row>
    <row r="105" spans="3:25">
      <c r="C105" s="68" t="str">
        <f>'G-1 All Habitats'!B104</f>
        <v>Rocky shore - High energy littoral rock</v>
      </c>
      <c r="D105" s="404" t="s">
        <v>1048</v>
      </c>
      <c r="E105" s="404" t="s">
        <v>1048</v>
      </c>
      <c r="F105" s="404" t="s">
        <v>1048</v>
      </c>
      <c r="G105" s="404" t="s">
        <v>1048</v>
      </c>
      <c r="H105" s="404" t="s">
        <v>1048</v>
      </c>
      <c r="I105" s="404" t="s">
        <v>1048</v>
      </c>
      <c r="J105" s="404" t="s">
        <v>1048</v>
      </c>
      <c r="K105" s="404" t="s">
        <v>1048</v>
      </c>
      <c r="L105" s="404" t="s">
        <v>1048</v>
      </c>
      <c r="M105" s="404" t="s">
        <v>1048</v>
      </c>
      <c r="N105" s="404" t="s">
        <v>1048</v>
      </c>
      <c r="O105" s="404">
        <v>2</v>
      </c>
      <c r="P105" s="404">
        <v>4</v>
      </c>
      <c r="Q105" s="404">
        <v>6</v>
      </c>
      <c r="R105" s="404">
        <v>10</v>
      </c>
      <c r="S105" s="404">
        <v>2</v>
      </c>
      <c r="T105" s="404">
        <v>4</v>
      </c>
      <c r="U105" s="404">
        <v>8</v>
      </c>
      <c r="V105" s="404">
        <v>2</v>
      </c>
      <c r="W105" s="404">
        <v>6</v>
      </c>
      <c r="X105" s="404">
        <v>4</v>
      </c>
      <c r="Y105" s="404" t="s">
        <v>1048</v>
      </c>
    </row>
    <row r="106" spans="3:25">
      <c r="C106" s="68" t="str">
        <f>'G-1 All Habitats'!B105</f>
        <v>Rocky shore - High energy littoral rock - on peat, clay or chalk</v>
      </c>
      <c r="D106" s="404" t="s">
        <v>1048</v>
      </c>
      <c r="E106" s="404" t="s">
        <v>1048</v>
      </c>
      <c r="F106" s="404" t="s">
        <v>1048</v>
      </c>
      <c r="G106" s="404" t="s">
        <v>1048</v>
      </c>
      <c r="H106" s="404" t="s">
        <v>1048</v>
      </c>
      <c r="I106" s="404" t="s">
        <v>1048</v>
      </c>
      <c r="J106" s="404" t="s">
        <v>1048</v>
      </c>
      <c r="K106" s="404" t="s">
        <v>1048</v>
      </c>
      <c r="L106" s="404" t="s">
        <v>1048</v>
      </c>
      <c r="M106" s="404" t="s">
        <v>1048</v>
      </c>
      <c r="N106" s="404" t="s">
        <v>1048</v>
      </c>
      <c r="O106" s="404">
        <v>2</v>
      </c>
      <c r="P106" s="404">
        <v>4</v>
      </c>
      <c r="Q106" s="404">
        <v>6</v>
      </c>
      <c r="R106" s="404">
        <v>10</v>
      </c>
      <c r="S106" s="404">
        <v>2</v>
      </c>
      <c r="T106" s="404">
        <v>4</v>
      </c>
      <c r="U106" s="404">
        <v>8</v>
      </c>
      <c r="V106" s="404">
        <v>2</v>
      </c>
      <c r="W106" s="404">
        <v>6</v>
      </c>
      <c r="X106" s="404">
        <v>4</v>
      </c>
      <c r="Y106" s="404" t="s">
        <v>1048</v>
      </c>
    </row>
    <row r="107" spans="3:25">
      <c r="C107" s="68" t="str">
        <f>'G-1 All Habitats'!B106</f>
        <v>Rocky shore - Moderate energy littoral rock</v>
      </c>
      <c r="D107" s="404" t="s">
        <v>1048</v>
      </c>
      <c r="E107" s="404" t="s">
        <v>1048</v>
      </c>
      <c r="F107" s="404" t="s">
        <v>1048</v>
      </c>
      <c r="G107" s="404" t="s">
        <v>1048</v>
      </c>
      <c r="H107" s="404" t="s">
        <v>1048</v>
      </c>
      <c r="I107" s="404" t="s">
        <v>1048</v>
      </c>
      <c r="J107" s="404" t="s">
        <v>1048</v>
      </c>
      <c r="K107" s="404" t="s">
        <v>1048</v>
      </c>
      <c r="L107" s="404" t="s">
        <v>1048</v>
      </c>
      <c r="M107" s="404" t="s">
        <v>1048</v>
      </c>
      <c r="N107" s="404" t="s">
        <v>1048</v>
      </c>
      <c r="O107" s="404">
        <v>2</v>
      </c>
      <c r="P107" s="404">
        <v>4</v>
      </c>
      <c r="Q107" s="404">
        <v>6</v>
      </c>
      <c r="R107" s="404">
        <v>11</v>
      </c>
      <c r="S107" s="404">
        <v>2</v>
      </c>
      <c r="T107" s="404">
        <v>4</v>
      </c>
      <c r="U107" s="404">
        <v>9</v>
      </c>
      <c r="V107" s="404">
        <v>2</v>
      </c>
      <c r="W107" s="404">
        <v>7</v>
      </c>
      <c r="X107" s="404">
        <v>5</v>
      </c>
      <c r="Y107" s="404" t="s">
        <v>1048</v>
      </c>
    </row>
    <row r="108" spans="3:25">
      <c r="C108" s="68" t="str">
        <f>'G-1 All Habitats'!B107</f>
        <v>Rocky shore - Moderate energy littoral rock - on peat, clay or chalk</v>
      </c>
      <c r="D108" s="404" t="s">
        <v>1048</v>
      </c>
      <c r="E108" s="404" t="s">
        <v>1048</v>
      </c>
      <c r="F108" s="404" t="s">
        <v>1048</v>
      </c>
      <c r="G108" s="404" t="s">
        <v>1048</v>
      </c>
      <c r="H108" s="404" t="s">
        <v>1048</v>
      </c>
      <c r="I108" s="404" t="s">
        <v>1048</v>
      </c>
      <c r="J108" s="404" t="s">
        <v>1048</v>
      </c>
      <c r="K108" s="404" t="s">
        <v>1048</v>
      </c>
      <c r="L108" s="404" t="s">
        <v>1048</v>
      </c>
      <c r="M108" s="404" t="s">
        <v>1048</v>
      </c>
      <c r="N108" s="404" t="s">
        <v>1048</v>
      </c>
      <c r="O108" s="404">
        <v>2</v>
      </c>
      <c r="P108" s="404">
        <v>4</v>
      </c>
      <c r="Q108" s="404">
        <v>6</v>
      </c>
      <c r="R108" s="404">
        <v>11</v>
      </c>
      <c r="S108" s="404">
        <v>2</v>
      </c>
      <c r="T108" s="404">
        <v>4</v>
      </c>
      <c r="U108" s="404">
        <v>9</v>
      </c>
      <c r="V108" s="404">
        <v>2</v>
      </c>
      <c r="W108" s="404">
        <v>7</v>
      </c>
      <c r="X108" s="404">
        <v>5</v>
      </c>
      <c r="Y108" s="404" t="s">
        <v>1048</v>
      </c>
    </row>
    <row r="109" spans="3:25">
      <c r="C109" s="68" t="str">
        <f>'G-1 All Habitats'!B108</f>
        <v>Rocky shore - Low energy littoral rock</v>
      </c>
      <c r="D109" s="404" t="s">
        <v>1048</v>
      </c>
      <c r="E109" s="404" t="s">
        <v>1048</v>
      </c>
      <c r="F109" s="404" t="s">
        <v>1048</v>
      </c>
      <c r="G109" s="404" t="s">
        <v>1048</v>
      </c>
      <c r="H109" s="404" t="s">
        <v>1048</v>
      </c>
      <c r="I109" s="404" t="s">
        <v>1048</v>
      </c>
      <c r="J109" s="404" t="s">
        <v>1048</v>
      </c>
      <c r="K109" s="404" t="s">
        <v>1048</v>
      </c>
      <c r="L109" s="404" t="s">
        <v>1048</v>
      </c>
      <c r="M109" s="404" t="s">
        <v>1048</v>
      </c>
      <c r="N109" s="404" t="s">
        <v>1048</v>
      </c>
      <c r="O109" s="404">
        <v>2</v>
      </c>
      <c r="P109" s="404">
        <v>4</v>
      </c>
      <c r="Q109" s="404">
        <v>6</v>
      </c>
      <c r="R109" s="404">
        <v>12</v>
      </c>
      <c r="S109" s="404">
        <v>2</v>
      </c>
      <c r="T109" s="404">
        <v>4</v>
      </c>
      <c r="U109" s="404">
        <v>10</v>
      </c>
      <c r="V109" s="404">
        <v>2</v>
      </c>
      <c r="W109" s="404">
        <v>8</v>
      </c>
      <c r="X109" s="404">
        <v>6</v>
      </c>
      <c r="Y109" s="404" t="s">
        <v>1048</v>
      </c>
    </row>
    <row r="110" spans="3:25">
      <c r="C110" s="68" t="str">
        <f>'G-1 All Habitats'!B109</f>
        <v>Rocky shore - Low energy littoral rock - on peat, clay or chalk</v>
      </c>
      <c r="D110" s="404" t="s">
        <v>1048</v>
      </c>
      <c r="E110" s="404" t="s">
        <v>1048</v>
      </c>
      <c r="F110" s="404" t="s">
        <v>1048</v>
      </c>
      <c r="G110" s="404" t="s">
        <v>1048</v>
      </c>
      <c r="H110" s="404" t="s">
        <v>1048</v>
      </c>
      <c r="I110" s="404" t="s">
        <v>1048</v>
      </c>
      <c r="J110" s="404" t="s">
        <v>1048</v>
      </c>
      <c r="K110" s="404" t="s">
        <v>1048</v>
      </c>
      <c r="L110" s="404" t="s">
        <v>1048</v>
      </c>
      <c r="M110" s="404" t="s">
        <v>1048</v>
      </c>
      <c r="N110" s="404" t="s">
        <v>1048</v>
      </c>
      <c r="O110" s="404">
        <v>2</v>
      </c>
      <c r="P110" s="404">
        <v>4</v>
      </c>
      <c r="Q110" s="404">
        <v>6</v>
      </c>
      <c r="R110" s="404">
        <v>12</v>
      </c>
      <c r="S110" s="404">
        <v>2</v>
      </c>
      <c r="T110" s="404">
        <v>4</v>
      </c>
      <c r="U110" s="404">
        <v>10</v>
      </c>
      <c r="V110" s="404">
        <v>2</v>
      </c>
      <c r="W110" s="404">
        <v>8</v>
      </c>
      <c r="X110" s="404">
        <v>6</v>
      </c>
      <c r="Y110" s="404" t="s">
        <v>1048</v>
      </c>
    </row>
    <row r="111" spans="3:25">
      <c r="C111" s="68" t="str">
        <f>'G-1 All Habitats'!B110</f>
        <v>Rocky shore - Features of littoral rock</v>
      </c>
      <c r="D111" s="404" t="s">
        <v>1048</v>
      </c>
      <c r="E111" s="404" t="s">
        <v>1048</v>
      </c>
      <c r="F111" s="404" t="s">
        <v>1048</v>
      </c>
      <c r="G111" s="404" t="s">
        <v>1048</v>
      </c>
      <c r="H111" s="404" t="s">
        <v>1048</v>
      </c>
      <c r="I111" s="404" t="s">
        <v>1048</v>
      </c>
      <c r="J111" s="404" t="s">
        <v>1048</v>
      </c>
      <c r="K111" s="404" t="s">
        <v>1048</v>
      </c>
      <c r="L111" s="404" t="s">
        <v>1048</v>
      </c>
      <c r="M111" s="404" t="s">
        <v>1048</v>
      </c>
      <c r="N111" s="404" t="s">
        <v>1048</v>
      </c>
      <c r="O111" s="404">
        <v>2</v>
      </c>
      <c r="P111" s="404">
        <v>4</v>
      </c>
      <c r="Q111" s="404">
        <v>6</v>
      </c>
      <c r="R111" s="404">
        <v>11</v>
      </c>
      <c r="S111" s="404">
        <v>2</v>
      </c>
      <c r="T111" s="404">
        <v>4</v>
      </c>
      <c r="U111" s="404">
        <v>9</v>
      </c>
      <c r="V111" s="404">
        <v>2</v>
      </c>
      <c r="W111" s="404">
        <v>7</v>
      </c>
      <c r="X111" s="404">
        <v>5</v>
      </c>
      <c r="Y111" s="404" t="s">
        <v>1048</v>
      </c>
    </row>
    <row r="112" spans="3:25">
      <c r="C112" s="68" t="str">
        <f>'G-1 All Habitats'!B111</f>
        <v>Rocky shore - Features of littoral rock - on peat, clay or chalk</v>
      </c>
      <c r="D112" s="404" t="s">
        <v>1048</v>
      </c>
      <c r="E112" s="404" t="s">
        <v>1048</v>
      </c>
      <c r="F112" s="404" t="s">
        <v>1048</v>
      </c>
      <c r="G112" s="404" t="s">
        <v>1048</v>
      </c>
      <c r="H112" s="404" t="s">
        <v>1048</v>
      </c>
      <c r="I112" s="404" t="s">
        <v>1048</v>
      </c>
      <c r="J112" s="404" t="s">
        <v>1048</v>
      </c>
      <c r="K112" s="404" t="s">
        <v>1048</v>
      </c>
      <c r="L112" s="404" t="s">
        <v>1048</v>
      </c>
      <c r="M112" s="404" t="s">
        <v>1048</v>
      </c>
      <c r="N112" s="404" t="s">
        <v>1048</v>
      </c>
      <c r="O112" s="404">
        <v>2</v>
      </c>
      <c r="P112" s="404">
        <v>4</v>
      </c>
      <c r="Q112" s="404">
        <v>6</v>
      </c>
      <c r="R112" s="404">
        <v>11</v>
      </c>
      <c r="S112" s="404">
        <v>2</v>
      </c>
      <c r="T112" s="404">
        <v>4</v>
      </c>
      <c r="U112" s="404">
        <v>9</v>
      </c>
      <c r="V112" s="404">
        <v>2</v>
      </c>
      <c r="W112" s="404">
        <v>7</v>
      </c>
      <c r="X112" s="404">
        <v>5</v>
      </c>
      <c r="Y112" s="404" t="s">
        <v>1048</v>
      </c>
    </row>
    <row r="113" spans="3:25">
      <c r="C113" s="68" t="str">
        <f>'G-1 All Habitats'!B114</f>
        <v>Intertidal sediment - Littoral coarse sediment</v>
      </c>
      <c r="D113" s="404" t="s">
        <v>1048</v>
      </c>
      <c r="E113" s="404" t="s">
        <v>1048</v>
      </c>
      <c r="F113" s="404" t="s">
        <v>1048</v>
      </c>
      <c r="G113" s="404" t="s">
        <v>1048</v>
      </c>
      <c r="H113" s="404" t="s">
        <v>1048</v>
      </c>
      <c r="I113" s="404" t="s">
        <v>1048</v>
      </c>
      <c r="J113" s="404" t="s">
        <v>1048</v>
      </c>
      <c r="K113" s="404" t="s">
        <v>1048</v>
      </c>
      <c r="L113" s="404" t="s">
        <v>1048</v>
      </c>
      <c r="M113" s="404" t="s">
        <v>1048</v>
      </c>
      <c r="N113" s="404" t="s">
        <v>1048</v>
      </c>
      <c r="O113" s="404">
        <v>1</v>
      </c>
      <c r="P113" s="404">
        <v>2</v>
      </c>
      <c r="Q113" s="404">
        <v>3</v>
      </c>
      <c r="R113" s="404">
        <v>4</v>
      </c>
      <c r="S113" s="404">
        <v>1</v>
      </c>
      <c r="T113" s="404">
        <v>2</v>
      </c>
      <c r="U113" s="404">
        <v>3</v>
      </c>
      <c r="V113" s="404">
        <v>1</v>
      </c>
      <c r="W113" s="404">
        <v>2</v>
      </c>
      <c r="X113" s="404">
        <v>1</v>
      </c>
      <c r="Y113" s="404" t="s">
        <v>1048</v>
      </c>
    </row>
    <row r="114" spans="3:25">
      <c r="C114" s="68" t="str">
        <f>'G-1 All Habitats'!B115</f>
        <v>Intertidal sediment - Littoral mud</v>
      </c>
      <c r="D114" s="404" t="s">
        <v>1048</v>
      </c>
      <c r="E114" s="404" t="s">
        <v>1048</v>
      </c>
      <c r="F114" s="404" t="s">
        <v>1048</v>
      </c>
      <c r="G114" s="404" t="s">
        <v>1048</v>
      </c>
      <c r="H114" s="404" t="s">
        <v>1048</v>
      </c>
      <c r="I114" s="404" t="s">
        <v>1048</v>
      </c>
      <c r="J114" s="404" t="s">
        <v>1048</v>
      </c>
      <c r="K114" s="404" t="s">
        <v>1048</v>
      </c>
      <c r="L114" s="404" t="s">
        <v>1048</v>
      </c>
      <c r="M114" s="404" t="s">
        <v>1048</v>
      </c>
      <c r="N114" s="404" t="s">
        <v>1048</v>
      </c>
      <c r="O114" s="404">
        <v>2</v>
      </c>
      <c r="P114" s="404">
        <v>4</v>
      </c>
      <c r="Q114" s="404">
        <v>6</v>
      </c>
      <c r="R114" s="404">
        <v>8</v>
      </c>
      <c r="S114" s="404">
        <v>2</v>
      </c>
      <c r="T114" s="404">
        <v>4</v>
      </c>
      <c r="U114" s="404">
        <v>6</v>
      </c>
      <c r="V114" s="404">
        <v>2</v>
      </c>
      <c r="W114" s="404">
        <v>4</v>
      </c>
      <c r="X114" s="404">
        <v>2</v>
      </c>
      <c r="Y114" s="404" t="s">
        <v>1048</v>
      </c>
    </row>
    <row r="115" spans="3:25">
      <c r="C115" s="68" t="str">
        <f>'G-1 All Habitats'!B116</f>
        <v>Intertidal sediment - Littoral mixed sediments</v>
      </c>
      <c r="D115" s="404" t="s">
        <v>1048</v>
      </c>
      <c r="E115" s="404" t="s">
        <v>1048</v>
      </c>
      <c r="F115" s="404" t="s">
        <v>1048</v>
      </c>
      <c r="G115" s="404" t="s">
        <v>1048</v>
      </c>
      <c r="H115" s="404" t="s">
        <v>1048</v>
      </c>
      <c r="I115" s="404" t="s">
        <v>1048</v>
      </c>
      <c r="J115" s="404" t="s">
        <v>1048</v>
      </c>
      <c r="K115" s="404" t="s">
        <v>1048</v>
      </c>
      <c r="L115" s="404" t="s">
        <v>1048</v>
      </c>
      <c r="M115" s="404" t="s">
        <v>1048</v>
      </c>
      <c r="N115" s="404" t="s">
        <v>1048</v>
      </c>
      <c r="O115" s="404">
        <v>1</v>
      </c>
      <c r="P115" s="404">
        <v>2</v>
      </c>
      <c r="Q115" s="404">
        <v>3</v>
      </c>
      <c r="R115" s="404">
        <v>4</v>
      </c>
      <c r="S115" s="404">
        <v>1</v>
      </c>
      <c r="T115" s="404">
        <v>2</v>
      </c>
      <c r="U115" s="404">
        <v>3</v>
      </c>
      <c r="V115" s="404">
        <v>1</v>
      </c>
      <c r="W115" s="404">
        <v>2</v>
      </c>
      <c r="X115" s="404">
        <v>1</v>
      </c>
      <c r="Y115" s="404" t="s">
        <v>1048</v>
      </c>
    </row>
    <row r="116" spans="3:25">
      <c r="C116" s="68" t="str">
        <f>'G-1 All Habitats'!B112</f>
        <v>Coastal saltmarsh - Saltmarshes and saline reedbeds</v>
      </c>
      <c r="D116" s="404" t="s">
        <v>1048</v>
      </c>
      <c r="E116" s="404" t="s">
        <v>1048</v>
      </c>
      <c r="F116" s="404" t="s">
        <v>1048</v>
      </c>
      <c r="G116" s="404" t="s">
        <v>1048</v>
      </c>
      <c r="H116" s="404" t="s">
        <v>1048</v>
      </c>
      <c r="I116" s="404" t="s">
        <v>1048</v>
      </c>
      <c r="J116" s="404" t="s">
        <v>1048</v>
      </c>
      <c r="K116" s="404" t="s">
        <v>1048</v>
      </c>
      <c r="L116" s="404" t="s">
        <v>1048</v>
      </c>
      <c r="M116" s="404" t="s">
        <v>1048</v>
      </c>
      <c r="N116" s="404" t="s">
        <v>1048</v>
      </c>
      <c r="O116" s="404">
        <v>2</v>
      </c>
      <c r="P116" s="404">
        <v>6</v>
      </c>
      <c r="Q116" s="404">
        <v>10</v>
      </c>
      <c r="R116" s="404">
        <v>20</v>
      </c>
      <c r="S116" s="404">
        <v>4</v>
      </c>
      <c r="T116" s="404">
        <v>8</v>
      </c>
      <c r="U116" s="404">
        <v>18</v>
      </c>
      <c r="V116" s="404">
        <v>4</v>
      </c>
      <c r="W116" s="404">
        <v>14</v>
      </c>
      <c r="X116" s="404">
        <v>10</v>
      </c>
      <c r="Y116" s="404" t="s">
        <v>1048</v>
      </c>
    </row>
    <row r="117" spans="3:25">
      <c r="C117" s="68" t="str">
        <f>'G-1 All Habitats'!B113</f>
        <v>Coastal saltmarsh - Artificial saltmarshes and saline reedbeds</v>
      </c>
      <c r="D117" s="404" t="s">
        <v>1048</v>
      </c>
      <c r="E117" s="404" t="s">
        <v>1048</v>
      </c>
      <c r="F117" s="404" t="s">
        <v>1048</v>
      </c>
      <c r="G117" s="404" t="s">
        <v>1048</v>
      </c>
      <c r="H117" s="404" t="s">
        <v>1048</v>
      </c>
      <c r="I117" s="404" t="s">
        <v>1048</v>
      </c>
      <c r="J117" s="404" t="s">
        <v>1048</v>
      </c>
      <c r="K117" s="404" t="s">
        <v>1048</v>
      </c>
      <c r="L117" s="404" t="s">
        <v>1048</v>
      </c>
      <c r="M117" s="404" t="s">
        <v>1048</v>
      </c>
      <c r="N117" s="404" t="s">
        <v>1048</v>
      </c>
      <c r="O117" s="404">
        <v>2</v>
      </c>
      <c r="P117" s="404">
        <v>6</v>
      </c>
      <c r="Q117" s="404">
        <v>10</v>
      </c>
      <c r="R117" s="404">
        <v>20</v>
      </c>
      <c r="S117" s="404">
        <v>4</v>
      </c>
      <c r="T117" s="404">
        <v>8</v>
      </c>
      <c r="U117" s="404">
        <v>18</v>
      </c>
      <c r="V117" s="404">
        <v>4</v>
      </c>
      <c r="W117" s="404">
        <v>14</v>
      </c>
      <c r="X117" s="404">
        <v>10</v>
      </c>
      <c r="Y117" s="404" t="s">
        <v>1048</v>
      </c>
    </row>
    <row r="118" spans="3:25">
      <c r="C118" s="68" t="str">
        <f>'G-1 All Habitats'!B117</f>
        <v>Intertidal sediment - Littoral seagrass</v>
      </c>
      <c r="D118" s="404" t="s">
        <v>1048</v>
      </c>
      <c r="E118" s="404" t="s">
        <v>1048</v>
      </c>
      <c r="F118" s="404" t="s">
        <v>1048</v>
      </c>
      <c r="G118" s="404" t="s">
        <v>1048</v>
      </c>
      <c r="H118" s="404" t="s">
        <v>1048</v>
      </c>
      <c r="I118" s="404" t="s">
        <v>1048</v>
      </c>
      <c r="J118" s="404" t="s">
        <v>1048</v>
      </c>
      <c r="K118" s="404" t="s">
        <v>1048</v>
      </c>
      <c r="L118" s="404" t="s">
        <v>1048</v>
      </c>
      <c r="M118" s="404" t="s">
        <v>1048</v>
      </c>
      <c r="N118" s="404" t="s">
        <v>1048</v>
      </c>
      <c r="O118" s="404">
        <v>3</v>
      </c>
      <c r="P118" s="404">
        <v>13</v>
      </c>
      <c r="Q118" s="404">
        <v>23</v>
      </c>
      <c r="R118" s="404" t="s">
        <v>1049</v>
      </c>
      <c r="S118" s="404">
        <v>10</v>
      </c>
      <c r="T118" s="404">
        <v>20</v>
      </c>
      <c r="U118" s="404">
        <v>30</v>
      </c>
      <c r="V118" s="404">
        <v>10</v>
      </c>
      <c r="W118" s="404">
        <v>20</v>
      </c>
      <c r="X118" s="404">
        <v>10</v>
      </c>
      <c r="Y118" s="404" t="s">
        <v>1048</v>
      </c>
    </row>
    <row r="119" spans="3:25">
      <c r="C119" s="68" t="str">
        <f>'G-1 All Habitats'!B118</f>
        <v>Intertidal sediment - Littoral seagrass on peat, clay or chalk</v>
      </c>
      <c r="D119" s="404" t="s">
        <v>1048</v>
      </c>
      <c r="E119" s="404" t="s">
        <v>1048</v>
      </c>
      <c r="F119" s="404" t="s">
        <v>1048</v>
      </c>
      <c r="G119" s="404" t="s">
        <v>1048</v>
      </c>
      <c r="H119" s="404" t="s">
        <v>1048</v>
      </c>
      <c r="I119" s="404" t="s">
        <v>1048</v>
      </c>
      <c r="J119" s="404" t="s">
        <v>1048</v>
      </c>
      <c r="K119" s="404" t="s">
        <v>1048</v>
      </c>
      <c r="L119" s="404" t="s">
        <v>1048</v>
      </c>
      <c r="M119" s="404" t="s">
        <v>1048</v>
      </c>
      <c r="N119" s="404" t="s">
        <v>1048</v>
      </c>
      <c r="O119" s="404">
        <v>2</v>
      </c>
      <c r="P119" s="404">
        <v>4</v>
      </c>
      <c r="Q119" s="404">
        <v>7</v>
      </c>
      <c r="R119" s="404" t="s">
        <v>1049</v>
      </c>
      <c r="S119" s="404">
        <v>2</v>
      </c>
      <c r="T119" s="404">
        <v>3</v>
      </c>
      <c r="U119" s="404">
        <v>8</v>
      </c>
      <c r="V119" s="404">
        <v>3</v>
      </c>
      <c r="W119" s="404">
        <v>6</v>
      </c>
      <c r="X119" s="404">
        <v>3</v>
      </c>
      <c r="Y119" s="404" t="s">
        <v>1048</v>
      </c>
    </row>
    <row r="120" spans="3:25">
      <c r="C120" s="68" t="str">
        <f>'G-1 All Habitats'!B119</f>
        <v>Intertidal sediment - Littoral biogenic reefs - Mussels</v>
      </c>
      <c r="D120" s="404" t="s">
        <v>1048</v>
      </c>
      <c r="E120" s="404" t="s">
        <v>1048</v>
      </c>
      <c r="F120" s="404" t="s">
        <v>1048</v>
      </c>
      <c r="G120" s="404" t="s">
        <v>1048</v>
      </c>
      <c r="H120" s="404" t="s">
        <v>1048</v>
      </c>
      <c r="I120" s="404" t="s">
        <v>1048</v>
      </c>
      <c r="J120" s="404" t="s">
        <v>1048</v>
      </c>
      <c r="K120" s="404" t="s">
        <v>1048</v>
      </c>
      <c r="L120" s="404" t="s">
        <v>1048</v>
      </c>
      <c r="M120" s="404" t="s">
        <v>1048</v>
      </c>
      <c r="N120" s="404" t="s">
        <v>1048</v>
      </c>
      <c r="O120" s="404">
        <v>2</v>
      </c>
      <c r="P120" s="404">
        <v>4</v>
      </c>
      <c r="Q120" s="404">
        <v>7</v>
      </c>
      <c r="R120" s="404">
        <v>10</v>
      </c>
      <c r="S120" s="404">
        <v>2</v>
      </c>
      <c r="T120" s="404">
        <v>3</v>
      </c>
      <c r="U120" s="404">
        <v>8</v>
      </c>
      <c r="V120" s="404">
        <v>3</v>
      </c>
      <c r="W120" s="404">
        <v>6</v>
      </c>
      <c r="X120" s="404">
        <v>3</v>
      </c>
      <c r="Y120" s="404" t="s">
        <v>1048</v>
      </c>
    </row>
    <row r="121" spans="3:25">
      <c r="C121" s="68" t="str">
        <f>'G-1 All Habitats'!B120</f>
        <v>Intertidal sediment - Littoral biogenic reefs - Sabellaria</v>
      </c>
      <c r="D121" s="404" t="s">
        <v>1048</v>
      </c>
      <c r="E121" s="404" t="s">
        <v>1048</v>
      </c>
      <c r="F121" s="404" t="s">
        <v>1048</v>
      </c>
      <c r="G121" s="404" t="s">
        <v>1048</v>
      </c>
      <c r="H121" s="404" t="s">
        <v>1048</v>
      </c>
      <c r="I121" s="404" t="s">
        <v>1048</v>
      </c>
      <c r="J121" s="404" t="s">
        <v>1048</v>
      </c>
      <c r="K121" s="404" t="s">
        <v>1048</v>
      </c>
      <c r="L121" s="404" t="s">
        <v>1048</v>
      </c>
      <c r="M121" s="404" t="s">
        <v>1048</v>
      </c>
      <c r="N121" s="404" t="s">
        <v>1048</v>
      </c>
      <c r="O121" s="404">
        <v>2</v>
      </c>
      <c r="P121" s="404">
        <v>4</v>
      </c>
      <c r="Q121" s="404">
        <v>7</v>
      </c>
      <c r="R121" s="404">
        <v>10</v>
      </c>
      <c r="S121" s="404">
        <v>2</v>
      </c>
      <c r="T121" s="404">
        <v>3</v>
      </c>
      <c r="U121" s="404">
        <v>8</v>
      </c>
      <c r="V121" s="404">
        <v>3</v>
      </c>
      <c r="W121" s="404">
        <v>6</v>
      </c>
      <c r="X121" s="404">
        <v>3</v>
      </c>
      <c r="Y121" s="404" t="s">
        <v>1048</v>
      </c>
    </row>
    <row r="122" spans="3:25">
      <c r="C122" s="68" t="str">
        <f>'G-1 All Habitats'!B121</f>
        <v>Intertidal sediment - Features of littoral sediment</v>
      </c>
      <c r="D122" s="404" t="s">
        <v>1048</v>
      </c>
      <c r="E122" s="404" t="s">
        <v>1048</v>
      </c>
      <c r="F122" s="404" t="s">
        <v>1048</v>
      </c>
      <c r="G122" s="404" t="s">
        <v>1048</v>
      </c>
      <c r="H122" s="404" t="s">
        <v>1048</v>
      </c>
      <c r="I122" s="404" t="s">
        <v>1048</v>
      </c>
      <c r="J122" s="404" t="s">
        <v>1048</v>
      </c>
      <c r="K122" s="404" t="s">
        <v>1048</v>
      </c>
      <c r="L122" s="404" t="s">
        <v>1048</v>
      </c>
      <c r="M122" s="404" t="s">
        <v>1048</v>
      </c>
      <c r="N122" s="404" t="s">
        <v>1048</v>
      </c>
      <c r="O122" s="404">
        <v>1</v>
      </c>
      <c r="P122" s="404">
        <v>2</v>
      </c>
      <c r="Q122" s="404">
        <v>3</v>
      </c>
      <c r="R122" s="404">
        <v>5</v>
      </c>
      <c r="S122" s="404">
        <v>1</v>
      </c>
      <c r="T122" s="404">
        <v>2</v>
      </c>
      <c r="U122" s="404">
        <v>4</v>
      </c>
      <c r="V122" s="404">
        <v>1</v>
      </c>
      <c r="W122" s="404">
        <v>3</v>
      </c>
      <c r="X122" s="404">
        <v>2</v>
      </c>
      <c r="Y122" s="404" t="s">
        <v>1048</v>
      </c>
    </row>
    <row r="123" spans="3:25">
      <c r="C123" s="68" t="str">
        <f>'G-1 All Habitats'!B122</f>
        <v>Intertidal sediment - Artificial littoral coarse sediment</v>
      </c>
      <c r="D123" s="404" t="s">
        <v>1048</v>
      </c>
      <c r="E123" s="404" t="s">
        <v>1048</v>
      </c>
      <c r="F123" s="404" t="s">
        <v>1048</v>
      </c>
      <c r="G123" s="404" t="s">
        <v>1048</v>
      </c>
      <c r="H123" s="404" t="s">
        <v>1048</v>
      </c>
      <c r="I123" s="404" t="s">
        <v>1048</v>
      </c>
      <c r="J123" s="404" t="s">
        <v>1048</v>
      </c>
      <c r="K123" s="404" t="s">
        <v>1048</v>
      </c>
      <c r="L123" s="404" t="s">
        <v>1048</v>
      </c>
      <c r="M123" s="404" t="s">
        <v>1048</v>
      </c>
      <c r="N123" s="404" t="s">
        <v>1048</v>
      </c>
      <c r="O123" s="404">
        <v>1</v>
      </c>
      <c r="P123" s="404">
        <v>2</v>
      </c>
      <c r="Q123" s="404">
        <v>3</v>
      </c>
      <c r="R123" s="404">
        <v>4</v>
      </c>
      <c r="S123" s="404">
        <v>1</v>
      </c>
      <c r="T123" s="404">
        <v>2</v>
      </c>
      <c r="U123" s="404">
        <v>3</v>
      </c>
      <c r="V123" s="404">
        <v>1</v>
      </c>
      <c r="W123" s="404">
        <v>2</v>
      </c>
      <c r="X123" s="404">
        <v>1</v>
      </c>
      <c r="Y123" s="404" t="s">
        <v>1048</v>
      </c>
    </row>
    <row r="124" spans="3:25">
      <c r="C124" s="68" t="str">
        <f>'G-1 All Habitats'!B123</f>
        <v>Intertidal sediment - Artificial littoral mud</v>
      </c>
      <c r="D124" s="404" t="s">
        <v>1048</v>
      </c>
      <c r="E124" s="404" t="s">
        <v>1048</v>
      </c>
      <c r="F124" s="404" t="s">
        <v>1048</v>
      </c>
      <c r="G124" s="404" t="s">
        <v>1048</v>
      </c>
      <c r="H124" s="404" t="s">
        <v>1048</v>
      </c>
      <c r="I124" s="404" t="s">
        <v>1048</v>
      </c>
      <c r="J124" s="404" t="s">
        <v>1048</v>
      </c>
      <c r="K124" s="404" t="s">
        <v>1048</v>
      </c>
      <c r="L124" s="404" t="s">
        <v>1048</v>
      </c>
      <c r="M124" s="404" t="s">
        <v>1048</v>
      </c>
      <c r="N124" s="404" t="s">
        <v>1048</v>
      </c>
      <c r="O124" s="404">
        <v>2</v>
      </c>
      <c r="P124" s="404">
        <v>4</v>
      </c>
      <c r="Q124" s="404">
        <v>6</v>
      </c>
      <c r="R124" s="404">
        <v>8</v>
      </c>
      <c r="S124" s="404">
        <v>2</v>
      </c>
      <c r="T124" s="404">
        <v>4</v>
      </c>
      <c r="U124" s="404">
        <v>6</v>
      </c>
      <c r="V124" s="404">
        <v>2</v>
      </c>
      <c r="W124" s="404">
        <v>4</v>
      </c>
      <c r="X124" s="404">
        <v>2</v>
      </c>
      <c r="Y124" s="404" t="s">
        <v>1048</v>
      </c>
    </row>
    <row r="125" spans="3:25">
      <c r="C125" s="68" t="str">
        <f>'G-1 All Habitats'!B124</f>
        <v>Intertidal sediment - Artificial littoral sand</v>
      </c>
      <c r="D125" s="404" t="s">
        <v>1048</v>
      </c>
      <c r="E125" s="404" t="s">
        <v>1048</v>
      </c>
      <c r="F125" s="404" t="s">
        <v>1048</v>
      </c>
      <c r="G125" s="404" t="s">
        <v>1048</v>
      </c>
      <c r="H125" s="404" t="s">
        <v>1048</v>
      </c>
      <c r="I125" s="404" t="s">
        <v>1048</v>
      </c>
      <c r="J125" s="404" t="s">
        <v>1048</v>
      </c>
      <c r="K125" s="404" t="s">
        <v>1048</v>
      </c>
      <c r="L125" s="404" t="s">
        <v>1048</v>
      </c>
      <c r="M125" s="404" t="s">
        <v>1048</v>
      </c>
      <c r="N125" s="404" t="s">
        <v>1048</v>
      </c>
      <c r="O125" s="404">
        <v>2</v>
      </c>
      <c r="P125" s="404">
        <v>3</v>
      </c>
      <c r="Q125" s="404">
        <v>4</v>
      </c>
      <c r="R125" s="404">
        <v>6</v>
      </c>
      <c r="S125" s="404">
        <v>1</v>
      </c>
      <c r="T125" s="404">
        <v>2</v>
      </c>
      <c r="U125" s="404">
        <v>4</v>
      </c>
      <c r="V125" s="404">
        <v>1</v>
      </c>
      <c r="W125" s="404">
        <v>3</v>
      </c>
      <c r="X125" s="404">
        <v>2</v>
      </c>
      <c r="Y125" s="404" t="s">
        <v>1048</v>
      </c>
    </row>
    <row r="126" spans="3:25">
      <c r="C126" s="68" t="str">
        <f>'G-1 All Habitats'!B125</f>
        <v>Intertidal sediment - Artificial littoral muddy sand</v>
      </c>
      <c r="D126" s="404" t="s">
        <v>1048</v>
      </c>
      <c r="E126" s="404" t="s">
        <v>1048</v>
      </c>
      <c r="F126" s="404" t="s">
        <v>1048</v>
      </c>
      <c r="G126" s="404" t="s">
        <v>1048</v>
      </c>
      <c r="H126" s="404" t="s">
        <v>1048</v>
      </c>
      <c r="I126" s="404" t="s">
        <v>1048</v>
      </c>
      <c r="J126" s="404" t="s">
        <v>1048</v>
      </c>
      <c r="K126" s="404" t="s">
        <v>1048</v>
      </c>
      <c r="L126" s="404" t="s">
        <v>1048</v>
      </c>
      <c r="M126" s="404" t="s">
        <v>1048</v>
      </c>
      <c r="N126" s="404" t="s">
        <v>1048</v>
      </c>
      <c r="O126" s="404">
        <v>2</v>
      </c>
      <c r="P126" s="404">
        <v>4</v>
      </c>
      <c r="Q126" s="404">
        <v>6</v>
      </c>
      <c r="R126" s="404">
        <v>8</v>
      </c>
      <c r="S126" s="404">
        <v>2</v>
      </c>
      <c r="T126" s="404">
        <v>4</v>
      </c>
      <c r="U126" s="404">
        <v>6</v>
      </c>
      <c r="V126" s="404">
        <v>2</v>
      </c>
      <c r="W126" s="404">
        <v>4</v>
      </c>
      <c r="X126" s="404">
        <v>2</v>
      </c>
      <c r="Y126" s="404" t="s">
        <v>1048</v>
      </c>
    </row>
    <row r="127" spans="3:25">
      <c r="C127" s="68" t="str">
        <f>'G-1 All Habitats'!B126</f>
        <v>Intertidal sediment - Artificial littoral mixed sediments</v>
      </c>
      <c r="D127" s="404" t="s">
        <v>1048</v>
      </c>
      <c r="E127" s="404" t="s">
        <v>1048</v>
      </c>
      <c r="F127" s="404" t="s">
        <v>1048</v>
      </c>
      <c r="G127" s="404" t="s">
        <v>1048</v>
      </c>
      <c r="H127" s="404" t="s">
        <v>1048</v>
      </c>
      <c r="I127" s="404" t="s">
        <v>1048</v>
      </c>
      <c r="J127" s="404" t="s">
        <v>1048</v>
      </c>
      <c r="K127" s="404" t="s">
        <v>1048</v>
      </c>
      <c r="L127" s="404" t="s">
        <v>1048</v>
      </c>
      <c r="M127" s="404" t="s">
        <v>1048</v>
      </c>
      <c r="N127" s="404" t="s">
        <v>1048</v>
      </c>
      <c r="O127" s="404">
        <v>1</v>
      </c>
      <c r="P127" s="404">
        <v>2</v>
      </c>
      <c r="Q127" s="404">
        <v>3</v>
      </c>
      <c r="R127" s="404">
        <v>4</v>
      </c>
      <c r="S127" s="404">
        <v>1</v>
      </c>
      <c r="T127" s="404">
        <v>2</v>
      </c>
      <c r="U127" s="404">
        <v>3</v>
      </c>
      <c r="V127" s="404">
        <v>1</v>
      </c>
      <c r="W127" s="404">
        <v>2</v>
      </c>
      <c r="X127" s="404">
        <v>1</v>
      </c>
      <c r="Y127" s="404" t="s">
        <v>1048</v>
      </c>
    </row>
    <row r="128" spans="3:25">
      <c r="C128" s="68" t="str">
        <f>'G-1 All Habitats'!B127</f>
        <v>Intertidal sediment - Artificial littoral seagrass</v>
      </c>
      <c r="D128" s="404" t="s">
        <v>1048</v>
      </c>
      <c r="E128" s="404" t="s">
        <v>1048</v>
      </c>
      <c r="F128" s="404" t="s">
        <v>1048</v>
      </c>
      <c r="G128" s="404" t="s">
        <v>1048</v>
      </c>
      <c r="H128" s="404" t="s">
        <v>1048</v>
      </c>
      <c r="I128" s="404" t="s">
        <v>1048</v>
      </c>
      <c r="J128" s="404" t="s">
        <v>1048</v>
      </c>
      <c r="K128" s="404" t="s">
        <v>1048</v>
      </c>
      <c r="L128" s="404" t="s">
        <v>1048</v>
      </c>
      <c r="M128" s="404" t="s">
        <v>1048</v>
      </c>
      <c r="N128" s="404" t="s">
        <v>1048</v>
      </c>
      <c r="O128" s="404">
        <v>3</v>
      </c>
      <c r="P128" s="404">
        <v>13</v>
      </c>
      <c r="Q128" s="404">
        <v>23</v>
      </c>
      <c r="R128" s="404" t="s">
        <v>1049</v>
      </c>
      <c r="S128" s="404">
        <v>10</v>
      </c>
      <c r="T128" s="404">
        <v>20</v>
      </c>
      <c r="U128" s="404">
        <v>30</v>
      </c>
      <c r="V128" s="404">
        <v>10</v>
      </c>
      <c r="W128" s="404">
        <v>20</v>
      </c>
      <c r="X128" s="404">
        <v>10</v>
      </c>
      <c r="Y128" s="404" t="s">
        <v>1048</v>
      </c>
    </row>
    <row r="129" spans="3:25">
      <c r="C129" s="68" t="str">
        <f>'G-1 All Habitats'!B128</f>
        <v>Intertidal sediment - Artificial littoral biogenic reefs</v>
      </c>
      <c r="D129" s="404" t="s">
        <v>1048</v>
      </c>
      <c r="E129" s="404" t="s">
        <v>1048</v>
      </c>
      <c r="F129" s="404" t="s">
        <v>1048</v>
      </c>
      <c r="G129" s="404" t="s">
        <v>1048</v>
      </c>
      <c r="H129" s="404" t="s">
        <v>1048</v>
      </c>
      <c r="I129" s="404" t="s">
        <v>1048</v>
      </c>
      <c r="J129" s="404" t="s">
        <v>1048</v>
      </c>
      <c r="K129" s="404" t="s">
        <v>1048</v>
      </c>
      <c r="L129" s="404" t="s">
        <v>1048</v>
      </c>
      <c r="M129" s="404" t="s">
        <v>1048</v>
      </c>
      <c r="N129" s="404" t="s">
        <v>1048</v>
      </c>
      <c r="O129" s="404">
        <v>2</v>
      </c>
      <c r="P129" s="404">
        <v>4</v>
      </c>
      <c r="Q129" s="404">
        <v>7</v>
      </c>
      <c r="R129" s="404">
        <v>10</v>
      </c>
      <c r="S129" s="404">
        <v>2</v>
      </c>
      <c r="T129" s="404">
        <v>3</v>
      </c>
      <c r="U129" s="404">
        <v>8</v>
      </c>
      <c r="V129" s="404">
        <v>3</v>
      </c>
      <c r="W129" s="404">
        <v>6</v>
      </c>
      <c r="X129" s="404">
        <v>3</v>
      </c>
      <c r="Y129" s="404" t="s">
        <v>1048</v>
      </c>
    </row>
    <row r="130" spans="3:25">
      <c r="C130" s="68" t="str">
        <f>'G-1 All Habitats'!B129</f>
        <v>Intertidal sediment - Littoral sand</v>
      </c>
      <c r="D130" s="404" t="s">
        <v>1048</v>
      </c>
      <c r="E130" s="404" t="s">
        <v>1048</v>
      </c>
      <c r="F130" s="404" t="s">
        <v>1048</v>
      </c>
      <c r="G130" s="404" t="s">
        <v>1048</v>
      </c>
      <c r="H130" s="404" t="s">
        <v>1048</v>
      </c>
      <c r="I130" s="404" t="s">
        <v>1048</v>
      </c>
      <c r="J130" s="404" t="s">
        <v>1048</v>
      </c>
      <c r="K130" s="404" t="s">
        <v>1048</v>
      </c>
      <c r="L130" s="404" t="s">
        <v>1048</v>
      </c>
      <c r="M130" s="404" t="s">
        <v>1048</v>
      </c>
      <c r="N130" s="404" t="s">
        <v>1048</v>
      </c>
      <c r="O130" s="404">
        <v>2</v>
      </c>
      <c r="P130" s="404">
        <v>3</v>
      </c>
      <c r="Q130" s="404">
        <v>4</v>
      </c>
      <c r="R130" s="404">
        <v>6</v>
      </c>
      <c r="S130" s="404">
        <v>1</v>
      </c>
      <c r="T130" s="404">
        <v>2</v>
      </c>
      <c r="U130" s="404">
        <v>4</v>
      </c>
      <c r="V130" s="404">
        <v>1</v>
      </c>
      <c r="W130" s="404">
        <v>3</v>
      </c>
      <c r="X130" s="404">
        <v>2</v>
      </c>
      <c r="Y130" s="404" t="s">
        <v>1048</v>
      </c>
    </row>
    <row r="131" spans="3:25">
      <c r="C131" s="68" t="str">
        <f>'G-1 All Habitats'!B130</f>
        <v>Intertidal sediment - Littoral muddy sand</v>
      </c>
      <c r="D131" s="404" t="s">
        <v>1048</v>
      </c>
      <c r="E131" s="404" t="s">
        <v>1048</v>
      </c>
      <c r="F131" s="404" t="s">
        <v>1048</v>
      </c>
      <c r="G131" s="404" t="s">
        <v>1048</v>
      </c>
      <c r="H131" s="404" t="s">
        <v>1048</v>
      </c>
      <c r="I131" s="404" t="s">
        <v>1048</v>
      </c>
      <c r="J131" s="404" t="s">
        <v>1048</v>
      </c>
      <c r="K131" s="404" t="s">
        <v>1048</v>
      </c>
      <c r="L131" s="404" t="s">
        <v>1048</v>
      </c>
      <c r="M131" s="404" t="s">
        <v>1048</v>
      </c>
      <c r="N131" s="404" t="s">
        <v>1048</v>
      </c>
      <c r="O131" s="404">
        <v>2</v>
      </c>
      <c r="P131" s="404">
        <v>4</v>
      </c>
      <c r="Q131" s="404">
        <v>6</v>
      </c>
      <c r="R131" s="404">
        <v>8</v>
      </c>
      <c r="S131" s="404">
        <v>2</v>
      </c>
      <c r="T131" s="404">
        <v>4</v>
      </c>
      <c r="U131" s="404">
        <v>6</v>
      </c>
      <c r="V131" s="404">
        <v>2</v>
      </c>
      <c r="W131" s="404">
        <v>4</v>
      </c>
      <c r="X131" s="404">
        <v>2</v>
      </c>
      <c r="Y131" s="404" t="s">
        <v>1048</v>
      </c>
    </row>
    <row r="132" spans="3:25">
      <c r="C132" s="68" t="str">
        <f>'G-1 All Habitats'!B131</f>
        <v>Intertidal hard structures - Artificial hard structures</v>
      </c>
      <c r="D132" s="404" t="s">
        <v>1048</v>
      </c>
      <c r="E132" s="404" t="s">
        <v>1048</v>
      </c>
      <c r="F132" s="404" t="s">
        <v>1048</v>
      </c>
      <c r="G132" s="404" t="s">
        <v>1048</v>
      </c>
      <c r="H132" s="404" t="s">
        <v>1048</v>
      </c>
      <c r="I132" s="404" t="s">
        <v>1048</v>
      </c>
      <c r="J132" s="404" t="s">
        <v>1048</v>
      </c>
      <c r="K132" s="404" t="s">
        <v>1048</v>
      </c>
      <c r="L132" s="404" t="s">
        <v>1048</v>
      </c>
      <c r="M132" s="404" t="s">
        <v>1048</v>
      </c>
      <c r="N132" s="404" t="s">
        <v>1048</v>
      </c>
      <c r="O132" s="404">
        <v>6</v>
      </c>
      <c r="P132" s="404">
        <v>4</v>
      </c>
      <c r="Q132" s="404">
        <v>10</v>
      </c>
      <c r="R132" s="404">
        <v>2</v>
      </c>
      <c r="S132" s="404">
        <v>2</v>
      </c>
      <c r="T132" s="404">
        <v>8</v>
      </c>
      <c r="U132" s="404">
        <v>6</v>
      </c>
      <c r="V132" s="404">
        <v>2</v>
      </c>
      <c r="W132" s="404">
        <v>12</v>
      </c>
      <c r="X132" s="404">
        <v>4</v>
      </c>
      <c r="Y132" s="404" t="s">
        <v>1048</v>
      </c>
    </row>
    <row r="133" spans="3:25">
      <c r="C133" s="68" t="str">
        <f>'G-1 All Habitats'!B132</f>
        <v>Intertidal hard structures - Artificial features of hard structures</v>
      </c>
      <c r="D133" s="404" t="s">
        <v>1048</v>
      </c>
      <c r="E133" s="404" t="s">
        <v>1048</v>
      </c>
      <c r="F133" s="404" t="s">
        <v>1048</v>
      </c>
      <c r="G133" s="404" t="s">
        <v>1048</v>
      </c>
      <c r="H133" s="404" t="s">
        <v>1048</v>
      </c>
      <c r="I133" s="404" t="s">
        <v>1048</v>
      </c>
      <c r="J133" s="404" t="s">
        <v>1048</v>
      </c>
      <c r="K133" s="404" t="s">
        <v>1048</v>
      </c>
      <c r="L133" s="404" t="s">
        <v>1048</v>
      </c>
      <c r="M133" s="404" t="s">
        <v>1048</v>
      </c>
      <c r="N133" s="404" t="s">
        <v>1048</v>
      </c>
      <c r="O133" s="404">
        <v>5</v>
      </c>
      <c r="P133" s="404">
        <v>4</v>
      </c>
      <c r="Q133" s="404">
        <v>9</v>
      </c>
      <c r="R133" s="404">
        <v>2</v>
      </c>
      <c r="S133" s="404">
        <v>2</v>
      </c>
      <c r="T133" s="404">
        <v>7</v>
      </c>
      <c r="U133" s="404">
        <v>6</v>
      </c>
      <c r="V133" s="404">
        <v>2</v>
      </c>
      <c r="W133" s="404">
        <v>11</v>
      </c>
      <c r="X133" s="404">
        <v>4</v>
      </c>
      <c r="Y133" s="404" t="s">
        <v>1048</v>
      </c>
    </row>
    <row r="134" spans="3:25">
      <c r="C134" s="68" t="str">
        <f>'G-1 All Habitats'!B133</f>
        <v>Intertidal hard structures - Artificial hard structures with integrated greening of grey infrastructure (IGGI)</v>
      </c>
      <c r="D134" s="404" t="s">
        <v>1048</v>
      </c>
      <c r="E134" s="404" t="s">
        <v>1048</v>
      </c>
      <c r="F134" s="404" t="s">
        <v>1048</v>
      </c>
      <c r="G134" s="404" t="s">
        <v>1048</v>
      </c>
      <c r="H134" s="404" t="s">
        <v>1048</v>
      </c>
      <c r="I134" s="404" t="s">
        <v>1048</v>
      </c>
      <c r="J134" s="404" t="s">
        <v>1048</v>
      </c>
      <c r="K134" s="404" t="s">
        <v>1048</v>
      </c>
      <c r="L134" s="404" t="s">
        <v>1048</v>
      </c>
      <c r="M134" s="404" t="s">
        <v>1048</v>
      </c>
      <c r="N134" s="404" t="s">
        <v>1048</v>
      </c>
      <c r="O134" s="404">
        <v>5</v>
      </c>
      <c r="P134" s="404">
        <v>4</v>
      </c>
      <c r="Q134" s="404">
        <v>9</v>
      </c>
      <c r="R134" s="404">
        <v>2</v>
      </c>
      <c r="S134" s="404">
        <v>2</v>
      </c>
      <c r="T134" s="404">
        <v>7</v>
      </c>
      <c r="U134" s="404">
        <v>6</v>
      </c>
      <c r="V134" s="404">
        <v>2</v>
      </c>
      <c r="W134" s="404">
        <v>11</v>
      </c>
      <c r="X134" s="404">
        <v>4</v>
      </c>
      <c r="Y134" s="404" t="s">
        <v>1048</v>
      </c>
    </row>
    <row r="135" spans="3:25">
      <c r="C135" s="68" t="str">
        <f>'G-1 All Habitats'!B134</f>
        <v>Watercourse footprint - Watercourse footprint</v>
      </c>
      <c r="D135" s="404" t="s">
        <v>1048</v>
      </c>
      <c r="E135" s="404" t="s">
        <v>1048</v>
      </c>
      <c r="F135" s="404" t="s">
        <v>1048</v>
      </c>
      <c r="G135" s="404" t="s">
        <v>1048</v>
      </c>
      <c r="H135" s="404" t="s">
        <v>1048</v>
      </c>
      <c r="I135" s="404" t="s">
        <v>1048</v>
      </c>
      <c r="J135" s="404" t="s">
        <v>1048</v>
      </c>
      <c r="K135" s="404" t="s">
        <v>1048</v>
      </c>
      <c r="L135" s="404" t="s">
        <v>1048</v>
      </c>
      <c r="M135" s="404" t="s">
        <v>1048</v>
      </c>
      <c r="N135" s="404" t="s">
        <v>1048</v>
      </c>
      <c r="O135" s="404" t="s">
        <v>1048</v>
      </c>
      <c r="P135" s="404" t="s">
        <v>1048</v>
      </c>
      <c r="Q135" s="404" t="s">
        <v>1048</v>
      </c>
      <c r="R135" s="404" t="s">
        <v>1048</v>
      </c>
      <c r="S135" s="404" t="s">
        <v>1048</v>
      </c>
      <c r="T135" s="404" t="s">
        <v>1048</v>
      </c>
      <c r="U135" s="404" t="s">
        <v>1048</v>
      </c>
      <c r="V135" s="404" t="s">
        <v>1048</v>
      </c>
      <c r="W135" s="404" t="s">
        <v>1048</v>
      </c>
      <c r="X135" s="404" t="s">
        <v>1048</v>
      </c>
      <c r="Y135" s="404" t="s">
        <v>1048</v>
      </c>
    </row>
    <row r="136" spans="3:25">
      <c r="C136" s="68" t="str">
        <f>'G-1 All Habitats'!B81</f>
        <v>Individual trees - Rural tree</v>
      </c>
      <c r="D136" s="404" t="s">
        <v>1048</v>
      </c>
      <c r="E136" s="404" t="s">
        <v>1048</v>
      </c>
      <c r="F136" s="404" t="s">
        <v>1048</v>
      </c>
      <c r="G136" s="404" t="s">
        <v>1048</v>
      </c>
      <c r="H136" s="404" t="s">
        <v>1048</v>
      </c>
      <c r="I136" s="404" t="s">
        <v>1048</v>
      </c>
      <c r="J136" s="404" t="s">
        <v>1048</v>
      </c>
      <c r="K136" s="404" t="s">
        <v>1048</v>
      </c>
      <c r="L136" s="404" t="s">
        <v>1048</v>
      </c>
      <c r="M136" s="404" t="s">
        <v>1048</v>
      </c>
      <c r="N136" s="404" t="s">
        <v>1048</v>
      </c>
      <c r="O136" s="404">
        <v>8</v>
      </c>
      <c r="P136" s="404">
        <v>16</v>
      </c>
      <c r="Q136" s="404">
        <v>24</v>
      </c>
      <c r="R136" s="404" t="s">
        <v>1049</v>
      </c>
      <c r="S136" s="404">
        <v>8</v>
      </c>
      <c r="T136" s="404">
        <v>16</v>
      </c>
      <c r="U136" s="404">
        <v>24</v>
      </c>
      <c r="V136" s="404">
        <v>8</v>
      </c>
      <c r="W136" s="404">
        <v>16</v>
      </c>
      <c r="X136" s="404">
        <v>8</v>
      </c>
      <c r="Y136" s="404" t="s">
        <v>1048</v>
      </c>
    </row>
    <row r="147"/>
    <row r="273"/>
    <row r="274"/>
    <row r="275"/>
    <row r="279"/>
    <row r="280"/>
    <row r="281"/>
    <row r="282"/>
    <row r="283"/>
    <row r="284"/>
    <row r="285"/>
    <row r="286"/>
    <row r="287"/>
    <row r="288"/>
    <row r="289"/>
    <row r="290"/>
    <row r="291"/>
    <row r="292"/>
    <row r="293"/>
    <row r="294"/>
    <row r="295"/>
  </sheetData>
  <sheetProtection algorithmName="SHA-512" hashValue="M3GT5G4y1zltT5uR0drBnh8mRzNJxYNqfcRaRErDXw/geVHzaWIqEFlI343nzNabqtfpZ1LeGpEE1YDojmtJzA==" saltValue="37w+2/ektuzEdsIJ43snvA==" spinCount="100000" sheet="1" objects="1" scenarios="1"/>
  <customSheetViews>
    <customSheetView guid="{8BDA793C-C9C5-4FC6-A0A5-F1109F6D4F22}" state="hidden">
      <pane xSplit="3" ySplit="4" topLeftCell="D127" activePane="bottomRight" state="frozen"/>
      <selection pane="bottomRight" activeCell="D14" sqref="D14"/>
    </customSheetView>
  </customSheetViews>
  <pageMargins left="0.7" right="0.7" top="0.75" bottom="0.75" header="0.3" footer="0.3"/>
  <pageSetup paperSize="9" orientation="portrait" horizontalDpi="90" verticalDpi="90"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2000-000000000000}">
          <x14:formula1>
            <xm:f>'G-4 Temporal multipliers'!$A$4:$A$37</xm:f>
          </x14:formula1>
          <xm:sqref>D5:Y136</xm:sqref>
        </x14:dataValidation>
      </x14:dataValidations>
    </ext>
  </extLst>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5">
    <tabColor rgb="FFFFC000"/>
  </sheetPr>
  <dimension ref="A1:BW20"/>
  <sheetViews>
    <sheetView showGridLines="0" zoomScale="80" zoomScaleNormal="80" workbookViewId="0">
      <selection sqref="A1:B1"/>
    </sheetView>
  </sheetViews>
  <sheetFormatPr defaultColWidth="0" defaultRowHeight="15" zeroHeight="1"/>
  <cols>
    <col min="1" max="1" width="8.28515625" style="30" customWidth="1"/>
    <col min="2" max="2" width="66.42578125" style="30" bestFit="1" customWidth="1"/>
    <col min="3" max="4" width="17.28515625" style="30" customWidth="1"/>
    <col min="5" max="5" width="10.28515625" style="30" customWidth="1"/>
    <col min="6" max="6" width="9.5703125" style="30" hidden="1" customWidth="1"/>
    <col min="7" max="7" width="12.28515625" style="30" customWidth="1"/>
    <col min="8" max="8" width="10" style="30" hidden="1" customWidth="1"/>
    <col min="9" max="9" width="10.28515625" style="30" customWidth="1"/>
    <col min="10" max="10" width="8.28515625" style="30" hidden="1" customWidth="1"/>
    <col min="11" max="11" width="12.28515625" style="30" customWidth="1"/>
    <col min="12" max="12" width="7.7109375" style="30" hidden="1" customWidth="1"/>
    <col min="13" max="13" width="10.7109375" style="30" customWidth="1"/>
    <col min="14" max="14" width="10.5703125" style="30" hidden="1" customWidth="1"/>
    <col min="15" max="15" width="10.7109375" style="30" hidden="1" customWidth="1"/>
    <col min="16" max="16" width="4.28515625" style="30" hidden="1" customWidth="1"/>
    <col min="17" max="17" width="12.5703125" style="157" customWidth="1"/>
    <col min="18" max="18" width="4.28515625" style="30" hidden="1" customWidth="1"/>
    <col min="19" max="19" width="8.28515625" style="30" customWidth="1"/>
    <col min="20" max="31" width="5.28515625" style="30" bestFit="1" customWidth="1"/>
    <col min="32" max="32" width="12.7109375" style="30" customWidth="1"/>
    <col min="33" max="33" width="15.7109375" style="30" customWidth="1"/>
    <col min="34" max="34" width="32.28515625" style="30" customWidth="1"/>
    <col min="35" max="35" width="8.7109375" style="30" customWidth="1"/>
    <col min="36" max="37" width="14" style="30" customWidth="1"/>
    <col min="38" max="38" width="8.7109375" style="30" customWidth="1"/>
    <col min="39" max="39" width="66.42578125" style="30" bestFit="1" customWidth="1"/>
    <col min="40" max="40" width="14.5703125" style="30" bestFit="1" customWidth="1"/>
    <col min="41" max="52" width="16.7109375" style="30" bestFit="1" customWidth="1"/>
    <col min="53" max="56" width="8.7109375" style="30" customWidth="1"/>
    <col min="57" max="61" width="8.7109375" style="30" hidden="1" customWidth="1"/>
    <col min="62" max="62" width="12.42578125" style="142" hidden="1" customWidth="1"/>
    <col min="63" max="64" width="12" style="30" hidden="1" customWidth="1"/>
    <col min="65" max="75" width="0" style="30" hidden="1" customWidth="1"/>
    <col min="76" max="16384" width="8.7109375" style="30" hidden="1"/>
  </cols>
  <sheetData>
    <row r="1" spans="1:64" ht="66.75" customHeight="1" thickBot="1">
      <c r="A1" s="1651"/>
      <c r="B1" s="1654"/>
      <c r="C1" s="1658" t="s">
        <v>269</v>
      </c>
      <c r="D1" s="1659"/>
      <c r="E1" s="1655" t="s">
        <v>1076</v>
      </c>
      <c r="F1" s="1656"/>
      <c r="G1" s="1656"/>
      <c r="H1" s="1656"/>
      <c r="I1" s="1657"/>
      <c r="J1" s="1655" t="s">
        <v>1077</v>
      </c>
      <c r="K1" s="1656"/>
      <c r="L1" s="1656"/>
      <c r="M1" s="1656"/>
      <c r="N1" s="1656"/>
      <c r="O1" s="1656"/>
      <c r="P1" s="1656"/>
      <c r="Q1" s="1656"/>
      <c r="R1" s="1657"/>
      <c r="S1" s="1655" t="s">
        <v>1078</v>
      </c>
      <c r="T1" s="1656"/>
      <c r="U1" s="1656"/>
      <c r="V1" s="1656"/>
      <c r="W1" s="1656"/>
      <c r="X1" s="1656"/>
      <c r="Y1" s="1656"/>
      <c r="Z1" s="1656"/>
      <c r="AA1" s="1656"/>
      <c r="AB1" s="1656"/>
      <c r="AC1" s="1656"/>
      <c r="AD1" s="1656"/>
      <c r="AE1" s="1657"/>
      <c r="AF1" s="1658" t="s">
        <v>379</v>
      </c>
      <c r="AG1" s="1659"/>
      <c r="AH1" s="1537" t="s">
        <v>1079</v>
      </c>
      <c r="AJ1" s="1658" t="s">
        <v>357</v>
      </c>
      <c r="AK1" s="1659"/>
      <c r="AM1" s="141" t="s">
        <v>1080</v>
      </c>
      <c r="AN1" s="1662" t="s">
        <v>1081</v>
      </c>
      <c r="AO1" s="1662"/>
      <c r="AP1" s="1662"/>
      <c r="AQ1" s="1662"/>
      <c r="AR1" s="1662"/>
      <c r="AS1" s="1662"/>
      <c r="AT1" s="1662"/>
      <c r="AU1" s="1662"/>
      <c r="AV1" s="1662"/>
      <c r="AW1" s="1662"/>
      <c r="AX1" s="1662"/>
      <c r="AY1" s="1662"/>
      <c r="AZ1" s="1662"/>
      <c r="BK1" s="1660" t="s">
        <v>1082</v>
      </c>
      <c r="BL1" s="1661"/>
    </row>
    <row r="2" spans="1:64" ht="182.25" customHeight="1" thickBot="1">
      <c r="B2" s="143" t="s">
        <v>933</v>
      </c>
      <c r="C2" s="140" t="s">
        <v>448</v>
      </c>
      <c r="D2" s="144" t="s">
        <v>449</v>
      </c>
      <c r="E2" s="140" t="s">
        <v>328</v>
      </c>
      <c r="F2" s="145"/>
      <c r="G2" s="145" t="s">
        <v>67</v>
      </c>
      <c r="H2" s="145"/>
      <c r="I2" s="144" t="s">
        <v>68</v>
      </c>
      <c r="J2" s="140"/>
      <c r="K2" s="145" t="s">
        <v>1066</v>
      </c>
      <c r="L2" s="145"/>
      <c r="M2" s="145" t="s">
        <v>1068</v>
      </c>
      <c r="N2" s="145"/>
      <c r="O2" s="145"/>
      <c r="P2" s="145"/>
      <c r="Q2" s="144" t="s">
        <v>1073</v>
      </c>
      <c r="R2" s="146"/>
      <c r="S2" s="147" t="s">
        <v>167</v>
      </c>
      <c r="T2" s="148" t="s">
        <v>168</v>
      </c>
      <c r="U2" s="148" t="s">
        <v>169</v>
      </c>
      <c r="V2" s="148" t="s">
        <v>170</v>
      </c>
      <c r="W2" s="148" t="s">
        <v>171</v>
      </c>
      <c r="X2" s="148" t="s">
        <v>172</v>
      </c>
      <c r="Y2" s="148" t="s">
        <v>173</v>
      </c>
      <c r="Z2" s="148" t="s">
        <v>174</v>
      </c>
      <c r="AA2" s="148" t="s">
        <v>175</v>
      </c>
      <c r="AB2" s="148" t="s">
        <v>176</v>
      </c>
      <c r="AC2" s="148" t="s">
        <v>177</v>
      </c>
      <c r="AD2" s="148" t="s">
        <v>1083</v>
      </c>
      <c r="AE2" s="148" t="s">
        <v>179</v>
      </c>
      <c r="AF2" s="140" t="s">
        <v>451</v>
      </c>
      <c r="AG2" s="144" t="s">
        <v>452</v>
      </c>
      <c r="AH2" s="1570"/>
      <c r="AJ2" s="140" t="s">
        <v>1084</v>
      </c>
      <c r="AK2" s="144" t="s">
        <v>1085</v>
      </c>
      <c r="AM2" s="149" t="s">
        <v>1086</v>
      </c>
      <c r="AN2" s="132" t="s">
        <v>167</v>
      </c>
      <c r="AO2" s="132" t="s">
        <v>168</v>
      </c>
      <c r="AP2" s="132" t="s">
        <v>169</v>
      </c>
      <c r="AQ2" s="132" t="s">
        <v>170</v>
      </c>
      <c r="AR2" s="132" t="s">
        <v>171</v>
      </c>
      <c r="AS2" s="132" t="s">
        <v>172</v>
      </c>
      <c r="AT2" s="132" t="s">
        <v>173</v>
      </c>
      <c r="AU2" s="132" t="s">
        <v>174</v>
      </c>
      <c r="AV2" s="132" t="s">
        <v>175</v>
      </c>
      <c r="AW2" s="132" t="s">
        <v>176</v>
      </c>
      <c r="AX2" s="132" t="s">
        <v>177</v>
      </c>
      <c r="AY2" s="132" t="s">
        <v>1083</v>
      </c>
      <c r="AZ2" s="132" t="s">
        <v>179</v>
      </c>
      <c r="BK2" s="69" t="s">
        <v>1087</v>
      </c>
      <c r="BL2" s="69" t="s">
        <v>1088</v>
      </c>
    </row>
    <row r="3" spans="1:64" ht="30.75" customHeight="1" thickBot="1">
      <c r="A3" s="150"/>
      <c r="B3" s="480" t="s">
        <v>167</v>
      </c>
      <c r="C3" s="443" t="s">
        <v>467</v>
      </c>
      <c r="D3" s="444">
        <v>8</v>
      </c>
      <c r="E3" s="445">
        <v>1</v>
      </c>
      <c r="F3" s="446"/>
      <c r="G3" s="446">
        <v>10</v>
      </c>
      <c r="H3" s="446"/>
      <c r="I3" s="444">
        <v>20</v>
      </c>
      <c r="J3" s="445"/>
      <c r="K3" s="446">
        <v>6</v>
      </c>
      <c r="L3" s="446"/>
      <c r="M3" s="446">
        <v>10</v>
      </c>
      <c r="N3" s="446"/>
      <c r="O3" s="446"/>
      <c r="P3" s="446"/>
      <c r="Q3" s="444">
        <v>4</v>
      </c>
      <c r="R3" s="447"/>
      <c r="S3" s="448" t="s">
        <v>1089</v>
      </c>
      <c r="T3" s="449" t="s">
        <v>1089</v>
      </c>
      <c r="U3" s="449" t="s">
        <v>1089</v>
      </c>
      <c r="V3" s="449" t="s">
        <v>1089</v>
      </c>
      <c r="W3" s="449" t="s">
        <v>1089</v>
      </c>
      <c r="X3" s="449" t="s">
        <v>1089</v>
      </c>
      <c r="Y3" s="449" t="s">
        <v>1089</v>
      </c>
      <c r="Z3" s="449" t="s">
        <v>1089</v>
      </c>
      <c r="AA3" s="449" t="s">
        <v>1089</v>
      </c>
      <c r="AB3" s="449" t="s">
        <v>1089</v>
      </c>
      <c r="AC3" s="449" t="s">
        <v>1089</v>
      </c>
      <c r="AD3" s="449" t="s">
        <v>1089</v>
      </c>
      <c r="AE3" s="450" t="s">
        <v>1089</v>
      </c>
      <c r="AF3" s="451" t="s">
        <v>216</v>
      </c>
      <c r="AG3" s="452" t="s">
        <v>216</v>
      </c>
      <c r="AH3" s="453" t="s">
        <v>1090</v>
      </c>
      <c r="AJ3" s="152" t="s">
        <v>68</v>
      </c>
      <c r="AK3" s="461">
        <v>3</v>
      </c>
      <c r="AM3" s="151" t="s">
        <v>167</v>
      </c>
      <c r="AN3" s="449" t="s">
        <v>1091</v>
      </c>
      <c r="AO3" s="464" t="s">
        <v>1092</v>
      </c>
      <c r="AP3" s="449" t="s">
        <v>1092</v>
      </c>
      <c r="AQ3" s="449" t="s">
        <v>1092</v>
      </c>
      <c r="AR3" s="449" t="s">
        <v>1092</v>
      </c>
      <c r="AS3" s="449" t="s">
        <v>1092</v>
      </c>
      <c r="AT3" s="449" t="s">
        <v>1092</v>
      </c>
      <c r="AU3" s="449" t="s">
        <v>1092</v>
      </c>
      <c r="AV3" s="449" t="s">
        <v>1092</v>
      </c>
      <c r="AW3" s="449" t="s">
        <v>1092</v>
      </c>
      <c r="AX3" s="449" t="s">
        <v>1092</v>
      </c>
      <c r="AY3" s="449" t="s">
        <v>1092</v>
      </c>
      <c r="AZ3" s="449" t="s">
        <v>1092</v>
      </c>
      <c r="BJ3" s="142" t="s">
        <v>1087</v>
      </c>
      <c r="BK3" s="153" t="s">
        <v>68</v>
      </c>
      <c r="BL3" s="153" t="s">
        <v>328</v>
      </c>
    </row>
    <row r="4" spans="1:64" ht="30.75" customHeight="1" thickBot="1">
      <c r="A4" s="150"/>
      <c r="B4" s="481" t="s">
        <v>168</v>
      </c>
      <c r="C4" s="398" t="s">
        <v>213</v>
      </c>
      <c r="D4" s="452">
        <v>6</v>
      </c>
      <c r="E4" s="451">
        <v>1</v>
      </c>
      <c r="F4" s="404"/>
      <c r="G4" s="404">
        <v>10</v>
      </c>
      <c r="H4" s="404"/>
      <c r="I4" s="452">
        <v>20</v>
      </c>
      <c r="J4" s="451"/>
      <c r="K4" s="404">
        <v>6</v>
      </c>
      <c r="L4" s="404"/>
      <c r="M4" s="404">
        <v>10</v>
      </c>
      <c r="N4" s="404"/>
      <c r="O4" s="404"/>
      <c r="P4" s="404"/>
      <c r="Q4" s="452">
        <v>4</v>
      </c>
      <c r="R4" s="454"/>
      <c r="S4" s="451">
        <v>5</v>
      </c>
      <c r="T4" s="449" t="s">
        <v>1089</v>
      </c>
      <c r="U4" s="449" t="s">
        <v>1089</v>
      </c>
      <c r="V4" s="449" t="s">
        <v>1089</v>
      </c>
      <c r="W4" s="449" t="s">
        <v>1089</v>
      </c>
      <c r="X4" s="449" t="s">
        <v>1089</v>
      </c>
      <c r="Y4" s="449" t="s">
        <v>1089</v>
      </c>
      <c r="Z4" s="449" t="s">
        <v>1089</v>
      </c>
      <c r="AA4" s="449" t="s">
        <v>1089</v>
      </c>
      <c r="AB4" s="449" t="s">
        <v>1089</v>
      </c>
      <c r="AC4" s="449" t="s">
        <v>1089</v>
      </c>
      <c r="AD4" s="449" t="s">
        <v>1089</v>
      </c>
      <c r="AE4" s="450" t="s">
        <v>1089</v>
      </c>
      <c r="AF4" s="451" t="s">
        <v>216</v>
      </c>
      <c r="AG4" s="452" t="s">
        <v>216</v>
      </c>
      <c r="AH4" s="455" t="s">
        <v>241</v>
      </c>
      <c r="AJ4" s="67" t="s">
        <v>67</v>
      </c>
      <c r="AK4" s="462">
        <v>2</v>
      </c>
      <c r="AM4" s="151" t="s">
        <v>168</v>
      </c>
      <c r="AN4" s="449" t="s">
        <v>1093</v>
      </c>
      <c r="AO4" s="464" t="s">
        <v>1094</v>
      </c>
      <c r="AP4" s="449" t="s">
        <v>1094</v>
      </c>
      <c r="AQ4" s="449" t="s">
        <v>1094</v>
      </c>
      <c r="AR4" s="449" t="s">
        <v>1092</v>
      </c>
      <c r="AS4" s="449" t="s">
        <v>1092</v>
      </c>
      <c r="AT4" s="449" t="s">
        <v>1092</v>
      </c>
      <c r="AU4" s="449" t="s">
        <v>1092</v>
      </c>
      <c r="AV4" s="449" t="s">
        <v>1092</v>
      </c>
      <c r="AW4" s="449" t="s">
        <v>1092</v>
      </c>
      <c r="AX4" s="449" t="s">
        <v>1092</v>
      </c>
      <c r="AY4" s="449" t="s">
        <v>1092</v>
      </c>
      <c r="AZ4" s="449" t="s">
        <v>1092</v>
      </c>
      <c r="BJ4" s="142" t="s">
        <v>1087</v>
      </c>
      <c r="BK4" s="153" t="s">
        <v>67</v>
      </c>
    </row>
    <row r="5" spans="1:64" ht="30.75" customHeight="1" thickBot="1">
      <c r="A5" s="150"/>
      <c r="B5" s="481" t="s">
        <v>169</v>
      </c>
      <c r="C5" s="398" t="s">
        <v>213</v>
      </c>
      <c r="D5" s="452">
        <v>6</v>
      </c>
      <c r="E5" s="451">
        <v>1</v>
      </c>
      <c r="F5" s="404"/>
      <c r="G5" s="404">
        <v>5</v>
      </c>
      <c r="H5" s="404"/>
      <c r="I5" s="452">
        <v>12</v>
      </c>
      <c r="J5" s="451"/>
      <c r="K5" s="404">
        <v>3</v>
      </c>
      <c r="L5" s="404"/>
      <c r="M5" s="404">
        <v>5</v>
      </c>
      <c r="N5" s="404"/>
      <c r="O5" s="404"/>
      <c r="P5" s="404"/>
      <c r="Q5" s="452">
        <v>2</v>
      </c>
      <c r="R5" s="454"/>
      <c r="S5" s="451">
        <v>10</v>
      </c>
      <c r="T5" s="449" t="s">
        <v>1089</v>
      </c>
      <c r="U5" s="449" t="s">
        <v>1089</v>
      </c>
      <c r="V5" s="449" t="s">
        <v>1089</v>
      </c>
      <c r="W5" s="449" t="s">
        <v>1089</v>
      </c>
      <c r="X5" s="449" t="s">
        <v>1089</v>
      </c>
      <c r="Y5" s="449" t="s">
        <v>1089</v>
      </c>
      <c r="Z5" s="449" t="s">
        <v>1089</v>
      </c>
      <c r="AA5" s="449" t="s">
        <v>1089</v>
      </c>
      <c r="AB5" s="449" t="s">
        <v>1089</v>
      </c>
      <c r="AC5" s="449" t="s">
        <v>1089</v>
      </c>
      <c r="AD5" s="449" t="s">
        <v>1089</v>
      </c>
      <c r="AE5" s="450" t="s">
        <v>1089</v>
      </c>
      <c r="AF5" s="451" t="s">
        <v>216</v>
      </c>
      <c r="AG5" s="452" t="s">
        <v>216</v>
      </c>
      <c r="AH5" s="455" t="s">
        <v>241</v>
      </c>
      <c r="AJ5" s="69" t="s">
        <v>328</v>
      </c>
      <c r="AK5" s="463">
        <v>1</v>
      </c>
      <c r="AM5" s="151" t="s">
        <v>169</v>
      </c>
      <c r="AN5" s="449" t="s">
        <v>1093</v>
      </c>
      <c r="AO5" s="464" t="s">
        <v>1094</v>
      </c>
      <c r="AP5" s="449" t="s">
        <v>1094</v>
      </c>
      <c r="AQ5" s="449" t="s">
        <v>1094</v>
      </c>
      <c r="AR5" s="449" t="s">
        <v>1092</v>
      </c>
      <c r="AS5" s="449" t="s">
        <v>1092</v>
      </c>
      <c r="AT5" s="449" t="s">
        <v>1092</v>
      </c>
      <c r="AU5" s="449" t="s">
        <v>1092</v>
      </c>
      <c r="AV5" s="449" t="s">
        <v>1092</v>
      </c>
      <c r="AW5" s="449" t="s">
        <v>1092</v>
      </c>
      <c r="AX5" s="449" t="s">
        <v>1092</v>
      </c>
      <c r="AY5" s="449" t="s">
        <v>1092</v>
      </c>
      <c r="AZ5" s="449" t="s">
        <v>1092</v>
      </c>
      <c r="BJ5" s="142" t="s">
        <v>1087</v>
      </c>
      <c r="BK5" s="153" t="s">
        <v>328</v>
      </c>
    </row>
    <row r="6" spans="1:64" ht="30.75" customHeight="1" thickBot="1">
      <c r="A6" s="150"/>
      <c r="B6" s="481" t="s">
        <v>170</v>
      </c>
      <c r="C6" s="398" t="s">
        <v>213</v>
      </c>
      <c r="D6" s="452">
        <v>6</v>
      </c>
      <c r="E6" s="451">
        <v>1</v>
      </c>
      <c r="F6" s="404"/>
      <c r="G6" s="404">
        <v>10</v>
      </c>
      <c r="H6" s="404"/>
      <c r="I6" s="452">
        <v>20</v>
      </c>
      <c r="J6" s="451"/>
      <c r="K6" s="404">
        <v>6</v>
      </c>
      <c r="L6" s="404"/>
      <c r="M6" s="404">
        <v>10</v>
      </c>
      <c r="N6" s="404"/>
      <c r="O6" s="404"/>
      <c r="P6" s="404"/>
      <c r="Q6" s="452">
        <v>4</v>
      </c>
      <c r="R6" s="454"/>
      <c r="S6" s="451">
        <v>5</v>
      </c>
      <c r="T6" s="449" t="s">
        <v>1089</v>
      </c>
      <c r="U6" s="449" t="s">
        <v>1089</v>
      </c>
      <c r="V6" s="449" t="s">
        <v>1089</v>
      </c>
      <c r="W6" s="449" t="s">
        <v>1089</v>
      </c>
      <c r="X6" s="449" t="s">
        <v>1089</v>
      </c>
      <c r="Y6" s="449" t="s">
        <v>1089</v>
      </c>
      <c r="Z6" s="449" t="s">
        <v>1089</v>
      </c>
      <c r="AA6" s="449" t="s">
        <v>1089</v>
      </c>
      <c r="AB6" s="449" t="s">
        <v>1089</v>
      </c>
      <c r="AC6" s="449" t="s">
        <v>1089</v>
      </c>
      <c r="AD6" s="449" t="s">
        <v>1089</v>
      </c>
      <c r="AE6" s="450" t="s">
        <v>1089</v>
      </c>
      <c r="AF6" s="451" t="s">
        <v>216</v>
      </c>
      <c r="AG6" s="452" t="s">
        <v>216</v>
      </c>
      <c r="AH6" s="455" t="s">
        <v>241</v>
      </c>
      <c r="AM6" s="151" t="s">
        <v>170</v>
      </c>
      <c r="AN6" s="464" t="s">
        <v>1093</v>
      </c>
      <c r="AO6" s="464" t="s">
        <v>1094</v>
      </c>
      <c r="AP6" s="464" t="s">
        <v>1094</v>
      </c>
      <c r="AQ6" s="464" t="s">
        <v>1094</v>
      </c>
      <c r="AR6" s="464" t="s">
        <v>1092</v>
      </c>
      <c r="AS6" s="464" t="s">
        <v>1092</v>
      </c>
      <c r="AT6" s="464" t="s">
        <v>1092</v>
      </c>
      <c r="AU6" s="464" t="s">
        <v>1092</v>
      </c>
      <c r="AV6" s="464" t="s">
        <v>1092</v>
      </c>
      <c r="AW6" s="464" t="s">
        <v>1092</v>
      </c>
      <c r="AX6" s="464" t="s">
        <v>1092</v>
      </c>
      <c r="AY6" s="464" t="s">
        <v>1092</v>
      </c>
      <c r="AZ6" s="464" t="s">
        <v>1092</v>
      </c>
      <c r="BJ6" s="142" t="s">
        <v>1087</v>
      </c>
    </row>
    <row r="7" spans="1:64" ht="45.75" thickBot="1">
      <c r="A7" s="150"/>
      <c r="B7" s="481" t="s">
        <v>171</v>
      </c>
      <c r="C7" s="398" t="s">
        <v>70</v>
      </c>
      <c r="D7" s="452">
        <v>4</v>
      </c>
      <c r="E7" s="451">
        <v>1</v>
      </c>
      <c r="F7" s="404"/>
      <c r="G7" s="404">
        <v>5</v>
      </c>
      <c r="H7" s="404"/>
      <c r="I7" s="452">
        <v>12</v>
      </c>
      <c r="J7" s="451"/>
      <c r="K7" s="404">
        <v>3</v>
      </c>
      <c r="L7" s="404"/>
      <c r="M7" s="404">
        <v>5</v>
      </c>
      <c r="N7" s="404"/>
      <c r="O7" s="404"/>
      <c r="P7" s="404"/>
      <c r="Q7" s="452">
        <v>2</v>
      </c>
      <c r="R7" s="454"/>
      <c r="S7" s="451">
        <v>10</v>
      </c>
      <c r="T7" s="404">
        <v>10</v>
      </c>
      <c r="U7" s="404">
        <v>5</v>
      </c>
      <c r="V7" s="404">
        <v>10</v>
      </c>
      <c r="W7" s="449" t="s">
        <v>1089</v>
      </c>
      <c r="X7" s="449" t="s">
        <v>1089</v>
      </c>
      <c r="Y7" s="449" t="s">
        <v>1089</v>
      </c>
      <c r="Z7" s="449" t="s">
        <v>1089</v>
      </c>
      <c r="AA7" s="449" t="s">
        <v>1089</v>
      </c>
      <c r="AB7" s="449" t="s">
        <v>1089</v>
      </c>
      <c r="AC7" s="449" t="s">
        <v>1089</v>
      </c>
      <c r="AD7" s="449" t="s">
        <v>1089</v>
      </c>
      <c r="AE7" s="450" t="s">
        <v>1089</v>
      </c>
      <c r="AF7" s="451" t="s">
        <v>216</v>
      </c>
      <c r="AG7" s="452" t="s">
        <v>216</v>
      </c>
      <c r="AH7" s="455" t="s">
        <v>1095</v>
      </c>
      <c r="AM7" s="151" t="s">
        <v>171</v>
      </c>
      <c r="AN7" s="464" t="s">
        <v>1096</v>
      </c>
      <c r="AO7" s="382" t="s">
        <v>1097</v>
      </c>
      <c r="AP7" s="382" t="s">
        <v>1097</v>
      </c>
      <c r="AQ7" s="382" t="s">
        <v>1097</v>
      </c>
      <c r="AR7" s="382" t="s">
        <v>1098</v>
      </c>
      <c r="AS7" s="382" t="s">
        <v>1098</v>
      </c>
      <c r="AT7" s="382" t="s">
        <v>1098</v>
      </c>
      <c r="AU7" s="382" t="s">
        <v>1099</v>
      </c>
      <c r="AV7" s="382" t="s">
        <v>1099</v>
      </c>
      <c r="AW7" s="464" t="s">
        <v>1092</v>
      </c>
      <c r="AX7" s="464" t="s">
        <v>1092</v>
      </c>
      <c r="AY7" s="464" t="s">
        <v>1092</v>
      </c>
      <c r="AZ7" s="464" t="s">
        <v>1092</v>
      </c>
      <c r="BJ7" s="142" t="s">
        <v>1087</v>
      </c>
    </row>
    <row r="8" spans="1:64" ht="45.75" thickBot="1">
      <c r="A8" s="150"/>
      <c r="B8" s="481" t="s">
        <v>172</v>
      </c>
      <c r="C8" s="398" t="s">
        <v>70</v>
      </c>
      <c r="D8" s="452">
        <v>4</v>
      </c>
      <c r="E8" s="451">
        <v>1</v>
      </c>
      <c r="F8" s="404"/>
      <c r="G8" s="404">
        <v>5</v>
      </c>
      <c r="H8" s="404"/>
      <c r="I8" s="452">
        <v>12</v>
      </c>
      <c r="J8" s="451"/>
      <c r="K8" s="404">
        <v>3</v>
      </c>
      <c r="L8" s="404"/>
      <c r="M8" s="404">
        <v>5</v>
      </c>
      <c r="N8" s="404"/>
      <c r="O8" s="404"/>
      <c r="P8" s="404"/>
      <c r="Q8" s="452">
        <v>2</v>
      </c>
      <c r="R8" s="454"/>
      <c r="S8" s="451">
        <v>10</v>
      </c>
      <c r="T8" s="404">
        <v>10</v>
      </c>
      <c r="U8" s="404">
        <v>5</v>
      </c>
      <c r="V8" s="404">
        <v>10</v>
      </c>
      <c r="W8" s="449" t="s">
        <v>1089</v>
      </c>
      <c r="X8" s="449" t="s">
        <v>1089</v>
      </c>
      <c r="Y8" s="449" t="s">
        <v>1089</v>
      </c>
      <c r="Z8" s="449" t="s">
        <v>1089</v>
      </c>
      <c r="AA8" s="449" t="s">
        <v>1089</v>
      </c>
      <c r="AB8" s="449" t="s">
        <v>1089</v>
      </c>
      <c r="AC8" s="449" t="s">
        <v>1089</v>
      </c>
      <c r="AD8" s="449" t="s">
        <v>1089</v>
      </c>
      <c r="AE8" s="450" t="s">
        <v>1089</v>
      </c>
      <c r="AF8" s="451" t="s">
        <v>216</v>
      </c>
      <c r="AG8" s="452" t="s">
        <v>216</v>
      </c>
      <c r="AH8" s="455" t="s">
        <v>1095</v>
      </c>
      <c r="AM8" s="151" t="s">
        <v>172</v>
      </c>
      <c r="AN8" s="464" t="s">
        <v>1096</v>
      </c>
      <c r="AO8" s="382" t="s">
        <v>1097</v>
      </c>
      <c r="AP8" s="382" t="s">
        <v>1097</v>
      </c>
      <c r="AQ8" s="382" t="s">
        <v>1097</v>
      </c>
      <c r="AR8" s="382" t="s">
        <v>1098</v>
      </c>
      <c r="AS8" s="382" t="s">
        <v>1098</v>
      </c>
      <c r="AT8" s="382" t="s">
        <v>1098</v>
      </c>
      <c r="AU8" s="382" t="s">
        <v>1099</v>
      </c>
      <c r="AV8" s="382" t="s">
        <v>1099</v>
      </c>
      <c r="AW8" s="464" t="s">
        <v>1092</v>
      </c>
      <c r="AX8" s="464" t="s">
        <v>1092</v>
      </c>
      <c r="AY8" s="464" t="s">
        <v>1092</v>
      </c>
      <c r="AZ8" s="464" t="s">
        <v>1092</v>
      </c>
      <c r="BJ8" s="142" t="s">
        <v>1087</v>
      </c>
    </row>
    <row r="9" spans="1:64" ht="15.75" thickBot="1">
      <c r="B9" s="481" t="s">
        <v>173</v>
      </c>
      <c r="C9" s="398" t="s">
        <v>70</v>
      </c>
      <c r="D9" s="452">
        <v>4</v>
      </c>
      <c r="E9" s="451">
        <v>1</v>
      </c>
      <c r="F9" s="404"/>
      <c r="G9" s="404">
        <v>10</v>
      </c>
      <c r="H9" s="404"/>
      <c r="I9" s="452">
        <v>20</v>
      </c>
      <c r="J9" s="451"/>
      <c r="K9" s="404">
        <v>6</v>
      </c>
      <c r="L9" s="404"/>
      <c r="M9" s="404">
        <v>10</v>
      </c>
      <c r="N9" s="404"/>
      <c r="O9" s="404"/>
      <c r="P9" s="404"/>
      <c r="Q9" s="452">
        <v>4</v>
      </c>
      <c r="R9" s="454"/>
      <c r="S9" s="451">
        <v>5</v>
      </c>
      <c r="T9" s="404">
        <v>5</v>
      </c>
      <c r="U9" s="404">
        <v>5</v>
      </c>
      <c r="V9" s="404">
        <v>5</v>
      </c>
      <c r="W9" s="449" t="s">
        <v>1089</v>
      </c>
      <c r="X9" s="449" t="s">
        <v>1089</v>
      </c>
      <c r="Y9" s="449" t="s">
        <v>1089</v>
      </c>
      <c r="Z9" s="449" t="s">
        <v>1089</v>
      </c>
      <c r="AA9" s="449" t="s">
        <v>1089</v>
      </c>
      <c r="AB9" s="449" t="s">
        <v>1089</v>
      </c>
      <c r="AC9" s="449" t="s">
        <v>1089</v>
      </c>
      <c r="AD9" s="449" t="s">
        <v>1089</v>
      </c>
      <c r="AE9" s="450" t="s">
        <v>1089</v>
      </c>
      <c r="AF9" s="451" t="s">
        <v>216</v>
      </c>
      <c r="AG9" s="452" t="s">
        <v>216</v>
      </c>
      <c r="AH9" s="455" t="s">
        <v>1095</v>
      </c>
      <c r="AM9" s="151" t="s">
        <v>173</v>
      </c>
      <c r="AN9" s="464" t="s">
        <v>1096</v>
      </c>
      <c r="AO9" s="382" t="s">
        <v>1097</v>
      </c>
      <c r="AP9" s="382" t="s">
        <v>1097</v>
      </c>
      <c r="AQ9" s="382" t="s">
        <v>1097</v>
      </c>
      <c r="AR9" s="382" t="s">
        <v>1098</v>
      </c>
      <c r="AS9" s="382" t="s">
        <v>1098</v>
      </c>
      <c r="AT9" s="382" t="s">
        <v>1098</v>
      </c>
      <c r="AU9" s="382" t="s">
        <v>1098</v>
      </c>
      <c r="AV9" s="382" t="s">
        <v>1098</v>
      </c>
      <c r="AW9" s="464" t="s">
        <v>1092</v>
      </c>
      <c r="AX9" s="464" t="s">
        <v>1092</v>
      </c>
      <c r="AY9" s="464" t="s">
        <v>1092</v>
      </c>
      <c r="AZ9" s="464" t="s">
        <v>1092</v>
      </c>
      <c r="BJ9" s="142" t="s">
        <v>1087</v>
      </c>
    </row>
    <row r="10" spans="1:64" ht="45.75" thickBot="1">
      <c r="B10" s="481" t="s">
        <v>174</v>
      </c>
      <c r="C10" s="398" t="s">
        <v>70</v>
      </c>
      <c r="D10" s="452">
        <v>4</v>
      </c>
      <c r="E10" s="451">
        <v>5</v>
      </c>
      <c r="F10" s="404"/>
      <c r="G10" s="404">
        <v>20</v>
      </c>
      <c r="H10" s="404"/>
      <c r="I10" s="452" t="s">
        <v>1049</v>
      </c>
      <c r="J10" s="451"/>
      <c r="K10" s="404">
        <v>20</v>
      </c>
      <c r="L10" s="404"/>
      <c r="M10" s="404">
        <v>30</v>
      </c>
      <c r="N10" s="404"/>
      <c r="O10" s="404"/>
      <c r="P10" s="404"/>
      <c r="Q10" s="452">
        <v>10</v>
      </c>
      <c r="R10" s="454"/>
      <c r="S10" s="451">
        <v>12</v>
      </c>
      <c r="T10" s="404">
        <v>12</v>
      </c>
      <c r="U10" s="449" t="s">
        <v>1089</v>
      </c>
      <c r="V10" s="404">
        <v>12</v>
      </c>
      <c r="W10" s="449" t="s">
        <v>1089</v>
      </c>
      <c r="X10" s="449" t="s">
        <v>1089</v>
      </c>
      <c r="Y10" s="449" t="s">
        <v>1089</v>
      </c>
      <c r="Z10" s="449" t="s">
        <v>1089</v>
      </c>
      <c r="AA10" s="449" t="s">
        <v>1089</v>
      </c>
      <c r="AB10" s="449" t="s">
        <v>1089</v>
      </c>
      <c r="AC10" s="449" t="s">
        <v>1089</v>
      </c>
      <c r="AD10" s="449" t="s">
        <v>1089</v>
      </c>
      <c r="AE10" s="450" t="s">
        <v>1089</v>
      </c>
      <c r="AF10" s="451" t="s">
        <v>216</v>
      </c>
      <c r="AG10" s="452" t="s">
        <v>216</v>
      </c>
      <c r="AH10" s="455" t="s">
        <v>1095</v>
      </c>
      <c r="AM10" s="151" t="s">
        <v>174</v>
      </c>
      <c r="AN10" s="464" t="s">
        <v>1096</v>
      </c>
      <c r="AO10" s="382" t="s">
        <v>1097</v>
      </c>
      <c r="AP10" s="382" t="s">
        <v>1099</v>
      </c>
      <c r="AQ10" s="382" t="s">
        <v>1097</v>
      </c>
      <c r="AR10" s="382" t="s">
        <v>1099</v>
      </c>
      <c r="AS10" s="382" t="s">
        <v>1099</v>
      </c>
      <c r="AT10" s="382" t="s">
        <v>1098</v>
      </c>
      <c r="AU10" s="382" t="s">
        <v>1098</v>
      </c>
      <c r="AV10" s="382" t="s">
        <v>1098</v>
      </c>
      <c r="AW10" s="464" t="s">
        <v>1092</v>
      </c>
      <c r="AX10" s="464" t="s">
        <v>1092</v>
      </c>
      <c r="AY10" s="464" t="s">
        <v>1092</v>
      </c>
      <c r="AZ10" s="464" t="s">
        <v>1092</v>
      </c>
      <c r="BJ10" s="142" t="s">
        <v>1087</v>
      </c>
    </row>
    <row r="11" spans="1:64" ht="45.75" thickBot="1">
      <c r="B11" s="481" t="s">
        <v>175</v>
      </c>
      <c r="C11" s="398" t="s">
        <v>70</v>
      </c>
      <c r="D11" s="452">
        <v>4</v>
      </c>
      <c r="E11" s="451">
        <v>5</v>
      </c>
      <c r="F11" s="404"/>
      <c r="G11" s="404">
        <v>20</v>
      </c>
      <c r="H11" s="404"/>
      <c r="I11" s="452" t="s">
        <v>1049</v>
      </c>
      <c r="J11" s="451"/>
      <c r="K11" s="404">
        <v>20</v>
      </c>
      <c r="L11" s="404"/>
      <c r="M11" s="404">
        <v>30</v>
      </c>
      <c r="N11" s="404"/>
      <c r="O11" s="404"/>
      <c r="P11" s="404"/>
      <c r="Q11" s="452">
        <v>10</v>
      </c>
      <c r="R11" s="454"/>
      <c r="S11" s="451">
        <v>12</v>
      </c>
      <c r="T11" s="404">
        <v>12</v>
      </c>
      <c r="U11" s="449" t="s">
        <v>1089</v>
      </c>
      <c r="V11" s="404">
        <v>12</v>
      </c>
      <c r="W11" s="449" t="s">
        <v>1089</v>
      </c>
      <c r="X11" s="449" t="s">
        <v>1089</v>
      </c>
      <c r="Y11" s="449" t="s">
        <v>1089</v>
      </c>
      <c r="Z11" s="449" t="s">
        <v>1089</v>
      </c>
      <c r="AA11" s="449" t="s">
        <v>1089</v>
      </c>
      <c r="AB11" s="449" t="s">
        <v>1089</v>
      </c>
      <c r="AC11" s="449" t="s">
        <v>1089</v>
      </c>
      <c r="AD11" s="449" t="s">
        <v>1089</v>
      </c>
      <c r="AE11" s="450" t="s">
        <v>1089</v>
      </c>
      <c r="AF11" s="451" t="s">
        <v>216</v>
      </c>
      <c r="AG11" s="452" t="s">
        <v>216</v>
      </c>
      <c r="AH11" s="455" t="s">
        <v>1095</v>
      </c>
      <c r="AM11" s="151" t="s">
        <v>175</v>
      </c>
      <c r="AN11" s="464" t="s">
        <v>1096</v>
      </c>
      <c r="AO11" s="382" t="s">
        <v>1097</v>
      </c>
      <c r="AP11" s="382" t="s">
        <v>1099</v>
      </c>
      <c r="AQ11" s="382" t="s">
        <v>1097</v>
      </c>
      <c r="AR11" s="382" t="s">
        <v>1099</v>
      </c>
      <c r="AS11" s="382" t="s">
        <v>1099</v>
      </c>
      <c r="AT11" s="382" t="s">
        <v>1098</v>
      </c>
      <c r="AU11" s="382" t="s">
        <v>1098</v>
      </c>
      <c r="AV11" s="382" t="s">
        <v>1098</v>
      </c>
      <c r="AW11" s="464" t="s">
        <v>1092</v>
      </c>
      <c r="AX11" s="464" t="s">
        <v>1092</v>
      </c>
      <c r="AY11" s="464" t="s">
        <v>1092</v>
      </c>
      <c r="AZ11" s="464" t="s">
        <v>1092</v>
      </c>
      <c r="BJ11" s="142" t="s">
        <v>1087</v>
      </c>
    </row>
    <row r="12" spans="1:64" ht="45.75" thickBot="1">
      <c r="B12" s="481" t="s">
        <v>176</v>
      </c>
      <c r="C12" s="398" t="s">
        <v>216</v>
      </c>
      <c r="D12" s="452">
        <v>2</v>
      </c>
      <c r="E12" s="451">
        <v>1</v>
      </c>
      <c r="F12" s="404"/>
      <c r="G12" s="404">
        <v>5</v>
      </c>
      <c r="H12" s="404"/>
      <c r="I12" s="452">
        <v>12</v>
      </c>
      <c r="J12" s="451"/>
      <c r="K12" s="404">
        <v>3</v>
      </c>
      <c r="L12" s="404"/>
      <c r="M12" s="404">
        <v>5</v>
      </c>
      <c r="N12" s="404"/>
      <c r="O12" s="404"/>
      <c r="P12" s="404"/>
      <c r="Q12" s="452">
        <v>2</v>
      </c>
      <c r="R12" s="454"/>
      <c r="S12" s="451">
        <v>10</v>
      </c>
      <c r="T12" s="404">
        <v>10</v>
      </c>
      <c r="U12" s="404">
        <v>5</v>
      </c>
      <c r="V12" s="404">
        <v>10</v>
      </c>
      <c r="W12" s="404">
        <v>5</v>
      </c>
      <c r="X12" s="404">
        <v>6</v>
      </c>
      <c r="Y12" s="404">
        <v>10</v>
      </c>
      <c r="Z12" s="449" t="s">
        <v>1089</v>
      </c>
      <c r="AA12" s="449" t="s">
        <v>1089</v>
      </c>
      <c r="AB12" s="449" t="s">
        <v>1089</v>
      </c>
      <c r="AC12" s="449" t="s">
        <v>1089</v>
      </c>
      <c r="AD12" s="449" t="s">
        <v>1089</v>
      </c>
      <c r="AE12" s="450" t="s">
        <v>1089</v>
      </c>
      <c r="AF12" s="451" t="s">
        <v>216</v>
      </c>
      <c r="AG12" s="452" t="s">
        <v>216</v>
      </c>
      <c r="AH12" s="455" t="s">
        <v>1095</v>
      </c>
      <c r="AM12" s="151" t="s">
        <v>176</v>
      </c>
      <c r="AN12" s="464" t="s">
        <v>1100</v>
      </c>
      <c r="AO12" s="464" t="s">
        <v>1101</v>
      </c>
      <c r="AP12" s="464" t="s">
        <v>1101</v>
      </c>
      <c r="AQ12" s="464" t="s">
        <v>1101</v>
      </c>
      <c r="AR12" s="464" t="s">
        <v>1102</v>
      </c>
      <c r="AS12" s="464" t="s">
        <v>1102</v>
      </c>
      <c r="AT12" s="464" t="s">
        <v>1102</v>
      </c>
      <c r="AU12" s="382" t="s">
        <v>1099</v>
      </c>
      <c r="AV12" s="382" t="s">
        <v>1099</v>
      </c>
      <c r="AW12" s="382" t="s">
        <v>1103</v>
      </c>
      <c r="AX12" s="382" t="s">
        <v>1099</v>
      </c>
      <c r="AY12" s="382" t="s">
        <v>1099</v>
      </c>
      <c r="AZ12" s="464" t="s">
        <v>1092</v>
      </c>
      <c r="BJ12" s="142" t="s">
        <v>1087</v>
      </c>
    </row>
    <row r="13" spans="1:64" ht="45.75" thickBot="1">
      <c r="B13" s="481" t="s">
        <v>177</v>
      </c>
      <c r="C13" s="398" t="s">
        <v>216</v>
      </c>
      <c r="D13" s="452">
        <v>2</v>
      </c>
      <c r="E13" s="451">
        <v>5</v>
      </c>
      <c r="F13" s="404"/>
      <c r="G13" s="404">
        <v>20</v>
      </c>
      <c r="H13" s="404"/>
      <c r="I13" s="452" t="s">
        <v>1049</v>
      </c>
      <c r="J13" s="451"/>
      <c r="K13" s="404">
        <v>20</v>
      </c>
      <c r="L13" s="404"/>
      <c r="M13" s="404">
        <v>30</v>
      </c>
      <c r="N13" s="404"/>
      <c r="O13" s="404"/>
      <c r="P13" s="404"/>
      <c r="Q13" s="452">
        <v>10</v>
      </c>
      <c r="R13" s="454"/>
      <c r="S13" s="451">
        <v>12</v>
      </c>
      <c r="T13" s="404">
        <v>12</v>
      </c>
      <c r="U13" s="449" t="s">
        <v>1089</v>
      </c>
      <c r="V13" s="404">
        <v>12</v>
      </c>
      <c r="W13" s="449" t="s">
        <v>1089</v>
      </c>
      <c r="X13" s="449" t="s">
        <v>1089</v>
      </c>
      <c r="Y13" s="404">
        <v>12</v>
      </c>
      <c r="Z13" s="449" t="s">
        <v>1089</v>
      </c>
      <c r="AA13" s="449" t="s">
        <v>1089</v>
      </c>
      <c r="AB13" s="449" t="s">
        <v>1089</v>
      </c>
      <c r="AC13" s="449" t="s">
        <v>1089</v>
      </c>
      <c r="AD13" s="449" t="s">
        <v>1089</v>
      </c>
      <c r="AE13" s="450" t="s">
        <v>1089</v>
      </c>
      <c r="AF13" s="451" t="s">
        <v>216</v>
      </c>
      <c r="AG13" s="452" t="s">
        <v>216</v>
      </c>
      <c r="AH13" s="455" t="s">
        <v>1095</v>
      </c>
      <c r="AM13" s="151" t="s">
        <v>177</v>
      </c>
      <c r="AN13" s="464" t="s">
        <v>1100</v>
      </c>
      <c r="AO13" s="464" t="s">
        <v>1101</v>
      </c>
      <c r="AP13" s="382" t="s">
        <v>1099</v>
      </c>
      <c r="AQ13" s="464" t="s">
        <v>1101</v>
      </c>
      <c r="AR13" s="382" t="s">
        <v>1099</v>
      </c>
      <c r="AS13" s="382" t="s">
        <v>1099</v>
      </c>
      <c r="AT13" s="464" t="s">
        <v>1102</v>
      </c>
      <c r="AU13" s="382" t="s">
        <v>1099</v>
      </c>
      <c r="AV13" s="382" t="s">
        <v>1099</v>
      </c>
      <c r="AW13" s="382" t="s">
        <v>1099</v>
      </c>
      <c r="AX13" s="382" t="s">
        <v>1103</v>
      </c>
      <c r="AY13" s="382" t="s">
        <v>1103</v>
      </c>
      <c r="AZ13" s="464" t="s">
        <v>1092</v>
      </c>
      <c r="BJ13" s="142" t="s">
        <v>1087</v>
      </c>
    </row>
    <row r="14" spans="1:64" ht="45.75" thickBot="1">
      <c r="B14" s="481" t="s">
        <v>1083</v>
      </c>
      <c r="C14" s="398" t="s">
        <v>216</v>
      </c>
      <c r="D14" s="452">
        <v>2</v>
      </c>
      <c r="E14" s="451">
        <v>5</v>
      </c>
      <c r="F14" s="404"/>
      <c r="G14" s="404">
        <v>20</v>
      </c>
      <c r="H14" s="404"/>
      <c r="I14" s="452" t="s">
        <v>1049</v>
      </c>
      <c r="J14" s="451"/>
      <c r="K14" s="404">
        <v>20</v>
      </c>
      <c r="L14" s="404"/>
      <c r="M14" s="404">
        <v>30</v>
      </c>
      <c r="N14" s="404"/>
      <c r="O14" s="404"/>
      <c r="P14" s="404"/>
      <c r="Q14" s="452">
        <v>10</v>
      </c>
      <c r="R14" s="454"/>
      <c r="S14" s="451">
        <v>12</v>
      </c>
      <c r="T14" s="404">
        <v>12</v>
      </c>
      <c r="U14" s="449" t="s">
        <v>1089</v>
      </c>
      <c r="V14" s="404">
        <v>12</v>
      </c>
      <c r="W14" s="449" t="s">
        <v>1089</v>
      </c>
      <c r="X14" s="449" t="s">
        <v>1089</v>
      </c>
      <c r="Y14" s="404">
        <v>12</v>
      </c>
      <c r="Z14" s="449" t="s">
        <v>1089</v>
      </c>
      <c r="AA14" s="449" t="s">
        <v>1089</v>
      </c>
      <c r="AB14" s="449" t="s">
        <v>1089</v>
      </c>
      <c r="AC14" s="449" t="s">
        <v>1089</v>
      </c>
      <c r="AD14" s="449" t="s">
        <v>1089</v>
      </c>
      <c r="AE14" s="450" t="s">
        <v>1089</v>
      </c>
      <c r="AF14" s="451" t="s">
        <v>216</v>
      </c>
      <c r="AG14" s="452" t="s">
        <v>216</v>
      </c>
      <c r="AH14" s="455" t="s">
        <v>1095</v>
      </c>
      <c r="AM14" s="151" t="s">
        <v>1083</v>
      </c>
      <c r="AN14" s="464" t="s">
        <v>1100</v>
      </c>
      <c r="AO14" s="464" t="s">
        <v>1101</v>
      </c>
      <c r="AP14" s="382" t="s">
        <v>1099</v>
      </c>
      <c r="AQ14" s="464" t="s">
        <v>1101</v>
      </c>
      <c r="AR14" s="382" t="s">
        <v>1099</v>
      </c>
      <c r="AS14" s="382" t="s">
        <v>1099</v>
      </c>
      <c r="AT14" s="464" t="s">
        <v>1102</v>
      </c>
      <c r="AU14" s="382" t="s">
        <v>1099</v>
      </c>
      <c r="AV14" s="382" t="s">
        <v>1099</v>
      </c>
      <c r="AW14" s="382" t="s">
        <v>1099</v>
      </c>
      <c r="AX14" s="382" t="s">
        <v>1103</v>
      </c>
      <c r="AY14" s="382" t="s">
        <v>1103</v>
      </c>
      <c r="AZ14" s="464" t="s">
        <v>1092</v>
      </c>
      <c r="BJ14" s="142" t="s">
        <v>1087</v>
      </c>
    </row>
    <row r="15" spans="1:64" ht="45.75" thickBot="1">
      <c r="B15" s="482" t="s">
        <v>179</v>
      </c>
      <c r="C15" s="364" t="s">
        <v>486</v>
      </c>
      <c r="D15" s="442">
        <v>1</v>
      </c>
      <c r="E15" s="456">
        <v>1</v>
      </c>
      <c r="F15" s="388"/>
      <c r="G15" s="388" t="s">
        <v>1037</v>
      </c>
      <c r="H15" s="388"/>
      <c r="I15" s="442" t="s">
        <v>1037</v>
      </c>
      <c r="J15" s="456"/>
      <c r="K15" s="388" t="s">
        <v>1037</v>
      </c>
      <c r="L15" s="388"/>
      <c r="M15" s="388" t="s">
        <v>1037</v>
      </c>
      <c r="N15" s="388"/>
      <c r="O15" s="388"/>
      <c r="P15" s="388"/>
      <c r="Q15" s="442" t="s">
        <v>1037</v>
      </c>
      <c r="R15" s="457"/>
      <c r="S15" s="458" t="s">
        <v>1089</v>
      </c>
      <c r="T15" s="459" t="s">
        <v>1089</v>
      </c>
      <c r="U15" s="459" t="s">
        <v>1089</v>
      </c>
      <c r="V15" s="459" t="s">
        <v>1089</v>
      </c>
      <c r="W15" s="459" t="s">
        <v>1089</v>
      </c>
      <c r="X15" s="459" t="s">
        <v>1089</v>
      </c>
      <c r="Y15" s="459" t="s">
        <v>1089</v>
      </c>
      <c r="Z15" s="459" t="s">
        <v>1089</v>
      </c>
      <c r="AA15" s="459" t="s">
        <v>1089</v>
      </c>
      <c r="AB15" s="459" t="s">
        <v>1089</v>
      </c>
      <c r="AC15" s="459" t="s">
        <v>1089</v>
      </c>
      <c r="AD15" s="459" t="s">
        <v>1089</v>
      </c>
      <c r="AE15" s="460" t="s">
        <v>1089</v>
      </c>
      <c r="AF15" s="456" t="s">
        <v>216</v>
      </c>
      <c r="AG15" s="442" t="s">
        <v>216</v>
      </c>
      <c r="AH15" s="426" t="s">
        <v>1095</v>
      </c>
      <c r="AM15" s="151" t="s">
        <v>179</v>
      </c>
      <c r="AN15" s="382" t="s">
        <v>1099</v>
      </c>
      <c r="AO15" s="382" t="s">
        <v>1099</v>
      </c>
      <c r="AP15" s="382" t="s">
        <v>1099</v>
      </c>
      <c r="AQ15" s="382" t="s">
        <v>1099</v>
      </c>
      <c r="AR15" s="382" t="s">
        <v>1099</v>
      </c>
      <c r="AS15" s="382" t="s">
        <v>1099</v>
      </c>
      <c r="AT15" s="382" t="s">
        <v>1099</v>
      </c>
      <c r="AU15" s="382" t="s">
        <v>1099</v>
      </c>
      <c r="AV15" s="382" t="s">
        <v>1099</v>
      </c>
      <c r="AW15" s="382" t="s">
        <v>1099</v>
      </c>
      <c r="AX15" s="382" t="s">
        <v>1099</v>
      </c>
      <c r="AY15" s="382" t="s">
        <v>1099</v>
      </c>
      <c r="AZ15" s="382" t="s">
        <v>1104</v>
      </c>
      <c r="BJ15" s="142" t="s">
        <v>1088</v>
      </c>
    </row>
    <row r="16" spans="1:64">
      <c r="Q16" s="34"/>
    </row>
    <row r="17" spans="17:17">
      <c r="Q17" s="30"/>
    </row>
    <row r="18" spans="17:17">
      <c r="Q18" s="30"/>
    </row>
    <row r="19" spans="17:17">
      <c r="Q19" s="30"/>
    </row>
    <row r="20" spans="17:17" ht="184.5" hidden="1" customHeight="1"/>
  </sheetData>
  <sheetProtection algorithmName="SHA-512" hashValue="sDAXXqILXfLFDBOIhPW2xS+iSO+ER8X69KoIFOBP3RNx5Rcs/+uR1078Ao6ol3y0tKId/XWTVJOtL1skH5ZIDQ==" saltValue="DEB8+2rvEJrUz3ZYSCgjwQ==" spinCount="100000" sheet="1" objects="1" scenarios="1"/>
  <customSheetViews>
    <customSheetView guid="{8BDA793C-C9C5-4FC6-A0A5-F1109F6D4F22}" scale="110" state="hidden">
      <pane xSplit="2" ySplit="2" topLeftCell="S15" activePane="bottomRight" state="frozen"/>
      <selection pane="bottomRight" activeCell="D14" sqref="D14"/>
    </customSheetView>
  </customSheetViews>
  <mergeCells count="10">
    <mergeCell ref="BK1:BL1"/>
    <mergeCell ref="AF1:AG1"/>
    <mergeCell ref="AH1:AH2"/>
    <mergeCell ref="AJ1:AK1"/>
    <mergeCell ref="AN1:AZ1"/>
    <mergeCell ref="A1:B1"/>
    <mergeCell ref="E1:I1"/>
    <mergeCell ref="C1:D1"/>
    <mergeCell ref="J1:R1"/>
    <mergeCell ref="S1:AE1"/>
  </mergeCells>
  <phoneticPr fontId="9" type="noConversion"/>
  <dataValidations count="1">
    <dataValidation type="list" allowBlank="1" showInputMessage="1" showErrorMessage="1" sqref="R3:R15" xr:uid="{00000000-0002-0000-1600-000000000000}">
      <formula1>$AR$16:$AR$43</formula1>
    </dataValidation>
  </dataValidations>
  <pageMargins left="0.7" right="0.7" top="0.75" bottom="0.75" header="0.3" footer="0.3"/>
  <pageSetup paperSize="9" orientation="portrait" horizontalDpi="90" verticalDpi="90" r:id="rId1"/>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1600-000001000000}">
          <x14:formula1>
            <xm:f>'\\LYN264DF\m312897$\Net Gain\[Latest Tool with updated hedgerows 06 11 2020.xlsm]G-3 Multipliers'!#REF!</xm:f>
          </x14:formula1>
          <xm:sqref>AF3:AG15</xm:sqref>
        </x14:dataValidation>
        <x14:dataValidation type="list" allowBlank="1" showInputMessage="1" showErrorMessage="1" xr:uid="{00000000-0002-0000-1600-000002000000}">
          <x14:formula1>
            <xm:f>'\\LYN264DF\m312897$\Net Gain\[Latest Tool with updated hedgerows 06 11 2020.xlsm]G-1 All Habitats'!#REF!</xm:f>
          </x14:formula1>
          <xm:sqref>C3:C15</xm:sqref>
        </x14:dataValidation>
      </x14:dataValidations>
    </ext>
  </extLst>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Sheet10">
    <tabColor rgb="FFFFC000"/>
  </sheetPr>
  <dimension ref="A1:ES30"/>
  <sheetViews>
    <sheetView showGridLines="0" zoomScale="80" zoomScaleNormal="80" workbookViewId="0">
      <selection sqref="A1:B2"/>
    </sheetView>
  </sheetViews>
  <sheetFormatPr defaultColWidth="0" defaultRowHeight="15" zeroHeight="1" outlineLevelCol="1"/>
  <cols>
    <col min="1" max="1" width="9.28515625" style="30" customWidth="1"/>
    <col min="2" max="2" width="37.28515625" style="30" customWidth="1"/>
    <col min="3" max="4" width="17.7109375" style="30" customWidth="1"/>
    <col min="5" max="5" width="14.5703125" style="30" customWidth="1"/>
    <col min="6" max="6" width="15.7109375" style="30" customWidth="1"/>
    <col min="7" max="7" width="13.28515625" style="30" customWidth="1"/>
    <col min="8" max="9" width="11.7109375" style="30" customWidth="1"/>
    <col min="10" max="10" width="13" style="30" customWidth="1"/>
    <col min="11" max="11" width="12.28515625" style="30" customWidth="1"/>
    <col min="12" max="13" width="10.7109375" style="30" customWidth="1"/>
    <col min="14" max="14" width="14.28515625" style="30" customWidth="1"/>
    <col min="15" max="15" width="8.5703125" style="30" customWidth="1"/>
    <col min="16" max="16" width="10.7109375" style="30" customWidth="1"/>
    <col min="17" max="17" width="19" style="30" customWidth="1"/>
    <col min="18" max="18" width="16" style="30" customWidth="1"/>
    <col min="19" max="19" width="14.42578125" style="30" customWidth="1"/>
    <col min="20" max="22" width="15.7109375" style="30" customWidth="1"/>
    <col min="23" max="26" width="10.7109375" style="30" customWidth="1"/>
    <col min="27" max="27" width="18.7109375" style="30" bestFit="1" customWidth="1"/>
    <col min="28" max="28" width="13.42578125" style="30" customWidth="1"/>
    <col min="29" max="29" width="9.28515625" style="30" customWidth="1"/>
    <col min="30" max="30" width="18" style="30" customWidth="1"/>
    <col min="31" max="31" width="12.42578125" style="30" customWidth="1"/>
    <col min="32" max="32" width="9.28515625" style="30" customWidth="1"/>
    <col min="33" max="33" width="59.7109375" style="30" customWidth="1"/>
    <col min="34" max="34" width="24.7109375" style="30" customWidth="1"/>
    <col min="35" max="35" width="18.7109375" style="30" customWidth="1"/>
    <col min="36" max="36" width="9.28515625" style="30" customWidth="1"/>
    <col min="37" max="37" width="46.7109375" style="30" bestFit="1" customWidth="1"/>
    <col min="38" max="38" width="24.28515625" style="30" customWidth="1"/>
    <col min="39" max="39" width="13.7109375" style="30" customWidth="1"/>
    <col min="40" max="40" width="9.28515625" style="30" customWidth="1"/>
    <col min="41" max="41" width="28.28515625" style="30" customWidth="1"/>
    <col min="42" max="42" width="13" style="30" customWidth="1"/>
    <col min="43" max="44" width="9.28515625" style="30" customWidth="1"/>
    <col min="45" max="45" width="25.28515625" style="30" bestFit="1" customWidth="1"/>
    <col min="46" max="46" width="20.42578125" style="30" bestFit="1" customWidth="1"/>
    <col min="47" max="47" width="31.28515625" style="30" customWidth="1"/>
    <col min="48" max="48" width="9.28515625" style="30" customWidth="1"/>
    <col min="49" max="49" width="13" style="30" hidden="1" customWidth="1" outlineLevel="1"/>
    <col min="50" max="50" width="9.28515625" style="30" hidden="1" customWidth="1" outlineLevel="1"/>
    <col min="51" max="51" width="23.7109375" style="30" hidden="1" customWidth="1" outlineLevel="1"/>
    <col min="52" max="52" width="31.28515625" style="30" hidden="1" customWidth="1" outlineLevel="1"/>
    <col min="53" max="53" width="9.28515625" style="30" hidden="1" customWidth="1" outlineLevel="1"/>
    <col min="54" max="54" width="17.7109375" style="30" hidden="1" customWidth="1" outlineLevel="1"/>
    <col min="55" max="55" width="15.28515625" style="30" hidden="1" customWidth="1" outlineLevel="1"/>
    <col min="56" max="102" width="9.28515625" style="30" hidden="1" customWidth="1" outlineLevel="1"/>
    <col min="103" max="103" width="9.28515625" style="30" hidden="1" customWidth="1" outlineLevel="1" collapsed="1"/>
    <col min="104" max="104" width="17.7109375" style="30" hidden="1" customWidth="1" collapsed="1"/>
    <col min="105" max="149" width="17.7109375" style="30" hidden="1" customWidth="1"/>
    <col min="150" max="16384" width="9.28515625" style="30" hidden="1"/>
  </cols>
  <sheetData>
    <row r="1" spans="1:55" ht="15.75" thickBot="1">
      <c r="A1" s="1651"/>
      <c r="B1" s="1651"/>
    </row>
    <row r="2" spans="1:55" ht="31.5" customHeight="1" thickBot="1">
      <c r="A2" s="1651"/>
      <c r="B2" s="1651"/>
      <c r="C2" s="1665" t="s">
        <v>269</v>
      </c>
      <c r="D2" s="1666"/>
      <c r="E2" s="1655" t="s">
        <v>379</v>
      </c>
      <c r="F2" s="1656"/>
      <c r="G2" s="1656"/>
      <c r="H2" s="1655" t="s">
        <v>357</v>
      </c>
      <c r="I2" s="1656"/>
      <c r="J2" s="1656"/>
      <c r="K2" s="1656"/>
      <c r="L2" s="1657"/>
      <c r="N2" s="1667" t="s">
        <v>1105</v>
      </c>
      <c r="O2" s="1668"/>
      <c r="Q2" s="1663" t="s">
        <v>1106</v>
      </c>
      <c r="R2" s="1664"/>
      <c r="T2" s="1532" t="s">
        <v>1107</v>
      </c>
      <c r="U2" s="1602"/>
      <c r="V2" s="1602"/>
      <c r="W2" s="1602"/>
      <c r="X2" s="1602"/>
      <c r="Y2" s="1673"/>
      <c r="AA2" s="1674" t="s">
        <v>1108</v>
      </c>
      <c r="AB2" s="1675"/>
      <c r="AC2" s="102"/>
      <c r="AD2" s="1674" t="s">
        <v>1108</v>
      </c>
      <c r="AE2" s="1675"/>
      <c r="AG2" s="1674" t="s">
        <v>1109</v>
      </c>
      <c r="AH2" s="1676"/>
      <c r="AI2" s="1675"/>
      <c r="AK2" s="1674" t="s">
        <v>1109</v>
      </c>
      <c r="AL2" s="1676"/>
      <c r="AM2" s="1675"/>
      <c r="AO2" s="1669" t="s">
        <v>1109</v>
      </c>
      <c r="AP2" s="1670"/>
      <c r="AQ2" s="235"/>
      <c r="AS2" s="1618" t="s">
        <v>1110</v>
      </c>
      <c r="AT2" s="1671"/>
      <c r="AU2" s="1672"/>
      <c r="AY2" s="236"/>
      <c r="AZ2" s="237" t="s">
        <v>280</v>
      </c>
      <c r="BB2" s="236" t="s">
        <v>1111</v>
      </c>
      <c r="BC2" s="237" t="s">
        <v>1112</v>
      </c>
    </row>
    <row r="3" spans="1:55" ht="45.75" thickBot="1">
      <c r="B3" s="238" t="s">
        <v>933</v>
      </c>
      <c r="C3" s="214" t="s">
        <v>448</v>
      </c>
      <c r="D3" s="105" t="s">
        <v>449</v>
      </c>
      <c r="E3" s="483" t="s">
        <v>451</v>
      </c>
      <c r="F3" s="105" t="s">
        <v>452</v>
      </c>
      <c r="G3" s="485" t="s">
        <v>450</v>
      </c>
      <c r="H3" s="484" t="s">
        <v>68</v>
      </c>
      <c r="I3" s="239" t="s">
        <v>472</v>
      </c>
      <c r="J3" s="239" t="s">
        <v>67</v>
      </c>
      <c r="K3" s="239" t="s">
        <v>482</v>
      </c>
      <c r="L3" s="240" t="s">
        <v>328</v>
      </c>
      <c r="N3" s="486" t="s">
        <v>68</v>
      </c>
      <c r="O3" s="367">
        <v>10</v>
      </c>
      <c r="Q3" s="269" t="s">
        <v>1080</v>
      </c>
      <c r="R3" s="442">
        <v>10</v>
      </c>
      <c r="T3" s="214"/>
      <c r="U3" s="1532" t="s">
        <v>1113</v>
      </c>
      <c r="V3" s="1602"/>
      <c r="W3" s="1602"/>
      <c r="X3" s="1602"/>
      <c r="Y3" s="1673"/>
      <c r="AA3" s="214" t="s">
        <v>1114</v>
      </c>
      <c r="AB3" s="213" t="s">
        <v>1115</v>
      </c>
      <c r="AC3" s="102"/>
      <c r="AD3" s="214" t="s">
        <v>1116</v>
      </c>
      <c r="AE3" s="213" t="s">
        <v>1115</v>
      </c>
      <c r="AG3" s="213" t="s">
        <v>1117</v>
      </c>
      <c r="AH3" s="212" t="s">
        <v>121</v>
      </c>
      <c r="AI3" s="105" t="s">
        <v>1118</v>
      </c>
      <c r="AK3" s="104" t="s">
        <v>1117</v>
      </c>
      <c r="AL3" s="105" t="s">
        <v>121</v>
      </c>
      <c r="AM3" s="106" t="s">
        <v>1118</v>
      </c>
      <c r="AO3" s="659" t="s">
        <v>1117</v>
      </c>
      <c r="AP3" s="78" t="s">
        <v>1118</v>
      </c>
      <c r="AS3" s="236" t="s">
        <v>1119</v>
      </c>
      <c r="AT3" s="241" t="s">
        <v>1120</v>
      </c>
      <c r="AU3" s="237" t="s">
        <v>1079</v>
      </c>
      <c r="AY3" s="242" t="s">
        <v>1121</v>
      </c>
      <c r="AZ3" s="243" t="s">
        <v>1111</v>
      </c>
      <c r="BB3" s="112" t="s">
        <v>68</v>
      </c>
      <c r="BC3" s="113" t="s">
        <v>328</v>
      </c>
    </row>
    <row r="4" spans="1:55" ht="60.75" thickBot="1">
      <c r="B4" s="68" t="s">
        <v>196</v>
      </c>
      <c r="C4" s="404" t="s">
        <v>467</v>
      </c>
      <c r="D4" s="382">
        <v>8</v>
      </c>
      <c r="E4" s="404" t="s">
        <v>213</v>
      </c>
      <c r="F4" s="404" t="s">
        <v>70</v>
      </c>
      <c r="G4" s="382" t="s">
        <v>212</v>
      </c>
      <c r="H4" s="404">
        <v>3</v>
      </c>
      <c r="I4" s="404">
        <v>2.5</v>
      </c>
      <c r="J4" s="404">
        <v>2</v>
      </c>
      <c r="K4" s="404">
        <v>1.5</v>
      </c>
      <c r="L4" s="382">
        <v>1</v>
      </c>
      <c r="M4" s="22"/>
      <c r="N4" s="100" t="s">
        <v>472</v>
      </c>
      <c r="O4" s="382">
        <v>8</v>
      </c>
      <c r="T4" s="134" t="s">
        <v>1122</v>
      </c>
      <c r="U4" s="487" t="s">
        <v>328</v>
      </c>
      <c r="V4" s="244" t="s">
        <v>482</v>
      </c>
      <c r="W4" s="244" t="s">
        <v>67</v>
      </c>
      <c r="X4" s="244" t="s">
        <v>472</v>
      </c>
      <c r="Y4" s="244" t="s">
        <v>68</v>
      </c>
      <c r="AA4" s="79" t="s">
        <v>1123</v>
      </c>
      <c r="AB4" s="404">
        <v>1</v>
      </c>
      <c r="AC4" s="102"/>
      <c r="AD4" s="265" t="s">
        <v>1124</v>
      </c>
      <c r="AE4" s="404">
        <v>0.75</v>
      </c>
      <c r="AG4" s="79" t="s">
        <v>1125</v>
      </c>
      <c r="AH4" s="382" t="s">
        <v>1035</v>
      </c>
      <c r="AI4" s="404">
        <v>1</v>
      </c>
      <c r="AK4" s="99" t="s">
        <v>1026</v>
      </c>
      <c r="AL4" s="382" t="s">
        <v>1027</v>
      </c>
      <c r="AM4" s="452">
        <v>1.1499999999999999</v>
      </c>
      <c r="AO4" s="265" t="s">
        <v>1039</v>
      </c>
      <c r="AP4" s="404">
        <v>1</v>
      </c>
      <c r="AS4" s="245" t="s">
        <v>467</v>
      </c>
      <c r="AT4" s="383">
        <v>8</v>
      </c>
      <c r="AU4" s="490" t="s">
        <v>1126</v>
      </c>
      <c r="AY4" s="67" t="s">
        <v>1127</v>
      </c>
      <c r="AZ4" s="243" t="s">
        <v>1111</v>
      </c>
      <c r="BB4" s="154" t="s">
        <v>472</v>
      </c>
      <c r="BC4" s="246"/>
    </row>
    <row r="5" spans="1:55" ht="30">
      <c r="B5" s="68" t="s">
        <v>197</v>
      </c>
      <c r="C5" s="404" t="s">
        <v>213</v>
      </c>
      <c r="D5" s="382">
        <v>6</v>
      </c>
      <c r="E5" s="404" t="s">
        <v>213</v>
      </c>
      <c r="F5" s="404" t="s">
        <v>70</v>
      </c>
      <c r="G5" s="382" t="s">
        <v>240</v>
      </c>
      <c r="H5" s="404">
        <v>3</v>
      </c>
      <c r="I5" s="404">
        <v>2.5</v>
      </c>
      <c r="J5" s="404">
        <v>2</v>
      </c>
      <c r="K5" s="404">
        <v>1.5</v>
      </c>
      <c r="L5" s="382">
        <v>1</v>
      </c>
      <c r="M5" s="22"/>
      <c r="N5" s="100" t="s">
        <v>67</v>
      </c>
      <c r="O5" s="382">
        <v>5</v>
      </c>
      <c r="T5" s="100" t="s">
        <v>328</v>
      </c>
      <c r="U5" s="488">
        <v>1</v>
      </c>
      <c r="V5" s="437">
        <v>2</v>
      </c>
      <c r="W5" s="437">
        <v>4</v>
      </c>
      <c r="X5" s="437">
        <v>6</v>
      </c>
      <c r="Y5" s="437">
        <v>8</v>
      </c>
      <c r="AA5" s="79" t="s">
        <v>1128</v>
      </c>
      <c r="AB5" s="404">
        <v>0.8</v>
      </c>
      <c r="AC5" s="102"/>
      <c r="AD5" s="265" t="s">
        <v>1129</v>
      </c>
      <c r="AE5" s="404">
        <v>0.8</v>
      </c>
      <c r="AG5" s="79" t="s">
        <v>1130</v>
      </c>
      <c r="AH5" s="382" t="s">
        <v>1027</v>
      </c>
      <c r="AI5" s="404">
        <v>1.1499999999999999</v>
      </c>
      <c r="AK5" s="99" t="s">
        <v>1030</v>
      </c>
      <c r="AL5" s="382" t="s">
        <v>1031</v>
      </c>
      <c r="AM5" s="452">
        <v>1.1000000000000001</v>
      </c>
      <c r="AO5" s="100" t="s">
        <v>1131</v>
      </c>
      <c r="AP5" s="404">
        <v>1</v>
      </c>
      <c r="AS5" s="215" t="s">
        <v>213</v>
      </c>
      <c r="AT5" s="404">
        <v>6</v>
      </c>
      <c r="AU5" s="386" t="s">
        <v>1132</v>
      </c>
      <c r="AY5" s="67" t="s">
        <v>198</v>
      </c>
      <c r="AZ5" s="243" t="s">
        <v>1111</v>
      </c>
      <c r="BB5" s="154" t="s">
        <v>67</v>
      </c>
      <c r="BC5" s="246"/>
    </row>
    <row r="6" spans="1:55" ht="45.75" thickBot="1">
      <c r="B6" s="68" t="s">
        <v>198</v>
      </c>
      <c r="C6" s="404" t="s">
        <v>70</v>
      </c>
      <c r="D6" s="404">
        <v>4</v>
      </c>
      <c r="E6" s="404" t="s">
        <v>216</v>
      </c>
      <c r="F6" s="404" t="s">
        <v>70</v>
      </c>
      <c r="G6" s="382" t="s">
        <v>240</v>
      </c>
      <c r="H6" s="404">
        <v>3</v>
      </c>
      <c r="I6" s="404">
        <v>2.5</v>
      </c>
      <c r="J6" s="404">
        <v>2</v>
      </c>
      <c r="K6" s="404">
        <v>1.5</v>
      </c>
      <c r="L6" s="382">
        <v>1</v>
      </c>
      <c r="M6" s="22"/>
      <c r="N6" s="100" t="s">
        <v>482</v>
      </c>
      <c r="O6" s="382">
        <v>2</v>
      </c>
      <c r="T6" s="100" t="s">
        <v>482</v>
      </c>
      <c r="U6" s="489" t="s">
        <v>1037</v>
      </c>
      <c r="V6" s="438">
        <v>1</v>
      </c>
      <c r="W6" s="438">
        <v>2</v>
      </c>
      <c r="X6" s="438">
        <v>4</v>
      </c>
      <c r="Y6" s="438">
        <v>6</v>
      </c>
      <c r="AA6" s="79" t="s">
        <v>1133</v>
      </c>
      <c r="AB6" s="404">
        <v>0.5</v>
      </c>
      <c r="AC6" s="102"/>
      <c r="AD6" s="265" t="s">
        <v>1134</v>
      </c>
      <c r="AE6" s="404">
        <v>0.84</v>
      </c>
      <c r="AG6" s="79" t="s">
        <v>1135</v>
      </c>
      <c r="AH6" s="382" t="s">
        <v>1027</v>
      </c>
      <c r="AI6" s="404">
        <v>1.1499999999999999</v>
      </c>
      <c r="AK6" s="74" t="s">
        <v>1034</v>
      </c>
      <c r="AL6" s="371" t="s">
        <v>1035</v>
      </c>
      <c r="AM6" s="442">
        <v>1</v>
      </c>
      <c r="AO6" s="100" t="s">
        <v>1136</v>
      </c>
      <c r="AP6" s="404">
        <v>0.75</v>
      </c>
      <c r="AS6" s="215" t="s">
        <v>70</v>
      </c>
      <c r="AT6" s="404">
        <v>4</v>
      </c>
      <c r="AU6" s="386" t="s">
        <v>1137</v>
      </c>
      <c r="AY6" s="67" t="s">
        <v>199</v>
      </c>
      <c r="AZ6" s="243" t="s">
        <v>1111</v>
      </c>
      <c r="BB6" s="154" t="s">
        <v>482</v>
      </c>
      <c r="BC6" s="246"/>
    </row>
    <row r="7" spans="1:55" ht="30.75" thickBot="1">
      <c r="B7" s="68" t="s">
        <v>199</v>
      </c>
      <c r="C7" s="404" t="s">
        <v>70</v>
      </c>
      <c r="D7" s="404">
        <v>4</v>
      </c>
      <c r="E7" s="404" t="s">
        <v>216</v>
      </c>
      <c r="F7" s="404" t="s">
        <v>70</v>
      </c>
      <c r="G7" s="382" t="s">
        <v>240</v>
      </c>
      <c r="H7" s="404">
        <v>3</v>
      </c>
      <c r="I7" s="404">
        <v>2.5</v>
      </c>
      <c r="J7" s="404">
        <v>2</v>
      </c>
      <c r="K7" s="404">
        <v>1.5</v>
      </c>
      <c r="L7" s="382">
        <v>1</v>
      </c>
      <c r="M7" s="22"/>
      <c r="N7" s="100" t="s">
        <v>328</v>
      </c>
      <c r="O7" s="382">
        <v>1</v>
      </c>
      <c r="T7" s="100" t="s">
        <v>67</v>
      </c>
      <c r="U7" s="489" t="s">
        <v>1037</v>
      </c>
      <c r="V7" s="438" t="s">
        <v>1037</v>
      </c>
      <c r="W7" s="438">
        <v>1</v>
      </c>
      <c r="X7" s="438">
        <v>2</v>
      </c>
      <c r="Y7" s="438">
        <v>4</v>
      </c>
      <c r="AA7" s="79" t="s">
        <v>1138</v>
      </c>
      <c r="AB7" s="404">
        <v>1</v>
      </c>
      <c r="AC7" s="102"/>
      <c r="AD7" s="265" t="s">
        <v>1139</v>
      </c>
      <c r="AE7" s="404">
        <v>0.87</v>
      </c>
      <c r="AG7" s="79" t="s">
        <v>1140</v>
      </c>
      <c r="AH7" s="382" t="s">
        <v>1027</v>
      </c>
      <c r="AI7" s="404">
        <v>1.1499999999999999</v>
      </c>
      <c r="AK7" s="36"/>
      <c r="AL7" s="38"/>
      <c r="AM7" s="36"/>
      <c r="AO7" s="100" t="s">
        <v>1141</v>
      </c>
      <c r="AP7" s="404">
        <v>0.5</v>
      </c>
      <c r="AS7" s="211" t="s">
        <v>216</v>
      </c>
      <c r="AT7" s="388">
        <v>2</v>
      </c>
      <c r="AU7" s="442" t="s">
        <v>1142</v>
      </c>
      <c r="AY7" s="69" t="s">
        <v>200</v>
      </c>
      <c r="AZ7" s="243" t="s">
        <v>1112</v>
      </c>
      <c r="BB7" s="156" t="s">
        <v>328</v>
      </c>
      <c r="BC7" s="247"/>
    </row>
    <row r="8" spans="1:55" ht="60">
      <c r="B8" s="85" t="s">
        <v>200</v>
      </c>
      <c r="C8" s="404" t="s">
        <v>216</v>
      </c>
      <c r="D8" s="404">
        <v>2</v>
      </c>
      <c r="E8" s="404" t="s">
        <v>216</v>
      </c>
      <c r="F8" s="404" t="s">
        <v>70</v>
      </c>
      <c r="G8" s="382" t="s">
        <v>247</v>
      </c>
      <c r="H8" s="404" t="s">
        <v>1048</v>
      </c>
      <c r="I8" s="404" t="s">
        <v>1048</v>
      </c>
      <c r="J8" s="404" t="s">
        <v>1048</v>
      </c>
      <c r="K8" s="404" t="s">
        <v>1048</v>
      </c>
      <c r="L8" s="382">
        <v>1</v>
      </c>
      <c r="M8" s="22"/>
      <c r="T8" s="100" t="s">
        <v>472</v>
      </c>
      <c r="U8" s="489" t="s">
        <v>1037</v>
      </c>
      <c r="V8" s="438" t="s">
        <v>1037</v>
      </c>
      <c r="W8" s="438" t="s">
        <v>1037</v>
      </c>
      <c r="X8" s="438">
        <v>1</v>
      </c>
      <c r="Y8" s="438">
        <v>2</v>
      </c>
      <c r="AC8" s="102"/>
      <c r="AD8" s="265" t="s">
        <v>1143</v>
      </c>
      <c r="AE8" s="404">
        <v>0.85</v>
      </c>
      <c r="AG8" s="79" t="s">
        <v>1144</v>
      </c>
      <c r="AH8" s="382" t="s">
        <v>1027</v>
      </c>
      <c r="AI8" s="404">
        <v>1.1499999999999999</v>
      </c>
      <c r="AK8" s="36"/>
      <c r="AL8" s="38"/>
      <c r="AM8" s="36"/>
    </row>
    <row r="9" spans="1:55">
      <c r="T9" s="100" t="s">
        <v>68</v>
      </c>
      <c r="U9" s="489" t="s">
        <v>1037</v>
      </c>
      <c r="V9" s="438" t="s">
        <v>1037</v>
      </c>
      <c r="W9" s="438" t="s">
        <v>1037</v>
      </c>
      <c r="X9" s="438" t="s">
        <v>1037</v>
      </c>
      <c r="Y9" s="438">
        <v>1</v>
      </c>
      <c r="AD9" s="265" t="s">
        <v>1145</v>
      </c>
      <c r="AE9" s="404">
        <v>0.9</v>
      </c>
      <c r="AG9" s="79" t="s">
        <v>1146</v>
      </c>
      <c r="AH9" s="382" t="s">
        <v>1027</v>
      </c>
      <c r="AI9" s="404">
        <v>1.1499999999999999</v>
      </c>
      <c r="AK9" s="36"/>
      <c r="AL9" s="38"/>
      <c r="AM9" s="36"/>
      <c r="AY9" s="35"/>
      <c r="AZ9" s="35"/>
      <c r="BA9" s="35"/>
      <c r="BB9" s="35"/>
      <c r="BC9" s="35"/>
    </row>
    <row r="10" spans="1:55" ht="30">
      <c r="AD10" s="265" t="s">
        <v>1147</v>
      </c>
      <c r="AE10" s="404">
        <v>0.92</v>
      </c>
      <c r="AF10" s="102"/>
      <c r="AY10" s="35"/>
      <c r="AZ10" s="35"/>
      <c r="BA10" s="35"/>
      <c r="BB10" s="38"/>
      <c r="BC10" s="38"/>
    </row>
    <row r="11" spans="1:55">
      <c r="AD11" s="265" t="s">
        <v>1148</v>
      </c>
      <c r="AE11" s="404">
        <v>0.95</v>
      </c>
      <c r="AF11" s="102"/>
      <c r="AY11" s="35"/>
      <c r="AZ11" s="35"/>
      <c r="BA11" s="35"/>
      <c r="BB11" s="38"/>
      <c r="BC11" s="35"/>
    </row>
    <row r="12" spans="1:55" ht="30">
      <c r="B12" s="41"/>
      <c r="C12" s="66"/>
      <c r="D12" s="66"/>
      <c r="E12" s="66"/>
      <c r="F12" s="66"/>
      <c r="G12" s="39"/>
      <c r="AD12" s="265" t="s">
        <v>1149</v>
      </c>
      <c r="AE12" s="404">
        <v>0.98</v>
      </c>
      <c r="AF12" s="102"/>
      <c r="AY12" s="35"/>
      <c r="AZ12" s="35"/>
      <c r="BA12" s="35"/>
      <c r="BB12" s="38"/>
      <c r="BC12" s="35"/>
    </row>
    <row r="13" spans="1:55" ht="30">
      <c r="B13" s="35"/>
      <c r="C13" s="36"/>
      <c r="D13" s="38"/>
      <c r="E13" s="36"/>
      <c r="F13" s="36"/>
      <c r="G13" s="38"/>
      <c r="AD13" s="265" t="s">
        <v>1150</v>
      </c>
      <c r="AE13" s="404">
        <v>1</v>
      </c>
      <c r="AF13" s="102"/>
      <c r="AG13" s="102"/>
      <c r="AH13" s="102"/>
      <c r="AY13" s="35"/>
      <c r="AZ13" s="35"/>
      <c r="BA13" s="35"/>
      <c r="BB13" s="38"/>
      <c r="BC13" s="35"/>
    </row>
    <row r="14" spans="1:55">
      <c r="B14" s="35"/>
      <c r="C14" s="36"/>
      <c r="D14" s="38"/>
      <c r="E14" s="36"/>
      <c r="F14" s="36"/>
      <c r="G14" s="38"/>
      <c r="AD14" s="272" t="s">
        <v>1138</v>
      </c>
      <c r="AE14" s="404">
        <v>1</v>
      </c>
      <c r="AF14" s="102"/>
      <c r="AY14" s="35"/>
      <c r="AZ14" s="35"/>
      <c r="BA14" s="35"/>
      <c r="BB14" s="38"/>
      <c r="BC14" s="35"/>
    </row>
    <row r="15" spans="1:55">
      <c r="B15" s="35"/>
      <c r="C15" s="36"/>
      <c r="D15" s="38"/>
      <c r="E15" s="36"/>
      <c r="F15" s="36"/>
      <c r="G15" s="38"/>
    </row>
    <row r="16" spans="1:55">
      <c r="B16" s="35"/>
      <c r="C16" s="36"/>
      <c r="D16" s="38"/>
      <c r="E16" s="36"/>
      <c r="F16" s="36"/>
      <c r="G16" s="38"/>
    </row>
    <row r="17" spans="2:7">
      <c r="B17" s="617"/>
      <c r="C17" s="36"/>
      <c r="D17" s="36"/>
      <c r="E17" s="36"/>
      <c r="F17" s="36"/>
      <c r="G17" s="38"/>
    </row>
    <row r="18" spans="2:7"/>
    <row r="19" spans="2:7"/>
    <row r="20" spans="2:7"/>
    <row r="21" spans="2:7"/>
    <row r="22" spans="2:7"/>
    <row r="23" spans="2:7"/>
    <row r="24" spans="2:7"/>
    <row r="25" spans="2:7"/>
    <row r="26" spans="2:7"/>
    <row r="27" spans="2:7"/>
    <row r="28" spans="2:7"/>
    <row r="29" spans="2:7"/>
    <row r="30" spans="2:7"/>
  </sheetData>
  <sheetProtection algorithmName="SHA-512" hashValue="z7/BI9ccehfJ7QGNFFh/w40Sxq2OeLyGubRlmZ3w+zcrxfo/iha4fslFXKHpF3Rh3WbvoRC2bqL/4j9c7svFbg==" saltValue="GMhiom+bctoZR+xs88sh6g==" spinCount="100000" sheet="1" objects="1" scenarios="1"/>
  <customSheetViews>
    <customSheetView guid="{8BDA793C-C9C5-4FC6-A0A5-F1109F6D4F22}" state="hidden">
      <selection activeCell="D14" sqref="D14"/>
    </customSheetView>
  </customSheetViews>
  <mergeCells count="14">
    <mergeCell ref="AO2:AP2"/>
    <mergeCell ref="AS2:AU2"/>
    <mergeCell ref="U3:Y3"/>
    <mergeCell ref="T2:Y2"/>
    <mergeCell ref="AA2:AB2"/>
    <mergeCell ref="AD2:AE2"/>
    <mergeCell ref="AG2:AI2"/>
    <mergeCell ref="AK2:AM2"/>
    <mergeCell ref="Q2:R2"/>
    <mergeCell ref="A1:B2"/>
    <mergeCell ref="C2:D2"/>
    <mergeCell ref="E2:G2"/>
    <mergeCell ref="H2:L2"/>
    <mergeCell ref="N2:O2"/>
  </mergeCells>
  <pageMargins left="0.7" right="0.7" top="0.75" bottom="0.75" header="0.3" footer="0.3"/>
  <pageSetup paperSize="9" orientation="portrait" horizontalDpi="90" verticalDpi="90" r:id="rId1"/>
  <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Sheet35">
    <tabColor rgb="FFFFC000"/>
  </sheetPr>
  <dimension ref="A1:Q151"/>
  <sheetViews>
    <sheetView showGridLines="0" zoomScale="80" zoomScaleNormal="80" workbookViewId="0">
      <pane xSplit="1" ySplit="3" topLeftCell="B4" activePane="bottomRight" state="frozen"/>
      <selection pane="topRight"/>
      <selection pane="bottomLeft"/>
      <selection pane="bottomRight" sqref="A1:A2"/>
    </sheetView>
  </sheetViews>
  <sheetFormatPr defaultColWidth="0" defaultRowHeight="0" customHeight="1" zeroHeight="1"/>
  <cols>
    <col min="1" max="1" width="88.7109375" style="30" bestFit="1" customWidth="1"/>
    <col min="2" max="2" width="12.7109375" style="30" bestFit="1" customWidth="1"/>
    <col min="3" max="3" width="17.28515625" style="30" bestFit="1" customWidth="1"/>
    <col min="4" max="4" width="15.28515625" style="30" bestFit="1" customWidth="1"/>
    <col min="5" max="5" width="16.28515625" style="30" bestFit="1" customWidth="1"/>
    <col min="6" max="6" width="12.7109375" style="30" bestFit="1" customWidth="1"/>
    <col min="7" max="7" width="22" style="30" bestFit="1" customWidth="1"/>
    <col min="8" max="8" width="16.7109375" style="30" customWidth="1"/>
    <col min="9" max="9" width="21.42578125" style="30" hidden="1" customWidth="1"/>
    <col min="10" max="10" width="21.7109375" style="30" hidden="1" customWidth="1"/>
    <col min="11" max="11" width="19.42578125" style="30" hidden="1" customWidth="1"/>
    <col min="12" max="12" width="21.28515625" style="30" hidden="1" customWidth="1"/>
    <col min="13" max="13" width="31.28515625" style="30" hidden="1" customWidth="1"/>
    <col min="14" max="14" width="40.28515625" style="30" hidden="1" customWidth="1"/>
    <col min="15" max="15" width="15.28515625" style="30" customWidth="1"/>
    <col min="16" max="17" width="9.28515625" style="30" customWidth="1"/>
    <col min="18" max="16384" width="9.28515625" style="30" hidden="1"/>
  </cols>
  <sheetData>
    <row r="1" spans="1:14" ht="28.9" customHeight="1">
      <c r="A1" s="1679"/>
      <c r="B1" s="227"/>
      <c r="C1" s="227"/>
      <c r="D1" s="227"/>
      <c r="E1" s="227"/>
      <c r="F1" s="227"/>
      <c r="G1" s="227"/>
      <c r="H1" s="249"/>
    </row>
    <row r="2" spans="1:14" ht="29.65" customHeight="1">
      <c r="A2" s="1680"/>
      <c r="B2" s="1677" t="s">
        <v>357</v>
      </c>
      <c r="C2" s="1677"/>
      <c r="D2" s="1677"/>
      <c r="E2" s="1677"/>
      <c r="F2" s="1677"/>
      <c r="G2" s="1677"/>
      <c r="H2" s="1678"/>
    </row>
    <row r="3" spans="1:14" ht="30">
      <c r="A3" s="229" t="s">
        <v>933</v>
      </c>
      <c r="B3" s="79" t="s">
        <v>68</v>
      </c>
      <c r="C3" s="79" t="s">
        <v>472</v>
      </c>
      <c r="D3" s="79" t="s">
        <v>67</v>
      </c>
      <c r="E3" s="79" t="s">
        <v>482</v>
      </c>
      <c r="F3" s="100" t="s">
        <v>328</v>
      </c>
      <c r="G3" s="100" t="s">
        <v>492</v>
      </c>
      <c r="H3" s="79" t="s">
        <v>496</v>
      </c>
      <c r="I3" s="30" t="s">
        <v>280</v>
      </c>
      <c r="J3" s="1681" t="s">
        <v>1151</v>
      </c>
      <c r="K3" s="1682"/>
      <c r="L3" s="1682"/>
      <c r="M3" s="1683"/>
    </row>
    <row r="4" spans="1:14" ht="15">
      <c r="A4" s="68" t="str">
        <f>'G-1 All Habitats'!B3</f>
        <v>Cropland - Arable field margins cultivated annually</v>
      </c>
      <c r="B4" s="404" t="s">
        <v>1048</v>
      </c>
      <c r="C4" s="404" t="s">
        <v>1048</v>
      </c>
      <c r="D4" s="404" t="s">
        <v>1048</v>
      </c>
      <c r="E4" s="404" t="s">
        <v>1048</v>
      </c>
      <c r="F4" s="404" t="s">
        <v>1048</v>
      </c>
      <c r="G4" s="404">
        <v>1</v>
      </c>
      <c r="H4" s="404" t="s">
        <v>1048</v>
      </c>
      <c r="I4" s="30" t="str">
        <f>IF(G4=1,"Cond1",IF(H4=0,"Cond2",IF(AND(B4=3,C4=2.5,D4=2,E4=1.5,F4=1),"Cond4",IF(F4=1,"Cond3","Check"))))</f>
        <v>Cond1</v>
      </c>
      <c r="J4" s="248" t="s">
        <v>1152</v>
      </c>
      <c r="K4" s="248" t="s">
        <v>1153</v>
      </c>
      <c r="L4" s="248" t="s">
        <v>1154</v>
      </c>
      <c r="M4" s="248" t="s">
        <v>1155</v>
      </c>
      <c r="N4" s="30" t="s">
        <v>1156</v>
      </c>
    </row>
    <row r="5" spans="1:14" ht="15">
      <c r="A5" s="68" t="str">
        <f>'G-1 All Habitats'!B4</f>
        <v>Cropland - Arable field margins game bird mix</v>
      </c>
      <c r="B5" s="404" t="s">
        <v>1048</v>
      </c>
      <c r="C5" s="404" t="s">
        <v>1048</v>
      </c>
      <c r="D5" s="404" t="s">
        <v>1048</v>
      </c>
      <c r="E5" s="404" t="s">
        <v>1048</v>
      </c>
      <c r="F5" s="404" t="s">
        <v>1048</v>
      </c>
      <c r="G5" s="404">
        <v>1</v>
      </c>
      <c r="H5" s="404" t="s">
        <v>1048</v>
      </c>
      <c r="I5" s="30" t="str">
        <f>IF(G5=1,"Cond1",IF(H5=0,"Cond2",IF(AND(B5=3,C5=2.5,D5=2,E5=1.5,F5=1),"Cond4",IF(F5=1,"Cond3","Check"))))</f>
        <v>Cond1</v>
      </c>
      <c r="J5" s="177" t="s">
        <v>492</v>
      </c>
      <c r="K5" s="177" t="s">
        <v>496</v>
      </c>
      <c r="L5" s="224" t="s">
        <v>328</v>
      </c>
      <c r="M5" s="177" t="s">
        <v>68</v>
      </c>
      <c r="N5" s="30" t="s">
        <v>68</v>
      </c>
    </row>
    <row r="6" spans="1:14" ht="15">
      <c r="A6" s="68" t="str">
        <f>'G-1 All Habitats'!B5</f>
        <v>Cropland - Arable field margins pollen and nectar</v>
      </c>
      <c r="B6" s="404" t="s">
        <v>1048</v>
      </c>
      <c r="C6" s="404" t="s">
        <v>1048</v>
      </c>
      <c r="D6" s="404" t="s">
        <v>1048</v>
      </c>
      <c r="E6" s="404" t="s">
        <v>1048</v>
      </c>
      <c r="F6" s="404" t="s">
        <v>1048</v>
      </c>
      <c r="G6" s="404">
        <v>1</v>
      </c>
      <c r="H6" s="404" t="s">
        <v>1048</v>
      </c>
      <c r="I6" s="30" t="str">
        <f>IF(G6=1,"Cond1",IF(H6=0,"Cond2",IF(AND(B6=3,C6=2.5,D6=2,E6=1.5,F6=1),"Cond4",IF(F6=1,"Cond3","Check"))))</f>
        <v>Cond1</v>
      </c>
      <c r="M6" s="177" t="s">
        <v>472</v>
      </c>
    </row>
    <row r="7" spans="1:14" ht="15">
      <c r="A7" s="68" t="str">
        <f>'G-1 All Habitats'!B6</f>
        <v>Cropland - Arable field margins tussocky</v>
      </c>
      <c r="B7" s="404" t="s">
        <v>1048</v>
      </c>
      <c r="C7" s="404" t="s">
        <v>1048</v>
      </c>
      <c r="D7" s="404" t="s">
        <v>1048</v>
      </c>
      <c r="E7" s="404" t="s">
        <v>1048</v>
      </c>
      <c r="F7" s="404" t="s">
        <v>1048</v>
      </c>
      <c r="G7" s="404">
        <v>1</v>
      </c>
      <c r="H7" s="404" t="s">
        <v>1048</v>
      </c>
      <c r="I7" s="30" t="str">
        <f>IF(G7=1,"Cond1",IF(H7=0,"Cond2",IF(AND(B7=3,C7=2.5,D7=2,E7=1.5,F7=1),"Cond4",IF(F7=1,"Cond3","Check"))))</f>
        <v>Cond1</v>
      </c>
      <c r="M7" s="177" t="s">
        <v>67</v>
      </c>
    </row>
    <row r="8" spans="1:14" ht="15">
      <c r="A8" s="68" t="str">
        <f>'G-1 All Habitats'!B7</f>
        <v>Cropland - Cereal crops</v>
      </c>
      <c r="B8" s="404" t="s">
        <v>1048</v>
      </c>
      <c r="C8" s="404" t="s">
        <v>1048</v>
      </c>
      <c r="D8" s="404" t="s">
        <v>1048</v>
      </c>
      <c r="E8" s="404" t="s">
        <v>1048</v>
      </c>
      <c r="F8" s="404" t="s">
        <v>1048</v>
      </c>
      <c r="G8" s="404">
        <v>1</v>
      </c>
      <c r="H8" s="404" t="s">
        <v>1048</v>
      </c>
      <c r="I8" s="30" t="str">
        <f>IF(G8=1,"Cond1",IF(H8=0,"Cond2",IF(AND(B8=3,C8=2.5,D8=2,E8=1.5,F8=1),"Cond4",IF(F8=1,"Cond3","Check"))))</f>
        <v>Cond1</v>
      </c>
      <c r="M8" s="177" t="s">
        <v>482</v>
      </c>
    </row>
    <row r="9" spans="1:14" ht="15">
      <c r="A9" s="68" t="str">
        <f>'G-1 All Habitats'!B8</f>
        <v>Cropland - Winter stubble</v>
      </c>
      <c r="B9" s="404" t="s">
        <v>1048</v>
      </c>
      <c r="C9" s="404" t="s">
        <v>1048</v>
      </c>
      <c r="D9" s="404" t="s">
        <v>1048</v>
      </c>
      <c r="E9" s="404" t="s">
        <v>1048</v>
      </c>
      <c r="F9" s="404" t="s">
        <v>1048</v>
      </c>
      <c r="G9" s="404">
        <v>1</v>
      </c>
      <c r="H9" s="404" t="s">
        <v>1048</v>
      </c>
      <c r="I9" s="30" t="str">
        <f t="shared" ref="I9:I41" si="0">IF(G9=1,"Cond1",IF(H9=0,"Cond2",IF(AND(B9=3,C9=2.5,D9=2,E9=1.5,F9=1),"Cond4",IF(F9=1,"Cond3","Check"))))</f>
        <v>Cond1</v>
      </c>
      <c r="M9" s="224" t="s">
        <v>328</v>
      </c>
    </row>
    <row r="10" spans="1:14" ht="15">
      <c r="A10" s="68" t="str">
        <f>'G-1 All Habitats'!B9</f>
        <v>Cropland - Horticulture</v>
      </c>
      <c r="B10" s="404" t="s">
        <v>1048</v>
      </c>
      <c r="C10" s="404" t="s">
        <v>1048</v>
      </c>
      <c r="D10" s="404" t="s">
        <v>1048</v>
      </c>
      <c r="E10" s="404" t="s">
        <v>1048</v>
      </c>
      <c r="F10" s="404" t="s">
        <v>1048</v>
      </c>
      <c r="G10" s="404">
        <v>1</v>
      </c>
      <c r="H10" s="404" t="s">
        <v>1048</v>
      </c>
      <c r="I10" s="30" t="str">
        <f t="shared" si="0"/>
        <v>Cond1</v>
      </c>
    </row>
    <row r="11" spans="1:14" ht="15">
      <c r="A11" s="68" t="str">
        <f>'G-1 All Habitats'!B10</f>
        <v>Cropland - Intensive orchards</v>
      </c>
      <c r="B11" s="404" t="s">
        <v>1048</v>
      </c>
      <c r="C11" s="404" t="s">
        <v>1048</v>
      </c>
      <c r="D11" s="404" t="s">
        <v>1048</v>
      </c>
      <c r="E11" s="404" t="s">
        <v>1048</v>
      </c>
      <c r="F11" s="404" t="s">
        <v>1048</v>
      </c>
      <c r="G11" s="404">
        <v>1</v>
      </c>
      <c r="H11" s="404" t="s">
        <v>1048</v>
      </c>
      <c r="I11" s="30" t="str">
        <f t="shared" si="0"/>
        <v>Cond1</v>
      </c>
    </row>
    <row r="12" spans="1:14" ht="15">
      <c r="A12" s="68" t="str">
        <f>'G-1 All Habitats'!B11</f>
        <v>Cropland - Non-cereal crops</v>
      </c>
      <c r="B12" s="404" t="s">
        <v>1048</v>
      </c>
      <c r="C12" s="404" t="s">
        <v>1048</v>
      </c>
      <c r="D12" s="404" t="s">
        <v>1048</v>
      </c>
      <c r="E12" s="404" t="s">
        <v>1048</v>
      </c>
      <c r="F12" s="404" t="s">
        <v>1048</v>
      </c>
      <c r="G12" s="404">
        <v>1</v>
      </c>
      <c r="H12" s="404" t="s">
        <v>1048</v>
      </c>
      <c r="I12" s="30" t="str">
        <f t="shared" si="0"/>
        <v>Cond1</v>
      </c>
    </row>
    <row r="13" spans="1:14" ht="15">
      <c r="A13" s="68" t="str">
        <f>'G-1 All Habitats'!B12</f>
        <v>Cropland - Temporary grass and clover leys</v>
      </c>
      <c r="B13" s="404" t="s">
        <v>1048</v>
      </c>
      <c r="C13" s="404" t="s">
        <v>1048</v>
      </c>
      <c r="D13" s="404" t="s">
        <v>1048</v>
      </c>
      <c r="E13" s="404" t="s">
        <v>1048</v>
      </c>
      <c r="F13" s="404" t="s">
        <v>1048</v>
      </c>
      <c r="G13" s="404">
        <v>1</v>
      </c>
      <c r="H13" s="404" t="s">
        <v>1048</v>
      </c>
      <c r="I13" s="30" t="str">
        <f t="shared" si="0"/>
        <v>Cond1</v>
      </c>
    </row>
    <row r="14" spans="1:14" ht="15">
      <c r="A14" s="68" t="str">
        <f>'G-1 All Habitats'!B13</f>
        <v>Grassland - Traditional orchards</v>
      </c>
      <c r="B14" s="404">
        <v>3</v>
      </c>
      <c r="C14" s="404">
        <v>2.5</v>
      </c>
      <c r="D14" s="404">
        <v>2</v>
      </c>
      <c r="E14" s="404">
        <v>1.5</v>
      </c>
      <c r="F14" s="404">
        <v>1</v>
      </c>
      <c r="G14" s="404" t="s">
        <v>1048</v>
      </c>
      <c r="H14" s="404" t="s">
        <v>1048</v>
      </c>
      <c r="I14" s="30" t="str">
        <f t="shared" si="0"/>
        <v>Cond4</v>
      </c>
    </row>
    <row r="15" spans="1:14" ht="15">
      <c r="A15" s="68" t="str">
        <f>'G-1 All Habitats'!B14</f>
        <v>Grassland - Bracken</v>
      </c>
      <c r="B15" s="404" t="s">
        <v>1048</v>
      </c>
      <c r="C15" s="404" t="s">
        <v>1048</v>
      </c>
      <c r="D15" s="404" t="s">
        <v>1048</v>
      </c>
      <c r="E15" s="404" t="s">
        <v>1048</v>
      </c>
      <c r="F15" s="404" t="s">
        <v>1048</v>
      </c>
      <c r="G15" s="404">
        <v>1</v>
      </c>
      <c r="H15" s="404" t="s">
        <v>1048</v>
      </c>
      <c r="I15" s="30" t="str">
        <f t="shared" si="0"/>
        <v>Cond1</v>
      </c>
    </row>
    <row r="16" spans="1:14" ht="15">
      <c r="A16" s="68" t="str">
        <f>'G-1 All Habitats'!B15</f>
        <v>Grassland - Floodplain wetland mosaic and CFGM</v>
      </c>
      <c r="B16" s="404">
        <v>3</v>
      </c>
      <c r="C16" s="404">
        <v>2.5</v>
      </c>
      <c r="D16" s="404">
        <v>2</v>
      </c>
      <c r="E16" s="404">
        <v>1.5</v>
      </c>
      <c r="F16" s="404">
        <v>1</v>
      </c>
      <c r="G16" s="404" t="s">
        <v>1048</v>
      </c>
      <c r="H16" s="404" t="s">
        <v>1048</v>
      </c>
      <c r="I16" s="30" t="str">
        <f t="shared" si="0"/>
        <v>Cond4</v>
      </c>
    </row>
    <row r="17" spans="1:9" ht="15">
      <c r="A17" s="68" t="str">
        <f>'G-1 All Habitats'!B16</f>
        <v>Grassland - Lowland calcareous grassland</v>
      </c>
      <c r="B17" s="404">
        <v>3</v>
      </c>
      <c r="C17" s="404">
        <v>2.5</v>
      </c>
      <c r="D17" s="404">
        <v>2</v>
      </c>
      <c r="E17" s="404">
        <v>1.5</v>
      </c>
      <c r="F17" s="404">
        <v>1</v>
      </c>
      <c r="G17" s="404" t="s">
        <v>1048</v>
      </c>
      <c r="H17" s="404" t="s">
        <v>1048</v>
      </c>
      <c r="I17" s="30" t="str">
        <f t="shared" si="0"/>
        <v>Cond4</v>
      </c>
    </row>
    <row r="18" spans="1:9" ht="15">
      <c r="A18" s="68" t="str">
        <f>'G-1 All Habitats'!B17</f>
        <v>Grassland - Lowland dry acid grassland</v>
      </c>
      <c r="B18" s="404">
        <v>3</v>
      </c>
      <c r="C18" s="404">
        <v>2.5</v>
      </c>
      <c r="D18" s="404">
        <v>2</v>
      </c>
      <c r="E18" s="404">
        <v>1.5</v>
      </c>
      <c r="F18" s="404">
        <v>1</v>
      </c>
      <c r="G18" s="404" t="s">
        <v>1048</v>
      </c>
      <c r="H18" s="404" t="s">
        <v>1048</v>
      </c>
      <c r="I18" s="30" t="str">
        <f t="shared" si="0"/>
        <v>Cond4</v>
      </c>
    </row>
    <row r="19" spans="1:9" ht="15">
      <c r="A19" s="68" t="str">
        <f>'G-1 All Habitats'!B18</f>
        <v>Grassland - Lowland meadows</v>
      </c>
      <c r="B19" s="404">
        <v>3</v>
      </c>
      <c r="C19" s="404">
        <v>2.5</v>
      </c>
      <c r="D19" s="404">
        <v>2</v>
      </c>
      <c r="E19" s="404">
        <v>1.5</v>
      </c>
      <c r="F19" s="404">
        <v>1</v>
      </c>
      <c r="G19" s="404" t="s">
        <v>1048</v>
      </c>
      <c r="H19" s="404" t="s">
        <v>1048</v>
      </c>
      <c r="I19" s="30" t="str">
        <f t="shared" si="0"/>
        <v>Cond4</v>
      </c>
    </row>
    <row r="20" spans="1:9" ht="15">
      <c r="A20" s="68" t="str">
        <f>'G-1 All Habitats'!B19</f>
        <v>Grassland - Modified grassland</v>
      </c>
      <c r="B20" s="404">
        <v>3</v>
      </c>
      <c r="C20" s="404">
        <v>2.5</v>
      </c>
      <c r="D20" s="404">
        <v>2</v>
      </c>
      <c r="E20" s="404">
        <v>1.5</v>
      </c>
      <c r="F20" s="404">
        <v>1</v>
      </c>
      <c r="G20" s="404" t="s">
        <v>1048</v>
      </c>
      <c r="H20" s="404" t="s">
        <v>1048</v>
      </c>
      <c r="I20" s="30" t="str">
        <f t="shared" si="0"/>
        <v>Cond4</v>
      </c>
    </row>
    <row r="21" spans="1:9" ht="15" customHeight="1">
      <c r="A21" s="68" t="str">
        <f>'G-1 All Habitats'!B20</f>
        <v>Grassland - Other lowland acid grassland</v>
      </c>
      <c r="B21" s="404">
        <v>3</v>
      </c>
      <c r="C21" s="404">
        <v>2.5</v>
      </c>
      <c r="D21" s="404">
        <v>2</v>
      </c>
      <c r="E21" s="404">
        <v>1.5</v>
      </c>
      <c r="F21" s="404">
        <v>1</v>
      </c>
      <c r="G21" s="404" t="s">
        <v>1048</v>
      </c>
      <c r="H21" s="404" t="s">
        <v>1048</v>
      </c>
      <c r="I21" s="30" t="str">
        <f t="shared" si="0"/>
        <v>Cond4</v>
      </c>
    </row>
    <row r="22" spans="1:9" ht="15" customHeight="1">
      <c r="A22" s="68" t="str">
        <f>'G-1 All Habitats'!B21</f>
        <v>Grassland - Other neutral grassland</v>
      </c>
      <c r="B22" s="404">
        <v>3</v>
      </c>
      <c r="C22" s="404">
        <v>2.5</v>
      </c>
      <c r="D22" s="404">
        <v>2</v>
      </c>
      <c r="E22" s="404">
        <v>1.5</v>
      </c>
      <c r="F22" s="404">
        <v>1</v>
      </c>
      <c r="G22" s="404" t="s">
        <v>1048</v>
      </c>
      <c r="H22" s="404" t="s">
        <v>1048</v>
      </c>
      <c r="I22" s="30" t="str">
        <f t="shared" si="0"/>
        <v>Cond4</v>
      </c>
    </row>
    <row r="23" spans="1:9" ht="15" customHeight="1">
      <c r="A23" s="68" t="str">
        <f>'G-1 All Habitats'!B22</f>
        <v>Grassland - Tall herb communities (H6430)</v>
      </c>
      <c r="B23" s="404">
        <v>3</v>
      </c>
      <c r="C23" s="404">
        <v>2.5</v>
      </c>
      <c r="D23" s="404">
        <v>2</v>
      </c>
      <c r="E23" s="404">
        <v>1.5</v>
      </c>
      <c r="F23" s="404">
        <v>1</v>
      </c>
      <c r="G23" s="404" t="s">
        <v>1048</v>
      </c>
      <c r="H23" s="404" t="s">
        <v>1048</v>
      </c>
      <c r="I23" s="30" t="str">
        <f t="shared" si="0"/>
        <v>Cond4</v>
      </c>
    </row>
    <row r="24" spans="1:9" ht="15" customHeight="1">
      <c r="A24" s="68" t="str">
        <f>'G-1 All Habitats'!B23</f>
        <v>Grassland - Upland acid grassland</v>
      </c>
      <c r="B24" s="404">
        <v>3</v>
      </c>
      <c r="C24" s="404">
        <v>2.5</v>
      </c>
      <c r="D24" s="404">
        <v>2</v>
      </c>
      <c r="E24" s="404">
        <v>1.5</v>
      </c>
      <c r="F24" s="404">
        <v>1</v>
      </c>
      <c r="G24" s="404" t="s">
        <v>1048</v>
      </c>
      <c r="H24" s="404" t="s">
        <v>1048</v>
      </c>
      <c r="I24" s="30" t="str">
        <f t="shared" si="0"/>
        <v>Cond4</v>
      </c>
    </row>
    <row r="25" spans="1:9" ht="15" customHeight="1">
      <c r="A25" s="68" t="str">
        <f>'G-1 All Habitats'!B24</f>
        <v>Grassland - Upland calcareous grassland</v>
      </c>
      <c r="B25" s="404">
        <v>3</v>
      </c>
      <c r="C25" s="404">
        <v>2.5</v>
      </c>
      <c r="D25" s="404">
        <v>2</v>
      </c>
      <c r="E25" s="404">
        <v>1.5</v>
      </c>
      <c r="F25" s="404">
        <v>1</v>
      </c>
      <c r="G25" s="404" t="s">
        <v>1048</v>
      </c>
      <c r="H25" s="404" t="s">
        <v>1048</v>
      </c>
      <c r="I25" s="30" t="str">
        <f t="shared" si="0"/>
        <v>Cond4</v>
      </c>
    </row>
    <row r="26" spans="1:9" ht="15" customHeight="1">
      <c r="A26" s="68" t="str">
        <f>'G-1 All Habitats'!B25</f>
        <v>Grassland - Upland hay meadows</v>
      </c>
      <c r="B26" s="404">
        <v>3</v>
      </c>
      <c r="C26" s="404">
        <v>2.5</v>
      </c>
      <c r="D26" s="404">
        <v>2</v>
      </c>
      <c r="E26" s="404">
        <v>1.5</v>
      </c>
      <c r="F26" s="404">
        <v>1</v>
      </c>
      <c r="G26" s="404" t="s">
        <v>1048</v>
      </c>
      <c r="H26" s="404" t="s">
        <v>1048</v>
      </c>
      <c r="I26" s="30" t="str">
        <f t="shared" si="0"/>
        <v>Cond4</v>
      </c>
    </row>
    <row r="27" spans="1:9" ht="15">
      <c r="A27" s="68" t="str">
        <f>'G-1 All Habitats'!B26</f>
        <v>Heathland and shrub - Blackthorn scrub</v>
      </c>
      <c r="B27" s="404">
        <v>3</v>
      </c>
      <c r="C27" s="404">
        <v>2.5</v>
      </c>
      <c r="D27" s="404">
        <v>2</v>
      </c>
      <c r="E27" s="404">
        <v>1.5</v>
      </c>
      <c r="F27" s="404">
        <v>1</v>
      </c>
      <c r="G27" s="404" t="s">
        <v>1048</v>
      </c>
      <c r="H27" s="404" t="s">
        <v>1048</v>
      </c>
      <c r="I27" s="30" t="str">
        <f t="shared" si="0"/>
        <v>Cond4</v>
      </c>
    </row>
    <row r="28" spans="1:9" ht="15">
      <c r="A28" s="68" t="str">
        <f>'G-1 All Habitats'!B27</f>
        <v>Heathland and shrub - Bramble scrub</v>
      </c>
      <c r="B28" s="404" t="s">
        <v>1048</v>
      </c>
      <c r="C28" s="404" t="s">
        <v>1048</v>
      </c>
      <c r="D28" s="404" t="s">
        <v>1048</v>
      </c>
      <c r="E28" s="404">
        <v>1.5</v>
      </c>
      <c r="F28" s="404" t="s">
        <v>1048</v>
      </c>
      <c r="G28" s="404">
        <v>1</v>
      </c>
      <c r="H28" s="404" t="s">
        <v>1048</v>
      </c>
      <c r="I28" s="30" t="str">
        <f t="shared" si="0"/>
        <v>Cond1</v>
      </c>
    </row>
    <row r="29" spans="1:9" ht="15">
      <c r="A29" s="68" t="str">
        <f>'G-1 All Habitats'!B28</f>
        <v>Heathland and shrub - Gorse scrub</v>
      </c>
      <c r="B29" s="404">
        <v>3</v>
      </c>
      <c r="C29" s="404">
        <v>2.5</v>
      </c>
      <c r="D29" s="404">
        <v>2</v>
      </c>
      <c r="E29" s="404">
        <v>1.5</v>
      </c>
      <c r="F29" s="404">
        <v>1</v>
      </c>
      <c r="G29" s="404" t="s">
        <v>1048</v>
      </c>
      <c r="H29" s="404" t="s">
        <v>1048</v>
      </c>
      <c r="I29" s="30" t="str">
        <f t="shared" si="0"/>
        <v>Cond4</v>
      </c>
    </row>
    <row r="30" spans="1:9" ht="15">
      <c r="A30" s="68" t="str">
        <f>'G-1 All Habitats'!B29</f>
        <v>Heathland and shrub - Hawthorn scrub</v>
      </c>
      <c r="B30" s="404">
        <v>3</v>
      </c>
      <c r="C30" s="404">
        <v>2.5</v>
      </c>
      <c r="D30" s="404">
        <v>2</v>
      </c>
      <c r="E30" s="404">
        <v>1.5</v>
      </c>
      <c r="F30" s="404">
        <v>1</v>
      </c>
      <c r="G30" s="404" t="s">
        <v>1048</v>
      </c>
      <c r="H30" s="404" t="s">
        <v>1048</v>
      </c>
      <c r="I30" s="30" t="str">
        <f t="shared" si="0"/>
        <v>Cond4</v>
      </c>
    </row>
    <row r="31" spans="1:9" ht="15">
      <c r="A31" s="68" t="str">
        <f>'G-1 All Habitats'!B30</f>
        <v>Heathland and shrub - Hazel scrub</v>
      </c>
      <c r="B31" s="404">
        <v>3</v>
      </c>
      <c r="C31" s="404">
        <v>2.5</v>
      </c>
      <c r="D31" s="404">
        <v>2</v>
      </c>
      <c r="E31" s="404">
        <v>1.5</v>
      </c>
      <c r="F31" s="404">
        <v>1</v>
      </c>
      <c r="G31" s="404" t="s">
        <v>1048</v>
      </c>
      <c r="H31" s="404" t="s">
        <v>1048</v>
      </c>
      <c r="I31" s="30" t="str">
        <f t="shared" si="0"/>
        <v>Cond4</v>
      </c>
    </row>
    <row r="32" spans="1:9" ht="15">
      <c r="A32" s="68" t="str">
        <f>'G-1 All Habitats'!B31</f>
        <v>Heathland and shrub - Lowland heathland</v>
      </c>
      <c r="B32" s="404">
        <v>3</v>
      </c>
      <c r="C32" s="404">
        <v>2.5</v>
      </c>
      <c r="D32" s="404">
        <v>2</v>
      </c>
      <c r="E32" s="404">
        <v>1.5</v>
      </c>
      <c r="F32" s="404">
        <v>1</v>
      </c>
      <c r="G32" s="404" t="s">
        <v>1048</v>
      </c>
      <c r="H32" s="404" t="s">
        <v>1048</v>
      </c>
      <c r="I32" s="30" t="str">
        <f t="shared" si="0"/>
        <v>Cond4</v>
      </c>
    </row>
    <row r="33" spans="1:9" ht="15">
      <c r="A33" s="68" t="str">
        <f>'G-1 All Habitats'!B32</f>
        <v>Heathland and shrub - Mixed scrub</v>
      </c>
      <c r="B33" s="404">
        <v>3</v>
      </c>
      <c r="C33" s="404">
        <v>2.5</v>
      </c>
      <c r="D33" s="404">
        <v>2</v>
      </c>
      <c r="E33" s="404">
        <v>1.5</v>
      </c>
      <c r="F33" s="404">
        <v>1</v>
      </c>
      <c r="G33" s="404" t="s">
        <v>1048</v>
      </c>
      <c r="H33" s="404" t="s">
        <v>1048</v>
      </c>
      <c r="I33" s="30" t="str">
        <f t="shared" si="0"/>
        <v>Cond4</v>
      </c>
    </row>
    <row r="34" spans="1:9" ht="15">
      <c r="A34" s="68" t="str">
        <f>'G-1 All Habitats'!B33</f>
        <v>Heathland and shrub - Mountain heaths and willow scrub</v>
      </c>
      <c r="B34" s="404">
        <v>3</v>
      </c>
      <c r="C34" s="404">
        <v>2.5</v>
      </c>
      <c r="D34" s="404">
        <v>2</v>
      </c>
      <c r="E34" s="404">
        <v>1.5</v>
      </c>
      <c r="F34" s="404">
        <v>1</v>
      </c>
      <c r="G34" s="404" t="s">
        <v>1048</v>
      </c>
      <c r="H34" s="404" t="s">
        <v>1048</v>
      </c>
      <c r="I34" s="30" t="str">
        <f t="shared" si="0"/>
        <v>Cond4</v>
      </c>
    </row>
    <row r="35" spans="1:9" ht="15">
      <c r="A35" s="68" t="str">
        <f>'G-1 All Habitats'!B34</f>
        <v>Heathland and shrub - Rhododendron scrub</v>
      </c>
      <c r="B35" s="404" t="s">
        <v>1048</v>
      </c>
      <c r="C35" s="404" t="s">
        <v>1048</v>
      </c>
      <c r="D35" s="404" t="s">
        <v>1048</v>
      </c>
      <c r="E35" s="404" t="s">
        <v>1048</v>
      </c>
      <c r="F35" s="404" t="s">
        <v>1048</v>
      </c>
      <c r="G35" s="404">
        <v>1</v>
      </c>
      <c r="H35" s="404" t="s">
        <v>1048</v>
      </c>
      <c r="I35" s="30" t="str">
        <f t="shared" si="0"/>
        <v>Cond1</v>
      </c>
    </row>
    <row r="36" spans="1:9" ht="15">
      <c r="A36" s="68" t="str">
        <f>'G-1 All Habitats'!B35</f>
        <v>Heathland and shrub - Dunes with sea buckthorn (H2160)</v>
      </c>
      <c r="B36" s="404">
        <v>3</v>
      </c>
      <c r="C36" s="404">
        <v>2.5</v>
      </c>
      <c r="D36" s="404">
        <v>2</v>
      </c>
      <c r="E36" s="404">
        <v>1.5</v>
      </c>
      <c r="F36" s="404">
        <v>1</v>
      </c>
      <c r="G36" s="404" t="s">
        <v>1048</v>
      </c>
      <c r="H36" s="404" t="s">
        <v>1048</v>
      </c>
      <c r="I36" s="30" t="str">
        <f t="shared" si="0"/>
        <v>Cond4</v>
      </c>
    </row>
    <row r="37" spans="1:9" ht="15">
      <c r="A37" s="68" t="str">
        <f>'G-1 All Habitats'!B36</f>
        <v>Heathland and shrub - Other sea buckthorn scrub</v>
      </c>
      <c r="B37" s="404" t="s">
        <v>1048</v>
      </c>
      <c r="C37" s="404" t="s">
        <v>1048</v>
      </c>
      <c r="D37" s="404" t="s">
        <v>1048</v>
      </c>
      <c r="E37" s="404" t="s">
        <v>1048</v>
      </c>
      <c r="F37" s="404" t="s">
        <v>1048</v>
      </c>
      <c r="G37" s="404">
        <v>1</v>
      </c>
      <c r="H37" s="404" t="s">
        <v>1048</v>
      </c>
      <c r="I37" s="30" t="str">
        <f t="shared" si="0"/>
        <v>Cond1</v>
      </c>
    </row>
    <row r="38" spans="1:9" ht="15">
      <c r="A38" s="68" t="s">
        <v>606</v>
      </c>
      <c r="B38" s="404">
        <v>3</v>
      </c>
      <c r="C38" s="404">
        <v>2.5</v>
      </c>
      <c r="D38" s="404">
        <v>2</v>
      </c>
      <c r="E38" s="404">
        <v>1.5</v>
      </c>
      <c r="F38" s="404">
        <v>1</v>
      </c>
      <c r="G38" s="404" t="s">
        <v>1048</v>
      </c>
      <c r="H38" s="404" t="s">
        <v>1048</v>
      </c>
      <c r="I38" s="30" t="str">
        <f t="shared" si="0"/>
        <v>Cond4</v>
      </c>
    </row>
    <row r="39" spans="1:9" ht="15">
      <c r="A39" s="68" t="str">
        <f>'G-1 All Habitats'!B38</f>
        <v>Heathland and shrub - Upland heathland</v>
      </c>
      <c r="B39" s="404">
        <v>3</v>
      </c>
      <c r="C39" s="404">
        <v>2.5</v>
      </c>
      <c r="D39" s="404">
        <v>2</v>
      </c>
      <c r="E39" s="404">
        <v>1.5</v>
      </c>
      <c r="F39" s="404">
        <v>1</v>
      </c>
      <c r="G39" s="404" t="s">
        <v>1048</v>
      </c>
      <c r="H39" s="404" t="s">
        <v>1048</v>
      </c>
      <c r="I39" s="30" t="str">
        <f t="shared" si="0"/>
        <v>Cond4</v>
      </c>
    </row>
    <row r="40" spans="1:9" ht="15">
      <c r="A40" s="68" t="str">
        <f>'G-1 All Habitats'!B39</f>
        <v>Lakes - Aquifer fed naturally fluctuating water bodies</v>
      </c>
      <c r="B40" s="404">
        <v>3</v>
      </c>
      <c r="C40" s="404">
        <v>2.5</v>
      </c>
      <c r="D40" s="404">
        <v>2</v>
      </c>
      <c r="E40" s="404">
        <v>1.5</v>
      </c>
      <c r="F40" s="404">
        <v>1</v>
      </c>
      <c r="G40" s="404" t="s">
        <v>1048</v>
      </c>
      <c r="H40" s="404" t="s">
        <v>1048</v>
      </c>
      <c r="I40" s="30" t="str">
        <f t="shared" si="0"/>
        <v>Cond4</v>
      </c>
    </row>
    <row r="41" spans="1:9" ht="15">
      <c r="A41" s="68" t="str">
        <f>'G-1 All Habitats'!B41</f>
        <v>Lakes - High alkalinity lakes</v>
      </c>
      <c r="B41" s="404">
        <v>3</v>
      </c>
      <c r="C41" s="404">
        <v>2.5</v>
      </c>
      <c r="D41" s="404">
        <v>2</v>
      </c>
      <c r="E41" s="404">
        <v>1.5</v>
      </c>
      <c r="F41" s="404">
        <v>1</v>
      </c>
      <c r="G41" s="404" t="s">
        <v>1048</v>
      </c>
      <c r="H41" s="404" t="s">
        <v>1048</v>
      </c>
      <c r="I41" s="30" t="str">
        <f t="shared" si="0"/>
        <v>Cond4</v>
      </c>
    </row>
    <row r="42" spans="1:9" ht="15">
      <c r="A42" s="68" t="str">
        <f>'G-1 All Habitats'!B42</f>
        <v>Lakes - Low alkalinity lakes</v>
      </c>
      <c r="B42" s="404">
        <v>3</v>
      </c>
      <c r="C42" s="404">
        <v>2.5</v>
      </c>
      <c r="D42" s="404">
        <v>2</v>
      </c>
      <c r="E42" s="404">
        <v>1.5</v>
      </c>
      <c r="F42" s="404">
        <v>1</v>
      </c>
      <c r="G42" s="404" t="s">
        <v>1048</v>
      </c>
      <c r="H42" s="404" t="s">
        <v>1048</v>
      </c>
      <c r="I42" s="30" t="str">
        <f t="shared" ref="I42:I74" si="1">IF(G42=1,"Cond1",IF(H42=0,"Cond2",IF(AND(B42=3,C42=2.5,D42=2,E42=1.5,F42=1),"Cond4",IF(F42=1,"Cond3","Check"))))</f>
        <v>Cond4</v>
      </c>
    </row>
    <row r="43" spans="1:9" ht="15">
      <c r="A43" s="68" t="str">
        <f>'G-1 All Habitats'!B43</f>
        <v>Lakes - Marl lakes</v>
      </c>
      <c r="B43" s="404">
        <v>3</v>
      </c>
      <c r="C43" s="404">
        <v>2.5</v>
      </c>
      <c r="D43" s="404">
        <v>2</v>
      </c>
      <c r="E43" s="404">
        <v>1.5</v>
      </c>
      <c r="F43" s="404">
        <v>1</v>
      </c>
      <c r="G43" s="404" t="s">
        <v>1048</v>
      </c>
      <c r="H43" s="404" t="s">
        <v>1048</v>
      </c>
      <c r="I43" s="30" t="str">
        <f t="shared" si="1"/>
        <v>Cond4</v>
      </c>
    </row>
    <row r="44" spans="1:9" ht="15">
      <c r="A44" s="68" t="str">
        <f>'G-1 All Habitats'!B44</f>
        <v>Lakes - Moderate alkalinity lakes</v>
      </c>
      <c r="B44" s="404">
        <v>3</v>
      </c>
      <c r="C44" s="404">
        <v>2.5</v>
      </c>
      <c r="D44" s="404">
        <v>2</v>
      </c>
      <c r="E44" s="404">
        <v>1.5</v>
      </c>
      <c r="F44" s="404">
        <v>1</v>
      </c>
      <c r="G44" s="404" t="s">
        <v>1048</v>
      </c>
      <c r="H44" s="404" t="s">
        <v>1048</v>
      </c>
      <c r="I44" s="30" t="str">
        <f t="shared" si="1"/>
        <v>Cond4</v>
      </c>
    </row>
    <row r="45" spans="1:9" ht="15">
      <c r="A45" s="68" t="str">
        <f>'G-1 All Habitats'!B45</f>
        <v>Lakes - Peat lakes</v>
      </c>
      <c r="B45" s="404">
        <v>3</v>
      </c>
      <c r="C45" s="404">
        <v>2.5</v>
      </c>
      <c r="D45" s="404">
        <v>2</v>
      </c>
      <c r="E45" s="404">
        <v>1.5</v>
      </c>
      <c r="F45" s="404">
        <v>1</v>
      </c>
      <c r="G45" s="404" t="s">
        <v>1048</v>
      </c>
      <c r="H45" s="404" t="s">
        <v>1048</v>
      </c>
      <c r="I45" s="30" t="str">
        <f t="shared" si="1"/>
        <v>Cond4</v>
      </c>
    </row>
    <row r="46" spans="1:9" ht="15">
      <c r="A46" s="68" t="str">
        <f>'G-1 All Habitats'!B46</f>
        <v>Lakes - Ponds (priority habitat)</v>
      </c>
      <c r="B46" s="404">
        <v>3</v>
      </c>
      <c r="C46" s="404">
        <v>2.5</v>
      </c>
      <c r="D46" s="404">
        <v>2</v>
      </c>
      <c r="E46" s="404">
        <v>1.5</v>
      </c>
      <c r="F46" s="404">
        <v>1</v>
      </c>
      <c r="G46" s="404" t="s">
        <v>1048</v>
      </c>
      <c r="H46" s="404" t="s">
        <v>1048</v>
      </c>
      <c r="I46" s="30" t="str">
        <f t="shared" si="1"/>
        <v>Cond4</v>
      </c>
    </row>
    <row r="47" spans="1:9" ht="15">
      <c r="A47" s="68" t="str">
        <f>'G-1 All Habitats'!B47</f>
        <v>Lakes - Ponds (non-priority habitat)</v>
      </c>
      <c r="B47" s="404">
        <v>3</v>
      </c>
      <c r="C47" s="404">
        <v>2.5</v>
      </c>
      <c r="D47" s="404">
        <v>2</v>
      </c>
      <c r="E47" s="404">
        <v>1.5</v>
      </c>
      <c r="F47" s="404">
        <v>1</v>
      </c>
      <c r="G47" s="404" t="s">
        <v>1048</v>
      </c>
      <c r="H47" s="404" t="s">
        <v>1048</v>
      </c>
      <c r="I47" s="30" t="str">
        <f t="shared" si="1"/>
        <v>Cond4</v>
      </c>
    </row>
    <row r="48" spans="1:9" ht="15">
      <c r="A48" s="68" t="str">
        <f>'G-1 All Habitats'!B48</f>
        <v>Lakes - Reservoirs</v>
      </c>
      <c r="B48" s="404">
        <v>3</v>
      </c>
      <c r="C48" s="404">
        <v>2.5</v>
      </c>
      <c r="D48" s="404">
        <v>2</v>
      </c>
      <c r="E48" s="404">
        <v>1.5</v>
      </c>
      <c r="F48" s="404">
        <v>1</v>
      </c>
      <c r="G48" s="404" t="s">
        <v>1048</v>
      </c>
      <c r="H48" s="404" t="s">
        <v>1048</v>
      </c>
      <c r="I48" s="30" t="str">
        <f t="shared" si="1"/>
        <v>Cond4</v>
      </c>
    </row>
    <row r="49" spans="1:9" ht="15">
      <c r="A49" s="68" t="str">
        <f>'G-1 All Habitats'!B49</f>
        <v>Lakes - Temporary lakes ponds and pools (H3170)</v>
      </c>
      <c r="B49" s="404">
        <v>3</v>
      </c>
      <c r="C49" s="404">
        <v>2.5</v>
      </c>
      <c r="D49" s="404">
        <v>2</v>
      </c>
      <c r="E49" s="404">
        <v>1.5</v>
      </c>
      <c r="F49" s="404">
        <v>1</v>
      </c>
      <c r="G49" s="404" t="s">
        <v>1048</v>
      </c>
      <c r="H49" s="404" t="s">
        <v>1048</v>
      </c>
      <c r="I49" s="30" t="str">
        <f t="shared" si="1"/>
        <v>Cond4</v>
      </c>
    </row>
    <row r="50" spans="1:9" ht="15">
      <c r="A50" s="68" t="str">
        <f>'G-1 All Habitats'!B50</f>
        <v>Sparsely vegetated land - Calaminarian grasslands</v>
      </c>
      <c r="B50" s="404">
        <v>3</v>
      </c>
      <c r="C50" s="404">
        <v>2.5</v>
      </c>
      <c r="D50" s="404">
        <v>2</v>
      </c>
      <c r="E50" s="404">
        <v>1.5</v>
      </c>
      <c r="F50" s="404">
        <v>1</v>
      </c>
      <c r="G50" s="404" t="s">
        <v>1048</v>
      </c>
      <c r="H50" s="404" t="s">
        <v>1048</v>
      </c>
      <c r="I50" s="30" t="str">
        <f t="shared" si="1"/>
        <v>Cond4</v>
      </c>
    </row>
    <row r="51" spans="1:9" ht="15">
      <c r="A51" s="68" t="str">
        <f>'G-1 All Habitats'!B51</f>
        <v>Sparsely vegetated land - Coastal sand dunes</v>
      </c>
      <c r="B51" s="404">
        <v>3</v>
      </c>
      <c r="C51" s="404">
        <v>2.5</v>
      </c>
      <c r="D51" s="404">
        <v>2</v>
      </c>
      <c r="E51" s="404">
        <v>1.5</v>
      </c>
      <c r="F51" s="404">
        <v>1</v>
      </c>
      <c r="G51" s="404" t="s">
        <v>1048</v>
      </c>
      <c r="H51" s="404" t="s">
        <v>1048</v>
      </c>
      <c r="I51" s="30" t="str">
        <f t="shared" si="1"/>
        <v>Cond4</v>
      </c>
    </row>
    <row r="52" spans="1:9" ht="15">
      <c r="A52" s="68" t="str">
        <f>'G-1 All Habitats'!B52</f>
        <v>Sparsely vegetated land - Coastal vegetated shingle</v>
      </c>
      <c r="B52" s="404">
        <v>3</v>
      </c>
      <c r="C52" s="404">
        <v>2.5</v>
      </c>
      <c r="D52" s="404">
        <v>2</v>
      </c>
      <c r="E52" s="404">
        <v>1.5</v>
      </c>
      <c r="F52" s="404">
        <v>1</v>
      </c>
      <c r="G52" s="404" t="s">
        <v>1048</v>
      </c>
      <c r="H52" s="404" t="s">
        <v>1048</v>
      </c>
      <c r="I52" s="30" t="str">
        <f t="shared" si="1"/>
        <v>Cond4</v>
      </c>
    </row>
    <row r="53" spans="1:9" ht="15">
      <c r="A53" s="68" t="str">
        <f>'G-1 All Habitats'!B53</f>
        <v>Sparsely vegetated land - Ruderal/Ephemeral</v>
      </c>
      <c r="B53" s="404">
        <v>3</v>
      </c>
      <c r="C53" s="404">
        <v>2.5</v>
      </c>
      <c r="D53" s="404">
        <v>2</v>
      </c>
      <c r="E53" s="404">
        <v>1.5</v>
      </c>
      <c r="F53" s="404">
        <v>1</v>
      </c>
      <c r="G53" s="404" t="s">
        <v>1048</v>
      </c>
      <c r="H53" s="404" t="s">
        <v>1048</v>
      </c>
      <c r="I53" s="30" t="str">
        <f t="shared" si="1"/>
        <v>Cond4</v>
      </c>
    </row>
    <row r="54" spans="1:9" ht="15">
      <c r="A54" s="68" t="s">
        <v>664</v>
      </c>
      <c r="B54" s="404">
        <v>3</v>
      </c>
      <c r="C54" s="404">
        <v>2.5</v>
      </c>
      <c r="D54" s="404">
        <v>2</v>
      </c>
      <c r="E54" s="404">
        <v>1.5</v>
      </c>
      <c r="F54" s="404">
        <v>1</v>
      </c>
      <c r="G54" s="404" t="s">
        <v>1048</v>
      </c>
      <c r="H54" s="404" t="s">
        <v>1048</v>
      </c>
      <c r="I54" s="30" t="str">
        <f t="shared" si="1"/>
        <v>Cond4</v>
      </c>
    </row>
    <row r="55" spans="1:9" ht="15">
      <c r="A55" s="68" t="str">
        <f>'G-1 All Habitats'!B55</f>
        <v>Sparsely vegetated land - Inland rock outcrop and scree habitats</v>
      </c>
      <c r="B55" s="404">
        <v>3</v>
      </c>
      <c r="C55" s="404">
        <v>2.5</v>
      </c>
      <c r="D55" s="404">
        <v>2</v>
      </c>
      <c r="E55" s="404">
        <v>1.5</v>
      </c>
      <c r="F55" s="404">
        <v>1</v>
      </c>
      <c r="G55" s="404" t="s">
        <v>1048</v>
      </c>
      <c r="H55" s="404" t="s">
        <v>1048</v>
      </c>
      <c r="I55" s="30" t="str">
        <f t="shared" si="1"/>
        <v>Cond4</v>
      </c>
    </row>
    <row r="56" spans="1:9" ht="15">
      <c r="A56" s="68" t="str">
        <f>'G-1 All Habitats'!B56</f>
        <v>Sparsely vegetated land - Limestone pavement</v>
      </c>
      <c r="B56" s="404">
        <v>3</v>
      </c>
      <c r="C56" s="404">
        <v>2.5</v>
      </c>
      <c r="D56" s="404">
        <v>2</v>
      </c>
      <c r="E56" s="404">
        <v>1.5</v>
      </c>
      <c r="F56" s="404">
        <v>1</v>
      </c>
      <c r="G56" s="404" t="s">
        <v>1048</v>
      </c>
      <c r="H56" s="404" t="s">
        <v>1048</v>
      </c>
      <c r="I56" s="30" t="str">
        <f t="shared" si="1"/>
        <v>Cond4</v>
      </c>
    </row>
    <row r="57" spans="1:9" ht="15">
      <c r="A57" s="68" t="str">
        <f>'G-1 All Habitats'!B57</f>
        <v>Sparsely vegetated land - Maritime cliff and slopes</v>
      </c>
      <c r="B57" s="404">
        <v>3</v>
      </c>
      <c r="C57" s="404">
        <v>2.5</v>
      </c>
      <c r="D57" s="404">
        <v>2</v>
      </c>
      <c r="E57" s="404">
        <v>1.5</v>
      </c>
      <c r="F57" s="404">
        <v>1</v>
      </c>
      <c r="G57" s="404" t="s">
        <v>1048</v>
      </c>
      <c r="H57" s="404" t="s">
        <v>1048</v>
      </c>
      <c r="I57" s="30" t="str">
        <f t="shared" si="1"/>
        <v>Cond4</v>
      </c>
    </row>
    <row r="58" spans="1:9" ht="15">
      <c r="A58" s="68" t="str">
        <f>'G-1 All Habitats'!B58</f>
        <v>Sparsely vegetated land - Other inland rock and scree</v>
      </c>
      <c r="B58" s="404">
        <v>3</v>
      </c>
      <c r="C58" s="404">
        <v>2.5</v>
      </c>
      <c r="D58" s="404">
        <v>2</v>
      </c>
      <c r="E58" s="404">
        <v>1.5</v>
      </c>
      <c r="F58" s="404">
        <v>1</v>
      </c>
      <c r="G58" s="404" t="s">
        <v>1048</v>
      </c>
      <c r="H58" s="404" t="s">
        <v>1048</v>
      </c>
      <c r="I58" s="30" t="str">
        <f t="shared" si="1"/>
        <v>Cond4</v>
      </c>
    </row>
    <row r="59" spans="1:9" ht="15">
      <c r="A59" s="68" t="str">
        <f>'G-1 All Habitats'!B59</f>
        <v>Urban - Allotments</v>
      </c>
      <c r="B59" s="404">
        <v>3</v>
      </c>
      <c r="C59" s="404">
        <v>2.5</v>
      </c>
      <c r="D59" s="404">
        <v>2</v>
      </c>
      <c r="E59" s="404">
        <v>1.5</v>
      </c>
      <c r="F59" s="404">
        <v>1</v>
      </c>
      <c r="G59" s="404" t="s">
        <v>1048</v>
      </c>
      <c r="H59" s="404" t="s">
        <v>1048</v>
      </c>
      <c r="I59" s="30" t="str">
        <f t="shared" si="1"/>
        <v>Cond4</v>
      </c>
    </row>
    <row r="60" spans="1:9" ht="15">
      <c r="A60" s="68" t="str">
        <f>'G-1 All Habitats'!B40</f>
        <v>Lakes - Ornamental lake or pond</v>
      </c>
      <c r="B60" s="404">
        <v>3</v>
      </c>
      <c r="C60" s="404">
        <v>2.5</v>
      </c>
      <c r="D60" s="404">
        <v>2</v>
      </c>
      <c r="E60" s="404">
        <v>1.5</v>
      </c>
      <c r="F60" s="404">
        <v>1</v>
      </c>
      <c r="G60" s="404" t="s">
        <v>1048</v>
      </c>
      <c r="H60" s="404" t="s">
        <v>1048</v>
      </c>
      <c r="I60" s="30" t="str">
        <f t="shared" si="1"/>
        <v>Cond4</v>
      </c>
    </row>
    <row r="61" spans="1:9" ht="15">
      <c r="A61" s="68" t="str">
        <f>'G-1 All Habitats'!B60</f>
        <v>Urban - Artificial unvegetated, unsealed surface</v>
      </c>
      <c r="B61" s="404" t="s">
        <v>1048</v>
      </c>
      <c r="C61" s="404" t="s">
        <v>1048</v>
      </c>
      <c r="D61" s="404" t="s">
        <v>1048</v>
      </c>
      <c r="E61" s="404" t="s">
        <v>1048</v>
      </c>
      <c r="F61" s="404" t="s">
        <v>1048</v>
      </c>
      <c r="G61" s="404" t="s">
        <v>1048</v>
      </c>
      <c r="H61" s="440">
        <v>0</v>
      </c>
      <c r="I61" s="30" t="str">
        <f t="shared" si="1"/>
        <v>Cond2</v>
      </c>
    </row>
    <row r="62" spans="1:9" ht="15">
      <c r="A62" s="68" t="str">
        <f>'G-1 All Habitats'!B61</f>
        <v>Urban - Bioswale</v>
      </c>
      <c r="B62" s="404">
        <v>3</v>
      </c>
      <c r="C62" s="404">
        <v>2.5</v>
      </c>
      <c r="D62" s="404">
        <v>2</v>
      </c>
      <c r="E62" s="404">
        <v>1.5</v>
      </c>
      <c r="F62" s="404">
        <v>1</v>
      </c>
      <c r="G62" s="404" t="s">
        <v>1048</v>
      </c>
      <c r="H62" s="404" t="s">
        <v>1048</v>
      </c>
      <c r="I62" s="30" t="str">
        <f t="shared" si="1"/>
        <v>Cond4</v>
      </c>
    </row>
    <row r="63" spans="1:9" ht="15">
      <c r="A63" s="68" t="str">
        <f>'G-1 All Habitats'!B62</f>
        <v>Urban - Intensive green roof</v>
      </c>
      <c r="B63" s="404">
        <v>3</v>
      </c>
      <c r="C63" s="404">
        <v>2.5</v>
      </c>
      <c r="D63" s="404">
        <v>2</v>
      </c>
      <c r="E63" s="404">
        <v>1.5</v>
      </c>
      <c r="F63" s="404">
        <v>1</v>
      </c>
      <c r="G63" s="404" t="s">
        <v>1048</v>
      </c>
      <c r="H63" s="404" t="s">
        <v>1048</v>
      </c>
      <c r="I63" s="30" t="str">
        <f t="shared" si="1"/>
        <v>Cond4</v>
      </c>
    </row>
    <row r="64" spans="1:9" ht="15">
      <c r="A64" s="68" t="str">
        <f>'G-1 All Habitats'!B63</f>
        <v>Urban - Built linear features</v>
      </c>
      <c r="B64" s="404" t="s">
        <v>1048</v>
      </c>
      <c r="C64" s="404" t="s">
        <v>1048</v>
      </c>
      <c r="D64" s="404" t="s">
        <v>1048</v>
      </c>
      <c r="E64" s="404" t="s">
        <v>1048</v>
      </c>
      <c r="F64" s="404" t="s">
        <v>1048</v>
      </c>
      <c r="G64" s="404" t="s">
        <v>1048</v>
      </c>
      <c r="H64" s="440">
        <v>0</v>
      </c>
      <c r="I64" s="30" t="str">
        <f t="shared" si="1"/>
        <v>Cond2</v>
      </c>
    </row>
    <row r="65" spans="1:9" ht="15">
      <c r="A65" s="68" t="str">
        <f>'G-1 All Habitats'!B64</f>
        <v>Urban - Cemeteries and churchyards</v>
      </c>
      <c r="B65" s="404">
        <v>3</v>
      </c>
      <c r="C65" s="404">
        <v>2.5</v>
      </c>
      <c r="D65" s="404">
        <v>2</v>
      </c>
      <c r="E65" s="404">
        <v>1.5</v>
      </c>
      <c r="F65" s="404">
        <v>1</v>
      </c>
      <c r="G65" s="404" t="s">
        <v>1048</v>
      </c>
      <c r="H65" s="404" t="s">
        <v>1048</v>
      </c>
      <c r="I65" s="30" t="str">
        <f t="shared" si="1"/>
        <v>Cond4</v>
      </c>
    </row>
    <row r="66" spans="1:9" ht="15">
      <c r="A66" s="68" t="str">
        <f>'G-1 All Habitats'!B65</f>
        <v>Urban - Developed land; sealed surface</v>
      </c>
      <c r="B66" s="404" t="s">
        <v>1048</v>
      </c>
      <c r="C66" s="404" t="s">
        <v>1048</v>
      </c>
      <c r="D66" s="404" t="s">
        <v>1048</v>
      </c>
      <c r="E66" s="404" t="s">
        <v>1048</v>
      </c>
      <c r="F66" s="404" t="s">
        <v>1048</v>
      </c>
      <c r="G66" s="404" t="s">
        <v>1048</v>
      </c>
      <c r="H66" s="440">
        <v>0</v>
      </c>
      <c r="I66" s="30" t="str">
        <f t="shared" si="1"/>
        <v>Cond2</v>
      </c>
    </row>
    <row r="67" spans="1:9" ht="15">
      <c r="A67" s="68" t="str">
        <f>'G-1 All Habitats'!B66</f>
        <v>Urban - Other green roof</v>
      </c>
      <c r="B67" s="404" t="s">
        <v>1048</v>
      </c>
      <c r="C67" s="404" t="s">
        <v>1048</v>
      </c>
      <c r="D67" s="404" t="s">
        <v>1048</v>
      </c>
      <c r="E67" s="404" t="s">
        <v>1048</v>
      </c>
      <c r="F67" s="404" t="s">
        <v>1048</v>
      </c>
      <c r="G67" s="404">
        <v>1</v>
      </c>
      <c r="H67" s="404" t="s">
        <v>1048</v>
      </c>
      <c r="I67" s="30" t="str">
        <f t="shared" si="1"/>
        <v>Cond1</v>
      </c>
    </row>
    <row r="68" spans="1:9" ht="15">
      <c r="A68" s="68" t="str">
        <f>'G-1 All Habitats'!B67</f>
        <v>Urban - Facade-bound green wall</v>
      </c>
      <c r="B68" s="404">
        <v>3</v>
      </c>
      <c r="C68" s="404">
        <v>2.5</v>
      </c>
      <c r="D68" s="404">
        <v>2</v>
      </c>
      <c r="E68" s="404">
        <v>1.5</v>
      </c>
      <c r="F68" s="404">
        <v>1</v>
      </c>
      <c r="G68" s="404" t="s">
        <v>1048</v>
      </c>
      <c r="H68" s="404" t="s">
        <v>1048</v>
      </c>
      <c r="I68" s="30" t="str">
        <f t="shared" si="1"/>
        <v>Cond4</v>
      </c>
    </row>
    <row r="69" spans="1:9" ht="15">
      <c r="A69" s="68" t="str">
        <f>'G-1 All Habitats'!B68</f>
        <v>Urban - Ground based green wall</v>
      </c>
      <c r="B69" s="404">
        <v>3</v>
      </c>
      <c r="C69" s="404">
        <v>2.5</v>
      </c>
      <c r="D69" s="404">
        <v>2</v>
      </c>
      <c r="E69" s="404">
        <v>1.5</v>
      </c>
      <c r="F69" s="404">
        <v>1</v>
      </c>
      <c r="G69" s="404" t="s">
        <v>1048</v>
      </c>
      <c r="H69" s="404" t="s">
        <v>1048</v>
      </c>
      <c r="I69" s="30" t="str">
        <f t="shared" si="1"/>
        <v>Cond4</v>
      </c>
    </row>
    <row r="70" spans="1:9" ht="15">
      <c r="A70" s="68" t="str">
        <f>'G-1 All Habitats'!B69</f>
        <v>Urban - Ground level planters</v>
      </c>
      <c r="B70" s="404" t="s">
        <v>1048</v>
      </c>
      <c r="C70" s="404" t="s">
        <v>1048</v>
      </c>
      <c r="D70" s="404" t="s">
        <v>1048</v>
      </c>
      <c r="E70" s="404" t="s">
        <v>1048</v>
      </c>
      <c r="F70" s="404" t="s">
        <v>1048</v>
      </c>
      <c r="G70" s="404">
        <v>1</v>
      </c>
      <c r="H70" s="404" t="s">
        <v>1048</v>
      </c>
      <c r="I70" s="30" t="str">
        <f t="shared" si="1"/>
        <v>Cond1</v>
      </c>
    </row>
    <row r="71" spans="1:9" ht="15">
      <c r="A71" s="68" t="str">
        <f>'G-1 All Habitats'!B70</f>
        <v>Urban - Biodiverse green roof</v>
      </c>
      <c r="B71" s="404">
        <v>3</v>
      </c>
      <c r="C71" s="404">
        <v>2.5</v>
      </c>
      <c r="D71" s="404">
        <v>2</v>
      </c>
      <c r="E71" s="404">
        <v>1.5</v>
      </c>
      <c r="F71" s="404">
        <v>1</v>
      </c>
      <c r="G71" s="404" t="s">
        <v>1048</v>
      </c>
      <c r="H71" s="404" t="s">
        <v>1048</v>
      </c>
      <c r="I71" s="30" t="str">
        <f t="shared" si="1"/>
        <v>Cond4</v>
      </c>
    </row>
    <row r="72" spans="1:9" ht="15">
      <c r="A72" s="68" t="str">
        <f>'G-1 All Habitats'!B71</f>
        <v>Urban - Introduced shrub</v>
      </c>
      <c r="B72" s="404" t="s">
        <v>1048</v>
      </c>
      <c r="C72" s="404" t="s">
        <v>1048</v>
      </c>
      <c r="D72" s="404" t="s">
        <v>1048</v>
      </c>
      <c r="E72" s="404" t="s">
        <v>1048</v>
      </c>
      <c r="F72" s="404" t="s">
        <v>1048</v>
      </c>
      <c r="G72" s="404">
        <v>1</v>
      </c>
      <c r="H72" s="404" t="s">
        <v>1048</v>
      </c>
      <c r="I72" s="30" t="str">
        <f t="shared" si="1"/>
        <v>Cond1</v>
      </c>
    </row>
    <row r="73" spans="1:9" ht="15">
      <c r="A73" s="68" t="str">
        <f>'G-1 All Habitats'!B72</f>
        <v>Urban - Open mosaic habitats on previously developed land</v>
      </c>
      <c r="B73" s="404">
        <v>3</v>
      </c>
      <c r="C73" s="404">
        <v>2.5</v>
      </c>
      <c r="D73" s="404">
        <v>2</v>
      </c>
      <c r="E73" s="404">
        <v>1.5</v>
      </c>
      <c r="F73" s="404">
        <v>1</v>
      </c>
      <c r="G73" s="404" t="s">
        <v>1048</v>
      </c>
      <c r="H73" s="404" t="s">
        <v>1048</v>
      </c>
      <c r="I73" s="30" t="str">
        <f t="shared" si="1"/>
        <v>Cond4</v>
      </c>
    </row>
    <row r="74" spans="1:9" ht="15">
      <c r="A74" s="68" t="str">
        <f>'G-1 All Habitats'!B73</f>
        <v>Urban - Rain garden</v>
      </c>
      <c r="B74" s="404">
        <v>3</v>
      </c>
      <c r="C74" s="404">
        <v>2.5</v>
      </c>
      <c r="D74" s="404">
        <v>2</v>
      </c>
      <c r="E74" s="404">
        <v>1.5</v>
      </c>
      <c r="F74" s="404">
        <v>1</v>
      </c>
      <c r="G74" s="404" t="s">
        <v>1048</v>
      </c>
      <c r="H74" s="404" t="s">
        <v>1048</v>
      </c>
      <c r="I74" s="30" t="str">
        <f t="shared" si="1"/>
        <v>Cond4</v>
      </c>
    </row>
    <row r="75" spans="1:9" ht="15">
      <c r="A75" s="68" t="str">
        <f>'G-1 All Habitats'!B74</f>
        <v>Urban - Actively worked sand pit quarry or open cast mine</v>
      </c>
      <c r="B75" s="404" t="s">
        <v>1048</v>
      </c>
      <c r="C75" s="404" t="s">
        <v>1048</v>
      </c>
      <c r="D75" s="404" t="s">
        <v>1048</v>
      </c>
      <c r="E75" s="404" t="s">
        <v>1048</v>
      </c>
      <c r="F75" s="404" t="s">
        <v>1048</v>
      </c>
      <c r="G75" s="404">
        <v>1</v>
      </c>
      <c r="H75" s="404" t="s">
        <v>1048</v>
      </c>
      <c r="I75" s="30" t="str">
        <f t="shared" ref="I75:I89" si="2">IF(G75=1,"Cond1",IF(H75=0,"Cond2",IF(AND(B75=3,C75=2.5,D75=2,E75=1.5,F75=1),"Cond4",IF(F75=1,"Cond3","Check"))))</f>
        <v>Cond1</v>
      </c>
    </row>
    <row r="76" spans="1:9" ht="15">
      <c r="A76" s="68" t="str">
        <f>'G-1 All Habitats'!B80</f>
        <v>Individual trees - Urban tree</v>
      </c>
      <c r="B76" s="404">
        <v>3</v>
      </c>
      <c r="C76" s="404">
        <v>2.5</v>
      </c>
      <c r="D76" s="404">
        <v>2</v>
      </c>
      <c r="E76" s="404">
        <v>1.5</v>
      </c>
      <c r="F76" s="404">
        <v>1</v>
      </c>
      <c r="G76" s="404" t="s">
        <v>1048</v>
      </c>
      <c r="H76" s="404" t="s">
        <v>1048</v>
      </c>
      <c r="I76" s="30" t="str">
        <f t="shared" si="2"/>
        <v>Cond4</v>
      </c>
    </row>
    <row r="77" spans="1:9" ht="15">
      <c r="A77" s="68" t="str">
        <f>'G-1 All Habitats'!B75</f>
        <v>Urban - Sustainable drainage system</v>
      </c>
      <c r="B77" s="404">
        <v>3</v>
      </c>
      <c r="C77" s="404">
        <v>2.5</v>
      </c>
      <c r="D77" s="404">
        <v>2</v>
      </c>
      <c r="E77" s="404">
        <v>1.5</v>
      </c>
      <c r="F77" s="404">
        <v>1</v>
      </c>
      <c r="G77" s="404" t="s">
        <v>1048</v>
      </c>
      <c r="H77" s="404" t="s">
        <v>1048</v>
      </c>
      <c r="I77" s="30" t="str">
        <f t="shared" si="2"/>
        <v>Cond4</v>
      </c>
    </row>
    <row r="78" spans="1:9" ht="15">
      <c r="A78" s="68" t="str">
        <f>'G-1 All Habitats'!B76</f>
        <v>Urban - Unvegetated garden</v>
      </c>
      <c r="B78" s="404" t="s">
        <v>1048</v>
      </c>
      <c r="C78" s="404" t="s">
        <v>1048</v>
      </c>
      <c r="D78" s="404" t="s">
        <v>1048</v>
      </c>
      <c r="E78" s="404" t="s">
        <v>1048</v>
      </c>
      <c r="F78" s="404" t="s">
        <v>1048</v>
      </c>
      <c r="G78" s="404" t="s">
        <v>1048</v>
      </c>
      <c r="H78" s="440">
        <v>0</v>
      </c>
      <c r="I78" s="30" t="str">
        <f t="shared" si="2"/>
        <v>Cond2</v>
      </c>
    </row>
    <row r="79" spans="1:9" ht="15">
      <c r="A79" s="68" t="str">
        <f>'G-1 All Habitats'!B77</f>
        <v>Urban - Vacant or derelict land</v>
      </c>
      <c r="B79" s="404">
        <v>3</v>
      </c>
      <c r="C79" s="404">
        <v>2.5</v>
      </c>
      <c r="D79" s="404">
        <v>2</v>
      </c>
      <c r="E79" s="404">
        <v>1.5</v>
      </c>
      <c r="F79" s="404">
        <v>1</v>
      </c>
      <c r="G79" s="404" t="s">
        <v>1048</v>
      </c>
      <c r="H79" s="404" t="s">
        <v>1048</v>
      </c>
      <c r="I79" s="30" t="str">
        <f t="shared" si="2"/>
        <v>Cond4</v>
      </c>
    </row>
    <row r="80" spans="1:9" ht="15">
      <c r="A80" s="68" t="s">
        <v>735</v>
      </c>
      <c r="B80" s="404">
        <v>3</v>
      </c>
      <c r="C80" s="404">
        <v>2.5</v>
      </c>
      <c r="D80" s="404">
        <v>2</v>
      </c>
      <c r="E80" s="404">
        <v>1.5</v>
      </c>
      <c r="F80" s="404">
        <v>1</v>
      </c>
      <c r="G80" s="404" t="s">
        <v>1048</v>
      </c>
      <c r="H80" s="404" t="s">
        <v>1048</v>
      </c>
      <c r="I80" s="30" t="str">
        <f t="shared" si="2"/>
        <v>Cond4</v>
      </c>
    </row>
    <row r="81" spans="1:9" ht="15">
      <c r="A81" s="68" t="str">
        <f>'G-1 All Habitats'!B79</f>
        <v>Urban - Vegetated garden</v>
      </c>
      <c r="B81" s="404" t="s">
        <v>1048</v>
      </c>
      <c r="C81" s="404" t="s">
        <v>1048</v>
      </c>
      <c r="D81" s="404" t="s">
        <v>1048</v>
      </c>
      <c r="E81" s="404" t="s">
        <v>1048</v>
      </c>
      <c r="F81" s="404" t="s">
        <v>1048</v>
      </c>
      <c r="G81" s="404">
        <v>1</v>
      </c>
      <c r="H81" s="404" t="s">
        <v>1048</v>
      </c>
      <c r="I81" s="30" t="str">
        <f t="shared" si="2"/>
        <v>Cond1</v>
      </c>
    </row>
    <row r="82" spans="1:9" ht="15">
      <c r="A82" s="68" t="str">
        <f>'G-1 All Habitats'!B82</f>
        <v>Wetland - Blanket bog</v>
      </c>
      <c r="B82" s="404">
        <v>3</v>
      </c>
      <c r="C82" s="404">
        <v>2.5</v>
      </c>
      <c r="D82" s="404">
        <v>2</v>
      </c>
      <c r="E82" s="404">
        <v>1.5</v>
      </c>
      <c r="F82" s="404">
        <v>1</v>
      </c>
      <c r="G82" s="404" t="s">
        <v>1048</v>
      </c>
      <c r="H82" s="404" t="s">
        <v>1048</v>
      </c>
      <c r="I82" s="30" t="str">
        <f t="shared" si="2"/>
        <v>Cond4</v>
      </c>
    </row>
    <row r="83" spans="1:9" ht="15">
      <c r="A83" s="68" t="str">
        <f>'G-1 All Habitats'!B83</f>
        <v>Wetland - Depressions on peat substrates (H7150)</v>
      </c>
      <c r="B83" s="404">
        <v>3</v>
      </c>
      <c r="C83" s="404">
        <v>2.5</v>
      </c>
      <c r="D83" s="404">
        <v>2</v>
      </c>
      <c r="E83" s="404">
        <v>1.5</v>
      </c>
      <c r="F83" s="404">
        <v>1</v>
      </c>
      <c r="G83" s="404" t="s">
        <v>1048</v>
      </c>
      <c r="H83" s="404" t="s">
        <v>1048</v>
      </c>
      <c r="I83" s="30" t="str">
        <f t="shared" si="2"/>
        <v>Cond4</v>
      </c>
    </row>
    <row r="84" spans="1:9" ht="15">
      <c r="A84" s="68" t="str">
        <f>'G-1 All Habitats'!B84</f>
        <v>Wetland - Fens (upland and lowland)</v>
      </c>
      <c r="B84" s="404">
        <v>3</v>
      </c>
      <c r="C84" s="404">
        <v>2.5</v>
      </c>
      <c r="D84" s="404">
        <v>2</v>
      </c>
      <c r="E84" s="404">
        <v>1.5</v>
      </c>
      <c r="F84" s="404">
        <v>1</v>
      </c>
      <c r="G84" s="404" t="s">
        <v>1048</v>
      </c>
      <c r="H84" s="404" t="s">
        <v>1048</v>
      </c>
      <c r="I84" s="30" t="str">
        <f t="shared" si="2"/>
        <v>Cond4</v>
      </c>
    </row>
    <row r="85" spans="1:9" ht="15">
      <c r="A85" s="68" t="str">
        <f>'G-1 All Habitats'!B85</f>
        <v>Wetland - Lowland raised bog</v>
      </c>
      <c r="B85" s="404">
        <v>3</v>
      </c>
      <c r="C85" s="404">
        <v>2.5</v>
      </c>
      <c r="D85" s="404">
        <v>2</v>
      </c>
      <c r="E85" s="404">
        <v>1.5</v>
      </c>
      <c r="F85" s="404">
        <v>1</v>
      </c>
      <c r="G85" s="404" t="s">
        <v>1048</v>
      </c>
      <c r="H85" s="404" t="s">
        <v>1048</v>
      </c>
      <c r="I85" s="30" t="str">
        <f t="shared" si="2"/>
        <v>Cond4</v>
      </c>
    </row>
    <row r="86" spans="1:9" ht="15">
      <c r="A86" s="68" t="str">
        <f>'G-1 All Habitats'!B86</f>
        <v>Wetland - Oceanic valley mire[1] (D2.1)</v>
      </c>
      <c r="B86" s="404">
        <v>3</v>
      </c>
      <c r="C86" s="404">
        <v>2.5</v>
      </c>
      <c r="D86" s="404">
        <v>2</v>
      </c>
      <c r="E86" s="404">
        <v>1.5</v>
      </c>
      <c r="F86" s="404">
        <v>1</v>
      </c>
      <c r="G86" s="404" t="s">
        <v>1048</v>
      </c>
      <c r="H86" s="404" t="s">
        <v>1048</v>
      </c>
      <c r="I86" s="30" t="str">
        <f t="shared" si="2"/>
        <v>Cond4</v>
      </c>
    </row>
    <row r="87" spans="1:9" ht="15">
      <c r="A87" s="68" t="str">
        <f>'G-1 All Habitats'!B87</f>
        <v>Wetland - Purple moor grass and rush pastures</v>
      </c>
      <c r="B87" s="404">
        <v>3</v>
      </c>
      <c r="C87" s="404">
        <v>2.5</v>
      </c>
      <c r="D87" s="404">
        <v>2</v>
      </c>
      <c r="E87" s="404">
        <v>1.5</v>
      </c>
      <c r="F87" s="404">
        <v>1</v>
      </c>
      <c r="G87" s="404" t="s">
        <v>1048</v>
      </c>
      <c r="H87" s="404" t="s">
        <v>1048</v>
      </c>
      <c r="I87" s="30" t="str">
        <f t="shared" si="2"/>
        <v>Cond4</v>
      </c>
    </row>
    <row r="88" spans="1:9" ht="15">
      <c r="A88" s="68" t="str">
        <f>'G-1 All Habitats'!B88</f>
        <v>Wetland - Reedbeds</v>
      </c>
      <c r="B88" s="404">
        <v>3</v>
      </c>
      <c r="C88" s="404">
        <v>2.5</v>
      </c>
      <c r="D88" s="404">
        <v>2</v>
      </c>
      <c r="E88" s="404">
        <v>1.5</v>
      </c>
      <c r="F88" s="404">
        <v>1</v>
      </c>
      <c r="G88" s="404" t="s">
        <v>1048</v>
      </c>
      <c r="H88" s="404" t="s">
        <v>1048</v>
      </c>
      <c r="I88" s="30" t="str">
        <f t="shared" si="2"/>
        <v>Cond4</v>
      </c>
    </row>
    <row r="89" spans="1:9" ht="15">
      <c r="A89" s="68" t="str">
        <f>'G-1 All Habitats'!B89</f>
        <v>Wetland - Transition mires and quaking bogs (H7140)</v>
      </c>
      <c r="B89" s="404">
        <v>3</v>
      </c>
      <c r="C89" s="404">
        <v>2.5</v>
      </c>
      <c r="D89" s="404">
        <v>2</v>
      </c>
      <c r="E89" s="404">
        <v>1.5</v>
      </c>
      <c r="F89" s="404">
        <v>1</v>
      </c>
      <c r="G89" s="404" t="s">
        <v>1048</v>
      </c>
      <c r="H89" s="404" t="s">
        <v>1048</v>
      </c>
      <c r="I89" s="30" t="str">
        <f t="shared" si="2"/>
        <v>Cond4</v>
      </c>
    </row>
    <row r="90" spans="1:9" ht="15">
      <c r="A90" s="68" t="str">
        <f>'G-1 All Habitats'!B90</f>
        <v>Woodland and forest - Felled</v>
      </c>
      <c r="B90" s="404">
        <v>3</v>
      </c>
      <c r="C90" s="404" t="s">
        <v>1048</v>
      </c>
      <c r="D90" s="404" t="s">
        <v>1048</v>
      </c>
      <c r="E90" s="404" t="s">
        <v>1048</v>
      </c>
      <c r="F90" s="404" t="s">
        <v>1048</v>
      </c>
      <c r="G90" s="404" t="s">
        <v>1048</v>
      </c>
      <c r="H90" s="404" t="s">
        <v>1048</v>
      </c>
      <c r="I90" s="30" t="s">
        <v>1156</v>
      </c>
    </row>
    <row r="91" spans="1:9" ht="15">
      <c r="A91" s="68" t="str">
        <f>'G-1 All Habitats'!B91</f>
        <v>Woodland and forest - Lowland beech and yew woodland</v>
      </c>
      <c r="B91" s="404">
        <v>3</v>
      </c>
      <c r="C91" s="404">
        <v>2.5</v>
      </c>
      <c r="D91" s="404">
        <v>2</v>
      </c>
      <c r="E91" s="404">
        <v>1.5</v>
      </c>
      <c r="F91" s="404">
        <v>1</v>
      </c>
      <c r="G91" s="404" t="s">
        <v>1048</v>
      </c>
      <c r="H91" s="404" t="s">
        <v>1048</v>
      </c>
      <c r="I91" s="30" t="str">
        <f t="shared" ref="I91:I135" si="3">IF(G91=1,"Cond1",IF(H91=0,"Cond2",IF(AND(B91=3,C91=2.5,D91=2,E91=1.5,F91=1),"Cond4",IF(F91=1,"Cond3","Check"))))</f>
        <v>Cond4</v>
      </c>
    </row>
    <row r="92" spans="1:9" ht="15">
      <c r="A92" s="68" t="str">
        <f>'G-1 All Habitats'!B92</f>
        <v>Woodland and forest - Lowland mixed deciduous woodland</v>
      </c>
      <c r="B92" s="404">
        <v>3</v>
      </c>
      <c r="C92" s="404">
        <v>2.5</v>
      </c>
      <c r="D92" s="404">
        <v>2</v>
      </c>
      <c r="E92" s="404">
        <v>1.5</v>
      </c>
      <c r="F92" s="404">
        <v>1</v>
      </c>
      <c r="G92" s="404" t="s">
        <v>1048</v>
      </c>
      <c r="H92" s="404" t="s">
        <v>1048</v>
      </c>
      <c r="I92" s="30" t="str">
        <f t="shared" si="3"/>
        <v>Cond4</v>
      </c>
    </row>
    <row r="93" spans="1:9" ht="15">
      <c r="A93" s="68" t="str">
        <f>'G-1 All Habitats'!B93</f>
        <v>Woodland and forest - Native pine woodlands</v>
      </c>
      <c r="B93" s="404">
        <v>3</v>
      </c>
      <c r="C93" s="404">
        <v>2.5</v>
      </c>
      <c r="D93" s="404">
        <v>2</v>
      </c>
      <c r="E93" s="404">
        <v>1.5</v>
      </c>
      <c r="F93" s="404">
        <v>1</v>
      </c>
      <c r="G93" s="404" t="s">
        <v>1048</v>
      </c>
      <c r="H93" s="404" t="s">
        <v>1048</v>
      </c>
      <c r="I93" s="30" t="str">
        <f t="shared" si="3"/>
        <v>Cond4</v>
      </c>
    </row>
    <row r="94" spans="1:9" ht="15">
      <c r="A94" s="68" t="str">
        <f>'G-1 All Habitats'!B94</f>
        <v>Woodland and forest - Other coniferous woodland</v>
      </c>
      <c r="B94" s="404">
        <v>3</v>
      </c>
      <c r="C94" s="404">
        <v>2.5</v>
      </c>
      <c r="D94" s="404">
        <v>2</v>
      </c>
      <c r="E94" s="404">
        <v>1.5</v>
      </c>
      <c r="F94" s="404">
        <v>1</v>
      </c>
      <c r="G94" s="404" t="s">
        <v>1048</v>
      </c>
      <c r="H94" s="404" t="s">
        <v>1048</v>
      </c>
      <c r="I94" s="30" t="str">
        <f t="shared" si="3"/>
        <v>Cond4</v>
      </c>
    </row>
    <row r="95" spans="1:9" ht="15">
      <c r="A95" s="68" t="str">
        <f>'G-1 All Habitats'!B95</f>
        <v>Woodland and forest - Other Scot's pine woodland</v>
      </c>
      <c r="B95" s="404">
        <v>3</v>
      </c>
      <c r="C95" s="404">
        <v>2.5</v>
      </c>
      <c r="D95" s="404">
        <v>2</v>
      </c>
      <c r="E95" s="404">
        <v>1.5</v>
      </c>
      <c r="F95" s="404">
        <v>1</v>
      </c>
      <c r="G95" s="404" t="s">
        <v>1048</v>
      </c>
      <c r="H95" s="404" t="s">
        <v>1048</v>
      </c>
      <c r="I95" s="30" t="str">
        <f t="shared" si="3"/>
        <v>Cond4</v>
      </c>
    </row>
    <row r="96" spans="1:9" ht="15">
      <c r="A96" s="68" t="str">
        <f>'G-1 All Habitats'!B96</f>
        <v>Woodland and forest - Other woodland; broadleaved</v>
      </c>
      <c r="B96" s="404">
        <v>3</v>
      </c>
      <c r="C96" s="404">
        <v>2.5</v>
      </c>
      <c r="D96" s="404">
        <v>2</v>
      </c>
      <c r="E96" s="404">
        <v>1.5</v>
      </c>
      <c r="F96" s="404">
        <v>1</v>
      </c>
      <c r="G96" s="404" t="s">
        <v>1048</v>
      </c>
      <c r="H96" s="404" t="s">
        <v>1048</v>
      </c>
      <c r="I96" s="30" t="str">
        <f t="shared" si="3"/>
        <v>Cond4</v>
      </c>
    </row>
    <row r="97" spans="1:9" ht="15">
      <c r="A97" s="68" t="str">
        <f>'G-1 All Habitats'!B97</f>
        <v>Woodland and forest - Other woodland; mixed</v>
      </c>
      <c r="B97" s="404">
        <v>3</v>
      </c>
      <c r="C97" s="404">
        <v>2.5</v>
      </c>
      <c r="D97" s="404">
        <v>2</v>
      </c>
      <c r="E97" s="404">
        <v>1.5</v>
      </c>
      <c r="F97" s="404">
        <v>1</v>
      </c>
      <c r="G97" s="404" t="s">
        <v>1048</v>
      </c>
      <c r="H97" s="404" t="s">
        <v>1048</v>
      </c>
      <c r="I97" s="30" t="str">
        <f t="shared" si="3"/>
        <v>Cond4</v>
      </c>
    </row>
    <row r="98" spans="1:9" ht="15">
      <c r="A98" s="68" t="str">
        <f>'G-1 All Habitats'!B98</f>
        <v>Woodland and forest - Upland birchwoods</v>
      </c>
      <c r="B98" s="404">
        <v>3</v>
      </c>
      <c r="C98" s="404">
        <v>2.5</v>
      </c>
      <c r="D98" s="404">
        <v>2</v>
      </c>
      <c r="E98" s="404">
        <v>1.5</v>
      </c>
      <c r="F98" s="404">
        <v>1</v>
      </c>
      <c r="G98" s="404" t="s">
        <v>1048</v>
      </c>
      <c r="H98" s="404" t="s">
        <v>1048</v>
      </c>
      <c r="I98" s="30" t="str">
        <f t="shared" si="3"/>
        <v>Cond4</v>
      </c>
    </row>
    <row r="99" spans="1:9" ht="15">
      <c r="A99" s="68" t="str">
        <f>'G-1 All Habitats'!B99</f>
        <v>Woodland and forest - Upland mixed ashwoods</v>
      </c>
      <c r="B99" s="404">
        <v>3</v>
      </c>
      <c r="C99" s="404">
        <v>2.5</v>
      </c>
      <c r="D99" s="404">
        <v>2</v>
      </c>
      <c r="E99" s="404">
        <v>1.5</v>
      </c>
      <c r="F99" s="404">
        <v>1</v>
      </c>
      <c r="G99" s="404" t="s">
        <v>1048</v>
      </c>
      <c r="H99" s="404" t="s">
        <v>1048</v>
      </c>
      <c r="I99" s="30" t="str">
        <f t="shared" si="3"/>
        <v>Cond4</v>
      </c>
    </row>
    <row r="100" spans="1:9" ht="15">
      <c r="A100" s="68" t="str">
        <f>'G-1 All Habitats'!B100</f>
        <v>Woodland and forest - Upland oakwood</v>
      </c>
      <c r="B100" s="404">
        <v>3</v>
      </c>
      <c r="C100" s="404">
        <v>2.5</v>
      </c>
      <c r="D100" s="404">
        <v>2</v>
      </c>
      <c r="E100" s="404">
        <v>1.5</v>
      </c>
      <c r="F100" s="404">
        <v>1</v>
      </c>
      <c r="G100" s="404" t="s">
        <v>1048</v>
      </c>
      <c r="H100" s="404" t="s">
        <v>1048</v>
      </c>
      <c r="I100" s="30" t="str">
        <f t="shared" si="3"/>
        <v>Cond4</v>
      </c>
    </row>
    <row r="101" spans="1:9" ht="15">
      <c r="A101" s="68" t="str">
        <f>'G-1 All Habitats'!B101</f>
        <v>Woodland and forest - Wet woodland</v>
      </c>
      <c r="B101" s="404">
        <v>3</v>
      </c>
      <c r="C101" s="404">
        <v>2.5</v>
      </c>
      <c r="D101" s="404">
        <v>2</v>
      </c>
      <c r="E101" s="404">
        <v>1.5</v>
      </c>
      <c r="F101" s="404">
        <v>1</v>
      </c>
      <c r="G101" s="404" t="s">
        <v>1048</v>
      </c>
      <c r="H101" s="404" t="s">
        <v>1048</v>
      </c>
      <c r="I101" s="30" t="str">
        <f t="shared" si="3"/>
        <v>Cond4</v>
      </c>
    </row>
    <row r="102" spans="1:9" ht="15">
      <c r="A102" s="68" t="str">
        <f>'G-1 All Habitats'!B102</f>
        <v>Woodland and forest - Wood-pasture and parkland</v>
      </c>
      <c r="B102" s="404">
        <v>3</v>
      </c>
      <c r="C102" s="404">
        <v>2.5</v>
      </c>
      <c r="D102" s="404">
        <v>2</v>
      </c>
      <c r="E102" s="404">
        <v>1.5</v>
      </c>
      <c r="F102" s="404">
        <v>1</v>
      </c>
      <c r="G102" s="404" t="s">
        <v>1048</v>
      </c>
      <c r="H102" s="404" t="s">
        <v>1048</v>
      </c>
      <c r="I102" s="30" t="str">
        <f t="shared" si="3"/>
        <v>Cond4</v>
      </c>
    </row>
    <row r="103" spans="1:9" ht="15">
      <c r="A103" s="68" t="str">
        <f>'G-1 All Habitats'!B103</f>
        <v>Coastal lagoons - Coastal lagoons</v>
      </c>
      <c r="B103" s="404">
        <v>3</v>
      </c>
      <c r="C103" s="404">
        <v>2.5</v>
      </c>
      <c r="D103" s="404">
        <v>2</v>
      </c>
      <c r="E103" s="404">
        <v>1.5</v>
      </c>
      <c r="F103" s="404">
        <v>1</v>
      </c>
      <c r="G103" s="404" t="s">
        <v>1048</v>
      </c>
      <c r="H103" s="404" t="s">
        <v>1048</v>
      </c>
      <c r="I103" s="30" t="str">
        <f t="shared" si="3"/>
        <v>Cond4</v>
      </c>
    </row>
    <row r="104" spans="1:9" ht="15">
      <c r="A104" s="68" t="str">
        <f>'G-1 All Habitats'!B104</f>
        <v>Rocky shore - High energy littoral rock</v>
      </c>
      <c r="B104" s="404">
        <v>3</v>
      </c>
      <c r="C104" s="404">
        <v>2.5</v>
      </c>
      <c r="D104" s="404">
        <v>2</v>
      </c>
      <c r="E104" s="404">
        <v>1.5</v>
      </c>
      <c r="F104" s="404">
        <v>1</v>
      </c>
      <c r="G104" s="404" t="s">
        <v>1048</v>
      </c>
      <c r="H104" s="404" t="s">
        <v>1048</v>
      </c>
      <c r="I104" s="30" t="str">
        <f t="shared" si="3"/>
        <v>Cond4</v>
      </c>
    </row>
    <row r="105" spans="1:9" ht="15">
      <c r="A105" s="68" t="str">
        <f>'G-1 All Habitats'!B105</f>
        <v>Rocky shore - High energy littoral rock - on peat, clay or chalk</v>
      </c>
      <c r="B105" s="404">
        <v>3</v>
      </c>
      <c r="C105" s="404">
        <v>2.5</v>
      </c>
      <c r="D105" s="404">
        <v>2</v>
      </c>
      <c r="E105" s="404">
        <v>1.5</v>
      </c>
      <c r="F105" s="404">
        <v>1</v>
      </c>
      <c r="G105" s="404" t="s">
        <v>1048</v>
      </c>
      <c r="H105" s="404" t="s">
        <v>1048</v>
      </c>
      <c r="I105" s="30" t="str">
        <f t="shared" si="3"/>
        <v>Cond4</v>
      </c>
    </row>
    <row r="106" spans="1:9" ht="15">
      <c r="A106" s="68" t="str">
        <f>'G-1 All Habitats'!B106</f>
        <v>Rocky shore - Moderate energy littoral rock</v>
      </c>
      <c r="B106" s="404">
        <v>3</v>
      </c>
      <c r="C106" s="404">
        <v>2.5</v>
      </c>
      <c r="D106" s="404">
        <v>2</v>
      </c>
      <c r="E106" s="404">
        <v>1.5</v>
      </c>
      <c r="F106" s="404">
        <v>1</v>
      </c>
      <c r="G106" s="404" t="s">
        <v>1048</v>
      </c>
      <c r="H106" s="404" t="s">
        <v>1048</v>
      </c>
      <c r="I106" s="30" t="str">
        <f t="shared" si="3"/>
        <v>Cond4</v>
      </c>
    </row>
    <row r="107" spans="1:9" ht="15">
      <c r="A107" s="68" t="str">
        <f>'G-1 All Habitats'!B107</f>
        <v>Rocky shore - Moderate energy littoral rock - on peat, clay or chalk</v>
      </c>
      <c r="B107" s="404">
        <v>3</v>
      </c>
      <c r="C107" s="404">
        <v>2.5</v>
      </c>
      <c r="D107" s="404">
        <v>2</v>
      </c>
      <c r="E107" s="404">
        <v>1.5</v>
      </c>
      <c r="F107" s="404">
        <v>1</v>
      </c>
      <c r="G107" s="404" t="s">
        <v>1048</v>
      </c>
      <c r="H107" s="404" t="s">
        <v>1048</v>
      </c>
      <c r="I107" s="30" t="str">
        <f t="shared" si="3"/>
        <v>Cond4</v>
      </c>
    </row>
    <row r="108" spans="1:9" ht="15">
      <c r="A108" s="68" t="str">
        <f>'G-1 All Habitats'!B108</f>
        <v>Rocky shore - Low energy littoral rock</v>
      </c>
      <c r="B108" s="404">
        <v>3</v>
      </c>
      <c r="C108" s="404">
        <v>2.5</v>
      </c>
      <c r="D108" s="404">
        <v>2</v>
      </c>
      <c r="E108" s="404">
        <v>1.5</v>
      </c>
      <c r="F108" s="404">
        <v>1</v>
      </c>
      <c r="G108" s="404" t="s">
        <v>1048</v>
      </c>
      <c r="H108" s="404" t="s">
        <v>1048</v>
      </c>
      <c r="I108" s="30" t="str">
        <f t="shared" si="3"/>
        <v>Cond4</v>
      </c>
    </row>
    <row r="109" spans="1:9" ht="15">
      <c r="A109" s="68" t="str">
        <f>'G-1 All Habitats'!B109</f>
        <v>Rocky shore - Low energy littoral rock - on peat, clay or chalk</v>
      </c>
      <c r="B109" s="404">
        <v>3</v>
      </c>
      <c r="C109" s="404">
        <v>2.5</v>
      </c>
      <c r="D109" s="404">
        <v>2</v>
      </c>
      <c r="E109" s="404">
        <v>1.5</v>
      </c>
      <c r="F109" s="404">
        <v>1</v>
      </c>
      <c r="G109" s="404" t="s">
        <v>1048</v>
      </c>
      <c r="H109" s="404" t="s">
        <v>1048</v>
      </c>
      <c r="I109" s="30" t="str">
        <f t="shared" si="3"/>
        <v>Cond4</v>
      </c>
    </row>
    <row r="110" spans="1:9" ht="15">
      <c r="A110" s="68" t="str">
        <f>'G-1 All Habitats'!B110</f>
        <v>Rocky shore - Features of littoral rock</v>
      </c>
      <c r="B110" s="404">
        <v>3</v>
      </c>
      <c r="C110" s="404">
        <v>2.5</v>
      </c>
      <c r="D110" s="404">
        <v>2</v>
      </c>
      <c r="E110" s="404">
        <v>1.5</v>
      </c>
      <c r="F110" s="404">
        <v>1</v>
      </c>
      <c r="G110" s="404" t="s">
        <v>1048</v>
      </c>
      <c r="H110" s="404" t="s">
        <v>1048</v>
      </c>
      <c r="I110" s="30" t="str">
        <f t="shared" si="3"/>
        <v>Cond4</v>
      </c>
    </row>
    <row r="111" spans="1:9" ht="15">
      <c r="A111" s="68" t="str">
        <f>'G-1 All Habitats'!B111</f>
        <v>Rocky shore - Features of littoral rock - on peat, clay or chalk</v>
      </c>
      <c r="B111" s="404">
        <v>3</v>
      </c>
      <c r="C111" s="404">
        <v>2.5</v>
      </c>
      <c r="D111" s="404">
        <v>2</v>
      </c>
      <c r="E111" s="404">
        <v>1.5</v>
      </c>
      <c r="F111" s="404">
        <v>1</v>
      </c>
      <c r="G111" s="404" t="s">
        <v>1048</v>
      </c>
      <c r="H111" s="404" t="s">
        <v>1048</v>
      </c>
      <c r="I111" s="30" t="str">
        <f t="shared" si="3"/>
        <v>Cond4</v>
      </c>
    </row>
    <row r="112" spans="1:9" ht="15">
      <c r="A112" s="68" t="str">
        <f>'G-1 All Habitats'!B114</f>
        <v>Intertidal sediment - Littoral coarse sediment</v>
      </c>
      <c r="B112" s="404">
        <v>3</v>
      </c>
      <c r="C112" s="404">
        <v>2.5</v>
      </c>
      <c r="D112" s="404">
        <v>2</v>
      </c>
      <c r="E112" s="404">
        <v>1.5</v>
      </c>
      <c r="F112" s="404">
        <v>1</v>
      </c>
      <c r="G112" s="404" t="s">
        <v>1048</v>
      </c>
      <c r="H112" s="404" t="s">
        <v>1048</v>
      </c>
      <c r="I112" s="30" t="str">
        <f t="shared" si="3"/>
        <v>Cond4</v>
      </c>
    </row>
    <row r="113" spans="1:9" ht="15">
      <c r="A113" s="68" t="str">
        <f>'G-1 All Habitats'!B115</f>
        <v>Intertidal sediment - Littoral mud</v>
      </c>
      <c r="B113" s="404">
        <v>3</v>
      </c>
      <c r="C113" s="404">
        <v>2.5</v>
      </c>
      <c r="D113" s="404">
        <v>2</v>
      </c>
      <c r="E113" s="404">
        <v>1.5</v>
      </c>
      <c r="F113" s="404">
        <v>1</v>
      </c>
      <c r="G113" s="404" t="s">
        <v>1048</v>
      </c>
      <c r="H113" s="404" t="s">
        <v>1048</v>
      </c>
      <c r="I113" s="30" t="str">
        <f t="shared" si="3"/>
        <v>Cond4</v>
      </c>
    </row>
    <row r="114" spans="1:9" ht="15">
      <c r="A114" s="68" t="str">
        <f>'G-1 All Habitats'!B116</f>
        <v>Intertidal sediment - Littoral mixed sediments</v>
      </c>
      <c r="B114" s="404">
        <v>3</v>
      </c>
      <c r="C114" s="404">
        <v>2.5</v>
      </c>
      <c r="D114" s="404">
        <v>2</v>
      </c>
      <c r="E114" s="404">
        <v>1.5</v>
      </c>
      <c r="F114" s="404">
        <v>1</v>
      </c>
      <c r="G114" s="404" t="s">
        <v>1048</v>
      </c>
      <c r="H114" s="404" t="s">
        <v>1048</v>
      </c>
      <c r="I114" s="30" t="str">
        <f t="shared" si="3"/>
        <v>Cond4</v>
      </c>
    </row>
    <row r="115" spans="1:9" ht="15">
      <c r="A115" s="68" t="str">
        <f>'G-1 All Habitats'!B112</f>
        <v>Coastal saltmarsh - Saltmarshes and saline reedbeds</v>
      </c>
      <c r="B115" s="404">
        <v>3</v>
      </c>
      <c r="C115" s="404">
        <v>2.5</v>
      </c>
      <c r="D115" s="404">
        <v>2</v>
      </c>
      <c r="E115" s="404">
        <v>1.5</v>
      </c>
      <c r="F115" s="404">
        <v>1</v>
      </c>
      <c r="G115" s="404" t="s">
        <v>1048</v>
      </c>
      <c r="H115" s="404" t="s">
        <v>1048</v>
      </c>
      <c r="I115" s="30" t="str">
        <f t="shared" si="3"/>
        <v>Cond4</v>
      </c>
    </row>
    <row r="116" spans="1:9" ht="15">
      <c r="A116" s="68" t="str">
        <f>'G-1 All Habitats'!B113</f>
        <v>Coastal saltmarsh - Artificial saltmarshes and saline reedbeds</v>
      </c>
      <c r="B116" s="404">
        <v>3</v>
      </c>
      <c r="C116" s="404">
        <v>2.5</v>
      </c>
      <c r="D116" s="404">
        <v>2</v>
      </c>
      <c r="E116" s="404">
        <v>1.5</v>
      </c>
      <c r="F116" s="404">
        <v>1</v>
      </c>
      <c r="G116" s="404" t="s">
        <v>1048</v>
      </c>
      <c r="H116" s="404" t="s">
        <v>1048</v>
      </c>
      <c r="I116" s="30" t="str">
        <f t="shared" si="3"/>
        <v>Cond4</v>
      </c>
    </row>
    <row r="117" spans="1:9" ht="15">
      <c r="A117" s="68" t="str">
        <f>'G-1 All Habitats'!B117</f>
        <v>Intertidal sediment - Littoral seagrass</v>
      </c>
      <c r="B117" s="404">
        <v>3</v>
      </c>
      <c r="C117" s="404">
        <v>2.5</v>
      </c>
      <c r="D117" s="404">
        <v>2</v>
      </c>
      <c r="E117" s="404">
        <v>1.5</v>
      </c>
      <c r="F117" s="404">
        <v>1</v>
      </c>
      <c r="G117" s="404" t="s">
        <v>1048</v>
      </c>
      <c r="H117" s="404" t="s">
        <v>1048</v>
      </c>
      <c r="I117" s="30" t="str">
        <f t="shared" si="3"/>
        <v>Cond4</v>
      </c>
    </row>
    <row r="118" spans="1:9" ht="15">
      <c r="A118" s="68" t="str">
        <f>'G-1 All Habitats'!B118</f>
        <v>Intertidal sediment - Littoral seagrass on peat, clay or chalk</v>
      </c>
      <c r="B118" s="404">
        <v>3</v>
      </c>
      <c r="C118" s="404">
        <v>2.5</v>
      </c>
      <c r="D118" s="404">
        <v>2</v>
      </c>
      <c r="E118" s="404">
        <v>1.5</v>
      </c>
      <c r="F118" s="404">
        <v>1</v>
      </c>
      <c r="G118" s="404" t="s">
        <v>1048</v>
      </c>
      <c r="H118" s="404" t="s">
        <v>1048</v>
      </c>
      <c r="I118" s="30" t="str">
        <f t="shared" si="3"/>
        <v>Cond4</v>
      </c>
    </row>
    <row r="119" spans="1:9" ht="15">
      <c r="A119" s="68" t="str">
        <f>'G-1 All Habitats'!B119</f>
        <v>Intertidal sediment - Littoral biogenic reefs - Mussels</v>
      </c>
      <c r="B119" s="404">
        <v>3</v>
      </c>
      <c r="C119" s="404">
        <v>2.5</v>
      </c>
      <c r="D119" s="404">
        <v>2</v>
      </c>
      <c r="E119" s="404">
        <v>1.5</v>
      </c>
      <c r="F119" s="404">
        <v>1</v>
      </c>
      <c r="G119" s="404" t="s">
        <v>1048</v>
      </c>
      <c r="H119" s="404" t="s">
        <v>1048</v>
      </c>
      <c r="I119" s="30" t="str">
        <f t="shared" si="3"/>
        <v>Cond4</v>
      </c>
    </row>
    <row r="120" spans="1:9" ht="15">
      <c r="A120" s="68" t="str">
        <f>'G-1 All Habitats'!B120</f>
        <v>Intertidal sediment - Littoral biogenic reefs - Sabellaria</v>
      </c>
      <c r="B120" s="404">
        <v>3</v>
      </c>
      <c r="C120" s="404">
        <v>2.5</v>
      </c>
      <c r="D120" s="404">
        <v>2</v>
      </c>
      <c r="E120" s="404">
        <v>1.5</v>
      </c>
      <c r="F120" s="404">
        <v>1</v>
      </c>
      <c r="G120" s="404" t="s">
        <v>1048</v>
      </c>
      <c r="H120" s="404" t="s">
        <v>1048</v>
      </c>
      <c r="I120" s="30" t="str">
        <f t="shared" si="3"/>
        <v>Cond4</v>
      </c>
    </row>
    <row r="121" spans="1:9" ht="15">
      <c r="A121" s="68" t="str">
        <f>'G-1 All Habitats'!B121</f>
        <v>Intertidal sediment - Features of littoral sediment</v>
      </c>
      <c r="B121" s="404">
        <v>3</v>
      </c>
      <c r="C121" s="404">
        <v>2.5</v>
      </c>
      <c r="D121" s="404">
        <v>2</v>
      </c>
      <c r="E121" s="404">
        <v>1.5</v>
      </c>
      <c r="F121" s="404">
        <v>1</v>
      </c>
      <c r="G121" s="404" t="s">
        <v>1048</v>
      </c>
      <c r="H121" s="404" t="s">
        <v>1048</v>
      </c>
      <c r="I121" s="30" t="str">
        <f t="shared" si="3"/>
        <v>Cond4</v>
      </c>
    </row>
    <row r="122" spans="1:9" ht="15">
      <c r="A122" s="68" t="str">
        <f>'G-1 All Habitats'!B122</f>
        <v>Intertidal sediment - Artificial littoral coarse sediment</v>
      </c>
      <c r="B122" s="404">
        <v>3</v>
      </c>
      <c r="C122" s="404">
        <v>2.5</v>
      </c>
      <c r="D122" s="404">
        <v>2</v>
      </c>
      <c r="E122" s="404">
        <v>1.5</v>
      </c>
      <c r="F122" s="404">
        <v>1</v>
      </c>
      <c r="G122" s="404" t="s">
        <v>1048</v>
      </c>
      <c r="H122" s="404" t="s">
        <v>1048</v>
      </c>
      <c r="I122" s="30" t="str">
        <f t="shared" si="3"/>
        <v>Cond4</v>
      </c>
    </row>
    <row r="123" spans="1:9" ht="15">
      <c r="A123" s="68" t="str">
        <f>'G-1 All Habitats'!B123</f>
        <v>Intertidal sediment - Artificial littoral mud</v>
      </c>
      <c r="B123" s="404">
        <v>3</v>
      </c>
      <c r="C123" s="404">
        <v>2.5</v>
      </c>
      <c r="D123" s="404">
        <v>2</v>
      </c>
      <c r="E123" s="404">
        <v>1.5</v>
      </c>
      <c r="F123" s="404">
        <v>1</v>
      </c>
      <c r="G123" s="404" t="s">
        <v>1048</v>
      </c>
      <c r="H123" s="404" t="s">
        <v>1048</v>
      </c>
      <c r="I123" s="30" t="str">
        <f t="shared" si="3"/>
        <v>Cond4</v>
      </c>
    </row>
    <row r="124" spans="1:9" ht="15">
      <c r="A124" s="68" t="str">
        <f>'G-1 All Habitats'!B124</f>
        <v>Intertidal sediment - Artificial littoral sand</v>
      </c>
      <c r="B124" s="404">
        <v>3</v>
      </c>
      <c r="C124" s="404">
        <v>2.5</v>
      </c>
      <c r="D124" s="404">
        <v>2</v>
      </c>
      <c r="E124" s="404">
        <v>1.5</v>
      </c>
      <c r="F124" s="404">
        <v>1</v>
      </c>
      <c r="G124" s="404" t="s">
        <v>1048</v>
      </c>
      <c r="H124" s="404" t="s">
        <v>1048</v>
      </c>
      <c r="I124" s="30" t="str">
        <f t="shared" si="3"/>
        <v>Cond4</v>
      </c>
    </row>
    <row r="125" spans="1:9" ht="15">
      <c r="A125" s="68" t="str">
        <f>'G-1 All Habitats'!B125</f>
        <v>Intertidal sediment - Artificial littoral muddy sand</v>
      </c>
      <c r="B125" s="404">
        <v>3</v>
      </c>
      <c r="C125" s="404">
        <v>2.5</v>
      </c>
      <c r="D125" s="404">
        <v>2</v>
      </c>
      <c r="E125" s="404">
        <v>1.5</v>
      </c>
      <c r="F125" s="404">
        <v>1</v>
      </c>
      <c r="G125" s="404" t="s">
        <v>1048</v>
      </c>
      <c r="H125" s="404" t="s">
        <v>1048</v>
      </c>
      <c r="I125" s="30" t="str">
        <f t="shared" si="3"/>
        <v>Cond4</v>
      </c>
    </row>
    <row r="126" spans="1:9" ht="15">
      <c r="A126" s="68" t="str">
        <f>'G-1 All Habitats'!B126</f>
        <v>Intertidal sediment - Artificial littoral mixed sediments</v>
      </c>
      <c r="B126" s="404">
        <v>3</v>
      </c>
      <c r="C126" s="404">
        <v>2.5</v>
      </c>
      <c r="D126" s="404">
        <v>2</v>
      </c>
      <c r="E126" s="404">
        <v>1.5</v>
      </c>
      <c r="F126" s="404">
        <v>1</v>
      </c>
      <c r="G126" s="404" t="s">
        <v>1048</v>
      </c>
      <c r="H126" s="404" t="s">
        <v>1048</v>
      </c>
      <c r="I126" s="30" t="str">
        <f t="shared" si="3"/>
        <v>Cond4</v>
      </c>
    </row>
    <row r="127" spans="1:9" ht="15">
      <c r="A127" s="68" t="str">
        <f>'G-1 All Habitats'!B127</f>
        <v>Intertidal sediment - Artificial littoral seagrass</v>
      </c>
      <c r="B127" s="404">
        <v>3</v>
      </c>
      <c r="C127" s="404">
        <v>2.5</v>
      </c>
      <c r="D127" s="404">
        <v>2</v>
      </c>
      <c r="E127" s="404">
        <v>1.5</v>
      </c>
      <c r="F127" s="404">
        <v>1</v>
      </c>
      <c r="G127" s="404" t="s">
        <v>1048</v>
      </c>
      <c r="H127" s="404" t="s">
        <v>1048</v>
      </c>
      <c r="I127" s="30" t="str">
        <f t="shared" si="3"/>
        <v>Cond4</v>
      </c>
    </row>
    <row r="128" spans="1:9" ht="15">
      <c r="A128" s="68" t="str">
        <f>'G-1 All Habitats'!B128</f>
        <v>Intertidal sediment - Artificial littoral biogenic reefs</v>
      </c>
      <c r="B128" s="404">
        <v>3</v>
      </c>
      <c r="C128" s="404">
        <v>2.5</v>
      </c>
      <c r="D128" s="404">
        <v>2</v>
      </c>
      <c r="E128" s="404">
        <v>1.5</v>
      </c>
      <c r="F128" s="404">
        <v>1</v>
      </c>
      <c r="G128" s="404" t="s">
        <v>1048</v>
      </c>
      <c r="H128" s="404" t="s">
        <v>1048</v>
      </c>
      <c r="I128" s="30" t="str">
        <f t="shared" si="3"/>
        <v>Cond4</v>
      </c>
    </row>
    <row r="129" spans="1:9" ht="15">
      <c r="A129" s="68" t="str">
        <f>'G-1 All Habitats'!B129</f>
        <v>Intertidal sediment - Littoral sand</v>
      </c>
      <c r="B129" s="404">
        <v>3</v>
      </c>
      <c r="C129" s="404">
        <v>2.5</v>
      </c>
      <c r="D129" s="404">
        <v>2</v>
      </c>
      <c r="E129" s="404">
        <v>1.5</v>
      </c>
      <c r="F129" s="404">
        <v>1</v>
      </c>
      <c r="G129" s="404" t="s">
        <v>1048</v>
      </c>
      <c r="H129" s="404" t="s">
        <v>1048</v>
      </c>
      <c r="I129" s="30" t="str">
        <f t="shared" si="3"/>
        <v>Cond4</v>
      </c>
    </row>
    <row r="130" spans="1:9" ht="15">
      <c r="A130" s="68" t="str">
        <f>'G-1 All Habitats'!B130</f>
        <v>Intertidal sediment - Littoral muddy sand</v>
      </c>
      <c r="B130" s="404">
        <v>3</v>
      </c>
      <c r="C130" s="404">
        <v>2.5</v>
      </c>
      <c r="D130" s="404">
        <v>2</v>
      </c>
      <c r="E130" s="404">
        <v>1.5</v>
      </c>
      <c r="F130" s="404">
        <v>1</v>
      </c>
      <c r="G130" s="404" t="s">
        <v>1048</v>
      </c>
      <c r="H130" s="404" t="s">
        <v>1048</v>
      </c>
      <c r="I130" s="30" t="str">
        <f t="shared" si="3"/>
        <v>Cond4</v>
      </c>
    </row>
    <row r="131" spans="1:9" ht="15">
      <c r="A131" s="68" t="str">
        <f>'G-1 All Habitats'!B131</f>
        <v>Intertidal hard structures - Artificial hard structures</v>
      </c>
      <c r="B131" s="404">
        <v>3</v>
      </c>
      <c r="C131" s="404">
        <v>2.5</v>
      </c>
      <c r="D131" s="404">
        <v>2</v>
      </c>
      <c r="E131" s="404">
        <v>1.5</v>
      </c>
      <c r="F131" s="404">
        <v>1</v>
      </c>
      <c r="G131" s="404" t="s">
        <v>1048</v>
      </c>
      <c r="H131" s="404" t="s">
        <v>1048</v>
      </c>
      <c r="I131" s="30" t="str">
        <f t="shared" si="3"/>
        <v>Cond4</v>
      </c>
    </row>
    <row r="132" spans="1:9" ht="15">
      <c r="A132" s="68" t="str">
        <f>'G-1 All Habitats'!B132</f>
        <v>Intertidal hard structures - Artificial features of hard structures</v>
      </c>
      <c r="B132" s="404">
        <v>3</v>
      </c>
      <c r="C132" s="404">
        <v>2.5</v>
      </c>
      <c r="D132" s="404">
        <v>2</v>
      </c>
      <c r="E132" s="404">
        <v>1.5</v>
      </c>
      <c r="F132" s="404">
        <v>1</v>
      </c>
      <c r="G132" s="404" t="s">
        <v>1048</v>
      </c>
      <c r="H132" s="404" t="s">
        <v>1048</v>
      </c>
      <c r="I132" s="30" t="str">
        <f t="shared" si="3"/>
        <v>Cond4</v>
      </c>
    </row>
    <row r="133" spans="1:9" ht="15">
      <c r="A133" s="68" t="str">
        <f>'G-1 All Habitats'!B133</f>
        <v>Intertidal hard structures - Artificial hard structures with integrated greening of grey infrastructure (IGGI)</v>
      </c>
      <c r="B133" s="404">
        <v>3</v>
      </c>
      <c r="C133" s="404">
        <v>2.5</v>
      </c>
      <c r="D133" s="404">
        <v>2</v>
      </c>
      <c r="E133" s="404">
        <v>1.5</v>
      </c>
      <c r="F133" s="404">
        <v>1</v>
      </c>
      <c r="G133" s="404" t="s">
        <v>1048</v>
      </c>
      <c r="H133" s="404" t="s">
        <v>1048</v>
      </c>
      <c r="I133" s="30" t="str">
        <f t="shared" si="3"/>
        <v>Cond4</v>
      </c>
    </row>
    <row r="134" spans="1:9" ht="15">
      <c r="A134" s="68" t="s">
        <v>926</v>
      </c>
      <c r="B134" s="404" t="s">
        <v>1048</v>
      </c>
      <c r="C134" s="404" t="s">
        <v>1048</v>
      </c>
      <c r="D134" s="404" t="s">
        <v>1048</v>
      </c>
      <c r="E134" s="404" t="s">
        <v>1048</v>
      </c>
      <c r="F134" s="404" t="s">
        <v>1048</v>
      </c>
      <c r="G134" s="404" t="s">
        <v>1048</v>
      </c>
      <c r="H134" s="404">
        <v>0</v>
      </c>
      <c r="I134" s="30" t="str">
        <f t="shared" si="3"/>
        <v>Cond2</v>
      </c>
    </row>
    <row r="135" spans="1:9" ht="15">
      <c r="A135" s="68" t="s">
        <v>744</v>
      </c>
      <c r="B135" s="404">
        <v>3</v>
      </c>
      <c r="C135" s="404">
        <v>2.5</v>
      </c>
      <c r="D135" s="404">
        <v>2</v>
      </c>
      <c r="E135" s="404">
        <v>1.5</v>
      </c>
      <c r="F135" s="404">
        <v>1</v>
      </c>
      <c r="G135" s="404" t="s">
        <v>1048</v>
      </c>
      <c r="H135" s="404" t="s">
        <v>1048</v>
      </c>
      <c r="I135" s="30" t="str">
        <f t="shared" si="3"/>
        <v>Cond4</v>
      </c>
    </row>
    <row r="136" spans="1:9" ht="15"/>
    <row r="137" spans="1:9" ht="14.65" customHeight="1"/>
    <row r="138" spans="1:9" ht="14.65" customHeight="1"/>
    <row r="139" spans="1:9" ht="14.65" customHeight="1"/>
    <row r="140" spans="1:9" ht="14.65" customHeight="1"/>
    <row r="141" spans="1:9" ht="14.65" customHeight="1"/>
    <row r="142" spans="1:9" ht="14.65" customHeight="1"/>
    <row r="143" spans="1:9" ht="14.65" customHeight="1"/>
    <row r="144" spans="1:9" ht="14.65" customHeight="1"/>
    <row r="145" ht="14.65" customHeight="1"/>
    <row r="146" ht="14.65" customHeight="1"/>
    <row r="147" ht="14.65" customHeight="1"/>
    <row r="148" ht="14.65" customHeight="1"/>
    <row r="149" ht="14.65" customHeight="1"/>
    <row r="150" ht="14.65" customHeight="1"/>
    <row r="151" ht="14.65" customHeight="1"/>
  </sheetData>
  <sheetProtection algorithmName="SHA-512" hashValue="MCgybX+5nzsjqsvDJMu5SC6MbnKd3pNGjW1Y2s8j7LSa8y6fh1E4stiW5+8RZY8Y6+Ve4ZgdqYZgfhlMeavUxg==" saltValue="zbCP9Vj51VBX7kXO9ah9rA==" spinCount="100000" sheet="1" objects="1" scenarios="1"/>
  <autoFilter ref="A3:H82" xr:uid="{00000000-0009-0000-0000-000021000000}"/>
  <customSheetViews>
    <customSheetView guid="{8BDA793C-C9C5-4FC6-A0A5-F1109F6D4F22}" state="hidden">
      <pane xSplit="1" ySplit="3" topLeftCell="B4" activePane="bottomRight" state="frozen"/>
      <selection pane="bottomRight" activeCell="D14" sqref="D14"/>
    </customSheetView>
  </customSheetViews>
  <mergeCells count="3">
    <mergeCell ref="B2:H2"/>
    <mergeCell ref="A1:A2"/>
    <mergeCell ref="J3:M3"/>
  </mergeCells>
  <pageMargins left="0.7" right="0.7" top="0.75" bottom="0.75" header="0.3" footer="0.3"/>
  <pageSetup paperSize="9" orientation="portrait" r:id="rId1"/>
  <drawing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Sheet39">
    <tabColor rgb="FFE0DCD3"/>
  </sheetPr>
  <dimension ref="A1:S216"/>
  <sheetViews>
    <sheetView showGridLines="0" zoomScale="80" zoomScaleNormal="80" workbookViewId="0"/>
  </sheetViews>
  <sheetFormatPr defaultColWidth="0" defaultRowHeight="15" zeroHeight="1"/>
  <cols>
    <col min="1" max="1" width="9.28515625" style="220" customWidth="1"/>
    <col min="2" max="2" width="44.28515625" style="220" customWidth="1"/>
    <col min="3" max="3" width="60.5703125" style="220" customWidth="1"/>
    <col min="4" max="4" width="31.7109375" style="220" customWidth="1"/>
    <col min="5" max="19" width="9.28515625" style="220" customWidth="1"/>
    <col min="20" max="16384" width="9.28515625" style="220" hidden="1"/>
  </cols>
  <sheetData>
    <row r="1" spans="2:4" ht="61.15" customHeight="1" thickBot="1"/>
    <row r="2" spans="2:4" ht="61.15" customHeight="1" thickBot="1">
      <c r="B2" s="1684" t="s">
        <v>1157</v>
      </c>
      <c r="C2" s="1685"/>
      <c r="D2" s="1686"/>
    </row>
    <row r="3" spans="2:4" ht="16.5" thickBot="1">
      <c r="B3" s="694" t="s">
        <v>1158</v>
      </c>
      <c r="C3" s="695" t="s">
        <v>1159</v>
      </c>
      <c r="D3" s="696" t="s">
        <v>1160</v>
      </c>
    </row>
    <row r="4" spans="2:4">
      <c r="B4" s="697" t="s">
        <v>1161</v>
      </c>
      <c r="C4" s="446" t="s">
        <v>804</v>
      </c>
      <c r="D4" s="444" t="s">
        <v>70</v>
      </c>
    </row>
    <row r="5" spans="2:4">
      <c r="B5" s="613" t="s">
        <v>1162</v>
      </c>
      <c r="C5" s="404" t="s">
        <v>801</v>
      </c>
      <c r="D5" s="452" t="s">
        <v>70</v>
      </c>
    </row>
    <row r="6" spans="2:4">
      <c r="B6" s="613" t="s">
        <v>1163</v>
      </c>
      <c r="C6" s="404" t="s">
        <v>786</v>
      </c>
      <c r="D6" s="452" t="s">
        <v>213</v>
      </c>
    </row>
    <row r="7" spans="2:4">
      <c r="B7" s="613" t="s">
        <v>1164</v>
      </c>
      <c r="C7" s="404" t="s">
        <v>801</v>
      </c>
      <c r="D7" s="452" t="s">
        <v>70</v>
      </c>
    </row>
    <row r="8" spans="2:4">
      <c r="B8" s="613" t="s">
        <v>792</v>
      </c>
      <c r="C8" s="404" t="s">
        <v>794</v>
      </c>
      <c r="D8" s="452" t="s">
        <v>216</v>
      </c>
    </row>
    <row r="9" spans="2:4">
      <c r="B9" s="613" t="s">
        <v>1165</v>
      </c>
      <c r="C9" s="404" t="s">
        <v>789</v>
      </c>
      <c r="D9" s="452" t="s">
        <v>213</v>
      </c>
    </row>
    <row r="10" spans="2:4">
      <c r="B10" s="613" t="s">
        <v>1166</v>
      </c>
      <c r="C10" s="404" t="s">
        <v>794</v>
      </c>
      <c r="D10" s="452" t="s">
        <v>216</v>
      </c>
    </row>
    <row r="11" spans="2:4">
      <c r="B11" s="613" t="s">
        <v>1167</v>
      </c>
      <c r="C11" s="404" t="s">
        <v>804</v>
      </c>
      <c r="D11" s="452" t="s">
        <v>70</v>
      </c>
    </row>
    <row r="12" spans="2:4">
      <c r="B12" s="613" t="s">
        <v>1168</v>
      </c>
      <c r="C12" s="404" t="s">
        <v>786</v>
      </c>
      <c r="D12" s="452" t="s">
        <v>213</v>
      </c>
    </row>
    <row r="13" spans="2:4">
      <c r="B13" s="613" t="s">
        <v>1169</v>
      </c>
      <c r="C13" s="404" t="s">
        <v>804</v>
      </c>
      <c r="D13" s="452" t="s">
        <v>70</v>
      </c>
    </row>
    <row r="14" spans="2:4">
      <c r="B14" s="613" t="s">
        <v>1170</v>
      </c>
      <c r="C14" s="404" t="s">
        <v>587</v>
      </c>
      <c r="D14" s="452" t="s">
        <v>70</v>
      </c>
    </row>
    <row r="15" spans="2:4">
      <c r="B15" s="613" t="s">
        <v>1171</v>
      </c>
      <c r="C15" s="404" t="s">
        <v>587</v>
      </c>
      <c r="D15" s="452" t="s">
        <v>70</v>
      </c>
    </row>
    <row r="16" spans="2:4">
      <c r="B16" s="613" t="s">
        <v>1172</v>
      </c>
      <c r="C16" s="404" t="s">
        <v>587</v>
      </c>
      <c r="D16" s="452" t="s">
        <v>70</v>
      </c>
    </row>
    <row r="17" spans="2:4">
      <c r="B17" s="613" t="s">
        <v>1173</v>
      </c>
      <c r="C17" s="404" t="s">
        <v>821</v>
      </c>
      <c r="D17" s="452" t="s">
        <v>467</v>
      </c>
    </row>
    <row r="18" spans="2:4">
      <c r="B18" s="613" t="s">
        <v>1174</v>
      </c>
      <c r="C18" s="404" t="s">
        <v>821</v>
      </c>
      <c r="D18" s="452" t="s">
        <v>467</v>
      </c>
    </row>
    <row r="19" spans="2:4">
      <c r="B19" s="613" t="s">
        <v>1175</v>
      </c>
      <c r="C19" s="404" t="s">
        <v>794</v>
      </c>
      <c r="D19" s="452" t="s">
        <v>70</v>
      </c>
    </row>
    <row r="20" spans="2:4">
      <c r="B20" s="613" t="s">
        <v>1176</v>
      </c>
      <c r="C20" s="404" t="s">
        <v>821</v>
      </c>
      <c r="D20" s="452" t="s">
        <v>467</v>
      </c>
    </row>
    <row r="21" spans="2:4">
      <c r="B21" s="613" t="s">
        <v>1177</v>
      </c>
      <c r="C21" s="404" t="s">
        <v>740</v>
      </c>
      <c r="D21" s="452" t="s">
        <v>70</v>
      </c>
    </row>
    <row r="22" spans="2:4">
      <c r="B22" s="613" t="s">
        <v>1177</v>
      </c>
      <c r="C22" s="404" t="s">
        <v>744</v>
      </c>
      <c r="D22" s="452" t="s">
        <v>70</v>
      </c>
    </row>
    <row r="23" spans="2:4">
      <c r="B23" s="613" t="s">
        <v>1178</v>
      </c>
      <c r="C23" s="404" t="s">
        <v>779</v>
      </c>
      <c r="D23" s="452" t="s">
        <v>213</v>
      </c>
    </row>
    <row r="24" spans="2:4">
      <c r="B24" s="613" t="s">
        <v>1179</v>
      </c>
      <c r="C24" s="404" t="s">
        <v>779</v>
      </c>
      <c r="D24" s="452" t="s">
        <v>213</v>
      </c>
    </row>
    <row r="25" spans="2:4">
      <c r="B25" s="613" t="s">
        <v>1180</v>
      </c>
      <c r="C25" s="404" t="s">
        <v>779</v>
      </c>
      <c r="D25" s="452" t="s">
        <v>213</v>
      </c>
    </row>
    <row r="26" spans="2:4">
      <c r="B26" s="613" t="s">
        <v>1181</v>
      </c>
      <c r="C26" s="404" t="s">
        <v>779</v>
      </c>
      <c r="D26" s="452" t="s">
        <v>213</v>
      </c>
    </row>
    <row r="27" spans="2:4">
      <c r="B27" s="613" t="s">
        <v>513</v>
      </c>
      <c r="C27" s="404" t="s">
        <v>542</v>
      </c>
      <c r="D27" s="452" t="s">
        <v>70</v>
      </c>
    </row>
    <row r="28" spans="2:4">
      <c r="B28" s="613" t="s">
        <v>513</v>
      </c>
      <c r="C28" s="404" t="s">
        <v>554</v>
      </c>
      <c r="D28" s="452" t="s">
        <v>70</v>
      </c>
    </row>
    <row r="29" spans="2:4">
      <c r="B29" s="613" t="s">
        <v>1182</v>
      </c>
      <c r="C29" s="404" t="s">
        <v>527</v>
      </c>
      <c r="D29" s="452" t="s">
        <v>467</v>
      </c>
    </row>
    <row r="30" spans="2:4">
      <c r="B30" s="613" t="s">
        <v>1182</v>
      </c>
      <c r="C30" s="404" t="s">
        <v>560</v>
      </c>
      <c r="D30" s="452" t="s">
        <v>467</v>
      </c>
    </row>
    <row r="31" spans="2:4">
      <c r="B31" s="613" t="s">
        <v>1183</v>
      </c>
      <c r="C31" s="404" t="s">
        <v>554</v>
      </c>
      <c r="D31" s="452" t="s">
        <v>70</v>
      </c>
    </row>
    <row r="32" spans="2:4">
      <c r="B32" s="613" t="s">
        <v>1183</v>
      </c>
      <c r="C32" s="404" t="s">
        <v>542</v>
      </c>
      <c r="D32" s="452" t="s">
        <v>70</v>
      </c>
    </row>
    <row r="33" spans="2:4">
      <c r="B33" s="613" t="s">
        <v>1184</v>
      </c>
      <c r="C33" s="404" t="s">
        <v>538</v>
      </c>
      <c r="D33" s="452" t="s">
        <v>216</v>
      </c>
    </row>
    <row r="34" spans="2:4">
      <c r="B34" s="613" t="s">
        <v>536</v>
      </c>
      <c r="C34" s="404" t="s">
        <v>545</v>
      </c>
      <c r="D34" s="452" t="s">
        <v>70</v>
      </c>
    </row>
    <row r="35" spans="2:4">
      <c r="B35" s="613" t="s">
        <v>1185</v>
      </c>
      <c r="C35" s="404" t="s">
        <v>533</v>
      </c>
      <c r="D35" s="452" t="s">
        <v>467</v>
      </c>
    </row>
    <row r="36" spans="2:4">
      <c r="B36" s="614" t="s">
        <v>1186</v>
      </c>
      <c r="C36" s="428" t="s">
        <v>545</v>
      </c>
      <c r="D36" s="615" t="s">
        <v>70</v>
      </c>
    </row>
    <row r="37" spans="2:4">
      <c r="B37" s="613" t="s">
        <v>1187</v>
      </c>
      <c r="C37" s="404" t="s">
        <v>538</v>
      </c>
      <c r="D37" s="452" t="s">
        <v>216</v>
      </c>
    </row>
    <row r="38" spans="2:4">
      <c r="B38" s="613" t="s">
        <v>524</v>
      </c>
      <c r="C38" s="404" t="s">
        <v>557</v>
      </c>
      <c r="D38" s="452" t="s">
        <v>213</v>
      </c>
    </row>
    <row r="39" spans="2:4">
      <c r="B39" s="613" t="s">
        <v>524</v>
      </c>
      <c r="C39" s="404" t="s">
        <v>521</v>
      </c>
      <c r="D39" s="452" t="s">
        <v>213</v>
      </c>
    </row>
    <row r="40" spans="2:4">
      <c r="B40" s="613" t="s">
        <v>1188</v>
      </c>
      <c r="C40" s="404" t="s">
        <v>521</v>
      </c>
      <c r="D40" s="452" t="s">
        <v>213</v>
      </c>
    </row>
    <row r="41" spans="2:4">
      <c r="B41" s="613" t="s">
        <v>1188</v>
      </c>
      <c r="C41" s="404" t="s">
        <v>557</v>
      </c>
      <c r="D41" s="452" t="s">
        <v>213</v>
      </c>
    </row>
    <row r="42" spans="2:4" ht="29.65" customHeight="1">
      <c r="B42" s="613" t="s">
        <v>1189</v>
      </c>
      <c r="C42" s="404" t="s">
        <v>557</v>
      </c>
      <c r="D42" s="452" t="s">
        <v>213</v>
      </c>
    </row>
    <row r="43" spans="2:4" ht="29.65" customHeight="1">
      <c r="B43" s="613" t="s">
        <v>1189</v>
      </c>
      <c r="C43" s="404" t="s">
        <v>521</v>
      </c>
      <c r="D43" s="452" t="s">
        <v>213</v>
      </c>
    </row>
    <row r="44" spans="2:4">
      <c r="B44" s="613" t="s">
        <v>1190</v>
      </c>
      <c r="C44" s="404" t="s">
        <v>538</v>
      </c>
      <c r="D44" s="452" t="s">
        <v>216</v>
      </c>
    </row>
    <row r="45" spans="2:4">
      <c r="B45" s="613" t="s">
        <v>1191</v>
      </c>
      <c r="C45" s="404" t="s">
        <v>538</v>
      </c>
      <c r="D45" s="452" t="s">
        <v>216</v>
      </c>
    </row>
    <row r="46" spans="2:4">
      <c r="B46" s="613" t="s">
        <v>1192</v>
      </c>
      <c r="C46" s="404" t="s">
        <v>770</v>
      </c>
      <c r="D46" s="452" t="s">
        <v>467</v>
      </c>
    </row>
    <row r="47" spans="2:4">
      <c r="B47" s="613" t="s">
        <v>1192</v>
      </c>
      <c r="C47" s="404" t="s">
        <v>545</v>
      </c>
      <c r="D47" s="452" t="s">
        <v>70</v>
      </c>
    </row>
    <row r="48" spans="2:4">
      <c r="B48" s="613" t="s">
        <v>1192</v>
      </c>
      <c r="C48" s="404" t="s">
        <v>538</v>
      </c>
      <c r="D48" s="452" t="s">
        <v>216</v>
      </c>
    </row>
    <row r="49" spans="2:4">
      <c r="B49" s="613" t="s">
        <v>1193</v>
      </c>
      <c r="C49" s="404" t="s">
        <v>538</v>
      </c>
      <c r="D49" s="452" t="s">
        <v>216</v>
      </c>
    </row>
    <row r="50" spans="2:4">
      <c r="B50" s="613" t="s">
        <v>1194</v>
      </c>
      <c r="C50" s="404" t="s">
        <v>657</v>
      </c>
      <c r="D50" s="452" t="s">
        <v>213</v>
      </c>
    </row>
    <row r="51" spans="2:4">
      <c r="B51" s="613" t="s">
        <v>1195</v>
      </c>
      <c r="C51" s="404" t="s">
        <v>653</v>
      </c>
      <c r="D51" s="452" t="s">
        <v>213</v>
      </c>
    </row>
    <row r="52" spans="2:4">
      <c r="B52" s="613" t="s">
        <v>1196</v>
      </c>
      <c r="C52" s="404" t="s">
        <v>653</v>
      </c>
      <c r="D52" s="452" t="s">
        <v>213</v>
      </c>
    </row>
    <row r="53" spans="2:4">
      <c r="B53" s="613" t="s">
        <v>1197</v>
      </c>
      <c r="C53" s="404" t="s">
        <v>653</v>
      </c>
      <c r="D53" s="452" t="s">
        <v>213</v>
      </c>
    </row>
    <row r="54" spans="2:4">
      <c r="B54" s="613" t="s">
        <v>1198</v>
      </c>
      <c r="C54" s="404" t="s">
        <v>653</v>
      </c>
      <c r="D54" s="452" t="s">
        <v>213</v>
      </c>
    </row>
    <row r="55" spans="2:4">
      <c r="B55" s="613" t="s">
        <v>1199</v>
      </c>
      <c r="C55" s="404" t="s">
        <v>653</v>
      </c>
      <c r="D55" s="452" t="s">
        <v>213</v>
      </c>
    </row>
    <row r="56" spans="2:4">
      <c r="B56" s="613" t="s">
        <v>1200</v>
      </c>
      <c r="C56" s="404" t="s">
        <v>653</v>
      </c>
      <c r="D56" s="452" t="s">
        <v>213</v>
      </c>
    </row>
    <row r="57" spans="2:4">
      <c r="B57" s="613" t="s">
        <v>1201</v>
      </c>
      <c r="C57" s="404" t="s">
        <v>674</v>
      </c>
      <c r="D57" s="452" t="s">
        <v>213</v>
      </c>
    </row>
    <row r="58" spans="2:4">
      <c r="B58" s="613" t="s">
        <v>1202</v>
      </c>
      <c r="C58" s="404" t="s">
        <v>674</v>
      </c>
      <c r="D58" s="452" t="s">
        <v>213</v>
      </c>
    </row>
    <row r="59" spans="2:4">
      <c r="B59" s="613" t="s">
        <v>1203</v>
      </c>
      <c r="C59" s="404" t="s">
        <v>674</v>
      </c>
      <c r="D59" s="452" t="s">
        <v>213</v>
      </c>
    </row>
    <row r="60" spans="2:4">
      <c r="B60" s="613" t="s">
        <v>1204</v>
      </c>
      <c r="C60" s="404" t="s">
        <v>674</v>
      </c>
      <c r="D60" s="452" t="s">
        <v>213</v>
      </c>
    </row>
    <row r="61" spans="2:4">
      <c r="B61" s="613" t="s">
        <v>1204</v>
      </c>
      <c r="C61" s="404" t="s">
        <v>1205</v>
      </c>
      <c r="D61" s="452" t="s">
        <v>213</v>
      </c>
    </row>
    <row r="62" spans="2:4">
      <c r="B62" s="613" t="s">
        <v>1206</v>
      </c>
      <c r="C62" s="404" t="s">
        <v>674</v>
      </c>
      <c r="D62" s="452" t="s">
        <v>213</v>
      </c>
    </row>
    <row r="63" spans="2:4">
      <c r="B63" s="613" t="s">
        <v>1206</v>
      </c>
      <c r="C63" s="404" t="s">
        <v>533</v>
      </c>
      <c r="D63" s="452" t="s">
        <v>467</v>
      </c>
    </row>
    <row r="64" spans="2:4">
      <c r="B64" s="613" t="s">
        <v>1206</v>
      </c>
      <c r="C64" s="404" t="s">
        <v>527</v>
      </c>
      <c r="D64" s="452" t="s">
        <v>467</v>
      </c>
    </row>
    <row r="65" spans="2:4">
      <c r="B65" s="613" t="s">
        <v>1206</v>
      </c>
      <c r="C65" s="404" t="s">
        <v>542</v>
      </c>
      <c r="D65" s="452" t="s">
        <v>70</v>
      </c>
    </row>
    <row r="66" spans="2:4">
      <c r="B66" s="613" t="s">
        <v>1207</v>
      </c>
      <c r="C66" s="404" t="s">
        <v>674</v>
      </c>
      <c r="D66" s="452" t="s">
        <v>213</v>
      </c>
    </row>
    <row r="67" spans="2:4">
      <c r="B67" s="613" t="s">
        <v>1207</v>
      </c>
      <c r="C67" s="430" t="s">
        <v>580</v>
      </c>
      <c r="D67" s="452" t="s">
        <v>213</v>
      </c>
    </row>
    <row r="68" spans="2:4">
      <c r="B68" s="613" t="s">
        <v>1208</v>
      </c>
      <c r="C68" s="404" t="s">
        <v>1209</v>
      </c>
      <c r="D68" s="452" t="s">
        <v>467</v>
      </c>
    </row>
    <row r="69" spans="2:4">
      <c r="B69" s="613" t="s">
        <v>1208</v>
      </c>
      <c r="C69" s="404" t="s">
        <v>1210</v>
      </c>
      <c r="D69" s="452" t="s">
        <v>70</v>
      </c>
    </row>
    <row r="70" spans="2:4">
      <c r="B70" s="613" t="s">
        <v>1208</v>
      </c>
      <c r="C70" s="404" t="s">
        <v>621</v>
      </c>
      <c r="D70" s="452" t="s">
        <v>213</v>
      </c>
    </row>
    <row r="71" spans="2:4">
      <c r="B71" s="613" t="s">
        <v>1208</v>
      </c>
      <c r="C71" s="404" t="s">
        <v>624</v>
      </c>
      <c r="D71" s="452" t="s">
        <v>213</v>
      </c>
    </row>
    <row r="72" spans="2:4">
      <c r="B72" s="613" t="s">
        <v>1208</v>
      </c>
      <c r="C72" s="404" t="s">
        <v>627</v>
      </c>
      <c r="D72" s="452" t="s">
        <v>213</v>
      </c>
    </row>
    <row r="73" spans="2:4">
      <c r="B73" s="613" t="s">
        <v>1208</v>
      </c>
      <c r="C73" s="404" t="s">
        <v>630</v>
      </c>
      <c r="D73" s="452" t="s">
        <v>213</v>
      </c>
    </row>
    <row r="74" spans="2:4">
      <c r="B74" s="613" t="s">
        <v>1208</v>
      </c>
      <c r="C74" s="404" t="s">
        <v>1211</v>
      </c>
      <c r="D74" s="452" t="s">
        <v>213</v>
      </c>
    </row>
    <row r="75" spans="2:4">
      <c r="B75" s="613" t="s">
        <v>1208</v>
      </c>
      <c r="C75" s="404" t="s">
        <v>1212</v>
      </c>
      <c r="D75" s="452" t="s">
        <v>213</v>
      </c>
    </row>
    <row r="76" spans="2:4">
      <c r="B76" s="613" t="s">
        <v>1208</v>
      </c>
      <c r="C76" s="404" t="s">
        <v>1213</v>
      </c>
      <c r="D76" s="452" t="s">
        <v>70</v>
      </c>
    </row>
    <row r="77" spans="2:4">
      <c r="B77" s="613" t="s">
        <v>1208</v>
      </c>
      <c r="C77" s="404" t="s">
        <v>1214</v>
      </c>
      <c r="D77" s="452" t="s">
        <v>70</v>
      </c>
    </row>
    <row r="78" spans="2:4">
      <c r="B78" s="613" t="s">
        <v>1208</v>
      </c>
      <c r="C78" s="404" t="s">
        <v>1215</v>
      </c>
      <c r="D78" s="452" t="s">
        <v>213</v>
      </c>
    </row>
    <row r="79" spans="2:4">
      <c r="B79" s="613" t="s">
        <v>1216</v>
      </c>
      <c r="C79" s="404" t="s">
        <v>580</v>
      </c>
      <c r="D79" s="452" t="s">
        <v>213</v>
      </c>
    </row>
    <row r="80" spans="2:4">
      <c r="B80" s="613" t="s">
        <v>1216</v>
      </c>
      <c r="C80" s="404" t="s">
        <v>609</v>
      </c>
      <c r="D80" s="452" t="s">
        <v>213</v>
      </c>
    </row>
    <row r="81" spans="2:4">
      <c r="B81" s="613" t="s">
        <v>1217</v>
      </c>
      <c r="C81" s="404" t="s">
        <v>580</v>
      </c>
      <c r="D81" s="452" t="s">
        <v>213</v>
      </c>
    </row>
    <row r="82" spans="2:4">
      <c r="B82" s="613" t="s">
        <v>1217</v>
      </c>
      <c r="C82" s="404" t="s">
        <v>609</v>
      </c>
      <c r="D82" s="452" t="s">
        <v>213</v>
      </c>
    </row>
    <row r="83" spans="2:4">
      <c r="B83" s="613" t="s">
        <v>1218</v>
      </c>
      <c r="C83" s="404" t="s">
        <v>580</v>
      </c>
      <c r="D83" s="452" t="s">
        <v>213</v>
      </c>
    </row>
    <row r="84" spans="2:4">
      <c r="B84" s="613" t="s">
        <v>1218</v>
      </c>
      <c r="C84" s="404" t="s">
        <v>609</v>
      </c>
      <c r="D84" s="452" t="s">
        <v>213</v>
      </c>
    </row>
    <row r="85" spans="2:4">
      <c r="B85" s="613" t="s">
        <v>1219</v>
      </c>
      <c r="C85" s="404" t="s">
        <v>580</v>
      </c>
      <c r="D85" s="452" t="s">
        <v>213</v>
      </c>
    </row>
    <row r="86" spans="2:4">
      <c r="B86" s="613" t="s">
        <v>1219</v>
      </c>
      <c r="C86" s="404" t="s">
        <v>609</v>
      </c>
      <c r="D86" s="452" t="s">
        <v>213</v>
      </c>
    </row>
    <row r="87" spans="2:4">
      <c r="B87" s="613" t="s">
        <v>1220</v>
      </c>
      <c r="C87" s="404" t="s">
        <v>580</v>
      </c>
      <c r="D87" s="452" t="s">
        <v>213</v>
      </c>
    </row>
    <row r="88" spans="2:4">
      <c r="B88" s="613" t="s">
        <v>1220</v>
      </c>
      <c r="C88" s="404" t="s">
        <v>609</v>
      </c>
      <c r="D88" s="452" t="s">
        <v>213</v>
      </c>
    </row>
    <row r="89" spans="2:4">
      <c r="B89" s="613" t="s">
        <v>1221</v>
      </c>
      <c r="C89" s="404" t="s">
        <v>591</v>
      </c>
      <c r="D89" s="452" t="s">
        <v>467</v>
      </c>
    </row>
    <row r="90" spans="2:4">
      <c r="B90" s="613" t="s">
        <v>1222</v>
      </c>
      <c r="C90" s="404" t="s">
        <v>580</v>
      </c>
      <c r="D90" s="452" t="s">
        <v>213</v>
      </c>
    </row>
    <row r="91" spans="2:4">
      <c r="B91" s="613" t="s">
        <v>1223</v>
      </c>
      <c r="C91" s="404" t="s">
        <v>580</v>
      </c>
      <c r="D91" s="452" t="s">
        <v>213</v>
      </c>
    </row>
    <row r="92" spans="2:4">
      <c r="B92" s="613" t="s">
        <v>1222</v>
      </c>
      <c r="C92" s="404" t="s">
        <v>609</v>
      </c>
      <c r="D92" s="452" t="s">
        <v>213</v>
      </c>
    </row>
    <row r="93" spans="2:4">
      <c r="B93" s="613" t="s">
        <v>1223</v>
      </c>
      <c r="C93" s="404" t="s">
        <v>609</v>
      </c>
      <c r="D93" s="452" t="s">
        <v>213</v>
      </c>
    </row>
    <row r="94" spans="2:4">
      <c r="B94" s="613" t="s">
        <v>510</v>
      </c>
      <c r="C94" s="404" t="s">
        <v>511</v>
      </c>
      <c r="D94" s="452" t="s">
        <v>216</v>
      </c>
    </row>
    <row r="95" spans="2:4">
      <c r="B95" s="613" t="s">
        <v>1224</v>
      </c>
      <c r="C95" s="404" t="s">
        <v>511</v>
      </c>
      <c r="D95" s="452" t="s">
        <v>216</v>
      </c>
    </row>
    <row r="96" spans="2:4">
      <c r="B96" s="613" t="s">
        <v>1225</v>
      </c>
      <c r="C96" s="404" t="s">
        <v>511</v>
      </c>
      <c r="D96" s="452" t="s">
        <v>216</v>
      </c>
    </row>
    <row r="97" spans="2:4">
      <c r="B97" s="613" t="s">
        <v>1226</v>
      </c>
      <c r="C97" s="430" t="s">
        <v>666</v>
      </c>
      <c r="D97" s="452" t="s">
        <v>213</v>
      </c>
    </row>
    <row r="98" spans="2:4">
      <c r="B98" s="613" t="s">
        <v>1227</v>
      </c>
      <c r="C98" s="404" t="s">
        <v>511</v>
      </c>
      <c r="D98" s="452" t="s">
        <v>70</v>
      </c>
    </row>
    <row r="99" spans="2:4">
      <c r="B99" s="613" t="s">
        <v>1228</v>
      </c>
      <c r="C99" s="430" t="s">
        <v>989</v>
      </c>
      <c r="D99" s="452" t="s">
        <v>216</v>
      </c>
    </row>
    <row r="100" spans="2:4">
      <c r="B100" s="613" t="s">
        <v>1228</v>
      </c>
      <c r="C100" s="430" t="s">
        <v>664</v>
      </c>
      <c r="D100" s="452" t="s">
        <v>216</v>
      </c>
    </row>
    <row r="101" spans="2:4">
      <c r="B101" s="613" t="s">
        <v>1229</v>
      </c>
      <c r="C101" s="430" t="s">
        <v>989</v>
      </c>
      <c r="D101" s="452" t="s">
        <v>216</v>
      </c>
    </row>
    <row r="102" spans="2:4">
      <c r="B102" s="613" t="s">
        <v>749</v>
      </c>
      <c r="C102" s="404" t="s">
        <v>762</v>
      </c>
      <c r="D102" s="452" t="s">
        <v>467</v>
      </c>
    </row>
    <row r="103" spans="2:4">
      <c r="B103" s="613" t="s">
        <v>1230</v>
      </c>
      <c r="C103" s="404" t="s">
        <v>762</v>
      </c>
      <c r="D103" s="452" t="s">
        <v>467</v>
      </c>
    </row>
    <row r="104" spans="2:4">
      <c r="B104" s="613" t="s">
        <v>746</v>
      </c>
      <c r="C104" s="404" t="s">
        <v>747</v>
      </c>
      <c r="D104" s="452" t="s">
        <v>467</v>
      </c>
    </row>
    <row r="105" spans="2:4">
      <c r="B105" s="613" t="s">
        <v>1231</v>
      </c>
      <c r="C105" s="404" t="s">
        <v>762</v>
      </c>
      <c r="D105" s="452" t="s">
        <v>467</v>
      </c>
    </row>
    <row r="106" spans="2:4">
      <c r="B106" s="613" t="s">
        <v>1232</v>
      </c>
      <c r="C106" s="430" t="s">
        <v>776</v>
      </c>
      <c r="D106" s="452" t="s">
        <v>467</v>
      </c>
    </row>
    <row r="107" spans="2:4">
      <c r="B107" s="613" t="s">
        <v>1233</v>
      </c>
      <c r="C107" s="404" t="s">
        <v>747</v>
      </c>
      <c r="D107" s="452" t="s">
        <v>467</v>
      </c>
    </row>
    <row r="108" spans="2:4">
      <c r="B108" s="613" t="s">
        <v>1233</v>
      </c>
      <c r="C108" s="404" t="s">
        <v>762</v>
      </c>
      <c r="D108" s="452" t="s">
        <v>467</v>
      </c>
    </row>
    <row r="109" spans="2:4">
      <c r="B109" s="613" t="s">
        <v>1234</v>
      </c>
      <c r="C109" s="404" t="s">
        <v>756</v>
      </c>
      <c r="D109" s="452" t="s">
        <v>467</v>
      </c>
    </row>
    <row r="110" spans="2:4">
      <c r="B110" s="613" t="s">
        <v>1235</v>
      </c>
      <c r="C110" s="404" t="s">
        <v>756</v>
      </c>
      <c r="D110" s="452" t="s">
        <v>467</v>
      </c>
    </row>
    <row r="111" spans="2:4">
      <c r="B111" s="613" t="s">
        <v>1236</v>
      </c>
      <c r="C111" s="404" t="s">
        <v>756</v>
      </c>
      <c r="D111" s="452" t="s">
        <v>467</v>
      </c>
    </row>
    <row r="112" spans="2:4">
      <c r="B112" s="613" t="s">
        <v>1237</v>
      </c>
      <c r="C112" s="404" t="s">
        <v>756</v>
      </c>
      <c r="D112" s="452" t="s">
        <v>467</v>
      </c>
    </row>
    <row r="113" spans="2:4">
      <c r="B113" s="613" t="s">
        <v>1238</v>
      </c>
      <c r="C113" s="404" t="s">
        <v>756</v>
      </c>
      <c r="D113" s="452" t="s">
        <v>467</v>
      </c>
    </row>
    <row r="114" spans="2:4">
      <c r="B114" s="613" t="s">
        <v>1239</v>
      </c>
      <c r="C114" s="404" t="s">
        <v>1240</v>
      </c>
      <c r="D114" s="452" t="s">
        <v>467</v>
      </c>
    </row>
    <row r="115" spans="2:4">
      <c r="B115" s="613" t="s">
        <v>1241</v>
      </c>
      <c r="C115" s="404" t="s">
        <v>1240</v>
      </c>
      <c r="D115" s="452" t="s">
        <v>467</v>
      </c>
    </row>
    <row r="116" spans="2:4">
      <c r="B116" s="613" t="s">
        <v>1242</v>
      </c>
      <c r="C116" s="404" t="s">
        <v>1240</v>
      </c>
      <c r="D116" s="452" t="s">
        <v>467</v>
      </c>
    </row>
    <row r="117" spans="2:4">
      <c r="B117" s="613" t="s">
        <v>1243</v>
      </c>
      <c r="C117" s="404" t="s">
        <v>751</v>
      </c>
      <c r="D117" s="452" t="s">
        <v>467</v>
      </c>
    </row>
    <row r="118" spans="2:4">
      <c r="B118" s="613" t="s">
        <v>1244</v>
      </c>
      <c r="C118" s="404" t="s">
        <v>756</v>
      </c>
      <c r="D118" s="452" t="s">
        <v>467</v>
      </c>
    </row>
    <row r="119" spans="2:4">
      <c r="B119" s="613" t="s">
        <v>1245</v>
      </c>
      <c r="C119" s="404" t="s">
        <v>756</v>
      </c>
      <c r="D119" s="452" t="s">
        <v>467</v>
      </c>
    </row>
    <row r="120" spans="2:4">
      <c r="B120" s="613" t="s">
        <v>1245</v>
      </c>
      <c r="C120" s="430" t="s">
        <v>773</v>
      </c>
      <c r="D120" s="615" t="s">
        <v>213</v>
      </c>
    </row>
    <row r="121" spans="2:4">
      <c r="B121" s="613" t="s">
        <v>1246</v>
      </c>
      <c r="C121" s="404" t="s">
        <v>1247</v>
      </c>
      <c r="D121" s="462"/>
    </row>
    <row r="122" spans="2:4">
      <c r="B122" s="613" t="s">
        <v>1248</v>
      </c>
      <c r="C122" s="430" t="s">
        <v>773</v>
      </c>
      <c r="D122" s="615" t="s">
        <v>213</v>
      </c>
    </row>
    <row r="123" spans="2:4">
      <c r="B123" s="613" t="s">
        <v>1249</v>
      </c>
      <c r="C123" s="404" t="s">
        <v>666</v>
      </c>
      <c r="D123" s="452" t="s">
        <v>213</v>
      </c>
    </row>
    <row r="124" spans="2:4">
      <c r="B124" s="613" t="s">
        <v>1250</v>
      </c>
      <c r="C124" s="430" t="s">
        <v>679</v>
      </c>
      <c r="D124" s="452" t="s">
        <v>70</v>
      </c>
    </row>
    <row r="125" spans="2:4">
      <c r="B125" s="613" t="s">
        <v>1251</v>
      </c>
      <c r="C125" s="404" t="s">
        <v>666</v>
      </c>
      <c r="D125" s="452" t="s">
        <v>213</v>
      </c>
    </row>
    <row r="126" spans="2:4">
      <c r="B126" s="613" t="s">
        <v>1252</v>
      </c>
      <c r="C126" s="430" t="s">
        <v>679</v>
      </c>
      <c r="D126" s="452" t="s">
        <v>70</v>
      </c>
    </row>
    <row r="127" spans="2:4">
      <c r="B127" s="613" t="s">
        <v>1253</v>
      </c>
      <c r="C127" s="404" t="s">
        <v>666</v>
      </c>
      <c r="D127" s="452" t="s">
        <v>213</v>
      </c>
    </row>
    <row r="128" spans="2:4">
      <c r="B128" s="613" t="s">
        <v>1254</v>
      </c>
      <c r="C128" s="404" t="s">
        <v>666</v>
      </c>
      <c r="D128" s="452" t="s">
        <v>213</v>
      </c>
    </row>
    <row r="129" spans="2:4">
      <c r="B129" s="613" t="s">
        <v>1255</v>
      </c>
      <c r="C129" s="404" t="s">
        <v>666</v>
      </c>
      <c r="D129" s="452" t="s">
        <v>213</v>
      </c>
    </row>
    <row r="130" spans="2:4">
      <c r="B130" s="613" t="s">
        <v>1256</v>
      </c>
      <c r="C130" s="404" t="s">
        <v>666</v>
      </c>
      <c r="D130" s="452" t="s">
        <v>213</v>
      </c>
    </row>
    <row r="131" spans="2:4">
      <c r="B131" s="613" t="s">
        <v>1257</v>
      </c>
      <c r="C131" s="404" t="s">
        <v>666</v>
      </c>
      <c r="D131" s="452" t="s">
        <v>213</v>
      </c>
    </row>
    <row r="132" spans="2:4">
      <c r="B132" s="613" t="s">
        <v>670</v>
      </c>
      <c r="C132" s="404" t="s">
        <v>671</v>
      </c>
      <c r="D132" s="452" t="s">
        <v>467</v>
      </c>
    </row>
    <row r="133" spans="2:4">
      <c r="B133" s="613" t="s">
        <v>1258</v>
      </c>
      <c r="C133" s="404" t="s">
        <v>679</v>
      </c>
      <c r="D133" s="452" t="s">
        <v>70</v>
      </c>
    </row>
    <row r="134" spans="2:4">
      <c r="B134" s="613" t="s">
        <v>1259</v>
      </c>
      <c r="C134" s="404" t="s">
        <v>679</v>
      </c>
      <c r="D134" s="452" t="s">
        <v>70</v>
      </c>
    </row>
    <row r="135" spans="2:4">
      <c r="B135" s="613" t="s">
        <v>1260</v>
      </c>
      <c r="C135" s="404" t="s">
        <v>679</v>
      </c>
      <c r="D135" s="452" t="s">
        <v>70</v>
      </c>
    </row>
    <row r="136" spans="2:4">
      <c r="B136" s="613" t="s">
        <v>1261</v>
      </c>
      <c r="C136" s="404" t="s">
        <v>679</v>
      </c>
      <c r="D136" s="452" t="s">
        <v>70</v>
      </c>
    </row>
    <row r="137" spans="2:4">
      <c r="B137" s="613" t="s">
        <v>1261</v>
      </c>
      <c r="C137" s="404" t="s">
        <v>679</v>
      </c>
      <c r="D137" s="452" t="s">
        <v>70</v>
      </c>
    </row>
    <row r="138" spans="2:4">
      <c r="B138" s="613" t="s">
        <v>1261</v>
      </c>
      <c r="C138" s="404" t="s">
        <v>679</v>
      </c>
      <c r="D138" s="452" t="s">
        <v>70</v>
      </c>
    </row>
    <row r="139" spans="2:4">
      <c r="B139" s="613" t="s">
        <v>1261</v>
      </c>
      <c r="C139" s="404" t="s">
        <v>679</v>
      </c>
      <c r="D139" s="452" t="s">
        <v>70</v>
      </c>
    </row>
    <row r="140" spans="2:4">
      <c r="B140" s="613" t="s">
        <v>1261</v>
      </c>
      <c r="C140" s="404" t="s">
        <v>679</v>
      </c>
      <c r="D140" s="452" t="s">
        <v>70</v>
      </c>
    </row>
    <row r="141" spans="2:4">
      <c r="B141" s="613" t="s">
        <v>1261</v>
      </c>
      <c r="C141" s="404" t="s">
        <v>679</v>
      </c>
      <c r="D141" s="452" t="s">
        <v>70</v>
      </c>
    </row>
    <row r="142" spans="2:4">
      <c r="B142" s="613" t="s">
        <v>1262</v>
      </c>
      <c r="C142" s="404" t="s">
        <v>1263</v>
      </c>
      <c r="D142" s="452" t="s">
        <v>216</v>
      </c>
    </row>
    <row r="143" spans="2:4">
      <c r="B143" s="613" t="s">
        <v>1264</v>
      </c>
      <c r="C143" s="404" t="s">
        <v>1263</v>
      </c>
      <c r="D143" s="452" t="s">
        <v>216</v>
      </c>
    </row>
    <row r="144" spans="2:4">
      <c r="B144" s="613" t="s">
        <v>1265</v>
      </c>
      <c r="C144" s="404" t="s">
        <v>1263</v>
      </c>
      <c r="D144" s="452" t="s">
        <v>216</v>
      </c>
    </row>
    <row r="145" spans="2:4">
      <c r="B145" s="613" t="s">
        <v>1266</v>
      </c>
      <c r="C145" s="404" t="s">
        <v>684</v>
      </c>
      <c r="D145" s="452" t="s">
        <v>486</v>
      </c>
    </row>
    <row r="146" spans="2:4">
      <c r="B146" s="613" t="s">
        <v>1267</v>
      </c>
      <c r="C146" s="404" t="s">
        <v>484</v>
      </c>
      <c r="D146" s="452" t="s">
        <v>216</v>
      </c>
    </row>
    <row r="147" spans="2:4" ht="36.6" customHeight="1">
      <c r="B147" s="613" t="s">
        <v>1268</v>
      </c>
      <c r="C147" s="382" t="s">
        <v>1269</v>
      </c>
      <c r="D147" s="452" t="s">
        <v>216</v>
      </c>
    </row>
    <row r="148" spans="2:4">
      <c r="B148" s="613" t="s">
        <v>1270</v>
      </c>
      <c r="C148" s="404" t="s">
        <v>538</v>
      </c>
      <c r="D148" s="452" t="s">
        <v>216</v>
      </c>
    </row>
    <row r="149" spans="2:4">
      <c r="B149" s="613" t="s">
        <v>1271</v>
      </c>
      <c r="C149" s="430" t="s">
        <v>989</v>
      </c>
      <c r="D149" s="452" t="s">
        <v>216</v>
      </c>
    </row>
    <row r="150" spans="2:4">
      <c r="B150" s="613" t="s">
        <v>712</v>
      </c>
      <c r="C150" s="404" t="s">
        <v>713</v>
      </c>
      <c r="D150" s="452" t="s">
        <v>216</v>
      </c>
    </row>
    <row r="151" spans="2:4">
      <c r="B151" s="613" t="s">
        <v>1272</v>
      </c>
      <c r="C151" s="404" t="s">
        <v>692</v>
      </c>
      <c r="D151" s="452" t="s">
        <v>486</v>
      </c>
    </row>
    <row r="152" spans="2:4">
      <c r="B152" s="613" t="s">
        <v>1273</v>
      </c>
      <c r="C152" s="404" t="s">
        <v>692</v>
      </c>
      <c r="D152" s="452" t="s">
        <v>486</v>
      </c>
    </row>
    <row r="153" spans="2:4">
      <c r="B153" s="613" t="s">
        <v>1274</v>
      </c>
      <c r="C153" s="404" t="s">
        <v>697</v>
      </c>
      <c r="D153" s="452" t="s">
        <v>486</v>
      </c>
    </row>
    <row r="154" spans="2:4">
      <c r="B154" s="613" t="s">
        <v>1275</v>
      </c>
      <c r="C154" s="404" t="s">
        <v>697</v>
      </c>
      <c r="D154" s="452" t="s">
        <v>486</v>
      </c>
    </row>
    <row r="155" spans="2:4">
      <c r="B155" s="613" t="s">
        <v>1276</v>
      </c>
      <c r="C155" s="404" t="s">
        <v>697</v>
      </c>
      <c r="D155" s="452" t="s">
        <v>486</v>
      </c>
    </row>
    <row r="156" spans="2:4">
      <c r="B156" s="613" t="s">
        <v>1277</v>
      </c>
      <c r="C156" s="404" t="s">
        <v>697</v>
      </c>
      <c r="D156" s="452" t="s">
        <v>486</v>
      </c>
    </row>
    <row r="157" spans="2:4">
      <c r="B157" s="613" t="s">
        <v>734</v>
      </c>
      <c r="C157" s="404" t="s">
        <v>732</v>
      </c>
      <c r="D157" s="452" t="s">
        <v>216</v>
      </c>
    </row>
    <row r="158" spans="2:4" ht="15.75" thickBot="1">
      <c r="B158" s="616" t="s">
        <v>734</v>
      </c>
      <c r="C158" s="388" t="s">
        <v>735</v>
      </c>
      <c r="D158" s="442" t="s">
        <v>216</v>
      </c>
    </row>
    <row r="159" spans="2:4"/>
    <row r="160" spans="2:4"/>
    <row r="161" spans="2:2"/>
    <row r="162" spans="2:2"/>
    <row r="163" spans="2:2">
      <c r="B163" s="250"/>
    </row>
    <row r="164" spans="2:2">
      <c r="B164" s="250"/>
    </row>
    <row r="165" spans="2:2">
      <c r="B165" s="250"/>
    </row>
    <row r="166" spans="2:2">
      <c r="B166" s="250"/>
    </row>
    <row r="167" spans="2:2">
      <c r="B167" s="250"/>
    </row>
    <row r="168" spans="2:2">
      <c r="B168" s="250"/>
    </row>
    <row r="169" spans="2:2" hidden="1">
      <c r="B169" s="250"/>
    </row>
    <row r="170" spans="2:2" hidden="1">
      <c r="B170" s="250"/>
    </row>
    <row r="171" spans="2:2" hidden="1">
      <c r="B171" s="250"/>
    </row>
    <row r="172" spans="2:2" hidden="1">
      <c r="B172" s="250"/>
    </row>
    <row r="173" spans="2:2" hidden="1">
      <c r="B173" s="250"/>
    </row>
    <row r="174" spans="2:2" hidden="1">
      <c r="B174" s="250"/>
    </row>
    <row r="175" spans="2:2" hidden="1">
      <c r="B175" s="250"/>
    </row>
    <row r="176" spans="2:2" hidden="1">
      <c r="B176" s="250"/>
    </row>
    <row r="177" spans="2:2" hidden="1">
      <c r="B177" s="250"/>
    </row>
    <row r="178" spans="2:2" hidden="1">
      <c r="B178" s="250"/>
    </row>
    <row r="179" spans="2:2" hidden="1">
      <c r="B179" s="250"/>
    </row>
    <row r="180" spans="2:2" hidden="1">
      <c r="B180" s="250"/>
    </row>
    <row r="181" spans="2:2" hidden="1">
      <c r="B181" s="250"/>
    </row>
    <row r="182" spans="2:2" hidden="1">
      <c r="B182" s="250"/>
    </row>
    <row r="183" spans="2:2" hidden="1">
      <c r="B183" s="250"/>
    </row>
    <row r="184" spans="2:2" hidden="1">
      <c r="B184" s="250"/>
    </row>
    <row r="185" spans="2:2" hidden="1">
      <c r="B185" s="250"/>
    </row>
    <row r="186" spans="2:2" hidden="1">
      <c r="B186" s="250"/>
    </row>
    <row r="187" spans="2:2" hidden="1">
      <c r="B187" s="250"/>
    </row>
    <row r="188" spans="2:2" hidden="1">
      <c r="B188" s="250"/>
    </row>
    <row r="189" spans="2:2" hidden="1">
      <c r="B189" s="250"/>
    </row>
    <row r="190" spans="2:2" hidden="1">
      <c r="B190" s="250"/>
    </row>
    <row r="191" spans="2:2" hidden="1">
      <c r="B191" s="250"/>
    </row>
    <row r="192" spans="2:2" hidden="1">
      <c r="B192" s="250"/>
    </row>
    <row r="193" spans="2:2" hidden="1">
      <c r="B193" s="250"/>
    </row>
    <row r="194" spans="2:2" hidden="1">
      <c r="B194" s="250"/>
    </row>
    <row r="195" spans="2:2" hidden="1">
      <c r="B195" s="250"/>
    </row>
    <row r="196" spans="2:2" hidden="1">
      <c r="B196" s="250"/>
    </row>
    <row r="197" spans="2:2" hidden="1">
      <c r="B197" s="250"/>
    </row>
    <row r="198" spans="2:2" hidden="1">
      <c r="B198" s="250"/>
    </row>
    <row r="199" spans="2:2" hidden="1">
      <c r="B199" s="250"/>
    </row>
    <row r="200" spans="2:2" hidden="1">
      <c r="B200" s="250"/>
    </row>
    <row r="201" spans="2:2" hidden="1">
      <c r="B201" s="250"/>
    </row>
    <row r="202" spans="2:2" hidden="1">
      <c r="B202" s="250"/>
    </row>
    <row r="203" spans="2:2" hidden="1">
      <c r="B203" s="250"/>
    </row>
    <row r="204" spans="2:2" hidden="1">
      <c r="B204" s="250"/>
    </row>
    <row r="205" spans="2:2" hidden="1">
      <c r="B205" s="250"/>
    </row>
    <row r="206" spans="2:2" hidden="1">
      <c r="B206" s="250"/>
    </row>
    <row r="207" spans="2:2" hidden="1">
      <c r="B207" s="250"/>
    </row>
    <row r="208" spans="2:2" hidden="1">
      <c r="B208" s="250"/>
    </row>
    <row r="209" spans="2:2" hidden="1">
      <c r="B209" s="250"/>
    </row>
    <row r="210" spans="2:2" hidden="1">
      <c r="B210" s="250"/>
    </row>
    <row r="211" spans="2:2" hidden="1">
      <c r="B211" s="250"/>
    </row>
    <row r="212" spans="2:2" hidden="1">
      <c r="B212" s="250"/>
    </row>
    <row r="213" spans="2:2" hidden="1">
      <c r="B213" s="250"/>
    </row>
    <row r="214" spans="2:2" hidden="1">
      <c r="B214" s="250"/>
    </row>
    <row r="215" spans="2:2" hidden="1">
      <c r="B215" s="250"/>
    </row>
    <row r="216" spans="2:2" hidden="1">
      <c r="B216" s="251"/>
    </row>
  </sheetData>
  <sheetProtection algorithmName="SHA-512" hashValue="uv9zf9sHIrolTbZza29olpk3k9Bbb8E1F7EZb2ZrgPuO3gEOHCfkmKJkDwk+gH/4FE9HC/puXiCaIw6mprAqbg==" saltValue="oVyRey9W+no+myAEQu2NPA==" spinCount="100000" sheet="1" objects="1" scenarios="1"/>
  <autoFilter ref="B3:D154" xr:uid="{00000000-0009-0000-0000-000022000000}"/>
  <customSheetViews>
    <customSheetView guid="{8BDA793C-C9C5-4FC6-A0A5-F1109F6D4F22}" state="hidden">
      <selection activeCell="D14" sqref="D14"/>
    </customSheetView>
  </customSheetViews>
  <mergeCells count="1">
    <mergeCell ref="B2:D2"/>
  </mergeCell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85A9BF-C3F6-4622-8D04-B250AE65FFA3}">
  <sheetPr codeName="Sheet2">
    <tabColor rgb="FF00B0F0"/>
  </sheetPr>
  <dimension ref="B1:AH81"/>
  <sheetViews>
    <sheetView showGridLines="0" zoomScale="55" zoomScaleNormal="55" workbookViewId="0">
      <selection activeCell="U10" sqref="U10:Y10"/>
    </sheetView>
  </sheetViews>
  <sheetFormatPr defaultColWidth="8.7109375" defaultRowHeight="15.75"/>
  <cols>
    <col min="1" max="7" width="8.7109375" style="557"/>
    <col min="8" max="8" width="12.5703125" style="557" customWidth="1"/>
    <col min="9" max="9" width="8.7109375" style="557" customWidth="1"/>
    <col min="10" max="10" width="3.5703125" style="557" customWidth="1"/>
    <col min="11" max="13" width="8.7109375" style="557"/>
    <col min="14" max="14" width="10.42578125" style="557" customWidth="1"/>
    <col min="15" max="15" width="8.7109375" style="557"/>
    <col min="16" max="16" width="11.42578125" style="557" customWidth="1"/>
    <col min="17" max="17" width="7.28515625" style="557" customWidth="1"/>
    <col min="18" max="18" width="4.7109375" style="557" customWidth="1"/>
    <col min="19" max="19" width="26.28515625" style="557" customWidth="1"/>
    <col min="20" max="20" width="12.42578125" style="557" customWidth="1"/>
    <col min="21" max="25" width="8.7109375" style="557"/>
    <col min="26" max="26" width="17.7109375" style="557" customWidth="1"/>
    <col min="27" max="27" width="49.28515625" style="557" customWidth="1"/>
    <col min="28" max="16384" width="8.7109375" style="557"/>
  </cols>
  <sheetData>
    <row r="1" spans="2:34" ht="16.5" thickBot="1"/>
    <row r="2" spans="2:34" ht="25.15" customHeight="1">
      <c r="B2" s="1060" t="s">
        <v>30</v>
      </c>
      <c r="C2" s="1061"/>
      <c r="D2" s="1061"/>
      <c r="E2" s="1061"/>
      <c r="F2" s="1061"/>
      <c r="G2" s="1061"/>
      <c r="H2" s="1061"/>
      <c r="I2" s="1061"/>
      <c r="J2" s="1061"/>
      <c r="K2" s="1061"/>
      <c r="L2" s="1061"/>
      <c r="M2" s="1061"/>
      <c r="N2" s="1061"/>
      <c r="O2" s="1061"/>
      <c r="P2" s="1061"/>
      <c r="Q2" s="1061"/>
      <c r="R2" s="1061"/>
      <c r="S2" s="1061"/>
      <c r="T2" s="1061"/>
      <c r="U2" s="1061"/>
      <c r="V2" s="1061"/>
      <c r="W2" s="1061"/>
      <c r="X2" s="1061"/>
      <c r="Y2" s="1061"/>
      <c r="Z2" s="1061"/>
      <c r="AA2" s="1062"/>
    </row>
    <row r="3" spans="2:34" ht="15" customHeight="1" thickBot="1">
      <c r="B3" s="1063"/>
      <c r="C3" s="1064"/>
      <c r="D3" s="1064"/>
      <c r="E3" s="1064"/>
      <c r="F3" s="1064"/>
      <c r="G3" s="1064"/>
      <c r="H3" s="1064"/>
      <c r="I3" s="1064"/>
      <c r="J3" s="1064"/>
      <c r="K3" s="1064"/>
      <c r="L3" s="1064"/>
      <c r="M3" s="1064"/>
      <c r="N3" s="1064"/>
      <c r="O3" s="1064"/>
      <c r="P3" s="1064"/>
      <c r="Q3" s="1064"/>
      <c r="R3" s="1064"/>
      <c r="S3" s="1064"/>
      <c r="T3" s="1064"/>
      <c r="U3" s="1064"/>
      <c r="V3" s="1064"/>
      <c r="W3" s="1064"/>
      <c r="X3" s="1064"/>
      <c r="Y3" s="1064"/>
      <c r="Z3" s="1064"/>
      <c r="AA3" s="1065"/>
    </row>
    <row r="4" spans="2:34" ht="15.6" customHeight="1">
      <c r="B4" s="1051" t="s">
        <v>31</v>
      </c>
      <c r="C4" s="1052"/>
      <c r="D4" s="1052"/>
      <c r="E4" s="1052"/>
      <c r="F4" s="1052"/>
      <c r="G4" s="1052"/>
      <c r="H4" s="1052"/>
      <c r="I4" s="1052"/>
      <c r="J4" s="1052"/>
      <c r="K4" s="1052"/>
      <c r="L4" s="1052"/>
      <c r="M4" s="1052"/>
      <c r="N4" s="1052"/>
      <c r="O4" s="1052"/>
      <c r="P4" s="1052"/>
      <c r="Q4" s="1052"/>
      <c r="R4" s="1052"/>
      <c r="S4" s="1052"/>
      <c r="T4" s="1052"/>
      <c r="U4" s="1052"/>
      <c r="V4" s="1052"/>
      <c r="W4" s="1052"/>
      <c r="X4" s="1052"/>
      <c r="Y4" s="1052"/>
      <c r="Z4" s="1052"/>
      <c r="AA4" s="1053"/>
    </row>
    <row r="5" spans="2:34" ht="5.0999999999999996" customHeight="1" thickBot="1">
      <c r="B5" s="1054"/>
      <c r="C5" s="1055"/>
      <c r="D5" s="1055"/>
      <c r="E5" s="1055"/>
      <c r="F5" s="1055"/>
      <c r="G5" s="1055"/>
      <c r="H5" s="1055"/>
      <c r="I5" s="1055"/>
      <c r="J5" s="1055"/>
      <c r="K5" s="1055"/>
      <c r="L5" s="1055"/>
      <c r="M5" s="1055"/>
      <c r="N5" s="1055"/>
      <c r="O5" s="1055"/>
      <c r="P5" s="1055"/>
      <c r="Q5" s="1055"/>
      <c r="R5" s="1055"/>
      <c r="S5" s="1055"/>
      <c r="T5" s="1055"/>
      <c r="U5" s="1055"/>
      <c r="V5" s="1055"/>
      <c r="W5" s="1055"/>
      <c r="X5" s="1055"/>
      <c r="Y5" s="1055"/>
      <c r="Z5" s="1055"/>
      <c r="AA5" s="1056"/>
    </row>
    <row r="6" spans="2:34" ht="15.6" hidden="1" customHeight="1">
      <c r="B6" s="1054"/>
      <c r="C6" s="1055"/>
      <c r="D6" s="1055"/>
      <c r="E6" s="1055"/>
      <c r="F6" s="1055"/>
      <c r="G6" s="1055"/>
      <c r="H6" s="1055"/>
      <c r="I6" s="1055"/>
      <c r="J6" s="1055"/>
      <c r="K6" s="1055"/>
      <c r="L6" s="1055"/>
      <c r="M6" s="1055"/>
      <c r="N6" s="1055"/>
      <c r="O6" s="1055"/>
      <c r="P6" s="1055"/>
      <c r="Q6" s="1055"/>
      <c r="R6" s="1055"/>
      <c r="S6" s="1055"/>
      <c r="T6" s="1055"/>
      <c r="U6" s="1055"/>
      <c r="V6" s="1055"/>
      <c r="W6" s="1055"/>
      <c r="X6" s="1055"/>
      <c r="Y6" s="1055"/>
      <c r="Z6" s="1055"/>
      <c r="AA6" s="1056"/>
    </row>
    <row r="7" spans="2:34" ht="14.1" hidden="1" customHeight="1">
      <c r="B7" s="1054"/>
      <c r="C7" s="1055"/>
      <c r="D7" s="1055"/>
      <c r="E7" s="1055"/>
      <c r="F7" s="1055"/>
      <c r="G7" s="1055"/>
      <c r="H7" s="1055"/>
      <c r="I7" s="1055"/>
      <c r="J7" s="1055"/>
      <c r="K7" s="1055"/>
      <c r="L7" s="1055"/>
      <c r="M7" s="1055"/>
      <c r="N7" s="1055"/>
      <c r="O7" s="1055"/>
      <c r="P7" s="1055"/>
      <c r="Q7" s="1055"/>
      <c r="R7" s="1055"/>
      <c r="S7" s="1055"/>
      <c r="T7" s="1055"/>
      <c r="U7" s="1055"/>
      <c r="V7" s="1055"/>
      <c r="W7" s="1055"/>
      <c r="X7" s="1055"/>
      <c r="Y7" s="1055"/>
      <c r="Z7" s="1055"/>
      <c r="AA7" s="1056"/>
    </row>
    <row r="8" spans="2:34" ht="23.1" hidden="1" customHeight="1" thickBot="1">
      <c r="B8" s="1057"/>
      <c r="C8" s="1058"/>
      <c r="D8" s="1058"/>
      <c r="E8" s="1058"/>
      <c r="F8" s="1058"/>
      <c r="G8" s="1058"/>
      <c r="H8" s="1058"/>
      <c r="I8" s="1058"/>
      <c r="J8" s="1058"/>
      <c r="K8" s="1058"/>
      <c r="L8" s="1058"/>
      <c r="M8" s="1058"/>
      <c r="N8" s="1058"/>
      <c r="O8" s="1058"/>
      <c r="P8" s="1058"/>
      <c r="Q8" s="1058"/>
      <c r="R8" s="1058"/>
      <c r="S8" s="1058"/>
      <c r="T8" s="1058"/>
      <c r="U8" s="1058"/>
      <c r="V8" s="1058"/>
      <c r="W8" s="1058"/>
      <c r="X8" s="1058"/>
      <c r="Y8" s="1058"/>
      <c r="Z8" s="1058"/>
      <c r="AA8" s="1059"/>
    </row>
    <row r="9" spans="2:34" s="591" customFormat="1" ht="40.15" customHeight="1" thickBot="1">
      <c r="B9" s="1038" t="s">
        <v>32</v>
      </c>
      <c r="C9" s="1039"/>
      <c r="D9" s="1066"/>
      <c r="E9" s="1038" t="s">
        <v>33</v>
      </c>
      <c r="F9" s="1039"/>
      <c r="G9" s="1039"/>
      <c r="H9" s="1039"/>
      <c r="I9" s="1039"/>
      <c r="J9" s="1066"/>
      <c r="K9" s="1038" t="s">
        <v>34</v>
      </c>
      <c r="L9" s="1066"/>
      <c r="M9" s="1038" t="s">
        <v>35</v>
      </c>
      <c r="N9" s="1066"/>
      <c r="O9" s="1040" t="s">
        <v>36</v>
      </c>
      <c r="P9" s="1041"/>
      <c r="Q9" s="1041"/>
      <c r="R9" s="1042"/>
      <c r="S9" s="1040" t="s">
        <v>37</v>
      </c>
      <c r="T9" s="1042"/>
      <c r="U9" s="1038" t="s">
        <v>38</v>
      </c>
      <c r="V9" s="1039"/>
      <c r="W9" s="1039"/>
      <c r="X9" s="1039"/>
      <c r="Y9" s="1039"/>
      <c r="Z9" s="1032" t="s">
        <v>1676</v>
      </c>
      <c r="AA9" s="1033"/>
    </row>
    <row r="10" spans="2:34" s="676" customFormat="1" ht="44.65" customHeight="1">
      <c r="B10" s="1073" t="s">
        <v>45</v>
      </c>
      <c r="C10" s="1074"/>
      <c r="D10" s="1075"/>
      <c r="E10" s="1036" t="s">
        <v>1685</v>
      </c>
      <c r="F10" s="1067"/>
      <c r="G10" s="1067"/>
      <c r="H10" s="1067"/>
      <c r="I10" s="1067"/>
      <c r="J10" s="1037"/>
      <c r="K10" s="1071"/>
      <c r="L10" s="1072"/>
      <c r="M10" s="1071"/>
      <c r="N10" s="1072"/>
      <c r="O10" s="1036" t="s">
        <v>300</v>
      </c>
      <c r="P10" s="1067"/>
      <c r="Q10" s="1067"/>
      <c r="R10" s="1037"/>
      <c r="S10" s="1036" t="s">
        <v>54</v>
      </c>
      <c r="T10" s="1037"/>
      <c r="U10" s="1036" t="s">
        <v>1686</v>
      </c>
      <c r="V10" s="1067"/>
      <c r="W10" s="1067"/>
      <c r="X10" s="1067"/>
      <c r="Y10" s="1067"/>
      <c r="Z10" s="675" t="s">
        <v>54</v>
      </c>
      <c r="AA10" s="674" t="str">
        <f>IF(AND($O10="Lost", $Z10&lt;&gt;"Yes"), "Irreplaceable habitat lost, bespoke compensation must be agreed with concenting body ▲", "")</f>
        <v/>
      </c>
      <c r="AB10" s="1091" t="str">
        <f>IF(S10="Yes","Please provide a reference to the row number within the baseline where this habitat is mentioned ⚠", "")</f>
        <v/>
      </c>
      <c r="AC10" s="1091"/>
      <c r="AD10" s="1091"/>
      <c r="AE10" s="1091"/>
      <c r="AF10" s="1091"/>
      <c r="AG10" s="1091"/>
      <c r="AH10" s="1091"/>
    </row>
    <row r="11" spans="2:34" s="593" customFormat="1" ht="44.65" customHeight="1">
      <c r="B11" s="989"/>
      <c r="C11" s="990"/>
      <c r="D11" s="991"/>
      <c r="E11" s="1025"/>
      <c r="F11" s="1026"/>
      <c r="G11" s="1026"/>
      <c r="H11" s="1026"/>
      <c r="I11" s="1026"/>
      <c r="J11" s="1027"/>
      <c r="K11" s="1028"/>
      <c r="L11" s="1029"/>
      <c r="M11" s="1028"/>
      <c r="N11" s="1029"/>
      <c r="O11" s="1048"/>
      <c r="P11" s="1049"/>
      <c r="Q11" s="1049"/>
      <c r="R11" s="1050"/>
      <c r="S11" s="1036"/>
      <c r="T11" s="1037"/>
      <c r="U11" s="1088"/>
      <c r="V11" s="1089"/>
      <c r="W11" s="1089"/>
      <c r="X11" s="1089"/>
      <c r="Y11" s="1089"/>
      <c r="Z11" s="677"/>
      <c r="AA11" s="674" t="str">
        <f t="shared" ref="AA11:AA31" si="0">IF(AND($O11="Lost", $Z11&lt;&gt;"Yes"), "Irreplaceable habitat lost, bespoke compensation must be agreed with concenting body ▲", "")</f>
        <v/>
      </c>
      <c r="AB11" s="1091" t="str">
        <f t="shared" ref="AB11:AB31" si="1">IF(S11="Yes","Please provide a reference to the row number within the baseline where this habitat is mentioned ⚠", "")</f>
        <v/>
      </c>
      <c r="AC11" s="1091"/>
      <c r="AD11" s="1091"/>
      <c r="AE11" s="1091"/>
      <c r="AF11" s="1091"/>
      <c r="AG11" s="1091"/>
      <c r="AH11" s="1091"/>
    </row>
    <row r="12" spans="2:34" s="593" customFormat="1" ht="44.65" customHeight="1">
      <c r="B12" s="989"/>
      <c r="C12" s="990"/>
      <c r="D12" s="991"/>
      <c r="E12" s="1025"/>
      <c r="F12" s="1026"/>
      <c r="G12" s="1026"/>
      <c r="H12" s="1026"/>
      <c r="I12" s="1026"/>
      <c r="J12" s="1027"/>
      <c r="K12" s="1028"/>
      <c r="L12" s="1029"/>
      <c r="M12" s="1028"/>
      <c r="N12" s="1029"/>
      <c r="O12" s="1048"/>
      <c r="P12" s="1049"/>
      <c r="Q12" s="1049"/>
      <c r="R12" s="1050"/>
      <c r="S12" s="1036"/>
      <c r="T12" s="1037"/>
      <c r="U12" s="1025"/>
      <c r="V12" s="1026"/>
      <c r="W12" s="1026"/>
      <c r="X12" s="1026"/>
      <c r="Y12" s="1026"/>
      <c r="Z12" s="677"/>
      <c r="AA12" s="674" t="str">
        <f t="shared" si="0"/>
        <v/>
      </c>
      <c r="AB12" s="1090" t="str">
        <f t="shared" si="1"/>
        <v/>
      </c>
      <c r="AC12" s="1090"/>
      <c r="AD12" s="1090"/>
      <c r="AE12" s="1090"/>
      <c r="AF12" s="1090"/>
      <c r="AG12" s="1090"/>
      <c r="AH12" s="1090"/>
    </row>
    <row r="13" spans="2:34" s="593" customFormat="1" ht="44.65" customHeight="1">
      <c r="B13" s="989"/>
      <c r="C13" s="990"/>
      <c r="D13" s="991"/>
      <c r="E13" s="1025"/>
      <c r="F13" s="1026"/>
      <c r="G13" s="1026"/>
      <c r="H13" s="1026"/>
      <c r="I13" s="1026"/>
      <c r="J13" s="1027"/>
      <c r="K13" s="1028"/>
      <c r="L13" s="1029"/>
      <c r="M13" s="1028"/>
      <c r="N13" s="1029"/>
      <c r="O13" s="1048"/>
      <c r="P13" s="1049"/>
      <c r="Q13" s="1049"/>
      <c r="R13" s="1050"/>
      <c r="S13" s="1036"/>
      <c r="T13" s="1037"/>
      <c r="U13" s="1025"/>
      <c r="V13" s="1026"/>
      <c r="W13" s="1026"/>
      <c r="X13" s="1026"/>
      <c r="Y13" s="1026"/>
      <c r="Z13" s="677"/>
      <c r="AA13" s="674" t="str">
        <f t="shared" si="0"/>
        <v/>
      </c>
      <c r="AB13" s="1090" t="str">
        <f t="shared" si="1"/>
        <v/>
      </c>
      <c r="AC13" s="1090"/>
      <c r="AD13" s="1090"/>
      <c r="AE13" s="1090"/>
      <c r="AF13" s="1090"/>
      <c r="AG13" s="1090"/>
      <c r="AH13" s="1090"/>
    </row>
    <row r="14" spans="2:34" s="593" customFormat="1" ht="44.65" customHeight="1">
      <c r="B14" s="989"/>
      <c r="C14" s="990"/>
      <c r="D14" s="991"/>
      <c r="E14" s="1025"/>
      <c r="F14" s="1026"/>
      <c r="G14" s="1026"/>
      <c r="H14" s="1026"/>
      <c r="I14" s="1026"/>
      <c r="J14" s="1027"/>
      <c r="K14" s="1028"/>
      <c r="L14" s="1029"/>
      <c r="M14" s="1028"/>
      <c r="N14" s="1029"/>
      <c r="O14" s="1048"/>
      <c r="P14" s="1049"/>
      <c r="Q14" s="1049"/>
      <c r="R14" s="1050"/>
      <c r="S14" s="1036"/>
      <c r="T14" s="1037"/>
      <c r="U14" s="1025"/>
      <c r="V14" s="1026"/>
      <c r="W14" s="1026"/>
      <c r="X14" s="1026"/>
      <c r="Y14" s="1026"/>
      <c r="Z14" s="677"/>
      <c r="AA14" s="674" t="str">
        <f t="shared" si="0"/>
        <v/>
      </c>
      <c r="AB14" s="1090" t="str">
        <f t="shared" si="1"/>
        <v/>
      </c>
      <c r="AC14" s="1090"/>
      <c r="AD14" s="1090"/>
      <c r="AE14" s="1090"/>
      <c r="AF14" s="1090"/>
      <c r="AG14" s="1090"/>
      <c r="AH14" s="1090"/>
    </row>
    <row r="15" spans="2:34" s="593" customFormat="1" ht="44.65" customHeight="1">
      <c r="B15" s="989"/>
      <c r="C15" s="990"/>
      <c r="D15" s="991"/>
      <c r="E15" s="1025"/>
      <c r="F15" s="1026"/>
      <c r="G15" s="1026"/>
      <c r="H15" s="1026"/>
      <c r="I15" s="1026"/>
      <c r="J15" s="1027"/>
      <c r="K15" s="1028"/>
      <c r="L15" s="1029"/>
      <c r="M15" s="1028"/>
      <c r="N15" s="1029"/>
      <c r="O15" s="1048"/>
      <c r="P15" s="1049"/>
      <c r="Q15" s="1049"/>
      <c r="R15" s="1050"/>
      <c r="S15" s="1036"/>
      <c r="T15" s="1037"/>
      <c r="U15" s="1025"/>
      <c r="V15" s="1026"/>
      <c r="W15" s="1026"/>
      <c r="X15" s="1026"/>
      <c r="Y15" s="1026"/>
      <c r="Z15" s="677"/>
      <c r="AA15" s="674" t="str">
        <f t="shared" si="0"/>
        <v/>
      </c>
      <c r="AB15" s="1090" t="str">
        <f t="shared" si="1"/>
        <v/>
      </c>
      <c r="AC15" s="1090"/>
      <c r="AD15" s="1090"/>
      <c r="AE15" s="1090"/>
      <c r="AF15" s="1090"/>
      <c r="AG15" s="1090"/>
      <c r="AH15" s="1090"/>
    </row>
    <row r="16" spans="2:34" s="593" customFormat="1" ht="44.65" customHeight="1">
      <c r="B16" s="989"/>
      <c r="C16" s="990"/>
      <c r="D16" s="991"/>
      <c r="E16" s="1025"/>
      <c r="F16" s="1026"/>
      <c r="G16" s="1026"/>
      <c r="H16" s="1026"/>
      <c r="I16" s="1026"/>
      <c r="J16" s="1027"/>
      <c r="K16" s="1028"/>
      <c r="L16" s="1029"/>
      <c r="M16" s="1028"/>
      <c r="N16" s="1029"/>
      <c r="O16" s="1048"/>
      <c r="P16" s="1049"/>
      <c r="Q16" s="1049"/>
      <c r="R16" s="1050"/>
      <c r="S16" s="1036"/>
      <c r="T16" s="1037"/>
      <c r="U16" s="1025"/>
      <c r="V16" s="1026"/>
      <c r="W16" s="1026"/>
      <c r="X16" s="1026"/>
      <c r="Y16" s="1026"/>
      <c r="Z16" s="677"/>
      <c r="AA16" s="674" t="str">
        <f t="shared" si="0"/>
        <v/>
      </c>
      <c r="AB16" s="1090" t="str">
        <f t="shared" si="1"/>
        <v/>
      </c>
      <c r="AC16" s="1090"/>
      <c r="AD16" s="1090"/>
      <c r="AE16" s="1090"/>
      <c r="AF16" s="1090"/>
      <c r="AG16" s="1090"/>
      <c r="AH16" s="1090"/>
    </row>
    <row r="17" spans="2:34" s="593" customFormat="1" ht="44.65" customHeight="1">
      <c r="B17" s="989"/>
      <c r="C17" s="990"/>
      <c r="D17" s="991"/>
      <c r="E17" s="1025"/>
      <c r="F17" s="1026"/>
      <c r="G17" s="1026"/>
      <c r="H17" s="1026"/>
      <c r="I17" s="1026"/>
      <c r="J17" s="1027"/>
      <c r="K17" s="1028"/>
      <c r="L17" s="1029"/>
      <c r="M17" s="1028"/>
      <c r="N17" s="1029"/>
      <c r="O17" s="1048"/>
      <c r="P17" s="1049"/>
      <c r="Q17" s="1049"/>
      <c r="R17" s="1050"/>
      <c r="S17" s="1036"/>
      <c r="T17" s="1037"/>
      <c r="U17" s="1025"/>
      <c r="V17" s="1026"/>
      <c r="W17" s="1026"/>
      <c r="X17" s="1026"/>
      <c r="Y17" s="1026"/>
      <c r="Z17" s="677"/>
      <c r="AA17" s="674" t="str">
        <f t="shared" si="0"/>
        <v/>
      </c>
      <c r="AB17" s="1090" t="str">
        <f t="shared" si="1"/>
        <v/>
      </c>
      <c r="AC17" s="1090"/>
      <c r="AD17" s="1090"/>
      <c r="AE17" s="1090"/>
      <c r="AF17" s="1090"/>
      <c r="AG17" s="1090"/>
      <c r="AH17" s="1090"/>
    </row>
    <row r="18" spans="2:34" s="593" customFormat="1" ht="44.65" customHeight="1">
      <c r="B18" s="989"/>
      <c r="C18" s="990"/>
      <c r="D18" s="991"/>
      <c r="E18" s="1025"/>
      <c r="F18" s="1026"/>
      <c r="G18" s="1026"/>
      <c r="H18" s="1026"/>
      <c r="I18" s="1026"/>
      <c r="J18" s="1027"/>
      <c r="K18" s="1028"/>
      <c r="L18" s="1029"/>
      <c r="M18" s="1028"/>
      <c r="N18" s="1029"/>
      <c r="O18" s="1048"/>
      <c r="P18" s="1049"/>
      <c r="Q18" s="1049"/>
      <c r="R18" s="1050"/>
      <c r="S18" s="1036"/>
      <c r="T18" s="1037"/>
      <c r="U18" s="1025"/>
      <c r="V18" s="1026"/>
      <c r="W18" s="1026"/>
      <c r="X18" s="1026"/>
      <c r="Y18" s="1026"/>
      <c r="Z18" s="677"/>
      <c r="AA18" s="674" t="str">
        <f t="shared" si="0"/>
        <v/>
      </c>
      <c r="AB18" s="1090" t="str">
        <f t="shared" si="1"/>
        <v/>
      </c>
      <c r="AC18" s="1090"/>
      <c r="AD18" s="1090"/>
      <c r="AE18" s="1090"/>
      <c r="AF18" s="1090"/>
      <c r="AG18" s="1090"/>
      <c r="AH18" s="1090"/>
    </row>
    <row r="19" spans="2:34" s="593" customFormat="1" ht="44.65" customHeight="1">
      <c r="B19" s="989"/>
      <c r="C19" s="990"/>
      <c r="D19" s="991"/>
      <c r="E19" s="1025"/>
      <c r="F19" s="1026"/>
      <c r="G19" s="1026"/>
      <c r="H19" s="1026"/>
      <c r="I19" s="1026"/>
      <c r="J19" s="1027"/>
      <c r="K19" s="1028"/>
      <c r="L19" s="1029"/>
      <c r="M19" s="1028"/>
      <c r="N19" s="1029"/>
      <c r="O19" s="1048"/>
      <c r="P19" s="1049"/>
      <c r="Q19" s="1049"/>
      <c r="R19" s="1050"/>
      <c r="S19" s="1036"/>
      <c r="T19" s="1037"/>
      <c r="U19" s="1025"/>
      <c r="V19" s="1026"/>
      <c r="W19" s="1026"/>
      <c r="X19" s="1026"/>
      <c r="Y19" s="1026"/>
      <c r="Z19" s="677"/>
      <c r="AA19" s="674" t="str">
        <f t="shared" si="0"/>
        <v/>
      </c>
      <c r="AB19" s="1090" t="str">
        <f t="shared" si="1"/>
        <v/>
      </c>
      <c r="AC19" s="1090"/>
      <c r="AD19" s="1090"/>
      <c r="AE19" s="1090"/>
      <c r="AF19" s="1090"/>
      <c r="AG19" s="1090"/>
      <c r="AH19" s="1090"/>
    </row>
    <row r="20" spans="2:34" s="593" customFormat="1" ht="44.65" customHeight="1">
      <c r="B20" s="989"/>
      <c r="C20" s="990"/>
      <c r="D20" s="991"/>
      <c r="E20" s="1025"/>
      <c r="F20" s="1026"/>
      <c r="G20" s="1026"/>
      <c r="H20" s="1026"/>
      <c r="I20" s="1026"/>
      <c r="J20" s="1027"/>
      <c r="K20" s="1028"/>
      <c r="L20" s="1029"/>
      <c r="M20" s="1028"/>
      <c r="N20" s="1029"/>
      <c r="O20" s="1048"/>
      <c r="P20" s="1049"/>
      <c r="Q20" s="1049"/>
      <c r="R20" s="1050"/>
      <c r="S20" s="1036"/>
      <c r="T20" s="1037"/>
      <c r="U20" s="1025"/>
      <c r="V20" s="1026"/>
      <c r="W20" s="1026"/>
      <c r="X20" s="1026"/>
      <c r="Y20" s="1026"/>
      <c r="Z20" s="677"/>
      <c r="AA20" s="674" t="str">
        <f t="shared" si="0"/>
        <v/>
      </c>
      <c r="AB20" s="1090" t="str">
        <f t="shared" si="1"/>
        <v/>
      </c>
      <c r="AC20" s="1090"/>
      <c r="AD20" s="1090"/>
      <c r="AE20" s="1090"/>
      <c r="AF20" s="1090"/>
      <c r="AG20" s="1090"/>
      <c r="AH20" s="1090"/>
    </row>
    <row r="21" spans="2:34" s="593" customFormat="1" ht="44.65" customHeight="1">
      <c r="B21" s="989"/>
      <c r="C21" s="990"/>
      <c r="D21" s="991"/>
      <c r="E21" s="1025"/>
      <c r="F21" s="1026"/>
      <c r="G21" s="1026"/>
      <c r="H21" s="1026"/>
      <c r="I21" s="1026"/>
      <c r="J21" s="1027"/>
      <c r="K21" s="1028"/>
      <c r="L21" s="1029"/>
      <c r="M21" s="1028"/>
      <c r="N21" s="1029"/>
      <c r="O21" s="1048"/>
      <c r="P21" s="1049"/>
      <c r="Q21" s="1049"/>
      <c r="R21" s="1050"/>
      <c r="S21" s="1036"/>
      <c r="T21" s="1037"/>
      <c r="U21" s="1025"/>
      <c r="V21" s="1026"/>
      <c r="W21" s="1026"/>
      <c r="X21" s="1026"/>
      <c r="Y21" s="1026"/>
      <c r="Z21" s="677"/>
      <c r="AA21" s="674" t="str">
        <f t="shared" si="0"/>
        <v/>
      </c>
      <c r="AB21" s="1090" t="str">
        <f t="shared" si="1"/>
        <v/>
      </c>
      <c r="AC21" s="1090"/>
      <c r="AD21" s="1090"/>
      <c r="AE21" s="1090"/>
      <c r="AF21" s="1090"/>
      <c r="AG21" s="1090"/>
      <c r="AH21" s="1090"/>
    </row>
    <row r="22" spans="2:34" s="593" customFormat="1" ht="44.65" customHeight="1">
      <c r="B22" s="989"/>
      <c r="C22" s="990"/>
      <c r="D22" s="991"/>
      <c r="E22" s="1025"/>
      <c r="F22" s="1026"/>
      <c r="G22" s="1026"/>
      <c r="H22" s="1026"/>
      <c r="I22" s="1026"/>
      <c r="J22" s="1027"/>
      <c r="K22" s="1028"/>
      <c r="L22" s="1029"/>
      <c r="M22" s="1028"/>
      <c r="N22" s="1029"/>
      <c r="O22" s="1048"/>
      <c r="P22" s="1049"/>
      <c r="Q22" s="1049"/>
      <c r="R22" s="1050"/>
      <c r="S22" s="1036"/>
      <c r="T22" s="1037"/>
      <c r="U22" s="1025"/>
      <c r="V22" s="1026"/>
      <c r="W22" s="1026"/>
      <c r="X22" s="1026"/>
      <c r="Y22" s="1026"/>
      <c r="Z22" s="677"/>
      <c r="AA22" s="674" t="str">
        <f t="shared" si="0"/>
        <v/>
      </c>
      <c r="AB22" s="1090" t="str">
        <f t="shared" si="1"/>
        <v/>
      </c>
      <c r="AC22" s="1090"/>
      <c r="AD22" s="1090"/>
      <c r="AE22" s="1090"/>
      <c r="AF22" s="1090"/>
      <c r="AG22" s="1090"/>
      <c r="AH22" s="1090"/>
    </row>
    <row r="23" spans="2:34" s="593" customFormat="1" ht="44.65" customHeight="1">
      <c r="B23" s="989"/>
      <c r="C23" s="990"/>
      <c r="D23" s="991"/>
      <c r="E23" s="1025"/>
      <c r="F23" s="1026"/>
      <c r="G23" s="1026"/>
      <c r="H23" s="1026"/>
      <c r="I23" s="1026"/>
      <c r="J23" s="1027"/>
      <c r="K23" s="1028"/>
      <c r="L23" s="1029"/>
      <c r="M23" s="1028"/>
      <c r="N23" s="1029"/>
      <c r="O23" s="1048"/>
      <c r="P23" s="1049"/>
      <c r="Q23" s="1049"/>
      <c r="R23" s="1050"/>
      <c r="S23" s="1036"/>
      <c r="T23" s="1037"/>
      <c r="U23" s="1025"/>
      <c r="V23" s="1026"/>
      <c r="W23" s="1026"/>
      <c r="X23" s="1026"/>
      <c r="Y23" s="1026"/>
      <c r="Z23" s="677"/>
      <c r="AA23" s="674" t="str">
        <f t="shared" si="0"/>
        <v/>
      </c>
      <c r="AB23" s="1090" t="str">
        <f t="shared" si="1"/>
        <v/>
      </c>
      <c r="AC23" s="1090"/>
      <c r="AD23" s="1090"/>
      <c r="AE23" s="1090"/>
      <c r="AF23" s="1090"/>
      <c r="AG23" s="1090"/>
      <c r="AH23" s="1090"/>
    </row>
    <row r="24" spans="2:34" s="593" customFormat="1" ht="44.65" customHeight="1">
      <c r="B24" s="989"/>
      <c r="C24" s="990"/>
      <c r="D24" s="991"/>
      <c r="E24" s="1025"/>
      <c r="F24" s="1026"/>
      <c r="G24" s="1026"/>
      <c r="H24" s="1026"/>
      <c r="I24" s="1026"/>
      <c r="J24" s="1027"/>
      <c r="K24" s="1028"/>
      <c r="L24" s="1029"/>
      <c r="M24" s="1028"/>
      <c r="N24" s="1029"/>
      <c r="O24" s="1048"/>
      <c r="P24" s="1049"/>
      <c r="Q24" s="1049"/>
      <c r="R24" s="1050"/>
      <c r="S24" s="1036"/>
      <c r="T24" s="1037"/>
      <c r="U24" s="1025"/>
      <c r="V24" s="1026"/>
      <c r="W24" s="1026"/>
      <c r="X24" s="1026"/>
      <c r="Y24" s="1026"/>
      <c r="Z24" s="677"/>
      <c r="AA24" s="674" t="str">
        <f t="shared" si="0"/>
        <v/>
      </c>
      <c r="AB24" s="1090" t="str">
        <f t="shared" si="1"/>
        <v/>
      </c>
      <c r="AC24" s="1090"/>
      <c r="AD24" s="1090"/>
      <c r="AE24" s="1090"/>
      <c r="AF24" s="1090"/>
      <c r="AG24" s="1090"/>
      <c r="AH24" s="1090"/>
    </row>
    <row r="25" spans="2:34" s="593" customFormat="1" ht="44.65" customHeight="1">
      <c r="B25" s="989"/>
      <c r="C25" s="990"/>
      <c r="D25" s="991"/>
      <c r="E25" s="1025"/>
      <c r="F25" s="1026"/>
      <c r="G25" s="1026"/>
      <c r="H25" s="1026"/>
      <c r="I25" s="1026"/>
      <c r="J25" s="1027"/>
      <c r="K25" s="1084"/>
      <c r="L25" s="1085"/>
      <c r="M25" s="1028"/>
      <c r="N25" s="1029"/>
      <c r="O25" s="1048"/>
      <c r="P25" s="1049"/>
      <c r="Q25" s="1049"/>
      <c r="R25" s="1050"/>
      <c r="S25" s="1036"/>
      <c r="T25" s="1037"/>
      <c r="U25" s="1025"/>
      <c r="V25" s="1026"/>
      <c r="W25" s="1026"/>
      <c r="X25" s="1026"/>
      <c r="Y25" s="1026"/>
      <c r="Z25" s="677"/>
      <c r="AA25" s="674" t="str">
        <f t="shared" si="0"/>
        <v/>
      </c>
      <c r="AB25" s="1090" t="str">
        <f t="shared" si="1"/>
        <v/>
      </c>
      <c r="AC25" s="1090"/>
      <c r="AD25" s="1090"/>
      <c r="AE25" s="1090"/>
      <c r="AF25" s="1090"/>
      <c r="AG25" s="1090"/>
      <c r="AH25" s="1090"/>
    </row>
    <row r="26" spans="2:34" s="593" customFormat="1" ht="44.65" customHeight="1">
      <c r="B26" s="989"/>
      <c r="C26" s="990"/>
      <c r="D26" s="991"/>
      <c r="E26" s="1025"/>
      <c r="F26" s="1026"/>
      <c r="G26" s="1026"/>
      <c r="H26" s="1026"/>
      <c r="I26" s="1026"/>
      <c r="J26" s="1027"/>
      <c r="K26" s="1028"/>
      <c r="L26" s="1029"/>
      <c r="M26" s="1028"/>
      <c r="N26" s="1029"/>
      <c r="O26" s="1048"/>
      <c r="P26" s="1049"/>
      <c r="Q26" s="1049"/>
      <c r="R26" s="1050"/>
      <c r="S26" s="1036"/>
      <c r="T26" s="1037"/>
      <c r="U26" s="1025"/>
      <c r="V26" s="1026"/>
      <c r="W26" s="1026"/>
      <c r="X26" s="1026"/>
      <c r="Y26" s="1026"/>
      <c r="Z26" s="677"/>
      <c r="AA26" s="674" t="str">
        <f t="shared" si="0"/>
        <v/>
      </c>
      <c r="AB26" s="1090" t="str">
        <f t="shared" si="1"/>
        <v/>
      </c>
      <c r="AC26" s="1090"/>
      <c r="AD26" s="1090"/>
      <c r="AE26" s="1090"/>
      <c r="AF26" s="1090"/>
      <c r="AG26" s="1090"/>
      <c r="AH26" s="1090"/>
    </row>
    <row r="27" spans="2:34" s="593" customFormat="1" ht="44.65" customHeight="1">
      <c r="B27" s="989"/>
      <c r="C27" s="990"/>
      <c r="D27" s="991"/>
      <c r="E27" s="1025"/>
      <c r="F27" s="1026"/>
      <c r="G27" s="1026"/>
      <c r="H27" s="1026"/>
      <c r="I27" s="1026"/>
      <c r="J27" s="1027"/>
      <c r="K27" s="1028"/>
      <c r="L27" s="1029"/>
      <c r="M27" s="1028"/>
      <c r="N27" s="1029"/>
      <c r="O27" s="1048"/>
      <c r="P27" s="1049"/>
      <c r="Q27" s="1049"/>
      <c r="R27" s="1050"/>
      <c r="S27" s="1036"/>
      <c r="T27" s="1037"/>
      <c r="U27" s="1025"/>
      <c r="V27" s="1026"/>
      <c r="W27" s="1026"/>
      <c r="X27" s="1026"/>
      <c r="Y27" s="1026"/>
      <c r="Z27" s="677"/>
      <c r="AA27" s="674" t="str">
        <f t="shared" si="0"/>
        <v/>
      </c>
      <c r="AB27" s="1090" t="str">
        <f t="shared" si="1"/>
        <v/>
      </c>
      <c r="AC27" s="1090"/>
      <c r="AD27" s="1090"/>
      <c r="AE27" s="1090"/>
      <c r="AF27" s="1090"/>
      <c r="AG27" s="1090"/>
      <c r="AH27" s="1090"/>
    </row>
    <row r="28" spans="2:34" s="593" customFormat="1" ht="44.65" customHeight="1">
      <c r="B28" s="989"/>
      <c r="C28" s="990"/>
      <c r="D28" s="991"/>
      <c r="E28" s="1025"/>
      <c r="F28" s="1026"/>
      <c r="G28" s="1026"/>
      <c r="H28" s="1026"/>
      <c r="I28" s="1026"/>
      <c r="J28" s="1027"/>
      <c r="K28" s="1028"/>
      <c r="L28" s="1029"/>
      <c r="M28" s="1028"/>
      <c r="N28" s="1029"/>
      <c r="O28" s="1048"/>
      <c r="P28" s="1049"/>
      <c r="Q28" s="1049"/>
      <c r="R28" s="1050"/>
      <c r="S28" s="1036"/>
      <c r="T28" s="1037"/>
      <c r="U28" s="1025"/>
      <c r="V28" s="1026"/>
      <c r="W28" s="1026"/>
      <c r="X28" s="1026"/>
      <c r="Y28" s="1026"/>
      <c r="Z28" s="677"/>
      <c r="AA28" s="674" t="str">
        <f t="shared" si="0"/>
        <v/>
      </c>
      <c r="AB28" s="1090" t="str">
        <f t="shared" si="1"/>
        <v/>
      </c>
      <c r="AC28" s="1090"/>
      <c r="AD28" s="1090"/>
      <c r="AE28" s="1090"/>
      <c r="AF28" s="1090"/>
      <c r="AG28" s="1090"/>
      <c r="AH28" s="1090"/>
    </row>
    <row r="29" spans="2:34" s="593" customFormat="1" ht="44.65" customHeight="1">
      <c r="B29" s="989"/>
      <c r="C29" s="990"/>
      <c r="D29" s="991"/>
      <c r="E29" s="1025"/>
      <c r="F29" s="1026"/>
      <c r="G29" s="1026"/>
      <c r="H29" s="1026"/>
      <c r="I29" s="1026"/>
      <c r="J29" s="1027"/>
      <c r="K29" s="1028"/>
      <c r="L29" s="1029"/>
      <c r="M29" s="1028"/>
      <c r="N29" s="1029"/>
      <c r="O29" s="1048"/>
      <c r="P29" s="1049"/>
      <c r="Q29" s="1049"/>
      <c r="R29" s="1050"/>
      <c r="S29" s="1036"/>
      <c r="T29" s="1037"/>
      <c r="U29" s="1025"/>
      <c r="V29" s="1026"/>
      <c r="W29" s="1026"/>
      <c r="X29" s="1026"/>
      <c r="Y29" s="1026"/>
      <c r="Z29" s="677"/>
      <c r="AA29" s="674" t="str">
        <f t="shared" si="0"/>
        <v/>
      </c>
      <c r="AB29" s="1090" t="str">
        <f t="shared" si="1"/>
        <v/>
      </c>
      <c r="AC29" s="1090"/>
      <c r="AD29" s="1090"/>
      <c r="AE29" s="1090"/>
      <c r="AF29" s="1090"/>
      <c r="AG29" s="1090"/>
      <c r="AH29" s="1090"/>
    </row>
    <row r="30" spans="2:34" s="593" customFormat="1" ht="44.65" customHeight="1">
      <c r="B30" s="989"/>
      <c r="C30" s="990"/>
      <c r="D30" s="991"/>
      <c r="E30" s="1025"/>
      <c r="F30" s="1026"/>
      <c r="G30" s="1026"/>
      <c r="H30" s="1026"/>
      <c r="I30" s="1026"/>
      <c r="J30" s="1027"/>
      <c r="K30" s="1028"/>
      <c r="L30" s="1029"/>
      <c r="M30" s="1028"/>
      <c r="N30" s="1029"/>
      <c r="O30" s="1048"/>
      <c r="P30" s="1049"/>
      <c r="Q30" s="1049"/>
      <c r="R30" s="1050"/>
      <c r="S30" s="1036"/>
      <c r="T30" s="1037"/>
      <c r="U30" s="1025"/>
      <c r="V30" s="1026"/>
      <c r="W30" s="1026"/>
      <c r="X30" s="1026"/>
      <c r="Y30" s="1026"/>
      <c r="Z30" s="677"/>
      <c r="AA30" s="674" t="str">
        <f t="shared" si="0"/>
        <v/>
      </c>
      <c r="AB30" s="1090" t="str">
        <f t="shared" si="1"/>
        <v/>
      </c>
      <c r="AC30" s="1090"/>
      <c r="AD30" s="1090"/>
      <c r="AE30" s="1090"/>
      <c r="AF30" s="1090"/>
      <c r="AG30" s="1090"/>
      <c r="AH30" s="1090"/>
    </row>
    <row r="31" spans="2:34" s="593" customFormat="1" ht="44.65" customHeight="1" thickBot="1">
      <c r="B31" s="1076"/>
      <c r="C31" s="1077"/>
      <c r="D31" s="1078"/>
      <c r="E31" s="1034"/>
      <c r="F31" s="1035"/>
      <c r="G31" s="1035"/>
      <c r="H31" s="1035"/>
      <c r="I31" s="1035"/>
      <c r="J31" s="1083"/>
      <c r="K31" s="1043"/>
      <c r="L31" s="1044"/>
      <c r="M31" s="1043"/>
      <c r="N31" s="1044"/>
      <c r="O31" s="1080"/>
      <c r="P31" s="1081"/>
      <c r="Q31" s="1081"/>
      <c r="R31" s="1082"/>
      <c r="S31" s="1036"/>
      <c r="T31" s="1037"/>
      <c r="U31" s="1034"/>
      <c r="V31" s="1035"/>
      <c r="W31" s="1035"/>
      <c r="X31" s="1035"/>
      <c r="Y31" s="1035"/>
      <c r="Z31" s="678"/>
      <c r="AA31" s="674" t="str">
        <f t="shared" si="0"/>
        <v/>
      </c>
      <c r="AB31" s="1090" t="str">
        <f t="shared" si="1"/>
        <v/>
      </c>
      <c r="AC31" s="1090"/>
      <c r="AD31" s="1090"/>
      <c r="AE31" s="1090"/>
      <c r="AF31" s="1090"/>
      <c r="AG31" s="1090"/>
      <c r="AH31" s="1090"/>
    </row>
    <row r="32" spans="2:34" ht="16.149999999999999" customHeight="1" thickBot="1">
      <c r="B32" s="1070"/>
      <c r="C32" s="1068"/>
      <c r="D32" s="1069"/>
      <c r="E32" s="1070"/>
      <c r="F32" s="1068"/>
      <c r="G32" s="1068"/>
      <c r="H32" s="1068"/>
      <c r="I32" s="1068"/>
      <c r="J32" s="1069"/>
      <c r="K32" s="987">
        <f>SUM(K10:L31)</f>
        <v>0</v>
      </c>
      <c r="L32" s="988"/>
      <c r="M32" s="987">
        <f>SUM(M10:N31)</f>
        <v>0</v>
      </c>
      <c r="N32" s="988"/>
      <c r="O32" s="1045"/>
      <c r="P32" s="1046"/>
      <c r="Q32" s="1046"/>
      <c r="R32" s="1047"/>
      <c r="S32" s="656"/>
      <c r="T32" s="656"/>
      <c r="U32" s="1070"/>
      <c r="V32" s="1068"/>
      <c r="W32" s="1068"/>
      <c r="X32" s="1068"/>
      <c r="Y32" s="1068"/>
      <c r="Z32" s="1068"/>
      <c r="AA32" s="1069"/>
    </row>
    <row r="33" spans="2:27" ht="31.5" customHeight="1"/>
    <row r="34" spans="2:27" ht="19.5" customHeight="1" thickBot="1"/>
    <row r="35" spans="2:27" ht="38.1" customHeight="1" thickBot="1">
      <c r="B35" s="984" t="s">
        <v>39</v>
      </c>
      <c r="C35" s="985"/>
      <c r="D35" s="985"/>
      <c r="E35" s="985"/>
      <c r="F35" s="985"/>
      <c r="G35" s="985"/>
      <c r="H35" s="985"/>
      <c r="I35" s="985"/>
      <c r="J35" s="985"/>
      <c r="K35" s="986" t="s">
        <v>40</v>
      </c>
      <c r="L35" s="986"/>
      <c r="M35" s="1086"/>
      <c r="N35" s="1086"/>
      <c r="O35" s="1079" t="s">
        <v>41</v>
      </c>
      <c r="P35" s="1079"/>
      <c r="Q35" s="1087"/>
      <c r="R35" s="1087"/>
      <c r="S35" s="657" t="s">
        <v>42</v>
      </c>
      <c r="T35" s="658"/>
      <c r="U35" s="1079" t="s">
        <v>43</v>
      </c>
      <c r="V35" s="1079"/>
      <c r="W35" s="1030">
        <f>M35+Q35+T35</f>
        <v>0</v>
      </c>
      <c r="X35" s="1030"/>
      <c r="Y35" s="1030"/>
      <c r="Z35" s="1030"/>
      <c r="AA35" s="1031"/>
    </row>
    <row r="36" spans="2:27" ht="16.149999999999999" customHeight="1" thickBot="1">
      <c r="I36" s="593"/>
      <c r="J36" s="593"/>
      <c r="S36" s="562">
        <f ca="1">SUMIF(S10:S31,"Yes",M11:N31)</f>
        <v>0</v>
      </c>
      <c r="T36" s="562"/>
    </row>
    <row r="37" spans="2:27" ht="15.6" customHeight="1" thickBot="1">
      <c r="B37" s="1016" t="s">
        <v>44</v>
      </c>
      <c r="C37" s="1017"/>
      <c r="D37" s="1017"/>
      <c r="E37" s="1017"/>
      <c r="F37" s="1017"/>
      <c r="G37" s="1017"/>
      <c r="H37" s="1017"/>
      <c r="I37" s="1017"/>
      <c r="J37" s="1018"/>
      <c r="K37" s="583"/>
      <c r="L37" s="583"/>
      <c r="S37" s="592">
        <f ca="1">M32-S36</f>
        <v>0</v>
      </c>
      <c r="T37" s="592"/>
    </row>
    <row r="38" spans="2:27" ht="15.6" customHeight="1" thickBot="1">
      <c r="B38" s="1007" t="s">
        <v>45</v>
      </c>
      <c r="C38" s="1008"/>
      <c r="D38" s="1008"/>
      <c r="E38" s="1008"/>
      <c r="F38" s="1008"/>
      <c r="G38" s="1008"/>
      <c r="H38" s="1008"/>
      <c r="I38" s="1008"/>
      <c r="J38" s="1009"/>
      <c r="K38" s="584"/>
      <c r="L38" s="584"/>
      <c r="R38" s="562"/>
      <c r="S38" s="594">
        <f>SUMIF(S10:S31,"No",M10:N31)</f>
        <v>0</v>
      </c>
      <c r="T38" s="562"/>
    </row>
    <row r="39" spans="2:27" ht="16.149999999999999" customHeight="1">
      <c r="B39" s="998" t="s">
        <v>46</v>
      </c>
      <c r="C39" s="999"/>
      <c r="D39" s="999"/>
      <c r="E39" s="999"/>
      <c r="F39" s="999"/>
      <c r="G39" s="999"/>
      <c r="H39" s="1000"/>
      <c r="I39" s="992">
        <f ca="1">K32-S36</f>
        <v>0</v>
      </c>
      <c r="J39" s="993"/>
      <c r="K39" s="585"/>
      <c r="L39" s="585"/>
    </row>
    <row r="40" spans="2:27">
      <c r="B40" s="1001" t="s">
        <v>47</v>
      </c>
      <c r="C40" s="1002"/>
      <c r="D40" s="1002"/>
      <c r="E40" s="1002"/>
      <c r="F40" s="1002"/>
      <c r="G40" s="1002"/>
      <c r="H40" s="1003"/>
      <c r="I40" s="994">
        <f>M32</f>
        <v>0</v>
      </c>
      <c r="J40" s="995"/>
      <c r="K40" s="585"/>
      <c r="L40" s="585"/>
    </row>
    <row r="41" spans="2:27" ht="16.149999999999999" customHeight="1">
      <c r="B41" s="1001" t="s">
        <v>48</v>
      </c>
      <c r="C41" s="1002"/>
      <c r="D41" s="1002"/>
      <c r="E41" s="1002"/>
      <c r="F41" s="1002"/>
      <c r="G41" s="1002"/>
      <c r="H41" s="1003"/>
      <c r="I41" s="1019" t="str">
        <f ca="1">IF(OR(M32=0,I39=0),"0.00",(M32/I39))</f>
        <v>0.00</v>
      </c>
      <c r="J41" s="1020"/>
      <c r="K41" s="586"/>
      <c r="L41" s="586"/>
    </row>
    <row r="42" spans="2:27" ht="15.6" customHeight="1">
      <c r="B42" s="1001" t="s">
        <v>49</v>
      </c>
      <c r="C42" s="1002"/>
      <c r="D42" s="1002"/>
      <c r="E42" s="1002"/>
      <c r="F42" s="1002"/>
      <c r="G42" s="1002"/>
      <c r="H42" s="1003"/>
      <c r="I42" s="1021">
        <f ca="1">SUMIF(O10:R31, "Retained",M10:N31)</f>
        <v>0</v>
      </c>
      <c r="J42" s="1022"/>
      <c r="K42" s="587"/>
      <c r="L42" s="587"/>
    </row>
    <row r="43" spans="2:27">
      <c r="B43" s="1001" t="s">
        <v>50</v>
      </c>
      <c r="C43" s="1002"/>
      <c r="D43" s="1002"/>
      <c r="E43" s="1002"/>
      <c r="F43" s="1002"/>
      <c r="G43" s="1002"/>
      <c r="H43" s="1003"/>
      <c r="I43" s="1021">
        <f ca="1">SUMIF(O10:R31,"Enhanced",M11:N31)</f>
        <v>0</v>
      </c>
      <c r="J43" s="1022"/>
      <c r="K43" s="587"/>
      <c r="L43" s="587"/>
    </row>
    <row r="44" spans="2:27" ht="16.149999999999999" customHeight="1" thickBot="1">
      <c r="B44" s="1004" t="s">
        <v>51</v>
      </c>
      <c r="C44" s="1005"/>
      <c r="D44" s="1005"/>
      <c r="E44" s="1005"/>
      <c r="F44" s="1005"/>
      <c r="G44" s="1005"/>
      <c r="H44" s="1006"/>
      <c r="I44" s="1023">
        <f ca="1">SUMIF(O10:R31, "Lost",M10:N31)</f>
        <v>0</v>
      </c>
      <c r="J44" s="1024"/>
      <c r="K44" s="584"/>
      <c r="L44" s="584"/>
      <c r="O44" s="562" t="s">
        <v>52</v>
      </c>
    </row>
    <row r="45" spans="2:27" ht="16.149999999999999" customHeight="1" thickBot="1">
      <c r="B45" s="1007" t="s">
        <v>53</v>
      </c>
      <c r="C45" s="1008"/>
      <c r="D45" s="1008"/>
      <c r="E45" s="1008"/>
      <c r="F45" s="1008"/>
      <c r="G45" s="1008"/>
      <c r="H45" s="1008"/>
      <c r="I45" s="1008"/>
      <c r="J45" s="1009"/>
      <c r="K45" s="588"/>
      <c r="L45" s="588"/>
      <c r="O45" s="562" t="s">
        <v>54</v>
      </c>
    </row>
    <row r="46" spans="2:27" ht="15.6" customHeight="1">
      <c r="B46" s="998" t="s">
        <v>55</v>
      </c>
      <c r="C46" s="999"/>
      <c r="D46" s="999"/>
      <c r="E46" s="999"/>
      <c r="F46" s="999"/>
      <c r="G46" s="999"/>
      <c r="H46" s="1000"/>
      <c r="I46" s="1010">
        <f ca="1">SUMIF(B10:D31, "=Hedgerows",K10:L31)</f>
        <v>0</v>
      </c>
      <c r="J46" s="1011"/>
      <c r="K46" s="588"/>
      <c r="L46" s="588"/>
    </row>
    <row r="47" spans="2:27">
      <c r="B47" s="1001" t="s">
        <v>56</v>
      </c>
      <c r="C47" s="1002"/>
      <c r="D47" s="1002"/>
      <c r="E47" s="1002"/>
      <c r="F47" s="1002"/>
      <c r="G47" s="1002"/>
      <c r="H47" s="1003"/>
      <c r="I47" s="1012">
        <f>SUM(SUMIFS(K10:K31,B10:B31, ("=Hedgerows"),O10:O31, ("=Retained")))</f>
        <v>0</v>
      </c>
      <c r="J47" s="1013"/>
      <c r="K47" s="588"/>
      <c r="L47" s="588"/>
      <c r="O47" s="562" t="s">
        <v>53</v>
      </c>
    </row>
    <row r="48" spans="2:27">
      <c r="B48" s="1001" t="s">
        <v>57</v>
      </c>
      <c r="C48" s="1002"/>
      <c r="D48" s="1002"/>
      <c r="E48" s="1002"/>
      <c r="F48" s="1002"/>
      <c r="G48" s="1002"/>
      <c r="H48" s="1003"/>
      <c r="I48" s="1012">
        <f>SUM(SUMIFS(K10:K31,B10:B31, ("=Hedgerows"),O10:O31, ("=Enhanced")))</f>
        <v>0</v>
      </c>
      <c r="J48" s="1013"/>
      <c r="K48" s="584"/>
      <c r="L48" s="584"/>
      <c r="O48" s="562" t="s">
        <v>52</v>
      </c>
    </row>
    <row r="49" spans="2:12" ht="16.149999999999999" customHeight="1" thickBot="1">
      <c r="B49" s="1004" t="s">
        <v>58</v>
      </c>
      <c r="C49" s="1005"/>
      <c r="D49" s="1005"/>
      <c r="E49" s="1005"/>
      <c r="F49" s="1005"/>
      <c r="G49" s="1005"/>
      <c r="H49" s="1006"/>
      <c r="I49" s="1014">
        <f>SUM(SUMIFS(K10:K31,B10:B31, ("=Hedgerows"),O10:O31, ("=Lost")))</f>
        <v>0</v>
      </c>
      <c r="J49" s="1015"/>
      <c r="K49" s="585"/>
      <c r="L49" s="585"/>
    </row>
    <row r="50" spans="2:12" ht="16.5" thickBot="1">
      <c r="B50" s="671" t="s">
        <v>59</v>
      </c>
      <c r="C50" s="672"/>
      <c r="D50" s="672"/>
      <c r="E50" s="672"/>
      <c r="F50" s="672"/>
      <c r="G50" s="672"/>
      <c r="H50" s="672"/>
      <c r="I50" s="672"/>
      <c r="J50" s="673"/>
      <c r="K50" s="589"/>
      <c r="L50" s="589"/>
    </row>
    <row r="51" spans="2:12" ht="15.6" customHeight="1">
      <c r="B51" s="998" t="s">
        <v>1677</v>
      </c>
      <c r="C51" s="999"/>
      <c r="D51" s="999"/>
      <c r="E51" s="999"/>
      <c r="F51" s="999"/>
      <c r="G51" s="999"/>
      <c r="H51" s="1000"/>
      <c r="I51" s="992">
        <f ca="1">SUMIF(B10:D31, "=Watercourse",K10:L31)</f>
        <v>0</v>
      </c>
      <c r="J51" s="993"/>
      <c r="K51" s="589"/>
      <c r="L51" s="589"/>
    </row>
    <row r="52" spans="2:12">
      <c r="B52" s="1001" t="s">
        <v>60</v>
      </c>
      <c r="C52" s="1002"/>
      <c r="D52" s="1002"/>
      <c r="E52" s="1002"/>
      <c r="F52" s="1002"/>
      <c r="G52" s="1002"/>
      <c r="H52" s="1003"/>
      <c r="I52" s="994">
        <f>SUMIFS(K10:K32,B10:B32, "=Watercourse", O10:O32, "=Retained")</f>
        <v>0</v>
      </c>
      <c r="J52" s="995"/>
    </row>
    <row r="53" spans="2:12">
      <c r="B53" s="1001" t="s">
        <v>1678</v>
      </c>
      <c r="C53" s="1002"/>
      <c r="D53" s="1002"/>
      <c r="E53" s="1002"/>
      <c r="F53" s="1002"/>
      <c r="G53" s="1002"/>
      <c r="H53" s="1003"/>
      <c r="I53" s="994">
        <f>SUMIFS(K10:K31,B10:B31, "=Watercourse", O10:O31, "=Enhanced")</f>
        <v>0</v>
      </c>
      <c r="J53" s="995"/>
    </row>
    <row r="54" spans="2:12" ht="16.149999999999999" customHeight="1" thickBot="1">
      <c r="B54" s="1004" t="s">
        <v>61</v>
      </c>
      <c r="C54" s="1005"/>
      <c r="D54" s="1005"/>
      <c r="E54" s="1005"/>
      <c r="F54" s="1005"/>
      <c r="G54" s="1005"/>
      <c r="H54" s="1006"/>
      <c r="I54" s="996">
        <f>SUM(SUMIFS(K10:K31,B10:B31, ("=Watercourse"),O10:O31, ("=Lost")))</f>
        <v>0</v>
      </c>
      <c r="J54" s="997"/>
    </row>
    <row r="61" spans="2:12" ht="15" hidden="1" customHeight="1"/>
    <row r="62" spans="2:12" hidden="1"/>
    <row r="63" spans="2:12" hidden="1"/>
    <row r="64" spans="2:12" hidden="1"/>
    <row r="65" hidden="1"/>
    <row r="66" hidden="1"/>
    <row r="67" hidden="1"/>
    <row r="68" hidden="1"/>
    <row r="69" hidden="1"/>
    <row r="70" hidden="1"/>
    <row r="71" hidden="1"/>
    <row r="72" hidden="1"/>
    <row r="73" hidden="1"/>
    <row r="74" hidden="1"/>
    <row r="75" hidden="1"/>
    <row r="76" hidden="1"/>
    <row r="77" hidden="1"/>
    <row r="78" hidden="1"/>
    <row r="79" hidden="1"/>
    <row r="80" hidden="1"/>
    <row r="81" hidden="1"/>
  </sheetData>
  <sheetProtection algorithmName="SHA-512" hashValue="YMkXk1eXpkaAdBD/7T6eccjk3oWF7nLiSrVDFuSmShDQKawEFP1qGDjKOCG/8JpBK11y/k9MUoBOIStqXAFIJw==" saltValue="yheT5PdqJxW0867KK5WsVQ==" spinCount="100000" sheet="1" objects="1" scenarios="1"/>
  <mergeCells count="231">
    <mergeCell ref="AB30:AH30"/>
    <mergeCell ref="AB31:AH31"/>
    <mergeCell ref="AB10:AH10"/>
    <mergeCell ref="AB11:AH11"/>
    <mergeCell ref="AB12:AH12"/>
    <mergeCell ref="AB13:AH13"/>
    <mergeCell ref="AB14:AH14"/>
    <mergeCell ref="AB15:AH15"/>
    <mergeCell ref="AB16:AH16"/>
    <mergeCell ref="AB17:AH17"/>
    <mergeCell ref="AB18:AH18"/>
    <mergeCell ref="AB19:AH19"/>
    <mergeCell ref="AB20:AH20"/>
    <mergeCell ref="AB21:AH21"/>
    <mergeCell ref="AB22:AH22"/>
    <mergeCell ref="AB23:AH23"/>
    <mergeCell ref="AB26:AH26"/>
    <mergeCell ref="U13:Y13"/>
    <mergeCell ref="S18:T18"/>
    <mergeCell ref="S19:T19"/>
    <mergeCell ref="S20:T20"/>
    <mergeCell ref="U10:Y10"/>
    <mergeCell ref="U11:Y11"/>
    <mergeCell ref="U12:Y12"/>
    <mergeCell ref="AB28:AH28"/>
    <mergeCell ref="AB29:AH29"/>
    <mergeCell ref="U24:Y24"/>
    <mergeCell ref="U18:Y18"/>
    <mergeCell ref="AB27:AH27"/>
    <mergeCell ref="U20:Y20"/>
    <mergeCell ref="U21:Y21"/>
    <mergeCell ref="U22:Y22"/>
    <mergeCell ref="U23:Y23"/>
    <mergeCell ref="U14:Y14"/>
    <mergeCell ref="U15:Y15"/>
    <mergeCell ref="U16:Y16"/>
    <mergeCell ref="U17:Y17"/>
    <mergeCell ref="AB24:AH24"/>
    <mergeCell ref="AB25:AH25"/>
    <mergeCell ref="U19:Y19"/>
    <mergeCell ref="K9:L9"/>
    <mergeCell ref="M9:N9"/>
    <mergeCell ref="M11:N11"/>
    <mergeCell ref="M12:N12"/>
    <mergeCell ref="M13:N13"/>
    <mergeCell ref="K19:L19"/>
    <mergeCell ref="M10:N10"/>
    <mergeCell ref="O23:R23"/>
    <mergeCell ref="M15:N15"/>
    <mergeCell ref="M16:N16"/>
    <mergeCell ref="K20:L20"/>
    <mergeCell ref="K21:L21"/>
    <mergeCell ref="K22:L22"/>
    <mergeCell ref="O20:R20"/>
    <mergeCell ref="O21:R21"/>
    <mergeCell ref="K14:L14"/>
    <mergeCell ref="O17:R17"/>
    <mergeCell ref="O18:R18"/>
    <mergeCell ref="O11:R11"/>
    <mergeCell ref="O14:R14"/>
    <mergeCell ref="O15:R15"/>
    <mergeCell ref="O16:R16"/>
    <mergeCell ref="K15:L15"/>
    <mergeCell ref="K16:L16"/>
    <mergeCell ref="O35:P35"/>
    <mergeCell ref="M35:N35"/>
    <mergeCell ref="S9:T9"/>
    <mergeCell ref="S10:T10"/>
    <mergeCell ref="S11:T11"/>
    <mergeCell ref="S12:T12"/>
    <mergeCell ref="S13:T13"/>
    <mergeCell ref="S14:T14"/>
    <mergeCell ref="S15:T15"/>
    <mergeCell ref="S16:T16"/>
    <mergeCell ref="S17:T17"/>
    <mergeCell ref="M22:N22"/>
    <mergeCell ref="M17:N17"/>
    <mergeCell ref="O13:R13"/>
    <mergeCell ref="O19:R19"/>
    <mergeCell ref="S26:T26"/>
    <mergeCell ref="Q35:R35"/>
    <mergeCell ref="B28:D28"/>
    <mergeCell ref="B29:D29"/>
    <mergeCell ref="B25:D25"/>
    <mergeCell ref="E24:J24"/>
    <mergeCell ref="K24:L24"/>
    <mergeCell ref="K25:L25"/>
    <mergeCell ref="B24:D24"/>
    <mergeCell ref="B14:D14"/>
    <mergeCell ref="B15:D15"/>
    <mergeCell ref="B16:D16"/>
    <mergeCell ref="B17:D17"/>
    <mergeCell ref="B18:D18"/>
    <mergeCell ref="B19:D19"/>
    <mergeCell ref="K17:L17"/>
    <mergeCell ref="K18:L18"/>
    <mergeCell ref="K29:L29"/>
    <mergeCell ref="E21:J21"/>
    <mergeCell ref="E22:J22"/>
    <mergeCell ref="B10:D10"/>
    <mergeCell ref="B11:D11"/>
    <mergeCell ref="B12:D12"/>
    <mergeCell ref="B13:D13"/>
    <mergeCell ref="B32:D32"/>
    <mergeCell ref="E32:J32"/>
    <mergeCell ref="B30:D30"/>
    <mergeCell ref="B31:D31"/>
    <mergeCell ref="U35:V35"/>
    <mergeCell ref="O26:R26"/>
    <mergeCell ref="O27:R27"/>
    <mergeCell ref="O28:R28"/>
    <mergeCell ref="O29:R29"/>
    <mergeCell ref="O30:R30"/>
    <mergeCell ref="O31:R31"/>
    <mergeCell ref="E26:J26"/>
    <mergeCell ref="E27:J27"/>
    <mergeCell ref="E28:J28"/>
    <mergeCell ref="E29:J29"/>
    <mergeCell ref="E30:J30"/>
    <mergeCell ref="E31:J31"/>
    <mergeCell ref="K30:L30"/>
    <mergeCell ref="K31:L31"/>
    <mergeCell ref="S27:T27"/>
    <mergeCell ref="E9:J9"/>
    <mergeCell ref="Z32:AA32"/>
    <mergeCell ref="M32:N32"/>
    <mergeCell ref="U32:Y32"/>
    <mergeCell ref="O10:R10"/>
    <mergeCell ref="M14:N14"/>
    <mergeCell ref="K10:L10"/>
    <mergeCell ref="K11:L11"/>
    <mergeCell ref="K12:L12"/>
    <mergeCell ref="K13:L13"/>
    <mergeCell ref="E17:J17"/>
    <mergeCell ref="E18:J18"/>
    <mergeCell ref="M25:N25"/>
    <mergeCell ref="M23:N23"/>
    <mergeCell ref="M24:N24"/>
    <mergeCell ref="S22:T22"/>
    <mergeCell ref="S23:T23"/>
    <mergeCell ref="K23:L23"/>
    <mergeCell ref="E23:J23"/>
    <mergeCell ref="E19:J19"/>
    <mergeCell ref="E14:J14"/>
    <mergeCell ref="O25:R25"/>
    <mergeCell ref="S21:T21"/>
    <mergeCell ref="O12:R12"/>
    <mergeCell ref="E13:J13"/>
    <mergeCell ref="E20:J20"/>
    <mergeCell ref="E25:J25"/>
    <mergeCell ref="O24:R24"/>
    <mergeCell ref="O22:R22"/>
    <mergeCell ref="B4:AA8"/>
    <mergeCell ref="B2:AA3"/>
    <mergeCell ref="B9:D9"/>
    <mergeCell ref="S28:T28"/>
    <mergeCell ref="K26:L26"/>
    <mergeCell ref="K27:L27"/>
    <mergeCell ref="K28:L28"/>
    <mergeCell ref="E15:J15"/>
    <mergeCell ref="E16:J16"/>
    <mergeCell ref="B23:D23"/>
    <mergeCell ref="M18:N18"/>
    <mergeCell ref="M19:N19"/>
    <mergeCell ref="M20:N20"/>
    <mergeCell ref="M21:N21"/>
    <mergeCell ref="B20:D20"/>
    <mergeCell ref="B21:D21"/>
    <mergeCell ref="B22:D22"/>
    <mergeCell ref="E10:J10"/>
    <mergeCell ref="E11:J11"/>
    <mergeCell ref="E12:J12"/>
    <mergeCell ref="M26:N26"/>
    <mergeCell ref="W35:AA35"/>
    <mergeCell ref="Z9:AA9"/>
    <mergeCell ref="U25:Y25"/>
    <mergeCell ref="U31:Y31"/>
    <mergeCell ref="S31:T31"/>
    <mergeCell ref="S30:T30"/>
    <mergeCell ref="M27:N27"/>
    <mergeCell ref="M28:N28"/>
    <mergeCell ref="M29:N29"/>
    <mergeCell ref="U26:Y26"/>
    <mergeCell ref="U27:Y27"/>
    <mergeCell ref="U28:Y28"/>
    <mergeCell ref="U29:Y29"/>
    <mergeCell ref="U30:Y30"/>
    <mergeCell ref="U9:Y9"/>
    <mergeCell ref="O9:R9"/>
    <mergeCell ref="M30:N30"/>
    <mergeCell ref="M31:N31"/>
    <mergeCell ref="S24:T24"/>
    <mergeCell ref="S25:T25"/>
    <mergeCell ref="O32:R32"/>
    <mergeCell ref="S29:T29"/>
    <mergeCell ref="B39:H39"/>
    <mergeCell ref="B40:H40"/>
    <mergeCell ref="B41:H41"/>
    <mergeCell ref="B42:H42"/>
    <mergeCell ref="B43:H43"/>
    <mergeCell ref="B44:H44"/>
    <mergeCell ref="I39:J39"/>
    <mergeCell ref="I40:J40"/>
    <mergeCell ref="I41:J41"/>
    <mergeCell ref="I42:J42"/>
    <mergeCell ref="I43:J43"/>
    <mergeCell ref="I44:J44"/>
    <mergeCell ref="B35:J35"/>
    <mergeCell ref="K35:L35"/>
    <mergeCell ref="K32:L32"/>
    <mergeCell ref="B26:D26"/>
    <mergeCell ref="B27:D27"/>
    <mergeCell ref="I51:J51"/>
    <mergeCell ref="I52:J52"/>
    <mergeCell ref="I53:J53"/>
    <mergeCell ref="I54:J54"/>
    <mergeCell ref="B51:H51"/>
    <mergeCell ref="B52:H52"/>
    <mergeCell ref="B53:H53"/>
    <mergeCell ref="B54:H54"/>
    <mergeCell ref="B45:J45"/>
    <mergeCell ref="B46:H46"/>
    <mergeCell ref="B47:H47"/>
    <mergeCell ref="B48:H48"/>
    <mergeCell ref="B49:H49"/>
    <mergeCell ref="I46:J46"/>
    <mergeCell ref="I47:J47"/>
    <mergeCell ref="I48:J48"/>
    <mergeCell ref="I49:J49"/>
    <mergeCell ref="B37:J37"/>
    <mergeCell ref="B38:J38"/>
  </mergeCells>
  <conditionalFormatting sqref="B10:D31">
    <cfRule type="containsText" dxfId="951" priority="9" operator="containsText" text="Area">
      <formula>NOT(ISERROR(SEARCH("Area",B10)))</formula>
    </cfRule>
    <cfRule type="containsText" dxfId="950" priority="10" operator="containsText" text="Watercourses">
      <formula>NOT(ISERROR(SEARCH("Watercourses",B10)))</formula>
    </cfRule>
    <cfRule type="containsText" dxfId="949" priority="11" operator="containsText" text="Hedgerows">
      <formula>NOT(ISERROR(SEARCH("Hedgerows",B10)))</formula>
    </cfRule>
  </conditionalFormatting>
  <conditionalFormatting sqref="M11:N31 M10">
    <cfRule type="expression" dxfId="948" priority="7">
      <formula>B10="Hedgerows"</formula>
    </cfRule>
    <cfRule type="expression" dxfId="947" priority="8">
      <formula>B10="Watercourses"</formula>
    </cfRule>
  </conditionalFormatting>
  <conditionalFormatting sqref="B10:D31">
    <cfRule type="containsBlanks" priority="6">
      <formula>LEN(TRIM(B10))=0</formula>
    </cfRule>
  </conditionalFormatting>
  <conditionalFormatting sqref="K10:L31">
    <cfRule type="expression" dxfId="946" priority="4">
      <formula>B10="Area habitats"</formula>
    </cfRule>
  </conditionalFormatting>
  <conditionalFormatting sqref="AB10:AB31">
    <cfRule type="containsText" dxfId="945" priority="2" operator="containsText" text="Please">
      <formula>NOT(ISERROR(SEARCH("Please",AB10)))</formula>
    </cfRule>
  </conditionalFormatting>
  <conditionalFormatting sqref="AA10:AA31">
    <cfRule type="containsText" dxfId="944" priority="1" operator="containsText" text="▲">
      <formula>NOT(ISERROR(SEARCH("▲",AA10)))</formula>
    </cfRule>
  </conditionalFormatting>
  <dataValidations count="3">
    <dataValidation type="list" allowBlank="1" showInputMessage="1" showErrorMessage="1" sqref="B10:B31" xr:uid="{406126AE-66F3-41AF-A5D5-D80ED7A80D47}">
      <formula1>"Area habitats, Hedgerows, Watercourses"</formula1>
    </dataValidation>
    <dataValidation type="list" allowBlank="1" showInputMessage="1" showErrorMessage="1" sqref="Z10:Z31 S10:T31" xr:uid="{64261E4B-5BC4-455B-B6AA-A1AC75388BF5}">
      <formula1>"Yes, No"</formula1>
    </dataValidation>
    <dataValidation type="list" allowBlank="1" showInputMessage="1" showErrorMessage="1" sqref="O10:R31" xr:uid="{4F22612B-BB45-4066-BAA2-E770F2BC3C52}">
      <formula1>"Retained, Enhanced, Lost"</formula1>
    </dataValidation>
  </dataValidations>
  <pageMargins left="0.7" right="0.7" top="0.75" bottom="0.75" header="0.3" footer="0.3"/>
  <pageSetup paperSize="9" orientation="portrait"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Sheet44">
    <tabColor theme="0" tint="-0.249977111117893"/>
  </sheetPr>
  <dimension ref="A1:R52"/>
  <sheetViews>
    <sheetView showGridLines="0" showRowColHeaders="0" topLeftCell="A7" zoomScale="80" zoomScaleNormal="80" workbookViewId="0"/>
  </sheetViews>
  <sheetFormatPr defaultColWidth="9.28515625" defaultRowHeight="14.65" customHeight="1" zeroHeight="1"/>
  <cols>
    <col min="1" max="3" width="2.28515625" style="9" customWidth="1"/>
    <col min="4" max="4" width="18.7109375" style="9" customWidth="1"/>
    <col min="5" max="8" width="9.28515625" style="9" customWidth="1"/>
    <col min="9" max="9" width="7" style="9" customWidth="1"/>
    <col min="10" max="12" width="9.28515625" style="9" customWidth="1"/>
    <col min="13" max="13" width="12.28515625" style="9" customWidth="1"/>
    <col min="14" max="14" width="5.7109375" style="9" customWidth="1"/>
    <col min="15" max="15" width="9.28515625" style="9" customWidth="1"/>
    <col min="16" max="16" width="34.5703125" style="9" customWidth="1"/>
    <col min="17" max="17" width="13.7109375" style="9" bestFit="1" customWidth="1"/>
    <col min="18" max="18" width="19.28515625" style="9" customWidth="1"/>
    <col min="19" max="20" width="9.28515625" style="9" customWidth="1"/>
    <col min="21" max="16384" width="9.28515625" style="9"/>
  </cols>
  <sheetData>
    <row r="1" spans="1:18" ht="15.75" customHeight="1">
      <c r="B1" s="16"/>
      <c r="C1" s="16"/>
      <c r="E1" s="17"/>
      <c r="F1" s="981"/>
      <c r="G1" s="981"/>
      <c r="H1" s="981"/>
      <c r="I1" s="981"/>
      <c r="J1" s="981"/>
      <c r="K1" s="982"/>
      <c r="L1" s="982"/>
      <c r="M1" s="982"/>
      <c r="N1" s="982"/>
      <c r="O1" s="982"/>
    </row>
    <row r="2" spans="1:18" ht="15.75" customHeight="1">
      <c r="B2" s="16"/>
      <c r="C2" s="16"/>
      <c r="E2" s="17"/>
    </row>
    <row r="3" spans="1:18" ht="15.75" customHeight="1">
      <c r="A3" s="17"/>
      <c r="B3" s="17"/>
      <c r="C3" s="17"/>
      <c r="D3" s="17"/>
      <c r="E3" s="17"/>
      <c r="F3" s="18"/>
      <c r="G3" s="18"/>
      <c r="H3" s="18"/>
      <c r="I3" s="18"/>
      <c r="J3" s="18"/>
      <c r="K3" s="18"/>
      <c r="L3" s="18"/>
      <c r="M3" s="18"/>
      <c r="N3" s="18"/>
      <c r="O3" s="18"/>
      <c r="P3" s="18"/>
    </row>
    <row r="4" spans="1:18" ht="16.5" customHeight="1">
      <c r="A4" s="17"/>
      <c r="B4" s="17"/>
      <c r="C4" s="17"/>
      <c r="D4" s="17"/>
      <c r="E4" s="17"/>
      <c r="F4" s="18"/>
      <c r="G4" s="18"/>
      <c r="H4" s="18"/>
      <c r="I4" s="18"/>
      <c r="J4" s="18"/>
      <c r="K4" s="18"/>
      <c r="L4" s="18"/>
      <c r="M4" s="18"/>
      <c r="N4" s="18"/>
      <c r="O4" s="18"/>
      <c r="P4" s="18"/>
    </row>
    <row r="5" spans="1:18" ht="16.5" customHeight="1">
      <c r="A5" s="17"/>
      <c r="B5" s="17"/>
      <c r="C5" s="17"/>
      <c r="D5" s="17"/>
      <c r="E5" s="17"/>
      <c r="F5" s="19"/>
      <c r="G5" s="19"/>
      <c r="H5" s="19"/>
      <c r="I5" s="19"/>
      <c r="J5" s="19"/>
      <c r="K5" s="19"/>
      <c r="L5" s="19"/>
      <c r="M5" s="19"/>
      <c r="N5" s="19"/>
      <c r="O5" s="19"/>
      <c r="P5" s="19"/>
      <c r="Q5" s="19"/>
      <c r="R5" s="19"/>
    </row>
    <row r="6" spans="1:18" ht="16.5" customHeight="1">
      <c r="B6" s="16"/>
      <c r="C6" s="16"/>
      <c r="D6" s="17"/>
      <c r="E6" s="17"/>
      <c r="F6" s="19"/>
      <c r="G6" s="19"/>
      <c r="H6" s="19"/>
      <c r="I6" s="19"/>
      <c r="J6" s="19"/>
      <c r="K6" s="19"/>
      <c r="L6" s="19"/>
      <c r="M6" s="19"/>
      <c r="N6" s="19"/>
      <c r="O6" s="19"/>
      <c r="P6" s="19"/>
      <c r="Q6" s="19"/>
      <c r="R6" s="19"/>
    </row>
    <row r="7" spans="1:18" ht="16.5" customHeight="1">
      <c r="B7" s="16"/>
      <c r="C7" s="17"/>
      <c r="D7" s="17"/>
      <c r="E7" s="17"/>
      <c r="F7" s="19"/>
      <c r="G7" s="19"/>
      <c r="H7" s="19"/>
      <c r="I7" s="19"/>
      <c r="J7" s="19"/>
      <c r="K7" s="19"/>
      <c r="L7" s="19"/>
      <c r="M7" s="19"/>
      <c r="N7" s="19"/>
      <c r="O7" s="19"/>
      <c r="P7" s="19"/>
      <c r="Q7" s="19"/>
      <c r="R7" s="19"/>
    </row>
    <row r="8" spans="1:18" ht="16.5" customHeight="1">
      <c r="B8" s="16"/>
      <c r="C8" s="16"/>
      <c r="D8" s="17"/>
      <c r="E8" s="17"/>
      <c r="F8" s="19"/>
      <c r="G8" s="19"/>
      <c r="H8" s="19"/>
      <c r="I8" s="19"/>
      <c r="J8" s="19"/>
      <c r="K8" s="19"/>
      <c r="L8" s="19"/>
      <c r="M8" s="19"/>
      <c r="N8" s="19"/>
      <c r="O8" s="19"/>
      <c r="P8" s="19"/>
      <c r="Q8" s="19"/>
      <c r="R8" s="19"/>
    </row>
    <row r="9" spans="1:18" ht="16.5" customHeight="1">
      <c r="B9" s="16"/>
      <c r="C9" s="16"/>
      <c r="D9" s="20"/>
      <c r="E9" s="20"/>
      <c r="F9" s="19"/>
      <c r="G9" s="19"/>
      <c r="H9" s="19"/>
      <c r="I9" s="19"/>
      <c r="J9" s="19"/>
      <c r="K9" s="19"/>
      <c r="L9" s="19"/>
      <c r="M9" s="19"/>
      <c r="N9" s="19"/>
      <c r="O9" s="19"/>
      <c r="P9" s="19"/>
      <c r="Q9" s="19"/>
      <c r="R9" s="19"/>
    </row>
    <row r="10" spans="1:18" ht="30" customHeight="1">
      <c r="B10" s="16"/>
      <c r="C10" s="16"/>
      <c r="D10" s="1687"/>
      <c r="E10" s="1687"/>
      <c r="F10" s="1687"/>
      <c r="G10" s="1687"/>
      <c r="H10" s="1687"/>
      <c r="I10" s="1687"/>
      <c r="J10" s="1687"/>
      <c r="K10" s="1687"/>
      <c r="L10" s="1687"/>
      <c r="M10" s="1687"/>
    </row>
    <row r="11" spans="1:18" ht="16.5" customHeight="1">
      <c r="B11" s="16"/>
      <c r="C11" s="16"/>
    </row>
    <row r="12" spans="1:18" ht="16.5" customHeight="1">
      <c r="B12" s="16"/>
      <c r="C12" s="16"/>
    </row>
    <row r="13" spans="1:18" ht="16.5" customHeight="1">
      <c r="B13" s="16"/>
      <c r="C13" s="16"/>
    </row>
    <row r="14" spans="1:18" ht="16.5" customHeight="1">
      <c r="B14" s="16"/>
      <c r="C14" s="16"/>
    </row>
    <row r="15" spans="1:18" ht="16.5" customHeight="1">
      <c r="B15" s="16"/>
      <c r="C15" s="16"/>
    </row>
    <row r="16" spans="1:18" ht="16.5" customHeight="1"/>
    <row r="17" ht="16.5" customHeight="1"/>
    <row r="18" ht="16.5" customHeight="1"/>
    <row r="19" ht="16.5" customHeight="1"/>
    <row r="20" ht="16.5" customHeight="1"/>
    <row r="21" ht="16.5" customHeight="1"/>
    <row r="22" ht="16.5" customHeight="1"/>
    <row r="23" ht="16.5" customHeight="1"/>
    <row r="24" ht="16.5" customHeight="1"/>
    <row r="25" ht="16.5" customHeight="1"/>
    <row r="26" ht="16.5" customHeight="1"/>
    <row r="27" ht="15"/>
    <row r="28" ht="15"/>
    <row r="29" ht="15"/>
    <row r="30" ht="15"/>
    <row r="31" ht="15"/>
    <row r="32" ht="15"/>
    <row r="33" ht="15"/>
    <row r="34" ht="15"/>
    <row r="35" ht="15"/>
    <row r="36" ht="15"/>
    <row r="37" ht="15"/>
    <row r="38" ht="15"/>
    <row r="39" ht="15"/>
    <row r="40" ht="15"/>
    <row r="41" ht="15"/>
    <row r="42" ht="15"/>
    <row r="43" ht="15"/>
    <row r="44" ht="15"/>
    <row r="45" ht="15"/>
    <row r="46" ht="15"/>
    <row r="47" ht="15"/>
    <row r="48" ht="15"/>
    <row r="49" ht="15"/>
    <row r="50" ht="15"/>
    <row r="51" ht="15"/>
    <row r="52" ht="15"/>
  </sheetData>
  <sheetProtection algorithmName="SHA-512" hashValue="77yNif7AE0iWsWfehOb+sXhtSAq6zvf/ig1B9C/Y/ocdWUpoTn0eyhW+bmqy4yj9GFSKoXlTvgj1cOn1ltMCng==" saltValue="OUSgYXvN6LDH71EspakjRA==" spinCount="100000" sheet="1" objects="1" scenarios="1"/>
  <customSheetViews>
    <customSheetView guid="{8BDA793C-C9C5-4FC6-A0A5-F1109F6D4F22}" state="hidden">
      <selection activeCell="D14" sqref="D14"/>
    </customSheetView>
  </customSheetViews>
  <mergeCells count="3">
    <mergeCell ref="F1:J1"/>
    <mergeCell ref="K1:O1"/>
    <mergeCell ref="D10:M10"/>
  </mergeCells>
  <pageMargins left="0.7" right="0.7" top="0.75" bottom="0.75" header="0.3" footer="0.3"/>
  <pageSetup paperSize="9" orientation="portrait" r:id="rId1"/>
  <drawing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Sheet5">
    <tabColor theme="0" tint="-0.249977111117893"/>
  </sheetPr>
  <dimension ref="A1:D378"/>
  <sheetViews>
    <sheetView showGridLines="0" zoomScale="80" zoomScaleNormal="80" workbookViewId="0"/>
  </sheetViews>
  <sheetFormatPr defaultColWidth="9.28515625" defaultRowHeight="15"/>
  <cols>
    <col min="1" max="1" width="41.28515625" style="220" customWidth="1"/>
    <col min="2" max="2" width="56.42578125" style="220" bestFit="1" customWidth="1"/>
    <col min="3" max="3" width="9.28515625" style="220"/>
    <col min="4" max="4" width="55.5703125" style="220" customWidth="1"/>
    <col min="5" max="16384" width="9.28515625" style="220"/>
  </cols>
  <sheetData>
    <row r="1" spans="1:4" s="221" customFormat="1">
      <c r="A1" s="252" t="s">
        <v>1278</v>
      </c>
      <c r="B1" s="253" t="s">
        <v>1279</v>
      </c>
      <c r="D1" s="225" t="s">
        <v>1280</v>
      </c>
    </row>
    <row r="2" spans="1:4">
      <c r="A2" s="496" t="s">
        <v>1281</v>
      </c>
      <c r="B2" s="497" t="s">
        <v>1282</v>
      </c>
      <c r="D2" s="496" t="str">
        <f>'G-1 All Habitats'!B3</f>
        <v>Cropland - Arable field margins cultivated annually</v>
      </c>
    </row>
    <row r="3" spans="1:4">
      <c r="A3" s="496" t="s">
        <v>1283</v>
      </c>
      <c r="B3" s="497" t="s">
        <v>1284</v>
      </c>
      <c r="D3" s="496" t="str">
        <f>'G-1 All Habitats'!B4</f>
        <v>Cropland - Arable field margins game bird mix</v>
      </c>
    </row>
    <row r="4" spans="1:4">
      <c r="A4" s="496" t="s">
        <v>1285</v>
      </c>
      <c r="B4" s="497" t="s">
        <v>1286</v>
      </c>
      <c r="D4" s="496" t="str">
        <f>'G-1 All Habitats'!B5</f>
        <v>Cropland - Arable field margins pollen and nectar</v>
      </c>
    </row>
    <row r="5" spans="1:4">
      <c r="A5" s="496" t="s">
        <v>1287</v>
      </c>
      <c r="B5" s="497" t="s">
        <v>1288</v>
      </c>
      <c r="D5" s="496" t="str">
        <f>'G-1 All Habitats'!B6</f>
        <v>Cropland - Arable field margins tussocky</v>
      </c>
    </row>
    <row r="6" spans="1:4">
      <c r="A6" s="496" t="s">
        <v>1289</v>
      </c>
      <c r="B6" s="497" t="s">
        <v>1290</v>
      </c>
      <c r="D6" s="496" t="str">
        <f>'G-1 All Habitats'!B7</f>
        <v>Cropland - Cereal crops</v>
      </c>
    </row>
    <row r="7" spans="1:4">
      <c r="A7" s="496" t="s">
        <v>1291</v>
      </c>
      <c r="B7" s="497" t="s">
        <v>1292</v>
      </c>
      <c r="D7" s="496" t="str">
        <f>'G-1 All Habitats'!B8</f>
        <v>Cropland - Winter stubble</v>
      </c>
    </row>
    <row r="8" spans="1:4">
      <c r="A8" s="496" t="s">
        <v>1293</v>
      </c>
      <c r="B8" s="497" t="s">
        <v>1294</v>
      </c>
      <c r="D8" s="496" t="str">
        <f>'G-1 All Habitats'!B9</f>
        <v>Cropland - Horticulture</v>
      </c>
    </row>
    <row r="9" spans="1:4">
      <c r="A9" s="496" t="s">
        <v>1295</v>
      </c>
      <c r="B9" s="497" t="s">
        <v>1296</v>
      </c>
      <c r="D9" s="496" t="str">
        <f>'G-1 All Habitats'!B10</f>
        <v>Cropland - Intensive orchards</v>
      </c>
    </row>
    <row r="10" spans="1:4">
      <c r="A10" s="496" t="s">
        <v>1297</v>
      </c>
      <c r="B10" s="497" t="s">
        <v>1298</v>
      </c>
      <c r="D10" s="496" t="str">
        <f>'G-1 All Habitats'!B11</f>
        <v>Cropland - Non-cereal crops</v>
      </c>
    </row>
    <row r="11" spans="1:4">
      <c r="A11" s="496" t="s">
        <v>1299</v>
      </c>
      <c r="B11" s="497" t="s">
        <v>1300</v>
      </c>
      <c r="D11" s="496" t="str">
        <f>'G-1 All Habitats'!B12</f>
        <v>Cropland - Temporary grass and clover leys</v>
      </c>
    </row>
    <row r="12" spans="1:4">
      <c r="A12" s="496" t="s">
        <v>1301</v>
      </c>
      <c r="B12" s="497" t="s">
        <v>1302</v>
      </c>
      <c r="D12" s="496" t="str">
        <f>'G-1 All Habitats'!B13</f>
        <v>Grassland - Traditional orchards</v>
      </c>
    </row>
    <row r="13" spans="1:4">
      <c r="A13" s="496" t="s">
        <v>1303</v>
      </c>
      <c r="B13" s="497" t="s">
        <v>1304</v>
      </c>
      <c r="D13" s="496" t="str">
        <f>'G-1 All Habitats'!B14</f>
        <v>Grassland - Bracken</v>
      </c>
    </row>
    <row r="14" spans="1:4">
      <c r="A14" s="496" t="s">
        <v>1305</v>
      </c>
      <c r="B14" s="497" t="s">
        <v>1306</v>
      </c>
      <c r="D14" s="496" t="str">
        <f>'G-1 All Habitats'!B15</f>
        <v>Grassland - Floodplain wetland mosaic and CFGM</v>
      </c>
    </row>
    <row r="15" spans="1:4">
      <c r="A15" s="496" t="s">
        <v>1307</v>
      </c>
      <c r="B15" s="497" t="s">
        <v>1308</v>
      </c>
      <c r="D15" s="496" t="str">
        <f>'G-1 All Habitats'!B16</f>
        <v>Grassland - Lowland calcareous grassland</v>
      </c>
    </row>
    <row r="16" spans="1:4">
      <c r="A16" s="496" t="s">
        <v>1309</v>
      </c>
      <c r="B16" s="497" t="s">
        <v>1310</v>
      </c>
      <c r="D16" s="496" t="str">
        <f>'G-1 All Habitats'!B17</f>
        <v>Grassland - Lowland dry acid grassland</v>
      </c>
    </row>
    <row r="17" spans="1:4">
      <c r="A17" s="496" t="s">
        <v>1311</v>
      </c>
      <c r="D17" s="496" t="str">
        <f>'G-1 All Habitats'!B18</f>
        <v>Grassland - Lowland meadows</v>
      </c>
    </row>
    <row r="18" spans="1:4">
      <c r="A18" s="496" t="s">
        <v>1312</v>
      </c>
      <c r="D18" s="496" t="str">
        <f>'G-1 All Habitats'!B19</f>
        <v>Grassland - Modified grassland</v>
      </c>
    </row>
    <row r="19" spans="1:4">
      <c r="A19" s="496" t="s">
        <v>1313</v>
      </c>
      <c r="D19" s="496" t="str">
        <f>'G-1 All Habitats'!B20</f>
        <v>Grassland - Other lowland acid grassland</v>
      </c>
    </row>
    <row r="20" spans="1:4">
      <c r="A20" s="496" t="s">
        <v>1314</v>
      </c>
      <c r="D20" s="496" t="str">
        <f>'G-1 All Habitats'!B21</f>
        <v>Grassland - Other neutral grassland</v>
      </c>
    </row>
    <row r="21" spans="1:4">
      <c r="A21" s="496" t="s">
        <v>1315</v>
      </c>
      <c r="D21" s="496" t="str">
        <f>'G-1 All Habitats'!B22</f>
        <v>Grassland - Tall herb communities (H6430)</v>
      </c>
    </row>
    <row r="22" spans="1:4">
      <c r="A22" s="496" t="s">
        <v>1316</v>
      </c>
      <c r="D22" s="496" t="str">
        <f>'G-1 All Habitats'!B23</f>
        <v>Grassland - Upland acid grassland</v>
      </c>
    </row>
    <row r="23" spans="1:4">
      <c r="A23" s="496" t="s">
        <v>1317</v>
      </c>
      <c r="D23" s="496" t="str">
        <f>'G-1 All Habitats'!B24</f>
        <v>Grassland - Upland calcareous grassland</v>
      </c>
    </row>
    <row r="24" spans="1:4">
      <c r="A24" s="496" t="s">
        <v>1318</v>
      </c>
      <c r="D24" s="496" t="str">
        <f>'G-1 All Habitats'!B25</f>
        <v>Grassland - Upland hay meadows</v>
      </c>
    </row>
    <row r="25" spans="1:4">
      <c r="A25" s="496" t="s">
        <v>1319</v>
      </c>
      <c r="D25" s="496" t="str">
        <f>'G-1 All Habitats'!B26</f>
        <v>Heathland and shrub - Blackthorn scrub</v>
      </c>
    </row>
    <row r="26" spans="1:4">
      <c r="A26" s="496" t="s">
        <v>1320</v>
      </c>
      <c r="D26" s="496" t="str">
        <f>'G-1 All Habitats'!B27</f>
        <v>Heathland and shrub - Bramble scrub</v>
      </c>
    </row>
    <row r="27" spans="1:4">
      <c r="A27" s="496" t="s">
        <v>1321</v>
      </c>
      <c r="D27" s="496" t="str">
        <f>'G-1 All Habitats'!B28</f>
        <v>Heathland and shrub - Gorse scrub</v>
      </c>
    </row>
    <row r="28" spans="1:4">
      <c r="A28" s="496" t="s">
        <v>1322</v>
      </c>
      <c r="D28" s="496" t="str">
        <f>'G-1 All Habitats'!B29</f>
        <v>Heathland and shrub - Hawthorn scrub</v>
      </c>
    </row>
    <row r="29" spans="1:4">
      <c r="A29" s="496" t="s">
        <v>1323</v>
      </c>
      <c r="D29" s="496" t="str">
        <f>'G-1 All Habitats'!B30</f>
        <v>Heathland and shrub - Hazel scrub</v>
      </c>
    </row>
    <row r="30" spans="1:4">
      <c r="A30" s="496" t="s">
        <v>1324</v>
      </c>
      <c r="D30" s="496" t="str">
        <f>'G-1 All Habitats'!B31</f>
        <v>Heathland and shrub - Lowland heathland</v>
      </c>
    </row>
    <row r="31" spans="1:4">
      <c r="A31" s="496" t="s">
        <v>1325</v>
      </c>
      <c r="D31" s="496" t="str">
        <f>'G-1 All Habitats'!B32</f>
        <v>Heathland and shrub - Mixed scrub</v>
      </c>
    </row>
    <row r="32" spans="1:4">
      <c r="A32" s="496" t="s">
        <v>1326</v>
      </c>
      <c r="D32" s="496" t="str">
        <f>'G-1 All Habitats'!B33</f>
        <v>Heathland and shrub - Mountain heaths and willow scrub</v>
      </c>
    </row>
    <row r="33" spans="1:4">
      <c r="A33" s="496" t="s">
        <v>1327</v>
      </c>
      <c r="D33" s="496" t="str">
        <f>'G-1 All Habitats'!B34</f>
        <v>Heathland and shrub - Rhododendron scrub</v>
      </c>
    </row>
    <row r="34" spans="1:4">
      <c r="A34" s="496" t="s">
        <v>1328</v>
      </c>
      <c r="D34" s="496" t="str">
        <f>'G-1 All Habitats'!B35</f>
        <v>Heathland and shrub - Dunes with sea buckthorn (H2160)</v>
      </c>
    </row>
    <row r="35" spans="1:4">
      <c r="A35" s="496" t="s">
        <v>1329</v>
      </c>
      <c r="D35" s="496" t="str">
        <f>'G-1 All Habitats'!B36</f>
        <v>Heathland and shrub - Other sea buckthorn scrub</v>
      </c>
    </row>
    <row r="36" spans="1:4">
      <c r="A36" s="496" t="s">
        <v>1330</v>
      </c>
      <c r="D36" s="496" t="str">
        <f>'G-1 All Habitats'!B38</f>
        <v>Heathland and shrub - Upland heathland</v>
      </c>
    </row>
    <row r="37" spans="1:4">
      <c r="A37" s="496" t="s">
        <v>1331</v>
      </c>
      <c r="D37" s="496" t="str">
        <f>'G-1 All Habitats'!B39</f>
        <v>Lakes - Aquifer fed naturally fluctuating water bodies</v>
      </c>
    </row>
    <row r="38" spans="1:4">
      <c r="A38" s="496" t="s">
        <v>1332</v>
      </c>
      <c r="D38" s="496" t="str">
        <f>'G-1 All Habitats'!B41</f>
        <v>Lakes - High alkalinity lakes</v>
      </c>
    </row>
    <row r="39" spans="1:4">
      <c r="A39" s="496" t="s">
        <v>1333</v>
      </c>
      <c r="D39" s="496" t="str">
        <f>'G-1 All Habitats'!B42</f>
        <v>Lakes - Low alkalinity lakes</v>
      </c>
    </row>
    <row r="40" spans="1:4">
      <c r="A40" s="496" t="s">
        <v>1334</v>
      </c>
      <c r="D40" s="496" t="str">
        <f>'G-1 All Habitats'!B43</f>
        <v>Lakes - Marl lakes</v>
      </c>
    </row>
    <row r="41" spans="1:4">
      <c r="A41" s="496" t="s">
        <v>1335</v>
      </c>
      <c r="D41" s="496" t="str">
        <f>'G-1 All Habitats'!B44</f>
        <v>Lakes - Moderate alkalinity lakes</v>
      </c>
    </row>
    <row r="42" spans="1:4">
      <c r="A42" s="496" t="s">
        <v>1336</v>
      </c>
      <c r="D42" s="496" t="str">
        <f>'G-1 All Habitats'!B45</f>
        <v>Lakes - Peat lakes</v>
      </c>
    </row>
    <row r="43" spans="1:4">
      <c r="A43" s="496" t="s">
        <v>1337</v>
      </c>
      <c r="D43" s="496" t="str">
        <f>'G-1 All Habitats'!B46</f>
        <v>Lakes - Ponds (priority habitat)</v>
      </c>
    </row>
    <row r="44" spans="1:4">
      <c r="A44" s="496" t="s">
        <v>1338</v>
      </c>
      <c r="D44" s="496" t="str">
        <f>'G-1 All Habitats'!B47</f>
        <v>Lakes - Ponds (non-priority habitat)</v>
      </c>
    </row>
    <row r="45" spans="1:4">
      <c r="A45" s="496" t="s">
        <v>1339</v>
      </c>
      <c r="D45" s="496" t="str">
        <f>'G-1 All Habitats'!B48</f>
        <v>Lakes - Reservoirs</v>
      </c>
    </row>
    <row r="46" spans="1:4">
      <c r="A46" s="496" t="s">
        <v>1340</v>
      </c>
      <c r="D46" s="496" t="str">
        <f>'G-1 All Habitats'!B49</f>
        <v>Lakes - Temporary lakes ponds and pools (H3170)</v>
      </c>
    </row>
    <row r="47" spans="1:4">
      <c r="A47" s="496" t="s">
        <v>1341</v>
      </c>
      <c r="D47" s="496" t="str">
        <f>'G-1 All Habitats'!B50</f>
        <v>Sparsely vegetated land - Calaminarian grasslands</v>
      </c>
    </row>
    <row r="48" spans="1:4">
      <c r="A48" s="496" t="s">
        <v>1342</v>
      </c>
      <c r="D48" s="496" t="str">
        <f>'G-1 All Habitats'!B51</f>
        <v>Sparsely vegetated land - Coastal sand dunes</v>
      </c>
    </row>
    <row r="49" spans="1:4">
      <c r="A49" s="496" t="s">
        <v>1343</v>
      </c>
      <c r="D49" s="496" t="str">
        <f>'G-1 All Habitats'!B52</f>
        <v>Sparsely vegetated land - Coastal vegetated shingle</v>
      </c>
    </row>
    <row r="50" spans="1:4">
      <c r="A50" s="496" t="s">
        <v>1344</v>
      </c>
      <c r="D50" s="496" t="str">
        <f>'G-1 All Habitats'!B53</f>
        <v>Sparsely vegetated land - Ruderal/Ephemeral</v>
      </c>
    </row>
    <row r="51" spans="1:4">
      <c r="A51" s="496" t="s">
        <v>1345</v>
      </c>
      <c r="D51" s="496" t="str">
        <f>'G-1 All Habitats'!B55</f>
        <v>Sparsely vegetated land - Inland rock outcrop and scree habitats</v>
      </c>
    </row>
    <row r="52" spans="1:4">
      <c r="A52" s="496" t="s">
        <v>1346</v>
      </c>
      <c r="D52" s="496" t="str">
        <f>'G-1 All Habitats'!B56</f>
        <v>Sparsely vegetated land - Limestone pavement</v>
      </c>
    </row>
    <row r="53" spans="1:4">
      <c r="A53" s="496" t="s">
        <v>1347</v>
      </c>
      <c r="D53" s="496" t="str">
        <f>'G-1 All Habitats'!B57</f>
        <v>Sparsely vegetated land - Maritime cliff and slopes</v>
      </c>
    </row>
    <row r="54" spans="1:4">
      <c r="A54" s="496" t="s">
        <v>1348</v>
      </c>
      <c r="D54" s="496" t="str">
        <f>'G-1 All Habitats'!B58</f>
        <v>Sparsely vegetated land - Other inland rock and scree</v>
      </c>
    </row>
    <row r="55" spans="1:4">
      <c r="A55" s="496" t="s">
        <v>1349</v>
      </c>
      <c r="D55" s="496" t="str">
        <f>'G-1 All Habitats'!B59</f>
        <v>Urban - Allotments</v>
      </c>
    </row>
    <row r="56" spans="1:4">
      <c r="A56" s="496" t="s">
        <v>1350</v>
      </c>
      <c r="D56" s="496" t="str">
        <f>'G-1 All Habitats'!B40</f>
        <v>Lakes - Ornamental lake or pond</v>
      </c>
    </row>
    <row r="57" spans="1:4">
      <c r="A57" s="496" t="s">
        <v>1351</v>
      </c>
      <c r="D57" s="496" t="str">
        <f>'G-1 All Habitats'!B60</f>
        <v>Urban - Artificial unvegetated, unsealed surface</v>
      </c>
    </row>
    <row r="58" spans="1:4">
      <c r="A58" s="496" t="s">
        <v>1352</v>
      </c>
      <c r="D58" s="496" t="str">
        <f>'G-1 All Habitats'!B61</f>
        <v>Urban - Bioswale</v>
      </c>
    </row>
    <row r="59" spans="1:4">
      <c r="A59" s="496" t="s">
        <v>1353</v>
      </c>
      <c r="D59" s="496" t="str">
        <f>'G-1 All Habitats'!B62</f>
        <v>Urban - Intensive green roof</v>
      </c>
    </row>
    <row r="60" spans="1:4">
      <c r="A60" s="496" t="s">
        <v>1354</v>
      </c>
      <c r="D60" s="496" t="str">
        <f>'G-1 All Habitats'!B63</f>
        <v>Urban - Built linear features</v>
      </c>
    </row>
    <row r="61" spans="1:4">
      <c r="A61" s="496" t="s">
        <v>1355</v>
      </c>
      <c r="D61" s="496" t="str">
        <f>'G-1 All Habitats'!B64</f>
        <v>Urban - Cemeteries and churchyards</v>
      </c>
    </row>
    <row r="62" spans="1:4">
      <c r="A62" s="496" t="s">
        <v>1356</v>
      </c>
      <c r="D62" s="496" t="str">
        <f>'G-1 All Habitats'!B65</f>
        <v>Urban - Developed land; sealed surface</v>
      </c>
    </row>
    <row r="63" spans="1:4">
      <c r="A63" s="496" t="s">
        <v>1357</v>
      </c>
      <c r="D63" s="496" t="str">
        <f>'G-1 All Habitats'!B66</f>
        <v>Urban - Other green roof</v>
      </c>
    </row>
    <row r="64" spans="1:4">
      <c r="A64" s="496" t="s">
        <v>1358</v>
      </c>
      <c r="D64" s="496" t="str">
        <f>'G-1 All Habitats'!B67</f>
        <v>Urban - Facade-bound green wall</v>
      </c>
    </row>
    <row r="65" spans="1:4">
      <c r="A65" s="496" t="s">
        <v>1359</v>
      </c>
      <c r="D65" s="496" t="str">
        <f>'G-1 All Habitats'!B68</f>
        <v>Urban - Ground based green wall</v>
      </c>
    </row>
    <row r="66" spans="1:4">
      <c r="A66" s="496" t="s">
        <v>1360</v>
      </c>
      <c r="D66" s="496" t="str">
        <f>'G-1 All Habitats'!B69</f>
        <v>Urban - Ground level planters</v>
      </c>
    </row>
    <row r="67" spans="1:4">
      <c r="A67" s="496" t="s">
        <v>1361</v>
      </c>
      <c r="D67" s="496" t="str">
        <f>'G-1 All Habitats'!B70</f>
        <v>Urban - Biodiverse green roof</v>
      </c>
    </row>
    <row r="68" spans="1:4">
      <c r="A68" s="496" t="s">
        <v>1362</v>
      </c>
      <c r="D68" s="496" t="str">
        <f>'G-1 All Habitats'!B71</f>
        <v>Urban - Introduced shrub</v>
      </c>
    </row>
    <row r="69" spans="1:4">
      <c r="A69" s="496" t="s">
        <v>1363</v>
      </c>
      <c r="D69" s="496" t="str">
        <f>'G-1 All Habitats'!B72</f>
        <v>Urban - Open mosaic habitats on previously developed land</v>
      </c>
    </row>
    <row r="70" spans="1:4">
      <c r="A70" s="496" t="s">
        <v>1364</v>
      </c>
      <c r="D70" s="496" t="str">
        <f>'G-1 All Habitats'!B73</f>
        <v>Urban - Rain garden</v>
      </c>
    </row>
    <row r="71" spans="1:4">
      <c r="A71" s="496" t="s">
        <v>1365</v>
      </c>
      <c r="D71" s="496" t="str">
        <f>'G-1 All Habitats'!B74</f>
        <v>Urban - Actively worked sand pit quarry or open cast mine</v>
      </c>
    </row>
    <row r="72" spans="1:4">
      <c r="A72" s="496" t="s">
        <v>1366</v>
      </c>
      <c r="D72" s="496" t="str">
        <f>'G-1 All Habitats'!B80</f>
        <v>Individual trees - Urban tree</v>
      </c>
    </row>
    <row r="73" spans="1:4">
      <c r="A73" s="496" t="s">
        <v>1367</v>
      </c>
      <c r="D73" s="496" t="str">
        <f>'G-1 All Habitats'!B75</f>
        <v>Urban - Sustainable drainage system</v>
      </c>
    </row>
    <row r="74" spans="1:4">
      <c r="A74" s="496" t="s">
        <v>1368</v>
      </c>
      <c r="D74" s="496" t="str">
        <f>'G-1 All Habitats'!B76</f>
        <v>Urban - Unvegetated garden</v>
      </c>
    </row>
    <row r="75" spans="1:4">
      <c r="A75" s="496" t="s">
        <v>1369</v>
      </c>
      <c r="D75" s="496" t="str">
        <f>'G-1 All Habitats'!B77</f>
        <v>Urban - Vacant or derelict land</v>
      </c>
    </row>
    <row r="76" spans="1:4">
      <c r="A76" s="496" t="s">
        <v>1370</v>
      </c>
      <c r="D76" s="496" t="str">
        <f>'G-1 All Habitats'!B79</f>
        <v>Urban - Vegetated garden</v>
      </c>
    </row>
    <row r="77" spans="1:4">
      <c r="A77" s="496" t="s">
        <v>1371</v>
      </c>
      <c r="D77" s="496" t="str">
        <f>'G-1 All Habitats'!B82</f>
        <v>Wetland - Blanket bog</v>
      </c>
    </row>
    <row r="78" spans="1:4">
      <c r="A78" s="496" t="s">
        <v>1372</v>
      </c>
      <c r="D78" s="496" t="str">
        <f>'G-1 All Habitats'!B83</f>
        <v>Wetland - Depressions on peat substrates (H7150)</v>
      </c>
    </row>
    <row r="79" spans="1:4">
      <c r="A79" s="496" t="s">
        <v>1373</v>
      </c>
      <c r="D79" s="496" t="str">
        <f>'G-1 All Habitats'!B84</f>
        <v>Wetland - Fens (upland and lowland)</v>
      </c>
    </row>
    <row r="80" spans="1:4">
      <c r="A80" s="496" t="s">
        <v>1374</v>
      </c>
      <c r="D80" s="496" t="str">
        <f>'G-1 All Habitats'!B85</f>
        <v>Wetland - Lowland raised bog</v>
      </c>
    </row>
    <row r="81" spans="1:4">
      <c r="A81" s="496" t="s">
        <v>1375</v>
      </c>
      <c r="D81" s="496" t="str">
        <f>'G-1 All Habitats'!B86</f>
        <v>Wetland - Oceanic valley mire[1] (D2.1)</v>
      </c>
    </row>
    <row r="82" spans="1:4">
      <c r="A82" s="496" t="s">
        <v>1376</v>
      </c>
      <c r="D82" s="496" t="str">
        <f>'G-1 All Habitats'!B87</f>
        <v>Wetland - Purple moor grass and rush pastures</v>
      </c>
    </row>
    <row r="83" spans="1:4">
      <c r="A83" s="496" t="s">
        <v>1377</v>
      </c>
      <c r="D83" s="496" t="str">
        <f>'G-1 All Habitats'!B88</f>
        <v>Wetland - Reedbeds</v>
      </c>
    </row>
    <row r="84" spans="1:4">
      <c r="A84" s="496" t="s">
        <v>1378</v>
      </c>
      <c r="D84" s="496" t="str">
        <f>'G-1 All Habitats'!B89</f>
        <v>Wetland - Transition mires and quaking bogs (H7140)</v>
      </c>
    </row>
    <row r="85" spans="1:4">
      <c r="A85" s="496" t="s">
        <v>1379</v>
      </c>
      <c r="D85" s="496" t="str">
        <f>'G-1 All Habitats'!B90</f>
        <v>Woodland and forest - Felled</v>
      </c>
    </row>
    <row r="86" spans="1:4">
      <c r="A86" s="496" t="s">
        <v>1380</v>
      </c>
      <c r="D86" s="496" t="str">
        <f>'G-1 All Habitats'!B91</f>
        <v>Woodland and forest - Lowland beech and yew woodland</v>
      </c>
    </row>
    <row r="87" spans="1:4">
      <c r="A87" s="496" t="s">
        <v>1381</v>
      </c>
      <c r="D87" s="496" t="str">
        <f>'G-1 All Habitats'!B92</f>
        <v>Woodland and forest - Lowland mixed deciduous woodland</v>
      </c>
    </row>
    <row r="88" spans="1:4">
      <c r="A88" s="496" t="s">
        <v>1382</v>
      </c>
      <c r="D88" s="496" t="str">
        <f>'G-1 All Habitats'!B93</f>
        <v>Woodland and forest - Native pine woodlands</v>
      </c>
    </row>
    <row r="89" spans="1:4">
      <c r="A89" s="496" t="s">
        <v>1383</v>
      </c>
      <c r="D89" s="496" t="str">
        <f>'G-1 All Habitats'!B94</f>
        <v>Woodland and forest - Other coniferous woodland</v>
      </c>
    </row>
    <row r="90" spans="1:4">
      <c r="A90" s="496" t="s">
        <v>1384</v>
      </c>
      <c r="D90" s="496" t="str">
        <f>'G-1 All Habitats'!B95</f>
        <v>Woodland and forest - Other Scot's pine woodland</v>
      </c>
    </row>
    <row r="91" spans="1:4">
      <c r="A91" s="496" t="s">
        <v>1385</v>
      </c>
      <c r="D91" s="496" t="str">
        <f>'G-1 All Habitats'!B96</f>
        <v>Woodland and forest - Other woodland; broadleaved</v>
      </c>
    </row>
    <row r="92" spans="1:4">
      <c r="A92" s="496" t="s">
        <v>1386</v>
      </c>
      <c r="D92" s="496" t="str">
        <f>'G-1 All Habitats'!B97</f>
        <v>Woodland and forest - Other woodland; mixed</v>
      </c>
    </row>
    <row r="93" spans="1:4">
      <c r="A93" s="496" t="s">
        <v>1387</v>
      </c>
      <c r="D93" s="496" t="str">
        <f>'G-1 All Habitats'!B98</f>
        <v>Woodland and forest - Upland birchwoods</v>
      </c>
    </row>
    <row r="94" spans="1:4">
      <c r="A94" s="496" t="s">
        <v>1388</v>
      </c>
      <c r="D94" s="496" t="str">
        <f>'G-1 All Habitats'!B99</f>
        <v>Woodland and forest - Upland mixed ashwoods</v>
      </c>
    </row>
    <row r="95" spans="1:4">
      <c r="A95" s="496" t="s">
        <v>1389</v>
      </c>
      <c r="D95" s="496" t="str">
        <f>'G-1 All Habitats'!B100</f>
        <v>Woodland and forest - Upland oakwood</v>
      </c>
    </row>
    <row r="96" spans="1:4">
      <c r="A96" s="496" t="s">
        <v>1390</v>
      </c>
      <c r="D96" s="496" t="str">
        <f>'G-1 All Habitats'!B101</f>
        <v>Woodland and forest - Wet woodland</v>
      </c>
    </row>
    <row r="97" spans="1:4">
      <c r="A97" s="496" t="s">
        <v>1391</v>
      </c>
      <c r="D97" s="496" t="str">
        <f>'G-1 All Habitats'!B102</f>
        <v>Woodland and forest - Wood-pasture and parkland</v>
      </c>
    </row>
    <row r="98" spans="1:4">
      <c r="A98" s="496" t="s">
        <v>1392</v>
      </c>
      <c r="D98" s="496" t="str">
        <f>'G-1 All Habitats'!B103</f>
        <v>Coastal lagoons - Coastal lagoons</v>
      </c>
    </row>
    <row r="99" spans="1:4">
      <c r="A99" s="496" t="s">
        <v>1393</v>
      </c>
      <c r="D99" s="496" t="str">
        <f>'G-1 All Habitats'!B104</f>
        <v>Rocky shore - High energy littoral rock</v>
      </c>
    </row>
    <row r="100" spans="1:4">
      <c r="A100" s="496" t="s">
        <v>1394</v>
      </c>
      <c r="D100" s="496" t="str">
        <f>'G-1 All Habitats'!B105</f>
        <v>Rocky shore - High energy littoral rock - on peat, clay or chalk</v>
      </c>
    </row>
    <row r="101" spans="1:4">
      <c r="A101" s="496" t="s">
        <v>1395</v>
      </c>
      <c r="D101" s="496" t="str">
        <f>'G-1 All Habitats'!B106</f>
        <v>Rocky shore - Moderate energy littoral rock</v>
      </c>
    </row>
    <row r="102" spans="1:4">
      <c r="A102" s="496" t="s">
        <v>1396</v>
      </c>
      <c r="D102" s="496" t="str">
        <f>'G-1 All Habitats'!B107</f>
        <v>Rocky shore - Moderate energy littoral rock - on peat, clay or chalk</v>
      </c>
    </row>
    <row r="103" spans="1:4">
      <c r="A103" s="496" t="s">
        <v>1397</v>
      </c>
      <c r="D103" s="496" t="str">
        <f>'G-1 All Habitats'!B108</f>
        <v>Rocky shore - Low energy littoral rock</v>
      </c>
    </row>
    <row r="104" spans="1:4">
      <c r="A104" s="496" t="s">
        <v>1398</v>
      </c>
      <c r="D104" s="496" t="str">
        <f>'G-1 All Habitats'!B109</f>
        <v>Rocky shore - Low energy littoral rock - on peat, clay or chalk</v>
      </c>
    </row>
    <row r="105" spans="1:4">
      <c r="A105" s="496" t="s">
        <v>1399</v>
      </c>
      <c r="D105" s="496" t="str">
        <f>'G-1 All Habitats'!B110</f>
        <v>Rocky shore - Features of littoral rock</v>
      </c>
    </row>
    <row r="106" spans="1:4">
      <c r="A106" s="496" t="s">
        <v>1400</v>
      </c>
      <c r="D106" s="496" t="str">
        <f>'G-1 All Habitats'!B111</f>
        <v>Rocky shore - Features of littoral rock - on peat, clay or chalk</v>
      </c>
    </row>
    <row r="107" spans="1:4">
      <c r="A107" s="496" t="s">
        <v>1401</v>
      </c>
      <c r="D107" s="496" t="str">
        <f>'G-1 All Habitats'!B114</f>
        <v>Intertidal sediment - Littoral coarse sediment</v>
      </c>
    </row>
    <row r="108" spans="1:4">
      <c r="A108" s="496" t="s">
        <v>1402</v>
      </c>
      <c r="D108" s="496" t="str">
        <f>'G-1 All Habitats'!B115</f>
        <v>Intertidal sediment - Littoral mud</v>
      </c>
    </row>
    <row r="109" spans="1:4">
      <c r="A109" s="496" t="s">
        <v>1403</v>
      </c>
      <c r="D109" s="496" t="str">
        <f>'G-1 All Habitats'!B116</f>
        <v>Intertidal sediment - Littoral mixed sediments</v>
      </c>
    </row>
    <row r="110" spans="1:4">
      <c r="A110" s="496" t="s">
        <v>1404</v>
      </c>
      <c r="D110" s="496" t="str">
        <f>'G-1 All Habitats'!B112</f>
        <v>Coastal saltmarsh - Saltmarshes and saline reedbeds</v>
      </c>
    </row>
    <row r="111" spans="1:4">
      <c r="A111" s="496" t="s">
        <v>1405</v>
      </c>
      <c r="D111" s="496" t="str">
        <f>'G-1 All Habitats'!B117</f>
        <v>Intertidal sediment - Littoral seagrass</v>
      </c>
    </row>
    <row r="112" spans="1:4">
      <c r="A112" s="496" t="s">
        <v>1406</v>
      </c>
      <c r="D112" s="496" t="str">
        <f>'G-1 All Habitats'!B118</f>
        <v>Intertidal sediment - Littoral seagrass on peat, clay or chalk</v>
      </c>
    </row>
    <row r="113" spans="1:4">
      <c r="A113" s="496" t="s">
        <v>1407</v>
      </c>
      <c r="D113" s="496" t="str">
        <f>'G-1 All Habitats'!B120</f>
        <v>Intertidal sediment - Littoral biogenic reefs - Sabellaria</v>
      </c>
    </row>
    <row r="114" spans="1:4">
      <c r="A114" s="496" t="s">
        <v>1408</v>
      </c>
      <c r="D114" s="496" t="str">
        <f>'G-1 All Habitats'!B121</f>
        <v>Intertidal sediment - Features of littoral sediment</v>
      </c>
    </row>
    <row r="115" spans="1:4">
      <c r="A115" s="496" t="s">
        <v>1409</v>
      </c>
      <c r="D115" s="496" t="str">
        <f>'G-1 All Habitats'!B122</f>
        <v>Intertidal sediment - Artificial littoral coarse sediment</v>
      </c>
    </row>
    <row r="116" spans="1:4">
      <c r="A116" s="496" t="s">
        <v>1410</v>
      </c>
      <c r="D116" s="496" t="str">
        <f>'G-1 All Habitats'!B125</f>
        <v>Intertidal sediment - Artificial littoral muddy sand</v>
      </c>
    </row>
    <row r="117" spans="1:4">
      <c r="A117" s="496" t="s">
        <v>1411</v>
      </c>
      <c r="D117" s="496" t="str">
        <f>'G-1 All Habitats'!B126</f>
        <v>Intertidal sediment - Artificial littoral mixed sediments</v>
      </c>
    </row>
    <row r="118" spans="1:4">
      <c r="A118" s="496" t="s">
        <v>1412</v>
      </c>
      <c r="D118" s="496" t="str">
        <f>'G-1 All Habitats'!B127</f>
        <v>Intertidal sediment - Artificial littoral seagrass</v>
      </c>
    </row>
    <row r="119" spans="1:4">
      <c r="A119" s="496" t="s">
        <v>1413</v>
      </c>
      <c r="D119" s="496" t="str">
        <f>'G-1 All Habitats'!B128</f>
        <v>Intertidal sediment - Artificial littoral biogenic reefs</v>
      </c>
    </row>
    <row r="120" spans="1:4">
      <c r="A120" s="496" t="s">
        <v>1414</v>
      </c>
      <c r="D120" s="496" t="str">
        <f>'G-1 All Habitats'!B81</f>
        <v>Individual trees - Rural tree</v>
      </c>
    </row>
    <row r="121" spans="1:4">
      <c r="A121" s="496" t="s">
        <v>1415</v>
      </c>
      <c r="D121" s="496">
        <f>'G-1 All Habitats'!B135</f>
        <v>0</v>
      </c>
    </row>
    <row r="122" spans="1:4">
      <c r="A122" s="496" t="s">
        <v>1416</v>
      </c>
      <c r="D122" s="496">
        <f>'G-1 All Habitats'!B136</f>
        <v>0</v>
      </c>
    </row>
    <row r="123" spans="1:4">
      <c r="A123" s="496" t="s">
        <v>1417</v>
      </c>
      <c r="D123" s="496">
        <f>'G-1 All Habitats'!B137</f>
        <v>0</v>
      </c>
    </row>
    <row r="124" spans="1:4">
      <c r="A124" s="496" t="s">
        <v>1418</v>
      </c>
      <c r="D124" s="496">
        <f>'G-1 All Habitats'!B138</f>
        <v>0</v>
      </c>
    </row>
    <row r="125" spans="1:4">
      <c r="A125" s="496" t="s">
        <v>1419</v>
      </c>
      <c r="D125" s="496">
        <f>'G-1 All Habitats'!B139</f>
        <v>0</v>
      </c>
    </row>
    <row r="126" spans="1:4">
      <c r="A126" s="496" t="s">
        <v>1420</v>
      </c>
      <c r="D126" s="496">
        <f>'G-1 All Habitats'!B140</f>
        <v>0</v>
      </c>
    </row>
    <row r="127" spans="1:4">
      <c r="A127" s="496" t="s">
        <v>1421</v>
      </c>
      <c r="D127" s="496">
        <f>'G-1 All Habitats'!B141</f>
        <v>0</v>
      </c>
    </row>
    <row r="128" spans="1:4">
      <c r="A128" s="496" t="s">
        <v>1422</v>
      </c>
      <c r="D128" s="496">
        <f>'G-1 All Habitats'!B142</f>
        <v>0</v>
      </c>
    </row>
    <row r="129" spans="1:4">
      <c r="A129" s="496" t="s">
        <v>1423</v>
      </c>
      <c r="D129" s="496">
        <f>'G-1 All Habitats'!B143</f>
        <v>0</v>
      </c>
    </row>
    <row r="130" spans="1:4">
      <c r="A130" s="496" t="s">
        <v>1424</v>
      </c>
      <c r="D130" s="496">
        <f>'G-1 All Habitats'!B144</f>
        <v>0</v>
      </c>
    </row>
    <row r="131" spans="1:4">
      <c r="A131" s="496" t="s">
        <v>1425</v>
      </c>
      <c r="D131" s="496">
        <f>'G-1 All Habitats'!B145</f>
        <v>0</v>
      </c>
    </row>
    <row r="132" spans="1:4">
      <c r="A132" s="496" t="s">
        <v>1426</v>
      </c>
      <c r="D132" s="496">
        <f>'G-1 All Habitats'!B146</f>
        <v>0</v>
      </c>
    </row>
    <row r="133" spans="1:4">
      <c r="A133" s="496" t="s">
        <v>1427</v>
      </c>
      <c r="D133" s="496">
        <f>'G-1 All Habitats'!B147</f>
        <v>0</v>
      </c>
    </row>
    <row r="134" spans="1:4">
      <c r="A134" s="496" t="s">
        <v>1428</v>
      </c>
      <c r="D134" s="496">
        <f>'G-1 All Habitats'!B148</f>
        <v>0</v>
      </c>
    </row>
    <row r="135" spans="1:4">
      <c r="A135" s="496" t="s">
        <v>1429</v>
      </c>
      <c r="D135" s="496">
        <f>'G-1 All Habitats'!B149</f>
        <v>0</v>
      </c>
    </row>
    <row r="136" spans="1:4">
      <c r="A136" s="496" t="s">
        <v>1430</v>
      </c>
      <c r="D136" s="496">
        <f>'G-1 All Habitats'!B150</f>
        <v>0</v>
      </c>
    </row>
    <row r="137" spans="1:4">
      <c r="A137" s="496" t="s">
        <v>1431</v>
      </c>
      <c r="D137" s="496">
        <f>'G-1 All Habitats'!B151</f>
        <v>0</v>
      </c>
    </row>
    <row r="138" spans="1:4">
      <c r="A138" s="496" t="s">
        <v>1432</v>
      </c>
      <c r="D138" s="496">
        <f>'G-1 All Habitats'!B152</f>
        <v>0</v>
      </c>
    </row>
    <row r="139" spans="1:4">
      <c r="A139" s="496" t="s">
        <v>1433</v>
      </c>
      <c r="D139" s="496">
        <f>'G-1 All Habitats'!B153</f>
        <v>0</v>
      </c>
    </row>
    <row r="140" spans="1:4">
      <c r="A140" s="496" t="s">
        <v>1434</v>
      </c>
      <c r="D140" s="496">
        <f>'G-1 All Habitats'!B154</f>
        <v>0</v>
      </c>
    </row>
    <row r="141" spans="1:4">
      <c r="A141" s="496" t="s">
        <v>1435</v>
      </c>
    </row>
    <row r="142" spans="1:4">
      <c r="A142" s="496" t="s">
        <v>1436</v>
      </c>
    </row>
    <row r="143" spans="1:4">
      <c r="A143" s="496" t="s">
        <v>1437</v>
      </c>
    </row>
    <row r="144" spans="1:4">
      <c r="A144" s="496" t="s">
        <v>1438</v>
      </c>
    </row>
    <row r="145" spans="1:1">
      <c r="A145" s="496" t="s">
        <v>1439</v>
      </c>
    </row>
    <row r="146" spans="1:1">
      <c r="A146" s="496" t="s">
        <v>1440</v>
      </c>
    </row>
    <row r="147" spans="1:1">
      <c r="A147" s="496" t="s">
        <v>1441</v>
      </c>
    </row>
    <row r="148" spans="1:1">
      <c r="A148" s="496" t="s">
        <v>1442</v>
      </c>
    </row>
    <row r="149" spans="1:1">
      <c r="A149" s="496" t="s">
        <v>1443</v>
      </c>
    </row>
    <row r="150" spans="1:1">
      <c r="A150" s="496" t="s">
        <v>1444</v>
      </c>
    </row>
    <row r="151" spans="1:1">
      <c r="A151" s="496" t="s">
        <v>1445</v>
      </c>
    </row>
    <row r="152" spans="1:1">
      <c r="A152" s="496" t="s">
        <v>1446</v>
      </c>
    </row>
    <row r="153" spans="1:1">
      <c r="A153" s="496" t="s">
        <v>1447</v>
      </c>
    </row>
    <row r="154" spans="1:1">
      <c r="A154" s="496" t="s">
        <v>1448</v>
      </c>
    </row>
    <row r="155" spans="1:1">
      <c r="A155" s="496" t="s">
        <v>1449</v>
      </c>
    </row>
    <row r="156" spans="1:1">
      <c r="A156" s="496" t="s">
        <v>1450</v>
      </c>
    </row>
    <row r="157" spans="1:1">
      <c r="A157" s="496" t="s">
        <v>1451</v>
      </c>
    </row>
    <row r="158" spans="1:1">
      <c r="A158" s="496" t="s">
        <v>1452</v>
      </c>
    </row>
    <row r="159" spans="1:1">
      <c r="A159" s="496" t="s">
        <v>1453</v>
      </c>
    </row>
    <row r="160" spans="1:1">
      <c r="A160" s="496" t="s">
        <v>1454</v>
      </c>
    </row>
    <row r="161" spans="1:1">
      <c r="A161" s="496" t="s">
        <v>1455</v>
      </c>
    </row>
    <row r="162" spans="1:1">
      <c r="A162" s="496" t="s">
        <v>1456</v>
      </c>
    </row>
    <row r="163" spans="1:1">
      <c r="A163" s="496" t="s">
        <v>1457</v>
      </c>
    </row>
    <row r="164" spans="1:1">
      <c r="A164" s="496" t="s">
        <v>1458</v>
      </c>
    </row>
    <row r="165" spans="1:1">
      <c r="A165" s="496" t="s">
        <v>1459</v>
      </c>
    </row>
    <row r="166" spans="1:1">
      <c r="A166" s="496" t="s">
        <v>1460</v>
      </c>
    </row>
    <row r="167" spans="1:1">
      <c r="A167" s="496" t="s">
        <v>1461</v>
      </c>
    </row>
    <row r="168" spans="1:1">
      <c r="A168" s="496" t="s">
        <v>1462</v>
      </c>
    </row>
    <row r="169" spans="1:1">
      <c r="A169" s="496" t="s">
        <v>1463</v>
      </c>
    </row>
    <row r="170" spans="1:1">
      <c r="A170" s="496" t="s">
        <v>1464</v>
      </c>
    </row>
    <row r="171" spans="1:1">
      <c r="A171" s="496" t="s">
        <v>1465</v>
      </c>
    </row>
    <row r="172" spans="1:1">
      <c r="A172" s="496" t="s">
        <v>1466</v>
      </c>
    </row>
    <row r="173" spans="1:1">
      <c r="A173" s="496" t="s">
        <v>1467</v>
      </c>
    </row>
    <row r="174" spans="1:1">
      <c r="A174" s="496" t="s">
        <v>1468</v>
      </c>
    </row>
    <row r="175" spans="1:1">
      <c r="A175" s="496" t="s">
        <v>1469</v>
      </c>
    </row>
    <row r="176" spans="1:1">
      <c r="A176" s="496" t="s">
        <v>1470</v>
      </c>
    </row>
    <row r="177" spans="1:1">
      <c r="A177" s="496" t="s">
        <v>1471</v>
      </c>
    </row>
    <row r="178" spans="1:1">
      <c r="A178" s="496" t="s">
        <v>1472</v>
      </c>
    </row>
    <row r="179" spans="1:1">
      <c r="A179" s="496" t="s">
        <v>1473</v>
      </c>
    </row>
    <row r="180" spans="1:1">
      <c r="A180" s="496" t="s">
        <v>1474</v>
      </c>
    </row>
    <row r="181" spans="1:1">
      <c r="A181" s="496" t="s">
        <v>1475</v>
      </c>
    </row>
    <row r="182" spans="1:1">
      <c r="A182" s="496" t="s">
        <v>1476</v>
      </c>
    </row>
    <row r="183" spans="1:1">
      <c r="A183" s="496" t="s">
        <v>1477</v>
      </c>
    </row>
    <row r="184" spans="1:1">
      <c r="A184" s="496" t="s">
        <v>1478</v>
      </c>
    </row>
    <row r="185" spans="1:1">
      <c r="A185" s="496" t="s">
        <v>1479</v>
      </c>
    </row>
    <row r="186" spans="1:1">
      <c r="A186" s="496" t="s">
        <v>1480</v>
      </c>
    </row>
    <row r="187" spans="1:1">
      <c r="A187" s="496" t="s">
        <v>1481</v>
      </c>
    </row>
    <row r="188" spans="1:1">
      <c r="A188" s="496" t="s">
        <v>1482</v>
      </c>
    </row>
    <row r="189" spans="1:1">
      <c r="A189" s="496" t="s">
        <v>1483</v>
      </c>
    </row>
    <row r="190" spans="1:1">
      <c r="A190" s="496" t="s">
        <v>1484</v>
      </c>
    </row>
    <row r="191" spans="1:1">
      <c r="A191" s="496" t="s">
        <v>1485</v>
      </c>
    </row>
    <row r="192" spans="1:1">
      <c r="A192" s="496" t="s">
        <v>1486</v>
      </c>
    </row>
    <row r="193" spans="1:1">
      <c r="A193" s="496" t="s">
        <v>1487</v>
      </c>
    </row>
    <row r="194" spans="1:1">
      <c r="A194" s="496" t="s">
        <v>1488</v>
      </c>
    </row>
    <row r="195" spans="1:1">
      <c r="A195" s="496" t="s">
        <v>1489</v>
      </c>
    </row>
    <row r="196" spans="1:1">
      <c r="A196" s="496" t="s">
        <v>1490</v>
      </c>
    </row>
    <row r="197" spans="1:1">
      <c r="A197" s="496" t="s">
        <v>1491</v>
      </c>
    </row>
    <row r="198" spans="1:1">
      <c r="A198" s="496" t="s">
        <v>1492</v>
      </c>
    </row>
    <row r="199" spans="1:1">
      <c r="A199" s="496" t="s">
        <v>1493</v>
      </c>
    </row>
    <row r="200" spans="1:1">
      <c r="A200" s="496" t="s">
        <v>1494</v>
      </c>
    </row>
    <row r="201" spans="1:1">
      <c r="A201" s="496" t="s">
        <v>1495</v>
      </c>
    </row>
    <row r="202" spans="1:1">
      <c r="A202" s="496" t="s">
        <v>1496</v>
      </c>
    </row>
    <row r="203" spans="1:1">
      <c r="A203" s="496" t="s">
        <v>1497</v>
      </c>
    </row>
    <row r="204" spans="1:1">
      <c r="A204" s="496" t="s">
        <v>1498</v>
      </c>
    </row>
    <row r="205" spans="1:1">
      <c r="A205" s="496" t="s">
        <v>1499</v>
      </c>
    </row>
    <row r="206" spans="1:1">
      <c r="A206" s="496" t="s">
        <v>1500</v>
      </c>
    </row>
    <row r="207" spans="1:1">
      <c r="A207" s="496" t="s">
        <v>1501</v>
      </c>
    </row>
    <row r="208" spans="1:1">
      <c r="A208" s="496" t="s">
        <v>1502</v>
      </c>
    </row>
    <row r="209" spans="1:1">
      <c r="A209" s="496" t="s">
        <v>1503</v>
      </c>
    </row>
    <row r="210" spans="1:1">
      <c r="A210" s="496" t="s">
        <v>1504</v>
      </c>
    </row>
    <row r="211" spans="1:1">
      <c r="A211" s="496" t="s">
        <v>1505</v>
      </c>
    </row>
    <row r="212" spans="1:1">
      <c r="A212" s="496" t="s">
        <v>1506</v>
      </c>
    </row>
    <row r="213" spans="1:1">
      <c r="A213" s="496" t="s">
        <v>1507</v>
      </c>
    </row>
    <row r="214" spans="1:1">
      <c r="A214" s="496" t="s">
        <v>1508</v>
      </c>
    </row>
    <row r="215" spans="1:1">
      <c r="A215" s="496" t="s">
        <v>1509</v>
      </c>
    </row>
    <row r="216" spans="1:1">
      <c r="A216" s="496" t="s">
        <v>1510</v>
      </c>
    </row>
    <row r="217" spans="1:1">
      <c r="A217" s="496" t="s">
        <v>1511</v>
      </c>
    </row>
    <row r="218" spans="1:1">
      <c r="A218" s="496" t="s">
        <v>1512</v>
      </c>
    </row>
    <row r="219" spans="1:1">
      <c r="A219" s="496" t="s">
        <v>1513</v>
      </c>
    </row>
    <row r="220" spans="1:1">
      <c r="A220" s="496" t="s">
        <v>1514</v>
      </c>
    </row>
    <row r="221" spans="1:1">
      <c r="A221" s="496" t="s">
        <v>1515</v>
      </c>
    </row>
    <row r="222" spans="1:1">
      <c r="A222" s="496" t="s">
        <v>1516</v>
      </c>
    </row>
    <row r="223" spans="1:1">
      <c r="A223" s="496" t="s">
        <v>1517</v>
      </c>
    </row>
    <row r="224" spans="1:1">
      <c r="A224" s="496" t="s">
        <v>1518</v>
      </c>
    </row>
    <row r="225" spans="1:1">
      <c r="A225" s="496" t="s">
        <v>1519</v>
      </c>
    </row>
    <row r="226" spans="1:1">
      <c r="A226" s="496" t="s">
        <v>1520</v>
      </c>
    </row>
    <row r="227" spans="1:1">
      <c r="A227" s="496" t="s">
        <v>1521</v>
      </c>
    </row>
    <row r="228" spans="1:1">
      <c r="A228" s="496" t="s">
        <v>1522</v>
      </c>
    </row>
    <row r="229" spans="1:1">
      <c r="A229" s="496" t="s">
        <v>1523</v>
      </c>
    </row>
    <row r="230" spans="1:1">
      <c r="A230" s="496" t="s">
        <v>1524</v>
      </c>
    </row>
    <row r="231" spans="1:1">
      <c r="A231" s="496" t="s">
        <v>1525</v>
      </c>
    </row>
    <row r="232" spans="1:1">
      <c r="A232" s="496" t="s">
        <v>1526</v>
      </c>
    </row>
    <row r="233" spans="1:1">
      <c r="A233" s="496" t="s">
        <v>1527</v>
      </c>
    </row>
    <row r="234" spans="1:1">
      <c r="A234" s="496" t="s">
        <v>1528</v>
      </c>
    </row>
    <row r="235" spans="1:1">
      <c r="A235" s="496" t="s">
        <v>1529</v>
      </c>
    </row>
    <row r="236" spans="1:1">
      <c r="A236" s="496" t="s">
        <v>1530</v>
      </c>
    </row>
    <row r="237" spans="1:1">
      <c r="A237" s="496" t="s">
        <v>1531</v>
      </c>
    </row>
    <row r="238" spans="1:1">
      <c r="A238" s="496" t="s">
        <v>1532</v>
      </c>
    </row>
    <row r="239" spans="1:1">
      <c r="A239" s="496" t="s">
        <v>1533</v>
      </c>
    </row>
    <row r="240" spans="1:1">
      <c r="A240" s="496" t="s">
        <v>1534</v>
      </c>
    </row>
    <row r="241" spans="1:1">
      <c r="A241" s="496" t="s">
        <v>1535</v>
      </c>
    </row>
    <row r="242" spans="1:1">
      <c r="A242" s="496" t="s">
        <v>1536</v>
      </c>
    </row>
    <row r="243" spans="1:1">
      <c r="A243" s="496" t="s">
        <v>1537</v>
      </c>
    </row>
    <row r="244" spans="1:1">
      <c r="A244" s="496" t="s">
        <v>1538</v>
      </c>
    </row>
    <row r="245" spans="1:1">
      <c r="A245" s="496" t="s">
        <v>1539</v>
      </c>
    </row>
    <row r="246" spans="1:1">
      <c r="A246" s="496" t="s">
        <v>1540</v>
      </c>
    </row>
    <row r="247" spans="1:1">
      <c r="A247" s="496" t="s">
        <v>1541</v>
      </c>
    </row>
    <row r="248" spans="1:1">
      <c r="A248" s="496" t="s">
        <v>1542</v>
      </c>
    </row>
    <row r="249" spans="1:1">
      <c r="A249" s="496" t="s">
        <v>1543</v>
      </c>
    </row>
    <row r="250" spans="1:1">
      <c r="A250" s="496" t="s">
        <v>1544</v>
      </c>
    </row>
    <row r="251" spans="1:1">
      <c r="A251" s="496" t="s">
        <v>1545</v>
      </c>
    </row>
    <row r="252" spans="1:1">
      <c r="A252" s="496" t="s">
        <v>1546</v>
      </c>
    </row>
    <row r="253" spans="1:1">
      <c r="A253" s="496" t="s">
        <v>1547</v>
      </c>
    </row>
    <row r="254" spans="1:1">
      <c r="A254" s="496" t="s">
        <v>1548</v>
      </c>
    </row>
    <row r="255" spans="1:1">
      <c r="A255" s="496" t="s">
        <v>1549</v>
      </c>
    </row>
    <row r="256" spans="1:1">
      <c r="A256" s="496" t="s">
        <v>1550</v>
      </c>
    </row>
    <row r="257" spans="1:1">
      <c r="A257" s="496" t="s">
        <v>1551</v>
      </c>
    </row>
    <row r="258" spans="1:1">
      <c r="A258" s="496" t="s">
        <v>1552</v>
      </c>
    </row>
    <row r="259" spans="1:1">
      <c r="A259" s="496" t="s">
        <v>1553</v>
      </c>
    </row>
    <row r="260" spans="1:1">
      <c r="A260" s="496" t="s">
        <v>1554</v>
      </c>
    </row>
    <row r="261" spans="1:1">
      <c r="A261" s="496" t="s">
        <v>1555</v>
      </c>
    </row>
    <row r="262" spans="1:1">
      <c r="A262" s="496" t="s">
        <v>1556</v>
      </c>
    </row>
    <row r="263" spans="1:1">
      <c r="A263" s="496" t="s">
        <v>1557</v>
      </c>
    </row>
    <row r="264" spans="1:1">
      <c r="A264" s="496" t="s">
        <v>1558</v>
      </c>
    </row>
    <row r="265" spans="1:1">
      <c r="A265" s="496" t="s">
        <v>1559</v>
      </c>
    </row>
    <row r="266" spans="1:1">
      <c r="A266" s="496" t="s">
        <v>1560</v>
      </c>
    </row>
    <row r="267" spans="1:1">
      <c r="A267" s="496" t="s">
        <v>1561</v>
      </c>
    </row>
    <row r="268" spans="1:1">
      <c r="A268" s="496" t="s">
        <v>1562</v>
      </c>
    </row>
    <row r="269" spans="1:1">
      <c r="A269" s="496" t="s">
        <v>1563</v>
      </c>
    </row>
    <row r="270" spans="1:1">
      <c r="A270" s="496" t="s">
        <v>1564</v>
      </c>
    </row>
    <row r="271" spans="1:1">
      <c r="A271" s="496" t="s">
        <v>1565</v>
      </c>
    </row>
    <row r="272" spans="1:1">
      <c r="A272" s="496" t="s">
        <v>1566</v>
      </c>
    </row>
    <row r="273" spans="1:1">
      <c r="A273" s="496" t="s">
        <v>1567</v>
      </c>
    </row>
    <row r="274" spans="1:1">
      <c r="A274" s="496" t="s">
        <v>1568</v>
      </c>
    </row>
    <row r="275" spans="1:1">
      <c r="A275" s="496" t="s">
        <v>1569</v>
      </c>
    </row>
    <row r="276" spans="1:1">
      <c r="A276" s="496" t="s">
        <v>1570</v>
      </c>
    </row>
    <row r="277" spans="1:1">
      <c r="A277" s="496" t="s">
        <v>1571</v>
      </c>
    </row>
    <row r="278" spans="1:1">
      <c r="A278" s="496" t="s">
        <v>1572</v>
      </c>
    </row>
    <row r="279" spans="1:1">
      <c r="A279" s="496" t="s">
        <v>1573</v>
      </c>
    </row>
    <row r="280" spans="1:1">
      <c r="A280" s="496" t="s">
        <v>1574</v>
      </c>
    </row>
    <row r="281" spans="1:1">
      <c r="A281" s="496" t="s">
        <v>1575</v>
      </c>
    </row>
    <row r="282" spans="1:1">
      <c r="A282" s="496" t="s">
        <v>1576</v>
      </c>
    </row>
    <row r="283" spans="1:1">
      <c r="A283" s="496" t="s">
        <v>1577</v>
      </c>
    </row>
    <row r="284" spans="1:1">
      <c r="A284" s="496" t="s">
        <v>1578</v>
      </c>
    </row>
    <row r="285" spans="1:1">
      <c r="A285" s="496" t="s">
        <v>1579</v>
      </c>
    </row>
    <row r="286" spans="1:1">
      <c r="A286" s="496" t="s">
        <v>1580</v>
      </c>
    </row>
    <row r="287" spans="1:1">
      <c r="A287" s="496" t="s">
        <v>1581</v>
      </c>
    </row>
    <row r="288" spans="1:1">
      <c r="A288" s="496" t="s">
        <v>1582</v>
      </c>
    </row>
    <row r="289" spans="1:1">
      <c r="A289" s="496" t="s">
        <v>1583</v>
      </c>
    </row>
    <row r="290" spans="1:1">
      <c r="A290" s="496" t="s">
        <v>1584</v>
      </c>
    </row>
    <row r="291" spans="1:1">
      <c r="A291" s="496" t="s">
        <v>1585</v>
      </c>
    </row>
    <row r="292" spans="1:1">
      <c r="A292" s="496" t="s">
        <v>1586</v>
      </c>
    </row>
    <row r="293" spans="1:1">
      <c r="A293" s="496" t="s">
        <v>1587</v>
      </c>
    </row>
    <row r="294" spans="1:1">
      <c r="A294" s="496" t="s">
        <v>1588</v>
      </c>
    </row>
    <row r="295" spans="1:1">
      <c r="A295" s="496" t="s">
        <v>1589</v>
      </c>
    </row>
    <row r="296" spans="1:1">
      <c r="A296" s="496" t="s">
        <v>1590</v>
      </c>
    </row>
    <row r="297" spans="1:1">
      <c r="A297" s="496" t="s">
        <v>1591</v>
      </c>
    </row>
    <row r="298" spans="1:1">
      <c r="A298" s="496" t="s">
        <v>1592</v>
      </c>
    </row>
    <row r="299" spans="1:1">
      <c r="A299" s="496" t="s">
        <v>1593</v>
      </c>
    </row>
    <row r="300" spans="1:1">
      <c r="A300" s="496" t="s">
        <v>1594</v>
      </c>
    </row>
    <row r="301" spans="1:1">
      <c r="A301" s="496" t="s">
        <v>1595</v>
      </c>
    </row>
    <row r="302" spans="1:1">
      <c r="A302" s="496" t="s">
        <v>1596</v>
      </c>
    </row>
    <row r="303" spans="1:1">
      <c r="A303" s="496" t="s">
        <v>1597</v>
      </c>
    </row>
    <row r="304" spans="1:1">
      <c r="A304" s="496" t="s">
        <v>1598</v>
      </c>
    </row>
    <row r="305" spans="1:1">
      <c r="A305" s="496" t="s">
        <v>1599</v>
      </c>
    </row>
    <row r="306" spans="1:1">
      <c r="A306" s="496" t="s">
        <v>1600</v>
      </c>
    </row>
    <row r="307" spans="1:1">
      <c r="A307" s="496" t="s">
        <v>1601</v>
      </c>
    </row>
    <row r="308" spans="1:1">
      <c r="A308" s="496" t="s">
        <v>1602</v>
      </c>
    </row>
    <row r="309" spans="1:1">
      <c r="A309" s="496" t="s">
        <v>1603</v>
      </c>
    </row>
    <row r="310" spans="1:1">
      <c r="A310" s="496" t="s">
        <v>1604</v>
      </c>
    </row>
    <row r="311" spans="1:1">
      <c r="A311" s="496" t="s">
        <v>1605</v>
      </c>
    </row>
    <row r="312" spans="1:1">
      <c r="A312" s="496" t="s">
        <v>1606</v>
      </c>
    </row>
    <row r="313" spans="1:1">
      <c r="A313" s="496" t="s">
        <v>1607</v>
      </c>
    </row>
    <row r="314" spans="1:1">
      <c r="A314" s="496" t="s">
        <v>1608</v>
      </c>
    </row>
    <row r="315" spans="1:1">
      <c r="A315" s="496" t="s">
        <v>1609</v>
      </c>
    </row>
    <row r="316" spans="1:1">
      <c r="A316" s="496" t="s">
        <v>1610</v>
      </c>
    </row>
    <row r="317" spans="1:1">
      <c r="A317" s="496" t="s">
        <v>1611</v>
      </c>
    </row>
    <row r="318" spans="1:1">
      <c r="A318" s="496" t="s">
        <v>1612</v>
      </c>
    </row>
    <row r="319" spans="1:1">
      <c r="A319" s="496" t="s">
        <v>1613</v>
      </c>
    </row>
    <row r="320" spans="1:1">
      <c r="A320" s="496" t="s">
        <v>1614</v>
      </c>
    </row>
    <row r="321" spans="1:1">
      <c r="A321" s="496" t="s">
        <v>1615</v>
      </c>
    </row>
    <row r="322" spans="1:1">
      <c r="A322" s="496" t="s">
        <v>1616</v>
      </c>
    </row>
    <row r="323" spans="1:1">
      <c r="A323" s="496" t="s">
        <v>1617</v>
      </c>
    </row>
    <row r="324" spans="1:1">
      <c r="A324" s="496" t="s">
        <v>1618</v>
      </c>
    </row>
    <row r="325" spans="1:1">
      <c r="A325" s="496" t="s">
        <v>1619</v>
      </c>
    </row>
    <row r="326" spans="1:1">
      <c r="A326" s="496" t="s">
        <v>1620</v>
      </c>
    </row>
    <row r="327" spans="1:1">
      <c r="A327" s="496" t="s">
        <v>1621</v>
      </c>
    </row>
    <row r="328" spans="1:1">
      <c r="A328" s="496" t="s">
        <v>1622</v>
      </c>
    </row>
    <row r="329" spans="1:1">
      <c r="A329" s="496" t="s">
        <v>1623</v>
      </c>
    </row>
    <row r="330" spans="1:1">
      <c r="A330" s="496" t="s">
        <v>1624</v>
      </c>
    </row>
    <row r="331" spans="1:1">
      <c r="A331" s="496" t="s">
        <v>1625</v>
      </c>
    </row>
    <row r="332" spans="1:1">
      <c r="A332" s="496" t="s">
        <v>1626</v>
      </c>
    </row>
    <row r="333" spans="1:1">
      <c r="A333" s="496" t="s">
        <v>1627</v>
      </c>
    </row>
    <row r="334" spans="1:1">
      <c r="A334" s="496" t="s">
        <v>1628</v>
      </c>
    </row>
    <row r="335" spans="1:1">
      <c r="A335" s="496" t="s">
        <v>1629</v>
      </c>
    </row>
    <row r="336" spans="1:1">
      <c r="A336" s="496" t="s">
        <v>1630</v>
      </c>
    </row>
    <row r="337" spans="1:1">
      <c r="A337" s="496" t="s">
        <v>1631</v>
      </c>
    </row>
    <row r="338" spans="1:1">
      <c r="A338" s="496" t="s">
        <v>1632</v>
      </c>
    </row>
    <row r="339" spans="1:1">
      <c r="A339" s="496" t="s">
        <v>1633</v>
      </c>
    </row>
    <row r="340" spans="1:1">
      <c r="A340" s="496" t="s">
        <v>1634</v>
      </c>
    </row>
    <row r="341" spans="1:1">
      <c r="A341" s="496" t="s">
        <v>1635</v>
      </c>
    </row>
    <row r="342" spans="1:1">
      <c r="A342" s="496" t="s">
        <v>1636</v>
      </c>
    </row>
    <row r="343" spans="1:1">
      <c r="A343" s="496" t="s">
        <v>1637</v>
      </c>
    </row>
    <row r="344" spans="1:1">
      <c r="A344" s="496" t="s">
        <v>1638</v>
      </c>
    </row>
    <row r="345" spans="1:1">
      <c r="A345" s="496" t="s">
        <v>1639</v>
      </c>
    </row>
    <row r="346" spans="1:1">
      <c r="A346" s="496" t="s">
        <v>1640</v>
      </c>
    </row>
    <row r="347" spans="1:1">
      <c r="A347" s="496" t="s">
        <v>1641</v>
      </c>
    </row>
    <row r="348" spans="1:1">
      <c r="A348" s="496" t="s">
        <v>1642</v>
      </c>
    </row>
    <row r="349" spans="1:1">
      <c r="A349" s="496" t="s">
        <v>1643</v>
      </c>
    </row>
    <row r="350" spans="1:1">
      <c r="A350" s="496" t="s">
        <v>1644</v>
      </c>
    </row>
    <row r="351" spans="1:1">
      <c r="A351" s="496" t="s">
        <v>1645</v>
      </c>
    </row>
    <row r="352" spans="1:1">
      <c r="A352" s="496" t="s">
        <v>1646</v>
      </c>
    </row>
    <row r="353" spans="1:1">
      <c r="A353" s="496" t="s">
        <v>1647</v>
      </c>
    </row>
    <row r="354" spans="1:1">
      <c r="A354" s="496" t="s">
        <v>1648</v>
      </c>
    </row>
    <row r="355" spans="1:1">
      <c r="A355" s="496" t="s">
        <v>1649</v>
      </c>
    </row>
    <row r="356" spans="1:1">
      <c r="A356" s="496" t="s">
        <v>1650</v>
      </c>
    </row>
    <row r="357" spans="1:1">
      <c r="A357" s="496" t="s">
        <v>1651</v>
      </c>
    </row>
    <row r="358" spans="1:1">
      <c r="A358" s="496" t="s">
        <v>1652</v>
      </c>
    </row>
    <row r="359" spans="1:1">
      <c r="A359" s="496" t="s">
        <v>1653</v>
      </c>
    </row>
    <row r="360" spans="1:1">
      <c r="A360" s="496" t="s">
        <v>1654</v>
      </c>
    </row>
    <row r="361" spans="1:1">
      <c r="A361" s="496" t="s">
        <v>1655</v>
      </c>
    </row>
    <row r="362" spans="1:1">
      <c r="A362" s="496" t="s">
        <v>1656</v>
      </c>
    </row>
    <row r="363" spans="1:1">
      <c r="A363" s="496" t="s">
        <v>1657</v>
      </c>
    </row>
    <row r="364" spans="1:1">
      <c r="A364" s="496" t="s">
        <v>1658</v>
      </c>
    </row>
    <row r="365" spans="1:1">
      <c r="A365" s="496" t="s">
        <v>1659</v>
      </c>
    </row>
    <row r="366" spans="1:1">
      <c r="A366" s="496" t="s">
        <v>1660</v>
      </c>
    </row>
    <row r="367" spans="1:1">
      <c r="A367" s="496" t="s">
        <v>1661</v>
      </c>
    </row>
    <row r="368" spans="1:1">
      <c r="A368" s="496" t="s">
        <v>1662</v>
      </c>
    </row>
    <row r="369" spans="1:1">
      <c r="A369" s="496" t="s">
        <v>1663</v>
      </c>
    </row>
    <row r="370" spans="1:1">
      <c r="A370" s="496" t="s">
        <v>1664</v>
      </c>
    </row>
    <row r="371" spans="1:1">
      <c r="A371" s="496" t="s">
        <v>1665</v>
      </c>
    </row>
    <row r="372" spans="1:1">
      <c r="A372" s="496" t="s">
        <v>1666</v>
      </c>
    </row>
    <row r="373" spans="1:1">
      <c r="A373" s="496" t="s">
        <v>1667</v>
      </c>
    </row>
    <row r="374" spans="1:1">
      <c r="A374" s="496" t="s">
        <v>1668</v>
      </c>
    </row>
    <row r="375" spans="1:1">
      <c r="A375" s="496" t="s">
        <v>1669</v>
      </c>
    </row>
    <row r="376" spans="1:1">
      <c r="A376" s="496" t="s">
        <v>1670</v>
      </c>
    </row>
    <row r="377" spans="1:1">
      <c r="A377" s="496" t="s">
        <v>1671</v>
      </c>
    </row>
    <row r="378" spans="1:1">
      <c r="A378" s="496" t="s">
        <v>1672</v>
      </c>
    </row>
  </sheetData>
  <sheetProtection algorithmName="SHA-512" hashValue="nCT+F8vFE8QTBMNj/vaO3mWLgGzlIYUDNU8d2zQ5YyPkt/u1hstmrwrTyPYPB/c3fW5yVvwisNOt0VtEbciNLA==" saltValue="/HVOV5nhl61eivCmsuxolA==" spinCount="100000" sheet="1" objects="1" scenarios="1"/>
  <customSheetViews>
    <customSheetView guid="{8BDA793C-C9C5-4FC6-A0A5-F1109F6D4F22}" state="hidden" topLeftCell="B1">
      <selection activeCell="B7" sqref="B7"/>
    </customSheetView>
  </customSheetView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7">
    <tabColor theme="0" tint="-0.249977111117893"/>
    <pageSetUpPr autoPageBreaks="0"/>
  </sheetPr>
  <dimension ref="A1:AE53"/>
  <sheetViews>
    <sheetView showGridLines="0" showRowColHeaders="0" zoomScale="80" zoomScaleNormal="80" workbookViewId="0"/>
  </sheetViews>
  <sheetFormatPr defaultColWidth="0" defaultRowHeight="0" customHeight="1" zeroHeight="1"/>
  <cols>
    <col min="1" max="3" width="2.28515625" style="1" customWidth="1"/>
    <col min="4" max="4" width="18.7109375" style="1" customWidth="1"/>
    <col min="5" max="8" width="9.28515625" style="1" customWidth="1"/>
    <col min="9" max="9" width="7" style="1" customWidth="1"/>
    <col min="10" max="12" width="9.28515625" style="1" customWidth="1"/>
    <col min="13" max="13" width="12.28515625" style="1" customWidth="1"/>
    <col min="14" max="14" width="5.7109375" style="1" customWidth="1"/>
    <col min="15" max="15" width="9.28515625" style="1" customWidth="1"/>
    <col min="16" max="16" width="30" style="1" customWidth="1"/>
    <col min="17" max="17" width="13.7109375" style="1" bestFit="1" customWidth="1"/>
    <col min="18" max="18" width="12.7109375" style="1" bestFit="1" customWidth="1"/>
    <col min="19" max="19" width="9.28515625" style="1" customWidth="1"/>
    <col min="20" max="20" width="12.7109375" style="1" bestFit="1" customWidth="1"/>
    <col min="21" max="21" width="8.28515625" style="1" customWidth="1"/>
    <col min="22" max="22" width="12.7109375" style="1" bestFit="1" customWidth="1"/>
    <col min="23" max="23" width="9.5703125" style="1" customWidth="1"/>
    <col min="24" max="31" width="9.28515625" style="1" customWidth="1"/>
    <col min="32" max="16384" width="9.28515625" style="1" hidden="1"/>
  </cols>
  <sheetData>
    <row r="1" spans="1:23" ht="15.75" customHeight="1">
      <c r="B1" s="2"/>
      <c r="C1" s="2"/>
      <c r="E1" s="6"/>
      <c r="F1" s="1096"/>
      <c r="G1" s="1096"/>
      <c r="H1" s="1096"/>
      <c r="I1" s="1096"/>
      <c r="J1" s="1096"/>
      <c r="K1" s="1097"/>
      <c r="L1" s="1097"/>
      <c r="M1" s="1097"/>
      <c r="N1" s="1097"/>
      <c r="O1" s="1097"/>
    </row>
    <row r="2" spans="1:23" ht="15.75" customHeight="1">
      <c r="B2" s="2"/>
      <c r="C2" s="2"/>
      <c r="D2" s="1101"/>
      <c r="E2" s="1101"/>
    </row>
    <row r="3" spans="1:23" ht="15.75" customHeight="1">
      <c r="A3" s="6"/>
      <c r="B3" s="6"/>
      <c r="C3" s="6"/>
      <c r="D3" s="6"/>
      <c r="E3" s="6"/>
      <c r="F3" s="7"/>
      <c r="G3" s="7"/>
      <c r="H3" s="7"/>
      <c r="I3" s="7"/>
      <c r="J3" s="7"/>
      <c r="K3" s="7"/>
      <c r="L3" s="7"/>
      <c r="M3" s="7"/>
      <c r="N3" s="7"/>
      <c r="O3" s="7"/>
      <c r="P3" s="7"/>
      <c r="Q3" s="1094" t="s">
        <v>62</v>
      </c>
      <c r="R3" s="1095"/>
      <c r="S3" s="1095"/>
    </row>
    <row r="4" spans="1:23" ht="35.25" customHeight="1">
      <c r="A4" s="6"/>
      <c r="B4" s="6"/>
      <c r="C4" s="6"/>
      <c r="D4" s="6"/>
      <c r="E4" s="6"/>
      <c r="F4" s="7"/>
      <c r="G4" s="7"/>
      <c r="H4" s="7"/>
      <c r="I4" s="7"/>
      <c r="J4" s="7"/>
      <c r="K4" s="7"/>
      <c r="L4" s="7"/>
      <c r="M4" s="7"/>
      <c r="N4" s="7"/>
      <c r="O4" s="7"/>
      <c r="P4" s="7"/>
      <c r="Q4" s="1099" t="s">
        <v>63</v>
      </c>
      <c r="R4" s="1092" t="s">
        <v>64</v>
      </c>
      <c r="S4" s="1092"/>
      <c r="T4" s="1092"/>
      <c r="U4" s="1092"/>
      <c r="V4" s="1092"/>
      <c r="W4" s="1093"/>
    </row>
    <row r="5" spans="1:23" ht="16.5" customHeight="1">
      <c r="A5" s="6"/>
      <c r="B5" s="6"/>
      <c r="C5" s="6"/>
      <c r="D5" s="6"/>
      <c r="E5" s="6"/>
      <c r="F5" s="4"/>
      <c r="G5" s="4"/>
      <c r="H5" s="4"/>
      <c r="I5" s="4"/>
      <c r="J5" s="4"/>
      <c r="K5" s="4"/>
      <c r="L5" s="4"/>
      <c r="M5" s="4"/>
      <c r="N5" s="4"/>
      <c r="O5" s="4"/>
      <c r="P5" s="4"/>
      <c r="Q5" s="1100"/>
      <c r="R5" s="473" t="s">
        <v>65</v>
      </c>
      <c r="S5" s="474" t="s">
        <v>66</v>
      </c>
      <c r="T5" s="475" t="s">
        <v>67</v>
      </c>
      <c r="U5" s="474" t="s">
        <v>66</v>
      </c>
      <c r="V5" s="474" t="s">
        <v>68</v>
      </c>
      <c r="W5" s="474" t="s">
        <v>66</v>
      </c>
    </row>
    <row r="6" spans="1:23" ht="16.5" customHeight="1">
      <c r="B6" s="2"/>
      <c r="C6" s="2"/>
      <c r="D6" s="6"/>
      <c r="E6" s="6"/>
      <c r="F6" s="4"/>
      <c r="G6" s="4"/>
      <c r="H6" s="4"/>
      <c r="I6" s="4"/>
      <c r="J6" s="4"/>
      <c r="K6" s="4"/>
      <c r="L6" s="4"/>
      <c r="M6" s="4"/>
      <c r="N6" s="4"/>
      <c r="O6" s="4"/>
      <c r="P6" s="4"/>
      <c r="Q6" s="472" t="s">
        <v>69</v>
      </c>
      <c r="R6" s="21"/>
      <c r="S6" s="420">
        <f>R6*'G-3 Multipliers'!$Z$4</f>
        <v>0</v>
      </c>
      <c r="T6" s="21"/>
      <c r="U6" s="420">
        <f>T6*'G-3 Multipliers'!$Z$4</f>
        <v>0</v>
      </c>
      <c r="V6" s="21"/>
      <c r="W6" s="420">
        <f>V6*'G-3 Multipliers'!$Z$4</f>
        <v>0</v>
      </c>
    </row>
    <row r="7" spans="1:23" ht="16.5" customHeight="1">
      <c r="B7" s="2"/>
      <c r="C7" s="6"/>
      <c r="D7" s="6"/>
      <c r="E7" s="6"/>
      <c r="F7" s="4"/>
      <c r="G7" s="4"/>
      <c r="H7" s="4"/>
      <c r="I7" s="4"/>
      <c r="J7" s="4"/>
      <c r="K7" s="4"/>
      <c r="L7" s="4"/>
      <c r="M7" s="4"/>
      <c r="N7" s="4"/>
      <c r="O7" s="4"/>
      <c r="P7" s="4"/>
      <c r="Q7" s="472" t="s">
        <v>70</v>
      </c>
      <c r="R7" s="21"/>
      <c r="S7" s="420">
        <f>R7*'G-3 Multipliers'!$Z$5</f>
        <v>0</v>
      </c>
      <c r="T7" s="21"/>
      <c r="U7" s="420">
        <f>T7*'G-3 Multipliers'!$Z$5</f>
        <v>0</v>
      </c>
      <c r="V7" s="21"/>
      <c r="W7" s="420">
        <f>V7*'G-3 Multipliers'!$Z$5</f>
        <v>0</v>
      </c>
    </row>
    <row r="8" spans="1:23" ht="18" customHeight="1">
      <c r="B8" s="2"/>
      <c r="C8" s="2"/>
      <c r="D8" s="6"/>
      <c r="E8" s="6"/>
      <c r="F8" s="4"/>
      <c r="G8" s="4"/>
      <c r="H8" s="4"/>
      <c r="I8" s="4"/>
      <c r="J8" s="4"/>
      <c r="K8" s="4"/>
      <c r="L8" s="4"/>
      <c r="M8" s="4"/>
      <c r="N8" s="4"/>
      <c r="O8" s="4"/>
      <c r="P8" s="4"/>
      <c r="Q8" s="472" t="s">
        <v>71</v>
      </c>
      <c r="R8" s="21"/>
      <c r="S8" s="420">
        <f>R8*'G-3 Multipliers'!$Z$6</f>
        <v>0</v>
      </c>
      <c r="T8" s="21"/>
      <c r="U8" s="420">
        <f>T8*'G-3 Multipliers'!$Z$6</f>
        <v>0</v>
      </c>
      <c r="V8" s="21"/>
      <c r="W8" s="420">
        <f>V8*'G-3 Multipliers'!$Z$6</f>
        <v>0</v>
      </c>
    </row>
    <row r="9" spans="1:23" ht="16.5" customHeight="1">
      <c r="B9" s="2"/>
      <c r="C9" s="2"/>
      <c r="D9" s="3"/>
      <c r="E9" s="3"/>
      <c r="F9" s="4"/>
      <c r="G9" s="4"/>
      <c r="H9" s="4"/>
      <c r="I9" s="4"/>
      <c r="J9" s="4"/>
      <c r="K9" s="4"/>
      <c r="L9" s="4"/>
      <c r="M9" s="4"/>
      <c r="N9" s="4"/>
      <c r="O9" s="4"/>
      <c r="P9" s="4"/>
      <c r="Q9" s="472" t="s">
        <v>72</v>
      </c>
      <c r="R9" s="491">
        <f t="shared" ref="R9:W9" si="0">SUM(R6:R8)</f>
        <v>0</v>
      </c>
      <c r="S9" s="419">
        <f t="shared" si="0"/>
        <v>0</v>
      </c>
      <c r="T9" s="491">
        <f t="shared" si="0"/>
        <v>0</v>
      </c>
      <c r="U9" s="419">
        <f t="shared" si="0"/>
        <v>0</v>
      </c>
      <c r="V9" s="491">
        <f t="shared" si="0"/>
        <v>0</v>
      </c>
      <c r="W9" s="419">
        <f t="shared" si="0"/>
        <v>0</v>
      </c>
    </row>
    <row r="10" spans="1:23" ht="30" customHeight="1">
      <c r="B10" s="2"/>
      <c r="C10" s="2"/>
      <c r="D10" s="5"/>
      <c r="E10" s="5"/>
      <c r="F10" s="1098"/>
      <c r="G10" s="1098"/>
      <c r="H10" s="1098"/>
      <c r="I10" s="1098"/>
      <c r="J10" s="1098"/>
      <c r="K10" s="1098"/>
      <c r="L10" s="1098"/>
      <c r="M10" s="1098"/>
      <c r="N10" s="1098"/>
      <c r="O10" s="1098"/>
      <c r="P10" s="1098"/>
    </row>
    <row r="11" spans="1:23" ht="16.5" customHeight="1">
      <c r="B11" s="2"/>
      <c r="C11" s="2"/>
    </row>
    <row r="12" spans="1:23" ht="16.5" customHeight="1">
      <c r="B12" s="2"/>
      <c r="C12" s="2"/>
    </row>
    <row r="13" spans="1:23" ht="16.5" customHeight="1">
      <c r="B13" s="2"/>
      <c r="C13" s="2"/>
    </row>
    <row r="14" spans="1:23" ht="16.5" customHeight="1">
      <c r="B14" s="2"/>
      <c r="C14" s="2"/>
    </row>
    <row r="15" spans="1:23" ht="16.5" customHeight="1">
      <c r="B15" s="2"/>
      <c r="C15" s="2"/>
    </row>
    <row r="16" spans="1:23" ht="16.5" customHeight="1"/>
    <row r="17" ht="16.5" customHeight="1"/>
    <row r="18" ht="16.5" customHeight="1"/>
    <row r="19" ht="16.5" customHeight="1"/>
    <row r="20" ht="16.5" customHeight="1"/>
    <row r="21" ht="16.5" customHeight="1"/>
    <row r="22" ht="16.5" customHeight="1"/>
    <row r="23" ht="16.5" customHeight="1"/>
    <row r="24" ht="16.5" customHeight="1"/>
    <row r="25" ht="16.5" customHeight="1"/>
    <row r="26" ht="16.5" customHeight="1"/>
    <row r="27" ht="15"/>
    <row r="28" ht="15"/>
    <row r="29" ht="15"/>
    <row r="30" ht="15"/>
    <row r="31" ht="15"/>
    <row r="32" ht="15"/>
    <row r="33" ht="15"/>
    <row r="34" ht="15"/>
    <row r="35" ht="15"/>
    <row r="36" ht="15"/>
    <row r="37" ht="15"/>
    <row r="38" ht="15"/>
    <row r="39" ht="89.65" customHeight="1"/>
    <row r="40" ht="15"/>
    <row r="41" ht="15"/>
    <row r="42" ht="15"/>
    <row r="43" ht="15"/>
    <row r="44" ht="15"/>
    <row r="45" ht="15"/>
    <row r="46" ht="15"/>
    <row r="47" ht="15"/>
    <row r="48" ht="15"/>
    <row r="49" ht="15"/>
    <row r="50" ht="15"/>
    <row r="51" ht="15"/>
    <row r="52" ht="18.600000000000001" customHeight="1"/>
    <row r="53" ht="15" hidden="1"/>
  </sheetData>
  <sheetProtection algorithmName="SHA-512" hashValue="GoZSUFw6RSiw5n1ACIbW9cTChZ1QDAIA8NKOZTTFw7imuTfCRTSGnJ4Krh8L2PvJCE4p8ob73XONFjp51HBpWA==" saltValue="PXsHY6e1sIcvSGFlEHrfnw==" spinCount="100000" sheet="1" objects="1" scenarios="1"/>
  <customSheetViews>
    <customSheetView guid="{8BDA793C-C9C5-4FC6-A0A5-F1109F6D4F22}" scale="70">
      <selection sqref="A1:XFD1048576"/>
    </customSheetView>
  </customSheetViews>
  <mergeCells count="7">
    <mergeCell ref="D2:E2"/>
    <mergeCell ref="R4:W4"/>
    <mergeCell ref="Q3:S3"/>
    <mergeCell ref="F1:J1"/>
    <mergeCell ref="K1:O1"/>
    <mergeCell ref="F10:P10"/>
    <mergeCell ref="Q4:Q5"/>
  </mergeCells>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36">
    <tabColor rgb="FFF4D4D4"/>
  </sheetPr>
  <dimension ref="A1:AE53"/>
  <sheetViews>
    <sheetView showGridLines="0" showRowColHeaders="0" zoomScale="80" zoomScaleNormal="80" workbookViewId="0"/>
  </sheetViews>
  <sheetFormatPr defaultColWidth="0" defaultRowHeight="0" customHeight="1" zeroHeight="1"/>
  <cols>
    <col min="1" max="3" width="2.28515625" style="203" customWidth="1"/>
    <col min="4" max="4" width="18.7109375" style="203" customWidth="1"/>
    <col min="5" max="8" width="9.28515625" style="203" customWidth="1"/>
    <col min="9" max="9" width="7" style="203" customWidth="1"/>
    <col min="10" max="12" width="9.28515625" style="203" customWidth="1"/>
    <col min="13" max="13" width="12.28515625" style="203" customWidth="1"/>
    <col min="14" max="14" width="5.7109375" style="203" customWidth="1"/>
    <col min="15" max="15" width="9.28515625" style="203" customWidth="1"/>
    <col min="16" max="16" width="34.5703125" style="203" customWidth="1"/>
    <col min="17" max="17" width="13.7109375" style="203" bestFit="1" customWidth="1"/>
    <col min="18" max="18" width="19.28515625" style="203" customWidth="1"/>
    <col min="19" max="31" width="9.28515625" style="203" customWidth="1"/>
    <col min="32" max="16384" width="9.28515625" style="203" hidden="1"/>
  </cols>
  <sheetData>
    <row r="1" spans="1:18" ht="15.75" customHeight="1">
      <c r="B1" s="204"/>
      <c r="C1" s="204"/>
      <c r="E1" s="205"/>
      <c r="F1" s="1102"/>
      <c r="G1" s="1102"/>
      <c r="H1" s="1102"/>
      <c r="I1" s="1102"/>
      <c r="J1" s="1102"/>
      <c r="K1" s="1103"/>
      <c r="L1" s="1103"/>
      <c r="M1" s="1103"/>
      <c r="N1" s="1103"/>
      <c r="O1" s="1103"/>
    </row>
    <row r="2" spans="1:18" ht="15.75" customHeight="1">
      <c r="B2" s="204"/>
      <c r="C2" s="204"/>
      <c r="E2" s="205"/>
    </row>
    <row r="3" spans="1:18" ht="15.75" customHeight="1">
      <c r="A3" s="205"/>
      <c r="B3" s="205"/>
      <c r="C3" s="205"/>
      <c r="D3" s="205"/>
      <c r="E3" s="205"/>
      <c r="F3" s="206"/>
      <c r="G3" s="206"/>
      <c r="H3" s="206"/>
      <c r="I3" s="206"/>
      <c r="J3" s="206"/>
      <c r="K3" s="206"/>
      <c r="L3" s="206"/>
      <c r="M3" s="206"/>
      <c r="N3" s="206"/>
      <c r="O3" s="206"/>
      <c r="P3" s="206"/>
    </row>
    <row r="4" spans="1:18" ht="16.5" customHeight="1">
      <c r="A4" s="205"/>
      <c r="B4" s="205"/>
      <c r="C4" s="205"/>
      <c r="D4" s="205"/>
      <c r="E4" s="205"/>
      <c r="F4" s="206"/>
      <c r="G4" s="206"/>
      <c r="H4" s="206"/>
      <c r="I4" s="206"/>
      <c r="J4" s="206"/>
      <c r="K4" s="206"/>
      <c r="L4" s="206"/>
      <c r="M4" s="206"/>
      <c r="N4" s="206"/>
      <c r="O4" s="206"/>
      <c r="P4" s="206"/>
    </row>
    <row r="5" spans="1:18" ht="16.5" customHeight="1">
      <c r="A5" s="205"/>
      <c r="B5" s="205"/>
      <c r="C5" s="205"/>
      <c r="D5" s="205"/>
      <c r="E5" s="205"/>
      <c r="F5" s="207"/>
      <c r="G5" s="207"/>
      <c r="H5" s="207"/>
      <c r="I5" s="207"/>
      <c r="J5" s="207"/>
      <c r="K5" s="207"/>
      <c r="L5" s="207"/>
      <c r="M5" s="207"/>
      <c r="N5" s="207"/>
      <c r="O5" s="207"/>
      <c r="P5" s="207"/>
      <c r="Q5" s="207"/>
      <c r="R5" s="207"/>
    </row>
    <row r="6" spans="1:18" ht="16.5" customHeight="1">
      <c r="B6" s="204"/>
      <c r="C6" s="204"/>
      <c r="D6" s="205"/>
      <c r="E6" s="205"/>
      <c r="F6" s="207"/>
      <c r="G6" s="207"/>
      <c r="H6" s="207"/>
      <c r="I6" s="207"/>
      <c r="J6" s="207"/>
      <c r="K6" s="207"/>
      <c r="L6" s="207"/>
      <c r="M6" s="207"/>
      <c r="N6" s="207"/>
      <c r="O6" s="207"/>
      <c r="P6" s="207"/>
      <c r="Q6" s="207"/>
      <c r="R6" s="207"/>
    </row>
    <row r="7" spans="1:18" ht="16.5" customHeight="1">
      <c r="B7" s="204"/>
      <c r="C7" s="205"/>
      <c r="D7" s="205"/>
      <c r="E7" s="205"/>
      <c r="F7" s="207"/>
      <c r="G7" s="207"/>
      <c r="H7" s="207"/>
      <c r="I7" s="207"/>
      <c r="J7" s="207"/>
      <c r="K7" s="207"/>
      <c r="L7" s="207"/>
      <c r="M7" s="207"/>
      <c r="N7" s="207"/>
      <c r="O7" s="207"/>
      <c r="P7" s="207"/>
      <c r="Q7" s="207"/>
      <c r="R7" s="207"/>
    </row>
    <row r="8" spans="1:18" ht="16.5" customHeight="1">
      <c r="B8" s="204"/>
      <c r="C8" s="204"/>
      <c r="D8" s="205"/>
      <c r="E8" s="205"/>
      <c r="F8" s="207"/>
      <c r="G8" s="207"/>
      <c r="H8" s="207"/>
      <c r="I8" s="207"/>
      <c r="J8" s="207"/>
      <c r="K8" s="207"/>
      <c r="L8" s="207"/>
      <c r="M8" s="207"/>
      <c r="N8" s="207"/>
      <c r="O8" s="207"/>
      <c r="P8" s="207"/>
      <c r="Q8" s="207"/>
      <c r="R8" s="207"/>
    </row>
    <row r="9" spans="1:18" ht="16.5" customHeight="1">
      <c r="B9" s="204"/>
      <c r="C9" s="204"/>
      <c r="D9" s="208"/>
      <c r="E9" s="208"/>
      <c r="F9" s="207"/>
      <c r="G9" s="207"/>
      <c r="H9" s="207"/>
      <c r="I9" s="207"/>
      <c r="J9" s="207"/>
      <c r="K9" s="207"/>
      <c r="L9" s="207"/>
      <c r="M9" s="207"/>
      <c r="N9" s="207"/>
      <c r="O9" s="207"/>
      <c r="P9" s="207"/>
      <c r="Q9" s="207"/>
      <c r="R9" s="207"/>
    </row>
    <row r="10" spans="1:18" ht="30" customHeight="1">
      <c r="B10" s="204"/>
      <c r="C10" s="204"/>
      <c r="D10" s="1104"/>
      <c r="E10" s="1104"/>
      <c r="F10" s="1104"/>
      <c r="G10" s="1104"/>
      <c r="H10" s="1104"/>
      <c r="I10" s="1104"/>
      <c r="J10" s="1104"/>
      <c r="K10" s="1104"/>
      <c r="L10" s="1104"/>
      <c r="M10" s="1104"/>
    </row>
    <row r="11" spans="1:18" ht="16.5" customHeight="1">
      <c r="B11" s="204"/>
      <c r="C11" s="204"/>
    </row>
    <row r="12" spans="1:18" ht="16.5" customHeight="1">
      <c r="B12" s="204"/>
      <c r="C12" s="204"/>
    </row>
    <row r="13" spans="1:18" ht="16.5" customHeight="1">
      <c r="B13" s="204"/>
      <c r="C13" s="204"/>
    </row>
    <row r="14" spans="1:18" ht="16.5" customHeight="1">
      <c r="B14" s="204"/>
      <c r="C14" s="204"/>
    </row>
    <row r="15" spans="1:18" ht="16.5" customHeight="1">
      <c r="B15" s="204"/>
      <c r="C15" s="204"/>
    </row>
    <row r="16" spans="1:18" ht="16.5" customHeight="1"/>
    <row r="17" ht="16.5" customHeight="1"/>
    <row r="18" ht="16.5" customHeight="1"/>
    <row r="19" ht="16.5" customHeight="1"/>
    <row r="20" ht="16.5" customHeight="1"/>
    <row r="21" ht="16.5" customHeight="1"/>
    <row r="22" ht="16.5" customHeight="1"/>
    <row r="23" ht="16.5" customHeight="1"/>
    <row r="24" ht="16.5" customHeight="1"/>
    <row r="25" ht="16.5" customHeight="1"/>
    <row r="26" ht="16.5" customHeight="1"/>
    <row r="27" ht="15"/>
    <row r="28" ht="15"/>
    <row r="29" ht="15"/>
    <row r="30" ht="15"/>
    <row r="31" ht="15"/>
    <row r="32" ht="15"/>
    <row r="33" ht="15"/>
    <row r="34" ht="15"/>
    <row r="35" ht="15"/>
    <row r="36" ht="15"/>
    <row r="37" ht="15"/>
    <row r="38" ht="15"/>
    <row r="39" ht="15"/>
    <row r="40" ht="15"/>
    <row r="41" ht="15"/>
    <row r="42" ht="15"/>
    <row r="43" ht="15"/>
    <row r="44" ht="15"/>
    <row r="45" ht="15"/>
    <row r="46" ht="15"/>
    <row r="47" ht="15"/>
    <row r="48" ht="15"/>
    <row r="49" ht="15"/>
    <row r="50" ht="15"/>
    <row r="51" ht="15"/>
    <row r="52" ht="15"/>
    <row r="53" ht="15" hidden="1"/>
  </sheetData>
  <sheetProtection algorithmName="SHA-512" hashValue="fUKYraAcL5olFKZE4lUL2G7f6cMd+G/jPKAlU773nxMHwrsywM6u7MTu4HpkFdLz+5dlhndzYXQsVNQceWpIlw==" saltValue="BNGpMEyQa7DMfQoB/DhDdw==" spinCount="100000" sheet="1" objects="1" scenarios="1"/>
  <customSheetViews>
    <customSheetView guid="{8BDA793C-C9C5-4FC6-A0A5-F1109F6D4F22}"/>
  </customSheetViews>
  <mergeCells count="3">
    <mergeCell ref="F1:J1"/>
    <mergeCell ref="K1:O1"/>
    <mergeCell ref="D10:M10"/>
  </mergeCells>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9">
    <tabColor rgb="FFF4D4D4"/>
  </sheetPr>
  <dimension ref="A1:XFC129"/>
  <sheetViews>
    <sheetView showGridLines="0" showRowColHeaders="0" topLeftCell="A43" zoomScale="80" zoomScaleNormal="80" workbookViewId="0">
      <selection activeCell="B45" sqref="B45:I55"/>
    </sheetView>
  </sheetViews>
  <sheetFormatPr defaultColWidth="0" defaultRowHeight="15" zeroHeight="1"/>
  <cols>
    <col min="1" max="1" width="10.7109375" style="22" customWidth="1"/>
    <col min="2" max="2" width="31.42578125" style="22" customWidth="1"/>
    <col min="3" max="3" width="13.7109375" style="22" customWidth="1"/>
    <col min="4" max="4" width="13.42578125" style="22" customWidth="1"/>
    <col min="5" max="5" width="36.5703125" style="22" customWidth="1"/>
    <col min="6" max="7" width="11.7109375" style="22" customWidth="1"/>
    <col min="8" max="8" width="13.28515625" style="22" customWidth="1"/>
    <col min="9" max="9" width="11.7109375" style="22" customWidth="1"/>
    <col min="10" max="10" width="23.28515625" style="22" customWidth="1"/>
    <col min="11" max="11" width="50.7109375" style="22" customWidth="1"/>
    <col min="12" max="12" width="15.5703125" style="22" hidden="1"/>
    <col min="13" max="13" width="40.5703125" style="22" hidden="1"/>
    <col min="14" max="14" width="13.5703125" style="22" hidden="1"/>
    <col min="15" max="16383" width="8.7109375" style="22" hidden="1"/>
    <col min="16384" max="16384" width="22.5703125" style="22" hidden="1"/>
  </cols>
  <sheetData>
    <row r="1" spans="2:22" ht="15.75" customHeight="1" thickBot="1"/>
    <row r="2" spans="2:22" ht="19.149999999999999" customHeight="1" thickBot="1">
      <c r="B2" s="1136" t="str">
        <f>IF(Start!$F$12="","",Start!$F$12)</f>
        <v>Grove Farm Solar</v>
      </c>
      <c r="C2" s="1137"/>
      <c r="D2" s="1138"/>
      <c r="F2" s="1153" t="str">
        <f>IF(OR(B56="This metric contains deviations from the statutory metric - these deviations are only acceptable in extremely rare circumstances and must be agreed with the consenting body ⚠",B57="You must specify if irreplaceable habitats are on-site at baseline ▲",B58="Unacceptable loss of irreplaceable habitat recorded - no bespoke compensation for lossess has been agreed  ▲"),"Errors flagged below - please investigate further ▲","")</f>
        <v/>
      </c>
      <c r="G2" s="1153"/>
      <c r="H2" s="1153"/>
      <c r="I2" s="1153"/>
    </row>
    <row r="3" spans="2:22" ht="15.75" customHeight="1">
      <c r="B3" s="1130" t="str">
        <f ca="1">MID(CELL("filename",A1),FIND("]",CELL("filename",A1))+1,256)</f>
        <v>Headline Results</v>
      </c>
      <c r="C3" s="1131"/>
      <c r="D3" s="1132"/>
      <c r="F3" s="1153"/>
      <c r="G3" s="1153"/>
      <c r="H3" s="1153"/>
      <c r="I3" s="1153"/>
    </row>
    <row r="4" spans="2:22" ht="15.75" customHeight="1" thickBot="1">
      <c r="B4" s="1133"/>
      <c r="C4" s="1134"/>
      <c r="D4" s="1135"/>
      <c r="F4" s="1153"/>
      <c r="G4" s="1153"/>
      <c r="H4" s="1153"/>
      <c r="I4" s="1153"/>
    </row>
    <row r="5" spans="2:22" ht="10.15" customHeight="1">
      <c r="B5" s="1192" t="s">
        <v>73</v>
      </c>
      <c r="C5" s="1193"/>
      <c r="D5" s="1194"/>
      <c r="F5" s="1153"/>
      <c r="G5" s="1153"/>
      <c r="H5" s="1153"/>
      <c r="I5" s="1153"/>
    </row>
    <row r="6" spans="2:22" ht="10.15" customHeight="1">
      <c r="B6" s="1195"/>
      <c r="C6" s="1196"/>
      <c r="D6" s="1197"/>
      <c r="K6" s="23"/>
      <c r="L6" s="23"/>
      <c r="M6" s="23"/>
      <c r="N6" s="23"/>
    </row>
    <row r="7" spans="2:22" ht="10.15" customHeight="1" thickBot="1">
      <c r="B7" s="1198"/>
      <c r="C7" s="1199"/>
      <c r="D7" s="1200"/>
      <c r="K7" s="23"/>
      <c r="L7" s="23"/>
      <c r="M7" s="23"/>
      <c r="N7" s="23"/>
      <c r="O7" s="24"/>
      <c r="Q7" s="24"/>
      <c r="R7" s="24"/>
    </row>
    <row r="8" spans="2:22" ht="22.15" customHeight="1">
      <c r="B8" s="1118" t="s">
        <v>74</v>
      </c>
      <c r="C8" s="1119"/>
      <c r="D8" s="1119"/>
      <c r="E8" s="1119"/>
      <c r="F8" s="1127" t="s">
        <v>75</v>
      </c>
      <c r="G8" s="1128"/>
      <c r="H8" s="1141">
        <f>IFERROR('A-1 On-Site Habitat Baseline'!Q259,"Check Data ⚠")</f>
        <v>96.691999999999979</v>
      </c>
      <c r="I8" s="1142"/>
      <c r="J8" s="25"/>
      <c r="K8" s="23"/>
      <c r="L8" s="23"/>
      <c r="M8" s="23"/>
      <c r="N8" s="23"/>
      <c r="O8" s="24"/>
      <c r="P8" s="24"/>
      <c r="Q8" s="24"/>
      <c r="R8" s="24"/>
      <c r="S8" s="24"/>
    </row>
    <row r="9" spans="2:22" ht="22.15" customHeight="1">
      <c r="B9" s="1121"/>
      <c r="C9" s="1122"/>
      <c r="D9" s="1122"/>
      <c r="E9" s="1122"/>
      <c r="F9" s="1107" t="s">
        <v>76</v>
      </c>
      <c r="G9" s="1108"/>
      <c r="H9" s="1143">
        <f>IFERROR('B-1 On-Site Hedge Baseline'!N258,"Check Data ⚠")</f>
        <v>16.240000000000002</v>
      </c>
      <c r="I9" s="1144"/>
      <c r="K9" s="23"/>
      <c r="L9" s="23"/>
      <c r="M9" s="23"/>
      <c r="N9" s="23"/>
    </row>
    <row r="10" spans="2:22" ht="22.15" customHeight="1" thickBot="1">
      <c r="B10" s="1124"/>
      <c r="C10" s="1125"/>
      <c r="D10" s="1125"/>
      <c r="E10" s="1125"/>
      <c r="F10" s="1111" t="s">
        <v>77</v>
      </c>
      <c r="G10" s="1112"/>
      <c r="H10" s="1113">
        <f>'C-1 On-Site WaterC'' Baseline'!R258</f>
        <v>0</v>
      </c>
      <c r="I10" s="1114"/>
      <c r="K10" s="23"/>
      <c r="L10" s="23"/>
      <c r="M10" s="23"/>
      <c r="N10" s="23"/>
    </row>
    <row r="11" spans="2:22" ht="4.5" customHeight="1" thickBot="1">
      <c r="H11" s="255"/>
      <c r="I11" s="255"/>
      <c r="K11" s="23"/>
      <c r="L11" s="23"/>
      <c r="M11" s="23"/>
      <c r="N11" s="23"/>
    </row>
    <row r="12" spans="2:22" ht="22.15" customHeight="1">
      <c r="B12" s="1118" t="s">
        <v>78</v>
      </c>
      <c r="C12" s="1119"/>
      <c r="D12" s="1119"/>
      <c r="E12" s="1120"/>
      <c r="F12" s="1127" t="s">
        <v>75</v>
      </c>
      <c r="G12" s="1128"/>
      <c r="H12" s="1105">
        <f>IFERROR('A-2 On-Site Habitat Creation'!Y257+'A-3 On-Site Habitat Enhancement'!AN258+'A-1 On-Site Habitat Baseline'!U259,"Check Data ⚠")</f>
        <v>194.5894904021232</v>
      </c>
      <c r="I12" s="1106"/>
      <c r="K12" s="23"/>
      <c r="L12" s="23"/>
      <c r="M12" s="23"/>
      <c r="N12" s="23"/>
      <c r="U12" s="1164"/>
      <c r="V12" s="1164"/>
    </row>
    <row r="13" spans="2:22" ht="22.15" customHeight="1">
      <c r="B13" s="1121"/>
      <c r="C13" s="1122"/>
      <c r="D13" s="1122"/>
      <c r="E13" s="1123"/>
      <c r="F13" s="1107" t="s">
        <v>76</v>
      </c>
      <c r="G13" s="1108"/>
      <c r="H13" s="1165">
        <f>IFERROR('B-2 On-Site Hedge Creation'!W260+'B-3 On-Site Hedge Enhancement'!AH258+'B-1 On-Site Hedge Baseline'!R258,"Check Data⚠")</f>
        <v>32.909627715952006</v>
      </c>
      <c r="I13" s="1110"/>
      <c r="K13" s="23"/>
      <c r="L13" s="23"/>
      <c r="M13" s="23"/>
      <c r="N13" s="23"/>
      <c r="U13" s="1164"/>
      <c r="V13" s="1164"/>
    </row>
    <row r="14" spans="2:22" ht="22.15" customHeight="1" thickBot="1">
      <c r="B14" s="1124"/>
      <c r="C14" s="1125"/>
      <c r="D14" s="1125"/>
      <c r="E14" s="1126"/>
      <c r="F14" s="1111" t="s">
        <v>77</v>
      </c>
      <c r="G14" s="1112"/>
      <c r="H14" s="1113">
        <f>IFERROR('C-2 On-Site WaterC'' Creation'!Z260 + 'C-3 On-Site WaterC'' Enhancement'!AM258+'C-1 On-Site WaterC'' Baseline'!V258,"Check Data ⚠")</f>
        <v>0</v>
      </c>
      <c r="I14" s="1114"/>
      <c r="K14" s="23"/>
      <c r="L14" s="23"/>
      <c r="M14" s="23"/>
      <c r="N14" s="23"/>
    </row>
    <row r="15" spans="2:22" ht="4.5" customHeight="1" thickBot="1">
      <c r="B15" s="334"/>
      <c r="C15" s="334"/>
      <c r="D15" s="334"/>
      <c r="E15" s="334"/>
      <c r="F15" s="335"/>
      <c r="G15" s="335"/>
      <c r="H15" s="336"/>
      <c r="I15" s="336"/>
      <c r="K15" s="556"/>
      <c r="L15" s="23"/>
      <c r="M15" s="23"/>
      <c r="N15" s="23"/>
    </row>
    <row r="16" spans="2:22" ht="22.15" customHeight="1">
      <c r="B16" s="1118" t="s">
        <v>79</v>
      </c>
      <c r="C16" s="1119"/>
      <c r="D16" s="1119"/>
      <c r="E16" s="1119"/>
      <c r="F16" s="1127" t="s">
        <v>75</v>
      </c>
      <c r="G16" s="1128"/>
      <c r="H16" s="1152">
        <f>IFERROR(H12-H8, "Error ▲")</f>
        <v>97.897490402123225</v>
      </c>
      <c r="I16" s="1152"/>
      <c r="J16" s="663">
        <f>IF(AND(H8=0, H12=0),0,IF(AND(H8=0,H12&gt;0),"N/A",IFERROR((H12/H8)-1,"Check Data ⚠")))</f>
        <v>1.012467323068333</v>
      </c>
      <c r="K16" s="898" t="str">
        <f>IF(J16="N/A","Zero baseline units - % cannot be calculated",IF(OR(AND(H8=0,H12=0),J16&gt;=Start!$F$22)," ","On-site net gain is less than target set ⚠"))</f>
        <v xml:space="preserve"> </v>
      </c>
      <c r="L16" s="23"/>
      <c r="M16" s="23"/>
      <c r="N16" s="23"/>
    </row>
    <row r="17" spans="2:14" ht="22.15" customHeight="1">
      <c r="B17" s="1121"/>
      <c r="C17" s="1122"/>
      <c r="D17" s="1122"/>
      <c r="E17" s="1122"/>
      <c r="F17" s="1107" t="s">
        <v>76</v>
      </c>
      <c r="G17" s="1108"/>
      <c r="H17" s="1143">
        <f t="shared" ref="H17:H18" si="0">IFERROR(H13-H9, "Error ▲")</f>
        <v>16.669627715952004</v>
      </c>
      <c r="I17" s="1143"/>
      <c r="J17" s="663">
        <f>IF(AND(H9=0, H13=0),0,IF(AND(H9=0,H13&gt;0),"N/A",IFERROR((H13/H9)-1,"Check Data ⚠")))</f>
        <v>1.0264549086177341</v>
      </c>
      <c r="K17" s="898" t="str">
        <f>IF(J17="N/A","Zero baseline units - % cannot be calculated",IF(OR(AND(H9=0,H13=0),J17&gt;=Start!$F$22)," ","On-site net gain is less than target set ⚠"))</f>
        <v xml:space="preserve"> </v>
      </c>
      <c r="L17" s="23"/>
      <c r="M17" s="23"/>
      <c r="N17" s="23"/>
    </row>
    <row r="18" spans="2:14" ht="22.15" customHeight="1" thickBot="1">
      <c r="B18" s="1124"/>
      <c r="C18" s="1125"/>
      <c r="D18" s="1125"/>
      <c r="E18" s="1125"/>
      <c r="F18" s="1111" t="s">
        <v>77</v>
      </c>
      <c r="G18" s="1112"/>
      <c r="H18" s="1154">
        <f t="shared" si="0"/>
        <v>0</v>
      </c>
      <c r="I18" s="1154"/>
      <c r="J18" s="663">
        <f>IF(AND(H10=0, H14=0),0,IF(AND(H10=0,H14&gt;0),"N/A",IFERROR((H14/H10)-1,"Check Data ⚠")))</f>
        <v>0</v>
      </c>
      <c r="K18" s="898" t="str">
        <f>IF(J18="N/A","Zero baseline units - % cannot be calculated",IF(OR(AND(H10=0,H14=0),J18&gt;=Start!$F$22)," ","On-site net gain is less than target set ⚠"))</f>
        <v xml:space="preserve"> </v>
      </c>
      <c r="L18" s="23"/>
      <c r="M18" s="23"/>
      <c r="N18" s="23"/>
    </row>
    <row r="19" spans="2:14" ht="25.15" customHeight="1" thickBot="1">
      <c r="H19" s="255"/>
      <c r="I19" s="255"/>
      <c r="K19" s="23"/>
      <c r="L19" s="23"/>
      <c r="M19" s="23"/>
      <c r="N19" s="23"/>
    </row>
    <row r="20" spans="2:14" ht="22.15" customHeight="1">
      <c r="B20" s="1118" t="s">
        <v>80</v>
      </c>
      <c r="C20" s="1119"/>
      <c r="D20" s="1119"/>
      <c r="E20" s="1119"/>
      <c r="F20" s="1127" t="s">
        <v>75</v>
      </c>
      <c r="G20" s="1128"/>
      <c r="H20" s="1182">
        <f>IFERROR('D-1 Off-Site Habitat Baseline'!T259,"Check Data ⚠")</f>
        <v>0</v>
      </c>
      <c r="I20" s="1172"/>
      <c r="K20" s="23"/>
      <c r="L20" s="1171">
        <f>IFERROR('D-1 Off-Site Habitat Baseline'!Q259,"Check Data ⚠")</f>
        <v>0</v>
      </c>
      <c r="M20" s="1172"/>
      <c r="N20" s="23"/>
    </row>
    <row r="21" spans="2:14" ht="22.15" customHeight="1">
      <c r="B21" s="1121"/>
      <c r="C21" s="1122"/>
      <c r="D21" s="1122"/>
      <c r="E21" s="1122"/>
      <c r="F21" s="1107" t="s">
        <v>76</v>
      </c>
      <c r="G21" s="1108"/>
      <c r="H21" s="1139">
        <f>IFERROR('E-1 Off-Site Hedge Baseline'!Q258,"Check Data ⚠")</f>
        <v>0</v>
      </c>
      <c r="I21" s="1140"/>
      <c r="K21" s="23"/>
      <c r="L21" s="1173">
        <f>IFERROR('E-1 Off-Site Hedge Baseline'!N258,"Check Data ⚠")</f>
        <v>0</v>
      </c>
      <c r="M21" s="1140"/>
      <c r="N21" s="23"/>
    </row>
    <row r="22" spans="2:14" ht="22.15" customHeight="1" thickBot="1">
      <c r="B22" s="1124"/>
      <c r="C22" s="1125"/>
      <c r="D22" s="1125"/>
      <c r="E22" s="1125"/>
      <c r="F22" s="1111" t="s">
        <v>77</v>
      </c>
      <c r="G22" s="1112"/>
      <c r="H22" s="1168">
        <f>IFERROR('F-1 Off-Site WaterC'' Baseline'!U258,"Check Data ⚠")</f>
        <v>0</v>
      </c>
      <c r="I22" s="1169"/>
      <c r="K22" s="23"/>
      <c r="L22" s="1174">
        <f>IFERROR('F-1 Off-Site WaterC'' Baseline'!R258,"Check Data ⚠")</f>
        <v>0</v>
      </c>
      <c r="M22" s="1169"/>
      <c r="N22" s="23"/>
    </row>
    <row r="23" spans="2:14" ht="5.65" customHeight="1" thickBot="1">
      <c r="H23" s="255"/>
      <c r="I23" s="255"/>
      <c r="K23" s="23"/>
      <c r="L23" s="255"/>
      <c r="M23" s="255"/>
      <c r="N23" s="23"/>
    </row>
    <row r="24" spans="2:14" ht="22.15" customHeight="1">
      <c r="B24" s="1118" t="s">
        <v>81</v>
      </c>
      <c r="C24" s="1119"/>
      <c r="D24" s="1119"/>
      <c r="E24" s="1120"/>
      <c r="F24" s="1127" t="s">
        <v>75</v>
      </c>
      <c r="G24" s="1128"/>
      <c r="H24" s="1105">
        <f>IFERROR('D-1 Off-Site Habitat Baseline'!$X$259+'D-2 Off-Site Habitat Creation'!AB257+'D-3 Off-Site Habitat Enhancment'!AQ259,"Check Data ⚠")</f>
        <v>0</v>
      </c>
      <c r="I24" s="1106"/>
      <c r="K24" s="23"/>
      <c r="L24" s="1175">
        <f>IFERROR('D-1 Off-Site Habitat Baseline'!$AY$259+'D-2 Off-Site Habitat Creation'!AA257+'D-3 Off-Site Habitat Enhancment'!AP259,"Check Data ⚠")</f>
        <v>0</v>
      </c>
      <c r="M24" s="1106"/>
      <c r="N24" s="23"/>
    </row>
    <row r="25" spans="2:14" ht="22.15" customHeight="1">
      <c r="B25" s="1121"/>
      <c r="C25" s="1122"/>
      <c r="D25" s="1122"/>
      <c r="E25" s="1123"/>
      <c r="F25" s="1107" t="s">
        <v>76</v>
      </c>
      <c r="G25" s="1108"/>
      <c r="H25" s="1109">
        <f>IFERROR('E-1 Off-Site Hedge Baseline'!U258+'E-2 Off-Site Hedge Creation'!Z260+'E-3 Off-Site Hedge Enhancement'!AK258,"Check Data ⚠")</f>
        <v>0</v>
      </c>
      <c r="I25" s="1110"/>
      <c r="K25" s="23"/>
      <c r="L25" s="1176">
        <f>IFERROR('E-1 Off-Site Hedge Baseline'!AY258+'E-2 Off-Site Hedge Creation'!Y260+'E-3 Off-Site Hedge Enhancement'!AJ258,"Check Data ⚠")</f>
        <v>0</v>
      </c>
      <c r="M25" s="1110"/>
      <c r="N25" s="23"/>
    </row>
    <row r="26" spans="2:14" ht="22.15" customHeight="1" thickBot="1">
      <c r="B26" s="1124"/>
      <c r="C26" s="1125"/>
      <c r="D26" s="1125"/>
      <c r="E26" s="1126"/>
      <c r="F26" s="1111" t="s">
        <v>77</v>
      </c>
      <c r="G26" s="1112"/>
      <c r="H26" s="1113">
        <f>IFERROR('F-1 Off-Site WaterC'' Baseline'!Y258+'F-2 Off-Site WaterC'' Creation'!AC260+'F-3 Off-Site WaterC Enhancement'!AP258,"Check Data ⚠")</f>
        <v>0</v>
      </c>
      <c r="I26" s="1114"/>
      <c r="K26" s="23"/>
      <c r="L26" s="1170">
        <f>IFERROR('F-1 Off-Site WaterC'' Baseline'!AZ258+'F-2 Off-Site WaterC'' Creation'!AB260+'F-3 Off-Site WaterC Enhancement'!AO258,"Check Data ⚠")</f>
        <v>0</v>
      </c>
      <c r="M26" s="1114"/>
      <c r="N26" s="23"/>
    </row>
    <row r="27" spans="2:14" ht="5.0999999999999996" customHeight="1" thickBot="1">
      <c r="K27" s="23"/>
      <c r="L27" s="23"/>
      <c r="M27" s="23"/>
      <c r="N27" s="23"/>
    </row>
    <row r="28" spans="2:14" ht="22.15" customHeight="1">
      <c r="B28" s="1118" t="s">
        <v>82</v>
      </c>
      <c r="C28" s="1119"/>
      <c r="D28" s="1119"/>
      <c r="E28" s="1119"/>
      <c r="F28" s="1127" t="s">
        <v>75</v>
      </c>
      <c r="G28" s="1128"/>
      <c r="H28" s="1182">
        <f>IFERROR(H24-H20, "Error ▲")</f>
        <v>0</v>
      </c>
      <c r="I28" s="1182"/>
      <c r="J28" s="662">
        <f>IF(AND(H20=0, H24=0), 0,IF(AND(H20=0,H24&gt;0),"N/A",IFERROR((H24/H20)-1,"Check Data ⚠")))</f>
        <v>0</v>
      </c>
      <c r="K28" s="23" t="b">
        <f>IF(J28="N/A","0 baseline units - % cannot be calculated")</f>
        <v>0</v>
      </c>
      <c r="L28" s="23"/>
      <c r="M28" s="23"/>
      <c r="N28" s="23"/>
    </row>
    <row r="29" spans="2:14" ht="22.15" customHeight="1">
      <c r="B29" s="1121"/>
      <c r="C29" s="1122"/>
      <c r="D29" s="1122"/>
      <c r="E29" s="1122"/>
      <c r="F29" s="1107" t="s">
        <v>76</v>
      </c>
      <c r="G29" s="1108"/>
      <c r="H29" s="1139">
        <f t="shared" ref="H29:H30" si="1">IFERROR(H25-H21, "Error ▲")</f>
        <v>0</v>
      </c>
      <c r="I29" s="1139"/>
      <c r="J29" s="663">
        <f t="shared" ref="J29:J30" si="2">IF(AND(H21=0, H25=0), 0,IF(AND(H21=0,H25&gt;0),"N/A",IFERROR((H25/H21)-1,"Check Data ⚠")))</f>
        <v>0</v>
      </c>
      <c r="K29" s="23" t="b">
        <f t="shared" ref="K29" si="3">IF(J29="N/A","0 baseline units - % cannot be calculated")</f>
        <v>0</v>
      </c>
      <c r="L29" s="23"/>
      <c r="M29" s="23"/>
      <c r="N29" s="23"/>
    </row>
    <row r="30" spans="2:14" ht="22.15" customHeight="1" thickBot="1">
      <c r="B30" s="1124"/>
      <c r="C30" s="1125"/>
      <c r="D30" s="1125"/>
      <c r="E30" s="1125"/>
      <c r="F30" s="1111" t="s">
        <v>77</v>
      </c>
      <c r="G30" s="1112"/>
      <c r="H30" s="1177">
        <f t="shared" si="1"/>
        <v>0</v>
      </c>
      <c r="I30" s="1177"/>
      <c r="J30" s="664">
        <f t="shared" si="2"/>
        <v>0</v>
      </c>
      <c r="K30" s="23" t="b">
        <f>IF(J30="N/A","0 baseline units - % cannot be calculated")</f>
        <v>0</v>
      </c>
      <c r="L30" s="23"/>
      <c r="M30" s="23"/>
      <c r="N30" s="23"/>
    </row>
    <row r="31" spans="2:14" ht="22.15" customHeight="1">
      <c r="K31" s="23"/>
      <c r="L31" s="23"/>
      <c r="M31" s="23"/>
      <c r="N31" s="23"/>
    </row>
    <row r="32" spans="2:14" ht="7.5" hidden="1" customHeight="1">
      <c r="B32" s="1118" t="s">
        <v>83</v>
      </c>
      <c r="C32" s="1119"/>
      <c r="D32" s="1119"/>
      <c r="E32" s="1119"/>
      <c r="F32" s="1127" t="s">
        <v>75</v>
      </c>
      <c r="G32" s="1128"/>
      <c r="H32" s="1182">
        <f>IF(H28&lt;0, "N/A", (L24-L20))</f>
        <v>0</v>
      </c>
      <c r="I32" s="1172"/>
      <c r="J32" s="1201" t="str">
        <f>IF(H32="N/A", "SRM only applies where unit change is positive (uplift)", " ")</f>
        <v xml:space="preserve"> </v>
      </c>
      <c r="K32" s="1202"/>
      <c r="L32" s="23"/>
      <c r="M32" s="23"/>
      <c r="N32" s="23"/>
    </row>
    <row r="33" spans="2:14" ht="22.5" hidden="1" customHeight="1">
      <c r="B33" s="1121"/>
      <c r="C33" s="1122"/>
      <c r="D33" s="1122"/>
      <c r="E33" s="1122"/>
      <c r="F33" s="1107" t="s">
        <v>76</v>
      </c>
      <c r="G33" s="1108"/>
      <c r="H33" s="1139">
        <f>IF(H29&lt;0, "N/A", (L25-L21))</f>
        <v>0</v>
      </c>
      <c r="I33" s="1140"/>
      <c r="J33" s="1201" t="str">
        <f t="shared" ref="J33:J34" si="4">IF(H33="N/A", "SRM only applies where unit change is positive", " ")</f>
        <v xml:space="preserve"> </v>
      </c>
      <c r="K33" s="1202"/>
      <c r="L33" s="23"/>
      <c r="M33" s="23"/>
      <c r="N33" s="23"/>
    </row>
    <row r="34" spans="2:14" ht="16.149999999999999" hidden="1" customHeight="1" thickBot="1">
      <c r="B34" s="1124"/>
      <c r="C34" s="1125"/>
      <c r="D34" s="1125"/>
      <c r="E34" s="1125"/>
      <c r="F34" s="1111" t="s">
        <v>77</v>
      </c>
      <c r="G34" s="1112"/>
      <c r="H34" s="1177">
        <f>IF(H30&lt;0, "N/A", (L26-L22))</f>
        <v>0</v>
      </c>
      <c r="I34" s="1178"/>
      <c r="J34" s="1201" t="str">
        <f t="shared" si="4"/>
        <v xml:space="preserve"> </v>
      </c>
      <c r="K34" s="1202"/>
      <c r="L34" s="23"/>
      <c r="M34" s="23"/>
      <c r="N34" s="23"/>
    </row>
    <row r="35" spans="2:14" ht="13.5" hidden="1" customHeight="1">
      <c r="B35" s="661"/>
      <c r="C35" s="661"/>
      <c r="D35" s="23"/>
      <c r="E35" s="23"/>
      <c r="F35" s="661"/>
      <c r="G35" s="661"/>
      <c r="H35" s="23"/>
      <c r="I35" s="23"/>
      <c r="J35" s="661"/>
      <c r="K35" s="661"/>
      <c r="L35" s="23"/>
      <c r="M35" s="23"/>
      <c r="N35" s="23"/>
    </row>
    <row r="36" spans="2:14" ht="22.15" customHeight="1" thickBot="1">
      <c r="B36" s="661"/>
      <c r="C36" s="661"/>
      <c r="D36" s="23"/>
      <c r="E36" s="23"/>
      <c r="F36" s="661"/>
      <c r="G36" s="661"/>
      <c r="H36" s="23"/>
      <c r="I36" s="23"/>
      <c r="J36" s="661"/>
      <c r="K36" s="23"/>
      <c r="L36" s="23"/>
      <c r="M36" s="23"/>
      <c r="N36" s="23"/>
    </row>
    <row r="37" spans="2:14" ht="22.15" customHeight="1">
      <c r="B37" s="1118" t="s">
        <v>84</v>
      </c>
      <c r="C37" s="1119"/>
      <c r="D37" s="1119"/>
      <c r="E37" s="1120"/>
      <c r="F37" s="1127" t="s">
        <v>75</v>
      </c>
      <c r="G37" s="1128"/>
      <c r="H37" s="1105">
        <f>IFERROR((H16)+(H28),"Check Data ⚠")</f>
        <v>97.897490402123225</v>
      </c>
      <c r="I37" s="1106"/>
      <c r="J37" s="661"/>
      <c r="K37" s="23"/>
      <c r="L37" s="23"/>
      <c r="M37" s="23"/>
      <c r="N37" s="23"/>
    </row>
    <row r="38" spans="2:14" ht="22.15" customHeight="1">
      <c r="B38" s="1121"/>
      <c r="C38" s="1122"/>
      <c r="D38" s="1122"/>
      <c r="E38" s="1123"/>
      <c r="F38" s="1107" t="s">
        <v>76</v>
      </c>
      <c r="G38" s="1108"/>
      <c r="H38" s="1109">
        <f>IFERROR((H17)+(H29),"Check Data ⚠")</f>
        <v>16.669627715952004</v>
      </c>
      <c r="I38" s="1110"/>
      <c r="J38" s="661"/>
      <c r="K38" s="23"/>
      <c r="L38" s="23"/>
      <c r="M38" s="23"/>
      <c r="N38" s="23"/>
    </row>
    <row r="39" spans="2:14" ht="22.15" customHeight="1" thickBot="1">
      <c r="B39" s="1124"/>
      <c r="C39" s="1125"/>
      <c r="D39" s="1125"/>
      <c r="E39" s="1126"/>
      <c r="F39" s="1111" t="s">
        <v>77</v>
      </c>
      <c r="G39" s="1112"/>
      <c r="H39" s="1113">
        <f>IFERROR((H18)+(H30),"Check Data ⚠")</f>
        <v>0</v>
      </c>
      <c r="I39" s="1114"/>
      <c r="J39" s="661"/>
      <c r="K39" s="23"/>
      <c r="L39" s="23"/>
      <c r="M39" s="23"/>
      <c r="N39" s="23"/>
    </row>
    <row r="40" spans="2:14" ht="5.65" customHeight="1" thickBot="1">
      <c r="B40" s="661"/>
      <c r="C40" s="661"/>
      <c r="D40" s="23"/>
      <c r="E40" s="23"/>
      <c r="F40" s="661"/>
      <c r="G40" s="661"/>
      <c r="H40" s="23"/>
      <c r="I40" s="23"/>
      <c r="J40" s="661"/>
      <c r="K40" s="23"/>
      <c r="L40" s="23"/>
      <c r="M40" s="23"/>
      <c r="N40" s="23"/>
    </row>
    <row r="41" spans="2:14" ht="22.15" customHeight="1">
      <c r="B41" s="1151" t="s">
        <v>85</v>
      </c>
      <c r="C41" s="1119"/>
      <c r="D41" s="1119"/>
      <c r="E41" s="1120"/>
      <c r="F41" s="1127" t="s">
        <v>75</v>
      </c>
      <c r="G41" s="1128"/>
      <c r="H41" s="1105">
        <f>IFERROR(H28-H32, "0.00")</f>
        <v>0</v>
      </c>
      <c r="I41" s="1106"/>
      <c r="J41" s="661"/>
      <c r="K41" s="23"/>
      <c r="L41" s="23"/>
      <c r="M41" s="23"/>
      <c r="N41" s="23"/>
    </row>
    <row r="42" spans="2:14" ht="22.15" customHeight="1">
      <c r="B42" s="1121"/>
      <c r="C42" s="1122"/>
      <c r="D42" s="1122"/>
      <c r="E42" s="1123"/>
      <c r="F42" s="1107" t="s">
        <v>76</v>
      </c>
      <c r="G42" s="1108"/>
      <c r="H42" s="1109">
        <f>IFERROR(H29-H33, "0.00")</f>
        <v>0</v>
      </c>
      <c r="I42" s="1110"/>
      <c r="J42" s="661"/>
      <c r="K42" s="23"/>
      <c r="L42" s="23"/>
      <c r="M42" s="23"/>
      <c r="N42" s="23"/>
    </row>
    <row r="43" spans="2:14" ht="22.15" customHeight="1" thickBot="1">
      <c r="B43" s="1124"/>
      <c r="C43" s="1125"/>
      <c r="D43" s="1125"/>
      <c r="E43" s="1126"/>
      <c r="F43" s="1111" t="s">
        <v>77</v>
      </c>
      <c r="G43" s="1112"/>
      <c r="H43" s="1113">
        <f>IFERROR(H30-H34, "0.00")</f>
        <v>0</v>
      </c>
      <c r="I43" s="1114"/>
      <c r="J43" s="661"/>
      <c r="K43" s="23"/>
      <c r="L43" s="23"/>
      <c r="M43" s="23"/>
      <c r="N43" s="23"/>
    </row>
    <row r="44" spans="2:14" ht="37.15" customHeight="1" thickBot="1">
      <c r="B44" s="660"/>
      <c r="C44" s="660"/>
      <c r="D44" s="660"/>
      <c r="E44" s="660"/>
      <c r="F44" s="660"/>
      <c r="G44" s="660"/>
      <c r="H44" s="660"/>
      <c r="I44" s="660"/>
      <c r="J44" s="661"/>
      <c r="K44" s="23"/>
      <c r="L44" s="23"/>
      <c r="M44" s="23"/>
      <c r="N44" s="23"/>
    </row>
    <row r="45" spans="2:14" ht="35.1" customHeight="1" thickBot="1">
      <c r="B45" s="1115" t="s">
        <v>86</v>
      </c>
      <c r="C45" s="1116"/>
      <c r="D45" s="1116"/>
      <c r="E45" s="1116"/>
      <c r="F45" s="1116"/>
      <c r="G45" s="1116"/>
      <c r="H45" s="1116"/>
      <c r="I45" s="1117"/>
      <c r="K45" s="23"/>
      <c r="L45" s="23"/>
      <c r="M45" s="23"/>
      <c r="N45" s="23"/>
    </row>
    <row r="46" spans="2:14" ht="10.15" customHeight="1" thickBot="1">
      <c r="B46" s="666"/>
      <c r="C46" s="666"/>
      <c r="D46" s="666"/>
      <c r="E46" s="666"/>
      <c r="F46" s="666"/>
      <c r="G46" s="666"/>
      <c r="H46" s="666"/>
      <c r="I46" s="666"/>
      <c r="K46" s="23"/>
      <c r="L46" s="23"/>
      <c r="M46" s="23"/>
      <c r="N46" s="23"/>
    </row>
    <row r="47" spans="2:14" ht="22.15" customHeight="1">
      <c r="B47" s="1155" t="s">
        <v>87</v>
      </c>
      <c r="C47" s="1156"/>
      <c r="D47" s="1156"/>
      <c r="E47" s="1157"/>
      <c r="F47" s="1127" t="s">
        <v>75</v>
      </c>
      <c r="G47" s="1128"/>
      <c r="H47" s="1105">
        <f>IFERROR(IF(H32="N/A", (H12-H8)+(H28), (H12-H8)+(H32)),"Check Data ⚠")</f>
        <v>97.897490402123225</v>
      </c>
      <c r="I47" s="1106"/>
      <c r="J47" s="1166"/>
      <c r="K47" s="1167"/>
      <c r="L47" s="23"/>
      <c r="M47" s="23"/>
      <c r="N47" s="23"/>
    </row>
    <row r="48" spans="2:14" ht="22.15" customHeight="1">
      <c r="B48" s="1158"/>
      <c r="C48" s="1159"/>
      <c r="D48" s="1159"/>
      <c r="E48" s="1160"/>
      <c r="F48" s="1107" t="s">
        <v>76</v>
      </c>
      <c r="G48" s="1108"/>
      <c r="H48" s="1109">
        <f>IFERROR(IF(H33="N/A", (H13-H9)+(H29), (H13-H9)+(H33)),"Check Data ⚠")</f>
        <v>16.669627715952004</v>
      </c>
      <c r="I48" s="1110"/>
      <c r="J48" s="1166"/>
      <c r="K48" s="1167"/>
      <c r="L48" s="23"/>
      <c r="M48" s="23"/>
      <c r="N48" s="23"/>
    </row>
    <row r="49" spans="1:33" ht="22.15" customHeight="1" thickBot="1">
      <c r="B49" s="1161"/>
      <c r="C49" s="1162"/>
      <c r="D49" s="1162"/>
      <c r="E49" s="1163"/>
      <c r="F49" s="1111" t="s">
        <v>77</v>
      </c>
      <c r="G49" s="1112"/>
      <c r="H49" s="1109">
        <f>IFERROR(IF(H34="N/A", (H14-H10)+(H30), (H14-H10)+(H34)),"Check Data ⚠")</f>
        <v>0</v>
      </c>
      <c r="I49" s="1110"/>
      <c r="J49" s="1166"/>
      <c r="K49" s="1167"/>
      <c r="L49" s="555"/>
      <c r="M49" s="23"/>
      <c r="N49" s="23"/>
    </row>
    <row r="50" spans="1:33" ht="10.15" customHeight="1" thickBot="1">
      <c r="H50" s="665"/>
      <c r="I50" s="665"/>
      <c r="K50" s="23"/>
      <c r="L50" s="23"/>
      <c r="M50" s="23"/>
      <c r="N50" s="23"/>
    </row>
    <row r="51" spans="1:33" ht="33.4" customHeight="1">
      <c r="B51" s="1118" t="s">
        <v>88</v>
      </c>
      <c r="C51" s="1119"/>
      <c r="D51" s="1119"/>
      <c r="E51" s="1120"/>
      <c r="F51" s="1127" t="s">
        <v>75</v>
      </c>
      <c r="G51" s="1128"/>
      <c r="H51" s="1185">
        <f>IF(H47=0,0,IF(AND(H8=0,H20=0,H47&gt;0),1,IFERROR((H47/H8),"Check Data ⚠")))</f>
        <v>1.012467323068333</v>
      </c>
      <c r="I51" s="1186"/>
      <c r="J51" s="1203" t="str">
        <f>IF(H51="N/A","0 baseline units - % cannot be calculated",IF(OR(AND(H8=0,H12=0,H20=0,H24=0),H51&gt;=Start!$F$22)," ","Total net gain achieved is less than target set ⚠"))</f>
        <v xml:space="preserve"> </v>
      </c>
      <c r="K51" s="1204"/>
      <c r="L51" s="555"/>
      <c r="M51" s="555"/>
      <c r="N51" s="23"/>
    </row>
    <row r="52" spans="1:33" ht="31.9" customHeight="1">
      <c r="A52" s="26"/>
      <c r="B52" s="1121"/>
      <c r="C52" s="1122"/>
      <c r="D52" s="1122"/>
      <c r="E52" s="1123"/>
      <c r="F52" s="1107" t="s">
        <v>76</v>
      </c>
      <c r="G52" s="1108"/>
      <c r="H52" s="1187">
        <f>IF(AND(H48=0, H9=0),0,IF(AND(H9=0,H21=0,H48&gt;0),"N/A",IFERROR((H48/H9),"Check Data ⚠")))</f>
        <v>1.0264549086177341</v>
      </c>
      <c r="I52" s="1188"/>
      <c r="J52" s="1203" t="str">
        <f>IF(H52="N/A","0 baseline units - % cannot be calculated",IF(OR(AND(H9=0,H13=0,H21=0,H25=0),H52&gt;=Start!$F$22)," ","Total net gain achieved is less than target set ⚠"))</f>
        <v xml:space="preserve"> </v>
      </c>
      <c r="K52" s="1204"/>
      <c r="L52" s="23"/>
      <c r="M52" s="23"/>
      <c r="N52" s="23"/>
    </row>
    <row r="53" spans="1:33" ht="32.65" customHeight="1" thickBot="1">
      <c r="A53" s="26"/>
      <c r="B53" s="1124"/>
      <c r="C53" s="1125"/>
      <c r="D53" s="1125"/>
      <c r="E53" s="1126"/>
      <c r="F53" s="1111" t="s">
        <v>77</v>
      </c>
      <c r="G53" s="1189"/>
      <c r="H53" s="1190">
        <f>IF(H49=0,0,IF(AND(H10=0,H22=0,H49&gt;0),1,IFERROR((H49/H10),"Check Data ⚠")))</f>
        <v>0</v>
      </c>
      <c r="I53" s="1191"/>
      <c r="J53" s="1203" t="str">
        <f>IF(H53="N/A","0 baseline units - % cannot be calculated",IF(OR(AND(H10=0,H14=0,H22=0,H26=0),H53&gt;=Start!$F$22)," ","Total net gain achieved is less than target set ⚠"))</f>
        <v xml:space="preserve"> </v>
      </c>
      <c r="K53" s="1204"/>
      <c r="L53" s="23"/>
      <c r="M53" s="23"/>
      <c r="N53" s="23"/>
    </row>
    <row r="54" spans="1:33" ht="10.15" customHeight="1" thickBot="1">
      <c r="B54" s="1206"/>
      <c r="C54" s="1206"/>
      <c r="D54" s="1206"/>
      <c r="F54" s="27"/>
      <c r="G54" s="27"/>
      <c r="H54" s="27"/>
      <c r="I54" s="27"/>
      <c r="J54" s="27"/>
      <c r="K54" s="27"/>
      <c r="L54" s="27"/>
      <c r="M54" s="27"/>
    </row>
    <row r="55" spans="1:33" s="28" customFormat="1" ht="38.25" customHeight="1" thickBot="1">
      <c r="B55" s="1145" t="s">
        <v>89</v>
      </c>
      <c r="C55" s="1146"/>
      <c r="D55" s="1146"/>
      <c r="E55" s="1147"/>
      <c r="F55" s="1148" t="str" cm="1">
        <f t="array" ref="F55">IF(OR('Trading Summary Area Habitats'!G5="No ▲",'Trading Summary Area Habitats'!G6="No ▲",'Trading Summary Area Habitats'!G7="No ▲",'Trading Summary Area Habitats'!G8="No ▲",'Trading Summary Hedgerows'!G5="No ▲",'Trading Summary Hedgerows'!G6:H6="No ▲", 'Trading Summary Hedgerows'!G7="No ▲", 'Trading Summary Hedgerows'!G8="No ▲", 'Trading Summary WaterC''s'!G5="No ▲", 'Trading Summary WaterC''s'!G6="No ▲", 'Trading Summary WaterC''s'!G7="No ▲", 'Trading Summary WaterC''s'!G8="No ▲"),"No - Check Trading Summaries ▲","Yes ✓")</f>
        <v>Yes ✓</v>
      </c>
      <c r="G55" s="1149"/>
      <c r="H55" s="1149"/>
      <c r="I55" s="1150"/>
      <c r="J55" s="29"/>
      <c r="K55" s="29"/>
      <c r="L55" s="29"/>
      <c r="M55" s="29"/>
      <c r="N55" s="22"/>
      <c r="O55" s="22"/>
      <c r="P55" s="22"/>
      <c r="Q55" s="22"/>
      <c r="X55" s="22"/>
      <c r="Y55" s="22"/>
      <c r="Z55" s="22"/>
      <c r="AA55" s="22"/>
      <c r="AB55" s="22"/>
      <c r="AC55" s="22"/>
      <c r="AD55" s="22"/>
      <c r="AE55" s="22"/>
      <c r="AF55" s="22"/>
      <c r="AG55" s="22"/>
    </row>
    <row r="56" spans="1:33" s="28" customFormat="1" ht="12" hidden="1" customHeight="1">
      <c r="B56" s="1184" t="str">
        <f>IF(Start!F27="Yes", "This metric contains deviations from the statutory metric - these deviations are only acceptable in extremely rare circumstances and must be agreed with the consenting body ⚠", "")</f>
        <v/>
      </c>
      <c r="C56" s="1184"/>
      <c r="D56" s="1184"/>
      <c r="E56" s="1184"/>
      <c r="F56" s="1184"/>
      <c r="G56" s="1184"/>
      <c r="H56" s="1184"/>
      <c r="I56" s="1184"/>
      <c r="J56" s="29"/>
      <c r="K56" s="29"/>
      <c r="L56" s="29"/>
      <c r="M56" s="29"/>
      <c r="N56" s="22"/>
      <c r="O56" s="22"/>
      <c r="P56" s="22"/>
      <c r="Q56" s="22"/>
      <c r="X56" s="22"/>
      <c r="Y56" s="22"/>
      <c r="Z56" s="22"/>
      <c r="AA56" s="22"/>
      <c r="AB56" s="22"/>
      <c r="AC56" s="22"/>
      <c r="AD56" s="22"/>
      <c r="AE56" s="22"/>
      <c r="AF56" s="22"/>
      <c r="AG56" s="22"/>
    </row>
    <row r="57" spans="1:33" ht="15.75">
      <c r="B57" s="1183" t="str">
        <f>IF(Start!I23="You must specify if irreplaceable habitats are on-site at baseline ▲", "You must specify if irreplaceable habitats are on-site at baseline ▲", "")</f>
        <v/>
      </c>
      <c r="C57" s="1183"/>
      <c r="D57" s="1183"/>
      <c r="E57" s="1183"/>
      <c r="F57" s="1183"/>
      <c r="G57" s="1183"/>
      <c r="H57" s="1183"/>
      <c r="I57" s="1183"/>
      <c r="J57" s="29"/>
      <c r="K57" s="29"/>
      <c r="L57" s="29"/>
      <c r="M57" s="29"/>
      <c r="X57" s="28"/>
      <c r="Y57" s="28"/>
      <c r="Z57" s="28"/>
      <c r="AA57" s="28"/>
      <c r="AB57" s="28"/>
    </row>
    <row r="58" spans="1:33" ht="15.75">
      <c r="B58" s="1183" t="str" cm="1">
        <f t="array" ref="B58">IF(OR('Irreplaceable Habitats'!AA10:AA31="Irreplaceable habitat lost, bespoke compensation must be agreed with concenting body ▲"), "Unacceptable loss of irreplaceable habitat recorded - no bespoke compensation for lossess has been agreed  ▲", "")</f>
        <v/>
      </c>
      <c r="C58" s="1183"/>
      <c r="D58" s="1183"/>
      <c r="E58" s="1183"/>
      <c r="F58" s="1183"/>
      <c r="G58" s="1183"/>
      <c r="H58" s="1183"/>
      <c r="I58" s="1183"/>
      <c r="J58" s="29"/>
      <c r="K58" s="29"/>
      <c r="L58" s="29"/>
      <c r="M58" s="29"/>
      <c r="X58" s="28"/>
      <c r="Y58" s="28"/>
      <c r="Z58" s="28"/>
      <c r="AA58" s="28"/>
      <c r="AB58" s="28"/>
    </row>
    <row r="59" spans="1:33" ht="17.100000000000001" customHeight="1" thickBot="1">
      <c r="B59" s="29"/>
      <c r="C59" s="29"/>
      <c r="D59" s="29"/>
      <c r="E59" s="29"/>
      <c r="F59" s="29"/>
      <c r="G59" s="29"/>
      <c r="H59" s="29"/>
      <c r="I59" s="29"/>
      <c r="J59" s="29"/>
      <c r="K59" s="29"/>
      <c r="L59" s="29"/>
      <c r="M59" s="29"/>
      <c r="X59" s="28"/>
      <c r="Y59" s="28"/>
      <c r="Z59" s="28"/>
      <c r="AA59" s="28"/>
      <c r="AB59" s="28"/>
    </row>
    <row r="60" spans="1:33" ht="23.65" customHeight="1" thickBot="1">
      <c r="B60" s="1179" t="s">
        <v>90</v>
      </c>
      <c r="C60" s="1180"/>
      <c r="D60" s="569" t="s">
        <v>91</v>
      </c>
      <c r="E60" s="570" t="s">
        <v>92</v>
      </c>
      <c r="F60" s="1181" t="s">
        <v>93</v>
      </c>
      <c r="G60" s="1181"/>
      <c r="H60" s="1181" t="s">
        <v>94</v>
      </c>
      <c r="I60" s="1205"/>
      <c r="J60" s="568"/>
    </row>
    <row r="61" spans="1:33" ht="18.75">
      <c r="B61" s="1127" t="s">
        <v>75</v>
      </c>
      <c r="C61" s="1128"/>
      <c r="D61" s="712">
        <f>Start!F22</f>
        <v>0.1</v>
      </c>
      <c r="E61" s="708">
        <f>H8</f>
        <v>96.691999999999979</v>
      </c>
      <c r="F61" s="1182">
        <f>IFERROR(E61*(1+D61), "Error ▲")</f>
        <v>106.36119999999998</v>
      </c>
      <c r="G61" s="1182"/>
      <c r="H61" s="1182">
        <f>IFERROR(IF(H32="N/A",(IF(F61-(H12+(H28))&lt;0,0,F61-(H12+(H28)))),(IF(F61-(H12+H32)&lt;0,0,F61-(H12+H32)))), "Error ▲")</f>
        <v>0</v>
      </c>
      <c r="I61" s="1172"/>
      <c r="J61" s="1129" t="str">
        <f>IF(H61=0, "Unit requirement met or surpassed  ✓", " ")</f>
        <v>Unit requirement met or surpassed  ✓</v>
      </c>
      <c r="K61" s="1129"/>
    </row>
    <row r="62" spans="1:33" ht="18.75">
      <c r="B62" s="1107" t="s">
        <v>76</v>
      </c>
      <c r="C62" s="1108"/>
      <c r="D62" s="711">
        <f>Start!F22</f>
        <v>0.1</v>
      </c>
      <c r="E62" s="709">
        <f t="shared" ref="E62:E63" si="5">H9</f>
        <v>16.240000000000002</v>
      </c>
      <c r="F62" s="1139">
        <f t="shared" ref="F62:F63" si="6">IFERROR(E62*(1+D62), "Error ▲")</f>
        <v>17.864000000000004</v>
      </c>
      <c r="G62" s="1139"/>
      <c r="H62" s="1139">
        <f t="shared" ref="H62:H63" si="7">IFERROR(IF(H33="N/A",(IF(F62-(H13+(H29))&lt;0,0,F62-(H13+(H29)))),(IF(F62-(H13+H33)&lt;0,0,F62-(H13+H33)))), "Error ▲")</f>
        <v>0</v>
      </c>
      <c r="I62" s="1140"/>
      <c r="J62" s="1129" t="str">
        <f>IF(H62=0, "Unit requirement met or surpassed  ✓", " ")</f>
        <v>Unit requirement met or surpassed  ✓</v>
      </c>
      <c r="K62" s="1129"/>
    </row>
    <row r="63" spans="1:33" ht="19.5" thickBot="1">
      <c r="B63" s="1111" t="s">
        <v>77</v>
      </c>
      <c r="C63" s="1112"/>
      <c r="D63" s="713">
        <f>Start!F22</f>
        <v>0.1</v>
      </c>
      <c r="E63" s="710">
        <f t="shared" si="5"/>
        <v>0</v>
      </c>
      <c r="F63" s="1177">
        <f t="shared" si="6"/>
        <v>0</v>
      </c>
      <c r="G63" s="1177"/>
      <c r="H63" s="1177">
        <f t="shared" si="7"/>
        <v>0</v>
      </c>
      <c r="I63" s="1178"/>
      <c r="J63" s="1129" t="str">
        <f>IF(H63=0, "Unit requirement met or surpassed  ✓", " ")</f>
        <v>Unit requirement met or surpassed  ✓</v>
      </c>
      <c r="K63" s="1129"/>
    </row>
    <row r="64" spans="1:33"/>
    <row r="65"/>
    <row r="66" ht="15.75" hidden="1" customHeight="1"/>
    <row r="67" ht="15.75" hidden="1" customHeight="1"/>
    <row r="68" ht="15.75" hidden="1" customHeight="1"/>
    <row r="69" ht="15.75" hidden="1" customHeight="1"/>
    <row r="70" ht="15.75" hidden="1" customHeight="1"/>
    <row r="71" ht="15.75" hidden="1" customHeight="1"/>
    <row r="72" ht="15.75" hidden="1" customHeight="1"/>
    <row r="73" ht="15.75" hidden="1" customHeight="1"/>
    <row r="74" ht="15.75" hidden="1" customHeight="1"/>
    <row r="75" ht="15.75" hidden="1" customHeight="1"/>
    <row r="76" ht="15.75" hidden="1" customHeight="1"/>
    <row r="77" ht="15.75" hidden="1" customHeight="1"/>
    <row r="78" ht="15.75" hidden="1" customHeight="1"/>
    <row r="79" ht="15.75" hidden="1" customHeight="1"/>
    <row r="80" ht="15.75" hidden="1" customHeight="1"/>
    <row r="81" ht="15.75" hidden="1" customHeight="1"/>
    <row r="82" ht="15.75" hidden="1" customHeight="1"/>
    <row r="83" ht="15.75" hidden="1" customHeight="1"/>
    <row r="94"/>
    <row r="97"/>
    <row r="98"/>
    <row r="99"/>
    <row r="100"/>
    <row r="107"/>
    <row r="110" ht="21.6" hidden="1" customHeight="1"/>
    <row r="113"/>
    <row r="114"/>
    <row r="115"/>
    <row r="116"/>
    <row r="117"/>
    <row r="118"/>
    <row r="119"/>
    <row r="120"/>
    <row r="121"/>
    <row r="122"/>
    <row r="123" ht="64.900000000000006" hidden="1" customHeight="1"/>
    <row r="124"/>
    <row r="125"/>
    <row r="126" ht="29.65" hidden="1" customHeight="1"/>
    <row r="127"/>
    <row r="128"/>
    <row r="129"/>
  </sheetData>
  <sheetProtection algorithmName="SHA-512" hashValue="gH8RB8lM68ZVSUvXHYy50RY+Ol6BucCZ5ptr+ojm/KiT475ZisjBqs27JLiNtrS4NofB5oHl+V/rtziIhyy6GA==" saltValue="lMPeiYyDYko9TmUIqEEVlA==" spinCount="100000" sheet="1" objects="1" scenarios="1"/>
  <customSheetViews>
    <customSheetView guid="{8BDA793C-C9C5-4FC6-A0A5-F1109F6D4F22}" state="hidden" topLeftCell="A23">
      <selection activeCell="D14" sqref="D14"/>
    </customSheetView>
  </customSheetViews>
  <mergeCells count="119">
    <mergeCell ref="B5:D7"/>
    <mergeCell ref="J32:K32"/>
    <mergeCell ref="J33:K33"/>
    <mergeCell ref="J34:K34"/>
    <mergeCell ref="H63:I63"/>
    <mergeCell ref="J51:K51"/>
    <mergeCell ref="J52:K52"/>
    <mergeCell ref="J53:K53"/>
    <mergeCell ref="H60:I60"/>
    <mergeCell ref="B57:I57"/>
    <mergeCell ref="F63:G63"/>
    <mergeCell ref="F61:G61"/>
    <mergeCell ref="H61:I61"/>
    <mergeCell ref="F62:G62"/>
    <mergeCell ref="H62:I62"/>
    <mergeCell ref="B63:C63"/>
    <mergeCell ref="B61:C61"/>
    <mergeCell ref="B62:C62"/>
    <mergeCell ref="F32:G32"/>
    <mergeCell ref="H32:I32"/>
    <mergeCell ref="F33:G33"/>
    <mergeCell ref="H33:I33"/>
    <mergeCell ref="B54:D54"/>
    <mergeCell ref="B51:E53"/>
    <mergeCell ref="F51:G51"/>
    <mergeCell ref="F48:G48"/>
    <mergeCell ref="B60:C60"/>
    <mergeCell ref="F60:G60"/>
    <mergeCell ref="B24:E26"/>
    <mergeCell ref="B20:E22"/>
    <mergeCell ref="F20:G20"/>
    <mergeCell ref="H20:I20"/>
    <mergeCell ref="B28:E30"/>
    <mergeCell ref="F28:G28"/>
    <mergeCell ref="H28:I28"/>
    <mergeCell ref="F29:G29"/>
    <mergeCell ref="H29:I29"/>
    <mergeCell ref="F30:G30"/>
    <mergeCell ref="H30:I30"/>
    <mergeCell ref="H24:I24"/>
    <mergeCell ref="B58:I58"/>
    <mergeCell ref="B56:I56"/>
    <mergeCell ref="B32:E34"/>
    <mergeCell ref="H51:I51"/>
    <mergeCell ref="F52:G52"/>
    <mergeCell ref="H52:I52"/>
    <mergeCell ref="F53:G53"/>
    <mergeCell ref="H53:I53"/>
    <mergeCell ref="B47:E49"/>
    <mergeCell ref="F47:G47"/>
    <mergeCell ref="H47:I47"/>
    <mergeCell ref="H48:I48"/>
    <mergeCell ref="F49:G49"/>
    <mergeCell ref="H49:I49"/>
    <mergeCell ref="U12:V13"/>
    <mergeCell ref="F13:G13"/>
    <mergeCell ref="H13:I13"/>
    <mergeCell ref="F14:G14"/>
    <mergeCell ref="H14:I14"/>
    <mergeCell ref="J47:K47"/>
    <mergeCell ref="J48:K48"/>
    <mergeCell ref="J49:K49"/>
    <mergeCell ref="H22:I22"/>
    <mergeCell ref="L26:M26"/>
    <mergeCell ref="L20:M20"/>
    <mergeCell ref="L21:M21"/>
    <mergeCell ref="L22:M22"/>
    <mergeCell ref="L24:M24"/>
    <mergeCell ref="L25:M25"/>
    <mergeCell ref="F34:G34"/>
    <mergeCell ref="H34:I34"/>
    <mergeCell ref="F25:G25"/>
    <mergeCell ref="H25:I25"/>
    <mergeCell ref="F26:G26"/>
    <mergeCell ref="H26:I26"/>
    <mergeCell ref="F16:G16"/>
    <mergeCell ref="H16:I16"/>
    <mergeCell ref="F17:G17"/>
    <mergeCell ref="F2:I5"/>
    <mergeCell ref="H17:I17"/>
    <mergeCell ref="F18:G18"/>
    <mergeCell ref="H18:I18"/>
    <mergeCell ref="J61:K61"/>
    <mergeCell ref="J62:K62"/>
    <mergeCell ref="J63:K63"/>
    <mergeCell ref="B3:D4"/>
    <mergeCell ref="B8:E10"/>
    <mergeCell ref="F8:G8"/>
    <mergeCell ref="B2:D2"/>
    <mergeCell ref="F21:G21"/>
    <mergeCell ref="H21:I21"/>
    <mergeCell ref="F22:G22"/>
    <mergeCell ref="B16:E18"/>
    <mergeCell ref="H8:I8"/>
    <mergeCell ref="F9:G9"/>
    <mergeCell ref="H9:I9"/>
    <mergeCell ref="F10:G10"/>
    <mergeCell ref="H10:I10"/>
    <mergeCell ref="B12:E14"/>
    <mergeCell ref="F12:G12"/>
    <mergeCell ref="H12:I12"/>
    <mergeCell ref="B55:E55"/>
    <mergeCell ref="F55:I55"/>
    <mergeCell ref="F24:G24"/>
    <mergeCell ref="B41:E43"/>
    <mergeCell ref="F41:G41"/>
    <mergeCell ref="H41:I41"/>
    <mergeCell ref="F42:G42"/>
    <mergeCell ref="H42:I42"/>
    <mergeCell ref="F43:G43"/>
    <mergeCell ref="H43:I43"/>
    <mergeCell ref="B45:I45"/>
    <mergeCell ref="B37:E39"/>
    <mergeCell ref="F37:G37"/>
    <mergeCell ref="H37:I37"/>
    <mergeCell ref="F38:G38"/>
    <mergeCell ref="H38:I38"/>
    <mergeCell ref="F39:G39"/>
    <mergeCell ref="H39:I39"/>
  </mergeCells>
  <conditionalFormatting sqref="K58:L59">
    <cfRule type="cellIs" dxfId="943" priority="143" operator="lessThan">
      <formula>0</formula>
    </cfRule>
    <cfRule type="cellIs" dxfId="942" priority="144" operator="greaterThan">
      <formula>0</formula>
    </cfRule>
  </conditionalFormatting>
  <conditionalFormatting sqref="H47:I47">
    <cfRule type="cellIs" dxfId="941" priority="136" operator="equal">
      <formula>"Error"</formula>
    </cfRule>
  </conditionalFormatting>
  <conditionalFormatting sqref="H51:I51">
    <cfRule type="expression" dxfId="940" priority="117">
      <formula>AND(OR($H$8&gt;0,$H$20&gt;0),$H$51&lt;0.1)</formula>
    </cfRule>
  </conditionalFormatting>
  <conditionalFormatting sqref="L27:L35 L37:L44">
    <cfRule type="cellIs" dxfId="939" priority="134" operator="greaterThan">
      <formula>0</formula>
    </cfRule>
  </conditionalFormatting>
  <conditionalFormatting sqref="L8:L9">
    <cfRule type="cellIs" dxfId="938" priority="133" operator="equal">
      <formula>"Error"</formula>
    </cfRule>
  </conditionalFormatting>
  <conditionalFormatting sqref="L11">
    <cfRule type="cellIs" dxfId="937" priority="132" operator="equal">
      <formula>"Error"</formula>
    </cfRule>
  </conditionalFormatting>
  <conditionalFormatting sqref="L13:L18">
    <cfRule type="cellIs" dxfId="936" priority="130" operator="equal">
      <formula>"Error"</formula>
    </cfRule>
  </conditionalFormatting>
  <conditionalFormatting sqref="H52:I53">
    <cfRule type="cellIs" dxfId="935" priority="124" operator="equal">
      <formula>"Error"</formula>
    </cfRule>
  </conditionalFormatting>
  <conditionalFormatting sqref="H52:I53">
    <cfRule type="cellIs" dxfId="934" priority="123" operator="equal">
      <formula>"Error"</formula>
    </cfRule>
  </conditionalFormatting>
  <conditionalFormatting sqref="H52:I52">
    <cfRule type="expression" dxfId="933" priority="121">
      <formula>AND(OR($H$9&gt;0,$H$21&gt;0),$H$52&lt;0.1)</formula>
    </cfRule>
  </conditionalFormatting>
  <conditionalFormatting sqref="H53:I53">
    <cfRule type="expression" dxfId="932" priority="119">
      <formula>AND(OR($H$10&gt;0,$H$22&gt;0),$H$53&lt;0.1)</formula>
    </cfRule>
  </conditionalFormatting>
  <conditionalFormatting sqref="H8:I15 H19:I26 H47:I53">
    <cfRule type="containsText" dxfId="931" priority="118" operator="containsText" text="Check">
      <formula>NOT(ISERROR(SEARCH("Check",H8)))</formula>
    </cfRule>
    <cfRule type="containsText" dxfId="930" priority="135" operator="containsText" text="Error">
      <formula>NOT(ISERROR(SEARCH("Error",H8)))</formula>
    </cfRule>
  </conditionalFormatting>
  <conditionalFormatting sqref="F55:I55">
    <cfRule type="containsText" dxfId="929" priority="109" operator="containsText" text="No">
      <formula>NOT(ISERROR(SEARCH("No",F55)))</formula>
    </cfRule>
    <cfRule type="containsText" dxfId="928" priority="110" operator="containsText" text="Yes">
      <formula>NOT(ISERROR(SEARCH("Yes",F55)))</formula>
    </cfRule>
  </conditionalFormatting>
  <conditionalFormatting sqref="K15 J51:J53">
    <cfRule type="containsText" dxfId="927" priority="87" operator="containsText" text="⚠">
      <formula>NOT(ISERROR(SEARCH("⚠",J15)))</formula>
    </cfRule>
  </conditionalFormatting>
  <conditionalFormatting sqref="B57:I57">
    <cfRule type="containsText" dxfId="926" priority="85" operator="containsText" text="▲">
      <formula>NOT(ISERROR(SEARCH("▲",B57)))</formula>
    </cfRule>
  </conditionalFormatting>
  <conditionalFormatting sqref="H28:I30">
    <cfRule type="containsText" dxfId="925" priority="83" operator="containsText" text="Check">
      <formula>NOT(ISERROR(SEARCH("Check",H28)))</formula>
    </cfRule>
    <cfRule type="containsText" dxfId="924" priority="84" operator="containsText" text="Error">
      <formula>NOT(ISERROR(SEARCH("Error",H28)))</formula>
    </cfRule>
  </conditionalFormatting>
  <conditionalFormatting sqref="H32:I34">
    <cfRule type="containsText" dxfId="923" priority="81" operator="containsText" text="Check">
      <formula>NOT(ISERROR(SEARCH("Check",H32)))</formula>
    </cfRule>
    <cfRule type="containsText" dxfId="922" priority="82" operator="containsText" text="Error">
      <formula>NOT(ISERROR(SEARCH("Error",H32)))</formula>
    </cfRule>
  </conditionalFormatting>
  <conditionalFormatting sqref="L20:M26">
    <cfRule type="containsText" dxfId="921" priority="79" operator="containsText" text="Check">
      <formula>NOT(ISERROR(SEARCH("Check",L20)))</formula>
    </cfRule>
    <cfRule type="containsText" dxfId="920" priority="80" operator="containsText" text="Error">
      <formula>NOT(ISERROR(SEARCH("Error",L20)))</formula>
    </cfRule>
  </conditionalFormatting>
  <conditionalFormatting sqref="D61:I63">
    <cfRule type="containsText" dxfId="919" priority="77" operator="containsText" text="Check">
      <formula>NOT(ISERROR(SEARCH("Check",D61)))</formula>
    </cfRule>
    <cfRule type="containsText" dxfId="918" priority="78" operator="containsText" text="Error">
      <formula>NOT(ISERROR(SEARCH("Error",D61)))</formula>
    </cfRule>
  </conditionalFormatting>
  <conditionalFormatting sqref="J61:K63">
    <cfRule type="containsBlanks" dxfId="917" priority="75">
      <formula>LEN(TRIM(J61))=0</formula>
    </cfRule>
    <cfRule type="containsText" dxfId="916" priority="76" operator="containsText" text="✓">
      <formula>NOT(ISERROR(SEARCH("✓",J61)))</formula>
    </cfRule>
  </conditionalFormatting>
  <conditionalFormatting sqref="B58:I58">
    <cfRule type="containsText" dxfId="915" priority="74" operator="containsText" text="▲">
      <formula>NOT(ISERROR(SEARCH("▲",B58)))</formula>
    </cfRule>
  </conditionalFormatting>
  <conditionalFormatting sqref="B56:I56">
    <cfRule type="containsText" dxfId="914" priority="73" operator="containsText" text="⚠">
      <formula>NOT(ISERROR(SEARCH("⚠",B56)))</formula>
    </cfRule>
  </conditionalFormatting>
  <conditionalFormatting sqref="F2:I5">
    <cfRule type="containsText" dxfId="913" priority="6" operator="containsText" text="▲">
      <formula>NOT(ISERROR(SEARCH("▲",F2)))</formula>
    </cfRule>
    <cfRule type="containsText" dxfId="912" priority="72" operator="containsText" text="⚠">
      <formula>NOT(ISERROR(SEARCH("⚠",F2)))</formula>
    </cfRule>
  </conditionalFormatting>
  <conditionalFormatting sqref="H51:I53">
    <cfRule type="cellIs" dxfId="911" priority="111" operator="lessThan">
      <formula>0</formula>
    </cfRule>
    <cfRule type="containsText" dxfId="910" priority="1" operator="containsText" text="N/A">
      <formula>NOT(ISERROR(SEARCH("N/A",H51)))</formula>
    </cfRule>
  </conditionalFormatting>
  <conditionalFormatting sqref="K16:K18">
    <cfRule type="containsText" dxfId="909" priority="68" operator="containsText" text="⚠">
      <formula>NOT(ISERROR(SEARCH("⚠",K16)))</formula>
    </cfRule>
    <cfRule type="containsText" dxfId="908" priority="3" operator="containsText" text="cannot be calculated">
      <formula>NOT(ISERROR(SEARCH("cannot be calculated",K16)))</formula>
    </cfRule>
  </conditionalFormatting>
  <conditionalFormatting sqref="J16">
    <cfRule type="cellIs" dxfId="907" priority="61" operator="lessThan">
      <formula>0</formula>
    </cfRule>
    <cfRule type="containsText" dxfId="906" priority="63" operator="containsText" text="Check">
      <formula>NOT(ISERROR(SEARCH("Check",J16)))</formula>
    </cfRule>
    <cfRule type="containsText" dxfId="905" priority="66" operator="containsText" text="Error">
      <formula>NOT(ISERROR(SEARCH("Error",J16)))</formula>
    </cfRule>
  </conditionalFormatting>
  <conditionalFormatting sqref="J16">
    <cfRule type="expression" dxfId="904" priority="64">
      <formula>AND($H$8&gt;0,$H$16&lt;0.1)</formula>
    </cfRule>
    <cfRule type="expression" dxfId="903" priority="65">
      <formula>AND($H$8&gt;0,$H$16&gt;=0.1)</formula>
    </cfRule>
  </conditionalFormatting>
  <conditionalFormatting sqref="J16:J18">
    <cfRule type="cellIs" dxfId="902" priority="55" operator="lessThan">
      <formula>0</formula>
    </cfRule>
    <cfRule type="containsText" dxfId="901" priority="57" operator="containsText" text="Check">
      <formula>NOT(ISERROR(SEARCH("Check",J16)))</formula>
    </cfRule>
    <cfRule type="containsText" dxfId="900" priority="60" operator="containsText" text="Error">
      <formula>NOT(ISERROR(SEARCH("Error",J16)))</formula>
    </cfRule>
    <cfRule type="containsText" dxfId="899" priority="4" operator="containsText" text="N/A">
      <formula>NOT(ISERROR(SEARCH("N/A",J16)))</formula>
    </cfRule>
  </conditionalFormatting>
  <conditionalFormatting sqref="J16:J18">
    <cfRule type="expression" dxfId="898" priority="58">
      <formula>AND($H$8&gt;0,$H$16&lt;0.1)</formula>
    </cfRule>
    <cfRule type="expression" dxfId="897" priority="59">
      <formula>AND($H$8&gt;0,$H$16&gt;=0.1)</formula>
    </cfRule>
  </conditionalFormatting>
  <conditionalFormatting sqref="J18">
    <cfRule type="cellIs" dxfId="896" priority="49" operator="lessThan">
      <formula>0</formula>
    </cfRule>
    <cfRule type="containsText" dxfId="895" priority="51" operator="containsText" text="Check">
      <formula>NOT(ISERROR(SEARCH("Check",J18)))</formula>
    </cfRule>
    <cfRule type="containsText" dxfId="894" priority="54" operator="containsText" text="Error">
      <formula>NOT(ISERROR(SEARCH("Error",J18)))</formula>
    </cfRule>
  </conditionalFormatting>
  <conditionalFormatting sqref="J18">
    <cfRule type="expression" dxfId="893" priority="52">
      <formula>AND($H$8&gt;0,$H$16&lt;0.1)</formula>
    </cfRule>
    <cfRule type="expression" dxfId="892" priority="53">
      <formula>AND($H$8&gt;0,$H$16&gt;=0.1)</formula>
    </cfRule>
  </conditionalFormatting>
  <conditionalFormatting sqref="H16:I18">
    <cfRule type="containsText" dxfId="891" priority="45" operator="containsText" text="Check">
      <formula>NOT(ISERROR(SEARCH("Check",H16)))</formula>
    </cfRule>
    <cfRule type="containsText" dxfId="890" priority="46" operator="containsText" text="Error">
      <formula>NOT(ISERROR(SEARCH("Error",H16)))</formula>
    </cfRule>
  </conditionalFormatting>
  <conditionalFormatting sqref="J28">
    <cfRule type="cellIs" dxfId="889" priority="37" operator="lessThan">
      <formula>0</formula>
    </cfRule>
    <cfRule type="containsText" dxfId="888" priority="39" operator="containsText" text="Check">
      <formula>NOT(ISERROR(SEARCH("Check",J28)))</formula>
    </cfRule>
    <cfRule type="containsText" dxfId="887" priority="42" operator="containsText" text="Error">
      <formula>NOT(ISERROR(SEARCH("Error",J28)))</formula>
    </cfRule>
  </conditionalFormatting>
  <conditionalFormatting sqref="J29">
    <cfRule type="cellIs" dxfId="886" priority="31" operator="lessThan">
      <formula>0</formula>
    </cfRule>
    <cfRule type="containsText" dxfId="885" priority="33" operator="containsText" text="Check">
      <formula>NOT(ISERROR(SEARCH("Check",J29)))</formula>
    </cfRule>
    <cfRule type="containsText" dxfId="884" priority="36" operator="containsText" text="Error">
      <formula>NOT(ISERROR(SEARCH("Error",J29)))</formula>
    </cfRule>
  </conditionalFormatting>
  <conditionalFormatting sqref="J30">
    <cfRule type="cellIs" dxfId="883" priority="25" operator="lessThan">
      <formula>0</formula>
    </cfRule>
    <cfRule type="containsText" dxfId="882" priority="27" operator="containsText" text="Check">
      <formula>NOT(ISERROR(SEARCH("Check",J30)))</formula>
    </cfRule>
    <cfRule type="containsText" dxfId="881" priority="30" operator="containsText" text="Error">
      <formula>NOT(ISERROR(SEARCH("Error",J30)))</formula>
    </cfRule>
  </conditionalFormatting>
  <conditionalFormatting sqref="D36 H36">
    <cfRule type="cellIs" dxfId="880" priority="24" operator="greaterThan">
      <formula>0</formula>
    </cfRule>
  </conditionalFormatting>
  <conditionalFormatting sqref="H37:I37">
    <cfRule type="cellIs" dxfId="879" priority="23" operator="equal">
      <formula>"Error"</formula>
    </cfRule>
  </conditionalFormatting>
  <conditionalFormatting sqref="H37:I39">
    <cfRule type="containsText" dxfId="878" priority="21" operator="containsText" text="Check">
      <formula>NOT(ISERROR(SEARCH("Check",H37)))</formula>
    </cfRule>
    <cfRule type="containsText" dxfId="877" priority="22" operator="containsText" text="Error">
      <formula>NOT(ISERROR(SEARCH("Error",H37)))</formula>
    </cfRule>
  </conditionalFormatting>
  <conditionalFormatting sqref="D35 H35">
    <cfRule type="cellIs" dxfId="876" priority="20" operator="greaterThan">
      <formula>0</formula>
    </cfRule>
  </conditionalFormatting>
  <conditionalFormatting sqref="L36">
    <cfRule type="cellIs" dxfId="875" priority="19" operator="greaterThan">
      <formula>0</formula>
    </cfRule>
  </conditionalFormatting>
  <conditionalFormatting sqref="D40 H40">
    <cfRule type="cellIs" dxfId="874" priority="15" operator="greaterThan">
      <formula>0</formula>
    </cfRule>
  </conditionalFormatting>
  <conditionalFormatting sqref="H41:I41">
    <cfRule type="cellIs" dxfId="873" priority="14" operator="equal">
      <formula>"Error"</formula>
    </cfRule>
  </conditionalFormatting>
  <conditionalFormatting sqref="H41:I43">
    <cfRule type="containsText" dxfId="872" priority="12" operator="containsText" text="Check">
      <formula>NOT(ISERROR(SEARCH("Check",H41)))</formula>
    </cfRule>
    <cfRule type="containsText" dxfId="871" priority="13" operator="containsText" text="Error">
      <formula>NOT(ISERROR(SEARCH("Error",H41)))</formula>
    </cfRule>
  </conditionalFormatting>
  <conditionalFormatting sqref="H20:I22">
    <cfRule type="cellIs" dxfId="870" priority="5" operator="lessThan">
      <formula>0</formula>
    </cfRule>
  </conditionalFormatting>
  <conditionalFormatting sqref="J51:K53">
    <cfRule type="containsText" dxfId="869" priority="2" operator="containsText" text="cannot be calculated">
      <formula>NOT(ISERROR(SEARCH("cannot be calculated",J51)))</formula>
    </cfRule>
  </conditionalFormatting>
  <pageMargins left="0.7" right="0.7" top="0.75" bottom="0.75" header="0.3" footer="0.3"/>
  <pageSetup paperSize="9" orientation="landscape" r:id="rId1"/>
  <drawing r:id="rId2"/>
  <extLst>
    <ext xmlns:x14="http://schemas.microsoft.com/office/spreadsheetml/2009/9/main" uri="{78C0D931-6437-407d-A8EE-F0AAD7539E65}">
      <x14:conditionalFormattings>
        <x14:conditionalFormatting xmlns:xm="http://schemas.microsoft.com/office/excel/2006/main">
          <x14:cfRule type="cellIs" priority="122" operator="greaterThanOrEqual" id="{317CF123-DBFE-4142-8CA0-0CAF31147708}">
            <xm:f>Start!$F$22</xm:f>
            <x14:dxf>
              <font>
                <color rgb="FF383745"/>
              </font>
              <fill>
                <patternFill>
                  <bgColor rgb="FF92D050"/>
                </patternFill>
              </fill>
            </x14:dxf>
          </x14:cfRule>
          <xm:sqref>H51:I51</xm:sqref>
        </x14:conditionalFormatting>
        <x14:conditionalFormatting xmlns:xm="http://schemas.microsoft.com/office/excel/2006/main">
          <x14:cfRule type="cellIs" priority="70" operator="greaterThanOrEqual" id="{174E62FB-622D-4466-AC15-ECD7EDA321FA}">
            <xm:f>Start!$F$22</xm:f>
            <x14:dxf>
              <font>
                <color rgb="FF383745"/>
              </font>
              <fill>
                <patternFill>
                  <bgColor rgb="FF92D050"/>
                </patternFill>
              </fill>
            </x14:dxf>
          </x14:cfRule>
          <xm:sqref>H52:I52</xm:sqref>
        </x14:conditionalFormatting>
        <x14:conditionalFormatting xmlns:xm="http://schemas.microsoft.com/office/excel/2006/main">
          <x14:cfRule type="cellIs" priority="120" operator="greaterThanOrEqual" id="{B9051EBB-868E-4F17-8CE4-A64ADCF3715C}">
            <xm:f>Start!$F$22</xm:f>
            <x14:dxf>
              <font>
                <color rgb="FF383745"/>
              </font>
              <fill>
                <patternFill>
                  <bgColor rgb="FF92D050"/>
                </patternFill>
              </fill>
            </x14:dxf>
          </x14:cfRule>
          <xm:sqref>H53:I53</xm:sqref>
        </x14:conditionalFormatting>
        <x14:conditionalFormatting xmlns:xm="http://schemas.microsoft.com/office/excel/2006/main">
          <x14:cfRule type="cellIs" priority="125" operator="equal" id="{6EEE2BFC-026C-4DBA-865F-850D56F4BDD9}">
            <xm:f>'G-1 All Habitats'!$X$6</xm:f>
            <x14:dxf>
              <fill>
                <patternFill>
                  <bgColor theme="7" tint="0.79998168889431442"/>
                </patternFill>
              </fill>
            </x14:dxf>
          </x14:cfRule>
          <x14:cfRule type="cellIs" priority="126" operator="equal" id="{B56D98BB-0AE5-4874-9D4E-3C4485D04071}">
            <xm:f>'G-1 All Habitats'!$X$7</xm:f>
            <x14:dxf>
              <fill>
                <patternFill>
                  <bgColor theme="4" tint="0.59996337778862885"/>
                </patternFill>
              </fill>
            </x14:dxf>
          </x14:cfRule>
          <x14:cfRule type="cellIs" priority="127" operator="equal" id="{E7D480FC-A0C4-44B1-A2E7-E2F87CB95EC5}">
            <xm:f>'G-1 All Habitats'!$X$5</xm:f>
            <x14:dxf>
              <fill>
                <patternFill>
                  <bgColor theme="7" tint="0.39994506668294322"/>
                </patternFill>
              </fill>
            </x14:dxf>
          </x14:cfRule>
          <x14:cfRule type="cellIs" priority="128" operator="equal" id="{90383316-2A46-4A3A-98B3-02D63A8114CA}">
            <xm:f>'G-1 All Habitats'!$X$4</xm:f>
            <x14:dxf>
              <fill>
                <patternFill>
                  <bgColor theme="5"/>
                </patternFill>
              </fill>
            </x14:dxf>
          </x14:cfRule>
          <x14:cfRule type="cellIs" priority="129" operator="equal" id="{24E51F1E-FA9B-4668-88E2-BBF17FE60338}">
            <xm:f>'G-1 All Habitats'!$X$3</xm:f>
            <x14:dxf>
              <font>
                <color theme="0"/>
              </font>
              <fill>
                <patternFill>
                  <bgColor rgb="FFC00000"/>
                </patternFill>
              </fill>
            </x14:dxf>
          </x14:cfRule>
          <xm:sqref>K50 K45:K46 K25:K31</xm:sqref>
        </x14:conditionalFormatting>
        <x14:conditionalFormatting xmlns:xm="http://schemas.microsoft.com/office/excel/2006/main">
          <x14:cfRule type="cellIs" priority="7" operator="equal" id="{34391782-A42B-48CB-9ACB-2E92103FAD17}">
            <xm:f>'G-1 All Habitats'!$X$6</xm:f>
            <x14:dxf>
              <fill>
                <patternFill>
                  <bgColor theme="7" tint="0.79998168889431442"/>
                </patternFill>
              </fill>
            </x14:dxf>
          </x14:cfRule>
          <x14:cfRule type="cellIs" priority="8" operator="equal" id="{CAC5EDAA-4B5F-4546-821F-1991FFC39B23}">
            <xm:f>'G-1 All Habitats'!$X$7</xm:f>
            <x14:dxf>
              <fill>
                <patternFill>
                  <bgColor theme="4" tint="0.59996337778862885"/>
                </patternFill>
              </fill>
            </x14:dxf>
          </x14:cfRule>
          <x14:cfRule type="cellIs" priority="9" operator="equal" id="{94843BC6-55B5-4209-A28E-6CCB4242554C}">
            <xm:f>'G-1 All Habitats'!$X$5</xm:f>
            <x14:dxf>
              <fill>
                <patternFill>
                  <bgColor theme="7" tint="0.39994506668294322"/>
                </patternFill>
              </fill>
            </x14:dxf>
          </x14:cfRule>
          <x14:cfRule type="cellIs" priority="10" operator="equal" id="{1148AB86-4D63-46F8-88F7-FE511952A740}">
            <xm:f>'G-1 All Habitats'!$X$4</xm:f>
            <x14:dxf>
              <fill>
                <patternFill>
                  <bgColor theme="5"/>
                </patternFill>
              </fill>
            </x14:dxf>
          </x14:cfRule>
          <x14:cfRule type="cellIs" priority="11" operator="equal" id="{95716A3A-2666-478E-AE8A-92365B1E03A6}">
            <xm:f>'G-1 All Habitats'!$X$3</xm:f>
            <x14:dxf>
              <fill>
                <patternFill>
                  <bgColor rgb="FFFF0000"/>
                </patternFill>
              </fill>
            </x14:dxf>
          </x14:cfRule>
          <xm:sqref>K36:K44</xm:sqref>
        </x14:conditionalFormatting>
        <x14:conditionalFormatting xmlns:xm="http://schemas.microsoft.com/office/excel/2006/main">
          <x14:cfRule type="cellIs" priority="424" operator="lessThan" id="{4ED278A4-2758-46C8-8477-466D168977ED}">
            <xm:f>Start!$F$22</xm:f>
            <x14:dxf>
              <font>
                <color rgb="FF000000"/>
              </font>
              <fill>
                <patternFill>
                  <bgColor rgb="FFFFC000"/>
                </patternFill>
              </fill>
            </x14:dxf>
          </x14:cfRule>
          <xm:sqref>H51:I53 J16:J18</xm:sqref>
        </x14:conditionalFormatting>
      </x14:conditionalFormatting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1">
    <tabColor rgb="FFF4D4D4"/>
  </sheetPr>
  <dimension ref="A1:AG215"/>
  <sheetViews>
    <sheetView showRowColHeaders="0" zoomScale="80" zoomScaleNormal="80" workbookViewId="0"/>
  </sheetViews>
  <sheetFormatPr defaultColWidth="8.7109375" defaultRowHeight="15"/>
  <cols>
    <col min="1" max="1" width="4.28515625" style="618" customWidth="1"/>
    <col min="2" max="2" width="72.7109375" style="618" customWidth="1"/>
    <col min="3" max="3" width="13.7109375" style="618" customWidth="1"/>
    <col min="4" max="4" width="18.28515625" style="618" customWidth="1"/>
    <col min="5" max="5" width="16" style="618" customWidth="1"/>
    <col min="6" max="6" width="14.5703125" style="618" customWidth="1"/>
    <col min="7" max="7" width="12.42578125" style="618" customWidth="1"/>
    <col min="8" max="8" width="15.5703125" style="618" customWidth="1"/>
    <col min="9" max="9" width="16.28515625" style="618" customWidth="1"/>
    <col min="10" max="10" width="20.28515625" style="618" customWidth="1"/>
    <col min="11" max="11" width="23.28515625" style="618" customWidth="1"/>
    <col min="12" max="12" width="28.28515625" style="618" customWidth="1"/>
    <col min="13" max="13" width="15" style="618" customWidth="1"/>
    <col min="14" max="14" width="16.28515625" style="618" customWidth="1"/>
    <col min="15" max="15" width="11.28515625" style="618" customWidth="1"/>
    <col min="16" max="16" width="16.28515625" style="618" customWidth="1"/>
    <col min="17" max="17" width="14" style="618" customWidth="1"/>
    <col min="18" max="18" width="12.28515625" style="618" customWidth="1"/>
    <col min="19" max="19" width="13.42578125" style="618" customWidth="1"/>
    <col min="20" max="20" width="10.5703125" style="618" customWidth="1"/>
    <col min="21" max="30" width="8.7109375" style="618"/>
    <col min="31" max="31" width="12.28515625" style="618" customWidth="1"/>
    <col min="32" max="16384" width="8.7109375" style="618"/>
  </cols>
  <sheetData>
    <row r="1" spans="2:19" ht="15.75" customHeight="1" thickBot="1"/>
    <row r="2" spans="2:19" ht="22.15" customHeight="1" thickBot="1">
      <c r="B2" s="1253" t="str">
        <f>IF(Start!$F$12="","",Start!$F$12)</f>
        <v>Grove Farm Solar</v>
      </c>
      <c r="C2" s="1254"/>
      <c r="D2" s="1255"/>
    </row>
    <row r="3" spans="2:19" ht="19.899999999999999" customHeight="1">
      <c r="B3" s="1260" t="str">
        <f ca="1">MID(CELL("filename",A1),FIND("]",CELL("filename",A1))+1,256)</f>
        <v>Detailed Results</v>
      </c>
      <c r="C3" s="1261"/>
      <c r="D3" s="1262"/>
    </row>
    <row r="4" spans="2:19" ht="21.6" customHeight="1" thickBot="1">
      <c r="B4" s="1263"/>
      <c r="C4" s="1264"/>
      <c r="D4" s="1265"/>
    </row>
    <row r="5" spans="2:19" ht="15.75" customHeight="1"/>
    <row r="6" spans="2:19" ht="25.5" customHeight="1" thickBot="1"/>
    <row r="7" spans="2:19" ht="18.75" customHeight="1">
      <c r="B7" s="1266" t="s">
        <v>95</v>
      </c>
      <c r="C7" s="1267"/>
    </row>
    <row r="8" spans="2:19" ht="20.25" customHeight="1" thickBot="1">
      <c r="B8" s="1268"/>
      <c r="C8" s="1269"/>
    </row>
    <row r="9" spans="2:19" ht="15.75" customHeight="1" thickBot="1">
      <c r="B9" s="619"/>
      <c r="C9" s="619"/>
      <c r="O9" s="620"/>
      <c r="Q9" s="620"/>
      <c r="R9" s="620"/>
    </row>
    <row r="10" spans="2:19" ht="18" customHeight="1">
      <c r="B10" s="1270" t="s">
        <v>96</v>
      </c>
      <c r="C10" s="1271"/>
      <c r="D10" s="1271"/>
      <c r="E10" s="1272"/>
      <c r="F10" s="1281" t="s">
        <v>75</v>
      </c>
      <c r="G10" s="1282"/>
      <c r="H10" s="1279">
        <f>IFERROR('Headline Results'!$H$47:$I$47,"Check Data ⚠")</f>
        <v>97.897490402123225</v>
      </c>
      <c r="I10" s="1280"/>
      <c r="J10" s="621"/>
      <c r="O10" s="620"/>
      <c r="P10" s="620"/>
      <c r="Q10" s="620"/>
      <c r="R10" s="620"/>
      <c r="S10" s="620"/>
    </row>
    <row r="11" spans="2:19" ht="15.75" customHeight="1">
      <c r="B11" s="1273"/>
      <c r="C11" s="1274"/>
      <c r="D11" s="1274"/>
      <c r="E11" s="1275"/>
      <c r="F11" s="1285" t="s">
        <v>76</v>
      </c>
      <c r="G11" s="1292"/>
      <c r="H11" s="1290">
        <f>IFERROR('Headline Results'!$H$48:$I$48,"Check Data ⚠")</f>
        <v>16.669627715952004</v>
      </c>
      <c r="I11" s="1291"/>
    </row>
    <row r="12" spans="2:19" ht="18.600000000000001" customHeight="1" thickBot="1">
      <c r="B12" s="1276"/>
      <c r="C12" s="1277"/>
      <c r="D12" s="1277"/>
      <c r="E12" s="1278"/>
      <c r="F12" s="1256" t="s">
        <v>77</v>
      </c>
      <c r="G12" s="1257"/>
      <c r="H12" s="1258">
        <f>IFERROR('Headline Results'!$H$49:$I$49,"Check Data ⚠")</f>
        <v>0</v>
      </c>
      <c r="I12" s="1259"/>
    </row>
    <row r="13" spans="2:19" ht="15.75" customHeight="1" thickBot="1"/>
    <row r="14" spans="2:19" ht="18.75" customHeight="1">
      <c r="B14" s="1270" t="s">
        <v>97</v>
      </c>
      <c r="C14" s="1271"/>
      <c r="D14" s="1271"/>
      <c r="E14" s="1272"/>
      <c r="F14" s="1281" t="s">
        <v>75</v>
      </c>
      <c r="G14" s="1289"/>
      <c r="H14" s="1287">
        <f>IFERROR('Headline Results'!$H$51:$I$51,"Check Data ⚠")</f>
        <v>1.012467323068333</v>
      </c>
      <c r="I14" s="1288"/>
    </row>
    <row r="15" spans="2:19" ht="18.75" customHeight="1">
      <c r="B15" s="1273"/>
      <c r="C15" s="1274"/>
      <c r="D15" s="1274"/>
      <c r="E15" s="1275"/>
      <c r="F15" s="1285" t="s">
        <v>76</v>
      </c>
      <c r="G15" s="1286"/>
      <c r="H15" s="1283">
        <f>IFERROR('Headline Results'!$H$52:$I$52,"Check Data ⚠")</f>
        <v>1.0264549086177341</v>
      </c>
      <c r="I15" s="1284"/>
    </row>
    <row r="16" spans="2:19" ht="18.75" customHeight="1" thickBot="1">
      <c r="B16" s="1276"/>
      <c r="C16" s="1277"/>
      <c r="D16" s="1277"/>
      <c r="E16" s="1278"/>
      <c r="F16" s="1256" t="s">
        <v>77</v>
      </c>
      <c r="G16" s="1295"/>
      <c r="H16" s="1293">
        <f>IFERROR('Headline Results'!$H$53:$I$53,"Check Data ⚠")</f>
        <v>0</v>
      </c>
      <c r="I16" s="1294"/>
    </row>
    <row r="17" spans="2:9" ht="18.75" customHeight="1" thickBot="1"/>
    <row r="18" spans="2:9" ht="25.5" customHeight="1">
      <c r="B18" s="1296" t="s">
        <v>98</v>
      </c>
      <c r="C18" s="1296"/>
      <c r="D18" s="1296"/>
      <c r="E18" s="1296"/>
      <c r="F18" s="1296"/>
      <c r="G18" s="1296"/>
      <c r="H18" s="1296"/>
      <c r="I18" s="1296"/>
    </row>
    <row r="19" spans="2:9" ht="22.5" customHeight="1" thickBot="1">
      <c r="B19" s="1297"/>
      <c r="C19" s="1297"/>
      <c r="D19" s="1297"/>
      <c r="E19" s="1297"/>
      <c r="F19" s="1297"/>
      <c r="G19" s="1297"/>
      <c r="H19" s="1297"/>
      <c r="I19" s="1297"/>
    </row>
    <row r="20" spans="2:9" ht="18.75" customHeight="1" thickBot="1">
      <c r="B20" s="1249"/>
      <c r="C20" s="1249"/>
      <c r="D20" s="1252" t="s">
        <v>99</v>
      </c>
      <c r="E20" s="1252"/>
      <c r="F20" s="1252" t="s">
        <v>53</v>
      </c>
      <c r="G20" s="1252"/>
      <c r="H20" s="1252" t="s">
        <v>59</v>
      </c>
      <c r="I20" s="1252"/>
    </row>
    <row r="21" spans="2:9" ht="18.75" customHeight="1">
      <c r="B21" s="1208" t="s">
        <v>100</v>
      </c>
      <c r="C21" s="1209"/>
      <c r="D21" s="1250">
        <f>IF(AND($K$40=0,'A-1 On-Site Habitat Baseline'!Y11:Y258&lt;&gt;"No",'D-1 Off-Site Habitat Baseline'!AB11:AB258&lt;&gt;"No"),'A-1 On-Site Habitat Baseline'!$H259+'D-1 Off-Site Habitat Baseline'!H259,"Error ▲")</f>
        <v>46.795000000000009</v>
      </c>
      <c r="E21" s="1250"/>
      <c r="F21" s="1242">
        <f>'B-1 On-Site Hedge Baseline'!$E$258+'E-1 Off-Site Hedge Baseline'!$E$258</f>
        <v>2.54</v>
      </c>
      <c r="G21" s="1242"/>
      <c r="H21" s="1242">
        <f>'C-1 On-Site WaterC'' Baseline'!$E$258+'F-1 Off-Site WaterC'' Baseline'!$E$258</f>
        <v>0</v>
      </c>
      <c r="I21" s="1243"/>
    </row>
    <row r="22" spans="2:9" ht="18.75" customHeight="1" thickBot="1">
      <c r="B22" s="1210" t="s">
        <v>101</v>
      </c>
      <c r="C22" s="1211"/>
      <c r="D22" s="1251">
        <f>IF(AND($K$40=0,'A-1 On-Site Habitat Baseline'!Y11:Y258&lt;&gt;"No",'D-1 Off-Site Habitat Baseline'!AB11:AB258&lt;&gt;"No"),'A-1 On-Site Habitat Baseline'!$Q259+'D-1 Off-Site Habitat Baseline'!T259,"Error ▲")</f>
        <v>96.691999999999979</v>
      </c>
      <c r="E22" s="1251"/>
      <c r="F22" s="1244">
        <f>'B-1 On-Site Hedge Baseline'!$N$258+'E-1 Off-Site Hedge Baseline'!$Q$258</f>
        <v>16.240000000000002</v>
      </c>
      <c r="G22" s="1244"/>
      <c r="H22" s="1244">
        <f>'C-1 On-Site WaterC'' Baseline'!$R$258+'F-1 Off-Site WaterC'' Baseline'!$U$258</f>
        <v>0</v>
      </c>
      <c r="I22" s="1245"/>
    </row>
    <row r="23" spans="2:9" ht="18.75" customHeight="1" thickBot="1">
      <c r="D23" s="621"/>
      <c r="F23" s="621"/>
      <c r="H23" s="621"/>
    </row>
    <row r="24" spans="2:9" ht="18.75" customHeight="1">
      <c r="B24" s="1208" t="s">
        <v>102</v>
      </c>
      <c r="C24" s="1209"/>
      <c r="D24" s="1250">
        <f>IF(AND($K$40=0,'A-1 On-Site Habitat Baseline'!Y11:Y258&lt;&gt;"No",'D-1 Off-Site Habitat Baseline'!AB11:AB258&lt;&gt;"No"),'A-1 On-Site Habitat Baseline'!$S259+'D-1 Off-Site Habitat Baseline'!V259,"Error ▲")</f>
        <v>0.85699999999999998</v>
      </c>
      <c r="E24" s="1250"/>
      <c r="F24" s="1242">
        <f>'B-1 On-Site Hedge Baseline'!$P$258+'E-1 Off-Site Hedge Baseline'!$S$258</f>
        <v>2.54</v>
      </c>
      <c r="G24" s="1242"/>
      <c r="H24" s="1242">
        <f>'C-1 On-Site WaterC'' Baseline'!T258+'F-1 Off-Site WaterC'' Baseline'!W258</f>
        <v>0</v>
      </c>
      <c r="I24" s="1243"/>
    </row>
    <row r="25" spans="2:9" ht="18.75" customHeight="1" thickBot="1">
      <c r="B25" s="1210" t="s">
        <v>103</v>
      </c>
      <c r="C25" s="1211"/>
      <c r="D25" s="1251">
        <f>IF(AND($K$40=0,'A-1 On-Site Habitat Baseline'!Y11:Y258&lt;&gt;"No",'D-1 Off-Site Habitat Baseline'!AB11:AB258&lt;&gt;"No"),'A-1 On-Site Habitat Baseline'!$U259+'D-1 Off-Site Habitat Baseline'!X259,"Error ▲")</f>
        <v>5.5839999999999996</v>
      </c>
      <c r="E25" s="1251"/>
      <c r="F25" s="1244">
        <f>'B-1 On-Site Hedge Baseline'!R258+'E-1 Off-Site Hedge Baseline'!U258</f>
        <v>16.240000000000002</v>
      </c>
      <c r="G25" s="1244"/>
      <c r="H25" s="1244">
        <f>'C-1 On-Site WaterC'' Baseline'!V258+'F-1 Off-Site WaterC'' Baseline'!Y258</f>
        <v>0</v>
      </c>
      <c r="I25" s="1245"/>
    </row>
    <row r="26" spans="2:9" ht="18.75" customHeight="1" thickBot="1">
      <c r="D26" s="621"/>
      <c r="F26" s="621"/>
      <c r="H26" s="621"/>
    </row>
    <row r="27" spans="2:9" ht="18.75" customHeight="1">
      <c r="B27" s="1208" t="s">
        <v>104</v>
      </c>
      <c r="C27" s="1209"/>
      <c r="D27" s="1250">
        <f>IF(AND($K$40=0,'A-1 On-Site Habitat Baseline'!Y11:Y258&lt;&gt;"No",'D-1 Off-Site Habitat Baseline'!AB11:AB258&lt;&gt;"No"),'A-1 On-Site Habitat Baseline'!$T259+'D-1 Off-Site Habitat Baseline'!W259,"Error ▲")</f>
        <v>0</v>
      </c>
      <c r="E27" s="1250"/>
      <c r="F27" s="1242">
        <f>'B-1 On-Site Hedge Baseline'!$Q$258+'E-1 Off-Site Hedge Baseline'!$T$258</f>
        <v>0</v>
      </c>
      <c r="G27" s="1242"/>
      <c r="H27" s="1242">
        <f>'C-1 On-Site WaterC'' Baseline'!U258+'F-1 Off-Site WaterC'' Baseline'!X258</f>
        <v>0</v>
      </c>
      <c r="I27" s="1243"/>
    </row>
    <row r="28" spans="2:9" ht="18.75" customHeight="1" thickBot="1">
      <c r="B28" s="1210" t="s">
        <v>105</v>
      </c>
      <c r="C28" s="1211"/>
      <c r="D28" s="1251">
        <f>IF(AND($K$40=0,'A-1 On-Site Habitat Baseline'!Y11:Y258&lt;&gt;"No",'D-1 Off-Site Habitat Baseline'!AB11:AB258&lt;&gt;"No"),'A-1 On-Site Habitat Baseline'!$V259+'D-1 Off-Site Habitat Baseline'!Y259,"Error ▲")</f>
        <v>0</v>
      </c>
      <c r="E28" s="1251"/>
      <c r="F28" s="1244">
        <f>'B-1 On-Site Hedge Baseline'!$S$258+'E-1 Off-Site Hedge Baseline'!$V$258</f>
        <v>0</v>
      </c>
      <c r="G28" s="1244"/>
      <c r="H28" s="1244">
        <f>'C-1 On-Site WaterC'' Baseline'!W258+'F-1 Off-Site WaterC'' Baseline'!Z258</f>
        <v>0</v>
      </c>
      <c r="I28" s="1245"/>
    </row>
    <row r="29" spans="2:9" ht="18.75" customHeight="1" thickBot="1">
      <c r="D29" s="621"/>
      <c r="F29" s="621"/>
      <c r="H29" s="621"/>
    </row>
    <row r="30" spans="2:9" ht="18.75" customHeight="1">
      <c r="B30" s="1208" t="s">
        <v>106</v>
      </c>
      <c r="C30" s="1209"/>
      <c r="D30" s="1250">
        <f>IF(AND($K$40=0,'A-1 On-Site Habitat Baseline'!Y11:Y258&lt;&gt;"No",'D-1 Off-Site Habitat Baseline'!AB11:AB258&lt;&gt;"No"),'A-1 On-Site Habitat Baseline'!$W259+'D-1 Off-Site Habitat Baseline'!Z259,"Error ▲")</f>
        <v>45.938000000000002</v>
      </c>
      <c r="E30" s="1250"/>
      <c r="F30" s="1242">
        <f>'B-1 On-Site Hedge Baseline'!$T$258+'E-1 Off-Site Hedge Baseline'!$W$258</f>
        <v>0</v>
      </c>
      <c r="G30" s="1242"/>
      <c r="H30" s="1242">
        <f>'C-1 On-Site WaterC'' Baseline'!X258+'F-1 Off-Site WaterC'' Baseline'!AA258</f>
        <v>0</v>
      </c>
      <c r="I30" s="1243"/>
    </row>
    <row r="31" spans="2:9" ht="18.75" customHeight="1" thickBot="1">
      <c r="B31" s="1210" t="s">
        <v>107</v>
      </c>
      <c r="C31" s="1211"/>
      <c r="D31" s="1251">
        <f>IF(AND($K$40=0,'A-1 On-Site Habitat Baseline'!Y11:Y258&lt;&gt;"No",'D-1 Off-Site Habitat Baseline'!AB11:AB258&lt;&gt;"No"),'A-1 On-Site Habitat Baseline'!$X259+'D-1 Off-Site Habitat Baseline'!AA259,"Error ▲")</f>
        <v>91.10799999999999</v>
      </c>
      <c r="E31" s="1251"/>
      <c r="F31" s="1244">
        <f>'B-1 On-Site Hedge Baseline'!$U$258+'E-1 Off-Site Hedge Baseline'!$X$258</f>
        <v>0</v>
      </c>
      <c r="G31" s="1244"/>
      <c r="H31" s="1244">
        <f>'C-1 On-Site WaterC'' Baseline'!Y258+'F-1 Off-Site WaterC'' Baseline'!AB258</f>
        <v>0</v>
      </c>
      <c r="I31" s="1245"/>
    </row>
    <row r="32" spans="2:9" ht="25.9" customHeight="1" thickBot="1">
      <c r="C32" s="621"/>
      <c r="D32" s="621"/>
      <c r="E32" s="621"/>
    </row>
    <row r="33" spans="1:22" s="622" customFormat="1" ht="43.9" customHeight="1" thickTop="1" thickBot="1">
      <c r="A33" s="1212" t="s">
        <v>108</v>
      </c>
      <c r="C33" s="623"/>
      <c r="D33" s="623"/>
      <c r="E33" s="623"/>
    </row>
    <row r="34" spans="1:22" ht="26.25" thickBot="1">
      <c r="A34" s="1213"/>
      <c r="B34" s="624" t="s">
        <v>45</v>
      </c>
    </row>
    <row r="35" spans="1:22" ht="18.75" customHeight="1" thickBot="1">
      <c r="A35" s="1213"/>
    </row>
    <row r="36" spans="1:22" ht="22.15" customHeight="1" thickBot="1">
      <c r="A36" s="1213"/>
      <c r="B36" s="1224" t="s">
        <v>109</v>
      </c>
      <c r="C36" s="1224"/>
      <c r="D36" s="1224"/>
      <c r="E36" s="1224"/>
      <c r="F36" s="1224"/>
      <c r="G36" s="1224"/>
      <c r="H36" s="1224"/>
      <c r="J36" s="1230" t="s">
        <v>110</v>
      </c>
      <c r="K36" s="1231"/>
      <c r="L36" s="1232"/>
    </row>
    <row r="37" spans="1:22" ht="34.15" customHeight="1" thickBot="1">
      <c r="A37" s="1213"/>
      <c r="B37" s="625"/>
      <c r="C37" s="1207" t="s">
        <v>111</v>
      </c>
      <c r="D37" s="1207"/>
      <c r="E37" s="1207" t="s">
        <v>112</v>
      </c>
      <c r="F37" s="1207"/>
      <c r="G37" s="1207" t="s">
        <v>113</v>
      </c>
      <c r="H37" s="1207"/>
      <c r="J37" s="1233"/>
      <c r="K37" s="1234"/>
      <c r="L37" s="1235"/>
      <c r="U37" s="1298"/>
      <c r="V37" s="1298"/>
    </row>
    <row r="38" spans="1:22" ht="52.9" customHeight="1" thickBot="1">
      <c r="A38" s="1213"/>
      <c r="B38" s="635" t="s">
        <v>114</v>
      </c>
      <c r="C38" s="636" t="s">
        <v>115</v>
      </c>
      <c r="D38" s="636" t="s">
        <v>116</v>
      </c>
      <c r="E38" s="636" t="s">
        <v>117</v>
      </c>
      <c r="F38" s="636" t="s">
        <v>118</v>
      </c>
      <c r="G38" s="636" t="s">
        <v>119</v>
      </c>
      <c r="H38" s="636" t="s">
        <v>120</v>
      </c>
      <c r="J38" s="1236" t="s">
        <v>121</v>
      </c>
      <c r="K38" s="1238" t="s">
        <v>122</v>
      </c>
      <c r="L38" s="1240" t="s">
        <v>123</v>
      </c>
      <c r="U38" s="1298"/>
      <c r="V38" s="1298"/>
    </row>
    <row r="39" spans="1:22" ht="15.75">
      <c r="A39" s="1213"/>
      <c r="B39" s="637" t="s">
        <v>124</v>
      </c>
      <c r="C39" s="638">
        <f>'G-2 Habitat groups'!$AK$4</f>
        <v>16.273</v>
      </c>
      <c r="D39" s="638">
        <f>'G-2 Habitat groups'!$AL$4</f>
        <v>32.545999999999999</v>
      </c>
      <c r="E39" s="638">
        <f>'G-2 Habitat groups'!$AM$4</f>
        <v>0.17499999999999999</v>
      </c>
      <c r="F39" s="638">
        <f>'G-2 Habitat groups'!$AN$4</f>
        <v>0.34187999999999996</v>
      </c>
      <c r="G39" s="638">
        <f>E39-C39</f>
        <v>-16.097999999999999</v>
      </c>
      <c r="H39" s="639">
        <f>F39-D39</f>
        <v>-32.204119999999996</v>
      </c>
      <c r="J39" s="1237"/>
      <c r="K39" s="1239"/>
      <c r="L39" s="1241"/>
    </row>
    <row r="40" spans="1:22" ht="15.75">
      <c r="A40" s="1213"/>
      <c r="B40" s="640" t="s">
        <v>125</v>
      </c>
      <c r="C40" s="628">
        <f>'G-2 Habitat groups'!$AK$5</f>
        <v>29.661000000000001</v>
      </c>
      <c r="D40" s="628">
        <f>'G-2 Habitat groups'!$AL$5</f>
        <v>61.362000000000002</v>
      </c>
      <c r="E40" s="628">
        <f>'G-2 Habitat groups'!$AM$5</f>
        <v>42.995000000000005</v>
      </c>
      <c r="F40" s="628">
        <f>'G-2 Habitat groups'!$AN$5</f>
        <v>181.31072774346643</v>
      </c>
      <c r="G40" s="628">
        <f t="shared" ref="G40:G50" si="0">E40-C40</f>
        <v>13.334000000000003</v>
      </c>
      <c r="H40" s="629">
        <f t="shared" ref="H40:H50" si="1">F40-D40</f>
        <v>119.94872774346643</v>
      </c>
      <c r="J40" s="1220" t="str">
        <f>'G-1 All Habitats'!$V$3</f>
        <v>V.High</v>
      </c>
      <c r="K40" s="1222">
        <f>SUMIF('A-1 On-Site Habitat Baseline'!$I$11:$I$258,'Detailed Results'!J40,'A-1 On-Site Habitat Baseline'!$W$11:$W$258)+SUMIF('D-1 Off-Site Habitat Baseline'!$I$11:$I$258,'Detailed Results'!J40,'D-1 Off-Site Habitat Baseline'!$Z$11:$Z$258)</f>
        <v>0</v>
      </c>
      <c r="L40" s="1227" t="str">
        <f>IF(K40=0,"",(K40/(SUM($K$40:$K$49)))*100)</f>
        <v/>
      </c>
    </row>
    <row r="41" spans="1:22" ht="15.75">
      <c r="A41" s="1213"/>
      <c r="B41" s="640" t="s">
        <v>126</v>
      </c>
      <c r="C41" s="628">
        <f>'G-2 Habitat groups'!$AK$6</f>
        <v>2.3E-2</v>
      </c>
      <c r="D41" s="628">
        <f>'G-2 Habitat groups'!$AL$6</f>
        <v>0.184</v>
      </c>
      <c r="E41" s="628">
        <f>'G-2 Habitat groups'!$AM$6</f>
        <v>0.66100000000000003</v>
      </c>
      <c r="F41" s="628">
        <f>'G-2 Habitat groups'!$AN$6</f>
        <v>4.4251501687728005</v>
      </c>
      <c r="G41" s="628">
        <f t="shared" si="0"/>
        <v>0.63800000000000001</v>
      </c>
      <c r="H41" s="629">
        <f t="shared" si="1"/>
        <v>4.2411501687728004</v>
      </c>
      <c r="J41" s="1221"/>
      <c r="K41" s="1223"/>
      <c r="L41" s="1228"/>
    </row>
    <row r="42" spans="1:22" ht="15.75">
      <c r="A42" s="1213"/>
      <c r="B42" s="640" t="s">
        <v>127</v>
      </c>
      <c r="C42" s="628">
        <f>'G-2 Habitat groups'!$AK$7</f>
        <v>0</v>
      </c>
      <c r="D42" s="628">
        <f>'G-2 Habitat groups'!$AL$7</f>
        <v>0</v>
      </c>
      <c r="E42" s="628">
        <f>'G-2 Habitat groups'!$AM$7</f>
        <v>0</v>
      </c>
      <c r="F42" s="628">
        <f>'G-2 Habitat groups'!$AN$7</f>
        <v>0</v>
      </c>
      <c r="G42" s="628">
        <f t="shared" si="0"/>
        <v>0</v>
      </c>
      <c r="H42" s="629">
        <f t="shared" si="1"/>
        <v>0</v>
      </c>
      <c r="J42" s="1220" t="str">
        <f>'G-1 All Habitats'!$V$4</f>
        <v>High</v>
      </c>
      <c r="K42" s="1222">
        <f>SUMIF('A-1 On-Site Habitat Baseline'!$I$11:$I$258,'Detailed Results'!J42,'A-1 On-Site Habitat Baseline'!$W$11:$W$258)+SUMIF('D-1 Off-Site Habitat Baseline'!$I$11:$I$258,'Detailed Results'!J42,'D-1 Off-Site Habitat Baseline'!$Z$11:$Z$258)</f>
        <v>0</v>
      </c>
      <c r="L42" s="1227" t="str">
        <f>IF(K42=0,"",(K42/(SUM($K$40:$K$49)))*100)</f>
        <v/>
      </c>
    </row>
    <row r="43" spans="1:22" ht="15.75">
      <c r="A43" s="1213"/>
      <c r="B43" s="640" t="s">
        <v>128</v>
      </c>
      <c r="C43" s="628">
        <f>'G-2 Habitat groups'!$AK$8</f>
        <v>0</v>
      </c>
      <c r="D43" s="628">
        <f>'G-2 Habitat groups'!$AL$8</f>
        <v>0</v>
      </c>
      <c r="E43" s="628">
        <f>'G-2 Habitat groups'!$AM$8</f>
        <v>0</v>
      </c>
      <c r="F43" s="628">
        <f>'G-2 Habitat groups'!$AN$8</f>
        <v>0</v>
      </c>
      <c r="G43" s="628">
        <f t="shared" si="0"/>
        <v>0</v>
      </c>
      <c r="H43" s="629">
        <f t="shared" si="1"/>
        <v>0</v>
      </c>
      <c r="J43" s="1221"/>
      <c r="K43" s="1223"/>
      <c r="L43" s="1228"/>
    </row>
    <row r="44" spans="1:22" ht="15.75">
      <c r="A44" s="1213"/>
      <c r="B44" s="640" t="s">
        <v>129</v>
      </c>
      <c r="C44" s="628">
        <f>'G-2 Habitat groups'!$AK$9</f>
        <v>0.51300000000000001</v>
      </c>
      <c r="D44" s="628">
        <f>'G-2 Habitat groups'!$AL$9</f>
        <v>0</v>
      </c>
      <c r="E44" s="628">
        <f>'G-2 Habitat groups'!$AM$9</f>
        <v>1.3779999999999999</v>
      </c>
      <c r="F44" s="628">
        <f>'G-2 Habitat groups'!$AN$9</f>
        <v>0</v>
      </c>
      <c r="G44" s="628">
        <f t="shared" si="0"/>
        <v>0.86499999999999988</v>
      </c>
      <c r="H44" s="629">
        <f t="shared" si="1"/>
        <v>0</v>
      </c>
      <c r="J44" s="1220" t="str">
        <f>'G-1 All Habitats'!$V5</f>
        <v>Medium</v>
      </c>
      <c r="K44" s="1222">
        <f>SUMIF('A-1 On-Site Habitat Baseline'!$I$11:$I$258,'Detailed Results'!J44,'A-1 On-Site Habitat Baseline'!$W$11:$W$258)+SUMIF('D-1 Off-Site Habitat Baseline'!$I$11:$I$258,'Detailed Results'!J44,'D-1 Off-Site Habitat Baseline'!$Z$11:$Z$258)</f>
        <v>2.3E-2</v>
      </c>
      <c r="L44" s="1227">
        <f>IF(K44=0,"",(K44/(SUM($K$40:$K$49)))*100)</f>
        <v>5.0067482258696498E-2</v>
      </c>
    </row>
    <row r="45" spans="1:22" ht="15.75">
      <c r="A45" s="1213"/>
      <c r="B45" s="640" t="s">
        <v>130</v>
      </c>
      <c r="C45" s="628">
        <f>'G-2 Habitat groups'!$AK$10</f>
        <v>0</v>
      </c>
      <c r="D45" s="628">
        <f>'G-2 Habitat groups'!$AL$10</f>
        <v>0</v>
      </c>
      <c r="E45" s="628">
        <f>'G-2 Habitat groups'!$AM$10</f>
        <v>0</v>
      </c>
      <c r="F45" s="628">
        <f>'G-2 Habitat groups'!$AN$10</f>
        <v>0</v>
      </c>
      <c r="G45" s="628">
        <f t="shared" si="0"/>
        <v>0</v>
      </c>
      <c r="H45" s="629">
        <f t="shared" si="1"/>
        <v>0</v>
      </c>
      <c r="J45" s="1221"/>
      <c r="K45" s="1223"/>
      <c r="L45" s="1228"/>
    </row>
    <row r="46" spans="1:22" ht="15.75">
      <c r="A46" s="1213"/>
      <c r="B46" s="640" t="s">
        <v>131</v>
      </c>
      <c r="C46" s="628">
        <f>'G-2 Habitat groups'!$AK$11</f>
        <v>0.32500000000000001</v>
      </c>
      <c r="D46" s="628">
        <f>'G-2 Habitat groups'!$AL$11</f>
        <v>2.6</v>
      </c>
      <c r="E46" s="628">
        <f>'G-2 Habitat groups'!$AM$11</f>
        <v>1.5860000000000001</v>
      </c>
      <c r="F46" s="628">
        <f>'G-2 Habitat groups'!$AN$11</f>
        <v>8.5117324898840021</v>
      </c>
      <c r="G46" s="628">
        <f t="shared" si="0"/>
        <v>1.2610000000000001</v>
      </c>
      <c r="H46" s="629">
        <f t="shared" si="1"/>
        <v>5.9117324898840025</v>
      </c>
      <c r="J46" s="1220" t="str">
        <f>'G-1 All Habitats'!$V$6</f>
        <v>Low</v>
      </c>
      <c r="K46" s="1222">
        <f>SUMIF('A-1 On-Site Habitat Baseline'!$I$11:$I$258,'Detailed Results'!J46,'A-1 On-Site Habitat Baseline'!$W$11:$W$258)+SUMIF('D-1 Off-Site Habitat Baseline'!$I$11:$I$258,'Detailed Results'!J46,'D-1 Off-Site Habitat Baseline'!$Z$11:$Z$258)</f>
        <v>45.461999999999996</v>
      </c>
      <c r="L46" s="1227">
        <f>IF(K46=0,"",(K46/(SUM($K$40:$K$49)))*100)</f>
        <v>98.963820801950448</v>
      </c>
    </row>
    <row r="47" spans="1:22" ht="15.75">
      <c r="A47" s="1213"/>
      <c r="B47" s="641" t="s">
        <v>132</v>
      </c>
      <c r="C47" s="628">
        <f>'G-2 Habitat groups'!$AK$12</f>
        <v>0</v>
      </c>
      <c r="D47" s="628">
        <f>'G-2 Habitat groups'!$AL$12</f>
        <v>0</v>
      </c>
      <c r="E47" s="628">
        <f>'G-2 Habitat groups'!$AM$12</f>
        <v>0</v>
      </c>
      <c r="F47" s="628">
        <f>'G-2 Habitat groups'!$AN$12</f>
        <v>0</v>
      </c>
      <c r="G47" s="628">
        <f t="shared" si="0"/>
        <v>0</v>
      </c>
      <c r="H47" s="629">
        <f t="shared" si="1"/>
        <v>0</v>
      </c>
      <c r="J47" s="1221"/>
      <c r="K47" s="1223"/>
      <c r="L47" s="1228"/>
    </row>
    <row r="48" spans="1:22" ht="15.75">
      <c r="A48" s="1213"/>
      <c r="B48" s="641" t="s">
        <v>133</v>
      </c>
      <c r="C48" s="628">
        <f>'G-2 Habitat groups'!$AK$13</f>
        <v>0</v>
      </c>
      <c r="D48" s="628">
        <f>'G-2 Habitat groups'!$AL$13</f>
        <v>0</v>
      </c>
      <c r="E48" s="628">
        <f>'G-2 Habitat groups'!$AM$13</f>
        <v>0</v>
      </c>
      <c r="F48" s="628">
        <f>'G-2 Habitat groups'!$AN$13</f>
        <v>0</v>
      </c>
      <c r="G48" s="628">
        <f t="shared" si="0"/>
        <v>0</v>
      </c>
      <c r="H48" s="629">
        <f t="shared" si="1"/>
        <v>0</v>
      </c>
      <c r="J48" s="1220" t="str">
        <f>'G-1 All Habitats'!$V$7</f>
        <v>V.Low</v>
      </c>
      <c r="K48" s="1222">
        <f>SUMIF('A-1 On-Site Habitat Baseline'!$I$11:$I$258,'Detailed Results'!J48,'A-1 On-Site Habitat Baseline'!$W$11:$W$258)+SUMIF('D-1 Off-Site Habitat Baseline'!$I$11:$I$258,'Detailed Results'!J48,'D-1 Off-Site Habitat Baseline'!$Z$11:$Z$258)</f>
        <v>0.45300000000000007</v>
      </c>
      <c r="L48" s="1227">
        <f>IF(K48=0,"",(K48/(SUM($K$40:$K$49)))*100)</f>
        <v>0.98611171579084855</v>
      </c>
    </row>
    <row r="49" spans="1:33" ht="16.5" thickBot="1">
      <c r="A49" s="1213"/>
      <c r="B49" s="641" t="s">
        <v>134</v>
      </c>
      <c r="C49" s="628">
        <f>'G-2 Habitat groups'!$AK$14</f>
        <v>0</v>
      </c>
      <c r="D49" s="628">
        <f>'G-2 Habitat groups'!$AL$14</f>
        <v>0</v>
      </c>
      <c r="E49" s="628">
        <f>'G-2 Habitat groups'!$AM$14</f>
        <v>0</v>
      </c>
      <c r="F49" s="628">
        <f>'G-2 Habitat groups'!$AN$14</f>
        <v>0</v>
      </c>
      <c r="G49" s="628">
        <f t="shared" si="0"/>
        <v>0</v>
      </c>
      <c r="H49" s="629">
        <f t="shared" si="1"/>
        <v>0</v>
      </c>
      <c r="J49" s="1225"/>
      <c r="K49" s="1226"/>
      <c r="L49" s="1229"/>
    </row>
    <row r="50" spans="1:33" ht="15.75">
      <c r="A50" s="1213"/>
      <c r="B50" s="641" t="s">
        <v>135</v>
      </c>
      <c r="C50" s="628">
        <f>'G-2 Habitat groups'!$AK$15</f>
        <v>0</v>
      </c>
      <c r="D50" s="628">
        <f>'G-2 Habitat groups'!$AL$15</f>
        <v>0</v>
      </c>
      <c r="E50" s="628">
        <f>'G-2 Habitat groups'!$AM$15</f>
        <v>0</v>
      </c>
      <c r="F50" s="628">
        <f>'G-2 Habitat groups'!$AN$15</f>
        <v>0</v>
      </c>
      <c r="G50" s="628">
        <f t="shared" si="0"/>
        <v>0</v>
      </c>
      <c r="H50" s="629">
        <f t="shared" si="1"/>
        <v>0</v>
      </c>
    </row>
    <row r="51" spans="1:33" ht="15.75">
      <c r="A51" s="1213"/>
      <c r="B51" s="641" t="s">
        <v>136</v>
      </c>
      <c r="C51" s="628">
        <f>'G-2 Habitat groups'!$AK$16</f>
        <v>0</v>
      </c>
      <c r="D51" s="628">
        <f>'G-2 Habitat groups'!$AL$16</f>
        <v>0</v>
      </c>
      <c r="E51" s="628">
        <f>'G-2 Habitat groups'!$AM$16</f>
        <v>0</v>
      </c>
      <c r="F51" s="628">
        <f>'G-2 Habitat groups'!$AN$16</f>
        <v>0</v>
      </c>
      <c r="G51" s="628">
        <f t="shared" ref="G51:H53" si="2">E51-C51</f>
        <v>0</v>
      </c>
      <c r="H51" s="629">
        <f t="shared" si="2"/>
        <v>0</v>
      </c>
    </row>
    <row r="52" spans="1:33" ht="15.75" customHeight="1">
      <c r="A52" s="1213"/>
      <c r="B52" s="652" t="s">
        <v>137</v>
      </c>
      <c r="C52" s="628">
        <f>'G-2 Habitat groups'!$AK$18</f>
        <v>0</v>
      </c>
      <c r="D52" s="628">
        <f>'G-2 Habitat groups'!$AL$18</f>
        <v>0</v>
      </c>
      <c r="E52" s="628">
        <f>'G-2 Habitat groups'!$AM$18</f>
        <v>0</v>
      </c>
      <c r="F52" s="628">
        <f>'G-2 Habitat groups'!$AN$18</f>
        <v>0</v>
      </c>
      <c r="G52" s="628">
        <f t="shared" si="2"/>
        <v>0</v>
      </c>
      <c r="H52" s="629">
        <f t="shared" si="2"/>
        <v>0</v>
      </c>
    </row>
    <row r="53" spans="1:33" ht="15.75" customHeight="1" thickBot="1">
      <c r="A53" s="1213"/>
      <c r="B53" s="653" t="s">
        <v>138</v>
      </c>
      <c r="C53" s="630">
        <f>'G-2 Habitat groups'!$AK$17</f>
        <v>0</v>
      </c>
      <c r="D53" s="630">
        <f>'G-2 Habitat groups'!$AL$17</f>
        <v>0</v>
      </c>
      <c r="E53" s="630">
        <f>'G-2 Habitat groups'!$AM$17</f>
        <v>0</v>
      </c>
      <c r="F53" s="630">
        <f>'G-2 Habitat groups'!$AN$17</f>
        <v>0</v>
      </c>
      <c r="G53" s="630">
        <f t="shared" si="2"/>
        <v>0</v>
      </c>
      <c r="H53" s="631">
        <f t="shared" si="2"/>
        <v>0</v>
      </c>
    </row>
    <row r="54" spans="1:33" ht="15.75" customHeight="1">
      <c r="A54" s="1213"/>
    </row>
    <row r="55" spans="1:33" ht="10.15" customHeight="1" thickBot="1">
      <c r="A55" s="1213"/>
    </row>
    <row r="56" spans="1:33" ht="22.9" customHeight="1" thickBot="1">
      <c r="A56" s="1213"/>
      <c r="B56" s="1224" t="s">
        <v>139</v>
      </c>
      <c r="C56" s="1224"/>
      <c r="D56" s="1224"/>
      <c r="E56" s="1224"/>
      <c r="F56" s="1224"/>
      <c r="G56" s="1224"/>
      <c r="H56" s="1224"/>
      <c r="I56" s="632"/>
      <c r="J56" s="632"/>
      <c r="K56" s="632"/>
      <c r="L56" s="632"/>
      <c r="M56" s="632"/>
    </row>
    <row r="57" spans="1:33" s="634" customFormat="1" ht="38.25" customHeight="1" thickBot="1">
      <c r="A57" s="1213"/>
      <c r="B57" s="625"/>
      <c r="C57" s="1207" t="s">
        <v>111</v>
      </c>
      <c r="D57" s="1207"/>
      <c r="E57" s="1207" t="s">
        <v>140</v>
      </c>
      <c r="F57" s="1207"/>
      <c r="G57" s="1207" t="s">
        <v>141</v>
      </c>
      <c r="H57" s="1207"/>
      <c r="I57" s="633"/>
      <c r="J57" s="633"/>
      <c r="K57" s="618"/>
      <c r="L57" s="618"/>
      <c r="M57" s="618"/>
      <c r="N57" s="618"/>
      <c r="O57" s="618"/>
      <c r="P57" s="618"/>
      <c r="Q57" s="618"/>
      <c r="R57" s="618"/>
      <c r="S57" s="618"/>
      <c r="T57" s="618"/>
      <c r="U57" s="618"/>
      <c r="V57" s="618"/>
      <c r="W57" s="618"/>
      <c r="X57" s="618"/>
      <c r="Y57" s="618"/>
      <c r="Z57" s="618"/>
      <c r="AA57" s="618"/>
      <c r="AB57" s="618"/>
      <c r="AC57" s="618"/>
      <c r="AD57" s="618"/>
      <c r="AE57" s="618"/>
      <c r="AF57" s="618"/>
      <c r="AG57" s="618"/>
    </row>
    <row r="58" spans="1:33" ht="48" customHeight="1" thickBot="1">
      <c r="A58" s="1213"/>
      <c r="B58" s="635" t="s">
        <v>114</v>
      </c>
      <c r="C58" s="636" t="s">
        <v>142</v>
      </c>
      <c r="D58" s="636" t="s">
        <v>143</v>
      </c>
      <c r="E58" s="636" t="s">
        <v>144</v>
      </c>
      <c r="F58" s="636" t="s">
        <v>145</v>
      </c>
      <c r="G58" s="636" t="s">
        <v>146</v>
      </c>
      <c r="H58" s="636" t="s">
        <v>147</v>
      </c>
      <c r="I58" s="633"/>
      <c r="J58" s="633"/>
    </row>
    <row r="59" spans="1:33" ht="15.75">
      <c r="A59" s="1213"/>
      <c r="B59" s="637" t="s">
        <v>124</v>
      </c>
      <c r="C59" s="638">
        <f>'G-2 Habitat groups'!$AK$21</f>
        <v>0</v>
      </c>
      <c r="D59" s="638">
        <f>'G-2 Habitat groups'!$AL$21</f>
        <v>0</v>
      </c>
      <c r="E59" s="638">
        <f>'G-2 Habitat groups'!$AM$21</f>
        <v>0</v>
      </c>
      <c r="F59" s="638">
        <f>'G-2 Habitat groups'!$AN$21</f>
        <v>0</v>
      </c>
      <c r="G59" s="638">
        <f t="shared" ref="G59:G70" si="3">E59-C59</f>
        <v>0</v>
      </c>
      <c r="H59" s="639">
        <f t="shared" ref="H59:H70" si="4">F59-D59</f>
        <v>0</v>
      </c>
      <c r="I59" s="633"/>
      <c r="J59" s="633"/>
    </row>
    <row r="60" spans="1:33" ht="15.75">
      <c r="A60" s="1213"/>
      <c r="B60" s="640" t="s">
        <v>125</v>
      </c>
      <c r="C60" s="628">
        <f>'G-2 Habitat groups'!$AK$22</f>
        <v>0</v>
      </c>
      <c r="D60" s="628">
        <f>'G-2 Habitat groups'!$AL$22</f>
        <v>0</v>
      </c>
      <c r="E60" s="628">
        <f>'G-2 Habitat groups'!$AM$22</f>
        <v>0</v>
      </c>
      <c r="F60" s="628">
        <f>'G-2 Habitat groups'!$AN$22</f>
        <v>0</v>
      </c>
      <c r="G60" s="628">
        <f t="shared" si="3"/>
        <v>0</v>
      </c>
      <c r="H60" s="629">
        <f t="shared" si="4"/>
        <v>0</v>
      </c>
      <c r="I60" s="633"/>
      <c r="J60" s="633"/>
    </row>
    <row r="61" spans="1:33" ht="15.75" customHeight="1">
      <c r="A61" s="1213"/>
      <c r="B61" s="640" t="s">
        <v>126</v>
      </c>
      <c r="C61" s="628">
        <f>'G-2 Habitat groups'!$AK$23</f>
        <v>0</v>
      </c>
      <c r="D61" s="628">
        <f>'G-2 Habitat groups'!$AL$23</f>
        <v>0</v>
      </c>
      <c r="E61" s="628">
        <f>'G-2 Habitat groups'!$AM$23</f>
        <v>0</v>
      </c>
      <c r="F61" s="628">
        <f>'G-2 Habitat groups'!$AN$23</f>
        <v>0</v>
      </c>
      <c r="G61" s="628">
        <f t="shared" si="3"/>
        <v>0</v>
      </c>
      <c r="H61" s="629">
        <f t="shared" si="4"/>
        <v>0</v>
      </c>
      <c r="I61" s="633"/>
      <c r="J61" s="633"/>
    </row>
    <row r="62" spans="1:33" ht="15.75">
      <c r="A62" s="1213"/>
      <c r="B62" s="640" t="s">
        <v>127</v>
      </c>
      <c r="C62" s="628">
        <f>'G-2 Habitat groups'!$AK$24</f>
        <v>0</v>
      </c>
      <c r="D62" s="628">
        <f>'G-2 Habitat groups'!$AL$24</f>
        <v>0</v>
      </c>
      <c r="E62" s="628">
        <f>'G-2 Habitat groups'!$AM$24</f>
        <v>0</v>
      </c>
      <c r="F62" s="628">
        <f>'G-2 Habitat groups'!$AN$24</f>
        <v>0</v>
      </c>
      <c r="G62" s="628">
        <f t="shared" si="3"/>
        <v>0</v>
      </c>
      <c r="H62" s="629">
        <f t="shared" si="4"/>
        <v>0</v>
      </c>
      <c r="I62" s="633"/>
      <c r="J62" s="633"/>
    </row>
    <row r="63" spans="1:33" ht="15.75">
      <c r="A63" s="1213"/>
      <c r="B63" s="640" t="s">
        <v>128</v>
      </c>
      <c r="C63" s="628">
        <f>'G-2 Habitat groups'!$AK$25</f>
        <v>0</v>
      </c>
      <c r="D63" s="628">
        <f>'G-2 Habitat groups'!$AL$25</f>
        <v>0</v>
      </c>
      <c r="E63" s="628">
        <f>'G-2 Habitat groups'!$AM$25</f>
        <v>0</v>
      </c>
      <c r="F63" s="628">
        <f>'G-2 Habitat groups'!$AN$25</f>
        <v>0</v>
      </c>
      <c r="G63" s="628">
        <f t="shared" si="3"/>
        <v>0</v>
      </c>
      <c r="H63" s="629">
        <f t="shared" si="4"/>
        <v>0</v>
      </c>
      <c r="I63" s="633"/>
      <c r="J63" s="633"/>
    </row>
    <row r="64" spans="1:33" ht="15.75">
      <c r="A64" s="1213"/>
      <c r="B64" s="640" t="s">
        <v>129</v>
      </c>
      <c r="C64" s="628">
        <f>'G-2 Habitat groups'!$AK$26</f>
        <v>0</v>
      </c>
      <c r="D64" s="628">
        <f>'G-2 Habitat groups'!$AL$26</f>
        <v>0</v>
      </c>
      <c r="E64" s="628">
        <f>'G-2 Habitat groups'!$AM$26</f>
        <v>0</v>
      </c>
      <c r="F64" s="628">
        <f>'G-2 Habitat groups'!$AN$26</f>
        <v>0</v>
      </c>
      <c r="G64" s="628">
        <f t="shared" si="3"/>
        <v>0</v>
      </c>
      <c r="H64" s="629">
        <f t="shared" si="4"/>
        <v>0</v>
      </c>
      <c r="I64" s="633"/>
      <c r="J64" s="633"/>
    </row>
    <row r="65" spans="1:10" ht="15.75">
      <c r="A65" s="1213"/>
      <c r="B65" s="640" t="s">
        <v>130</v>
      </c>
      <c r="C65" s="628">
        <f>'G-2 Habitat groups'!$AK$27</f>
        <v>0</v>
      </c>
      <c r="D65" s="628">
        <f>'G-2 Habitat groups'!$AL$27</f>
        <v>0</v>
      </c>
      <c r="E65" s="628">
        <f>'G-2 Habitat groups'!$AM$27</f>
        <v>0</v>
      </c>
      <c r="F65" s="628">
        <f>'G-2 Habitat groups'!$AN$27</f>
        <v>0</v>
      </c>
      <c r="G65" s="628">
        <f t="shared" si="3"/>
        <v>0</v>
      </c>
      <c r="H65" s="629">
        <f t="shared" si="4"/>
        <v>0</v>
      </c>
      <c r="I65" s="633"/>
      <c r="J65" s="633"/>
    </row>
    <row r="66" spans="1:10" ht="15.75">
      <c r="A66" s="1213"/>
      <c r="B66" s="640" t="s">
        <v>131</v>
      </c>
      <c r="C66" s="628">
        <f>'G-2 Habitat groups'!$AK$28</f>
        <v>0</v>
      </c>
      <c r="D66" s="628">
        <f>'G-2 Habitat groups'!$AL$28</f>
        <v>0</v>
      </c>
      <c r="E66" s="628">
        <f>'G-2 Habitat groups'!$AM$28</f>
        <v>0</v>
      </c>
      <c r="F66" s="628">
        <f>'G-2 Habitat groups'!$AN$28</f>
        <v>0</v>
      </c>
      <c r="G66" s="628">
        <f t="shared" si="3"/>
        <v>0</v>
      </c>
      <c r="H66" s="629">
        <f t="shared" si="4"/>
        <v>0</v>
      </c>
      <c r="I66" s="633"/>
      <c r="J66" s="633"/>
    </row>
    <row r="67" spans="1:10" ht="15.75" customHeight="1">
      <c r="A67" s="1213"/>
      <c r="B67" s="641" t="s">
        <v>132</v>
      </c>
      <c r="C67" s="628">
        <f>'G-2 Habitat groups'!$AK$29</f>
        <v>0</v>
      </c>
      <c r="D67" s="628">
        <f>'G-2 Habitat groups'!$AL$29</f>
        <v>0</v>
      </c>
      <c r="E67" s="628">
        <f>'G-2 Habitat groups'!$AM$29</f>
        <v>0</v>
      </c>
      <c r="F67" s="628">
        <f>'G-2 Habitat groups'!$AN$29</f>
        <v>0</v>
      </c>
      <c r="G67" s="628">
        <f t="shared" si="3"/>
        <v>0</v>
      </c>
      <c r="H67" s="629">
        <f t="shared" si="4"/>
        <v>0</v>
      </c>
      <c r="I67" s="633"/>
      <c r="J67" s="633"/>
    </row>
    <row r="68" spans="1:10" ht="15.75" customHeight="1">
      <c r="A68" s="1213"/>
      <c r="B68" s="641" t="s">
        <v>133</v>
      </c>
      <c r="C68" s="628">
        <f>'G-2 Habitat groups'!$AK$30</f>
        <v>0</v>
      </c>
      <c r="D68" s="628">
        <f>'G-2 Habitat groups'!$AL$30</f>
        <v>0</v>
      </c>
      <c r="E68" s="628">
        <f>'G-2 Habitat groups'!$AM$30</f>
        <v>0</v>
      </c>
      <c r="F68" s="628">
        <f>'G-2 Habitat groups'!$AN$30</f>
        <v>0</v>
      </c>
      <c r="G68" s="628">
        <f t="shared" si="3"/>
        <v>0</v>
      </c>
      <c r="H68" s="629">
        <f t="shared" si="4"/>
        <v>0</v>
      </c>
      <c r="I68" s="633"/>
      <c r="J68" s="633"/>
    </row>
    <row r="69" spans="1:10" ht="15.75" customHeight="1">
      <c r="A69" s="1213"/>
      <c r="B69" s="641" t="s">
        <v>134</v>
      </c>
      <c r="C69" s="628">
        <f>'G-2 Habitat groups'!$AK$31</f>
        <v>0</v>
      </c>
      <c r="D69" s="628">
        <f>'G-2 Habitat groups'!$AL$31</f>
        <v>0</v>
      </c>
      <c r="E69" s="628">
        <f>'G-2 Habitat groups'!$AM$31</f>
        <v>0</v>
      </c>
      <c r="F69" s="628">
        <f>'G-2 Habitat groups'!$AN$31</f>
        <v>0</v>
      </c>
      <c r="G69" s="628">
        <f t="shared" si="3"/>
        <v>0</v>
      </c>
      <c r="H69" s="629">
        <f t="shared" si="4"/>
        <v>0</v>
      </c>
      <c r="I69" s="633"/>
      <c r="J69" s="633"/>
    </row>
    <row r="70" spans="1:10" ht="15.75" customHeight="1">
      <c r="A70" s="1213"/>
      <c r="B70" s="641" t="s">
        <v>135</v>
      </c>
      <c r="C70" s="628">
        <f>'G-2 Habitat groups'!$AK$32</f>
        <v>0</v>
      </c>
      <c r="D70" s="628">
        <f>'G-2 Habitat groups'!$AL$32</f>
        <v>0</v>
      </c>
      <c r="E70" s="628">
        <f>'G-2 Habitat groups'!$AM$32</f>
        <v>0</v>
      </c>
      <c r="F70" s="628">
        <f>'G-2 Habitat groups'!$AN$32</f>
        <v>0</v>
      </c>
      <c r="G70" s="628">
        <f t="shared" si="3"/>
        <v>0</v>
      </c>
      <c r="H70" s="629">
        <f t="shared" si="4"/>
        <v>0</v>
      </c>
      <c r="I70" s="633"/>
      <c r="J70" s="633"/>
    </row>
    <row r="71" spans="1:10" ht="15.75" customHeight="1">
      <c r="A71" s="1213"/>
      <c r="B71" s="641" t="s">
        <v>136</v>
      </c>
      <c r="C71" s="628">
        <f>'G-2 Habitat groups'!$AK$33</f>
        <v>0</v>
      </c>
      <c r="D71" s="628">
        <f>'G-2 Habitat groups'!$AL$33</f>
        <v>0</v>
      </c>
      <c r="E71" s="628">
        <f>'G-2 Habitat groups'!$AM$33</f>
        <v>0</v>
      </c>
      <c r="F71" s="628">
        <f>'G-2 Habitat groups'!$AN$33</f>
        <v>0</v>
      </c>
      <c r="G71" s="628">
        <f t="shared" ref="G71:H71" si="5">E71-C71</f>
        <v>0</v>
      </c>
      <c r="H71" s="629">
        <f t="shared" si="5"/>
        <v>0</v>
      </c>
      <c r="I71" s="633"/>
      <c r="J71" s="633"/>
    </row>
    <row r="72" spans="1:10" ht="15.75" customHeight="1">
      <c r="A72" s="1213"/>
      <c r="B72" s="654" t="s">
        <v>137</v>
      </c>
      <c r="C72" s="628">
        <f>'G-2 Habitat groups'!$AK$35</f>
        <v>0</v>
      </c>
      <c r="D72" s="628">
        <f>'G-2 Habitat groups'!$AL$35</f>
        <v>0</v>
      </c>
      <c r="E72" s="628">
        <f>'G-2 Habitat groups'!$AM$35</f>
        <v>0</v>
      </c>
      <c r="F72" s="628">
        <f>'G-2 Habitat groups'!$AN$35</f>
        <v>0</v>
      </c>
      <c r="G72" s="628">
        <f>E72-C72</f>
        <v>0</v>
      </c>
      <c r="H72" s="629">
        <f>F72-D72</f>
        <v>0</v>
      </c>
      <c r="I72" s="633"/>
      <c r="J72" s="633"/>
    </row>
    <row r="73" spans="1:10" ht="15.75" customHeight="1" thickBot="1">
      <c r="A73" s="1213"/>
      <c r="B73" s="642" t="s">
        <v>138</v>
      </c>
      <c r="C73" s="628">
        <f>'G-2 Habitat groups'!$AK$34</f>
        <v>0</v>
      </c>
      <c r="D73" s="628">
        <f>'G-2 Habitat groups'!$AL$34</f>
        <v>0</v>
      </c>
      <c r="E73" s="628">
        <f>'G-2 Habitat groups'!$AM$34</f>
        <v>0</v>
      </c>
      <c r="F73" s="628">
        <f>'G-2 Habitat groups'!$AN$34</f>
        <v>0</v>
      </c>
      <c r="G73" s="628">
        <f>E73-C73</f>
        <v>0</v>
      </c>
      <c r="H73" s="629">
        <f>F73-D73</f>
        <v>0</v>
      </c>
      <c r="I73" s="633"/>
      <c r="J73" s="633"/>
    </row>
    <row r="74" spans="1:10" ht="10.9" customHeight="1" thickBot="1">
      <c r="A74" s="1213"/>
      <c r="B74" s="633"/>
      <c r="C74" s="633"/>
      <c r="D74" s="633"/>
      <c r="E74" s="633"/>
      <c r="F74" s="633"/>
      <c r="G74" s="633"/>
      <c r="H74" s="633"/>
      <c r="I74" s="633"/>
      <c r="J74" s="633"/>
    </row>
    <row r="75" spans="1:10" ht="19.5" thickBot="1">
      <c r="A75" s="1213"/>
      <c r="B75" s="1224" t="s">
        <v>148</v>
      </c>
      <c r="C75" s="1224"/>
      <c r="D75" s="1224"/>
      <c r="E75" s="1224"/>
      <c r="F75" s="1224"/>
      <c r="G75" s="1224"/>
      <c r="H75" s="1224"/>
      <c r="I75" s="633"/>
      <c r="J75" s="633"/>
    </row>
    <row r="76" spans="1:10" ht="33.6" customHeight="1" thickBot="1">
      <c r="A76" s="1213"/>
      <c r="B76" s="625"/>
      <c r="C76" s="1207" t="s">
        <v>111</v>
      </c>
      <c r="D76" s="1207"/>
      <c r="E76" s="1207" t="s">
        <v>149</v>
      </c>
      <c r="F76" s="1207"/>
      <c r="G76" s="1207" t="s">
        <v>150</v>
      </c>
      <c r="H76" s="1207"/>
      <c r="I76" s="633"/>
      <c r="J76" s="633"/>
    </row>
    <row r="77" spans="1:10" ht="45.6" customHeight="1" thickBot="1">
      <c r="A77" s="1213"/>
      <c r="B77" s="635" t="s">
        <v>114</v>
      </c>
      <c r="C77" s="636" t="s">
        <v>151</v>
      </c>
      <c r="D77" s="636" t="s">
        <v>152</v>
      </c>
      <c r="E77" s="636" t="s">
        <v>153</v>
      </c>
      <c r="F77" s="636" t="s">
        <v>154</v>
      </c>
      <c r="G77" s="636" t="s">
        <v>155</v>
      </c>
      <c r="H77" s="636" t="s">
        <v>156</v>
      </c>
      <c r="I77" s="633"/>
      <c r="J77" s="633"/>
    </row>
    <row r="78" spans="1:10" ht="15.75" customHeight="1">
      <c r="A78" s="1213"/>
      <c r="B78" s="637" t="s">
        <v>124</v>
      </c>
      <c r="C78" s="638">
        <f t="shared" ref="C78:H91" si="6">C39+C59</f>
        <v>16.273</v>
      </c>
      <c r="D78" s="638">
        <f t="shared" si="6"/>
        <v>32.545999999999999</v>
      </c>
      <c r="E78" s="638">
        <f t="shared" si="6"/>
        <v>0.17499999999999999</v>
      </c>
      <c r="F78" s="638">
        <f t="shared" si="6"/>
        <v>0.34187999999999996</v>
      </c>
      <c r="G78" s="638">
        <f t="shared" si="6"/>
        <v>-16.097999999999999</v>
      </c>
      <c r="H78" s="639">
        <f t="shared" si="6"/>
        <v>-32.204119999999996</v>
      </c>
      <c r="I78" s="633"/>
      <c r="J78" s="633"/>
    </row>
    <row r="79" spans="1:10" ht="15.75" customHeight="1">
      <c r="A79" s="1213"/>
      <c r="B79" s="640" t="s">
        <v>125</v>
      </c>
      <c r="C79" s="628">
        <f t="shared" si="6"/>
        <v>29.661000000000001</v>
      </c>
      <c r="D79" s="628">
        <f t="shared" si="6"/>
        <v>61.362000000000002</v>
      </c>
      <c r="E79" s="628">
        <f t="shared" si="6"/>
        <v>42.995000000000005</v>
      </c>
      <c r="F79" s="628">
        <f t="shared" si="6"/>
        <v>181.31072774346643</v>
      </c>
      <c r="G79" s="628">
        <f t="shared" si="6"/>
        <v>13.334000000000003</v>
      </c>
      <c r="H79" s="629">
        <f t="shared" si="6"/>
        <v>119.94872774346643</v>
      </c>
      <c r="I79" s="633"/>
      <c r="J79" s="633"/>
    </row>
    <row r="80" spans="1:10" ht="15.75" customHeight="1">
      <c r="A80" s="1213"/>
      <c r="B80" s="640" t="s">
        <v>126</v>
      </c>
      <c r="C80" s="628">
        <f t="shared" si="6"/>
        <v>2.3E-2</v>
      </c>
      <c r="D80" s="628">
        <f t="shared" si="6"/>
        <v>0.184</v>
      </c>
      <c r="E80" s="628">
        <f t="shared" si="6"/>
        <v>0.66100000000000003</v>
      </c>
      <c r="F80" s="628">
        <f t="shared" si="6"/>
        <v>4.4251501687728005</v>
      </c>
      <c r="G80" s="628">
        <f t="shared" si="6"/>
        <v>0.63800000000000001</v>
      </c>
      <c r="H80" s="629">
        <f t="shared" si="6"/>
        <v>4.2411501687728004</v>
      </c>
      <c r="I80" s="633"/>
      <c r="J80" s="633"/>
    </row>
    <row r="81" spans="1:10" ht="15.75" customHeight="1">
      <c r="A81" s="1213"/>
      <c r="B81" s="640" t="s">
        <v>127</v>
      </c>
      <c r="C81" s="628">
        <f t="shared" si="6"/>
        <v>0</v>
      </c>
      <c r="D81" s="628">
        <f t="shared" si="6"/>
        <v>0</v>
      </c>
      <c r="E81" s="628">
        <f t="shared" si="6"/>
        <v>0</v>
      </c>
      <c r="F81" s="628">
        <f t="shared" si="6"/>
        <v>0</v>
      </c>
      <c r="G81" s="628">
        <f t="shared" si="6"/>
        <v>0</v>
      </c>
      <c r="H81" s="629">
        <f t="shared" si="6"/>
        <v>0</v>
      </c>
      <c r="I81" s="633"/>
      <c r="J81" s="633"/>
    </row>
    <row r="82" spans="1:10" ht="15.75" customHeight="1">
      <c r="A82" s="1213"/>
      <c r="B82" s="640" t="s">
        <v>128</v>
      </c>
      <c r="C82" s="628">
        <f t="shared" si="6"/>
        <v>0</v>
      </c>
      <c r="D82" s="628">
        <f t="shared" si="6"/>
        <v>0</v>
      </c>
      <c r="E82" s="628">
        <f t="shared" si="6"/>
        <v>0</v>
      </c>
      <c r="F82" s="628">
        <f t="shared" si="6"/>
        <v>0</v>
      </c>
      <c r="G82" s="628">
        <f t="shared" si="6"/>
        <v>0</v>
      </c>
      <c r="H82" s="629">
        <f t="shared" si="6"/>
        <v>0</v>
      </c>
      <c r="I82" s="633"/>
      <c r="J82" s="633"/>
    </row>
    <row r="83" spans="1:10" ht="15.75" customHeight="1">
      <c r="A83" s="1213"/>
      <c r="B83" s="640" t="s">
        <v>129</v>
      </c>
      <c r="C83" s="628">
        <f t="shared" si="6"/>
        <v>0.51300000000000001</v>
      </c>
      <c r="D83" s="628">
        <f t="shared" si="6"/>
        <v>0</v>
      </c>
      <c r="E83" s="628">
        <f t="shared" si="6"/>
        <v>1.3779999999999999</v>
      </c>
      <c r="F83" s="628">
        <f t="shared" si="6"/>
        <v>0</v>
      </c>
      <c r="G83" s="628">
        <f t="shared" si="6"/>
        <v>0.86499999999999988</v>
      </c>
      <c r="H83" s="629">
        <f t="shared" si="6"/>
        <v>0</v>
      </c>
      <c r="I83" s="633"/>
      <c r="J83" s="633"/>
    </row>
    <row r="84" spans="1:10" ht="15.75" customHeight="1">
      <c r="A84" s="1213"/>
      <c r="B84" s="640" t="s">
        <v>130</v>
      </c>
      <c r="C84" s="628">
        <f t="shared" si="6"/>
        <v>0</v>
      </c>
      <c r="D84" s="628">
        <f t="shared" si="6"/>
        <v>0</v>
      </c>
      <c r="E84" s="628">
        <f t="shared" si="6"/>
        <v>0</v>
      </c>
      <c r="F84" s="628">
        <f t="shared" si="6"/>
        <v>0</v>
      </c>
      <c r="G84" s="628">
        <f t="shared" si="6"/>
        <v>0</v>
      </c>
      <c r="H84" s="629">
        <f t="shared" si="6"/>
        <v>0</v>
      </c>
      <c r="I84" s="633"/>
      <c r="J84" s="633"/>
    </row>
    <row r="85" spans="1:10" ht="18" customHeight="1">
      <c r="A85" s="1213"/>
      <c r="B85" s="640" t="s">
        <v>131</v>
      </c>
      <c r="C85" s="628">
        <f t="shared" si="6"/>
        <v>0.32500000000000001</v>
      </c>
      <c r="D85" s="628">
        <f t="shared" si="6"/>
        <v>2.6</v>
      </c>
      <c r="E85" s="628">
        <f t="shared" si="6"/>
        <v>1.5860000000000001</v>
      </c>
      <c r="F85" s="628">
        <f t="shared" si="6"/>
        <v>8.5117324898840021</v>
      </c>
      <c r="G85" s="628">
        <f t="shared" si="6"/>
        <v>1.2610000000000001</v>
      </c>
      <c r="H85" s="629">
        <f t="shared" si="6"/>
        <v>5.9117324898840025</v>
      </c>
      <c r="I85" s="633"/>
      <c r="J85" s="633"/>
    </row>
    <row r="86" spans="1:10" ht="15.75">
      <c r="A86" s="1213"/>
      <c r="B86" s="641" t="s">
        <v>132</v>
      </c>
      <c r="C86" s="628">
        <f t="shared" si="6"/>
        <v>0</v>
      </c>
      <c r="D86" s="628">
        <f t="shared" si="6"/>
        <v>0</v>
      </c>
      <c r="E86" s="628">
        <f t="shared" si="6"/>
        <v>0</v>
      </c>
      <c r="F86" s="628">
        <f t="shared" si="6"/>
        <v>0</v>
      </c>
      <c r="G86" s="628">
        <f t="shared" si="6"/>
        <v>0</v>
      </c>
      <c r="H86" s="629">
        <f t="shared" si="6"/>
        <v>0</v>
      </c>
      <c r="I86" s="633"/>
      <c r="J86" s="633"/>
    </row>
    <row r="87" spans="1:10" ht="15.75">
      <c r="A87" s="1213"/>
      <c r="B87" s="641" t="s">
        <v>133</v>
      </c>
      <c r="C87" s="628">
        <f t="shared" si="6"/>
        <v>0</v>
      </c>
      <c r="D87" s="628">
        <f t="shared" si="6"/>
        <v>0</v>
      </c>
      <c r="E87" s="628">
        <f t="shared" si="6"/>
        <v>0</v>
      </c>
      <c r="F87" s="628">
        <f t="shared" si="6"/>
        <v>0</v>
      </c>
      <c r="G87" s="628">
        <f t="shared" si="6"/>
        <v>0</v>
      </c>
      <c r="H87" s="629">
        <f t="shared" si="6"/>
        <v>0</v>
      </c>
      <c r="I87" s="633"/>
      <c r="J87" s="633"/>
    </row>
    <row r="88" spans="1:10" ht="15.75">
      <c r="A88" s="1213"/>
      <c r="B88" s="641" t="s">
        <v>134</v>
      </c>
      <c r="C88" s="628">
        <f t="shared" si="6"/>
        <v>0</v>
      </c>
      <c r="D88" s="628">
        <f t="shared" si="6"/>
        <v>0</v>
      </c>
      <c r="E88" s="628">
        <f t="shared" si="6"/>
        <v>0</v>
      </c>
      <c r="F88" s="628">
        <f t="shared" si="6"/>
        <v>0</v>
      </c>
      <c r="G88" s="628">
        <f t="shared" si="6"/>
        <v>0</v>
      </c>
      <c r="H88" s="629">
        <f t="shared" si="6"/>
        <v>0</v>
      </c>
      <c r="I88" s="633"/>
      <c r="J88" s="633"/>
    </row>
    <row r="89" spans="1:10" ht="15.75">
      <c r="A89" s="1213"/>
      <c r="B89" s="641" t="s">
        <v>135</v>
      </c>
      <c r="C89" s="628">
        <f t="shared" si="6"/>
        <v>0</v>
      </c>
      <c r="D89" s="628">
        <f t="shared" si="6"/>
        <v>0</v>
      </c>
      <c r="E89" s="628">
        <f t="shared" si="6"/>
        <v>0</v>
      </c>
      <c r="F89" s="628">
        <f t="shared" si="6"/>
        <v>0</v>
      </c>
      <c r="G89" s="628">
        <f t="shared" si="6"/>
        <v>0</v>
      </c>
      <c r="H89" s="629">
        <f t="shared" si="6"/>
        <v>0</v>
      </c>
      <c r="I89" s="633"/>
      <c r="J89" s="633"/>
    </row>
    <row r="90" spans="1:10" ht="15.75">
      <c r="A90" s="1213"/>
      <c r="B90" s="641" t="s">
        <v>136</v>
      </c>
      <c r="C90" s="628">
        <f t="shared" si="6"/>
        <v>0</v>
      </c>
      <c r="D90" s="628">
        <f t="shared" si="6"/>
        <v>0</v>
      </c>
      <c r="E90" s="628">
        <f t="shared" si="6"/>
        <v>0</v>
      </c>
      <c r="F90" s="628">
        <f t="shared" si="6"/>
        <v>0</v>
      </c>
      <c r="G90" s="628">
        <f t="shared" si="6"/>
        <v>0</v>
      </c>
      <c r="H90" s="629">
        <f t="shared" si="6"/>
        <v>0</v>
      </c>
      <c r="I90" s="633"/>
      <c r="J90" s="633"/>
    </row>
    <row r="91" spans="1:10" ht="16.149999999999999" customHeight="1">
      <c r="A91" s="1213"/>
      <c r="B91" s="654" t="s">
        <v>137</v>
      </c>
      <c r="C91" s="628">
        <f t="shared" si="6"/>
        <v>0</v>
      </c>
      <c r="D91" s="628">
        <f t="shared" si="6"/>
        <v>0</v>
      </c>
      <c r="E91" s="628">
        <f t="shared" si="6"/>
        <v>0</v>
      </c>
      <c r="F91" s="628">
        <f t="shared" si="6"/>
        <v>0</v>
      </c>
      <c r="G91" s="628">
        <f t="shared" si="6"/>
        <v>0</v>
      </c>
      <c r="H91" s="629">
        <f t="shared" si="6"/>
        <v>0</v>
      </c>
      <c r="I91" s="633"/>
      <c r="J91" s="633"/>
    </row>
    <row r="92" spans="1:10" s="643" customFormat="1" ht="15" customHeight="1" thickBot="1">
      <c r="A92" s="1214"/>
      <c r="B92" s="653" t="s">
        <v>138</v>
      </c>
      <c r="C92" s="630">
        <f t="shared" ref="C92:H92" si="7">C53+C73</f>
        <v>0</v>
      </c>
      <c r="D92" s="630">
        <f t="shared" si="7"/>
        <v>0</v>
      </c>
      <c r="E92" s="630">
        <f t="shared" si="7"/>
        <v>0</v>
      </c>
      <c r="F92" s="630">
        <f t="shared" si="7"/>
        <v>0</v>
      </c>
      <c r="G92" s="630">
        <f t="shared" si="7"/>
        <v>0</v>
      </c>
      <c r="H92" s="631">
        <f t="shared" si="7"/>
        <v>0</v>
      </c>
    </row>
    <row r="93" spans="1:10" ht="37.9" customHeight="1" thickTop="1" thickBot="1">
      <c r="A93" s="1215" t="s">
        <v>157</v>
      </c>
    </row>
    <row r="94" spans="1:10" ht="26.25" thickBot="1">
      <c r="A94" s="1216"/>
      <c r="B94" s="1246" t="s">
        <v>158</v>
      </c>
      <c r="C94" s="1247"/>
      <c r="D94" s="1248"/>
    </row>
    <row r="95" spans="1:10">
      <c r="A95" s="1216"/>
    </row>
    <row r="96" spans="1:10" ht="15" customHeight="1" thickBot="1">
      <c r="A96" s="1216"/>
    </row>
    <row r="97" spans="1:12" ht="18" customHeight="1" thickBot="1">
      <c r="A97" s="1216"/>
      <c r="B97" s="1224" t="s">
        <v>159</v>
      </c>
      <c r="C97" s="1224"/>
      <c r="D97" s="1224"/>
      <c r="E97" s="1224"/>
      <c r="F97" s="1224"/>
      <c r="G97" s="1224"/>
      <c r="H97" s="1224"/>
      <c r="J97" s="1230" t="s">
        <v>160</v>
      </c>
      <c r="K97" s="1231"/>
      <c r="L97" s="1232"/>
    </row>
    <row r="98" spans="1:12" ht="16.149999999999999" customHeight="1" thickBot="1">
      <c r="A98" s="1216"/>
      <c r="B98" s="625"/>
      <c r="C98" s="1207" t="s">
        <v>111</v>
      </c>
      <c r="D98" s="1207"/>
      <c r="E98" s="1207" t="s">
        <v>112</v>
      </c>
      <c r="F98" s="1207"/>
      <c r="G98" s="1207" t="s">
        <v>113</v>
      </c>
      <c r="H98" s="1207"/>
      <c r="J98" s="1233"/>
      <c r="K98" s="1234"/>
      <c r="L98" s="1235"/>
    </row>
    <row r="99" spans="1:12" ht="48" thickBot="1">
      <c r="A99" s="1216"/>
      <c r="B99" s="626" t="s">
        <v>161</v>
      </c>
      <c r="C99" s="625" t="s">
        <v>162</v>
      </c>
      <c r="D99" s="625" t="s">
        <v>116</v>
      </c>
      <c r="E99" s="625" t="s">
        <v>163</v>
      </c>
      <c r="F99" s="625" t="s">
        <v>118</v>
      </c>
      <c r="G99" s="625" t="s">
        <v>164</v>
      </c>
      <c r="H99" s="625" t="s">
        <v>120</v>
      </c>
      <c r="J99" s="1236" t="s">
        <v>121</v>
      </c>
      <c r="K99" s="1238" t="s">
        <v>165</v>
      </c>
      <c r="L99" s="1240" t="s">
        <v>166</v>
      </c>
    </row>
    <row r="100" spans="1:12" ht="15.75">
      <c r="A100" s="1216"/>
      <c r="B100" s="644" t="s">
        <v>167</v>
      </c>
      <c r="C100" s="627">
        <f>'G-2 Habitat groups'!E150</f>
        <v>0</v>
      </c>
      <c r="D100" s="627">
        <f>'G-2 Habitat groups'!F150</f>
        <v>0</v>
      </c>
      <c r="E100" s="627">
        <f>'G-2 Habitat groups'!O150</f>
        <v>0</v>
      </c>
      <c r="F100" s="627">
        <f>'G-2 Habitat groups'!P150</f>
        <v>0</v>
      </c>
      <c r="G100" s="627">
        <f>E100-C100</f>
        <v>0</v>
      </c>
      <c r="H100" s="627">
        <f t="shared" ref="H100:H112" si="8">F100-D100</f>
        <v>0</v>
      </c>
      <c r="J100" s="1237"/>
      <c r="K100" s="1239"/>
      <c r="L100" s="1241"/>
    </row>
    <row r="101" spans="1:12" ht="15.75">
      <c r="A101" s="1216"/>
      <c r="B101" s="645" t="s">
        <v>168</v>
      </c>
      <c r="C101" s="627">
        <f>'G-2 Habitat groups'!E151</f>
        <v>0</v>
      </c>
      <c r="D101" s="627">
        <f>'G-2 Habitat groups'!F151</f>
        <v>0</v>
      </c>
      <c r="E101" s="627">
        <f>'G-2 Habitat groups'!O151</f>
        <v>0</v>
      </c>
      <c r="F101" s="627">
        <f>'G-2 Habitat groups'!P151</f>
        <v>0</v>
      </c>
      <c r="G101" s="627">
        <f t="shared" ref="G101:G112" si="9">E101-C101</f>
        <v>0</v>
      </c>
      <c r="H101" s="627">
        <f t="shared" si="8"/>
        <v>0</v>
      </c>
      <c r="J101" s="1220" t="str">
        <f>'G-1 All Habitats'!$V$3</f>
        <v>V.High</v>
      </c>
      <c r="K101" s="1222">
        <f>SUMIF('B-1 On-Site Hedge Baseline'!$F$10:$F$257,'Detailed Results'!J101,'B-1 On-Site Hedge Baseline'!$T$10:$T$257)+SUMIF('E-1 Off-Site Hedge Baseline'!$F$10:$F$257,'Detailed Results'!J101,'E-1 Off-Site Hedge Baseline'!$W$10:$W$257)</f>
        <v>0</v>
      </c>
      <c r="L101" s="1227" t="str">
        <f>IF(K101=0,"",(K101/(SUM($K$101:$K$110)))*100)</f>
        <v/>
      </c>
    </row>
    <row r="102" spans="1:12" ht="15.75">
      <c r="A102" s="1216"/>
      <c r="B102" s="645" t="s">
        <v>169</v>
      </c>
      <c r="C102" s="627">
        <f>'G-2 Habitat groups'!E152</f>
        <v>0</v>
      </c>
      <c r="D102" s="627">
        <f>'G-2 Habitat groups'!F152</f>
        <v>0</v>
      </c>
      <c r="E102" s="627">
        <f>'G-2 Habitat groups'!O152</f>
        <v>0</v>
      </c>
      <c r="F102" s="627">
        <f>'G-2 Habitat groups'!P152</f>
        <v>0</v>
      </c>
      <c r="G102" s="627">
        <f t="shared" si="9"/>
        <v>0</v>
      </c>
      <c r="H102" s="627">
        <f t="shared" si="8"/>
        <v>0</v>
      </c>
      <c r="J102" s="1221"/>
      <c r="K102" s="1223"/>
      <c r="L102" s="1228"/>
    </row>
    <row r="103" spans="1:12" ht="15.75">
      <c r="A103" s="1216"/>
      <c r="B103" s="645" t="s">
        <v>170</v>
      </c>
      <c r="C103" s="627">
        <f>'G-2 Habitat groups'!E153</f>
        <v>0</v>
      </c>
      <c r="D103" s="627">
        <f>'G-2 Habitat groups'!F153</f>
        <v>0</v>
      </c>
      <c r="E103" s="627">
        <f>'G-2 Habitat groups'!O153</f>
        <v>0</v>
      </c>
      <c r="F103" s="627">
        <f>'G-2 Habitat groups'!P153</f>
        <v>0</v>
      </c>
      <c r="G103" s="627">
        <f t="shared" si="9"/>
        <v>0</v>
      </c>
      <c r="H103" s="627">
        <f t="shared" si="8"/>
        <v>0</v>
      </c>
      <c r="J103" s="1220" t="str">
        <f>'G-1 All Habitats'!$V$4</f>
        <v>High</v>
      </c>
      <c r="K103" s="1222">
        <f>SUMIF('B-1 On-Site Hedge Baseline'!$F$10:$F$257,'Detailed Results'!J103,'B-1 On-Site Hedge Baseline'!$T$10:$T$257)+SUMIF('E-1 Off-Site Hedge Baseline'!$F$10:$F$257,'Detailed Results'!J103,'E-1 Off-Site Hedge Baseline'!$W$10:$W$257)</f>
        <v>0</v>
      </c>
      <c r="L103" s="1227" t="str">
        <f>IF(K103=0,"",(K103/(SUM($K$101:$K$110)))*100)</f>
        <v/>
      </c>
    </row>
    <row r="104" spans="1:12" ht="15.75">
      <c r="A104" s="1216"/>
      <c r="B104" s="645" t="s">
        <v>171</v>
      </c>
      <c r="C104" s="627">
        <f>'G-2 Habitat groups'!E154</f>
        <v>0</v>
      </c>
      <c r="D104" s="627">
        <f>'G-2 Habitat groups'!F154</f>
        <v>0</v>
      </c>
      <c r="E104" s="627">
        <f>'G-2 Habitat groups'!O154</f>
        <v>2.4900000000000002</v>
      </c>
      <c r="F104" s="627">
        <f>'G-2 Habitat groups'!P154</f>
        <v>16.669627715952004</v>
      </c>
      <c r="G104" s="627">
        <f t="shared" si="9"/>
        <v>2.4900000000000002</v>
      </c>
      <c r="H104" s="627">
        <f t="shared" si="8"/>
        <v>16.669627715952004</v>
      </c>
      <c r="J104" s="1221"/>
      <c r="K104" s="1223"/>
      <c r="L104" s="1228"/>
    </row>
    <row r="105" spans="1:12" ht="15.75">
      <c r="A105" s="1216"/>
      <c r="B105" s="645" t="s">
        <v>172</v>
      </c>
      <c r="C105" s="627">
        <f>'G-2 Habitat groups'!E155</f>
        <v>0</v>
      </c>
      <c r="D105" s="627">
        <f>'G-2 Habitat groups'!F155</f>
        <v>0</v>
      </c>
      <c r="E105" s="627">
        <f>'G-2 Habitat groups'!O155</f>
        <v>0</v>
      </c>
      <c r="F105" s="627">
        <f>'G-2 Habitat groups'!P155</f>
        <v>0</v>
      </c>
      <c r="G105" s="627">
        <f t="shared" si="9"/>
        <v>0</v>
      </c>
      <c r="H105" s="627">
        <f t="shared" si="8"/>
        <v>0</v>
      </c>
      <c r="J105" s="1220" t="str">
        <f>'G-1 All Habitats'!$V$5</f>
        <v>Medium</v>
      </c>
      <c r="K105" s="1222">
        <f>SUMIF('B-1 On-Site Hedge Baseline'!$F$10:$F$257,'Detailed Results'!J105,'B-1 On-Site Hedge Baseline'!$T$10:$T$257)+SUMIF('E-1 Off-Site Hedge Baseline'!$F$10:$F$257,'Detailed Results'!J105,'E-1 Off-Site Hedge Baseline'!$W$10:$W$257)</f>
        <v>0</v>
      </c>
      <c r="L105" s="1227" t="str">
        <f>IF(K105=0,"",(K105/(SUM($K$101:$K$110)))*100)</f>
        <v/>
      </c>
    </row>
    <row r="106" spans="1:12" ht="15.75">
      <c r="A106" s="1216"/>
      <c r="B106" s="645" t="s">
        <v>173</v>
      </c>
      <c r="C106" s="627">
        <f>'G-2 Habitat groups'!E156</f>
        <v>1.54</v>
      </c>
      <c r="D106" s="627">
        <f>'G-2 Habitat groups'!F156</f>
        <v>14.24</v>
      </c>
      <c r="E106" s="627">
        <f>'G-2 Habitat groups'!O156</f>
        <v>1.54</v>
      </c>
      <c r="F106" s="627">
        <f>'G-2 Habitat groups'!P156</f>
        <v>14.24</v>
      </c>
      <c r="G106" s="627">
        <f t="shared" si="9"/>
        <v>0</v>
      </c>
      <c r="H106" s="627">
        <f t="shared" si="8"/>
        <v>0</v>
      </c>
      <c r="J106" s="1221"/>
      <c r="K106" s="1223"/>
      <c r="L106" s="1228"/>
    </row>
    <row r="107" spans="1:12" ht="15.75">
      <c r="A107" s="1216"/>
      <c r="B107" s="646" t="s">
        <v>174</v>
      </c>
      <c r="C107" s="627">
        <f>'G-2 Habitat groups'!E157</f>
        <v>0</v>
      </c>
      <c r="D107" s="627">
        <f>'G-2 Habitat groups'!F157</f>
        <v>0</v>
      </c>
      <c r="E107" s="627">
        <f>'G-2 Habitat groups'!O157</f>
        <v>0</v>
      </c>
      <c r="F107" s="627">
        <f>'G-2 Habitat groups'!P157</f>
        <v>0</v>
      </c>
      <c r="G107" s="627">
        <f t="shared" si="9"/>
        <v>0</v>
      </c>
      <c r="H107" s="627">
        <f t="shared" si="8"/>
        <v>0</v>
      </c>
      <c r="J107" s="1220" t="str">
        <f>'G-1 All Habitats'!$V$6</f>
        <v>Low</v>
      </c>
      <c r="K107" s="1222">
        <f>SUMIF('B-1 On-Site Hedge Baseline'!$F$10:$F$257,'Detailed Results'!J107,'B-1 On-Site Hedge Baseline'!$T$10:$T$257)+SUMIF('E-1 Off-Site Hedge Baseline'!$F$10:$F$257,'Detailed Results'!J107,'E-1 Off-Site Hedge Baseline'!$W$10:$W$257)</f>
        <v>0</v>
      </c>
      <c r="L107" s="1227" t="str">
        <f>IF(K107=0,"",(K107/(SUM($K$101:$K$110)))*100)</f>
        <v/>
      </c>
    </row>
    <row r="108" spans="1:12" ht="15.75">
      <c r="A108" s="1216"/>
      <c r="B108" s="647" t="s">
        <v>175</v>
      </c>
      <c r="C108" s="627">
        <f>'G-2 Habitat groups'!E158</f>
        <v>0</v>
      </c>
      <c r="D108" s="627">
        <f>'G-2 Habitat groups'!F158</f>
        <v>0</v>
      </c>
      <c r="E108" s="627">
        <f>'G-2 Habitat groups'!O158</f>
        <v>0</v>
      </c>
      <c r="F108" s="627">
        <f>'G-2 Habitat groups'!P158</f>
        <v>0</v>
      </c>
      <c r="G108" s="627">
        <f t="shared" si="9"/>
        <v>0</v>
      </c>
      <c r="H108" s="627">
        <f t="shared" si="8"/>
        <v>0</v>
      </c>
      <c r="J108" s="1221"/>
      <c r="K108" s="1223"/>
      <c r="L108" s="1228"/>
    </row>
    <row r="109" spans="1:12" ht="15.75">
      <c r="A109" s="1216"/>
      <c r="B109" s="647" t="s">
        <v>176</v>
      </c>
      <c r="C109" s="627">
        <f>'G-2 Habitat groups'!E159</f>
        <v>0.2</v>
      </c>
      <c r="D109" s="627">
        <f>'G-2 Habitat groups'!F159</f>
        <v>0.8</v>
      </c>
      <c r="E109" s="627">
        <f>'G-2 Habitat groups'!O159</f>
        <v>0.2</v>
      </c>
      <c r="F109" s="627">
        <f>'G-2 Habitat groups'!P159</f>
        <v>0.8</v>
      </c>
      <c r="G109" s="627">
        <f t="shared" si="9"/>
        <v>0</v>
      </c>
      <c r="H109" s="627">
        <f t="shared" si="8"/>
        <v>0</v>
      </c>
      <c r="J109" s="1220" t="str">
        <f>'G-1 All Habitats'!$V$7</f>
        <v>V.Low</v>
      </c>
      <c r="K109" s="1222">
        <f>SUMIF('B-1 On-Site Hedge Baseline'!$F$10:$F$257,'Detailed Results'!J109,'B-1 On-Site Hedge Baseline'!$T$10:$T$257)+SUMIF('E-1 Off-Site Hedge Baseline'!$F$10:$F$257,'Detailed Results'!J109,'E-1 Off-Site Hedge Baseline'!$W$10:$W$257)</f>
        <v>0</v>
      </c>
      <c r="L109" s="1227" t="str">
        <f>IF(K109=0,"",(K109/(SUM($K$101:$K$110)))*100)</f>
        <v/>
      </c>
    </row>
    <row r="110" spans="1:12" ht="16.5" thickBot="1">
      <c r="A110" s="1216"/>
      <c r="B110" s="647" t="s">
        <v>177</v>
      </c>
      <c r="C110" s="627">
        <f>'G-2 Habitat groups'!E160</f>
        <v>0.2</v>
      </c>
      <c r="D110" s="627">
        <f>'G-2 Habitat groups'!F160</f>
        <v>0.60000000000000009</v>
      </c>
      <c r="E110" s="627">
        <f>'G-2 Habitat groups'!O160</f>
        <v>0.2</v>
      </c>
      <c r="F110" s="627">
        <f>'G-2 Habitat groups'!P160</f>
        <v>0.60000000000000009</v>
      </c>
      <c r="G110" s="627">
        <f t="shared" si="9"/>
        <v>0</v>
      </c>
      <c r="H110" s="627">
        <f t="shared" si="8"/>
        <v>0</v>
      </c>
      <c r="J110" s="1225"/>
      <c r="K110" s="1226"/>
      <c r="L110" s="1229"/>
    </row>
    <row r="111" spans="1:12" ht="15.75">
      <c r="A111" s="1216"/>
      <c r="B111" s="647" t="s">
        <v>178</v>
      </c>
      <c r="C111" s="627">
        <f>'G-2 Habitat groups'!E161</f>
        <v>0</v>
      </c>
      <c r="D111" s="627">
        <f>'G-2 Habitat groups'!F161</f>
        <v>0</v>
      </c>
      <c r="E111" s="627">
        <f>'G-2 Habitat groups'!O161</f>
        <v>0</v>
      </c>
      <c r="F111" s="627">
        <f>'G-2 Habitat groups'!P161</f>
        <v>0</v>
      </c>
      <c r="G111" s="627">
        <f t="shared" si="9"/>
        <v>0</v>
      </c>
      <c r="H111" s="627">
        <f t="shared" si="8"/>
        <v>0</v>
      </c>
    </row>
    <row r="112" spans="1:12" ht="15.75">
      <c r="A112" s="1216"/>
      <c r="B112" s="647" t="s">
        <v>179</v>
      </c>
      <c r="C112" s="627">
        <f>'G-2 Habitat groups'!E162</f>
        <v>0.6</v>
      </c>
      <c r="D112" s="627">
        <f>'G-2 Habitat groups'!F162</f>
        <v>0.6</v>
      </c>
      <c r="E112" s="627">
        <f>'G-2 Habitat groups'!O162</f>
        <v>0.6</v>
      </c>
      <c r="F112" s="627">
        <f>'G-2 Habitat groups'!P162</f>
        <v>0.6</v>
      </c>
      <c r="G112" s="627">
        <f t="shared" si="9"/>
        <v>0</v>
      </c>
      <c r="H112" s="627">
        <f t="shared" si="8"/>
        <v>0</v>
      </c>
    </row>
    <row r="113" spans="1:8">
      <c r="A113" s="1216"/>
    </row>
    <row r="114" spans="1:8">
      <c r="A114" s="1216"/>
    </row>
    <row r="115" spans="1:8">
      <c r="A115" s="1216"/>
    </row>
    <row r="116" spans="1:8" ht="15.75" thickBot="1">
      <c r="A116" s="1216"/>
    </row>
    <row r="117" spans="1:8" ht="19.5" thickBot="1">
      <c r="A117" s="1216"/>
      <c r="B117" s="1224" t="s">
        <v>180</v>
      </c>
      <c r="C117" s="1224"/>
      <c r="D117" s="1224"/>
      <c r="E117" s="1224"/>
      <c r="F117" s="1224"/>
      <c r="G117" s="1224"/>
      <c r="H117" s="1224"/>
    </row>
    <row r="118" spans="1:8" ht="16.5" thickBot="1">
      <c r="A118" s="1216"/>
      <c r="B118" s="625"/>
      <c r="C118" s="1207" t="s">
        <v>80</v>
      </c>
      <c r="D118" s="1207"/>
      <c r="E118" s="1207" t="s">
        <v>140</v>
      </c>
      <c r="F118" s="1207"/>
      <c r="G118" s="1207" t="s">
        <v>141</v>
      </c>
      <c r="H118" s="1207"/>
    </row>
    <row r="119" spans="1:8" ht="48" thickBot="1">
      <c r="A119" s="1216"/>
      <c r="B119" s="626" t="s">
        <v>161</v>
      </c>
      <c r="C119" s="625" t="s">
        <v>181</v>
      </c>
      <c r="D119" s="625" t="s">
        <v>143</v>
      </c>
      <c r="E119" s="625" t="s">
        <v>182</v>
      </c>
      <c r="F119" s="625" t="s">
        <v>145</v>
      </c>
      <c r="G119" s="625" t="s">
        <v>183</v>
      </c>
      <c r="H119" s="625" t="s">
        <v>147</v>
      </c>
    </row>
    <row r="120" spans="1:8" ht="15.75">
      <c r="A120" s="1216"/>
      <c r="B120" s="644" t="s">
        <v>167</v>
      </c>
      <c r="C120" s="627">
        <f>'G-2 Habitat groups'!S150</f>
        <v>0</v>
      </c>
      <c r="D120" s="627">
        <f>'G-2 Habitat groups'!T150</f>
        <v>0</v>
      </c>
      <c r="E120" s="627">
        <f>'G-2 Habitat groups'!AA150</f>
        <v>0</v>
      </c>
      <c r="F120" s="627">
        <f>'G-2 Habitat groups'!AB150</f>
        <v>0</v>
      </c>
      <c r="G120" s="627">
        <f t="shared" ref="G120:G132" si="10">E120-C120</f>
        <v>0</v>
      </c>
      <c r="H120" s="627">
        <f t="shared" ref="H120:H132" si="11">F120-D120</f>
        <v>0</v>
      </c>
    </row>
    <row r="121" spans="1:8" ht="15.75">
      <c r="A121" s="1216"/>
      <c r="B121" s="645" t="s">
        <v>168</v>
      </c>
      <c r="C121" s="627">
        <f>'G-2 Habitat groups'!S151</f>
        <v>0</v>
      </c>
      <c r="D121" s="627">
        <f>'G-2 Habitat groups'!T151</f>
        <v>0</v>
      </c>
      <c r="E121" s="627">
        <f>'G-2 Habitat groups'!AA151</f>
        <v>0</v>
      </c>
      <c r="F121" s="627">
        <f>'G-2 Habitat groups'!AB151</f>
        <v>0</v>
      </c>
      <c r="G121" s="627">
        <f t="shared" si="10"/>
        <v>0</v>
      </c>
      <c r="H121" s="627">
        <f t="shared" si="11"/>
        <v>0</v>
      </c>
    </row>
    <row r="122" spans="1:8" ht="15.75">
      <c r="A122" s="1216"/>
      <c r="B122" s="645" t="s">
        <v>169</v>
      </c>
      <c r="C122" s="627">
        <f>'G-2 Habitat groups'!S152</f>
        <v>0</v>
      </c>
      <c r="D122" s="627">
        <f>'G-2 Habitat groups'!T152</f>
        <v>0</v>
      </c>
      <c r="E122" s="627">
        <f>'G-2 Habitat groups'!AA152</f>
        <v>0</v>
      </c>
      <c r="F122" s="627">
        <f>'G-2 Habitat groups'!AB152</f>
        <v>0</v>
      </c>
      <c r="G122" s="627">
        <f t="shared" si="10"/>
        <v>0</v>
      </c>
      <c r="H122" s="627">
        <f t="shared" si="11"/>
        <v>0</v>
      </c>
    </row>
    <row r="123" spans="1:8" ht="15.75">
      <c r="A123" s="1216"/>
      <c r="B123" s="645" t="s">
        <v>170</v>
      </c>
      <c r="C123" s="627">
        <f>'G-2 Habitat groups'!S153</f>
        <v>0</v>
      </c>
      <c r="D123" s="627">
        <f>'G-2 Habitat groups'!T153</f>
        <v>0</v>
      </c>
      <c r="E123" s="627">
        <f>'G-2 Habitat groups'!AA153</f>
        <v>0</v>
      </c>
      <c r="F123" s="627">
        <f>'G-2 Habitat groups'!AB153</f>
        <v>0</v>
      </c>
      <c r="G123" s="627">
        <f t="shared" si="10"/>
        <v>0</v>
      </c>
      <c r="H123" s="627">
        <f t="shared" si="11"/>
        <v>0</v>
      </c>
    </row>
    <row r="124" spans="1:8" ht="15.75">
      <c r="A124" s="1216"/>
      <c r="B124" s="645" t="s">
        <v>171</v>
      </c>
      <c r="C124" s="627">
        <f>'G-2 Habitat groups'!S154</f>
        <v>0</v>
      </c>
      <c r="D124" s="627">
        <f>'G-2 Habitat groups'!T154</f>
        <v>0</v>
      </c>
      <c r="E124" s="627">
        <f>'G-2 Habitat groups'!AA154</f>
        <v>0</v>
      </c>
      <c r="F124" s="627">
        <f>'G-2 Habitat groups'!AB154</f>
        <v>0</v>
      </c>
      <c r="G124" s="627">
        <f t="shared" si="10"/>
        <v>0</v>
      </c>
      <c r="H124" s="627">
        <f t="shared" si="11"/>
        <v>0</v>
      </c>
    </row>
    <row r="125" spans="1:8" ht="15.75">
      <c r="A125" s="1216"/>
      <c r="B125" s="645" t="s">
        <v>172</v>
      </c>
      <c r="C125" s="627">
        <f>'G-2 Habitat groups'!S155</f>
        <v>0</v>
      </c>
      <c r="D125" s="627">
        <f>'G-2 Habitat groups'!T155</f>
        <v>0</v>
      </c>
      <c r="E125" s="627">
        <f>'G-2 Habitat groups'!AA155</f>
        <v>0</v>
      </c>
      <c r="F125" s="627">
        <f>'G-2 Habitat groups'!AB155</f>
        <v>0</v>
      </c>
      <c r="G125" s="627">
        <f t="shared" si="10"/>
        <v>0</v>
      </c>
      <c r="H125" s="627">
        <f t="shared" si="11"/>
        <v>0</v>
      </c>
    </row>
    <row r="126" spans="1:8" ht="15.75">
      <c r="A126" s="1216"/>
      <c r="B126" s="645" t="s">
        <v>173</v>
      </c>
      <c r="C126" s="627">
        <f>'G-2 Habitat groups'!S156</f>
        <v>0</v>
      </c>
      <c r="D126" s="627">
        <f>'G-2 Habitat groups'!T156</f>
        <v>0</v>
      </c>
      <c r="E126" s="627">
        <f>'G-2 Habitat groups'!AA156</f>
        <v>0</v>
      </c>
      <c r="F126" s="627">
        <f>'G-2 Habitat groups'!AB156</f>
        <v>0</v>
      </c>
      <c r="G126" s="627">
        <f t="shared" si="10"/>
        <v>0</v>
      </c>
      <c r="H126" s="627">
        <f t="shared" si="11"/>
        <v>0</v>
      </c>
    </row>
    <row r="127" spans="1:8" ht="15.75">
      <c r="A127" s="1216"/>
      <c r="B127" s="646" t="s">
        <v>174</v>
      </c>
      <c r="C127" s="627">
        <f>'G-2 Habitat groups'!S157</f>
        <v>0</v>
      </c>
      <c r="D127" s="627">
        <f>'G-2 Habitat groups'!T157</f>
        <v>0</v>
      </c>
      <c r="E127" s="627">
        <f>'G-2 Habitat groups'!AA157</f>
        <v>0</v>
      </c>
      <c r="F127" s="627">
        <f>'G-2 Habitat groups'!AB157</f>
        <v>0</v>
      </c>
      <c r="G127" s="627">
        <f t="shared" si="10"/>
        <v>0</v>
      </c>
      <c r="H127" s="627">
        <f t="shared" si="11"/>
        <v>0</v>
      </c>
    </row>
    <row r="128" spans="1:8" ht="15.75">
      <c r="A128" s="1216"/>
      <c r="B128" s="647" t="s">
        <v>175</v>
      </c>
      <c r="C128" s="627">
        <f>'G-2 Habitat groups'!S158</f>
        <v>0</v>
      </c>
      <c r="D128" s="627">
        <f>'G-2 Habitat groups'!T158</f>
        <v>0</v>
      </c>
      <c r="E128" s="627">
        <f>'G-2 Habitat groups'!AA158</f>
        <v>0</v>
      </c>
      <c r="F128" s="627">
        <f>'G-2 Habitat groups'!AB158</f>
        <v>0</v>
      </c>
      <c r="G128" s="627">
        <f t="shared" si="10"/>
        <v>0</v>
      </c>
      <c r="H128" s="627">
        <f t="shared" si="11"/>
        <v>0</v>
      </c>
    </row>
    <row r="129" spans="1:8" ht="15.75">
      <c r="A129" s="1216"/>
      <c r="B129" s="647" t="s">
        <v>176</v>
      </c>
      <c r="C129" s="627">
        <f>'G-2 Habitat groups'!S159</f>
        <v>0</v>
      </c>
      <c r="D129" s="627">
        <f>'G-2 Habitat groups'!T159</f>
        <v>0</v>
      </c>
      <c r="E129" s="627">
        <f>'G-2 Habitat groups'!AA159</f>
        <v>0</v>
      </c>
      <c r="F129" s="627">
        <f>'G-2 Habitat groups'!AB159</f>
        <v>0</v>
      </c>
      <c r="G129" s="627">
        <f t="shared" si="10"/>
        <v>0</v>
      </c>
      <c r="H129" s="627">
        <f t="shared" si="11"/>
        <v>0</v>
      </c>
    </row>
    <row r="130" spans="1:8" ht="15.75">
      <c r="A130" s="1216"/>
      <c r="B130" s="647" t="s">
        <v>177</v>
      </c>
      <c r="C130" s="627">
        <f>'G-2 Habitat groups'!S160</f>
        <v>0</v>
      </c>
      <c r="D130" s="627">
        <f>'G-2 Habitat groups'!T160</f>
        <v>0</v>
      </c>
      <c r="E130" s="627">
        <f>'G-2 Habitat groups'!AA160</f>
        <v>0</v>
      </c>
      <c r="F130" s="627">
        <f>'G-2 Habitat groups'!AB160</f>
        <v>0</v>
      </c>
      <c r="G130" s="627">
        <f t="shared" si="10"/>
        <v>0</v>
      </c>
      <c r="H130" s="627">
        <f t="shared" si="11"/>
        <v>0</v>
      </c>
    </row>
    <row r="131" spans="1:8" ht="15.75">
      <c r="A131" s="1216"/>
      <c r="B131" s="647" t="s">
        <v>178</v>
      </c>
      <c r="C131" s="627">
        <f>'G-2 Habitat groups'!S161</f>
        <v>0</v>
      </c>
      <c r="D131" s="627">
        <f>'G-2 Habitat groups'!T161</f>
        <v>0</v>
      </c>
      <c r="E131" s="627">
        <f>'G-2 Habitat groups'!AA161</f>
        <v>0</v>
      </c>
      <c r="F131" s="627">
        <f>'G-2 Habitat groups'!AB161</f>
        <v>0</v>
      </c>
      <c r="G131" s="627">
        <f t="shared" si="10"/>
        <v>0</v>
      </c>
      <c r="H131" s="627">
        <f t="shared" si="11"/>
        <v>0</v>
      </c>
    </row>
    <row r="132" spans="1:8" ht="15.75">
      <c r="A132" s="1216"/>
      <c r="B132" s="647" t="s">
        <v>179</v>
      </c>
      <c r="C132" s="627">
        <f>'G-2 Habitat groups'!S162</f>
        <v>0</v>
      </c>
      <c r="D132" s="627">
        <f>'G-2 Habitat groups'!T162</f>
        <v>0</v>
      </c>
      <c r="E132" s="627">
        <f>'G-2 Habitat groups'!AA162</f>
        <v>0</v>
      </c>
      <c r="F132" s="627">
        <f>'G-2 Habitat groups'!AB162</f>
        <v>0</v>
      </c>
      <c r="G132" s="627">
        <f t="shared" si="10"/>
        <v>0</v>
      </c>
      <c r="H132" s="627">
        <f t="shared" si="11"/>
        <v>0</v>
      </c>
    </row>
    <row r="133" spans="1:8">
      <c r="A133" s="1216"/>
      <c r="B133" s="633"/>
      <c r="C133" s="633"/>
    </row>
    <row r="134" spans="1:8">
      <c r="A134" s="1216"/>
      <c r="B134" s="633"/>
      <c r="C134" s="633"/>
    </row>
    <row r="135" spans="1:8">
      <c r="A135" s="1216"/>
      <c r="B135" s="633"/>
      <c r="C135" s="633"/>
    </row>
    <row r="136" spans="1:8" ht="15.75" thickBot="1">
      <c r="A136" s="1216"/>
      <c r="B136" s="633"/>
      <c r="C136" s="633"/>
    </row>
    <row r="137" spans="1:8" ht="19.5" thickBot="1">
      <c r="A137" s="1216"/>
      <c r="B137" s="1224" t="s">
        <v>184</v>
      </c>
      <c r="C137" s="1224"/>
      <c r="D137" s="1224"/>
      <c r="E137" s="1224"/>
      <c r="F137" s="1224"/>
      <c r="G137" s="1224"/>
      <c r="H137" s="1224"/>
    </row>
    <row r="138" spans="1:8" ht="16.5" thickBot="1">
      <c r="A138" s="1216"/>
      <c r="B138" s="625"/>
      <c r="C138" s="1207" t="s">
        <v>111</v>
      </c>
      <c r="D138" s="1207"/>
      <c r="E138" s="1207" t="s">
        <v>185</v>
      </c>
      <c r="F138" s="1207"/>
      <c r="G138" s="1207" t="s">
        <v>186</v>
      </c>
      <c r="H138" s="1207"/>
    </row>
    <row r="139" spans="1:8" ht="48" thickBot="1">
      <c r="A139" s="1216"/>
      <c r="B139" s="626" t="s">
        <v>161</v>
      </c>
      <c r="C139" s="625" t="s">
        <v>206</v>
      </c>
      <c r="D139" s="625" t="s">
        <v>152</v>
      </c>
      <c r="E139" s="625" t="s">
        <v>187</v>
      </c>
      <c r="F139" s="625" t="s">
        <v>154</v>
      </c>
      <c r="G139" s="625" t="s">
        <v>188</v>
      </c>
      <c r="H139" s="625" t="s">
        <v>156</v>
      </c>
    </row>
    <row r="140" spans="1:8" ht="15.75">
      <c r="A140" s="1216"/>
      <c r="B140" s="644" t="s">
        <v>167</v>
      </c>
      <c r="C140" s="628">
        <f t="shared" ref="C140:H140" si="12">C100+C120</f>
        <v>0</v>
      </c>
      <c r="D140" s="628">
        <f t="shared" si="12"/>
        <v>0</v>
      </c>
      <c r="E140" s="628">
        <f t="shared" si="12"/>
        <v>0</v>
      </c>
      <c r="F140" s="628">
        <f t="shared" si="12"/>
        <v>0</v>
      </c>
      <c r="G140" s="628">
        <f t="shared" si="12"/>
        <v>0</v>
      </c>
      <c r="H140" s="628">
        <f t="shared" si="12"/>
        <v>0</v>
      </c>
    </row>
    <row r="141" spans="1:8" ht="15.75">
      <c r="A141" s="1216"/>
      <c r="B141" s="645" t="s">
        <v>168</v>
      </c>
      <c r="C141" s="628">
        <f t="shared" ref="C141:H141" si="13">C101+C121</f>
        <v>0</v>
      </c>
      <c r="D141" s="628">
        <f t="shared" si="13"/>
        <v>0</v>
      </c>
      <c r="E141" s="628">
        <f t="shared" si="13"/>
        <v>0</v>
      </c>
      <c r="F141" s="628">
        <f t="shared" si="13"/>
        <v>0</v>
      </c>
      <c r="G141" s="628">
        <f t="shared" si="13"/>
        <v>0</v>
      </c>
      <c r="H141" s="628">
        <f t="shared" si="13"/>
        <v>0</v>
      </c>
    </row>
    <row r="142" spans="1:8" ht="15.75">
      <c r="A142" s="1216"/>
      <c r="B142" s="645" t="s">
        <v>169</v>
      </c>
      <c r="C142" s="628">
        <f t="shared" ref="C142:H142" si="14">C102+C122</f>
        <v>0</v>
      </c>
      <c r="D142" s="628">
        <f t="shared" si="14"/>
        <v>0</v>
      </c>
      <c r="E142" s="628">
        <f t="shared" si="14"/>
        <v>0</v>
      </c>
      <c r="F142" s="628">
        <f t="shared" si="14"/>
        <v>0</v>
      </c>
      <c r="G142" s="628">
        <f t="shared" si="14"/>
        <v>0</v>
      </c>
      <c r="H142" s="628">
        <f t="shared" si="14"/>
        <v>0</v>
      </c>
    </row>
    <row r="143" spans="1:8" ht="15.75">
      <c r="A143" s="1216"/>
      <c r="B143" s="645" t="s">
        <v>170</v>
      </c>
      <c r="C143" s="628">
        <f t="shared" ref="C143:H143" si="15">C103+C123</f>
        <v>0</v>
      </c>
      <c r="D143" s="628">
        <f t="shared" si="15"/>
        <v>0</v>
      </c>
      <c r="E143" s="628">
        <f t="shared" si="15"/>
        <v>0</v>
      </c>
      <c r="F143" s="628">
        <f t="shared" si="15"/>
        <v>0</v>
      </c>
      <c r="G143" s="628">
        <f t="shared" si="15"/>
        <v>0</v>
      </c>
      <c r="H143" s="628">
        <f t="shared" si="15"/>
        <v>0</v>
      </c>
    </row>
    <row r="144" spans="1:8" ht="15.75">
      <c r="A144" s="1216"/>
      <c r="B144" s="645" t="s">
        <v>171</v>
      </c>
      <c r="C144" s="628">
        <f t="shared" ref="C144:H144" si="16">C104+C124</f>
        <v>0</v>
      </c>
      <c r="D144" s="628">
        <f t="shared" si="16"/>
        <v>0</v>
      </c>
      <c r="E144" s="628">
        <f t="shared" si="16"/>
        <v>2.4900000000000002</v>
      </c>
      <c r="F144" s="628">
        <f t="shared" si="16"/>
        <v>16.669627715952004</v>
      </c>
      <c r="G144" s="628">
        <f t="shared" si="16"/>
        <v>2.4900000000000002</v>
      </c>
      <c r="H144" s="628">
        <f t="shared" si="16"/>
        <v>16.669627715952004</v>
      </c>
    </row>
    <row r="145" spans="1:12" ht="15.75">
      <c r="A145" s="1216"/>
      <c r="B145" s="645" t="s">
        <v>172</v>
      </c>
      <c r="C145" s="628">
        <f t="shared" ref="C145:H145" si="17">C105+C125</f>
        <v>0</v>
      </c>
      <c r="D145" s="628">
        <f t="shared" si="17"/>
        <v>0</v>
      </c>
      <c r="E145" s="628">
        <f t="shared" si="17"/>
        <v>0</v>
      </c>
      <c r="F145" s="628">
        <f t="shared" si="17"/>
        <v>0</v>
      </c>
      <c r="G145" s="628">
        <f t="shared" si="17"/>
        <v>0</v>
      </c>
      <c r="H145" s="628">
        <f t="shared" si="17"/>
        <v>0</v>
      </c>
    </row>
    <row r="146" spans="1:12" ht="15.75">
      <c r="A146" s="1216"/>
      <c r="B146" s="645" t="s">
        <v>173</v>
      </c>
      <c r="C146" s="628">
        <f t="shared" ref="C146:H146" si="18">C106+C126</f>
        <v>1.54</v>
      </c>
      <c r="D146" s="628">
        <f t="shared" si="18"/>
        <v>14.24</v>
      </c>
      <c r="E146" s="628">
        <f t="shared" si="18"/>
        <v>1.54</v>
      </c>
      <c r="F146" s="628">
        <f t="shared" si="18"/>
        <v>14.24</v>
      </c>
      <c r="G146" s="628">
        <f t="shared" si="18"/>
        <v>0</v>
      </c>
      <c r="H146" s="628">
        <f t="shared" si="18"/>
        <v>0</v>
      </c>
    </row>
    <row r="147" spans="1:12" ht="15.75">
      <c r="A147" s="1216"/>
      <c r="B147" s="646" t="s">
        <v>174</v>
      </c>
      <c r="C147" s="628">
        <f t="shared" ref="C147:H147" si="19">C107+C127</f>
        <v>0</v>
      </c>
      <c r="D147" s="628">
        <f t="shared" si="19"/>
        <v>0</v>
      </c>
      <c r="E147" s="628">
        <f t="shared" si="19"/>
        <v>0</v>
      </c>
      <c r="F147" s="628">
        <f t="shared" si="19"/>
        <v>0</v>
      </c>
      <c r="G147" s="628">
        <f t="shared" si="19"/>
        <v>0</v>
      </c>
      <c r="H147" s="628">
        <f t="shared" si="19"/>
        <v>0</v>
      </c>
    </row>
    <row r="148" spans="1:12" ht="15.75">
      <c r="A148" s="1216"/>
      <c r="B148" s="647" t="s">
        <v>175</v>
      </c>
      <c r="C148" s="628">
        <f t="shared" ref="C148:H148" si="20">C108+C128</f>
        <v>0</v>
      </c>
      <c r="D148" s="628">
        <f t="shared" si="20"/>
        <v>0</v>
      </c>
      <c r="E148" s="628">
        <f t="shared" si="20"/>
        <v>0</v>
      </c>
      <c r="F148" s="628">
        <f t="shared" si="20"/>
        <v>0</v>
      </c>
      <c r="G148" s="628">
        <f t="shared" si="20"/>
        <v>0</v>
      </c>
      <c r="H148" s="628">
        <f t="shared" si="20"/>
        <v>0</v>
      </c>
    </row>
    <row r="149" spans="1:12" ht="15.75">
      <c r="A149" s="1216"/>
      <c r="B149" s="647" t="s">
        <v>176</v>
      </c>
      <c r="C149" s="628">
        <f t="shared" ref="C149:H149" si="21">C109+C129</f>
        <v>0.2</v>
      </c>
      <c r="D149" s="628">
        <f t="shared" si="21"/>
        <v>0.8</v>
      </c>
      <c r="E149" s="628">
        <f t="shared" si="21"/>
        <v>0.2</v>
      </c>
      <c r="F149" s="628">
        <f t="shared" si="21"/>
        <v>0.8</v>
      </c>
      <c r="G149" s="628">
        <f t="shared" si="21"/>
        <v>0</v>
      </c>
      <c r="H149" s="628">
        <f t="shared" si="21"/>
        <v>0</v>
      </c>
    </row>
    <row r="150" spans="1:12" ht="15.75">
      <c r="A150" s="1216"/>
      <c r="B150" s="647" t="s">
        <v>177</v>
      </c>
      <c r="C150" s="628">
        <f t="shared" ref="C150:H150" si="22">C110+C130</f>
        <v>0.2</v>
      </c>
      <c r="D150" s="628">
        <f t="shared" si="22"/>
        <v>0.60000000000000009</v>
      </c>
      <c r="E150" s="628">
        <f t="shared" si="22"/>
        <v>0.2</v>
      </c>
      <c r="F150" s="628">
        <f t="shared" si="22"/>
        <v>0.60000000000000009</v>
      </c>
      <c r="G150" s="628">
        <f t="shared" si="22"/>
        <v>0</v>
      </c>
      <c r="H150" s="628">
        <f t="shared" si="22"/>
        <v>0</v>
      </c>
    </row>
    <row r="151" spans="1:12" ht="15.75">
      <c r="A151" s="1216"/>
      <c r="B151" s="647" t="s">
        <v>178</v>
      </c>
      <c r="C151" s="628">
        <f t="shared" ref="C151:H151" si="23">C111+C131</f>
        <v>0</v>
      </c>
      <c r="D151" s="628">
        <f t="shared" si="23"/>
        <v>0</v>
      </c>
      <c r="E151" s="628">
        <f t="shared" si="23"/>
        <v>0</v>
      </c>
      <c r="F151" s="628">
        <f t="shared" si="23"/>
        <v>0</v>
      </c>
      <c r="G151" s="628">
        <f t="shared" si="23"/>
        <v>0</v>
      </c>
      <c r="H151" s="628">
        <f t="shared" si="23"/>
        <v>0</v>
      </c>
    </row>
    <row r="152" spans="1:12" ht="15.75">
      <c r="A152" s="1216"/>
      <c r="B152" s="647" t="s">
        <v>179</v>
      </c>
      <c r="C152" s="628">
        <f t="shared" ref="C152:H152" si="24">C112+C132</f>
        <v>0.6</v>
      </c>
      <c r="D152" s="628">
        <f t="shared" si="24"/>
        <v>0.6</v>
      </c>
      <c r="E152" s="628">
        <f t="shared" si="24"/>
        <v>0.6</v>
      </c>
      <c r="F152" s="628">
        <f t="shared" si="24"/>
        <v>0.6</v>
      </c>
      <c r="G152" s="628">
        <f t="shared" si="24"/>
        <v>0</v>
      </c>
      <c r="H152" s="628">
        <f t="shared" si="24"/>
        <v>0</v>
      </c>
    </row>
    <row r="153" spans="1:12">
      <c r="A153" s="1216"/>
    </row>
    <row r="154" spans="1:12" ht="15.75" thickBot="1">
      <c r="A154" s="1217"/>
    </row>
    <row r="155" spans="1:12" s="622" customFormat="1" ht="31.9" customHeight="1" thickTop="1">
      <c r="A155" s="1218" t="s">
        <v>189</v>
      </c>
    </row>
    <row r="156" spans="1:12" ht="15.75" thickBot="1">
      <c r="A156" s="1219"/>
    </row>
    <row r="157" spans="1:12" ht="26.25" thickBot="1">
      <c r="A157" s="1219"/>
      <c r="B157" s="1246" t="s">
        <v>59</v>
      </c>
      <c r="C157" s="1247"/>
      <c r="D157" s="1248"/>
    </row>
    <row r="158" spans="1:12">
      <c r="A158" s="1219"/>
    </row>
    <row r="159" spans="1:12" ht="15.75" thickBot="1">
      <c r="A159" s="1219"/>
    </row>
    <row r="160" spans="1:12" ht="19.5" thickBot="1">
      <c r="A160" s="1219"/>
      <c r="B160" s="1224" t="s">
        <v>190</v>
      </c>
      <c r="C160" s="1224"/>
      <c r="D160" s="1224"/>
      <c r="E160" s="1224"/>
      <c r="F160" s="1224"/>
      <c r="G160" s="1224"/>
      <c r="H160" s="1224"/>
      <c r="J160" s="1230" t="s">
        <v>160</v>
      </c>
      <c r="K160" s="1231"/>
      <c r="L160" s="1232"/>
    </row>
    <row r="161" spans="1:12" ht="16.5" thickBot="1">
      <c r="A161" s="1219"/>
      <c r="B161" s="625"/>
      <c r="C161" s="1207" t="s">
        <v>111</v>
      </c>
      <c r="D161" s="1207"/>
      <c r="E161" s="1207" t="s">
        <v>191</v>
      </c>
      <c r="F161" s="1207"/>
      <c r="G161" s="1207" t="s">
        <v>192</v>
      </c>
      <c r="H161" s="1207"/>
      <c r="J161" s="1233"/>
      <c r="K161" s="1234"/>
      <c r="L161" s="1235"/>
    </row>
    <row r="162" spans="1:12" ht="48" thickBot="1">
      <c r="A162" s="1219"/>
      <c r="B162" s="626" t="s">
        <v>193</v>
      </c>
      <c r="C162" s="625" t="s">
        <v>194</v>
      </c>
      <c r="D162" s="625" t="s">
        <v>116</v>
      </c>
      <c r="E162" s="625" t="s">
        <v>195</v>
      </c>
      <c r="F162" s="625" t="s">
        <v>118</v>
      </c>
      <c r="G162" s="625" t="s">
        <v>164</v>
      </c>
      <c r="H162" s="625" t="s">
        <v>120</v>
      </c>
      <c r="J162" s="1236" t="s">
        <v>121</v>
      </c>
      <c r="K162" s="1238" t="s">
        <v>165</v>
      </c>
      <c r="L162" s="1240" t="s">
        <v>166</v>
      </c>
    </row>
    <row r="163" spans="1:12" ht="15.75">
      <c r="A163" s="1219"/>
      <c r="B163" s="644" t="s">
        <v>196</v>
      </c>
      <c r="C163" s="648">
        <f>'G-2 Habitat groups'!E172</f>
        <v>0</v>
      </c>
      <c r="D163" s="648">
        <f>'G-2 Habitat groups'!F172</f>
        <v>0</v>
      </c>
      <c r="E163" s="648">
        <f>'G-2 Habitat groups'!O172</f>
        <v>0</v>
      </c>
      <c r="F163" s="648">
        <f>'G-2 Habitat groups'!P172</f>
        <v>0</v>
      </c>
      <c r="G163" s="648">
        <f t="shared" ref="G163:H167" si="25">E163-C163</f>
        <v>0</v>
      </c>
      <c r="H163" s="648">
        <f t="shared" si="25"/>
        <v>0</v>
      </c>
      <c r="J163" s="1237"/>
      <c r="K163" s="1239"/>
      <c r="L163" s="1241"/>
    </row>
    <row r="164" spans="1:12" ht="15.75">
      <c r="A164" s="1219"/>
      <c r="B164" s="645" t="s">
        <v>197</v>
      </c>
      <c r="C164" s="648">
        <f>'G-2 Habitat groups'!E173</f>
        <v>0</v>
      </c>
      <c r="D164" s="648">
        <f>'G-2 Habitat groups'!F173</f>
        <v>0</v>
      </c>
      <c r="E164" s="648">
        <f>'G-2 Habitat groups'!O173</f>
        <v>0</v>
      </c>
      <c r="F164" s="648">
        <f>'G-2 Habitat groups'!P173</f>
        <v>0</v>
      </c>
      <c r="G164" s="648">
        <f t="shared" si="25"/>
        <v>0</v>
      </c>
      <c r="H164" s="648">
        <f t="shared" si="25"/>
        <v>0</v>
      </c>
      <c r="J164" s="1220" t="str">
        <f>'G-1 All Habitats'!$V$3</f>
        <v>V.High</v>
      </c>
      <c r="K164" s="1222">
        <f>SUMIF('C-1 On-Site WaterC'' Baseline'!$F$10:$F$257,'Detailed Results'!J164,'C-1 On-Site WaterC'' Baseline'!$X$10:$X$257)+SUMIF('F-1 Off-Site WaterC'' Baseline'!$F$10:$F$257,'Detailed Results'!J164,'F-1 Off-Site WaterC'' Baseline'!$AA$10:$AA$257)</f>
        <v>0</v>
      </c>
      <c r="L164" s="1227" t="str">
        <f>IF(K164=0,"",(K164/(SUM($K$164:$K$171)))*100)</f>
        <v/>
      </c>
    </row>
    <row r="165" spans="1:12" ht="15.75">
      <c r="A165" s="1219"/>
      <c r="B165" s="645" t="s">
        <v>198</v>
      </c>
      <c r="C165" s="648">
        <f>'G-2 Habitat groups'!E174</f>
        <v>0</v>
      </c>
      <c r="D165" s="648">
        <f>'G-2 Habitat groups'!F174</f>
        <v>0</v>
      </c>
      <c r="E165" s="648">
        <f>'G-2 Habitat groups'!O174</f>
        <v>0</v>
      </c>
      <c r="F165" s="648">
        <f>'G-2 Habitat groups'!P174</f>
        <v>0</v>
      </c>
      <c r="G165" s="648">
        <f t="shared" si="25"/>
        <v>0</v>
      </c>
      <c r="H165" s="648">
        <f t="shared" si="25"/>
        <v>0</v>
      </c>
      <c r="J165" s="1221"/>
      <c r="K165" s="1223"/>
      <c r="L165" s="1228"/>
    </row>
    <row r="166" spans="1:12" ht="15.75">
      <c r="A166" s="1219"/>
      <c r="B166" s="645" t="s">
        <v>199</v>
      </c>
      <c r="C166" s="648">
        <f>'G-2 Habitat groups'!E175</f>
        <v>0</v>
      </c>
      <c r="D166" s="648">
        <f>'G-2 Habitat groups'!F175</f>
        <v>0</v>
      </c>
      <c r="E166" s="648">
        <f>'G-2 Habitat groups'!O175</f>
        <v>0</v>
      </c>
      <c r="F166" s="648">
        <f>'G-2 Habitat groups'!P175</f>
        <v>0</v>
      </c>
      <c r="G166" s="648">
        <f t="shared" si="25"/>
        <v>0</v>
      </c>
      <c r="H166" s="648">
        <f t="shared" si="25"/>
        <v>0</v>
      </c>
      <c r="J166" s="1220" t="str">
        <f>'G-1 All Habitats'!$V$4</f>
        <v>High</v>
      </c>
      <c r="K166" s="1222">
        <f>SUMIF('C-1 On-Site WaterC'' Baseline'!$F$10:$F$257,'Detailed Results'!J166,'C-1 On-Site WaterC'' Baseline'!$X$10:$X$257)+SUMIF('F-1 Off-Site WaterC'' Baseline'!$F$10:$F$257,'Detailed Results'!J166,'F-1 Off-Site WaterC'' Baseline'!$AA$10:$AA$257)</f>
        <v>0</v>
      </c>
      <c r="L166" s="1227" t="str">
        <f>IF(K166=0,"",(K166/(SUM($K$164:$K$171)))*100)</f>
        <v/>
      </c>
    </row>
    <row r="167" spans="1:12" ht="15.75">
      <c r="A167" s="1219"/>
      <c r="B167" s="645" t="s">
        <v>200</v>
      </c>
      <c r="C167" s="648">
        <f>'G-2 Habitat groups'!E176</f>
        <v>0</v>
      </c>
      <c r="D167" s="648">
        <f>'G-2 Habitat groups'!F176</f>
        <v>0</v>
      </c>
      <c r="E167" s="648">
        <f>'G-2 Habitat groups'!O176</f>
        <v>0</v>
      </c>
      <c r="F167" s="648">
        <f>'G-2 Habitat groups'!P176</f>
        <v>0</v>
      </c>
      <c r="G167" s="648">
        <f t="shared" si="25"/>
        <v>0</v>
      </c>
      <c r="H167" s="648">
        <f t="shared" si="25"/>
        <v>0</v>
      </c>
      <c r="J167" s="1221"/>
      <c r="K167" s="1223"/>
      <c r="L167" s="1228"/>
    </row>
    <row r="168" spans="1:12">
      <c r="A168" s="1219"/>
      <c r="J168" s="1220" t="str">
        <f>'G-1 All Habitats'!$V$5</f>
        <v>Medium</v>
      </c>
      <c r="K168" s="1222">
        <f>SUMIF('C-1 On-Site WaterC'' Baseline'!$F$10:$F$257,'Detailed Results'!J168,'C-1 On-Site WaterC'' Baseline'!$X$10:$X$257)+SUMIF('F-1 Off-Site WaterC'' Baseline'!$F$10:$F$257,'Detailed Results'!J168,'F-1 Off-Site WaterC'' Baseline'!$AA$10:$AA$257)</f>
        <v>0</v>
      </c>
      <c r="L168" s="1227" t="str">
        <f>IF(K168=0,"",(K168/(SUM($K$164:$K$171)))*100)</f>
        <v/>
      </c>
    </row>
    <row r="169" spans="1:12">
      <c r="A169" s="1219"/>
      <c r="J169" s="1221"/>
      <c r="K169" s="1223"/>
      <c r="L169" s="1228"/>
    </row>
    <row r="170" spans="1:12">
      <c r="A170" s="1219"/>
      <c r="J170" s="1220" t="str">
        <f>'G-1 All Habitats'!$V$6</f>
        <v>Low</v>
      </c>
      <c r="K170" s="1222">
        <f>SUMIF('C-1 On-Site WaterC'' Baseline'!$F$10:$F$257,'Detailed Results'!J170,'C-1 On-Site WaterC'' Baseline'!$X$10:$X$257)+SUMIF('F-1 Off-Site WaterC'' Baseline'!$F$10:$F$257,'Detailed Results'!J170,'F-1 Off-Site WaterC'' Baseline'!$AA$10:$AA$257)</f>
        <v>0</v>
      </c>
      <c r="L170" s="1227" t="str">
        <f>IF(K170=0,"",(K170/(SUM($K$164:$K$171)))*100)</f>
        <v/>
      </c>
    </row>
    <row r="171" spans="1:12" ht="15.75" thickBot="1">
      <c r="A171" s="1219"/>
      <c r="J171" s="1225"/>
      <c r="K171" s="1226"/>
      <c r="L171" s="1229"/>
    </row>
    <row r="172" spans="1:12">
      <c r="A172" s="1219"/>
    </row>
    <row r="173" spans="1:12">
      <c r="A173" s="1219"/>
    </row>
    <row r="174" spans="1:12">
      <c r="A174" s="1219"/>
    </row>
    <row r="175" spans="1:12">
      <c r="A175" s="1219"/>
    </row>
    <row r="176" spans="1:12">
      <c r="A176" s="1219"/>
    </row>
    <row r="177" spans="1:8">
      <c r="A177" s="1219"/>
    </row>
    <row r="178" spans="1:8">
      <c r="A178" s="1219"/>
    </row>
    <row r="179" spans="1:8" ht="15.75" thickBot="1">
      <c r="A179" s="1219"/>
    </row>
    <row r="180" spans="1:8" ht="19.5" thickBot="1">
      <c r="A180" s="1219"/>
      <c r="B180" s="1224" t="s">
        <v>201</v>
      </c>
      <c r="C180" s="1224"/>
      <c r="D180" s="1224"/>
      <c r="E180" s="1224"/>
      <c r="F180" s="1224"/>
      <c r="G180" s="1224"/>
      <c r="H180" s="1224"/>
    </row>
    <row r="181" spans="1:8" ht="16.5" thickBot="1">
      <c r="A181" s="1219"/>
      <c r="B181" s="625"/>
      <c r="C181" s="1207" t="s">
        <v>111</v>
      </c>
      <c r="D181" s="1207"/>
      <c r="E181" s="1207" t="s">
        <v>202</v>
      </c>
      <c r="F181" s="1207"/>
      <c r="G181" s="1207" t="s">
        <v>203</v>
      </c>
      <c r="H181" s="1207"/>
    </row>
    <row r="182" spans="1:8" ht="48" thickBot="1">
      <c r="A182" s="1219"/>
      <c r="B182" s="626" t="s">
        <v>193</v>
      </c>
      <c r="C182" s="625" t="s">
        <v>181</v>
      </c>
      <c r="D182" s="625" t="s">
        <v>143</v>
      </c>
      <c r="E182" s="625" t="s">
        <v>204</v>
      </c>
      <c r="F182" s="625" t="s">
        <v>145</v>
      </c>
      <c r="G182" s="625" t="s">
        <v>183</v>
      </c>
      <c r="H182" s="625" t="s">
        <v>147</v>
      </c>
    </row>
    <row r="183" spans="1:8" ht="15.75">
      <c r="A183" s="1219"/>
      <c r="B183" s="644" t="s">
        <v>196</v>
      </c>
      <c r="C183" s="648">
        <f>'G-2 Habitat groups'!S172</f>
        <v>0</v>
      </c>
      <c r="D183" s="648">
        <f>'G-2 Habitat groups'!T172</f>
        <v>0</v>
      </c>
      <c r="E183" s="648">
        <f>'G-2 Habitat groups'!AA172</f>
        <v>0</v>
      </c>
      <c r="F183" s="648">
        <f>'G-2 Habitat groups'!AB172</f>
        <v>0</v>
      </c>
      <c r="G183" s="648">
        <f t="shared" ref="G183:H187" si="26">E183-C183</f>
        <v>0</v>
      </c>
      <c r="H183" s="648">
        <f t="shared" si="26"/>
        <v>0</v>
      </c>
    </row>
    <row r="184" spans="1:8" ht="15.75">
      <c r="A184" s="1219"/>
      <c r="B184" s="645" t="s">
        <v>197</v>
      </c>
      <c r="C184" s="648">
        <f>'G-2 Habitat groups'!S173</f>
        <v>0</v>
      </c>
      <c r="D184" s="648">
        <f>'G-2 Habitat groups'!T173</f>
        <v>0</v>
      </c>
      <c r="E184" s="648">
        <f>'G-2 Habitat groups'!AA173</f>
        <v>0</v>
      </c>
      <c r="F184" s="648">
        <f>'G-2 Habitat groups'!AB173</f>
        <v>0</v>
      </c>
      <c r="G184" s="648">
        <f t="shared" si="26"/>
        <v>0</v>
      </c>
      <c r="H184" s="648">
        <f t="shared" si="26"/>
        <v>0</v>
      </c>
    </row>
    <row r="185" spans="1:8" ht="15.75">
      <c r="A185" s="1219"/>
      <c r="B185" s="645" t="s">
        <v>198</v>
      </c>
      <c r="C185" s="648">
        <f>'G-2 Habitat groups'!S174</f>
        <v>0</v>
      </c>
      <c r="D185" s="648">
        <f>'G-2 Habitat groups'!T174</f>
        <v>0</v>
      </c>
      <c r="E185" s="648">
        <f>'G-2 Habitat groups'!AA174</f>
        <v>0</v>
      </c>
      <c r="F185" s="648">
        <f>'G-2 Habitat groups'!AB174</f>
        <v>0</v>
      </c>
      <c r="G185" s="648">
        <f t="shared" si="26"/>
        <v>0</v>
      </c>
      <c r="H185" s="648">
        <f t="shared" si="26"/>
        <v>0</v>
      </c>
    </row>
    <row r="186" spans="1:8" ht="15.75">
      <c r="A186" s="1219"/>
      <c r="B186" s="645" t="s">
        <v>199</v>
      </c>
      <c r="C186" s="648">
        <f>'G-2 Habitat groups'!S175</f>
        <v>0</v>
      </c>
      <c r="D186" s="648">
        <f>'G-2 Habitat groups'!T175</f>
        <v>0</v>
      </c>
      <c r="E186" s="648">
        <f>'G-2 Habitat groups'!AA175</f>
        <v>0</v>
      </c>
      <c r="F186" s="648">
        <f>'G-2 Habitat groups'!AB175</f>
        <v>0</v>
      </c>
      <c r="G186" s="648">
        <f t="shared" si="26"/>
        <v>0</v>
      </c>
      <c r="H186" s="648">
        <f t="shared" si="26"/>
        <v>0</v>
      </c>
    </row>
    <row r="187" spans="1:8" ht="15.75">
      <c r="A187" s="1219"/>
      <c r="B187" s="645" t="s">
        <v>200</v>
      </c>
      <c r="C187" s="648">
        <f>'G-2 Habitat groups'!S176</f>
        <v>0</v>
      </c>
      <c r="D187" s="648">
        <f>'G-2 Habitat groups'!T176</f>
        <v>0</v>
      </c>
      <c r="E187" s="648">
        <f>'G-2 Habitat groups'!AA176</f>
        <v>0</v>
      </c>
      <c r="F187" s="648">
        <f>'G-2 Habitat groups'!AB176</f>
        <v>0</v>
      </c>
      <c r="G187" s="648">
        <f t="shared" si="26"/>
        <v>0</v>
      </c>
      <c r="H187" s="648">
        <f t="shared" si="26"/>
        <v>0</v>
      </c>
    </row>
    <row r="188" spans="1:8">
      <c r="A188" s="1219"/>
      <c r="B188" s="633"/>
      <c r="C188" s="633"/>
      <c r="D188" s="633"/>
      <c r="E188" s="633"/>
      <c r="F188" s="633"/>
      <c r="G188" s="633"/>
      <c r="H188" s="633"/>
    </row>
    <row r="189" spans="1:8">
      <c r="A189" s="1219"/>
      <c r="B189" s="633"/>
      <c r="C189" s="633"/>
      <c r="D189" s="633"/>
      <c r="E189" s="633"/>
      <c r="F189" s="633"/>
      <c r="G189" s="633"/>
      <c r="H189" s="633"/>
    </row>
    <row r="190" spans="1:8">
      <c r="A190" s="1219"/>
      <c r="B190" s="633"/>
      <c r="C190" s="633"/>
      <c r="D190" s="633"/>
      <c r="E190" s="633"/>
      <c r="F190" s="633"/>
      <c r="G190" s="633"/>
      <c r="H190" s="633"/>
    </row>
    <row r="191" spans="1:8">
      <c r="A191" s="1219"/>
      <c r="B191" s="633"/>
      <c r="C191" s="633"/>
      <c r="D191" s="633"/>
      <c r="E191" s="633"/>
      <c r="F191" s="633"/>
      <c r="G191" s="633"/>
      <c r="H191" s="633"/>
    </row>
    <row r="192" spans="1:8">
      <c r="A192" s="1219"/>
      <c r="B192" s="633"/>
      <c r="C192" s="633"/>
      <c r="D192" s="633"/>
      <c r="E192" s="633"/>
      <c r="F192" s="633"/>
      <c r="G192" s="633"/>
      <c r="H192" s="633"/>
    </row>
    <row r="193" spans="1:8">
      <c r="A193" s="1219"/>
      <c r="B193" s="633"/>
      <c r="C193" s="633"/>
      <c r="D193" s="633"/>
      <c r="E193" s="633"/>
      <c r="F193" s="633"/>
      <c r="G193" s="633"/>
      <c r="H193" s="633"/>
    </row>
    <row r="194" spans="1:8">
      <c r="A194" s="1219"/>
      <c r="B194" s="633"/>
      <c r="C194" s="633"/>
      <c r="D194" s="633"/>
      <c r="E194" s="633"/>
      <c r="F194" s="633"/>
      <c r="G194" s="633"/>
      <c r="H194" s="633"/>
    </row>
    <row r="195" spans="1:8">
      <c r="A195" s="1219"/>
      <c r="B195" s="633"/>
      <c r="C195" s="633"/>
      <c r="D195" s="633"/>
      <c r="E195" s="633"/>
      <c r="F195" s="633"/>
      <c r="G195" s="633"/>
      <c r="H195" s="633"/>
    </row>
    <row r="196" spans="1:8">
      <c r="A196" s="1219"/>
      <c r="B196" s="633"/>
      <c r="C196" s="633"/>
    </row>
    <row r="197" spans="1:8">
      <c r="A197" s="1219"/>
      <c r="B197" s="633"/>
      <c r="C197" s="633"/>
    </row>
    <row r="198" spans="1:8">
      <c r="A198" s="1219"/>
      <c r="B198" s="633"/>
      <c r="C198" s="633"/>
    </row>
    <row r="199" spans="1:8" ht="15.75" thickBot="1">
      <c r="A199" s="1219"/>
      <c r="B199" s="633"/>
      <c r="C199" s="633"/>
    </row>
    <row r="200" spans="1:8" ht="19.5" thickBot="1">
      <c r="A200" s="1219"/>
      <c r="B200" s="1224" t="s">
        <v>205</v>
      </c>
      <c r="C200" s="1224"/>
      <c r="D200" s="1224"/>
      <c r="E200" s="1224"/>
      <c r="F200" s="1224"/>
      <c r="G200" s="1224"/>
      <c r="H200" s="1224"/>
    </row>
    <row r="201" spans="1:8" ht="16.5" thickBot="1">
      <c r="A201" s="1219"/>
      <c r="B201" s="625"/>
      <c r="C201" s="1207" t="s">
        <v>111</v>
      </c>
      <c r="D201" s="1207"/>
      <c r="E201" s="1207" t="s">
        <v>112</v>
      </c>
      <c r="F201" s="1207"/>
      <c r="G201" s="1207" t="s">
        <v>113</v>
      </c>
      <c r="H201" s="1207"/>
    </row>
    <row r="202" spans="1:8" ht="48" thickBot="1">
      <c r="A202" s="1219"/>
      <c r="B202" s="626" t="s">
        <v>193</v>
      </c>
      <c r="C202" s="625" t="s">
        <v>206</v>
      </c>
      <c r="D202" s="625" t="s">
        <v>152</v>
      </c>
      <c r="E202" s="625" t="s">
        <v>187</v>
      </c>
      <c r="F202" s="625" t="s">
        <v>154</v>
      </c>
      <c r="G202" s="625" t="s">
        <v>188</v>
      </c>
      <c r="H202" s="625" t="s">
        <v>156</v>
      </c>
    </row>
    <row r="203" spans="1:8" ht="15.75">
      <c r="A203" s="1219"/>
      <c r="B203" s="644" t="s">
        <v>196</v>
      </c>
      <c r="C203" s="648">
        <f t="shared" ref="C203:H204" si="27">C163+C183</f>
        <v>0</v>
      </c>
      <c r="D203" s="648">
        <f t="shared" si="27"/>
        <v>0</v>
      </c>
      <c r="E203" s="648">
        <f t="shared" si="27"/>
        <v>0</v>
      </c>
      <c r="F203" s="648">
        <f t="shared" si="27"/>
        <v>0</v>
      </c>
      <c r="G203" s="648">
        <f t="shared" si="27"/>
        <v>0</v>
      </c>
      <c r="H203" s="648">
        <f t="shared" si="27"/>
        <v>0</v>
      </c>
    </row>
    <row r="204" spans="1:8" ht="15.75">
      <c r="A204" s="1219"/>
      <c r="B204" s="645" t="s">
        <v>197</v>
      </c>
      <c r="C204" s="648">
        <f t="shared" si="27"/>
        <v>0</v>
      </c>
      <c r="D204" s="648">
        <f t="shared" si="27"/>
        <v>0</v>
      </c>
      <c r="E204" s="648">
        <f t="shared" si="27"/>
        <v>0</v>
      </c>
      <c r="F204" s="648">
        <f t="shared" si="27"/>
        <v>0</v>
      </c>
      <c r="G204" s="648">
        <f t="shared" si="27"/>
        <v>0</v>
      </c>
      <c r="H204" s="648">
        <f t="shared" si="27"/>
        <v>0</v>
      </c>
    </row>
    <row r="205" spans="1:8" ht="15.75">
      <c r="A205" s="1219"/>
      <c r="B205" s="645" t="s">
        <v>198</v>
      </c>
      <c r="C205" s="648">
        <f t="shared" ref="C205:H205" si="28">C165+C185</f>
        <v>0</v>
      </c>
      <c r="D205" s="648">
        <f t="shared" si="28"/>
        <v>0</v>
      </c>
      <c r="E205" s="648">
        <f t="shared" si="28"/>
        <v>0</v>
      </c>
      <c r="F205" s="648">
        <f t="shared" si="28"/>
        <v>0</v>
      </c>
      <c r="G205" s="648">
        <f t="shared" si="28"/>
        <v>0</v>
      </c>
      <c r="H205" s="648">
        <f t="shared" si="28"/>
        <v>0</v>
      </c>
    </row>
    <row r="206" spans="1:8" ht="15.75">
      <c r="A206" s="1219"/>
      <c r="B206" s="645" t="s">
        <v>199</v>
      </c>
      <c r="C206" s="648">
        <f t="shared" ref="C206:H206" si="29">C166+C186</f>
        <v>0</v>
      </c>
      <c r="D206" s="648">
        <f t="shared" si="29"/>
        <v>0</v>
      </c>
      <c r="E206" s="648">
        <f t="shared" si="29"/>
        <v>0</v>
      </c>
      <c r="F206" s="648">
        <f t="shared" si="29"/>
        <v>0</v>
      </c>
      <c r="G206" s="648">
        <f t="shared" si="29"/>
        <v>0</v>
      </c>
      <c r="H206" s="648">
        <f t="shared" si="29"/>
        <v>0</v>
      </c>
    </row>
    <row r="207" spans="1:8" ht="15.75">
      <c r="A207" s="1219"/>
      <c r="B207" s="645" t="s">
        <v>200</v>
      </c>
      <c r="C207" s="648">
        <f t="shared" ref="C207:H207" si="30">C167+C187</f>
        <v>0</v>
      </c>
      <c r="D207" s="648">
        <f t="shared" si="30"/>
        <v>0</v>
      </c>
      <c r="E207" s="648">
        <f t="shared" si="30"/>
        <v>0</v>
      </c>
      <c r="F207" s="648">
        <f t="shared" si="30"/>
        <v>0</v>
      </c>
      <c r="G207" s="648">
        <f t="shared" si="30"/>
        <v>0</v>
      </c>
      <c r="H207" s="648">
        <f t="shared" si="30"/>
        <v>0</v>
      </c>
    </row>
    <row r="208" spans="1:8">
      <c r="A208" s="1219"/>
      <c r="B208" s="633"/>
      <c r="C208" s="633"/>
      <c r="D208" s="633"/>
      <c r="E208" s="633"/>
      <c r="F208" s="633"/>
      <c r="G208" s="633"/>
      <c r="H208" s="633"/>
    </row>
    <row r="209" spans="1:8">
      <c r="A209" s="1219"/>
      <c r="B209" s="633"/>
      <c r="C209" s="633"/>
      <c r="D209" s="633"/>
      <c r="E209" s="633"/>
      <c r="F209" s="633"/>
      <c r="G209" s="633"/>
      <c r="H209" s="633"/>
    </row>
    <row r="210" spans="1:8">
      <c r="A210" s="1219"/>
      <c r="B210" s="633"/>
      <c r="C210" s="633"/>
      <c r="D210" s="633"/>
      <c r="E210" s="633"/>
      <c r="F210" s="633"/>
      <c r="G210" s="633"/>
      <c r="H210" s="633"/>
    </row>
    <row r="211" spans="1:8">
      <c r="A211" s="1219"/>
      <c r="B211" s="633"/>
      <c r="C211" s="633"/>
      <c r="D211" s="633"/>
      <c r="E211" s="633"/>
      <c r="F211" s="633"/>
      <c r="G211" s="633"/>
      <c r="H211" s="633"/>
    </row>
    <row r="212" spans="1:8">
      <c r="B212" s="633"/>
      <c r="C212" s="633"/>
      <c r="D212" s="633"/>
      <c r="E212" s="633"/>
      <c r="F212" s="633"/>
      <c r="G212" s="633"/>
      <c r="H212" s="633"/>
    </row>
    <row r="213" spans="1:8">
      <c r="B213" s="633"/>
      <c r="C213" s="633"/>
      <c r="D213" s="633"/>
      <c r="E213" s="633"/>
      <c r="F213" s="633"/>
      <c r="G213" s="633"/>
      <c r="H213" s="633"/>
    </row>
    <row r="214" spans="1:8">
      <c r="B214" s="633"/>
      <c r="C214" s="633"/>
      <c r="D214" s="633"/>
      <c r="E214" s="633"/>
      <c r="F214" s="633"/>
      <c r="G214" s="633"/>
      <c r="H214" s="633"/>
    </row>
    <row r="215" spans="1:8">
      <c r="B215" s="633"/>
      <c r="C215" s="633"/>
      <c r="D215" s="633"/>
      <c r="E215" s="633"/>
      <c r="F215" s="633"/>
      <c r="G215" s="633"/>
      <c r="H215" s="633"/>
    </row>
  </sheetData>
  <sheetProtection algorithmName="SHA-512" hashValue="penoztb2LxuHf7imCzHBkyRdplpBKq0sodknK/70P8Kbj9EA8rwLtsZXd2Z9yK58qIp2vJmZvIEvyAq4lwrDIg==" saltValue="WdEYaujs864pkl7jCucWRg==" spinCount="100000" sheet="1" objects="1" scenarios="1"/>
  <customSheetViews>
    <customSheetView guid="{8BDA793C-C9C5-4FC6-A0A5-F1109F6D4F22}" scale="80" state="hidden">
      <selection activeCell="D14" sqref="D14"/>
    </customSheetView>
  </customSheetViews>
  <mergeCells count="150">
    <mergeCell ref="U37:V38"/>
    <mergeCell ref="G37:H37"/>
    <mergeCell ref="L46:L47"/>
    <mergeCell ref="J46:J47"/>
    <mergeCell ref="B36:H36"/>
    <mergeCell ref="B56:H56"/>
    <mergeCell ref="B75:H75"/>
    <mergeCell ref="B94:D94"/>
    <mergeCell ref="C76:D76"/>
    <mergeCell ref="E76:F76"/>
    <mergeCell ref="G76:H76"/>
    <mergeCell ref="C57:D57"/>
    <mergeCell ref="E57:F57"/>
    <mergeCell ref="G57:H57"/>
    <mergeCell ref="E37:F37"/>
    <mergeCell ref="C37:D37"/>
    <mergeCell ref="J44:J45"/>
    <mergeCell ref="J42:J43"/>
    <mergeCell ref="J40:J41"/>
    <mergeCell ref="J38:J39"/>
    <mergeCell ref="L40:L41"/>
    <mergeCell ref="L44:L45"/>
    <mergeCell ref="L48:L49"/>
    <mergeCell ref="K48:K49"/>
    <mergeCell ref="B2:D2"/>
    <mergeCell ref="F12:G12"/>
    <mergeCell ref="J36:L37"/>
    <mergeCell ref="H12:I12"/>
    <mergeCell ref="K38:K39"/>
    <mergeCell ref="L38:L39"/>
    <mergeCell ref="B3:D4"/>
    <mergeCell ref="B7:C8"/>
    <mergeCell ref="B10:E12"/>
    <mergeCell ref="B14:E16"/>
    <mergeCell ref="H10:I10"/>
    <mergeCell ref="F10:G10"/>
    <mergeCell ref="H15:I15"/>
    <mergeCell ref="F15:G15"/>
    <mergeCell ref="H14:I14"/>
    <mergeCell ref="F14:G14"/>
    <mergeCell ref="H11:I11"/>
    <mergeCell ref="F11:G11"/>
    <mergeCell ref="H16:I16"/>
    <mergeCell ref="F16:G16"/>
    <mergeCell ref="D24:E24"/>
    <mergeCell ref="D25:E25"/>
    <mergeCell ref="H20:I20"/>
    <mergeCell ref="B18:I19"/>
    <mergeCell ref="F20:G20"/>
    <mergeCell ref="F27:G27"/>
    <mergeCell ref="F28:G28"/>
    <mergeCell ref="F30:G30"/>
    <mergeCell ref="F31:G31"/>
    <mergeCell ref="D20:E20"/>
    <mergeCell ref="D21:E21"/>
    <mergeCell ref="D22:E22"/>
    <mergeCell ref="D31:E31"/>
    <mergeCell ref="D30:E30"/>
    <mergeCell ref="B20:C20"/>
    <mergeCell ref="B21:C21"/>
    <mergeCell ref="B22:C22"/>
    <mergeCell ref="B24:C24"/>
    <mergeCell ref="B25:C25"/>
    <mergeCell ref="B27:C27"/>
    <mergeCell ref="B28:C28"/>
    <mergeCell ref="D27:E27"/>
    <mergeCell ref="D28:E28"/>
    <mergeCell ref="L107:L108"/>
    <mergeCell ref="K46:K47"/>
    <mergeCell ref="K44:K45"/>
    <mergeCell ref="K40:K41"/>
    <mergeCell ref="K42:K43"/>
    <mergeCell ref="J97:L98"/>
    <mergeCell ref="J99:J100"/>
    <mergeCell ref="K99:K100"/>
    <mergeCell ref="L99:L100"/>
    <mergeCell ref="J101:J102"/>
    <mergeCell ref="L42:L43"/>
    <mergeCell ref="K101:K102"/>
    <mergeCell ref="L101:L102"/>
    <mergeCell ref="J103:J104"/>
    <mergeCell ref="K103:K104"/>
    <mergeCell ref="L103:L104"/>
    <mergeCell ref="J105:J106"/>
    <mergeCell ref="K105:K106"/>
    <mergeCell ref="L105:L106"/>
    <mergeCell ref="J107:J108"/>
    <mergeCell ref="K107:K108"/>
    <mergeCell ref="L109:L110"/>
    <mergeCell ref="C201:D201"/>
    <mergeCell ref="E201:F201"/>
    <mergeCell ref="G201:H201"/>
    <mergeCell ref="H21:I21"/>
    <mergeCell ref="H22:I22"/>
    <mergeCell ref="H24:I24"/>
    <mergeCell ref="H25:I25"/>
    <mergeCell ref="H27:I27"/>
    <mergeCell ref="H28:I28"/>
    <mergeCell ref="H30:I30"/>
    <mergeCell ref="H31:I31"/>
    <mergeCell ref="F21:G21"/>
    <mergeCell ref="F22:G22"/>
    <mergeCell ref="F24:G24"/>
    <mergeCell ref="F25:G25"/>
    <mergeCell ref="B180:H180"/>
    <mergeCell ref="C181:D181"/>
    <mergeCell ref="E181:F181"/>
    <mergeCell ref="G181:H181"/>
    <mergeCell ref="B200:H200"/>
    <mergeCell ref="B157:D157"/>
    <mergeCell ref="E118:F118"/>
    <mergeCell ref="G118:H118"/>
    <mergeCell ref="L168:L169"/>
    <mergeCell ref="J170:J171"/>
    <mergeCell ref="K170:K171"/>
    <mergeCell ref="L170:L171"/>
    <mergeCell ref="J160:L161"/>
    <mergeCell ref="J162:J163"/>
    <mergeCell ref="K162:K163"/>
    <mergeCell ref="L162:L163"/>
    <mergeCell ref="J164:J165"/>
    <mergeCell ref="K164:K165"/>
    <mergeCell ref="L164:L165"/>
    <mergeCell ref="J166:J167"/>
    <mergeCell ref="K166:K167"/>
    <mergeCell ref="L166:L167"/>
    <mergeCell ref="G161:H161"/>
    <mergeCell ref="C118:D118"/>
    <mergeCell ref="B30:C30"/>
    <mergeCell ref="B31:C31"/>
    <mergeCell ref="A33:A92"/>
    <mergeCell ref="A93:A154"/>
    <mergeCell ref="A155:A211"/>
    <mergeCell ref="J168:J169"/>
    <mergeCell ref="K168:K169"/>
    <mergeCell ref="B160:H160"/>
    <mergeCell ref="C161:D161"/>
    <mergeCell ref="E161:F161"/>
    <mergeCell ref="J109:J110"/>
    <mergeCell ref="K109:K110"/>
    <mergeCell ref="B137:H137"/>
    <mergeCell ref="C138:D138"/>
    <mergeCell ref="E138:F138"/>
    <mergeCell ref="G138:H138"/>
    <mergeCell ref="B97:H97"/>
    <mergeCell ref="C98:D98"/>
    <mergeCell ref="E98:F98"/>
    <mergeCell ref="G98:H98"/>
    <mergeCell ref="B117:H117"/>
    <mergeCell ref="J48:J49"/>
  </mergeCells>
  <conditionalFormatting sqref="K40 K42 K44 K46 K48">
    <cfRule type="cellIs" dxfId="854" priority="91" operator="greaterThan">
      <formula>0</formula>
    </cfRule>
  </conditionalFormatting>
  <conditionalFormatting sqref="H14:I16">
    <cfRule type="cellIs" dxfId="853" priority="348" operator="equal">
      <formula>"Error"</formula>
    </cfRule>
    <cfRule type="containsText" dxfId="852" priority="1" operator="containsText" text="N/A">
      <formula>NOT(ISERROR(SEARCH("N/A",H14)))</formula>
    </cfRule>
  </conditionalFormatting>
  <conditionalFormatting sqref="D21:D22">
    <cfRule type="cellIs" dxfId="851" priority="45" operator="equal">
      <formula>"Error ▲"</formula>
    </cfRule>
  </conditionalFormatting>
  <conditionalFormatting sqref="D24:D25">
    <cfRule type="cellIs" dxfId="850" priority="44" operator="equal">
      <formula>"Error ▲"</formula>
    </cfRule>
  </conditionalFormatting>
  <conditionalFormatting sqref="D27:D28">
    <cfRule type="cellIs" dxfId="849" priority="43" operator="equal">
      <formula>"Error ▲"</formula>
    </cfRule>
  </conditionalFormatting>
  <conditionalFormatting sqref="D30:D31">
    <cfRule type="cellIs" dxfId="848" priority="22" operator="equal">
      <formula>"Error ▲"</formula>
    </cfRule>
  </conditionalFormatting>
  <conditionalFormatting sqref="H10:I12 H14:I16">
    <cfRule type="containsText" dxfId="847" priority="10" operator="containsText" text="Check">
      <formula>NOT(ISERROR(SEARCH("Check",H10)))</formula>
    </cfRule>
  </conditionalFormatting>
  <conditionalFormatting sqref="I16">
    <cfRule type="expression" dxfId="846" priority="341">
      <formula>AND($H$21&gt;0,$H$16&lt;0.1)</formula>
    </cfRule>
  </conditionalFormatting>
  <conditionalFormatting sqref="H15">
    <cfRule type="expression" dxfId="845" priority="354">
      <formula>AND($F$21&gt;0,$H$15&lt;0.1)</formula>
    </cfRule>
  </conditionalFormatting>
  <conditionalFormatting sqref="H10:I10">
    <cfRule type="cellIs" dxfId="844" priority="353" operator="equal">
      <formula>"Error"</formula>
    </cfRule>
  </conditionalFormatting>
  <conditionalFormatting sqref="H14">
    <cfRule type="expression" dxfId="843" priority="355">
      <formula>AND($D$21&gt;0,$H$14&lt;0.1)</formula>
    </cfRule>
  </conditionalFormatting>
  <conditionalFormatting sqref="K103 K105 K107 K109">
    <cfRule type="cellIs" dxfId="842" priority="7" operator="greaterThan">
      <formula>0</formula>
    </cfRule>
  </conditionalFormatting>
  <conditionalFormatting sqref="K164">
    <cfRule type="cellIs" dxfId="841" priority="6" operator="greaterThan">
      <formula>0</formula>
    </cfRule>
  </conditionalFormatting>
  <conditionalFormatting sqref="K166 K168 K170">
    <cfRule type="cellIs" dxfId="840" priority="5" operator="greaterThan">
      <formula>0</formula>
    </cfRule>
  </conditionalFormatting>
  <conditionalFormatting sqref="K101">
    <cfRule type="cellIs" dxfId="839" priority="4" operator="greaterThan">
      <formula>0</formula>
    </cfRule>
  </conditionalFormatting>
  <conditionalFormatting sqref="H15:I15">
    <cfRule type="expression" dxfId="838" priority="336">
      <formula>AND($F$21&gt;0,$H$16&lt;0.1)</formula>
    </cfRule>
  </conditionalFormatting>
  <conditionalFormatting sqref="H16:I16">
    <cfRule type="expression" dxfId="837" priority="3">
      <formula>AND($H$21&gt;0,$H$16&lt;0.1)</formula>
    </cfRule>
  </conditionalFormatting>
  <pageMargins left="0.7" right="0.7" top="0.75" bottom="0.75" header="0.3" footer="0.3"/>
  <pageSetup paperSize="9" orientation="portrait" r:id="rId1"/>
  <drawing r:id="rId2"/>
  <extLst>
    <ext xmlns:x14="http://schemas.microsoft.com/office/spreadsheetml/2009/9/main" uri="{78C0D931-6437-407d-A8EE-F0AAD7539E65}">
      <x14:conditionalFormattings>
        <x14:conditionalFormatting xmlns:xm="http://schemas.microsoft.com/office/excel/2006/main">
          <x14:cfRule type="cellIs" priority="63" operator="greaterThanOrEqual" id="{FE7C1990-5226-43AB-89FC-E5A6A8FD77CE}">
            <xm:f>Start!$F$22</xm:f>
            <x14:dxf>
              <fill>
                <patternFill>
                  <bgColor rgb="FF92D050"/>
                </patternFill>
              </fill>
            </x14:dxf>
          </x14:cfRule>
          <xm:sqref>H15:H16</xm:sqref>
        </x14:conditionalFormatting>
        <x14:conditionalFormatting xmlns:xm="http://schemas.microsoft.com/office/excel/2006/main">
          <x14:cfRule type="cellIs" priority="347" operator="greaterThanOrEqual" id="{4E51195C-781F-41C0-9EDC-C74E46DA1A2D}">
            <xm:f>Start!$F$22</xm:f>
            <x14:dxf>
              <fill>
                <patternFill>
                  <bgColor rgb="FF92D050"/>
                </patternFill>
              </fill>
            </x14:dxf>
          </x14:cfRule>
          <xm:sqref>H14</xm:sqref>
        </x14:conditionalFormatting>
      </x14:conditionalFormatting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
    <tabColor rgb="FFF4D4D4"/>
  </sheetPr>
  <dimension ref="A1:V310"/>
  <sheetViews>
    <sheetView showGridLines="0" zoomScale="80" zoomScaleNormal="80" workbookViewId="0"/>
  </sheetViews>
  <sheetFormatPr defaultColWidth="0" defaultRowHeight="15" zeroHeight="1"/>
  <cols>
    <col min="1" max="1" width="17" style="30" customWidth="1"/>
    <col min="2" max="2" width="104.7109375" style="30" bestFit="1" customWidth="1"/>
    <col min="3" max="3" width="24.42578125" style="30" bestFit="1" customWidth="1"/>
    <col min="4" max="4" width="10.5703125" style="30" bestFit="1" customWidth="1"/>
    <col min="5" max="5" width="10.28515625" style="30" bestFit="1" customWidth="1"/>
    <col min="6" max="6" width="18.28515625" style="30" customWidth="1"/>
    <col min="7" max="7" width="31" style="30" customWidth="1"/>
    <col min="8" max="8" width="5" style="30" customWidth="1"/>
    <col min="9" max="9" width="49.42578125" style="30" customWidth="1"/>
    <col min="10" max="10" width="10.7109375" style="30" customWidth="1"/>
    <col min="11" max="11" width="2" style="30" customWidth="1"/>
    <col min="12" max="12" width="2.5703125" style="30" customWidth="1"/>
    <col min="13" max="13" width="4.28515625" style="30" customWidth="1"/>
    <col min="14" max="16" width="9.28515625" style="30" customWidth="1"/>
    <col min="17" max="17" width="10.5703125" style="30" customWidth="1"/>
    <col min="18" max="20" width="9.28515625" style="30" customWidth="1"/>
    <col min="21" max="22" width="0" style="30" hidden="1" customWidth="1"/>
    <col min="23" max="16384" width="9.28515625" style="30" hidden="1"/>
  </cols>
  <sheetData>
    <row r="1" spans="1:17" ht="15.75" thickBot="1">
      <c r="A1" s="333"/>
      <c r="B1" s="32"/>
      <c r="C1" s="32"/>
      <c r="D1" s="32"/>
      <c r="E1" s="32"/>
      <c r="G1" s="32"/>
      <c r="H1" s="32"/>
      <c r="I1" s="32"/>
      <c r="J1" s="32"/>
      <c r="K1" s="32"/>
      <c r="L1" s="32"/>
      <c r="M1" s="32"/>
      <c r="N1" s="32"/>
      <c r="O1" s="32"/>
      <c r="P1" s="32"/>
      <c r="Q1" s="32"/>
    </row>
    <row r="2" spans="1:17" ht="26.25" thickBot="1">
      <c r="A2" s="32"/>
      <c r="B2" s="1299" t="s">
        <v>207</v>
      </c>
      <c r="C2" s="1300"/>
      <c r="D2" s="1300"/>
      <c r="E2" s="1300"/>
      <c r="F2" s="1300"/>
      <c r="G2" s="1301"/>
      <c r="H2" s="32"/>
      <c r="I2" s="32"/>
      <c r="J2" s="32"/>
      <c r="K2" s="32"/>
      <c r="L2" s="32"/>
      <c r="M2" s="32"/>
      <c r="N2" s="32"/>
      <c r="O2" s="32"/>
      <c r="P2" s="32"/>
      <c r="Q2" s="32"/>
    </row>
    <row r="3" spans="1:17" ht="15" customHeight="1">
      <c r="A3" s="32"/>
      <c r="B3" s="1315" t="s">
        <v>208</v>
      </c>
      <c r="C3" s="1317" t="s">
        <v>209</v>
      </c>
      <c r="D3" s="1317"/>
      <c r="E3" s="1317"/>
      <c r="F3" s="1317"/>
      <c r="G3" s="1313" t="s">
        <v>210</v>
      </c>
      <c r="H3" s="219"/>
      <c r="I3" s="219"/>
      <c r="J3" s="219"/>
      <c r="K3" s="219"/>
      <c r="L3" s="32"/>
      <c r="M3" s="32"/>
      <c r="N3" s="32"/>
      <c r="O3" s="32"/>
      <c r="P3" s="32"/>
      <c r="Q3" s="32"/>
    </row>
    <row r="4" spans="1:17" ht="14.25" customHeight="1">
      <c r="A4" s="32"/>
      <c r="B4" s="1316"/>
      <c r="C4" s="1318"/>
      <c r="D4" s="1318"/>
      <c r="E4" s="1318"/>
      <c r="F4" s="1318"/>
      <c r="G4" s="1314"/>
      <c r="H4" s="219"/>
      <c r="I4" s="219"/>
      <c r="J4" s="219"/>
      <c r="K4" s="219"/>
      <c r="L4" s="32"/>
      <c r="M4" s="32"/>
      <c r="N4" s="32"/>
      <c r="O4" s="32"/>
      <c r="P4" s="32"/>
      <c r="Q4" s="32"/>
    </row>
    <row r="5" spans="1:17" ht="20.25">
      <c r="A5" s="32"/>
      <c r="B5" s="99" t="s">
        <v>211</v>
      </c>
      <c r="C5" s="1319" t="s">
        <v>212</v>
      </c>
      <c r="D5" s="1320"/>
      <c r="E5" s="1320"/>
      <c r="F5" s="1321"/>
      <c r="G5" s="545" t="str">
        <f>IF(('A-1 On-Site Habitat Baseline'!AQ259+'D-1 Off-Site Habitat Baseline'!AU259)&gt;0,"No ▲","Yes ✓")</f>
        <v>Yes ✓</v>
      </c>
      <c r="H5" s="219"/>
      <c r="I5" s="219"/>
      <c r="J5" s="219"/>
      <c r="K5" s="219"/>
      <c r="L5" s="32"/>
      <c r="M5" s="32"/>
      <c r="N5" s="32"/>
      <c r="O5" s="32"/>
      <c r="P5" s="32"/>
      <c r="Q5" s="32"/>
    </row>
    <row r="6" spans="1:17" ht="22.5" customHeight="1">
      <c r="A6" s="32"/>
      <c r="B6" s="99" t="s">
        <v>213</v>
      </c>
      <c r="C6" s="1322" t="s">
        <v>214</v>
      </c>
      <c r="D6" s="1322"/>
      <c r="E6" s="1322"/>
      <c r="F6" s="1322"/>
      <c r="G6" s="545" t="str">
        <f>IFERROR(IF(J41&lt;0,"No ▲","Yes ✓"),"")</f>
        <v>Yes ✓</v>
      </c>
      <c r="H6" s="32"/>
      <c r="I6" s="32"/>
      <c r="J6" s="32"/>
      <c r="K6" s="32"/>
      <c r="L6" s="32"/>
      <c r="M6" s="32"/>
      <c r="N6" s="32"/>
      <c r="O6" s="32"/>
      <c r="P6" s="32"/>
      <c r="Q6" s="32"/>
    </row>
    <row r="7" spans="1:17" ht="19.5" customHeight="1">
      <c r="A7" s="32"/>
      <c r="B7" s="99" t="s">
        <v>70</v>
      </c>
      <c r="C7" s="1323" t="s">
        <v>215</v>
      </c>
      <c r="D7" s="1323"/>
      <c r="E7" s="1323"/>
      <c r="F7" s="1323"/>
      <c r="G7" s="546" t="str">
        <f>IF(J40+J12+J89&lt;0,"No ▲","Yes ✓")</f>
        <v>Yes ✓</v>
      </c>
      <c r="H7" s="32"/>
      <c r="I7" s="32"/>
      <c r="J7" s="32"/>
      <c r="K7" s="32"/>
      <c r="L7" s="32"/>
      <c r="M7" s="32"/>
      <c r="N7" s="32"/>
      <c r="O7" s="32"/>
      <c r="P7" s="32"/>
      <c r="Q7" s="32"/>
    </row>
    <row r="8" spans="1:17" ht="18.75" customHeight="1" thickBot="1">
      <c r="A8" s="32"/>
      <c r="B8" s="74" t="s">
        <v>216</v>
      </c>
      <c r="C8" s="1324" t="s">
        <v>217</v>
      </c>
      <c r="D8" s="1324"/>
      <c r="E8" s="1324"/>
      <c r="F8" s="1324"/>
      <c r="G8" s="547" t="str">
        <f>IF(J126&lt;0,"No ▲","Yes ✓")</f>
        <v>Yes ✓</v>
      </c>
      <c r="H8" s="32"/>
      <c r="I8" s="32"/>
      <c r="J8" s="32"/>
      <c r="K8" s="32"/>
      <c r="L8" s="32"/>
      <c r="M8" s="32"/>
      <c r="N8" s="32"/>
      <c r="O8" s="32"/>
      <c r="P8" s="32"/>
      <c r="Q8" s="32"/>
    </row>
    <row r="9" spans="1:17" ht="14.25" customHeight="1">
      <c r="A9" s="32"/>
      <c r="B9" s="32"/>
      <c r="C9" s="32"/>
      <c r="D9" s="32"/>
      <c r="E9" s="32"/>
      <c r="F9" s="32"/>
      <c r="G9" s="32"/>
      <c r="H9" s="32"/>
      <c r="I9" s="32"/>
      <c r="J9" s="32"/>
      <c r="K9" s="32"/>
      <c r="L9" s="32"/>
      <c r="M9" s="32"/>
      <c r="N9" s="32"/>
      <c r="O9" s="32"/>
      <c r="P9" s="32"/>
      <c r="Q9" s="32"/>
    </row>
    <row r="10" spans="1:17" ht="15.75" thickBot="1">
      <c r="A10" s="32"/>
      <c r="B10" s="32"/>
      <c r="C10" s="32"/>
      <c r="D10" s="32"/>
      <c r="E10" s="32"/>
      <c r="F10" s="32"/>
      <c r="G10" s="32"/>
      <c r="H10" s="32"/>
      <c r="I10" s="32"/>
      <c r="J10" s="32"/>
      <c r="K10" s="32"/>
      <c r="L10" s="32"/>
      <c r="M10" s="32"/>
      <c r="N10" s="32"/>
      <c r="O10" s="32"/>
      <c r="P10" s="32"/>
      <c r="Q10" s="32"/>
    </row>
    <row r="11" spans="1:17" ht="26.25" thickBot="1">
      <c r="A11" s="32"/>
      <c r="B11" s="1299" t="s">
        <v>218</v>
      </c>
      <c r="C11" s="1300"/>
      <c r="D11" s="1300"/>
      <c r="E11" s="1300"/>
      <c r="F11" s="1300"/>
      <c r="G11" s="1301"/>
      <c r="H11" s="32"/>
      <c r="I11" s="1304" t="s">
        <v>219</v>
      </c>
      <c r="J11" s="1305"/>
      <c r="K11" s="32"/>
      <c r="L11" s="32"/>
      <c r="M11" s="32"/>
      <c r="N11" s="32"/>
      <c r="O11" s="32"/>
      <c r="P11" s="32"/>
      <c r="Q11" s="32"/>
    </row>
    <row r="12" spans="1:17" s="33" customFormat="1" ht="48" thickBot="1">
      <c r="A12" s="32"/>
      <c r="B12" s="70" t="s">
        <v>114</v>
      </c>
      <c r="C12" s="71" t="s">
        <v>220</v>
      </c>
      <c r="D12" s="71" t="s">
        <v>221</v>
      </c>
      <c r="E12" s="71" t="s">
        <v>147</v>
      </c>
      <c r="F12" s="71" t="s">
        <v>222</v>
      </c>
      <c r="G12" s="72" t="s">
        <v>223</v>
      </c>
      <c r="H12" s="32"/>
      <c r="I12" s="282" t="s">
        <v>224</v>
      </c>
      <c r="J12" s="348">
        <f>SUMIF($F$13:$F$32,"&gt;0")</f>
        <v>0</v>
      </c>
      <c r="K12" s="32"/>
      <c r="L12" s="32"/>
      <c r="M12" s="32"/>
      <c r="N12" s="32"/>
      <c r="O12" s="32"/>
      <c r="P12" s="32"/>
      <c r="Q12" s="32"/>
    </row>
    <row r="13" spans="1:17" ht="15.75" customHeight="1">
      <c r="A13" s="32"/>
      <c r="B13" s="271" t="str">
        <f>'G-2 Habitat groups'!AU5</f>
        <v>Grassland - Lowland dry acid grassland</v>
      </c>
      <c r="C13" s="272" t="str">
        <f>'G-2 Habitat groups'!AV5</f>
        <v>Grassland</v>
      </c>
      <c r="D13" s="346">
        <f>'G-2 Habitat groups'!BB5</f>
        <v>0</v>
      </c>
      <c r="E13" s="346">
        <f>'G-2 Habitat groups'!BD5</f>
        <v>0</v>
      </c>
      <c r="F13" s="346">
        <f>'G-2 Habitat groups'!BE5</f>
        <v>0</v>
      </c>
      <c r="G13" s="347" t="str">
        <f>'G-2 Habitat groups'!BF5</f>
        <v/>
      </c>
      <c r="H13" s="32"/>
      <c r="I13" s="1312" t="str">
        <f>IF($G$33&lt;0,"Very high distinctiveness unit defecit - CHECK DATA","")</f>
        <v/>
      </c>
      <c r="J13" s="1312"/>
      <c r="K13" s="32"/>
      <c r="L13" s="32"/>
      <c r="M13" s="32"/>
      <c r="N13" s="32"/>
      <c r="O13" s="32"/>
      <c r="P13" s="32"/>
      <c r="Q13" s="32"/>
    </row>
    <row r="14" spans="1:17">
      <c r="A14" s="32"/>
      <c r="B14" s="271" t="str">
        <f>'G-2 Habitat groups'!AU6</f>
        <v>Grassland - Lowland meadows</v>
      </c>
      <c r="C14" s="272" t="str">
        <f>'G-2 Habitat groups'!AV6</f>
        <v>Grassland</v>
      </c>
      <c r="D14" s="346">
        <f>'G-2 Habitat groups'!BB6</f>
        <v>0</v>
      </c>
      <c r="E14" s="346">
        <f>'G-2 Habitat groups'!BD6</f>
        <v>0</v>
      </c>
      <c r="F14" s="346">
        <f>'G-2 Habitat groups'!BE6</f>
        <v>0</v>
      </c>
      <c r="G14" s="347" t="str">
        <f>'G-2 Habitat groups'!BF6</f>
        <v/>
      </c>
      <c r="H14" s="32"/>
      <c r="K14" s="32"/>
      <c r="L14" s="32"/>
      <c r="M14" s="32"/>
      <c r="N14" s="32"/>
      <c r="O14" s="32"/>
      <c r="P14" s="32"/>
      <c r="Q14" s="32"/>
    </row>
    <row r="15" spans="1:17">
      <c r="A15" s="32"/>
      <c r="B15" s="271" t="str">
        <f>'G-2 Habitat groups'!AU7</f>
        <v>Grassland - Upland hay meadows</v>
      </c>
      <c r="C15" s="272" t="str">
        <f>'G-2 Habitat groups'!AV7</f>
        <v>Grassland</v>
      </c>
      <c r="D15" s="346">
        <f>'G-2 Habitat groups'!BB7</f>
        <v>0</v>
      </c>
      <c r="E15" s="346">
        <f>'G-2 Habitat groups'!BD7</f>
        <v>0</v>
      </c>
      <c r="F15" s="346">
        <f>'G-2 Habitat groups'!BE7</f>
        <v>0</v>
      </c>
      <c r="G15" s="347" t="str">
        <f>'G-2 Habitat groups'!BF7</f>
        <v/>
      </c>
      <c r="H15" s="32"/>
      <c r="K15" s="32"/>
      <c r="L15" s="32"/>
      <c r="M15" s="32"/>
      <c r="N15" s="32"/>
      <c r="O15" s="32"/>
      <c r="P15" s="32"/>
      <c r="Q15" s="32"/>
    </row>
    <row r="16" spans="1:17">
      <c r="A16" s="32"/>
      <c r="B16" s="271" t="str">
        <f>'G-2 Habitat groups'!AU8</f>
        <v>Heathland and shrub - Mountain heaths and willow scrub</v>
      </c>
      <c r="C16" s="272" t="str">
        <f>'G-2 Habitat groups'!AV8</f>
        <v>Heathland and shrub</v>
      </c>
      <c r="D16" s="346">
        <f>'G-2 Habitat groups'!BB8</f>
        <v>0</v>
      </c>
      <c r="E16" s="346">
        <f>'G-2 Habitat groups'!BD8</f>
        <v>0</v>
      </c>
      <c r="F16" s="346">
        <f>'G-2 Habitat groups'!BE8</f>
        <v>0</v>
      </c>
      <c r="G16" s="347" t="str">
        <f>'G-2 Habitat groups'!BF8</f>
        <v/>
      </c>
      <c r="H16" s="32"/>
      <c r="K16" s="32"/>
      <c r="L16" s="32"/>
      <c r="M16" s="32"/>
      <c r="N16" s="32"/>
      <c r="O16" s="32"/>
      <c r="P16" s="32"/>
      <c r="Q16" s="32"/>
    </row>
    <row r="17" spans="1:17">
      <c r="A17" s="32"/>
      <c r="B17" s="271" t="str">
        <f>'G-2 Habitat groups'!AU9</f>
        <v>Lakes - Aquifer fed naturally fluctuating water bodies</v>
      </c>
      <c r="C17" s="272" t="str">
        <f>'G-2 Habitat groups'!AV9</f>
        <v>Lakes</v>
      </c>
      <c r="D17" s="346">
        <f>'G-2 Habitat groups'!BB9</f>
        <v>0</v>
      </c>
      <c r="E17" s="346">
        <f>'G-2 Habitat groups'!BD9</f>
        <v>0</v>
      </c>
      <c r="F17" s="346">
        <f>'G-2 Habitat groups'!BE9</f>
        <v>0</v>
      </c>
      <c r="G17" s="347" t="str">
        <f>'G-2 Habitat groups'!BF9</f>
        <v/>
      </c>
      <c r="H17" s="32"/>
      <c r="K17" s="32"/>
      <c r="L17" s="32"/>
      <c r="M17" s="32"/>
      <c r="N17" s="32"/>
      <c r="O17" s="32"/>
      <c r="P17" s="32"/>
      <c r="Q17" s="32"/>
    </row>
    <row r="18" spans="1:17">
      <c r="A18" s="32"/>
      <c r="B18" s="271" t="str">
        <f>'G-2 Habitat groups'!AU10</f>
        <v>Sparsely vegetated land - Calaminarian grasslands</v>
      </c>
      <c r="C18" s="272" t="str">
        <f>'G-2 Habitat groups'!AV10</f>
        <v>Sparsely vegetated land</v>
      </c>
      <c r="D18" s="346">
        <f>'G-2 Habitat groups'!BB10</f>
        <v>0</v>
      </c>
      <c r="E18" s="346">
        <f>'G-2 Habitat groups'!BD10</f>
        <v>0</v>
      </c>
      <c r="F18" s="346">
        <f>'G-2 Habitat groups'!BE10</f>
        <v>0</v>
      </c>
      <c r="G18" s="347" t="str">
        <f>'G-2 Habitat groups'!BF10</f>
        <v/>
      </c>
      <c r="H18" s="32"/>
      <c r="K18" s="32"/>
      <c r="L18" s="32"/>
      <c r="M18" s="32"/>
      <c r="N18" s="32"/>
      <c r="O18" s="32"/>
      <c r="P18" s="32"/>
      <c r="Q18" s="32"/>
    </row>
    <row r="19" spans="1:17">
      <c r="A19" s="32"/>
      <c r="B19" s="271" t="str">
        <f>'G-2 Habitat groups'!AU11</f>
        <v>Sparsely vegetated land - Limestone pavement</v>
      </c>
      <c r="C19" s="272" t="str">
        <f>'G-2 Habitat groups'!AV11</f>
        <v>Sparsely vegetated land</v>
      </c>
      <c r="D19" s="346">
        <f>'G-2 Habitat groups'!BB11</f>
        <v>0</v>
      </c>
      <c r="E19" s="346">
        <f>'G-2 Habitat groups'!BD11</f>
        <v>0</v>
      </c>
      <c r="F19" s="346">
        <f>'G-2 Habitat groups'!BE11</f>
        <v>0</v>
      </c>
      <c r="G19" s="347" t="str">
        <f>'G-2 Habitat groups'!BF11</f>
        <v/>
      </c>
      <c r="H19" s="32"/>
      <c r="I19" s="32"/>
      <c r="J19" s="32"/>
      <c r="K19" s="32"/>
      <c r="L19" s="32"/>
      <c r="M19" s="32"/>
      <c r="N19" s="32"/>
      <c r="O19" s="32"/>
      <c r="P19" s="32"/>
      <c r="Q19" s="32"/>
    </row>
    <row r="20" spans="1:17">
      <c r="A20" s="32"/>
      <c r="B20" s="271" t="str">
        <f>'G-2 Habitat groups'!AU12</f>
        <v>Wetland - Blanket bog</v>
      </c>
      <c r="C20" s="272" t="str">
        <f>'G-2 Habitat groups'!AV12</f>
        <v>Wetland</v>
      </c>
      <c r="D20" s="346">
        <f>'G-2 Habitat groups'!BB12</f>
        <v>0</v>
      </c>
      <c r="E20" s="346">
        <f>'G-2 Habitat groups'!BD12</f>
        <v>0</v>
      </c>
      <c r="F20" s="346">
        <f>'G-2 Habitat groups'!BE12</f>
        <v>0</v>
      </c>
      <c r="G20" s="347" t="str">
        <f>'G-2 Habitat groups'!BF12</f>
        <v/>
      </c>
      <c r="H20" s="32"/>
      <c r="I20" s="32"/>
      <c r="J20" s="32"/>
      <c r="K20" s="32"/>
      <c r="L20" s="32"/>
      <c r="M20" s="32"/>
      <c r="N20" s="32"/>
      <c r="O20" s="32"/>
      <c r="P20" s="32"/>
      <c r="Q20" s="32"/>
    </row>
    <row r="21" spans="1:17">
      <c r="A21" s="32"/>
      <c r="B21" s="271" t="str">
        <f>'G-2 Habitat groups'!AU13</f>
        <v>Wetland - Depressions on peat substrates (H7150)</v>
      </c>
      <c r="C21" s="272" t="str">
        <f>'G-2 Habitat groups'!AV13</f>
        <v>Wetland</v>
      </c>
      <c r="D21" s="346">
        <f>'G-2 Habitat groups'!BB13</f>
        <v>0</v>
      </c>
      <c r="E21" s="346">
        <f>'G-2 Habitat groups'!BD13</f>
        <v>0</v>
      </c>
      <c r="F21" s="346">
        <f>'G-2 Habitat groups'!BE13</f>
        <v>0</v>
      </c>
      <c r="G21" s="347" t="str">
        <f>'G-2 Habitat groups'!BF13</f>
        <v/>
      </c>
      <c r="H21" s="32"/>
      <c r="I21" s="32"/>
      <c r="J21" s="32"/>
      <c r="K21" s="32"/>
      <c r="L21" s="32"/>
      <c r="M21" s="32"/>
      <c r="N21" s="32"/>
      <c r="O21" s="32"/>
      <c r="P21" s="32"/>
      <c r="Q21" s="32"/>
    </row>
    <row r="22" spans="1:17">
      <c r="A22" s="32"/>
      <c r="B22" s="271" t="str">
        <f>'G-2 Habitat groups'!AU14</f>
        <v>Wetland - Fens (upland and lowland)</v>
      </c>
      <c r="C22" s="272" t="str">
        <f>'G-2 Habitat groups'!AV14</f>
        <v>Wetland</v>
      </c>
      <c r="D22" s="346">
        <f>'G-2 Habitat groups'!BB14</f>
        <v>0</v>
      </c>
      <c r="E22" s="346">
        <f>'G-2 Habitat groups'!BD14</f>
        <v>0</v>
      </c>
      <c r="F22" s="346">
        <f>'G-2 Habitat groups'!BE14</f>
        <v>0</v>
      </c>
      <c r="G22" s="347" t="str">
        <f>'G-2 Habitat groups'!BF14</f>
        <v/>
      </c>
      <c r="H22" s="32"/>
      <c r="I22" s="32"/>
      <c r="J22" s="32"/>
      <c r="K22" s="32"/>
      <c r="L22" s="32"/>
      <c r="M22" s="32"/>
      <c r="N22" s="32"/>
      <c r="O22" s="32"/>
      <c r="P22" s="32"/>
      <c r="Q22" s="32"/>
    </row>
    <row r="23" spans="1:17">
      <c r="A23" s="32"/>
      <c r="B23" s="271" t="str">
        <f>'G-2 Habitat groups'!AU15</f>
        <v>Wetland - Lowland raised bog</v>
      </c>
      <c r="C23" s="272" t="str">
        <f>'G-2 Habitat groups'!AV15</f>
        <v>Wetland</v>
      </c>
      <c r="D23" s="346">
        <f>'G-2 Habitat groups'!BB15</f>
        <v>0</v>
      </c>
      <c r="E23" s="346">
        <f>'G-2 Habitat groups'!BD15</f>
        <v>0</v>
      </c>
      <c r="F23" s="346">
        <f>'G-2 Habitat groups'!BE15</f>
        <v>0</v>
      </c>
      <c r="G23" s="347" t="str">
        <f>'G-2 Habitat groups'!BF15</f>
        <v/>
      </c>
      <c r="H23" s="32"/>
      <c r="I23" s="32"/>
      <c r="J23" s="32"/>
      <c r="K23" s="32"/>
      <c r="L23" s="32"/>
      <c r="M23" s="32"/>
      <c r="N23" s="32"/>
      <c r="O23" s="32"/>
      <c r="P23" s="32"/>
      <c r="Q23" s="32"/>
    </row>
    <row r="24" spans="1:17">
      <c r="A24" s="32"/>
      <c r="B24" s="271" t="str">
        <f>'G-2 Habitat groups'!AU16</f>
        <v>Wetland - Oceanic valley mire[1] (D2.1)</v>
      </c>
      <c r="C24" s="272" t="str">
        <f>'G-2 Habitat groups'!AV16</f>
        <v>Wetland</v>
      </c>
      <c r="D24" s="346">
        <f>'G-2 Habitat groups'!BB16</f>
        <v>0</v>
      </c>
      <c r="E24" s="346">
        <f>'G-2 Habitat groups'!BD16</f>
        <v>0</v>
      </c>
      <c r="F24" s="346">
        <f>'G-2 Habitat groups'!BE16</f>
        <v>0</v>
      </c>
      <c r="G24" s="347" t="str">
        <f>'G-2 Habitat groups'!BF16</f>
        <v/>
      </c>
      <c r="H24" s="32"/>
      <c r="I24" s="32"/>
      <c r="J24" s="32"/>
      <c r="K24" s="32"/>
      <c r="L24" s="32"/>
      <c r="M24" s="32"/>
      <c r="N24" s="32"/>
      <c r="O24" s="32"/>
      <c r="P24" s="32"/>
      <c r="Q24" s="32"/>
    </row>
    <row r="25" spans="1:17">
      <c r="A25" s="32"/>
      <c r="B25" s="271" t="str">
        <f>'G-2 Habitat groups'!AU17</f>
        <v>Wetland - Purple moor grass and rush pastures</v>
      </c>
      <c r="C25" s="272" t="str">
        <f>'G-2 Habitat groups'!AV17</f>
        <v>Wetland</v>
      </c>
      <c r="D25" s="346">
        <f>'G-2 Habitat groups'!BB17</f>
        <v>0</v>
      </c>
      <c r="E25" s="346">
        <f>'G-2 Habitat groups'!BD17</f>
        <v>0</v>
      </c>
      <c r="F25" s="346">
        <f>'G-2 Habitat groups'!BE17</f>
        <v>0</v>
      </c>
      <c r="G25" s="347" t="str">
        <f>'G-2 Habitat groups'!BF17</f>
        <v/>
      </c>
      <c r="H25" s="32"/>
      <c r="I25" s="32"/>
      <c r="J25" s="32"/>
      <c r="K25" s="32"/>
      <c r="L25" s="32"/>
      <c r="M25" s="32"/>
      <c r="N25" s="32"/>
      <c r="O25" s="32"/>
      <c r="P25" s="32"/>
      <c r="Q25" s="32"/>
    </row>
    <row r="26" spans="1:17">
      <c r="A26" s="32"/>
      <c r="B26" s="271" t="str">
        <f>'G-2 Habitat groups'!AU18</f>
        <v>Wetland - Transition mires and quaking bogs (H7140)</v>
      </c>
      <c r="C26" s="272" t="str">
        <f>'G-2 Habitat groups'!AV18</f>
        <v>Wetland</v>
      </c>
      <c r="D26" s="346">
        <f>'G-2 Habitat groups'!BB18</f>
        <v>0</v>
      </c>
      <c r="E26" s="346">
        <f>'G-2 Habitat groups'!BD18</f>
        <v>0</v>
      </c>
      <c r="F26" s="346">
        <f>'G-2 Habitat groups'!BE18</f>
        <v>0</v>
      </c>
      <c r="G26" s="347" t="str">
        <f>'G-2 Habitat groups'!BF18</f>
        <v/>
      </c>
      <c r="H26" s="32"/>
      <c r="I26" s="32"/>
      <c r="J26" s="32"/>
      <c r="K26" s="32"/>
      <c r="L26" s="32"/>
      <c r="M26" s="32"/>
      <c r="N26" s="32"/>
      <c r="O26" s="32"/>
      <c r="P26" s="32"/>
      <c r="Q26" s="32"/>
    </row>
    <row r="27" spans="1:17">
      <c r="A27" s="32"/>
      <c r="B27" s="271" t="str">
        <f>'G-2 Habitat groups'!AU19</f>
        <v>Woodland and forest - Wood-pasture and parkland</v>
      </c>
      <c r="C27" s="272" t="str">
        <f>'G-2 Habitat groups'!AV19</f>
        <v>Woodland and forest</v>
      </c>
      <c r="D27" s="346">
        <f>'G-2 Habitat groups'!BB19</f>
        <v>0</v>
      </c>
      <c r="E27" s="346">
        <f>'G-2 Habitat groups'!BD19</f>
        <v>0</v>
      </c>
      <c r="F27" s="346">
        <f>'G-2 Habitat groups'!BE19</f>
        <v>0</v>
      </c>
      <c r="G27" s="347" t="str">
        <f>'G-2 Habitat groups'!BF19</f>
        <v/>
      </c>
      <c r="H27" s="32"/>
      <c r="I27" s="32"/>
      <c r="J27" s="32"/>
      <c r="K27" s="32"/>
      <c r="L27" s="32"/>
      <c r="M27" s="32"/>
      <c r="N27" s="32"/>
      <c r="O27" s="32"/>
      <c r="P27" s="32"/>
      <c r="Q27" s="32"/>
    </row>
    <row r="28" spans="1:17">
      <c r="A28" s="32"/>
      <c r="B28" s="271" t="str">
        <f>'G-2 Habitat groups'!AU20</f>
        <v>Rocky shore - High energy littoral rock - on peat, clay or chalk</v>
      </c>
      <c r="C28" s="272" t="str">
        <f>'G-2 Habitat groups'!AV20</f>
        <v>Rocky shore</v>
      </c>
      <c r="D28" s="346">
        <f>'G-2 Habitat groups'!BB20</f>
        <v>0</v>
      </c>
      <c r="E28" s="346">
        <f>'G-2 Habitat groups'!BD20</f>
        <v>0</v>
      </c>
      <c r="F28" s="346">
        <f>'G-2 Habitat groups'!BE20</f>
        <v>0</v>
      </c>
      <c r="G28" s="347" t="str">
        <f>'G-2 Habitat groups'!BF20</f>
        <v/>
      </c>
      <c r="H28" s="32"/>
      <c r="I28" s="32"/>
      <c r="J28" s="32"/>
      <c r="K28" s="32"/>
      <c r="L28" s="32"/>
      <c r="M28" s="32"/>
      <c r="N28" s="32"/>
      <c r="O28" s="32"/>
      <c r="P28" s="32"/>
      <c r="Q28" s="32"/>
    </row>
    <row r="29" spans="1:17" ht="14.25" customHeight="1">
      <c r="A29" s="32"/>
      <c r="B29" s="271" t="str">
        <f>'G-2 Habitat groups'!AU21</f>
        <v>Rocky shore - Moderate energy littoral rock - on peat, clay or chalk</v>
      </c>
      <c r="C29" s="272" t="str">
        <f>'G-2 Habitat groups'!AV21</f>
        <v>Rocky shore</v>
      </c>
      <c r="D29" s="346">
        <f>'G-2 Habitat groups'!BB21</f>
        <v>0</v>
      </c>
      <c r="E29" s="346">
        <f>'G-2 Habitat groups'!BD21</f>
        <v>0</v>
      </c>
      <c r="F29" s="346">
        <f>'G-2 Habitat groups'!BE21</f>
        <v>0</v>
      </c>
      <c r="G29" s="347" t="str">
        <f>'G-2 Habitat groups'!BF21</f>
        <v/>
      </c>
      <c r="H29" s="32"/>
      <c r="I29" s="32"/>
      <c r="J29" s="32"/>
      <c r="K29" s="32"/>
      <c r="L29" s="32"/>
      <c r="M29" s="32"/>
      <c r="N29" s="32"/>
      <c r="O29" s="32"/>
      <c r="P29" s="32"/>
      <c r="Q29" s="32"/>
    </row>
    <row r="30" spans="1:17" s="33" customFormat="1" ht="18.600000000000001" customHeight="1">
      <c r="A30" s="32"/>
      <c r="B30" s="271" t="str">
        <f>'G-2 Habitat groups'!AU22</f>
        <v>Rocky shore - Low energy littoral rock - on peat, clay or chalk</v>
      </c>
      <c r="C30" s="272" t="str">
        <f>'G-2 Habitat groups'!AV22</f>
        <v>Rocky shore</v>
      </c>
      <c r="D30" s="346">
        <f>'G-2 Habitat groups'!BB22</f>
        <v>0</v>
      </c>
      <c r="E30" s="346">
        <f>'G-2 Habitat groups'!BD22</f>
        <v>0</v>
      </c>
      <c r="F30" s="346">
        <f>'G-2 Habitat groups'!BE22</f>
        <v>0</v>
      </c>
      <c r="G30" s="347" t="str">
        <f>'G-2 Habitat groups'!BF22</f>
        <v/>
      </c>
      <c r="H30" s="32"/>
      <c r="I30" s="32"/>
      <c r="J30" s="32"/>
      <c r="K30" s="32"/>
      <c r="L30" s="32"/>
      <c r="M30" s="32"/>
      <c r="N30" s="32"/>
      <c r="O30" s="32"/>
      <c r="P30" s="32"/>
      <c r="Q30" s="32"/>
    </row>
    <row r="31" spans="1:17">
      <c r="A31" s="32"/>
      <c r="B31" s="271" t="str">
        <f>'G-2 Habitat groups'!AU23</f>
        <v>Rocky shore - Features of littoral rock - on peat, clay or chalk</v>
      </c>
      <c r="C31" s="272" t="str">
        <f>'G-2 Habitat groups'!AV23</f>
        <v>Rocky shore</v>
      </c>
      <c r="D31" s="346">
        <f>'G-2 Habitat groups'!BB23</f>
        <v>0</v>
      </c>
      <c r="E31" s="346">
        <f>'G-2 Habitat groups'!BD23</f>
        <v>0</v>
      </c>
      <c r="F31" s="346">
        <f>'G-2 Habitat groups'!BE23</f>
        <v>0</v>
      </c>
      <c r="G31" s="347" t="str">
        <f>'G-2 Habitat groups'!BF23</f>
        <v/>
      </c>
      <c r="H31" s="32"/>
      <c r="I31" s="32"/>
      <c r="J31" s="32"/>
      <c r="K31" s="32"/>
      <c r="L31" s="32"/>
      <c r="M31" s="32"/>
      <c r="N31" s="32"/>
      <c r="O31" s="32"/>
      <c r="P31" s="32"/>
      <c r="Q31" s="32"/>
    </row>
    <row r="32" spans="1:17" ht="15.75" thickBot="1">
      <c r="A32" s="32"/>
      <c r="B32" s="273" t="str">
        <f>'G-2 Habitat groups'!AU24</f>
        <v>Intertidal sediment - Littoral seagrass on peat, clay or chalk</v>
      </c>
      <c r="C32" s="274" t="str">
        <f>'G-2 Habitat groups'!AV24</f>
        <v>Intertidal sediment</v>
      </c>
      <c r="D32" s="355">
        <f>'G-2 Habitat groups'!BB24</f>
        <v>0</v>
      </c>
      <c r="E32" s="355">
        <f>'G-2 Habitat groups'!BD24</f>
        <v>0</v>
      </c>
      <c r="F32" s="355">
        <f>'G-2 Habitat groups'!BE24</f>
        <v>0</v>
      </c>
      <c r="G32" s="599" t="str">
        <f>'G-2 Habitat groups'!BF24</f>
        <v/>
      </c>
      <c r="H32" s="32"/>
      <c r="I32" s="32"/>
      <c r="J32" s="32"/>
      <c r="K32" s="32"/>
      <c r="L32" s="32"/>
      <c r="M32" s="32"/>
      <c r="N32" s="32"/>
      <c r="O32" s="32"/>
      <c r="P32" s="32"/>
      <c r="Q32" s="32"/>
    </row>
    <row r="33" spans="1:17" ht="15.75" thickBot="1">
      <c r="A33" s="32"/>
      <c r="B33" s="32"/>
      <c r="C33" s="32"/>
      <c r="D33" s="609">
        <f>SUM(D13:D32)</f>
        <v>0</v>
      </c>
      <c r="E33" s="610">
        <f>SUM(E13:E32)</f>
        <v>0</v>
      </c>
      <c r="F33" s="344">
        <f>SUM(F13:F32)</f>
        <v>0</v>
      </c>
      <c r="G33" s="714">
        <f>SUM(G13:G32)</f>
        <v>0</v>
      </c>
      <c r="H33" s="32"/>
      <c r="I33" s="32"/>
      <c r="J33" s="32"/>
      <c r="K33" s="32"/>
      <c r="L33" s="32"/>
      <c r="M33" s="32"/>
      <c r="N33" s="32"/>
      <c r="O33" s="32"/>
      <c r="P33" s="32"/>
      <c r="Q33" s="32"/>
    </row>
    <row r="34" spans="1:17">
      <c r="A34" s="32"/>
      <c r="B34" s="32"/>
      <c r="C34" s="32"/>
      <c r="D34" s="32"/>
      <c r="E34" s="32"/>
      <c r="F34" s="32"/>
      <c r="G34" s="32"/>
      <c r="H34" s="32"/>
      <c r="I34" s="32"/>
      <c r="J34" s="32"/>
      <c r="K34" s="32"/>
      <c r="L34" s="32"/>
      <c r="M34" s="32"/>
      <c r="N34" s="32"/>
      <c r="O34" s="32"/>
      <c r="P34" s="32"/>
      <c r="Q34" s="32"/>
    </row>
    <row r="35" spans="1:17">
      <c r="A35" s="32"/>
      <c r="B35" s="32"/>
      <c r="C35" s="32"/>
      <c r="D35" s="32"/>
      <c r="E35" s="32"/>
      <c r="F35" s="32"/>
      <c r="G35" s="32"/>
      <c r="H35" s="32"/>
      <c r="I35" s="32"/>
      <c r="J35" s="32"/>
      <c r="K35" s="32"/>
      <c r="L35" s="32"/>
      <c r="M35" s="32"/>
      <c r="N35" s="32"/>
      <c r="O35" s="32"/>
      <c r="P35" s="32"/>
      <c r="Q35" s="32"/>
    </row>
    <row r="36" spans="1:17">
      <c r="A36" s="32"/>
      <c r="B36" s="32"/>
      <c r="C36" s="32"/>
      <c r="D36" s="32"/>
      <c r="E36" s="32"/>
      <c r="F36" s="32"/>
      <c r="G36" s="32"/>
      <c r="H36" s="32"/>
      <c r="I36" s="32"/>
      <c r="J36" s="32"/>
      <c r="K36" s="32"/>
      <c r="L36" s="32"/>
      <c r="M36" s="32"/>
      <c r="N36" s="32"/>
      <c r="O36" s="32"/>
      <c r="P36" s="32"/>
      <c r="Q36" s="32"/>
    </row>
    <row r="37" spans="1:17">
      <c r="A37" s="32"/>
      <c r="B37" s="32"/>
      <c r="C37" s="32"/>
      <c r="D37" s="32"/>
      <c r="E37" s="32"/>
      <c r="F37" s="32"/>
      <c r="G37" s="32"/>
      <c r="H37" s="32"/>
      <c r="I37" s="32"/>
      <c r="J37" s="32"/>
      <c r="K37" s="32"/>
      <c r="L37" s="32"/>
      <c r="M37" s="32"/>
      <c r="N37" s="32"/>
      <c r="O37" s="32"/>
      <c r="P37" s="32"/>
      <c r="Q37" s="32"/>
    </row>
    <row r="38" spans="1:17" ht="15.75" thickBot="1">
      <c r="A38" s="32"/>
      <c r="B38" s="32"/>
      <c r="C38" s="32"/>
      <c r="D38" s="32"/>
      <c r="E38" s="32"/>
      <c r="F38" s="32"/>
      <c r="G38" s="32"/>
      <c r="H38" s="32"/>
      <c r="I38" s="32"/>
      <c r="J38" s="32"/>
      <c r="K38" s="32"/>
      <c r="L38" s="32"/>
      <c r="M38" s="32"/>
      <c r="N38" s="32"/>
      <c r="O38" s="32"/>
      <c r="P38" s="32"/>
      <c r="Q38" s="32"/>
    </row>
    <row r="39" spans="1:17" ht="26.25" thickBot="1">
      <c r="A39" s="32"/>
      <c r="B39" s="1325" t="s">
        <v>225</v>
      </c>
      <c r="C39" s="1326"/>
      <c r="D39" s="1326"/>
      <c r="E39" s="1326"/>
      <c r="F39" s="1326"/>
      <c r="G39" s="1327"/>
      <c r="H39" s="32"/>
      <c r="I39" s="1304" t="s">
        <v>226</v>
      </c>
      <c r="J39" s="1305"/>
      <c r="K39" s="32"/>
      <c r="L39" s="32"/>
      <c r="M39" s="32"/>
    </row>
    <row r="40" spans="1:17" ht="47.25">
      <c r="A40" s="32"/>
      <c r="B40" s="754" t="s">
        <v>114</v>
      </c>
      <c r="C40" s="715" t="s">
        <v>220</v>
      </c>
      <c r="D40" s="715" t="s">
        <v>221</v>
      </c>
      <c r="E40" s="715" t="s">
        <v>147</v>
      </c>
      <c r="F40" s="715" t="s">
        <v>222</v>
      </c>
      <c r="G40" s="755" t="s">
        <v>227</v>
      </c>
      <c r="H40" s="32"/>
      <c r="I40" s="73" t="s">
        <v>228</v>
      </c>
      <c r="J40" s="350">
        <f>SUMIF($F$41:$F$81,"&gt;0")</f>
        <v>0</v>
      </c>
      <c r="K40" s="32"/>
      <c r="L40" s="32"/>
      <c r="M40" s="32"/>
      <c r="N40" s="32"/>
      <c r="O40" s="32"/>
    </row>
    <row r="41" spans="1:17" ht="15.75" thickBot="1">
      <c r="A41" s="32"/>
      <c r="B41" s="271" t="str">
        <f>'G-2 Habitat groups'!AU30</f>
        <v>Grassland - Traditional orchards</v>
      </c>
      <c r="C41" s="272" t="str">
        <f>'G-2 Habitat groups'!AV30</f>
        <v>Grassland</v>
      </c>
      <c r="D41" s="346">
        <f>'G-2 Habitat groups'!BB30</f>
        <v>0</v>
      </c>
      <c r="E41" s="346">
        <f>'G-2 Habitat groups'!BD30</f>
        <v>0</v>
      </c>
      <c r="F41" s="346">
        <f>'G-2 Habitat groups'!BE30</f>
        <v>0</v>
      </c>
      <c r="G41" s="347" t="str">
        <f>'G-2 Habitat groups'!BF30</f>
        <v/>
      </c>
      <c r="H41" s="32"/>
      <c r="I41" s="74" t="s">
        <v>229</v>
      </c>
      <c r="J41" s="351">
        <f>G83</f>
        <v>0</v>
      </c>
      <c r="K41" s="32"/>
      <c r="L41" s="32"/>
      <c r="M41" s="32"/>
      <c r="N41" s="32"/>
      <c r="O41" s="32"/>
    </row>
    <row r="42" spans="1:17">
      <c r="A42" s="32"/>
      <c r="B42" s="271" t="str">
        <f>'G-2 Habitat groups'!AU31</f>
        <v>Grassland - Floodplain wetland mosaic and CFGM</v>
      </c>
      <c r="C42" s="272" t="str">
        <f>'G-2 Habitat groups'!AV31</f>
        <v>Grassland</v>
      </c>
      <c r="D42" s="346">
        <f>'G-2 Habitat groups'!BB31</f>
        <v>0</v>
      </c>
      <c r="E42" s="346">
        <f>'G-2 Habitat groups'!BD31</f>
        <v>0</v>
      </c>
      <c r="F42" s="346">
        <f>'G-2 Habitat groups'!BE31</f>
        <v>0</v>
      </c>
      <c r="G42" s="347" t="str">
        <f>'G-2 Habitat groups'!BF31</f>
        <v/>
      </c>
      <c r="H42" s="32"/>
      <c r="I42" s="32"/>
      <c r="J42" s="32"/>
      <c r="K42" s="32"/>
      <c r="L42" s="32"/>
      <c r="M42" s="32"/>
      <c r="N42" s="32"/>
      <c r="O42" s="32"/>
    </row>
    <row r="43" spans="1:17" ht="14.25" customHeight="1">
      <c r="A43" s="32"/>
      <c r="B43" s="271" t="str">
        <f>'G-2 Habitat groups'!AU32</f>
        <v>Grassland - Lowland calcareous grassland</v>
      </c>
      <c r="C43" s="272" t="str">
        <f>'G-2 Habitat groups'!AV32</f>
        <v>Grassland</v>
      </c>
      <c r="D43" s="346">
        <f>'G-2 Habitat groups'!BB32</f>
        <v>0</v>
      </c>
      <c r="E43" s="346">
        <f>'G-2 Habitat groups'!BD32</f>
        <v>0</v>
      </c>
      <c r="F43" s="346">
        <f>'G-2 Habitat groups'!BE32</f>
        <v>0</v>
      </c>
      <c r="G43" s="347" t="str">
        <f>'G-2 Habitat groups'!BF32</f>
        <v/>
      </c>
      <c r="H43" s="32"/>
      <c r="K43" s="32"/>
      <c r="L43" s="32"/>
      <c r="M43" s="32"/>
      <c r="N43" s="32"/>
    </row>
    <row r="44" spans="1:17" ht="15" customHeight="1">
      <c r="A44" s="32"/>
      <c r="B44" s="271" t="str">
        <f>'G-2 Habitat groups'!AU33</f>
        <v>Grassland - Tall herb communities (H6430)</v>
      </c>
      <c r="C44" s="272" t="str">
        <f>'G-2 Habitat groups'!AV33</f>
        <v>Grassland</v>
      </c>
      <c r="D44" s="346">
        <f>'G-2 Habitat groups'!BB33</f>
        <v>0</v>
      </c>
      <c r="E44" s="346">
        <f>'G-2 Habitat groups'!BD33</f>
        <v>0</v>
      </c>
      <c r="F44" s="346">
        <f>'G-2 Habitat groups'!BE33</f>
        <v>0</v>
      </c>
      <c r="G44" s="347" t="str">
        <f>'G-2 Habitat groups'!BF33</f>
        <v/>
      </c>
      <c r="H44" s="32"/>
      <c r="K44" s="32"/>
      <c r="L44" s="32"/>
      <c r="M44" s="32"/>
      <c r="N44" s="32"/>
    </row>
    <row r="45" spans="1:17" ht="15" customHeight="1">
      <c r="A45" s="32"/>
      <c r="B45" s="271" t="str">
        <f>'G-2 Habitat groups'!AU34</f>
        <v>Grassland - Upland calcareous grassland</v>
      </c>
      <c r="C45" s="272" t="str">
        <f>'G-2 Habitat groups'!AV34</f>
        <v>Grassland</v>
      </c>
      <c r="D45" s="346">
        <f>'G-2 Habitat groups'!BB34</f>
        <v>0</v>
      </c>
      <c r="E45" s="346">
        <f>'G-2 Habitat groups'!BD34</f>
        <v>0</v>
      </c>
      <c r="F45" s="346">
        <f>'G-2 Habitat groups'!BE34</f>
        <v>0</v>
      </c>
      <c r="G45" s="347" t="str">
        <f>'G-2 Habitat groups'!BF34</f>
        <v/>
      </c>
      <c r="H45" s="32"/>
      <c r="K45" s="32"/>
      <c r="L45" s="32"/>
      <c r="M45" s="32"/>
      <c r="N45" s="32"/>
    </row>
    <row r="46" spans="1:17" ht="15" customHeight="1">
      <c r="A46" s="32"/>
      <c r="B46" s="271" t="str">
        <f>'G-2 Habitat groups'!AU35</f>
        <v>Heathland and shrub - Lowland Heathland</v>
      </c>
      <c r="C46" s="272" t="str">
        <f>'G-2 Habitat groups'!AV35</f>
        <v>Heathland and shrub</v>
      </c>
      <c r="D46" s="346">
        <f>'G-2 Habitat groups'!BB35</f>
        <v>0</v>
      </c>
      <c r="E46" s="346">
        <f>'G-2 Habitat groups'!BD35</f>
        <v>0</v>
      </c>
      <c r="F46" s="346">
        <f>'G-2 Habitat groups'!BE35</f>
        <v>0</v>
      </c>
      <c r="G46" s="347" t="str">
        <f>'G-2 Habitat groups'!BF35</f>
        <v/>
      </c>
      <c r="H46" s="32"/>
      <c r="K46" s="32"/>
      <c r="L46" s="32"/>
      <c r="M46" s="32"/>
      <c r="N46" s="32"/>
    </row>
    <row r="47" spans="1:17" ht="15" customHeight="1">
      <c r="A47" s="32"/>
      <c r="B47" s="271" t="str">
        <f>'G-2 Habitat groups'!AU36</f>
        <v>Heathland and shrub - Dunes with sea buckthorn (H2160)</v>
      </c>
      <c r="C47" s="272" t="str">
        <f>'G-2 Habitat groups'!AV36</f>
        <v>Heathland and shrub</v>
      </c>
      <c r="D47" s="346">
        <f>'G-2 Habitat groups'!BB36</f>
        <v>0</v>
      </c>
      <c r="E47" s="346">
        <f>'G-2 Habitat groups'!BD36</f>
        <v>0</v>
      </c>
      <c r="F47" s="346">
        <f>'G-2 Habitat groups'!BE36</f>
        <v>0</v>
      </c>
      <c r="G47" s="347" t="str">
        <f>'G-2 Habitat groups'!BF36</f>
        <v/>
      </c>
      <c r="H47" s="32"/>
      <c r="I47" s="32"/>
      <c r="J47" s="32"/>
      <c r="K47" s="32"/>
      <c r="L47" s="32"/>
    </row>
    <row r="48" spans="1:17" ht="15" customHeight="1">
      <c r="A48" s="32"/>
      <c r="B48" s="271" t="str">
        <f>'G-2 Habitat groups'!AU37</f>
        <v>Heathland and shrub - Upland heathland</v>
      </c>
      <c r="C48" s="272" t="str">
        <f>'G-2 Habitat groups'!AV37</f>
        <v>Heathland and shrub</v>
      </c>
      <c r="D48" s="346">
        <f>'G-2 Habitat groups'!BB37</f>
        <v>0</v>
      </c>
      <c r="E48" s="346">
        <f>'G-2 Habitat groups'!BD37</f>
        <v>0</v>
      </c>
      <c r="F48" s="346">
        <f>'G-2 Habitat groups'!BE37</f>
        <v>0</v>
      </c>
      <c r="G48" s="347" t="str">
        <f>'G-2 Habitat groups'!BF37</f>
        <v/>
      </c>
      <c r="H48" s="32"/>
      <c r="I48" s="32"/>
      <c r="J48" s="32"/>
      <c r="K48" s="32"/>
      <c r="L48" s="32"/>
    </row>
    <row r="49" spans="1:15" ht="15" customHeight="1">
      <c r="A49" s="32"/>
      <c r="B49" s="271" t="str">
        <f>'G-2 Habitat groups'!AU39</f>
        <v>Lakes - High alkalinity lakes</v>
      </c>
      <c r="C49" s="272" t="str">
        <f>'G-2 Habitat groups'!AV39</f>
        <v>Lakes</v>
      </c>
      <c r="D49" s="346">
        <f>'G-2 Habitat groups'!BB39</f>
        <v>0</v>
      </c>
      <c r="E49" s="346">
        <f>'G-2 Habitat groups'!BD39</f>
        <v>0</v>
      </c>
      <c r="F49" s="346">
        <f>'G-2 Habitat groups'!BE39</f>
        <v>0</v>
      </c>
      <c r="G49" s="347" t="str">
        <f>'G-2 Habitat groups'!BF39</f>
        <v/>
      </c>
      <c r="H49" s="32"/>
      <c r="I49" s="32"/>
      <c r="J49" s="32"/>
      <c r="K49" s="32"/>
      <c r="L49" s="32"/>
    </row>
    <row r="50" spans="1:15" ht="15.75" customHeight="1">
      <c r="A50" s="32"/>
      <c r="B50" s="271" t="str">
        <f>'G-2 Habitat groups'!AU40</f>
        <v>Lakes - Low alkalinity lakes</v>
      </c>
      <c r="C50" s="272" t="str">
        <f>'G-2 Habitat groups'!AV40</f>
        <v>Lakes</v>
      </c>
      <c r="D50" s="346">
        <f>'G-2 Habitat groups'!BB40</f>
        <v>0</v>
      </c>
      <c r="E50" s="346">
        <f>'G-2 Habitat groups'!BD40</f>
        <v>0</v>
      </c>
      <c r="F50" s="346">
        <f>'G-2 Habitat groups'!BE40</f>
        <v>0</v>
      </c>
      <c r="G50" s="347" t="str">
        <f>'G-2 Habitat groups'!BF40</f>
        <v/>
      </c>
      <c r="H50" s="32"/>
      <c r="I50" s="32"/>
      <c r="J50" s="32"/>
      <c r="K50" s="32"/>
      <c r="L50" s="32"/>
    </row>
    <row r="51" spans="1:15">
      <c r="A51" s="32"/>
      <c r="B51" s="271" t="str">
        <f>'G-2 Habitat groups'!AU41</f>
        <v>Lakes - Marl lakes</v>
      </c>
      <c r="C51" s="272" t="str">
        <f>'G-2 Habitat groups'!AV41</f>
        <v>Lakes</v>
      </c>
      <c r="D51" s="346">
        <f>'G-2 Habitat groups'!BB41</f>
        <v>0</v>
      </c>
      <c r="E51" s="346">
        <f>'G-2 Habitat groups'!BD41</f>
        <v>0</v>
      </c>
      <c r="F51" s="346">
        <f>'G-2 Habitat groups'!BE41</f>
        <v>0</v>
      </c>
      <c r="G51" s="347" t="str">
        <f>'G-2 Habitat groups'!BF41</f>
        <v/>
      </c>
      <c r="H51" s="32"/>
      <c r="I51" s="32"/>
      <c r="J51" s="32"/>
      <c r="K51" s="32"/>
      <c r="L51" s="32"/>
      <c r="M51" s="32"/>
    </row>
    <row r="52" spans="1:15">
      <c r="A52" s="32"/>
      <c r="B52" s="271" t="str">
        <f>'G-2 Habitat groups'!AU42</f>
        <v>Lakes - Moderate alkalinity lakes</v>
      </c>
      <c r="C52" s="272" t="str">
        <f>'G-2 Habitat groups'!AV42</f>
        <v>Lakes</v>
      </c>
      <c r="D52" s="346">
        <f>'G-2 Habitat groups'!BB42</f>
        <v>0</v>
      </c>
      <c r="E52" s="346">
        <f>'G-2 Habitat groups'!BD42</f>
        <v>0</v>
      </c>
      <c r="F52" s="346">
        <f>'G-2 Habitat groups'!BE42</f>
        <v>0</v>
      </c>
      <c r="G52" s="347" t="str">
        <f>'G-2 Habitat groups'!BF42</f>
        <v/>
      </c>
      <c r="H52" s="32"/>
      <c r="I52" s="32"/>
      <c r="J52" s="32"/>
      <c r="K52" s="32"/>
      <c r="L52" s="32"/>
      <c r="M52" s="32"/>
    </row>
    <row r="53" spans="1:15">
      <c r="A53" s="32"/>
      <c r="B53" s="271" t="str">
        <f>'G-2 Habitat groups'!AU43</f>
        <v>Lakes - Peat lakes</v>
      </c>
      <c r="C53" s="272" t="str">
        <f>'G-2 Habitat groups'!AV43</f>
        <v>Lakes</v>
      </c>
      <c r="D53" s="346">
        <f>'G-2 Habitat groups'!BB43</f>
        <v>0</v>
      </c>
      <c r="E53" s="346">
        <f>'G-2 Habitat groups'!BD43</f>
        <v>0</v>
      </c>
      <c r="F53" s="346">
        <f>'G-2 Habitat groups'!BE43</f>
        <v>0</v>
      </c>
      <c r="G53" s="347" t="str">
        <f>'G-2 Habitat groups'!BF43</f>
        <v/>
      </c>
      <c r="H53" s="32"/>
      <c r="I53" s="32"/>
      <c r="J53" s="32"/>
      <c r="K53" s="32"/>
      <c r="L53" s="32"/>
      <c r="M53" s="32"/>
    </row>
    <row r="54" spans="1:15">
      <c r="A54" s="32"/>
      <c r="B54" s="271" t="str">
        <f>'G-2 Habitat groups'!AU44</f>
        <v>Lakes - Ponds (priority habitat)</v>
      </c>
      <c r="C54" s="272" t="str">
        <f>'G-2 Habitat groups'!AV44</f>
        <v>Lakes</v>
      </c>
      <c r="D54" s="346">
        <f>'G-2 Habitat groups'!BB44</f>
        <v>0</v>
      </c>
      <c r="E54" s="346">
        <f>'G-2 Habitat groups'!BD44</f>
        <v>0</v>
      </c>
      <c r="F54" s="346">
        <f>'G-2 Habitat groups'!BE44</f>
        <v>0</v>
      </c>
      <c r="G54" s="347" t="str">
        <f>'G-2 Habitat groups'!BF44</f>
        <v/>
      </c>
      <c r="H54" s="32"/>
      <c r="I54" s="32"/>
      <c r="J54" s="32"/>
      <c r="K54" s="32"/>
      <c r="L54" s="32"/>
      <c r="M54" s="32"/>
    </row>
    <row r="55" spans="1:15" ht="15" customHeight="1">
      <c r="A55" s="32"/>
      <c r="B55" s="271" t="str">
        <f>'G-2 Habitat groups'!AU45</f>
        <v>Lakes - Temporary lakes ponds and pools (H3170)</v>
      </c>
      <c r="C55" s="272" t="str">
        <f>'G-2 Habitat groups'!AV45</f>
        <v>Lakes</v>
      </c>
      <c r="D55" s="346">
        <f>'G-2 Habitat groups'!BB45</f>
        <v>0</v>
      </c>
      <c r="E55" s="346">
        <f>'G-2 Habitat groups'!BD45</f>
        <v>0</v>
      </c>
      <c r="F55" s="346">
        <f>'G-2 Habitat groups'!BE45</f>
        <v>0</v>
      </c>
      <c r="G55" s="347" t="str">
        <f>'G-2 Habitat groups'!BF45</f>
        <v/>
      </c>
      <c r="H55" s="32"/>
      <c r="I55" s="32"/>
      <c r="J55" s="32"/>
      <c r="K55" s="32"/>
      <c r="L55" s="32"/>
      <c r="M55" s="32"/>
    </row>
    <row r="56" spans="1:15" ht="15" customHeight="1">
      <c r="A56" s="32"/>
      <c r="B56" s="271" t="str">
        <f>'G-2 Habitat groups'!AU46</f>
        <v>Sparsely vegetated land - Coastal sand dunes</v>
      </c>
      <c r="C56" s="272" t="str">
        <f>'G-2 Habitat groups'!AV46</f>
        <v>Sparsely vegetated land</v>
      </c>
      <c r="D56" s="346">
        <f>'G-2 Habitat groups'!BB46</f>
        <v>0</v>
      </c>
      <c r="E56" s="346">
        <f>'G-2 Habitat groups'!BD46</f>
        <v>0</v>
      </c>
      <c r="F56" s="346">
        <f>'G-2 Habitat groups'!BE46</f>
        <v>0</v>
      </c>
      <c r="G56" s="347" t="str">
        <f>'G-2 Habitat groups'!BF46</f>
        <v/>
      </c>
      <c r="H56" s="32"/>
      <c r="I56" s="32"/>
      <c r="J56" s="32"/>
      <c r="K56" s="32"/>
      <c r="L56" s="32"/>
    </row>
    <row r="57" spans="1:15">
      <c r="A57" s="32"/>
      <c r="B57" s="271" t="str">
        <f>'G-2 Habitat groups'!AU47</f>
        <v>Sparsely vegetated land - Coastal vegetated shingle</v>
      </c>
      <c r="C57" s="272" t="str">
        <f>'G-2 Habitat groups'!AV47</f>
        <v>Sparsely vegetated land</v>
      </c>
      <c r="D57" s="346">
        <f>'G-2 Habitat groups'!BB47</f>
        <v>0</v>
      </c>
      <c r="E57" s="346">
        <f>'G-2 Habitat groups'!BD47</f>
        <v>0</v>
      </c>
      <c r="F57" s="346">
        <f>'G-2 Habitat groups'!BE47</f>
        <v>0</v>
      </c>
      <c r="G57" s="347" t="str">
        <f>'G-2 Habitat groups'!BF47</f>
        <v/>
      </c>
      <c r="H57" s="32"/>
      <c r="I57" s="32"/>
      <c r="J57" s="32"/>
      <c r="K57" s="32"/>
      <c r="L57" s="32"/>
    </row>
    <row r="58" spans="1:15">
      <c r="A58" s="32"/>
      <c r="B58" s="271" t="str">
        <f>'G-2 Habitat groups'!AU48</f>
        <v>Sparsely vegetated land - Inland rock outcrop and scree habitats</v>
      </c>
      <c r="C58" s="272" t="str">
        <f>'G-2 Habitat groups'!AV48</f>
        <v>Sparsely vegetated land</v>
      </c>
      <c r="D58" s="346">
        <f>'G-2 Habitat groups'!BB48</f>
        <v>0</v>
      </c>
      <c r="E58" s="346">
        <f>'G-2 Habitat groups'!BD48</f>
        <v>0</v>
      </c>
      <c r="F58" s="346">
        <f>'G-2 Habitat groups'!BE48</f>
        <v>0</v>
      </c>
      <c r="G58" s="347" t="str">
        <f>'G-2 Habitat groups'!BF48</f>
        <v/>
      </c>
      <c r="H58" s="32"/>
      <c r="I58" s="32"/>
      <c r="J58" s="32"/>
      <c r="K58" s="32"/>
      <c r="L58" s="32"/>
      <c r="M58" s="32"/>
      <c r="N58" s="32"/>
      <c r="O58" s="32"/>
    </row>
    <row r="59" spans="1:15">
      <c r="A59" s="32"/>
      <c r="B59" s="271" t="str">
        <f>'G-2 Habitat groups'!AU49</f>
        <v>Sparsely vegetated land - Maritime cliff and slopes</v>
      </c>
      <c r="C59" s="272" t="str">
        <f>'G-2 Habitat groups'!AV49</f>
        <v>Sparsely vegetated land</v>
      </c>
      <c r="D59" s="346">
        <f>'G-2 Habitat groups'!BB49</f>
        <v>0</v>
      </c>
      <c r="E59" s="346">
        <f>'G-2 Habitat groups'!BD49</f>
        <v>0</v>
      </c>
      <c r="F59" s="346">
        <f>'G-2 Habitat groups'!BE49</f>
        <v>0</v>
      </c>
      <c r="G59" s="347" t="str">
        <f>'G-2 Habitat groups'!BF49</f>
        <v/>
      </c>
      <c r="H59" s="32"/>
      <c r="I59" s="32"/>
      <c r="J59" s="32"/>
      <c r="K59" s="32"/>
      <c r="L59" s="32"/>
      <c r="M59" s="32"/>
      <c r="N59" s="32"/>
      <c r="O59" s="32"/>
    </row>
    <row r="60" spans="1:15">
      <c r="A60" s="32"/>
      <c r="B60" s="271" t="str">
        <f>'G-2 Habitat groups'!AU50</f>
        <v>Urban - Open mosaic habitats on previously developed land</v>
      </c>
      <c r="C60" s="272" t="str">
        <f>'G-2 Habitat groups'!AV50</f>
        <v>Urban</v>
      </c>
      <c r="D60" s="346">
        <f>'G-2 Habitat groups'!BB50</f>
        <v>0</v>
      </c>
      <c r="E60" s="346">
        <f>'G-2 Habitat groups'!BD50</f>
        <v>0</v>
      </c>
      <c r="F60" s="346">
        <f>'G-2 Habitat groups'!BE50</f>
        <v>0</v>
      </c>
      <c r="G60" s="347" t="str">
        <f>'G-2 Habitat groups'!BF50</f>
        <v/>
      </c>
      <c r="H60" s="32"/>
      <c r="K60" s="32"/>
      <c r="L60" s="32"/>
      <c r="M60" s="32"/>
      <c r="N60" s="32"/>
      <c r="O60" s="32"/>
    </row>
    <row r="61" spans="1:15">
      <c r="A61" s="32"/>
      <c r="B61" s="271" t="str">
        <f>'G-2 Habitat groups'!AU51</f>
        <v>Wetland - Reedbeds</v>
      </c>
      <c r="C61" s="272" t="str">
        <f>'G-2 Habitat groups'!AV51</f>
        <v>Wetland</v>
      </c>
      <c r="D61" s="346">
        <f>'G-2 Habitat groups'!BB51</f>
        <v>0</v>
      </c>
      <c r="E61" s="346">
        <f>'G-2 Habitat groups'!BD51</f>
        <v>0</v>
      </c>
      <c r="F61" s="346">
        <f>'G-2 Habitat groups'!BE51</f>
        <v>0</v>
      </c>
      <c r="G61" s="347" t="str">
        <f>'G-2 Habitat groups'!BF51</f>
        <v/>
      </c>
      <c r="H61" s="32"/>
      <c r="K61" s="32"/>
      <c r="L61" s="32"/>
      <c r="M61" s="32"/>
      <c r="N61" s="32"/>
      <c r="O61" s="32"/>
    </row>
    <row r="62" spans="1:15">
      <c r="A62" s="32"/>
      <c r="B62" s="271" t="str">
        <f>'G-2 Habitat groups'!AU52</f>
        <v>Woodland and forest - Felled</v>
      </c>
      <c r="C62" s="272" t="str">
        <f>'G-2 Habitat groups'!AV52</f>
        <v>Woodland and forest</v>
      </c>
      <c r="D62" s="346">
        <f>'G-2 Habitat groups'!BB52</f>
        <v>0</v>
      </c>
      <c r="E62" s="346">
        <f>'G-2 Habitat groups'!BD52</f>
        <v>0</v>
      </c>
      <c r="F62" s="346">
        <f>'G-2 Habitat groups'!BE52</f>
        <v>0</v>
      </c>
      <c r="G62" s="347" t="str">
        <f>'G-2 Habitat groups'!BF52</f>
        <v/>
      </c>
      <c r="H62" s="32"/>
      <c r="K62" s="32"/>
      <c r="L62" s="32"/>
      <c r="M62" s="32"/>
      <c r="N62" s="32"/>
      <c r="O62" s="32"/>
    </row>
    <row r="63" spans="1:15">
      <c r="A63" s="32"/>
      <c r="B63" s="271" t="str">
        <f>'G-2 Habitat groups'!AU53</f>
        <v>Woodland and forest - Lowland beech and yew woodland</v>
      </c>
      <c r="C63" s="272" t="str">
        <f>'G-2 Habitat groups'!AV53</f>
        <v>Woodland and forest</v>
      </c>
      <c r="D63" s="346">
        <f>'G-2 Habitat groups'!BB53</f>
        <v>0</v>
      </c>
      <c r="E63" s="346">
        <f>'G-2 Habitat groups'!BD53</f>
        <v>0</v>
      </c>
      <c r="F63" s="346">
        <f>'G-2 Habitat groups'!BE53</f>
        <v>0</v>
      </c>
      <c r="G63" s="347" t="str">
        <f>'G-2 Habitat groups'!BF53</f>
        <v/>
      </c>
      <c r="H63" s="32"/>
      <c r="I63" s="32"/>
      <c r="J63" s="32"/>
      <c r="K63" s="32"/>
      <c r="L63" s="32"/>
      <c r="M63" s="32"/>
      <c r="N63" s="32"/>
      <c r="O63" s="32"/>
    </row>
    <row r="64" spans="1:15">
      <c r="A64" s="32"/>
      <c r="B64" s="271" t="str">
        <f>'G-2 Habitat groups'!AU54</f>
        <v>Woodland and forest - Lowland mixed deciduous woodland</v>
      </c>
      <c r="C64" s="272" t="str">
        <f>'G-2 Habitat groups'!AV54</f>
        <v>Woodland and forest</v>
      </c>
      <c r="D64" s="346">
        <f>'G-2 Habitat groups'!BB54</f>
        <v>0</v>
      </c>
      <c r="E64" s="346">
        <f>'G-2 Habitat groups'!BD54</f>
        <v>0</v>
      </c>
      <c r="F64" s="346">
        <f>'G-2 Habitat groups'!BE54</f>
        <v>0</v>
      </c>
      <c r="G64" s="347" t="str">
        <f>'G-2 Habitat groups'!BF54</f>
        <v/>
      </c>
      <c r="H64" s="32"/>
      <c r="I64" s="32"/>
      <c r="J64" s="32"/>
      <c r="K64" s="32"/>
      <c r="L64" s="32"/>
      <c r="M64" s="32"/>
      <c r="N64" s="32"/>
      <c r="O64" s="32"/>
    </row>
    <row r="65" spans="1:15">
      <c r="A65" s="32"/>
      <c r="B65" s="271" t="str">
        <f>'G-2 Habitat groups'!AU56</f>
        <v>Woodland and forest - Native pine woodlands</v>
      </c>
      <c r="C65" s="272" t="str">
        <f>'G-2 Habitat groups'!AV56</f>
        <v>Woodland and forest</v>
      </c>
      <c r="D65" s="346">
        <f>'G-2 Habitat groups'!BB56</f>
        <v>0</v>
      </c>
      <c r="E65" s="346">
        <f>'G-2 Habitat groups'!BD56</f>
        <v>0</v>
      </c>
      <c r="F65" s="346">
        <f>'G-2 Habitat groups'!BE56</f>
        <v>0</v>
      </c>
      <c r="G65" s="347" t="str">
        <f>'G-2 Habitat groups'!BF56</f>
        <v/>
      </c>
      <c r="H65" s="32"/>
      <c r="I65" s="32"/>
      <c r="J65" s="32"/>
      <c r="K65" s="32"/>
      <c r="L65" s="32"/>
      <c r="M65" s="32"/>
      <c r="N65" s="32"/>
      <c r="O65" s="32"/>
    </row>
    <row r="66" spans="1:15">
      <c r="A66" s="32"/>
      <c r="B66" s="271" t="str">
        <f>'G-2 Habitat groups'!AU57</f>
        <v>Woodland and forest - Upland birchwoods</v>
      </c>
      <c r="C66" s="272" t="str">
        <f>'G-2 Habitat groups'!AV57</f>
        <v>Woodland and forest</v>
      </c>
      <c r="D66" s="346">
        <f>'G-2 Habitat groups'!BB57</f>
        <v>0</v>
      </c>
      <c r="E66" s="346">
        <f>'G-2 Habitat groups'!BD57</f>
        <v>0</v>
      </c>
      <c r="F66" s="346">
        <f>'G-2 Habitat groups'!BE57</f>
        <v>0</v>
      </c>
      <c r="G66" s="347" t="str">
        <f>'G-2 Habitat groups'!BF57</f>
        <v/>
      </c>
      <c r="H66" s="32"/>
      <c r="I66" s="32"/>
      <c r="J66" s="32"/>
      <c r="K66" s="32"/>
      <c r="L66" s="32"/>
      <c r="M66" s="32"/>
      <c r="N66" s="32"/>
      <c r="O66" s="32"/>
    </row>
    <row r="67" spans="1:15">
      <c r="A67" s="32"/>
      <c r="B67" s="271" t="str">
        <f>'G-2 Habitat groups'!AU58</f>
        <v>Woodland and forest - Upland mixed ashwoods</v>
      </c>
      <c r="C67" s="272" t="str">
        <f>'G-2 Habitat groups'!AV58</f>
        <v>Woodland and forest</v>
      </c>
      <c r="D67" s="346">
        <f>'G-2 Habitat groups'!BB58</f>
        <v>0</v>
      </c>
      <c r="E67" s="346">
        <f>'G-2 Habitat groups'!BD58</f>
        <v>0</v>
      </c>
      <c r="F67" s="346">
        <f>'G-2 Habitat groups'!BE58</f>
        <v>0</v>
      </c>
      <c r="G67" s="347" t="str">
        <f>'G-2 Habitat groups'!BF58</f>
        <v/>
      </c>
      <c r="H67" s="32"/>
      <c r="I67" s="32"/>
      <c r="J67" s="32"/>
      <c r="K67" s="32"/>
      <c r="L67" s="32"/>
      <c r="M67" s="32"/>
      <c r="N67" s="32"/>
      <c r="O67" s="32"/>
    </row>
    <row r="68" spans="1:15">
      <c r="A68" s="32"/>
      <c r="B68" s="271" t="str">
        <f>'G-2 Habitat groups'!AU59</f>
        <v>Woodland and forest - Upland oakwood</v>
      </c>
      <c r="C68" s="272" t="str">
        <f>'G-2 Habitat groups'!AV59</f>
        <v>Woodland and forest</v>
      </c>
      <c r="D68" s="346">
        <f>'G-2 Habitat groups'!BB59</f>
        <v>0</v>
      </c>
      <c r="E68" s="346">
        <f>'G-2 Habitat groups'!BD59</f>
        <v>0</v>
      </c>
      <c r="F68" s="346">
        <f>'G-2 Habitat groups'!BE59</f>
        <v>0</v>
      </c>
      <c r="G68" s="347" t="str">
        <f>'G-2 Habitat groups'!BF59</f>
        <v/>
      </c>
      <c r="H68" s="32"/>
      <c r="I68" s="32"/>
      <c r="J68" s="32"/>
      <c r="K68" s="32"/>
      <c r="L68" s="32"/>
      <c r="M68" s="32"/>
      <c r="N68" s="32"/>
      <c r="O68" s="32"/>
    </row>
    <row r="69" spans="1:15" ht="14.65" customHeight="1">
      <c r="A69" s="32"/>
      <c r="B69" s="271" t="str">
        <f>'G-2 Habitat groups'!AU60</f>
        <v>Woodland and forest - Wet woodland</v>
      </c>
      <c r="C69" s="272" t="str">
        <f>'G-2 Habitat groups'!AV60</f>
        <v>Woodland and forest</v>
      </c>
      <c r="D69" s="346">
        <f>'G-2 Habitat groups'!BB60</f>
        <v>0</v>
      </c>
      <c r="E69" s="346">
        <f>'G-2 Habitat groups'!BD60</f>
        <v>0</v>
      </c>
      <c r="F69" s="346">
        <f>'G-2 Habitat groups'!BE60</f>
        <v>0</v>
      </c>
      <c r="G69" s="347" t="str">
        <f>'G-2 Habitat groups'!BF60</f>
        <v/>
      </c>
      <c r="H69" s="32"/>
      <c r="I69" s="32"/>
      <c r="J69" s="32"/>
      <c r="K69" s="32"/>
      <c r="L69" s="32"/>
      <c r="M69" s="32"/>
      <c r="N69" s="32"/>
      <c r="O69" s="32"/>
    </row>
    <row r="70" spans="1:15">
      <c r="A70" s="32"/>
      <c r="B70" s="271" t="str">
        <f>'G-2 Habitat groups'!AU61</f>
        <v>Coastal lagoons - Coastal lagoons</v>
      </c>
      <c r="C70" s="272" t="str">
        <f>'G-2 Habitat groups'!AV61</f>
        <v>Coastal lagoons</v>
      </c>
      <c r="D70" s="346">
        <f>'G-2 Habitat groups'!BB61</f>
        <v>0</v>
      </c>
      <c r="E70" s="346">
        <f>'G-2 Habitat groups'!BD61</f>
        <v>0</v>
      </c>
      <c r="F70" s="346">
        <f>'G-2 Habitat groups'!BE61</f>
        <v>0</v>
      </c>
      <c r="G70" s="347" t="str">
        <f>'G-2 Habitat groups'!BF61</f>
        <v/>
      </c>
      <c r="H70" s="32"/>
      <c r="I70" s="32"/>
      <c r="J70" s="32"/>
      <c r="K70" s="32"/>
      <c r="L70" s="32"/>
      <c r="M70" s="32"/>
      <c r="N70" s="32"/>
      <c r="O70" s="32"/>
    </row>
    <row r="71" spans="1:15">
      <c r="A71" s="32"/>
      <c r="B71" s="271" t="str">
        <f>'G-2 Habitat groups'!AU62</f>
        <v>Rocky shore - High energy littoral rock</v>
      </c>
      <c r="C71" s="272" t="str">
        <f>'G-2 Habitat groups'!AV62</f>
        <v>Rocky shore</v>
      </c>
      <c r="D71" s="346">
        <f>'G-2 Habitat groups'!BB62</f>
        <v>0</v>
      </c>
      <c r="E71" s="346">
        <f>'G-2 Habitat groups'!BD62</f>
        <v>0</v>
      </c>
      <c r="F71" s="346">
        <f>'G-2 Habitat groups'!BE62</f>
        <v>0</v>
      </c>
      <c r="G71" s="347" t="str">
        <f>'G-2 Habitat groups'!BF62</f>
        <v/>
      </c>
      <c r="H71" s="32"/>
      <c r="I71" s="32"/>
      <c r="J71" s="32"/>
      <c r="K71" s="32"/>
      <c r="L71" s="32"/>
      <c r="M71" s="32"/>
      <c r="N71" s="32"/>
      <c r="O71" s="32"/>
    </row>
    <row r="72" spans="1:15">
      <c r="A72" s="32"/>
      <c r="B72" s="271" t="str">
        <f>'G-2 Habitat groups'!AU63</f>
        <v>Rocky shore - Moderate energy littoral rock</v>
      </c>
      <c r="C72" s="272" t="str">
        <f>'G-2 Habitat groups'!AV63</f>
        <v>Rocky shore</v>
      </c>
      <c r="D72" s="346">
        <f>'G-2 Habitat groups'!BB63</f>
        <v>0</v>
      </c>
      <c r="E72" s="346">
        <f>'G-2 Habitat groups'!BD63</f>
        <v>0</v>
      </c>
      <c r="F72" s="346">
        <f>'G-2 Habitat groups'!BE63</f>
        <v>0</v>
      </c>
      <c r="G72" s="347" t="str">
        <f>'G-2 Habitat groups'!BF63</f>
        <v/>
      </c>
      <c r="H72" s="32"/>
      <c r="I72" s="32"/>
      <c r="J72" s="32"/>
      <c r="K72" s="32"/>
      <c r="L72" s="32"/>
      <c r="M72" s="32"/>
      <c r="N72" s="32"/>
      <c r="O72" s="32"/>
    </row>
    <row r="73" spans="1:15">
      <c r="A73" s="32"/>
      <c r="B73" s="271" t="str">
        <f>'G-2 Habitat groups'!AU64</f>
        <v>Rocky shore - Low energy littoral rock</v>
      </c>
      <c r="C73" s="272" t="str">
        <f>'G-2 Habitat groups'!AV64</f>
        <v>Rocky shore</v>
      </c>
      <c r="D73" s="346">
        <f>'G-2 Habitat groups'!BB64</f>
        <v>0</v>
      </c>
      <c r="E73" s="346">
        <f>'G-2 Habitat groups'!BD64</f>
        <v>0</v>
      </c>
      <c r="F73" s="346">
        <f>'G-2 Habitat groups'!BE64</f>
        <v>0</v>
      </c>
      <c r="G73" s="347" t="str">
        <f>'G-2 Habitat groups'!BF64</f>
        <v/>
      </c>
      <c r="H73" s="32"/>
      <c r="I73" s="32"/>
      <c r="J73" s="32"/>
      <c r="K73" s="32"/>
      <c r="L73" s="32"/>
      <c r="M73" s="32"/>
      <c r="N73" s="32"/>
      <c r="O73" s="32"/>
    </row>
    <row r="74" spans="1:15">
      <c r="A74" s="32"/>
      <c r="B74" s="271" t="str">
        <f>'G-2 Habitat groups'!AU65</f>
        <v>Rocky shore - Features of littoral rock</v>
      </c>
      <c r="C74" s="272" t="str">
        <f>'G-2 Habitat groups'!AV65</f>
        <v>Rocky shore</v>
      </c>
      <c r="D74" s="346">
        <f>'G-2 Habitat groups'!BB65</f>
        <v>0</v>
      </c>
      <c r="E74" s="346">
        <f>'G-2 Habitat groups'!BD65</f>
        <v>0</v>
      </c>
      <c r="F74" s="346">
        <f>'G-2 Habitat groups'!BE65</f>
        <v>0</v>
      </c>
      <c r="G74" s="347" t="str">
        <f>'G-2 Habitat groups'!BF65</f>
        <v/>
      </c>
      <c r="H74" s="32"/>
      <c r="I74" s="32"/>
      <c r="J74" s="32"/>
      <c r="K74" s="32"/>
      <c r="L74" s="32"/>
      <c r="M74" s="32"/>
      <c r="N74" s="32"/>
      <c r="O74" s="32"/>
    </row>
    <row r="75" spans="1:15">
      <c r="A75" s="32"/>
      <c r="B75" s="271" t="str">
        <f>'G-2 Habitat groups'!AU66</f>
        <v>Intertidal sediment - Littoral mud</v>
      </c>
      <c r="C75" s="272" t="str">
        <f>'G-2 Habitat groups'!AV66</f>
        <v>Intertidal sediment</v>
      </c>
      <c r="D75" s="346">
        <f>'G-2 Habitat groups'!BB66</f>
        <v>0</v>
      </c>
      <c r="E75" s="346">
        <f>'G-2 Habitat groups'!BD66</f>
        <v>0</v>
      </c>
      <c r="F75" s="346">
        <f>'G-2 Habitat groups'!BE66</f>
        <v>0</v>
      </c>
      <c r="G75" s="347" t="str">
        <f>'G-2 Habitat groups'!BF66</f>
        <v/>
      </c>
      <c r="H75" s="32"/>
      <c r="I75" s="32"/>
      <c r="J75" s="32"/>
      <c r="K75" s="32"/>
      <c r="L75" s="32"/>
      <c r="M75" s="32"/>
      <c r="N75" s="32"/>
      <c r="O75" s="32"/>
    </row>
    <row r="76" spans="1:15">
      <c r="A76" s="32"/>
      <c r="B76" s="271" t="str">
        <f>'G-2 Habitat groups'!AU67</f>
        <v>Intertidal sediment - Littoral mixed sediments</v>
      </c>
      <c r="C76" s="272" t="str">
        <f>'G-2 Habitat groups'!AV67</f>
        <v>Intertidal sediment</v>
      </c>
      <c r="D76" s="346">
        <f>'G-2 Habitat groups'!BB67</f>
        <v>0</v>
      </c>
      <c r="E76" s="346">
        <f>'G-2 Habitat groups'!BD67</f>
        <v>0</v>
      </c>
      <c r="F76" s="346">
        <f>'G-2 Habitat groups'!BE67</f>
        <v>0</v>
      </c>
      <c r="G76" s="347" t="str">
        <f>'G-2 Habitat groups'!BF67</f>
        <v/>
      </c>
      <c r="H76" s="32"/>
      <c r="I76" s="32"/>
      <c r="J76" s="32"/>
      <c r="K76" s="32"/>
      <c r="L76" s="32"/>
      <c r="M76" s="32"/>
      <c r="N76" s="32"/>
      <c r="O76" s="32"/>
    </row>
    <row r="77" spans="1:15">
      <c r="A77" s="32"/>
      <c r="B77" s="271" t="str">
        <f>'G-2 Habitat groups'!AU68</f>
        <v>Coastal saltmarsh - Saltmarshes and saline reedbeds</v>
      </c>
      <c r="C77" s="272" t="str">
        <f>'G-2 Habitat groups'!AV68</f>
        <v>Coastal saltmarsh</v>
      </c>
      <c r="D77" s="346">
        <f>'G-2 Habitat groups'!BB68</f>
        <v>0</v>
      </c>
      <c r="E77" s="346">
        <f>'G-2 Habitat groups'!BD68</f>
        <v>0</v>
      </c>
      <c r="F77" s="346">
        <f>'G-2 Habitat groups'!BE68</f>
        <v>0</v>
      </c>
      <c r="G77" s="347" t="str">
        <f>'G-2 Habitat groups'!BF68</f>
        <v/>
      </c>
      <c r="H77" s="32"/>
      <c r="I77" s="32"/>
      <c r="J77" s="32"/>
      <c r="K77" s="32"/>
      <c r="L77" s="32"/>
      <c r="M77" s="32"/>
      <c r="N77" s="32"/>
      <c r="O77" s="32"/>
    </row>
    <row r="78" spans="1:15">
      <c r="A78" s="32"/>
      <c r="B78" s="271" t="str">
        <f>'G-2 Habitat groups'!AU69</f>
        <v>Intertidal sediment - Littoral biogenic reefs - Mussels</v>
      </c>
      <c r="C78" s="272" t="str">
        <f>'G-2 Habitat groups'!AV69</f>
        <v>Intertidal sediment</v>
      </c>
      <c r="D78" s="346">
        <f>'G-2 Habitat groups'!BB69</f>
        <v>0</v>
      </c>
      <c r="E78" s="346">
        <f>'G-2 Habitat groups'!BD69</f>
        <v>0</v>
      </c>
      <c r="F78" s="346">
        <f>'G-2 Habitat groups'!BE69</f>
        <v>0</v>
      </c>
      <c r="G78" s="347" t="str">
        <f>'G-2 Habitat groups'!BF69</f>
        <v/>
      </c>
      <c r="H78" s="32"/>
      <c r="I78" s="32"/>
      <c r="J78" s="32"/>
      <c r="K78" s="32"/>
      <c r="L78" s="32"/>
      <c r="M78" s="32"/>
      <c r="N78" s="32"/>
      <c r="O78" s="32"/>
    </row>
    <row r="79" spans="1:15">
      <c r="A79" s="32"/>
      <c r="B79" s="271" t="str">
        <f>'G-2 Habitat groups'!AU70</f>
        <v>Intertidal sediment - Littoral biogenic reefs - Sabellaria</v>
      </c>
      <c r="C79" s="272" t="str">
        <f>'G-2 Habitat groups'!AV70</f>
        <v>Intertidal sediment</v>
      </c>
      <c r="D79" s="346">
        <f>'G-2 Habitat groups'!BB70</f>
        <v>0</v>
      </c>
      <c r="E79" s="346">
        <f>'G-2 Habitat groups'!BD70</f>
        <v>0</v>
      </c>
      <c r="F79" s="346">
        <f>'G-2 Habitat groups'!BE70</f>
        <v>0</v>
      </c>
      <c r="G79" s="347" t="str">
        <f>'G-2 Habitat groups'!BF70</f>
        <v/>
      </c>
      <c r="H79" s="32"/>
      <c r="I79" s="32"/>
      <c r="J79" s="32"/>
      <c r="K79" s="32"/>
      <c r="L79" s="32"/>
      <c r="M79" s="32"/>
      <c r="N79" s="32"/>
      <c r="O79" s="32"/>
    </row>
    <row r="80" spans="1:15">
      <c r="A80" s="32"/>
      <c r="B80" s="271" t="str">
        <f>'G-2 Habitat groups'!AU71</f>
        <v>Intertidal sediment - Features of littoral sediment</v>
      </c>
      <c r="C80" s="272" t="str">
        <f>'G-2 Habitat groups'!AV71</f>
        <v>Intertidal sediment</v>
      </c>
      <c r="D80" s="346">
        <f>'G-2 Habitat groups'!BB71</f>
        <v>0</v>
      </c>
      <c r="E80" s="346">
        <f>'G-2 Habitat groups'!BD71</f>
        <v>0</v>
      </c>
      <c r="F80" s="346">
        <f>'G-2 Habitat groups'!BE71</f>
        <v>0</v>
      </c>
      <c r="G80" s="347" t="str">
        <f>'G-2 Habitat groups'!BF71</f>
        <v/>
      </c>
      <c r="H80" s="32"/>
      <c r="I80" s="32"/>
      <c r="J80" s="32"/>
      <c r="K80" s="32"/>
      <c r="L80" s="32"/>
      <c r="M80" s="32"/>
      <c r="N80" s="32"/>
      <c r="O80" s="32"/>
    </row>
    <row r="81" spans="1:17">
      <c r="A81" s="32"/>
      <c r="B81" s="271" t="str">
        <f>'G-2 Habitat groups'!AU72</f>
        <v>Intertidal sediment - Littoral muddy sand</v>
      </c>
      <c r="C81" s="272" t="str">
        <f>'G-2 Habitat groups'!AV72</f>
        <v>Intertidal sediment</v>
      </c>
      <c r="D81" s="346">
        <f>'G-2 Habitat groups'!BB72</f>
        <v>0</v>
      </c>
      <c r="E81" s="346">
        <f>'G-2 Habitat groups'!BD72</f>
        <v>0</v>
      </c>
      <c r="F81" s="346">
        <f>'G-2 Habitat groups'!BE72</f>
        <v>0</v>
      </c>
      <c r="G81" s="347" t="str">
        <f>'G-2 Habitat groups'!BF72</f>
        <v/>
      </c>
      <c r="H81" s="32"/>
      <c r="I81" s="32"/>
      <c r="J81" s="32"/>
      <c r="K81" s="32"/>
      <c r="L81" s="32"/>
      <c r="M81" s="32"/>
      <c r="N81" s="32"/>
      <c r="O81" s="32"/>
      <c r="P81" s="32"/>
      <c r="Q81" s="32"/>
    </row>
    <row r="82" spans="1:17" ht="15.75" thickBot="1">
      <c r="A82" s="32"/>
      <c r="B82" s="273" t="s">
        <v>230</v>
      </c>
      <c r="C82" s="274" t="str">
        <f>'G-2 Habitat groups'!AV73</f>
        <v>Intertidal sediment</v>
      </c>
      <c r="D82" s="355">
        <f>'G-2 Habitat groups'!BB73</f>
        <v>0</v>
      </c>
      <c r="E82" s="355">
        <f>'G-2 Habitat groups'!BD73</f>
        <v>0</v>
      </c>
      <c r="F82" s="355">
        <f>'G-2 Habitat groups'!BE73</f>
        <v>0</v>
      </c>
      <c r="G82" s="599" t="str">
        <f>'G-2 Habitat groups'!BF73</f>
        <v/>
      </c>
      <c r="H82" s="32"/>
      <c r="I82" s="32"/>
      <c r="J82" s="32"/>
      <c r="K82" s="32"/>
      <c r="L82" s="32"/>
      <c r="M82" s="32"/>
      <c r="N82" s="32"/>
      <c r="O82" s="32"/>
      <c r="P82" s="32"/>
      <c r="Q82" s="32"/>
    </row>
    <row r="83" spans="1:17" ht="15.75" thickBot="1">
      <c r="A83" s="32"/>
      <c r="B83" s="32"/>
      <c r="C83" s="32"/>
      <c r="D83" s="609">
        <f>SUM(D41:D81)</f>
        <v>0</v>
      </c>
      <c r="E83" s="610">
        <f>SUM(E41:E81)</f>
        <v>0</v>
      </c>
      <c r="F83" s="344">
        <f>SUM(F41:F81)</f>
        <v>0</v>
      </c>
      <c r="G83" s="714">
        <f>SUM(G41:G81)</f>
        <v>0</v>
      </c>
      <c r="H83" s="32"/>
      <c r="I83" s="32"/>
      <c r="J83" s="32"/>
      <c r="K83" s="32"/>
      <c r="L83" s="32"/>
      <c r="M83" s="32"/>
      <c r="N83" s="32"/>
      <c r="O83" s="32"/>
      <c r="P83" s="32"/>
      <c r="Q83" s="32"/>
    </row>
    <row r="84" spans="1:17">
      <c r="A84" s="32"/>
      <c r="B84" s="32"/>
      <c r="C84" s="32"/>
      <c r="D84" s="32"/>
      <c r="E84" s="32"/>
      <c r="F84" s="32"/>
      <c r="G84" s="32"/>
      <c r="H84" s="32"/>
      <c r="I84" s="32"/>
      <c r="J84" s="32"/>
      <c r="K84" s="32"/>
      <c r="L84" s="32"/>
      <c r="M84" s="32"/>
      <c r="N84" s="32"/>
      <c r="O84" s="32"/>
      <c r="P84" s="32"/>
      <c r="Q84" s="32"/>
    </row>
    <row r="85" spans="1:17">
      <c r="A85" s="32"/>
      <c r="B85" s="32"/>
      <c r="C85" s="32"/>
      <c r="D85" s="32"/>
      <c r="E85" s="32"/>
      <c r="F85" s="32"/>
      <c r="G85" s="32"/>
      <c r="H85" s="32"/>
      <c r="I85" s="32"/>
      <c r="J85" s="32"/>
      <c r="K85" s="32"/>
      <c r="L85" s="32"/>
      <c r="M85" s="32"/>
      <c r="N85" s="32"/>
      <c r="O85" s="32"/>
      <c r="P85" s="32"/>
      <c r="Q85" s="32"/>
    </row>
    <row r="86" spans="1:17" ht="15.75" thickBot="1">
      <c r="A86" s="32"/>
      <c r="B86" s="32"/>
      <c r="C86" s="32"/>
      <c r="D86" s="32"/>
      <c r="E86" s="32"/>
      <c r="F86" s="32"/>
      <c r="G86" s="32"/>
      <c r="H86" s="32"/>
      <c r="I86" s="32"/>
      <c r="J86" s="32"/>
      <c r="K86" s="32"/>
      <c r="L86" s="32"/>
      <c r="M86" s="32"/>
      <c r="N86" s="32"/>
      <c r="O86" s="32"/>
      <c r="P86" s="32"/>
      <c r="Q86" s="32"/>
    </row>
    <row r="87" spans="1:17" ht="27.75" thickBot="1">
      <c r="A87" s="32"/>
      <c r="B87" s="1309" t="s">
        <v>231</v>
      </c>
      <c r="C87" s="1310"/>
      <c r="D87" s="1310"/>
      <c r="E87" s="1310"/>
      <c r="F87" s="1310"/>
      <c r="G87" s="1311"/>
      <c r="H87" s="32"/>
      <c r="I87" s="1302" t="s">
        <v>232</v>
      </c>
      <c r="J87" s="1303"/>
      <c r="K87" s="32"/>
      <c r="L87" s="32"/>
      <c r="M87" s="32"/>
      <c r="N87" s="32"/>
      <c r="O87" s="32"/>
    </row>
    <row r="88" spans="1:17" ht="48" thickBot="1">
      <c r="A88" s="32"/>
      <c r="B88" s="275" t="s">
        <v>114</v>
      </c>
      <c r="C88" s="276" t="s">
        <v>220</v>
      </c>
      <c r="D88" s="276" t="s">
        <v>120</v>
      </c>
      <c r="E88" s="276" t="s">
        <v>147</v>
      </c>
      <c r="F88" s="276" t="s">
        <v>233</v>
      </c>
      <c r="G88" s="277" t="s">
        <v>234</v>
      </c>
      <c r="H88" s="32"/>
      <c r="I88" s="73" t="s">
        <v>248</v>
      </c>
      <c r="J88" s="352">
        <f>SUMIF(G89:G115,"&gt;0")</f>
        <v>73.946008162796019</v>
      </c>
      <c r="K88" s="32"/>
      <c r="L88" s="32"/>
    </row>
    <row r="89" spans="1:17" ht="30">
      <c r="A89" s="32"/>
      <c r="B89" s="278" t="str">
        <f>'G-2 Habitat groups'!AU79</f>
        <v>Cropland - Arable field margins cultivated annually</v>
      </c>
      <c r="C89" s="279" t="str">
        <f>'G-2 Habitat groups'!AV79</f>
        <v>Cropland</v>
      </c>
      <c r="D89" s="354">
        <f>'G-2 Habitat groups'!BB79</f>
        <v>0</v>
      </c>
      <c r="E89" s="354">
        <f>'G-2 Habitat groups'!BD79</f>
        <v>0</v>
      </c>
      <c r="F89" s="354">
        <f>'G-2 Habitat groups'!BE79</f>
        <v>0</v>
      </c>
      <c r="G89" s="1306">
        <f>SUM(F89:F92)</f>
        <v>0</v>
      </c>
      <c r="H89" s="32"/>
      <c r="I89" s="99" t="s">
        <v>235</v>
      </c>
      <c r="J89" s="353">
        <f>SUMIF(G89:G115,"&lt;0")</f>
        <v>0</v>
      </c>
      <c r="K89" s="32"/>
      <c r="L89" s="32"/>
    </row>
    <row r="90" spans="1:17" ht="30">
      <c r="A90" s="32"/>
      <c r="B90" s="271" t="str">
        <f>'G-2 Habitat groups'!AU81</f>
        <v>Cropland - Arable field margins game bird mix</v>
      </c>
      <c r="C90" s="272" t="str">
        <f>'G-2 Habitat groups'!AV81</f>
        <v>Cropland</v>
      </c>
      <c r="D90" s="346">
        <f>'G-2 Habitat groups'!BB81</f>
        <v>0</v>
      </c>
      <c r="E90" s="346">
        <f>'G-2 Habitat groups'!BD81</f>
        <v>0</v>
      </c>
      <c r="F90" s="346">
        <f>'G-2 Habitat groups'!BE81</f>
        <v>0</v>
      </c>
      <c r="G90" s="1307"/>
      <c r="H90" s="32"/>
      <c r="I90" s="99" t="s">
        <v>1680</v>
      </c>
      <c r="J90" s="353">
        <f>J40+J12+J89</f>
        <v>0</v>
      </c>
    </row>
    <row r="91" spans="1:17" ht="15.75" thickBot="1">
      <c r="A91" s="32"/>
      <c r="B91" s="271" t="str">
        <f>'G-2 Habitat groups'!AU82</f>
        <v>Cropland - Arable field margins pollen and nectar</v>
      </c>
      <c r="C91" s="272" t="str">
        <f>'G-2 Habitat groups'!AV82</f>
        <v>Cropland</v>
      </c>
      <c r="D91" s="346">
        <f>'G-2 Habitat groups'!BB82</f>
        <v>0</v>
      </c>
      <c r="E91" s="346">
        <f>'G-2 Habitat groups'!BD82</f>
        <v>0</v>
      </c>
      <c r="F91" s="346">
        <f>'G-2 Habitat groups'!BE82</f>
        <v>0</v>
      </c>
      <c r="G91" s="1307"/>
      <c r="H91" s="32"/>
      <c r="I91" s="74" t="s">
        <v>236</v>
      </c>
      <c r="J91" s="351">
        <f>J90+J88</f>
        <v>73.946008162796019</v>
      </c>
      <c r="K91" s="32"/>
      <c r="L91" s="32"/>
    </row>
    <row r="92" spans="1:17" ht="15.75" thickBot="1">
      <c r="A92" s="32"/>
      <c r="B92" s="271" t="str">
        <f>'G-2 Habitat groups'!AU83</f>
        <v>Cropland - Arable field margins tussocky</v>
      </c>
      <c r="C92" s="272" t="str">
        <f>'G-2 Habitat groups'!AV83</f>
        <v>Cropland</v>
      </c>
      <c r="D92" s="346">
        <f>'G-2 Habitat groups'!BB83</f>
        <v>0</v>
      </c>
      <c r="E92" s="346">
        <f>'G-2 Habitat groups'!BD83</f>
        <v>0</v>
      </c>
      <c r="F92" s="346">
        <f>'G-2 Habitat groups'!BE83</f>
        <v>0</v>
      </c>
      <c r="G92" s="1307"/>
      <c r="H92" s="32"/>
      <c r="I92" s="32"/>
      <c r="J92" s="32"/>
      <c r="K92" s="32"/>
      <c r="L92" s="32"/>
    </row>
    <row r="93" spans="1:17">
      <c r="A93" s="32"/>
      <c r="B93" s="278" t="str">
        <f>'G-2 Habitat groups'!AU84</f>
        <v>Grassland - Other lowland acid grassland</v>
      </c>
      <c r="C93" s="279" t="str">
        <f>'G-2 Habitat groups'!AV84</f>
        <v>Grassland</v>
      </c>
      <c r="D93" s="354">
        <f>'G-2 Habitat groups'!BB84</f>
        <v>0</v>
      </c>
      <c r="E93" s="354">
        <f>'G-2 Habitat groups'!BD84</f>
        <v>0</v>
      </c>
      <c r="F93" s="354">
        <f>'G-2 Habitat groups'!BE84</f>
        <v>0</v>
      </c>
      <c r="G93" s="1306">
        <f>SUM(F93:F95)</f>
        <v>63.793125504139212</v>
      </c>
      <c r="H93" s="32"/>
      <c r="I93" s="32"/>
      <c r="J93" s="32"/>
      <c r="K93" s="32"/>
      <c r="L93" s="32"/>
    </row>
    <row r="94" spans="1:17">
      <c r="A94" s="32"/>
      <c r="B94" s="271" t="str">
        <f>'G-2 Habitat groups'!AU85</f>
        <v>Grassland - Other neutral grassland</v>
      </c>
      <c r="C94" s="272" t="str">
        <f>'G-2 Habitat groups'!AV85</f>
        <v>Grassland</v>
      </c>
      <c r="D94" s="346">
        <f>'G-2 Habitat groups'!BB85</f>
        <v>63.793125504139212</v>
      </c>
      <c r="E94" s="346">
        <f>'G-2 Habitat groups'!BD85</f>
        <v>0</v>
      </c>
      <c r="F94" s="346">
        <f>'G-2 Habitat groups'!BE85</f>
        <v>63.793125504139212</v>
      </c>
      <c r="G94" s="1307"/>
      <c r="H94" s="32"/>
      <c r="I94" s="32"/>
      <c r="J94" s="32"/>
      <c r="K94" s="32"/>
      <c r="L94" s="32"/>
    </row>
    <row r="95" spans="1:17" ht="15.75" thickBot="1">
      <c r="A95" s="32"/>
      <c r="B95" s="273" t="str">
        <f>'G-2 Habitat groups'!AU86</f>
        <v>Grassland - Upland acid grassland</v>
      </c>
      <c r="C95" s="274" t="str">
        <f>'G-2 Habitat groups'!AV86</f>
        <v>Grassland</v>
      </c>
      <c r="D95" s="355">
        <f>'G-2 Habitat groups'!BB86</f>
        <v>0</v>
      </c>
      <c r="E95" s="355">
        <f>'G-2 Habitat groups'!BD86</f>
        <v>0</v>
      </c>
      <c r="F95" s="355">
        <f>'G-2 Habitat groups'!BE86</f>
        <v>0</v>
      </c>
      <c r="G95" s="1308"/>
      <c r="H95" s="32"/>
      <c r="I95" s="32"/>
      <c r="J95" s="32"/>
      <c r="K95" s="32"/>
      <c r="L95" s="32"/>
      <c r="M95" s="32"/>
    </row>
    <row r="96" spans="1:17">
      <c r="A96" s="32"/>
      <c r="B96" s="278" t="str">
        <f>'G-2 Habitat groups'!AU87</f>
        <v>Heathland and shrub - Blackthorn scrub</v>
      </c>
      <c r="C96" s="279" t="str">
        <f>'G-2 Habitat groups'!AV87</f>
        <v>Heathland and shrub</v>
      </c>
      <c r="D96" s="354">
        <f>'G-2 Habitat groups'!BB87</f>
        <v>0</v>
      </c>
      <c r="E96" s="354">
        <f>'G-2 Habitat groups'!BD87</f>
        <v>0</v>
      </c>
      <c r="F96" s="354">
        <f>'G-2 Habitat groups'!BE87</f>
        <v>0</v>
      </c>
      <c r="G96" s="1306">
        <f>SUM(F96:F102)</f>
        <v>4.2411501687728004</v>
      </c>
      <c r="H96" s="32"/>
      <c r="I96" s="32"/>
      <c r="J96" s="32"/>
      <c r="K96" s="32"/>
      <c r="L96" s="32"/>
      <c r="M96" s="32"/>
    </row>
    <row r="97" spans="1:15">
      <c r="A97" s="32"/>
      <c r="B97" s="271" t="str">
        <f>'G-2 Habitat groups'!AU88</f>
        <v>Heathland and shrub - Bramble scrub</v>
      </c>
      <c r="C97" s="272" t="str">
        <f>'G-2 Habitat groups'!AV88</f>
        <v>Heathland and shrub</v>
      </c>
      <c r="D97" s="346">
        <f>'G-2 Habitat groups'!BB88</f>
        <v>0</v>
      </c>
      <c r="E97" s="346">
        <f>'G-2 Habitat groups'!BD88</f>
        <v>0</v>
      </c>
      <c r="F97" s="346">
        <f>'G-2 Habitat groups'!BE88</f>
        <v>0</v>
      </c>
      <c r="G97" s="1307"/>
      <c r="H97" s="32"/>
      <c r="I97" s="32"/>
      <c r="J97" s="32"/>
      <c r="K97" s="32"/>
      <c r="L97" s="32"/>
      <c r="M97" s="32"/>
    </row>
    <row r="98" spans="1:15">
      <c r="A98" s="32"/>
      <c r="B98" s="271" t="str">
        <f>'G-2 Habitat groups'!AU89</f>
        <v>Heathland and shrub - Gorse scrub</v>
      </c>
      <c r="C98" s="272" t="str">
        <f>'G-2 Habitat groups'!AV89</f>
        <v>Heathland and shrub</v>
      </c>
      <c r="D98" s="346">
        <f>'G-2 Habitat groups'!BB89</f>
        <v>0</v>
      </c>
      <c r="E98" s="346">
        <f>'G-2 Habitat groups'!BD89</f>
        <v>0</v>
      </c>
      <c r="F98" s="346">
        <f>'G-2 Habitat groups'!BE89</f>
        <v>0</v>
      </c>
      <c r="G98" s="1307"/>
      <c r="H98" s="32"/>
      <c r="I98" s="32"/>
      <c r="J98" s="32"/>
      <c r="K98" s="32"/>
      <c r="L98" s="32"/>
      <c r="M98" s="32"/>
    </row>
    <row r="99" spans="1:15">
      <c r="A99" s="32"/>
      <c r="B99" s="271" t="str">
        <f>'G-2 Habitat groups'!AU90</f>
        <v>Heathland and shrub - Hawthorn scrub</v>
      </c>
      <c r="C99" s="272" t="str">
        <f>'G-2 Habitat groups'!AV104</f>
        <v>Heathland and shrub</v>
      </c>
      <c r="D99" s="346">
        <f>'G-2 Habitat groups'!BB90</f>
        <v>0</v>
      </c>
      <c r="E99" s="346">
        <f>'G-2 Habitat groups'!BD90</f>
        <v>0</v>
      </c>
      <c r="F99" s="346">
        <f>'G-2 Habitat groups'!BE90</f>
        <v>0</v>
      </c>
      <c r="G99" s="1307"/>
      <c r="H99" s="32"/>
      <c r="I99" s="32"/>
      <c r="J99" s="32"/>
      <c r="K99" s="32"/>
      <c r="L99" s="32"/>
      <c r="M99" s="32"/>
    </row>
    <row r="100" spans="1:15">
      <c r="A100" s="32"/>
      <c r="B100" s="271" t="str">
        <f>'G-2 Habitat groups'!AU104</f>
        <v>Heathland and shrub - Willow scrub</v>
      </c>
      <c r="C100" s="272" t="str">
        <f>'G-2 Habitat groups'!AV91</f>
        <v>Heathland and shrub</v>
      </c>
      <c r="D100" s="346">
        <f>'G-2 Habitat groups'!BB104</f>
        <v>0</v>
      </c>
      <c r="E100" s="346">
        <f>'G-2 Habitat groups'!BD104</f>
        <v>0</v>
      </c>
      <c r="F100" s="346">
        <f>'G-2 Habitat groups'!BE104</f>
        <v>0</v>
      </c>
      <c r="G100" s="1307"/>
      <c r="H100" s="32"/>
      <c r="I100" s="32"/>
      <c r="J100" s="32"/>
      <c r="K100" s="32"/>
      <c r="L100" s="32"/>
      <c r="M100" s="32"/>
    </row>
    <row r="101" spans="1:15">
      <c r="A101" s="32"/>
      <c r="B101" s="271" t="str">
        <f>'G-2 Habitat groups'!AU91</f>
        <v>Heathland and shrub - Hazel scrub</v>
      </c>
      <c r="C101" s="272" t="str">
        <f>'G-2 Habitat groups'!AV91</f>
        <v>Heathland and shrub</v>
      </c>
      <c r="D101" s="346">
        <f>'G-2 Habitat groups'!BB91</f>
        <v>0</v>
      </c>
      <c r="E101" s="346">
        <f>'G-2 Habitat groups'!BD91</f>
        <v>0</v>
      </c>
      <c r="F101" s="346">
        <f>'G-2 Habitat groups'!BE91</f>
        <v>0</v>
      </c>
      <c r="G101" s="1307"/>
      <c r="H101" s="32"/>
      <c r="I101" s="32"/>
      <c r="J101" s="32"/>
      <c r="K101" s="32"/>
      <c r="L101" s="32"/>
      <c r="M101" s="32"/>
      <c r="N101" s="32"/>
      <c r="O101" s="32"/>
    </row>
    <row r="102" spans="1:15" ht="15.75" thickBot="1">
      <c r="A102" s="32"/>
      <c r="B102" s="273" t="str">
        <f>'G-2 Habitat groups'!AU92</f>
        <v>Heathland and shrub - Mixed scrub</v>
      </c>
      <c r="C102" s="274" t="str">
        <f>'G-2 Habitat groups'!AV92</f>
        <v>Heathland and shrub</v>
      </c>
      <c r="D102" s="355">
        <f>'G-2 Habitat groups'!BB92</f>
        <v>4.2411501687728004</v>
      </c>
      <c r="E102" s="355">
        <f>'G-2 Habitat groups'!BD92</f>
        <v>0</v>
      </c>
      <c r="F102" s="355">
        <f>'G-2 Habitat groups'!BE92</f>
        <v>4.2411501687728004</v>
      </c>
      <c r="G102" s="1308"/>
      <c r="H102" s="32"/>
      <c r="I102" s="32"/>
      <c r="J102" s="32"/>
      <c r="K102" s="32"/>
      <c r="L102" s="32"/>
      <c r="M102" s="32"/>
      <c r="N102" s="32"/>
      <c r="O102" s="32"/>
    </row>
    <row r="103" spans="1:15">
      <c r="A103" s="32"/>
      <c r="B103" s="278" t="str">
        <f>'G-2 Habitat groups'!AU93</f>
        <v>Lakes - Ponds (non-priority habitat)</v>
      </c>
      <c r="C103" s="279" t="str">
        <f>'G-2 Habitat groups'!AV93</f>
        <v>Lakes</v>
      </c>
      <c r="D103" s="354">
        <f>'G-2 Habitat groups'!BB93</f>
        <v>0</v>
      </c>
      <c r="E103" s="354">
        <f>'G-2 Habitat groups'!BD93</f>
        <v>0</v>
      </c>
      <c r="F103" s="354">
        <f>'G-2 Habitat groups'!BE93</f>
        <v>0</v>
      </c>
      <c r="G103" s="1306">
        <f>SUM(F103:F104)</f>
        <v>0</v>
      </c>
      <c r="H103" s="32"/>
      <c r="K103" s="32"/>
      <c r="L103" s="32"/>
      <c r="M103" s="32"/>
      <c r="N103" s="32"/>
      <c r="O103" s="32"/>
    </row>
    <row r="104" spans="1:15" ht="15.75" thickBot="1">
      <c r="A104" s="32"/>
      <c r="B104" s="273" t="str">
        <f>'G-2 Habitat groups'!AU94</f>
        <v>Lakes - Reservoirs</v>
      </c>
      <c r="C104" s="274" t="str">
        <f>'G-2 Habitat groups'!AV94</f>
        <v>Lakes</v>
      </c>
      <c r="D104" s="355">
        <f>'G-2 Habitat groups'!BB94</f>
        <v>0</v>
      </c>
      <c r="E104" s="355">
        <f>'G-2 Habitat groups'!BD94</f>
        <v>0</v>
      </c>
      <c r="F104" s="355">
        <f>'G-2 Habitat groups'!BE94</f>
        <v>0</v>
      </c>
      <c r="G104" s="1308"/>
      <c r="H104" s="32"/>
      <c r="K104" s="32"/>
      <c r="L104" s="32"/>
      <c r="M104" s="32"/>
      <c r="N104" s="32"/>
      <c r="O104" s="32"/>
    </row>
    <row r="105" spans="1:15" ht="15.75" thickBot="1">
      <c r="A105" s="32"/>
      <c r="B105" s="280" t="str">
        <f>'G-2 Habitat groups'!AU95</f>
        <v>Sparsely vegetated land - Other inland rock and scree</v>
      </c>
      <c r="C105" s="281" t="str">
        <f>'G-2 Habitat groups'!AV95</f>
        <v>Sparsely vegetated land</v>
      </c>
      <c r="D105" s="356">
        <f>'G-2 Habitat groups'!BB95</f>
        <v>0</v>
      </c>
      <c r="E105" s="356">
        <f>'G-2 Habitat groups'!BD95</f>
        <v>0</v>
      </c>
      <c r="F105" s="356">
        <f>'G-2 Habitat groups'!BE95</f>
        <v>0</v>
      </c>
      <c r="G105" s="357">
        <f>F105</f>
        <v>0</v>
      </c>
      <c r="H105" s="32"/>
      <c r="K105" s="32"/>
      <c r="L105" s="32"/>
      <c r="M105" s="32"/>
      <c r="N105" s="32"/>
      <c r="O105" s="32"/>
    </row>
    <row r="106" spans="1:15">
      <c r="A106" s="32"/>
      <c r="B106" s="271" t="str">
        <f>'G-2 Habitat groups'!AU96</f>
        <v>Urban - Cemeteries and churchyards</v>
      </c>
      <c r="C106" s="272" t="str">
        <f>'G-2 Habitat groups'!AV96</f>
        <v>Urban</v>
      </c>
      <c r="D106" s="346">
        <f>'G-2 Habitat groups'!BB96</f>
        <v>0</v>
      </c>
      <c r="E106" s="346">
        <f>'G-2 Habitat groups'!BD96</f>
        <v>0</v>
      </c>
      <c r="F106" s="346">
        <f>'G-2 Habitat groups'!BE96</f>
        <v>0</v>
      </c>
      <c r="G106" s="1306">
        <f>SUM(F106:F107)</f>
        <v>0</v>
      </c>
      <c r="H106" s="32"/>
      <c r="I106" s="32"/>
      <c r="J106" s="32"/>
      <c r="K106" s="32"/>
      <c r="L106" s="32"/>
      <c r="M106" s="32"/>
      <c r="N106" s="32"/>
      <c r="O106" s="32"/>
    </row>
    <row r="107" spans="1:15" ht="15" customHeight="1" thickBot="1">
      <c r="A107" s="32"/>
      <c r="B107" s="498" t="str">
        <f>'G-2 Habitat groups'!AU97</f>
        <v>Urban - Biodiverse green roof</v>
      </c>
      <c r="C107" s="499" t="str">
        <f>'G-2 Habitat groups'!AV97</f>
        <v>Urban</v>
      </c>
      <c r="D107" s="360">
        <f>'G-2 Habitat groups'!BB97</f>
        <v>0</v>
      </c>
      <c r="E107" s="360">
        <f>'G-2 Habitat groups'!BD97</f>
        <v>0</v>
      </c>
      <c r="F107" s="360">
        <f>'G-2 Habitat groups'!BE97</f>
        <v>0</v>
      </c>
      <c r="G107" s="1307"/>
      <c r="H107" s="32"/>
      <c r="I107" s="32"/>
      <c r="J107" s="32"/>
      <c r="K107" s="32"/>
      <c r="L107" s="32"/>
      <c r="M107" s="32"/>
      <c r="N107" s="32"/>
      <c r="O107" s="32"/>
    </row>
    <row r="108" spans="1:15" ht="15.75" customHeight="1">
      <c r="A108" s="32"/>
      <c r="B108" s="571" t="str">
        <f>'G-2 Habitat groups'!AU105</f>
        <v>Individual trees - Urban tree</v>
      </c>
      <c r="C108" s="572" t="str">
        <f>'G-2 Habitat groups'!AV105</f>
        <v>Individual trees</v>
      </c>
      <c r="D108" s="573">
        <f>'G-2 Habitat groups'!BB105</f>
        <v>0</v>
      </c>
      <c r="E108" s="573">
        <f>'G-2 Habitat groups'!BD105</f>
        <v>0</v>
      </c>
      <c r="F108" s="354">
        <f>'G-2 Habitat groups'!BE105</f>
        <v>0</v>
      </c>
      <c r="G108" s="1306">
        <f>SUM(F108:F109)</f>
        <v>0</v>
      </c>
      <c r="H108" s="32"/>
      <c r="I108" s="32"/>
      <c r="J108" s="32"/>
      <c r="K108" s="32"/>
      <c r="L108" s="32"/>
      <c r="M108" s="32"/>
      <c r="N108" s="32"/>
      <c r="O108" s="32"/>
    </row>
    <row r="109" spans="1:15" ht="15.75" customHeight="1" thickBot="1">
      <c r="A109" s="32"/>
      <c r="B109" s="574" t="str">
        <f>'G-2 Habitat groups'!AU80</f>
        <v>Individual trees - Rural tree</v>
      </c>
      <c r="C109" s="575" t="str">
        <f>'G-2 Habitat groups'!AV80</f>
        <v>Individual trees</v>
      </c>
      <c r="D109" s="576">
        <f>'G-2 Habitat groups'!BB80</f>
        <v>0</v>
      </c>
      <c r="E109" s="576">
        <f>'G-2 Habitat groups'!BD80</f>
        <v>0</v>
      </c>
      <c r="F109" s="355">
        <f>'G-2 Habitat groups'!BE80</f>
        <v>0</v>
      </c>
      <c r="G109" s="1308"/>
      <c r="H109" s="32"/>
      <c r="I109" s="32"/>
      <c r="J109" s="32"/>
      <c r="K109" s="32"/>
      <c r="L109" s="32"/>
      <c r="M109" s="32"/>
      <c r="N109" s="32"/>
      <c r="O109" s="32"/>
    </row>
    <row r="110" spans="1:15">
      <c r="A110" s="32"/>
      <c r="B110" s="278" t="str">
        <f>'G-2 Habitat groups'!AU98</f>
        <v>Woodland and forest - Other Scot's pine woodland</v>
      </c>
      <c r="C110" s="279" t="str">
        <f>'G-2 Habitat groups'!AV98</f>
        <v>Woodland and forest</v>
      </c>
      <c r="D110" s="354">
        <f>'G-2 Habitat groups'!BB98</f>
        <v>0</v>
      </c>
      <c r="E110" s="354">
        <f>'G-2 Habitat groups'!BD98</f>
        <v>0</v>
      </c>
      <c r="F110" s="354">
        <f>'G-2 Habitat groups'!BE98</f>
        <v>0</v>
      </c>
      <c r="G110" s="1306">
        <f>SUM(F110:F112)</f>
        <v>5.9117324898840025</v>
      </c>
      <c r="H110" s="32"/>
      <c r="I110" s="32"/>
      <c r="J110" s="32"/>
      <c r="K110" s="32"/>
      <c r="L110" s="32"/>
      <c r="M110" s="32"/>
      <c r="N110" s="32"/>
      <c r="O110" s="32"/>
    </row>
    <row r="111" spans="1:15">
      <c r="A111" s="32"/>
      <c r="B111" s="271" t="str">
        <f>'G-2 Habitat groups'!AU99</f>
        <v>Woodland and forest - Other woodland; broadleaved</v>
      </c>
      <c r="C111" s="272" t="str">
        <f>'G-2 Habitat groups'!AV99</f>
        <v>Woodland and forest</v>
      </c>
      <c r="D111" s="346">
        <f>'G-2 Habitat groups'!BB99</f>
        <v>5.9117324898840025</v>
      </c>
      <c r="E111" s="346">
        <f>'G-2 Habitat groups'!BD99</f>
        <v>0</v>
      </c>
      <c r="F111" s="346">
        <f>'G-2 Habitat groups'!BE99</f>
        <v>5.9117324898840025</v>
      </c>
      <c r="G111" s="1307"/>
      <c r="H111" s="32"/>
      <c r="I111" s="32"/>
      <c r="J111" s="32"/>
      <c r="K111" s="32"/>
      <c r="L111" s="32"/>
      <c r="M111" s="32"/>
      <c r="N111" s="32"/>
      <c r="O111" s="32"/>
    </row>
    <row r="112" spans="1:15" ht="15.75" thickBot="1">
      <c r="A112" s="32"/>
      <c r="B112" s="273" t="str">
        <f>'G-2 Habitat groups'!AU100</f>
        <v>Woodland and forest - Other woodland; mixed</v>
      </c>
      <c r="C112" s="274" t="str">
        <f>'G-2 Habitat groups'!AV100</f>
        <v>Woodland and forest</v>
      </c>
      <c r="D112" s="355">
        <f>'G-2 Habitat groups'!BB100</f>
        <v>0</v>
      </c>
      <c r="E112" s="355">
        <f>'G-2 Habitat groups'!BD100</f>
        <v>0</v>
      </c>
      <c r="F112" s="355">
        <f>'G-2 Habitat groups'!BE100</f>
        <v>0</v>
      </c>
      <c r="G112" s="1308"/>
      <c r="H112" s="32"/>
      <c r="I112" s="32"/>
      <c r="J112" s="32"/>
      <c r="K112" s="32"/>
      <c r="L112" s="32"/>
      <c r="M112" s="32"/>
      <c r="N112" s="32"/>
      <c r="O112" s="32"/>
    </row>
    <row r="113" spans="1:17">
      <c r="A113" s="32"/>
      <c r="B113" s="278" t="str">
        <f>'G-2 Habitat groups'!AU101</f>
        <v>Intertidal sediment - Littoral coarse sediment</v>
      </c>
      <c r="C113" s="279" t="str">
        <f>'G-2 Habitat groups'!AV101</f>
        <v>Intertidal sediment</v>
      </c>
      <c r="D113" s="354">
        <f>'G-2 Habitat groups'!BB101</f>
        <v>0</v>
      </c>
      <c r="E113" s="354">
        <f>'G-2 Habitat groups'!BD101</f>
        <v>0</v>
      </c>
      <c r="F113" s="354">
        <f>'G-2 Habitat groups'!BE101</f>
        <v>0</v>
      </c>
      <c r="G113" s="1306">
        <f>SUM(F113:F115)</f>
        <v>0</v>
      </c>
      <c r="H113" s="32"/>
      <c r="I113" s="32"/>
      <c r="J113" s="32"/>
      <c r="K113" s="32"/>
      <c r="L113" s="32"/>
      <c r="M113" s="32"/>
      <c r="N113" s="32"/>
      <c r="O113" s="32"/>
    </row>
    <row r="114" spans="1:17">
      <c r="A114" s="32"/>
      <c r="B114" s="271" t="str">
        <f>'G-2 Habitat groups'!AU102</f>
        <v>Intertidal sediment - Littoral sand</v>
      </c>
      <c r="C114" s="272" t="str">
        <f>'G-2 Habitat groups'!AV102</f>
        <v>Intertidal sediment</v>
      </c>
      <c r="D114" s="346">
        <f>'G-2 Habitat groups'!BB102</f>
        <v>0</v>
      </c>
      <c r="E114" s="346">
        <f>'G-2 Habitat groups'!BD102</f>
        <v>0</v>
      </c>
      <c r="F114" s="346">
        <f>'G-2 Habitat groups'!BE102</f>
        <v>0</v>
      </c>
      <c r="G114" s="1307"/>
      <c r="H114" s="32"/>
      <c r="I114" s="32"/>
      <c r="J114" s="32"/>
      <c r="K114" s="32"/>
      <c r="L114" s="32"/>
      <c r="M114" s="32"/>
      <c r="N114" s="32"/>
      <c r="O114" s="32"/>
    </row>
    <row r="115" spans="1:17" ht="21" customHeight="1" thickBot="1">
      <c r="A115" s="32"/>
      <c r="B115" s="273" t="str">
        <f>'G-2 Habitat groups'!AU103</f>
        <v>Intertidal hard structures - Artificial hard structures with integrated greening of grey infrastructure (IGGI)</v>
      </c>
      <c r="C115" s="274" t="str">
        <f>'G-2 Habitat groups'!AV103</f>
        <v>Intertidal hard structures</v>
      </c>
      <c r="D115" s="355">
        <f>'G-2 Habitat groups'!BB103</f>
        <v>0</v>
      </c>
      <c r="E115" s="355">
        <f>'G-2 Habitat groups'!BD103</f>
        <v>0</v>
      </c>
      <c r="F115" s="355">
        <f>'G-2 Habitat groups'!BE103</f>
        <v>0</v>
      </c>
      <c r="G115" s="1308"/>
      <c r="H115" s="32"/>
      <c r="I115" s="32"/>
      <c r="J115" s="32"/>
      <c r="K115" s="32"/>
      <c r="L115" s="32"/>
      <c r="M115" s="32"/>
      <c r="N115" s="32"/>
      <c r="O115" s="32"/>
    </row>
    <row r="116" spans="1:17" ht="14.65" customHeight="1" thickBot="1">
      <c r="A116" s="32"/>
      <c r="B116" s="32"/>
      <c r="C116" s="32"/>
      <c r="D116" s="342">
        <f>SUM(D89:D115)</f>
        <v>73.946008162796019</v>
      </c>
      <c r="E116" s="343">
        <f>SUM(E89:E115)</f>
        <v>0</v>
      </c>
      <c r="F116" s="344">
        <f>SUM(F89:F115)</f>
        <v>73.946008162796019</v>
      </c>
      <c r="H116" s="32"/>
      <c r="I116" s="32"/>
      <c r="J116" s="32"/>
      <c r="K116" s="32"/>
      <c r="L116" s="32"/>
      <c r="M116" s="32"/>
      <c r="N116" s="32"/>
      <c r="O116" s="32"/>
    </row>
    <row r="117" spans="1:17">
      <c r="A117" s="32"/>
      <c r="B117" s="32"/>
      <c r="C117" s="32"/>
      <c r="D117" s="32"/>
      <c r="E117" s="32"/>
      <c r="F117" s="32"/>
      <c r="G117" s="32"/>
      <c r="H117" s="32"/>
      <c r="I117" s="32"/>
      <c r="J117" s="32"/>
      <c r="K117" s="32"/>
      <c r="L117" s="32"/>
      <c r="M117" s="32"/>
      <c r="N117" s="32"/>
      <c r="O117" s="32"/>
      <c r="P117" s="32"/>
      <c r="Q117" s="32"/>
    </row>
    <row r="118" spans="1:17">
      <c r="A118" s="32"/>
      <c r="B118" s="32"/>
      <c r="C118" s="32"/>
      <c r="D118" s="32"/>
      <c r="E118" s="32"/>
      <c r="F118" s="32"/>
      <c r="G118" s="32"/>
      <c r="H118" s="32"/>
      <c r="I118" s="32"/>
      <c r="J118" s="32"/>
      <c r="K118" s="32"/>
      <c r="L118" s="32"/>
      <c r="M118" s="32"/>
      <c r="N118" s="32"/>
      <c r="O118" s="32"/>
      <c r="P118" s="32"/>
      <c r="Q118" s="32"/>
    </row>
    <row r="119" spans="1:17">
      <c r="A119" s="32"/>
      <c r="B119" s="32"/>
      <c r="C119" s="32"/>
      <c r="D119" s="32"/>
      <c r="E119" s="32"/>
      <c r="F119" s="32"/>
      <c r="G119" s="32"/>
      <c r="H119" s="32"/>
      <c r="I119" s="32"/>
      <c r="J119" s="32"/>
      <c r="K119" s="32"/>
      <c r="L119" s="32"/>
      <c r="M119" s="32"/>
      <c r="N119" s="32"/>
      <c r="O119" s="32"/>
      <c r="P119" s="32"/>
      <c r="Q119" s="32"/>
    </row>
    <row r="120" spans="1:17">
      <c r="A120" s="32"/>
      <c r="B120" s="32"/>
      <c r="C120" s="32"/>
      <c r="D120" s="32"/>
      <c r="E120" s="32"/>
      <c r="F120" s="32"/>
      <c r="G120" s="32"/>
      <c r="H120" s="32"/>
      <c r="I120" s="32"/>
      <c r="J120" s="32"/>
      <c r="K120" s="32"/>
      <c r="L120" s="32"/>
      <c r="M120" s="32"/>
      <c r="N120" s="32"/>
      <c r="O120" s="32"/>
      <c r="P120" s="32"/>
      <c r="Q120" s="32"/>
    </row>
    <row r="121" spans="1:17">
      <c r="A121" s="32"/>
      <c r="B121" s="32"/>
      <c r="C121" s="32"/>
      <c r="D121" s="32"/>
      <c r="E121" s="32"/>
      <c r="F121" s="32"/>
      <c r="G121" s="32"/>
      <c r="H121" s="32"/>
      <c r="I121" s="32"/>
      <c r="J121" s="32"/>
      <c r="K121" s="32"/>
      <c r="L121" s="32"/>
      <c r="M121" s="32"/>
      <c r="N121" s="32"/>
      <c r="O121" s="32"/>
      <c r="P121" s="32"/>
      <c r="Q121" s="32"/>
    </row>
    <row r="122" spans="1:17" ht="15.75" thickBot="1">
      <c r="A122" s="32"/>
      <c r="B122" s="32"/>
      <c r="C122" s="32"/>
      <c r="D122" s="32"/>
      <c r="E122" s="32"/>
      <c r="F122" s="32"/>
      <c r="G122" s="32"/>
      <c r="H122" s="32"/>
      <c r="I122" s="32"/>
      <c r="J122" s="32"/>
      <c r="K122" s="32"/>
      <c r="L122" s="32"/>
      <c r="M122" s="32"/>
      <c r="N122" s="32"/>
      <c r="O122" s="32"/>
      <c r="P122" s="32"/>
      <c r="Q122" s="32"/>
    </row>
    <row r="123" spans="1:17" ht="26.25" thickBot="1">
      <c r="A123" s="32"/>
      <c r="B123" s="1299" t="s">
        <v>237</v>
      </c>
      <c r="C123" s="1300"/>
      <c r="D123" s="1300"/>
      <c r="E123" s="1300"/>
      <c r="F123" s="1301"/>
      <c r="G123" s="32"/>
      <c r="H123" s="32"/>
      <c r="I123" s="32"/>
      <c r="J123" s="32"/>
      <c r="K123" s="32"/>
      <c r="L123" s="32"/>
      <c r="M123" s="32"/>
      <c r="N123" s="32"/>
      <c r="O123" s="32"/>
    </row>
    <row r="124" spans="1:17" ht="48" thickBot="1">
      <c r="A124" s="32"/>
      <c r="B124" s="70" t="s">
        <v>114</v>
      </c>
      <c r="C124" s="71" t="s">
        <v>220</v>
      </c>
      <c r="D124" s="71" t="s">
        <v>221</v>
      </c>
      <c r="E124" s="71" t="s">
        <v>147</v>
      </c>
      <c r="F124" s="72" t="s">
        <v>233</v>
      </c>
      <c r="G124" s="32"/>
      <c r="H124" s="32"/>
      <c r="I124" s="1302" t="s">
        <v>238</v>
      </c>
      <c r="J124" s="1303"/>
      <c r="K124" s="32"/>
      <c r="L124" s="32"/>
      <c r="M124" s="32"/>
      <c r="N124" s="32"/>
    </row>
    <row r="125" spans="1:17">
      <c r="A125" s="32"/>
      <c r="B125" s="215" t="str">
        <f>'G-2 Habitat groups'!AU113</f>
        <v>Cropland - Cereal crops</v>
      </c>
      <c r="C125" s="79" t="str">
        <f>'G-2 Habitat groups'!AV113</f>
        <v>Cropland</v>
      </c>
      <c r="D125" s="358">
        <f>'G-2 Habitat groups'!BB113</f>
        <v>-0.82411999999999996</v>
      </c>
      <c r="E125" s="358">
        <f>'G-2 Habitat groups'!BD113</f>
        <v>0</v>
      </c>
      <c r="F125" s="347">
        <f>'G-2 Habitat groups'!BE113</f>
        <v>-0.82411999999999996</v>
      </c>
      <c r="G125" s="32"/>
      <c r="H125" s="32"/>
      <c r="I125" s="73" t="s">
        <v>239</v>
      </c>
      <c r="J125" s="352">
        <f>F163</f>
        <v>23.951482239327198</v>
      </c>
      <c r="K125" s="32"/>
      <c r="L125" s="32"/>
      <c r="M125" s="32"/>
      <c r="N125" s="32"/>
    </row>
    <row r="126" spans="1:17" ht="15.75" thickBot="1">
      <c r="A126" s="32"/>
      <c r="B126" s="215" t="str">
        <f>'G-2 Habitat groups'!AU114</f>
        <v>Cropland - Horticulture</v>
      </c>
      <c r="C126" s="79" t="str">
        <f>'G-2 Habitat groups'!AV114</f>
        <v>Cropland</v>
      </c>
      <c r="D126" s="358">
        <f>'G-2 Habitat groups'!BB114</f>
        <v>0</v>
      </c>
      <c r="E126" s="358">
        <f>'G-2 Habitat groups'!BD114</f>
        <v>0</v>
      </c>
      <c r="F126" s="347">
        <f>'G-2 Habitat groups'!BE114</f>
        <v>0</v>
      </c>
      <c r="G126" s="32"/>
      <c r="H126" s="32"/>
      <c r="I126" s="74" t="s">
        <v>236</v>
      </c>
      <c r="J126" s="351">
        <f>J125+J91</f>
        <v>97.897490402123225</v>
      </c>
      <c r="K126" s="32"/>
      <c r="L126" s="32"/>
      <c r="M126" s="32"/>
      <c r="N126" s="32"/>
    </row>
    <row r="127" spans="1:17">
      <c r="A127" s="32"/>
      <c r="B127" s="215" t="str">
        <f>'G-2 Habitat groups'!AU115</f>
        <v>Cropland - Intensive orchards</v>
      </c>
      <c r="C127" s="79" t="str">
        <f>'G-2 Habitat groups'!AV115</f>
        <v>Cropland</v>
      </c>
      <c r="D127" s="358">
        <f>'G-2 Habitat groups'!BB115</f>
        <v>0</v>
      </c>
      <c r="E127" s="358">
        <f>'G-2 Habitat groups'!BD115</f>
        <v>0</v>
      </c>
      <c r="F127" s="347">
        <f>'G-2 Habitat groups'!BE115</f>
        <v>0</v>
      </c>
      <c r="G127" s="32"/>
      <c r="H127" s="32"/>
      <c r="I127" s="32"/>
      <c r="J127" s="32"/>
      <c r="K127" s="32"/>
      <c r="L127" s="32"/>
      <c r="M127" s="32"/>
      <c r="N127" s="32"/>
    </row>
    <row r="128" spans="1:17">
      <c r="A128" s="32"/>
      <c r="B128" s="215" t="str">
        <f>'G-2 Habitat groups'!AU116</f>
        <v>Cropland - Non-cereal crops</v>
      </c>
      <c r="C128" s="79" t="str">
        <f>'G-2 Habitat groups'!AV116</f>
        <v>Cropland</v>
      </c>
      <c r="D128" s="358">
        <f>'G-2 Habitat groups'!BB116</f>
        <v>-31.380000000000003</v>
      </c>
      <c r="E128" s="358">
        <f>'G-2 Habitat groups'!BD116</f>
        <v>0</v>
      </c>
      <c r="F128" s="347">
        <f>'G-2 Habitat groups'!BE116</f>
        <v>-31.380000000000003</v>
      </c>
      <c r="G128" s="32"/>
      <c r="H128" s="32"/>
      <c r="I128" s="32"/>
      <c r="J128" s="32"/>
      <c r="K128" s="32"/>
      <c r="L128" s="32"/>
      <c r="M128" s="32"/>
      <c r="N128" s="32"/>
    </row>
    <row r="129" spans="1:14">
      <c r="A129" s="32"/>
      <c r="B129" s="215" t="str">
        <f>'G-2 Habitat groups'!AU117</f>
        <v>Cropland - Temporary grass and clover leys</v>
      </c>
      <c r="C129" s="79" t="str">
        <f>'G-2 Habitat groups'!AV117</f>
        <v>Cropland</v>
      </c>
      <c r="D129" s="358">
        <f>'G-2 Habitat groups'!BB117</f>
        <v>0</v>
      </c>
      <c r="E129" s="358">
        <f>'G-2 Habitat groups'!BD117</f>
        <v>0</v>
      </c>
      <c r="F129" s="347">
        <f>'G-2 Habitat groups'!BE117</f>
        <v>0</v>
      </c>
      <c r="G129" s="32"/>
      <c r="H129" s="32"/>
      <c r="I129" s="32"/>
      <c r="J129" s="32"/>
      <c r="K129" s="32"/>
      <c r="L129" s="32"/>
      <c r="M129" s="32"/>
      <c r="N129" s="32"/>
    </row>
    <row r="130" spans="1:14">
      <c r="A130" s="32"/>
      <c r="B130" s="215" t="str">
        <f>'G-2 Habitat groups'!AU118</f>
        <v>Cropland - Winter stubble</v>
      </c>
      <c r="C130" s="79" t="str">
        <f>'G-2 Habitat groups'!AV118</f>
        <v>Cropland</v>
      </c>
      <c r="D130" s="358">
        <f>'G-2 Habitat groups'!BB118</f>
        <v>0</v>
      </c>
      <c r="E130" s="358">
        <f>'G-2 Habitat groups'!BD118</f>
        <v>0</v>
      </c>
      <c r="F130" s="347">
        <f>'G-2 Habitat groups'!BE118</f>
        <v>0</v>
      </c>
      <c r="G130" s="32"/>
      <c r="H130" s="32"/>
      <c r="I130" s="32"/>
      <c r="J130" s="32"/>
      <c r="K130" s="32"/>
      <c r="L130" s="32"/>
      <c r="M130" s="32"/>
      <c r="N130" s="32"/>
    </row>
    <row r="131" spans="1:14">
      <c r="A131" s="32"/>
      <c r="B131" s="215" t="str">
        <f>'G-2 Habitat groups'!AU119</f>
        <v>Grassland - Modified grassland</v>
      </c>
      <c r="C131" s="79" t="str">
        <f>'G-2 Habitat groups'!AV119</f>
        <v>Grassland</v>
      </c>
      <c r="D131" s="358">
        <f>'G-2 Habitat groups'!BB119</f>
        <v>56.155602239327202</v>
      </c>
      <c r="E131" s="358">
        <f>'G-2 Habitat groups'!BD119</f>
        <v>0</v>
      </c>
      <c r="F131" s="347">
        <f>'G-2 Habitat groups'!BE119</f>
        <v>56.155602239327202</v>
      </c>
      <c r="G131" s="32"/>
      <c r="H131" s="32"/>
      <c r="I131" s="32"/>
      <c r="J131" s="32"/>
      <c r="K131" s="32"/>
      <c r="L131" s="32"/>
      <c r="M131" s="32"/>
      <c r="N131" s="32"/>
    </row>
    <row r="132" spans="1:14">
      <c r="A132" s="32"/>
      <c r="B132" s="215" t="str">
        <f>'G-2 Habitat groups'!AU120</f>
        <v>Grassland - Bracken</v>
      </c>
      <c r="C132" s="79" t="str">
        <f>'G-2 Habitat groups'!AV120</f>
        <v>Grassland</v>
      </c>
      <c r="D132" s="358">
        <f>'G-2 Habitat groups'!BB120</f>
        <v>0</v>
      </c>
      <c r="E132" s="358">
        <f>'G-2 Habitat groups'!BD120</f>
        <v>0</v>
      </c>
      <c r="F132" s="347">
        <f>'G-2 Habitat groups'!BE120</f>
        <v>0</v>
      </c>
      <c r="G132" s="32"/>
      <c r="H132" s="32"/>
      <c r="I132" s="32"/>
      <c r="J132" s="32"/>
      <c r="K132" s="32"/>
      <c r="L132" s="32"/>
      <c r="M132" s="32"/>
      <c r="N132" s="32"/>
    </row>
    <row r="133" spans="1:14">
      <c r="A133" s="32"/>
      <c r="B133" s="215" t="str">
        <f>'G-2 Habitat groups'!AU121</f>
        <v>Heathland and shrub - Rhododendron scrub</v>
      </c>
      <c r="C133" s="79" t="str">
        <f>'G-2 Habitat groups'!AV121</f>
        <v>Heathland and shrub</v>
      </c>
      <c r="D133" s="358">
        <f>'G-2 Habitat groups'!BB121</f>
        <v>0</v>
      </c>
      <c r="E133" s="358">
        <f>'G-2 Habitat groups'!BD121</f>
        <v>0</v>
      </c>
      <c r="F133" s="347">
        <f>'G-2 Habitat groups'!BE121</f>
        <v>0</v>
      </c>
      <c r="G133" s="32"/>
      <c r="H133" s="32"/>
      <c r="I133" s="32"/>
      <c r="J133" s="32"/>
      <c r="K133" s="32"/>
      <c r="L133" s="32"/>
      <c r="M133" s="32"/>
      <c r="N133" s="32"/>
    </row>
    <row r="134" spans="1:14">
      <c r="A134" s="32"/>
      <c r="B134" s="215" t="str">
        <f>'G-2 Habitat groups'!AU122</f>
        <v>Lakes - Ornamental lake or pond</v>
      </c>
      <c r="C134" s="79" t="str">
        <f>'G-2 Habitat groups'!AV122</f>
        <v>Lakes</v>
      </c>
      <c r="D134" s="358">
        <f>'G-2 Habitat groups'!BB122</f>
        <v>0</v>
      </c>
      <c r="E134" s="358">
        <f>'G-2 Habitat groups'!BD122</f>
        <v>0</v>
      </c>
      <c r="F134" s="347">
        <f>'G-2 Habitat groups'!BE122</f>
        <v>0</v>
      </c>
      <c r="G134" s="32"/>
      <c r="H134" s="32"/>
      <c r="I134" s="32"/>
      <c r="J134" s="32"/>
      <c r="K134" s="32"/>
      <c r="L134" s="32"/>
      <c r="M134" s="32"/>
      <c r="N134" s="32"/>
    </row>
    <row r="135" spans="1:14">
      <c r="A135" s="32"/>
      <c r="B135" s="215" t="str">
        <f>'G-2 Habitat groups'!AU123</f>
        <v>Sparsely vegetated land - Ruderal/ephemeral</v>
      </c>
      <c r="C135" s="79" t="str">
        <f>'G-2 Habitat groups'!AV123</f>
        <v>Sparsely vegetated land</v>
      </c>
      <c r="D135" s="358">
        <f>'G-2 Habitat groups'!BB123</f>
        <v>0</v>
      </c>
      <c r="E135" s="358">
        <f>'G-2 Habitat groups'!BD123</f>
        <v>0</v>
      </c>
      <c r="F135" s="347">
        <f>'G-2 Habitat groups'!BE123</f>
        <v>0</v>
      </c>
      <c r="G135" s="32"/>
      <c r="H135" s="32"/>
      <c r="I135" s="32"/>
      <c r="J135" s="32"/>
      <c r="K135" s="32"/>
      <c r="L135" s="32"/>
      <c r="M135" s="32"/>
      <c r="N135" s="32"/>
    </row>
    <row r="136" spans="1:14">
      <c r="A136" s="32"/>
      <c r="B136" s="215" t="str">
        <f>'G-2 Habitat groups'!AU151</f>
        <v>Sparsely vegetated land - Tall forbs</v>
      </c>
      <c r="C136" s="79" t="str">
        <f>'G-2 Habitat groups'!AV151</f>
        <v>Sparsely vegetated land</v>
      </c>
      <c r="D136" s="358">
        <f>'G-2 Habitat groups'!BB151</f>
        <v>0</v>
      </c>
      <c r="E136" s="358">
        <f>'G-2 Habitat groups'!BD151</f>
        <v>0</v>
      </c>
      <c r="F136" s="347">
        <f>'G-2 Habitat groups'!BE151</f>
        <v>0</v>
      </c>
      <c r="G136" s="32"/>
      <c r="H136" s="32"/>
      <c r="I136" s="32"/>
      <c r="J136" s="32"/>
      <c r="K136" s="32"/>
      <c r="L136" s="32"/>
      <c r="M136" s="32"/>
      <c r="N136" s="32"/>
    </row>
    <row r="137" spans="1:14">
      <c r="A137" s="32"/>
      <c r="B137" s="215" t="str">
        <f>'G-2 Habitat groups'!AU124</f>
        <v>Urban - Bioswale</v>
      </c>
      <c r="C137" s="79" t="str">
        <f>'G-2 Habitat groups'!AV124</f>
        <v>Urban</v>
      </c>
      <c r="D137" s="358">
        <f>'G-2 Habitat groups'!BB124</f>
        <v>0</v>
      </c>
      <c r="E137" s="358">
        <f>'G-2 Habitat groups'!BD124</f>
        <v>0</v>
      </c>
      <c r="F137" s="347">
        <f>'G-2 Habitat groups'!BE124</f>
        <v>0</v>
      </c>
      <c r="G137" s="32"/>
      <c r="H137" s="32"/>
      <c r="I137" s="32"/>
      <c r="J137" s="32"/>
      <c r="K137" s="32"/>
      <c r="L137" s="32"/>
      <c r="M137" s="32"/>
      <c r="N137" s="32"/>
    </row>
    <row r="138" spans="1:14">
      <c r="A138" s="32"/>
      <c r="B138" s="215" t="str">
        <f>'G-2 Habitat groups'!AU134</f>
        <v>Urban - Bare ground</v>
      </c>
      <c r="C138" s="79" t="str">
        <f>'G-2 Habitat groups'!AV134</f>
        <v>Urban</v>
      </c>
      <c r="D138" s="358">
        <f>'G-2 Habitat groups'!BB134</f>
        <v>0</v>
      </c>
      <c r="E138" s="358">
        <f>'G-2 Habitat groups'!BD134</f>
        <v>0</v>
      </c>
      <c r="F138" s="347">
        <f>'G-2 Habitat groups'!BE134</f>
        <v>0</v>
      </c>
      <c r="G138" s="32"/>
      <c r="H138" s="32"/>
      <c r="I138" s="32"/>
      <c r="J138" s="32"/>
      <c r="K138" s="32"/>
      <c r="L138" s="32"/>
      <c r="M138" s="32"/>
      <c r="N138" s="32"/>
    </row>
    <row r="139" spans="1:14">
      <c r="A139" s="32"/>
      <c r="B139" s="215" t="str">
        <f>'G-2 Habitat groups'!AU125</f>
        <v>Urban - Allotments</v>
      </c>
      <c r="C139" s="79" t="str">
        <f>'G-2 Habitat groups'!AV125</f>
        <v>Urban</v>
      </c>
      <c r="D139" s="358">
        <f>'G-2 Habitat groups'!BB125</f>
        <v>0</v>
      </c>
      <c r="E139" s="358">
        <f>'G-2 Habitat groups'!BD125</f>
        <v>0</v>
      </c>
      <c r="F139" s="347">
        <f>'G-2 Habitat groups'!BE125</f>
        <v>0</v>
      </c>
      <c r="G139" s="32"/>
      <c r="H139" s="32"/>
      <c r="I139" s="32"/>
      <c r="J139" s="32"/>
      <c r="K139" s="32"/>
      <c r="L139" s="32"/>
      <c r="M139" s="32"/>
      <c r="N139" s="32"/>
    </row>
    <row r="140" spans="1:14">
      <c r="A140" s="32"/>
      <c r="B140" s="215" t="str">
        <f>'G-2 Habitat groups'!AU126</f>
        <v>Urban - Facade-bound green wall</v>
      </c>
      <c r="C140" s="79" t="str">
        <f>'G-2 Habitat groups'!AV126</f>
        <v>Urban</v>
      </c>
      <c r="D140" s="358">
        <f>'G-2 Habitat groups'!BB126</f>
        <v>0</v>
      </c>
      <c r="E140" s="358">
        <f>'G-2 Habitat groups'!BD126</f>
        <v>0</v>
      </c>
      <c r="F140" s="347">
        <f>'G-2 Habitat groups'!BE126</f>
        <v>0</v>
      </c>
      <c r="G140" s="32"/>
      <c r="H140" s="32"/>
      <c r="I140" s="32"/>
      <c r="J140" s="32"/>
      <c r="K140" s="32"/>
      <c r="L140" s="32"/>
      <c r="M140" s="32"/>
      <c r="N140" s="32"/>
    </row>
    <row r="141" spans="1:14">
      <c r="A141" s="32"/>
      <c r="B141" s="215" t="str">
        <f>'G-2 Habitat groups'!AU127</f>
        <v>Urban - Ground based green wall</v>
      </c>
      <c r="C141" s="79" t="str">
        <f>'G-2 Habitat groups'!AV127</f>
        <v>Urban</v>
      </c>
      <c r="D141" s="358">
        <f>'G-2 Habitat groups'!BB127</f>
        <v>0</v>
      </c>
      <c r="E141" s="358">
        <f>'G-2 Habitat groups'!BD127</f>
        <v>0</v>
      </c>
      <c r="F141" s="347">
        <f>'G-2 Habitat groups'!BE127</f>
        <v>0</v>
      </c>
      <c r="G141" s="32"/>
      <c r="H141" s="32"/>
      <c r="I141" s="32"/>
      <c r="J141" s="32"/>
      <c r="K141" s="32"/>
      <c r="L141" s="32"/>
      <c r="M141" s="32"/>
      <c r="N141" s="32"/>
    </row>
    <row r="142" spans="1:14">
      <c r="A142" s="32"/>
      <c r="B142" s="215" t="str">
        <f>'G-2 Habitat groups'!AU128</f>
        <v>Urban - Ground level planters</v>
      </c>
      <c r="C142" s="79" t="str">
        <f>'G-2 Habitat groups'!AV128</f>
        <v>Urban</v>
      </c>
      <c r="D142" s="358">
        <f>'G-2 Habitat groups'!BB128</f>
        <v>0</v>
      </c>
      <c r="E142" s="358">
        <f>'G-2 Habitat groups'!BD128</f>
        <v>0</v>
      </c>
      <c r="F142" s="347">
        <f>'G-2 Habitat groups'!BE128</f>
        <v>0</v>
      </c>
      <c r="G142" s="32"/>
      <c r="H142" s="32"/>
      <c r="I142" s="32"/>
      <c r="J142" s="32"/>
      <c r="K142" s="32"/>
      <c r="L142" s="32"/>
      <c r="M142" s="32"/>
      <c r="N142" s="32"/>
    </row>
    <row r="143" spans="1:14">
      <c r="A143" s="32"/>
      <c r="B143" s="215" t="str">
        <f>'G-2 Habitat groups'!AU129</f>
        <v>Urban - Other green roof</v>
      </c>
      <c r="C143" s="79" t="str">
        <f>'G-2 Habitat groups'!AV129</f>
        <v>Urban</v>
      </c>
      <c r="D143" s="358">
        <f>'G-2 Habitat groups'!BB129</f>
        <v>0</v>
      </c>
      <c r="E143" s="358">
        <f>'G-2 Habitat groups'!BD129</f>
        <v>0</v>
      </c>
      <c r="F143" s="347">
        <f>'G-2 Habitat groups'!BE129</f>
        <v>0</v>
      </c>
      <c r="G143" s="32"/>
      <c r="H143" s="32"/>
      <c r="I143" s="32"/>
      <c r="J143" s="32"/>
      <c r="K143" s="32"/>
      <c r="L143" s="32"/>
      <c r="M143" s="32"/>
      <c r="N143" s="32"/>
    </row>
    <row r="144" spans="1:14">
      <c r="A144" s="32"/>
      <c r="B144" s="215" t="str">
        <f>'G-2 Habitat groups'!AU150</f>
        <v>Urban - Intensive green roof</v>
      </c>
      <c r="C144" s="79" t="str">
        <f>'G-2 Habitat groups'!AV150</f>
        <v>Urban</v>
      </c>
      <c r="D144" s="358">
        <f>'G-2 Habitat groups'!BB150</f>
        <v>0</v>
      </c>
      <c r="E144" s="358">
        <f>'G-2 Habitat groups'!BD150</f>
        <v>0</v>
      </c>
      <c r="F144" s="347">
        <f>'G-2 Habitat groups'!BE150</f>
        <v>0</v>
      </c>
      <c r="G144" s="32"/>
      <c r="H144" s="32"/>
      <c r="I144" s="32"/>
      <c r="J144" s="32"/>
      <c r="K144" s="32"/>
      <c r="L144" s="32"/>
      <c r="M144" s="32"/>
      <c r="N144" s="32"/>
    </row>
    <row r="145" spans="1:15">
      <c r="A145" s="32"/>
      <c r="B145" s="215" t="str">
        <f>'G-2 Habitat groups'!AU130</f>
        <v>Urban - Introduced shrub</v>
      </c>
      <c r="C145" s="79" t="str">
        <f>'G-2 Habitat groups'!AV130</f>
        <v>Urban</v>
      </c>
      <c r="D145" s="358">
        <f>'G-2 Habitat groups'!BB130</f>
        <v>0</v>
      </c>
      <c r="E145" s="358">
        <f>'G-2 Habitat groups'!BD130</f>
        <v>0</v>
      </c>
      <c r="F145" s="347">
        <f>'G-2 Habitat groups'!BE130</f>
        <v>0</v>
      </c>
      <c r="G145" s="32"/>
      <c r="H145" s="32"/>
      <c r="I145" s="32"/>
      <c r="J145" s="32"/>
      <c r="K145" s="32"/>
      <c r="L145" s="32"/>
      <c r="M145" s="32"/>
      <c r="N145" s="32"/>
    </row>
    <row r="146" spans="1:15">
      <c r="A146" s="32"/>
      <c r="B146" s="215" t="str">
        <f>'G-2 Habitat groups'!AU131</f>
        <v>Urban - Rain garden</v>
      </c>
      <c r="C146" s="79" t="str">
        <f>'G-2 Habitat groups'!AV131</f>
        <v>Urban</v>
      </c>
      <c r="D146" s="358">
        <f>'G-2 Habitat groups'!BB131</f>
        <v>0</v>
      </c>
      <c r="E146" s="358">
        <f>'G-2 Habitat groups'!BD131</f>
        <v>0</v>
      </c>
      <c r="F146" s="347">
        <f>'G-2 Habitat groups'!BE131</f>
        <v>0</v>
      </c>
      <c r="G146" s="32"/>
      <c r="H146" s="32"/>
      <c r="I146" s="32"/>
      <c r="J146" s="32"/>
      <c r="K146" s="32"/>
      <c r="L146" s="32"/>
      <c r="M146" s="32"/>
      <c r="N146" s="32"/>
    </row>
    <row r="147" spans="1:15">
      <c r="A147" s="32"/>
      <c r="B147" s="215" t="str">
        <f>'G-2 Habitat groups'!AU132</f>
        <v>Urban - Actively worked sand pit quarry or open cast mine</v>
      </c>
      <c r="C147" s="79" t="str">
        <f>'G-2 Habitat groups'!AV132</f>
        <v>Urban</v>
      </c>
      <c r="D147" s="358">
        <f>'G-2 Habitat groups'!BB132</f>
        <v>0</v>
      </c>
      <c r="E147" s="358">
        <f>'G-2 Habitat groups'!BD132</f>
        <v>0</v>
      </c>
      <c r="F147" s="347">
        <f>'G-2 Habitat groups'!BE132</f>
        <v>0</v>
      </c>
      <c r="G147" s="32"/>
      <c r="H147" s="32"/>
      <c r="I147" s="32"/>
      <c r="J147" s="32"/>
      <c r="K147" s="32"/>
      <c r="L147" s="32"/>
      <c r="M147" s="32"/>
      <c r="N147" s="32"/>
    </row>
    <row r="148" spans="1:15">
      <c r="A148" s="32"/>
      <c r="B148" s="215" t="str">
        <f>'G-2 Habitat groups'!AU135</f>
        <v>Urban - Sustainable drainage system</v>
      </c>
      <c r="C148" s="79" t="str">
        <f>'G-2 Habitat groups'!AV135</f>
        <v>Urban</v>
      </c>
      <c r="D148" s="358">
        <f>'G-2 Habitat groups'!BB135</f>
        <v>0</v>
      </c>
      <c r="E148" s="358">
        <f>'G-2 Habitat groups'!BD135</f>
        <v>0</v>
      </c>
      <c r="F148" s="347">
        <f>'G-2 Habitat groups'!BE135</f>
        <v>0</v>
      </c>
      <c r="G148" s="32"/>
      <c r="H148" s="32"/>
      <c r="I148" s="32"/>
      <c r="J148" s="32"/>
      <c r="K148" s="32"/>
      <c r="L148" s="32"/>
      <c r="M148" s="32"/>
      <c r="N148" s="32"/>
      <c r="O148" s="32"/>
    </row>
    <row r="149" spans="1:15">
      <c r="A149" s="32"/>
      <c r="B149" s="215" t="str">
        <f>'G-2 Habitat groups'!AU136</f>
        <v>Urban - Vacant or derelict land</v>
      </c>
      <c r="C149" s="79" t="str">
        <f>'G-2 Habitat groups'!AV136</f>
        <v>Urban</v>
      </c>
      <c r="D149" s="358">
        <f>'G-2 Habitat groups'!BB136</f>
        <v>0</v>
      </c>
      <c r="E149" s="358">
        <f>'G-2 Habitat groups'!BD136</f>
        <v>0</v>
      </c>
      <c r="F149" s="347">
        <f>'G-2 Habitat groups'!BE136</f>
        <v>0</v>
      </c>
      <c r="G149" s="32"/>
      <c r="H149" s="32"/>
      <c r="I149" s="32"/>
      <c r="J149" s="32"/>
      <c r="K149" s="32"/>
      <c r="L149" s="32"/>
      <c r="M149" s="32"/>
      <c r="N149" s="32"/>
      <c r="O149" s="32"/>
    </row>
    <row r="150" spans="1:15">
      <c r="A150" s="32"/>
      <c r="B150" s="215" t="str">
        <f>'G-2 Habitat groups'!AU137</f>
        <v>Urban - Vegetated garden</v>
      </c>
      <c r="C150" s="79" t="str">
        <f>'G-2 Habitat groups'!AV137</f>
        <v>Urban</v>
      </c>
      <c r="D150" s="358">
        <f>'G-2 Habitat groups'!BB137</f>
        <v>0</v>
      </c>
      <c r="E150" s="358">
        <f>'G-2 Habitat groups'!BD137</f>
        <v>0</v>
      </c>
      <c r="F150" s="347">
        <f>'G-2 Habitat groups'!BE137</f>
        <v>0</v>
      </c>
      <c r="G150" s="32"/>
      <c r="H150" s="32"/>
      <c r="I150" s="32"/>
      <c r="J150" s="32"/>
      <c r="K150" s="32"/>
      <c r="L150" s="32"/>
      <c r="M150" s="32"/>
      <c r="N150" s="32"/>
      <c r="O150" s="32"/>
    </row>
    <row r="151" spans="1:15">
      <c r="A151" s="32"/>
      <c r="B151" s="532" t="str">
        <f>'G-2 Habitat groups'!AU138</f>
        <v>Woodland and forest - Other coniferous woodland</v>
      </c>
      <c r="C151" s="533" t="str">
        <f>'G-2 Habitat groups'!AV138</f>
        <v>Woodland and forest</v>
      </c>
      <c r="D151" s="359">
        <f>'G-2 Habitat groups'!BB138</f>
        <v>0</v>
      </c>
      <c r="E151" s="359">
        <f>'G-2 Habitat groups'!BD138</f>
        <v>0</v>
      </c>
      <c r="F151" s="889">
        <f>'G-2 Habitat groups'!BE138</f>
        <v>0</v>
      </c>
      <c r="G151" s="32"/>
      <c r="H151" s="32"/>
      <c r="I151" s="32"/>
      <c r="J151" s="32"/>
      <c r="K151" s="32"/>
      <c r="L151" s="32"/>
      <c r="M151" s="32"/>
      <c r="N151" s="32"/>
      <c r="O151" s="32"/>
    </row>
    <row r="152" spans="1:15">
      <c r="A152" s="32"/>
      <c r="B152" s="215" t="str">
        <f>'G-2 Habitat groups'!AU139</f>
        <v>Coastal saltmarsh - Artificial saltmarshes and saline reedbeds</v>
      </c>
      <c r="C152" s="79" t="str">
        <f>'G-2 Habitat groups'!AV139</f>
        <v xml:space="preserve">Coastal saltmarsh </v>
      </c>
      <c r="D152" s="358">
        <f>'G-2 Habitat groups'!BB139</f>
        <v>0</v>
      </c>
      <c r="E152" s="358">
        <f>'G-2 Habitat groups'!BD139</f>
        <v>0</v>
      </c>
      <c r="F152" s="347">
        <f>'G-2 Habitat groups'!BE139</f>
        <v>0</v>
      </c>
      <c r="G152" s="32"/>
      <c r="H152" s="32"/>
      <c r="I152" s="32"/>
      <c r="J152" s="32"/>
      <c r="K152" s="32"/>
      <c r="L152" s="32"/>
      <c r="M152" s="32"/>
      <c r="N152" s="32"/>
      <c r="O152" s="32"/>
    </row>
    <row r="153" spans="1:15">
      <c r="A153" s="32"/>
      <c r="B153" s="215" t="str">
        <f>'G-2 Habitat groups'!AU140</f>
        <v>Intertidal sediment - Artificial littoral coarse sediment</v>
      </c>
      <c r="C153" s="79" t="str">
        <f>'G-2 Habitat groups'!AV140</f>
        <v>Intertidal sediment</v>
      </c>
      <c r="D153" s="358">
        <f>'G-2 Habitat groups'!BB140</f>
        <v>0</v>
      </c>
      <c r="E153" s="358">
        <f>'G-2 Habitat groups'!BD140</f>
        <v>0</v>
      </c>
      <c r="F153" s="347">
        <f>'G-2 Habitat groups'!BE140</f>
        <v>0</v>
      </c>
      <c r="G153" s="32"/>
      <c r="H153" s="32"/>
      <c r="I153" s="32"/>
      <c r="J153" s="32"/>
      <c r="K153" s="32"/>
      <c r="L153" s="32"/>
      <c r="M153" s="32"/>
      <c r="N153" s="32"/>
      <c r="O153" s="32"/>
    </row>
    <row r="154" spans="1:15">
      <c r="A154" s="32"/>
      <c r="B154" s="215" t="str">
        <f>'G-2 Habitat groups'!AU141</f>
        <v>Intertidal sediment - Artificial littoral mud</v>
      </c>
      <c r="C154" s="79" t="str">
        <f>'G-2 Habitat groups'!AV141</f>
        <v>Intertidal sediment</v>
      </c>
      <c r="D154" s="358">
        <f>'G-2 Habitat groups'!BB141</f>
        <v>0</v>
      </c>
      <c r="E154" s="358">
        <f>'G-2 Habitat groups'!BD141</f>
        <v>0</v>
      </c>
      <c r="F154" s="347">
        <f>'G-2 Habitat groups'!BE141</f>
        <v>0</v>
      </c>
      <c r="G154" s="32"/>
      <c r="H154" s="32"/>
      <c r="I154" s="32"/>
      <c r="J154" s="32"/>
      <c r="K154" s="32"/>
      <c r="L154" s="32"/>
      <c r="M154" s="32"/>
      <c r="N154" s="32"/>
      <c r="O154" s="32"/>
    </row>
    <row r="155" spans="1:15">
      <c r="A155" s="32"/>
      <c r="B155" s="215" t="str">
        <f>'G-2 Habitat groups'!AU142</f>
        <v>Intertidal sediment - Artificial littoral sand</v>
      </c>
      <c r="C155" s="79" t="str">
        <f>'G-2 Habitat groups'!AV142</f>
        <v>Intertidal sediment</v>
      </c>
      <c r="D155" s="358">
        <f>'G-2 Habitat groups'!BB142</f>
        <v>0</v>
      </c>
      <c r="E155" s="358">
        <f>'G-2 Habitat groups'!BD142</f>
        <v>0</v>
      </c>
      <c r="F155" s="347">
        <f>'G-2 Habitat groups'!BE142</f>
        <v>0</v>
      </c>
      <c r="G155" s="32"/>
      <c r="H155" s="32"/>
      <c r="I155" s="32"/>
      <c r="J155" s="32"/>
      <c r="K155" s="32"/>
      <c r="L155" s="32"/>
      <c r="M155" s="32"/>
      <c r="N155" s="32"/>
      <c r="O155" s="32"/>
    </row>
    <row r="156" spans="1:15">
      <c r="A156" s="32"/>
      <c r="B156" s="215" t="str">
        <f>'G-2 Habitat groups'!AU143</f>
        <v>Intertidal sediment - Artificial littoral muddy sand</v>
      </c>
      <c r="C156" s="79" t="str">
        <f>'G-2 Habitat groups'!AV143</f>
        <v>Intertidal sediment</v>
      </c>
      <c r="D156" s="358">
        <f>'G-2 Habitat groups'!BB143</f>
        <v>0</v>
      </c>
      <c r="E156" s="358">
        <f>'G-2 Habitat groups'!BD143</f>
        <v>0</v>
      </c>
      <c r="F156" s="347">
        <f>'G-2 Habitat groups'!BE143</f>
        <v>0</v>
      </c>
      <c r="G156" s="32"/>
      <c r="H156" s="32"/>
      <c r="I156" s="32"/>
      <c r="J156" s="32"/>
      <c r="K156" s="32"/>
      <c r="L156" s="32"/>
      <c r="M156" s="32"/>
      <c r="N156" s="32"/>
      <c r="O156" s="32"/>
    </row>
    <row r="157" spans="1:15">
      <c r="A157" s="32"/>
      <c r="B157" s="215" t="str">
        <f>'G-2 Habitat groups'!AU144</f>
        <v>Intertidal sediment - Artificial littoral mixed sediments</v>
      </c>
      <c r="C157" s="79" t="str">
        <f>'G-2 Habitat groups'!AV144</f>
        <v>Intertidal sediment</v>
      </c>
      <c r="D157" s="358">
        <f>'G-2 Habitat groups'!BB144</f>
        <v>0</v>
      </c>
      <c r="E157" s="358">
        <f>'G-2 Habitat groups'!BD144</f>
        <v>0</v>
      </c>
      <c r="F157" s="347">
        <f>'G-2 Habitat groups'!BE144</f>
        <v>0</v>
      </c>
      <c r="G157" s="32"/>
      <c r="H157" s="32"/>
      <c r="I157" s="32"/>
      <c r="J157" s="32"/>
      <c r="K157" s="32"/>
      <c r="L157" s="32"/>
      <c r="M157" s="32"/>
      <c r="N157" s="32"/>
      <c r="O157" s="32"/>
    </row>
    <row r="158" spans="1:15">
      <c r="A158" s="32"/>
      <c r="B158" s="215" t="str">
        <f>'G-2 Habitat groups'!AU145</f>
        <v>Intertidal sediment - Artificial littoral seagrass</v>
      </c>
      <c r="C158" s="79" t="str">
        <f>'G-2 Habitat groups'!AV145</f>
        <v>Intertidal sediment</v>
      </c>
      <c r="D158" s="358">
        <f>'G-2 Habitat groups'!BB145</f>
        <v>0</v>
      </c>
      <c r="E158" s="358">
        <f>'G-2 Habitat groups'!BD145</f>
        <v>0</v>
      </c>
      <c r="F158" s="347">
        <f>'G-2 Habitat groups'!BE145</f>
        <v>0</v>
      </c>
      <c r="G158" s="32"/>
      <c r="H158" s="32"/>
      <c r="I158" s="32"/>
      <c r="J158" s="32"/>
      <c r="K158" s="32"/>
      <c r="L158" s="32"/>
      <c r="M158" s="32"/>
      <c r="N158" s="32"/>
      <c r="O158" s="32"/>
    </row>
    <row r="159" spans="1:15">
      <c r="A159" s="32"/>
      <c r="B159" s="215" t="str">
        <f>'G-2 Habitat groups'!AU146</f>
        <v>Intertidal sediment - Artificial littoral biogenic reefs</v>
      </c>
      <c r="C159" s="79" t="str">
        <f>'G-2 Habitat groups'!AV146</f>
        <v>Intertidal sediment</v>
      </c>
      <c r="D159" s="358">
        <f>'G-2 Habitat groups'!BB146</f>
        <v>0</v>
      </c>
      <c r="E159" s="358">
        <f>'G-2 Habitat groups'!BD146</f>
        <v>0</v>
      </c>
      <c r="F159" s="347">
        <f>'G-2 Habitat groups'!BE146</f>
        <v>0</v>
      </c>
      <c r="G159" s="32"/>
      <c r="H159" s="32"/>
      <c r="I159" s="32"/>
      <c r="J159" s="32"/>
      <c r="K159" s="32"/>
      <c r="L159" s="32"/>
      <c r="M159" s="32"/>
      <c r="N159" s="32"/>
      <c r="O159" s="32"/>
    </row>
    <row r="160" spans="1:15">
      <c r="A160" s="32"/>
      <c r="B160" s="215" t="str">
        <f>'G-2 Habitat groups'!AU147</f>
        <v>Intertidal hard structures - Artificial hard structures</v>
      </c>
      <c r="C160" s="79" t="str">
        <f>'G-2 Habitat groups'!AV147</f>
        <v>Intertidal hard structures</v>
      </c>
      <c r="D160" s="358">
        <f>'G-2 Habitat groups'!BB147</f>
        <v>0</v>
      </c>
      <c r="E160" s="358">
        <f>'G-2 Habitat groups'!BD147</f>
        <v>0</v>
      </c>
      <c r="F160" s="347">
        <f>'G-2 Habitat groups'!BE147</f>
        <v>0</v>
      </c>
      <c r="G160" s="32"/>
      <c r="H160" s="32"/>
      <c r="I160" s="32"/>
      <c r="J160" s="32"/>
      <c r="K160" s="32"/>
      <c r="L160" s="32"/>
      <c r="M160" s="32"/>
      <c r="N160" s="32"/>
      <c r="O160" s="32"/>
    </row>
    <row r="161" spans="1:17">
      <c r="A161" s="32"/>
      <c r="B161" s="532" t="str">
        <f>'G-2 Habitat groups'!AU148</f>
        <v>Intertidal hard structures - Artificial features of hard structures</v>
      </c>
      <c r="C161" s="533" t="str">
        <f>'G-2 Habitat groups'!AV148</f>
        <v>Intertidal hard structures</v>
      </c>
      <c r="D161" s="359">
        <f>'G-2 Habitat groups'!BB148</f>
        <v>0</v>
      </c>
      <c r="E161" s="359">
        <f>'G-2 Habitat groups'!BD148</f>
        <v>0</v>
      </c>
      <c r="F161" s="889">
        <f>'G-2 Habitat groups'!BE148</f>
        <v>0</v>
      </c>
      <c r="G161" s="32"/>
      <c r="H161" s="32"/>
      <c r="I161" s="32"/>
      <c r="J161" s="32"/>
      <c r="K161" s="32"/>
      <c r="L161" s="32"/>
      <c r="M161" s="32"/>
      <c r="N161" s="32"/>
      <c r="O161" s="32"/>
    </row>
    <row r="162" spans="1:17" ht="15.75" thickBot="1">
      <c r="A162" s="32"/>
      <c r="B162" s="211" t="str">
        <f>'G-2 Habitat groups'!AU149</f>
        <v>Heathland and shrub - Other sea buckthorn scrub</v>
      </c>
      <c r="C162" s="534" t="str">
        <f>'G-2 Habitat groups'!AV149</f>
        <v>Heathland and shrub</v>
      </c>
      <c r="D162" s="361">
        <f>'G-2 Habitat groups'!BB149</f>
        <v>0</v>
      </c>
      <c r="E162" s="361">
        <f>'G-2 Habitat groups'!BD149</f>
        <v>0</v>
      </c>
      <c r="F162" s="599">
        <f>'G-2 Habitat groups'!BE149</f>
        <v>0</v>
      </c>
      <c r="G162" s="32"/>
      <c r="H162" s="32"/>
      <c r="I162" s="32"/>
      <c r="J162" s="32"/>
      <c r="K162" s="32"/>
      <c r="L162" s="32"/>
      <c r="M162" s="32"/>
      <c r="N162" s="32"/>
      <c r="O162" s="32"/>
    </row>
    <row r="163" spans="1:17" ht="15.75" thickBot="1">
      <c r="A163" s="32"/>
      <c r="B163" s="32"/>
      <c r="C163" s="32"/>
      <c r="D163" s="414">
        <f>SUM(D125:D162)</f>
        <v>23.951482239327198</v>
      </c>
      <c r="E163" s="133"/>
      <c r="F163" s="414">
        <f>SUM(F125:F162)</f>
        <v>23.951482239327198</v>
      </c>
      <c r="G163" s="32"/>
      <c r="H163" s="32"/>
      <c r="I163" s="32"/>
      <c r="J163" s="32"/>
      <c r="K163" s="32"/>
      <c r="L163" s="32"/>
      <c r="M163" s="32"/>
      <c r="N163" s="32"/>
      <c r="O163" s="32"/>
      <c r="P163" s="32"/>
      <c r="Q163" s="32"/>
    </row>
    <row r="164" spans="1:17">
      <c r="A164" s="32"/>
      <c r="G164" s="32"/>
      <c r="H164" s="32"/>
      <c r="I164" s="32"/>
      <c r="J164" s="32"/>
      <c r="K164" s="32"/>
      <c r="L164" s="32"/>
      <c r="M164" s="32"/>
      <c r="N164" s="32"/>
      <c r="O164" s="32"/>
      <c r="P164" s="32"/>
      <c r="Q164" s="32"/>
    </row>
    <row r="165" spans="1:17" hidden="1">
      <c r="A165" s="32"/>
      <c r="B165" s="32"/>
      <c r="C165" s="32"/>
      <c r="D165" s="32"/>
      <c r="E165" s="32"/>
      <c r="F165" s="32"/>
      <c r="G165" s="32"/>
      <c r="H165" s="32"/>
      <c r="I165" s="32"/>
      <c r="J165" s="32"/>
      <c r="K165" s="32"/>
      <c r="L165" s="32"/>
      <c r="M165" s="32"/>
      <c r="N165" s="32"/>
      <c r="O165" s="32"/>
      <c r="P165" s="32"/>
      <c r="Q165" s="32"/>
    </row>
    <row r="166" spans="1:17" hidden="1">
      <c r="A166" s="32"/>
      <c r="B166" s="32"/>
      <c r="C166" s="32"/>
      <c r="D166" s="32"/>
      <c r="E166" s="32"/>
      <c r="F166" s="32"/>
      <c r="G166" s="32"/>
      <c r="H166" s="32"/>
      <c r="I166" s="32"/>
      <c r="J166" s="32"/>
      <c r="K166" s="32"/>
      <c r="L166" s="32"/>
      <c r="M166" s="32"/>
      <c r="N166" s="32"/>
      <c r="O166" s="32"/>
      <c r="P166" s="32"/>
      <c r="Q166" s="32"/>
    </row>
    <row r="167" spans="1:17" hidden="1">
      <c r="A167" s="32"/>
      <c r="B167" s="32"/>
      <c r="C167" s="32"/>
      <c r="D167" s="32"/>
      <c r="E167" s="32"/>
      <c r="F167" s="32"/>
      <c r="G167" s="32"/>
      <c r="H167" s="32"/>
      <c r="I167" s="32"/>
      <c r="J167" s="32"/>
      <c r="K167" s="32"/>
      <c r="L167" s="32"/>
      <c r="M167" s="32"/>
      <c r="N167" s="32"/>
      <c r="O167" s="32"/>
      <c r="P167" s="32"/>
      <c r="Q167" s="32"/>
    </row>
    <row r="168" spans="1:17" hidden="1">
      <c r="A168" s="32"/>
      <c r="B168" s="32"/>
      <c r="C168" s="32"/>
      <c r="D168" s="32"/>
      <c r="E168" s="32"/>
      <c r="F168" s="32"/>
      <c r="G168" s="32"/>
      <c r="H168" s="32"/>
      <c r="I168" s="32"/>
      <c r="J168" s="32"/>
      <c r="K168" s="32"/>
      <c r="L168" s="32"/>
      <c r="M168" s="32"/>
      <c r="N168" s="32"/>
      <c r="O168" s="32"/>
      <c r="P168" s="32"/>
      <c r="Q168" s="32"/>
    </row>
    <row r="169" spans="1:17" hidden="1">
      <c r="A169" s="32"/>
      <c r="B169" s="32"/>
      <c r="C169" s="32"/>
      <c r="D169" s="32"/>
      <c r="E169" s="32"/>
      <c r="F169" s="32"/>
      <c r="G169" s="32"/>
      <c r="H169" s="32"/>
      <c r="I169" s="32"/>
      <c r="J169" s="32"/>
      <c r="K169" s="32"/>
      <c r="L169" s="32"/>
      <c r="M169" s="32"/>
      <c r="N169" s="32"/>
      <c r="O169" s="32"/>
      <c r="P169" s="32"/>
      <c r="Q169" s="32"/>
    </row>
    <row r="170" spans="1:17" hidden="1">
      <c r="A170" s="32"/>
      <c r="B170" s="32"/>
      <c r="C170" s="32"/>
      <c r="D170" s="32"/>
      <c r="E170" s="32"/>
      <c r="F170" s="32"/>
      <c r="G170" s="32"/>
      <c r="H170" s="32"/>
      <c r="I170" s="32"/>
      <c r="J170" s="32"/>
      <c r="K170" s="32"/>
      <c r="L170" s="32"/>
      <c r="M170" s="32"/>
      <c r="N170" s="32"/>
      <c r="O170" s="32"/>
      <c r="P170" s="32"/>
      <c r="Q170" s="32"/>
    </row>
    <row r="171" spans="1:17" hidden="1">
      <c r="A171" s="32"/>
      <c r="B171" s="32"/>
      <c r="C171" s="32"/>
      <c r="D171" s="32"/>
      <c r="E171" s="32"/>
      <c r="F171" s="32"/>
      <c r="G171" s="32"/>
      <c r="H171" s="32"/>
      <c r="I171" s="32"/>
      <c r="J171" s="32"/>
      <c r="K171" s="32"/>
      <c r="L171" s="32"/>
      <c r="M171" s="32"/>
      <c r="N171" s="32"/>
      <c r="O171" s="32"/>
      <c r="P171" s="32"/>
      <c r="Q171" s="32"/>
    </row>
    <row r="172" spans="1:17" hidden="1">
      <c r="A172" s="32"/>
      <c r="B172" s="32"/>
      <c r="C172" s="32"/>
      <c r="D172" s="32"/>
      <c r="E172" s="32"/>
      <c r="F172" s="32"/>
      <c r="G172" s="32"/>
      <c r="H172" s="32"/>
      <c r="I172" s="32"/>
      <c r="J172" s="32"/>
      <c r="K172" s="32"/>
      <c r="L172" s="32"/>
      <c r="M172" s="32"/>
      <c r="N172" s="32"/>
      <c r="O172" s="32"/>
      <c r="P172" s="32"/>
      <c r="Q172" s="32"/>
    </row>
    <row r="173" spans="1:17" hidden="1">
      <c r="A173" s="32"/>
      <c r="B173" s="32"/>
      <c r="C173" s="32"/>
      <c r="D173" s="32"/>
      <c r="E173" s="32"/>
      <c r="F173" s="32"/>
      <c r="G173" s="32"/>
      <c r="H173" s="32"/>
      <c r="I173" s="32"/>
      <c r="J173" s="32"/>
      <c r="K173" s="32"/>
      <c r="L173" s="32"/>
      <c r="M173" s="32"/>
      <c r="N173" s="32"/>
      <c r="O173" s="32"/>
      <c r="P173" s="32"/>
      <c r="Q173" s="32"/>
    </row>
    <row r="174" spans="1:17" hidden="1">
      <c r="A174" s="32"/>
      <c r="B174" s="32"/>
      <c r="C174" s="32"/>
      <c r="D174" s="32"/>
      <c r="E174" s="32"/>
      <c r="F174" s="32"/>
      <c r="G174" s="32"/>
      <c r="H174" s="32"/>
      <c r="I174" s="32"/>
      <c r="J174" s="32"/>
      <c r="K174" s="32"/>
      <c r="L174" s="32"/>
      <c r="M174" s="32"/>
      <c r="N174" s="32"/>
      <c r="O174" s="32"/>
      <c r="P174" s="32"/>
      <c r="Q174" s="32"/>
    </row>
    <row r="175" spans="1:17" hidden="1">
      <c r="A175" s="32"/>
      <c r="B175" s="32"/>
      <c r="C175" s="32"/>
      <c r="D175" s="32"/>
      <c r="E175" s="32"/>
      <c r="F175" s="32"/>
      <c r="G175" s="32"/>
      <c r="H175" s="32"/>
      <c r="I175" s="32"/>
      <c r="J175" s="32"/>
      <c r="K175" s="32"/>
      <c r="L175" s="32"/>
      <c r="M175" s="32"/>
      <c r="N175" s="32"/>
      <c r="O175" s="32"/>
      <c r="P175" s="32"/>
      <c r="Q175" s="32"/>
    </row>
    <row r="176" spans="1:17" hidden="1">
      <c r="A176" s="32"/>
      <c r="B176" s="32"/>
      <c r="C176" s="32"/>
      <c r="D176" s="32"/>
      <c r="E176" s="32"/>
      <c r="F176" s="32"/>
      <c r="G176" s="32"/>
      <c r="H176" s="32"/>
      <c r="I176" s="32"/>
      <c r="J176" s="32"/>
      <c r="K176" s="32"/>
      <c r="L176" s="32"/>
      <c r="M176" s="32"/>
      <c r="N176" s="32"/>
      <c r="O176" s="32"/>
      <c r="P176" s="32"/>
      <c r="Q176" s="32"/>
    </row>
    <row r="177" spans="1:17" hidden="1">
      <c r="A177" s="32"/>
      <c r="B177" s="32"/>
      <c r="C177" s="32"/>
      <c r="D177" s="32"/>
      <c r="E177" s="32"/>
      <c r="F177" s="32"/>
      <c r="G177" s="32"/>
      <c r="H177" s="32"/>
      <c r="I177" s="32"/>
      <c r="J177" s="32"/>
      <c r="K177" s="32"/>
      <c r="L177" s="32"/>
      <c r="M177" s="32"/>
      <c r="N177" s="32"/>
      <c r="O177" s="32"/>
      <c r="P177" s="32"/>
      <c r="Q177" s="32"/>
    </row>
    <row r="178" spans="1:17" hidden="1">
      <c r="A178" s="32"/>
      <c r="B178" s="32"/>
      <c r="C178" s="32"/>
      <c r="D178" s="32"/>
      <c r="E178" s="32"/>
      <c r="F178" s="32"/>
      <c r="G178" s="32"/>
      <c r="H178" s="32"/>
      <c r="I178" s="32"/>
      <c r="J178" s="32"/>
      <c r="K178" s="32"/>
      <c r="L178" s="32"/>
      <c r="M178" s="32"/>
      <c r="N178" s="32"/>
      <c r="O178" s="32"/>
      <c r="P178" s="32"/>
      <c r="Q178" s="32"/>
    </row>
    <row r="179" spans="1:17" hidden="1">
      <c r="A179" s="32"/>
      <c r="B179" s="32"/>
      <c r="C179" s="32"/>
      <c r="D179" s="32"/>
      <c r="E179" s="32"/>
      <c r="F179" s="32"/>
      <c r="G179" s="32"/>
      <c r="H179" s="32"/>
      <c r="I179" s="32"/>
      <c r="J179" s="32"/>
      <c r="K179" s="32"/>
      <c r="L179" s="32"/>
      <c r="M179" s="32"/>
      <c r="N179" s="32"/>
      <c r="O179" s="32"/>
      <c r="P179" s="32"/>
      <c r="Q179" s="32"/>
    </row>
    <row r="180" spans="1:17" hidden="1">
      <c r="A180" s="32"/>
      <c r="B180" s="32"/>
      <c r="C180" s="32"/>
      <c r="D180" s="32"/>
      <c r="E180" s="32"/>
      <c r="F180" s="32"/>
      <c r="G180" s="32"/>
      <c r="H180" s="32"/>
      <c r="I180" s="32"/>
      <c r="J180" s="32"/>
      <c r="K180" s="32"/>
      <c r="L180" s="32"/>
      <c r="M180" s="32"/>
      <c r="N180" s="32"/>
      <c r="O180" s="32"/>
      <c r="P180" s="32"/>
      <c r="Q180" s="32"/>
    </row>
    <row r="181" spans="1:17" hidden="1">
      <c r="A181" s="32"/>
      <c r="B181" s="32"/>
      <c r="C181" s="32"/>
      <c r="D181" s="32"/>
      <c r="E181" s="32"/>
      <c r="F181" s="32"/>
      <c r="G181" s="32"/>
      <c r="H181" s="32"/>
      <c r="I181" s="32"/>
      <c r="J181" s="32"/>
      <c r="K181" s="32"/>
      <c r="L181" s="32"/>
      <c r="M181" s="32"/>
      <c r="N181" s="32"/>
      <c r="O181" s="32"/>
      <c r="P181" s="32"/>
      <c r="Q181" s="32"/>
    </row>
    <row r="182" spans="1:17" hidden="1">
      <c r="A182" s="32"/>
      <c r="B182" s="32"/>
      <c r="C182" s="32"/>
      <c r="D182" s="32"/>
      <c r="E182" s="32"/>
      <c r="F182" s="32"/>
      <c r="G182" s="32"/>
      <c r="H182" s="32"/>
      <c r="I182" s="32"/>
      <c r="J182" s="32"/>
      <c r="K182" s="32"/>
      <c r="L182" s="32"/>
      <c r="M182" s="32"/>
      <c r="N182" s="32"/>
      <c r="O182" s="32"/>
      <c r="P182" s="32"/>
      <c r="Q182" s="32"/>
    </row>
    <row r="183" spans="1:17" hidden="1">
      <c r="A183" s="32"/>
      <c r="B183" s="32"/>
      <c r="C183" s="32"/>
      <c r="D183" s="32"/>
      <c r="E183" s="32"/>
      <c r="F183" s="32"/>
      <c r="G183" s="32"/>
      <c r="H183" s="32"/>
      <c r="I183" s="32"/>
      <c r="J183" s="32"/>
      <c r="K183" s="32"/>
      <c r="L183" s="32"/>
      <c r="M183" s="32"/>
      <c r="N183" s="32"/>
      <c r="O183" s="32"/>
      <c r="P183" s="32"/>
      <c r="Q183" s="32"/>
    </row>
    <row r="184" spans="1:17" hidden="1">
      <c r="A184" s="32"/>
      <c r="B184" s="32"/>
      <c r="C184" s="32"/>
      <c r="D184" s="32"/>
      <c r="E184" s="32"/>
      <c r="F184" s="32"/>
      <c r="G184" s="32"/>
      <c r="H184" s="32"/>
      <c r="I184" s="32"/>
      <c r="J184" s="32"/>
      <c r="K184" s="32"/>
      <c r="L184" s="32"/>
      <c r="M184" s="32"/>
      <c r="N184" s="32"/>
      <c r="O184" s="32"/>
      <c r="P184" s="32"/>
      <c r="Q184" s="32"/>
    </row>
    <row r="185" spans="1:17" hidden="1">
      <c r="A185" s="32"/>
      <c r="B185" s="32"/>
      <c r="C185" s="32"/>
      <c r="D185" s="32"/>
      <c r="E185" s="32"/>
      <c r="F185" s="32"/>
      <c r="G185" s="32"/>
      <c r="H185" s="32"/>
      <c r="I185" s="32"/>
      <c r="J185" s="32"/>
      <c r="K185" s="32"/>
      <c r="L185" s="32"/>
      <c r="M185" s="32"/>
      <c r="N185" s="32"/>
      <c r="O185" s="32"/>
      <c r="P185" s="32"/>
      <c r="Q185" s="32"/>
    </row>
    <row r="186" spans="1:17" hidden="1">
      <c r="A186" s="32"/>
      <c r="B186" s="32"/>
      <c r="C186" s="32"/>
      <c r="D186" s="32"/>
      <c r="E186" s="32"/>
      <c r="F186" s="32"/>
      <c r="G186" s="32"/>
      <c r="H186" s="32"/>
      <c r="I186" s="32"/>
      <c r="J186" s="32"/>
      <c r="K186" s="32"/>
      <c r="L186" s="32"/>
      <c r="M186" s="32"/>
      <c r="N186" s="32"/>
      <c r="O186" s="32"/>
      <c r="P186" s="32"/>
      <c r="Q186" s="32"/>
    </row>
    <row r="187" spans="1:17" hidden="1">
      <c r="A187" s="32"/>
      <c r="B187" s="32"/>
      <c r="C187" s="32"/>
      <c r="D187" s="32"/>
      <c r="E187" s="32"/>
      <c r="F187" s="32"/>
      <c r="G187" s="32"/>
      <c r="H187" s="32"/>
      <c r="I187" s="32"/>
      <c r="J187" s="32"/>
      <c r="K187" s="32"/>
      <c r="L187" s="32"/>
      <c r="M187" s="32"/>
      <c r="N187" s="32"/>
      <c r="O187" s="32"/>
      <c r="P187" s="32"/>
      <c r="Q187" s="32"/>
    </row>
    <row r="188" spans="1:17" hidden="1">
      <c r="A188" s="32"/>
      <c r="B188" s="32"/>
      <c r="C188" s="32"/>
      <c r="D188" s="32"/>
      <c r="E188" s="32"/>
      <c r="F188" s="32"/>
      <c r="G188" s="32"/>
      <c r="H188" s="32"/>
      <c r="I188" s="32"/>
      <c r="J188" s="32"/>
      <c r="K188" s="32"/>
      <c r="L188" s="32"/>
      <c r="M188" s="32"/>
      <c r="N188" s="32"/>
      <c r="O188" s="32"/>
      <c r="P188" s="32"/>
      <c r="Q188" s="32"/>
    </row>
    <row r="189" spans="1:17" hidden="1">
      <c r="A189" s="32"/>
      <c r="B189" s="32"/>
      <c r="C189" s="32"/>
      <c r="D189" s="32"/>
      <c r="E189" s="32"/>
      <c r="F189" s="32"/>
      <c r="G189" s="32"/>
      <c r="H189" s="32"/>
      <c r="I189" s="32"/>
      <c r="J189" s="32"/>
      <c r="K189" s="32"/>
      <c r="L189" s="32"/>
      <c r="M189" s="32"/>
      <c r="N189" s="32"/>
      <c r="O189" s="32"/>
      <c r="P189" s="32"/>
      <c r="Q189" s="32"/>
    </row>
    <row r="190" spans="1:17" hidden="1">
      <c r="A190" s="32"/>
      <c r="B190" s="32"/>
      <c r="C190" s="32"/>
      <c r="D190" s="32"/>
      <c r="E190" s="32"/>
      <c r="F190" s="32"/>
      <c r="G190" s="32"/>
      <c r="H190" s="32"/>
      <c r="I190" s="32"/>
      <c r="J190" s="32"/>
      <c r="K190" s="32"/>
      <c r="L190" s="32"/>
      <c r="M190" s="32"/>
      <c r="N190" s="32"/>
      <c r="O190" s="32"/>
      <c r="P190" s="32"/>
      <c r="Q190" s="32"/>
    </row>
    <row r="191" spans="1:17" hidden="1">
      <c r="A191" s="32"/>
      <c r="B191" s="32"/>
      <c r="C191" s="32"/>
      <c r="D191" s="32"/>
      <c r="E191" s="32"/>
      <c r="F191" s="32"/>
      <c r="G191" s="32"/>
      <c r="H191" s="32"/>
      <c r="I191" s="32"/>
      <c r="J191" s="32"/>
      <c r="K191" s="32"/>
      <c r="L191" s="32"/>
      <c r="M191" s="32"/>
      <c r="N191" s="32"/>
      <c r="O191" s="32"/>
      <c r="P191" s="32"/>
      <c r="Q191" s="32"/>
    </row>
    <row r="192" spans="1:17" hidden="1">
      <c r="A192" s="32"/>
      <c r="B192" s="32"/>
      <c r="C192" s="32"/>
      <c r="D192" s="32"/>
      <c r="E192" s="32"/>
      <c r="F192" s="32"/>
      <c r="G192" s="32"/>
      <c r="H192" s="32"/>
      <c r="I192" s="32"/>
      <c r="J192" s="32"/>
      <c r="K192" s="32"/>
      <c r="L192" s="32"/>
      <c r="M192" s="32"/>
      <c r="N192" s="32"/>
      <c r="O192" s="32"/>
      <c r="P192" s="32"/>
      <c r="Q192" s="32"/>
    </row>
    <row r="193" spans="1:17" hidden="1">
      <c r="A193" s="32"/>
      <c r="B193" s="32"/>
      <c r="C193" s="32"/>
      <c r="D193" s="32"/>
      <c r="E193" s="32"/>
      <c r="F193" s="32"/>
      <c r="G193" s="32"/>
      <c r="H193" s="32"/>
      <c r="I193" s="32"/>
      <c r="J193" s="32"/>
      <c r="K193" s="32"/>
      <c r="L193" s="32"/>
      <c r="M193" s="32"/>
      <c r="N193" s="32"/>
      <c r="O193" s="32"/>
      <c r="P193" s="32"/>
      <c r="Q193" s="32"/>
    </row>
    <row r="194" spans="1:17" hidden="1">
      <c r="A194" s="32"/>
      <c r="B194" s="32"/>
      <c r="C194" s="32"/>
      <c r="D194" s="32"/>
      <c r="E194" s="32"/>
      <c r="F194" s="32"/>
      <c r="G194" s="32"/>
      <c r="H194" s="32"/>
      <c r="I194" s="32"/>
      <c r="J194" s="32"/>
      <c r="K194" s="32"/>
      <c r="L194" s="32"/>
      <c r="M194" s="32"/>
      <c r="N194" s="32"/>
      <c r="O194" s="32"/>
      <c r="P194" s="32"/>
      <c r="Q194" s="32"/>
    </row>
    <row r="195" spans="1:17" hidden="1">
      <c r="A195" s="32"/>
      <c r="B195" s="32"/>
      <c r="C195" s="32"/>
      <c r="D195" s="32"/>
      <c r="E195" s="32"/>
      <c r="F195" s="32"/>
      <c r="G195" s="32"/>
      <c r="H195" s="32"/>
      <c r="I195" s="32"/>
      <c r="J195" s="32"/>
      <c r="K195" s="32"/>
      <c r="L195" s="32"/>
      <c r="M195" s="32"/>
      <c r="N195" s="32"/>
      <c r="O195" s="32"/>
      <c r="P195" s="32"/>
      <c r="Q195" s="32"/>
    </row>
    <row r="196" spans="1:17" hidden="1">
      <c r="A196" s="32"/>
      <c r="B196" s="32"/>
      <c r="C196" s="32"/>
      <c r="D196" s="32"/>
      <c r="E196" s="32"/>
      <c r="F196" s="32"/>
      <c r="G196" s="32"/>
      <c r="H196" s="32"/>
      <c r="I196" s="32"/>
      <c r="J196" s="32"/>
      <c r="K196" s="32"/>
      <c r="L196" s="32"/>
      <c r="M196" s="32"/>
      <c r="N196" s="32"/>
      <c r="O196" s="32"/>
      <c r="P196" s="32"/>
      <c r="Q196" s="32"/>
    </row>
    <row r="197" spans="1:17" hidden="1">
      <c r="A197" s="32"/>
      <c r="B197" s="32"/>
      <c r="C197" s="32"/>
      <c r="D197" s="32"/>
      <c r="E197" s="32"/>
      <c r="F197" s="32"/>
      <c r="G197" s="32"/>
      <c r="H197" s="32"/>
      <c r="I197" s="32"/>
      <c r="J197" s="32"/>
      <c r="K197" s="32"/>
      <c r="L197" s="32"/>
      <c r="M197" s="32"/>
      <c r="N197" s="32"/>
      <c r="O197" s="32"/>
      <c r="P197" s="32"/>
      <c r="Q197" s="32"/>
    </row>
    <row r="198" spans="1:17" hidden="1">
      <c r="A198" s="32"/>
      <c r="B198" s="32"/>
      <c r="C198" s="32"/>
      <c r="D198" s="32"/>
      <c r="E198" s="32"/>
      <c r="F198" s="32"/>
      <c r="G198" s="32"/>
      <c r="H198" s="32"/>
      <c r="I198" s="32"/>
      <c r="J198" s="32"/>
      <c r="K198" s="32"/>
      <c r="L198" s="32"/>
      <c r="M198" s="32"/>
      <c r="N198" s="32"/>
      <c r="O198" s="32"/>
      <c r="P198" s="32"/>
      <c r="Q198" s="32"/>
    </row>
    <row r="199" spans="1:17" hidden="1">
      <c r="A199" s="32"/>
      <c r="B199" s="32"/>
      <c r="C199" s="32"/>
      <c r="D199" s="32"/>
      <c r="E199" s="32"/>
      <c r="F199" s="32"/>
      <c r="G199" s="32"/>
      <c r="H199" s="32"/>
      <c r="I199" s="32"/>
      <c r="J199" s="32"/>
      <c r="K199" s="32"/>
      <c r="L199" s="32"/>
      <c r="M199" s="32"/>
      <c r="N199" s="32"/>
      <c r="O199" s="32"/>
      <c r="P199" s="32"/>
      <c r="Q199" s="32"/>
    </row>
    <row r="200" spans="1:17" hidden="1">
      <c r="A200" s="32"/>
      <c r="B200" s="32"/>
      <c r="C200" s="32"/>
      <c r="D200" s="32"/>
      <c r="E200" s="32"/>
      <c r="F200" s="32"/>
      <c r="G200" s="32"/>
      <c r="H200" s="32"/>
      <c r="I200" s="32"/>
      <c r="J200" s="32"/>
      <c r="K200" s="32"/>
      <c r="L200" s="32"/>
      <c r="M200" s="32"/>
      <c r="N200" s="32"/>
      <c r="O200" s="32"/>
      <c r="P200" s="32"/>
      <c r="Q200" s="32"/>
    </row>
    <row r="201" spans="1:17" hidden="1">
      <c r="A201" s="32"/>
      <c r="B201" s="32"/>
      <c r="C201" s="32"/>
      <c r="D201" s="32"/>
      <c r="E201" s="32"/>
      <c r="F201" s="32"/>
      <c r="G201" s="32"/>
      <c r="H201" s="32"/>
      <c r="I201" s="32"/>
      <c r="J201" s="32"/>
      <c r="K201" s="32"/>
      <c r="L201" s="32"/>
      <c r="M201" s="32"/>
      <c r="N201" s="32"/>
      <c r="O201" s="32"/>
      <c r="P201" s="32"/>
      <c r="Q201" s="32"/>
    </row>
    <row r="202" spans="1:17" hidden="1">
      <c r="A202" s="32"/>
      <c r="B202" s="32"/>
      <c r="C202" s="32"/>
      <c r="D202" s="32"/>
      <c r="E202" s="32"/>
      <c r="F202" s="32"/>
      <c r="G202" s="32"/>
      <c r="H202" s="32"/>
      <c r="I202" s="32"/>
      <c r="J202" s="32"/>
      <c r="K202" s="32"/>
      <c r="L202" s="32"/>
      <c r="M202" s="32"/>
      <c r="N202" s="32"/>
      <c r="O202" s="32"/>
      <c r="P202" s="32"/>
      <c r="Q202" s="32"/>
    </row>
    <row r="203" spans="1:17" hidden="1">
      <c r="A203" s="32"/>
      <c r="B203" s="32"/>
      <c r="C203" s="32"/>
      <c r="D203" s="32"/>
      <c r="E203" s="32"/>
      <c r="F203" s="32"/>
      <c r="G203" s="32"/>
      <c r="H203" s="32"/>
      <c r="I203" s="32"/>
      <c r="J203" s="32"/>
      <c r="K203" s="32"/>
      <c r="L203" s="32"/>
      <c r="M203" s="32"/>
      <c r="N203" s="32"/>
      <c r="O203" s="32"/>
      <c r="P203" s="32"/>
      <c r="Q203" s="32"/>
    </row>
    <row r="204" spans="1:17" hidden="1">
      <c r="A204" s="32"/>
      <c r="B204" s="32"/>
      <c r="C204" s="32"/>
      <c r="D204" s="32"/>
      <c r="E204" s="32"/>
      <c r="F204" s="32"/>
      <c r="G204" s="32"/>
      <c r="H204" s="32"/>
      <c r="I204" s="32"/>
      <c r="J204" s="32"/>
      <c r="K204" s="32"/>
      <c r="L204" s="32"/>
      <c r="M204" s="32"/>
      <c r="N204" s="32"/>
      <c r="O204" s="32"/>
      <c r="P204" s="32"/>
      <c r="Q204" s="32"/>
    </row>
    <row r="205" spans="1:17" hidden="1">
      <c r="A205" s="32"/>
      <c r="B205" s="32"/>
      <c r="C205" s="32"/>
      <c r="D205" s="32"/>
      <c r="E205" s="32"/>
      <c r="F205" s="32"/>
      <c r="G205" s="32"/>
      <c r="H205" s="32"/>
      <c r="I205" s="32"/>
      <c r="J205" s="32"/>
      <c r="K205" s="32"/>
      <c r="L205" s="32"/>
      <c r="M205" s="32"/>
      <c r="N205" s="32"/>
      <c r="O205" s="32"/>
      <c r="P205" s="32"/>
      <c r="Q205" s="32"/>
    </row>
    <row r="206" spans="1:17" hidden="1">
      <c r="A206" s="32"/>
      <c r="B206" s="32"/>
      <c r="C206" s="32"/>
      <c r="D206" s="32"/>
      <c r="E206" s="32"/>
      <c r="F206" s="32"/>
      <c r="G206" s="32"/>
      <c r="H206" s="32"/>
      <c r="I206" s="32"/>
      <c r="J206" s="32"/>
      <c r="K206" s="32"/>
      <c r="L206" s="32"/>
      <c r="M206" s="32"/>
      <c r="N206" s="32"/>
      <c r="O206" s="32"/>
      <c r="P206" s="32"/>
      <c r="Q206" s="32"/>
    </row>
    <row r="207" spans="1:17" hidden="1">
      <c r="A207" s="32"/>
      <c r="B207" s="32"/>
      <c r="C207" s="32"/>
      <c r="D207" s="32"/>
      <c r="E207" s="32"/>
      <c r="F207" s="32"/>
      <c r="G207" s="32"/>
      <c r="H207" s="32"/>
      <c r="I207" s="32"/>
      <c r="J207" s="32"/>
      <c r="K207" s="32"/>
      <c r="L207" s="32"/>
      <c r="M207" s="32"/>
      <c r="N207" s="32"/>
      <c r="O207" s="32"/>
      <c r="P207" s="32"/>
      <c r="Q207" s="32"/>
    </row>
    <row r="208" spans="1:17" hidden="1">
      <c r="A208" s="32"/>
      <c r="B208" s="32"/>
      <c r="C208" s="32"/>
      <c r="D208" s="32"/>
      <c r="E208" s="32"/>
      <c r="F208" s="32"/>
      <c r="G208" s="32"/>
      <c r="H208" s="32"/>
      <c r="I208" s="32"/>
      <c r="J208" s="32"/>
      <c r="K208" s="32"/>
      <c r="L208" s="32"/>
      <c r="M208" s="32"/>
      <c r="N208" s="32"/>
      <c r="O208" s="32"/>
      <c r="P208" s="32"/>
      <c r="Q208" s="32"/>
    </row>
    <row r="209" spans="1:17" hidden="1">
      <c r="A209" s="32"/>
      <c r="B209" s="32"/>
      <c r="C209" s="32"/>
      <c r="D209" s="32"/>
      <c r="E209" s="32"/>
      <c r="F209" s="32"/>
      <c r="G209" s="32"/>
      <c r="H209" s="32"/>
      <c r="I209" s="32"/>
      <c r="J209" s="32"/>
      <c r="K209" s="32"/>
      <c r="L209" s="32"/>
      <c r="M209" s="32"/>
      <c r="N209" s="32"/>
      <c r="O209" s="32"/>
      <c r="P209" s="32"/>
      <c r="Q209" s="32"/>
    </row>
    <row r="210" spans="1:17" hidden="1">
      <c r="A210" s="32"/>
      <c r="B210" s="32"/>
      <c r="C210" s="32"/>
      <c r="D210" s="32"/>
      <c r="E210" s="32"/>
      <c r="F210" s="32"/>
      <c r="G210" s="32"/>
      <c r="H210" s="32"/>
      <c r="I210" s="32"/>
      <c r="J210" s="32"/>
      <c r="K210" s="32"/>
      <c r="L210" s="32"/>
      <c r="M210" s="32"/>
      <c r="N210" s="32"/>
      <c r="O210" s="32"/>
      <c r="P210" s="32"/>
      <c r="Q210" s="32"/>
    </row>
    <row r="211" spans="1:17" hidden="1">
      <c r="A211" s="32"/>
      <c r="B211" s="32"/>
      <c r="C211" s="32"/>
      <c r="D211" s="32"/>
      <c r="E211" s="32"/>
      <c r="F211" s="32"/>
      <c r="G211" s="32"/>
      <c r="H211" s="32"/>
      <c r="I211" s="32"/>
      <c r="J211" s="32"/>
      <c r="K211" s="32"/>
      <c r="L211" s="32"/>
      <c r="M211" s="32"/>
      <c r="N211" s="32"/>
      <c r="O211" s="32"/>
      <c r="P211" s="32"/>
      <c r="Q211" s="32"/>
    </row>
    <row r="212" spans="1:17" hidden="1">
      <c r="A212" s="32"/>
      <c r="B212" s="32"/>
      <c r="C212" s="32"/>
      <c r="D212" s="32"/>
      <c r="E212" s="32"/>
      <c r="F212" s="32"/>
      <c r="G212" s="32"/>
      <c r="H212" s="32"/>
      <c r="I212" s="32"/>
      <c r="J212" s="32"/>
      <c r="K212" s="32"/>
      <c r="L212" s="32"/>
      <c r="M212" s="32"/>
      <c r="N212" s="32"/>
      <c r="O212" s="32"/>
      <c r="P212" s="32"/>
      <c r="Q212" s="32"/>
    </row>
    <row r="213" spans="1:17" hidden="1">
      <c r="A213" s="32"/>
      <c r="B213" s="32"/>
      <c r="C213" s="32"/>
      <c r="D213" s="32"/>
      <c r="E213" s="32"/>
      <c r="F213" s="32"/>
      <c r="G213" s="32"/>
      <c r="H213" s="32"/>
      <c r="I213" s="32"/>
      <c r="J213" s="32"/>
      <c r="K213" s="32"/>
      <c r="L213" s="32"/>
      <c r="M213" s="32"/>
      <c r="N213" s="32"/>
      <c r="O213" s="32"/>
      <c r="P213" s="32"/>
      <c r="Q213" s="32"/>
    </row>
    <row r="214" spans="1:17" hidden="1">
      <c r="A214" s="32"/>
      <c r="B214" s="32"/>
      <c r="C214" s="32"/>
      <c r="D214" s="32"/>
      <c r="E214" s="32"/>
      <c r="F214" s="32"/>
      <c r="G214" s="32"/>
      <c r="H214" s="32"/>
      <c r="I214" s="32"/>
      <c r="J214" s="32"/>
      <c r="K214" s="32"/>
      <c r="L214" s="32"/>
      <c r="M214" s="32"/>
      <c r="N214" s="32"/>
      <c r="O214" s="32"/>
      <c r="P214" s="32"/>
      <c r="Q214" s="32"/>
    </row>
    <row r="215" spans="1:17" hidden="1">
      <c r="A215" s="32"/>
      <c r="B215" s="32"/>
      <c r="C215" s="32"/>
      <c r="D215" s="32"/>
      <c r="E215" s="32"/>
      <c r="F215" s="32"/>
      <c r="G215" s="32"/>
      <c r="H215" s="32"/>
      <c r="I215" s="32"/>
      <c r="J215" s="32"/>
      <c r="K215" s="32"/>
      <c r="L215" s="32"/>
      <c r="M215" s="32"/>
      <c r="N215" s="32"/>
      <c r="O215" s="32"/>
      <c r="P215" s="32"/>
      <c r="Q215" s="32"/>
    </row>
    <row r="216" spans="1:17" hidden="1">
      <c r="A216" s="32"/>
      <c r="B216" s="32"/>
      <c r="C216" s="32"/>
      <c r="D216" s="32"/>
      <c r="E216" s="32"/>
      <c r="F216" s="32"/>
      <c r="G216" s="32"/>
      <c r="H216" s="32"/>
      <c r="I216" s="32"/>
      <c r="J216" s="32"/>
      <c r="K216" s="32"/>
      <c r="L216" s="32"/>
      <c r="M216" s="32"/>
      <c r="N216" s="32"/>
      <c r="O216" s="32"/>
      <c r="P216" s="32"/>
      <c r="Q216" s="32"/>
    </row>
    <row r="217" spans="1:17" hidden="1">
      <c r="A217" s="32"/>
      <c r="B217" s="32"/>
      <c r="C217" s="32"/>
      <c r="D217" s="32"/>
      <c r="E217" s="32"/>
      <c r="F217" s="32"/>
      <c r="G217" s="32"/>
      <c r="H217" s="32"/>
      <c r="I217" s="32"/>
      <c r="J217" s="32"/>
      <c r="K217" s="32"/>
      <c r="L217" s="32"/>
      <c r="M217" s="32"/>
      <c r="N217" s="32"/>
      <c r="O217" s="32"/>
      <c r="P217" s="32"/>
      <c r="Q217" s="32"/>
    </row>
    <row r="218" spans="1:17" hidden="1">
      <c r="A218" s="32"/>
      <c r="B218" s="32"/>
      <c r="C218" s="32"/>
      <c r="D218" s="32"/>
      <c r="E218" s="32"/>
      <c r="F218" s="32"/>
      <c r="G218" s="32"/>
      <c r="H218" s="32"/>
      <c r="I218" s="32"/>
      <c r="J218" s="32"/>
      <c r="K218" s="32"/>
      <c r="L218" s="32"/>
      <c r="M218" s="32"/>
      <c r="N218" s="32"/>
      <c r="O218" s="32"/>
      <c r="P218" s="32"/>
      <c r="Q218" s="32"/>
    </row>
    <row r="219" spans="1:17" hidden="1">
      <c r="A219" s="32"/>
      <c r="B219" s="32"/>
      <c r="C219" s="32"/>
      <c r="D219" s="32"/>
      <c r="E219" s="32"/>
      <c r="F219" s="32"/>
      <c r="G219" s="32"/>
      <c r="H219" s="32"/>
      <c r="I219" s="32"/>
      <c r="J219" s="32"/>
      <c r="K219" s="32"/>
      <c r="L219" s="32"/>
      <c r="M219" s="32"/>
      <c r="N219" s="32"/>
      <c r="O219" s="32"/>
      <c r="P219" s="32"/>
      <c r="Q219" s="32"/>
    </row>
    <row r="220" spans="1:17" hidden="1">
      <c r="A220" s="32"/>
      <c r="B220" s="32"/>
      <c r="C220" s="32"/>
      <c r="D220" s="32"/>
      <c r="E220" s="32"/>
      <c r="F220" s="32"/>
      <c r="G220" s="32"/>
      <c r="H220" s="32"/>
      <c r="I220" s="32"/>
      <c r="J220" s="32"/>
      <c r="K220" s="32"/>
      <c r="L220" s="32"/>
      <c r="M220" s="32"/>
      <c r="N220" s="32"/>
      <c r="O220" s="32"/>
      <c r="P220" s="32"/>
      <c r="Q220" s="32"/>
    </row>
    <row r="221" spans="1:17" hidden="1">
      <c r="A221" s="32"/>
      <c r="B221" s="32"/>
      <c r="C221" s="32"/>
      <c r="D221" s="32"/>
      <c r="E221" s="32"/>
      <c r="F221" s="32"/>
      <c r="G221" s="32"/>
      <c r="H221" s="32"/>
      <c r="I221" s="32"/>
      <c r="J221" s="32"/>
      <c r="K221" s="32"/>
      <c r="L221" s="32"/>
      <c r="M221" s="32"/>
      <c r="N221" s="32"/>
      <c r="O221" s="32"/>
      <c r="P221" s="32"/>
      <c r="Q221" s="32"/>
    </row>
    <row r="222" spans="1:17" hidden="1">
      <c r="A222" s="32"/>
      <c r="B222" s="32"/>
      <c r="C222" s="32"/>
      <c r="D222" s="32"/>
      <c r="E222" s="32"/>
      <c r="F222" s="32"/>
      <c r="G222" s="32"/>
      <c r="H222" s="32"/>
      <c r="I222" s="32"/>
      <c r="J222" s="32"/>
      <c r="K222" s="32"/>
      <c r="L222" s="32"/>
      <c r="M222" s="32"/>
      <c r="N222" s="32"/>
      <c r="O222" s="32"/>
      <c r="P222" s="32"/>
      <c r="Q222" s="32"/>
    </row>
    <row r="223" spans="1:17" hidden="1">
      <c r="A223" s="32"/>
      <c r="B223" s="32"/>
      <c r="C223" s="32"/>
      <c r="D223" s="32"/>
      <c r="E223" s="32"/>
      <c r="F223" s="32"/>
      <c r="G223" s="32"/>
      <c r="H223" s="32"/>
      <c r="I223" s="32"/>
      <c r="J223" s="32"/>
      <c r="K223" s="32"/>
      <c r="L223" s="32"/>
      <c r="M223" s="32"/>
      <c r="N223" s="32"/>
      <c r="O223" s="32"/>
      <c r="P223" s="32"/>
      <c r="Q223" s="32"/>
    </row>
    <row r="224" spans="1:17" hidden="1">
      <c r="A224" s="32"/>
      <c r="B224" s="32"/>
      <c r="C224" s="32"/>
      <c r="D224" s="32"/>
      <c r="E224" s="32"/>
      <c r="F224" s="32"/>
      <c r="G224" s="32"/>
      <c r="H224" s="32"/>
      <c r="I224" s="32"/>
      <c r="J224" s="32"/>
      <c r="K224" s="32"/>
      <c r="L224" s="32"/>
      <c r="M224" s="32"/>
      <c r="N224" s="32"/>
      <c r="O224" s="32"/>
      <c r="P224" s="32"/>
      <c r="Q224" s="32"/>
    </row>
    <row r="225" spans="1:17" hidden="1">
      <c r="A225" s="32"/>
      <c r="B225" s="32"/>
      <c r="C225" s="32"/>
      <c r="D225" s="32"/>
      <c r="E225" s="32"/>
      <c r="F225" s="32"/>
      <c r="G225" s="32"/>
      <c r="H225" s="32"/>
      <c r="I225" s="32"/>
      <c r="J225" s="32"/>
      <c r="K225" s="32"/>
      <c r="L225" s="32"/>
      <c r="M225" s="32"/>
      <c r="N225" s="32"/>
      <c r="O225" s="32"/>
      <c r="P225" s="32"/>
      <c r="Q225" s="32"/>
    </row>
    <row r="226" spans="1:17" hidden="1">
      <c r="A226" s="32"/>
      <c r="B226" s="32"/>
      <c r="C226" s="32"/>
      <c r="D226" s="32"/>
      <c r="E226" s="32"/>
      <c r="F226" s="32"/>
      <c r="H226" s="32"/>
      <c r="I226" s="32"/>
      <c r="J226" s="32"/>
      <c r="K226" s="32"/>
      <c r="L226" s="32"/>
      <c r="M226" s="32"/>
      <c r="N226" s="32"/>
      <c r="O226" s="32"/>
      <c r="P226" s="32"/>
      <c r="Q226" s="32"/>
    </row>
    <row r="227" spans="1:17" hidden="1">
      <c r="A227" s="32"/>
      <c r="B227" s="32"/>
      <c r="C227" s="32"/>
      <c r="D227" s="32"/>
      <c r="E227" s="32"/>
      <c r="F227" s="32"/>
      <c r="H227" s="32"/>
      <c r="I227" s="32"/>
      <c r="J227" s="32"/>
      <c r="K227" s="32"/>
      <c r="L227" s="32"/>
      <c r="M227" s="32"/>
      <c r="N227" s="32"/>
      <c r="O227" s="32"/>
      <c r="P227" s="32"/>
      <c r="Q227" s="32"/>
    </row>
    <row r="228" spans="1:17" hidden="1">
      <c r="A228" s="32"/>
      <c r="B228" s="32"/>
      <c r="C228" s="32"/>
      <c r="D228" s="32"/>
      <c r="E228" s="32"/>
      <c r="F228" s="32"/>
      <c r="H228" s="32"/>
      <c r="I228" s="32"/>
      <c r="J228" s="32"/>
      <c r="K228" s="32"/>
      <c r="L228" s="32"/>
      <c r="M228" s="32"/>
      <c r="N228" s="32"/>
      <c r="O228" s="32"/>
      <c r="P228" s="32"/>
      <c r="Q228" s="32"/>
    </row>
    <row r="229" spans="1:17" hidden="1">
      <c r="A229" s="32"/>
      <c r="B229" s="32"/>
      <c r="C229" s="32"/>
      <c r="D229" s="32"/>
      <c r="E229" s="32"/>
      <c r="F229" s="32"/>
      <c r="H229" s="32"/>
      <c r="I229" s="32"/>
      <c r="J229" s="32"/>
      <c r="K229" s="32"/>
      <c r="L229" s="32"/>
      <c r="M229" s="32"/>
      <c r="N229" s="32"/>
      <c r="O229" s="32"/>
      <c r="P229" s="32"/>
      <c r="Q229" s="32"/>
    </row>
    <row r="230" spans="1:17" hidden="1">
      <c r="A230" s="32"/>
      <c r="B230" s="32"/>
      <c r="C230" s="32"/>
      <c r="D230" s="32"/>
      <c r="E230" s="32"/>
      <c r="F230" s="32"/>
      <c r="H230" s="32"/>
      <c r="I230" s="32"/>
      <c r="J230" s="32"/>
      <c r="K230" s="32"/>
      <c r="L230" s="32"/>
      <c r="M230" s="32"/>
      <c r="N230" s="32"/>
      <c r="O230" s="32"/>
      <c r="P230" s="32"/>
      <c r="Q230" s="32"/>
    </row>
    <row r="231" spans="1:17" hidden="1">
      <c r="A231" s="32"/>
      <c r="B231" s="32"/>
      <c r="C231" s="32"/>
      <c r="D231" s="32"/>
      <c r="E231" s="32"/>
      <c r="F231" s="32"/>
      <c r="H231" s="32"/>
      <c r="I231" s="32"/>
      <c r="J231" s="32"/>
      <c r="K231" s="32"/>
      <c r="L231" s="32"/>
      <c r="M231" s="32"/>
      <c r="N231" s="32"/>
      <c r="O231" s="32"/>
      <c r="P231" s="32"/>
      <c r="Q231" s="32"/>
    </row>
    <row r="232" spans="1:17" hidden="1">
      <c r="A232" s="32"/>
      <c r="B232" s="32"/>
      <c r="C232" s="32"/>
      <c r="D232" s="32"/>
      <c r="E232" s="32"/>
      <c r="F232" s="32"/>
      <c r="H232" s="32"/>
      <c r="I232" s="32"/>
      <c r="J232" s="32"/>
      <c r="K232" s="32"/>
      <c r="L232" s="32"/>
      <c r="M232" s="32"/>
      <c r="N232" s="32"/>
      <c r="O232" s="32"/>
      <c r="P232" s="32"/>
      <c r="Q232" s="32"/>
    </row>
    <row r="233" spans="1:17" hidden="1">
      <c r="A233" s="32"/>
      <c r="B233" s="32"/>
      <c r="C233" s="32"/>
      <c r="D233" s="32"/>
      <c r="E233" s="32"/>
      <c r="F233" s="32"/>
      <c r="H233" s="32"/>
      <c r="I233" s="32"/>
      <c r="J233" s="32"/>
      <c r="K233" s="32"/>
      <c r="L233" s="32"/>
      <c r="M233" s="32"/>
      <c r="N233" s="32"/>
      <c r="O233" s="32"/>
      <c r="P233" s="32"/>
      <c r="Q233" s="32"/>
    </row>
    <row r="234" spans="1:17" hidden="1">
      <c r="A234" s="32"/>
      <c r="B234" s="32"/>
      <c r="C234" s="32"/>
      <c r="D234" s="32"/>
      <c r="E234" s="32"/>
      <c r="F234" s="32"/>
      <c r="H234" s="32"/>
      <c r="I234" s="32"/>
      <c r="J234" s="32"/>
      <c r="K234" s="32"/>
      <c r="L234" s="32"/>
      <c r="M234" s="32"/>
      <c r="N234" s="32"/>
      <c r="O234" s="32"/>
      <c r="P234" s="32"/>
      <c r="Q234" s="32"/>
    </row>
    <row r="235" spans="1:17" hidden="1">
      <c r="A235" s="32"/>
      <c r="B235" s="32"/>
      <c r="C235" s="32"/>
      <c r="D235" s="32"/>
      <c r="E235" s="32"/>
      <c r="F235" s="32"/>
      <c r="H235" s="32"/>
      <c r="I235" s="32"/>
      <c r="J235" s="32"/>
      <c r="K235" s="32"/>
      <c r="L235" s="32"/>
      <c r="M235" s="32"/>
      <c r="N235" s="32"/>
      <c r="O235" s="32"/>
      <c r="P235" s="32"/>
      <c r="Q235" s="32"/>
    </row>
    <row r="236" spans="1:17" hidden="1">
      <c r="A236" s="32"/>
      <c r="B236" s="32"/>
      <c r="C236" s="32"/>
      <c r="D236" s="32"/>
      <c r="E236" s="32"/>
      <c r="F236" s="32"/>
      <c r="H236" s="32"/>
      <c r="I236" s="32"/>
      <c r="J236" s="32"/>
      <c r="K236" s="32"/>
      <c r="L236" s="32"/>
      <c r="M236" s="32"/>
      <c r="N236" s="32"/>
      <c r="O236" s="32"/>
      <c r="P236" s="32"/>
      <c r="Q236" s="32"/>
    </row>
    <row r="237" spans="1:17" hidden="1">
      <c r="A237" s="32"/>
      <c r="B237" s="32"/>
      <c r="C237" s="32"/>
      <c r="D237" s="32"/>
      <c r="E237" s="32"/>
      <c r="F237" s="32"/>
      <c r="H237" s="32"/>
      <c r="I237" s="32"/>
      <c r="J237" s="32"/>
      <c r="K237" s="32"/>
      <c r="L237" s="32"/>
      <c r="M237" s="32"/>
      <c r="N237" s="32"/>
      <c r="O237" s="32"/>
      <c r="P237" s="32"/>
      <c r="Q237" s="32"/>
    </row>
    <row r="238" spans="1:17" hidden="1">
      <c r="A238" s="32"/>
      <c r="B238" s="32"/>
      <c r="C238" s="32"/>
      <c r="D238" s="32"/>
      <c r="E238" s="32"/>
      <c r="F238" s="32"/>
      <c r="H238" s="32"/>
      <c r="I238" s="32"/>
      <c r="J238" s="32"/>
      <c r="K238" s="32"/>
      <c r="L238" s="32"/>
      <c r="M238" s="32"/>
      <c r="N238" s="32"/>
      <c r="O238" s="32"/>
      <c r="P238" s="32"/>
      <c r="Q238" s="32"/>
    </row>
    <row r="239" spans="1:17" hidden="1">
      <c r="A239" s="32"/>
      <c r="B239" s="32"/>
      <c r="C239" s="32"/>
      <c r="D239" s="32"/>
      <c r="E239" s="32"/>
      <c r="F239" s="32"/>
      <c r="H239" s="32"/>
      <c r="I239" s="32"/>
      <c r="J239" s="32"/>
      <c r="K239" s="32"/>
      <c r="L239" s="32"/>
      <c r="M239" s="32"/>
      <c r="N239" s="32"/>
      <c r="O239" s="32"/>
      <c r="P239" s="32"/>
      <c r="Q239" s="32"/>
    </row>
    <row r="240" spans="1:17" hidden="1">
      <c r="A240" s="32"/>
      <c r="B240" s="32"/>
      <c r="C240" s="32"/>
      <c r="D240" s="32"/>
      <c r="E240" s="32"/>
      <c r="F240" s="32"/>
      <c r="H240" s="32"/>
      <c r="I240" s="32"/>
      <c r="J240" s="32"/>
      <c r="K240" s="32"/>
      <c r="L240" s="32"/>
      <c r="M240" s="32"/>
      <c r="N240" s="32"/>
      <c r="O240" s="32"/>
      <c r="P240" s="32"/>
      <c r="Q240" s="32"/>
    </row>
    <row r="241" spans="1:17" hidden="1">
      <c r="A241" s="32"/>
      <c r="B241" s="32"/>
      <c r="C241" s="32"/>
      <c r="D241" s="32"/>
      <c r="E241" s="32"/>
      <c r="F241" s="32"/>
      <c r="H241" s="32"/>
      <c r="I241" s="32"/>
      <c r="J241" s="32"/>
      <c r="K241" s="32"/>
      <c r="L241" s="32"/>
      <c r="M241" s="32"/>
      <c r="N241" s="32"/>
      <c r="O241" s="32"/>
      <c r="P241" s="32"/>
      <c r="Q241" s="32"/>
    </row>
    <row r="242" spans="1:17" hidden="1">
      <c r="A242" s="32"/>
      <c r="B242" s="32"/>
      <c r="C242" s="32"/>
      <c r="D242" s="32"/>
      <c r="E242" s="32"/>
      <c r="F242" s="32"/>
      <c r="H242" s="32"/>
      <c r="I242" s="32"/>
      <c r="J242" s="32"/>
      <c r="K242" s="32"/>
      <c r="L242" s="32"/>
      <c r="M242" s="32"/>
      <c r="N242" s="32"/>
      <c r="O242" s="32"/>
      <c r="P242" s="32"/>
      <c r="Q242" s="32"/>
    </row>
    <row r="243" spans="1:17" hidden="1">
      <c r="A243" s="32"/>
      <c r="B243" s="32"/>
      <c r="C243" s="32"/>
      <c r="D243" s="32"/>
      <c r="E243" s="32"/>
      <c r="F243" s="32"/>
      <c r="H243" s="32"/>
      <c r="I243" s="32"/>
      <c r="J243" s="32"/>
      <c r="K243" s="32"/>
      <c r="L243" s="32"/>
      <c r="M243" s="32"/>
      <c r="N243" s="32"/>
      <c r="O243" s="32"/>
      <c r="P243" s="32"/>
      <c r="Q243" s="32"/>
    </row>
    <row r="244" spans="1:17" hidden="1">
      <c r="A244" s="32"/>
      <c r="B244" s="32"/>
      <c r="C244" s="32"/>
      <c r="D244" s="32"/>
      <c r="E244" s="32"/>
      <c r="F244" s="32"/>
      <c r="H244" s="32"/>
      <c r="I244" s="32"/>
      <c r="J244" s="32"/>
      <c r="K244" s="32"/>
      <c r="L244" s="32"/>
      <c r="M244" s="32"/>
      <c r="N244" s="32"/>
      <c r="O244" s="32"/>
      <c r="P244" s="32"/>
      <c r="Q244" s="32"/>
    </row>
    <row r="245" spans="1:17" hidden="1">
      <c r="A245" s="32"/>
      <c r="B245" s="32"/>
      <c r="C245" s="32"/>
      <c r="D245" s="32"/>
      <c r="E245" s="32"/>
      <c r="F245" s="32"/>
      <c r="H245" s="32"/>
      <c r="I245" s="32"/>
      <c r="J245" s="32"/>
      <c r="K245" s="32"/>
      <c r="L245" s="32"/>
      <c r="M245" s="32"/>
      <c r="N245" s="32"/>
      <c r="O245" s="32"/>
      <c r="P245" s="32"/>
      <c r="Q245" s="32"/>
    </row>
    <row r="246" spans="1:17" hidden="1">
      <c r="A246" s="32"/>
      <c r="B246" s="32"/>
      <c r="C246" s="32"/>
      <c r="D246" s="32"/>
      <c r="E246" s="32"/>
      <c r="F246" s="32"/>
      <c r="H246" s="32"/>
      <c r="I246" s="32"/>
      <c r="J246" s="32"/>
      <c r="K246" s="32"/>
      <c r="L246" s="32"/>
      <c r="M246" s="32"/>
      <c r="N246" s="32"/>
      <c r="O246" s="32"/>
      <c r="P246" s="32"/>
      <c r="Q246" s="32"/>
    </row>
    <row r="247" spans="1:17" hidden="1">
      <c r="A247" s="32"/>
      <c r="B247" s="32"/>
      <c r="C247" s="32"/>
      <c r="D247" s="32"/>
      <c r="E247" s="32"/>
      <c r="F247" s="32"/>
      <c r="H247" s="32"/>
      <c r="I247" s="32"/>
      <c r="J247" s="32"/>
      <c r="K247" s="32"/>
      <c r="L247" s="32"/>
      <c r="M247" s="32"/>
      <c r="N247" s="32"/>
      <c r="O247" s="32"/>
      <c r="P247" s="32"/>
      <c r="Q247" s="32"/>
    </row>
    <row r="248" spans="1:17" hidden="1">
      <c r="A248" s="32"/>
      <c r="B248" s="32"/>
      <c r="C248" s="32"/>
      <c r="D248" s="32"/>
      <c r="E248" s="32"/>
      <c r="F248" s="32"/>
      <c r="H248" s="32"/>
      <c r="I248" s="32"/>
      <c r="J248" s="32"/>
      <c r="K248" s="32"/>
      <c r="L248" s="32"/>
      <c r="M248" s="32"/>
      <c r="N248" s="32"/>
      <c r="O248" s="32"/>
      <c r="P248" s="32"/>
      <c r="Q248" s="32"/>
    </row>
    <row r="249" spans="1:17" hidden="1">
      <c r="A249" s="32"/>
      <c r="B249" s="32"/>
      <c r="C249" s="32"/>
      <c r="D249" s="32"/>
      <c r="E249" s="32"/>
      <c r="F249" s="32"/>
      <c r="H249" s="32"/>
      <c r="I249" s="32"/>
      <c r="J249" s="32"/>
      <c r="K249" s="32"/>
      <c r="L249" s="32"/>
      <c r="M249" s="32"/>
      <c r="N249" s="32"/>
      <c r="O249" s="32"/>
      <c r="P249" s="32"/>
      <c r="Q249" s="32"/>
    </row>
    <row r="250" spans="1:17" hidden="1">
      <c r="A250" s="32"/>
      <c r="B250" s="32"/>
      <c r="C250" s="32"/>
      <c r="D250" s="32"/>
      <c r="E250" s="32"/>
      <c r="F250" s="32"/>
      <c r="H250" s="32"/>
      <c r="K250" s="32"/>
      <c r="L250" s="32"/>
      <c r="M250" s="32"/>
      <c r="N250" s="32"/>
      <c r="O250" s="32"/>
      <c r="P250" s="32"/>
      <c r="Q250" s="32"/>
    </row>
    <row r="251" spans="1:17" hidden="1">
      <c r="A251" s="32"/>
      <c r="B251" s="32"/>
      <c r="C251" s="32"/>
      <c r="D251" s="32"/>
      <c r="E251" s="32"/>
      <c r="F251" s="32"/>
      <c r="H251" s="32"/>
      <c r="K251" s="32"/>
      <c r="L251" s="32"/>
      <c r="M251" s="32"/>
      <c r="N251" s="32"/>
      <c r="O251" s="32"/>
      <c r="P251" s="32"/>
      <c r="Q251" s="32"/>
    </row>
    <row r="252" spans="1:17" hidden="1">
      <c r="A252" s="32"/>
      <c r="B252" s="32"/>
      <c r="C252" s="32"/>
      <c r="D252" s="32"/>
      <c r="E252" s="32"/>
      <c r="F252" s="32"/>
      <c r="H252" s="32"/>
      <c r="K252" s="32"/>
      <c r="L252" s="32"/>
      <c r="M252" s="32"/>
      <c r="N252" s="32"/>
      <c r="O252" s="32"/>
      <c r="P252" s="32"/>
      <c r="Q252" s="32"/>
    </row>
    <row r="253" spans="1:17" hidden="1">
      <c r="A253" s="32"/>
      <c r="B253" s="32"/>
      <c r="C253" s="32"/>
      <c r="D253" s="32"/>
      <c r="E253" s="32"/>
      <c r="F253" s="32"/>
      <c r="H253" s="32"/>
      <c r="K253" s="32"/>
      <c r="L253" s="32"/>
      <c r="M253" s="32"/>
      <c r="N253" s="32"/>
      <c r="O253" s="32"/>
      <c r="P253" s="32"/>
      <c r="Q253" s="32"/>
    </row>
    <row r="254" spans="1:17" hidden="1">
      <c r="A254" s="32"/>
      <c r="B254" s="32"/>
      <c r="C254" s="32"/>
      <c r="D254" s="32"/>
      <c r="E254" s="32"/>
      <c r="F254" s="32"/>
      <c r="H254" s="32"/>
      <c r="K254" s="32"/>
      <c r="L254" s="32"/>
      <c r="M254" s="32"/>
      <c r="N254" s="32"/>
      <c r="O254" s="32"/>
      <c r="P254" s="32"/>
      <c r="Q254" s="32"/>
    </row>
    <row r="255" spans="1:17" hidden="1">
      <c r="A255" s="32"/>
      <c r="B255" s="32"/>
      <c r="C255" s="32"/>
      <c r="D255" s="32"/>
      <c r="E255" s="32"/>
      <c r="F255" s="32"/>
      <c r="H255" s="32"/>
      <c r="K255" s="32"/>
      <c r="L255" s="32"/>
      <c r="M255" s="32"/>
      <c r="N255" s="32"/>
      <c r="O255" s="32"/>
      <c r="P255" s="32"/>
      <c r="Q255" s="32"/>
    </row>
    <row r="256" spans="1:17" hidden="1">
      <c r="A256" s="32"/>
      <c r="B256" s="32"/>
      <c r="C256" s="32"/>
      <c r="D256" s="32"/>
      <c r="E256" s="32"/>
      <c r="F256" s="32"/>
      <c r="H256" s="32"/>
      <c r="K256" s="32"/>
      <c r="L256" s="32"/>
      <c r="M256" s="32"/>
      <c r="N256" s="32"/>
      <c r="O256" s="32"/>
      <c r="P256" s="32"/>
      <c r="Q256" s="32"/>
    </row>
    <row r="257" spans="1:17" hidden="1">
      <c r="A257" s="32"/>
      <c r="B257" s="32"/>
      <c r="C257" s="32"/>
      <c r="D257" s="32"/>
      <c r="E257" s="32"/>
      <c r="F257" s="32"/>
      <c r="H257" s="32"/>
      <c r="K257" s="32"/>
      <c r="L257" s="32"/>
      <c r="M257" s="32"/>
      <c r="N257" s="32"/>
      <c r="O257" s="32"/>
      <c r="P257" s="32"/>
      <c r="Q257" s="32"/>
    </row>
    <row r="258" spans="1:17" hidden="1">
      <c r="A258" s="32"/>
      <c r="B258" s="32"/>
      <c r="C258" s="32"/>
      <c r="D258" s="32"/>
      <c r="E258" s="32"/>
      <c r="F258" s="32"/>
      <c r="H258" s="32"/>
      <c r="K258" s="32"/>
      <c r="L258" s="32"/>
      <c r="M258" s="32"/>
      <c r="N258" s="32"/>
      <c r="O258" s="32"/>
      <c r="P258" s="32"/>
      <c r="Q258" s="32"/>
    </row>
    <row r="259" spans="1:17" hidden="1">
      <c r="A259" s="32"/>
      <c r="B259" s="32"/>
      <c r="C259" s="32"/>
      <c r="D259" s="32"/>
      <c r="E259" s="32"/>
      <c r="F259" s="32"/>
      <c r="H259" s="32"/>
      <c r="K259" s="32"/>
      <c r="L259" s="32"/>
      <c r="M259" s="32"/>
      <c r="N259" s="32"/>
      <c r="O259" s="32"/>
      <c r="P259" s="32"/>
      <c r="Q259" s="32"/>
    </row>
    <row r="260" spans="1:17" hidden="1">
      <c r="A260" s="32"/>
      <c r="B260" s="32"/>
      <c r="C260" s="32"/>
      <c r="D260" s="32"/>
      <c r="E260" s="32"/>
      <c r="F260" s="32"/>
      <c r="H260" s="32"/>
      <c r="K260" s="32"/>
      <c r="L260" s="32"/>
      <c r="M260" s="32"/>
      <c r="N260" s="32"/>
      <c r="O260" s="32"/>
      <c r="P260" s="32"/>
      <c r="Q260" s="32"/>
    </row>
    <row r="261" spans="1:17" hidden="1">
      <c r="A261" s="32"/>
      <c r="B261" s="32"/>
      <c r="C261" s="32"/>
      <c r="D261" s="32"/>
      <c r="E261" s="32"/>
      <c r="F261" s="32"/>
      <c r="H261" s="32"/>
      <c r="K261" s="32"/>
      <c r="L261" s="32"/>
      <c r="M261" s="32"/>
      <c r="N261" s="32"/>
      <c r="O261" s="32"/>
      <c r="P261" s="32"/>
      <c r="Q261" s="32"/>
    </row>
    <row r="262" spans="1:17" hidden="1">
      <c r="A262" s="32"/>
      <c r="B262" s="32"/>
      <c r="C262" s="32"/>
      <c r="D262" s="32"/>
      <c r="E262" s="32"/>
      <c r="F262" s="32"/>
      <c r="H262" s="32"/>
      <c r="K262" s="32"/>
      <c r="L262" s="32"/>
      <c r="M262" s="32"/>
      <c r="N262" s="32"/>
      <c r="O262" s="32"/>
      <c r="P262" s="32"/>
      <c r="Q262" s="32"/>
    </row>
    <row r="263" spans="1:17" hidden="1">
      <c r="A263" s="32"/>
    </row>
    <row r="264" spans="1:17" hidden="1">
      <c r="A264" s="32"/>
    </row>
    <row r="265" spans="1:17" hidden="1">
      <c r="A265" s="32"/>
    </row>
    <row r="266" spans="1:17" hidden="1">
      <c r="A266" s="32"/>
    </row>
    <row r="267" spans="1:17" hidden="1">
      <c r="A267" s="32"/>
    </row>
    <row r="268" spans="1:17" hidden="1">
      <c r="A268" s="32"/>
    </row>
    <row r="269" spans="1:17" hidden="1">
      <c r="A269" s="32"/>
    </row>
    <row r="270" spans="1:17" hidden="1">
      <c r="A270" s="32"/>
    </row>
    <row r="271" spans="1:17" hidden="1">
      <c r="A271" s="32"/>
    </row>
    <row r="272" spans="1:17" hidden="1">
      <c r="A272" s="32"/>
    </row>
    <row r="273" spans="1:1" hidden="1">
      <c r="A273" s="32"/>
    </row>
    <row r="274" spans="1:1" hidden="1">
      <c r="A274" s="32"/>
    </row>
    <row r="275" spans="1:1" hidden="1">
      <c r="A275" s="32"/>
    </row>
    <row r="276" spans="1:1" hidden="1">
      <c r="A276" s="32"/>
    </row>
    <row r="277" spans="1:1" hidden="1">
      <c r="A277" s="32"/>
    </row>
    <row r="278" spans="1:1" hidden="1">
      <c r="A278" s="32"/>
    </row>
    <row r="279" spans="1:1" hidden="1">
      <c r="A279" s="32"/>
    </row>
    <row r="280" spans="1:1" hidden="1">
      <c r="A280" s="32"/>
    </row>
    <row r="281" spans="1:1" hidden="1">
      <c r="A281" s="32"/>
    </row>
    <row r="282" spans="1:1" hidden="1">
      <c r="A282" s="32"/>
    </row>
    <row r="283" spans="1:1" hidden="1">
      <c r="A283" s="32"/>
    </row>
    <row r="284" spans="1:1" hidden="1">
      <c r="A284" s="32"/>
    </row>
    <row r="285" spans="1:1" hidden="1">
      <c r="A285" s="32"/>
    </row>
    <row r="286" spans="1:1" hidden="1">
      <c r="A286" s="32"/>
    </row>
    <row r="287" spans="1:1" hidden="1">
      <c r="A287" s="32"/>
    </row>
    <row r="288" spans="1:1" hidden="1">
      <c r="A288" s="32"/>
    </row>
    <row r="289" spans="1:1" hidden="1">
      <c r="A289" s="32"/>
    </row>
    <row r="290" spans="1:1" hidden="1">
      <c r="A290" s="32"/>
    </row>
    <row r="291" spans="1:1" hidden="1">
      <c r="A291" s="32"/>
    </row>
    <row r="292" spans="1:1" hidden="1">
      <c r="A292" s="32"/>
    </row>
    <row r="293" spans="1:1" hidden="1">
      <c r="A293" s="32"/>
    </row>
    <row r="294" spans="1:1" hidden="1">
      <c r="A294" s="32"/>
    </row>
    <row r="295" spans="1:1" hidden="1">
      <c r="A295" s="32"/>
    </row>
    <row r="296" spans="1:1" hidden="1">
      <c r="A296" s="32"/>
    </row>
    <row r="297" spans="1:1" hidden="1">
      <c r="A297" s="32"/>
    </row>
    <row r="298" spans="1:1" hidden="1">
      <c r="A298" s="32"/>
    </row>
    <row r="299" spans="1:1" hidden="1">
      <c r="A299" s="32"/>
    </row>
    <row r="300" spans="1:1" hidden="1">
      <c r="A300" s="32"/>
    </row>
    <row r="301" spans="1:1" hidden="1">
      <c r="A301" s="32"/>
    </row>
    <row r="302" spans="1:1" hidden="1">
      <c r="A302" s="32"/>
    </row>
    <row r="303" spans="1:1"/>
    <row r="304" spans="1:1"/>
    <row r="305"/>
    <row r="306"/>
    <row r="307"/>
    <row r="308"/>
    <row r="309"/>
    <row r="310"/>
  </sheetData>
  <sheetProtection algorithmName="SHA-512" hashValue="pFpSzyiCjAQeA+iy9hNMMQqfnQvPClTjCcdqwbEpHiPrCEaobAnhgjrZLs3CUxOy7R89MqaL/XGgv142Z9vXAQ==" saltValue="gaQmU1dSEvjwa+bXdJLLxQ==" spinCount="100000" sheet="1" objects="1" scenarios="1"/>
  <customSheetViews>
    <customSheetView guid="{8BDA793C-C9C5-4FC6-A0A5-F1109F6D4F22}" state="hidden" topLeftCell="A81">
      <selection activeCell="D14" sqref="D14"/>
    </customSheetView>
  </customSheetViews>
  <mergeCells count="25">
    <mergeCell ref="C6:F6"/>
    <mergeCell ref="C7:F7"/>
    <mergeCell ref="C8:F8"/>
    <mergeCell ref="B39:G39"/>
    <mergeCell ref="B11:G11"/>
    <mergeCell ref="B2:G2"/>
    <mergeCell ref="G3:G4"/>
    <mergeCell ref="B3:B4"/>
    <mergeCell ref="C3:F4"/>
    <mergeCell ref="C5:F5"/>
    <mergeCell ref="B123:F123"/>
    <mergeCell ref="I124:J124"/>
    <mergeCell ref="I11:J11"/>
    <mergeCell ref="G110:G112"/>
    <mergeCell ref="G113:G115"/>
    <mergeCell ref="I87:J87"/>
    <mergeCell ref="I39:J39"/>
    <mergeCell ref="B87:G87"/>
    <mergeCell ref="G89:G92"/>
    <mergeCell ref="G93:G95"/>
    <mergeCell ref="G96:G102"/>
    <mergeCell ref="G103:G104"/>
    <mergeCell ref="I13:J13"/>
    <mergeCell ref="G106:G107"/>
    <mergeCell ref="G108:G109"/>
  </mergeCells>
  <conditionalFormatting sqref="H3">
    <cfRule type="cellIs" dxfId="834" priority="94" operator="equal">
      <formula>"Check Proposed Habitat Trading"</formula>
    </cfRule>
    <cfRule type="cellIs" dxfId="833" priority="95" operator="equal">
      <formula>"Overall Trading Acceptable"</formula>
    </cfRule>
  </conditionalFormatting>
  <conditionalFormatting sqref="J12">
    <cfRule type="cellIs" dxfId="832" priority="67" operator="greaterThan">
      <formula>0</formula>
    </cfRule>
    <cfRule type="cellIs" dxfId="831" priority="68" operator="lessThan">
      <formula>0</formula>
    </cfRule>
  </conditionalFormatting>
  <conditionalFormatting sqref="J41">
    <cfRule type="cellIs" dxfId="830" priority="60" operator="greaterThan">
      <formula>0</formula>
    </cfRule>
    <cfRule type="cellIs" dxfId="829" priority="63" operator="lessThan">
      <formula>0</formula>
    </cfRule>
  </conditionalFormatting>
  <conditionalFormatting sqref="J40">
    <cfRule type="cellIs" dxfId="828" priority="61" operator="greaterThan">
      <formula>0</formula>
    </cfRule>
    <cfRule type="cellIs" dxfId="827" priority="62" operator="lessThan">
      <formula>0</formula>
    </cfRule>
  </conditionalFormatting>
  <conditionalFormatting sqref="J88 J90:J91 J125:J126">
    <cfRule type="cellIs" dxfId="826" priority="34" operator="lessThan">
      <formula>0</formula>
    </cfRule>
    <cfRule type="cellIs" dxfId="825" priority="35" operator="greaterThan">
      <formula>0</formula>
    </cfRule>
  </conditionalFormatting>
  <conditionalFormatting sqref="G5:G8">
    <cfRule type="containsText" dxfId="824" priority="64" operator="containsText" text="Yes">
      <formula>NOT(ISERROR(SEARCH("Yes",G5)))</formula>
    </cfRule>
    <cfRule type="containsText" dxfId="823" priority="65" operator="containsText" text="No">
      <formula>NOT(ISERROR(SEARCH("No",G5)))</formula>
    </cfRule>
  </conditionalFormatting>
  <conditionalFormatting sqref="J89">
    <cfRule type="cellIs" dxfId="822" priority="31" operator="lessThan">
      <formula>0</formula>
    </cfRule>
  </conditionalFormatting>
  <conditionalFormatting sqref="B89:F115 B125:F162 B41:G82">
    <cfRule type="expression" dxfId="821" priority="15">
      <formula>$F41&gt;0</formula>
    </cfRule>
    <cfRule type="expression" dxfId="820" priority="16">
      <formula>$F41&lt;0</formula>
    </cfRule>
  </conditionalFormatting>
  <conditionalFormatting sqref="G89:G105 G110:G115">
    <cfRule type="expression" dxfId="819" priority="13">
      <formula>$G89&gt;0</formula>
    </cfRule>
    <cfRule type="expression" dxfId="818" priority="14">
      <formula>$G89&lt;0</formula>
    </cfRule>
  </conditionalFormatting>
  <conditionalFormatting sqref="B13:G32">
    <cfRule type="expression" dxfId="817" priority="7">
      <formula>$F13&gt;0</formula>
    </cfRule>
    <cfRule type="expression" dxfId="816" priority="8">
      <formula>$F13&lt;0</formula>
    </cfRule>
  </conditionalFormatting>
  <conditionalFormatting sqref="I13:J13">
    <cfRule type="containsText" dxfId="815" priority="6" operator="containsText" text="Very high distinctiveness unit defecit - CHECK DATA">
      <formula>NOT(ISERROR(SEARCH("Very high distinctiveness unit defecit - CHECK DATA",I13)))</formula>
    </cfRule>
  </conditionalFormatting>
  <conditionalFormatting sqref="G106 G108">
    <cfRule type="expression" dxfId="814" priority="3">
      <formula>$G106&gt;0</formula>
    </cfRule>
    <cfRule type="expression" dxfId="813" priority="4">
      <formula>$G106&lt;0</formula>
    </cfRule>
  </conditionalFormatting>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325c90b0-38f2-4d4a-99ea-031059d191c2">
      <Terms xmlns="http://schemas.microsoft.com/office/infopath/2007/PartnerControls"/>
    </lcf76f155ced4ddcb4097134ff3c332f>
    <TaxCatchAll xmlns="c2664a79-626b-4390-9dde-f2f3e70d74ff"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F10F6C8C5A6BDA47BE6E113ECCB664B2" ma:contentTypeVersion="13" ma:contentTypeDescription="Create a new document." ma:contentTypeScope="" ma:versionID="b8bf777e99cfc46fa6e66d7eed933a20">
  <xsd:schema xmlns:xsd="http://www.w3.org/2001/XMLSchema" xmlns:xs="http://www.w3.org/2001/XMLSchema" xmlns:p="http://schemas.microsoft.com/office/2006/metadata/properties" xmlns:ns2="325c90b0-38f2-4d4a-99ea-031059d191c2" xmlns:ns3="c2664a79-626b-4390-9dde-f2f3e70d74ff" targetNamespace="http://schemas.microsoft.com/office/2006/metadata/properties" ma:root="true" ma:fieldsID="3011285fa3c2df2c28523f8080d08e6f" ns2:_="" ns3:_="">
    <xsd:import namespace="325c90b0-38f2-4d4a-99ea-031059d191c2"/>
    <xsd:import namespace="c2664a79-626b-4390-9dde-f2f3e70d74f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ServiceLocation"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25c90b0-38f2-4d4a-99ea-031059d191c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Location" ma:index="15" nillable="true" ma:displayName="Location" ma:indexed="true" ma:internalName="MediaServiceLocation"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a59acc10-f9e9-4916-bc5f-62b8062e9ed3"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2664a79-626b-4390-9dde-f2f3e70d74ff"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eefeb872-48ba-4826-924c-690259f8a9be}" ma:internalName="TaxCatchAll" ma:showField="CatchAllData" ma:web="c2664a79-626b-4390-9dde-f2f3e70d74f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5D8E80E-3650-4921-9D0F-F779F71661B1}">
  <ds:schemaRefs>
    <ds:schemaRef ds:uri="http://purl.org/dc/elements/1.1/"/>
    <ds:schemaRef ds:uri="e76eb3f9-f7d4-4afe-8d75-1839375753c6"/>
    <ds:schemaRef ds:uri="http://www.w3.org/XML/1998/namespace"/>
    <ds:schemaRef ds:uri="http://schemas.openxmlformats.org/package/2006/metadata/core-properties"/>
    <ds:schemaRef ds:uri="http://schemas.microsoft.com/office/infopath/2007/PartnerControls"/>
    <ds:schemaRef ds:uri="http://purl.org/dc/terms/"/>
    <ds:schemaRef ds:uri="http://purl.org/dc/dcmitype/"/>
    <ds:schemaRef ds:uri="http://schemas.microsoft.com/office/2006/documentManagement/types"/>
    <ds:schemaRef ds:uri="c2882a20-fcb3-4e62-b082-ac21ed701140"/>
    <ds:schemaRef ds:uri="662745e8-e224-48e8-a2e3-254862b8c2f5"/>
    <ds:schemaRef ds:uri="http://schemas.microsoft.com/office/2006/metadata/properties"/>
    <ds:schemaRef ds:uri="325c90b0-38f2-4d4a-99ea-031059d191c2"/>
    <ds:schemaRef ds:uri="c2664a79-626b-4390-9dde-f2f3e70d74ff"/>
  </ds:schemaRefs>
</ds:datastoreItem>
</file>

<file path=customXml/itemProps2.xml><?xml version="1.0" encoding="utf-8"?>
<ds:datastoreItem xmlns:ds="http://schemas.openxmlformats.org/officeDocument/2006/customXml" ds:itemID="{58239782-4E07-4B04-8FC6-10B477E7F061}">
  <ds:schemaRefs>
    <ds:schemaRef ds:uri="http://schemas.microsoft.com/sharepoint/v3/contenttype/forms"/>
  </ds:schemaRefs>
</ds:datastoreItem>
</file>

<file path=customXml/itemProps3.xml><?xml version="1.0" encoding="utf-8"?>
<ds:datastoreItem xmlns:ds="http://schemas.openxmlformats.org/officeDocument/2006/customXml" ds:itemID="{D865A7C6-FBE8-4335-9A29-08E5E9C413A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25c90b0-38f2-4d4a-99ea-031059d191c2"/>
    <ds:schemaRef ds:uri="c2664a79-626b-4390-9dde-f2f3e70d74f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41</vt:i4>
      </vt:variant>
      <vt:variant>
        <vt:lpstr>Named Ranges</vt:lpstr>
      </vt:variant>
      <vt:variant>
        <vt:i4>57</vt:i4>
      </vt:variant>
    </vt:vector>
  </HeadingPairs>
  <TitlesOfParts>
    <vt:vector size="98" baseType="lpstr">
      <vt:lpstr>Introduction</vt:lpstr>
      <vt:lpstr>Start</vt:lpstr>
      <vt:lpstr>Instructions</vt:lpstr>
      <vt:lpstr>Irreplaceable Habitats</vt:lpstr>
      <vt:lpstr>Main Menu</vt:lpstr>
      <vt:lpstr>Results</vt:lpstr>
      <vt:lpstr>Headline Results</vt:lpstr>
      <vt:lpstr>Detailed Results</vt:lpstr>
      <vt:lpstr>Trading Summary Area Habitats</vt:lpstr>
      <vt:lpstr>Trading Summary Hedgerows</vt:lpstr>
      <vt:lpstr>Trading Summary WaterC's</vt:lpstr>
      <vt:lpstr>Off-site gain site summary</vt:lpstr>
      <vt:lpstr>A-1 On-Site Habitat Baseline</vt:lpstr>
      <vt:lpstr>A-2 On-Site Habitat Creation</vt:lpstr>
      <vt:lpstr>A-3 On-Site Habitat Enhancement</vt:lpstr>
      <vt:lpstr>D-1 Off-Site Habitat Baseline</vt:lpstr>
      <vt:lpstr>D-2 Off-Site Habitat Creation</vt:lpstr>
      <vt:lpstr>D-3 Off-Site Habitat Enhancment</vt:lpstr>
      <vt:lpstr>B-1 On-Site Hedge Baseline</vt:lpstr>
      <vt:lpstr>B-2 On-Site Hedge Creation</vt:lpstr>
      <vt:lpstr>B-3 On-Site Hedge Enhancement</vt:lpstr>
      <vt:lpstr>E-1 Off-Site Hedge Baseline</vt:lpstr>
      <vt:lpstr>E-2 Off-Site Hedge Creation</vt:lpstr>
      <vt:lpstr>E-3 Off-Site Hedge Enhancement</vt:lpstr>
      <vt:lpstr>C-1 On-Site WaterC' Baseline</vt:lpstr>
      <vt:lpstr>C-2 On-Site WaterC' Creation</vt:lpstr>
      <vt:lpstr>C-3 On-Site WaterC' Enhancement</vt:lpstr>
      <vt:lpstr>F-1 Off-Site WaterC' Baseline</vt:lpstr>
      <vt:lpstr>F-2 Off-Site WaterC' Creation</vt:lpstr>
      <vt:lpstr>F-3 Off-Site WaterC Enhancement</vt:lpstr>
      <vt:lpstr>G-1 All Habitats</vt:lpstr>
      <vt:lpstr>G-2 Habitat groups</vt:lpstr>
      <vt:lpstr>G-3 Multipliers</vt:lpstr>
      <vt:lpstr>G-4 Temporal multipliers</vt:lpstr>
      <vt:lpstr>G-5 Enhancement Temporal</vt:lpstr>
      <vt:lpstr>G-6 Hedgerow Data</vt:lpstr>
      <vt:lpstr>G-7 WaterC' Data</vt:lpstr>
      <vt:lpstr>G-8 Condition Look up</vt:lpstr>
      <vt:lpstr>Phase 1 Translation Tool</vt:lpstr>
      <vt:lpstr>Technical Data</vt:lpstr>
      <vt:lpstr>Lists</vt:lpstr>
      <vt:lpstr>AA</vt:lpstr>
      <vt:lpstr>AllHabsSummaryData</vt:lpstr>
      <vt:lpstr>BaselineHabOffsite</vt:lpstr>
      <vt:lpstr>BaselineHabSite</vt:lpstr>
      <vt:lpstr>baselineimage</vt:lpstr>
      <vt:lpstr>Start!baselineimageOS</vt:lpstr>
      <vt:lpstr>Coastal_lagoons</vt:lpstr>
      <vt:lpstr>Coastal_saltmarsh</vt:lpstr>
      <vt:lpstr>Cond1</vt:lpstr>
      <vt:lpstr>Cond2</vt:lpstr>
      <vt:lpstr>Cond3</vt:lpstr>
      <vt:lpstr>Cond4</vt:lpstr>
      <vt:lpstr>Cond5</vt:lpstr>
      <vt:lpstr>'G-8 Condition Look up'!Condition</vt:lpstr>
      <vt:lpstr>'G-8 Condition Look up'!ConditionData</vt:lpstr>
      <vt:lpstr>'G-8 Condition Look up'!ConditionHabitats</vt:lpstr>
      <vt:lpstr>Cropland</vt:lpstr>
      <vt:lpstr>Difficulty</vt:lpstr>
      <vt:lpstr>Encroachment1</vt:lpstr>
      <vt:lpstr>Encroachment2</vt:lpstr>
      <vt:lpstr>EnhanceCondition</vt:lpstr>
      <vt:lpstr>EnhanceHabitat</vt:lpstr>
      <vt:lpstr>EnhanceTemporal</vt:lpstr>
      <vt:lpstr>Grassland</vt:lpstr>
      <vt:lpstr>Heathland_and_shrub</vt:lpstr>
      <vt:lpstr>HedgeCond</vt:lpstr>
      <vt:lpstr>Hedgecond1</vt:lpstr>
      <vt:lpstr>Hedgecond2</vt:lpstr>
      <vt:lpstr>HedgeData</vt:lpstr>
      <vt:lpstr>HedgeType</vt:lpstr>
      <vt:lpstr>Individual_trees</vt:lpstr>
      <vt:lpstr>Individualtrees</vt:lpstr>
      <vt:lpstr>Intertidal_hard_structures</vt:lpstr>
      <vt:lpstr>Intertidal_sediment</vt:lpstr>
      <vt:lpstr>Lakes</vt:lpstr>
      <vt:lpstr>LPAList</vt:lpstr>
      <vt:lpstr>postdevelopmentimage</vt:lpstr>
      <vt:lpstr>postdevelopmentimageOS</vt:lpstr>
      <vt:lpstr>RetCatChecks</vt:lpstr>
      <vt:lpstr>riparianencroachment1</vt:lpstr>
      <vt:lpstr>riparianencroachment2</vt:lpstr>
      <vt:lpstr>Rivercond1</vt:lpstr>
      <vt:lpstr>Rivercond2</vt:lpstr>
      <vt:lpstr>RiverCondition</vt:lpstr>
      <vt:lpstr>RiverEnhanceTemporal</vt:lpstr>
      <vt:lpstr>RiverHabitat</vt:lpstr>
      <vt:lpstr>RiversEnhancment</vt:lpstr>
      <vt:lpstr>Rocky_shore</vt:lpstr>
      <vt:lpstr>Sparsely_vegetated_land</vt:lpstr>
      <vt:lpstr>TemporalConditions</vt:lpstr>
      <vt:lpstr>TemporalData</vt:lpstr>
      <vt:lpstr>TemporalHabitats</vt:lpstr>
      <vt:lpstr>TemporalMultipliers</vt:lpstr>
      <vt:lpstr>Urban</vt:lpstr>
      <vt:lpstr>Watercourse_footprint</vt:lpstr>
      <vt:lpstr>Wetland</vt:lpstr>
      <vt:lpstr>Woodland_and_forest</vt:lpstr>
    </vt:vector>
  </TitlesOfParts>
  <Manager/>
  <Company>Defra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Panks, Stephen (NE)</dc:creator>
  <cp:keywords/>
  <dc:description/>
  <cp:lastModifiedBy>pati-svc</cp:lastModifiedBy>
  <cp:revision/>
  <dcterms:created xsi:type="dcterms:W3CDTF">2018-04-09T09:41:18Z</dcterms:created>
  <dcterms:modified xsi:type="dcterms:W3CDTF">2025-08-05T09:18:29Z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LastMapLocation">
    <vt:lpwstr>IbAjPaSbk3ePRHtS6hz5DWtEIsxudnHPtMNhDhxK/Zs79O84/d8/EiESmCX3O4x+iGBozFVQ86iLJKWIiqy1KTolDvSi8Vf8OjM1i1ZxWJ7MAGn8olQ11OJy4VLUlVZ0Z6pgzsrdXPmjjZOZTCI/60HwxqUaMIFhOJ4P7vT/u+ZioL1SuhHsL7f0GlbGbnCH4AskcBE27qcvInPsX4CsXdnyGPJJwpXkYbNZEPf+lE/Jz3lsCvpWvKMfevzMUjJ</vt:lpwstr>
  </property>
  <property fmtid="{D5CDD505-2E9C-101B-9397-08002B2CF9AE}" pid="3" name="PriorMapLocation">
    <vt:lpwstr>1Set2jh5Jw4elU2PPoGKHvcvzumfxFPbHIuhbuJMhLjnfLTfON8J/Ye95xpJpw92aaWAk2/ZLWGEpKYsye/kp3Ju4yUsLU5KCZY2t+t2kDTU=</vt:lpwstr>
  </property>
  <property fmtid="{D5CDD505-2E9C-101B-9397-08002B2CF9AE}" pid="4" name="MAPCITE Version">
    <vt:lpwstr>Version 1.5.7.0</vt:lpwstr>
  </property>
  <property fmtid="{D5CDD505-2E9C-101B-9397-08002B2CF9AE}" pid="5" name="ContentTypeId">
    <vt:lpwstr>0x010100F10F6C8C5A6BDA47BE6E113ECCB664B2</vt:lpwstr>
  </property>
  <property fmtid="{D5CDD505-2E9C-101B-9397-08002B2CF9AE}" pid="6" name="InformationType">
    <vt:lpwstr/>
  </property>
  <property fmtid="{D5CDD505-2E9C-101B-9397-08002B2CF9AE}" pid="7" name="Distribution">
    <vt:lpwstr>9;#Internal NE|70a74972-c838-4a08-aeb8-2c6aad14b4d9</vt:lpwstr>
  </property>
  <property fmtid="{D5CDD505-2E9C-101B-9397-08002B2CF9AE}" pid="8" name="HOCopyrightLevel">
    <vt:lpwstr>7;#Crown|69589897-2828-4761-976e-717fd8e631c9</vt:lpwstr>
  </property>
  <property fmtid="{D5CDD505-2E9C-101B-9397-08002B2CF9AE}" pid="9" name="HOGovernmentSecurityClassification">
    <vt:lpwstr>6;#Official|14c80daa-741b-422c-9722-f71693c9ede4</vt:lpwstr>
  </property>
  <property fmtid="{D5CDD505-2E9C-101B-9397-08002B2CF9AE}" pid="10" name="HOSiteType">
    <vt:lpwstr>10;#Team|ff0485df-0575-416f-802f-e999165821b7</vt:lpwstr>
  </property>
  <property fmtid="{D5CDD505-2E9C-101B-9397-08002B2CF9AE}" pid="11" name="OrganisationalUnit">
    <vt:lpwstr>8;#NE|275df9ce-cd92-4318-adfe-db572e51c7ff</vt:lpwstr>
  </property>
  <property fmtid="{D5CDD505-2E9C-101B-9397-08002B2CF9AE}" pid="12" name="MediaServiceImageTags">
    <vt:lpwstr/>
  </property>
</Properties>
</file>